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mc:AlternateContent xmlns:mc="http://schemas.openxmlformats.org/markup-compatibility/2006">
    <mc:Choice Requires="x15">
      <x15ac:absPath xmlns:x15ac="http://schemas.microsoft.com/office/spreadsheetml/2010/11/ac" url="/Users/Birmingham/Work/Repositories/cmi_metadata_wizard/metadata_wizard/settings/packages/"/>
    </mc:Choice>
  </mc:AlternateContent>
  <bookViews>
    <workbookView xWindow="16900" yWindow="4440" windowWidth="31560" windowHeight="21020" activeTab="5"/>
  </bookViews>
  <sheets>
    <sheet name="metadata" sheetId="1" r:id="rId1"/>
    <sheet name="validation" sheetId="2" r:id="rId2"/>
    <sheet name="field descriptions" sheetId="3" r:id="rId3"/>
    <sheet name="metadata_schema" sheetId="4" r:id="rId4"/>
    <sheet name="metadata_form" sheetId="5" r:id="rId5"/>
    <sheet name="readme" sheetId="6" r:id="rId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M1004" i="2" l="1" a="1"/>
  <c r="AN1004" i="2"/>
  <c r="AO1004" i="2"/>
  <c r="AP1004" i="2"/>
  <c r="AQ1004" i="2"/>
  <c r="AR1004" i="2"/>
  <c r="AS1004" i="2"/>
  <c r="AT1004" i="2"/>
  <c r="AU1004" i="2"/>
  <c r="AV1004" i="2"/>
  <c r="AW1004" i="2"/>
  <c r="AX1004" i="2"/>
  <c r="AY1004" i="2"/>
  <c r="AZ1004" i="2"/>
  <c r="BA1004" i="2"/>
  <c r="BB1004" i="2"/>
  <c r="BC1004" i="2"/>
  <c r="BD1004" i="2"/>
  <c r="BE1004" i="2"/>
  <c r="BF1004" i="2"/>
  <c r="BG1004" i="2"/>
  <c r="BH1004" i="2"/>
  <c r="BI1004" i="2"/>
  <c r="BJ1004" i="2"/>
  <c r="BK1004" i="2"/>
  <c r="BL1004" i="2"/>
  <c r="BM1004" i="2"/>
  <c r="AM1004" i="2"/>
  <c r="BM1001" i="2"/>
  <c r="AA1001" i="1"/>
  <c r="BL1001" i="2"/>
  <c r="BK1001" i="2"/>
  <c r="BJ1001" i="2"/>
  <c r="X1001" i="1"/>
  <c r="BI1001" i="2"/>
  <c r="BH1001" i="2"/>
  <c r="BG1001" i="2"/>
  <c r="U1001" i="1"/>
  <c r="BF1001" i="2"/>
  <c r="BE1001" i="2"/>
  <c r="S1001" i="1"/>
  <c r="BD1001" i="2"/>
  <c r="BC1001" i="2"/>
  <c r="BB1001" i="2"/>
  <c r="BA1001" i="2"/>
  <c r="AZ1001" i="2"/>
  <c r="AY1001" i="2"/>
  <c r="AX1001" i="2"/>
  <c r="AW1001" i="2"/>
  <c r="AV1001" i="2"/>
  <c r="AU1001" i="2"/>
  <c r="AT1001" i="2"/>
  <c r="H1001" i="1"/>
  <c r="AS1001" i="2"/>
  <c r="G1001" i="1"/>
  <c r="AR1001" i="2"/>
  <c r="AQ1001" i="2"/>
  <c r="AP1001" i="2"/>
  <c r="D1001" i="1"/>
  <c r="AO1001" i="2"/>
  <c r="AN1001" i="2"/>
  <c r="AM1001" i="2"/>
  <c r="AJ1001" i="2"/>
  <c r="AI1001" i="2"/>
  <c r="BM1000" i="2"/>
  <c r="AA1000" i="1"/>
  <c r="BL1000" i="2"/>
  <c r="BK1000" i="2"/>
  <c r="BJ1000" i="2"/>
  <c r="X1000" i="1"/>
  <c r="BI1000" i="2"/>
  <c r="BH1000" i="2"/>
  <c r="BG1000" i="2"/>
  <c r="U1000" i="1"/>
  <c r="BF1000" i="2"/>
  <c r="BE1000" i="2"/>
  <c r="S1000" i="1"/>
  <c r="BD1000" i="2"/>
  <c r="BC1000" i="2"/>
  <c r="BB1000" i="2"/>
  <c r="BA1000" i="2"/>
  <c r="AZ1000" i="2"/>
  <c r="AY1000" i="2"/>
  <c r="AX1000" i="2"/>
  <c r="AW1000" i="2"/>
  <c r="AV1000" i="2"/>
  <c r="AU1000" i="2"/>
  <c r="AT1000" i="2"/>
  <c r="H1000" i="1"/>
  <c r="AS1000" i="2"/>
  <c r="G1000" i="1"/>
  <c r="AR1000" i="2"/>
  <c r="AQ1000" i="2"/>
  <c r="AP1000" i="2"/>
  <c r="D1000" i="1"/>
  <c r="AO1000" i="2"/>
  <c r="AN1000" i="2"/>
  <c r="AM1000" i="2"/>
  <c r="AJ1000" i="2"/>
  <c r="AI1000" i="2"/>
  <c r="BM999" i="2"/>
  <c r="AA999" i="1"/>
  <c r="BL999" i="2"/>
  <c r="BK999" i="2"/>
  <c r="BJ999" i="2"/>
  <c r="X999" i="1"/>
  <c r="BI999" i="2"/>
  <c r="BH999" i="2"/>
  <c r="BG999" i="2"/>
  <c r="U999" i="1"/>
  <c r="BF999" i="2"/>
  <c r="BE999" i="2"/>
  <c r="S999" i="1"/>
  <c r="BD999" i="2"/>
  <c r="BC999" i="2"/>
  <c r="BB999" i="2"/>
  <c r="BA999" i="2"/>
  <c r="AZ999" i="2"/>
  <c r="AY999" i="2"/>
  <c r="AX999" i="2"/>
  <c r="AW999" i="2"/>
  <c r="AV999" i="2"/>
  <c r="AU999" i="2"/>
  <c r="AT999" i="2"/>
  <c r="H999" i="1"/>
  <c r="AS999" i="2"/>
  <c r="G999" i="1"/>
  <c r="AR999" i="2"/>
  <c r="AQ999" i="2"/>
  <c r="AP999" i="2"/>
  <c r="D999" i="1"/>
  <c r="AO999" i="2"/>
  <c r="AN999" i="2"/>
  <c r="AM999" i="2"/>
  <c r="AJ999" i="2"/>
  <c r="AI999" i="2"/>
  <c r="BM998" i="2"/>
  <c r="AA998" i="1"/>
  <c r="BL998" i="2"/>
  <c r="BK998" i="2"/>
  <c r="BJ998" i="2"/>
  <c r="X998" i="1"/>
  <c r="BI998" i="2"/>
  <c r="BH998" i="2"/>
  <c r="BG998" i="2"/>
  <c r="U998" i="1"/>
  <c r="BF998" i="2"/>
  <c r="BE998" i="2"/>
  <c r="S998" i="1"/>
  <c r="BD998" i="2"/>
  <c r="BC998" i="2"/>
  <c r="BB998" i="2"/>
  <c r="BA998" i="2"/>
  <c r="AZ998" i="2"/>
  <c r="AY998" i="2"/>
  <c r="AX998" i="2"/>
  <c r="AW998" i="2"/>
  <c r="AV998" i="2"/>
  <c r="AU998" i="2"/>
  <c r="AT998" i="2"/>
  <c r="H998" i="1"/>
  <c r="AS998" i="2"/>
  <c r="G998" i="1"/>
  <c r="AR998" i="2"/>
  <c r="AQ998" i="2"/>
  <c r="AP998" i="2"/>
  <c r="D998" i="1"/>
  <c r="AO998" i="2"/>
  <c r="AN998" i="2"/>
  <c r="AM998" i="2"/>
  <c r="AJ998" i="2"/>
  <c r="AI998" i="2"/>
  <c r="BM997" i="2"/>
  <c r="AA997" i="1"/>
  <c r="BL997" i="2"/>
  <c r="BK997" i="2"/>
  <c r="BJ997" i="2"/>
  <c r="X997" i="1"/>
  <c r="BI997" i="2"/>
  <c r="BH997" i="2"/>
  <c r="BG997" i="2"/>
  <c r="U997" i="1"/>
  <c r="BF997" i="2"/>
  <c r="BE997" i="2"/>
  <c r="S997" i="1"/>
  <c r="BD997" i="2"/>
  <c r="BC997" i="2"/>
  <c r="BB997" i="2"/>
  <c r="BA997" i="2"/>
  <c r="AZ997" i="2"/>
  <c r="AY997" i="2"/>
  <c r="AX997" i="2"/>
  <c r="AW997" i="2"/>
  <c r="AV997" i="2"/>
  <c r="AU997" i="2"/>
  <c r="AT997" i="2"/>
  <c r="H997" i="1"/>
  <c r="AS997" i="2"/>
  <c r="G997" i="1"/>
  <c r="AR997" i="2"/>
  <c r="AQ997" i="2"/>
  <c r="AP997" i="2"/>
  <c r="D997" i="1"/>
  <c r="AO997" i="2"/>
  <c r="AN997" i="2"/>
  <c r="AM997" i="2"/>
  <c r="AJ997" i="2"/>
  <c r="AI997" i="2"/>
  <c r="BM996" i="2"/>
  <c r="AA996" i="1"/>
  <c r="BL996" i="2"/>
  <c r="BK996" i="2"/>
  <c r="BJ996" i="2"/>
  <c r="X996" i="1"/>
  <c r="BI996" i="2"/>
  <c r="BH996" i="2"/>
  <c r="BG996" i="2"/>
  <c r="U996" i="1"/>
  <c r="BF996" i="2"/>
  <c r="BE996" i="2"/>
  <c r="S996" i="1"/>
  <c r="BD996" i="2"/>
  <c r="BC996" i="2"/>
  <c r="BB996" i="2"/>
  <c r="BA996" i="2"/>
  <c r="AZ996" i="2"/>
  <c r="AY996" i="2"/>
  <c r="AX996" i="2"/>
  <c r="AW996" i="2"/>
  <c r="AV996" i="2"/>
  <c r="AU996" i="2"/>
  <c r="AT996" i="2"/>
  <c r="H996" i="1"/>
  <c r="AS996" i="2"/>
  <c r="G996" i="1"/>
  <c r="AR996" i="2"/>
  <c r="AQ996" i="2"/>
  <c r="AP996" i="2"/>
  <c r="D996" i="1"/>
  <c r="AO996" i="2"/>
  <c r="AN996" i="2"/>
  <c r="AM996" i="2"/>
  <c r="AJ996" i="2"/>
  <c r="AI996" i="2"/>
  <c r="BM995" i="2"/>
  <c r="AA995" i="1"/>
  <c r="BL995" i="2"/>
  <c r="BK995" i="2"/>
  <c r="BJ995" i="2"/>
  <c r="X995" i="1"/>
  <c r="BI995" i="2"/>
  <c r="BH995" i="2"/>
  <c r="BG995" i="2"/>
  <c r="U995" i="1"/>
  <c r="BF995" i="2"/>
  <c r="BE995" i="2"/>
  <c r="S995" i="1"/>
  <c r="BD995" i="2"/>
  <c r="BC995" i="2"/>
  <c r="BB995" i="2"/>
  <c r="BA995" i="2"/>
  <c r="AZ995" i="2"/>
  <c r="AY995" i="2"/>
  <c r="AX995" i="2"/>
  <c r="AW995" i="2"/>
  <c r="AV995" i="2"/>
  <c r="AU995" i="2"/>
  <c r="AT995" i="2"/>
  <c r="H995" i="1"/>
  <c r="AS995" i="2"/>
  <c r="G995" i="1"/>
  <c r="AR995" i="2"/>
  <c r="AQ995" i="2"/>
  <c r="AP995" i="2"/>
  <c r="D995" i="1"/>
  <c r="AO995" i="2"/>
  <c r="AN995" i="2"/>
  <c r="AM995" i="2"/>
  <c r="AJ995" i="2"/>
  <c r="AI995" i="2"/>
  <c r="BM994" i="2"/>
  <c r="AA994" i="1"/>
  <c r="BL994" i="2"/>
  <c r="BK994" i="2"/>
  <c r="BJ994" i="2"/>
  <c r="X994" i="1"/>
  <c r="BI994" i="2"/>
  <c r="BH994" i="2"/>
  <c r="BG994" i="2"/>
  <c r="U994" i="1"/>
  <c r="BF994" i="2"/>
  <c r="BE994" i="2"/>
  <c r="S994" i="1"/>
  <c r="BD994" i="2"/>
  <c r="BC994" i="2"/>
  <c r="BB994" i="2"/>
  <c r="BA994" i="2"/>
  <c r="AZ994" i="2"/>
  <c r="AY994" i="2"/>
  <c r="AX994" i="2"/>
  <c r="AW994" i="2"/>
  <c r="AV994" i="2"/>
  <c r="AU994" i="2"/>
  <c r="AT994" i="2"/>
  <c r="H994" i="1"/>
  <c r="AS994" i="2"/>
  <c r="G994" i="1"/>
  <c r="AR994" i="2"/>
  <c r="AQ994" i="2"/>
  <c r="AP994" i="2"/>
  <c r="D994" i="1"/>
  <c r="AO994" i="2"/>
  <c r="AN994" i="2"/>
  <c r="AM994" i="2"/>
  <c r="AJ994" i="2"/>
  <c r="AI994" i="2"/>
  <c r="BM993" i="2"/>
  <c r="AA993" i="1"/>
  <c r="BL993" i="2"/>
  <c r="BK993" i="2"/>
  <c r="BJ993" i="2"/>
  <c r="X993" i="1"/>
  <c r="BI993" i="2"/>
  <c r="BH993" i="2"/>
  <c r="BG993" i="2"/>
  <c r="U993" i="1"/>
  <c r="BF993" i="2"/>
  <c r="BE993" i="2"/>
  <c r="S993" i="1"/>
  <c r="BD993" i="2"/>
  <c r="BC993" i="2"/>
  <c r="BB993" i="2"/>
  <c r="BA993" i="2"/>
  <c r="AZ993" i="2"/>
  <c r="AY993" i="2"/>
  <c r="AX993" i="2"/>
  <c r="AW993" i="2"/>
  <c r="AV993" i="2"/>
  <c r="AU993" i="2"/>
  <c r="AT993" i="2"/>
  <c r="H993" i="1"/>
  <c r="AS993" i="2"/>
  <c r="G993" i="1"/>
  <c r="AR993" i="2"/>
  <c r="AQ993" i="2"/>
  <c r="AP993" i="2"/>
  <c r="D993" i="1"/>
  <c r="AO993" i="2"/>
  <c r="AN993" i="2"/>
  <c r="AM993" i="2"/>
  <c r="AJ993" i="2"/>
  <c r="AI993" i="2"/>
  <c r="BM992" i="2"/>
  <c r="AA992" i="1"/>
  <c r="BL992" i="2"/>
  <c r="BK992" i="2"/>
  <c r="BJ992" i="2"/>
  <c r="X992" i="1"/>
  <c r="BI992" i="2"/>
  <c r="BH992" i="2"/>
  <c r="BG992" i="2"/>
  <c r="U992" i="1"/>
  <c r="BF992" i="2"/>
  <c r="BE992" i="2"/>
  <c r="S992" i="1"/>
  <c r="BD992" i="2"/>
  <c r="BC992" i="2"/>
  <c r="BB992" i="2"/>
  <c r="BA992" i="2"/>
  <c r="AZ992" i="2"/>
  <c r="AY992" i="2"/>
  <c r="AX992" i="2"/>
  <c r="AW992" i="2"/>
  <c r="AV992" i="2"/>
  <c r="AU992" i="2"/>
  <c r="AT992" i="2"/>
  <c r="H992" i="1"/>
  <c r="AS992" i="2"/>
  <c r="G992" i="1"/>
  <c r="AR992" i="2"/>
  <c r="AQ992" i="2"/>
  <c r="AP992" i="2"/>
  <c r="D992" i="1"/>
  <c r="AO992" i="2"/>
  <c r="AN992" i="2"/>
  <c r="AM992" i="2"/>
  <c r="AJ992" i="2"/>
  <c r="AI992" i="2"/>
  <c r="BM991" i="2"/>
  <c r="AA991" i="1"/>
  <c r="BL991" i="2"/>
  <c r="BK991" i="2"/>
  <c r="BJ991" i="2"/>
  <c r="X991" i="1"/>
  <c r="BI991" i="2"/>
  <c r="BH991" i="2"/>
  <c r="BG991" i="2"/>
  <c r="U991" i="1"/>
  <c r="BF991" i="2"/>
  <c r="BE991" i="2"/>
  <c r="S991" i="1"/>
  <c r="BD991" i="2"/>
  <c r="BC991" i="2"/>
  <c r="BB991" i="2"/>
  <c r="BA991" i="2"/>
  <c r="AZ991" i="2"/>
  <c r="AY991" i="2"/>
  <c r="AX991" i="2"/>
  <c r="AW991" i="2"/>
  <c r="AV991" i="2"/>
  <c r="AU991" i="2"/>
  <c r="AT991" i="2"/>
  <c r="H991" i="1"/>
  <c r="AS991" i="2"/>
  <c r="G991" i="1"/>
  <c r="AR991" i="2"/>
  <c r="AQ991" i="2"/>
  <c r="AP991" i="2"/>
  <c r="D991" i="1"/>
  <c r="AO991" i="2"/>
  <c r="AN991" i="2"/>
  <c r="AM991" i="2"/>
  <c r="AJ991" i="2"/>
  <c r="AI991" i="2"/>
  <c r="BM990" i="2"/>
  <c r="AA990" i="1"/>
  <c r="BL990" i="2"/>
  <c r="BK990" i="2"/>
  <c r="BJ990" i="2"/>
  <c r="X990" i="1"/>
  <c r="BI990" i="2"/>
  <c r="BH990" i="2"/>
  <c r="BG990" i="2"/>
  <c r="U990" i="1"/>
  <c r="BF990" i="2"/>
  <c r="BE990" i="2"/>
  <c r="S990" i="1"/>
  <c r="BD990" i="2"/>
  <c r="BC990" i="2"/>
  <c r="BB990" i="2"/>
  <c r="BA990" i="2"/>
  <c r="AZ990" i="2"/>
  <c r="AY990" i="2"/>
  <c r="AX990" i="2"/>
  <c r="AW990" i="2"/>
  <c r="AV990" i="2"/>
  <c r="AU990" i="2"/>
  <c r="AT990" i="2"/>
  <c r="H990" i="1"/>
  <c r="AS990" i="2"/>
  <c r="G990" i="1"/>
  <c r="AR990" i="2"/>
  <c r="AQ990" i="2"/>
  <c r="AP990" i="2"/>
  <c r="D990" i="1"/>
  <c r="AO990" i="2"/>
  <c r="AN990" i="2"/>
  <c r="AM990" i="2"/>
  <c r="AJ990" i="2"/>
  <c r="AI990" i="2"/>
  <c r="BM989" i="2"/>
  <c r="AA989" i="1"/>
  <c r="BL989" i="2"/>
  <c r="BK989" i="2"/>
  <c r="BJ989" i="2"/>
  <c r="X989" i="1"/>
  <c r="BI989" i="2"/>
  <c r="BH989" i="2"/>
  <c r="BG989" i="2"/>
  <c r="U989" i="1"/>
  <c r="BF989" i="2"/>
  <c r="BE989" i="2"/>
  <c r="S989" i="1"/>
  <c r="BD989" i="2"/>
  <c r="BC989" i="2"/>
  <c r="BB989" i="2"/>
  <c r="BA989" i="2"/>
  <c r="AZ989" i="2"/>
  <c r="AY989" i="2"/>
  <c r="AX989" i="2"/>
  <c r="AW989" i="2"/>
  <c r="AV989" i="2"/>
  <c r="AU989" i="2"/>
  <c r="AT989" i="2"/>
  <c r="H989" i="1"/>
  <c r="AS989" i="2"/>
  <c r="G989" i="1"/>
  <c r="AR989" i="2"/>
  <c r="AQ989" i="2"/>
  <c r="AP989" i="2"/>
  <c r="D989" i="1"/>
  <c r="AO989" i="2"/>
  <c r="AN989" i="2"/>
  <c r="AM989" i="2"/>
  <c r="AJ989" i="2"/>
  <c r="AI989" i="2"/>
  <c r="BM988" i="2"/>
  <c r="AA988" i="1"/>
  <c r="BL988" i="2"/>
  <c r="BK988" i="2"/>
  <c r="BJ988" i="2"/>
  <c r="X988" i="1"/>
  <c r="BI988" i="2"/>
  <c r="BH988" i="2"/>
  <c r="BG988" i="2"/>
  <c r="U988" i="1"/>
  <c r="BF988" i="2"/>
  <c r="BE988" i="2"/>
  <c r="S988" i="1"/>
  <c r="BD988" i="2"/>
  <c r="BC988" i="2"/>
  <c r="BB988" i="2"/>
  <c r="BA988" i="2"/>
  <c r="AZ988" i="2"/>
  <c r="AY988" i="2"/>
  <c r="AX988" i="2"/>
  <c r="AW988" i="2"/>
  <c r="AV988" i="2"/>
  <c r="AU988" i="2"/>
  <c r="AT988" i="2"/>
  <c r="H988" i="1"/>
  <c r="AS988" i="2"/>
  <c r="G988" i="1"/>
  <c r="AR988" i="2"/>
  <c r="AQ988" i="2"/>
  <c r="AP988" i="2"/>
  <c r="D988" i="1"/>
  <c r="AO988" i="2"/>
  <c r="AN988" i="2"/>
  <c r="AM988" i="2"/>
  <c r="AJ988" i="2"/>
  <c r="AI988" i="2"/>
  <c r="BM987" i="2"/>
  <c r="AA987" i="1"/>
  <c r="BL987" i="2"/>
  <c r="BK987" i="2"/>
  <c r="BJ987" i="2"/>
  <c r="X987" i="1"/>
  <c r="BI987" i="2"/>
  <c r="BH987" i="2"/>
  <c r="BG987" i="2"/>
  <c r="U987" i="1"/>
  <c r="BF987" i="2"/>
  <c r="BE987" i="2"/>
  <c r="S987" i="1"/>
  <c r="BD987" i="2"/>
  <c r="BC987" i="2"/>
  <c r="BB987" i="2"/>
  <c r="BA987" i="2"/>
  <c r="AZ987" i="2"/>
  <c r="AY987" i="2"/>
  <c r="AX987" i="2"/>
  <c r="AW987" i="2"/>
  <c r="AV987" i="2"/>
  <c r="AU987" i="2"/>
  <c r="AT987" i="2"/>
  <c r="H987" i="1"/>
  <c r="AS987" i="2"/>
  <c r="G987" i="1"/>
  <c r="AR987" i="2"/>
  <c r="AQ987" i="2"/>
  <c r="AP987" i="2"/>
  <c r="D987" i="1"/>
  <c r="AO987" i="2"/>
  <c r="AN987" i="2"/>
  <c r="AM987" i="2"/>
  <c r="AJ987" i="2"/>
  <c r="AI987" i="2"/>
  <c r="BM986" i="2"/>
  <c r="AA986" i="1"/>
  <c r="BL986" i="2"/>
  <c r="BK986" i="2"/>
  <c r="BJ986" i="2"/>
  <c r="X986" i="1"/>
  <c r="BI986" i="2"/>
  <c r="BH986" i="2"/>
  <c r="BG986" i="2"/>
  <c r="U986" i="1"/>
  <c r="BF986" i="2"/>
  <c r="BE986" i="2"/>
  <c r="S986" i="1"/>
  <c r="BD986" i="2"/>
  <c r="BC986" i="2"/>
  <c r="BB986" i="2"/>
  <c r="BA986" i="2"/>
  <c r="AZ986" i="2"/>
  <c r="AY986" i="2"/>
  <c r="AX986" i="2"/>
  <c r="AW986" i="2"/>
  <c r="AV986" i="2"/>
  <c r="AU986" i="2"/>
  <c r="AT986" i="2"/>
  <c r="H986" i="1"/>
  <c r="AS986" i="2"/>
  <c r="G986" i="1"/>
  <c r="AR986" i="2"/>
  <c r="AQ986" i="2"/>
  <c r="AP986" i="2"/>
  <c r="D986" i="1"/>
  <c r="AO986" i="2"/>
  <c r="AN986" i="2"/>
  <c r="AM986" i="2"/>
  <c r="AJ986" i="2"/>
  <c r="AI986" i="2"/>
  <c r="BM985" i="2"/>
  <c r="AA985" i="1"/>
  <c r="BL985" i="2"/>
  <c r="BK985" i="2"/>
  <c r="BJ985" i="2"/>
  <c r="X985" i="1"/>
  <c r="BI985" i="2"/>
  <c r="BH985" i="2"/>
  <c r="BG985" i="2"/>
  <c r="U985" i="1"/>
  <c r="BF985" i="2"/>
  <c r="BE985" i="2"/>
  <c r="S985" i="1"/>
  <c r="BD985" i="2"/>
  <c r="BC985" i="2"/>
  <c r="BB985" i="2"/>
  <c r="BA985" i="2"/>
  <c r="AZ985" i="2"/>
  <c r="AY985" i="2"/>
  <c r="AX985" i="2"/>
  <c r="AW985" i="2"/>
  <c r="AV985" i="2"/>
  <c r="AU985" i="2"/>
  <c r="AT985" i="2"/>
  <c r="H985" i="1"/>
  <c r="AS985" i="2"/>
  <c r="G985" i="1"/>
  <c r="AR985" i="2"/>
  <c r="AQ985" i="2"/>
  <c r="AP985" i="2"/>
  <c r="D985" i="1"/>
  <c r="AO985" i="2"/>
  <c r="AN985" i="2"/>
  <c r="AM985" i="2"/>
  <c r="AJ985" i="2"/>
  <c r="AI985" i="2"/>
  <c r="BM984" i="2"/>
  <c r="AA984" i="1"/>
  <c r="BL984" i="2"/>
  <c r="BK984" i="2"/>
  <c r="BJ984" i="2"/>
  <c r="X984" i="1"/>
  <c r="BI984" i="2"/>
  <c r="BH984" i="2"/>
  <c r="BG984" i="2"/>
  <c r="U984" i="1"/>
  <c r="BF984" i="2"/>
  <c r="BE984" i="2"/>
  <c r="S984" i="1"/>
  <c r="BD984" i="2"/>
  <c r="BC984" i="2"/>
  <c r="BB984" i="2"/>
  <c r="BA984" i="2"/>
  <c r="AZ984" i="2"/>
  <c r="AY984" i="2"/>
  <c r="AX984" i="2"/>
  <c r="AW984" i="2"/>
  <c r="AV984" i="2"/>
  <c r="AU984" i="2"/>
  <c r="AT984" i="2"/>
  <c r="H984" i="1"/>
  <c r="AS984" i="2"/>
  <c r="G984" i="1"/>
  <c r="AR984" i="2"/>
  <c r="AQ984" i="2"/>
  <c r="AP984" i="2"/>
  <c r="D984" i="1"/>
  <c r="AO984" i="2"/>
  <c r="AN984" i="2"/>
  <c r="AM984" i="2"/>
  <c r="AJ984" i="2"/>
  <c r="AI984" i="2"/>
  <c r="BM983" i="2"/>
  <c r="AA983" i="1"/>
  <c r="BL983" i="2"/>
  <c r="BK983" i="2"/>
  <c r="BJ983" i="2"/>
  <c r="X983" i="1"/>
  <c r="BI983" i="2"/>
  <c r="BH983" i="2"/>
  <c r="BG983" i="2"/>
  <c r="U983" i="1"/>
  <c r="BF983" i="2"/>
  <c r="BE983" i="2"/>
  <c r="S983" i="1"/>
  <c r="BD983" i="2"/>
  <c r="BC983" i="2"/>
  <c r="BB983" i="2"/>
  <c r="BA983" i="2"/>
  <c r="AZ983" i="2"/>
  <c r="AY983" i="2"/>
  <c r="AX983" i="2"/>
  <c r="AW983" i="2"/>
  <c r="AV983" i="2"/>
  <c r="AU983" i="2"/>
  <c r="AT983" i="2"/>
  <c r="H983" i="1"/>
  <c r="AS983" i="2"/>
  <c r="G983" i="1"/>
  <c r="AR983" i="2"/>
  <c r="AQ983" i="2"/>
  <c r="AP983" i="2"/>
  <c r="D983" i="1"/>
  <c r="AO983" i="2"/>
  <c r="AN983" i="2"/>
  <c r="AM983" i="2"/>
  <c r="AJ983" i="2"/>
  <c r="AI983" i="2"/>
  <c r="BM982" i="2"/>
  <c r="AA982" i="1"/>
  <c r="BL982" i="2"/>
  <c r="BK982" i="2"/>
  <c r="BJ982" i="2"/>
  <c r="X982" i="1"/>
  <c r="BI982" i="2"/>
  <c r="BH982" i="2"/>
  <c r="BG982" i="2"/>
  <c r="U982" i="1"/>
  <c r="BF982" i="2"/>
  <c r="BE982" i="2"/>
  <c r="S982" i="1"/>
  <c r="BD982" i="2"/>
  <c r="BC982" i="2"/>
  <c r="BB982" i="2"/>
  <c r="BA982" i="2"/>
  <c r="AZ982" i="2"/>
  <c r="AY982" i="2"/>
  <c r="AX982" i="2"/>
  <c r="AW982" i="2"/>
  <c r="AV982" i="2"/>
  <c r="AU982" i="2"/>
  <c r="AT982" i="2"/>
  <c r="H982" i="1"/>
  <c r="AS982" i="2"/>
  <c r="G982" i="1"/>
  <c r="AR982" i="2"/>
  <c r="AQ982" i="2"/>
  <c r="AP982" i="2"/>
  <c r="D982" i="1"/>
  <c r="AO982" i="2"/>
  <c r="AN982" i="2"/>
  <c r="AM982" i="2"/>
  <c r="AJ982" i="2"/>
  <c r="AI982" i="2"/>
  <c r="BM981" i="2"/>
  <c r="AA981" i="1"/>
  <c r="BL981" i="2"/>
  <c r="BK981" i="2"/>
  <c r="BJ981" i="2"/>
  <c r="X981" i="1"/>
  <c r="BI981" i="2"/>
  <c r="BH981" i="2"/>
  <c r="BG981" i="2"/>
  <c r="U981" i="1"/>
  <c r="BF981" i="2"/>
  <c r="BE981" i="2"/>
  <c r="S981" i="1"/>
  <c r="BD981" i="2"/>
  <c r="BC981" i="2"/>
  <c r="BB981" i="2"/>
  <c r="BA981" i="2"/>
  <c r="AZ981" i="2"/>
  <c r="AY981" i="2"/>
  <c r="AX981" i="2"/>
  <c r="AW981" i="2"/>
  <c r="AV981" i="2"/>
  <c r="AU981" i="2"/>
  <c r="AT981" i="2"/>
  <c r="H981" i="1"/>
  <c r="AS981" i="2"/>
  <c r="G981" i="1"/>
  <c r="AR981" i="2"/>
  <c r="AQ981" i="2"/>
  <c r="AP981" i="2"/>
  <c r="D981" i="1"/>
  <c r="AO981" i="2"/>
  <c r="AN981" i="2"/>
  <c r="AM981" i="2"/>
  <c r="AJ981" i="2"/>
  <c r="AI981" i="2"/>
  <c r="BM980" i="2"/>
  <c r="AA980" i="1"/>
  <c r="BL980" i="2"/>
  <c r="BK980" i="2"/>
  <c r="BJ980" i="2"/>
  <c r="X980" i="1"/>
  <c r="BI980" i="2"/>
  <c r="BH980" i="2"/>
  <c r="BG980" i="2"/>
  <c r="U980" i="1"/>
  <c r="BF980" i="2"/>
  <c r="BE980" i="2"/>
  <c r="S980" i="1"/>
  <c r="BD980" i="2"/>
  <c r="BC980" i="2"/>
  <c r="BB980" i="2"/>
  <c r="BA980" i="2"/>
  <c r="AZ980" i="2"/>
  <c r="AY980" i="2"/>
  <c r="AX980" i="2"/>
  <c r="AW980" i="2"/>
  <c r="AV980" i="2"/>
  <c r="AU980" i="2"/>
  <c r="AT980" i="2"/>
  <c r="H980" i="1"/>
  <c r="AS980" i="2"/>
  <c r="G980" i="1"/>
  <c r="AR980" i="2"/>
  <c r="AQ980" i="2"/>
  <c r="AP980" i="2"/>
  <c r="D980" i="1"/>
  <c r="AO980" i="2"/>
  <c r="AN980" i="2"/>
  <c r="AM980" i="2"/>
  <c r="AJ980" i="2"/>
  <c r="AI980" i="2"/>
  <c r="BM979" i="2"/>
  <c r="AA979" i="1"/>
  <c r="BL979" i="2"/>
  <c r="BK979" i="2"/>
  <c r="BJ979" i="2"/>
  <c r="X979" i="1"/>
  <c r="BI979" i="2"/>
  <c r="BH979" i="2"/>
  <c r="BG979" i="2"/>
  <c r="U979" i="1"/>
  <c r="BF979" i="2"/>
  <c r="BE979" i="2"/>
  <c r="S979" i="1"/>
  <c r="BD979" i="2"/>
  <c r="BC979" i="2"/>
  <c r="BB979" i="2"/>
  <c r="BA979" i="2"/>
  <c r="AZ979" i="2"/>
  <c r="AY979" i="2"/>
  <c r="AX979" i="2"/>
  <c r="AW979" i="2"/>
  <c r="AV979" i="2"/>
  <c r="AU979" i="2"/>
  <c r="AT979" i="2"/>
  <c r="H979" i="1"/>
  <c r="AS979" i="2"/>
  <c r="G979" i="1"/>
  <c r="AR979" i="2"/>
  <c r="AQ979" i="2"/>
  <c r="AP979" i="2"/>
  <c r="D979" i="1"/>
  <c r="AO979" i="2"/>
  <c r="AN979" i="2"/>
  <c r="AM979" i="2"/>
  <c r="AJ979" i="2"/>
  <c r="AI979" i="2"/>
  <c r="BM978" i="2"/>
  <c r="AA978" i="1"/>
  <c r="BL978" i="2"/>
  <c r="BK978" i="2"/>
  <c r="BJ978" i="2"/>
  <c r="X978" i="1"/>
  <c r="BI978" i="2"/>
  <c r="BH978" i="2"/>
  <c r="BG978" i="2"/>
  <c r="U978" i="1"/>
  <c r="BF978" i="2"/>
  <c r="BE978" i="2"/>
  <c r="S978" i="1"/>
  <c r="BD978" i="2"/>
  <c r="BC978" i="2"/>
  <c r="BB978" i="2"/>
  <c r="BA978" i="2"/>
  <c r="AZ978" i="2"/>
  <c r="AY978" i="2"/>
  <c r="AX978" i="2"/>
  <c r="AW978" i="2"/>
  <c r="AV978" i="2"/>
  <c r="AU978" i="2"/>
  <c r="AT978" i="2"/>
  <c r="H978" i="1"/>
  <c r="AS978" i="2"/>
  <c r="G978" i="1"/>
  <c r="AR978" i="2"/>
  <c r="AQ978" i="2"/>
  <c r="AP978" i="2"/>
  <c r="D978" i="1"/>
  <c r="AO978" i="2"/>
  <c r="AN978" i="2"/>
  <c r="AM978" i="2"/>
  <c r="AJ978" i="2"/>
  <c r="AI978" i="2"/>
  <c r="BM977" i="2"/>
  <c r="AA977" i="1"/>
  <c r="BL977" i="2"/>
  <c r="BK977" i="2"/>
  <c r="BJ977" i="2"/>
  <c r="X977" i="1"/>
  <c r="BI977" i="2"/>
  <c r="BH977" i="2"/>
  <c r="BG977" i="2"/>
  <c r="U977" i="1"/>
  <c r="BF977" i="2"/>
  <c r="BE977" i="2"/>
  <c r="S977" i="1"/>
  <c r="BD977" i="2"/>
  <c r="BC977" i="2"/>
  <c r="BB977" i="2"/>
  <c r="BA977" i="2"/>
  <c r="AZ977" i="2"/>
  <c r="AY977" i="2"/>
  <c r="AX977" i="2"/>
  <c r="AW977" i="2"/>
  <c r="AV977" i="2"/>
  <c r="AU977" i="2"/>
  <c r="AT977" i="2"/>
  <c r="H977" i="1"/>
  <c r="AS977" i="2"/>
  <c r="G977" i="1"/>
  <c r="AR977" i="2"/>
  <c r="AQ977" i="2"/>
  <c r="AP977" i="2"/>
  <c r="D977" i="1"/>
  <c r="AO977" i="2"/>
  <c r="AN977" i="2"/>
  <c r="AM977" i="2"/>
  <c r="AJ977" i="2"/>
  <c r="AI977" i="2"/>
  <c r="BM976" i="2"/>
  <c r="AA976" i="1"/>
  <c r="BL976" i="2"/>
  <c r="BK976" i="2"/>
  <c r="BJ976" i="2"/>
  <c r="X976" i="1"/>
  <c r="BI976" i="2"/>
  <c r="BH976" i="2"/>
  <c r="BG976" i="2"/>
  <c r="U976" i="1"/>
  <c r="BF976" i="2"/>
  <c r="BE976" i="2"/>
  <c r="S976" i="1"/>
  <c r="BD976" i="2"/>
  <c r="BC976" i="2"/>
  <c r="BB976" i="2"/>
  <c r="BA976" i="2"/>
  <c r="AZ976" i="2"/>
  <c r="AY976" i="2"/>
  <c r="AX976" i="2"/>
  <c r="AW976" i="2"/>
  <c r="AV976" i="2"/>
  <c r="AU976" i="2"/>
  <c r="AT976" i="2"/>
  <c r="H976" i="1"/>
  <c r="AS976" i="2"/>
  <c r="G976" i="1"/>
  <c r="AR976" i="2"/>
  <c r="AQ976" i="2"/>
  <c r="AP976" i="2"/>
  <c r="D976" i="1"/>
  <c r="AO976" i="2"/>
  <c r="AN976" i="2"/>
  <c r="AM976" i="2"/>
  <c r="AJ976" i="2"/>
  <c r="AI976" i="2"/>
  <c r="BM975" i="2"/>
  <c r="AA975" i="1"/>
  <c r="BL975" i="2"/>
  <c r="BK975" i="2"/>
  <c r="BJ975" i="2"/>
  <c r="X975" i="1"/>
  <c r="BI975" i="2"/>
  <c r="BH975" i="2"/>
  <c r="BG975" i="2"/>
  <c r="U975" i="1"/>
  <c r="BF975" i="2"/>
  <c r="BE975" i="2"/>
  <c r="S975" i="1"/>
  <c r="BD975" i="2"/>
  <c r="BC975" i="2"/>
  <c r="BB975" i="2"/>
  <c r="BA975" i="2"/>
  <c r="AZ975" i="2"/>
  <c r="AY975" i="2"/>
  <c r="AX975" i="2"/>
  <c r="AW975" i="2"/>
  <c r="AV975" i="2"/>
  <c r="AU975" i="2"/>
  <c r="AT975" i="2"/>
  <c r="H975" i="1"/>
  <c r="AS975" i="2"/>
  <c r="G975" i="1"/>
  <c r="AR975" i="2"/>
  <c r="AQ975" i="2"/>
  <c r="AP975" i="2"/>
  <c r="D975" i="1"/>
  <c r="AO975" i="2"/>
  <c r="AN975" i="2"/>
  <c r="AM975" i="2"/>
  <c r="AJ975" i="2"/>
  <c r="AI975" i="2"/>
  <c r="BM974" i="2"/>
  <c r="AA974" i="1"/>
  <c r="BL974" i="2"/>
  <c r="BK974" i="2"/>
  <c r="BJ974" i="2"/>
  <c r="X974" i="1"/>
  <c r="BI974" i="2"/>
  <c r="BH974" i="2"/>
  <c r="BG974" i="2"/>
  <c r="U974" i="1"/>
  <c r="BF974" i="2"/>
  <c r="BE974" i="2"/>
  <c r="S974" i="1"/>
  <c r="BD974" i="2"/>
  <c r="BC974" i="2"/>
  <c r="BB974" i="2"/>
  <c r="BA974" i="2"/>
  <c r="AZ974" i="2"/>
  <c r="AY974" i="2"/>
  <c r="AX974" i="2"/>
  <c r="AW974" i="2"/>
  <c r="AV974" i="2"/>
  <c r="AU974" i="2"/>
  <c r="AT974" i="2"/>
  <c r="H974" i="1"/>
  <c r="AS974" i="2"/>
  <c r="G974" i="1"/>
  <c r="AR974" i="2"/>
  <c r="AQ974" i="2"/>
  <c r="AP974" i="2"/>
  <c r="D974" i="1"/>
  <c r="AO974" i="2"/>
  <c r="AN974" i="2"/>
  <c r="AM974" i="2"/>
  <c r="AJ974" i="2"/>
  <c r="AI974" i="2"/>
  <c r="BM973" i="2"/>
  <c r="AA973" i="1"/>
  <c r="BL973" i="2"/>
  <c r="BK973" i="2"/>
  <c r="BJ973" i="2"/>
  <c r="X973" i="1"/>
  <c r="BI973" i="2"/>
  <c r="BH973" i="2"/>
  <c r="BG973" i="2"/>
  <c r="U973" i="1"/>
  <c r="BF973" i="2"/>
  <c r="BE973" i="2"/>
  <c r="S973" i="1"/>
  <c r="BD973" i="2"/>
  <c r="BC973" i="2"/>
  <c r="BB973" i="2"/>
  <c r="BA973" i="2"/>
  <c r="AZ973" i="2"/>
  <c r="AY973" i="2"/>
  <c r="AX973" i="2"/>
  <c r="AW973" i="2"/>
  <c r="AV973" i="2"/>
  <c r="AU973" i="2"/>
  <c r="AT973" i="2"/>
  <c r="H973" i="1"/>
  <c r="AS973" i="2"/>
  <c r="G973" i="1"/>
  <c r="AR973" i="2"/>
  <c r="AQ973" i="2"/>
  <c r="AP973" i="2"/>
  <c r="D973" i="1"/>
  <c r="AO973" i="2"/>
  <c r="AN973" i="2"/>
  <c r="AM973" i="2"/>
  <c r="AJ973" i="2"/>
  <c r="AI973" i="2"/>
  <c r="BM972" i="2"/>
  <c r="AA972" i="1"/>
  <c r="BL972" i="2"/>
  <c r="BK972" i="2"/>
  <c r="BJ972" i="2"/>
  <c r="X972" i="1"/>
  <c r="BI972" i="2"/>
  <c r="BH972" i="2"/>
  <c r="BG972" i="2"/>
  <c r="U972" i="1"/>
  <c r="BF972" i="2"/>
  <c r="BE972" i="2"/>
  <c r="S972" i="1"/>
  <c r="BD972" i="2"/>
  <c r="BC972" i="2"/>
  <c r="BB972" i="2"/>
  <c r="BA972" i="2"/>
  <c r="AZ972" i="2"/>
  <c r="AY972" i="2"/>
  <c r="AX972" i="2"/>
  <c r="AW972" i="2"/>
  <c r="AV972" i="2"/>
  <c r="AU972" i="2"/>
  <c r="AT972" i="2"/>
  <c r="H972" i="1"/>
  <c r="AS972" i="2"/>
  <c r="G972" i="1"/>
  <c r="AR972" i="2"/>
  <c r="AQ972" i="2"/>
  <c r="AP972" i="2"/>
  <c r="D972" i="1"/>
  <c r="AO972" i="2"/>
  <c r="AN972" i="2"/>
  <c r="AM972" i="2"/>
  <c r="AJ972" i="2"/>
  <c r="AI972" i="2"/>
  <c r="BM971" i="2"/>
  <c r="AA971" i="1"/>
  <c r="BL971" i="2"/>
  <c r="BK971" i="2"/>
  <c r="BJ971" i="2"/>
  <c r="X971" i="1"/>
  <c r="BI971" i="2"/>
  <c r="BH971" i="2"/>
  <c r="BG971" i="2"/>
  <c r="U971" i="1"/>
  <c r="BF971" i="2"/>
  <c r="BE971" i="2"/>
  <c r="S971" i="1"/>
  <c r="BD971" i="2"/>
  <c r="BC971" i="2"/>
  <c r="BB971" i="2"/>
  <c r="BA971" i="2"/>
  <c r="AZ971" i="2"/>
  <c r="AY971" i="2"/>
  <c r="AX971" i="2"/>
  <c r="AW971" i="2"/>
  <c r="AV971" i="2"/>
  <c r="AU971" i="2"/>
  <c r="AT971" i="2"/>
  <c r="H971" i="1"/>
  <c r="AS971" i="2"/>
  <c r="G971" i="1"/>
  <c r="AR971" i="2"/>
  <c r="AQ971" i="2"/>
  <c r="AP971" i="2"/>
  <c r="D971" i="1"/>
  <c r="AO971" i="2"/>
  <c r="AN971" i="2"/>
  <c r="AM971" i="2"/>
  <c r="AJ971" i="2"/>
  <c r="AI971" i="2"/>
  <c r="BM970" i="2"/>
  <c r="AA970" i="1"/>
  <c r="BL970" i="2"/>
  <c r="BK970" i="2"/>
  <c r="BJ970" i="2"/>
  <c r="X970" i="1"/>
  <c r="BI970" i="2"/>
  <c r="BH970" i="2"/>
  <c r="BG970" i="2"/>
  <c r="U970" i="1"/>
  <c r="BF970" i="2"/>
  <c r="BE970" i="2"/>
  <c r="S970" i="1"/>
  <c r="BD970" i="2"/>
  <c r="BC970" i="2"/>
  <c r="BB970" i="2"/>
  <c r="BA970" i="2"/>
  <c r="AZ970" i="2"/>
  <c r="AY970" i="2"/>
  <c r="AX970" i="2"/>
  <c r="AW970" i="2"/>
  <c r="AV970" i="2"/>
  <c r="AU970" i="2"/>
  <c r="AT970" i="2"/>
  <c r="H970" i="1"/>
  <c r="AS970" i="2"/>
  <c r="G970" i="1"/>
  <c r="AR970" i="2"/>
  <c r="AQ970" i="2"/>
  <c r="AP970" i="2"/>
  <c r="D970" i="1"/>
  <c r="AO970" i="2"/>
  <c r="AN970" i="2"/>
  <c r="AM970" i="2"/>
  <c r="AJ970" i="2"/>
  <c r="AI970" i="2"/>
  <c r="BM969" i="2"/>
  <c r="AA969" i="1"/>
  <c r="BL969" i="2"/>
  <c r="BK969" i="2"/>
  <c r="BJ969" i="2"/>
  <c r="X969" i="1"/>
  <c r="BI969" i="2"/>
  <c r="BH969" i="2"/>
  <c r="BG969" i="2"/>
  <c r="U969" i="1"/>
  <c r="BF969" i="2"/>
  <c r="BE969" i="2"/>
  <c r="S969" i="1"/>
  <c r="BD969" i="2"/>
  <c r="BC969" i="2"/>
  <c r="BB969" i="2"/>
  <c r="BA969" i="2"/>
  <c r="AZ969" i="2"/>
  <c r="AY969" i="2"/>
  <c r="AX969" i="2"/>
  <c r="AW969" i="2"/>
  <c r="AV969" i="2"/>
  <c r="AU969" i="2"/>
  <c r="AT969" i="2"/>
  <c r="H969" i="1"/>
  <c r="AS969" i="2"/>
  <c r="G969" i="1"/>
  <c r="AR969" i="2"/>
  <c r="AQ969" i="2"/>
  <c r="AP969" i="2"/>
  <c r="D969" i="1"/>
  <c r="AO969" i="2"/>
  <c r="AN969" i="2"/>
  <c r="AM969" i="2"/>
  <c r="AJ969" i="2"/>
  <c r="AI969" i="2"/>
  <c r="BM968" i="2"/>
  <c r="AA968" i="1"/>
  <c r="BL968" i="2"/>
  <c r="BK968" i="2"/>
  <c r="BJ968" i="2"/>
  <c r="X968" i="1"/>
  <c r="BI968" i="2"/>
  <c r="BH968" i="2"/>
  <c r="BG968" i="2"/>
  <c r="U968" i="1"/>
  <c r="BF968" i="2"/>
  <c r="BE968" i="2"/>
  <c r="S968" i="1"/>
  <c r="BD968" i="2"/>
  <c r="BC968" i="2"/>
  <c r="BB968" i="2"/>
  <c r="BA968" i="2"/>
  <c r="AZ968" i="2"/>
  <c r="AY968" i="2"/>
  <c r="AX968" i="2"/>
  <c r="AW968" i="2"/>
  <c r="AV968" i="2"/>
  <c r="AU968" i="2"/>
  <c r="AT968" i="2"/>
  <c r="H968" i="1"/>
  <c r="AS968" i="2"/>
  <c r="G968" i="1"/>
  <c r="AR968" i="2"/>
  <c r="AQ968" i="2"/>
  <c r="AP968" i="2"/>
  <c r="D968" i="1"/>
  <c r="AO968" i="2"/>
  <c r="AN968" i="2"/>
  <c r="AM968" i="2"/>
  <c r="AJ968" i="2"/>
  <c r="AI968" i="2"/>
  <c r="BM967" i="2"/>
  <c r="AA967" i="1"/>
  <c r="BL967" i="2"/>
  <c r="BK967" i="2"/>
  <c r="BJ967" i="2"/>
  <c r="X967" i="1"/>
  <c r="BI967" i="2"/>
  <c r="BH967" i="2"/>
  <c r="BG967" i="2"/>
  <c r="U967" i="1"/>
  <c r="BF967" i="2"/>
  <c r="BE967" i="2"/>
  <c r="S967" i="1"/>
  <c r="BD967" i="2"/>
  <c r="BC967" i="2"/>
  <c r="BB967" i="2"/>
  <c r="BA967" i="2"/>
  <c r="AZ967" i="2"/>
  <c r="AY967" i="2"/>
  <c r="AX967" i="2"/>
  <c r="AW967" i="2"/>
  <c r="AV967" i="2"/>
  <c r="AU967" i="2"/>
  <c r="AT967" i="2"/>
  <c r="H967" i="1"/>
  <c r="AS967" i="2"/>
  <c r="G967" i="1"/>
  <c r="AR967" i="2"/>
  <c r="AQ967" i="2"/>
  <c r="AP967" i="2"/>
  <c r="D967" i="1"/>
  <c r="AO967" i="2"/>
  <c r="AN967" i="2"/>
  <c r="AM967" i="2"/>
  <c r="AJ967" i="2"/>
  <c r="AI967" i="2"/>
  <c r="BM966" i="2"/>
  <c r="AA966" i="1"/>
  <c r="BL966" i="2"/>
  <c r="BK966" i="2"/>
  <c r="BJ966" i="2"/>
  <c r="X966" i="1"/>
  <c r="BI966" i="2"/>
  <c r="BH966" i="2"/>
  <c r="BG966" i="2"/>
  <c r="U966" i="1"/>
  <c r="BF966" i="2"/>
  <c r="BE966" i="2"/>
  <c r="S966" i="1"/>
  <c r="BD966" i="2"/>
  <c r="BC966" i="2"/>
  <c r="BB966" i="2"/>
  <c r="BA966" i="2"/>
  <c r="AZ966" i="2"/>
  <c r="AY966" i="2"/>
  <c r="AX966" i="2"/>
  <c r="AW966" i="2"/>
  <c r="AV966" i="2"/>
  <c r="AU966" i="2"/>
  <c r="AT966" i="2"/>
  <c r="H966" i="1"/>
  <c r="AS966" i="2"/>
  <c r="G966" i="1"/>
  <c r="AR966" i="2"/>
  <c r="AQ966" i="2"/>
  <c r="AP966" i="2"/>
  <c r="D966" i="1"/>
  <c r="AO966" i="2"/>
  <c r="AN966" i="2"/>
  <c r="AM966" i="2"/>
  <c r="AJ966" i="2"/>
  <c r="AI966" i="2"/>
  <c r="BM965" i="2"/>
  <c r="AA965" i="1"/>
  <c r="BL965" i="2"/>
  <c r="BK965" i="2"/>
  <c r="BJ965" i="2"/>
  <c r="X965" i="1"/>
  <c r="BI965" i="2"/>
  <c r="BH965" i="2"/>
  <c r="BG965" i="2"/>
  <c r="U965" i="1"/>
  <c r="BF965" i="2"/>
  <c r="BE965" i="2"/>
  <c r="S965" i="1"/>
  <c r="BD965" i="2"/>
  <c r="BC965" i="2"/>
  <c r="BB965" i="2"/>
  <c r="BA965" i="2"/>
  <c r="AZ965" i="2"/>
  <c r="AY965" i="2"/>
  <c r="AX965" i="2"/>
  <c r="AW965" i="2"/>
  <c r="AV965" i="2"/>
  <c r="AU965" i="2"/>
  <c r="AT965" i="2"/>
  <c r="H965" i="1"/>
  <c r="AS965" i="2"/>
  <c r="G965" i="1"/>
  <c r="AR965" i="2"/>
  <c r="AQ965" i="2"/>
  <c r="AP965" i="2"/>
  <c r="D965" i="1"/>
  <c r="AO965" i="2"/>
  <c r="AN965" i="2"/>
  <c r="AM965" i="2"/>
  <c r="AJ965" i="2"/>
  <c r="AI965" i="2"/>
  <c r="BM964" i="2"/>
  <c r="AA964" i="1"/>
  <c r="BL964" i="2"/>
  <c r="BK964" i="2"/>
  <c r="BJ964" i="2"/>
  <c r="X964" i="1"/>
  <c r="BI964" i="2"/>
  <c r="BH964" i="2"/>
  <c r="BG964" i="2"/>
  <c r="U964" i="1"/>
  <c r="BF964" i="2"/>
  <c r="BE964" i="2"/>
  <c r="S964" i="1"/>
  <c r="BD964" i="2"/>
  <c r="BC964" i="2"/>
  <c r="BB964" i="2"/>
  <c r="BA964" i="2"/>
  <c r="AZ964" i="2"/>
  <c r="AY964" i="2"/>
  <c r="AX964" i="2"/>
  <c r="AW964" i="2"/>
  <c r="AV964" i="2"/>
  <c r="AU964" i="2"/>
  <c r="AT964" i="2"/>
  <c r="H964" i="1"/>
  <c r="AS964" i="2"/>
  <c r="G964" i="1"/>
  <c r="AR964" i="2"/>
  <c r="AQ964" i="2"/>
  <c r="AP964" i="2"/>
  <c r="D964" i="1"/>
  <c r="AO964" i="2"/>
  <c r="AN964" i="2"/>
  <c r="AM964" i="2"/>
  <c r="AJ964" i="2"/>
  <c r="AI964" i="2"/>
  <c r="BM963" i="2"/>
  <c r="AA963" i="1"/>
  <c r="BL963" i="2"/>
  <c r="BK963" i="2"/>
  <c r="BJ963" i="2"/>
  <c r="X963" i="1"/>
  <c r="BI963" i="2"/>
  <c r="BH963" i="2"/>
  <c r="BG963" i="2"/>
  <c r="U963" i="1"/>
  <c r="BF963" i="2"/>
  <c r="BE963" i="2"/>
  <c r="S963" i="1"/>
  <c r="BD963" i="2"/>
  <c r="BC963" i="2"/>
  <c r="BB963" i="2"/>
  <c r="BA963" i="2"/>
  <c r="AZ963" i="2"/>
  <c r="AY963" i="2"/>
  <c r="AX963" i="2"/>
  <c r="AW963" i="2"/>
  <c r="AV963" i="2"/>
  <c r="AU963" i="2"/>
  <c r="AT963" i="2"/>
  <c r="H963" i="1"/>
  <c r="AS963" i="2"/>
  <c r="G963" i="1"/>
  <c r="AR963" i="2"/>
  <c r="AQ963" i="2"/>
  <c r="AP963" i="2"/>
  <c r="D963" i="1"/>
  <c r="AO963" i="2"/>
  <c r="AN963" i="2"/>
  <c r="AM963" i="2"/>
  <c r="AJ963" i="2"/>
  <c r="AI963" i="2"/>
  <c r="BM962" i="2"/>
  <c r="AA962" i="1"/>
  <c r="BL962" i="2"/>
  <c r="BK962" i="2"/>
  <c r="BJ962" i="2"/>
  <c r="X962" i="1"/>
  <c r="BI962" i="2"/>
  <c r="BH962" i="2"/>
  <c r="BG962" i="2"/>
  <c r="U962" i="1"/>
  <c r="BF962" i="2"/>
  <c r="BE962" i="2"/>
  <c r="S962" i="1"/>
  <c r="BD962" i="2"/>
  <c r="BC962" i="2"/>
  <c r="BB962" i="2"/>
  <c r="BA962" i="2"/>
  <c r="AZ962" i="2"/>
  <c r="AY962" i="2"/>
  <c r="AX962" i="2"/>
  <c r="AW962" i="2"/>
  <c r="AV962" i="2"/>
  <c r="AU962" i="2"/>
  <c r="AT962" i="2"/>
  <c r="H962" i="1"/>
  <c r="AS962" i="2"/>
  <c r="G962" i="1"/>
  <c r="AR962" i="2"/>
  <c r="AQ962" i="2"/>
  <c r="AP962" i="2"/>
  <c r="D962" i="1"/>
  <c r="AO962" i="2"/>
  <c r="AN962" i="2"/>
  <c r="AM962" i="2"/>
  <c r="AJ962" i="2"/>
  <c r="AI962" i="2"/>
  <c r="BM961" i="2"/>
  <c r="AA961" i="1"/>
  <c r="BL961" i="2"/>
  <c r="BK961" i="2"/>
  <c r="BJ961" i="2"/>
  <c r="X961" i="1"/>
  <c r="BI961" i="2"/>
  <c r="BH961" i="2"/>
  <c r="BG961" i="2"/>
  <c r="U961" i="1"/>
  <c r="BF961" i="2"/>
  <c r="BE961" i="2"/>
  <c r="S961" i="1"/>
  <c r="BD961" i="2"/>
  <c r="BC961" i="2"/>
  <c r="BB961" i="2"/>
  <c r="BA961" i="2"/>
  <c r="AZ961" i="2"/>
  <c r="AY961" i="2"/>
  <c r="AX961" i="2"/>
  <c r="AW961" i="2"/>
  <c r="AV961" i="2"/>
  <c r="AU961" i="2"/>
  <c r="AT961" i="2"/>
  <c r="H961" i="1"/>
  <c r="AS961" i="2"/>
  <c r="G961" i="1"/>
  <c r="AR961" i="2"/>
  <c r="AQ961" i="2"/>
  <c r="AP961" i="2"/>
  <c r="D961" i="1"/>
  <c r="AO961" i="2"/>
  <c r="AN961" i="2"/>
  <c r="AM961" i="2"/>
  <c r="AJ961" i="2"/>
  <c r="AI961" i="2"/>
  <c r="BM960" i="2"/>
  <c r="AA960" i="1"/>
  <c r="BL960" i="2"/>
  <c r="BK960" i="2"/>
  <c r="BJ960" i="2"/>
  <c r="X960" i="1"/>
  <c r="BI960" i="2"/>
  <c r="BH960" i="2"/>
  <c r="BG960" i="2"/>
  <c r="U960" i="1"/>
  <c r="BF960" i="2"/>
  <c r="BE960" i="2"/>
  <c r="S960" i="1"/>
  <c r="BD960" i="2"/>
  <c r="BC960" i="2"/>
  <c r="BB960" i="2"/>
  <c r="BA960" i="2"/>
  <c r="AZ960" i="2"/>
  <c r="AY960" i="2"/>
  <c r="AX960" i="2"/>
  <c r="AW960" i="2"/>
  <c r="AV960" i="2"/>
  <c r="AU960" i="2"/>
  <c r="AT960" i="2"/>
  <c r="H960" i="1"/>
  <c r="AS960" i="2"/>
  <c r="G960" i="1"/>
  <c r="AR960" i="2"/>
  <c r="AQ960" i="2"/>
  <c r="AP960" i="2"/>
  <c r="D960" i="1"/>
  <c r="AO960" i="2"/>
  <c r="AN960" i="2"/>
  <c r="AM960" i="2"/>
  <c r="AJ960" i="2"/>
  <c r="AI960" i="2"/>
  <c r="BM959" i="2"/>
  <c r="AA959" i="1"/>
  <c r="BL959" i="2"/>
  <c r="BK959" i="2"/>
  <c r="BJ959" i="2"/>
  <c r="X959" i="1"/>
  <c r="BI959" i="2"/>
  <c r="BH959" i="2"/>
  <c r="BG959" i="2"/>
  <c r="U959" i="1"/>
  <c r="BF959" i="2"/>
  <c r="BE959" i="2"/>
  <c r="S959" i="1"/>
  <c r="BD959" i="2"/>
  <c r="BC959" i="2"/>
  <c r="BB959" i="2"/>
  <c r="BA959" i="2"/>
  <c r="AZ959" i="2"/>
  <c r="AY959" i="2"/>
  <c r="AX959" i="2"/>
  <c r="AW959" i="2"/>
  <c r="AV959" i="2"/>
  <c r="AU959" i="2"/>
  <c r="AT959" i="2"/>
  <c r="H959" i="1"/>
  <c r="AS959" i="2"/>
  <c r="G959" i="1"/>
  <c r="AR959" i="2"/>
  <c r="AQ959" i="2"/>
  <c r="AP959" i="2"/>
  <c r="D959" i="1"/>
  <c r="AO959" i="2"/>
  <c r="AN959" i="2"/>
  <c r="AM959" i="2"/>
  <c r="AJ959" i="2"/>
  <c r="AI959" i="2"/>
  <c r="BM958" i="2"/>
  <c r="AA958" i="1"/>
  <c r="BL958" i="2"/>
  <c r="BK958" i="2"/>
  <c r="BJ958" i="2"/>
  <c r="X958" i="1"/>
  <c r="BI958" i="2"/>
  <c r="BH958" i="2"/>
  <c r="BG958" i="2"/>
  <c r="U958" i="1"/>
  <c r="BF958" i="2"/>
  <c r="BE958" i="2"/>
  <c r="S958" i="1"/>
  <c r="BD958" i="2"/>
  <c r="BC958" i="2"/>
  <c r="BB958" i="2"/>
  <c r="BA958" i="2"/>
  <c r="AZ958" i="2"/>
  <c r="AY958" i="2"/>
  <c r="AX958" i="2"/>
  <c r="AW958" i="2"/>
  <c r="AV958" i="2"/>
  <c r="AU958" i="2"/>
  <c r="AT958" i="2"/>
  <c r="H958" i="1"/>
  <c r="AS958" i="2"/>
  <c r="G958" i="1"/>
  <c r="AR958" i="2"/>
  <c r="AQ958" i="2"/>
  <c r="AP958" i="2"/>
  <c r="D958" i="1"/>
  <c r="AO958" i="2"/>
  <c r="AN958" i="2"/>
  <c r="AM958" i="2"/>
  <c r="AJ958" i="2"/>
  <c r="AI958" i="2"/>
  <c r="BM957" i="2"/>
  <c r="AA957" i="1"/>
  <c r="BL957" i="2"/>
  <c r="BK957" i="2"/>
  <c r="BJ957" i="2"/>
  <c r="X957" i="1"/>
  <c r="BI957" i="2"/>
  <c r="BH957" i="2"/>
  <c r="BG957" i="2"/>
  <c r="U957" i="1"/>
  <c r="BF957" i="2"/>
  <c r="BE957" i="2"/>
  <c r="S957" i="1"/>
  <c r="BD957" i="2"/>
  <c r="BC957" i="2"/>
  <c r="BB957" i="2"/>
  <c r="BA957" i="2"/>
  <c r="AZ957" i="2"/>
  <c r="AY957" i="2"/>
  <c r="AX957" i="2"/>
  <c r="AW957" i="2"/>
  <c r="AV957" i="2"/>
  <c r="AU957" i="2"/>
  <c r="AT957" i="2"/>
  <c r="H957" i="1"/>
  <c r="AS957" i="2"/>
  <c r="G957" i="1"/>
  <c r="AR957" i="2"/>
  <c r="AQ957" i="2"/>
  <c r="AP957" i="2"/>
  <c r="D957" i="1"/>
  <c r="AO957" i="2"/>
  <c r="AN957" i="2"/>
  <c r="AM957" i="2"/>
  <c r="AJ957" i="2"/>
  <c r="AI957" i="2"/>
  <c r="BM956" i="2"/>
  <c r="AA956" i="1"/>
  <c r="BL956" i="2"/>
  <c r="BK956" i="2"/>
  <c r="BJ956" i="2"/>
  <c r="X956" i="1"/>
  <c r="BI956" i="2"/>
  <c r="BH956" i="2"/>
  <c r="BG956" i="2"/>
  <c r="U956" i="1"/>
  <c r="BF956" i="2"/>
  <c r="BE956" i="2"/>
  <c r="S956" i="1"/>
  <c r="BD956" i="2"/>
  <c r="BC956" i="2"/>
  <c r="BB956" i="2"/>
  <c r="BA956" i="2"/>
  <c r="AZ956" i="2"/>
  <c r="AY956" i="2"/>
  <c r="AX956" i="2"/>
  <c r="AW956" i="2"/>
  <c r="AV956" i="2"/>
  <c r="AU956" i="2"/>
  <c r="AT956" i="2"/>
  <c r="H956" i="1"/>
  <c r="AS956" i="2"/>
  <c r="G956" i="1"/>
  <c r="AR956" i="2"/>
  <c r="AQ956" i="2"/>
  <c r="AP956" i="2"/>
  <c r="D956" i="1"/>
  <c r="AO956" i="2"/>
  <c r="AN956" i="2"/>
  <c r="AM956" i="2"/>
  <c r="AJ956" i="2"/>
  <c r="AI956" i="2"/>
  <c r="BM955" i="2"/>
  <c r="AA955" i="1"/>
  <c r="BL955" i="2"/>
  <c r="BK955" i="2"/>
  <c r="BJ955" i="2"/>
  <c r="X955" i="1"/>
  <c r="BI955" i="2"/>
  <c r="BH955" i="2"/>
  <c r="BG955" i="2"/>
  <c r="U955" i="1"/>
  <c r="BF955" i="2"/>
  <c r="BE955" i="2"/>
  <c r="S955" i="1"/>
  <c r="BD955" i="2"/>
  <c r="BC955" i="2"/>
  <c r="BB955" i="2"/>
  <c r="BA955" i="2"/>
  <c r="AZ955" i="2"/>
  <c r="AY955" i="2"/>
  <c r="AX955" i="2"/>
  <c r="AW955" i="2"/>
  <c r="AV955" i="2"/>
  <c r="AU955" i="2"/>
  <c r="AT955" i="2"/>
  <c r="H955" i="1"/>
  <c r="AS955" i="2"/>
  <c r="G955" i="1"/>
  <c r="AR955" i="2"/>
  <c r="AQ955" i="2"/>
  <c r="AP955" i="2"/>
  <c r="D955" i="1"/>
  <c r="AO955" i="2"/>
  <c r="AN955" i="2"/>
  <c r="AM955" i="2"/>
  <c r="AJ955" i="2"/>
  <c r="AI955" i="2"/>
  <c r="BM954" i="2"/>
  <c r="AA954" i="1"/>
  <c r="BL954" i="2"/>
  <c r="BK954" i="2"/>
  <c r="BJ954" i="2"/>
  <c r="X954" i="1"/>
  <c r="BI954" i="2"/>
  <c r="BH954" i="2"/>
  <c r="BG954" i="2"/>
  <c r="U954" i="1"/>
  <c r="BF954" i="2"/>
  <c r="BE954" i="2"/>
  <c r="S954" i="1"/>
  <c r="BD954" i="2"/>
  <c r="BC954" i="2"/>
  <c r="BB954" i="2"/>
  <c r="BA954" i="2"/>
  <c r="AZ954" i="2"/>
  <c r="AY954" i="2"/>
  <c r="AX954" i="2"/>
  <c r="AW954" i="2"/>
  <c r="AV954" i="2"/>
  <c r="AU954" i="2"/>
  <c r="AT954" i="2"/>
  <c r="H954" i="1"/>
  <c r="AS954" i="2"/>
  <c r="G954" i="1"/>
  <c r="AR954" i="2"/>
  <c r="AQ954" i="2"/>
  <c r="AP954" i="2"/>
  <c r="D954" i="1"/>
  <c r="AO954" i="2"/>
  <c r="AN954" i="2"/>
  <c r="AM954" i="2"/>
  <c r="AJ954" i="2"/>
  <c r="AI954" i="2"/>
  <c r="BM953" i="2"/>
  <c r="AA953" i="1"/>
  <c r="BL953" i="2"/>
  <c r="BK953" i="2"/>
  <c r="BJ953" i="2"/>
  <c r="X953" i="1"/>
  <c r="BI953" i="2"/>
  <c r="BH953" i="2"/>
  <c r="BG953" i="2"/>
  <c r="U953" i="1"/>
  <c r="BF953" i="2"/>
  <c r="BE953" i="2"/>
  <c r="S953" i="1"/>
  <c r="BD953" i="2"/>
  <c r="BC953" i="2"/>
  <c r="BB953" i="2"/>
  <c r="BA953" i="2"/>
  <c r="AZ953" i="2"/>
  <c r="AY953" i="2"/>
  <c r="AX953" i="2"/>
  <c r="AW953" i="2"/>
  <c r="AV953" i="2"/>
  <c r="AU953" i="2"/>
  <c r="AT953" i="2"/>
  <c r="H953" i="1"/>
  <c r="AS953" i="2"/>
  <c r="G953" i="1"/>
  <c r="AR953" i="2"/>
  <c r="AQ953" i="2"/>
  <c r="AP953" i="2"/>
  <c r="D953" i="1"/>
  <c r="AO953" i="2"/>
  <c r="AN953" i="2"/>
  <c r="AM953" i="2"/>
  <c r="AJ953" i="2"/>
  <c r="AI953" i="2"/>
  <c r="BM952" i="2"/>
  <c r="AA952" i="1"/>
  <c r="BL952" i="2"/>
  <c r="BK952" i="2"/>
  <c r="BJ952" i="2"/>
  <c r="X952" i="1"/>
  <c r="BI952" i="2"/>
  <c r="BH952" i="2"/>
  <c r="BG952" i="2"/>
  <c r="U952" i="1"/>
  <c r="BF952" i="2"/>
  <c r="BE952" i="2"/>
  <c r="S952" i="1"/>
  <c r="BD952" i="2"/>
  <c r="BC952" i="2"/>
  <c r="BB952" i="2"/>
  <c r="BA952" i="2"/>
  <c r="AZ952" i="2"/>
  <c r="AY952" i="2"/>
  <c r="AX952" i="2"/>
  <c r="AW952" i="2"/>
  <c r="AV952" i="2"/>
  <c r="AU952" i="2"/>
  <c r="AT952" i="2"/>
  <c r="H952" i="1"/>
  <c r="AS952" i="2"/>
  <c r="G952" i="1"/>
  <c r="AR952" i="2"/>
  <c r="AQ952" i="2"/>
  <c r="AP952" i="2"/>
  <c r="D952" i="1"/>
  <c r="AO952" i="2"/>
  <c r="AN952" i="2"/>
  <c r="AM952" i="2"/>
  <c r="AJ952" i="2"/>
  <c r="AI952" i="2"/>
  <c r="BM951" i="2"/>
  <c r="AA951" i="1"/>
  <c r="BL951" i="2"/>
  <c r="BK951" i="2"/>
  <c r="BJ951" i="2"/>
  <c r="X951" i="1"/>
  <c r="BI951" i="2"/>
  <c r="BH951" i="2"/>
  <c r="BG951" i="2"/>
  <c r="U951" i="1"/>
  <c r="BF951" i="2"/>
  <c r="BE951" i="2"/>
  <c r="S951" i="1"/>
  <c r="BD951" i="2"/>
  <c r="BC951" i="2"/>
  <c r="BB951" i="2"/>
  <c r="BA951" i="2"/>
  <c r="AZ951" i="2"/>
  <c r="AY951" i="2"/>
  <c r="AX951" i="2"/>
  <c r="AW951" i="2"/>
  <c r="AV951" i="2"/>
  <c r="AU951" i="2"/>
  <c r="AT951" i="2"/>
  <c r="H951" i="1"/>
  <c r="AS951" i="2"/>
  <c r="G951" i="1"/>
  <c r="AR951" i="2"/>
  <c r="AQ951" i="2"/>
  <c r="AP951" i="2"/>
  <c r="D951" i="1"/>
  <c r="AO951" i="2"/>
  <c r="AN951" i="2"/>
  <c r="AM951" i="2"/>
  <c r="AJ951" i="2"/>
  <c r="AI951" i="2"/>
  <c r="BM950" i="2"/>
  <c r="AA950" i="1"/>
  <c r="BL950" i="2"/>
  <c r="BK950" i="2"/>
  <c r="BJ950" i="2"/>
  <c r="X950" i="1"/>
  <c r="BI950" i="2"/>
  <c r="BH950" i="2"/>
  <c r="BG950" i="2"/>
  <c r="U950" i="1"/>
  <c r="BF950" i="2"/>
  <c r="BE950" i="2"/>
  <c r="S950" i="1"/>
  <c r="BD950" i="2"/>
  <c r="BC950" i="2"/>
  <c r="BB950" i="2"/>
  <c r="BA950" i="2"/>
  <c r="AZ950" i="2"/>
  <c r="AY950" i="2"/>
  <c r="AX950" i="2"/>
  <c r="AW950" i="2"/>
  <c r="AV950" i="2"/>
  <c r="AU950" i="2"/>
  <c r="AT950" i="2"/>
  <c r="H950" i="1"/>
  <c r="AS950" i="2"/>
  <c r="G950" i="1"/>
  <c r="AR950" i="2"/>
  <c r="AQ950" i="2"/>
  <c r="AP950" i="2"/>
  <c r="D950" i="1"/>
  <c r="AO950" i="2"/>
  <c r="AN950" i="2"/>
  <c r="AM950" i="2"/>
  <c r="AJ950" i="2"/>
  <c r="AI950" i="2"/>
  <c r="BM949" i="2"/>
  <c r="AA949" i="1"/>
  <c r="BL949" i="2"/>
  <c r="BK949" i="2"/>
  <c r="BJ949" i="2"/>
  <c r="X949" i="1"/>
  <c r="BI949" i="2"/>
  <c r="BH949" i="2"/>
  <c r="BG949" i="2"/>
  <c r="U949" i="1"/>
  <c r="BF949" i="2"/>
  <c r="BE949" i="2"/>
  <c r="S949" i="1"/>
  <c r="BD949" i="2"/>
  <c r="BC949" i="2"/>
  <c r="BB949" i="2"/>
  <c r="BA949" i="2"/>
  <c r="AZ949" i="2"/>
  <c r="AY949" i="2"/>
  <c r="AX949" i="2"/>
  <c r="AW949" i="2"/>
  <c r="AV949" i="2"/>
  <c r="AU949" i="2"/>
  <c r="AT949" i="2"/>
  <c r="H949" i="1"/>
  <c r="AS949" i="2"/>
  <c r="G949" i="1"/>
  <c r="AR949" i="2"/>
  <c r="AQ949" i="2"/>
  <c r="AP949" i="2"/>
  <c r="D949" i="1"/>
  <c r="AO949" i="2"/>
  <c r="AN949" i="2"/>
  <c r="AM949" i="2"/>
  <c r="AJ949" i="2"/>
  <c r="AI949" i="2"/>
  <c r="BM948" i="2"/>
  <c r="AA948" i="1"/>
  <c r="BL948" i="2"/>
  <c r="BK948" i="2"/>
  <c r="BJ948" i="2"/>
  <c r="X948" i="1"/>
  <c r="BI948" i="2"/>
  <c r="BH948" i="2"/>
  <c r="BG948" i="2"/>
  <c r="U948" i="1"/>
  <c r="BF948" i="2"/>
  <c r="BE948" i="2"/>
  <c r="S948" i="1"/>
  <c r="BD948" i="2"/>
  <c r="BC948" i="2"/>
  <c r="BB948" i="2"/>
  <c r="BA948" i="2"/>
  <c r="AZ948" i="2"/>
  <c r="AY948" i="2"/>
  <c r="AX948" i="2"/>
  <c r="AW948" i="2"/>
  <c r="AV948" i="2"/>
  <c r="AU948" i="2"/>
  <c r="AT948" i="2"/>
  <c r="H948" i="1"/>
  <c r="AS948" i="2"/>
  <c r="G948" i="1"/>
  <c r="AR948" i="2"/>
  <c r="AQ948" i="2"/>
  <c r="AP948" i="2"/>
  <c r="D948" i="1"/>
  <c r="AO948" i="2"/>
  <c r="AN948" i="2"/>
  <c r="AM948" i="2"/>
  <c r="AJ948" i="2"/>
  <c r="AI948" i="2"/>
  <c r="BM947" i="2"/>
  <c r="AA947" i="1"/>
  <c r="BL947" i="2"/>
  <c r="BK947" i="2"/>
  <c r="BJ947" i="2"/>
  <c r="X947" i="1"/>
  <c r="BI947" i="2"/>
  <c r="BH947" i="2"/>
  <c r="BG947" i="2"/>
  <c r="U947" i="1"/>
  <c r="BF947" i="2"/>
  <c r="BE947" i="2"/>
  <c r="S947" i="1"/>
  <c r="BD947" i="2"/>
  <c r="BC947" i="2"/>
  <c r="BB947" i="2"/>
  <c r="BA947" i="2"/>
  <c r="AZ947" i="2"/>
  <c r="AY947" i="2"/>
  <c r="AX947" i="2"/>
  <c r="AW947" i="2"/>
  <c r="AV947" i="2"/>
  <c r="AU947" i="2"/>
  <c r="AT947" i="2"/>
  <c r="H947" i="1"/>
  <c r="AS947" i="2"/>
  <c r="G947" i="1"/>
  <c r="AR947" i="2"/>
  <c r="AQ947" i="2"/>
  <c r="AP947" i="2"/>
  <c r="D947" i="1"/>
  <c r="AO947" i="2"/>
  <c r="AN947" i="2"/>
  <c r="AM947" i="2"/>
  <c r="AJ947" i="2"/>
  <c r="AI947" i="2"/>
  <c r="BM946" i="2"/>
  <c r="AA946" i="1"/>
  <c r="BL946" i="2"/>
  <c r="BK946" i="2"/>
  <c r="BJ946" i="2"/>
  <c r="X946" i="1"/>
  <c r="BI946" i="2"/>
  <c r="BH946" i="2"/>
  <c r="BG946" i="2"/>
  <c r="U946" i="1"/>
  <c r="BF946" i="2"/>
  <c r="BE946" i="2"/>
  <c r="S946" i="1"/>
  <c r="BD946" i="2"/>
  <c r="BC946" i="2"/>
  <c r="BB946" i="2"/>
  <c r="BA946" i="2"/>
  <c r="AZ946" i="2"/>
  <c r="AY946" i="2"/>
  <c r="AX946" i="2"/>
  <c r="AW946" i="2"/>
  <c r="AV946" i="2"/>
  <c r="AU946" i="2"/>
  <c r="AT946" i="2"/>
  <c r="H946" i="1"/>
  <c r="AS946" i="2"/>
  <c r="G946" i="1"/>
  <c r="AR946" i="2"/>
  <c r="AQ946" i="2"/>
  <c r="AP946" i="2"/>
  <c r="D946" i="1"/>
  <c r="AO946" i="2"/>
  <c r="AN946" i="2"/>
  <c r="AM946" i="2"/>
  <c r="AJ946" i="2"/>
  <c r="AI946" i="2"/>
  <c r="BM945" i="2"/>
  <c r="AA945" i="1"/>
  <c r="BL945" i="2"/>
  <c r="BK945" i="2"/>
  <c r="BJ945" i="2"/>
  <c r="X945" i="1"/>
  <c r="BI945" i="2"/>
  <c r="BH945" i="2"/>
  <c r="BG945" i="2"/>
  <c r="U945" i="1"/>
  <c r="BF945" i="2"/>
  <c r="BE945" i="2"/>
  <c r="S945" i="1"/>
  <c r="BD945" i="2"/>
  <c r="BC945" i="2"/>
  <c r="BB945" i="2"/>
  <c r="BA945" i="2"/>
  <c r="AZ945" i="2"/>
  <c r="AY945" i="2"/>
  <c r="AX945" i="2"/>
  <c r="AW945" i="2"/>
  <c r="AV945" i="2"/>
  <c r="AU945" i="2"/>
  <c r="AT945" i="2"/>
  <c r="H945" i="1"/>
  <c r="AS945" i="2"/>
  <c r="G945" i="1"/>
  <c r="AR945" i="2"/>
  <c r="AQ945" i="2"/>
  <c r="AP945" i="2"/>
  <c r="D945" i="1"/>
  <c r="AO945" i="2"/>
  <c r="AN945" i="2"/>
  <c r="AM945" i="2"/>
  <c r="AJ945" i="2"/>
  <c r="AI945" i="2"/>
  <c r="BM944" i="2"/>
  <c r="AA944" i="1"/>
  <c r="BL944" i="2"/>
  <c r="BK944" i="2"/>
  <c r="BJ944" i="2"/>
  <c r="X944" i="1"/>
  <c r="BI944" i="2"/>
  <c r="BH944" i="2"/>
  <c r="BG944" i="2"/>
  <c r="U944" i="1"/>
  <c r="BF944" i="2"/>
  <c r="BE944" i="2"/>
  <c r="S944" i="1"/>
  <c r="BD944" i="2"/>
  <c r="BC944" i="2"/>
  <c r="BB944" i="2"/>
  <c r="BA944" i="2"/>
  <c r="AZ944" i="2"/>
  <c r="AY944" i="2"/>
  <c r="AX944" i="2"/>
  <c r="AW944" i="2"/>
  <c r="AV944" i="2"/>
  <c r="AU944" i="2"/>
  <c r="AT944" i="2"/>
  <c r="H944" i="1"/>
  <c r="AS944" i="2"/>
  <c r="G944" i="1"/>
  <c r="AR944" i="2"/>
  <c r="AQ944" i="2"/>
  <c r="AP944" i="2"/>
  <c r="D944" i="1"/>
  <c r="AO944" i="2"/>
  <c r="AN944" i="2"/>
  <c r="AM944" i="2"/>
  <c r="AJ944" i="2"/>
  <c r="AI944" i="2"/>
  <c r="BM943" i="2"/>
  <c r="AA943" i="1"/>
  <c r="BL943" i="2"/>
  <c r="BK943" i="2"/>
  <c r="BJ943" i="2"/>
  <c r="X943" i="1"/>
  <c r="BI943" i="2"/>
  <c r="BH943" i="2"/>
  <c r="BG943" i="2"/>
  <c r="U943" i="1"/>
  <c r="BF943" i="2"/>
  <c r="BE943" i="2"/>
  <c r="S943" i="1"/>
  <c r="BD943" i="2"/>
  <c r="BC943" i="2"/>
  <c r="BB943" i="2"/>
  <c r="BA943" i="2"/>
  <c r="AZ943" i="2"/>
  <c r="AY943" i="2"/>
  <c r="AX943" i="2"/>
  <c r="AW943" i="2"/>
  <c r="AV943" i="2"/>
  <c r="AU943" i="2"/>
  <c r="AT943" i="2"/>
  <c r="H943" i="1"/>
  <c r="AS943" i="2"/>
  <c r="G943" i="1"/>
  <c r="AR943" i="2"/>
  <c r="AQ943" i="2"/>
  <c r="AP943" i="2"/>
  <c r="D943" i="1"/>
  <c r="AO943" i="2"/>
  <c r="AN943" i="2"/>
  <c r="AM943" i="2"/>
  <c r="AJ943" i="2"/>
  <c r="AI943" i="2"/>
  <c r="BM942" i="2"/>
  <c r="AA942" i="1"/>
  <c r="BL942" i="2"/>
  <c r="BK942" i="2"/>
  <c r="BJ942" i="2"/>
  <c r="X942" i="1"/>
  <c r="BI942" i="2"/>
  <c r="BH942" i="2"/>
  <c r="BG942" i="2"/>
  <c r="U942" i="1"/>
  <c r="BF942" i="2"/>
  <c r="BE942" i="2"/>
  <c r="S942" i="1"/>
  <c r="BD942" i="2"/>
  <c r="BC942" i="2"/>
  <c r="BB942" i="2"/>
  <c r="BA942" i="2"/>
  <c r="AZ942" i="2"/>
  <c r="AY942" i="2"/>
  <c r="AX942" i="2"/>
  <c r="AW942" i="2"/>
  <c r="AV942" i="2"/>
  <c r="AU942" i="2"/>
  <c r="AT942" i="2"/>
  <c r="H942" i="1"/>
  <c r="AS942" i="2"/>
  <c r="G942" i="1"/>
  <c r="AR942" i="2"/>
  <c r="AQ942" i="2"/>
  <c r="AP942" i="2"/>
  <c r="D942" i="1"/>
  <c r="AO942" i="2"/>
  <c r="AN942" i="2"/>
  <c r="AM942" i="2"/>
  <c r="AJ942" i="2"/>
  <c r="AI942" i="2"/>
  <c r="BM941" i="2"/>
  <c r="AA941" i="1"/>
  <c r="BL941" i="2"/>
  <c r="BK941" i="2"/>
  <c r="BJ941" i="2"/>
  <c r="X941" i="1"/>
  <c r="BI941" i="2"/>
  <c r="BH941" i="2"/>
  <c r="BG941" i="2"/>
  <c r="U941" i="1"/>
  <c r="BF941" i="2"/>
  <c r="BE941" i="2"/>
  <c r="S941" i="1"/>
  <c r="BD941" i="2"/>
  <c r="BC941" i="2"/>
  <c r="BB941" i="2"/>
  <c r="BA941" i="2"/>
  <c r="AZ941" i="2"/>
  <c r="AY941" i="2"/>
  <c r="AX941" i="2"/>
  <c r="AW941" i="2"/>
  <c r="AV941" i="2"/>
  <c r="AU941" i="2"/>
  <c r="AT941" i="2"/>
  <c r="H941" i="1"/>
  <c r="AS941" i="2"/>
  <c r="G941" i="1"/>
  <c r="AR941" i="2"/>
  <c r="AQ941" i="2"/>
  <c r="AP941" i="2"/>
  <c r="D941" i="1"/>
  <c r="AO941" i="2"/>
  <c r="AN941" i="2"/>
  <c r="AM941" i="2"/>
  <c r="AJ941" i="2"/>
  <c r="AI941" i="2"/>
  <c r="BM940" i="2"/>
  <c r="AA940" i="1"/>
  <c r="BL940" i="2"/>
  <c r="BK940" i="2"/>
  <c r="BJ940" i="2"/>
  <c r="X940" i="1"/>
  <c r="BI940" i="2"/>
  <c r="BH940" i="2"/>
  <c r="BG940" i="2"/>
  <c r="U940" i="1"/>
  <c r="BF940" i="2"/>
  <c r="BE940" i="2"/>
  <c r="S940" i="1"/>
  <c r="BD940" i="2"/>
  <c r="BC940" i="2"/>
  <c r="BB940" i="2"/>
  <c r="BA940" i="2"/>
  <c r="AZ940" i="2"/>
  <c r="AY940" i="2"/>
  <c r="AX940" i="2"/>
  <c r="AW940" i="2"/>
  <c r="AV940" i="2"/>
  <c r="AU940" i="2"/>
  <c r="AT940" i="2"/>
  <c r="H940" i="1"/>
  <c r="AS940" i="2"/>
  <c r="G940" i="1"/>
  <c r="AR940" i="2"/>
  <c r="AQ940" i="2"/>
  <c r="AP940" i="2"/>
  <c r="D940" i="1"/>
  <c r="AO940" i="2"/>
  <c r="AN940" i="2"/>
  <c r="AM940" i="2"/>
  <c r="AJ940" i="2"/>
  <c r="AI940" i="2"/>
  <c r="BM939" i="2"/>
  <c r="AA939" i="1"/>
  <c r="BL939" i="2"/>
  <c r="BK939" i="2"/>
  <c r="BJ939" i="2"/>
  <c r="X939" i="1"/>
  <c r="BI939" i="2"/>
  <c r="BH939" i="2"/>
  <c r="BG939" i="2"/>
  <c r="U939" i="1"/>
  <c r="BF939" i="2"/>
  <c r="BE939" i="2"/>
  <c r="S939" i="1"/>
  <c r="BD939" i="2"/>
  <c r="BC939" i="2"/>
  <c r="BB939" i="2"/>
  <c r="BA939" i="2"/>
  <c r="AZ939" i="2"/>
  <c r="AY939" i="2"/>
  <c r="AX939" i="2"/>
  <c r="AW939" i="2"/>
  <c r="AV939" i="2"/>
  <c r="AU939" i="2"/>
  <c r="AT939" i="2"/>
  <c r="H939" i="1"/>
  <c r="AS939" i="2"/>
  <c r="G939" i="1"/>
  <c r="AR939" i="2"/>
  <c r="AQ939" i="2"/>
  <c r="AP939" i="2"/>
  <c r="D939" i="1"/>
  <c r="AO939" i="2"/>
  <c r="AN939" i="2"/>
  <c r="AM939" i="2"/>
  <c r="AJ939" i="2"/>
  <c r="AI939" i="2"/>
  <c r="BM938" i="2"/>
  <c r="AA938" i="1"/>
  <c r="BL938" i="2"/>
  <c r="BK938" i="2"/>
  <c r="BJ938" i="2"/>
  <c r="X938" i="1"/>
  <c r="BI938" i="2"/>
  <c r="BH938" i="2"/>
  <c r="BG938" i="2"/>
  <c r="U938" i="1"/>
  <c r="BF938" i="2"/>
  <c r="BE938" i="2"/>
  <c r="S938" i="1"/>
  <c r="BD938" i="2"/>
  <c r="BC938" i="2"/>
  <c r="BB938" i="2"/>
  <c r="BA938" i="2"/>
  <c r="AZ938" i="2"/>
  <c r="AY938" i="2"/>
  <c r="AX938" i="2"/>
  <c r="AW938" i="2"/>
  <c r="AV938" i="2"/>
  <c r="AU938" i="2"/>
  <c r="AT938" i="2"/>
  <c r="H938" i="1"/>
  <c r="AS938" i="2"/>
  <c r="G938" i="1"/>
  <c r="AR938" i="2"/>
  <c r="AQ938" i="2"/>
  <c r="AP938" i="2"/>
  <c r="D938" i="1"/>
  <c r="AO938" i="2"/>
  <c r="AN938" i="2"/>
  <c r="AM938" i="2"/>
  <c r="AJ938" i="2"/>
  <c r="AI938" i="2"/>
  <c r="BM937" i="2"/>
  <c r="AA937" i="1"/>
  <c r="BL937" i="2"/>
  <c r="BK937" i="2"/>
  <c r="BJ937" i="2"/>
  <c r="X937" i="1"/>
  <c r="BI937" i="2"/>
  <c r="BH937" i="2"/>
  <c r="BG937" i="2"/>
  <c r="U937" i="1"/>
  <c r="BF937" i="2"/>
  <c r="BE937" i="2"/>
  <c r="S937" i="1"/>
  <c r="BD937" i="2"/>
  <c r="BC937" i="2"/>
  <c r="BB937" i="2"/>
  <c r="BA937" i="2"/>
  <c r="AZ937" i="2"/>
  <c r="AY937" i="2"/>
  <c r="AX937" i="2"/>
  <c r="AW937" i="2"/>
  <c r="AV937" i="2"/>
  <c r="AU937" i="2"/>
  <c r="AT937" i="2"/>
  <c r="H937" i="1"/>
  <c r="AS937" i="2"/>
  <c r="G937" i="1"/>
  <c r="AR937" i="2"/>
  <c r="AQ937" i="2"/>
  <c r="AP937" i="2"/>
  <c r="D937" i="1"/>
  <c r="AO937" i="2"/>
  <c r="AN937" i="2"/>
  <c r="AM937" i="2"/>
  <c r="AJ937" i="2"/>
  <c r="AI937" i="2"/>
  <c r="BM936" i="2"/>
  <c r="AA936" i="1"/>
  <c r="BL936" i="2"/>
  <c r="BK936" i="2"/>
  <c r="BJ936" i="2"/>
  <c r="X936" i="1"/>
  <c r="BI936" i="2"/>
  <c r="BH936" i="2"/>
  <c r="BG936" i="2"/>
  <c r="U936" i="1"/>
  <c r="BF936" i="2"/>
  <c r="BE936" i="2"/>
  <c r="S936" i="1"/>
  <c r="BD936" i="2"/>
  <c r="BC936" i="2"/>
  <c r="BB936" i="2"/>
  <c r="BA936" i="2"/>
  <c r="AZ936" i="2"/>
  <c r="AY936" i="2"/>
  <c r="AX936" i="2"/>
  <c r="AW936" i="2"/>
  <c r="AV936" i="2"/>
  <c r="AU936" i="2"/>
  <c r="AT936" i="2"/>
  <c r="H936" i="1"/>
  <c r="AS936" i="2"/>
  <c r="G936" i="1"/>
  <c r="AR936" i="2"/>
  <c r="AQ936" i="2"/>
  <c r="AP936" i="2"/>
  <c r="D936" i="1"/>
  <c r="AO936" i="2"/>
  <c r="AN936" i="2"/>
  <c r="AM936" i="2"/>
  <c r="AJ936" i="2"/>
  <c r="AI936" i="2"/>
  <c r="BM935" i="2"/>
  <c r="AA935" i="1"/>
  <c r="BL935" i="2"/>
  <c r="BK935" i="2"/>
  <c r="BJ935" i="2"/>
  <c r="X935" i="1"/>
  <c r="BI935" i="2"/>
  <c r="BH935" i="2"/>
  <c r="BG935" i="2"/>
  <c r="U935" i="1"/>
  <c r="BF935" i="2"/>
  <c r="BE935" i="2"/>
  <c r="S935" i="1"/>
  <c r="BD935" i="2"/>
  <c r="BC935" i="2"/>
  <c r="BB935" i="2"/>
  <c r="BA935" i="2"/>
  <c r="AZ935" i="2"/>
  <c r="AY935" i="2"/>
  <c r="AX935" i="2"/>
  <c r="AW935" i="2"/>
  <c r="AV935" i="2"/>
  <c r="AU935" i="2"/>
  <c r="AT935" i="2"/>
  <c r="H935" i="1"/>
  <c r="AS935" i="2"/>
  <c r="G935" i="1"/>
  <c r="AR935" i="2"/>
  <c r="AQ935" i="2"/>
  <c r="AP935" i="2"/>
  <c r="D935" i="1"/>
  <c r="AO935" i="2"/>
  <c r="AN935" i="2"/>
  <c r="AM935" i="2"/>
  <c r="AJ935" i="2"/>
  <c r="AI935" i="2"/>
  <c r="BM934" i="2"/>
  <c r="AA934" i="1"/>
  <c r="BL934" i="2"/>
  <c r="BK934" i="2"/>
  <c r="BJ934" i="2"/>
  <c r="X934" i="1"/>
  <c r="BI934" i="2"/>
  <c r="BH934" i="2"/>
  <c r="BG934" i="2"/>
  <c r="U934" i="1"/>
  <c r="BF934" i="2"/>
  <c r="BE934" i="2"/>
  <c r="S934" i="1"/>
  <c r="BD934" i="2"/>
  <c r="BC934" i="2"/>
  <c r="BB934" i="2"/>
  <c r="BA934" i="2"/>
  <c r="AZ934" i="2"/>
  <c r="AY934" i="2"/>
  <c r="AX934" i="2"/>
  <c r="AW934" i="2"/>
  <c r="AV934" i="2"/>
  <c r="AU934" i="2"/>
  <c r="AT934" i="2"/>
  <c r="H934" i="1"/>
  <c r="AS934" i="2"/>
  <c r="G934" i="1"/>
  <c r="AR934" i="2"/>
  <c r="AQ934" i="2"/>
  <c r="AP934" i="2"/>
  <c r="D934" i="1"/>
  <c r="AO934" i="2"/>
  <c r="AN934" i="2"/>
  <c r="AM934" i="2"/>
  <c r="AJ934" i="2"/>
  <c r="AI934" i="2"/>
  <c r="BM933" i="2"/>
  <c r="AA933" i="1"/>
  <c r="BL933" i="2"/>
  <c r="BK933" i="2"/>
  <c r="BJ933" i="2"/>
  <c r="X933" i="1"/>
  <c r="BI933" i="2"/>
  <c r="BH933" i="2"/>
  <c r="BG933" i="2"/>
  <c r="U933" i="1"/>
  <c r="BF933" i="2"/>
  <c r="BE933" i="2"/>
  <c r="S933" i="1"/>
  <c r="BD933" i="2"/>
  <c r="BC933" i="2"/>
  <c r="BB933" i="2"/>
  <c r="BA933" i="2"/>
  <c r="AZ933" i="2"/>
  <c r="AY933" i="2"/>
  <c r="AX933" i="2"/>
  <c r="AW933" i="2"/>
  <c r="AV933" i="2"/>
  <c r="AU933" i="2"/>
  <c r="AT933" i="2"/>
  <c r="H933" i="1"/>
  <c r="AS933" i="2"/>
  <c r="G933" i="1"/>
  <c r="AR933" i="2"/>
  <c r="AQ933" i="2"/>
  <c r="AP933" i="2"/>
  <c r="D933" i="1"/>
  <c r="AO933" i="2"/>
  <c r="AN933" i="2"/>
  <c r="AM933" i="2"/>
  <c r="AJ933" i="2"/>
  <c r="AI933" i="2"/>
  <c r="BM932" i="2"/>
  <c r="AA932" i="1"/>
  <c r="BL932" i="2"/>
  <c r="BK932" i="2"/>
  <c r="BJ932" i="2"/>
  <c r="X932" i="1"/>
  <c r="BI932" i="2"/>
  <c r="BH932" i="2"/>
  <c r="BG932" i="2"/>
  <c r="U932" i="1"/>
  <c r="BF932" i="2"/>
  <c r="BE932" i="2"/>
  <c r="S932" i="1"/>
  <c r="BD932" i="2"/>
  <c r="BC932" i="2"/>
  <c r="BB932" i="2"/>
  <c r="BA932" i="2"/>
  <c r="AZ932" i="2"/>
  <c r="AY932" i="2"/>
  <c r="AX932" i="2"/>
  <c r="AW932" i="2"/>
  <c r="AV932" i="2"/>
  <c r="AU932" i="2"/>
  <c r="AT932" i="2"/>
  <c r="H932" i="1"/>
  <c r="AS932" i="2"/>
  <c r="G932" i="1"/>
  <c r="AR932" i="2"/>
  <c r="AQ932" i="2"/>
  <c r="AP932" i="2"/>
  <c r="D932" i="1"/>
  <c r="AO932" i="2"/>
  <c r="AN932" i="2"/>
  <c r="AM932" i="2"/>
  <c r="AJ932" i="2"/>
  <c r="AI932" i="2"/>
  <c r="BM931" i="2"/>
  <c r="AA931" i="1"/>
  <c r="BL931" i="2"/>
  <c r="BK931" i="2"/>
  <c r="BJ931" i="2"/>
  <c r="X931" i="1"/>
  <c r="BI931" i="2"/>
  <c r="BH931" i="2"/>
  <c r="BG931" i="2"/>
  <c r="U931" i="1"/>
  <c r="BF931" i="2"/>
  <c r="BE931" i="2"/>
  <c r="S931" i="1"/>
  <c r="BD931" i="2"/>
  <c r="BC931" i="2"/>
  <c r="BB931" i="2"/>
  <c r="BA931" i="2"/>
  <c r="AZ931" i="2"/>
  <c r="AY931" i="2"/>
  <c r="AX931" i="2"/>
  <c r="AW931" i="2"/>
  <c r="AV931" i="2"/>
  <c r="AU931" i="2"/>
  <c r="AT931" i="2"/>
  <c r="H931" i="1"/>
  <c r="AS931" i="2"/>
  <c r="G931" i="1"/>
  <c r="AR931" i="2"/>
  <c r="AQ931" i="2"/>
  <c r="AP931" i="2"/>
  <c r="D931" i="1"/>
  <c r="AO931" i="2"/>
  <c r="AN931" i="2"/>
  <c r="AM931" i="2"/>
  <c r="AJ931" i="2"/>
  <c r="AI931" i="2"/>
  <c r="BM930" i="2"/>
  <c r="AA930" i="1"/>
  <c r="BL930" i="2"/>
  <c r="BK930" i="2"/>
  <c r="BJ930" i="2"/>
  <c r="X930" i="1"/>
  <c r="BI930" i="2"/>
  <c r="BH930" i="2"/>
  <c r="BG930" i="2"/>
  <c r="U930" i="1"/>
  <c r="BF930" i="2"/>
  <c r="BE930" i="2"/>
  <c r="S930" i="1"/>
  <c r="BD930" i="2"/>
  <c r="BC930" i="2"/>
  <c r="BB930" i="2"/>
  <c r="BA930" i="2"/>
  <c r="AZ930" i="2"/>
  <c r="AY930" i="2"/>
  <c r="AX930" i="2"/>
  <c r="AW930" i="2"/>
  <c r="AV930" i="2"/>
  <c r="AU930" i="2"/>
  <c r="AT930" i="2"/>
  <c r="H930" i="1"/>
  <c r="AS930" i="2"/>
  <c r="G930" i="1"/>
  <c r="AR930" i="2"/>
  <c r="AQ930" i="2"/>
  <c r="AP930" i="2"/>
  <c r="D930" i="1"/>
  <c r="AO930" i="2"/>
  <c r="AN930" i="2"/>
  <c r="AM930" i="2"/>
  <c r="AJ930" i="2"/>
  <c r="AI930" i="2"/>
  <c r="BM929" i="2"/>
  <c r="AA929" i="1"/>
  <c r="BL929" i="2"/>
  <c r="BK929" i="2"/>
  <c r="BJ929" i="2"/>
  <c r="X929" i="1"/>
  <c r="BI929" i="2"/>
  <c r="BH929" i="2"/>
  <c r="BG929" i="2"/>
  <c r="U929" i="1"/>
  <c r="BF929" i="2"/>
  <c r="BE929" i="2"/>
  <c r="S929" i="1"/>
  <c r="BD929" i="2"/>
  <c r="BC929" i="2"/>
  <c r="BB929" i="2"/>
  <c r="BA929" i="2"/>
  <c r="AZ929" i="2"/>
  <c r="AY929" i="2"/>
  <c r="AX929" i="2"/>
  <c r="AW929" i="2"/>
  <c r="AV929" i="2"/>
  <c r="AU929" i="2"/>
  <c r="AT929" i="2"/>
  <c r="H929" i="1"/>
  <c r="AS929" i="2"/>
  <c r="G929" i="1"/>
  <c r="AR929" i="2"/>
  <c r="AQ929" i="2"/>
  <c r="AP929" i="2"/>
  <c r="D929" i="1"/>
  <c r="AO929" i="2"/>
  <c r="AN929" i="2"/>
  <c r="AM929" i="2"/>
  <c r="AJ929" i="2"/>
  <c r="AI929" i="2"/>
  <c r="BM928" i="2"/>
  <c r="AA928" i="1"/>
  <c r="BL928" i="2"/>
  <c r="BK928" i="2"/>
  <c r="BJ928" i="2"/>
  <c r="X928" i="1"/>
  <c r="BI928" i="2"/>
  <c r="BH928" i="2"/>
  <c r="BG928" i="2"/>
  <c r="U928" i="1"/>
  <c r="BF928" i="2"/>
  <c r="BE928" i="2"/>
  <c r="S928" i="1"/>
  <c r="BD928" i="2"/>
  <c r="BC928" i="2"/>
  <c r="BB928" i="2"/>
  <c r="BA928" i="2"/>
  <c r="AZ928" i="2"/>
  <c r="AY928" i="2"/>
  <c r="AX928" i="2"/>
  <c r="AW928" i="2"/>
  <c r="AV928" i="2"/>
  <c r="AU928" i="2"/>
  <c r="AT928" i="2"/>
  <c r="H928" i="1"/>
  <c r="AS928" i="2"/>
  <c r="G928" i="1"/>
  <c r="AR928" i="2"/>
  <c r="AQ928" i="2"/>
  <c r="AP928" i="2"/>
  <c r="D928" i="1"/>
  <c r="AO928" i="2"/>
  <c r="AN928" i="2"/>
  <c r="AM928" i="2"/>
  <c r="AJ928" i="2"/>
  <c r="AI928" i="2"/>
  <c r="BM927" i="2"/>
  <c r="AA927" i="1"/>
  <c r="BL927" i="2"/>
  <c r="BK927" i="2"/>
  <c r="BJ927" i="2"/>
  <c r="X927" i="1"/>
  <c r="BI927" i="2"/>
  <c r="BH927" i="2"/>
  <c r="BG927" i="2"/>
  <c r="U927" i="1"/>
  <c r="BF927" i="2"/>
  <c r="BE927" i="2"/>
  <c r="S927" i="1"/>
  <c r="BD927" i="2"/>
  <c r="BC927" i="2"/>
  <c r="BB927" i="2"/>
  <c r="BA927" i="2"/>
  <c r="AZ927" i="2"/>
  <c r="AY927" i="2"/>
  <c r="AX927" i="2"/>
  <c r="AW927" i="2"/>
  <c r="AV927" i="2"/>
  <c r="AU927" i="2"/>
  <c r="AT927" i="2"/>
  <c r="H927" i="1"/>
  <c r="AS927" i="2"/>
  <c r="G927" i="1"/>
  <c r="AR927" i="2"/>
  <c r="AQ927" i="2"/>
  <c r="AP927" i="2"/>
  <c r="D927" i="1"/>
  <c r="AO927" i="2"/>
  <c r="AN927" i="2"/>
  <c r="AM927" i="2"/>
  <c r="AJ927" i="2"/>
  <c r="AI927" i="2"/>
  <c r="BM926" i="2"/>
  <c r="AA926" i="1"/>
  <c r="BL926" i="2"/>
  <c r="BK926" i="2"/>
  <c r="BJ926" i="2"/>
  <c r="X926" i="1"/>
  <c r="BI926" i="2"/>
  <c r="BH926" i="2"/>
  <c r="BG926" i="2"/>
  <c r="U926" i="1"/>
  <c r="BF926" i="2"/>
  <c r="BE926" i="2"/>
  <c r="S926" i="1"/>
  <c r="BD926" i="2"/>
  <c r="BC926" i="2"/>
  <c r="BB926" i="2"/>
  <c r="BA926" i="2"/>
  <c r="AZ926" i="2"/>
  <c r="AY926" i="2"/>
  <c r="AX926" i="2"/>
  <c r="AW926" i="2"/>
  <c r="AV926" i="2"/>
  <c r="AU926" i="2"/>
  <c r="AT926" i="2"/>
  <c r="H926" i="1"/>
  <c r="AS926" i="2"/>
  <c r="G926" i="1"/>
  <c r="AR926" i="2"/>
  <c r="AQ926" i="2"/>
  <c r="AP926" i="2"/>
  <c r="D926" i="1"/>
  <c r="AO926" i="2"/>
  <c r="AN926" i="2"/>
  <c r="AM926" i="2"/>
  <c r="AJ926" i="2"/>
  <c r="AI926" i="2"/>
  <c r="BM925" i="2"/>
  <c r="AA925" i="1"/>
  <c r="BL925" i="2"/>
  <c r="BK925" i="2"/>
  <c r="BJ925" i="2"/>
  <c r="X925" i="1"/>
  <c r="BI925" i="2"/>
  <c r="BH925" i="2"/>
  <c r="BG925" i="2"/>
  <c r="U925" i="1"/>
  <c r="BF925" i="2"/>
  <c r="BE925" i="2"/>
  <c r="S925" i="1"/>
  <c r="BD925" i="2"/>
  <c r="BC925" i="2"/>
  <c r="BB925" i="2"/>
  <c r="BA925" i="2"/>
  <c r="AZ925" i="2"/>
  <c r="AY925" i="2"/>
  <c r="AX925" i="2"/>
  <c r="AW925" i="2"/>
  <c r="AV925" i="2"/>
  <c r="AU925" i="2"/>
  <c r="AT925" i="2"/>
  <c r="H925" i="1"/>
  <c r="AS925" i="2"/>
  <c r="G925" i="1"/>
  <c r="AR925" i="2"/>
  <c r="AQ925" i="2"/>
  <c r="AP925" i="2"/>
  <c r="D925" i="1"/>
  <c r="AO925" i="2"/>
  <c r="AN925" i="2"/>
  <c r="AM925" i="2"/>
  <c r="AJ925" i="2"/>
  <c r="AI925" i="2"/>
  <c r="BM924" i="2"/>
  <c r="AA924" i="1"/>
  <c r="BL924" i="2"/>
  <c r="BK924" i="2"/>
  <c r="BJ924" i="2"/>
  <c r="X924" i="1"/>
  <c r="BI924" i="2"/>
  <c r="BH924" i="2"/>
  <c r="BG924" i="2"/>
  <c r="U924" i="1"/>
  <c r="BF924" i="2"/>
  <c r="BE924" i="2"/>
  <c r="S924" i="1"/>
  <c r="BD924" i="2"/>
  <c r="BC924" i="2"/>
  <c r="BB924" i="2"/>
  <c r="BA924" i="2"/>
  <c r="AZ924" i="2"/>
  <c r="AY924" i="2"/>
  <c r="AX924" i="2"/>
  <c r="AW924" i="2"/>
  <c r="AV924" i="2"/>
  <c r="AU924" i="2"/>
  <c r="AT924" i="2"/>
  <c r="H924" i="1"/>
  <c r="AS924" i="2"/>
  <c r="G924" i="1"/>
  <c r="AR924" i="2"/>
  <c r="AQ924" i="2"/>
  <c r="AP924" i="2"/>
  <c r="D924" i="1"/>
  <c r="AO924" i="2"/>
  <c r="AN924" i="2"/>
  <c r="AM924" i="2"/>
  <c r="AJ924" i="2"/>
  <c r="AI924" i="2"/>
  <c r="BM923" i="2"/>
  <c r="AA923" i="1"/>
  <c r="BL923" i="2"/>
  <c r="BK923" i="2"/>
  <c r="BJ923" i="2"/>
  <c r="X923" i="1"/>
  <c r="BI923" i="2"/>
  <c r="BH923" i="2"/>
  <c r="BG923" i="2"/>
  <c r="U923" i="1"/>
  <c r="BF923" i="2"/>
  <c r="BE923" i="2"/>
  <c r="S923" i="1"/>
  <c r="BD923" i="2"/>
  <c r="BC923" i="2"/>
  <c r="BB923" i="2"/>
  <c r="BA923" i="2"/>
  <c r="AZ923" i="2"/>
  <c r="AY923" i="2"/>
  <c r="AX923" i="2"/>
  <c r="AW923" i="2"/>
  <c r="AV923" i="2"/>
  <c r="AU923" i="2"/>
  <c r="AT923" i="2"/>
  <c r="H923" i="1"/>
  <c r="AS923" i="2"/>
  <c r="G923" i="1"/>
  <c r="AR923" i="2"/>
  <c r="AQ923" i="2"/>
  <c r="AP923" i="2"/>
  <c r="D923" i="1"/>
  <c r="AO923" i="2"/>
  <c r="AN923" i="2"/>
  <c r="AM923" i="2"/>
  <c r="AJ923" i="2"/>
  <c r="AI923" i="2"/>
  <c r="BM922" i="2"/>
  <c r="AA922" i="1"/>
  <c r="BL922" i="2"/>
  <c r="BK922" i="2"/>
  <c r="BJ922" i="2"/>
  <c r="X922" i="1"/>
  <c r="BI922" i="2"/>
  <c r="BH922" i="2"/>
  <c r="BG922" i="2"/>
  <c r="U922" i="1"/>
  <c r="BF922" i="2"/>
  <c r="BE922" i="2"/>
  <c r="S922" i="1"/>
  <c r="BD922" i="2"/>
  <c r="BC922" i="2"/>
  <c r="BB922" i="2"/>
  <c r="BA922" i="2"/>
  <c r="AZ922" i="2"/>
  <c r="AY922" i="2"/>
  <c r="AX922" i="2"/>
  <c r="AW922" i="2"/>
  <c r="AV922" i="2"/>
  <c r="AU922" i="2"/>
  <c r="AT922" i="2"/>
  <c r="H922" i="1"/>
  <c r="AS922" i="2"/>
  <c r="G922" i="1"/>
  <c r="AR922" i="2"/>
  <c r="AQ922" i="2"/>
  <c r="AP922" i="2"/>
  <c r="D922" i="1"/>
  <c r="AO922" i="2"/>
  <c r="AN922" i="2"/>
  <c r="AM922" i="2"/>
  <c r="AJ922" i="2"/>
  <c r="AI922" i="2"/>
  <c r="BM921" i="2"/>
  <c r="AA921" i="1"/>
  <c r="BL921" i="2"/>
  <c r="BK921" i="2"/>
  <c r="BJ921" i="2"/>
  <c r="X921" i="1"/>
  <c r="BI921" i="2"/>
  <c r="BH921" i="2"/>
  <c r="BG921" i="2"/>
  <c r="U921" i="1"/>
  <c r="BF921" i="2"/>
  <c r="BE921" i="2"/>
  <c r="S921" i="1"/>
  <c r="BD921" i="2"/>
  <c r="BC921" i="2"/>
  <c r="BB921" i="2"/>
  <c r="BA921" i="2"/>
  <c r="AZ921" i="2"/>
  <c r="AY921" i="2"/>
  <c r="AX921" i="2"/>
  <c r="AW921" i="2"/>
  <c r="AV921" i="2"/>
  <c r="AU921" i="2"/>
  <c r="AT921" i="2"/>
  <c r="H921" i="1"/>
  <c r="AS921" i="2"/>
  <c r="G921" i="1"/>
  <c r="AR921" i="2"/>
  <c r="AQ921" i="2"/>
  <c r="AP921" i="2"/>
  <c r="D921" i="1"/>
  <c r="AO921" i="2"/>
  <c r="AN921" i="2"/>
  <c r="AM921" i="2"/>
  <c r="AJ921" i="2"/>
  <c r="AI921" i="2"/>
  <c r="BM920" i="2"/>
  <c r="AA920" i="1"/>
  <c r="BL920" i="2"/>
  <c r="BK920" i="2"/>
  <c r="BJ920" i="2"/>
  <c r="X920" i="1"/>
  <c r="BI920" i="2"/>
  <c r="BH920" i="2"/>
  <c r="BG920" i="2"/>
  <c r="U920" i="1"/>
  <c r="BF920" i="2"/>
  <c r="BE920" i="2"/>
  <c r="S920" i="1"/>
  <c r="BD920" i="2"/>
  <c r="BC920" i="2"/>
  <c r="BB920" i="2"/>
  <c r="BA920" i="2"/>
  <c r="AZ920" i="2"/>
  <c r="AY920" i="2"/>
  <c r="AX920" i="2"/>
  <c r="AW920" i="2"/>
  <c r="AV920" i="2"/>
  <c r="AU920" i="2"/>
  <c r="AT920" i="2"/>
  <c r="H920" i="1"/>
  <c r="AS920" i="2"/>
  <c r="G920" i="1"/>
  <c r="AR920" i="2"/>
  <c r="AQ920" i="2"/>
  <c r="AP920" i="2"/>
  <c r="D920" i="1"/>
  <c r="AO920" i="2"/>
  <c r="AN920" i="2"/>
  <c r="AM920" i="2"/>
  <c r="AJ920" i="2"/>
  <c r="AI920" i="2"/>
  <c r="BM919" i="2"/>
  <c r="AA919" i="1"/>
  <c r="BL919" i="2"/>
  <c r="BK919" i="2"/>
  <c r="BJ919" i="2"/>
  <c r="X919" i="1"/>
  <c r="BI919" i="2"/>
  <c r="BH919" i="2"/>
  <c r="BG919" i="2"/>
  <c r="U919" i="1"/>
  <c r="BF919" i="2"/>
  <c r="BE919" i="2"/>
  <c r="S919" i="1"/>
  <c r="BD919" i="2"/>
  <c r="BC919" i="2"/>
  <c r="BB919" i="2"/>
  <c r="BA919" i="2"/>
  <c r="AZ919" i="2"/>
  <c r="AY919" i="2"/>
  <c r="AX919" i="2"/>
  <c r="AW919" i="2"/>
  <c r="AV919" i="2"/>
  <c r="AU919" i="2"/>
  <c r="AT919" i="2"/>
  <c r="H919" i="1"/>
  <c r="AS919" i="2"/>
  <c r="G919" i="1"/>
  <c r="AR919" i="2"/>
  <c r="AQ919" i="2"/>
  <c r="AP919" i="2"/>
  <c r="D919" i="1"/>
  <c r="AO919" i="2"/>
  <c r="AN919" i="2"/>
  <c r="AM919" i="2"/>
  <c r="AJ919" i="2"/>
  <c r="AI919" i="2"/>
  <c r="BM918" i="2"/>
  <c r="AA918" i="1"/>
  <c r="BL918" i="2"/>
  <c r="BK918" i="2"/>
  <c r="BJ918" i="2"/>
  <c r="X918" i="1"/>
  <c r="BI918" i="2"/>
  <c r="BH918" i="2"/>
  <c r="BG918" i="2"/>
  <c r="U918" i="1"/>
  <c r="BF918" i="2"/>
  <c r="BE918" i="2"/>
  <c r="S918" i="1"/>
  <c r="BD918" i="2"/>
  <c r="BC918" i="2"/>
  <c r="BB918" i="2"/>
  <c r="BA918" i="2"/>
  <c r="AZ918" i="2"/>
  <c r="AY918" i="2"/>
  <c r="AX918" i="2"/>
  <c r="AW918" i="2"/>
  <c r="AV918" i="2"/>
  <c r="AU918" i="2"/>
  <c r="AT918" i="2"/>
  <c r="H918" i="1"/>
  <c r="AS918" i="2"/>
  <c r="G918" i="1"/>
  <c r="AR918" i="2"/>
  <c r="AQ918" i="2"/>
  <c r="AP918" i="2"/>
  <c r="D918" i="1"/>
  <c r="AO918" i="2"/>
  <c r="AN918" i="2"/>
  <c r="AM918" i="2"/>
  <c r="AJ918" i="2"/>
  <c r="AI918" i="2"/>
  <c r="BM917" i="2"/>
  <c r="AA917" i="1"/>
  <c r="BL917" i="2"/>
  <c r="BK917" i="2"/>
  <c r="BJ917" i="2"/>
  <c r="X917" i="1"/>
  <c r="BI917" i="2"/>
  <c r="BH917" i="2"/>
  <c r="BG917" i="2"/>
  <c r="U917" i="1"/>
  <c r="BF917" i="2"/>
  <c r="BE917" i="2"/>
  <c r="S917" i="1"/>
  <c r="BD917" i="2"/>
  <c r="BC917" i="2"/>
  <c r="BB917" i="2"/>
  <c r="BA917" i="2"/>
  <c r="AZ917" i="2"/>
  <c r="AY917" i="2"/>
  <c r="AX917" i="2"/>
  <c r="AW917" i="2"/>
  <c r="AV917" i="2"/>
  <c r="AU917" i="2"/>
  <c r="AT917" i="2"/>
  <c r="H917" i="1"/>
  <c r="AS917" i="2"/>
  <c r="G917" i="1"/>
  <c r="AR917" i="2"/>
  <c r="AQ917" i="2"/>
  <c r="AP917" i="2"/>
  <c r="D917" i="1"/>
  <c r="AO917" i="2"/>
  <c r="AN917" i="2"/>
  <c r="AM917" i="2"/>
  <c r="AJ917" i="2"/>
  <c r="AI917" i="2"/>
  <c r="BM916" i="2"/>
  <c r="AA916" i="1"/>
  <c r="BL916" i="2"/>
  <c r="BK916" i="2"/>
  <c r="BJ916" i="2"/>
  <c r="X916" i="1"/>
  <c r="BI916" i="2"/>
  <c r="BH916" i="2"/>
  <c r="BG916" i="2"/>
  <c r="U916" i="1"/>
  <c r="BF916" i="2"/>
  <c r="BE916" i="2"/>
  <c r="S916" i="1"/>
  <c r="BD916" i="2"/>
  <c r="BC916" i="2"/>
  <c r="BB916" i="2"/>
  <c r="BA916" i="2"/>
  <c r="AZ916" i="2"/>
  <c r="AY916" i="2"/>
  <c r="AX916" i="2"/>
  <c r="AW916" i="2"/>
  <c r="AV916" i="2"/>
  <c r="AU916" i="2"/>
  <c r="AT916" i="2"/>
  <c r="H916" i="1"/>
  <c r="AS916" i="2"/>
  <c r="G916" i="1"/>
  <c r="AR916" i="2"/>
  <c r="AQ916" i="2"/>
  <c r="AP916" i="2"/>
  <c r="D916" i="1"/>
  <c r="AO916" i="2"/>
  <c r="AN916" i="2"/>
  <c r="AM916" i="2"/>
  <c r="AJ916" i="2"/>
  <c r="AI916" i="2"/>
  <c r="BM915" i="2"/>
  <c r="AA915" i="1"/>
  <c r="BL915" i="2"/>
  <c r="BK915" i="2"/>
  <c r="BJ915" i="2"/>
  <c r="X915" i="1"/>
  <c r="BI915" i="2"/>
  <c r="BH915" i="2"/>
  <c r="BG915" i="2"/>
  <c r="U915" i="1"/>
  <c r="BF915" i="2"/>
  <c r="BE915" i="2"/>
  <c r="S915" i="1"/>
  <c r="BD915" i="2"/>
  <c r="BC915" i="2"/>
  <c r="BB915" i="2"/>
  <c r="BA915" i="2"/>
  <c r="AZ915" i="2"/>
  <c r="AY915" i="2"/>
  <c r="AX915" i="2"/>
  <c r="AW915" i="2"/>
  <c r="AV915" i="2"/>
  <c r="AU915" i="2"/>
  <c r="AT915" i="2"/>
  <c r="H915" i="1"/>
  <c r="AS915" i="2"/>
  <c r="G915" i="1"/>
  <c r="AR915" i="2"/>
  <c r="AQ915" i="2"/>
  <c r="AP915" i="2"/>
  <c r="D915" i="1"/>
  <c r="AO915" i="2"/>
  <c r="AN915" i="2"/>
  <c r="AM915" i="2"/>
  <c r="AJ915" i="2"/>
  <c r="AI915" i="2"/>
  <c r="BM914" i="2"/>
  <c r="AA914" i="1"/>
  <c r="BL914" i="2"/>
  <c r="BK914" i="2"/>
  <c r="BJ914" i="2"/>
  <c r="X914" i="1"/>
  <c r="BI914" i="2"/>
  <c r="BH914" i="2"/>
  <c r="BG914" i="2"/>
  <c r="U914" i="1"/>
  <c r="BF914" i="2"/>
  <c r="BE914" i="2"/>
  <c r="S914" i="1"/>
  <c r="BD914" i="2"/>
  <c r="BC914" i="2"/>
  <c r="BB914" i="2"/>
  <c r="BA914" i="2"/>
  <c r="AZ914" i="2"/>
  <c r="AY914" i="2"/>
  <c r="AX914" i="2"/>
  <c r="AW914" i="2"/>
  <c r="AV914" i="2"/>
  <c r="AU914" i="2"/>
  <c r="AT914" i="2"/>
  <c r="H914" i="1"/>
  <c r="AS914" i="2"/>
  <c r="G914" i="1"/>
  <c r="AR914" i="2"/>
  <c r="AQ914" i="2"/>
  <c r="AP914" i="2"/>
  <c r="D914" i="1"/>
  <c r="AO914" i="2"/>
  <c r="AN914" i="2"/>
  <c r="AM914" i="2"/>
  <c r="AJ914" i="2"/>
  <c r="AI914" i="2"/>
  <c r="BM913" i="2"/>
  <c r="AA913" i="1"/>
  <c r="BL913" i="2"/>
  <c r="BK913" i="2"/>
  <c r="BJ913" i="2"/>
  <c r="X913" i="1"/>
  <c r="BI913" i="2"/>
  <c r="BH913" i="2"/>
  <c r="BG913" i="2"/>
  <c r="U913" i="1"/>
  <c r="BF913" i="2"/>
  <c r="BE913" i="2"/>
  <c r="S913" i="1"/>
  <c r="BD913" i="2"/>
  <c r="BC913" i="2"/>
  <c r="BB913" i="2"/>
  <c r="BA913" i="2"/>
  <c r="AZ913" i="2"/>
  <c r="AY913" i="2"/>
  <c r="AX913" i="2"/>
  <c r="AW913" i="2"/>
  <c r="AV913" i="2"/>
  <c r="AU913" i="2"/>
  <c r="AT913" i="2"/>
  <c r="H913" i="1"/>
  <c r="AS913" i="2"/>
  <c r="G913" i="1"/>
  <c r="AR913" i="2"/>
  <c r="AQ913" i="2"/>
  <c r="AP913" i="2"/>
  <c r="D913" i="1"/>
  <c r="AO913" i="2"/>
  <c r="AN913" i="2"/>
  <c r="AM913" i="2"/>
  <c r="AJ913" i="2"/>
  <c r="AI913" i="2"/>
  <c r="BM912" i="2"/>
  <c r="AA912" i="1"/>
  <c r="BL912" i="2"/>
  <c r="BK912" i="2"/>
  <c r="BJ912" i="2"/>
  <c r="X912" i="1"/>
  <c r="BI912" i="2"/>
  <c r="BH912" i="2"/>
  <c r="BG912" i="2"/>
  <c r="U912" i="1"/>
  <c r="BF912" i="2"/>
  <c r="BE912" i="2"/>
  <c r="S912" i="1"/>
  <c r="BD912" i="2"/>
  <c r="BC912" i="2"/>
  <c r="BB912" i="2"/>
  <c r="BA912" i="2"/>
  <c r="AZ912" i="2"/>
  <c r="AY912" i="2"/>
  <c r="AX912" i="2"/>
  <c r="AW912" i="2"/>
  <c r="AV912" i="2"/>
  <c r="AU912" i="2"/>
  <c r="AT912" i="2"/>
  <c r="H912" i="1"/>
  <c r="AS912" i="2"/>
  <c r="G912" i="1"/>
  <c r="AR912" i="2"/>
  <c r="AQ912" i="2"/>
  <c r="AP912" i="2"/>
  <c r="D912" i="1"/>
  <c r="AO912" i="2"/>
  <c r="AN912" i="2"/>
  <c r="AM912" i="2"/>
  <c r="AJ912" i="2"/>
  <c r="AI912" i="2"/>
  <c r="BM911" i="2"/>
  <c r="AA911" i="1"/>
  <c r="BL911" i="2"/>
  <c r="BK911" i="2"/>
  <c r="BJ911" i="2"/>
  <c r="X911" i="1"/>
  <c r="BI911" i="2"/>
  <c r="BH911" i="2"/>
  <c r="BG911" i="2"/>
  <c r="U911" i="1"/>
  <c r="BF911" i="2"/>
  <c r="BE911" i="2"/>
  <c r="S911" i="1"/>
  <c r="BD911" i="2"/>
  <c r="BC911" i="2"/>
  <c r="BB911" i="2"/>
  <c r="BA911" i="2"/>
  <c r="AZ911" i="2"/>
  <c r="AY911" i="2"/>
  <c r="AX911" i="2"/>
  <c r="AW911" i="2"/>
  <c r="AV911" i="2"/>
  <c r="AU911" i="2"/>
  <c r="AT911" i="2"/>
  <c r="H911" i="1"/>
  <c r="AS911" i="2"/>
  <c r="G911" i="1"/>
  <c r="AR911" i="2"/>
  <c r="AQ911" i="2"/>
  <c r="AP911" i="2"/>
  <c r="D911" i="1"/>
  <c r="AO911" i="2"/>
  <c r="AN911" i="2"/>
  <c r="AM911" i="2"/>
  <c r="AJ911" i="2"/>
  <c r="AI911" i="2"/>
  <c r="BM910" i="2"/>
  <c r="AA910" i="1"/>
  <c r="BL910" i="2"/>
  <c r="BK910" i="2"/>
  <c r="BJ910" i="2"/>
  <c r="X910" i="1"/>
  <c r="BI910" i="2"/>
  <c r="BH910" i="2"/>
  <c r="BG910" i="2"/>
  <c r="U910" i="1"/>
  <c r="BF910" i="2"/>
  <c r="BE910" i="2"/>
  <c r="S910" i="1"/>
  <c r="BD910" i="2"/>
  <c r="BC910" i="2"/>
  <c r="BB910" i="2"/>
  <c r="BA910" i="2"/>
  <c r="AZ910" i="2"/>
  <c r="AY910" i="2"/>
  <c r="AX910" i="2"/>
  <c r="AW910" i="2"/>
  <c r="AV910" i="2"/>
  <c r="AU910" i="2"/>
  <c r="AT910" i="2"/>
  <c r="H910" i="1"/>
  <c r="AS910" i="2"/>
  <c r="G910" i="1"/>
  <c r="AR910" i="2"/>
  <c r="AQ910" i="2"/>
  <c r="AP910" i="2"/>
  <c r="D910" i="1"/>
  <c r="AO910" i="2"/>
  <c r="AN910" i="2"/>
  <c r="AM910" i="2"/>
  <c r="AJ910" i="2"/>
  <c r="AI910" i="2"/>
  <c r="BM909" i="2"/>
  <c r="AA909" i="1"/>
  <c r="BL909" i="2"/>
  <c r="BK909" i="2"/>
  <c r="BJ909" i="2"/>
  <c r="X909" i="1"/>
  <c r="BI909" i="2"/>
  <c r="BH909" i="2"/>
  <c r="BG909" i="2"/>
  <c r="U909" i="1"/>
  <c r="BF909" i="2"/>
  <c r="BE909" i="2"/>
  <c r="S909" i="1"/>
  <c r="BD909" i="2"/>
  <c r="BC909" i="2"/>
  <c r="BB909" i="2"/>
  <c r="BA909" i="2"/>
  <c r="AZ909" i="2"/>
  <c r="AY909" i="2"/>
  <c r="AX909" i="2"/>
  <c r="AW909" i="2"/>
  <c r="AV909" i="2"/>
  <c r="AU909" i="2"/>
  <c r="AT909" i="2"/>
  <c r="H909" i="1"/>
  <c r="AS909" i="2"/>
  <c r="G909" i="1"/>
  <c r="AR909" i="2"/>
  <c r="AQ909" i="2"/>
  <c r="AP909" i="2"/>
  <c r="D909" i="1"/>
  <c r="AO909" i="2"/>
  <c r="AN909" i="2"/>
  <c r="AM909" i="2"/>
  <c r="AJ909" i="2"/>
  <c r="AI909" i="2"/>
  <c r="BM908" i="2"/>
  <c r="AA908" i="1"/>
  <c r="BL908" i="2"/>
  <c r="BK908" i="2"/>
  <c r="BJ908" i="2"/>
  <c r="X908" i="1"/>
  <c r="BI908" i="2"/>
  <c r="BH908" i="2"/>
  <c r="BG908" i="2"/>
  <c r="U908" i="1"/>
  <c r="BF908" i="2"/>
  <c r="BE908" i="2"/>
  <c r="S908" i="1"/>
  <c r="BD908" i="2"/>
  <c r="BC908" i="2"/>
  <c r="BB908" i="2"/>
  <c r="BA908" i="2"/>
  <c r="AZ908" i="2"/>
  <c r="AY908" i="2"/>
  <c r="AX908" i="2"/>
  <c r="AW908" i="2"/>
  <c r="AV908" i="2"/>
  <c r="AU908" i="2"/>
  <c r="AT908" i="2"/>
  <c r="H908" i="1"/>
  <c r="AS908" i="2"/>
  <c r="G908" i="1"/>
  <c r="AR908" i="2"/>
  <c r="AQ908" i="2"/>
  <c r="AP908" i="2"/>
  <c r="D908" i="1"/>
  <c r="AO908" i="2"/>
  <c r="AN908" i="2"/>
  <c r="AM908" i="2"/>
  <c r="AJ908" i="2"/>
  <c r="AI908" i="2"/>
  <c r="BM907" i="2"/>
  <c r="AA907" i="1"/>
  <c r="BL907" i="2"/>
  <c r="BK907" i="2"/>
  <c r="BJ907" i="2"/>
  <c r="X907" i="1"/>
  <c r="BI907" i="2"/>
  <c r="BH907" i="2"/>
  <c r="BG907" i="2"/>
  <c r="U907" i="1"/>
  <c r="BF907" i="2"/>
  <c r="BE907" i="2"/>
  <c r="S907" i="1"/>
  <c r="BD907" i="2"/>
  <c r="BC907" i="2"/>
  <c r="BB907" i="2"/>
  <c r="BA907" i="2"/>
  <c r="AZ907" i="2"/>
  <c r="AY907" i="2"/>
  <c r="AX907" i="2"/>
  <c r="AW907" i="2"/>
  <c r="AV907" i="2"/>
  <c r="AU907" i="2"/>
  <c r="AT907" i="2"/>
  <c r="H907" i="1"/>
  <c r="AS907" i="2"/>
  <c r="G907" i="1"/>
  <c r="AR907" i="2"/>
  <c r="AQ907" i="2"/>
  <c r="AP907" i="2"/>
  <c r="D907" i="1"/>
  <c r="AO907" i="2"/>
  <c r="AN907" i="2"/>
  <c r="AM907" i="2"/>
  <c r="AJ907" i="2"/>
  <c r="AI907" i="2"/>
  <c r="BM906" i="2"/>
  <c r="AA906" i="1"/>
  <c r="BL906" i="2"/>
  <c r="BK906" i="2"/>
  <c r="BJ906" i="2"/>
  <c r="X906" i="1"/>
  <c r="BI906" i="2"/>
  <c r="BH906" i="2"/>
  <c r="BG906" i="2"/>
  <c r="U906" i="1"/>
  <c r="BF906" i="2"/>
  <c r="BE906" i="2"/>
  <c r="S906" i="1"/>
  <c r="BD906" i="2"/>
  <c r="BC906" i="2"/>
  <c r="BB906" i="2"/>
  <c r="BA906" i="2"/>
  <c r="AZ906" i="2"/>
  <c r="AY906" i="2"/>
  <c r="AX906" i="2"/>
  <c r="AW906" i="2"/>
  <c r="AV906" i="2"/>
  <c r="AU906" i="2"/>
  <c r="AT906" i="2"/>
  <c r="H906" i="1"/>
  <c r="AS906" i="2"/>
  <c r="G906" i="1"/>
  <c r="AR906" i="2"/>
  <c r="AQ906" i="2"/>
  <c r="AP906" i="2"/>
  <c r="D906" i="1"/>
  <c r="AO906" i="2"/>
  <c r="AN906" i="2"/>
  <c r="AM906" i="2"/>
  <c r="AJ906" i="2"/>
  <c r="AI906" i="2"/>
  <c r="BM905" i="2"/>
  <c r="AA905" i="1"/>
  <c r="BL905" i="2"/>
  <c r="BK905" i="2"/>
  <c r="BJ905" i="2"/>
  <c r="X905" i="1"/>
  <c r="BI905" i="2"/>
  <c r="BH905" i="2"/>
  <c r="BG905" i="2"/>
  <c r="U905" i="1"/>
  <c r="BF905" i="2"/>
  <c r="BE905" i="2"/>
  <c r="S905" i="1"/>
  <c r="BD905" i="2"/>
  <c r="BC905" i="2"/>
  <c r="BB905" i="2"/>
  <c r="BA905" i="2"/>
  <c r="AZ905" i="2"/>
  <c r="AY905" i="2"/>
  <c r="AX905" i="2"/>
  <c r="AW905" i="2"/>
  <c r="AV905" i="2"/>
  <c r="AU905" i="2"/>
  <c r="AT905" i="2"/>
  <c r="H905" i="1"/>
  <c r="AS905" i="2"/>
  <c r="G905" i="1"/>
  <c r="AR905" i="2"/>
  <c r="AQ905" i="2"/>
  <c r="AP905" i="2"/>
  <c r="D905" i="1"/>
  <c r="AO905" i="2"/>
  <c r="AN905" i="2"/>
  <c r="AM905" i="2"/>
  <c r="AJ905" i="2"/>
  <c r="AI905" i="2"/>
  <c r="BM904" i="2"/>
  <c r="AA904" i="1"/>
  <c r="BL904" i="2"/>
  <c r="BK904" i="2"/>
  <c r="BJ904" i="2"/>
  <c r="X904" i="1"/>
  <c r="BI904" i="2"/>
  <c r="BH904" i="2"/>
  <c r="BG904" i="2"/>
  <c r="U904" i="1"/>
  <c r="BF904" i="2"/>
  <c r="BE904" i="2"/>
  <c r="S904" i="1"/>
  <c r="BD904" i="2"/>
  <c r="BC904" i="2"/>
  <c r="BB904" i="2"/>
  <c r="BA904" i="2"/>
  <c r="AZ904" i="2"/>
  <c r="AY904" i="2"/>
  <c r="AX904" i="2"/>
  <c r="AW904" i="2"/>
  <c r="AV904" i="2"/>
  <c r="AU904" i="2"/>
  <c r="AT904" i="2"/>
  <c r="H904" i="1"/>
  <c r="AS904" i="2"/>
  <c r="G904" i="1"/>
  <c r="AR904" i="2"/>
  <c r="AQ904" i="2"/>
  <c r="AP904" i="2"/>
  <c r="D904" i="1"/>
  <c r="AO904" i="2"/>
  <c r="AN904" i="2"/>
  <c r="AM904" i="2"/>
  <c r="AJ904" i="2"/>
  <c r="AI904" i="2"/>
  <c r="BM903" i="2"/>
  <c r="AA903" i="1"/>
  <c r="BL903" i="2"/>
  <c r="BK903" i="2"/>
  <c r="BJ903" i="2"/>
  <c r="X903" i="1"/>
  <c r="BI903" i="2"/>
  <c r="BH903" i="2"/>
  <c r="BG903" i="2"/>
  <c r="U903" i="1"/>
  <c r="BF903" i="2"/>
  <c r="BE903" i="2"/>
  <c r="S903" i="1"/>
  <c r="BD903" i="2"/>
  <c r="BC903" i="2"/>
  <c r="BB903" i="2"/>
  <c r="BA903" i="2"/>
  <c r="AZ903" i="2"/>
  <c r="AY903" i="2"/>
  <c r="AX903" i="2"/>
  <c r="AW903" i="2"/>
  <c r="AV903" i="2"/>
  <c r="AU903" i="2"/>
  <c r="AT903" i="2"/>
  <c r="H903" i="1"/>
  <c r="AS903" i="2"/>
  <c r="G903" i="1"/>
  <c r="AR903" i="2"/>
  <c r="AQ903" i="2"/>
  <c r="AP903" i="2"/>
  <c r="D903" i="1"/>
  <c r="AO903" i="2"/>
  <c r="AN903" i="2"/>
  <c r="AM903" i="2"/>
  <c r="AJ903" i="2"/>
  <c r="AI903" i="2"/>
  <c r="BM902" i="2"/>
  <c r="AA902" i="1"/>
  <c r="BL902" i="2"/>
  <c r="BK902" i="2"/>
  <c r="BJ902" i="2"/>
  <c r="X902" i="1"/>
  <c r="BI902" i="2"/>
  <c r="BH902" i="2"/>
  <c r="BG902" i="2"/>
  <c r="U902" i="1"/>
  <c r="BF902" i="2"/>
  <c r="BE902" i="2"/>
  <c r="S902" i="1"/>
  <c r="BD902" i="2"/>
  <c r="BC902" i="2"/>
  <c r="BB902" i="2"/>
  <c r="BA902" i="2"/>
  <c r="AZ902" i="2"/>
  <c r="AY902" i="2"/>
  <c r="AX902" i="2"/>
  <c r="AW902" i="2"/>
  <c r="AV902" i="2"/>
  <c r="AU902" i="2"/>
  <c r="AT902" i="2"/>
  <c r="H902" i="1"/>
  <c r="AS902" i="2"/>
  <c r="G902" i="1"/>
  <c r="AR902" i="2"/>
  <c r="AQ902" i="2"/>
  <c r="AP902" i="2"/>
  <c r="D902" i="1"/>
  <c r="AO902" i="2"/>
  <c r="AN902" i="2"/>
  <c r="AM902" i="2"/>
  <c r="AJ902" i="2"/>
  <c r="AI902" i="2"/>
  <c r="BM901" i="2"/>
  <c r="AA901" i="1"/>
  <c r="BL901" i="2"/>
  <c r="BK901" i="2"/>
  <c r="BJ901" i="2"/>
  <c r="X901" i="1"/>
  <c r="BI901" i="2"/>
  <c r="BH901" i="2"/>
  <c r="BG901" i="2"/>
  <c r="U901" i="1"/>
  <c r="BF901" i="2"/>
  <c r="BE901" i="2"/>
  <c r="S901" i="1"/>
  <c r="BD901" i="2"/>
  <c r="BC901" i="2"/>
  <c r="BB901" i="2"/>
  <c r="BA901" i="2"/>
  <c r="AZ901" i="2"/>
  <c r="AY901" i="2"/>
  <c r="AX901" i="2"/>
  <c r="AW901" i="2"/>
  <c r="AV901" i="2"/>
  <c r="AU901" i="2"/>
  <c r="AT901" i="2"/>
  <c r="H901" i="1"/>
  <c r="AS901" i="2"/>
  <c r="G901" i="1"/>
  <c r="AR901" i="2"/>
  <c r="AQ901" i="2"/>
  <c r="AP901" i="2"/>
  <c r="D901" i="1"/>
  <c r="AO901" i="2"/>
  <c r="AN901" i="2"/>
  <c r="AM901" i="2"/>
  <c r="AJ901" i="2"/>
  <c r="AI901" i="2"/>
  <c r="BM900" i="2"/>
  <c r="AA900" i="1"/>
  <c r="BL900" i="2"/>
  <c r="BK900" i="2"/>
  <c r="BJ900" i="2"/>
  <c r="X900" i="1"/>
  <c r="BI900" i="2"/>
  <c r="BH900" i="2"/>
  <c r="BG900" i="2"/>
  <c r="U900" i="1"/>
  <c r="BF900" i="2"/>
  <c r="BE900" i="2"/>
  <c r="S900" i="1"/>
  <c r="BD900" i="2"/>
  <c r="BC900" i="2"/>
  <c r="BB900" i="2"/>
  <c r="BA900" i="2"/>
  <c r="AZ900" i="2"/>
  <c r="AY900" i="2"/>
  <c r="AX900" i="2"/>
  <c r="AW900" i="2"/>
  <c r="AV900" i="2"/>
  <c r="AU900" i="2"/>
  <c r="AT900" i="2"/>
  <c r="H900" i="1"/>
  <c r="AS900" i="2"/>
  <c r="G900" i="1"/>
  <c r="AR900" i="2"/>
  <c r="AQ900" i="2"/>
  <c r="AP900" i="2"/>
  <c r="D900" i="1"/>
  <c r="AO900" i="2"/>
  <c r="AN900" i="2"/>
  <c r="AM900" i="2"/>
  <c r="AJ900" i="2"/>
  <c r="AI900" i="2"/>
  <c r="BM899" i="2"/>
  <c r="AA899" i="1"/>
  <c r="BL899" i="2"/>
  <c r="BK899" i="2"/>
  <c r="BJ899" i="2"/>
  <c r="X899" i="1"/>
  <c r="BI899" i="2"/>
  <c r="BH899" i="2"/>
  <c r="BG899" i="2"/>
  <c r="U899" i="1"/>
  <c r="BF899" i="2"/>
  <c r="BE899" i="2"/>
  <c r="S899" i="1"/>
  <c r="BD899" i="2"/>
  <c r="BC899" i="2"/>
  <c r="BB899" i="2"/>
  <c r="BA899" i="2"/>
  <c r="AZ899" i="2"/>
  <c r="AY899" i="2"/>
  <c r="AX899" i="2"/>
  <c r="AW899" i="2"/>
  <c r="AV899" i="2"/>
  <c r="AU899" i="2"/>
  <c r="AT899" i="2"/>
  <c r="H899" i="1"/>
  <c r="AS899" i="2"/>
  <c r="G899" i="1"/>
  <c r="AR899" i="2"/>
  <c r="AQ899" i="2"/>
  <c r="AP899" i="2"/>
  <c r="D899" i="1"/>
  <c r="AO899" i="2"/>
  <c r="AN899" i="2"/>
  <c r="AM899" i="2"/>
  <c r="AJ899" i="2"/>
  <c r="AI899" i="2"/>
  <c r="BM898" i="2"/>
  <c r="AA898" i="1"/>
  <c r="BL898" i="2"/>
  <c r="BK898" i="2"/>
  <c r="BJ898" i="2"/>
  <c r="X898" i="1"/>
  <c r="BI898" i="2"/>
  <c r="BH898" i="2"/>
  <c r="BG898" i="2"/>
  <c r="U898" i="1"/>
  <c r="BF898" i="2"/>
  <c r="BE898" i="2"/>
  <c r="S898" i="1"/>
  <c r="BD898" i="2"/>
  <c r="BC898" i="2"/>
  <c r="BB898" i="2"/>
  <c r="BA898" i="2"/>
  <c r="AZ898" i="2"/>
  <c r="AY898" i="2"/>
  <c r="AX898" i="2"/>
  <c r="AW898" i="2"/>
  <c r="AV898" i="2"/>
  <c r="AU898" i="2"/>
  <c r="AT898" i="2"/>
  <c r="H898" i="1"/>
  <c r="AS898" i="2"/>
  <c r="G898" i="1"/>
  <c r="AR898" i="2"/>
  <c r="AQ898" i="2"/>
  <c r="AP898" i="2"/>
  <c r="D898" i="1"/>
  <c r="AO898" i="2"/>
  <c r="AN898" i="2"/>
  <c r="AM898" i="2"/>
  <c r="AJ898" i="2"/>
  <c r="AI898" i="2"/>
  <c r="BM897" i="2"/>
  <c r="AA897" i="1"/>
  <c r="BL897" i="2"/>
  <c r="BK897" i="2"/>
  <c r="BJ897" i="2"/>
  <c r="X897" i="1"/>
  <c r="BI897" i="2"/>
  <c r="BH897" i="2"/>
  <c r="BG897" i="2"/>
  <c r="U897" i="1"/>
  <c r="BF897" i="2"/>
  <c r="BE897" i="2"/>
  <c r="S897" i="1"/>
  <c r="BD897" i="2"/>
  <c r="BC897" i="2"/>
  <c r="BB897" i="2"/>
  <c r="BA897" i="2"/>
  <c r="AZ897" i="2"/>
  <c r="AY897" i="2"/>
  <c r="AX897" i="2"/>
  <c r="AW897" i="2"/>
  <c r="AV897" i="2"/>
  <c r="AU897" i="2"/>
  <c r="AT897" i="2"/>
  <c r="H897" i="1"/>
  <c r="AS897" i="2"/>
  <c r="G897" i="1"/>
  <c r="AR897" i="2"/>
  <c r="AQ897" i="2"/>
  <c r="AP897" i="2"/>
  <c r="D897" i="1"/>
  <c r="AO897" i="2"/>
  <c r="AN897" i="2"/>
  <c r="AM897" i="2"/>
  <c r="AJ897" i="2"/>
  <c r="AI897" i="2"/>
  <c r="BM896" i="2"/>
  <c r="AA896" i="1"/>
  <c r="BL896" i="2"/>
  <c r="BK896" i="2"/>
  <c r="BJ896" i="2"/>
  <c r="X896" i="1"/>
  <c r="BI896" i="2"/>
  <c r="BH896" i="2"/>
  <c r="BG896" i="2"/>
  <c r="U896" i="1"/>
  <c r="BF896" i="2"/>
  <c r="BE896" i="2"/>
  <c r="S896" i="1"/>
  <c r="BD896" i="2"/>
  <c r="BC896" i="2"/>
  <c r="BB896" i="2"/>
  <c r="BA896" i="2"/>
  <c r="AZ896" i="2"/>
  <c r="AY896" i="2"/>
  <c r="AX896" i="2"/>
  <c r="AW896" i="2"/>
  <c r="AV896" i="2"/>
  <c r="AU896" i="2"/>
  <c r="AT896" i="2"/>
  <c r="H896" i="1"/>
  <c r="AS896" i="2"/>
  <c r="G896" i="1"/>
  <c r="AR896" i="2"/>
  <c r="AQ896" i="2"/>
  <c r="AP896" i="2"/>
  <c r="D896" i="1"/>
  <c r="AO896" i="2"/>
  <c r="AN896" i="2"/>
  <c r="AM896" i="2"/>
  <c r="AJ896" i="2"/>
  <c r="AI896" i="2"/>
  <c r="BM895" i="2"/>
  <c r="AA895" i="1"/>
  <c r="BL895" i="2"/>
  <c r="BK895" i="2"/>
  <c r="BJ895" i="2"/>
  <c r="X895" i="1"/>
  <c r="BI895" i="2"/>
  <c r="BH895" i="2"/>
  <c r="BG895" i="2"/>
  <c r="U895" i="1"/>
  <c r="BF895" i="2"/>
  <c r="BE895" i="2"/>
  <c r="S895" i="1"/>
  <c r="BD895" i="2"/>
  <c r="BC895" i="2"/>
  <c r="BB895" i="2"/>
  <c r="BA895" i="2"/>
  <c r="AZ895" i="2"/>
  <c r="AY895" i="2"/>
  <c r="AX895" i="2"/>
  <c r="AW895" i="2"/>
  <c r="AV895" i="2"/>
  <c r="AU895" i="2"/>
  <c r="AT895" i="2"/>
  <c r="H895" i="1"/>
  <c r="AS895" i="2"/>
  <c r="G895" i="1"/>
  <c r="AR895" i="2"/>
  <c r="AQ895" i="2"/>
  <c r="AP895" i="2"/>
  <c r="D895" i="1"/>
  <c r="AO895" i="2"/>
  <c r="AN895" i="2"/>
  <c r="AM895" i="2"/>
  <c r="AJ895" i="2"/>
  <c r="AI895" i="2"/>
  <c r="BM894" i="2"/>
  <c r="AA894" i="1"/>
  <c r="BL894" i="2"/>
  <c r="BK894" i="2"/>
  <c r="BJ894" i="2"/>
  <c r="X894" i="1"/>
  <c r="BI894" i="2"/>
  <c r="BH894" i="2"/>
  <c r="BG894" i="2"/>
  <c r="U894" i="1"/>
  <c r="BF894" i="2"/>
  <c r="BE894" i="2"/>
  <c r="S894" i="1"/>
  <c r="BD894" i="2"/>
  <c r="BC894" i="2"/>
  <c r="BB894" i="2"/>
  <c r="BA894" i="2"/>
  <c r="AZ894" i="2"/>
  <c r="AY894" i="2"/>
  <c r="AX894" i="2"/>
  <c r="AW894" i="2"/>
  <c r="AV894" i="2"/>
  <c r="AU894" i="2"/>
  <c r="AT894" i="2"/>
  <c r="H894" i="1"/>
  <c r="AS894" i="2"/>
  <c r="G894" i="1"/>
  <c r="AR894" i="2"/>
  <c r="AQ894" i="2"/>
  <c r="AP894" i="2"/>
  <c r="D894" i="1"/>
  <c r="AO894" i="2"/>
  <c r="AN894" i="2"/>
  <c r="AM894" i="2"/>
  <c r="AJ894" i="2"/>
  <c r="AI894" i="2"/>
  <c r="BM893" i="2"/>
  <c r="AA893" i="1"/>
  <c r="BL893" i="2"/>
  <c r="BK893" i="2"/>
  <c r="BJ893" i="2"/>
  <c r="X893" i="1"/>
  <c r="BI893" i="2"/>
  <c r="BH893" i="2"/>
  <c r="BG893" i="2"/>
  <c r="U893" i="1"/>
  <c r="BF893" i="2"/>
  <c r="BE893" i="2"/>
  <c r="S893" i="1"/>
  <c r="BD893" i="2"/>
  <c r="BC893" i="2"/>
  <c r="BB893" i="2"/>
  <c r="BA893" i="2"/>
  <c r="AZ893" i="2"/>
  <c r="AY893" i="2"/>
  <c r="AX893" i="2"/>
  <c r="AW893" i="2"/>
  <c r="AV893" i="2"/>
  <c r="AU893" i="2"/>
  <c r="AT893" i="2"/>
  <c r="H893" i="1"/>
  <c r="AS893" i="2"/>
  <c r="G893" i="1"/>
  <c r="AR893" i="2"/>
  <c r="AQ893" i="2"/>
  <c r="AP893" i="2"/>
  <c r="D893" i="1"/>
  <c r="AO893" i="2"/>
  <c r="AN893" i="2"/>
  <c r="AM893" i="2"/>
  <c r="AJ893" i="2"/>
  <c r="AI893" i="2"/>
  <c r="BM892" i="2"/>
  <c r="AA892" i="1"/>
  <c r="BL892" i="2"/>
  <c r="BK892" i="2"/>
  <c r="BJ892" i="2"/>
  <c r="X892" i="1"/>
  <c r="BI892" i="2"/>
  <c r="BH892" i="2"/>
  <c r="BG892" i="2"/>
  <c r="U892" i="1"/>
  <c r="BF892" i="2"/>
  <c r="BE892" i="2"/>
  <c r="S892" i="1"/>
  <c r="BD892" i="2"/>
  <c r="BC892" i="2"/>
  <c r="BB892" i="2"/>
  <c r="BA892" i="2"/>
  <c r="AZ892" i="2"/>
  <c r="AY892" i="2"/>
  <c r="AX892" i="2"/>
  <c r="AW892" i="2"/>
  <c r="AV892" i="2"/>
  <c r="AU892" i="2"/>
  <c r="AT892" i="2"/>
  <c r="H892" i="1"/>
  <c r="AS892" i="2"/>
  <c r="G892" i="1"/>
  <c r="AR892" i="2"/>
  <c r="AQ892" i="2"/>
  <c r="AP892" i="2"/>
  <c r="D892" i="1"/>
  <c r="AO892" i="2"/>
  <c r="AN892" i="2"/>
  <c r="AM892" i="2"/>
  <c r="AJ892" i="2"/>
  <c r="AI892" i="2"/>
  <c r="BM891" i="2"/>
  <c r="AA891" i="1"/>
  <c r="BL891" i="2"/>
  <c r="BK891" i="2"/>
  <c r="BJ891" i="2"/>
  <c r="X891" i="1"/>
  <c r="BI891" i="2"/>
  <c r="BH891" i="2"/>
  <c r="BG891" i="2"/>
  <c r="U891" i="1"/>
  <c r="BF891" i="2"/>
  <c r="BE891" i="2"/>
  <c r="S891" i="1"/>
  <c r="BD891" i="2"/>
  <c r="BC891" i="2"/>
  <c r="BB891" i="2"/>
  <c r="BA891" i="2"/>
  <c r="AZ891" i="2"/>
  <c r="AY891" i="2"/>
  <c r="AX891" i="2"/>
  <c r="AW891" i="2"/>
  <c r="AV891" i="2"/>
  <c r="AU891" i="2"/>
  <c r="AT891" i="2"/>
  <c r="H891" i="1"/>
  <c r="AS891" i="2"/>
  <c r="G891" i="1"/>
  <c r="AR891" i="2"/>
  <c r="AQ891" i="2"/>
  <c r="AP891" i="2"/>
  <c r="D891" i="1"/>
  <c r="AO891" i="2"/>
  <c r="AN891" i="2"/>
  <c r="AM891" i="2"/>
  <c r="AJ891" i="2"/>
  <c r="AI891" i="2"/>
  <c r="BM890" i="2"/>
  <c r="AA890" i="1"/>
  <c r="BL890" i="2"/>
  <c r="BK890" i="2"/>
  <c r="BJ890" i="2"/>
  <c r="X890" i="1"/>
  <c r="BI890" i="2"/>
  <c r="BH890" i="2"/>
  <c r="BG890" i="2"/>
  <c r="U890" i="1"/>
  <c r="BF890" i="2"/>
  <c r="BE890" i="2"/>
  <c r="S890" i="1"/>
  <c r="BD890" i="2"/>
  <c r="BC890" i="2"/>
  <c r="BB890" i="2"/>
  <c r="BA890" i="2"/>
  <c r="AZ890" i="2"/>
  <c r="AY890" i="2"/>
  <c r="AX890" i="2"/>
  <c r="AW890" i="2"/>
  <c r="AV890" i="2"/>
  <c r="AU890" i="2"/>
  <c r="AT890" i="2"/>
  <c r="H890" i="1"/>
  <c r="AS890" i="2"/>
  <c r="G890" i="1"/>
  <c r="AR890" i="2"/>
  <c r="AQ890" i="2"/>
  <c r="AP890" i="2"/>
  <c r="D890" i="1"/>
  <c r="AO890" i="2"/>
  <c r="AN890" i="2"/>
  <c r="AM890" i="2"/>
  <c r="AJ890" i="2"/>
  <c r="AI890" i="2"/>
  <c r="BM889" i="2"/>
  <c r="AA889" i="1"/>
  <c r="BL889" i="2"/>
  <c r="BK889" i="2"/>
  <c r="BJ889" i="2"/>
  <c r="X889" i="1"/>
  <c r="BI889" i="2"/>
  <c r="BH889" i="2"/>
  <c r="BG889" i="2"/>
  <c r="U889" i="1"/>
  <c r="BF889" i="2"/>
  <c r="BE889" i="2"/>
  <c r="S889" i="1"/>
  <c r="BD889" i="2"/>
  <c r="BC889" i="2"/>
  <c r="BB889" i="2"/>
  <c r="BA889" i="2"/>
  <c r="AZ889" i="2"/>
  <c r="AY889" i="2"/>
  <c r="AX889" i="2"/>
  <c r="AW889" i="2"/>
  <c r="AV889" i="2"/>
  <c r="AU889" i="2"/>
  <c r="AT889" i="2"/>
  <c r="H889" i="1"/>
  <c r="AS889" i="2"/>
  <c r="G889" i="1"/>
  <c r="AR889" i="2"/>
  <c r="AQ889" i="2"/>
  <c r="AP889" i="2"/>
  <c r="D889" i="1"/>
  <c r="AO889" i="2"/>
  <c r="AN889" i="2"/>
  <c r="AM889" i="2"/>
  <c r="AJ889" i="2"/>
  <c r="AI889" i="2"/>
  <c r="BM888" i="2"/>
  <c r="AA888" i="1"/>
  <c r="BL888" i="2"/>
  <c r="BK888" i="2"/>
  <c r="BJ888" i="2"/>
  <c r="X888" i="1"/>
  <c r="BI888" i="2"/>
  <c r="BH888" i="2"/>
  <c r="BG888" i="2"/>
  <c r="U888" i="1"/>
  <c r="BF888" i="2"/>
  <c r="BE888" i="2"/>
  <c r="S888" i="1"/>
  <c r="BD888" i="2"/>
  <c r="BC888" i="2"/>
  <c r="BB888" i="2"/>
  <c r="BA888" i="2"/>
  <c r="AZ888" i="2"/>
  <c r="AY888" i="2"/>
  <c r="AX888" i="2"/>
  <c r="AW888" i="2"/>
  <c r="AV888" i="2"/>
  <c r="AU888" i="2"/>
  <c r="AT888" i="2"/>
  <c r="H888" i="1"/>
  <c r="AS888" i="2"/>
  <c r="G888" i="1"/>
  <c r="AR888" i="2"/>
  <c r="AQ888" i="2"/>
  <c r="AP888" i="2"/>
  <c r="D888" i="1"/>
  <c r="AO888" i="2"/>
  <c r="AN888" i="2"/>
  <c r="AM888" i="2"/>
  <c r="AJ888" i="2"/>
  <c r="AI888" i="2"/>
  <c r="BM887" i="2"/>
  <c r="AA887" i="1"/>
  <c r="BL887" i="2"/>
  <c r="BK887" i="2"/>
  <c r="BJ887" i="2"/>
  <c r="X887" i="1"/>
  <c r="BI887" i="2"/>
  <c r="BH887" i="2"/>
  <c r="BG887" i="2"/>
  <c r="U887" i="1"/>
  <c r="BF887" i="2"/>
  <c r="BE887" i="2"/>
  <c r="S887" i="1"/>
  <c r="BD887" i="2"/>
  <c r="BC887" i="2"/>
  <c r="BB887" i="2"/>
  <c r="BA887" i="2"/>
  <c r="AZ887" i="2"/>
  <c r="AY887" i="2"/>
  <c r="AX887" i="2"/>
  <c r="AW887" i="2"/>
  <c r="AV887" i="2"/>
  <c r="AU887" i="2"/>
  <c r="AT887" i="2"/>
  <c r="H887" i="1"/>
  <c r="AS887" i="2"/>
  <c r="G887" i="1"/>
  <c r="AR887" i="2"/>
  <c r="AQ887" i="2"/>
  <c r="AP887" i="2"/>
  <c r="D887" i="1"/>
  <c r="AO887" i="2"/>
  <c r="AN887" i="2"/>
  <c r="AM887" i="2"/>
  <c r="AJ887" i="2"/>
  <c r="AI887" i="2"/>
  <c r="BM886" i="2"/>
  <c r="AA886" i="1"/>
  <c r="BL886" i="2"/>
  <c r="BK886" i="2"/>
  <c r="BJ886" i="2"/>
  <c r="X886" i="1"/>
  <c r="BI886" i="2"/>
  <c r="BH886" i="2"/>
  <c r="BG886" i="2"/>
  <c r="U886" i="1"/>
  <c r="BF886" i="2"/>
  <c r="BE886" i="2"/>
  <c r="S886" i="1"/>
  <c r="BD886" i="2"/>
  <c r="BC886" i="2"/>
  <c r="BB886" i="2"/>
  <c r="BA886" i="2"/>
  <c r="AZ886" i="2"/>
  <c r="AY886" i="2"/>
  <c r="AX886" i="2"/>
  <c r="AW886" i="2"/>
  <c r="AV886" i="2"/>
  <c r="AU886" i="2"/>
  <c r="AT886" i="2"/>
  <c r="H886" i="1"/>
  <c r="AS886" i="2"/>
  <c r="G886" i="1"/>
  <c r="AR886" i="2"/>
  <c r="AQ886" i="2"/>
  <c r="AP886" i="2"/>
  <c r="D886" i="1"/>
  <c r="AO886" i="2"/>
  <c r="AN886" i="2"/>
  <c r="AM886" i="2"/>
  <c r="AJ886" i="2"/>
  <c r="AI886" i="2"/>
  <c r="BM885" i="2"/>
  <c r="AA885" i="1"/>
  <c r="BL885" i="2"/>
  <c r="BK885" i="2"/>
  <c r="BJ885" i="2"/>
  <c r="X885" i="1"/>
  <c r="BI885" i="2"/>
  <c r="BH885" i="2"/>
  <c r="BG885" i="2"/>
  <c r="U885" i="1"/>
  <c r="BF885" i="2"/>
  <c r="BE885" i="2"/>
  <c r="S885" i="1"/>
  <c r="BD885" i="2"/>
  <c r="BC885" i="2"/>
  <c r="BB885" i="2"/>
  <c r="BA885" i="2"/>
  <c r="AZ885" i="2"/>
  <c r="AY885" i="2"/>
  <c r="AX885" i="2"/>
  <c r="AW885" i="2"/>
  <c r="AV885" i="2"/>
  <c r="AU885" i="2"/>
  <c r="AT885" i="2"/>
  <c r="H885" i="1"/>
  <c r="AS885" i="2"/>
  <c r="G885" i="1"/>
  <c r="AR885" i="2"/>
  <c r="AQ885" i="2"/>
  <c r="AP885" i="2"/>
  <c r="D885" i="1"/>
  <c r="AO885" i="2"/>
  <c r="AN885" i="2"/>
  <c r="AM885" i="2"/>
  <c r="AJ885" i="2"/>
  <c r="AI885" i="2"/>
  <c r="BM884" i="2"/>
  <c r="AA884" i="1"/>
  <c r="BL884" i="2"/>
  <c r="BK884" i="2"/>
  <c r="BJ884" i="2"/>
  <c r="X884" i="1"/>
  <c r="BI884" i="2"/>
  <c r="BH884" i="2"/>
  <c r="BG884" i="2"/>
  <c r="U884" i="1"/>
  <c r="BF884" i="2"/>
  <c r="BE884" i="2"/>
  <c r="S884" i="1"/>
  <c r="BD884" i="2"/>
  <c r="BC884" i="2"/>
  <c r="BB884" i="2"/>
  <c r="BA884" i="2"/>
  <c r="AZ884" i="2"/>
  <c r="AY884" i="2"/>
  <c r="AX884" i="2"/>
  <c r="AW884" i="2"/>
  <c r="AV884" i="2"/>
  <c r="AU884" i="2"/>
  <c r="AT884" i="2"/>
  <c r="H884" i="1"/>
  <c r="AS884" i="2"/>
  <c r="G884" i="1"/>
  <c r="AR884" i="2"/>
  <c r="AQ884" i="2"/>
  <c r="AP884" i="2"/>
  <c r="D884" i="1"/>
  <c r="AO884" i="2"/>
  <c r="AN884" i="2"/>
  <c r="AM884" i="2"/>
  <c r="AJ884" i="2"/>
  <c r="AI884" i="2"/>
  <c r="BM883" i="2"/>
  <c r="AA883" i="1"/>
  <c r="BL883" i="2"/>
  <c r="BK883" i="2"/>
  <c r="BJ883" i="2"/>
  <c r="X883" i="1"/>
  <c r="BI883" i="2"/>
  <c r="BH883" i="2"/>
  <c r="BG883" i="2"/>
  <c r="U883" i="1"/>
  <c r="BF883" i="2"/>
  <c r="BE883" i="2"/>
  <c r="S883" i="1"/>
  <c r="BD883" i="2"/>
  <c r="BC883" i="2"/>
  <c r="BB883" i="2"/>
  <c r="BA883" i="2"/>
  <c r="AZ883" i="2"/>
  <c r="AY883" i="2"/>
  <c r="AX883" i="2"/>
  <c r="AW883" i="2"/>
  <c r="AV883" i="2"/>
  <c r="AU883" i="2"/>
  <c r="AT883" i="2"/>
  <c r="H883" i="1"/>
  <c r="AS883" i="2"/>
  <c r="G883" i="1"/>
  <c r="AR883" i="2"/>
  <c r="AQ883" i="2"/>
  <c r="AP883" i="2"/>
  <c r="D883" i="1"/>
  <c r="AO883" i="2"/>
  <c r="AN883" i="2"/>
  <c r="AM883" i="2"/>
  <c r="AJ883" i="2"/>
  <c r="AI883" i="2"/>
  <c r="BM882" i="2"/>
  <c r="AA882" i="1"/>
  <c r="BL882" i="2"/>
  <c r="BK882" i="2"/>
  <c r="BJ882" i="2"/>
  <c r="X882" i="1"/>
  <c r="BI882" i="2"/>
  <c r="BH882" i="2"/>
  <c r="BG882" i="2"/>
  <c r="U882" i="1"/>
  <c r="BF882" i="2"/>
  <c r="BE882" i="2"/>
  <c r="S882" i="1"/>
  <c r="BD882" i="2"/>
  <c r="BC882" i="2"/>
  <c r="BB882" i="2"/>
  <c r="BA882" i="2"/>
  <c r="AZ882" i="2"/>
  <c r="AY882" i="2"/>
  <c r="AX882" i="2"/>
  <c r="AW882" i="2"/>
  <c r="AV882" i="2"/>
  <c r="AU882" i="2"/>
  <c r="AT882" i="2"/>
  <c r="H882" i="1"/>
  <c r="AS882" i="2"/>
  <c r="G882" i="1"/>
  <c r="AR882" i="2"/>
  <c r="AQ882" i="2"/>
  <c r="AP882" i="2"/>
  <c r="D882" i="1"/>
  <c r="AO882" i="2"/>
  <c r="AN882" i="2"/>
  <c r="AM882" i="2"/>
  <c r="AJ882" i="2"/>
  <c r="AI882" i="2"/>
  <c r="BM881" i="2"/>
  <c r="AA881" i="1"/>
  <c r="BL881" i="2"/>
  <c r="BK881" i="2"/>
  <c r="BJ881" i="2"/>
  <c r="X881" i="1"/>
  <c r="BI881" i="2"/>
  <c r="BH881" i="2"/>
  <c r="BG881" i="2"/>
  <c r="U881" i="1"/>
  <c r="BF881" i="2"/>
  <c r="BE881" i="2"/>
  <c r="S881" i="1"/>
  <c r="BD881" i="2"/>
  <c r="BC881" i="2"/>
  <c r="BB881" i="2"/>
  <c r="BA881" i="2"/>
  <c r="AZ881" i="2"/>
  <c r="AY881" i="2"/>
  <c r="AX881" i="2"/>
  <c r="AW881" i="2"/>
  <c r="AV881" i="2"/>
  <c r="AU881" i="2"/>
  <c r="AT881" i="2"/>
  <c r="H881" i="1"/>
  <c r="AS881" i="2"/>
  <c r="G881" i="1"/>
  <c r="AR881" i="2"/>
  <c r="AQ881" i="2"/>
  <c r="AP881" i="2"/>
  <c r="D881" i="1"/>
  <c r="AO881" i="2"/>
  <c r="AN881" i="2"/>
  <c r="AM881" i="2"/>
  <c r="AJ881" i="2"/>
  <c r="AI881" i="2"/>
  <c r="BM880" i="2"/>
  <c r="AA880" i="1"/>
  <c r="BL880" i="2"/>
  <c r="BK880" i="2"/>
  <c r="BJ880" i="2"/>
  <c r="X880" i="1"/>
  <c r="BI880" i="2"/>
  <c r="BH880" i="2"/>
  <c r="BG880" i="2"/>
  <c r="U880" i="1"/>
  <c r="BF880" i="2"/>
  <c r="BE880" i="2"/>
  <c r="S880" i="1"/>
  <c r="BD880" i="2"/>
  <c r="BC880" i="2"/>
  <c r="BB880" i="2"/>
  <c r="BA880" i="2"/>
  <c r="AZ880" i="2"/>
  <c r="AY880" i="2"/>
  <c r="AX880" i="2"/>
  <c r="AW880" i="2"/>
  <c r="AV880" i="2"/>
  <c r="AU880" i="2"/>
  <c r="AT880" i="2"/>
  <c r="H880" i="1"/>
  <c r="AS880" i="2"/>
  <c r="G880" i="1"/>
  <c r="AR880" i="2"/>
  <c r="AQ880" i="2"/>
  <c r="AP880" i="2"/>
  <c r="D880" i="1"/>
  <c r="AO880" i="2"/>
  <c r="AN880" i="2"/>
  <c r="AM880" i="2"/>
  <c r="AJ880" i="2"/>
  <c r="AI880" i="2"/>
  <c r="BM879" i="2"/>
  <c r="AA879" i="1"/>
  <c r="BL879" i="2"/>
  <c r="BK879" i="2"/>
  <c r="BJ879" i="2"/>
  <c r="X879" i="1"/>
  <c r="BI879" i="2"/>
  <c r="BH879" i="2"/>
  <c r="BG879" i="2"/>
  <c r="U879" i="1"/>
  <c r="BF879" i="2"/>
  <c r="BE879" i="2"/>
  <c r="S879" i="1"/>
  <c r="BD879" i="2"/>
  <c r="BC879" i="2"/>
  <c r="BB879" i="2"/>
  <c r="BA879" i="2"/>
  <c r="AZ879" i="2"/>
  <c r="AY879" i="2"/>
  <c r="AX879" i="2"/>
  <c r="AW879" i="2"/>
  <c r="AV879" i="2"/>
  <c r="AU879" i="2"/>
  <c r="AT879" i="2"/>
  <c r="H879" i="1"/>
  <c r="AS879" i="2"/>
  <c r="G879" i="1"/>
  <c r="AR879" i="2"/>
  <c r="AQ879" i="2"/>
  <c r="AP879" i="2"/>
  <c r="D879" i="1"/>
  <c r="AO879" i="2"/>
  <c r="AN879" i="2"/>
  <c r="AM879" i="2"/>
  <c r="AJ879" i="2"/>
  <c r="AI879" i="2"/>
  <c r="BM878" i="2"/>
  <c r="AA878" i="1"/>
  <c r="BL878" i="2"/>
  <c r="BK878" i="2"/>
  <c r="BJ878" i="2"/>
  <c r="X878" i="1"/>
  <c r="BI878" i="2"/>
  <c r="BH878" i="2"/>
  <c r="BG878" i="2"/>
  <c r="U878" i="1"/>
  <c r="BF878" i="2"/>
  <c r="BE878" i="2"/>
  <c r="S878" i="1"/>
  <c r="BD878" i="2"/>
  <c r="BC878" i="2"/>
  <c r="BB878" i="2"/>
  <c r="BA878" i="2"/>
  <c r="AZ878" i="2"/>
  <c r="AY878" i="2"/>
  <c r="AX878" i="2"/>
  <c r="AW878" i="2"/>
  <c r="AV878" i="2"/>
  <c r="AU878" i="2"/>
  <c r="AT878" i="2"/>
  <c r="H878" i="1"/>
  <c r="AS878" i="2"/>
  <c r="G878" i="1"/>
  <c r="AR878" i="2"/>
  <c r="AQ878" i="2"/>
  <c r="AP878" i="2"/>
  <c r="D878" i="1"/>
  <c r="AO878" i="2"/>
  <c r="AN878" i="2"/>
  <c r="AM878" i="2"/>
  <c r="AJ878" i="2"/>
  <c r="AI878" i="2"/>
  <c r="BM877" i="2"/>
  <c r="AA877" i="1"/>
  <c r="BL877" i="2"/>
  <c r="BK877" i="2"/>
  <c r="BJ877" i="2"/>
  <c r="X877" i="1"/>
  <c r="BI877" i="2"/>
  <c r="BH877" i="2"/>
  <c r="BG877" i="2"/>
  <c r="U877" i="1"/>
  <c r="BF877" i="2"/>
  <c r="BE877" i="2"/>
  <c r="S877" i="1"/>
  <c r="BD877" i="2"/>
  <c r="BC877" i="2"/>
  <c r="BB877" i="2"/>
  <c r="BA877" i="2"/>
  <c r="AZ877" i="2"/>
  <c r="AY877" i="2"/>
  <c r="AX877" i="2"/>
  <c r="AW877" i="2"/>
  <c r="AV877" i="2"/>
  <c r="AU877" i="2"/>
  <c r="AT877" i="2"/>
  <c r="H877" i="1"/>
  <c r="AS877" i="2"/>
  <c r="G877" i="1"/>
  <c r="AR877" i="2"/>
  <c r="AQ877" i="2"/>
  <c r="AP877" i="2"/>
  <c r="D877" i="1"/>
  <c r="AO877" i="2"/>
  <c r="AN877" i="2"/>
  <c r="AM877" i="2"/>
  <c r="AJ877" i="2"/>
  <c r="AI877" i="2"/>
  <c r="BM876" i="2"/>
  <c r="AA876" i="1"/>
  <c r="BL876" i="2"/>
  <c r="BK876" i="2"/>
  <c r="BJ876" i="2"/>
  <c r="X876" i="1"/>
  <c r="BI876" i="2"/>
  <c r="BH876" i="2"/>
  <c r="BG876" i="2"/>
  <c r="U876" i="1"/>
  <c r="BF876" i="2"/>
  <c r="BE876" i="2"/>
  <c r="S876" i="1"/>
  <c r="BD876" i="2"/>
  <c r="BC876" i="2"/>
  <c r="BB876" i="2"/>
  <c r="BA876" i="2"/>
  <c r="AZ876" i="2"/>
  <c r="AY876" i="2"/>
  <c r="AX876" i="2"/>
  <c r="AW876" i="2"/>
  <c r="AV876" i="2"/>
  <c r="AU876" i="2"/>
  <c r="AT876" i="2"/>
  <c r="H876" i="1"/>
  <c r="AS876" i="2"/>
  <c r="G876" i="1"/>
  <c r="AR876" i="2"/>
  <c r="AQ876" i="2"/>
  <c r="AP876" i="2"/>
  <c r="D876" i="1"/>
  <c r="AO876" i="2"/>
  <c r="AN876" i="2"/>
  <c r="AM876" i="2"/>
  <c r="AJ876" i="2"/>
  <c r="AI876" i="2"/>
  <c r="BM875" i="2"/>
  <c r="AA875" i="1"/>
  <c r="BL875" i="2"/>
  <c r="BK875" i="2"/>
  <c r="BJ875" i="2"/>
  <c r="X875" i="1"/>
  <c r="BI875" i="2"/>
  <c r="BH875" i="2"/>
  <c r="BG875" i="2"/>
  <c r="U875" i="1"/>
  <c r="BF875" i="2"/>
  <c r="BE875" i="2"/>
  <c r="S875" i="1"/>
  <c r="BD875" i="2"/>
  <c r="BC875" i="2"/>
  <c r="BB875" i="2"/>
  <c r="BA875" i="2"/>
  <c r="AZ875" i="2"/>
  <c r="AY875" i="2"/>
  <c r="AX875" i="2"/>
  <c r="AW875" i="2"/>
  <c r="AV875" i="2"/>
  <c r="AU875" i="2"/>
  <c r="AT875" i="2"/>
  <c r="H875" i="1"/>
  <c r="AS875" i="2"/>
  <c r="G875" i="1"/>
  <c r="AR875" i="2"/>
  <c r="AQ875" i="2"/>
  <c r="AP875" i="2"/>
  <c r="D875" i="1"/>
  <c r="AO875" i="2"/>
  <c r="AN875" i="2"/>
  <c r="AM875" i="2"/>
  <c r="AJ875" i="2"/>
  <c r="AI875" i="2"/>
  <c r="BM874" i="2"/>
  <c r="AA874" i="1"/>
  <c r="BL874" i="2"/>
  <c r="BK874" i="2"/>
  <c r="BJ874" i="2"/>
  <c r="X874" i="1"/>
  <c r="BI874" i="2"/>
  <c r="BH874" i="2"/>
  <c r="BG874" i="2"/>
  <c r="U874" i="1"/>
  <c r="BF874" i="2"/>
  <c r="BE874" i="2"/>
  <c r="S874" i="1"/>
  <c r="BD874" i="2"/>
  <c r="BC874" i="2"/>
  <c r="BB874" i="2"/>
  <c r="BA874" i="2"/>
  <c r="AZ874" i="2"/>
  <c r="AY874" i="2"/>
  <c r="AX874" i="2"/>
  <c r="AW874" i="2"/>
  <c r="AV874" i="2"/>
  <c r="AU874" i="2"/>
  <c r="AT874" i="2"/>
  <c r="H874" i="1"/>
  <c r="AS874" i="2"/>
  <c r="G874" i="1"/>
  <c r="AR874" i="2"/>
  <c r="AQ874" i="2"/>
  <c r="AP874" i="2"/>
  <c r="D874" i="1"/>
  <c r="AO874" i="2"/>
  <c r="AN874" i="2"/>
  <c r="AM874" i="2"/>
  <c r="AJ874" i="2"/>
  <c r="AI874" i="2"/>
  <c r="BM873" i="2"/>
  <c r="AA873" i="1"/>
  <c r="BL873" i="2"/>
  <c r="BK873" i="2"/>
  <c r="BJ873" i="2"/>
  <c r="X873" i="1"/>
  <c r="BI873" i="2"/>
  <c r="BH873" i="2"/>
  <c r="BG873" i="2"/>
  <c r="U873" i="1"/>
  <c r="BF873" i="2"/>
  <c r="BE873" i="2"/>
  <c r="S873" i="1"/>
  <c r="BD873" i="2"/>
  <c r="BC873" i="2"/>
  <c r="BB873" i="2"/>
  <c r="BA873" i="2"/>
  <c r="AZ873" i="2"/>
  <c r="AY873" i="2"/>
  <c r="AX873" i="2"/>
  <c r="AW873" i="2"/>
  <c r="AV873" i="2"/>
  <c r="AU873" i="2"/>
  <c r="AT873" i="2"/>
  <c r="H873" i="1"/>
  <c r="AS873" i="2"/>
  <c r="G873" i="1"/>
  <c r="AR873" i="2"/>
  <c r="AQ873" i="2"/>
  <c r="AP873" i="2"/>
  <c r="D873" i="1"/>
  <c r="AO873" i="2"/>
  <c r="AN873" i="2"/>
  <c r="AM873" i="2"/>
  <c r="AJ873" i="2"/>
  <c r="AI873" i="2"/>
  <c r="BM872" i="2"/>
  <c r="AA872" i="1"/>
  <c r="BL872" i="2"/>
  <c r="BK872" i="2"/>
  <c r="BJ872" i="2"/>
  <c r="X872" i="1"/>
  <c r="BI872" i="2"/>
  <c r="BH872" i="2"/>
  <c r="BG872" i="2"/>
  <c r="U872" i="1"/>
  <c r="BF872" i="2"/>
  <c r="BE872" i="2"/>
  <c r="S872" i="1"/>
  <c r="BD872" i="2"/>
  <c r="BC872" i="2"/>
  <c r="BB872" i="2"/>
  <c r="BA872" i="2"/>
  <c r="AZ872" i="2"/>
  <c r="AY872" i="2"/>
  <c r="AX872" i="2"/>
  <c r="AW872" i="2"/>
  <c r="AV872" i="2"/>
  <c r="AU872" i="2"/>
  <c r="AT872" i="2"/>
  <c r="H872" i="1"/>
  <c r="AS872" i="2"/>
  <c r="G872" i="1"/>
  <c r="AR872" i="2"/>
  <c r="AQ872" i="2"/>
  <c r="AP872" i="2"/>
  <c r="D872" i="1"/>
  <c r="AO872" i="2"/>
  <c r="AN872" i="2"/>
  <c r="AM872" i="2"/>
  <c r="AJ872" i="2"/>
  <c r="AI872" i="2"/>
  <c r="BM871" i="2"/>
  <c r="AA871" i="1"/>
  <c r="BL871" i="2"/>
  <c r="BK871" i="2"/>
  <c r="BJ871" i="2"/>
  <c r="X871" i="1"/>
  <c r="BI871" i="2"/>
  <c r="BH871" i="2"/>
  <c r="BG871" i="2"/>
  <c r="U871" i="1"/>
  <c r="BF871" i="2"/>
  <c r="BE871" i="2"/>
  <c r="S871" i="1"/>
  <c r="BD871" i="2"/>
  <c r="BC871" i="2"/>
  <c r="BB871" i="2"/>
  <c r="BA871" i="2"/>
  <c r="AZ871" i="2"/>
  <c r="AY871" i="2"/>
  <c r="AX871" i="2"/>
  <c r="AW871" i="2"/>
  <c r="AV871" i="2"/>
  <c r="AU871" i="2"/>
  <c r="AT871" i="2"/>
  <c r="H871" i="1"/>
  <c r="AS871" i="2"/>
  <c r="G871" i="1"/>
  <c r="AR871" i="2"/>
  <c r="AQ871" i="2"/>
  <c r="AP871" i="2"/>
  <c r="D871" i="1"/>
  <c r="AO871" i="2"/>
  <c r="AN871" i="2"/>
  <c r="AM871" i="2"/>
  <c r="AJ871" i="2"/>
  <c r="AI871" i="2"/>
  <c r="BM870" i="2"/>
  <c r="AA870" i="1"/>
  <c r="BL870" i="2"/>
  <c r="BK870" i="2"/>
  <c r="BJ870" i="2"/>
  <c r="X870" i="1"/>
  <c r="BI870" i="2"/>
  <c r="BH870" i="2"/>
  <c r="BG870" i="2"/>
  <c r="U870" i="1"/>
  <c r="BF870" i="2"/>
  <c r="BE870" i="2"/>
  <c r="S870" i="1"/>
  <c r="BD870" i="2"/>
  <c r="BC870" i="2"/>
  <c r="BB870" i="2"/>
  <c r="BA870" i="2"/>
  <c r="AZ870" i="2"/>
  <c r="AY870" i="2"/>
  <c r="AX870" i="2"/>
  <c r="AW870" i="2"/>
  <c r="AV870" i="2"/>
  <c r="AU870" i="2"/>
  <c r="AT870" i="2"/>
  <c r="H870" i="1"/>
  <c r="AS870" i="2"/>
  <c r="G870" i="1"/>
  <c r="AR870" i="2"/>
  <c r="AQ870" i="2"/>
  <c r="AP870" i="2"/>
  <c r="D870" i="1"/>
  <c r="AO870" i="2"/>
  <c r="AN870" i="2"/>
  <c r="AM870" i="2"/>
  <c r="AJ870" i="2"/>
  <c r="AI870" i="2"/>
  <c r="BM869" i="2"/>
  <c r="AA869" i="1"/>
  <c r="BL869" i="2"/>
  <c r="BK869" i="2"/>
  <c r="BJ869" i="2"/>
  <c r="X869" i="1"/>
  <c r="BI869" i="2"/>
  <c r="BH869" i="2"/>
  <c r="BG869" i="2"/>
  <c r="U869" i="1"/>
  <c r="BF869" i="2"/>
  <c r="BE869" i="2"/>
  <c r="S869" i="1"/>
  <c r="BD869" i="2"/>
  <c r="BC869" i="2"/>
  <c r="BB869" i="2"/>
  <c r="BA869" i="2"/>
  <c r="AZ869" i="2"/>
  <c r="AY869" i="2"/>
  <c r="AX869" i="2"/>
  <c r="AW869" i="2"/>
  <c r="AV869" i="2"/>
  <c r="AU869" i="2"/>
  <c r="AT869" i="2"/>
  <c r="H869" i="1"/>
  <c r="AS869" i="2"/>
  <c r="G869" i="1"/>
  <c r="AR869" i="2"/>
  <c r="AQ869" i="2"/>
  <c r="AP869" i="2"/>
  <c r="D869" i="1"/>
  <c r="AO869" i="2"/>
  <c r="AN869" i="2"/>
  <c r="AM869" i="2"/>
  <c r="AJ869" i="2"/>
  <c r="AI869" i="2"/>
  <c r="BM868" i="2"/>
  <c r="AA868" i="1"/>
  <c r="BL868" i="2"/>
  <c r="BK868" i="2"/>
  <c r="BJ868" i="2"/>
  <c r="X868" i="1"/>
  <c r="BI868" i="2"/>
  <c r="BH868" i="2"/>
  <c r="BG868" i="2"/>
  <c r="U868" i="1"/>
  <c r="BF868" i="2"/>
  <c r="BE868" i="2"/>
  <c r="S868" i="1"/>
  <c r="BD868" i="2"/>
  <c r="BC868" i="2"/>
  <c r="BB868" i="2"/>
  <c r="BA868" i="2"/>
  <c r="AZ868" i="2"/>
  <c r="AY868" i="2"/>
  <c r="AX868" i="2"/>
  <c r="AW868" i="2"/>
  <c r="AV868" i="2"/>
  <c r="AU868" i="2"/>
  <c r="AT868" i="2"/>
  <c r="H868" i="1"/>
  <c r="AS868" i="2"/>
  <c r="G868" i="1"/>
  <c r="AR868" i="2"/>
  <c r="AQ868" i="2"/>
  <c r="AP868" i="2"/>
  <c r="D868" i="1"/>
  <c r="AO868" i="2"/>
  <c r="AN868" i="2"/>
  <c r="AM868" i="2"/>
  <c r="AJ868" i="2"/>
  <c r="AI868" i="2"/>
  <c r="BM867" i="2"/>
  <c r="AA867" i="1"/>
  <c r="BL867" i="2"/>
  <c r="BK867" i="2"/>
  <c r="BJ867" i="2"/>
  <c r="X867" i="1"/>
  <c r="BI867" i="2"/>
  <c r="BH867" i="2"/>
  <c r="BG867" i="2"/>
  <c r="U867" i="1"/>
  <c r="BF867" i="2"/>
  <c r="BE867" i="2"/>
  <c r="S867" i="1"/>
  <c r="BD867" i="2"/>
  <c r="BC867" i="2"/>
  <c r="BB867" i="2"/>
  <c r="BA867" i="2"/>
  <c r="AZ867" i="2"/>
  <c r="AY867" i="2"/>
  <c r="AX867" i="2"/>
  <c r="AW867" i="2"/>
  <c r="AV867" i="2"/>
  <c r="AU867" i="2"/>
  <c r="AT867" i="2"/>
  <c r="H867" i="1"/>
  <c r="AS867" i="2"/>
  <c r="G867" i="1"/>
  <c r="AR867" i="2"/>
  <c r="AQ867" i="2"/>
  <c r="AP867" i="2"/>
  <c r="D867" i="1"/>
  <c r="AO867" i="2"/>
  <c r="AN867" i="2"/>
  <c r="AM867" i="2"/>
  <c r="AJ867" i="2"/>
  <c r="AI867" i="2"/>
  <c r="BM866" i="2"/>
  <c r="AA866" i="1"/>
  <c r="BL866" i="2"/>
  <c r="BK866" i="2"/>
  <c r="BJ866" i="2"/>
  <c r="X866" i="1"/>
  <c r="BI866" i="2"/>
  <c r="BH866" i="2"/>
  <c r="BG866" i="2"/>
  <c r="U866" i="1"/>
  <c r="BF866" i="2"/>
  <c r="BE866" i="2"/>
  <c r="S866" i="1"/>
  <c r="BD866" i="2"/>
  <c r="BC866" i="2"/>
  <c r="BB866" i="2"/>
  <c r="BA866" i="2"/>
  <c r="AZ866" i="2"/>
  <c r="AY866" i="2"/>
  <c r="AX866" i="2"/>
  <c r="AW866" i="2"/>
  <c r="AV866" i="2"/>
  <c r="AU866" i="2"/>
  <c r="AT866" i="2"/>
  <c r="H866" i="1"/>
  <c r="AS866" i="2"/>
  <c r="G866" i="1"/>
  <c r="AR866" i="2"/>
  <c r="AQ866" i="2"/>
  <c r="AP866" i="2"/>
  <c r="D866" i="1"/>
  <c r="AO866" i="2"/>
  <c r="AN866" i="2"/>
  <c r="AM866" i="2"/>
  <c r="AJ866" i="2"/>
  <c r="AI866" i="2"/>
  <c r="BM865" i="2"/>
  <c r="AA865" i="1"/>
  <c r="BL865" i="2"/>
  <c r="BK865" i="2"/>
  <c r="BJ865" i="2"/>
  <c r="X865" i="1"/>
  <c r="BI865" i="2"/>
  <c r="BH865" i="2"/>
  <c r="BG865" i="2"/>
  <c r="U865" i="1"/>
  <c r="BF865" i="2"/>
  <c r="BE865" i="2"/>
  <c r="S865" i="1"/>
  <c r="BD865" i="2"/>
  <c r="BC865" i="2"/>
  <c r="BB865" i="2"/>
  <c r="BA865" i="2"/>
  <c r="AZ865" i="2"/>
  <c r="AY865" i="2"/>
  <c r="AX865" i="2"/>
  <c r="AW865" i="2"/>
  <c r="AV865" i="2"/>
  <c r="AU865" i="2"/>
  <c r="AT865" i="2"/>
  <c r="H865" i="1"/>
  <c r="AS865" i="2"/>
  <c r="G865" i="1"/>
  <c r="AR865" i="2"/>
  <c r="AQ865" i="2"/>
  <c r="AP865" i="2"/>
  <c r="D865" i="1"/>
  <c r="AO865" i="2"/>
  <c r="AN865" i="2"/>
  <c r="AM865" i="2"/>
  <c r="AJ865" i="2"/>
  <c r="AI865" i="2"/>
  <c r="BM864" i="2"/>
  <c r="AA864" i="1"/>
  <c r="BL864" i="2"/>
  <c r="BK864" i="2"/>
  <c r="BJ864" i="2"/>
  <c r="X864" i="1"/>
  <c r="BI864" i="2"/>
  <c r="BH864" i="2"/>
  <c r="BG864" i="2"/>
  <c r="U864" i="1"/>
  <c r="BF864" i="2"/>
  <c r="BE864" i="2"/>
  <c r="S864" i="1"/>
  <c r="BD864" i="2"/>
  <c r="BC864" i="2"/>
  <c r="BB864" i="2"/>
  <c r="BA864" i="2"/>
  <c r="AZ864" i="2"/>
  <c r="AY864" i="2"/>
  <c r="AX864" i="2"/>
  <c r="AW864" i="2"/>
  <c r="AV864" i="2"/>
  <c r="AU864" i="2"/>
  <c r="AT864" i="2"/>
  <c r="H864" i="1"/>
  <c r="AS864" i="2"/>
  <c r="G864" i="1"/>
  <c r="AR864" i="2"/>
  <c r="AQ864" i="2"/>
  <c r="AP864" i="2"/>
  <c r="D864" i="1"/>
  <c r="AO864" i="2"/>
  <c r="AN864" i="2"/>
  <c r="AM864" i="2"/>
  <c r="AJ864" i="2"/>
  <c r="AI864" i="2"/>
  <c r="BM863" i="2"/>
  <c r="AA863" i="1"/>
  <c r="BL863" i="2"/>
  <c r="BK863" i="2"/>
  <c r="BJ863" i="2"/>
  <c r="X863" i="1"/>
  <c r="BI863" i="2"/>
  <c r="BH863" i="2"/>
  <c r="BG863" i="2"/>
  <c r="U863" i="1"/>
  <c r="BF863" i="2"/>
  <c r="BE863" i="2"/>
  <c r="S863" i="1"/>
  <c r="BD863" i="2"/>
  <c r="BC863" i="2"/>
  <c r="BB863" i="2"/>
  <c r="BA863" i="2"/>
  <c r="AZ863" i="2"/>
  <c r="AY863" i="2"/>
  <c r="AX863" i="2"/>
  <c r="AW863" i="2"/>
  <c r="AV863" i="2"/>
  <c r="AU863" i="2"/>
  <c r="AT863" i="2"/>
  <c r="H863" i="1"/>
  <c r="AS863" i="2"/>
  <c r="G863" i="1"/>
  <c r="AR863" i="2"/>
  <c r="AQ863" i="2"/>
  <c r="AP863" i="2"/>
  <c r="D863" i="1"/>
  <c r="AO863" i="2"/>
  <c r="AN863" i="2"/>
  <c r="AM863" i="2"/>
  <c r="AJ863" i="2"/>
  <c r="AI863" i="2"/>
  <c r="BM862" i="2"/>
  <c r="AA862" i="1"/>
  <c r="BL862" i="2"/>
  <c r="BK862" i="2"/>
  <c r="BJ862" i="2"/>
  <c r="X862" i="1"/>
  <c r="BI862" i="2"/>
  <c r="BH862" i="2"/>
  <c r="BG862" i="2"/>
  <c r="U862" i="1"/>
  <c r="BF862" i="2"/>
  <c r="BE862" i="2"/>
  <c r="S862" i="1"/>
  <c r="BD862" i="2"/>
  <c r="BC862" i="2"/>
  <c r="BB862" i="2"/>
  <c r="BA862" i="2"/>
  <c r="AZ862" i="2"/>
  <c r="AY862" i="2"/>
  <c r="AX862" i="2"/>
  <c r="AW862" i="2"/>
  <c r="AV862" i="2"/>
  <c r="AU862" i="2"/>
  <c r="AT862" i="2"/>
  <c r="H862" i="1"/>
  <c r="AS862" i="2"/>
  <c r="G862" i="1"/>
  <c r="AR862" i="2"/>
  <c r="AQ862" i="2"/>
  <c r="AP862" i="2"/>
  <c r="D862" i="1"/>
  <c r="AO862" i="2"/>
  <c r="AN862" i="2"/>
  <c r="AM862" i="2"/>
  <c r="AJ862" i="2"/>
  <c r="AI862" i="2"/>
  <c r="BM861" i="2"/>
  <c r="AA861" i="1"/>
  <c r="BL861" i="2"/>
  <c r="BK861" i="2"/>
  <c r="BJ861" i="2"/>
  <c r="X861" i="1"/>
  <c r="BI861" i="2"/>
  <c r="BH861" i="2"/>
  <c r="BG861" i="2"/>
  <c r="U861" i="1"/>
  <c r="BF861" i="2"/>
  <c r="BE861" i="2"/>
  <c r="S861" i="1"/>
  <c r="BD861" i="2"/>
  <c r="BC861" i="2"/>
  <c r="BB861" i="2"/>
  <c r="BA861" i="2"/>
  <c r="AZ861" i="2"/>
  <c r="AY861" i="2"/>
  <c r="AX861" i="2"/>
  <c r="AW861" i="2"/>
  <c r="AV861" i="2"/>
  <c r="AU861" i="2"/>
  <c r="AT861" i="2"/>
  <c r="H861" i="1"/>
  <c r="AS861" i="2"/>
  <c r="G861" i="1"/>
  <c r="AR861" i="2"/>
  <c r="AQ861" i="2"/>
  <c r="AP861" i="2"/>
  <c r="D861" i="1"/>
  <c r="AO861" i="2"/>
  <c r="AN861" i="2"/>
  <c r="AM861" i="2"/>
  <c r="AJ861" i="2"/>
  <c r="AI861" i="2"/>
  <c r="BM860" i="2"/>
  <c r="AA860" i="1"/>
  <c r="BL860" i="2"/>
  <c r="BK860" i="2"/>
  <c r="BJ860" i="2"/>
  <c r="X860" i="1"/>
  <c r="BI860" i="2"/>
  <c r="BH860" i="2"/>
  <c r="BG860" i="2"/>
  <c r="U860" i="1"/>
  <c r="BF860" i="2"/>
  <c r="BE860" i="2"/>
  <c r="S860" i="1"/>
  <c r="BD860" i="2"/>
  <c r="BC860" i="2"/>
  <c r="BB860" i="2"/>
  <c r="BA860" i="2"/>
  <c r="AZ860" i="2"/>
  <c r="AY860" i="2"/>
  <c r="AX860" i="2"/>
  <c r="AW860" i="2"/>
  <c r="AV860" i="2"/>
  <c r="AU860" i="2"/>
  <c r="AT860" i="2"/>
  <c r="H860" i="1"/>
  <c r="AS860" i="2"/>
  <c r="G860" i="1"/>
  <c r="AR860" i="2"/>
  <c r="AQ860" i="2"/>
  <c r="AP860" i="2"/>
  <c r="D860" i="1"/>
  <c r="AO860" i="2"/>
  <c r="AN860" i="2"/>
  <c r="AM860" i="2"/>
  <c r="AJ860" i="2"/>
  <c r="AI860" i="2"/>
  <c r="BM859" i="2"/>
  <c r="AA859" i="1"/>
  <c r="BL859" i="2"/>
  <c r="BK859" i="2"/>
  <c r="BJ859" i="2"/>
  <c r="X859" i="1"/>
  <c r="BI859" i="2"/>
  <c r="BH859" i="2"/>
  <c r="BG859" i="2"/>
  <c r="U859" i="1"/>
  <c r="BF859" i="2"/>
  <c r="BE859" i="2"/>
  <c r="S859" i="1"/>
  <c r="BD859" i="2"/>
  <c r="BC859" i="2"/>
  <c r="BB859" i="2"/>
  <c r="BA859" i="2"/>
  <c r="AZ859" i="2"/>
  <c r="AY859" i="2"/>
  <c r="AX859" i="2"/>
  <c r="AW859" i="2"/>
  <c r="AV859" i="2"/>
  <c r="AU859" i="2"/>
  <c r="AT859" i="2"/>
  <c r="H859" i="1"/>
  <c r="AS859" i="2"/>
  <c r="G859" i="1"/>
  <c r="AR859" i="2"/>
  <c r="AQ859" i="2"/>
  <c r="AP859" i="2"/>
  <c r="D859" i="1"/>
  <c r="AO859" i="2"/>
  <c r="AN859" i="2"/>
  <c r="AM859" i="2"/>
  <c r="AJ859" i="2"/>
  <c r="AI859" i="2"/>
  <c r="BM858" i="2"/>
  <c r="AA858" i="1"/>
  <c r="BL858" i="2"/>
  <c r="BK858" i="2"/>
  <c r="BJ858" i="2"/>
  <c r="X858" i="1"/>
  <c r="BI858" i="2"/>
  <c r="BH858" i="2"/>
  <c r="BG858" i="2"/>
  <c r="U858" i="1"/>
  <c r="BF858" i="2"/>
  <c r="BE858" i="2"/>
  <c r="S858" i="1"/>
  <c r="BD858" i="2"/>
  <c r="BC858" i="2"/>
  <c r="BB858" i="2"/>
  <c r="BA858" i="2"/>
  <c r="AZ858" i="2"/>
  <c r="AY858" i="2"/>
  <c r="AX858" i="2"/>
  <c r="AW858" i="2"/>
  <c r="AV858" i="2"/>
  <c r="AU858" i="2"/>
  <c r="AT858" i="2"/>
  <c r="H858" i="1"/>
  <c r="AS858" i="2"/>
  <c r="G858" i="1"/>
  <c r="AR858" i="2"/>
  <c r="AQ858" i="2"/>
  <c r="AP858" i="2"/>
  <c r="D858" i="1"/>
  <c r="AO858" i="2"/>
  <c r="AN858" i="2"/>
  <c r="AM858" i="2"/>
  <c r="AJ858" i="2"/>
  <c r="AI858" i="2"/>
  <c r="BM857" i="2"/>
  <c r="AA857" i="1"/>
  <c r="BL857" i="2"/>
  <c r="BK857" i="2"/>
  <c r="BJ857" i="2"/>
  <c r="X857" i="1"/>
  <c r="BI857" i="2"/>
  <c r="BH857" i="2"/>
  <c r="BG857" i="2"/>
  <c r="U857" i="1"/>
  <c r="BF857" i="2"/>
  <c r="BE857" i="2"/>
  <c r="S857" i="1"/>
  <c r="BD857" i="2"/>
  <c r="BC857" i="2"/>
  <c r="BB857" i="2"/>
  <c r="BA857" i="2"/>
  <c r="AZ857" i="2"/>
  <c r="AY857" i="2"/>
  <c r="AX857" i="2"/>
  <c r="AW857" i="2"/>
  <c r="AV857" i="2"/>
  <c r="AU857" i="2"/>
  <c r="AT857" i="2"/>
  <c r="H857" i="1"/>
  <c r="AS857" i="2"/>
  <c r="G857" i="1"/>
  <c r="AR857" i="2"/>
  <c r="AQ857" i="2"/>
  <c r="AP857" i="2"/>
  <c r="D857" i="1"/>
  <c r="AO857" i="2"/>
  <c r="AN857" i="2"/>
  <c r="AM857" i="2"/>
  <c r="AJ857" i="2"/>
  <c r="AI857" i="2"/>
  <c r="BM856" i="2"/>
  <c r="AA856" i="1"/>
  <c r="BL856" i="2"/>
  <c r="BK856" i="2"/>
  <c r="BJ856" i="2"/>
  <c r="X856" i="1"/>
  <c r="BI856" i="2"/>
  <c r="BH856" i="2"/>
  <c r="BG856" i="2"/>
  <c r="U856" i="1"/>
  <c r="BF856" i="2"/>
  <c r="BE856" i="2"/>
  <c r="S856" i="1"/>
  <c r="BD856" i="2"/>
  <c r="BC856" i="2"/>
  <c r="BB856" i="2"/>
  <c r="BA856" i="2"/>
  <c r="AZ856" i="2"/>
  <c r="AY856" i="2"/>
  <c r="AX856" i="2"/>
  <c r="AW856" i="2"/>
  <c r="AV856" i="2"/>
  <c r="AU856" i="2"/>
  <c r="AT856" i="2"/>
  <c r="H856" i="1"/>
  <c r="AS856" i="2"/>
  <c r="G856" i="1"/>
  <c r="AR856" i="2"/>
  <c r="AQ856" i="2"/>
  <c r="AP856" i="2"/>
  <c r="D856" i="1"/>
  <c r="AO856" i="2"/>
  <c r="AN856" i="2"/>
  <c r="AM856" i="2"/>
  <c r="AJ856" i="2"/>
  <c r="AI856" i="2"/>
  <c r="BM855" i="2"/>
  <c r="AA855" i="1"/>
  <c r="BL855" i="2"/>
  <c r="BK855" i="2"/>
  <c r="BJ855" i="2"/>
  <c r="X855" i="1"/>
  <c r="BI855" i="2"/>
  <c r="BH855" i="2"/>
  <c r="BG855" i="2"/>
  <c r="U855" i="1"/>
  <c r="BF855" i="2"/>
  <c r="BE855" i="2"/>
  <c r="S855" i="1"/>
  <c r="BD855" i="2"/>
  <c r="BC855" i="2"/>
  <c r="BB855" i="2"/>
  <c r="BA855" i="2"/>
  <c r="AZ855" i="2"/>
  <c r="AY855" i="2"/>
  <c r="AX855" i="2"/>
  <c r="AW855" i="2"/>
  <c r="AV855" i="2"/>
  <c r="AU855" i="2"/>
  <c r="AT855" i="2"/>
  <c r="H855" i="1"/>
  <c r="AS855" i="2"/>
  <c r="G855" i="1"/>
  <c r="AR855" i="2"/>
  <c r="AQ855" i="2"/>
  <c r="AP855" i="2"/>
  <c r="D855" i="1"/>
  <c r="AO855" i="2"/>
  <c r="AN855" i="2"/>
  <c r="AM855" i="2"/>
  <c r="AJ855" i="2"/>
  <c r="AI855" i="2"/>
  <c r="BM854" i="2"/>
  <c r="AA854" i="1"/>
  <c r="BL854" i="2"/>
  <c r="BK854" i="2"/>
  <c r="BJ854" i="2"/>
  <c r="X854" i="1"/>
  <c r="BI854" i="2"/>
  <c r="BH854" i="2"/>
  <c r="BG854" i="2"/>
  <c r="U854" i="1"/>
  <c r="BF854" i="2"/>
  <c r="BE854" i="2"/>
  <c r="S854" i="1"/>
  <c r="BD854" i="2"/>
  <c r="BC854" i="2"/>
  <c r="BB854" i="2"/>
  <c r="BA854" i="2"/>
  <c r="AZ854" i="2"/>
  <c r="AY854" i="2"/>
  <c r="AX854" i="2"/>
  <c r="AW854" i="2"/>
  <c r="AV854" i="2"/>
  <c r="AU854" i="2"/>
  <c r="AT854" i="2"/>
  <c r="H854" i="1"/>
  <c r="AS854" i="2"/>
  <c r="G854" i="1"/>
  <c r="AR854" i="2"/>
  <c r="AQ854" i="2"/>
  <c r="AP854" i="2"/>
  <c r="D854" i="1"/>
  <c r="AO854" i="2"/>
  <c r="AN854" i="2"/>
  <c r="AM854" i="2"/>
  <c r="AJ854" i="2"/>
  <c r="AI854" i="2"/>
  <c r="BM853" i="2"/>
  <c r="AA853" i="1"/>
  <c r="BL853" i="2"/>
  <c r="BK853" i="2"/>
  <c r="BJ853" i="2"/>
  <c r="X853" i="1"/>
  <c r="BI853" i="2"/>
  <c r="BH853" i="2"/>
  <c r="BG853" i="2"/>
  <c r="U853" i="1"/>
  <c r="BF853" i="2"/>
  <c r="BE853" i="2"/>
  <c r="S853" i="1"/>
  <c r="BD853" i="2"/>
  <c r="BC853" i="2"/>
  <c r="BB853" i="2"/>
  <c r="BA853" i="2"/>
  <c r="AZ853" i="2"/>
  <c r="AY853" i="2"/>
  <c r="AX853" i="2"/>
  <c r="AW853" i="2"/>
  <c r="AV853" i="2"/>
  <c r="AU853" i="2"/>
  <c r="AT853" i="2"/>
  <c r="H853" i="1"/>
  <c r="AS853" i="2"/>
  <c r="G853" i="1"/>
  <c r="AR853" i="2"/>
  <c r="AQ853" i="2"/>
  <c r="AP853" i="2"/>
  <c r="D853" i="1"/>
  <c r="AO853" i="2"/>
  <c r="AN853" i="2"/>
  <c r="AM853" i="2"/>
  <c r="AJ853" i="2"/>
  <c r="AI853" i="2"/>
  <c r="BM852" i="2"/>
  <c r="AA852" i="1"/>
  <c r="BL852" i="2"/>
  <c r="BK852" i="2"/>
  <c r="BJ852" i="2"/>
  <c r="X852" i="1"/>
  <c r="BI852" i="2"/>
  <c r="BH852" i="2"/>
  <c r="BG852" i="2"/>
  <c r="U852" i="1"/>
  <c r="BF852" i="2"/>
  <c r="BE852" i="2"/>
  <c r="S852" i="1"/>
  <c r="BD852" i="2"/>
  <c r="BC852" i="2"/>
  <c r="BB852" i="2"/>
  <c r="BA852" i="2"/>
  <c r="AZ852" i="2"/>
  <c r="AY852" i="2"/>
  <c r="AX852" i="2"/>
  <c r="AW852" i="2"/>
  <c r="AV852" i="2"/>
  <c r="AU852" i="2"/>
  <c r="AT852" i="2"/>
  <c r="H852" i="1"/>
  <c r="AS852" i="2"/>
  <c r="G852" i="1"/>
  <c r="AR852" i="2"/>
  <c r="AQ852" i="2"/>
  <c r="AP852" i="2"/>
  <c r="D852" i="1"/>
  <c r="AO852" i="2"/>
  <c r="AN852" i="2"/>
  <c r="AM852" i="2"/>
  <c r="AJ852" i="2"/>
  <c r="AI852" i="2"/>
  <c r="BM851" i="2"/>
  <c r="AA851" i="1"/>
  <c r="BL851" i="2"/>
  <c r="BK851" i="2"/>
  <c r="BJ851" i="2"/>
  <c r="X851" i="1"/>
  <c r="BI851" i="2"/>
  <c r="BH851" i="2"/>
  <c r="BG851" i="2"/>
  <c r="U851" i="1"/>
  <c r="BF851" i="2"/>
  <c r="BE851" i="2"/>
  <c r="S851" i="1"/>
  <c r="BD851" i="2"/>
  <c r="BC851" i="2"/>
  <c r="BB851" i="2"/>
  <c r="BA851" i="2"/>
  <c r="AZ851" i="2"/>
  <c r="AY851" i="2"/>
  <c r="AX851" i="2"/>
  <c r="AW851" i="2"/>
  <c r="AV851" i="2"/>
  <c r="AU851" i="2"/>
  <c r="AT851" i="2"/>
  <c r="H851" i="1"/>
  <c r="AS851" i="2"/>
  <c r="G851" i="1"/>
  <c r="AR851" i="2"/>
  <c r="AQ851" i="2"/>
  <c r="AP851" i="2"/>
  <c r="D851" i="1"/>
  <c r="AO851" i="2"/>
  <c r="AN851" i="2"/>
  <c r="AM851" i="2"/>
  <c r="AJ851" i="2"/>
  <c r="AI851" i="2"/>
  <c r="BM850" i="2"/>
  <c r="AA850" i="1"/>
  <c r="BL850" i="2"/>
  <c r="BK850" i="2"/>
  <c r="BJ850" i="2"/>
  <c r="X850" i="1"/>
  <c r="BI850" i="2"/>
  <c r="BH850" i="2"/>
  <c r="BG850" i="2"/>
  <c r="U850" i="1"/>
  <c r="BF850" i="2"/>
  <c r="BE850" i="2"/>
  <c r="S850" i="1"/>
  <c r="BD850" i="2"/>
  <c r="BC850" i="2"/>
  <c r="BB850" i="2"/>
  <c r="BA850" i="2"/>
  <c r="AZ850" i="2"/>
  <c r="AY850" i="2"/>
  <c r="AX850" i="2"/>
  <c r="AW850" i="2"/>
  <c r="AV850" i="2"/>
  <c r="AU850" i="2"/>
  <c r="AT850" i="2"/>
  <c r="H850" i="1"/>
  <c r="AS850" i="2"/>
  <c r="G850" i="1"/>
  <c r="AR850" i="2"/>
  <c r="AQ850" i="2"/>
  <c r="AP850" i="2"/>
  <c r="D850" i="1"/>
  <c r="AO850" i="2"/>
  <c r="AN850" i="2"/>
  <c r="AM850" i="2"/>
  <c r="AJ850" i="2"/>
  <c r="AI850" i="2"/>
  <c r="BM849" i="2"/>
  <c r="AA849" i="1"/>
  <c r="BL849" i="2"/>
  <c r="BK849" i="2"/>
  <c r="BJ849" i="2"/>
  <c r="X849" i="1"/>
  <c r="BI849" i="2"/>
  <c r="BH849" i="2"/>
  <c r="BG849" i="2"/>
  <c r="U849" i="1"/>
  <c r="BF849" i="2"/>
  <c r="BE849" i="2"/>
  <c r="S849" i="1"/>
  <c r="BD849" i="2"/>
  <c r="BC849" i="2"/>
  <c r="BB849" i="2"/>
  <c r="BA849" i="2"/>
  <c r="AZ849" i="2"/>
  <c r="AY849" i="2"/>
  <c r="AX849" i="2"/>
  <c r="AW849" i="2"/>
  <c r="AV849" i="2"/>
  <c r="AU849" i="2"/>
  <c r="AT849" i="2"/>
  <c r="H849" i="1"/>
  <c r="AS849" i="2"/>
  <c r="G849" i="1"/>
  <c r="AR849" i="2"/>
  <c r="AQ849" i="2"/>
  <c r="AP849" i="2"/>
  <c r="D849" i="1"/>
  <c r="AO849" i="2"/>
  <c r="AN849" i="2"/>
  <c r="AM849" i="2"/>
  <c r="AJ849" i="2"/>
  <c r="AI849" i="2"/>
  <c r="BM848" i="2"/>
  <c r="AA848" i="1"/>
  <c r="BL848" i="2"/>
  <c r="BK848" i="2"/>
  <c r="BJ848" i="2"/>
  <c r="X848" i="1"/>
  <c r="BI848" i="2"/>
  <c r="BH848" i="2"/>
  <c r="BG848" i="2"/>
  <c r="U848" i="1"/>
  <c r="BF848" i="2"/>
  <c r="BE848" i="2"/>
  <c r="S848" i="1"/>
  <c r="BD848" i="2"/>
  <c r="BC848" i="2"/>
  <c r="BB848" i="2"/>
  <c r="BA848" i="2"/>
  <c r="AZ848" i="2"/>
  <c r="AY848" i="2"/>
  <c r="AX848" i="2"/>
  <c r="AW848" i="2"/>
  <c r="AV848" i="2"/>
  <c r="AU848" i="2"/>
  <c r="AT848" i="2"/>
  <c r="H848" i="1"/>
  <c r="AS848" i="2"/>
  <c r="G848" i="1"/>
  <c r="AR848" i="2"/>
  <c r="AQ848" i="2"/>
  <c r="AP848" i="2"/>
  <c r="D848" i="1"/>
  <c r="AO848" i="2"/>
  <c r="AN848" i="2"/>
  <c r="AM848" i="2"/>
  <c r="AJ848" i="2"/>
  <c r="AI848" i="2"/>
  <c r="BM847" i="2"/>
  <c r="AA847" i="1"/>
  <c r="BL847" i="2"/>
  <c r="BK847" i="2"/>
  <c r="BJ847" i="2"/>
  <c r="X847" i="1"/>
  <c r="BI847" i="2"/>
  <c r="BH847" i="2"/>
  <c r="BG847" i="2"/>
  <c r="U847" i="1"/>
  <c r="BF847" i="2"/>
  <c r="BE847" i="2"/>
  <c r="S847" i="1"/>
  <c r="BD847" i="2"/>
  <c r="BC847" i="2"/>
  <c r="BB847" i="2"/>
  <c r="BA847" i="2"/>
  <c r="AZ847" i="2"/>
  <c r="AY847" i="2"/>
  <c r="AX847" i="2"/>
  <c r="AW847" i="2"/>
  <c r="AV847" i="2"/>
  <c r="AU847" i="2"/>
  <c r="AT847" i="2"/>
  <c r="H847" i="1"/>
  <c r="AS847" i="2"/>
  <c r="G847" i="1"/>
  <c r="AR847" i="2"/>
  <c r="AQ847" i="2"/>
  <c r="AP847" i="2"/>
  <c r="D847" i="1"/>
  <c r="AO847" i="2"/>
  <c r="AN847" i="2"/>
  <c r="AM847" i="2"/>
  <c r="AJ847" i="2"/>
  <c r="AI847" i="2"/>
  <c r="BM846" i="2"/>
  <c r="AA846" i="1"/>
  <c r="BL846" i="2"/>
  <c r="BK846" i="2"/>
  <c r="BJ846" i="2"/>
  <c r="X846" i="1"/>
  <c r="BI846" i="2"/>
  <c r="BH846" i="2"/>
  <c r="BG846" i="2"/>
  <c r="U846" i="1"/>
  <c r="BF846" i="2"/>
  <c r="BE846" i="2"/>
  <c r="S846" i="1"/>
  <c r="BD846" i="2"/>
  <c r="BC846" i="2"/>
  <c r="BB846" i="2"/>
  <c r="BA846" i="2"/>
  <c r="AZ846" i="2"/>
  <c r="AY846" i="2"/>
  <c r="AX846" i="2"/>
  <c r="AW846" i="2"/>
  <c r="AV846" i="2"/>
  <c r="AU846" i="2"/>
  <c r="AT846" i="2"/>
  <c r="H846" i="1"/>
  <c r="AS846" i="2"/>
  <c r="G846" i="1"/>
  <c r="AR846" i="2"/>
  <c r="AQ846" i="2"/>
  <c r="AP846" i="2"/>
  <c r="D846" i="1"/>
  <c r="AO846" i="2"/>
  <c r="AN846" i="2"/>
  <c r="AM846" i="2"/>
  <c r="AJ846" i="2"/>
  <c r="AI846" i="2"/>
  <c r="BM845" i="2"/>
  <c r="AA845" i="1"/>
  <c r="BL845" i="2"/>
  <c r="BK845" i="2"/>
  <c r="BJ845" i="2"/>
  <c r="X845" i="1"/>
  <c r="BI845" i="2"/>
  <c r="BH845" i="2"/>
  <c r="BG845" i="2"/>
  <c r="U845" i="1"/>
  <c r="BF845" i="2"/>
  <c r="BE845" i="2"/>
  <c r="S845" i="1"/>
  <c r="BD845" i="2"/>
  <c r="BC845" i="2"/>
  <c r="BB845" i="2"/>
  <c r="BA845" i="2"/>
  <c r="AZ845" i="2"/>
  <c r="AY845" i="2"/>
  <c r="AX845" i="2"/>
  <c r="AW845" i="2"/>
  <c r="AV845" i="2"/>
  <c r="AU845" i="2"/>
  <c r="AT845" i="2"/>
  <c r="H845" i="1"/>
  <c r="AS845" i="2"/>
  <c r="G845" i="1"/>
  <c r="AR845" i="2"/>
  <c r="AQ845" i="2"/>
  <c r="AP845" i="2"/>
  <c r="D845" i="1"/>
  <c r="AO845" i="2"/>
  <c r="AN845" i="2"/>
  <c r="AM845" i="2"/>
  <c r="AJ845" i="2"/>
  <c r="AI845" i="2"/>
  <c r="BM844" i="2"/>
  <c r="AA844" i="1"/>
  <c r="BL844" i="2"/>
  <c r="BK844" i="2"/>
  <c r="BJ844" i="2"/>
  <c r="X844" i="1"/>
  <c r="BI844" i="2"/>
  <c r="BH844" i="2"/>
  <c r="BG844" i="2"/>
  <c r="U844" i="1"/>
  <c r="BF844" i="2"/>
  <c r="BE844" i="2"/>
  <c r="S844" i="1"/>
  <c r="BD844" i="2"/>
  <c r="BC844" i="2"/>
  <c r="BB844" i="2"/>
  <c r="BA844" i="2"/>
  <c r="AZ844" i="2"/>
  <c r="AY844" i="2"/>
  <c r="AX844" i="2"/>
  <c r="AW844" i="2"/>
  <c r="AV844" i="2"/>
  <c r="AU844" i="2"/>
  <c r="AT844" i="2"/>
  <c r="H844" i="1"/>
  <c r="AS844" i="2"/>
  <c r="G844" i="1"/>
  <c r="AR844" i="2"/>
  <c r="AQ844" i="2"/>
  <c r="AP844" i="2"/>
  <c r="D844" i="1"/>
  <c r="AO844" i="2"/>
  <c r="AN844" i="2"/>
  <c r="AM844" i="2"/>
  <c r="AJ844" i="2"/>
  <c r="AI844" i="2"/>
  <c r="BM843" i="2"/>
  <c r="AA843" i="1"/>
  <c r="BL843" i="2"/>
  <c r="BK843" i="2"/>
  <c r="BJ843" i="2"/>
  <c r="X843" i="1"/>
  <c r="BI843" i="2"/>
  <c r="BH843" i="2"/>
  <c r="BG843" i="2"/>
  <c r="U843" i="1"/>
  <c r="BF843" i="2"/>
  <c r="BE843" i="2"/>
  <c r="S843" i="1"/>
  <c r="BD843" i="2"/>
  <c r="BC843" i="2"/>
  <c r="BB843" i="2"/>
  <c r="BA843" i="2"/>
  <c r="AZ843" i="2"/>
  <c r="AY843" i="2"/>
  <c r="AX843" i="2"/>
  <c r="AW843" i="2"/>
  <c r="AV843" i="2"/>
  <c r="AU843" i="2"/>
  <c r="AT843" i="2"/>
  <c r="H843" i="1"/>
  <c r="AS843" i="2"/>
  <c r="G843" i="1"/>
  <c r="AR843" i="2"/>
  <c r="AQ843" i="2"/>
  <c r="AP843" i="2"/>
  <c r="D843" i="1"/>
  <c r="AO843" i="2"/>
  <c r="AN843" i="2"/>
  <c r="AM843" i="2"/>
  <c r="AJ843" i="2"/>
  <c r="AI843" i="2"/>
  <c r="BM842" i="2"/>
  <c r="AA842" i="1"/>
  <c r="BL842" i="2"/>
  <c r="BK842" i="2"/>
  <c r="BJ842" i="2"/>
  <c r="X842" i="1"/>
  <c r="BI842" i="2"/>
  <c r="BH842" i="2"/>
  <c r="BG842" i="2"/>
  <c r="U842" i="1"/>
  <c r="BF842" i="2"/>
  <c r="BE842" i="2"/>
  <c r="S842" i="1"/>
  <c r="BD842" i="2"/>
  <c r="BC842" i="2"/>
  <c r="BB842" i="2"/>
  <c r="BA842" i="2"/>
  <c r="AZ842" i="2"/>
  <c r="AY842" i="2"/>
  <c r="AX842" i="2"/>
  <c r="AW842" i="2"/>
  <c r="AV842" i="2"/>
  <c r="AU842" i="2"/>
  <c r="AT842" i="2"/>
  <c r="H842" i="1"/>
  <c r="AS842" i="2"/>
  <c r="G842" i="1"/>
  <c r="AR842" i="2"/>
  <c r="AQ842" i="2"/>
  <c r="AP842" i="2"/>
  <c r="D842" i="1"/>
  <c r="AO842" i="2"/>
  <c r="AN842" i="2"/>
  <c r="AM842" i="2"/>
  <c r="AJ842" i="2"/>
  <c r="AI842" i="2"/>
  <c r="BM841" i="2"/>
  <c r="AA841" i="1"/>
  <c r="BL841" i="2"/>
  <c r="BK841" i="2"/>
  <c r="BJ841" i="2"/>
  <c r="X841" i="1"/>
  <c r="BI841" i="2"/>
  <c r="BH841" i="2"/>
  <c r="BG841" i="2"/>
  <c r="U841" i="1"/>
  <c r="BF841" i="2"/>
  <c r="BE841" i="2"/>
  <c r="S841" i="1"/>
  <c r="BD841" i="2"/>
  <c r="BC841" i="2"/>
  <c r="BB841" i="2"/>
  <c r="BA841" i="2"/>
  <c r="AZ841" i="2"/>
  <c r="AY841" i="2"/>
  <c r="AX841" i="2"/>
  <c r="AW841" i="2"/>
  <c r="AV841" i="2"/>
  <c r="AU841" i="2"/>
  <c r="AT841" i="2"/>
  <c r="H841" i="1"/>
  <c r="AS841" i="2"/>
  <c r="G841" i="1"/>
  <c r="AR841" i="2"/>
  <c r="AQ841" i="2"/>
  <c r="AP841" i="2"/>
  <c r="D841" i="1"/>
  <c r="AO841" i="2"/>
  <c r="AN841" i="2"/>
  <c r="AM841" i="2"/>
  <c r="AJ841" i="2"/>
  <c r="AI841" i="2"/>
  <c r="BM840" i="2"/>
  <c r="AA840" i="1"/>
  <c r="BL840" i="2"/>
  <c r="BK840" i="2"/>
  <c r="BJ840" i="2"/>
  <c r="X840" i="1"/>
  <c r="BI840" i="2"/>
  <c r="BH840" i="2"/>
  <c r="BG840" i="2"/>
  <c r="U840" i="1"/>
  <c r="BF840" i="2"/>
  <c r="BE840" i="2"/>
  <c r="S840" i="1"/>
  <c r="BD840" i="2"/>
  <c r="BC840" i="2"/>
  <c r="BB840" i="2"/>
  <c r="BA840" i="2"/>
  <c r="AZ840" i="2"/>
  <c r="AY840" i="2"/>
  <c r="AX840" i="2"/>
  <c r="AW840" i="2"/>
  <c r="AV840" i="2"/>
  <c r="AU840" i="2"/>
  <c r="AT840" i="2"/>
  <c r="H840" i="1"/>
  <c r="AS840" i="2"/>
  <c r="G840" i="1"/>
  <c r="AR840" i="2"/>
  <c r="AQ840" i="2"/>
  <c r="AP840" i="2"/>
  <c r="D840" i="1"/>
  <c r="AO840" i="2"/>
  <c r="AN840" i="2"/>
  <c r="AM840" i="2"/>
  <c r="AJ840" i="2"/>
  <c r="AI840" i="2"/>
  <c r="BM839" i="2"/>
  <c r="AA839" i="1"/>
  <c r="BL839" i="2"/>
  <c r="BK839" i="2"/>
  <c r="BJ839" i="2"/>
  <c r="X839" i="1"/>
  <c r="BI839" i="2"/>
  <c r="BH839" i="2"/>
  <c r="BG839" i="2"/>
  <c r="U839" i="1"/>
  <c r="BF839" i="2"/>
  <c r="BE839" i="2"/>
  <c r="S839" i="1"/>
  <c r="BD839" i="2"/>
  <c r="BC839" i="2"/>
  <c r="BB839" i="2"/>
  <c r="BA839" i="2"/>
  <c r="AZ839" i="2"/>
  <c r="AY839" i="2"/>
  <c r="AX839" i="2"/>
  <c r="AW839" i="2"/>
  <c r="AV839" i="2"/>
  <c r="AU839" i="2"/>
  <c r="AT839" i="2"/>
  <c r="H839" i="1"/>
  <c r="AS839" i="2"/>
  <c r="G839" i="1"/>
  <c r="AR839" i="2"/>
  <c r="AQ839" i="2"/>
  <c r="AP839" i="2"/>
  <c r="D839" i="1"/>
  <c r="AO839" i="2"/>
  <c r="AN839" i="2"/>
  <c r="AM839" i="2"/>
  <c r="AJ839" i="2"/>
  <c r="AI839" i="2"/>
  <c r="BM838" i="2"/>
  <c r="AA838" i="1"/>
  <c r="BL838" i="2"/>
  <c r="BK838" i="2"/>
  <c r="BJ838" i="2"/>
  <c r="X838" i="1"/>
  <c r="BI838" i="2"/>
  <c r="BH838" i="2"/>
  <c r="BG838" i="2"/>
  <c r="U838" i="1"/>
  <c r="BF838" i="2"/>
  <c r="BE838" i="2"/>
  <c r="S838" i="1"/>
  <c r="BD838" i="2"/>
  <c r="BC838" i="2"/>
  <c r="BB838" i="2"/>
  <c r="BA838" i="2"/>
  <c r="AZ838" i="2"/>
  <c r="AY838" i="2"/>
  <c r="AX838" i="2"/>
  <c r="AW838" i="2"/>
  <c r="AV838" i="2"/>
  <c r="AU838" i="2"/>
  <c r="AT838" i="2"/>
  <c r="H838" i="1"/>
  <c r="AS838" i="2"/>
  <c r="G838" i="1"/>
  <c r="AR838" i="2"/>
  <c r="AQ838" i="2"/>
  <c r="AP838" i="2"/>
  <c r="D838" i="1"/>
  <c r="AO838" i="2"/>
  <c r="AN838" i="2"/>
  <c r="AM838" i="2"/>
  <c r="AJ838" i="2"/>
  <c r="AI838" i="2"/>
  <c r="BM837" i="2"/>
  <c r="AA837" i="1"/>
  <c r="BL837" i="2"/>
  <c r="BK837" i="2"/>
  <c r="BJ837" i="2"/>
  <c r="X837" i="1"/>
  <c r="BI837" i="2"/>
  <c r="BH837" i="2"/>
  <c r="BG837" i="2"/>
  <c r="U837" i="1"/>
  <c r="BF837" i="2"/>
  <c r="BE837" i="2"/>
  <c r="S837" i="1"/>
  <c r="BD837" i="2"/>
  <c r="BC837" i="2"/>
  <c r="BB837" i="2"/>
  <c r="BA837" i="2"/>
  <c r="AZ837" i="2"/>
  <c r="AY837" i="2"/>
  <c r="AX837" i="2"/>
  <c r="AW837" i="2"/>
  <c r="AV837" i="2"/>
  <c r="AU837" i="2"/>
  <c r="AT837" i="2"/>
  <c r="H837" i="1"/>
  <c r="AS837" i="2"/>
  <c r="G837" i="1"/>
  <c r="AR837" i="2"/>
  <c r="AQ837" i="2"/>
  <c r="AP837" i="2"/>
  <c r="D837" i="1"/>
  <c r="AO837" i="2"/>
  <c r="AN837" i="2"/>
  <c r="AM837" i="2"/>
  <c r="AJ837" i="2"/>
  <c r="AI837" i="2"/>
  <c r="BM836" i="2"/>
  <c r="AA836" i="1"/>
  <c r="BL836" i="2"/>
  <c r="BK836" i="2"/>
  <c r="BJ836" i="2"/>
  <c r="X836" i="1"/>
  <c r="BI836" i="2"/>
  <c r="BH836" i="2"/>
  <c r="BG836" i="2"/>
  <c r="U836" i="1"/>
  <c r="BF836" i="2"/>
  <c r="BE836" i="2"/>
  <c r="S836" i="1"/>
  <c r="BD836" i="2"/>
  <c r="BC836" i="2"/>
  <c r="BB836" i="2"/>
  <c r="BA836" i="2"/>
  <c r="AZ836" i="2"/>
  <c r="AY836" i="2"/>
  <c r="AX836" i="2"/>
  <c r="AW836" i="2"/>
  <c r="AV836" i="2"/>
  <c r="AU836" i="2"/>
  <c r="AT836" i="2"/>
  <c r="H836" i="1"/>
  <c r="AS836" i="2"/>
  <c r="G836" i="1"/>
  <c r="AR836" i="2"/>
  <c r="AQ836" i="2"/>
  <c r="AP836" i="2"/>
  <c r="D836" i="1"/>
  <c r="AO836" i="2"/>
  <c r="AN836" i="2"/>
  <c r="AM836" i="2"/>
  <c r="AJ836" i="2"/>
  <c r="AI836" i="2"/>
  <c r="BM835" i="2"/>
  <c r="AA835" i="1"/>
  <c r="BL835" i="2"/>
  <c r="BK835" i="2"/>
  <c r="BJ835" i="2"/>
  <c r="X835" i="1"/>
  <c r="BI835" i="2"/>
  <c r="BH835" i="2"/>
  <c r="BG835" i="2"/>
  <c r="U835" i="1"/>
  <c r="BF835" i="2"/>
  <c r="BE835" i="2"/>
  <c r="S835" i="1"/>
  <c r="BD835" i="2"/>
  <c r="BC835" i="2"/>
  <c r="BB835" i="2"/>
  <c r="BA835" i="2"/>
  <c r="AZ835" i="2"/>
  <c r="AY835" i="2"/>
  <c r="AX835" i="2"/>
  <c r="AW835" i="2"/>
  <c r="AV835" i="2"/>
  <c r="AU835" i="2"/>
  <c r="AT835" i="2"/>
  <c r="H835" i="1"/>
  <c r="AS835" i="2"/>
  <c r="G835" i="1"/>
  <c r="AR835" i="2"/>
  <c r="AQ835" i="2"/>
  <c r="AP835" i="2"/>
  <c r="D835" i="1"/>
  <c r="AO835" i="2"/>
  <c r="AN835" i="2"/>
  <c r="AM835" i="2"/>
  <c r="AJ835" i="2"/>
  <c r="AI835" i="2"/>
  <c r="BM834" i="2"/>
  <c r="AA834" i="1"/>
  <c r="BL834" i="2"/>
  <c r="BK834" i="2"/>
  <c r="BJ834" i="2"/>
  <c r="X834" i="1"/>
  <c r="BI834" i="2"/>
  <c r="BH834" i="2"/>
  <c r="BG834" i="2"/>
  <c r="U834" i="1"/>
  <c r="BF834" i="2"/>
  <c r="BE834" i="2"/>
  <c r="S834" i="1"/>
  <c r="BD834" i="2"/>
  <c r="BC834" i="2"/>
  <c r="BB834" i="2"/>
  <c r="BA834" i="2"/>
  <c r="AZ834" i="2"/>
  <c r="AY834" i="2"/>
  <c r="AX834" i="2"/>
  <c r="AW834" i="2"/>
  <c r="AV834" i="2"/>
  <c r="AU834" i="2"/>
  <c r="AT834" i="2"/>
  <c r="H834" i="1"/>
  <c r="AS834" i="2"/>
  <c r="G834" i="1"/>
  <c r="AR834" i="2"/>
  <c r="AQ834" i="2"/>
  <c r="AP834" i="2"/>
  <c r="D834" i="1"/>
  <c r="AO834" i="2"/>
  <c r="AN834" i="2"/>
  <c r="AM834" i="2"/>
  <c r="AJ834" i="2"/>
  <c r="AI834" i="2"/>
  <c r="BM833" i="2"/>
  <c r="AA833" i="1"/>
  <c r="BL833" i="2"/>
  <c r="BK833" i="2"/>
  <c r="BJ833" i="2"/>
  <c r="X833" i="1"/>
  <c r="BI833" i="2"/>
  <c r="BH833" i="2"/>
  <c r="BG833" i="2"/>
  <c r="U833" i="1"/>
  <c r="BF833" i="2"/>
  <c r="BE833" i="2"/>
  <c r="S833" i="1"/>
  <c r="BD833" i="2"/>
  <c r="BC833" i="2"/>
  <c r="BB833" i="2"/>
  <c r="BA833" i="2"/>
  <c r="AZ833" i="2"/>
  <c r="AY833" i="2"/>
  <c r="AX833" i="2"/>
  <c r="AW833" i="2"/>
  <c r="AV833" i="2"/>
  <c r="AU833" i="2"/>
  <c r="AT833" i="2"/>
  <c r="H833" i="1"/>
  <c r="AS833" i="2"/>
  <c r="G833" i="1"/>
  <c r="AR833" i="2"/>
  <c r="AQ833" i="2"/>
  <c r="AP833" i="2"/>
  <c r="D833" i="1"/>
  <c r="AO833" i="2"/>
  <c r="AN833" i="2"/>
  <c r="AM833" i="2"/>
  <c r="AJ833" i="2"/>
  <c r="AI833" i="2"/>
  <c r="BM832" i="2"/>
  <c r="AA832" i="1"/>
  <c r="BL832" i="2"/>
  <c r="BK832" i="2"/>
  <c r="BJ832" i="2"/>
  <c r="X832" i="1"/>
  <c r="BI832" i="2"/>
  <c r="BH832" i="2"/>
  <c r="BG832" i="2"/>
  <c r="U832" i="1"/>
  <c r="BF832" i="2"/>
  <c r="BE832" i="2"/>
  <c r="S832" i="1"/>
  <c r="BD832" i="2"/>
  <c r="BC832" i="2"/>
  <c r="BB832" i="2"/>
  <c r="BA832" i="2"/>
  <c r="AZ832" i="2"/>
  <c r="AY832" i="2"/>
  <c r="AX832" i="2"/>
  <c r="AW832" i="2"/>
  <c r="AV832" i="2"/>
  <c r="AU832" i="2"/>
  <c r="AT832" i="2"/>
  <c r="H832" i="1"/>
  <c r="AS832" i="2"/>
  <c r="G832" i="1"/>
  <c r="AR832" i="2"/>
  <c r="AQ832" i="2"/>
  <c r="AP832" i="2"/>
  <c r="D832" i="1"/>
  <c r="AO832" i="2"/>
  <c r="AN832" i="2"/>
  <c r="AM832" i="2"/>
  <c r="AJ832" i="2"/>
  <c r="AI832" i="2"/>
  <c r="BM831" i="2"/>
  <c r="AA831" i="1"/>
  <c r="BL831" i="2"/>
  <c r="BK831" i="2"/>
  <c r="BJ831" i="2"/>
  <c r="X831" i="1"/>
  <c r="BI831" i="2"/>
  <c r="BH831" i="2"/>
  <c r="BG831" i="2"/>
  <c r="U831" i="1"/>
  <c r="BF831" i="2"/>
  <c r="BE831" i="2"/>
  <c r="S831" i="1"/>
  <c r="BD831" i="2"/>
  <c r="BC831" i="2"/>
  <c r="BB831" i="2"/>
  <c r="BA831" i="2"/>
  <c r="AZ831" i="2"/>
  <c r="AY831" i="2"/>
  <c r="AX831" i="2"/>
  <c r="AW831" i="2"/>
  <c r="AV831" i="2"/>
  <c r="AU831" i="2"/>
  <c r="AT831" i="2"/>
  <c r="H831" i="1"/>
  <c r="AS831" i="2"/>
  <c r="G831" i="1"/>
  <c r="AR831" i="2"/>
  <c r="AQ831" i="2"/>
  <c r="AP831" i="2"/>
  <c r="D831" i="1"/>
  <c r="AO831" i="2"/>
  <c r="AN831" i="2"/>
  <c r="AM831" i="2"/>
  <c r="AJ831" i="2"/>
  <c r="AI831" i="2"/>
  <c r="BM830" i="2"/>
  <c r="AA830" i="1"/>
  <c r="BL830" i="2"/>
  <c r="BK830" i="2"/>
  <c r="BJ830" i="2"/>
  <c r="X830" i="1"/>
  <c r="BI830" i="2"/>
  <c r="BH830" i="2"/>
  <c r="BG830" i="2"/>
  <c r="U830" i="1"/>
  <c r="BF830" i="2"/>
  <c r="BE830" i="2"/>
  <c r="S830" i="1"/>
  <c r="BD830" i="2"/>
  <c r="BC830" i="2"/>
  <c r="BB830" i="2"/>
  <c r="BA830" i="2"/>
  <c r="AZ830" i="2"/>
  <c r="AY830" i="2"/>
  <c r="AX830" i="2"/>
  <c r="AW830" i="2"/>
  <c r="AV830" i="2"/>
  <c r="AU830" i="2"/>
  <c r="AT830" i="2"/>
  <c r="H830" i="1"/>
  <c r="AS830" i="2"/>
  <c r="G830" i="1"/>
  <c r="AR830" i="2"/>
  <c r="AQ830" i="2"/>
  <c r="AP830" i="2"/>
  <c r="D830" i="1"/>
  <c r="AO830" i="2"/>
  <c r="AN830" i="2"/>
  <c r="AM830" i="2"/>
  <c r="AJ830" i="2"/>
  <c r="AI830" i="2"/>
  <c r="BM829" i="2"/>
  <c r="AA829" i="1"/>
  <c r="BL829" i="2"/>
  <c r="BK829" i="2"/>
  <c r="BJ829" i="2"/>
  <c r="X829" i="1"/>
  <c r="BI829" i="2"/>
  <c r="BH829" i="2"/>
  <c r="BG829" i="2"/>
  <c r="U829" i="1"/>
  <c r="BF829" i="2"/>
  <c r="BE829" i="2"/>
  <c r="S829" i="1"/>
  <c r="BD829" i="2"/>
  <c r="BC829" i="2"/>
  <c r="BB829" i="2"/>
  <c r="BA829" i="2"/>
  <c r="AZ829" i="2"/>
  <c r="AY829" i="2"/>
  <c r="AX829" i="2"/>
  <c r="AW829" i="2"/>
  <c r="AV829" i="2"/>
  <c r="AU829" i="2"/>
  <c r="AT829" i="2"/>
  <c r="H829" i="1"/>
  <c r="AS829" i="2"/>
  <c r="G829" i="1"/>
  <c r="AR829" i="2"/>
  <c r="AQ829" i="2"/>
  <c r="AP829" i="2"/>
  <c r="D829" i="1"/>
  <c r="AO829" i="2"/>
  <c r="AN829" i="2"/>
  <c r="AM829" i="2"/>
  <c r="AJ829" i="2"/>
  <c r="AI829" i="2"/>
  <c r="BM828" i="2"/>
  <c r="AA828" i="1"/>
  <c r="BL828" i="2"/>
  <c r="BK828" i="2"/>
  <c r="BJ828" i="2"/>
  <c r="X828" i="1"/>
  <c r="BI828" i="2"/>
  <c r="BH828" i="2"/>
  <c r="BG828" i="2"/>
  <c r="U828" i="1"/>
  <c r="BF828" i="2"/>
  <c r="BE828" i="2"/>
  <c r="S828" i="1"/>
  <c r="BD828" i="2"/>
  <c r="BC828" i="2"/>
  <c r="BB828" i="2"/>
  <c r="BA828" i="2"/>
  <c r="AZ828" i="2"/>
  <c r="AY828" i="2"/>
  <c r="AX828" i="2"/>
  <c r="AW828" i="2"/>
  <c r="AV828" i="2"/>
  <c r="AU828" i="2"/>
  <c r="AT828" i="2"/>
  <c r="H828" i="1"/>
  <c r="AS828" i="2"/>
  <c r="G828" i="1"/>
  <c r="AR828" i="2"/>
  <c r="AQ828" i="2"/>
  <c r="AP828" i="2"/>
  <c r="D828" i="1"/>
  <c r="AO828" i="2"/>
  <c r="AN828" i="2"/>
  <c r="AM828" i="2"/>
  <c r="AJ828" i="2"/>
  <c r="AI828" i="2"/>
  <c r="BM827" i="2"/>
  <c r="AA827" i="1"/>
  <c r="BL827" i="2"/>
  <c r="BK827" i="2"/>
  <c r="BJ827" i="2"/>
  <c r="X827" i="1"/>
  <c r="BI827" i="2"/>
  <c r="BH827" i="2"/>
  <c r="BG827" i="2"/>
  <c r="U827" i="1"/>
  <c r="BF827" i="2"/>
  <c r="BE827" i="2"/>
  <c r="S827" i="1"/>
  <c r="BD827" i="2"/>
  <c r="BC827" i="2"/>
  <c r="BB827" i="2"/>
  <c r="BA827" i="2"/>
  <c r="AZ827" i="2"/>
  <c r="AY827" i="2"/>
  <c r="AX827" i="2"/>
  <c r="AW827" i="2"/>
  <c r="AV827" i="2"/>
  <c r="AU827" i="2"/>
  <c r="AT827" i="2"/>
  <c r="H827" i="1"/>
  <c r="AS827" i="2"/>
  <c r="G827" i="1"/>
  <c r="AR827" i="2"/>
  <c r="AQ827" i="2"/>
  <c r="AP827" i="2"/>
  <c r="D827" i="1"/>
  <c r="AO827" i="2"/>
  <c r="AN827" i="2"/>
  <c r="AM827" i="2"/>
  <c r="AJ827" i="2"/>
  <c r="AI827" i="2"/>
  <c r="BM826" i="2"/>
  <c r="AA826" i="1"/>
  <c r="BL826" i="2"/>
  <c r="BK826" i="2"/>
  <c r="BJ826" i="2"/>
  <c r="X826" i="1"/>
  <c r="BI826" i="2"/>
  <c r="BH826" i="2"/>
  <c r="BG826" i="2"/>
  <c r="U826" i="1"/>
  <c r="BF826" i="2"/>
  <c r="BE826" i="2"/>
  <c r="S826" i="1"/>
  <c r="BD826" i="2"/>
  <c r="BC826" i="2"/>
  <c r="BB826" i="2"/>
  <c r="BA826" i="2"/>
  <c r="AZ826" i="2"/>
  <c r="AY826" i="2"/>
  <c r="AX826" i="2"/>
  <c r="AW826" i="2"/>
  <c r="AV826" i="2"/>
  <c r="AU826" i="2"/>
  <c r="AT826" i="2"/>
  <c r="H826" i="1"/>
  <c r="AS826" i="2"/>
  <c r="G826" i="1"/>
  <c r="AR826" i="2"/>
  <c r="AQ826" i="2"/>
  <c r="AP826" i="2"/>
  <c r="D826" i="1"/>
  <c r="AO826" i="2"/>
  <c r="AN826" i="2"/>
  <c r="AM826" i="2"/>
  <c r="AJ826" i="2"/>
  <c r="AI826" i="2"/>
  <c r="BM825" i="2"/>
  <c r="AA825" i="1"/>
  <c r="BL825" i="2"/>
  <c r="BK825" i="2"/>
  <c r="BJ825" i="2"/>
  <c r="X825" i="1"/>
  <c r="BI825" i="2"/>
  <c r="BH825" i="2"/>
  <c r="BG825" i="2"/>
  <c r="U825" i="1"/>
  <c r="BF825" i="2"/>
  <c r="BE825" i="2"/>
  <c r="S825" i="1"/>
  <c r="BD825" i="2"/>
  <c r="BC825" i="2"/>
  <c r="BB825" i="2"/>
  <c r="BA825" i="2"/>
  <c r="AZ825" i="2"/>
  <c r="AY825" i="2"/>
  <c r="AX825" i="2"/>
  <c r="AW825" i="2"/>
  <c r="AV825" i="2"/>
  <c r="AU825" i="2"/>
  <c r="AT825" i="2"/>
  <c r="H825" i="1"/>
  <c r="AS825" i="2"/>
  <c r="G825" i="1"/>
  <c r="AR825" i="2"/>
  <c r="AQ825" i="2"/>
  <c r="AP825" i="2"/>
  <c r="D825" i="1"/>
  <c r="AO825" i="2"/>
  <c r="AN825" i="2"/>
  <c r="AM825" i="2"/>
  <c r="AJ825" i="2"/>
  <c r="AI825" i="2"/>
  <c r="BM824" i="2"/>
  <c r="AA824" i="1"/>
  <c r="BL824" i="2"/>
  <c r="BK824" i="2"/>
  <c r="BJ824" i="2"/>
  <c r="X824" i="1"/>
  <c r="BI824" i="2"/>
  <c r="BH824" i="2"/>
  <c r="BG824" i="2"/>
  <c r="U824" i="1"/>
  <c r="BF824" i="2"/>
  <c r="BE824" i="2"/>
  <c r="S824" i="1"/>
  <c r="BD824" i="2"/>
  <c r="BC824" i="2"/>
  <c r="BB824" i="2"/>
  <c r="BA824" i="2"/>
  <c r="AZ824" i="2"/>
  <c r="AY824" i="2"/>
  <c r="AX824" i="2"/>
  <c r="AW824" i="2"/>
  <c r="AV824" i="2"/>
  <c r="AU824" i="2"/>
  <c r="AT824" i="2"/>
  <c r="H824" i="1"/>
  <c r="AS824" i="2"/>
  <c r="G824" i="1"/>
  <c r="AR824" i="2"/>
  <c r="AQ824" i="2"/>
  <c r="AP824" i="2"/>
  <c r="D824" i="1"/>
  <c r="AO824" i="2"/>
  <c r="AN824" i="2"/>
  <c r="AM824" i="2"/>
  <c r="AJ824" i="2"/>
  <c r="AI824" i="2"/>
  <c r="BM823" i="2"/>
  <c r="AA823" i="1"/>
  <c r="BL823" i="2"/>
  <c r="BK823" i="2"/>
  <c r="BJ823" i="2"/>
  <c r="X823" i="1"/>
  <c r="BI823" i="2"/>
  <c r="BH823" i="2"/>
  <c r="BG823" i="2"/>
  <c r="U823" i="1"/>
  <c r="BF823" i="2"/>
  <c r="BE823" i="2"/>
  <c r="S823" i="1"/>
  <c r="BD823" i="2"/>
  <c r="BC823" i="2"/>
  <c r="BB823" i="2"/>
  <c r="BA823" i="2"/>
  <c r="AZ823" i="2"/>
  <c r="AY823" i="2"/>
  <c r="AX823" i="2"/>
  <c r="AW823" i="2"/>
  <c r="AV823" i="2"/>
  <c r="AU823" i="2"/>
  <c r="AT823" i="2"/>
  <c r="H823" i="1"/>
  <c r="AS823" i="2"/>
  <c r="G823" i="1"/>
  <c r="AR823" i="2"/>
  <c r="AQ823" i="2"/>
  <c r="AP823" i="2"/>
  <c r="D823" i="1"/>
  <c r="AO823" i="2"/>
  <c r="AN823" i="2"/>
  <c r="AM823" i="2"/>
  <c r="AJ823" i="2"/>
  <c r="AI823" i="2"/>
  <c r="BM822" i="2"/>
  <c r="AA822" i="1"/>
  <c r="BL822" i="2"/>
  <c r="BK822" i="2"/>
  <c r="BJ822" i="2"/>
  <c r="X822" i="1"/>
  <c r="BI822" i="2"/>
  <c r="BH822" i="2"/>
  <c r="BG822" i="2"/>
  <c r="U822" i="1"/>
  <c r="BF822" i="2"/>
  <c r="BE822" i="2"/>
  <c r="S822" i="1"/>
  <c r="BD822" i="2"/>
  <c r="BC822" i="2"/>
  <c r="BB822" i="2"/>
  <c r="BA822" i="2"/>
  <c r="AZ822" i="2"/>
  <c r="AY822" i="2"/>
  <c r="AX822" i="2"/>
  <c r="AW822" i="2"/>
  <c r="AV822" i="2"/>
  <c r="AU822" i="2"/>
  <c r="AT822" i="2"/>
  <c r="H822" i="1"/>
  <c r="AS822" i="2"/>
  <c r="G822" i="1"/>
  <c r="AR822" i="2"/>
  <c r="AQ822" i="2"/>
  <c r="AP822" i="2"/>
  <c r="D822" i="1"/>
  <c r="AO822" i="2"/>
  <c r="AN822" i="2"/>
  <c r="AM822" i="2"/>
  <c r="AJ822" i="2"/>
  <c r="AI822" i="2"/>
  <c r="BM821" i="2"/>
  <c r="AA821" i="1"/>
  <c r="BL821" i="2"/>
  <c r="BK821" i="2"/>
  <c r="BJ821" i="2"/>
  <c r="X821" i="1"/>
  <c r="BI821" i="2"/>
  <c r="BH821" i="2"/>
  <c r="BG821" i="2"/>
  <c r="U821" i="1"/>
  <c r="BF821" i="2"/>
  <c r="BE821" i="2"/>
  <c r="S821" i="1"/>
  <c r="BD821" i="2"/>
  <c r="BC821" i="2"/>
  <c r="BB821" i="2"/>
  <c r="BA821" i="2"/>
  <c r="AZ821" i="2"/>
  <c r="AY821" i="2"/>
  <c r="AX821" i="2"/>
  <c r="AW821" i="2"/>
  <c r="AV821" i="2"/>
  <c r="AU821" i="2"/>
  <c r="AT821" i="2"/>
  <c r="H821" i="1"/>
  <c r="AS821" i="2"/>
  <c r="G821" i="1"/>
  <c r="AR821" i="2"/>
  <c r="AQ821" i="2"/>
  <c r="AP821" i="2"/>
  <c r="D821" i="1"/>
  <c r="AO821" i="2"/>
  <c r="AN821" i="2"/>
  <c r="AM821" i="2"/>
  <c r="AJ821" i="2"/>
  <c r="AI821" i="2"/>
  <c r="BM820" i="2"/>
  <c r="AA820" i="1"/>
  <c r="BL820" i="2"/>
  <c r="BK820" i="2"/>
  <c r="BJ820" i="2"/>
  <c r="X820" i="1"/>
  <c r="BI820" i="2"/>
  <c r="BH820" i="2"/>
  <c r="BG820" i="2"/>
  <c r="U820" i="1"/>
  <c r="BF820" i="2"/>
  <c r="BE820" i="2"/>
  <c r="S820" i="1"/>
  <c r="BD820" i="2"/>
  <c r="BC820" i="2"/>
  <c r="BB820" i="2"/>
  <c r="BA820" i="2"/>
  <c r="AZ820" i="2"/>
  <c r="AY820" i="2"/>
  <c r="AX820" i="2"/>
  <c r="AW820" i="2"/>
  <c r="AV820" i="2"/>
  <c r="AU820" i="2"/>
  <c r="AT820" i="2"/>
  <c r="H820" i="1"/>
  <c r="AS820" i="2"/>
  <c r="G820" i="1"/>
  <c r="AR820" i="2"/>
  <c r="AQ820" i="2"/>
  <c r="AP820" i="2"/>
  <c r="D820" i="1"/>
  <c r="AO820" i="2"/>
  <c r="AN820" i="2"/>
  <c r="AM820" i="2"/>
  <c r="AJ820" i="2"/>
  <c r="AI820" i="2"/>
  <c r="BM819" i="2"/>
  <c r="AA819" i="1"/>
  <c r="BL819" i="2"/>
  <c r="BK819" i="2"/>
  <c r="BJ819" i="2"/>
  <c r="X819" i="1"/>
  <c r="BI819" i="2"/>
  <c r="BH819" i="2"/>
  <c r="BG819" i="2"/>
  <c r="U819" i="1"/>
  <c r="BF819" i="2"/>
  <c r="BE819" i="2"/>
  <c r="S819" i="1"/>
  <c r="BD819" i="2"/>
  <c r="BC819" i="2"/>
  <c r="BB819" i="2"/>
  <c r="BA819" i="2"/>
  <c r="AZ819" i="2"/>
  <c r="AY819" i="2"/>
  <c r="AX819" i="2"/>
  <c r="AW819" i="2"/>
  <c r="AV819" i="2"/>
  <c r="AU819" i="2"/>
  <c r="AT819" i="2"/>
  <c r="H819" i="1"/>
  <c r="AS819" i="2"/>
  <c r="G819" i="1"/>
  <c r="AR819" i="2"/>
  <c r="AQ819" i="2"/>
  <c r="AP819" i="2"/>
  <c r="D819" i="1"/>
  <c r="AO819" i="2"/>
  <c r="AN819" i="2"/>
  <c r="AM819" i="2"/>
  <c r="AJ819" i="2"/>
  <c r="AI819" i="2"/>
  <c r="BM818" i="2"/>
  <c r="AA818" i="1"/>
  <c r="BL818" i="2"/>
  <c r="BK818" i="2"/>
  <c r="BJ818" i="2"/>
  <c r="X818" i="1"/>
  <c r="BI818" i="2"/>
  <c r="BH818" i="2"/>
  <c r="BG818" i="2"/>
  <c r="U818" i="1"/>
  <c r="BF818" i="2"/>
  <c r="BE818" i="2"/>
  <c r="S818" i="1"/>
  <c r="BD818" i="2"/>
  <c r="BC818" i="2"/>
  <c r="BB818" i="2"/>
  <c r="BA818" i="2"/>
  <c r="AZ818" i="2"/>
  <c r="AY818" i="2"/>
  <c r="AX818" i="2"/>
  <c r="AW818" i="2"/>
  <c r="AV818" i="2"/>
  <c r="AU818" i="2"/>
  <c r="AT818" i="2"/>
  <c r="H818" i="1"/>
  <c r="AS818" i="2"/>
  <c r="G818" i="1"/>
  <c r="AR818" i="2"/>
  <c r="AQ818" i="2"/>
  <c r="AP818" i="2"/>
  <c r="D818" i="1"/>
  <c r="AO818" i="2"/>
  <c r="AN818" i="2"/>
  <c r="AM818" i="2"/>
  <c r="AJ818" i="2"/>
  <c r="AI818" i="2"/>
  <c r="BM817" i="2"/>
  <c r="AA817" i="1"/>
  <c r="BL817" i="2"/>
  <c r="BK817" i="2"/>
  <c r="BJ817" i="2"/>
  <c r="X817" i="1"/>
  <c r="BI817" i="2"/>
  <c r="BH817" i="2"/>
  <c r="BG817" i="2"/>
  <c r="U817" i="1"/>
  <c r="BF817" i="2"/>
  <c r="BE817" i="2"/>
  <c r="S817" i="1"/>
  <c r="BD817" i="2"/>
  <c r="BC817" i="2"/>
  <c r="BB817" i="2"/>
  <c r="BA817" i="2"/>
  <c r="AZ817" i="2"/>
  <c r="AY817" i="2"/>
  <c r="AX817" i="2"/>
  <c r="AW817" i="2"/>
  <c r="AV817" i="2"/>
  <c r="AU817" i="2"/>
  <c r="AT817" i="2"/>
  <c r="H817" i="1"/>
  <c r="AS817" i="2"/>
  <c r="G817" i="1"/>
  <c r="AR817" i="2"/>
  <c r="AQ817" i="2"/>
  <c r="AP817" i="2"/>
  <c r="D817" i="1"/>
  <c r="AO817" i="2"/>
  <c r="AN817" i="2"/>
  <c r="AM817" i="2"/>
  <c r="AJ817" i="2"/>
  <c r="AI817" i="2"/>
  <c r="BM816" i="2"/>
  <c r="AA816" i="1"/>
  <c r="BL816" i="2"/>
  <c r="BK816" i="2"/>
  <c r="BJ816" i="2"/>
  <c r="X816" i="1"/>
  <c r="BI816" i="2"/>
  <c r="BH816" i="2"/>
  <c r="BG816" i="2"/>
  <c r="U816" i="1"/>
  <c r="BF816" i="2"/>
  <c r="BE816" i="2"/>
  <c r="S816" i="1"/>
  <c r="BD816" i="2"/>
  <c r="BC816" i="2"/>
  <c r="BB816" i="2"/>
  <c r="BA816" i="2"/>
  <c r="AZ816" i="2"/>
  <c r="AY816" i="2"/>
  <c r="AX816" i="2"/>
  <c r="AW816" i="2"/>
  <c r="AV816" i="2"/>
  <c r="AU816" i="2"/>
  <c r="AT816" i="2"/>
  <c r="H816" i="1"/>
  <c r="AS816" i="2"/>
  <c r="G816" i="1"/>
  <c r="AR816" i="2"/>
  <c r="AQ816" i="2"/>
  <c r="AP816" i="2"/>
  <c r="D816" i="1"/>
  <c r="AO816" i="2"/>
  <c r="AN816" i="2"/>
  <c r="AM816" i="2"/>
  <c r="AJ816" i="2"/>
  <c r="AI816" i="2"/>
  <c r="BM815" i="2"/>
  <c r="AA815" i="1"/>
  <c r="BL815" i="2"/>
  <c r="BK815" i="2"/>
  <c r="BJ815" i="2"/>
  <c r="X815" i="1"/>
  <c r="BI815" i="2"/>
  <c r="BH815" i="2"/>
  <c r="BG815" i="2"/>
  <c r="U815" i="1"/>
  <c r="BF815" i="2"/>
  <c r="BE815" i="2"/>
  <c r="S815" i="1"/>
  <c r="BD815" i="2"/>
  <c r="BC815" i="2"/>
  <c r="BB815" i="2"/>
  <c r="BA815" i="2"/>
  <c r="AZ815" i="2"/>
  <c r="AY815" i="2"/>
  <c r="AX815" i="2"/>
  <c r="AW815" i="2"/>
  <c r="AV815" i="2"/>
  <c r="AU815" i="2"/>
  <c r="AT815" i="2"/>
  <c r="H815" i="1"/>
  <c r="AS815" i="2"/>
  <c r="G815" i="1"/>
  <c r="AR815" i="2"/>
  <c r="AQ815" i="2"/>
  <c r="AP815" i="2"/>
  <c r="D815" i="1"/>
  <c r="AO815" i="2"/>
  <c r="AN815" i="2"/>
  <c r="AM815" i="2"/>
  <c r="AJ815" i="2"/>
  <c r="AI815" i="2"/>
  <c r="BM814" i="2"/>
  <c r="AA814" i="1"/>
  <c r="BL814" i="2"/>
  <c r="BK814" i="2"/>
  <c r="BJ814" i="2"/>
  <c r="X814" i="1"/>
  <c r="BI814" i="2"/>
  <c r="BH814" i="2"/>
  <c r="BG814" i="2"/>
  <c r="U814" i="1"/>
  <c r="BF814" i="2"/>
  <c r="BE814" i="2"/>
  <c r="S814" i="1"/>
  <c r="BD814" i="2"/>
  <c r="BC814" i="2"/>
  <c r="BB814" i="2"/>
  <c r="BA814" i="2"/>
  <c r="AZ814" i="2"/>
  <c r="AY814" i="2"/>
  <c r="AX814" i="2"/>
  <c r="AW814" i="2"/>
  <c r="AV814" i="2"/>
  <c r="AU814" i="2"/>
  <c r="AT814" i="2"/>
  <c r="H814" i="1"/>
  <c r="AS814" i="2"/>
  <c r="G814" i="1"/>
  <c r="AR814" i="2"/>
  <c r="AQ814" i="2"/>
  <c r="AP814" i="2"/>
  <c r="D814" i="1"/>
  <c r="AO814" i="2"/>
  <c r="AN814" i="2"/>
  <c r="AM814" i="2"/>
  <c r="AJ814" i="2"/>
  <c r="AI814" i="2"/>
  <c r="BM813" i="2"/>
  <c r="AA813" i="1"/>
  <c r="BL813" i="2"/>
  <c r="BK813" i="2"/>
  <c r="BJ813" i="2"/>
  <c r="X813" i="1"/>
  <c r="BI813" i="2"/>
  <c r="BH813" i="2"/>
  <c r="BG813" i="2"/>
  <c r="U813" i="1"/>
  <c r="BF813" i="2"/>
  <c r="BE813" i="2"/>
  <c r="S813" i="1"/>
  <c r="BD813" i="2"/>
  <c r="BC813" i="2"/>
  <c r="BB813" i="2"/>
  <c r="BA813" i="2"/>
  <c r="AZ813" i="2"/>
  <c r="AY813" i="2"/>
  <c r="AX813" i="2"/>
  <c r="AW813" i="2"/>
  <c r="AV813" i="2"/>
  <c r="AU813" i="2"/>
  <c r="AT813" i="2"/>
  <c r="H813" i="1"/>
  <c r="AS813" i="2"/>
  <c r="G813" i="1"/>
  <c r="AR813" i="2"/>
  <c r="AQ813" i="2"/>
  <c r="AP813" i="2"/>
  <c r="D813" i="1"/>
  <c r="AO813" i="2"/>
  <c r="AN813" i="2"/>
  <c r="AM813" i="2"/>
  <c r="AJ813" i="2"/>
  <c r="AI813" i="2"/>
  <c r="BM812" i="2"/>
  <c r="AA812" i="1"/>
  <c r="BL812" i="2"/>
  <c r="BK812" i="2"/>
  <c r="BJ812" i="2"/>
  <c r="X812" i="1"/>
  <c r="BI812" i="2"/>
  <c r="BH812" i="2"/>
  <c r="BG812" i="2"/>
  <c r="U812" i="1"/>
  <c r="BF812" i="2"/>
  <c r="BE812" i="2"/>
  <c r="S812" i="1"/>
  <c r="BD812" i="2"/>
  <c r="BC812" i="2"/>
  <c r="BB812" i="2"/>
  <c r="BA812" i="2"/>
  <c r="AZ812" i="2"/>
  <c r="AY812" i="2"/>
  <c r="AX812" i="2"/>
  <c r="AW812" i="2"/>
  <c r="AV812" i="2"/>
  <c r="AU812" i="2"/>
  <c r="AT812" i="2"/>
  <c r="H812" i="1"/>
  <c r="AS812" i="2"/>
  <c r="G812" i="1"/>
  <c r="AR812" i="2"/>
  <c r="AQ812" i="2"/>
  <c r="AP812" i="2"/>
  <c r="D812" i="1"/>
  <c r="AO812" i="2"/>
  <c r="AN812" i="2"/>
  <c r="AM812" i="2"/>
  <c r="AJ812" i="2"/>
  <c r="AI812" i="2"/>
  <c r="BM811" i="2"/>
  <c r="AA811" i="1"/>
  <c r="BL811" i="2"/>
  <c r="BK811" i="2"/>
  <c r="BJ811" i="2"/>
  <c r="X811" i="1"/>
  <c r="BI811" i="2"/>
  <c r="BH811" i="2"/>
  <c r="BG811" i="2"/>
  <c r="U811" i="1"/>
  <c r="BF811" i="2"/>
  <c r="BE811" i="2"/>
  <c r="S811" i="1"/>
  <c r="BD811" i="2"/>
  <c r="BC811" i="2"/>
  <c r="BB811" i="2"/>
  <c r="BA811" i="2"/>
  <c r="AZ811" i="2"/>
  <c r="AY811" i="2"/>
  <c r="AX811" i="2"/>
  <c r="AW811" i="2"/>
  <c r="AV811" i="2"/>
  <c r="AU811" i="2"/>
  <c r="AT811" i="2"/>
  <c r="H811" i="1"/>
  <c r="AS811" i="2"/>
  <c r="G811" i="1"/>
  <c r="AR811" i="2"/>
  <c r="AQ811" i="2"/>
  <c r="AP811" i="2"/>
  <c r="D811" i="1"/>
  <c r="AO811" i="2"/>
  <c r="AN811" i="2"/>
  <c r="AM811" i="2"/>
  <c r="AJ811" i="2"/>
  <c r="AI811" i="2"/>
  <c r="BM810" i="2"/>
  <c r="AA810" i="1"/>
  <c r="BL810" i="2"/>
  <c r="BK810" i="2"/>
  <c r="BJ810" i="2"/>
  <c r="X810" i="1"/>
  <c r="BI810" i="2"/>
  <c r="BH810" i="2"/>
  <c r="BG810" i="2"/>
  <c r="U810" i="1"/>
  <c r="BF810" i="2"/>
  <c r="BE810" i="2"/>
  <c r="S810" i="1"/>
  <c r="BD810" i="2"/>
  <c r="BC810" i="2"/>
  <c r="BB810" i="2"/>
  <c r="BA810" i="2"/>
  <c r="AZ810" i="2"/>
  <c r="AY810" i="2"/>
  <c r="AX810" i="2"/>
  <c r="AW810" i="2"/>
  <c r="AV810" i="2"/>
  <c r="AU810" i="2"/>
  <c r="AT810" i="2"/>
  <c r="H810" i="1"/>
  <c r="AS810" i="2"/>
  <c r="G810" i="1"/>
  <c r="AR810" i="2"/>
  <c r="AQ810" i="2"/>
  <c r="AP810" i="2"/>
  <c r="D810" i="1"/>
  <c r="AO810" i="2"/>
  <c r="AN810" i="2"/>
  <c r="AM810" i="2"/>
  <c r="AJ810" i="2"/>
  <c r="AI810" i="2"/>
  <c r="BM809" i="2"/>
  <c r="AA809" i="1"/>
  <c r="BL809" i="2"/>
  <c r="BK809" i="2"/>
  <c r="BJ809" i="2"/>
  <c r="X809" i="1"/>
  <c r="BI809" i="2"/>
  <c r="BH809" i="2"/>
  <c r="BG809" i="2"/>
  <c r="U809" i="1"/>
  <c r="BF809" i="2"/>
  <c r="BE809" i="2"/>
  <c r="S809" i="1"/>
  <c r="BD809" i="2"/>
  <c r="BC809" i="2"/>
  <c r="BB809" i="2"/>
  <c r="BA809" i="2"/>
  <c r="AZ809" i="2"/>
  <c r="AY809" i="2"/>
  <c r="AX809" i="2"/>
  <c r="AW809" i="2"/>
  <c r="AV809" i="2"/>
  <c r="AU809" i="2"/>
  <c r="AT809" i="2"/>
  <c r="H809" i="1"/>
  <c r="AS809" i="2"/>
  <c r="G809" i="1"/>
  <c r="AR809" i="2"/>
  <c r="AQ809" i="2"/>
  <c r="AP809" i="2"/>
  <c r="D809" i="1"/>
  <c r="AO809" i="2"/>
  <c r="AN809" i="2"/>
  <c r="AM809" i="2"/>
  <c r="AJ809" i="2"/>
  <c r="AI809" i="2"/>
  <c r="BM808" i="2"/>
  <c r="AA808" i="1"/>
  <c r="BL808" i="2"/>
  <c r="BK808" i="2"/>
  <c r="BJ808" i="2"/>
  <c r="X808" i="1"/>
  <c r="BI808" i="2"/>
  <c r="BH808" i="2"/>
  <c r="BG808" i="2"/>
  <c r="U808" i="1"/>
  <c r="BF808" i="2"/>
  <c r="BE808" i="2"/>
  <c r="S808" i="1"/>
  <c r="BD808" i="2"/>
  <c r="BC808" i="2"/>
  <c r="BB808" i="2"/>
  <c r="BA808" i="2"/>
  <c r="AZ808" i="2"/>
  <c r="AY808" i="2"/>
  <c r="AX808" i="2"/>
  <c r="AW808" i="2"/>
  <c r="AV808" i="2"/>
  <c r="AU808" i="2"/>
  <c r="AT808" i="2"/>
  <c r="H808" i="1"/>
  <c r="AS808" i="2"/>
  <c r="G808" i="1"/>
  <c r="AR808" i="2"/>
  <c r="AQ808" i="2"/>
  <c r="AP808" i="2"/>
  <c r="D808" i="1"/>
  <c r="AO808" i="2"/>
  <c r="AN808" i="2"/>
  <c r="AM808" i="2"/>
  <c r="AJ808" i="2"/>
  <c r="AI808" i="2"/>
  <c r="BM807" i="2"/>
  <c r="AA807" i="1"/>
  <c r="BL807" i="2"/>
  <c r="BK807" i="2"/>
  <c r="BJ807" i="2"/>
  <c r="X807" i="1"/>
  <c r="BI807" i="2"/>
  <c r="BH807" i="2"/>
  <c r="BG807" i="2"/>
  <c r="U807" i="1"/>
  <c r="BF807" i="2"/>
  <c r="BE807" i="2"/>
  <c r="S807" i="1"/>
  <c r="BD807" i="2"/>
  <c r="BC807" i="2"/>
  <c r="BB807" i="2"/>
  <c r="BA807" i="2"/>
  <c r="AZ807" i="2"/>
  <c r="AY807" i="2"/>
  <c r="AX807" i="2"/>
  <c r="AW807" i="2"/>
  <c r="AV807" i="2"/>
  <c r="AU807" i="2"/>
  <c r="AT807" i="2"/>
  <c r="H807" i="1"/>
  <c r="AS807" i="2"/>
  <c r="G807" i="1"/>
  <c r="AR807" i="2"/>
  <c r="AQ807" i="2"/>
  <c r="AP807" i="2"/>
  <c r="D807" i="1"/>
  <c r="AO807" i="2"/>
  <c r="AN807" i="2"/>
  <c r="AM807" i="2"/>
  <c r="AJ807" i="2"/>
  <c r="AI807" i="2"/>
  <c r="BM806" i="2"/>
  <c r="AA806" i="1"/>
  <c r="BL806" i="2"/>
  <c r="BK806" i="2"/>
  <c r="BJ806" i="2"/>
  <c r="X806" i="1"/>
  <c r="BI806" i="2"/>
  <c r="BH806" i="2"/>
  <c r="BG806" i="2"/>
  <c r="U806" i="1"/>
  <c r="BF806" i="2"/>
  <c r="BE806" i="2"/>
  <c r="S806" i="1"/>
  <c r="BD806" i="2"/>
  <c r="BC806" i="2"/>
  <c r="BB806" i="2"/>
  <c r="BA806" i="2"/>
  <c r="AZ806" i="2"/>
  <c r="AY806" i="2"/>
  <c r="AX806" i="2"/>
  <c r="AW806" i="2"/>
  <c r="AV806" i="2"/>
  <c r="AU806" i="2"/>
  <c r="AT806" i="2"/>
  <c r="H806" i="1"/>
  <c r="AS806" i="2"/>
  <c r="G806" i="1"/>
  <c r="AR806" i="2"/>
  <c r="AQ806" i="2"/>
  <c r="AP806" i="2"/>
  <c r="D806" i="1"/>
  <c r="AO806" i="2"/>
  <c r="AN806" i="2"/>
  <c r="AM806" i="2"/>
  <c r="AJ806" i="2"/>
  <c r="AI806" i="2"/>
  <c r="BM805" i="2"/>
  <c r="AA805" i="1"/>
  <c r="BL805" i="2"/>
  <c r="BK805" i="2"/>
  <c r="BJ805" i="2"/>
  <c r="X805" i="1"/>
  <c r="BI805" i="2"/>
  <c r="BH805" i="2"/>
  <c r="BG805" i="2"/>
  <c r="U805" i="1"/>
  <c r="BF805" i="2"/>
  <c r="BE805" i="2"/>
  <c r="S805" i="1"/>
  <c r="BD805" i="2"/>
  <c r="BC805" i="2"/>
  <c r="BB805" i="2"/>
  <c r="BA805" i="2"/>
  <c r="AZ805" i="2"/>
  <c r="AY805" i="2"/>
  <c r="AX805" i="2"/>
  <c r="AW805" i="2"/>
  <c r="AV805" i="2"/>
  <c r="AU805" i="2"/>
  <c r="AT805" i="2"/>
  <c r="H805" i="1"/>
  <c r="AS805" i="2"/>
  <c r="G805" i="1"/>
  <c r="AR805" i="2"/>
  <c r="AQ805" i="2"/>
  <c r="AP805" i="2"/>
  <c r="D805" i="1"/>
  <c r="AO805" i="2"/>
  <c r="AN805" i="2"/>
  <c r="AM805" i="2"/>
  <c r="AJ805" i="2"/>
  <c r="AI805" i="2"/>
  <c r="BM804" i="2"/>
  <c r="AA804" i="1"/>
  <c r="BL804" i="2"/>
  <c r="BK804" i="2"/>
  <c r="BJ804" i="2"/>
  <c r="X804" i="1"/>
  <c r="BI804" i="2"/>
  <c r="BH804" i="2"/>
  <c r="BG804" i="2"/>
  <c r="U804" i="1"/>
  <c r="BF804" i="2"/>
  <c r="BE804" i="2"/>
  <c r="S804" i="1"/>
  <c r="BD804" i="2"/>
  <c r="BC804" i="2"/>
  <c r="BB804" i="2"/>
  <c r="BA804" i="2"/>
  <c r="AZ804" i="2"/>
  <c r="AY804" i="2"/>
  <c r="AX804" i="2"/>
  <c r="AW804" i="2"/>
  <c r="AV804" i="2"/>
  <c r="AU804" i="2"/>
  <c r="AT804" i="2"/>
  <c r="H804" i="1"/>
  <c r="AS804" i="2"/>
  <c r="G804" i="1"/>
  <c r="AR804" i="2"/>
  <c r="AQ804" i="2"/>
  <c r="AP804" i="2"/>
  <c r="D804" i="1"/>
  <c r="AO804" i="2"/>
  <c r="AN804" i="2"/>
  <c r="AM804" i="2"/>
  <c r="AJ804" i="2"/>
  <c r="AI804" i="2"/>
  <c r="BM803" i="2"/>
  <c r="AA803" i="1"/>
  <c r="BL803" i="2"/>
  <c r="BK803" i="2"/>
  <c r="BJ803" i="2"/>
  <c r="X803" i="1"/>
  <c r="BI803" i="2"/>
  <c r="BH803" i="2"/>
  <c r="BG803" i="2"/>
  <c r="U803" i="1"/>
  <c r="BF803" i="2"/>
  <c r="BE803" i="2"/>
  <c r="S803" i="1"/>
  <c r="BD803" i="2"/>
  <c r="BC803" i="2"/>
  <c r="BB803" i="2"/>
  <c r="BA803" i="2"/>
  <c r="AZ803" i="2"/>
  <c r="AY803" i="2"/>
  <c r="AX803" i="2"/>
  <c r="AW803" i="2"/>
  <c r="AV803" i="2"/>
  <c r="AU803" i="2"/>
  <c r="AT803" i="2"/>
  <c r="H803" i="1"/>
  <c r="AS803" i="2"/>
  <c r="G803" i="1"/>
  <c r="AR803" i="2"/>
  <c r="AQ803" i="2"/>
  <c r="AP803" i="2"/>
  <c r="D803" i="1"/>
  <c r="AO803" i="2"/>
  <c r="AN803" i="2"/>
  <c r="AM803" i="2"/>
  <c r="AJ803" i="2"/>
  <c r="AI803" i="2"/>
  <c r="BM802" i="2"/>
  <c r="AA802" i="1"/>
  <c r="BL802" i="2"/>
  <c r="BK802" i="2"/>
  <c r="BJ802" i="2"/>
  <c r="X802" i="1"/>
  <c r="BI802" i="2"/>
  <c r="BH802" i="2"/>
  <c r="BG802" i="2"/>
  <c r="U802" i="1"/>
  <c r="BF802" i="2"/>
  <c r="BE802" i="2"/>
  <c r="S802" i="1"/>
  <c r="BD802" i="2"/>
  <c r="BC802" i="2"/>
  <c r="BB802" i="2"/>
  <c r="BA802" i="2"/>
  <c r="AZ802" i="2"/>
  <c r="AY802" i="2"/>
  <c r="AX802" i="2"/>
  <c r="AW802" i="2"/>
  <c r="AV802" i="2"/>
  <c r="AU802" i="2"/>
  <c r="AT802" i="2"/>
  <c r="H802" i="1"/>
  <c r="AS802" i="2"/>
  <c r="G802" i="1"/>
  <c r="AR802" i="2"/>
  <c r="AQ802" i="2"/>
  <c r="AP802" i="2"/>
  <c r="D802" i="1"/>
  <c r="AO802" i="2"/>
  <c r="AN802" i="2"/>
  <c r="AM802" i="2"/>
  <c r="AJ802" i="2"/>
  <c r="AI802" i="2"/>
  <c r="BM801" i="2"/>
  <c r="AA801" i="1"/>
  <c r="BL801" i="2"/>
  <c r="BK801" i="2"/>
  <c r="BJ801" i="2"/>
  <c r="X801" i="1"/>
  <c r="BI801" i="2"/>
  <c r="BH801" i="2"/>
  <c r="BG801" i="2"/>
  <c r="U801" i="1"/>
  <c r="BF801" i="2"/>
  <c r="BE801" i="2"/>
  <c r="S801" i="1"/>
  <c r="BD801" i="2"/>
  <c r="BC801" i="2"/>
  <c r="BB801" i="2"/>
  <c r="BA801" i="2"/>
  <c r="AZ801" i="2"/>
  <c r="AY801" i="2"/>
  <c r="AX801" i="2"/>
  <c r="AW801" i="2"/>
  <c r="AV801" i="2"/>
  <c r="AU801" i="2"/>
  <c r="AT801" i="2"/>
  <c r="H801" i="1"/>
  <c r="AS801" i="2"/>
  <c r="G801" i="1"/>
  <c r="AR801" i="2"/>
  <c r="AQ801" i="2"/>
  <c r="AP801" i="2"/>
  <c r="D801" i="1"/>
  <c r="AO801" i="2"/>
  <c r="AN801" i="2"/>
  <c r="AM801" i="2"/>
  <c r="AJ801" i="2"/>
  <c r="AI801" i="2"/>
  <c r="BM800" i="2"/>
  <c r="AA800" i="1"/>
  <c r="BL800" i="2"/>
  <c r="BK800" i="2"/>
  <c r="BJ800" i="2"/>
  <c r="X800" i="1"/>
  <c r="BI800" i="2"/>
  <c r="BH800" i="2"/>
  <c r="BG800" i="2"/>
  <c r="U800" i="1"/>
  <c r="BF800" i="2"/>
  <c r="BE800" i="2"/>
  <c r="S800" i="1"/>
  <c r="BD800" i="2"/>
  <c r="BC800" i="2"/>
  <c r="BB800" i="2"/>
  <c r="BA800" i="2"/>
  <c r="AZ800" i="2"/>
  <c r="AY800" i="2"/>
  <c r="AX800" i="2"/>
  <c r="AW800" i="2"/>
  <c r="AV800" i="2"/>
  <c r="AU800" i="2"/>
  <c r="AT800" i="2"/>
  <c r="H800" i="1"/>
  <c r="AS800" i="2"/>
  <c r="G800" i="1"/>
  <c r="AR800" i="2"/>
  <c r="AQ800" i="2"/>
  <c r="AP800" i="2"/>
  <c r="D800" i="1"/>
  <c r="AO800" i="2"/>
  <c r="AN800" i="2"/>
  <c r="AM800" i="2"/>
  <c r="AJ800" i="2"/>
  <c r="AI800" i="2"/>
  <c r="BM799" i="2"/>
  <c r="AA799" i="1"/>
  <c r="BL799" i="2"/>
  <c r="BK799" i="2"/>
  <c r="BJ799" i="2"/>
  <c r="X799" i="1"/>
  <c r="BI799" i="2"/>
  <c r="BH799" i="2"/>
  <c r="BG799" i="2"/>
  <c r="U799" i="1"/>
  <c r="BF799" i="2"/>
  <c r="BE799" i="2"/>
  <c r="S799" i="1"/>
  <c r="BD799" i="2"/>
  <c r="BC799" i="2"/>
  <c r="BB799" i="2"/>
  <c r="BA799" i="2"/>
  <c r="AZ799" i="2"/>
  <c r="AY799" i="2"/>
  <c r="AX799" i="2"/>
  <c r="AW799" i="2"/>
  <c r="AV799" i="2"/>
  <c r="AU799" i="2"/>
  <c r="AT799" i="2"/>
  <c r="H799" i="1"/>
  <c r="AS799" i="2"/>
  <c r="G799" i="1"/>
  <c r="AR799" i="2"/>
  <c r="AQ799" i="2"/>
  <c r="AP799" i="2"/>
  <c r="D799" i="1"/>
  <c r="AO799" i="2"/>
  <c r="AN799" i="2"/>
  <c r="AM799" i="2"/>
  <c r="AJ799" i="2"/>
  <c r="AI799" i="2"/>
  <c r="BM798" i="2"/>
  <c r="AA798" i="1"/>
  <c r="BL798" i="2"/>
  <c r="BK798" i="2"/>
  <c r="BJ798" i="2"/>
  <c r="X798" i="1"/>
  <c r="BI798" i="2"/>
  <c r="BH798" i="2"/>
  <c r="BG798" i="2"/>
  <c r="U798" i="1"/>
  <c r="BF798" i="2"/>
  <c r="BE798" i="2"/>
  <c r="S798" i="1"/>
  <c r="BD798" i="2"/>
  <c r="BC798" i="2"/>
  <c r="BB798" i="2"/>
  <c r="BA798" i="2"/>
  <c r="AZ798" i="2"/>
  <c r="AY798" i="2"/>
  <c r="AX798" i="2"/>
  <c r="AW798" i="2"/>
  <c r="AV798" i="2"/>
  <c r="AU798" i="2"/>
  <c r="AT798" i="2"/>
  <c r="H798" i="1"/>
  <c r="AS798" i="2"/>
  <c r="G798" i="1"/>
  <c r="AR798" i="2"/>
  <c r="AQ798" i="2"/>
  <c r="AP798" i="2"/>
  <c r="D798" i="1"/>
  <c r="AO798" i="2"/>
  <c r="AN798" i="2"/>
  <c r="AM798" i="2"/>
  <c r="AJ798" i="2"/>
  <c r="AI798" i="2"/>
  <c r="BM797" i="2"/>
  <c r="AA797" i="1"/>
  <c r="BL797" i="2"/>
  <c r="BK797" i="2"/>
  <c r="BJ797" i="2"/>
  <c r="X797" i="1"/>
  <c r="BI797" i="2"/>
  <c r="BH797" i="2"/>
  <c r="BG797" i="2"/>
  <c r="U797" i="1"/>
  <c r="BF797" i="2"/>
  <c r="BE797" i="2"/>
  <c r="S797" i="1"/>
  <c r="BD797" i="2"/>
  <c r="BC797" i="2"/>
  <c r="BB797" i="2"/>
  <c r="BA797" i="2"/>
  <c r="AZ797" i="2"/>
  <c r="AY797" i="2"/>
  <c r="AX797" i="2"/>
  <c r="AW797" i="2"/>
  <c r="AV797" i="2"/>
  <c r="AU797" i="2"/>
  <c r="AT797" i="2"/>
  <c r="H797" i="1"/>
  <c r="AS797" i="2"/>
  <c r="G797" i="1"/>
  <c r="AR797" i="2"/>
  <c r="AQ797" i="2"/>
  <c r="AP797" i="2"/>
  <c r="D797" i="1"/>
  <c r="AO797" i="2"/>
  <c r="AN797" i="2"/>
  <c r="AM797" i="2"/>
  <c r="AJ797" i="2"/>
  <c r="AI797" i="2"/>
  <c r="BM796" i="2"/>
  <c r="AA796" i="1"/>
  <c r="BL796" i="2"/>
  <c r="BK796" i="2"/>
  <c r="BJ796" i="2"/>
  <c r="X796" i="1"/>
  <c r="BI796" i="2"/>
  <c r="BH796" i="2"/>
  <c r="BG796" i="2"/>
  <c r="U796" i="1"/>
  <c r="BF796" i="2"/>
  <c r="BE796" i="2"/>
  <c r="S796" i="1"/>
  <c r="BD796" i="2"/>
  <c r="BC796" i="2"/>
  <c r="BB796" i="2"/>
  <c r="BA796" i="2"/>
  <c r="AZ796" i="2"/>
  <c r="AY796" i="2"/>
  <c r="AX796" i="2"/>
  <c r="AW796" i="2"/>
  <c r="AV796" i="2"/>
  <c r="AU796" i="2"/>
  <c r="AT796" i="2"/>
  <c r="H796" i="1"/>
  <c r="AS796" i="2"/>
  <c r="G796" i="1"/>
  <c r="AR796" i="2"/>
  <c r="AQ796" i="2"/>
  <c r="AP796" i="2"/>
  <c r="D796" i="1"/>
  <c r="AO796" i="2"/>
  <c r="AN796" i="2"/>
  <c r="AM796" i="2"/>
  <c r="AJ796" i="2"/>
  <c r="AI796" i="2"/>
  <c r="BM795" i="2"/>
  <c r="AA795" i="1"/>
  <c r="BL795" i="2"/>
  <c r="BK795" i="2"/>
  <c r="BJ795" i="2"/>
  <c r="X795" i="1"/>
  <c r="BI795" i="2"/>
  <c r="BH795" i="2"/>
  <c r="BG795" i="2"/>
  <c r="U795" i="1"/>
  <c r="BF795" i="2"/>
  <c r="BE795" i="2"/>
  <c r="S795" i="1"/>
  <c r="BD795" i="2"/>
  <c r="BC795" i="2"/>
  <c r="BB795" i="2"/>
  <c r="BA795" i="2"/>
  <c r="AZ795" i="2"/>
  <c r="AY795" i="2"/>
  <c r="AX795" i="2"/>
  <c r="AW795" i="2"/>
  <c r="AV795" i="2"/>
  <c r="AU795" i="2"/>
  <c r="AT795" i="2"/>
  <c r="H795" i="1"/>
  <c r="AS795" i="2"/>
  <c r="G795" i="1"/>
  <c r="AR795" i="2"/>
  <c r="AQ795" i="2"/>
  <c r="AP795" i="2"/>
  <c r="D795" i="1"/>
  <c r="AO795" i="2"/>
  <c r="AN795" i="2"/>
  <c r="AM795" i="2"/>
  <c r="AJ795" i="2"/>
  <c r="AI795" i="2"/>
  <c r="BM794" i="2"/>
  <c r="AA794" i="1"/>
  <c r="BL794" i="2"/>
  <c r="BK794" i="2"/>
  <c r="BJ794" i="2"/>
  <c r="X794" i="1"/>
  <c r="BI794" i="2"/>
  <c r="BH794" i="2"/>
  <c r="BG794" i="2"/>
  <c r="U794" i="1"/>
  <c r="BF794" i="2"/>
  <c r="BE794" i="2"/>
  <c r="S794" i="1"/>
  <c r="BD794" i="2"/>
  <c r="BC794" i="2"/>
  <c r="BB794" i="2"/>
  <c r="BA794" i="2"/>
  <c r="AZ794" i="2"/>
  <c r="AY794" i="2"/>
  <c r="AX794" i="2"/>
  <c r="AW794" i="2"/>
  <c r="AV794" i="2"/>
  <c r="AU794" i="2"/>
  <c r="AT794" i="2"/>
  <c r="H794" i="1"/>
  <c r="AS794" i="2"/>
  <c r="G794" i="1"/>
  <c r="AR794" i="2"/>
  <c r="AQ794" i="2"/>
  <c r="AP794" i="2"/>
  <c r="D794" i="1"/>
  <c r="AO794" i="2"/>
  <c r="AN794" i="2"/>
  <c r="AM794" i="2"/>
  <c r="AJ794" i="2"/>
  <c r="AI794" i="2"/>
  <c r="BM793" i="2"/>
  <c r="AA793" i="1"/>
  <c r="BL793" i="2"/>
  <c r="BK793" i="2"/>
  <c r="BJ793" i="2"/>
  <c r="X793" i="1"/>
  <c r="BI793" i="2"/>
  <c r="BH793" i="2"/>
  <c r="BG793" i="2"/>
  <c r="U793" i="1"/>
  <c r="BF793" i="2"/>
  <c r="BE793" i="2"/>
  <c r="S793" i="1"/>
  <c r="BD793" i="2"/>
  <c r="BC793" i="2"/>
  <c r="BB793" i="2"/>
  <c r="BA793" i="2"/>
  <c r="AZ793" i="2"/>
  <c r="AY793" i="2"/>
  <c r="AX793" i="2"/>
  <c r="AW793" i="2"/>
  <c r="AV793" i="2"/>
  <c r="AU793" i="2"/>
  <c r="AT793" i="2"/>
  <c r="H793" i="1"/>
  <c r="AS793" i="2"/>
  <c r="G793" i="1"/>
  <c r="AR793" i="2"/>
  <c r="AQ793" i="2"/>
  <c r="AP793" i="2"/>
  <c r="D793" i="1"/>
  <c r="AO793" i="2"/>
  <c r="AN793" i="2"/>
  <c r="AM793" i="2"/>
  <c r="AJ793" i="2"/>
  <c r="AI793" i="2"/>
  <c r="BM792" i="2"/>
  <c r="AA792" i="1"/>
  <c r="BL792" i="2"/>
  <c r="BK792" i="2"/>
  <c r="BJ792" i="2"/>
  <c r="X792" i="1"/>
  <c r="BI792" i="2"/>
  <c r="BH792" i="2"/>
  <c r="BG792" i="2"/>
  <c r="U792" i="1"/>
  <c r="BF792" i="2"/>
  <c r="BE792" i="2"/>
  <c r="S792" i="1"/>
  <c r="BD792" i="2"/>
  <c r="BC792" i="2"/>
  <c r="BB792" i="2"/>
  <c r="BA792" i="2"/>
  <c r="AZ792" i="2"/>
  <c r="AY792" i="2"/>
  <c r="AX792" i="2"/>
  <c r="AW792" i="2"/>
  <c r="AV792" i="2"/>
  <c r="AU792" i="2"/>
  <c r="AT792" i="2"/>
  <c r="H792" i="1"/>
  <c r="AS792" i="2"/>
  <c r="G792" i="1"/>
  <c r="AR792" i="2"/>
  <c r="AQ792" i="2"/>
  <c r="AP792" i="2"/>
  <c r="D792" i="1"/>
  <c r="AO792" i="2"/>
  <c r="AN792" i="2"/>
  <c r="AM792" i="2"/>
  <c r="AJ792" i="2"/>
  <c r="AI792" i="2"/>
  <c r="BM791" i="2"/>
  <c r="AA791" i="1"/>
  <c r="BL791" i="2"/>
  <c r="BK791" i="2"/>
  <c r="BJ791" i="2"/>
  <c r="X791" i="1"/>
  <c r="BI791" i="2"/>
  <c r="BH791" i="2"/>
  <c r="BG791" i="2"/>
  <c r="U791" i="1"/>
  <c r="BF791" i="2"/>
  <c r="BE791" i="2"/>
  <c r="S791" i="1"/>
  <c r="BD791" i="2"/>
  <c r="BC791" i="2"/>
  <c r="BB791" i="2"/>
  <c r="BA791" i="2"/>
  <c r="AZ791" i="2"/>
  <c r="AY791" i="2"/>
  <c r="AX791" i="2"/>
  <c r="AW791" i="2"/>
  <c r="AV791" i="2"/>
  <c r="AU791" i="2"/>
  <c r="AT791" i="2"/>
  <c r="H791" i="1"/>
  <c r="AS791" i="2"/>
  <c r="G791" i="1"/>
  <c r="AR791" i="2"/>
  <c r="AQ791" i="2"/>
  <c r="AP791" i="2"/>
  <c r="D791" i="1"/>
  <c r="AO791" i="2"/>
  <c r="AN791" i="2"/>
  <c r="AM791" i="2"/>
  <c r="AJ791" i="2"/>
  <c r="AI791" i="2"/>
  <c r="BM790" i="2"/>
  <c r="AA790" i="1"/>
  <c r="BL790" i="2"/>
  <c r="BK790" i="2"/>
  <c r="BJ790" i="2"/>
  <c r="X790" i="1"/>
  <c r="BI790" i="2"/>
  <c r="BH790" i="2"/>
  <c r="BG790" i="2"/>
  <c r="U790" i="1"/>
  <c r="BF790" i="2"/>
  <c r="BE790" i="2"/>
  <c r="S790" i="1"/>
  <c r="BD790" i="2"/>
  <c r="BC790" i="2"/>
  <c r="BB790" i="2"/>
  <c r="BA790" i="2"/>
  <c r="AZ790" i="2"/>
  <c r="AY790" i="2"/>
  <c r="AX790" i="2"/>
  <c r="AW790" i="2"/>
  <c r="AV790" i="2"/>
  <c r="AU790" i="2"/>
  <c r="AT790" i="2"/>
  <c r="H790" i="1"/>
  <c r="AS790" i="2"/>
  <c r="G790" i="1"/>
  <c r="AR790" i="2"/>
  <c r="AQ790" i="2"/>
  <c r="AP790" i="2"/>
  <c r="D790" i="1"/>
  <c r="AO790" i="2"/>
  <c r="AN790" i="2"/>
  <c r="AM790" i="2"/>
  <c r="AJ790" i="2"/>
  <c r="AI790" i="2"/>
  <c r="BM789" i="2"/>
  <c r="AA789" i="1"/>
  <c r="BL789" i="2"/>
  <c r="BK789" i="2"/>
  <c r="BJ789" i="2"/>
  <c r="X789" i="1"/>
  <c r="BI789" i="2"/>
  <c r="BH789" i="2"/>
  <c r="BG789" i="2"/>
  <c r="U789" i="1"/>
  <c r="BF789" i="2"/>
  <c r="BE789" i="2"/>
  <c r="S789" i="1"/>
  <c r="BD789" i="2"/>
  <c r="BC789" i="2"/>
  <c r="BB789" i="2"/>
  <c r="BA789" i="2"/>
  <c r="AZ789" i="2"/>
  <c r="AY789" i="2"/>
  <c r="AX789" i="2"/>
  <c r="AW789" i="2"/>
  <c r="AV789" i="2"/>
  <c r="AU789" i="2"/>
  <c r="AT789" i="2"/>
  <c r="H789" i="1"/>
  <c r="AS789" i="2"/>
  <c r="G789" i="1"/>
  <c r="AR789" i="2"/>
  <c r="AQ789" i="2"/>
  <c r="AP789" i="2"/>
  <c r="D789" i="1"/>
  <c r="AO789" i="2"/>
  <c r="AN789" i="2"/>
  <c r="AM789" i="2"/>
  <c r="AJ789" i="2"/>
  <c r="AI789" i="2"/>
  <c r="BM788" i="2"/>
  <c r="AA788" i="1"/>
  <c r="BL788" i="2"/>
  <c r="BK788" i="2"/>
  <c r="BJ788" i="2"/>
  <c r="X788" i="1"/>
  <c r="BI788" i="2"/>
  <c r="BH788" i="2"/>
  <c r="BG788" i="2"/>
  <c r="U788" i="1"/>
  <c r="BF788" i="2"/>
  <c r="BE788" i="2"/>
  <c r="S788" i="1"/>
  <c r="BD788" i="2"/>
  <c r="BC788" i="2"/>
  <c r="BB788" i="2"/>
  <c r="BA788" i="2"/>
  <c r="AZ788" i="2"/>
  <c r="AY788" i="2"/>
  <c r="AX788" i="2"/>
  <c r="AW788" i="2"/>
  <c r="AV788" i="2"/>
  <c r="AU788" i="2"/>
  <c r="AT788" i="2"/>
  <c r="H788" i="1"/>
  <c r="AS788" i="2"/>
  <c r="G788" i="1"/>
  <c r="AR788" i="2"/>
  <c r="AQ788" i="2"/>
  <c r="AP788" i="2"/>
  <c r="D788" i="1"/>
  <c r="AO788" i="2"/>
  <c r="AN788" i="2"/>
  <c r="AM788" i="2"/>
  <c r="AJ788" i="2"/>
  <c r="AI788" i="2"/>
  <c r="BM787" i="2"/>
  <c r="AA787" i="1"/>
  <c r="BL787" i="2"/>
  <c r="BK787" i="2"/>
  <c r="BJ787" i="2"/>
  <c r="X787" i="1"/>
  <c r="BI787" i="2"/>
  <c r="BH787" i="2"/>
  <c r="BG787" i="2"/>
  <c r="U787" i="1"/>
  <c r="BF787" i="2"/>
  <c r="BE787" i="2"/>
  <c r="S787" i="1"/>
  <c r="BD787" i="2"/>
  <c r="BC787" i="2"/>
  <c r="BB787" i="2"/>
  <c r="BA787" i="2"/>
  <c r="AZ787" i="2"/>
  <c r="AY787" i="2"/>
  <c r="AX787" i="2"/>
  <c r="AW787" i="2"/>
  <c r="AV787" i="2"/>
  <c r="AU787" i="2"/>
  <c r="AT787" i="2"/>
  <c r="H787" i="1"/>
  <c r="AS787" i="2"/>
  <c r="G787" i="1"/>
  <c r="AR787" i="2"/>
  <c r="AQ787" i="2"/>
  <c r="AP787" i="2"/>
  <c r="D787" i="1"/>
  <c r="AO787" i="2"/>
  <c r="AN787" i="2"/>
  <c r="AM787" i="2"/>
  <c r="AJ787" i="2"/>
  <c r="AI787" i="2"/>
  <c r="BM786" i="2"/>
  <c r="AA786" i="1"/>
  <c r="BL786" i="2"/>
  <c r="BK786" i="2"/>
  <c r="BJ786" i="2"/>
  <c r="X786" i="1"/>
  <c r="BI786" i="2"/>
  <c r="BH786" i="2"/>
  <c r="BG786" i="2"/>
  <c r="U786" i="1"/>
  <c r="BF786" i="2"/>
  <c r="BE786" i="2"/>
  <c r="S786" i="1"/>
  <c r="BD786" i="2"/>
  <c r="BC786" i="2"/>
  <c r="BB786" i="2"/>
  <c r="BA786" i="2"/>
  <c r="AZ786" i="2"/>
  <c r="AY786" i="2"/>
  <c r="AX786" i="2"/>
  <c r="AW786" i="2"/>
  <c r="AV786" i="2"/>
  <c r="AU786" i="2"/>
  <c r="AT786" i="2"/>
  <c r="H786" i="1"/>
  <c r="AS786" i="2"/>
  <c r="G786" i="1"/>
  <c r="AR786" i="2"/>
  <c r="AQ786" i="2"/>
  <c r="AP786" i="2"/>
  <c r="D786" i="1"/>
  <c r="AO786" i="2"/>
  <c r="AN786" i="2"/>
  <c r="AM786" i="2"/>
  <c r="AJ786" i="2"/>
  <c r="AI786" i="2"/>
  <c r="BM785" i="2"/>
  <c r="AA785" i="1"/>
  <c r="BL785" i="2"/>
  <c r="BK785" i="2"/>
  <c r="BJ785" i="2"/>
  <c r="X785" i="1"/>
  <c r="BI785" i="2"/>
  <c r="BH785" i="2"/>
  <c r="BG785" i="2"/>
  <c r="U785" i="1"/>
  <c r="BF785" i="2"/>
  <c r="BE785" i="2"/>
  <c r="S785" i="1"/>
  <c r="BD785" i="2"/>
  <c r="BC785" i="2"/>
  <c r="BB785" i="2"/>
  <c r="BA785" i="2"/>
  <c r="AZ785" i="2"/>
  <c r="AY785" i="2"/>
  <c r="AX785" i="2"/>
  <c r="AW785" i="2"/>
  <c r="AV785" i="2"/>
  <c r="AU785" i="2"/>
  <c r="AT785" i="2"/>
  <c r="H785" i="1"/>
  <c r="AS785" i="2"/>
  <c r="G785" i="1"/>
  <c r="AR785" i="2"/>
  <c r="AQ785" i="2"/>
  <c r="AP785" i="2"/>
  <c r="D785" i="1"/>
  <c r="AO785" i="2"/>
  <c r="AN785" i="2"/>
  <c r="AM785" i="2"/>
  <c r="AJ785" i="2"/>
  <c r="AI785" i="2"/>
  <c r="BM784" i="2"/>
  <c r="AA784" i="1"/>
  <c r="BL784" i="2"/>
  <c r="BK784" i="2"/>
  <c r="BJ784" i="2"/>
  <c r="X784" i="1"/>
  <c r="BI784" i="2"/>
  <c r="BH784" i="2"/>
  <c r="BG784" i="2"/>
  <c r="U784" i="1"/>
  <c r="BF784" i="2"/>
  <c r="BE784" i="2"/>
  <c r="S784" i="1"/>
  <c r="BD784" i="2"/>
  <c r="BC784" i="2"/>
  <c r="BB784" i="2"/>
  <c r="BA784" i="2"/>
  <c r="AZ784" i="2"/>
  <c r="AY784" i="2"/>
  <c r="AX784" i="2"/>
  <c r="AW784" i="2"/>
  <c r="AV784" i="2"/>
  <c r="AU784" i="2"/>
  <c r="AT784" i="2"/>
  <c r="H784" i="1"/>
  <c r="AS784" i="2"/>
  <c r="G784" i="1"/>
  <c r="AR784" i="2"/>
  <c r="AQ784" i="2"/>
  <c r="AP784" i="2"/>
  <c r="D784" i="1"/>
  <c r="AO784" i="2"/>
  <c r="AN784" i="2"/>
  <c r="AM784" i="2"/>
  <c r="AJ784" i="2"/>
  <c r="AI784" i="2"/>
  <c r="BM783" i="2"/>
  <c r="AA783" i="1"/>
  <c r="BL783" i="2"/>
  <c r="BK783" i="2"/>
  <c r="BJ783" i="2"/>
  <c r="X783" i="1"/>
  <c r="BI783" i="2"/>
  <c r="BH783" i="2"/>
  <c r="BG783" i="2"/>
  <c r="U783" i="1"/>
  <c r="BF783" i="2"/>
  <c r="BE783" i="2"/>
  <c r="S783" i="1"/>
  <c r="BD783" i="2"/>
  <c r="BC783" i="2"/>
  <c r="BB783" i="2"/>
  <c r="BA783" i="2"/>
  <c r="AZ783" i="2"/>
  <c r="AY783" i="2"/>
  <c r="AX783" i="2"/>
  <c r="AW783" i="2"/>
  <c r="AV783" i="2"/>
  <c r="AU783" i="2"/>
  <c r="AT783" i="2"/>
  <c r="H783" i="1"/>
  <c r="AS783" i="2"/>
  <c r="G783" i="1"/>
  <c r="AR783" i="2"/>
  <c r="AQ783" i="2"/>
  <c r="AP783" i="2"/>
  <c r="D783" i="1"/>
  <c r="AO783" i="2"/>
  <c r="AN783" i="2"/>
  <c r="AM783" i="2"/>
  <c r="AJ783" i="2"/>
  <c r="AI783" i="2"/>
  <c r="BM782" i="2"/>
  <c r="AA782" i="1"/>
  <c r="BL782" i="2"/>
  <c r="BK782" i="2"/>
  <c r="BJ782" i="2"/>
  <c r="X782" i="1"/>
  <c r="BI782" i="2"/>
  <c r="BH782" i="2"/>
  <c r="BG782" i="2"/>
  <c r="U782" i="1"/>
  <c r="BF782" i="2"/>
  <c r="BE782" i="2"/>
  <c r="S782" i="1"/>
  <c r="BD782" i="2"/>
  <c r="BC782" i="2"/>
  <c r="BB782" i="2"/>
  <c r="BA782" i="2"/>
  <c r="AZ782" i="2"/>
  <c r="AY782" i="2"/>
  <c r="AX782" i="2"/>
  <c r="AW782" i="2"/>
  <c r="AV782" i="2"/>
  <c r="AU782" i="2"/>
  <c r="AT782" i="2"/>
  <c r="H782" i="1"/>
  <c r="AS782" i="2"/>
  <c r="G782" i="1"/>
  <c r="AR782" i="2"/>
  <c r="AQ782" i="2"/>
  <c r="AP782" i="2"/>
  <c r="D782" i="1"/>
  <c r="AO782" i="2"/>
  <c r="AN782" i="2"/>
  <c r="AM782" i="2"/>
  <c r="AJ782" i="2"/>
  <c r="AI782" i="2"/>
  <c r="BM781" i="2"/>
  <c r="AA781" i="1"/>
  <c r="BL781" i="2"/>
  <c r="BK781" i="2"/>
  <c r="BJ781" i="2"/>
  <c r="X781" i="1"/>
  <c r="BI781" i="2"/>
  <c r="BH781" i="2"/>
  <c r="BG781" i="2"/>
  <c r="U781" i="1"/>
  <c r="BF781" i="2"/>
  <c r="BE781" i="2"/>
  <c r="S781" i="1"/>
  <c r="BD781" i="2"/>
  <c r="BC781" i="2"/>
  <c r="BB781" i="2"/>
  <c r="BA781" i="2"/>
  <c r="AZ781" i="2"/>
  <c r="AY781" i="2"/>
  <c r="AX781" i="2"/>
  <c r="AW781" i="2"/>
  <c r="AV781" i="2"/>
  <c r="AU781" i="2"/>
  <c r="AT781" i="2"/>
  <c r="H781" i="1"/>
  <c r="AS781" i="2"/>
  <c r="G781" i="1"/>
  <c r="AR781" i="2"/>
  <c r="AQ781" i="2"/>
  <c r="AP781" i="2"/>
  <c r="D781" i="1"/>
  <c r="AO781" i="2"/>
  <c r="AN781" i="2"/>
  <c r="AM781" i="2"/>
  <c r="AJ781" i="2"/>
  <c r="AI781" i="2"/>
  <c r="BM780" i="2"/>
  <c r="AA780" i="1"/>
  <c r="BL780" i="2"/>
  <c r="BK780" i="2"/>
  <c r="BJ780" i="2"/>
  <c r="X780" i="1"/>
  <c r="BI780" i="2"/>
  <c r="BH780" i="2"/>
  <c r="BG780" i="2"/>
  <c r="U780" i="1"/>
  <c r="BF780" i="2"/>
  <c r="BE780" i="2"/>
  <c r="S780" i="1"/>
  <c r="BD780" i="2"/>
  <c r="BC780" i="2"/>
  <c r="BB780" i="2"/>
  <c r="BA780" i="2"/>
  <c r="AZ780" i="2"/>
  <c r="AY780" i="2"/>
  <c r="AX780" i="2"/>
  <c r="AW780" i="2"/>
  <c r="AV780" i="2"/>
  <c r="AU780" i="2"/>
  <c r="AT780" i="2"/>
  <c r="H780" i="1"/>
  <c r="AS780" i="2"/>
  <c r="G780" i="1"/>
  <c r="AR780" i="2"/>
  <c r="AQ780" i="2"/>
  <c r="AP780" i="2"/>
  <c r="D780" i="1"/>
  <c r="AO780" i="2"/>
  <c r="AN780" i="2"/>
  <c r="AM780" i="2"/>
  <c r="AJ780" i="2"/>
  <c r="AI780" i="2"/>
  <c r="BM779" i="2"/>
  <c r="AA779" i="1"/>
  <c r="BL779" i="2"/>
  <c r="BK779" i="2"/>
  <c r="BJ779" i="2"/>
  <c r="X779" i="1"/>
  <c r="BI779" i="2"/>
  <c r="BH779" i="2"/>
  <c r="BG779" i="2"/>
  <c r="U779" i="1"/>
  <c r="BF779" i="2"/>
  <c r="BE779" i="2"/>
  <c r="S779" i="1"/>
  <c r="BD779" i="2"/>
  <c r="BC779" i="2"/>
  <c r="BB779" i="2"/>
  <c r="BA779" i="2"/>
  <c r="AZ779" i="2"/>
  <c r="AY779" i="2"/>
  <c r="AX779" i="2"/>
  <c r="AW779" i="2"/>
  <c r="AV779" i="2"/>
  <c r="AU779" i="2"/>
  <c r="AT779" i="2"/>
  <c r="H779" i="1"/>
  <c r="AS779" i="2"/>
  <c r="G779" i="1"/>
  <c r="AR779" i="2"/>
  <c r="AQ779" i="2"/>
  <c r="AP779" i="2"/>
  <c r="D779" i="1"/>
  <c r="AO779" i="2"/>
  <c r="AN779" i="2"/>
  <c r="AM779" i="2"/>
  <c r="AJ779" i="2"/>
  <c r="AI779" i="2"/>
  <c r="BM778" i="2"/>
  <c r="AA778" i="1"/>
  <c r="BL778" i="2"/>
  <c r="BK778" i="2"/>
  <c r="BJ778" i="2"/>
  <c r="X778" i="1"/>
  <c r="BI778" i="2"/>
  <c r="BH778" i="2"/>
  <c r="BG778" i="2"/>
  <c r="U778" i="1"/>
  <c r="BF778" i="2"/>
  <c r="BE778" i="2"/>
  <c r="S778" i="1"/>
  <c r="BD778" i="2"/>
  <c r="BC778" i="2"/>
  <c r="BB778" i="2"/>
  <c r="BA778" i="2"/>
  <c r="AZ778" i="2"/>
  <c r="AY778" i="2"/>
  <c r="AX778" i="2"/>
  <c r="AW778" i="2"/>
  <c r="AV778" i="2"/>
  <c r="AU778" i="2"/>
  <c r="AT778" i="2"/>
  <c r="H778" i="1"/>
  <c r="AS778" i="2"/>
  <c r="G778" i="1"/>
  <c r="AR778" i="2"/>
  <c r="AQ778" i="2"/>
  <c r="AP778" i="2"/>
  <c r="D778" i="1"/>
  <c r="AO778" i="2"/>
  <c r="AN778" i="2"/>
  <c r="AM778" i="2"/>
  <c r="AJ778" i="2"/>
  <c r="AI778" i="2"/>
  <c r="BM777" i="2"/>
  <c r="AA777" i="1"/>
  <c r="BL777" i="2"/>
  <c r="BK777" i="2"/>
  <c r="BJ777" i="2"/>
  <c r="X777" i="1"/>
  <c r="BI777" i="2"/>
  <c r="BH777" i="2"/>
  <c r="BG777" i="2"/>
  <c r="U777" i="1"/>
  <c r="BF777" i="2"/>
  <c r="BE777" i="2"/>
  <c r="S777" i="1"/>
  <c r="BD777" i="2"/>
  <c r="BC777" i="2"/>
  <c r="BB777" i="2"/>
  <c r="BA777" i="2"/>
  <c r="AZ777" i="2"/>
  <c r="AY777" i="2"/>
  <c r="AX777" i="2"/>
  <c r="AW777" i="2"/>
  <c r="AV777" i="2"/>
  <c r="AU777" i="2"/>
  <c r="AT777" i="2"/>
  <c r="H777" i="1"/>
  <c r="AS777" i="2"/>
  <c r="G777" i="1"/>
  <c r="AR777" i="2"/>
  <c r="AQ777" i="2"/>
  <c r="AP777" i="2"/>
  <c r="D777" i="1"/>
  <c r="AO777" i="2"/>
  <c r="AN777" i="2"/>
  <c r="AM777" i="2"/>
  <c r="AJ777" i="2"/>
  <c r="AI777" i="2"/>
  <c r="BM776" i="2"/>
  <c r="AA776" i="1"/>
  <c r="BL776" i="2"/>
  <c r="BK776" i="2"/>
  <c r="BJ776" i="2"/>
  <c r="X776" i="1"/>
  <c r="BI776" i="2"/>
  <c r="BH776" i="2"/>
  <c r="BG776" i="2"/>
  <c r="U776" i="1"/>
  <c r="BF776" i="2"/>
  <c r="BE776" i="2"/>
  <c r="S776" i="1"/>
  <c r="BD776" i="2"/>
  <c r="BC776" i="2"/>
  <c r="BB776" i="2"/>
  <c r="BA776" i="2"/>
  <c r="AZ776" i="2"/>
  <c r="AY776" i="2"/>
  <c r="AX776" i="2"/>
  <c r="AW776" i="2"/>
  <c r="AV776" i="2"/>
  <c r="AU776" i="2"/>
  <c r="AT776" i="2"/>
  <c r="H776" i="1"/>
  <c r="AS776" i="2"/>
  <c r="G776" i="1"/>
  <c r="AR776" i="2"/>
  <c r="AQ776" i="2"/>
  <c r="AP776" i="2"/>
  <c r="D776" i="1"/>
  <c r="AO776" i="2"/>
  <c r="AN776" i="2"/>
  <c r="AM776" i="2"/>
  <c r="AJ776" i="2"/>
  <c r="AI776" i="2"/>
  <c r="BM775" i="2"/>
  <c r="AA775" i="1"/>
  <c r="BL775" i="2"/>
  <c r="BK775" i="2"/>
  <c r="BJ775" i="2"/>
  <c r="X775" i="1"/>
  <c r="BI775" i="2"/>
  <c r="BH775" i="2"/>
  <c r="BG775" i="2"/>
  <c r="U775" i="1"/>
  <c r="BF775" i="2"/>
  <c r="BE775" i="2"/>
  <c r="S775" i="1"/>
  <c r="BD775" i="2"/>
  <c r="BC775" i="2"/>
  <c r="BB775" i="2"/>
  <c r="BA775" i="2"/>
  <c r="AZ775" i="2"/>
  <c r="AY775" i="2"/>
  <c r="AX775" i="2"/>
  <c r="AW775" i="2"/>
  <c r="AV775" i="2"/>
  <c r="AU775" i="2"/>
  <c r="AT775" i="2"/>
  <c r="H775" i="1"/>
  <c r="AS775" i="2"/>
  <c r="G775" i="1"/>
  <c r="AR775" i="2"/>
  <c r="AQ775" i="2"/>
  <c r="AP775" i="2"/>
  <c r="D775" i="1"/>
  <c r="AO775" i="2"/>
  <c r="AN775" i="2"/>
  <c r="AM775" i="2"/>
  <c r="AJ775" i="2"/>
  <c r="AI775" i="2"/>
  <c r="BM774" i="2"/>
  <c r="AA774" i="1"/>
  <c r="BL774" i="2"/>
  <c r="BK774" i="2"/>
  <c r="BJ774" i="2"/>
  <c r="X774" i="1"/>
  <c r="BI774" i="2"/>
  <c r="BH774" i="2"/>
  <c r="BG774" i="2"/>
  <c r="U774" i="1"/>
  <c r="BF774" i="2"/>
  <c r="BE774" i="2"/>
  <c r="S774" i="1"/>
  <c r="BD774" i="2"/>
  <c r="BC774" i="2"/>
  <c r="BB774" i="2"/>
  <c r="BA774" i="2"/>
  <c r="AZ774" i="2"/>
  <c r="AY774" i="2"/>
  <c r="AX774" i="2"/>
  <c r="AW774" i="2"/>
  <c r="AV774" i="2"/>
  <c r="AU774" i="2"/>
  <c r="AT774" i="2"/>
  <c r="H774" i="1"/>
  <c r="AS774" i="2"/>
  <c r="G774" i="1"/>
  <c r="AR774" i="2"/>
  <c r="AQ774" i="2"/>
  <c r="AP774" i="2"/>
  <c r="D774" i="1"/>
  <c r="AO774" i="2"/>
  <c r="AN774" i="2"/>
  <c r="AM774" i="2"/>
  <c r="AJ774" i="2"/>
  <c r="AI774" i="2"/>
  <c r="BM773" i="2"/>
  <c r="AA773" i="1"/>
  <c r="BL773" i="2"/>
  <c r="BK773" i="2"/>
  <c r="BJ773" i="2"/>
  <c r="X773" i="1"/>
  <c r="BI773" i="2"/>
  <c r="BH773" i="2"/>
  <c r="BG773" i="2"/>
  <c r="U773" i="1"/>
  <c r="BF773" i="2"/>
  <c r="BE773" i="2"/>
  <c r="S773" i="1"/>
  <c r="BD773" i="2"/>
  <c r="BC773" i="2"/>
  <c r="BB773" i="2"/>
  <c r="BA773" i="2"/>
  <c r="AZ773" i="2"/>
  <c r="AY773" i="2"/>
  <c r="AX773" i="2"/>
  <c r="AW773" i="2"/>
  <c r="AV773" i="2"/>
  <c r="AU773" i="2"/>
  <c r="AT773" i="2"/>
  <c r="H773" i="1"/>
  <c r="AS773" i="2"/>
  <c r="G773" i="1"/>
  <c r="AR773" i="2"/>
  <c r="AQ773" i="2"/>
  <c r="AP773" i="2"/>
  <c r="D773" i="1"/>
  <c r="AO773" i="2"/>
  <c r="AN773" i="2"/>
  <c r="AM773" i="2"/>
  <c r="AJ773" i="2"/>
  <c r="AI773" i="2"/>
  <c r="BM772" i="2"/>
  <c r="AA772" i="1"/>
  <c r="BL772" i="2"/>
  <c r="BK772" i="2"/>
  <c r="BJ772" i="2"/>
  <c r="X772" i="1"/>
  <c r="BI772" i="2"/>
  <c r="BH772" i="2"/>
  <c r="BG772" i="2"/>
  <c r="U772" i="1"/>
  <c r="BF772" i="2"/>
  <c r="BE772" i="2"/>
  <c r="S772" i="1"/>
  <c r="BD772" i="2"/>
  <c r="BC772" i="2"/>
  <c r="BB772" i="2"/>
  <c r="BA772" i="2"/>
  <c r="AZ772" i="2"/>
  <c r="AY772" i="2"/>
  <c r="AX772" i="2"/>
  <c r="AW772" i="2"/>
  <c r="AV772" i="2"/>
  <c r="AU772" i="2"/>
  <c r="AT772" i="2"/>
  <c r="H772" i="1"/>
  <c r="AS772" i="2"/>
  <c r="G772" i="1"/>
  <c r="AR772" i="2"/>
  <c r="AQ772" i="2"/>
  <c r="AP772" i="2"/>
  <c r="D772" i="1"/>
  <c r="AO772" i="2"/>
  <c r="AN772" i="2"/>
  <c r="AM772" i="2"/>
  <c r="AJ772" i="2"/>
  <c r="AI772" i="2"/>
  <c r="BM771" i="2"/>
  <c r="AA771" i="1"/>
  <c r="BL771" i="2"/>
  <c r="BK771" i="2"/>
  <c r="BJ771" i="2"/>
  <c r="X771" i="1"/>
  <c r="BI771" i="2"/>
  <c r="BH771" i="2"/>
  <c r="BG771" i="2"/>
  <c r="U771" i="1"/>
  <c r="BF771" i="2"/>
  <c r="BE771" i="2"/>
  <c r="S771" i="1"/>
  <c r="BD771" i="2"/>
  <c r="BC771" i="2"/>
  <c r="BB771" i="2"/>
  <c r="BA771" i="2"/>
  <c r="AZ771" i="2"/>
  <c r="AY771" i="2"/>
  <c r="AX771" i="2"/>
  <c r="AW771" i="2"/>
  <c r="AV771" i="2"/>
  <c r="AU771" i="2"/>
  <c r="AT771" i="2"/>
  <c r="H771" i="1"/>
  <c r="AS771" i="2"/>
  <c r="G771" i="1"/>
  <c r="AR771" i="2"/>
  <c r="AQ771" i="2"/>
  <c r="AP771" i="2"/>
  <c r="D771" i="1"/>
  <c r="AO771" i="2"/>
  <c r="AN771" i="2"/>
  <c r="AM771" i="2"/>
  <c r="AJ771" i="2"/>
  <c r="AI771" i="2"/>
  <c r="BM770" i="2"/>
  <c r="AA770" i="1"/>
  <c r="BL770" i="2"/>
  <c r="BK770" i="2"/>
  <c r="BJ770" i="2"/>
  <c r="X770" i="1"/>
  <c r="BI770" i="2"/>
  <c r="BH770" i="2"/>
  <c r="BG770" i="2"/>
  <c r="U770" i="1"/>
  <c r="BF770" i="2"/>
  <c r="BE770" i="2"/>
  <c r="S770" i="1"/>
  <c r="BD770" i="2"/>
  <c r="BC770" i="2"/>
  <c r="BB770" i="2"/>
  <c r="BA770" i="2"/>
  <c r="AZ770" i="2"/>
  <c r="AY770" i="2"/>
  <c r="AX770" i="2"/>
  <c r="AW770" i="2"/>
  <c r="AV770" i="2"/>
  <c r="AU770" i="2"/>
  <c r="AT770" i="2"/>
  <c r="H770" i="1"/>
  <c r="AS770" i="2"/>
  <c r="G770" i="1"/>
  <c r="AR770" i="2"/>
  <c r="AQ770" i="2"/>
  <c r="AP770" i="2"/>
  <c r="D770" i="1"/>
  <c r="AO770" i="2"/>
  <c r="AN770" i="2"/>
  <c r="AM770" i="2"/>
  <c r="AJ770" i="2"/>
  <c r="AI770" i="2"/>
  <c r="BM769" i="2"/>
  <c r="AA769" i="1"/>
  <c r="BL769" i="2"/>
  <c r="BK769" i="2"/>
  <c r="BJ769" i="2"/>
  <c r="X769" i="1"/>
  <c r="BI769" i="2"/>
  <c r="BH769" i="2"/>
  <c r="BG769" i="2"/>
  <c r="U769" i="1"/>
  <c r="BF769" i="2"/>
  <c r="BE769" i="2"/>
  <c r="S769" i="1"/>
  <c r="BD769" i="2"/>
  <c r="BC769" i="2"/>
  <c r="BB769" i="2"/>
  <c r="BA769" i="2"/>
  <c r="AZ769" i="2"/>
  <c r="AY769" i="2"/>
  <c r="AX769" i="2"/>
  <c r="AW769" i="2"/>
  <c r="AV769" i="2"/>
  <c r="AU769" i="2"/>
  <c r="AT769" i="2"/>
  <c r="H769" i="1"/>
  <c r="AS769" i="2"/>
  <c r="G769" i="1"/>
  <c r="AR769" i="2"/>
  <c r="AQ769" i="2"/>
  <c r="AP769" i="2"/>
  <c r="D769" i="1"/>
  <c r="AO769" i="2"/>
  <c r="AN769" i="2"/>
  <c r="AM769" i="2"/>
  <c r="AJ769" i="2"/>
  <c r="AI769" i="2"/>
  <c r="BM768" i="2"/>
  <c r="AA768" i="1"/>
  <c r="BL768" i="2"/>
  <c r="BK768" i="2"/>
  <c r="BJ768" i="2"/>
  <c r="X768" i="1"/>
  <c r="BI768" i="2"/>
  <c r="BH768" i="2"/>
  <c r="BG768" i="2"/>
  <c r="U768" i="1"/>
  <c r="BF768" i="2"/>
  <c r="BE768" i="2"/>
  <c r="S768" i="1"/>
  <c r="BD768" i="2"/>
  <c r="BC768" i="2"/>
  <c r="BB768" i="2"/>
  <c r="BA768" i="2"/>
  <c r="AZ768" i="2"/>
  <c r="AY768" i="2"/>
  <c r="AX768" i="2"/>
  <c r="AW768" i="2"/>
  <c r="AV768" i="2"/>
  <c r="AU768" i="2"/>
  <c r="AT768" i="2"/>
  <c r="H768" i="1"/>
  <c r="AS768" i="2"/>
  <c r="G768" i="1"/>
  <c r="AR768" i="2"/>
  <c r="AQ768" i="2"/>
  <c r="AP768" i="2"/>
  <c r="D768" i="1"/>
  <c r="AO768" i="2"/>
  <c r="AN768" i="2"/>
  <c r="AM768" i="2"/>
  <c r="AJ768" i="2"/>
  <c r="AI768" i="2"/>
  <c r="BM767" i="2"/>
  <c r="AA767" i="1"/>
  <c r="BL767" i="2"/>
  <c r="BK767" i="2"/>
  <c r="BJ767" i="2"/>
  <c r="X767" i="1"/>
  <c r="BI767" i="2"/>
  <c r="BH767" i="2"/>
  <c r="BG767" i="2"/>
  <c r="U767" i="1"/>
  <c r="BF767" i="2"/>
  <c r="BE767" i="2"/>
  <c r="S767" i="1"/>
  <c r="BD767" i="2"/>
  <c r="BC767" i="2"/>
  <c r="BB767" i="2"/>
  <c r="BA767" i="2"/>
  <c r="AZ767" i="2"/>
  <c r="AY767" i="2"/>
  <c r="AX767" i="2"/>
  <c r="AW767" i="2"/>
  <c r="AV767" i="2"/>
  <c r="AU767" i="2"/>
  <c r="AT767" i="2"/>
  <c r="H767" i="1"/>
  <c r="AS767" i="2"/>
  <c r="G767" i="1"/>
  <c r="AR767" i="2"/>
  <c r="AQ767" i="2"/>
  <c r="AP767" i="2"/>
  <c r="D767" i="1"/>
  <c r="AO767" i="2"/>
  <c r="AN767" i="2"/>
  <c r="AM767" i="2"/>
  <c r="AJ767" i="2"/>
  <c r="AI767" i="2"/>
  <c r="BM766" i="2"/>
  <c r="AA766" i="1"/>
  <c r="BL766" i="2"/>
  <c r="BK766" i="2"/>
  <c r="BJ766" i="2"/>
  <c r="X766" i="1"/>
  <c r="BI766" i="2"/>
  <c r="BH766" i="2"/>
  <c r="BG766" i="2"/>
  <c r="U766" i="1"/>
  <c r="BF766" i="2"/>
  <c r="BE766" i="2"/>
  <c r="S766" i="1"/>
  <c r="BD766" i="2"/>
  <c r="BC766" i="2"/>
  <c r="BB766" i="2"/>
  <c r="BA766" i="2"/>
  <c r="AZ766" i="2"/>
  <c r="AY766" i="2"/>
  <c r="AX766" i="2"/>
  <c r="AW766" i="2"/>
  <c r="AV766" i="2"/>
  <c r="AU766" i="2"/>
  <c r="AT766" i="2"/>
  <c r="H766" i="1"/>
  <c r="AS766" i="2"/>
  <c r="G766" i="1"/>
  <c r="AR766" i="2"/>
  <c r="AQ766" i="2"/>
  <c r="AP766" i="2"/>
  <c r="D766" i="1"/>
  <c r="AO766" i="2"/>
  <c r="AN766" i="2"/>
  <c r="AM766" i="2"/>
  <c r="AJ766" i="2"/>
  <c r="AI766" i="2"/>
  <c r="BM765" i="2"/>
  <c r="AA765" i="1"/>
  <c r="BL765" i="2"/>
  <c r="BK765" i="2"/>
  <c r="BJ765" i="2"/>
  <c r="X765" i="1"/>
  <c r="BI765" i="2"/>
  <c r="BH765" i="2"/>
  <c r="BG765" i="2"/>
  <c r="U765" i="1"/>
  <c r="BF765" i="2"/>
  <c r="BE765" i="2"/>
  <c r="S765" i="1"/>
  <c r="BD765" i="2"/>
  <c r="BC765" i="2"/>
  <c r="BB765" i="2"/>
  <c r="BA765" i="2"/>
  <c r="AZ765" i="2"/>
  <c r="AY765" i="2"/>
  <c r="AX765" i="2"/>
  <c r="AW765" i="2"/>
  <c r="AV765" i="2"/>
  <c r="AU765" i="2"/>
  <c r="AT765" i="2"/>
  <c r="H765" i="1"/>
  <c r="AS765" i="2"/>
  <c r="G765" i="1"/>
  <c r="AR765" i="2"/>
  <c r="AQ765" i="2"/>
  <c r="AP765" i="2"/>
  <c r="D765" i="1"/>
  <c r="AO765" i="2"/>
  <c r="AN765" i="2"/>
  <c r="AM765" i="2"/>
  <c r="AJ765" i="2"/>
  <c r="AI765" i="2"/>
  <c r="BM764" i="2"/>
  <c r="AA764" i="1"/>
  <c r="BL764" i="2"/>
  <c r="BK764" i="2"/>
  <c r="BJ764" i="2"/>
  <c r="X764" i="1"/>
  <c r="BI764" i="2"/>
  <c r="BH764" i="2"/>
  <c r="BG764" i="2"/>
  <c r="U764" i="1"/>
  <c r="BF764" i="2"/>
  <c r="BE764" i="2"/>
  <c r="S764" i="1"/>
  <c r="BD764" i="2"/>
  <c r="BC764" i="2"/>
  <c r="BB764" i="2"/>
  <c r="BA764" i="2"/>
  <c r="AZ764" i="2"/>
  <c r="AY764" i="2"/>
  <c r="AX764" i="2"/>
  <c r="AW764" i="2"/>
  <c r="AV764" i="2"/>
  <c r="AU764" i="2"/>
  <c r="AT764" i="2"/>
  <c r="H764" i="1"/>
  <c r="AS764" i="2"/>
  <c r="G764" i="1"/>
  <c r="AR764" i="2"/>
  <c r="AQ764" i="2"/>
  <c r="AP764" i="2"/>
  <c r="D764" i="1"/>
  <c r="AO764" i="2"/>
  <c r="AN764" i="2"/>
  <c r="AM764" i="2"/>
  <c r="AJ764" i="2"/>
  <c r="AI764" i="2"/>
  <c r="BM763" i="2"/>
  <c r="AA763" i="1"/>
  <c r="BL763" i="2"/>
  <c r="BK763" i="2"/>
  <c r="BJ763" i="2"/>
  <c r="X763" i="1"/>
  <c r="BI763" i="2"/>
  <c r="BH763" i="2"/>
  <c r="BG763" i="2"/>
  <c r="U763" i="1"/>
  <c r="BF763" i="2"/>
  <c r="BE763" i="2"/>
  <c r="S763" i="1"/>
  <c r="BD763" i="2"/>
  <c r="BC763" i="2"/>
  <c r="BB763" i="2"/>
  <c r="BA763" i="2"/>
  <c r="AZ763" i="2"/>
  <c r="AY763" i="2"/>
  <c r="AX763" i="2"/>
  <c r="AW763" i="2"/>
  <c r="AV763" i="2"/>
  <c r="AU763" i="2"/>
  <c r="AT763" i="2"/>
  <c r="H763" i="1"/>
  <c r="AS763" i="2"/>
  <c r="G763" i="1"/>
  <c r="AR763" i="2"/>
  <c r="AQ763" i="2"/>
  <c r="AP763" i="2"/>
  <c r="D763" i="1"/>
  <c r="AO763" i="2"/>
  <c r="AN763" i="2"/>
  <c r="AM763" i="2"/>
  <c r="AJ763" i="2"/>
  <c r="AI763" i="2"/>
  <c r="BM762" i="2"/>
  <c r="AA762" i="1"/>
  <c r="BL762" i="2"/>
  <c r="BK762" i="2"/>
  <c r="BJ762" i="2"/>
  <c r="X762" i="1"/>
  <c r="BI762" i="2"/>
  <c r="BH762" i="2"/>
  <c r="BG762" i="2"/>
  <c r="U762" i="1"/>
  <c r="BF762" i="2"/>
  <c r="BE762" i="2"/>
  <c r="S762" i="1"/>
  <c r="BD762" i="2"/>
  <c r="BC762" i="2"/>
  <c r="BB762" i="2"/>
  <c r="BA762" i="2"/>
  <c r="AZ762" i="2"/>
  <c r="AY762" i="2"/>
  <c r="AX762" i="2"/>
  <c r="AW762" i="2"/>
  <c r="AV762" i="2"/>
  <c r="AU762" i="2"/>
  <c r="AT762" i="2"/>
  <c r="H762" i="1"/>
  <c r="AS762" i="2"/>
  <c r="G762" i="1"/>
  <c r="AR762" i="2"/>
  <c r="AQ762" i="2"/>
  <c r="AP762" i="2"/>
  <c r="D762" i="1"/>
  <c r="AO762" i="2"/>
  <c r="AN762" i="2"/>
  <c r="AM762" i="2"/>
  <c r="AJ762" i="2"/>
  <c r="AI762" i="2"/>
  <c r="BM761" i="2"/>
  <c r="AA761" i="1"/>
  <c r="BL761" i="2"/>
  <c r="BK761" i="2"/>
  <c r="BJ761" i="2"/>
  <c r="X761" i="1"/>
  <c r="BI761" i="2"/>
  <c r="BH761" i="2"/>
  <c r="BG761" i="2"/>
  <c r="U761" i="1"/>
  <c r="BF761" i="2"/>
  <c r="BE761" i="2"/>
  <c r="S761" i="1"/>
  <c r="BD761" i="2"/>
  <c r="BC761" i="2"/>
  <c r="BB761" i="2"/>
  <c r="BA761" i="2"/>
  <c r="AZ761" i="2"/>
  <c r="AY761" i="2"/>
  <c r="AX761" i="2"/>
  <c r="AW761" i="2"/>
  <c r="AV761" i="2"/>
  <c r="AU761" i="2"/>
  <c r="AT761" i="2"/>
  <c r="H761" i="1"/>
  <c r="AS761" i="2"/>
  <c r="G761" i="1"/>
  <c r="AR761" i="2"/>
  <c r="AQ761" i="2"/>
  <c r="AP761" i="2"/>
  <c r="D761" i="1"/>
  <c r="AO761" i="2"/>
  <c r="AN761" i="2"/>
  <c r="AM761" i="2"/>
  <c r="AJ761" i="2"/>
  <c r="AI761" i="2"/>
  <c r="BM760" i="2"/>
  <c r="AA760" i="1"/>
  <c r="BL760" i="2"/>
  <c r="BK760" i="2"/>
  <c r="BJ760" i="2"/>
  <c r="X760" i="1"/>
  <c r="BI760" i="2"/>
  <c r="BH760" i="2"/>
  <c r="BG760" i="2"/>
  <c r="U760" i="1"/>
  <c r="BF760" i="2"/>
  <c r="BE760" i="2"/>
  <c r="S760" i="1"/>
  <c r="BD760" i="2"/>
  <c r="BC760" i="2"/>
  <c r="BB760" i="2"/>
  <c r="BA760" i="2"/>
  <c r="AZ760" i="2"/>
  <c r="AY760" i="2"/>
  <c r="AX760" i="2"/>
  <c r="AW760" i="2"/>
  <c r="AV760" i="2"/>
  <c r="AU760" i="2"/>
  <c r="AT760" i="2"/>
  <c r="H760" i="1"/>
  <c r="AS760" i="2"/>
  <c r="G760" i="1"/>
  <c r="AR760" i="2"/>
  <c r="AQ760" i="2"/>
  <c r="AP760" i="2"/>
  <c r="D760" i="1"/>
  <c r="AO760" i="2"/>
  <c r="AN760" i="2"/>
  <c r="AM760" i="2"/>
  <c r="AJ760" i="2"/>
  <c r="AI760" i="2"/>
  <c r="BM759" i="2"/>
  <c r="AA759" i="1"/>
  <c r="BL759" i="2"/>
  <c r="BK759" i="2"/>
  <c r="BJ759" i="2"/>
  <c r="X759" i="1"/>
  <c r="BI759" i="2"/>
  <c r="BH759" i="2"/>
  <c r="BG759" i="2"/>
  <c r="U759" i="1"/>
  <c r="BF759" i="2"/>
  <c r="BE759" i="2"/>
  <c r="S759" i="1"/>
  <c r="BD759" i="2"/>
  <c r="BC759" i="2"/>
  <c r="BB759" i="2"/>
  <c r="BA759" i="2"/>
  <c r="AZ759" i="2"/>
  <c r="AY759" i="2"/>
  <c r="AX759" i="2"/>
  <c r="AW759" i="2"/>
  <c r="AV759" i="2"/>
  <c r="AU759" i="2"/>
  <c r="AT759" i="2"/>
  <c r="H759" i="1"/>
  <c r="AS759" i="2"/>
  <c r="G759" i="1"/>
  <c r="AR759" i="2"/>
  <c r="AQ759" i="2"/>
  <c r="AP759" i="2"/>
  <c r="D759" i="1"/>
  <c r="AO759" i="2"/>
  <c r="AN759" i="2"/>
  <c r="AM759" i="2"/>
  <c r="AJ759" i="2"/>
  <c r="AI759" i="2"/>
  <c r="BM758" i="2"/>
  <c r="AA758" i="1"/>
  <c r="BL758" i="2"/>
  <c r="BK758" i="2"/>
  <c r="BJ758" i="2"/>
  <c r="X758" i="1"/>
  <c r="BI758" i="2"/>
  <c r="BH758" i="2"/>
  <c r="BG758" i="2"/>
  <c r="U758" i="1"/>
  <c r="BF758" i="2"/>
  <c r="BE758" i="2"/>
  <c r="S758" i="1"/>
  <c r="BD758" i="2"/>
  <c r="BC758" i="2"/>
  <c r="BB758" i="2"/>
  <c r="BA758" i="2"/>
  <c r="AZ758" i="2"/>
  <c r="AY758" i="2"/>
  <c r="AX758" i="2"/>
  <c r="AW758" i="2"/>
  <c r="AV758" i="2"/>
  <c r="AU758" i="2"/>
  <c r="AT758" i="2"/>
  <c r="H758" i="1"/>
  <c r="AS758" i="2"/>
  <c r="G758" i="1"/>
  <c r="AR758" i="2"/>
  <c r="AQ758" i="2"/>
  <c r="AP758" i="2"/>
  <c r="D758" i="1"/>
  <c r="AO758" i="2"/>
  <c r="AN758" i="2"/>
  <c r="AM758" i="2"/>
  <c r="AJ758" i="2"/>
  <c r="AI758" i="2"/>
  <c r="BM757" i="2"/>
  <c r="AA757" i="1"/>
  <c r="BL757" i="2"/>
  <c r="BK757" i="2"/>
  <c r="BJ757" i="2"/>
  <c r="X757" i="1"/>
  <c r="BI757" i="2"/>
  <c r="BH757" i="2"/>
  <c r="BG757" i="2"/>
  <c r="U757" i="1"/>
  <c r="BF757" i="2"/>
  <c r="BE757" i="2"/>
  <c r="S757" i="1"/>
  <c r="BD757" i="2"/>
  <c r="BC757" i="2"/>
  <c r="BB757" i="2"/>
  <c r="BA757" i="2"/>
  <c r="AZ757" i="2"/>
  <c r="AY757" i="2"/>
  <c r="AX757" i="2"/>
  <c r="AW757" i="2"/>
  <c r="AV757" i="2"/>
  <c r="AU757" i="2"/>
  <c r="AT757" i="2"/>
  <c r="H757" i="1"/>
  <c r="AS757" i="2"/>
  <c r="G757" i="1"/>
  <c r="AR757" i="2"/>
  <c r="AQ757" i="2"/>
  <c r="AP757" i="2"/>
  <c r="D757" i="1"/>
  <c r="AO757" i="2"/>
  <c r="AN757" i="2"/>
  <c r="AM757" i="2"/>
  <c r="AJ757" i="2"/>
  <c r="AI757" i="2"/>
  <c r="BM756" i="2"/>
  <c r="AA756" i="1"/>
  <c r="BL756" i="2"/>
  <c r="BK756" i="2"/>
  <c r="BJ756" i="2"/>
  <c r="X756" i="1"/>
  <c r="BI756" i="2"/>
  <c r="BH756" i="2"/>
  <c r="BG756" i="2"/>
  <c r="U756" i="1"/>
  <c r="BF756" i="2"/>
  <c r="BE756" i="2"/>
  <c r="S756" i="1"/>
  <c r="BD756" i="2"/>
  <c r="BC756" i="2"/>
  <c r="BB756" i="2"/>
  <c r="BA756" i="2"/>
  <c r="AZ756" i="2"/>
  <c r="AY756" i="2"/>
  <c r="AX756" i="2"/>
  <c r="AW756" i="2"/>
  <c r="AV756" i="2"/>
  <c r="AU756" i="2"/>
  <c r="AT756" i="2"/>
  <c r="H756" i="1"/>
  <c r="AS756" i="2"/>
  <c r="G756" i="1"/>
  <c r="AR756" i="2"/>
  <c r="AQ756" i="2"/>
  <c r="AP756" i="2"/>
  <c r="D756" i="1"/>
  <c r="AO756" i="2"/>
  <c r="AN756" i="2"/>
  <c r="AM756" i="2"/>
  <c r="AJ756" i="2"/>
  <c r="AI756" i="2"/>
  <c r="BM755" i="2"/>
  <c r="AA755" i="1"/>
  <c r="BL755" i="2"/>
  <c r="BK755" i="2"/>
  <c r="BJ755" i="2"/>
  <c r="X755" i="1"/>
  <c r="BI755" i="2"/>
  <c r="BH755" i="2"/>
  <c r="BG755" i="2"/>
  <c r="U755" i="1"/>
  <c r="BF755" i="2"/>
  <c r="BE755" i="2"/>
  <c r="S755" i="1"/>
  <c r="BD755" i="2"/>
  <c r="BC755" i="2"/>
  <c r="BB755" i="2"/>
  <c r="BA755" i="2"/>
  <c r="AZ755" i="2"/>
  <c r="AY755" i="2"/>
  <c r="AX755" i="2"/>
  <c r="AW755" i="2"/>
  <c r="AV755" i="2"/>
  <c r="AU755" i="2"/>
  <c r="AT755" i="2"/>
  <c r="H755" i="1"/>
  <c r="AS755" i="2"/>
  <c r="G755" i="1"/>
  <c r="AR755" i="2"/>
  <c r="AQ755" i="2"/>
  <c r="AP755" i="2"/>
  <c r="D755" i="1"/>
  <c r="AO755" i="2"/>
  <c r="AN755" i="2"/>
  <c r="AM755" i="2"/>
  <c r="AJ755" i="2"/>
  <c r="AI755" i="2"/>
  <c r="BM754" i="2"/>
  <c r="AA754" i="1"/>
  <c r="BL754" i="2"/>
  <c r="BK754" i="2"/>
  <c r="BJ754" i="2"/>
  <c r="X754" i="1"/>
  <c r="BI754" i="2"/>
  <c r="BH754" i="2"/>
  <c r="BG754" i="2"/>
  <c r="U754" i="1"/>
  <c r="BF754" i="2"/>
  <c r="BE754" i="2"/>
  <c r="S754" i="1"/>
  <c r="BD754" i="2"/>
  <c r="BC754" i="2"/>
  <c r="BB754" i="2"/>
  <c r="BA754" i="2"/>
  <c r="AZ754" i="2"/>
  <c r="AY754" i="2"/>
  <c r="AX754" i="2"/>
  <c r="AW754" i="2"/>
  <c r="AV754" i="2"/>
  <c r="AU754" i="2"/>
  <c r="AT754" i="2"/>
  <c r="H754" i="1"/>
  <c r="AS754" i="2"/>
  <c r="G754" i="1"/>
  <c r="AR754" i="2"/>
  <c r="AQ754" i="2"/>
  <c r="AP754" i="2"/>
  <c r="D754" i="1"/>
  <c r="AO754" i="2"/>
  <c r="AN754" i="2"/>
  <c r="AM754" i="2"/>
  <c r="AJ754" i="2"/>
  <c r="AI754" i="2"/>
  <c r="BM753" i="2"/>
  <c r="AA753" i="1"/>
  <c r="BL753" i="2"/>
  <c r="BK753" i="2"/>
  <c r="BJ753" i="2"/>
  <c r="X753" i="1"/>
  <c r="BI753" i="2"/>
  <c r="BH753" i="2"/>
  <c r="BG753" i="2"/>
  <c r="U753" i="1"/>
  <c r="BF753" i="2"/>
  <c r="BE753" i="2"/>
  <c r="S753" i="1"/>
  <c r="BD753" i="2"/>
  <c r="BC753" i="2"/>
  <c r="BB753" i="2"/>
  <c r="BA753" i="2"/>
  <c r="AZ753" i="2"/>
  <c r="AY753" i="2"/>
  <c r="AX753" i="2"/>
  <c r="AW753" i="2"/>
  <c r="AV753" i="2"/>
  <c r="AU753" i="2"/>
  <c r="AT753" i="2"/>
  <c r="H753" i="1"/>
  <c r="AS753" i="2"/>
  <c r="G753" i="1"/>
  <c r="AR753" i="2"/>
  <c r="AQ753" i="2"/>
  <c r="AP753" i="2"/>
  <c r="D753" i="1"/>
  <c r="AO753" i="2"/>
  <c r="AN753" i="2"/>
  <c r="AM753" i="2"/>
  <c r="AJ753" i="2"/>
  <c r="AI753" i="2"/>
  <c r="BM752" i="2"/>
  <c r="AA752" i="1"/>
  <c r="BL752" i="2"/>
  <c r="BK752" i="2"/>
  <c r="BJ752" i="2"/>
  <c r="X752" i="1"/>
  <c r="BI752" i="2"/>
  <c r="BH752" i="2"/>
  <c r="BG752" i="2"/>
  <c r="U752" i="1"/>
  <c r="BF752" i="2"/>
  <c r="BE752" i="2"/>
  <c r="S752" i="1"/>
  <c r="BD752" i="2"/>
  <c r="BC752" i="2"/>
  <c r="BB752" i="2"/>
  <c r="BA752" i="2"/>
  <c r="AZ752" i="2"/>
  <c r="AY752" i="2"/>
  <c r="AX752" i="2"/>
  <c r="AW752" i="2"/>
  <c r="AV752" i="2"/>
  <c r="AU752" i="2"/>
  <c r="AT752" i="2"/>
  <c r="H752" i="1"/>
  <c r="AS752" i="2"/>
  <c r="G752" i="1"/>
  <c r="AR752" i="2"/>
  <c r="AQ752" i="2"/>
  <c r="AP752" i="2"/>
  <c r="D752" i="1"/>
  <c r="AO752" i="2"/>
  <c r="AN752" i="2"/>
  <c r="AM752" i="2"/>
  <c r="AJ752" i="2"/>
  <c r="AI752" i="2"/>
  <c r="BM751" i="2"/>
  <c r="AA751" i="1"/>
  <c r="BL751" i="2"/>
  <c r="BK751" i="2"/>
  <c r="BJ751" i="2"/>
  <c r="X751" i="1"/>
  <c r="BI751" i="2"/>
  <c r="BH751" i="2"/>
  <c r="BG751" i="2"/>
  <c r="U751" i="1"/>
  <c r="BF751" i="2"/>
  <c r="BE751" i="2"/>
  <c r="S751" i="1"/>
  <c r="BD751" i="2"/>
  <c r="BC751" i="2"/>
  <c r="BB751" i="2"/>
  <c r="BA751" i="2"/>
  <c r="AZ751" i="2"/>
  <c r="AY751" i="2"/>
  <c r="AX751" i="2"/>
  <c r="AW751" i="2"/>
  <c r="AV751" i="2"/>
  <c r="AU751" i="2"/>
  <c r="AT751" i="2"/>
  <c r="H751" i="1"/>
  <c r="AS751" i="2"/>
  <c r="G751" i="1"/>
  <c r="AR751" i="2"/>
  <c r="AQ751" i="2"/>
  <c r="AP751" i="2"/>
  <c r="D751" i="1"/>
  <c r="AO751" i="2"/>
  <c r="AN751" i="2"/>
  <c r="AM751" i="2"/>
  <c r="AJ751" i="2"/>
  <c r="AI751" i="2"/>
  <c r="BM750" i="2"/>
  <c r="AA750" i="1"/>
  <c r="BL750" i="2"/>
  <c r="BK750" i="2"/>
  <c r="BJ750" i="2"/>
  <c r="X750" i="1"/>
  <c r="BI750" i="2"/>
  <c r="BH750" i="2"/>
  <c r="BG750" i="2"/>
  <c r="U750" i="1"/>
  <c r="BF750" i="2"/>
  <c r="BE750" i="2"/>
  <c r="S750" i="1"/>
  <c r="BD750" i="2"/>
  <c r="BC750" i="2"/>
  <c r="BB750" i="2"/>
  <c r="BA750" i="2"/>
  <c r="AZ750" i="2"/>
  <c r="AY750" i="2"/>
  <c r="AX750" i="2"/>
  <c r="AW750" i="2"/>
  <c r="AV750" i="2"/>
  <c r="AU750" i="2"/>
  <c r="AT750" i="2"/>
  <c r="H750" i="1"/>
  <c r="AS750" i="2"/>
  <c r="G750" i="1"/>
  <c r="AR750" i="2"/>
  <c r="AQ750" i="2"/>
  <c r="AP750" i="2"/>
  <c r="D750" i="1"/>
  <c r="AO750" i="2"/>
  <c r="AN750" i="2"/>
  <c r="AM750" i="2"/>
  <c r="AJ750" i="2"/>
  <c r="AI750" i="2"/>
  <c r="BM749" i="2"/>
  <c r="AA749" i="1"/>
  <c r="BL749" i="2"/>
  <c r="BK749" i="2"/>
  <c r="BJ749" i="2"/>
  <c r="X749" i="1"/>
  <c r="BI749" i="2"/>
  <c r="BH749" i="2"/>
  <c r="BG749" i="2"/>
  <c r="U749" i="1"/>
  <c r="BF749" i="2"/>
  <c r="BE749" i="2"/>
  <c r="S749" i="1"/>
  <c r="BD749" i="2"/>
  <c r="BC749" i="2"/>
  <c r="BB749" i="2"/>
  <c r="BA749" i="2"/>
  <c r="AZ749" i="2"/>
  <c r="AY749" i="2"/>
  <c r="AX749" i="2"/>
  <c r="AW749" i="2"/>
  <c r="AV749" i="2"/>
  <c r="AU749" i="2"/>
  <c r="AT749" i="2"/>
  <c r="H749" i="1"/>
  <c r="AS749" i="2"/>
  <c r="G749" i="1"/>
  <c r="AR749" i="2"/>
  <c r="AQ749" i="2"/>
  <c r="AP749" i="2"/>
  <c r="D749" i="1"/>
  <c r="AO749" i="2"/>
  <c r="AN749" i="2"/>
  <c r="AM749" i="2"/>
  <c r="AJ749" i="2"/>
  <c r="AI749" i="2"/>
  <c r="BM748" i="2"/>
  <c r="AA748" i="1"/>
  <c r="BL748" i="2"/>
  <c r="BK748" i="2"/>
  <c r="BJ748" i="2"/>
  <c r="X748" i="1"/>
  <c r="BI748" i="2"/>
  <c r="BH748" i="2"/>
  <c r="BG748" i="2"/>
  <c r="U748" i="1"/>
  <c r="BF748" i="2"/>
  <c r="BE748" i="2"/>
  <c r="S748" i="1"/>
  <c r="BD748" i="2"/>
  <c r="BC748" i="2"/>
  <c r="BB748" i="2"/>
  <c r="BA748" i="2"/>
  <c r="AZ748" i="2"/>
  <c r="AY748" i="2"/>
  <c r="AX748" i="2"/>
  <c r="AW748" i="2"/>
  <c r="AV748" i="2"/>
  <c r="AU748" i="2"/>
  <c r="AT748" i="2"/>
  <c r="H748" i="1"/>
  <c r="AS748" i="2"/>
  <c r="G748" i="1"/>
  <c r="AR748" i="2"/>
  <c r="AQ748" i="2"/>
  <c r="AP748" i="2"/>
  <c r="D748" i="1"/>
  <c r="AO748" i="2"/>
  <c r="AN748" i="2"/>
  <c r="AM748" i="2"/>
  <c r="AJ748" i="2"/>
  <c r="AI748" i="2"/>
  <c r="BM747" i="2"/>
  <c r="AA747" i="1"/>
  <c r="BL747" i="2"/>
  <c r="BK747" i="2"/>
  <c r="BJ747" i="2"/>
  <c r="X747" i="1"/>
  <c r="BI747" i="2"/>
  <c r="BH747" i="2"/>
  <c r="BG747" i="2"/>
  <c r="U747" i="1"/>
  <c r="BF747" i="2"/>
  <c r="BE747" i="2"/>
  <c r="S747" i="1"/>
  <c r="BD747" i="2"/>
  <c r="BC747" i="2"/>
  <c r="BB747" i="2"/>
  <c r="BA747" i="2"/>
  <c r="AZ747" i="2"/>
  <c r="AY747" i="2"/>
  <c r="AX747" i="2"/>
  <c r="AW747" i="2"/>
  <c r="AV747" i="2"/>
  <c r="AU747" i="2"/>
  <c r="AT747" i="2"/>
  <c r="H747" i="1"/>
  <c r="AS747" i="2"/>
  <c r="G747" i="1"/>
  <c r="AR747" i="2"/>
  <c r="AQ747" i="2"/>
  <c r="AP747" i="2"/>
  <c r="D747" i="1"/>
  <c r="AO747" i="2"/>
  <c r="AN747" i="2"/>
  <c r="AM747" i="2"/>
  <c r="AJ747" i="2"/>
  <c r="AI747" i="2"/>
  <c r="BM746" i="2"/>
  <c r="AA746" i="1"/>
  <c r="BL746" i="2"/>
  <c r="BK746" i="2"/>
  <c r="BJ746" i="2"/>
  <c r="X746" i="1"/>
  <c r="BI746" i="2"/>
  <c r="BH746" i="2"/>
  <c r="BG746" i="2"/>
  <c r="U746" i="1"/>
  <c r="BF746" i="2"/>
  <c r="BE746" i="2"/>
  <c r="S746" i="1"/>
  <c r="BD746" i="2"/>
  <c r="BC746" i="2"/>
  <c r="BB746" i="2"/>
  <c r="BA746" i="2"/>
  <c r="AZ746" i="2"/>
  <c r="AY746" i="2"/>
  <c r="AX746" i="2"/>
  <c r="AW746" i="2"/>
  <c r="AV746" i="2"/>
  <c r="AU746" i="2"/>
  <c r="AT746" i="2"/>
  <c r="H746" i="1"/>
  <c r="AS746" i="2"/>
  <c r="G746" i="1"/>
  <c r="AR746" i="2"/>
  <c r="AQ746" i="2"/>
  <c r="AP746" i="2"/>
  <c r="D746" i="1"/>
  <c r="AO746" i="2"/>
  <c r="AN746" i="2"/>
  <c r="AM746" i="2"/>
  <c r="AJ746" i="2"/>
  <c r="AI746" i="2"/>
  <c r="BM745" i="2"/>
  <c r="AA745" i="1"/>
  <c r="BL745" i="2"/>
  <c r="BK745" i="2"/>
  <c r="BJ745" i="2"/>
  <c r="X745" i="1"/>
  <c r="BI745" i="2"/>
  <c r="BH745" i="2"/>
  <c r="BG745" i="2"/>
  <c r="U745" i="1"/>
  <c r="BF745" i="2"/>
  <c r="BE745" i="2"/>
  <c r="S745" i="1"/>
  <c r="BD745" i="2"/>
  <c r="BC745" i="2"/>
  <c r="BB745" i="2"/>
  <c r="BA745" i="2"/>
  <c r="AZ745" i="2"/>
  <c r="AY745" i="2"/>
  <c r="AX745" i="2"/>
  <c r="AW745" i="2"/>
  <c r="AV745" i="2"/>
  <c r="AU745" i="2"/>
  <c r="AT745" i="2"/>
  <c r="H745" i="1"/>
  <c r="AS745" i="2"/>
  <c r="G745" i="1"/>
  <c r="AR745" i="2"/>
  <c r="AQ745" i="2"/>
  <c r="AP745" i="2"/>
  <c r="D745" i="1"/>
  <c r="AO745" i="2"/>
  <c r="AN745" i="2"/>
  <c r="AM745" i="2"/>
  <c r="AJ745" i="2"/>
  <c r="AI745" i="2"/>
  <c r="BM744" i="2"/>
  <c r="AA744" i="1"/>
  <c r="BL744" i="2"/>
  <c r="BK744" i="2"/>
  <c r="BJ744" i="2"/>
  <c r="X744" i="1"/>
  <c r="BI744" i="2"/>
  <c r="BH744" i="2"/>
  <c r="BG744" i="2"/>
  <c r="U744" i="1"/>
  <c r="BF744" i="2"/>
  <c r="BE744" i="2"/>
  <c r="S744" i="1"/>
  <c r="BD744" i="2"/>
  <c r="BC744" i="2"/>
  <c r="BB744" i="2"/>
  <c r="BA744" i="2"/>
  <c r="AZ744" i="2"/>
  <c r="AY744" i="2"/>
  <c r="AX744" i="2"/>
  <c r="AW744" i="2"/>
  <c r="AV744" i="2"/>
  <c r="AU744" i="2"/>
  <c r="AT744" i="2"/>
  <c r="H744" i="1"/>
  <c r="AS744" i="2"/>
  <c r="G744" i="1"/>
  <c r="AR744" i="2"/>
  <c r="AQ744" i="2"/>
  <c r="AP744" i="2"/>
  <c r="D744" i="1"/>
  <c r="AO744" i="2"/>
  <c r="AN744" i="2"/>
  <c r="AM744" i="2"/>
  <c r="AJ744" i="2"/>
  <c r="AI744" i="2"/>
  <c r="BM743" i="2"/>
  <c r="AA743" i="1"/>
  <c r="BL743" i="2"/>
  <c r="BK743" i="2"/>
  <c r="BJ743" i="2"/>
  <c r="X743" i="1"/>
  <c r="BI743" i="2"/>
  <c r="BH743" i="2"/>
  <c r="BG743" i="2"/>
  <c r="U743" i="1"/>
  <c r="BF743" i="2"/>
  <c r="BE743" i="2"/>
  <c r="S743" i="1"/>
  <c r="BD743" i="2"/>
  <c r="BC743" i="2"/>
  <c r="BB743" i="2"/>
  <c r="BA743" i="2"/>
  <c r="AZ743" i="2"/>
  <c r="AY743" i="2"/>
  <c r="AX743" i="2"/>
  <c r="AW743" i="2"/>
  <c r="AV743" i="2"/>
  <c r="AU743" i="2"/>
  <c r="AT743" i="2"/>
  <c r="H743" i="1"/>
  <c r="AS743" i="2"/>
  <c r="G743" i="1"/>
  <c r="AR743" i="2"/>
  <c r="AQ743" i="2"/>
  <c r="AP743" i="2"/>
  <c r="D743" i="1"/>
  <c r="AO743" i="2"/>
  <c r="AN743" i="2"/>
  <c r="AM743" i="2"/>
  <c r="AJ743" i="2"/>
  <c r="AI743" i="2"/>
  <c r="BM742" i="2"/>
  <c r="AA742" i="1"/>
  <c r="BL742" i="2"/>
  <c r="BK742" i="2"/>
  <c r="BJ742" i="2"/>
  <c r="X742" i="1"/>
  <c r="BI742" i="2"/>
  <c r="BH742" i="2"/>
  <c r="BG742" i="2"/>
  <c r="U742" i="1"/>
  <c r="BF742" i="2"/>
  <c r="BE742" i="2"/>
  <c r="S742" i="1"/>
  <c r="BD742" i="2"/>
  <c r="BC742" i="2"/>
  <c r="BB742" i="2"/>
  <c r="BA742" i="2"/>
  <c r="AZ742" i="2"/>
  <c r="AY742" i="2"/>
  <c r="AX742" i="2"/>
  <c r="AW742" i="2"/>
  <c r="AV742" i="2"/>
  <c r="AU742" i="2"/>
  <c r="AT742" i="2"/>
  <c r="H742" i="1"/>
  <c r="AS742" i="2"/>
  <c r="G742" i="1"/>
  <c r="AR742" i="2"/>
  <c r="AQ742" i="2"/>
  <c r="AP742" i="2"/>
  <c r="D742" i="1"/>
  <c r="AO742" i="2"/>
  <c r="AN742" i="2"/>
  <c r="AM742" i="2"/>
  <c r="AJ742" i="2"/>
  <c r="AI742" i="2"/>
  <c r="BM741" i="2"/>
  <c r="AA741" i="1"/>
  <c r="BL741" i="2"/>
  <c r="BK741" i="2"/>
  <c r="BJ741" i="2"/>
  <c r="X741" i="1"/>
  <c r="BI741" i="2"/>
  <c r="BH741" i="2"/>
  <c r="BG741" i="2"/>
  <c r="U741" i="1"/>
  <c r="BF741" i="2"/>
  <c r="BE741" i="2"/>
  <c r="S741" i="1"/>
  <c r="BD741" i="2"/>
  <c r="BC741" i="2"/>
  <c r="BB741" i="2"/>
  <c r="BA741" i="2"/>
  <c r="AZ741" i="2"/>
  <c r="AY741" i="2"/>
  <c r="AX741" i="2"/>
  <c r="AW741" i="2"/>
  <c r="AV741" i="2"/>
  <c r="AU741" i="2"/>
  <c r="AT741" i="2"/>
  <c r="H741" i="1"/>
  <c r="AS741" i="2"/>
  <c r="G741" i="1"/>
  <c r="AR741" i="2"/>
  <c r="AQ741" i="2"/>
  <c r="AP741" i="2"/>
  <c r="D741" i="1"/>
  <c r="AO741" i="2"/>
  <c r="AN741" i="2"/>
  <c r="AM741" i="2"/>
  <c r="AJ741" i="2"/>
  <c r="AI741" i="2"/>
  <c r="BM740" i="2"/>
  <c r="AA740" i="1"/>
  <c r="BL740" i="2"/>
  <c r="BK740" i="2"/>
  <c r="BJ740" i="2"/>
  <c r="X740" i="1"/>
  <c r="BI740" i="2"/>
  <c r="BH740" i="2"/>
  <c r="BG740" i="2"/>
  <c r="U740" i="1"/>
  <c r="BF740" i="2"/>
  <c r="BE740" i="2"/>
  <c r="S740" i="1"/>
  <c r="BD740" i="2"/>
  <c r="BC740" i="2"/>
  <c r="BB740" i="2"/>
  <c r="BA740" i="2"/>
  <c r="AZ740" i="2"/>
  <c r="AY740" i="2"/>
  <c r="AX740" i="2"/>
  <c r="AW740" i="2"/>
  <c r="AV740" i="2"/>
  <c r="AU740" i="2"/>
  <c r="AT740" i="2"/>
  <c r="H740" i="1"/>
  <c r="AS740" i="2"/>
  <c r="G740" i="1"/>
  <c r="AR740" i="2"/>
  <c r="AQ740" i="2"/>
  <c r="AP740" i="2"/>
  <c r="D740" i="1"/>
  <c r="AO740" i="2"/>
  <c r="AN740" i="2"/>
  <c r="AM740" i="2"/>
  <c r="AJ740" i="2"/>
  <c r="AI740" i="2"/>
  <c r="BM739" i="2"/>
  <c r="AA739" i="1"/>
  <c r="BL739" i="2"/>
  <c r="BK739" i="2"/>
  <c r="BJ739" i="2"/>
  <c r="X739" i="1"/>
  <c r="BI739" i="2"/>
  <c r="BH739" i="2"/>
  <c r="BG739" i="2"/>
  <c r="U739" i="1"/>
  <c r="BF739" i="2"/>
  <c r="BE739" i="2"/>
  <c r="S739" i="1"/>
  <c r="BD739" i="2"/>
  <c r="BC739" i="2"/>
  <c r="BB739" i="2"/>
  <c r="BA739" i="2"/>
  <c r="AZ739" i="2"/>
  <c r="AY739" i="2"/>
  <c r="AX739" i="2"/>
  <c r="AW739" i="2"/>
  <c r="AV739" i="2"/>
  <c r="AU739" i="2"/>
  <c r="AT739" i="2"/>
  <c r="H739" i="1"/>
  <c r="AS739" i="2"/>
  <c r="G739" i="1"/>
  <c r="AR739" i="2"/>
  <c r="AQ739" i="2"/>
  <c r="AP739" i="2"/>
  <c r="D739" i="1"/>
  <c r="AO739" i="2"/>
  <c r="AN739" i="2"/>
  <c r="AM739" i="2"/>
  <c r="AJ739" i="2"/>
  <c r="AI739" i="2"/>
  <c r="BM738" i="2"/>
  <c r="AA738" i="1"/>
  <c r="BL738" i="2"/>
  <c r="BK738" i="2"/>
  <c r="BJ738" i="2"/>
  <c r="X738" i="1"/>
  <c r="BI738" i="2"/>
  <c r="BH738" i="2"/>
  <c r="BG738" i="2"/>
  <c r="U738" i="1"/>
  <c r="BF738" i="2"/>
  <c r="BE738" i="2"/>
  <c r="S738" i="1"/>
  <c r="BD738" i="2"/>
  <c r="BC738" i="2"/>
  <c r="BB738" i="2"/>
  <c r="BA738" i="2"/>
  <c r="AZ738" i="2"/>
  <c r="AY738" i="2"/>
  <c r="AX738" i="2"/>
  <c r="AW738" i="2"/>
  <c r="AV738" i="2"/>
  <c r="AU738" i="2"/>
  <c r="AT738" i="2"/>
  <c r="H738" i="1"/>
  <c r="AS738" i="2"/>
  <c r="G738" i="1"/>
  <c r="AR738" i="2"/>
  <c r="AQ738" i="2"/>
  <c r="AP738" i="2"/>
  <c r="D738" i="1"/>
  <c r="AO738" i="2"/>
  <c r="AN738" i="2"/>
  <c r="AM738" i="2"/>
  <c r="AJ738" i="2"/>
  <c r="AI738" i="2"/>
  <c r="BM737" i="2"/>
  <c r="AA737" i="1"/>
  <c r="BL737" i="2"/>
  <c r="BK737" i="2"/>
  <c r="BJ737" i="2"/>
  <c r="X737" i="1"/>
  <c r="BI737" i="2"/>
  <c r="BH737" i="2"/>
  <c r="BG737" i="2"/>
  <c r="U737" i="1"/>
  <c r="BF737" i="2"/>
  <c r="BE737" i="2"/>
  <c r="S737" i="1"/>
  <c r="BD737" i="2"/>
  <c r="BC737" i="2"/>
  <c r="BB737" i="2"/>
  <c r="BA737" i="2"/>
  <c r="AZ737" i="2"/>
  <c r="AY737" i="2"/>
  <c r="AX737" i="2"/>
  <c r="AW737" i="2"/>
  <c r="AV737" i="2"/>
  <c r="AU737" i="2"/>
  <c r="AT737" i="2"/>
  <c r="H737" i="1"/>
  <c r="AS737" i="2"/>
  <c r="G737" i="1"/>
  <c r="AR737" i="2"/>
  <c r="AQ737" i="2"/>
  <c r="AP737" i="2"/>
  <c r="D737" i="1"/>
  <c r="AO737" i="2"/>
  <c r="AN737" i="2"/>
  <c r="AM737" i="2"/>
  <c r="AJ737" i="2"/>
  <c r="AI737" i="2"/>
  <c r="BM736" i="2"/>
  <c r="AA736" i="1"/>
  <c r="BL736" i="2"/>
  <c r="BK736" i="2"/>
  <c r="BJ736" i="2"/>
  <c r="X736" i="1"/>
  <c r="BI736" i="2"/>
  <c r="BH736" i="2"/>
  <c r="BG736" i="2"/>
  <c r="U736" i="1"/>
  <c r="BF736" i="2"/>
  <c r="BE736" i="2"/>
  <c r="S736" i="1"/>
  <c r="BD736" i="2"/>
  <c r="BC736" i="2"/>
  <c r="BB736" i="2"/>
  <c r="BA736" i="2"/>
  <c r="AZ736" i="2"/>
  <c r="AY736" i="2"/>
  <c r="AX736" i="2"/>
  <c r="AW736" i="2"/>
  <c r="AV736" i="2"/>
  <c r="AU736" i="2"/>
  <c r="AT736" i="2"/>
  <c r="H736" i="1"/>
  <c r="AS736" i="2"/>
  <c r="G736" i="1"/>
  <c r="AR736" i="2"/>
  <c r="AQ736" i="2"/>
  <c r="AP736" i="2"/>
  <c r="D736" i="1"/>
  <c r="AO736" i="2"/>
  <c r="AN736" i="2"/>
  <c r="AM736" i="2"/>
  <c r="AJ736" i="2"/>
  <c r="AI736" i="2"/>
  <c r="BM735" i="2"/>
  <c r="AA735" i="1"/>
  <c r="BL735" i="2"/>
  <c r="BK735" i="2"/>
  <c r="BJ735" i="2"/>
  <c r="X735" i="1"/>
  <c r="BI735" i="2"/>
  <c r="BH735" i="2"/>
  <c r="BG735" i="2"/>
  <c r="U735" i="1"/>
  <c r="BF735" i="2"/>
  <c r="BE735" i="2"/>
  <c r="S735" i="1"/>
  <c r="BD735" i="2"/>
  <c r="BC735" i="2"/>
  <c r="BB735" i="2"/>
  <c r="BA735" i="2"/>
  <c r="AZ735" i="2"/>
  <c r="AY735" i="2"/>
  <c r="AX735" i="2"/>
  <c r="AW735" i="2"/>
  <c r="AV735" i="2"/>
  <c r="AU735" i="2"/>
  <c r="AT735" i="2"/>
  <c r="H735" i="1"/>
  <c r="AS735" i="2"/>
  <c r="G735" i="1"/>
  <c r="AR735" i="2"/>
  <c r="AQ735" i="2"/>
  <c r="AP735" i="2"/>
  <c r="D735" i="1"/>
  <c r="AO735" i="2"/>
  <c r="AN735" i="2"/>
  <c r="AM735" i="2"/>
  <c r="AJ735" i="2"/>
  <c r="AI735" i="2"/>
  <c r="BM734" i="2"/>
  <c r="AA734" i="1"/>
  <c r="BL734" i="2"/>
  <c r="BK734" i="2"/>
  <c r="BJ734" i="2"/>
  <c r="X734" i="1"/>
  <c r="BI734" i="2"/>
  <c r="BH734" i="2"/>
  <c r="BG734" i="2"/>
  <c r="U734" i="1"/>
  <c r="BF734" i="2"/>
  <c r="BE734" i="2"/>
  <c r="S734" i="1"/>
  <c r="BD734" i="2"/>
  <c r="BC734" i="2"/>
  <c r="BB734" i="2"/>
  <c r="BA734" i="2"/>
  <c r="AZ734" i="2"/>
  <c r="AY734" i="2"/>
  <c r="AX734" i="2"/>
  <c r="AW734" i="2"/>
  <c r="AV734" i="2"/>
  <c r="AU734" i="2"/>
  <c r="AT734" i="2"/>
  <c r="H734" i="1"/>
  <c r="AS734" i="2"/>
  <c r="G734" i="1"/>
  <c r="AR734" i="2"/>
  <c r="AQ734" i="2"/>
  <c r="AP734" i="2"/>
  <c r="D734" i="1"/>
  <c r="AO734" i="2"/>
  <c r="AN734" i="2"/>
  <c r="AM734" i="2"/>
  <c r="AJ734" i="2"/>
  <c r="AI734" i="2"/>
  <c r="BM733" i="2"/>
  <c r="AA733" i="1"/>
  <c r="BL733" i="2"/>
  <c r="BK733" i="2"/>
  <c r="BJ733" i="2"/>
  <c r="X733" i="1"/>
  <c r="BI733" i="2"/>
  <c r="BH733" i="2"/>
  <c r="BG733" i="2"/>
  <c r="U733" i="1"/>
  <c r="BF733" i="2"/>
  <c r="BE733" i="2"/>
  <c r="S733" i="1"/>
  <c r="BD733" i="2"/>
  <c r="BC733" i="2"/>
  <c r="BB733" i="2"/>
  <c r="BA733" i="2"/>
  <c r="AZ733" i="2"/>
  <c r="AY733" i="2"/>
  <c r="AX733" i="2"/>
  <c r="AW733" i="2"/>
  <c r="AV733" i="2"/>
  <c r="AU733" i="2"/>
  <c r="AT733" i="2"/>
  <c r="H733" i="1"/>
  <c r="AS733" i="2"/>
  <c r="G733" i="1"/>
  <c r="AR733" i="2"/>
  <c r="AQ733" i="2"/>
  <c r="AP733" i="2"/>
  <c r="D733" i="1"/>
  <c r="AO733" i="2"/>
  <c r="AN733" i="2"/>
  <c r="AM733" i="2"/>
  <c r="AJ733" i="2"/>
  <c r="AI733" i="2"/>
  <c r="BM732" i="2"/>
  <c r="AA732" i="1"/>
  <c r="BL732" i="2"/>
  <c r="BK732" i="2"/>
  <c r="BJ732" i="2"/>
  <c r="X732" i="1"/>
  <c r="BI732" i="2"/>
  <c r="BH732" i="2"/>
  <c r="BG732" i="2"/>
  <c r="U732" i="1"/>
  <c r="BF732" i="2"/>
  <c r="BE732" i="2"/>
  <c r="S732" i="1"/>
  <c r="BD732" i="2"/>
  <c r="BC732" i="2"/>
  <c r="BB732" i="2"/>
  <c r="BA732" i="2"/>
  <c r="AZ732" i="2"/>
  <c r="AY732" i="2"/>
  <c r="AX732" i="2"/>
  <c r="AW732" i="2"/>
  <c r="AV732" i="2"/>
  <c r="AU732" i="2"/>
  <c r="AT732" i="2"/>
  <c r="H732" i="1"/>
  <c r="AS732" i="2"/>
  <c r="G732" i="1"/>
  <c r="AR732" i="2"/>
  <c r="AQ732" i="2"/>
  <c r="AP732" i="2"/>
  <c r="D732" i="1"/>
  <c r="AO732" i="2"/>
  <c r="AN732" i="2"/>
  <c r="AM732" i="2"/>
  <c r="AJ732" i="2"/>
  <c r="AI732" i="2"/>
  <c r="BM731" i="2"/>
  <c r="AA731" i="1"/>
  <c r="BL731" i="2"/>
  <c r="BK731" i="2"/>
  <c r="BJ731" i="2"/>
  <c r="X731" i="1"/>
  <c r="BI731" i="2"/>
  <c r="BH731" i="2"/>
  <c r="BG731" i="2"/>
  <c r="U731" i="1"/>
  <c r="BF731" i="2"/>
  <c r="BE731" i="2"/>
  <c r="S731" i="1"/>
  <c r="BD731" i="2"/>
  <c r="BC731" i="2"/>
  <c r="BB731" i="2"/>
  <c r="BA731" i="2"/>
  <c r="AZ731" i="2"/>
  <c r="AY731" i="2"/>
  <c r="AX731" i="2"/>
  <c r="AW731" i="2"/>
  <c r="AV731" i="2"/>
  <c r="AU731" i="2"/>
  <c r="AT731" i="2"/>
  <c r="H731" i="1"/>
  <c r="AS731" i="2"/>
  <c r="G731" i="1"/>
  <c r="AR731" i="2"/>
  <c r="AQ731" i="2"/>
  <c r="AP731" i="2"/>
  <c r="D731" i="1"/>
  <c r="AO731" i="2"/>
  <c r="AN731" i="2"/>
  <c r="AM731" i="2"/>
  <c r="AJ731" i="2"/>
  <c r="AI731" i="2"/>
  <c r="BM730" i="2"/>
  <c r="AA730" i="1"/>
  <c r="BL730" i="2"/>
  <c r="BK730" i="2"/>
  <c r="BJ730" i="2"/>
  <c r="X730" i="1"/>
  <c r="BI730" i="2"/>
  <c r="BH730" i="2"/>
  <c r="BG730" i="2"/>
  <c r="U730" i="1"/>
  <c r="BF730" i="2"/>
  <c r="BE730" i="2"/>
  <c r="S730" i="1"/>
  <c r="BD730" i="2"/>
  <c r="BC730" i="2"/>
  <c r="BB730" i="2"/>
  <c r="BA730" i="2"/>
  <c r="AZ730" i="2"/>
  <c r="AY730" i="2"/>
  <c r="AX730" i="2"/>
  <c r="AW730" i="2"/>
  <c r="AV730" i="2"/>
  <c r="AU730" i="2"/>
  <c r="AT730" i="2"/>
  <c r="H730" i="1"/>
  <c r="AS730" i="2"/>
  <c r="G730" i="1"/>
  <c r="AR730" i="2"/>
  <c r="AQ730" i="2"/>
  <c r="AP730" i="2"/>
  <c r="D730" i="1"/>
  <c r="AO730" i="2"/>
  <c r="AN730" i="2"/>
  <c r="AM730" i="2"/>
  <c r="AJ730" i="2"/>
  <c r="AI730" i="2"/>
  <c r="BM729" i="2"/>
  <c r="AA729" i="1"/>
  <c r="BL729" i="2"/>
  <c r="BK729" i="2"/>
  <c r="BJ729" i="2"/>
  <c r="X729" i="1"/>
  <c r="BI729" i="2"/>
  <c r="BH729" i="2"/>
  <c r="BG729" i="2"/>
  <c r="U729" i="1"/>
  <c r="BF729" i="2"/>
  <c r="BE729" i="2"/>
  <c r="S729" i="1"/>
  <c r="BD729" i="2"/>
  <c r="BC729" i="2"/>
  <c r="BB729" i="2"/>
  <c r="BA729" i="2"/>
  <c r="AZ729" i="2"/>
  <c r="AY729" i="2"/>
  <c r="AX729" i="2"/>
  <c r="AW729" i="2"/>
  <c r="AV729" i="2"/>
  <c r="AU729" i="2"/>
  <c r="AT729" i="2"/>
  <c r="H729" i="1"/>
  <c r="AS729" i="2"/>
  <c r="G729" i="1"/>
  <c r="AR729" i="2"/>
  <c r="AQ729" i="2"/>
  <c r="AP729" i="2"/>
  <c r="D729" i="1"/>
  <c r="AO729" i="2"/>
  <c r="AN729" i="2"/>
  <c r="AM729" i="2"/>
  <c r="AJ729" i="2"/>
  <c r="AI729" i="2"/>
  <c r="BM728" i="2"/>
  <c r="AA728" i="1"/>
  <c r="BL728" i="2"/>
  <c r="BK728" i="2"/>
  <c r="BJ728" i="2"/>
  <c r="X728" i="1"/>
  <c r="BI728" i="2"/>
  <c r="BH728" i="2"/>
  <c r="BG728" i="2"/>
  <c r="U728" i="1"/>
  <c r="BF728" i="2"/>
  <c r="BE728" i="2"/>
  <c r="S728" i="1"/>
  <c r="BD728" i="2"/>
  <c r="BC728" i="2"/>
  <c r="BB728" i="2"/>
  <c r="BA728" i="2"/>
  <c r="AZ728" i="2"/>
  <c r="AY728" i="2"/>
  <c r="AX728" i="2"/>
  <c r="AW728" i="2"/>
  <c r="AV728" i="2"/>
  <c r="AU728" i="2"/>
  <c r="AT728" i="2"/>
  <c r="H728" i="1"/>
  <c r="AS728" i="2"/>
  <c r="G728" i="1"/>
  <c r="AR728" i="2"/>
  <c r="AQ728" i="2"/>
  <c r="AP728" i="2"/>
  <c r="D728" i="1"/>
  <c r="AO728" i="2"/>
  <c r="AN728" i="2"/>
  <c r="AM728" i="2"/>
  <c r="AJ728" i="2"/>
  <c r="AI728" i="2"/>
  <c r="BM727" i="2"/>
  <c r="AA727" i="1"/>
  <c r="BL727" i="2"/>
  <c r="BK727" i="2"/>
  <c r="BJ727" i="2"/>
  <c r="X727" i="1"/>
  <c r="BI727" i="2"/>
  <c r="BH727" i="2"/>
  <c r="BG727" i="2"/>
  <c r="U727" i="1"/>
  <c r="BF727" i="2"/>
  <c r="BE727" i="2"/>
  <c r="S727" i="1"/>
  <c r="BD727" i="2"/>
  <c r="BC727" i="2"/>
  <c r="BB727" i="2"/>
  <c r="BA727" i="2"/>
  <c r="AZ727" i="2"/>
  <c r="AY727" i="2"/>
  <c r="AX727" i="2"/>
  <c r="AW727" i="2"/>
  <c r="AV727" i="2"/>
  <c r="AU727" i="2"/>
  <c r="AT727" i="2"/>
  <c r="H727" i="1"/>
  <c r="AS727" i="2"/>
  <c r="G727" i="1"/>
  <c r="AR727" i="2"/>
  <c r="AQ727" i="2"/>
  <c r="AP727" i="2"/>
  <c r="D727" i="1"/>
  <c r="AO727" i="2"/>
  <c r="AN727" i="2"/>
  <c r="AM727" i="2"/>
  <c r="AJ727" i="2"/>
  <c r="AI727" i="2"/>
  <c r="BM726" i="2"/>
  <c r="AA726" i="1"/>
  <c r="BL726" i="2"/>
  <c r="BK726" i="2"/>
  <c r="BJ726" i="2"/>
  <c r="X726" i="1"/>
  <c r="BI726" i="2"/>
  <c r="BH726" i="2"/>
  <c r="BG726" i="2"/>
  <c r="U726" i="1"/>
  <c r="BF726" i="2"/>
  <c r="BE726" i="2"/>
  <c r="S726" i="1"/>
  <c r="BD726" i="2"/>
  <c r="BC726" i="2"/>
  <c r="BB726" i="2"/>
  <c r="BA726" i="2"/>
  <c r="AZ726" i="2"/>
  <c r="AY726" i="2"/>
  <c r="AX726" i="2"/>
  <c r="AW726" i="2"/>
  <c r="AV726" i="2"/>
  <c r="AU726" i="2"/>
  <c r="AT726" i="2"/>
  <c r="H726" i="1"/>
  <c r="AS726" i="2"/>
  <c r="G726" i="1"/>
  <c r="AR726" i="2"/>
  <c r="AQ726" i="2"/>
  <c r="AP726" i="2"/>
  <c r="D726" i="1"/>
  <c r="AO726" i="2"/>
  <c r="AN726" i="2"/>
  <c r="AM726" i="2"/>
  <c r="AJ726" i="2"/>
  <c r="AI726" i="2"/>
  <c r="BM725" i="2"/>
  <c r="AA725" i="1"/>
  <c r="BL725" i="2"/>
  <c r="BK725" i="2"/>
  <c r="BJ725" i="2"/>
  <c r="X725" i="1"/>
  <c r="BI725" i="2"/>
  <c r="BH725" i="2"/>
  <c r="BG725" i="2"/>
  <c r="U725" i="1"/>
  <c r="BF725" i="2"/>
  <c r="BE725" i="2"/>
  <c r="S725" i="1"/>
  <c r="BD725" i="2"/>
  <c r="BC725" i="2"/>
  <c r="BB725" i="2"/>
  <c r="BA725" i="2"/>
  <c r="AZ725" i="2"/>
  <c r="AY725" i="2"/>
  <c r="AX725" i="2"/>
  <c r="AW725" i="2"/>
  <c r="AV725" i="2"/>
  <c r="AU725" i="2"/>
  <c r="AT725" i="2"/>
  <c r="H725" i="1"/>
  <c r="AS725" i="2"/>
  <c r="G725" i="1"/>
  <c r="AR725" i="2"/>
  <c r="AQ725" i="2"/>
  <c r="AP725" i="2"/>
  <c r="D725" i="1"/>
  <c r="AO725" i="2"/>
  <c r="AN725" i="2"/>
  <c r="AM725" i="2"/>
  <c r="AJ725" i="2"/>
  <c r="AI725" i="2"/>
  <c r="BM724" i="2"/>
  <c r="AA724" i="1"/>
  <c r="BL724" i="2"/>
  <c r="BK724" i="2"/>
  <c r="BJ724" i="2"/>
  <c r="X724" i="1"/>
  <c r="BI724" i="2"/>
  <c r="BH724" i="2"/>
  <c r="BG724" i="2"/>
  <c r="U724" i="1"/>
  <c r="BF724" i="2"/>
  <c r="BE724" i="2"/>
  <c r="S724" i="1"/>
  <c r="BD724" i="2"/>
  <c r="BC724" i="2"/>
  <c r="BB724" i="2"/>
  <c r="BA724" i="2"/>
  <c r="AZ724" i="2"/>
  <c r="AY724" i="2"/>
  <c r="AX724" i="2"/>
  <c r="AW724" i="2"/>
  <c r="AV724" i="2"/>
  <c r="AU724" i="2"/>
  <c r="AT724" i="2"/>
  <c r="H724" i="1"/>
  <c r="AS724" i="2"/>
  <c r="G724" i="1"/>
  <c r="AR724" i="2"/>
  <c r="AQ724" i="2"/>
  <c r="AP724" i="2"/>
  <c r="D724" i="1"/>
  <c r="AO724" i="2"/>
  <c r="AN724" i="2"/>
  <c r="AM724" i="2"/>
  <c r="AJ724" i="2"/>
  <c r="AI724" i="2"/>
  <c r="BM723" i="2"/>
  <c r="AA723" i="1"/>
  <c r="BL723" i="2"/>
  <c r="BK723" i="2"/>
  <c r="BJ723" i="2"/>
  <c r="X723" i="1"/>
  <c r="BI723" i="2"/>
  <c r="BH723" i="2"/>
  <c r="BG723" i="2"/>
  <c r="U723" i="1"/>
  <c r="BF723" i="2"/>
  <c r="BE723" i="2"/>
  <c r="S723" i="1"/>
  <c r="BD723" i="2"/>
  <c r="BC723" i="2"/>
  <c r="BB723" i="2"/>
  <c r="BA723" i="2"/>
  <c r="AZ723" i="2"/>
  <c r="AY723" i="2"/>
  <c r="AX723" i="2"/>
  <c r="AW723" i="2"/>
  <c r="AV723" i="2"/>
  <c r="AU723" i="2"/>
  <c r="AT723" i="2"/>
  <c r="H723" i="1"/>
  <c r="AS723" i="2"/>
  <c r="G723" i="1"/>
  <c r="AR723" i="2"/>
  <c r="AQ723" i="2"/>
  <c r="AP723" i="2"/>
  <c r="D723" i="1"/>
  <c r="AO723" i="2"/>
  <c r="AN723" i="2"/>
  <c r="AM723" i="2"/>
  <c r="AJ723" i="2"/>
  <c r="AI723" i="2"/>
  <c r="BM722" i="2"/>
  <c r="AA722" i="1"/>
  <c r="BL722" i="2"/>
  <c r="BK722" i="2"/>
  <c r="BJ722" i="2"/>
  <c r="X722" i="1"/>
  <c r="BI722" i="2"/>
  <c r="BH722" i="2"/>
  <c r="BG722" i="2"/>
  <c r="U722" i="1"/>
  <c r="BF722" i="2"/>
  <c r="BE722" i="2"/>
  <c r="S722" i="1"/>
  <c r="BD722" i="2"/>
  <c r="BC722" i="2"/>
  <c r="BB722" i="2"/>
  <c r="BA722" i="2"/>
  <c r="AZ722" i="2"/>
  <c r="AY722" i="2"/>
  <c r="AX722" i="2"/>
  <c r="AW722" i="2"/>
  <c r="AV722" i="2"/>
  <c r="AU722" i="2"/>
  <c r="AT722" i="2"/>
  <c r="H722" i="1"/>
  <c r="AS722" i="2"/>
  <c r="G722" i="1"/>
  <c r="AR722" i="2"/>
  <c r="AQ722" i="2"/>
  <c r="AP722" i="2"/>
  <c r="D722" i="1"/>
  <c r="AO722" i="2"/>
  <c r="AN722" i="2"/>
  <c r="AM722" i="2"/>
  <c r="AJ722" i="2"/>
  <c r="AI722" i="2"/>
  <c r="BM721" i="2"/>
  <c r="AA721" i="1"/>
  <c r="BL721" i="2"/>
  <c r="BK721" i="2"/>
  <c r="BJ721" i="2"/>
  <c r="X721" i="1"/>
  <c r="BI721" i="2"/>
  <c r="BH721" i="2"/>
  <c r="BG721" i="2"/>
  <c r="U721" i="1"/>
  <c r="BF721" i="2"/>
  <c r="BE721" i="2"/>
  <c r="S721" i="1"/>
  <c r="BD721" i="2"/>
  <c r="BC721" i="2"/>
  <c r="BB721" i="2"/>
  <c r="BA721" i="2"/>
  <c r="AZ721" i="2"/>
  <c r="AY721" i="2"/>
  <c r="AX721" i="2"/>
  <c r="AW721" i="2"/>
  <c r="AV721" i="2"/>
  <c r="AU721" i="2"/>
  <c r="AT721" i="2"/>
  <c r="H721" i="1"/>
  <c r="AS721" i="2"/>
  <c r="G721" i="1"/>
  <c r="AR721" i="2"/>
  <c r="AQ721" i="2"/>
  <c r="AP721" i="2"/>
  <c r="D721" i="1"/>
  <c r="AO721" i="2"/>
  <c r="AN721" i="2"/>
  <c r="AM721" i="2"/>
  <c r="AJ721" i="2"/>
  <c r="AI721" i="2"/>
  <c r="BM720" i="2"/>
  <c r="AA720" i="1"/>
  <c r="BL720" i="2"/>
  <c r="BK720" i="2"/>
  <c r="BJ720" i="2"/>
  <c r="X720" i="1"/>
  <c r="BI720" i="2"/>
  <c r="BH720" i="2"/>
  <c r="BG720" i="2"/>
  <c r="U720" i="1"/>
  <c r="BF720" i="2"/>
  <c r="BE720" i="2"/>
  <c r="S720" i="1"/>
  <c r="BD720" i="2"/>
  <c r="BC720" i="2"/>
  <c r="BB720" i="2"/>
  <c r="BA720" i="2"/>
  <c r="AZ720" i="2"/>
  <c r="AY720" i="2"/>
  <c r="AX720" i="2"/>
  <c r="AW720" i="2"/>
  <c r="AV720" i="2"/>
  <c r="AU720" i="2"/>
  <c r="AT720" i="2"/>
  <c r="H720" i="1"/>
  <c r="AS720" i="2"/>
  <c r="G720" i="1"/>
  <c r="AR720" i="2"/>
  <c r="AQ720" i="2"/>
  <c r="AP720" i="2"/>
  <c r="D720" i="1"/>
  <c r="AO720" i="2"/>
  <c r="AN720" i="2"/>
  <c r="AM720" i="2"/>
  <c r="AJ720" i="2"/>
  <c r="AI720" i="2"/>
  <c r="BM719" i="2"/>
  <c r="AA719" i="1"/>
  <c r="BL719" i="2"/>
  <c r="BK719" i="2"/>
  <c r="BJ719" i="2"/>
  <c r="X719" i="1"/>
  <c r="BI719" i="2"/>
  <c r="BH719" i="2"/>
  <c r="BG719" i="2"/>
  <c r="U719" i="1"/>
  <c r="BF719" i="2"/>
  <c r="BE719" i="2"/>
  <c r="S719" i="1"/>
  <c r="BD719" i="2"/>
  <c r="BC719" i="2"/>
  <c r="BB719" i="2"/>
  <c r="BA719" i="2"/>
  <c r="AZ719" i="2"/>
  <c r="AY719" i="2"/>
  <c r="AX719" i="2"/>
  <c r="AW719" i="2"/>
  <c r="AV719" i="2"/>
  <c r="AU719" i="2"/>
  <c r="AT719" i="2"/>
  <c r="H719" i="1"/>
  <c r="AS719" i="2"/>
  <c r="G719" i="1"/>
  <c r="AR719" i="2"/>
  <c r="AQ719" i="2"/>
  <c r="AP719" i="2"/>
  <c r="D719" i="1"/>
  <c r="AO719" i="2"/>
  <c r="AN719" i="2"/>
  <c r="AM719" i="2"/>
  <c r="AJ719" i="2"/>
  <c r="AI719" i="2"/>
  <c r="BM718" i="2"/>
  <c r="AA718" i="1"/>
  <c r="BL718" i="2"/>
  <c r="BK718" i="2"/>
  <c r="BJ718" i="2"/>
  <c r="X718" i="1"/>
  <c r="BI718" i="2"/>
  <c r="BH718" i="2"/>
  <c r="BG718" i="2"/>
  <c r="U718" i="1"/>
  <c r="BF718" i="2"/>
  <c r="BE718" i="2"/>
  <c r="S718" i="1"/>
  <c r="BD718" i="2"/>
  <c r="BC718" i="2"/>
  <c r="BB718" i="2"/>
  <c r="BA718" i="2"/>
  <c r="AZ718" i="2"/>
  <c r="AY718" i="2"/>
  <c r="AX718" i="2"/>
  <c r="AW718" i="2"/>
  <c r="AV718" i="2"/>
  <c r="AU718" i="2"/>
  <c r="AT718" i="2"/>
  <c r="H718" i="1"/>
  <c r="AS718" i="2"/>
  <c r="G718" i="1"/>
  <c r="AR718" i="2"/>
  <c r="AQ718" i="2"/>
  <c r="AP718" i="2"/>
  <c r="D718" i="1"/>
  <c r="AO718" i="2"/>
  <c r="AN718" i="2"/>
  <c r="AM718" i="2"/>
  <c r="AJ718" i="2"/>
  <c r="AI718" i="2"/>
  <c r="BM717" i="2"/>
  <c r="AA717" i="1"/>
  <c r="BL717" i="2"/>
  <c r="BK717" i="2"/>
  <c r="BJ717" i="2"/>
  <c r="X717" i="1"/>
  <c r="BI717" i="2"/>
  <c r="BH717" i="2"/>
  <c r="BG717" i="2"/>
  <c r="U717" i="1"/>
  <c r="BF717" i="2"/>
  <c r="BE717" i="2"/>
  <c r="S717" i="1"/>
  <c r="BD717" i="2"/>
  <c r="BC717" i="2"/>
  <c r="BB717" i="2"/>
  <c r="BA717" i="2"/>
  <c r="AZ717" i="2"/>
  <c r="AY717" i="2"/>
  <c r="AX717" i="2"/>
  <c r="AW717" i="2"/>
  <c r="AV717" i="2"/>
  <c r="AU717" i="2"/>
  <c r="AT717" i="2"/>
  <c r="H717" i="1"/>
  <c r="AS717" i="2"/>
  <c r="G717" i="1"/>
  <c r="AR717" i="2"/>
  <c r="AQ717" i="2"/>
  <c r="AP717" i="2"/>
  <c r="D717" i="1"/>
  <c r="AO717" i="2"/>
  <c r="AN717" i="2"/>
  <c r="AM717" i="2"/>
  <c r="AJ717" i="2"/>
  <c r="AI717" i="2"/>
  <c r="BM716" i="2"/>
  <c r="AA716" i="1"/>
  <c r="BL716" i="2"/>
  <c r="BK716" i="2"/>
  <c r="BJ716" i="2"/>
  <c r="X716" i="1"/>
  <c r="BI716" i="2"/>
  <c r="BH716" i="2"/>
  <c r="BG716" i="2"/>
  <c r="U716" i="1"/>
  <c r="BF716" i="2"/>
  <c r="BE716" i="2"/>
  <c r="S716" i="1"/>
  <c r="BD716" i="2"/>
  <c r="BC716" i="2"/>
  <c r="BB716" i="2"/>
  <c r="BA716" i="2"/>
  <c r="AZ716" i="2"/>
  <c r="AY716" i="2"/>
  <c r="AX716" i="2"/>
  <c r="AW716" i="2"/>
  <c r="AV716" i="2"/>
  <c r="AU716" i="2"/>
  <c r="AT716" i="2"/>
  <c r="H716" i="1"/>
  <c r="AS716" i="2"/>
  <c r="G716" i="1"/>
  <c r="AR716" i="2"/>
  <c r="AQ716" i="2"/>
  <c r="AP716" i="2"/>
  <c r="D716" i="1"/>
  <c r="AO716" i="2"/>
  <c r="AN716" i="2"/>
  <c r="AM716" i="2"/>
  <c r="AJ716" i="2"/>
  <c r="AI716" i="2"/>
  <c r="BM715" i="2"/>
  <c r="AA715" i="1"/>
  <c r="BL715" i="2"/>
  <c r="BK715" i="2"/>
  <c r="BJ715" i="2"/>
  <c r="X715" i="1"/>
  <c r="BI715" i="2"/>
  <c r="BH715" i="2"/>
  <c r="BG715" i="2"/>
  <c r="U715" i="1"/>
  <c r="BF715" i="2"/>
  <c r="BE715" i="2"/>
  <c r="S715" i="1"/>
  <c r="BD715" i="2"/>
  <c r="BC715" i="2"/>
  <c r="BB715" i="2"/>
  <c r="BA715" i="2"/>
  <c r="AZ715" i="2"/>
  <c r="AY715" i="2"/>
  <c r="AX715" i="2"/>
  <c r="AW715" i="2"/>
  <c r="AV715" i="2"/>
  <c r="AU715" i="2"/>
  <c r="AT715" i="2"/>
  <c r="H715" i="1"/>
  <c r="AS715" i="2"/>
  <c r="G715" i="1"/>
  <c r="AR715" i="2"/>
  <c r="AQ715" i="2"/>
  <c r="AP715" i="2"/>
  <c r="D715" i="1"/>
  <c r="AO715" i="2"/>
  <c r="AN715" i="2"/>
  <c r="AM715" i="2"/>
  <c r="AJ715" i="2"/>
  <c r="AI715" i="2"/>
  <c r="BM714" i="2"/>
  <c r="AA714" i="1"/>
  <c r="BL714" i="2"/>
  <c r="BK714" i="2"/>
  <c r="BJ714" i="2"/>
  <c r="X714" i="1"/>
  <c r="BI714" i="2"/>
  <c r="BH714" i="2"/>
  <c r="BG714" i="2"/>
  <c r="U714" i="1"/>
  <c r="BF714" i="2"/>
  <c r="BE714" i="2"/>
  <c r="S714" i="1"/>
  <c r="BD714" i="2"/>
  <c r="BC714" i="2"/>
  <c r="BB714" i="2"/>
  <c r="BA714" i="2"/>
  <c r="AZ714" i="2"/>
  <c r="AY714" i="2"/>
  <c r="AX714" i="2"/>
  <c r="AW714" i="2"/>
  <c r="AV714" i="2"/>
  <c r="AU714" i="2"/>
  <c r="AT714" i="2"/>
  <c r="H714" i="1"/>
  <c r="AS714" i="2"/>
  <c r="G714" i="1"/>
  <c r="AR714" i="2"/>
  <c r="AQ714" i="2"/>
  <c r="AP714" i="2"/>
  <c r="D714" i="1"/>
  <c r="AO714" i="2"/>
  <c r="AN714" i="2"/>
  <c r="AM714" i="2"/>
  <c r="AJ714" i="2"/>
  <c r="AI714" i="2"/>
  <c r="BM713" i="2"/>
  <c r="AA713" i="1"/>
  <c r="BL713" i="2"/>
  <c r="BK713" i="2"/>
  <c r="BJ713" i="2"/>
  <c r="X713" i="1"/>
  <c r="BI713" i="2"/>
  <c r="BH713" i="2"/>
  <c r="BG713" i="2"/>
  <c r="U713" i="1"/>
  <c r="BF713" i="2"/>
  <c r="BE713" i="2"/>
  <c r="S713" i="1"/>
  <c r="BD713" i="2"/>
  <c r="BC713" i="2"/>
  <c r="BB713" i="2"/>
  <c r="BA713" i="2"/>
  <c r="AZ713" i="2"/>
  <c r="AY713" i="2"/>
  <c r="AX713" i="2"/>
  <c r="AW713" i="2"/>
  <c r="AV713" i="2"/>
  <c r="AU713" i="2"/>
  <c r="AT713" i="2"/>
  <c r="H713" i="1"/>
  <c r="AS713" i="2"/>
  <c r="G713" i="1"/>
  <c r="AR713" i="2"/>
  <c r="AQ713" i="2"/>
  <c r="AP713" i="2"/>
  <c r="D713" i="1"/>
  <c r="AO713" i="2"/>
  <c r="AN713" i="2"/>
  <c r="AM713" i="2"/>
  <c r="AJ713" i="2"/>
  <c r="AI713" i="2"/>
  <c r="BM712" i="2"/>
  <c r="AA712" i="1"/>
  <c r="BL712" i="2"/>
  <c r="BK712" i="2"/>
  <c r="BJ712" i="2"/>
  <c r="X712" i="1"/>
  <c r="BI712" i="2"/>
  <c r="BH712" i="2"/>
  <c r="BG712" i="2"/>
  <c r="U712" i="1"/>
  <c r="BF712" i="2"/>
  <c r="BE712" i="2"/>
  <c r="S712" i="1"/>
  <c r="BD712" i="2"/>
  <c r="BC712" i="2"/>
  <c r="BB712" i="2"/>
  <c r="BA712" i="2"/>
  <c r="AZ712" i="2"/>
  <c r="AY712" i="2"/>
  <c r="AX712" i="2"/>
  <c r="AW712" i="2"/>
  <c r="AV712" i="2"/>
  <c r="AU712" i="2"/>
  <c r="AT712" i="2"/>
  <c r="H712" i="1"/>
  <c r="AS712" i="2"/>
  <c r="G712" i="1"/>
  <c r="AR712" i="2"/>
  <c r="AQ712" i="2"/>
  <c r="AP712" i="2"/>
  <c r="D712" i="1"/>
  <c r="AO712" i="2"/>
  <c r="AN712" i="2"/>
  <c r="AM712" i="2"/>
  <c r="AJ712" i="2"/>
  <c r="AI712" i="2"/>
  <c r="BM711" i="2"/>
  <c r="AA711" i="1"/>
  <c r="BL711" i="2"/>
  <c r="BK711" i="2"/>
  <c r="BJ711" i="2"/>
  <c r="X711" i="1"/>
  <c r="BI711" i="2"/>
  <c r="BH711" i="2"/>
  <c r="BG711" i="2"/>
  <c r="U711" i="1"/>
  <c r="BF711" i="2"/>
  <c r="BE711" i="2"/>
  <c r="S711" i="1"/>
  <c r="BD711" i="2"/>
  <c r="BC711" i="2"/>
  <c r="BB711" i="2"/>
  <c r="BA711" i="2"/>
  <c r="AZ711" i="2"/>
  <c r="AY711" i="2"/>
  <c r="AX711" i="2"/>
  <c r="AW711" i="2"/>
  <c r="AV711" i="2"/>
  <c r="AU711" i="2"/>
  <c r="AT711" i="2"/>
  <c r="H711" i="1"/>
  <c r="AS711" i="2"/>
  <c r="G711" i="1"/>
  <c r="AR711" i="2"/>
  <c r="AQ711" i="2"/>
  <c r="AP711" i="2"/>
  <c r="D711" i="1"/>
  <c r="AO711" i="2"/>
  <c r="AN711" i="2"/>
  <c r="AM711" i="2"/>
  <c r="AJ711" i="2"/>
  <c r="AI711" i="2"/>
  <c r="BM710" i="2"/>
  <c r="AA710" i="1"/>
  <c r="BL710" i="2"/>
  <c r="BK710" i="2"/>
  <c r="BJ710" i="2"/>
  <c r="X710" i="1"/>
  <c r="BI710" i="2"/>
  <c r="BH710" i="2"/>
  <c r="BG710" i="2"/>
  <c r="U710" i="1"/>
  <c r="BF710" i="2"/>
  <c r="BE710" i="2"/>
  <c r="S710" i="1"/>
  <c r="BD710" i="2"/>
  <c r="BC710" i="2"/>
  <c r="BB710" i="2"/>
  <c r="BA710" i="2"/>
  <c r="AZ710" i="2"/>
  <c r="AY710" i="2"/>
  <c r="AX710" i="2"/>
  <c r="AW710" i="2"/>
  <c r="AV710" i="2"/>
  <c r="AU710" i="2"/>
  <c r="AT710" i="2"/>
  <c r="H710" i="1"/>
  <c r="AS710" i="2"/>
  <c r="G710" i="1"/>
  <c r="AR710" i="2"/>
  <c r="AQ710" i="2"/>
  <c r="AP710" i="2"/>
  <c r="D710" i="1"/>
  <c r="AO710" i="2"/>
  <c r="AN710" i="2"/>
  <c r="AM710" i="2"/>
  <c r="AJ710" i="2"/>
  <c r="AI710" i="2"/>
  <c r="BM709" i="2"/>
  <c r="AA709" i="1"/>
  <c r="BL709" i="2"/>
  <c r="BK709" i="2"/>
  <c r="BJ709" i="2"/>
  <c r="X709" i="1"/>
  <c r="BI709" i="2"/>
  <c r="BH709" i="2"/>
  <c r="BG709" i="2"/>
  <c r="U709" i="1"/>
  <c r="BF709" i="2"/>
  <c r="BE709" i="2"/>
  <c r="S709" i="1"/>
  <c r="BD709" i="2"/>
  <c r="BC709" i="2"/>
  <c r="BB709" i="2"/>
  <c r="BA709" i="2"/>
  <c r="AZ709" i="2"/>
  <c r="AY709" i="2"/>
  <c r="AX709" i="2"/>
  <c r="AW709" i="2"/>
  <c r="AV709" i="2"/>
  <c r="AU709" i="2"/>
  <c r="AT709" i="2"/>
  <c r="H709" i="1"/>
  <c r="AS709" i="2"/>
  <c r="G709" i="1"/>
  <c r="AR709" i="2"/>
  <c r="AQ709" i="2"/>
  <c r="AP709" i="2"/>
  <c r="D709" i="1"/>
  <c r="AO709" i="2"/>
  <c r="AN709" i="2"/>
  <c r="AM709" i="2"/>
  <c r="AJ709" i="2"/>
  <c r="AI709" i="2"/>
  <c r="BM708" i="2"/>
  <c r="AA708" i="1"/>
  <c r="BL708" i="2"/>
  <c r="BK708" i="2"/>
  <c r="BJ708" i="2"/>
  <c r="X708" i="1"/>
  <c r="BI708" i="2"/>
  <c r="BH708" i="2"/>
  <c r="BG708" i="2"/>
  <c r="U708" i="1"/>
  <c r="BF708" i="2"/>
  <c r="BE708" i="2"/>
  <c r="S708" i="1"/>
  <c r="BD708" i="2"/>
  <c r="BC708" i="2"/>
  <c r="BB708" i="2"/>
  <c r="BA708" i="2"/>
  <c r="AZ708" i="2"/>
  <c r="AY708" i="2"/>
  <c r="AX708" i="2"/>
  <c r="AW708" i="2"/>
  <c r="AV708" i="2"/>
  <c r="AU708" i="2"/>
  <c r="AT708" i="2"/>
  <c r="H708" i="1"/>
  <c r="AS708" i="2"/>
  <c r="G708" i="1"/>
  <c r="AR708" i="2"/>
  <c r="AQ708" i="2"/>
  <c r="AP708" i="2"/>
  <c r="D708" i="1"/>
  <c r="AO708" i="2"/>
  <c r="AN708" i="2"/>
  <c r="AM708" i="2"/>
  <c r="AJ708" i="2"/>
  <c r="AI708" i="2"/>
  <c r="BM707" i="2"/>
  <c r="AA707" i="1"/>
  <c r="BL707" i="2"/>
  <c r="BK707" i="2"/>
  <c r="BJ707" i="2"/>
  <c r="X707" i="1"/>
  <c r="BI707" i="2"/>
  <c r="BH707" i="2"/>
  <c r="BG707" i="2"/>
  <c r="U707" i="1"/>
  <c r="BF707" i="2"/>
  <c r="BE707" i="2"/>
  <c r="S707" i="1"/>
  <c r="BD707" i="2"/>
  <c r="BC707" i="2"/>
  <c r="BB707" i="2"/>
  <c r="BA707" i="2"/>
  <c r="AZ707" i="2"/>
  <c r="AY707" i="2"/>
  <c r="AX707" i="2"/>
  <c r="AW707" i="2"/>
  <c r="AV707" i="2"/>
  <c r="AU707" i="2"/>
  <c r="AT707" i="2"/>
  <c r="H707" i="1"/>
  <c r="AS707" i="2"/>
  <c r="G707" i="1"/>
  <c r="AR707" i="2"/>
  <c r="AQ707" i="2"/>
  <c r="AP707" i="2"/>
  <c r="D707" i="1"/>
  <c r="AO707" i="2"/>
  <c r="AN707" i="2"/>
  <c r="AM707" i="2"/>
  <c r="AJ707" i="2"/>
  <c r="AI707" i="2"/>
  <c r="BM706" i="2"/>
  <c r="AA706" i="1"/>
  <c r="BL706" i="2"/>
  <c r="BK706" i="2"/>
  <c r="BJ706" i="2"/>
  <c r="X706" i="1"/>
  <c r="BI706" i="2"/>
  <c r="BH706" i="2"/>
  <c r="BG706" i="2"/>
  <c r="U706" i="1"/>
  <c r="BF706" i="2"/>
  <c r="BE706" i="2"/>
  <c r="S706" i="1"/>
  <c r="BD706" i="2"/>
  <c r="BC706" i="2"/>
  <c r="BB706" i="2"/>
  <c r="BA706" i="2"/>
  <c r="AZ706" i="2"/>
  <c r="AY706" i="2"/>
  <c r="AX706" i="2"/>
  <c r="AW706" i="2"/>
  <c r="AV706" i="2"/>
  <c r="AU706" i="2"/>
  <c r="AT706" i="2"/>
  <c r="H706" i="1"/>
  <c r="AS706" i="2"/>
  <c r="G706" i="1"/>
  <c r="AR706" i="2"/>
  <c r="AQ706" i="2"/>
  <c r="AP706" i="2"/>
  <c r="D706" i="1"/>
  <c r="AO706" i="2"/>
  <c r="AN706" i="2"/>
  <c r="AM706" i="2"/>
  <c r="AJ706" i="2"/>
  <c r="AI706" i="2"/>
  <c r="BM705" i="2"/>
  <c r="AA705" i="1"/>
  <c r="BL705" i="2"/>
  <c r="BK705" i="2"/>
  <c r="BJ705" i="2"/>
  <c r="X705" i="1"/>
  <c r="BI705" i="2"/>
  <c r="BH705" i="2"/>
  <c r="BG705" i="2"/>
  <c r="U705" i="1"/>
  <c r="BF705" i="2"/>
  <c r="BE705" i="2"/>
  <c r="S705" i="1"/>
  <c r="BD705" i="2"/>
  <c r="BC705" i="2"/>
  <c r="BB705" i="2"/>
  <c r="BA705" i="2"/>
  <c r="AZ705" i="2"/>
  <c r="AY705" i="2"/>
  <c r="AX705" i="2"/>
  <c r="AW705" i="2"/>
  <c r="AV705" i="2"/>
  <c r="AU705" i="2"/>
  <c r="AT705" i="2"/>
  <c r="H705" i="1"/>
  <c r="AS705" i="2"/>
  <c r="G705" i="1"/>
  <c r="AR705" i="2"/>
  <c r="AQ705" i="2"/>
  <c r="AP705" i="2"/>
  <c r="D705" i="1"/>
  <c r="AO705" i="2"/>
  <c r="AN705" i="2"/>
  <c r="AM705" i="2"/>
  <c r="AJ705" i="2"/>
  <c r="AI705" i="2"/>
  <c r="BM704" i="2"/>
  <c r="AA704" i="1"/>
  <c r="BL704" i="2"/>
  <c r="BK704" i="2"/>
  <c r="BJ704" i="2"/>
  <c r="X704" i="1"/>
  <c r="BI704" i="2"/>
  <c r="BH704" i="2"/>
  <c r="BG704" i="2"/>
  <c r="U704" i="1"/>
  <c r="BF704" i="2"/>
  <c r="BE704" i="2"/>
  <c r="S704" i="1"/>
  <c r="BD704" i="2"/>
  <c r="BC704" i="2"/>
  <c r="BB704" i="2"/>
  <c r="BA704" i="2"/>
  <c r="AZ704" i="2"/>
  <c r="AY704" i="2"/>
  <c r="AX704" i="2"/>
  <c r="AW704" i="2"/>
  <c r="AV704" i="2"/>
  <c r="AU704" i="2"/>
  <c r="AT704" i="2"/>
  <c r="H704" i="1"/>
  <c r="AS704" i="2"/>
  <c r="G704" i="1"/>
  <c r="AR704" i="2"/>
  <c r="AQ704" i="2"/>
  <c r="AP704" i="2"/>
  <c r="D704" i="1"/>
  <c r="AO704" i="2"/>
  <c r="AN704" i="2"/>
  <c r="AM704" i="2"/>
  <c r="AJ704" i="2"/>
  <c r="AI704" i="2"/>
  <c r="BM703" i="2"/>
  <c r="AA703" i="1"/>
  <c r="BL703" i="2"/>
  <c r="BK703" i="2"/>
  <c r="BJ703" i="2"/>
  <c r="X703" i="1"/>
  <c r="BI703" i="2"/>
  <c r="BH703" i="2"/>
  <c r="BG703" i="2"/>
  <c r="U703" i="1"/>
  <c r="BF703" i="2"/>
  <c r="BE703" i="2"/>
  <c r="S703" i="1"/>
  <c r="BD703" i="2"/>
  <c r="BC703" i="2"/>
  <c r="BB703" i="2"/>
  <c r="BA703" i="2"/>
  <c r="AZ703" i="2"/>
  <c r="AY703" i="2"/>
  <c r="AX703" i="2"/>
  <c r="AW703" i="2"/>
  <c r="AV703" i="2"/>
  <c r="AU703" i="2"/>
  <c r="AT703" i="2"/>
  <c r="H703" i="1"/>
  <c r="AS703" i="2"/>
  <c r="G703" i="1"/>
  <c r="AR703" i="2"/>
  <c r="AQ703" i="2"/>
  <c r="AP703" i="2"/>
  <c r="D703" i="1"/>
  <c r="AO703" i="2"/>
  <c r="AN703" i="2"/>
  <c r="AM703" i="2"/>
  <c r="AJ703" i="2"/>
  <c r="AI703" i="2"/>
  <c r="BM702" i="2"/>
  <c r="AA702" i="1"/>
  <c r="BL702" i="2"/>
  <c r="BK702" i="2"/>
  <c r="BJ702" i="2"/>
  <c r="X702" i="1"/>
  <c r="BI702" i="2"/>
  <c r="BH702" i="2"/>
  <c r="BG702" i="2"/>
  <c r="U702" i="1"/>
  <c r="BF702" i="2"/>
  <c r="BE702" i="2"/>
  <c r="S702" i="1"/>
  <c r="BD702" i="2"/>
  <c r="BC702" i="2"/>
  <c r="BB702" i="2"/>
  <c r="BA702" i="2"/>
  <c r="AZ702" i="2"/>
  <c r="AY702" i="2"/>
  <c r="AX702" i="2"/>
  <c r="AW702" i="2"/>
  <c r="AV702" i="2"/>
  <c r="AU702" i="2"/>
  <c r="AT702" i="2"/>
  <c r="H702" i="1"/>
  <c r="AS702" i="2"/>
  <c r="G702" i="1"/>
  <c r="AR702" i="2"/>
  <c r="AQ702" i="2"/>
  <c r="AP702" i="2"/>
  <c r="D702" i="1"/>
  <c r="AO702" i="2"/>
  <c r="AN702" i="2"/>
  <c r="AM702" i="2"/>
  <c r="AJ702" i="2"/>
  <c r="AI702" i="2"/>
  <c r="BM701" i="2"/>
  <c r="AA701" i="1"/>
  <c r="BL701" i="2"/>
  <c r="BK701" i="2"/>
  <c r="BJ701" i="2"/>
  <c r="X701" i="1"/>
  <c r="BI701" i="2"/>
  <c r="BH701" i="2"/>
  <c r="BG701" i="2"/>
  <c r="U701" i="1"/>
  <c r="BF701" i="2"/>
  <c r="BE701" i="2"/>
  <c r="S701" i="1"/>
  <c r="BD701" i="2"/>
  <c r="BC701" i="2"/>
  <c r="BB701" i="2"/>
  <c r="BA701" i="2"/>
  <c r="AZ701" i="2"/>
  <c r="AY701" i="2"/>
  <c r="AX701" i="2"/>
  <c r="AW701" i="2"/>
  <c r="AV701" i="2"/>
  <c r="AU701" i="2"/>
  <c r="AT701" i="2"/>
  <c r="H701" i="1"/>
  <c r="AS701" i="2"/>
  <c r="G701" i="1"/>
  <c r="AR701" i="2"/>
  <c r="AQ701" i="2"/>
  <c r="AP701" i="2"/>
  <c r="D701" i="1"/>
  <c r="AO701" i="2"/>
  <c r="AN701" i="2"/>
  <c r="AM701" i="2"/>
  <c r="AJ701" i="2"/>
  <c r="AI701" i="2"/>
  <c r="BM700" i="2"/>
  <c r="AA700" i="1"/>
  <c r="BL700" i="2"/>
  <c r="BK700" i="2"/>
  <c r="BJ700" i="2"/>
  <c r="X700" i="1"/>
  <c r="BI700" i="2"/>
  <c r="BH700" i="2"/>
  <c r="BG700" i="2"/>
  <c r="U700" i="1"/>
  <c r="BF700" i="2"/>
  <c r="BE700" i="2"/>
  <c r="S700" i="1"/>
  <c r="BD700" i="2"/>
  <c r="BC700" i="2"/>
  <c r="BB700" i="2"/>
  <c r="BA700" i="2"/>
  <c r="AZ700" i="2"/>
  <c r="AY700" i="2"/>
  <c r="AX700" i="2"/>
  <c r="AW700" i="2"/>
  <c r="AV700" i="2"/>
  <c r="AU700" i="2"/>
  <c r="AT700" i="2"/>
  <c r="H700" i="1"/>
  <c r="AS700" i="2"/>
  <c r="G700" i="1"/>
  <c r="AR700" i="2"/>
  <c r="AQ700" i="2"/>
  <c r="AP700" i="2"/>
  <c r="D700" i="1"/>
  <c r="AO700" i="2"/>
  <c r="AN700" i="2"/>
  <c r="AM700" i="2"/>
  <c r="AJ700" i="2"/>
  <c r="AI700" i="2"/>
  <c r="BM699" i="2"/>
  <c r="AA699" i="1"/>
  <c r="BL699" i="2"/>
  <c r="BK699" i="2"/>
  <c r="BJ699" i="2"/>
  <c r="X699" i="1"/>
  <c r="BI699" i="2"/>
  <c r="BH699" i="2"/>
  <c r="BG699" i="2"/>
  <c r="U699" i="1"/>
  <c r="BF699" i="2"/>
  <c r="BE699" i="2"/>
  <c r="S699" i="1"/>
  <c r="BD699" i="2"/>
  <c r="BC699" i="2"/>
  <c r="BB699" i="2"/>
  <c r="BA699" i="2"/>
  <c r="AZ699" i="2"/>
  <c r="AY699" i="2"/>
  <c r="AX699" i="2"/>
  <c r="AW699" i="2"/>
  <c r="AV699" i="2"/>
  <c r="AU699" i="2"/>
  <c r="AT699" i="2"/>
  <c r="H699" i="1"/>
  <c r="AS699" i="2"/>
  <c r="G699" i="1"/>
  <c r="AR699" i="2"/>
  <c r="AQ699" i="2"/>
  <c r="AP699" i="2"/>
  <c r="D699" i="1"/>
  <c r="AO699" i="2"/>
  <c r="AN699" i="2"/>
  <c r="AM699" i="2"/>
  <c r="AJ699" i="2"/>
  <c r="AI699" i="2"/>
  <c r="BM698" i="2"/>
  <c r="AA698" i="1"/>
  <c r="BL698" i="2"/>
  <c r="BK698" i="2"/>
  <c r="BJ698" i="2"/>
  <c r="X698" i="1"/>
  <c r="BI698" i="2"/>
  <c r="BH698" i="2"/>
  <c r="BG698" i="2"/>
  <c r="U698" i="1"/>
  <c r="BF698" i="2"/>
  <c r="BE698" i="2"/>
  <c r="S698" i="1"/>
  <c r="BD698" i="2"/>
  <c r="BC698" i="2"/>
  <c r="BB698" i="2"/>
  <c r="BA698" i="2"/>
  <c r="AZ698" i="2"/>
  <c r="AY698" i="2"/>
  <c r="AX698" i="2"/>
  <c r="AW698" i="2"/>
  <c r="AV698" i="2"/>
  <c r="AU698" i="2"/>
  <c r="AT698" i="2"/>
  <c r="H698" i="1"/>
  <c r="AS698" i="2"/>
  <c r="G698" i="1"/>
  <c r="AR698" i="2"/>
  <c r="AQ698" i="2"/>
  <c r="AP698" i="2"/>
  <c r="D698" i="1"/>
  <c r="AO698" i="2"/>
  <c r="AN698" i="2"/>
  <c r="AM698" i="2"/>
  <c r="AJ698" i="2"/>
  <c r="AI698" i="2"/>
  <c r="BM697" i="2"/>
  <c r="AA697" i="1"/>
  <c r="BL697" i="2"/>
  <c r="BK697" i="2"/>
  <c r="BJ697" i="2"/>
  <c r="X697" i="1"/>
  <c r="BI697" i="2"/>
  <c r="BH697" i="2"/>
  <c r="BG697" i="2"/>
  <c r="U697" i="1"/>
  <c r="BF697" i="2"/>
  <c r="BE697" i="2"/>
  <c r="S697" i="1"/>
  <c r="BD697" i="2"/>
  <c r="BC697" i="2"/>
  <c r="BB697" i="2"/>
  <c r="BA697" i="2"/>
  <c r="AZ697" i="2"/>
  <c r="AY697" i="2"/>
  <c r="AX697" i="2"/>
  <c r="AW697" i="2"/>
  <c r="AV697" i="2"/>
  <c r="AU697" i="2"/>
  <c r="AT697" i="2"/>
  <c r="H697" i="1"/>
  <c r="AS697" i="2"/>
  <c r="G697" i="1"/>
  <c r="AR697" i="2"/>
  <c r="AQ697" i="2"/>
  <c r="AP697" i="2"/>
  <c r="D697" i="1"/>
  <c r="AO697" i="2"/>
  <c r="AN697" i="2"/>
  <c r="AM697" i="2"/>
  <c r="AJ697" i="2"/>
  <c r="AI697" i="2"/>
  <c r="BM696" i="2"/>
  <c r="AA696" i="1"/>
  <c r="BL696" i="2"/>
  <c r="BK696" i="2"/>
  <c r="BJ696" i="2"/>
  <c r="X696" i="1"/>
  <c r="BI696" i="2"/>
  <c r="BH696" i="2"/>
  <c r="BG696" i="2"/>
  <c r="U696" i="1"/>
  <c r="BF696" i="2"/>
  <c r="BE696" i="2"/>
  <c r="S696" i="1"/>
  <c r="BD696" i="2"/>
  <c r="BC696" i="2"/>
  <c r="BB696" i="2"/>
  <c r="BA696" i="2"/>
  <c r="AZ696" i="2"/>
  <c r="AY696" i="2"/>
  <c r="AX696" i="2"/>
  <c r="AW696" i="2"/>
  <c r="AV696" i="2"/>
  <c r="AU696" i="2"/>
  <c r="AT696" i="2"/>
  <c r="H696" i="1"/>
  <c r="AS696" i="2"/>
  <c r="G696" i="1"/>
  <c r="AR696" i="2"/>
  <c r="AQ696" i="2"/>
  <c r="AP696" i="2"/>
  <c r="D696" i="1"/>
  <c r="AO696" i="2"/>
  <c r="AN696" i="2"/>
  <c r="AM696" i="2"/>
  <c r="AJ696" i="2"/>
  <c r="AI696" i="2"/>
  <c r="BM695" i="2"/>
  <c r="AA695" i="1"/>
  <c r="BL695" i="2"/>
  <c r="BK695" i="2"/>
  <c r="BJ695" i="2"/>
  <c r="X695" i="1"/>
  <c r="BI695" i="2"/>
  <c r="BH695" i="2"/>
  <c r="BG695" i="2"/>
  <c r="U695" i="1"/>
  <c r="BF695" i="2"/>
  <c r="BE695" i="2"/>
  <c r="S695" i="1"/>
  <c r="BD695" i="2"/>
  <c r="BC695" i="2"/>
  <c r="BB695" i="2"/>
  <c r="BA695" i="2"/>
  <c r="AZ695" i="2"/>
  <c r="AY695" i="2"/>
  <c r="AX695" i="2"/>
  <c r="AW695" i="2"/>
  <c r="AV695" i="2"/>
  <c r="AU695" i="2"/>
  <c r="AT695" i="2"/>
  <c r="H695" i="1"/>
  <c r="AS695" i="2"/>
  <c r="G695" i="1"/>
  <c r="AR695" i="2"/>
  <c r="AQ695" i="2"/>
  <c r="AP695" i="2"/>
  <c r="D695" i="1"/>
  <c r="AO695" i="2"/>
  <c r="AN695" i="2"/>
  <c r="AM695" i="2"/>
  <c r="AJ695" i="2"/>
  <c r="AI695" i="2"/>
  <c r="BM694" i="2"/>
  <c r="AA694" i="1"/>
  <c r="BL694" i="2"/>
  <c r="BK694" i="2"/>
  <c r="BJ694" i="2"/>
  <c r="X694" i="1"/>
  <c r="BI694" i="2"/>
  <c r="BH694" i="2"/>
  <c r="BG694" i="2"/>
  <c r="U694" i="1"/>
  <c r="BF694" i="2"/>
  <c r="BE694" i="2"/>
  <c r="S694" i="1"/>
  <c r="BD694" i="2"/>
  <c r="BC694" i="2"/>
  <c r="BB694" i="2"/>
  <c r="BA694" i="2"/>
  <c r="AZ694" i="2"/>
  <c r="AY694" i="2"/>
  <c r="AX694" i="2"/>
  <c r="AW694" i="2"/>
  <c r="AV694" i="2"/>
  <c r="AU694" i="2"/>
  <c r="AT694" i="2"/>
  <c r="H694" i="1"/>
  <c r="AS694" i="2"/>
  <c r="G694" i="1"/>
  <c r="AR694" i="2"/>
  <c r="AQ694" i="2"/>
  <c r="AP694" i="2"/>
  <c r="D694" i="1"/>
  <c r="AO694" i="2"/>
  <c r="AN694" i="2"/>
  <c r="AM694" i="2"/>
  <c r="AJ694" i="2"/>
  <c r="AI694" i="2"/>
  <c r="BM693" i="2"/>
  <c r="AA693" i="1"/>
  <c r="BL693" i="2"/>
  <c r="BK693" i="2"/>
  <c r="BJ693" i="2"/>
  <c r="X693" i="1"/>
  <c r="BI693" i="2"/>
  <c r="BH693" i="2"/>
  <c r="BG693" i="2"/>
  <c r="U693" i="1"/>
  <c r="BF693" i="2"/>
  <c r="BE693" i="2"/>
  <c r="S693" i="1"/>
  <c r="BD693" i="2"/>
  <c r="BC693" i="2"/>
  <c r="BB693" i="2"/>
  <c r="BA693" i="2"/>
  <c r="AZ693" i="2"/>
  <c r="AY693" i="2"/>
  <c r="AX693" i="2"/>
  <c r="AW693" i="2"/>
  <c r="AV693" i="2"/>
  <c r="AU693" i="2"/>
  <c r="AT693" i="2"/>
  <c r="H693" i="1"/>
  <c r="AS693" i="2"/>
  <c r="G693" i="1"/>
  <c r="AR693" i="2"/>
  <c r="AQ693" i="2"/>
  <c r="AP693" i="2"/>
  <c r="D693" i="1"/>
  <c r="AO693" i="2"/>
  <c r="AN693" i="2"/>
  <c r="AM693" i="2"/>
  <c r="AJ693" i="2"/>
  <c r="AI693" i="2"/>
  <c r="BM692" i="2"/>
  <c r="AA692" i="1"/>
  <c r="BL692" i="2"/>
  <c r="BK692" i="2"/>
  <c r="BJ692" i="2"/>
  <c r="X692" i="1"/>
  <c r="BI692" i="2"/>
  <c r="BH692" i="2"/>
  <c r="BG692" i="2"/>
  <c r="U692" i="1"/>
  <c r="BF692" i="2"/>
  <c r="BE692" i="2"/>
  <c r="S692" i="1"/>
  <c r="BD692" i="2"/>
  <c r="BC692" i="2"/>
  <c r="BB692" i="2"/>
  <c r="BA692" i="2"/>
  <c r="AZ692" i="2"/>
  <c r="AY692" i="2"/>
  <c r="AX692" i="2"/>
  <c r="AW692" i="2"/>
  <c r="AV692" i="2"/>
  <c r="AU692" i="2"/>
  <c r="AT692" i="2"/>
  <c r="H692" i="1"/>
  <c r="AS692" i="2"/>
  <c r="G692" i="1"/>
  <c r="AR692" i="2"/>
  <c r="AQ692" i="2"/>
  <c r="AP692" i="2"/>
  <c r="D692" i="1"/>
  <c r="AO692" i="2"/>
  <c r="AN692" i="2"/>
  <c r="AM692" i="2"/>
  <c r="AJ692" i="2"/>
  <c r="AI692" i="2"/>
  <c r="BM691" i="2"/>
  <c r="AA691" i="1"/>
  <c r="BL691" i="2"/>
  <c r="BK691" i="2"/>
  <c r="BJ691" i="2"/>
  <c r="X691" i="1"/>
  <c r="BI691" i="2"/>
  <c r="BH691" i="2"/>
  <c r="BG691" i="2"/>
  <c r="U691" i="1"/>
  <c r="BF691" i="2"/>
  <c r="BE691" i="2"/>
  <c r="S691" i="1"/>
  <c r="BD691" i="2"/>
  <c r="BC691" i="2"/>
  <c r="BB691" i="2"/>
  <c r="BA691" i="2"/>
  <c r="AZ691" i="2"/>
  <c r="AY691" i="2"/>
  <c r="AX691" i="2"/>
  <c r="AW691" i="2"/>
  <c r="AV691" i="2"/>
  <c r="AU691" i="2"/>
  <c r="AT691" i="2"/>
  <c r="H691" i="1"/>
  <c r="AS691" i="2"/>
  <c r="G691" i="1"/>
  <c r="AR691" i="2"/>
  <c r="AQ691" i="2"/>
  <c r="AP691" i="2"/>
  <c r="D691" i="1"/>
  <c r="AO691" i="2"/>
  <c r="AN691" i="2"/>
  <c r="AM691" i="2"/>
  <c r="AJ691" i="2"/>
  <c r="AI691" i="2"/>
  <c r="BM690" i="2"/>
  <c r="AA690" i="1"/>
  <c r="BL690" i="2"/>
  <c r="BK690" i="2"/>
  <c r="BJ690" i="2"/>
  <c r="X690" i="1"/>
  <c r="BI690" i="2"/>
  <c r="BH690" i="2"/>
  <c r="BG690" i="2"/>
  <c r="U690" i="1"/>
  <c r="BF690" i="2"/>
  <c r="BE690" i="2"/>
  <c r="S690" i="1"/>
  <c r="BD690" i="2"/>
  <c r="BC690" i="2"/>
  <c r="BB690" i="2"/>
  <c r="BA690" i="2"/>
  <c r="AZ690" i="2"/>
  <c r="AY690" i="2"/>
  <c r="AX690" i="2"/>
  <c r="AW690" i="2"/>
  <c r="AV690" i="2"/>
  <c r="AU690" i="2"/>
  <c r="AT690" i="2"/>
  <c r="H690" i="1"/>
  <c r="AS690" i="2"/>
  <c r="G690" i="1"/>
  <c r="AR690" i="2"/>
  <c r="AQ690" i="2"/>
  <c r="AP690" i="2"/>
  <c r="D690" i="1"/>
  <c r="AO690" i="2"/>
  <c r="AN690" i="2"/>
  <c r="AM690" i="2"/>
  <c r="AJ690" i="2"/>
  <c r="AI690" i="2"/>
  <c r="BM689" i="2"/>
  <c r="AA689" i="1"/>
  <c r="BL689" i="2"/>
  <c r="BK689" i="2"/>
  <c r="BJ689" i="2"/>
  <c r="X689" i="1"/>
  <c r="BI689" i="2"/>
  <c r="BH689" i="2"/>
  <c r="BG689" i="2"/>
  <c r="U689" i="1"/>
  <c r="BF689" i="2"/>
  <c r="BE689" i="2"/>
  <c r="S689" i="1"/>
  <c r="BD689" i="2"/>
  <c r="BC689" i="2"/>
  <c r="BB689" i="2"/>
  <c r="BA689" i="2"/>
  <c r="AZ689" i="2"/>
  <c r="AY689" i="2"/>
  <c r="AX689" i="2"/>
  <c r="AW689" i="2"/>
  <c r="AV689" i="2"/>
  <c r="AU689" i="2"/>
  <c r="AT689" i="2"/>
  <c r="H689" i="1"/>
  <c r="AS689" i="2"/>
  <c r="G689" i="1"/>
  <c r="AR689" i="2"/>
  <c r="AQ689" i="2"/>
  <c r="AP689" i="2"/>
  <c r="D689" i="1"/>
  <c r="AO689" i="2"/>
  <c r="AN689" i="2"/>
  <c r="AM689" i="2"/>
  <c r="AJ689" i="2"/>
  <c r="AI689" i="2"/>
  <c r="BM688" i="2"/>
  <c r="AA688" i="1"/>
  <c r="BL688" i="2"/>
  <c r="BK688" i="2"/>
  <c r="BJ688" i="2"/>
  <c r="X688" i="1"/>
  <c r="BI688" i="2"/>
  <c r="BH688" i="2"/>
  <c r="BG688" i="2"/>
  <c r="U688" i="1"/>
  <c r="BF688" i="2"/>
  <c r="BE688" i="2"/>
  <c r="S688" i="1"/>
  <c r="BD688" i="2"/>
  <c r="BC688" i="2"/>
  <c r="BB688" i="2"/>
  <c r="BA688" i="2"/>
  <c r="AZ688" i="2"/>
  <c r="AY688" i="2"/>
  <c r="AX688" i="2"/>
  <c r="AW688" i="2"/>
  <c r="AV688" i="2"/>
  <c r="AU688" i="2"/>
  <c r="AT688" i="2"/>
  <c r="H688" i="1"/>
  <c r="AS688" i="2"/>
  <c r="G688" i="1"/>
  <c r="AR688" i="2"/>
  <c r="AQ688" i="2"/>
  <c r="AP688" i="2"/>
  <c r="D688" i="1"/>
  <c r="AO688" i="2"/>
  <c r="AN688" i="2"/>
  <c r="AM688" i="2"/>
  <c r="AJ688" i="2"/>
  <c r="AI688" i="2"/>
  <c r="BM687" i="2"/>
  <c r="AA687" i="1"/>
  <c r="BL687" i="2"/>
  <c r="BK687" i="2"/>
  <c r="BJ687" i="2"/>
  <c r="X687" i="1"/>
  <c r="BI687" i="2"/>
  <c r="BH687" i="2"/>
  <c r="BG687" i="2"/>
  <c r="U687" i="1"/>
  <c r="BF687" i="2"/>
  <c r="BE687" i="2"/>
  <c r="S687" i="1"/>
  <c r="BD687" i="2"/>
  <c r="BC687" i="2"/>
  <c r="BB687" i="2"/>
  <c r="BA687" i="2"/>
  <c r="AZ687" i="2"/>
  <c r="AY687" i="2"/>
  <c r="AX687" i="2"/>
  <c r="AW687" i="2"/>
  <c r="AV687" i="2"/>
  <c r="AU687" i="2"/>
  <c r="AT687" i="2"/>
  <c r="H687" i="1"/>
  <c r="AS687" i="2"/>
  <c r="G687" i="1"/>
  <c r="AR687" i="2"/>
  <c r="AQ687" i="2"/>
  <c r="AP687" i="2"/>
  <c r="D687" i="1"/>
  <c r="AO687" i="2"/>
  <c r="AN687" i="2"/>
  <c r="AM687" i="2"/>
  <c r="AJ687" i="2"/>
  <c r="AI687" i="2"/>
  <c r="BM686" i="2"/>
  <c r="AA686" i="1"/>
  <c r="BL686" i="2"/>
  <c r="BK686" i="2"/>
  <c r="BJ686" i="2"/>
  <c r="X686" i="1"/>
  <c r="BI686" i="2"/>
  <c r="BH686" i="2"/>
  <c r="BG686" i="2"/>
  <c r="U686" i="1"/>
  <c r="BF686" i="2"/>
  <c r="BE686" i="2"/>
  <c r="S686" i="1"/>
  <c r="BD686" i="2"/>
  <c r="BC686" i="2"/>
  <c r="BB686" i="2"/>
  <c r="BA686" i="2"/>
  <c r="AZ686" i="2"/>
  <c r="AY686" i="2"/>
  <c r="AX686" i="2"/>
  <c r="AW686" i="2"/>
  <c r="AV686" i="2"/>
  <c r="AU686" i="2"/>
  <c r="AT686" i="2"/>
  <c r="H686" i="1"/>
  <c r="AS686" i="2"/>
  <c r="G686" i="1"/>
  <c r="AR686" i="2"/>
  <c r="AQ686" i="2"/>
  <c r="AP686" i="2"/>
  <c r="D686" i="1"/>
  <c r="AO686" i="2"/>
  <c r="AN686" i="2"/>
  <c r="AM686" i="2"/>
  <c r="AJ686" i="2"/>
  <c r="AI686" i="2"/>
  <c r="BM685" i="2"/>
  <c r="AA685" i="1"/>
  <c r="BL685" i="2"/>
  <c r="BK685" i="2"/>
  <c r="BJ685" i="2"/>
  <c r="X685" i="1"/>
  <c r="BI685" i="2"/>
  <c r="BH685" i="2"/>
  <c r="BG685" i="2"/>
  <c r="U685" i="1"/>
  <c r="BF685" i="2"/>
  <c r="BE685" i="2"/>
  <c r="S685" i="1"/>
  <c r="BD685" i="2"/>
  <c r="BC685" i="2"/>
  <c r="BB685" i="2"/>
  <c r="BA685" i="2"/>
  <c r="AZ685" i="2"/>
  <c r="AY685" i="2"/>
  <c r="AX685" i="2"/>
  <c r="AW685" i="2"/>
  <c r="AV685" i="2"/>
  <c r="AU685" i="2"/>
  <c r="AT685" i="2"/>
  <c r="H685" i="1"/>
  <c r="AS685" i="2"/>
  <c r="G685" i="1"/>
  <c r="AR685" i="2"/>
  <c r="AQ685" i="2"/>
  <c r="AP685" i="2"/>
  <c r="D685" i="1"/>
  <c r="AO685" i="2"/>
  <c r="AN685" i="2"/>
  <c r="AM685" i="2"/>
  <c r="AJ685" i="2"/>
  <c r="AI685" i="2"/>
  <c r="BM684" i="2"/>
  <c r="AA684" i="1"/>
  <c r="BL684" i="2"/>
  <c r="BK684" i="2"/>
  <c r="BJ684" i="2"/>
  <c r="X684" i="1"/>
  <c r="BI684" i="2"/>
  <c r="BH684" i="2"/>
  <c r="BG684" i="2"/>
  <c r="U684" i="1"/>
  <c r="BF684" i="2"/>
  <c r="BE684" i="2"/>
  <c r="S684" i="1"/>
  <c r="BD684" i="2"/>
  <c r="BC684" i="2"/>
  <c r="BB684" i="2"/>
  <c r="BA684" i="2"/>
  <c r="AZ684" i="2"/>
  <c r="AY684" i="2"/>
  <c r="AX684" i="2"/>
  <c r="AW684" i="2"/>
  <c r="AV684" i="2"/>
  <c r="AU684" i="2"/>
  <c r="AT684" i="2"/>
  <c r="H684" i="1"/>
  <c r="AS684" i="2"/>
  <c r="G684" i="1"/>
  <c r="AR684" i="2"/>
  <c r="AQ684" i="2"/>
  <c r="AP684" i="2"/>
  <c r="D684" i="1"/>
  <c r="AO684" i="2"/>
  <c r="AN684" i="2"/>
  <c r="AM684" i="2"/>
  <c r="AJ684" i="2"/>
  <c r="AI684" i="2"/>
  <c r="BM683" i="2"/>
  <c r="AA683" i="1"/>
  <c r="BL683" i="2"/>
  <c r="BK683" i="2"/>
  <c r="BJ683" i="2"/>
  <c r="X683" i="1"/>
  <c r="BI683" i="2"/>
  <c r="BH683" i="2"/>
  <c r="BG683" i="2"/>
  <c r="U683" i="1"/>
  <c r="BF683" i="2"/>
  <c r="BE683" i="2"/>
  <c r="S683" i="1"/>
  <c r="BD683" i="2"/>
  <c r="BC683" i="2"/>
  <c r="BB683" i="2"/>
  <c r="BA683" i="2"/>
  <c r="AZ683" i="2"/>
  <c r="AY683" i="2"/>
  <c r="AX683" i="2"/>
  <c r="AW683" i="2"/>
  <c r="AV683" i="2"/>
  <c r="AU683" i="2"/>
  <c r="AT683" i="2"/>
  <c r="H683" i="1"/>
  <c r="AS683" i="2"/>
  <c r="G683" i="1"/>
  <c r="AR683" i="2"/>
  <c r="AQ683" i="2"/>
  <c r="AP683" i="2"/>
  <c r="D683" i="1"/>
  <c r="AO683" i="2"/>
  <c r="AN683" i="2"/>
  <c r="AM683" i="2"/>
  <c r="AJ683" i="2"/>
  <c r="AI683" i="2"/>
  <c r="BM682" i="2"/>
  <c r="AA682" i="1"/>
  <c r="BL682" i="2"/>
  <c r="BK682" i="2"/>
  <c r="BJ682" i="2"/>
  <c r="X682" i="1"/>
  <c r="BI682" i="2"/>
  <c r="BH682" i="2"/>
  <c r="BG682" i="2"/>
  <c r="U682" i="1"/>
  <c r="BF682" i="2"/>
  <c r="BE682" i="2"/>
  <c r="S682" i="1"/>
  <c r="BD682" i="2"/>
  <c r="BC682" i="2"/>
  <c r="BB682" i="2"/>
  <c r="BA682" i="2"/>
  <c r="AZ682" i="2"/>
  <c r="AY682" i="2"/>
  <c r="AX682" i="2"/>
  <c r="AW682" i="2"/>
  <c r="AV682" i="2"/>
  <c r="AU682" i="2"/>
  <c r="AT682" i="2"/>
  <c r="H682" i="1"/>
  <c r="AS682" i="2"/>
  <c r="G682" i="1"/>
  <c r="AR682" i="2"/>
  <c r="AQ682" i="2"/>
  <c r="AP682" i="2"/>
  <c r="D682" i="1"/>
  <c r="AO682" i="2"/>
  <c r="AN682" i="2"/>
  <c r="AM682" i="2"/>
  <c r="AJ682" i="2"/>
  <c r="AI682" i="2"/>
  <c r="BM681" i="2"/>
  <c r="AA681" i="1"/>
  <c r="BL681" i="2"/>
  <c r="BK681" i="2"/>
  <c r="BJ681" i="2"/>
  <c r="X681" i="1"/>
  <c r="BI681" i="2"/>
  <c r="BH681" i="2"/>
  <c r="BG681" i="2"/>
  <c r="U681" i="1"/>
  <c r="BF681" i="2"/>
  <c r="BE681" i="2"/>
  <c r="S681" i="1"/>
  <c r="BD681" i="2"/>
  <c r="BC681" i="2"/>
  <c r="BB681" i="2"/>
  <c r="BA681" i="2"/>
  <c r="AZ681" i="2"/>
  <c r="AY681" i="2"/>
  <c r="AX681" i="2"/>
  <c r="AW681" i="2"/>
  <c r="AV681" i="2"/>
  <c r="AU681" i="2"/>
  <c r="AT681" i="2"/>
  <c r="H681" i="1"/>
  <c r="AS681" i="2"/>
  <c r="G681" i="1"/>
  <c r="AR681" i="2"/>
  <c r="AQ681" i="2"/>
  <c r="AP681" i="2"/>
  <c r="D681" i="1"/>
  <c r="AO681" i="2"/>
  <c r="AN681" i="2"/>
  <c r="AM681" i="2"/>
  <c r="AJ681" i="2"/>
  <c r="AI681" i="2"/>
  <c r="BM680" i="2"/>
  <c r="AA680" i="1"/>
  <c r="BL680" i="2"/>
  <c r="BK680" i="2"/>
  <c r="BJ680" i="2"/>
  <c r="X680" i="1"/>
  <c r="BI680" i="2"/>
  <c r="BH680" i="2"/>
  <c r="BG680" i="2"/>
  <c r="U680" i="1"/>
  <c r="BF680" i="2"/>
  <c r="BE680" i="2"/>
  <c r="S680" i="1"/>
  <c r="BD680" i="2"/>
  <c r="BC680" i="2"/>
  <c r="BB680" i="2"/>
  <c r="BA680" i="2"/>
  <c r="AZ680" i="2"/>
  <c r="AY680" i="2"/>
  <c r="AX680" i="2"/>
  <c r="AW680" i="2"/>
  <c r="AV680" i="2"/>
  <c r="AU680" i="2"/>
  <c r="AT680" i="2"/>
  <c r="H680" i="1"/>
  <c r="AS680" i="2"/>
  <c r="G680" i="1"/>
  <c r="AR680" i="2"/>
  <c r="AQ680" i="2"/>
  <c r="AP680" i="2"/>
  <c r="D680" i="1"/>
  <c r="AO680" i="2"/>
  <c r="AN680" i="2"/>
  <c r="AM680" i="2"/>
  <c r="AJ680" i="2"/>
  <c r="AI680" i="2"/>
  <c r="BM679" i="2"/>
  <c r="AA679" i="1"/>
  <c r="BL679" i="2"/>
  <c r="BK679" i="2"/>
  <c r="BJ679" i="2"/>
  <c r="X679" i="1"/>
  <c r="BI679" i="2"/>
  <c r="BH679" i="2"/>
  <c r="BG679" i="2"/>
  <c r="U679" i="1"/>
  <c r="BF679" i="2"/>
  <c r="BE679" i="2"/>
  <c r="S679" i="1"/>
  <c r="BD679" i="2"/>
  <c r="BC679" i="2"/>
  <c r="BB679" i="2"/>
  <c r="BA679" i="2"/>
  <c r="AZ679" i="2"/>
  <c r="AY679" i="2"/>
  <c r="AX679" i="2"/>
  <c r="AW679" i="2"/>
  <c r="AV679" i="2"/>
  <c r="AU679" i="2"/>
  <c r="AT679" i="2"/>
  <c r="H679" i="1"/>
  <c r="AS679" i="2"/>
  <c r="G679" i="1"/>
  <c r="AR679" i="2"/>
  <c r="AQ679" i="2"/>
  <c r="AP679" i="2"/>
  <c r="D679" i="1"/>
  <c r="AO679" i="2"/>
  <c r="AN679" i="2"/>
  <c r="AM679" i="2"/>
  <c r="AJ679" i="2"/>
  <c r="AI679" i="2"/>
  <c r="BM678" i="2"/>
  <c r="AA678" i="1"/>
  <c r="BL678" i="2"/>
  <c r="BK678" i="2"/>
  <c r="BJ678" i="2"/>
  <c r="X678" i="1"/>
  <c r="BI678" i="2"/>
  <c r="BH678" i="2"/>
  <c r="BG678" i="2"/>
  <c r="U678" i="1"/>
  <c r="BF678" i="2"/>
  <c r="BE678" i="2"/>
  <c r="S678" i="1"/>
  <c r="BD678" i="2"/>
  <c r="BC678" i="2"/>
  <c r="BB678" i="2"/>
  <c r="BA678" i="2"/>
  <c r="AZ678" i="2"/>
  <c r="AY678" i="2"/>
  <c r="AX678" i="2"/>
  <c r="AW678" i="2"/>
  <c r="AV678" i="2"/>
  <c r="AU678" i="2"/>
  <c r="AT678" i="2"/>
  <c r="H678" i="1"/>
  <c r="AS678" i="2"/>
  <c r="G678" i="1"/>
  <c r="AR678" i="2"/>
  <c r="AQ678" i="2"/>
  <c r="AP678" i="2"/>
  <c r="D678" i="1"/>
  <c r="AO678" i="2"/>
  <c r="AN678" i="2"/>
  <c r="AM678" i="2"/>
  <c r="AJ678" i="2"/>
  <c r="AI678" i="2"/>
  <c r="BM677" i="2"/>
  <c r="AA677" i="1"/>
  <c r="BL677" i="2"/>
  <c r="BK677" i="2"/>
  <c r="BJ677" i="2"/>
  <c r="X677" i="1"/>
  <c r="BI677" i="2"/>
  <c r="BH677" i="2"/>
  <c r="BG677" i="2"/>
  <c r="U677" i="1"/>
  <c r="BF677" i="2"/>
  <c r="BE677" i="2"/>
  <c r="S677" i="1"/>
  <c r="BD677" i="2"/>
  <c r="BC677" i="2"/>
  <c r="BB677" i="2"/>
  <c r="BA677" i="2"/>
  <c r="AZ677" i="2"/>
  <c r="AY677" i="2"/>
  <c r="AX677" i="2"/>
  <c r="AW677" i="2"/>
  <c r="AV677" i="2"/>
  <c r="AU677" i="2"/>
  <c r="AT677" i="2"/>
  <c r="H677" i="1"/>
  <c r="AS677" i="2"/>
  <c r="G677" i="1"/>
  <c r="AR677" i="2"/>
  <c r="AQ677" i="2"/>
  <c r="AP677" i="2"/>
  <c r="D677" i="1"/>
  <c r="AO677" i="2"/>
  <c r="AN677" i="2"/>
  <c r="AM677" i="2"/>
  <c r="AJ677" i="2"/>
  <c r="AI677" i="2"/>
  <c r="BM676" i="2"/>
  <c r="AA676" i="1"/>
  <c r="BL676" i="2"/>
  <c r="BK676" i="2"/>
  <c r="BJ676" i="2"/>
  <c r="X676" i="1"/>
  <c r="BI676" i="2"/>
  <c r="BH676" i="2"/>
  <c r="BG676" i="2"/>
  <c r="U676" i="1"/>
  <c r="BF676" i="2"/>
  <c r="BE676" i="2"/>
  <c r="S676" i="1"/>
  <c r="BD676" i="2"/>
  <c r="BC676" i="2"/>
  <c r="BB676" i="2"/>
  <c r="BA676" i="2"/>
  <c r="AZ676" i="2"/>
  <c r="AY676" i="2"/>
  <c r="AX676" i="2"/>
  <c r="AW676" i="2"/>
  <c r="AV676" i="2"/>
  <c r="AU676" i="2"/>
  <c r="AT676" i="2"/>
  <c r="H676" i="1"/>
  <c r="AS676" i="2"/>
  <c r="G676" i="1"/>
  <c r="AR676" i="2"/>
  <c r="AQ676" i="2"/>
  <c r="AP676" i="2"/>
  <c r="D676" i="1"/>
  <c r="AO676" i="2"/>
  <c r="AN676" i="2"/>
  <c r="AM676" i="2"/>
  <c r="AJ676" i="2"/>
  <c r="AI676" i="2"/>
  <c r="BM675" i="2"/>
  <c r="AA675" i="1"/>
  <c r="BL675" i="2"/>
  <c r="BK675" i="2"/>
  <c r="BJ675" i="2"/>
  <c r="X675" i="1"/>
  <c r="BI675" i="2"/>
  <c r="BH675" i="2"/>
  <c r="BG675" i="2"/>
  <c r="U675" i="1"/>
  <c r="BF675" i="2"/>
  <c r="BE675" i="2"/>
  <c r="S675" i="1"/>
  <c r="BD675" i="2"/>
  <c r="BC675" i="2"/>
  <c r="BB675" i="2"/>
  <c r="BA675" i="2"/>
  <c r="AZ675" i="2"/>
  <c r="AY675" i="2"/>
  <c r="AX675" i="2"/>
  <c r="AW675" i="2"/>
  <c r="AV675" i="2"/>
  <c r="AU675" i="2"/>
  <c r="AT675" i="2"/>
  <c r="H675" i="1"/>
  <c r="AS675" i="2"/>
  <c r="G675" i="1"/>
  <c r="AR675" i="2"/>
  <c r="AQ675" i="2"/>
  <c r="AP675" i="2"/>
  <c r="D675" i="1"/>
  <c r="AO675" i="2"/>
  <c r="AN675" i="2"/>
  <c r="AM675" i="2"/>
  <c r="AJ675" i="2"/>
  <c r="AI675" i="2"/>
  <c r="BM674" i="2"/>
  <c r="AA674" i="1"/>
  <c r="BL674" i="2"/>
  <c r="BK674" i="2"/>
  <c r="BJ674" i="2"/>
  <c r="X674" i="1"/>
  <c r="BI674" i="2"/>
  <c r="BH674" i="2"/>
  <c r="BG674" i="2"/>
  <c r="U674" i="1"/>
  <c r="BF674" i="2"/>
  <c r="BE674" i="2"/>
  <c r="S674" i="1"/>
  <c r="BD674" i="2"/>
  <c r="BC674" i="2"/>
  <c r="BB674" i="2"/>
  <c r="BA674" i="2"/>
  <c r="AZ674" i="2"/>
  <c r="AY674" i="2"/>
  <c r="AX674" i="2"/>
  <c r="AW674" i="2"/>
  <c r="AV674" i="2"/>
  <c r="AU674" i="2"/>
  <c r="AT674" i="2"/>
  <c r="H674" i="1"/>
  <c r="AS674" i="2"/>
  <c r="G674" i="1"/>
  <c r="AR674" i="2"/>
  <c r="AQ674" i="2"/>
  <c r="AP674" i="2"/>
  <c r="D674" i="1"/>
  <c r="AO674" i="2"/>
  <c r="AN674" i="2"/>
  <c r="AM674" i="2"/>
  <c r="AJ674" i="2"/>
  <c r="AI674" i="2"/>
  <c r="BM673" i="2"/>
  <c r="AA673" i="1"/>
  <c r="BL673" i="2"/>
  <c r="BK673" i="2"/>
  <c r="BJ673" i="2"/>
  <c r="X673" i="1"/>
  <c r="BI673" i="2"/>
  <c r="BH673" i="2"/>
  <c r="BG673" i="2"/>
  <c r="U673" i="1"/>
  <c r="BF673" i="2"/>
  <c r="BE673" i="2"/>
  <c r="S673" i="1"/>
  <c r="BD673" i="2"/>
  <c r="BC673" i="2"/>
  <c r="BB673" i="2"/>
  <c r="BA673" i="2"/>
  <c r="AZ673" i="2"/>
  <c r="AY673" i="2"/>
  <c r="AX673" i="2"/>
  <c r="AW673" i="2"/>
  <c r="AV673" i="2"/>
  <c r="AU673" i="2"/>
  <c r="AT673" i="2"/>
  <c r="H673" i="1"/>
  <c r="AS673" i="2"/>
  <c r="G673" i="1"/>
  <c r="AR673" i="2"/>
  <c r="AQ673" i="2"/>
  <c r="AP673" i="2"/>
  <c r="D673" i="1"/>
  <c r="AO673" i="2"/>
  <c r="AN673" i="2"/>
  <c r="AM673" i="2"/>
  <c r="AJ673" i="2"/>
  <c r="AI673" i="2"/>
  <c r="BM672" i="2"/>
  <c r="AA672" i="1"/>
  <c r="BL672" i="2"/>
  <c r="BK672" i="2"/>
  <c r="BJ672" i="2"/>
  <c r="X672" i="1"/>
  <c r="BI672" i="2"/>
  <c r="BH672" i="2"/>
  <c r="BG672" i="2"/>
  <c r="U672" i="1"/>
  <c r="BF672" i="2"/>
  <c r="BE672" i="2"/>
  <c r="S672" i="1"/>
  <c r="BD672" i="2"/>
  <c r="BC672" i="2"/>
  <c r="BB672" i="2"/>
  <c r="BA672" i="2"/>
  <c r="AZ672" i="2"/>
  <c r="AY672" i="2"/>
  <c r="AX672" i="2"/>
  <c r="AW672" i="2"/>
  <c r="AV672" i="2"/>
  <c r="AU672" i="2"/>
  <c r="AT672" i="2"/>
  <c r="H672" i="1"/>
  <c r="AS672" i="2"/>
  <c r="G672" i="1"/>
  <c r="AR672" i="2"/>
  <c r="AQ672" i="2"/>
  <c r="AP672" i="2"/>
  <c r="D672" i="1"/>
  <c r="AO672" i="2"/>
  <c r="AN672" i="2"/>
  <c r="AM672" i="2"/>
  <c r="AJ672" i="2"/>
  <c r="AI672" i="2"/>
  <c r="BM671" i="2"/>
  <c r="AA671" i="1"/>
  <c r="BL671" i="2"/>
  <c r="BK671" i="2"/>
  <c r="BJ671" i="2"/>
  <c r="X671" i="1"/>
  <c r="BI671" i="2"/>
  <c r="BH671" i="2"/>
  <c r="BG671" i="2"/>
  <c r="U671" i="1"/>
  <c r="BF671" i="2"/>
  <c r="BE671" i="2"/>
  <c r="S671" i="1"/>
  <c r="BD671" i="2"/>
  <c r="BC671" i="2"/>
  <c r="BB671" i="2"/>
  <c r="BA671" i="2"/>
  <c r="AZ671" i="2"/>
  <c r="AY671" i="2"/>
  <c r="AX671" i="2"/>
  <c r="AW671" i="2"/>
  <c r="AV671" i="2"/>
  <c r="AU671" i="2"/>
  <c r="AT671" i="2"/>
  <c r="H671" i="1"/>
  <c r="AS671" i="2"/>
  <c r="G671" i="1"/>
  <c r="AR671" i="2"/>
  <c r="AQ671" i="2"/>
  <c r="AP671" i="2"/>
  <c r="D671" i="1"/>
  <c r="AO671" i="2"/>
  <c r="AN671" i="2"/>
  <c r="AM671" i="2"/>
  <c r="AJ671" i="2"/>
  <c r="AI671" i="2"/>
  <c r="BM670" i="2"/>
  <c r="AA670" i="1"/>
  <c r="BL670" i="2"/>
  <c r="BK670" i="2"/>
  <c r="BJ670" i="2"/>
  <c r="X670" i="1"/>
  <c r="BI670" i="2"/>
  <c r="BH670" i="2"/>
  <c r="BG670" i="2"/>
  <c r="U670" i="1"/>
  <c r="BF670" i="2"/>
  <c r="BE670" i="2"/>
  <c r="S670" i="1"/>
  <c r="BD670" i="2"/>
  <c r="BC670" i="2"/>
  <c r="BB670" i="2"/>
  <c r="BA670" i="2"/>
  <c r="AZ670" i="2"/>
  <c r="AY670" i="2"/>
  <c r="AX670" i="2"/>
  <c r="AW670" i="2"/>
  <c r="AV670" i="2"/>
  <c r="AU670" i="2"/>
  <c r="AT670" i="2"/>
  <c r="H670" i="1"/>
  <c r="AS670" i="2"/>
  <c r="G670" i="1"/>
  <c r="AR670" i="2"/>
  <c r="AQ670" i="2"/>
  <c r="AP670" i="2"/>
  <c r="D670" i="1"/>
  <c r="AO670" i="2"/>
  <c r="AN670" i="2"/>
  <c r="AM670" i="2"/>
  <c r="AJ670" i="2"/>
  <c r="AI670" i="2"/>
  <c r="BM669" i="2"/>
  <c r="AA669" i="1"/>
  <c r="BL669" i="2"/>
  <c r="BK669" i="2"/>
  <c r="BJ669" i="2"/>
  <c r="X669" i="1"/>
  <c r="BI669" i="2"/>
  <c r="BH669" i="2"/>
  <c r="BG669" i="2"/>
  <c r="U669" i="1"/>
  <c r="BF669" i="2"/>
  <c r="BE669" i="2"/>
  <c r="S669" i="1"/>
  <c r="BD669" i="2"/>
  <c r="BC669" i="2"/>
  <c r="BB669" i="2"/>
  <c r="BA669" i="2"/>
  <c r="AZ669" i="2"/>
  <c r="AY669" i="2"/>
  <c r="AX669" i="2"/>
  <c r="AW669" i="2"/>
  <c r="AV669" i="2"/>
  <c r="AU669" i="2"/>
  <c r="AT669" i="2"/>
  <c r="H669" i="1"/>
  <c r="AS669" i="2"/>
  <c r="G669" i="1"/>
  <c r="AR669" i="2"/>
  <c r="AQ669" i="2"/>
  <c r="AP669" i="2"/>
  <c r="D669" i="1"/>
  <c r="AO669" i="2"/>
  <c r="AN669" i="2"/>
  <c r="AM669" i="2"/>
  <c r="AJ669" i="2"/>
  <c r="AI669" i="2"/>
  <c r="BM668" i="2"/>
  <c r="AA668" i="1"/>
  <c r="BL668" i="2"/>
  <c r="BK668" i="2"/>
  <c r="BJ668" i="2"/>
  <c r="X668" i="1"/>
  <c r="BI668" i="2"/>
  <c r="BH668" i="2"/>
  <c r="BG668" i="2"/>
  <c r="U668" i="1"/>
  <c r="BF668" i="2"/>
  <c r="BE668" i="2"/>
  <c r="S668" i="1"/>
  <c r="BD668" i="2"/>
  <c r="BC668" i="2"/>
  <c r="BB668" i="2"/>
  <c r="BA668" i="2"/>
  <c r="AZ668" i="2"/>
  <c r="AY668" i="2"/>
  <c r="AX668" i="2"/>
  <c r="AW668" i="2"/>
  <c r="AV668" i="2"/>
  <c r="AU668" i="2"/>
  <c r="AT668" i="2"/>
  <c r="H668" i="1"/>
  <c r="AS668" i="2"/>
  <c r="G668" i="1"/>
  <c r="AR668" i="2"/>
  <c r="AQ668" i="2"/>
  <c r="AP668" i="2"/>
  <c r="D668" i="1"/>
  <c r="AO668" i="2"/>
  <c r="AN668" i="2"/>
  <c r="AM668" i="2"/>
  <c r="AJ668" i="2"/>
  <c r="AI668" i="2"/>
  <c r="BM667" i="2"/>
  <c r="AA667" i="1"/>
  <c r="BL667" i="2"/>
  <c r="BK667" i="2"/>
  <c r="BJ667" i="2"/>
  <c r="X667" i="1"/>
  <c r="BI667" i="2"/>
  <c r="BH667" i="2"/>
  <c r="BG667" i="2"/>
  <c r="U667" i="1"/>
  <c r="BF667" i="2"/>
  <c r="BE667" i="2"/>
  <c r="S667" i="1"/>
  <c r="BD667" i="2"/>
  <c r="BC667" i="2"/>
  <c r="BB667" i="2"/>
  <c r="BA667" i="2"/>
  <c r="AZ667" i="2"/>
  <c r="AY667" i="2"/>
  <c r="AX667" i="2"/>
  <c r="AW667" i="2"/>
  <c r="AV667" i="2"/>
  <c r="AU667" i="2"/>
  <c r="AT667" i="2"/>
  <c r="H667" i="1"/>
  <c r="AS667" i="2"/>
  <c r="G667" i="1"/>
  <c r="AR667" i="2"/>
  <c r="AQ667" i="2"/>
  <c r="AP667" i="2"/>
  <c r="D667" i="1"/>
  <c r="AO667" i="2"/>
  <c r="AN667" i="2"/>
  <c r="AM667" i="2"/>
  <c r="AJ667" i="2"/>
  <c r="AI667" i="2"/>
  <c r="BM666" i="2"/>
  <c r="AA666" i="1"/>
  <c r="BL666" i="2"/>
  <c r="BK666" i="2"/>
  <c r="BJ666" i="2"/>
  <c r="X666" i="1"/>
  <c r="BI666" i="2"/>
  <c r="BH666" i="2"/>
  <c r="BG666" i="2"/>
  <c r="U666" i="1"/>
  <c r="BF666" i="2"/>
  <c r="BE666" i="2"/>
  <c r="S666" i="1"/>
  <c r="BD666" i="2"/>
  <c r="BC666" i="2"/>
  <c r="BB666" i="2"/>
  <c r="BA666" i="2"/>
  <c r="AZ666" i="2"/>
  <c r="AY666" i="2"/>
  <c r="AX666" i="2"/>
  <c r="AW666" i="2"/>
  <c r="AV666" i="2"/>
  <c r="AU666" i="2"/>
  <c r="AT666" i="2"/>
  <c r="H666" i="1"/>
  <c r="AS666" i="2"/>
  <c r="G666" i="1"/>
  <c r="AR666" i="2"/>
  <c r="AQ666" i="2"/>
  <c r="AP666" i="2"/>
  <c r="D666" i="1"/>
  <c r="AO666" i="2"/>
  <c r="AN666" i="2"/>
  <c r="AM666" i="2"/>
  <c r="AJ666" i="2"/>
  <c r="AI666" i="2"/>
  <c r="BM665" i="2"/>
  <c r="AA665" i="1"/>
  <c r="BL665" i="2"/>
  <c r="BK665" i="2"/>
  <c r="BJ665" i="2"/>
  <c r="X665" i="1"/>
  <c r="BI665" i="2"/>
  <c r="BH665" i="2"/>
  <c r="BG665" i="2"/>
  <c r="U665" i="1"/>
  <c r="BF665" i="2"/>
  <c r="BE665" i="2"/>
  <c r="S665" i="1"/>
  <c r="BD665" i="2"/>
  <c r="BC665" i="2"/>
  <c r="BB665" i="2"/>
  <c r="BA665" i="2"/>
  <c r="AZ665" i="2"/>
  <c r="AY665" i="2"/>
  <c r="AX665" i="2"/>
  <c r="AW665" i="2"/>
  <c r="AV665" i="2"/>
  <c r="AU665" i="2"/>
  <c r="AT665" i="2"/>
  <c r="H665" i="1"/>
  <c r="AS665" i="2"/>
  <c r="G665" i="1"/>
  <c r="AR665" i="2"/>
  <c r="AQ665" i="2"/>
  <c r="AP665" i="2"/>
  <c r="D665" i="1"/>
  <c r="AO665" i="2"/>
  <c r="AN665" i="2"/>
  <c r="AM665" i="2"/>
  <c r="AJ665" i="2"/>
  <c r="AI665" i="2"/>
  <c r="BM664" i="2"/>
  <c r="AA664" i="1"/>
  <c r="BL664" i="2"/>
  <c r="BK664" i="2"/>
  <c r="BJ664" i="2"/>
  <c r="X664" i="1"/>
  <c r="BI664" i="2"/>
  <c r="BH664" i="2"/>
  <c r="BG664" i="2"/>
  <c r="U664" i="1"/>
  <c r="BF664" i="2"/>
  <c r="BE664" i="2"/>
  <c r="S664" i="1"/>
  <c r="BD664" i="2"/>
  <c r="BC664" i="2"/>
  <c r="BB664" i="2"/>
  <c r="BA664" i="2"/>
  <c r="AZ664" i="2"/>
  <c r="AY664" i="2"/>
  <c r="AX664" i="2"/>
  <c r="AW664" i="2"/>
  <c r="AV664" i="2"/>
  <c r="AU664" i="2"/>
  <c r="AT664" i="2"/>
  <c r="H664" i="1"/>
  <c r="AS664" i="2"/>
  <c r="G664" i="1"/>
  <c r="AR664" i="2"/>
  <c r="AQ664" i="2"/>
  <c r="AP664" i="2"/>
  <c r="D664" i="1"/>
  <c r="AO664" i="2"/>
  <c r="AN664" i="2"/>
  <c r="AM664" i="2"/>
  <c r="AJ664" i="2"/>
  <c r="AI664" i="2"/>
  <c r="BM663" i="2"/>
  <c r="AA663" i="1"/>
  <c r="BL663" i="2"/>
  <c r="BK663" i="2"/>
  <c r="BJ663" i="2"/>
  <c r="X663" i="1"/>
  <c r="BI663" i="2"/>
  <c r="BH663" i="2"/>
  <c r="BG663" i="2"/>
  <c r="U663" i="1"/>
  <c r="BF663" i="2"/>
  <c r="BE663" i="2"/>
  <c r="S663" i="1"/>
  <c r="BD663" i="2"/>
  <c r="BC663" i="2"/>
  <c r="BB663" i="2"/>
  <c r="BA663" i="2"/>
  <c r="AZ663" i="2"/>
  <c r="AY663" i="2"/>
  <c r="AX663" i="2"/>
  <c r="AW663" i="2"/>
  <c r="AV663" i="2"/>
  <c r="AU663" i="2"/>
  <c r="AT663" i="2"/>
  <c r="H663" i="1"/>
  <c r="AS663" i="2"/>
  <c r="G663" i="1"/>
  <c r="AR663" i="2"/>
  <c r="AQ663" i="2"/>
  <c r="AP663" i="2"/>
  <c r="D663" i="1"/>
  <c r="AO663" i="2"/>
  <c r="AN663" i="2"/>
  <c r="AM663" i="2"/>
  <c r="AJ663" i="2"/>
  <c r="AI663" i="2"/>
  <c r="BM662" i="2"/>
  <c r="AA662" i="1"/>
  <c r="BL662" i="2"/>
  <c r="BK662" i="2"/>
  <c r="BJ662" i="2"/>
  <c r="X662" i="1"/>
  <c r="BI662" i="2"/>
  <c r="BH662" i="2"/>
  <c r="BG662" i="2"/>
  <c r="U662" i="1"/>
  <c r="BF662" i="2"/>
  <c r="BE662" i="2"/>
  <c r="S662" i="1"/>
  <c r="BD662" i="2"/>
  <c r="BC662" i="2"/>
  <c r="BB662" i="2"/>
  <c r="BA662" i="2"/>
  <c r="AZ662" i="2"/>
  <c r="AY662" i="2"/>
  <c r="AX662" i="2"/>
  <c r="AW662" i="2"/>
  <c r="AV662" i="2"/>
  <c r="AU662" i="2"/>
  <c r="AT662" i="2"/>
  <c r="H662" i="1"/>
  <c r="AS662" i="2"/>
  <c r="G662" i="1"/>
  <c r="AR662" i="2"/>
  <c r="AQ662" i="2"/>
  <c r="AP662" i="2"/>
  <c r="D662" i="1"/>
  <c r="AO662" i="2"/>
  <c r="AN662" i="2"/>
  <c r="AM662" i="2"/>
  <c r="AJ662" i="2"/>
  <c r="AI662" i="2"/>
  <c r="BM661" i="2"/>
  <c r="AA661" i="1"/>
  <c r="BL661" i="2"/>
  <c r="BK661" i="2"/>
  <c r="BJ661" i="2"/>
  <c r="X661" i="1"/>
  <c r="BI661" i="2"/>
  <c r="BH661" i="2"/>
  <c r="BG661" i="2"/>
  <c r="U661" i="1"/>
  <c r="BF661" i="2"/>
  <c r="BE661" i="2"/>
  <c r="S661" i="1"/>
  <c r="BD661" i="2"/>
  <c r="BC661" i="2"/>
  <c r="BB661" i="2"/>
  <c r="BA661" i="2"/>
  <c r="AZ661" i="2"/>
  <c r="AY661" i="2"/>
  <c r="AX661" i="2"/>
  <c r="AW661" i="2"/>
  <c r="AV661" i="2"/>
  <c r="AU661" i="2"/>
  <c r="AT661" i="2"/>
  <c r="H661" i="1"/>
  <c r="AS661" i="2"/>
  <c r="G661" i="1"/>
  <c r="AR661" i="2"/>
  <c r="AQ661" i="2"/>
  <c r="AP661" i="2"/>
  <c r="D661" i="1"/>
  <c r="AO661" i="2"/>
  <c r="AN661" i="2"/>
  <c r="AM661" i="2"/>
  <c r="AJ661" i="2"/>
  <c r="AI661" i="2"/>
  <c r="BM660" i="2"/>
  <c r="AA660" i="1"/>
  <c r="BL660" i="2"/>
  <c r="BK660" i="2"/>
  <c r="BJ660" i="2"/>
  <c r="X660" i="1"/>
  <c r="BI660" i="2"/>
  <c r="BH660" i="2"/>
  <c r="BG660" i="2"/>
  <c r="U660" i="1"/>
  <c r="BF660" i="2"/>
  <c r="BE660" i="2"/>
  <c r="S660" i="1"/>
  <c r="BD660" i="2"/>
  <c r="BC660" i="2"/>
  <c r="BB660" i="2"/>
  <c r="BA660" i="2"/>
  <c r="AZ660" i="2"/>
  <c r="AY660" i="2"/>
  <c r="AX660" i="2"/>
  <c r="AW660" i="2"/>
  <c r="AV660" i="2"/>
  <c r="AU660" i="2"/>
  <c r="AT660" i="2"/>
  <c r="H660" i="1"/>
  <c r="AS660" i="2"/>
  <c r="G660" i="1"/>
  <c r="AR660" i="2"/>
  <c r="AQ660" i="2"/>
  <c r="AP660" i="2"/>
  <c r="D660" i="1"/>
  <c r="AO660" i="2"/>
  <c r="AN660" i="2"/>
  <c r="AM660" i="2"/>
  <c r="AJ660" i="2"/>
  <c r="AI660" i="2"/>
  <c r="BM659" i="2"/>
  <c r="AA659" i="1"/>
  <c r="BL659" i="2"/>
  <c r="BK659" i="2"/>
  <c r="BJ659" i="2"/>
  <c r="X659" i="1"/>
  <c r="BI659" i="2"/>
  <c r="BH659" i="2"/>
  <c r="BG659" i="2"/>
  <c r="U659" i="1"/>
  <c r="BF659" i="2"/>
  <c r="BE659" i="2"/>
  <c r="S659" i="1"/>
  <c r="BD659" i="2"/>
  <c r="BC659" i="2"/>
  <c r="BB659" i="2"/>
  <c r="BA659" i="2"/>
  <c r="AZ659" i="2"/>
  <c r="AY659" i="2"/>
  <c r="AX659" i="2"/>
  <c r="AW659" i="2"/>
  <c r="AV659" i="2"/>
  <c r="AU659" i="2"/>
  <c r="AT659" i="2"/>
  <c r="H659" i="1"/>
  <c r="AS659" i="2"/>
  <c r="G659" i="1"/>
  <c r="AR659" i="2"/>
  <c r="AQ659" i="2"/>
  <c r="AP659" i="2"/>
  <c r="D659" i="1"/>
  <c r="AO659" i="2"/>
  <c r="AN659" i="2"/>
  <c r="AM659" i="2"/>
  <c r="AJ659" i="2"/>
  <c r="AI659" i="2"/>
  <c r="BM658" i="2"/>
  <c r="AA658" i="1"/>
  <c r="BL658" i="2"/>
  <c r="BK658" i="2"/>
  <c r="BJ658" i="2"/>
  <c r="X658" i="1"/>
  <c r="BI658" i="2"/>
  <c r="BH658" i="2"/>
  <c r="BG658" i="2"/>
  <c r="U658" i="1"/>
  <c r="BF658" i="2"/>
  <c r="BE658" i="2"/>
  <c r="S658" i="1"/>
  <c r="BD658" i="2"/>
  <c r="BC658" i="2"/>
  <c r="BB658" i="2"/>
  <c r="BA658" i="2"/>
  <c r="AZ658" i="2"/>
  <c r="AY658" i="2"/>
  <c r="AX658" i="2"/>
  <c r="AW658" i="2"/>
  <c r="AV658" i="2"/>
  <c r="AU658" i="2"/>
  <c r="AT658" i="2"/>
  <c r="H658" i="1"/>
  <c r="AS658" i="2"/>
  <c r="G658" i="1"/>
  <c r="AR658" i="2"/>
  <c r="AQ658" i="2"/>
  <c r="AP658" i="2"/>
  <c r="D658" i="1"/>
  <c r="AO658" i="2"/>
  <c r="AN658" i="2"/>
  <c r="AM658" i="2"/>
  <c r="AJ658" i="2"/>
  <c r="AI658" i="2"/>
  <c r="BM657" i="2"/>
  <c r="AA657" i="1"/>
  <c r="BL657" i="2"/>
  <c r="BK657" i="2"/>
  <c r="BJ657" i="2"/>
  <c r="X657" i="1"/>
  <c r="BI657" i="2"/>
  <c r="BH657" i="2"/>
  <c r="BG657" i="2"/>
  <c r="U657" i="1"/>
  <c r="BF657" i="2"/>
  <c r="BE657" i="2"/>
  <c r="S657" i="1"/>
  <c r="BD657" i="2"/>
  <c r="BC657" i="2"/>
  <c r="BB657" i="2"/>
  <c r="BA657" i="2"/>
  <c r="AZ657" i="2"/>
  <c r="AY657" i="2"/>
  <c r="AX657" i="2"/>
  <c r="AW657" i="2"/>
  <c r="AV657" i="2"/>
  <c r="AU657" i="2"/>
  <c r="AT657" i="2"/>
  <c r="H657" i="1"/>
  <c r="AS657" i="2"/>
  <c r="G657" i="1"/>
  <c r="AR657" i="2"/>
  <c r="AQ657" i="2"/>
  <c r="AP657" i="2"/>
  <c r="D657" i="1"/>
  <c r="AO657" i="2"/>
  <c r="AN657" i="2"/>
  <c r="AM657" i="2"/>
  <c r="AJ657" i="2"/>
  <c r="AI657" i="2"/>
  <c r="BM656" i="2"/>
  <c r="AA656" i="1"/>
  <c r="BL656" i="2"/>
  <c r="BK656" i="2"/>
  <c r="BJ656" i="2"/>
  <c r="X656" i="1"/>
  <c r="BI656" i="2"/>
  <c r="BH656" i="2"/>
  <c r="BG656" i="2"/>
  <c r="U656" i="1"/>
  <c r="BF656" i="2"/>
  <c r="BE656" i="2"/>
  <c r="S656" i="1"/>
  <c r="BD656" i="2"/>
  <c r="BC656" i="2"/>
  <c r="BB656" i="2"/>
  <c r="BA656" i="2"/>
  <c r="AZ656" i="2"/>
  <c r="AY656" i="2"/>
  <c r="AX656" i="2"/>
  <c r="AW656" i="2"/>
  <c r="AV656" i="2"/>
  <c r="AU656" i="2"/>
  <c r="AT656" i="2"/>
  <c r="H656" i="1"/>
  <c r="AS656" i="2"/>
  <c r="G656" i="1"/>
  <c r="AR656" i="2"/>
  <c r="AQ656" i="2"/>
  <c r="AP656" i="2"/>
  <c r="D656" i="1"/>
  <c r="AO656" i="2"/>
  <c r="AN656" i="2"/>
  <c r="AM656" i="2"/>
  <c r="AJ656" i="2"/>
  <c r="AI656" i="2"/>
  <c r="BM655" i="2"/>
  <c r="AA655" i="1"/>
  <c r="BL655" i="2"/>
  <c r="BK655" i="2"/>
  <c r="BJ655" i="2"/>
  <c r="X655" i="1"/>
  <c r="BI655" i="2"/>
  <c r="BH655" i="2"/>
  <c r="BG655" i="2"/>
  <c r="U655" i="1"/>
  <c r="BF655" i="2"/>
  <c r="BE655" i="2"/>
  <c r="S655" i="1"/>
  <c r="BD655" i="2"/>
  <c r="BC655" i="2"/>
  <c r="BB655" i="2"/>
  <c r="BA655" i="2"/>
  <c r="AZ655" i="2"/>
  <c r="AY655" i="2"/>
  <c r="AX655" i="2"/>
  <c r="AW655" i="2"/>
  <c r="AV655" i="2"/>
  <c r="AU655" i="2"/>
  <c r="AT655" i="2"/>
  <c r="H655" i="1"/>
  <c r="AS655" i="2"/>
  <c r="G655" i="1"/>
  <c r="AR655" i="2"/>
  <c r="AQ655" i="2"/>
  <c r="AP655" i="2"/>
  <c r="D655" i="1"/>
  <c r="AO655" i="2"/>
  <c r="AN655" i="2"/>
  <c r="AM655" i="2"/>
  <c r="AJ655" i="2"/>
  <c r="AI655" i="2"/>
  <c r="BM654" i="2"/>
  <c r="AA654" i="1"/>
  <c r="BL654" i="2"/>
  <c r="BK654" i="2"/>
  <c r="BJ654" i="2"/>
  <c r="X654" i="1"/>
  <c r="BI654" i="2"/>
  <c r="BH654" i="2"/>
  <c r="BG654" i="2"/>
  <c r="U654" i="1"/>
  <c r="BF654" i="2"/>
  <c r="BE654" i="2"/>
  <c r="S654" i="1"/>
  <c r="BD654" i="2"/>
  <c r="BC654" i="2"/>
  <c r="BB654" i="2"/>
  <c r="BA654" i="2"/>
  <c r="AZ654" i="2"/>
  <c r="AY654" i="2"/>
  <c r="AX654" i="2"/>
  <c r="AW654" i="2"/>
  <c r="AV654" i="2"/>
  <c r="AU654" i="2"/>
  <c r="AT654" i="2"/>
  <c r="H654" i="1"/>
  <c r="AS654" i="2"/>
  <c r="G654" i="1"/>
  <c r="AR654" i="2"/>
  <c r="AQ654" i="2"/>
  <c r="AP654" i="2"/>
  <c r="D654" i="1"/>
  <c r="AO654" i="2"/>
  <c r="AN654" i="2"/>
  <c r="AM654" i="2"/>
  <c r="AJ654" i="2"/>
  <c r="AI654" i="2"/>
  <c r="BM653" i="2"/>
  <c r="AA653" i="1"/>
  <c r="BL653" i="2"/>
  <c r="BK653" i="2"/>
  <c r="BJ653" i="2"/>
  <c r="X653" i="1"/>
  <c r="BI653" i="2"/>
  <c r="BH653" i="2"/>
  <c r="BG653" i="2"/>
  <c r="U653" i="1"/>
  <c r="BF653" i="2"/>
  <c r="BE653" i="2"/>
  <c r="S653" i="1"/>
  <c r="BD653" i="2"/>
  <c r="BC653" i="2"/>
  <c r="BB653" i="2"/>
  <c r="BA653" i="2"/>
  <c r="AZ653" i="2"/>
  <c r="AY653" i="2"/>
  <c r="AX653" i="2"/>
  <c r="AW653" i="2"/>
  <c r="AV653" i="2"/>
  <c r="AU653" i="2"/>
  <c r="AT653" i="2"/>
  <c r="H653" i="1"/>
  <c r="AS653" i="2"/>
  <c r="G653" i="1"/>
  <c r="AR653" i="2"/>
  <c r="AQ653" i="2"/>
  <c r="AP653" i="2"/>
  <c r="D653" i="1"/>
  <c r="AO653" i="2"/>
  <c r="AN653" i="2"/>
  <c r="AM653" i="2"/>
  <c r="AJ653" i="2"/>
  <c r="AI653" i="2"/>
  <c r="BM652" i="2"/>
  <c r="AA652" i="1"/>
  <c r="BL652" i="2"/>
  <c r="BK652" i="2"/>
  <c r="BJ652" i="2"/>
  <c r="X652" i="1"/>
  <c r="BI652" i="2"/>
  <c r="BH652" i="2"/>
  <c r="BG652" i="2"/>
  <c r="U652" i="1"/>
  <c r="BF652" i="2"/>
  <c r="BE652" i="2"/>
  <c r="S652" i="1"/>
  <c r="BD652" i="2"/>
  <c r="BC652" i="2"/>
  <c r="BB652" i="2"/>
  <c r="BA652" i="2"/>
  <c r="AZ652" i="2"/>
  <c r="AY652" i="2"/>
  <c r="AX652" i="2"/>
  <c r="AW652" i="2"/>
  <c r="AV652" i="2"/>
  <c r="AU652" i="2"/>
  <c r="AT652" i="2"/>
  <c r="H652" i="1"/>
  <c r="AS652" i="2"/>
  <c r="G652" i="1"/>
  <c r="AR652" i="2"/>
  <c r="AQ652" i="2"/>
  <c r="AP652" i="2"/>
  <c r="D652" i="1"/>
  <c r="AO652" i="2"/>
  <c r="AN652" i="2"/>
  <c r="AM652" i="2"/>
  <c r="AJ652" i="2"/>
  <c r="AI652" i="2"/>
  <c r="BM651" i="2"/>
  <c r="AA651" i="1"/>
  <c r="BL651" i="2"/>
  <c r="BK651" i="2"/>
  <c r="BJ651" i="2"/>
  <c r="X651" i="1"/>
  <c r="BI651" i="2"/>
  <c r="BH651" i="2"/>
  <c r="BG651" i="2"/>
  <c r="U651" i="1"/>
  <c r="BF651" i="2"/>
  <c r="BE651" i="2"/>
  <c r="S651" i="1"/>
  <c r="BD651" i="2"/>
  <c r="BC651" i="2"/>
  <c r="BB651" i="2"/>
  <c r="BA651" i="2"/>
  <c r="AZ651" i="2"/>
  <c r="AY651" i="2"/>
  <c r="AX651" i="2"/>
  <c r="AW651" i="2"/>
  <c r="AV651" i="2"/>
  <c r="AU651" i="2"/>
  <c r="AT651" i="2"/>
  <c r="H651" i="1"/>
  <c r="AS651" i="2"/>
  <c r="G651" i="1"/>
  <c r="AR651" i="2"/>
  <c r="AQ651" i="2"/>
  <c r="AP651" i="2"/>
  <c r="D651" i="1"/>
  <c r="AO651" i="2"/>
  <c r="AN651" i="2"/>
  <c r="AM651" i="2"/>
  <c r="AJ651" i="2"/>
  <c r="AI651" i="2"/>
  <c r="BM650" i="2"/>
  <c r="AA650" i="1"/>
  <c r="BL650" i="2"/>
  <c r="BK650" i="2"/>
  <c r="BJ650" i="2"/>
  <c r="X650" i="1"/>
  <c r="BI650" i="2"/>
  <c r="BH650" i="2"/>
  <c r="BG650" i="2"/>
  <c r="U650" i="1"/>
  <c r="BF650" i="2"/>
  <c r="BE650" i="2"/>
  <c r="S650" i="1"/>
  <c r="BD650" i="2"/>
  <c r="BC650" i="2"/>
  <c r="BB650" i="2"/>
  <c r="BA650" i="2"/>
  <c r="AZ650" i="2"/>
  <c r="AY650" i="2"/>
  <c r="AX650" i="2"/>
  <c r="AW650" i="2"/>
  <c r="AV650" i="2"/>
  <c r="AU650" i="2"/>
  <c r="AT650" i="2"/>
  <c r="H650" i="1"/>
  <c r="AS650" i="2"/>
  <c r="G650" i="1"/>
  <c r="AR650" i="2"/>
  <c r="AQ650" i="2"/>
  <c r="AP650" i="2"/>
  <c r="D650" i="1"/>
  <c r="AO650" i="2"/>
  <c r="AN650" i="2"/>
  <c r="AM650" i="2"/>
  <c r="AJ650" i="2"/>
  <c r="AI650" i="2"/>
  <c r="BM649" i="2"/>
  <c r="AA649" i="1"/>
  <c r="BL649" i="2"/>
  <c r="BK649" i="2"/>
  <c r="BJ649" i="2"/>
  <c r="X649" i="1"/>
  <c r="BI649" i="2"/>
  <c r="BH649" i="2"/>
  <c r="BG649" i="2"/>
  <c r="U649" i="1"/>
  <c r="BF649" i="2"/>
  <c r="BE649" i="2"/>
  <c r="S649" i="1"/>
  <c r="BD649" i="2"/>
  <c r="BC649" i="2"/>
  <c r="BB649" i="2"/>
  <c r="BA649" i="2"/>
  <c r="AZ649" i="2"/>
  <c r="AY649" i="2"/>
  <c r="AX649" i="2"/>
  <c r="AW649" i="2"/>
  <c r="AV649" i="2"/>
  <c r="AU649" i="2"/>
  <c r="AT649" i="2"/>
  <c r="H649" i="1"/>
  <c r="AS649" i="2"/>
  <c r="G649" i="1"/>
  <c r="AR649" i="2"/>
  <c r="AQ649" i="2"/>
  <c r="AP649" i="2"/>
  <c r="D649" i="1"/>
  <c r="AO649" i="2"/>
  <c r="AN649" i="2"/>
  <c r="AM649" i="2"/>
  <c r="AJ649" i="2"/>
  <c r="AI649" i="2"/>
  <c r="BM648" i="2"/>
  <c r="AA648" i="1"/>
  <c r="BL648" i="2"/>
  <c r="BK648" i="2"/>
  <c r="BJ648" i="2"/>
  <c r="X648" i="1"/>
  <c r="BI648" i="2"/>
  <c r="BH648" i="2"/>
  <c r="BG648" i="2"/>
  <c r="U648" i="1"/>
  <c r="BF648" i="2"/>
  <c r="BE648" i="2"/>
  <c r="S648" i="1"/>
  <c r="BD648" i="2"/>
  <c r="BC648" i="2"/>
  <c r="BB648" i="2"/>
  <c r="BA648" i="2"/>
  <c r="AZ648" i="2"/>
  <c r="AY648" i="2"/>
  <c r="AX648" i="2"/>
  <c r="AW648" i="2"/>
  <c r="AV648" i="2"/>
  <c r="AU648" i="2"/>
  <c r="AT648" i="2"/>
  <c r="H648" i="1"/>
  <c r="AS648" i="2"/>
  <c r="G648" i="1"/>
  <c r="AR648" i="2"/>
  <c r="AQ648" i="2"/>
  <c r="AP648" i="2"/>
  <c r="D648" i="1"/>
  <c r="AO648" i="2"/>
  <c r="AN648" i="2"/>
  <c r="AM648" i="2"/>
  <c r="AJ648" i="2"/>
  <c r="AI648" i="2"/>
  <c r="BM647" i="2"/>
  <c r="AA647" i="1"/>
  <c r="BL647" i="2"/>
  <c r="BK647" i="2"/>
  <c r="BJ647" i="2"/>
  <c r="X647" i="1"/>
  <c r="BI647" i="2"/>
  <c r="BH647" i="2"/>
  <c r="BG647" i="2"/>
  <c r="U647" i="1"/>
  <c r="BF647" i="2"/>
  <c r="BE647" i="2"/>
  <c r="S647" i="1"/>
  <c r="BD647" i="2"/>
  <c r="BC647" i="2"/>
  <c r="BB647" i="2"/>
  <c r="BA647" i="2"/>
  <c r="AZ647" i="2"/>
  <c r="AY647" i="2"/>
  <c r="AX647" i="2"/>
  <c r="AW647" i="2"/>
  <c r="AV647" i="2"/>
  <c r="AU647" i="2"/>
  <c r="AT647" i="2"/>
  <c r="H647" i="1"/>
  <c r="AS647" i="2"/>
  <c r="G647" i="1"/>
  <c r="AR647" i="2"/>
  <c r="AQ647" i="2"/>
  <c r="AP647" i="2"/>
  <c r="D647" i="1"/>
  <c r="AO647" i="2"/>
  <c r="AN647" i="2"/>
  <c r="AM647" i="2"/>
  <c r="AJ647" i="2"/>
  <c r="AI647" i="2"/>
  <c r="BM646" i="2"/>
  <c r="AA646" i="1"/>
  <c r="BL646" i="2"/>
  <c r="BK646" i="2"/>
  <c r="BJ646" i="2"/>
  <c r="X646" i="1"/>
  <c r="BI646" i="2"/>
  <c r="BH646" i="2"/>
  <c r="BG646" i="2"/>
  <c r="U646" i="1"/>
  <c r="BF646" i="2"/>
  <c r="BE646" i="2"/>
  <c r="S646" i="1"/>
  <c r="BD646" i="2"/>
  <c r="BC646" i="2"/>
  <c r="BB646" i="2"/>
  <c r="BA646" i="2"/>
  <c r="AZ646" i="2"/>
  <c r="AY646" i="2"/>
  <c r="AX646" i="2"/>
  <c r="AW646" i="2"/>
  <c r="AV646" i="2"/>
  <c r="AU646" i="2"/>
  <c r="AT646" i="2"/>
  <c r="H646" i="1"/>
  <c r="AS646" i="2"/>
  <c r="G646" i="1"/>
  <c r="AR646" i="2"/>
  <c r="AQ646" i="2"/>
  <c r="AP646" i="2"/>
  <c r="D646" i="1"/>
  <c r="AO646" i="2"/>
  <c r="AN646" i="2"/>
  <c r="AM646" i="2"/>
  <c r="AJ646" i="2"/>
  <c r="AI646" i="2"/>
  <c r="BM645" i="2"/>
  <c r="AA645" i="1"/>
  <c r="BL645" i="2"/>
  <c r="BK645" i="2"/>
  <c r="BJ645" i="2"/>
  <c r="X645" i="1"/>
  <c r="BI645" i="2"/>
  <c r="BH645" i="2"/>
  <c r="BG645" i="2"/>
  <c r="U645" i="1"/>
  <c r="BF645" i="2"/>
  <c r="BE645" i="2"/>
  <c r="S645" i="1"/>
  <c r="BD645" i="2"/>
  <c r="BC645" i="2"/>
  <c r="BB645" i="2"/>
  <c r="BA645" i="2"/>
  <c r="AZ645" i="2"/>
  <c r="AY645" i="2"/>
  <c r="AX645" i="2"/>
  <c r="AW645" i="2"/>
  <c r="AV645" i="2"/>
  <c r="AU645" i="2"/>
  <c r="AT645" i="2"/>
  <c r="H645" i="1"/>
  <c r="AS645" i="2"/>
  <c r="G645" i="1"/>
  <c r="AR645" i="2"/>
  <c r="AQ645" i="2"/>
  <c r="AP645" i="2"/>
  <c r="D645" i="1"/>
  <c r="AO645" i="2"/>
  <c r="AN645" i="2"/>
  <c r="AM645" i="2"/>
  <c r="AJ645" i="2"/>
  <c r="AI645" i="2"/>
  <c r="BM644" i="2"/>
  <c r="AA644" i="1"/>
  <c r="BL644" i="2"/>
  <c r="BK644" i="2"/>
  <c r="BJ644" i="2"/>
  <c r="X644" i="1"/>
  <c r="BI644" i="2"/>
  <c r="BH644" i="2"/>
  <c r="BG644" i="2"/>
  <c r="U644" i="1"/>
  <c r="BF644" i="2"/>
  <c r="BE644" i="2"/>
  <c r="S644" i="1"/>
  <c r="BD644" i="2"/>
  <c r="BC644" i="2"/>
  <c r="BB644" i="2"/>
  <c r="BA644" i="2"/>
  <c r="AZ644" i="2"/>
  <c r="AY644" i="2"/>
  <c r="AX644" i="2"/>
  <c r="AW644" i="2"/>
  <c r="AV644" i="2"/>
  <c r="AU644" i="2"/>
  <c r="AT644" i="2"/>
  <c r="H644" i="1"/>
  <c r="AS644" i="2"/>
  <c r="G644" i="1"/>
  <c r="AR644" i="2"/>
  <c r="AQ644" i="2"/>
  <c r="AP644" i="2"/>
  <c r="D644" i="1"/>
  <c r="AO644" i="2"/>
  <c r="AN644" i="2"/>
  <c r="AM644" i="2"/>
  <c r="AJ644" i="2"/>
  <c r="AI644" i="2"/>
  <c r="BM643" i="2"/>
  <c r="AA643" i="1"/>
  <c r="BL643" i="2"/>
  <c r="BK643" i="2"/>
  <c r="BJ643" i="2"/>
  <c r="X643" i="1"/>
  <c r="BI643" i="2"/>
  <c r="BH643" i="2"/>
  <c r="BG643" i="2"/>
  <c r="U643" i="1"/>
  <c r="BF643" i="2"/>
  <c r="BE643" i="2"/>
  <c r="S643" i="1"/>
  <c r="BD643" i="2"/>
  <c r="BC643" i="2"/>
  <c r="BB643" i="2"/>
  <c r="BA643" i="2"/>
  <c r="AZ643" i="2"/>
  <c r="AY643" i="2"/>
  <c r="AX643" i="2"/>
  <c r="AW643" i="2"/>
  <c r="AV643" i="2"/>
  <c r="AU643" i="2"/>
  <c r="AT643" i="2"/>
  <c r="H643" i="1"/>
  <c r="AS643" i="2"/>
  <c r="G643" i="1"/>
  <c r="AR643" i="2"/>
  <c r="AQ643" i="2"/>
  <c r="AP643" i="2"/>
  <c r="D643" i="1"/>
  <c r="AO643" i="2"/>
  <c r="AN643" i="2"/>
  <c r="AM643" i="2"/>
  <c r="AJ643" i="2"/>
  <c r="AI643" i="2"/>
  <c r="BM642" i="2"/>
  <c r="AA642" i="1"/>
  <c r="BL642" i="2"/>
  <c r="BK642" i="2"/>
  <c r="BJ642" i="2"/>
  <c r="X642" i="1"/>
  <c r="BI642" i="2"/>
  <c r="BH642" i="2"/>
  <c r="BG642" i="2"/>
  <c r="U642" i="1"/>
  <c r="BF642" i="2"/>
  <c r="BE642" i="2"/>
  <c r="S642" i="1"/>
  <c r="BD642" i="2"/>
  <c r="BC642" i="2"/>
  <c r="BB642" i="2"/>
  <c r="BA642" i="2"/>
  <c r="AZ642" i="2"/>
  <c r="AY642" i="2"/>
  <c r="AX642" i="2"/>
  <c r="AW642" i="2"/>
  <c r="AV642" i="2"/>
  <c r="AU642" i="2"/>
  <c r="AT642" i="2"/>
  <c r="H642" i="1"/>
  <c r="AS642" i="2"/>
  <c r="G642" i="1"/>
  <c r="AR642" i="2"/>
  <c r="AQ642" i="2"/>
  <c r="AP642" i="2"/>
  <c r="D642" i="1"/>
  <c r="AO642" i="2"/>
  <c r="AN642" i="2"/>
  <c r="AM642" i="2"/>
  <c r="AJ642" i="2"/>
  <c r="AI642" i="2"/>
  <c r="BM641" i="2"/>
  <c r="AA641" i="1"/>
  <c r="BL641" i="2"/>
  <c r="BK641" i="2"/>
  <c r="BJ641" i="2"/>
  <c r="X641" i="1"/>
  <c r="BI641" i="2"/>
  <c r="BH641" i="2"/>
  <c r="BG641" i="2"/>
  <c r="U641" i="1"/>
  <c r="BF641" i="2"/>
  <c r="BE641" i="2"/>
  <c r="S641" i="1"/>
  <c r="BD641" i="2"/>
  <c r="BC641" i="2"/>
  <c r="BB641" i="2"/>
  <c r="BA641" i="2"/>
  <c r="AZ641" i="2"/>
  <c r="AY641" i="2"/>
  <c r="AX641" i="2"/>
  <c r="AW641" i="2"/>
  <c r="AV641" i="2"/>
  <c r="AU641" i="2"/>
  <c r="AT641" i="2"/>
  <c r="H641" i="1"/>
  <c r="AS641" i="2"/>
  <c r="G641" i="1"/>
  <c r="AR641" i="2"/>
  <c r="AQ641" i="2"/>
  <c r="AP641" i="2"/>
  <c r="D641" i="1"/>
  <c r="AO641" i="2"/>
  <c r="AN641" i="2"/>
  <c r="AM641" i="2"/>
  <c r="AJ641" i="2"/>
  <c r="AI641" i="2"/>
  <c r="BM640" i="2"/>
  <c r="AA640" i="1"/>
  <c r="BL640" i="2"/>
  <c r="BK640" i="2"/>
  <c r="BJ640" i="2"/>
  <c r="X640" i="1"/>
  <c r="BI640" i="2"/>
  <c r="BH640" i="2"/>
  <c r="BG640" i="2"/>
  <c r="U640" i="1"/>
  <c r="BF640" i="2"/>
  <c r="BE640" i="2"/>
  <c r="S640" i="1"/>
  <c r="BD640" i="2"/>
  <c r="BC640" i="2"/>
  <c r="BB640" i="2"/>
  <c r="BA640" i="2"/>
  <c r="AZ640" i="2"/>
  <c r="AY640" i="2"/>
  <c r="AX640" i="2"/>
  <c r="AW640" i="2"/>
  <c r="AV640" i="2"/>
  <c r="AU640" i="2"/>
  <c r="AT640" i="2"/>
  <c r="H640" i="1"/>
  <c r="AS640" i="2"/>
  <c r="G640" i="1"/>
  <c r="AR640" i="2"/>
  <c r="AQ640" i="2"/>
  <c r="AP640" i="2"/>
  <c r="D640" i="1"/>
  <c r="AO640" i="2"/>
  <c r="AN640" i="2"/>
  <c r="AM640" i="2"/>
  <c r="AJ640" i="2"/>
  <c r="AI640" i="2"/>
  <c r="BM639" i="2"/>
  <c r="AA639" i="1"/>
  <c r="BL639" i="2"/>
  <c r="BK639" i="2"/>
  <c r="BJ639" i="2"/>
  <c r="X639" i="1"/>
  <c r="BI639" i="2"/>
  <c r="BH639" i="2"/>
  <c r="BG639" i="2"/>
  <c r="U639" i="1"/>
  <c r="BF639" i="2"/>
  <c r="BE639" i="2"/>
  <c r="S639" i="1"/>
  <c r="BD639" i="2"/>
  <c r="BC639" i="2"/>
  <c r="BB639" i="2"/>
  <c r="BA639" i="2"/>
  <c r="AZ639" i="2"/>
  <c r="AY639" i="2"/>
  <c r="AX639" i="2"/>
  <c r="AW639" i="2"/>
  <c r="AV639" i="2"/>
  <c r="AU639" i="2"/>
  <c r="AT639" i="2"/>
  <c r="H639" i="1"/>
  <c r="AS639" i="2"/>
  <c r="G639" i="1"/>
  <c r="AR639" i="2"/>
  <c r="AQ639" i="2"/>
  <c r="AP639" i="2"/>
  <c r="D639" i="1"/>
  <c r="AO639" i="2"/>
  <c r="AN639" i="2"/>
  <c r="AM639" i="2"/>
  <c r="AJ639" i="2"/>
  <c r="AI639" i="2"/>
  <c r="BM638" i="2"/>
  <c r="AA638" i="1"/>
  <c r="BL638" i="2"/>
  <c r="BK638" i="2"/>
  <c r="BJ638" i="2"/>
  <c r="X638" i="1"/>
  <c r="BI638" i="2"/>
  <c r="BH638" i="2"/>
  <c r="BG638" i="2"/>
  <c r="U638" i="1"/>
  <c r="BF638" i="2"/>
  <c r="BE638" i="2"/>
  <c r="S638" i="1"/>
  <c r="BD638" i="2"/>
  <c r="BC638" i="2"/>
  <c r="BB638" i="2"/>
  <c r="BA638" i="2"/>
  <c r="AZ638" i="2"/>
  <c r="AY638" i="2"/>
  <c r="AX638" i="2"/>
  <c r="AW638" i="2"/>
  <c r="AV638" i="2"/>
  <c r="AU638" i="2"/>
  <c r="AT638" i="2"/>
  <c r="H638" i="1"/>
  <c r="AS638" i="2"/>
  <c r="G638" i="1"/>
  <c r="AR638" i="2"/>
  <c r="AQ638" i="2"/>
  <c r="AP638" i="2"/>
  <c r="D638" i="1"/>
  <c r="AO638" i="2"/>
  <c r="AN638" i="2"/>
  <c r="AM638" i="2"/>
  <c r="AJ638" i="2"/>
  <c r="AI638" i="2"/>
  <c r="BM637" i="2"/>
  <c r="AA637" i="1"/>
  <c r="BL637" i="2"/>
  <c r="BK637" i="2"/>
  <c r="BJ637" i="2"/>
  <c r="X637" i="1"/>
  <c r="BI637" i="2"/>
  <c r="BH637" i="2"/>
  <c r="BG637" i="2"/>
  <c r="U637" i="1"/>
  <c r="BF637" i="2"/>
  <c r="BE637" i="2"/>
  <c r="S637" i="1"/>
  <c r="BD637" i="2"/>
  <c r="BC637" i="2"/>
  <c r="BB637" i="2"/>
  <c r="BA637" i="2"/>
  <c r="AZ637" i="2"/>
  <c r="AY637" i="2"/>
  <c r="AX637" i="2"/>
  <c r="AW637" i="2"/>
  <c r="AV637" i="2"/>
  <c r="AU637" i="2"/>
  <c r="AT637" i="2"/>
  <c r="H637" i="1"/>
  <c r="AS637" i="2"/>
  <c r="G637" i="1"/>
  <c r="AR637" i="2"/>
  <c r="AQ637" i="2"/>
  <c r="AP637" i="2"/>
  <c r="D637" i="1"/>
  <c r="AO637" i="2"/>
  <c r="AN637" i="2"/>
  <c r="AM637" i="2"/>
  <c r="AJ637" i="2"/>
  <c r="AI637" i="2"/>
  <c r="BM636" i="2"/>
  <c r="AA636" i="1"/>
  <c r="BL636" i="2"/>
  <c r="BK636" i="2"/>
  <c r="BJ636" i="2"/>
  <c r="X636" i="1"/>
  <c r="BI636" i="2"/>
  <c r="BH636" i="2"/>
  <c r="BG636" i="2"/>
  <c r="U636" i="1"/>
  <c r="BF636" i="2"/>
  <c r="BE636" i="2"/>
  <c r="S636" i="1"/>
  <c r="BD636" i="2"/>
  <c r="BC636" i="2"/>
  <c r="BB636" i="2"/>
  <c r="BA636" i="2"/>
  <c r="AZ636" i="2"/>
  <c r="AY636" i="2"/>
  <c r="AX636" i="2"/>
  <c r="AW636" i="2"/>
  <c r="AV636" i="2"/>
  <c r="AU636" i="2"/>
  <c r="AT636" i="2"/>
  <c r="H636" i="1"/>
  <c r="AS636" i="2"/>
  <c r="G636" i="1"/>
  <c r="AR636" i="2"/>
  <c r="AQ636" i="2"/>
  <c r="AP636" i="2"/>
  <c r="D636" i="1"/>
  <c r="AO636" i="2"/>
  <c r="AN636" i="2"/>
  <c r="AM636" i="2"/>
  <c r="AJ636" i="2"/>
  <c r="AI636" i="2"/>
  <c r="BM635" i="2"/>
  <c r="AA635" i="1"/>
  <c r="BL635" i="2"/>
  <c r="BK635" i="2"/>
  <c r="BJ635" i="2"/>
  <c r="X635" i="1"/>
  <c r="BI635" i="2"/>
  <c r="BH635" i="2"/>
  <c r="BG635" i="2"/>
  <c r="U635" i="1"/>
  <c r="BF635" i="2"/>
  <c r="BE635" i="2"/>
  <c r="S635" i="1"/>
  <c r="BD635" i="2"/>
  <c r="BC635" i="2"/>
  <c r="BB635" i="2"/>
  <c r="BA635" i="2"/>
  <c r="AZ635" i="2"/>
  <c r="AY635" i="2"/>
  <c r="AX635" i="2"/>
  <c r="AW635" i="2"/>
  <c r="AV635" i="2"/>
  <c r="AU635" i="2"/>
  <c r="AT635" i="2"/>
  <c r="H635" i="1"/>
  <c r="AS635" i="2"/>
  <c r="G635" i="1"/>
  <c r="AR635" i="2"/>
  <c r="AQ635" i="2"/>
  <c r="AP635" i="2"/>
  <c r="D635" i="1"/>
  <c r="AO635" i="2"/>
  <c r="AN635" i="2"/>
  <c r="AM635" i="2"/>
  <c r="AJ635" i="2"/>
  <c r="AI635" i="2"/>
  <c r="BM634" i="2"/>
  <c r="AA634" i="1"/>
  <c r="BL634" i="2"/>
  <c r="BK634" i="2"/>
  <c r="BJ634" i="2"/>
  <c r="X634" i="1"/>
  <c r="BI634" i="2"/>
  <c r="BH634" i="2"/>
  <c r="BG634" i="2"/>
  <c r="U634" i="1"/>
  <c r="BF634" i="2"/>
  <c r="BE634" i="2"/>
  <c r="S634" i="1"/>
  <c r="BD634" i="2"/>
  <c r="BC634" i="2"/>
  <c r="BB634" i="2"/>
  <c r="BA634" i="2"/>
  <c r="AZ634" i="2"/>
  <c r="AY634" i="2"/>
  <c r="AX634" i="2"/>
  <c r="AW634" i="2"/>
  <c r="AV634" i="2"/>
  <c r="AU634" i="2"/>
  <c r="AT634" i="2"/>
  <c r="H634" i="1"/>
  <c r="AS634" i="2"/>
  <c r="G634" i="1"/>
  <c r="AR634" i="2"/>
  <c r="AQ634" i="2"/>
  <c r="AP634" i="2"/>
  <c r="D634" i="1"/>
  <c r="AO634" i="2"/>
  <c r="AN634" i="2"/>
  <c r="AM634" i="2"/>
  <c r="AJ634" i="2"/>
  <c r="AI634" i="2"/>
  <c r="BM633" i="2"/>
  <c r="AA633" i="1"/>
  <c r="BL633" i="2"/>
  <c r="BK633" i="2"/>
  <c r="BJ633" i="2"/>
  <c r="X633" i="1"/>
  <c r="BI633" i="2"/>
  <c r="BH633" i="2"/>
  <c r="BG633" i="2"/>
  <c r="U633" i="1"/>
  <c r="BF633" i="2"/>
  <c r="BE633" i="2"/>
  <c r="S633" i="1"/>
  <c r="BD633" i="2"/>
  <c r="BC633" i="2"/>
  <c r="BB633" i="2"/>
  <c r="BA633" i="2"/>
  <c r="AZ633" i="2"/>
  <c r="AY633" i="2"/>
  <c r="AX633" i="2"/>
  <c r="AW633" i="2"/>
  <c r="AV633" i="2"/>
  <c r="AU633" i="2"/>
  <c r="AT633" i="2"/>
  <c r="H633" i="1"/>
  <c r="AS633" i="2"/>
  <c r="G633" i="1"/>
  <c r="AR633" i="2"/>
  <c r="AQ633" i="2"/>
  <c r="AP633" i="2"/>
  <c r="D633" i="1"/>
  <c r="AO633" i="2"/>
  <c r="AN633" i="2"/>
  <c r="AM633" i="2"/>
  <c r="AJ633" i="2"/>
  <c r="AI633" i="2"/>
  <c r="BM632" i="2"/>
  <c r="AA632" i="1"/>
  <c r="BL632" i="2"/>
  <c r="BK632" i="2"/>
  <c r="BJ632" i="2"/>
  <c r="X632" i="1"/>
  <c r="BI632" i="2"/>
  <c r="BH632" i="2"/>
  <c r="BG632" i="2"/>
  <c r="U632" i="1"/>
  <c r="BF632" i="2"/>
  <c r="BE632" i="2"/>
  <c r="S632" i="1"/>
  <c r="BD632" i="2"/>
  <c r="BC632" i="2"/>
  <c r="BB632" i="2"/>
  <c r="BA632" i="2"/>
  <c r="AZ632" i="2"/>
  <c r="AY632" i="2"/>
  <c r="AX632" i="2"/>
  <c r="AW632" i="2"/>
  <c r="AV632" i="2"/>
  <c r="AU632" i="2"/>
  <c r="AT632" i="2"/>
  <c r="H632" i="1"/>
  <c r="AS632" i="2"/>
  <c r="G632" i="1"/>
  <c r="AR632" i="2"/>
  <c r="AQ632" i="2"/>
  <c r="AP632" i="2"/>
  <c r="D632" i="1"/>
  <c r="AO632" i="2"/>
  <c r="AN632" i="2"/>
  <c r="AM632" i="2"/>
  <c r="AJ632" i="2"/>
  <c r="AI632" i="2"/>
  <c r="BM631" i="2"/>
  <c r="AA631" i="1"/>
  <c r="BL631" i="2"/>
  <c r="BK631" i="2"/>
  <c r="BJ631" i="2"/>
  <c r="X631" i="1"/>
  <c r="BI631" i="2"/>
  <c r="BH631" i="2"/>
  <c r="BG631" i="2"/>
  <c r="U631" i="1"/>
  <c r="BF631" i="2"/>
  <c r="BE631" i="2"/>
  <c r="S631" i="1"/>
  <c r="BD631" i="2"/>
  <c r="BC631" i="2"/>
  <c r="BB631" i="2"/>
  <c r="BA631" i="2"/>
  <c r="AZ631" i="2"/>
  <c r="AY631" i="2"/>
  <c r="AX631" i="2"/>
  <c r="AW631" i="2"/>
  <c r="AV631" i="2"/>
  <c r="AU631" i="2"/>
  <c r="AT631" i="2"/>
  <c r="H631" i="1"/>
  <c r="AS631" i="2"/>
  <c r="G631" i="1"/>
  <c r="AR631" i="2"/>
  <c r="AQ631" i="2"/>
  <c r="AP631" i="2"/>
  <c r="D631" i="1"/>
  <c r="AO631" i="2"/>
  <c r="AN631" i="2"/>
  <c r="AM631" i="2"/>
  <c r="AJ631" i="2"/>
  <c r="AI631" i="2"/>
  <c r="BM630" i="2"/>
  <c r="AA630" i="1"/>
  <c r="BL630" i="2"/>
  <c r="BK630" i="2"/>
  <c r="BJ630" i="2"/>
  <c r="X630" i="1"/>
  <c r="BI630" i="2"/>
  <c r="BH630" i="2"/>
  <c r="BG630" i="2"/>
  <c r="U630" i="1"/>
  <c r="BF630" i="2"/>
  <c r="BE630" i="2"/>
  <c r="S630" i="1"/>
  <c r="BD630" i="2"/>
  <c r="BC630" i="2"/>
  <c r="BB630" i="2"/>
  <c r="BA630" i="2"/>
  <c r="AZ630" i="2"/>
  <c r="AY630" i="2"/>
  <c r="AX630" i="2"/>
  <c r="AW630" i="2"/>
  <c r="AV630" i="2"/>
  <c r="AU630" i="2"/>
  <c r="AT630" i="2"/>
  <c r="H630" i="1"/>
  <c r="AS630" i="2"/>
  <c r="G630" i="1"/>
  <c r="AR630" i="2"/>
  <c r="AQ630" i="2"/>
  <c r="AP630" i="2"/>
  <c r="D630" i="1"/>
  <c r="AO630" i="2"/>
  <c r="AN630" i="2"/>
  <c r="AM630" i="2"/>
  <c r="AJ630" i="2"/>
  <c r="AI630" i="2"/>
  <c r="BM629" i="2"/>
  <c r="AA629" i="1"/>
  <c r="BL629" i="2"/>
  <c r="BK629" i="2"/>
  <c r="BJ629" i="2"/>
  <c r="X629" i="1"/>
  <c r="BI629" i="2"/>
  <c r="BH629" i="2"/>
  <c r="BG629" i="2"/>
  <c r="U629" i="1"/>
  <c r="BF629" i="2"/>
  <c r="BE629" i="2"/>
  <c r="S629" i="1"/>
  <c r="BD629" i="2"/>
  <c r="BC629" i="2"/>
  <c r="BB629" i="2"/>
  <c r="BA629" i="2"/>
  <c r="AZ629" i="2"/>
  <c r="AY629" i="2"/>
  <c r="AX629" i="2"/>
  <c r="AW629" i="2"/>
  <c r="AV629" i="2"/>
  <c r="AU629" i="2"/>
  <c r="AT629" i="2"/>
  <c r="H629" i="1"/>
  <c r="AS629" i="2"/>
  <c r="G629" i="1"/>
  <c r="AR629" i="2"/>
  <c r="AQ629" i="2"/>
  <c r="AP629" i="2"/>
  <c r="D629" i="1"/>
  <c r="AO629" i="2"/>
  <c r="AN629" i="2"/>
  <c r="AM629" i="2"/>
  <c r="AJ629" i="2"/>
  <c r="AI629" i="2"/>
  <c r="BM628" i="2"/>
  <c r="AA628" i="1"/>
  <c r="BL628" i="2"/>
  <c r="BK628" i="2"/>
  <c r="BJ628" i="2"/>
  <c r="X628" i="1"/>
  <c r="BI628" i="2"/>
  <c r="BH628" i="2"/>
  <c r="BG628" i="2"/>
  <c r="U628" i="1"/>
  <c r="BF628" i="2"/>
  <c r="BE628" i="2"/>
  <c r="S628" i="1"/>
  <c r="BD628" i="2"/>
  <c r="BC628" i="2"/>
  <c r="BB628" i="2"/>
  <c r="BA628" i="2"/>
  <c r="AZ628" i="2"/>
  <c r="AY628" i="2"/>
  <c r="AX628" i="2"/>
  <c r="AW628" i="2"/>
  <c r="AV628" i="2"/>
  <c r="AU628" i="2"/>
  <c r="AT628" i="2"/>
  <c r="H628" i="1"/>
  <c r="AS628" i="2"/>
  <c r="G628" i="1"/>
  <c r="AR628" i="2"/>
  <c r="AQ628" i="2"/>
  <c r="AP628" i="2"/>
  <c r="D628" i="1"/>
  <c r="AO628" i="2"/>
  <c r="AN628" i="2"/>
  <c r="AM628" i="2"/>
  <c r="AJ628" i="2"/>
  <c r="AI628" i="2"/>
  <c r="BM627" i="2"/>
  <c r="AA627" i="1"/>
  <c r="BL627" i="2"/>
  <c r="BK627" i="2"/>
  <c r="BJ627" i="2"/>
  <c r="X627" i="1"/>
  <c r="BI627" i="2"/>
  <c r="BH627" i="2"/>
  <c r="BG627" i="2"/>
  <c r="U627" i="1"/>
  <c r="BF627" i="2"/>
  <c r="BE627" i="2"/>
  <c r="S627" i="1"/>
  <c r="BD627" i="2"/>
  <c r="BC627" i="2"/>
  <c r="BB627" i="2"/>
  <c r="BA627" i="2"/>
  <c r="AZ627" i="2"/>
  <c r="AY627" i="2"/>
  <c r="AX627" i="2"/>
  <c r="AW627" i="2"/>
  <c r="AV627" i="2"/>
  <c r="AU627" i="2"/>
  <c r="AT627" i="2"/>
  <c r="H627" i="1"/>
  <c r="AS627" i="2"/>
  <c r="G627" i="1"/>
  <c r="AR627" i="2"/>
  <c r="AQ627" i="2"/>
  <c r="AP627" i="2"/>
  <c r="D627" i="1"/>
  <c r="AO627" i="2"/>
  <c r="AN627" i="2"/>
  <c r="AM627" i="2"/>
  <c r="AJ627" i="2"/>
  <c r="AI627" i="2"/>
  <c r="BM626" i="2"/>
  <c r="AA626" i="1"/>
  <c r="BL626" i="2"/>
  <c r="BK626" i="2"/>
  <c r="BJ626" i="2"/>
  <c r="X626" i="1"/>
  <c r="BI626" i="2"/>
  <c r="BH626" i="2"/>
  <c r="BG626" i="2"/>
  <c r="U626" i="1"/>
  <c r="BF626" i="2"/>
  <c r="BE626" i="2"/>
  <c r="S626" i="1"/>
  <c r="BD626" i="2"/>
  <c r="BC626" i="2"/>
  <c r="BB626" i="2"/>
  <c r="BA626" i="2"/>
  <c r="AZ626" i="2"/>
  <c r="AY626" i="2"/>
  <c r="AX626" i="2"/>
  <c r="AW626" i="2"/>
  <c r="AV626" i="2"/>
  <c r="AU626" i="2"/>
  <c r="AT626" i="2"/>
  <c r="H626" i="1"/>
  <c r="AS626" i="2"/>
  <c r="G626" i="1"/>
  <c r="AR626" i="2"/>
  <c r="AQ626" i="2"/>
  <c r="AP626" i="2"/>
  <c r="D626" i="1"/>
  <c r="AO626" i="2"/>
  <c r="AN626" i="2"/>
  <c r="AM626" i="2"/>
  <c r="AJ626" i="2"/>
  <c r="AI626" i="2"/>
  <c r="BM625" i="2"/>
  <c r="AA625" i="1"/>
  <c r="BL625" i="2"/>
  <c r="BK625" i="2"/>
  <c r="BJ625" i="2"/>
  <c r="X625" i="1"/>
  <c r="BI625" i="2"/>
  <c r="BH625" i="2"/>
  <c r="BG625" i="2"/>
  <c r="U625" i="1"/>
  <c r="BF625" i="2"/>
  <c r="BE625" i="2"/>
  <c r="S625" i="1"/>
  <c r="BD625" i="2"/>
  <c r="BC625" i="2"/>
  <c r="BB625" i="2"/>
  <c r="BA625" i="2"/>
  <c r="AZ625" i="2"/>
  <c r="AY625" i="2"/>
  <c r="AX625" i="2"/>
  <c r="AW625" i="2"/>
  <c r="AV625" i="2"/>
  <c r="AU625" i="2"/>
  <c r="AT625" i="2"/>
  <c r="H625" i="1"/>
  <c r="AS625" i="2"/>
  <c r="G625" i="1"/>
  <c r="AR625" i="2"/>
  <c r="AQ625" i="2"/>
  <c r="AP625" i="2"/>
  <c r="D625" i="1"/>
  <c r="AO625" i="2"/>
  <c r="AN625" i="2"/>
  <c r="AM625" i="2"/>
  <c r="AJ625" i="2"/>
  <c r="AI625" i="2"/>
  <c r="BM624" i="2"/>
  <c r="AA624" i="1"/>
  <c r="BL624" i="2"/>
  <c r="BK624" i="2"/>
  <c r="BJ624" i="2"/>
  <c r="X624" i="1"/>
  <c r="BI624" i="2"/>
  <c r="BH624" i="2"/>
  <c r="BG624" i="2"/>
  <c r="U624" i="1"/>
  <c r="BF624" i="2"/>
  <c r="BE624" i="2"/>
  <c r="S624" i="1"/>
  <c r="BD624" i="2"/>
  <c r="BC624" i="2"/>
  <c r="BB624" i="2"/>
  <c r="BA624" i="2"/>
  <c r="AZ624" i="2"/>
  <c r="AY624" i="2"/>
  <c r="AX624" i="2"/>
  <c r="AW624" i="2"/>
  <c r="AV624" i="2"/>
  <c r="AU624" i="2"/>
  <c r="AT624" i="2"/>
  <c r="H624" i="1"/>
  <c r="AS624" i="2"/>
  <c r="G624" i="1"/>
  <c r="AR624" i="2"/>
  <c r="AQ624" i="2"/>
  <c r="AP624" i="2"/>
  <c r="D624" i="1"/>
  <c r="AO624" i="2"/>
  <c r="AN624" i="2"/>
  <c r="AM624" i="2"/>
  <c r="AJ624" i="2"/>
  <c r="AI624" i="2"/>
  <c r="BM623" i="2"/>
  <c r="AA623" i="1"/>
  <c r="BL623" i="2"/>
  <c r="BK623" i="2"/>
  <c r="BJ623" i="2"/>
  <c r="X623" i="1"/>
  <c r="BI623" i="2"/>
  <c r="BH623" i="2"/>
  <c r="BG623" i="2"/>
  <c r="U623" i="1"/>
  <c r="BF623" i="2"/>
  <c r="BE623" i="2"/>
  <c r="S623" i="1"/>
  <c r="BD623" i="2"/>
  <c r="BC623" i="2"/>
  <c r="BB623" i="2"/>
  <c r="BA623" i="2"/>
  <c r="AZ623" i="2"/>
  <c r="AY623" i="2"/>
  <c r="AX623" i="2"/>
  <c r="AW623" i="2"/>
  <c r="AV623" i="2"/>
  <c r="AU623" i="2"/>
  <c r="AT623" i="2"/>
  <c r="H623" i="1"/>
  <c r="AS623" i="2"/>
  <c r="G623" i="1"/>
  <c r="AR623" i="2"/>
  <c r="AQ623" i="2"/>
  <c r="AP623" i="2"/>
  <c r="D623" i="1"/>
  <c r="AO623" i="2"/>
  <c r="AN623" i="2"/>
  <c r="AM623" i="2"/>
  <c r="AJ623" i="2"/>
  <c r="AI623" i="2"/>
  <c r="BM622" i="2"/>
  <c r="AA622" i="1"/>
  <c r="BL622" i="2"/>
  <c r="BK622" i="2"/>
  <c r="BJ622" i="2"/>
  <c r="X622" i="1"/>
  <c r="BI622" i="2"/>
  <c r="BH622" i="2"/>
  <c r="BG622" i="2"/>
  <c r="U622" i="1"/>
  <c r="BF622" i="2"/>
  <c r="BE622" i="2"/>
  <c r="S622" i="1"/>
  <c r="BD622" i="2"/>
  <c r="BC622" i="2"/>
  <c r="BB622" i="2"/>
  <c r="BA622" i="2"/>
  <c r="AZ622" i="2"/>
  <c r="AY622" i="2"/>
  <c r="AX622" i="2"/>
  <c r="AW622" i="2"/>
  <c r="AV622" i="2"/>
  <c r="AU622" i="2"/>
  <c r="AT622" i="2"/>
  <c r="H622" i="1"/>
  <c r="AS622" i="2"/>
  <c r="G622" i="1"/>
  <c r="AR622" i="2"/>
  <c r="AQ622" i="2"/>
  <c r="AP622" i="2"/>
  <c r="D622" i="1"/>
  <c r="AO622" i="2"/>
  <c r="AN622" i="2"/>
  <c r="AM622" i="2"/>
  <c r="AJ622" i="2"/>
  <c r="AI622" i="2"/>
  <c r="BM621" i="2"/>
  <c r="AA621" i="1"/>
  <c r="BL621" i="2"/>
  <c r="BK621" i="2"/>
  <c r="BJ621" i="2"/>
  <c r="X621" i="1"/>
  <c r="BI621" i="2"/>
  <c r="BH621" i="2"/>
  <c r="BG621" i="2"/>
  <c r="U621" i="1"/>
  <c r="BF621" i="2"/>
  <c r="BE621" i="2"/>
  <c r="S621" i="1"/>
  <c r="BD621" i="2"/>
  <c r="BC621" i="2"/>
  <c r="BB621" i="2"/>
  <c r="BA621" i="2"/>
  <c r="AZ621" i="2"/>
  <c r="AY621" i="2"/>
  <c r="AX621" i="2"/>
  <c r="AW621" i="2"/>
  <c r="AV621" i="2"/>
  <c r="AU621" i="2"/>
  <c r="AT621" i="2"/>
  <c r="H621" i="1"/>
  <c r="AS621" i="2"/>
  <c r="G621" i="1"/>
  <c r="AR621" i="2"/>
  <c r="AQ621" i="2"/>
  <c r="AP621" i="2"/>
  <c r="D621" i="1"/>
  <c r="AO621" i="2"/>
  <c r="AN621" i="2"/>
  <c r="AM621" i="2"/>
  <c r="AJ621" i="2"/>
  <c r="AI621" i="2"/>
  <c r="BM620" i="2"/>
  <c r="AA620" i="1"/>
  <c r="BL620" i="2"/>
  <c r="BK620" i="2"/>
  <c r="BJ620" i="2"/>
  <c r="X620" i="1"/>
  <c r="BI620" i="2"/>
  <c r="BH620" i="2"/>
  <c r="BG620" i="2"/>
  <c r="U620" i="1"/>
  <c r="BF620" i="2"/>
  <c r="BE620" i="2"/>
  <c r="S620" i="1"/>
  <c r="BD620" i="2"/>
  <c r="BC620" i="2"/>
  <c r="BB620" i="2"/>
  <c r="BA620" i="2"/>
  <c r="AZ620" i="2"/>
  <c r="AY620" i="2"/>
  <c r="AX620" i="2"/>
  <c r="AW620" i="2"/>
  <c r="AV620" i="2"/>
  <c r="AU620" i="2"/>
  <c r="AT620" i="2"/>
  <c r="H620" i="1"/>
  <c r="AS620" i="2"/>
  <c r="G620" i="1"/>
  <c r="AR620" i="2"/>
  <c r="AQ620" i="2"/>
  <c r="AP620" i="2"/>
  <c r="D620" i="1"/>
  <c r="AO620" i="2"/>
  <c r="AN620" i="2"/>
  <c r="AM620" i="2"/>
  <c r="AJ620" i="2"/>
  <c r="AI620" i="2"/>
  <c r="BM619" i="2"/>
  <c r="AA619" i="1"/>
  <c r="BL619" i="2"/>
  <c r="BK619" i="2"/>
  <c r="BJ619" i="2"/>
  <c r="X619" i="1"/>
  <c r="BI619" i="2"/>
  <c r="BH619" i="2"/>
  <c r="BG619" i="2"/>
  <c r="U619" i="1"/>
  <c r="BF619" i="2"/>
  <c r="BE619" i="2"/>
  <c r="S619" i="1"/>
  <c r="BD619" i="2"/>
  <c r="BC619" i="2"/>
  <c r="BB619" i="2"/>
  <c r="BA619" i="2"/>
  <c r="AZ619" i="2"/>
  <c r="AY619" i="2"/>
  <c r="AX619" i="2"/>
  <c r="AW619" i="2"/>
  <c r="AV619" i="2"/>
  <c r="AU619" i="2"/>
  <c r="AT619" i="2"/>
  <c r="H619" i="1"/>
  <c r="AS619" i="2"/>
  <c r="G619" i="1"/>
  <c r="AR619" i="2"/>
  <c r="AQ619" i="2"/>
  <c r="AP619" i="2"/>
  <c r="D619" i="1"/>
  <c r="AO619" i="2"/>
  <c r="AN619" i="2"/>
  <c r="AM619" i="2"/>
  <c r="AJ619" i="2"/>
  <c r="AI619" i="2"/>
  <c r="BM618" i="2"/>
  <c r="AA618" i="1"/>
  <c r="BL618" i="2"/>
  <c r="BK618" i="2"/>
  <c r="BJ618" i="2"/>
  <c r="X618" i="1"/>
  <c r="BI618" i="2"/>
  <c r="BH618" i="2"/>
  <c r="BG618" i="2"/>
  <c r="U618" i="1"/>
  <c r="BF618" i="2"/>
  <c r="BE618" i="2"/>
  <c r="S618" i="1"/>
  <c r="BD618" i="2"/>
  <c r="BC618" i="2"/>
  <c r="BB618" i="2"/>
  <c r="BA618" i="2"/>
  <c r="AZ618" i="2"/>
  <c r="AY618" i="2"/>
  <c r="AX618" i="2"/>
  <c r="AW618" i="2"/>
  <c r="AV618" i="2"/>
  <c r="AU618" i="2"/>
  <c r="AT618" i="2"/>
  <c r="H618" i="1"/>
  <c r="AS618" i="2"/>
  <c r="G618" i="1"/>
  <c r="AR618" i="2"/>
  <c r="AQ618" i="2"/>
  <c r="AP618" i="2"/>
  <c r="D618" i="1"/>
  <c r="AO618" i="2"/>
  <c r="AN618" i="2"/>
  <c r="AM618" i="2"/>
  <c r="AJ618" i="2"/>
  <c r="AI618" i="2"/>
  <c r="BM617" i="2"/>
  <c r="AA617" i="1"/>
  <c r="BL617" i="2"/>
  <c r="BK617" i="2"/>
  <c r="BJ617" i="2"/>
  <c r="X617" i="1"/>
  <c r="BI617" i="2"/>
  <c r="BH617" i="2"/>
  <c r="BG617" i="2"/>
  <c r="U617" i="1"/>
  <c r="BF617" i="2"/>
  <c r="BE617" i="2"/>
  <c r="S617" i="1"/>
  <c r="BD617" i="2"/>
  <c r="BC617" i="2"/>
  <c r="BB617" i="2"/>
  <c r="BA617" i="2"/>
  <c r="AZ617" i="2"/>
  <c r="AY617" i="2"/>
  <c r="AX617" i="2"/>
  <c r="AW617" i="2"/>
  <c r="AV617" i="2"/>
  <c r="AU617" i="2"/>
  <c r="AT617" i="2"/>
  <c r="H617" i="1"/>
  <c r="AS617" i="2"/>
  <c r="G617" i="1"/>
  <c r="AR617" i="2"/>
  <c r="AQ617" i="2"/>
  <c r="AP617" i="2"/>
  <c r="D617" i="1"/>
  <c r="AO617" i="2"/>
  <c r="AN617" i="2"/>
  <c r="AM617" i="2"/>
  <c r="AJ617" i="2"/>
  <c r="AI617" i="2"/>
  <c r="BM616" i="2"/>
  <c r="AA616" i="1"/>
  <c r="BL616" i="2"/>
  <c r="BK616" i="2"/>
  <c r="BJ616" i="2"/>
  <c r="X616" i="1"/>
  <c r="BI616" i="2"/>
  <c r="BH616" i="2"/>
  <c r="BG616" i="2"/>
  <c r="U616" i="1"/>
  <c r="BF616" i="2"/>
  <c r="BE616" i="2"/>
  <c r="S616" i="1"/>
  <c r="BD616" i="2"/>
  <c r="BC616" i="2"/>
  <c r="BB616" i="2"/>
  <c r="BA616" i="2"/>
  <c r="AZ616" i="2"/>
  <c r="AY616" i="2"/>
  <c r="AX616" i="2"/>
  <c r="AW616" i="2"/>
  <c r="AV616" i="2"/>
  <c r="AU616" i="2"/>
  <c r="AT616" i="2"/>
  <c r="H616" i="1"/>
  <c r="AS616" i="2"/>
  <c r="G616" i="1"/>
  <c r="AR616" i="2"/>
  <c r="AQ616" i="2"/>
  <c r="AP616" i="2"/>
  <c r="D616" i="1"/>
  <c r="AO616" i="2"/>
  <c r="AN616" i="2"/>
  <c r="AM616" i="2"/>
  <c r="AJ616" i="2"/>
  <c r="AI616" i="2"/>
  <c r="BM615" i="2"/>
  <c r="AA615" i="1"/>
  <c r="BL615" i="2"/>
  <c r="BK615" i="2"/>
  <c r="BJ615" i="2"/>
  <c r="X615" i="1"/>
  <c r="BI615" i="2"/>
  <c r="BH615" i="2"/>
  <c r="BG615" i="2"/>
  <c r="U615" i="1"/>
  <c r="BF615" i="2"/>
  <c r="BE615" i="2"/>
  <c r="S615" i="1"/>
  <c r="BD615" i="2"/>
  <c r="BC615" i="2"/>
  <c r="BB615" i="2"/>
  <c r="BA615" i="2"/>
  <c r="AZ615" i="2"/>
  <c r="AY615" i="2"/>
  <c r="AX615" i="2"/>
  <c r="AW615" i="2"/>
  <c r="AV615" i="2"/>
  <c r="AU615" i="2"/>
  <c r="AT615" i="2"/>
  <c r="H615" i="1"/>
  <c r="AS615" i="2"/>
  <c r="G615" i="1"/>
  <c r="AR615" i="2"/>
  <c r="AQ615" i="2"/>
  <c r="AP615" i="2"/>
  <c r="D615" i="1"/>
  <c r="AO615" i="2"/>
  <c r="AN615" i="2"/>
  <c r="AM615" i="2"/>
  <c r="AJ615" i="2"/>
  <c r="AI615" i="2"/>
  <c r="BM614" i="2"/>
  <c r="AA614" i="1"/>
  <c r="BL614" i="2"/>
  <c r="BK614" i="2"/>
  <c r="BJ614" i="2"/>
  <c r="X614" i="1"/>
  <c r="BI614" i="2"/>
  <c r="BH614" i="2"/>
  <c r="BG614" i="2"/>
  <c r="U614" i="1"/>
  <c r="BF614" i="2"/>
  <c r="BE614" i="2"/>
  <c r="S614" i="1"/>
  <c r="BD614" i="2"/>
  <c r="BC614" i="2"/>
  <c r="BB614" i="2"/>
  <c r="BA614" i="2"/>
  <c r="AZ614" i="2"/>
  <c r="AY614" i="2"/>
  <c r="AX614" i="2"/>
  <c r="AW614" i="2"/>
  <c r="AV614" i="2"/>
  <c r="AU614" i="2"/>
  <c r="AT614" i="2"/>
  <c r="H614" i="1"/>
  <c r="AS614" i="2"/>
  <c r="G614" i="1"/>
  <c r="AR614" i="2"/>
  <c r="AQ614" i="2"/>
  <c r="AP614" i="2"/>
  <c r="D614" i="1"/>
  <c r="AO614" i="2"/>
  <c r="AN614" i="2"/>
  <c r="AM614" i="2"/>
  <c r="AJ614" i="2"/>
  <c r="AI614" i="2"/>
  <c r="BM613" i="2"/>
  <c r="AA613" i="1"/>
  <c r="BL613" i="2"/>
  <c r="BK613" i="2"/>
  <c r="BJ613" i="2"/>
  <c r="X613" i="1"/>
  <c r="BI613" i="2"/>
  <c r="BH613" i="2"/>
  <c r="BG613" i="2"/>
  <c r="U613" i="1"/>
  <c r="BF613" i="2"/>
  <c r="BE613" i="2"/>
  <c r="S613" i="1"/>
  <c r="BD613" i="2"/>
  <c r="BC613" i="2"/>
  <c r="BB613" i="2"/>
  <c r="BA613" i="2"/>
  <c r="AZ613" i="2"/>
  <c r="AY613" i="2"/>
  <c r="AX613" i="2"/>
  <c r="AW613" i="2"/>
  <c r="AV613" i="2"/>
  <c r="AU613" i="2"/>
  <c r="AT613" i="2"/>
  <c r="H613" i="1"/>
  <c r="AS613" i="2"/>
  <c r="G613" i="1"/>
  <c r="AR613" i="2"/>
  <c r="AQ613" i="2"/>
  <c r="AP613" i="2"/>
  <c r="D613" i="1"/>
  <c r="AO613" i="2"/>
  <c r="AN613" i="2"/>
  <c r="AM613" i="2"/>
  <c r="AJ613" i="2"/>
  <c r="AI613" i="2"/>
  <c r="BM612" i="2"/>
  <c r="AA612" i="1"/>
  <c r="BL612" i="2"/>
  <c r="BK612" i="2"/>
  <c r="BJ612" i="2"/>
  <c r="X612" i="1"/>
  <c r="BI612" i="2"/>
  <c r="BH612" i="2"/>
  <c r="BG612" i="2"/>
  <c r="U612" i="1"/>
  <c r="BF612" i="2"/>
  <c r="BE612" i="2"/>
  <c r="S612" i="1"/>
  <c r="BD612" i="2"/>
  <c r="BC612" i="2"/>
  <c r="BB612" i="2"/>
  <c r="BA612" i="2"/>
  <c r="AZ612" i="2"/>
  <c r="AY612" i="2"/>
  <c r="AX612" i="2"/>
  <c r="AW612" i="2"/>
  <c r="AV612" i="2"/>
  <c r="AU612" i="2"/>
  <c r="AT612" i="2"/>
  <c r="H612" i="1"/>
  <c r="AS612" i="2"/>
  <c r="G612" i="1"/>
  <c r="AR612" i="2"/>
  <c r="AQ612" i="2"/>
  <c r="AP612" i="2"/>
  <c r="D612" i="1"/>
  <c r="AO612" i="2"/>
  <c r="AN612" i="2"/>
  <c r="AM612" i="2"/>
  <c r="AJ612" i="2"/>
  <c r="AI612" i="2"/>
  <c r="BM611" i="2"/>
  <c r="AA611" i="1"/>
  <c r="BL611" i="2"/>
  <c r="BK611" i="2"/>
  <c r="BJ611" i="2"/>
  <c r="X611" i="1"/>
  <c r="BI611" i="2"/>
  <c r="BH611" i="2"/>
  <c r="BG611" i="2"/>
  <c r="U611" i="1"/>
  <c r="BF611" i="2"/>
  <c r="BE611" i="2"/>
  <c r="S611" i="1"/>
  <c r="BD611" i="2"/>
  <c r="BC611" i="2"/>
  <c r="BB611" i="2"/>
  <c r="BA611" i="2"/>
  <c r="AZ611" i="2"/>
  <c r="AY611" i="2"/>
  <c r="AX611" i="2"/>
  <c r="AW611" i="2"/>
  <c r="AV611" i="2"/>
  <c r="AU611" i="2"/>
  <c r="AT611" i="2"/>
  <c r="H611" i="1"/>
  <c r="AS611" i="2"/>
  <c r="G611" i="1"/>
  <c r="AR611" i="2"/>
  <c r="AQ611" i="2"/>
  <c r="AP611" i="2"/>
  <c r="D611" i="1"/>
  <c r="AO611" i="2"/>
  <c r="AN611" i="2"/>
  <c r="AM611" i="2"/>
  <c r="AJ611" i="2"/>
  <c r="AI611" i="2"/>
  <c r="BM610" i="2"/>
  <c r="AA610" i="1"/>
  <c r="BL610" i="2"/>
  <c r="BK610" i="2"/>
  <c r="BJ610" i="2"/>
  <c r="X610" i="1"/>
  <c r="BI610" i="2"/>
  <c r="BH610" i="2"/>
  <c r="BG610" i="2"/>
  <c r="U610" i="1"/>
  <c r="BF610" i="2"/>
  <c r="BE610" i="2"/>
  <c r="S610" i="1"/>
  <c r="BD610" i="2"/>
  <c r="BC610" i="2"/>
  <c r="BB610" i="2"/>
  <c r="BA610" i="2"/>
  <c r="AZ610" i="2"/>
  <c r="AY610" i="2"/>
  <c r="AX610" i="2"/>
  <c r="AW610" i="2"/>
  <c r="AV610" i="2"/>
  <c r="AU610" i="2"/>
  <c r="AT610" i="2"/>
  <c r="H610" i="1"/>
  <c r="AS610" i="2"/>
  <c r="G610" i="1"/>
  <c r="AR610" i="2"/>
  <c r="AQ610" i="2"/>
  <c r="AP610" i="2"/>
  <c r="D610" i="1"/>
  <c r="AO610" i="2"/>
  <c r="AN610" i="2"/>
  <c r="AM610" i="2"/>
  <c r="AJ610" i="2"/>
  <c r="AI610" i="2"/>
  <c r="BM609" i="2"/>
  <c r="AA609" i="1"/>
  <c r="BL609" i="2"/>
  <c r="BK609" i="2"/>
  <c r="BJ609" i="2"/>
  <c r="X609" i="1"/>
  <c r="BI609" i="2"/>
  <c r="BH609" i="2"/>
  <c r="BG609" i="2"/>
  <c r="U609" i="1"/>
  <c r="BF609" i="2"/>
  <c r="BE609" i="2"/>
  <c r="S609" i="1"/>
  <c r="BD609" i="2"/>
  <c r="BC609" i="2"/>
  <c r="BB609" i="2"/>
  <c r="BA609" i="2"/>
  <c r="AZ609" i="2"/>
  <c r="AY609" i="2"/>
  <c r="AX609" i="2"/>
  <c r="AW609" i="2"/>
  <c r="AV609" i="2"/>
  <c r="AU609" i="2"/>
  <c r="AT609" i="2"/>
  <c r="H609" i="1"/>
  <c r="AS609" i="2"/>
  <c r="G609" i="1"/>
  <c r="AR609" i="2"/>
  <c r="AQ609" i="2"/>
  <c r="AP609" i="2"/>
  <c r="D609" i="1"/>
  <c r="AO609" i="2"/>
  <c r="AN609" i="2"/>
  <c r="AM609" i="2"/>
  <c r="AJ609" i="2"/>
  <c r="AI609" i="2"/>
  <c r="BM608" i="2"/>
  <c r="AA608" i="1"/>
  <c r="BL608" i="2"/>
  <c r="BK608" i="2"/>
  <c r="BJ608" i="2"/>
  <c r="X608" i="1"/>
  <c r="BI608" i="2"/>
  <c r="BH608" i="2"/>
  <c r="BG608" i="2"/>
  <c r="U608" i="1"/>
  <c r="BF608" i="2"/>
  <c r="BE608" i="2"/>
  <c r="S608" i="1"/>
  <c r="BD608" i="2"/>
  <c r="BC608" i="2"/>
  <c r="BB608" i="2"/>
  <c r="BA608" i="2"/>
  <c r="AZ608" i="2"/>
  <c r="AY608" i="2"/>
  <c r="AX608" i="2"/>
  <c r="AW608" i="2"/>
  <c r="AV608" i="2"/>
  <c r="AU608" i="2"/>
  <c r="AT608" i="2"/>
  <c r="H608" i="1"/>
  <c r="AS608" i="2"/>
  <c r="G608" i="1"/>
  <c r="AR608" i="2"/>
  <c r="AQ608" i="2"/>
  <c r="AP608" i="2"/>
  <c r="D608" i="1"/>
  <c r="AO608" i="2"/>
  <c r="AN608" i="2"/>
  <c r="AM608" i="2"/>
  <c r="AJ608" i="2"/>
  <c r="AI608" i="2"/>
  <c r="BM607" i="2"/>
  <c r="AA607" i="1"/>
  <c r="BL607" i="2"/>
  <c r="BK607" i="2"/>
  <c r="BJ607" i="2"/>
  <c r="X607" i="1"/>
  <c r="BI607" i="2"/>
  <c r="BH607" i="2"/>
  <c r="BG607" i="2"/>
  <c r="U607" i="1"/>
  <c r="BF607" i="2"/>
  <c r="BE607" i="2"/>
  <c r="S607" i="1"/>
  <c r="BD607" i="2"/>
  <c r="BC607" i="2"/>
  <c r="BB607" i="2"/>
  <c r="BA607" i="2"/>
  <c r="AZ607" i="2"/>
  <c r="AY607" i="2"/>
  <c r="AX607" i="2"/>
  <c r="AW607" i="2"/>
  <c r="AV607" i="2"/>
  <c r="AU607" i="2"/>
  <c r="AT607" i="2"/>
  <c r="H607" i="1"/>
  <c r="AS607" i="2"/>
  <c r="G607" i="1"/>
  <c r="AR607" i="2"/>
  <c r="AQ607" i="2"/>
  <c r="AP607" i="2"/>
  <c r="D607" i="1"/>
  <c r="AO607" i="2"/>
  <c r="AN607" i="2"/>
  <c r="AM607" i="2"/>
  <c r="AJ607" i="2"/>
  <c r="AI607" i="2"/>
  <c r="BM606" i="2"/>
  <c r="AA606" i="1"/>
  <c r="BL606" i="2"/>
  <c r="BK606" i="2"/>
  <c r="BJ606" i="2"/>
  <c r="X606" i="1"/>
  <c r="BI606" i="2"/>
  <c r="BH606" i="2"/>
  <c r="BG606" i="2"/>
  <c r="U606" i="1"/>
  <c r="BF606" i="2"/>
  <c r="BE606" i="2"/>
  <c r="S606" i="1"/>
  <c r="BD606" i="2"/>
  <c r="BC606" i="2"/>
  <c r="BB606" i="2"/>
  <c r="BA606" i="2"/>
  <c r="AZ606" i="2"/>
  <c r="AY606" i="2"/>
  <c r="AX606" i="2"/>
  <c r="AW606" i="2"/>
  <c r="AV606" i="2"/>
  <c r="AU606" i="2"/>
  <c r="AT606" i="2"/>
  <c r="H606" i="1"/>
  <c r="AS606" i="2"/>
  <c r="G606" i="1"/>
  <c r="AR606" i="2"/>
  <c r="AQ606" i="2"/>
  <c r="AP606" i="2"/>
  <c r="D606" i="1"/>
  <c r="AO606" i="2"/>
  <c r="AN606" i="2"/>
  <c r="AM606" i="2"/>
  <c r="AJ606" i="2"/>
  <c r="AI606" i="2"/>
  <c r="BM605" i="2"/>
  <c r="AA605" i="1"/>
  <c r="BL605" i="2"/>
  <c r="BK605" i="2"/>
  <c r="BJ605" i="2"/>
  <c r="X605" i="1"/>
  <c r="BI605" i="2"/>
  <c r="BH605" i="2"/>
  <c r="BG605" i="2"/>
  <c r="U605" i="1"/>
  <c r="BF605" i="2"/>
  <c r="BE605" i="2"/>
  <c r="S605" i="1"/>
  <c r="BD605" i="2"/>
  <c r="BC605" i="2"/>
  <c r="BB605" i="2"/>
  <c r="BA605" i="2"/>
  <c r="AZ605" i="2"/>
  <c r="AY605" i="2"/>
  <c r="AX605" i="2"/>
  <c r="AW605" i="2"/>
  <c r="AV605" i="2"/>
  <c r="AU605" i="2"/>
  <c r="AT605" i="2"/>
  <c r="H605" i="1"/>
  <c r="AS605" i="2"/>
  <c r="G605" i="1"/>
  <c r="AR605" i="2"/>
  <c r="AQ605" i="2"/>
  <c r="AP605" i="2"/>
  <c r="D605" i="1"/>
  <c r="AO605" i="2"/>
  <c r="AN605" i="2"/>
  <c r="AM605" i="2"/>
  <c r="AJ605" i="2"/>
  <c r="AI605" i="2"/>
  <c r="BM604" i="2"/>
  <c r="AA604" i="1"/>
  <c r="BL604" i="2"/>
  <c r="BK604" i="2"/>
  <c r="BJ604" i="2"/>
  <c r="X604" i="1"/>
  <c r="BI604" i="2"/>
  <c r="BH604" i="2"/>
  <c r="BG604" i="2"/>
  <c r="U604" i="1"/>
  <c r="BF604" i="2"/>
  <c r="BE604" i="2"/>
  <c r="S604" i="1"/>
  <c r="BD604" i="2"/>
  <c r="BC604" i="2"/>
  <c r="BB604" i="2"/>
  <c r="BA604" i="2"/>
  <c r="AZ604" i="2"/>
  <c r="AY604" i="2"/>
  <c r="AX604" i="2"/>
  <c r="AW604" i="2"/>
  <c r="AV604" i="2"/>
  <c r="AU604" i="2"/>
  <c r="AT604" i="2"/>
  <c r="H604" i="1"/>
  <c r="AS604" i="2"/>
  <c r="G604" i="1"/>
  <c r="AR604" i="2"/>
  <c r="AQ604" i="2"/>
  <c r="AP604" i="2"/>
  <c r="D604" i="1"/>
  <c r="AO604" i="2"/>
  <c r="AN604" i="2"/>
  <c r="AM604" i="2"/>
  <c r="AJ604" i="2"/>
  <c r="AI604" i="2"/>
  <c r="BM603" i="2"/>
  <c r="AA603" i="1"/>
  <c r="BL603" i="2"/>
  <c r="BK603" i="2"/>
  <c r="BJ603" i="2"/>
  <c r="X603" i="1"/>
  <c r="BI603" i="2"/>
  <c r="BH603" i="2"/>
  <c r="BG603" i="2"/>
  <c r="U603" i="1"/>
  <c r="BF603" i="2"/>
  <c r="BE603" i="2"/>
  <c r="S603" i="1"/>
  <c r="BD603" i="2"/>
  <c r="BC603" i="2"/>
  <c r="BB603" i="2"/>
  <c r="BA603" i="2"/>
  <c r="AZ603" i="2"/>
  <c r="AY603" i="2"/>
  <c r="AX603" i="2"/>
  <c r="AW603" i="2"/>
  <c r="AV603" i="2"/>
  <c r="AU603" i="2"/>
  <c r="AT603" i="2"/>
  <c r="H603" i="1"/>
  <c r="AS603" i="2"/>
  <c r="G603" i="1"/>
  <c r="AR603" i="2"/>
  <c r="AQ603" i="2"/>
  <c r="AP603" i="2"/>
  <c r="D603" i="1"/>
  <c r="AO603" i="2"/>
  <c r="AN603" i="2"/>
  <c r="AM603" i="2"/>
  <c r="AJ603" i="2"/>
  <c r="AI603" i="2"/>
  <c r="BM602" i="2"/>
  <c r="AA602" i="1"/>
  <c r="BL602" i="2"/>
  <c r="BK602" i="2"/>
  <c r="BJ602" i="2"/>
  <c r="X602" i="1"/>
  <c r="BI602" i="2"/>
  <c r="BH602" i="2"/>
  <c r="BG602" i="2"/>
  <c r="U602" i="1"/>
  <c r="BF602" i="2"/>
  <c r="BE602" i="2"/>
  <c r="S602" i="1"/>
  <c r="BD602" i="2"/>
  <c r="BC602" i="2"/>
  <c r="BB602" i="2"/>
  <c r="BA602" i="2"/>
  <c r="AZ602" i="2"/>
  <c r="AY602" i="2"/>
  <c r="AX602" i="2"/>
  <c r="AW602" i="2"/>
  <c r="AV602" i="2"/>
  <c r="AU602" i="2"/>
  <c r="AT602" i="2"/>
  <c r="H602" i="1"/>
  <c r="AS602" i="2"/>
  <c r="G602" i="1"/>
  <c r="AR602" i="2"/>
  <c r="AQ602" i="2"/>
  <c r="AP602" i="2"/>
  <c r="D602" i="1"/>
  <c r="AO602" i="2"/>
  <c r="AN602" i="2"/>
  <c r="AM602" i="2"/>
  <c r="AJ602" i="2"/>
  <c r="AI602" i="2"/>
  <c r="BM601" i="2"/>
  <c r="AA601" i="1"/>
  <c r="BL601" i="2"/>
  <c r="BK601" i="2"/>
  <c r="BJ601" i="2"/>
  <c r="X601" i="1"/>
  <c r="BI601" i="2"/>
  <c r="BH601" i="2"/>
  <c r="BG601" i="2"/>
  <c r="U601" i="1"/>
  <c r="BF601" i="2"/>
  <c r="BE601" i="2"/>
  <c r="S601" i="1"/>
  <c r="BD601" i="2"/>
  <c r="BC601" i="2"/>
  <c r="BB601" i="2"/>
  <c r="BA601" i="2"/>
  <c r="AZ601" i="2"/>
  <c r="AY601" i="2"/>
  <c r="AX601" i="2"/>
  <c r="AW601" i="2"/>
  <c r="AV601" i="2"/>
  <c r="AU601" i="2"/>
  <c r="AT601" i="2"/>
  <c r="H601" i="1"/>
  <c r="AS601" i="2"/>
  <c r="G601" i="1"/>
  <c r="AR601" i="2"/>
  <c r="AQ601" i="2"/>
  <c r="AP601" i="2"/>
  <c r="D601" i="1"/>
  <c r="AO601" i="2"/>
  <c r="AN601" i="2"/>
  <c r="AM601" i="2"/>
  <c r="AJ601" i="2"/>
  <c r="AI601" i="2"/>
  <c r="BM600" i="2"/>
  <c r="AA600" i="1"/>
  <c r="BL600" i="2"/>
  <c r="BK600" i="2"/>
  <c r="BJ600" i="2"/>
  <c r="X600" i="1"/>
  <c r="BI600" i="2"/>
  <c r="BH600" i="2"/>
  <c r="BG600" i="2"/>
  <c r="U600" i="1"/>
  <c r="BF600" i="2"/>
  <c r="BE600" i="2"/>
  <c r="S600" i="1"/>
  <c r="BD600" i="2"/>
  <c r="BC600" i="2"/>
  <c r="BB600" i="2"/>
  <c r="BA600" i="2"/>
  <c r="AZ600" i="2"/>
  <c r="AY600" i="2"/>
  <c r="AX600" i="2"/>
  <c r="AW600" i="2"/>
  <c r="AV600" i="2"/>
  <c r="AU600" i="2"/>
  <c r="AT600" i="2"/>
  <c r="H600" i="1"/>
  <c r="AS600" i="2"/>
  <c r="G600" i="1"/>
  <c r="AR600" i="2"/>
  <c r="AQ600" i="2"/>
  <c r="AP600" i="2"/>
  <c r="D600" i="1"/>
  <c r="AO600" i="2"/>
  <c r="AN600" i="2"/>
  <c r="AM600" i="2"/>
  <c r="AJ600" i="2"/>
  <c r="AI600" i="2"/>
  <c r="BM599" i="2"/>
  <c r="AA599" i="1"/>
  <c r="BL599" i="2"/>
  <c r="BK599" i="2"/>
  <c r="BJ599" i="2"/>
  <c r="X599" i="1"/>
  <c r="BI599" i="2"/>
  <c r="BH599" i="2"/>
  <c r="BG599" i="2"/>
  <c r="U599" i="1"/>
  <c r="BF599" i="2"/>
  <c r="BE599" i="2"/>
  <c r="S599" i="1"/>
  <c r="BD599" i="2"/>
  <c r="BC599" i="2"/>
  <c r="BB599" i="2"/>
  <c r="BA599" i="2"/>
  <c r="AZ599" i="2"/>
  <c r="AY599" i="2"/>
  <c r="AX599" i="2"/>
  <c r="AW599" i="2"/>
  <c r="AV599" i="2"/>
  <c r="AU599" i="2"/>
  <c r="AT599" i="2"/>
  <c r="H599" i="1"/>
  <c r="AS599" i="2"/>
  <c r="G599" i="1"/>
  <c r="AR599" i="2"/>
  <c r="AQ599" i="2"/>
  <c r="AP599" i="2"/>
  <c r="D599" i="1"/>
  <c r="AO599" i="2"/>
  <c r="AN599" i="2"/>
  <c r="AM599" i="2"/>
  <c r="AJ599" i="2"/>
  <c r="AI599" i="2"/>
  <c r="BM598" i="2"/>
  <c r="AA598" i="1"/>
  <c r="BL598" i="2"/>
  <c r="BK598" i="2"/>
  <c r="BJ598" i="2"/>
  <c r="X598" i="1"/>
  <c r="BI598" i="2"/>
  <c r="BH598" i="2"/>
  <c r="BG598" i="2"/>
  <c r="U598" i="1"/>
  <c r="BF598" i="2"/>
  <c r="BE598" i="2"/>
  <c r="S598" i="1"/>
  <c r="BD598" i="2"/>
  <c r="BC598" i="2"/>
  <c r="BB598" i="2"/>
  <c r="BA598" i="2"/>
  <c r="AZ598" i="2"/>
  <c r="AY598" i="2"/>
  <c r="AX598" i="2"/>
  <c r="AW598" i="2"/>
  <c r="AV598" i="2"/>
  <c r="AU598" i="2"/>
  <c r="AT598" i="2"/>
  <c r="H598" i="1"/>
  <c r="AS598" i="2"/>
  <c r="G598" i="1"/>
  <c r="AR598" i="2"/>
  <c r="AQ598" i="2"/>
  <c r="AP598" i="2"/>
  <c r="D598" i="1"/>
  <c r="AO598" i="2"/>
  <c r="AN598" i="2"/>
  <c r="AM598" i="2"/>
  <c r="AJ598" i="2"/>
  <c r="AI598" i="2"/>
  <c r="BM597" i="2"/>
  <c r="AA597" i="1"/>
  <c r="BL597" i="2"/>
  <c r="BK597" i="2"/>
  <c r="BJ597" i="2"/>
  <c r="X597" i="1"/>
  <c r="BI597" i="2"/>
  <c r="BH597" i="2"/>
  <c r="BG597" i="2"/>
  <c r="U597" i="1"/>
  <c r="BF597" i="2"/>
  <c r="BE597" i="2"/>
  <c r="S597" i="1"/>
  <c r="BD597" i="2"/>
  <c r="BC597" i="2"/>
  <c r="BB597" i="2"/>
  <c r="BA597" i="2"/>
  <c r="AZ597" i="2"/>
  <c r="AY597" i="2"/>
  <c r="AX597" i="2"/>
  <c r="AW597" i="2"/>
  <c r="AV597" i="2"/>
  <c r="AU597" i="2"/>
  <c r="AT597" i="2"/>
  <c r="H597" i="1"/>
  <c r="AS597" i="2"/>
  <c r="G597" i="1"/>
  <c r="AR597" i="2"/>
  <c r="AQ597" i="2"/>
  <c r="AP597" i="2"/>
  <c r="D597" i="1"/>
  <c r="AO597" i="2"/>
  <c r="AN597" i="2"/>
  <c r="AM597" i="2"/>
  <c r="AJ597" i="2"/>
  <c r="AI597" i="2"/>
  <c r="BM596" i="2"/>
  <c r="AA596" i="1"/>
  <c r="BL596" i="2"/>
  <c r="BK596" i="2"/>
  <c r="BJ596" i="2"/>
  <c r="X596" i="1"/>
  <c r="BI596" i="2"/>
  <c r="BH596" i="2"/>
  <c r="BG596" i="2"/>
  <c r="U596" i="1"/>
  <c r="BF596" i="2"/>
  <c r="BE596" i="2"/>
  <c r="S596" i="1"/>
  <c r="BD596" i="2"/>
  <c r="BC596" i="2"/>
  <c r="BB596" i="2"/>
  <c r="BA596" i="2"/>
  <c r="AZ596" i="2"/>
  <c r="AY596" i="2"/>
  <c r="AX596" i="2"/>
  <c r="AW596" i="2"/>
  <c r="AV596" i="2"/>
  <c r="AU596" i="2"/>
  <c r="AT596" i="2"/>
  <c r="H596" i="1"/>
  <c r="AS596" i="2"/>
  <c r="G596" i="1"/>
  <c r="AR596" i="2"/>
  <c r="AQ596" i="2"/>
  <c r="AP596" i="2"/>
  <c r="D596" i="1"/>
  <c r="AO596" i="2"/>
  <c r="AN596" i="2"/>
  <c r="AM596" i="2"/>
  <c r="AJ596" i="2"/>
  <c r="AI596" i="2"/>
  <c r="BM595" i="2"/>
  <c r="AA595" i="1"/>
  <c r="BL595" i="2"/>
  <c r="BK595" i="2"/>
  <c r="BJ595" i="2"/>
  <c r="X595" i="1"/>
  <c r="BI595" i="2"/>
  <c r="BH595" i="2"/>
  <c r="BG595" i="2"/>
  <c r="U595" i="1"/>
  <c r="BF595" i="2"/>
  <c r="BE595" i="2"/>
  <c r="S595" i="1"/>
  <c r="BD595" i="2"/>
  <c r="BC595" i="2"/>
  <c r="BB595" i="2"/>
  <c r="BA595" i="2"/>
  <c r="AZ595" i="2"/>
  <c r="AY595" i="2"/>
  <c r="AX595" i="2"/>
  <c r="AW595" i="2"/>
  <c r="AV595" i="2"/>
  <c r="AU595" i="2"/>
  <c r="AT595" i="2"/>
  <c r="H595" i="1"/>
  <c r="AS595" i="2"/>
  <c r="G595" i="1"/>
  <c r="AR595" i="2"/>
  <c r="AQ595" i="2"/>
  <c r="AP595" i="2"/>
  <c r="D595" i="1"/>
  <c r="AO595" i="2"/>
  <c r="AN595" i="2"/>
  <c r="AM595" i="2"/>
  <c r="AJ595" i="2"/>
  <c r="AI595" i="2"/>
  <c r="BM594" i="2"/>
  <c r="AA594" i="1"/>
  <c r="BL594" i="2"/>
  <c r="BK594" i="2"/>
  <c r="BJ594" i="2"/>
  <c r="X594" i="1"/>
  <c r="BI594" i="2"/>
  <c r="BH594" i="2"/>
  <c r="BG594" i="2"/>
  <c r="U594" i="1"/>
  <c r="BF594" i="2"/>
  <c r="BE594" i="2"/>
  <c r="S594" i="1"/>
  <c r="BD594" i="2"/>
  <c r="BC594" i="2"/>
  <c r="BB594" i="2"/>
  <c r="BA594" i="2"/>
  <c r="AZ594" i="2"/>
  <c r="AY594" i="2"/>
  <c r="AX594" i="2"/>
  <c r="AW594" i="2"/>
  <c r="AV594" i="2"/>
  <c r="AU594" i="2"/>
  <c r="AT594" i="2"/>
  <c r="H594" i="1"/>
  <c r="AS594" i="2"/>
  <c r="G594" i="1"/>
  <c r="AR594" i="2"/>
  <c r="AQ594" i="2"/>
  <c r="AP594" i="2"/>
  <c r="D594" i="1"/>
  <c r="AO594" i="2"/>
  <c r="AN594" i="2"/>
  <c r="AM594" i="2"/>
  <c r="AJ594" i="2"/>
  <c r="AI594" i="2"/>
  <c r="BM593" i="2"/>
  <c r="AA593" i="1"/>
  <c r="BL593" i="2"/>
  <c r="BK593" i="2"/>
  <c r="BJ593" i="2"/>
  <c r="X593" i="1"/>
  <c r="BI593" i="2"/>
  <c r="BH593" i="2"/>
  <c r="BG593" i="2"/>
  <c r="U593" i="1"/>
  <c r="BF593" i="2"/>
  <c r="BE593" i="2"/>
  <c r="S593" i="1"/>
  <c r="BD593" i="2"/>
  <c r="BC593" i="2"/>
  <c r="BB593" i="2"/>
  <c r="BA593" i="2"/>
  <c r="AZ593" i="2"/>
  <c r="AY593" i="2"/>
  <c r="AX593" i="2"/>
  <c r="AW593" i="2"/>
  <c r="AV593" i="2"/>
  <c r="AU593" i="2"/>
  <c r="AT593" i="2"/>
  <c r="H593" i="1"/>
  <c r="AS593" i="2"/>
  <c r="G593" i="1"/>
  <c r="AR593" i="2"/>
  <c r="AQ593" i="2"/>
  <c r="AP593" i="2"/>
  <c r="D593" i="1"/>
  <c r="AO593" i="2"/>
  <c r="AN593" i="2"/>
  <c r="AM593" i="2"/>
  <c r="AJ593" i="2"/>
  <c r="AI593" i="2"/>
  <c r="BM592" i="2"/>
  <c r="AA592" i="1"/>
  <c r="BL592" i="2"/>
  <c r="BK592" i="2"/>
  <c r="BJ592" i="2"/>
  <c r="X592" i="1"/>
  <c r="BI592" i="2"/>
  <c r="BH592" i="2"/>
  <c r="BG592" i="2"/>
  <c r="U592" i="1"/>
  <c r="BF592" i="2"/>
  <c r="BE592" i="2"/>
  <c r="S592" i="1"/>
  <c r="BD592" i="2"/>
  <c r="BC592" i="2"/>
  <c r="BB592" i="2"/>
  <c r="BA592" i="2"/>
  <c r="AZ592" i="2"/>
  <c r="AY592" i="2"/>
  <c r="AX592" i="2"/>
  <c r="AW592" i="2"/>
  <c r="AV592" i="2"/>
  <c r="AU592" i="2"/>
  <c r="AT592" i="2"/>
  <c r="H592" i="1"/>
  <c r="AS592" i="2"/>
  <c r="G592" i="1"/>
  <c r="AR592" i="2"/>
  <c r="AQ592" i="2"/>
  <c r="AP592" i="2"/>
  <c r="D592" i="1"/>
  <c r="AO592" i="2"/>
  <c r="AN592" i="2"/>
  <c r="AM592" i="2"/>
  <c r="AJ592" i="2"/>
  <c r="AI592" i="2"/>
  <c r="BM591" i="2"/>
  <c r="AA591" i="1"/>
  <c r="BL591" i="2"/>
  <c r="BK591" i="2"/>
  <c r="BJ591" i="2"/>
  <c r="X591" i="1"/>
  <c r="BI591" i="2"/>
  <c r="BH591" i="2"/>
  <c r="BG591" i="2"/>
  <c r="U591" i="1"/>
  <c r="BF591" i="2"/>
  <c r="BE591" i="2"/>
  <c r="S591" i="1"/>
  <c r="BD591" i="2"/>
  <c r="BC591" i="2"/>
  <c r="BB591" i="2"/>
  <c r="BA591" i="2"/>
  <c r="AZ591" i="2"/>
  <c r="AY591" i="2"/>
  <c r="AX591" i="2"/>
  <c r="AW591" i="2"/>
  <c r="AV591" i="2"/>
  <c r="AU591" i="2"/>
  <c r="AT591" i="2"/>
  <c r="H591" i="1"/>
  <c r="AS591" i="2"/>
  <c r="G591" i="1"/>
  <c r="AR591" i="2"/>
  <c r="AQ591" i="2"/>
  <c r="AP591" i="2"/>
  <c r="D591" i="1"/>
  <c r="AO591" i="2"/>
  <c r="AN591" i="2"/>
  <c r="AM591" i="2"/>
  <c r="AJ591" i="2"/>
  <c r="AI591" i="2"/>
  <c r="BM590" i="2"/>
  <c r="AA590" i="1"/>
  <c r="BL590" i="2"/>
  <c r="BK590" i="2"/>
  <c r="BJ590" i="2"/>
  <c r="X590" i="1"/>
  <c r="BI590" i="2"/>
  <c r="BH590" i="2"/>
  <c r="BG590" i="2"/>
  <c r="U590" i="1"/>
  <c r="BF590" i="2"/>
  <c r="BE590" i="2"/>
  <c r="S590" i="1"/>
  <c r="BD590" i="2"/>
  <c r="BC590" i="2"/>
  <c r="BB590" i="2"/>
  <c r="BA590" i="2"/>
  <c r="AZ590" i="2"/>
  <c r="AY590" i="2"/>
  <c r="AX590" i="2"/>
  <c r="AW590" i="2"/>
  <c r="AV590" i="2"/>
  <c r="AU590" i="2"/>
  <c r="AT590" i="2"/>
  <c r="H590" i="1"/>
  <c r="AS590" i="2"/>
  <c r="G590" i="1"/>
  <c r="AR590" i="2"/>
  <c r="AQ590" i="2"/>
  <c r="AP590" i="2"/>
  <c r="D590" i="1"/>
  <c r="AO590" i="2"/>
  <c r="AN590" i="2"/>
  <c r="AM590" i="2"/>
  <c r="AJ590" i="2"/>
  <c r="AI590" i="2"/>
  <c r="BM589" i="2"/>
  <c r="AA589" i="1"/>
  <c r="BL589" i="2"/>
  <c r="BK589" i="2"/>
  <c r="BJ589" i="2"/>
  <c r="X589" i="1"/>
  <c r="BI589" i="2"/>
  <c r="BH589" i="2"/>
  <c r="BG589" i="2"/>
  <c r="U589" i="1"/>
  <c r="BF589" i="2"/>
  <c r="BE589" i="2"/>
  <c r="S589" i="1"/>
  <c r="BD589" i="2"/>
  <c r="BC589" i="2"/>
  <c r="BB589" i="2"/>
  <c r="BA589" i="2"/>
  <c r="AZ589" i="2"/>
  <c r="AY589" i="2"/>
  <c r="AX589" i="2"/>
  <c r="AW589" i="2"/>
  <c r="AV589" i="2"/>
  <c r="AU589" i="2"/>
  <c r="AT589" i="2"/>
  <c r="H589" i="1"/>
  <c r="AS589" i="2"/>
  <c r="G589" i="1"/>
  <c r="AR589" i="2"/>
  <c r="AQ589" i="2"/>
  <c r="AP589" i="2"/>
  <c r="D589" i="1"/>
  <c r="AO589" i="2"/>
  <c r="AN589" i="2"/>
  <c r="AM589" i="2"/>
  <c r="AJ589" i="2"/>
  <c r="AI589" i="2"/>
  <c r="BM588" i="2"/>
  <c r="AA588" i="1"/>
  <c r="BL588" i="2"/>
  <c r="BK588" i="2"/>
  <c r="BJ588" i="2"/>
  <c r="X588" i="1"/>
  <c r="BI588" i="2"/>
  <c r="BH588" i="2"/>
  <c r="BG588" i="2"/>
  <c r="U588" i="1"/>
  <c r="BF588" i="2"/>
  <c r="BE588" i="2"/>
  <c r="S588" i="1"/>
  <c r="BD588" i="2"/>
  <c r="BC588" i="2"/>
  <c r="BB588" i="2"/>
  <c r="BA588" i="2"/>
  <c r="AZ588" i="2"/>
  <c r="AY588" i="2"/>
  <c r="AX588" i="2"/>
  <c r="AW588" i="2"/>
  <c r="AV588" i="2"/>
  <c r="AU588" i="2"/>
  <c r="AT588" i="2"/>
  <c r="H588" i="1"/>
  <c r="AS588" i="2"/>
  <c r="G588" i="1"/>
  <c r="AR588" i="2"/>
  <c r="AQ588" i="2"/>
  <c r="AP588" i="2"/>
  <c r="D588" i="1"/>
  <c r="AO588" i="2"/>
  <c r="AN588" i="2"/>
  <c r="AM588" i="2"/>
  <c r="AJ588" i="2"/>
  <c r="AI588" i="2"/>
  <c r="BM587" i="2"/>
  <c r="AA587" i="1"/>
  <c r="BL587" i="2"/>
  <c r="BK587" i="2"/>
  <c r="BJ587" i="2"/>
  <c r="X587" i="1"/>
  <c r="BI587" i="2"/>
  <c r="BH587" i="2"/>
  <c r="BG587" i="2"/>
  <c r="U587" i="1"/>
  <c r="BF587" i="2"/>
  <c r="BE587" i="2"/>
  <c r="S587" i="1"/>
  <c r="BD587" i="2"/>
  <c r="BC587" i="2"/>
  <c r="BB587" i="2"/>
  <c r="BA587" i="2"/>
  <c r="AZ587" i="2"/>
  <c r="AY587" i="2"/>
  <c r="AX587" i="2"/>
  <c r="AW587" i="2"/>
  <c r="AV587" i="2"/>
  <c r="AU587" i="2"/>
  <c r="AT587" i="2"/>
  <c r="H587" i="1"/>
  <c r="AS587" i="2"/>
  <c r="G587" i="1"/>
  <c r="AR587" i="2"/>
  <c r="AQ587" i="2"/>
  <c r="AP587" i="2"/>
  <c r="D587" i="1"/>
  <c r="AO587" i="2"/>
  <c r="AN587" i="2"/>
  <c r="AM587" i="2"/>
  <c r="AJ587" i="2"/>
  <c r="AI587" i="2"/>
  <c r="BM586" i="2"/>
  <c r="AA586" i="1"/>
  <c r="BL586" i="2"/>
  <c r="BK586" i="2"/>
  <c r="BJ586" i="2"/>
  <c r="X586" i="1"/>
  <c r="BI586" i="2"/>
  <c r="BH586" i="2"/>
  <c r="BG586" i="2"/>
  <c r="U586" i="1"/>
  <c r="BF586" i="2"/>
  <c r="BE586" i="2"/>
  <c r="S586" i="1"/>
  <c r="BD586" i="2"/>
  <c r="BC586" i="2"/>
  <c r="BB586" i="2"/>
  <c r="BA586" i="2"/>
  <c r="AZ586" i="2"/>
  <c r="AY586" i="2"/>
  <c r="AX586" i="2"/>
  <c r="AW586" i="2"/>
  <c r="AV586" i="2"/>
  <c r="AU586" i="2"/>
  <c r="AT586" i="2"/>
  <c r="H586" i="1"/>
  <c r="AS586" i="2"/>
  <c r="G586" i="1"/>
  <c r="AR586" i="2"/>
  <c r="AQ586" i="2"/>
  <c r="AP586" i="2"/>
  <c r="D586" i="1"/>
  <c r="AO586" i="2"/>
  <c r="AN586" i="2"/>
  <c r="AM586" i="2"/>
  <c r="AJ586" i="2"/>
  <c r="AI586" i="2"/>
  <c r="BM585" i="2"/>
  <c r="AA585" i="1"/>
  <c r="BL585" i="2"/>
  <c r="BK585" i="2"/>
  <c r="BJ585" i="2"/>
  <c r="X585" i="1"/>
  <c r="BI585" i="2"/>
  <c r="BH585" i="2"/>
  <c r="BG585" i="2"/>
  <c r="U585" i="1"/>
  <c r="BF585" i="2"/>
  <c r="BE585" i="2"/>
  <c r="S585" i="1"/>
  <c r="BD585" i="2"/>
  <c r="BC585" i="2"/>
  <c r="BB585" i="2"/>
  <c r="BA585" i="2"/>
  <c r="AZ585" i="2"/>
  <c r="AY585" i="2"/>
  <c r="AX585" i="2"/>
  <c r="AW585" i="2"/>
  <c r="AV585" i="2"/>
  <c r="AU585" i="2"/>
  <c r="AT585" i="2"/>
  <c r="H585" i="1"/>
  <c r="AS585" i="2"/>
  <c r="G585" i="1"/>
  <c r="AR585" i="2"/>
  <c r="AQ585" i="2"/>
  <c r="AP585" i="2"/>
  <c r="D585" i="1"/>
  <c r="AO585" i="2"/>
  <c r="AN585" i="2"/>
  <c r="AM585" i="2"/>
  <c r="AJ585" i="2"/>
  <c r="AI585" i="2"/>
  <c r="BM584" i="2"/>
  <c r="AA584" i="1"/>
  <c r="BL584" i="2"/>
  <c r="BK584" i="2"/>
  <c r="BJ584" i="2"/>
  <c r="X584" i="1"/>
  <c r="BI584" i="2"/>
  <c r="BH584" i="2"/>
  <c r="BG584" i="2"/>
  <c r="U584" i="1"/>
  <c r="BF584" i="2"/>
  <c r="BE584" i="2"/>
  <c r="S584" i="1"/>
  <c r="BD584" i="2"/>
  <c r="BC584" i="2"/>
  <c r="BB584" i="2"/>
  <c r="BA584" i="2"/>
  <c r="AZ584" i="2"/>
  <c r="AY584" i="2"/>
  <c r="AX584" i="2"/>
  <c r="AW584" i="2"/>
  <c r="AV584" i="2"/>
  <c r="AU584" i="2"/>
  <c r="AT584" i="2"/>
  <c r="H584" i="1"/>
  <c r="AS584" i="2"/>
  <c r="G584" i="1"/>
  <c r="AR584" i="2"/>
  <c r="AQ584" i="2"/>
  <c r="AP584" i="2"/>
  <c r="D584" i="1"/>
  <c r="AO584" i="2"/>
  <c r="AN584" i="2"/>
  <c r="AM584" i="2"/>
  <c r="AJ584" i="2"/>
  <c r="AI584" i="2"/>
  <c r="BM583" i="2"/>
  <c r="AA583" i="1"/>
  <c r="BL583" i="2"/>
  <c r="BK583" i="2"/>
  <c r="BJ583" i="2"/>
  <c r="X583" i="1"/>
  <c r="BI583" i="2"/>
  <c r="BH583" i="2"/>
  <c r="BG583" i="2"/>
  <c r="U583" i="1"/>
  <c r="BF583" i="2"/>
  <c r="BE583" i="2"/>
  <c r="S583" i="1"/>
  <c r="BD583" i="2"/>
  <c r="BC583" i="2"/>
  <c r="BB583" i="2"/>
  <c r="BA583" i="2"/>
  <c r="AZ583" i="2"/>
  <c r="AY583" i="2"/>
  <c r="AX583" i="2"/>
  <c r="AW583" i="2"/>
  <c r="AV583" i="2"/>
  <c r="AU583" i="2"/>
  <c r="AT583" i="2"/>
  <c r="H583" i="1"/>
  <c r="AS583" i="2"/>
  <c r="G583" i="1"/>
  <c r="AR583" i="2"/>
  <c r="AQ583" i="2"/>
  <c r="AP583" i="2"/>
  <c r="D583" i="1"/>
  <c r="AO583" i="2"/>
  <c r="AN583" i="2"/>
  <c r="AM583" i="2"/>
  <c r="AJ583" i="2"/>
  <c r="AI583" i="2"/>
  <c r="BM582" i="2"/>
  <c r="AA582" i="1"/>
  <c r="BL582" i="2"/>
  <c r="BK582" i="2"/>
  <c r="BJ582" i="2"/>
  <c r="X582" i="1"/>
  <c r="BI582" i="2"/>
  <c r="BH582" i="2"/>
  <c r="BG582" i="2"/>
  <c r="U582" i="1"/>
  <c r="BF582" i="2"/>
  <c r="BE582" i="2"/>
  <c r="S582" i="1"/>
  <c r="BD582" i="2"/>
  <c r="BC582" i="2"/>
  <c r="BB582" i="2"/>
  <c r="BA582" i="2"/>
  <c r="AZ582" i="2"/>
  <c r="AY582" i="2"/>
  <c r="AX582" i="2"/>
  <c r="AW582" i="2"/>
  <c r="AV582" i="2"/>
  <c r="AU582" i="2"/>
  <c r="AT582" i="2"/>
  <c r="H582" i="1"/>
  <c r="AS582" i="2"/>
  <c r="G582" i="1"/>
  <c r="AR582" i="2"/>
  <c r="AQ582" i="2"/>
  <c r="AP582" i="2"/>
  <c r="D582" i="1"/>
  <c r="AO582" i="2"/>
  <c r="AN582" i="2"/>
  <c r="AM582" i="2"/>
  <c r="AJ582" i="2"/>
  <c r="AI582" i="2"/>
  <c r="BM581" i="2"/>
  <c r="AA581" i="1"/>
  <c r="BL581" i="2"/>
  <c r="BK581" i="2"/>
  <c r="BJ581" i="2"/>
  <c r="X581" i="1"/>
  <c r="BI581" i="2"/>
  <c r="BH581" i="2"/>
  <c r="BG581" i="2"/>
  <c r="U581" i="1"/>
  <c r="BF581" i="2"/>
  <c r="BE581" i="2"/>
  <c r="S581" i="1"/>
  <c r="BD581" i="2"/>
  <c r="BC581" i="2"/>
  <c r="BB581" i="2"/>
  <c r="BA581" i="2"/>
  <c r="AZ581" i="2"/>
  <c r="AY581" i="2"/>
  <c r="AX581" i="2"/>
  <c r="AW581" i="2"/>
  <c r="AV581" i="2"/>
  <c r="AU581" i="2"/>
  <c r="AT581" i="2"/>
  <c r="H581" i="1"/>
  <c r="AS581" i="2"/>
  <c r="G581" i="1"/>
  <c r="AR581" i="2"/>
  <c r="AQ581" i="2"/>
  <c r="AP581" i="2"/>
  <c r="D581" i="1"/>
  <c r="AO581" i="2"/>
  <c r="AN581" i="2"/>
  <c r="AM581" i="2"/>
  <c r="AJ581" i="2"/>
  <c r="AI581" i="2"/>
  <c r="BM580" i="2"/>
  <c r="AA580" i="1"/>
  <c r="BL580" i="2"/>
  <c r="BK580" i="2"/>
  <c r="BJ580" i="2"/>
  <c r="X580" i="1"/>
  <c r="BI580" i="2"/>
  <c r="BH580" i="2"/>
  <c r="BG580" i="2"/>
  <c r="U580" i="1"/>
  <c r="BF580" i="2"/>
  <c r="BE580" i="2"/>
  <c r="S580" i="1"/>
  <c r="BD580" i="2"/>
  <c r="BC580" i="2"/>
  <c r="BB580" i="2"/>
  <c r="BA580" i="2"/>
  <c r="AZ580" i="2"/>
  <c r="AY580" i="2"/>
  <c r="AX580" i="2"/>
  <c r="AW580" i="2"/>
  <c r="AV580" i="2"/>
  <c r="AU580" i="2"/>
  <c r="AT580" i="2"/>
  <c r="H580" i="1"/>
  <c r="AS580" i="2"/>
  <c r="G580" i="1"/>
  <c r="AR580" i="2"/>
  <c r="AQ580" i="2"/>
  <c r="AP580" i="2"/>
  <c r="D580" i="1"/>
  <c r="AO580" i="2"/>
  <c r="AN580" i="2"/>
  <c r="AM580" i="2"/>
  <c r="AJ580" i="2"/>
  <c r="AI580" i="2"/>
  <c r="BM579" i="2"/>
  <c r="AA579" i="1"/>
  <c r="BL579" i="2"/>
  <c r="BK579" i="2"/>
  <c r="BJ579" i="2"/>
  <c r="X579" i="1"/>
  <c r="BI579" i="2"/>
  <c r="BH579" i="2"/>
  <c r="BG579" i="2"/>
  <c r="U579" i="1"/>
  <c r="BF579" i="2"/>
  <c r="BE579" i="2"/>
  <c r="S579" i="1"/>
  <c r="BD579" i="2"/>
  <c r="BC579" i="2"/>
  <c r="BB579" i="2"/>
  <c r="BA579" i="2"/>
  <c r="AZ579" i="2"/>
  <c r="AY579" i="2"/>
  <c r="AX579" i="2"/>
  <c r="AW579" i="2"/>
  <c r="AV579" i="2"/>
  <c r="AU579" i="2"/>
  <c r="AT579" i="2"/>
  <c r="H579" i="1"/>
  <c r="AS579" i="2"/>
  <c r="G579" i="1"/>
  <c r="AR579" i="2"/>
  <c r="AQ579" i="2"/>
  <c r="AP579" i="2"/>
  <c r="D579" i="1"/>
  <c r="AO579" i="2"/>
  <c r="AN579" i="2"/>
  <c r="AM579" i="2"/>
  <c r="AJ579" i="2"/>
  <c r="AI579" i="2"/>
  <c r="BM578" i="2"/>
  <c r="AA578" i="1"/>
  <c r="BL578" i="2"/>
  <c r="BK578" i="2"/>
  <c r="BJ578" i="2"/>
  <c r="X578" i="1"/>
  <c r="BI578" i="2"/>
  <c r="BH578" i="2"/>
  <c r="BG578" i="2"/>
  <c r="U578" i="1"/>
  <c r="BF578" i="2"/>
  <c r="BE578" i="2"/>
  <c r="S578" i="1"/>
  <c r="BD578" i="2"/>
  <c r="BC578" i="2"/>
  <c r="BB578" i="2"/>
  <c r="BA578" i="2"/>
  <c r="AZ578" i="2"/>
  <c r="AY578" i="2"/>
  <c r="AX578" i="2"/>
  <c r="AW578" i="2"/>
  <c r="AV578" i="2"/>
  <c r="AU578" i="2"/>
  <c r="AT578" i="2"/>
  <c r="H578" i="1"/>
  <c r="AS578" i="2"/>
  <c r="G578" i="1"/>
  <c r="AR578" i="2"/>
  <c r="AQ578" i="2"/>
  <c r="AP578" i="2"/>
  <c r="D578" i="1"/>
  <c r="AO578" i="2"/>
  <c r="AN578" i="2"/>
  <c r="AM578" i="2"/>
  <c r="AJ578" i="2"/>
  <c r="AI578" i="2"/>
  <c r="BM577" i="2"/>
  <c r="AA577" i="1"/>
  <c r="BL577" i="2"/>
  <c r="BK577" i="2"/>
  <c r="BJ577" i="2"/>
  <c r="X577" i="1"/>
  <c r="BI577" i="2"/>
  <c r="BH577" i="2"/>
  <c r="BG577" i="2"/>
  <c r="U577" i="1"/>
  <c r="BF577" i="2"/>
  <c r="BE577" i="2"/>
  <c r="S577" i="1"/>
  <c r="BD577" i="2"/>
  <c r="BC577" i="2"/>
  <c r="BB577" i="2"/>
  <c r="BA577" i="2"/>
  <c r="AZ577" i="2"/>
  <c r="AY577" i="2"/>
  <c r="AX577" i="2"/>
  <c r="AW577" i="2"/>
  <c r="AV577" i="2"/>
  <c r="AU577" i="2"/>
  <c r="AT577" i="2"/>
  <c r="H577" i="1"/>
  <c r="AS577" i="2"/>
  <c r="G577" i="1"/>
  <c r="AR577" i="2"/>
  <c r="AQ577" i="2"/>
  <c r="AP577" i="2"/>
  <c r="D577" i="1"/>
  <c r="AO577" i="2"/>
  <c r="AN577" i="2"/>
  <c r="AM577" i="2"/>
  <c r="AJ577" i="2"/>
  <c r="AI577" i="2"/>
  <c r="BM576" i="2"/>
  <c r="AA576" i="1"/>
  <c r="BL576" i="2"/>
  <c r="BK576" i="2"/>
  <c r="BJ576" i="2"/>
  <c r="X576" i="1"/>
  <c r="BI576" i="2"/>
  <c r="BH576" i="2"/>
  <c r="BG576" i="2"/>
  <c r="U576" i="1"/>
  <c r="BF576" i="2"/>
  <c r="BE576" i="2"/>
  <c r="S576" i="1"/>
  <c r="BD576" i="2"/>
  <c r="BC576" i="2"/>
  <c r="BB576" i="2"/>
  <c r="BA576" i="2"/>
  <c r="AZ576" i="2"/>
  <c r="AY576" i="2"/>
  <c r="AX576" i="2"/>
  <c r="AW576" i="2"/>
  <c r="AV576" i="2"/>
  <c r="AU576" i="2"/>
  <c r="AT576" i="2"/>
  <c r="H576" i="1"/>
  <c r="AS576" i="2"/>
  <c r="G576" i="1"/>
  <c r="AR576" i="2"/>
  <c r="AQ576" i="2"/>
  <c r="AP576" i="2"/>
  <c r="D576" i="1"/>
  <c r="AO576" i="2"/>
  <c r="AN576" i="2"/>
  <c r="AM576" i="2"/>
  <c r="AJ576" i="2"/>
  <c r="AI576" i="2"/>
  <c r="BM575" i="2"/>
  <c r="AA575" i="1"/>
  <c r="BL575" i="2"/>
  <c r="BK575" i="2"/>
  <c r="BJ575" i="2"/>
  <c r="X575" i="1"/>
  <c r="BI575" i="2"/>
  <c r="BH575" i="2"/>
  <c r="BG575" i="2"/>
  <c r="U575" i="1"/>
  <c r="BF575" i="2"/>
  <c r="BE575" i="2"/>
  <c r="S575" i="1"/>
  <c r="BD575" i="2"/>
  <c r="BC575" i="2"/>
  <c r="BB575" i="2"/>
  <c r="BA575" i="2"/>
  <c r="AZ575" i="2"/>
  <c r="AY575" i="2"/>
  <c r="AX575" i="2"/>
  <c r="AW575" i="2"/>
  <c r="AV575" i="2"/>
  <c r="AU575" i="2"/>
  <c r="AT575" i="2"/>
  <c r="H575" i="1"/>
  <c r="AS575" i="2"/>
  <c r="G575" i="1"/>
  <c r="AR575" i="2"/>
  <c r="AQ575" i="2"/>
  <c r="AP575" i="2"/>
  <c r="D575" i="1"/>
  <c r="AO575" i="2"/>
  <c r="AN575" i="2"/>
  <c r="AM575" i="2"/>
  <c r="AJ575" i="2"/>
  <c r="AI575" i="2"/>
  <c r="BM574" i="2"/>
  <c r="AA574" i="1"/>
  <c r="BL574" i="2"/>
  <c r="BK574" i="2"/>
  <c r="BJ574" i="2"/>
  <c r="X574" i="1"/>
  <c r="BI574" i="2"/>
  <c r="BH574" i="2"/>
  <c r="BG574" i="2"/>
  <c r="U574" i="1"/>
  <c r="BF574" i="2"/>
  <c r="BE574" i="2"/>
  <c r="S574" i="1"/>
  <c r="BD574" i="2"/>
  <c r="BC574" i="2"/>
  <c r="BB574" i="2"/>
  <c r="BA574" i="2"/>
  <c r="AZ574" i="2"/>
  <c r="AY574" i="2"/>
  <c r="AX574" i="2"/>
  <c r="AW574" i="2"/>
  <c r="AV574" i="2"/>
  <c r="AU574" i="2"/>
  <c r="AT574" i="2"/>
  <c r="H574" i="1"/>
  <c r="AS574" i="2"/>
  <c r="G574" i="1"/>
  <c r="AR574" i="2"/>
  <c r="AQ574" i="2"/>
  <c r="AP574" i="2"/>
  <c r="D574" i="1"/>
  <c r="AO574" i="2"/>
  <c r="AN574" i="2"/>
  <c r="AM574" i="2"/>
  <c r="AJ574" i="2"/>
  <c r="AI574" i="2"/>
  <c r="BM573" i="2"/>
  <c r="AA573" i="1"/>
  <c r="BL573" i="2"/>
  <c r="BK573" i="2"/>
  <c r="BJ573" i="2"/>
  <c r="X573" i="1"/>
  <c r="BI573" i="2"/>
  <c r="BH573" i="2"/>
  <c r="BG573" i="2"/>
  <c r="U573" i="1"/>
  <c r="BF573" i="2"/>
  <c r="BE573" i="2"/>
  <c r="S573" i="1"/>
  <c r="BD573" i="2"/>
  <c r="BC573" i="2"/>
  <c r="BB573" i="2"/>
  <c r="BA573" i="2"/>
  <c r="AZ573" i="2"/>
  <c r="AY573" i="2"/>
  <c r="AX573" i="2"/>
  <c r="AW573" i="2"/>
  <c r="AV573" i="2"/>
  <c r="AU573" i="2"/>
  <c r="AT573" i="2"/>
  <c r="H573" i="1"/>
  <c r="AS573" i="2"/>
  <c r="G573" i="1"/>
  <c r="AR573" i="2"/>
  <c r="AQ573" i="2"/>
  <c r="AP573" i="2"/>
  <c r="D573" i="1"/>
  <c r="AO573" i="2"/>
  <c r="AN573" i="2"/>
  <c r="AM573" i="2"/>
  <c r="AJ573" i="2"/>
  <c r="AI573" i="2"/>
  <c r="BM572" i="2"/>
  <c r="AA572" i="1"/>
  <c r="BL572" i="2"/>
  <c r="BK572" i="2"/>
  <c r="BJ572" i="2"/>
  <c r="X572" i="1"/>
  <c r="BI572" i="2"/>
  <c r="BH572" i="2"/>
  <c r="BG572" i="2"/>
  <c r="U572" i="1"/>
  <c r="BF572" i="2"/>
  <c r="BE572" i="2"/>
  <c r="S572" i="1"/>
  <c r="BD572" i="2"/>
  <c r="BC572" i="2"/>
  <c r="BB572" i="2"/>
  <c r="BA572" i="2"/>
  <c r="AZ572" i="2"/>
  <c r="AY572" i="2"/>
  <c r="AX572" i="2"/>
  <c r="AW572" i="2"/>
  <c r="AV572" i="2"/>
  <c r="AU572" i="2"/>
  <c r="AT572" i="2"/>
  <c r="H572" i="1"/>
  <c r="AS572" i="2"/>
  <c r="G572" i="1"/>
  <c r="AR572" i="2"/>
  <c r="AQ572" i="2"/>
  <c r="AP572" i="2"/>
  <c r="D572" i="1"/>
  <c r="AO572" i="2"/>
  <c r="AN572" i="2"/>
  <c r="AM572" i="2"/>
  <c r="AJ572" i="2"/>
  <c r="AI572" i="2"/>
  <c r="BM571" i="2"/>
  <c r="AA571" i="1"/>
  <c r="BL571" i="2"/>
  <c r="BK571" i="2"/>
  <c r="BJ571" i="2"/>
  <c r="X571" i="1"/>
  <c r="BI571" i="2"/>
  <c r="BH571" i="2"/>
  <c r="BG571" i="2"/>
  <c r="U571" i="1"/>
  <c r="BF571" i="2"/>
  <c r="BE571" i="2"/>
  <c r="S571" i="1"/>
  <c r="BD571" i="2"/>
  <c r="BC571" i="2"/>
  <c r="BB571" i="2"/>
  <c r="BA571" i="2"/>
  <c r="AZ571" i="2"/>
  <c r="AY571" i="2"/>
  <c r="AX571" i="2"/>
  <c r="AW571" i="2"/>
  <c r="AV571" i="2"/>
  <c r="AU571" i="2"/>
  <c r="AT571" i="2"/>
  <c r="H571" i="1"/>
  <c r="AS571" i="2"/>
  <c r="G571" i="1"/>
  <c r="AR571" i="2"/>
  <c r="AQ571" i="2"/>
  <c r="AP571" i="2"/>
  <c r="D571" i="1"/>
  <c r="AO571" i="2"/>
  <c r="AN571" i="2"/>
  <c r="AM571" i="2"/>
  <c r="AJ571" i="2"/>
  <c r="AI571" i="2"/>
  <c r="BM570" i="2"/>
  <c r="AA570" i="1"/>
  <c r="BL570" i="2"/>
  <c r="BK570" i="2"/>
  <c r="BJ570" i="2"/>
  <c r="X570" i="1"/>
  <c r="BI570" i="2"/>
  <c r="BH570" i="2"/>
  <c r="BG570" i="2"/>
  <c r="U570" i="1"/>
  <c r="BF570" i="2"/>
  <c r="BE570" i="2"/>
  <c r="S570" i="1"/>
  <c r="BD570" i="2"/>
  <c r="BC570" i="2"/>
  <c r="BB570" i="2"/>
  <c r="BA570" i="2"/>
  <c r="AZ570" i="2"/>
  <c r="AY570" i="2"/>
  <c r="AX570" i="2"/>
  <c r="AW570" i="2"/>
  <c r="AV570" i="2"/>
  <c r="AU570" i="2"/>
  <c r="AT570" i="2"/>
  <c r="H570" i="1"/>
  <c r="AS570" i="2"/>
  <c r="G570" i="1"/>
  <c r="AR570" i="2"/>
  <c r="AQ570" i="2"/>
  <c r="AP570" i="2"/>
  <c r="D570" i="1"/>
  <c r="AO570" i="2"/>
  <c r="AN570" i="2"/>
  <c r="AM570" i="2"/>
  <c r="AJ570" i="2"/>
  <c r="AI570" i="2"/>
  <c r="BM569" i="2"/>
  <c r="AA569" i="1"/>
  <c r="BL569" i="2"/>
  <c r="BK569" i="2"/>
  <c r="BJ569" i="2"/>
  <c r="X569" i="1"/>
  <c r="BI569" i="2"/>
  <c r="BH569" i="2"/>
  <c r="BG569" i="2"/>
  <c r="U569" i="1"/>
  <c r="BF569" i="2"/>
  <c r="BE569" i="2"/>
  <c r="S569" i="1"/>
  <c r="BD569" i="2"/>
  <c r="BC569" i="2"/>
  <c r="BB569" i="2"/>
  <c r="BA569" i="2"/>
  <c r="AZ569" i="2"/>
  <c r="AY569" i="2"/>
  <c r="AX569" i="2"/>
  <c r="AW569" i="2"/>
  <c r="AV569" i="2"/>
  <c r="AU569" i="2"/>
  <c r="AT569" i="2"/>
  <c r="H569" i="1"/>
  <c r="AS569" i="2"/>
  <c r="G569" i="1"/>
  <c r="AR569" i="2"/>
  <c r="AQ569" i="2"/>
  <c r="AP569" i="2"/>
  <c r="D569" i="1"/>
  <c r="AO569" i="2"/>
  <c r="AN569" i="2"/>
  <c r="AM569" i="2"/>
  <c r="AJ569" i="2"/>
  <c r="AI569" i="2"/>
  <c r="BM568" i="2"/>
  <c r="AA568" i="1"/>
  <c r="BL568" i="2"/>
  <c r="BK568" i="2"/>
  <c r="BJ568" i="2"/>
  <c r="X568" i="1"/>
  <c r="BI568" i="2"/>
  <c r="BH568" i="2"/>
  <c r="BG568" i="2"/>
  <c r="U568" i="1"/>
  <c r="BF568" i="2"/>
  <c r="BE568" i="2"/>
  <c r="S568" i="1"/>
  <c r="BD568" i="2"/>
  <c r="BC568" i="2"/>
  <c r="BB568" i="2"/>
  <c r="BA568" i="2"/>
  <c r="AZ568" i="2"/>
  <c r="AY568" i="2"/>
  <c r="AX568" i="2"/>
  <c r="AW568" i="2"/>
  <c r="AV568" i="2"/>
  <c r="AU568" i="2"/>
  <c r="AT568" i="2"/>
  <c r="H568" i="1"/>
  <c r="AS568" i="2"/>
  <c r="G568" i="1"/>
  <c r="AR568" i="2"/>
  <c r="AQ568" i="2"/>
  <c r="AP568" i="2"/>
  <c r="D568" i="1"/>
  <c r="AO568" i="2"/>
  <c r="AN568" i="2"/>
  <c r="AM568" i="2"/>
  <c r="AJ568" i="2"/>
  <c r="AI568" i="2"/>
  <c r="BM567" i="2"/>
  <c r="AA567" i="1"/>
  <c r="BL567" i="2"/>
  <c r="BK567" i="2"/>
  <c r="BJ567" i="2"/>
  <c r="X567" i="1"/>
  <c r="BI567" i="2"/>
  <c r="BH567" i="2"/>
  <c r="BG567" i="2"/>
  <c r="U567" i="1"/>
  <c r="BF567" i="2"/>
  <c r="BE567" i="2"/>
  <c r="S567" i="1"/>
  <c r="BD567" i="2"/>
  <c r="BC567" i="2"/>
  <c r="BB567" i="2"/>
  <c r="BA567" i="2"/>
  <c r="AZ567" i="2"/>
  <c r="AY567" i="2"/>
  <c r="AX567" i="2"/>
  <c r="AW567" i="2"/>
  <c r="AV567" i="2"/>
  <c r="AU567" i="2"/>
  <c r="AT567" i="2"/>
  <c r="H567" i="1"/>
  <c r="AS567" i="2"/>
  <c r="G567" i="1"/>
  <c r="AR567" i="2"/>
  <c r="AQ567" i="2"/>
  <c r="AP567" i="2"/>
  <c r="D567" i="1"/>
  <c r="AO567" i="2"/>
  <c r="AN567" i="2"/>
  <c r="AM567" i="2"/>
  <c r="AJ567" i="2"/>
  <c r="AI567" i="2"/>
  <c r="BM566" i="2"/>
  <c r="AA566" i="1"/>
  <c r="BL566" i="2"/>
  <c r="BK566" i="2"/>
  <c r="BJ566" i="2"/>
  <c r="X566" i="1"/>
  <c r="BI566" i="2"/>
  <c r="BH566" i="2"/>
  <c r="BG566" i="2"/>
  <c r="U566" i="1"/>
  <c r="BF566" i="2"/>
  <c r="BE566" i="2"/>
  <c r="S566" i="1"/>
  <c r="BD566" i="2"/>
  <c r="BC566" i="2"/>
  <c r="BB566" i="2"/>
  <c r="BA566" i="2"/>
  <c r="AZ566" i="2"/>
  <c r="AY566" i="2"/>
  <c r="AX566" i="2"/>
  <c r="AW566" i="2"/>
  <c r="AV566" i="2"/>
  <c r="AU566" i="2"/>
  <c r="AT566" i="2"/>
  <c r="H566" i="1"/>
  <c r="AS566" i="2"/>
  <c r="G566" i="1"/>
  <c r="AR566" i="2"/>
  <c r="AQ566" i="2"/>
  <c r="AP566" i="2"/>
  <c r="D566" i="1"/>
  <c r="AO566" i="2"/>
  <c r="AN566" i="2"/>
  <c r="AM566" i="2"/>
  <c r="AJ566" i="2"/>
  <c r="AI566" i="2"/>
  <c r="BM565" i="2"/>
  <c r="AA565" i="1"/>
  <c r="BL565" i="2"/>
  <c r="BK565" i="2"/>
  <c r="BJ565" i="2"/>
  <c r="X565" i="1"/>
  <c r="BI565" i="2"/>
  <c r="BH565" i="2"/>
  <c r="BG565" i="2"/>
  <c r="U565" i="1"/>
  <c r="BF565" i="2"/>
  <c r="BE565" i="2"/>
  <c r="S565" i="1"/>
  <c r="BD565" i="2"/>
  <c r="BC565" i="2"/>
  <c r="BB565" i="2"/>
  <c r="BA565" i="2"/>
  <c r="AZ565" i="2"/>
  <c r="AY565" i="2"/>
  <c r="AX565" i="2"/>
  <c r="AW565" i="2"/>
  <c r="AV565" i="2"/>
  <c r="AU565" i="2"/>
  <c r="AT565" i="2"/>
  <c r="H565" i="1"/>
  <c r="AS565" i="2"/>
  <c r="G565" i="1"/>
  <c r="AR565" i="2"/>
  <c r="AQ565" i="2"/>
  <c r="AP565" i="2"/>
  <c r="D565" i="1"/>
  <c r="AO565" i="2"/>
  <c r="AN565" i="2"/>
  <c r="AM565" i="2"/>
  <c r="AJ565" i="2"/>
  <c r="AI565" i="2"/>
  <c r="BM564" i="2"/>
  <c r="AA564" i="1"/>
  <c r="BL564" i="2"/>
  <c r="BK564" i="2"/>
  <c r="BJ564" i="2"/>
  <c r="X564" i="1"/>
  <c r="BI564" i="2"/>
  <c r="BH564" i="2"/>
  <c r="BG564" i="2"/>
  <c r="U564" i="1"/>
  <c r="BF564" i="2"/>
  <c r="BE564" i="2"/>
  <c r="S564" i="1"/>
  <c r="BD564" i="2"/>
  <c r="BC564" i="2"/>
  <c r="BB564" i="2"/>
  <c r="BA564" i="2"/>
  <c r="AZ564" i="2"/>
  <c r="AY564" i="2"/>
  <c r="AX564" i="2"/>
  <c r="AW564" i="2"/>
  <c r="AV564" i="2"/>
  <c r="AU564" i="2"/>
  <c r="AT564" i="2"/>
  <c r="H564" i="1"/>
  <c r="AS564" i="2"/>
  <c r="G564" i="1"/>
  <c r="AR564" i="2"/>
  <c r="AQ564" i="2"/>
  <c r="AP564" i="2"/>
  <c r="D564" i="1"/>
  <c r="AO564" i="2"/>
  <c r="AN564" i="2"/>
  <c r="AM564" i="2"/>
  <c r="AJ564" i="2"/>
  <c r="AI564" i="2"/>
  <c r="BM563" i="2"/>
  <c r="AA563" i="1"/>
  <c r="BL563" i="2"/>
  <c r="BK563" i="2"/>
  <c r="BJ563" i="2"/>
  <c r="X563" i="1"/>
  <c r="BI563" i="2"/>
  <c r="BH563" i="2"/>
  <c r="BG563" i="2"/>
  <c r="U563" i="1"/>
  <c r="BF563" i="2"/>
  <c r="BE563" i="2"/>
  <c r="S563" i="1"/>
  <c r="BD563" i="2"/>
  <c r="BC563" i="2"/>
  <c r="BB563" i="2"/>
  <c r="BA563" i="2"/>
  <c r="AZ563" i="2"/>
  <c r="AY563" i="2"/>
  <c r="AX563" i="2"/>
  <c r="AW563" i="2"/>
  <c r="AV563" i="2"/>
  <c r="AU563" i="2"/>
  <c r="AT563" i="2"/>
  <c r="H563" i="1"/>
  <c r="AS563" i="2"/>
  <c r="G563" i="1"/>
  <c r="AR563" i="2"/>
  <c r="AQ563" i="2"/>
  <c r="AP563" i="2"/>
  <c r="D563" i="1"/>
  <c r="AO563" i="2"/>
  <c r="AN563" i="2"/>
  <c r="AM563" i="2"/>
  <c r="AJ563" i="2"/>
  <c r="AI563" i="2"/>
  <c r="BM562" i="2"/>
  <c r="AA562" i="1"/>
  <c r="BL562" i="2"/>
  <c r="BK562" i="2"/>
  <c r="BJ562" i="2"/>
  <c r="X562" i="1"/>
  <c r="BI562" i="2"/>
  <c r="BH562" i="2"/>
  <c r="BG562" i="2"/>
  <c r="U562" i="1"/>
  <c r="BF562" i="2"/>
  <c r="BE562" i="2"/>
  <c r="S562" i="1"/>
  <c r="BD562" i="2"/>
  <c r="BC562" i="2"/>
  <c r="BB562" i="2"/>
  <c r="BA562" i="2"/>
  <c r="AZ562" i="2"/>
  <c r="AY562" i="2"/>
  <c r="AX562" i="2"/>
  <c r="AW562" i="2"/>
  <c r="AV562" i="2"/>
  <c r="AU562" i="2"/>
  <c r="AT562" i="2"/>
  <c r="H562" i="1"/>
  <c r="AS562" i="2"/>
  <c r="G562" i="1"/>
  <c r="AR562" i="2"/>
  <c r="AQ562" i="2"/>
  <c r="AP562" i="2"/>
  <c r="D562" i="1"/>
  <c r="AO562" i="2"/>
  <c r="AN562" i="2"/>
  <c r="AM562" i="2"/>
  <c r="AJ562" i="2"/>
  <c r="AI562" i="2"/>
  <c r="BM561" i="2"/>
  <c r="AA561" i="1"/>
  <c r="BL561" i="2"/>
  <c r="BK561" i="2"/>
  <c r="BJ561" i="2"/>
  <c r="X561" i="1"/>
  <c r="BI561" i="2"/>
  <c r="BH561" i="2"/>
  <c r="BG561" i="2"/>
  <c r="U561" i="1"/>
  <c r="BF561" i="2"/>
  <c r="BE561" i="2"/>
  <c r="S561" i="1"/>
  <c r="BD561" i="2"/>
  <c r="BC561" i="2"/>
  <c r="BB561" i="2"/>
  <c r="BA561" i="2"/>
  <c r="AZ561" i="2"/>
  <c r="AY561" i="2"/>
  <c r="AX561" i="2"/>
  <c r="AW561" i="2"/>
  <c r="AV561" i="2"/>
  <c r="AU561" i="2"/>
  <c r="AT561" i="2"/>
  <c r="H561" i="1"/>
  <c r="AS561" i="2"/>
  <c r="G561" i="1"/>
  <c r="AR561" i="2"/>
  <c r="AQ561" i="2"/>
  <c r="AP561" i="2"/>
  <c r="D561" i="1"/>
  <c r="AO561" i="2"/>
  <c r="AN561" i="2"/>
  <c r="AM561" i="2"/>
  <c r="AJ561" i="2"/>
  <c r="AI561" i="2"/>
  <c r="BM560" i="2"/>
  <c r="AA560" i="1"/>
  <c r="BL560" i="2"/>
  <c r="BK560" i="2"/>
  <c r="BJ560" i="2"/>
  <c r="X560" i="1"/>
  <c r="BI560" i="2"/>
  <c r="BH560" i="2"/>
  <c r="BG560" i="2"/>
  <c r="U560" i="1"/>
  <c r="BF560" i="2"/>
  <c r="BE560" i="2"/>
  <c r="S560" i="1"/>
  <c r="BD560" i="2"/>
  <c r="BC560" i="2"/>
  <c r="BB560" i="2"/>
  <c r="BA560" i="2"/>
  <c r="AZ560" i="2"/>
  <c r="AY560" i="2"/>
  <c r="AX560" i="2"/>
  <c r="AW560" i="2"/>
  <c r="AV560" i="2"/>
  <c r="AU560" i="2"/>
  <c r="AT560" i="2"/>
  <c r="H560" i="1"/>
  <c r="AS560" i="2"/>
  <c r="G560" i="1"/>
  <c r="AR560" i="2"/>
  <c r="AQ560" i="2"/>
  <c r="AP560" i="2"/>
  <c r="D560" i="1"/>
  <c r="AO560" i="2"/>
  <c r="AN560" i="2"/>
  <c r="AM560" i="2"/>
  <c r="AJ560" i="2"/>
  <c r="AI560" i="2"/>
  <c r="BM559" i="2"/>
  <c r="AA559" i="1"/>
  <c r="BL559" i="2"/>
  <c r="BK559" i="2"/>
  <c r="BJ559" i="2"/>
  <c r="X559" i="1"/>
  <c r="BI559" i="2"/>
  <c r="BH559" i="2"/>
  <c r="BG559" i="2"/>
  <c r="U559" i="1"/>
  <c r="BF559" i="2"/>
  <c r="BE559" i="2"/>
  <c r="S559" i="1"/>
  <c r="BD559" i="2"/>
  <c r="BC559" i="2"/>
  <c r="BB559" i="2"/>
  <c r="BA559" i="2"/>
  <c r="AZ559" i="2"/>
  <c r="AY559" i="2"/>
  <c r="AX559" i="2"/>
  <c r="AW559" i="2"/>
  <c r="AV559" i="2"/>
  <c r="AU559" i="2"/>
  <c r="AT559" i="2"/>
  <c r="H559" i="1"/>
  <c r="AS559" i="2"/>
  <c r="G559" i="1"/>
  <c r="AR559" i="2"/>
  <c r="AQ559" i="2"/>
  <c r="AP559" i="2"/>
  <c r="D559" i="1"/>
  <c r="AO559" i="2"/>
  <c r="AN559" i="2"/>
  <c r="AM559" i="2"/>
  <c r="AJ559" i="2"/>
  <c r="AI559" i="2"/>
  <c r="BM558" i="2"/>
  <c r="AA558" i="1"/>
  <c r="BL558" i="2"/>
  <c r="BK558" i="2"/>
  <c r="BJ558" i="2"/>
  <c r="X558" i="1"/>
  <c r="BI558" i="2"/>
  <c r="BH558" i="2"/>
  <c r="BG558" i="2"/>
  <c r="U558" i="1"/>
  <c r="BF558" i="2"/>
  <c r="BE558" i="2"/>
  <c r="S558" i="1"/>
  <c r="BD558" i="2"/>
  <c r="BC558" i="2"/>
  <c r="BB558" i="2"/>
  <c r="BA558" i="2"/>
  <c r="AZ558" i="2"/>
  <c r="AY558" i="2"/>
  <c r="AX558" i="2"/>
  <c r="AW558" i="2"/>
  <c r="AV558" i="2"/>
  <c r="AU558" i="2"/>
  <c r="AT558" i="2"/>
  <c r="H558" i="1"/>
  <c r="AS558" i="2"/>
  <c r="G558" i="1"/>
  <c r="AR558" i="2"/>
  <c r="AQ558" i="2"/>
  <c r="AP558" i="2"/>
  <c r="D558" i="1"/>
  <c r="AO558" i="2"/>
  <c r="AN558" i="2"/>
  <c r="AM558" i="2"/>
  <c r="AJ558" i="2"/>
  <c r="AI558" i="2"/>
  <c r="BM557" i="2"/>
  <c r="AA557" i="1"/>
  <c r="BL557" i="2"/>
  <c r="BK557" i="2"/>
  <c r="BJ557" i="2"/>
  <c r="X557" i="1"/>
  <c r="BI557" i="2"/>
  <c r="BH557" i="2"/>
  <c r="BG557" i="2"/>
  <c r="U557" i="1"/>
  <c r="BF557" i="2"/>
  <c r="BE557" i="2"/>
  <c r="S557" i="1"/>
  <c r="BD557" i="2"/>
  <c r="BC557" i="2"/>
  <c r="BB557" i="2"/>
  <c r="BA557" i="2"/>
  <c r="AZ557" i="2"/>
  <c r="AY557" i="2"/>
  <c r="AX557" i="2"/>
  <c r="AW557" i="2"/>
  <c r="AV557" i="2"/>
  <c r="AU557" i="2"/>
  <c r="AT557" i="2"/>
  <c r="H557" i="1"/>
  <c r="AS557" i="2"/>
  <c r="G557" i="1"/>
  <c r="AR557" i="2"/>
  <c r="AQ557" i="2"/>
  <c r="AP557" i="2"/>
  <c r="D557" i="1"/>
  <c r="AO557" i="2"/>
  <c r="AN557" i="2"/>
  <c r="AM557" i="2"/>
  <c r="AJ557" i="2"/>
  <c r="AI557" i="2"/>
  <c r="BM556" i="2"/>
  <c r="AA556" i="1"/>
  <c r="BL556" i="2"/>
  <c r="BK556" i="2"/>
  <c r="BJ556" i="2"/>
  <c r="X556" i="1"/>
  <c r="BI556" i="2"/>
  <c r="BH556" i="2"/>
  <c r="BG556" i="2"/>
  <c r="U556" i="1"/>
  <c r="BF556" i="2"/>
  <c r="BE556" i="2"/>
  <c r="S556" i="1"/>
  <c r="BD556" i="2"/>
  <c r="BC556" i="2"/>
  <c r="BB556" i="2"/>
  <c r="BA556" i="2"/>
  <c r="AZ556" i="2"/>
  <c r="AY556" i="2"/>
  <c r="AX556" i="2"/>
  <c r="AW556" i="2"/>
  <c r="AV556" i="2"/>
  <c r="AU556" i="2"/>
  <c r="AT556" i="2"/>
  <c r="H556" i="1"/>
  <c r="AS556" i="2"/>
  <c r="G556" i="1"/>
  <c r="AR556" i="2"/>
  <c r="AQ556" i="2"/>
  <c r="AP556" i="2"/>
  <c r="D556" i="1"/>
  <c r="AO556" i="2"/>
  <c r="AN556" i="2"/>
  <c r="AM556" i="2"/>
  <c r="AJ556" i="2"/>
  <c r="AI556" i="2"/>
  <c r="BM555" i="2"/>
  <c r="AA555" i="1"/>
  <c r="BL555" i="2"/>
  <c r="BK555" i="2"/>
  <c r="BJ555" i="2"/>
  <c r="X555" i="1"/>
  <c r="BI555" i="2"/>
  <c r="BH555" i="2"/>
  <c r="BG555" i="2"/>
  <c r="U555" i="1"/>
  <c r="BF555" i="2"/>
  <c r="BE555" i="2"/>
  <c r="S555" i="1"/>
  <c r="BD555" i="2"/>
  <c r="BC555" i="2"/>
  <c r="BB555" i="2"/>
  <c r="BA555" i="2"/>
  <c r="AZ555" i="2"/>
  <c r="AY555" i="2"/>
  <c r="AX555" i="2"/>
  <c r="AW555" i="2"/>
  <c r="AV555" i="2"/>
  <c r="AU555" i="2"/>
  <c r="AT555" i="2"/>
  <c r="H555" i="1"/>
  <c r="AS555" i="2"/>
  <c r="G555" i="1"/>
  <c r="AR555" i="2"/>
  <c r="AQ555" i="2"/>
  <c r="AP555" i="2"/>
  <c r="D555" i="1"/>
  <c r="AO555" i="2"/>
  <c r="AN555" i="2"/>
  <c r="AM555" i="2"/>
  <c r="AJ555" i="2"/>
  <c r="AI555" i="2"/>
  <c r="BM554" i="2"/>
  <c r="AA554" i="1"/>
  <c r="BL554" i="2"/>
  <c r="BK554" i="2"/>
  <c r="BJ554" i="2"/>
  <c r="X554" i="1"/>
  <c r="BI554" i="2"/>
  <c r="BH554" i="2"/>
  <c r="BG554" i="2"/>
  <c r="U554" i="1"/>
  <c r="BF554" i="2"/>
  <c r="BE554" i="2"/>
  <c r="S554" i="1"/>
  <c r="BD554" i="2"/>
  <c r="BC554" i="2"/>
  <c r="BB554" i="2"/>
  <c r="BA554" i="2"/>
  <c r="AZ554" i="2"/>
  <c r="AY554" i="2"/>
  <c r="AX554" i="2"/>
  <c r="AW554" i="2"/>
  <c r="AV554" i="2"/>
  <c r="AU554" i="2"/>
  <c r="AT554" i="2"/>
  <c r="H554" i="1"/>
  <c r="AS554" i="2"/>
  <c r="G554" i="1"/>
  <c r="AR554" i="2"/>
  <c r="AQ554" i="2"/>
  <c r="AP554" i="2"/>
  <c r="D554" i="1"/>
  <c r="AO554" i="2"/>
  <c r="AN554" i="2"/>
  <c r="AM554" i="2"/>
  <c r="AJ554" i="2"/>
  <c r="AI554" i="2"/>
  <c r="BM553" i="2"/>
  <c r="AA553" i="1"/>
  <c r="BL553" i="2"/>
  <c r="BK553" i="2"/>
  <c r="BJ553" i="2"/>
  <c r="X553" i="1"/>
  <c r="BI553" i="2"/>
  <c r="BH553" i="2"/>
  <c r="BG553" i="2"/>
  <c r="U553" i="1"/>
  <c r="BF553" i="2"/>
  <c r="BE553" i="2"/>
  <c r="S553" i="1"/>
  <c r="BD553" i="2"/>
  <c r="BC553" i="2"/>
  <c r="BB553" i="2"/>
  <c r="BA553" i="2"/>
  <c r="AZ553" i="2"/>
  <c r="AY553" i="2"/>
  <c r="AX553" i="2"/>
  <c r="AW553" i="2"/>
  <c r="AV553" i="2"/>
  <c r="AU553" i="2"/>
  <c r="AT553" i="2"/>
  <c r="H553" i="1"/>
  <c r="AS553" i="2"/>
  <c r="G553" i="1"/>
  <c r="AR553" i="2"/>
  <c r="AQ553" i="2"/>
  <c r="AP553" i="2"/>
  <c r="D553" i="1"/>
  <c r="AO553" i="2"/>
  <c r="AN553" i="2"/>
  <c r="AM553" i="2"/>
  <c r="AJ553" i="2"/>
  <c r="AI553" i="2"/>
  <c r="BM552" i="2"/>
  <c r="AA552" i="1"/>
  <c r="BL552" i="2"/>
  <c r="BK552" i="2"/>
  <c r="BJ552" i="2"/>
  <c r="X552" i="1"/>
  <c r="BI552" i="2"/>
  <c r="BH552" i="2"/>
  <c r="BG552" i="2"/>
  <c r="U552" i="1"/>
  <c r="BF552" i="2"/>
  <c r="BE552" i="2"/>
  <c r="S552" i="1"/>
  <c r="BD552" i="2"/>
  <c r="BC552" i="2"/>
  <c r="BB552" i="2"/>
  <c r="BA552" i="2"/>
  <c r="AZ552" i="2"/>
  <c r="AY552" i="2"/>
  <c r="AX552" i="2"/>
  <c r="AW552" i="2"/>
  <c r="AV552" i="2"/>
  <c r="AU552" i="2"/>
  <c r="AT552" i="2"/>
  <c r="H552" i="1"/>
  <c r="AS552" i="2"/>
  <c r="G552" i="1"/>
  <c r="AR552" i="2"/>
  <c r="AQ552" i="2"/>
  <c r="AP552" i="2"/>
  <c r="D552" i="1"/>
  <c r="AO552" i="2"/>
  <c r="AN552" i="2"/>
  <c r="AM552" i="2"/>
  <c r="AJ552" i="2"/>
  <c r="AI552" i="2"/>
  <c r="BM551" i="2"/>
  <c r="AA551" i="1"/>
  <c r="BL551" i="2"/>
  <c r="BK551" i="2"/>
  <c r="BJ551" i="2"/>
  <c r="X551" i="1"/>
  <c r="BI551" i="2"/>
  <c r="BH551" i="2"/>
  <c r="BG551" i="2"/>
  <c r="U551" i="1"/>
  <c r="BF551" i="2"/>
  <c r="BE551" i="2"/>
  <c r="S551" i="1"/>
  <c r="BD551" i="2"/>
  <c r="BC551" i="2"/>
  <c r="BB551" i="2"/>
  <c r="BA551" i="2"/>
  <c r="AZ551" i="2"/>
  <c r="AY551" i="2"/>
  <c r="AX551" i="2"/>
  <c r="AW551" i="2"/>
  <c r="AV551" i="2"/>
  <c r="AU551" i="2"/>
  <c r="AT551" i="2"/>
  <c r="H551" i="1"/>
  <c r="AS551" i="2"/>
  <c r="G551" i="1"/>
  <c r="AR551" i="2"/>
  <c r="AQ551" i="2"/>
  <c r="AP551" i="2"/>
  <c r="D551" i="1"/>
  <c r="AO551" i="2"/>
  <c r="AN551" i="2"/>
  <c r="AM551" i="2"/>
  <c r="AJ551" i="2"/>
  <c r="AI551" i="2"/>
  <c r="BM550" i="2"/>
  <c r="AA550" i="1"/>
  <c r="BL550" i="2"/>
  <c r="BK550" i="2"/>
  <c r="BJ550" i="2"/>
  <c r="X550" i="1"/>
  <c r="BI550" i="2"/>
  <c r="BH550" i="2"/>
  <c r="BG550" i="2"/>
  <c r="U550" i="1"/>
  <c r="BF550" i="2"/>
  <c r="BE550" i="2"/>
  <c r="S550" i="1"/>
  <c r="BD550" i="2"/>
  <c r="BC550" i="2"/>
  <c r="BB550" i="2"/>
  <c r="BA550" i="2"/>
  <c r="AZ550" i="2"/>
  <c r="AY550" i="2"/>
  <c r="AX550" i="2"/>
  <c r="AW550" i="2"/>
  <c r="AV550" i="2"/>
  <c r="AU550" i="2"/>
  <c r="AT550" i="2"/>
  <c r="H550" i="1"/>
  <c r="AS550" i="2"/>
  <c r="G550" i="1"/>
  <c r="AR550" i="2"/>
  <c r="AQ550" i="2"/>
  <c r="AP550" i="2"/>
  <c r="D550" i="1"/>
  <c r="AO550" i="2"/>
  <c r="AN550" i="2"/>
  <c r="AM550" i="2"/>
  <c r="AJ550" i="2"/>
  <c r="AI550" i="2"/>
  <c r="BM549" i="2"/>
  <c r="AA549" i="1"/>
  <c r="BL549" i="2"/>
  <c r="BK549" i="2"/>
  <c r="BJ549" i="2"/>
  <c r="X549" i="1"/>
  <c r="BI549" i="2"/>
  <c r="BH549" i="2"/>
  <c r="BG549" i="2"/>
  <c r="U549" i="1"/>
  <c r="BF549" i="2"/>
  <c r="BE549" i="2"/>
  <c r="S549" i="1"/>
  <c r="BD549" i="2"/>
  <c r="BC549" i="2"/>
  <c r="BB549" i="2"/>
  <c r="BA549" i="2"/>
  <c r="AZ549" i="2"/>
  <c r="AY549" i="2"/>
  <c r="AX549" i="2"/>
  <c r="AW549" i="2"/>
  <c r="AV549" i="2"/>
  <c r="AU549" i="2"/>
  <c r="AT549" i="2"/>
  <c r="H549" i="1"/>
  <c r="AS549" i="2"/>
  <c r="G549" i="1"/>
  <c r="AR549" i="2"/>
  <c r="AQ549" i="2"/>
  <c r="AP549" i="2"/>
  <c r="D549" i="1"/>
  <c r="AO549" i="2"/>
  <c r="AN549" i="2"/>
  <c r="AM549" i="2"/>
  <c r="AJ549" i="2"/>
  <c r="AI549" i="2"/>
  <c r="BM548" i="2"/>
  <c r="AA548" i="1"/>
  <c r="BL548" i="2"/>
  <c r="BK548" i="2"/>
  <c r="BJ548" i="2"/>
  <c r="X548" i="1"/>
  <c r="BI548" i="2"/>
  <c r="BH548" i="2"/>
  <c r="BG548" i="2"/>
  <c r="U548" i="1"/>
  <c r="BF548" i="2"/>
  <c r="BE548" i="2"/>
  <c r="S548" i="1"/>
  <c r="BD548" i="2"/>
  <c r="BC548" i="2"/>
  <c r="BB548" i="2"/>
  <c r="BA548" i="2"/>
  <c r="AZ548" i="2"/>
  <c r="AY548" i="2"/>
  <c r="AX548" i="2"/>
  <c r="AW548" i="2"/>
  <c r="AV548" i="2"/>
  <c r="AU548" i="2"/>
  <c r="AT548" i="2"/>
  <c r="H548" i="1"/>
  <c r="AS548" i="2"/>
  <c r="G548" i="1"/>
  <c r="AR548" i="2"/>
  <c r="AQ548" i="2"/>
  <c r="AP548" i="2"/>
  <c r="D548" i="1"/>
  <c r="AO548" i="2"/>
  <c r="AN548" i="2"/>
  <c r="AM548" i="2"/>
  <c r="AJ548" i="2"/>
  <c r="AI548" i="2"/>
  <c r="BM547" i="2"/>
  <c r="AA547" i="1"/>
  <c r="BL547" i="2"/>
  <c r="BK547" i="2"/>
  <c r="BJ547" i="2"/>
  <c r="X547" i="1"/>
  <c r="BI547" i="2"/>
  <c r="BH547" i="2"/>
  <c r="BG547" i="2"/>
  <c r="U547" i="1"/>
  <c r="BF547" i="2"/>
  <c r="BE547" i="2"/>
  <c r="S547" i="1"/>
  <c r="BD547" i="2"/>
  <c r="BC547" i="2"/>
  <c r="BB547" i="2"/>
  <c r="BA547" i="2"/>
  <c r="AZ547" i="2"/>
  <c r="AY547" i="2"/>
  <c r="AX547" i="2"/>
  <c r="AW547" i="2"/>
  <c r="AV547" i="2"/>
  <c r="AU547" i="2"/>
  <c r="AT547" i="2"/>
  <c r="H547" i="1"/>
  <c r="AS547" i="2"/>
  <c r="G547" i="1"/>
  <c r="AR547" i="2"/>
  <c r="AQ547" i="2"/>
  <c r="AP547" i="2"/>
  <c r="D547" i="1"/>
  <c r="AO547" i="2"/>
  <c r="AN547" i="2"/>
  <c r="AM547" i="2"/>
  <c r="AJ547" i="2"/>
  <c r="AI547" i="2"/>
  <c r="BM546" i="2"/>
  <c r="AA546" i="1"/>
  <c r="BL546" i="2"/>
  <c r="BK546" i="2"/>
  <c r="BJ546" i="2"/>
  <c r="X546" i="1"/>
  <c r="BI546" i="2"/>
  <c r="BH546" i="2"/>
  <c r="BG546" i="2"/>
  <c r="U546" i="1"/>
  <c r="BF546" i="2"/>
  <c r="BE546" i="2"/>
  <c r="S546" i="1"/>
  <c r="BD546" i="2"/>
  <c r="BC546" i="2"/>
  <c r="BB546" i="2"/>
  <c r="BA546" i="2"/>
  <c r="AZ546" i="2"/>
  <c r="AY546" i="2"/>
  <c r="AX546" i="2"/>
  <c r="AW546" i="2"/>
  <c r="AV546" i="2"/>
  <c r="AU546" i="2"/>
  <c r="AT546" i="2"/>
  <c r="H546" i="1"/>
  <c r="AS546" i="2"/>
  <c r="G546" i="1"/>
  <c r="AR546" i="2"/>
  <c r="AQ546" i="2"/>
  <c r="AP546" i="2"/>
  <c r="D546" i="1"/>
  <c r="AO546" i="2"/>
  <c r="AN546" i="2"/>
  <c r="AM546" i="2"/>
  <c r="AJ546" i="2"/>
  <c r="AI546" i="2"/>
  <c r="BM545" i="2"/>
  <c r="AA545" i="1"/>
  <c r="BL545" i="2"/>
  <c r="BK545" i="2"/>
  <c r="BJ545" i="2"/>
  <c r="X545" i="1"/>
  <c r="BI545" i="2"/>
  <c r="BH545" i="2"/>
  <c r="BG545" i="2"/>
  <c r="U545" i="1"/>
  <c r="BF545" i="2"/>
  <c r="BE545" i="2"/>
  <c r="S545" i="1"/>
  <c r="BD545" i="2"/>
  <c r="BC545" i="2"/>
  <c r="BB545" i="2"/>
  <c r="BA545" i="2"/>
  <c r="AZ545" i="2"/>
  <c r="AY545" i="2"/>
  <c r="AX545" i="2"/>
  <c r="AW545" i="2"/>
  <c r="AV545" i="2"/>
  <c r="AU545" i="2"/>
  <c r="AT545" i="2"/>
  <c r="H545" i="1"/>
  <c r="AS545" i="2"/>
  <c r="G545" i="1"/>
  <c r="AR545" i="2"/>
  <c r="AQ545" i="2"/>
  <c r="AP545" i="2"/>
  <c r="D545" i="1"/>
  <c r="AO545" i="2"/>
  <c r="AN545" i="2"/>
  <c r="AM545" i="2"/>
  <c r="AJ545" i="2"/>
  <c r="AI545" i="2"/>
  <c r="BM544" i="2"/>
  <c r="AA544" i="1"/>
  <c r="BL544" i="2"/>
  <c r="BK544" i="2"/>
  <c r="BJ544" i="2"/>
  <c r="X544" i="1"/>
  <c r="BI544" i="2"/>
  <c r="BH544" i="2"/>
  <c r="BG544" i="2"/>
  <c r="U544" i="1"/>
  <c r="BF544" i="2"/>
  <c r="BE544" i="2"/>
  <c r="S544" i="1"/>
  <c r="BD544" i="2"/>
  <c r="BC544" i="2"/>
  <c r="BB544" i="2"/>
  <c r="BA544" i="2"/>
  <c r="AZ544" i="2"/>
  <c r="AY544" i="2"/>
  <c r="AX544" i="2"/>
  <c r="AW544" i="2"/>
  <c r="AV544" i="2"/>
  <c r="AU544" i="2"/>
  <c r="AT544" i="2"/>
  <c r="H544" i="1"/>
  <c r="AS544" i="2"/>
  <c r="G544" i="1"/>
  <c r="AR544" i="2"/>
  <c r="AQ544" i="2"/>
  <c r="AP544" i="2"/>
  <c r="D544" i="1"/>
  <c r="AO544" i="2"/>
  <c r="AN544" i="2"/>
  <c r="AM544" i="2"/>
  <c r="AJ544" i="2"/>
  <c r="AI544" i="2"/>
  <c r="BM543" i="2"/>
  <c r="AA543" i="1"/>
  <c r="BL543" i="2"/>
  <c r="BK543" i="2"/>
  <c r="BJ543" i="2"/>
  <c r="X543" i="1"/>
  <c r="BI543" i="2"/>
  <c r="BH543" i="2"/>
  <c r="BG543" i="2"/>
  <c r="U543" i="1"/>
  <c r="BF543" i="2"/>
  <c r="BE543" i="2"/>
  <c r="S543" i="1"/>
  <c r="BD543" i="2"/>
  <c r="BC543" i="2"/>
  <c r="BB543" i="2"/>
  <c r="BA543" i="2"/>
  <c r="AZ543" i="2"/>
  <c r="AY543" i="2"/>
  <c r="AX543" i="2"/>
  <c r="AW543" i="2"/>
  <c r="AV543" i="2"/>
  <c r="AU543" i="2"/>
  <c r="AT543" i="2"/>
  <c r="H543" i="1"/>
  <c r="AS543" i="2"/>
  <c r="G543" i="1"/>
  <c r="AR543" i="2"/>
  <c r="AQ543" i="2"/>
  <c r="AP543" i="2"/>
  <c r="D543" i="1"/>
  <c r="AO543" i="2"/>
  <c r="AN543" i="2"/>
  <c r="AM543" i="2"/>
  <c r="AJ543" i="2"/>
  <c r="AI543" i="2"/>
  <c r="BM542" i="2"/>
  <c r="AA542" i="1"/>
  <c r="BL542" i="2"/>
  <c r="BK542" i="2"/>
  <c r="BJ542" i="2"/>
  <c r="X542" i="1"/>
  <c r="BI542" i="2"/>
  <c r="BH542" i="2"/>
  <c r="BG542" i="2"/>
  <c r="U542" i="1"/>
  <c r="BF542" i="2"/>
  <c r="BE542" i="2"/>
  <c r="S542" i="1"/>
  <c r="BD542" i="2"/>
  <c r="BC542" i="2"/>
  <c r="BB542" i="2"/>
  <c r="BA542" i="2"/>
  <c r="AZ542" i="2"/>
  <c r="AY542" i="2"/>
  <c r="AX542" i="2"/>
  <c r="AW542" i="2"/>
  <c r="AV542" i="2"/>
  <c r="AU542" i="2"/>
  <c r="AT542" i="2"/>
  <c r="H542" i="1"/>
  <c r="AS542" i="2"/>
  <c r="G542" i="1"/>
  <c r="AR542" i="2"/>
  <c r="AQ542" i="2"/>
  <c r="AP542" i="2"/>
  <c r="D542" i="1"/>
  <c r="AO542" i="2"/>
  <c r="AN542" i="2"/>
  <c r="AM542" i="2"/>
  <c r="AJ542" i="2"/>
  <c r="AI542" i="2"/>
  <c r="BM541" i="2"/>
  <c r="AA541" i="1"/>
  <c r="BL541" i="2"/>
  <c r="BK541" i="2"/>
  <c r="BJ541" i="2"/>
  <c r="X541" i="1"/>
  <c r="BI541" i="2"/>
  <c r="BH541" i="2"/>
  <c r="BG541" i="2"/>
  <c r="U541" i="1"/>
  <c r="BF541" i="2"/>
  <c r="BE541" i="2"/>
  <c r="S541" i="1"/>
  <c r="BD541" i="2"/>
  <c r="BC541" i="2"/>
  <c r="BB541" i="2"/>
  <c r="BA541" i="2"/>
  <c r="AZ541" i="2"/>
  <c r="AY541" i="2"/>
  <c r="AX541" i="2"/>
  <c r="AW541" i="2"/>
  <c r="AV541" i="2"/>
  <c r="AU541" i="2"/>
  <c r="AT541" i="2"/>
  <c r="H541" i="1"/>
  <c r="AS541" i="2"/>
  <c r="G541" i="1"/>
  <c r="AR541" i="2"/>
  <c r="AQ541" i="2"/>
  <c r="AP541" i="2"/>
  <c r="D541" i="1"/>
  <c r="AO541" i="2"/>
  <c r="AN541" i="2"/>
  <c r="AM541" i="2"/>
  <c r="AJ541" i="2"/>
  <c r="AI541" i="2"/>
  <c r="BM540" i="2"/>
  <c r="AA540" i="1"/>
  <c r="BL540" i="2"/>
  <c r="BK540" i="2"/>
  <c r="BJ540" i="2"/>
  <c r="X540" i="1"/>
  <c r="BI540" i="2"/>
  <c r="BH540" i="2"/>
  <c r="BG540" i="2"/>
  <c r="U540" i="1"/>
  <c r="BF540" i="2"/>
  <c r="BE540" i="2"/>
  <c r="S540" i="1"/>
  <c r="BD540" i="2"/>
  <c r="BC540" i="2"/>
  <c r="BB540" i="2"/>
  <c r="BA540" i="2"/>
  <c r="AZ540" i="2"/>
  <c r="AY540" i="2"/>
  <c r="AX540" i="2"/>
  <c r="AW540" i="2"/>
  <c r="AV540" i="2"/>
  <c r="AU540" i="2"/>
  <c r="AT540" i="2"/>
  <c r="H540" i="1"/>
  <c r="AS540" i="2"/>
  <c r="G540" i="1"/>
  <c r="AR540" i="2"/>
  <c r="AQ540" i="2"/>
  <c r="AP540" i="2"/>
  <c r="D540" i="1"/>
  <c r="AO540" i="2"/>
  <c r="AN540" i="2"/>
  <c r="AM540" i="2"/>
  <c r="AJ540" i="2"/>
  <c r="AI540" i="2"/>
  <c r="BM539" i="2"/>
  <c r="AA539" i="1"/>
  <c r="BL539" i="2"/>
  <c r="BK539" i="2"/>
  <c r="BJ539" i="2"/>
  <c r="X539" i="1"/>
  <c r="BI539" i="2"/>
  <c r="BH539" i="2"/>
  <c r="BG539" i="2"/>
  <c r="U539" i="1"/>
  <c r="BF539" i="2"/>
  <c r="BE539" i="2"/>
  <c r="S539" i="1"/>
  <c r="BD539" i="2"/>
  <c r="BC539" i="2"/>
  <c r="BB539" i="2"/>
  <c r="BA539" i="2"/>
  <c r="AZ539" i="2"/>
  <c r="AY539" i="2"/>
  <c r="AX539" i="2"/>
  <c r="AW539" i="2"/>
  <c r="AV539" i="2"/>
  <c r="AU539" i="2"/>
  <c r="AT539" i="2"/>
  <c r="H539" i="1"/>
  <c r="AS539" i="2"/>
  <c r="G539" i="1"/>
  <c r="AR539" i="2"/>
  <c r="AQ539" i="2"/>
  <c r="AP539" i="2"/>
  <c r="D539" i="1"/>
  <c r="AO539" i="2"/>
  <c r="AN539" i="2"/>
  <c r="AM539" i="2"/>
  <c r="AJ539" i="2"/>
  <c r="AI539" i="2"/>
  <c r="BM538" i="2"/>
  <c r="AA538" i="1"/>
  <c r="BL538" i="2"/>
  <c r="BK538" i="2"/>
  <c r="BJ538" i="2"/>
  <c r="X538" i="1"/>
  <c r="BI538" i="2"/>
  <c r="BH538" i="2"/>
  <c r="BG538" i="2"/>
  <c r="U538" i="1"/>
  <c r="BF538" i="2"/>
  <c r="BE538" i="2"/>
  <c r="S538" i="1"/>
  <c r="BD538" i="2"/>
  <c r="BC538" i="2"/>
  <c r="BB538" i="2"/>
  <c r="BA538" i="2"/>
  <c r="AZ538" i="2"/>
  <c r="AY538" i="2"/>
  <c r="AX538" i="2"/>
  <c r="AW538" i="2"/>
  <c r="AV538" i="2"/>
  <c r="AU538" i="2"/>
  <c r="AT538" i="2"/>
  <c r="H538" i="1"/>
  <c r="AS538" i="2"/>
  <c r="G538" i="1"/>
  <c r="AR538" i="2"/>
  <c r="AQ538" i="2"/>
  <c r="AP538" i="2"/>
  <c r="D538" i="1"/>
  <c r="AO538" i="2"/>
  <c r="AN538" i="2"/>
  <c r="AM538" i="2"/>
  <c r="AJ538" i="2"/>
  <c r="AI538" i="2"/>
  <c r="BM537" i="2"/>
  <c r="AA537" i="1"/>
  <c r="BL537" i="2"/>
  <c r="BK537" i="2"/>
  <c r="BJ537" i="2"/>
  <c r="X537" i="1"/>
  <c r="BI537" i="2"/>
  <c r="BH537" i="2"/>
  <c r="BG537" i="2"/>
  <c r="U537" i="1"/>
  <c r="BF537" i="2"/>
  <c r="BE537" i="2"/>
  <c r="S537" i="1"/>
  <c r="BD537" i="2"/>
  <c r="BC537" i="2"/>
  <c r="BB537" i="2"/>
  <c r="BA537" i="2"/>
  <c r="AZ537" i="2"/>
  <c r="AY537" i="2"/>
  <c r="AX537" i="2"/>
  <c r="AW537" i="2"/>
  <c r="AV537" i="2"/>
  <c r="AU537" i="2"/>
  <c r="AT537" i="2"/>
  <c r="H537" i="1"/>
  <c r="AS537" i="2"/>
  <c r="G537" i="1"/>
  <c r="AR537" i="2"/>
  <c r="AQ537" i="2"/>
  <c r="AP537" i="2"/>
  <c r="D537" i="1"/>
  <c r="AO537" i="2"/>
  <c r="AN537" i="2"/>
  <c r="AM537" i="2"/>
  <c r="AJ537" i="2"/>
  <c r="AI537" i="2"/>
  <c r="BM536" i="2"/>
  <c r="AA536" i="1"/>
  <c r="BL536" i="2"/>
  <c r="BK536" i="2"/>
  <c r="BJ536" i="2"/>
  <c r="X536" i="1"/>
  <c r="BI536" i="2"/>
  <c r="BH536" i="2"/>
  <c r="BG536" i="2"/>
  <c r="U536" i="1"/>
  <c r="BF536" i="2"/>
  <c r="BE536" i="2"/>
  <c r="S536" i="1"/>
  <c r="BD536" i="2"/>
  <c r="BC536" i="2"/>
  <c r="BB536" i="2"/>
  <c r="BA536" i="2"/>
  <c r="AZ536" i="2"/>
  <c r="AY536" i="2"/>
  <c r="AX536" i="2"/>
  <c r="AW536" i="2"/>
  <c r="AV536" i="2"/>
  <c r="AU536" i="2"/>
  <c r="AT536" i="2"/>
  <c r="H536" i="1"/>
  <c r="AS536" i="2"/>
  <c r="G536" i="1"/>
  <c r="AR536" i="2"/>
  <c r="AQ536" i="2"/>
  <c r="AP536" i="2"/>
  <c r="D536" i="1"/>
  <c r="AO536" i="2"/>
  <c r="AN536" i="2"/>
  <c r="AM536" i="2"/>
  <c r="AJ536" i="2"/>
  <c r="AI536" i="2"/>
  <c r="BM535" i="2"/>
  <c r="AA535" i="1"/>
  <c r="BL535" i="2"/>
  <c r="BK535" i="2"/>
  <c r="BJ535" i="2"/>
  <c r="X535" i="1"/>
  <c r="BI535" i="2"/>
  <c r="BH535" i="2"/>
  <c r="BG535" i="2"/>
  <c r="U535" i="1"/>
  <c r="BF535" i="2"/>
  <c r="BE535" i="2"/>
  <c r="S535" i="1"/>
  <c r="BD535" i="2"/>
  <c r="BC535" i="2"/>
  <c r="BB535" i="2"/>
  <c r="BA535" i="2"/>
  <c r="AZ535" i="2"/>
  <c r="AY535" i="2"/>
  <c r="AX535" i="2"/>
  <c r="AW535" i="2"/>
  <c r="AV535" i="2"/>
  <c r="AU535" i="2"/>
  <c r="AT535" i="2"/>
  <c r="H535" i="1"/>
  <c r="AS535" i="2"/>
  <c r="G535" i="1"/>
  <c r="AR535" i="2"/>
  <c r="AQ535" i="2"/>
  <c r="AP535" i="2"/>
  <c r="D535" i="1"/>
  <c r="AO535" i="2"/>
  <c r="AN535" i="2"/>
  <c r="AM535" i="2"/>
  <c r="AJ535" i="2"/>
  <c r="AI535" i="2"/>
  <c r="BM534" i="2"/>
  <c r="AA534" i="1"/>
  <c r="BL534" i="2"/>
  <c r="BK534" i="2"/>
  <c r="BJ534" i="2"/>
  <c r="X534" i="1"/>
  <c r="BI534" i="2"/>
  <c r="BH534" i="2"/>
  <c r="BG534" i="2"/>
  <c r="U534" i="1"/>
  <c r="BF534" i="2"/>
  <c r="BE534" i="2"/>
  <c r="S534" i="1"/>
  <c r="BD534" i="2"/>
  <c r="BC534" i="2"/>
  <c r="BB534" i="2"/>
  <c r="BA534" i="2"/>
  <c r="AZ534" i="2"/>
  <c r="AY534" i="2"/>
  <c r="AX534" i="2"/>
  <c r="AW534" i="2"/>
  <c r="AV534" i="2"/>
  <c r="AU534" i="2"/>
  <c r="AT534" i="2"/>
  <c r="H534" i="1"/>
  <c r="AS534" i="2"/>
  <c r="G534" i="1"/>
  <c r="AR534" i="2"/>
  <c r="AQ534" i="2"/>
  <c r="AP534" i="2"/>
  <c r="D534" i="1"/>
  <c r="AO534" i="2"/>
  <c r="AN534" i="2"/>
  <c r="AM534" i="2"/>
  <c r="AJ534" i="2"/>
  <c r="AI534" i="2"/>
  <c r="BM533" i="2"/>
  <c r="AA533" i="1"/>
  <c r="BL533" i="2"/>
  <c r="BK533" i="2"/>
  <c r="BJ533" i="2"/>
  <c r="X533" i="1"/>
  <c r="BI533" i="2"/>
  <c r="BH533" i="2"/>
  <c r="BG533" i="2"/>
  <c r="U533" i="1"/>
  <c r="BF533" i="2"/>
  <c r="BE533" i="2"/>
  <c r="S533" i="1"/>
  <c r="BD533" i="2"/>
  <c r="BC533" i="2"/>
  <c r="BB533" i="2"/>
  <c r="BA533" i="2"/>
  <c r="AZ533" i="2"/>
  <c r="AY533" i="2"/>
  <c r="AX533" i="2"/>
  <c r="AW533" i="2"/>
  <c r="AV533" i="2"/>
  <c r="AU533" i="2"/>
  <c r="AT533" i="2"/>
  <c r="H533" i="1"/>
  <c r="AS533" i="2"/>
  <c r="G533" i="1"/>
  <c r="AR533" i="2"/>
  <c r="AQ533" i="2"/>
  <c r="AP533" i="2"/>
  <c r="D533" i="1"/>
  <c r="AO533" i="2"/>
  <c r="AN533" i="2"/>
  <c r="AM533" i="2"/>
  <c r="AJ533" i="2"/>
  <c r="AI533" i="2"/>
  <c r="BM532" i="2"/>
  <c r="AA532" i="1"/>
  <c r="BL532" i="2"/>
  <c r="BK532" i="2"/>
  <c r="BJ532" i="2"/>
  <c r="X532" i="1"/>
  <c r="BI532" i="2"/>
  <c r="BH532" i="2"/>
  <c r="BG532" i="2"/>
  <c r="U532" i="1"/>
  <c r="BF532" i="2"/>
  <c r="BE532" i="2"/>
  <c r="S532" i="1"/>
  <c r="BD532" i="2"/>
  <c r="BC532" i="2"/>
  <c r="BB532" i="2"/>
  <c r="BA532" i="2"/>
  <c r="AZ532" i="2"/>
  <c r="AY532" i="2"/>
  <c r="AX532" i="2"/>
  <c r="AW532" i="2"/>
  <c r="AV532" i="2"/>
  <c r="AU532" i="2"/>
  <c r="AT532" i="2"/>
  <c r="H532" i="1"/>
  <c r="AS532" i="2"/>
  <c r="G532" i="1"/>
  <c r="AR532" i="2"/>
  <c r="AQ532" i="2"/>
  <c r="AP532" i="2"/>
  <c r="D532" i="1"/>
  <c r="AO532" i="2"/>
  <c r="AN532" i="2"/>
  <c r="AM532" i="2"/>
  <c r="AJ532" i="2"/>
  <c r="AI532" i="2"/>
  <c r="BM531" i="2"/>
  <c r="AA531" i="1"/>
  <c r="BL531" i="2"/>
  <c r="BK531" i="2"/>
  <c r="BJ531" i="2"/>
  <c r="X531" i="1"/>
  <c r="BI531" i="2"/>
  <c r="BH531" i="2"/>
  <c r="BG531" i="2"/>
  <c r="U531" i="1"/>
  <c r="BF531" i="2"/>
  <c r="BE531" i="2"/>
  <c r="S531" i="1"/>
  <c r="BD531" i="2"/>
  <c r="BC531" i="2"/>
  <c r="BB531" i="2"/>
  <c r="BA531" i="2"/>
  <c r="AZ531" i="2"/>
  <c r="AY531" i="2"/>
  <c r="AX531" i="2"/>
  <c r="AW531" i="2"/>
  <c r="AV531" i="2"/>
  <c r="AU531" i="2"/>
  <c r="AT531" i="2"/>
  <c r="H531" i="1"/>
  <c r="AS531" i="2"/>
  <c r="G531" i="1"/>
  <c r="AR531" i="2"/>
  <c r="AQ531" i="2"/>
  <c r="AP531" i="2"/>
  <c r="D531" i="1"/>
  <c r="AO531" i="2"/>
  <c r="AN531" i="2"/>
  <c r="AM531" i="2"/>
  <c r="AJ531" i="2"/>
  <c r="AI531" i="2"/>
  <c r="BM530" i="2"/>
  <c r="AA530" i="1"/>
  <c r="BL530" i="2"/>
  <c r="BK530" i="2"/>
  <c r="BJ530" i="2"/>
  <c r="X530" i="1"/>
  <c r="BI530" i="2"/>
  <c r="BH530" i="2"/>
  <c r="BG530" i="2"/>
  <c r="U530" i="1"/>
  <c r="BF530" i="2"/>
  <c r="BE530" i="2"/>
  <c r="S530" i="1"/>
  <c r="BD530" i="2"/>
  <c r="BC530" i="2"/>
  <c r="BB530" i="2"/>
  <c r="BA530" i="2"/>
  <c r="AZ530" i="2"/>
  <c r="AY530" i="2"/>
  <c r="AX530" i="2"/>
  <c r="AW530" i="2"/>
  <c r="AV530" i="2"/>
  <c r="AU530" i="2"/>
  <c r="AT530" i="2"/>
  <c r="H530" i="1"/>
  <c r="AS530" i="2"/>
  <c r="G530" i="1"/>
  <c r="AR530" i="2"/>
  <c r="AQ530" i="2"/>
  <c r="AP530" i="2"/>
  <c r="D530" i="1"/>
  <c r="AO530" i="2"/>
  <c r="AN530" i="2"/>
  <c r="AM530" i="2"/>
  <c r="AJ530" i="2"/>
  <c r="AI530" i="2"/>
  <c r="BM529" i="2"/>
  <c r="AA529" i="1"/>
  <c r="BL529" i="2"/>
  <c r="BK529" i="2"/>
  <c r="BJ529" i="2"/>
  <c r="X529" i="1"/>
  <c r="BI529" i="2"/>
  <c r="BH529" i="2"/>
  <c r="BG529" i="2"/>
  <c r="U529" i="1"/>
  <c r="BF529" i="2"/>
  <c r="BE529" i="2"/>
  <c r="S529" i="1"/>
  <c r="BD529" i="2"/>
  <c r="BC529" i="2"/>
  <c r="BB529" i="2"/>
  <c r="BA529" i="2"/>
  <c r="AZ529" i="2"/>
  <c r="AY529" i="2"/>
  <c r="AX529" i="2"/>
  <c r="AW529" i="2"/>
  <c r="AV529" i="2"/>
  <c r="AU529" i="2"/>
  <c r="AT529" i="2"/>
  <c r="H529" i="1"/>
  <c r="AS529" i="2"/>
  <c r="G529" i="1"/>
  <c r="AR529" i="2"/>
  <c r="AQ529" i="2"/>
  <c r="AP529" i="2"/>
  <c r="D529" i="1"/>
  <c r="AO529" i="2"/>
  <c r="AN529" i="2"/>
  <c r="AM529" i="2"/>
  <c r="AJ529" i="2"/>
  <c r="AI529" i="2"/>
  <c r="BM528" i="2"/>
  <c r="AA528" i="1"/>
  <c r="BL528" i="2"/>
  <c r="BK528" i="2"/>
  <c r="BJ528" i="2"/>
  <c r="X528" i="1"/>
  <c r="BI528" i="2"/>
  <c r="BH528" i="2"/>
  <c r="BG528" i="2"/>
  <c r="U528" i="1"/>
  <c r="BF528" i="2"/>
  <c r="BE528" i="2"/>
  <c r="S528" i="1"/>
  <c r="BD528" i="2"/>
  <c r="BC528" i="2"/>
  <c r="BB528" i="2"/>
  <c r="BA528" i="2"/>
  <c r="AZ528" i="2"/>
  <c r="AY528" i="2"/>
  <c r="AX528" i="2"/>
  <c r="AW528" i="2"/>
  <c r="AV528" i="2"/>
  <c r="AU528" i="2"/>
  <c r="AT528" i="2"/>
  <c r="H528" i="1"/>
  <c r="AS528" i="2"/>
  <c r="G528" i="1"/>
  <c r="AR528" i="2"/>
  <c r="AQ528" i="2"/>
  <c r="AP528" i="2"/>
  <c r="D528" i="1"/>
  <c r="AO528" i="2"/>
  <c r="AN528" i="2"/>
  <c r="AM528" i="2"/>
  <c r="AJ528" i="2"/>
  <c r="AI528" i="2"/>
  <c r="BM527" i="2"/>
  <c r="AA527" i="1"/>
  <c r="BL527" i="2"/>
  <c r="BK527" i="2"/>
  <c r="BJ527" i="2"/>
  <c r="X527" i="1"/>
  <c r="BI527" i="2"/>
  <c r="BH527" i="2"/>
  <c r="BG527" i="2"/>
  <c r="U527" i="1"/>
  <c r="BF527" i="2"/>
  <c r="BE527" i="2"/>
  <c r="S527" i="1"/>
  <c r="BD527" i="2"/>
  <c r="BC527" i="2"/>
  <c r="BB527" i="2"/>
  <c r="BA527" i="2"/>
  <c r="AZ527" i="2"/>
  <c r="AY527" i="2"/>
  <c r="AX527" i="2"/>
  <c r="AW527" i="2"/>
  <c r="AV527" i="2"/>
  <c r="AU527" i="2"/>
  <c r="AT527" i="2"/>
  <c r="H527" i="1"/>
  <c r="AS527" i="2"/>
  <c r="G527" i="1"/>
  <c r="AR527" i="2"/>
  <c r="AQ527" i="2"/>
  <c r="AP527" i="2"/>
  <c r="D527" i="1"/>
  <c r="AO527" i="2"/>
  <c r="AN527" i="2"/>
  <c r="AM527" i="2"/>
  <c r="AJ527" i="2"/>
  <c r="AI527" i="2"/>
  <c r="BM526" i="2"/>
  <c r="AA526" i="1"/>
  <c r="BL526" i="2"/>
  <c r="BK526" i="2"/>
  <c r="BJ526" i="2"/>
  <c r="X526" i="1"/>
  <c r="BI526" i="2"/>
  <c r="BH526" i="2"/>
  <c r="BG526" i="2"/>
  <c r="U526" i="1"/>
  <c r="BF526" i="2"/>
  <c r="BE526" i="2"/>
  <c r="S526" i="1"/>
  <c r="BD526" i="2"/>
  <c r="BC526" i="2"/>
  <c r="BB526" i="2"/>
  <c r="BA526" i="2"/>
  <c r="AZ526" i="2"/>
  <c r="AY526" i="2"/>
  <c r="AX526" i="2"/>
  <c r="AW526" i="2"/>
  <c r="AV526" i="2"/>
  <c r="AU526" i="2"/>
  <c r="AT526" i="2"/>
  <c r="H526" i="1"/>
  <c r="AS526" i="2"/>
  <c r="G526" i="1"/>
  <c r="AR526" i="2"/>
  <c r="AQ526" i="2"/>
  <c r="AP526" i="2"/>
  <c r="D526" i="1"/>
  <c r="AO526" i="2"/>
  <c r="AN526" i="2"/>
  <c r="AM526" i="2"/>
  <c r="AJ526" i="2"/>
  <c r="AI526" i="2"/>
  <c r="BM525" i="2"/>
  <c r="AA525" i="1"/>
  <c r="BL525" i="2"/>
  <c r="BK525" i="2"/>
  <c r="BJ525" i="2"/>
  <c r="X525" i="1"/>
  <c r="BI525" i="2"/>
  <c r="BH525" i="2"/>
  <c r="BG525" i="2"/>
  <c r="U525" i="1"/>
  <c r="BF525" i="2"/>
  <c r="BE525" i="2"/>
  <c r="S525" i="1"/>
  <c r="BD525" i="2"/>
  <c r="BC525" i="2"/>
  <c r="BB525" i="2"/>
  <c r="BA525" i="2"/>
  <c r="AZ525" i="2"/>
  <c r="AY525" i="2"/>
  <c r="AX525" i="2"/>
  <c r="AW525" i="2"/>
  <c r="AV525" i="2"/>
  <c r="AU525" i="2"/>
  <c r="AT525" i="2"/>
  <c r="H525" i="1"/>
  <c r="AS525" i="2"/>
  <c r="G525" i="1"/>
  <c r="AR525" i="2"/>
  <c r="AQ525" i="2"/>
  <c r="AP525" i="2"/>
  <c r="D525" i="1"/>
  <c r="AO525" i="2"/>
  <c r="AN525" i="2"/>
  <c r="AM525" i="2"/>
  <c r="AJ525" i="2"/>
  <c r="AI525" i="2"/>
  <c r="BM524" i="2"/>
  <c r="AA524" i="1"/>
  <c r="BL524" i="2"/>
  <c r="BK524" i="2"/>
  <c r="BJ524" i="2"/>
  <c r="X524" i="1"/>
  <c r="BI524" i="2"/>
  <c r="BH524" i="2"/>
  <c r="BG524" i="2"/>
  <c r="U524" i="1"/>
  <c r="BF524" i="2"/>
  <c r="BE524" i="2"/>
  <c r="S524" i="1"/>
  <c r="BD524" i="2"/>
  <c r="BC524" i="2"/>
  <c r="BB524" i="2"/>
  <c r="BA524" i="2"/>
  <c r="AZ524" i="2"/>
  <c r="AY524" i="2"/>
  <c r="AX524" i="2"/>
  <c r="AW524" i="2"/>
  <c r="AV524" i="2"/>
  <c r="AU524" i="2"/>
  <c r="AT524" i="2"/>
  <c r="H524" i="1"/>
  <c r="AS524" i="2"/>
  <c r="G524" i="1"/>
  <c r="AR524" i="2"/>
  <c r="AQ524" i="2"/>
  <c r="AP524" i="2"/>
  <c r="D524" i="1"/>
  <c r="AO524" i="2"/>
  <c r="AN524" i="2"/>
  <c r="AM524" i="2"/>
  <c r="AJ524" i="2"/>
  <c r="AI524" i="2"/>
  <c r="BM523" i="2"/>
  <c r="AA523" i="1"/>
  <c r="BL523" i="2"/>
  <c r="BK523" i="2"/>
  <c r="BJ523" i="2"/>
  <c r="X523" i="1"/>
  <c r="BI523" i="2"/>
  <c r="BH523" i="2"/>
  <c r="BG523" i="2"/>
  <c r="U523" i="1"/>
  <c r="BF523" i="2"/>
  <c r="BE523" i="2"/>
  <c r="S523" i="1"/>
  <c r="BD523" i="2"/>
  <c r="BC523" i="2"/>
  <c r="BB523" i="2"/>
  <c r="BA523" i="2"/>
  <c r="AZ523" i="2"/>
  <c r="AY523" i="2"/>
  <c r="AX523" i="2"/>
  <c r="AW523" i="2"/>
  <c r="AV523" i="2"/>
  <c r="AU523" i="2"/>
  <c r="AT523" i="2"/>
  <c r="H523" i="1"/>
  <c r="AS523" i="2"/>
  <c r="G523" i="1"/>
  <c r="AR523" i="2"/>
  <c r="AQ523" i="2"/>
  <c r="AP523" i="2"/>
  <c r="D523" i="1"/>
  <c r="AO523" i="2"/>
  <c r="AN523" i="2"/>
  <c r="AM523" i="2"/>
  <c r="AJ523" i="2"/>
  <c r="AI523" i="2"/>
  <c r="BM522" i="2"/>
  <c r="AA522" i="1"/>
  <c r="BL522" i="2"/>
  <c r="BK522" i="2"/>
  <c r="BJ522" i="2"/>
  <c r="X522" i="1"/>
  <c r="BI522" i="2"/>
  <c r="BH522" i="2"/>
  <c r="BG522" i="2"/>
  <c r="U522" i="1"/>
  <c r="BF522" i="2"/>
  <c r="BE522" i="2"/>
  <c r="S522" i="1"/>
  <c r="BD522" i="2"/>
  <c r="BC522" i="2"/>
  <c r="BB522" i="2"/>
  <c r="BA522" i="2"/>
  <c r="AZ522" i="2"/>
  <c r="AY522" i="2"/>
  <c r="AX522" i="2"/>
  <c r="AW522" i="2"/>
  <c r="AV522" i="2"/>
  <c r="AU522" i="2"/>
  <c r="AT522" i="2"/>
  <c r="H522" i="1"/>
  <c r="AS522" i="2"/>
  <c r="G522" i="1"/>
  <c r="AR522" i="2"/>
  <c r="AQ522" i="2"/>
  <c r="AP522" i="2"/>
  <c r="D522" i="1"/>
  <c r="AO522" i="2"/>
  <c r="AN522" i="2"/>
  <c r="AM522" i="2"/>
  <c r="AJ522" i="2"/>
  <c r="AI522" i="2"/>
  <c r="BM521" i="2"/>
  <c r="AA521" i="1"/>
  <c r="BL521" i="2"/>
  <c r="BK521" i="2"/>
  <c r="BJ521" i="2"/>
  <c r="X521" i="1"/>
  <c r="BI521" i="2"/>
  <c r="BH521" i="2"/>
  <c r="BG521" i="2"/>
  <c r="U521" i="1"/>
  <c r="BF521" i="2"/>
  <c r="BE521" i="2"/>
  <c r="S521" i="1"/>
  <c r="BD521" i="2"/>
  <c r="BC521" i="2"/>
  <c r="BB521" i="2"/>
  <c r="BA521" i="2"/>
  <c r="AZ521" i="2"/>
  <c r="AY521" i="2"/>
  <c r="AX521" i="2"/>
  <c r="AW521" i="2"/>
  <c r="AV521" i="2"/>
  <c r="AU521" i="2"/>
  <c r="AT521" i="2"/>
  <c r="H521" i="1"/>
  <c r="AS521" i="2"/>
  <c r="G521" i="1"/>
  <c r="AR521" i="2"/>
  <c r="AQ521" i="2"/>
  <c r="AP521" i="2"/>
  <c r="D521" i="1"/>
  <c r="AO521" i="2"/>
  <c r="AN521" i="2"/>
  <c r="AM521" i="2"/>
  <c r="AJ521" i="2"/>
  <c r="AI521" i="2"/>
  <c r="BM520" i="2"/>
  <c r="AA520" i="1"/>
  <c r="BL520" i="2"/>
  <c r="BK520" i="2"/>
  <c r="BJ520" i="2"/>
  <c r="X520" i="1"/>
  <c r="BI520" i="2"/>
  <c r="BH520" i="2"/>
  <c r="BG520" i="2"/>
  <c r="U520" i="1"/>
  <c r="BF520" i="2"/>
  <c r="BE520" i="2"/>
  <c r="S520" i="1"/>
  <c r="BD520" i="2"/>
  <c r="BC520" i="2"/>
  <c r="BB520" i="2"/>
  <c r="BA520" i="2"/>
  <c r="AZ520" i="2"/>
  <c r="AY520" i="2"/>
  <c r="AX520" i="2"/>
  <c r="AW520" i="2"/>
  <c r="AV520" i="2"/>
  <c r="AU520" i="2"/>
  <c r="AT520" i="2"/>
  <c r="H520" i="1"/>
  <c r="AS520" i="2"/>
  <c r="G520" i="1"/>
  <c r="AR520" i="2"/>
  <c r="AQ520" i="2"/>
  <c r="AP520" i="2"/>
  <c r="D520" i="1"/>
  <c r="AO520" i="2"/>
  <c r="AN520" i="2"/>
  <c r="AM520" i="2"/>
  <c r="AJ520" i="2"/>
  <c r="AI520" i="2"/>
  <c r="BM519" i="2"/>
  <c r="AA519" i="1"/>
  <c r="BL519" i="2"/>
  <c r="BK519" i="2"/>
  <c r="BJ519" i="2"/>
  <c r="X519" i="1"/>
  <c r="BI519" i="2"/>
  <c r="BH519" i="2"/>
  <c r="BG519" i="2"/>
  <c r="U519" i="1"/>
  <c r="BF519" i="2"/>
  <c r="BE519" i="2"/>
  <c r="S519" i="1"/>
  <c r="BD519" i="2"/>
  <c r="BC519" i="2"/>
  <c r="BB519" i="2"/>
  <c r="BA519" i="2"/>
  <c r="AZ519" i="2"/>
  <c r="AY519" i="2"/>
  <c r="AX519" i="2"/>
  <c r="AW519" i="2"/>
  <c r="AV519" i="2"/>
  <c r="AU519" i="2"/>
  <c r="AT519" i="2"/>
  <c r="H519" i="1"/>
  <c r="AS519" i="2"/>
  <c r="G519" i="1"/>
  <c r="AR519" i="2"/>
  <c r="AQ519" i="2"/>
  <c r="AP519" i="2"/>
  <c r="D519" i="1"/>
  <c r="AO519" i="2"/>
  <c r="AN519" i="2"/>
  <c r="AM519" i="2"/>
  <c r="AJ519" i="2"/>
  <c r="AI519" i="2"/>
  <c r="BM518" i="2"/>
  <c r="AA518" i="1"/>
  <c r="BL518" i="2"/>
  <c r="BK518" i="2"/>
  <c r="BJ518" i="2"/>
  <c r="X518" i="1"/>
  <c r="BI518" i="2"/>
  <c r="BH518" i="2"/>
  <c r="BG518" i="2"/>
  <c r="U518" i="1"/>
  <c r="BF518" i="2"/>
  <c r="BE518" i="2"/>
  <c r="S518" i="1"/>
  <c r="BD518" i="2"/>
  <c r="BC518" i="2"/>
  <c r="BB518" i="2"/>
  <c r="BA518" i="2"/>
  <c r="AZ518" i="2"/>
  <c r="AY518" i="2"/>
  <c r="AX518" i="2"/>
  <c r="AW518" i="2"/>
  <c r="AV518" i="2"/>
  <c r="AU518" i="2"/>
  <c r="AT518" i="2"/>
  <c r="H518" i="1"/>
  <c r="AS518" i="2"/>
  <c r="G518" i="1"/>
  <c r="AR518" i="2"/>
  <c r="AQ518" i="2"/>
  <c r="AP518" i="2"/>
  <c r="D518" i="1"/>
  <c r="AO518" i="2"/>
  <c r="AN518" i="2"/>
  <c r="AM518" i="2"/>
  <c r="AJ518" i="2"/>
  <c r="AI518" i="2"/>
  <c r="BM517" i="2"/>
  <c r="AA517" i="1"/>
  <c r="BL517" i="2"/>
  <c r="BK517" i="2"/>
  <c r="BJ517" i="2"/>
  <c r="X517" i="1"/>
  <c r="BI517" i="2"/>
  <c r="BH517" i="2"/>
  <c r="BG517" i="2"/>
  <c r="U517" i="1"/>
  <c r="BF517" i="2"/>
  <c r="BE517" i="2"/>
  <c r="S517" i="1"/>
  <c r="BD517" i="2"/>
  <c r="BC517" i="2"/>
  <c r="BB517" i="2"/>
  <c r="BA517" i="2"/>
  <c r="AZ517" i="2"/>
  <c r="AY517" i="2"/>
  <c r="AX517" i="2"/>
  <c r="AW517" i="2"/>
  <c r="AV517" i="2"/>
  <c r="AU517" i="2"/>
  <c r="AT517" i="2"/>
  <c r="H517" i="1"/>
  <c r="AS517" i="2"/>
  <c r="G517" i="1"/>
  <c r="AR517" i="2"/>
  <c r="AQ517" i="2"/>
  <c r="AP517" i="2"/>
  <c r="D517" i="1"/>
  <c r="AO517" i="2"/>
  <c r="AN517" i="2"/>
  <c r="AM517" i="2"/>
  <c r="AJ517" i="2"/>
  <c r="AI517" i="2"/>
  <c r="BM516" i="2"/>
  <c r="AA516" i="1"/>
  <c r="BL516" i="2"/>
  <c r="BK516" i="2"/>
  <c r="BJ516" i="2"/>
  <c r="X516" i="1"/>
  <c r="BI516" i="2"/>
  <c r="BH516" i="2"/>
  <c r="BG516" i="2"/>
  <c r="U516" i="1"/>
  <c r="BF516" i="2"/>
  <c r="BE516" i="2"/>
  <c r="S516" i="1"/>
  <c r="BD516" i="2"/>
  <c r="BC516" i="2"/>
  <c r="BB516" i="2"/>
  <c r="BA516" i="2"/>
  <c r="AZ516" i="2"/>
  <c r="AY516" i="2"/>
  <c r="AX516" i="2"/>
  <c r="AW516" i="2"/>
  <c r="AV516" i="2"/>
  <c r="AU516" i="2"/>
  <c r="AT516" i="2"/>
  <c r="H516" i="1"/>
  <c r="AS516" i="2"/>
  <c r="G516" i="1"/>
  <c r="AR516" i="2"/>
  <c r="AQ516" i="2"/>
  <c r="AP516" i="2"/>
  <c r="D516" i="1"/>
  <c r="AO516" i="2"/>
  <c r="AN516" i="2"/>
  <c r="AM516" i="2"/>
  <c r="AJ516" i="2"/>
  <c r="AI516" i="2"/>
  <c r="BM515" i="2"/>
  <c r="AA515" i="1"/>
  <c r="BL515" i="2"/>
  <c r="BK515" i="2"/>
  <c r="BJ515" i="2"/>
  <c r="X515" i="1"/>
  <c r="BI515" i="2"/>
  <c r="BH515" i="2"/>
  <c r="BG515" i="2"/>
  <c r="U515" i="1"/>
  <c r="BF515" i="2"/>
  <c r="BE515" i="2"/>
  <c r="S515" i="1"/>
  <c r="BD515" i="2"/>
  <c r="BC515" i="2"/>
  <c r="BB515" i="2"/>
  <c r="BA515" i="2"/>
  <c r="AZ515" i="2"/>
  <c r="AY515" i="2"/>
  <c r="AX515" i="2"/>
  <c r="AW515" i="2"/>
  <c r="AV515" i="2"/>
  <c r="AU515" i="2"/>
  <c r="AT515" i="2"/>
  <c r="H515" i="1"/>
  <c r="AS515" i="2"/>
  <c r="G515" i="1"/>
  <c r="AR515" i="2"/>
  <c r="AQ515" i="2"/>
  <c r="AP515" i="2"/>
  <c r="D515" i="1"/>
  <c r="AO515" i="2"/>
  <c r="AN515" i="2"/>
  <c r="AM515" i="2"/>
  <c r="AJ515" i="2"/>
  <c r="AI515" i="2"/>
  <c r="BM514" i="2"/>
  <c r="AA514" i="1"/>
  <c r="BL514" i="2"/>
  <c r="BK514" i="2"/>
  <c r="BJ514" i="2"/>
  <c r="X514" i="1"/>
  <c r="BI514" i="2"/>
  <c r="BH514" i="2"/>
  <c r="BG514" i="2"/>
  <c r="U514" i="1"/>
  <c r="BF514" i="2"/>
  <c r="BE514" i="2"/>
  <c r="S514" i="1"/>
  <c r="BD514" i="2"/>
  <c r="BC514" i="2"/>
  <c r="BB514" i="2"/>
  <c r="BA514" i="2"/>
  <c r="AZ514" i="2"/>
  <c r="AY514" i="2"/>
  <c r="AX514" i="2"/>
  <c r="AW514" i="2"/>
  <c r="AV514" i="2"/>
  <c r="AU514" i="2"/>
  <c r="AT514" i="2"/>
  <c r="H514" i="1"/>
  <c r="AS514" i="2"/>
  <c r="G514" i="1"/>
  <c r="AR514" i="2"/>
  <c r="AQ514" i="2"/>
  <c r="AP514" i="2"/>
  <c r="D514" i="1"/>
  <c r="AO514" i="2"/>
  <c r="AN514" i="2"/>
  <c r="AM514" i="2"/>
  <c r="AJ514" i="2"/>
  <c r="AI514" i="2"/>
  <c r="BM513" i="2"/>
  <c r="AA513" i="1"/>
  <c r="BL513" i="2"/>
  <c r="BK513" i="2"/>
  <c r="BJ513" i="2"/>
  <c r="X513" i="1"/>
  <c r="BI513" i="2"/>
  <c r="BH513" i="2"/>
  <c r="BG513" i="2"/>
  <c r="U513" i="1"/>
  <c r="BF513" i="2"/>
  <c r="BE513" i="2"/>
  <c r="S513" i="1"/>
  <c r="BD513" i="2"/>
  <c r="BC513" i="2"/>
  <c r="BB513" i="2"/>
  <c r="BA513" i="2"/>
  <c r="AZ513" i="2"/>
  <c r="AY513" i="2"/>
  <c r="AX513" i="2"/>
  <c r="AW513" i="2"/>
  <c r="AV513" i="2"/>
  <c r="AU513" i="2"/>
  <c r="AT513" i="2"/>
  <c r="H513" i="1"/>
  <c r="AS513" i="2"/>
  <c r="G513" i="1"/>
  <c r="AR513" i="2"/>
  <c r="AQ513" i="2"/>
  <c r="AP513" i="2"/>
  <c r="D513" i="1"/>
  <c r="AO513" i="2"/>
  <c r="AN513" i="2"/>
  <c r="AM513" i="2"/>
  <c r="AJ513" i="2"/>
  <c r="AI513" i="2"/>
  <c r="BM512" i="2"/>
  <c r="AA512" i="1"/>
  <c r="BL512" i="2"/>
  <c r="BK512" i="2"/>
  <c r="BJ512" i="2"/>
  <c r="X512" i="1"/>
  <c r="BI512" i="2"/>
  <c r="BH512" i="2"/>
  <c r="BG512" i="2"/>
  <c r="U512" i="1"/>
  <c r="BF512" i="2"/>
  <c r="BE512" i="2"/>
  <c r="S512" i="1"/>
  <c r="BD512" i="2"/>
  <c r="BC512" i="2"/>
  <c r="BB512" i="2"/>
  <c r="BA512" i="2"/>
  <c r="AZ512" i="2"/>
  <c r="AY512" i="2"/>
  <c r="AX512" i="2"/>
  <c r="AW512" i="2"/>
  <c r="AV512" i="2"/>
  <c r="AU512" i="2"/>
  <c r="AT512" i="2"/>
  <c r="H512" i="1"/>
  <c r="AS512" i="2"/>
  <c r="G512" i="1"/>
  <c r="AR512" i="2"/>
  <c r="AQ512" i="2"/>
  <c r="AP512" i="2"/>
  <c r="D512" i="1"/>
  <c r="AO512" i="2"/>
  <c r="AN512" i="2"/>
  <c r="AM512" i="2"/>
  <c r="AJ512" i="2"/>
  <c r="AI512" i="2"/>
  <c r="BM511" i="2"/>
  <c r="AA511" i="1"/>
  <c r="BL511" i="2"/>
  <c r="BK511" i="2"/>
  <c r="BJ511" i="2"/>
  <c r="X511" i="1"/>
  <c r="BI511" i="2"/>
  <c r="BH511" i="2"/>
  <c r="BG511" i="2"/>
  <c r="U511" i="1"/>
  <c r="BF511" i="2"/>
  <c r="BE511" i="2"/>
  <c r="S511" i="1"/>
  <c r="BD511" i="2"/>
  <c r="BC511" i="2"/>
  <c r="BB511" i="2"/>
  <c r="BA511" i="2"/>
  <c r="AZ511" i="2"/>
  <c r="AY511" i="2"/>
  <c r="AX511" i="2"/>
  <c r="AW511" i="2"/>
  <c r="AV511" i="2"/>
  <c r="AU511" i="2"/>
  <c r="AT511" i="2"/>
  <c r="H511" i="1"/>
  <c r="AS511" i="2"/>
  <c r="G511" i="1"/>
  <c r="AR511" i="2"/>
  <c r="AQ511" i="2"/>
  <c r="AP511" i="2"/>
  <c r="D511" i="1"/>
  <c r="AO511" i="2"/>
  <c r="AN511" i="2"/>
  <c r="AM511" i="2"/>
  <c r="AJ511" i="2"/>
  <c r="AI511" i="2"/>
  <c r="BM510" i="2"/>
  <c r="AA510" i="1"/>
  <c r="BL510" i="2"/>
  <c r="BK510" i="2"/>
  <c r="BJ510" i="2"/>
  <c r="X510" i="1"/>
  <c r="BI510" i="2"/>
  <c r="BH510" i="2"/>
  <c r="BG510" i="2"/>
  <c r="U510" i="1"/>
  <c r="BF510" i="2"/>
  <c r="BE510" i="2"/>
  <c r="S510" i="1"/>
  <c r="BD510" i="2"/>
  <c r="BC510" i="2"/>
  <c r="BB510" i="2"/>
  <c r="BA510" i="2"/>
  <c r="AZ510" i="2"/>
  <c r="AY510" i="2"/>
  <c r="AX510" i="2"/>
  <c r="AW510" i="2"/>
  <c r="AV510" i="2"/>
  <c r="AU510" i="2"/>
  <c r="AT510" i="2"/>
  <c r="H510" i="1"/>
  <c r="AS510" i="2"/>
  <c r="G510" i="1"/>
  <c r="AR510" i="2"/>
  <c r="AQ510" i="2"/>
  <c r="AP510" i="2"/>
  <c r="D510" i="1"/>
  <c r="AO510" i="2"/>
  <c r="AN510" i="2"/>
  <c r="AM510" i="2"/>
  <c r="AJ510" i="2"/>
  <c r="AI510" i="2"/>
  <c r="BM509" i="2"/>
  <c r="AA509" i="1"/>
  <c r="BL509" i="2"/>
  <c r="BK509" i="2"/>
  <c r="BJ509" i="2"/>
  <c r="X509" i="1"/>
  <c r="BI509" i="2"/>
  <c r="BH509" i="2"/>
  <c r="BG509" i="2"/>
  <c r="U509" i="1"/>
  <c r="BF509" i="2"/>
  <c r="BE509" i="2"/>
  <c r="S509" i="1"/>
  <c r="BD509" i="2"/>
  <c r="BC509" i="2"/>
  <c r="BB509" i="2"/>
  <c r="BA509" i="2"/>
  <c r="AZ509" i="2"/>
  <c r="AY509" i="2"/>
  <c r="AX509" i="2"/>
  <c r="AW509" i="2"/>
  <c r="AV509" i="2"/>
  <c r="AU509" i="2"/>
  <c r="AT509" i="2"/>
  <c r="H509" i="1"/>
  <c r="AS509" i="2"/>
  <c r="G509" i="1"/>
  <c r="AR509" i="2"/>
  <c r="AQ509" i="2"/>
  <c r="AP509" i="2"/>
  <c r="D509" i="1"/>
  <c r="AO509" i="2"/>
  <c r="AN509" i="2"/>
  <c r="AM509" i="2"/>
  <c r="AJ509" i="2"/>
  <c r="AI509" i="2"/>
  <c r="BM508" i="2"/>
  <c r="AA508" i="1"/>
  <c r="BL508" i="2"/>
  <c r="BK508" i="2"/>
  <c r="BJ508" i="2"/>
  <c r="X508" i="1"/>
  <c r="BI508" i="2"/>
  <c r="BH508" i="2"/>
  <c r="BG508" i="2"/>
  <c r="U508" i="1"/>
  <c r="BF508" i="2"/>
  <c r="BE508" i="2"/>
  <c r="S508" i="1"/>
  <c r="BD508" i="2"/>
  <c r="BC508" i="2"/>
  <c r="BB508" i="2"/>
  <c r="BA508" i="2"/>
  <c r="AZ508" i="2"/>
  <c r="AY508" i="2"/>
  <c r="AX508" i="2"/>
  <c r="AW508" i="2"/>
  <c r="AV508" i="2"/>
  <c r="AU508" i="2"/>
  <c r="AT508" i="2"/>
  <c r="H508" i="1"/>
  <c r="AS508" i="2"/>
  <c r="G508" i="1"/>
  <c r="AR508" i="2"/>
  <c r="AQ508" i="2"/>
  <c r="AP508" i="2"/>
  <c r="D508" i="1"/>
  <c r="AO508" i="2"/>
  <c r="AN508" i="2"/>
  <c r="AM508" i="2"/>
  <c r="AJ508" i="2"/>
  <c r="AI508" i="2"/>
  <c r="BM507" i="2"/>
  <c r="AA507" i="1"/>
  <c r="BL507" i="2"/>
  <c r="BK507" i="2"/>
  <c r="BJ507" i="2"/>
  <c r="X507" i="1"/>
  <c r="BI507" i="2"/>
  <c r="BH507" i="2"/>
  <c r="BG507" i="2"/>
  <c r="U507" i="1"/>
  <c r="BF507" i="2"/>
  <c r="BE507" i="2"/>
  <c r="S507" i="1"/>
  <c r="BD507" i="2"/>
  <c r="BC507" i="2"/>
  <c r="BB507" i="2"/>
  <c r="BA507" i="2"/>
  <c r="AZ507" i="2"/>
  <c r="AY507" i="2"/>
  <c r="AX507" i="2"/>
  <c r="AW507" i="2"/>
  <c r="AV507" i="2"/>
  <c r="AU507" i="2"/>
  <c r="AT507" i="2"/>
  <c r="H507" i="1"/>
  <c r="AS507" i="2"/>
  <c r="G507" i="1"/>
  <c r="AR507" i="2"/>
  <c r="AQ507" i="2"/>
  <c r="AP507" i="2"/>
  <c r="D507" i="1"/>
  <c r="AO507" i="2"/>
  <c r="AN507" i="2"/>
  <c r="AM507" i="2"/>
  <c r="AJ507" i="2"/>
  <c r="AI507" i="2"/>
  <c r="BM506" i="2"/>
  <c r="AA506" i="1"/>
  <c r="BL506" i="2"/>
  <c r="BK506" i="2"/>
  <c r="BJ506" i="2"/>
  <c r="X506" i="1"/>
  <c r="BI506" i="2"/>
  <c r="BH506" i="2"/>
  <c r="BG506" i="2"/>
  <c r="U506" i="1"/>
  <c r="BF506" i="2"/>
  <c r="BE506" i="2"/>
  <c r="S506" i="1"/>
  <c r="BD506" i="2"/>
  <c r="BC506" i="2"/>
  <c r="BB506" i="2"/>
  <c r="BA506" i="2"/>
  <c r="AZ506" i="2"/>
  <c r="AY506" i="2"/>
  <c r="AX506" i="2"/>
  <c r="AW506" i="2"/>
  <c r="AV506" i="2"/>
  <c r="AU506" i="2"/>
  <c r="AT506" i="2"/>
  <c r="H506" i="1"/>
  <c r="AS506" i="2"/>
  <c r="G506" i="1"/>
  <c r="AR506" i="2"/>
  <c r="AQ506" i="2"/>
  <c r="AP506" i="2"/>
  <c r="D506" i="1"/>
  <c r="AO506" i="2"/>
  <c r="AN506" i="2"/>
  <c r="AM506" i="2"/>
  <c r="AJ506" i="2"/>
  <c r="AI506" i="2"/>
  <c r="BM505" i="2"/>
  <c r="AA505" i="1"/>
  <c r="BL505" i="2"/>
  <c r="BK505" i="2"/>
  <c r="BJ505" i="2"/>
  <c r="X505" i="1"/>
  <c r="BI505" i="2"/>
  <c r="BH505" i="2"/>
  <c r="BG505" i="2"/>
  <c r="U505" i="1"/>
  <c r="BF505" i="2"/>
  <c r="BE505" i="2"/>
  <c r="S505" i="1"/>
  <c r="BD505" i="2"/>
  <c r="BC505" i="2"/>
  <c r="BB505" i="2"/>
  <c r="BA505" i="2"/>
  <c r="AZ505" i="2"/>
  <c r="AY505" i="2"/>
  <c r="AX505" i="2"/>
  <c r="AW505" i="2"/>
  <c r="AV505" i="2"/>
  <c r="AU505" i="2"/>
  <c r="AT505" i="2"/>
  <c r="H505" i="1"/>
  <c r="AS505" i="2"/>
  <c r="G505" i="1"/>
  <c r="AR505" i="2"/>
  <c r="AQ505" i="2"/>
  <c r="AP505" i="2"/>
  <c r="D505" i="1"/>
  <c r="AO505" i="2"/>
  <c r="AN505" i="2"/>
  <c r="AM505" i="2"/>
  <c r="AJ505" i="2"/>
  <c r="AI505" i="2"/>
  <c r="BM504" i="2"/>
  <c r="AA504" i="1"/>
  <c r="BL504" i="2"/>
  <c r="BK504" i="2"/>
  <c r="BJ504" i="2"/>
  <c r="X504" i="1"/>
  <c r="BI504" i="2"/>
  <c r="BH504" i="2"/>
  <c r="BG504" i="2"/>
  <c r="U504" i="1"/>
  <c r="BF504" i="2"/>
  <c r="BE504" i="2"/>
  <c r="S504" i="1"/>
  <c r="BD504" i="2"/>
  <c r="BC504" i="2"/>
  <c r="BB504" i="2"/>
  <c r="BA504" i="2"/>
  <c r="AZ504" i="2"/>
  <c r="AY504" i="2"/>
  <c r="AX504" i="2"/>
  <c r="AW504" i="2"/>
  <c r="AV504" i="2"/>
  <c r="AU504" i="2"/>
  <c r="AT504" i="2"/>
  <c r="H504" i="1"/>
  <c r="AS504" i="2"/>
  <c r="G504" i="1"/>
  <c r="AR504" i="2"/>
  <c r="AQ504" i="2"/>
  <c r="AP504" i="2"/>
  <c r="D504" i="1"/>
  <c r="AO504" i="2"/>
  <c r="AN504" i="2"/>
  <c r="AM504" i="2"/>
  <c r="AJ504" i="2"/>
  <c r="AI504" i="2"/>
  <c r="BM503" i="2"/>
  <c r="AA503" i="1"/>
  <c r="BL503" i="2"/>
  <c r="BK503" i="2"/>
  <c r="BJ503" i="2"/>
  <c r="X503" i="1"/>
  <c r="BI503" i="2"/>
  <c r="BH503" i="2"/>
  <c r="BG503" i="2"/>
  <c r="U503" i="1"/>
  <c r="BF503" i="2"/>
  <c r="BE503" i="2"/>
  <c r="S503" i="1"/>
  <c r="BD503" i="2"/>
  <c r="BC503" i="2"/>
  <c r="BB503" i="2"/>
  <c r="BA503" i="2"/>
  <c r="AZ503" i="2"/>
  <c r="AY503" i="2"/>
  <c r="AX503" i="2"/>
  <c r="AW503" i="2"/>
  <c r="AV503" i="2"/>
  <c r="AU503" i="2"/>
  <c r="AT503" i="2"/>
  <c r="H503" i="1"/>
  <c r="AS503" i="2"/>
  <c r="G503" i="1"/>
  <c r="AR503" i="2"/>
  <c r="AQ503" i="2"/>
  <c r="AP503" i="2"/>
  <c r="D503" i="1"/>
  <c r="AO503" i="2"/>
  <c r="AN503" i="2"/>
  <c r="AM503" i="2"/>
  <c r="AJ503" i="2"/>
  <c r="AI503" i="2"/>
  <c r="BM502" i="2"/>
  <c r="AA502" i="1"/>
  <c r="BL502" i="2"/>
  <c r="BK502" i="2"/>
  <c r="BJ502" i="2"/>
  <c r="X502" i="1"/>
  <c r="BI502" i="2"/>
  <c r="BH502" i="2"/>
  <c r="BG502" i="2"/>
  <c r="U502" i="1"/>
  <c r="BF502" i="2"/>
  <c r="BE502" i="2"/>
  <c r="S502" i="1"/>
  <c r="BD502" i="2"/>
  <c r="BC502" i="2"/>
  <c r="BB502" i="2"/>
  <c r="BA502" i="2"/>
  <c r="AZ502" i="2"/>
  <c r="AY502" i="2"/>
  <c r="AX502" i="2"/>
  <c r="AW502" i="2"/>
  <c r="AV502" i="2"/>
  <c r="AU502" i="2"/>
  <c r="AT502" i="2"/>
  <c r="H502" i="1"/>
  <c r="AS502" i="2"/>
  <c r="G502" i="1"/>
  <c r="AR502" i="2"/>
  <c r="AQ502" i="2"/>
  <c r="AP502" i="2"/>
  <c r="D502" i="1"/>
  <c r="AO502" i="2"/>
  <c r="AN502" i="2"/>
  <c r="AM502" i="2"/>
  <c r="AJ502" i="2"/>
  <c r="AI502" i="2"/>
  <c r="BM501" i="2"/>
  <c r="AA501" i="1"/>
  <c r="BL501" i="2"/>
  <c r="BK501" i="2"/>
  <c r="BJ501" i="2"/>
  <c r="X501" i="1"/>
  <c r="BI501" i="2"/>
  <c r="BH501" i="2"/>
  <c r="BG501" i="2"/>
  <c r="U501" i="1"/>
  <c r="BF501" i="2"/>
  <c r="BE501" i="2"/>
  <c r="S501" i="1"/>
  <c r="BD501" i="2"/>
  <c r="BC501" i="2"/>
  <c r="BB501" i="2"/>
  <c r="BA501" i="2"/>
  <c r="AZ501" i="2"/>
  <c r="AY501" i="2"/>
  <c r="AX501" i="2"/>
  <c r="AW501" i="2"/>
  <c r="AV501" i="2"/>
  <c r="AU501" i="2"/>
  <c r="AT501" i="2"/>
  <c r="H501" i="1"/>
  <c r="AS501" i="2"/>
  <c r="G501" i="1"/>
  <c r="AR501" i="2"/>
  <c r="AQ501" i="2"/>
  <c r="AP501" i="2"/>
  <c r="D501" i="1"/>
  <c r="AO501" i="2"/>
  <c r="AN501" i="2"/>
  <c r="AM501" i="2"/>
  <c r="AJ501" i="2"/>
  <c r="AI501" i="2"/>
  <c r="BM500" i="2"/>
  <c r="AA500" i="1"/>
  <c r="BL500" i="2"/>
  <c r="BK500" i="2"/>
  <c r="BJ500" i="2"/>
  <c r="X500" i="1"/>
  <c r="BI500" i="2"/>
  <c r="BH500" i="2"/>
  <c r="BG500" i="2"/>
  <c r="U500" i="1"/>
  <c r="BF500" i="2"/>
  <c r="BE500" i="2"/>
  <c r="S500" i="1"/>
  <c r="BD500" i="2"/>
  <c r="BC500" i="2"/>
  <c r="BB500" i="2"/>
  <c r="BA500" i="2"/>
  <c r="AZ500" i="2"/>
  <c r="AY500" i="2"/>
  <c r="AX500" i="2"/>
  <c r="AW500" i="2"/>
  <c r="AV500" i="2"/>
  <c r="AU500" i="2"/>
  <c r="AT500" i="2"/>
  <c r="H500" i="1"/>
  <c r="AS500" i="2"/>
  <c r="G500" i="1"/>
  <c r="AR500" i="2"/>
  <c r="AQ500" i="2"/>
  <c r="AP500" i="2"/>
  <c r="D500" i="1"/>
  <c r="AO500" i="2"/>
  <c r="AN500" i="2"/>
  <c r="AM500" i="2"/>
  <c r="AJ500" i="2"/>
  <c r="AI500" i="2"/>
  <c r="BM499" i="2"/>
  <c r="AA499" i="1"/>
  <c r="BL499" i="2"/>
  <c r="BK499" i="2"/>
  <c r="BJ499" i="2"/>
  <c r="X499" i="1"/>
  <c r="BI499" i="2"/>
  <c r="BH499" i="2"/>
  <c r="BG499" i="2"/>
  <c r="U499" i="1"/>
  <c r="BF499" i="2"/>
  <c r="BE499" i="2"/>
  <c r="S499" i="1"/>
  <c r="BD499" i="2"/>
  <c r="BC499" i="2"/>
  <c r="BB499" i="2"/>
  <c r="BA499" i="2"/>
  <c r="AZ499" i="2"/>
  <c r="AY499" i="2"/>
  <c r="AX499" i="2"/>
  <c r="AW499" i="2"/>
  <c r="AV499" i="2"/>
  <c r="AU499" i="2"/>
  <c r="AT499" i="2"/>
  <c r="H499" i="1"/>
  <c r="AS499" i="2"/>
  <c r="G499" i="1"/>
  <c r="AR499" i="2"/>
  <c r="AQ499" i="2"/>
  <c r="AP499" i="2"/>
  <c r="D499" i="1"/>
  <c r="AO499" i="2"/>
  <c r="AN499" i="2"/>
  <c r="AM499" i="2"/>
  <c r="AJ499" i="2"/>
  <c r="AI499" i="2"/>
  <c r="BM498" i="2"/>
  <c r="AA498" i="1"/>
  <c r="BL498" i="2"/>
  <c r="BK498" i="2"/>
  <c r="BJ498" i="2"/>
  <c r="X498" i="1"/>
  <c r="BI498" i="2"/>
  <c r="BH498" i="2"/>
  <c r="BG498" i="2"/>
  <c r="U498" i="1"/>
  <c r="BF498" i="2"/>
  <c r="BE498" i="2"/>
  <c r="S498" i="1"/>
  <c r="BD498" i="2"/>
  <c r="BC498" i="2"/>
  <c r="BB498" i="2"/>
  <c r="BA498" i="2"/>
  <c r="AZ498" i="2"/>
  <c r="AY498" i="2"/>
  <c r="AX498" i="2"/>
  <c r="AW498" i="2"/>
  <c r="AV498" i="2"/>
  <c r="AU498" i="2"/>
  <c r="AT498" i="2"/>
  <c r="H498" i="1"/>
  <c r="AS498" i="2"/>
  <c r="G498" i="1"/>
  <c r="AR498" i="2"/>
  <c r="AQ498" i="2"/>
  <c r="AP498" i="2"/>
  <c r="D498" i="1"/>
  <c r="AO498" i="2"/>
  <c r="AN498" i="2"/>
  <c r="AM498" i="2"/>
  <c r="AJ498" i="2"/>
  <c r="AI498" i="2"/>
  <c r="BM497" i="2"/>
  <c r="AA497" i="1"/>
  <c r="BL497" i="2"/>
  <c r="BK497" i="2"/>
  <c r="BJ497" i="2"/>
  <c r="X497" i="1"/>
  <c r="BI497" i="2"/>
  <c r="BH497" i="2"/>
  <c r="BG497" i="2"/>
  <c r="U497" i="1"/>
  <c r="BF497" i="2"/>
  <c r="BE497" i="2"/>
  <c r="S497" i="1"/>
  <c r="BD497" i="2"/>
  <c r="BC497" i="2"/>
  <c r="BB497" i="2"/>
  <c r="BA497" i="2"/>
  <c r="AZ497" i="2"/>
  <c r="AY497" i="2"/>
  <c r="AX497" i="2"/>
  <c r="AW497" i="2"/>
  <c r="AV497" i="2"/>
  <c r="AU497" i="2"/>
  <c r="AT497" i="2"/>
  <c r="H497" i="1"/>
  <c r="AS497" i="2"/>
  <c r="G497" i="1"/>
  <c r="AR497" i="2"/>
  <c r="AQ497" i="2"/>
  <c r="AP497" i="2"/>
  <c r="D497" i="1"/>
  <c r="AO497" i="2"/>
  <c r="AN497" i="2"/>
  <c r="AM497" i="2"/>
  <c r="AJ497" i="2"/>
  <c r="AI497" i="2"/>
  <c r="BM496" i="2"/>
  <c r="AA496" i="1"/>
  <c r="BL496" i="2"/>
  <c r="BK496" i="2"/>
  <c r="BJ496" i="2"/>
  <c r="X496" i="1"/>
  <c r="BI496" i="2"/>
  <c r="BH496" i="2"/>
  <c r="BG496" i="2"/>
  <c r="U496" i="1"/>
  <c r="BF496" i="2"/>
  <c r="BE496" i="2"/>
  <c r="S496" i="1"/>
  <c r="BD496" i="2"/>
  <c r="BC496" i="2"/>
  <c r="BB496" i="2"/>
  <c r="BA496" i="2"/>
  <c r="AZ496" i="2"/>
  <c r="AY496" i="2"/>
  <c r="AX496" i="2"/>
  <c r="AW496" i="2"/>
  <c r="AV496" i="2"/>
  <c r="AU496" i="2"/>
  <c r="AT496" i="2"/>
  <c r="H496" i="1"/>
  <c r="AS496" i="2"/>
  <c r="G496" i="1"/>
  <c r="AR496" i="2"/>
  <c r="AQ496" i="2"/>
  <c r="AP496" i="2"/>
  <c r="D496" i="1"/>
  <c r="AO496" i="2"/>
  <c r="AN496" i="2"/>
  <c r="AM496" i="2"/>
  <c r="AJ496" i="2"/>
  <c r="AI496" i="2"/>
  <c r="BM495" i="2"/>
  <c r="AA495" i="1"/>
  <c r="BL495" i="2"/>
  <c r="BK495" i="2"/>
  <c r="BJ495" i="2"/>
  <c r="X495" i="1"/>
  <c r="BI495" i="2"/>
  <c r="BH495" i="2"/>
  <c r="BG495" i="2"/>
  <c r="U495" i="1"/>
  <c r="BF495" i="2"/>
  <c r="BE495" i="2"/>
  <c r="S495" i="1"/>
  <c r="BD495" i="2"/>
  <c r="BC495" i="2"/>
  <c r="BB495" i="2"/>
  <c r="BA495" i="2"/>
  <c r="AZ495" i="2"/>
  <c r="AY495" i="2"/>
  <c r="AX495" i="2"/>
  <c r="AW495" i="2"/>
  <c r="AV495" i="2"/>
  <c r="AU495" i="2"/>
  <c r="AT495" i="2"/>
  <c r="H495" i="1"/>
  <c r="AS495" i="2"/>
  <c r="G495" i="1"/>
  <c r="AR495" i="2"/>
  <c r="AQ495" i="2"/>
  <c r="AP495" i="2"/>
  <c r="D495" i="1"/>
  <c r="AO495" i="2"/>
  <c r="AN495" i="2"/>
  <c r="AM495" i="2"/>
  <c r="AJ495" i="2"/>
  <c r="AI495" i="2"/>
  <c r="BM494" i="2"/>
  <c r="AA494" i="1"/>
  <c r="BL494" i="2"/>
  <c r="BK494" i="2"/>
  <c r="BJ494" i="2"/>
  <c r="X494" i="1"/>
  <c r="BI494" i="2"/>
  <c r="BH494" i="2"/>
  <c r="BG494" i="2"/>
  <c r="U494" i="1"/>
  <c r="BF494" i="2"/>
  <c r="BE494" i="2"/>
  <c r="S494" i="1"/>
  <c r="BD494" i="2"/>
  <c r="BC494" i="2"/>
  <c r="BB494" i="2"/>
  <c r="BA494" i="2"/>
  <c r="AZ494" i="2"/>
  <c r="AY494" i="2"/>
  <c r="AX494" i="2"/>
  <c r="AW494" i="2"/>
  <c r="AV494" i="2"/>
  <c r="AU494" i="2"/>
  <c r="AT494" i="2"/>
  <c r="H494" i="1"/>
  <c r="AS494" i="2"/>
  <c r="G494" i="1"/>
  <c r="AR494" i="2"/>
  <c r="AQ494" i="2"/>
  <c r="AP494" i="2"/>
  <c r="D494" i="1"/>
  <c r="AO494" i="2"/>
  <c r="AN494" i="2"/>
  <c r="AM494" i="2"/>
  <c r="AJ494" i="2"/>
  <c r="AI494" i="2"/>
  <c r="BM493" i="2"/>
  <c r="AA493" i="1"/>
  <c r="BL493" i="2"/>
  <c r="BK493" i="2"/>
  <c r="BJ493" i="2"/>
  <c r="X493" i="1"/>
  <c r="BI493" i="2"/>
  <c r="BH493" i="2"/>
  <c r="BG493" i="2"/>
  <c r="U493" i="1"/>
  <c r="BF493" i="2"/>
  <c r="BE493" i="2"/>
  <c r="S493" i="1"/>
  <c r="BD493" i="2"/>
  <c r="BC493" i="2"/>
  <c r="BB493" i="2"/>
  <c r="BA493" i="2"/>
  <c r="AZ493" i="2"/>
  <c r="AY493" i="2"/>
  <c r="AX493" i="2"/>
  <c r="AW493" i="2"/>
  <c r="AV493" i="2"/>
  <c r="AU493" i="2"/>
  <c r="AT493" i="2"/>
  <c r="H493" i="1"/>
  <c r="AS493" i="2"/>
  <c r="G493" i="1"/>
  <c r="AR493" i="2"/>
  <c r="AQ493" i="2"/>
  <c r="AP493" i="2"/>
  <c r="D493" i="1"/>
  <c r="AO493" i="2"/>
  <c r="AN493" i="2"/>
  <c r="AM493" i="2"/>
  <c r="AJ493" i="2"/>
  <c r="AI493" i="2"/>
  <c r="BM492" i="2"/>
  <c r="AA492" i="1"/>
  <c r="BL492" i="2"/>
  <c r="BK492" i="2"/>
  <c r="BJ492" i="2"/>
  <c r="X492" i="1"/>
  <c r="BI492" i="2"/>
  <c r="BH492" i="2"/>
  <c r="BG492" i="2"/>
  <c r="U492" i="1"/>
  <c r="BF492" i="2"/>
  <c r="BE492" i="2"/>
  <c r="S492" i="1"/>
  <c r="BD492" i="2"/>
  <c r="BC492" i="2"/>
  <c r="BB492" i="2"/>
  <c r="BA492" i="2"/>
  <c r="AZ492" i="2"/>
  <c r="AY492" i="2"/>
  <c r="AX492" i="2"/>
  <c r="AW492" i="2"/>
  <c r="AV492" i="2"/>
  <c r="AU492" i="2"/>
  <c r="AT492" i="2"/>
  <c r="H492" i="1"/>
  <c r="AS492" i="2"/>
  <c r="G492" i="1"/>
  <c r="AR492" i="2"/>
  <c r="AQ492" i="2"/>
  <c r="AP492" i="2"/>
  <c r="D492" i="1"/>
  <c r="AO492" i="2"/>
  <c r="AN492" i="2"/>
  <c r="AM492" i="2"/>
  <c r="AJ492" i="2"/>
  <c r="AI492" i="2"/>
  <c r="BM491" i="2"/>
  <c r="AA491" i="1"/>
  <c r="BL491" i="2"/>
  <c r="BK491" i="2"/>
  <c r="BJ491" i="2"/>
  <c r="X491" i="1"/>
  <c r="BI491" i="2"/>
  <c r="BH491" i="2"/>
  <c r="BG491" i="2"/>
  <c r="U491" i="1"/>
  <c r="BF491" i="2"/>
  <c r="BE491" i="2"/>
  <c r="S491" i="1"/>
  <c r="BD491" i="2"/>
  <c r="BC491" i="2"/>
  <c r="BB491" i="2"/>
  <c r="BA491" i="2"/>
  <c r="AZ491" i="2"/>
  <c r="AY491" i="2"/>
  <c r="AX491" i="2"/>
  <c r="AW491" i="2"/>
  <c r="AV491" i="2"/>
  <c r="AU491" i="2"/>
  <c r="AT491" i="2"/>
  <c r="H491" i="1"/>
  <c r="AS491" i="2"/>
  <c r="G491" i="1"/>
  <c r="AR491" i="2"/>
  <c r="AQ491" i="2"/>
  <c r="AP491" i="2"/>
  <c r="D491" i="1"/>
  <c r="AO491" i="2"/>
  <c r="AN491" i="2"/>
  <c r="AM491" i="2"/>
  <c r="AJ491" i="2"/>
  <c r="AI491" i="2"/>
  <c r="BM490" i="2"/>
  <c r="AA490" i="1"/>
  <c r="BL490" i="2"/>
  <c r="BK490" i="2"/>
  <c r="BJ490" i="2"/>
  <c r="X490" i="1"/>
  <c r="BI490" i="2"/>
  <c r="BH490" i="2"/>
  <c r="BG490" i="2"/>
  <c r="U490" i="1"/>
  <c r="BF490" i="2"/>
  <c r="BE490" i="2"/>
  <c r="S490" i="1"/>
  <c r="BD490" i="2"/>
  <c r="BC490" i="2"/>
  <c r="BB490" i="2"/>
  <c r="BA490" i="2"/>
  <c r="AZ490" i="2"/>
  <c r="AY490" i="2"/>
  <c r="AX490" i="2"/>
  <c r="AW490" i="2"/>
  <c r="AV490" i="2"/>
  <c r="AU490" i="2"/>
  <c r="AT490" i="2"/>
  <c r="H490" i="1"/>
  <c r="AS490" i="2"/>
  <c r="G490" i="1"/>
  <c r="AR490" i="2"/>
  <c r="AQ490" i="2"/>
  <c r="AP490" i="2"/>
  <c r="D490" i="1"/>
  <c r="AO490" i="2"/>
  <c r="AN490" i="2"/>
  <c r="AM490" i="2"/>
  <c r="AJ490" i="2"/>
  <c r="AI490" i="2"/>
  <c r="BM489" i="2"/>
  <c r="AA489" i="1"/>
  <c r="BL489" i="2"/>
  <c r="BK489" i="2"/>
  <c r="BJ489" i="2"/>
  <c r="X489" i="1"/>
  <c r="BI489" i="2"/>
  <c r="BH489" i="2"/>
  <c r="BG489" i="2"/>
  <c r="U489" i="1"/>
  <c r="BF489" i="2"/>
  <c r="BE489" i="2"/>
  <c r="S489" i="1"/>
  <c r="BD489" i="2"/>
  <c r="BC489" i="2"/>
  <c r="BB489" i="2"/>
  <c r="BA489" i="2"/>
  <c r="AZ489" i="2"/>
  <c r="AY489" i="2"/>
  <c r="AX489" i="2"/>
  <c r="AW489" i="2"/>
  <c r="AV489" i="2"/>
  <c r="AU489" i="2"/>
  <c r="AT489" i="2"/>
  <c r="H489" i="1"/>
  <c r="AS489" i="2"/>
  <c r="G489" i="1"/>
  <c r="AR489" i="2"/>
  <c r="AQ489" i="2"/>
  <c r="AP489" i="2"/>
  <c r="D489" i="1"/>
  <c r="AO489" i="2"/>
  <c r="AN489" i="2"/>
  <c r="AM489" i="2"/>
  <c r="AJ489" i="2"/>
  <c r="AI489" i="2"/>
  <c r="BM488" i="2"/>
  <c r="AA488" i="1"/>
  <c r="BL488" i="2"/>
  <c r="BK488" i="2"/>
  <c r="BJ488" i="2"/>
  <c r="X488" i="1"/>
  <c r="BI488" i="2"/>
  <c r="BH488" i="2"/>
  <c r="BG488" i="2"/>
  <c r="U488" i="1"/>
  <c r="BF488" i="2"/>
  <c r="BE488" i="2"/>
  <c r="S488" i="1"/>
  <c r="BD488" i="2"/>
  <c r="BC488" i="2"/>
  <c r="BB488" i="2"/>
  <c r="BA488" i="2"/>
  <c r="AZ488" i="2"/>
  <c r="AY488" i="2"/>
  <c r="AX488" i="2"/>
  <c r="AW488" i="2"/>
  <c r="AV488" i="2"/>
  <c r="AU488" i="2"/>
  <c r="AT488" i="2"/>
  <c r="H488" i="1"/>
  <c r="AS488" i="2"/>
  <c r="G488" i="1"/>
  <c r="AR488" i="2"/>
  <c r="AQ488" i="2"/>
  <c r="AP488" i="2"/>
  <c r="D488" i="1"/>
  <c r="AO488" i="2"/>
  <c r="AN488" i="2"/>
  <c r="AM488" i="2"/>
  <c r="AJ488" i="2"/>
  <c r="AI488" i="2"/>
  <c r="BM487" i="2"/>
  <c r="AA487" i="1"/>
  <c r="BL487" i="2"/>
  <c r="BK487" i="2"/>
  <c r="BJ487" i="2"/>
  <c r="X487" i="1"/>
  <c r="BI487" i="2"/>
  <c r="BH487" i="2"/>
  <c r="BG487" i="2"/>
  <c r="U487" i="1"/>
  <c r="BF487" i="2"/>
  <c r="BE487" i="2"/>
  <c r="S487" i="1"/>
  <c r="BD487" i="2"/>
  <c r="BC487" i="2"/>
  <c r="BB487" i="2"/>
  <c r="BA487" i="2"/>
  <c r="AZ487" i="2"/>
  <c r="AY487" i="2"/>
  <c r="AX487" i="2"/>
  <c r="AW487" i="2"/>
  <c r="AV487" i="2"/>
  <c r="AU487" i="2"/>
  <c r="AT487" i="2"/>
  <c r="H487" i="1"/>
  <c r="AS487" i="2"/>
  <c r="G487" i="1"/>
  <c r="AR487" i="2"/>
  <c r="AQ487" i="2"/>
  <c r="AP487" i="2"/>
  <c r="D487" i="1"/>
  <c r="AO487" i="2"/>
  <c r="AN487" i="2"/>
  <c r="AM487" i="2"/>
  <c r="AJ487" i="2"/>
  <c r="AI487" i="2"/>
  <c r="BM486" i="2"/>
  <c r="AA486" i="1"/>
  <c r="BL486" i="2"/>
  <c r="BK486" i="2"/>
  <c r="BJ486" i="2"/>
  <c r="X486" i="1"/>
  <c r="BI486" i="2"/>
  <c r="BH486" i="2"/>
  <c r="BG486" i="2"/>
  <c r="U486" i="1"/>
  <c r="BF486" i="2"/>
  <c r="BE486" i="2"/>
  <c r="S486" i="1"/>
  <c r="BD486" i="2"/>
  <c r="BC486" i="2"/>
  <c r="BB486" i="2"/>
  <c r="BA486" i="2"/>
  <c r="AZ486" i="2"/>
  <c r="AY486" i="2"/>
  <c r="AX486" i="2"/>
  <c r="AW486" i="2"/>
  <c r="AV486" i="2"/>
  <c r="AU486" i="2"/>
  <c r="AT486" i="2"/>
  <c r="H486" i="1"/>
  <c r="AS486" i="2"/>
  <c r="G486" i="1"/>
  <c r="AR486" i="2"/>
  <c r="AQ486" i="2"/>
  <c r="AP486" i="2"/>
  <c r="D486" i="1"/>
  <c r="AO486" i="2"/>
  <c r="AN486" i="2"/>
  <c r="AM486" i="2"/>
  <c r="AJ486" i="2"/>
  <c r="AI486" i="2"/>
  <c r="BM485" i="2"/>
  <c r="AA485" i="1"/>
  <c r="BL485" i="2"/>
  <c r="BK485" i="2"/>
  <c r="BJ485" i="2"/>
  <c r="X485" i="1"/>
  <c r="BI485" i="2"/>
  <c r="BH485" i="2"/>
  <c r="BG485" i="2"/>
  <c r="U485" i="1"/>
  <c r="BF485" i="2"/>
  <c r="BE485" i="2"/>
  <c r="S485" i="1"/>
  <c r="BD485" i="2"/>
  <c r="BC485" i="2"/>
  <c r="BB485" i="2"/>
  <c r="BA485" i="2"/>
  <c r="AZ485" i="2"/>
  <c r="AY485" i="2"/>
  <c r="AX485" i="2"/>
  <c r="AW485" i="2"/>
  <c r="AV485" i="2"/>
  <c r="AU485" i="2"/>
  <c r="AT485" i="2"/>
  <c r="H485" i="1"/>
  <c r="AS485" i="2"/>
  <c r="G485" i="1"/>
  <c r="AR485" i="2"/>
  <c r="AQ485" i="2"/>
  <c r="AP485" i="2"/>
  <c r="D485" i="1"/>
  <c r="AO485" i="2"/>
  <c r="AN485" i="2"/>
  <c r="AM485" i="2"/>
  <c r="AJ485" i="2"/>
  <c r="AI485" i="2"/>
  <c r="BM484" i="2"/>
  <c r="AA484" i="1"/>
  <c r="BL484" i="2"/>
  <c r="BK484" i="2"/>
  <c r="BJ484" i="2"/>
  <c r="X484" i="1"/>
  <c r="BI484" i="2"/>
  <c r="BH484" i="2"/>
  <c r="BG484" i="2"/>
  <c r="U484" i="1"/>
  <c r="BF484" i="2"/>
  <c r="BE484" i="2"/>
  <c r="S484" i="1"/>
  <c r="BD484" i="2"/>
  <c r="BC484" i="2"/>
  <c r="BB484" i="2"/>
  <c r="BA484" i="2"/>
  <c r="AZ484" i="2"/>
  <c r="AY484" i="2"/>
  <c r="AX484" i="2"/>
  <c r="AW484" i="2"/>
  <c r="AV484" i="2"/>
  <c r="AU484" i="2"/>
  <c r="AT484" i="2"/>
  <c r="H484" i="1"/>
  <c r="AS484" i="2"/>
  <c r="G484" i="1"/>
  <c r="AR484" i="2"/>
  <c r="AQ484" i="2"/>
  <c r="AP484" i="2"/>
  <c r="D484" i="1"/>
  <c r="AO484" i="2"/>
  <c r="AN484" i="2"/>
  <c r="AM484" i="2"/>
  <c r="AJ484" i="2"/>
  <c r="AI484" i="2"/>
  <c r="BM483" i="2"/>
  <c r="AA483" i="1"/>
  <c r="BL483" i="2"/>
  <c r="BK483" i="2"/>
  <c r="BJ483" i="2"/>
  <c r="X483" i="1"/>
  <c r="BI483" i="2"/>
  <c r="BH483" i="2"/>
  <c r="BG483" i="2"/>
  <c r="U483" i="1"/>
  <c r="BF483" i="2"/>
  <c r="BE483" i="2"/>
  <c r="S483" i="1"/>
  <c r="BD483" i="2"/>
  <c r="BC483" i="2"/>
  <c r="BB483" i="2"/>
  <c r="BA483" i="2"/>
  <c r="AZ483" i="2"/>
  <c r="AY483" i="2"/>
  <c r="AX483" i="2"/>
  <c r="AW483" i="2"/>
  <c r="AV483" i="2"/>
  <c r="AU483" i="2"/>
  <c r="AT483" i="2"/>
  <c r="H483" i="1"/>
  <c r="AS483" i="2"/>
  <c r="G483" i="1"/>
  <c r="AR483" i="2"/>
  <c r="AQ483" i="2"/>
  <c r="AP483" i="2"/>
  <c r="D483" i="1"/>
  <c r="AO483" i="2"/>
  <c r="AN483" i="2"/>
  <c r="AM483" i="2"/>
  <c r="AJ483" i="2"/>
  <c r="AI483" i="2"/>
  <c r="BM482" i="2"/>
  <c r="AA482" i="1"/>
  <c r="BL482" i="2"/>
  <c r="BK482" i="2"/>
  <c r="BJ482" i="2"/>
  <c r="X482" i="1"/>
  <c r="BI482" i="2"/>
  <c r="BH482" i="2"/>
  <c r="BG482" i="2"/>
  <c r="U482" i="1"/>
  <c r="BF482" i="2"/>
  <c r="BE482" i="2"/>
  <c r="S482" i="1"/>
  <c r="BD482" i="2"/>
  <c r="BC482" i="2"/>
  <c r="BB482" i="2"/>
  <c r="BA482" i="2"/>
  <c r="AZ482" i="2"/>
  <c r="AY482" i="2"/>
  <c r="AX482" i="2"/>
  <c r="AW482" i="2"/>
  <c r="AV482" i="2"/>
  <c r="AU482" i="2"/>
  <c r="AT482" i="2"/>
  <c r="H482" i="1"/>
  <c r="AS482" i="2"/>
  <c r="G482" i="1"/>
  <c r="AR482" i="2"/>
  <c r="AQ482" i="2"/>
  <c r="AP482" i="2"/>
  <c r="D482" i="1"/>
  <c r="AO482" i="2"/>
  <c r="AN482" i="2"/>
  <c r="AM482" i="2"/>
  <c r="AJ482" i="2"/>
  <c r="AI482" i="2"/>
  <c r="BM481" i="2"/>
  <c r="AA481" i="1"/>
  <c r="BL481" i="2"/>
  <c r="BK481" i="2"/>
  <c r="BJ481" i="2"/>
  <c r="X481" i="1"/>
  <c r="BI481" i="2"/>
  <c r="BH481" i="2"/>
  <c r="BG481" i="2"/>
  <c r="U481" i="1"/>
  <c r="BF481" i="2"/>
  <c r="BE481" i="2"/>
  <c r="S481" i="1"/>
  <c r="BD481" i="2"/>
  <c r="BC481" i="2"/>
  <c r="BB481" i="2"/>
  <c r="BA481" i="2"/>
  <c r="AZ481" i="2"/>
  <c r="AY481" i="2"/>
  <c r="AX481" i="2"/>
  <c r="AW481" i="2"/>
  <c r="AV481" i="2"/>
  <c r="AU481" i="2"/>
  <c r="AT481" i="2"/>
  <c r="H481" i="1"/>
  <c r="AS481" i="2"/>
  <c r="G481" i="1"/>
  <c r="AR481" i="2"/>
  <c r="AQ481" i="2"/>
  <c r="AP481" i="2"/>
  <c r="D481" i="1"/>
  <c r="AO481" i="2"/>
  <c r="AN481" i="2"/>
  <c r="AM481" i="2"/>
  <c r="AJ481" i="2"/>
  <c r="AI481" i="2"/>
  <c r="BM480" i="2"/>
  <c r="AA480" i="1"/>
  <c r="BL480" i="2"/>
  <c r="BK480" i="2"/>
  <c r="BJ480" i="2"/>
  <c r="X480" i="1"/>
  <c r="BI480" i="2"/>
  <c r="BH480" i="2"/>
  <c r="BG480" i="2"/>
  <c r="U480" i="1"/>
  <c r="BF480" i="2"/>
  <c r="BE480" i="2"/>
  <c r="S480" i="1"/>
  <c r="BD480" i="2"/>
  <c r="BC480" i="2"/>
  <c r="BB480" i="2"/>
  <c r="BA480" i="2"/>
  <c r="AZ480" i="2"/>
  <c r="AY480" i="2"/>
  <c r="AX480" i="2"/>
  <c r="AW480" i="2"/>
  <c r="AV480" i="2"/>
  <c r="AU480" i="2"/>
  <c r="AT480" i="2"/>
  <c r="H480" i="1"/>
  <c r="AS480" i="2"/>
  <c r="G480" i="1"/>
  <c r="AR480" i="2"/>
  <c r="AQ480" i="2"/>
  <c r="AP480" i="2"/>
  <c r="D480" i="1"/>
  <c r="AO480" i="2"/>
  <c r="AN480" i="2"/>
  <c r="AM480" i="2"/>
  <c r="AJ480" i="2"/>
  <c r="AI480" i="2"/>
  <c r="BM479" i="2"/>
  <c r="AA479" i="1"/>
  <c r="BL479" i="2"/>
  <c r="BK479" i="2"/>
  <c r="BJ479" i="2"/>
  <c r="X479" i="1"/>
  <c r="BI479" i="2"/>
  <c r="BH479" i="2"/>
  <c r="BG479" i="2"/>
  <c r="U479" i="1"/>
  <c r="BF479" i="2"/>
  <c r="BE479" i="2"/>
  <c r="S479" i="1"/>
  <c r="BD479" i="2"/>
  <c r="BC479" i="2"/>
  <c r="BB479" i="2"/>
  <c r="BA479" i="2"/>
  <c r="AZ479" i="2"/>
  <c r="AY479" i="2"/>
  <c r="AX479" i="2"/>
  <c r="AW479" i="2"/>
  <c r="AV479" i="2"/>
  <c r="AU479" i="2"/>
  <c r="AT479" i="2"/>
  <c r="H479" i="1"/>
  <c r="AS479" i="2"/>
  <c r="G479" i="1"/>
  <c r="AR479" i="2"/>
  <c r="AQ479" i="2"/>
  <c r="AP479" i="2"/>
  <c r="D479" i="1"/>
  <c r="AO479" i="2"/>
  <c r="AN479" i="2"/>
  <c r="AM479" i="2"/>
  <c r="AJ479" i="2"/>
  <c r="AI479" i="2"/>
  <c r="BM478" i="2"/>
  <c r="AA478" i="1"/>
  <c r="BL478" i="2"/>
  <c r="BK478" i="2"/>
  <c r="BJ478" i="2"/>
  <c r="X478" i="1"/>
  <c r="BI478" i="2"/>
  <c r="BH478" i="2"/>
  <c r="BG478" i="2"/>
  <c r="U478" i="1"/>
  <c r="BF478" i="2"/>
  <c r="BE478" i="2"/>
  <c r="S478" i="1"/>
  <c r="BD478" i="2"/>
  <c r="BC478" i="2"/>
  <c r="BB478" i="2"/>
  <c r="BA478" i="2"/>
  <c r="AZ478" i="2"/>
  <c r="AY478" i="2"/>
  <c r="AX478" i="2"/>
  <c r="AW478" i="2"/>
  <c r="AV478" i="2"/>
  <c r="AU478" i="2"/>
  <c r="AT478" i="2"/>
  <c r="H478" i="1"/>
  <c r="AS478" i="2"/>
  <c r="G478" i="1"/>
  <c r="AR478" i="2"/>
  <c r="AQ478" i="2"/>
  <c r="AP478" i="2"/>
  <c r="D478" i="1"/>
  <c r="AO478" i="2"/>
  <c r="AN478" i="2"/>
  <c r="AM478" i="2"/>
  <c r="AJ478" i="2"/>
  <c r="AI478" i="2"/>
  <c r="BM477" i="2"/>
  <c r="AA477" i="1"/>
  <c r="BL477" i="2"/>
  <c r="BK477" i="2"/>
  <c r="BJ477" i="2"/>
  <c r="X477" i="1"/>
  <c r="BI477" i="2"/>
  <c r="BH477" i="2"/>
  <c r="BG477" i="2"/>
  <c r="U477" i="1"/>
  <c r="BF477" i="2"/>
  <c r="BE477" i="2"/>
  <c r="S477" i="1"/>
  <c r="BD477" i="2"/>
  <c r="BC477" i="2"/>
  <c r="BB477" i="2"/>
  <c r="BA477" i="2"/>
  <c r="AZ477" i="2"/>
  <c r="AY477" i="2"/>
  <c r="AX477" i="2"/>
  <c r="AW477" i="2"/>
  <c r="AV477" i="2"/>
  <c r="AU477" i="2"/>
  <c r="AT477" i="2"/>
  <c r="H477" i="1"/>
  <c r="AS477" i="2"/>
  <c r="G477" i="1"/>
  <c r="AR477" i="2"/>
  <c r="AQ477" i="2"/>
  <c r="AP477" i="2"/>
  <c r="D477" i="1"/>
  <c r="AO477" i="2"/>
  <c r="AN477" i="2"/>
  <c r="AM477" i="2"/>
  <c r="AJ477" i="2"/>
  <c r="AI477" i="2"/>
  <c r="BM476" i="2"/>
  <c r="AA476" i="1"/>
  <c r="BL476" i="2"/>
  <c r="BK476" i="2"/>
  <c r="BJ476" i="2"/>
  <c r="X476" i="1"/>
  <c r="BI476" i="2"/>
  <c r="BH476" i="2"/>
  <c r="BG476" i="2"/>
  <c r="U476" i="1"/>
  <c r="BF476" i="2"/>
  <c r="BE476" i="2"/>
  <c r="S476" i="1"/>
  <c r="BD476" i="2"/>
  <c r="BC476" i="2"/>
  <c r="BB476" i="2"/>
  <c r="BA476" i="2"/>
  <c r="AZ476" i="2"/>
  <c r="AY476" i="2"/>
  <c r="AX476" i="2"/>
  <c r="AW476" i="2"/>
  <c r="AV476" i="2"/>
  <c r="AU476" i="2"/>
  <c r="AT476" i="2"/>
  <c r="H476" i="1"/>
  <c r="AS476" i="2"/>
  <c r="G476" i="1"/>
  <c r="AR476" i="2"/>
  <c r="AQ476" i="2"/>
  <c r="AP476" i="2"/>
  <c r="D476" i="1"/>
  <c r="AO476" i="2"/>
  <c r="AN476" i="2"/>
  <c r="AM476" i="2"/>
  <c r="AJ476" i="2"/>
  <c r="AI476" i="2"/>
  <c r="BM475" i="2"/>
  <c r="AA475" i="1"/>
  <c r="BL475" i="2"/>
  <c r="BK475" i="2"/>
  <c r="BJ475" i="2"/>
  <c r="X475" i="1"/>
  <c r="BI475" i="2"/>
  <c r="BH475" i="2"/>
  <c r="BG475" i="2"/>
  <c r="U475" i="1"/>
  <c r="BF475" i="2"/>
  <c r="BE475" i="2"/>
  <c r="S475" i="1"/>
  <c r="BD475" i="2"/>
  <c r="BC475" i="2"/>
  <c r="BB475" i="2"/>
  <c r="BA475" i="2"/>
  <c r="AZ475" i="2"/>
  <c r="AY475" i="2"/>
  <c r="AX475" i="2"/>
  <c r="AW475" i="2"/>
  <c r="AV475" i="2"/>
  <c r="AU475" i="2"/>
  <c r="AT475" i="2"/>
  <c r="H475" i="1"/>
  <c r="AS475" i="2"/>
  <c r="G475" i="1"/>
  <c r="AR475" i="2"/>
  <c r="AQ475" i="2"/>
  <c r="AP475" i="2"/>
  <c r="D475" i="1"/>
  <c r="AO475" i="2"/>
  <c r="AN475" i="2"/>
  <c r="AM475" i="2"/>
  <c r="AJ475" i="2"/>
  <c r="AI475" i="2"/>
  <c r="BM474" i="2"/>
  <c r="AA474" i="1"/>
  <c r="BL474" i="2"/>
  <c r="BK474" i="2"/>
  <c r="BJ474" i="2"/>
  <c r="X474" i="1"/>
  <c r="BI474" i="2"/>
  <c r="BH474" i="2"/>
  <c r="BG474" i="2"/>
  <c r="U474" i="1"/>
  <c r="BF474" i="2"/>
  <c r="BE474" i="2"/>
  <c r="S474" i="1"/>
  <c r="BD474" i="2"/>
  <c r="BC474" i="2"/>
  <c r="BB474" i="2"/>
  <c r="BA474" i="2"/>
  <c r="AZ474" i="2"/>
  <c r="AY474" i="2"/>
  <c r="AX474" i="2"/>
  <c r="AW474" i="2"/>
  <c r="AV474" i="2"/>
  <c r="AU474" i="2"/>
  <c r="AT474" i="2"/>
  <c r="H474" i="1"/>
  <c r="AS474" i="2"/>
  <c r="G474" i="1"/>
  <c r="AR474" i="2"/>
  <c r="AQ474" i="2"/>
  <c r="AP474" i="2"/>
  <c r="D474" i="1"/>
  <c r="AO474" i="2"/>
  <c r="AN474" i="2"/>
  <c r="AM474" i="2"/>
  <c r="AJ474" i="2"/>
  <c r="AI474" i="2"/>
  <c r="BM473" i="2"/>
  <c r="AA473" i="1"/>
  <c r="BL473" i="2"/>
  <c r="BK473" i="2"/>
  <c r="BJ473" i="2"/>
  <c r="X473" i="1"/>
  <c r="BI473" i="2"/>
  <c r="BH473" i="2"/>
  <c r="BG473" i="2"/>
  <c r="U473" i="1"/>
  <c r="BF473" i="2"/>
  <c r="BE473" i="2"/>
  <c r="S473" i="1"/>
  <c r="BD473" i="2"/>
  <c r="BC473" i="2"/>
  <c r="BB473" i="2"/>
  <c r="BA473" i="2"/>
  <c r="AZ473" i="2"/>
  <c r="AY473" i="2"/>
  <c r="AX473" i="2"/>
  <c r="AW473" i="2"/>
  <c r="AV473" i="2"/>
  <c r="AU473" i="2"/>
  <c r="AT473" i="2"/>
  <c r="H473" i="1"/>
  <c r="AS473" i="2"/>
  <c r="G473" i="1"/>
  <c r="AR473" i="2"/>
  <c r="AQ473" i="2"/>
  <c r="AP473" i="2"/>
  <c r="D473" i="1"/>
  <c r="AO473" i="2"/>
  <c r="AN473" i="2"/>
  <c r="AM473" i="2"/>
  <c r="AJ473" i="2"/>
  <c r="AI473" i="2"/>
  <c r="BM472" i="2"/>
  <c r="AA472" i="1"/>
  <c r="BL472" i="2"/>
  <c r="BK472" i="2"/>
  <c r="BJ472" i="2"/>
  <c r="X472" i="1"/>
  <c r="BI472" i="2"/>
  <c r="BH472" i="2"/>
  <c r="BG472" i="2"/>
  <c r="U472" i="1"/>
  <c r="BF472" i="2"/>
  <c r="BE472" i="2"/>
  <c r="S472" i="1"/>
  <c r="BD472" i="2"/>
  <c r="BC472" i="2"/>
  <c r="BB472" i="2"/>
  <c r="BA472" i="2"/>
  <c r="AZ472" i="2"/>
  <c r="AY472" i="2"/>
  <c r="AX472" i="2"/>
  <c r="AW472" i="2"/>
  <c r="AV472" i="2"/>
  <c r="AU472" i="2"/>
  <c r="AT472" i="2"/>
  <c r="H472" i="1"/>
  <c r="AS472" i="2"/>
  <c r="G472" i="1"/>
  <c r="AR472" i="2"/>
  <c r="AQ472" i="2"/>
  <c r="AP472" i="2"/>
  <c r="D472" i="1"/>
  <c r="AO472" i="2"/>
  <c r="AN472" i="2"/>
  <c r="AM472" i="2"/>
  <c r="AJ472" i="2"/>
  <c r="AI472" i="2"/>
  <c r="BM471" i="2"/>
  <c r="AA471" i="1"/>
  <c r="BL471" i="2"/>
  <c r="BK471" i="2"/>
  <c r="BJ471" i="2"/>
  <c r="X471" i="1"/>
  <c r="BI471" i="2"/>
  <c r="BH471" i="2"/>
  <c r="BG471" i="2"/>
  <c r="U471" i="1"/>
  <c r="BF471" i="2"/>
  <c r="BE471" i="2"/>
  <c r="S471" i="1"/>
  <c r="BD471" i="2"/>
  <c r="BC471" i="2"/>
  <c r="BB471" i="2"/>
  <c r="BA471" i="2"/>
  <c r="AZ471" i="2"/>
  <c r="AY471" i="2"/>
  <c r="AX471" i="2"/>
  <c r="AW471" i="2"/>
  <c r="AV471" i="2"/>
  <c r="AU471" i="2"/>
  <c r="AT471" i="2"/>
  <c r="H471" i="1"/>
  <c r="AS471" i="2"/>
  <c r="G471" i="1"/>
  <c r="AR471" i="2"/>
  <c r="AQ471" i="2"/>
  <c r="AP471" i="2"/>
  <c r="D471" i="1"/>
  <c r="AO471" i="2"/>
  <c r="AN471" i="2"/>
  <c r="AM471" i="2"/>
  <c r="AJ471" i="2"/>
  <c r="AI471" i="2"/>
  <c r="BM470" i="2"/>
  <c r="AA470" i="1"/>
  <c r="BL470" i="2"/>
  <c r="BK470" i="2"/>
  <c r="BJ470" i="2"/>
  <c r="X470" i="1"/>
  <c r="BI470" i="2"/>
  <c r="BH470" i="2"/>
  <c r="BG470" i="2"/>
  <c r="U470" i="1"/>
  <c r="BF470" i="2"/>
  <c r="BE470" i="2"/>
  <c r="S470" i="1"/>
  <c r="BD470" i="2"/>
  <c r="BC470" i="2"/>
  <c r="BB470" i="2"/>
  <c r="BA470" i="2"/>
  <c r="AZ470" i="2"/>
  <c r="AY470" i="2"/>
  <c r="AX470" i="2"/>
  <c r="AW470" i="2"/>
  <c r="AV470" i="2"/>
  <c r="AU470" i="2"/>
  <c r="AT470" i="2"/>
  <c r="H470" i="1"/>
  <c r="AS470" i="2"/>
  <c r="G470" i="1"/>
  <c r="AR470" i="2"/>
  <c r="AQ470" i="2"/>
  <c r="AP470" i="2"/>
  <c r="D470" i="1"/>
  <c r="AO470" i="2"/>
  <c r="AN470" i="2"/>
  <c r="AM470" i="2"/>
  <c r="AJ470" i="2"/>
  <c r="AI470" i="2"/>
  <c r="BM469" i="2"/>
  <c r="AA469" i="1"/>
  <c r="BL469" i="2"/>
  <c r="BK469" i="2"/>
  <c r="BJ469" i="2"/>
  <c r="X469" i="1"/>
  <c r="BI469" i="2"/>
  <c r="BH469" i="2"/>
  <c r="BG469" i="2"/>
  <c r="U469" i="1"/>
  <c r="BF469" i="2"/>
  <c r="BE469" i="2"/>
  <c r="S469" i="1"/>
  <c r="BD469" i="2"/>
  <c r="BC469" i="2"/>
  <c r="BB469" i="2"/>
  <c r="BA469" i="2"/>
  <c r="AZ469" i="2"/>
  <c r="AY469" i="2"/>
  <c r="AX469" i="2"/>
  <c r="AW469" i="2"/>
  <c r="AV469" i="2"/>
  <c r="AU469" i="2"/>
  <c r="AT469" i="2"/>
  <c r="H469" i="1"/>
  <c r="AS469" i="2"/>
  <c r="G469" i="1"/>
  <c r="AR469" i="2"/>
  <c r="AQ469" i="2"/>
  <c r="AP469" i="2"/>
  <c r="D469" i="1"/>
  <c r="AO469" i="2"/>
  <c r="AN469" i="2"/>
  <c r="AM469" i="2"/>
  <c r="AJ469" i="2"/>
  <c r="AI469" i="2"/>
  <c r="BM468" i="2"/>
  <c r="AA468" i="1"/>
  <c r="BL468" i="2"/>
  <c r="BK468" i="2"/>
  <c r="BJ468" i="2"/>
  <c r="X468" i="1"/>
  <c r="BI468" i="2"/>
  <c r="BH468" i="2"/>
  <c r="BG468" i="2"/>
  <c r="U468" i="1"/>
  <c r="BF468" i="2"/>
  <c r="BE468" i="2"/>
  <c r="S468" i="1"/>
  <c r="BD468" i="2"/>
  <c r="BC468" i="2"/>
  <c r="BB468" i="2"/>
  <c r="BA468" i="2"/>
  <c r="AZ468" i="2"/>
  <c r="AY468" i="2"/>
  <c r="AX468" i="2"/>
  <c r="AW468" i="2"/>
  <c r="AV468" i="2"/>
  <c r="AU468" i="2"/>
  <c r="AT468" i="2"/>
  <c r="H468" i="1"/>
  <c r="AS468" i="2"/>
  <c r="G468" i="1"/>
  <c r="AR468" i="2"/>
  <c r="AQ468" i="2"/>
  <c r="AP468" i="2"/>
  <c r="D468" i="1"/>
  <c r="AO468" i="2"/>
  <c r="AN468" i="2"/>
  <c r="AM468" i="2"/>
  <c r="AJ468" i="2"/>
  <c r="AI468" i="2"/>
  <c r="BM467" i="2"/>
  <c r="AA467" i="1"/>
  <c r="BL467" i="2"/>
  <c r="BK467" i="2"/>
  <c r="BJ467" i="2"/>
  <c r="X467" i="1"/>
  <c r="BI467" i="2"/>
  <c r="BH467" i="2"/>
  <c r="BG467" i="2"/>
  <c r="U467" i="1"/>
  <c r="BF467" i="2"/>
  <c r="BE467" i="2"/>
  <c r="S467" i="1"/>
  <c r="BD467" i="2"/>
  <c r="BC467" i="2"/>
  <c r="BB467" i="2"/>
  <c r="BA467" i="2"/>
  <c r="AZ467" i="2"/>
  <c r="AY467" i="2"/>
  <c r="AX467" i="2"/>
  <c r="AW467" i="2"/>
  <c r="AV467" i="2"/>
  <c r="AU467" i="2"/>
  <c r="AT467" i="2"/>
  <c r="H467" i="1"/>
  <c r="AS467" i="2"/>
  <c r="G467" i="1"/>
  <c r="AR467" i="2"/>
  <c r="AQ467" i="2"/>
  <c r="AP467" i="2"/>
  <c r="D467" i="1"/>
  <c r="AO467" i="2"/>
  <c r="AN467" i="2"/>
  <c r="AM467" i="2"/>
  <c r="AJ467" i="2"/>
  <c r="AI467" i="2"/>
  <c r="BM466" i="2"/>
  <c r="AA466" i="1"/>
  <c r="BL466" i="2"/>
  <c r="BK466" i="2"/>
  <c r="BJ466" i="2"/>
  <c r="X466" i="1"/>
  <c r="BI466" i="2"/>
  <c r="BH466" i="2"/>
  <c r="BG466" i="2"/>
  <c r="U466" i="1"/>
  <c r="BF466" i="2"/>
  <c r="BE466" i="2"/>
  <c r="S466" i="1"/>
  <c r="BD466" i="2"/>
  <c r="BC466" i="2"/>
  <c r="BB466" i="2"/>
  <c r="BA466" i="2"/>
  <c r="AZ466" i="2"/>
  <c r="AY466" i="2"/>
  <c r="AX466" i="2"/>
  <c r="AW466" i="2"/>
  <c r="AV466" i="2"/>
  <c r="AU466" i="2"/>
  <c r="AT466" i="2"/>
  <c r="H466" i="1"/>
  <c r="AS466" i="2"/>
  <c r="G466" i="1"/>
  <c r="AR466" i="2"/>
  <c r="AQ466" i="2"/>
  <c r="AP466" i="2"/>
  <c r="D466" i="1"/>
  <c r="AO466" i="2"/>
  <c r="AN466" i="2"/>
  <c r="AM466" i="2"/>
  <c r="AJ466" i="2"/>
  <c r="AI466" i="2"/>
  <c r="BM465" i="2"/>
  <c r="AA465" i="1"/>
  <c r="BL465" i="2"/>
  <c r="BK465" i="2"/>
  <c r="BJ465" i="2"/>
  <c r="X465" i="1"/>
  <c r="BI465" i="2"/>
  <c r="BH465" i="2"/>
  <c r="BG465" i="2"/>
  <c r="U465" i="1"/>
  <c r="BF465" i="2"/>
  <c r="BE465" i="2"/>
  <c r="S465" i="1"/>
  <c r="BD465" i="2"/>
  <c r="BC465" i="2"/>
  <c r="BB465" i="2"/>
  <c r="BA465" i="2"/>
  <c r="AZ465" i="2"/>
  <c r="AY465" i="2"/>
  <c r="AX465" i="2"/>
  <c r="AW465" i="2"/>
  <c r="AV465" i="2"/>
  <c r="AU465" i="2"/>
  <c r="AT465" i="2"/>
  <c r="H465" i="1"/>
  <c r="AS465" i="2"/>
  <c r="G465" i="1"/>
  <c r="AR465" i="2"/>
  <c r="AQ465" i="2"/>
  <c r="AP465" i="2"/>
  <c r="D465" i="1"/>
  <c r="AO465" i="2"/>
  <c r="AN465" i="2"/>
  <c r="AM465" i="2"/>
  <c r="AJ465" i="2"/>
  <c r="AI465" i="2"/>
  <c r="BM464" i="2"/>
  <c r="AA464" i="1"/>
  <c r="BL464" i="2"/>
  <c r="BK464" i="2"/>
  <c r="BJ464" i="2"/>
  <c r="X464" i="1"/>
  <c r="BI464" i="2"/>
  <c r="BH464" i="2"/>
  <c r="BG464" i="2"/>
  <c r="U464" i="1"/>
  <c r="BF464" i="2"/>
  <c r="BE464" i="2"/>
  <c r="S464" i="1"/>
  <c r="BD464" i="2"/>
  <c r="BC464" i="2"/>
  <c r="BB464" i="2"/>
  <c r="BA464" i="2"/>
  <c r="AZ464" i="2"/>
  <c r="AY464" i="2"/>
  <c r="AX464" i="2"/>
  <c r="AW464" i="2"/>
  <c r="AV464" i="2"/>
  <c r="AU464" i="2"/>
  <c r="AT464" i="2"/>
  <c r="H464" i="1"/>
  <c r="AS464" i="2"/>
  <c r="G464" i="1"/>
  <c r="AR464" i="2"/>
  <c r="AQ464" i="2"/>
  <c r="AP464" i="2"/>
  <c r="D464" i="1"/>
  <c r="AO464" i="2"/>
  <c r="AN464" i="2"/>
  <c r="AM464" i="2"/>
  <c r="AJ464" i="2"/>
  <c r="AI464" i="2"/>
  <c r="BM463" i="2"/>
  <c r="AA463" i="1"/>
  <c r="BL463" i="2"/>
  <c r="BK463" i="2"/>
  <c r="BJ463" i="2"/>
  <c r="X463" i="1"/>
  <c r="BI463" i="2"/>
  <c r="BH463" i="2"/>
  <c r="BG463" i="2"/>
  <c r="U463" i="1"/>
  <c r="BF463" i="2"/>
  <c r="BE463" i="2"/>
  <c r="S463" i="1"/>
  <c r="BD463" i="2"/>
  <c r="BC463" i="2"/>
  <c r="BB463" i="2"/>
  <c r="BA463" i="2"/>
  <c r="AZ463" i="2"/>
  <c r="AY463" i="2"/>
  <c r="AX463" i="2"/>
  <c r="AW463" i="2"/>
  <c r="AV463" i="2"/>
  <c r="AU463" i="2"/>
  <c r="AT463" i="2"/>
  <c r="H463" i="1"/>
  <c r="AS463" i="2"/>
  <c r="G463" i="1"/>
  <c r="AR463" i="2"/>
  <c r="AQ463" i="2"/>
  <c r="AP463" i="2"/>
  <c r="D463" i="1"/>
  <c r="AO463" i="2"/>
  <c r="AN463" i="2"/>
  <c r="AM463" i="2"/>
  <c r="AJ463" i="2"/>
  <c r="AI463" i="2"/>
  <c r="BM462" i="2"/>
  <c r="AA462" i="1"/>
  <c r="BL462" i="2"/>
  <c r="BK462" i="2"/>
  <c r="BJ462" i="2"/>
  <c r="X462" i="1"/>
  <c r="BI462" i="2"/>
  <c r="BH462" i="2"/>
  <c r="BG462" i="2"/>
  <c r="U462" i="1"/>
  <c r="BF462" i="2"/>
  <c r="BE462" i="2"/>
  <c r="S462" i="1"/>
  <c r="BD462" i="2"/>
  <c r="BC462" i="2"/>
  <c r="BB462" i="2"/>
  <c r="BA462" i="2"/>
  <c r="AZ462" i="2"/>
  <c r="AY462" i="2"/>
  <c r="AX462" i="2"/>
  <c r="AW462" i="2"/>
  <c r="AV462" i="2"/>
  <c r="AU462" i="2"/>
  <c r="AT462" i="2"/>
  <c r="H462" i="1"/>
  <c r="AS462" i="2"/>
  <c r="G462" i="1"/>
  <c r="AR462" i="2"/>
  <c r="AQ462" i="2"/>
  <c r="AP462" i="2"/>
  <c r="D462" i="1"/>
  <c r="AO462" i="2"/>
  <c r="AN462" i="2"/>
  <c r="AM462" i="2"/>
  <c r="AJ462" i="2"/>
  <c r="AI462" i="2"/>
  <c r="BM461" i="2"/>
  <c r="AA461" i="1"/>
  <c r="BL461" i="2"/>
  <c r="BK461" i="2"/>
  <c r="BJ461" i="2"/>
  <c r="X461" i="1"/>
  <c r="BI461" i="2"/>
  <c r="BH461" i="2"/>
  <c r="BG461" i="2"/>
  <c r="U461" i="1"/>
  <c r="BF461" i="2"/>
  <c r="BE461" i="2"/>
  <c r="S461" i="1"/>
  <c r="BD461" i="2"/>
  <c r="BC461" i="2"/>
  <c r="BB461" i="2"/>
  <c r="BA461" i="2"/>
  <c r="AZ461" i="2"/>
  <c r="AY461" i="2"/>
  <c r="AX461" i="2"/>
  <c r="AW461" i="2"/>
  <c r="AV461" i="2"/>
  <c r="AU461" i="2"/>
  <c r="AT461" i="2"/>
  <c r="H461" i="1"/>
  <c r="AS461" i="2"/>
  <c r="G461" i="1"/>
  <c r="AR461" i="2"/>
  <c r="AQ461" i="2"/>
  <c r="AP461" i="2"/>
  <c r="D461" i="1"/>
  <c r="AO461" i="2"/>
  <c r="AN461" i="2"/>
  <c r="AM461" i="2"/>
  <c r="AJ461" i="2"/>
  <c r="AI461" i="2"/>
  <c r="BM460" i="2"/>
  <c r="AA460" i="1"/>
  <c r="BL460" i="2"/>
  <c r="BK460" i="2"/>
  <c r="BJ460" i="2"/>
  <c r="X460" i="1"/>
  <c r="BI460" i="2"/>
  <c r="BH460" i="2"/>
  <c r="BG460" i="2"/>
  <c r="U460" i="1"/>
  <c r="BF460" i="2"/>
  <c r="BE460" i="2"/>
  <c r="S460" i="1"/>
  <c r="BD460" i="2"/>
  <c r="BC460" i="2"/>
  <c r="BB460" i="2"/>
  <c r="BA460" i="2"/>
  <c r="AZ460" i="2"/>
  <c r="AY460" i="2"/>
  <c r="AX460" i="2"/>
  <c r="AW460" i="2"/>
  <c r="AV460" i="2"/>
  <c r="AU460" i="2"/>
  <c r="AT460" i="2"/>
  <c r="H460" i="1"/>
  <c r="AS460" i="2"/>
  <c r="G460" i="1"/>
  <c r="AR460" i="2"/>
  <c r="AQ460" i="2"/>
  <c r="AP460" i="2"/>
  <c r="D460" i="1"/>
  <c r="AO460" i="2"/>
  <c r="AN460" i="2"/>
  <c r="AM460" i="2"/>
  <c r="AJ460" i="2"/>
  <c r="AI460" i="2"/>
  <c r="BM459" i="2"/>
  <c r="AA459" i="1"/>
  <c r="BL459" i="2"/>
  <c r="BK459" i="2"/>
  <c r="BJ459" i="2"/>
  <c r="X459" i="1"/>
  <c r="BI459" i="2"/>
  <c r="BH459" i="2"/>
  <c r="BG459" i="2"/>
  <c r="U459" i="1"/>
  <c r="BF459" i="2"/>
  <c r="BE459" i="2"/>
  <c r="S459" i="1"/>
  <c r="BD459" i="2"/>
  <c r="BC459" i="2"/>
  <c r="BB459" i="2"/>
  <c r="BA459" i="2"/>
  <c r="AZ459" i="2"/>
  <c r="AY459" i="2"/>
  <c r="AX459" i="2"/>
  <c r="AW459" i="2"/>
  <c r="AV459" i="2"/>
  <c r="AU459" i="2"/>
  <c r="AT459" i="2"/>
  <c r="H459" i="1"/>
  <c r="AS459" i="2"/>
  <c r="G459" i="1"/>
  <c r="AR459" i="2"/>
  <c r="AQ459" i="2"/>
  <c r="AP459" i="2"/>
  <c r="D459" i="1"/>
  <c r="AO459" i="2"/>
  <c r="AN459" i="2"/>
  <c r="AM459" i="2"/>
  <c r="AJ459" i="2"/>
  <c r="AI459" i="2"/>
  <c r="BM458" i="2"/>
  <c r="AA458" i="1"/>
  <c r="BL458" i="2"/>
  <c r="BK458" i="2"/>
  <c r="BJ458" i="2"/>
  <c r="X458" i="1"/>
  <c r="BI458" i="2"/>
  <c r="BH458" i="2"/>
  <c r="BG458" i="2"/>
  <c r="U458" i="1"/>
  <c r="BF458" i="2"/>
  <c r="BE458" i="2"/>
  <c r="S458" i="1"/>
  <c r="BD458" i="2"/>
  <c r="BC458" i="2"/>
  <c r="BB458" i="2"/>
  <c r="BA458" i="2"/>
  <c r="AZ458" i="2"/>
  <c r="AY458" i="2"/>
  <c r="AX458" i="2"/>
  <c r="AW458" i="2"/>
  <c r="AV458" i="2"/>
  <c r="AU458" i="2"/>
  <c r="AT458" i="2"/>
  <c r="H458" i="1"/>
  <c r="AS458" i="2"/>
  <c r="G458" i="1"/>
  <c r="AR458" i="2"/>
  <c r="AQ458" i="2"/>
  <c r="AP458" i="2"/>
  <c r="D458" i="1"/>
  <c r="AO458" i="2"/>
  <c r="AN458" i="2"/>
  <c r="AM458" i="2"/>
  <c r="AJ458" i="2"/>
  <c r="AI458" i="2"/>
  <c r="BM457" i="2"/>
  <c r="AA457" i="1"/>
  <c r="BL457" i="2"/>
  <c r="BK457" i="2"/>
  <c r="BJ457" i="2"/>
  <c r="X457" i="1"/>
  <c r="BI457" i="2"/>
  <c r="BH457" i="2"/>
  <c r="BG457" i="2"/>
  <c r="U457" i="1"/>
  <c r="BF457" i="2"/>
  <c r="BE457" i="2"/>
  <c r="S457" i="1"/>
  <c r="BD457" i="2"/>
  <c r="BC457" i="2"/>
  <c r="BB457" i="2"/>
  <c r="BA457" i="2"/>
  <c r="AZ457" i="2"/>
  <c r="AY457" i="2"/>
  <c r="AX457" i="2"/>
  <c r="AW457" i="2"/>
  <c r="AV457" i="2"/>
  <c r="AU457" i="2"/>
  <c r="AT457" i="2"/>
  <c r="H457" i="1"/>
  <c r="AS457" i="2"/>
  <c r="G457" i="1"/>
  <c r="AR457" i="2"/>
  <c r="AQ457" i="2"/>
  <c r="AP457" i="2"/>
  <c r="D457" i="1"/>
  <c r="AO457" i="2"/>
  <c r="AN457" i="2"/>
  <c r="AM457" i="2"/>
  <c r="AJ457" i="2"/>
  <c r="AI457" i="2"/>
  <c r="BM456" i="2"/>
  <c r="AA456" i="1"/>
  <c r="BL456" i="2"/>
  <c r="BK456" i="2"/>
  <c r="BJ456" i="2"/>
  <c r="X456" i="1"/>
  <c r="BI456" i="2"/>
  <c r="BH456" i="2"/>
  <c r="BG456" i="2"/>
  <c r="U456" i="1"/>
  <c r="BF456" i="2"/>
  <c r="BE456" i="2"/>
  <c r="S456" i="1"/>
  <c r="BD456" i="2"/>
  <c r="BC456" i="2"/>
  <c r="BB456" i="2"/>
  <c r="BA456" i="2"/>
  <c r="AZ456" i="2"/>
  <c r="AY456" i="2"/>
  <c r="AX456" i="2"/>
  <c r="AW456" i="2"/>
  <c r="AV456" i="2"/>
  <c r="AU456" i="2"/>
  <c r="AT456" i="2"/>
  <c r="H456" i="1"/>
  <c r="AS456" i="2"/>
  <c r="G456" i="1"/>
  <c r="AR456" i="2"/>
  <c r="AQ456" i="2"/>
  <c r="AP456" i="2"/>
  <c r="D456" i="1"/>
  <c r="AO456" i="2"/>
  <c r="AN456" i="2"/>
  <c r="AM456" i="2"/>
  <c r="AJ456" i="2"/>
  <c r="AI456" i="2"/>
  <c r="BM455" i="2"/>
  <c r="AA455" i="1"/>
  <c r="BL455" i="2"/>
  <c r="BK455" i="2"/>
  <c r="BJ455" i="2"/>
  <c r="X455" i="1"/>
  <c r="BI455" i="2"/>
  <c r="BH455" i="2"/>
  <c r="BG455" i="2"/>
  <c r="U455" i="1"/>
  <c r="BF455" i="2"/>
  <c r="BE455" i="2"/>
  <c r="S455" i="1"/>
  <c r="BD455" i="2"/>
  <c r="BC455" i="2"/>
  <c r="BB455" i="2"/>
  <c r="BA455" i="2"/>
  <c r="AZ455" i="2"/>
  <c r="AY455" i="2"/>
  <c r="AX455" i="2"/>
  <c r="AW455" i="2"/>
  <c r="AV455" i="2"/>
  <c r="AU455" i="2"/>
  <c r="AT455" i="2"/>
  <c r="H455" i="1"/>
  <c r="AS455" i="2"/>
  <c r="G455" i="1"/>
  <c r="AR455" i="2"/>
  <c r="AQ455" i="2"/>
  <c r="AP455" i="2"/>
  <c r="D455" i="1"/>
  <c r="AO455" i="2"/>
  <c r="AN455" i="2"/>
  <c r="AM455" i="2"/>
  <c r="AJ455" i="2"/>
  <c r="AI455" i="2"/>
  <c r="BM454" i="2"/>
  <c r="AA454" i="1"/>
  <c r="BL454" i="2"/>
  <c r="BK454" i="2"/>
  <c r="BJ454" i="2"/>
  <c r="X454" i="1"/>
  <c r="BI454" i="2"/>
  <c r="BH454" i="2"/>
  <c r="BG454" i="2"/>
  <c r="U454" i="1"/>
  <c r="BF454" i="2"/>
  <c r="BE454" i="2"/>
  <c r="S454" i="1"/>
  <c r="BD454" i="2"/>
  <c r="BC454" i="2"/>
  <c r="BB454" i="2"/>
  <c r="BA454" i="2"/>
  <c r="AZ454" i="2"/>
  <c r="AY454" i="2"/>
  <c r="AX454" i="2"/>
  <c r="AW454" i="2"/>
  <c r="AV454" i="2"/>
  <c r="AU454" i="2"/>
  <c r="AT454" i="2"/>
  <c r="H454" i="1"/>
  <c r="AS454" i="2"/>
  <c r="G454" i="1"/>
  <c r="AR454" i="2"/>
  <c r="AQ454" i="2"/>
  <c r="AP454" i="2"/>
  <c r="D454" i="1"/>
  <c r="AO454" i="2"/>
  <c r="AN454" i="2"/>
  <c r="AM454" i="2"/>
  <c r="AJ454" i="2"/>
  <c r="AI454" i="2"/>
  <c r="BM453" i="2"/>
  <c r="AA453" i="1"/>
  <c r="BL453" i="2"/>
  <c r="BK453" i="2"/>
  <c r="BJ453" i="2"/>
  <c r="X453" i="1"/>
  <c r="BI453" i="2"/>
  <c r="BH453" i="2"/>
  <c r="BG453" i="2"/>
  <c r="U453" i="1"/>
  <c r="BF453" i="2"/>
  <c r="BE453" i="2"/>
  <c r="S453" i="1"/>
  <c r="BD453" i="2"/>
  <c r="BC453" i="2"/>
  <c r="BB453" i="2"/>
  <c r="BA453" i="2"/>
  <c r="AZ453" i="2"/>
  <c r="AY453" i="2"/>
  <c r="AX453" i="2"/>
  <c r="AW453" i="2"/>
  <c r="AV453" i="2"/>
  <c r="AU453" i="2"/>
  <c r="AT453" i="2"/>
  <c r="H453" i="1"/>
  <c r="AS453" i="2"/>
  <c r="G453" i="1"/>
  <c r="AR453" i="2"/>
  <c r="AQ453" i="2"/>
  <c r="AP453" i="2"/>
  <c r="D453" i="1"/>
  <c r="AO453" i="2"/>
  <c r="AN453" i="2"/>
  <c r="AM453" i="2"/>
  <c r="AJ453" i="2"/>
  <c r="AI453" i="2"/>
  <c r="BM452" i="2"/>
  <c r="AA452" i="1"/>
  <c r="BL452" i="2"/>
  <c r="BK452" i="2"/>
  <c r="BJ452" i="2"/>
  <c r="X452" i="1"/>
  <c r="BI452" i="2"/>
  <c r="BH452" i="2"/>
  <c r="BG452" i="2"/>
  <c r="U452" i="1"/>
  <c r="BF452" i="2"/>
  <c r="BE452" i="2"/>
  <c r="S452" i="1"/>
  <c r="BD452" i="2"/>
  <c r="BC452" i="2"/>
  <c r="BB452" i="2"/>
  <c r="BA452" i="2"/>
  <c r="AZ452" i="2"/>
  <c r="AY452" i="2"/>
  <c r="AX452" i="2"/>
  <c r="AW452" i="2"/>
  <c r="AV452" i="2"/>
  <c r="AU452" i="2"/>
  <c r="AT452" i="2"/>
  <c r="H452" i="1"/>
  <c r="AS452" i="2"/>
  <c r="G452" i="1"/>
  <c r="AR452" i="2"/>
  <c r="AQ452" i="2"/>
  <c r="AP452" i="2"/>
  <c r="D452" i="1"/>
  <c r="AO452" i="2"/>
  <c r="AN452" i="2"/>
  <c r="AM452" i="2"/>
  <c r="AJ452" i="2"/>
  <c r="AI452" i="2"/>
  <c r="BM451" i="2"/>
  <c r="AA451" i="1"/>
  <c r="BL451" i="2"/>
  <c r="BK451" i="2"/>
  <c r="BJ451" i="2"/>
  <c r="X451" i="1"/>
  <c r="BI451" i="2"/>
  <c r="BH451" i="2"/>
  <c r="BG451" i="2"/>
  <c r="U451" i="1"/>
  <c r="BF451" i="2"/>
  <c r="BE451" i="2"/>
  <c r="S451" i="1"/>
  <c r="BD451" i="2"/>
  <c r="BC451" i="2"/>
  <c r="BB451" i="2"/>
  <c r="BA451" i="2"/>
  <c r="AZ451" i="2"/>
  <c r="AY451" i="2"/>
  <c r="AX451" i="2"/>
  <c r="AW451" i="2"/>
  <c r="AV451" i="2"/>
  <c r="AU451" i="2"/>
  <c r="AT451" i="2"/>
  <c r="H451" i="1"/>
  <c r="AS451" i="2"/>
  <c r="G451" i="1"/>
  <c r="AR451" i="2"/>
  <c r="AQ451" i="2"/>
  <c r="AP451" i="2"/>
  <c r="D451" i="1"/>
  <c r="AO451" i="2"/>
  <c r="AN451" i="2"/>
  <c r="AM451" i="2"/>
  <c r="AJ451" i="2"/>
  <c r="AI451" i="2"/>
  <c r="BM450" i="2"/>
  <c r="AA450" i="1"/>
  <c r="BL450" i="2"/>
  <c r="BK450" i="2"/>
  <c r="BJ450" i="2"/>
  <c r="X450" i="1"/>
  <c r="BI450" i="2"/>
  <c r="BH450" i="2"/>
  <c r="BG450" i="2"/>
  <c r="U450" i="1"/>
  <c r="BF450" i="2"/>
  <c r="BE450" i="2"/>
  <c r="S450" i="1"/>
  <c r="BD450" i="2"/>
  <c r="BC450" i="2"/>
  <c r="BB450" i="2"/>
  <c r="BA450" i="2"/>
  <c r="AZ450" i="2"/>
  <c r="AY450" i="2"/>
  <c r="AX450" i="2"/>
  <c r="AW450" i="2"/>
  <c r="AV450" i="2"/>
  <c r="AU450" i="2"/>
  <c r="AT450" i="2"/>
  <c r="H450" i="1"/>
  <c r="AS450" i="2"/>
  <c r="G450" i="1"/>
  <c r="AR450" i="2"/>
  <c r="AQ450" i="2"/>
  <c r="AP450" i="2"/>
  <c r="D450" i="1"/>
  <c r="AO450" i="2"/>
  <c r="AN450" i="2"/>
  <c r="AM450" i="2"/>
  <c r="AJ450" i="2"/>
  <c r="AI450" i="2"/>
  <c r="BM449" i="2"/>
  <c r="AA449" i="1"/>
  <c r="BL449" i="2"/>
  <c r="BK449" i="2"/>
  <c r="BJ449" i="2"/>
  <c r="X449" i="1"/>
  <c r="BI449" i="2"/>
  <c r="BH449" i="2"/>
  <c r="BG449" i="2"/>
  <c r="U449" i="1"/>
  <c r="BF449" i="2"/>
  <c r="BE449" i="2"/>
  <c r="S449" i="1"/>
  <c r="BD449" i="2"/>
  <c r="BC449" i="2"/>
  <c r="BB449" i="2"/>
  <c r="BA449" i="2"/>
  <c r="AZ449" i="2"/>
  <c r="AY449" i="2"/>
  <c r="AX449" i="2"/>
  <c r="AW449" i="2"/>
  <c r="AV449" i="2"/>
  <c r="AU449" i="2"/>
  <c r="AT449" i="2"/>
  <c r="H449" i="1"/>
  <c r="AS449" i="2"/>
  <c r="G449" i="1"/>
  <c r="AR449" i="2"/>
  <c r="AQ449" i="2"/>
  <c r="AP449" i="2"/>
  <c r="D449" i="1"/>
  <c r="AO449" i="2"/>
  <c r="AN449" i="2"/>
  <c r="AM449" i="2"/>
  <c r="AJ449" i="2"/>
  <c r="AI449" i="2"/>
  <c r="BM448" i="2"/>
  <c r="AA448" i="1"/>
  <c r="BL448" i="2"/>
  <c r="BK448" i="2"/>
  <c r="BJ448" i="2"/>
  <c r="X448" i="1"/>
  <c r="BI448" i="2"/>
  <c r="BH448" i="2"/>
  <c r="BG448" i="2"/>
  <c r="U448" i="1"/>
  <c r="BF448" i="2"/>
  <c r="BE448" i="2"/>
  <c r="S448" i="1"/>
  <c r="BD448" i="2"/>
  <c r="BC448" i="2"/>
  <c r="BB448" i="2"/>
  <c r="BA448" i="2"/>
  <c r="AZ448" i="2"/>
  <c r="AY448" i="2"/>
  <c r="AX448" i="2"/>
  <c r="AW448" i="2"/>
  <c r="AV448" i="2"/>
  <c r="AU448" i="2"/>
  <c r="AT448" i="2"/>
  <c r="H448" i="1"/>
  <c r="AS448" i="2"/>
  <c r="G448" i="1"/>
  <c r="AR448" i="2"/>
  <c r="AQ448" i="2"/>
  <c r="AP448" i="2"/>
  <c r="D448" i="1"/>
  <c r="AO448" i="2"/>
  <c r="AN448" i="2"/>
  <c r="AM448" i="2"/>
  <c r="AJ448" i="2"/>
  <c r="AI448" i="2"/>
  <c r="BM447" i="2"/>
  <c r="AA447" i="1"/>
  <c r="BL447" i="2"/>
  <c r="BK447" i="2"/>
  <c r="BJ447" i="2"/>
  <c r="X447" i="1"/>
  <c r="BI447" i="2"/>
  <c r="BH447" i="2"/>
  <c r="BG447" i="2"/>
  <c r="U447" i="1"/>
  <c r="BF447" i="2"/>
  <c r="BE447" i="2"/>
  <c r="S447" i="1"/>
  <c r="BD447" i="2"/>
  <c r="BC447" i="2"/>
  <c r="BB447" i="2"/>
  <c r="BA447" i="2"/>
  <c r="AZ447" i="2"/>
  <c r="AY447" i="2"/>
  <c r="AX447" i="2"/>
  <c r="AW447" i="2"/>
  <c r="AV447" i="2"/>
  <c r="AU447" i="2"/>
  <c r="AT447" i="2"/>
  <c r="H447" i="1"/>
  <c r="AS447" i="2"/>
  <c r="G447" i="1"/>
  <c r="AR447" i="2"/>
  <c r="AQ447" i="2"/>
  <c r="AP447" i="2"/>
  <c r="D447" i="1"/>
  <c r="AO447" i="2"/>
  <c r="AN447" i="2"/>
  <c r="AM447" i="2"/>
  <c r="AJ447" i="2"/>
  <c r="AI447" i="2"/>
  <c r="BM446" i="2"/>
  <c r="AA446" i="1"/>
  <c r="BL446" i="2"/>
  <c r="BK446" i="2"/>
  <c r="BJ446" i="2"/>
  <c r="X446" i="1"/>
  <c r="BI446" i="2"/>
  <c r="BH446" i="2"/>
  <c r="BG446" i="2"/>
  <c r="U446" i="1"/>
  <c r="BF446" i="2"/>
  <c r="BE446" i="2"/>
  <c r="S446" i="1"/>
  <c r="BD446" i="2"/>
  <c r="BC446" i="2"/>
  <c r="BB446" i="2"/>
  <c r="BA446" i="2"/>
  <c r="AZ446" i="2"/>
  <c r="AY446" i="2"/>
  <c r="AX446" i="2"/>
  <c r="AW446" i="2"/>
  <c r="AV446" i="2"/>
  <c r="AU446" i="2"/>
  <c r="AT446" i="2"/>
  <c r="H446" i="1"/>
  <c r="AS446" i="2"/>
  <c r="G446" i="1"/>
  <c r="AR446" i="2"/>
  <c r="AQ446" i="2"/>
  <c r="AP446" i="2"/>
  <c r="D446" i="1"/>
  <c r="AO446" i="2"/>
  <c r="AN446" i="2"/>
  <c r="AM446" i="2"/>
  <c r="AJ446" i="2"/>
  <c r="AI446" i="2"/>
  <c r="BM445" i="2"/>
  <c r="AA445" i="1"/>
  <c r="BL445" i="2"/>
  <c r="BK445" i="2"/>
  <c r="BJ445" i="2"/>
  <c r="X445" i="1"/>
  <c r="BI445" i="2"/>
  <c r="BH445" i="2"/>
  <c r="BG445" i="2"/>
  <c r="U445" i="1"/>
  <c r="BF445" i="2"/>
  <c r="BE445" i="2"/>
  <c r="S445" i="1"/>
  <c r="BD445" i="2"/>
  <c r="BC445" i="2"/>
  <c r="BB445" i="2"/>
  <c r="BA445" i="2"/>
  <c r="AZ445" i="2"/>
  <c r="AY445" i="2"/>
  <c r="AX445" i="2"/>
  <c r="AW445" i="2"/>
  <c r="AV445" i="2"/>
  <c r="AU445" i="2"/>
  <c r="AT445" i="2"/>
  <c r="H445" i="1"/>
  <c r="AS445" i="2"/>
  <c r="G445" i="1"/>
  <c r="AR445" i="2"/>
  <c r="AQ445" i="2"/>
  <c r="AP445" i="2"/>
  <c r="D445" i="1"/>
  <c r="AO445" i="2"/>
  <c r="AN445" i="2"/>
  <c r="AM445" i="2"/>
  <c r="AJ445" i="2"/>
  <c r="AI445" i="2"/>
  <c r="BM444" i="2"/>
  <c r="AA444" i="1"/>
  <c r="BL444" i="2"/>
  <c r="BK444" i="2"/>
  <c r="BJ444" i="2"/>
  <c r="X444" i="1"/>
  <c r="BI444" i="2"/>
  <c r="BH444" i="2"/>
  <c r="BG444" i="2"/>
  <c r="U444" i="1"/>
  <c r="BF444" i="2"/>
  <c r="BE444" i="2"/>
  <c r="S444" i="1"/>
  <c r="BD444" i="2"/>
  <c r="BC444" i="2"/>
  <c r="BB444" i="2"/>
  <c r="BA444" i="2"/>
  <c r="AZ444" i="2"/>
  <c r="AY444" i="2"/>
  <c r="AX444" i="2"/>
  <c r="AW444" i="2"/>
  <c r="AV444" i="2"/>
  <c r="AU444" i="2"/>
  <c r="AT444" i="2"/>
  <c r="H444" i="1"/>
  <c r="AS444" i="2"/>
  <c r="G444" i="1"/>
  <c r="AR444" i="2"/>
  <c r="AQ444" i="2"/>
  <c r="AP444" i="2"/>
  <c r="D444" i="1"/>
  <c r="AO444" i="2"/>
  <c r="AN444" i="2"/>
  <c r="AM444" i="2"/>
  <c r="AJ444" i="2"/>
  <c r="AI444" i="2"/>
  <c r="BM443" i="2"/>
  <c r="AA443" i="1"/>
  <c r="BL443" i="2"/>
  <c r="BK443" i="2"/>
  <c r="BJ443" i="2"/>
  <c r="X443" i="1"/>
  <c r="BI443" i="2"/>
  <c r="BH443" i="2"/>
  <c r="BG443" i="2"/>
  <c r="U443" i="1"/>
  <c r="BF443" i="2"/>
  <c r="BE443" i="2"/>
  <c r="S443" i="1"/>
  <c r="BD443" i="2"/>
  <c r="BC443" i="2"/>
  <c r="BB443" i="2"/>
  <c r="BA443" i="2"/>
  <c r="AZ443" i="2"/>
  <c r="AY443" i="2"/>
  <c r="AX443" i="2"/>
  <c r="AW443" i="2"/>
  <c r="AV443" i="2"/>
  <c r="AU443" i="2"/>
  <c r="AT443" i="2"/>
  <c r="H443" i="1"/>
  <c r="AS443" i="2"/>
  <c r="G443" i="1"/>
  <c r="AR443" i="2"/>
  <c r="AQ443" i="2"/>
  <c r="AP443" i="2"/>
  <c r="D443" i="1"/>
  <c r="AO443" i="2"/>
  <c r="AN443" i="2"/>
  <c r="AM443" i="2"/>
  <c r="AJ443" i="2"/>
  <c r="AI443" i="2"/>
  <c r="BM442" i="2"/>
  <c r="AA442" i="1"/>
  <c r="BL442" i="2"/>
  <c r="BK442" i="2"/>
  <c r="BJ442" i="2"/>
  <c r="X442" i="1"/>
  <c r="BI442" i="2"/>
  <c r="BH442" i="2"/>
  <c r="BG442" i="2"/>
  <c r="U442" i="1"/>
  <c r="BF442" i="2"/>
  <c r="BE442" i="2"/>
  <c r="S442" i="1"/>
  <c r="BD442" i="2"/>
  <c r="BC442" i="2"/>
  <c r="BB442" i="2"/>
  <c r="BA442" i="2"/>
  <c r="AZ442" i="2"/>
  <c r="AY442" i="2"/>
  <c r="AX442" i="2"/>
  <c r="AW442" i="2"/>
  <c r="AV442" i="2"/>
  <c r="AU442" i="2"/>
  <c r="AT442" i="2"/>
  <c r="H442" i="1"/>
  <c r="AS442" i="2"/>
  <c r="G442" i="1"/>
  <c r="AR442" i="2"/>
  <c r="AQ442" i="2"/>
  <c r="AP442" i="2"/>
  <c r="D442" i="1"/>
  <c r="AO442" i="2"/>
  <c r="AN442" i="2"/>
  <c r="AM442" i="2"/>
  <c r="AJ442" i="2"/>
  <c r="AI442" i="2"/>
  <c r="BM441" i="2"/>
  <c r="AA441" i="1"/>
  <c r="BL441" i="2"/>
  <c r="BK441" i="2"/>
  <c r="BJ441" i="2"/>
  <c r="X441" i="1"/>
  <c r="BI441" i="2"/>
  <c r="BH441" i="2"/>
  <c r="BG441" i="2"/>
  <c r="U441" i="1"/>
  <c r="BF441" i="2"/>
  <c r="BE441" i="2"/>
  <c r="S441" i="1"/>
  <c r="BD441" i="2"/>
  <c r="BC441" i="2"/>
  <c r="BB441" i="2"/>
  <c r="BA441" i="2"/>
  <c r="AZ441" i="2"/>
  <c r="AY441" i="2"/>
  <c r="AX441" i="2"/>
  <c r="AW441" i="2"/>
  <c r="AV441" i="2"/>
  <c r="AU441" i="2"/>
  <c r="AT441" i="2"/>
  <c r="H441" i="1"/>
  <c r="AS441" i="2"/>
  <c r="G441" i="1"/>
  <c r="AR441" i="2"/>
  <c r="AQ441" i="2"/>
  <c r="AP441" i="2"/>
  <c r="D441" i="1"/>
  <c r="AO441" i="2"/>
  <c r="AN441" i="2"/>
  <c r="AM441" i="2"/>
  <c r="AJ441" i="2"/>
  <c r="AI441" i="2"/>
  <c r="BM440" i="2"/>
  <c r="AA440" i="1"/>
  <c r="BL440" i="2"/>
  <c r="BK440" i="2"/>
  <c r="BJ440" i="2"/>
  <c r="X440" i="1"/>
  <c r="BI440" i="2"/>
  <c r="BH440" i="2"/>
  <c r="BG440" i="2"/>
  <c r="U440" i="1"/>
  <c r="BF440" i="2"/>
  <c r="BE440" i="2"/>
  <c r="S440" i="1"/>
  <c r="BD440" i="2"/>
  <c r="BC440" i="2"/>
  <c r="BB440" i="2"/>
  <c r="BA440" i="2"/>
  <c r="AZ440" i="2"/>
  <c r="AY440" i="2"/>
  <c r="AX440" i="2"/>
  <c r="AW440" i="2"/>
  <c r="AV440" i="2"/>
  <c r="AU440" i="2"/>
  <c r="AT440" i="2"/>
  <c r="H440" i="1"/>
  <c r="AS440" i="2"/>
  <c r="G440" i="1"/>
  <c r="AR440" i="2"/>
  <c r="AQ440" i="2"/>
  <c r="AP440" i="2"/>
  <c r="D440" i="1"/>
  <c r="AO440" i="2"/>
  <c r="AN440" i="2"/>
  <c r="AM440" i="2"/>
  <c r="AJ440" i="2"/>
  <c r="AI440" i="2"/>
  <c r="BM439" i="2"/>
  <c r="AA439" i="1"/>
  <c r="BL439" i="2"/>
  <c r="BK439" i="2"/>
  <c r="BJ439" i="2"/>
  <c r="X439" i="1"/>
  <c r="BI439" i="2"/>
  <c r="BH439" i="2"/>
  <c r="BG439" i="2"/>
  <c r="U439" i="1"/>
  <c r="BF439" i="2"/>
  <c r="BE439" i="2"/>
  <c r="S439" i="1"/>
  <c r="BD439" i="2"/>
  <c r="BC439" i="2"/>
  <c r="BB439" i="2"/>
  <c r="BA439" i="2"/>
  <c r="AZ439" i="2"/>
  <c r="AY439" i="2"/>
  <c r="AX439" i="2"/>
  <c r="AW439" i="2"/>
  <c r="AV439" i="2"/>
  <c r="AU439" i="2"/>
  <c r="AT439" i="2"/>
  <c r="H439" i="1"/>
  <c r="AS439" i="2"/>
  <c r="G439" i="1"/>
  <c r="AR439" i="2"/>
  <c r="AQ439" i="2"/>
  <c r="AP439" i="2"/>
  <c r="D439" i="1"/>
  <c r="AO439" i="2"/>
  <c r="AN439" i="2"/>
  <c r="AM439" i="2"/>
  <c r="AJ439" i="2"/>
  <c r="AI439" i="2"/>
  <c r="BM438" i="2"/>
  <c r="AA438" i="1"/>
  <c r="BL438" i="2"/>
  <c r="BK438" i="2"/>
  <c r="BJ438" i="2"/>
  <c r="X438" i="1"/>
  <c r="BI438" i="2"/>
  <c r="BH438" i="2"/>
  <c r="BG438" i="2"/>
  <c r="U438" i="1"/>
  <c r="BF438" i="2"/>
  <c r="BE438" i="2"/>
  <c r="S438" i="1"/>
  <c r="BD438" i="2"/>
  <c r="BC438" i="2"/>
  <c r="BB438" i="2"/>
  <c r="BA438" i="2"/>
  <c r="AZ438" i="2"/>
  <c r="AY438" i="2"/>
  <c r="AX438" i="2"/>
  <c r="AW438" i="2"/>
  <c r="AV438" i="2"/>
  <c r="AU438" i="2"/>
  <c r="AT438" i="2"/>
  <c r="H438" i="1"/>
  <c r="AS438" i="2"/>
  <c r="G438" i="1"/>
  <c r="AR438" i="2"/>
  <c r="AQ438" i="2"/>
  <c r="AP438" i="2"/>
  <c r="D438" i="1"/>
  <c r="AO438" i="2"/>
  <c r="AN438" i="2"/>
  <c r="AM438" i="2"/>
  <c r="AJ438" i="2"/>
  <c r="AI438" i="2"/>
  <c r="BM437" i="2"/>
  <c r="AA437" i="1"/>
  <c r="BL437" i="2"/>
  <c r="BK437" i="2"/>
  <c r="BJ437" i="2"/>
  <c r="X437" i="1"/>
  <c r="BI437" i="2"/>
  <c r="BH437" i="2"/>
  <c r="BG437" i="2"/>
  <c r="U437" i="1"/>
  <c r="BF437" i="2"/>
  <c r="BE437" i="2"/>
  <c r="S437" i="1"/>
  <c r="BD437" i="2"/>
  <c r="BC437" i="2"/>
  <c r="BB437" i="2"/>
  <c r="BA437" i="2"/>
  <c r="AZ437" i="2"/>
  <c r="AY437" i="2"/>
  <c r="AX437" i="2"/>
  <c r="AW437" i="2"/>
  <c r="AV437" i="2"/>
  <c r="AU437" i="2"/>
  <c r="AT437" i="2"/>
  <c r="H437" i="1"/>
  <c r="AS437" i="2"/>
  <c r="G437" i="1"/>
  <c r="AR437" i="2"/>
  <c r="AQ437" i="2"/>
  <c r="AP437" i="2"/>
  <c r="D437" i="1"/>
  <c r="AO437" i="2"/>
  <c r="AN437" i="2"/>
  <c r="AM437" i="2"/>
  <c r="AJ437" i="2"/>
  <c r="AI437" i="2"/>
  <c r="BM436" i="2"/>
  <c r="AA436" i="1"/>
  <c r="BL436" i="2"/>
  <c r="BK436" i="2"/>
  <c r="BJ436" i="2"/>
  <c r="X436" i="1"/>
  <c r="BI436" i="2"/>
  <c r="BH436" i="2"/>
  <c r="BG436" i="2"/>
  <c r="U436" i="1"/>
  <c r="BF436" i="2"/>
  <c r="BE436" i="2"/>
  <c r="S436" i="1"/>
  <c r="BD436" i="2"/>
  <c r="BC436" i="2"/>
  <c r="BB436" i="2"/>
  <c r="BA436" i="2"/>
  <c r="AZ436" i="2"/>
  <c r="AY436" i="2"/>
  <c r="AX436" i="2"/>
  <c r="AW436" i="2"/>
  <c r="AV436" i="2"/>
  <c r="AU436" i="2"/>
  <c r="AT436" i="2"/>
  <c r="H436" i="1"/>
  <c r="AS436" i="2"/>
  <c r="G436" i="1"/>
  <c r="AR436" i="2"/>
  <c r="AQ436" i="2"/>
  <c r="AP436" i="2"/>
  <c r="D436" i="1"/>
  <c r="AO436" i="2"/>
  <c r="AN436" i="2"/>
  <c r="AM436" i="2"/>
  <c r="AJ436" i="2"/>
  <c r="AI436" i="2"/>
  <c r="BM435" i="2"/>
  <c r="AA435" i="1"/>
  <c r="BL435" i="2"/>
  <c r="BK435" i="2"/>
  <c r="BJ435" i="2"/>
  <c r="X435" i="1"/>
  <c r="BI435" i="2"/>
  <c r="BH435" i="2"/>
  <c r="BG435" i="2"/>
  <c r="U435" i="1"/>
  <c r="BF435" i="2"/>
  <c r="BE435" i="2"/>
  <c r="S435" i="1"/>
  <c r="BD435" i="2"/>
  <c r="BC435" i="2"/>
  <c r="BB435" i="2"/>
  <c r="BA435" i="2"/>
  <c r="AZ435" i="2"/>
  <c r="AY435" i="2"/>
  <c r="AX435" i="2"/>
  <c r="AW435" i="2"/>
  <c r="AV435" i="2"/>
  <c r="AU435" i="2"/>
  <c r="AT435" i="2"/>
  <c r="H435" i="1"/>
  <c r="AS435" i="2"/>
  <c r="G435" i="1"/>
  <c r="AR435" i="2"/>
  <c r="AQ435" i="2"/>
  <c r="AP435" i="2"/>
  <c r="D435" i="1"/>
  <c r="AO435" i="2"/>
  <c r="AN435" i="2"/>
  <c r="AM435" i="2"/>
  <c r="AJ435" i="2"/>
  <c r="AI435" i="2"/>
  <c r="BM434" i="2"/>
  <c r="AA434" i="1"/>
  <c r="BL434" i="2"/>
  <c r="BK434" i="2"/>
  <c r="BJ434" i="2"/>
  <c r="X434" i="1"/>
  <c r="BI434" i="2"/>
  <c r="BH434" i="2"/>
  <c r="BG434" i="2"/>
  <c r="U434" i="1"/>
  <c r="BF434" i="2"/>
  <c r="BE434" i="2"/>
  <c r="S434" i="1"/>
  <c r="BD434" i="2"/>
  <c r="BC434" i="2"/>
  <c r="BB434" i="2"/>
  <c r="BA434" i="2"/>
  <c r="AZ434" i="2"/>
  <c r="AY434" i="2"/>
  <c r="AX434" i="2"/>
  <c r="AW434" i="2"/>
  <c r="AV434" i="2"/>
  <c r="AU434" i="2"/>
  <c r="AT434" i="2"/>
  <c r="H434" i="1"/>
  <c r="AS434" i="2"/>
  <c r="G434" i="1"/>
  <c r="AR434" i="2"/>
  <c r="AQ434" i="2"/>
  <c r="AP434" i="2"/>
  <c r="D434" i="1"/>
  <c r="AO434" i="2"/>
  <c r="AN434" i="2"/>
  <c r="AM434" i="2"/>
  <c r="AJ434" i="2"/>
  <c r="AI434" i="2"/>
  <c r="BM433" i="2"/>
  <c r="AA433" i="1"/>
  <c r="BL433" i="2"/>
  <c r="BK433" i="2"/>
  <c r="BJ433" i="2"/>
  <c r="X433" i="1"/>
  <c r="BI433" i="2"/>
  <c r="BH433" i="2"/>
  <c r="BG433" i="2"/>
  <c r="U433" i="1"/>
  <c r="BF433" i="2"/>
  <c r="BE433" i="2"/>
  <c r="S433" i="1"/>
  <c r="BD433" i="2"/>
  <c r="BC433" i="2"/>
  <c r="BB433" i="2"/>
  <c r="BA433" i="2"/>
  <c r="AZ433" i="2"/>
  <c r="AY433" i="2"/>
  <c r="AX433" i="2"/>
  <c r="AW433" i="2"/>
  <c r="AV433" i="2"/>
  <c r="AU433" i="2"/>
  <c r="AT433" i="2"/>
  <c r="H433" i="1"/>
  <c r="AS433" i="2"/>
  <c r="G433" i="1"/>
  <c r="AR433" i="2"/>
  <c r="AQ433" i="2"/>
  <c r="AP433" i="2"/>
  <c r="D433" i="1"/>
  <c r="AO433" i="2"/>
  <c r="AN433" i="2"/>
  <c r="AM433" i="2"/>
  <c r="AJ433" i="2"/>
  <c r="AI433" i="2"/>
  <c r="BM432" i="2"/>
  <c r="AA432" i="1"/>
  <c r="BL432" i="2"/>
  <c r="BK432" i="2"/>
  <c r="BJ432" i="2"/>
  <c r="X432" i="1"/>
  <c r="BI432" i="2"/>
  <c r="BH432" i="2"/>
  <c r="BG432" i="2"/>
  <c r="U432" i="1"/>
  <c r="BF432" i="2"/>
  <c r="BE432" i="2"/>
  <c r="S432" i="1"/>
  <c r="BD432" i="2"/>
  <c r="BC432" i="2"/>
  <c r="BB432" i="2"/>
  <c r="BA432" i="2"/>
  <c r="AZ432" i="2"/>
  <c r="AY432" i="2"/>
  <c r="AX432" i="2"/>
  <c r="AW432" i="2"/>
  <c r="AV432" i="2"/>
  <c r="AU432" i="2"/>
  <c r="AT432" i="2"/>
  <c r="H432" i="1"/>
  <c r="AS432" i="2"/>
  <c r="G432" i="1"/>
  <c r="AR432" i="2"/>
  <c r="AQ432" i="2"/>
  <c r="AP432" i="2"/>
  <c r="D432" i="1"/>
  <c r="AO432" i="2"/>
  <c r="AN432" i="2"/>
  <c r="AM432" i="2"/>
  <c r="AJ432" i="2"/>
  <c r="AI432" i="2"/>
  <c r="BM431" i="2"/>
  <c r="AA431" i="1"/>
  <c r="BL431" i="2"/>
  <c r="BK431" i="2"/>
  <c r="BJ431" i="2"/>
  <c r="X431" i="1"/>
  <c r="BI431" i="2"/>
  <c r="BH431" i="2"/>
  <c r="BG431" i="2"/>
  <c r="U431" i="1"/>
  <c r="BF431" i="2"/>
  <c r="BE431" i="2"/>
  <c r="S431" i="1"/>
  <c r="BD431" i="2"/>
  <c r="BC431" i="2"/>
  <c r="BB431" i="2"/>
  <c r="BA431" i="2"/>
  <c r="AZ431" i="2"/>
  <c r="AY431" i="2"/>
  <c r="AX431" i="2"/>
  <c r="AW431" i="2"/>
  <c r="AV431" i="2"/>
  <c r="AU431" i="2"/>
  <c r="AT431" i="2"/>
  <c r="H431" i="1"/>
  <c r="AS431" i="2"/>
  <c r="G431" i="1"/>
  <c r="AR431" i="2"/>
  <c r="AQ431" i="2"/>
  <c r="AP431" i="2"/>
  <c r="D431" i="1"/>
  <c r="AO431" i="2"/>
  <c r="AN431" i="2"/>
  <c r="AM431" i="2"/>
  <c r="AJ431" i="2"/>
  <c r="AI431" i="2"/>
  <c r="BM430" i="2"/>
  <c r="AA430" i="1"/>
  <c r="BL430" i="2"/>
  <c r="BK430" i="2"/>
  <c r="BJ430" i="2"/>
  <c r="X430" i="1"/>
  <c r="BI430" i="2"/>
  <c r="BH430" i="2"/>
  <c r="BG430" i="2"/>
  <c r="U430" i="1"/>
  <c r="BF430" i="2"/>
  <c r="BE430" i="2"/>
  <c r="S430" i="1"/>
  <c r="BD430" i="2"/>
  <c r="BC430" i="2"/>
  <c r="BB430" i="2"/>
  <c r="BA430" i="2"/>
  <c r="AZ430" i="2"/>
  <c r="AY430" i="2"/>
  <c r="AX430" i="2"/>
  <c r="AW430" i="2"/>
  <c r="AV430" i="2"/>
  <c r="AU430" i="2"/>
  <c r="AT430" i="2"/>
  <c r="H430" i="1"/>
  <c r="AS430" i="2"/>
  <c r="G430" i="1"/>
  <c r="AR430" i="2"/>
  <c r="AQ430" i="2"/>
  <c r="AP430" i="2"/>
  <c r="D430" i="1"/>
  <c r="AO430" i="2"/>
  <c r="AN430" i="2"/>
  <c r="AM430" i="2"/>
  <c r="AJ430" i="2"/>
  <c r="AI430" i="2"/>
  <c r="BM429" i="2"/>
  <c r="AA429" i="1"/>
  <c r="BL429" i="2"/>
  <c r="BK429" i="2"/>
  <c r="BJ429" i="2"/>
  <c r="X429" i="1"/>
  <c r="BI429" i="2"/>
  <c r="BH429" i="2"/>
  <c r="BG429" i="2"/>
  <c r="U429" i="1"/>
  <c r="BF429" i="2"/>
  <c r="BE429" i="2"/>
  <c r="S429" i="1"/>
  <c r="BD429" i="2"/>
  <c r="BC429" i="2"/>
  <c r="BB429" i="2"/>
  <c r="BA429" i="2"/>
  <c r="AZ429" i="2"/>
  <c r="AY429" i="2"/>
  <c r="AX429" i="2"/>
  <c r="AW429" i="2"/>
  <c r="AV429" i="2"/>
  <c r="AU429" i="2"/>
  <c r="AT429" i="2"/>
  <c r="H429" i="1"/>
  <c r="AS429" i="2"/>
  <c r="G429" i="1"/>
  <c r="AR429" i="2"/>
  <c r="AQ429" i="2"/>
  <c r="AP429" i="2"/>
  <c r="D429" i="1"/>
  <c r="AO429" i="2"/>
  <c r="AN429" i="2"/>
  <c r="AM429" i="2"/>
  <c r="AJ429" i="2"/>
  <c r="AI429" i="2"/>
  <c r="BM428" i="2"/>
  <c r="AA428" i="1"/>
  <c r="BL428" i="2"/>
  <c r="BK428" i="2"/>
  <c r="BJ428" i="2"/>
  <c r="X428" i="1"/>
  <c r="BI428" i="2"/>
  <c r="BH428" i="2"/>
  <c r="BG428" i="2"/>
  <c r="U428" i="1"/>
  <c r="BF428" i="2"/>
  <c r="BE428" i="2"/>
  <c r="S428" i="1"/>
  <c r="BD428" i="2"/>
  <c r="BC428" i="2"/>
  <c r="BB428" i="2"/>
  <c r="BA428" i="2"/>
  <c r="AZ428" i="2"/>
  <c r="AY428" i="2"/>
  <c r="AX428" i="2"/>
  <c r="AW428" i="2"/>
  <c r="AV428" i="2"/>
  <c r="AU428" i="2"/>
  <c r="AT428" i="2"/>
  <c r="H428" i="1"/>
  <c r="AS428" i="2"/>
  <c r="G428" i="1"/>
  <c r="AR428" i="2"/>
  <c r="AQ428" i="2"/>
  <c r="AP428" i="2"/>
  <c r="D428" i="1"/>
  <c r="AO428" i="2"/>
  <c r="AN428" i="2"/>
  <c r="AM428" i="2"/>
  <c r="AJ428" i="2"/>
  <c r="AI428" i="2"/>
  <c r="BM427" i="2"/>
  <c r="AA427" i="1"/>
  <c r="BL427" i="2"/>
  <c r="BK427" i="2"/>
  <c r="BJ427" i="2"/>
  <c r="X427" i="1"/>
  <c r="BI427" i="2"/>
  <c r="BH427" i="2"/>
  <c r="BG427" i="2"/>
  <c r="U427" i="1"/>
  <c r="BF427" i="2"/>
  <c r="BE427" i="2"/>
  <c r="S427" i="1"/>
  <c r="BD427" i="2"/>
  <c r="BC427" i="2"/>
  <c r="BB427" i="2"/>
  <c r="BA427" i="2"/>
  <c r="AZ427" i="2"/>
  <c r="AY427" i="2"/>
  <c r="AX427" i="2"/>
  <c r="AW427" i="2"/>
  <c r="AV427" i="2"/>
  <c r="AU427" i="2"/>
  <c r="AT427" i="2"/>
  <c r="H427" i="1"/>
  <c r="AS427" i="2"/>
  <c r="G427" i="1"/>
  <c r="AR427" i="2"/>
  <c r="AQ427" i="2"/>
  <c r="AP427" i="2"/>
  <c r="D427" i="1"/>
  <c r="AO427" i="2"/>
  <c r="AN427" i="2"/>
  <c r="AM427" i="2"/>
  <c r="AJ427" i="2"/>
  <c r="AI427" i="2"/>
  <c r="BM426" i="2"/>
  <c r="AA426" i="1"/>
  <c r="BL426" i="2"/>
  <c r="BK426" i="2"/>
  <c r="BJ426" i="2"/>
  <c r="X426" i="1"/>
  <c r="BI426" i="2"/>
  <c r="BH426" i="2"/>
  <c r="BG426" i="2"/>
  <c r="U426" i="1"/>
  <c r="BF426" i="2"/>
  <c r="BE426" i="2"/>
  <c r="S426" i="1"/>
  <c r="BD426" i="2"/>
  <c r="BC426" i="2"/>
  <c r="BB426" i="2"/>
  <c r="BA426" i="2"/>
  <c r="AZ426" i="2"/>
  <c r="AY426" i="2"/>
  <c r="AX426" i="2"/>
  <c r="AW426" i="2"/>
  <c r="AV426" i="2"/>
  <c r="AU426" i="2"/>
  <c r="AT426" i="2"/>
  <c r="H426" i="1"/>
  <c r="AS426" i="2"/>
  <c r="G426" i="1"/>
  <c r="AR426" i="2"/>
  <c r="AQ426" i="2"/>
  <c r="AP426" i="2"/>
  <c r="D426" i="1"/>
  <c r="AO426" i="2"/>
  <c r="AN426" i="2"/>
  <c r="AM426" i="2"/>
  <c r="AJ426" i="2"/>
  <c r="AI426" i="2"/>
  <c r="BM425" i="2"/>
  <c r="AA425" i="1"/>
  <c r="BL425" i="2"/>
  <c r="BK425" i="2"/>
  <c r="BJ425" i="2"/>
  <c r="X425" i="1"/>
  <c r="BI425" i="2"/>
  <c r="BH425" i="2"/>
  <c r="BG425" i="2"/>
  <c r="U425" i="1"/>
  <c r="BF425" i="2"/>
  <c r="BE425" i="2"/>
  <c r="S425" i="1"/>
  <c r="BD425" i="2"/>
  <c r="BC425" i="2"/>
  <c r="BB425" i="2"/>
  <c r="BA425" i="2"/>
  <c r="AZ425" i="2"/>
  <c r="AY425" i="2"/>
  <c r="AX425" i="2"/>
  <c r="AW425" i="2"/>
  <c r="AV425" i="2"/>
  <c r="AU425" i="2"/>
  <c r="AT425" i="2"/>
  <c r="H425" i="1"/>
  <c r="AS425" i="2"/>
  <c r="G425" i="1"/>
  <c r="AR425" i="2"/>
  <c r="AQ425" i="2"/>
  <c r="AP425" i="2"/>
  <c r="D425" i="1"/>
  <c r="AO425" i="2"/>
  <c r="AN425" i="2"/>
  <c r="AM425" i="2"/>
  <c r="AJ425" i="2"/>
  <c r="AI425" i="2"/>
  <c r="BM424" i="2"/>
  <c r="AA424" i="1"/>
  <c r="BL424" i="2"/>
  <c r="BK424" i="2"/>
  <c r="BJ424" i="2"/>
  <c r="X424" i="1"/>
  <c r="BI424" i="2"/>
  <c r="BH424" i="2"/>
  <c r="BG424" i="2"/>
  <c r="U424" i="1"/>
  <c r="BF424" i="2"/>
  <c r="BE424" i="2"/>
  <c r="S424" i="1"/>
  <c r="BD424" i="2"/>
  <c r="BC424" i="2"/>
  <c r="BB424" i="2"/>
  <c r="BA424" i="2"/>
  <c r="AZ424" i="2"/>
  <c r="AY424" i="2"/>
  <c r="AX424" i="2"/>
  <c r="AW424" i="2"/>
  <c r="AV424" i="2"/>
  <c r="AU424" i="2"/>
  <c r="AT424" i="2"/>
  <c r="H424" i="1"/>
  <c r="AS424" i="2"/>
  <c r="G424" i="1"/>
  <c r="AR424" i="2"/>
  <c r="AQ424" i="2"/>
  <c r="AP424" i="2"/>
  <c r="D424" i="1"/>
  <c r="AO424" i="2"/>
  <c r="AN424" i="2"/>
  <c r="AM424" i="2"/>
  <c r="AJ424" i="2"/>
  <c r="AI424" i="2"/>
  <c r="BM423" i="2"/>
  <c r="AA423" i="1"/>
  <c r="BL423" i="2"/>
  <c r="BK423" i="2"/>
  <c r="BJ423" i="2"/>
  <c r="X423" i="1"/>
  <c r="BI423" i="2"/>
  <c r="BH423" i="2"/>
  <c r="BG423" i="2"/>
  <c r="U423" i="1"/>
  <c r="BF423" i="2"/>
  <c r="BE423" i="2"/>
  <c r="S423" i="1"/>
  <c r="BD423" i="2"/>
  <c r="BC423" i="2"/>
  <c r="BB423" i="2"/>
  <c r="BA423" i="2"/>
  <c r="AZ423" i="2"/>
  <c r="AY423" i="2"/>
  <c r="AX423" i="2"/>
  <c r="AW423" i="2"/>
  <c r="AV423" i="2"/>
  <c r="AU423" i="2"/>
  <c r="AT423" i="2"/>
  <c r="H423" i="1"/>
  <c r="AS423" i="2"/>
  <c r="G423" i="1"/>
  <c r="AR423" i="2"/>
  <c r="AQ423" i="2"/>
  <c r="AP423" i="2"/>
  <c r="D423" i="1"/>
  <c r="AO423" i="2"/>
  <c r="AN423" i="2"/>
  <c r="AM423" i="2"/>
  <c r="AJ423" i="2"/>
  <c r="AI423" i="2"/>
  <c r="BM422" i="2"/>
  <c r="AA422" i="1"/>
  <c r="BL422" i="2"/>
  <c r="BK422" i="2"/>
  <c r="BJ422" i="2"/>
  <c r="X422" i="1"/>
  <c r="BI422" i="2"/>
  <c r="BH422" i="2"/>
  <c r="BG422" i="2"/>
  <c r="U422" i="1"/>
  <c r="BF422" i="2"/>
  <c r="BE422" i="2"/>
  <c r="S422" i="1"/>
  <c r="BD422" i="2"/>
  <c r="BC422" i="2"/>
  <c r="BB422" i="2"/>
  <c r="BA422" i="2"/>
  <c r="AZ422" i="2"/>
  <c r="AY422" i="2"/>
  <c r="AX422" i="2"/>
  <c r="AW422" i="2"/>
  <c r="AV422" i="2"/>
  <c r="AU422" i="2"/>
  <c r="AT422" i="2"/>
  <c r="H422" i="1"/>
  <c r="AS422" i="2"/>
  <c r="G422" i="1"/>
  <c r="AR422" i="2"/>
  <c r="AQ422" i="2"/>
  <c r="AP422" i="2"/>
  <c r="D422" i="1"/>
  <c r="AO422" i="2"/>
  <c r="AN422" i="2"/>
  <c r="AM422" i="2"/>
  <c r="AJ422" i="2"/>
  <c r="AI422" i="2"/>
  <c r="BM421" i="2"/>
  <c r="AA421" i="1"/>
  <c r="BL421" i="2"/>
  <c r="BK421" i="2"/>
  <c r="BJ421" i="2"/>
  <c r="X421" i="1"/>
  <c r="BI421" i="2"/>
  <c r="BH421" i="2"/>
  <c r="BG421" i="2"/>
  <c r="U421" i="1"/>
  <c r="BF421" i="2"/>
  <c r="BE421" i="2"/>
  <c r="S421" i="1"/>
  <c r="BD421" i="2"/>
  <c r="BC421" i="2"/>
  <c r="BB421" i="2"/>
  <c r="BA421" i="2"/>
  <c r="AZ421" i="2"/>
  <c r="AY421" i="2"/>
  <c r="AX421" i="2"/>
  <c r="AW421" i="2"/>
  <c r="AV421" i="2"/>
  <c r="AU421" i="2"/>
  <c r="AT421" i="2"/>
  <c r="H421" i="1"/>
  <c r="AS421" i="2"/>
  <c r="G421" i="1"/>
  <c r="AR421" i="2"/>
  <c r="AQ421" i="2"/>
  <c r="AP421" i="2"/>
  <c r="D421" i="1"/>
  <c r="AO421" i="2"/>
  <c r="AN421" i="2"/>
  <c r="AM421" i="2"/>
  <c r="AJ421" i="2"/>
  <c r="AI421" i="2"/>
  <c r="BM420" i="2"/>
  <c r="AA420" i="1"/>
  <c r="BL420" i="2"/>
  <c r="BK420" i="2"/>
  <c r="BJ420" i="2"/>
  <c r="X420" i="1"/>
  <c r="BI420" i="2"/>
  <c r="BH420" i="2"/>
  <c r="BG420" i="2"/>
  <c r="U420" i="1"/>
  <c r="BF420" i="2"/>
  <c r="BE420" i="2"/>
  <c r="S420" i="1"/>
  <c r="BD420" i="2"/>
  <c r="BC420" i="2"/>
  <c r="BB420" i="2"/>
  <c r="BA420" i="2"/>
  <c r="AZ420" i="2"/>
  <c r="AY420" i="2"/>
  <c r="AX420" i="2"/>
  <c r="AW420" i="2"/>
  <c r="AV420" i="2"/>
  <c r="AU420" i="2"/>
  <c r="AT420" i="2"/>
  <c r="H420" i="1"/>
  <c r="AS420" i="2"/>
  <c r="G420" i="1"/>
  <c r="AR420" i="2"/>
  <c r="AQ420" i="2"/>
  <c r="AP420" i="2"/>
  <c r="D420" i="1"/>
  <c r="AO420" i="2"/>
  <c r="AN420" i="2"/>
  <c r="AM420" i="2"/>
  <c r="AJ420" i="2"/>
  <c r="AI420" i="2"/>
  <c r="BM419" i="2"/>
  <c r="AA419" i="1"/>
  <c r="BL419" i="2"/>
  <c r="BK419" i="2"/>
  <c r="BJ419" i="2"/>
  <c r="X419" i="1"/>
  <c r="BI419" i="2"/>
  <c r="BH419" i="2"/>
  <c r="BG419" i="2"/>
  <c r="U419" i="1"/>
  <c r="BF419" i="2"/>
  <c r="BE419" i="2"/>
  <c r="S419" i="1"/>
  <c r="BD419" i="2"/>
  <c r="BC419" i="2"/>
  <c r="BB419" i="2"/>
  <c r="BA419" i="2"/>
  <c r="AZ419" i="2"/>
  <c r="AY419" i="2"/>
  <c r="AX419" i="2"/>
  <c r="AW419" i="2"/>
  <c r="AV419" i="2"/>
  <c r="AU419" i="2"/>
  <c r="AT419" i="2"/>
  <c r="H419" i="1"/>
  <c r="AS419" i="2"/>
  <c r="G419" i="1"/>
  <c r="AR419" i="2"/>
  <c r="AQ419" i="2"/>
  <c r="AP419" i="2"/>
  <c r="D419" i="1"/>
  <c r="AO419" i="2"/>
  <c r="AN419" i="2"/>
  <c r="AM419" i="2"/>
  <c r="AJ419" i="2"/>
  <c r="AI419" i="2"/>
  <c r="BM418" i="2"/>
  <c r="AA418" i="1"/>
  <c r="BL418" i="2"/>
  <c r="BK418" i="2"/>
  <c r="BJ418" i="2"/>
  <c r="X418" i="1"/>
  <c r="BI418" i="2"/>
  <c r="BH418" i="2"/>
  <c r="BG418" i="2"/>
  <c r="U418" i="1"/>
  <c r="BF418" i="2"/>
  <c r="BE418" i="2"/>
  <c r="S418" i="1"/>
  <c r="BD418" i="2"/>
  <c r="BC418" i="2"/>
  <c r="BB418" i="2"/>
  <c r="BA418" i="2"/>
  <c r="AZ418" i="2"/>
  <c r="AY418" i="2"/>
  <c r="AX418" i="2"/>
  <c r="AW418" i="2"/>
  <c r="AV418" i="2"/>
  <c r="AU418" i="2"/>
  <c r="AT418" i="2"/>
  <c r="H418" i="1"/>
  <c r="AS418" i="2"/>
  <c r="G418" i="1"/>
  <c r="AR418" i="2"/>
  <c r="AQ418" i="2"/>
  <c r="AP418" i="2"/>
  <c r="D418" i="1"/>
  <c r="AO418" i="2"/>
  <c r="AN418" i="2"/>
  <c r="AM418" i="2"/>
  <c r="AJ418" i="2"/>
  <c r="AI418" i="2"/>
  <c r="BM417" i="2"/>
  <c r="AA417" i="1"/>
  <c r="BL417" i="2"/>
  <c r="BK417" i="2"/>
  <c r="BJ417" i="2"/>
  <c r="X417" i="1"/>
  <c r="BI417" i="2"/>
  <c r="BH417" i="2"/>
  <c r="BG417" i="2"/>
  <c r="U417" i="1"/>
  <c r="BF417" i="2"/>
  <c r="BE417" i="2"/>
  <c r="S417" i="1"/>
  <c r="BD417" i="2"/>
  <c r="BC417" i="2"/>
  <c r="BB417" i="2"/>
  <c r="BA417" i="2"/>
  <c r="AZ417" i="2"/>
  <c r="AY417" i="2"/>
  <c r="AX417" i="2"/>
  <c r="AW417" i="2"/>
  <c r="AV417" i="2"/>
  <c r="AU417" i="2"/>
  <c r="AT417" i="2"/>
  <c r="H417" i="1"/>
  <c r="AS417" i="2"/>
  <c r="G417" i="1"/>
  <c r="AR417" i="2"/>
  <c r="AQ417" i="2"/>
  <c r="AP417" i="2"/>
  <c r="D417" i="1"/>
  <c r="AO417" i="2"/>
  <c r="AN417" i="2"/>
  <c r="AM417" i="2"/>
  <c r="AJ417" i="2"/>
  <c r="AI417" i="2"/>
  <c r="BM416" i="2"/>
  <c r="AA416" i="1"/>
  <c r="BL416" i="2"/>
  <c r="BK416" i="2"/>
  <c r="BJ416" i="2"/>
  <c r="X416" i="1"/>
  <c r="BI416" i="2"/>
  <c r="BH416" i="2"/>
  <c r="BG416" i="2"/>
  <c r="U416" i="1"/>
  <c r="BF416" i="2"/>
  <c r="BE416" i="2"/>
  <c r="S416" i="1"/>
  <c r="BD416" i="2"/>
  <c r="BC416" i="2"/>
  <c r="BB416" i="2"/>
  <c r="BA416" i="2"/>
  <c r="AZ416" i="2"/>
  <c r="AY416" i="2"/>
  <c r="AX416" i="2"/>
  <c r="AW416" i="2"/>
  <c r="AV416" i="2"/>
  <c r="AU416" i="2"/>
  <c r="AT416" i="2"/>
  <c r="H416" i="1"/>
  <c r="AS416" i="2"/>
  <c r="G416" i="1"/>
  <c r="AR416" i="2"/>
  <c r="AQ416" i="2"/>
  <c r="AP416" i="2"/>
  <c r="D416" i="1"/>
  <c r="AO416" i="2"/>
  <c r="AN416" i="2"/>
  <c r="AM416" i="2"/>
  <c r="AJ416" i="2"/>
  <c r="AI416" i="2"/>
  <c r="BM415" i="2"/>
  <c r="AA415" i="1"/>
  <c r="BL415" i="2"/>
  <c r="BK415" i="2"/>
  <c r="BJ415" i="2"/>
  <c r="X415" i="1"/>
  <c r="BI415" i="2"/>
  <c r="BH415" i="2"/>
  <c r="BG415" i="2"/>
  <c r="U415" i="1"/>
  <c r="BF415" i="2"/>
  <c r="BE415" i="2"/>
  <c r="S415" i="1"/>
  <c r="BD415" i="2"/>
  <c r="BC415" i="2"/>
  <c r="BB415" i="2"/>
  <c r="BA415" i="2"/>
  <c r="AZ415" i="2"/>
  <c r="AY415" i="2"/>
  <c r="AX415" i="2"/>
  <c r="AW415" i="2"/>
  <c r="AV415" i="2"/>
  <c r="AU415" i="2"/>
  <c r="AT415" i="2"/>
  <c r="H415" i="1"/>
  <c r="AS415" i="2"/>
  <c r="G415" i="1"/>
  <c r="AR415" i="2"/>
  <c r="AQ415" i="2"/>
  <c r="AP415" i="2"/>
  <c r="D415" i="1"/>
  <c r="AO415" i="2"/>
  <c r="AN415" i="2"/>
  <c r="AM415" i="2"/>
  <c r="AJ415" i="2"/>
  <c r="AI415" i="2"/>
  <c r="BM414" i="2"/>
  <c r="AA414" i="1"/>
  <c r="BL414" i="2"/>
  <c r="BK414" i="2"/>
  <c r="BJ414" i="2"/>
  <c r="X414" i="1"/>
  <c r="BI414" i="2"/>
  <c r="BH414" i="2"/>
  <c r="BG414" i="2"/>
  <c r="U414" i="1"/>
  <c r="BF414" i="2"/>
  <c r="BE414" i="2"/>
  <c r="S414" i="1"/>
  <c r="BD414" i="2"/>
  <c r="BC414" i="2"/>
  <c r="BB414" i="2"/>
  <c r="BA414" i="2"/>
  <c r="AZ414" i="2"/>
  <c r="AY414" i="2"/>
  <c r="AX414" i="2"/>
  <c r="AW414" i="2"/>
  <c r="AV414" i="2"/>
  <c r="AU414" i="2"/>
  <c r="AT414" i="2"/>
  <c r="H414" i="1"/>
  <c r="AS414" i="2"/>
  <c r="G414" i="1"/>
  <c r="AR414" i="2"/>
  <c r="AQ414" i="2"/>
  <c r="AP414" i="2"/>
  <c r="D414" i="1"/>
  <c r="AO414" i="2"/>
  <c r="AN414" i="2"/>
  <c r="AM414" i="2"/>
  <c r="AJ414" i="2"/>
  <c r="AI414" i="2"/>
  <c r="BM413" i="2"/>
  <c r="AA413" i="1"/>
  <c r="BL413" i="2"/>
  <c r="BK413" i="2"/>
  <c r="BJ413" i="2"/>
  <c r="X413" i="1"/>
  <c r="BI413" i="2"/>
  <c r="BH413" i="2"/>
  <c r="BG413" i="2"/>
  <c r="U413" i="1"/>
  <c r="BF413" i="2"/>
  <c r="BE413" i="2"/>
  <c r="S413" i="1"/>
  <c r="BD413" i="2"/>
  <c r="BC413" i="2"/>
  <c r="BB413" i="2"/>
  <c r="BA413" i="2"/>
  <c r="AZ413" i="2"/>
  <c r="AY413" i="2"/>
  <c r="AX413" i="2"/>
  <c r="AW413" i="2"/>
  <c r="AV413" i="2"/>
  <c r="AU413" i="2"/>
  <c r="AT413" i="2"/>
  <c r="H413" i="1"/>
  <c r="AS413" i="2"/>
  <c r="G413" i="1"/>
  <c r="AR413" i="2"/>
  <c r="AQ413" i="2"/>
  <c r="AP413" i="2"/>
  <c r="D413" i="1"/>
  <c r="AO413" i="2"/>
  <c r="AN413" i="2"/>
  <c r="AM413" i="2"/>
  <c r="AJ413" i="2"/>
  <c r="AI413" i="2"/>
  <c r="BM412" i="2"/>
  <c r="AA412" i="1"/>
  <c r="BL412" i="2"/>
  <c r="BK412" i="2"/>
  <c r="BJ412" i="2"/>
  <c r="X412" i="1"/>
  <c r="BI412" i="2"/>
  <c r="BH412" i="2"/>
  <c r="BG412" i="2"/>
  <c r="U412" i="1"/>
  <c r="BF412" i="2"/>
  <c r="BE412" i="2"/>
  <c r="S412" i="1"/>
  <c r="BD412" i="2"/>
  <c r="BC412" i="2"/>
  <c r="BB412" i="2"/>
  <c r="BA412" i="2"/>
  <c r="AZ412" i="2"/>
  <c r="AY412" i="2"/>
  <c r="AX412" i="2"/>
  <c r="AW412" i="2"/>
  <c r="AV412" i="2"/>
  <c r="AU412" i="2"/>
  <c r="AT412" i="2"/>
  <c r="H412" i="1"/>
  <c r="AS412" i="2"/>
  <c r="G412" i="1"/>
  <c r="AR412" i="2"/>
  <c r="AQ412" i="2"/>
  <c r="AP412" i="2"/>
  <c r="D412" i="1"/>
  <c r="AO412" i="2"/>
  <c r="AN412" i="2"/>
  <c r="AM412" i="2"/>
  <c r="AJ412" i="2"/>
  <c r="AI412" i="2"/>
  <c r="BM411" i="2"/>
  <c r="AA411" i="1"/>
  <c r="BL411" i="2"/>
  <c r="BK411" i="2"/>
  <c r="BJ411" i="2"/>
  <c r="X411" i="1"/>
  <c r="BI411" i="2"/>
  <c r="BH411" i="2"/>
  <c r="BG411" i="2"/>
  <c r="U411" i="1"/>
  <c r="BF411" i="2"/>
  <c r="BE411" i="2"/>
  <c r="S411" i="1"/>
  <c r="BD411" i="2"/>
  <c r="BC411" i="2"/>
  <c r="BB411" i="2"/>
  <c r="BA411" i="2"/>
  <c r="AZ411" i="2"/>
  <c r="AY411" i="2"/>
  <c r="AX411" i="2"/>
  <c r="AW411" i="2"/>
  <c r="AV411" i="2"/>
  <c r="AU411" i="2"/>
  <c r="AT411" i="2"/>
  <c r="H411" i="1"/>
  <c r="AS411" i="2"/>
  <c r="G411" i="1"/>
  <c r="AR411" i="2"/>
  <c r="AQ411" i="2"/>
  <c r="AP411" i="2"/>
  <c r="D411" i="1"/>
  <c r="AO411" i="2"/>
  <c r="AN411" i="2"/>
  <c r="AM411" i="2"/>
  <c r="AJ411" i="2"/>
  <c r="AI411" i="2"/>
  <c r="BM410" i="2"/>
  <c r="AA410" i="1"/>
  <c r="BL410" i="2"/>
  <c r="BK410" i="2"/>
  <c r="BJ410" i="2"/>
  <c r="X410" i="1"/>
  <c r="BI410" i="2"/>
  <c r="BH410" i="2"/>
  <c r="BG410" i="2"/>
  <c r="U410" i="1"/>
  <c r="BF410" i="2"/>
  <c r="BE410" i="2"/>
  <c r="S410" i="1"/>
  <c r="BD410" i="2"/>
  <c r="BC410" i="2"/>
  <c r="BB410" i="2"/>
  <c r="BA410" i="2"/>
  <c r="AZ410" i="2"/>
  <c r="AY410" i="2"/>
  <c r="AX410" i="2"/>
  <c r="AW410" i="2"/>
  <c r="AV410" i="2"/>
  <c r="AU410" i="2"/>
  <c r="AT410" i="2"/>
  <c r="H410" i="1"/>
  <c r="AS410" i="2"/>
  <c r="G410" i="1"/>
  <c r="AR410" i="2"/>
  <c r="AQ410" i="2"/>
  <c r="AP410" i="2"/>
  <c r="D410" i="1"/>
  <c r="AO410" i="2"/>
  <c r="AN410" i="2"/>
  <c r="AM410" i="2"/>
  <c r="AJ410" i="2"/>
  <c r="AI410" i="2"/>
  <c r="BM409" i="2"/>
  <c r="AA409" i="1"/>
  <c r="BL409" i="2"/>
  <c r="BK409" i="2"/>
  <c r="BJ409" i="2"/>
  <c r="X409" i="1"/>
  <c r="BI409" i="2"/>
  <c r="BH409" i="2"/>
  <c r="BG409" i="2"/>
  <c r="U409" i="1"/>
  <c r="BF409" i="2"/>
  <c r="BE409" i="2"/>
  <c r="S409" i="1"/>
  <c r="BD409" i="2"/>
  <c r="BC409" i="2"/>
  <c r="BB409" i="2"/>
  <c r="BA409" i="2"/>
  <c r="AZ409" i="2"/>
  <c r="AY409" i="2"/>
  <c r="AX409" i="2"/>
  <c r="AW409" i="2"/>
  <c r="AV409" i="2"/>
  <c r="AU409" i="2"/>
  <c r="AT409" i="2"/>
  <c r="H409" i="1"/>
  <c r="AS409" i="2"/>
  <c r="G409" i="1"/>
  <c r="AR409" i="2"/>
  <c r="AQ409" i="2"/>
  <c r="AP409" i="2"/>
  <c r="D409" i="1"/>
  <c r="AO409" i="2"/>
  <c r="AN409" i="2"/>
  <c r="AM409" i="2"/>
  <c r="AJ409" i="2"/>
  <c r="AI409" i="2"/>
  <c r="BM408" i="2"/>
  <c r="AA408" i="1"/>
  <c r="BL408" i="2"/>
  <c r="BK408" i="2"/>
  <c r="BJ408" i="2"/>
  <c r="X408" i="1"/>
  <c r="BI408" i="2"/>
  <c r="BH408" i="2"/>
  <c r="BG408" i="2"/>
  <c r="U408" i="1"/>
  <c r="BF408" i="2"/>
  <c r="BE408" i="2"/>
  <c r="S408" i="1"/>
  <c r="BD408" i="2"/>
  <c r="BC408" i="2"/>
  <c r="BB408" i="2"/>
  <c r="BA408" i="2"/>
  <c r="AZ408" i="2"/>
  <c r="AY408" i="2"/>
  <c r="AX408" i="2"/>
  <c r="AW408" i="2"/>
  <c r="AV408" i="2"/>
  <c r="AU408" i="2"/>
  <c r="AT408" i="2"/>
  <c r="H408" i="1"/>
  <c r="AS408" i="2"/>
  <c r="G408" i="1"/>
  <c r="AR408" i="2"/>
  <c r="AQ408" i="2"/>
  <c r="AP408" i="2"/>
  <c r="D408" i="1"/>
  <c r="AO408" i="2"/>
  <c r="AN408" i="2"/>
  <c r="AM408" i="2"/>
  <c r="AJ408" i="2"/>
  <c r="AI408" i="2"/>
  <c r="BM407" i="2"/>
  <c r="AA407" i="1"/>
  <c r="BL407" i="2"/>
  <c r="BK407" i="2"/>
  <c r="BJ407" i="2"/>
  <c r="X407" i="1"/>
  <c r="BI407" i="2"/>
  <c r="BH407" i="2"/>
  <c r="BG407" i="2"/>
  <c r="U407" i="1"/>
  <c r="BF407" i="2"/>
  <c r="BE407" i="2"/>
  <c r="S407" i="1"/>
  <c r="BD407" i="2"/>
  <c r="BC407" i="2"/>
  <c r="BB407" i="2"/>
  <c r="BA407" i="2"/>
  <c r="AZ407" i="2"/>
  <c r="AY407" i="2"/>
  <c r="AX407" i="2"/>
  <c r="AW407" i="2"/>
  <c r="AV407" i="2"/>
  <c r="AU407" i="2"/>
  <c r="AT407" i="2"/>
  <c r="H407" i="1"/>
  <c r="AS407" i="2"/>
  <c r="G407" i="1"/>
  <c r="AR407" i="2"/>
  <c r="AQ407" i="2"/>
  <c r="AP407" i="2"/>
  <c r="D407" i="1"/>
  <c r="AO407" i="2"/>
  <c r="AN407" i="2"/>
  <c r="AM407" i="2"/>
  <c r="AJ407" i="2"/>
  <c r="AI407" i="2"/>
  <c r="BM406" i="2"/>
  <c r="AA406" i="1"/>
  <c r="BL406" i="2"/>
  <c r="BK406" i="2"/>
  <c r="BJ406" i="2"/>
  <c r="X406" i="1"/>
  <c r="BI406" i="2"/>
  <c r="BH406" i="2"/>
  <c r="BG406" i="2"/>
  <c r="U406" i="1"/>
  <c r="BF406" i="2"/>
  <c r="BE406" i="2"/>
  <c r="S406" i="1"/>
  <c r="BD406" i="2"/>
  <c r="BC406" i="2"/>
  <c r="BB406" i="2"/>
  <c r="BA406" i="2"/>
  <c r="AZ406" i="2"/>
  <c r="AY406" i="2"/>
  <c r="AX406" i="2"/>
  <c r="AW406" i="2"/>
  <c r="AV406" i="2"/>
  <c r="AU406" i="2"/>
  <c r="AT406" i="2"/>
  <c r="H406" i="1"/>
  <c r="AS406" i="2"/>
  <c r="G406" i="1"/>
  <c r="AR406" i="2"/>
  <c r="AQ406" i="2"/>
  <c r="AP406" i="2"/>
  <c r="D406" i="1"/>
  <c r="AO406" i="2"/>
  <c r="AN406" i="2"/>
  <c r="AM406" i="2"/>
  <c r="AJ406" i="2"/>
  <c r="AI406" i="2"/>
  <c r="BM405" i="2"/>
  <c r="AA405" i="1"/>
  <c r="BL405" i="2"/>
  <c r="BK405" i="2"/>
  <c r="BJ405" i="2"/>
  <c r="X405" i="1"/>
  <c r="BI405" i="2"/>
  <c r="BH405" i="2"/>
  <c r="BG405" i="2"/>
  <c r="U405" i="1"/>
  <c r="BF405" i="2"/>
  <c r="BE405" i="2"/>
  <c r="S405" i="1"/>
  <c r="BD405" i="2"/>
  <c r="BC405" i="2"/>
  <c r="BB405" i="2"/>
  <c r="BA405" i="2"/>
  <c r="AZ405" i="2"/>
  <c r="AY405" i="2"/>
  <c r="AX405" i="2"/>
  <c r="AW405" i="2"/>
  <c r="AV405" i="2"/>
  <c r="AU405" i="2"/>
  <c r="AT405" i="2"/>
  <c r="H405" i="1"/>
  <c r="AS405" i="2"/>
  <c r="G405" i="1"/>
  <c r="AR405" i="2"/>
  <c r="AQ405" i="2"/>
  <c r="AP405" i="2"/>
  <c r="D405" i="1"/>
  <c r="AO405" i="2"/>
  <c r="AN405" i="2"/>
  <c r="AM405" i="2"/>
  <c r="AJ405" i="2"/>
  <c r="AI405" i="2"/>
  <c r="BM404" i="2"/>
  <c r="AA404" i="1"/>
  <c r="BL404" i="2"/>
  <c r="BK404" i="2"/>
  <c r="BJ404" i="2"/>
  <c r="X404" i="1"/>
  <c r="BI404" i="2"/>
  <c r="BH404" i="2"/>
  <c r="BG404" i="2"/>
  <c r="U404" i="1"/>
  <c r="BF404" i="2"/>
  <c r="BE404" i="2"/>
  <c r="S404" i="1"/>
  <c r="BD404" i="2"/>
  <c r="BC404" i="2"/>
  <c r="BB404" i="2"/>
  <c r="BA404" i="2"/>
  <c r="AZ404" i="2"/>
  <c r="AY404" i="2"/>
  <c r="AX404" i="2"/>
  <c r="AW404" i="2"/>
  <c r="AV404" i="2"/>
  <c r="AU404" i="2"/>
  <c r="AT404" i="2"/>
  <c r="H404" i="1"/>
  <c r="AS404" i="2"/>
  <c r="G404" i="1"/>
  <c r="AR404" i="2"/>
  <c r="AQ404" i="2"/>
  <c r="AP404" i="2"/>
  <c r="D404" i="1"/>
  <c r="AO404" i="2"/>
  <c r="AN404" i="2"/>
  <c r="AM404" i="2"/>
  <c r="AJ404" i="2"/>
  <c r="AI404" i="2"/>
  <c r="BM403" i="2"/>
  <c r="AA403" i="1"/>
  <c r="BL403" i="2"/>
  <c r="BK403" i="2"/>
  <c r="BJ403" i="2"/>
  <c r="X403" i="1"/>
  <c r="BI403" i="2"/>
  <c r="BH403" i="2"/>
  <c r="BG403" i="2"/>
  <c r="U403" i="1"/>
  <c r="BF403" i="2"/>
  <c r="BE403" i="2"/>
  <c r="S403" i="1"/>
  <c r="BD403" i="2"/>
  <c r="BC403" i="2"/>
  <c r="BB403" i="2"/>
  <c r="BA403" i="2"/>
  <c r="AZ403" i="2"/>
  <c r="AY403" i="2"/>
  <c r="AX403" i="2"/>
  <c r="AW403" i="2"/>
  <c r="AV403" i="2"/>
  <c r="AU403" i="2"/>
  <c r="AT403" i="2"/>
  <c r="H403" i="1"/>
  <c r="AS403" i="2"/>
  <c r="G403" i="1"/>
  <c r="AR403" i="2"/>
  <c r="AQ403" i="2"/>
  <c r="AP403" i="2"/>
  <c r="D403" i="1"/>
  <c r="AO403" i="2"/>
  <c r="AN403" i="2"/>
  <c r="AM403" i="2"/>
  <c r="AJ403" i="2"/>
  <c r="AI403" i="2"/>
  <c r="BM402" i="2"/>
  <c r="AA402" i="1"/>
  <c r="BL402" i="2"/>
  <c r="BK402" i="2"/>
  <c r="BJ402" i="2"/>
  <c r="X402" i="1"/>
  <c r="BI402" i="2"/>
  <c r="BH402" i="2"/>
  <c r="BG402" i="2"/>
  <c r="U402" i="1"/>
  <c r="BF402" i="2"/>
  <c r="BE402" i="2"/>
  <c r="S402" i="1"/>
  <c r="BD402" i="2"/>
  <c r="BC402" i="2"/>
  <c r="BB402" i="2"/>
  <c r="BA402" i="2"/>
  <c r="AZ402" i="2"/>
  <c r="AY402" i="2"/>
  <c r="AX402" i="2"/>
  <c r="AW402" i="2"/>
  <c r="AV402" i="2"/>
  <c r="AU402" i="2"/>
  <c r="AT402" i="2"/>
  <c r="H402" i="1"/>
  <c r="AS402" i="2"/>
  <c r="G402" i="1"/>
  <c r="AR402" i="2"/>
  <c r="AQ402" i="2"/>
  <c r="AP402" i="2"/>
  <c r="D402" i="1"/>
  <c r="AO402" i="2"/>
  <c r="AN402" i="2"/>
  <c r="AM402" i="2"/>
  <c r="AJ402" i="2"/>
  <c r="AI402" i="2"/>
  <c r="BM401" i="2"/>
  <c r="AA401" i="1"/>
  <c r="BL401" i="2"/>
  <c r="BK401" i="2"/>
  <c r="BJ401" i="2"/>
  <c r="X401" i="1"/>
  <c r="BI401" i="2"/>
  <c r="BH401" i="2"/>
  <c r="BG401" i="2"/>
  <c r="U401" i="1"/>
  <c r="BF401" i="2"/>
  <c r="BE401" i="2"/>
  <c r="S401" i="1"/>
  <c r="BD401" i="2"/>
  <c r="BC401" i="2"/>
  <c r="BB401" i="2"/>
  <c r="BA401" i="2"/>
  <c r="AZ401" i="2"/>
  <c r="AY401" i="2"/>
  <c r="AX401" i="2"/>
  <c r="AW401" i="2"/>
  <c r="AV401" i="2"/>
  <c r="AU401" i="2"/>
  <c r="AT401" i="2"/>
  <c r="H401" i="1"/>
  <c r="AS401" i="2"/>
  <c r="G401" i="1"/>
  <c r="AR401" i="2"/>
  <c r="AQ401" i="2"/>
  <c r="AP401" i="2"/>
  <c r="D401" i="1"/>
  <c r="AO401" i="2"/>
  <c r="AN401" i="2"/>
  <c r="AM401" i="2"/>
  <c r="AJ401" i="2"/>
  <c r="AI401" i="2"/>
  <c r="BM400" i="2"/>
  <c r="AA400" i="1"/>
  <c r="BL400" i="2"/>
  <c r="BK400" i="2"/>
  <c r="BJ400" i="2"/>
  <c r="X400" i="1"/>
  <c r="BI400" i="2"/>
  <c r="BH400" i="2"/>
  <c r="BG400" i="2"/>
  <c r="U400" i="1"/>
  <c r="BF400" i="2"/>
  <c r="BE400" i="2"/>
  <c r="S400" i="1"/>
  <c r="BD400" i="2"/>
  <c r="BC400" i="2"/>
  <c r="BB400" i="2"/>
  <c r="BA400" i="2"/>
  <c r="AZ400" i="2"/>
  <c r="AY400" i="2"/>
  <c r="AX400" i="2"/>
  <c r="AW400" i="2"/>
  <c r="AV400" i="2"/>
  <c r="AU400" i="2"/>
  <c r="AT400" i="2"/>
  <c r="H400" i="1"/>
  <c r="AS400" i="2"/>
  <c r="G400" i="1"/>
  <c r="AR400" i="2"/>
  <c r="AQ400" i="2"/>
  <c r="AP400" i="2"/>
  <c r="D400" i="1"/>
  <c r="AO400" i="2"/>
  <c r="AN400" i="2"/>
  <c r="AM400" i="2"/>
  <c r="AJ400" i="2"/>
  <c r="AI400" i="2"/>
  <c r="BM399" i="2"/>
  <c r="AA399" i="1"/>
  <c r="BL399" i="2"/>
  <c r="BK399" i="2"/>
  <c r="BJ399" i="2"/>
  <c r="X399" i="1"/>
  <c r="BI399" i="2"/>
  <c r="BH399" i="2"/>
  <c r="BG399" i="2"/>
  <c r="U399" i="1"/>
  <c r="BF399" i="2"/>
  <c r="BE399" i="2"/>
  <c r="S399" i="1"/>
  <c r="BD399" i="2"/>
  <c r="BC399" i="2"/>
  <c r="BB399" i="2"/>
  <c r="BA399" i="2"/>
  <c r="AZ399" i="2"/>
  <c r="AY399" i="2"/>
  <c r="AX399" i="2"/>
  <c r="AW399" i="2"/>
  <c r="AV399" i="2"/>
  <c r="AU399" i="2"/>
  <c r="AT399" i="2"/>
  <c r="H399" i="1"/>
  <c r="AS399" i="2"/>
  <c r="G399" i="1"/>
  <c r="AR399" i="2"/>
  <c r="AQ399" i="2"/>
  <c r="AP399" i="2"/>
  <c r="D399" i="1"/>
  <c r="AO399" i="2"/>
  <c r="AN399" i="2"/>
  <c r="AM399" i="2"/>
  <c r="AJ399" i="2"/>
  <c r="AI399" i="2"/>
  <c r="BM398" i="2"/>
  <c r="AA398" i="1"/>
  <c r="BL398" i="2"/>
  <c r="BK398" i="2"/>
  <c r="BJ398" i="2"/>
  <c r="X398" i="1"/>
  <c r="BI398" i="2"/>
  <c r="BH398" i="2"/>
  <c r="BG398" i="2"/>
  <c r="U398" i="1"/>
  <c r="BF398" i="2"/>
  <c r="BE398" i="2"/>
  <c r="S398" i="1"/>
  <c r="BD398" i="2"/>
  <c r="BC398" i="2"/>
  <c r="BB398" i="2"/>
  <c r="BA398" i="2"/>
  <c r="AZ398" i="2"/>
  <c r="AY398" i="2"/>
  <c r="AX398" i="2"/>
  <c r="AW398" i="2"/>
  <c r="AV398" i="2"/>
  <c r="AU398" i="2"/>
  <c r="AT398" i="2"/>
  <c r="H398" i="1"/>
  <c r="AS398" i="2"/>
  <c r="G398" i="1"/>
  <c r="AR398" i="2"/>
  <c r="AQ398" i="2"/>
  <c r="AP398" i="2"/>
  <c r="D398" i="1"/>
  <c r="AO398" i="2"/>
  <c r="AN398" i="2"/>
  <c r="AM398" i="2"/>
  <c r="AJ398" i="2"/>
  <c r="AI398" i="2"/>
  <c r="BM397" i="2"/>
  <c r="AA397" i="1"/>
  <c r="BL397" i="2"/>
  <c r="BK397" i="2"/>
  <c r="BJ397" i="2"/>
  <c r="X397" i="1"/>
  <c r="BI397" i="2"/>
  <c r="BH397" i="2"/>
  <c r="BG397" i="2"/>
  <c r="U397" i="1"/>
  <c r="BF397" i="2"/>
  <c r="BE397" i="2"/>
  <c r="S397" i="1"/>
  <c r="BD397" i="2"/>
  <c r="BC397" i="2"/>
  <c r="BB397" i="2"/>
  <c r="BA397" i="2"/>
  <c r="AZ397" i="2"/>
  <c r="AY397" i="2"/>
  <c r="AX397" i="2"/>
  <c r="AW397" i="2"/>
  <c r="AV397" i="2"/>
  <c r="AU397" i="2"/>
  <c r="AT397" i="2"/>
  <c r="H397" i="1"/>
  <c r="AS397" i="2"/>
  <c r="G397" i="1"/>
  <c r="AR397" i="2"/>
  <c r="AQ397" i="2"/>
  <c r="AP397" i="2"/>
  <c r="D397" i="1"/>
  <c r="AO397" i="2"/>
  <c r="AN397" i="2"/>
  <c r="AM397" i="2"/>
  <c r="AJ397" i="2"/>
  <c r="AI397" i="2"/>
  <c r="BM396" i="2"/>
  <c r="AA396" i="1"/>
  <c r="BL396" i="2"/>
  <c r="BK396" i="2"/>
  <c r="BJ396" i="2"/>
  <c r="X396" i="1"/>
  <c r="BI396" i="2"/>
  <c r="BH396" i="2"/>
  <c r="BG396" i="2"/>
  <c r="U396" i="1"/>
  <c r="BF396" i="2"/>
  <c r="BE396" i="2"/>
  <c r="S396" i="1"/>
  <c r="BD396" i="2"/>
  <c r="BC396" i="2"/>
  <c r="BB396" i="2"/>
  <c r="BA396" i="2"/>
  <c r="AZ396" i="2"/>
  <c r="AY396" i="2"/>
  <c r="AX396" i="2"/>
  <c r="AW396" i="2"/>
  <c r="AV396" i="2"/>
  <c r="AU396" i="2"/>
  <c r="AT396" i="2"/>
  <c r="H396" i="1"/>
  <c r="AS396" i="2"/>
  <c r="G396" i="1"/>
  <c r="AR396" i="2"/>
  <c r="AQ396" i="2"/>
  <c r="AP396" i="2"/>
  <c r="D396" i="1"/>
  <c r="AO396" i="2"/>
  <c r="AN396" i="2"/>
  <c r="AM396" i="2"/>
  <c r="AJ396" i="2"/>
  <c r="AI396" i="2"/>
  <c r="BM395" i="2"/>
  <c r="AA395" i="1"/>
  <c r="BL395" i="2"/>
  <c r="BK395" i="2"/>
  <c r="BJ395" i="2"/>
  <c r="X395" i="1"/>
  <c r="BI395" i="2"/>
  <c r="BH395" i="2"/>
  <c r="BG395" i="2"/>
  <c r="U395" i="1"/>
  <c r="BF395" i="2"/>
  <c r="BE395" i="2"/>
  <c r="S395" i="1"/>
  <c r="BD395" i="2"/>
  <c r="BC395" i="2"/>
  <c r="BB395" i="2"/>
  <c r="BA395" i="2"/>
  <c r="AZ395" i="2"/>
  <c r="AY395" i="2"/>
  <c r="AX395" i="2"/>
  <c r="AW395" i="2"/>
  <c r="AV395" i="2"/>
  <c r="AU395" i="2"/>
  <c r="AT395" i="2"/>
  <c r="H395" i="1"/>
  <c r="AS395" i="2"/>
  <c r="G395" i="1"/>
  <c r="AR395" i="2"/>
  <c r="AQ395" i="2"/>
  <c r="AP395" i="2"/>
  <c r="D395" i="1"/>
  <c r="AO395" i="2"/>
  <c r="AN395" i="2"/>
  <c r="AM395" i="2"/>
  <c r="AJ395" i="2"/>
  <c r="AI395" i="2"/>
  <c r="BM394" i="2"/>
  <c r="AA394" i="1"/>
  <c r="BL394" i="2"/>
  <c r="BK394" i="2"/>
  <c r="BJ394" i="2"/>
  <c r="X394" i="1"/>
  <c r="BI394" i="2"/>
  <c r="BH394" i="2"/>
  <c r="BG394" i="2"/>
  <c r="U394" i="1"/>
  <c r="BF394" i="2"/>
  <c r="BE394" i="2"/>
  <c r="S394" i="1"/>
  <c r="BD394" i="2"/>
  <c r="BC394" i="2"/>
  <c r="BB394" i="2"/>
  <c r="BA394" i="2"/>
  <c r="AZ394" i="2"/>
  <c r="AY394" i="2"/>
  <c r="AX394" i="2"/>
  <c r="AW394" i="2"/>
  <c r="AV394" i="2"/>
  <c r="AU394" i="2"/>
  <c r="AT394" i="2"/>
  <c r="H394" i="1"/>
  <c r="AS394" i="2"/>
  <c r="G394" i="1"/>
  <c r="AR394" i="2"/>
  <c r="AQ394" i="2"/>
  <c r="AP394" i="2"/>
  <c r="D394" i="1"/>
  <c r="AO394" i="2"/>
  <c r="AN394" i="2"/>
  <c r="AM394" i="2"/>
  <c r="AJ394" i="2"/>
  <c r="AI394" i="2"/>
  <c r="BM393" i="2"/>
  <c r="AA393" i="1"/>
  <c r="BL393" i="2"/>
  <c r="BK393" i="2"/>
  <c r="BJ393" i="2"/>
  <c r="X393" i="1"/>
  <c r="BI393" i="2"/>
  <c r="BH393" i="2"/>
  <c r="BG393" i="2"/>
  <c r="U393" i="1"/>
  <c r="BF393" i="2"/>
  <c r="BE393" i="2"/>
  <c r="S393" i="1"/>
  <c r="BD393" i="2"/>
  <c r="BC393" i="2"/>
  <c r="BB393" i="2"/>
  <c r="BA393" i="2"/>
  <c r="AZ393" i="2"/>
  <c r="AY393" i="2"/>
  <c r="AX393" i="2"/>
  <c r="AW393" i="2"/>
  <c r="AV393" i="2"/>
  <c r="AU393" i="2"/>
  <c r="AT393" i="2"/>
  <c r="H393" i="1"/>
  <c r="AS393" i="2"/>
  <c r="G393" i="1"/>
  <c r="AR393" i="2"/>
  <c r="AQ393" i="2"/>
  <c r="AP393" i="2"/>
  <c r="D393" i="1"/>
  <c r="AO393" i="2"/>
  <c r="AN393" i="2"/>
  <c r="AM393" i="2"/>
  <c r="AJ393" i="2"/>
  <c r="AI393" i="2"/>
  <c r="BM392" i="2"/>
  <c r="AA392" i="1"/>
  <c r="BL392" i="2"/>
  <c r="BK392" i="2"/>
  <c r="BJ392" i="2"/>
  <c r="X392" i="1"/>
  <c r="BI392" i="2"/>
  <c r="BH392" i="2"/>
  <c r="BG392" i="2"/>
  <c r="U392" i="1"/>
  <c r="BF392" i="2"/>
  <c r="BE392" i="2"/>
  <c r="S392" i="1"/>
  <c r="BD392" i="2"/>
  <c r="BC392" i="2"/>
  <c r="BB392" i="2"/>
  <c r="BA392" i="2"/>
  <c r="AZ392" i="2"/>
  <c r="AY392" i="2"/>
  <c r="AX392" i="2"/>
  <c r="AW392" i="2"/>
  <c r="AV392" i="2"/>
  <c r="AU392" i="2"/>
  <c r="AT392" i="2"/>
  <c r="H392" i="1"/>
  <c r="AS392" i="2"/>
  <c r="G392" i="1"/>
  <c r="AR392" i="2"/>
  <c r="AQ392" i="2"/>
  <c r="AP392" i="2"/>
  <c r="D392" i="1"/>
  <c r="AO392" i="2"/>
  <c r="AN392" i="2"/>
  <c r="AM392" i="2"/>
  <c r="AJ392" i="2"/>
  <c r="AI392" i="2"/>
  <c r="BM391" i="2"/>
  <c r="AA391" i="1"/>
  <c r="BL391" i="2"/>
  <c r="BK391" i="2"/>
  <c r="BJ391" i="2"/>
  <c r="X391" i="1"/>
  <c r="BI391" i="2"/>
  <c r="BH391" i="2"/>
  <c r="BG391" i="2"/>
  <c r="U391" i="1"/>
  <c r="BF391" i="2"/>
  <c r="BE391" i="2"/>
  <c r="S391" i="1"/>
  <c r="BD391" i="2"/>
  <c r="BC391" i="2"/>
  <c r="BB391" i="2"/>
  <c r="BA391" i="2"/>
  <c r="AZ391" i="2"/>
  <c r="AY391" i="2"/>
  <c r="AX391" i="2"/>
  <c r="AW391" i="2"/>
  <c r="AV391" i="2"/>
  <c r="AU391" i="2"/>
  <c r="AT391" i="2"/>
  <c r="H391" i="1"/>
  <c r="AS391" i="2"/>
  <c r="G391" i="1"/>
  <c r="AR391" i="2"/>
  <c r="AQ391" i="2"/>
  <c r="AP391" i="2"/>
  <c r="D391" i="1"/>
  <c r="AO391" i="2"/>
  <c r="AN391" i="2"/>
  <c r="AM391" i="2"/>
  <c r="AJ391" i="2"/>
  <c r="AI391" i="2"/>
  <c r="BM390" i="2"/>
  <c r="AA390" i="1"/>
  <c r="BL390" i="2"/>
  <c r="BK390" i="2"/>
  <c r="BJ390" i="2"/>
  <c r="X390" i="1"/>
  <c r="BI390" i="2"/>
  <c r="BH390" i="2"/>
  <c r="BG390" i="2"/>
  <c r="U390" i="1"/>
  <c r="BF390" i="2"/>
  <c r="BE390" i="2"/>
  <c r="S390" i="1"/>
  <c r="BD390" i="2"/>
  <c r="BC390" i="2"/>
  <c r="BB390" i="2"/>
  <c r="BA390" i="2"/>
  <c r="AZ390" i="2"/>
  <c r="AY390" i="2"/>
  <c r="AX390" i="2"/>
  <c r="AW390" i="2"/>
  <c r="AV390" i="2"/>
  <c r="AU390" i="2"/>
  <c r="AT390" i="2"/>
  <c r="H390" i="1"/>
  <c r="AS390" i="2"/>
  <c r="G390" i="1"/>
  <c r="AR390" i="2"/>
  <c r="AQ390" i="2"/>
  <c r="AP390" i="2"/>
  <c r="D390" i="1"/>
  <c r="AO390" i="2"/>
  <c r="AN390" i="2"/>
  <c r="AM390" i="2"/>
  <c r="AJ390" i="2"/>
  <c r="AI390" i="2"/>
  <c r="BM389" i="2"/>
  <c r="AA389" i="1"/>
  <c r="BL389" i="2"/>
  <c r="BK389" i="2"/>
  <c r="BJ389" i="2"/>
  <c r="X389" i="1"/>
  <c r="BI389" i="2"/>
  <c r="BH389" i="2"/>
  <c r="BG389" i="2"/>
  <c r="U389" i="1"/>
  <c r="BF389" i="2"/>
  <c r="BE389" i="2"/>
  <c r="S389" i="1"/>
  <c r="BD389" i="2"/>
  <c r="BC389" i="2"/>
  <c r="BB389" i="2"/>
  <c r="BA389" i="2"/>
  <c r="AZ389" i="2"/>
  <c r="AY389" i="2"/>
  <c r="AX389" i="2"/>
  <c r="AW389" i="2"/>
  <c r="AV389" i="2"/>
  <c r="AU389" i="2"/>
  <c r="AT389" i="2"/>
  <c r="H389" i="1"/>
  <c r="AS389" i="2"/>
  <c r="G389" i="1"/>
  <c r="AR389" i="2"/>
  <c r="AQ389" i="2"/>
  <c r="AP389" i="2"/>
  <c r="D389" i="1"/>
  <c r="AO389" i="2"/>
  <c r="AN389" i="2"/>
  <c r="AM389" i="2"/>
  <c r="AJ389" i="2"/>
  <c r="AI389" i="2"/>
  <c r="BM388" i="2"/>
  <c r="AA388" i="1"/>
  <c r="BL388" i="2"/>
  <c r="BK388" i="2"/>
  <c r="BJ388" i="2"/>
  <c r="X388" i="1"/>
  <c r="BI388" i="2"/>
  <c r="BH388" i="2"/>
  <c r="BG388" i="2"/>
  <c r="U388" i="1"/>
  <c r="BF388" i="2"/>
  <c r="BE388" i="2"/>
  <c r="S388" i="1"/>
  <c r="BD388" i="2"/>
  <c r="BC388" i="2"/>
  <c r="BB388" i="2"/>
  <c r="BA388" i="2"/>
  <c r="AZ388" i="2"/>
  <c r="AY388" i="2"/>
  <c r="AX388" i="2"/>
  <c r="AW388" i="2"/>
  <c r="AV388" i="2"/>
  <c r="AU388" i="2"/>
  <c r="AT388" i="2"/>
  <c r="H388" i="1"/>
  <c r="AS388" i="2"/>
  <c r="G388" i="1"/>
  <c r="AR388" i="2"/>
  <c r="AQ388" i="2"/>
  <c r="AP388" i="2"/>
  <c r="D388" i="1"/>
  <c r="AO388" i="2"/>
  <c r="AN388" i="2"/>
  <c r="AM388" i="2"/>
  <c r="AJ388" i="2"/>
  <c r="AI388" i="2"/>
  <c r="BM387" i="2"/>
  <c r="AA387" i="1"/>
  <c r="BL387" i="2"/>
  <c r="BK387" i="2"/>
  <c r="BJ387" i="2"/>
  <c r="X387" i="1"/>
  <c r="BI387" i="2"/>
  <c r="BH387" i="2"/>
  <c r="BG387" i="2"/>
  <c r="U387" i="1"/>
  <c r="BF387" i="2"/>
  <c r="BE387" i="2"/>
  <c r="S387" i="1"/>
  <c r="BD387" i="2"/>
  <c r="BC387" i="2"/>
  <c r="BB387" i="2"/>
  <c r="BA387" i="2"/>
  <c r="AZ387" i="2"/>
  <c r="AY387" i="2"/>
  <c r="AX387" i="2"/>
  <c r="AW387" i="2"/>
  <c r="AV387" i="2"/>
  <c r="AU387" i="2"/>
  <c r="AT387" i="2"/>
  <c r="H387" i="1"/>
  <c r="AS387" i="2"/>
  <c r="G387" i="1"/>
  <c r="AR387" i="2"/>
  <c r="AQ387" i="2"/>
  <c r="AP387" i="2"/>
  <c r="D387" i="1"/>
  <c r="AO387" i="2"/>
  <c r="AN387" i="2"/>
  <c r="AM387" i="2"/>
  <c r="AJ387" i="2"/>
  <c r="AI387" i="2"/>
  <c r="BM386" i="2"/>
  <c r="AA386" i="1"/>
  <c r="BL386" i="2"/>
  <c r="BK386" i="2"/>
  <c r="BJ386" i="2"/>
  <c r="X386" i="1"/>
  <c r="BI386" i="2"/>
  <c r="BH386" i="2"/>
  <c r="BG386" i="2"/>
  <c r="U386" i="1"/>
  <c r="BF386" i="2"/>
  <c r="BE386" i="2"/>
  <c r="S386" i="1"/>
  <c r="BD386" i="2"/>
  <c r="BC386" i="2"/>
  <c r="BB386" i="2"/>
  <c r="BA386" i="2"/>
  <c r="AZ386" i="2"/>
  <c r="AY386" i="2"/>
  <c r="AX386" i="2"/>
  <c r="AW386" i="2"/>
  <c r="AV386" i="2"/>
  <c r="AU386" i="2"/>
  <c r="AT386" i="2"/>
  <c r="H386" i="1"/>
  <c r="AS386" i="2"/>
  <c r="G386" i="1"/>
  <c r="AR386" i="2"/>
  <c r="AQ386" i="2"/>
  <c r="AP386" i="2"/>
  <c r="D386" i="1"/>
  <c r="AO386" i="2"/>
  <c r="AN386" i="2"/>
  <c r="AM386" i="2"/>
  <c r="AJ386" i="2"/>
  <c r="AI386" i="2"/>
  <c r="BM385" i="2"/>
  <c r="AA385" i="1"/>
  <c r="BL385" i="2"/>
  <c r="BK385" i="2"/>
  <c r="BJ385" i="2"/>
  <c r="X385" i="1"/>
  <c r="BI385" i="2"/>
  <c r="BH385" i="2"/>
  <c r="BG385" i="2"/>
  <c r="U385" i="1"/>
  <c r="BF385" i="2"/>
  <c r="BE385" i="2"/>
  <c r="S385" i="1"/>
  <c r="BD385" i="2"/>
  <c r="BC385" i="2"/>
  <c r="BB385" i="2"/>
  <c r="BA385" i="2"/>
  <c r="AZ385" i="2"/>
  <c r="AY385" i="2"/>
  <c r="AX385" i="2"/>
  <c r="AW385" i="2"/>
  <c r="AV385" i="2"/>
  <c r="AU385" i="2"/>
  <c r="AT385" i="2"/>
  <c r="H385" i="1"/>
  <c r="AS385" i="2"/>
  <c r="G385" i="1"/>
  <c r="AR385" i="2"/>
  <c r="AQ385" i="2"/>
  <c r="AP385" i="2"/>
  <c r="D385" i="1"/>
  <c r="AO385" i="2"/>
  <c r="AN385" i="2"/>
  <c r="AM385" i="2"/>
  <c r="AJ385" i="2"/>
  <c r="AI385" i="2"/>
  <c r="BM384" i="2"/>
  <c r="AA384" i="1"/>
  <c r="BL384" i="2"/>
  <c r="BK384" i="2"/>
  <c r="BJ384" i="2"/>
  <c r="X384" i="1"/>
  <c r="BI384" i="2"/>
  <c r="BH384" i="2"/>
  <c r="BG384" i="2"/>
  <c r="U384" i="1"/>
  <c r="BF384" i="2"/>
  <c r="BE384" i="2"/>
  <c r="S384" i="1"/>
  <c r="BD384" i="2"/>
  <c r="BC384" i="2"/>
  <c r="BB384" i="2"/>
  <c r="BA384" i="2"/>
  <c r="AZ384" i="2"/>
  <c r="AY384" i="2"/>
  <c r="AX384" i="2"/>
  <c r="AW384" i="2"/>
  <c r="AV384" i="2"/>
  <c r="AU384" i="2"/>
  <c r="AT384" i="2"/>
  <c r="H384" i="1"/>
  <c r="AS384" i="2"/>
  <c r="G384" i="1"/>
  <c r="AR384" i="2"/>
  <c r="AQ384" i="2"/>
  <c r="AP384" i="2"/>
  <c r="D384" i="1"/>
  <c r="AO384" i="2"/>
  <c r="AN384" i="2"/>
  <c r="AM384" i="2"/>
  <c r="AJ384" i="2"/>
  <c r="AI384" i="2"/>
  <c r="BM383" i="2"/>
  <c r="AA383" i="1"/>
  <c r="BL383" i="2"/>
  <c r="BK383" i="2"/>
  <c r="BJ383" i="2"/>
  <c r="X383" i="1"/>
  <c r="BI383" i="2"/>
  <c r="BH383" i="2"/>
  <c r="BG383" i="2"/>
  <c r="U383" i="1"/>
  <c r="BF383" i="2"/>
  <c r="BE383" i="2"/>
  <c r="S383" i="1"/>
  <c r="BD383" i="2"/>
  <c r="BC383" i="2"/>
  <c r="BB383" i="2"/>
  <c r="BA383" i="2"/>
  <c r="AZ383" i="2"/>
  <c r="AY383" i="2"/>
  <c r="AX383" i="2"/>
  <c r="AW383" i="2"/>
  <c r="AV383" i="2"/>
  <c r="AU383" i="2"/>
  <c r="AT383" i="2"/>
  <c r="H383" i="1"/>
  <c r="AS383" i="2"/>
  <c r="G383" i="1"/>
  <c r="AR383" i="2"/>
  <c r="AQ383" i="2"/>
  <c r="AP383" i="2"/>
  <c r="D383" i="1"/>
  <c r="AO383" i="2"/>
  <c r="AN383" i="2"/>
  <c r="AM383" i="2"/>
  <c r="AJ383" i="2"/>
  <c r="AI383" i="2"/>
  <c r="BM382" i="2"/>
  <c r="AA382" i="1"/>
  <c r="BL382" i="2"/>
  <c r="BK382" i="2"/>
  <c r="BJ382" i="2"/>
  <c r="X382" i="1"/>
  <c r="BI382" i="2"/>
  <c r="BH382" i="2"/>
  <c r="BG382" i="2"/>
  <c r="U382" i="1"/>
  <c r="BF382" i="2"/>
  <c r="BE382" i="2"/>
  <c r="S382" i="1"/>
  <c r="BD382" i="2"/>
  <c r="BC382" i="2"/>
  <c r="BB382" i="2"/>
  <c r="BA382" i="2"/>
  <c r="AZ382" i="2"/>
  <c r="AY382" i="2"/>
  <c r="AX382" i="2"/>
  <c r="AW382" i="2"/>
  <c r="AV382" i="2"/>
  <c r="AU382" i="2"/>
  <c r="AT382" i="2"/>
  <c r="H382" i="1"/>
  <c r="AS382" i="2"/>
  <c r="G382" i="1"/>
  <c r="AR382" i="2"/>
  <c r="AQ382" i="2"/>
  <c r="AP382" i="2"/>
  <c r="D382" i="1"/>
  <c r="AO382" i="2"/>
  <c r="AN382" i="2"/>
  <c r="AM382" i="2"/>
  <c r="AJ382" i="2"/>
  <c r="AI382" i="2"/>
  <c r="BM381" i="2"/>
  <c r="AA381" i="1"/>
  <c r="BL381" i="2"/>
  <c r="BK381" i="2"/>
  <c r="BJ381" i="2"/>
  <c r="X381" i="1"/>
  <c r="BI381" i="2"/>
  <c r="BH381" i="2"/>
  <c r="BG381" i="2"/>
  <c r="U381" i="1"/>
  <c r="BF381" i="2"/>
  <c r="BE381" i="2"/>
  <c r="S381" i="1"/>
  <c r="BD381" i="2"/>
  <c r="BC381" i="2"/>
  <c r="BB381" i="2"/>
  <c r="BA381" i="2"/>
  <c r="AZ381" i="2"/>
  <c r="AY381" i="2"/>
  <c r="AX381" i="2"/>
  <c r="AW381" i="2"/>
  <c r="AV381" i="2"/>
  <c r="AU381" i="2"/>
  <c r="AT381" i="2"/>
  <c r="H381" i="1"/>
  <c r="AS381" i="2"/>
  <c r="G381" i="1"/>
  <c r="AR381" i="2"/>
  <c r="AQ381" i="2"/>
  <c r="AP381" i="2"/>
  <c r="D381" i="1"/>
  <c r="AO381" i="2"/>
  <c r="AN381" i="2"/>
  <c r="AM381" i="2"/>
  <c r="AJ381" i="2"/>
  <c r="AI381" i="2"/>
  <c r="BM380" i="2"/>
  <c r="AA380" i="1"/>
  <c r="BL380" i="2"/>
  <c r="BK380" i="2"/>
  <c r="BJ380" i="2"/>
  <c r="X380" i="1"/>
  <c r="BI380" i="2"/>
  <c r="BH380" i="2"/>
  <c r="BG380" i="2"/>
  <c r="U380" i="1"/>
  <c r="BF380" i="2"/>
  <c r="BE380" i="2"/>
  <c r="S380" i="1"/>
  <c r="BD380" i="2"/>
  <c r="BC380" i="2"/>
  <c r="BB380" i="2"/>
  <c r="BA380" i="2"/>
  <c r="AZ380" i="2"/>
  <c r="AY380" i="2"/>
  <c r="AX380" i="2"/>
  <c r="AW380" i="2"/>
  <c r="AV380" i="2"/>
  <c r="AU380" i="2"/>
  <c r="AT380" i="2"/>
  <c r="H380" i="1"/>
  <c r="AS380" i="2"/>
  <c r="G380" i="1"/>
  <c r="AR380" i="2"/>
  <c r="AQ380" i="2"/>
  <c r="AP380" i="2"/>
  <c r="D380" i="1"/>
  <c r="AO380" i="2"/>
  <c r="AN380" i="2"/>
  <c r="AM380" i="2"/>
  <c r="AJ380" i="2"/>
  <c r="AI380" i="2"/>
  <c r="BM379" i="2"/>
  <c r="AA379" i="1"/>
  <c r="BL379" i="2"/>
  <c r="BK379" i="2"/>
  <c r="BJ379" i="2"/>
  <c r="X379" i="1"/>
  <c r="BI379" i="2"/>
  <c r="BH379" i="2"/>
  <c r="BG379" i="2"/>
  <c r="U379" i="1"/>
  <c r="BF379" i="2"/>
  <c r="BE379" i="2"/>
  <c r="S379" i="1"/>
  <c r="BD379" i="2"/>
  <c r="BC379" i="2"/>
  <c r="BB379" i="2"/>
  <c r="BA379" i="2"/>
  <c r="AZ379" i="2"/>
  <c r="AY379" i="2"/>
  <c r="AX379" i="2"/>
  <c r="AW379" i="2"/>
  <c r="AV379" i="2"/>
  <c r="AU379" i="2"/>
  <c r="AT379" i="2"/>
  <c r="H379" i="1"/>
  <c r="AS379" i="2"/>
  <c r="G379" i="1"/>
  <c r="AR379" i="2"/>
  <c r="AQ379" i="2"/>
  <c r="AP379" i="2"/>
  <c r="D379" i="1"/>
  <c r="AO379" i="2"/>
  <c r="AN379" i="2"/>
  <c r="AM379" i="2"/>
  <c r="AJ379" i="2"/>
  <c r="AI379" i="2"/>
  <c r="BM378" i="2"/>
  <c r="AA378" i="1"/>
  <c r="BL378" i="2"/>
  <c r="BK378" i="2"/>
  <c r="BJ378" i="2"/>
  <c r="X378" i="1"/>
  <c r="BI378" i="2"/>
  <c r="BH378" i="2"/>
  <c r="BG378" i="2"/>
  <c r="U378" i="1"/>
  <c r="BF378" i="2"/>
  <c r="BE378" i="2"/>
  <c r="S378" i="1"/>
  <c r="BD378" i="2"/>
  <c r="BC378" i="2"/>
  <c r="BB378" i="2"/>
  <c r="BA378" i="2"/>
  <c r="AZ378" i="2"/>
  <c r="AY378" i="2"/>
  <c r="AX378" i="2"/>
  <c r="AW378" i="2"/>
  <c r="AV378" i="2"/>
  <c r="AU378" i="2"/>
  <c r="AT378" i="2"/>
  <c r="H378" i="1"/>
  <c r="AS378" i="2"/>
  <c r="G378" i="1"/>
  <c r="AR378" i="2"/>
  <c r="AQ378" i="2"/>
  <c r="AP378" i="2"/>
  <c r="D378" i="1"/>
  <c r="AO378" i="2"/>
  <c r="AN378" i="2"/>
  <c r="AM378" i="2"/>
  <c r="AJ378" i="2"/>
  <c r="AI378" i="2"/>
  <c r="BM377" i="2"/>
  <c r="AA377" i="1"/>
  <c r="BL377" i="2"/>
  <c r="BK377" i="2"/>
  <c r="BJ377" i="2"/>
  <c r="X377" i="1"/>
  <c r="BI377" i="2"/>
  <c r="BH377" i="2"/>
  <c r="BG377" i="2"/>
  <c r="U377" i="1"/>
  <c r="BF377" i="2"/>
  <c r="BE377" i="2"/>
  <c r="S377" i="1"/>
  <c r="BD377" i="2"/>
  <c r="BC377" i="2"/>
  <c r="BB377" i="2"/>
  <c r="BA377" i="2"/>
  <c r="AZ377" i="2"/>
  <c r="AY377" i="2"/>
  <c r="AX377" i="2"/>
  <c r="AW377" i="2"/>
  <c r="AV377" i="2"/>
  <c r="AU377" i="2"/>
  <c r="AT377" i="2"/>
  <c r="H377" i="1"/>
  <c r="AS377" i="2"/>
  <c r="G377" i="1"/>
  <c r="AR377" i="2"/>
  <c r="AQ377" i="2"/>
  <c r="AP377" i="2"/>
  <c r="D377" i="1"/>
  <c r="AO377" i="2"/>
  <c r="AN377" i="2"/>
  <c r="AM377" i="2"/>
  <c r="AJ377" i="2"/>
  <c r="AI377" i="2"/>
  <c r="BM376" i="2"/>
  <c r="AA376" i="1"/>
  <c r="BL376" i="2"/>
  <c r="BK376" i="2"/>
  <c r="BJ376" i="2"/>
  <c r="X376" i="1"/>
  <c r="BI376" i="2"/>
  <c r="BH376" i="2"/>
  <c r="BG376" i="2"/>
  <c r="U376" i="1"/>
  <c r="BF376" i="2"/>
  <c r="BE376" i="2"/>
  <c r="S376" i="1"/>
  <c r="BD376" i="2"/>
  <c r="BC376" i="2"/>
  <c r="BB376" i="2"/>
  <c r="BA376" i="2"/>
  <c r="AZ376" i="2"/>
  <c r="AY376" i="2"/>
  <c r="AX376" i="2"/>
  <c r="AW376" i="2"/>
  <c r="AV376" i="2"/>
  <c r="AU376" i="2"/>
  <c r="AT376" i="2"/>
  <c r="H376" i="1"/>
  <c r="AS376" i="2"/>
  <c r="G376" i="1"/>
  <c r="AR376" i="2"/>
  <c r="AQ376" i="2"/>
  <c r="AP376" i="2"/>
  <c r="D376" i="1"/>
  <c r="AO376" i="2"/>
  <c r="AN376" i="2"/>
  <c r="AM376" i="2"/>
  <c r="AJ376" i="2"/>
  <c r="AI376" i="2"/>
  <c r="BM375" i="2"/>
  <c r="AA375" i="1"/>
  <c r="BL375" i="2"/>
  <c r="BK375" i="2"/>
  <c r="BJ375" i="2"/>
  <c r="X375" i="1"/>
  <c r="BI375" i="2"/>
  <c r="BH375" i="2"/>
  <c r="BG375" i="2"/>
  <c r="U375" i="1"/>
  <c r="BF375" i="2"/>
  <c r="BE375" i="2"/>
  <c r="S375" i="1"/>
  <c r="BD375" i="2"/>
  <c r="BC375" i="2"/>
  <c r="BB375" i="2"/>
  <c r="BA375" i="2"/>
  <c r="AZ375" i="2"/>
  <c r="AY375" i="2"/>
  <c r="AX375" i="2"/>
  <c r="AW375" i="2"/>
  <c r="AV375" i="2"/>
  <c r="AU375" i="2"/>
  <c r="AT375" i="2"/>
  <c r="H375" i="1"/>
  <c r="AS375" i="2"/>
  <c r="G375" i="1"/>
  <c r="AR375" i="2"/>
  <c r="AQ375" i="2"/>
  <c r="AP375" i="2"/>
  <c r="D375" i="1"/>
  <c r="AO375" i="2"/>
  <c r="AN375" i="2"/>
  <c r="AM375" i="2"/>
  <c r="AJ375" i="2"/>
  <c r="AI375" i="2"/>
  <c r="BM374" i="2"/>
  <c r="AA374" i="1"/>
  <c r="BL374" i="2"/>
  <c r="BK374" i="2"/>
  <c r="BJ374" i="2"/>
  <c r="X374" i="1"/>
  <c r="BI374" i="2"/>
  <c r="BH374" i="2"/>
  <c r="BG374" i="2"/>
  <c r="U374" i="1"/>
  <c r="BF374" i="2"/>
  <c r="BE374" i="2"/>
  <c r="S374" i="1"/>
  <c r="BD374" i="2"/>
  <c r="BC374" i="2"/>
  <c r="BB374" i="2"/>
  <c r="BA374" i="2"/>
  <c r="AZ374" i="2"/>
  <c r="AY374" i="2"/>
  <c r="AX374" i="2"/>
  <c r="AW374" i="2"/>
  <c r="AV374" i="2"/>
  <c r="AU374" i="2"/>
  <c r="AT374" i="2"/>
  <c r="H374" i="1"/>
  <c r="AS374" i="2"/>
  <c r="G374" i="1"/>
  <c r="AR374" i="2"/>
  <c r="AQ374" i="2"/>
  <c r="AP374" i="2"/>
  <c r="D374" i="1"/>
  <c r="AO374" i="2"/>
  <c r="AN374" i="2"/>
  <c r="AM374" i="2"/>
  <c r="AJ374" i="2"/>
  <c r="AI374" i="2"/>
  <c r="BM373" i="2"/>
  <c r="AA373" i="1"/>
  <c r="BL373" i="2"/>
  <c r="BK373" i="2"/>
  <c r="BJ373" i="2"/>
  <c r="X373" i="1"/>
  <c r="BI373" i="2"/>
  <c r="BH373" i="2"/>
  <c r="BG373" i="2"/>
  <c r="U373" i="1"/>
  <c r="BF373" i="2"/>
  <c r="BE373" i="2"/>
  <c r="S373" i="1"/>
  <c r="BD373" i="2"/>
  <c r="BC373" i="2"/>
  <c r="BB373" i="2"/>
  <c r="BA373" i="2"/>
  <c r="AZ373" i="2"/>
  <c r="AY373" i="2"/>
  <c r="AX373" i="2"/>
  <c r="AW373" i="2"/>
  <c r="AV373" i="2"/>
  <c r="AU373" i="2"/>
  <c r="AT373" i="2"/>
  <c r="H373" i="1"/>
  <c r="AS373" i="2"/>
  <c r="G373" i="1"/>
  <c r="AR373" i="2"/>
  <c r="AQ373" i="2"/>
  <c r="AP373" i="2"/>
  <c r="D373" i="1"/>
  <c r="AO373" i="2"/>
  <c r="AN373" i="2"/>
  <c r="AM373" i="2"/>
  <c r="AJ373" i="2"/>
  <c r="AI373" i="2"/>
  <c r="BM372" i="2"/>
  <c r="AA372" i="1"/>
  <c r="BL372" i="2"/>
  <c r="BK372" i="2"/>
  <c r="BJ372" i="2"/>
  <c r="X372" i="1"/>
  <c r="BI372" i="2"/>
  <c r="BH372" i="2"/>
  <c r="BG372" i="2"/>
  <c r="U372" i="1"/>
  <c r="BF372" i="2"/>
  <c r="BE372" i="2"/>
  <c r="S372" i="1"/>
  <c r="BD372" i="2"/>
  <c r="BC372" i="2"/>
  <c r="BB372" i="2"/>
  <c r="BA372" i="2"/>
  <c r="AZ372" i="2"/>
  <c r="AY372" i="2"/>
  <c r="AX372" i="2"/>
  <c r="AW372" i="2"/>
  <c r="AV372" i="2"/>
  <c r="AU372" i="2"/>
  <c r="AT372" i="2"/>
  <c r="H372" i="1"/>
  <c r="AS372" i="2"/>
  <c r="G372" i="1"/>
  <c r="AR372" i="2"/>
  <c r="AQ372" i="2"/>
  <c r="AP372" i="2"/>
  <c r="D372" i="1"/>
  <c r="AO372" i="2"/>
  <c r="AN372" i="2"/>
  <c r="AM372" i="2"/>
  <c r="AJ372" i="2"/>
  <c r="AI372" i="2"/>
  <c r="BM371" i="2"/>
  <c r="AA371" i="1"/>
  <c r="BL371" i="2"/>
  <c r="BK371" i="2"/>
  <c r="BJ371" i="2"/>
  <c r="X371" i="1"/>
  <c r="BI371" i="2"/>
  <c r="BH371" i="2"/>
  <c r="BG371" i="2"/>
  <c r="U371" i="1"/>
  <c r="BF371" i="2"/>
  <c r="BE371" i="2"/>
  <c r="S371" i="1"/>
  <c r="BD371" i="2"/>
  <c r="BC371" i="2"/>
  <c r="BB371" i="2"/>
  <c r="BA371" i="2"/>
  <c r="AZ371" i="2"/>
  <c r="AY371" i="2"/>
  <c r="AX371" i="2"/>
  <c r="AW371" i="2"/>
  <c r="AV371" i="2"/>
  <c r="AU371" i="2"/>
  <c r="AT371" i="2"/>
  <c r="H371" i="1"/>
  <c r="AS371" i="2"/>
  <c r="G371" i="1"/>
  <c r="AR371" i="2"/>
  <c r="AQ371" i="2"/>
  <c r="AP371" i="2"/>
  <c r="D371" i="1"/>
  <c r="AO371" i="2"/>
  <c r="AN371" i="2"/>
  <c r="AM371" i="2"/>
  <c r="AJ371" i="2"/>
  <c r="AI371" i="2"/>
  <c r="BM370" i="2"/>
  <c r="AA370" i="1"/>
  <c r="BL370" i="2"/>
  <c r="BK370" i="2"/>
  <c r="BJ370" i="2"/>
  <c r="X370" i="1"/>
  <c r="BI370" i="2"/>
  <c r="BH370" i="2"/>
  <c r="BG370" i="2"/>
  <c r="U370" i="1"/>
  <c r="BF370" i="2"/>
  <c r="BE370" i="2"/>
  <c r="S370" i="1"/>
  <c r="BD370" i="2"/>
  <c r="BC370" i="2"/>
  <c r="BB370" i="2"/>
  <c r="BA370" i="2"/>
  <c r="AZ370" i="2"/>
  <c r="AY370" i="2"/>
  <c r="AX370" i="2"/>
  <c r="AW370" i="2"/>
  <c r="AV370" i="2"/>
  <c r="AU370" i="2"/>
  <c r="AT370" i="2"/>
  <c r="H370" i="1"/>
  <c r="AS370" i="2"/>
  <c r="G370" i="1"/>
  <c r="AR370" i="2"/>
  <c r="AQ370" i="2"/>
  <c r="AP370" i="2"/>
  <c r="D370" i="1"/>
  <c r="AO370" i="2"/>
  <c r="AN370" i="2"/>
  <c r="AM370" i="2"/>
  <c r="AJ370" i="2"/>
  <c r="AI370" i="2"/>
  <c r="BM369" i="2"/>
  <c r="AA369" i="1"/>
  <c r="BL369" i="2"/>
  <c r="BK369" i="2"/>
  <c r="BJ369" i="2"/>
  <c r="X369" i="1"/>
  <c r="BI369" i="2"/>
  <c r="BH369" i="2"/>
  <c r="BG369" i="2"/>
  <c r="U369" i="1"/>
  <c r="BF369" i="2"/>
  <c r="BE369" i="2"/>
  <c r="S369" i="1"/>
  <c r="BD369" i="2"/>
  <c r="BC369" i="2"/>
  <c r="BB369" i="2"/>
  <c r="BA369" i="2"/>
  <c r="AZ369" i="2"/>
  <c r="AY369" i="2"/>
  <c r="AX369" i="2"/>
  <c r="AW369" i="2"/>
  <c r="AV369" i="2"/>
  <c r="AU369" i="2"/>
  <c r="AT369" i="2"/>
  <c r="H369" i="1"/>
  <c r="AS369" i="2"/>
  <c r="G369" i="1"/>
  <c r="AR369" i="2"/>
  <c r="AQ369" i="2"/>
  <c r="AP369" i="2"/>
  <c r="D369" i="1"/>
  <c r="AO369" i="2"/>
  <c r="AN369" i="2"/>
  <c r="AM369" i="2"/>
  <c r="AJ369" i="2"/>
  <c r="AI369" i="2"/>
  <c r="BM368" i="2"/>
  <c r="AA368" i="1"/>
  <c r="BL368" i="2"/>
  <c r="BK368" i="2"/>
  <c r="BJ368" i="2"/>
  <c r="X368" i="1"/>
  <c r="BI368" i="2"/>
  <c r="BH368" i="2"/>
  <c r="BG368" i="2"/>
  <c r="U368" i="1"/>
  <c r="BF368" i="2"/>
  <c r="BE368" i="2"/>
  <c r="S368" i="1"/>
  <c r="BD368" i="2"/>
  <c r="BC368" i="2"/>
  <c r="BB368" i="2"/>
  <c r="BA368" i="2"/>
  <c r="AZ368" i="2"/>
  <c r="AY368" i="2"/>
  <c r="AX368" i="2"/>
  <c r="AW368" i="2"/>
  <c r="AV368" i="2"/>
  <c r="AU368" i="2"/>
  <c r="AT368" i="2"/>
  <c r="H368" i="1"/>
  <c r="AS368" i="2"/>
  <c r="G368" i="1"/>
  <c r="AR368" i="2"/>
  <c r="AQ368" i="2"/>
  <c r="AP368" i="2"/>
  <c r="D368" i="1"/>
  <c r="AO368" i="2"/>
  <c r="AN368" i="2"/>
  <c r="AM368" i="2"/>
  <c r="AJ368" i="2"/>
  <c r="AI368" i="2"/>
  <c r="BM367" i="2"/>
  <c r="AA367" i="1"/>
  <c r="BL367" i="2"/>
  <c r="BK367" i="2"/>
  <c r="BJ367" i="2"/>
  <c r="X367" i="1"/>
  <c r="BI367" i="2"/>
  <c r="BH367" i="2"/>
  <c r="BG367" i="2"/>
  <c r="U367" i="1"/>
  <c r="BF367" i="2"/>
  <c r="BE367" i="2"/>
  <c r="S367" i="1"/>
  <c r="BD367" i="2"/>
  <c r="BC367" i="2"/>
  <c r="BB367" i="2"/>
  <c r="BA367" i="2"/>
  <c r="AZ367" i="2"/>
  <c r="AY367" i="2"/>
  <c r="AX367" i="2"/>
  <c r="AW367" i="2"/>
  <c r="AV367" i="2"/>
  <c r="AU367" i="2"/>
  <c r="AT367" i="2"/>
  <c r="H367" i="1"/>
  <c r="AS367" i="2"/>
  <c r="G367" i="1"/>
  <c r="AR367" i="2"/>
  <c r="AQ367" i="2"/>
  <c r="AP367" i="2"/>
  <c r="D367" i="1"/>
  <c r="AO367" i="2"/>
  <c r="AN367" i="2"/>
  <c r="AM367" i="2"/>
  <c r="AJ367" i="2"/>
  <c r="AI367" i="2"/>
  <c r="BM366" i="2"/>
  <c r="AA366" i="1"/>
  <c r="BL366" i="2"/>
  <c r="BK366" i="2"/>
  <c r="BJ366" i="2"/>
  <c r="X366" i="1"/>
  <c r="BI366" i="2"/>
  <c r="BH366" i="2"/>
  <c r="BG366" i="2"/>
  <c r="U366" i="1"/>
  <c r="BF366" i="2"/>
  <c r="BE366" i="2"/>
  <c r="S366" i="1"/>
  <c r="BD366" i="2"/>
  <c r="BC366" i="2"/>
  <c r="BB366" i="2"/>
  <c r="BA366" i="2"/>
  <c r="AZ366" i="2"/>
  <c r="AY366" i="2"/>
  <c r="AX366" i="2"/>
  <c r="AW366" i="2"/>
  <c r="AV366" i="2"/>
  <c r="AU366" i="2"/>
  <c r="AT366" i="2"/>
  <c r="H366" i="1"/>
  <c r="AS366" i="2"/>
  <c r="G366" i="1"/>
  <c r="AR366" i="2"/>
  <c r="AQ366" i="2"/>
  <c r="AP366" i="2"/>
  <c r="D366" i="1"/>
  <c r="AO366" i="2"/>
  <c r="AN366" i="2"/>
  <c r="AM366" i="2"/>
  <c r="AJ366" i="2"/>
  <c r="AI366" i="2"/>
  <c r="BM365" i="2"/>
  <c r="AA365" i="1"/>
  <c r="BL365" i="2"/>
  <c r="BK365" i="2"/>
  <c r="BJ365" i="2"/>
  <c r="X365" i="1"/>
  <c r="BI365" i="2"/>
  <c r="BH365" i="2"/>
  <c r="BG365" i="2"/>
  <c r="U365" i="1"/>
  <c r="BF365" i="2"/>
  <c r="BE365" i="2"/>
  <c r="S365" i="1"/>
  <c r="BD365" i="2"/>
  <c r="BC365" i="2"/>
  <c r="BB365" i="2"/>
  <c r="BA365" i="2"/>
  <c r="AZ365" i="2"/>
  <c r="AY365" i="2"/>
  <c r="AX365" i="2"/>
  <c r="AW365" i="2"/>
  <c r="AV365" i="2"/>
  <c r="AU365" i="2"/>
  <c r="AT365" i="2"/>
  <c r="H365" i="1"/>
  <c r="AS365" i="2"/>
  <c r="G365" i="1"/>
  <c r="AR365" i="2"/>
  <c r="AQ365" i="2"/>
  <c r="AP365" i="2"/>
  <c r="D365" i="1"/>
  <c r="AO365" i="2"/>
  <c r="AN365" i="2"/>
  <c r="AM365" i="2"/>
  <c r="AJ365" i="2"/>
  <c r="AI365" i="2"/>
  <c r="BM364" i="2"/>
  <c r="AA364" i="1"/>
  <c r="BL364" i="2"/>
  <c r="BK364" i="2"/>
  <c r="BJ364" i="2"/>
  <c r="X364" i="1"/>
  <c r="BI364" i="2"/>
  <c r="BH364" i="2"/>
  <c r="BG364" i="2"/>
  <c r="U364" i="1"/>
  <c r="BF364" i="2"/>
  <c r="BE364" i="2"/>
  <c r="S364" i="1"/>
  <c r="BD364" i="2"/>
  <c r="BC364" i="2"/>
  <c r="BB364" i="2"/>
  <c r="BA364" i="2"/>
  <c r="AZ364" i="2"/>
  <c r="AY364" i="2"/>
  <c r="AX364" i="2"/>
  <c r="AW364" i="2"/>
  <c r="AV364" i="2"/>
  <c r="AU364" i="2"/>
  <c r="AT364" i="2"/>
  <c r="H364" i="1"/>
  <c r="AS364" i="2"/>
  <c r="G364" i="1"/>
  <c r="AR364" i="2"/>
  <c r="AQ364" i="2"/>
  <c r="AP364" i="2"/>
  <c r="D364" i="1"/>
  <c r="AO364" i="2"/>
  <c r="AN364" i="2"/>
  <c r="AM364" i="2"/>
  <c r="AJ364" i="2"/>
  <c r="AI364" i="2"/>
  <c r="BM363" i="2"/>
  <c r="AA363" i="1"/>
  <c r="BL363" i="2"/>
  <c r="BK363" i="2"/>
  <c r="BJ363" i="2"/>
  <c r="X363" i="1"/>
  <c r="BI363" i="2"/>
  <c r="BH363" i="2"/>
  <c r="BG363" i="2"/>
  <c r="U363" i="1"/>
  <c r="BF363" i="2"/>
  <c r="BE363" i="2"/>
  <c r="S363" i="1"/>
  <c r="BD363" i="2"/>
  <c r="BC363" i="2"/>
  <c r="BB363" i="2"/>
  <c r="BA363" i="2"/>
  <c r="AZ363" i="2"/>
  <c r="AY363" i="2"/>
  <c r="AX363" i="2"/>
  <c r="AW363" i="2"/>
  <c r="AV363" i="2"/>
  <c r="AU363" i="2"/>
  <c r="AT363" i="2"/>
  <c r="H363" i="1"/>
  <c r="AS363" i="2"/>
  <c r="G363" i="1"/>
  <c r="AR363" i="2"/>
  <c r="AQ363" i="2"/>
  <c r="AP363" i="2"/>
  <c r="D363" i="1"/>
  <c r="AO363" i="2"/>
  <c r="AN363" i="2"/>
  <c r="AM363" i="2"/>
  <c r="AJ363" i="2"/>
  <c r="AI363" i="2"/>
  <c r="BM362" i="2"/>
  <c r="AA362" i="1"/>
  <c r="BL362" i="2"/>
  <c r="BK362" i="2"/>
  <c r="BJ362" i="2"/>
  <c r="X362" i="1"/>
  <c r="BI362" i="2"/>
  <c r="BH362" i="2"/>
  <c r="BG362" i="2"/>
  <c r="U362" i="1"/>
  <c r="BF362" i="2"/>
  <c r="BE362" i="2"/>
  <c r="S362" i="1"/>
  <c r="BD362" i="2"/>
  <c r="BC362" i="2"/>
  <c r="BB362" i="2"/>
  <c r="BA362" i="2"/>
  <c r="AZ362" i="2"/>
  <c r="AY362" i="2"/>
  <c r="AX362" i="2"/>
  <c r="AW362" i="2"/>
  <c r="AV362" i="2"/>
  <c r="AU362" i="2"/>
  <c r="AT362" i="2"/>
  <c r="H362" i="1"/>
  <c r="AS362" i="2"/>
  <c r="G362" i="1"/>
  <c r="AR362" i="2"/>
  <c r="AQ362" i="2"/>
  <c r="AP362" i="2"/>
  <c r="D362" i="1"/>
  <c r="AO362" i="2"/>
  <c r="AN362" i="2"/>
  <c r="AM362" i="2"/>
  <c r="AJ362" i="2"/>
  <c r="AI362" i="2"/>
  <c r="BM361" i="2"/>
  <c r="AA361" i="1"/>
  <c r="BL361" i="2"/>
  <c r="BK361" i="2"/>
  <c r="BJ361" i="2"/>
  <c r="X361" i="1"/>
  <c r="BI361" i="2"/>
  <c r="BH361" i="2"/>
  <c r="BG361" i="2"/>
  <c r="U361" i="1"/>
  <c r="BF361" i="2"/>
  <c r="BE361" i="2"/>
  <c r="S361" i="1"/>
  <c r="BD361" i="2"/>
  <c r="BC361" i="2"/>
  <c r="BB361" i="2"/>
  <c r="BA361" i="2"/>
  <c r="AZ361" i="2"/>
  <c r="AY361" i="2"/>
  <c r="AX361" i="2"/>
  <c r="AW361" i="2"/>
  <c r="AV361" i="2"/>
  <c r="AU361" i="2"/>
  <c r="AT361" i="2"/>
  <c r="H361" i="1"/>
  <c r="AS361" i="2"/>
  <c r="G361" i="1"/>
  <c r="AR361" i="2"/>
  <c r="AQ361" i="2"/>
  <c r="AP361" i="2"/>
  <c r="D361" i="1"/>
  <c r="AO361" i="2"/>
  <c r="AN361" i="2"/>
  <c r="AM361" i="2"/>
  <c r="AJ361" i="2"/>
  <c r="AI361" i="2"/>
  <c r="BM360" i="2"/>
  <c r="AA360" i="1"/>
  <c r="BL360" i="2"/>
  <c r="BK360" i="2"/>
  <c r="BJ360" i="2"/>
  <c r="X360" i="1"/>
  <c r="BI360" i="2"/>
  <c r="BH360" i="2"/>
  <c r="BG360" i="2"/>
  <c r="U360" i="1"/>
  <c r="BF360" i="2"/>
  <c r="BE360" i="2"/>
  <c r="S360" i="1"/>
  <c r="BD360" i="2"/>
  <c r="BC360" i="2"/>
  <c r="BB360" i="2"/>
  <c r="BA360" i="2"/>
  <c r="AZ360" i="2"/>
  <c r="AY360" i="2"/>
  <c r="AX360" i="2"/>
  <c r="AW360" i="2"/>
  <c r="AV360" i="2"/>
  <c r="AU360" i="2"/>
  <c r="AT360" i="2"/>
  <c r="H360" i="1"/>
  <c r="AS360" i="2"/>
  <c r="G360" i="1"/>
  <c r="AR360" i="2"/>
  <c r="AQ360" i="2"/>
  <c r="AP360" i="2"/>
  <c r="D360" i="1"/>
  <c r="AO360" i="2"/>
  <c r="AN360" i="2"/>
  <c r="AM360" i="2"/>
  <c r="AJ360" i="2"/>
  <c r="AI360" i="2"/>
  <c r="BM359" i="2"/>
  <c r="AA359" i="1"/>
  <c r="BL359" i="2"/>
  <c r="BK359" i="2"/>
  <c r="BJ359" i="2"/>
  <c r="X359" i="1"/>
  <c r="BI359" i="2"/>
  <c r="BH359" i="2"/>
  <c r="BG359" i="2"/>
  <c r="U359" i="1"/>
  <c r="BF359" i="2"/>
  <c r="BE359" i="2"/>
  <c r="S359" i="1"/>
  <c r="BD359" i="2"/>
  <c r="BC359" i="2"/>
  <c r="BB359" i="2"/>
  <c r="BA359" i="2"/>
  <c r="AZ359" i="2"/>
  <c r="AY359" i="2"/>
  <c r="AX359" i="2"/>
  <c r="AW359" i="2"/>
  <c r="AV359" i="2"/>
  <c r="AU359" i="2"/>
  <c r="AT359" i="2"/>
  <c r="H359" i="1"/>
  <c r="AS359" i="2"/>
  <c r="G359" i="1"/>
  <c r="AR359" i="2"/>
  <c r="AQ359" i="2"/>
  <c r="AP359" i="2"/>
  <c r="D359" i="1"/>
  <c r="AO359" i="2"/>
  <c r="AN359" i="2"/>
  <c r="AM359" i="2"/>
  <c r="AJ359" i="2"/>
  <c r="AI359" i="2"/>
  <c r="BM358" i="2"/>
  <c r="AA358" i="1"/>
  <c r="BL358" i="2"/>
  <c r="BK358" i="2"/>
  <c r="BJ358" i="2"/>
  <c r="X358" i="1"/>
  <c r="BI358" i="2"/>
  <c r="BH358" i="2"/>
  <c r="BG358" i="2"/>
  <c r="U358" i="1"/>
  <c r="BF358" i="2"/>
  <c r="BE358" i="2"/>
  <c r="S358" i="1"/>
  <c r="BD358" i="2"/>
  <c r="BC358" i="2"/>
  <c r="BB358" i="2"/>
  <c r="BA358" i="2"/>
  <c r="AZ358" i="2"/>
  <c r="AY358" i="2"/>
  <c r="AX358" i="2"/>
  <c r="AW358" i="2"/>
  <c r="AV358" i="2"/>
  <c r="AU358" i="2"/>
  <c r="AT358" i="2"/>
  <c r="H358" i="1"/>
  <c r="AS358" i="2"/>
  <c r="G358" i="1"/>
  <c r="AR358" i="2"/>
  <c r="AQ358" i="2"/>
  <c r="AP358" i="2"/>
  <c r="D358" i="1"/>
  <c r="AO358" i="2"/>
  <c r="AN358" i="2"/>
  <c r="AM358" i="2"/>
  <c r="AJ358" i="2"/>
  <c r="AI358" i="2"/>
  <c r="BM357" i="2"/>
  <c r="AA357" i="1"/>
  <c r="BL357" i="2"/>
  <c r="BK357" i="2"/>
  <c r="BJ357" i="2"/>
  <c r="X357" i="1"/>
  <c r="BI357" i="2"/>
  <c r="BH357" i="2"/>
  <c r="BG357" i="2"/>
  <c r="U357" i="1"/>
  <c r="BF357" i="2"/>
  <c r="BE357" i="2"/>
  <c r="S357" i="1"/>
  <c r="BD357" i="2"/>
  <c r="BC357" i="2"/>
  <c r="BB357" i="2"/>
  <c r="BA357" i="2"/>
  <c r="AZ357" i="2"/>
  <c r="AY357" i="2"/>
  <c r="AX357" i="2"/>
  <c r="AW357" i="2"/>
  <c r="AV357" i="2"/>
  <c r="AU357" i="2"/>
  <c r="AT357" i="2"/>
  <c r="H357" i="1"/>
  <c r="AS357" i="2"/>
  <c r="G357" i="1"/>
  <c r="AR357" i="2"/>
  <c r="AQ357" i="2"/>
  <c r="AP357" i="2"/>
  <c r="D357" i="1"/>
  <c r="AO357" i="2"/>
  <c r="AN357" i="2"/>
  <c r="AM357" i="2"/>
  <c r="AJ357" i="2"/>
  <c r="AI357" i="2"/>
  <c r="BM356" i="2"/>
  <c r="AA356" i="1"/>
  <c r="BL356" i="2"/>
  <c r="BK356" i="2"/>
  <c r="BJ356" i="2"/>
  <c r="X356" i="1"/>
  <c r="BI356" i="2"/>
  <c r="BH356" i="2"/>
  <c r="BG356" i="2"/>
  <c r="U356" i="1"/>
  <c r="BF356" i="2"/>
  <c r="BE356" i="2"/>
  <c r="S356" i="1"/>
  <c r="BD356" i="2"/>
  <c r="BC356" i="2"/>
  <c r="BB356" i="2"/>
  <c r="BA356" i="2"/>
  <c r="AZ356" i="2"/>
  <c r="AY356" i="2"/>
  <c r="AX356" i="2"/>
  <c r="AW356" i="2"/>
  <c r="AV356" i="2"/>
  <c r="AU356" i="2"/>
  <c r="AT356" i="2"/>
  <c r="H356" i="1"/>
  <c r="AS356" i="2"/>
  <c r="G356" i="1"/>
  <c r="AR356" i="2"/>
  <c r="AQ356" i="2"/>
  <c r="AP356" i="2"/>
  <c r="D356" i="1"/>
  <c r="AO356" i="2"/>
  <c r="AN356" i="2"/>
  <c r="AM356" i="2"/>
  <c r="AJ356" i="2"/>
  <c r="AI356" i="2"/>
  <c r="BM355" i="2"/>
  <c r="AA355" i="1"/>
  <c r="BL355" i="2"/>
  <c r="BK355" i="2"/>
  <c r="BJ355" i="2"/>
  <c r="X355" i="1"/>
  <c r="BI355" i="2"/>
  <c r="BH355" i="2"/>
  <c r="BG355" i="2"/>
  <c r="U355" i="1"/>
  <c r="BF355" i="2"/>
  <c r="BE355" i="2"/>
  <c r="S355" i="1"/>
  <c r="BD355" i="2"/>
  <c r="BC355" i="2"/>
  <c r="BB355" i="2"/>
  <c r="BA355" i="2"/>
  <c r="AZ355" i="2"/>
  <c r="AY355" i="2"/>
  <c r="AX355" i="2"/>
  <c r="AW355" i="2"/>
  <c r="AV355" i="2"/>
  <c r="AU355" i="2"/>
  <c r="AT355" i="2"/>
  <c r="H355" i="1"/>
  <c r="AS355" i="2"/>
  <c r="G355" i="1"/>
  <c r="AR355" i="2"/>
  <c r="AQ355" i="2"/>
  <c r="AP355" i="2"/>
  <c r="D355" i="1"/>
  <c r="AO355" i="2"/>
  <c r="AN355" i="2"/>
  <c r="AM355" i="2"/>
  <c r="AJ355" i="2"/>
  <c r="AI355" i="2"/>
  <c r="BM354" i="2"/>
  <c r="AA354" i="1"/>
  <c r="BL354" i="2"/>
  <c r="BK354" i="2"/>
  <c r="BJ354" i="2"/>
  <c r="X354" i="1"/>
  <c r="BI354" i="2"/>
  <c r="BH354" i="2"/>
  <c r="BG354" i="2"/>
  <c r="U354" i="1"/>
  <c r="BF354" i="2"/>
  <c r="BE354" i="2"/>
  <c r="S354" i="1"/>
  <c r="BD354" i="2"/>
  <c r="BC354" i="2"/>
  <c r="BB354" i="2"/>
  <c r="BA354" i="2"/>
  <c r="AZ354" i="2"/>
  <c r="AY354" i="2"/>
  <c r="AX354" i="2"/>
  <c r="AW354" i="2"/>
  <c r="AV354" i="2"/>
  <c r="AU354" i="2"/>
  <c r="AT354" i="2"/>
  <c r="H354" i="1"/>
  <c r="AS354" i="2"/>
  <c r="G354" i="1"/>
  <c r="AR354" i="2"/>
  <c r="AQ354" i="2"/>
  <c r="AP354" i="2"/>
  <c r="D354" i="1"/>
  <c r="AO354" i="2"/>
  <c r="AN354" i="2"/>
  <c r="AM354" i="2"/>
  <c r="AJ354" i="2"/>
  <c r="AI354" i="2"/>
  <c r="BM353" i="2"/>
  <c r="AA353" i="1"/>
  <c r="BL353" i="2"/>
  <c r="BK353" i="2"/>
  <c r="BJ353" i="2"/>
  <c r="X353" i="1"/>
  <c r="BI353" i="2"/>
  <c r="BH353" i="2"/>
  <c r="BG353" i="2"/>
  <c r="U353" i="1"/>
  <c r="BF353" i="2"/>
  <c r="BE353" i="2"/>
  <c r="S353" i="1"/>
  <c r="BD353" i="2"/>
  <c r="BC353" i="2"/>
  <c r="BB353" i="2"/>
  <c r="BA353" i="2"/>
  <c r="AZ353" i="2"/>
  <c r="AY353" i="2"/>
  <c r="AX353" i="2"/>
  <c r="AW353" i="2"/>
  <c r="AV353" i="2"/>
  <c r="AU353" i="2"/>
  <c r="AT353" i="2"/>
  <c r="H353" i="1"/>
  <c r="AS353" i="2"/>
  <c r="G353" i="1"/>
  <c r="AR353" i="2"/>
  <c r="AQ353" i="2"/>
  <c r="AP353" i="2"/>
  <c r="D353" i="1"/>
  <c r="AO353" i="2"/>
  <c r="AN353" i="2"/>
  <c r="AM353" i="2"/>
  <c r="AJ353" i="2"/>
  <c r="AI353" i="2"/>
  <c r="BM352" i="2"/>
  <c r="AA352" i="1"/>
  <c r="BL352" i="2"/>
  <c r="BK352" i="2"/>
  <c r="BJ352" i="2"/>
  <c r="X352" i="1"/>
  <c r="BI352" i="2"/>
  <c r="BH352" i="2"/>
  <c r="BG352" i="2"/>
  <c r="U352" i="1"/>
  <c r="BF352" i="2"/>
  <c r="BE352" i="2"/>
  <c r="S352" i="1"/>
  <c r="BD352" i="2"/>
  <c r="BC352" i="2"/>
  <c r="BB352" i="2"/>
  <c r="BA352" i="2"/>
  <c r="AZ352" i="2"/>
  <c r="AY352" i="2"/>
  <c r="AX352" i="2"/>
  <c r="AW352" i="2"/>
  <c r="AV352" i="2"/>
  <c r="AU352" i="2"/>
  <c r="AT352" i="2"/>
  <c r="H352" i="1"/>
  <c r="AS352" i="2"/>
  <c r="G352" i="1"/>
  <c r="AR352" i="2"/>
  <c r="AQ352" i="2"/>
  <c r="AP352" i="2"/>
  <c r="D352" i="1"/>
  <c r="AO352" i="2"/>
  <c r="AN352" i="2"/>
  <c r="AM352" i="2"/>
  <c r="AJ352" i="2"/>
  <c r="AI352" i="2"/>
  <c r="BM351" i="2"/>
  <c r="AA351" i="1"/>
  <c r="BL351" i="2"/>
  <c r="BK351" i="2"/>
  <c r="BJ351" i="2"/>
  <c r="X351" i="1"/>
  <c r="BI351" i="2"/>
  <c r="BH351" i="2"/>
  <c r="BG351" i="2"/>
  <c r="U351" i="1"/>
  <c r="BF351" i="2"/>
  <c r="BE351" i="2"/>
  <c r="S351" i="1"/>
  <c r="BD351" i="2"/>
  <c r="BC351" i="2"/>
  <c r="BB351" i="2"/>
  <c r="BA351" i="2"/>
  <c r="AZ351" i="2"/>
  <c r="AY351" i="2"/>
  <c r="AX351" i="2"/>
  <c r="AW351" i="2"/>
  <c r="AV351" i="2"/>
  <c r="AU351" i="2"/>
  <c r="AT351" i="2"/>
  <c r="H351" i="1"/>
  <c r="AS351" i="2"/>
  <c r="G351" i="1"/>
  <c r="AR351" i="2"/>
  <c r="AQ351" i="2"/>
  <c r="AP351" i="2"/>
  <c r="D351" i="1"/>
  <c r="AO351" i="2"/>
  <c r="AN351" i="2"/>
  <c r="AM351" i="2"/>
  <c r="AJ351" i="2"/>
  <c r="AI351" i="2"/>
  <c r="BM350" i="2"/>
  <c r="AA350" i="1"/>
  <c r="BL350" i="2"/>
  <c r="BK350" i="2"/>
  <c r="BJ350" i="2"/>
  <c r="X350" i="1"/>
  <c r="BI350" i="2"/>
  <c r="BH350" i="2"/>
  <c r="BG350" i="2"/>
  <c r="U350" i="1"/>
  <c r="BF350" i="2"/>
  <c r="BE350" i="2"/>
  <c r="S350" i="1"/>
  <c r="BD350" i="2"/>
  <c r="BC350" i="2"/>
  <c r="BB350" i="2"/>
  <c r="BA350" i="2"/>
  <c r="AZ350" i="2"/>
  <c r="AY350" i="2"/>
  <c r="AX350" i="2"/>
  <c r="AW350" i="2"/>
  <c r="AV350" i="2"/>
  <c r="AU350" i="2"/>
  <c r="AT350" i="2"/>
  <c r="H350" i="1"/>
  <c r="AS350" i="2"/>
  <c r="G350" i="1"/>
  <c r="AR350" i="2"/>
  <c r="AQ350" i="2"/>
  <c r="AP350" i="2"/>
  <c r="D350" i="1"/>
  <c r="AO350" i="2"/>
  <c r="AN350" i="2"/>
  <c r="AM350" i="2"/>
  <c r="AJ350" i="2"/>
  <c r="AI350" i="2"/>
  <c r="BM349" i="2"/>
  <c r="AA349" i="1"/>
  <c r="BL349" i="2"/>
  <c r="BK349" i="2"/>
  <c r="BJ349" i="2"/>
  <c r="X349" i="1"/>
  <c r="BI349" i="2"/>
  <c r="BH349" i="2"/>
  <c r="BG349" i="2"/>
  <c r="U349" i="1"/>
  <c r="BF349" i="2"/>
  <c r="BE349" i="2"/>
  <c r="S349" i="1"/>
  <c r="BD349" i="2"/>
  <c r="BC349" i="2"/>
  <c r="BB349" i="2"/>
  <c r="BA349" i="2"/>
  <c r="AZ349" i="2"/>
  <c r="AY349" i="2"/>
  <c r="AX349" i="2"/>
  <c r="AW349" i="2"/>
  <c r="AV349" i="2"/>
  <c r="AU349" i="2"/>
  <c r="AT349" i="2"/>
  <c r="H349" i="1"/>
  <c r="AS349" i="2"/>
  <c r="G349" i="1"/>
  <c r="AR349" i="2"/>
  <c r="AQ349" i="2"/>
  <c r="AP349" i="2"/>
  <c r="D349" i="1"/>
  <c r="AO349" i="2"/>
  <c r="AN349" i="2"/>
  <c r="AM349" i="2"/>
  <c r="AJ349" i="2"/>
  <c r="AI349" i="2"/>
  <c r="BM348" i="2"/>
  <c r="AA348" i="1"/>
  <c r="BL348" i="2"/>
  <c r="BK348" i="2"/>
  <c r="BJ348" i="2"/>
  <c r="X348" i="1"/>
  <c r="BI348" i="2"/>
  <c r="BH348" i="2"/>
  <c r="BG348" i="2"/>
  <c r="U348" i="1"/>
  <c r="BF348" i="2"/>
  <c r="BE348" i="2"/>
  <c r="S348" i="1"/>
  <c r="BD348" i="2"/>
  <c r="BC348" i="2"/>
  <c r="BB348" i="2"/>
  <c r="BA348" i="2"/>
  <c r="AZ348" i="2"/>
  <c r="AY348" i="2"/>
  <c r="AX348" i="2"/>
  <c r="AW348" i="2"/>
  <c r="AV348" i="2"/>
  <c r="AU348" i="2"/>
  <c r="AT348" i="2"/>
  <c r="H348" i="1"/>
  <c r="AS348" i="2"/>
  <c r="G348" i="1"/>
  <c r="AR348" i="2"/>
  <c r="AQ348" i="2"/>
  <c r="AP348" i="2"/>
  <c r="D348" i="1"/>
  <c r="AO348" i="2"/>
  <c r="AN348" i="2"/>
  <c r="AM348" i="2"/>
  <c r="AJ348" i="2"/>
  <c r="AI348" i="2"/>
  <c r="BM347" i="2"/>
  <c r="AA347" i="1"/>
  <c r="BL347" i="2"/>
  <c r="BK347" i="2"/>
  <c r="BJ347" i="2"/>
  <c r="X347" i="1"/>
  <c r="BI347" i="2"/>
  <c r="BH347" i="2"/>
  <c r="BG347" i="2"/>
  <c r="U347" i="1"/>
  <c r="BF347" i="2"/>
  <c r="BE347" i="2"/>
  <c r="S347" i="1"/>
  <c r="BD347" i="2"/>
  <c r="BC347" i="2"/>
  <c r="BB347" i="2"/>
  <c r="BA347" i="2"/>
  <c r="AZ347" i="2"/>
  <c r="AY347" i="2"/>
  <c r="AX347" i="2"/>
  <c r="AW347" i="2"/>
  <c r="AV347" i="2"/>
  <c r="AU347" i="2"/>
  <c r="AT347" i="2"/>
  <c r="H347" i="1"/>
  <c r="AS347" i="2"/>
  <c r="G347" i="1"/>
  <c r="AR347" i="2"/>
  <c r="AQ347" i="2"/>
  <c r="AP347" i="2"/>
  <c r="D347" i="1"/>
  <c r="AO347" i="2"/>
  <c r="AN347" i="2"/>
  <c r="AM347" i="2"/>
  <c r="AJ347" i="2"/>
  <c r="AI347" i="2"/>
  <c r="BM346" i="2"/>
  <c r="AA346" i="1"/>
  <c r="BL346" i="2"/>
  <c r="BK346" i="2"/>
  <c r="BJ346" i="2"/>
  <c r="X346" i="1"/>
  <c r="BI346" i="2"/>
  <c r="BH346" i="2"/>
  <c r="BG346" i="2"/>
  <c r="U346" i="1"/>
  <c r="BF346" i="2"/>
  <c r="BE346" i="2"/>
  <c r="S346" i="1"/>
  <c r="BD346" i="2"/>
  <c r="BC346" i="2"/>
  <c r="BB346" i="2"/>
  <c r="BA346" i="2"/>
  <c r="AZ346" i="2"/>
  <c r="AY346" i="2"/>
  <c r="AX346" i="2"/>
  <c r="AW346" i="2"/>
  <c r="AV346" i="2"/>
  <c r="AU346" i="2"/>
  <c r="AT346" i="2"/>
  <c r="H346" i="1"/>
  <c r="AS346" i="2"/>
  <c r="G346" i="1"/>
  <c r="AR346" i="2"/>
  <c r="AQ346" i="2"/>
  <c r="AP346" i="2"/>
  <c r="D346" i="1"/>
  <c r="AO346" i="2"/>
  <c r="AN346" i="2"/>
  <c r="AM346" i="2"/>
  <c r="AJ346" i="2"/>
  <c r="AI346" i="2"/>
  <c r="BM345" i="2"/>
  <c r="AA345" i="1"/>
  <c r="BL345" i="2"/>
  <c r="BK345" i="2"/>
  <c r="BJ345" i="2"/>
  <c r="X345" i="1"/>
  <c r="BI345" i="2"/>
  <c r="BH345" i="2"/>
  <c r="BG345" i="2"/>
  <c r="U345" i="1"/>
  <c r="BF345" i="2"/>
  <c r="BE345" i="2"/>
  <c r="S345" i="1"/>
  <c r="BD345" i="2"/>
  <c r="BC345" i="2"/>
  <c r="BB345" i="2"/>
  <c r="BA345" i="2"/>
  <c r="AZ345" i="2"/>
  <c r="AY345" i="2"/>
  <c r="AX345" i="2"/>
  <c r="AW345" i="2"/>
  <c r="AV345" i="2"/>
  <c r="AU345" i="2"/>
  <c r="AT345" i="2"/>
  <c r="H345" i="1"/>
  <c r="AS345" i="2"/>
  <c r="G345" i="1"/>
  <c r="AR345" i="2"/>
  <c r="AQ345" i="2"/>
  <c r="AP345" i="2"/>
  <c r="D345" i="1"/>
  <c r="AO345" i="2"/>
  <c r="AN345" i="2"/>
  <c r="AM345" i="2"/>
  <c r="AJ345" i="2"/>
  <c r="AI345" i="2"/>
  <c r="BM344" i="2"/>
  <c r="AA344" i="1"/>
  <c r="BL344" i="2"/>
  <c r="BK344" i="2"/>
  <c r="BJ344" i="2"/>
  <c r="X344" i="1"/>
  <c r="BI344" i="2"/>
  <c r="BH344" i="2"/>
  <c r="BG344" i="2"/>
  <c r="U344" i="1"/>
  <c r="BF344" i="2"/>
  <c r="BE344" i="2"/>
  <c r="S344" i="1"/>
  <c r="BD344" i="2"/>
  <c r="BC344" i="2"/>
  <c r="BB344" i="2"/>
  <c r="BA344" i="2"/>
  <c r="AZ344" i="2"/>
  <c r="AY344" i="2"/>
  <c r="AX344" i="2"/>
  <c r="AW344" i="2"/>
  <c r="AV344" i="2"/>
  <c r="AU344" i="2"/>
  <c r="AT344" i="2"/>
  <c r="H344" i="1"/>
  <c r="AS344" i="2"/>
  <c r="G344" i="1"/>
  <c r="AR344" i="2"/>
  <c r="AQ344" i="2"/>
  <c r="AP344" i="2"/>
  <c r="D344" i="1"/>
  <c r="AO344" i="2"/>
  <c r="AN344" i="2"/>
  <c r="AM344" i="2"/>
  <c r="AJ344" i="2"/>
  <c r="AI344" i="2"/>
  <c r="BM343" i="2"/>
  <c r="AA343" i="1"/>
  <c r="BL343" i="2"/>
  <c r="BK343" i="2"/>
  <c r="BJ343" i="2"/>
  <c r="X343" i="1"/>
  <c r="BI343" i="2"/>
  <c r="BH343" i="2"/>
  <c r="BG343" i="2"/>
  <c r="U343" i="1"/>
  <c r="BF343" i="2"/>
  <c r="BE343" i="2"/>
  <c r="S343" i="1"/>
  <c r="BD343" i="2"/>
  <c r="BC343" i="2"/>
  <c r="BB343" i="2"/>
  <c r="BA343" i="2"/>
  <c r="AZ343" i="2"/>
  <c r="AY343" i="2"/>
  <c r="AX343" i="2"/>
  <c r="AW343" i="2"/>
  <c r="AV343" i="2"/>
  <c r="AU343" i="2"/>
  <c r="AT343" i="2"/>
  <c r="H343" i="1"/>
  <c r="AS343" i="2"/>
  <c r="G343" i="1"/>
  <c r="AR343" i="2"/>
  <c r="AQ343" i="2"/>
  <c r="AP343" i="2"/>
  <c r="D343" i="1"/>
  <c r="AO343" i="2"/>
  <c r="AN343" i="2"/>
  <c r="AM343" i="2"/>
  <c r="AJ343" i="2"/>
  <c r="AI343" i="2"/>
  <c r="BM342" i="2"/>
  <c r="AA342" i="1"/>
  <c r="BL342" i="2"/>
  <c r="BK342" i="2"/>
  <c r="BJ342" i="2"/>
  <c r="X342" i="1"/>
  <c r="BI342" i="2"/>
  <c r="BH342" i="2"/>
  <c r="BG342" i="2"/>
  <c r="U342" i="1"/>
  <c r="BF342" i="2"/>
  <c r="BE342" i="2"/>
  <c r="S342" i="1"/>
  <c r="BD342" i="2"/>
  <c r="BC342" i="2"/>
  <c r="BB342" i="2"/>
  <c r="BA342" i="2"/>
  <c r="AZ342" i="2"/>
  <c r="AY342" i="2"/>
  <c r="AX342" i="2"/>
  <c r="AW342" i="2"/>
  <c r="AV342" i="2"/>
  <c r="AU342" i="2"/>
  <c r="AT342" i="2"/>
  <c r="H342" i="1"/>
  <c r="AS342" i="2"/>
  <c r="G342" i="1"/>
  <c r="AR342" i="2"/>
  <c r="AQ342" i="2"/>
  <c r="AP342" i="2"/>
  <c r="D342" i="1"/>
  <c r="AO342" i="2"/>
  <c r="AN342" i="2"/>
  <c r="AM342" i="2"/>
  <c r="AJ342" i="2"/>
  <c r="AI342" i="2"/>
  <c r="BM341" i="2"/>
  <c r="AA341" i="1"/>
  <c r="BL341" i="2"/>
  <c r="BK341" i="2"/>
  <c r="BJ341" i="2"/>
  <c r="X341" i="1"/>
  <c r="BI341" i="2"/>
  <c r="BH341" i="2"/>
  <c r="BG341" i="2"/>
  <c r="U341" i="1"/>
  <c r="BF341" i="2"/>
  <c r="BE341" i="2"/>
  <c r="S341" i="1"/>
  <c r="BD341" i="2"/>
  <c r="BC341" i="2"/>
  <c r="BB341" i="2"/>
  <c r="BA341" i="2"/>
  <c r="AZ341" i="2"/>
  <c r="AY341" i="2"/>
  <c r="AX341" i="2"/>
  <c r="AW341" i="2"/>
  <c r="AV341" i="2"/>
  <c r="AU341" i="2"/>
  <c r="AT341" i="2"/>
  <c r="H341" i="1"/>
  <c r="AS341" i="2"/>
  <c r="G341" i="1"/>
  <c r="AR341" i="2"/>
  <c r="AQ341" i="2"/>
  <c r="AP341" i="2"/>
  <c r="D341" i="1"/>
  <c r="AO341" i="2"/>
  <c r="AN341" i="2"/>
  <c r="AM341" i="2"/>
  <c r="AJ341" i="2"/>
  <c r="AI341" i="2"/>
  <c r="BM340" i="2"/>
  <c r="AA340" i="1"/>
  <c r="BL340" i="2"/>
  <c r="BK340" i="2"/>
  <c r="BJ340" i="2"/>
  <c r="X340" i="1"/>
  <c r="BI340" i="2"/>
  <c r="BH340" i="2"/>
  <c r="BG340" i="2"/>
  <c r="U340" i="1"/>
  <c r="BF340" i="2"/>
  <c r="BE340" i="2"/>
  <c r="S340" i="1"/>
  <c r="BD340" i="2"/>
  <c r="BC340" i="2"/>
  <c r="BB340" i="2"/>
  <c r="BA340" i="2"/>
  <c r="AZ340" i="2"/>
  <c r="AY340" i="2"/>
  <c r="AX340" i="2"/>
  <c r="AW340" i="2"/>
  <c r="AV340" i="2"/>
  <c r="AU340" i="2"/>
  <c r="AT340" i="2"/>
  <c r="H340" i="1"/>
  <c r="AS340" i="2"/>
  <c r="G340" i="1"/>
  <c r="AR340" i="2"/>
  <c r="AQ340" i="2"/>
  <c r="AP340" i="2"/>
  <c r="D340" i="1"/>
  <c r="AO340" i="2"/>
  <c r="AN340" i="2"/>
  <c r="AM340" i="2"/>
  <c r="AJ340" i="2"/>
  <c r="AI340" i="2"/>
  <c r="BM339" i="2"/>
  <c r="AA339" i="1"/>
  <c r="BL339" i="2"/>
  <c r="BK339" i="2"/>
  <c r="BJ339" i="2"/>
  <c r="X339" i="1"/>
  <c r="BI339" i="2"/>
  <c r="BH339" i="2"/>
  <c r="BG339" i="2"/>
  <c r="U339" i="1"/>
  <c r="BF339" i="2"/>
  <c r="BE339" i="2"/>
  <c r="S339" i="1"/>
  <c r="BD339" i="2"/>
  <c r="BC339" i="2"/>
  <c r="BB339" i="2"/>
  <c r="BA339" i="2"/>
  <c r="AZ339" i="2"/>
  <c r="AY339" i="2"/>
  <c r="AX339" i="2"/>
  <c r="AW339" i="2"/>
  <c r="AV339" i="2"/>
  <c r="AU339" i="2"/>
  <c r="AT339" i="2"/>
  <c r="H339" i="1"/>
  <c r="AS339" i="2"/>
  <c r="G339" i="1"/>
  <c r="AR339" i="2"/>
  <c r="AQ339" i="2"/>
  <c r="AP339" i="2"/>
  <c r="D339" i="1"/>
  <c r="AO339" i="2"/>
  <c r="AN339" i="2"/>
  <c r="AM339" i="2"/>
  <c r="AJ339" i="2"/>
  <c r="AI339" i="2"/>
  <c r="BM338" i="2"/>
  <c r="AA338" i="1"/>
  <c r="BL338" i="2"/>
  <c r="BK338" i="2"/>
  <c r="BJ338" i="2"/>
  <c r="X338" i="1"/>
  <c r="BI338" i="2"/>
  <c r="BH338" i="2"/>
  <c r="BG338" i="2"/>
  <c r="U338" i="1"/>
  <c r="BF338" i="2"/>
  <c r="BE338" i="2"/>
  <c r="S338" i="1"/>
  <c r="BD338" i="2"/>
  <c r="BC338" i="2"/>
  <c r="BB338" i="2"/>
  <c r="BA338" i="2"/>
  <c r="AZ338" i="2"/>
  <c r="AY338" i="2"/>
  <c r="AX338" i="2"/>
  <c r="AW338" i="2"/>
  <c r="AV338" i="2"/>
  <c r="AU338" i="2"/>
  <c r="AT338" i="2"/>
  <c r="H338" i="1"/>
  <c r="AS338" i="2"/>
  <c r="G338" i="1"/>
  <c r="AR338" i="2"/>
  <c r="AQ338" i="2"/>
  <c r="AP338" i="2"/>
  <c r="D338" i="1"/>
  <c r="AO338" i="2"/>
  <c r="AN338" i="2"/>
  <c r="AM338" i="2"/>
  <c r="AJ338" i="2"/>
  <c r="AI338" i="2"/>
  <c r="BM337" i="2"/>
  <c r="AA337" i="1"/>
  <c r="BL337" i="2"/>
  <c r="BK337" i="2"/>
  <c r="BJ337" i="2"/>
  <c r="X337" i="1"/>
  <c r="BI337" i="2"/>
  <c r="BH337" i="2"/>
  <c r="BG337" i="2"/>
  <c r="U337" i="1"/>
  <c r="BF337" i="2"/>
  <c r="BE337" i="2"/>
  <c r="S337" i="1"/>
  <c r="BD337" i="2"/>
  <c r="BC337" i="2"/>
  <c r="BB337" i="2"/>
  <c r="BA337" i="2"/>
  <c r="AZ337" i="2"/>
  <c r="AY337" i="2"/>
  <c r="AX337" i="2"/>
  <c r="AW337" i="2"/>
  <c r="AV337" i="2"/>
  <c r="AU337" i="2"/>
  <c r="AT337" i="2"/>
  <c r="H337" i="1"/>
  <c r="AS337" i="2"/>
  <c r="G337" i="1"/>
  <c r="AR337" i="2"/>
  <c r="AQ337" i="2"/>
  <c r="AP337" i="2"/>
  <c r="D337" i="1"/>
  <c r="AO337" i="2"/>
  <c r="AN337" i="2"/>
  <c r="AM337" i="2"/>
  <c r="AJ337" i="2"/>
  <c r="AI337" i="2"/>
  <c r="BM336" i="2"/>
  <c r="AA336" i="1"/>
  <c r="BL336" i="2"/>
  <c r="BK336" i="2"/>
  <c r="BJ336" i="2"/>
  <c r="X336" i="1"/>
  <c r="BI336" i="2"/>
  <c r="BH336" i="2"/>
  <c r="BG336" i="2"/>
  <c r="U336" i="1"/>
  <c r="BF336" i="2"/>
  <c r="BE336" i="2"/>
  <c r="S336" i="1"/>
  <c r="BD336" i="2"/>
  <c r="BC336" i="2"/>
  <c r="BB336" i="2"/>
  <c r="BA336" i="2"/>
  <c r="AZ336" i="2"/>
  <c r="AY336" i="2"/>
  <c r="AX336" i="2"/>
  <c r="AW336" i="2"/>
  <c r="AV336" i="2"/>
  <c r="AU336" i="2"/>
  <c r="AT336" i="2"/>
  <c r="H336" i="1"/>
  <c r="AS336" i="2"/>
  <c r="G336" i="1"/>
  <c r="AR336" i="2"/>
  <c r="AQ336" i="2"/>
  <c r="AP336" i="2"/>
  <c r="D336" i="1"/>
  <c r="AO336" i="2"/>
  <c r="AN336" i="2"/>
  <c r="AM336" i="2"/>
  <c r="AJ336" i="2"/>
  <c r="AI336" i="2"/>
  <c r="BM335" i="2"/>
  <c r="AA335" i="1"/>
  <c r="BL335" i="2"/>
  <c r="BK335" i="2"/>
  <c r="BJ335" i="2"/>
  <c r="X335" i="1"/>
  <c r="BI335" i="2"/>
  <c r="BH335" i="2"/>
  <c r="BG335" i="2"/>
  <c r="U335" i="1"/>
  <c r="BF335" i="2"/>
  <c r="BE335" i="2"/>
  <c r="S335" i="1"/>
  <c r="BD335" i="2"/>
  <c r="BC335" i="2"/>
  <c r="BB335" i="2"/>
  <c r="BA335" i="2"/>
  <c r="AZ335" i="2"/>
  <c r="AY335" i="2"/>
  <c r="AX335" i="2"/>
  <c r="AW335" i="2"/>
  <c r="AV335" i="2"/>
  <c r="AU335" i="2"/>
  <c r="AT335" i="2"/>
  <c r="H335" i="1"/>
  <c r="AS335" i="2"/>
  <c r="G335" i="1"/>
  <c r="AR335" i="2"/>
  <c r="AQ335" i="2"/>
  <c r="AP335" i="2"/>
  <c r="D335" i="1"/>
  <c r="AO335" i="2"/>
  <c r="AN335" i="2"/>
  <c r="AM335" i="2"/>
  <c r="AJ335" i="2"/>
  <c r="AI335" i="2"/>
  <c r="BM334" i="2"/>
  <c r="AA334" i="1"/>
  <c r="BL334" i="2"/>
  <c r="BK334" i="2"/>
  <c r="BJ334" i="2"/>
  <c r="X334" i="1"/>
  <c r="BI334" i="2"/>
  <c r="BH334" i="2"/>
  <c r="BG334" i="2"/>
  <c r="U334" i="1"/>
  <c r="BF334" i="2"/>
  <c r="BE334" i="2"/>
  <c r="S334" i="1"/>
  <c r="BD334" i="2"/>
  <c r="BC334" i="2"/>
  <c r="BB334" i="2"/>
  <c r="BA334" i="2"/>
  <c r="AZ334" i="2"/>
  <c r="AY334" i="2"/>
  <c r="AX334" i="2"/>
  <c r="AW334" i="2"/>
  <c r="AV334" i="2"/>
  <c r="AU334" i="2"/>
  <c r="AT334" i="2"/>
  <c r="H334" i="1"/>
  <c r="AS334" i="2"/>
  <c r="G334" i="1"/>
  <c r="AR334" i="2"/>
  <c r="AQ334" i="2"/>
  <c r="AP334" i="2"/>
  <c r="D334" i="1"/>
  <c r="AO334" i="2"/>
  <c r="AN334" i="2"/>
  <c r="AM334" i="2"/>
  <c r="AJ334" i="2"/>
  <c r="AI334" i="2"/>
  <c r="BM333" i="2"/>
  <c r="AA333" i="1"/>
  <c r="BL333" i="2"/>
  <c r="BK333" i="2"/>
  <c r="BJ333" i="2"/>
  <c r="X333" i="1"/>
  <c r="BI333" i="2"/>
  <c r="BH333" i="2"/>
  <c r="BG333" i="2"/>
  <c r="U333" i="1"/>
  <c r="BF333" i="2"/>
  <c r="BE333" i="2"/>
  <c r="S333" i="1"/>
  <c r="BD333" i="2"/>
  <c r="BC333" i="2"/>
  <c r="BB333" i="2"/>
  <c r="BA333" i="2"/>
  <c r="AZ333" i="2"/>
  <c r="AY333" i="2"/>
  <c r="AX333" i="2"/>
  <c r="AW333" i="2"/>
  <c r="AV333" i="2"/>
  <c r="AU333" i="2"/>
  <c r="AT333" i="2"/>
  <c r="H333" i="1"/>
  <c r="AS333" i="2"/>
  <c r="G333" i="1"/>
  <c r="AR333" i="2"/>
  <c r="AQ333" i="2"/>
  <c r="AP333" i="2"/>
  <c r="D333" i="1"/>
  <c r="AO333" i="2"/>
  <c r="AN333" i="2"/>
  <c r="AM333" i="2"/>
  <c r="AJ333" i="2"/>
  <c r="AI333" i="2"/>
  <c r="BM332" i="2"/>
  <c r="AA332" i="1"/>
  <c r="BL332" i="2"/>
  <c r="BK332" i="2"/>
  <c r="BJ332" i="2"/>
  <c r="X332" i="1"/>
  <c r="BI332" i="2"/>
  <c r="BH332" i="2"/>
  <c r="BG332" i="2"/>
  <c r="U332" i="1"/>
  <c r="BF332" i="2"/>
  <c r="BE332" i="2"/>
  <c r="S332" i="1"/>
  <c r="BD332" i="2"/>
  <c r="BC332" i="2"/>
  <c r="BB332" i="2"/>
  <c r="BA332" i="2"/>
  <c r="AZ332" i="2"/>
  <c r="AY332" i="2"/>
  <c r="AX332" i="2"/>
  <c r="AW332" i="2"/>
  <c r="AV332" i="2"/>
  <c r="AU332" i="2"/>
  <c r="AT332" i="2"/>
  <c r="H332" i="1"/>
  <c r="AS332" i="2"/>
  <c r="G332" i="1"/>
  <c r="AR332" i="2"/>
  <c r="AQ332" i="2"/>
  <c r="AP332" i="2"/>
  <c r="D332" i="1"/>
  <c r="AO332" i="2"/>
  <c r="AN332" i="2"/>
  <c r="AM332" i="2"/>
  <c r="AJ332" i="2"/>
  <c r="AI332" i="2"/>
  <c r="BM331" i="2"/>
  <c r="AA331" i="1"/>
  <c r="BL331" i="2"/>
  <c r="BK331" i="2"/>
  <c r="BJ331" i="2"/>
  <c r="X331" i="1"/>
  <c r="BI331" i="2"/>
  <c r="BH331" i="2"/>
  <c r="BG331" i="2"/>
  <c r="U331" i="1"/>
  <c r="BF331" i="2"/>
  <c r="BE331" i="2"/>
  <c r="S331" i="1"/>
  <c r="BD331" i="2"/>
  <c r="BC331" i="2"/>
  <c r="BB331" i="2"/>
  <c r="BA331" i="2"/>
  <c r="AZ331" i="2"/>
  <c r="AY331" i="2"/>
  <c r="AX331" i="2"/>
  <c r="AW331" i="2"/>
  <c r="AV331" i="2"/>
  <c r="AU331" i="2"/>
  <c r="AT331" i="2"/>
  <c r="H331" i="1"/>
  <c r="AS331" i="2"/>
  <c r="G331" i="1"/>
  <c r="AR331" i="2"/>
  <c r="AQ331" i="2"/>
  <c r="AP331" i="2"/>
  <c r="D331" i="1"/>
  <c r="AO331" i="2"/>
  <c r="AN331" i="2"/>
  <c r="AM331" i="2"/>
  <c r="AJ331" i="2"/>
  <c r="AI331" i="2"/>
  <c r="BM330" i="2"/>
  <c r="AA330" i="1"/>
  <c r="BL330" i="2"/>
  <c r="BK330" i="2"/>
  <c r="BJ330" i="2"/>
  <c r="X330" i="1"/>
  <c r="BI330" i="2"/>
  <c r="BH330" i="2"/>
  <c r="BG330" i="2"/>
  <c r="U330" i="1"/>
  <c r="BF330" i="2"/>
  <c r="BE330" i="2"/>
  <c r="S330" i="1"/>
  <c r="BD330" i="2"/>
  <c r="BC330" i="2"/>
  <c r="BB330" i="2"/>
  <c r="BA330" i="2"/>
  <c r="AZ330" i="2"/>
  <c r="AY330" i="2"/>
  <c r="AX330" i="2"/>
  <c r="AW330" i="2"/>
  <c r="AV330" i="2"/>
  <c r="AU330" i="2"/>
  <c r="AT330" i="2"/>
  <c r="H330" i="1"/>
  <c r="AS330" i="2"/>
  <c r="G330" i="1"/>
  <c r="AR330" i="2"/>
  <c r="AQ330" i="2"/>
  <c r="AP330" i="2"/>
  <c r="D330" i="1"/>
  <c r="AO330" i="2"/>
  <c r="AN330" i="2"/>
  <c r="AM330" i="2"/>
  <c r="AJ330" i="2"/>
  <c r="AI330" i="2"/>
  <c r="BM329" i="2"/>
  <c r="AA329" i="1"/>
  <c r="BL329" i="2"/>
  <c r="BK329" i="2"/>
  <c r="BJ329" i="2"/>
  <c r="X329" i="1"/>
  <c r="BI329" i="2"/>
  <c r="BH329" i="2"/>
  <c r="BG329" i="2"/>
  <c r="U329" i="1"/>
  <c r="BF329" i="2"/>
  <c r="BE329" i="2"/>
  <c r="S329" i="1"/>
  <c r="BD329" i="2"/>
  <c r="BC329" i="2"/>
  <c r="BB329" i="2"/>
  <c r="BA329" i="2"/>
  <c r="AZ329" i="2"/>
  <c r="AY329" i="2"/>
  <c r="AX329" i="2"/>
  <c r="AW329" i="2"/>
  <c r="AV329" i="2"/>
  <c r="AU329" i="2"/>
  <c r="AT329" i="2"/>
  <c r="H329" i="1"/>
  <c r="AS329" i="2"/>
  <c r="G329" i="1"/>
  <c r="AR329" i="2"/>
  <c r="AQ329" i="2"/>
  <c r="AP329" i="2"/>
  <c r="D329" i="1"/>
  <c r="AO329" i="2"/>
  <c r="AN329" i="2"/>
  <c r="AM329" i="2"/>
  <c r="AJ329" i="2"/>
  <c r="AI329" i="2"/>
  <c r="BM328" i="2"/>
  <c r="AA328" i="1"/>
  <c r="BL328" i="2"/>
  <c r="BK328" i="2"/>
  <c r="BJ328" i="2"/>
  <c r="X328" i="1"/>
  <c r="BI328" i="2"/>
  <c r="BH328" i="2"/>
  <c r="BG328" i="2"/>
  <c r="U328" i="1"/>
  <c r="BF328" i="2"/>
  <c r="BE328" i="2"/>
  <c r="S328" i="1"/>
  <c r="BD328" i="2"/>
  <c r="BC328" i="2"/>
  <c r="BB328" i="2"/>
  <c r="BA328" i="2"/>
  <c r="AZ328" i="2"/>
  <c r="AY328" i="2"/>
  <c r="AX328" i="2"/>
  <c r="AW328" i="2"/>
  <c r="AV328" i="2"/>
  <c r="AU328" i="2"/>
  <c r="AT328" i="2"/>
  <c r="H328" i="1"/>
  <c r="AS328" i="2"/>
  <c r="G328" i="1"/>
  <c r="AR328" i="2"/>
  <c r="AQ328" i="2"/>
  <c r="AP328" i="2"/>
  <c r="D328" i="1"/>
  <c r="AO328" i="2"/>
  <c r="AN328" i="2"/>
  <c r="AM328" i="2"/>
  <c r="AJ328" i="2"/>
  <c r="AI328" i="2"/>
  <c r="BM327" i="2"/>
  <c r="AA327" i="1"/>
  <c r="BL327" i="2"/>
  <c r="BK327" i="2"/>
  <c r="BJ327" i="2"/>
  <c r="X327" i="1"/>
  <c r="BI327" i="2"/>
  <c r="BH327" i="2"/>
  <c r="BG327" i="2"/>
  <c r="U327" i="1"/>
  <c r="BF327" i="2"/>
  <c r="BE327" i="2"/>
  <c r="S327" i="1"/>
  <c r="BD327" i="2"/>
  <c r="BC327" i="2"/>
  <c r="BB327" i="2"/>
  <c r="BA327" i="2"/>
  <c r="AZ327" i="2"/>
  <c r="AY327" i="2"/>
  <c r="AX327" i="2"/>
  <c r="AW327" i="2"/>
  <c r="AV327" i="2"/>
  <c r="AU327" i="2"/>
  <c r="AT327" i="2"/>
  <c r="H327" i="1"/>
  <c r="AS327" i="2"/>
  <c r="G327" i="1"/>
  <c r="AR327" i="2"/>
  <c r="AQ327" i="2"/>
  <c r="AP327" i="2"/>
  <c r="D327" i="1"/>
  <c r="AO327" i="2"/>
  <c r="AN327" i="2"/>
  <c r="AM327" i="2"/>
  <c r="AJ327" i="2"/>
  <c r="AI327" i="2"/>
  <c r="BM326" i="2"/>
  <c r="AA326" i="1"/>
  <c r="BL326" i="2"/>
  <c r="BK326" i="2"/>
  <c r="BJ326" i="2"/>
  <c r="X326" i="1"/>
  <c r="BI326" i="2"/>
  <c r="BH326" i="2"/>
  <c r="BG326" i="2"/>
  <c r="U326" i="1"/>
  <c r="BF326" i="2"/>
  <c r="BE326" i="2"/>
  <c r="S326" i="1"/>
  <c r="BD326" i="2"/>
  <c r="BC326" i="2"/>
  <c r="BB326" i="2"/>
  <c r="BA326" i="2"/>
  <c r="AZ326" i="2"/>
  <c r="AY326" i="2"/>
  <c r="AX326" i="2"/>
  <c r="AW326" i="2"/>
  <c r="AV326" i="2"/>
  <c r="AU326" i="2"/>
  <c r="AT326" i="2"/>
  <c r="H326" i="1"/>
  <c r="AS326" i="2"/>
  <c r="G326" i="1"/>
  <c r="AR326" i="2"/>
  <c r="AQ326" i="2"/>
  <c r="AP326" i="2"/>
  <c r="D326" i="1"/>
  <c r="AO326" i="2"/>
  <c r="AN326" i="2"/>
  <c r="AM326" i="2"/>
  <c r="AJ326" i="2"/>
  <c r="AI326" i="2"/>
  <c r="BM325" i="2"/>
  <c r="AA325" i="1"/>
  <c r="BL325" i="2"/>
  <c r="BK325" i="2"/>
  <c r="BJ325" i="2"/>
  <c r="X325" i="1"/>
  <c r="BI325" i="2"/>
  <c r="BH325" i="2"/>
  <c r="BG325" i="2"/>
  <c r="U325" i="1"/>
  <c r="BF325" i="2"/>
  <c r="BE325" i="2"/>
  <c r="S325" i="1"/>
  <c r="BD325" i="2"/>
  <c r="BC325" i="2"/>
  <c r="BB325" i="2"/>
  <c r="BA325" i="2"/>
  <c r="AZ325" i="2"/>
  <c r="AY325" i="2"/>
  <c r="AX325" i="2"/>
  <c r="AW325" i="2"/>
  <c r="AV325" i="2"/>
  <c r="AU325" i="2"/>
  <c r="AT325" i="2"/>
  <c r="H325" i="1"/>
  <c r="AS325" i="2"/>
  <c r="G325" i="1"/>
  <c r="AR325" i="2"/>
  <c r="AQ325" i="2"/>
  <c r="AP325" i="2"/>
  <c r="D325" i="1"/>
  <c r="AO325" i="2"/>
  <c r="AN325" i="2"/>
  <c r="AM325" i="2"/>
  <c r="AJ325" i="2"/>
  <c r="AI325" i="2"/>
  <c r="BM324" i="2"/>
  <c r="AA324" i="1"/>
  <c r="BL324" i="2"/>
  <c r="BK324" i="2"/>
  <c r="BJ324" i="2"/>
  <c r="X324" i="1"/>
  <c r="BI324" i="2"/>
  <c r="BH324" i="2"/>
  <c r="BG324" i="2"/>
  <c r="U324" i="1"/>
  <c r="BF324" i="2"/>
  <c r="BE324" i="2"/>
  <c r="S324" i="1"/>
  <c r="BD324" i="2"/>
  <c r="BC324" i="2"/>
  <c r="BB324" i="2"/>
  <c r="BA324" i="2"/>
  <c r="AZ324" i="2"/>
  <c r="AY324" i="2"/>
  <c r="AX324" i="2"/>
  <c r="AW324" i="2"/>
  <c r="AV324" i="2"/>
  <c r="AU324" i="2"/>
  <c r="AT324" i="2"/>
  <c r="H324" i="1"/>
  <c r="AS324" i="2"/>
  <c r="G324" i="1"/>
  <c r="AR324" i="2"/>
  <c r="AQ324" i="2"/>
  <c r="AP324" i="2"/>
  <c r="D324" i="1"/>
  <c r="AO324" i="2"/>
  <c r="AN324" i="2"/>
  <c r="AM324" i="2"/>
  <c r="AJ324" i="2"/>
  <c r="AI324" i="2"/>
  <c r="BM323" i="2"/>
  <c r="AA323" i="1"/>
  <c r="BL323" i="2"/>
  <c r="BK323" i="2"/>
  <c r="BJ323" i="2"/>
  <c r="X323" i="1"/>
  <c r="BI323" i="2"/>
  <c r="BH323" i="2"/>
  <c r="BG323" i="2"/>
  <c r="U323" i="1"/>
  <c r="BF323" i="2"/>
  <c r="BE323" i="2"/>
  <c r="S323" i="1"/>
  <c r="BD323" i="2"/>
  <c r="BC323" i="2"/>
  <c r="BB323" i="2"/>
  <c r="BA323" i="2"/>
  <c r="AZ323" i="2"/>
  <c r="AY323" i="2"/>
  <c r="AX323" i="2"/>
  <c r="AW323" i="2"/>
  <c r="AV323" i="2"/>
  <c r="AU323" i="2"/>
  <c r="AT323" i="2"/>
  <c r="H323" i="1"/>
  <c r="AS323" i="2"/>
  <c r="G323" i="1"/>
  <c r="AR323" i="2"/>
  <c r="AQ323" i="2"/>
  <c r="AP323" i="2"/>
  <c r="D323" i="1"/>
  <c r="AO323" i="2"/>
  <c r="AN323" i="2"/>
  <c r="AM323" i="2"/>
  <c r="AJ323" i="2"/>
  <c r="AI323" i="2"/>
  <c r="BM322" i="2"/>
  <c r="AA322" i="1"/>
  <c r="BL322" i="2"/>
  <c r="BK322" i="2"/>
  <c r="BJ322" i="2"/>
  <c r="X322" i="1"/>
  <c r="BI322" i="2"/>
  <c r="BH322" i="2"/>
  <c r="BG322" i="2"/>
  <c r="U322" i="1"/>
  <c r="BF322" i="2"/>
  <c r="BE322" i="2"/>
  <c r="S322" i="1"/>
  <c r="BD322" i="2"/>
  <c r="BC322" i="2"/>
  <c r="BB322" i="2"/>
  <c r="BA322" i="2"/>
  <c r="AZ322" i="2"/>
  <c r="AY322" i="2"/>
  <c r="AX322" i="2"/>
  <c r="AW322" i="2"/>
  <c r="AV322" i="2"/>
  <c r="AU322" i="2"/>
  <c r="AT322" i="2"/>
  <c r="H322" i="1"/>
  <c r="AS322" i="2"/>
  <c r="G322" i="1"/>
  <c r="AR322" i="2"/>
  <c r="AQ322" i="2"/>
  <c r="AP322" i="2"/>
  <c r="D322" i="1"/>
  <c r="AO322" i="2"/>
  <c r="AN322" i="2"/>
  <c r="AM322" i="2"/>
  <c r="AJ322" i="2"/>
  <c r="AI322" i="2"/>
  <c r="BM321" i="2"/>
  <c r="AA321" i="1"/>
  <c r="BL321" i="2"/>
  <c r="BK321" i="2"/>
  <c r="BJ321" i="2"/>
  <c r="X321" i="1"/>
  <c r="BI321" i="2"/>
  <c r="BH321" i="2"/>
  <c r="BG321" i="2"/>
  <c r="U321" i="1"/>
  <c r="BF321" i="2"/>
  <c r="BE321" i="2"/>
  <c r="S321" i="1"/>
  <c r="BD321" i="2"/>
  <c r="BC321" i="2"/>
  <c r="BB321" i="2"/>
  <c r="BA321" i="2"/>
  <c r="AZ321" i="2"/>
  <c r="AY321" i="2"/>
  <c r="AX321" i="2"/>
  <c r="AW321" i="2"/>
  <c r="AV321" i="2"/>
  <c r="AU321" i="2"/>
  <c r="AT321" i="2"/>
  <c r="H321" i="1"/>
  <c r="AS321" i="2"/>
  <c r="G321" i="1"/>
  <c r="AR321" i="2"/>
  <c r="AQ321" i="2"/>
  <c r="AP321" i="2"/>
  <c r="D321" i="1"/>
  <c r="AO321" i="2"/>
  <c r="AN321" i="2"/>
  <c r="AM321" i="2"/>
  <c r="AJ321" i="2"/>
  <c r="AI321" i="2"/>
  <c r="BM320" i="2"/>
  <c r="AA320" i="1"/>
  <c r="BL320" i="2"/>
  <c r="BK320" i="2"/>
  <c r="BJ320" i="2"/>
  <c r="X320" i="1"/>
  <c r="BI320" i="2"/>
  <c r="BH320" i="2"/>
  <c r="BG320" i="2"/>
  <c r="U320" i="1"/>
  <c r="BF320" i="2"/>
  <c r="BE320" i="2"/>
  <c r="S320" i="1"/>
  <c r="BD320" i="2"/>
  <c r="BC320" i="2"/>
  <c r="BB320" i="2"/>
  <c r="BA320" i="2"/>
  <c r="AZ320" i="2"/>
  <c r="AY320" i="2"/>
  <c r="AX320" i="2"/>
  <c r="AW320" i="2"/>
  <c r="AV320" i="2"/>
  <c r="AU320" i="2"/>
  <c r="AT320" i="2"/>
  <c r="H320" i="1"/>
  <c r="AS320" i="2"/>
  <c r="G320" i="1"/>
  <c r="AR320" i="2"/>
  <c r="AQ320" i="2"/>
  <c r="AP320" i="2"/>
  <c r="D320" i="1"/>
  <c r="AO320" i="2"/>
  <c r="AN320" i="2"/>
  <c r="AM320" i="2"/>
  <c r="AJ320" i="2"/>
  <c r="AI320" i="2"/>
  <c r="BM319" i="2"/>
  <c r="AA319" i="1"/>
  <c r="BL319" i="2"/>
  <c r="BK319" i="2"/>
  <c r="BJ319" i="2"/>
  <c r="X319" i="1"/>
  <c r="BI319" i="2"/>
  <c r="BH319" i="2"/>
  <c r="BG319" i="2"/>
  <c r="U319" i="1"/>
  <c r="BF319" i="2"/>
  <c r="BE319" i="2"/>
  <c r="S319" i="1"/>
  <c r="BD319" i="2"/>
  <c r="BC319" i="2"/>
  <c r="BB319" i="2"/>
  <c r="BA319" i="2"/>
  <c r="AZ319" i="2"/>
  <c r="AY319" i="2"/>
  <c r="AX319" i="2"/>
  <c r="AW319" i="2"/>
  <c r="AV319" i="2"/>
  <c r="AU319" i="2"/>
  <c r="AT319" i="2"/>
  <c r="H319" i="1"/>
  <c r="AS319" i="2"/>
  <c r="G319" i="1"/>
  <c r="AR319" i="2"/>
  <c r="AQ319" i="2"/>
  <c r="AP319" i="2"/>
  <c r="D319" i="1"/>
  <c r="AO319" i="2"/>
  <c r="AN319" i="2"/>
  <c r="AM319" i="2"/>
  <c r="AJ319" i="2"/>
  <c r="AI319" i="2"/>
  <c r="BM318" i="2"/>
  <c r="AA318" i="1"/>
  <c r="BL318" i="2"/>
  <c r="BK318" i="2"/>
  <c r="BJ318" i="2"/>
  <c r="X318" i="1"/>
  <c r="BI318" i="2"/>
  <c r="BH318" i="2"/>
  <c r="BG318" i="2"/>
  <c r="U318" i="1"/>
  <c r="BF318" i="2"/>
  <c r="BE318" i="2"/>
  <c r="S318" i="1"/>
  <c r="BD318" i="2"/>
  <c r="BC318" i="2"/>
  <c r="BB318" i="2"/>
  <c r="BA318" i="2"/>
  <c r="AZ318" i="2"/>
  <c r="AY318" i="2"/>
  <c r="AX318" i="2"/>
  <c r="AW318" i="2"/>
  <c r="AV318" i="2"/>
  <c r="AU318" i="2"/>
  <c r="AT318" i="2"/>
  <c r="H318" i="1"/>
  <c r="AS318" i="2"/>
  <c r="G318" i="1"/>
  <c r="AR318" i="2"/>
  <c r="AQ318" i="2"/>
  <c r="AP318" i="2"/>
  <c r="D318" i="1"/>
  <c r="AO318" i="2"/>
  <c r="AN318" i="2"/>
  <c r="AM318" i="2"/>
  <c r="AJ318" i="2"/>
  <c r="AI318" i="2"/>
  <c r="BM317" i="2"/>
  <c r="AA317" i="1"/>
  <c r="BL317" i="2"/>
  <c r="BK317" i="2"/>
  <c r="BJ317" i="2"/>
  <c r="X317" i="1"/>
  <c r="BI317" i="2"/>
  <c r="BH317" i="2"/>
  <c r="BG317" i="2"/>
  <c r="U317" i="1"/>
  <c r="BF317" i="2"/>
  <c r="BE317" i="2"/>
  <c r="S317" i="1"/>
  <c r="BD317" i="2"/>
  <c r="BC317" i="2"/>
  <c r="BB317" i="2"/>
  <c r="BA317" i="2"/>
  <c r="AZ317" i="2"/>
  <c r="AY317" i="2"/>
  <c r="AX317" i="2"/>
  <c r="AW317" i="2"/>
  <c r="AV317" i="2"/>
  <c r="AU317" i="2"/>
  <c r="AT317" i="2"/>
  <c r="H317" i="1"/>
  <c r="AS317" i="2"/>
  <c r="G317" i="1"/>
  <c r="AR317" i="2"/>
  <c r="AQ317" i="2"/>
  <c r="AP317" i="2"/>
  <c r="D317" i="1"/>
  <c r="AO317" i="2"/>
  <c r="AN317" i="2"/>
  <c r="AM317" i="2"/>
  <c r="AJ317" i="2"/>
  <c r="AI317" i="2"/>
  <c r="BM316" i="2"/>
  <c r="AA316" i="1"/>
  <c r="BL316" i="2"/>
  <c r="BK316" i="2"/>
  <c r="BJ316" i="2"/>
  <c r="X316" i="1"/>
  <c r="BI316" i="2"/>
  <c r="BH316" i="2"/>
  <c r="BG316" i="2"/>
  <c r="U316" i="1"/>
  <c r="BF316" i="2"/>
  <c r="BE316" i="2"/>
  <c r="S316" i="1"/>
  <c r="BD316" i="2"/>
  <c r="BC316" i="2"/>
  <c r="BB316" i="2"/>
  <c r="BA316" i="2"/>
  <c r="AZ316" i="2"/>
  <c r="AY316" i="2"/>
  <c r="AX316" i="2"/>
  <c r="AW316" i="2"/>
  <c r="AV316" i="2"/>
  <c r="AU316" i="2"/>
  <c r="AT316" i="2"/>
  <c r="H316" i="1"/>
  <c r="AS316" i="2"/>
  <c r="G316" i="1"/>
  <c r="AR316" i="2"/>
  <c r="AQ316" i="2"/>
  <c r="AP316" i="2"/>
  <c r="D316" i="1"/>
  <c r="AO316" i="2"/>
  <c r="AN316" i="2"/>
  <c r="AM316" i="2"/>
  <c r="AJ316" i="2"/>
  <c r="AI316" i="2"/>
  <c r="BM315" i="2"/>
  <c r="AA315" i="1"/>
  <c r="BL315" i="2"/>
  <c r="BK315" i="2"/>
  <c r="BJ315" i="2"/>
  <c r="X315" i="1"/>
  <c r="BI315" i="2"/>
  <c r="BH315" i="2"/>
  <c r="BG315" i="2"/>
  <c r="U315" i="1"/>
  <c r="BF315" i="2"/>
  <c r="BE315" i="2"/>
  <c r="S315" i="1"/>
  <c r="BD315" i="2"/>
  <c r="BC315" i="2"/>
  <c r="BB315" i="2"/>
  <c r="BA315" i="2"/>
  <c r="AZ315" i="2"/>
  <c r="AY315" i="2"/>
  <c r="AX315" i="2"/>
  <c r="AW315" i="2"/>
  <c r="AV315" i="2"/>
  <c r="AU315" i="2"/>
  <c r="AT315" i="2"/>
  <c r="H315" i="1"/>
  <c r="AS315" i="2"/>
  <c r="G315" i="1"/>
  <c r="AR315" i="2"/>
  <c r="AQ315" i="2"/>
  <c r="AP315" i="2"/>
  <c r="D315" i="1"/>
  <c r="AO315" i="2"/>
  <c r="AN315" i="2"/>
  <c r="AM315" i="2"/>
  <c r="AJ315" i="2"/>
  <c r="AI315" i="2"/>
  <c r="BM314" i="2"/>
  <c r="AA314" i="1"/>
  <c r="BL314" i="2"/>
  <c r="BK314" i="2"/>
  <c r="BJ314" i="2"/>
  <c r="X314" i="1"/>
  <c r="BI314" i="2"/>
  <c r="BH314" i="2"/>
  <c r="BG314" i="2"/>
  <c r="U314" i="1"/>
  <c r="BF314" i="2"/>
  <c r="BE314" i="2"/>
  <c r="S314" i="1"/>
  <c r="BD314" i="2"/>
  <c r="BC314" i="2"/>
  <c r="BB314" i="2"/>
  <c r="BA314" i="2"/>
  <c r="AZ314" i="2"/>
  <c r="AY314" i="2"/>
  <c r="AX314" i="2"/>
  <c r="AW314" i="2"/>
  <c r="AV314" i="2"/>
  <c r="AU314" i="2"/>
  <c r="AT314" i="2"/>
  <c r="H314" i="1"/>
  <c r="AS314" i="2"/>
  <c r="G314" i="1"/>
  <c r="AR314" i="2"/>
  <c r="AQ314" i="2"/>
  <c r="AP314" i="2"/>
  <c r="D314" i="1"/>
  <c r="AO314" i="2"/>
  <c r="AN314" i="2"/>
  <c r="AM314" i="2"/>
  <c r="AJ314" i="2"/>
  <c r="AI314" i="2"/>
  <c r="BM313" i="2"/>
  <c r="AA313" i="1"/>
  <c r="BL313" i="2"/>
  <c r="BK313" i="2"/>
  <c r="BJ313" i="2"/>
  <c r="X313" i="1"/>
  <c r="BI313" i="2"/>
  <c r="BH313" i="2"/>
  <c r="BG313" i="2"/>
  <c r="U313" i="1"/>
  <c r="BF313" i="2"/>
  <c r="BE313" i="2"/>
  <c r="S313" i="1"/>
  <c r="BD313" i="2"/>
  <c r="BC313" i="2"/>
  <c r="BB313" i="2"/>
  <c r="BA313" i="2"/>
  <c r="AZ313" i="2"/>
  <c r="AY313" i="2"/>
  <c r="AX313" i="2"/>
  <c r="AW313" i="2"/>
  <c r="AV313" i="2"/>
  <c r="AU313" i="2"/>
  <c r="AT313" i="2"/>
  <c r="H313" i="1"/>
  <c r="AS313" i="2"/>
  <c r="G313" i="1"/>
  <c r="AR313" i="2"/>
  <c r="AQ313" i="2"/>
  <c r="AP313" i="2"/>
  <c r="D313" i="1"/>
  <c r="AO313" i="2"/>
  <c r="AN313" i="2"/>
  <c r="AM313" i="2"/>
  <c r="AJ313" i="2"/>
  <c r="AI313" i="2"/>
  <c r="BM312" i="2"/>
  <c r="AA312" i="1"/>
  <c r="BL312" i="2"/>
  <c r="BK312" i="2"/>
  <c r="BJ312" i="2"/>
  <c r="X312" i="1"/>
  <c r="BI312" i="2"/>
  <c r="BH312" i="2"/>
  <c r="BG312" i="2"/>
  <c r="U312" i="1"/>
  <c r="BF312" i="2"/>
  <c r="BE312" i="2"/>
  <c r="S312" i="1"/>
  <c r="BD312" i="2"/>
  <c r="BC312" i="2"/>
  <c r="BB312" i="2"/>
  <c r="BA312" i="2"/>
  <c r="AZ312" i="2"/>
  <c r="AY312" i="2"/>
  <c r="AX312" i="2"/>
  <c r="AW312" i="2"/>
  <c r="AV312" i="2"/>
  <c r="AU312" i="2"/>
  <c r="AT312" i="2"/>
  <c r="H312" i="1"/>
  <c r="AS312" i="2"/>
  <c r="G312" i="1"/>
  <c r="AR312" i="2"/>
  <c r="AQ312" i="2"/>
  <c r="AP312" i="2"/>
  <c r="D312" i="1"/>
  <c r="AO312" i="2"/>
  <c r="AN312" i="2"/>
  <c r="AM312" i="2"/>
  <c r="AJ312" i="2"/>
  <c r="AI312" i="2"/>
  <c r="BM311" i="2"/>
  <c r="AA311" i="1"/>
  <c r="BL311" i="2"/>
  <c r="BK311" i="2"/>
  <c r="BJ311" i="2"/>
  <c r="X311" i="1"/>
  <c r="BI311" i="2"/>
  <c r="BH311" i="2"/>
  <c r="BG311" i="2"/>
  <c r="U311" i="1"/>
  <c r="BF311" i="2"/>
  <c r="BE311" i="2"/>
  <c r="S311" i="1"/>
  <c r="BD311" i="2"/>
  <c r="BC311" i="2"/>
  <c r="BB311" i="2"/>
  <c r="BA311" i="2"/>
  <c r="AZ311" i="2"/>
  <c r="AY311" i="2"/>
  <c r="AX311" i="2"/>
  <c r="AW311" i="2"/>
  <c r="AV311" i="2"/>
  <c r="AU311" i="2"/>
  <c r="AT311" i="2"/>
  <c r="H311" i="1"/>
  <c r="AS311" i="2"/>
  <c r="G311" i="1"/>
  <c r="AR311" i="2"/>
  <c r="AQ311" i="2"/>
  <c r="AP311" i="2"/>
  <c r="D311" i="1"/>
  <c r="AO311" i="2"/>
  <c r="AN311" i="2"/>
  <c r="AM311" i="2"/>
  <c r="AJ311" i="2"/>
  <c r="AI311" i="2"/>
  <c r="BM310" i="2"/>
  <c r="AA310" i="1"/>
  <c r="BL310" i="2"/>
  <c r="BK310" i="2"/>
  <c r="BJ310" i="2"/>
  <c r="X310" i="1"/>
  <c r="BI310" i="2"/>
  <c r="BH310" i="2"/>
  <c r="BG310" i="2"/>
  <c r="U310" i="1"/>
  <c r="BF310" i="2"/>
  <c r="BE310" i="2"/>
  <c r="S310" i="1"/>
  <c r="BD310" i="2"/>
  <c r="BC310" i="2"/>
  <c r="BB310" i="2"/>
  <c r="BA310" i="2"/>
  <c r="AZ310" i="2"/>
  <c r="AY310" i="2"/>
  <c r="AX310" i="2"/>
  <c r="AW310" i="2"/>
  <c r="AV310" i="2"/>
  <c r="AU310" i="2"/>
  <c r="AT310" i="2"/>
  <c r="H310" i="1"/>
  <c r="AS310" i="2"/>
  <c r="G310" i="1"/>
  <c r="AR310" i="2"/>
  <c r="AQ310" i="2"/>
  <c r="AP310" i="2"/>
  <c r="D310" i="1"/>
  <c r="AO310" i="2"/>
  <c r="AN310" i="2"/>
  <c r="AM310" i="2"/>
  <c r="AJ310" i="2"/>
  <c r="AI310" i="2"/>
  <c r="BM309" i="2"/>
  <c r="AA309" i="1"/>
  <c r="BL309" i="2"/>
  <c r="BK309" i="2"/>
  <c r="BJ309" i="2"/>
  <c r="X309" i="1"/>
  <c r="BI309" i="2"/>
  <c r="BH309" i="2"/>
  <c r="BG309" i="2"/>
  <c r="U309" i="1"/>
  <c r="BF309" i="2"/>
  <c r="BE309" i="2"/>
  <c r="S309" i="1"/>
  <c r="BD309" i="2"/>
  <c r="BC309" i="2"/>
  <c r="BB309" i="2"/>
  <c r="BA309" i="2"/>
  <c r="AZ309" i="2"/>
  <c r="AY309" i="2"/>
  <c r="AX309" i="2"/>
  <c r="AW309" i="2"/>
  <c r="AV309" i="2"/>
  <c r="AU309" i="2"/>
  <c r="AT309" i="2"/>
  <c r="H309" i="1"/>
  <c r="AS309" i="2"/>
  <c r="G309" i="1"/>
  <c r="AR309" i="2"/>
  <c r="AQ309" i="2"/>
  <c r="AP309" i="2"/>
  <c r="D309" i="1"/>
  <c r="AO309" i="2"/>
  <c r="AN309" i="2"/>
  <c r="AM309" i="2"/>
  <c r="AJ309" i="2"/>
  <c r="AI309" i="2"/>
  <c r="BM308" i="2"/>
  <c r="AA308" i="1"/>
  <c r="BL308" i="2"/>
  <c r="BK308" i="2"/>
  <c r="BJ308" i="2"/>
  <c r="X308" i="1"/>
  <c r="BI308" i="2"/>
  <c r="BH308" i="2"/>
  <c r="BG308" i="2"/>
  <c r="U308" i="1"/>
  <c r="BF308" i="2"/>
  <c r="BE308" i="2"/>
  <c r="S308" i="1"/>
  <c r="BD308" i="2"/>
  <c r="BC308" i="2"/>
  <c r="BB308" i="2"/>
  <c r="BA308" i="2"/>
  <c r="AZ308" i="2"/>
  <c r="AY308" i="2"/>
  <c r="AX308" i="2"/>
  <c r="AW308" i="2"/>
  <c r="AV308" i="2"/>
  <c r="AU308" i="2"/>
  <c r="AT308" i="2"/>
  <c r="H308" i="1"/>
  <c r="AS308" i="2"/>
  <c r="G308" i="1"/>
  <c r="AR308" i="2"/>
  <c r="AQ308" i="2"/>
  <c r="AP308" i="2"/>
  <c r="D308" i="1"/>
  <c r="AO308" i="2"/>
  <c r="AN308" i="2"/>
  <c r="AM308" i="2"/>
  <c r="AJ308" i="2"/>
  <c r="AI308" i="2"/>
  <c r="BM307" i="2"/>
  <c r="AA307" i="1"/>
  <c r="BL307" i="2"/>
  <c r="BK307" i="2"/>
  <c r="BJ307" i="2"/>
  <c r="X307" i="1"/>
  <c r="BI307" i="2"/>
  <c r="BH307" i="2"/>
  <c r="BG307" i="2"/>
  <c r="U307" i="1"/>
  <c r="BF307" i="2"/>
  <c r="BE307" i="2"/>
  <c r="S307" i="1"/>
  <c r="BD307" i="2"/>
  <c r="BC307" i="2"/>
  <c r="BB307" i="2"/>
  <c r="BA307" i="2"/>
  <c r="AZ307" i="2"/>
  <c r="AY307" i="2"/>
  <c r="AX307" i="2"/>
  <c r="AW307" i="2"/>
  <c r="AV307" i="2"/>
  <c r="AU307" i="2"/>
  <c r="AT307" i="2"/>
  <c r="H307" i="1"/>
  <c r="AS307" i="2"/>
  <c r="G307" i="1"/>
  <c r="AR307" i="2"/>
  <c r="AQ307" i="2"/>
  <c r="AP307" i="2"/>
  <c r="D307" i="1"/>
  <c r="AO307" i="2"/>
  <c r="AN307" i="2"/>
  <c r="AM307" i="2"/>
  <c r="AJ307" i="2"/>
  <c r="AI307" i="2"/>
  <c r="BM306" i="2"/>
  <c r="AA306" i="1"/>
  <c r="BL306" i="2"/>
  <c r="BK306" i="2"/>
  <c r="BJ306" i="2"/>
  <c r="X306" i="1"/>
  <c r="BI306" i="2"/>
  <c r="BH306" i="2"/>
  <c r="BG306" i="2"/>
  <c r="U306" i="1"/>
  <c r="BF306" i="2"/>
  <c r="BE306" i="2"/>
  <c r="S306" i="1"/>
  <c r="BD306" i="2"/>
  <c r="BC306" i="2"/>
  <c r="BB306" i="2"/>
  <c r="BA306" i="2"/>
  <c r="AZ306" i="2"/>
  <c r="AY306" i="2"/>
  <c r="AX306" i="2"/>
  <c r="AW306" i="2"/>
  <c r="AV306" i="2"/>
  <c r="AU306" i="2"/>
  <c r="AT306" i="2"/>
  <c r="H306" i="1"/>
  <c r="AS306" i="2"/>
  <c r="G306" i="1"/>
  <c r="AR306" i="2"/>
  <c r="AQ306" i="2"/>
  <c r="AP306" i="2"/>
  <c r="D306" i="1"/>
  <c r="AO306" i="2"/>
  <c r="AN306" i="2"/>
  <c r="AM306" i="2"/>
  <c r="AJ306" i="2"/>
  <c r="AI306" i="2"/>
  <c r="BM305" i="2"/>
  <c r="AA305" i="1"/>
  <c r="BL305" i="2"/>
  <c r="BK305" i="2"/>
  <c r="BJ305" i="2"/>
  <c r="X305" i="1"/>
  <c r="BI305" i="2"/>
  <c r="BH305" i="2"/>
  <c r="BG305" i="2"/>
  <c r="U305" i="1"/>
  <c r="BF305" i="2"/>
  <c r="BE305" i="2"/>
  <c r="S305" i="1"/>
  <c r="BD305" i="2"/>
  <c r="BC305" i="2"/>
  <c r="BB305" i="2"/>
  <c r="BA305" i="2"/>
  <c r="AZ305" i="2"/>
  <c r="AY305" i="2"/>
  <c r="AX305" i="2"/>
  <c r="AW305" i="2"/>
  <c r="AV305" i="2"/>
  <c r="AU305" i="2"/>
  <c r="AT305" i="2"/>
  <c r="H305" i="1"/>
  <c r="AS305" i="2"/>
  <c r="G305" i="1"/>
  <c r="AR305" i="2"/>
  <c r="AQ305" i="2"/>
  <c r="AP305" i="2"/>
  <c r="D305" i="1"/>
  <c r="AO305" i="2"/>
  <c r="AN305" i="2"/>
  <c r="AM305" i="2"/>
  <c r="AJ305" i="2"/>
  <c r="AI305" i="2"/>
  <c r="BM304" i="2"/>
  <c r="AA304" i="1"/>
  <c r="BL304" i="2"/>
  <c r="BK304" i="2"/>
  <c r="BJ304" i="2"/>
  <c r="X304" i="1"/>
  <c r="BI304" i="2"/>
  <c r="BH304" i="2"/>
  <c r="BG304" i="2"/>
  <c r="U304" i="1"/>
  <c r="BF304" i="2"/>
  <c r="BE304" i="2"/>
  <c r="S304" i="1"/>
  <c r="BD304" i="2"/>
  <c r="BC304" i="2"/>
  <c r="BB304" i="2"/>
  <c r="BA304" i="2"/>
  <c r="AZ304" i="2"/>
  <c r="AY304" i="2"/>
  <c r="AX304" i="2"/>
  <c r="AW304" i="2"/>
  <c r="AV304" i="2"/>
  <c r="AU304" i="2"/>
  <c r="AT304" i="2"/>
  <c r="H304" i="1"/>
  <c r="AS304" i="2"/>
  <c r="G304" i="1"/>
  <c r="AR304" i="2"/>
  <c r="AQ304" i="2"/>
  <c r="AP304" i="2"/>
  <c r="D304" i="1"/>
  <c r="AO304" i="2"/>
  <c r="AN304" i="2"/>
  <c r="AM304" i="2"/>
  <c r="AJ304" i="2"/>
  <c r="AI304" i="2"/>
  <c r="BM303" i="2"/>
  <c r="AA303" i="1"/>
  <c r="BL303" i="2"/>
  <c r="BK303" i="2"/>
  <c r="BJ303" i="2"/>
  <c r="X303" i="1"/>
  <c r="BI303" i="2"/>
  <c r="BH303" i="2"/>
  <c r="BG303" i="2"/>
  <c r="U303" i="1"/>
  <c r="BF303" i="2"/>
  <c r="BE303" i="2"/>
  <c r="S303" i="1"/>
  <c r="BD303" i="2"/>
  <c r="BC303" i="2"/>
  <c r="BB303" i="2"/>
  <c r="BA303" i="2"/>
  <c r="AZ303" i="2"/>
  <c r="AY303" i="2"/>
  <c r="AX303" i="2"/>
  <c r="AW303" i="2"/>
  <c r="AV303" i="2"/>
  <c r="AU303" i="2"/>
  <c r="AT303" i="2"/>
  <c r="H303" i="1"/>
  <c r="AS303" i="2"/>
  <c r="G303" i="1"/>
  <c r="AR303" i="2"/>
  <c r="AQ303" i="2"/>
  <c r="AP303" i="2"/>
  <c r="D303" i="1"/>
  <c r="AO303" i="2"/>
  <c r="AN303" i="2"/>
  <c r="AM303" i="2"/>
  <c r="AJ303" i="2"/>
  <c r="AI303" i="2"/>
  <c r="BM302" i="2"/>
  <c r="AA302" i="1"/>
  <c r="BL302" i="2"/>
  <c r="BK302" i="2"/>
  <c r="BJ302" i="2"/>
  <c r="X302" i="1"/>
  <c r="BI302" i="2"/>
  <c r="BH302" i="2"/>
  <c r="BG302" i="2"/>
  <c r="U302" i="1"/>
  <c r="BF302" i="2"/>
  <c r="BE302" i="2"/>
  <c r="S302" i="1"/>
  <c r="BD302" i="2"/>
  <c r="BC302" i="2"/>
  <c r="BB302" i="2"/>
  <c r="BA302" i="2"/>
  <c r="AZ302" i="2"/>
  <c r="AY302" i="2"/>
  <c r="AX302" i="2"/>
  <c r="AW302" i="2"/>
  <c r="AV302" i="2"/>
  <c r="AU302" i="2"/>
  <c r="AT302" i="2"/>
  <c r="H302" i="1"/>
  <c r="AS302" i="2"/>
  <c r="G302" i="1"/>
  <c r="AR302" i="2"/>
  <c r="AQ302" i="2"/>
  <c r="AP302" i="2"/>
  <c r="D302" i="1"/>
  <c r="AO302" i="2"/>
  <c r="AN302" i="2"/>
  <c r="AM302" i="2"/>
  <c r="AJ302" i="2"/>
  <c r="AI302" i="2"/>
  <c r="BM301" i="2"/>
  <c r="AA301" i="1"/>
  <c r="BL301" i="2"/>
  <c r="BK301" i="2"/>
  <c r="BJ301" i="2"/>
  <c r="X301" i="1"/>
  <c r="BI301" i="2"/>
  <c r="BH301" i="2"/>
  <c r="BG301" i="2"/>
  <c r="U301" i="1"/>
  <c r="BF301" i="2"/>
  <c r="BE301" i="2"/>
  <c r="S301" i="1"/>
  <c r="BD301" i="2"/>
  <c r="BC301" i="2"/>
  <c r="BB301" i="2"/>
  <c r="BA301" i="2"/>
  <c r="AZ301" i="2"/>
  <c r="AY301" i="2"/>
  <c r="AX301" i="2"/>
  <c r="AW301" i="2"/>
  <c r="AV301" i="2"/>
  <c r="AU301" i="2"/>
  <c r="AT301" i="2"/>
  <c r="H301" i="1"/>
  <c r="AS301" i="2"/>
  <c r="G301" i="1"/>
  <c r="AR301" i="2"/>
  <c r="AQ301" i="2"/>
  <c r="AP301" i="2"/>
  <c r="D301" i="1"/>
  <c r="AO301" i="2"/>
  <c r="AN301" i="2"/>
  <c r="AM301" i="2"/>
  <c r="AJ301" i="2"/>
  <c r="AI301" i="2"/>
  <c r="BM300" i="2"/>
  <c r="AA300" i="1"/>
  <c r="BL300" i="2"/>
  <c r="BK300" i="2"/>
  <c r="BJ300" i="2"/>
  <c r="X300" i="1"/>
  <c r="BI300" i="2"/>
  <c r="BH300" i="2"/>
  <c r="BG300" i="2"/>
  <c r="U300" i="1"/>
  <c r="BF300" i="2"/>
  <c r="BE300" i="2"/>
  <c r="S300" i="1"/>
  <c r="BD300" i="2"/>
  <c r="BC300" i="2"/>
  <c r="BB300" i="2"/>
  <c r="BA300" i="2"/>
  <c r="AZ300" i="2"/>
  <c r="AY300" i="2"/>
  <c r="AX300" i="2"/>
  <c r="AW300" i="2"/>
  <c r="AV300" i="2"/>
  <c r="AU300" i="2"/>
  <c r="AT300" i="2"/>
  <c r="H300" i="1"/>
  <c r="AS300" i="2"/>
  <c r="G300" i="1"/>
  <c r="AR300" i="2"/>
  <c r="AQ300" i="2"/>
  <c r="AP300" i="2"/>
  <c r="D300" i="1"/>
  <c r="AO300" i="2"/>
  <c r="AN300" i="2"/>
  <c r="AM300" i="2"/>
  <c r="AJ300" i="2"/>
  <c r="AI300" i="2"/>
  <c r="BM299" i="2"/>
  <c r="AA299" i="1"/>
  <c r="BL299" i="2"/>
  <c r="BK299" i="2"/>
  <c r="BJ299" i="2"/>
  <c r="X299" i="1"/>
  <c r="BI299" i="2"/>
  <c r="BH299" i="2"/>
  <c r="BG299" i="2"/>
  <c r="U299" i="1"/>
  <c r="BF299" i="2"/>
  <c r="BE299" i="2"/>
  <c r="S299" i="1"/>
  <c r="BD299" i="2"/>
  <c r="BC299" i="2"/>
  <c r="BB299" i="2"/>
  <c r="BA299" i="2"/>
  <c r="AZ299" i="2"/>
  <c r="AY299" i="2"/>
  <c r="AX299" i="2"/>
  <c r="AW299" i="2"/>
  <c r="AV299" i="2"/>
  <c r="AU299" i="2"/>
  <c r="AT299" i="2"/>
  <c r="H299" i="1"/>
  <c r="AS299" i="2"/>
  <c r="G299" i="1"/>
  <c r="AR299" i="2"/>
  <c r="AQ299" i="2"/>
  <c r="AP299" i="2"/>
  <c r="D299" i="1"/>
  <c r="AO299" i="2"/>
  <c r="AN299" i="2"/>
  <c r="AM299" i="2"/>
  <c r="AJ299" i="2"/>
  <c r="AI299" i="2"/>
  <c r="BM298" i="2"/>
  <c r="AA298" i="1"/>
  <c r="BL298" i="2"/>
  <c r="BK298" i="2"/>
  <c r="BJ298" i="2"/>
  <c r="X298" i="1"/>
  <c r="BI298" i="2"/>
  <c r="BH298" i="2"/>
  <c r="BG298" i="2"/>
  <c r="U298" i="1"/>
  <c r="BF298" i="2"/>
  <c r="BE298" i="2"/>
  <c r="S298" i="1"/>
  <c r="BD298" i="2"/>
  <c r="BC298" i="2"/>
  <c r="BB298" i="2"/>
  <c r="BA298" i="2"/>
  <c r="AZ298" i="2"/>
  <c r="AY298" i="2"/>
  <c r="AX298" i="2"/>
  <c r="AW298" i="2"/>
  <c r="AV298" i="2"/>
  <c r="AU298" i="2"/>
  <c r="AT298" i="2"/>
  <c r="H298" i="1"/>
  <c r="AS298" i="2"/>
  <c r="G298" i="1"/>
  <c r="AR298" i="2"/>
  <c r="AQ298" i="2"/>
  <c r="AP298" i="2"/>
  <c r="D298" i="1"/>
  <c r="AO298" i="2"/>
  <c r="AN298" i="2"/>
  <c r="AM298" i="2"/>
  <c r="AJ298" i="2"/>
  <c r="AI298" i="2"/>
  <c r="BM297" i="2"/>
  <c r="AA297" i="1"/>
  <c r="BL297" i="2"/>
  <c r="BK297" i="2"/>
  <c r="BJ297" i="2"/>
  <c r="X297" i="1"/>
  <c r="BI297" i="2"/>
  <c r="BH297" i="2"/>
  <c r="BG297" i="2"/>
  <c r="U297" i="1"/>
  <c r="BF297" i="2"/>
  <c r="BE297" i="2"/>
  <c r="S297" i="1"/>
  <c r="BD297" i="2"/>
  <c r="BC297" i="2"/>
  <c r="BB297" i="2"/>
  <c r="BA297" i="2"/>
  <c r="AZ297" i="2"/>
  <c r="AY297" i="2"/>
  <c r="AX297" i="2"/>
  <c r="AW297" i="2"/>
  <c r="AV297" i="2"/>
  <c r="AU297" i="2"/>
  <c r="AT297" i="2"/>
  <c r="H297" i="1"/>
  <c r="AS297" i="2"/>
  <c r="G297" i="1"/>
  <c r="AR297" i="2"/>
  <c r="AQ297" i="2"/>
  <c r="AP297" i="2"/>
  <c r="D297" i="1"/>
  <c r="AO297" i="2"/>
  <c r="AN297" i="2"/>
  <c r="AM297" i="2"/>
  <c r="AJ297" i="2"/>
  <c r="AI297" i="2"/>
  <c r="BM296" i="2"/>
  <c r="AA296" i="1"/>
  <c r="BL296" i="2"/>
  <c r="BK296" i="2"/>
  <c r="BJ296" i="2"/>
  <c r="X296" i="1"/>
  <c r="BI296" i="2"/>
  <c r="BH296" i="2"/>
  <c r="BG296" i="2"/>
  <c r="U296" i="1"/>
  <c r="BF296" i="2"/>
  <c r="BE296" i="2"/>
  <c r="S296" i="1"/>
  <c r="BD296" i="2"/>
  <c r="BC296" i="2"/>
  <c r="BB296" i="2"/>
  <c r="BA296" i="2"/>
  <c r="AZ296" i="2"/>
  <c r="AY296" i="2"/>
  <c r="AX296" i="2"/>
  <c r="AW296" i="2"/>
  <c r="AV296" i="2"/>
  <c r="AU296" i="2"/>
  <c r="AT296" i="2"/>
  <c r="H296" i="1"/>
  <c r="AS296" i="2"/>
  <c r="G296" i="1"/>
  <c r="AR296" i="2"/>
  <c r="AQ296" i="2"/>
  <c r="AP296" i="2"/>
  <c r="D296" i="1"/>
  <c r="AO296" i="2"/>
  <c r="AN296" i="2"/>
  <c r="AM296" i="2"/>
  <c r="AJ296" i="2"/>
  <c r="AI296" i="2"/>
  <c r="BM295" i="2"/>
  <c r="AA295" i="1"/>
  <c r="BL295" i="2"/>
  <c r="BK295" i="2"/>
  <c r="BJ295" i="2"/>
  <c r="X295" i="1"/>
  <c r="BI295" i="2"/>
  <c r="BH295" i="2"/>
  <c r="BG295" i="2"/>
  <c r="U295" i="1"/>
  <c r="BF295" i="2"/>
  <c r="BE295" i="2"/>
  <c r="S295" i="1"/>
  <c r="BD295" i="2"/>
  <c r="BC295" i="2"/>
  <c r="BB295" i="2"/>
  <c r="BA295" i="2"/>
  <c r="AZ295" i="2"/>
  <c r="AY295" i="2"/>
  <c r="AX295" i="2"/>
  <c r="AW295" i="2"/>
  <c r="AV295" i="2"/>
  <c r="AU295" i="2"/>
  <c r="AT295" i="2"/>
  <c r="H295" i="1"/>
  <c r="AS295" i="2"/>
  <c r="G295" i="1"/>
  <c r="AR295" i="2"/>
  <c r="AQ295" i="2"/>
  <c r="AP295" i="2"/>
  <c r="D295" i="1"/>
  <c r="AO295" i="2"/>
  <c r="AN295" i="2"/>
  <c r="AM295" i="2"/>
  <c r="AJ295" i="2"/>
  <c r="AI295" i="2"/>
  <c r="BM294" i="2"/>
  <c r="AA294" i="1"/>
  <c r="BL294" i="2"/>
  <c r="BK294" i="2"/>
  <c r="BJ294" i="2"/>
  <c r="X294" i="1"/>
  <c r="BI294" i="2"/>
  <c r="BH294" i="2"/>
  <c r="BG294" i="2"/>
  <c r="U294" i="1"/>
  <c r="BF294" i="2"/>
  <c r="BE294" i="2"/>
  <c r="S294" i="1"/>
  <c r="BD294" i="2"/>
  <c r="BC294" i="2"/>
  <c r="BB294" i="2"/>
  <c r="BA294" i="2"/>
  <c r="AZ294" i="2"/>
  <c r="AY294" i="2"/>
  <c r="AX294" i="2"/>
  <c r="AW294" i="2"/>
  <c r="AV294" i="2"/>
  <c r="AU294" i="2"/>
  <c r="AT294" i="2"/>
  <c r="H294" i="1"/>
  <c r="AS294" i="2"/>
  <c r="G294" i="1"/>
  <c r="AR294" i="2"/>
  <c r="AQ294" i="2"/>
  <c r="AP294" i="2"/>
  <c r="D294" i="1"/>
  <c r="AO294" i="2"/>
  <c r="AN294" i="2"/>
  <c r="AM294" i="2"/>
  <c r="AJ294" i="2"/>
  <c r="AI294" i="2"/>
  <c r="BM293" i="2"/>
  <c r="AA293" i="1"/>
  <c r="BL293" i="2"/>
  <c r="BK293" i="2"/>
  <c r="BJ293" i="2"/>
  <c r="X293" i="1"/>
  <c r="BI293" i="2"/>
  <c r="BH293" i="2"/>
  <c r="BG293" i="2"/>
  <c r="U293" i="1"/>
  <c r="BF293" i="2"/>
  <c r="BE293" i="2"/>
  <c r="S293" i="1"/>
  <c r="BD293" i="2"/>
  <c r="BC293" i="2"/>
  <c r="BB293" i="2"/>
  <c r="BA293" i="2"/>
  <c r="AZ293" i="2"/>
  <c r="AY293" i="2"/>
  <c r="AX293" i="2"/>
  <c r="AW293" i="2"/>
  <c r="AV293" i="2"/>
  <c r="AU293" i="2"/>
  <c r="AT293" i="2"/>
  <c r="H293" i="1"/>
  <c r="AS293" i="2"/>
  <c r="G293" i="1"/>
  <c r="AR293" i="2"/>
  <c r="AQ293" i="2"/>
  <c r="AP293" i="2"/>
  <c r="D293" i="1"/>
  <c r="AO293" i="2"/>
  <c r="AN293" i="2"/>
  <c r="AM293" i="2"/>
  <c r="AJ293" i="2"/>
  <c r="AI293" i="2"/>
  <c r="BM292" i="2"/>
  <c r="AA292" i="1"/>
  <c r="BL292" i="2"/>
  <c r="BK292" i="2"/>
  <c r="BJ292" i="2"/>
  <c r="X292" i="1"/>
  <c r="BI292" i="2"/>
  <c r="BH292" i="2"/>
  <c r="BG292" i="2"/>
  <c r="U292" i="1"/>
  <c r="BF292" i="2"/>
  <c r="BE292" i="2"/>
  <c r="S292" i="1"/>
  <c r="BD292" i="2"/>
  <c r="BC292" i="2"/>
  <c r="BB292" i="2"/>
  <c r="BA292" i="2"/>
  <c r="AZ292" i="2"/>
  <c r="AY292" i="2"/>
  <c r="AX292" i="2"/>
  <c r="AW292" i="2"/>
  <c r="AV292" i="2"/>
  <c r="AU292" i="2"/>
  <c r="AT292" i="2"/>
  <c r="H292" i="1"/>
  <c r="AS292" i="2"/>
  <c r="G292" i="1"/>
  <c r="AR292" i="2"/>
  <c r="AQ292" i="2"/>
  <c r="AP292" i="2"/>
  <c r="D292" i="1"/>
  <c r="AO292" i="2"/>
  <c r="AN292" i="2"/>
  <c r="AM292" i="2"/>
  <c r="AJ292" i="2"/>
  <c r="AI292" i="2"/>
  <c r="BM291" i="2"/>
  <c r="AA291" i="1"/>
  <c r="BL291" i="2"/>
  <c r="BK291" i="2"/>
  <c r="BJ291" i="2"/>
  <c r="X291" i="1"/>
  <c r="BI291" i="2"/>
  <c r="BH291" i="2"/>
  <c r="BG291" i="2"/>
  <c r="U291" i="1"/>
  <c r="BF291" i="2"/>
  <c r="BE291" i="2"/>
  <c r="S291" i="1"/>
  <c r="BD291" i="2"/>
  <c r="BC291" i="2"/>
  <c r="BB291" i="2"/>
  <c r="BA291" i="2"/>
  <c r="AZ291" i="2"/>
  <c r="AY291" i="2"/>
  <c r="AX291" i="2"/>
  <c r="AW291" i="2"/>
  <c r="AV291" i="2"/>
  <c r="AU291" i="2"/>
  <c r="AT291" i="2"/>
  <c r="H291" i="1"/>
  <c r="AS291" i="2"/>
  <c r="G291" i="1"/>
  <c r="AR291" i="2"/>
  <c r="AQ291" i="2"/>
  <c r="AP291" i="2"/>
  <c r="D291" i="1"/>
  <c r="AO291" i="2"/>
  <c r="AN291" i="2"/>
  <c r="AM291" i="2"/>
  <c r="AJ291" i="2"/>
  <c r="AI291" i="2"/>
  <c r="BM290" i="2"/>
  <c r="AA290" i="1"/>
  <c r="BL290" i="2"/>
  <c r="BK290" i="2"/>
  <c r="BJ290" i="2"/>
  <c r="X290" i="1"/>
  <c r="BI290" i="2"/>
  <c r="BH290" i="2"/>
  <c r="BG290" i="2"/>
  <c r="U290" i="1"/>
  <c r="BF290" i="2"/>
  <c r="BE290" i="2"/>
  <c r="S290" i="1"/>
  <c r="BD290" i="2"/>
  <c r="BC290" i="2"/>
  <c r="BB290" i="2"/>
  <c r="BA290" i="2"/>
  <c r="AZ290" i="2"/>
  <c r="AY290" i="2"/>
  <c r="AX290" i="2"/>
  <c r="AW290" i="2"/>
  <c r="AV290" i="2"/>
  <c r="AU290" i="2"/>
  <c r="AT290" i="2"/>
  <c r="H290" i="1"/>
  <c r="AS290" i="2"/>
  <c r="G290" i="1"/>
  <c r="AR290" i="2"/>
  <c r="AQ290" i="2"/>
  <c r="AP290" i="2"/>
  <c r="D290" i="1"/>
  <c r="AO290" i="2"/>
  <c r="AN290" i="2"/>
  <c r="AM290" i="2"/>
  <c r="AJ290" i="2"/>
  <c r="AI290" i="2"/>
  <c r="BM289" i="2"/>
  <c r="AA289" i="1"/>
  <c r="BL289" i="2"/>
  <c r="BK289" i="2"/>
  <c r="BJ289" i="2"/>
  <c r="X289" i="1"/>
  <c r="BI289" i="2"/>
  <c r="BH289" i="2"/>
  <c r="BG289" i="2"/>
  <c r="U289" i="1"/>
  <c r="BF289" i="2"/>
  <c r="BE289" i="2"/>
  <c r="S289" i="1"/>
  <c r="BD289" i="2"/>
  <c r="BC289" i="2"/>
  <c r="BB289" i="2"/>
  <c r="BA289" i="2"/>
  <c r="AZ289" i="2"/>
  <c r="AY289" i="2"/>
  <c r="AX289" i="2"/>
  <c r="AW289" i="2"/>
  <c r="AV289" i="2"/>
  <c r="AU289" i="2"/>
  <c r="AT289" i="2"/>
  <c r="H289" i="1"/>
  <c r="AS289" i="2"/>
  <c r="G289" i="1"/>
  <c r="AR289" i="2"/>
  <c r="AQ289" i="2"/>
  <c r="AP289" i="2"/>
  <c r="D289" i="1"/>
  <c r="AO289" i="2"/>
  <c r="AN289" i="2"/>
  <c r="AM289" i="2"/>
  <c r="AJ289" i="2"/>
  <c r="AI289" i="2"/>
  <c r="BM288" i="2"/>
  <c r="AA288" i="1"/>
  <c r="BL288" i="2"/>
  <c r="BK288" i="2"/>
  <c r="BJ288" i="2"/>
  <c r="X288" i="1"/>
  <c r="BI288" i="2"/>
  <c r="BH288" i="2"/>
  <c r="BG288" i="2"/>
  <c r="U288" i="1"/>
  <c r="BF288" i="2"/>
  <c r="BE288" i="2"/>
  <c r="S288" i="1"/>
  <c r="BD288" i="2"/>
  <c r="BC288" i="2"/>
  <c r="BB288" i="2"/>
  <c r="BA288" i="2"/>
  <c r="AZ288" i="2"/>
  <c r="AY288" i="2"/>
  <c r="AX288" i="2"/>
  <c r="AW288" i="2"/>
  <c r="AV288" i="2"/>
  <c r="AU288" i="2"/>
  <c r="AT288" i="2"/>
  <c r="H288" i="1"/>
  <c r="AS288" i="2"/>
  <c r="G288" i="1"/>
  <c r="AR288" i="2"/>
  <c r="AQ288" i="2"/>
  <c r="AP288" i="2"/>
  <c r="D288" i="1"/>
  <c r="AO288" i="2"/>
  <c r="AN288" i="2"/>
  <c r="AM288" i="2"/>
  <c r="AJ288" i="2"/>
  <c r="AI288" i="2"/>
  <c r="BM287" i="2"/>
  <c r="AA287" i="1"/>
  <c r="BL287" i="2"/>
  <c r="BK287" i="2"/>
  <c r="BJ287" i="2"/>
  <c r="X287" i="1"/>
  <c r="BI287" i="2"/>
  <c r="BH287" i="2"/>
  <c r="BG287" i="2"/>
  <c r="U287" i="1"/>
  <c r="BF287" i="2"/>
  <c r="BE287" i="2"/>
  <c r="S287" i="1"/>
  <c r="BD287" i="2"/>
  <c r="BC287" i="2"/>
  <c r="BB287" i="2"/>
  <c r="BA287" i="2"/>
  <c r="AZ287" i="2"/>
  <c r="AY287" i="2"/>
  <c r="AX287" i="2"/>
  <c r="AW287" i="2"/>
  <c r="AV287" i="2"/>
  <c r="AU287" i="2"/>
  <c r="AT287" i="2"/>
  <c r="H287" i="1"/>
  <c r="AS287" i="2"/>
  <c r="G287" i="1"/>
  <c r="AR287" i="2"/>
  <c r="AQ287" i="2"/>
  <c r="AP287" i="2"/>
  <c r="D287" i="1"/>
  <c r="AO287" i="2"/>
  <c r="AN287" i="2"/>
  <c r="AM287" i="2"/>
  <c r="AJ287" i="2"/>
  <c r="AI287" i="2"/>
  <c r="BM286" i="2"/>
  <c r="AA286" i="1"/>
  <c r="BL286" i="2"/>
  <c r="BK286" i="2"/>
  <c r="BJ286" i="2"/>
  <c r="X286" i="1"/>
  <c r="BI286" i="2"/>
  <c r="BH286" i="2"/>
  <c r="BG286" i="2"/>
  <c r="U286" i="1"/>
  <c r="BF286" i="2"/>
  <c r="BE286" i="2"/>
  <c r="S286" i="1"/>
  <c r="BD286" i="2"/>
  <c r="BC286" i="2"/>
  <c r="BB286" i="2"/>
  <c r="BA286" i="2"/>
  <c r="AZ286" i="2"/>
  <c r="AY286" i="2"/>
  <c r="AX286" i="2"/>
  <c r="AW286" i="2"/>
  <c r="AV286" i="2"/>
  <c r="AU286" i="2"/>
  <c r="AT286" i="2"/>
  <c r="H286" i="1"/>
  <c r="AS286" i="2"/>
  <c r="G286" i="1"/>
  <c r="AR286" i="2"/>
  <c r="AQ286" i="2"/>
  <c r="AP286" i="2"/>
  <c r="D286" i="1"/>
  <c r="AO286" i="2"/>
  <c r="AN286" i="2"/>
  <c r="AM286" i="2"/>
  <c r="AJ286" i="2"/>
  <c r="AI286" i="2"/>
  <c r="BM285" i="2"/>
  <c r="AA285" i="1"/>
  <c r="BL285" i="2"/>
  <c r="BK285" i="2"/>
  <c r="BJ285" i="2"/>
  <c r="X285" i="1"/>
  <c r="BI285" i="2"/>
  <c r="BH285" i="2"/>
  <c r="BG285" i="2"/>
  <c r="U285" i="1"/>
  <c r="BF285" i="2"/>
  <c r="BE285" i="2"/>
  <c r="S285" i="1"/>
  <c r="BD285" i="2"/>
  <c r="BC285" i="2"/>
  <c r="BB285" i="2"/>
  <c r="BA285" i="2"/>
  <c r="AZ285" i="2"/>
  <c r="AY285" i="2"/>
  <c r="AX285" i="2"/>
  <c r="AW285" i="2"/>
  <c r="AV285" i="2"/>
  <c r="AU285" i="2"/>
  <c r="AT285" i="2"/>
  <c r="H285" i="1"/>
  <c r="AS285" i="2"/>
  <c r="G285" i="1"/>
  <c r="AR285" i="2"/>
  <c r="AQ285" i="2"/>
  <c r="AP285" i="2"/>
  <c r="D285" i="1"/>
  <c r="AO285" i="2"/>
  <c r="AN285" i="2"/>
  <c r="AM285" i="2"/>
  <c r="AJ285" i="2"/>
  <c r="AI285" i="2"/>
  <c r="BM284" i="2"/>
  <c r="AA284" i="1"/>
  <c r="BL284" i="2"/>
  <c r="BK284" i="2"/>
  <c r="BJ284" i="2"/>
  <c r="X284" i="1"/>
  <c r="BI284" i="2"/>
  <c r="BH284" i="2"/>
  <c r="BG284" i="2"/>
  <c r="U284" i="1"/>
  <c r="BF284" i="2"/>
  <c r="BE284" i="2"/>
  <c r="S284" i="1"/>
  <c r="BD284" i="2"/>
  <c r="BC284" i="2"/>
  <c r="BB284" i="2"/>
  <c r="BA284" i="2"/>
  <c r="AZ284" i="2"/>
  <c r="AY284" i="2"/>
  <c r="AX284" i="2"/>
  <c r="AW284" i="2"/>
  <c r="AV284" i="2"/>
  <c r="AU284" i="2"/>
  <c r="AT284" i="2"/>
  <c r="H284" i="1"/>
  <c r="AS284" i="2"/>
  <c r="G284" i="1"/>
  <c r="AR284" i="2"/>
  <c r="AQ284" i="2"/>
  <c r="AP284" i="2"/>
  <c r="D284" i="1"/>
  <c r="AO284" i="2"/>
  <c r="AN284" i="2"/>
  <c r="AM284" i="2"/>
  <c r="AJ284" i="2"/>
  <c r="AI284" i="2"/>
  <c r="BM283" i="2"/>
  <c r="AA283" i="1"/>
  <c r="BL283" i="2"/>
  <c r="BK283" i="2"/>
  <c r="BJ283" i="2"/>
  <c r="X283" i="1"/>
  <c r="BI283" i="2"/>
  <c r="BH283" i="2"/>
  <c r="BG283" i="2"/>
  <c r="U283" i="1"/>
  <c r="BF283" i="2"/>
  <c r="BE283" i="2"/>
  <c r="S283" i="1"/>
  <c r="BD283" i="2"/>
  <c r="BC283" i="2"/>
  <c r="BB283" i="2"/>
  <c r="BA283" i="2"/>
  <c r="AZ283" i="2"/>
  <c r="AY283" i="2"/>
  <c r="AX283" i="2"/>
  <c r="AW283" i="2"/>
  <c r="AV283" i="2"/>
  <c r="AU283" i="2"/>
  <c r="AT283" i="2"/>
  <c r="H283" i="1"/>
  <c r="AS283" i="2"/>
  <c r="G283" i="1"/>
  <c r="AR283" i="2"/>
  <c r="AQ283" i="2"/>
  <c r="AP283" i="2"/>
  <c r="D283" i="1"/>
  <c r="AO283" i="2"/>
  <c r="AN283" i="2"/>
  <c r="AM283" i="2"/>
  <c r="AJ283" i="2"/>
  <c r="AI283" i="2"/>
  <c r="BM282" i="2"/>
  <c r="AA282" i="1"/>
  <c r="BL282" i="2"/>
  <c r="BK282" i="2"/>
  <c r="BJ282" i="2"/>
  <c r="X282" i="1"/>
  <c r="BI282" i="2"/>
  <c r="BH282" i="2"/>
  <c r="BG282" i="2"/>
  <c r="U282" i="1"/>
  <c r="BF282" i="2"/>
  <c r="BE282" i="2"/>
  <c r="S282" i="1"/>
  <c r="BD282" i="2"/>
  <c r="BC282" i="2"/>
  <c r="BB282" i="2"/>
  <c r="BA282" i="2"/>
  <c r="AZ282" i="2"/>
  <c r="AY282" i="2"/>
  <c r="AX282" i="2"/>
  <c r="AW282" i="2"/>
  <c r="AV282" i="2"/>
  <c r="AU282" i="2"/>
  <c r="AT282" i="2"/>
  <c r="H282" i="1"/>
  <c r="AS282" i="2"/>
  <c r="G282" i="1"/>
  <c r="AR282" i="2"/>
  <c r="AQ282" i="2"/>
  <c r="AP282" i="2"/>
  <c r="D282" i="1"/>
  <c r="AO282" i="2"/>
  <c r="AN282" i="2"/>
  <c r="AM282" i="2"/>
  <c r="AJ282" i="2"/>
  <c r="AI282" i="2"/>
  <c r="BM281" i="2"/>
  <c r="AA281" i="1"/>
  <c r="BL281" i="2"/>
  <c r="BK281" i="2"/>
  <c r="BJ281" i="2"/>
  <c r="X281" i="1"/>
  <c r="BI281" i="2"/>
  <c r="BH281" i="2"/>
  <c r="BG281" i="2"/>
  <c r="U281" i="1"/>
  <c r="BF281" i="2"/>
  <c r="BE281" i="2"/>
  <c r="S281" i="1"/>
  <c r="BD281" i="2"/>
  <c r="BC281" i="2"/>
  <c r="BB281" i="2"/>
  <c r="BA281" i="2"/>
  <c r="AZ281" i="2"/>
  <c r="AY281" i="2"/>
  <c r="AX281" i="2"/>
  <c r="AW281" i="2"/>
  <c r="AV281" i="2"/>
  <c r="AU281" i="2"/>
  <c r="AT281" i="2"/>
  <c r="H281" i="1"/>
  <c r="AS281" i="2"/>
  <c r="G281" i="1"/>
  <c r="AR281" i="2"/>
  <c r="AQ281" i="2"/>
  <c r="AP281" i="2"/>
  <c r="D281" i="1"/>
  <c r="AO281" i="2"/>
  <c r="AN281" i="2"/>
  <c r="AM281" i="2"/>
  <c r="AJ281" i="2"/>
  <c r="AI281" i="2"/>
  <c r="BM280" i="2"/>
  <c r="AA280" i="1"/>
  <c r="BL280" i="2"/>
  <c r="BK280" i="2"/>
  <c r="BJ280" i="2"/>
  <c r="X280" i="1"/>
  <c r="BI280" i="2"/>
  <c r="BH280" i="2"/>
  <c r="BG280" i="2"/>
  <c r="U280" i="1"/>
  <c r="BF280" i="2"/>
  <c r="BE280" i="2"/>
  <c r="S280" i="1"/>
  <c r="BD280" i="2"/>
  <c r="BC280" i="2"/>
  <c r="BB280" i="2"/>
  <c r="BA280" i="2"/>
  <c r="AZ280" i="2"/>
  <c r="AY280" i="2"/>
  <c r="AX280" i="2"/>
  <c r="AW280" i="2"/>
  <c r="AV280" i="2"/>
  <c r="AU280" i="2"/>
  <c r="AT280" i="2"/>
  <c r="H280" i="1"/>
  <c r="AS280" i="2"/>
  <c r="G280" i="1"/>
  <c r="AR280" i="2"/>
  <c r="AQ280" i="2"/>
  <c r="AP280" i="2"/>
  <c r="D280" i="1"/>
  <c r="AO280" i="2"/>
  <c r="AN280" i="2"/>
  <c r="AM280" i="2"/>
  <c r="AJ280" i="2"/>
  <c r="AI280" i="2"/>
  <c r="BM279" i="2"/>
  <c r="AA279" i="1"/>
  <c r="BL279" i="2"/>
  <c r="BK279" i="2"/>
  <c r="BJ279" i="2"/>
  <c r="X279" i="1"/>
  <c r="BI279" i="2"/>
  <c r="BH279" i="2"/>
  <c r="BG279" i="2"/>
  <c r="U279" i="1"/>
  <c r="BF279" i="2"/>
  <c r="BE279" i="2"/>
  <c r="S279" i="1"/>
  <c r="BD279" i="2"/>
  <c r="BC279" i="2"/>
  <c r="BB279" i="2"/>
  <c r="BA279" i="2"/>
  <c r="AZ279" i="2"/>
  <c r="AY279" i="2"/>
  <c r="AX279" i="2"/>
  <c r="AW279" i="2"/>
  <c r="AV279" i="2"/>
  <c r="AU279" i="2"/>
  <c r="AT279" i="2"/>
  <c r="H279" i="1"/>
  <c r="AS279" i="2"/>
  <c r="G279" i="1"/>
  <c r="AR279" i="2"/>
  <c r="AQ279" i="2"/>
  <c r="AP279" i="2"/>
  <c r="D279" i="1"/>
  <c r="AO279" i="2"/>
  <c r="AN279" i="2"/>
  <c r="AM279" i="2"/>
  <c r="AJ279" i="2"/>
  <c r="AI279" i="2"/>
  <c r="BM278" i="2"/>
  <c r="AA278" i="1"/>
  <c r="BL278" i="2"/>
  <c r="BK278" i="2"/>
  <c r="BJ278" i="2"/>
  <c r="X278" i="1"/>
  <c r="BI278" i="2"/>
  <c r="BH278" i="2"/>
  <c r="BG278" i="2"/>
  <c r="U278" i="1"/>
  <c r="BF278" i="2"/>
  <c r="BE278" i="2"/>
  <c r="S278" i="1"/>
  <c r="BD278" i="2"/>
  <c r="BC278" i="2"/>
  <c r="BB278" i="2"/>
  <c r="BA278" i="2"/>
  <c r="AZ278" i="2"/>
  <c r="AY278" i="2"/>
  <c r="AX278" i="2"/>
  <c r="AW278" i="2"/>
  <c r="AV278" i="2"/>
  <c r="AU278" i="2"/>
  <c r="AT278" i="2"/>
  <c r="H278" i="1"/>
  <c r="AS278" i="2"/>
  <c r="G278" i="1"/>
  <c r="AR278" i="2"/>
  <c r="AQ278" i="2"/>
  <c r="AP278" i="2"/>
  <c r="D278" i="1"/>
  <c r="AO278" i="2"/>
  <c r="AN278" i="2"/>
  <c r="AM278" i="2"/>
  <c r="AJ278" i="2"/>
  <c r="AI278" i="2"/>
  <c r="BM277" i="2"/>
  <c r="AA277" i="1"/>
  <c r="BL277" i="2"/>
  <c r="BK277" i="2"/>
  <c r="BJ277" i="2"/>
  <c r="X277" i="1"/>
  <c r="BI277" i="2"/>
  <c r="BH277" i="2"/>
  <c r="BG277" i="2"/>
  <c r="U277" i="1"/>
  <c r="BF277" i="2"/>
  <c r="BE277" i="2"/>
  <c r="S277" i="1"/>
  <c r="BD277" i="2"/>
  <c r="BC277" i="2"/>
  <c r="BB277" i="2"/>
  <c r="BA277" i="2"/>
  <c r="AZ277" i="2"/>
  <c r="AY277" i="2"/>
  <c r="AX277" i="2"/>
  <c r="AW277" i="2"/>
  <c r="AV277" i="2"/>
  <c r="AU277" i="2"/>
  <c r="AT277" i="2"/>
  <c r="H277" i="1"/>
  <c r="AS277" i="2"/>
  <c r="G277" i="1"/>
  <c r="AR277" i="2"/>
  <c r="AQ277" i="2"/>
  <c r="AP277" i="2"/>
  <c r="D277" i="1"/>
  <c r="AO277" i="2"/>
  <c r="AN277" i="2"/>
  <c r="AM277" i="2"/>
  <c r="AJ277" i="2"/>
  <c r="AI277" i="2"/>
  <c r="BM276" i="2"/>
  <c r="AA276" i="1"/>
  <c r="BL276" i="2"/>
  <c r="BK276" i="2"/>
  <c r="BJ276" i="2"/>
  <c r="X276" i="1"/>
  <c r="BI276" i="2"/>
  <c r="BH276" i="2"/>
  <c r="BG276" i="2"/>
  <c r="U276" i="1"/>
  <c r="BF276" i="2"/>
  <c r="BE276" i="2"/>
  <c r="S276" i="1"/>
  <c r="BD276" i="2"/>
  <c r="BC276" i="2"/>
  <c r="BB276" i="2"/>
  <c r="BA276" i="2"/>
  <c r="AZ276" i="2"/>
  <c r="AY276" i="2"/>
  <c r="AX276" i="2"/>
  <c r="AW276" i="2"/>
  <c r="AV276" i="2"/>
  <c r="AU276" i="2"/>
  <c r="AT276" i="2"/>
  <c r="H276" i="1"/>
  <c r="AS276" i="2"/>
  <c r="G276" i="1"/>
  <c r="AR276" i="2"/>
  <c r="AQ276" i="2"/>
  <c r="AP276" i="2"/>
  <c r="D276" i="1"/>
  <c r="AO276" i="2"/>
  <c r="AN276" i="2"/>
  <c r="AM276" i="2"/>
  <c r="AJ276" i="2"/>
  <c r="AI276" i="2"/>
  <c r="BM275" i="2"/>
  <c r="AA275" i="1"/>
  <c r="BL275" i="2"/>
  <c r="BK275" i="2"/>
  <c r="BJ275" i="2"/>
  <c r="X275" i="1"/>
  <c r="BI275" i="2"/>
  <c r="BH275" i="2"/>
  <c r="BG275" i="2"/>
  <c r="U275" i="1"/>
  <c r="BF275" i="2"/>
  <c r="BE275" i="2"/>
  <c r="S275" i="1"/>
  <c r="BD275" i="2"/>
  <c r="BC275" i="2"/>
  <c r="BB275" i="2"/>
  <c r="BA275" i="2"/>
  <c r="AZ275" i="2"/>
  <c r="AY275" i="2"/>
  <c r="AX275" i="2"/>
  <c r="AW275" i="2"/>
  <c r="AV275" i="2"/>
  <c r="AU275" i="2"/>
  <c r="AT275" i="2"/>
  <c r="H275" i="1"/>
  <c r="AS275" i="2"/>
  <c r="G275" i="1"/>
  <c r="AR275" i="2"/>
  <c r="AQ275" i="2"/>
  <c r="AP275" i="2"/>
  <c r="D275" i="1"/>
  <c r="AO275" i="2"/>
  <c r="AN275" i="2"/>
  <c r="AM275" i="2"/>
  <c r="AJ275" i="2"/>
  <c r="AI275" i="2"/>
  <c r="BM274" i="2"/>
  <c r="AA274" i="1"/>
  <c r="BL274" i="2"/>
  <c r="BK274" i="2"/>
  <c r="BJ274" i="2"/>
  <c r="X274" i="1"/>
  <c r="BI274" i="2"/>
  <c r="BH274" i="2"/>
  <c r="BG274" i="2"/>
  <c r="U274" i="1"/>
  <c r="BF274" i="2"/>
  <c r="BE274" i="2"/>
  <c r="S274" i="1"/>
  <c r="BD274" i="2"/>
  <c r="BC274" i="2"/>
  <c r="BB274" i="2"/>
  <c r="BA274" i="2"/>
  <c r="AZ274" i="2"/>
  <c r="AY274" i="2"/>
  <c r="AX274" i="2"/>
  <c r="AW274" i="2"/>
  <c r="AV274" i="2"/>
  <c r="AU274" i="2"/>
  <c r="AT274" i="2"/>
  <c r="H274" i="1"/>
  <c r="AS274" i="2"/>
  <c r="G274" i="1"/>
  <c r="AR274" i="2"/>
  <c r="AQ274" i="2"/>
  <c r="AP274" i="2"/>
  <c r="D274" i="1"/>
  <c r="AO274" i="2"/>
  <c r="AN274" i="2"/>
  <c r="AM274" i="2"/>
  <c r="AJ274" i="2"/>
  <c r="AI274" i="2"/>
  <c r="BM273" i="2"/>
  <c r="AA273" i="1"/>
  <c r="BL273" i="2"/>
  <c r="BK273" i="2"/>
  <c r="BJ273" i="2"/>
  <c r="X273" i="1"/>
  <c r="BI273" i="2"/>
  <c r="BH273" i="2"/>
  <c r="BG273" i="2"/>
  <c r="U273" i="1"/>
  <c r="BF273" i="2"/>
  <c r="BE273" i="2"/>
  <c r="S273" i="1"/>
  <c r="BD273" i="2"/>
  <c r="BC273" i="2"/>
  <c r="BB273" i="2"/>
  <c r="BA273" i="2"/>
  <c r="AZ273" i="2"/>
  <c r="AY273" i="2"/>
  <c r="AX273" i="2"/>
  <c r="AW273" i="2"/>
  <c r="AV273" i="2"/>
  <c r="AU273" i="2"/>
  <c r="AT273" i="2"/>
  <c r="H273" i="1"/>
  <c r="AS273" i="2"/>
  <c r="G273" i="1"/>
  <c r="AR273" i="2"/>
  <c r="AQ273" i="2"/>
  <c r="AP273" i="2"/>
  <c r="D273" i="1"/>
  <c r="AO273" i="2"/>
  <c r="AN273" i="2"/>
  <c r="AM273" i="2"/>
  <c r="AJ273" i="2"/>
  <c r="AI273" i="2"/>
  <c r="BM272" i="2"/>
  <c r="AA272" i="1"/>
  <c r="BL272" i="2"/>
  <c r="BK272" i="2"/>
  <c r="BJ272" i="2"/>
  <c r="X272" i="1"/>
  <c r="BI272" i="2"/>
  <c r="BH272" i="2"/>
  <c r="BG272" i="2"/>
  <c r="U272" i="1"/>
  <c r="BF272" i="2"/>
  <c r="BE272" i="2"/>
  <c r="S272" i="1"/>
  <c r="BD272" i="2"/>
  <c r="BC272" i="2"/>
  <c r="BB272" i="2"/>
  <c r="BA272" i="2"/>
  <c r="AZ272" i="2"/>
  <c r="AY272" i="2"/>
  <c r="AX272" i="2"/>
  <c r="AW272" i="2"/>
  <c r="AV272" i="2"/>
  <c r="AU272" i="2"/>
  <c r="AT272" i="2"/>
  <c r="H272" i="1"/>
  <c r="AS272" i="2"/>
  <c r="G272" i="1"/>
  <c r="AR272" i="2"/>
  <c r="AQ272" i="2"/>
  <c r="AP272" i="2"/>
  <c r="D272" i="1"/>
  <c r="AO272" i="2"/>
  <c r="AN272" i="2"/>
  <c r="AM272" i="2"/>
  <c r="AJ272" i="2"/>
  <c r="AI272" i="2"/>
  <c r="BM271" i="2"/>
  <c r="AA271" i="1"/>
  <c r="BL271" i="2"/>
  <c r="BK271" i="2"/>
  <c r="BJ271" i="2"/>
  <c r="X271" i="1"/>
  <c r="BI271" i="2"/>
  <c r="BH271" i="2"/>
  <c r="BG271" i="2"/>
  <c r="U271" i="1"/>
  <c r="BF271" i="2"/>
  <c r="BE271" i="2"/>
  <c r="S271" i="1"/>
  <c r="BD271" i="2"/>
  <c r="BC271" i="2"/>
  <c r="BB271" i="2"/>
  <c r="BA271" i="2"/>
  <c r="AZ271" i="2"/>
  <c r="AY271" i="2"/>
  <c r="AX271" i="2"/>
  <c r="AW271" i="2"/>
  <c r="AV271" i="2"/>
  <c r="AU271" i="2"/>
  <c r="AT271" i="2"/>
  <c r="H271" i="1"/>
  <c r="AS271" i="2"/>
  <c r="G271" i="1"/>
  <c r="AR271" i="2"/>
  <c r="AQ271" i="2"/>
  <c r="AP271" i="2"/>
  <c r="D271" i="1"/>
  <c r="AO271" i="2"/>
  <c r="AN271" i="2"/>
  <c r="AM271" i="2"/>
  <c r="AJ271" i="2"/>
  <c r="AI271" i="2"/>
  <c r="BM270" i="2"/>
  <c r="AA270" i="1"/>
  <c r="BL270" i="2"/>
  <c r="BK270" i="2"/>
  <c r="BJ270" i="2"/>
  <c r="X270" i="1"/>
  <c r="BI270" i="2"/>
  <c r="BH270" i="2"/>
  <c r="BG270" i="2"/>
  <c r="U270" i="1"/>
  <c r="BF270" i="2"/>
  <c r="BE270" i="2"/>
  <c r="S270" i="1"/>
  <c r="BD270" i="2"/>
  <c r="BC270" i="2"/>
  <c r="BB270" i="2"/>
  <c r="BA270" i="2"/>
  <c r="AZ270" i="2"/>
  <c r="AY270" i="2"/>
  <c r="AX270" i="2"/>
  <c r="AW270" i="2"/>
  <c r="AV270" i="2"/>
  <c r="AU270" i="2"/>
  <c r="AT270" i="2"/>
  <c r="H270" i="1"/>
  <c r="AS270" i="2"/>
  <c r="G270" i="1"/>
  <c r="AR270" i="2"/>
  <c r="AQ270" i="2"/>
  <c r="AP270" i="2"/>
  <c r="D270" i="1"/>
  <c r="AO270" i="2"/>
  <c r="AN270" i="2"/>
  <c r="AM270" i="2"/>
  <c r="AJ270" i="2"/>
  <c r="AI270" i="2"/>
  <c r="BM269" i="2"/>
  <c r="AA269" i="1"/>
  <c r="BL269" i="2"/>
  <c r="BK269" i="2"/>
  <c r="BJ269" i="2"/>
  <c r="X269" i="1"/>
  <c r="BI269" i="2"/>
  <c r="BH269" i="2"/>
  <c r="BG269" i="2"/>
  <c r="U269" i="1"/>
  <c r="BF269" i="2"/>
  <c r="BE269" i="2"/>
  <c r="S269" i="1"/>
  <c r="BD269" i="2"/>
  <c r="BC269" i="2"/>
  <c r="BB269" i="2"/>
  <c r="BA269" i="2"/>
  <c r="AZ269" i="2"/>
  <c r="AY269" i="2"/>
  <c r="AX269" i="2"/>
  <c r="AW269" i="2"/>
  <c r="AV269" i="2"/>
  <c r="AU269" i="2"/>
  <c r="AT269" i="2"/>
  <c r="H269" i="1"/>
  <c r="AS269" i="2"/>
  <c r="G269" i="1"/>
  <c r="AR269" i="2"/>
  <c r="AQ269" i="2"/>
  <c r="AP269" i="2"/>
  <c r="D269" i="1"/>
  <c r="AO269" i="2"/>
  <c r="AN269" i="2"/>
  <c r="AM269" i="2"/>
  <c r="AJ269" i="2"/>
  <c r="AI269" i="2"/>
  <c r="BM268" i="2"/>
  <c r="AA268" i="1"/>
  <c r="BL268" i="2"/>
  <c r="BK268" i="2"/>
  <c r="BJ268" i="2"/>
  <c r="X268" i="1"/>
  <c r="BI268" i="2"/>
  <c r="BH268" i="2"/>
  <c r="BG268" i="2"/>
  <c r="U268" i="1"/>
  <c r="BF268" i="2"/>
  <c r="BE268" i="2"/>
  <c r="S268" i="1"/>
  <c r="BD268" i="2"/>
  <c r="BC268" i="2"/>
  <c r="BB268" i="2"/>
  <c r="BA268" i="2"/>
  <c r="AZ268" i="2"/>
  <c r="AY268" i="2"/>
  <c r="AX268" i="2"/>
  <c r="AW268" i="2"/>
  <c r="AV268" i="2"/>
  <c r="AU268" i="2"/>
  <c r="AT268" i="2"/>
  <c r="H268" i="1"/>
  <c r="AS268" i="2"/>
  <c r="G268" i="1"/>
  <c r="AR268" i="2"/>
  <c r="AQ268" i="2"/>
  <c r="AP268" i="2"/>
  <c r="D268" i="1"/>
  <c r="AO268" i="2"/>
  <c r="AN268" i="2"/>
  <c r="AM268" i="2"/>
  <c r="AJ268" i="2"/>
  <c r="AI268" i="2"/>
  <c r="BM267" i="2"/>
  <c r="AA267" i="1"/>
  <c r="BL267" i="2"/>
  <c r="BK267" i="2"/>
  <c r="BJ267" i="2"/>
  <c r="X267" i="1"/>
  <c r="BI267" i="2"/>
  <c r="BH267" i="2"/>
  <c r="BG267" i="2"/>
  <c r="U267" i="1"/>
  <c r="BF267" i="2"/>
  <c r="BE267" i="2"/>
  <c r="S267" i="1"/>
  <c r="BD267" i="2"/>
  <c r="BC267" i="2"/>
  <c r="BB267" i="2"/>
  <c r="BA267" i="2"/>
  <c r="AZ267" i="2"/>
  <c r="AY267" i="2"/>
  <c r="AX267" i="2"/>
  <c r="AW267" i="2"/>
  <c r="AV267" i="2"/>
  <c r="AU267" i="2"/>
  <c r="AT267" i="2"/>
  <c r="H267" i="1"/>
  <c r="AS267" i="2"/>
  <c r="G267" i="1"/>
  <c r="AR267" i="2"/>
  <c r="AQ267" i="2"/>
  <c r="AP267" i="2"/>
  <c r="D267" i="1"/>
  <c r="AO267" i="2"/>
  <c r="AN267" i="2"/>
  <c r="AM267" i="2"/>
  <c r="AJ267" i="2"/>
  <c r="AI267" i="2"/>
  <c r="BM266" i="2"/>
  <c r="AA266" i="1"/>
  <c r="BL266" i="2"/>
  <c r="BK266" i="2"/>
  <c r="BJ266" i="2"/>
  <c r="X266" i="1"/>
  <c r="BI266" i="2"/>
  <c r="BH266" i="2"/>
  <c r="BG266" i="2"/>
  <c r="U266" i="1"/>
  <c r="BF266" i="2"/>
  <c r="BE266" i="2"/>
  <c r="S266" i="1"/>
  <c r="BD266" i="2"/>
  <c r="BC266" i="2"/>
  <c r="BB266" i="2"/>
  <c r="BA266" i="2"/>
  <c r="AZ266" i="2"/>
  <c r="AY266" i="2"/>
  <c r="AX266" i="2"/>
  <c r="AW266" i="2"/>
  <c r="AV266" i="2"/>
  <c r="AU266" i="2"/>
  <c r="AT266" i="2"/>
  <c r="H266" i="1"/>
  <c r="AS266" i="2"/>
  <c r="G266" i="1"/>
  <c r="AR266" i="2"/>
  <c r="AQ266" i="2"/>
  <c r="AP266" i="2"/>
  <c r="D266" i="1"/>
  <c r="AO266" i="2"/>
  <c r="AN266" i="2"/>
  <c r="AM266" i="2"/>
  <c r="AJ266" i="2"/>
  <c r="AI266" i="2"/>
  <c r="BM265" i="2"/>
  <c r="AA265" i="1"/>
  <c r="BL265" i="2"/>
  <c r="BK265" i="2"/>
  <c r="BJ265" i="2"/>
  <c r="X265" i="1"/>
  <c r="BI265" i="2"/>
  <c r="BH265" i="2"/>
  <c r="BG265" i="2"/>
  <c r="U265" i="1"/>
  <c r="BF265" i="2"/>
  <c r="BE265" i="2"/>
  <c r="S265" i="1"/>
  <c r="BD265" i="2"/>
  <c r="BC265" i="2"/>
  <c r="BB265" i="2"/>
  <c r="BA265" i="2"/>
  <c r="AZ265" i="2"/>
  <c r="AY265" i="2"/>
  <c r="AX265" i="2"/>
  <c r="AW265" i="2"/>
  <c r="AV265" i="2"/>
  <c r="AU265" i="2"/>
  <c r="AT265" i="2"/>
  <c r="H265" i="1"/>
  <c r="AS265" i="2"/>
  <c r="G265" i="1"/>
  <c r="AR265" i="2"/>
  <c r="AQ265" i="2"/>
  <c r="AP265" i="2"/>
  <c r="D265" i="1"/>
  <c r="AO265" i="2"/>
  <c r="AN265" i="2"/>
  <c r="AM265" i="2"/>
  <c r="AJ265" i="2"/>
  <c r="AI265" i="2"/>
  <c r="BM264" i="2"/>
  <c r="AA264" i="1"/>
  <c r="BL264" i="2"/>
  <c r="BK264" i="2"/>
  <c r="BJ264" i="2"/>
  <c r="X264" i="1"/>
  <c r="BI264" i="2"/>
  <c r="BH264" i="2"/>
  <c r="BG264" i="2"/>
  <c r="U264" i="1"/>
  <c r="BF264" i="2"/>
  <c r="BE264" i="2"/>
  <c r="S264" i="1"/>
  <c r="BD264" i="2"/>
  <c r="BC264" i="2"/>
  <c r="BB264" i="2"/>
  <c r="BA264" i="2"/>
  <c r="AZ264" i="2"/>
  <c r="AY264" i="2"/>
  <c r="AX264" i="2"/>
  <c r="AW264" i="2"/>
  <c r="AV264" i="2"/>
  <c r="AU264" i="2"/>
  <c r="AT264" i="2"/>
  <c r="H264" i="1"/>
  <c r="AS264" i="2"/>
  <c r="G264" i="1"/>
  <c r="AR264" i="2"/>
  <c r="AQ264" i="2"/>
  <c r="AP264" i="2"/>
  <c r="D264" i="1"/>
  <c r="AO264" i="2"/>
  <c r="AN264" i="2"/>
  <c r="AM264" i="2"/>
  <c r="AJ264" i="2"/>
  <c r="AI264" i="2"/>
  <c r="BM263" i="2"/>
  <c r="AA263" i="1"/>
  <c r="BL263" i="2"/>
  <c r="BK263" i="2"/>
  <c r="BJ263" i="2"/>
  <c r="X263" i="1"/>
  <c r="BI263" i="2"/>
  <c r="BH263" i="2"/>
  <c r="BG263" i="2"/>
  <c r="U263" i="1"/>
  <c r="BF263" i="2"/>
  <c r="BE263" i="2"/>
  <c r="S263" i="1"/>
  <c r="BD263" i="2"/>
  <c r="BC263" i="2"/>
  <c r="BB263" i="2"/>
  <c r="BA263" i="2"/>
  <c r="AZ263" i="2"/>
  <c r="AY263" i="2"/>
  <c r="AX263" i="2"/>
  <c r="AW263" i="2"/>
  <c r="AV263" i="2"/>
  <c r="AU263" i="2"/>
  <c r="AT263" i="2"/>
  <c r="H263" i="1"/>
  <c r="AS263" i="2"/>
  <c r="G263" i="1"/>
  <c r="AR263" i="2"/>
  <c r="AQ263" i="2"/>
  <c r="AP263" i="2"/>
  <c r="D263" i="1"/>
  <c r="AO263" i="2"/>
  <c r="AN263" i="2"/>
  <c r="AM263" i="2"/>
  <c r="AJ263" i="2"/>
  <c r="AI263" i="2"/>
  <c r="BM262" i="2"/>
  <c r="AA262" i="1"/>
  <c r="BL262" i="2"/>
  <c r="BK262" i="2"/>
  <c r="BJ262" i="2"/>
  <c r="X262" i="1"/>
  <c r="BI262" i="2"/>
  <c r="BH262" i="2"/>
  <c r="BG262" i="2"/>
  <c r="U262" i="1"/>
  <c r="BF262" i="2"/>
  <c r="BE262" i="2"/>
  <c r="S262" i="1"/>
  <c r="BD262" i="2"/>
  <c r="BC262" i="2"/>
  <c r="BB262" i="2"/>
  <c r="BA262" i="2"/>
  <c r="AZ262" i="2"/>
  <c r="AY262" i="2"/>
  <c r="AX262" i="2"/>
  <c r="AW262" i="2"/>
  <c r="AV262" i="2"/>
  <c r="AU262" i="2"/>
  <c r="AT262" i="2"/>
  <c r="H262" i="1"/>
  <c r="AS262" i="2"/>
  <c r="G262" i="1"/>
  <c r="AR262" i="2"/>
  <c r="AQ262" i="2"/>
  <c r="AP262" i="2"/>
  <c r="D262" i="1"/>
  <c r="AO262" i="2"/>
  <c r="AN262" i="2"/>
  <c r="AM262" i="2"/>
  <c r="AJ262" i="2"/>
  <c r="AI262" i="2"/>
  <c r="BM261" i="2"/>
  <c r="AA261" i="1"/>
  <c r="BL261" i="2"/>
  <c r="BK261" i="2"/>
  <c r="BJ261" i="2"/>
  <c r="X261" i="1"/>
  <c r="BI261" i="2"/>
  <c r="BH261" i="2"/>
  <c r="BG261" i="2"/>
  <c r="U261" i="1"/>
  <c r="BF261" i="2"/>
  <c r="BE261" i="2"/>
  <c r="S261" i="1"/>
  <c r="BD261" i="2"/>
  <c r="BC261" i="2"/>
  <c r="BB261" i="2"/>
  <c r="BA261" i="2"/>
  <c r="AZ261" i="2"/>
  <c r="AY261" i="2"/>
  <c r="AX261" i="2"/>
  <c r="AW261" i="2"/>
  <c r="AV261" i="2"/>
  <c r="AU261" i="2"/>
  <c r="AT261" i="2"/>
  <c r="H261" i="1"/>
  <c r="AS261" i="2"/>
  <c r="G261" i="1"/>
  <c r="AR261" i="2"/>
  <c r="AQ261" i="2"/>
  <c r="AP261" i="2"/>
  <c r="D261" i="1"/>
  <c r="AO261" i="2"/>
  <c r="AN261" i="2"/>
  <c r="AM261" i="2"/>
  <c r="AJ261" i="2"/>
  <c r="AI261" i="2"/>
  <c r="BM260" i="2"/>
  <c r="AA260" i="1"/>
  <c r="BL260" i="2"/>
  <c r="BK260" i="2"/>
  <c r="BJ260" i="2"/>
  <c r="X260" i="1"/>
  <c r="BI260" i="2"/>
  <c r="BH260" i="2"/>
  <c r="BG260" i="2"/>
  <c r="U260" i="1"/>
  <c r="BF260" i="2"/>
  <c r="BE260" i="2"/>
  <c r="S260" i="1"/>
  <c r="BD260" i="2"/>
  <c r="BC260" i="2"/>
  <c r="BB260" i="2"/>
  <c r="BA260" i="2"/>
  <c r="AZ260" i="2"/>
  <c r="AY260" i="2"/>
  <c r="AX260" i="2"/>
  <c r="AW260" i="2"/>
  <c r="AV260" i="2"/>
  <c r="AU260" i="2"/>
  <c r="AT260" i="2"/>
  <c r="H260" i="1"/>
  <c r="AS260" i="2"/>
  <c r="G260" i="1"/>
  <c r="AR260" i="2"/>
  <c r="AQ260" i="2"/>
  <c r="AP260" i="2"/>
  <c r="D260" i="1"/>
  <c r="AO260" i="2"/>
  <c r="AN260" i="2"/>
  <c r="AM260" i="2"/>
  <c r="AJ260" i="2"/>
  <c r="AI260" i="2"/>
  <c r="BM259" i="2"/>
  <c r="AA259" i="1"/>
  <c r="BL259" i="2"/>
  <c r="BK259" i="2"/>
  <c r="BJ259" i="2"/>
  <c r="X259" i="1"/>
  <c r="BI259" i="2"/>
  <c r="BH259" i="2"/>
  <c r="BG259" i="2"/>
  <c r="U259" i="1"/>
  <c r="BF259" i="2"/>
  <c r="BE259" i="2"/>
  <c r="S259" i="1"/>
  <c r="BD259" i="2"/>
  <c r="BC259" i="2"/>
  <c r="BB259" i="2"/>
  <c r="BA259" i="2"/>
  <c r="AZ259" i="2"/>
  <c r="AY259" i="2"/>
  <c r="AX259" i="2"/>
  <c r="AW259" i="2"/>
  <c r="AV259" i="2"/>
  <c r="AU259" i="2"/>
  <c r="AT259" i="2"/>
  <c r="H259" i="1"/>
  <c r="AS259" i="2"/>
  <c r="G259" i="1"/>
  <c r="AR259" i="2"/>
  <c r="AQ259" i="2"/>
  <c r="AP259" i="2"/>
  <c r="D259" i="1"/>
  <c r="AO259" i="2"/>
  <c r="AN259" i="2"/>
  <c r="AM259" i="2"/>
  <c r="AJ259" i="2"/>
  <c r="AI259" i="2"/>
  <c r="BM258" i="2"/>
  <c r="AA258" i="1"/>
  <c r="BL258" i="2"/>
  <c r="BK258" i="2"/>
  <c r="BJ258" i="2"/>
  <c r="X258" i="1"/>
  <c r="BI258" i="2"/>
  <c r="BH258" i="2"/>
  <c r="BG258" i="2"/>
  <c r="U258" i="1"/>
  <c r="BF258" i="2"/>
  <c r="BE258" i="2"/>
  <c r="S258" i="1"/>
  <c r="BD258" i="2"/>
  <c r="BC258" i="2"/>
  <c r="BB258" i="2"/>
  <c r="BA258" i="2"/>
  <c r="AZ258" i="2"/>
  <c r="AY258" i="2"/>
  <c r="AX258" i="2"/>
  <c r="AW258" i="2"/>
  <c r="AV258" i="2"/>
  <c r="AU258" i="2"/>
  <c r="AT258" i="2"/>
  <c r="H258" i="1"/>
  <c r="AS258" i="2"/>
  <c r="G258" i="1"/>
  <c r="AR258" i="2"/>
  <c r="AQ258" i="2"/>
  <c r="AP258" i="2"/>
  <c r="D258" i="1"/>
  <c r="AO258" i="2"/>
  <c r="AN258" i="2"/>
  <c r="AM258" i="2"/>
  <c r="AJ258" i="2"/>
  <c r="AI258" i="2"/>
  <c r="BM257" i="2"/>
  <c r="AA257" i="1"/>
  <c r="BL257" i="2"/>
  <c r="BK257" i="2"/>
  <c r="BJ257" i="2"/>
  <c r="X257" i="1"/>
  <c r="BI257" i="2"/>
  <c r="BH257" i="2"/>
  <c r="BG257" i="2"/>
  <c r="U257" i="1"/>
  <c r="BF257" i="2"/>
  <c r="BE257" i="2"/>
  <c r="S257" i="1"/>
  <c r="BD257" i="2"/>
  <c r="BC257" i="2"/>
  <c r="BB257" i="2"/>
  <c r="BA257" i="2"/>
  <c r="AZ257" i="2"/>
  <c r="AY257" i="2"/>
  <c r="AX257" i="2"/>
  <c r="AW257" i="2"/>
  <c r="AV257" i="2"/>
  <c r="AU257" i="2"/>
  <c r="AT257" i="2"/>
  <c r="H257" i="1"/>
  <c r="AS257" i="2"/>
  <c r="G257" i="1"/>
  <c r="AR257" i="2"/>
  <c r="AQ257" i="2"/>
  <c r="AP257" i="2"/>
  <c r="D257" i="1"/>
  <c r="AO257" i="2"/>
  <c r="AN257" i="2"/>
  <c r="AM257" i="2"/>
  <c r="AJ257" i="2"/>
  <c r="AI257" i="2"/>
  <c r="BM256" i="2"/>
  <c r="AA256" i="1"/>
  <c r="BL256" i="2"/>
  <c r="BK256" i="2"/>
  <c r="BJ256" i="2"/>
  <c r="X256" i="1"/>
  <c r="BI256" i="2"/>
  <c r="BH256" i="2"/>
  <c r="BG256" i="2"/>
  <c r="U256" i="1"/>
  <c r="BF256" i="2"/>
  <c r="BE256" i="2"/>
  <c r="S256" i="1"/>
  <c r="BD256" i="2"/>
  <c r="BC256" i="2"/>
  <c r="BB256" i="2"/>
  <c r="BA256" i="2"/>
  <c r="AZ256" i="2"/>
  <c r="AY256" i="2"/>
  <c r="AX256" i="2"/>
  <c r="AW256" i="2"/>
  <c r="AV256" i="2"/>
  <c r="AU256" i="2"/>
  <c r="AT256" i="2"/>
  <c r="H256" i="1"/>
  <c r="AS256" i="2"/>
  <c r="G256" i="1"/>
  <c r="AR256" i="2"/>
  <c r="AQ256" i="2"/>
  <c r="AP256" i="2"/>
  <c r="D256" i="1"/>
  <c r="AO256" i="2"/>
  <c r="AN256" i="2"/>
  <c r="AM256" i="2"/>
  <c r="AJ256" i="2"/>
  <c r="AI256" i="2"/>
  <c r="BM255" i="2"/>
  <c r="AA255" i="1"/>
  <c r="BL255" i="2"/>
  <c r="BK255" i="2"/>
  <c r="BJ255" i="2"/>
  <c r="X255" i="1"/>
  <c r="BI255" i="2"/>
  <c r="BH255" i="2"/>
  <c r="BG255" i="2"/>
  <c r="U255" i="1"/>
  <c r="BF255" i="2"/>
  <c r="BE255" i="2"/>
  <c r="S255" i="1"/>
  <c r="BD255" i="2"/>
  <c r="BC255" i="2"/>
  <c r="BB255" i="2"/>
  <c r="BA255" i="2"/>
  <c r="AZ255" i="2"/>
  <c r="AY255" i="2"/>
  <c r="AX255" i="2"/>
  <c r="AW255" i="2"/>
  <c r="AV255" i="2"/>
  <c r="AU255" i="2"/>
  <c r="AT255" i="2"/>
  <c r="H255" i="1"/>
  <c r="AS255" i="2"/>
  <c r="G255" i="1"/>
  <c r="AR255" i="2"/>
  <c r="AQ255" i="2"/>
  <c r="AP255" i="2"/>
  <c r="D255" i="1"/>
  <c r="AO255" i="2"/>
  <c r="AN255" i="2"/>
  <c r="AM255" i="2"/>
  <c r="AJ255" i="2"/>
  <c r="AI255" i="2"/>
  <c r="BM254" i="2"/>
  <c r="AA254" i="1"/>
  <c r="BL254" i="2"/>
  <c r="BK254" i="2"/>
  <c r="BJ254" i="2"/>
  <c r="X254" i="1"/>
  <c r="BI254" i="2"/>
  <c r="BH254" i="2"/>
  <c r="BG254" i="2"/>
  <c r="U254" i="1"/>
  <c r="BF254" i="2"/>
  <c r="BE254" i="2"/>
  <c r="S254" i="1"/>
  <c r="BD254" i="2"/>
  <c r="BC254" i="2"/>
  <c r="BB254" i="2"/>
  <c r="BA254" i="2"/>
  <c r="AZ254" i="2"/>
  <c r="AY254" i="2"/>
  <c r="AX254" i="2"/>
  <c r="AW254" i="2"/>
  <c r="AV254" i="2"/>
  <c r="AU254" i="2"/>
  <c r="AT254" i="2"/>
  <c r="H254" i="1"/>
  <c r="AS254" i="2"/>
  <c r="G254" i="1"/>
  <c r="AR254" i="2"/>
  <c r="AQ254" i="2"/>
  <c r="AP254" i="2"/>
  <c r="D254" i="1"/>
  <c r="AO254" i="2"/>
  <c r="AN254" i="2"/>
  <c r="AM254" i="2"/>
  <c r="AJ254" i="2"/>
  <c r="AI254" i="2"/>
  <c r="BM253" i="2"/>
  <c r="AA253" i="1"/>
  <c r="BL253" i="2"/>
  <c r="BK253" i="2"/>
  <c r="BJ253" i="2"/>
  <c r="X253" i="1"/>
  <c r="BI253" i="2"/>
  <c r="BH253" i="2"/>
  <c r="BG253" i="2"/>
  <c r="U253" i="1"/>
  <c r="BF253" i="2"/>
  <c r="BE253" i="2"/>
  <c r="S253" i="1"/>
  <c r="BD253" i="2"/>
  <c r="BC253" i="2"/>
  <c r="BB253" i="2"/>
  <c r="BA253" i="2"/>
  <c r="AZ253" i="2"/>
  <c r="AY253" i="2"/>
  <c r="AX253" i="2"/>
  <c r="AW253" i="2"/>
  <c r="AV253" i="2"/>
  <c r="AU253" i="2"/>
  <c r="AT253" i="2"/>
  <c r="H253" i="1"/>
  <c r="AS253" i="2"/>
  <c r="G253" i="1"/>
  <c r="AR253" i="2"/>
  <c r="AQ253" i="2"/>
  <c r="AP253" i="2"/>
  <c r="D253" i="1"/>
  <c r="AO253" i="2"/>
  <c r="AN253" i="2"/>
  <c r="AM253" i="2"/>
  <c r="AJ253" i="2"/>
  <c r="AI253" i="2"/>
  <c r="BM252" i="2"/>
  <c r="AA252" i="1"/>
  <c r="BL252" i="2"/>
  <c r="BK252" i="2"/>
  <c r="BJ252" i="2"/>
  <c r="X252" i="1"/>
  <c r="BI252" i="2"/>
  <c r="BH252" i="2"/>
  <c r="BG252" i="2"/>
  <c r="U252" i="1"/>
  <c r="BF252" i="2"/>
  <c r="BE252" i="2"/>
  <c r="S252" i="1"/>
  <c r="BD252" i="2"/>
  <c r="BC252" i="2"/>
  <c r="BB252" i="2"/>
  <c r="BA252" i="2"/>
  <c r="AZ252" i="2"/>
  <c r="AY252" i="2"/>
  <c r="AX252" i="2"/>
  <c r="AW252" i="2"/>
  <c r="AV252" i="2"/>
  <c r="AU252" i="2"/>
  <c r="AT252" i="2"/>
  <c r="H252" i="1"/>
  <c r="AS252" i="2"/>
  <c r="G252" i="1"/>
  <c r="AR252" i="2"/>
  <c r="AQ252" i="2"/>
  <c r="AP252" i="2"/>
  <c r="D252" i="1"/>
  <c r="AO252" i="2"/>
  <c r="AN252" i="2"/>
  <c r="AM252" i="2"/>
  <c r="AJ252" i="2"/>
  <c r="AI252" i="2"/>
  <c r="BM251" i="2"/>
  <c r="AA251" i="1"/>
  <c r="BL251" i="2"/>
  <c r="BK251" i="2"/>
  <c r="BJ251" i="2"/>
  <c r="X251" i="1"/>
  <c r="BI251" i="2"/>
  <c r="BH251" i="2"/>
  <c r="BG251" i="2"/>
  <c r="U251" i="1"/>
  <c r="BF251" i="2"/>
  <c r="BE251" i="2"/>
  <c r="S251" i="1"/>
  <c r="BD251" i="2"/>
  <c r="BC251" i="2"/>
  <c r="BB251" i="2"/>
  <c r="BA251" i="2"/>
  <c r="AZ251" i="2"/>
  <c r="AY251" i="2"/>
  <c r="AX251" i="2"/>
  <c r="AW251" i="2"/>
  <c r="AV251" i="2"/>
  <c r="AU251" i="2"/>
  <c r="AT251" i="2"/>
  <c r="H251" i="1"/>
  <c r="AS251" i="2"/>
  <c r="G251" i="1"/>
  <c r="AR251" i="2"/>
  <c r="AQ251" i="2"/>
  <c r="AP251" i="2"/>
  <c r="D251" i="1"/>
  <c r="AO251" i="2"/>
  <c r="AN251" i="2"/>
  <c r="AM251" i="2"/>
  <c r="AJ251" i="2"/>
  <c r="AI251" i="2"/>
  <c r="BM250" i="2"/>
  <c r="AA250" i="1"/>
  <c r="BL250" i="2"/>
  <c r="BK250" i="2"/>
  <c r="BJ250" i="2"/>
  <c r="X250" i="1"/>
  <c r="BI250" i="2"/>
  <c r="BH250" i="2"/>
  <c r="BG250" i="2"/>
  <c r="U250" i="1"/>
  <c r="BF250" i="2"/>
  <c r="BE250" i="2"/>
  <c r="S250" i="1"/>
  <c r="BD250" i="2"/>
  <c r="BC250" i="2"/>
  <c r="BB250" i="2"/>
  <c r="BA250" i="2"/>
  <c r="AZ250" i="2"/>
  <c r="AY250" i="2"/>
  <c r="AX250" i="2"/>
  <c r="AW250" i="2"/>
  <c r="AV250" i="2"/>
  <c r="AU250" i="2"/>
  <c r="AT250" i="2"/>
  <c r="H250" i="1"/>
  <c r="AS250" i="2"/>
  <c r="G250" i="1"/>
  <c r="AR250" i="2"/>
  <c r="AQ250" i="2"/>
  <c r="AP250" i="2"/>
  <c r="D250" i="1"/>
  <c r="AO250" i="2"/>
  <c r="AN250" i="2"/>
  <c r="AM250" i="2"/>
  <c r="AJ250" i="2"/>
  <c r="AI250" i="2"/>
  <c r="BM249" i="2"/>
  <c r="AA249" i="1"/>
  <c r="BL249" i="2"/>
  <c r="BK249" i="2"/>
  <c r="BJ249" i="2"/>
  <c r="X249" i="1"/>
  <c r="BI249" i="2"/>
  <c r="BH249" i="2"/>
  <c r="BG249" i="2"/>
  <c r="U249" i="1"/>
  <c r="BF249" i="2"/>
  <c r="BE249" i="2"/>
  <c r="S249" i="1"/>
  <c r="BD249" i="2"/>
  <c r="BC249" i="2"/>
  <c r="BB249" i="2"/>
  <c r="BA249" i="2"/>
  <c r="AZ249" i="2"/>
  <c r="AY249" i="2"/>
  <c r="AX249" i="2"/>
  <c r="AW249" i="2"/>
  <c r="AV249" i="2"/>
  <c r="AU249" i="2"/>
  <c r="AT249" i="2"/>
  <c r="H249" i="1"/>
  <c r="AS249" i="2"/>
  <c r="G249" i="1"/>
  <c r="AR249" i="2"/>
  <c r="AQ249" i="2"/>
  <c r="AP249" i="2"/>
  <c r="D249" i="1"/>
  <c r="AO249" i="2"/>
  <c r="AN249" i="2"/>
  <c r="AM249" i="2"/>
  <c r="AJ249" i="2"/>
  <c r="AI249" i="2"/>
  <c r="BM248" i="2"/>
  <c r="AA248" i="1"/>
  <c r="BL248" i="2"/>
  <c r="BK248" i="2"/>
  <c r="BJ248" i="2"/>
  <c r="X248" i="1"/>
  <c r="BI248" i="2"/>
  <c r="BH248" i="2"/>
  <c r="BG248" i="2"/>
  <c r="U248" i="1"/>
  <c r="BF248" i="2"/>
  <c r="BE248" i="2"/>
  <c r="S248" i="1"/>
  <c r="BD248" i="2"/>
  <c r="BC248" i="2"/>
  <c r="BB248" i="2"/>
  <c r="BA248" i="2"/>
  <c r="AZ248" i="2"/>
  <c r="AY248" i="2"/>
  <c r="AX248" i="2"/>
  <c r="AW248" i="2"/>
  <c r="AV248" i="2"/>
  <c r="AU248" i="2"/>
  <c r="AT248" i="2"/>
  <c r="H248" i="1"/>
  <c r="AS248" i="2"/>
  <c r="G248" i="1"/>
  <c r="AR248" i="2"/>
  <c r="AQ248" i="2"/>
  <c r="AP248" i="2"/>
  <c r="D248" i="1"/>
  <c r="AO248" i="2"/>
  <c r="AN248" i="2"/>
  <c r="AM248" i="2"/>
  <c r="AJ248" i="2"/>
  <c r="AI248" i="2"/>
  <c r="BM247" i="2"/>
  <c r="AA247" i="1"/>
  <c r="BL247" i="2"/>
  <c r="BK247" i="2"/>
  <c r="BJ247" i="2"/>
  <c r="X247" i="1"/>
  <c r="BI247" i="2"/>
  <c r="BH247" i="2"/>
  <c r="BG247" i="2"/>
  <c r="U247" i="1"/>
  <c r="BF247" i="2"/>
  <c r="BE247" i="2"/>
  <c r="S247" i="1"/>
  <c r="BD247" i="2"/>
  <c r="BC247" i="2"/>
  <c r="BB247" i="2"/>
  <c r="BA247" i="2"/>
  <c r="AZ247" i="2"/>
  <c r="AY247" i="2"/>
  <c r="AX247" i="2"/>
  <c r="AW247" i="2"/>
  <c r="AV247" i="2"/>
  <c r="AU247" i="2"/>
  <c r="AT247" i="2"/>
  <c r="H247" i="1"/>
  <c r="AS247" i="2"/>
  <c r="G247" i="1"/>
  <c r="AR247" i="2"/>
  <c r="AQ247" i="2"/>
  <c r="AP247" i="2"/>
  <c r="D247" i="1"/>
  <c r="AO247" i="2"/>
  <c r="AN247" i="2"/>
  <c r="AM247" i="2"/>
  <c r="AJ247" i="2"/>
  <c r="AI247" i="2"/>
  <c r="BM246" i="2"/>
  <c r="AA246" i="1"/>
  <c r="BL246" i="2"/>
  <c r="BK246" i="2"/>
  <c r="BJ246" i="2"/>
  <c r="X246" i="1"/>
  <c r="BI246" i="2"/>
  <c r="BH246" i="2"/>
  <c r="BG246" i="2"/>
  <c r="U246" i="1"/>
  <c r="BF246" i="2"/>
  <c r="BE246" i="2"/>
  <c r="S246" i="1"/>
  <c r="BD246" i="2"/>
  <c r="BC246" i="2"/>
  <c r="BB246" i="2"/>
  <c r="BA246" i="2"/>
  <c r="AZ246" i="2"/>
  <c r="AY246" i="2"/>
  <c r="AX246" i="2"/>
  <c r="AW246" i="2"/>
  <c r="AV246" i="2"/>
  <c r="AU246" i="2"/>
  <c r="AT246" i="2"/>
  <c r="H246" i="1"/>
  <c r="AS246" i="2"/>
  <c r="G246" i="1"/>
  <c r="AR246" i="2"/>
  <c r="AQ246" i="2"/>
  <c r="AP246" i="2"/>
  <c r="D246" i="1"/>
  <c r="AO246" i="2"/>
  <c r="AN246" i="2"/>
  <c r="AM246" i="2"/>
  <c r="AJ246" i="2"/>
  <c r="AI246" i="2"/>
  <c r="BM245" i="2"/>
  <c r="AA245" i="1"/>
  <c r="BL245" i="2"/>
  <c r="BK245" i="2"/>
  <c r="BJ245" i="2"/>
  <c r="X245" i="1"/>
  <c r="BI245" i="2"/>
  <c r="BH245" i="2"/>
  <c r="BG245" i="2"/>
  <c r="U245" i="1"/>
  <c r="BF245" i="2"/>
  <c r="BE245" i="2"/>
  <c r="S245" i="1"/>
  <c r="BD245" i="2"/>
  <c r="BC245" i="2"/>
  <c r="BB245" i="2"/>
  <c r="BA245" i="2"/>
  <c r="AZ245" i="2"/>
  <c r="AY245" i="2"/>
  <c r="AX245" i="2"/>
  <c r="AW245" i="2"/>
  <c r="AV245" i="2"/>
  <c r="AU245" i="2"/>
  <c r="AT245" i="2"/>
  <c r="H245" i="1"/>
  <c r="AS245" i="2"/>
  <c r="G245" i="1"/>
  <c r="AR245" i="2"/>
  <c r="AQ245" i="2"/>
  <c r="AP245" i="2"/>
  <c r="D245" i="1"/>
  <c r="AO245" i="2"/>
  <c r="AN245" i="2"/>
  <c r="AM245" i="2"/>
  <c r="AJ245" i="2"/>
  <c r="AI245" i="2"/>
  <c r="BM244" i="2"/>
  <c r="AA244" i="1"/>
  <c r="BL244" i="2"/>
  <c r="BK244" i="2"/>
  <c r="BJ244" i="2"/>
  <c r="X244" i="1"/>
  <c r="BI244" i="2"/>
  <c r="BH244" i="2"/>
  <c r="BG244" i="2"/>
  <c r="U244" i="1"/>
  <c r="BF244" i="2"/>
  <c r="BE244" i="2"/>
  <c r="S244" i="1"/>
  <c r="BD244" i="2"/>
  <c r="BC244" i="2"/>
  <c r="BB244" i="2"/>
  <c r="BA244" i="2"/>
  <c r="AZ244" i="2"/>
  <c r="AY244" i="2"/>
  <c r="AX244" i="2"/>
  <c r="AW244" i="2"/>
  <c r="AV244" i="2"/>
  <c r="AU244" i="2"/>
  <c r="AT244" i="2"/>
  <c r="H244" i="1"/>
  <c r="AS244" i="2"/>
  <c r="G244" i="1"/>
  <c r="AR244" i="2"/>
  <c r="AQ244" i="2"/>
  <c r="AP244" i="2"/>
  <c r="D244" i="1"/>
  <c r="AO244" i="2"/>
  <c r="AN244" i="2"/>
  <c r="AM244" i="2"/>
  <c r="AJ244" i="2"/>
  <c r="AI244" i="2"/>
  <c r="BM243" i="2"/>
  <c r="AA243" i="1"/>
  <c r="BL243" i="2"/>
  <c r="BK243" i="2"/>
  <c r="BJ243" i="2"/>
  <c r="X243" i="1"/>
  <c r="BI243" i="2"/>
  <c r="BH243" i="2"/>
  <c r="BG243" i="2"/>
  <c r="U243" i="1"/>
  <c r="BF243" i="2"/>
  <c r="BE243" i="2"/>
  <c r="S243" i="1"/>
  <c r="BD243" i="2"/>
  <c r="BC243" i="2"/>
  <c r="BB243" i="2"/>
  <c r="BA243" i="2"/>
  <c r="AZ243" i="2"/>
  <c r="AY243" i="2"/>
  <c r="AX243" i="2"/>
  <c r="AW243" i="2"/>
  <c r="AV243" i="2"/>
  <c r="AU243" i="2"/>
  <c r="AT243" i="2"/>
  <c r="H243" i="1"/>
  <c r="AS243" i="2"/>
  <c r="G243" i="1"/>
  <c r="AR243" i="2"/>
  <c r="AQ243" i="2"/>
  <c r="AP243" i="2"/>
  <c r="D243" i="1"/>
  <c r="AO243" i="2"/>
  <c r="AN243" i="2"/>
  <c r="AM243" i="2"/>
  <c r="AJ243" i="2"/>
  <c r="AI243" i="2"/>
  <c r="BM242" i="2"/>
  <c r="AA242" i="1"/>
  <c r="BL242" i="2"/>
  <c r="BK242" i="2"/>
  <c r="BJ242" i="2"/>
  <c r="X242" i="1"/>
  <c r="BI242" i="2"/>
  <c r="BH242" i="2"/>
  <c r="BG242" i="2"/>
  <c r="U242" i="1"/>
  <c r="BF242" i="2"/>
  <c r="BE242" i="2"/>
  <c r="S242" i="1"/>
  <c r="BD242" i="2"/>
  <c r="BC242" i="2"/>
  <c r="BB242" i="2"/>
  <c r="BA242" i="2"/>
  <c r="AZ242" i="2"/>
  <c r="AY242" i="2"/>
  <c r="AX242" i="2"/>
  <c r="AW242" i="2"/>
  <c r="AV242" i="2"/>
  <c r="AU242" i="2"/>
  <c r="AT242" i="2"/>
  <c r="H242" i="1"/>
  <c r="AS242" i="2"/>
  <c r="G242" i="1"/>
  <c r="AR242" i="2"/>
  <c r="AQ242" i="2"/>
  <c r="AP242" i="2"/>
  <c r="D242" i="1"/>
  <c r="AO242" i="2"/>
  <c r="AN242" i="2"/>
  <c r="AM242" i="2"/>
  <c r="AJ242" i="2"/>
  <c r="AI242" i="2"/>
  <c r="BM241" i="2"/>
  <c r="AA241" i="1"/>
  <c r="BL241" i="2"/>
  <c r="BK241" i="2"/>
  <c r="BJ241" i="2"/>
  <c r="X241" i="1"/>
  <c r="BI241" i="2"/>
  <c r="BH241" i="2"/>
  <c r="BG241" i="2"/>
  <c r="U241" i="1"/>
  <c r="BF241" i="2"/>
  <c r="BE241" i="2"/>
  <c r="S241" i="1"/>
  <c r="BD241" i="2"/>
  <c r="BC241" i="2"/>
  <c r="BB241" i="2"/>
  <c r="BA241" i="2"/>
  <c r="AZ241" i="2"/>
  <c r="AY241" i="2"/>
  <c r="AX241" i="2"/>
  <c r="AW241" i="2"/>
  <c r="AV241" i="2"/>
  <c r="AU241" i="2"/>
  <c r="AT241" i="2"/>
  <c r="H241" i="1"/>
  <c r="AS241" i="2"/>
  <c r="G241" i="1"/>
  <c r="AR241" i="2"/>
  <c r="AQ241" i="2"/>
  <c r="AP241" i="2"/>
  <c r="D241" i="1"/>
  <c r="AO241" i="2"/>
  <c r="AN241" i="2"/>
  <c r="AM241" i="2"/>
  <c r="AJ241" i="2"/>
  <c r="AI241" i="2"/>
  <c r="BM240" i="2"/>
  <c r="AA240" i="1"/>
  <c r="BL240" i="2"/>
  <c r="BK240" i="2"/>
  <c r="BJ240" i="2"/>
  <c r="X240" i="1"/>
  <c r="BI240" i="2"/>
  <c r="BH240" i="2"/>
  <c r="BG240" i="2"/>
  <c r="U240" i="1"/>
  <c r="BF240" i="2"/>
  <c r="BE240" i="2"/>
  <c r="S240" i="1"/>
  <c r="BD240" i="2"/>
  <c r="BC240" i="2"/>
  <c r="BB240" i="2"/>
  <c r="BA240" i="2"/>
  <c r="AZ240" i="2"/>
  <c r="AY240" i="2"/>
  <c r="AX240" i="2"/>
  <c r="AW240" i="2"/>
  <c r="AV240" i="2"/>
  <c r="AU240" i="2"/>
  <c r="AT240" i="2"/>
  <c r="H240" i="1"/>
  <c r="AS240" i="2"/>
  <c r="G240" i="1"/>
  <c r="AR240" i="2"/>
  <c r="AQ240" i="2"/>
  <c r="AP240" i="2"/>
  <c r="D240" i="1"/>
  <c r="AO240" i="2"/>
  <c r="AN240" i="2"/>
  <c r="AM240" i="2"/>
  <c r="AJ240" i="2"/>
  <c r="AI240" i="2"/>
  <c r="BM239" i="2"/>
  <c r="AA239" i="1"/>
  <c r="BL239" i="2"/>
  <c r="BK239" i="2"/>
  <c r="BJ239" i="2"/>
  <c r="X239" i="1"/>
  <c r="BI239" i="2"/>
  <c r="BH239" i="2"/>
  <c r="BG239" i="2"/>
  <c r="U239" i="1"/>
  <c r="BF239" i="2"/>
  <c r="BE239" i="2"/>
  <c r="S239" i="1"/>
  <c r="BD239" i="2"/>
  <c r="BC239" i="2"/>
  <c r="BB239" i="2"/>
  <c r="BA239" i="2"/>
  <c r="AZ239" i="2"/>
  <c r="AY239" i="2"/>
  <c r="AX239" i="2"/>
  <c r="AW239" i="2"/>
  <c r="AV239" i="2"/>
  <c r="AU239" i="2"/>
  <c r="AT239" i="2"/>
  <c r="H239" i="1"/>
  <c r="AS239" i="2"/>
  <c r="G239" i="1"/>
  <c r="AR239" i="2"/>
  <c r="AQ239" i="2"/>
  <c r="AP239" i="2"/>
  <c r="D239" i="1"/>
  <c r="AO239" i="2"/>
  <c r="AN239" i="2"/>
  <c r="AM239" i="2"/>
  <c r="AJ239" i="2"/>
  <c r="AI239" i="2"/>
  <c r="BM238" i="2"/>
  <c r="AA238" i="1"/>
  <c r="BL238" i="2"/>
  <c r="BK238" i="2"/>
  <c r="BJ238" i="2"/>
  <c r="X238" i="1"/>
  <c r="BI238" i="2"/>
  <c r="BH238" i="2"/>
  <c r="BG238" i="2"/>
  <c r="U238" i="1"/>
  <c r="BF238" i="2"/>
  <c r="BE238" i="2"/>
  <c r="S238" i="1"/>
  <c r="BD238" i="2"/>
  <c r="BC238" i="2"/>
  <c r="BB238" i="2"/>
  <c r="BA238" i="2"/>
  <c r="AZ238" i="2"/>
  <c r="AY238" i="2"/>
  <c r="AX238" i="2"/>
  <c r="AW238" i="2"/>
  <c r="AV238" i="2"/>
  <c r="AU238" i="2"/>
  <c r="AT238" i="2"/>
  <c r="H238" i="1"/>
  <c r="AS238" i="2"/>
  <c r="G238" i="1"/>
  <c r="AR238" i="2"/>
  <c r="AQ238" i="2"/>
  <c r="AP238" i="2"/>
  <c r="D238" i="1"/>
  <c r="AO238" i="2"/>
  <c r="AN238" i="2"/>
  <c r="AM238" i="2"/>
  <c r="AJ238" i="2"/>
  <c r="AI238" i="2"/>
  <c r="BM237" i="2"/>
  <c r="AA237" i="1"/>
  <c r="BL237" i="2"/>
  <c r="BK237" i="2"/>
  <c r="BJ237" i="2"/>
  <c r="X237" i="1"/>
  <c r="BI237" i="2"/>
  <c r="BH237" i="2"/>
  <c r="BG237" i="2"/>
  <c r="U237" i="1"/>
  <c r="BF237" i="2"/>
  <c r="BE237" i="2"/>
  <c r="S237" i="1"/>
  <c r="BD237" i="2"/>
  <c r="BC237" i="2"/>
  <c r="BB237" i="2"/>
  <c r="BA237" i="2"/>
  <c r="AZ237" i="2"/>
  <c r="AY237" i="2"/>
  <c r="AX237" i="2"/>
  <c r="AW237" i="2"/>
  <c r="AV237" i="2"/>
  <c r="AU237" i="2"/>
  <c r="AT237" i="2"/>
  <c r="H237" i="1"/>
  <c r="AS237" i="2"/>
  <c r="G237" i="1"/>
  <c r="AR237" i="2"/>
  <c r="AQ237" i="2"/>
  <c r="AP237" i="2"/>
  <c r="D237" i="1"/>
  <c r="AO237" i="2"/>
  <c r="AN237" i="2"/>
  <c r="AM237" i="2"/>
  <c r="AJ237" i="2"/>
  <c r="AI237" i="2"/>
  <c r="BM236" i="2"/>
  <c r="AA236" i="1"/>
  <c r="BL236" i="2"/>
  <c r="BK236" i="2"/>
  <c r="BJ236" i="2"/>
  <c r="X236" i="1"/>
  <c r="BI236" i="2"/>
  <c r="BH236" i="2"/>
  <c r="BG236" i="2"/>
  <c r="U236" i="1"/>
  <c r="BF236" i="2"/>
  <c r="BE236" i="2"/>
  <c r="S236" i="1"/>
  <c r="BD236" i="2"/>
  <c r="BC236" i="2"/>
  <c r="BB236" i="2"/>
  <c r="BA236" i="2"/>
  <c r="AZ236" i="2"/>
  <c r="AY236" i="2"/>
  <c r="AX236" i="2"/>
  <c r="AW236" i="2"/>
  <c r="AV236" i="2"/>
  <c r="AU236" i="2"/>
  <c r="AT236" i="2"/>
  <c r="H236" i="1"/>
  <c r="AS236" i="2"/>
  <c r="G236" i="1"/>
  <c r="AR236" i="2"/>
  <c r="AQ236" i="2"/>
  <c r="AP236" i="2"/>
  <c r="D236" i="1"/>
  <c r="AO236" i="2"/>
  <c r="AN236" i="2"/>
  <c r="AM236" i="2"/>
  <c r="AJ236" i="2"/>
  <c r="AI236" i="2"/>
  <c r="BM235" i="2"/>
  <c r="AA235" i="1"/>
  <c r="BL235" i="2"/>
  <c r="BK235" i="2"/>
  <c r="BJ235" i="2"/>
  <c r="X235" i="1"/>
  <c r="BI235" i="2"/>
  <c r="BH235" i="2"/>
  <c r="BG235" i="2"/>
  <c r="U235" i="1"/>
  <c r="BF235" i="2"/>
  <c r="BE235" i="2"/>
  <c r="S235" i="1"/>
  <c r="BD235" i="2"/>
  <c r="BC235" i="2"/>
  <c r="BB235" i="2"/>
  <c r="BA235" i="2"/>
  <c r="AZ235" i="2"/>
  <c r="AY235" i="2"/>
  <c r="AX235" i="2"/>
  <c r="AW235" i="2"/>
  <c r="AV235" i="2"/>
  <c r="AU235" i="2"/>
  <c r="AT235" i="2"/>
  <c r="H235" i="1"/>
  <c r="AS235" i="2"/>
  <c r="G235" i="1"/>
  <c r="AR235" i="2"/>
  <c r="AQ235" i="2"/>
  <c r="AP235" i="2"/>
  <c r="D235" i="1"/>
  <c r="AO235" i="2"/>
  <c r="AN235" i="2"/>
  <c r="AM235" i="2"/>
  <c r="AJ235" i="2"/>
  <c r="AI235" i="2"/>
  <c r="BM234" i="2"/>
  <c r="AA234" i="1"/>
  <c r="BL234" i="2"/>
  <c r="BK234" i="2"/>
  <c r="BJ234" i="2"/>
  <c r="X234" i="1"/>
  <c r="BI234" i="2"/>
  <c r="BH234" i="2"/>
  <c r="BG234" i="2"/>
  <c r="U234" i="1"/>
  <c r="BF234" i="2"/>
  <c r="BE234" i="2"/>
  <c r="S234" i="1"/>
  <c r="BD234" i="2"/>
  <c r="BC234" i="2"/>
  <c r="BB234" i="2"/>
  <c r="BA234" i="2"/>
  <c r="AZ234" i="2"/>
  <c r="AY234" i="2"/>
  <c r="AX234" i="2"/>
  <c r="AW234" i="2"/>
  <c r="AV234" i="2"/>
  <c r="AU234" i="2"/>
  <c r="AT234" i="2"/>
  <c r="H234" i="1"/>
  <c r="AS234" i="2"/>
  <c r="G234" i="1"/>
  <c r="AR234" i="2"/>
  <c r="AQ234" i="2"/>
  <c r="AP234" i="2"/>
  <c r="D234" i="1"/>
  <c r="AO234" i="2"/>
  <c r="AN234" i="2"/>
  <c r="AM234" i="2"/>
  <c r="AJ234" i="2"/>
  <c r="AI234" i="2"/>
  <c r="BM233" i="2"/>
  <c r="AA233" i="1"/>
  <c r="BL233" i="2"/>
  <c r="BK233" i="2"/>
  <c r="BJ233" i="2"/>
  <c r="X233" i="1"/>
  <c r="BI233" i="2"/>
  <c r="BH233" i="2"/>
  <c r="BG233" i="2"/>
  <c r="U233" i="1"/>
  <c r="BF233" i="2"/>
  <c r="BE233" i="2"/>
  <c r="S233" i="1"/>
  <c r="BD233" i="2"/>
  <c r="BC233" i="2"/>
  <c r="BB233" i="2"/>
  <c r="BA233" i="2"/>
  <c r="AZ233" i="2"/>
  <c r="AY233" i="2"/>
  <c r="AX233" i="2"/>
  <c r="AW233" i="2"/>
  <c r="AV233" i="2"/>
  <c r="AU233" i="2"/>
  <c r="AT233" i="2"/>
  <c r="H233" i="1"/>
  <c r="AS233" i="2"/>
  <c r="G233" i="1"/>
  <c r="AR233" i="2"/>
  <c r="AQ233" i="2"/>
  <c r="AP233" i="2"/>
  <c r="D233" i="1"/>
  <c r="AO233" i="2"/>
  <c r="AN233" i="2"/>
  <c r="AM233" i="2"/>
  <c r="AJ233" i="2"/>
  <c r="AI233" i="2"/>
  <c r="BM232" i="2"/>
  <c r="AA232" i="1"/>
  <c r="BL232" i="2"/>
  <c r="BK232" i="2"/>
  <c r="BJ232" i="2"/>
  <c r="X232" i="1"/>
  <c r="BI232" i="2"/>
  <c r="BH232" i="2"/>
  <c r="BG232" i="2"/>
  <c r="U232" i="1"/>
  <c r="BF232" i="2"/>
  <c r="BE232" i="2"/>
  <c r="S232" i="1"/>
  <c r="BD232" i="2"/>
  <c r="BC232" i="2"/>
  <c r="BB232" i="2"/>
  <c r="BA232" i="2"/>
  <c r="AZ232" i="2"/>
  <c r="AY232" i="2"/>
  <c r="AX232" i="2"/>
  <c r="AW232" i="2"/>
  <c r="AV232" i="2"/>
  <c r="AU232" i="2"/>
  <c r="AT232" i="2"/>
  <c r="H232" i="1"/>
  <c r="AS232" i="2"/>
  <c r="G232" i="1"/>
  <c r="AR232" i="2"/>
  <c r="AQ232" i="2"/>
  <c r="AP232" i="2"/>
  <c r="D232" i="1"/>
  <c r="AO232" i="2"/>
  <c r="AN232" i="2"/>
  <c r="AM232" i="2"/>
  <c r="AJ232" i="2"/>
  <c r="AI232" i="2"/>
  <c r="BM231" i="2"/>
  <c r="AA231" i="1"/>
  <c r="BL231" i="2"/>
  <c r="BK231" i="2"/>
  <c r="BJ231" i="2"/>
  <c r="X231" i="1"/>
  <c r="BI231" i="2"/>
  <c r="BH231" i="2"/>
  <c r="BG231" i="2"/>
  <c r="U231" i="1"/>
  <c r="BF231" i="2"/>
  <c r="BE231" i="2"/>
  <c r="S231" i="1"/>
  <c r="BD231" i="2"/>
  <c r="BC231" i="2"/>
  <c r="BB231" i="2"/>
  <c r="BA231" i="2"/>
  <c r="AZ231" i="2"/>
  <c r="AY231" i="2"/>
  <c r="AX231" i="2"/>
  <c r="AW231" i="2"/>
  <c r="AV231" i="2"/>
  <c r="AU231" i="2"/>
  <c r="AT231" i="2"/>
  <c r="H231" i="1"/>
  <c r="AS231" i="2"/>
  <c r="G231" i="1"/>
  <c r="AR231" i="2"/>
  <c r="AQ231" i="2"/>
  <c r="AP231" i="2"/>
  <c r="D231" i="1"/>
  <c r="AO231" i="2"/>
  <c r="AN231" i="2"/>
  <c r="AM231" i="2"/>
  <c r="AJ231" i="2"/>
  <c r="AI231" i="2"/>
  <c r="BM230" i="2"/>
  <c r="AA230" i="1"/>
  <c r="BL230" i="2"/>
  <c r="BK230" i="2"/>
  <c r="BJ230" i="2"/>
  <c r="X230" i="1"/>
  <c r="BI230" i="2"/>
  <c r="BH230" i="2"/>
  <c r="BG230" i="2"/>
  <c r="U230" i="1"/>
  <c r="BF230" i="2"/>
  <c r="BE230" i="2"/>
  <c r="S230" i="1"/>
  <c r="BD230" i="2"/>
  <c r="BC230" i="2"/>
  <c r="BB230" i="2"/>
  <c r="BA230" i="2"/>
  <c r="AZ230" i="2"/>
  <c r="AY230" i="2"/>
  <c r="AX230" i="2"/>
  <c r="AW230" i="2"/>
  <c r="AV230" i="2"/>
  <c r="AU230" i="2"/>
  <c r="AT230" i="2"/>
  <c r="H230" i="1"/>
  <c r="AS230" i="2"/>
  <c r="G230" i="1"/>
  <c r="AR230" i="2"/>
  <c r="AQ230" i="2"/>
  <c r="AP230" i="2"/>
  <c r="D230" i="1"/>
  <c r="AO230" i="2"/>
  <c r="AN230" i="2"/>
  <c r="AM230" i="2"/>
  <c r="AJ230" i="2"/>
  <c r="AI230" i="2"/>
  <c r="BM229" i="2"/>
  <c r="AA229" i="1"/>
  <c r="BL229" i="2"/>
  <c r="BK229" i="2"/>
  <c r="BJ229" i="2"/>
  <c r="X229" i="1"/>
  <c r="BI229" i="2"/>
  <c r="BH229" i="2"/>
  <c r="BG229" i="2"/>
  <c r="U229" i="1"/>
  <c r="BF229" i="2"/>
  <c r="BE229" i="2"/>
  <c r="S229" i="1"/>
  <c r="BD229" i="2"/>
  <c r="BC229" i="2"/>
  <c r="BB229" i="2"/>
  <c r="BA229" i="2"/>
  <c r="AZ229" i="2"/>
  <c r="AY229" i="2"/>
  <c r="AX229" i="2"/>
  <c r="AW229" i="2"/>
  <c r="AV229" i="2"/>
  <c r="AU229" i="2"/>
  <c r="AT229" i="2"/>
  <c r="H229" i="1"/>
  <c r="AS229" i="2"/>
  <c r="G229" i="1"/>
  <c r="AR229" i="2"/>
  <c r="AQ229" i="2"/>
  <c r="AP229" i="2"/>
  <c r="D229" i="1"/>
  <c r="AO229" i="2"/>
  <c r="AN229" i="2"/>
  <c r="AM229" i="2"/>
  <c r="AJ229" i="2"/>
  <c r="AI229" i="2"/>
  <c r="BM228" i="2"/>
  <c r="AA228" i="1"/>
  <c r="BL228" i="2"/>
  <c r="BK228" i="2"/>
  <c r="BJ228" i="2"/>
  <c r="X228" i="1"/>
  <c r="BI228" i="2"/>
  <c r="BH228" i="2"/>
  <c r="BG228" i="2"/>
  <c r="U228" i="1"/>
  <c r="BF228" i="2"/>
  <c r="BE228" i="2"/>
  <c r="S228" i="1"/>
  <c r="BD228" i="2"/>
  <c r="BC228" i="2"/>
  <c r="BB228" i="2"/>
  <c r="BA228" i="2"/>
  <c r="AZ228" i="2"/>
  <c r="AY228" i="2"/>
  <c r="AX228" i="2"/>
  <c r="AW228" i="2"/>
  <c r="AV228" i="2"/>
  <c r="AU228" i="2"/>
  <c r="AT228" i="2"/>
  <c r="H228" i="1"/>
  <c r="AS228" i="2"/>
  <c r="G228" i="1"/>
  <c r="AR228" i="2"/>
  <c r="AQ228" i="2"/>
  <c r="AP228" i="2"/>
  <c r="D228" i="1"/>
  <c r="AO228" i="2"/>
  <c r="AN228" i="2"/>
  <c r="AM228" i="2"/>
  <c r="AJ228" i="2"/>
  <c r="AI228" i="2"/>
  <c r="BM227" i="2"/>
  <c r="AA227" i="1"/>
  <c r="BL227" i="2"/>
  <c r="BK227" i="2"/>
  <c r="BJ227" i="2"/>
  <c r="X227" i="1"/>
  <c r="BI227" i="2"/>
  <c r="BH227" i="2"/>
  <c r="BG227" i="2"/>
  <c r="U227" i="1"/>
  <c r="BF227" i="2"/>
  <c r="BE227" i="2"/>
  <c r="S227" i="1"/>
  <c r="BD227" i="2"/>
  <c r="BC227" i="2"/>
  <c r="BB227" i="2"/>
  <c r="BA227" i="2"/>
  <c r="AZ227" i="2"/>
  <c r="AY227" i="2"/>
  <c r="AX227" i="2"/>
  <c r="AW227" i="2"/>
  <c r="AV227" i="2"/>
  <c r="AU227" i="2"/>
  <c r="AT227" i="2"/>
  <c r="H227" i="1"/>
  <c r="AS227" i="2"/>
  <c r="G227" i="1"/>
  <c r="AR227" i="2"/>
  <c r="AQ227" i="2"/>
  <c r="AP227" i="2"/>
  <c r="D227" i="1"/>
  <c r="AO227" i="2"/>
  <c r="AN227" i="2"/>
  <c r="AM227" i="2"/>
  <c r="AJ227" i="2"/>
  <c r="AI227" i="2"/>
  <c r="BM226" i="2"/>
  <c r="AA226" i="1"/>
  <c r="BL226" i="2"/>
  <c r="BK226" i="2"/>
  <c r="BJ226" i="2"/>
  <c r="X226" i="1"/>
  <c r="BI226" i="2"/>
  <c r="BH226" i="2"/>
  <c r="BG226" i="2"/>
  <c r="U226" i="1"/>
  <c r="BF226" i="2"/>
  <c r="BE226" i="2"/>
  <c r="S226" i="1"/>
  <c r="BD226" i="2"/>
  <c r="BC226" i="2"/>
  <c r="BB226" i="2"/>
  <c r="BA226" i="2"/>
  <c r="AZ226" i="2"/>
  <c r="AY226" i="2"/>
  <c r="AX226" i="2"/>
  <c r="AW226" i="2"/>
  <c r="AV226" i="2"/>
  <c r="AU226" i="2"/>
  <c r="AT226" i="2"/>
  <c r="H226" i="1"/>
  <c r="AS226" i="2"/>
  <c r="G226" i="1"/>
  <c r="AR226" i="2"/>
  <c r="AQ226" i="2"/>
  <c r="AP226" i="2"/>
  <c r="D226" i="1"/>
  <c r="AO226" i="2"/>
  <c r="AN226" i="2"/>
  <c r="AM226" i="2"/>
  <c r="AJ226" i="2"/>
  <c r="AI226" i="2"/>
  <c r="BM225" i="2"/>
  <c r="AA225" i="1"/>
  <c r="BL225" i="2"/>
  <c r="BK225" i="2"/>
  <c r="BJ225" i="2"/>
  <c r="X225" i="1"/>
  <c r="BI225" i="2"/>
  <c r="BH225" i="2"/>
  <c r="BG225" i="2"/>
  <c r="U225" i="1"/>
  <c r="BF225" i="2"/>
  <c r="BE225" i="2"/>
  <c r="S225" i="1"/>
  <c r="BD225" i="2"/>
  <c r="BC225" i="2"/>
  <c r="BB225" i="2"/>
  <c r="BA225" i="2"/>
  <c r="AZ225" i="2"/>
  <c r="AY225" i="2"/>
  <c r="AX225" i="2"/>
  <c r="AW225" i="2"/>
  <c r="AV225" i="2"/>
  <c r="AU225" i="2"/>
  <c r="AT225" i="2"/>
  <c r="H225" i="1"/>
  <c r="AS225" i="2"/>
  <c r="G225" i="1"/>
  <c r="AR225" i="2"/>
  <c r="AQ225" i="2"/>
  <c r="AP225" i="2"/>
  <c r="D225" i="1"/>
  <c r="AO225" i="2"/>
  <c r="AN225" i="2"/>
  <c r="AM225" i="2"/>
  <c r="AJ225" i="2"/>
  <c r="AI225" i="2"/>
  <c r="BM224" i="2"/>
  <c r="AA224" i="1"/>
  <c r="BL224" i="2"/>
  <c r="BK224" i="2"/>
  <c r="BJ224" i="2"/>
  <c r="X224" i="1"/>
  <c r="BI224" i="2"/>
  <c r="BH224" i="2"/>
  <c r="BG224" i="2"/>
  <c r="U224" i="1"/>
  <c r="BF224" i="2"/>
  <c r="BE224" i="2"/>
  <c r="S224" i="1"/>
  <c r="BD224" i="2"/>
  <c r="BC224" i="2"/>
  <c r="BB224" i="2"/>
  <c r="BA224" i="2"/>
  <c r="AZ224" i="2"/>
  <c r="AY224" i="2"/>
  <c r="AX224" i="2"/>
  <c r="AW224" i="2"/>
  <c r="AV224" i="2"/>
  <c r="AU224" i="2"/>
  <c r="AT224" i="2"/>
  <c r="H224" i="1"/>
  <c r="AS224" i="2"/>
  <c r="G224" i="1"/>
  <c r="AR224" i="2"/>
  <c r="AQ224" i="2"/>
  <c r="AP224" i="2"/>
  <c r="D224" i="1"/>
  <c r="AO224" i="2"/>
  <c r="AN224" i="2"/>
  <c r="AM224" i="2"/>
  <c r="AJ224" i="2"/>
  <c r="AI224" i="2"/>
  <c r="BM223" i="2"/>
  <c r="AA223" i="1"/>
  <c r="BL223" i="2"/>
  <c r="BK223" i="2"/>
  <c r="BJ223" i="2"/>
  <c r="X223" i="1"/>
  <c r="BI223" i="2"/>
  <c r="BH223" i="2"/>
  <c r="BG223" i="2"/>
  <c r="U223" i="1"/>
  <c r="BF223" i="2"/>
  <c r="BE223" i="2"/>
  <c r="S223" i="1"/>
  <c r="BD223" i="2"/>
  <c r="BC223" i="2"/>
  <c r="BB223" i="2"/>
  <c r="BA223" i="2"/>
  <c r="AZ223" i="2"/>
  <c r="AY223" i="2"/>
  <c r="AX223" i="2"/>
  <c r="AW223" i="2"/>
  <c r="AV223" i="2"/>
  <c r="AU223" i="2"/>
  <c r="AT223" i="2"/>
  <c r="H223" i="1"/>
  <c r="AS223" i="2"/>
  <c r="G223" i="1"/>
  <c r="AR223" i="2"/>
  <c r="AQ223" i="2"/>
  <c r="AP223" i="2"/>
  <c r="D223" i="1"/>
  <c r="AO223" i="2"/>
  <c r="AN223" i="2"/>
  <c r="AM223" i="2"/>
  <c r="AJ223" i="2"/>
  <c r="AI223" i="2"/>
  <c r="BM222" i="2"/>
  <c r="AA222" i="1"/>
  <c r="BL222" i="2"/>
  <c r="BK222" i="2"/>
  <c r="BJ222" i="2"/>
  <c r="X222" i="1"/>
  <c r="BI222" i="2"/>
  <c r="BH222" i="2"/>
  <c r="BG222" i="2"/>
  <c r="U222" i="1"/>
  <c r="BF222" i="2"/>
  <c r="BE222" i="2"/>
  <c r="S222" i="1"/>
  <c r="BD222" i="2"/>
  <c r="BC222" i="2"/>
  <c r="BB222" i="2"/>
  <c r="BA222" i="2"/>
  <c r="AZ222" i="2"/>
  <c r="AY222" i="2"/>
  <c r="AX222" i="2"/>
  <c r="AW222" i="2"/>
  <c r="AV222" i="2"/>
  <c r="AU222" i="2"/>
  <c r="AT222" i="2"/>
  <c r="H222" i="1"/>
  <c r="AS222" i="2"/>
  <c r="G222" i="1"/>
  <c r="AR222" i="2"/>
  <c r="AQ222" i="2"/>
  <c r="AP222" i="2"/>
  <c r="D222" i="1"/>
  <c r="AO222" i="2"/>
  <c r="AN222" i="2"/>
  <c r="AM222" i="2"/>
  <c r="AJ222" i="2"/>
  <c r="AI222" i="2"/>
  <c r="BM221" i="2"/>
  <c r="AA221" i="1"/>
  <c r="BL221" i="2"/>
  <c r="BK221" i="2"/>
  <c r="BJ221" i="2"/>
  <c r="X221" i="1"/>
  <c r="BI221" i="2"/>
  <c r="BH221" i="2"/>
  <c r="BG221" i="2"/>
  <c r="U221" i="1"/>
  <c r="BF221" i="2"/>
  <c r="BE221" i="2"/>
  <c r="S221" i="1"/>
  <c r="BD221" i="2"/>
  <c r="BC221" i="2"/>
  <c r="BB221" i="2"/>
  <c r="BA221" i="2"/>
  <c r="AZ221" i="2"/>
  <c r="AY221" i="2"/>
  <c r="AX221" i="2"/>
  <c r="AW221" i="2"/>
  <c r="AV221" i="2"/>
  <c r="AU221" i="2"/>
  <c r="AT221" i="2"/>
  <c r="H221" i="1"/>
  <c r="AS221" i="2"/>
  <c r="G221" i="1"/>
  <c r="AR221" i="2"/>
  <c r="AQ221" i="2"/>
  <c r="AP221" i="2"/>
  <c r="D221" i="1"/>
  <c r="AO221" i="2"/>
  <c r="AN221" i="2"/>
  <c r="AM221" i="2"/>
  <c r="AJ221" i="2"/>
  <c r="AI221" i="2"/>
  <c r="BM220" i="2"/>
  <c r="AA220" i="1"/>
  <c r="BL220" i="2"/>
  <c r="BK220" i="2"/>
  <c r="BJ220" i="2"/>
  <c r="X220" i="1"/>
  <c r="BI220" i="2"/>
  <c r="BH220" i="2"/>
  <c r="BG220" i="2"/>
  <c r="U220" i="1"/>
  <c r="BF220" i="2"/>
  <c r="BE220" i="2"/>
  <c r="S220" i="1"/>
  <c r="BD220" i="2"/>
  <c r="BC220" i="2"/>
  <c r="BB220" i="2"/>
  <c r="BA220" i="2"/>
  <c r="AZ220" i="2"/>
  <c r="AY220" i="2"/>
  <c r="AX220" i="2"/>
  <c r="AW220" i="2"/>
  <c r="AV220" i="2"/>
  <c r="AU220" i="2"/>
  <c r="AT220" i="2"/>
  <c r="H220" i="1"/>
  <c r="AS220" i="2"/>
  <c r="G220" i="1"/>
  <c r="AR220" i="2"/>
  <c r="AQ220" i="2"/>
  <c r="AP220" i="2"/>
  <c r="D220" i="1"/>
  <c r="AO220" i="2"/>
  <c r="AN220" i="2"/>
  <c r="AM220" i="2"/>
  <c r="AJ220" i="2"/>
  <c r="AI220" i="2"/>
  <c r="BM219" i="2"/>
  <c r="AA219" i="1"/>
  <c r="BL219" i="2"/>
  <c r="BK219" i="2"/>
  <c r="BJ219" i="2"/>
  <c r="X219" i="1"/>
  <c r="BI219" i="2"/>
  <c r="BH219" i="2"/>
  <c r="BG219" i="2"/>
  <c r="U219" i="1"/>
  <c r="BF219" i="2"/>
  <c r="BE219" i="2"/>
  <c r="S219" i="1"/>
  <c r="BD219" i="2"/>
  <c r="BC219" i="2"/>
  <c r="BB219" i="2"/>
  <c r="BA219" i="2"/>
  <c r="AZ219" i="2"/>
  <c r="AY219" i="2"/>
  <c r="AX219" i="2"/>
  <c r="AW219" i="2"/>
  <c r="AV219" i="2"/>
  <c r="AU219" i="2"/>
  <c r="AT219" i="2"/>
  <c r="H219" i="1"/>
  <c r="AS219" i="2"/>
  <c r="G219" i="1"/>
  <c r="AR219" i="2"/>
  <c r="AQ219" i="2"/>
  <c r="AP219" i="2"/>
  <c r="D219" i="1"/>
  <c r="AO219" i="2"/>
  <c r="AN219" i="2"/>
  <c r="AM219" i="2"/>
  <c r="AJ219" i="2"/>
  <c r="AI219" i="2"/>
  <c r="BM218" i="2"/>
  <c r="AA218" i="1"/>
  <c r="BL218" i="2"/>
  <c r="BK218" i="2"/>
  <c r="BJ218" i="2"/>
  <c r="X218" i="1"/>
  <c r="BI218" i="2"/>
  <c r="BH218" i="2"/>
  <c r="BG218" i="2"/>
  <c r="U218" i="1"/>
  <c r="BF218" i="2"/>
  <c r="BE218" i="2"/>
  <c r="S218" i="1"/>
  <c r="BD218" i="2"/>
  <c r="BC218" i="2"/>
  <c r="BB218" i="2"/>
  <c r="BA218" i="2"/>
  <c r="AZ218" i="2"/>
  <c r="AY218" i="2"/>
  <c r="AX218" i="2"/>
  <c r="AW218" i="2"/>
  <c r="AV218" i="2"/>
  <c r="AU218" i="2"/>
  <c r="AT218" i="2"/>
  <c r="H218" i="1"/>
  <c r="AS218" i="2"/>
  <c r="G218" i="1"/>
  <c r="AR218" i="2"/>
  <c r="AQ218" i="2"/>
  <c r="AP218" i="2"/>
  <c r="D218" i="1"/>
  <c r="AO218" i="2"/>
  <c r="AN218" i="2"/>
  <c r="AM218" i="2"/>
  <c r="AJ218" i="2"/>
  <c r="AI218" i="2"/>
  <c r="BM217" i="2"/>
  <c r="AA217" i="1"/>
  <c r="BL217" i="2"/>
  <c r="BK217" i="2"/>
  <c r="BJ217" i="2"/>
  <c r="X217" i="1"/>
  <c r="BI217" i="2"/>
  <c r="BH217" i="2"/>
  <c r="BG217" i="2"/>
  <c r="U217" i="1"/>
  <c r="BF217" i="2"/>
  <c r="BE217" i="2"/>
  <c r="S217" i="1"/>
  <c r="BD217" i="2"/>
  <c r="BC217" i="2"/>
  <c r="BB217" i="2"/>
  <c r="BA217" i="2"/>
  <c r="AZ217" i="2"/>
  <c r="AY217" i="2"/>
  <c r="AX217" i="2"/>
  <c r="AW217" i="2"/>
  <c r="AV217" i="2"/>
  <c r="AU217" i="2"/>
  <c r="AT217" i="2"/>
  <c r="H217" i="1"/>
  <c r="AS217" i="2"/>
  <c r="G217" i="1"/>
  <c r="AR217" i="2"/>
  <c r="AQ217" i="2"/>
  <c r="AP217" i="2"/>
  <c r="D217" i="1"/>
  <c r="AO217" i="2"/>
  <c r="AN217" i="2"/>
  <c r="AM217" i="2"/>
  <c r="AJ217" i="2"/>
  <c r="AI217" i="2"/>
  <c r="BM216" i="2"/>
  <c r="AA216" i="1"/>
  <c r="BL216" i="2"/>
  <c r="BK216" i="2"/>
  <c r="BJ216" i="2"/>
  <c r="X216" i="1"/>
  <c r="BI216" i="2"/>
  <c r="BH216" i="2"/>
  <c r="BG216" i="2"/>
  <c r="U216" i="1"/>
  <c r="BF216" i="2"/>
  <c r="BE216" i="2"/>
  <c r="S216" i="1"/>
  <c r="BD216" i="2"/>
  <c r="BC216" i="2"/>
  <c r="BB216" i="2"/>
  <c r="BA216" i="2"/>
  <c r="AZ216" i="2"/>
  <c r="AY216" i="2"/>
  <c r="AX216" i="2"/>
  <c r="AW216" i="2"/>
  <c r="AV216" i="2"/>
  <c r="AU216" i="2"/>
  <c r="AT216" i="2"/>
  <c r="H216" i="1"/>
  <c r="AS216" i="2"/>
  <c r="G216" i="1"/>
  <c r="AR216" i="2"/>
  <c r="AQ216" i="2"/>
  <c r="AP216" i="2"/>
  <c r="D216" i="1"/>
  <c r="AO216" i="2"/>
  <c r="AN216" i="2"/>
  <c r="AM216" i="2"/>
  <c r="AJ216" i="2"/>
  <c r="AI216" i="2"/>
  <c r="BM215" i="2"/>
  <c r="AA215" i="1"/>
  <c r="BL215" i="2"/>
  <c r="BK215" i="2"/>
  <c r="BJ215" i="2"/>
  <c r="X215" i="1"/>
  <c r="BI215" i="2"/>
  <c r="BH215" i="2"/>
  <c r="BG215" i="2"/>
  <c r="U215" i="1"/>
  <c r="BF215" i="2"/>
  <c r="BE215" i="2"/>
  <c r="S215" i="1"/>
  <c r="BD215" i="2"/>
  <c r="BC215" i="2"/>
  <c r="BB215" i="2"/>
  <c r="BA215" i="2"/>
  <c r="AZ215" i="2"/>
  <c r="AY215" i="2"/>
  <c r="AX215" i="2"/>
  <c r="AW215" i="2"/>
  <c r="AV215" i="2"/>
  <c r="AU215" i="2"/>
  <c r="AT215" i="2"/>
  <c r="H215" i="1"/>
  <c r="AS215" i="2"/>
  <c r="G215" i="1"/>
  <c r="AR215" i="2"/>
  <c r="AQ215" i="2"/>
  <c r="AP215" i="2"/>
  <c r="D215" i="1"/>
  <c r="AO215" i="2"/>
  <c r="AN215" i="2"/>
  <c r="AM215" i="2"/>
  <c r="AJ215" i="2"/>
  <c r="AI215" i="2"/>
  <c r="BM214" i="2"/>
  <c r="AA214" i="1"/>
  <c r="BL214" i="2"/>
  <c r="BK214" i="2"/>
  <c r="BJ214" i="2"/>
  <c r="X214" i="1"/>
  <c r="BI214" i="2"/>
  <c r="BH214" i="2"/>
  <c r="BG214" i="2"/>
  <c r="U214" i="1"/>
  <c r="BF214" i="2"/>
  <c r="BE214" i="2"/>
  <c r="S214" i="1"/>
  <c r="BD214" i="2"/>
  <c r="BC214" i="2"/>
  <c r="BB214" i="2"/>
  <c r="BA214" i="2"/>
  <c r="AZ214" i="2"/>
  <c r="AY214" i="2"/>
  <c r="AX214" i="2"/>
  <c r="AW214" i="2"/>
  <c r="AV214" i="2"/>
  <c r="AU214" i="2"/>
  <c r="AT214" i="2"/>
  <c r="H214" i="1"/>
  <c r="AS214" i="2"/>
  <c r="G214" i="1"/>
  <c r="AR214" i="2"/>
  <c r="AQ214" i="2"/>
  <c r="AP214" i="2"/>
  <c r="D214" i="1"/>
  <c r="AO214" i="2"/>
  <c r="AN214" i="2"/>
  <c r="AM214" i="2"/>
  <c r="AJ214" i="2"/>
  <c r="AI214" i="2"/>
  <c r="BM213" i="2"/>
  <c r="AA213" i="1"/>
  <c r="BL213" i="2"/>
  <c r="BK213" i="2"/>
  <c r="BJ213" i="2"/>
  <c r="X213" i="1"/>
  <c r="BI213" i="2"/>
  <c r="BH213" i="2"/>
  <c r="BG213" i="2"/>
  <c r="U213" i="1"/>
  <c r="BF213" i="2"/>
  <c r="BE213" i="2"/>
  <c r="S213" i="1"/>
  <c r="BD213" i="2"/>
  <c r="BC213" i="2"/>
  <c r="BB213" i="2"/>
  <c r="BA213" i="2"/>
  <c r="AZ213" i="2"/>
  <c r="AY213" i="2"/>
  <c r="AX213" i="2"/>
  <c r="AW213" i="2"/>
  <c r="AV213" i="2"/>
  <c r="AU213" i="2"/>
  <c r="AT213" i="2"/>
  <c r="H213" i="1"/>
  <c r="AS213" i="2"/>
  <c r="G213" i="1"/>
  <c r="AR213" i="2"/>
  <c r="AQ213" i="2"/>
  <c r="AP213" i="2"/>
  <c r="D213" i="1"/>
  <c r="AO213" i="2"/>
  <c r="AN213" i="2"/>
  <c r="AM213" i="2"/>
  <c r="AJ213" i="2"/>
  <c r="AI213" i="2"/>
  <c r="BM212" i="2"/>
  <c r="AA212" i="1"/>
  <c r="BL212" i="2"/>
  <c r="BK212" i="2"/>
  <c r="BJ212" i="2"/>
  <c r="X212" i="1"/>
  <c r="BI212" i="2"/>
  <c r="BH212" i="2"/>
  <c r="BG212" i="2"/>
  <c r="U212" i="1"/>
  <c r="BF212" i="2"/>
  <c r="BE212" i="2"/>
  <c r="S212" i="1"/>
  <c r="BD212" i="2"/>
  <c r="BC212" i="2"/>
  <c r="BB212" i="2"/>
  <c r="BA212" i="2"/>
  <c r="AZ212" i="2"/>
  <c r="AY212" i="2"/>
  <c r="AX212" i="2"/>
  <c r="AW212" i="2"/>
  <c r="AV212" i="2"/>
  <c r="AU212" i="2"/>
  <c r="AT212" i="2"/>
  <c r="H212" i="1"/>
  <c r="AS212" i="2"/>
  <c r="G212" i="1"/>
  <c r="AR212" i="2"/>
  <c r="AQ212" i="2"/>
  <c r="AP212" i="2"/>
  <c r="D212" i="1"/>
  <c r="AO212" i="2"/>
  <c r="AN212" i="2"/>
  <c r="AM212" i="2"/>
  <c r="AJ212" i="2"/>
  <c r="AI212" i="2"/>
  <c r="BM211" i="2"/>
  <c r="AA211" i="1"/>
  <c r="BL211" i="2"/>
  <c r="BK211" i="2"/>
  <c r="BJ211" i="2"/>
  <c r="X211" i="1"/>
  <c r="BI211" i="2"/>
  <c r="BH211" i="2"/>
  <c r="BG211" i="2"/>
  <c r="U211" i="1"/>
  <c r="BF211" i="2"/>
  <c r="BE211" i="2"/>
  <c r="S211" i="1"/>
  <c r="BD211" i="2"/>
  <c r="BC211" i="2"/>
  <c r="BB211" i="2"/>
  <c r="BA211" i="2"/>
  <c r="AZ211" i="2"/>
  <c r="AY211" i="2"/>
  <c r="AX211" i="2"/>
  <c r="AW211" i="2"/>
  <c r="AV211" i="2"/>
  <c r="AU211" i="2"/>
  <c r="AT211" i="2"/>
  <c r="H211" i="1"/>
  <c r="AS211" i="2"/>
  <c r="G211" i="1"/>
  <c r="AR211" i="2"/>
  <c r="AQ211" i="2"/>
  <c r="AP211" i="2"/>
  <c r="D211" i="1"/>
  <c r="AO211" i="2"/>
  <c r="AN211" i="2"/>
  <c r="AM211" i="2"/>
  <c r="AJ211" i="2"/>
  <c r="AI211" i="2"/>
  <c r="BM210" i="2"/>
  <c r="AA210" i="1"/>
  <c r="BL210" i="2"/>
  <c r="BK210" i="2"/>
  <c r="BJ210" i="2"/>
  <c r="X210" i="1"/>
  <c r="BI210" i="2"/>
  <c r="BH210" i="2"/>
  <c r="BG210" i="2"/>
  <c r="U210" i="1"/>
  <c r="BF210" i="2"/>
  <c r="BE210" i="2"/>
  <c r="S210" i="1"/>
  <c r="BD210" i="2"/>
  <c r="BC210" i="2"/>
  <c r="BB210" i="2"/>
  <c r="BA210" i="2"/>
  <c r="AZ210" i="2"/>
  <c r="AY210" i="2"/>
  <c r="AX210" i="2"/>
  <c r="AW210" i="2"/>
  <c r="AV210" i="2"/>
  <c r="AU210" i="2"/>
  <c r="AT210" i="2"/>
  <c r="H210" i="1"/>
  <c r="AS210" i="2"/>
  <c r="G210" i="1"/>
  <c r="AR210" i="2"/>
  <c r="AQ210" i="2"/>
  <c r="AP210" i="2"/>
  <c r="D210" i="1"/>
  <c r="AO210" i="2"/>
  <c r="AN210" i="2"/>
  <c r="AM210" i="2"/>
  <c r="AJ210" i="2"/>
  <c r="AI210" i="2"/>
  <c r="BM209" i="2"/>
  <c r="AA209" i="1"/>
  <c r="BL209" i="2"/>
  <c r="BK209" i="2"/>
  <c r="BJ209" i="2"/>
  <c r="X209" i="1"/>
  <c r="BI209" i="2"/>
  <c r="BH209" i="2"/>
  <c r="BG209" i="2"/>
  <c r="U209" i="1"/>
  <c r="BF209" i="2"/>
  <c r="BE209" i="2"/>
  <c r="S209" i="1"/>
  <c r="BD209" i="2"/>
  <c r="BC209" i="2"/>
  <c r="BB209" i="2"/>
  <c r="BA209" i="2"/>
  <c r="AZ209" i="2"/>
  <c r="AY209" i="2"/>
  <c r="AX209" i="2"/>
  <c r="AW209" i="2"/>
  <c r="AV209" i="2"/>
  <c r="AU209" i="2"/>
  <c r="AT209" i="2"/>
  <c r="H209" i="1"/>
  <c r="AS209" i="2"/>
  <c r="G209" i="1"/>
  <c r="AR209" i="2"/>
  <c r="AQ209" i="2"/>
  <c r="AP209" i="2"/>
  <c r="D209" i="1"/>
  <c r="AO209" i="2"/>
  <c r="AN209" i="2"/>
  <c r="AM209" i="2"/>
  <c r="AJ209" i="2"/>
  <c r="AI209" i="2"/>
  <c r="BM208" i="2"/>
  <c r="AA208" i="1"/>
  <c r="BL208" i="2"/>
  <c r="BK208" i="2"/>
  <c r="BJ208" i="2"/>
  <c r="X208" i="1"/>
  <c r="BI208" i="2"/>
  <c r="BH208" i="2"/>
  <c r="BG208" i="2"/>
  <c r="U208" i="1"/>
  <c r="BF208" i="2"/>
  <c r="BE208" i="2"/>
  <c r="S208" i="1"/>
  <c r="BD208" i="2"/>
  <c r="BC208" i="2"/>
  <c r="BB208" i="2"/>
  <c r="BA208" i="2"/>
  <c r="AZ208" i="2"/>
  <c r="AY208" i="2"/>
  <c r="AX208" i="2"/>
  <c r="AW208" i="2"/>
  <c r="AV208" i="2"/>
  <c r="AU208" i="2"/>
  <c r="AT208" i="2"/>
  <c r="H208" i="1"/>
  <c r="AS208" i="2"/>
  <c r="G208" i="1"/>
  <c r="AR208" i="2"/>
  <c r="AQ208" i="2"/>
  <c r="AP208" i="2"/>
  <c r="D208" i="1"/>
  <c r="AO208" i="2"/>
  <c r="AN208" i="2"/>
  <c r="AM208" i="2"/>
  <c r="AJ208" i="2"/>
  <c r="AI208" i="2"/>
  <c r="BM207" i="2"/>
  <c r="AA207" i="1"/>
  <c r="BL207" i="2"/>
  <c r="BK207" i="2"/>
  <c r="BJ207" i="2"/>
  <c r="X207" i="1"/>
  <c r="BI207" i="2"/>
  <c r="BH207" i="2"/>
  <c r="BG207" i="2"/>
  <c r="U207" i="1"/>
  <c r="BF207" i="2"/>
  <c r="BE207" i="2"/>
  <c r="S207" i="1"/>
  <c r="BD207" i="2"/>
  <c r="BC207" i="2"/>
  <c r="BB207" i="2"/>
  <c r="BA207" i="2"/>
  <c r="AZ207" i="2"/>
  <c r="AY207" i="2"/>
  <c r="AX207" i="2"/>
  <c r="AW207" i="2"/>
  <c r="AV207" i="2"/>
  <c r="AU207" i="2"/>
  <c r="AT207" i="2"/>
  <c r="H207" i="1"/>
  <c r="AS207" i="2"/>
  <c r="G207" i="1"/>
  <c r="AR207" i="2"/>
  <c r="AQ207" i="2"/>
  <c r="AP207" i="2"/>
  <c r="D207" i="1"/>
  <c r="AO207" i="2"/>
  <c r="AN207" i="2"/>
  <c r="AM207" i="2"/>
  <c r="AJ207" i="2"/>
  <c r="AI207" i="2"/>
  <c r="BM206" i="2"/>
  <c r="AA206" i="1"/>
  <c r="BL206" i="2"/>
  <c r="BK206" i="2"/>
  <c r="BJ206" i="2"/>
  <c r="X206" i="1"/>
  <c r="BI206" i="2"/>
  <c r="BH206" i="2"/>
  <c r="BG206" i="2"/>
  <c r="U206" i="1"/>
  <c r="BF206" i="2"/>
  <c r="BE206" i="2"/>
  <c r="S206" i="1"/>
  <c r="BD206" i="2"/>
  <c r="BC206" i="2"/>
  <c r="BB206" i="2"/>
  <c r="BA206" i="2"/>
  <c r="AZ206" i="2"/>
  <c r="AY206" i="2"/>
  <c r="AX206" i="2"/>
  <c r="AW206" i="2"/>
  <c r="AV206" i="2"/>
  <c r="AU206" i="2"/>
  <c r="AT206" i="2"/>
  <c r="H206" i="1"/>
  <c r="AS206" i="2"/>
  <c r="G206" i="1"/>
  <c r="AR206" i="2"/>
  <c r="AQ206" i="2"/>
  <c r="AP206" i="2"/>
  <c r="D206" i="1"/>
  <c r="AO206" i="2"/>
  <c r="AN206" i="2"/>
  <c r="AM206" i="2"/>
  <c r="AJ206" i="2"/>
  <c r="AI206" i="2"/>
  <c r="BM205" i="2"/>
  <c r="AA205" i="1"/>
  <c r="BL205" i="2"/>
  <c r="BK205" i="2"/>
  <c r="BJ205" i="2"/>
  <c r="X205" i="1"/>
  <c r="BI205" i="2"/>
  <c r="BH205" i="2"/>
  <c r="BG205" i="2"/>
  <c r="U205" i="1"/>
  <c r="BF205" i="2"/>
  <c r="BE205" i="2"/>
  <c r="S205" i="1"/>
  <c r="BD205" i="2"/>
  <c r="BC205" i="2"/>
  <c r="BB205" i="2"/>
  <c r="BA205" i="2"/>
  <c r="AZ205" i="2"/>
  <c r="AY205" i="2"/>
  <c r="AX205" i="2"/>
  <c r="AW205" i="2"/>
  <c r="AV205" i="2"/>
  <c r="AU205" i="2"/>
  <c r="AT205" i="2"/>
  <c r="H205" i="1"/>
  <c r="AS205" i="2"/>
  <c r="G205" i="1"/>
  <c r="AR205" i="2"/>
  <c r="AQ205" i="2"/>
  <c r="AP205" i="2"/>
  <c r="D205" i="1"/>
  <c r="AO205" i="2"/>
  <c r="AN205" i="2"/>
  <c r="AM205" i="2"/>
  <c r="AJ205" i="2"/>
  <c r="AI205" i="2"/>
  <c r="BM204" i="2"/>
  <c r="AA204" i="1"/>
  <c r="BL204" i="2"/>
  <c r="BK204" i="2"/>
  <c r="BJ204" i="2"/>
  <c r="X204" i="1"/>
  <c r="BI204" i="2"/>
  <c r="BH204" i="2"/>
  <c r="BG204" i="2"/>
  <c r="U204" i="1"/>
  <c r="BF204" i="2"/>
  <c r="BE204" i="2"/>
  <c r="S204" i="1"/>
  <c r="BD204" i="2"/>
  <c r="BC204" i="2"/>
  <c r="BB204" i="2"/>
  <c r="BA204" i="2"/>
  <c r="AZ204" i="2"/>
  <c r="AY204" i="2"/>
  <c r="AX204" i="2"/>
  <c r="AW204" i="2"/>
  <c r="AV204" i="2"/>
  <c r="AU204" i="2"/>
  <c r="AT204" i="2"/>
  <c r="H204" i="1"/>
  <c r="AS204" i="2"/>
  <c r="G204" i="1"/>
  <c r="AR204" i="2"/>
  <c r="AQ204" i="2"/>
  <c r="AP204" i="2"/>
  <c r="D204" i="1"/>
  <c r="AO204" i="2"/>
  <c r="AN204" i="2"/>
  <c r="AM204" i="2"/>
  <c r="AJ204" i="2"/>
  <c r="AI204" i="2"/>
  <c r="BM203" i="2"/>
  <c r="AA203" i="1"/>
  <c r="BL203" i="2"/>
  <c r="BK203" i="2"/>
  <c r="BJ203" i="2"/>
  <c r="X203" i="1"/>
  <c r="BI203" i="2"/>
  <c r="BH203" i="2"/>
  <c r="BG203" i="2"/>
  <c r="U203" i="1"/>
  <c r="BF203" i="2"/>
  <c r="BE203" i="2"/>
  <c r="S203" i="1"/>
  <c r="BD203" i="2"/>
  <c r="BC203" i="2"/>
  <c r="BB203" i="2"/>
  <c r="BA203" i="2"/>
  <c r="AZ203" i="2"/>
  <c r="AY203" i="2"/>
  <c r="AX203" i="2"/>
  <c r="AW203" i="2"/>
  <c r="AV203" i="2"/>
  <c r="AU203" i="2"/>
  <c r="AT203" i="2"/>
  <c r="H203" i="1"/>
  <c r="AS203" i="2"/>
  <c r="G203" i="1"/>
  <c r="AR203" i="2"/>
  <c r="AQ203" i="2"/>
  <c r="AP203" i="2"/>
  <c r="D203" i="1"/>
  <c r="AO203" i="2"/>
  <c r="AN203" i="2"/>
  <c r="AM203" i="2"/>
  <c r="AJ203" i="2"/>
  <c r="AI203" i="2"/>
  <c r="BM202" i="2"/>
  <c r="AA202" i="1"/>
  <c r="BL202" i="2"/>
  <c r="BK202" i="2"/>
  <c r="BJ202" i="2"/>
  <c r="X202" i="1"/>
  <c r="BI202" i="2"/>
  <c r="BH202" i="2"/>
  <c r="BG202" i="2"/>
  <c r="U202" i="1"/>
  <c r="BF202" i="2"/>
  <c r="BE202" i="2"/>
  <c r="S202" i="1"/>
  <c r="BD202" i="2"/>
  <c r="BC202" i="2"/>
  <c r="BB202" i="2"/>
  <c r="BA202" i="2"/>
  <c r="AZ202" i="2"/>
  <c r="AY202" i="2"/>
  <c r="AX202" i="2"/>
  <c r="AW202" i="2"/>
  <c r="AV202" i="2"/>
  <c r="AU202" i="2"/>
  <c r="AT202" i="2"/>
  <c r="H202" i="1"/>
  <c r="AS202" i="2"/>
  <c r="G202" i="1"/>
  <c r="AR202" i="2"/>
  <c r="AQ202" i="2"/>
  <c r="AP202" i="2"/>
  <c r="D202" i="1"/>
  <c r="AO202" i="2"/>
  <c r="AN202" i="2"/>
  <c r="AM202" i="2"/>
  <c r="AJ202" i="2"/>
  <c r="AI202" i="2"/>
  <c r="BM201" i="2"/>
  <c r="AA201" i="1"/>
  <c r="BL201" i="2"/>
  <c r="BK201" i="2"/>
  <c r="BJ201" i="2"/>
  <c r="X201" i="1"/>
  <c r="BI201" i="2"/>
  <c r="BH201" i="2"/>
  <c r="BG201" i="2"/>
  <c r="U201" i="1"/>
  <c r="BF201" i="2"/>
  <c r="BE201" i="2"/>
  <c r="S201" i="1"/>
  <c r="BD201" i="2"/>
  <c r="BC201" i="2"/>
  <c r="BB201" i="2"/>
  <c r="BA201" i="2"/>
  <c r="AZ201" i="2"/>
  <c r="AY201" i="2"/>
  <c r="AX201" i="2"/>
  <c r="AW201" i="2"/>
  <c r="AV201" i="2"/>
  <c r="AU201" i="2"/>
  <c r="AT201" i="2"/>
  <c r="H201" i="1"/>
  <c r="AS201" i="2"/>
  <c r="G201" i="1"/>
  <c r="AR201" i="2"/>
  <c r="AQ201" i="2"/>
  <c r="AP201" i="2"/>
  <c r="D201" i="1"/>
  <c r="AO201" i="2"/>
  <c r="AN201" i="2"/>
  <c r="AM201" i="2"/>
  <c r="AJ201" i="2"/>
  <c r="AI201" i="2"/>
  <c r="BM200" i="2"/>
  <c r="AA200" i="1"/>
  <c r="BL200" i="2"/>
  <c r="BK200" i="2"/>
  <c r="BJ200" i="2"/>
  <c r="X200" i="1"/>
  <c r="BI200" i="2"/>
  <c r="BH200" i="2"/>
  <c r="BG200" i="2"/>
  <c r="U200" i="1"/>
  <c r="BF200" i="2"/>
  <c r="BE200" i="2"/>
  <c r="S200" i="1"/>
  <c r="BD200" i="2"/>
  <c r="BC200" i="2"/>
  <c r="BB200" i="2"/>
  <c r="BA200" i="2"/>
  <c r="AZ200" i="2"/>
  <c r="AY200" i="2"/>
  <c r="AX200" i="2"/>
  <c r="AW200" i="2"/>
  <c r="AV200" i="2"/>
  <c r="AU200" i="2"/>
  <c r="AT200" i="2"/>
  <c r="H200" i="1"/>
  <c r="AS200" i="2"/>
  <c r="G200" i="1"/>
  <c r="AR200" i="2"/>
  <c r="AQ200" i="2"/>
  <c r="AP200" i="2"/>
  <c r="D200" i="1"/>
  <c r="AO200" i="2"/>
  <c r="AN200" i="2"/>
  <c r="AM200" i="2"/>
  <c r="AJ200" i="2"/>
  <c r="AI200" i="2"/>
  <c r="BM199" i="2"/>
  <c r="AA199" i="1"/>
  <c r="BL199" i="2"/>
  <c r="BK199" i="2"/>
  <c r="BJ199" i="2"/>
  <c r="X199" i="1"/>
  <c r="BI199" i="2"/>
  <c r="BH199" i="2"/>
  <c r="BG199" i="2"/>
  <c r="U199" i="1"/>
  <c r="BF199" i="2"/>
  <c r="BE199" i="2"/>
  <c r="S199" i="1"/>
  <c r="BD199" i="2"/>
  <c r="BC199" i="2"/>
  <c r="BB199" i="2"/>
  <c r="BA199" i="2"/>
  <c r="AZ199" i="2"/>
  <c r="AY199" i="2"/>
  <c r="AX199" i="2"/>
  <c r="AW199" i="2"/>
  <c r="AV199" i="2"/>
  <c r="AU199" i="2"/>
  <c r="AT199" i="2"/>
  <c r="H199" i="1"/>
  <c r="AS199" i="2"/>
  <c r="G199" i="1"/>
  <c r="AR199" i="2"/>
  <c r="AQ199" i="2"/>
  <c r="AP199" i="2"/>
  <c r="D199" i="1"/>
  <c r="AO199" i="2"/>
  <c r="AN199" i="2"/>
  <c r="AM199" i="2"/>
  <c r="AJ199" i="2"/>
  <c r="AI199" i="2"/>
  <c r="BM198" i="2"/>
  <c r="AA198" i="1"/>
  <c r="BL198" i="2"/>
  <c r="BK198" i="2"/>
  <c r="BJ198" i="2"/>
  <c r="X198" i="1"/>
  <c r="BI198" i="2"/>
  <c r="BH198" i="2"/>
  <c r="BG198" i="2"/>
  <c r="U198" i="1"/>
  <c r="BF198" i="2"/>
  <c r="BE198" i="2"/>
  <c r="S198" i="1"/>
  <c r="BD198" i="2"/>
  <c r="BC198" i="2"/>
  <c r="BB198" i="2"/>
  <c r="BA198" i="2"/>
  <c r="AZ198" i="2"/>
  <c r="AY198" i="2"/>
  <c r="AX198" i="2"/>
  <c r="AW198" i="2"/>
  <c r="AV198" i="2"/>
  <c r="AU198" i="2"/>
  <c r="AT198" i="2"/>
  <c r="H198" i="1"/>
  <c r="AS198" i="2"/>
  <c r="G198" i="1"/>
  <c r="AR198" i="2"/>
  <c r="AQ198" i="2"/>
  <c r="AP198" i="2"/>
  <c r="D198" i="1"/>
  <c r="AO198" i="2"/>
  <c r="AN198" i="2"/>
  <c r="AM198" i="2"/>
  <c r="AJ198" i="2"/>
  <c r="AI198" i="2"/>
  <c r="BM197" i="2"/>
  <c r="AA197" i="1"/>
  <c r="BL197" i="2"/>
  <c r="BK197" i="2"/>
  <c r="BJ197" i="2"/>
  <c r="X197" i="1"/>
  <c r="BI197" i="2"/>
  <c r="BH197" i="2"/>
  <c r="BG197" i="2"/>
  <c r="U197" i="1"/>
  <c r="BF197" i="2"/>
  <c r="BE197" i="2"/>
  <c r="S197" i="1"/>
  <c r="BD197" i="2"/>
  <c r="BC197" i="2"/>
  <c r="BB197" i="2"/>
  <c r="BA197" i="2"/>
  <c r="AZ197" i="2"/>
  <c r="AY197" i="2"/>
  <c r="AX197" i="2"/>
  <c r="AW197" i="2"/>
  <c r="AV197" i="2"/>
  <c r="AU197" i="2"/>
  <c r="AT197" i="2"/>
  <c r="H197" i="1"/>
  <c r="AS197" i="2"/>
  <c r="G197" i="1"/>
  <c r="AR197" i="2"/>
  <c r="AQ197" i="2"/>
  <c r="AP197" i="2"/>
  <c r="D197" i="1"/>
  <c r="AO197" i="2"/>
  <c r="AN197" i="2"/>
  <c r="AM197" i="2"/>
  <c r="AJ197" i="2"/>
  <c r="AI197" i="2"/>
  <c r="BM196" i="2"/>
  <c r="AA196" i="1"/>
  <c r="BL196" i="2"/>
  <c r="BK196" i="2"/>
  <c r="BJ196" i="2"/>
  <c r="X196" i="1"/>
  <c r="BI196" i="2"/>
  <c r="BH196" i="2"/>
  <c r="BG196" i="2"/>
  <c r="U196" i="1"/>
  <c r="BF196" i="2"/>
  <c r="BE196" i="2"/>
  <c r="S196" i="1"/>
  <c r="BD196" i="2"/>
  <c r="BC196" i="2"/>
  <c r="BB196" i="2"/>
  <c r="BA196" i="2"/>
  <c r="AZ196" i="2"/>
  <c r="AY196" i="2"/>
  <c r="AX196" i="2"/>
  <c r="AW196" i="2"/>
  <c r="AV196" i="2"/>
  <c r="AU196" i="2"/>
  <c r="AT196" i="2"/>
  <c r="H196" i="1"/>
  <c r="AS196" i="2"/>
  <c r="G196" i="1"/>
  <c r="AR196" i="2"/>
  <c r="AQ196" i="2"/>
  <c r="AP196" i="2"/>
  <c r="D196" i="1"/>
  <c r="AO196" i="2"/>
  <c r="AN196" i="2"/>
  <c r="AM196" i="2"/>
  <c r="AJ196" i="2"/>
  <c r="AI196" i="2"/>
  <c r="BM195" i="2"/>
  <c r="AA195" i="1"/>
  <c r="BL195" i="2"/>
  <c r="BK195" i="2"/>
  <c r="BJ195" i="2"/>
  <c r="X195" i="1"/>
  <c r="BI195" i="2"/>
  <c r="BH195" i="2"/>
  <c r="BG195" i="2"/>
  <c r="U195" i="1"/>
  <c r="BF195" i="2"/>
  <c r="BE195" i="2"/>
  <c r="S195" i="1"/>
  <c r="BD195" i="2"/>
  <c r="BC195" i="2"/>
  <c r="BB195" i="2"/>
  <c r="BA195" i="2"/>
  <c r="AZ195" i="2"/>
  <c r="AY195" i="2"/>
  <c r="AX195" i="2"/>
  <c r="AW195" i="2"/>
  <c r="AV195" i="2"/>
  <c r="AU195" i="2"/>
  <c r="AT195" i="2"/>
  <c r="H195" i="1"/>
  <c r="AS195" i="2"/>
  <c r="G195" i="1"/>
  <c r="AR195" i="2"/>
  <c r="AQ195" i="2"/>
  <c r="AP195" i="2"/>
  <c r="D195" i="1"/>
  <c r="AO195" i="2"/>
  <c r="AN195" i="2"/>
  <c r="AM195" i="2"/>
  <c r="AJ195" i="2"/>
  <c r="AI195" i="2"/>
  <c r="BM194" i="2"/>
  <c r="AA194" i="1"/>
  <c r="BL194" i="2"/>
  <c r="BK194" i="2"/>
  <c r="BJ194" i="2"/>
  <c r="X194" i="1"/>
  <c r="BI194" i="2"/>
  <c r="BH194" i="2"/>
  <c r="BG194" i="2"/>
  <c r="U194" i="1"/>
  <c r="BF194" i="2"/>
  <c r="BE194" i="2"/>
  <c r="S194" i="1"/>
  <c r="BD194" i="2"/>
  <c r="BC194" i="2"/>
  <c r="BB194" i="2"/>
  <c r="BA194" i="2"/>
  <c r="AZ194" i="2"/>
  <c r="AY194" i="2"/>
  <c r="AX194" i="2"/>
  <c r="AW194" i="2"/>
  <c r="AV194" i="2"/>
  <c r="AU194" i="2"/>
  <c r="AT194" i="2"/>
  <c r="H194" i="1"/>
  <c r="AS194" i="2"/>
  <c r="G194" i="1"/>
  <c r="AR194" i="2"/>
  <c r="AQ194" i="2"/>
  <c r="AP194" i="2"/>
  <c r="D194" i="1"/>
  <c r="AO194" i="2"/>
  <c r="AN194" i="2"/>
  <c r="AM194" i="2"/>
  <c r="AJ194" i="2"/>
  <c r="AI194" i="2"/>
  <c r="BM193" i="2"/>
  <c r="AA193" i="1"/>
  <c r="BL193" i="2"/>
  <c r="BK193" i="2"/>
  <c r="BJ193" i="2"/>
  <c r="X193" i="1"/>
  <c r="BI193" i="2"/>
  <c r="BH193" i="2"/>
  <c r="BG193" i="2"/>
  <c r="U193" i="1"/>
  <c r="BF193" i="2"/>
  <c r="BE193" i="2"/>
  <c r="S193" i="1"/>
  <c r="BD193" i="2"/>
  <c r="BC193" i="2"/>
  <c r="BB193" i="2"/>
  <c r="BA193" i="2"/>
  <c r="AZ193" i="2"/>
  <c r="AY193" i="2"/>
  <c r="AX193" i="2"/>
  <c r="AW193" i="2"/>
  <c r="AV193" i="2"/>
  <c r="AU193" i="2"/>
  <c r="AT193" i="2"/>
  <c r="H193" i="1"/>
  <c r="AS193" i="2"/>
  <c r="G193" i="1"/>
  <c r="AR193" i="2"/>
  <c r="AQ193" i="2"/>
  <c r="AP193" i="2"/>
  <c r="D193" i="1"/>
  <c r="AO193" i="2"/>
  <c r="AN193" i="2"/>
  <c r="AM193" i="2"/>
  <c r="AJ193" i="2"/>
  <c r="AI193" i="2"/>
  <c r="BM192" i="2"/>
  <c r="AA192" i="1"/>
  <c r="BL192" i="2"/>
  <c r="BK192" i="2"/>
  <c r="BJ192" i="2"/>
  <c r="X192" i="1"/>
  <c r="BI192" i="2"/>
  <c r="BH192" i="2"/>
  <c r="BG192" i="2"/>
  <c r="U192" i="1"/>
  <c r="BF192" i="2"/>
  <c r="BE192" i="2"/>
  <c r="S192" i="1"/>
  <c r="BD192" i="2"/>
  <c r="BC192" i="2"/>
  <c r="BB192" i="2"/>
  <c r="BA192" i="2"/>
  <c r="AZ192" i="2"/>
  <c r="AY192" i="2"/>
  <c r="AX192" i="2"/>
  <c r="AW192" i="2"/>
  <c r="AV192" i="2"/>
  <c r="AU192" i="2"/>
  <c r="AT192" i="2"/>
  <c r="H192" i="1"/>
  <c r="AS192" i="2"/>
  <c r="G192" i="1"/>
  <c r="AR192" i="2"/>
  <c r="AQ192" i="2"/>
  <c r="AP192" i="2"/>
  <c r="D192" i="1"/>
  <c r="AO192" i="2"/>
  <c r="AN192" i="2"/>
  <c r="AM192" i="2"/>
  <c r="AJ192" i="2"/>
  <c r="AI192" i="2"/>
  <c r="BM191" i="2"/>
  <c r="AA191" i="1"/>
  <c r="BL191" i="2"/>
  <c r="BK191" i="2"/>
  <c r="BJ191" i="2"/>
  <c r="X191" i="1"/>
  <c r="BI191" i="2"/>
  <c r="BH191" i="2"/>
  <c r="BG191" i="2"/>
  <c r="U191" i="1"/>
  <c r="BF191" i="2"/>
  <c r="BE191" i="2"/>
  <c r="S191" i="1"/>
  <c r="BD191" i="2"/>
  <c r="BC191" i="2"/>
  <c r="BB191" i="2"/>
  <c r="BA191" i="2"/>
  <c r="AZ191" i="2"/>
  <c r="AY191" i="2"/>
  <c r="AX191" i="2"/>
  <c r="AW191" i="2"/>
  <c r="AV191" i="2"/>
  <c r="AU191" i="2"/>
  <c r="AT191" i="2"/>
  <c r="H191" i="1"/>
  <c r="AS191" i="2"/>
  <c r="G191" i="1"/>
  <c r="AR191" i="2"/>
  <c r="AQ191" i="2"/>
  <c r="AP191" i="2"/>
  <c r="D191" i="1"/>
  <c r="AO191" i="2"/>
  <c r="AN191" i="2"/>
  <c r="AM191" i="2"/>
  <c r="AJ191" i="2"/>
  <c r="AI191" i="2"/>
  <c r="BM190" i="2"/>
  <c r="AA190" i="1"/>
  <c r="BL190" i="2"/>
  <c r="BK190" i="2"/>
  <c r="BJ190" i="2"/>
  <c r="X190" i="1"/>
  <c r="BI190" i="2"/>
  <c r="BH190" i="2"/>
  <c r="BG190" i="2"/>
  <c r="U190" i="1"/>
  <c r="BF190" i="2"/>
  <c r="BE190" i="2"/>
  <c r="S190" i="1"/>
  <c r="BD190" i="2"/>
  <c r="BC190" i="2"/>
  <c r="BB190" i="2"/>
  <c r="BA190" i="2"/>
  <c r="AZ190" i="2"/>
  <c r="AY190" i="2"/>
  <c r="AX190" i="2"/>
  <c r="AW190" i="2"/>
  <c r="AV190" i="2"/>
  <c r="AU190" i="2"/>
  <c r="AT190" i="2"/>
  <c r="H190" i="1"/>
  <c r="AS190" i="2"/>
  <c r="G190" i="1"/>
  <c r="AR190" i="2"/>
  <c r="AQ190" i="2"/>
  <c r="AP190" i="2"/>
  <c r="D190" i="1"/>
  <c r="AO190" i="2"/>
  <c r="AN190" i="2"/>
  <c r="AM190" i="2"/>
  <c r="AJ190" i="2"/>
  <c r="AI190" i="2"/>
  <c r="BM189" i="2"/>
  <c r="AA189" i="1"/>
  <c r="BL189" i="2"/>
  <c r="BK189" i="2"/>
  <c r="BJ189" i="2"/>
  <c r="X189" i="1"/>
  <c r="BI189" i="2"/>
  <c r="BH189" i="2"/>
  <c r="BG189" i="2"/>
  <c r="U189" i="1"/>
  <c r="BF189" i="2"/>
  <c r="BE189" i="2"/>
  <c r="S189" i="1"/>
  <c r="BD189" i="2"/>
  <c r="BC189" i="2"/>
  <c r="BB189" i="2"/>
  <c r="BA189" i="2"/>
  <c r="AZ189" i="2"/>
  <c r="AY189" i="2"/>
  <c r="AX189" i="2"/>
  <c r="AW189" i="2"/>
  <c r="AV189" i="2"/>
  <c r="AU189" i="2"/>
  <c r="AT189" i="2"/>
  <c r="H189" i="1"/>
  <c r="AS189" i="2"/>
  <c r="G189" i="1"/>
  <c r="AR189" i="2"/>
  <c r="AQ189" i="2"/>
  <c r="AP189" i="2"/>
  <c r="D189" i="1"/>
  <c r="AO189" i="2"/>
  <c r="AN189" i="2"/>
  <c r="AM189" i="2"/>
  <c r="AJ189" i="2"/>
  <c r="AI189" i="2"/>
  <c r="BM188" i="2"/>
  <c r="AA188" i="1"/>
  <c r="BL188" i="2"/>
  <c r="BK188" i="2"/>
  <c r="BJ188" i="2"/>
  <c r="X188" i="1"/>
  <c r="BI188" i="2"/>
  <c r="BH188" i="2"/>
  <c r="BG188" i="2"/>
  <c r="U188" i="1"/>
  <c r="BF188" i="2"/>
  <c r="BE188" i="2"/>
  <c r="S188" i="1"/>
  <c r="BD188" i="2"/>
  <c r="BC188" i="2"/>
  <c r="BB188" i="2"/>
  <c r="BA188" i="2"/>
  <c r="AZ188" i="2"/>
  <c r="AY188" i="2"/>
  <c r="AX188" i="2"/>
  <c r="AW188" i="2"/>
  <c r="AV188" i="2"/>
  <c r="AU188" i="2"/>
  <c r="AT188" i="2"/>
  <c r="H188" i="1"/>
  <c r="AS188" i="2"/>
  <c r="G188" i="1"/>
  <c r="AR188" i="2"/>
  <c r="AQ188" i="2"/>
  <c r="AP188" i="2"/>
  <c r="D188" i="1"/>
  <c r="AO188" i="2"/>
  <c r="AN188" i="2"/>
  <c r="AM188" i="2"/>
  <c r="AJ188" i="2"/>
  <c r="AI188" i="2"/>
  <c r="BM187" i="2"/>
  <c r="AA187" i="1"/>
  <c r="BL187" i="2"/>
  <c r="BK187" i="2"/>
  <c r="BJ187" i="2"/>
  <c r="X187" i="1"/>
  <c r="BI187" i="2"/>
  <c r="BH187" i="2"/>
  <c r="BG187" i="2"/>
  <c r="U187" i="1"/>
  <c r="BF187" i="2"/>
  <c r="BE187" i="2"/>
  <c r="S187" i="1"/>
  <c r="BD187" i="2"/>
  <c r="BC187" i="2"/>
  <c r="BB187" i="2"/>
  <c r="BA187" i="2"/>
  <c r="AZ187" i="2"/>
  <c r="AY187" i="2"/>
  <c r="AX187" i="2"/>
  <c r="AW187" i="2"/>
  <c r="AV187" i="2"/>
  <c r="AU187" i="2"/>
  <c r="AT187" i="2"/>
  <c r="H187" i="1"/>
  <c r="AS187" i="2"/>
  <c r="G187" i="1"/>
  <c r="AR187" i="2"/>
  <c r="AQ187" i="2"/>
  <c r="AP187" i="2"/>
  <c r="D187" i="1"/>
  <c r="AO187" i="2"/>
  <c r="AN187" i="2"/>
  <c r="AM187" i="2"/>
  <c r="AJ187" i="2"/>
  <c r="AI187" i="2"/>
  <c r="BM186" i="2"/>
  <c r="AA186" i="1"/>
  <c r="BL186" i="2"/>
  <c r="BK186" i="2"/>
  <c r="BJ186" i="2"/>
  <c r="X186" i="1"/>
  <c r="BI186" i="2"/>
  <c r="BH186" i="2"/>
  <c r="BG186" i="2"/>
  <c r="U186" i="1"/>
  <c r="BF186" i="2"/>
  <c r="BE186" i="2"/>
  <c r="S186" i="1"/>
  <c r="BD186" i="2"/>
  <c r="BC186" i="2"/>
  <c r="BB186" i="2"/>
  <c r="BA186" i="2"/>
  <c r="AZ186" i="2"/>
  <c r="AY186" i="2"/>
  <c r="AX186" i="2"/>
  <c r="AW186" i="2"/>
  <c r="AV186" i="2"/>
  <c r="AU186" i="2"/>
  <c r="AT186" i="2"/>
  <c r="H186" i="1"/>
  <c r="AS186" i="2"/>
  <c r="G186" i="1"/>
  <c r="AR186" i="2"/>
  <c r="AQ186" i="2"/>
  <c r="AP186" i="2"/>
  <c r="D186" i="1"/>
  <c r="AO186" i="2"/>
  <c r="AN186" i="2"/>
  <c r="AM186" i="2"/>
  <c r="AJ186" i="2"/>
  <c r="AI186" i="2"/>
  <c r="BM185" i="2"/>
  <c r="AA185" i="1"/>
  <c r="BL185" i="2"/>
  <c r="BK185" i="2"/>
  <c r="BJ185" i="2"/>
  <c r="X185" i="1"/>
  <c r="BI185" i="2"/>
  <c r="BH185" i="2"/>
  <c r="BG185" i="2"/>
  <c r="U185" i="1"/>
  <c r="BF185" i="2"/>
  <c r="BE185" i="2"/>
  <c r="S185" i="1"/>
  <c r="BD185" i="2"/>
  <c r="BC185" i="2"/>
  <c r="BB185" i="2"/>
  <c r="BA185" i="2"/>
  <c r="AZ185" i="2"/>
  <c r="AY185" i="2"/>
  <c r="AX185" i="2"/>
  <c r="AW185" i="2"/>
  <c r="AV185" i="2"/>
  <c r="AU185" i="2"/>
  <c r="AT185" i="2"/>
  <c r="H185" i="1"/>
  <c r="AS185" i="2"/>
  <c r="G185" i="1"/>
  <c r="AR185" i="2"/>
  <c r="AQ185" i="2"/>
  <c r="AP185" i="2"/>
  <c r="D185" i="1"/>
  <c r="AO185" i="2"/>
  <c r="AN185" i="2"/>
  <c r="AM185" i="2"/>
  <c r="AJ185" i="2"/>
  <c r="AI185" i="2"/>
  <c r="BM184" i="2"/>
  <c r="AA184" i="1"/>
  <c r="BL184" i="2"/>
  <c r="BK184" i="2"/>
  <c r="BJ184" i="2"/>
  <c r="X184" i="1"/>
  <c r="BI184" i="2"/>
  <c r="BH184" i="2"/>
  <c r="BG184" i="2"/>
  <c r="U184" i="1"/>
  <c r="BF184" i="2"/>
  <c r="BE184" i="2"/>
  <c r="S184" i="1"/>
  <c r="BD184" i="2"/>
  <c r="BC184" i="2"/>
  <c r="BB184" i="2"/>
  <c r="BA184" i="2"/>
  <c r="AZ184" i="2"/>
  <c r="AY184" i="2"/>
  <c r="AX184" i="2"/>
  <c r="AW184" i="2"/>
  <c r="AV184" i="2"/>
  <c r="AU184" i="2"/>
  <c r="AT184" i="2"/>
  <c r="H184" i="1"/>
  <c r="AS184" i="2"/>
  <c r="G184" i="1"/>
  <c r="AR184" i="2"/>
  <c r="AQ184" i="2"/>
  <c r="AP184" i="2"/>
  <c r="D184" i="1"/>
  <c r="AO184" i="2"/>
  <c r="AN184" i="2"/>
  <c r="AM184" i="2"/>
  <c r="AJ184" i="2"/>
  <c r="AI184" i="2"/>
  <c r="BM183" i="2"/>
  <c r="AA183" i="1"/>
  <c r="BL183" i="2"/>
  <c r="BK183" i="2"/>
  <c r="BJ183" i="2"/>
  <c r="X183" i="1"/>
  <c r="BI183" i="2"/>
  <c r="BH183" i="2"/>
  <c r="BG183" i="2"/>
  <c r="U183" i="1"/>
  <c r="BF183" i="2"/>
  <c r="BE183" i="2"/>
  <c r="S183" i="1"/>
  <c r="BD183" i="2"/>
  <c r="BC183" i="2"/>
  <c r="BB183" i="2"/>
  <c r="BA183" i="2"/>
  <c r="AZ183" i="2"/>
  <c r="AY183" i="2"/>
  <c r="AX183" i="2"/>
  <c r="AW183" i="2"/>
  <c r="AV183" i="2"/>
  <c r="AU183" i="2"/>
  <c r="AT183" i="2"/>
  <c r="H183" i="1"/>
  <c r="AS183" i="2"/>
  <c r="G183" i="1"/>
  <c r="AR183" i="2"/>
  <c r="AQ183" i="2"/>
  <c r="AP183" i="2"/>
  <c r="D183" i="1"/>
  <c r="AO183" i="2"/>
  <c r="AN183" i="2"/>
  <c r="AM183" i="2"/>
  <c r="AJ183" i="2"/>
  <c r="AI183" i="2"/>
  <c r="BM182" i="2"/>
  <c r="AA182" i="1"/>
  <c r="BL182" i="2"/>
  <c r="BK182" i="2"/>
  <c r="BJ182" i="2"/>
  <c r="X182" i="1"/>
  <c r="BI182" i="2"/>
  <c r="BH182" i="2"/>
  <c r="BG182" i="2"/>
  <c r="U182" i="1"/>
  <c r="BF182" i="2"/>
  <c r="BE182" i="2"/>
  <c r="S182" i="1"/>
  <c r="BD182" i="2"/>
  <c r="BC182" i="2"/>
  <c r="BB182" i="2"/>
  <c r="BA182" i="2"/>
  <c r="AZ182" i="2"/>
  <c r="AY182" i="2"/>
  <c r="AX182" i="2"/>
  <c r="AW182" i="2"/>
  <c r="AV182" i="2"/>
  <c r="AU182" i="2"/>
  <c r="AT182" i="2"/>
  <c r="H182" i="1"/>
  <c r="AS182" i="2"/>
  <c r="G182" i="1"/>
  <c r="AR182" i="2"/>
  <c r="AQ182" i="2"/>
  <c r="AP182" i="2"/>
  <c r="D182" i="1"/>
  <c r="AO182" i="2"/>
  <c r="AN182" i="2"/>
  <c r="AM182" i="2"/>
  <c r="AJ182" i="2"/>
  <c r="AI182" i="2"/>
  <c r="BM181" i="2"/>
  <c r="AA181" i="1"/>
  <c r="BL181" i="2"/>
  <c r="BK181" i="2"/>
  <c r="BJ181" i="2"/>
  <c r="X181" i="1"/>
  <c r="BI181" i="2"/>
  <c r="BH181" i="2"/>
  <c r="BG181" i="2"/>
  <c r="U181" i="1"/>
  <c r="BF181" i="2"/>
  <c r="BE181" i="2"/>
  <c r="S181" i="1"/>
  <c r="BD181" i="2"/>
  <c r="BC181" i="2"/>
  <c r="BB181" i="2"/>
  <c r="BA181" i="2"/>
  <c r="AZ181" i="2"/>
  <c r="AY181" i="2"/>
  <c r="AX181" i="2"/>
  <c r="AW181" i="2"/>
  <c r="AV181" i="2"/>
  <c r="AU181" i="2"/>
  <c r="AT181" i="2"/>
  <c r="H181" i="1"/>
  <c r="AS181" i="2"/>
  <c r="G181" i="1"/>
  <c r="AR181" i="2"/>
  <c r="AQ181" i="2"/>
  <c r="AP181" i="2"/>
  <c r="D181" i="1"/>
  <c r="AO181" i="2"/>
  <c r="AN181" i="2"/>
  <c r="AM181" i="2"/>
  <c r="AJ181" i="2"/>
  <c r="AI181" i="2"/>
  <c r="BM180" i="2"/>
  <c r="AA180" i="1"/>
  <c r="BL180" i="2"/>
  <c r="BK180" i="2"/>
  <c r="BJ180" i="2"/>
  <c r="X180" i="1"/>
  <c r="BI180" i="2"/>
  <c r="BH180" i="2"/>
  <c r="BG180" i="2"/>
  <c r="U180" i="1"/>
  <c r="BF180" i="2"/>
  <c r="BE180" i="2"/>
  <c r="S180" i="1"/>
  <c r="BD180" i="2"/>
  <c r="BC180" i="2"/>
  <c r="BB180" i="2"/>
  <c r="BA180" i="2"/>
  <c r="AZ180" i="2"/>
  <c r="AY180" i="2"/>
  <c r="AX180" i="2"/>
  <c r="AW180" i="2"/>
  <c r="AV180" i="2"/>
  <c r="AU180" i="2"/>
  <c r="AT180" i="2"/>
  <c r="H180" i="1"/>
  <c r="AS180" i="2"/>
  <c r="G180" i="1"/>
  <c r="AR180" i="2"/>
  <c r="AQ180" i="2"/>
  <c r="AP180" i="2"/>
  <c r="D180" i="1"/>
  <c r="AO180" i="2"/>
  <c r="AN180" i="2"/>
  <c r="AM180" i="2"/>
  <c r="AJ180" i="2"/>
  <c r="AI180" i="2"/>
  <c r="BM179" i="2"/>
  <c r="AA179" i="1"/>
  <c r="BL179" i="2"/>
  <c r="BK179" i="2"/>
  <c r="BJ179" i="2"/>
  <c r="X179" i="1"/>
  <c r="BI179" i="2"/>
  <c r="BH179" i="2"/>
  <c r="BG179" i="2"/>
  <c r="U179" i="1"/>
  <c r="BF179" i="2"/>
  <c r="BE179" i="2"/>
  <c r="S179" i="1"/>
  <c r="BD179" i="2"/>
  <c r="BC179" i="2"/>
  <c r="BB179" i="2"/>
  <c r="BA179" i="2"/>
  <c r="AZ179" i="2"/>
  <c r="AY179" i="2"/>
  <c r="AX179" i="2"/>
  <c r="AW179" i="2"/>
  <c r="AV179" i="2"/>
  <c r="AU179" i="2"/>
  <c r="AT179" i="2"/>
  <c r="H179" i="1"/>
  <c r="AS179" i="2"/>
  <c r="G179" i="1"/>
  <c r="AR179" i="2"/>
  <c r="AQ179" i="2"/>
  <c r="AP179" i="2"/>
  <c r="D179" i="1"/>
  <c r="AO179" i="2"/>
  <c r="AN179" i="2"/>
  <c r="AM179" i="2"/>
  <c r="AJ179" i="2"/>
  <c r="AI179" i="2"/>
  <c r="BM178" i="2"/>
  <c r="AA178" i="1"/>
  <c r="BL178" i="2"/>
  <c r="BK178" i="2"/>
  <c r="BJ178" i="2"/>
  <c r="X178" i="1"/>
  <c r="BI178" i="2"/>
  <c r="BH178" i="2"/>
  <c r="BG178" i="2"/>
  <c r="U178" i="1"/>
  <c r="BF178" i="2"/>
  <c r="BE178" i="2"/>
  <c r="S178" i="1"/>
  <c r="BD178" i="2"/>
  <c r="BC178" i="2"/>
  <c r="BB178" i="2"/>
  <c r="BA178" i="2"/>
  <c r="AZ178" i="2"/>
  <c r="AY178" i="2"/>
  <c r="AX178" i="2"/>
  <c r="AW178" i="2"/>
  <c r="AV178" i="2"/>
  <c r="AU178" i="2"/>
  <c r="AT178" i="2"/>
  <c r="H178" i="1"/>
  <c r="AS178" i="2"/>
  <c r="G178" i="1"/>
  <c r="AR178" i="2"/>
  <c r="AQ178" i="2"/>
  <c r="AP178" i="2"/>
  <c r="D178" i="1"/>
  <c r="AO178" i="2"/>
  <c r="AN178" i="2"/>
  <c r="AM178" i="2"/>
  <c r="AJ178" i="2"/>
  <c r="AI178" i="2"/>
  <c r="BM177" i="2"/>
  <c r="AA177" i="1"/>
  <c r="BL177" i="2"/>
  <c r="BK177" i="2"/>
  <c r="BJ177" i="2"/>
  <c r="X177" i="1"/>
  <c r="BI177" i="2"/>
  <c r="BH177" i="2"/>
  <c r="BG177" i="2"/>
  <c r="U177" i="1"/>
  <c r="BF177" i="2"/>
  <c r="BE177" i="2"/>
  <c r="S177" i="1"/>
  <c r="BD177" i="2"/>
  <c r="BC177" i="2"/>
  <c r="BB177" i="2"/>
  <c r="BA177" i="2"/>
  <c r="AZ177" i="2"/>
  <c r="AY177" i="2"/>
  <c r="AX177" i="2"/>
  <c r="AW177" i="2"/>
  <c r="AV177" i="2"/>
  <c r="AU177" i="2"/>
  <c r="AT177" i="2"/>
  <c r="H177" i="1"/>
  <c r="AS177" i="2"/>
  <c r="G177" i="1"/>
  <c r="AR177" i="2"/>
  <c r="AQ177" i="2"/>
  <c r="AP177" i="2"/>
  <c r="D177" i="1"/>
  <c r="AO177" i="2"/>
  <c r="AN177" i="2"/>
  <c r="AM177" i="2"/>
  <c r="AJ177" i="2"/>
  <c r="AI177" i="2"/>
  <c r="BM176" i="2"/>
  <c r="AA176" i="1"/>
  <c r="BL176" i="2"/>
  <c r="BK176" i="2"/>
  <c r="BJ176" i="2"/>
  <c r="X176" i="1"/>
  <c r="BI176" i="2"/>
  <c r="BH176" i="2"/>
  <c r="BG176" i="2"/>
  <c r="U176" i="1"/>
  <c r="BF176" i="2"/>
  <c r="BE176" i="2"/>
  <c r="S176" i="1"/>
  <c r="BD176" i="2"/>
  <c r="BC176" i="2"/>
  <c r="BB176" i="2"/>
  <c r="BA176" i="2"/>
  <c r="AZ176" i="2"/>
  <c r="AY176" i="2"/>
  <c r="AX176" i="2"/>
  <c r="AW176" i="2"/>
  <c r="AV176" i="2"/>
  <c r="AU176" i="2"/>
  <c r="AT176" i="2"/>
  <c r="H176" i="1"/>
  <c r="AS176" i="2"/>
  <c r="G176" i="1"/>
  <c r="AR176" i="2"/>
  <c r="AQ176" i="2"/>
  <c r="AP176" i="2"/>
  <c r="D176" i="1"/>
  <c r="AO176" i="2"/>
  <c r="AN176" i="2"/>
  <c r="AM176" i="2"/>
  <c r="AJ176" i="2"/>
  <c r="AI176" i="2"/>
  <c r="BM175" i="2"/>
  <c r="AA175" i="1"/>
  <c r="BL175" i="2"/>
  <c r="BK175" i="2"/>
  <c r="BJ175" i="2"/>
  <c r="X175" i="1"/>
  <c r="BI175" i="2"/>
  <c r="BH175" i="2"/>
  <c r="BG175" i="2"/>
  <c r="U175" i="1"/>
  <c r="BF175" i="2"/>
  <c r="BE175" i="2"/>
  <c r="S175" i="1"/>
  <c r="BD175" i="2"/>
  <c r="BC175" i="2"/>
  <c r="BB175" i="2"/>
  <c r="BA175" i="2"/>
  <c r="AZ175" i="2"/>
  <c r="AY175" i="2"/>
  <c r="AX175" i="2"/>
  <c r="AW175" i="2"/>
  <c r="AV175" i="2"/>
  <c r="AU175" i="2"/>
  <c r="AT175" i="2"/>
  <c r="H175" i="1"/>
  <c r="AS175" i="2"/>
  <c r="G175" i="1"/>
  <c r="AR175" i="2"/>
  <c r="AQ175" i="2"/>
  <c r="AP175" i="2"/>
  <c r="D175" i="1"/>
  <c r="AO175" i="2"/>
  <c r="AN175" i="2"/>
  <c r="AM175" i="2"/>
  <c r="AJ175" i="2"/>
  <c r="AI175" i="2"/>
  <c r="BM174" i="2"/>
  <c r="AA174" i="1"/>
  <c r="BL174" i="2"/>
  <c r="BK174" i="2"/>
  <c r="BJ174" i="2"/>
  <c r="X174" i="1"/>
  <c r="BI174" i="2"/>
  <c r="BH174" i="2"/>
  <c r="BG174" i="2"/>
  <c r="U174" i="1"/>
  <c r="BF174" i="2"/>
  <c r="BE174" i="2"/>
  <c r="S174" i="1"/>
  <c r="BD174" i="2"/>
  <c r="BC174" i="2"/>
  <c r="BB174" i="2"/>
  <c r="BA174" i="2"/>
  <c r="AZ174" i="2"/>
  <c r="AY174" i="2"/>
  <c r="AX174" i="2"/>
  <c r="AW174" i="2"/>
  <c r="AV174" i="2"/>
  <c r="AU174" i="2"/>
  <c r="AT174" i="2"/>
  <c r="H174" i="1"/>
  <c r="AS174" i="2"/>
  <c r="G174" i="1"/>
  <c r="AR174" i="2"/>
  <c r="AQ174" i="2"/>
  <c r="AP174" i="2"/>
  <c r="D174" i="1"/>
  <c r="AO174" i="2"/>
  <c r="AN174" i="2"/>
  <c r="AM174" i="2"/>
  <c r="AJ174" i="2"/>
  <c r="AI174" i="2"/>
  <c r="BM173" i="2"/>
  <c r="AA173" i="1"/>
  <c r="BL173" i="2"/>
  <c r="BK173" i="2"/>
  <c r="BJ173" i="2"/>
  <c r="X173" i="1"/>
  <c r="BI173" i="2"/>
  <c r="BH173" i="2"/>
  <c r="BG173" i="2"/>
  <c r="U173" i="1"/>
  <c r="BF173" i="2"/>
  <c r="BE173" i="2"/>
  <c r="S173" i="1"/>
  <c r="BD173" i="2"/>
  <c r="BC173" i="2"/>
  <c r="BB173" i="2"/>
  <c r="BA173" i="2"/>
  <c r="AZ173" i="2"/>
  <c r="AY173" i="2"/>
  <c r="AX173" i="2"/>
  <c r="AW173" i="2"/>
  <c r="AV173" i="2"/>
  <c r="AU173" i="2"/>
  <c r="AT173" i="2"/>
  <c r="H173" i="1"/>
  <c r="AS173" i="2"/>
  <c r="G173" i="1"/>
  <c r="AR173" i="2"/>
  <c r="AQ173" i="2"/>
  <c r="AP173" i="2"/>
  <c r="D173" i="1"/>
  <c r="AO173" i="2"/>
  <c r="AN173" i="2"/>
  <c r="AM173" i="2"/>
  <c r="AJ173" i="2"/>
  <c r="AI173" i="2"/>
  <c r="BM172" i="2"/>
  <c r="AA172" i="1"/>
  <c r="BL172" i="2"/>
  <c r="BK172" i="2"/>
  <c r="BJ172" i="2"/>
  <c r="X172" i="1"/>
  <c r="BI172" i="2"/>
  <c r="BH172" i="2"/>
  <c r="BG172" i="2"/>
  <c r="U172" i="1"/>
  <c r="BF172" i="2"/>
  <c r="BE172" i="2"/>
  <c r="S172" i="1"/>
  <c r="BD172" i="2"/>
  <c r="BC172" i="2"/>
  <c r="BB172" i="2"/>
  <c r="BA172" i="2"/>
  <c r="AZ172" i="2"/>
  <c r="AY172" i="2"/>
  <c r="AX172" i="2"/>
  <c r="AW172" i="2"/>
  <c r="AV172" i="2"/>
  <c r="AU172" i="2"/>
  <c r="AT172" i="2"/>
  <c r="H172" i="1"/>
  <c r="AS172" i="2"/>
  <c r="G172" i="1"/>
  <c r="AR172" i="2"/>
  <c r="AQ172" i="2"/>
  <c r="AP172" i="2"/>
  <c r="D172" i="1"/>
  <c r="AO172" i="2"/>
  <c r="AN172" i="2"/>
  <c r="AM172" i="2"/>
  <c r="AJ172" i="2"/>
  <c r="AI172" i="2"/>
  <c r="BM171" i="2"/>
  <c r="AA171" i="1"/>
  <c r="BL171" i="2"/>
  <c r="BK171" i="2"/>
  <c r="BJ171" i="2"/>
  <c r="X171" i="1"/>
  <c r="BI171" i="2"/>
  <c r="BH171" i="2"/>
  <c r="BG171" i="2"/>
  <c r="U171" i="1"/>
  <c r="BF171" i="2"/>
  <c r="BE171" i="2"/>
  <c r="S171" i="1"/>
  <c r="BD171" i="2"/>
  <c r="BC171" i="2"/>
  <c r="BB171" i="2"/>
  <c r="BA171" i="2"/>
  <c r="AZ171" i="2"/>
  <c r="AY171" i="2"/>
  <c r="AX171" i="2"/>
  <c r="AW171" i="2"/>
  <c r="AV171" i="2"/>
  <c r="AU171" i="2"/>
  <c r="AT171" i="2"/>
  <c r="H171" i="1"/>
  <c r="AS171" i="2"/>
  <c r="G171" i="1"/>
  <c r="AR171" i="2"/>
  <c r="AQ171" i="2"/>
  <c r="AP171" i="2"/>
  <c r="D171" i="1"/>
  <c r="AO171" i="2"/>
  <c r="AN171" i="2"/>
  <c r="AM171" i="2"/>
  <c r="AJ171" i="2"/>
  <c r="AI171" i="2"/>
  <c r="BM170" i="2"/>
  <c r="AA170" i="1"/>
  <c r="BL170" i="2"/>
  <c r="BK170" i="2"/>
  <c r="BJ170" i="2"/>
  <c r="X170" i="1"/>
  <c r="BI170" i="2"/>
  <c r="BH170" i="2"/>
  <c r="BG170" i="2"/>
  <c r="U170" i="1"/>
  <c r="BF170" i="2"/>
  <c r="BE170" i="2"/>
  <c r="S170" i="1"/>
  <c r="BD170" i="2"/>
  <c r="BC170" i="2"/>
  <c r="BB170" i="2"/>
  <c r="BA170" i="2"/>
  <c r="AZ170" i="2"/>
  <c r="AY170" i="2"/>
  <c r="AX170" i="2"/>
  <c r="AW170" i="2"/>
  <c r="AV170" i="2"/>
  <c r="AU170" i="2"/>
  <c r="AT170" i="2"/>
  <c r="H170" i="1"/>
  <c r="AS170" i="2"/>
  <c r="G170" i="1"/>
  <c r="AR170" i="2"/>
  <c r="AQ170" i="2"/>
  <c r="AP170" i="2"/>
  <c r="D170" i="1"/>
  <c r="AO170" i="2"/>
  <c r="AN170" i="2"/>
  <c r="AM170" i="2"/>
  <c r="AJ170" i="2"/>
  <c r="AI170" i="2"/>
  <c r="BM169" i="2"/>
  <c r="AA169" i="1"/>
  <c r="BL169" i="2"/>
  <c r="BK169" i="2"/>
  <c r="BJ169" i="2"/>
  <c r="X169" i="1"/>
  <c r="BI169" i="2"/>
  <c r="BH169" i="2"/>
  <c r="BG169" i="2"/>
  <c r="U169" i="1"/>
  <c r="BF169" i="2"/>
  <c r="BE169" i="2"/>
  <c r="S169" i="1"/>
  <c r="BD169" i="2"/>
  <c r="BC169" i="2"/>
  <c r="BB169" i="2"/>
  <c r="BA169" i="2"/>
  <c r="AZ169" i="2"/>
  <c r="AY169" i="2"/>
  <c r="AX169" i="2"/>
  <c r="AW169" i="2"/>
  <c r="AV169" i="2"/>
  <c r="AU169" i="2"/>
  <c r="AT169" i="2"/>
  <c r="H169" i="1"/>
  <c r="AS169" i="2"/>
  <c r="G169" i="1"/>
  <c r="AR169" i="2"/>
  <c r="AQ169" i="2"/>
  <c r="AP169" i="2"/>
  <c r="D169" i="1"/>
  <c r="AO169" i="2"/>
  <c r="AN169" i="2"/>
  <c r="AM169" i="2"/>
  <c r="AJ169" i="2"/>
  <c r="AI169" i="2"/>
  <c r="BM168" i="2"/>
  <c r="AA168" i="1"/>
  <c r="BL168" i="2"/>
  <c r="BK168" i="2"/>
  <c r="BJ168" i="2"/>
  <c r="X168" i="1"/>
  <c r="BI168" i="2"/>
  <c r="BH168" i="2"/>
  <c r="BG168" i="2"/>
  <c r="U168" i="1"/>
  <c r="BF168" i="2"/>
  <c r="BE168" i="2"/>
  <c r="S168" i="1"/>
  <c r="BD168" i="2"/>
  <c r="BC168" i="2"/>
  <c r="BB168" i="2"/>
  <c r="BA168" i="2"/>
  <c r="AZ168" i="2"/>
  <c r="AY168" i="2"/>
  <c r="AX168" i="2"/>
  <c r="AW168" i="2"/>
  <c r="AV168" i="2"/>
  <c r="AU168" i="2"/>
  <c r="AT168" i="2"/>
  <c r="H168" i="1"/>
  <c r="AS168" i="2"/>
  <c r="G168" i="1"/>
  <c r="AR168" i="2"/>
  <c r="AQ168" i="2"/>
  <c r="AP168" i="2"/>
  <c r="D168" i="1"/>
  <c r="AO168" i="2"/>
  <c r="AN168" i="2"/>
  <c r="AM168" i="2"/>
  <c r="AJ168" i="2"/>
  <c r="AI168" i="2"/>
  <c r="BM167" i="2"/>
  <c r="AA167" i="1"/>
  <c r="BL167" i="2"/>
  <c r="BK167" i="2"/>
  <c r="BJ167" i="2"/>
  <c r="X167" i="1"/>
  <c r="BI167" i="2"/>
  <c r="BH167" i="2"/>
  <c r="BG167" i="2"/>
  <c r="U167" i="1"/>
  <c r="BF167" i="2"/>
  <c r="BE167" i="2"/>
  <c r="S167" i="1"/>
  <c r="BD167" i="2"/>
  <c r="BC167" i="2"/>
  <c r="BB167" i="2"/>
  <c r="BA167" i="2"/>
  <c r="AZ167" i="2"/>
  <c r="AY167" i="2"/>
  <c r="AX167" i="2"/>
  <c r="AW167" i="2"/>
  <c r="AV167" i="2"/>
  <c r="AU167" i="2"/>
  <c r="AT167" i="2"/>
  <c r="H167" i="1"/>
  <c r="AS167" i="2"/>
  <c r="G167" i="1"/>
  <c r="AR167" i="2"/>
  <c r="AQ167" i="2"/>
  <c r="AP167" i="2"/>
  <c r="D167" i="1"/>
  <c r="AO167" i="2"/>
  <c r="AN167" i="2"/>
  <c r="AM167" i="2"/>
  <c r="AJ167" i="2"/>
  <c r="AI167" i="2"/>
  <c r="BM166" i="2"/>
  <c r="AA166" i="1"/>
  <c r="BL166" i="2"/>
  <c r="BK166" i="2"/>
  <c r="BJ166" i="2"/>
  <c r="X166" i="1"/>
  <c r="BI166" i="2"/>
  <c r="BH166" i="2"/>
  <c r="BG166" i="2"/>
  <c r="U166" i="1"/>
  <c r="BF166" i="2"/>
  <c r="BE166" i="2"/>
  <c r="S166" i="1"/>
  <c r="BD166" i="2"/>
  <c r="BC166" i="2"/>
  <c r="BB166" i="2"/>
  <c r="BA166" i="2"/>
  <c r="AZ166" i="2"/>
  <c r="AY166" i="2"/>
  <c r="AX166" i="2"/>
  <c r="AW166" i="2"/>
  <c r="AV166" i="2"/>
  <c r="AU166" i="2"/>
  <c r="AT166" i="2"/>
  <c r="H166" i="1"/>
  <c r="AS166" i="2"/>
  <c r="G166" i="1"/>
  <c r="AR166" i="2"/>
  <c r="AQ166" i="2"/>
  <c r="AP166" i="2"/>
  <c r="D166" i="1"/>
  <c r="AO166" i="2"/>
  <c r="AN166" i="2"/>
  <c r="AM166" i="2"/>
  <c r="AJ166" i="2"/>
  <c r="AI166" i="2"/>
  <c r="BM165" i="2"/>
  <c r="AA165" i="1"/>
  <c r="BL165" i="2"/>
  <c r="BK165" i="2"/>
  <c r="BJ165" i="2"/>
  <c r="X165" i="1"/>
  <c r="BI165" i="2"/>
  <c r="BH165" i="2"/>
  <c r="BG165" i="2"/>
  <c r="U165" i="1"/>
  <c r="BF165" i="2"/>
  <c r="BE165" i="2"/>
  <c r="S165" i="1"/>
  <c r="BD165" i="2"/>
  <c r="BC165" i="2"/>
  <c r="BB165" i="2"/>
  <c r="BA165" i="2"/>
  <c r="AZ165" i="2"/>
  <c r="AY165" i="2"/>
  <c r="AX165" i="2"/>
  <c r="AW165" i="2"/>
  <c r="AV165" i="2"/>
  <c r="AU165" i="2"/>
  <c r="AT165" i="2"/>
  <c r="H165" i="1"/>
  <c r="AS165" i="2"/>
  <c r="G165" i="1"/>
  <c r="AR165" i="2"/>
  <c r="AQ165" i="2"/>
  <c r="AP165" i="2"/>
  <c r="D165" i="1"/>
  <c r="AO165" i="2"/>
  <c r="AN165" i="2"/>
  <c r="AM165" i="2"/>
  <c r="AJ165" i="2"/>
  <c r="AI165" i="2"/>
  <c r="BM164" i="2"/>
  <c r="AA164" i="1"/>
  <c r="BL164" i="2"/>
  <c r="BK164" i="2"/>
  <c r="BJ164" i="2"/>
  <c r="X164" i="1"/>
  <c r="BI164" i="2"/>
  <c r="BH164" i="2"/>
  <c r="BG164" i="2"/>
  <c r="U164" i="1"/>
  <c r="BF164" i="2"/>
  <c r="BE164" i="2"/>
  <c r="S164" i="1"/>
  <c r="BD164" i="2"/>
  <c r="BC164" i="2"/>
  <c r="BB164" i="2"/>
  <c r="BA164" i="2"/>
  <c r="AZ164" i="2"/>
  <c r="AY164" i="2"/>
  <c r="AX164" i="2"/>
  <c r="AW164" i="2"/>
  <c r="AV164" i="2"/>
  <c r="AU164" i="2"/>
  <c r="AT164" i="2"/>
  <c r="H164" i="1"/>
  <c r="AS164" i="2"/>
  <c r="G164" i="1"/>
  <c r="AR164" i="2"/>
  <c r="AQ164" i="2"/>
  <c r="AP164" i="2"/>
  <c r="D164" i="1"/>
  <c r="AO164" i="2"/>
  <c r="AN164" i="2"/>
  <c r="AM164" i="2"/>
  <c r="AJ164" i="2"/>
  <c r="AI164" i="2"/>
  <c r="BM163" i="2"/>
  <c r="AA163" i="1"/>
  <c r="BL163" i="2"/>
  <c r="BK163" i="2"/>
  <c r="BJ163" i="2"/>
  <c r="X163" i="1"/>
  <c r="BI163" i="2"/>
  <c r="BH163" i="2"/>
  <c r="BG163" i="2"/>
  <c r="U163" i="1"/>
  <c r="BF163" i="2"/>
  <c r="BE163" i="2"/>
  <c r="S163" i="1"/>
  <c r="BD163" i="2"/>
  <c r="BC163" i="2"/>
  <c r="BB163" i="2"/>
  <c r="BA163" i="2"/>
  <c r="AZ163" i="2"/>
  <c r="AY163" i="2"/>
  <c r="AX163" i="2"/>
  <c r="AW163" i="2"/>
  <c r="AV163" i="2"/>
  <c r="AU163" i="2"/>
  <c r="AT163" i="2"/>
  <c r="H163" i="1"/>
  <c r="AS163" i="2"/>
  <c r="G163" i="1"/>
  <c r="AR163" i="2"/>
  <c r="AQ163" i="2"/>
  <c r="AP163" i="2"/>
  <c r="D163" i="1"/>
  <c r="AO163" i="2"/>
  <c r="AN163" i="2"/>
  <c r="AM163" i="2"/>
  <c r="AJ163" i="2"/>
  <c r="AI163" i="2"/>
  <c r="BM162" i="2"/>
  <c r="AA162" i="1"/>
  <c r="BL162" i="2"/>
  <c r="BK162" i="2"/>
  <c r="BJ162" i="2"/>
  <c r="X162" i="1"/>
  <c r="BI162" i="2"/>
  <c r="BH162" i="2"/>
  <c r="BG162" i="2"/>
  <c r="U162" i="1"/>
  <c r="BF162" i="2"/>
  <c r="BE162" i="2"/>
  <c r="S162" i="1"/>
  <c r="BD162" i="2"/>
  <c r="BC162" i="2"/>
  <c r="BB162" i="2"/>
  <c r="BA162" i="2"/>
  <c r="AZ162" i="2"/>
  <c r="AY162" i="2"/>
  <c r="AX162" i="2"/>
  <c r="AW162" i="2"/>
  <c r="AV162" i="2"/>
  <c r="AU162" i="2"/>
  <c r="AT162" i="2"/>
  <c r="H162" i="1"/>
  <c r="AS162" i="2"/>
  <c r="G162" i="1"/>
  <c r="AR162" i="2"/>
  <c r="AQ162" i="2"/>
  <c r="AP162" i="2"/>
  <c r="D162" i="1"/>
  <c r="AO162" i="2"/>
  <c r="AN162" i="2"/>
  <c r="AM162" i="2"/>
  <c r="AJ162" i="2"/>
  <c r="AI162" i="2"/>
  <c r="BM161" i="2"/>
  <c r="AA161" i="1"/>
  <c r="BL161" i="2"/>
  <c r="BK161" i="2"/>
  <c r="BJ161" i="2"/>
  <c r="X161" i="1"/>
  <c r="BI161" i="2"/>
  <c r="BH161" i="2"/>
  <c r="BG161" i="2"/>
  <c r="U161" i="1"/>
  <c r="BF161" i="2"/>
  <c r="BE161" i="2"/>
  <c r="S161" i="1"/>
  <c r="BD161" i="2"/>
  <c r="BC161" i="2"/>
  <c r="BB161" i="2"/>
  <c r="BA161" i="2"/>
  <c r="AZ161" i="2"/>
  <c r="AY161" i="2"/>
  <c r="AX161" i="2"/>
  <c r="AW161" i="2"/>
  <c r="AV161" i="2"/>
  <c r="AU161" i="2"/>
  <c r="AT161" i="2"/>
  <c r="H161" i="1"/>
  <c r="AS161" i="2"/>
  <c r="G161" i="1"/>
  <c r="AR161" i="2"/>
  <c r="AQ161" i="2"/>
  <c r="AP161" i="2"/>
  <c r="D161" i="1"/>
  <c r="AO161" i="2"/>
  <c r="AN161" i="2"/>
  <c r="AM161" i="2"/>
  <c r="AJ161" i="2"/>
  <c r="AI161" i="2"/>
  <c r="BM160" i="2"/>
  <c r="AA160" i="1"/>
  <c r="BL160" i="2"/>
  <c r="BK160" i="2"/>
  <c r="BJ160" i="2"/>
  <c r="X160" i="1"/>
  <c r="BI160" i="2"/>
  <c r="BH160" i="2"/>
  <c r="BG160" i="2"/>
  <c r="U160" i="1"/>
  <c r="BF160" i="2"/>
  <c r="BE160" i="2"/>
  <c r="S160" i="1"/>
  <c r="BD160" i="2"/>
  <c r="BC160" i="2"/>
  <c r="BB160" i="2"/>
  <c r="BA160" i="2"/>
  <c r="AZ160" i="2"/>
  <c r="AY160" i="2"/>
  <c r="AX160" i="2"/>
  <c r="AW160" i="2"/>
  <c r="AV160" i="2"/>
  <c r="AU160" i="2"/>
  <c r="AT160" i="2"/>
  <c r="H160" i="1"/>
  <c r="AS160" i="2"/>
  <c r="G160" i="1"/>
  <c r="AR160" i="2"/>
  <c r="AQ160" i="2"/>
  <c r="AP160" i="2"/>
  <c r="D160" i="1"/>
  <c r="AO160" i="2"/>
  <c r="AN160" i="2"/>
  <c r="AM160" i="2"/>
  <c r="AJ160" i="2"/>
  <c r="AI160" i="2"/>
  <c r="BM159" i="2"/>
  <c r="AA159" i="1"/>
  <c r="BL159" i="2"/>
  <c r="BK159" i="2"/>
  <c r="BJ159" i="2"/>
  <c r="X159" i="1"/>
  <c r="BI159" i="2"/>
  <c r="BH159" i="2"/>
  <c r="BG159" i="2"/>
  <c r="U159" i="1"/>
  <c r="BF159" i="2"/>
  <c r="BE159" i="2"/>
  <c r="S159" i="1"/>
  <c r="BD159" i="2"/>
  <c r="BC159" i="2"/>
  <c r="BB159" i="2"/>
  <c r="BA159" i="2"/>
  <c r="AZ159" i="2"/>
  <c r="AY159" i="2"/>
  <c r="AX159" i="2"/>
  <c r="AW159" i="2"/>
  <c r="AV159" i="2"/>
  <c r="AU159" i="2"/>
  <c r="AT159" i="2"/>
  <c r="H159" i="1"/>
  <c r="AS159" i="2"/>
  <c r="G159" i="1"/>
  <c r="AR159" i="2"/>
  <c r="AQ159" i="2"/>
  <c r="AP159" i="2"/>
  <c r="D159" i="1"/>
  <c r="AO159" i="2"/>
  <c r="AN159" i="2"/>
  <c r="AM159" i="2"/>
  <c r="AJ159" i="2"/>
  <c r="AI159" i="2"/>
  <c r="BM158" i="2"/>
  <c r="AA158" i="1"/>
  <c r="BL158" i="2"/>
  <c r="BK158" i="2"/>
  <c r="BJ158" i="2"/>
  <c r="X158" i="1"/>
  <c r="BI158" i="2"/>
  <c r="BH158" i="2"/>
  <c r="BG158" i="2"/>
  <c r="U158" i="1"/>
  <c r="BF158" i="2"/>
  <c r="BE158" i="2"/>
  <c r="S158" i="1"/>
  <c r="BD158" i="2"/>
  <c r="BC158" i="2"/>
  <c r="BB158" i="2"/>
  <c r="BA158" i="2"/>
  <c r="AZ158" i="2"/>
  <c r="AY158" i="2"/>
  <c r="AX158" i="2"/>
  <c r="AW158" i="2"/>
  <c r="AV158" i="2"/>
  <c r="AU158" i="2"/>
  <c r="AT158" i="2"/>
  <c r="H158" i="1"/>
  <c r="AS158" i="2"/>
  <c r="G158" i="1"/>
  <c r="AR158" i="2"/>
  <c r="AQ158" i="2"/>
  <c r="AP158" i="2"/>
  <c r="D158" i="1"/>
  <c r="AO158" i="2"/>
  <c r="AN158" i="2"/>
  <c r="AM158" i="2"/>
  <c r="AJ158" i="2"/>
  <c r="AI158" i="2"/>
  <c r="BM157" i="2"/>
  <c r="AA157" i="1"/>
  <c r="BL157" i="2"/>
  <c r="BK157" i="2"/>
  <c r="BJ157" i="2"/>
  <c r="X157" i="1"/>
  <c r="BI157" i="2"/>
  <c r="BH157" i="2"/>
  <c r="BG157" i="2"/>
  <c r="U157" i="1"/>
  <c r="BF157" i="2"/>
  <c r="BE157" i="2"/>
  <c r="S157" i="1"/>
  <c r="BD157" i="2"/>
  <c r="BC157" i="2"/>
  <c r="BB157" i="2"/>
  <c r="BA157" i="2"/>
  <c r="AZ157" i="2"/>
  <c r="AY157" i="2"/>
  <c r="AX157" i="2"/>
  <c r="AW157" i="2"/>
  <c r="AV157" i="2"/>
  <c r="AU157" i="2"/>
  <c r="AT157" i="2"/>
  <c r="H157" i="1"/>
  <c r="AS157" i="2"/>
  <c r="G157" i="1"/>
  <c r="AR157" i="2"/>
  <c r="AQ157" i="2"/>
  <c r="AP157" i="2"/>
  <c r="D157" i="1"/>
  <c r="AO157" i="2"/>
  <c r="AN157" i="2"/>
  <c r="AM157" i="2"/>
  <c r="AJ157" i="2"/>
  <c r="AI157" i="2"/>
  <c r="BM156" i="2"/>
  <c r="AA156" i="1"/>
  <c r="BL156" i="2"/>
  <c r="BK156" i="2"/>
  <c r="BJ156" i="2"/>
  <c r="X156" i="1"/>
  <c r="BI156" i="2"/>
  <c r="BH156" i="2"/>
  <c r="BG156" i="2"/>
  <c r="U156" i="1"/>
  <c r="BF156" i="2"/>
  <c r="BE156" i="2"/>
  <c r="S156" i="1"/>
  <c r="BD156" i="2"/>
  <c r="BC156" i="2"/>
  <c r="BB156" i="2"/>
  <c r="BA156" i="2"/>
  <c r="AZ156" i="2"/>
  <c r="AY156" i="2"/>
  <c r="AX156" i="2"/>
  <c r="AW156" i="2"/>
  <c r="AV156" i="2"/>
  <c r="AU156" i="2"/>
  <c r="AT156" i="2"/>
  <c r="H156" i="1"/>
  <c r="AS156" i="2"/>
  <c r="G156" i="1"/>
  <c r="AR156" i="2"/>
  <c r="AQ156" i="2"/>
  <c r="AP156" i="2"/>
  <c r="D156" i="1"/>
  <c r="AO156" i="2"/>
  <c r="AN156" i="2"/>
  <c r="AM156" i="2"/>
  <c r="AJ156" i="2"/>
  <c r="AI156" i="2"/>
  <c r="BM155" i="2"/>
  <c r="AA155" i="1"/>
  <c r="BL155" i="2"/>
  <c r="BK155" i="2"/>
  <c r="BJ155" i="2"/>
  <c r="X155" i="1"/>
  <c r="BI155" i="2"/>
  <c r="BH155" i="2"/>
  <c r="BG155" i="2"/>
  <c r="U155" i="1"/>
  <c r="BF155" i="2"/>
  <c r="BE155" i="2"/>
  <c r="S155" i="1"/>
  <c r="BD155" i="2"/>
  <c r="BC155" i="2"/>
  <c r="BB155" i="2"/>
  <c r="BA155" i="2"/>
  <c r="AZ155" i="2"/>
  <c r="AY155" i="2"/>
  <c r="AX155" i="2"/>
  <c r="AW155" i="2"/>
  <c r="AV155" i="2"/>
  <c r="AU155" i="2"/>
  <c r="AT155" i="2"/>
  <c r="H155" i="1"/>
  <c r="AS155" i="2"/>
  <c r="G155" i="1"/>
  <c r="AR155" i="2"/>
  <c r="AQ155" i="2"/>
  <c r="AP155" i="2"/>
  <c r="D155" i="1"/>
  <c r="AO155" i="2"/>
  <c r="AN155" i="2"/>
  <c r="AM155" i="2"/>
  <c r="AJ155" i="2"/>
  <c r="AI155" i="2"/>
  <c r="BM154" i="2"/>
  <c r="AA154" i="1"/>
  <c r="BL154" i="2"/>
  <c r="BK154" i="2"/>
  <c r="BJ154" i="2"/>
  <c r="X154" i="1"/>
  <c r="BI154" i="2"/>
  <c r="BH154" i="2"/>
  <c r="BG154" i="2"/>
  <c r="U154" i="1"/>
  <c r="BF154" i="2"/>
  <c r="BE154" i="2"/>
  <c r="S154" i="1"/>
  <c r="BD154" i="2"/>
  <c r="BC154" i="2"/>
  <c r="BB154" i="2"/>
  <c r="BA154" i="2"/>
  <c r="AZ154" i="2"/>
  <c r="AY154" i="2"/>
  <c r="AX154" i="2"/>
  <c r="AW154" i="2"/>
  <c r="AV154" i="2"/>
  <c r="AU154" i="2"/>
  <c r="AT154" i="2"/>
  <c r="H154" i="1"/>
  <c r="AS154" i="2"/>
  <c r="G154" i="1"/>
  <c r="AR154" i="2"/>
  <c r="AQ154" i="2"/>
  <c r="AP154" i="2"/>
  <c r="D154" i="1"/>
  <c r="AO154" i="2"/>
  <c r="AN154" i="2"/>
  <c r="AM154" i="2"/>
  <c r="AJ154" i="2"/>
  <c r="AI154" i="2"/>
  <c r="BM153" i="2"/>
  <c r="AA153" i="1"/>
  <c r="BL153" i="2"/>
  <c r="BK153" i="2"/>
  <c r="BJ153" i="2"/>
  <c r="X153" i="1"/>
  <c r="BI153" i="2"/>
  <c r="BH153" i="2"/>
  <c r="BG153" i="2"/>
  <c r="U153" i="1"/>
  <c r="BF153" i="2"/>
  <c r="BE153" i="2"/>
  <c r="S153" i="1"/>
  <c r="BD153" i="2"/>
  <c r="BC153" i="2"/>
  <c r="BB153" i="2"/>
  <c r="BA153" i="2"/>
  <c r="AZ153" i="2"/>
  <c r="AY153" i="2"/>
  <c r="AX153" i="2"/>
  <c r="AW153" i="2"/>
  <c r="AV153" i="2"/>
  <c r="AU153" i="2"/>
  <c r="AT153" i="2"/>
  <c r="H153" i="1"/>
  <c r="AS153" i="2"/>
  <c r="G153" i="1"/>
  <c r="AR153" i="2"/>
  <c r="AQ153" i="2"/>
  <c r="AP153" i="2"/>
  <c r="D153" i="1"/>
  <c r="AO153" i="2"/>
  <c r="AN153" i="2"/>
  <c r="AM153" i="2"/>
  <c r="AJ153" i="2"/>
  <c r="AI153" i="2"/>
  <c r="BM152" i="2"/>
  <c r="AA152" i="1"/>
  <c r="BL152" i="2"/>
  <c r="BK152" i="2"/>
  <c r="BJ152" i="2"/>
  <c r="X152" i="1"/>
  <c r="BI152" i="2"/>
  <c r="BH152" i="2"/>
  <c r="BG152" i="2"/>
  <c r="U152" i="1"/>
  <c r="BF152" i="2"/>
  <c r="BE152" i="2"/>
  <c r="S152" i="1"/>
  <c r="BD152" i="2"/>
  <c r="BC152" i="2"/>
  <c r="BB152" i="2"/>
  <c r="BA152" i="2"/>
  <c r="AZ152" i="2"/>
  <c r="AY152" i="2"/>
  <c r="AX152" i="2"/>
  <c r="AW152" i="2"/>
  <c r="AV152" i="2"/>
  <c r="AU152" i="2"/>
  <c r="AT152" i="2"/>
  <c r="H152" i="1"/>
  <c r="AS152" i="2"/>
  <c r="G152" i="1"/>
  <c r="AR152" i="2"/>
  <c r="AQ152" i="2"/>
  <c r="AP152" i="2"/>
  <c r="D152" i="1"/>
  <c r="AO152" i="2"/>
  <c r="AN152" i="2"/>
  <c r="AM152" i="2"/>
  <c r="AJ152" i="2"/>
  <c r="AI152" i="2"/>
  <c r="BM151" i="2"/>
  <c r="AA151" i="1"/>
  <c r="BL151" i="2"/>
  <c r="BK151" i="2"/>
  <c r="BJ151" i="2"/>
  <c r="X151" i="1"/>
  <c r="BI151" i="2"/>
  <c r="BH151" i="2"/>
  <c r="BG151" i="2"/>
  <c r="U151" i="1"/>
  <c r="BF151" i="2"/>
  <c r="BE151" i="2"/>
  <c r="S151" i="1"/>
  <c r="BD151" i="2"/>
  <c r="BC151" i="2"/>
  <c r="BB151" i="2"/>
  <c r="BA151" i="2"/>
  <c r="AZ151" i="2"/>
  <c r="AY151" i="2"/>
  <c r="AX151" i="2"/>
  <c r="AW151" i="2"/>
  <c r="AV151" i="2"/>
  <c r="AU151" i="2"/>
  <c r="AT151" i="2"/>
  <c r="H151" i="1"/>
  <c r="AS151" i="2"/>
  <c r="G151" i="1"/>
  <c r="AR151" i="2"/>
  <c r="AQ151" i="2"/>
  <c r="AP151" i="2"/>
  <c r="D151" i="1"/>
  <c r="AO151" i="2"/>
  <c r="AN151" i="2"/>
  <c r="AM151" i="2"/>
  <c r="AJ151" i="2"/>
  <c r="AI151" i="2"/>
  <c r="BM150" i="2"/>
  <c r="AA150" i="1"/>
  <c r="BL150" i="2"/>
  <c r="BK150" i="2"/>
  <c r="BJ150" i="2"/>
  <c r="X150" i="1"/>
  <c r="BI150" i="2"/>
  <c r="BH150" i="2"/>
  <c r="BG150" i="2"/>
  <c r="U150" i="1"/>
  <c r="BF150" i="2"/>
  <c r="BE150" i="2"/>
  <c r="S150" i="1"/>
  <c r="BD150" i="2"/>
  <c r="BC150" i="2"/>
  <c r="BB150" i="2"/>
  <c r="BA150" i="2"/>
  <c r="AZ150" i="2"/>
  <c r="AY150" i="2"/>
  <c r="AX150" i="2"/>
  <c r="AW150" i="2"/>
  <c r="AV150" i="2"/>
  <c r="AU150" i="2"/>
  <c r="AT150" i="2"/>
  <c r="H150" i="1"/>
  <c r="AS150" i="2"/>
  <c r="G150" i="1"/>
  <c r="AR150" i="2"/>
  <c r="AQ150" i="2"/>
  <c r="AP150" i="2"/>
  <c r="D150" i="1"/>
  <c r="AO150" i="2"/>
  <c r="AN150" i="2"/>
  <c r="AM150" i="2"/>
  <c r="AJ150" i="2"/>
  <c r="AI150" i="2"/>
  <c r="BM149" i="2"/>
  <c r="AA149" i="1"/>
  <c r="BL149" i="2"/>
  <c r="BK149" i="2"/>
  <c r="BJ149" i="2"/>
  <c r="X149" i="1"/>
  <c r="BI149" i="2"/>
  <c r="BH149" i="2"/>
  <c r="BG149" i="2"/>
  <c r="U149" i="1"/>
  <c r="BF149" i="2"/>
  <c r="BE149" i="2"/>
  <c r="S149" i="1"/>
  <c r="BD149" i="2"/>
  <c r="BC149" i="2"/>
  <c r="BB149" i="2"/>
  <c r="BA149" i="2"/>
  <c r="AZ149" i="2"/>
  <c r="AY149" i="2"/>
  <c r="AX149" i="2"/>
  <c r="AW149" i="2"/>
  <c r="AV149" i="2"/>
  <c r="AU149" i="2"/>
  <c r="AT149" i="2"/>
  <c r="H149" i="1"/>
  <c r="AS149" i="2"/>
  <c r="G149" i="1"/>
  <c r="AR149" i="2"/>
  <c r="AQ149" i="2"/>
  <c r="AP149" i="2"/>
  <c r="D149" i="1"/>
  <c r="AO149" i="2"/>
  <c r="AN149" i="2"/>
  <c r="AM149" i="2"/>
  <c r="AJ149" i="2"/>
  <c r="AI149" i="2"/>
  <c r="BM148" i="2"/>
  <c r="AA148" i="1"/>
  <c r="BL148" i="2"/>
  <c r="BK148" i="2"/>
  <c r="BJ148" i="2"/>
  <c r="X148" i="1"/>
  <c r="BI148" i="2"/>
  <c r="BH148" i="2"/>
  <c r="BG148" i="2"/>
  <c r="U148" i="1"/>
  <c r="BF148" i="2"/>
  <c r="BE148" i="2"/>
  <c r="S148" i="1"/>
  <c r="BD148" i="2"/>
  <c r="BC148" i="2"/>
  <c r="BB148" i="2"/>
  <c r="BA148" i="2"/>
  <c r="AZ148" i="2"/>
  <c r="AY148" i="2"/>
  <c r="AX148" i="2"/>
  <c r="AW148" i="2"/>
  <c r="AV148" i="2"/>
  <c r="AU148" i="2"/>
  <c r="AT148" i="2"/>
  <c r="H148" i="1"/>
  <c r="AS148" i="2"/>
  <c r="G148" i="1"/>
  <c r="AR148" i="2"/>
  <c r="AQ148" i="2"/>
  <c r="AP148" i="2"/>
  <c r="D148" i="1"/>
  <c r="AO148" i="2"/>
  <c r="AN148" i="2"/>
  <c r="AM148" i="2"/>
  <c r="AJ148" i="2"/>
  <c r="AI148" i="2"/>
  <c r="BM147" i="2"/>
  <c r="AA147" i="1"/>
  <c r="BL147" i="2"/>
  <c r="BK147" i="2"/>
  <c r="BJ147" i="2"/>
  <c r="X147" i="1"/>
  <c r="BI147" i="2"/>
  <c r="BH147" i="2"/>
  <c r="BG147" i="2"/>
  <c r="U147" i="1"/>
  <c r="BF147" i="2"/>
  <c r="BE147" i="2"/>
  <c r="S147" i="1"/>
  <c r="BD147" i="2"/>
  <c r="BC147" i="2"/>
  <c r="BB147" i="2"/>
  <c r="BA147" i="2"/>
  <c r="AZ147" i="2"/>
  <c r="AY147" i="2"/>
  <c r="AX147" i="2"/>
  <c r="AW147" i="2"/>
  <c r="AV147" i="2"/>
  <c r="AU147" i="2"/>
  <c r="AT147" i="2"/>
  <c r="H147" i="1"/>
  <c r="AS147" i="2"/>
  <c r="G147" i="1"/>
  <c r="AR147" i="2"/>
  <c r="AQ147" i="2"/>
  <c r="AP147" i="2"/>
  <c r="D147" i="1"/>
  <c r="AO147" i="2"/>
  <c r="AN147" i="2"/>
  <c r="AM147" i="2"/>
  <c r="AJ147" i="2"/>
  <c r="AI147" i="2"/>
  <c r="BM146" i="2"/>
  <c r="AA146" i="1"/>
  <c r="BL146" i="2"/>
  <c r="BK146" i="2"/>
  <c r="BJ146" i="2"/>
  <c r="X146" i="1"/>
  <c r="BI146" i="2"/>
  <c r="BH146" i="2"/>
  <c r="BG146" i="2"/>
  <c r="U146" i="1"/>
  <c r="BF146" i="2"/>
  <c r="BE146" i="2"/>
  <c r="S146" i="1"/>
  <c r="BD146" i="2"/>
  <c r="BC146" i="2"/>
  <c r="BB146" i="2"/>
  <c r="BA146" i="2"/>
  <c r="AZ146" i="2"/>
  <c r="AY146" i="2"/>
  <c r="AX146" i="2"/>
  <c r="AW146" i="2"/>
  <c r="AV146" i="2"/>
  <c r="AU146" i="2"/>
  <c r="AT146" i="2"/>
  <c r="H146" i="1"/>
  <c r="AS146" i="2"/>
  <c r="G146" i="1"/>
  <c r="AR146" i="2"/>
  <c r="AQ146" i="2"/>
  <c r="AP146" i="2"/>
  <c r="D146" i="1"/>
  <c r="AO146" i="2"/>
  <c r="AN146" i="2"/>
  <c r="AM146" i="2"/>
  <c r="AJ146" i="2"/>
  <c r="AI146" i="2"/>
  <c r="BM145" i="2"/>
  <c r="AA145" i="1"/>
  <c r="BL145" i="2"/>
  <c r="BK145" i="2"/>
  <c r="BJ145" i="2"/>
  <c r="X145" i="1"/>
  <c r="BI145" i="2"/>
  <c r="BH145" i="2"/>
  <c r="BG145" i="2"/>
  <c r="U145" i="1"/>
  <c r="BF145" i="2"/>
  <c r="BE145" i="2"/>
  <c r="S145" i="1"/>
  <c r="BD145" i="2"/>
  <c r="BC145" i="2"/>
  <c r="BB145" i="2"/>
  <c r="BA145" i="2"/>
  <c r="AZ145" i="2"/>
  <c r="AY145" i="2"/>
  <c r="AX145" i="2"/>
  <c r="AW145" i="2"/>
  <c r="AV145" i="2"/>
  <c r="AU145" i="2"/>
  <c r="AT145" i="2"/>
  <c r="H145" i="1"/>
  <c r="AS145" i="2"/>
  <c r="G145" i="1"/>
  <c r="AR145" i="2"/>
  <c r="AQ145" i="2"/>
  <c r="AP145" i="2"/>
  <c r="D145" i="1"/>
  <c r="AO145" i="2"/>
  <c r="AN145" i="2"/>
  <c r="AM145" i="2"/>
  <c r="AJ145" i="2"/>
  <c r="AI145" i="2"/>
  <c r="BM144" i="2"/>
  <c r="AA144" i="1"/>
  <c r="BL144" i="2"/>
  <c r="BK144" i="2"/>
  <c r="BJ144" i="2"/>
  <c r="X144" i="1"/>
  <c r="BI144" i="2"/>
  <c r="BH144" i="2"/>
  <c r="BG144" i="2"/>
  <c r="U144" i="1"/>
  <c r="BF144" i="2"/>
  <c r="BE144" i="2"/>
  <c r="S144" i="1"/>
  <c r="BD144" i="2"/>
  <c r="BC144" i="2"/>
  <c r="BB144" i="2"/>
  <c r="BA144" i="2"/>
  <c r="AZ144" i="2"/>
  <c r="AY144" i="2"/>
  <c r="AX144" i="2"/>
  <c r="AW144" i="2"/>
  <c r="AV144" i="2"/>
  <c r="AU144" i="2"/>
  <c r="AT144" i="2"/>
  <c r="H144" i="1"/>
  <c r="AS144" i="2"/>
  <c r="G144" i="1"/>
  <c r="AR144" i="2"/>
  <c r="AQ144" i="2"/>
  <c r="AP144" i="2"/>
  <c r="D144" i="1"/>
  <c r="AO144" i="2"/>
  <c r="AN144" i="2"/>
  <c r="AM144" i="2"/>
  <c r="AJ144" i="2"/>
  <c r="AI144" i="2"/>
  <c r="BM143" i="2"/>
  <c r="AA143" i="1"/>
  <c r="BL143" i="2"/>
  <c r="BK143" i="2"/>
  <c r="BJ143" i="2"/>
  <c r="X143" i="1"/>
  <c r="BI143" i="2"/>
  <c r="BH143" i="2"/>
  <c r="BG143" i="2"/>
  <c r="U143" i="1"/>
  <c r="BF143" i="2"/>
  <c r="BE143" i="2"/>
  <c r="S143" i="1"/>
  <c r="BD143" i="2"/>
  <c r="BC143" i="2"/>
  <c r="BB143" i="2"/>
  <c r="BA143" i="2"/>
  <c r="AZ143" i="2"/>
  <c r="AY143" i="2"/>
  <c r="AX143" i="2"/>
  <c r="AW143" i="2"/>
  <c r="AV143" i="2"/>
  <c r="AU143" i="2"/>
  <c r="AT143" i="2"/>
  <c r="H143" i="1"/>
  <c r="AS143" i="2"/>
  <c r="G143" i="1"/>
  <c r="AR143" i="2"/>
  <c r="AQ143" i="2"/>
  <c r="AP143" i="2"/>
  <c r="D143" i="1"/>
  <c r="AO143" i="2"/>
  <c r="AN143" i="2"/>
  <c r="AM143" i="2"/>
  <c r="AJ143" i="2"/>
  <c r="AI143" i="2"/>
  <c r="BM142" i="2"/>
  <c r="AA142" i="1"/>
  <c r="BL142" i="2"/>
  <c r="BK142" i="2"/>
  <c r="BJ142" i="2"/>
  <c r="X142" i="1"/>
  <c r="BI142" i="2"/>
  <c r="BH142" i="2"/>
  <c r="BG142" i="2"/>
  <c r="U142" i="1"/>
  <c r="BF142" i="2"/>
  <c r="BE142" i="2"/>
  <c r="S142" i="1"/>
  <c r="BD142" i="2"/>
  <c r="BC142" i="2"/>
  <c r="BB142" i="2"/>
  <c r="BA142" i="2"/>
  <c r="AZ142" i="2"/>
  <c r="AY142" i="2"/>
  <c r="AX142" i="2"/>
  <c r="AW142" i="2"/>
  <c r="AV142" i="2"/>
  <c r="AU142" i="2"/>
  <c r="AT142" i="2"/>
  <c r="H142" i="1"/>
  <c r="AS142" i="2"/>
  <c r="G142" i="1"/>
  <c r="AR142" i="2"/>
  <c r="AQ142" i="2"/>
  <c r="AP142" i="2"/>
  <c r="D142" i="1"/>
  <c r="AO142" i="2"/>
  <c r="AN142" i="2"/>
  <c r="AM142" i="2"/>
  <c r="AJ142" i="2"/>
  <c r="AI142" i="2"/>
  <c r="BM141" i="2"/>
  <c r="AA141" i="1"/>
  <c r="BL141" i="2"/>
  <c r="BK141" i="2"/>
  <c r="BJ141" i="2"/>
  <c r="X141" i="1"/>
  <c r="BI141" i="2"/>
  <c r="BH141" i="2"/>
  <c r="BG141" i="2"/>
  <c r="U141" i="1"/>
  <c r="BF141" i="2"/>
  <c r="BE141" i="2"/>
  <c r="S141" i="1"/>
  <c r="BD141" i="2"/>
  <c r="BC141" i="2"/>
  <c r="BB141" i="2"/>
  <c r="BA141" i="2"/>
  <c r="AZ141" i="2"/>
  <c r="AY141" i="2"/>
  <c r="AX141" i="2"/>
  <c r="AW141" i="2"/>
  <c r="AV141" i="2"/>
  <c r="AU141" i="2"/>
  <c r="AT141" i="2"/>
  <c r="H141" i="1"/>
  <c r="AS141" i="2"/>
  <c r="G141" i="1"/>
  <c r="AR141" i="2"/>
  <c r="AQ141" i="2"/>
  <c r="AP141" i="2"/>
  <c r="D141" i="1"/>
  <c r="AO141" i="2"/>
  <c r="AN141" i="2"/>
  <c r="AM141" i="2"/>
  <c r="AJ141" i="2"/>
  <c r="AI141" i="2"/>
  <c r="BM140" i="2"/>
  <c r="AA140" i="1"/>
  <c r="BL140" i="2"/>
  <c r="BK140" i="2"/>
  <c r="BJ140" i="2"/>
  <c r="X140" i="1"/>
  <c r="BI140" i="2"/>
  <c r="BH140" i="2"/>
  <c r="BG140" i="2"/>
  <c r="U140" i="1"/>
  <c r="BF140" i="2"/>
  <c r="BE140" i="2"/>
  <c r="S140" i="1"/>
  <c r="BD140" i="2"/>
  <c r="BC140" i="2"/>
  <c r="BB140" i="2"/>
  <c r="BA140" i="2"/>
  <c r="AZ140" i="2"/>
  <c r="AY140" i="2"/>
  <c r="AX140" i="2"/>
  <c r="AW140" i="2"/>
  <c r="AV140" i="2"/>
  <c r="AU140" i="2"/>
  <c r="AT140" i="2"/>
  <c r="H140" i="1"/>
  <c r="AS140" i="2"/>
  <c r="G140" i="1"/>
  <c r="AR140" i="2"/>
  <c r="AQ140" i="2"/>
  <c r="AP140" i="2"/>
  <c r="D140" i="1"/>
  <c r="AO140" i="2"/>
  <c r="AN140" i="2"/>
  <c r="AM140" i="2"/>
  <c r="AJ140" i="2"/>
  <c r="AI140" i="2"/>
  <c r="BM139" i="2"/>
  <c r="AA139" i="1"/>
  <c r="BL139" i="2"/>
  <c r="BK139" i="2"/>
  <c r="BJ139" i="2"/>
  <c r="X139" i="1"/>
  <c r="BI139" i="2"/>
  <c r="BH139" i="2"/>
  <c r="BG139" i="2"/>
  <c r="U139" i="1"/>
  <c r="BF139" i="2"/>
  <c r="BE139" i="2"/>
  <c r="S139" i="1"/>
  <c r="BD139" i="2"/>
  <c r="BC139" i="2"/>
  <c r="BB139" i="2"/>
  <c r="BA139" i="2"/>
  <c r="AZ139" i="2"/>
  <c r="AY139" i="2"/>
  <c r="AX139" i="2"/>
  <c r="AW139" i="2"/>
  <c r="AV139" i="2"/>
  <c r="AU139" i="2"/>
  <c r="AT139" i="2"/>
  <c r="H139" i="1"/>
  <c r="AS139" i="2"/>
  <c r="G139" i="1"/>
  <c r="AR139" i="2"/>
  <c r="AQ139" i="2"/>
  <c r="AP139" i="2"/>
  <c r="D139" i="1"/>
  <c r="AO139" i="2"/>
  <c r="AN139" i="2"/>
  <c r="AM139" i="2"/>
  <c r="AJ139" i="2"/>
  <c r="AI139" i="2"/>
  <c r="BM138" i="2"/>
  <c r="AA138" i="1"/>
  <c r="BL138" i="2"/>
  <c r="BK138" i="2"/>
  <c r="BJ138" i="2"/>
  <c r="X138" i="1"/>
  <c r="BI138" i="2"/>
  <c r="BH138" i="2"/>
  <c r="BG138" i="2"/>
  <c r="U138" i="1"/>
  <c r="BF138" i="2"/>
  <c r="BE138" i="2"/>
  <c r="S138" i="1"/>
  <c r="BD138" i="2"/>
  <c r="BC138" i="2"/>
  <c r="BB138" i="2"/>
  <c r="BA138" i="2"/>
  <c r="AZ138" i="2"/>
  <c r="AY138" i="2"/>
  <c r="AX138" i="2"/>
  <c r="AW138" i="2"/>
  <c r="AV138" i="2"/>
  <c r="AU138" i="2"/>
  <c r="AT138" i="2"/>
  <c r="H138" i="1"/>
  <c r="AS138" i="2"/>
  <c r="G138" i="1"/>
  <c r="AR138" i="2"/>
  <c r="AQ138" i="2"/>
  <c r="AP138" i="2"/>
  <c r="D138" i="1"/>
  <c r="AO138" i="2"/>
  <c r="AN138" i="2"/>
  <c r="AM138" i="2"/>
  <c r="AJ138" i="2"/>
  <c r="AI138" i="2"/>
  <c r="BM137" i="2"/>
  <c r="AA137" i="1"/>
  <c r="BL137" i="2"/>
  <c r="BK137" i="2"/>
  <c r="BJ137" i="2"/>
  <c r="X137" i="1"/>
  <c r="BI137" i="2"/>
  <c r="BH137" i="2"/>
  <c r="BG137" i="2"/>
  <c r="U137" i="1"/>
  <c r="BF137" i="2"/>
  <c r="BE137" i="2"/>
  <c r="S137" i="1"/>
  <c r="BD137" i="2"/>
  <c r="BC137" i="2"/>
  <c r="BB137" i="2"/>
  <c r="BA137" i="2"/>
  <c r="AZ137" i="2"/>
  <c r="AY137" i="2"/>
  <c r="AX137" i="2"/>
  <c r="AW137" i="2"/>
  <c r="AV137" i="2"/>
  <c r="AU137" i="2"/>
  <c r="AT137" i="2"/>
  <c r="H137" i="1"/>
  <c r="AS137" i="2"/>
  <c r="G137" i="1"/>
  <c r="AR137" i="2"/>
  <c r="AQ137" i="2"/>
  <c r="AP137" i="2"/>
  <c r="D137" i="1"/>
  <c r="AO137" i="2"/>
  <c r="AN137" i="2"/>
  <c r="AM137" i="2"/>
  <c r="AJ137" i="2"/>
  <c r="AI137" i="2"/>
  <c r="BM136" i="2"/>
  <c r="AA136" i="1"/>
  <c r="BL136" i="2"/>
  <c r="BK136" i="2"/>
  <c r="BJ136" i="2"/>
  <c r="X136" i="1"/>
  <c r="BI136" i="2"/>
  <c r="BH136" i="2"/>
  <c r="BG136" i="2"/>
  <c r="U136" i="1"/>
  <c r="BF136" i="2"/>
  <c r="BE136" i="2"/>
  <c r="S136" i="1"/>
  <c r="BD136" i="2"/>
  <c r="BC136" i="2"/>
  <c r="BB136" i="2"/>
  <c r="BA136" i="2"/>
  <c r="AZ136" i="2"/>
  <c r="AY136" i="2"/>
  <c r="AX136" i="2"/>
  <c r="AW136" i="2"/>
  <c r="AV136" i="2"/>
  <c r="AU136" i="2"/>
  <c r="AT136" i="2"/>
  <c r="H136" i="1"/>
  <c r="AS136" i="2"/>
  <c r="G136" i="1"/>
  <c r="AR136" i="2"/>
  <c r="AQ136" i="2"/>
  <c r="AP136" i="2"/>
  <c r="D136" i="1"/>
  <c r="AO136" i="2"/>
  <c r="AN136" i="2"/>
  <c r="AM136" i="2"/>
  <c r="AJ136" i="2"/>
  <c r="AI136" i="2"/>
  <c r="BM135" i="2"/>
  <c r="AA135" i="1"/>
  <c r="BL135" i="2"/>
  <c r="BK135" i="2"/>
  <c r="BJ135" i="2"/>
  <c r="X135" i="1"/>
  <c r="BI135" i="2"/>
  <c r="BH135" i="2"/>
  <c r="BG135" i="2"/>
  <c r="U135" i="1"/>
  <c r="BF135" i="2"/>
  <c r="BE135" i="2"/>
  <c r="S135" i="1"/>
  <c r="BD135" i="2"/>
  <c r="BC135" i="2"/>
  <c r="BB135" i="2"/>
  <c r="BA135" i="2"/>
  <c r="AZ135" i="2"/>
  <c r="AY135" i="2"/>
  <c r="AX135" i="2"/>
  <c r="AW135" i="2"/>
  <c r="AV135" i="2"/>
  <c r="AU135" i="2"/>
  <c r="AT135" i="2"/>
  <c r="H135" i="1"/>
  <c r="AS135" i="2"/>
  <c r="G135" i="1"/>
  <c r="AR135" i="2"/>
  <c r="AQ135" i="2"/>
  <c r="AP135" i="2"/>
  <c r="D135" i="1"/>
  <c r="AO135" i="2"/>
  <c r="AN135" i="2"/>
  <c r="AM135" i="2"/>
  <c r="AJ135" i="2"/>
  <c r="AI135" i="2"/>
  <c r="BM134" i="2"/>
  <c r="AA134" i="1"/>
  <c r="BL134" i="2"/>
  <c r="BK134" i="2"/>
  <c r="BJ134" i="2"/>
  <c r="X134" i="1"/>
  <c r="BI134" i="2"/>
  <c r="BH134" i="2"/>
  <c r="BG134" i="2"/>
  <c r="U134" i="1"/>
  <c r="BF134" i="2"/>
  <c r="BE134" i="2"/>
  <c r="S134" i="1"/>
  <c r="BD134" i="2"/>
  <c r="BC134" i="2"/>
  <c r="BB134" i="2"/>
  <c r="BA134" i="2"/>
  <c r="AZ134" i="2"/>
  <c r="AY134" i="2"/>
  <c r="AX134" i="2"/>
  <c r="AW134" i="2"/>
  <c r="AV134" i="2"/>
  <c r="AU134" i="2"/>
  <c r="AT134" i="2"/>
  <c r="H134" i="1"/>
  <c r="AS134" i="2"/>
  <c r="G134" i="1"/>
  <c r="AR134" i="2"/>
  <c r="AQ134" i="2"/>
  <c r="AP134" i="2"/>
  <c r="D134" i="1"/>
  <c r="AO134" i="2"/>
  <c r="AN134" i="2"/>
  <c r="AM134" i="2"/>
  <c r="AJ134" i="2"/>
  <c r="AI134" i="2"/>
  <c r="BM133" i="2"/>
  <c r="AA133" i="1"/>
  <c r="BL133" i="2"/>
  <c r="BK133" i="2"/>
  <c r="BJ133" i="2"/>
  <c r="X133" i="1"/>
  <c r="BI133" i="2"/>
  <c r="BH133" i="2"/>
  <c r="BG133" i="2"/>
  <c r="U133" i="1"/>
  <c r="BF133" i="2"/>
  <c r="BE133" i="2"/>
  <c r="S133" i="1"/>
  <c r="BD133" i="2"/>
  <c r="BC133" i="2"/>
  <c r="BB133" i="2"/>
  <c r="BA133" i="2"/>
  <c r="AZ133" i="2"/>
  <c r="AY133" i="2"/>
  <c r="AX133" i="2"/>
  <c r="AW133" i="2"/>
  <c r="AV133" i="2"/>
  <c r="AU133" i="2"/>
  <c r="AT133" i="2"/>
  <c r="H133" i="1"/>
  <c r="AS133" i="2"/>
  <c r="G133" i="1"/>
  <c r="AR133" i="2"/>
  <c r="AQ133" i="2"/>
  <c r="AP133" i="2"/>
  <c r="D133" i="1"/>
  <c r="AO133" i="2"/>
  <c r="AN133" i="2"/>
  <c r="AM133" i="2"/>
  <c r="AJ133" i="2"/>
  <c r="AI133" i="2"/>
  <c r="BM132" i="2"/>
  <c r="AA132" i="1"/>
  <c r="BL132" i="2"/>
  <c r="BK132" i="2"/>
  <c r="BJ132" i="2"/>
  <c r="X132" i="1"/>
  <c r="BI132" i="2"/>
  <c r="BH132" i="2"/>
  <c r="BG132" i="2"/>
  <c r="U132" i="1"/>
  <c r="BF132" i="2"/>
  <c r="BE132" i="2"/>
  <c r="S132" i="1"/>
  <c r="BD132" i="2"/>
  <c r="BC132" i="2"/>
  <c r="BB132" i="2"/>
  <c r="BA132" i="2"/>
  <c r="AZ132" i="2"/>
  <c r="AY132" i="2"/>
  <c r="AX132" i="2"/>
  <c r="AW132" i="2"/>
  <c r="AV132" i="2"/>
  <c r="AU132" i="2"/>
  <c r="AT132" i="2"/>
  <c r="H132" i="1"/>
  <c r="AS132" i="2"/>
  <c r="G132" i="1"/>
  <c r="AR132" i="2"/>
  <c r="AQ132" i="2"/>
  <c r="AP132" i="2"/>
  <c r="D132" i="1"/>
  <c r="AO132" i="2"/>
  <c r="AN132" i="2"/>
  <c r="AM132" i="2"/>
  <c r="AJ132" i="2"/>
  <c r="AI132" i="2"/>
  <c r="BM131" i="2"/>
  <c r="AA131" i="1"/>
  <c r="BL131" i="2"/>
  <c r="BK131" i="2"/>
  <c r="BJ131" i="2"/>
  <c r="X131" i="1"/>
  <c r="BI131" i="2"/>
  <c r="BH131" i="2"/>
  <c r="BG131" i="2"/>
  <c r="U131" i="1"/>
  <c r="BF131" i="2"/>
  <c r="BE131" i="2"/>
  <c r="S131" i="1"/>
  <c r="BD131" i="2"/>
  <c r="BC131" i="2"/>
  <c r="BB131" i="2"/>
  <c r="BA131" i="2"/>
  <c r="AZ131" i="2"/>
  <c r="AY131" i="2"/>
  <c r="AX131" i="2"/>
  <c r="AW131" i="2"/>
  <c r="AV131" i="2"/>
  <c r="AU131" i="2"/>
  <c r="AT131" i="2"/>
  <c r="H131" i="1"/>
  <c r="AS131" i="2"/>
  <c r="G131" i="1"/>
  <c r="AR131" i="2"/>
  <c r="AQ131" i="2"/>
  <c r="AP131" i="2"/>
  <c r="D131" i="1"/>
  <c r="AO131" i="2"/>
  <c r="AN131" i="2"/>
  <c r="AM131" i="2"/>
  <c r="AJ131" i="2"/>
  <c r="AI131" i="2"/>
  <c r="BM130" i="2"/>
  <c r="AA130" i="1"/>
  <c r="BL130" i="2"/>
  <c r="BK130" i="2"/>
  <c r="BJ130" i="2"/>
  <c r="X130" i="1"/>
  <c r="BI130" i="2"/>
  <c r="BH130" i="2"/>
  <c r="BG130" i="2"/>
  <c r="U130" i="1"/>
  <c r="BF130" i="2"/>
  <c r="BE130" i="2"/>
  <c r="S130" i="1"/>
  <c r="BD130" i="2"/>
  <c r="BC130" i="2"/>
  <c r="BB130" i="2"/>
  <c r="BA130" i="2"/>
  <c r="AZ130" i="2"/>
  <c r="AY130" i="2"/>
  <c r="AX130" i="2"/>
  <c r="AW130" i="2"/>
  <c r="AV130" i="2"/>
  <c r="AU130" i="2"/>
  <c r="AT130" i="2"/>
  <c r="H130" i="1"/>
  <c r="AS130" i="2"/>
  <c r="G130" i="1"/>
  <c r="AR130" i="2"/>
  <c r="AQ130" i="2"/>
  <c r="AP130" i="2"/>
  <c r="D130" i="1"/>
  <c r="AO130" i="2"/>
  <c r="AN130" i="2"/>
  <c r="AM130" i="2"/>
  <c r="AJ130" i="2"/>
  <c r="AI130" i="2"/>
  <c r="BM129" i="2"/>
  <c r="AA129" i="1"/>
  <c r="BL129" i="2"/>
  <c r="BK129" i="2"/>
  <c r="BJ129" i="2"/>
  <c r="X129" i="1"/>
  <c r="BI129" i="2"/>
  <c r="BH129" i="2"/>
  <c r="BG129" i="2"/>
  <c r="U129" i="1"/>
  <c r="BF129" i="2"/>
  <c r="BE129" i="2"/>
  <c r="S129" i="1"/>
  <c r="BD129" i="2"/>
  <c r="BC129" i="2"/>
  <c r="BB129" i="2"/>
  <c r="BA129" i="2"/>
  <c r="AZ129" i="2"/>
  <c r="AY129" i="2"/>
  <c r="AX129" i="2"/>
  <c r="AW129" i="2"/>
  <c r="AV129" i="2"/>
  <c r="AU129" i="2"/>
  <c r="AT129" i="2"/>
  <c r="H129" i="1"/>
  <c r="AS129" i="2"/>
  <c r="G129" i="1"/>
  <c r="AR129" i="2"/>
  <c r="AQ129" i="2"/>
  <c r="AP129" i="2"/>
  <c r="D129" i="1"/>
  <c r="AO129" i="2"/>
  <c r="AN129" i="2"/>
  <c r="AM129" i="2"/>
  <c r="AJ129" i="2"/>
  <c r="AI129" i="2"/>
  <c r="BM128" i="2"/>
  <c r="AA128" i="1"/>
  <c r="BL128" i="2"/>
  <c r="BK128" i="2"/>
  <c r="BJ128" i="2"/>
  <c r="X128" i="1"/>
  <c r="BI128" i="2"/>
  <c r="BH128" i="2"/>
  <c r="BG128" i="2"/>
  <c r="U128" i="1"/>
  <c r="BF128" i="2"/>
  <c r="BE128" i="2"/>
  <c r="S128" i="1"/>
  <c r="BD128" i="2"/>
  <c r="BC128" i="2"/>
  <c r="BB128" i="2"/>
  <c r="BA128" i="2"/>
  <c r="AZ128" i="2"/>
  <c r="AY128" i="2"/>
  <c r="AX128" i="2"/>
  <c r="AW128" i="2"/>
  <c r="AV128" i="2"/>
  <c r="AU128" i="2"/>
  <c r="AT128" i="2"/>
  <c r="H128" i="1"/>
  <c r="AS128" i="2"/>
  <c r="G128" i="1"/>
  <c r="AR128" i="2"/>
  <c r="AQ128" i="2"/>
  <c r="AP128" i="2"/>
  <c r="D128" i="1"/>
  <c r="AO128" i="2"/>
  <c r="AN128" i="2"/>
  <c r="AM128" i="2"/>
  <c r="AJ128" i="2"/>
  <c r="AI128" i="2"/>
  <c r="BM127" i="2"/>
  <c r="AA127" i="1"/>
  <c r="BL127" i="2"/>
  <c r="BK127" i="2"/>
  <c r="BJ127" i="2"/>
  <c r="X127" i="1"/>
  <c r="BI127" i="2"/>
  <c r="BH127" i="2"/>
  <c r="BG127" i="2"/>
  <c r="U127" i="1"/>
  <c r="BF127" i="2"/>
  <c r="BE127" i="2"/>
  <c r="S127" i="1"/>
  <c r="BD127" i="2"/>
  <c r="BC127" i="2"/>
  <c r="BB127" i="2"/>
  <c r="BA127" i="2"/>
  <c r="AZ127" i="2"/>
  <c r="AY127" i="2"/>
  <c r="AX127" i="2"/>
  <c r="AW127" i="2"/>
  <c r="AV127" i="2"/>
  <c r="AU127" i="2"/>
  <c r="AT127" i="2"/>
  <c r="H127" i="1"/>
  <c r="AS127" i="2"/>
  <c r="G127" i="1"/>
  <c r="AR127" i="2"/>
  <c r="AQ127" i="2"/>
  <c r="AP127" i="2"/>
  <c r="D127" i="1"/>
  <c r="AO127" i="2"/>
  <c r="AN127" i="2"/>
  <c r="AM127" i="2"/>
  <c r="AJ127" i="2"/>
  <c r="AI127" i="2"/>
  <c r="BM126" i="2"/>
  <c r="AA126" i="1"/>
  <c r="BL126" i="2"/>
  <c r="BK126" i="2"/>
  <c r="BJ126" i="2"/>
  <c r="X126" i="1"/>
  <c r="BI126" i="2"/>
  <c r="BH126" i="2"/>
  <c r="BG126" i="2"/>
  <c r="U126" i="1"/>
  <c r="BF126" i="2"/>
  <c r="BE126" i="2"/>
  <c r="S126" i="1"/>
  <c r="BD126" i="2"/>
  <c r="BC126" i="2"/>
  <c r="BB126" i="2"/>
  <c r="BA126" i="2"/>
  <c r="AZ126" i="2"/>
  <c r="AY126" i="2"/>
  <c r="AX126" i="2"/>
  <c r="AW126" i="2"/>
  <c r="AV126" i="2"/>
  <c r="AU126" i="2"/>
  <c r="AT126" i="2"/>
  <c r="H126" i="1"/>
  <c r="AS126" i="2"/>
  <c r="G126" i="1"/>
  <c r="AR126" i="2"/>
  <c r="AQ126" i="2"/>
  <c r="AP126" i="2"/>
  <c r="D126" i="1"/>
  <c r="AO126" i="2"/>
  <c r="AN126" i="2"/>
  <c r="AM126" i="2"/>
  <c r="AJ126" i="2"/>
  <c r="AI126" i="2"/>
  <c r="BM125" i="2"/>
  <c r="AA125" i="1"/>
  <c r="BL125" i="2"/>
  <c r="BK125" i="2"/>
  <c r="BJ125" i="2"/>
  <c r="X125" i="1"/>
  <c r="BI125" i="2"/>
  <c r="BH125" i="2"/>
  <c r="BG125" i="2"/>
  <c r="U125" i="1"/>
  <c r="BF125" i="2"/>
  <c r="BE125" i="2"/>
  <c r="S125" i="1"/>
  <c r="BD125" i="2"/>
  <c r="BC125" i="2"/>
  <c r="BB125" i="2"/>
  <c r="BA125" i="2"/>
  <c r="AZ125" i="2"/>
  <c r="AY125" i="2"/>
  <c r="AX125" i="2"/>
  <c r="AW125" i="2"/>
  <c r="AV125" i="2"/>
  <c r="AU125" i="2"/>
  <c r="AT125" i="2"/>
  <c r="H125" i="1"/>
  <c r="AS125" i="2"/>
  <c r="G125" i="1"/>
  <c r="AR125" i="2"/>
  <c r="AQ125" i="2"/>
  <c r="AP125" i="2"/>
  <c r="D125" i="1"/>
  <c r="AO125" i="2"/>
  <c r="AN125" i="2"/>
  <c r="AM125" i="2"/>
  <c r="AJ125" i="2"/>
  <c r="AI125" i="2"/>
  <c r="BM124" i="2"/>
  <c r="AA124" i="1"/>
  <c r="BL124" i="2"/>
  <c r="BK124" i="2"/>
  <c r="BJ124" i="2"/>
  <c r="X124" i="1"/>
  <c r="BI124" i="2"/>
  <c r="BH124" i="2"/>
  <c r="BG124" i="2"/>
  <c r="U124" i="1"/>
  <c r="BF124" i="2"/>
  <c r="BE124" i="2"/>
  <c r="S124" i="1"/>
  <c r="BD124" i="2"/>
  <c r="BC124" i="2"/>
  <c r="BB124" i="2"/>
  <c r="BA124" i="2"/>
  <c r="AZ124" i="2"/>
  <c r="AY124" i="2"/>
  <c r="AX124" i="2"/>
  <c r="AW124" i="2"/>
  <c r="AV124" i="2"/>
  <c r="AU124" i="2"/>
  <c r="AT124" i="2"/>
  <c r="H124" i="1"/>
  <c r="AS124" i="2"/>
  <c r="G124" i="1"/>
  <c r="AR124" i="2"/>
  <c r="AQ124" i="2"/>
  <c r="AP124" i="2"/>
  <c r="D124" i="1"/>
  <c r="AO124" i="2"/>
  <c r="AN124" i="2"/>
  <c r="AM124" i="2"/>
  <c r="AJ124" i="2"/>
  <c r="AI124" i="2"/>
  <c r="BM123" i="2"/>
  <c r="AA123" i="1"/>
  <c r="BL123" i="2"/>
  <c r="BK123" i="2"/>
  <c r="BJ123" i="2"/>
  <c r="X123" i="1"/>
  <c r="BI123" i="2"/>
  <c r="BH123" i="2"/>
  <c r="BG123" i="2"/>
  <c r="U123" i="1"/>
  <c r="BF123" i="2"/>
  <c r="BE123" i="2"/>
  <c r="S123" i="1"/>
  <c r="BD123" i="2"/>
  <c r="BC123" i="2"/>
  <c r="BB123" i="2"/>
  <c r="BA123" i="2"/>
  <c r="AZ123" i="2"/>
  <c r="AY123" i="2"/>
  <c r="AX123" i="2"/>
  <c r="AW123" i="2"/>
  <c r="AV123" i="2"/>
  <c r="AU123" i="2"/>
  <c r="AT123" i="2"/>
  <c r="H123" i="1"/>
  <c r="AS123" i="2"/>
  <c r="G123" i="1"/>
  <c r="AR123" i="2"/>
  <c r="AQ123" i="2"/>
  <c r="AP123" i="2"/>
  <c r="D123" i="1"/>
  <c r="AO123" i="2"/>
  <c r="AN123" i="2"/>
  <c r="AM123" i="2"/>
  <c r="AJ123" i="2"/>
  <c r="AI123" i="2"/>
  <c r="BM122" i="2"/>
  <c r="AA122" i="1"/>
  <c r="BL122" i="2"/>
  <c r="BK122" i="2"/>
  <c r="BJ122" i="2"/>
  <c r="X122" i="1"/>
  <c r="BI122" i="2"/>
  <c r="BH122" i="2"/>
  <c r="BG122" i="2"/>
  <c r="U122" i="1"/>
  <c r="BF122" i="2"/>
  <c r="BE122" i="2"/>
  <c r="S122" i="1"/>
  <c r="BD122" i="2"/>
  <c r="BC122" i="2"/>
  <c r="BB122" i="2"/>
  <c r="BA122" i="2"/>
  <c r="AZ122" i="2"/>
  <c r="AY122" i="2"/>
  <c r="AX122" i="2"/>
  <c r="AW122" i="2"/>
  <c r="AV122" i="2"/>
  <c r="AU122" i="2"/>
  <c r="AT122" i="2"/>
  <c r="H122" i="1"/>
  <c r="AS122" i="2"/>
  <c r="G122" i="1"/>
  <c r="AR122" i="2"/>
  <c r="AQ122" i="2"/>
  <c r="AP122" i="2"/>
  <c r="D122" i="1"/>
  <c r="AO122" i="2"/>
  <c r="AN122" i="2"/>
  <c r="AM122" i="2"/>
  <c r="AJ122" i="2"/>
  <c r="AI122" i="2"/>
  <c r="BM121" i="2"/>
  <c r="AA121" i="1"/>
  <c r="BL121" i="2"/>
  <c r="BK121" i="2"/>
  <c r="BJ121" i="2"/>
  <c r="X121" i="1"/>
  <c r="BI121" i="2"/>
  <c r="BH121" i="2"/>
  <c r="BG121" i="2"/>
  <c r="U121" i="1"/>
  <c r="BF121" i="2"/>
  <c r="BE121" i="2"/>
  <c r="S121" i="1"/>
  <c r="BD121" i="2"/>
  <c r="BC121" i="2"/>
  <c r="BB121" i="2"/>
  <c r="BA121" i="2"/>
  <c r="AZ121" i="2"/>
  <c r="AY121" i="2"/>
  <c r="AX121" i="2"/>
  <c r="AW121" i="2"/>
  <c r="AV121" i="2"/>
  <c r="AU121" i="2"/>
  <c r="AT121" i="2"/>
  <c r="H121" i="1"/>
  <c r="AS121" i="2"/>
  <c r="G121" i="1"/>
  <c r="AR121" i="2"/>
  <c r="AQ121" i="2"/>
  <c r="AP121" i="2"/>
  <c r="D121" i="1"/>
  <c r="AO121" i="2"/>
  <c r="AN121" i="2"/>
  <c r="AM121" i="2"/>
  <c r="AJ121" i="2"/>
  <c r="AI121" i="2"/>
  <c r="BM120" i="2"/>
  <c r="AA120" i="1"/>
  <c r="BL120" i="2"/>
  <c r="BK120" i="2"/>
  <c r="BJ120" i="2"/>
  <c r="X120" i="1"/>
  <c r="BI120" i="2"/>
  <c r="BH120" i="2"/>
  <c r="BG120" i="2"/>
  <c r="U120" i="1"/>
  <c r="BF120" i="2"/>
  <c r="BE120" i="2"/>
  <c r="S120" i="1"/>
  <c r="BD120" i="2"/>
  <c r="BC120" i="2"/>
  <c r="BB120" i="2"/>
  <c r="BA120" i="2"/>
  <c r="AZ120" i="2"/>
  <c r="AY120" i="2"/>
  <c r="AX120" i="2"/>
  <c r="AW120" i="2"/>
  <c r="AV120" i="2"/>
  <c r="AU120" i="2"/>
  <c r="AT120" i="2"/>
  <c r="H120" i="1"/>
  <c r="AS120" i="2"/>
  <c r="G120" i="1"/>
  <c r="AR120" i="2"/>
  <c r="AQ120" i="2"/>
  <c r="AP120" i="2"/>
  <c r="D120" i="1"/>
  <c r="AO120" i="2"/>
  <c r="AN120" i="2"/>
  <c r="AM120" i="2"/>
  <c r="AJ120" i="2"/>
  <c r="AI120" i="2"/>
  <c r="BM119" i="2"/>
  <c r="AA119" i="1"/>
  <c r="BL119" i="2"/>
  <c r="BK119" i="2"/>
  <c r="BJ119" i="2"/>
  <c r="X119" i="1"/>
  <c r="BI119" i="2"/>
  <c r="BH119" i="2"/>
  <c r="BG119" i="2"/>
  <c r="U119" i="1"/>
  <c r="BF119" i="2"/>
  <c r="BE119" i="2"/>
  <c r="S119" i="1"/>
  <c r="BD119" i="2"/>
  <c r="BC119" i="2"/>
  <c r="BB119" i="2"/>
  <c r="BA119" i="2"/>
  <c r="AZ119" i="2"/>
  <c r="AY119" i="2"/>
  <c r="AX119" i="2"/>
  <c r="AW119" i="2"/>
  <c r="AV119" i="2"/>
  <c r="AU119" i="2"/>
  <c r="AT119" i="2"/>
  <c r="H119" i="1"/>
  <c r="AS119" i="2"/>
  <c r="G119" i="1"/>
  <c r="AR119" i="2"/>
  <c r="AQ119" i="2"/>
  <c r="AP119" i="2"/>
  <c r="D119" i="1"/>
  <c r="AO119" i="2"/>
  <c r="AN119" i="2"/>
  <c r="AM119" i="2"/>
  <c r="AJ119" i="2"/>
  <c r="AI119" i="2"/>
  <c r="BM118" i="2"/>
  <c r="AA118" i="1"/>
  <c r="BL118" i="2"/>
  <c r="BK118" i="2"/>
  <c r="BJ118" i="2"/>
  <c r="X118" i="1"/>
  <c r="BI118" i="2"/>
  <c r="BH118" i="2"/>
  <c r="BG118" i="2"/>
  <c r="U118" i="1"/>
  <c r="BF118" i="2"/>
  <c r="BE118" i="2"/>
  <c r="S118" i="1"/>
  <c r="BD118" i="2"/>
  <c r="BC118" i="2"/>
  <c r="BB118" i="2"/>
  <c r="BA118" i="2"/>
  <c r="AZ118" i="2"/>
  <c r="AY118" i="2"/>
  <c r="AX118" i="2"/>
  <c r="AW118" i="2"/>
  <c r="AV118" i="2"/>
  <c r="AU118" i="2"/>
  <c r="AT118" i="2"/>
  <c r="H118" i="1"/>
  <c r="AS118" i="2"/>
  <c r="G118" i="1"/>
  <c r="AR118" i="2"/>
  <c r="AQ118" i="2"/>
  <c r="AP118" i="2"/>
  <c r="D118" i="1"/>
  <c r="AO118" i="2"/>
  <c r="AN118" i="2"/>
  <c r="AM118" i="2"/>
  <c r="AJ118" i="2"/>
  <c r="AI118" i="2"/>
  <c r="BM117" i="2"/>
  <c r="AA117" i="1"/>
  <c r="BL117" i="2"/>
  <c r="BK117" i="2"/>
  <c r="BJ117" i="2"/>
  <c r="X117" i="1"/>
  <c r="BI117" i="2"/>
  <c r="BH117" i="2"/>
  <c r="BG117" i="2"/>
  <c r="U117" i="1"/>
  <c r="BF117" i="2"/>
  <c r="BE117" i="2"/>
  <c r="S117" i="1"/>
  <c r="BD117" i="2"/>
  <c r="BC117" i="2"/>
  <c r="BB117" i="2"/>
  <c r="BA117" i="2"/>
  <c r="AZ117" i="2"/>
  <c r="AY117" i="2"/>
  <c r="AX117" i="2"/>
  <c r="AW117" i="2"/>
  <c r="AV117" i="2"/>
  <c r="AU117" i="2"/>
  <c r="AT117" i="2"/>
  <c r="H117" i="1"/>
  <c r="AS117" i="2"/>
  <c r="G117" i="1"/>
  <c r="AR117" i="2"/>
  <c r="AQ117" i="2"/>
  <c r="AP117" i="2"/>
  <c r="D117" i="1"/>
  <c r="AO117" i="2"/>
  <c r="AN117" i="2"/>
  <c r="AM117" i="2"/>
  <c r="AJ117" i="2"/>
  <c r="AI117" i="2"/>
  <c r="BM116" i="2"/>
  <c r="AA116" i="1"/>
  <c r="BL116" i="2"/>
  <c r="BK116" i="2"/>
  <c r="BJ116" i="2"/>
  <c r="X116" i="1"/>
  <c r="BI116" i="2"/>
  <c r="BH116" i="2"/>
  <c r="BG116" i="2"/>
  <c r="U116" i="1"/>
  <c r="BF116" i="2"/>
  <c r="BE116" i="2"/>
  <c r="S116" i="1"/>
  <c r="BD116" i="2"/>
  <c r="BC116" i="2"/>
  <c r="BB116" i="2"/>
  <c r="BA116" i="2"/>
  <c r="AZ116" i="2"/>
  <c r="AY116" i="2"/>
  <c r="AX116" i="2"/>
  <c r="AW116" i="2"/>
  <c r="AV116" i="2"/>
  <c r="AU116" i="2"/>
  <c r="AT116" i="2"/>
  <c r="H116" i="1"/>
  <c r="AS116" i="2"/>
  <c r="G116" i="1"/>
  <c r="AR116" i="2"/>
  <c r="AQ116" i="2"/>
  <c r="AP116" i="2"/>
  <c r="D116" i="1"/>
  <c r="AO116" i="2"/>
  <c r="AN116" i="2"/>
  <c r="AM116" i="2"/>
  <c r="AJ116" i="2"/>
  <c r="AI116" i="2"/>
  <c r="BM115" i="2"/>
  <c r="AA115" i="1"/>
  <c r="BL115" i="2"/>
  <c r="BK115" i="2"/>
  <c r="BJ115" i="2"/>
  <c r="X115" i="1"/>
  <c r="BI115" i="2"/>
  <c r="BH115" i="2"/>
  <c r="BG115" i="2"/>
  <c r="U115" i="1"/>
  <c r="BF115" i="2"/>
  <c r="BE115" i="2"/>
  <c r="S115" i="1"/>
  <c r="BD115" i="2"/>
  <c r="BC115" i="2"/>
  <c r="BB115" i="2"/>
  <c r="BA115" i="2"/>
  <c r="AZ115" i="2"/>
  <c r="AY115" i="2"/>
  <c r="AX115" i="2"/>
  <c r="AW115" i="2"/>
  <c r="AV115" i="2"/>
  <c r="AU115" i="2"/>
  <c r="AT115" i="2"/>
  <c r="H115" i="1"/>
  <c r="AS115" i="2"/>
  <c r="G115" i="1"/>
  <c r="AR115" i="2"/>
  <c r="AQ115" i="2"/>
  <c r="AP115" i="2"/>
  <c r="D115" i="1"/>
  <c r="AO115" i="2"/>
  <c r="AN115" i="2"/>
  <c r="AM115" i="2"/>
  <c r="AJ115" i="2"/>
  <c r="AI115" i="2"/>
  <c r="BM114" i="2"/>
  <c r="AA114" i="1"/>
  <c r="BL114" i="2"/>
  <c r="BK114" i="2"/>
  <c r="BJ114" i="2"/>
  <c r="X114" i="1"/>
  <c r="BI114" i="2"/>
  <c r="BH114" i="2"/>
  <c r="BG114" i="2"/>
  <c r="U114" i="1"/>
  <c r="BF114" i="2"/>
  <c r="BE114" i="2"/>
  <c r="S114" i="1"/>
  <c r="BD114" i="2"/>
  <c r="BC114" i="2"/>
  <c r="BB114" i="2"/>
  <c r="BA114" i="2"/>
  <c r="AZ114" i="2"/>
  <c r="AY114" i="2"/>
  <c r="AX114" i="2"/>
  <c r="AW114" i="2"/>
  <c r="AV114" i="2"/>
  <c r="AU114" i="2"/>
  <c r="AT114" i="2"/>
  <c r="H114" i="1"/>
  <c r="AS114" i="2"/>
  <c r="G114" i="1"/>
  <c r="AR114" i="2"/>
  <c r="AQ114" i="2"/>
  <c r="AP114" i="2"/>
  <c r="D114" i="1"/>
  <c r="AO114" i="2"/>
  <c r="AN114" i="2"/>
  <c r="AM114" i="2"/>
  <c r="AJ114" i="2"/>
  <c r="AI114" i="2"/>
  <c r="BM113" i="2"/>
  <c r="AA113" i="1"/>
  <c r="BL113" i="2"/>
  <c r="BK113" i="2"/>
  <c r="BJ113" i="2"/>
  <c r="X113" i="1"/>
  <c r="BI113" i="2"/>
  <c r="BH113" i="2"/>
  <c r="BG113" i="2"/>
  <c r="U113" i="1"/>
  <c r="BF113" i="2"/>
  <c r="BE113" i="2"/>
  <c r="S113" i="1"/>
  <c r="BD113" i="2"/>
  <c r="BC113" i="2"/>
  <c r="BB113" i="2"/>
  <c r="BA113" i="2"/>
  <c r="AZ113" i="2"/>
  <c r="AY113" i="2"/>
  <c r="AX113" i="2"/>
  <c r="AW113" i="2"/>
  <c r="AV113" i="2"/>
  <c r="AU113" i="2"/>
  <c r="AT113" i="2"/>
  <c r="H113" i="1"/>
  <c r="AS113" i="2"/>
  <c r="G113" i="1"/>
  <c r="AR113" i="2"/>
  <c r="AQ113" i="2"/>
  <c r="AP113" i="2"/>
  <c r="D113" i="1"/>
  <c r="AO113" i="2"/>
  <c r="AN113" i="2"/>
  <c r="AM113" i="2"/>
  <c r="AJ113" i="2"/>
  <c r="AI113" i="2"/>
  <c r="BM112" i="2"/>
  <c r="AA112" i="1"/>
  <c r="BL112" i="2"/>
  <c r="BK112" i="2"/>
  <c r="BJ112" i="2"/>
  <c r="X112" i="1"/>
  <c r="BI112" i="2"/>
  <c r="BH112" i="2"/>
  <c r="BG112" i="2"/>
  <c r="U112" i="1"/>
  <c r="BF112" i="2"/>
  <c r="BE112" i="2"/>
  <c r="S112" i="1"/>
  <c r="BD112" i="2"/>
  <c r="BC112" i="2"/>
  <c r="BB112" i="2"/>
  <c r="BA112" i="2"/>
  <c r="AZ112" i="2"/>
  <c r="AY112" i="2"/>
  <c r="AX112" i="2"/>
  <c r="AW112" i="2"/>
  <c r="AV112" i="2"/>
  <c r="AU112" i="2"/>
  <c r="AT112" i="2"/>
  <c r="H112" i="1"/>
  <c r="AS112" i="2"/>
  <c r="G112" i="1"/>
  <c r="AR112" i="2"/>
  <c r="AQ112" i="2"/>
  <c r="AP112" i="2"/>
  <c r="D112" i="1"/>
  <c r="AO112" i="2"/>
  <c r="AN112" i="2"/>
  <c r="AM112" i="2"/>
  <c r="AJ112" i="2"/>
  <c r="AI112" i="2"/>
  <c r="BM111" i="2"/>
  <c r="AA111" i="1"/>
  <c r="BL111" i="2"/>
  <c r="BK111" i="2"/>
  <c r="BJ111" i="2"/>
  <c r="X111" i="1"/>
  <c r="BI111" i="2"/>
  <c r="BH111" i="2"/>
  <c r="BG111" i="2"/>
  <c r="U111" i="1"/>
  <c r="BF111" i="2"/>
  <c r="BE111" i="2"/>
  <c r="S111" i="1"/>
  <c r="BD111" i="2"/>
  <c r="BC111" i="2"/>
  <c r="BB111" i="2"/>
  <c r="BA111" i="2"/>
  <c r="AZ111" i="2"/>
  <c r="AY111" i="2"/>
  <c r="AX111" i="2"/>
  <c r="AW111" i="2"/>
  <c r="AV111" i="2"/>
  <c r="AU111" i="2"/>
  <c r="AT111" i="2"/>
  <c r="H111" i="1"/>
  <c r="AS111" i="2"/>
  <c r="G111" i="1"/>
  <c r="AR111" i="2"/>
  <c r="AQ111" i="2"/>
  <c r="AP111" i="2"/>
  <c r="D111" i="1"/>
  <c r="AO111" i="2"/>
  <c r="AN111" i="2"/>
  <c r="AM111" i="2"/>
  <c r="AJ111" i="2"/>
  <c r="AI111" i="2"/>
  <c r="BM110" i="2"/>
  <c r="AA110" i="1"/>
  <c r="BL110" i="2"/>
  <c r="BK110" i="2"/>
  <c r="BJ110" i="2"/>
  <c r="X110" i="1"/>
  <c r="BI110" i="2"/>
  <c r="BH110" i="2"/>
  <c r="BG110" i="2"/>
  <c r="U110" i="1"/>
  <c r="BF110" i="2"/>
  <c r="BE110" i="2"/>
  <c r="S110" i="1"/>
  <c r="BD110" i="2"/>
  <c r="BC110" i="2"/>
  <c r="BB110" i="2"/>
  <c r="BA110" i="2"/>
  <c r="AZ110" i="2"/>
  <c r="AY110" i="2"/>
  <c r="AX110" i="2"/>
  <c r="AW110" i="2"/>
  <c r="AV110" i="2"/>
  <c r="AU110" i="2"/>
  <c r="AT110" i="2"/>
  <c r="H110" i="1"/>
  <c r="AS110" i="2"/>
  <c r="G110" i="1"/>
  <c r="AR110" i="2"/>
  <c r="AQ110" i="2"/>
  <c r="AP110" i="2"/>
  <c r="D110" i="1"/>
  <c r="AO110" i="2"/>
  <c r="AN110" i="2"/>
  <c r="AM110" i="2"/>
  <c r="AJ110" i="2"/>
  <c r="AI110" i="2"/>
  <c r="BM109" i="2"/>
  <c r="AA109" i="1"/>
  <c r="BL109" i="2"/>
  <c r="BK109" i="2"/>
  <c r="BJ109" i="2"/>
  <c r="X109" i="1"/>
  <c r="BI109" i="2"/>
  <c r="BH109" i="2"/>
  <c r="BG109" i="2"/>
  <c r="U109" i="1"/>
  <c r="BF109" i="2"/>
  <c r="BE109" i="2"/>
  <c r="S109" i="1"/>
  <c r="BD109" i="2"/>
  <c r="BC109" i="2"/>
  <c r="BB109" i="2"/>
  <c r="BA109" i="2"/>
  <c r="AZ109" i="2"/>
  <c r="AY109" i="2"/>
  <c r="AX109" i="2"/>
  <c r="AW109" i="2"/>
  <c r="AV109" i="2"/>
  <c r="AU109" i="2"/>
  <c r="AT109" i="2"/>
  <c r="H109" i="1"/>
  <c r="AS109" i="2"/>
  <c r="G109" i="1"/>
  <c r="AR109" i="2"/>
  <c r="AQ109" i="2"/>
  <c r="AP109" i="2"/>
  <c r="D109" i="1"/>
  <c r="AO109" i="2"/>
  <c r="AN109" i="2"/>
  <c r="AM109" i="2"/>
  <c r="AJ109" i="2"/>
  <c r="AI109" i="2"/>
  <c r="BM108" i="2"/>
  <c r="AA108" i="1"/>
  <c r="BL108" i="2"/>
  <c r="BK108" i="2"/>
  <c r="BJ108" i="2"/>
  <c r="X108" i="1"/>
  <c r="BI108" i="2"/>
  <c r="BH108" i="2"/>
  <c r="BG108" i="2"/>
  <c r="U108" i="1"/>
  <c r="BF108" i="2"/>
  <c r="BE108" i="2"/>
  <c r="S108" i="1"/>
  <c r="BD108" i="2"/>
  <c r="BC108" i="2"/>
  <c r="BB108" i="2"/>
  <c r="BA108" i="2"/>
  <c r="AZ108" i="2"/>
  <c r="AY108" i="2"/>
  <c r="AX108" i="2"/>
  <c r="AW108" i="2"/>
  <c r="AV108" i="2"/>
  <c r="AU108" i="2"/>
  <c r="AT108" i="2"/>
  <c r="H108" i="1"/>
  <c r="AS108" i="2"/>
  <c r="G108" i="1"/>
  <c r="AR108" i="2"/>
  <c r="AQ108" i="2"/>
  <c r="AP108" i="2"/>
  <c r="D108" i="1"/>
  <c r="AO108" i="2"/>
  <c r="AN108" i="2"/>
  <c r="AM108" i="2"/>
  <c r="AJ108" i="2"/>
  <c r="AI108" i="2"/>
  <c r="BM107" i="2"/>
  <c r="AA107" i="1"/>
  <c r="BL107" i="2"/>
  <c r="BK107" i="2"/>
  <c r="BJ107" i="2"/>
  <c r="X107" i="1"/>
  <c r="BI107" i="2"/>
  <c r="BH107" i="2"/>
  <c r="BG107" i="2"/>
  <c r="U107" i="1"/>
  <c r="BF107" i="2"/>
  <c r="BE107" i="2"/>
  <c r="S107" i="1"/>
  <c r="BD107" i="2"/>
  <c r="BC107" i="2"/>
  <c r="BB107" i="2"/>
  <c r="BA107" i="2"/>
  <c r="AZ107" i="2"/>
  <c r="AY107" i="2"/>
  <c r="AX107" i="2"/>
  <c r="AW107" i="2"/>
  <c r="AV107" i="2"/>
  <c r="AU107" i="2"/>
  <c r="AT107" i="2"/>
  <c r="H107" i="1"/>
  <c r="AS107" i="2"/>
  <c r="G107" i="1"/>
  <c r="AR107" i="2"/>
  <c r="AQ107" i="2"/>
  <c r="AP107" i="2"/>
  <c r="D107" i="1"/>
  <c r="AO107" i="2"/>
  <c r="AN107" i="2"/>
  <c r="AM107" i="2"/>
  <c r="AJ107" i="2"/>
  <c r="AI107" i="2"/>
  <c r="BM106" i="2"/>
  <c r="AA106" i="1"/>
  <c r="BL106" i="2"/>
  <c r="BK106" i="2"/>
  <c r="BJ106" i="2"/>
  <c r="X106" i="1"/>
  <c r="BI106" i="2"/>
  <c r="BH106" i="2"/>
  <c r="BG106" i="2"/>
  <c r="U106" i="1"/>
  <c r="BF106" i="2"/>
  <c r="BE106" i="2"/>
  <c r="S106" i="1"/>
  <c r="BD106" i="2"/>
  <c r="BC106" i="2"/>
  <c r="BB106" i="2"/>
  <c r="BA106" i="2"/>
  <c r="AZ106" i="2"/>
  <c r="AY106" i="2"/>
  <c r="AX106" i="2"/>
  <c r="AW106" i="2"/>
  <c r="AV106" i="2"/>
  <c r="AU106" i="2"/>
  <c r="AT106" i="2"/>
  <c r="H106" i="1"/>
  <c r="AS106" i="2"/>
  <c r="G106" i="1"/>
  <c r="AR106" i="2"/>
  <c r="AQ106" i="2"/>
  <c r="AP106" i="2"/>
  <c r="D106" i="1"/>
  <c r="AO106" i="2"/>
  <c r="AN106" i="2"/>
  <c r="AM106" i="2"/>
  <c r="AJ106" i="2"/>
  <c r="AI106" i="2"/>
  <c r="BM105" i="2"/>
  <c r="AA105" i="1"/>
  <c r="BL105" i="2"/>
  <c r="BK105" i="2"/>
  <c r="BJ105" i="2"/>
  <c r="X105" i="1"/>
  <c r="BI105" i="2"/>
  <c r="BH105" i="2"/>
  <c r="BG105" i="2"/>
  <c r="U105" i="1"/>
  <c r="BF105" i="2"/>
  <c r="BE105" i="2"/>
  <c r="S105" i="1"/>
  <c r="BD105" i="2"/>
  <c r="BC105" i="2"/>
  <c r="BB105" i="2"/>
  <c r="BA105" i="2"/>
  <c r="AZ105" i="2"/>
  <c r="AY105" i="2"/>
  <c r="AX105" i="2"/>
  <c r="AW105" i="2"/>
  <c r="AV105" i="2"/>
  <c r="AU105" i="2"/>
  <c r="AT105" i="2"/>
  <c r="H105" i="1"/>
  <c r="AS105" i="2"/>
  <c r="G105" i="1"/>
  <c r="AR105" i="2"/>
  <c r="AQ105" i="2"/>
  <c r="AP105" i="2"/>
  <c r="D105" i="1"/>
  <c r="AO105" i="2"/>
  <c r="AN105" i="2"/>
  <c r="AM105" i="2"/>
  <c r="AJ105" i="2"/>
  <c r="AI105" i="2"/>
  <c r="BM104" i="2"/>
  <c r="AA104" i="1"/>
  <c r="BL104" i="2"/>
  <c r="BK104" i="2"/>
  <c r="BJ104" i="2"/>
  <c r="X104" i="1"/>
  <c r="BI104" i="2"/>
  <c r="BH104" i="2"/>
  <c r="BG104" i="2"/>
  <c r="U104" i="1"/>
  <c r="BF104" i="2"/>
  <c r="BE104" i="2"/>
  <c r="S104" i="1"/>
  <c r="BD104" i="2"/>
  <c r="BC104" i="2"/>
  <c r="BB104" i="2"/>
  <c r="BA104" i="2"/>
  <c r="AZ104" i="2"/>
  <c r="AY104" i="2"/>
  <c r="AX104" i="2"/>
  <c r="AW104" i="2"/>
  <c r="AV104" i="2"/>
  <c r="AU104" i="2"/>
  <c r="AT104" i="2"/>
  <c r="H104" i="1"/>
  <c r="AS104" i="2"/>
  <c r="G104" i="1"/>
  <c r="AR104" i="2"/>
  <c r="AQ104" i="2"/>
  <c r="AP104" i="2"/>
  <c r="D104" i="1"/>
  <c r="AO104" i="2"/>
  <c r="AN104" i="2"/>
  <c r="AM104" i="2"/>
  <c r="AJ104" i="2"/>
  <c r="AI104" i="2"/>
  <c r="BM103" i="2"/>
  <c r="AA103" i="1"/>
  <c r="BL103" i="2"/>
  <c r="BK103" i="2"/>
  <c r="BJ103" i="2"/>
  <c r="X103" i="1"/>
  <c r="BI103" i="2"/>
  <c r="BH103" i="2"/>
  <c r="BG103" i="2"/>
  <c r="U103" i="1"/>
  <c r="BF103" i="2"/>
  <c r="BE103" i="2"/>
  <c r="S103" i="1"/>
  <c r="BD103" i="2"/>
  <c r="BC103" i="2"/>
  <c r="BB103" i="2"/>
  <c r="BA103" i="2"/>
  <c r="AZ103" i="2"/>
  <c r="AY103" i="2"/>
  <c r="AX103" i="2"/>
  <c r="AW103" i="2"/>
  <c r="AV103" i="2"/>
  <c r="AU103" i="2"/>
  <c r="AT103" i="2"/>
  <c r="H103" i="1"/>
  <c r="AS103" i="2"/>
  <c r="G103" i="1"/>
  <c r="AR103" i="2"/>
  <c r="AQ103" i="2"/>
  <c r="AP103" i="2"/>
  <c r="D103" i="1"/>
  <c r="AO103" i="2"/>
  <c r="AN103" i="2"/>
  <c r="AM103" i="2"/>
  <c r="AJ103" i="2"/>
  <c r="AI103" i="2"/>
  <c r="BM102" i="2"/>
  <c r="AA102" i="1"/>
  <c r="BL102" i="2"/>
  <c r="BK102" i="2"/>
  <c r="BJ102" i="2"/>
  <c r="X102" i="1"/>
  <c r="BI102" i="2"/>
  <c r="BH102" i="2"/>
  <c r="BG102" i="2"/>
  <c r="U102" i="1"/>
  <c r="BF102" i="2"/>
  <c r="BE102" i="2"/>
  <c r="S102" i="1"/>
  <c r="BD102" i="2"/>
  <c r="BC102" i="2"/>
  <c r="BB102" i="2"/>
  <c r="BA102" i="2"/>
  <c r="AZ102" i="2"/>
  <c r="AY102" i="2"/>
  <c r="AX102" i="2"/>
  <c r="AW102" i="2"/>
  <c r="AV102" i="2"/>
  <c r="AU102" i="2"/>
  <c r="AT102" i="2"/>
  <c r="H102" i="1"/>
  <c r="AS102" i="2"/>
  <c r="G102" i="1"/>
  <c r="AR102" i="2"/>
  <c r="AQ102" i="2"/>
  <c r="AP102" i="2"/>
  <c r="D102" i="1"/>
  <c r="AO102" i="2"/>
  <c r="AN102" i="2"/>
  <c r="AM102" i="2"/>
  <c r="AJ102" i="2"/>
  <c r="AI102" i="2"/>
  <c r="BM101" i="2"/>
  <c r="AA101" i="1"/>
  <c r="BL101" i="2"/>
  <c r="BK101" i="2"/>
  <c r="BJ101" i="2"/>
  <c r="X101" i="1"/>
  <c r="BI101" i="2"/>
  <c r="BH101" i="2"/>
  <c r="BG101" i="2"/>
  <c r="U101" i="1"/>
  <c r="BF101" i="2"/>
  <c r="BE101" i="2"/>
  <c r="S101" i="1"/>
  <c r="BD101" i="2"/>
  <c r="BC101" i="2"/>
  <c r="BB101" i="2"/>
  <c r="BA101" i="2"/>
  <c r="AZ101" i="2"/>
  <c r="AY101" i="2"/>
  <c r="AX101" i="2"/>
  <c r="AW101" i="2"/>
  <c r="AV101" i="2"/>
  <c r="AU101" i="2"/>
  <c r="AT101" i="2"/>
  <c r="H101" i="1"/>
  <c r="AS101" i="2"/>
  <c r="G101" i="1"/>
  <c r="AR101" i="2"/>
  <c r="AQ101" i="2"/>
  <c r="AP101" i="2"/>
  <c r="D101" i="1"/>
  <c r="AO101" i="2"/>
  <c r="AN101" i="2"/>
  <c r="AM101" i="2"/>
  <c r="AJ101" i="2"/>
  <c r="AI101" i="2"/>
  <c r="BM100" i="2"/>
  <c r="AA100" i="1"/>
  <c r="BL100" i="2"/>
  <c r="BK100" i="2"/>
  <c r="BJ100" i="2"/>
  <c r="X100" i="1"/>
  <c r="BI100" i="2"/>
  <c r="BH100" i="2"/>
  <c r="BG100" i="2"/>
  <c r="U100" i="1"/>
  <c r="BF100" i="2"/>
  <c r="BE100" i="2"/>
  <c r="S100" i="1"/>
  <c r="BD100" i="2"/>
  <c r="BC100" i="2"/>
  <c r="BB100" i="2"/>
  <c r="BA100" i="2"/>
  <c r="AZ100" i="2"/>
  <c r="AY100" i="2"/>
  <c r="AX100" i="2"/>
  <c r="AW100" i="2"/>
  <c r="AV100" i="2"/>
  <c r="AU100" i="2"/>
  <c r="AT100" i="2"/>
  <c r="H100" i="1"/>
  <c r="AS100" i="2"/>
  <c r="G100" i="1"/>
  <c r="AR100" i="2"/>
  <c r="AQ100" i="2"/>
  <c r="AP100" i="2"/>
  <c r="D100" i="1"/>
  <c r="AO100" i="2"/>
  <c r="AN100" i="2"/>
  <c r="AM100" i="2"/>
  <c r="AJ100" i="2"/>
  <c r="AI100" i="2"/>
  <c r="BM99" i="2"/>
  <c r="AA99" i="1"/>
  <c r="BL99" i="2"/>
  <c r="BK99" i="2"/>
  <c r="BJ99" i="2"/>
  <c r="X99" i="1"/>
  <c r="BI99" i="2"/>
  <c r="BH99" i="2"/>
  <c r="BG99" i="2"/>
  <c r="U99" i="1"/>
  <c r="BF99" i="2"/>
  <c r="BE99" i="2"/>
  <c r="S99" i="1"/>
  <c r="BD99" i="2"/>
  <c r="BC99" i="2"/>
  <c r="BB99" i="2"/>
  <c r="BA99" i="2"/>
  <c r="AZ99" i="2"/>
  <c r="AY99" i="2"/>
  <c r="AX99" i="2"/>
  <c r="AW99" i="2"/>
  <c r="AV99" i="2"/>
  <c r="AU99" i="2"/>
  <c r="AT99" i="2"/>
  <c r="H99" i="1"/>
  <c r="AS99" i="2"/>
  <c r="G99" i="1"/>
  <c r="AR99" i="2"/>
  <c r="AQ99" i="2"/>
  <c r="AP99" i="2"/>
  <c r="D99" i="1"/>
  <c r="AO99" i="2"/>
  <c r="AN99" i="2"/>
  <c r="AM99" i="2"/>
  <c r="AJ99" i="2"/>
  <c r="AI99" i="2"/>
  <c r="BM98" i="2"/>
  <c r="AA98" i="1"/>
  <c r="BL98" i="2"/>
  <c r="BK98" i="2"/>
  <c r="BJ98" i="2"/>
  <c r="X98" i="1"/>
  <c r="BI98" i="2"/>
  <c r="BH98" i="2"/>
  <c r="BG98" i="2"/>
  <c r="U98" i="1"/>
  <c r="BF98" i="2"/>
  <c r="BE98" i="2"/>
  <c r="S98" i="1"/>
  <c r="BD98" i="2"/>
  <c r="BC98" i="2"/>
  <c r="BB98" i="2"/>
  <c r="BA98" i="2"/>
  <c r="AZ98" i="2"/>
  <c r="AY98" i="2"/>
  <c r="AX98" i="2"/>
  <c r="AW98" i="2"/>
  <c r="AV98" i="2"/>
  <c r="AU98" i="2"/>
  <c r="AT98" i="2"/>
  <c r="H98" i="1"/>
  <c r="AS98" i="2"/>
  <c r="G98" i="1"/>
  <c r="AR98" i="2"/>
  <c r="AQ98" i="2"/>
  <c r="AP98" i="2"/>
  <c r="D98" i="1"/>
  <c r="AO98" i="2"/>
  <c r="AN98" i="2"/>
  <c r="AM98" i="2"/>
  <c r="AJ98" i="2"/>
  <c r="AI98" i="2"/>
  <c r="BM97" i="2"/>
  <c r="AA97" i="1"/>
  <c r="BL97" i="2"/>
  <c r="BK97" i="2"/>
  <c r="BJ97" i="2"/>
  <c r="X97" i="1"/>
  <c r="BI97" i="2"/>
  <c r="BH97" i="2"/>
  <c r="BG97" i="2"/>
  <c r="U97" i="1"/>
  <c r="BF97" i="2"/>
  <c r="BE97" i="2"/>
  <c r="S97" i="1"/>
  <c r="BD97" i="2"/>
  <c r="BC97" i="2"/>
  <c r="BB97" i="2"/>
  <c r="BA97" i="2"/>
  <c r="AZ97" i="2"/>
  <c r="AY97" i="2"/>
  <c r="AX97" i="2"/>
  <c r="AW97" i="2"/>
  <c r="AV97" i="2"/>
  <c r="AU97" i="2"/>
  <c r="AT97" i="2"/>
  <c r="H97" i="1"/>
  <c r="AS97" i="2"/>
  <c r="G97" i="1"/>
  <c r="AR97" i="2"/>
  <c r="AQ97" i="2"/>
  <c r="AP97" i="2"/>
  <c r="D97" i="1"/>
  <c r="AO97" i="2"/>
  <c r="AN97" i="2"/>
  <c r="AM97" i="2"/>
  <c r="AJ97" i="2"/>
  <c r="AI97" i="2"/>
  <c r="BM96" i="2"/>
  <c r="AA96" i="1"/>
  <c r="BL96" i="2"/>
  <c r="BK96" i="2"/>
  <c r="BJ96" i="2"/>
  <c r="X96" i="1"/>
  <c r="BI96" i="2"/>
  <c r="BH96" i="2"/>
  <c r="BG96" i="2"/>
  <c r="U96" i="1"/>
  <c r="BF96" i="2"/>
  <c r="BE96" i="2"/>
  <c r="S96" i="1"/>
  <c r="BD96" i="2"/>
  <c r="BC96" i="2"/>
  <c r="BB96" i="2"/>
  <c r="BA96" i="2"/>
  <c r="AZ96" i="2"/>
  <c r="AY96" i="2"/>
  <c r="AX96" i="2"/>
  <c r="AW96" i="2"/>
  <c r="AV96" i="2"/>
  <c r="AU96" i="2"/>
  <c r="AT96" i="2"/>
  <c r="H96" i="1"/>
  <c r="AS96" i="2"/>
  <c r="G96" i="1"/>
  <c r="AR96" i="2"/>
  <c r="AQ96" i="2"/>
  <c r="AP96" i="2"/>
  <c r="D96" i="1"/>
  <c r="AO96" i="2"/>
  <c r="AN96" i="2"/>
  <c r="AM96" i="2"/>
  <c r="AJ96" i="2"/>
  <c r="AI96" i="2"/>
  <c r="BM95" i="2"/>
  <c r="AA95" i="1"/>
  <c r="BL95" i="2"/>
  <c r="BK95" i="2"/>
  <c r="BJ95" i="2"/>
  <c r="X95" i="1"/>
  <c r="BI95" i="2"/>
  <c r="BH95" i="2"/>
  <c r="BG95" i="2"/>
  <c r="U95" i="1"/>
  <c r="BF95" i="2"/>
  <c r="BE95" i="2"/>
  <c r="S95" i="1"/>
  <c r="BD95" i="2"/>
  <c r="BC95" i="2"/>
  <c r="BB95" i="2"/>
  <c r="BA95" i="2"/>
  <c r="AZ95" i="2"/>
  <c r="AY95" i="2"/>
  <c r="AX95" i="2"/>
  <c r="AW95" i="2"/>
  <c r="AV95" i="2"/>
  <c r="AU95" i="2"/>
  <c r="AT95" i="2"/>
  <c r="H95" i="1"/>
  <c r="AS95" i="2"/>
  <c r="G95" i="1"/>
  <c r="AR95" i="2"/>
  <c r="AQ95" i="2"/>
  <c r="AP95" i="2"/>
  <c r="D95" i="1"/>
  <c r="AO95" i="2"/>
  <c r="AN95" i="2"/>
  <c r="AM95" i="2"/>
  <c r="AJ95" i="2"/>
  <c r="AI95" i="2"/>
  <c r="BM94" i="2"/>
  <c r="AA94" i="1"/>
  <c r="BL94" i="2"/>
  <c r="BK94" i="2"/>
  <c r="BJ94" i="2"/>
  <c r="X94" i="1"/>
  <c r="BI94" i="2"/>
  <c r="BH94" i="2"/>
  <c r="BG94" i="2"/>
  <c r="U94" i="1"/>
  <c r="BF94" i="2"/>
  <c r="BE94" i="2"/>
  <c r="S94" i="1"/>
  <c r="BD94" i="2"/>
  <c r="BC94" i="2"/>
  <c r="BB94" i="2"/>
  <c r="BA94" i="2"/>
  <c r="AZ94" i="2"/>
  <c r="AY94" i="2"/>
  <c r="AX94" i="2"/>
  <c r="AW94" i="2"/>
  <c r="AV94" i="2"/>
  <c r="AU94" i="2"/>
  <c r="AT94" i="2"/>
  <c r="H94" i="1"/>
  <c r="AS94" i="2"/>
  <c r="G94" i="1"/>
  <c r="AR94" i="2"/>
  <c r="AQ94" i="2"/>
  <c r="AP94" i="2"/>
  <c r="D94" i="1"/>
  <c r="AO94" i="2"/>
  <c r="AN94" i="2"/>
  <c r="AM94" i="2"/>
  <c r="AJ94" i="2"/>
  <c r="AI94" i="2"/>
  <c r="BM93" i="2"/>
  <c r="AA93" i="1"/>
  <c r="BL93" i="2"/>
  <c r="BK93" i="2"/>
  <c r="BJ93" i="2"/>
  <c r="X93" i="1"/>
  <c r="BI93" i="2"/>
  <c r="BH93" i="2"/>
  <c r="BG93" i="2"/>
  <c r="U93" i="1"/>
  <c r="BF93" i="2"/>
  <c r="BE93" i="2"/>
  <c r="S93" i="1"/>
  <c r="BD93" i="2"/>
  <c r="BC93" i="2"/>
  <c r="BB93" i="2"/>
  <c r="BA93" i="2"/>
  <c r="AZ93" i="2"/>
  <c r="AY93" i="2"/>
  <c r="AX93" i="2"/>
  <c r="AW93" i="2"/>
  <c r="AV93" i="2"/>
  <c r="AU93" i="2"/>
  <c r="AT93" i="2"/>
  <c r="H93" i="1"/>
  <c r="AS93" i="2"/>
  <c r="G93" i="1"/>
  <c r="AR93" i="2"/>
  <c r="AQ93" i="2"/>
  <c r="AP93" i="2"/>
  <c r="D93" i="1"/>
  <c r="AO93" i="2"/>
  <c r="AN93" i="2"/>
  <c r="AM93" i="2"/>
  <c r="AJ93" i="2"/>
  <c r="AI93" i="2"/>
  <c r="BM92" i="2"/>
  <c r="AA92" i="1"/>
  <c r="BL92" i="2"/>
  <c r="BK92" i="2"/>
  <c r="BJ92" i="2"/>
  <c r="X92" i="1"/>
  <c r="BI92" i="2"/>
  <c r="BH92" i="2"/>
  <c r="BG92" i="2"/>
  <c r="U92" i="1"/>
  <c r="BF92" i="2"/>
  <c r="BE92" i="2"/>
  <c r="S92" i="1"/>
  <c r="BD92" i="2"/>
  <c r="BC92" i="2"/>
  <c r="BB92" i="2"/>
  <c r="BA92" i="2"/>
  <c r="AZ92" i="2"/>
  <c r="AY92" i="2"/>
  <c r="AX92" i="2"/>
  <c r="AW92" i="2"/>
  <c r="AV92" i="2"/>
  <c r="AU92" i="2"/>
  <c r="AT92" i="2"/>
  <c r="H92" i="1"/>
  <c r="AS92" i="2"/>
  <c r="G92" i="1"/>
  <c r="AR92" i="2"/>
  <c r="AQ92" i="2"/>
  <c r="AP92" i="2"/>
  <c r="D92" i="1"/>
  <c r="AO92" i="2"/>
  <c r="AN92" i="2"/>
  <c r="AM92" i="2"/>
  <c r="AJ92" i="2"/>
  <c r="AI92" i="2"/>
  <c r="BM91" i="2"/>
  <c r="AA91" i="1"/>
  <c r="BL91" i="2"/>
  <c r="BK91" i="2"/>
  <c r="BJ91" i="2"/>
  <c r="X91" i="1"/>
  <c r="BI91" i="2"/>
  <c r="BH91" i="2"/>
  <c r="BG91" i="2"/>
  <c r="U91" i="1"/>
  <c r="BF91" i="2"/>
  <c r="BE91" i="2"/>
  <c r="S91" i="1"/>
  <c r="BD91" i="2"/>
  <c r="BC91" i="2"/>
  <c r="BB91" i="2"/>
  <c r="BA91" i="2"/>
  <c r="AZ91" i="2"/>
  <c r="AY91" i="2"/>
  <c r="AX91" i="2"/>
  <c r="AW91" i="2"/>
  <c r="AV91" i="2"/>
  <c r="AU91" i="2"/>
  <c r="AT91" i="2"/>
  <c r="H91" i="1"/>
  <c r="AS91" i="2"/>
  <c r="G91" i="1"/>
  <c r="AR91" i="2"/>
  <c r="AQ91" i="2"/>
  <c r="AP91" i="2"/>
  <c r="D91" i="1"/>
  <c r="AO91" i="2"/>
  <c r="AN91" i="2"/>
  <c r="AM91" i="2"/>
  <c r="AJ91" i="2"/>
  <c r="AI91" i="2"/>
  <c r="BM90" i="2"/>
  <c r="AA90" i="1"/>
  <c r="BL90" i="2"/>
  <c r="BK90" i="2"/>
  <c r="BJ90" i="2"/>
  <c r="X90" i="1"/>
  <c r="BI90" i="2"/>
  <c r="BH90" i="2"/>
  <c r="BG90" i="2"/>
  <c r="U90" i="1"/>
  <c r="BF90" i="2"/>
  <c r="BE90" i="2"/>
  <c r="S90" i="1"/>
  <c r="BD90" i="2"/>
  <c r="BC90" i="2"/>
  <c r="BB90" i="2"/>
  <c r="BA90" i="2"/>
  <c r="AZ90" i="2"/>
  <c r="AY90" i="2"/>
  <c r="AX90" i="2"/>
  <c r="AW90" i="2"/>
  <c r="AV90" i="2"/>
  <c r="AU90" i="2"/>
  <c r="AT90" i="2"/>
  <c r="H90" i="1"/>
  <c r="AS90" i="2"/>
  <c r="G90" i="1"/>
  <c r="AR90" i="2"/>
  <c r="AQ90" i="2"/>
  <c r="AP90" i="2"/>
  <c r="D90" i="1"/>
  <c r="AO90" i="2"/>
  <c r="AN90" i="2"/>
  <c r="AM90" i="2"/>
  <c r="AJ90" i="2"/>
  <c r="AI90" i="2"/>
  <c r="BM89" i="2"/>
  <c r="AA89" i="1"/>
  <c r="BL89" i="2"/>
  <c r="BK89" i="2"/>
  <c r="BJ89" i="2"/>
  <c r="X89" i="1"/>
  <c r="BI89" i="2"/>
  <c r="BH89" i="2"/>
  <c r="BG89" i="2"/>
  <c r="U89" i="1"/>
  <c r="BF89" i="2"/>
  <c r="BE89" i="2"/>
  <c r="S89" i="1"/>
  <c r="BD89" i="2"/>
  <c r="BC89" i="2"/>
  <c r="BB89" i="2"/>
  <c r="BA89" i="2"/>
  <c r="AZ89" i="2"/>
  <c r="AY89" i="2"/>
  <c r="AX89" i="2"/>
  <c r="AW89" i="2"/>
  <c r="AV89" i="2"/>
  <c r="AU89" i="2"/>
  <c r="AT89" i="2"/>
  <c r="H89" i="1"/>
  <c r="AS89" i="2"/>
  <c r="G89" i="1"/>
  <c r="AR89" i="2"/>
  <c r="AQ89" i="2"/>
  <c r="AP89" i="2"/>
  <c r="D89" i="1"/>
  <c r="AO89" i="2"/>
  <c r="AN89" i="2"/>
  <c r="AM89" i="2"/>
  <c r="AJ89" i="2"/>
  <c r="AI89" i="2"/>
  <c r="BM88" i="2"/>
  <c r="AA88" i="1"/>
  <c r="BL88" i="2"/>
  <c r="BK88" i="2"/>
  <c r="BJ88" i="2"/>
  <c r="X88" i="1"/>
  <c r="BI88" i="2"/>
  <c r="BH88" i="2"/>
  <c r="BG88" i="2"/>
  <c r="U88" i="1"/>
  <c r="BF88" i="2"/>
  <c r="BE88" i="2"/>
  <c r="S88" i="1"/>
  <c r="BD88" i="2"/>
  <c r="BC88" i="2"/>
  <c r="BB88" i="2"/>
  <c r="BA88" i="2"/>
  <c r="AZ88" i="2"/>
  <c r="AY88" i="2"/>
  <c r="AX88" i="2"/>
  <c r="AW88" i="2"/>
  <c r="AV88" i="2"/>
  <c r="AU88" i="2"/>
  <c r="AT88" i="2"/>
  <c r="H88" i="1"/>
  <c r="AS88" i="2"/>
  <c r="G88" i="1"/>
  <c r="AR88" i="2"/>
  <c r="AQ88" i="2"/>
  <c r="AP88" i="2"/>
  <c r="D88" i="1"/>
  <c r="AO88" i="2"/>
  <c r="AN88" i="2"/>
  <c r="AM88" i="2"/>
  <c r="AJ88" i="2"/>
  <c r="AI88" i="2"/>
  <c r="BM87" i="2"/>
  <c r="AA87" i="1"/>
  <c r="BL87" i="2"/>
  <c r="BK87" i="2"/>
  <c r="BJ87" i="2"/>
  <c r="X87" i="1"/>
  <c r="BI87" i="2"/>
  <c r="BH87" i="2"/>
  <c r="BG87" i="2"/>
  <c r="U87" i="1"/>
  <c r="BF87" i="2"/>
  <c r="BE87" i="2"/>
  <c r="S87" i="1"/>
  <c r="BD87" i="2"/>
  <c r="BC87" i="2"/>
  <c r="BB87" i="2"/>
  <c r="BA87" i="2"/>
  <c r="AZ87" i="2"/>
  <c r="AY87" i="2"/>
  <c r="AX87" i="2"/>
  <c r="AW87" i="2"/>
  <c r="AV87" i="2"/>
  <c r="AU87" i="2"/>
  <c r="AT87" i="2"/>
  <c r="H87" i="1"/>
  <c r="AS87" i="2"/>
  <c r="G87" i="1"/>
  <c r="AR87" i="2"/>
  <c r="AQ87" i="2"/>
  <c r="AP87" i="2"/>
  <c r="D87" i="1"/>
  <c r="AO87" i="2"/>
  <c r="AN87" i="2"/>
  <c r="AM87" i="2"/>
  <c r="AJ87" i="2"/>
  <c r="AI87" i="2"/>
  <c r="BM86" i="2"/>
  <c r="AA86" i="1"/>
  <c r="BL86" i="2"/>
  <c r="BK86" i="2"/>
  <c r="BJ86" i="2"/>
  <c r="X86" i="1"/>
  <c r="BI86" i="2"/>
  <c r="BH86" i="2"/>
  <c r="BG86" i="2"/>
  <c r="U86" i="1"/>
  <c r="BF86" i="2"/>
  <c r="BE86" i="2"/>
  <c r="S86" i="1"/>
  <c r="BD86" i="2"/>
  <c r="BC86" i="2"/>
  <c r="BB86" i="2"/>
  <c r="BA86" i="2"/>
  <c r="AZ86" i="2"/>
  <c r="AY86" i="2"/>
  <c r="AX86" i="2"/>
  <c r="AW86" i="2"/>
  <c r="AV86" i="2"/>
  <c r="AU86" i="2"/>
  <c r="AT86" i="2"/>
  <c r="H86" i="1"/>
  <c r="AS86" i="2"/>
  <c r="G86" i="1"/>
  <c r="AR86" i="2"/>
  <c r="AQ86" i="2"/>
  <c r="AP86" i="2"/>
  <c r="D86" i="1"/>
  <c r="AO86" i="2"/>
  <c r="AN86" i="2"/>
  <c r="AM86" i="2"/>
  <c r="AJ86" i="2"/>
  <c r="AI86" i="2"/>
  <c r="BM85" i="2"/>
  <c r="AA85" i="1"/>
  <c r="BL85" i="2"/>
  <c r="BK85" i="2"/>
  <c r="BJ85" i="2"/>
  <c r="X85" i="1"/>
  <c r="BI85" i="2"/>
  <c r="BH85" i="2"/>
  <c r="BG85" i="2"/>
  <c r="U85" i="1"/>
  <c r="BF85" i="2"/>
  <c r="BE85" i="2"/>
  <c r="S85" i="1"/>
  <c r="BD85" i="2"/>
  <c r="BC85" i="2"/>
  <c r="BB85" i="2"/>
  <c r="BA85" i="2"/>
  <c r="AZ85" i="2"/>
  <c r="AY85" i="2"/>
  <c r="AX85" i="2"/>
  <c r="AW85" i="2"/>
  <c r="AV85" i="2"/>
  <c r="AU85" i="2"/>
  <c r="AT85" i="2"/>
  <c r="H85" i="1"/>
  <c r="AS85" i="2"/>
  <c r="G85" i="1"/>
  <c r="AR85" i="2"/>
  <c r="AQ85" i="2"/>
  <c r="AP85" i="2"/>
  <c r="D85" i="1"/>
  <c r="AO85" i="2"/>
  <c r="AN85" i="2"/>
  <c r="AM85" i="2"/>
  <c r="AJ85" i="2"/>
  <c r="AI85" i="2"/>
  <c r="BM84" i="2"/>
  <c r="AA84" i="1"/>
  <c r="BL84" i="2"/>
  <c r="BK84" i="2"/>
  <c r="BJ84" i="2"/>
  <c r="X84" i="1"/>
  <c r="BI84" i="2"/>
  <c r="BH84" i="2"/>
  <c r="BG84" i="2"/>
  <c r="U84" i="1"/>
  <c r="BF84" i="2"/>
  <c r="BE84" i="2"/>
  <c r="S84" i="1"/>
  <c r="BD84" i="2"/>
  <c r="BC84" i="2"/>
  <c r="BB84" i="2"/>
  <c r="BA84" i="2"/>
  <c r="AZ84" i="2"/>
  <c r="AY84" i="2"/>
  <c r="AX84" i="2"/>
  <c r="AW84" i="2"/>
  <c r="AV84" i="2"/>
  <c r="AU84" i="2"/>
  <c r="AT84" i="2"/>
  <c r="H84" i="1"/>
  <c r="AS84" i="2"/>
  <c r="G84" i="1"/>
  <c r="AR84" i="2"/>
  <c r="AQ84" i="2"/>
  <c r="AP84" i="2"/>
  <c r="D84" i="1"/>
  <c r="AO84" i="2"/>
  <c r="AN84" i="2"/>
  <c r="AM84" i="2"/>
  <c r="AJ84" i="2"/>
  <c r="AI84" i="2"/>
  <c r="BM83" i="2"/>
  <c r="AA83" i="1"/>
  <c r="BL83" i="2"/>
  <c r="BK83" i="2"/>
  <c r="BJ83" i="2"/>
  <c r="X83" i="1"/>
  <c r="BI83" i="2"/>
  <c r="BH83" i="2"/>
  <c r="BG83" i="2"/>
  <c r="U83" i="1"/>
  <c r="BF83" i="2"/>
  <c r="BE83" i="2"/>
  <c r="S83" i="1"/>
  <c r="BD83" i="2"/>
  <c r="BC83" i="2"/>
  <c r="BB83" i="2"/>
  <c r="BA83" i="2"/>
  <c r="AZ83" i="2"/>
  <c r="AY83" i="2"/>
  <c r="AX83" i="2"/>
  <c r="AW83" i="2"/>
  <c r="AV83" i="2"/>
  <c r="AU83" i="2"/>
  <c r="AT83" i="2"/>
  <c r="H83" i="1"/>
  <c r="AS83" i="2"/>
  <c r="G83" i="1"/>
  <c r="AR83" i="2"/>
  <c r="AQ83" i="2"/>
  <c r="AP83" i="2"/>
  <c r="D83" i="1"/>
  <c r="AO83" i="2"/>
  <c r="AN83" i="2"/>
  <c r="AM83" i="2"/>
  <c r="AJ83" i="2"/>
  <c r="AI83" i="2"/>
  <c r="BM82" i="2"/>
  <c r="AA82" i="1"/>
  <c r="BL82" i="2"/>
  <c r="BK82" i="2"/>
  <c r="BJ82" i="2"/>
  <c r="X82" i="1"/>
  <c r="BI82" i="2"/>
  <c r="BH82" i="2"/>
  <c r="BG82" i="2"/>
  <c r="U82" i="1"/>
  <c r="BF82" i="2"/>
  <c r="BE82" i="2"/>
  <c r="S82" i="1"/>
  <c r="BD82" i="2"/>
  <c r="BC82" i="2"/>
  <c r="BB82" i="2"/>
  <c r="BA82" i="2"/>
  <c r="AZ82" i="2"/>
  <c r="AY82" i="2"/>
  <c r="AX82" i="2"/>
  <c r="AW82" i="2"/>
  <c r="AV82" i="2"/>
  <c r="AU82" i="2"/>
  <c r="AT82" i="2"/>
  <c r="H82" i="1"/>
  <c r="AS82" i="2"/>
  <c r="G82" i="1"/>
  <c r="AR82" i="2"/>
  <c r="AQ82" i="2"/>
  <c r="AP82" i="2"/>
  <c r="D82" i="1"/>
  <c r="AO82" i="2"/>
  <c r="AN82" i="2"/>
  <c r="AM82" i="2"/>
  <c r="AJ82" i="2"/>
  <c r="AI82" i="2"/>
  <c r="BM81" i="2"/>
  <c r="AA81" i="1"/>
  <c r="BL81" i="2"/>
  <c r="BK81" i="2"/>
  <c r="BJ81" i="2"/>
  <c r="X81" i="1"/>
  <c r="BI81" i="2"/>
  <c r="BH81" i="2"/>
  <c r="BG81" i="2"/>
  <c r="U81" i="1"/>
  <c r="BF81" i="2"/>
  <c r="BE81" i="2"/>
  <c r="S81" i="1"/>
  <c r="BD81" i="2"/>
  <c r="BC81" i="2"/>
  <c r="BB81" i="2"/>
  <c r="BA81" i="2"/>
  <c r="AZ81" i="2"/>
  <c r="AY81" i="2"/>
  <c r="AX81" i="2"/>
  <c r="AW81" i="2"/>
  <c r="AV81" i="2"/>
  <c r="AU81" i="2"/>
  <c r="AT81" i="2"/>
  <c r="H81" i="1"/>
  <c r="AS81" i="2"/>
  <c r="G81" i="1"/>
  <c r="AR81" i="2"/>
  <c r="AQ81" i="2"/>
  <c r="AP81" i="2"/>
  <c r="D81" i="1"/>
  <c r="AO81" i="2"/>
  <c r="AN81" i="2"/>
  <c r="AM81" i="2"/>
  <c r="AJ81" i="2"/>
  <c r="AI81" i="2"/>
  <c r="BM80" i="2"/>
  <c r="AA80" i="1"/>
  <c r="BL80" i="2"/>
  <c r="BK80" i="2"/>
  <c r="BJ80" i="2"/>
  <c r="X80" i="1"/>
  <c r="BI80" i="2"/>
  <c r="BH80" i="2"/>
  <c r="BG80" i="2"/>
  <c r="U80" i="1"/>
  <c r="BF80" i="2"/>
  <c r="BE80" i="2"/>
  <c r="S80" i="1"/>
  <c r="BD80" i="2"/>
  <c r="BC80" i="2"/>
  <c r="BB80" i="2"/>
  <c r="BA80" i="2"/>
  <c r="AZ80" i="2"/>
  <c r="AY80" i="2"/>
  <c r="AX80" i="2"/>
  <c r="AW80" i="2"/>
  <c r="AV80" i="2"/>
  <c r="AU80" i="2"/>
  <c r="AT80" i="2"/>
  <c r="H80" i="1"/>
  <c r="AS80" i="2"/>
  <c r="G80" i="1"/>
  <c r="AR80" i="2"/>
  <c r="AQ80" i="2"/>
  <c r="AP80" i="2"/>
  <c r="D80" i="1"/>
  <c r="AO80" i="2"/>
  <c r="AN80" i="2"/>
  <c r="AM80" i="2"/>
  <c r="AJ80" i="2"/>
  <c r="AI80" i="2"/>
  <c r="BM79" i="2"/>
  <c r="AA79" i="1"/>
  <c r="BL79" i="2"/>
  <c r="BK79" i="2"/>
  <c r="BJ79" i="2"/>
  <c r="X79" i="1"/>
  <c r="BI79" i="2"/>
  <c r="BH79" i="2"/>
  <c r="BG79" i="2"/>
  <c r="U79" i="1"/>
  <c r="BF79" i="2"/>
  <c r="BE79" i="2"/>
  <c r="S79" i="1"/>
  <c r="BD79" i="2"/>
  <c r="BC79" i="2"/>
  <c r="BB79" i="2"/>
  <c r="BA79" i="2"/>
  <c r="AZ79" i="2"/>
  <c r="AY79" i="2"/>
  <c r="AX79" i="2"/>
  <c r="AW79" i="2"/>
  <c r="AV79" i="2"/>
  <c r="AU79" i="2"/>
  <c r="AT79" i="2"/>
  <c r="H79" i="1"/>
  <c r="AS79" i="2"/>
  <c r="G79" i="1"/>
  <c r="AR79" i="2"/>
  <c r="AQ79" i="2"/>
  <c r="AP79" i="2"/>
  <c r="D79" i="1"/>
  <c r="AO79" i="2"/>
  <c r="AN79" i="2"/>
  <c r="AM79" i="2"/>
  <c r="AJ79" i="2"/>
  <c r="AI79" i="2"/>
  <c r="BM78" i="2"/>
  <c r="AA78" i="1"/>
  <c r="BL78" i="2"/>
  <c r="BK78" i="2"/>
  <c r="BJ78" i="2"/>
  <c r="X78" i="1"/>
  <c r="BI78" i="2"/>
  <c r="BH78" i="2"/>
  <c r="BG78" i="2"/>
  <c r="U78" i="1"/>
  <c r="BF78" i="2"/>
  <c r="BE78" i="2"/>
  <c r="S78" i="1"/>
  <c r="BD78" i="2"/>
  <c r="BC78" i="2"/>
  <c r="BB78" i="2"/>
  <c r="BA78" i="2"/>
  <c r="AZ78" i="2"/>
  <c r="AY78" i="2"/>
  <c r="AX78" i="2"/>
  <c r="AW78" i="2"/>
  <c r="AV78" i="2"/>
  <c r="AU78" i="2"/>
  <c r="AT78" i="2"/>
  <c r="H78" i="1"/>
  <c r="AS78" i="2"/>
  <c r="G78" i="1"/>
  <c r="AR78" i="2"/>
  <c r="AQ78" i="2"/>
  <c r="AP78" i="2"/>
  <c r="D78" i="1"/>
  <c r="AO78" i="2"/>
  <c r="AN78" i="2"/>
  <c r="AM78" i="2"/>
  <c r="AJ78" i="2"/>
  <c r="AI78" i="2"/>
  <c r="BM77" i="2"/>
  <c r="AA77" i="1"/>
  <c r="BL77" i="2"/>
  <c r="BK77" i="2"/>
  <c r="BJ77" i="2"/>
  <c r="X77" i="1"/>
  <c r="BI77" i="2"/>
  <c r="BH77" i="2"/>
  <c r="BG77" i="2"/>
  <c r="U77" i="1"/>
  <c r="BF77" i="2"/>
  <c r="BE77" i="2"/>
  <c r="S77" i="1"/>
  <c r="BD77" i="2"/>
  <c r="BC77" i="2"/>
  <c r="BB77" i="2"/>
  <c r="BA77" i="2"/>
  <c r="AZ77" i="2"/>
  <c r="AY77" i="2"/>
  <c r="AX77" i="2"/>
  <c r="AW77" i="2"/>
  <c r="AV77" i="2"/>
  <c r="AU77" i="2"/>
  <c r="AT77" i="2"/>
  <c r="H77" i="1"/>
  <c r="AS77" i="2"/>
  <c r="G77" i="1"/>
  <c r="AR77" i="2"/>
  <c r="AQ77" i="2"/>
  <c r="AP77" i="2"/>
  <c r="D77" i="1"/>
  <c r="AO77" i="2"/>
  <c r="AN77" i="2"/>
  <c r="AM77" i="2"/>
  <c r="AJ77" i="2"/>
  <c r="AI77" i="2"/>
  <c r="BM76" i="2"/>
  <c r="AA76" i="1"/>
  <c r="BL76" i="2"/>
  <c r="BK76" i="2"/>
  <c r="BJ76" i="2"/>
  <c r="X76" i="1"/>
  <c r="BI76" i="2"/>
  <c r="BH76" i="2"/>
  <c r="BG76" i="2"/>
  <c r="U76" i="1"/>
  <c r="BF76" i="2"/>
  <c r="BE76" i="2"/>
  <c r="S76" i="1"/>
  <c r="BD76" i="2"/>
  <c r="BC76" i="2"/>
  <c r="BB76" i="2"/>
  <c r="BA76" i="2"/>
  <c r="AZ76" i="2"/>
  <c r="AY76" i="2"/>
  <c r="AX76" i="2"/>
  <c r="AW76" i="2"/>
  <c r="AV76" i="2"/>
  <c r="AU76" i="2"/>
  <c r="AT76" i="2"/>
  <c r="H76" i="1"/>
  <c r="AS76" i="2"/>
  <c r="G76" i="1"/>
  <c r="AR76" i="2"/>
  <c r="AQ76" i="2"/>
  <c r="AP76" i="2"/>
  <c r="D76" i="1"/>
  <c r="AO76" i="2"/>
  <c r="AN76" i="2"/>
  <c r="AM76" i="2"/>
  <c r="AJ76" i="2"/>
  <c r="AI76" i="2"/>
  <c r="BM75" i="2"/>
  <c r="AA75" i="1"/>
  <c r="BL75" i="2"/>
  <c r="BK75" i="2"/>
  <c r="BJ75" i="2"/>
  <c r="X75" i="1"/>
  <c r="BI75" i="2"/>
  <c r="BH75" i="2"/>
  <c r="BG75" i="2"/>
  <c r="U75" i="1"/>
  <c r="BF75" i="2"/>
  <c r="BE75" i="2"/>
  <c r="S75" i="1"/>
  <c r="BD75" i="2"/>
  <c r="BC75" i="2"/>
  <c r="BB75" i="2"/>
  <c r="BA75" i="2"/>
  <c r="AZ75" i="2"/>
  <c r="AY75" i="2"/>
  <c r="AX75" i="2"/>
  <c r="AW75" i="2"/>
  <c r="AV75" i="2"/>
  <c r="AU75" i="2"/>
  <c r="AT75" i="2"/>
  <c r="H75" i="1"/>
  <c r="AS75" i="2"/>
  <c r="G75" i="1"/>
  <c r="AR75" i="2"/>
  <c r="AQ75" i="2"/>
  <c r="AP75" i="2"/>
  <c r="D75" i="1"/>
  <c r="AO75" i="2"/>
  <c r="AN75" i="2"/>
  <c r="AM75" i="2"/>
  <c r="AJ75" i="2"/>
  <c r="AI75" i="2"/>
  <c r="BM74" i="2"/>
  <c r="AA74" i="1"/>
  <c r="BL74" i="2"/>
  <c r="BK74" i="2"/>
  <c r="BJ74" i="2"/>
  <c r="X74" i="1"/>
  <c r="BI74" i="2"/>
  <c r="BH74" i="2"/>
  <c r="BG74" i="2"/>
  <c r="U74" i="1"/>
  <c r="BF74" i="2"/>
  <c r="BE74" i="2"/>
  <c r="S74" i="1"/>
  <c r="BD74" i="2"/>
  <c r="BC74" i="2"/>
  <c r="BB74" i="2"/>
  <c r="BA74" i="2"/>
  <c r="AZ74" i="2"/>
  <c r="AY74" i="2"/>
  <c r="AX74" i="2"/>
  <c r="AW74" i="2"/>
  <c r="AV74" i="2"/>
  <c r="AU74" i="2"/>
  <c r="AT74" i="2"/>
  <c r="H74" i="1"/>
  <c r="AS74" i="2"/>
  <c r="G74" i="1"/>
  <c r="AR74" i="2"/>
  <c r="AQ74" i="2"/>
  <c r="AP74" i="2"/>
  <c r="D74" i="1"/>
  <c r="AO74" i="2"/>
  <c r="AN74" i="2"/>
  <c r="AM74" i="2"/>
  <c r="AJ74" i="2"/>
  <c r="AI74" i="2"/>
  <c r="BM73" i="2"/>
  <c r="AA73" i="1"/>
  <c r="BL73" i="2"/>
  <c r="BK73" i="2"/>
  <c r="BJ73" i="2"/>
  <c r="X73" i="1"/>
  <c r="BI73" i="2"/>
  <c r="BH73" i="2"/>
  <c r="BG73" i="2"/>
  <c r="U73" i="1"/>
  <c r="BF73" i="2"/>
  <c r="BE73" i="2"/>
  <c r="S73" i="1"/>
  <c r="BD73" i="2"/>
  <c r="BC73" i="2"/>
  <c r="BB73" i="2"/>
  <c r="BA73" i="2"/>
  <c r="AZ73" i="2"/>
  <c r="AY73" i="2"/>
  <c r="AX73" i="2"/>
  <c r="AW73" i="2"/>
  <c r="AV73" i="2"/>
  <c r="AU73" i="2"/>
  <c r="AT73" i="2"/>
  <c r="H73" i="1"/>
  <c r="AS73" i="2"/>
  <c r="G73" i="1"/>
  <c r="AR73" i="2"/>
  <c r="AQ73" i="2"/>
  <c r="AP73" i="2"/>
  <c r="D73" i="1"/>
  <c r="AO73" i="2"/>
  <c r="AN73" i="2"/>
  <c r="AM73" i="2"/>
  <c r="AJ73" i="2"/>
  <c r="AI73" i="2"/>
  <c r="BM72" i="2"/>
  <c r="AA72" i="1"/>
  <c r="BL72" i="2"/>
  <c r="BK72" i="2"/>
  <c r="BJ72" i="2"/>
  <c r="X72" i="1"/>
  <c r="BI72" i="2"/>
  <c r="BH72" i="2"/>
  <c r="BG72" i="2"/>
  <c r="U72" i="1"/>
  <c r="BF72" i="2"/>
  <c r="BE72" i="2"/>
  <c r="S72" i="1"/>
  <c r="BD72" i="2"/>
  <c r="BC72" i="2"/>
  <c r="BB72" i="2"/>
  <c r="BA72" i="2"/>
  <c r="AZ72" i="2"/>
  <c r="AY72" i="2"/>
  <c r="AX72" i="2"/>
  <c r="AW72" i="2"/>
  <c r="AV72" i="2"/>
  <c r="AU72" i="2"/>
  <c r="AT72" i="2"/>
  <c r="H72" i="1"/>
  <c r="AS72" i="2"/>
  <c r="G72" i="1"/>
  <c r="AR72" i="2"/>
  <c r="AQ72" i="2"/>
  <c r="AP72" i="2"/>
  <c r="D72" i="1"/>
  <c r="AO72" i="2"/>
  <c r="AN72" i="2"/>
  <c r="AM72" i="2"/>
  <c r="AJ72" i="2"/>
  <c r="AI72" i="2"/>
  <c r="BM71" i="2"/>
  <c r="AA71" i="1"/>
  <c r="BL71" i="2"/>
  <c r="BK71" i="2"/>
  <c r="BJ71" i="2"/>
  <c r="X71" i="1"/>
  <c r="BI71" i="2"/>
  <c r="BH71" i="2"/>
  <c r="BG71" i="2"/>
  <c r="U71" i="1"/>
  <c r="BF71" i="2"/>
  <c r="BE71" i="2"/>
  <c r="S71" i="1"/>
  <c r="BD71" i="2"/>
  <c r="BC71" i="2"/>
  <c r="BB71" i="2"/>
  <c r="BA71" i="2"/>
  <c r="AZ71" i="2"/>
  <c r="AY71" i="2"/>
  <c r="AX71" i="2"/>
  <c r="AW71" i="2"/>
  <c r="AV71" i="2"/>
  <c r="AU71" i="2"/>
  <c r="AT71" i="2"/>
  <c r="H71" i="1"/>
  <c r="AS71" i="2"/>
  <c r="G71" i="1"/>
  <c r="AR71" i="2"/>
  <c r="AQ71" i="2"/>
  <c r="AP71" i="2"/>
  <c r="D71" i="1"/>
  <c r="AO71" i="2"/>
  <c r="AN71" i="2"/>
  <c r="AM71" i="2"/>
  <c r="AJ71" i="2"/>
  <c r="AI71" i="2"/>
  <c r="BM70" i="2"/>
  <c r="AA70" i="1"/>
  <c r="BL70" i="2"/>
  <c r="BK70" i="2"/>
  <c r="BJ70" i="2"/>
  <c r="X70" i="1"/>
  <c r="BI70" i="2"/>
  <c r="BH70" i="2"/>
  <c r="BG70" i="2"/>
  <c r="U70" i="1"/>
  <c r="BF70" i="2"/>
  <c r="BE70" i="2"/>
  <c r="S70" i="1"/>
  <c r="BD70" i="2"/>
  <c r="BC70" i="2"/>
  <c r="BB70" i="2"/>
  <c r="BA70" i="2"/>
  <c r="AZ70" i="2"/>
  <c r="AY70" i="2"/>
  <c r="AX70" i="2"/>
  <c r="AW70" i="2"/>
  <c r="AV70" i="2"/>
  <c r="AU70" i="2"/>
  <c r="AT70" i="2"/>
  <c r="H70" i="1"/>
  <c r="AS70" i="2"/>
  <c r="G70" i="1"/>
  <c r="AR70" i="2"/>
  <c r="AQ70" i="2"/>
  <c r="AP70" i="2"/>
  <c r="D70" i="1"/>
  <c r="AO70" i="2"/>
  <c r="AN70" i="2"/>
  <c r="AM70" i="2"/>
  <c r="AJ70" i="2"/>
  <c r="AI70" i="2"/>
  <c r="BM69" i="2"/>
  <c r="AA69" i="1"/>
  <c r="BL69" i="2"/>
  <c r="BK69" i="2"/>
  <c r="BJ69" i="2"/>
  <c r="X69" i="1"/>
  <c r="BI69" i="2"/>
  <c r="BH69" i="2"/>
  <c r="BG69" i="2"/>
  <c r="U69" i="1"/>
  <c r="BF69" i="2"/>
  <c r="BE69" i="2"/>
  <c r="S69" i="1"/>
  <c r="BD69" i="2"/>
  <c r="BC69" i="2"/>
  <c r="BB69" i="2"/>
  <c r="BA69" i="2"/>
  <c r="AZ69" i="2"/>
  <c r="AY69" i="2"/>
  <c r="AX69" i="2"/>
  <c r="AW69" i="2"/>
  <c r="AV69" i="2"/>
  <c r="AU69" i="2"/>
  <c r="AT69" i="2"/>
  <c r="H69" i="1"/>
  <c r="AS69" i="2"/>
  <c r="G69" i="1"/>
  <c r="AR69" i="2"/>
  <c r="AQ69" i="2"/>
  <c r="AP69" i="2"/>
  <c r="D69" i="1"/>
  <c r="AO69" i="2"/>
  <c r="AN69" i="2"/>
  <c r="AM69" i="2"/>
  <c r="AJ69" i="2"/>
  <c r="AI69" i="2"/>
  <c r="BM68" i="2"/>
  <c r="AA68" i="1"/>
  <c r="BL68" i="2"/>
  <c r="BK68" i="2"/>
  <c r="BJ68" i="2"/>
  <c r="X68" i="1"/>
  <c r="BI68" i="2"/>
  <c r="BH68" i="2"/>
  <c r="BG68" i="2"/>
  <c r="U68" i="1"/>
  <c r="BF68" i="2"/>
  <c r="BE68" i="2"/>
  <c r="S68" i="1"/>
  <c r="BD68" i="2"/>
  <c r="BC68" i="2"/>
  <c r="BB68" i="2"/>
  <c r="BA68" i="2"/>
  <c r="AZ68" i="2"/>
  <c r="AY68" i="2"/>
  <c r="AX68" i="2"/>
  <c r="AW68" i="2"/>
  <c r="AV68" i="2"/>
  <c r="AU68" i="2"/>
  <c r="AT68" i="2"/>
  <c r="H68" i="1"/>
  <c r="AS68" i="2"/>
  <c r="G68" i="1"/>
  <c r="AR68" i="2"/>
  <c r="AQ68" i="2"/>
  <c r="AP68" i="2"/>
  <c r="D68" i="1"/>
  <c r="AO68" i="2"/>
  <c r="AN68" i="2"/>
  <c r="AM68" i="2"/>
  <c r="AJ68" i="2"/>
  <c r="AI68" i="2"/>
  <c r="BM67" i="2"/>
  <c r="AA67" i="1"/>
  <c r="BL67" i="2"/>
  <c r="BK67" i="2"/>
  <c r="BJ67" i="2"/>
  <c r="X67" i="1"/>
  <c r="BI67" i="2"/>
  <c r="BH67" i="2"/>
  <c r="BG67" i="2"/>
  <c r="U67" i="1"/>
  <c r="BF67" i="2"/>
  <c r="BE67" i="2"/>
  <c r="S67" i="1"/>
  <c r="BD67" i="2"/>
  <c r="BC67" i="2"/>
  <c r="BB67" i="2"/>
  <c r="BA67" i="2"/>
  <c r="AZ67" i="2"/>
  <c r="AY67" i="2"/>
  <c r="AX67" i="2"/>
  <c r="AW67" i="2"/>
  <c r="AV67" i="2"/>
  <c r="AU67" i="2"/>
  <c r="AT67" i="2"/>
  <c r="H67" i="1"/>
  <c r="AS67" i="2"/>
  <c r="G67" i="1"/>
  <c r="AR67" i="2"/>
  <c r="AQ67" i="2"/>
  <c r="AP67" i="2"/>
  <c r="D67" i="1"/>
  <c r="AO67" i="2"/>
  <c r="AN67" i="2"/>
  <c r="AM67" i="2"/>
  <c r="AJ67" i="2"/>
  <c r="AI67" i="2"/>
  <c r="BM66" i="2"/>
  <c r="AA66" i="1"/>
  <c r="BL66" i="2"/>
  <c r="BK66" i="2"/>
  <c r="BJ66" i="2"/>
  <c r="X66" i="1"/>
  <c r="BI66" i="2"/>
  <c r="BH66" i="2"/>
  <c r="BG66" i="2"/>
  <c r="U66" i="1"/>
  <c r="BF66" i="2"/>
  <c r="BE66" i="2"/>
  <c r="S66" i="1"/>
  <c r="BD66" i="2"/>
  <c r="BC66" i="2"/>
  <c r="BB66" i="2"/>
  <c r="BA66" i="2"/>
  <c r="AZ66" i="2"/>
  <c r="AY66" i="2"/>
  <c r="AX66" i="2"/>
  <c r="AW66" i="2"/>
  <c r="AV66" i="2"/>
  <c r="AU66" i="2"/>
  <c r="AT66" i="2"/>
  <c r="H66" i="1"/>
  <c r="AS66" i="2"/>
  <c r="G66" i="1"/>
  <c r="AR66" i="2"/>
  <c r="AQ66" i="2"/>
  <c r="AP66" i="2"/>
  <c r="D66" i="1"/>
  <c r="AO66" i="2"/>
  <c r="AN66" i="2"/>
  <c r="AM66" i="2"/>
  <c r="AJ66" i="2"/>
  <c r="AI66" i="2"/>
  <c r="BM65" i="2"/>
  <c r="AA65" i="1"/>
  <c r="BL65" i="2"/>
  <c r="BK65" i="2"/>
  <c r="BJ65" i="2"/>
  <c r="X65" i="1"/>
  <c r="BI65" i="2"/>
  <c r="BH65" i="2"/>
  <c r="BG65" i="2"/>
  <c r="U65" i="1"/>
  <c r="BF65" i="2"/>
  <c r="BE65" i="2"/>
  <c r="S65" i="1"/>
  <c r="BD65" i="2"/>
  <c r="BC65" i="2"/>
  <c r="BB65" i="2"/>
  <c r="BA65" i="2"/>
  <c r="AZ65" i="2"/>
  <c r="AY65" i="2"/>
  <c r="AX65" i="2"/>
  <c r="AW65" i="2"/>
  <c r="AV65" i="2"/>
  <c r="AU65" i="2"/>
  <c r="AT65" i="2"/>
  <c r="H65" i="1"/>
  <c r="AS65" i="2"/>
  <c r="G65" i="1"/>
  <c r="AR65" i="2"/>
  <c r="AQ65" i="2"/>
  <c r="AP65" i="2"/>
  <c r="D65" i="1"/>
  <c r="AO65" i="2"/>
  <c r="AN65" i="2"/>
  <c r="AM65" i="2"/>
  <c r="AJ65" i="2"/>
  <c r="AI65" i="2"/>
  <c r="BM64" i="2"/>
  <c r="AA64" i="1"/>
  <c r="BL64" i="2"/>
  <c r="BK64" i="2"/>
  <c r="BJ64" i="2"/>
  <c r="X64" i="1"/>
  <c r="BI64" i="2"/>
  <c r="BH64" i="2"/>
  <c r="BG64" i="2"/>
  <c r="U64" i="1"/>
  <c r="BF64" i="2"/>
  <c r="BE64" i="2"/>
  <c r="S64" i="1"/>
  <c r="BD64" i="2"/>
  <c r="BC64" i="2"/>
  <c r="BB64" i="2"/>
  <c r="BA64" i="2"/>
  <c r="AZ64" i="2"/>
  <c r="AY64" i="2"/>
  <c r="AX64" i="2"/>
  <c r="AW64" i="2"/>
  <c r="AV64" i="2"/>
  <c r="AU64" i="2"/>
  <c r="AT64" i="2"/>
  <c r="H64" i="1"/>
  <c r="AS64" i="2"/>
  <c r="G64" i="1"/>
  <c r="AR64" i="2"/>
  <c r="AQ64" i="2"/>
  <c r="AP64" i="2"/>
  <c r="D64" i="1"/>
  <c r="AO64" i="2"/>
  <c r="AN64" i="2"/>
  <c r="AM64" i="2"/>
  <c r="AJ64" i="2"/>
  <c r="AI64" i="2"/>
  <c r="BM63" i="2"/>
  <c r="AA63" i="1"/>
  <c r="BL63" i="2"/>
  <c r="BK63" i="2"/>
  <c r="BJ63" i="2"/>
  <c r="X63" i="1"/>
  <c r="BI63" i="2"/>
  <c r="BH63" i="2"/>
  <c r="BG63" i="2"/>
  <c r="U63" i="1"/>
  <c r="BF63" i="2"/>
  <c r="BE63" i="2"/>
  <c r="S63" i="1"/>
  <c r="BD63" i="2"/>
  <c r="BC63" i="2"/>
  <c r="BB63" i="2"/>
  <c r="BA63" i="2"/>
  <c r="AZ63" i="2"/>
  <c r="AY63" i="2"/>
  <c r="AX63" i="2"/>
  <c r="AW63" i="2"/>
  <c r="AV63" i="2"/>
  <c r="AU63" i="2"/>
  <c r="AT63" i="2"/>
  <c r="H63" i="1"/>
  <c r="AS63" i="2"/>
  <c r="G63" i="1"/>
  <c r="AR63" i="2"/>
  <c r="AQ63" i="2"/>
  <c r="AP63" i="2"/>
  <c r="D63" i="1"/>
  <c r="AO63" i="2"/>
  <c r="AN63" i="2"/>
  <c r="AM63" i="2"/>
  <c r="AJ63" i="2"/>
  <c r="AI63" i="2"/>
  <c r="BM62" i="2"/>
  <c r="AA62" i="1"/>
  <c r="BL62" i="2"/>
  <c r="BK62" i="2"/>
  <c r="BJ62" i="2"/>
  <c r="X62" i="1"/>
  <c r="BI62" i="2"/>
  <c r="BH62" i="2"/>
  <c r="BG62" i="2"/>
  <c r="U62" i="1"/>
  <c r="BF62" i="2"/>
  <c r="BE62" i="2"/>
  <c r="S62" i="1"/>
  <c r="BD62" i="2"/>
  <c r="BC62" i="2"/>
  <c r="BB62" i="2"/>
  <c r="BA62" i="2"/>
  <c r="AZ62" i="2"/>
  <c r="AY62" i="2"/>
  <c r="AX62" i="2"/>
  <c r="AW62" i="2"/>
  <c r="AV62" i="2"/>
  <c r="AU62" i="2"/>
  <c r="AT62" i="2"/>
  <c r="H62" i="1"/>
  <c r="AS62" i="2"/>
  <c r="G62" i="1"/>
  <c r="AR62" i="2"/>
  <c r="AQ62" i="2"/>
  <c r="AP62" i="2"/>
  <c r="D62" i="1"/>
  <c r="AO62" i="2"/>
  <c r="AN62" i="2"/>
  <c r="AM62" i="2"/>
  <c r="AJ62" i="2"/>
  <c r="AI62" i="2"/>
  <c r="BM61" i="2"/>
  <c r="AA61" i="1"/>
  <c r="BL61" i="2"/>
  <c r="BK61" i="2"/>
  <c r="BJ61" i="2"/>
  <c r="X61" i="1"/>
  <c r="BI61" i="2"/>
  <c r="BH61" i="2"/>
  <c r="BG61" i="2"/>
  <c r="U61" i="1"/>
  <c r="BF61" i="2"/>
  <c r="BE61" i="2"/>
  <c r="S61" i="1"/>
  <c r="BD61" i="2"/>
  <c r="BC61" i="2"/>
  <c r="BB61" i="2"/>
  <c r="BA61" i="2"/>
  <c r="AZ61" i="2"/>
  <c r="AY61" i="2"/>
  <c r="AX61" i="2"/>
  <c r="AW61" i="2"/>
  <c r="AV61" i="2"/>
  <c r="AU61" i="2"/>
  <c r="AT61" i="2"/>
  <c r="H61" i="1"/>
  <c r="AS61" i="2"/>
  <c r="G61" i="1"/>
  <c r="AR61" i="2"/>
  <c r="AQ61" i="2"/>
  <c r="AP61" i="2"/>
  <c r="D61" i="1"/>
  <c r="AO61" i="2"/>
  <c r="AN61" i="2"/>
  <c r="AM61" i="2"/>
  <c r="AJ61" i="2"/>
  <c r="AI61" i="2"/>
  <c r="BM60" i="2"/>
  <c r="AA60" i="1"/>
  <c r="BL60" i="2"/>
  <c r="BK60" i="2"/>
  <c r="BJ60" i="2"/>
  <c r="X60" i="1"/>
  <c r="BI60" i="2"/>
  <c r="BH60" i="2"/>
  <c r="BG60" i="2"/>
  <c r="U60" i="1"/>
  <c r="BF60" i="2"/>
  <c r="BE60" i="2"/>
  <c r="S60" i="1"/>
  <c r="BD60" i="2"/>
  <c r="BC60" i="2"/>
  <c r="BB60" i="2"/>
  <c r="BA60" i="2"/>
  <c r="AZ60" i="2"/>
  <c r="AY60" i="2"/>
  <c r="AX60" i="2"/>
  <c r="AW60" i="2"/>
  <c r="AV60" i="2"/>
  <c r="AU60" i="2"/>
  <c r="AT60" i="2"/>
  <c r="H60" i="1"/>
  <c r="AS60" i="2"/>
  <c r="G60" i="1"/>
  <c r="AR60" i="2"/>
  <c r="AQ60" i="2"/>
  <c r="AP60" i="2"/>
  <c r="D60" i="1"/>
  <c r="AO60" i="2"/>
  <c r="AN60" i="2"/>
  <c r="AM60" i="2"/>
  <c r="AJ60" i="2"/>
  <c r="AI60" i="2"/>
  <c r="BM59" i="2"/>
  <c r="AA59" i="1"/>
  <c r="BL59" i="2"/>
  <c r="BK59" i="2"/>
  <c r="BJ59" i="2"/>
  <c r="X59" i="1"/>
  <c r="BI59" i="2"/>
  <c r="BH59" i="2"/>
  <c r="BG59" i="2"/>
  <c r="U59" i="1"/>
  <c r="BF59" i="2"/>
  <c r="BE59" i="2"/>
  <c r="S59" i="1"/>
  <c r="BD59" i="2"/>
  <c r="BC59" i="2"/>
  <c r="BB59" i="2"/>
  <c r="BA59" i="2"/>
  <c r="AZ59" i="2"/>
  <c r="AY59" i="2"/>
  <c r="AX59" i="2"/>
  <c r="AW59" i="2"/>
  <c r="AV59" i="2"/>
  <c r="AU59" i="2"/>
  <c r="AT59" i="2"/>
  <c r="H59" i="1"/>
  <c r="AS59" i="2"/>
  <c r="G59" i="1"/>
  <c r="AR59" i="2"/>
  <c r="AQ59" i="2"/>
  <c r="AP59" i="2"/>
  <c r="D59" i="1"/>
  <c r="AO59" i="2"/>
  <c r="AN59" i="2"/>
  <c r="AM59" i="2"/>
  <c r="AJ59" i="2"/>
  <c r="AI59" i="2"/>
  <c r="BM58" i="2"/>
  <c r="AA58" i="1"/>
  <c r="BL58" i="2"/>
  <c r="BK58" i="2"/>
  <c r="BJ58" i="2"/>
  <c r="X58" i="1"/>
  <c r="BI58" i="2"/>
  <c r="BH58" i="2"/>
  <c r="BG58" i="2"/>
  <c r="U58" i="1"/>
  <c r="BF58" i="2"/>
  <c r="BE58" i="2"/>
  <c r="S58" i="1"/>
  <c r="BD58" i="2"/>
  <c r="BC58" i="2"/>
  <c r="BB58" i="2"/>
  <c r="BA58" i="2"/>
  <c r="AZ58" i="2"/>
  <c r="AY58" i="2"/>
  <c r="AX58" i="2"/>
  <c r="AW58" i="2"/>
  <c r="AV58" i="2"/>
  <c r="AU58" i="2"/>
  <c r="AT58" i="2"/>
  <c r="H58" i="1"/>
  <c r="AS58" i="2"/>
  <c r="G58" i="1"/>
  <c r="AR58" i="2"/>
  <c r="AQ58" i="2"/>
  <c r="AP58" i="2"/>
  <c r="D58" i="1"/>
  <c r="AO58" i="2"/>
  <c r="AN58" i="2"/>
  <c r="AM58" i="2"/>
  <c r="AJ58" i="2"/>
  <c r="AI58" i="2"/>
  <c r="BM57" i="2"/>
  <c r="AA57" i="1"/>
  <c r="BL57" i="2"/>
  <c r="BK57" i="2"/>
  <c r="BJ57" i="2"/>
  <c r="X57" i="1"/>
  <c r="BI57" i="2"/>
  <c r="BH57" i="2"/>
  <c r="BG57" i="2"/>
  <c r="U57" i="1"/>
  <c r="BF57" i="2"/>
  <c r="BE57" i="2"/>
  <c r="S57" i="1"/>
  <c r="BD57" i="2"/>
  <c r="BC57" i="2"/>
  <c r="BB57" i="2"/>
  <c r="BA57" i="2"/>
  <c r="AZ57" i="2"/>
  <c r="AY57" i="2"/>
  <c r="AX57" i="2"/>
  <c r="AW57" i="2"/>
  <c r="AV57" i="2"/>
  <c r="AU57" i="2"/>
  <c r="AT57" i="2"/>
  <c r="H57" i="1"/>
  <c r="AS57" i="2"/>
  <c r="G57" i="1"/>
  <c r="AR57" i="2"/>
  <c r="AQ57" i="2"/>
  <c r="AP57" i="2"/>
  <c r="D57" i="1"/>
  <c r="AO57" i="2"/>
  <c r="AN57" i="2"/>
  <c r="AM57" i="2"/>
  <c r="AJ57" i="2"/>
  <c r="AI57" i="2"/>
  <c r="BM56" i="2"/>
  <c r="AA56" i="1"/>
  <c r="BL56" i="2"/>
  <c r="BK56" i="2"/>
  <c r="BJ56" i="2"/>
  <c r="X56" i="1"/>
  <c r="BI56" i="2"/>
  <c r="BH56" i="2"/>
  <c r="BG56" i="2"/>
  <c r="U56" i="1"/>
  <c r="BF56" i="2"/>
  <c r="BE56" i="2"/>
  <c r="S56" i="1"/>
  <c r="BD56" i="2"/>
  <c r="BC56" i="2"/>
  <c r="BB56" i="2"/>
  <c r="BA56" i="2"/>
  <c r="AZ56" i="2"/>
  <c r="AY56" i="2"/>
  <c r="AX56" i="2"/>
  <c r="AW56" i="2"/>
  <c r="AV56" i="2"/>
  <c r="AU56" i="2"/>
  <c r="AT56" i="2"/>
  <c r="H56" i="1"/>
  <c r="AS56" i="2"/>
  <c r="G56" i="1"/>
  <c r="AR56" i="2"/>
  <c r="AQ56" i="2"/>
  <c r="AP56" i="2"/>
  <c r="D56" i="1"/>
  <c r="AO56" i="2"/>
  <c r="AN56" i="2"/>
  <c r="AM56" i="2"/>
  <c r="AJ56" i="2"/>
  <c r="AI56" i="2"/>
  <c r="BM55" i="2"/>
  <c r="AA55" i="1"/>
  <c r="BL55" i="2"/>
  <c r="BK55" i="2"/>
  <c r="BJ55" i="2"/>
  <c r="X55" i="1"/>
  <c r="BI55" i="2"/>
  <c r="BH55" i="2"/>
  <c r="BG55" i="2"/>
  <c r="U55" i="1"/>
  <c r="BF55" i="2"/>
  <c r="BE55" i="2"/>
  <c r="S55" i="1"/>
  <c r="BD55" i="2"/>
  <c r="BC55" i="2"/>
  <c r="BB55" i="2"/>
  <c r="BA55" i="2"/>
  <c r="AZ55" i="2"/>
  <c r="AY55" i="2"/>
  <c r="AX55" i="2"/>
  <c r="AW55" i="2"/>
  <c r="AV55" i="2"/>
  <c r="AU55" i="2"/>
  <c r="AT55" i="2"/>
  <c r="H55" i="1"/>
  <c r="AS55" i="2"/>
  <c r="G55" i="1"/>
  <c r="AR55" i="2"/>
  <c r="AQ55" i="2"/>
  <c r="AP55" i="2"/>
  <c r="D55" i="1"/>
  <c r="AO55" i="2"/>
  <c r="AN55" i="2"/>
  <c r="AM55" i="2"/>
  <c r="AJ55" i="2"/>
  <c r="AI55" i="2"/>
  <c r="BM54" i="2"/>
  <c r="AA54" i="1"/>
  <c r="BL54" i="2"/>
  <c r="BK54" i="2"/>
  <c r="BJ54" i="2"/>
  <c r="X54" i="1"/>
  <c r="BI54" i="2"/>
  <c r="BH54" i="2"/>
  <c r="BG54" i="2"/>
  <c r="U54" i="1"/>
  <c r="BF54" i="2"/>
  <c r="BE54" i="2"/>
  <c r="S54" i="1"/>
  <c r="BD54" i="2"/>
  <c r="BC54" i="2"/>
  <c r="BB54" i="2"/>
  <c r="BA54" i="2"/>
  <c r="AZ54" i="2"/>
  <c r="AY54" i="2"/>
  <c r="AX54" i="2"/>
  <c r="AW54" i="2"/>
  <c r="AV54" i="2"/>
  <c r="AU54" i="2"/>
  <c r="AT54" i="2"/>
  <c r="H54" i="1"/>
  <c r="AS54" i="2"/>
  <c r="G54" i="1"/>
  <c r="AR54" i="2"/>
  <c r="AQ54" i="2"/>
  <c r="AP54" i="2"/>
  <c r="D54" i="1"/>
  <c r="AO54" i="2"/>
  <c r="AN54" i="2"/>
  <c r="AM54" i="2"/>
  <c r="AJ54" i="2"/>
  <c r="AI54" i="2"/>
  <c r="BM53" i="2"/>
  <c r="AA53" i="1"/>
  <c r="BL53" i="2"/>
  <c r="BK53" i="2"/>
  <c r="BJ53" i="2"/>
  <c r="X53" i="1"/>
  <c r="BI53" i="2"/>
  <c r="BH53" i="2"/>
  <c r="BG53" i="2"/>
  <c r="U53" i="1"/>
  <c r="BF53" i="2"/>
  <c r="BE53" i="2"/>
  <c r="S53" i="1"/>
  <c r="BD53" i="2"/>
  <c r="BC53" i="2"/>
  <c r="BB53" i="2"/>
  <c r="BA53" i="2"/>
  <c r="AZ53" i="2"/>
  <c r="AY53" i="2"/>
  <c r="AX53" i="2"/>
  <c r="AW53" i="2"/>
  <c r="AV53" i="2"/>
  <c r="AU53" i="2"/>
  <c r="AT53" i="2"/>
  <c r="H53" i="1"/>
  <c r="AS53" i="2"/>
  <c r="G53" i="1"/>
  <c r="AR53" i="2"/>
  <c r="AQ53" i="2"/>
  <c r="AP53" i="2"/>
  <c r="D53" i="1"/>
  <c r="AO53" i="2"/>
  <c r="AN53" i="2"/>
  <c r="AM53" i="2"/>
  <c r="AJ53" i="2"/>
  <c r="AI53" i="2"/>
  <c r="BM52" i="2"/>
  <c r="AA52" i="1"/>
  <c r="BL52" i="2"/>
  <c r="BK52" i="2"/>
  <c r="BJ52" i="2"/>
  <c r="X52" i="1"/>
  <c r="BI52" i="2"/>
  <c r="BH52" i="2"/>
  <c r="BG52" i="2"/>
  <c r="U52" i="1"/>
  <c r="BF52" i="2"/>
  <c r="BE52" i="2"/>
  <c r="S52" i="1"/>
  <c r="BD52" i="2"/>
  <c r="BC52" i="2"/>
  <c r="BB52" i="2"/>
  <c r="BA52" i="2"/>
  <c r="AZ52" i="2"/>
  <c r="AY52" i="2"/>
  <c r="AX52" i="2"/>
  <c r="AW52" i="2"/>
  <c r="AV52" i="2"/>
  <c r="AU52" i="2"/>
  <c r="AT52" i="2"/>
  <c r="H52" i="1"/>
  <c r="AS52" i="2"/>
  <c r="G52" i="1"/>
  <c r="AR52" i="2"/>
  <c r="AQ52" i="2"/>
  <c r="AP52" i="2"/>
  <c r="D52" i="1"/>
  <c r="AO52" i="2"/>
  <c r="AN52" i="2"/>
  <c r="AM52" i="2"/>
  <c r="AJ52" i="2"/>
  <c r="AI52" i="2"/>
  <c r="BM51" i="2"/>
  <c r="AA51" i="1"/>
  <c r="BL51" i="2"/>
  <c r="BK51" i="2"/>
  <c r="BJ51" i="2"/>
  <c r="X51" i="1"/>
  <c r="BI51" i="2"/>
  <c r="BH51" i="2"/>
  <c r="BG51" i="2"/>
  <c r="U51" i="1"/>
  <c r="BF51" i="2"/>
  <c r="BE51" i="2"/>
  <c r="S51" i="1"/>
  <c r="BD51" i="2"/>
  <c r="BC51" i="2"/>
  <c r="BB51" i="2"/>
  <c r="BA51" i="2"/>
  <c r="AZ51" i="2"/>
  <c r="AY51" i="2"/>
  <c r="AX51" i="2"/>
  <c r="AW51" i="2"/>
  <c r="AV51" i="2"/>
  <c r="AU51" i="2"/>
  <c r="AT51" i="2"/>
  <c r="H51" i="1"/>
  <c r="AS51" i="2"/>
  <c r="G51" i="1"/>
  <c r="AR51" i="2"/>
  <c r="AQ51" i="2"/>
  <c r="AP51" i="2"/>
  <c r="D51" i="1"/>
  <c r="AO51" i="2"/>
  <c r="AN51" i="2"/>
  <c r="AM51" i="2"/>
  <c r="AJ51" i="2"/>
  <c r="AI51" i="2"/>
  <c r="BM50" i="2"/>
  <c r="AA50" i="1"/>
  <c r="BL50" i="2"/>
  <c r="BK50" i="2"/>
  <c r="BJ50" i="2"/>
  <c r="X50" i="1"/>
  <c r="BI50" i="2"/>
  <c r="BH50" i="2"/>
  <c r="BG50" i="2"/>
  <c r="U50" i="1"/>
  <c r="BF50" i="2"/>
  <c r="BE50" i="2"/>
  <c r="S50" i="1"/>
  <c r="BD50" i="2"/>
  <c r="BC50" i="2"/>
  <c r="BB50" i="2"/>
  <c r="BA50" i="2"/>
  <c r="AZ50" i="2"/>
  <c r="AY50" i="2"/>
  <c r="AX50" i="2"/>
  <c r="AW50" i="2"/>
  <c r="AV50" i="2"/>
  <c r="AU50" i="2"/>
  <c r="AT50" i="2"/>
  <c r="H50" i="1"/>
  <c r="AS50" i="2"/>
  <c r="G50" i="1"/>
  <c r="AR50" i="2"/>
  <c r="AQ50" i="2"/>
  <c r="AP50" i="2"/>
  <c r="D50" i="1"/>
  <c r="AO50" i="2"/>
  <c r="AN50" i="2"/>
  <c r="AM50" i="2"/>
  <c r="AJ50" i="2"/>
  <c r="AI50" i="2"/>
  <c r="BM49" i="2"/>
  <c r="AA49" i="1"/>
  <c r="BL49" i="2"/>
  <c r="BK49" i="2"/>
  <c r="BJ49" i="2"/>
  <c r="X49" i="1"/>
  <c r="BI49" i="2"/>
  <c r="BH49" i="2"/>
  <c r="BG49" i="2"/>
  <c r="U49" i="1"/>
  <c r="BF49" i="2"/>
  <c r="BE49" i="2"/>
  <c r="S49" i="1"/>
  <c r="BD49" i="2"/>
  <c r="BC49" i="2"/>
  <c r="BB49" i="2"/>
  <c r="BA49" i="2"/>
  <c r="AZ49" i="2"/>
  <c r="AY49" i="2"/>
  <c r="AX49" i="2"/>
  <c r="AW49" i="2"/>
  <c r="AV49" i="2"/>
  <c r="AU49" i="2"/>
  <c r="AT49" i="2"/>
  <c r="H49" i="1"/>
  <c r="AS49" i="2"/>
  <c r="G49" i="1"/>
  <c r="AR49" i="2"/>
  <c r="AQ49" i="2"/>
  <c r="AP49" i="2"/>
  <c r="D49" i="1"/>
  <c r="AO49" i="2"/>
  <c r="AN49" i="2"/>
  <c r="AM49" i="2"/>
  <c r="AJ49" i="2"/>
  <c r="AI49" i="2"/>
  <c r="BM48" i="2"/>
  <c r="AA48" i="1"/>
  <c r="BL48" i="2"/>
  <c r="BK48" i="2"/>
  <c r="BJ48" i="2"/>
  <c r="X48" i="1"/>
  <c r="BI48" i="2"/>
  <c r="BH48" i="2"/>
  <c r="BG48" i="2"/>
  <c r="U48" i="1"/>
  <c r="BF48" i="2"/>
  <c r="BE48" i="2"/>
  <c r="S48" i="1"/>
  <c r="BD48" i="2"/>
  <c r="BC48" i="2"/>
  <c r="BB48" i="2"/>
  <c r="BA48" i="2"/>
  <c r="AZ48" i="2"/>
  <c r="AY48" i="2"/>
  <c r="AX48" i="2"/>
  <c r="AW48" i="2"/>
  <c r="AV48" i="2"/>
  <c r="AU48" i="2"/>
  <c r="AT48" i="2"/>
  <c r="H48" i="1"/>
  <c r="AS48" i="2"/>
  <c r="G48" i="1"/>
  <c r="AR48" i="2"/>
  <c r="AQ48" i="2"/>
  <c r="AP48" i="2"/>
  <c r="D48" i="1"/>
  <c r="AO48" i="2"/>
  <c r="AN48" i="2"/>
  <c r="AM48" i="2"/>
  <c r="AJ48" i="2"/>
  <c r="AI48" i="2"/>
  <c r="BM47" i="2"/>
  <c r="AA47" i="1"/>
  <c r="BL47" i="2"/>
  <c r="BK47" i="2"/>
  <c r="BJ47" i="2"/>
  <c r="X47" i="1"/>
  <c r="BI47" i="2"/>
  <c r="BH47" i="2"/>
  <c r="BG47" i="2"/>
  <c r="U47" i="1"/>
  <c r="BF47" i="2"/>
  <c r="BE47" i="2"/>
  <c r="S47" i="1"/>
  <c r="BD47" i="2"/>
  <c r="BC47" i="2"/>
  <c r="BB47" i="2"/>
  <c r="BA47" i="2"/>
  <c r="AZ47" i="2"/>
  <c r="AY47" i="2"/>
  <c r="AX47" i="2"/>
  <c r="AW47" i="2"/>
  <c r="AV47" i="2"/>
  <c r="AU47" i="2"/>
  <c r="AT47" i="2"/>
  <c r="H47" i="1"/>
  <c r="AS47" i="2"/>
  <c r="G47" i="1"/>
  <c r="AR47" i="2"/>
  <c r="AQ47" i="2"/>
  <c r="AP47" i="2"/>
  <c r="D47" i="1"/>
  <c r="AO47" i="2"/>
  <c r="AN47" i="2"/>
  <c r="AM47" i="2"/>
  <c r="AJ47" i="2"/>
  <c r="AI47" i="2"/>
  <c r="BM46" i="2"/>
  <c r="AA46" i="1"/>
  <c r="BL46" i="2"/>
  <c r="BK46" i="2"/>
  <c r="BJ46" i="2"/>
  <c r="X46" i="1"/>
  <c r="BI46" i="2"/>
  <c r="BH46" i="2"/>
  <c r="BG46" i="2"/>
  <c r="U46" i="1"/>
  <c r="BF46" i="2"/>
  <c r="BE46" i="2"/>
  <c r="S46" i="1"/>
  <c r="BD46" i="2"/>
  <c r="BC46" i="2"/>
  <c r="BB46" i="2"/>
  <c r="BA46" i="2"/>
  <c r="AZ46" i="2"/>
  <c r="AY46" i="2"/>
  <c r="AX46" i="2"/>
  <c r="AW46" i="2"/>
  <c r="AV46" i="2"/>
  <c r="AU46" i="2"/>
  <c r="AT46" i="2"/>
  <c r="H46" i="1"/>
  <c r="AS46" i="2"/>
  <c r="G46" i="1"/>
  <c r="AR46" i="2"/>
  <c r="AQ46" i="2"/>
  <c r="AP46" i="2"/>
  <c r="D46" i="1"/>
  <c r="AO46" i="2"/>
  <c r="AN46" i="2"/>
  <c r="AM46" i="2"/>
  <c r="AJ46" i="2"/>
  <c r="AI46" i="2"/>
  <c r="BM45" i="2"/>
  <c r="AA45" i="1"/>
  <c r="BL45" i="2"/>
  <c r="BK45" i="2"/>
  <c r="BJ45" i="2"/>
  <c r="X45" i="1"/>
  <c r="BI45" i="2"/>
  <c r="BH45" i="2"/>
  <c r="BG45" i="2"/>
  <c r="U45" i="1"/>
  <c r="BF45" i="2"/>
  <c r="BE45" i="2"/>
  <c r="S45" i="1"/>
  <c r="BD45" i="2"/>
  <c r="BC45" i="2"/>
  <c r="BB45" i="2"/>
  <c r="BA45" i="2"/>
  <c r="AZ45" i="2"/>
  <c r="AY45" i="2"/>
  <c r="AX45" i="2"/>
  <c r="AW45" i="2"/>
  <c r="AV45" i="2"/>
  <c r="AU45" i="2"/>
  <c r="AT45" i="2"/>
  <c r="H45" i="1"/>
  <c r="AS45" i="2"/>
  <c r="G45" i="1"/>
  <c r="AR45" i="2"/>
  <c r="AQ45" i="2"/>
  <c r="AP45" i="2"/>
  <c r="D45" i="1"/>
  <c r="AO45" i="2"/>
  <c r="AN45" i="2"/>
  <c r="AM45" i="2"/>
  <c r="AJ45" i="2"/>
  <c r="AI45" i="2"/>
  <c r="BM44" i="2"/>
  <c r="AA44" i="1"/>
  <c r="BL44" i="2"/>
  <c r="BK44" i="2"/>
  <c r="BJ44" i="2"/>
  <c r="X44" i="1"/>
  <c r="BI44" i="2"/>
  <c r="BH44" i="2"/>
  <c r="BG44" i="2"/>
  <c r="U44" i="1"/>
  <c r="BF44" i="2"/>
  <c r="BE44" i="2"/>
  <c r="S44" i="1"/>
  <c r="BD44" i="2"/>
  <c r="BC44" i="2"/>
  <c r="BB44" i="2"/>
  <c r="BA44" i="2"/>
  <c r="AZ44" i="2"/>
  <c r="AY44" i="2"/>
  <c r="AX44" i="2"/>
  <c r="AW44" i="2"/>
  <c r="AV44" i="2"/>
  <c r="AU44" i="2"/>
  <c r="AT44" i="2"/>
  <c r="H44" i="1"/>
  <c r="AS44" i="2"/>
  <c r="G44" i="1"/>
  <c r="AR44" i="2"/>
  <c r="AQ44" i="2"/>
  <c r="AP44" i="2"/>
  <c r="D44" i="1"/>
  <c r="AO44" i="2"/>
  <c r="AN44" i="2"/>
  <c r="AM44" i="2"/>
  <c r="AJ44" i="2"/>
  <c r="AI44" i="2"/>
  <c r="BM43" i="2"/>
  <c r="AA43" i="1"/>
  <c r="BL43" i="2"/>
  <c r="BK43" i="2"/>
  <c r="BJ43" i="2"/>
  <c r="X43" i="1"/>
  <c r="BI43" i="2"/>
  <c r="BH43" i="2"/>
  <c r="BG43" i="2"/>
  <c r="U43" i="1"/>
  <c r="BF43" i="2"/>
  <c r="BE43" i="2"/>
  <c r="S43" i="1"/>
  <c r="BD43" i="2"/>
  <c r="BC43" i="2"/>
  <c r="BB43" i="2"/>
  <c r="BA43" i="2"/>
  <c r="AZ43" i="2"/>
  <c r="AY43" i="2"/>
  <c r="AX43" i="2"/>
  <c r="AW43" i="2"/>
  <c r="AV43" i="2"/>
  <c r="AU43" i="2"/>
  <c r="AT43" i="2"/>
  <c r="H43" i="1"/>
  <c r="AS43" i="2"/>
  <c r="G43" i="1"/>
  <c r="AR43" i="2"/>
  <c r="AQ43" i="2"/>
  <c r="AP43" i="2"/>
  <c r="D43" i="1"/>
  <c r="AO43" i="2"/>
  <c r="AN43" i="2"/>
  <c r="AM43" i="2"/>
  <c r="AJ43" i="2"/>
  <c r="AI43" i="2"/>
  <c r="BM42" i="2"/>
  <c r="AA42" i="1"/>
  <c r="BL42" i="2"/>
  <c r="BK42" i="2"/>
  <c r="BJ42" i="2"/>
  <c r="X42" i="1"/>
  <c r="BI42" i="2"/>
  <c r="BH42" i="2"/>
  <c r="BG42" i="2"/>
  <c r="U42" i="1"/>
  <c r="BF42" i="2"/>
  <c r="BE42" i="2"/>
  <c r="S42" i="1"/>
  <c r="BD42" i="2"/>
  <c r="BC42" i="2"/>
  <c r="BB42" i="2"/>
  <c r="BA42" i="2"/>
  <c r="AZ42" i="2"/>
  <c r="AY42" i="2"/>
  <c r="AX42" i="2"/>
  <c r="AW42" i="2"/>
  <c r="AV42" i="2"/>
  <c r="AU42" i="2"/>
  <c r="AT42" i="2"/>
  <c r="H42" i="1"/>
  <c r="AS42" i="2"/>
  <c r="G42" i="1"/>
  <c r="AR42" i="2"/>
  <c r="AQ42" i="2"/>
  <c r="AP42" i="2"/>
  <c r="D42" i="1"/>
  <c r="AO42" i="2"/>
  <c r="AN42" i="2"/>
  <c r="AM42" i="2"/>
  <c r="AJ42" i="2"/>
  <c r="AI42" i="2"/>
  <c r="BM41" i="2"/>
  <c r="AA41" i="1"/>
  <c r="BL41" i="2"/>
  <c r="BK41" i="2"/>
  <c r="BJ41" i="2"/>
  <c r="X41" i="1"/>
  <c r="BI41" i="2"/>
  <c r="BH41" i="2"/>
  <c r="BG41" i="2"/>
  <c r="U41" i="1"/>
  <c r="BF41" i="2"/>
  <c r="BE41" i="2"/>
  <c r="S41" i="1"/>
  <c r="BD41" i="2"/>
  <c r="BC41" i="2"/>
  <c r="BB41" i="2"/>
  <c r="BA41" i="2"/>
  <c r="AZ41" i="2"/>
  <c r="AY41" i="2"/>
  <c r="AX41" i="2"/>
  <c r="AW41" i="2"/>
  <c r="AV41" i="2"/>
  <c r="AU41" i="2"/>
  <c r="AT41" i="2"/>
  <c r="H41" i="1"/>
  <c r="AS41" i="2"/>
  <c r="G41" i="1"/>
  <c r="AR41" i="2"/>
  <c r="AQ41" i="2"/>
  <c r="AP41" i="2"/>
  <c r="D41" i="1"/>
  <c r="AO41" i="2"/>
  <c r="AN41" i="2"/>
  <c r="AM41" i="2"/>
  <c r="AJ41" i="2"/>
  <c r="AI41" i="2"/>
  <c r="BM40" i="2"/>
  <c r="AA40" i="1"/>
  <c r="BL40" i="2"/>
  <c r="BK40" i="2"/>
  <c r="BJ40" i="2"/>
  <c r="X40" i="1"/>
  <c r="BI40" i="2"/>
  <c r="BH40" i="2"/>
  <c r="BG40" i="2"/>
  <c r="U40" i="1"/>
  <c r="BF40" i="2"/>
  <c r="BE40" i="2"/>
  <c r="S40" i="1"/>
  <c r="BD40" i="2"/>
  <c r="BC40" i="2"/>
  <c r="BB40" i="2"/>
  <c r="BA40" i="2"/>
  <c r="AZ40" i="2"/>
  <c r="AY40" i="2"/>
  <c r="AX40" i="2"/>
  <c r="AW40" i="2"/>
  <c r="AV40" i="2"/>
  <c r="AU40" i="2"/>
  <c r="AT40" i="2"/>
  <c r="H40" i="1"/>
  <c r="AS40" i="2"/>
  <c r="G40" i="1"/>
  <c r="AR40" i="2"/>
  <c r="AQ40" i="2"/>
  <c r="AP40" i="2"/>
  <c r="D40" i="1"/>
  <c r="AO40" i="2"/>
  <c r="AN40" i="2"/>
  <c r="AM40" i="2"/>
  <c r="AJ40" i="2"/>
  <c r="AI40" i="2"/>
  <c r="BM39" i="2"/>
  <c r="AA39" i="1"/>
  <c r="BL39" i="2"/>
  <c r="BK39" i="2"/>
  <c r="BJ39" i="2"/>
  <c r="X39" i="1"/>
  <c r="BI39" i="2"/>
  <c r="BH39" i="2"/>
  <c r="BG39" i="2"/>
  <c r="U39" i="1"/>
  <c r="BF39" i="2"/>
  <c r="BE39" i="2"/>
  <c r="S39" i="1"/>
  <c r="BD39" i="2"/>
  <c r="BC39" i="2"/>
  <c r="BB39" i="2"/>
  <c r="BA39" i="2"/>
  <c r="AZ39" i="2"/>
  <c r="AY39" i="2"/>
  <c r="AX39" i="2"/>
  <c r="AW39" i="2"/>
  <c r="AV39" i="2"/>
  <c r="AU39" i="2"/>
  <c r="AT39" i="2"/>
  <c r="H39" i="1"/>
  <c r="AS39" i="2"/>
  <c r="G39" i="1"/>
  <c r="AR39" i="2"/>
  <c r="AQ39" i="2"/>
  <c r="AP39" i="2"/>
  <c r="D39" i="1"/>
  <c r="AO39" i="2"/>
  <c r="AN39" i="2"/>
  <c r="AM39" i="2"/>
  <c r="AJ39" i="2"/>
  <c r="AI39" i="2"/>
  <c r="BM38" i="2"/>
  <c r="AA38" i="1"/>
  <c r="BL38" i="2"/>
  <c r="BK38" i="2"/>
  <c r="BJ38" i="2"/>
  <c r="X38" i="1"/>
  <c r="BI38" i="2"/>
  <c r="BH38" i="2"/>
  <c r="BG38" i="2"/>
  <c r="U38" i="1"/>
  <c r="BF38" i="2"/>
  <c r="BE38" i="2"/>
  <c r="S38" i="1"/>
  <c r="BD38" i="2"/>
  <c r="BC38" i="2"/>
  <c r="BB38" i="2"/>
  <c r="BA38" i="2"/>
  <c r="AZ38" i="2"/>
  <c r="AY38" i="2"/>
  <c r="AX38" i="2"/>
  <c r="AW38" i="2"/>
  <c r="AV38" i="2"/>
  <c r="AU38" i="2"/>
  <c r="AT38" i="2"/>
  <c r="H38" i="1"/>
  <c r="AS38" i="2"/>
  <c r="G38" i="1"/>
  <c r="AR38" i="2"/>
  <c r="AQ38" i="2"/>
  <c r="AP38" i="2"/>
  <c r="D38" i="1"/>
  <c r="AO38" i="2"/>
  <c r="AN38" i="2"/>
  <c r="AM38" i="2"/>
  <c r="AJ38" i="2"/>
  <c r="AI38" i="2"/>
  <c r="BM37" i="2"/>
  <c r="AA37" i="1"/>
  <c r="BL37" i="2"/>
  <c r="BK37" i="2"/>
  <c r="BJ37" i="2"/>
  <c r="X37" i="1"/>
  <c r="BI37" i="2"/>
  <c r="BH37" i="2"/>
  <c r="BG37" i="2"/>
  <c r="U37" i="1"/>
  <c r="BF37" i="2"/>
  <c r="BE37" i="2"/>
  <c r="S37" i="1"/>
  <c r="BD37" i="2"/>
  <c r="BC37" i="2"/>
  <c r="BB37" i="2"/>
  <c r="BA37" i="2"/>
  <c r="AZ37" i="2"/>
  <c r="AY37" i="2"/>
  <c r="AX37" i="2"/>
  <c r="AW37" i="2"/>
  <c r="AV37" i="2"/>
  <c r="AU37" i="2"/>
  <c r="AT37" i="2"/>
  <c r="H37" i="1"/>
  <c r="AS37" i="2"/>
  <c r="G37" i="1"/>
  <c r="AR37" i="2"/>
  <c r="AQ37" i="2"/>
  <c r="AP37" i="2"/>
  <c r="D37" i="1"/>
  <c r="AO37" i="2"/>
  <c r="AN37" i="2"/>
  <c r="AM37" i="2"/>
  <c r="AJ37" i="2"/>
  <c r="AI37" i="2"/>
  <c r="BM36" i="2"/>
  <c r="AA36" i="1"/>
  <c r="BL36" i="2"/>
  <c r="BK36" i="2"/>
  <c r="BJ36" i="2"/>
  <c r="X36" i="1"/>
  <c r="BI36" i="2"/>
  <c r="BH36" i="2"/>
  <c r="BG36" i="2"/>
  <c r="U36" i="1"/>
  <c r="BF36" i="2"/>
  <c r="BE36" i="2"/>
  <c r="S36" i="1"/>
  <c r="BD36" i="2"/>
  <c r="BC36" i="2"/>
  <c r="BB36" i="2"/>
  <c r="BA36" i="2"/>
  <c r="AZ36" i="2"/>
  <c r="AY36" i="2"/>
  <c r="AX36" i="2"/>
  <c r="AW36" i="2"/>
  <c r="AV36" i="2"/>
  <c r="AU36" i="2"/>
  <c r="AT36" i="2"/>
  <c r="H36" i="1"/>
  <c r="AS36" i="2"/>
  <c r="G36" i="1"/>
  <c r="AR36" i="2"/>
  <c r="AQ36" i="2"/>
  <c r="AP36" i="2"/>
  <c r="D36" i="1"/>
  <c r="AO36" i="2"/>
  <c r="AN36" i="2"/>
  <c r="AM36" i="2"/>
  <c r="AJ36" i="2"/>
  <c r="AI36" i="2"/>
  <c r="BM35" i="2"/>
  <c r="AA35" i="1"/>
  <c r="BL35" i="2"/>
  <c r="BK35" i="2"/>
  <c r="BJ35" i="2"/>
  <c r="X35" i="1"/>
  <c r="BI35" i="2"/>
  <c r="BH35" i="2"/>
  <c r="BG35" i="2"/>
  <c r="U35" i="1"/>
  <c r="BF35" i="2"/>
  <c r="BE35" i="2"/>
  <c r="S35" i="1"/>
  <c r="BD35" i="2"/>
  <c r="BC35" i="2"/>
  <c r="BB35" i="2"/>
  <c r="BA35" i="2"/>
  <c r="AZ35" i="2"/>
  <c r="AY35" i="2"/>
  <c r="AX35" i="2"/>
  <c r="AW35" i="2"/>
  <c r="AV35" i="2"/>
  <c r="AU35" i="2"/>
  <c r="AT35" i="2"/>
  <c r="H35" i="1"/>
  <c r="AS35" i="2"/>
  <c r="G35" i="1"/>
  <c r="AR35" i="2"/>
  <c r="AQ35" i="2"/>
  <c r="AP35" i="2"/>
  <c r="D35" i="1"/>
  <c r="AO35" i="2"/>
  <c r="AN35" i="2"/>
  <c r="AM35" i="2"/>
  <c r="AJ35" i="2"/>
  <c r="AI35" i="2"/>
  <c r="BM34" i="2"/>
  <c r="AA34" i="1"/>
  <c r="BL34" i="2"/>
  <c r="BK34" i="2"/>
  <c r="BJ34" i="2"/>
  <c r="X34" i="1"/>
  <c r="BI34" i="2"/>
  <c r="BH34" i="2"/>
  <c r="BG34" i="2"/>
  <c r="U34" i="1"/>
  <c r="BF34" i="2"/>
  <c r="BE34" i="2"/>
  <c r="S34" i="1"/>
  <c r="BD34" i="2"/>
  <c r="BC34" i="2"/>
  <c r="BB34" i="2"/>
  <c r="BA34" i="2"/>
  <c r="AZ34" i="2"/>
  <c r="AY34" i="2"/>
  <c r="AX34" i="2"/>
  <c r="AW34" i="2"/>
  <c r="AV34" i="2"/>
  <c r="AU34" i="2"/>
  <c r="AT34" i="2"/>
  <c r="H34" i="1"/>
  <c r="AS34" i="2"/>
  <c r="G34" i="1"/>
  <c r="AR34" i="2"/>
  <c r="AQ34" i="2"/>
  <c r="AP34" i="2"/>
  <c r="D34" i="1"/>
  <c r="AO34" i="2"/>
  <c r="AN34" i="2"/>
  <c r="AM34" i="2"/>
  <c r="AJ34" i="2"/>
  <c r="AI34" i="2"/>
  <c r="BM33" i="2"/>
  <c r="AA33" i="1"/>
  <c r="BL33" i="2"/>
  <c r="BK33" i="2"/>
  <c r="BJ33" i="2"/>
  <c r="X33" i="1"/>
  <c r="BI33" i="2"/>
  <c r="BH33" i="2"/>
  <c r="BG33" i="2"/>
  <c r="U33" i="1"/>
  <c r="BF33" i="2"/>
  <c r="BE33" i="2"/>
  <c r="S33" i="1"/>
  <c r="BD33" i="2"/>
  <c r="BC33" i="2"/>
  <c r="BB33" i="2"/>
  <c r="BA33" i="2"/>
  <c r="AZ33" i="2"/>
  <c r="AY33" i="2"/>
  <c r="AX33" i="2"/>
  <c r="AW33" i="2"/>
  <c r="AV33" i="2"/>
  <c r="AU33" i="2"/>
  <c r="AT33" i="2"/>
  <c r="H33" i="1"/>
  <c r="AS33" i="2"/>
  <c r="G33" i="1"/>
  <c r="AR33" i="2"/>
  <c r="AQ33" i="2"/>
  <c r="AP33" i="2"/>
  <c r="D33" i="1"/>
  <c r="AO33" i="2"/>
  <c r="AN33" i="2"/>
  <c r="AM33" i="2"/>
  <c r="AJ33" i="2"/>
  <c r="AI33" i="2"/>
  <c r="BM32" i="2"/>
  <c r="AA32" i="1"/>
  <c r="BL32" i="2"/>
  <c r="BK32" i="2"/>
  <c r="BJ32" i="2"/>
  <c r="X32" i="1"/>
  <c r="BI32" i="2"/>
  <c r="BH32" i="2"/>
  <c r="BG32" i="2"/>
  <c r="U32" i="1"/>
  <c r="BF32" i="2"/>
  <c r="BE32" i="2"/>
  <c r="S32" i="1"/>
  <c r="BD32" i="2"/>
  <c r="BC32" i="2"/>
  <c r="BB32" i="2"/>
  <c r="BA32" i="2"/>
  <c r="AZ32" i="2"/>
  <c r="AY32" i="2"/>
  <c r="AX32" i="2"/>
  <c r="AW32" i="2"/>
  <c r="AV32" i="2"/>
  <c r="AU32" i="2"/>
  <c r="AT32" i="2"/>
  <c r="H32" i="1"/>
  <c r="AS32" i="2"/>
  <c r="G32" i="1"/>
  <c r="AR32" i="2"/>
  <c r="AQ32" i="2"/>
  <c r="AP32" i="2"/>
  <c r="D32" i="1"/>
  <c r="AO32" i="2"/>
  <c r="AN32" i="2"/>
  <c r="AM32" i="2"/>
  <c r="AJ32" i="2"/>
  <c r="AI32" i="2"/>
  <c r="BM31" i="2"/>
  <c r="AA31" i="1"/>
  <c r="BL31" i="2"/>
  <c r="BK31" i="2"/>
  <c r="BJ31" i="2"/>
  <c r="X31" i="1"/>
  <c r="BI31" i="2"/>
  <c r="BH31" i="2"/>
  <c r="BG31" i="2"/>
  <c r="U31" i="1"/>
  <c r="BF31" i="2"/>
  <c r="BE31" i="2"/>
  <c r="S31" i="1"/>
  <c r="BD31" i="2"/>
  <c r="BC31" i="2"/>
  <c r="BB31" i="2"/>
  <c r="BA31" i="2"/>
  <c r="AZ31" i="2"/>
  <c r="AY31" i="2"/>
  <c r="AX31" i="2"/>
  <c r="AW31" i="2"/>
  <c r="AV31" i="2"/>
  <c r="AU31" i="2"/>
  <c r="AT31" i="2"/>
  <c r="H31" i="1"/>
  <c r="AS31" i="2"/>
  <c r="G31" i="1"/>
  <c r="AR31" i="2"/>
  <c r="AQ31" i="2"/>
  <c r="AP31" i="2"/>
  <c r="D31" i="1"/>
  <c r="AO31" i="2"/>
  <c r="AN31" i="2"/>
  <c r="AM31" i="2"/>
  <c r="AJ31" i="2"/>
  <c r="AI31" i="2"/>
  <c r="BM30" i="2"/>
  <c r="AA30" i="1"/>
  <c r="BL30" i="2"/>
  <c r="BK30" i="2"/>
  <c r="BJ30" i="2"/>
  <c r="X30" i="1"/>
  <c r="BI30" i="2"/>
  <c r="BH30" i="2"/>
  <c r="BG30" i="2"/>
  <c r="U30" i="1"/>
  <c r="BF30" i="2"/>
  <c r="BE30" i="2"/>
  <c r="S30" i="1"/>
  <c r="BD30" i="2"/>
  <c r="BC30" i="2"/>
  <c r="BB30" i="2"/>
  <c r="BA30" i="2"/>
  <c r="AZ30" i="2"/>
  <c r="AY30" i="2"/>
  <c r="AX30" i="2"/>
  <c r="AW30" i="2"/>
  <c r="AV30" i="2"/>
  <c r="AU30" i="2"/>
  <c r="AT30" i="2"/>
  <c r="H30" i="1"/>
  <c r="AS30" i="2"/>
  <c r="G30" i="1"/>
  <c r="AR30" i="2"/>
  <c r="AQ30" i="2"/>
  <c r="AP30" i="2"/>
  <c r="D30" i="1"/>
  <c r="AO30" i="2"/>
  <c r="AN30" i="2"/>
  <c r="AM30" i="2"/>
  <c r="AJ30" i="2"/>
  <c r="AI30" i="2"/>
  <c r="BM29" i="2"/>
  <c r="AA29" i="1"/>
  <c r="BL29" i="2"/>
  <c r="BK29" i="2"/>
  <c r="BJ29" i="2"/>
  <c r="X29" i="1"/>
  <c r="BI29" i="2"/>
  <c r="BH29" i="2"/>
  <c r="BG29" i="2"/>
  <c r="U29" i="1"/>
  <c r="BF29" i="2"/>
  <c r="BE29" i="2"/>
  <c r="S29" i="1"/>
  <c r="BD29" i="2"/>
  <c r="BC29" i="2"/>
  <c r="BB29" i="2"/>
  <c r="BA29" i="2"/>
  <c r="AZ29" i="2"/>
  <c r="AY29" i="2"/>
  <c r="AX29" i="2"/>
  <c r="AW29" i="2"/>
  <c r="AV29" i="2"/>
  <c r="AU29" i="2"/>
  <c r="AT29" i="2"/>
  <c r="H29" i="1"/>
  <c r="AS29" i="2"/>
  <c r="G29" i="1"/>
  <c r="AR29" i="2"/>
  <c r="AQ29" i="2"/>
  <c r="AP29" i="2"/>
  <c r="D29" i="1"/>
  <c r="AO29" i="2"/>
  <c r="AN29" i="2"/>
  <c r="AM29" i="2"/>
  <c r="AJ29" i="2"/>
  <c r="AI29" i="2"/>
  <c r="BM28" i="2"/>
  <c r="AA28" i="1"/>
  <c r="BL28" i="2"/>
  <c r="BK28" i="2"/>
  <c r="BJ28" i="2"/>
  <c r="X28" i="1"/>
  <c r="BI28" i="2"/>
  <c r="BH28" i="2"/>
  <c r="BG28" i="2"/>
  <c r="U28" i="1"/>
  <c r="BF28" i="2"/>
  <c r="BE28" i="2"/>
  <c r="S28" i="1"/>
  <c r="BD28" i="2"/>
  <c r="BC28" i="2"/>
  <c r="BB28" i="2"/>
  <c r="BA28" i="2"/>
  <c r="AZ28" i="2"/>
  <c r="AY28" i="2"/>
  <c r="AX28" i="2"/>
  <c r="AW28" i="2"/>
  <c r="AV28" i="2"/>
  <c r="AU28" i="2"/>
  <c r="AT28" i="2"/>
  <c r="H28" i="1"/>
  <c r="AS28" i="2"/>
  <c r="G28" i="1"/>
  <c r="AR28" i="2"/>
  <c r="AQ28" i="2"/>
  <c r="AP28" i="2"/>
  <c r="D28" i="1"/>
  <c r="AO28" i="2"/>
  <c r="AN28" i="2"/>
  <c r="AM28" i="2"/>
  <c r="AJ28" i="2"/>
  <c r="AI28" i="2"/>
  <c r="BM27" i="2"/>
  <c r="AA27" i="1"/>
  <c r="BL27" i="2"/>
  <c r="BK27" i="2"/>
  <c r="BJ27" i="2"/>
  <c r="X27" i="1"/>
  <c r="BI27" i="2"/>
  <c r="BH27" i="2"/>
  <c r="BG27" i="2"/>
  <c r="U27" i="1"/>
  <c r="BF27" i="2"/>
  <c r="BE27" i="2"/>
  <c r="S27" i="1"/>
  <c r="BD27" i="2"/>
  <c r="BC27" i="2"/>
  <c r="BB27" i="2"/>
  <c r="BA27" i="2"/>
  <c r="AZ27" i="2"/>
  <c r="AY27" i="2"/>
  <c r="AX27" i="2"/>
  <c r="AW27" i="2"/>
  <c r="AV27" i="2"/>
  <c r="AU27" i="2"/>
  <c r="AT27" i="2"/>
  <c r="H27" i="1"/>
  <c r="AS27" i="2"/>
  <c r="G27" i="1"/>
  <c r="AR27" i="2"/>
  <c r="AQ27" i="2"/>
  <c r="AP27" i="2"/>
  <c r="D27" i="1"/>
  <c r="AO27" i="2"/>
  <c r="AN27" i="2"/>
  <c r="AM27" i="2"/>
  <c r="AJ27" i="2"/>
  <c r="AI27" i="2"/>
  <c r="BM26" i="2"/>
  <c r="AA26" i="1"/>
  <c r="BL26" i="2"/>
  <c r="BK26" i="2"/>
  <c r="BJ26" i="2"/>
  <c r="X26" i="1"/>
  <c r="BI26" i="2"/>
  <c r="BH26" i="2"/>
  <c r="BG26" i="2"/>
  <c r="U26" i="1"/>
  <c r="BF26" i="2"/>
  <c r="BE26" i="2"/>
  <c r="S26" i="1"/>
  <c r="BD26" i="2"/>
  <c r="BC26" i="2"/>
  <c r="BB26" i="2"/>
  <c r="BA26" i="2"/>
  <c r="AZ26" i="2"/>
  <c r="AY26" i="2"/>
  <c r="AX26" i="2"/>
  <c r="AW26" i="2"/>
  <c r="AV26" i="2"/>
  <c r="AU26" i="2"/>
  <c r="AT26" i="2"/>
  <c r="H26" i="1"/>
  <c r="AS26" i="2"/>
  <c r="G26" i="1"/>
  <c r="AR26" i="2"/>
  <c r="AQ26" i="2"/>
  <c r="AP26" i="2"/>
  <c r="D26" i="1"/>
  <c r="AO26" i="2"/>
  <c r="AN26" i="2"/>
  <c r="AM26" i="2"/>
  <c r="AJ26" i="2"/>
  <c r="AI26" i="2"/>
  <c r="BM25" i="2"/>
  <c r="AA25" i="1"/>
  <c r="BL25" i="2"/>
  <c r="BK25" i="2"/>
  <c r="BJ25" i="2"/>
  <c r="X25" i="1"/>
  <c r="BI25" i="2"/>
  <c r="BH25" i="2"/>
  <c r="BG25" i="2"/>
  <c r="U25" i="1"/>
  <c r="BF25" i="2"/>
  <c r="BE25" i="2"/>
  <c r="S25" i="1"/>
  <c r="BD25" i="2"/>
  <c r="BC25" i="2"/>
  <c r="BB25" i="2"/>
  <c r="BA25" i="2"/>
  <c r="AZ25" i="2"/>
  <c r="AY25" i="2"/>
  <c r="AX25" i="2"/>
  <c r="AW25" i="2"/>
  <c r="AV25" i="2"/>
  <c r="AU25" i="2"/>
  <c r="AT25" i="2"/>
  <c r="H25" i="1"/>
  <c r="AS25" i="2"/>
  <c r="G25" i="1"/>
  <c r="AR25" i="2"/>
  <c r="AQ25" i="2"/>
  <c r="AP25" i="2"/>
  <c r="D25" i="1"/>
  <c r="AO25" i="2"/>
  <c r="AN25" i="2"/>
  <c r="AM25" i="2"/>
  <c r="AJ25" i="2"/>
  <c r="AI25" i="2"/>
  <c r="BM24" i="2"/>
  <c r="AA24" i="1"/>
  <c r="BL24" i="2"/>
  <c r="BK24" i="2"/>
  <c r="BJ24" i="2"/>
  <c r="X24" i="1"/>
  <c r="BI24" i="2"/>
  <c r="BH24" i="2"/>
  <c r="BG24" i="2"/>
  <c r="U24" i="1"/>
  <c r="BF24" i="2"/>
  <c r="BE24" i="2"/>
  <c r="S24" i="1"/>
  <c r="BD24" i="2"/>
  <c r="BC24" i="2"/>
  <c r="BB24" i="2"/>
  <c r="BA24" i="2"/>
  <c r="AZ24" i="2"/>
  <c r="AY24" i="2"/>
  <c r="AX24" i="2"/>
  <c r="AW24" i="2"/>
  <c r="AV24" i="2"/>
  <c r="AU24" i="2"/>
  <c r="AT24" i="2"/>
  <c r="H24" i="1"/>
  <c r="AS24" i="2"/>
  <c r="G24" i="1"/>
  <c r="AR24" i="2"/>
  <c r="AQ24" i="2"/>
  <c r="AP24" i="2"/>
  <c r="D24" i="1"/>
  <c r="AO24" i="2"/>
  <c r="AN24" i="2"/>
  <c r="AM24" i="2"/>
  <c r="AJ24" i="2"/>
  <c r="AI24" i="2"/>
  <c r="BM23" i="2"/>
  <c r="AA23" i="1"/>
  <c r="BL23" i="2"/>
  <c r="BK23" i="2"/>
  <c r="BJ23" i="2"/>
  <c r="X23" i="1"/>
  <c r="BI23" i="2"/>
  <c r="BH23" i="2"/>
  <c r="BG23" i="2"/>
  <c r="U23" i="1"/>
  <c r="BF23" i="2"/>
  <c r="BE23" i="2"/>
  <c r="S23" i="1"/>
  <c r="BD23" i="2"/>
  <c r="BC23" i="2"/>
  <c r="BB23" i="2"/>
  <c r="BA23" i="2"/>
  <c r="AZ23" i="2"/>
  <c r="AY23" i="2"/>
  <c r="AX23" i="2"/>
  <c r="AW23" i="2"/>
  <c r="AV23" i="2"/>
  <c r="AU23" i="2"/>
  <c r="AT23" i="2"/>
  <c r="H23" i="1"/>
  <c r="AS23" i="2"/>
  <c r="G23" i="1"/>
  <c r="AR23" i="2"/>
  <c r="AQ23" i="2"/>
  <c r="AP23" i="2"/>
  <c r="D23" i="1"/>
  <c r="AO23" i="2"/>
  <c r="AN23" i="2"/>
  <c r="AM23" i="2"/>
  <c r="AJ23" i="2"/>
  <c r="AI23" i="2"/>
  <c r="BM22" i="2"/>
  <c r="AA22" i="1"/>
  <c r="BL22" i="2"/>
  <c r="BK22" i="2"/>
  <c r="BJ22" i="2"/>
  <c r="X22" i="1"/>
  <c r="BI22" i="2"/>
  <c r="BH22" i="2"/>
  <c r="BG22" i="2"/>
  <c r="U22" i="1"/>
  <c r="BF22" i="2"/>
  <c r="BE22" i="2"/>
  <c r="S22" i="1"/>
  <c r="BD22" i="2"/>
  <c r="BC22" i="2"/>
  <c r="BB22" i="2"/>
  <c r="BA22" i="2"/>
  <c r="AZ22" i="2"/>
  <c r="AY22" i="2"/>
  <c r="AX22" i="2"/>
  <c r="AW22" i="2"/>
  <c r="AV22" i="2"/>
  <c r="AU22" i="2"/>
  <c r="AT22" i="2"/>
  <c r="H22" i="1"/>
  <c r="AS22" i="2"/>
  <c r="G22" i="1"/>
  <c r="AR22" i="2"/>
  <c r="AQ22" i="2"/>
  <c r="AP22" i="2"/>
  <c r="D22" i="1"/>
  <c r="AO22" i="2"/>
  <c r="AN22" i="2"/>
  <c r="AM22" i="2"/>
  <c r="AJ22" i="2"/>
  <c r="AI22" i="2"/>
  <c r="BM21" i="2"/>
  <c r="AA21" i="1"/>
  <c r="BL21" i="2"/>
  <c r="BK21" i="2"/>
  <c r="BJ21" i="2"/>
  <c r="X21" i="1"/>
  <c r="BI21" i="2"/>
  <c r="BH21" i="2"/>
  <c r="BG21" i="2"/>
  <c r="U21" i="1"/>
  <c r="BF21" i="2"/>
  <c r="BE21" i="2"/>
  <c r="S21" i="1"/>
  <c r="BD21" i="2"/>
  <c r="BC21" i="2"/>
  <c r="BB21" i="2"/>
  <c r="BA21" i="2"/>
  <c r="AZ21" i="2"/>
  <c r="AY21" i="2"/>
  <c r="AX21" i="2"/>
  <c r="AW21" i="2"/>
  <c r="AV21" i="2"/>
  <c r="AU21" i="2"/>
  <c r="AT21" i="2"/>
  <c r="H21" i="1"/>
  <c r="AS21" i="2"/>
  <c r="G21" i="1"/>
  <c r="AR21" i="2"/>
  <c r="AQ21" i="2"/>
  <c r="AP21" i="2"/>
  <c r="D21" i="1"/>
  <c r="AO21" i="2"/>
  <c r="AN21" i="2"/>
  <c r="AM21" i="2"/>
  <c r="AJ21" i="2"/>
  <c r="AI21" i="2"/>
  <c r="BM20" i="2"/>
  <c r="AA20" i="1"/>
  <c r="BL20" i="2"/>
  <c r="BK20" i="2"/>
  <c r="BJ20" i="2"/>
  <c r="X20" i="1"/>
  <c r="BI20" i="2"/>
  <c r="BH20" i="2"/>
  <c r="BG20" i="2"/>
  <c r="U20" i="1"/>
  <c r="BF20" i="2"/>
  <c r="BE20" i="2"/>
  <c r="S20" i="1"/>
  <c r="BD20" i="2"/>
  <c r="BC20" i="2"/>
  <c r="BB20" i="2"/>
  <c r="BA20" i="2"/>
  <c r="AZ20" i="2"/>
  <c r="AY20" i="2"/>
  <c r="AX20" i="2"/>
  <c r="AW20" i="2"/>
  <c r="AV20" i="2"/>
  <c r="AU20" i="2"/>
  <c r="AT20" i="2"/>
  <c r="H20" i="1"/>
  <c r="AS20" i="2"/>
  <c r="G20" i="1"/>
  <c r="AR20" i="2"/>
  <c r="AQ20" i="2"/>
  <c r="AP20" i="2"/>
  <c r="D20" i="1"/>
  <c r="AO20" i="2"/>
  <c r="AN20" i="2"/>
  <c r="AM20" i="2"/>
  <c r="AJ20" i="2"/>
  <c r="AI20" i="2"/>
  <c r="BM19" i="2"/>
  <c r="AA19" i="1"/>
  <c r="BL19" i="2"/>
  <c r="BK19" i="2"/>
  <c r="BJ19" i="2"/>
  <c r="X19" i="1"/>
  <c r="BI19" i="2"/>
  <c r="BH19" i="2"/>
  <c r="BG19" i="2"/>
  <c r="U19" i="1"/>
  <c r="BF19" i="2"/>
  <c r="BE19" i="2"/>
  <c r="S19" i="1"/>
  <c r="BD19" i="2"/>
  <c r="BC19" i="2"/>
  <c r="BB19" i="2"/>
  <c r="BA19" i="2"/>
  <c r="AZ19" i="2"/>
  <c r="AY19" i="2"/>
  <c r="AX19" i="2"/>
  <c r="AW19" i="2"/>
  <c r="AV19" i="2"/>
  <c r="AU19" i="2"/>
  <c r="AT19" i="2"/>
  <c r="H19" i="1"/>
  <c r="AS19" i="2"/>
  <c r="G19" i="1"/>
  <c r="AR19" i="2"/>
  <c r="AQ19" i="2"/>
  <c r="AP19" i="2"/>
  <c r="D19" i="1"/>
  <c r="AO19" i="2"/>
  <c r="AN19" i="2"/>
  <c r="AM19" i="2"/>
  <c r="AJ19" i="2"/>
  <c r="AI19" i="2"/>
  <c r="BM18" i="2"/>
  <c r="AA18" i="1"/>
  <c r="BL18" i="2"/>
  <c r="BK18" i="2"/>
  <c r="BJ18" i="2"/>
  <c r="X18" i="1"/>
  <c r="BI18" i="2"/>
  <c r="BH18" i="2"/>
  <c r="BG18" i="2"/>
  <c r="U18" i="1"/>
  <c r="BF18" i="2"/>
  <c r="BE18" i="2"/>
  <c r="S18" i="1"/>
  <c r="BD18" i="2"/>
  <c r="BC18" i="2"/>
  <c r="BB18" i="2"/>
  <c r="BA18" i="2"/>
  <c r="AZ18" i="2"/>
  <c r="AY18" i="2"/>
  <c r="AX18" i="2"/>
  <c r="AW18" i="2"/>
  <c r="AV18" i="2"/>
  <c r="AU18" i="2"/>
  <c r="AT18" i="2"/>
  <c r="H18" i="1"/>
  <c r="AS18" i="2"/>
  <c r="G18" i="1"/>
  <c r="AR18" i="2"/>
  <c r="AQ18" i="2"/>
  <c r="AP18" i="2"/>
  <c r="D18" i="1"/>
  <c r="AO18" i="2"/>
  <c r="AN18" i="2"/>
  <c r="AM18" i="2"/>
  <c r="AJ18" i="2"/>
  <c r="AI18" i="2"/>
  <c r="BM17" i="2"/>
  <c r="AA17" i="1"/>
  <c r="BL17" i="2"/>
  <c r="BK17" i="2"/>
  <c r="BJ17" i="2"/>
  <c r="X17" i="1"/>
  <c r="BI17" i="2"/>
  <c r="BH17" i="2"/>
  <c r="BG17" i="2"/>
  <c r="U17" i="1"/>
  <c r="BF17" i="2"/>
  <c r="BE17" i="2"/>
  <c r="S17" i="1"/>
  <c r="BD17" i="2"/>
  <c r="BC17" i="2"/>
  <c r="BB17" i="2"/>
  <c r="BA17" i="2"/>
  <c r="AZ17" i="2"/>
  <c r="AY17" i="2"/>
  <c r="AX17" i="2"/>
  <c r="AW17" i="2"/>
  <c r="AV17" i="2"/>
  <c r="AU17" i="2"/>
  <c r="AT17" i="2"/>
  <c r="H17" i="1"/>
  <c r="AS17" i="2"/>
  <c r="G17" i="1"/>
  <c r="AR17" i="2"/>
  <c r="AQ17" i="2"/>
  <c r="AP17" i="2"/>
  <c r="D17" i="1"/>
  <c r="AO17" i="2"/>
  <c r="AN17" i="2"/>
  <c r="AM17" i="2"/>
  <c r="AJ17" i="2"/>
  <c r="AI17" i="2"/>
  <c r="BM16" i="2"/>
  <c r="AA16" i="1"/>
  <c r="BL16" i="2"/>
  <c r="BK16" i="2"/>
  <c r="BJ16" i="2"/>
  <c r="X16" i="1"/>
  <c r="BI16" i="2"/>
  <c r="BH16" i="2"/>
  <c r="BG16" i="2"/>
  <c r="U16" i="1"/>
  <c r="BF16" i="2"/>
  <c r="BE16" i="2"/>
  <c r="S16" i="1"/>
  <c r="BD16" i="2"/>
  <c r="BC16" i="2"/>
  <c r="BB16" i="2"/>
  <c r="BA16" i="2"/>
  <c r="AZ16" i="2"/>
  <c r="AY16" i="2"/>
  <c r="AX16" i="2"/>
  <c r="AW16" i="2"/>
  <c r="AV16" i="2"/>
  <c r="AU16" i="2"/>
  <c r="AT16" i="2"/>
  <c r="H16" i="1"/>
  <c r="AS16" i="2"/>
  <c r="G16" i="1"/>
  <c r="AR16" i="2"/>
  <c r="AQ16" i="2"/>
  <c r="AP16" i="2"/>
  <c r="D16" i="1"/>
  <c r="AO16" i="2"/>
  <c r="AN16" i="2"/>
  <c r="AM16" i="2"/>
  <c r="AJ16" i="2"/>
  <c r="AI16" i="2"/>
  <c r="BM15" i="2"/>
  <c r="AA15" i="1"/>
  <c r="BL15" i="2"/>
  <c r="BK15" i="2"/>
  <c r="BJ15" i="2"/>
  <c r="X15" i="1"/>
  <c r="BI15" i="2"/>
  <c r="BH15" i="2"/>
  <c r="BG15" i="2"/>
  <c r="U15" i="1"/>
  <c r="BF15" i="2"/>
  <c r="BE15" i="2"/>
  <c r="S15" i="1"/>
  <c r="BD15" i="2"/>
  <c r="BC15" i="2"/>
  <c r="BB15" i="2"/>
  <c r="BA15" i="2"/>
  <c r="AZ15" i="2"/>
  <c r="AY15" i="2"/>
  <c r="AX15" i="2"/>
  <c r="AW15" i="2"/>
  <c r="AV15" i="2"/>
  <c r="AU15" i="2"/>
  <c r="AT15" i="2"/>
  <c r="H15" i="1"/>
  <c r="AS15" i="2"/>
  <c r="G15" i="1"/>
  <c r="AR15" i="2"/>
  <c r="AQ15" i="2"/>
  <c r="AP15" i="2"/>
  <c r="D15" i="1"/>
  <c r="AO15" i="2"/>
  <c r="AN15" i="2"/>
  <c r="AM15" i="2"/>
  <c r="AJ15" i="2"/>
  <c r="AI15" i="2"/>
  <c r="BM14" i="2"/>
  <c r="AA14" i="1"/>
  <c r="BL14" i="2"/>
  <c r="BK14" i="2"/>
  <c r="BJ14" i="2"/>
  <c r="X14" i="1"/>
  <c r="BI14" i="2"/>
  <c r="BH14" i="2"/>
  <c r="BG14" i="2"/>
  <c r="U14" i="1"/>
  <c r="BF14" i="2"/>
  <c r="BE14" i="2"/>
  <c r="S14" i="1"/>
  <c r="BD14" i="2"/>
  <c r="BC14" i="2"/>
  <c r="BB14" i="2"/>
  <c r="BA14" i="2"/>
  <c r="AZ14" i="2"/>
  <c r="AY14" i="2"/>
  <c r="AX14" i="2"/>
  <c r="AW14" i="2"/>
  <c r="AV14" i="2"/>
  <c r="AU14" i="2"/>
  <c r="AT14" i="2"/>
  <c r="H14" i="1"/>
  <c r="AS14" i="2"/>
  <c r="G14" i="1"/>
  <c r="AR14" i="2"/>
  <c r="AQ14" i="2"/>
  <c r="AP14" i="2"/>
  <c r="D14" i="1"/>
  <c r="AO14" i="2"/>
  <c r="AN14" i="2"/>
  <c r="AM14" i="2"/>
  <c r="AJ14" i="2"/>
  <c r="AI14" i="2"/>
  <c r="BM13" i="2"/>
  <c r="AA13" i="1"/>
  <c r="BL13" i="2"/>
  <c r="BK13" i="2"/>
  <c r="BJ13" i="2"/>
  <c r="X13" i="1"/>
  <c r="BI13" i="2"/>
  <c r="BH13" i="2"/>
  <c r="BG13" i="2"/>
  <c r="U13" i="1"/>
  <c r="BF13" i="2"/>
  <c r="BE13" i="2"/>
  <c r="S13" i="1"/>
  <c r="BD13" i="2"/>
  <c r="BC13" i="2"/>
  <c r="BB13" i="2"/>
  <c r="BA13" i="2"/>
  <c r="AZ13" i="2"/>
  <c r="AY13" i="2"/>
  <c r="AX13" i="2"/>
  <c r="AW13" i="2"/>
  <c r="AV13" i="2"/>
  <c r="AU13" i="2"/>
  <c r="AT13" i="2"/>
  <c r="H13" i="1"/>
  <c r="AS13" i="2"/>
  <c r="G13" i="1"/>
  <c r="AR13" i="2"/>
  <c r="AQ13" i="2"/>
  <c r="AP13" i="2"/>
  <c r="D13" i="1"/>
  <c r="AO13" i="2"/>
  <c r="AN13" i="2"/>
  <c r="AM13" i="2"/>
  <c r="AJ13" i="2"/>
  <c r="AI13" i="2"/>
  <c r="BM12" i="2"/>
  <c r="AA12" i="1"/>
  <c r="BL12" i="2"/>
  <c r="BK12" i="2"/>
  <c r="BJ12" i="2"/>
  <c r="X12" i="1"/>
  <c r="BI12" i="2"/>
  <c r="BH12" i="2"/>
  <c r="BG12" i="2"/>
  <c r="U12" i="1"/>
  <c r="BF12" i="2"/>
  <c r="BE12" i="2"/>
  <c r="S12" i="1"/>
  <c r="BD12" i="2"/>
  <c r="BC12" i="2"/>
  <c r="BB12" i="2"/>
  <c r="BA12" i="2"/>
  <c r="AZ12" i="2"/>
  <c r="AY12" i="2"/>
  <c r="AX12" i="2"/>
  <c r="AW12" i="2"/>
  <c r="AV12" i="2"/>
  <c r="AU12" i="2"/>
  <c r="AT12" i="2"/>
  <c r="H12" i="1"/>
  <c r="AS12" i="2"/>
  <c r="G12" i="1"/>
  <c r="AR12" i="2"/>
  <c r="AQ12" i="2"/>
  <c r="AP12" i="2"/>
  <c r="D12" i="1"/>
  <c r="AO12" i="2"/>
  <c r="AN12" i="2"/>
  <c r="AM12" i="2"/>
  <c r="AJ12" i="2"/>
  <c r="AI12" i="2"/>
  <c r="BM11" i="2"/>
  <c r="AA11" i="1"/>
  <c r="BL11" i="2"/>
  <c r="BK11" i="2"/>
  <c r="BJ11" i="2"/>
  <c r="X11" i="1"/>
  <c r="BI11" i="2"/>
  <c r="BH11" i="2"/>
  <c r="BG11" i="2"/>
  <c r="U11" i="1"/>
  <c r="BF11" i="2"/>
  <c r="BE11" i="2"/>
  <c r="S11" i="1"/>
  <c r="BD11" i="2"/>
  <c r="BC11" i="2"/>
  <c r="BB11" i="2"/>
  <c r="BA11" i="2"/>
  <c r="AZ11" i="2"/>
  <c r="AY11" i="2"/>
  <c r="AX11" i="2"/>
  <c r="AW11" i="2"/>
  <c r="AV11" i="2"/>
  <c r="AU11" i="2"/>
  <c r="AT11" i="2"/>
  <c r="H11" i="1"/>
  <c r="AS11" i="2"/>
  <c r="G11" i="1"/>
  <c r="AR11" i="2"/>
  <c r="AQ11" i="2"/>
  <c r="AP11" i="2"/>
  <c r="D11" i="1"/>
  <c r="AO11" i="2"/>
  <c r="AN11" i="2"/>
  <c r="AM11" i="2"/>
  <c r="AJ11" i="2"/>
  <c r="AI11" i="2"/>
  <c r="BM10" i="2"/>
  <c r="AA10" i="1"/>
  <c r="BL10" i="2"/>
  <c r="BK10" i="2"/>
  <c r="BJ10" i="2"/>
  <c r="X10" i="1"/>
  <c r="BI10" i="2"/>
  <c r="BH10" i="2"/>
  <c r="BG10" i="2"/>
  <c r="U10" i="1"/>
  <c r="BF10" i="2"/>
  <c r="BE10" i="2"/>
  <c r="S10" i="1"/>
  <c r="BD10" i="2"/>
  <c r="BC10" i="2"/>
  <c r="BB10" i="2"/>
  <c r="BA10" i="2"/>
  <c r="AZ10" i="2"/>
  <c r="AY10" i="2"/>
  <c r="AX10" i="2"/>
  <c r="AW10" i="2"/>
  <c r="AV10" i="2"/>
  <c r="AU10" i="2"/>
  <c r="AT10" i="2"/>
  <c r="H10" i="1"/>
  <c r="AS10" i="2"/>
  <c r="G10" i="1"/>
  <c r="AR10" i="2"/>
  <c r="AQ10" i="2"/>
  <c r="AP10" i="2"/>
  <c r="D10" i="1"/>
  <c r="AO10" i="2"/>
  <c r="AN10" i="2"/>
  <c r="AM10" i="2"/>
  <c r="AJ10" i="2"/>
  <c r="AI10" i="2"/>
  <c r="BM9" i="2"/>
  <c r="AA9" i="1"/>
  <c r="BL9" i="2"/>
  <c r="BK9" i="2"/>
  <c r="BJ9" i="2"/>
  <c r="X9" i="1"/>
  <c r="BI9" i="2"/>
  <c r="BH9" i="2"/>
  <c r="BG9" i="2"/>
  <c r="U9" i="1"/>
  <c r="BF9" i="2"/>
  <c r="BE9" i="2"/>
  <c r="S9" i="1"/>
  <c r="BD9" i="2"/>
  <c r="BC9" i="2"/>
  <c r="BB9" i="2"/>
  <c r="BA9" i="2"/>
  <c r="AZ9" i="2"/>
  <c r="AY9" i="2"/>
  <c r="AX9" i="2"/>
  <c r="AW9" i="2"/>
  <c r="AV9" i="2"/>
  <c r="AU9" i="2"/>
  <c r="AT9" i="2"/>
  <c r="H9" i="1"/>
  <c r="AS9" i="2"/>
  <c r="G9" i="1"/>
  <c r="AR9" i="2"/>
  <c r="AQ9" i="2"/>
  <c r="AP9" i="2"/>
  <c r="D9" i="1"/>
  <c r="AO9" i="2"/>
  <c r="AN9" i="2"/>
  <c r="AM9" i="2"/>
  <c r="AJ9" i="2"/>
  <c r="AI9" i="2"/>
  <c r="BM8" i="2"/>
  <c r="AA8" i="1"/>
  <c r="BL8" i="2"/>
  <c r="BK8" i="2"/>
  <c r="BJ8" i="2"/>
  <c r="X8" i="1"/>
  <c r="BI8" i="2"/>
  <c r="BH8" i="2"/>
  <c r="BG8" i="2"/>
  <c r="U8" i="1"/>
  <c r="BF8" i="2"/>
  <c r="BE8" i="2"/>
  <c r="S8" i="1"/>
  <c r="BD8" i="2"/>
  <c r="BC8" i="2"/>
  <c r="BB8" i="2"/>
  <c r="BA8" i="2"/>
  <c r="AZ8" i="2"/>
  <c r="AY8" i="2"/>
  <c r="AX8" i="2"/>
  <c r="AW8" i="2"/>
  <c r="AV8" i="2"/>
  <c r="AU8" i="2"/>
  <c r="AT8" i="2"/>
  <c r="H8" i="1"/>
  <c r="AS8" i="2"/>
  <c r="G8" i="1"/>
  <c r="AR8" i="2"/>
  <c r="AQ8" i="2"/>
  <c r="AP8" i="2"/>
  <c r="D8" i="1"/>
  <c r="AO8" i="2"/>
  <c r="AN8" i="2"/>
  <c r="AM8" i="2"/>
  <c r="AJ8" i="2"/>
  <c r="AI8" i="2"/>
  <c r="BM7" i="2"/>
  <c r="AA7" i="1"/>
  <c r="BL7" i="2"/>
  <c r="BK7" i="2"/>
  <c r="BJ7" i="2"/>
  <c r="X7" i="1"/>
  <c r="BI7" i="2"/>
  <c r="BH7" i="2"/>
  <c r="BG7" i="2"/>
  <c r="U7" i="1"/>
  <c r="BF7" i="2"/>
  <c r="BE7" i="2"/>
  <c r="S7" i="1"/>
  <c r="BD7" i="2"/>
  <c r="BC7" i="2"/>
  <c r="BB7" i="2"/>
  <c r="BA7" i="2"/>
  <c r="AZ7" i="2"/>
  <c r="AY7" i="2"/>
  <c r="AX7" i="2"/>
  <c r="AW7" i="2"/>
  <c r="AV7" i="2"/>
  <c r="AU7" i="2"/>
  <c r="AT7" i="2"/>
  <c r="H7" i="1"/>
  <c r="AS7" i="2"/>
  <c r="G7" i="1"/>
  <c r="AR7" i="2"/>
  <c r="AQ7" i="2"/>
  <c r="AP7" i="2"/>
  <c r="D7" i="1"/>
  <c r="AO7" i="2"/>
  <c r="AN7" i="2"/>
  <c r="AM7" i="2"/>
  <c r="AJ7" i="2"/>
  <c r="AI7" i="2"/>
  <c r="BM6" i="2"/>
  <c r="AA6" i="1"/>
  <c r="BL6" i="2"/>
  <c r="BK6" i="2"/>
  <c r="BJ6" i="2"/>
  <c r="X6" i="1"/>
  <c r="BI6" i="2"/>
  <c r="BH6" i="2"/>
  <c r="BG6" i="2"/>
  <c r="U6" i="1"/>
  <c r="BF6" i="2"/>
  <c r="BE6" i="2"/>
  <c r="S6" i="1"/>
  <c r="BD6" i="2"/>
  <c r="BC6" i="2"/>
  <c r="BB6" i="2"/>
  <c r="BA6" i="2"/>
  <c r="AZ6" i="2"/>
  <c r="AY6" i="2"/>
  <c r="AX6" i="2"/>
  <c r="AW6" i="2"/>
  <c r="AV6" i="2"/>
  <c r="AU6" i="2"/>
  <c r="AT6" i="2"/>
  <c r="H6" i="1"/>
  <c r="AS6" i="2"/>
  <c r="G6" i="1"/>
  <c r="AR6" i="2"/>
  <c r="AQ6" i="2"/>
  <c r="AP6" i="2"/>
  <c r="D6" i="1"/>
  <c r="AO6" i="2"/>
  <c r="AN6" i="2"/>
  <c r="AM6" i="2"/>
  <c r="AJ6" i="2"/>
  <c r="AI6" i="2"/>
  <c r="BM5" i="2"/>
  <c r="AA5" i="1"/>
  <c r="BL5" i="2"/>
  <c r="BK5" i="2"/>
  <c r="BJ5" i="2"/>
  <c r="X5" i="1"/>
  <c r="BI5" i="2"/>
  <c r="BH5" i="2"/>
  <c r="BG5" i="2"/>
  <c r="U5" i="1"/>
  <c r="BF5" i="2"/>
  <c r="BE5" i="2"/>
  <c r="S5" i="1"/>
  <c r="BD5" i="2"/>
  <c r="BC5" i="2"/>
  <c r="BB5" i="2"/>
  <c r="BA5" i="2"/>
  <c r="AZ5" i="2"/>
  <c r="AY5" i="2"/>
  <c r="AX5" i="2"/>
  <c r="AW5" i="2"/>
  <c r="AV5" i="2"/>
  <c r="AU5" i="2"/>
  <c r="AT5" i="2"/>
  <c r="H5" i="1"/>
  <c r="AS5" i="2"/>
  <c r="G5" i="1"/>
  <c r="AR5" i="2"/>
  <c r="AQ5" i="2"/>
  <c r="AP5" i="2"/>
  <c r="D5" i="1"/>
  <c r="AO5" i="2"/>
  <c r="AN5" i="2"/>
  <c r="AM5" i="2"/>
  <c r="AJ5" i="2"/>
  <c r="AI5" i="2"/>
  <c r="BM4" i="2"/>
  <c r="AA4" i="1"/>
  <c r="BL4" i="2"/>
  <c r="BK4" i="2"/>
  <c r="BJ4" i="2"/>
  <c r="X4" i="1"/>
  <c r="BI4" i="2"/>
  <c r="BH4" i="2"/>
  <c r="BG4" i="2"/>
  <c r="U4" i="1"/>
  <c r="BF4" i="2"/>
  <c r="BE4" i="2"/>
  <c r="S4" i="1"/>
  <c r="BD4" i="2"/>
  <c r="BC4" i="2"/>
  <c r="BB4" i="2"/>
  <c r="BA4" i="2"/>
  <c r="AZ4" i="2"/>
  <c r="AY4" i="2"/>
  <c r="AX4" i="2"/>
  <c r="AW4" i="2"/>
  <c r="AV4" i="2"/>
  <c r="AU4" i="2"/>
  <c r="AT4" i="2"/>
  <c r="H4" i="1"/>
  <c r="AS4" i="2"/>
  <c r="G4" i="1"/>
  <c r="AR4" i="2"/>
  <c r="AQ4" i="2"/>
  <c r="AP4" i="2"/>
  <c r="D4" i="1"/>
  <c r="AO4" i="2"/>
  <c r="AN4" i="2"/>
  <c r="AM4" i="2"/>
  <c r="AJ4" i="2"/>
  <c r="AI4" i="2"/>
  <c r="BM3" i="2"/>
  <c r="AA3" i="1"/>
  <c r="BL3" i="2"/>
  <c r="BK3" i="2"/>
  <c r="BJ3" i="2"/>
  <c r="X3" i="1"/>
  <c r="BI3" i="2"/>
  <c r="BH3" i="2"/>
  <c r="BG3" i="2"/>
  <c r="U3" i="1"/>
  <c r="BF3" i="2"/>
  <c r="BE3" i="2"/>
  <c r="S3" i="1"/>
  <c r="BD3" i="2"/>
  <c r="BC3" i="2"/>
  <c r="BB3" i="2"/>
  <c r="BA3" i="2"/>
  <c r="AZ3" i="2"/>
  <c r="AY3" i="2"/>
  <c r="AX3" i="2"/>
  <c r="AW3" i="2"/>
  <c r="AV3" i="2"/>
  <c r="AU3" i="2"/>
  <c r="AT3" i="2"/>
  <c r="H3" i="1"/>
  <c r="AS3" i="2"/>
  <c r="G3" i="1"/>
  <c r="AR3" i="2"/>
  <c r="AQ3" i="2"/>
  <c r="AP3" i="2"/>
  <c r="D3" i="1"/>
  <c r="AO3" i="2"/>
  <c r="AN3" i="2"/>
  <c r="AM3" i="2"/>
  <c r="AJ3" i="2"/>
  <c r="AI3" i="2"/>
  <c r="BM2" i="2"/>
  <c r="AA2" i="1"/>
  <c r="BL2" i="2"/>
  <c r="BK2" i="2"/>
  <c r="BJ2" i="2"/>
  <c r="X2" i="1"/>
  <c r="BI2" i="2"/>
  <c r="BH2" i="2"/>
  <c r="BG2" i="2"/>
  <c r="U2" i="1"/>
  <c r="BF2" i="2"/>
  <c r="BE2" i="2"/>
  <c r="S2" i="1"/>
  <c r="BD2" i="2"/>
  <c r="BC2" i="2"/>
  <c r="BB2" i="2"/>
  <c r="BA2" i="2"/>
  <c r="AZ2" i="2"/>
  <c r="AY2" i="2"/>
  <c r="AX2" i="2"/>
  <c r="AW2" i="2"/>
  <c r="AV2" i="2"/>
  <c r="AU2" i="2"/>
  <c r="AT2" i="2"/>
  <c r="H2" i="1"/>
  <c r="AS2" i="2"/>
  <c r="G2" i="1"/>
  <c r="AR2" i="2"/>
  <c r="AQ2" i="2"/>
  <c r="AP2" i="2"/>
  <c r="D2" i="1"/>
  <c r="AO2" i="2"/>
  <c r="AN2" i="2"/>
  <c r="AM2" i="2"/>
  <c r="AK2" i="2" a="1"/>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2" i="2"/>
  <c r="AJ2" i="2"/>
  <c r="AI2" i="2"/>
  <c r="AH2" i="2" a="1"/>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2" i="2"/>
  <c r="AG2" i="2" a="1"/>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2" i="2"/>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AF2" i="2" a="1"/>
  <c r="AF2" i="2"/>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M1003" i="2" a="1"/>
  <c r="AM1003" i="2"/>
  <c r="AN1003" i="2" a="1"/>
  <c r="AN1003" i="2"/>
  <c r="AO1003" i="2" a="1"/>
  <c r="AO1003" i="2"/>
  <c r="AP1003" i="2" a="1"/>
  <c r="AP1003" i="2"/>
  <c r="AQ1003" i="2" a="1"/>
  <c r="AQ1003" i="2"/>
  <c r="AR1003" i="2" a="1"/>
  <c r="AR1003" i="2"/>
  <c r="AS1003" i="2" a="1"/>
  <c r="AS1003" i="2"/>
  <c r="AT1003" i="2" a="1"/>
  <c r="AT1003" i="2"/>
  <c r="AU1003" i="2" a="1"/>
  <c r="AU1003" i="2"/>
  <c r="AV1003" i="2" a="1"/>
  <c r="AV1003" i="2"/>
  <c r="AW1003" i="2" a="1"/>
  <c r="AW1003" i="2"/>
  <c r="AX1003" i="2" a="1"/>
  <c r="AX1003" i="2"/>
  <c r="AY1003" i="2" a="1"/>
  <c r="AY1003" i="2"/>
  <c r="AZ1003" i="2" a="1"/>
  <c r="AZ1003" i="2"/>
  <c r="BA1003" i="2" a="1"/>
  <c r="BA1003" i="2"/>
  <c r="BB1003" i="2" a="1"/>
  <c r="BB1003" i="2"/>
  <c r="BC1003" i="2" a="1"/>
  <c r="BC1003" i="2"/>
  <c r="BD1003" i="2" a="1"/>
  <c r="BD1003" i="2"/>
  <c r="BE1003" i="2" a="1"/>
  <c r="BE1003" i="2"/>
  <c r="BF1003" i="2" a="1"/>
  <c r="BF1003" i="2"/>
  <c r="BG1003" i="2" a="1"/>
  <c r="BG1003" i="2"/>
  <c r="BH1003" i="2" a="1"/>
  <c r="BH1003" i="2"/>
  <c r="BI1003" i="2" a="1"/>
  <c r="BI1003" i="2"/>
  <c r="BJ1003" i="2" a="1"/>
  <c r="BJ1003" i="2"/>
  <c r="BK1003" i="2" a="1"/>
  <c r="BK1003" i="2"/>
  <c r="BL1003" i="2" a="1"/>
  <c r="BL1003" i="2"/>
  <c r="BM1003" i="2" a="1"/>
  <c r="BM1003" i="2"/>
  <c r="AM1005" i="2" a="1"/>
  <c r="AN1005" i="2"/>
  <c r="AO1005" i="2"/>
  <c r="AP1005" i="2"/>
  <c r="AQ1005" i="2"/>
  <c r="AR1005" i="2"/>
  <c r="AS1005" i="2"/>
  <c r="AT1005" i="2"/>
  <c r="AU1005" i="2"/>
  <c r="AV1005" i="2"/>
  <c r="AW1005" i="2"/>
  <c r="AX1005" i="2"/>
  <c r="AY1005" i="2"/>
  <c r="AZ1005" i="2"/>
  <c r="BA1005" i="2"/>
  <c r="BB1005" i="2"/>
  <c r="BC1005" i="2"/>
  <c r="BD1005" i="2"/>
  <c r="BE1005" i="2"/>
  <c r="BF1005" i="2"/>
  <c r="BG1005" i="2"/>
  <c r="BH1005" i="2"/>
  <c r="BI1005" i="2"/>
  <c r="BJ1005" i="2"/>
  <c r="BK1005" i="2"/>
  <c r="BL1005" i="2"/>
  <c r="BM1005" i="2"/>
  <c r="AM1005" i="2"/>
  <c r="AM1006" i="2" a="1"/>
  <c r="AM1006" i="2"/>
  <c r="AN1006" i="2"/>
  <c r="AO1006" i="2"/>
  <c r="AP1006" i="2"/>
  <c r="AQ1006" i="2"/>
  <c r="AR1006" i="2"/>
  <c r="AS1006" i="2"/>
  <c r="AT1006" i="2"/>
  <c r="AU1006" i="2"/>
  <c r="AV1006" i="2"/>
  <c r="AW1006" i="2"/>
  <c r="AX1006" i="2"/>
  <c r="AY1006" i="2"/>
  <c r="AZ1006" i="2"/>
  <c r="BA1006" i="2"/>
  <c r="BB1006" i="2"/>
  <c r="BC1006" i="2"/>
  <c r="BD1006" i="2"/>
  <c r="BE1006" i="2"/>
  <c r="BF1006" i="2"/>
  <c r="BG1006" i="2"/>
  <c r="BH1006" i="2"/>
  <c r="BI1006" i="2"/>
  <c r="BJ1006" i="2"/>
  <c r="BK1006" i="2"/>
  <c r="BL1006" i="2"/>
  <c r="BM1006" i="2"/>
  <c r="AB1001" i="2"/>
  <c r="AA1001" i="2"/>
  <c r="Z1001" i="2"/>
  <c r="Y1001" i="2"/>
  <c r="X1001" i="2"/>
  <c r="W1001" i="2"/>
  <c r="V1001" i="2"/>
  <c r="U1001" i="2"/>
  <c r="T1001" i="2"/>
  <c r="S1001" i="2"/>
  <c r="R1001" i="2"/>
  <c r="Q1001" i="2"/>
  <c r="P1001" i="2"/>
  <c r="O1001" i="2"/>
  <c r="N1001" i="2"/>
  <c r="M1001" i="2"/>
  <c r="L1001" i="2"/>
  <c r="K1001" i="2"/>
  <c r="J1001" i="2"/>
  <c r="I1001" i="2"/>
  <c r="H1001" i="2"/>
  <c r="G1001" i="2"/>
  <c r="F1001" i="2"/>
  <c r="E1001" i="2"/>
  <c r="D1001" i="2"/>
  <c r="C1001" i="2"/>
  <c r="B1001" i="2"/>
  <c r="A1001" i="2"/>
  <c r="AB1000" i="2"/>
  <c r="AA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B999" i="2"/>
  <c r="AA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AB998" i="2"/>
  <c r="AA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AB997" i="2"/>
  <c r="AA997" i="2"/>
  <c r="Z997" i="2"/>
  <c r="Y997" i="2"/>
  <c r="X997" i="2"/>
  <c r="W997" i="2"/>
  <c r="V997" i="2"/>
  <c r="U997" i="2"/>
  <c r="T997" i="2"/>
  <c r="S997" i="2"/>
  <c r="R997" i="2"/>
  <c r="Q997" i="2"/>
  <c r="P997" i="2"/>
  <c r="O997" i="2"/>
  <c r="N997" i="2"/>
  <c r="M997" i="2"/>
  <c r="L997" i="2"/>
  <c r="K997" i="2"/>
  <c r="J997" i="2"/>
  <c r="I997" i="2"/>
  <c r="H997" i="2"/>
  <c r="G997" i="2"/>
  <c r="F997" i="2"/>
  <c r="E997" i="2"/>
  <c r="D997" i="2"/>
  <c r="C997" i="2"/>
  <c r="B997" i="2"/>
  <c r="A997" i="2"/>
  <c r="AB996" i="2"/>
  <c r="AA996" i="2"/>
  <c r="Z996" i="2"/>
  <c r="Y996" i="2"/>
  <c r="X996" i="2"/>
  <c r="W996" i="2"/>
  <c r="V996" i="2"/>
  <c r="U996" i="2"/>
  <c r="T996" i="2"/>
  <c r="S996" i="2"/>
  <c r="R996" i="2"/>
  <c r="Q996" i="2"/>
  <c r="P996" i="2"/>
  <c r="O996" i="2"/>
  <c r="N996" i="2"/>
  <c r="M996" i="2"/>
  <c r="L996" i="2"/>
  <c r="K996" i="2"/>
  <c r="J996" i="2"/>
  <c r="I996" i="2"/>
  <c r="H996" i="2"/>
  <c r="G996" i="2"/>
  <c r="F996" i="2"/>
  <c r="E996" i="2"/>
  <c r="D996" i="2"/>
  <c r="C996" i="2"/>
  <c r="B996" i="2"/>
  <c r="A996" i="2"/>
  <c r="AB995" i="2"/>
  <c r="AA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AB994" i="2"/>
  <c r="AA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B993" i="2"/>
  <c r="AA993" i="2"/>
  <c r="Z993" i="2"/>
  <c r="Y993" i="2"/>
  <c r="X993" i="2"/>
  <c r="W993" i="2"/>
  <c r="V993" i="2"/>
  <c r="U993" i="2"/>
  <c r="T993" i="2"/>
  <c r="S993" i="2"/>
  <c r="R993" i="2"/>
  <c r="Q993" i="2"/>
  <c r="P993" i="2"/>
  <c r="O993" i="2"/>
  <c r="N993" i="2"/>
  <c r="M993" i="2"/>
  <c r="L993" i="2"/>
  <c r="K993" i="2"/>
  <c r="J993" i="2"/>
  <c r="I993" i="2"/>
  <c r="H993" i="2"/>
  <c r="G993" i="2"/>
  <c r="F993" i="2"/>
  <c r="E993" i="2"/>
  <c r="D993" i="2"/>
  <c r="C993" i="2"/>
  <c r="B993" i="2"/>
  <c r="A993"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B991" i="2"/>
  <c r="AA991" i="2"/>
  <c r="Z991" i="2"/>
  <c r="Y991" i="2"/>
  <c r="X991" i="2"/>
  <c r="W991" i="2"/>
  <c r="V991" i="2"/>
  <c r="U991" i="2"/>
  <c r="T991" i="2"/>
  <c r="S991" i="2"/>
  <c r="R991" i="2"/>
  <c r="Q991" i="2"/>
  <c r="P991" i="2"/>
  <c r="O991" i="2"/>
  <c r="N991" i="2"/>
  <c r="M991" i="2"/>
  <c r="L991" i="2"/>
  <c r="K991" i="2"/>
  <c r="J991" i="2"/>
  <c r="I991" i="2"/>
  <c r="H991" i="2"/>
  <c r="G991" i="2"/>
  <c r="F991" i="2"/>
  <c r="E991" i="2"/>
  <c r="D991" i="2"/>
  <c r="C991" i="2"/>
  <c r="B991" i="2"/>
  <c r="A991"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B988" i="2"/>
  <c r="AA988" i="2"/>
  <c r="Z988" i="2"/>
  <c r="Y988" i="2"/>
  <c r="X988" i="2"/>
  <c r="W988" i="2"/>
  <c r="V988" i="2"/>
  <c r="U988" i="2"/>
  <c r="T988" i="2"/>
  <c r="S988" i="2"/>
  <c r="R988" i="2"/>
  <c r="Q988" i="2"/>
  <c r="P988" i="2"/>
  <c r="O988" i="2"/>
  <c r="N988" i="2"/>
  <c r="M988" i="2"/>
  <c r="L988" i="2"/>
  <c r="K988" i="2"/>
  <c r="J988" i="2"/>
  <c r="I988" i="2"/>
  <c r="H988" i="2"/>
  <c r="G988" i="2"/>
  <c r="F988" i="2"/>
  <c r="E988" i="2"/>
  <c r="D988" i="2"/>
  <c r="C988" i="2"/>
  <c r="B988" i="2"/>
  <c r="A988"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AB985" i="2"/>
  <c r="AA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B984" i="2"/>
  <c r="AA984" i="2"/>
  <c r="Z984" i="2"/>
  <c r="Y984" i="2"/>
  <c r="X984" i="2"/>
  <c r="W984" i="2"/>
  <c r="V984" i="2"/>
  <c r="U984" i="2"/>
  <c r="T984" i="2"/>
  <c r="S984" i="2"/>
  <c r="R984" i="2"/>
  <c r="Q984" i="2"/>
  <c r="P984" i="2"/>
  <c r="O984" i="2"/>
  <c r="N984" i="2"/>
  <c r="M984" i="2"/>
  <c r="L984" i="2"/>
  <c r="K984" i="2"/>
  <c r="J984" i="2"/>
  <c r="I984" i="2"/>
  <c r="H984" i="2"/>
  <c r="G984" i="2"/>
  <c r="F984" i="2"/>
  <c r="E984" i="2"/>
  <c r="D984" i="2"/>
  <c r="C984" i="2"/>
  <c r="B984" i="2"/>
  <c r="A984" i="2"/>
  <c r="AB983" i="2"/>
  <c r="AA983" i="2"/>
  <c r="Z983" i="2"/>
  <c r="Y983" i="2"/>
  <c r="X983" i="2"/>
  <c r="W983" i="2"/>
  <c r="V983" i="2"/>
  <c r="U983" i="2"/>
  <c r="T983" i="2"/>
  <c r="S983" i="2"/>
  <c r="R983" i="2"/>
  <c r="Q983" i="2"/>
  <c r="P983" i="2"/>
  <c r="O983" i="2"/>
  <c r="N983" i="2"/>
  <c r="M983" i="2"/>
  <c r="L983" i="2"/>
  <c r="K983" i="2"/>
  <c r="J983" i="2"/>
  <c r="I983" i="2"/>
  <c r="H983" i="2"/>
  <c r="G983" i="2"/>
  <c r="F983" i="2"/>
  <c r="E983" i="2"/>
  <c r="D983" i="2"/>
  <c r="C983" i="2"/>
  <c r="B983" i="2"/>
  <c r="A983"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B981" i="2"/>
  <c r="AA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B980" i="2"/>
  <c r="AA980" i="2"/>
  <c r="Z980" i="2"/>
  <c r="Y980" i="2"/>
  <c r="X980" i="2"/>
  <c r="W980" i="2"/>
  <c r="V980" i="2"/>
  <c r="U980" i="2"/>
  <c r="T980" i="2"/>
  <c r="S980" i="2"/>
  <c r="R980" i="2"/>
  <c r="Q980" i="2"/>
  <c r="P980" i="2"/>
  <c r="O980" i="2"/>
  <c r="N980" i="2"/>
  <c r="M980" i="2"/>
  <c r="L980" i="2"/>
  <c r="K980" i="2"/>
  <c r="J980" i="2"/>
  <c r="I980" i="2"/>
  <c r="H980" i="2"/>
  <c r="G980" i="2"/>
  <c r="F980" i="2"/>
  <c r="E980" i="2"/>
  <c r="D980" i="2"/>
  <c r="C980" i="2"/>
  <c r="B980" i="2"/>
  <c r="A980" i="2"/>
  <c r="AB979" i="2"/>
  <c r="AA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B977" i="2"/>
  <c r="AA977" i="2"/>
  <c r="Z977" i="2"/>
  <c r="Y977" i="2"/>
  <c r="X977" i="2"/>
  <c r="W977" i="2"/>
  <c r="V977" i="2"/>
  <c r="U977" i="2"/>
  <c r="T977" i="2"/>
  <c r="S977" i="2"/>
  <c r="R977" i="2"/>
  <c r="Q977" i="2"/>
  <c r="P977" i="2"/>
  <c r="O977" i="2"/>
  <c r="N977" i="2"/>
  <c r="M977" i="2"/>
  <c r="L977" i="2"/>
  <c r="K977" i="2"/>
  <c r="J977" i="2"/>
  <c r="I977" i="2"/>
  <c r="H977" i="2"/>
  <c r="G977" i="2"/>
  <c r="F977" i="2"/>
  <c r="E977" i="2"/>
  <c r="D977" i="2"/>
  <c r="C977" i="2"/>
  <c r="B977" i="2"/>
  <c r="A977" i="2"/>
  <c r="AB976" i="2"/>
  <c r="AA976" i="2"/>
  <c r="Z976" i="2"/>
  <c r="Y976" i="2"/>
  <c r="X976" i="2"/>
  <c r="W976" i="2"/>
  <c r="V976" i="2"/>
  <c r="U976" i="2"/>
  <c r="T976" i="2"/>
  <c r="S976" i="2"/>
  <c r="R976" i="2"/>
  <c r="Q976" i="2"/>
  <c r="P976" i="2"/>
  <c r="O976" i="2"/>
  <c r="N976" i="2"/>
  <c r="M976" i="2"/>
  <c r="L976" i="2"/>
  <c r="K976" i="2"/>
  <c r="J976" i="2"/>
  <c r="I976" i="2"/>
  <c r="H976" i="2"/>
  <c r="G976" i="2"/>
  <c r="F976" i="2"/>
  <c r="E976" i="2"/>
  <c r="D976" i="2"/>
  <c r="C976" i="2"/>
  <c r="B976" i="2"/>
  <c r="A976" i="2"/>
  <c r="AB975" i="2"/>
  <c r="AA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AB974" i="2"/>
  <c r="AA974" i="2"/>
  <c r="Z974" i="2"/>
  <c r="Y974" i="2"/>
  <c r="X974" i="2"/>
  <c r="W974" i="2"/>
  <c r="V974" i="2"/>
  <c r="U974" i="2"/>
  <c r="T974" i="2"/>
  <c r="S974" i="2"/>
  <c r="R974" i="2"/>
  <c r="Q974" i="2"/>
  <c r="P974" i="2"/>
  <c r="O974" i="2"/>
  <c r="N974" i="2"/>
  <c r="M974" i="2"/>
  <c r="L974" i="2"/>
  <c r="K974" i="2"/>
  <c r="J974" i="2"/>
  <c r="I974" i="2"/>
  <c r="H974" i="2"/>
  <c r="G974" i="2"/>
  <c r="F974" i="2"/>
  <c r="E974" i="2"/>
  <c r="D974" i="2"/>
  <c r="C974" i="2"/>
  <c r="B974" i="2"/>
  <c r="A974" i="2"/>
  <c r="AB973" i="2"/>
  <c r="AA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B970" i="2"/>
  <c r="AA970" i="2"/>
  <c r="Z970" i="2"/>
  <c r="Y970" i="2"/>
  <c r="X970" i="2"/>
  <c r="W970" i="2"/>
  <c r="V970" i="2"/>
  <c r="U970" i="2"/>
  <c r="T970" i="2"/>
  <c r="S970" i="2"/>
  <c r="R970" i="2"/>
  <c r="Q970" i="2"/>
  <c r="P970" i="2"/>
  <c r="O970" i="2"/>
  <c r="N970" i="2"/>
  <c r="M970" i="2"/>
  <c r="L970" i="2"/>
  <c r="K970" i="2"/>
  <c r="J970" i="2"/>
  <c r="I970" i="2"/>
  <c r="H970" i="2"/>
  <c r="G970" i="2"/>
  <c r="F970" i="2"/>
  <c r="E970" i="2"/>
  <c r="D970" i="2"/>
  <c r="C970" i="2"/>
  <c r="B970" i="2"/>
  <c r="A970" i="2"/>
  <c r="AB969" i="2"/>
  <c r="AA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B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AB966" i="2"/>
  <c r="AA966" i="2"/>
  <c r="Z966" i="2"/>
  <c r="Y966" i="2"/>
  <c r="X966" i="2"/>
  <c r="W966" i="2"/>
  <c r="V966" i="2"/>
  <c r="U966" i="2"/>
  <c r="T966" i="2"/>
  <c r="S966" i="2"/>
  <c r="R966" i="2"/>
  <c r="Q966" i="2"/>
  <c r="P966" i="2"/>
  <c r="O966" i="2"/>
  <c r="N966" i="2"/>
  <c r="M966" i="2"/>
  <c r="L966" i="2"/>
  <c r="K966" i="2"/>
  <c r="J966" i="2"/>
  <c r="I966" i="2"/>
  <c r="H966" i="2"/>
  <c r="G966" i="2"/>
  <c r="F966" i="2"/>
  <c r="E966" i="2"/>
  <c r="D966" i="2"/>
  <c r="C966" i="2"/>
  <c r="B966" i="2"/>
  <c r="A966" i="2"/>
  <c r="AB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AB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AB963" i="2"/>
  <c r="AA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B961" i="2"/>
  <c r="AA961" i="2"/>
  <c r="Z961" i="2"/>
  <c r="Y961" i="2"/>
  <c r="X961" i="2"/>
  <c r="W961" i="2"/>
  <c r="V961" i="2"/>
  <c r="U961" i="2"/>
  <c r="T961" i="2"/>
  <c r="S961" i="2"/>
  <c r="R961" i="2"/>
  <c r="Q961" i="2"/>
  <c r="P961" i="2"/>
  <c r="O961" i="2"/>
  <c r="N961" i="2"/>
  <c r="M961" i="2"/>
  <c r="L961" i="2"/>
  <c r="K961" i="2"/>
  <c r="J961" i="2"/>
  <c r="I961" i="2"/>
  <c r="H961" i="2"/>
  <c r="G961" i="2"/>
  <c r="F961" i="2"/>
  <c r="E961" i="2"/>
  <c r="D961" i="2"/>
  <c r="C961" i="2"/>
  <c r="B961" i="2"/>
  <c r="A961"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AB959" i="2"/>
  <c r="AA959" i="2"/>
  <c r="Z959" i="2"/>
  <c r="Y959" i="2"/>
  <c r="X959" i="2"/>
  <c r="W959" i="2"/>
  <c r="V959" i="2"/>
  <c r="U959" i="2"/>
  <c r="T959" i="2"/>
  <c r="S959" i="2"/>
  <c r="R959" i="2"/>
  <c r="Q959" i="2"/>
  <c r="P959" i="2"/>
  <c r="O959" i="2"/>
  <c r="N959" i="2"/>
  <c r="M959" i="2"/>
  <c r="L959" i="2"/>
  <c r="K959" i="2"/>
  <c r="J959" i="2"/>
  <c r="I959" i="2"/>
  <c r="H959" i="2"/>
  <c r="G959" i="2"/>
  <c r="F959" i="2"/>
  <c r="E959" i="2"/>
  <c r="D959" i="2"/>
  <c r="C959" i="2"/>
  <c r="B959" i="2"/>
  <c r="A959" i="2"/>
  <c r="AB958" i="2"/>
  <c r="AA958" i="2"/>
  <c r="Z958" i="2"/>
  <c r="Y958" i="2"/>
  <c r="X958" i="2"/>
  <c r="W958" i="2"/>
  <c r="V958" i="2"/>
  <c r="U958" i="2"/>
  <c r="T958" i="2"/>
  <c r="S958" i="2"/>
  <c r="R958" i="2"/>
  <c r="Q958" i="2"/>
  <c r="P958" i="2"/>
  <c r="O958" i="2"/>
  <c r="N958" i="2"/>
  <c r="M958" i="2"/>
  <c r="L958" i="2"/>
  <c r="K958" i="2"/>
  <c r="J958" i="2"/>
  <c r="I958" i="2"/>
  <c r="H958" i="2"/>
  <c r="G958" i="2"/>
  <c r="F958" i="2"/>
  <c r="E958" i="2"/>
  <c r="D958" i="2"/>
  <c r="C958" i="2"/>
  <c r="B958" i="2"/>
  <c r="A958" i="2"/>
  <c r="AB957" i="2"/>
  <c r="AA957" i="2"/>
  <c r="Z957" i="2"/>
  <c r="Y957" i="2"/>
  <c r="X957" i="2"/>
  <c r="W957" i="2"/>
  <c r="V957" i="2"/>
  <c r="U957" i="2"/>
  <c r="T957" i="2"/>
  <c r="S957" i="2"/>
  <c r="R957" i="2"/>
  <c r="Q957" i="2"/>
  <c r="P957" i="2"/>
  <c r="O957" i="2"/>
  <c r="N957" i="2"/>
  <c r="M957" i="2"/>
  <c r="L957" i="2"/>
  <c r="K957" i="2"/>
  <c r="J957" i="2"/>
  <c r="I957" i="2"/>
  <c r="H957" i="2"/>
  <c r="G957" i="2"/>
  <c r="F957" i="2"/>
  <c r="E957" i="2"/>
  <c r="D957" i="2"/>
  <c r="C957" i="2"/>
  <c r="B957" i="2"/>
  <c r="A957" i="2"/>
  <c r="AB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B955" i="2"/>
  <c r="AA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AB954" i="2"/>
  <c r="AA954" i="2"/>
  <c r="Z954" i="2"/>
  <c r="Y954" i="2"/>
  <c r="X954" i="2"/>
  <c r="W954" i="2"/>
  <c r="V954" i="2"/>
  <c r="U954" i="2"/>
  <c r="T954" i="2"/>
  <c r="S954" i="2"/>
  <c r="R954" i="2"/>
  <c r="Q954" i="2"/>
  <c r="P954" i="2"/>
  <c r="O954" i="2"/>
  <c r="N954" i="2"/>
  <c r="M954" i="2"/>
  <c r="L954" i="2"/>
  <c r="K954" i="2"/>
  <c r="J954" i="2"/>
  <c r="I954" i="2"/>
  <c r="H954" i="2"/>
  <c r="G954" i="2"/>
  <c r="F954" i="2"/>
  <c r="E954" i="2"/>
  <c r="D954" i="2"/>
  <c r="C954" i="2"/>
  <c r="B954" i="2"/>
  <c r="A954"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B948" i="2"/>
  <c r="AA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B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B946" i="2"/>
  <c r="AA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B943" i="2"/>
  <c r="AA943" i="2"/>
  <c r="Z943" i="2"/>
  <c r="Y943" i="2"/>
  <c r="X943" i="2"/>
  <c r="W943" i="2"/>
  <c r="V943" i="2"/>
  <c r="U943" i="2"/>
  <c r="T943" i="2"/>
  <c r="S943" i="2"/>
  <c r="R943" i="2"/>
  <c r="Q943" i="2"/>
  <c r="P943" i="2"/>
  <c r="O943" i="2"/>
  <c r="N943" i="2"/>
  <c r="M943" i="2"/>
  <c r="L943" i="2"/>
  <c r="K943" i="2"/>
  <c r="J943" i="2"/>
  <c r="I943" i="2"/>
  <c r="H943" i="2"/>
  <c r="G943" i="2"/>
  <c r="F943" i="2"/>
  <c r="E943" i="2"/>
  <c r="D943" i="2"/>
  <c r="C943" i="2"/>
  <c r="B943" i="2"/>
  <c r="A943" i="2"/>
  <c r="AB942" i="2"/>
  <c r="AA942" i="2"/>
  <c r="Z942" i="2"/>
  <c r="Y942" i="2"/>
  <c r="X942" i="2"/>
  <c r="W942" i="2"/>
  <c r="V942" i="2"/>
  <c r="U942" i="2"/>
  <c r="T942" i="2"/>
  <c r="S942" i="2"/>
  <c r="R942" i="2"/>
  <c r="Q942" i="2"/>
  <c r="P942" i="2"/>
  <c r="O942" i="2"/>
  <c r="N942" i="2"/>
  <c r="M942" i="2"/>
  <c r="L942" i="2"/>
  <c r="K942" i="2"/>
  <c r="J942" i="2"/>
  <c r="I942" i="2"/>
  <c r="H942" i="2"/>
  <c r="G942" i="2"/>
  <c r="F942" i="2"/>
  <c r="E942" i="2"/>
  <c r="D942" i="2"/>
  <c r="C942" i="2"/>
  <c r="B942" i="2"/>
  <c r="A942" i="2"/>
  <c r="AB941" i="2"/>
  <c r="AA941" i="2"/>
  <c r="Z941" i="2"/>
  <c r="Y941" i="2"/>
  <c r="X941" i="2"/>
  <c r="W941" i="2"/>
  <c r="V941" i="2"/>
  <c r="U941" i="2"/>
  <c r="T941" i="2"/>
  <c r="S941" i="2"/>
  <c r="R941" i="2"/>
  <c r="Q941" i="2"/>
  <c r="P941" i="2"/>
  <c r="O941" i="2"/>
  <c r="N941" i="2"/>
  <c r="M941" i="2"/>
  <c r="L941" i="2"/>
  <c r="K941" i="2"/>
  <c r="J941" i="2"/>
  <c r="I941" i="2"/>
  <c r="H941" i="2"/>
  <c r="G941" i="2"/>
  <c r="F941" i="2"/>
  <c r="E941" i="2"/>
  <c r="D941" i="2"/>
  <c r="C941" i="2"/>
  <c r="B941" i="2"/>
  <c r="A941" i="2"/>
  <c r="AB940" i="2"/>
  <c r="AA940" i="2"/>
  <c r="Z940" i="2"/>
  <c r="Y940" i="2"/>
  <c r="X940" i="2"/>
  <c r="W940" i="2"/>
  <c r="V940" i="2"/>
  <c r="U940" i="2"/>
  <c r="T940" i="2"/>
  <c r="S940" i="2"/>
  <c r="R940" i="2"/>
  <c r="Q940" i="2"/>
  <c r="P940" i="2"/>
  <c r="O940" i="2"/>
  <c r="N940" i="2"/>
  <c r="M940" i="2"/>
  <c r="L940" i="2"/>
  <c r="K940" i="2"/>
  <c r="J940" i="2"/>
  <c r="I940" i="2"/>
  <c r="H940" i="2"/>
  <c r="G940" i="2"/>
  <c r="F940" i="2"/>
  <c r="E940" i="2"/>
  <c r="D940" i="2"/>
  <c r="C940" i="2"/>
  <c r="B940" i="2"/>
  <c r="A940"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B938" i="2"/>
  <c r="AA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B937" i="2"/>
  <c r="AA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B936" i="2"/>
  <c r="AA936" i="2"/>
  <c r="Z936" i="2"/>
  <c r="Y936" i="2"/>
  <c r="X936" i="2"/>
  <c r="W936" i="2"/>
  <c r="V936" i="2"/>
  <c r="U936" i="2"/>
  <c r="T936" i="2"/>
  <c r="S936" i="2"/>
  <c r="R936" i="2"/>
  <c r="Q936" i="2"/>
  <c r="P936" i="2"/>
  <c r="O936" i="2"/>
  <c r="N936" i="2"/>
  <c r="M936" i="2"/>
  <c r="L936" i="2"/>
  <c r="K936" i="2"/>
  <c r="J936" i="2"/>
  <c r="I936" i="2"/>
  <c r="H936" i="2"/>
  <c r="G936" i="2"/>
  <c r="F936" i="2"/>
  <c r="E936" i="2"/>
  <c r="D936" i="2"/>
  <c r="C936" i="2"/>
  <c r="B936" i="2"/>
  <c r="A936" i="2"/>
  <c r="AB935" i="2"/>
  <c r="AA935" i="2"/>
  <c r="Z935" i="2"/>
  <c r="Y935" i="2"/>
  <c r="X935" i="2"/>
  <c r="W935" i="2"/>
  <c r="V935" i="2"/>
  <c r="U935" i="2"/>
  <c r="T935" i="2"/>
  <c r="S935" i="2"/>
  <c r="R935" i="2"/>
  <c r="Q935" i="2"/>
  <c r="P935" i="2"/>
  <c r="O935" i="2"/>
  <c r="N935" i="2"/>
  <c r="M935" i="2"/>
  <c r="L935" i="2"/>
  <c r="K935" i="2"/>
  <c r="J935" i="2"/>
  <c r="I935" i="2"/>
  <c r="H935" i="2"/>
  <c r="G935" i="2"/>
  <c r="F935" i="2"/>
  <c r="E935" i="2"/>
  <c r="D935" i="2"/>
  <c r="C935" i="2"/>
  <c r="B935" i="2"/>
  <c r="A935" i="2"/>
  <c r="AB934" i="2"/>
  <c r="AA934" i="2"/>
  <c r="Z934" i="2"/>
  <c r="Y934" i="2"/>
  <c r="X934" i="2"/>
  <c r="W934" i="2"/>
  <c r="V934" i="2"/>
  <c r="U934" i="2"/>
  <c r="T934" i="2"/>
  <c r="S934" i="2"/>
  <c r="R934" i="2"/>
  <c r="Q934" i="2"/>
  <c r="P934" i="2"/>
  <c r="O934" i="2"/>
  <c r="N934" i="2"/>
  <c r="M934" i="2"/>
  <c r="L934" i="2"/>
  <c r="K934" i="2"/>
  <c r="J934" i="2"/>
  <c r="I934" i="2"/>
  <c r="H934" i="2"/>
  <c r="G934" i="2"/>
  <c r="F934" i="2"/>
  <c r="E934" i="2"/>
  <c r="D934" i="2"/>
  <c r="C934" i="2"/>
  <c r="B934" i="2"/>
  <c r="A934" i="2"/>
  <c r="AB933" i="2"/>
  <c r="AA933" i="2"/>
  <c r="Z933" i="2"/>
  <c r="Y933" i="2"/>
  <c r="X933" i="2"/>
  <c r="W933" i="2"/>
  <c r="V933" i="2"/>
  <c r="U933" i="2"/>
  <c r="T933" i="2"/>
  <c r="S933" i="2"/>
  <c r="R933" i="2"/>
  <c r="Q933" i="2"/>
  <c r="P933" i="2"/>
  <c r="O933" i="2"/>
  <c r="N933" i="2"/>
  <c r="M933" i="2"/>
  <c r="L933" i="2"/>
  <c r="K933" i="2"/>
  <c r="J933" i="2"/>
  <c r="I933" i="2"/>
  <c r="H933" i="2"/>
  <c r="G933" i="2"/>
  <c r="F933" i="2"/>
  <c r="E933" i="2"/>
  <c r="D933" i="2"/>
  <c r="C933" i="2"/>
  <c r="B933" i="2"/>
  <c r="A933" i="2"/>
  <c r="AB932" i="2"/>
  <c r="AA932" i="2"/>
  <c r="Z932" i="2"/>
  <c r="Y932" i="2"/>
  <c r="X932" i="2"/>
  <c r="W932" i="2"/>
  <c r="V932" i="2"/>
  <c r="U932" i="2"/>
  <c r="T932" i="2"/>
  <c r="S932" i="2"/>
  <c r="R932" i="2"/>
  <c r="Q932" i="2"/>
  <c r="P932" i="2"/>
  <c r="O932" i="2"/>
  <c r="N932" i="2"/>
  <c r="M932" i="2"/>
  <c r="L932" i="2"/>
  <c r="K932" i="2"/>
  <c r="J932" i="2"/>
  <c r="I932" i="2"/>
  <c r="H932" i="2"/>
  <c r="G932" i="2"/>
  <c r="F932" i="2"/>
  <c r="E932" i="2"/>
  <c r="D932" i="2"/>
  <c r="C932" i="2"/>
  <c r="B932" i="2"/>
  <c r="A932" i="2"/>
  <c r="AB931" i="2"/>
  <c r="AA931" i="2"/>
  <c r="Z931" i="2"/>
  <c r="Y931" i="2"/>
  <c r="X931" i="2"/>
  <c r="W931" i="2"/>
  <c r="V931" i="2"/>
  <c r="U931" i="2"/>
  <c r="T931" i="2"/>
  <c r="S931" i="2"/>
  <c r="R931" i="2"/>
  <c r="Q931" i="2"/>
  <c r="P931" i="2"/>
  <c r="O931" i="2"/>
  <c r="N931" i="2"/>
  <c r="M931" i="2"/>
  <c r="L931" i="2"/>
  <c r="K931" i="2"/>
  <c r="J931" i="2"/>
  <c r="I931" i="2"/>
  <c r="H931" i="2"/>
  <c r="G931" i="2"/>
  <c r="F931" i="2"/>
  <c r="E931" i="2"/>
  <c r="D931" i="2"/>
  <c r="C931" i="2"/>
  <c r="B931" i="2"/>
  <c r="A931" i="2"/>
  <c r="AB930" i="2"/>
  <c r="AA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B928" i="2"/>
  <c r="AA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B927" i="2"/>
  <c r="AA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B926" i="2"/>
  <c r="AA926" i="2"/>
  <c r="Z926" i="2"/>
  <c r="Y926" i="2"/>
  <c r="X926" i="2"/>
  <c r="W926" i="2"/>
  <c r="V926" i="2"/>
  <c r="U926" i="2"/>
  <c r="T926" i="2"/>
  <c r="S926" i="2"/>
  <c r="R926" i="2"/>
  <c r="Q926" i="2"/>
  <c r="P926" i="2"/>
  <c r="O926" i="2"/>
  <c r="N926" i="2"/>
  <c r="M926" i="2"/>
  <c r="L926" i="2"/>
  <c r="K926" i="2"/>
  <c r="J926" i="2"/>
  <c r="I926" i="2"/>
  <c r="H926" i="2"/>
  <c r="G926" i="2"/>
  <c r="F926" i="2"/>
  <c r="E926" i="2"/>
  <c r="D926" i="2"/>
  <c r="C926" i="2"/>
  <c r="B926" i="2"/>
  <c r="A926" i="2"/>
  <c r="AB925" i="2"/>
  <c r="AA925" i="2"/>
  <c r="Z925" i="2"/>
  <c r="Y925" i="2"/>
  <c r="X925" i="2"/>
  <c r="W925" i="2"/>
  <c r="V925" i="2"/>
  <c r="U925" i="2"/>
  <c r="T925" i="2"/>
  <c r="S925" i="2"/>
  <c r="R925" i="2"/>
  <c r="Q925" i="2"/>
  <c r="P925" i="2"/>
  <c r="O925" i="2"/>
  <c r="N925" i="2"/>
  <c r="M925" i="2"/>
  <c r="L925" i="2"/>
  <c r="K925" i="2"/>
  <c r="J925" i="2"/>
  <c r="I925" i="2"/>
  <c r="H925" i="2"/>
  <c r="G925" i="2"/>
  <c r="F925" i="2"/>
  <c r="E925" i="2"/>
  <c r="D925" i="2"/>
  <c r="C925" i="2"/>
  <c r="B925" i="2"/>
  <c r="A925"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B923" i="2"/>
  <c r="AA923" i="2"/>
  <c r="Z923" i="2"/>
  <c r="Y923" i="2"/>
  <c r="X923" i="2"/>
  <c r="W923" i="2"/>
  <c r="V923" i="2"/>
  <c r="U923" i="2"/>
  <c r="T923" i="2"/>
  <c r="S923" i="2"/>
  <c r="R923" i="2"/>
  <c r="Q923" i="2"/>
  <c r="P923" i="2"/>
  <c r="O923" i="2"/>
  <c r="N923" i="2"/>
  <c r="M923" i="2"/>
  <c r="L923" i="2"/>
  <c r="K923" i="2"/>
  <c r="J923" i="2"/>
  <c r="I923" i="2"/>
  <c r="H923" i="2"/>
  <c r="G923" i="2"/>
  <c r="F923" i="2"/>
  <c r="E923" i="2"/>
  <c r="D923" i="2"/>
  <c r="C923" i="2"/>
  <c r="B923" i="2"/>
  <c r="A923" i="2"/>
  <c r="AB922" i="2"/>
  <c r="AA922" i="2"/>
  <c r="Z922" i="2"/>
  <c r="Y922" i="2"/>
  <c r="X922" i="2"/>
  <c r="W922" i="2"/>
  <c r="V922" i="2"/>
  <c r="U922" i="2"/>
  <c r="T922" i="2"/>
  <c r="S922" i="2"/>
  <c r="R922" i="2"/>
  <c r="Q922" i="2"/>
  <c r="P922" i="2"/>
  <c r="O922" i="2"/>
  <c r="N922" i="2"/>
  <c r="M922" i="2"/>
  <c r="L922" i="2"/>
  <c r="K922" i="2"/>
  <c r="J922" i="2"/>
  <c r="I922" i="2"/>
  <c r="H922" i="2"/>
  <c r="G922" i="2"/>
  <c r="F922" i="2"/>
  <c r="E922" i="2"/>
  <c r="D922" i="2"/>
  <c r="C922" i="2"/>
  <c r="B922" i="2"/>
  <c r="A922" i="2"/>
  <c r="AB921" i="2"/>
  <c r="AA921" i="2"/>
  <c r="Z921" i="2"/>
  <c r="Y921" i="2"/>
  <c r="X921" i="2"/>
  <c r="W921" i="2"/>
  <c r="V921" i="2"/>
  <c r="U921" i="2"/>
  <c r="T921" i="2"/>
  <c r="S921" i="2"/>
  <c r="R921" i="2"/>
  <c r="Q921" i="2"/>
  <c r="P921" i="2"/>
  <c r="O921" i="2"/>
  <c r="N921" i="2"/>
  <c r="M921" i="2"/>
  <c r="L921" i="2"/>
  <c r="K921" i="2"/>
  <c r="J921" i="2"/>
  <c r="I921" i="2"/>
  <c r="H921" i="2"/>
  <c r="G921" i="2"/>
  <c r="F921" i="2"/>
  <c r="E921" i="2"/>
  <c r="D921" i="2"/>
  <c r="C921" i="2"/>
  <c r="B921" i="2"/>
  <c r="A921" i="2"/>
  <c r="AB920" i="2"/>
  <c r="AA920" i="2"/>
  <c r="Z920" i="2"/>
  <c r="Y920" i="2"/>
  <c r="X920" i="2"/>
  <c r="W920" i="2"/>
  <c r="V920" i="2"/>
  <c r="U920" i="2"/>
  <c r="T920" i="2"/>
  <c r="S920" i="2"/>
  <c r="R920" i="2"/>
  <c r="Q920" i="2"/>
  <c r="P920" i="2"/>
  <c r="O920" i="2"/>
  <c r="N920" i="2"/>
  <c r="M920" i="2"/>
  <c r="L920" i="2"/>
  <c r="K920" i="2"/>
  <c r="J920" i="2"/>
  <c r="I920" i="2"/>
  <c r="H920" i="2"/>
  <c r="G920" i="2"/>
  <c r="F920" i="2"/>
  <c r="E920" i="2"/>
  <c r="D920" i="2"/>
  <c r="C920" i="2"/>
  <c r="B920" i="2"/>
  <c r="A920" i="2"/>
  <c r="AB919" i="2"/>
  <c r="AA919" i="2"/>
  <c r="Z919" i="2"/>
  <c r="Y919" i="2"/>
  <c r="X919" i="2"/>
  <c r="W919" i="2"/>
  <c r="V919" i="2"/>
  <c r="U919" i="2"/>
  <c r="T919" i="2"/>
  <c r="S919" i="2"/>
  <c r="R919" i="2"/>
  <c r="Q919" i="2"/>
  <c r="P919" i="2"/>
  <c r="O919" i="2"/>
  <c r="N919" i="2"/>
  <c r="M919" i="2"/>
  <c r="L919" i="2"/>
  <c r="K919" i="2"/>
  <c r="J919" i="2"/>
  <c r="I919" i="2"/>
  <c r="H919" i="2"/>
  <c r="G919" i="2"/>
  <c r="F919" i="2"/>
  <c r="E919" i="2"/>
  <c r="D919" i="2"/>
  <c r="C919" i="2"/>
  <c r="B919" i="2"/>
  <c r="A919" i="2"/>
  <c r="AB918" i="2"/>
  <c r="AA918" i="2"/>
  <c r="Z918" i="2"/>
  <c r="Y918" i="2"/>
  <c r="X918" i="2"/>
  <c r="W918" i="2"/>
  <c r="V918" i="2"/>
  <c r="U918" i="2"/>
  <c r="T918" i="2"/>
  <c r="S918" i="2"/>
  <c r="R918" i="2"/>
  <c r="Q918" i="2"/>
  <c r="P918" i="2"/>
  <c r="O918" i="2"/>
  <c r="N918" i="2"/>
  <c r="M918" i="2"/>
  <c r="L918" i="2"/>
  <c r="K918" i="2"/>
  <c r="J918" i="2"/>
  <c r="I918" i="2"/>
  <c r="H918" i="2"/>
  <c r="G918" i="2"/>
  <c r="F918" i="2"/>
  <c r="E918" i="2"/>
  <c r="D918" i="2"/>
  <c r="C918" i="2"/>
  <c r="B918" i="2"/>
  <c r="A918" i="2"/>
  <c r="AB917" i="2"/>
  <c r="AA917" i="2"/>
  <c r="Z917" i="2"/>
  <c r="Y917" i="2"/>
  <c r="X917" i="2"/>
  <c r="W917" i="2"/>
  <c r="V917" i="2"/>
  <c r="U917" i="2"/>
  <c r="T917" i="2"/>
  <c r="S917" i="2"/>
  <c r="R917" i="2"/>
  <c r="Q917" i="2"/>
  <c r="P917" i="2"/>
  <c r="O917" i="2"/>
  <c r="N917" i="2"/>
  <c r="M917" i="2"/>
  <c r="L917" i="2"/>
  <c r="K917" i="2"/>
  <c r="J917" i="2"/>
  <c r="I917" i="2"/>
  <c r="H917" i="2"/>
  <c r="G917" i="2"/>
  <c r="F917" i="2"/>
  <c r="E917" i="2"/>
  <c r="D917" i="2"/>
  <c r="C917" i="2"/>
  <c r="B917" i="2"/>
  <c r="A917" i="2"/>
  <c r="AB916" i="2"/>
  <c r="AA916" i="2"/>
  <c r="Z916" i="2"/>
  <c r="Y916" i="2"/>
  <c r="X916" i="2"/>
  <c r="W916" i="2"/>
  <c r="V916" i="2"/>
  <c r="U916" i="2"/>
  <c r="T916" i="2"/>
  <c r="S916" i="2"/>
  <c r="R916" i="2"/>
  <c r="Q916" i="2"/>
  <c r="P916" i="2"/>
  <c r="O916" i="2"/>
  <c r="N916" i="2"/>
  <c r="M916" i="2"/>
  <c r="L916" i="2"/>
  <c r="K916" i="2"/>
  <c r="J916" i="2"/>
  <c r="I916" i="2"/>
  <c r="H916" i="2"/>
  <c r="G916" i="2"/>
  <c r="F916" i="2"/>
  <c r="E916" i="2"/>
  <c r="D916" i="2"/>
  <c r="C916" i="2"/>
  <c r="B916" i="2"/>
  <c r="A916" i="2"/>
  <c r="AB915" i="2"/>
  <c r="AA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B914" i="2"/>
  <c r="AA914" i="2"/>
  <c r="Z914" i="2"/>
  <c r="Y914" i="2"/>
  <c r="X914" i="2"/>
  <c r="W914" i="2"/>
  <c r="V914" i="2"/>
  <c r="U914" i="2"/>
  <c r="T914" i="2"/>
  <c r="S914" i="2"/>
  <c r="R914" i="2"/>
  <c r="Q914" i="2"/>
  <c r="P914" i="2"/>
  <c r="O914" i="2"/>
  <c r="N914" i="2"/>
  <c r="M914" i="2"/>
  <c r="L914" i="2"/>
  <c r="K914" i="2"/>
  <c r="J914" i="2"/>
  <c r="I914" i="2"/>
  <c r="H914" i="2"/>
  <c r="G914" i="2"/>
  <c r="F914" i="2"/>
  <c r="E914" i="2"/>
  <c r="D914" i="2"/>
  <c r="C914" i="2"/>
  <c r="B914" i="2"/>
  <c r="A914" i="2"/>
  <c r="AB913" i="2"/>
  <c r="AA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B912" i="2"/>
  <c r="AA912" i="2"/>
  <c r="Z912" i="2"/>
  <c r="Y912" i="2"/>
  <c r="X912" i="2"/>
  <c r="W912" i="2"/>
  <c r="V912" i="2"/>
  <c r="U912" i="2"/>
  <c r="T912" i="2"/>
  <c r="S912" i="2"/>
  <c r="R912" i="2"/>
  <c r="Q912" i="2"/>
  <c r="P912" i="2"/>
  <c r="O912" i="2"/>
  <c r="N912" i="2"/>
  <c r="M912" i="2"/>
  <c r="L912" i="2"/>
  <c r="K912" i="2"/>
  <c r="J912" i="2"/>
  <c r="I912" i="2"/>
  <c r="H912" i="2"/>
  <c r="G912" i="2"/>
  <c r="F912" i="2"/>
  <c r="E912" i="2"/>
  <c r="D912" i="2"/>
  <c r="C912" i="2"/>
  <c r="B912" i="2"/>
  <c r="A912" i="2"/>
  <c r="AB911" i="2"/>
  <c r="AA911" i="2"/>
  <c r="Z911" i="2"/>
  <c r="Y911" i="2"/>
  <c r="X911" i="2"/>
  <c r="W911" i="2"/>
  <c r="V911" i="2"/>
  <c r="U911" i="2"/>
  <c r="T911" i="2"/>
  <c r="S911" i="2"/>
  <c r="R911" i="2"/>
  <c r="Q911" i="2"/>
  <c r="P911" i="2"/>
  <c r="O911" i="2"/>
  <c r="N911" i="2"/>
  <c r="M911" i="2"/>
  <c r="L911" i="2"/>
  <c r="K911" i="2"/>
  <c r="J911" i="2"/>
  <c r="I911" i="2"/>
  <c r="H911" i="2"/>
  <c r="G911" i="2"/>
  <c r="F911" i="2"/>
  <c r="E911" i="2"/>
  <c r="D911" i="2"/>
  <c r="C911" i="2"/>
  <c r="B911" i="2"/>
  <c r="A911" i="2"/>
  <c r="AB910" i="2"/>
  <c r="AA910" i="2"/>
  <c r="Z910" i="2"/>
  <c r="Y910" i="2"/>
  <c r="X910" i="2"/>
  <c r="W910" i="2"/>
  <c r="V910" i="2"/>
  <c r="U910" i="2"/>
  <c r="T910" i="2"/>
  <c r="S910" i="2"/>
  <c r="R910" i="2"/>
  <c r="Q910" i="2"/>
  <c r="P910" i="2"/>
  <c r="O910" i="2"/>
  <c r="N910" i="2"/>
  <c r="M910" i="2"/>
  <c r="L910" i="2"/>
  <c r="K910" i="2"/>
  <c r="J910" i="2"/>
  <c r="I910" i="2"/>
  <c r="H910" i="2"/>
  <c r="G910" i="2"/>
  <c r="F910" i="2"/>
  <c r="E910" i="2"/>
  <c r="D910" i="2"/>
  <c r="C910" i="2"/>
  <c r="B910" i="2"/>
  <c r="A910" i="2"/>
  <c r="AB909" i="2"/>
  <c r="AA909" i="2"/>
  <c r="Z909" i="2"/>
  <c r="Y909" i="2"/>
  <c r="X909" i="2"/>
  <c r="W909" i="2"/>
  <c r="V909" i="2"/>
  <c r="U909" i="2"/>
  <c r="T909" i="2"/>
  <c r="S909" i="2"/>
  <c r="R909" i="2"/>
  <c r="Q909" i="2"/>
  <c r="P909" i="2"/>
  <c r="O909" i="2"/>
  <c r="N909" i="2"/>
  <c r="M909" i="2"/>
  <c r="L909" i="2"/>
  <c r="K909" i="2"/>
  <c r="J909" i="2"/>
  <c r="I909" i="2"/>
  <c r="H909" i="2"/>
  <c r="G909" i="2"/>
  <c r="F909" i="2"/>
  <c r="E909" i="2"/>
  <c r="D909" i="2"/>
  <c r="C909" i="2"/>
  <c r="B909" i="2"/>
  <c r="A909" i="2"/>
  <c r="AB908" i="2"/>
  <c r="AA908" i="2"/>
  <c r="Z908" i="2"/>
  <c r="Y908" i="2"/>
  <c r="X908" i="2"/>
  <c r="W908" i="2"/>
  <c r="V908" i="2"/>
  <c r="U908" i="2"/>
  <c r="T908" i="2"/>
  <c r="S908" i="2"/>
  <c r="R908" i="2"/>
  <c r="Q908" i="2"/>
  <c r="P908" i="2"/>
  <c r="O908" i="2"/>
  <c r="N908" i="2"/>
  <c r="M908" i="2"/>
  <c r="L908" i="2"/>
  <c r="K908" i="2"/>
  <c r="J908" i="2"/>
  <c r="I908" i="2"/>
  <c r="H908" i="2"/>
  <c r="G908" i="2"/>
  <c r="F908" i="2"/>
  <c r="E908" i="2"/>
  <c r="D908" i="2"/>
  <c r="C908" i="2"/>
  <c r="B908" i="2"/>
  <c r="A908" i="2"/>
  <c r="AB907" i="2"/>
  <c r="AA907" i="2"/>
  <c r="Z907" i="2"/>
  <c r="Y907" i="2"/>
  <c r="X907" i="2"/>
  <c r="W907" i="2"/>
  <c r="V907" i="2"/>
  <c r="U907" i="2"/>
  <c r="T907" i="2"/>
  <c r="S907" i="2"/>
  <c r="R907" i="2"/>
  <c r="Q907" i="2"/>
  <c r="P907" i="2"/>
  <c r="O907" i="2"/>
  <c r="N907" i="2"/>
  <c r="M907" i="2"/>
  <c r="L907" i="2"/>
  <c r="K907" i="2"/>
  <c r="J907" i="2"/>
  <c r="I907" i="2"/>
  <c r="H907" i="2"/>
  <c r="G907" i="2"/>
  <c r="F907" i="2"/>
  <c r="E907" i="2"/>
  <c r="D907" i="2"/>
  <c r="C907" i="2"/>
  <c r="B907" i="2"/>
  <c r="A907" i="2"/>
  <c r="AB906" i="2"/>
  <c r="AA906" i="2"/>
  <c r="Z906" i="2"/>
  <c r="Y906" i="2"/>
  <c r="X906" i="2"/>
  <c r="W906" i="2"/>
  <c r="V906" i="2"/>
  <c r="U906" i="2"/>
  <c r="T906" i="2"/>
  <c r="S906" i="2"/>
  <c r="R906" i="2"/>
  <c r="Q906" i="2"/>
  <c r="P906" i="2"/>
  <c r="O906" i="2"/>
  <c r="N906" i="2"/>
  <c r="M906" i="2"/>
  <c r="L906" i="2"/>
  <c r="K906" i="2"/>
  <c r="J906" i="2"/>
  <c r="I906" i="2"/>
  <c r="H906" i="2"/>
  <c r="G906" i="2"/>
  <c r="F906" i="2"/>
  <c r="E906" i="2"/>
  <c r="D906" i="2"/>
  <c r="C906" i="2"/>
  <c r="B906" i="2"/>
  <c r="A906" i="2"/>
  <c r="AB905" i="2"/>
  <c r="AA905" i="2"/>
  <c r="Z905" i="2"/>
  <c r="Y905" i="2"/>
  <c r="X905" i="2"/>
  <c r="W905" i="2"/>
  <c r="V905" i="2"/>
  <c r="U905" i="2"/>
  <c r="T905" i="2"/>
  <c r="S905" i="2"/>
  <c r="R905" i="2"/>
  <c r="Q905" i="2"/>
  <c r="P905" i="2"/>
  <c r="O905" i="2"/>
  <c r="N905" i="2"/>
  <c r="M905" i="2"/>
  <c r="L905" i="2"/>
  <c r="K905" i="2"/>
  <c r="J905" i="2"/>
  <c r="I905" i="2"/>
  <c r="H905" i="2"/>
  <c r="G905" i="2"/>
  <c r="F905" i="2"/>
  <c r="E905" i="2"/>
  <c r="D905" i="2"/>
  <c r="C905" i="2"/>
  <c r="B905" i="2"/>
  <c r="A905" i="2"/>
  <c r="AB904" i="2"/>
  <c r="AA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B903" i="2"/>
  <c r="AA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B902" i="2"/>
  <c r="AA902" i="2"/>
  <c r="Z902" i="2"/>
  <c r="Y902" i="2"/>
  <c r="X902" i="2"/>
  <c r="W902" i="2"/>
  <c r="V902" i="2"/>
  <c r="U902" i="2"/>
  <c r="T902" i="2"/>
  <c r="S902" i="2"/>
  <c r="R902" i="2"/>
  <c r="Q902" i="2"/>
  <c r="P902" i="2"/>
  <c r="O902" i="2"/>
  <c r="N902" i="2"/>
  <c r="M902" i="2"/>
  <c r="L902" i="2"/>
  <c r="K902" i="2"/>
  <c r="J902" i="2"/>
  <c r="I902" i="2"/>
  <c r="H902" i="2"/>
  <c r="G902" i="2"/>
  <c r="F902" i="2"/>
  <c r="E902" i="2"/>
  <c r="D902" i="2"/>
  <c r="C902" i="2"/>
  <c r="B902" i="2"/>
  <c r="A902" i="2"/>
  <c r="AB901" i="2"/>
  <c r="AA901" i="2"/>
  <c r="Z901" i="2"/>
  <c r="Y901" i="2"/>
  <c r="X901" i="2"/>
  <c r="W901" i="2"/>
  <c r="V901" i="2"/>
  <c r="U901" i="2"/>
  <c r="T901" i="2"/>
  <c r="S901" i="2"/>
  <c r="R901" i="2"/>
  <c r="Q901" i="2"/>
  <c r="P901" i="2"/>
  <c r="O901" i="2"/>
  <c r="N901" i="2"/>
  <c r="M901" i="2"/>
  <c r="L901" i="2"/>
  <c r="K901" i="2"/>
  <c r="J901" i="2"/>
  <c r="I901" i="2"/>
  <c r="H901" i="2"/>
  <c r="G901" i="2"/>
  <c r="F901" i="2"/>
  <c r="E901" i="2"/>
  <c r="D901" i="2"/>
  <c r="C901" i="2"/>
  <c r="B901" i="2"/>
  <c r="A901" i="2"/>
  <c r="AB900" i="2"/>
  <c r="AA900" i="2"/>
  <c r="Z900" i="2"/>
  <c r="Y900" i="2"/>
  <c r="X900" i="2"/>
  <c r="W900" i="2"/>
  <c r="V900" i="2"/>
  <c r="U900" i="2"/>
  <c r="T900" i="2"/>
  <c r="S900" i="2"/>
  <c r="R900" i="2"/>
  <c r="Q900" i="2"/>
  <c r="P900" i="2"/>
  <c r="O900" i="2"/>
  <c r="N900" i="2"/>
  <c r="M900" i="2"/>
  <c r="L900" i="2"/>
  <c r="K900" i="2"/>
  <c r="J900" i="2"/>
  <c r="I900" i="2"/>
  <c r="H900" i="2"/>
  <c r="G900" i="2"/>
  <c r="F900" i="2"/>
  <c r="E900" i="2"/>
  <c r="D900" i="2"/>
  <c r="C900" i="2"/>
  <c r="B900" i="2"/>
  <c r="A900" i="2"/>
  <c r="AB899" i="2"/>
  <c r="AA899" i="2"/>
  <c r="Z899" i="2"/>
  <c r="Y899" i="2"/>
  <c r="X899" i="2"/>
  <c r="W899" i="2"/>
  <c r="V899" i="2"/>
  <c r="U899" i="2"/>
  <c r="T899" i="2"/>
  <c r="S899" i="2"/>
  <c r="R899" i="2"/>
  <c r="Q899" i="2"/>
  <c r="P899" i="2"/>
  <c r="O899" i="2"/>
  <c r="N899" i="2"/>
  <c r="M899" i="2"/>
  <c r="L899" i="2"/>
  <c r="K899" i="2"/>
  <c r="J899" i="2"/>
  <c r="I899" i="2"/>
  <c r="H899" i="2"/>
  <c r="G899" i="2"/>
  <c r="F899" i="2"/>
  <c r="E899" i="2"/>
  <c r="D899" i="2"/>
  <c r="C899" i="2"/>
  <c r="B899" i="2"/>
  <c r="A899" i="2"/>
  <c r="AB898" i="2"/>
  <c r="AA898" i="2"/>
  <c r="Z898" i="2"/>
  <c r="Y898" i="2"/>
  <c r="X898" i="2"/>
  <c r="W898" i="2"/>
  <c r="V898" i="2"/>
  <c r="U898" i="2"/>
  <c r="T898" i="2"/>
  <c r="S898" i="2"/>
  <c r="R898" i="2"/>
  <c r="Q898" i="2"/>
  <c r="P898" i="2"/>
  <c r="O898" i="2"/>
  <c r="N898" i="2"/>
  <c r="M898" i="2"/>
  <c r="L898" i="2"/>
  <c r="K898" i="2"/>
  <c r="J898" i="2"/>
  <c r="I898" i="2"/>
  <c r="H898" i="2"/>
  <c r="G898" i="2"/>
  <c r="F898" i="2"/>
  <c r="E898" i="2"/>
  <c r="D898" i="2"/>
  <c r="C898" i="2"/>
  <c r="B898" i="2"/>
  <c r="A898" i="2"/>
  <c r="AB897" i="2"/>
  <c r="AA897" i="2"/>
  <c r="Z897" i="2"/>
  <c r="Y897" i="2"/>
  <c r="X897" i="2"/>
  <c r="W897" i="2"/>
  <c r="V897" i="2"/>
  <c r="U897" i="2"/>
  <c r="T897" i="2"/>
  <c r="S897" i="2"/>
  <c r="R897" i="2"/>
  <c r="Q897" i="2"/>
  <c r="P897" i="2"/>
  <c r="O897" i="2"/>
  <c r="N897" i="2"/>
  <c r="M897" i="2"/>
  <c r="L897" i="2"/>
  <c r="K897" i="2"/>
  <c r="J897" i="2"/>
  <c r="I897" i="2"/>
  <c r="H897" i="2"/>
  <c r="G897" i="2"/>
  <c r="F897" i="2"/>
  <c r="E897" i="2"/>
  <c r="D897" i="2"/>
  <c r="C897" i="2"/>
  <c r="B897" i="2"/>
  <c r="A897" i="2"/>
  <c r="AB896" i="2"/>
  <c r="AA896" i="2"/>
  <c r="Z896" i="2"/>
  <c r="Y896" i="2"/>
  <c r="X896" i="2"/>
  <c r="W896" i="2"/>
  <c r="V896" i="2"/>
  <c r="U896" i="2"/>
  <c r="T896" i="2"/>
  <c r="S896" i="2"/>
  <c r="R896" i="2"/>
  <c r="Q896" i="2"/>
  <c r="P896" i="2"/>
  <c r="O896" i="2"/>
  <c r="N896" i="2"/>
  <c r="M896" i="2"/>
  <c r="L896" i="2"/>
  <c r="K896" i="2"/>
  <c r="J896" i="2"/>
  <c r="I896" i="2"/>
  <c r="H896" i="2"/>
  <c r="G896" i="2"/>
  <c r="F896" i="2"/>
  <c r="E896" i="2"/>
  <c r="D896" i="2"/>
  <c r="C896" i="2"/>
  <c r="B896" i="2"/>
  <c r="A896" i="2"/>
  <c r="AB895" i="2"/>
  <c r="AA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B893" i="2"/>
  <c r="AA893" i="2"/>
  <c r="Z893" i="2"/>
  <c r="Y893" i="2"/>
  <c r="X893" i="2"/>
  <c r="W893" i="2"/>
  <c r="V893" i="2"/>
  <c r="U893" i="2"/>
  <c r="T893" i="2"/>
  <c r="S893" i="2"/>
  <c r="R893" i="2"/>
  <c r="Q893" i="2"/>
  <c r="P893" i="2"/>
  <c r="O893" i="2"/>
  <c r="N893" i="2"/>
  <c r="M893" i="2"/>
  <c r="L893" i="2"/>
  <c r="K893" i="2"/>
  <c r="J893" i="2"/>
  <c r="I893" i="2"/>
  <c r="H893" i="2"/>
  <c r="G893" i="2"/>
  <c r="F893" i="2"/>
  <c r="E893" i="2"/>
  <c r="D893" i="2"/>
  <c r="C893" i="2"/>
  <c r="B893" i="2"/>
  <c r="A893" i="2"/>
  <c r="AB892" i="2"/>
  <c r="AA892" i="2"/>
  <c r="Z892" i="2"/>
  <c r="Y892" i="2"/>
  <c r="X892" i="2"/>
  <c r="W892" i="2"/>
  <c r="V892" i="2"/>
  <c r="U892" i="2"/>
  <c r="T892" i="2"/>
  <c r="S892" i="2"/>
  <c r="R892" i="2"/>
  <c r="Q892" i="2"/>
  <c r="P892" i="2"/>
  <c r="O892" i="2"/>
  <c r="N892" i="2"/>
  <c r="M892" i="2"/>
  <c r="L892" i="2"/>
  <c r="K892" i="2"/>
  <c r="J892" i="2"/>
  <c r="I892" i="2"/>
  <c r="H892" i="2"/>
  <c r="G892" i="2"/>
  <c r="F892" i="2"/>
  <c r="E892" i="2"/>
  <c r="D892" i="2"/>
  <c r="C892" i="2"/>
  <c r="B892" i="2"/>
  <c r="A892" i="2"/>
  <c r="AB891" i="2"/>
  <c r="AA891" i="2"/>
  <c r="Z891" i="2"/>
  <c r="Y891" i="2"/>
  <c r="X891" i="2"/>
  <c r="W891" i="2"/>
  <c r="V891" i="2"/>
  <c r="U891" i="2"/>
  <c r="T891" i="2"/>
  <c r="S891" i="2"/>
  <c r="R891" i="2"/>
  <c r="Q891" i="2"/>
  <c r="P891" i="2"/>
  <c r="O891" i="2"/>
  <c r="N891" i="2"/>
  <c r="M891" i="2"/>
  <c r="L891" i="2"/>
  <c r="K891" i="2"/>
  <c r="J891" i="2"/>
  <c r="I891" i="2"/>
  <c r="H891" i="2"/>
  <c r="G891" i="2"/>
  <c r="F891" i="2"/>
  <c r="E891" i="2"/>
  <c r="D891" i="2"/>
  <c r="C891" i="2"/>
  <c r="B891" i="2"/>
  <c r="A891" i="2"/>
  <c r="AB890" i="2"/>
  <c r="AA890" i="2"/>
  <c r="Z890" i="2"/>
  <c r="Y890" i="2"/>
  <c r="X890" i="2"/>
  <c r="W890" i="2"/>
  <c r="V890" i="2"/>
  <c r="U890" i="2"/>
  <c r="T890" i="2"/>
  <c r="S890" i="2"/>
  <c r="R890" i="2"/>
  <c r="Q890" i="2"/>
  <c r="P890" i="2"/>
  <c r="O890" i="2"/>
  <c r="N890" i="2"/>
  <c r="M890" i="2"/>
  <c r="L890" i="2"/>
  <c r="K890" i="2"/>
  <c r="J890" i="2"/>
  <c r="I890" i="2"/>
  <c r="H890" i="2"/>
  <c r="G890" i="2"/>
  <c r="F890" i="2"/>
  <c r="E890" i="2"/>
  <c r="D890" i="2"/>
  <c r="C890" i="2"/>
  <c r="B890" i="2"/>
  <c r="A890" i="2"/>
  <c r="AB889" i="2"/>
  <c r="AA889" i="2"/>
  <c r="Z889" i="2"/>
  <c r="Y889" i="2"/>
  <c r="X889" i="2"/>
  <c r="W889" i="2"/>
  <c r="V889" i="2"/>
  <c r="U889" i="2"/>
  <c r="T889" i="2"/>
  <c r="S889" i="2"/>
  <c r="R889" i="2"/>
  <c r="Q889" i="2"/>
  <c r="P889" i="2"/>
  <c r="O889" i="2"/>
  <c r="N889" i="2"/>
  <c r="M889" i="2"/>
  <c r="L889" i="2"/>
  <c r="K889" i="2"/>
  <c r="J889" i="2"/>
  <c r="I889" i="2"/>
  <c r="H889" i="2"/>
  <c r="G889" i="2"/>
  <c r="F889" i="2"/>
  <c r="E889" i="2"/>
  <c r="D889" i="2"/>
  <c r="C889" i="2"/>
  <c r="B889" i="2"/>
  <c r="A889" i="2"/>
  <c r="AB888" i="2"/>
  <c r="AA888" i="2"/>
  <c r="Z888" i="2"/>
  <c r="Y888" i="2"/>
  <c r="X888" i="2"/>
  <c r="W888" i="2"/>
  <c r="V888" i="2"/>
  <c r="U888" i="2"/>
  <c r="T888" i="2"/>
  <c r="S888" i="2"/>
  <c r="R888" i="2"/>
  <c r="Q888" i="2"/>
  <c r="P888" i="2"/>
  <c r="O888" i="2"/>
  <c r="N888" i="2"/>
  <c r="M888" i="2"/>
  <c r="L888" i="2"/>
  <c r="K888" i="2"/>
  <c r="J888" i="2"/>
  <c r="I888" i="2"/>
  <c r="H888" i="2"/>
  <c r="G888" i="2"/>
  <c r="F888" i="2"/>
  <c r="E888" i="2"/>
  <c r="D888" i="2"/>
  <c r="C888" i="2"/>
  <c r="B888" i="2"/>
  <c r="A888" i="2"/>
  <c r="AB887" i="2"/>
  <c r="AA887" i="2"/>
  <c r="Z887" i="2"/>
  <c r="Y887" i="2"/>
  <c r="X887" i="2"/>
  <c r="W887" i="2"/>
  <c r="V887" i="2"/>
  <c r="U887" i="2"/>
  <c r="T887" i="2"/>
  <c r="S887" i="2"/>
  <c r="R887" i="2"/>
  <c r="Q887" i="2"/>
  <c r="P887" i="2"/>
  <c r="O887" i="2"/>
  <c r="N887" i="2"/>
  <c r="M887" i="2"/>
  <c r="L887" i="2"/>
  <c r="K887" i="2"/>
  <c r="J887" i="2"/>
  <c r="I887" i="2"/>
  <c r="H887" i="2"/>
  <c r="G887" i="2"/>
  <c r="F887" i="2"/>
  <c r="E887" i="2"/>
  <c r="D887" i="2"/>
  <c r="C887" i="2"/>
  <c r="B887" i="2"/>
  <c r="A887" i="2"/>
  <c r="AB886" i="2"/>
  <c r="AA886" i="2"/>
  <c r="Z886" i="2"/>
  <c r="Y886" i="2"/>
  <c r="X886" i="2"/>
  <c r="W886" i="2"/>
  <c r="V886" i="2"/>
  <c r="U886" i="2"/>
  <c r="T886" i="2"/>
  <c r="S886" i="2"/>
  <c r="R886" i="2"/>
  <c r="Q886" i="2"/>
  <c r="P886" i="2"/>
  <c r="O886" i="2"/>
  <c r="N886" i="2"/>
  <c r="M886" i="2"/>
  <c r="L886" i="2"/>
  <c r="K886" i="2"/>
  <c r="J886" i="2"/>
  <c r="I886" i="2"/>
  <c r="H886" i="2"/>
  <c r="G886" i="2"/>
  <c r="F886" i="2"/>
  <c r="E886" i="2"/>
  <c r="D886" i="2"/>
  <c r="C886" i="2"/>
  <c r="B886" i="2"/>
  <c r="A886" i="2"/>
  <c r="AB885" i="2"/>
  <c r="AA885" i="2"/>
  <c r="Z885" i="2"/>
  <c r="Y885" i="2"/>
  <c r="X885" i="2"/>
  <c r="W885" i="2"/>
  <c r="V885" i="2"/>
  <c r="U885" i="2"/>
  <c r="T885" i="2"/>
  <c r="S885" i="2"/>
  <c r="R885" i="2"/>
  <c r="Q885" i="2"/>
  <c r="P885" i="2"/>
  <c r="O885" i="2"/>
  <c r="N885" i="2"/>
  <c r="M885" i="2"/>
  <c r="L885" i="2"/>
  <c r="K885" i="2"/>
  <c r="J885" i="2"/>
  <c r="I885" i="2"/>
  <c r="H885" i="2"/>
  <c r="G885" i="2"/>
  <c r="F885" i="2"/>
  <c r="E885" i="2"/>
  <c r="D885" i="2"/>
  <c r="C885" i="2"/>
  <c r="B885" i="2"/>
  <c r="A885" i="2"/>
  <c r="AB884" i="2"/>
  <c r="AA884" i="2"/>
  <c r="Z884" i="2"/>
  <c r="Y884" i="2"/>
  <c r="X884" i="2"/>
  <c r="W884" i="2"/>
  <c r="V884" i="2"/>
  <c r="U884" i="2"/>
  <c r="T884" i="2"/>
  <c r="S884" i="2"/>
  <c r="R884" i="2"/>
  <c r="Q884" i="2"/>
  <c r="P884" i="2"/>
  <c r="O884" i="2"/>
  <c r="N884" i="2"/>
  <c r="M884" i="2"/>
  <c r="L884" i="2"/>
  <c r="K884" i="2"/>
  <c r="J884" i="2"/>
  <c r="I884" i="2"/>
  <c r="H884" i="2"/>
  <c r="G884" i="2"/>
  <c r="F884" i="2"/>
  <c r="E884" i="2"/>
  <c r="D884" i="2"/>
  <c r="C884" i="2"/>
  <c r="B884" i="2"/>
  <c r="A884" i="2"/>
  <c r="AB883" i="2"/>
  <c r="AA883" i="2"/>
  <c r="Z883" i="2"/>
  <c r="Y883" i="2"/>
  <c r="X883" i="2"/>
  <c r="W883" i="2"/>
  <c r="V883" i="2"/>
  <c r="U883" i="2"/>
  <c r="T883" i="2"/>
  <c r="S883" i="2"/>
  <c r="R883" i="2"/>
  <c r="Q883" i="2"/>
  <c r="P883" i="2"/>
  <c r="O883" i="2"/>
  <c r="N883" i="2"/>
  <c r="M883" i="2"/>
  <c r="L883" i="2"/>
  <c r="K883" i="2"/>
  <c r="J883" i="2"/>
  <c r="I883" i="2"/>
  <c r="H883" i="2"/>
  <c r="G883" i="2"/>
  <c r="F883" i="2"/>
  <c r="E883" i="2"/>
  <c r="D883" i="2"/>
  <c r="C883" i="2"/>
  <c r="B883" i="2"/>
  <c r="A883" i="2"/>
  <c r="AB882" i="2"/>
  <c r="AA882" i="2"/>
  <c r="Z882" i="2"/>
  <c r="Y882" i="2"/>
  <c r="X882" i="2"/>
  <c r="W882" i="2"/>
  <c r="V882" i="2"/>
  <c r="U882" i="2"/>
  <c r="T882" i="2"/>
  <c r="S882" i="2"/>
  <c r="R882" i="2"/>
  <c r="Q882" i="2"/>
  <c r="P882" i="2"/>
  <c r="O882" i="2"/>
  <c r="N882" i="2"/>
  <c r="M882" i="2"/>
  <c r="L882" i="2"/>
  <c r="K882" i="2"/>
  <c r="J882" i="2"/>
  <c r="I882" i="2"/>
  <c r="H882" i="2"/>
  <c r="G882" i="2"/>
  <c r="F882" i="2"/>
  <c r="E882" i="2"/>
  <c r="D882" i="2"/>
  <c r="C882" i="2"/>
  <c r="B882" i="2"/>
  <c r="A882" i="2"/>
  <c r="AB881" i="2"/>
  <c r="AA881" i="2"/>
  <c r="Z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B880" i="2"/>
  <c r="AA880" i="2"/>
  <c r="Z880" i="2"/>
  <c r="Y880" i="2"/>
  <c r="X880" i="2"/>
  <c r="W880" i="2"/>
  <c r="V880" i="2"/>
  <c r="U880" i="2"/>
  <c r="T880" i="2"/>
  <c r="S880" i="2"/>
  <c r="R880" i="2"/>
  <c r="Q880" i="2"/>
  <c r="P880" i="2"/>
  <c r="O880" i="2"/>
  <c r="N880" i="2"/>
  <c r="M880" i="2"/>
  <c r="L880" i="2"/>
  <c r="K880" i="2"/>
  <c r="J880" i="2"/>
  <c r="I880" i="2"/>
  <c r="H880" i="2"/>
  <c r="G880" i="2"/>
  <c r="F880" i="2"/>
  <c r="E880" i="2"/>
  <c r="D880" i="2"/>
  <c r="C880" i="2"/>
  <c r="B880" i="2"/>
  <c r="A880" i="2"/>
  <c r="AB879" i="2"/>
  <c r="AA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B878" i="2"/>
  <c r="AA878" i="2"/>
  <c r="Z878" i="2"/>
  <c r="Y878" i="2"/>
  <c r="X878" i="2"/>
  <c r="W878" i="2"/>
  <c r="V878" i="2"/>
  <c r="U878" i="2"/>
  <c r="T878" i="2"/>
  <c r="S878" i="2"/>
  <c r="R878" i="2"/>
  <c r="Q878" i="2"/>
  <c r="P878" i="2"/>
  <c r="O878" i="2"/>
  <c r="N878" i="2"/>
  <c r="M878" i="2"/>
  <c r="L878" i="2"/>
  <c r="K878" i="2"/>
  <c r="J878" i="2"/>
  <c r="I878" i="2"/>
  <c r="H878" i="2"/>
  <c r="G878" i="2"/>
  <c r="F878" i="2"/>
  <c r="E878" i="2"/>
  <c r="D878" i="2"/>
  <c r="C878" i="2"/>
  <c r="B878" i="2"/>
  <c r="A878" i="2"/>
  <c r="AB877" i="2"/>
  <c r="AA877" i="2"/>
  <c r="Z877" i="2"/>
  <c r="Y877" i="2"/>
  <c r="X877" i="2"/>
  <c r="W877" i="2"/>
  <c r="V877" i="2"/>
  <c r="U877" i="2"/>
  <c r="T877" i="2"/>
  <c r="S877" i="2"/>
  <c r="R877" i="2"/>
  <c r="Q877" i="2"/>
  <c r="P877" i="2"/>
  <c r="O877" i="2"/>
  <c r="N877" i="2"/>
  <c r="M877" i="2"/>
  <c r="L877" i="2"/>
  <c r="K877" i="2"/>
  <c r="J877" i="2"/>
  <c r="I877" i="2"/>
  <c r="H877" i="2"/>
  <c r="G877" i="2"/>
  <c r="F877" i="2"/>
  <c r="E877" i="2"/>
  <c r="D877" i="2"/>
  <c r="C877" i="2"/>
  <c r="B877" i="2"/>
  <c r="A877" i="2"/>
  <c r="AB876" i="2"/>
  <c r="AA876" i="2"/>
  <c r="Z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B875" i="2"/>
  <c r="AA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B874" i="2"/>
  <c r="AA874" i="2"/>
  <c r="Z874" i="2"/>
  <c r="Y874" i="2"/>
  <c r="X874" i="2"/>
  <c r="W874" i="2"/>
  <c r="V874" i="2"/>
  <c r="U874" i="2"/>
  <c r="T874" i="2"/>
  <c r="S874" i="2"/>
  <c r="R874" i="2"/>
  <c r="Q874" i="2"/>
  <c r="P874" i="2"/>
  <c r="O874" i="2"/>
  <c r="N874" i="2"/>
  <c r="M874" i="2"/>
  <c r="L874" i="2"/>
  <c r="K874" i="2"/>
  <c r="J874" i="2"/>
  <c r="I874" i="2"/>
  <c r="H874" i="2"/>
  <c r="G874" i="2"/>
  <c r="F874" i="2"/>
  <c r="E874" i="2"/>
  <c r="D874" i="2"/>
  <c r="C874" i="2"/>
  <c r="B874" i="2"/>
  <c r="A874" i="2"/>
  <c r="AB873" i="2"/>
  <c r="AA873" i="2"/>
  <c r="Z873" i="2"/>
  <c r="Y873" i="2"/>
  <c r="X873" i="2"/>
  <c r="W873" i="2"/>
  <c r="V873" i="2"/>
  <c r="U873" i="2"/>
  <c r="T873" i="2"/>
  <c r="S873" i="2"/>
  <c r="R873" i="2"/>
  <c r="Q873" i="2"/>
  <c r="P873" i="2"/>
  <c r="O873" i="2"/>
  <c r="N873" i="2"/>
  <c r="M873" i="2"/>
  <c r="L873" i="2"/>
  <c r="K873" i="2"/>
  <c r="J873" i="2"/>
  <c r="I873" i="2"/>
  <c r="H873" i="2"/>
  <c r="G873" i="2"/>
  <c r="F873" i="2"/>
  <c r="E873" i="2"/>
  <c r="D873" i="2"/>
  <c r="C873" i="2"/>
  <c r="B873" i="2"/>
  <c r="A873" i="2"/>
  <c r="AB872" i="2"/>
  <c r="AA872" i="2"/>
  <c r="Z872" i="2"/>
  <c r="Y872" i="2"/>
  <c r="X872" i="2"/>
  <c r="W872" i="2"/>
  <c r="V872" i="2"/>
  <c r="U872" i="2"/>
  <c r="T872" i="2"/>
  <c r="S872" i="2"/>
  <c r="R872" i="2"/>
  <c r="Q872" i="2"/>
  <c r="P872" i="2"/>
  <c r="O872" i="2"/>
  <c r="N872" i="2"/>
  <c r="M872" i="2"/>
  <c r="L872" i="2"/>
  <c r="K872" i="2"/>
  <c r="J872" i="2"/>
  <c r="I872" i="2"/>
  <c r="H872" i="2"/>
  <c r="G872" i="2"/>
  <c r="F872" i="2"/>
  <c r="E872" i="2"/>
  <c r="D872" i="2"/>
  <c r="C872" i="2"/>
  <c r="B872" i="2"/>
  <c r="A872" i="2"/>
  <c r="AB871" i="2"/>
  <c r="AA871" i="2"/>
  <c r="Z871" i="2"/>
  <c r="Y871" i="2"/>
  <c r="X871" i="2"/>
  <c r="W871" i="2"/>
  <c r="V871" i="2"/>
  <c r="U871" i="2"/>
  <c r="T871" i="2"/>
  <c r="S871" i="2"/>
  <c r="R871" i="2"/>
  <c r="Q871" i="2"/>
  <c r="P871" i="2"/>
  <c r="O871" i="2"/>
  <c r="N871" i="2"/>
  <c r="M871" i="2"/>
  <c r="L871" i="2"/>
  <c r="K871" i="2"/>
  <c r="J871" i="2"/>
  <c r="I871" i="2"/>
  <c r="H871" i="2"/>
  <c r="G871" i="2"/>
  <c r="F871" i="2"/>
  <c r="E871" i="2"/>
  <c r="D871" i="2"/>
  <c r="C871" i="2"/>
  <c r="B871" i="2"/>
  <c r="A871" i="2"/>
  <c r="AB870" i="2"/>
  <c r="AA870" i="2"/>
  <c r="Z870" i="2"/>
  <c r="Y870" i="2"/>
  <c r="X870" i="2"/>
  <c r="W870" i="2"/>
  <c r="V870" i="2"/>
  <c r="U870" i="2"/>
  <c r="T870" i="2"/>
  <c r="S870" i="2"/>
  <c r="R870" i="2"/>
  <c r="Q870" i="2"/>
  <c r="P870" i="2"/>
  <c r="O870" i="2"/>
  <c r="N870" i="2"/>
  <c r="M870" i="2"/>
  <c r="L870" i="2"/>
  <c r="K870" i="2"/>
  <c r="J870" i="2"/>
  <c r="I870" i="2"/>
  <c r="H870" i="2"/>
  <c r="G870" i="2"/>
  <c r="F870" i="2"/>
  <c r="E870" i="2"/>
  <c r="D870" i="2"/>
  <c r="C870" i="2"/>
  <c r="B870" i="2"/>
  <c r="A870" i="2"/>
  <c r="AB869" i="2"/>
  <c r="AA869" i="2"/>
  <c r="Z869" i="2"/>
  <c r="Y869" i="2"/>
  <c r="X869" i="2"/>
  <c r="W869" i="2"/>
  <c r="V869" i="2"/>
  <c r="U869" i="2"/>
  <c r="T869" i="2"/>
  <c r="S869" i="2"/>
  <c r="R869" i="2"/>
  <c r="Q869" i="2"/>
  <c r="P869" i="2"/>
  <c r="O869" i="2"/>
  <c r="N869" i="2"/>
  <c r="M869" i="2"/>
  <c r="L869" i="2"/>
  <c r="K869" i="2"/>
  <c r="J869" i="2"/>
  <c r="I869" i="2"/>
  <c r="H869" i="2"/>
  <c r="G869" i="2"/>
  <c r="F869" i="2"/>
  <c r="E869" i="2"/>
  <c r="D869" i="2"/>
  <c r="C869" i="2"/>
  <c r="B869" i="2"/>
  <c r="A869" i="2"/>
  <c r="AB868" i="2"/>
  <c r="AA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B867" i="2"/>
  <c r="AA867" i="2"/>
  <c r="Z867" i="2"/>
  <c r="Y867" i="2"/>
  <c r="X867" i="2"/>
  <c r="W867" i="2"/>
  <c r="V867" i="2"/>
  <c r="U867" i="2"/>
  <c r="T867" i="2"/>
  <c r="S867" i="2"/>
  <c r="R867" i="2"/>
  <c r="Q867" i="2"/>
  <c r="P867" i="2"/>
  <c r="O867" i="2"/>
  <c r="N867" i="2"/>
  <c r="M867" i="2"/>
  <c r="L867" i="2"/>
  <c r="K867" i="2"/>
  <c r="J867" i="2"/>
  <c r="I867" i="2"/>
  <c r="H867" i="2"/>
  <c r="G867" i="2"/>
  <c r="F867" i="2"/>
  <c r="E867" i="2"/>
  <c r="D867" i="2"/>
  <c r="C867" i="2"/>
  <c r="B867" i="2"/>
  <c r="A867" i="2"/>
  <c r="AB866" i="2"/>
  <c r="AA866" i="2"/>
  <c r="Z866" i="2"/>
  <c r="Y866" i="2"/>
  <c r="X866" i="2"/>
  <c r="W866" i="2"/>
  <c r="V866" i="2"/>
  <c r="U866" i="2"/>
  <c r="T866" i="2"/>
  <c r="S866" i="2"/>
  <c r="R866" i="2"/>
  <c r="Q866" i="2"/>
  <c r="P866" i="2"/>
  <c r="O866" i="2"/>
  <c r="N866" i="2"/>
  <c r="M866" i="2"/>
  <c r="L866" i="2"/>
  <c r="K866" i="2"/>
  <c r="J866" i="2"/>
  <c r="I866" i="2"/>
  <c r="H866" i="2"/>
  <c r="G866" i="2"/>
  <c r="F866" i="2"/>
  <c r="E866" i="2"/>
  <c r="D866" i="2"/>
  <c r="C866" i="2"/>
  <c r="B866" i="2"/>
  <c r="A866" i="2"/>
  <c r="AB865" i="2"/>
  <c r="AA865" i="2"/>
  <c r="Z865" i="2"/>
  <c r="Y865" i="2"/>
  <c r="X865" i="2"/>
  <c r="W865" i="2"/>
  <c r="V865" i="2"/>
  <c r="U865" i="2"/>
  <c r="T865" i="2"/>
  <c r="S865" i="2"/>
  <c r="R865" i="2"/>
  <c r="Q865" i="2"/>
  <c r="P865" i="2"/>
  <c r="O865" i="2"/>
  <c r="N865" i="2"/>
  <c r="M865" i="2"/>
  <c r="L865" i="2"/>
  <c r="K865" i="2"/>
  <c r="J865" i="2"/>
  <c r="I865" i="2"/>
  <c r="H865" i="2"/>
  <c r="G865" i="2"/>
  <c r="F865" i="2"/>
  <c r="E865" i="2"/>
  <c r="D865" i="2"/>
  <c r="C865" i="2"/>
  <c r="B865" i="2"/>
  <c r="A865" i="2"/>
  <c r="AB864" i="2"/>
  <c r="AA864" i="2"/>
  <c r="Z864" i="2"/>
  <c r="Y864" i="2"/>
  <c r="X864" i="2"/>
  <c r="W864" i="2"/>
  <c r="V864" i="2"/>
  <c r="U864" i="2"/>
  <c r="T864" i="2"/>
  <c r="S864" i="2"/>
  <c r="R864" i="2"/>
  <c r="Q864" i="2"/>
  <c r="P864" i="2"/>
  <c r="O864" i="2"/>
  <c r="N864" i="2"/>
  <c r="M864" i="2"/>
  <c r="L864" i="2"/>
  <c r="K864" i="2"/>
  <c r="J864" i="2"/>
  <c r="I864" i="2"/>
  <c r="H864" i="2"/>
  <c r="G864" i="2"/>
  <c r="F864" i="2"/>
  <c r="E864" i="2"/>
  <c r="D864" i="2"/>
  <c r="C864" i="2"/>
  <c r="B864" i="2"/>
  <c r="A864" i="2"/>
  <c r="AB863" i="2"/>
  <c r="AA863" i="2"/>
  <c r="Z863" i="2"/>
  <c r="Y863" i="2"/>
  <c r="X863" i="2"/>
  <c r="W863" i="2"/>
  <c r="V863" i="2"/>
  <c r="U863" i="2"/>
  <c r="T863" i="2"/>
  <c r="S863" i="2"/>
  <c r="R863" i="2"/>
  <c r="Q863" i="2"/>
  <c r="P863" i="2"/>
  <c r="O863" i="2"/>
  <c r="N863" i="2"/>
  <c r="M863" i="2"/>
  <c r="L863" i="2"/>
  <c r="K863" i="2"/>
  <c r="J863" i="2"/>
  <c r="I863" i="2"/>
  <c r="H863" i="2"/>
  <c r="G863" i="2"/>
  <c r="F863" i="2"/>
  <c r="E863" i="2"/>
  <c r="D863" i="2"/>
  <c r="C863" i="2"/>
  <c r="B863" i="2"/>
  <c r="A863" i="2"/>
  <c r="AB862" i="2"/>
  <c r="AA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B861" i="2"/>
  <c r="AA861" i="2"/>
  <c r="Z861" i="2"/>
  <c r="Y861" i="2"/>
  <c r="X861" i="2"/>
  <c r="W861" i="2"/>
  <c r="V861" i="2"/>
  <c r="U861" i="2"/>
  <c r="T861" i="2"/>
  <c r="S861" i="2"/>
  <c r="R861" i="2"/>
  <c r="Q861" i="2"/>
  <c r="P861" i="2"/>
  <c r="O861" i="2"/>
  <c r="N861" i="2"/>
  <c r="M861" i="2"/>
  <c r="L861" i="2"/>
  <c r="K861" i="2"/>
  <c r="J861" i="2"/>
  <c r="I861" i="2"/>
  <c r="H861" i="2"/>
  <c r="G861" i="2"/>
  <c r="F861" i="2"/>
  <c r="E861" i="2"/>
  <c r="D861" i="2"/>
  <c r="C861" i="2"/>
  <c r="B861" i="2"/>
  <c r="A861" i="2"/>
  <c r="AB860" i="2"/>
  <c r="AA860" i="2"/>
  <c r="Z860" i="2"/>
  <c r="Y860" i="2"/>
  <c r="X860" i="2"/>
  <c r="W860" i="2"/>
  <c r="V860" i="2"/>
  <c r="U860" i="2"/>
  <c r="T860" i="2"/>
  <c r="S860" i="2"/>
  <c r="R860" i="2"/>
  <c r="Q860" i="2"/>
  <c r="P860" i="2"/>
  <c r="O860" i="2"/>
  <c r="N860" i="2"/>
  <c r="M860" i="2"/>
  <c r="L860" i="2"/>
  <c r="K860" i="2"/>
  <c r="J860" i="2"/>
  <c r="I860" i="2"/>
  <c r="H860" i="2"/>
  <c r="G860" i="2"/>
  <c r="F860" i="2"/>
  <c r="E860" i="2"/>
  <c r="D860" i="2"/>
  <c r="C860" i="2"/>
  <c r="B860" i="2"/>
  <c r="A860" i="2"/>
  <c r="AB859" i="2"/>
  <c r="AA859" i="2"/>
  <c r="Z859" i="2"/>
  <c r="Y859" i="2"/>
  <c r="X859" i="2"/>
  <c r="W859" i="2"/>
  <c r="V859" i="2"/>
  <c r="U859" i="2"/>
  <c r="T859" i="2"/>
  <c r="S859" i="2"/>
  <c r="R859" i="2"/>
  <c r="Q859" i="2"/>
  <c r="P859" i="2"/>
  <c r="O859" i="2"/>
  <c r="N859" i="2"/>
  <c r="M859" i="2"/>
  <c r="L859" i="2"/>
  <c r="K859" i="2"/>
  <c r="J859" i="2"/>
  <c r="I859" i="2"/>
  <c r="H859" i="2"/>
  <c r="G859" i="2"/>
  <c r="F859" i="2"/>
  <c r="E859" i="2"/>
  <c r="D859" i="2"/>
  <c r="C859" i="2"/>
  <c r="B859" i="2"/>
  <c r="A859"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B857" i="2"/>
  <c r="AA857" i="2"/>
  <c r="Z857" i="2"/>
  <c r="Y857" i="2"/>
  <c r="X857" i="2"/>
  <c r="W857" i="2"/>
  <c r="V857" i="2"/>
  <c r="U857" i="2"/>
  <c r="T857" i="2"/>
  <c r="S857" i="2"/>
  <c r="R857" i="2"/>
  <c r="Q857" i="2"/>
  <c r="P857" i="2"/>
  <c r="O857" i="2"/>
  <c r="N857" i="2"/>
  <c r="M857" i="2"/>
  <c r="L857" i="2"/>
  <c r="K857" i="2"/>
  <c r="J857" i="2"/>
  <c r="I857" i="2"/>
  <c r="H857" i="2"/>
  <c r="G857" i="2"/>
  <c r="F857" i="2"/>
  <c r="E857" i="2"/>
  <c r="D857" i="2"/>
  <c r="C857" i="2"/>
  <c r="B857" i="2"/>
  <c r="A857" i="2"/>
  <c r="AB856" i="2"/>
  <c r="AA856" i="2"/>
  <c r="Z856" i="2"/>
  <c r="Y856" i="2"/>
  <c r="X856" i="2"/>
  <c r="W856" i="2"/>
  <c r="V856" i="2"/>
  <c r="U856" i="2"/>
  <c r="T856" i="2"/>
  <c r="S856" i="2"/>
  <c r="R856" i="2"/>
  <c r="Q856" i="2"/>
  <c r="P856" i="2"/>
  <c r="O856" i="2"/>
  <c r="N856" i="2"/>
  <c r="M856" i="2"/>
  <c r="L856" i="2"/>
  <c r="K856" i="2"/>
  <c r="J856" i="2"/>
  <c r="I856" i="2"/>
  <c r="H856" i="2"/>
  <c r="G856" i="2"/>
  <c r="F856" i="2"/>
  <c r="E856" i="2"/>
  <c r="D856" i="2"/>
  <c r="C856" i="2"/>
  <c r="B856" i="2"/>
  <c r="A856" i="2"/>
  <c r="AB855" i="2"/>
  <c r="AA855" i="2"/>
  <c r="Z855" i="2"/>
  <c r="Y855" i="2"/>
  <c r="X855" i="2"/>
  <c r="W855" i="2"/>
  <c r="V855" i="2"/>
  <c r="U855" i="2"/>
  <c r="T855" i="2"/>
  <c r="S855" i="2"/>
  <c r="R855" i="2"/>
  <c r="Q855" i="2"/>
  <c r="P855" i="2"/>
  <c r="O855" i="2"/>
  <c r="N855" i="2"/>
  <c r="M855" i="2"/>
  <c r="L855" i="2"/>
  <c r="K855" i="2"/>
  <c r="J855" i="2"/>
  <c r="I855" i="2"/>
  <c r="H855" i="2"/>
  <c r="G855" i="2"/>
  <c r="F855" i="2"/>
  <c r="E855" i="2"/>
  <c r="D855" i="2"/>
  <c r="C855" i="2"/>
  <c r="B855" i="2"/>
  <c r="A855" i="2"/>
  <c r="AB854" i="2"/>
  <c r="AA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B853" i="2"/>
  <c r="AA853" i="2"/>
  <c r="Z853" i="2"/>
  <c r="Y853" i="2"/>
  <c r="X853" i="2"/>
  <c r="W853" i="2"/>
  <c r="V853" i="2"/>
  <c r="U853" i="2"/>
  <c r="T853" i="2"/>
  <c r="S853" i="2"/>
  <c r="R853" i="2"/>
  <c r="Q853" i="2"/>
  <c r="P853" i="2"/>
  <c r="O853" i="2"/>
  <c r="N853" i="2"/>
  <c r="M853" i="2"/>
  <c r="L853" i="2"/>
  <c r="K853" i="2"/>
  <c r="J853" i="2"/>
  <c r="I853" i="2"/>
  <c r="H853" i="2"/>
  <c r="G853" i="2"/>
  <c r="F853" i="2"/>
  <c r="E853" i="2"/>
  <c r="D853" i="2"/>
  <c r="C853" i="2"/>
  <c r="B853" i="2"/>
  <c r="A853" i="2"/>
  <c r="AB852" i="2"/>
  <c r="AA852" i="2"/>
  <c r="Z852" i="2"/>
  <c r="Y852" i="2"/>
  <c r="X852" i="2"/>
  <c r="W852" i="2"/>
  <c r="V852" i="2"/>
  <c r="U852" i="2"/>
  <c r="T852" i="2"/>
  <c r="S852" i="2"/>
  <c r="R852" i="2"/>
  <c r="Q852" i="2"/>
  <c r="P852" i="2"/>
  <c r="O852" i="2"/>
  <c r="N852" i="2"/>
  <c r="M852" i="2"/>
  <c r="L852" i="2"/>
  <c r="K852" i="2"/>
  <c r="J852" i="2"/>
  <c r="I852" i="2"/>
  <c r="H852" i="2"/>
  <c r="G852" i="2"/>
  <c r="F852" i="2"/>
  <c r="E852" i="2"/>
  <c r="D852" i="2"/>
  <c r="C852" i="2"/>
  <c r="B852" i="2"/>
  <c r="A852" i="2"/>
  <c r="AB851" i="2"/>
  <c r="AA851" i="2"/>
  <c r="Z851" i="2"/>
  <c r="Y851" i="2"/>
  <c r="X851" i="2"/>
  <c r="W851" i="2"/>
  <c r="V851" i="2"/>
  <c r="U851" i="2"/>
  <c r="T851" i="2"/>
  <c r="S851" i="2"/>
  <c r="R851" i="2"/>
  <c r="Q851" i="2"/>
  <c r="P851" i="2"/>
  <c r="O851" i="2"/>
  <c r="N851" i="2"/>
  <c r="M851" i="2"/>
  <c r="L851" i="2"/>
  <c r="K851" i="2"/>
  <c r="J851" i="2"/>
  <c r="I851" i="2"/>
  <c r="H851" i="2"/>
  <c r="G851" i="2"/>
  <c r="F851" i="2"/>
  <c r="E851" i="2"/>
  <c r="D851" i="2"/>
  <c r="C851" i="2"/>
  <c r="B851" i="2"/>
  <c r="A851" i="2"/>
  <c r="AB850" i="2"/>
  <c r="AA850" i="2"/>
  <c r="Z850" i="2"/>
  <c r="Y850" i="2"/>
  <c r="X850" i="2"/>
  <c r="W850" i="2"/>
  <c r="V850" i="2"/>
  <c r="U850" i="2"/>
  <c r="T850" i="2"/>
  <c r="S850" i="2"/>
  <c r="R850" i="2"/>
  <c r="Q850" i="2"/>
  <c r="P850" i="2"/>
  <c r="O850" i="2"/>
  <c r="N850" i="2"/>
  <c r="M850" i="2"/>
  <c r="L850" i="2"/>
  <c r="K850" i="2"/>
  <c r="J850" i="2"/>
  <c r="I850" i="2"/>
  <c r="H850" i="2"/>
  <c r="G850" i="2"/>
  <c r="F850" i="2"/>
  <c r="E850" i="2"/>
  <c r="D850" i="2"/>
  <c r="C850" i="2"/>
  <c r="B850" i="2"/>
  <c r="A850" i="2"/>
  <c r="AB849" i="2"/>
  <c r="AA849" i="2"/>
  <c r="Z849" i="2"/>
  <c r="Y849" i="2"/>
  <c r="X849" i="2"/>
  <c r="W849" i="2"/>
  <c r="V849" i="2"/>
  <c r="U849" i="2"/>
  <c r="T849" i="2"/>
  <c r="S849" i="2"/>
  <c r="R849" i="2"/>
  <c r="Q849" i="2"/>
  <c r="P849" i="2"/>
  <c r="O849" i="2"/>
  <c r="N849" i="2"/>
  <c r="M849" i="2"/>
  <c r="L849" i="2"/>
  <c r="K849" i="2"/>
  <c r="J849" i="2"/>
  <c r="I849" i="2"/>
  <c r="H849" i="2"/>
  <c r="G849" i="2"/>
  <c r="F849" i="2"/>
  <c r="E849" i="2"/>
  <c r="D849" i="2"/>
  <c r="C849" i="2"/>
  <c r="B849" i="2"/>
  <c r="A849" i="2"/>
  <c r="AB848" i="2"/>
  <c r="AA848" i="2"/>
  <c r="Z848" i="2"/>
  <c r="Y848" i="2"/>
  <c r="X848" i="2"/>
  <c r="W848" i="2"/>
  <c r="V848" i="2"/>
  <c r="U848" i="2"/>
  <c r="T848" i="2"/>
  <c r="S848" i="2"/>
  <c r="R848" i="2"/>
  <c r="Q848" i="2"/>
  <c r="P848" i="2"/>
  <c r="O848" i="2"/>
  <c r="N848" i="2"/>
  <c r="M848" i="2"/>
  <c r="L848" i="2"/>
  <c r="K848" i="2"/>
  <c r="J848" i="2"/>
  <c r="I848" i="2"/>
  <c r="H848" i="2"/>
  <c r="G848" i="2"/>
  <c r="F848" i="2"/>
  <c r="E848" i="2"/>
  <c r="D848" i="2"/>
  <c r="C848" i="2"/>
  <c r="B848" i="2"/>
  <c r="A848"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B846" i="2"/>
  <c r="AA846" i="2"/>
  <c r="Z846" i="2"/>
  <c r="Y846" i="2"/>
  <c r="X846" i="2"/>
  <c r="W846" i="2"/>
  <c r="V846" i="2"/>
  <c r="U846" i="2"/>
  <c r="T846" i="2"/>
  <c r="S846" i="2"/>
  <c r="R846" i="2"/>
  <c r="Q846" i="2"/>
  <c r="P846" i="2"/>
  <c r="O846" i="2"/>
  <c r="N846" i="2"/>
  <c r="M846" i="2"/>
  <c r="L846" i="2"/>
  <c r="K846" i="2"/>
  <c r="J846" i="2"/>
  <c r="I846" i="2"/>
  <c r="H846" i="2"/>
  <c r="G846" i="2"/>
  <c r="F846" i="2"/>
  <c r="E846" i="2"/>
  <c r="D846" i="2"/>
  <c r="C846" i="2"/>
  <c r="B846" i="2"/>
  <c r="A846" i="2"/>
  <c r="AB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B844" i="2"/>
  <c r="AA844" i="2"/>
  <c r="Z844" i="2"/>
  <c r="Y844" i="2"/>
  <c r="X844" i="2"/>
  <c r="W844" i="2"/>
  <c r="V844" i="2"/>
  <c r="U844" i="2"/>
  <c r="T844" i="2"/>
  <c r="S844" i="2"/>
  <c r="R844" i="2"/>
  <c r="Q844" i="2"/>
  <c r="P844" i="2"/>
  <c r="O844" i="2"/>
  <c r="N844" i="2"/>
  <c r="M844" i="2"/>
  <c r="L844" i="2"/>
  <c r="K844" i="2"/>
  <c r="J844" i="2"/>
  <c r="I844" i="2"/>
  <c r="H844" i="2"/>
  <c r="G844" i="2"/>
  <c r="F844" i="2"/>
  <c r="E844" i="2"/>
  <c r="D844" i="2"/>
  <c r="C844" i="2"/>
  <c r="B844" i="2"/>
  <c r="A844" i="2"/>
  <c r="AB843" i="2"/>
  <c r="AA843" i="2"/>
  <c r="Z843" i="2"/>
  <c r="Y843" i="2"/>
  <c r="X843" i="2"/>
  <c r="W843" i="2"/>
  <c r="V843" i="2"/>
  <c r="U843" i="2"/>
  <c r="T843" i="2"/>
  <c r="S843" i="2"/>
  <c r="R843" i="2"/>
  <c r="Q843" i="2"/>
  <c r="P843" i="2"/>
  <c r="O843" i="2"/>
  <c r="N843" i="2"/>
  <c r="M843" i="2"/>
  <c r="L843" i="2"/>
  <c r="K843" i="2"/>
  <c r="J843" i="2"/>
  <c r="I843" i="2"/>
  <c r="H843" i="2"/>
  <c r="G843" i="2"/>
  <c r="F843" i="2"/>
  <c r="E843" i="2"/>
  <c r="D843" i="2"/>
  <c r="C843" i="2"/>
  <c r="B843" i="2"/>
  <c r="A843" i="2"/>
  <c r="AB842" i="2"/>
  <c r="AA842" i="2"/>
  <c r="Z842" i="2"/>
  <c r="Y842" i="2"/>
  <c r="X842" i="2"/>
  <c r="W842" i="2"/>
  <c r="V842" i="2"/>
  <c r="U842" i="2"/>
  <c r="T842" i="2"/>
  <c r="S842" i="2"/>
  <c r="R842" i="2"/>
  <c r="Q842" i="2"/>
  <c r="P842" i="2"/>
  <c r="O842" i="2"/>
  <c r="N842" i="2"/>
  <c r="M842" i="2"/>
  <c r="L842" i="2"/>
  <c r="K842" i="2"/>
  <c r="J842" i="2"/>
  <c r="I842" i="2"/>
  <c r="H842" i="2"/>
  <c r="G842" i="2"/>
  <c r="F842" i="2"/>
  <c r="E842" i="2"/>
  <c r="D842" i="2"/>
  <c r="C842" i="2"/>
  <c r="B842" i="2"/>
  <c r="A842" i="2"/>
  <c r="AB841" i="2"/>
  <c r="AA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B840" i="2"/>
  <c r="AA840" i="2"/>
  <c r="Z840" i="2"/>
  <c r="Y840" i="2"/>
  <c r="X840" i="2"/>
  <c r="W840" i="2"/>
  <c r="V840" i="2"/>
  <c r="U840" i="2"/>
  <c r="T840" i="2"/>
  <c r="S840" i="2"/>
  <c r="R840" i="2"/>
  <c r="Q840" i="2"/>
  <c r="P840" i="2"/>
  <c r="O840" i="2"/>
  <c r="N840" i="2"/>
  <c r="M840" i="2"/>
  <c r="L840" i="2"/>
  <c r="K840" i="2"/>
  <c r="J840" i="2"/>
  <c r="I840" i="2"/>
  <c r="H840" i="2"/>
  <c r="G840" i="2"/>
  <c r="F840" i="2"/>
  <c r="E840" i="2"/>
  <c r="D840" i="2"/>
  <c r="C840" i="2"/>
  <c r="B840" i="2"/>
  <c r="A840" i="2"/>
  <c r="AB839" i="2"/>
  <c r="AA839" i="2"/>
  <c r="Z839" i="2"/>
  <c r="Y839" i="2"/>
  <c r="X839" i="2"/>
  <c r="W839" i="2"/>
  <c r="V839" i="2"/>
  <c r="U839" i="2"/>
  <c r="T839" i="2"/>
  <c r="S839" i="2"/>
  <c r="R839" i="2"/>
  <c r="Q839" i="2"/>
  <c r="P839" i="2"/>
  <c r="O839" i="2"/>
  <c r="N839" i="2"/>
  <c r="M839" i="2"/>
  <c r="L839" i="2"/>
  <c r="K839" i="2"/>
  <c r="J839" i="2"/>
  <c r="I839" i="2"/>
  <c r="H839" i="2"/>
  <c r="G839" i="2"/>
  <c r="F839" i="2"/>
  <c r="E839" i="2"/>
  <c r="D839" i="2"/>
  <c r="C839" i="2"/>
  <c r="B839" i="2"/>
  <c r="A839" i="2"/>
  <c r="AB838" i="2"/>
  <c r="AA838" i="2"/>
  <c r="Z838" i="2"/>
  <c r="Y838" i="2"/>
  <c r="X838" i="2"/>
  <c r="W838" i="2"/>
  <c r="V838" i="2"/>
  <c r="U838" i="2"/>
  <c r="T838" i="2"/>
  <c r="S838" i="2"/>
  <c r="R838" i="2"/>
  <c r="Q838" i="2"/>
  <c r="P838" i="2"/>
  <c r="O838" i="2"/>
  <c r="N838" i="2"/>
  <c r="M838" i="2"/>
  <c r="L838" i="2"/>
  <c r="K838" i="2"/>
  <c r="J838" i="2"/>
  <c r="I838" i="2"/>
  <c r="H838" i="2"/>
  <c r="G838" i="2"/>
  <c r="F838" i="2"/>
  <c r="E838" i="2"/>
  <c r="D838" i="2"/>
  <c r="C838" i="2"/>
  <c r="B838" i="2"/>
  <c r="A838"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B836" i="2"/>
  <c r="AA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B835" i="2"/>
  <c r="AA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B834" i="2"/>
  <c r="AA834" i="2"/>
  <c r="Z834" i="2"/>
  <c r="Y834" i="2"/>
  <c r="X834" i="2"/>
  <c r="W834" i="2"/>
  <c r="V834" i="2"/>
  <c r="U834" i="2"/>
  <c r="T834" i="2"/>
  <c r="S834" i="2"/>
  <c r="R834" i="2"/>
  <c r="Q834" i="2"/>
  <c r="P834" i="2"/>
  <c r="O834" i="2"/>
  <c r="N834" i="2"/>
  <c r="M834" i="2"/>
  <c r="L834" i="2"/>
  <c r="K834" i="2"/>
  <c r="J834" i="2"/>
  <c r="I834" i="2"/>
  <c r="H834" i="2"/>
  <c r="G834" i="2"/>
  <c r="F834" i="2"/>
  <c r="E834" i="2"/>
  <c r="D834" i="2"/>
  <c r="C834" i="2"/>
  <c r="B834" i="2"/>
  <c r="A834" i="2"/>
  <c r="AB833" i="2"/>
  <c r="AA833" i="2"/>
  <c r="Z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B832" i="2"/>
  <c r="AA832" i="2"/>
  <c r="Z832" i="2"/>
  <c r="Y832" i="2"/>
  <c r="X832" i="2"/>
  <c r="W832" i="2"/>
  <c r="V832" i="2"/>
  <c r="U832" i="2"/>
  <c r="T832" i="2"/>
  <c r="S832" i="2"/>
  <c r="R832" i="2"/>
  <c r="Q832" i="2"/>
  <c r="P832" i="2"/>
  <c r="O832" i="2"/>
  <c r="N832" i="2"/>
  <c r="M832" i="2"/>
  <c r="L832" i="2"/>
  <c r="K832" i="2"/>
  <c r="J832" i="2"/>
  <c r="I832" i="2"/>
  <c r="H832" i="2"/>
  <c r="G832" i="2"/>
  <c r="F832" i="2"/>
  <c r="E832" i="2"/>
  <c r="D832" i="2"/>
  <c r="C832" i="2"/>
  <c r="B832" i="2"/>
  <c r="A832" i="2"/>
  <c r="AB831" i="2"/>
  <c r="AA831" i="2"/>
  <c r="Z831" i="2"/>
  <c r="Y831" i="2"/>
  <c r="X831" i="2"/>
  <c r="W831" i="2"/>
  <c r="V831" i="2"/>
  <c r="U831" i="2"/>
  <c r="T831" i="2"/>
  <c r="S831" i="2"/>
  <c r="R831" i="2"/>
  <c r="Q831" i="2"/>
  <c r="P831" i="2"/>
  <c r="O831" i="2"/>
  <c r="N831" i="2"/>
  <c r="M831" i="2"/>
  <c r="L831" i="2"/>
  <c r="K831" i="2"/>
  <c r="J831" i="2"/>
  <c r="I831" i="2"/>
  <c r="H831" i="2"/>
  <c r="G831" i="2"/>
  <c r="F831" i="2"/>
  <c r="E831" i="2"/>
  <c r="D831" i="2"/>
  <c r="C831" i="2"/>
  <c r="B831" i="2"/>
  <c r="A831" i="2"/>
  <c r="AB830" i="2"/>
  <c r="AA830" i="2"/>
  <c r="Z830" i="2"/>
  <c r="Y830" i="2"/>
  <c r="X830" i="2"/>
  <c r="W830" i="2"/>
  <c r="V830" i="2"/>
  <c r="U830" i="2"/>
  <c r="T830" i="2"/>
  <c r="S830" i="2"/>
  <c r="R830" i="2"/>
  <c r="Q830" i="2"/>
  <c r="P830" i="2"/>
  <c r="O830" i="2"/>
  <c r="N830" i="2"/>
  <c r="M830" i="2"/>
  <c r="L830" i="2"/>
  <c r="K830" i="2"/>
  <c r="J830" i="2"/>
  <c r="I830" i="2"/>
  <c r="H830" i="2"/>
  <c r="G830" i="2"/>
  <c r="F830" i="2"/>
  <c r="E830" i="2"/>
  <c r="D830" i="2"/>
  <c r="C830" i="2"/>
  <c r="B830" i="2"/>
  <c r="A830" i="2"/>
  <c r="AB829" i="2"/>
  <c r="AA829" i="2"/>
  <c r="Z829" i="2"/>
  <c r="Y829" i="2"/>
  <c r="X829" i="2"/>
  <c r="W829" i="2"/>
  <c r="V829" i="2"/>
  <c r="U829" i="2"/>
  <c r="T829" i="2"/>
  <c r="S829" i="2"/>
  <c r="R829" i="2"/>
  <c r="Q829" i="2"/>
  <c r="P829" i="2"/>
  <c r="O829" i="2"/>
  <c r="N829" i="2"/>
  <c r="M829" i="2"/>
  <c r="L829" i="2"/>
  <c r="K829" i="2"/>
  <c r="J829" i="2"/>
  <c r="I829" i="2"/>
  <c r="H829" i="2"/>
  <c r="G829" i="2"/>
  <c r="F829" i="2"/>
  <c r="E829" i="2"/>
  <c r="D829" i="2"/>
  <c r="C829" i="2"/>
  <c r="B829" i="2"/>
  <c r="A829" i="2"/>
  <c r="AB828" i="2"/>
  <c r="AA828" i="2"/>
  <c r="Z828" i="2"/>
  <c r="Y828" i="2"/>
  <c r="X828" i="2"/>
  <c r="W828" i="2"/>
  <c r="V828" i="2"/>
  <c r="U828" i="2"/>
  <c r="T828" i="2"/>
  <c r="S828" i="2"/>
  <c r="R828" i="2"/>
  <c r="Q828" i="2"/>
  <c r="P828" i="2"/>
  <c r="O828" i="2"/>
  <c r="N828" i="2"/>
  <c r="M828" i="2"/>
  <c r="L828" i="2"/>
  <c r="K828" i="2"/>
  <c r="J828" i="2"/>
  <c r="I828" i="2"/>
  <c r="H828" i="2"/>
  <c r="G828" i="2"/>
  <c r="F828" i="2"/>
  <c r="E828" i="2"/>
  <c r="D828" i="2"/>
  <c r="C828" i="2"/>
  <c r="B828" i="2"/>
  <c r="A828" i="2"/>
  <c r="AB827" i="2"/>
  <c r="AA827" i="2"/>
  <c r="Z827" i="2"/>
  <c r="Y827" i="2"/>
  <c r="X827" i="2"/>
  <c r="W827" i="2"/>
  <c r="V827" i="2"/>
  <c r="U827" i="2"/>
  <c r="T827" i="2"/>
  <c r="S827" i="2"/>
  <c r="R827" i="2"/>
  <c r="Q827" i="2"/>
  <c r="P827" i="2"/>
  <c r="O827" i="2"/>
  <c r="N827" i="2"/>
  <c r="M827" i="2"/>
  <c r="L827" i="2"/>
  <c r="K827" i="2"/>
  <c r="J827" i="2"/>
  <c r="I827" i="2"/>
  <c r="H827" i="2"/>
  <c r="G827" i="2"/>
  <c r="F827" i="2"/>
  <c r="E827" i="2"/>
  <c r="D827" i="2"/>
  <c r="C827" i="2"/>
  <c r="B827" i="2"/>
  <c r="A827" i="2"/>
  <c r="AB826" i="2"/>
  <c r="AA826" i="2"/>
  <c r="Z826" i="2"/>
  <c r="Y826" i="2"/>
  <c r="X826" i="2"/>
  <c r="W826" i="2"/>
  <c r="V826" i="2"/>
  <c r="U826" i="2"/>
  <c r="T826" i="2"/>
  <c r="S826" i="2"/>
  <c r="R826" i="2"/>
  <c r="Q826" i="2"/>
  <c r="P826" i="2"/>
  <c r="O826" i="2"/>
  <c r="N826" i="2"/>
  <c r="M826" i="2"/>
  <c r="L826" i="2"/>
  <c r="K826" i="2"/>
  <c r="J826" i="2"/>
  <c r="I826" i="2"/>
  <c r="H826" i="2"/>
  <c r="G826" i="2"/>
  <c r="F826" i="2"/>
  <c r="E826" i="2"/>
  <c r="D826" i="2"/>
  <c r="C826" i="2"/>
  <c r="B826" i="2"/>
  <c r="A826" i="2"/>
  <c r="AB825" i="2"/>
  <c r="AA825" i="2"/>
  <c r="Z825" i="2"/>
  <c r="Y825" i="2"/>
  <c r="X825" i="2"/>
  <c r="W825" i="2"/>
  <c r="V825" i="2"/>
  <c r="U825" i="2"/>
  <c r="T825" i="2"/>
  <c r="S825" i="2"/>
  <c r="R825" i="2"/>
  <c r="Q825" i="2"/>
  <c r="P825" i="2"/>
  <c r="O825" i="2"/>
  <c r="N825" i="2"/>
  <c r="M825" i="2"/>
  <c r="L825" i="2"/>
  <c r="K825" i="2"/>
  <c r="J825" i="2"/>
  <c r="I825" i="2"/>
  <c r="H825" i="2"/>
  <c r="G825" i="2"/>
  <c r="F825" i="2"/>
  <c r="E825" i="2"/>
  <c r="D825" i="2"/>
  <c r="C825" i="2"/>
  <c r="B825" i="2"/>
  <c r="A825" i="2"/>
  <c r="AB824" i="2"/>
  <c r="AA824" i="2"/>
  <c r="Z824" i="2"/>
  <c r="Y824" i="2"/>
  <c r="X824" i="2"/>
  <c r="W824" i="2"/>
  <c r="V824" i="2"/>
  <c r="U824" i="2"/>
  <c r="T824" i="2"/>
  <c r="S824" i="2"/>
  <c r="R824" i="2"/>
  <c r="Q824" i="2"/>
  <c r="P824" i="2"/>
  <c r="O824" i="2"/>
  <c r="N824" i="2"/>
  <c r="M824" i="2"/>
  <c r="L824" i="2"/>
  <c r="K824" i="2"/>
  <c r="J824" i="2"/>
  <c r="I824" i="2"/>
  <c r="H824" i="2"/>
  <c r="G824" i="2"/>
  <c r="F824" i="2"/>
  <c r="E824" i="2"/>
  <c r="D824" i="2"/>
  <c r="C824" i="2"/>
  <c r="B824" i="2"/>
  <c r="A824" i="2"/>
  <c r="AB823" i="2"/>
  <c r="AA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B822" i="2"/>
  <c r="AA822" i="2"/>
  <c r="Z822" i="2"/>
  <c r="Y822" i="2"/>
  <c r="X822" i="2"/>
  <c r="W822" i="2"/>
  <c r="V822" i="2"/>
  <c r="U822" i="2"/>
  <c r="T822" i="2"/>
  <c r="S822" i="2"/>
  <c r="R822" i="2"/>
  <c r="Q822" i="2"/>
  <c r="P822" i="2"/>
  <c r="O822" i="2"/>
  <c r="N822" i="2"/>
  <c r="M822" i="2"/>
  <c r="L822" i="2"/>
  <c r="K822" i="2"/>
  <c r="J822" i="2"/>
  <c r="I822" i="2"/>
  <c r="H822" i="2"/>
  <c r="G822" i="2"/>
  <c r="F822" i="2"/>
  <c r="E822" i="2"/>
  <c r="D822" i="2"/>
  <c r="C822" i="2"/>
  <c r="B822" i="2"/>
  <c r="A822" i="2"/>
  <c r="AB821" i="2"/>
  <c r="AA821" i="2"/>
  <c r="Z821" i="2"/>
  <c r="Y821" i="2"/>
  <c r="X821" i="2"/>
  <c r="W821" i="2"/>
  <c r="V821" i="2"/>
  <c r="U821" i="2"/>
  <c r="T821" i="2"/>
  <c r="S821" i="2"/>
  <c r="R821" i="2"/>
  <c r="Q821" i="2"/>
  <c r="P821" i="2"/>
  <c r="O821" i="2"/>
  <c r="N821" i="2"/>
  <c r="M821" i="2"/>
  <c r="L821" i="2"/>
  <c r="K821" i="2"/>
  <c r="J821" i="2"/>
  <c r="I821" i="2"/>
  <c r="H821" i="2"/>
  <c r="G821" i="2"/>
  <c r="F821" i="2"/>
  <c r="E821" i="2"/>
  <c r="D821" i="2"/>
  <c r="C821" i="2"/>
  <c r="B821" i="2"/>
  <c r="A821" i="2"/>
  <c r="AB820" i="2"/>
  <c r="AA820" i="2"/>
  <c r="Z820" i="2"/>
  <c r="Y820" i="2"/>
  <c r="X820" i="2"/>
  <c r="W820" i="2"/>
  <c r="V820" i="2"/>
  <c r="U820" i="2"/>
  <c r="T820" i="2"/>
  <c r="S820" i="2"/>
  <c r="R820" i="2"/>
  <c r="Q820" i="2"/>
  <c r="P820" i="2"/>
  <c r="O820" i="2"/>
  <c r="N820" i="2"/>
  <c r="M820" i="2"/>
  <c r="L820" i="2"/>
  <c r="K820" i="2"/>
  <c r="J820" i="2"/>
  <c r="I820" i="2"/>
  <c r="H820" i="2"/>
  <c r="G820" i="2"/>
  <c r="F820" i="2"/>
  <c r="E820" i="2"/>
  <c r="D820" i="2"/>
  <c r="C820" i="2"/>
  <c r="B820" i="2"/>
  <c r="A820"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B818" i="2"/>
  <c r="AA818" i="2"/>
  <c r="Z818" i="2"/>
  <c r="Y818" i="2"/>
  <c r="X818" i="2"/>
  <c r="W818" i="2"/>
  <c r="V818" i="2"/>
  <c r="U818" i="2"/>
  <c r="T818" i="2"/>
  <c r="S818" i="2"/>
  <c r="R818" i="2"/>
  <c r="Q818" i="2"/>
  <c r="P818" i="2"/>
  <c r="O818" i="2"/>
  <c r="N818" i="2"/>
  <c r="M818" i="2"/>
  <c r="L818" i="2"/>
  <c r="K818" i="2"/>
  <c r="J818" i="2"/>
  <c r="I818" i="2"/>
  <c r="H818" i="2"/>
  <c r="G818" i="2"/>
  <c r="F818" i="2"/>
  <c r="E818" i="2"/>
  <c r="D818" i="2"/>
  <c r="C818" i="2"/>
  <c r="B818" i="2"/>
  <c r="A818" i="2"/>
  <c r="AB817" i="2"/>
  <c r="AA817" i="2"/>
  <c r="Z817" i="2"/>
  <c r="Y817" i="2"/>
  <c r="X817" i="2"/>
  <c r="W817" i="2"/>
  <c r="V817" i="2"/>
  <c r="U817" i="2"/>
  <c r="T817" i="2"/>
  <c r="S817" i="2"/>
  <c r="R817" i="2"/>
  <c r="Q817" i="2"/>
  <c r="P817" i="2"/>
  <c r="O817" i="2"/>
  <c r="N817" i="2"/>
  <c r="M817" i="2"/>
  <c r="L817" i="2"/>
  <c r="K817" i="2"/>
  <c r="J817" i="2"/>
  <c r="I817" i="2"/>
  <c r="H817" i="2"/>
  <c r="G817" i="2"/>
  <c r="F817" i="2"/>
  <c r="E817" i="2"/>
  <c r="D817" i="2"/>
  <c r="C817" i="2"/>
  <c r="B817" i="2"/>
  <c r="A817" i="2"/>
  <c r="AB816" i="2"/>
  <c r="AA816" i="2"/>
  <c r="Z816" i="2"/>
  <c r="Y816" i="2"/>
  <c r="X816" i="2"/>
  <c r="W816" i="2"/>
  <c r="V816" i="2"/>
  <c r="U816" i="2"/>
  <c r="T816" i="2"/>
  <c r="S816" i="2"/>
  <c r="R816" i="2"/>
  <c r="Q816" i="2"/>
  <c r="P816" i="2"/>
  <c r="O816" i="2"/>
  <c r="N816" i="2"/>
  <c r="M816" i="2"/>
  <c r="L816" i="2"/>
  <c r="K816" i="2"/>
  <c r="J816" i="2"/>
  <c r="I816" i="2"/>
  <c r="H816" i="2"/>
  <c r="G816" i="2"/>
  <c r="F816" i="2"/>
  <c r="E816" i="2"/>
  <c r="D816" i="2"/>
  <c r="C816" i="2"/>
  <c r="B816" i="2"/>
  <c r="A816" i="2"/>
  <c r="AB815" i="2"/>
  <c r="AA815" i="2"/>
  <c r="Z815" i="2"/>
  <c r="Y815" i="2"/>
  <c r="X815" i="2"/>
  <c r="W815" i="2"/>
  <c r="V815" i="2"/>
  <c r="U815" i="2"/>
  <c r="T815" i="2"/>
  <c r="S815" i="2"/>
  <c r="R815" i="2"/>
  <c r="Q815" i="2"/>
  <c r="P815" i="2"/>
  <c r="O815" i="2"/>
  <c r="N815" i="2"/>
  <c r="M815" i="2"/>
  <c r="L815" i="2"/>
  <c r="K815" i="2"/>
  <c r="J815" i="2"/>
  <c r="I815" i="2"/>
  <c r="H815" i="2"/>
  <c r="G815" i="2"/>
  <c r="F815" i="2"/>
  <c r="E815" i="2"/>
  <c r="D815" i="2"/>
  <c r="C815" i="2"/>
  <c r="B815" i="2"/>
  <c r="A815" i="2"/>
  <c r="AB814" i="2"/>
  <c r="AA814" i="2"/>
  <c r="Z814" i="2"/>
  <c r="Y814" i="2"/>
  <c r="X814" i="2"/>
  <c r="W814" i="2"/>
  <c r="V814" i="2"/>
  <c r="U814" i="2"/>
  <c r="T814" i="2"/>
  <c r="S814" i="2"/>
  <c r="R814" i="2"/>
  <c r="Q814" i="2"/>
  <c r="P814" i="2"/>
  <c r="O814" i="2"/>
  <c r="N814" i="2"/>
  <c r="M814" i="2"/>
  <c r="L814" i="2"/>
  <c r="K814" i="2"/>
  <c r="J814" i="2"/>
  <c r="I814" i="2"/>
  <c r="H814" i="2"/>
  <c r="G814" i="2"/>
  <c r="F814" i="2"/>
  <c r="E814" i="2"/>
  <c r="D814" i="2"/>
  <c r="C814" i="2"/>
  <c r="B814" i="2"/>
  <c r="A814" i="2"/>
  <c r="AB813" i="2"/>
  <c r="AA813" i="2"/>
  <c r="Z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B812" i="2"/>
  <c r="AA812" i="2"/>
  <c r="Z812" i="2"/>
  <c r="Y812" i="2"/>
  <c r="X812" i="2"/>
  <c r="W812" i="2"/>
  <c r="V812" i="2"/>
  <c r="U812" i="2"/>
  <c r="T812" i="2"/>
  <c r="S812" i="2"/>
  <c r="R812" i="2"/>
  <c r="Q812" i="2"/>
  <c r="P812" i="2"/>
  <c r="O812" i="2"/>
  <c r="N812" i="2"/>
  <c r="M812" i="2"/>
  <c r="L812" i="2"/>
  <c r="K812" i="2"/>
  <c r="J812" i="2"/>
  <c r="I812" i="2"/>
  <c r="H812" i="2"/>
  <c r="G812" i="2"/>
  <c r="F812" i="2"/>
  <c r="E812" i="2"/>
  <c r="D812" i="2"/>
  <c r="C812" i="2"/>
  <c r="B812" i="2"/>
  <c r="A812" i="2"/>
  <c r="AB811" i="2"/>
  <c r="AA811" i="2"/>
  <c r="Z811" i="2"/>
  <c r="Y811" i="2"/>
  <c r="X811" i="2"/>
  <c r="W811" i="2"/>
  <c r="V811" i="2"/>
  <c r="U811" i="2"/>
  <c r="T811" i="2"/>
  <c r="S811" i="2"/>
  <c r="R811" i="2"/>
  <c r="Q811" i="2"/>
  <c r="P811" i="2"/>
  <c r="O811" i="2"/>
  <c r="N811" i="2"/>
  <c r="M811" i="2"/>
  <c r="L811" i="2"/>
  <c r="K811" i="2"/>
  <c r="J811" i="2"/>
  <c r="I811" i="2"/>
  <c r="H811" i="2"/>
  <c r="G811" i="2"/>
  <c r="F811" i="2"/>
  <c r="E811" i="2"/>
  <c r="D811" i="2"/>
  <c r="C811" i="2"/>
  <c r="B811" i="2"/>
  <c r="A811" i="2"/>
  <c r="AB810" i="2"/>
  <c r="AA810" i="2"/>
  <c r="Z810" i="2"/>
  <c r="Y810" i="2"/>
  <c r="X810" i="2"/>
  <c r="W810" i="2"/>
  <c r="V810" i="2"/>
  <c r="U810" i="2"/>
  <c r="T810" i="2"/>
  <c r="S810" i="2"/>
  <c r="R810" i="2"/>
  <c r="Q810" i="2"/>
  <c r="P810" i="2"/>
  <c r="O810" i="2"/>
  <c r="N810" i="2"/>
  <c r="M810" i="2"/>
  <c r="L810" i="2"/>
  <c r="K810" i="2"/>
  <c r="J810" i="2"/>
  <c r="I810" i="2"/>
  <c r="H810" i="2"/>
  <c r="G810" i="2"/>
  <c r="F810" i="2"/>
  <c r="E810" i="2"/>
  <c r="D810" i="2"/>
  <c r="C810" i="2"/>
  <c r="B810" i="2"/>
  <c r="A810" i="2"/>
  <c r="AB809" i="2"/>
  <c r="AA809" i="2"/>
  <c r="Z809" i="2"/>
  <c r="Y809" i="2"/>
  <c r="X809" i="2"/>
  <c r="W809" i="2"/>
  <c r="V809" i="2"/>
  <c r="U809" i="2"/>
  <c r="T809" i="2"/>
  <c r="S809" i="2"/>
  <c r="R809" i="2"/>
  <c r="Q809" i="2"/>
  <c r="P809" i="2"/>
  <c r="O809" i="2"/>
  <c r="N809" i="2"/>
  <c r="M809" i="2"/>
  <c r="L809" i="2"/>
  <c r="K809" i="2"/>
  <c r="J809" i="2"/>
  <c r="I809" i="2"/>
  <c r="H809" i="2"/>
  <c r="G809" i="2"/>
  <c r="F809" i="2"/>
  <c r="E809" i="2"/>
  <c r="D809" i="2"/>
  <c r="C809" i="2"/>
  <c r="B809" i="2"/>
  <c r="A809" i="2"/>
  <c r="AB808" i="2"/>
  <c r="AA808" i="2"/>
  <c r="Z808" i="2"/>
  <c r="Y808" i="2"/>
  <c r="X808" i="2"/>
  <c r="W808" i="2"/>
  <c r="V808" i="2"/>
  <c r="U808" i="2"/>
  <c r="T808" i="2"/>
  <c r="S808" i="2"/>
  <c r="R808" i="2"/>
  <c r="Q808" i="2"/>
  <c r="P808" i="2"/>
  <c r="O808" i="2"/>
  <c r="N808" i="2"/>
  <c r="M808" i="2"/>
  <c r="L808" i="2"/>
  <c r="K808" i="2"/>
  <c r="J808" i="2"/>
  <c r="I808" i="2"/>
  <c r="H808" i="2"/>
  <c r="G808" i="2"/>
  <c r="F808" i="2"/>
  <c r="E808" i="2"/>
  <c r="D808" i="2"/>
  <c r="C808" i="2"/>
  <c r="B808" i="2"/>
  <c r="A808" i="2"/>
  <c r="AB807" i="2"/>
  <c r="AA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B806" i="2"/>
  <c r="AA806" i="2"/>
  <c r="Z806" i="2"/>
  <c r="Y806" i="2"/>
  <c r="X806" i="2"/>
  <c r="W806" i="2"/>
  <c r="V806" i="2"/>
  <c r="U806" i="2"/>
  <c r="T806" i="2"/>
  <c r="S806" i="2"/>
  <c r="R806" i="2"/>
  <c r="Q806" i="2"/>
  <c r="P806" i="2"/>
  <c r="O806" i="2"/>
  <c r="N806" i="2"/>
  <c r="M806" i="2"/>
  <c r="L806" i="2"/>
  <c r="K806" i="2"/>
  <c r="J806" i="2"/>
  <c r="I806" i="2"/>
  <c r="H806" i="2"/>
  <c r="G806" i="2"/>
  <c r="F806" i="2"/>
  <c r="E806" i="2"/>
  <c r="D806" i="2"/>
  <c r="C806" i="2"/>
  <c r="B806" i="2"/>
  <c r="A806" i="2"/>
  <c r="AB805" i="2"/>
  <c r="AA805" i="2"/>
  <c r="Z805" i="2"/>
  <c r="Y805" i="2"/>
  <c r="X805" i="2"/>
  <c r="W805" i="2"/>
  <c r="V805" i="2"/>
  <c r="U805" i="2"/>
  <c r="T805" i="2"/>
  <c r="S805" i="2"/>
  <c r="R805" i="2"/>
  <c r="Q805" i="2"/>
  <c r="P805" i="2"/>
  <c r="O805" i="2"/>
  <c r="N805" i="2"/>
  <c r="M805" i="2"/>
  <c r="L805" i="2"/>
  <c r="K805" i="2"/>
  <c r="J805" i="2"/>
  <c r="I805" i="2"/>
  <c r="H805" i="2"/>
  <c r="G805" i="2"/>
  <c r="F805" i="2"/>
  <c r="E805" i="2"/>
  <c r="D805" i="2"/>
  <c r="C805" i="2"/>
  <c r="B805" i="2"/>
  <c r="A805" i="2"/>
  <c r="AB804" i="2"/>
  <c r="AA804" i="2"/>
  <c r="Z804" i="2"/>
  <c r="Y804" i="2"/>
  <c r="X804" i="2"/>
  <c r="W804" i="2"/>
  <c r="V804" i="2"/>
  <c r="U804" i="2"/>
  <c r="T804" i="2"/>
  <c r="S804" i="2"/>
  <c r="R804" i="2"/>
  <c r="Q804" i="2"/>
  <c r="P804" i="2"/>
  <c r="O804" i="2"/>
  <c r="N804" i="2"/>
  <c r="M804" i="2"/>
  <c r="L804" i="2"/>
  <c r="K804" i="2"/>
  <c r="J804" i="2"/>
  <c r="I804" i="2"/>
  <c r="H804" i="2"/>
  <c r="G804" i="2"/>
  <c r="F804" i="2"/>
  <c r="E804" i="2"/>
  <c r="D804" i="2"/>
  <c r="C804" i="2"/>
  <c r="B804" i="2"/>
  <c r="A804" i="2"/>
  <c r="AB803" i="2"/>
  <c r="AA803" i="2"/>
  <c r="Z803" i="2"/>
  <c r="Y803" i="2"/>
  <c r="X803" i="2"/>
  <c r="W803" i="2"/>
  <c r="V803" i="2"/>
  <c r="U803" i="2"/>
  <c r="T803" i="2"/>
  <c r="S803" i="2"/>
  <c r="R803" i="2"/>
  <c r="Q803" i="2"/>
  <c r="P803" i="2"/>
  <c r="O803" i="2"/>
  <c r="N803" i="2"/>
  <c r="M803" i="2"/>
  <c r="L803" i="2"/>
  <c r="K803" i="2"/>
  <c r="J803" i="2"/>
  <c r="I803" i="2"/>
  <c r="H803" i="2"/>
  <c r="G803" i="2"/>
  <c r="F803" i="2"/>
  <c r="E803" i="2"/>
  <c r="D803" i="2"/>
  <c r="C803" i="2"/>
  <c r="B803" i="2"/>
  <c r="A803" i="2"/>
  <c r="AB802" i="2"/>
  <c r="AA802" i="2"/>
  <c r="Z802" i="2"/>
  <c r="Y802" i="2"/>
  <c r="X802" i="2"/>
  <c r="W802" i="2"/>
  <c r="V802" i="2"/>
  <c r="U802" i="2"/>
  <c r="T802" i="2"/>
  <c r="S802" i="2"/>
  <c r="R802" i="2"/>
  <c r="Q802" i="2"/>
  <c r="P802" i="2"/>
  <c r="O802" i="2"/>
  <c r="N802" i="2"/>
  <c r="M802" i="2"/>
  <c r="L802" i="2"/>
  <c r="K802" i="2"/>
  <c r="J802" i="2"/>
  <c r="I802" i="2"/>
  <c r="H802" i="2"/>
  <c r="G802" i="2"/>
  <c r="F802" i="2"/>
  <c r="E802" i="2"/>
  <c r="D802" i="2"/>
  <c r="C802" i="2"/>
  <c r="B802" i="2"/>
  <c r="A802" i="2"/>
  <c r="AB801" i="2"/>
  <c r="AA801" i="2"/>
  <c r="Z801" i="2"/>
  <c r="Y801" i="2"/>
  <c r="X801" i="2"/>
  <c r="W801" i="2"/>
  <c r="V801" i="2"/>
  <c r="U801" i="2"/>
  <c r="T801" i="2"/>
  <c r="S801" i="2"/>
  <c r="R801" i="2"/>
  <c r="Q801" i="2"/>
  <c r="P801" i="2"/>
  <c r="O801" i="2"/>
  <c r="N801" i="2"/>
  <c r="M801" i="2"/>
  <c r="L801" i="2"/>
  <c r="K801" i="2"/>
  <c r="J801" i="2"/>
  <c r="I801" i="2"/>
  <c r="H801" i="2"/>
  <c r="G801" i="2"/>
  <c r="F801" i="2"/>
  <c r="E801" i="2"/>
  <c r="D801" i="2"/>
  <c r="C801" i="2"/>
  <c r="B801" i="2"/>
  <c r="A801" i="2"/>
  <c r="AB800" i="2"/>
  <c r="AA800" i="2"/>
  <c r="Z800" i="2"/>
  <c r="Y800" i="2"/>
  <c r="X800" i="2"/>
  <c r="W800" i="2"/>
  <c r="V800" i="2"/>
  <c r="U800" i="2"/>
  <c r="T800" i="2"/>
  <c r="S800" i="2"/>
  <c r="R800" i="2"/>
  <c r="Q800" i="2"/>
  <c r="P800" i="2"/>
  <c r="O800" i="2"/>
  <c r="N800" i="2"/>
  <c r="M800" i="2"/>
  <c r="L800" i="2"/>
  <c r="K800" i="2"/>
  <c r="J800" i="2"/>
  <c r="I800" i="2"/>
  <c r="H800" i="2"/>
  <c r="G800" i="2"/>
  <c r="F800" i="2"/>
  <c r="E800" i="2"/>
  <c r="D800" i="2"/>
  <c r="C800" i="2"/>
  <c r="B800" i="2"/>
  <c r="A800" i="2"/>
  <c r="AB799" i="2"/>
  <c r="AA799" i="2"/>
  <c r="Z799" i="2"/>
  <c r="Y799" i="2"/>
  <c r="X799" i="2"/>
  <c r="W799" i="2"/>
  <c r="V799" i="2"/>
  <c r="U799" i="2"/>
  <c r="T799" i="2"/>
  <c r="S799" i="2"/>
  <c r="R799" i="2"/>
  <c r="Q799" i="2"/>
  <c r="P799" i="2"/>
  <c r="O799" i="2"/>
  <c r="N799" i="2"/>
  <c r="M799" i="2"/>
  <c r="L799" i="2"/>
  <c r="K799" i="2"/>
  <c r="J799" i="2"/>
  <c r="I799" i="2"/>
  <c r="H799" i="2"/>
  <c r="G799" i="2"/>
  <c r="F799" i="2"/>
  <c r="E799" i="2"/>
  <c r="D799" i="2"/>
  <c r="C799" i="2"/>
  <c r="B799" i="2"/>
  <c r="A799" i="2"/>
  <c r="AB798" i="2"/>
  <c r="AA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B797" i="2"/>
  <c r="AA797" i="2"/>
  <c r="Z797" i="2"/>
  <c r="Y797" i="2"/>
  <c r="X797" i="2"/>
  <c r="W797" i="2"/>
  <c r="V797" i="2"/>
  <c r="U797" i="2"/>
  <c r="T797" i="2"/>
  <c r="S797" i="2"/>
  <c r="R797" i="2"/>
  <c r="Q797" i="2"/>
  <c r="P797" i="2"/>
  <c r="O797" i="2"/>
  <c r="N797" i="2"/>
  <c r="M797" i="2"/>
  <c r="L797" i="2"/>
  <c r="K797" i="2"/>
  <c r="J797" i="2"/>
  <c r="I797" i="2"/>
  <c r="H797" i="2"/>
  <c r="G797" i="2"/>
  <c r="F797" i="2"/>
  <c r="E797" i="2"/>
  <c r="D797" i="2"/>
  <c r="C797" i="2"/>
  <c r="B797" i="2"/>
  <c r="A797" i="2"/>
  <c r="AB796" i="2"/>
  <c r="AA796" i="2"/>
  <c r="Z796" i="2"/>
  <c r="Y796" i="2"/>
  <c r="X796" i="2"/>
  <c r="W796" i="2"/>
  <c r="V796" i="2"/>
  <c r="U796" i="2"/>
  <c r="T796" i="2"/>
  <c r="S796" i="2"/>
  <c r="R796" i="2"/>
  <c r="Q796" i="2"/>
  <c r="P796" i="2"/>
  <c r="O796" i="2"/>
  <c r="N796" i="2"/>
  <c r="M796" i="2"/>
  <c r="L796" i="2"/>
  <c r="K796" i="2"/>
  <c r="J796" i="2"/>
  <c r="I796" i="2"/>
  <c r="H796" i="2"/>
  <c r="G796" i="2"/>
  <c r="F796" i="2"/>
  <c r="E796" i="2"/>
  <c r="D796" i="2"/>
  <c r="C796" i="2"/>
  <c r="B796" i="2"/>
  <c r="A796" i="2"/>
  <c r="AB795" i="2"/>
  <c r="AA795" i="2"/>
  <c r="Z795" i="2"/>
  <c r="Y795" i="2"/>
  <c r="X795" i="2"/>
  <c r="W795" i="2"/>
  <c r="V795" i="2"/>
  <c r="U795" i="2"/>
  <c r="T795" i="2"/>
  <c r="S795" i="2"/>
  <c r="R795" i="2"/>
  <c r="Q795" i="2"/>
  <c r="P795" i="2"/>
  <c r="O795" i="2"/>
  <c r="N795" i="2"/>
  <c r="M795" i="2"/>
  <c r="L795" i="2"/>
  <c r="K795" i="2"/>
  <c r="J795" i="2"/>
  <c r="I795" i="2"/>
  <c r="H795" i="2"/>
  <c r="G795" i="2"/>
  <c r="F795" i="2"/>
  <c r="E795" i="2"/>
  <c r="D795" i="2"/>
  <c r="C795" i="2"/>
  <c r="B795" i="2"/>
  <c r="A795" i="2"/>
  <c r="AB794" i="2"/>
  <c r="AA794" i="2"/>
  <c r="Z794" i="2"/>
  <c r="Y794" i="2"/>
  <c r="X794" i="2"/>
  <c r="W794" i="2"/>
  <c r="V794" i="2"/>
  <c r="U794" i="2"/>
  <c r="T794" i="2"/>
  <c r="S794" i="2"/>
  <c r="R794" i="2"/>
  <c r="Q794" i="2"/>
  <c r="P794" i="2"/>
  <c r="O794" i="2"/>
  <c r="N794" i="2"/>
  <c r="M794" i="2"/>
  <c r="L794" i="2"/>
  <c r="K794" i="2"/>
  <c r="J794" i="2"/>
  <c r="I794" i="2"/>
  <c r="H794" i="2"/>
  <c r="G794" i="2"/>
  <c r="F794" i="2"/>
  <c r="E794" i="2"/>
  <c r="D794" i="2"/>
  <c r="C794" i="2"/>
  <c r="B794" i="2"/>
  <c r="A794" i="2"/>
  <c r="AB793" i="2"/>
  <c r="AA793" i="2"/>
  <c r="Z793" i="2"/>
  <c r="Y793" i="2"/>
  <c r="X793" i="2"/>
  <c r="W793" i="2"/>
  <c r="V793" i="2"/>
  <c r="U793" i="2"/>
  <c r="T793" i="2"/>
  <c r="S793" i="2"/>
  <c r="R793" i="2"/>
  <c r="Q793" i="2"/>
  <c r="P793" i="2"/>
  <c r="O793" i="2"/>
  <c r="N793" i="2"/>
  <c r="M793" i="2"/>
  <c r="L793" i="2"/>
  <c r="K793" i="2"/>
  <c r="J793" i="2"/>
  <c r="I793" i="2"/>
  <c r="H793" i="2"/>
  <c r="G793" i="2"/>
  <c r="F793" i="2"/>
  <c r="E793" i="2"/>
  <c r="D793" i="2"/>
  <c r="C793" i="2"/>
  <c r="B793" i="2"/>
  <c r="A793" i="2"/>
  <c r="AB792" i="2"/>
  <c r="AA792" i="2"/>
  <c r="Z792" i="2"/>
  <c r="Y792" i="2"/>
  <c r="X792" i="2"/>
  <c r="W792" i="2"/>
  <c r="V792" i="2"/>
  <c r="U792" i="2"/>
  <c r="T792" i="2"/>
  <c r="S792" i="2"/>
  <c r="R792" i="2"/>
  <c r="Q792" i="2"/>
  <c r="P792" i="2"/>
  <c r="O792" i="2"/>
  <c r="N792" i="2"/>
  <c r="M792" i="2"/>
  <c r="L792" i="2"/>
  <c r="K792" i="2"/>
  <c r="J792" i="2"/>
  <c r="I792" i="2"/>
  <c r="H792" i="2"/>
  <c r="G792" i="2"/>
  <c r="F792" i="2"/>
  <c r="E792" i="2"/>
  <c r="D792" i="2"/>
  <c r="C792" i="2"/>
  <c r="B792" i="2"/>
  <c r="A792" i="2"/>
  <c r="AB791" i="2"/>
  <c r="AA791" i="2"/>
  <c r="Z791" i="2"/>
  <c r="Y791" i="2"/>
  <c r="X791" i="2"/>
  <c r="W791" i="2"/>
  <c r="V791" i="2"/>
  <c r="U791" i="2"/>
  <c r="T791" i="2"/>
  <c r="S791" i="2"/>
  <c r="R791" i="2"/>
  <c r="Q791" i="2"/>
  <c r="P791" i="2"/>
  <c r="O791" i="2"/>
  <c r="N791" i="2"/>
  <c r="M791" i="2"/>
  <c r="L791" i="2"/>
  <c r="K791" i="2"/>
  <c r="J791" i="2"/>
  <c r="I791" i="2"/>
  <c r="H791" i="2"/>
  <c r="G791" i="2"/>
  <c r="F791" i="2"/>
  <c r="E791" i="2"/>
  <c r="D791" i="2"/>
  <c r="C791" i="2"/>
  <c r="B791" i="2"/>
  <c r="A791" i="2"/>
  <c r="AB790" i="2"/>
  <c r="AA790" i="2"/>
  <c r="Z790" i="2"/>
  <c r="Y790" i="2"/>
  <c r="X790" i="2"/>
  <c r="W790" i="2"/>
  <c r="V790" i="2"/>
  <c r="U790" i="2"/>
  <c r="T790" i="2"/>
  <c r="S790" i="2"/>
  <c r="R790" i="2"/>
  <c r="Q790" i="2"/>
  <c r="P790" i="2"/>
  <c r="O790" i="2"/>
  <c r="N790" i="2"/>
  <c r="M790" i="2"/>
  <c r="L790" i="2"/>
  <c r="K790" i="2"/>
  <c r="J790" i="2"/>
  <c r="I790" i="2"/>
  <c r="H790" i="2"/>
  <c r="G790" i="2"/>
  <c r="F790" i="2"/>
  <c r="E790" i="2"/>
  <c r="D790" i="2"/>
  <c r="C790" i="2"/>
  <c r="B790" i="2"/>
  <c r="A790" i="2"/>
  <c r="AB789" i="2"/>
  <c r="AA789" i="2"/>
  <c r="Z789" i="2"/>
  <c r="Y789" i="2"/>
  <c r="X789" i="2"/>
  <c r="W789" i="2"/>
  <c r="V789" i="2"/>
  <c r="U789" i="2"/>
  <c r="T789" i="2"/>
  <c r="S789" i="2"/>
  <c r="R789" i="2"/>
  <c r="Q789" i="2"/>
  <c r="P789" i="2"/>
  <c r="O789" i="2"/>
  <c r="N789" i="2"/>
  <c r="M789" i="2"/>
  <c r="L789" i="2"/>
  <c r="K789" i="2"/>
  <c r="J789" i="2"/>
  <c r="I789" i="2"/>
  <c r="H789" i="2"/>
  <c r="G789" i="2"/>
  <c r="F789" i="2"/>
  <c r="E789" i="2"/>
  <c r="D789" i="2"/>
  <c r="C789" i="2"/>
  <c r="B789" i="2"/>
  <c r="A789" i="2"/>
  <c r="AB788" i="2"/>
  <c r="AA788" i="2"/>
  <c r="Z788" i="2"/>
  <c r="Y788" i="2"/>
  <c r="X788" i="2"/>
  <c r="W788" i="2"/>
  <c r="V788" i="2"/>
  <c r="U788" i="2"/>
  <c r="T788" i="2"/>
  <c r="S788" i="2"/>
  <c r="R788" i="2"/>
  <c r="Q788" i="2"/>
  <c r="P788" i="2"/>
  <c r="O788" i="2"/>
  <c r="N788" i="2"/>
  <c r="M788" i="2"/>
  <c r="L788" i="2"/>
  <c r="K788" i="2"/>
  <c r="J788" i="2"/>
  <c r="I788" i="2"/>
  <c r="H788" i="2"/>
  <c r="G788" i="2"/>
  <c r="F788" i="2"/>
  <c r="E788" i="2"/>
  <c r="D788" i="2"/>
  <c r="C788" i="2"/>
  <c r="B788" i="2"/>
  <c r="A788" i="2"/>
  <c r="AB787" i="2"/>
  <c r="AA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B786" i="2"/>
  <c r="AA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B785" i="2"/>
  <c r="AA785" i="2"/>
  <c r="Z785" i="2"/>
  <c r="Y785" i="2"/>
  <c r="X785" i="2"/>
  <c r="W785" i="2"/>
  <c r="V785" i="2"/>
  <c r="U785" i="2"/>
  <c r="T785" i="2"/>
  <c r="S785" i="2"/>
  <c r="R785" i="2"/>
  <c r="Q785" i="2"/>
  <c r="P785" i="2"/>
  <c r="O785" i="2"/>
  <c r="N785" i="2"/>
  <c r="M785" i="2"/>
  <c r="L785" i="2"/>
  <c r="K785" i="2"/>
  <c r="J785" i="2"/>
  <c r="I785" i="2"/>
  <c r="H785" i="2"/>
  <c r="G785" i="2"/>
  <c r="F785" i="2"/>
  <c r="E785" i="2"/>
  <c r="D785" i="2"/>
  <c r="C785" i="2"/>
  <c r="B785" i="2"/>
  <c r="A785" i="2"/>
  <c r="AB784" i="2"/>
  <c r="AA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B783" i="2"/>
  <c r="AA783" i="2"/>
  <c r="Z783" i="2"/>
  <c r="Y783" i="2"/>
  <c r="X783" i="2"/>
  <c r="W783" i="2"/>
  <c r="V783" i="2"/>
  <c r="U783" i="2"/>
  <c r="T783" i="2"/>
  <c r="S783" i="2"/>
  <c r="R783" i="2"/>
  <c r="Q783" i="2"/>
  <c r="P783" i="2"/>
  <c r="O783" i="2"/>
  <c r="N783" i="2"/>
  <c r="M783" i="2"/>
  <c r="L783" i="2"/>
  <c r="K783" i="2"/>
  <c r="J783" i="2"/>
  <c r="I783" i="2"/>
  <c r="H783" i="2"/>
  <c r="G783" i="2"/>
  <c r="F783" i="2"/>
  <c r="E783" i="2"/>
  <c r="D783" i="2"/>
  <c r="C783" i="2"/>
  <c r="B783" i="2"/>
  <c r="A783" i="2"/>
  <c r="AB782" i="2"/>
  <c r="AA782" i="2"/>
  <c r="Z782" i="2"/>
  <c r="Y782" i="2"/>
  <c r="X782" i="2"/>
  <c r="W782" i="2"/>
  <c r="V782" i="2"/>
  <c r="U782" i="2"/>
  <c r="T782" i="2"/>
  <c r="S782" i="2"/>
  <c r="R782" i="2"/>
  <c r="Q782" i="2"/>
  <c r="P782" i="2"/>
  <c r="O782" i="2"/>
  <c r="N782" i="2"/>
  <c r="M782" i="2"/>
  <c r="L782" i="2"/>
  <c r="K782" i="2"/>
  <c r="J782" i="2"/>
  <c r="I782" i="2"/>
  <c r="H782" i="2"/>
  <c r="G782" i="2"/>
  <c r="F782" i="2"/>
  <c r="E782" i="2"/>
  <c r="D782" i="2"/>
  <c r="C782" i="2"/>
  <c r="B782" i="2"/>
  <c r="A782" i="2"/>
  <c r="AB781" i="2"/>
  <c r="AA781" i="2"/>
  <c r="Z781" i="2"/>
  <c r="Y781" i="2"/>
  <c r="X781" i="2"/>
  <c r="W781" i="2"/>
  <c r="V781" i="2"/>
  <c r="U781" i="2"/>
  <c r="T781" i="2"/>
  <c r="S781" i="2"/>
  <c r="R781" i="2"/>
  <c r="Q781" i="2"/>
  <c r="P781" i="2"/>
  <c r="O781" i="2"/>
  <c r="N781" i="2"/>
  <c r="M781" i="2"/>
  <c r="L781" i="2"/>
  <c r="K781" i="2"/>
  <c r="J781" i="2"/>
  <c r="I781" i="2"/>
  <c r="H781" i="2"/>
  <c r="G781" i="2"/>
  <c r="F781" i="2"/>
  <c r="E781" i="2"/>
  <c r="D781" i="2"/>
  <c r="C781" i="2"/>
  <c r="B781" i="2"/>
  <c r="A781" i="2"/>
  <c r="AB780" i="2"/>
  <c r="AA780" i="2"/>
  <c r="Z780" i="2"/>
  <c r="Y780" i="2"/>
  <c r="X780" i="2"/>
  <c r="W780" i="2"/>
  <c r="V780" i="2"/>
  <c r="U780" i="2"/>
  <c r="T780" i="2"/>
  <c r="S780" i="2"/>
  <c r="R780" i="2"/>
  <c r="Q780" i="2"/>
  <c r="P780" i="2"/>
  <c r="O780" i="2"/>
  <c r="N780" i="2"/>
  <c r="M780" i="2"/>
  <c r="L780" i="2"/>
  <c r="K780" i="2"/>
  <c r="J780" i="2"/>
  <c r="I780" i="2"/>
  <c r="H780" i="2"/>
  <c r="G780" i="2"/>
  <c r="F780" i="2"/>
  <c r="E780" i="2"/>
  <c r="D780" i="2"/>
  <c r="C780" i="2"/>
  <c r="B780" i="2"/>
  <c r="A780" i="2"/>
  <c r="AB779" i="2"/>
  <c r="AA779" i="2"/>
  <c r="Z779" i="2"/>
  <c r="Y779" i="2"/>
  <c r="X779" i="2"/>
  <c r="W779" i="2"/>
  <c r="V779" i="2"/>
  <c r="U779" i="2"/>
  <c r="T779" i="2"/>
  <c r="S779" i="2"/>
  <c r="R779" i="2"/>
  <c r="Q779" i="2"/>
  <c r="P779" i="2"/>
  <c r="O779" i="2"/>
  <c r="N779" i="2"/>
  <c r="M779" i="2"/>
  <c r="L779" i="2"/>
  <c r="K779" i="2"/>
  <c r="J779" i="2"/>
  <c r="I779" i="2"/>
  <c r="H779" i="2"/>
  <c r="G779" i="2"/>
  <c r="F779" i="2"/>
  <c r="E779" i="2"/>
  <c r="D779" i="2"/>
  <c r="C779" i="2"/>
  <c r="B779" i="2"/>
  <c r="A779" i="2"/>
  <c r="AB778" i="2"/>
  <c r="AA778" i="2"/>
  <c r="Z778" i="2"/>
  <c r="Y778" i="2"/>
  <c r="X778" i="2"/>
  <c r="W778" i="2"/>
  <c r="V778" i="2"/>
  <c r="U778" i="2"/>
  <c r="T778" i="2"/>
  <c r="S778" i="2"/>
  <c r="R778" i="2"/>
  <c r="Q778" i="2"/>
  <c r="P778" i="2"/>
  <c r="O778" i="2"/>
  <c r="N778" i="2"/>
  <c r="M778" i="2"/>
  <c r="L778" i="2"/>
  <c r="K778" i="2"/>
  <c r="J778" i="2"/>
  <c r="I778" i="2"/>
  <c r="H778" i="2"/>
  <c r="G778" i="2"/>
  <c r="F778" i="2"/>
  <c r="E778" i="2"/>
  <c r="D778" i="2"/>
  <c r="C778" i="2"/>
  <c r="B778" i="2"/>
  <c r="A778" i="2"/>
  <c r="AB777" i="2"/>
  <c r="AA777" i="2"/>
  <c r="Z777" i="2"/>
  <c r="Y777" i="2"/>
  <c r="X777" i="2"/>
  <c r="W777" i="2"/>
  <c r="V777" i="2"/>
  <c r="U777" i="2"/>
  <c r="T777" i="2"/>
  <c r="S777" i="2"/>
  <c r="R777" i="2"/>
  <c r="Q777" i="2"/>
  <c r="P777" i="2"/>
  <c r="O777" i="2"/>
  <c r="N777" i="2"/>
  <c r="M777" i="2"/>
  <c r="L777" i="2"/>
  <c r="K777" i="2"/>
  <c r="J777" i="2"/>
  <c r="I777" i="2"/>
  <c r="H777" i="2"/>
  <c r="G777" i="2"/>
  <c r="F777" i="2"/>
  <c r="E777" i="2"/>
  <c r="D777" i="2"/>
  <c r="C777" i="2"/>
  <c r="B777" i="2"/>
  <c r="A777" i="2"/>
  <c r="AB776" i="2"/>
  <c r="AA776" i="2"/>
  <c r="Z776" i="2"/>
  <c r="Y776" i="2"/>
  <c r="X776" i="2"/>
  <c r="W776" i="2"/>
  <c r="V776" i="2"/>
  <c r="U776" i="2"/>
  <c r="T776" i="2"/>
  <c r="S776" i="2"/>
  <c r="R776" i="2"/>
  <c r="Q776" i="2"/>
  <c r="P776" i="2"/>
  <c r="O776" i="2"/>
  <c r="N776" i="2"/>
  <c r="M776" i="2"/>
  <c r="L776" i="2"/>
  <c r="K776" i="2"/>
  <c r="J776" i="2"/>
  <c r="I776" i="2"/>
  <c r="H776" i="2"/>
  <c r="G776" i="2"/>
  <c r="F776" i="2"/>
  <c r="E776" i="2"/>
  <c r="D776" i="2"/>
  <c r="C776" i="2"/>
  <c r="B776" i="2"/>
  <c r="A776" i="2"/>
  <c r="AB775" i="2"/>
  <c r="AA775" i="2"/>
  <c r="Z775" i="2"/>
  <c r="Y775" i="2"/>
  <c r="X775" i="2"/>
  <c r="W775" i="2"/>
  <c r="V775" i="2"/>
  <c r="U775" i="2"/>
  <c r="T775" i="2"/>
  <c r="S775" i="2"/>
  <c r="R775" i="2"/>
  <c r="Q775" i="2"/>
  <c r="P775" i="2"/>
  <c r="O775" i="2"/>
  <c r="N775" i="2"/>
  <c r="M775" i="2"/>
  <c r="L775" i="2"/>
  <c r="K775" i="2"/>
  <c r="J775" i="2"/>
  <c r="I775" i="2"/>
  <c r="H775" i="2"/>
  <c r="G775" i="2"/>
  <c r="F775" i="2"/>
  <c r="E775" i="2"/>
  <c r="D775" i="2"/>
  <c r="C775" i="2"/>
  <c r="B775" i="2"/>
  <c r="A775" i="2"/>
  <c r="AB774" i="2"/>
  <c r="AA774" i="2"/>
  <c r="Z774" i="2"/>
  <c r="Y774" i="2"/>
  <c r="X774" i="2"/>
  <c r="W774" i="2"/>
  <c r="V774" i="2"/>
  <c r="U774" i="2"/>
  <c r="T774" i="2"/>
  <c r="S774" i="2"/>
  <c r="R774" i="2"/>
  <c r="Q774" i="2"/>
  <c r="P774" i="2"/>
  <c r="O774" i="2"/>
  <c r="N774" i="2"/>
  <c r="M774" i="2"/>
  <c r="L774" i="2"/>
  <c r="K774" i="2"/>
  <c r="J774" i="2"/>
  <c r="I774" i="2"/>
  <c r="H774" i="2"/>
  <c r="G774" i="2"/>
  <c r="F774" i="2"/>
  <c r="E774" i="2"/>
  <c r="D774" i="2"/>
  <c r="C774" i="2"/>
  <c r="B774" i="2"/>
  <c r="A774" i="2"/>
  <c r="AB773" i="2"/>
  <c r="AA773" i="2"/>
  <c r="Z773" i="2"/>
  <c r="Y773" i="2"/>
  <c r="X773" i="2"/>
  <c r="W773" i="2"/>
  <c r="V773" i="2"/>
  <c r="U773" i="2"/>
  <c r="T773" i="2"/>
  <c r="S773" i="2"/>
  <c r="R773" i="2"/>
  <c r="Q773" i="2"/>
  <c r="P773" i="2"/>
  <c r="O773" i="2"/>
  <c r="N773" i="2"/>
  <c r="M773" i="2"/>
  <c r="L773" i="2"/>
  <c r="K773" i="2"/>
  <c r="J773" i="2"/>
  <c r="I773" i="2"/>
  <c r="H773" i="2"/>
  <c r="G773" i="2"/>
  <c r="F773" i="2"/>
  <c r="E773" i="2"/>
  <c r="D773" i="2"/>
  <c r="C773" i="2"/>
  <c r="B773" i="2"/>
  <c r="A773" i="2"/>
  <c r="AB772" i="2"/>
  <c r="AA772" i="2"/>
  <c r="Z772" i="2"/>
  <c r="Y772" i="2"/>
  <c r="X772" i="2"/>
  <c r="W772" i="2"/>
  <c r="V772" i="2"/>
  <c r="U772" i="2"/>
  <c r="T772" i="2"/>
  <c r="S772" i="2"/>
  <c r="R772" i="2"/>
  <c r="Q772" i="2"/>
  <c r="P772" i="2"/>
  <c r="O772" i="2"/>
  <c r="N772" i="2"/>
  <c r="M772" i="2"/>
  <c r="L772" i="2"/>
  <c r="K772" i="2"/>
  <c r="J772" i="2"/>
  <c r="I772" i="2"/>
  <c r="H772" i="2"/>
  <c r="G772" i="2"/>
  <c r="F772" i="2"/>
  <c r="E772" i="2"/>
  <c r="D772" i="2"/>
  <c r="C772" i="2"/>
  <c r="B772" i="2"/>
  <c r="A772" i="2"/>
  <c r="AB771" i="2"/>
  <c r="AA771" i="2"/>
  <c r="Z771" i="2"/>
  <c r="Y771" i="2"/>
  <c r="X771" i="2"/>
  <c r="W771" i="2"/>
  <c r="V771" i="2"/>
  <c r="U771" i="2"/>
  <c r="T771" i="2"/>
  <c r="S771" i="2"/>
  <c r="R771" i="2"/>
  <c r="Q771" i="2"/>
  <c r="P771" i="2"/>
  <c r="O771" i="2"/>
  <c r="N771" i="2"/>
  <c r="M771" i="2"/>
  <c r="L771" i="2"/>
  <c r="K771" i="2"/>
  <c r="J771" i="2"/>
  <c r="I771" i="2"/>
  <c r="H771" i="2"/>
  <c r="G771" i="2"/>
  <c r="F771" i="2"/>
  <c r="E771" i="2"/>
  <c r="D771" i="2"/>
  <c r="C771" i="2"/>
  <c r="B771" i="2"/>
  <c r="A771" i="2"/>
  <c r="AB770" i="2"/>
  <c r="AA770" i="2"/>
  <c r="Z770" i="2"/>
  <c r="Y770" i="2"/>
  <c r="X770" i="2"/>
  <c r="W770" i="2"/>
  <c r="V770" i="2"/>
  <c r="U770" i="2"/>
  <c r="T770" i="2"/>
  <c r="S770" i="2"/>
  <c r="R770" i="2"/>
  <c r="Q770" i="2"/>
  <c r="P770" i="2"/>
  <c r="O770" i="2"/>
  <c r="N770" i="2"/>
  <c r="M770" i="2"/>
  <c r="L770" i="2"/>
  <c r="K770" i="2"/>
  <c r="J770" i="2"/>
  <c r="I770" i="2"/>
  <c r="H770" i="2"/>
  <c r="G770" i="2"/>
  <c r="F770" i="2"/>
  <c r="E770" i="2"/>
  <c r="D770" i="2"/>
  <c r="C770" i="2"/>
  <c r="B770" i="2"/>
  <c r="A770" i="2"/>
  <c r="AB769" i="2"/>
  <c r="AA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B768" i="2"/>
  <c r="AA768" i="2"/>
  <c r="Z768" i="2"/>
  <c r="Y768" i="2"/>
  <c r="X768" i="2"/>
  <c r="W768" i="2"/>
  <c r="V768" i="2"/>
  <c r="U768" i="2"/>
  <c r="T768" i="2"/>
  <c r="S768" i="2"/>
  <c r="R768" i="2"/>
  <c r="Q768" i="2"/>
  <c r="P768" i="2"/>
  <c r="O768" i="2"/>
  <c r="N768" i="2"/>
  <c r="M768" i="2"/>
  <c r="L768" i="2"/>
  <c r="K768" i="2"/>
  <c r="J768" i="2"/>
  <c r="I768" i="2"/>
  <c r="H768" i="2"/>
  <c r="G768" i="2"/>
  <c r="F768" i="2"/>
  <c r="E768" i="2"/>
  <c r="D768" i="2"/>
  <c r="C768" i="2"/>
  <c r="B768" i="2"/>
  <c r="A768" i="2"/>
  <c r="AB767" i="2"/>
  <c r="AA767" i="2"/>
  <c r="Z767" i="2"/>
  <c r="Y767" i="2"/>
  <c r="X767" i="2"/>
  <c r="W767" i="2"/>
  <c r="V767" i="2"/>
  <c r="U767" i="2"/>
  <c r="T767" i="2"/>
  <c r="S767" i="2"/>
  <c r="R767" i="2"/>
  <c r="Q767" i="2"/>
  <c r="P767" i="2"/>
  <c r="O767" i="2"/>
  <c r="N767" i="2"/>
  <c r="M767" i="2"/>
  <c r="L767" i="2"/>
  <c r="K767" i="2"/>
  <c r="J767" i="2"/>
  <c r="I767" i="2"/>
  <c r="H767" i="2"/>
  <c r="G767" i="2"/>
  <c r="F767" i="2"/>
  <c r="E767" i="2"/>
  <c r="D767" i="2"/>
  <c r="C767" i="2"/>
  <c r="B767" i="2"/>
  <c r="A767" i="2"/>
  <c r="AB766" i="2"/>
  <c r="AA766" i="2"/>
  <c r="Z766" i="2"/>
  <c r="Y766" i="2"/>
  <c r="X766" i="2"/>
  <c r="W766" i="2"/>
  <c r="V766" i="2"/>
  <c r="U766" i="2"/>
  <c r="T766" i="2"/>
  <c r="S766" i="2"/>
  <c r="R766" i="2"/>
  <c r="Q766" i="2"/>
  <c r="P766" i="2"/>
  <c r="O766" i="2"/>
  <c r="N766" i="2"/>
  <c r="M766" i="2"/>
  <c r="L766" i="2"/>
  <c r="K766" i="2"/>
  <c r="J766" i="2"/>
  <c r="I766" i="2"/>
  <c r="H766" i="2"/>
  <c r="G766" i="2"/>
  <c r="F766" i="2"/>
  <c r="E766" i="2"/>
  <c r="D766" i="2"/>
  <c r="C766" i="2"/>
  <c r="B766" i="2"/>
  <c r="A766" i="2"/>
  <c r="AB765" i="2"/>
  <c r="AA765" i="2"/>
  <c r="Z765" i="2"/>
  <c r="Y765" i="2"/>
  <c r="X765" i="2"/>
  <c r="W765" i="2"/>
  <c r="V765" i="2"/>
  <c r="U765" i="2"/>
  <c r="T765" i="2"/>
  <c r="S765" i="2"/>
  <c r="R765" i="2"/>
  <c r="Q765" i="2"/>
  <c r="P765" i="2"/>
  <c r="O765" i="2"/>
  <c r="N765" i="2"/>
  <c r="M765" i="2"/>
  <c r="L765" i="2"/>
  <c r="K765" i="2"/>
  <c r="J765" i="2"/>
  <c r="I765" i="2"/>
  <c r="H765" i="2"/>
  <c r="G765" i="2"/>
  <c r="F765" i="2"/>
  <c r="E765" i="2"/>
  <c r="D765" i="2"/>
  <c r="C765" i="2"/>
  <c r="B765" i="2"/>
  <c r="A765" i="2"/>
  <c r="AB764" i="2"/>
  <c r="AA764" i="2"/>
  <c r="Z764" i="2"/>
  <c r="Y764" i="2"/>
  <c r="X764" i="2"/>
  <c r="W764" i="2"/>
  <c r="V764" i="2"/>
  <c r="U764" i="2"/>
  <c r="T764" i="2"/>
  <c r="S764" i="2"/>
  <c r="R764" i="2"/>
  <c r="Q764" i="2"/>
  <c r="P764" i="2"/>
  <c r="O764" i="2"/>
  <c r="N764" i="2"/>
  <c r="M764" i="2"/>
  <c r="L764" i="2"/>
  <c r="K764" i="2"/>
  <c r="J764" i="2"/>
  <c r="I764" i="2"/>
  <c r="H764" i="2"/>
  <c r="G764" i="2"/>
  <c r="F764" i="2"/>
  <c r="E764" i="2"/>
  <c r="D764" i="2"/>
  <c r="C764" i="2"/>
  <c r="B764" i="2"/>
  <c r="A764" i="2"/>
  <c r="AB763" i="2"/>
  <c r="AA763" i="2"/>
  <c r="Z763" i="2"/>
  <c r="Y763" i="2"/>
  <c r="X763" i="2"/>
  <c r="W763" i="2"/>
  <c r="V763" i="2"/>
  <c r="U763" i="2"/>
  <c r="T763" i="2"/>
  <c r="S763" i="2"/>
  <c r="R763" i="2"/>
  <c r="Q763" i="2"/>
  <c r="P763" i="2"/>
  <c r="O763" i="2"/>
  <c r="N763" i="2"/>
  <c r="M763" i="2"/>
  <c r="L763" i="2"/>
  <c r="K763" i="2"/>
  <c r="J763" i="2"/>
  <c r="I763" i="2"/>
  <c r="H763" i="2"/>
  <c r="G763" i="2"/>
  <c r="F763" i="2"/>
  <c r="E763" i="2"/>
  <c r="D763" i="2"/>
  <c r="C763" i="2"/>
  <c r="B763" i="2"/>
  <c r="A763" i="2"/>
  <c r="AB762" i="2"/>
  <c r="AA762" i="2"/>
  <c r="Z762" i="2"/>
  <c r="Y762" i="2"/>
  <c r="X762" i="2"/>
  <c r="W762" i="2"/>
  <c r="V762" i="2"/>
  <c r="U762" i="2"/>
  <c r="T762" i="2"/>
  <c r="S762" i="2"/>
  <c r="R762" i="2"/>
  <c r="Q762" i="2"/>
  <c r="P762" i="2"/>
  <c r="O762" i="2"/>
  <c r="N762" i="2"/>
  <c r="M762" i="2"/>
  <c r="L762" i="2"/>
  <c r="K762" i="2"/>
  <c r="J762" i="2"/>
  <c r="I762" i="2"/>
  <c r="H762" i="2"/>
  <c r="G762" i="2"/>
  <c r="F762" i="2"/>
  <c r="E762" i="2"/>
  <c r="D762" i="2"/>
  <c r="C762" i="2"/>
  <c r="B762" i="2"/>
  <c r="A762" i="2"/>
  <c r="AB761" i="2"/>
  <c r="AA761" i="2"/>
  <c r="Z761" i="2"/>
  <c r="Y761" i="2"/>
  <c r="X761" i="2"/>
  <c r="W761" i="2"/>
  <c r="V761" i="2"/>
  <c r="U761" i="2"/>
  <c r="T761" i="2"/>
  <c r="S761" i="2"/>
  <c r="R761" i="2"/>
  <c r="Q761" i="2"/>
  <c r="P761" i="2"/>
  <c r="O761" i="2"/>
  <c r="N761" i="2"/>
  <c r="M761" i="2"/>
  <c r="L761" i="2"/>
  <c r="K761" i="2"/>
  <c r="J761" i="2"/>
  <c r="I761" i="2"/>
  <c r="H761" i="2"/>
  <c r="G761" i="2"/>
  <c r="F761" i="2"/>
  <c r="E761" i="2"/>
  <c r="D761" i="2"/>
  <c r="C761" i="2"/>
  <c r="B761" i="2"/>
  <c r="A761"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B759" i="2"/>
  <c r="AA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B758" i="2"/>
  <c r="AA758" i="2"/>
  <c r="Z758" i="2"/>
  <c r="Y758" i="2"/>
  <c r="X758" i="2"/>
  <c r="W758" i="2"/>
  <c r="V758" i="2"/>
  <c r="U758" i="2"/>
  <c r="T758" i="2"/>
  <c r="S758" i="2"/>
  <c r="R758" i="2"/>
  <c r="Q758" i="2"/>
  <c r="P758" i="2"/>
  <c r="O758" i="2"/>
  <c r="N758" i="2"/>
  <c r="M758" i="2"/>
  <c r="L758" i="2"/>
  <c r="K758" i="2"/>
  <c r="J758" i="2"/>
  <c r="I758" i="2"/>
  <c r="H758" i="2"/>
  <c r="G758" i="2"/>
  <c r="F758" i="2"/>
  <c r="E758" i="2"/>
  <c r="D758" i="2"/>
  <c r="C758" i="2"/>
  <c r="B758" i="2"/>
  <c r="A758"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B756" i="2"/>
  <c r="AA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B755" i="2"/>
  <c r="AA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B754" i="2"/>
  <c r="AA754" i="2"/>
  <c r="Z754" i="2"/>
  <c r="Y754" i="2"/>
  <c r="X754" i="2"/>
  <c r="W754" i="2"/>
  <c r="V754" i="2"/>
  <c r="U754" i="2"/>
  <c r="T754" i="2"/>
  <c r="S754" i="2"/>
  <c r="R754" i="2"/>
  <c r="Q754" i="2"/>
  <c r="P754" i="2"/>
  <c r="O754" i="2"/>
  <c r="N754" i="2"/>
  <c r="M754" i="2"/>
  <c r="L754" i="2"/>
  <c r="K754" i="2"/>
  <c r="J754" i="2"/>
  <c r="I754" i="2"/>
  <c r="H754" i="2"/>
  <c r="G754" i="2"/>
  <c r="F754" i="2"/>
  <c r="E754" i="2"/>
  <c r="D754" i="2"/>
  <c r="C754" i="2"/>
  <c r="B754" i="2"/>
  <c r="A754"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C753" i="2"/>
  <c r="B753" i="2"/>
  <c r="A753"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B751" i="2"/>
  <c r="AA751" i="2"/>
  <c r="Z751" i="2"/>
  <c r="Y751" i="2"/>
  <c r="X751" i="2"/>
  <c r="W751" i="2"/>
  <c r="V751" i="2"/>
  <c r="U751" i="2"/>
  <c r="T751" i="2"/>
  <c r="S751" i="2"/>
  <c r="R751" i="2"/>
  <c r="Q751" i="2"/>
  <c r="P751" i="2"/>
  <c r="O751" i="2"/>
  <c r="N751" i="2"/>
  <c r="M751" i="2"/>
  <c r="L751" i="2"/>
  <c r="K751" i="2"/>
  <c r="J751" i="2"/>
  <c r="I751" i="2"/>
  <c r="H751" i="2"/>
  <c r="G751" i="2"/>
  <c r="F751" i="2"/>
  <c r="E751" i="2"/>
  <c r="D751" i="2"/>
  <c r="C751" i="2"/>
  <c r="B751" i="2"/>
  <c r="A751"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C750" i="2"/>
  <c r="B750" i="2"/>
  <c r="A750" i="2"/>
  <c r="AB749" i="2"/>
  <c r="AA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B748" i="2"/>
  <c r="AA748" i="2"/>
  <c r="Z748" i="2"/>
  <c r="Y748" i="2"/>
  <c r="X748" i="2"/>
  <c r="W748" i="2"/>
  <c r="V748" i="2"/>
  <c r="U748" i="2"/>
  <c r="T748" i="2"/>
  <c r="S748" i="2"/>
  <c r="R748" i="2"/>
  <c r="Q748" i="2"/>
  <c r="P748" i="2"/>
  <c r="O748" i="2"/>
  <c r="N748" i="2"/>
  <c r="M748" i="2"/>
  <c r="L748" i="2"/>
  <c r="K748" i="2"/>
  <c r="J748" i="2"/>
  <c r="I748" i="2"/>
  <c r="H748" i="2"/>
  <c r="G748" i="2"/>
  <c r="F748" i="2"/>
  <c r="E748" i="2"/>
  <c r="D748" i="2"/>
  <c r="C748" i="2"/>
  <c r="B748" i="2"/>
  <c r="A748"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B746" i="2"/>
  <c r="AA746" i="2"/>
  <c r="Z746" i="2"/>
  <c r="Y746" i="2"/>
  <c r="X746" i="2"/>
  <c r="W746" i="2"/>
  <c r="V746" i="2"/>
  <c r="U746" i="2"/>
  <c r="T746" i="2"/>
  <c r="S746" i="2"/>
  <c r="R746" i="2"/>
  <c r="Q746" i="2"/>
  <c r="P746" i="2"/>
  <c r="O746" i="2"/>
  <c r="N746" i="2"/>
  <c r="M746" i="2"/>
  <c r="L746" i="2"/>
  <c r="K746" i="2"/>
  <c r="J746" i="2"/>
  <c r="I746" i="2"/>
  <c r="H746" i="2"/>
  <c r="G746" i="2"/>
  <c r="F746" i="2"/>
  <c r="E746" i="2"/>
  <c r="D746" i="2"/>
  <c r="C746" i="2"/>
  <c r="B746" i="2"/>
  <c r="A746"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B744" i="2"/>
  <c r="AA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B742" i="2"/>
  <c r="AA742" i="2"/>
  <c r="Z742" i="2"/>
  <c r="Y742" i="2"/>
  <c r="X742" i="2"/>
  <c r="W742" i="2"/>
  <c r="V742" i="2"/>
  <c r="U742" i="2"/>
  <c r="T742" i="2"/>
  <c r="S742" i="2"/>
  <c r="R742" i="2"/>
  <c r="Q742" i="2"/>
  <c r="P742" i="2"/>
  <c r="O742" i="2"/>
  <c r="N742" i="2"/>
  <c r="M742" i="2"/>
  <c r="L742" i="2"/>
  <c r="K742" i="2"/>
  <c r="J742" i="2"/>
  <c r="I742" i="2"/>
  <c r="H742" i="2"/>
  <c r="G742" i="2"/>
  <c r="F742" i="2"/>
  <c r="E742" i="2"/>
  <c r="D742" i="2"/>
  <c r="C742" i="2"/>
  <c r="B742" i="2"/>
  <c r="A742"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B740" i="2"/>
  <c r="AA740" i="2"/>
  <c r="Z740" i="2"/>
  <c r="Y740" i="2"/>
  <c r="X740" i="2"/>
  <c r="W740" i="2"/>
  <c r="V740" i="2"/>
  <c r="U740" i="2"/>
  <c r="T740" i="2"/>
  <c r="S740" i="2"/>
  <c r="R740" i="2"/>
  <c r="Q740" i="2"/>
  <c r="P740" i="2"/>
  <c r="O740" i="2"/>
  <c r="N740" i="2"/>
  <c r="M740" i="2"/>
  <c r="L740" i="2"/>
  <c r="K740" i="2"/>
  <c r="J740" i="2"/>
  <c r="I740" i="2"/>
  <c r="H740" i="2"/>
  <c r="G740" i="2"/>
  <c r="F740" i="2"/>
  <c r="E740" i="2"/>
  <c r="D740" i="2"/>
  <c r="C740" i="2"/>
  <c r="B740" i="2"/>
  <c r="A740" i="2"/>
  <c r="AB739" i="2"/>
  <c r="AA739" i="2"/>
  <c r="Z739" i="2"/>
  <c r="Y739" i="2"/>
  <c r="X739" i="2"/>
  <c r="W739" i="2"/>
  <c r="V739" i="2"/>
  <c r="U739" i="2"/>
  <c r="T739" i="2"/>
  <c r="S739" i="2"/>
  <c r="R739" i="2"/>
  <c r="Q739" i="2"/>
  <c r="P739" i="2"/>
  <c r="O739" i="2"/>
  <c r="N739" i="2"/>
  <c r="M739" i="2"/>
  <c r="L739" i="2"/>
  <c r="K739" i="2"/>
  <c r="J739" i="2"/>
  <c r="I739" i="2"/>
  <c r="H739" i="2"/>
  <c r="G739" i="2"/>
  <c r="F739" i="2"/>
  <c r="E739" i="2"/>
  <c r="D739" i="2"/>
  <c r="C739" i="2"/>
  <c r="B739" i="2"/>
  <c r="A739" i="2"/>
  <c r="AB738" i="2"/>
  <c r="AA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B737" i="2"/>
  <c r="AA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B736" i="2"/>
  <c r="AA736" i="2"/>
  <c r="Z736" i="2"/>
  <c r="Y736" i="2"/>
  <c r="X736" i="2"/>
  <c r="W736" i="2"/>
  <c r="V736" i="2"/>
  <c r="U736" i="2"/>
  <c r="T736" i="2"/>
  <c r="S736" i="2"/>
  <c r="R736" i="2"/>
  <c r="Q736" i="2"/>
  <c r="P736" i="2"/>
  <c r="O736" i="2"/>
  <c r="N736" i="2"/>
  <c r="M736" i="2"/>
  <c r="L736" i="2"/>
  <c r="K736" i="2"/>
  <c r="J736" i="2"/>
  <c r="I736" i="2"/>
  <c r="H736" i="2"/>
  <c r="G736" i="2"/>
  <c r="F736" i="2"/>
  <c r="E736" i="2"/>
  <c r="D736" i="2"/>
  <c r="C736" i="2"/>
  <c r="B736" i="2"/>
  <c r="A736" i="2"/>
  <c r="AB735" i="2"/>
  <c r="AA735" i="2"/>
  <c r="Z735" i="2"/>
  <c r="Y735" i="2"/>
  <c r="X735" i="2"/>
  <c r="W735" i="2"/>
  <c r="V735" i="2"/>
  <c r="U735" i="2"/>
  <c r="T735" i="2"/>
  <c r="S735" i="2"/>
  <c r="R735" i="2"/>
  <c r="Q735" i="2"/>
  <c r="P735" i="2"/>
  <c r="O735" i="2"/>
  <c r="N735" i="2"/>
  <c r="M735" i="2"/>
  <c r="L735" i="2"/>
  <c r="K735" i="2"/>
  <c r="J735" i="2"/>
  <c r="I735" i="2"/>
  <c r="H735" i="2"/>
  <c r="G735" i="2"/>
  <c r="F735" i="2"/>
  <c r="E735" i="2"/>
  <c r="D735" i="2"/>
  <c r="C735" i="2"/>
  <c r="B735" i="2"/>
  <c r="A735"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B733" i="2"/>
  <c r="AA733" i="2"/>
  <c r="Z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B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B731" i="2"/>
  <c r="AA731" i="2"/>
  <c r="Z731" i="2"/>
  <c r="Y731" i="2"/>
  <c r="X731" i="2"/>
  <c r="W731" i="2"/>
  <c r="V731" i="2"/>
  <c r="U731" i="2"/>
  <c r="T731" i="2"/>
  <c r="S731" i="2"/>
  <c r="R731" i="2"/>
  <c r="Q731" i="2"/>
  <c r="P731" i="2"/>
  <c r="O731" i="2"/>
  <c r="N731" i="2"/>
  <c r="M731" i="2"/>
  <c r="L731" i="2"/>
  <c r="K731" i="2"/>
  <c r="J731" i="2"/>
  <c r="I731" i="2"/>
  <c r="H731" i="2"/>
  <c r="G731" i="2"/>
  <c r="F731" i="2"/>
  <c r="E731" i="2"/>
  <c r="D731" i="2"/>
  <c r="C731" i="2"/>
  <c r="B731" i="2"/>
  <c r="A731" i="2"/>
  <c r="AB730" i="2"/>
  <c r="AA730" i="2"/>
  <c r="Z730" i="2"/>
  <c r="Y730" i="2"/>
  <c r="X730" i="2"/>
  <c r="W730" i="2"/>
  <c r="V730" i="2"/>
  <c r="U730" i="2"/>
  <c r="T730" i="2"/>
  <c r="S730" i="2"/>
  <c r="R730" i="2"/>
  <c r="Q730" i="2"/>
  <c r="P730" i="2"/>
  <c r="O730" i="2"/>
  <c r="N730" i="2"/>
  <c r="M730" i="2"/>
  <c r="L730" i="2"/>
  <c r="K730" i="2"/>
  <c r="J730" i="2"/>
  <c r="I730" i="2"/>
  <c r="H730" i="2"/>
  <c r="G730" i="2"/>
  <c r="F730" i="2"/>
  <c r="E730" i="2"/>
  <c r="D730" i="2"/>
  <c r="C730" i="2"/>
  <c r="B730" i="2"/>
  <c r="A730" i="2"/>
  <c r="AB729" i="2"/>
  <c r="AA729" i="2"/>
  <c r="Z729" i="2"/>
  <c r="Y729" i="2"/>
  <c r="X729" i="2"/>
  <c r="W729" i="2"/>
  <c r="V729" i="2"/>
  <c r="U729" i="2"/>
  <c r="T729" i="2"/>
  <c r="S729" i="2"/>
  <c r="R729" i="2"/>
  <c r="Q729" i="2"/>
  <c r="P729" i="2"/>
  <c r="O729" i="2"/>
  <c r="N729" i="2"/>
  <c r="M729" i="2"/>
  <c r="L729" i="2"/>
  <c r="K729" i="2"/>
  <c r="J729" i="2"/>
  <c r="I729" i="2"/>
  <c r="H729" i="2"/>
  <c r="G729" i="2"/>
  <c r="F729" i="2"/>
  <c r="E729" i="2"/>
  <c r="D729" i="2"/>
  <c r="C729" i="2"/>
  <c r="B729" i="2"/>
  <c r="A729" i="2"/>
  <c r="AB728" i="2"/>
  <c r="AA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B727" i="2"/>
  <c r="AA727" i="2"/>
  <c r="Z727" i="2"/>
  <c r="Y727" i="2"/>
  <c r="X727" i="2"/>
  <c r="W727" i="2"/>
  <c r="V727" i="2"/>
  <c r="U727" i="2"/>
  <c r="T727" i="2"/>
  <c r="S727" i="2"/>
  <c r="R727" i="2"/>
  <c r="Q727" i="2"/>
  <c r="P727" i="2"/>
  <c r="O727" i="2"/>
  <c r="N727" i="2"/>
  <c r="M727" i="2"/>
  <c r="L727" i="2"/>
  <c r="K727" i="2"/>
  <c r="J727" i="2"/>
  <c r="I727" i="2"/>
  <c r="H727" i="2"/>
  <c r="G727" i="2"/>
  <c r="F727" i="2"/>
  <c r="E727" i="2"/>
  <c r="D727" i="2"/>
  <c r="C727" i="2"/>
  <c r="B727" i="2"/>
  <c r="A727" i="2"/>
  <c r="AB726" i="2"/>
  <c r="AA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B725" i="2"/>
  <c r="AA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B724" i="2"/>
  <c r="AA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B722" i="2"/>
  <c r="AA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B721" i="2"/>
  <c r="AA721" i="2"/>
  <c r="Z721" i="2"/>
  <c r="Y721" i="2"/>
  <c r="X721" i="2"/>
  <c r="W721" i="2"/>
  <c r="V721" i="2"/>
  <c r="U721" i="2"/>
  <c r="T721" i="2"/>
  <c r="S721" i="2"/>
  <c r="R721" i="2"/>
  <c r="Q721" i="2"/>
  <c r="P721" i="2"/>
  <c r="O721" i="2"/>
  <c r="N721" i="2"/>
  <c r="M721" i="2"/>
  <c r="L721" i="2"/>
  <c r="K721" i="2"/>
  <c r="J721" i="2"/>
  <c r="I721" i="2"/>
  <c r="H721" i="2"/>
  <c r="G721" i="2"/>
  <c r="F721" i="2"/>
  <c r="E721" i="2"/>
  <c r="D721" i="2"/>
  <c r="C721" i="2"/>
  <c r="B721" i="2"/>
  <c r="A721"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B719" i="2"/>
  <c r="AA719" i="2"/>
  <c r="Z719" i="2"/>
  <c r="Y719" i="2"/>
  <c r="X719" i="2"/>
  <c r="W719" i="2"/>
  <c r="V719" i="2"/>
  <c r="U719" i="2"/>
  <c r="T719" i="2"/>
  <c r="S719" i="2"/>
  <c r="R719" i="2"/>
  <c r="Q719" i="2"/>
  <c r="P719" i="2"/>
  <c r="O719" i="2"/>
  <c r="N719" i="2"/>
  <c r="M719" i="2"/>
  <c r="L719" i="2"/>
  <c r="K719" i="2"/>
  <c r="J719" i="2"/>
  <c r="I719" i="2"/>
  <c r="H719" i="2"/>
  <c r="G719" i="2"/>
  <c r="F719" i="2"/>
  <c r="E719" i="2"/>
  <c r="D719" i="2"/>
  <c r="C719" i="2"/>
  <c r="B719" i="2"/>
  <c r="A719"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C718" i="2"/>
  <c r="B718" i="2"/>
  <c r="A718" i="2"/>
  <c r="AB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B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B713" i="2"/>
  <c r="AA713" i="2"/>
  <c r="Z713" i="2"/>
  <c r="Y713" i="2"/>
  <c r="X713" i="2"/>
  <c r="W713" i="2"/>
  <c r="V713" i="2"/>
  <c r="U713" i="2"/>
  <c r="T713" i="2"/>
  <c r="S713" i="2"/>
  <c r="R713" i="2"/>
  <c r="Q713" i="2"/>
  <c r="P713" i="2"/>
  <c r="O713" i="2"/>
  <c r="N713" i="2"/>
  <c r="M713" i="2"/>
  <c r="L713" i="2"/>
  <c r="K713" i="2"/>
  <c r="J713" i="2"/>
  <c r="I713" i="2"/>
  <c r="H713" i="2"/>
  <c r="G713" i="2"/>
  <c r="F713" i="2"/>
  <c r="E713" i="2"/>
  <c r="D713" i="2"/>
  <c r="C713" i="2"/>
  <c r="B713" i="2"/>
  <c r="A713" i="2"/>
  <c r="AB712" i="2"/>
  <c r="AA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B710" i="2"/>
  <c r="AA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B709" i="2"/>
  <c r="AA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C707" i="2"/>
  <c r="B707" i="2"/>
  <c r="A707"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B705" i="2"/>
  <c r="AA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B702" i="2"/>
  <c r="AA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B701" i="2"/>
  <c r="AA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B697" i="2"/>
  <c r="AA697" i="2"/>
  <c r="Z697" i="2"/>
  <c r="Y697" i="2"/>
  <c r="X697" i="2"/>
  <c r="W697" i="2"/>
  <c r="V697" i="2"/>
  <c r="U697" i="2"/>
  <c r="T697" i="2"/>
  <c r="S697" i="2"/>
  <c r="R697" i="2"/>
  <c r="Q697" i="2"/>
  <c r="P697" i="2"/>
  <c r="O697" i="2"/>
  <c r="N697" i="2"/>
  <c r="M697" i="2"/>
  <c r="L697" i="2"/>
  <c r="K697" i="2"/>
  <c r="J697" i="2"/>
  <c r="I697" i="2"/>
  <c r="H697" i="2"/>
  <c r="G697" i="2"/>
  <c r="F697" i="2"/>
  <c r="E697" i="2"/>
  <c r="D697" i="2"/>
  <c r="C697" i="2"/>
  <c r="B697" i="2"/>
  <c r="A697" i="2"/>
  <c r="AB696" i="2"/>
  <c r="AA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B694" i="2"/>
  <c r="AA694" i="2"/>
  <c r="Z694" i="2"/>
  <c r="Y694" i="2"/>
  <c r="X694" i="2"/>
  <c r="W694" i="2"/>
  <c r="V694" i="2"/>
  <c r="U694" i="2"/>
  <c r="T694" i="2"/>
  <c r="S694" i="2"/>
  <c r="R694" i="2"/>
  <c r="Q694" i="2"/>
  <c r="P694" i="2"/>
  <c r="O694" i="2"/>
  <c r="N694" i="2"/>
  <c r="M694" i="2"/>
  <c r="L694" i="2"/>
  <c r="K694" i="2"/>
  <c r="J694" i="2"/>
  <c r="I694" i="2"/>
  <c r="H694" i="2"/>
  <c r="G694" i="2"/>
  <c r="F694" i="2"/>
  <c r="E694" i="2"/>
  <c r="D694" i="2"/>
  <c r="C694" i="2"/>
  <c r="B694" i="2"/>
  <c r="A694"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B692" i="2"/>
  <c r="AA692" i="2"/>
  <c r="Z692" i="2"/>
  <c r="Y692" i="2"/>
  <c r="X692" i="2"/>
  <c r="W692" i="2"/>
  <c r="V692" i="2"/>
  <c r="U692" i="2"/>
  <c r="T692" i="2"/>
  <c r="S692" i="2"/>
  <c r="R692" i="2"/>
  <c r="Q692" i="2"/>
  <c r="P692" i="2"/>
  <c r="O692" i="2"/>
  <c r="N692" i="2"/>
  <c r="M692" i="2"/>
  <c r="L692" i="2"/>
  <c r="K692" i="2"/>
  <c r="J692" i="2"/>
  <c r="I692" i="2"/>
  <c r="H692" i="2"/>
  <c r="G692" i="2"/>
  <c r="F692" i="2"/>
  <c r="E692" i="2"/>
  <c r="D692" i="2"/>
  <c r="C692" i="2"/>
  <c r="B692" i="2"/>
  <c r="A692" i="2"/>
  <c r="AB691" i="2"/>
  <c r="AA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B690" i="2"/>
  <c r="AA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B689" i="2"/>
  <c r="AA689" i="2"/>
  <c r="Z689" i="2"/>
  <c r="Y689" i="2"/>
  <c r="X689" i="2"/>
  <c r="W689" i="2"/>
  <c r="V689" i="2"/>
  <c r="U689" i="2"/>
  <c r="T689" i="2"/>
  <c r="S689" i="2"/>
  <c r="R689" i="2"/>
  <c r="Q689" i="2"/>
  <c r="P689" i="2"/>
  <c r="O689" i="2"/>
  <c r="N689" i="2"/>
  <c r="M689" i="2"/>
  <c r="L689" i="2"/>
  <c r="K689" i="2"/>
  <c r="J689" i="2"/>
  <c r="I689" i="2"/>
  <c r="H689" i="2"/>
  <c r="G689" i="2"/>
  <c r="F689" i="2"/>
  <c r="E689" i="2"/>
  <c r="D689" i="2"/>
  <c r="C689" i="2"/>
  <c r="B689" i="2"/>
  <c r="A689" i="2"/>
  <c r="AB688" i="2"/>
  <c r="AA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B687" i="2"/>
  <c r="AA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B686" i="2"/>
  <c r="AA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C684" i="2"/>
  <c r="B684" i="2"/>
  <c r="A684" i="2"/>
  <c r="AB683" i="2"/>
  <c r="AA683" i="2"/>
  <c r="Z683" i="2"/>
  <c r="Y683" i="2"/>
  <c r="X683" i="2"/>
  <c r="W683" i="2"/>
  <c r="V683" i="2"/>
  <c r="U683" i="2"/>
  <c r="T683" i="2"/>
  <c r="S683" i="2"/>
  <c r="R683" i="2"/>
  <c r="Q683" i="2"/>
  <c r="P683" i="2"/>
  <c r="O683" i="2"/>
  <c r="N683" i="2"/>
  <c r="M683" i="2"/>
  <c r="L683" i="2"/>
  <c r="K683" i="2"/>
  <c r="J683" i="2"/>
  <c r="I683" i="2"/>
  <c r="H683" i="2"/>
  <c r="G683" i="2"/>
  <c r="F683" i="2"/>
  <c r="E683" i="2"/>
  <c r="D683" i="2"/>
  <c r="C683" i="2"/>
  <c r="B683" i="2"/>
  <c r="A683"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C682" i="2"/>
  <c r="B682" i="2"/>
  <c r="A682" i="2"/>
  <c r="AB681" i="2"/>
  <c r="AA681" i="2"/>
  <c r="Z681" i="2"/>
  <c r="Y681" i="2"/>
  <c r="X681" i="2"/>
  <c r="W681" i="2"/>
  <c r="V681" i="2"/>
  <c r="U681" i="2"/>
  <c r="T681" i="2"/>
  <c r="S681" i="2"/>
  <c r="R681" i="2"/>
  <c r="Q681" i="2"/>
  <c r="P681" i="2"/>
  <c r="O681" i="2"/>
  <c r="N681" i="2"/>
  <c r="M681" i="2"/>
  <c r="L681" i="2"/>
  <c r="K681" i="2"/>
  <c r="J681" i="2"/>
  <c r="I681" i="2"/>
  <c r="H681" i="2"/>
  <c r="G681" i="2"/>
  <c r="F681" i="2"/>
  <c r="E681" i="2"/>
  <c r="D681" i="2"/>
  <c r="C681" i="2"/>
  <c r="B681" i="2"/>
  <c r="A681" i="2"/>
  <c r="AB680" i="2"/>
  <c r="AA680" i="2"/>
  <c r="Z680" i="2"/>
  <c r="Y680" i="2"/>
  <c r="X680" i="2"/>
  <c r="W680" i="2"/>
  <c r="V680" i="2"/>
  <c r="U680" i="2"/>
  <c r="T680" i="2"/>
  <c r="S680" i="2"/>
  <c r="R680" i="2"/>
  <c r="Q680" i="2"/>
  <c r="P680" i="2"/>
  <c r="O680" i="2"/>
  <c r="N680" i="2"/>
  <c r="M680" i="2"/>
  <c r="L680" i="2"/>
  <c r="K680" i="2"/>
  <c r="J680" i="2"/>
  <c r="I680" i="2"/>
  <c r="H680" i="2"/>
  <c r="G680" i="2"/>
  <c r="F680" i="2"/>
  <c r="E680" i="2"/>
  <c r="D680" i="2"/>
  <c r="C680" i="2"/>
  <c r="B680" i="2"/>
  <c r="A680" i="2"/>
  <c r="AB679" i="2"/>
  <c r="AA679" i="2"/>
  <c r="Z679" i="2"/>
  <c r="Y679" i="2"/>
  <c r="X679" i="2"/>
  <c r="W679" i="2"/>
  <c r="V679" i="2"/>
  <c r="U679" i="2"/>
  <c r="T679" i="2"/>
  <c r="S679" i="2"/>
  <c r="R679" i="2"/>
  <c r="Q679" i="2"/>
  <c r="P679" i="2"/>
  <c r="O679" i="2"/>
  <c r="N679" i="2"/>
  <c r="M679" i="2"/>
  <c r="L679" i="2"/>
  <c r="K679" i="2"/>
  <c r="J679" i="2"/>
  <c r="I679" i="2"/>
  <c r="H679" i="2"/>
  <c r="G679" i="2"/>
  <c r="F679" i="2"/>
  <c r="E679" i="2"/>
  <c r="D679" i="2"/>
  <c r="C679" i="2"/>
  <c r="B679" i="2"/>
  <c r="A679" i="2"/>
  <c r="AB678" i="2"/>
  <c r="AA678" i="2"/>
  <c r="Z678" i="2"/>
  <c r="Y678" i="2"/>
  <c r="X678" i="2"/>
  <c r="W678" i="2"/>
  <c r="V678" i="2"/>
  <c r="U678" i="2"/>
  <c r="T678" i="2"/>
  <c r="S678" i="2"/>
  <c r="R678" i="2"/>
  <c r="Q678" i="2"/>
  <c r="P678" i="2"/>
  <c r="O678" i="2"/>
  <c r="N678" i="2"/>
  <c r="M678" i="2"/>
  <c r="L678" i="2"/>
  <c r="K678" i="2"/>
  <c r="J678" i="2"/>
  <c r="I678" i="2"/>
  <c r="H678" i="2"/>
  <c r="G678" i="2"/>
  <c r="F678" i="2"/>
  <c r="E678" i="2"/>
  <c r="D678" i="2"/>
  <c r="C678" i="2"/>
  <c r="B678" i="2"/>
  <c r="A678" i="2"/>
  <c r="AB677" i="2"/>
  <c r="AA677" i="2"/>
  <c r="Z677" i="2"/>
  <c r="Y677" i="2"/>
  <c r="X677" i="2"/>
  <c r="W677" i="2"/>
  <c r="V677" i="2"/>
  <c r="U677" i="2"/>
  <c r="T677" i="2"/>
  <c r="S677" i="2"/>
  <c r="R677" i="2"/>
  <c r="Q677" i="2"/>
  <c r="P677" i="2"/>
  <c r="O677" i="2"/>
  <c r="N677" i="2"/>
  <c r="M677" i="2"/>
  <c r="L677" i="2"/>
  <c r="K677" i="2"/>
  <c r="J677" i="2"/>
  <c r="I677" i="2"/>
  <c r="H677" i="2"/>
  <c r="G677" i="2"/>
  <c r="F677" i="2"/>
  <c r="E677" i="2"/>
  <c r="D677" i="2"/>
  <c r="C677" i="2"/>
  <c r="B677" i="2"/>
  <c r="A677"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B674" i="2"/>
  <c r="AA674" i="2"/>
  <c r="Z674" i="2"/>
  <c r="Y674" i="2"/>
  <c r="X674" i="2"/>
  <c r="W674" i="2"/>
  <c r="V674" i="2"/>
  <c r="U674" i="2"/>
  <c r="T674" i="2"/>
  <c r="S674" i="2"/>
  <c r="R674" i="2"/>
  <c r="Q674" i="2"/>
  <c r="P674" i="2"/>
  <c r="O674" i="2"/>
  <c r="N674" i="2"/>
  <c r="M674" i="2"/>
  <c r="L674" i="2"/>
  <c r="K674" i="2"/>
  <c r="J674" i="2"/>
  <c r="I674" i="2"/>
  <c r="H674" i="2"/>
  <c r="G674" i="2"/>
  <c r="F674" i="2"/>
  <c r="E674" i="2"/>
  <c r="D674" i="2"/>
  <c r="C674" i="2"/>
  <c r="B674" i="2"/>
  <c r="A674" i="2"/>
  <c r="AB673" i="2"/>
  <c r="AA673" i="2"/>
  <c r="Z673" i="2"/>
  <c r="Y673" i="2"/>
  <c r="X673" i="2"/>
  <c r="W673" i="2"/>
  <c r="V673" i="2"/>
  <c r="U673" i="2"/>
  <c r="T673" i="2"/>
  <c r="S673" i="2"/>
  <c r="R673" i="2"/>
  <c r="Q673" i="2"/>
  <c r="P673" i="2"/>
  <c r="O673" i="2"/>
  <c r="N673" i="2"/>
  <c r="M673" i="2"/>
  <c r="L673" i="2"/>
  <c r="K673" i="2"/>
  <c r="J673" i="2"/>
  <c r="I673" i="2"/>
  <c r="H673" i="2"/>
  <c r="G673" i="2"/>
  <c r="F673" i="2"/>
  <c r="E673" i="2"/>
  <c r="D673" i="2"/>
  <c r="C673" i="2"/>
  <c r="B673" i="2"/>
  <c r="A673" i="2"/>
  <c r="AB672" i="2"/>
  <c r="AA672" i="2"/>
  <c r="Z672" i="2"/>
  <c r="Y672" i="2"/>
  <c r="X672" i="2"/>
  <c r="W672" i="2"/>
  <c r="V672" i="2"/>
  <c r="U672" i="2"/>
  <c r="T672" i="2"/>
  <c r="S672" i="2"/>
  <c r="R672" i="2"/>
  <c r="Q672" i="2"/>
  <c r="P672" i="2"/>
  <c r="O672" i="2"/>
  <c r="N672" i="2"/>
  <c r="M672" i="2"/>
  <c r="L672" i="2"/>
  <c r="K672" i="2"/>
  <c r="J672" i="2"/>
  <c r="I672" i="2"/>
  <c r="H672" i="2"/>
  <c r="G672" i="2"/>
  <c r="F672" i="2"/>
  <c r="E672" i="2"/>
  <c r="D672" i="2"/>
  <c r="C672" i="2"/>
  <c r="B672" i="2"/>
  <c r="A672"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B669" i="2"/>
  <c r="AA669" i="2"/>
  <c r="Z669" i="2"/>
  <c r="Y669" i="2"/>
  <c r="X669" i="2"/>
  <c r="W669" i="2"/>
  <c r="V669" i="2"/>
  <c r="U669" i="2"/>
  <c r="T669" i="2"/>
  <c r="S669" i="2"/>
  <c r="R669" i="2"/>
  <c r="Q669" i="2"/>
  <c r="P669" i="2"/>
  <c r="O669" i="2"/>
  <c r="N669" i="2"/>
  <c r="M669" i="2"/>
  <c r="L669" i="2"/>
  <c r="K669" i="2"/>
  <c r="J669" i="2"/>
  <c r="I669" i="2"/>
  <c r="H669" i="2"/>
  <c r="G669" i="2"/>
  <c r="F669" i="2"/>
  <c r="E669" i="2"/>
  <c r="D669" i="2"/>
  <c r="C669" i="2"/>
  <c r="B669" i="2"/>
  <c r="A669" i="2"/>
  <c r="AB668" i="2"/>
  <c r="AA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B666" i="2"/>
  <c r="AA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B664" i="2"/>
  <c r="AA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B663" i="2"/>
  <c r="AA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B662" i="2"/>
  <c r="AA662" i="2"/>
  <c r="Z662" i="2"/>
  <c r="Y662" i="2"/>
  <c r="X662" i="2"/>
  <c r="W662" i="2"/>
  <c r="V662" i="2"/>
  <c r="U662" i="2"/>
  <c r="T662" i="2"/>
  <c r="S662" i="2"/>
  <c r="R662" i="2"/>
  <c r="Q662" i="2"/>
  <c r="P662" i="2"/>
  <c r="O662" i="2"/>
  <c r="N662" i="2"/>
  <c r="M662" i="2"/>
  <c r="L662" i="2"/>
  <c r="K662" i="2"/>
  <c r="J662" i="2"/>
  <c r="I662" i="2"/>
  <c r="H662" i="2"/>
  <c r="G662" i="2"/>
  <c r="F662" i="2"/>
  <c r="E662" i="2"/>
  <c r="D662" i="2"/>
  <c r="C662" i="2"/>
  <c r="B662" i="2"/>
  <c r="A662"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C661" i="2"/>
  <c r="B661" i="2"/>
  <c r="A661"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B658" i="2"/>
  <c r="AA658" i="2"/>
  <c r="Z658" i="2"/>
  <c r="Y658" i="2"/>
  <c r="X658" i="2"/>
  <c r="W658" i="2"/>
  <c r="V658" i="2"/>
  <c r="U658" i="2"/>
  <c r="T658" i="2"/>
  <c r="S658" i="2"/>
  <c r="R658" i="2"/>
  <c r="Q658" i="2"/>
  <c r="P658" i="2"/>
  <c r="O658" i="2"/>
  <c r="N658" i="2"/>
  <c r="M658" i="2"/>
  <c r="L658" i="2"/>
  <c r="K658" i="2"/>
  <c r="J658" i="2"/>
  <c r="I658" i="2"/>
  <c r="H658" i="2"/>
  <c r="G658" i="2"/>
  <c r="F658" i="2"/>
  <c r="E658" i="2"/>
  <c r="D658" i="2"/>
  <c r="C658" i="2"/>
  <c r="B658" i="2"/>
  <c r="A658" i="2"/>
  <c r="AB657" i="2"/>
  <c r="AA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B656" i="2"/>
  <c r="AA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B654" i="2"/>
  <c r="AA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B653" i="2"/>
  <c r="AA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C652" i="2"/>
  <c r="B652" i="2"/>
  <c r="A652"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B650" i="2"/>
  <c r="AA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B649" i="2"/>
  <c r="AA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B647" i="2"/>
  <c r="AA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B646" i="2"/>
  <c r="AA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B644" i="2"/>
  <c r="AA644" i="2"/>
  <c r="Z644" i="2"/>
  <c r="Y644" i="2"/>
  <c r="X644" i="2"/>
  <c r="W644" i="2"/>
  <c r="V644" i="2"/>
  <c r="U644" i="2"/>
  <c r="T644" i="2"/>
  <c r="S644" i="2"/>
  <c r="R644" i="2"/>
  <c r="Q644" i="2"/>
  <c r="P644" i="2"/>
  <c r="O644" i="2"/>
  <c r="N644" i="2"/>
  <c r="M644" i="2"/>
  <c r="L644" i="2"/>
  <c r="K644" i="2"/>
  <c r="J644" i="2"/>
  <c r="I644" i="2"/>
  <c r="H644" i="2"/>
  <c r="G644" i="2"/>
  <c r="F644" i="2"/>
  <c r="E644" i="2"/>
  <c r="D644" i="2"/>
  <c r="C644" i="2"/>
  <c r="B644" i="2"/>
  <c r="A644" i="2"/>
  <c r="AB643" i="2"/>
  <c r="AA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B642" i="2"/>
  <c r="AA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B639" i="2"/>
  <c r="AA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B637" i="2"/>
  <c r="AA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B633" i="2"/>
  <c r="AA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B631" i="2"/>
  <c r="AA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B630" i="2"/>
  <c r="AA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B628" i="2"/>
  <c r="AA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B625" i="2"/>
  <c r="AA625" i="2"/>
  <c r="Z625" i="2"/>
  <c r="Y625" i="2"/>
  <c r="X625" i="2"/>
  <c r="W625" i="2"/>
  <c r="V625" i="2"/>
  <c r="U625" i="2"/>
  <c r="T625" i="2"/>
  <c r="S625" i="2"/>
  <c r="R625" i="2"/>
  <c r="Q625" i="2"/>
  <c r="P625" i="2"/>
  <c r="O625" i="2"/>
  <c r="N625" i="2"/>
  <c r="M625" i="2"/>
  <c r="L625" i="2"/>
  <c r="K625" i="2"/>
  <c r="J625" i="2"/>
  <c r="I625" i="2"/>
  <c r="H625" i="2"/>
  <c r="G625" i="2"/>
  <c r="F625" i="2"/>
  <c r="E625" i="2"/>
  <c r="D625" i="2"/>
  <c r="C625" i="2"/>
  <c r="B625" i="2"/>
  <c r="A625"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B619" i="2"/>
  <c r="AA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B616" i="2"/>
  <c r="AA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B604" i="2"/>
  <c r="AA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B602" i="2"/>
  <c r="AA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B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B593" i="2"/>
  <c r="AA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B584" i="2"/>
  <c r="AA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B581" i="2"/>
  <c r="AA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C578" i="2"/>
  <c r="B578" i="2"/>
  <c r="A578"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B573" i="2"/>
  <c r="AA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B572" i="2"/>
  <c r="AA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B571" i="2"/>
  <c r="AA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B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B566" i="2"/>
  <c r="AA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B564" i="2"/>
  <c r="AA564" i="2"/>
  <c r="Z564" i="2"/>
  <c r="Y564" i="2"/>
  <c r="X564" i="2"/>
  <c r="W564" i="2"/>
  <c r="V564" i="2"/>
  <c r="U564" i="2"/>
  <c r="T564" i="2"/>
  <c r="S564" i="2"/>
  <c r="R564" i="2"/>
  <c r="Q564" i="2"/>
  <c r="P564" i="2"/>
  <c r="O564" i="2"/>
  <c r="N564" i="2"/>
  <c r="M564" i="2"/>
  <c r="L564" i="2"/>
  <c r="K564" i="2"/>
  <c r="J564" i="2"/>
  <c r="I564" i="2"/>
  <c r="H564" i="2"/>
  <c r="G564" i="2"/>
  <c r="F564" i="2"/>
  <c r="E564" i="2"/>
  <c r="D564" i="2"/>
  <c r="C564" i="2"/>
  <c r="B564" i="2"/>
  <c r="A564" i="2"/>
  <c r="AB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B552" i="2"/>
  <c r="AA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B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B550" i="2"/>
  <c r="AA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B547" i="2"/>
  <c r="AA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B542" i="2"/>
  <c r="AA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B540" i="2"/>
  <c r="AA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B538" i="2"/>
  <c r="AA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B537" i="2"/>
  <c r="AA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B535" i="2"/>
  <c r="AA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B532" i="2"/>
  <c r="AA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B524" i="2"/>
  <c r="AA524" i="2"/>
  <c r="Z524" i="2"/>
  <c r="Y524" i="2"/>
  <c r="X524" i="2"/>
  <c r="W524" i="2"/>
  <c r="V524" i="2"/>
  <c r="U524" i="2"/>
  <c r="T524" i="2"/>
  <c r="S524" i="2"/>
  <c r="R524" i="2"/>
  <c r="Q524" i="2"/>
  <c r="P524" i="2"/>
  <c r="O524" i="2"/>
  <c r="N524" i="2"/>
  <c r="M524" i="2"/>
  <c r="L524" i="2"/>
  <c r="K524" i="2"/>
  <c r="J524" i="2"/>
  <c r="I524" i="2"/>
  <c r="H524" i="2"/>
  <c r="G524" i="2"/>
  <c r="F524" i="2"/>
  <c r="E524" i="2"/>
  <c r="D524" i="2"/>
  <c r="C524" i="2"/>
  <c r="B524" i="2"/>
  <c r="A524"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B522" i="2"/>
  <c r="AA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B520" i="2"/>
  <c r="AA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B518" i="2"/>
  <c r="AA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B517" i="2"/>
  <c r="AA517" i="2"/>
  <c r="Z517" i="2"/>
  <c r="Y517" i="2"/>
  <c r="X517" i="2"/>
  <c r="W517" i="2"/>
  <c r="V517" i="2"/>
  <c r="U517" i="2"/>
  <c r="T517" i="2"/>
  <c r="S517" i="2"/>
  <c r="R517" i="2"/>
  <c r="Q517" i="2"/>
  <c r="P517" i="2"/>
  <c r="O517" i="2"/>
  <c r="N517" i="2"/>
  <c r="M517" i="2"/>
  <c r="L517" i="2"/>
  <c r="K517" i="2"/>
  <c r="J517" i="2"/>
  <c r="I517" i="2"/>
  <c r="H517" i="2"/>
  <c r="G517" i="2"/>
  <c r="F517" i="2"/>
  <c r="E517" i="2"/>
  <c r="D517" i="2"/>
  <c r="C517" i="2"/>
  <c r="B517" i="2"/>
  <c r="A517"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B512" i="2"/>
  <c r="AA512" i="2"/>
  <c r="Z512" i="2"/>
  <c r="Y512" i="2"/>
  <c r="X512" i="2"/>
  <c r="W512" i="2"/>
  <c r="V512" i="2"/>
  <c r="U512" i="2"/>
  <c r="T512" i="2"/>
  <c r="S512" i="2"/>
  <c r="R512" i="2"/>
  <c r="Q512" i="2"/>
  <c r="P512" i="2"/>
  <c r="O512" i="2"/>
  <c r="N512" i="2"/>
  <c r="M512" i="2"/>
  <c r="L512" i="2"/>
  <c r="K512" i="2"/>
  <c r="J512" i="2"/>
  <c r="I512" i="2"/>
  <c r="H512" i="2"/>
  <c r="G512" i="2"/>
  <c r="F512" i="2"/>
  <c r="E512" i="2"/>
  <c r="D512" i="2"/>
  <c r="C512" i="2"/>
  <c r="B512" i="2"/>
  <c r="A512" i="2"/>
  <c r="AB511" i="2"/>
  <c r="AA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B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B503" i="2"/>
  <c r="AA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B502" i="2"/>
  <c r="AA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B500" i="2"/>
  <c r="AA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B498" i="2"/>
  <c r="AA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B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B495" i="2"/>
  <c r="AA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B485" i="2"/>
  <c r="AA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B484" i="2"/>
  <c r="AA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B476" i="2"/>
  <c r="AA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B475" i="2"/>
  <c r="AA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B468" i="2"/>
  <c r="AA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B465" i="2"/>
  <c r="AA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B458" i="2"/>
  <c r="AA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B455" i="2"/>
  <c r="AA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B453" i="2"/>
  <c r="AA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B448" i="2"/>
  <c r="AA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B447" i="2"/>
  <c r="AA447" i="2"/>
  <c r="Z447" i="2"/>
  <c r="Y447" i="2"/>
  <c r="X447" i="2"/>
  <c r="W447" i="2"/>
  <c r="V447" i="2"/>
  <c r="U447" i="2"/>
  <c r="T447" i="2"/>
  <c r="S447" i="2"/>
  <c r="R447" i="2"/>
  <c r="Q447" i="2"/>
  <c r="P447" i="2"/>
  <c r="O447" i="2"/>
  <c r="N447" i="2"/>
  <c r="M447" i="2"/>
  <c r="L447" i="2"/>
  <c r="K447" i="2"/>
  <c r="J447" i="2"/>
  <c r="I447" i="2"/>
  <c r="H447" i="2"/>
  <c r="G447" i="2"/>
  <c r="F447" i="2"/>
  <c r="E447" i="2"/>
  <c r="D447" i="2"/>
  <c r="C447" i="2"/>
  <c r="B447" i="2"/>
  <c r="A447"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B445" i="2"/>
  <c r="AA445" i="2"/>
  <c r="Z445" i="2"/>
  <c r="Y445" i="2"/>
  <c r="X445" i="2"/>
  <c r="W445" i="2"/>
  <c r="V445" i="2"/>
  <c r="U445" i="2"/>
  <c r="T445" i="2"/>
  <c r="S445" i="2"/>
  <c r="R445" i="2"/>
  <c r="Q445" i="2"/>
  <c r="P445" i="2"/>
  <c r="O445" i="2"/>
  <c r="N445" i="2"/>
  <c r="M445" i="2"/>
  <c r="L445" i="2"/>
  <c r="K445" i="2"/>
  <c r="J445" i="2"/>
  <c r="I445" i="2"/>
  <c r="H445" i="2"/>
  <c r="G445" i="2"/>
  <c r="F445" i="2"/>
  <c r="E445" i="2"/>
  <c r="D445" i="2"/>
  <c r="C445" i="2"/>
  <c r="B445" i="2"/>
  <c r="A445"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B439" i="2"/>
  <c r="AA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B436" i="2"/>
  <c r="AA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B433" i="2"/>
  <c r="AA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B432" i="2"/>
  <c r="AA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B431" i="2"/>
  <c r="AA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B426" i="2"/>
  <c r="AA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B425" i="2"/>
  <c r="AA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B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B418" i="2"/>
  <c r="AA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B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B390" i="2"/>
  <c r="AA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B389" i="2"/>
  <c r="AA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B386" i="2"/>
  <c r="AA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B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B384" i="2"/>
  <c r="AA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B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B379" i="2"/>
  <c r="AA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B370" i="2"/>
  <c r="AA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B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B366" i="2"/>
  <c r="AA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B363" i="2"/>
  <c r="AA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B349" i="2"/>
  <c r="AA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B342" i="2"/>
  <c r="AA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B341" i="2"/>
  <c r="AA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B340" i="2"/>
  <c r="AA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B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B336" i="2"/>
  <c r="AA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B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B332" i="2"/>
  <c r="AA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B324" i="2"/>
  <c r="AA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B320" i="2"/>
  <c r="AA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B319" i="2"/>
  <c r="AA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B318" i="2"/>
  <c r="AA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B316" i="2"/>
  <c r="AA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B315" i="2"/>
  <c r="AA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B314" i="2"/>
  <c r="AA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B313" i="2"/>
  <c r="AA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B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B309" i="2"/>
  <c r="AA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B303" i="2"/>
  <c r="AA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B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B301" i="2"/>
  <c r="AA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B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B296" i="2"/>
  <c r="AA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B294" i="2"/>
  <c r="AA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B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B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B278" i="2"/>
  <c r="AA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B274" i="2"/>
  <c r="AA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B272" i="2"/>
  <c r="AA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B271" i="2"/>
  <c r="AA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B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B260" i="2"/>
  <c r="AA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B259" i="2"/>
  <c r="AA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B252" i="2"/>
  <c r="AA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B247" i="2"/>
  <c r="AA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B244" i="2"/>
  <c r="AA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B240" i="2"/>
  <c r="AA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B235" i="2"/>
  <c r="AA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B229" i="2"/>
  <c r="AA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B228" i="2"/>
  <c r="AA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B226" i="2"/>
  <c r="AA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B221" i="2"/>
  <c r="AA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B220" i="2"/>
  <c r="AA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B219" i="2"/>
  <c r="AA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B213" i="2"/>
  <c r="AA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B211" i="2"/>
  <c r="AA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B206" i="2"/>
  <c r="AA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B205" i="2"/>
  <c r="AA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B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B199" i="2"/>
  <c r="AA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B198" i="2"/>
  <c r="AA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B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B194" i="2"/>
  <c r="AA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B191" i="2"/>
  <c r="AA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B190" i="2"/>
  <c r="AA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B189" i="2"/>
  <c r="AA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B186" i="2"/>
  <c r="AA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B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B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B182" i="2"/>
  <c r="AA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B179" i="2"/>
  <c r="AA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B178" i="2"/>
  <c r="AA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B177" i="2"/>
  <c r="AA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B172" i="2"/>
  <c r="AA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B170" i="2"/>
  <c r="AA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B169" i="2"/>
  <c r="AA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B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B167" i="2"/>
  <c r="AA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B165" i="2"/>
  <c r="AA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B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B162" i="2"/>
  <c r="AA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B160" i="2"/>
  <c r="AA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B159" i="2"/>
  <c r="AA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B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B157" i="2"/>
  <c r="AA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B154" i="2"/>
  <c r="AA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B152" i="2"/>
  <c r="AA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B150" i="2"/>
  <c r="AA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B149" i="2"/>
  <c r="AA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B148" i="2"/>
  <c r="AA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B145" i="2"/>
  <c r="AA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B142" i="2"/>
  <c r="AA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B141" i="2"/>
  <c r="AA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B137" i="2"/>
  <c r="AA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B135" i="2"/>
  <c r="AA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B134" i="2"/>
  <c r="AA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B133" i="2"/>
  <c r="AA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B125" i="2"/>
  <c r="AA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B123" i="2"/>
  <c r="AA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B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B118" i="2"/>
  <c r="AA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B117" i="2"/>
  <c r="AA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B116" i="2"/>
  <c r="AA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B115" i="2"/>
  <c r="AA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B113" i="2"/>
  <c r="AA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B112" i="2"/>
  <c r="AA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B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B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B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B104" i="2"/>
  <c r="AA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B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B100" i="2"/>
  <c r="AA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B98" i="2"/>
  <c r="AA98" i="2"/>
  <c r="Z98" i="2"/>
  <c r="Y98" i="2"/>
  <c r="X98" i="2"/>
  <c r="W98" i="2"/>
  <c r="V98" i="2"/>
  <c r="U98" i="2"/>
  <c r="T98" i="2"/>
  <c r="S98" i="2"/>
  <c r="R98" i="2"/>
  <c r="Q98" i="2"/>
  <c r="P98" i="2"/>
  <c r="O98" i="2"/>
  <c r="N98" i="2"/>
  <c r="M98" i="2"/>
  <c r="L98" i="2"/>
  <c r="K98" i="2"/>
  <c r="J98" i="2"/>
  <c r="I98" i="2"/>
  <c r="H98" i="2"/>
  <c r="G98" i="2"/>
  <c r="F98" i="2"/>
  <c r="E98" i="2"/>
  <c r="D98" i="2"/>
  <c r="C98" i="2"/>
  <c r="B98" i="2"/>
  <c r="A98" i="2"/>
  <c r="AB97" i="2"/>
  <c r="AA97" i="2"/>
  <c r="Z97" i="2"/>
  <c r="Y97" i="2"/>
  <c r="X97" i="2"/>
  <c r="W97" i="2"/>
  <c r="V97" i="2"/>
  <c r="U97" i="2"/>
  <c r="T97" i="2"/>
  <c r="S97" i="2"/>
  <c r="R97" i="2"/>
  <c r="Q97" i="2"/>
  <c r="P97" i="2"/>
  <c r="O97" i="2"/>
  <c r="N97" i="2"/>
  <c r="M97" i="2"/>
  <c r="L97" i="2"/>
  <c r="K97" i="2"/>
  <c r="J97" i="2"/>
  <c r="I97" i="2"/>
  <c r="H97" i="2"/>
  <c r="G97" i="2"/>
  <c r="F97" i="2"/>
  <c r="E97" i="2"/>
  <c r="D97" i="2"/>
  <c r="C97" i="2"/>
  <c r="B97" i="2"/>
  <c r="A97" i="2"/>
  <c r="AB96" i="2"/>
  <c r="AA96" i="2"/>
  <c r="Z96" i="2"/>
  <c r="Y96" i="2"/>
  <c r="X96" i="2"/>
  <c r="W96" i="2"/>
  <c r="V96" i="2"/>
  <c r="U96" i="2"/>
  <c r="T96" i="2"/>
  <c r="S96" i="2"/>
  <c r="R96" i="2"/>
  <c r="Q96" i="2"/>
  <c r="P96" i="2"/>
  <c r="O96" i="2"/>
  <c r="N96" i="2"/>
  <c r="M96" i="2"/>
  <c r="L96" i="2"/>
  <c r="K96" i="2"/>
  <c r="J96" i="2"/>
  <c r="I96" i="2"/>
  <c r="H96" i="2"/>
  <c r="G96" i="2"/>
  <c r="F96" i="2"/>
  <c r="E96" i="2"/>
  <c r="D96" i="2"/>
  <c r="C96" i="2"/>
  <c r="B96" i="2"/>
  <c r="A96"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B92" i="2"/>
  <c r="AA92" i="2"/>
  <c r="Z92" i="2"/>
  <c r="Y92" i="2"/>
  <c r="X92" i="2"/>
  <c r="W92" i="2"/>
  <c r="V92" i="2"/>
  <c r="U92" i="2"/>
  <c r="T92" i="2"/>
  <c r="S92" i="2"/>
  <c r="R92" i="2"/>
  <c r="Q92" i="2"/>
  <c r="P92" i="2"/>
  <c r="O92" i="2"/>
  <c r="N92" i="2"/>
  <c r="M92" i="2"/>
  <c r="L92" i="2"/>
  <c r="K92" i="2"/>
  <c r="J92" i="2"/>
  <c r="I92" i="2"/>
  <c r="H92" i="2"/>
  <c r="G92" i="2"/>
  <c r="F92" i="2"/>
  <c r="E92" i="2"/>
  <c r="D92" i="2"/>
  <c r="C92" i="2"/>
  <c r="B92" i="2"/>
  <c r="A92" i="2"/>
  <c r="AB91" i="2"/>
  <c r="AA91" i="2"/>
  <c r="Z91" i="2"/>
  <c r="Y91" i="2"/>
  <c r="X91" i="2"/>
  <c r="W91" i="2"/>
  <c r="V91" i="2"/>
  <c r="U91" i="2"/>
  <c r="T91" i="2"/>
  <c r="S91" i="2"/>
  <c r="R91" i="2"/>
  <c r="Q91" i="2"/>
  <c r="P91" i="2"/>
  <c r="O91" i="2"/>
  <c r="N91" i="2"/>
  <c r="M91" i="2"/>
  <c r="L91" i="2"/>
  <c r="K91" i="2"/>
  <c r="J91" i="2"/>
  <c r="I91" i="2"/>
  <c r="H91" i="2"/>
  <c r="G91" i="2"/>
  <c r="F91" i="2"/>
  <c r="E91" i="2"/>
  <c r="D91" i="2"/>
  <c r="C91" i="2"/>
  <c r="B91" i="2"/>
  <c r="A91" i="2"/>
  <c r="AB90" i="2"/>
  <c r="AA90" i="2"/>
  <c r="Z90" i="2"/>
  <c r="Y90" i="2"/>
  <c r="X90" i="2"/>
  <c r="W90" i="2"/>
  <c r="V90" i="2"/>
  <c r="U90" i="2"/>
  <c r="T90" i="2"/>
  <c r="S90" i="2"/>
  <c r="R90" i="2"/>
  <c r="Q90" i="2"/>
  <c r="P90" i="2"/>
  <c r="O90" i="2"/>
  <c r="N90" i="2"/>
  <c r="M90" i="2"/>
  <c r="L90" i="2"/>
  <c r="K90" i="2"/>
  <c r="J90" i="2"/>
  <c r="I90" i="2"/>
  <c r="H90" i="2"/>
  <c r="G90" i="2"/>
  <c r="F90" i="2"/>
  <c r="E90" i="2"/>
  <c r="D90" i="2"/>
  <c r="C90" i="2"/>
  <c r="B90" i="2"/>
  <c r="A90" i="2"/>
  <c r="AB89" i="2"/>
  <c r="AA89" i="2"/>
  <c r="Z89" i="2"/>
  <c r="Y89" i="2"/>
  <c r="X89" i="2"/>
  <c r="W89" i="2"/>
  <c r="V89" i="2"/>
  <c r="U89" i="2"/>
  <c r="T89" i="2"/>
  <c r="S89" i="2"/>
  <c r="R89" i="2"/>
  <c r="Q89" i="2"/>
  <c r="P89" i="2"/>
  <c r="O89" i="2"/>
  <c r="N89" i="2"/>
  <c r="M89" i="2"/>
  <c r="L89" i="2"/>
  <c r="K89" i="2"/>
  <c r="J89" i="2"/>
  <c r="I89" i="2"/>
  <c r="H89" i="2"/>
  <c r="G89" i="2"/>
  <c r="F89" i="2"/>
  <c r="E89" i="2"/>
  <c r="D89" i="2"/>
  <c r="C89" i="2"/>
  <c r="B89" i="2"/>
  <c r="A89" i="2"/>
  <c r="AB88" i="2"/>
  <c r="AA88" i="2"/>
  <c r="Z88" i="2"/>
  <c r="Y88" i="2"/>
  <c r="X88" i="2"/>
  <c r="W88" i="2"/>
  <c r="V88" i="2"/>
  <c r="U88" i="2"/>
  <c r="T88" i="2"/>
  <c r="S88" i="2"/>
  <c r="R88" i="2"/>
  <c r="Q88" i="2"/>
  <c r="P88" i="2"/>
  <c r="O88" i="2"/>
  <c r="N88" i="2"/>
  <c r="M88" i="2"/>
  <c r="L88" i="2"/>
  <c r="K88" i="2"/>
  <c r="J88" i="2"/>
  <c r="I88" i="2"/>
  <c r="H88" i="2"/>
  <c r="G88" i="2"/>
  <c r="F88" i="2"/>
  <c r="E88" i="2"/>
  <c r="D88" i="2"/>
  <c r="C88" i="2"/>
  <c r="B88" i="2"/>
  <c r="A88"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B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B85" i="2"/>
  <c r="AA85" i="2"/>
  <c r="Z85" i="2"/>
  <c r="Y85" i="2"/>
  <c r="X85" i="2"/>
  <c r="W85" i="2"/>
  <c r="V85" i="2"/>
  <c r="U85" i="2"/>
  <c r="T85" i="2"/>
  <c r="S85" i="2"/>
  <c r="R85" i="2"/>
  <c r="Q85" i="2"/>
  <c r="P85" i="2"/>
  <c r="O85" i="2"/>
  <c r="N85" i="2"/>
  <c r="M85" i="2"/>
  <c r="L85" i="2"/>
  <c r="K85" i="2"/>
  <c r="J85" i="2"/>
  <c r="I85" i="2"/>
  <c r="H85" i="2"/>
  <c r="G85" i="2"/>
  <c r="F85" i="2"/>
  <c r="E85" i="2"/>
  <c r="D85" i="2"/>
  <c r="C85" i="2"/>
  <c r="B85" i="2"/>
  <c r="A85" i="2"/>
  <c r="AB84" i="2"/>
  <c r="AA84" i="2"/>
  <c r="Z84" i="2"/>
  <c r="Y84" i="2"/>
  <c r="X84" i="2"/>
  <c r="W84" i="2"/>
  <c r="V84" i="2"/>
  <c r="U84" i="2"/>
  <c r="T84" i="2"/>
  <c r="S84" i="2"/>
  <c r="R84" i="2"/>
  <c r="Q84" i="2"/>
  <c r="P84" i="2"/>
  <c r="O84" i="2"/>
  <c r="N84" i="2"/>
  <c r="M84" i="2"/>
  <c r="L84" i="2"/>
  <c r="K84" i="2"/>
  <c r="J84" i="2"/>
  <c r="I84" i="2"/>
  <c r="H84" i="2"/>
  <c r="G84" i="2"/>
  <c r="F84" i="2"/>
  <c r="E84" i="2"/>
  <c r="D84" i="2"/>
  <c r="C84" i="2"/>
  <c r="B84" i="2"/>
  <c r="A84" i="2"/>
  <c r="AB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B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B81" i="2"/>
  <c r="AA81" i="2"/>
  <c r="Z81" i="2"/>
  <c r="Y81" i="2"/>
  <c r="X81" i="2"/>
  <c r="W81" i="2"/>
  <c r="V81" i="2"/>
  <c r="U81" i="2"/>
  <c r="T81" i="2"/>
  <c r="S81" i="2"/>
  <c r="R81" i="2"/>
  <c r="Q81" i="2"/>
  <c r="P81" i="2"/>
  <c r="O81" i="2"/>
  <c r="N81" i="2"/>
  <c r="M81" i="2"/>
  <c r="L81" i="2"/>
  <c r="K81" i="2"/>
  <c r="J81" i="2"/>
  <c r="I81" i="2"/>
  <c r="H81" i="2"/>
  <c r="G81" i="2"/>
  <c r="F81" i="2"/>
  <c r="E81" i="2"/>
  <c r="D81" i="2"/>
  <c r="C81" i="2"/>
  <c r="B81" i="2"/>
  <c r="A81" i="2"/>
  <c r="AB80" i="2"/>
  <c r="AA80" i="2"/>
  <c r="Z80" i="2"/>
  <c r="Y80" i="2"/>
  <c r="X80" i="2"/>
  <c r="W80" i="2"/>
  <c r="V80" i="2"/>
  <c r="U80" i="2"/>
  <c r="T80" i="2"/>
  <c r="S80" i="2"/>
  <c r="R80" i="2"/>
  <c r="Q80" i="2"/>
  <c r="P80" i="2"/>
  <c r="O80" i="2"/>
  <c r="N80" i="2"/>
  <c r="M80" i="2"/>
  <c r="L80" i="2"/>
  <c r="K80" i="2"/>
  <c r="J80" i="2"/>
  <c r="I80" i="2"/>
  <c r="H80" i="2"/>
  <c r="G80" i="2"/>
  <c r="F80" i="2"/>
  <c r="E80" i="2"/>
  <c r="D80" i="2"/>
  <c r="C80" i="2"/>
  <c r="B80" i="2"/>
  <c r="A80" i="2"/>
  <c r="AB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B78" i="2"/>
  <c r="AA78" i="2"/>
  <c r="Z78" i="2"/>
  <c r="Y78" i="2"/>
  <c r="X78" i="2"/>
  <c r="W78" i="2"/>
  <c r="V78" i="2"/>
  <c r="U78" i="2"/>
  <c r="T78" i="2"/>
  <c r="S78" i="2"/>
  <c r="R78" i="2"/>
  <c r="Q78" i="2"/>
  <c r="P78" i="2"/>
  <c r="O78" i="2"/>
  <c r="N78" i="2"/>
  <c r="M78" i="2"/>
  <c r="L78" i="2"/>
  <c r="K78" i="2"/>
  <c r="J78" i="2"/>
  <c r="I78" i="2"/>
  <c r="H78" i="2"/>
  <c r="G78" i="2"/>
  <c r="F78" i="2"/>
  <c r="E78" i="2"/>
  <c r="D78" i="2"/>
  <c r="C78" i="2"/>
  <c r="B78" i="2"/>
  <c r="A78" i="2"/>
  <c r="AB77" i="2"/>
  <c r="AA77" i="2"/>
  <c r="Z77" i="2"/>
  <c r="Y77" i="2"/>
  <c r="X77" i="2"/>
  <c r="W77" i="2"/>
  <c r="V77" i="2"/>
  <c r="U77" i="2"/>
  <c r="T77" i="2"/>
  <c r="S77" i="2"/>
  <c r="R77" i="2"/>
  <c r="Q77" i="2"/>
  <c r="P77" i="2"/>
  <c r="O77" i="2"/>
  <c r="N77" i="2"/>
  <c r="M77" i="2"/>
  <c r="L77" i="2"/>
  <c r="K77" i="2"/>
  <c r="J77" i="2"/>
  <c r="I77" i="2"/>
  <c r="H77" i="2"/>
  <c r="G77" i="2"/>
  <c r="F77" i="2"/>
  <c r="E77" i="2"/>
  <c r="D77" i="2"/>
  <c r="C77" i="2"/>
  <c r="B77" i="2"/>
  <c r="A77" i="2"/>
  <c r="AB76" i="2"/>
  <c r="AA76" i="2"/>
  <c r="Z76" i="2"/>
  <c r="Y76" i="2"/>
  <c r="X76" i="2"/>
  <c r="W76" i="2"/>
  <c r="V76" i="2"/>
  <c r="U76" i="2"/>
  <c r="T76" i="2"/>
  <c r="S76" i="2"/>
  <c r="R76" i="2"/>
  <c r="Q76" i="2"/>
  <c r="P76" i="2"/>
  <c r="O76" i="2"/>
  <c r="N76" i="2"/>
  <c r="M76" i="2"/>
  <c r="L76" i="2"/>
  <c r="K76" i="2"/>
  <c r="J76" i="2"/>
  <c r="I76" i="2"/>
  <c r="H76" i="2"/>
  <c r="G76" i="2"/>
  <c r="F76" i="2"/>
  <c r="E76" i="2"/>
  <c r="D76" i="2"/>
  <c r="C76" i="2"/>
  <c r="B76" i="2"/>
  <c r="A76"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B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B71" i="2"/>
  <c r="AA71" i="2"/>
  <c r="Z71" i="2"/>
  <c r="Y71" i="2"/>
  <c r="X71" i="2"/>
  <c r="W71" i="2"/>
  <c r="V71" i="2"/>
  <c r="U71" i="2"/>
  <c r="T71" i="2"/>
  <c r="S71" i="2"/>
  <c r="R71" i="2"/>
  <c r="Q71" i="2"/>
  <c r="P71" i="2"/>
  <c r="O71" i="2"/>
  <c r="N71" i="2"/>
  <c r="M71" i="2"/>
  <c r="L71" i="2"/>
  <c r="K71" i="2"/>
  <c r="J71" i="2"/>
  <c r="I71" i="2"/>
  <c r="H71" i="2"/>
  <c r="G71" i="2"/>
  <c r="F71" i="2"/>
  <c r="E71" i="2"/>
  <c r="D71" i="2"/>
  <c r="C71" i="2"/>
  <c r="B71" i="2"/>
  <c r="A71" i="2"/>
  <c r="AB70" i="2"/>
  <c r="AA70" i="2"/>
  <c r="Z70" i="2"/>
  <c r="Y70" i="2"/>
  <c r="X70" i="2"/>
  <c r="W70" i="2"/>
  <c r="V70" i="2"/>
  <c r="U70" i="2"/>
  <c r="T70" i="2"/>
  <c r="S70" i="2"/>
  <c r="R70" i="2"/>
  <c r="Q70" i="2"/>
  <c r="P70" i="2"/>
  <c r="O70" i="2"/>
  <c r="N70" i="2"/>
  <c r="M70" i="2"/>
  <c r="L70" i="2"/>
  <c r="K70" i="2"/>
  <c r="J70" i="2"/>
  <c r="I70" i="2"/>
  <c r="H70" i="2"/>
  <c r="G70" i="2"/>
  <c r="F70" i="2"/>
  <c r="E70" i="2"/>
  <c r="D70" i="2"/>
  <c r="C70" i="2"/>
  <c r="B70" i="2"/>
  <c r="A70"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B67" i="2"/>
  <c r="AA67" i="2"/>
  <c r="Z67" i="2"/>
  <c r="Y67" i="2"/>
  <c r="X67" i="2"/>
  <c r="W67" i="2"/>
  <c r="V67" i="2"/>
  <c r="U67" i="2"/>
  <c r="T67" i="2"/>
  <c r="S67" i="2"/>
  <c r="R67" i="2"/>
  <c r="Q67" i="2"/>
  <c r="P67" i="2"/>
  <c r="O67" i="2"/>
  <c r="N67" i="2"/>
  <c r="M67" i="2"/>
  <c r="L67" i="2"/>
  <c r="K67" i="2"/>
  <c r="J67" i="2"/>
  <c r="I67" i="2"/>
  <c r="H67" i="2"/>
  <c r="G67" i="2"/>
  <c r="F67" i="2"/>
  <c r="E67" i="2"/>
  <c r="D67" i="2"/>
  <c r="C67" i="2"/>
  <c r="B67" i="2"/>
  <c r="A67" i="2"/>
  <c r="AB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B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B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B57" i="2"/>
  <c r="AA57" i="2"/>
  <c r="Z57" i="2"/>
  <c r="Y57" i="2"/>
  <c r="X57" i="2"/>
  <c r="W57" i="2"/>
  <c r="V57" i="2"/>
  <c r="U57" i="2"/>
  <c r="T57" i="2"/>
  <c r="S57" i="2"/>
  <c r="R57" i="2"/>
  <c r="Q57" i="2"/>
  <c r="P57" i="2"/>
  <c r="O57" i="2"/>
  <c r="N57" i="2"/>
  <c r="M57" i="2"/>
  <c r="L57" i="2"/>
  <c r="K57" i="2"/>
  <c r="J57" i="2"/>
  <c r="I57" i="2"/>
  <c r="H57" i="2"/>
  <c r="G57" i="2"/>
  <c r="F57" i="2"/>
  <c r="E57" i="2"/>
  <c r="D57" i="2"/>
  <c r="C57" i="2"/>
  <c r="B57" i="2"/>
  <c r="A57"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B55" i="2"/>
  <c r="AA55" i="2"/>
  <c r="Z55" i="2"/>
  <c r="Y55" i="2"/>
  <c r="X55" i="2"/>
  <c r="W55" i="2"/>
  <c r="V55" i="2"/>
  <c r="U55" i="2"/>
  <c r="T55" i="2"/>
  <c r="S55" i="2"/>
  <c r="R55" i="2"/>
  <c r="Q55" i="2"/>
  <c r="P55" i="2"/>
  <c r="O55" i="2"/>
  <c r="N55" i="2"/>
  <c r="M55" i="2"/>
  <c r="L55" i="2"/>
  <c r="K55" i="2"/>
  <c r="J55" i="2"/>
  <c r="I55" i="2"/>
  <c r="H55" i="2"/>
  <c r="G55" i="2"/>
  <c r="F55" i="2"/>
  <c r="E55" i="2"/>
  <c r="D55" i="2"/>
  <c r="C55" i="2"/>
  <c r="B55" i="2"/>
  <c r="A55" i="2"/>
  <c r="AB54" i="2"/>
  <c r="AA54" i="2"/>
  <c r="Z54" i="2"/>
  <c r="Y54" i="2"/>
  <c r="X54" i="2"/>
  <c r="W54" i="2"/>
  <c r="V54" i="2"/>
  <c r="U54" i="2"/>
  <c r="T54" i="2"/>
  <c r="S54" i="2"/>
  <c r="R54" i="2"/>
  <c r="Q54" i="2"/>
  <c r="P54" i="2"/>
  <c r="O54" i="2"/>
  <c r="N54" i="2"/>
  <c r="M54" i="2"/>
  <c r="L54" i="2"/>
  <c r="K54" i="2"/>
  <c r="J54" i="2"/>
  <c r="I54" i="2"/>
  <c r="H54" i="2"/>
  <c r="G54" i="2"/>
  <c r="F54" i="2"/>
  <c r="E54" i="2"/>
  <c r="D54" i="2"/>
  <c r="C54" i="2"/>
  <c r="B54" i="2"/>
  <c r="A54" i="2"/>
  <c r="AB53" i="2"/>
  <c r="AA53" i="2"/>
  <c r="Z53" i="2"/>
  <c r="Y53" i="2"/>
  <c r="X53" i="2"/>
  <c r="W53" i="2"/>
  <c r="V53" i="2"/>
  <c r="U53" i="2"/>
  <c r="T53" i="2"/>
  <c r="S53" i="2"/>
  <c r="R53" i="2"/>
  <c r="Q53" i="2"/>
  <c r="P53" i="2"/>
  <c r="O53" i="2"/>
  <c r="N53" i="2"/>
  <c r="M53" i="2"/>
  <c r="L53" i="2"/>
  <c r="K53" i="2"/>
  <c r="J53" i="2"/>
  <c r="I53" i="2"/>
  <c r="H53" i="2"/>
  <c r="G53" i="2"/>
  <c r="F53" i="2"/>
  <c r="E53" i="2"/>
  <c r="D53" i="2"/>
  <c r="C53" i="2"/>
  <c r="B53" i="2"/>
  <c r="A53" i="2"/>
  <c r="AB52" i="2"/>
  <c r="AA52" i="2"/>
  <c r="Z52" i="2"/>
  <c r="Y52" i="2"/>
  <c r="X52" i="2"/>
  <c r="W52" i="2"/>
  <c r="V52" i="2"/>
  <c r="U52" i="2"/>
  <c r="T52" i="2"/>
  <c r="S52" i="2"/>
  <c r="R52" i="2"/>
  <c r="Q52" i="2"/>
  <c r="P52" i="2"/>
  <c r="O52" i="2"/>
  <c r="N52" i="2"/>
  <c r="M52" i="2"/>
  <c r="L52" i="2"/>
  <c r="K52" i="2"/>
  <c r="J52" i="2"/>
  <c r="I52" i="2"/>
  <c r="H52" i="2"/>
  <c r="G52" i="2"/>
  <c r="F52" i="2"/>
  <c r="E52" i="2"/>
  <c r="D52" i="2"/>
  <c r="C52" i="2"/>
  <c r="B52" i="2"/>
  <c r="A52" i="2"/>
  <c r="AB51" i="2"/>
  <c r="AA51" i="2"/>
  <c r="Z51" i="2"/>
  <c r="Y51" i="2"/>
  <c r="X51" i="2"/>
  <c r="W51" i="2"/>
  <c r="V51" i="2"/>
  <c r="U51" i="2"/>
  <c r="T51" i="2"/>
  <c r="S51" i="2"/>
  <c r="R51" i="2"/>
  <c r="Q51" i="2"/>
  <c r="P51" i="2"/>
  <c r="O51" i="2"/>
  <c r="N51" i="2"/>
  <c r="M51" i="2"/>
  <c r="L51" i="2"/>
  <c r="K51" i="2"/>
  <c r="J51" i="2"/>
  <c r="I51" i="2"/>
  <c r="H51" i="2"/>
  <c r="G51" i="2"/>
  <c r="F51" i="2"/>
  <c r="E51" i="2"/>
  <c r="D51" i="2"/>
  <c r="C51" i="2"/>
  <c r="B51" i="2"/>
  <c r="A51" i="2"/>
  <c r="AB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B49" i="2"/>
  <c r="AA49" i="2"/>
  <c r="Z49" i="2"/>
  <c r="Y49" i="2"/>
  <c r="X49" i="2"/>
  <c r="W49" i="2"/>
  <c r="V49" i="2"/>
  <c r="U49" i="2"/>
  <c r="T49" i="2"/>
  <c r="S49" i="2"/>
  <c r="R49" i="2"/>
  <c r="Q49" i="2"/>
  <c r="P49" i="2"/>
  <c r="O49" i="2"/>
  <c r="N49" i="2"/>
  <c r="M49" i="2"/>
  <c r="L49" i="2"/>
  <c r="K49" i="2"/>
  <c r="J49" i="2"/>
  <c r="I49" i="2"/>
  <c r="H49" i="2"/>
  <c r="G49" i="2"/>
  <c r="F49" i="2"/>
  <c r="E49" i="2"/>
  <c r="D49" i="2"/>
  <c r="C49" i="2"/>
  <c r="B49" i="2"/>
  <c r="A49" i="2"/>
  <c r="AB48" i="2"/>
  <c r="AA48" i="2"/>
  <c r="Z48" i="2"/>
  <c r="Y48" i="2"/>
  <c r="X48" i="2"/>
  <c r="W48" i="2"/>
  <c r="V48" i="2"/>
  <c r="U48" i="2"/>
  <c r="T48" i="2"/>
  <c r="S48" i="2"/>
  <c r="R48" i="2"/>
  <c r="Q48" i="2"/>
  <c r="P48" i="2"/>
  <c r="O48" i="2"/>
  <c r="N48" i="2"/>
  <c r="M48" i="2"/>
  <c r="L48" i="2"/>
  <c r="K48" i="2"/>
  <c r="J48" i="2"/>
  <c r="I48" i="2"/>
  <c r="H48" i="2"/>
  <c r="G48" i="2"/>
  <c r="F48" i="2"/>
  <c r="E48" i="2"/>
  <c r="D48" i="2"/>
  <c r="C48" i="2"/>
  <c r="B48" i="2"/>
  <c r="A48" i="2"/>
  <c r="AB47" i="2"/>
  <c r="AA47" i="2"/>
  <c r="Z47" i="2"/>
  <c r="Y47" i="2"/>
  <c r="X47" i="2"/>
  <c r="W47" i="2"/>
  <c r="V47" i="2"/>
  <c r="U47" i="2"/>
  <c r="T47" i="2"/>
  <c r="S47" i="2"/>
  <c r="R47" i="2"/>
  <c r="Q47" i="2"/>
  <c r="P47" i="2"/>
  <c r="O47" i="2"/>
  <c r="N47" i="2"/>
  <c r="M47" i="2"/>
  <c r="L47" i="2"/>
  <c r="K47" i="2"/>
  <c r="J47" i="2"/>
  <c r="I47" i="2"/>
  <c r="H47" i="2"/>
  <c r="G47" i="2"/>
  <c r="F47" i="2"/>
  <c r="E47" i="2"/>
  <c r="D47" i="2"/>
  <c r="C47" i="2"/>
  <c r="B47" i="2"/>
  <c r="A47"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B45" i="2"/>
  <c r="AA45" i="2"/>
  <c r="Z45" i="2"/>
  <c r="Y45" i="2"/>
  <c r="X45" i="2"/>
  <c r="W45" i="2"/>
  <c r="V45" i="2"/>
  <c r="U45" i="2"/>
  <c r="T45" i="2"/>
  <c r="S45" i="2"/>
  <c r="R45" i="2"/>
  <c r="Q45" i="2"/>
  <c r="P45" i="2"/>
  <c r="O45" i="2"/>
  <c r="N45" i="2"/>
  <c r="M45" i="2"/>
  <c r="L45" i="2"/>
  <c r="K45" i="2"/>
  <c r="J45" i="2"/>
  <c r="I45" i="2"/>
  <c r="H45" i="2"/>
  <c r="G45" i="2"/>
  <c r="F45" i="2"/>
  <c r="E45" i="2"/>
  <c r="D45" i="2"/>
  <c r="C45" i="2"/>
  <c r="B45" i="2"/>
  <c r="A45" i="2"/>
  <c r="AB44" i="2"/>
  <c r="AA44" i="2"/>
  <c r="Z44" i="2"/>
  <c r="Y44" i="2"/>
  <c r="X44" i="2"/>
  <c r="W44" i="2"/>
  <c r="V44" i="2"/>
  <c r="U44" i="2"/>
  <c r="T44" i="2"/>
  <c r="S44" i="2"/>
  <c r="R44" i="2"/>
  <c r="Q44" i="2"/>
  <c r="P44" i="2"/>
  <c r="O44" i="2"/>
  <c r="N44" i="2"/>
  <c r="M44" i="2"/>
  <c r="L44" i="2"/>
  <c r="K44" i="2"/>
  <c r="J44" i="2"/>
  <c r="I44" i="2"/>
  <c r="H44" i="2"/>
  <c r="G44" i="2"/>
  <c r="F44" i="2"/>
  <c r="E44" i="2"/>
  <c r="D44" i="2"/>
  <c r="C44" i="2"/>
  <c r="B44" i="2"/>
  <c r="A44"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B42" i="2"/>
  <c r="AA42" i="2"/>
  <c r="Z42" i="2"/>
  <c r="Y42" i="2"/>
  <c r="X42" i="2"/>
  <c r="W42" i="2"/>
  <c r="V42" i="2"/>
  <c r="U42" i="2"/>
  <c r="T42" i="2"/>
  <c r="S42" i="2"/>
  <c r="R42" i="2"/>
  <c r="Q42" i="2"/>
  <c r="P42" i="2"/>
  <c r="O42" i="2"/>
  <c r="N42" i="2"/>
  <c r="M42" i="2"/>
  <c r="L42" i="2"/>
  <c r="K42" i="2"/>
  <c r="J42" i="2"/>
  <c r="I42" i="2"/>
  <c r="H42" i="2"/>
  <c r="G42" i="2"/>
  <c r="F42" i="2"/>
  <c r="E42" i="2"/>
  <c r="D42" i="2"/>
  <c r="C42" i="2"/>
  <c r="B42" i="2"/>
  <c r="A42"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B36" i="2"/>
  <c r="AA36" i="2"/>
  <c r="Z36" i="2"/>
  <c r="Y36" i="2"/>
  <c r="X36" i="2"/>
  <c r="W36" i="2"/>
  <c r="V36" i="2"/>
  <c r="U36" i="2"/>
  <c r="T36" i="2"/>
  <c r="S36" i="2"/>
  <c r="R36" i="2"/>
  <c r="Q36" i="2"/>
  <c r="P36" i="2"/>
  <c r="O36" i="2"/>
  <c r="N36" i="2"/>
  <c r="M36" i="2"/>
  <c r="L36" i="2"/>
  <c r="K36" i="2"/>
  <c r="J36" i="2"/>
  <c r="I36" i="2"/>
  <c r="H36" i="2"/>
  <c r="G36" i="2"/>
  <c r="F36" i="2"/>
  <c r="E36" i="2"/>
  <c r="D36" i="2"/>
  <c r="C36" i="2"/>
  <c r="B36" i="2"/>
  <c r="A36"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32" i="2"/>
  <c r="AB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B30" i="2"/>
  <c r="AA30" i="2"/>
  <c r="Z30" i="2"/>
  <c r="Y30" i="2"/>
  <c r="X30" i="2"/>
  <c r="W30" i="2"/>
  <c r="V30" i="2"/>
  <c r="U30" i="2"/>
  <c r="T30" i="2"/>
  <c r="S30" i="2"/>
  <c r="R30" i="2"/>
  <c r="Q30" i="2"/>
  <c r="P30" i="2"/>
  <c r="O30" i="2"/>
  <c r="N30" i="2"/>
  <c r="M30" i="2"/>
  <c r="L30" i="2"/>
  <c r="K30" i="2"/>
  <c r="J30" i="2"/>
  <c r="I30" i="2"/>
  <c r="H30" i="2"/>
  <c r="G30" i="2"/>
  <c r="F30" i="2"/>
  <c r="E30" i="2"/>
  <c r="D30" i="2"/>
  <c r="C30" i="2"/>
  <c r="B30" i="2"/>
  <c r="A30"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B27" i="2"/>
  <c r="AA27" i="2"/>
  <c r="Z27" i="2"/>
  <c r="Y27" i="2"/>
  <c r="X27" i="2"/>
  <c r="W27" i="2"/>
  <c r="V27" i="2"/>
  <c r="U27" i="2"/>
  <c r="T27" i="2"/>
  <c r="S27" i="2"/>
  <c r="R27" i="2"/>
  <c r="Q27" i="2"/>
  <c r="P27" i="2"/>
  <c r="O27" i="2"/>
  <c r="N27" i="2"/>
  <c r="M27" i="2"/>
  <c r="L27" i="2"/>
  <c r="K27" i="2"/>
  <c r="J27" i="2"/>
  <c r="I27" i="2"/>
  <c r="H27" i="2"/>
  <c r="G27" i="2"/>
  <c r="F27" i="2"/>
  <c r="E27" i="2"/>
  <c r="D27" i="2"/>
  <c r="C27" i="2"/>
  <c r="B27" i="2"/>
  <c r="A27"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B24" i="2"/>
  <c r="AA24" i="2"/>
  <c r="Z24" i="2"/>
  <c r="Y24" i="2"/>
  <c r="X24" i="2"/>
  <c r="W24" i="2"/>
  <c r="V24" i="2"/>
  <c r="U24" i="2"/>
  <c r="T24" i="2"/>
  <c r="S24" i="2"/>
  <c r="R24" i="2"/>
  <c r="Q24" i="2"/>
  <c r="P24" i="2"/>
  <c r="O24" i="2"/>
  <c r="N24" i="2"/>
  <c r="M24" i="2"/>
  <c r="L24" i="2"/>
  <c r="K24" i="2"/>
  <c r="J24" i="2"/>
  <c r="I24" i="2"/>
  <c r="H24" i="2"/>
  <c r="G24" i="2"/>
  <c r="F24" i="2"/>
  <c r="E24" i="2"/>
  <c r="D24" i="2"/>
  <c r="C24" i="2"/>
  <c r="B24" i="2"/>
  <c r="A24" i="2"/>
  <c r="AB23" i="2"/>
  <c r="AA23" i="2"/>
  <c r="Z23" i="2"/>
  <c r="Y23" i="2"/>
  <c r="X23" i="2"/>
  <c r="W23" i="2"/>
  <c r="V23" i="2"/>
  <c r="U23" i="2"/>
  <c r="T23" i="2"/>
  <c r="S23" i="2"/>
  <c r="R23" i="2"/>
  <c r="Q23" i="2"/>
  <c r="P23" i="2"/>
  <c r="O23" i="2"/>
  <c r="N23" i="2"/>
  <c r="M23" i="2"/>
  <c r="L23" i="2"/>
  <c r="K23" i="2"/>
  <c r="J23" i="2"/>
  <c r="I23" i="2"/>
  <c r="H23" i="2"/>
  <c r="G23" i="2"/>
  <c r="F23" i="2"/>
  <c r="E23" i="2"/>
  <c r="D23" i="2"/>
  <c r="C23" i="2"/>
  <c r="B23" i="2"/>
  <c r="A23"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B17" i="2"/>
  <c r="AA17" i="2"/>
  <c r="Z17" i="2"/>
  <c r="Y17" i="2"/>
  <c r="X17" i="2"/>
  <c r="W17" i="2"/>
  <c r="V17" i="2"/>
  <c r="U17" i="2"/>
  <c r="T17" i="2"/>
  <c r="S17" i="2"/>
  <c r="R17" i="2"/>
  <c r="Q17" i="2"/>
  <c r="P17" i="2"/>
  <c r="O17" i="2"/>
  <c r="N17" i="2"/>
  <c r="M17" i="2"/>
  <c r="L17" i="2"/>
  <c r="K17" i="2"/>
  <c r="J17" i="2"/>
  <c r="I17" i="2"/>
  <c r="H17" i="2"/>
  <c r="G17" i="2"/>
  <c r="F17" i="2"/>
  <c r="E17" i="2"/>
  <c r="D17" i="2"/>
  <c r="C17" i="2"/>
  <c r="B17" i="2"/>
  <c r="A17" i="2"/>
  <c r="AB16" i="2"/>
  <c r="AA16" i="2"/>
  <c r="Z16" i="2"/>
  <c r="Y16" i="2"/>
  <c r="X16" i="2"/>
  <c r="W16" i="2"/>
  <c r="V16" i="2"/>
  <c r="U16" i="2"/>
  <c r="T16" i="2"/>
  <c r="S16" i="2"/>
  <c r="R16" i="2"/>
  <c r="Q16" i="2"/>
  <c r="P16" i="2"/>
  <c r="O16" i="2"/>
  <c r="N16" i="2"/>
  <c r="M16" i="2"/>
  <c r="L16" i="2"/>
  <c r="K16" i="2"/>
  <c r="J16" i="2"/>
  <c r="I16" i="2"/>
  <c r="H16" i="2"/>
  <c r="G16" i="2"/>
  <c r="F16" i="2"/>
  <c r="E16" i="2"/>
  <c r="D16" i="2"/>
  <c r="C16" i="2"/>
  <c r="B16" i="2"/>
  <c r="A16"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13" i="2"/>
  <c r="AB12" i="2"/>
  <c r="AA12" i="2"/>
  <c r="Z12" i="2"/>
  <c r="Y12" i="2"/>
  <c r="X12" i="2"/>
  <c r="W12" i="2"/>
  <c r="V12" i="2"/>
  <c r="U12" i="2"/>
  <c r="T12" i="2"/>
  <c r="S12" i="2"/>
  <c r="R12" i="2"/>
  <c r="Q12" i="2"/>
  <c r="P12" i="2"/>
  <c r="O12" i="2"/>
  <c r="N12" i="2"/>
  <c r="M12" i="2"/>
  <c r="L12" i="2"/>
  <c r="K12" i="2"/>
  <c r="J12" i="2"/>
  <c r="I12" i="2"/>
  <c r="H12" i="2"/>
  <c r="G12" i="2"/>
  <c r="F12" i="2"/>
  <c r="E12" i="2"/>
  <c r="D12" i="2"/>
  <c r="C12" i="2"/>
  <c r="B12" i="2"/>
  <c r="A12"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B9" i="2"/>
  <c r="AA9" i="2"/>
  <c r="Z9" i="2"/>
  <c r="Y9" i="2"/>
  <c r="X9" i="2"/>
  <c r="W9" i="2"/>
  <c r="V9" i="2"/>
  <c r="U9" i="2"/>
  <c r="T9" i="2"/>
  <c r="S9" i="2"/>
  <c r="R9" i="2"/>
  <c r="Q9" i="2"/>
  <c r="P9" i="2"/>
  <c r="O9" i="2"/>
  <c r="N9" i="2"/>
  <c r="M9" i="2"/>
  <c r="L9" i="2"/>
  <c r="K9" i="2"/>
  <c r="J9" i="2"/>
  <c r="I9" i="2"/>
  <c r="H9" i="2"/>
  <c r="G9" i="2"/>
  <c r="F9" i="2"/>
  <c r="E9" i="2"/>
  <c r="D9" i="2"/>
  <c r="C9" i="2"/>
  <c r="B9" i="2"/>
  <c r="A9" i="2"/>
  <c r="AB8" i="2"/>
  <c r="AA8" i="2"/>
  <c r="Z8" i="2"/>
  <c r="Y8" i="2"/>
  <c r="X8" i="2"/>
  <c r="W8" i="2"/>
  <c r="V8" i="2"/>
  <c r="U8" i="2"/>
  <c r="T8" i="2"/>
  <c r="S8" i="2"/>
  <c r="R8" i="2"/>
  <c r="Q8" i="2"/>
  <c r="P8" i="2"/>
  <c r="O8" i="2"/>
  <c r="N8" i="2"/>
  <c r="M8" i="2"/>
  <c r="L8" i="2"/>
  <c r="K8" i="2"/>
  <c r="J8" i="2"/>
  <c r="I8" i="2"/>
  <c r="H8" i="2"/>
  <c r="G8" i="2"/>
  <c r="F8" i="2"/>
  <c r="E8" i="2"/>
  <c r="D8" i="2"/>
  <c r="C8" i="2"/>
  <c r="B8" i="2"/>
  <c r="A8" i="2"/>
  <c r="AB7" i="2"/>
  <c r="AA7" i="2"/>
  <c r="Z7" i="2"/>
  <c r="Y7" i="2"/>
  <c r="X7" i="2"/>
  <c r="W7" i="2"/>
  <c r="V7" i="2"/>
  <c r="U7" i="2"/>
  <c r="T7" i="2"/>
  <c r="S7" i="2"/>
  <c r="R7" i="2"/>
  <c r="Q7" i="2"/>
  <c r="P7" i="2"/>
  <c r="O7" i="2"/>
  <c r="N7" i="2"/>
  <c r="M7" i="2"/>
  <c r="L7" i="2"/>
  <c r="K7" i="2"/>
  <c r="J7" i="2"/>
  <c r="I7" i="2"/>
  <c r="H7" i="2"/>
  <c r="G7" i="2"/>
  <c r="F7" i="2"/>
  <c r="E7" i="2"/>
  <c r="D7" i="2"/>
  <c r="C7" i="2"/>
  <c r="B7" i="2"/>
  <c r="A7" i="2"/>
  <c r="AB6" i="2"/>
  <c r="AA6" i="2"/>
  <c r="Z6" i="2"/>
  <c r="Y6" i="2"/>
  <c r="X6" i="2"/>
  <c r="W6" i="2"/>
  <c r="V6" i="2"/>
  <c r="U6" i="2"/>
  <c r="T6" i="2"/>
  <c r="S6" i="2"/>
  <c r="R6" i="2"/>
  <c r="Q6" i="2"/>
  <c r="P6" i="2"/>
  <c r="O6" i="2"/>
  <c r="N6" i="2"/>
  <c r="M6" i="2"/>
  <c r="L6" i="2"/>
  <c r="K6" i="2"/>
  <c r="J6" i="2"/>
  <c r="I6" i="2"/>
  <c r="H6" i="2"/>
  <c r="G6" i="2"/>
  <c r="F6" i="2"/>
  <c r="E6" i="2"/>
  <c r="D6" i="2"/>
  <c r="C6" i="2"/>
  <c r="B6" i="2"/>
  <c r="A6" i="2"/>
  <c r="AB5" i="2"/>
  <c r="AA5" i="2"/>
  <c r="Z5" i="2"/>
  <c r="Y5" i="2"/>
  <c r="X5" i="2"/>
  <c r="W5" i="2"/>
  <c r="V5" i="2"/>
  <c r="U5" i="2"/>
  <c r="T5" i="2"/>
  <c r="S5" i="2"/>
  <c r="R5" i="2"/>
  <c r="Q5" i="2"/>
  <c r="P5" i="2"/>
  <c r="O5" i="2"/>
  <c r="N5" i="2"/>
  <c r="M5" i="2"/>
  <c r="L5" i="2"/>
  <c r="K5" i="2"/>
  <c r="J5" i="2"/>
  <c r="I5" i="2"/>
  <c r="H5" i="2"/>
  <c r="G5" i="2"/>
  <c r="F5" i="2"/>
  <c r="E5" i="2"/>
  <c r="D5" i="2"/>
  <c r="C5" i="2"/>
  <c r="B5" i="2"/>
  <c r="A5" i="2"/>
  <c r="AB4" i="2"/>
  <c r="AA4" i="2"/>
  <c r="Z4" i="2"/>
  <c r="Y4" i="2"/>
  <c r="X4" i="2"/>
  <c r="W4" i="2"/>
  <c r="V4" i="2"/>
  <c r="U4" i="2"/>
  <c r="T4" i="2"/>
  <c r="S4" i="2"/>
  <c r="R4" i="2"/>
  <c r="Q4" i="2"/>
  <c r="P4" i="2"/>
  <c r="O4" i="2"/>
  <c r="N4" i="2"/>
  <c r="M4" i="2"/>
  <c r="L4" i="2"/>
  <c r="K4" i="2"/>
  <c r="J4" i="2"/>
  <c r="I4" i="2"/>
  <c r="H4" i="2"/>
  <c r="G4" i="2"/>
  <c r="F4" i="2"/>
  <c r="E4" i="2"/>
  <c r="D4" i="2"/>
  <c r="C4" i="2"/>
  <c r="B4" i="2"/>
  <c r="A4" i="2"/>
  <c r="AB3" i="2"/>
  <c r="AA3" i="2"/>
  <c r="Z3" i="2"/>
  <c r="Y3" i="2"/>
  <c r="X3" i="2"/>
  <c r="W3" i="2"/>
  <c r="V3" i="2"/>
  <c r="U3" i="2"/>
  <c r="T3" i="2"/>
  <c r="S3" i="2"/>
  <c r="R3" i="2"/>
  <c r="Q3" i="2"/>
  <c r="P3" i="2"/>
  <c r="O3" i="2"/>
  <c r="N3" i="2"/>
  <c r="M3" i="2"/>
  <c r="L3" i="2"/>
  <c r="K3" i="2"/>
  <c r="J3" i="2"/>
  <c r="I3" i="2"/>
  <c r="H3" i="2"/>
  <c r="G3" i="2"/>
  <c r="F3" i="2"/>
  <c r="E3" i="2"/>
  <c r="D3" i="2"/>
  <c r="C3" i="2"/>
  <c r="B3" i="2"/>
  <c r="A3" i="2"/>
  <c r="B2" i="2"/>
  <c r="A2" i="2"/>
  <c r="AB2" i="2"/>
  <c r="AB1" i="2"/>
  <c r="AA2" i="2"/>
  <c r="AA1" i="2"/>
  <c r="Z2" i="2"/>
  <c r="Z1" i="2"/>
  <c r="Y2" i="2"/>
  <c r="Y1" i="2"/>
  <c r="X2" i="2"/>
  <c r="X1" i="2"/>
  <c r="W2" i="2"/>
  <c r="W1" i="2"/>
  <c r="V2" i="2"/>
  <c r="V1" i="2"/>
  <c r="U2" i="2"/>
  <c r="U1" i="2"/>
  <c r="T2" i="2"/>
  <c r="T1" i="2"/>
  <c r="S2" i="2"/>
  <c r="S1" i="2"/>
  <c r="R2" i="2"/>
  <c r="R1" i="2"/>
  <c r="Q2" i="2"/>
  <c r="Q1" i="2"/>
  <c r="P2" i="2"/>
  <c r="P1" i="2"/>
  <c r="O2" i="2"/>
  <c r="O1" i="2"/>
  <c r="N2" i="2"/>
  <c r="N1" i="2"/>
  <c r="M2" i="2"/>
  <c r="M1" i="2"/>
  <c r="L2" i="2"/>
  <c r="L1" i="2"/>
  <c r="K2" i="2"/>
  <c r="K1" i="2"/>
  <c r="J2" i="2"/>
  <c r="J1" i="2"/>
  <c r="I2" i="2"/>
  <c r="I1" i="2"/>
  <c r="H2" i="2"/>
  <c r="H1" i="2"/>
  <c r="G2" i="2"/>
  <c r="G1" i="2"/>
  <c r="F2" i="2"/>
  <c r="F1" i="2"/>
  <c r="E2" i="2"/>
  <c r="E1" i="2"/>
  <c r="D2" i="2"/>
  <c r="D1" i="2"/>
  <c r="C2" i="2"/>
  <c r="C1" i="2"/>
  <c r="B1" i="2"/>
</calcChain>
</file>

<file path=xl/sharedStrings.xml><?xml version="1.0" encoding="utf-8"?>
<sst xmlns="http://schemas.openxmlformats.org/spreadsheetml/2006/main" count="127" uniqueCount="69">
  <si>
    <t>sample_id</t>
  </si>
  <si>
    <t>sample_name</t>
  </si>
  <si>
    <t>No more than 1000 samples can be entered in this worksheet.  If you need to submit metadata for &gt;1000 samples, please contact CMI directly.</t>
  </si>
  <si>
    <t>collection_timestamp</t>
  </si>
  <si>
    <t>collection_timestamp_units</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</si>
  <si>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</si>
  <si>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</si>
  <si>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</si>
  <si>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</si>
  <si>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</si>
  <si>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</si>
  <si>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</si>
  <si>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</si>
  <si>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</si>
  <si>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</si>
  <si>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</si>
  <si>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</si>
  <si>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</si>
  <si>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</si>
  <si>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</si>
  <si>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</si>
  <si>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</si>
  <si>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</si>
  <si>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</si>
  <si>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</si>
  <si>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</si>
  <si>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</si>
  <si>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taxon_id_units</t>
  </si>
  <si>
    <t>title</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</si>
  <si>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</si>
  <si>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</si>
  <si>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</si>
  <si>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</si>
  <si>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</si>
  <si>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</si>
  <si>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</si>
  <si>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</si>
  <si>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</si>
  <si>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</si>
  <si>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</si>
  <si>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</si>
  <si>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day and time of sampling as a single point in time expressed in 24-hour time format, e.g. 2016-11-22. The value must be a string and must equal "missing: not collected" or must equal "missing: not provided" or must equal "missing: restricted access" or the value must be a datetime and the value must be a valid timestamp in one of these formats: YYYY or YYYY-MM or YYYY-MM-DD or YYYY-MM-DD hh or YYYY-MM-DD hh:mm or YYYY-MM-DD hh:mm:ss.</t>
  </si>
  <si>
    <t>The value must be a string and must equal "Not applicable". The default value is Not applicable.</t>
  </si>
  <si>
    <t>A description of the sample that can include site, subject, and sample material. The value must be a string.</t>
  </si>
  <si>
    <t>Whether the DNA been extracted from the sample. The value must be a string and must equal "missing: not collected" or must equal "missing: not provided" or the value must be a string and must equal "TRUE" or must equal "FALSE".</t>
  </si>
  <si>
    <t>Height of land above sea level in meters at the sampling site. The value must be a string and must equal "missing: not collected" or must equal "missing: not provided" or must equal "missing: restricted access" or the value must be a number and &gt;=-413.0. The default value is missing: not provided.</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</si>
  <si>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</si>
  <si>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</si>
  <si>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</si>
  <si>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</si>
  <si>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</si>
  <si>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</si>
  <si>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</si>
  <si>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"missing: not collected" or must equal "missing: not provided" or must equal "missing: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</si>
  <si>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</si>
  <si>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</si>
  <si>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"missing: not collected" or must equal "missing: not provided" or must equal "missing: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</si>
  <si>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</si>
  <si>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"missing: not collected" or must equal "missing: not provided" or must equal "missing: restricted access" or the value must be a number and &gt;=-180.00 and &lt;=180.00.</t>
  </si>
  <si>
    <t>Where the sample is stored (if there is any left). The value must be a string.</t>
  </si>
  <si>
    <t>Whether there is any raw specimen left to sample. The value must be a string and must equal "missing: not collected" or must equal "missing: not provided" or must equal "missing: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</si>
  <si>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</si>
  <si>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</si>
  <si>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"missing: not collected" or must equal "missing: not provided" or the value must be a integer and &gt;0.</t>
  </si>
  <si>
    <t>Title of study. The value must be a string.</t>
  </si>
  <si>
    <t xml:space="preserve">0:
  default_value: no_default
  field_desc: Title of study.
  field_name: title
  field_type: string
1:
  default_value: no_default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field_name: scientific_name
  field_type: string
2:
  allowed_missing_vals[]:
  - ebi_not_collected
  - ebi_not_provided
  data_type: integer
  default_value: no_default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field_name: taxon_id
  field_type: continuous
  maximum_comparison: no_comparison
  minimum_comparison: min_exclusive
  minimum_value: '0'
  units: Not applicable
3:
  default_value: no_default
  field_desc: A description of the sample that can include site, subject, and sample
    material.
  field_name: description
  field_type: string
4:
  default_value: no_default
  field_desc: The geographical origin of the sample as defined by the country or location
    as chosen from the GAZ ontology, e.g. USA:CA:San Diego .
  field_name: geo_loc_name
  field_type: string
5:
  default_value: no_default
  field_desc: Classification of the location where the sample was obtained, from the
    Environmental Ontology (ENVO).
  field_name: env_biome
  field_type: string
6:
  default_value: no_default
  field_desc: Classification of a specific feature in the biome, from the Environmental
    Ontology (ENVO).
  field_name: env_feature
  field_type: string
7:
  default_value: no_default
  field_desc: Classification of the material being sampled, from the Environmental
    Ontology (ENVO).
  field_name: env_material
  field_type: string
8:
  allowed_missing_vals[]:
  - ebi_not_collected
  - ebi_not_provided
  - ebi_restricted
  categorical_values: "air\r\nbuilt environment\r\nhost-associated\r\nhuman-associated\r\
    \nhuman-skin\r\nhuman-oral\r\nhuman-gut\r\nhuman-vaginal\r\nmicrobial mat/biofilm\r\
    \nmisc environment\r\nplant-associated\r\nsediment\r\nsoil\r\nwastewater/sludge\r\
    \nwater"
  default_value: no_default
  field_desc: Environment where the sample was obtained.
  field_name: env_package
  field_type: categorical
9:
  allowed_missing_vals[]:
  - ebi_not_collected
  - ebi_not_provided
  - ebi_restricted
  data_type: number
  default_value: no_default
  field_desc: Location of the sample site by latitude in decimal degrees, e.g. 32.72
    for San Diego, USA.
  field_name: latitude
  field_type: continuous
  maximum_comparison: max
  maximum_value: '90.00'
  minimum_comparison: min
  minimum_value: '-90.00'
  units: Decimal degrees
10:
  allowed_missing_vals[]:
  - ebi_not_collected
  - ebi_not_provided
  - ebi_restricted
  data_type: number
  default_value: no_default
  field_desc: Location of the sample site by longitude in decimal degrees, e.g. -117.16
    for San Diego, USA.
  field_name: longitude
  field_type: continuous
  maximum_comparison: max
  maximum_value: '180.00'
  minimum_comparison: min
  minimum_value: '-180.00'
  units: Decimal degrees
11:
  allowed_missing_vals[]:
  - ebi_not_collected
  - ebi_not_provided
  - ebi_restricted
  data_type: datetime
  default_value: no_default
  field_desc: The day and time of sampling as a single point in time expressed in
    24-hour time format, e.g. 2016-11-22.
  field_name: collection_timestamp
  field_type: continuous
  maximum_comparison: no_comparison
  minimum_comparison: no_comparison
  units: Not applicable
12:
  allowed_missing_vals[]:
  - ebi_not_collected
  - ebi_not_provided
  default_value: no_default
  false_value: 'FALSE'
  field_desc: Whether the DNA been extracted from the sample.
  field_name: dna_extracted
  field_type: boolean
  true_value: 'TRUE'
13:
  default_value: no_default
  field_desc: Where the sample is stored (if there is any left).
  field_name: physical_specimen_location
  field_type: string
14:
  allowed_missing_vals[]:
  - ebi_not_collected
  - ebi_not_provided
  - ebi_restricted
  default_value: no_default
  false_value: 'FALSE'
  field_desc: Whether there is any raw specimen left to sample.
  field_name: physical_specimen_remaining
  field_type: boolean
  true_value: 'TRUE'
15:
  allowed_missing_default_select: ebi_not_provided
  allowed_missing_vals[]:
  - ebi_not_collected
  - ebi_not_provided
  - ebi_restricted
  data_type: number
  default_value: allowed_missing_default
  field_desc: Height of land above sea level in meters at the sampling site
  field_name: elevation
  field_type: continuous
  maximum_comparison: no_comparison
  minimum_comparison: min
  minimum_value: '-413.0'
  units: meters
16:
  categorical_values: "Host-associated\r\nFree-living"
  default_value: no_default
  field_name: empo_1
  field_type: categorical
17:
  categorical_values: "Animal\r\nFungus\r\nPlant\r\nSaline\r\nNon-saline"
  default_value: no_default
  field_name: empo_2
  field_type: categorical
18:
  categorical_values: "Plant secretion\r\nPlant rhizosphere\r\nPlant surface\r\nPlant\
    \ corpus\r\nFungus surface\r\nFungus corpus\r\nAnimal surface\r\nAnimal proximal\
    \ gut\r\nAnimal corpus\r\nAnimal distal gut\r\nAnimal secretion\r\nSub-surface\
    \ (non-saline)\r\nSurface (non-saline)\r\nWater (non-saline)\r\nSoil (non-saline)\r\
    \nAerosol (non-saline)\r\nSediment (non-saline)\r\nSurface (saline)\r\nWater (saline)\r\
    \nHypersaline (saline)\r\nAerosol (saline)\r\nSediment (saline)"
  default_value: no_default
  field_name: empo_3
  field_type: categorical
19:
  default_value: no_default
  field_desc: A label that applies to all samples belonging to one subject or one
    sample
  field_name: host_subject_id
  field_type: string
20:
  categorical_default_select: other
  categorical_values: other
  default_value: categorical_default
  field_name: sample_type
  field_type: categorical
</t>
  </si>
  <si>
    <t>This file was created by the Metadata Wizard v0.3 at 2018-01-03 16:15:32.</t>
  </si>
  <si>
    <t xml:space="preserve">collection_timestamp:
  anyof:
  - allowed:
    - 'missing: not collected'
    - 'missing: not provided'
    - 'missing: restricted access'
    type: string
  - regex: '^([0-9]{1,4})(?:-([0-9]{1,2})(?:-([0-9]{1,2})(?: ([0-9]{1,2})(?::([0-9]{1,2})(?::([0-9]{1,2}))?)?)?)?)?$'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'missing: not collected'
    - 'missing: not provided'
    type: string
  - allowed:
    - 'TRUE'
    - 'FALSE'
    type: string
  empty: false
  field_desc: Whether the DNA been extracted from the sample.
  is_phi: false
  required: true
elevation:
  anyof:
  - allowed:
    - 'missing: not collected'
    - 'missing: not provided'
    - 'missing: restricted access'
    type: string
  - min: '-413.0'
    type: number
  default: 'missing: not provided'
  empty: false
  field_desc: Height of land above sea level in meters at the sampling site
  is_phi: false
  required: true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'missing: not collected'
    - 'missing: not provided'
    - 'missing: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'missing: not collected'
    - 'missing: not provided'
    - 'missing: restricted access'
    type: string
  - max: '90.00'
    min: '-90.00'
    type: number
  empty: false
  field_desc: Location of the sample site by latitude in decimal degrees, e.g. 32.72
    for San Diego, USA.
  is_phi: false
  required: true
longitude:
  anyof:
  - allowed:
    - 'missing: not collected'
    - 'missing: not provided'
    - 'missing: restricted access'
    type: string
  - max: '180.00'
    min: '-180.00'
    type: number
  empty: false
  field_desc: Location of the sample site by longitude in decimal degrees, e.g. -117.16
    for San Diego, USA.
  is_phi: false
  required: true
  units: longitude_units
physical_specimen_location:
  empty: false
  field_desc: Where the sample is stored (if there is any left).
  is_phi: false
  required: true
  type: string
physical_specimen_remaining:
  anyof:
  - allowed:
    - 'missing: not collected'
    - 'missing: not provided'
    - 'missing: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anyof:
  - allowed:
    - 'missing: not collected'
    - 'missing: not provided'
    type: string
  - min_exclusive: '0'
    type: integer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title:
  empty: false
  field_desc: Title of study.
  is_phi: false
  required: true
  type: string
</t>
  </si>
  <si>
    <t>Manually edited to remove auto-generated units fields.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</si>
</sst>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1" fillId="0" borderId="0" xfId="0" applyNumberFormat="1" applyFont="1" applyProtection="1">
      <protection locked="0"/>
    </xf>
    <xf numFmtId="0" fontId="1" fillId="0" borderId="0" xfId="0" applyFont="1" applyProtection="1">
      <protection locked="0"/>
    </xf>
    <xf numFmtId="0" fontId="2" fillId="0" borderId="0" xfId="0" applyFont="1"/>
    <xf numFmtId="0" fontId="1" fillId="0" borderId="0" xfId="0" applyFont="1" applyAlignment="1">
      <alignment horizontal="center"/>
    </xf>
    <xf numFmtId="0" fontId="3" fillId="0" borderId="0" xfId="0" applyFont="1"/>
    <xf numFmtId="0" fontId="0" fillId="0" borderId="0" xfId="0" applyAlignment="1">
      <alignment wrapText="1"/>
    </xf>
  </cellXfs>
  <cellStyles count="1">
    <cellStyle name="Normal" xfId="0" builtinId="0"/>
  </cellStyles>
  <dxfs count="2">
    <dxf>
      <font>
        <u/>
        <color rgb="FF9C0006"/>
      </font>
      <fill>
        <patternFill>
          <bgColor rgb="FFFFC7CE"/>
        </patternFill>
      </fill>
    </dxf>
    <dxf>
      <font>
        <color rgb="FFC6EFCE"/>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2"/>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8.83203125" defaultRowHeight="15" zeroHeight="1" x14ac:dyDescent="0.2"/>
  <cols>
    <col min="1" max="1" width="0" hidden="1" customWidth="1"/>
    <col min="2" max="6" width="8.83203125" style="1"/>
    <col min="7" max="7" width="8.83203125" style="2"/>
    <col min="8" max="17" width="8.83203125" style="1"/>
    <col min="18" max="18" width="8.83203125" style="2"/>
    <col min="19" max="19" width="8.83203125" style="1"/>
    <col min="20" max="20" width="8.83203125" style="2"/>
    <col min="21" max="25" width="8.83203125" style="1"/>
    <col min="26" max="26" width="8.83203125" style="2"/>
    <col min="27" max="28" width="8.83203125" style="1"/>
  </cols>
  <sheetData>
    <row r="1" spans="1:28" x14ac:dyDescent="0.2">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row>
    <row r="2" spans="1:28" x14ac:dyDescent="0.2">
      <c r="A2" t="str">
        <f>IF(COUNTBLANK(B2:AB2)&lt;&gt;COLUMNS(B2:AB2),1,"")</f>
        <v/>
      </c>
      <c r="D2" s="1" t="str">
        <f t="shared" ref="D2:D65" si="0">IF(B2="", "", "Not applicable")</f>
        <v/>
      </c>
      <c r="G2" s="2" t="str">
        <f t="shared" ref="G2:G65" si="1">IF(B2="", "", "missing: not provided")</f>
        <v/>
      </c>
      <c r="H2" s="1" t="str">
        <f t="shared" ref="H2:H65" si="2">IF(B2="", "", "meters")</f>
        <v/>
      </c>
      <c r="S2" s="1" t="str">
        <f t="shared" ref="S2:S65" si="3">IF(B2="", "", "Decimal degrees")</f>
        <v/>
      </c>
      <c r="U2" s="1" t="str">
        <f t="shared" ref="U2:U65" si="4">IF(B2="", "", "Decimal degrees")</f>
        <v/>
      </c>
      <c r="X2" s="1" t="str">
        <f t="shared" ref="X2:X65" si="5">IF(B2="", "", "other")</f>
        <v/>
      </c>
      <c r="AA2" s="1" t="str">
        <f t="shared" ref="AA2:AA65" si="6">IF(B2="", "", "Not applicable")</f>
        <v/>
      </c>
    </row>
    <row r="3" spans="1:28" x14ac:dyDescent="0.2">
      <c r="A3" t="str">
        <f>IF(COUNTBLANK(B3:AB3)&lt;&gt;COLUMNS(B3:AB3),2,"")</f>
        <v/>
      </c>
      <c r="D3" s="1" t="str">
        <f t="shared" si="0"/>
        <v/>
      </c>
      <c r="G3" s="2" t="str">
        <f t="shared" si="1"/>
        <v/>
      </c>
      <c r="H3" s="1" t="str">
        <f t="shared" si="2"/>
        <v/>
      </c>
      <c r="S3" s="1" t="str">
        <f t="shared" si="3"/>
        <v/>
      </c>
      <c r="U3" s="1" t="str">
        <f t="shared" si="4"/>
        <v/>
      </c>
      <c r="X3" s="1" t="str">
        <f t="shared" si="5"/>
        <v/>
      </c>
      <c r="AA3" s="1" t="str">
        <f t="shared" si="6"/>
        <v/>
      </c>
    </row>
    <row r="4" spans="1:28" x14ac:dyDescent="0.2">
      <c r="A4" t="str">
        <f>IF(COUNTBLANK(B4:AB4)&lt;&gt;COLUMNS(B4:AB4),3,"")</f>
        <v/>
      </c>
      <c r="D4" s="1" t="str">
        <f t="shared" si="0"/>
        <v/>
      </c>
      <c r="G4" s="2" t="str">
        <f t="shared" si="1"/>
        <v/>
      </c>
      <c r="H4" s="1" t="str">
        <f t="shared" si="2"/>
        <v/>
      </c>
      <c r="S4" s="1" t="str">
        <f t="shared" si="3"/>
        <v/>
      </c>
      <c r="U4" s="1" t="str">
        <f t="shared" si="4"/>
        <v/>
      </c>
      <c r="X4" s="1" t="str">
        <f t="shared" si="5"/>
        <v/>
      </c>
      <c r="AA4" s="1" t="str">
        <f t="shared" si="6"/>
        <v/>
      </c>
    </row>
    <row r="5" spans="1:28" x14ac:dyDescent="0.2">
      <c r="A5" t="str">
        <f>IF(COUNTBLANK(B5:AB5)&lt;&gt;COLUMNS(B5:AB5),4,"")</f>
        <v/>
      </c>
      <c r="D5" s="1" t="str">
        <f t="shared" si="0"/>
        <v/>
      </c>
      <c r="G5" s="2" t="str">
        <f t="shared" si="1"/>
        <v/>
      </c>
      <c r="H5" s="1" t="str">
        <f t="shared" si="2"/>
        <v/>
      </c>
      <c r="S5" s="1" t="str">
        <f t="shared" si="3"/>
        <v/>
      </c>
      <c r="U5" s="1" t="str">
        <f t="shared" si="4"/>
        <v/>
      </c>
      <c r="X5" s="1" t="str">
        <f t="shared" si="5"/>
        <v/>
      </c>
      <c r="AA5" s="1" t="str">
        <f t="shared" si="6"/>
        <v/>
      </c>
    </row>
    <row r="6" spans="1:28" x14ac:dyDescent="0.2">
      <c r="A6" t="str">
        <f>IF(COUNTBLANK(B6:AB6)&lt;&gt;COLUMNS(B6:AB6),5,"")</f>
        <v/>
      </c>
      <c r="D6" s="1" t="str">
        <f t="shared" si="0"/>
        <v/>
      </c>
      <c r="G6" s="2" t="str">
        <f t="shared" si="1"/>
        <v/>
      </c>
      <c r="H6" s="1" t="str">
        <f t="shared" si="2"/>
        <v/>
      </c>
      <c r="S6" s="1" t="str">
        <f t="shared" si="3"/>
        <v/>
      </c>
      <c r="U6" s="1" t="str">
        <f t="shared" si="4"/>
        <v/>
      </c>
      <c r="X6" s="1" t="str">
        <f t="shared" si="5"/>
        <v/>
      </c>
      <c r="AA6" s="1" t="str">
        <f t="shared" si="6"/>
        <v/>
      </c>
    </row>
    <row r="7" spans="1:28" x14ac:dyDescent="0.2">
      <c r="A7" t="str">
        <f>IF(COUNTBLANK(B7:AB7)&lt;&gt;COLUMNS(B7:AB7),6,"")</f>
        <v/>
      </c>
      <c r="D7" s="1" t="str">
        <f t="shared" si="0"/>
        <v/>
      </c>
      <c r="G7" s="2" t="str">
        <f t="shared" si="1"/>
        <v/>
      </c>
      <c r="H7" s="1" t="str">
        <f t="shared" si="2"/>
        <v/>
      </c>
      <c r="S7" s="1" t="str">
        <f t="shared" si="3"/>
        <v/>
      </c>
      <c r="U7" s="1" t="str">
        <f t="shared" si="4"/>
        <v/>
      </c>
      <c r="X7" s="1" t="str">
        <f t="shared" si="5"/>
        <v/>
      </c>
      <c r="AA7" s="1" t="str">
        <f t="shared" si="6"/>
        <v/>
      </c>
    </row>
    <row r="8" spans="1:28" x14ac:dyDescent="0.2">
      <c r="A8" t="str">
        <f>IF(COUNTBLANK(B8:AB8)&lt;&gt;COLUMNS(B8:AB8),7,"")</f>
        <v/>
      </c>
      <c r="D8" s="1" t="str">
        <f t="shared" si="0"/>
        <v/>
      </c>
      <c r="G8" s="2" t="str">
        <f t="shared" si="1"/>
        <v/>
      </c>
      <c r="H8" s="1" t="str">
        <f t="shared" si="2"/>
        <v/>
      </c>
      <c r="S8" s="1" t="str">
        <f t="shared" si="3"/>
        <v/>
      </c>
      <c r="U8" s="1" t="str">
        <f t="shared" si="4"/>
        <v/>
      </c>
      <c r="X8" s="1" t="str">
        <f t="shared" si="5"/>
        <v/>
      </c>
      <c r="AA8" s="1" t="str">
        <f t="shared" si="6"/>
        <v/>
      </c>
    </row>
    <row r="9" spans="1:28" x14ac:dyDescent="0.2">
      <c r="A9" t="str">
        <f>IF(COUNTBLANK(B9:AB9)&lt;&gt;COLUMNS(B9:AB9),8,"")</f>
        <v/>
      </c>
      <c r="D9" s="1" t="str">
        <f t="shared" si="0"/>
        <v/>
      </c>
      <c r="G9" s="2" t="str">
        <f t="shared" si="1"/>
        <v/>
      </c>
      <c r="H9" s="1" t="str">
        <f t="shared" si="2"/>
        <v/>
      </c>
      <c r="S9" s="1" t="str">
        <f t="shared" si="3"/>
        <v/>
      </c>
      <c r="U9" s="1" t="str">
        <f t="shared" si="4"/>
        <v/>
      </c>
      <c r="X9" s="1" t="str">
        <f t="shared" si="5"/>
        <v/>
      </c>
      <c r="AA9" s="1" t="str">
        <f t="shared" si="6"/>
        <v/>
      </c>
    </row>
    <row r="10" spans="1:28" x14ac:dyDescent="0.2">
      <c r="A10" t="str">
        <f>IF(COUNTBLANK(B10:AB10)&lt;&gt;COLUMNS(B10:AB10),9,"")</f>
        <v/>
      </c>
      <c r="D10" s="1" t="str">
        <f t="shared" si="0"/>
        <v/>
      </c>
      <c r="G10" s="2" t="str">
        <f t="shared" si="1"/>
        <v/>
      </c>
      <c r="H10" s="1" t="str">
        <f t="shared" si="2"/>
        <v/>
      </c>
      <c r="S10" s="1" t="str">
        <f t="shared" si="3"/>
        <v/>
      </c>
      <c r="U10" s="1" t="str">
        <f t="shared" si="4"/>
        <v/>
      </c>
      <c r="X10" s="1" t="str">
        <f t="shared" si="5"/>
        <v/>
      </c>
      <c r="AA10" s="1" t="str">
        <f t="shared" si="6"/>
        <v/>
      </c>
    </row>
    <row r="11" spans="1:28" x14ac:dyDescent="0.2">
      <c r="A11" t="str">
        <f>IF(COUNTBLANK(B11:AB11)&lt;&gt;COLUMNS(B11:AB11),10,"")</f>
        <v/>
      </c>
      <c r="D11" s="1" t="str">
        <f t="shared" si="0"/>
        <v/>
      </c>
      <c r="G11" s="2" t="str">
        <f t="shared" si="1"/>
        <v/>
      </c>
      <c r="H11" s="1" t="str">
        <f t="shared" si="2"/>
        <v/>
      </c>
      <c r="S11" s="1" t="str">
        <f t="shared" si="3"/>
        <v/>
      </c>
      <c r="U11" s="1" t="str">
        <f t="shared" si="4"/>
        <v/>
      </c>
      <c r="X11" s="1" t="str">
        <f t="shared" si="5"/>
        <v/>
      </c>
      <c r="AA11" s="1" t="str">
        <f t="shared" si="6"/>
        <v/>
      </c>
    </row>
    <row r="12" spans="1:28" x14ac:dyDescent="0.2">
      <c r="A12" t="str">
        <f>IF(COUNTBLANK(B12:AB12)&lt;&gt;COLUMNS(B12:AB12),11,"")</f>
        <v/>
      </c>
      <c r="D12" s="1" t="str">
        <f t="shared" si="0"/>
        <v/>
      </c>
      <c r="G12" s="2" t="str">
        <f t="shared" si="1"/>
        <v/>
      </c>
      <c r="H12" s="1" t="str">
        <f t="shared" si="2"/>
        <v/>
      </c>
      <c r="S12" s="1" t="str">
        <f t="shared" si="3"/>
        <v/>
      </c>
      <c r="U12" s="1" t="str">
        <f t="shared" si="4"/>
        <v/>
      </c>
      <c r="X12" s="1" t="str">
        <f t="shared" si="5"/>
        <v/>
      </c>
      <c r="AA12" s="1" t="str">
        <f t="shared" si="6"/>
        <v/>
      </c>
    </row>
    <row r="13" spans="1:28" x14ac:dyDescent="0.2">
      <c r="A13" t="str">
        <f>IF(COUNTBLANK(B13:AB13)&lt;&gt;COLUMNS(B13:AB13),12,"")</f>
        <v/>
      </c>
      <c r="D13" s="1" t="str">
        <f t="shared" si="0"/>
        <v/>
      </c>
      <c r="G13" s="2" t="str">
        <f t="shared" si="1"/>
        <v/>
      </c>
      <c r="H13" s="1" t="str">
        <f t="shared" si="2"/>
        <v/>
      </c>
      <c r="S13" s="1" t="str">
        <f t="shared" si="3"/>
        <v/>
      </c>
      <c r="U13" s="1" t="str">
        <f t="shared" si="4"/>
        <v/>
      </c>
      <c r="X13" s="1" t="str">
        <f t="shared" si="5"/>
        <v/>
      </c>
      <c r="AA13" s="1" t="str">
        <f t="shared" si="6"/>
        <v/>
      </c>
    </row>
    <row r="14" spans="1:28" x14ac:dyDescent="0.2">
      <c r="A14" t="str">
        <f>IF(COUNTBLANK(B14:AB14)&lt;&gt;COLUMNS(B14:AB14),13,"")</f>
        <v/>
      </c>
      <c r="D14" s="1" t="str">
        <f t="shared" si="0"/>
        <v/>
      </c>
      <c r="G14" s="2" t="str">
        <f t="shared" si="1"/>
        <v/>
      </c>
      <c r="H14" s="1" t="str">
        <f t="shared" si="2"/>
        <v/>
      </c>
      <c r="S14" s="1" t="str">
        <f t="shared" si="3"/>
        <v/>
      </c>
      <c r="U14" s="1" t="str">
        <f t="shared" si="4"/>
        <v/>
      </c>
      <c r="X14" s="1" t="str">
        <f t="shared" si="5"/>
        <v/>
      </c>
      <c r="AA14" s="1" t="str">
        <f t="shared" si="6"/>
        <v/>
      </c>
    </row>
    <row r="15" spans="1:28" x14ac:dyDescent="0.2">
      <c r="A15" t="str">
        <f>IF(COUNTBLANK(B15:AB15)&lt;&gt;COLUMNS(B15:AB15),14,"")</f>
        <v/>
      </c>
      <c r="D15" s="1" t="str">
        <f t="shared" si="0"/>
        <v/>
      </c>
      <c r="G15" s="2" t="str">
        <f t="shared" si="1"/>
        <v/>
      </c>
      <c r="H15" s="1" t="str">
        <f t="shared" si="2"/>
        <v/>
      </c>
      <c r="S15" s="1" t="str">
        <f t="shared" si="3"/>
        <v/>
      </c>
      <c r="U15" s="1" t="str">
        <f t="shared" si="4"/>
        <v/>
      </c>
      <c r="X15" s="1" t="str">
        <f t="shared" si="5"/>
        <v/>
      </c>
      <c r="AA15" s="1" t="str">
        <f t="shared" si="6"/>
        <v/>
      </c>
    </row>
    <row r="16" spans="1:28" x14ac:dyDescent="0.2">
      <c r="A16" t="str">
        <f>IF(COUNTBLANK(B16:AB16)&lt;&gt;COLUMNS(B16:AB16),15,"")</f>
        <v/>
      </c>
      <c r="D16" s="1" t="str">
        <f t="shared" si="0"/>
        <v/>
      </c>
      <c r="G16" s="2" t="str">
        <f t="shared" si="1"/>
        <v/>
      </c>
      <c r="H16" s="1" t="str">
        <f t="shared" si="2"/>
        <v/>
      </c>
      <c r="S16" s="1" t="str">
        <f t="shared" si="3"/>
        <v/>
      </c>
      <c r="U16" s="1" t="str">
        <f t="shared" si="4"/>
        <v/>
      </c>
      <c r="X16" s="1" t="str">
        <f t="shared" si="5"/>
        <v/>
      </c>
      <c r="AA16" s="1" t="str">
        <f t="shared" si="6"/>
        <v/>
      </c>
    </row>
    <row r="17" spans="1:27" x14ac:dyDescent="0.2">
      <c r="A17" t="str">
        <f>IF(COUNTBLANK(B17:AB17)&lt;&gt;COLUMNS(B17:AB17),16,"")</f>
        <v/>
      </c>
      <c r="D17" s="1" t="str">
        <f t="shared" si="0"/>
        <v/>
      </c>
      <c r="G17" s="2" t="str">
        <f t="shared" si="1"/>
        <v/>
      </c>
      <c r="H17" s="1" t="str">
        <f t="shared" si="2"/>
        <v/>
      </c>
      <c r="S17" s="1" t="str">
        <f t="shared" si="3"/>
        <v/>
      </c>
      <c r="U17" s="1" t="str">
        <f t="shared" si="4"/>
        <v/>
      </c>
      <c r="X17" s="1" t="str">
        <f t="shared" si="5"/>
        <v/>
      </c>
      <c r="AA17" s="1" t="str">
        <f t="shared" si="6"/>
        <v/>
      </c>
    </row>
    <row r="18" spans="1:27" x14ac:dyDescent="0.2">
      <c r="A18" t="str">
        <f>IF(COUNTBLANK(B18:AB18)&lt;&gt;COLUMNS(B18:AB18),17,"")</f>
        <v/>
      </c>
      <c r="D18" s="1" t="str">
        <f t="shared" si="0"/>
        <v/>
      </c>
      <c r="G18" s="2" t="str">
        <f t="shared" si="1"/>
        <v/>
      </c>
      <c r="H18" s="1" t="str">
        <f t="shared" si="2"/>
        <v/>
      </c>
      <c r="S18" s="1" t="str">
        <f t="shared" si="3"/>
        <v/>
      </c>
      <c r="U18" s="1" t="str">
        <f t="shared" si="4"/>
        <v/>
      </c>
      <c r="X18" s="1" t="str">
        <f t="shared" si="5"/>
        <v/>
      </c>
      <c r="AA18" s="1" t="str">
        <f t="shared" si="6"/>
        <v/>
      </c>
    </row>
    <row r="19" spans="1:27" x14ac:dyDescent="0.2">
      <c r="A19" t="str">
        <f>IF(COUNTBLANK(B19:AB19)&lt;&gt;COLUMNS(B19:AB19),18,"")</f>
        <v/>
      </c>
      <c r="D19" s="1" t="str">
        <f t="shared" si="0"/>
        <v/>
      </c>
      <c r="G19" s="2" t="str">
        <f t="shared" si="1"/>
        <v/>
      </c>
      <c r="H19" s="1" t="str">
        <f t="shared" si="2"/>
        <v/>
      </c>
      <c r="S19" s="1" t="str">
        <f t="shared" si="3"/>
        <v/>
      </c>
      <c r="U19" s="1" t="str">
        <f t="shared" si="4"/>
        <v/>
      </c>
      <c r="X19" s="1" t="str">
        <f t="shared" si="5"/>
        <v/>
      </c>
      <c r="AA19" s="1" t="str">
        <f t="shared" si="6"/>
        <v/>
      </c>
    </row>
    <row r="20" spans="1:27" x14ac:dyDescent="0.2">
      <c r="A20" t="str">
        <f>IF(COUNTBLANK(B20:AB20)&lt;&gt;COLUMNS(B20:AB20),19,"")</f>
        <v/>
      </c>
      <c r="D20" s="1" t="str">
        <f t="shared" si="0"/>
        <v/>
      </c>
      <c r="G20" s="2" t="str">
        <f t="shared" si="1"/>
        <v/>
      </c>
      <c r="H20" s="1" t="str">
        <f t="shared" si="2"/>
        <v/>
      </c>
      <c r="S20" s="1" t="str">
        <f t="shared" si="3"/>
        <v/>
      </c>
      <c r="U20" s="1" t="str">
        <f t="shared" si="4"/>
        <v/>
      </c>
      <c r="X20" s="1" t="str">
        <f t="shared" si="5"/>
        <v/>
      </c>
      <c r="AA20" s="1" t="str">
        <f t="shared" si="6"/>
        <v/>
      </c>
    </row>
    <row r="21" spans="1:27" x14ac:dyDescent="0.2">
      <c r="A21" t="str">
        <f>IF(COUNTBLANK(B21:AB21)&lt;&gt;COLUMNS(B21:AB21),20,"")</f>
        <v/>
      </c>
      <c r="D21" s="1" t="str">
        <f t="shared" si="0"/>
        <v/>
      </c>
      <c r="G21" s="2" t="str">
        <f t="shared" si="1"/>
        <v/>
      </c>
      <c r="H21" s="1" t="str">
        <f t="shared" si="2"/>
        <v/>
      </c>
      <c r="S21" s="1" t="str">
        <f t="shared" si="3"/>
        <v/>
      </c>
      <c r="U21" s="1" t="str">
        <f t="shared" si="4"/>
        <v/>
      </c>
      <c r="X21" s="1" t="str">
        <f t="shared" si="5"/>
        <v/>
      </c>
      <c r="AA21" s="1" t="str">
        <f t="shared" si="6"/>
        <v/>
      </c>
    </row>
    <row r="22" spans="1:27" x14ac:dyDescent="0.2">
      <c r="A22" t="str">
        <f>IF(COUNTBLANK(B22:AB22)&lt;&gt;COLUMNS(B22:AB22),21,"")</f>
        <v/>
      </c>
      <c r="D22" s="1" t="str">
        <f t="shared" si="0"/>
        <v/>
      </c>
      <c r="G22" s="2" t="str">
        <f t="shared" si="1"/>
        <v/>
      </c>
      <c r="H22" s="1" t="str">
        <f t="shared" si="2"/>
        <v/>
      </c>
      <c r="S22" s="1" t="str">
        <f t="shared" si="3"/>
        <v/>
      </c>
      <c r="U22" s="1" t="str">
        <f t="shared" si="4"/>
        <v/>
      </c>
      <c r="X22" s="1" t="str">
        <f t="shared" si="5"/>
        <v/>
      </c>
      <c r="AA22" s="1" t="str">
        <f t="shared" si="6"/>
        <v/>
      </c>
    </row>
    <row r="23" spans="1:27" x14ac:dyDescent="0.2">
      <c r="A23" t="str">
        <f>IF(COUNTBLANK(B23:AB23)&lt;&gt;COLUMNS(B23:AB23),22,"")</f>
        <v/>
      </c>
      <c r="D23" s="1" t="str">
        <f t="shared" si="0"/>
        <v/>
      </c>
      <c r="G23" s="2" t="str">
        <f t="shared" si="1"/>
        <v/>
      </c>
      <c r="H23" s="1" t="str">
        <f t="shared" si="2"/>
        <v/>
      </c>
      <c r="S23" s="1" t="str">
        <f t="shared" si="3"/>
        <v/>
      </c>
      <c r="U23" s="1" t="str">
        <f t="shared" si="4"/>
        <v/>
      </c>
      <c r="X23" s="1" t="str">
        <f t="shared" si="5"/>
        <v/>
      </c>
      <c r="AA23" s="1" t="str">
        <f t="shared" si="6"/>
        <v/>
      </c>
    </row>
    <row r="24" spans="1:27" x14ac:dyDescent="0.2">
      <c r="A24" t="str">
        <f>IF(COUNTBLANK(B24:AB24)&lt;&gt;COLUMNS(B24:AB24),23,"")</f>
        <v/>
      </c>
      <c r="D24" s="1" t="str">
        <f t="shared" si="0"/>
        <v/>
      </c>
      <c r="G24" s="2" t="str">
        <f t="shared" si="1"/>
        <v/>
      </c>
      <c r="H24" s="1" t="str">
        <f t="shared" si="2"/>
        <v/>
      </c>
      <c r="S24" s="1" t="str">
        <f t="shared" si="3"/>
        <v/>
      </c>
      <c r="U24" s="1" t="str">
        <f t="shared" si="4"/>
        <v/>
      </c>
      <c r="X24" s="1" t="str">
        <f t="shared" si="5"/>
        <v/>
      </c>
      <c r="AA24" s="1" t="str">
        <f t="shared" si="6"/>
        <v/>
      </c>
    </row>
    <row r="25" spans="1:27" x14ac:dyDescent="0.2">
      <c r="A25" t="str">
        <f>IF(COUNTBLANK(B25:AB25)&lt;&gt;COLUMNS(B25:AB25),24,"")</f>
        <v/>
      </c>
      <c r="D25" s="1" t="str">
        <f t="shared" si="0"/>
        <v/>
      </c>
      <c r="G25" s="2" t="str">
        <f t="shared" si="1"/>
        <v/>
      </c>
      <c r="H25" s="1" t="str">
        <f t="shared" si="2"/>
        <v/>
      </c>
      <c r="S25" s="1" t="str">
        <f t="shared" si="3"/>
        <v/>
      </c>
      <c r="U25" s="1" t="str">
        <f t="shared" si="4"/>
        <v/>
      </c>
      <c r="X25" s="1" t="str">
        <f t="shared" si="5"/>
        <v/>
      </c>
      <c r="AA25" s="1" t="str">
        <f t="shared" si="6"/>
        <v/>
      </c>
    </row>
    <row r="26" spans="1:27" x14ac:dyDescent="0.2">
      <c r="A26" t="str">
        <f>IF(COUNTBLANK(B26:AB26)&lt;&gt;COLUMNS(B26:AB26),25,"")</f>
        <v/>
      </c>
      <c r="D26" s="1" t="str">
        <f t="shared" si="0"/>
        <v/>
      </c>
      <c r="G26" s="2" t="str">
        <f t="shared" si="1"/>
        <v/>
      </c>
      <c r="H26" s="1" t="str">
        <f t="shared" si="2"/>
        <v/>
      </c>
      <c r="S26" s="1" t="str">
        <f t="shared" si="3"/>
        <v/>
      </c>
      <c r="U26" s="1" t="str">
        <f t="shared" si="4"/>
        <v/>
      </c>
      <c r="X26" s="1" t="str">
        <f t="shared" si="5"/>
        <v/>
      </c>
      <c r="AA26" s="1" t="str">
        <f t="shared" si="6"/>
        <v/>
      </c>
    </row>
    <row r="27" spans="1:27" x14ac:dyDescent="0.2">
      <c r="A27" t="str">
        <f>IF(COUNTBLANK(B27:AB27)&lt;&gt;COLUMNS(B27:AB27),26,"")</f>
        <v/>
      </c>
      <c r="D27" s="1" t="str">
        <f t="shared" si="0"/>
        <v/>
      </c>
      <c r="G27" s="2" t="str">
        <f t="shared" si="1"/>
        <v/>
      </c>
      <c r="H27" s="1" t="str">
        <f t="shared" si="2"/>
        <v/>
      </c>
      <c r="S27" s="1" t="str">
        <f t="shared" si="3"/>
        <v/>
      </c>
      <c r="U27" s="1" t="str">
        <f t="shared" si="4"/>
        <v/>
      </c>
      <c r="X27" s="1" t="str">
        <f t="shared" si="5"/>
        <v/>
      </c>
      <c r="AA27" s="1" t="str">
        <f t="shared" si="6"/>
        <v/>
      </c>
    </row>
    <row r="28" spans="1:27" x14ac:dyDescent="0.2">
      <c r="A28" t="str">
        <f>IF(COUNTBLANK(B28:AB28)&lt;&gt;COLUMNS(B28:AB28),27,"")</f>
        <v/>
      </c>
      <c r="D28" s="1" t="str">
        <f t="shared" si="0"/>
        <v/>
      </c>
      <c r="G28" s="2" t="str">
        <f t="shared" si="1"/>
        <v/>
      </c>
      <c r="H28" s="1" t="str">
        <f t="shared" si="2"/>
        <v/>
      </c>
      <c r="S28" s="1" t="str">
        <f t="shared" si="3"/>
        <v/>
      </c>
      <c r="U28" s="1" t="str">
        <f t="shared" si="4"/>
        <v/>
      </c>
      <c r="X28" s="1" t="str">
        <f t="shared" si="5"/>
        <v/>
      </c>
      <c r="AA28" s="1" t="str">
        <f t="shared" si="6"/>
        <v/>
      </c>
    </row>
    <row r="29" spans="1:27" x14ac:dyDescent="0.2">
      <c r="A29" t="str">
        <f>IF(COUNTBLANK(B29:AB29)&lt;&gt;COLUMNS(B29:AB29),28,"")</f>
        <v/>
      </c>
      <c r="D29" s="1" t="str">
        <f t="shared" si="0"/>
        <v/>
      </c>
      <c r="G29" s="2" t="str">
        <f t="shared" si="1"/>
        <v/>
      </c>
      <c r="H29" s="1" t="str">
        <f t="shared" si="2"/>
        <v/>
      </c>
      <c r="S29" s="1" t="str">
        <f t="shared" si="3"/>
        <v/>
      </c>
      <c r="U29" s="1" t="str">
        <f t="shared" si="4"/>
        <v/>
      </c>
      <c r="X29" s="1" t="str">
        <f t="shared" si="5"/>
        <v/>
      </c>
      <c r="AA29" s="1" t="str">
        <f t="shared" si="6"/>
        <v/>
      </c>
    </row>
    <row r="30" spans="1:27" x14ac:dyDescent="0.2">
      <c r="A30" t="str">
        <f>IF(COUNTBLANK(B30:AB30)&lt;&gt;COLUMNS(B30:AB30),29,"")</f>
        <v/>
      </c>
      <c r="D30" s="1" t="str">
        <f t="shared" si="0"/>
        <v/>
      </c>
      <c r="G30" s="2" t="str">
        <f t="shared" si="1"/>
        <v/>
      </c>
      <c r="H30" s="1" t="str">
        <f t="shared" si="2"/>
        <v/>
      </c>
      <c r="S30" s="1" t="str">
        <f t="shared" si="3"/>
        <v/>
      </c>
      <c r="U30" s="1" t="str">
        <f t="shared" si="4"/>
        <v/>
      </c>
      <c r="X30" s="1" t="str">
        <f t="shared" si="5"/>
        <v/>
      </c>
      <c r="AA30" s="1" t="str">
        <f t="shared" si="6"/>
        <v/>
      </c>
    </row>
    <row r="31" spans="1:27" x14ac:dyDescent="0.2">
      <c r="A31" t="str">
        <f>IF(COUNTBLANK(B31:AB31)&lt;&gt;COLUMNS(B31:AB31),30,"")</f>
        <v/>
      </c>
      <c r="D31" s="1" t="str">
        <f t="shared" si="0"/>
        <v/>
      </c>
      <c r="G31" s="2" t="str">
        <f t="shared" si="1"/>
        <v/>
      </c>
      <c r="H31" s="1" t="str">
        <f t="shared" si="2"/>
        <v/>
      </c>
      <c r="S31" s="1" t="str">
        <f t="shared" si="3"/>
        <v/>
      </c>
      <c r="U31" s="1" t="str">
        <f t="shared" si="4"/>
        <v/>
      </c>
      <c r="X31" s="1" t="str">
        <f t="shared" si="5"/>
        <v/>
      </c>
      <c r="AA31" s="1" t="str">
        <f t="shared" si="6"/>
        <v/>
      </c>
    </row>
    <row r="32" spans="1:27" x14ac:dyDescent="0.2">
      <c r="A32" t="str">
        <f>IF(COUNTBLANK(B32:AB32)&lt;&gt;COLUMNS(B32:AB32),31,"")</f>
        <v/>
      </c>
      <c r="D32" s="1" t="str">
        <f t="shared" si="0"/>
        <v/>
      </c>
      <c r="G32" s="2" t="str">
        <f t="shared" si="1"/>
        <v/>
      </c>
      <c r="H32" s="1" t="str">
        <f t="shared" si="2"/>
        <v/>
      </c>
      <c r="S32" s="1" t="str">
        <f t="shared" si="3"/>
        <v/>
      </c>
      <c r="U32" s="1" t="str">
        <f t="shared" si="4"/>
        <v/>
      </c>
      <c r="X32" s="1" t="str">
        <f t="shared" si="5"/>
        <v/>
      </c>
      <c r="AA32" s="1" t="str">
        <f t="shared" si="6"/>
        <v/>
      </c>
    </row>
    <row r="33" spans="1:27" x14ac:dyDescent="0.2">
      <c r="A33" t="str">
        <f>IF(COUNTBLANK(B33:AB33)&lt;&gt;COLUMNS(B33:AB33),32,"")</f>
        <v/>
      </c>
      <c r="D33" s="1" t="str">
        <f t="shared" si="0"/>
        <v/>
      </c>
      <c r="G33" s="2" t="str">
        <f t="shared" si="1"/>
        <v/>
      </c>
      <c r="H33" s="1" t="str">
        <f t="shared" si="2"/>
        <v/>
      </c>
      <c r="S33" s="1" t="str">
        <f t="shared" si="3"/>
        <v/>
      </c>
      <c r="U33" s="1" t="str">
        <f t="shared" si="4"/>
        <v/>
      </c>
      <c r="X33" s="1" t="str">
        <f t="shared" si="5"/>
        <v/>
      </c>
      <c r="AA33" s="1" t="str">
        <f t="shared" si="6"/>
        <v/>
      </c>
    </row>
    <row r="34" spans="1:27" x14ac:dyDescent="0.2">
      <c r="A34" t="str">
        <f>IF(COUNTBLANK(B34:AB34)&lt;&gt;COLUMNS(B34:AB34),33,"")</f>
        <v/>
      </c>
      <c r="D34" s="1" t="str">
        <f t="shared" si="0"/>
        <v/>
      </c>
      <c r="G34" s="2" t="str">
        <f t="shared" si="1"/>
        <v/>
      </c>
      <c r="H34" s="1" t="str">
        <f t="shared" si="2"/>
        <v/>
      </c>
      <c r="S34" s="1" t="str">
        <f t="shared" si="3"/>
        <v/>
      </c>
      <c r="U34" s="1" t="str">
        <f t="shared" si="4"/>
        <v/>
      </c>
      <c r="X34" s="1" t="str">
        <f t="shared" si="5"/>
        <v/>
      </c>
      <c r="AA34" s="1" t="str">
        <f t="shared" si="6"/>
        <v/>
      </c>
    </row>
    <row r="35" spans="1:27" x14ac:dyDescent="0.2">
      <c r="A35" t="str">
        <f>IF(COUNTBLANK(B35:AB35)&lt;&gt;COLUMNS(B35:AB35),34,"")</f>
        <v/>
      </c>
      <c r="D35" s="1" t="str">
        <f t="shared" si="0"/>
        <v/>
      </c>
      <c r="G35" s="2" t="str">
        <f t="shared" si="1"/>
        <v/>
      </c>
      <c r="H35" s="1" t="str">
        <f t="shared" si="2"/>
        <v/>
      </c>
      <c r="S35" s="1" t="str">
        <f t="shared" si="3"/>
        <v/>
      </c>
      <c r="U35" s="1" t="str">
        <f t="shared" si="4"/>
        <v/>
      </c>
      <c r="X35" s="1" t="str">
        <f t="shared" si="5"/>
        <v/>
      </c>
      <c r="AA35" s="1" t="str">
        <f t="shared" si="6"/>
        <v/>
      </c>
    </row>
    <row r="36" spans="1:27" x14ac:dyDescent="0.2">
      <c r="A36" t="str">
        <f>IF(COUNTBLANK(B36:AB36)&lt;&gt;COLUMNS(B36:AB36),35,"")</f>
        <v/>
      </c>
      <c r="D36" s="1" t="str">
        <f t="shared" si="0"/>
        <v/>
      </c>
      <c r="G36" s="2" t="str">
        <f t="shared" si="1"/>
        <v/>
      </c>
      <c r="H36" s="1" t="str">
        <f t="shared" si="2"/>
        <v/>
      </c>
      <c r="S36" s="1" t="str">
        <f t="shared" si="3"/>
        <v/>
      </c>
      <c r="U36" s="1" t="str">
        <f t="shared" si="4"/>
        <v/>
      </c>
      <c r="X36" s="1" t="str">
        <f t="shared" si="5"/>
        <v/>
      </c>
      <c r="AA36" s="1" t="str">
        <f t="shared" si="6"/>
        <v/>
      </c>
    </row>
    <row r="37" spans="1:27" x14ac:dyDescent="0.2">
      <c r="A37" t="str">
        <f>IF(COUNTBLANK(B37:AB37)&lt;&gt;COLUMNS(B37:AB37),36,"")</f>
        <v/>
      </c>
      <c r="D37" s="1" t="str">
        <f t="shared" si="0"/>
        <v/>
      </c>
      <c r="G37" s="2" t="str">
        <f t="shared" si="1"/>
        <v/>
      </c>
      <c r="H37" s="1" t="str">
        <f t="shared" si="2"/>
        <v/>
      </c>
      <c r="S37" s="1" t="str">
        <f t="shared" si="3"/>
        <v/>
      </c>
      <c r="U37" s="1" t="str">
        <f t="shared" si="4"/>
        <v/>
      </c>
      <c r="X37" s="1" t="str">
        <f t="shared" si="5"/>
        <v/>
      </c>
      <c r="AA37" s="1" t="str">
        <f t="shared" si="6"/>
        <v/>
      </c>
    </row>
    <row r="38" spans="1:27" x14ac:dyDescent="0.2">
      <c r="A38" t="str">
        <f>IF(COUNTBLANK(B38:AB38)&lt;&gt;COLUMNS(B38:AB38),37,"")</f>
        <v/>
      </c>
      <c r="D38" s="1" t="str">
        <f t="shared" si="0"/>
        <v/>
      </c>
      <c r="G38" s="2" t="str">
        <f t="shared" si="1"/>
        <v/>
      </c>
      <c r="H38" s="1" t="str">
        <f t="shared" si="2"/>
        <v/>
      </c>
      <c r="S38" s="1" t="str">
        <f t="shared" si="3"/>
        <v/>
      </c>
      <c r="U38" s="1" t="str">
        <f t="shared" si="4"/>
        <v/>
      </c>
      <c r="X38" s="1" t="str">
        <f t="shared" si="5"/>
        <v/>
      </c>
      <c r="AA38" s="1" t="str">
        <f t="shared" si="6"/>
        <v/>
      </c>
    </row>
    <row r="39" spans="1:27" x14ac:dyDescent="0.2">
      <c r="A39" t="str">
        <f>IF(COUNTBLANK(B39:AB39)&lt;&gt;COLUMNS(B39:AB39),38,"")</f>
        <v/>
      </c>
      <c r="D39" s="1" t="str">
        <f t="shared" si="0"/>
        <v/>
      </c>
      <c r="G39" s="2" t="str">
        <f t="shared" si="1"/>
        <v/>
      </c>
      <c r="H39" s="1" t="str">
        <f t="shared" si="2"/>
        <v/>
      </c>
      <c r="S39" s="1" t="str">
        <f t="shared" si="3"/>
        <v/>
      </c>
      <c r="U39" s="1" t="str">
        <f t="shared" si="4"/>
        <v/>
      </c>
      <c r="X39" s="1" t="str">
        <f t="shared" si="5"/>
        <v/>
      </c>
      <c r="AA39" s="1" t="str">
        <f t="shared" si="6"/>
        <v/>
      </c>
    </row>
    <row r="40" spans="1:27" x14ac:dyDescent="0.2">
      <c r="A40" t="str">
        <f>IF(COUNTBLANK(B40:AB40)&lt;&gt;COLUMNS(B40:AB40),39,"")</f>
        <v/>
      </c>
      <c r="D40" s="1" t="str">
        <f t="shared" si="0"/>
        <v/>
      </c>
      <c r="G40" s="2" t="str">
        <f t="shared" si="1"/>
        <v/>
      </c>
      <c r="H40" s="1" t="str">
        <f t="shared" si="2"/>
        <v/>
      </c>
      <c r="S40" s="1" t="str">
        <f t="shared" si="3"/>
        <v/>
      </c>
      <c r="U40" s="1" t="str">
        <f t="shared" si="4"/>
        <v/>
      </c>
      <c r="X40" s="1" t="str">
        <f t="shared" si="5"/>
        <v/>
      </c>
      <c r="AA40" s="1" t="str">
        <f t="shared" si="6"/>
        <v/>
      </c>
    </row>
    <row r="41" spans="1:27" x14ac:dyDescent="0.2">
      <c r="A41" t="str">
        <f>IF(COUNTBLANK(B41:AB41)&lt;&gt;COLUMNS(B41:AB41),40,"")</f>
        <v/>
      </c>
      <c r="D41" s="1" t="str">
        <f t="shared" si="0"/>
        <v/>
      </c>
      <c r="G41" s="2" t="str">
        <f t="shared" si="1"/>
        <v/>
      </c>
      <c r="H41" s="1" t="str">
        <f t="shared" si="2"/>
        <v/>
      </c>
      <c r="S41" s="1" t="str">
        <f t="shared" si="3"/>
        <v/>
      </c>
      <c r="U41" s="1" t="str">
        <f t="shared" si="4"/>
        <v/>
      </c>
      <c r="X41" s="1" t="str">
        <f t="shared" si="5"/>
        <v/>
      </c>
      <c r="AA41" s="1" t="str">
        <f t="shared" si="6"/>
        <v/>
      </c>
    </row>
    <row r="42" spans="1:27" x14ac:dyDescent="0.2">
      <c r="A42" t="str">
        <f>IF(COUNTBLANK(B42:AB42)&lt;&gt;COLUMNS(B42:AB42),41,"")</f>
        <v/>
      </c>
      <c r="D42" s="1" t="str">
        <f t="shared" si="0"/>
        <v/>
      </c>
      <c r="G42" s="2" t="str">
        <f t="shared" si="1"/>
        <v/>
      </c>
      <c r="H42" s="1" t="str">
        <f t="shared" si="2"/>
        <v/>
      </c>
      <c r="S42" s="1" t="str">
        <f t="shared" si="3"/>
        <v/>
      </c>
      <c r="U42" s="1" t="str">
        <f t="shared" si="4"/>
        <v/>
      </c>
      <c r="X42" s="1" t="str">
        <f t="shared" si="5"/>
        <v/>
      </c>
      <c r="AA42" s="1" t="str">
        <f t="shared" si="6"/>
        <v/>
      </c>
    </row>
    <row r="43" spans="1:27" x14ac:dyDescent="0.2">
      <c r="A43" t="str">
        <f>IF(COUNTBLANK(B43:AB43)&lt;&gt;COLUMNS(B43:AB43),42,"")</f>
        <v/>
      </c>
      <c r="D43" s="1" t="str">
        <f t="shared" si="0"/>
        <v/>
      </c>
      <c r="G43" s="2" t="str">
        <f t="shared" si="1"/>
        <v/>
      </c>
      <c r="H43" s="1" t="str">
        <f t="shared" si="2"/>
        <v/>
      </c>
      <c r="S43" s="1" t="str">
        <f t="shared" si="3"/>
        <v/>
      </c>
      <c r="U43" s="1" t="str">
        <f t="shared" si="4"/>
        <v/>
      </c>
      <c r="X43" s="1" t="str">
        <f t="shared" si="5"/>
        <v/>
      </c>
      <c r="AA43" s="1" t="str">
        <f t="shared" si="6"/>
        <v/>
      </c>
    </row>
    <row r="44" spans="1:27" x14ac:dyDescent="0.2">
      <c r="A44" t="str">
        <f>IF(COUNTBLANK(B44:AB44)&lt;&gt;COLUMNS(B44:AB44),43,"")</f>
        <v/>
      </c>
      <c r="D44" s="1" t="str">
        <f t="shared" si="0"/>
        <v/>
      </c>
      <c r="G44" s="2" t="str">
        <f t="shared" si="1"/>
        <v/>
      </c>
      <c r="H44" s="1" t="str">
        <f t="shared" si="2"/>
        <v/>
      </c>
      <c r="S44" s="1" t="str">
        <f t="shared" si="3"/>
        <v/>
      </c>
      <c r="U44" s="1" t="str">
        <f t="shared" si="4"/>
        <v/>
      </c>
      <c r="X44" s="1" t="str">
        <f t="shared" si="5"/>
        <v/>
      </c>
      <c r="AA44" s="1" t="str">
        <f t="shared" si="6"/>
        <v/>
      </c>
    </row>
    <row r="45" spans="1:27" x14ac:dyDescent="0.2">
      <c r="A45" t="str">
        <f>IF(COUNTBLANK(B45:AB45)&lt;&gt;COLUMNS(B45:AB45),44,"")</f>
        <v/>
      </c>
      <c r="D45" s="1" t="str">
        <f t="shared" si="0"/>
        <v/>
      </c>
      <c r="G45" s="2" t="str">
        <f t="shared" si="1"/>
        <v/>
      </c>
      <c r="H45" s="1" t="str">
        <f t="shared" si="2"/>
        <v/>
      </c>
      <c r="S45" s="1" t="str">
        <f t="shared" si="3"/>
        <v/>
      </c>
      <c r="U45" s="1" t="str">
        <f t="shared" si="4"/>
        <v/>
      </c>
      <c r="X45" s="1" t="str">
        <f t="shared" si="5"/>
        <v/>
      </c>
      <c r="AA45" s="1" t="str">
        <f t="shared" si="6"/>
        <v/>
      </c>
    </row>
    <row r="46" spans="1:27" x14ac:dyDescent="0.2">
      <c r="A46" t="str">
        <f>IF(COUNTBLANK(B46:AB46)&lt;&gt;COLUMNS(B46:AB46),45,"")</f>
        <v/>
      </c>
      <c r="D46" s="1" t="str">
        <f t="shared" si="0"/>
        <v/>
      </c>
      <c r="G46" s="2" t="str">
        <f t="shared" si="1"/>
        <v/>
      </c>
      <c r="H46" s="1" t="str">
        <f t="shared" si="2"/>
        <v/>
      </c>
      <c r="S46" s="1" t="str">
        <f t="shared" si="3"/>
        <v/>
      </c>
      <c r="U46" s="1" t="str">
        <f t="shared" si="4"/>
        <v/>
      </c>
      <c r="X46" s="1" t="str">
        <f t="shared" si="5"/>
        <v/>
      </c>
      <c r="AA46" s="1" t="str">
        <f t="shared" si="6"/>
        <v/>
      </c>
    </row>
    <row r="47" spans="1:27" x14ac:dyDescent="0.2">
      <c r="A47" t="str">
        <f>IF(COUNTBLANK(B47:AB47)&lt;&gt;COLUMNS(B47:AB47),46,"")</f>
        <v/>
      </c>
      <c r="D47" s="1" t="str">
        <f t="shared" si="0"/>
        <v/>
      </c>
      <c r="G47" s="2" t="str">
        <f t="shared" si="1"/>
        <v/>
      </c>
      <c r="H47" s="1" t="str">
        <f t="shared" si="2"/>
        <v/>
      </c>
      <c r="S47" s="1" t="str">
        <f t="shared" si="3"/>
        <v/>
      </c>
      <c r="U47" s="1" t="str">
        <f t="shared" si="4"/>
        <v/>
      </c>
      <c r="X47" s="1" t="str">
        <f t="shared" si="5"/>
        <v/>
      </c>
      <c r="AA47" s="1" t="str">
        <f t="shared" si="6"/>
        <v/>
      </c>
    </row>
    <row r="48" spans="1:27" x14ac:dyDescent="0.2">
      <c r="A48" t="str">
        <f>IF(COUNTBLANK(B48:AB48)&lt;&gt;COLUMNS(B48:AB48),47,"")</f>
        <v/>
      </c>
      <c r="D48" s="1" t="str">
        <f t="shared" si="0"/>
        <v/>
      </c>
      <c r="G48" s="2" t="str">
        <f t="shared" si="1"/>
        <v/>
      </c>
      <c r="H48" s="1" t="str">
        <f t="shared" si="2"/>
        <v/>
      </c>
      <c r="S48" s="1" t="str">
        <f t="shared" si="3"/>
        <v/>
      </c>
      <c r="U48" s="1" t="str">
        <f t="shared" si="4"/>
        <v/>
      </c>
      <c r="X48" s="1" t="str">
        <f t="shared" si="5"/>
        <v/>
      </c>
      <c r="AA48" s="1" t="str">
        <f t="shared" si="6"/>
        <v/>
      </c>
    </row>
    <row r="49" spans="1:27" x14ac:dyDescent="0.2">
      <c r="A49" t="str">
        <f>IF(COUNTBLANK(B49:AB49)&lt;&gt;COLUMNS(B49:AB49),48,"")</f>
        <v/>
      </c>
      <c r="D49" s="1" t="str">
        <f t="shared" si="0"/>
        <v/>
      </c>
      <c r="G49" s="2" t="str">
        <f t="shared" si="1"/>
        <v/>
      </c>
      <c r="H49" s="1" t="str">
        <f t="shared" si="2"/>
        <v/>
      </c>
      <c r="S49" s="1" t="str">
        <f t="shared" si="3"/>
        <v/>
      </c>
      <c r="U49" s="1" t="str">
        <f t="shared" si="4"/>
        <v/>
      </c>
      <c r="X49" s="1" t="str">
        <f t="shared" si="5"/>
        <v/>
      </c>
      <c r="AA49" s="1" t="str">
        <f t="shared" si="6"/>
        <v/>
      </c>
    </row>
    <row r="50" spans="1:27" x14ac:dyDescent="0.2">
      <c r="A50" t="str">
        <f>IF(COUNTBLANK(B50:AB50)&lt;&gt;COLUMNS(B50:AB50),49,"")</f>
        <v/>
      </c>
      <c r="D50" s="1" t="str">
        <f t="shared" si="0"/>
        <v/>
      </c>
      <c r="G50" s="2" t="str">
        <f t="shared" si="1"/>
        <v/>
      </c>
      <c r="H50" s="1" t="str">
        <f t="shared" si="2"/>
        <v/>
      </c>
      <c r="S50" s="1" t="str">
        <f t="shared" si="3"/>
        <v/>
      </c>
      <c r="U50" s="1" t="str">
        <f t="shared" si="4"/>
        <v/>
      </c>
      <c r="X50" s="1" t="str">
        <f t="shared" si="5"/>
        <v/>
      </c>
      <c r="AA50" s="1" t="str">
        <f t="shared" si="6"/>
        <v/>
      </c>
    </row>
    <row r="51" spans="1:27" x14ac:dyDescent="0.2">
      <c r="A51" t="str">
        <f>IF(COUNTBLANK(B51:AB51)&lt;&gt;COLUMNS(B51:AB51),50,"")</f>
        <v/>
      </c>
      <c r="D51" s="1" t="str">
        <f t="shared" si="0"/>
        <v/>
      </c>
      <c r="G51" s="2" t="str">
        <f t="shared" si="1"/>
        <v/>
      </c>
      <c r="H51" s="1" t="str">
        <f t="shared" si="2"/>
        <v/>
      </c>
      <c r="S51" s="1" t="str">
        <f t="shared" si="3"/>
        <v/>
      </c>
      <c r="U51" s="1" t="str">
        <f t="shared" si="4"/>
        <v/>
      </c>
      <c r="X51" s="1" t="str">
        <f t="shared" si="5"/>
        <v/>
      </c>
      <c r="AA51" s="1" t="str">
        <f t="shared" si="6"/>
        <v/>
      </c>
    </row>
    <row r="52" spans="1:27" x14ac:dyDescent="0.2">
      <c r="A52" t="str">
        <f>IF(COUNTBLANK(B52:AB52)&lt;&gt;COLUMNS(B52:AB52),51,"")</f>
        <v/>
      </c>
      <c r="D52" s="1" t="str">
        <f t="shared" si="0"/>
        <v/>
      </c>
      <c r="G52" s="2" t="str">
        <f t="shared" si="1"/>
        <v/>
      </c>
      <c r="H52" s="1" t="str">
        <f t="shared" si="2"/>
        <v/>
      </c>
      <c r="S52" s="1" t="str">
        <f t="shared" si="3"/>
        <v/>
      </c>
      <c r="U52" s="1" t="str">
        <f t="shared" si="4"/>
        <v/>
      </c>
      <c r="X52" s="1" t="str">
        <f t="shared" si="5"/>
        <v/>
      </c>
      <c r="AA52" s="1" t="str">
        <f t="shared" si="6"/>
        <v/>
      </c>
    </row>
    <row r="53" spans="1:27" x14ac:dyDescent="0.2">
      <c r="A53" t="str">
        <f>IF(COUNTBLANK(B53:AB53)&lt;&gt;COLUMNS(B53:AB53),52,"")</f>
        <v/>
      </c>
      <c r="D53" s="1" t="str">
        <f t="shared" si="0"/>
        <v/>
      </c>
      <c r="G53" s="2" t="str">
        <f t="shared" si="1"/>
        <v/>
      </c>
      <c r="H53" s="1" t="str">
        <f t="shared" si="2"/>
        <v/>
      </c>
      <c r="S53" s="1" t="str">
        <f t="shared" si="3"/>
        <v/>
      </c>
      <c r="U53" s="1" t="str">
        <f t="shared" si="4"/>
        <v/>
      </c>
      <c r="X53" s="1" t="str">
        <f t="shared" si="5"/>
        <v/>
      </c>
      <c r="AA53" s="1" t="str">
        <f t="shared" si="6"/>
        <v/>
      </c>
    </row>
    <row r="54" spans="1:27" x14ac:dyDescent="0.2">
      <c r="A54" t="str">
        <f>IF(COUNTBLANK(B54:AB54)&lt;&gt;COLUMNS(B54:AB54),53,"")</f>
        <v/>
      </c>
      <c r="D54" s="1" t="str">
        <f t="shared" si="0"/>
        <v/>
      </c>
      <c r="G54" s="2" t="str">
        <f t="shared" si="1"/>
        <v/>
      </c>
      <c r="H54" s="1" t="str">
        <f t="shared" si="2"/>
        <v/>
      </c>
      <c r="S54" s="1" t="str">
        <f t="shared" si="3"/>
        <v/>
      </c>
      <c r="U54" s="1" t="str">
        <f t="shared" si="4"/>
        <v/>
      </c>
      <c r="X54" s="1" t="str">
        <f t="shared" si="5"/>
        <v/>
      </c>
      <c r="AA54" s="1" t="str">
        <f t="shared" si="6"/>
        <v/>
      </c>
    </row>
    <row r="55" spans="1:27" x14ac:dyDescent="0.2">
      <c r="A55" t="str">
        <f>IF(COUNTBLANK(B55:AB55)&lt;&gt;COLUMNS(B55:AB55),54,"")</f>
        <v/>
      </c>
      <c r="D55" s="1" t="str">
        <f t="shared" si="0"/>
        <v/>
      </c>
      <c r="G55" s="2" t="str">
        <f t="shared" si="1"/>
        <v/>
      </c>
      <c r="H55" s="1" t="str">
        <f t="shared" si="2"/>
        <v/>
      </c>
      <c r="S55" s="1" t="str">
        <f t="shared" si="3"/>
        <v/>
      </c>
      <c r="U55" s="1" t="str">
        <f t="shared" si="4"/>
        <v/>
      </c>
      <c r="X55" s="1" t="str">
        <f t="shared" si="5"/>
        <v/>
      </c>
      <c r="AA55" s="1" t="str">
        <f t="shared" si="6"/>
        <v/>
      </c>
    </row>
    <row r="56" spans="1:27" x14ac:dyDescent="0.2">
      <c r="A56" t="str">
        <f>IF(COUNTBLANK(B56:AB56)&lt;&gt;COLUMNS(B56:AB56),55,"")</f>
        <v/>
      </c>
      <c r="D56" s="1" t="str">
        <f t="shared" si="0"/>
        <v/>
      </c>
      <c r="G56" s="2" t="str">
        <f t="shared" si="1"/>
        <v/>
      </c>
      <c r="H56" s="1" t="str">
        <f t="shared" si="2"/>
        <v/>
      </c>
      <c r="S56" s="1" t="str">
        <f t="shared" si="3"/>
        <v/>
      </c>
      <c r="U56" s="1" t="str">
        <f t="shared" si="4"/>
        <v/>
      </c>
      <c r="X56" s="1" t="str">
        <f t="shared" si="5"/>
        <v/>
      </c>
      <c r="AA56" s="1" t="str">
        <f t="shared" si="6"/>
        <v/>
      </c>
    </row>
    <row r="57" spans="1:27" x14ac:dyDescent="0.2">
      <c r="A57" t="str">
        <f>IF(COUNTBLANK(B57:AB57)&lt;&gt;COLUMNS(B57:AB57),56,"")</f>
        <v/>
      </c>
      <c r="D57" s="1" t="str">
        <f t="shared" si="0"/>
        <v/>
      </c>
      <c r="G57" s="2" t="str">
        <f t="shared" si="1"/>
        <v/>
      </c>
      <c r="H57" s="1" t="str">
        <f t="shared" si="2"/>
        <v/>
      </c>
      <c r="S57" s="1" t="str">
        <f t="shared" si="3"/>
        <v/>
      </c>
      <c r="U57" s="1" t="str">
        <f t="shared" si="4"/>
        <v/>
      </c>
      <c r="X57" s="1" t="str">
        <f t="shared" si="5"/>
        <v/>
      </c>
      <c r="AA57" s="1" t="str">
        <f t="shared" si="6"/>
        <v/>
      </c>
    </row>
    <row r="58" spans="1:27" x14ac:dyDescent="0.2">
      <c r="A58" t="str">
        <f>IF(COUNTBLANK(B58:AB58)&lt;&gt;COLUMNS(B58:AB58),57,"")</f>
        <v/>
      </c>
      <c r="D58" s="1" t="str">
        <f t="shared" si="0"/>
        <v/>
      </c>
      <c r="G58" s="2" t="str">
        <f t="shared" si="1"/>
        <v/>
      </c>
      <c r="H58" s="1" t="str">
        <f t="shared" si="2"/>
        <v/>
      </c>
      <c r="S58" s="1" t="str">
        <f t="shared" si="3"/>
        <v/>
      </c>
      <c r="U58" s="1" t="str">
        <f t="shared" si="4"/>
        <v/>
      </c>
      <c r="X58" s="1" t="str">
        <f t="shared" si="5"/>
        <v/>
      </c>
      <c r="AA58" s="1" t="str">
        <f t="shared" si="6"/>
        <v/>
      </c>
    </row>
    <row r="59" spans="1:27" x14ac:dyDescent="0.2">
      <c r="A59" t="str">
        <f>IF(COUNTBLANK(B59:AB59)&lt;&gt;COLUMNS(B59:AB59),58,"")</f>
        <v/>
      </c>
      <c r="D59" s="1" t="str">
        <f t="shared" si="0"/>
        <v/>
      </c>
      <c r="G59" s="2" t="str">
        <f t="shared" si="1"/>
        <v/>
      </c>
      <c r="H59" s="1" t="str">
        <f t="shared" si="2"/>
        <v/>
      </c>
      <c r="S59" s="1" t="str">
        <f t="shared" si="3"/>
        <v/>
      </c>
      <c r="U59" s="1" t="str">
        <f t="shared" si="4"/>
        <v/>
      </c>
      <c r="X59" s="1" t="str">
        <f t="shared" si="5"/>
        <v/>
      </c>
      <c r="AA59" s="1" t="str">
        <f t="shared" si="6"/>
        <v/>
      </c>
    </row>
    <row r="60" spans="1:27" x14ac:dyDescent="0.2">
      <c r="A60" t="str">
        <f>IF(COUNTBLANK(B60:AB60)&lt;&gt;COLUMNS(B60:AB60),59,"")</f>
        <v/>
      </c>
      <c r="D60" s="1" t="str">
        <f t="shared" si="0"/>
        <v/>
      </c>
      <c r="G60" s="2" t="str">
        <f t="shared" si="1"/>
        <v/>
      </c>
      <c r="H60" s="1" t="str">
        <f t="shared" si="2"/>
        <v/>
      </c>
      <c r="S60" s="1" t="str">
        <f t="shared" si="3"/>
        <v/>
      </c>
      <c r="U60" s="1" t="str">
        <f t="shared" si="4"/>
        <v/>
      </c>
      <c r="X60" s="1" t="str">
        <f t="shared" si="5"/>
        <v/>
      </c>
      <c r="AA60" s="1" t="str">
        <f t="shared" si="6"/>
        <v/>
      </c>
    </row>
    <row r="61" spans="1:27" x14ac:dyDescent="0.2">
      <c r="A61" t="str">
        <f>IF(COUNTBLANK(B61:AB61)&lt;&gt;COLUMNS(B61:AB61),60,"")</f>
        <v/>
      </c>
      <c r="D61" s="1" t="str">
        <f t="shared" si="0"/>
        <v/>
      </c>
      <c r="G61" s="2" t="str">
        <f t="shared" si="1"/>
        <v/>
      </c>
      <c r="H61" s="1" t="str">
        <f t="shared" si="2"/>
        <v/>
      </c>
      <c r="S61" s="1" t="str">
        <f t="shared" si="3"/>
        <v/>
      </c>
      <c r="U61" s="1" t="str">
        <f t="shared" si="4"/>
        <v/>
      </c>
      <c r="X61" s="1" t="str">
        <f t="shared" si="5"/>
        <v/>
      </c>
      <c r="AA61" s="1" t="str">
        <f t="shared" si="6"/>
        <v/>
      </c>
    </row>
    <row r="62" spans="1:27" x14ac:dyDescent="0.2">
      <c r="A62" t="str">
        <f>IF(COUNTBLANK(B62:AB62)&lt;&gt;COLUMNS(B62:AB62),61,"")</f>
        <v/>
      </c>
      <c r="D62" s="1" t="str">
        <f t="shared" si="0"/>
        <v/>
      </c>
      <c r="G62" s="2" t="str">
        <f t="shared" si="1"/>
        <v/>
      </c>
      <c r="H62" s="1" t="str">
        <f t="shared" si="2"/>
        <v/>
      </c>
      <c r="S62" s="1" t="str">
        <f t="shared" si="3"/>
        <v/>
      </c>
      <c r="U62" s="1" t="str">
        <f t="shared" si="4"/>
        <v/>
      </c>
      <c r="X62" s="1" t="str">
        <f t="shared" si="5"/>
        <v/>
      </c>
      <c r="AA62" s="1" t="str">
        <f t="shared" si="6"/>
        <v/>
      </c>
    </row>
    <row r="63" spans="1:27" x14ac:dyDescent="0.2">
      <c r="A63" t="str">
        <f>IF(COUNTBLANK(B63:AB63)&lt;&gt;COLUMNS(B63:AB63),62,"")</f>
        <v/>
      </c>
      <c r="D63" s="1" t="str">
        <f t="shared" si="0"/>
        <v/>
      </c>
      <c r="G63" s="2" t="str">
        <f t="shared" si="1"/>
        <v/>
      </c>
      <c r="H63" s="1" t="str">
        <f t="shared" si="2"/>
        <v/>
      </c>
      <c r="S63" s="1" t="str">
        <f t="shared" si="3"/>
        <v/>
      </c>
      <c r="U63" s="1" t="str">
        <f t="shared" si="4"/>
        <v/>
      </c>
      <c r="X63" s="1" t="str">
        <f t="shared" si="5"/>
        <v/>
      </c>
      <c r="AA63" s="1" t="str">
        <f t="shared" si="6"/>
        <v/>
      </c>
    </row>
    <row r="64" spans="1:27" x14ac:dyDescent="0.2">
      <c r="A64" t="str">
        <f>IF(COUNTBLANK(B64:AB64)&lt;&gt;COLUMNS(B64:AB64),63,"")</f>
        <v/>
      </c>
      <c r="D64" s="1" t="str">
        <f t="shared" si="0"/>
        <v/>
      </c>
      <c r="G64" s="2" t="str">
        <f t="shared" si="1"/>
        <v/>
      </c>
      <c r="H64" s="1" t="str">
        <f t="shared" si="2"/>
        <v/>
      </c>
      <c r="S64" s="1" t="str">
        <f t="shared" si="3"/>
        <v/>
      </c>
      <c r="U64" s="1" t="str">
        <f t="shared" si="4"/>
        <v/>
      </c>
      <c r="X64" s="1" t="str">
        <f t="shared" si="5"/>
        <v/>
      </c>
      <c r="AA64" s="1" t="str">
        <f t="shared" si="6"/>
        <v/>
      </c>
    </row>
    <row r="65" spans="1:27" x14ac:dyDescent="0.2">
      <c r="A65" t="str">
        <f>IF(COUNTBLANK(B65:AB65)&lt;&gt;COLUMNS(B65:AB65),64,"")</f>
        <v/>
      </c>
      <c r="D65" s="1" t="str">
        <f t="shared" si="0"/>
        <v/>
      </c>
      <c r="G65" s="2" t="str">
        <f t="shared" si="1"/>
        <v/>
      </c>
      <c r="H65" s="1" t="str">
        <f t="shared" si="2"/>
        <v/>
      </c>
      <c r="S65" s="1" t="str">
        <f t="shared" si="3"/>
        <v/>
      </c>
      <c r="U65" s="1" t="str">
        <f t="shared" si="4"/>
        <v/>
      </c>
      <c r="X65" s="1" t="str">
        <f t="shared" si="5"/>
        <v/>
      </c>
      <c r="AA65" s="1" t="str">
        <f t="shared" si="6"/>
        <v/>
      </c>
    </row>
    <row r="66" spans="1:27" x14ac:dyDescent="0.2">
      <c r="A66" t="str">
        <f>IF(COUNTBLANK(B66:AB66)&lt;&gt;COLUMNS(B66:AB66),65,"")</f>
        <v/>
      </c>
      <c r="D66" s="1" t="str">
        <f t="shared" ref="D66:D129" si="7">IF(B66="", "", "Not applicable")</f>
        <v/>
      </c>
      <c r="G66" s="2" t="str">
        <f t="shared" ref="G66:G129" si="8">IF(B66="", "", "missing: not provided")</f>
        <v/>
      </c>
      <c r="H66" s="1" t="str">
        <f t="shared" ref="H66:H129" si="9">IF(B66="", "", "meters")</f>
        <v/>
      </c>
      <c r="S66" s="1" t="str">
        <f t="shared" ref="S66:S129" si="10">IF(B66="", "", "Decimal degrees")</f>
        <v/>
      </c>
      <c r="U66" s="1" t="str">
        <f t="shared" ref="U66:U129" si="11">IF(B66="", "", "Decimal degrees")</f>
        <v/>
      </c>
      <c r="X66" s="1" t="str">
        <f t="shared" ref="X66:X129" si="12">IF(B66="", "", "other")</f>
        <v/>
      </c>
      <c r="AA66" s="1" t="str">
        <f t="shared" ref="AA66:AA129" si="13">IF(B66="", "", "Not applicable")</f>
        <v/>
      </c>
    </row>
    <row r="67" spans="1:27" x14ac:dyDescent="0.2">
      <c r="A67" t="str">
        <f>IF(COUNTBLANK(B67:AB67)&lt;&gt;COLUMNS(B67:AB67),66,"")</f>
        <v/>
      </c>
      <c r="D67" s="1" t="str">
        <f t="shared" si="7"/>
        <v/>
      </c>
      <c r="G67" s="2" t="str">
        <f t="shared" si="8"/>
        <v/>
      </c>
      <c r="H67" s="1" t="str">
        <f t="shared" si="9"/>
        <v/>
      </c>
      <c r="S67" s="1" t="str">
        <f t="shared" si="10"/>
        <v/>
      </c>
      <c r="U67" s="1" t="str">
        <f t="shared" si="11"/>
        <v/>
      </c>
      <c r="X67" s="1" t="str">
        <f t="shared" si="12"/>
        <v/>
      </c>
      <c r="AA67" s="1" t="str">
        <f t="shared" si="13"/>
        <v/>
      </c>
    </row>
    <row r="68" spans="1:27" x14ac:dyDescent="0.2">
      <c r="A68" t="str">
        <f>IF(COUNTBLANK(B68:AB68)&lt;&gt;COLUMNS(B68:AB68),67,"")</f>
        <v/>
      </c>
      <c r="D68" s="1" t="str">
        <f t="shared" si="7"/>
        <v/>
      </c>
      <c r="G68" s="2" t="str">
        <f t="shared" si="8"/>
        <v/>
      </c>
      <c r="H68" s="1" t="str">
        <f t="shared" si="9"/>
        <v/>
      </c>
      <c r="S68" s="1" t="str">
        <f t="shared" si="10"/>
        <v/>
      </c>
      <c r="U68" s="1" t="str">
        <f t="shared" si="11"/>
        <v/>
      </c>
      <c r="X68" s="1" t="str">
        <f t="shared" si="12"/>
        <v/>
      </c>
      <c r="AA68" s="1" t="str">
        <f t="shared" si="13"/>
        <v/>
      </c>
    </row>
    <row r="69" spans="1:27" x14ac:dyDescent="0.2">
      <c r="A69" t="str">
        <f>IF(COUNTBLANK(B69:AB69)&lt;&gt;COLUMNS(B69:AB69),68,"")</f>
        <v/>
      </c>
      <c r="D69" s="1" t="str">
        <f t="shared" si="7"/>
        <v/>
      </c>
      <c r="G69" s="2" t="str">
        <f t="shared" si="8"/>
        <v/>
      </c>
      <c r="H69" s="1" t="str">
        <f t="shared" si="9"/>
        <v/>
      </c>
      <c r="S69" s="1" t="str">
        <f t="shared" si="10"/>
        <v/>
      </c>
      <c r="U69" s="1" t="str">
        <f t="shared" si="11"/>
        <v/>
      </c>
      <c r="X69" s="1" t="str">
        <f t="shared" si="12"/>
        <v/>
      </c>
      <c r="AA69" s="1" t="str">
        <f t="shared" si="13"/>
        <v/>
      </c>
    </row>
    <row r="70" spans="1:27" x14ac:dyDescent="0.2">
      <c r="A70" t="str">
        <f>IF(COUNTBLANK(B70:AB70)&lt;&gt;COLUMNS(B70:AB70),69,"")</f>
        <v/>
      </c>
      <c r="D70" s="1" t="str">
        <f t="shared" si="7"/>
        <v/>
      </c>
      <c r="G70" s="2" t="str">
        <f t="shared" si="8"/>
        <v/>
      </c>
      <c r="H70" s="1" t="str">
        <f t="shared" si="9"/>
        <v/>
      </c>
      <c r="S70" s="1" t="str">
        <f t="shared" si="10"/>
        <v/>
      </c>
      <c r="U70" s="1" t="str">
        <f t="shared" si="11"/>
        <v/>
      </c>
      <c r="X70" s="1" t="str">
        <f t="shared" si="12"/>
        <v/>
      </c>
      <c r="AA70" s="1" t="str">
        <f t="shared" si="13"/>
        <v/>
      </c>
    </row>
    <row r="71" spans="1:27" x14ac:dyDescent="0.2">
      <c r="A71" t="str">
        <f>IF(COUNTBLANK(B71:AB71)&lt;&gt;COLUMNS(B71:AB71),70,"")</f>
        <v/>
      </c>
      <c r="D71" s="1" t="str">
        <f t="shared" si="7"/>
        <v/>
      </c>
      <c r="G71" s="2" t="str">
        <f t="shared" si="8"/>
        <v/>
      </c>
      <c r="H71" s="1" t="str">
        <f t="shared" si="9"/>
        <v/>
      </c>
      <c r="S71" s="1" t="str">
        <f t="shared" si="10"/>
        <v/>
      </c>
      <c r="U71" s="1" t="str">
        <f t="shared" si="11"/>
        <v/>
      </c>
      <c r="X71" s="1" t="str">
        <f t="shared" si="12"/>
        <v/>
      </c>
      <c r="AA71" s="1" t="str">
        <f t="shared" si="13"/>
        <v/>
      </c>
    </row>
    <row r="72" spans="1:27" x14ac:dyDescent="0.2">
      <c r="A72" t="str">
        <f>IF(COUNTBLANK(B72:AB72)&lt;&gt;COLUMNS(B72:AB72),71,"")</f>
        <v/>
      </c>
      <c r="D72" s="1" t="str">
        <f t="shared" si="7"/>
        <v/>
      </c>
      <c r="G72" s="2" t="str">
        <f t="shared" si="8"/>
        <v/>
      </c>
      <c r="H72" s="1" t="str">
        <f t="shared" si="9"/>
        <v/>
      </c>
      <c r="S72" s="1" t="str">
        <f t="shared" si="10"/>
        <v/>
      </c>
      <c r="U72" s="1" t="str">
        <f t="shared" si="11"/>
        <v/>
      </c>
      <c r="X72" s="1" t="str">
        <f t="shared" si="12"/>
        <v/>
      </c>
      <c r="AA72" s="1" t="str">
        <f t="shared" si="13"/>
        <v/>
      </c>
    </row>
    <row r="73" spans="1:27" x14ac:dyDescent="0.2">
      <c r="A73" t="str">
        <f>IF(COUNTBLANK(B73:AB73)&lt;&gt;COLUMNS(B73:AB73),72,"")</f>
        <v/>
      </c>
      <c r="D73" s="1" t="str">
        <f t="shared" si="7"/>
        <v/>
      </c>
      <c r="G73" s="2" t="str">
        <f t="shared" si="8"/>
        <v/>
      </c>
      <c r="H73" s="1" t="str">
        <f t="shared" si="9"/>
        <v/>
      </c>
      <c r="S73" s="1" t="str">
        <f t="shared" si="10"/>
        <v/>
      </c>
      <c r="U73" s="1" t="str">
        <f t="shared" si="11"/>
        <v/>
      </c>
      <c r="X73" s="1" t="str">
        <f t="shared" si="12"/>
        <v/>
      </c>
      <c r="AA73" s="1" t="str">
        <f t="shared" si="13"/>
        <v/>
      </c>
    </row>
    <row r="74" spans="1:27" x14ac:dyDescent="0.2">
      <c r="A74" t="str">
        <f>IF(COUNTBLANK(B74:AB74)&lt;&gt;COLUMNS(B74:AB74),73,"")</f>
        <v/>
      </c>
      <c r="D74" s="1" t="str">
        <f t="shared" si="7"/>
        <v/>
      </c>
      <c r="G74" s="2" t="str">
        <f t="shared" si="8"/>
        <v/>
      </c>
      <c r="H74" s="1" t="str">
        <f t="shared" si="9"/>
        <v/>
      </c>
      <c r="S74" s="1" t="str">
        <f t="shared" si="10"/>
        <v/>
      </c>
      <c r="U74" s="1" t="str">
        <f t="shared" si="11"/>
        <v/>
      </c>
      <c r="X74" s="1" t="str">
        <f t="shared" si="12"/>
        <v/>
      </c>
      <c r="AA74" s="1" t="str">
        <f t="shared" si="13"/>
        <v/>
      </c>
    </row>
    <row r="75" spans="1:27" x14ac:dyDescent="0.2">
      <c r="A75" t="str">
        <f>IF(COUNTBLANK(B75:AB75)&lt;&gt;COLUMNS(B75:AB75),74,"")</f>
        <v/>
      </c>
      <c r="D75" s="1" t="str">
        <f t="shared" si="7"/>
        <v/>
      </c>
      <c r="G75" s="2" t="str">
        <f t="shared" si="8"/>
        <v/>
      </c>
      <c r="H75" s="1" t="str">
        <f t="shared" si="9"/>
        <v/>
      </c>
      <c r="S75" s="1" t="str">
        <f t="shared" si="10"/>
        <v/>
      </c>
      <c r="U75" s="1" t="str">
        <f t="shared" si="11"/>
        <v/>
      </c>
      <c r="X75" s="1" t="str">
        <f t="shared" si="12"/>
        <v/>
      </c>
      <c r="AA75" s="1" t="str">
        <f t="shared" si="13"/>
        <v/>
      </c>
    </row>
    <row r="76" spans="1:27" x14ac:dyDescent="0.2">
      <c r="A76" t="str">
        <f>IF(COUNTBLANK(B76:AB76)&lt;&gt;COLUMNS(B76:AB76),75,"")</f>
        <v/>
      </c>
      <c r="D76" s="1" t="str">
        <f t="shared" si="7"/>
        <v/>
      </c>
      <c r="G76" s="2" t="str">
        <f t="shared" si="8"/>
        <v/>
      </c>
      <c r="H76" s="1" t="str">
        <f t="shared" si="9"/>
        <v/>
      </c>
      <c r="S76" s="1" t="str">
        <f t="shared" si="10"/>
        <v/>
      </c>
      <c r="U76" s="1" t="str">
        <f t="shared" si="11"/>
        <v/>
      </c>
      <c r="X76" s="1" t="str">
        <f t="shared" si="12"/>
        <v/>
      </c>
      <c r="AA76" s="1" t="str">
        <f t="shared" si="13"/>
        <v/>
      </c>
    </row>
    <row r="77" spans="1:27" x14ac:dyDescent="0.2">
      <c r="A77" t="str">
        <f>IF(COUNTBLANK(B77:AB77)&lt;&gt;COLUMNS(B77:AB77),76,"")</f>
        <v/>
      </c>
      <c r="D77" s="1" t="str">
        <f t="shared" si="7"/>
        <v/>
      </c>
      <c r="G77" s="2" t="str">
        <f t="shared" si="8"/>
        <v/>
      </c>
      <c r="H77" s="1" t="str">
        <f t="shared" si="9"/>
        <v/>
      </c>
      <c r="S77" s="1" t="str">
        <f t="shared" si="10"/>
        <v/>
      </c>
      <c r="U77" s="1" t="str">
        <f t="shared" si="11"/>
        <v/>
      </c>
      <c r="X77" s="1" t="str">
        <f t="shared" si="12"/>
        <v/>
      </c>
      <c r="AA77" s="1" t="str">
        <f t="shared" si="13"/>
        <v/>
      </c>
    </row>
    <row r="78" spans="1:27" x14ac:dyDescent="0.2">
      <c r="A78" t="str">
        <f>IF(COUNTBLANK(B78:AB78)&lt;&gt;COLUMNS(B78:AB78),77,"")</f>
        <v/>
      </c>
      <c r="D78" s="1" t="str">
        <f t="shared" si="7"/>
        <v/>
      </c>
      <c r="G78" s="2" t="str">
        <f t="shared" si="8"/>
        <v/>
      </c>
      <c r="H78" s="1" t="str">
        <f t="shared" si="9"/>
        <v/>
      </c>
      <c r="S78" s="1" t="str">
        <f t="shared" si="10"/>
        <v/>
      </c>
      <c r="U78" s="1" t="str">
        <f t="shared" si="11"/>
        <v/>
      </c>
      <c r="X78" s="1" t="str">
        <f t="shared" si="12"/>
        <v/>
      </c>
      <c r="AA78" s="1" t="str">
        <f t="shared" si="13"/>
        <v/>
      </c>
    </row>
    <row r="79" spans="1:27" x14ac:dyDescent="0.2">
      <c r="A79" t="str">
        <f>IF(COUNTBLANK(B79:AB79)&lt;&gt;COLUMNS(B79:AB79),78,"")</f>
        <v/>
      </c>
      <c r="D79" s="1" t="str">
        <f t="shared" si="7"/>
        <v/>
      </c>
      <c r="G79" s="2" t="str">
        <f t="shared" si="8"/>
        <v/>
      </c>
      <c r="H79" s="1" t="str">
        <f t="shared" si="9"/>
        <v/>
      </c>
      <c r="S79" s="1" t="str">
        <f t="shared" si="10"/>
        <v/>
      </c>
      <c r="U79" s="1" t="str">
        <f t="shared" si="11"/>
        <v/>
      </c>
      <c r="X79" s="1" t="str">
        <f t="shared" si="12"/>
        <v/>
      </c>
      <c r="AA79" s="1" t="str">
        <f t="shared" si="13"/>
        <v/>
      </c>
    </row>
    <row r="80" spans="1:27" x14ac:dyDescent="0.2">
      <c r="A80" t="str">
        <f>IF(COUNTBLANK(B80:AB80)&lt;&gt;COLUMNS(B80:AB80),79,"")</f>
        <v/>
      </c>
      <c r="D80" s="1" t="str">
        <f t="shared" si="7"/>
        <v/>
      </c>
      <c r="G80" s="2" t="str">
        <f t="shared" si="8"/>
        <v/>
      </c>
      <c r="H80" s="1" t="str">
        <f t="shared" si="9"/>
        <v/>
      </c>
      <c r="S80" s="1" t="str">
        <f t="shared" si="10"/>
        <v/>
      </c>
      <c r="U80" s="1" t="str">
        <f t="shared" si="11"/>
        <v/>
      </c>
      <c r="X80" s="1" t="str">
        <f t="shared" si="12"/>
        <v/>
      </c>
      <c r="AA80" s="1" t="str">
        <f t="shared" si="13"/>
        <v/>
      </c>
    </row>
    <row r="81" spans="1:27" x14ac:dyDescent="0.2">
      <c r="A81" t="str">
        <f>IF(COUNTBLANK(B81:AB81)&lt;&gt;COLUMNS(B81:AB81),80,"")</f>
        <v/>
      </c>
      <c r="D81" s="1" t="str">
        <f t="shared" si="7"/>
        <v/>
      </c>
      <c r="G81" s="2" t="str">
        <f t="shared" si="8"/>
        <v/>
      </c>
      <c r="H81" s="1" t="str">
        <f t="shared" si="9"/>
        <v/>
      </c>
      <c r="S81" s="1" t="str">
        <f t="shared" si="10"/>
        <v/>
      </c>
      <c r="U81" s="1" t="str">
        <f t="shared" si="11"/>
        <v/>
      </c>
      <c r="X81" s="1" t="str">
        <f t="shared" si="12"/>
        <v/>
      </c>
      <c r="AA81" s="1" t="str">
        <f t="shared" si="13"/>
        <v/>
      </c>
    </row>
    <row r="82" spans="1:27" x14ac:dyDescent="0.2">
      <c r="A82" t="str">
        <f>IF(COUNTBLANK(B82:AB82)&lt;&gt;COLUMNS(B82:AB82),81,"")</f>
        <v/>
      </c>
      <c r="D82" s="1" t="str">
        <f t="shared" si="7"/>
        <v/>
      </c>
      <c r="G82" s="2" t="str">
        <f t="shared" si="8"/>
        <v/>
      </c>
      <c r="H82" s="1" t="str">
        <f t="shared" si="9"/>
        <v/>
      </c>
      <c r="S82" s="1" t="str">
        <f t="shared" si="10"/>
        <v/>
      </c>
      <c r="U82" s="1" t="str">
        <f t="shared" si="11"/>
        <v/>
      </c>
      <c r="X82" s="1" t="str">
        <f t="shared" si="12"/>
        <v/>
      </c>
      <c r="AA82" s="1" t="str">
        <f t="shared" si="13"/>
        <v/>
      </c>
    </row>
    <row r="83" spans="1:27" x14ac:dyDescent="0.2">
      <c r="A83" t="str">
        <f>IF(COUNTBLANK(B83:AB83)&lt;&gt;COLUMNS(B83:AB83),82,"")</f>
        <v/>
      </c>
      <c r="D83" s="1" t="str">
        <f t="shared" si="7"/>
        <v/>
      </c>
      <c r="G83" s="2" t="str">
        <f t="shared" si="8"/>
        <v/>
      </c>
      <c r="H83" s="1" t="str">
        <f t="shared" si="9"/>
        <v/>
      </c>
      <c r="S83" s="1" t="str">
        <f t="shared" si="10"/>
        <v/>
      </c>
      <c r="U83" s="1" t="str">
        <f t="shared" si="11"/>
        <v/>
      </c>
      <c r="X83" s="1" t="str">
        <f t="shared" si="12"/>
        <v/>
      </c>
      <c r="AA83" s="1" t="str">
        <f t="shared" si="13"/>
        <v/>
      </c>
    </row>
    <row r="84" spans="1:27" x14ac:dyDescent="0.2">
      <c r="A84" t="str">
        <f>IF(COUNTBLANK(B84:AB84)&lt;&gt;COLUMNS(B84:AB84),83,"")</f>
        <v/>
      </c>
      <c r="D84" s="1" t="str">
        <f t="shared" si="7"/>
        <v/>
      </c>
      <c r="G84" s="2" t="str">
        <f t="shared" si="8"/>
        <v/>
      </c>
      <c r="H84" s="1" t="str">
        <f t="shared" si="9"/>
        <v/>
      </c>
      <c r="S84" s="1" t="str">
        <f t="shared" si="10"/>
        <v/>
      </c>
      <c r="U84" s="1" t="str">
        <f t="shared" si="11"/>
        <v/>
      </c>
      <c r="X84" s="1" t="str">
        <f t="shared" si="12"/>
        <v/>
      </c>
      <c r="AA84" s="1" t="str">
        <f t="shared" si="13"/>
        <v/>
      </c>
    </row>
    <row r="85" spans="1:27" x14ac:dyDescent="0.2">
      <c r="A85" t="str">
        <f>IF(COUNTBLANK(B85:AB85)&lt;&gt;COLUMNS(B85:AB85),84,"")</f>
        <v/>
      </c>
      <c r="D85" s="1" t="str">
        <f t="shared" si="7"/>
        <v/>
      </c>
      <c r="G85" s="2" t="str">
        <f t="shared" si="8"/>
        <v/>
      </c>
      <c r="H85" s="1" t="str">
        <f t="shared" si="9"/>
        <v/>
      </c>
      <c r="S85" s="1" t="str">
        <f t="shared" si="10"/>
        <v/>
      </c>
      <c r="U85" s="1" t="str">
        <f t="shared" si="11"/>
        <v/>
      </c>
      <c r="X85" s="1" t="str">
        <f t="shared" si="12"/>
        <v/>
      </c>
      <c r="AA85" s="1" t="str">
        <f t="shared" si="13"/>
        <v/>
      </c>
    </row>
    <row r="86" spans="1:27" x14ac:dyDescent="0.2">
      <c r="A86" t="str">
        <f>IF(COUNTBLANK(B86:AB86)&lt;&gt;COLUMNS(B86:AB86),85,"")</f>
        <v/>
      </c>
      <c r="D86" s="1" t="str">
        <f t="shared" si="7"/>
        <v/>
      </c>
      <c r="G86" s="2" t="str">
        <f t="shared" si="8"/>
        <v/>
      </c>
      <c r="H86" s="1" t="str">
        <f t="shared" si="9"/>
        <v/>
      </c>
      <c r="S86" s="1" t="str">
        <f t="shared" si="10"/>
        <v/>
      </c>
      <c r="U86" s="1" t="str">
        <f t="shared" si="11"/>
        <v/>
      </c>
      <c r="X86" s="1" t="str">
        <f t="shared" si="12"/>
        <v/>
      </c>
      <c r="AA86" s="1" t="str">
        <f t="shared" si="13"/>
        <v/>
      </c>
    </row>
    <row r="87" spans="1:27" x14ac:dyDescent="0.2">
      <c r="A87" t="str">
        <f>IF(COUNTBLANK(B87:AB87)&lt;&gt;COLUMNS(B87:AB87),86,"")</f>
        <v/>
      </c>
      <c r="D87" s="1" t="str">
        <f t="shared" si="7"/>
        <v/>
      </c>
      <c r="G87" s="2" t="str">
        <f t="shared" si="8"/>
        <v/>
      </c>
      <c r="H87" s="1" t="str">
        <f t="shared" si="9"/>
        <v/>
      </c>
      <c r="S87" s="1" t="str">
        <f t="shared" si="10"/>
        <v/>
      </c>
      <c r="U87" s="1" t="str">
        <f t="shared" si="11"/>
        <v/>
      </c>
      <c r="X87" s="1" t="str">
        <f t="shared" si="12"/>
        <v/>
      </c>
      <c r="AA87" s="1" t="str">
        <f t="shared" si="13"/>
        <v/>
      </c>
    </row>
    <row r="88" spans="1:27" x14ac:dyDescent="0.2">
      <c r="A88" t="str">
        <f>IF(COUNTBLANK(B88:AB88)&lt;&gt;COLUMNS(B88:AB88),87,"")</f>
        <v/>
      </c>
      <c r="D88" s="1" t="str">
        <f t="shared" si="7"/>
        <v/>
      </c>
      <c r="G88" s="2" t="str">
        <f t="shared" si="8"/>
        <v/>
      </c>
      <c r="H88" s="1" t="str">
        <f t="shared" si="9"/>
        <v/>
      </c>
      <c r="S88" s="1" t="str">
        <f t="shared" si="10"/>
        <v/>
      </c>
      <c r="U88" s="1" t="str">
        <f t="shared" si="11"/>
        <v/>
      </c>
      <c r="X88" s="1" t="str">
        <f t="shared" si="12"/>
        <v/>
      </c>
      <c r="AA88" s="1" t="str">
        <f t="shared" si="13"/>
        <v/>
      </c>
    </row>
    <row r="89" spans="1:27" x14ac:dyDescent="0.2">
      <c r="A89" t="str">
        <f>IF(COUNTBLANK(B89:AB89)&lt;&gt;COLUMNS(B89:AB89),88,"")</f>
        <v/>
      </c>
      <c r="D89" s="1" t="str">
        <f t="shared" si="7"/>
        <v/>
      </c>
      <c r="G89" s="2" t="str">
        <f t="shared" si="8"/>
        <v/>
      </c>
      <c r="H89" s="1" t="str">
        <f t="shared" si="9"/>
        <v/>
      </c>
      <c r="S89" s="1" t="str">
        <f t="shared" si="10"/>
        <v/>
      </c>
      <c r="U89" s="1" t="str">
        <f t="shared" si="11"/>
        <v/>
      </c>
      <c r="X89" s="1" t="str">
        <f t="shared" si="12"/>
        <v/>
      </c>
      <c r="AA89" s="1" t="str">
        <f t="shared" si="13"/>
        <v/>
      </c>
    </row>
    <row r="90" spans="1:27" x14ac:dyDescent="0.2">
      <c r="A90" t="str">
        <f>IF(COUNTBLANK(B90:AB90)&lt;&gt;COLUMNS(B90:AB90),89,"")</f>
        <v/>
      </c>
      <c r="D90" s="1" t="str">
        <f t="shared" si="7"/>
        <v/>
      </c>
      <c r="G90" s="2" t="str">
        <f t="shared" si="8"/>
        <v/>
      </c>
      <c r="H90" s="1" t="str">
        <f t="shared" si="9"/>
        <v/>
      </c>
      <c r="S90" s="1" t="str">
        <f t="shared" si="10"/>
        <v/>
      </c>
      <c r="U90" s="1" t="str">
        <f t="shared" si="11"/>
        <v/>
      </c>
      <c r="X90" s="1" t="str">
        <f t="shared" si="12"/>
        <v/>
      </c>
      <c r="AA90" s="1" t="str">
        <f t="shared" si="13"/>
        <v/>
      </c>
    </row>
    <row r="91" spans="1:27" x14ac:dyDescent="0.2">
      <c r="A91" t="str">
        <f>IF(COUNTBLANK(B91:AB91)&lt;&gt;COLUMNS(B91:AB91),90,"")</f>
        <v/>
      </c>
      <c r="D91" s="1" t="str">
        <f t="shared" si="7"/>
        <v/>
      </c>
      <c r="G91" s="2" t="str">
        <f t="shared" si="8"/>
        <v/>
      </c>
      <c r="H91" s="1" t="str">
        <f t="shared" si="9"/>
        <v/>
      </c>
      <c r="S91" s="1" t="str">
        <f t="shared" si="10"/>
        <v/>
      </c>
      <c r="U91" s="1" t="str">
        <f t="shared" si="11"/>
        <v/>
      </c>
      <c r="X91" s="1" t="str">
        <f t="shared" si="12"/>
        <v/>
      </c>
      <c r="AA91" s="1" t="str">
        <f t="shared" si="13"/>
        <v/>
      </c>
    </row>
    <row r="92" spans="1:27" x14ac:dyDescent="0.2">
      <c r="A92" t="str">
        <f>IF(COUNTBLANK(B92:AB92)&lt;&gt;COLUMNS(B92:AB92),91,"")</f>
        <v/>
      </c>
      <c r="D92" s="1" t="str">
        <f t="shared" si="7"/>
        <v/>
      </c>
      <c r="G92" s="2" t="str">
        <f t="shared" si="8"/>
        <v/>
      </c>
      <c r="H92" s="1" t="str">
        <f t="shared" si="9"/>
        <v/>
      </c>
      <c r="S92" s="1" t="str">
        <f t="shared" si="10"/>
        <v/>
      </c>
      <c r="U92" s="1" t="str">
        <f t="shared" si="11"/>
        <v/>
      </c>
      <c r="X92" s="1" t="str">
        <f t="shared" si="12"/>
        <v/>
      </c>
      <c r="AA92" s="1" t="str">
        <f t="shared" si="13"/>
        <v/>
      </c>
    </row>
    <row r="93" spans="1:27" x14ac:dyDescent="0.2">
      <c r="A93" t="str">
        <f>IF(COUNTBLANK(B93:AB93)&lt;&gt;COLUMNS(B93:AB93),92,"")</f>
        <v/>
      </c>
      <c r="D93" s="1" t="str">
        <f t="shared" si="7"/>
        <v/>
      </c>
      <c r="G93" s="2" t="str">
        <f t="shared" si="8"/>
        <v/>
      </c>
      <c r="H93" s="1" t="str">
        <f t="shared" si="9"/>
        <v/>
      </c>
      <c r="S93" s="1" t="str">
        <f t="shared" si="10"/>
        <v/>
      </c>
      <c r="U93" s="1" t="str">
        <f t="shared" si="11"/>
        <v/>
      </c>
      <c r="X93" s="1" t="str">
        <f t="shared" si="12"/>
        <v/>
      </c>
      <c r="AA93" s="1" t="str">
        <f t="shared" si="13"/>
        <v/>
      </c>
    </row>
    <row r="94" spans="1:27" x14ac:dyDescent="0.2">
      <c r="A94" t="str">
        <f>IF(COUNTBLANK(B94:AB94)&lt;&gt;COLUMNS(B94:AB94),93,"")</f>
        <v/>
      </c>
      <c r="D94" s="1" t="str">
        <f t="shared" si="7"/>
        <v/>
      </c>
      <c r="G94" s="2" t="str">
        <f t="shared" si="8"/>
        <v/>
      </c>
      <c r="H94" s="1" t="str">
        <f t="shared" si="9"/>
        <v/>
      </c>
      <c r="S94" s="1" t="str">
        <f t="shared" si="10"/>
        <v/>
      </c>
      <c r="U94" s="1" t="str">
        <f t="shared" si="11"/>
        <v/>
      </c>
      <c r="X94" s="1" t="str">
        <f t="shared" si="12"/>
        <v/>
      </c>
      <c r="AA94" s="1" t="str">
        <f t="shared" si="13"/>
        <v/>
      </c>
    </row>
    <row r="95" spans="1:27" x14ac:dyDescent="0.2">
      <c r="A95" t="str">
        <f>IF(COUNTBLANK(B95:AB95)&lt;&gt;COLUMNS(B95:AB95),94,"")</f>
        <v/>
      </c>
      <c r="D95" s="1" t="str">
        <f t="shared" si="7"/>
        <v/>
      </c>
      <c r="G95" s="2" t="str">
        <f t="shared" si="8"/>
        <v/>
      </c>
      <c r="H95" s="1" t="str">
        <f t="shared" si="9"/>
        <v/>
      </c>
      <c r="S95" s="1" t="str">
        <f t="shared" si="10"/>
        <v/>
      </c>
      <c r="U95" s="1" t="str">
        <f t="shared" si="11"/>
        <v/>
      </c>
      <c r="X95" s="1" t="str">
        <f t="shared" si="12"/>
        <v/>
      </c>
      <c r="AA95" s="1" t="str">
        <f t="shared" si="13"/>
        <v/>
      </c>
    </row>
    <row r="96" spans="1:27" x14ac:dyDescent="0.2">
      <c r="A96" t="str">
        <f>IF(COUNTBLANK(B96:AB96)&lt;&gt;COLUMNS(B96:AB96),95,"")</f>
        <v/>
      </c>
      <c r="D96" s="1" t="str">
        <f t="shared" si="7"/>
        <v/>
      </c>
      <c r="G96" s="2" t="str">
        <f t="shared" si="8"/>
        <v/>
      </c>
      <c r="H96" s="1" t="str">
        <f t="shared" si="9"/>
        <v/>
      </c>
      <c r="S96" s="1" t="str">
        <f t="shared" si="10"/>
        <v/>
      </c>
      <c r="U96" s="1" t="str">
        <f t="shared" si="11"/>
        <v/>
      </c>
      <c r="X96" s="1" t="str">
        <f t="shared" si="12"/>
        <v/>
      </c>
      <c r="AA96" s="1" t="str">
        <f t="shared" si="13"/>
        <v/>
      </c>
    </row>
    <row r="97" spans="1:27" x14ac:dyDescent="0.2">
      <c r="A97" t="str">
        <f>IF(COUNTBLANK(B97:AB97)&lt;&gt;COLUMNS(B97:AB97),96,"")</f>
        <v/>
      </c>
      <c r="D97" s="1" t="str">
        <f t="shared" si="7"/>
        <v/>
      </c>
      <c r="G97" s="2" t="str">
        <f t="shared" si="8"/>
        <v/>
      </c>
      <c r="H97" s="1" t="str">
        <f t="shared" si="9"/>
        <v/>
      </c>
      <c r="S97" s="1" t="str">
        <f t="shared" si="10"/>
        <v/>
      </c>
      <c r="U97" s="1" t="str">
        <f t="shared" si="11"/>
        <v/>
      </c>
      <c r="X97" s="1" t="str">
        <f t="shared" si="12"/>
        <v/>
      </c>
      <c r="AA97" s="1" t="str">
        <f t="shared" si="13"/>
        <v/>
      </c>
    </row>
    <row r="98" spans="1:27" x14ac:dyDescent="0.2">
      <c r="A98" t="str">
        <f>IF(COUNTBLANK(B98:AB98)&lt;&gt;COLUMNS(B98:AB98),97,"")</f>
        <v/>
      </c>
      <c r="D98" s="1" t="str">
        <f t="shared" si="7"/>
        <v/>
      </c>
      <c r="G98" s="2" t="str">
        <f t="shared" si="8"/>
        <v/>
      </c>
      <c r="H98" s="1" t="str">
        <f t="shared" si="9"/>
        <v/>
      </c>
      <c r="S98" s="1" t="str">
        <f t="shared" si="10"/>
        <v/>
      </c>
      <c r="U98" s="1" t="str">
        <f t="shared" si="11"/>
        <v/>
      </c>
      <c r="X98" s="1" t="str">
        <f t="shared" si="12"/>
        <v/>
      </c>
      <c r="AA98" s="1" t="str">
        <f t="shared" si="13"/>
        <v/>
      </c>
    </row>
    <row r="99" spans="1:27" x14ac:dyDescent="0.2">
      <c r="A99" t="str">
        <f>IF(COUNTBLANK(B99:AB99)&lt;&gt;COLUMNS(B99:AB99),98,"")</f>
        <v/>
      </c>
      <c r="D99" s="1" t="str">
        <f t="shared" si="7"/>
        <v/>
      </c>
      <c r="G99" s="2" t="str">
        <f t="shared" si="8"/>
        <v/>
      </c>
      <c r="H99" s="1" t="str">
        <f t="shared" si="9"/>
        <v/>
      </c>
      <c r="S99" s="1" t="str">
        <f t="shared" si="10"/>
        <v/>
      </c>
      <c r="U99" s="1" t="str">
        <f t="shared" si="11"/>
        <v/>
      </c>
      <c r="X99" s="1" t="str">
        <f t="shared" si="12"/>
        <v/>
      </c>
      <c r="AA99" s="1" t="str">
        <f t="shared" si="13"/>
        <v/>
      </c>
    </row>
    <row r="100" spans="1:27" x14ac:dyDescent="0.2">
      <c r="A100" t="str">
        <f>IF(COUNTBLANK(B100:AB100)&lt;&gt;COLUMNS(B100:AB100),99,"")</f>
        <v/>
      </c>
      <c r="D100" s="1" t="str">
        <f t="shared" si="7"/>
        <v/>
      </c>
      <c r="G100" s="2" t="str">
        <f t="shared" si="8"/>
        <v/>
      </c>
      <c r="H100" s="1" t="str">
        <f t="shared" si="9"/>
        <v/>
      </c>
      <c r="S100" s="1" t="str">
        <f t="shared" si="10"/>
        <v/>
      </c>
      <c r="U100" s="1" t="str">
        <f t="shared" si="11"/>
        <v/>
      </c>
      <c r="X100" s="1" t="str">
        <f t="shared" si="12"/>
        <v/>
      </c>
      <c r="AA100" s="1" t="str">
        <f t="shared" si="13"/>
        <v/>
      </c>
    </row>
    <row r="101" spans="1:27" x14ac:dyDescent="0.2">
      <c r="A101" t="str">
        <f>IF(COUNTBLANK(B101:AB101)&lt;&gt;COLUMNS(B101:AB101),100,"")</f>
        <v/>
      </c>
      <c r="D101" s="1" t="str">
        <f t="shared" si="7"/>
        <v/>
      </c>
      <c r="G101" s="2" t="str">
        <f t="shared" si="8"/>
        <v/>
      </c>
      <c r="H101" s="1" t="str">
        <f t="shared" si="9"/>
        <v/>
      </c>
      <c r="S101" s="1" t="str">
        <f t="shared" si="10"/>
        <v/>
      </c>
      <c r="U101" s="1" t="str">
        <f t="shared" si="11"/>
        <v/>
      </c>
      <c r="X101" s="1" t="str">
        <f t="shared" si="12"/>
        <v/>
      </c>
      <c r="AA101" s="1" t="str">
        <f t="shared" si="13"/>
        <v/>
      </c>
    </row>
    <row r="102" spans="1:27" x14ac:dyDescent="0.2">
      <c r="A102" t="str">
        <f>IF(COUNTBLANK(B102:AB102)&lt;&gt;COLUMNS(B102:AB102),101,"")</f>
        <v/>
      </c>
      <c r="D102" s="1" t="str">
        <f t="shared" si="7"/>
        <v/>
      </c>
      <c r="G102" s="2" t="str">
        <f t="shared" si="8"/>
        <v/>
      </c>
      <c r="H102" s="1" t="str">
        <f t="shared" si="9"/>
        <v/>
      </c>
      <c r="S102" s="1" t="str">
        <f t="shared" si="10"/>
        <v/>
      </c>
      <c r="U102" s="1" t="str">
        <f t="shared" si="11"/>
        <v/>
      </c>
      <c r="X102" s="1" t="str">
        <f t="shared" si="12"/>
        <v/>
      </c>
      <c r="AA102" s="1" t="str">
        <f t="shared" si="13"/>
        <v/>
      </c>
    </row>
    <row r="103" spans="1:27" x14ac:dyDescent="0.2">
      <c r="A103" t="str">
        <f>IF(COUNTBLANK(B103:AB103)&lt;&gt;COLUMNS(B103:AB103),102,"")</f>
        <v/>
      </c>
      <c r="D103" s="1" t="str">
        <f t="shared" si="7"/>
        <v/>
      </c>
      <c r="G103" s="2" t="str">
        <f t="shared" si="8"/>
        <v/>
      </c>
      <c r="H103" s="1" t="str">
        <f t="shared" si="9"/>
        <v/>
      </c>
      <c r="S103" s="1" t="str">
        <f t="shared" si="10"/>
        <v/>
      </c>
      <c r="U103" s="1" t="str">
        <f t="shared" si="11"/>
        <v/>
      </c>
      <c r="X103" s="1" t="str">
        <f t="shared" si="12"/>
        <v/>
      </c>
      <c r="AA103" s="1" t="str">
        <f t="shared" si="13"/>
        <v/>
      </c>
    </row>
    <row r="104" spans="1:27" x14ac:dyDescent="0.2">
      <c r="A104" t="str">
        <f>IF(COUNTBLANK(B104:AB104)&lt;&gt;COLUMNS(B104:AB104),103,"")</f>
        <v/>
      </c>
      <c r="D104" s="1" t="str">
        <f t="shared" si="7"/>
        <v/>
      </c>
      <c r="G104" s="2" t="str">
        <f t="shared" si="8"/>
        <v/>
      </c>
      <c r="H104" s="1" t="str">
        <f t="shared" si="9"/>
        <v/>
      </c>
      <c r="S104" s="1" t="str">
        <f t="shared" si="10"/>
        <v/>
      </c>
      <c r="U104" s="1" t="str">
        <f t="shared" si="11"/>
        <v/>
      </c>
      <c r="X104" s="1" t="str">
        <f t="shared" si="12"/>
        <v/>
      </c>
      <c r="AA104" s="1" t="str">
        <f t="shared" si="13"/>
        <v/>
      </c>
    </row>
    <row r="105" spans="1:27" x14ac:dyDescent="0.2">
      <c r="A105" t="str">
        <f>IF(COUNTBLANK(B105:AB105)&lt;&gt;COLUMNS(B105:AB105),104,"")</f>
        <v/>
      </c>
      <c r="D105" s="1" t="str">
        <f t="shared" si="7"/>
        <v/>
      </c>
      <c r="G105" s="2" t="str">
        <f t="shared" si="8"/>
        <v/>
      </c>
      <c r="H105" s="1" t="str">
        <f t="shared" si="9"/>
        <v/>
      </c>
      <c r="S105" s="1" t="str">
        <f t="shared" si="10"/>
        <v/>
      </c>
      <c r="U105" s="1" t="str">
        <f t="shared" si="11"/>
        <v/>
      </c>
      <c r="X105" s="1" t="str">
        <f t="shared" si="12"/>
        <v/>
      </c>
      <c r="AA105" s="1" t="str">
        <f t="shared" si="13"/>
        <v/>
      </c>
    </row>
    <row r="106" spans="1:27" x14ac:dyDescent="0.2">
      <c r="A106" t="str">
        <f>IF(COUNTBLANK(B106:AB106)&lt;&gt;COLUMNS(B106:AB106),105,"")</f>
        <v/>
      </c>
      <c r="D106" s="1" t="str">
        <f t="shared" si="7"/>
        <v/>
      </c>
      <c r="G106" s="2" t="str">
        <f t="shared" si="8"/>
        <v/>
      </c>
      <c r="H106" s="1" t="str">
        <f t="shared" si="9"/>
        <v/>
      </c>
      <c r="S106" s="1" t="str">
        <f t="shared" si="10"/>
        <v/>
      </c>
      <c r="U106" s="1" t="str">
        <f t="shared" si="11"/>
        <v/>
      </c>
      <c r="X106" s="1" t="str">
        <f t="shared" si="12"/>
        <v/>
      </c>
      <c r="AA106" s="1" t="str">
        <f t="shared" si="13"/>
        <v/>
      </c>
    </row>
    <row r="107" spans="1:27" x14ac:dyDescent="0.2">
      <c r="A107" t="str">
        <f>IF(COUNTBLANK(B107:AB107)&lt;&gt;COLUMNS(B107:AB107),106,"")</f>
        <v/>
      </c>
      <c r="D107" s="1" t="str">
        <f t="shared" si="7"/>
        <v/>
      </c>
      <c r="G107" s="2" t="str">
        <f t="shared" si="8"/>
        <v/>
      </c>
      <c r="H107" s="1" t="str">
        <f t="shared" si="9"/>
        <v/>
      </c>
      <c r="S107" s="1" t="str">
        <f t="shared" si="10"/>
        <v/>
      </c>
      <c r="U107" s="1" t="str">
        <f t="shared" si="11"/>
        <v/>
      </c>
      <c r="X107" s="1" t="str">
        <f t="shared" si="12"/>
        <v/>
      </c>
      <c r="AA107" s="1" t="str">
        <f t="shared" si="13"/>
        <v/>
      </c>
    </row>
    <row r="108" spans="1:27" x14ac:dyDescent="0.2">
      <c r="A108" t="str">
        <f>IF(COUNTBLANK(B108:AB108)&lt;&gt;COLUMNS(B108:AB108),107,"")</f>
        <v/>
      </c>
      <c r="D108" s="1" t="str">
        <f t="shared" si="7"/>
        <v/>
      </c>
      <c r="G108" s="2" t="str">
        <f t="shared" si="8"/>
        <v/>
      </c>
      <c r="H108" s="1" t="str">
        <f t="shared" si="9"/>
        <v/>
      </c>
      <c r="S108" s="1" t="str">
        <f t="shared" si="10"/>
        <v/>
      </c>
      <c r="U108" s="1" t="str">
        <f t="shared" si="11"/>
        <v/>
      </c>
      <c r="X108" s="1" t="str">
        <f t="shared" si="12"/>
        <v/>
      </c>
      <c r="AA108" s="1" t="str">
        <f t="shared" si="13"/>
        <v/>
      </c>
    </row>
    <row r="109" spans="1:27" x14ac:dyDescent="0.2">
      <c r="A109" t="str">
        <f>IF(COUNTBLANK(B109:AB109)&lt;&gt;COLUMNS(B109:AB109),108,"")</f>
        <v/>
      </c>
      <c r="D109" s="1" t="str">
        <f t="shared" si="7"/>
        <v/>
      </c>
      <c r="G109" s="2" t="str">
        <f t="shared" si="8"/>
        <v/>
      </c>
      <c r="H109" s="1" t="str">
        <f t="shared" si="9"/>
        <v/>
      </c>
      <c r="S109" s="1" t="str">
        <f t="shared" si="10"/>
        <v/>
      </c>
      <c r="U109" s="1" t="str">
        <f t="shared" si="11"/>
        <v/>
      </c>
      <c r="X109" s="1" t="str">
        <f t="shared" si="12"/>
        <v/>
      </c>
      <c r="AA109" s="1" t="str">
        <f t="shared" si="13"/>
        <v/>
      </c>
    </row>
    <row r="110" spans="1:27" x14ac:dyDescent="0.2">
      <c r="A110" t="str">
        <f>IF(COUNTBLANK(B110:AB110)&lt;&gt;COLUMNS(B110:AB110),109,"")</f>
        <v/>
      </c>
      <c r="D110" s="1" t="str">
        <f t="shared" si="7"/>
        <v/>
      </c>
      <c r="G110" s="2" t="str">
        <f t="shared" si="8"/>
        <v/>
      </c>
      <c r="H110" s="1" t="str">
        <f t="shared" si="9"/>
        <v/>
      </c>
      <c r="S110" s="1" t="str">
        <f t="shared" si="10"/>
        <v/>
      </c>
      <c r="U110" s="1" t="str">
        <f t="shared" si="11"/>
        <v/>
      </c>
      <c r="X110" s="1" t="str">
        <f t="shared" si="12"/>
        <v/>
      </c>
      <c r="AA110" s="1" t="str">
        <f t="shared" si="13"/>
        <v/>
      </c>
    </row>
    <row r="111" spans="1:27" x14ac:dyDescent="0.2">
      <c r="A111" t="str">
        <f>IF(COUNTBLANK(B111:AB111)&lt;&gt;COLUMNS(B111:AB111),110,"")</f>
        <v/>
      </c>
      <c r="D111" s="1" t="str">
        <f t="shared" si="7"/>
        <v/>
      </c>
      <c r="G111" s="2" t="str">
        <f t="shared" si="8"/>
        <v/>
      </c>
      <c r="H111" s="1" t="str">
        <f t="shared" si="9"/>
        <v/>
      </c>
      <c r="S111" s="1" t="str">
        <f t="shared" si="10"/>
        <v/>
      </c>
      <c r="U111" s="1" t="str">
        <f t="shared" si="11"/>
        <v/>
      </c>
      <c r="X111" s="1" t="str">
        <f t="shared" si="12"/>
        <v/>
      </c>
      <c r="AA111" s="1" t="str">
        <f t="shared" si="13"/>
        <v/>
      </c>
    </row>
    <row r="112" spans="1:27" x14ac:dyDescent="0.2">
      <c r="A112" t="str">
        <f>IF(COUNTBLANK(B112:AB112)&lt;&gt;COLUMNS(B112:AB112),111,"")</f>
        <v/>
      </c>
      <c r="D112" s="1" t="str">
        <f t="shared" si="7"/>
        <v/>
      </c>
      <c r="G112" s="2" t="str">
        <f t="shared" si="8"/>
        <v/>
      </c>
      <c r="H112" s="1" t="str">
        <f t="shared" si="9"/>
        <v/>
      </c>
      <c r="S112" s="1" t="str">
        <f t="shared" si="10"/>
        <v/>
      </c>
      <c r="U112" s="1" t="str">
        <f t="shared" si="11"/>
        <v/>
      </c>
      <c r="X112" s="1" t="str">
        <f t="shared" si="12"/>
        <v/>
      </c>
      <c r="AA112" s="1" t="str">
        <f t="shared" si="13"/>
        <v/>
      </c>
    </row>
    <row r="113" spans="1:27" x14ac:dyDescent="0.2">
      <c r="A113" t="str">
        <f>IF(COUNTBLANK(B113:AB113)&lt;&gt;COLUMNS(B113:AB113),112,"")</f>
        <v/>
      </c>
      <c r="D113" s="1" t="str">
        <f t="shared" si="7"/>
        <v/>
      </c>
      <c r="G113" s="2" t="str">
        <f t="shared" si="8"/>
        <v/>
      </c>
      <c r="H113" s="1" t="str">
        <f t="shared" si="9"/>
        <v/>
      </c>
      <c r="S113" s="1" t="str">
        <f t="shared" si="10"/>
        <v/>
      </c>
      <c r="U113" s="1" t="str">
        <f t="shared" si="11"/>
        <v/>
      </c>
      <c r="X113" s="1" t="str">
        <f t="shared" si="12"/>
        <v/>
      </c>
      <c r="AA113" s="1" t="str">
        <f t="shared" si="13"/>
        <v/>
      </c>
    </row>
    <row r="114" spans="1:27" x14ac:dyDescent="0.2">
      <c r="A114" t="str">
        <f>IF(COUNTBLANK(B114:AB114)&lt;&gt;COLUMNS(B114:AB114),113,"")</f>
        <v/>
      </c>
      <c r="D114" s="1" t="str">
        <f t="shared" si="7"/>
        <v/>
      </c>
      <c r="G114" s="2" t="str">
        <f t="shared" si="8"/>
        <v/>
      </c>
      <c r="H114" s="1" t="str">
        <f t="shared" si="9"/>
        <v/>
      </c>
      <c r="S114" s="1" t="str">
        <f t="shared" si="10"/>
        <v/>
      </c>
      <c r="U114" s="1" t="str">
        <f t="shared" si="11"/>
        <v/>
      </c>
      <c r="X114" s="1" t="str">
        <f t="shared" si="12"/>
        <v/>
      </c>
      <c r="AA114" s="1" t="str">
        <f t="shared" si="13"/>
        <v/>
      </c>
    </row>
    <row r="115" spans="1:27" x14ac:dyDescent="0.2">
      <c r="A115" t="str">
        <f>IF(COUNTBLANK(B115:AB115)&lt;&gt;COLUMNS(B115:AB115),114,"")</f>
        <v/>
      </c>
      <c r="D115" s="1" t="str">
        <f t="shared" si="7"/>
        <v/>
      </c>
      <c r="G115" s="2" t="str">
        <f t="shared" si="8"/>
        <v/>
      </c>
      <c r="H115" s="1" t="str">
        <f t="shared" si="9"/>
        <v/>
      </c>
      <c r="S115" s="1" t="str">
        <f t="shared" si="10"/>
        <v/>
      </c>
      <c r="U115" s="1" t="str">
        <f t="shared" si="11"/>
        <v/>
      </c>
      <c r="X115" s="1" t="str">
        <f t="shared" si="12"/>
        <v/>
      </c>
      <c r="AA115" s="1" t="str">
        <f t="shared" si="13"/>
        <v/>
      </c>
    </row>
    <row r="116" spans="1:27" x14ac:dyDescent="0.2">
      <c r="A116" t="str">
        <f>IF(COUNTBLANK(B116:AB116)&lt;&gt;COLUMNS(B116:AB116),115,"")</f>
        <v/>
      </c>
      <c r="D116" s="1" t="str">
        <f t="shared" si="7"/>
        <v/>
      </c>
      <c r="G116" s="2" t="str">
        <f t="shared" si="8"/>
        <v/>
      </c>
      <c r="H116" s="1" t="str">
        <f t="shared" si="9"/>
        <v/>
      </c>
      <c r="S116" s="1" t="str">
        <f t="shared" si="10"/>
        <v/>
      </c>
      <c r="U116" s="1" t="str">
        <f t="shared" si="11"/>
        <v/>
      </c>
      <c r="X116" s="1" t="str">
        <f t="shared" si="12"/>
        <v/>
      </c>
      <c r="AA116" s="1" t="str">
        <f t="shared" si="13"/>
        <v/>
      </c>
    </row>
    <row r="117" spans="1:27" x14ac:dyDescent="0.2">
      <c r="A117" t="str">
        <f>IF(COUNTBLANK(B117:AB117)&lt;&gt;COLUMNS(B117:AB117),116,"")</f>
        <v/>
      </c>
      <c r="D117" s="1" t="str">
        <f t="shared" si="7"/>
        <v/>
      </c>
      <c r="G117" s="2" t="str">
        <f t="shared" si="8"/>
        <v/>
      </c>
      <c r="H117" s="1" t="str">
        <f t="shared" si="9"/>
        <v/>
      </c>
      <c r="S117" s="1" t="str">
        <f t="shared" si="10"/>
        <v/>
      </c>
      <c r="U117" s="1" t="str">
        <f t="shared" si="11"/>
        <v/>
      </c>
      <c r="X117" s="1" t="str">
        <f t="shared" si="12"/>
        <v/>
      </c>
      <c r="AA117" s="1" t="str">
        <f t="shared" si="13"/>
        <v/>
      </c>
    </row>
    <row r="118" spans="1:27" x14ac:dyDescent="0.2">
      <c r="A118" t="str">
        <f>IF(COUNTBLANK(B118:AB118)&lt;&gt;COLUMNS(B118:AB118),117,"")</f>
        <v/>
      </c>
      <c r="D118" s="1" t="str">
        <f t="shared" si="7"/>
        <v/>
      </c>
      <c r="G118" s="2" t="str">
        <f t="shared" si="8"/>
        <v/>
      </c>
      <c r="H118" s="1" t="str">
        <f t="shared" si="9"/>
        <v/>
      </c>
      <c r="S118" s="1" t="str">
        <f t="shared" si="10"/>
        <v/>
      </c>
      <c r="U118" s="1" t="str">
        <f t="shared" si="11"/>
        <v/>
      </c>
      <c r="X118" s="1" t="str">
        <f t="shared" si="12"/>
        <v/>
      </c>
      <c r="AA118" s="1" t="str">
        <f t="shared" si="13"/>
        <v/>
      </c>
    </row>
    <row r="119" spans="1:27" x14ac:dyDescent="0.2">
      <c r="A119" t="str">
        <f>IF(COUNTBLANK(B119:AB119)&lt;&gt;COLUMNS(B119:AB119),118,"")</f>
        <v/>
      </c>
      <c r="D119" s="1" t="str">
        <f t="shared" si="7"/>
        <v/>
      </c>
      <c r="G119" s="2" t="str">
        <f t="shared" si="8"/>
        <v/>
      </c>
      <c r="H119" s="1" t="str">
        <f t="shared" si="9"/>
        <v/>
      </c>
      <c r="S119" s="1" t="str">
        <f t="shared" si="10"/>
        <v/>
      </c>
      <c r="U119" s="1" t="str">
        <f t="shared" si="11"/>
        <v/>
      </c>
      <c r="X119" s="1" t="str">
        <f t="shared" si="12"/>
        <v/>
      </c>
      <c r="AA119" s="1" t="str">
        <f t="shared" si="13"/>
        <v/>
      </c>
    </row>
    <row r="120" spans="1:27" x14ac:dyDescent="0.2">
      <c r="A120" t="str">
        <f>IF(COUNTBLANK(B120:AB120)&lt;&gt;COLUMNS(B120:AB120),119,"")</f>
        <v/>
      </c>
      <c r="D120" s="1" t="str">
        <f t="shared" si="7"/>
        <v/>
      </c>
      <c r="G120" s="2" t="str">
        <f t="shared" si="8"/>
        <v/>
      </c>
      <c r="H120" s="1" t="str">
        <f t="shared" si="9"/>
        <v/>
      </c>
      <c r="S120" s="1" t="str">
        <f t="shared" si="10"/>
        <v/>
      </c>
      <c r="U120" s="1" t="str">
        <f t="shared" si="11"/>
        <v/>
      </c>
      <c r="X120" s="1" t="str">
        <f t="shared" si="12"/>
        <v/>
      </c>
      <c r="AA120" s="1" t="str">
        <f t="shared" si="13"/>
        <v/>
      </c>
    </row>
    <row r="121" spans="1:27" x14ac:dyDescent="0.2">
      <c r="A121" t="str">
        <f>IF(COUNTBLANK(B121:AB121)&lt;&gt;COLUMNS(B121:AB121),120,"")</f>
        <v/>
      </c>
      <c r="D121" s="1" t="str">
        <f t="shared" si="7"/>
        <v/>
      </c>
      <c r="G121" s="2" t="str">
        <f t="shared" si="8"/>
        <v/>
      </c>
      <c r="H121" s="1" t="str">
        <f t="shared" si="9"/>
        <v/>
      </c>
      <c r="S121" s="1" t="str">
        <f t="shared" si="10"/>
        <v/>
      </c>
      <c r="U121" s="1" t="str">
        <f t="shared" si="11"/>
        <v/>
      </c>
      <c r="X121" s="1" t="str">
        <f t="shared" si="12"/>
        <v/>
      </c>
      <c r="AA121" s="1" t="str">
        <f t="shared" si="13"/>
        <v/>
      </c>
    </row>
    <row r="122" spans="1:27" x14ac:dyDescent="0.2">
      <c r="A122" t="str">
        <f>IF(COUNTBLANK(B122:AB122)&lt;&gt;COLUMNS(B122:AB122),121,"")</f>
        <v/>
      </c>
      <c r="D122" s="1" t="str">
        <f t="shared" si="7"/>
        <v/>
      </c>
      <c r="G122" s="2" t="str">
        <f t="shared" si="8"/>
        <v/>
      </c>
      <c r="H122" s="1" t="str">
        <f t="shared" si="9"/>
        <v/>
      </c>
      <c r="S122" s="1" t="str">
        <f t="shared" si="10"/>
        <v/>
      </c>
      <c r="U122" s="1" t="str">
        <f t="shared" si="11"/>
        <v/>
      </c>
      <c r="X122" s="1" t="str">
        <f t="shared" si="12"/>
        <v/>
      </c>
      <c r="AA122" s="1" t="str">
        <f t="shared" si="13"/>
        <v/>
      </c>
    </row>
    <row r="123" spans="1:27" x14ac:dyDescent="0.2">
      <c r="A123" t="str">
        <f>IF(COUNTBLANK(B123:AB123)&lt;&gt;COLUMNS(B123:AB123),122,"")</f>
        <v/>
      </c>
      <c r="D123" s="1" t="str">
        <f t="shared" si="7"/>
        <v/>
      </c>
      <c r="G123" s="2" t="str">
        <f t="shared" si="8"/>
        <v/>
      </c>
      <c r="H123" s="1" t="str">
        <f t="shared" si="9"/>
        <v/>
      </c>
      <c r="S123" s="1" t="str">
        <f t="shared" si="10"/>
        <v/>
      </c>
      <c r="U123" s="1" t="str">
        <f t="shared" si="11"/>
        <v/>
      </c>
      <c r="X123" s="1" t="str">
        <f t="shared" si="12"/>
        <v/>
      </c>
      <c r="AA123" s="1" t="str">
        <f t="shared" si="13"/>
        <v/>
      </c>
    </row>
    <row r="124" spans="1:27" x14ac:dyDescent="0.2">
      <c r="A124" t="str">
        <f>IF(COUNTBLANK(B124:AB124)&lt;&gt;COLUMNS(B124:AB124),123,"")</f>
        <v/>
      </c>
      <c r="D124" s="1" t="str">
        <f t="shared" si="7"/>
        <v/>
      </c>
      <c r="G124" s="2" t="str">
        <f t="shared" si="8"/>
        <v/>
      </c>
      <c r="H124" s="1" t="str">
        <f t="shared" si="9"/>
        <v/>
      </c>
      <c r="S124" s="1" t="str">
        <f t="shared" si="10"/>
        <v/>
      </c>
      <c r="U124" s="1" t="str">
        <f t="shared" si="11"/>
        <v/>
      </c>
      <c r="X124" s="1" t="str">
        <f t="shared" si="12"/>
        <v/>
      </c>
      <c r="AA124" s="1" t="str">
        <f t="shared" si="13"/>
        <v/>
      </c>
    </row>
    <row r="125" spans="1:27" x14ac:dyDescent="0.2">
      <c r="A125" t="str">
        <f>IF(COUNTBLANK(B125:AB125)&lt;&gt;COLUMNS(B125:AB125),124,"")</f>
        <v/>
      </c>
      <c r="D125" s="1" t="str">
        <f t="shared" si="7"/>
        <v/>
      </c>
      <c r="G125" s="2" t="str">
        <f t="shared" si="8"/>
        <v/>
      </c>
      <c r="H125" s="1" t="str">
        <f t="shared" si="9"/>
        <v/>
      </c>
      <c r="S125" s="1" t="str">
        <f t="shared" si="10"/>
        <v/>
      </c>
      <c r="U125" s="1" t="str">
        <f t="shared" si="11"/>
        <v/>
      </c>
      <c r="X125" s="1" t="str">
        <f t="shared" si="12"/>
        <v/>
      </c>
      <c r="AA125" s="1" t="str">
        <f t="shared" si="13"/>
        <v/>
      </c>
    </row>
    <row r="126" spans="1:27" x14ac:dyDescent="0.2">
      <c r="A126" t="str">
        <f>IF(COUNTBLANK(B126:AB126)&lt;&gt;COLUMNS(B126:AB126),125,"")</f>
        <v/>
      </c>
      <c r="D126" s="1" t="str">
        <f t="shared" si="7"/>
        <v/>
      </c>
      <c r="G126" s="2" t="str">
        <f t="shared" si="8"/>
        <v/>
      </c>
      <c r="H126" s="1" t="str">
        <f t="shared" si="9"/>
        <v/>
      </c>
      <c r="S126" s="1" t="str">
        <f t="shared" si="10"/>
        <v/>
      </c>
      <c r="U126" s="1" t="str">
        <f t="shared" si="11"/>
        <v/>
      </c>
      <c r="X126" s="1" t="str">
        <f t="shared" si="12"/>
        <v/>
      </c>
      <c r="AA126" s="1" t="str">
        <f t="shared" si="13"/>
        <v/>
      </c>
    </row>
    <row r="127" spans="1:27" x14ac:dyDescent="0.2">
      <c r="A127" t="str">
        <f>IF(COUNTBLANK(B127:AB127)&lt;&gt;COLUMNS(B127:AB127),126,"")</f>
        <v/>
      </c>
      <c r="D127" s="1" t="str">
        <f t="shared" si="7"/>
        <v/>
      </c>
      <c r="G127" s="2" t="str">
        <f t="shared" si="8"/>
        <v/>
      </c>
      <c r="H127" s="1" t="str">
        <f t="shared" si="9"/>
        <v/>
      </c>
      <c r="S127" s="1" t="str">
        <f t="shared" si="10"/>
        <v/>
      </c>
      <c r="U127" s="1" t="str">
        <f t="shared" si="11"/>
        <v/>
      </c>
      <c r="X127" s="1" t="str">
        <f t="shared" si="12"/>
        <v/>
      </c>
      <c r="AA127" s="1" t="str">
        <f t="shared" si="13"/>
        <v/>
      </c>
    </row>
    <row r="128" spans="1:27" x14ac:dyDescent="0.2">
      <c r="A128" t="str">
        <f>IF(COUNTBLANK(B128:AB128)&lt;&gt;COLUMNS(B128:AB128),127,"")</f>
        <v/>
      </c>
      <c r="D128" s="1" t="str">
        <f t="shared" si="7"/>
        <v/>
      </c>
      <c r="G128" s="2" t="str">
        <f t="shared" si="8"/>
        <v/>
      </c>
      <c r="H128" s="1" t="str">
        <f t="shared" si="9"/>
        <v/>
      </c>
      <c r="S128" s="1" t="str">
        <f t="shared" si="10"/>
        <v/>
      </c>
      <c r="U128" s="1" t="str">
        <f t="shared" si="11"/>
        <v/>
      </c>
      <c r="X128" s="1" t="str">
        <f t="shared" si="12"/>
        <v/>
      </c>
      <c r="AA128" s="1" t="str">
        <f t="shared" si="13"/>
        <v/>
      </c>
    </row>
    <row r="129" spans="1:27" x14ac:dyDescent="0.2">
      <c r="A129" t="str">
        <f>IF(COUNTBLANK(B129:AB129)&lt;&gt;COLUMNS(B129:AB129),128,"")</f>
        <v/>
      </c>
      <c r="D129" s="1" t="str">
        <f t="shared" si="7"/>
        <v/>
      </c>
      <c r="G129" s="2" t="str">
        <f t="shared" si="8"/>
        <v/>
      </c>
      <c r="H129" s="1" t="str">
        <f t="shared" si="9"/>
        <v/>
      </c>
      <c r="S129" s="1" t="str">
        <f t="shared" si="10"/>
        <v/>
      </c>
      <c r="U129" s="1" t="str">
        <f t="shared" si="11"/>
        <v/>
      </c>
      <c r="X129" s="1" t="str">
        <f t="shared" si="12"/>
        <v/>
      </c>
      <c r="AA129" s="1" t="str">
        <f t="shared" si="13"/>
        <v/>
      </c>
    </row>
    <row r="130" spans="1:27" x14ac:dyDescent="0.2">
      <c r="A130" t="str">
        <f>IF(COUNTBLANK(B130:AB130)&lt;&gt;COLUMNS(B130:AB130),129,"")</f>
        <v/>
      </c>
      <c r="D130" s="1" t="str">
        <f t="shared" ref="D130:D193" si="14">IF(B130="", "", "Not applicable")</f>
        <v/>
      </c>
      <c r="G130" s="2" t="str">
        <f t="shared" ref="G130:G193" si="15">IF(B130="", "", "missing: not provided")</f>
        <v/>
      </c>
      <c r="H130" s="1" t="str">
        <f t="shared" ref="H130:H193" si="16">IF(B130="", "", "meters")</f>
        <v/>
      </c>
      <c r="S130" s="1" t="str">
        <f t="shared" ref="S130:S193" si="17">IF(B130="", "", "Decimal degrees")</f>
        <v/>
      </c>
      <c r="U130" s="1" t="str">
        <f t="shared" ref="U130:U193" si="18">IF(B130="", "", "Decimal degrees")</f>
        <v/>
      </c>
      <c r="X130" s="1" t="str">
        <f t="shared" ref="X130:X193" si="19">IF(B130="", "", "other")</f>
        <v/>
      </c>
      <c r="AA130" s="1" t="str">
        <f t="shared" ref="AA130:AA193" si="20">IF(B130="", "", "Not applicable")</f>
        <v/>
      </c>
    </row>
    <row r="131" spans="1:27" x14ac:dyDescent="0.2">
      <c r="A131" t="str">
        <f>IF(COUNTBLANK(B131:AB131)&lt;&gt;COLUMNS(B131:AB131),130,"")</f>
        <v/>
      </c>
      <c r="D131" s="1" t="str">
        <f t="shared" si="14"/>
        <v/>
      </c>
      <c r="G131" s="2" t="str">
        <f t="shared" si="15"/>
        <v/>
      </c>
      <c r="H131" s="1" t="str">
        <f t="shared" si="16"/>
        <v/>
      </c>
      <c r="S131" s="1" t="str">
        <f t="shared" si="17"/>
        <v/>
      </c>
      <c r="U131" s="1" t="str">
        <f t="shared" si="18"/>
        <v/>
      </c>
      <c r="X131" s="1" t="str">
        <f t="shared" si="19"/>
        <v/>
      </c>
      <c r="AA131" s="1" t="str">
        <f t="shared" si="20"/>
        <v/>
      </c>
    </row>
    <row r="132" spans="1:27" x14ac:dyDescent="0.2">
      <c r="A132" t="str">
        <f>IF(COUNTBLANK(B132:AB132)&lt;&gt;COLUMNS(B132:AB132),131,"")</f>
        <v/>
      </c>
      <c r="D132" s="1" t="str">
        <f t="shared" si="14"/>
        <v/>
      </c>
      <c r="G132" s="2" t="str">
        <f t="shared" si="15"/>
        <v/>
      </c>
      <c r="H132" s="1" t="str">
        <f t="shared" si="16"/>
        <v/>
      </c>
      <c r="S132" s="1" t="str">
        <f t="shared" si="17"/>
        <v/>
      </c>
      <c r="U132" s="1" t="str">
        <f t="shared" si="18"/>
        <v/>
      </c>
      <c r="X132" s="1" t="str">
        <f t="shared" si="19"/>
        <v/>
      </c>
      <c r="AA132" s="1" t="str">
        <f t="shared" si="20"/>
        <v/>
      </c>
    </row>
    <row r="133" spans="1:27" x14ac:dyDescent="0.2">
      <c r="A133" t="str">
        <f>IF(COUNTBLANK(B133:AB133)&lt;&gt;COLUMNS(B133:AB133),132,"")</f>
        <v/>
      </c>
      <c r="D133" s="1" t="str">
        <f t="shared" si="14"/>
        <v/>
      </c>
      <c r="G133" s="2" t="str">
        <f t="shared" si="15"/>
        <v/>
      </c>
      <c r="H133" s="1" t="str">
        <f t="shared" si="16"/>
        <v/>
      </c>
      <c r="S133" s="1" t="str">
        <f t="shared" si="17"/>
        <v/>
      </c>
      <c r="U133" s="1" t="str">
        <f t="shared" si="18"/>
        <v/>
      </c>
      <c r="X133" s="1" t="str">
        <f t="shared" si="19"/>
        <v/>
      </c>
      <c r="AA133" s="1" t="str">
        <f t="shared" si="20"/>
        <v/>
      </c>
    </row>
    <row r="134" spans="1:27" x14ac:dyDescent="0.2">
      <c r="A134" t="str">
        <f>IF(COUNTBLANK(B134:AB134)&lt;&gt;COLUMNS(B134:AB134),133,"")</f>
        <v/>
      </c>
      <c r="D134" s="1" t="str">
        <f t="shared" si="14"/>
        <v/>
      </c>
      <c r="G134" s="2" t="str">
        <f t="shared" si="15"/>
        <v/>
      </c>
      <c r="H134" s="1" t="str">
        <f t="shared" si="16"/>
        <v/>
      </c>
      <c r="S134" s="1" t="str">
        <f t="shared" si="17"/>
        <v/>
      </c>
      <c r="U134" s="1" t="str">
        <f t="shared" si="18"/>
        <v/>
      </c>
      <c r="X134" s="1" t="str">
        <f t="shared" si="19"/>
        <v/>
      </c>
      <c r="AA134" s="1" t="str">
        <f t="shared" si="20"/>
        <v/>
      </c>
    </row>
    <row r="135" spans="1:27" x14ac:dyDescent="0.2">
      <c r="A135" t="str">
        <f>IF(COUNTBLANK(B135:AB135)&lt;&gt;COLUMNS(B135:AB135),134,"")</f>
        <v/>
      </c>
      <c r="D135" s="1" t="str">
        <f t="shared" si="14"/>
        <v/>
      </c>
      <c r="G135" s="2" t="str">
        <f t="shared" si="15"/>
        <v/>
      </c>
      <c r="H135" s="1" t="str">
        <f t="shared" si="16"/>
        <v/>
      </c>
      <c r="S135" s="1" t="str">
        <f t="shared" si="17"/>
        <v/>
      </c>
      <c r="U135" s="1" t="str">
        <f t="shared" si="18"/>
        <v/>
      </c>
      <c r="X135" s="1" t="str">
        <f t="shared" si="19"/>
        <v/>
      </c>
      <c r="AA135" s="1" t="str">
        <f t="shared" si="20"/>
        <v/>
      </c>
    </row>
    <row r="136" spans="1:27" x14ac:dyDescent="0.2">
      <c r="A136" t="str">
        <f>IF(COUNTBLANK(B136:AB136)&lt;&gt;COLUMNS(B136:AB136),135,"")</f>
        <v/>
      </c>
      <c r="D136" s="1" t="str">
        <f t="shared" si="14"/>
        <v/>
      </c>
      <c r="G136" s="2" t="str">
        <f t="shared" si="15"/>
        <v/>
      </c>
      <c r="H136" s="1" t="str">
        <f t="shared" si="16"/>
        <v/>
      </c>
      <c r="S136" s="1" t="str">
        <f t="shared" si="17"/>
        <v/>
      </c>
      <c r="U136" s="1" t="str">
        <f t="shared" si="18"/>
        <v/>
      </c>
      <c r="X136" s="1" t="str">
        <f t="shared" si="19"/>
        <v/>
      </c>
      <c r="AA136" s="1" t="str">
        <f t="shared" si="20"/>
        <v/>
      </c>
    </row>
    <row r="137" spans="1:27" x14ac:dyDescent="0.2">
      <c r="A137" t="str">
        <f>IF(COUNTBLANK(B137:AB137)&lt;&gt;COLUMNS(B137:AB137),136,"")</f>
        <v/>
      </c>
      <c r="D137" s="1" t="str">
        <f t="shared" si="14"/>
        <v/>
      </c>
      <c r="G137" s="2" t="str">
        <f t="shared" si="15"/>
        <v/>
      </c>
      <c r="H137" s="1" t="str">
        <f t="shared" si="16"/>
        <v/>
      </c>
      <c r="S137" s="1" t="str">
        <f t="shared" si="17"/>
        <v/>
      </c>
      <c r="U137" s="1" t="str">
        <f t="shared" si="18"/>
        <v/>
      </c>
      <c r="X137" s="1" t="str">
        <f t="shared" si="19"/>
        <v/>
      </c>
      <c r="AA137" s="1" t="str">
        <f t="shared" si="20"/>
        <v/>
      </c>
    </row>
    <row r="138" spans="1:27" x14ac:dyDescent="0.2">
      <c r="A138" t="str">
        <f>IF(COUNTBLANK(B138:AB138)&lt;&gt;COLUMNS(B138:AB138),137,"")</f>
        <v/>
      </c>
      <c r="D138" s="1" t="str">
        <f t="shared" si="14"/>
        <v/>
      </c>
      <c r="G138" s="2" t="str">
        <f t="shared" si="15"/>
        <v/>
      </c>
      <c r="H138" s="1" t="str">
        <f t="shared" si="16"/>
        <v/>
      </c>
      <c r="S138" s="1" t="str">
        <f t="shared" si="17"/>
        <v/>
      </c>
      <c r="U138" s="1" t="str">
        <f t="shared" si="18"/>
        <v/>
      </c>
      <c r="X138" s="1" t="str">
        <f t="shared" si="19"/>
        <v/>
      </c>
      <c r="AA138" s="1" t="str">
        <f t="shared" si="20"/>
        <v/>
      </c>
    </row>
    <row r="139" spans="1:27" x14ac:dyDescent="0.2">
      <c r="A139" t="str">
        <f>IF(COUNTBLANK(B139:AB139)&lt;&gt;COLUMNS(B139:AB139),138,"")</f>
        <v/>
      </c>
      <c r="D139" s="1" t="str">
        <f t="shared" si="14"/>
        <v/>
      </c>
      <c r="G139" s="2" t="str">
        <f t="shared" si="15"/>
        <v/>
      </c>
      <c r="H139" s="1" t="str">
        <f t="shared" si="16"/>
        <v/>
      </c>
      <c r="S139" s="1" t="str">
        <f t="shared" si="17"/>
        <v/>
      </c>
      <c r="U139" s="1" t="str">
        <f t="shared" si="18"/>
        <v/>
      </c>
      <c r="X139" s="1" t="str">
        <f t="shared" si="19"/>
        <v/>
      </c>
      <c r="AA139" s="1" t="str">
        <f t="shared" si="20"/>
        <v/>
      </c>
    </row>
    <row r="140" spans="1:27" x14ac:dyDescent="0.2">
      <c r="A140" t="str">
        <f>IF(COUNTBLANK(B140:AB140)&lt;&gt;COLUMNS(B140:AB140),139,"")</f>
        <v/>
      </c>
      <c r="D140" s="1" t="str">
        <f t="shared" si="14"/>
        <v/>
      </c>
      <c r="G140" s="2" t="str">
        <f t="shared" si="15"/>
        <v/>
      </c>
      <c r="H140" s="1" t="str">
        <f t="shared" si="16"/>
        <v/>
      </c>
      <c r="S140" s="1" t="str">
        <f t="shared" si="17"/>
        <v/>
      </c>
      <c r="U140" s="1" t="str">
        <f t="shared" si="18"/>
        <v/>
      </c>
      <c r="X140" s="1" t="str">
        <f t="shared" si="19"/>
        <v/>
      </c>
      <c r="AA140" s="1" t="str">
        <f t="shared" si="20"/>
        <v/>
      </c>
    </row>
    <row r="141" spans="1:27" x14ac:dyDescent="0.2">
      <c r="A141" t="str">
        <f>IF(COUNTBLANK(B141:AB141)&lt;&gt;COLUMNS(B141:AB141),140,"")</f>
        <v/>
      </c>
      <c r="D141" s="1" t="str">
        <f t="shared" si="14"/>
        <v/>
      </c>
      <c r="G141" s="2" t="str">
        <f t="shared" si="15"/>
        <v/>
      </c>
      <c r="H141" s="1" t="str">
        <f t="shared" si="16"/>
        <v/>
      </c>
      <c r="S141" s="1" t="str">
        <f t="shared" si="17"/>
        <v/>
      </c>
      <c r="U141" s="1" t="str">
        <f t="shared" si="18"/>
        <v/>
      </c>
      <c r="X141" s="1" t="str">
        <f t="shared" si="19"/>
        <v/>
      </c>
      <c r="AA141" s="1" t="str">
        <f t="shared" si="20"/>
        <v/>
      </c>
    </row>
    <row r="142" spans="1:27" x14ac:dyDescent="0.2">
      <c r="A142" t="str">
        <f>IF(COUNTBLANK(B142:AB142)&lt;&gt;COLUMNS(B142:AB142),141,"")</f>
        <v/>
      </c>
      <c r="D142" s="1" t="str">
        <f t="shared" si="14"/>
        <v/>
      </c>
      <c r="G142" s="2" t="str">
        <f t="shared" si="15"/>
        <v/>
      </c>
      <c r="H142" s="1" t="str">
        <f t="shared" si="16"/>
        <v/>
      </c>
      <c r="S142" s="1" t="str">
        <f t="shared" si="17"/>
        <v/>
      </c>
      <c r="U142" s="1" t="str">
        <f t="shared" si="18"/>
        <v/>
      </c>
      <c r="X142" s="1" t="str">
        <f t="shared" si="19"/>
        <v/>
      </c>
      <c r="AA142" s="1" t="str">
        <f t="shared" si="20"/>
        <v/>
      </c>
    </row>
    <row r="143" spans="1:27" x14ac:dyDescent="0.2">
      <c r="A143" t="str">
        <f>IF(COUNTBLANK(B143:AB143)&lt;&gt;COLUMNS(B143:AB143),142,"")</f>
        <v/>
      </c>
      <c r="D143" s="1" t="str">
        <f t="shared" si="14"/>
        <v/>
      </c>
      <c r="G143" s="2" t="str">
        <f t="shared" si="15"/>
        <v/>
      </c>
      <c r="H143" s="1" t="str">
        <f t="shared" si="16"/>
        <v/>
      </c>
      <c r="S143" s="1" t="str">
        <f t="shared" si="17"/>
        <v/>
      </c>
      <c r="U143" s="1" t="str">
        <f t="shared" si="18"/>
        <v/>
      </c>
      <c r="X143" s="1" t="str">
        <f t="shared" si="19"/>
        <v/>
      </c>
      <c r="AA143" s="1" t="str">
        <f t="shared" si="20"/>
        <v/>
      </c>
    </row>
    <row r="144" spans="1:27" x14ac:dyDescent="0.2">
      <c r="A144" t="str">
        <f>IF(COUNTBLANK(B144:AB144)&lt;&gt;COLUMNS(B144:AB144),143,"")</f>
        <v/>
      </c>
      <c r="D144" s="1" t="str">
        <f t="shared" si="14"/>
        <v/>
      </c>
      <c r="G144" s="2" t="str">
        <f t="shared" si="15"/>
        <v/>
      </c>
      <c r="H144" s="1" t="str">
        <f t="shared" si="16"/>
        <v/>
      </c>
      <c r="S144" s="1" t="str">
        <f t="shared" si="17"/>
        <v/>
      </c>
      <c r="U144" s="1" t="str">
        <f t="shared" si="18"/>
        <v/>
      </c>
      <c r="X144" s="1" t="str">
        <f t="shared" si="19"/>
        <v/>
      </c>
      <c r="AA144" s="1" t="str">
        <f t="shared" si="20"/>
        <v/>
      </c>
    </row>
    <row r="145" spans="1:27" x14ac:dyDescent="0.2">
      <c r="A145" t="str">
        <f>IF(COUNTBLANK(B145:AB145)&lt;&gt;COLUMNS(B145:AB145),144,"")</f>
        <v/>
      </c>
      <c r="D145" s="1" t="str">
        <f t="shared" si="14"/>
        <v/>
      </c>
      <c r="G145" s="2" t="str">
        <f t="shared" si="15"/>
        <v/>
      </c>
      <c r="H145" s="1" t="str">
        <f t="shared" si="16"/>
        <v/>
      </c>
      <c r="S145" s="1" t="str">
        <f t="shared" si="17"/>
        <v/>
      </c>
      <c r="U145" s="1" t="str">
        <f t="shared" si="18"/>
        <v/>
      </c>
      <c r="X145" s="1" t="str">
        <f t="shared" si="19"/>
        <v/>
      </c>
      <c r="AA145" s="1" t="str">
        <f t="shared" si="20"/>
        <v/>
      </c>
    </row>
    <row r="146" spans="1:27" x14ac:dyDescent="0.2">
      <c r="A146" t="str">
        <f>IF(COUNTBLANK(B146:AB146)&lt;&gt;COLUMNS(B146:AB146),145,"")</f>
        <v/>
      </c>
      <c r="D146" s="1" t="str">
        <f t="shared" si="14"/>
        <v/>
      </c>
      <c r="G146" s="2" t="str">
        <f t="shared" si="15"/>
        <v/>
      </c>
      <c r="H146" s="1" t="str">
        <f t="shared" si="16"/>
        <v/>
      </c>
      <c r="S146" s="1" t="str">
        <f t="shared" si="17"/>
        <v/>
      </c>
      <c r="U146" s="1" t="str">
        <f t="shared" si="18"/>
        <v/>
      </c>
      <c r="X146" s="1" t="str">
        <f t="shared" si="19"/>
        <v/>
      </c>
      <c r="AA146" s="1" t="str">
        <f t="shared" si="20"/>
        <v/>
      </c>
    </row>
    <row r="147" spans="1:27" x14ac:dyDescent="0.2">
      <c r="A147" t="str">
        <f>IF(COUNTBLANK(B147:AB147)&lt;&gt;COLUMNS(B147:AB147),146,"")</f>
        <v/>
      </c>
      <c r="D147" s="1" t="str">
        <f t="shared" si="14"/>
        <v/>
      </c>
      <c r="G147" s="2" t="str">
        <f t="shared" si="15"/>
        <v/>
      </c>
      <c r="H147" s="1" t="str">
        <f t="shared" si="16"/>
        <v/>
      </c>
      <c r="S147" s="1" t="str">
        <f t="shared" si="17"/>
        <v/>
      </c>
      <c r="U147" s="1" t="str">
        <f t="shared" si="18"/>
        <v/>
      </c>
      <c r="X147" s="1" t="str">
        <f t="shared" si="19"/>
        <v/>
      </c>
      <c r="AA147" s="1" t="str">
        <f t="shared" si="20"/>
        <v/>
      </c>
    </row>
    <row r="148" spans="1:27" x14ac:dyDescent="0.2">
      <c r="A148" t="str">
        <f>IF(COUNTBLANK(B148:AB148)&lt;&gt;COLUMNS(B148:AB148),147,"")</f>
        <v/>
      </c>
      <c r="D148" s="1" t="str">
        <f t="shared" si="14"/>
        <v/>
      </c>
      <c r="G148" s="2" t="str">
        <f t="shared" si="15"/>
        <v/>
      </c>
      <c r="H148" s="1" t="str">
        <f t="shared" si="16"/>
        <v/>
      </c>
      <c r="S148" s="1" t="str">
        <f t="shared" si="17"/>
        <v/>
      </c>
      <c r="U148" s="1" t="str">
        <f t="shared" si="18"/>
        <v/>
      </c>
      <c r="X148" s="1" t="str">
        <f t="shared" si="19"/>
        <v/>
      </c>
      <c r="AA148" s="1" t="str">
        <f t="shared" si="20"/>
        <v/>
      </c>
    </row>
    <row r="149" spans="1:27" x14ac:dyDescent="0.2">
      <c r="A149" t="str">
        <f>IF(COUNTBLANK(B149:AB149)&lt;&gt;COLUMNS(B149:AB149),148,"")</f>
        <v/>
      </c>
      <c r="D149" s="1" t="str">
        <f t="shared" si="14"/>
        <v/>
      </c>
      <c r="G149" s="2" t="str">
        <f t="shared" si="15"/>
        <v/>
      </c>
      <c r="H149" s="1" t="str">
        <f t="shared" si="16"/>
        <v/>
      </c>
      <c r="S149" s="1" t="str">
        <f t="shared" si="17"/>
        <v/>
      </c>
      <c r="U149" s="1" t="str">
        <f t="shared" si="18"/>
        <v/>
      </c>
      <c r="X149" s="1" t="str">
        <f t="shared" si="19"/>
        <v/>
      </c>
      <c r="AA149" s="1" t="str">
        <f t="shared" si="20"/>
        <v/>
      </c>
    </row>
    <row r="150" spans="1:27" x14ac:dyDescent="0.2">
      <c r="A150" t="str">
        <f>IF(COUNTBLANK(B150:AB150)&lt;&gt;COLUMNS(B150:AB150),149,"")</f>
        <v/>
      </c>
      <c r="D150" s="1" t="str">
        <f t="shared" si="14"/>
        <v/>
      </c>
      <c r="G150" s="2" t="str">
        <f t="shared" si="15"/>
        <v/>
      </c>
      <c r="H150" s="1" t="str">
        <f t="shared" si="16"/>
        <v/>
      </c>
      <c r="S150" s="1" t="str">
        <f t="shared" si="17"/>
        <v/>
      </c>
      <c r="U150" s="1" t="str">
        <f t="shared" si="18"/>
        <v/>
      </c>
      <c r="X150" s="1" t="str">
        <f t="shared" si="19"/>
        <v/>
      </c>
      <c r="AA150" s="1" t="str">
        <f t="shared" si="20"/>
        <v/>
      </c>
    </row>
    <row r="151" spans="1:27" x14ac:dyDescent="0.2">
      <c r="A151" t="str">
        <f>IF(COUNTBLANK(B151:AB151)&lt;&gt;COLUMNS(B151:AB151),150,"")</f>
        <v/>
      </c>
      <c r="D151" s="1" t="str">
        <f t="shared" si="14"/>
        <v/>
      </c>
      <c r="G151" s="2" t="str">
        <f t="shared" si="15"/>
        <v/>
      </c>
      <c r="H151" s="1" t="str">
        <f t="shared" si="16"/>
        <v/>
      </c>
      <c r="S151" s="1" t="str">
        <f t="shared" si="17"/>
        <v/>
      </c>
      <c r="U151" s="1" t="str">
        <f t="shared" si="18"/>
        <v/>
      </c>
      <c r="X151" s="1" t="str">
        <f t="shared" si="19"/>
        <v/>
      </c>
      <c r="AA151" s="1" t="str">
        <f t="shared" si="20"/>
        <v/>
      </c>
    </row>
    <row r="152" spans="1:27" x14ac:dyDescent="0.2">
      <c r="A152" t="str">
        <f>IF(COUNTBLANK(B152:AB152)&lt;&gt;COLUMNS(B152:AB152),151,"")</f>
        <v/>
      </c>
      <c r="D152" s="1" t="str">
        <f t="shared" si="14"/>
        <v/>
      </c>
      <c r="G152" s="2" t="str">
        <f t="shared" si="15"/>
        <v/>
      </c>
      <c r="H152" s="1" t="str">
        <f t="shared" si="16"/>
        <v/>
      </c>
      <c r="S152" s="1" t="str">
        <f t="shared" si="17"/>
        <v/>
      </c>
      <c r="U152" s="1" t="str">
        <f t="shared" si="18"/>
        <v/>
      </c>
      <c r="X152" s="1" t="str">
        <f t="shared" si="19"/>
        <v/>
      </c>
      <c r="AA152" s="1" t="str">
        <f t="shared" si="20"/>
        <v/>
      </c>
    </row>
    <row r="153" spans="1:27" x14ac:dyDescent="0.2">
      <c r="A153" t="str">
        <f>IF(COUNTBLANK(B153:AB153)&lt;&gt;COLUMNS(B153:AB153),152,"")</f>
        <v/>
      </c>
      <c r="D153" s="1" t="str">
        <f t="shared" si="14"/>
        <v/>
      </c>
      <c r="G153" s="2" t="str">
        <f t="shared" si="15"/>
        <v/>
      </c>
      <c r="H153" s="1" t="str">
        <f t="shared" si="16"/>
        <v/>
      </c>
      <c r="S153" s="1" t="str">
        <f t="shared" si="17"/>
        <v/>
      </c>
      <c r="U153" s="1" t="str">
        <f t="shared" si="18"/>
        <v/>
      </c>
      <c r="X153" s="1" t="str">
        <f t="shared" si="19"/>
        <v/>
      </c>
      <c r="AA153" s="1" t="str">
        <f t="shared" si="20"/>
        <v/>
      </c>
    </row>
    <row r="154" spans="1:27" x14ac:dyDescent="0.2">
      <c r="A154" t="str">
        <f>IF(COUNTBLANK(B154:AB154)&lt;&gt;COLUMNS(B154:AB154),153,"")</f>
        <v/>
      </c>
      <c r="D154" s="1" t="str">
        <f t="shared" si="14"/>
        <v/>
      </c>
      <c r="G154" s="2" t="str">
        <f t="shared" si="15"/>
        <v/>
      </c>
      <c r="H154" s="1" t="str">
        <f t="shared" si="16"/>
        <v/>
      </c>
      <c r="S154" s="1" t="str">
        <f t="shared" si="17"/>
        <v/>
      </c>
      <c r="U154" s="1" t="str">
        <f t="shared" si="18"/>
        <v/>
      </c>
      <c r="X154" s="1" t="str">
        <f t="shared" si="19"/>
        <v/>
      </c>
      <c r="AA154" s="1" t="str">
        <f t="shared" si="20"/>
        <v/>
      </c>
    </row>
    <row r="155" spans="1:27" x14ac:dyDescent="0.2">
      <c r="A155" t="str">
        <f>IF(COUNTBLANK(B155:AB155)&lt;&gt;COLUMNS(B155:AB155),154,"")</f>
        <v/>
      </c>
      <c r="D155" s="1" t="str">
        <f t="shared" si="14"/>
        <v/>
      </c>
      <c r="G155" s="2" t="str">
        <f t="shared" si="15"/>
        <v/>
      </c>
      <c r="H155" s="1" t="str">
        <f t="shared" si="16"/>
        <v/>
      </c>
      <c r="S155" s="1" t="str">
        <f t="shared" si="17"/>
        <v/>
      </c>
      <c r="U155" s="1" t="str">
        <f t="shared" si="18"/>
        <v/>
      </c>
      <c r="X155" s="1" t="str">
        <f t="shared" si="19"/>
        <v/>
      </c>
      <c r="AA155" s="1" t="str">
        <f t="shared" si="20"/>
        <v/>
      </c>
    </row>
    <row r="156" spans="1:27" x14ac:dyDescent="0.2">
      <c r="A156" t="str">
        <f>IF(COUNTBLANK(B156:AB156)&lt;&gt;COLUMNS(B156:AB156),155,"")</f>
        <v/>
      </c>
      <c r="D156" s="1" t="str">
        <f t="shared" si="14"/>
        <v/>
      </c>
      <c r="G156" s="2" t="str">
        <f t="shared" si="15"/>
        <v/>
      </c>
      <c r="H156" s="1" t="str">
        <f t="shared" si="16"/>
        <v/>
      </c>
      <c r="S156" s="1" t="str">
        <f t="shared" si="17"/>
        <v/>
      </c>
      <c r="U156" s="1" t="str">
        <f t="shared" si="18"/>
        <v/>
      </c>
      <c r="X156" s="1" t="str">
        <f t="shared" si="19"/>
        <v/>
      </c>
      <c r="AA156" s="1" t="str">
        <f t="shared" si="20"/>
        <v/>
      </c>
    </row>
    <row r="157" spans="1:27" x14ac:dyDescent="0.2">
      <c r="A157" t="str">
        <f>IF(COUNTBLANK(B157:AB157)&lt;&gt;COLUMNS(B157:AB157),156,"")</f>
        <v/>
      </c>
      <c r="D157" s="1" t="str">
        <f t="shared" si="14"/>
        <v/>
      </c>
      <c r="G157" s="2" t="str">
        <f t="shared" si="15"/>
        <v/>
      </c>
      <c r="H157" s="1" t="str">
        <f t="shared" si="16"/>
        <v/>
      </c>
      <c r="S157" s="1" t="str">
        <f t="shared" si="17"/>
        <v/>
      </c>
      <c r="U157" s="1" t="str">
        <f t="shared" si="18"/>
        <v/>
      </c>
      <c r="X157" s="1" t="str">
        <f t="shared" si="19"/>
        <v/>
      </c>
      <c r="AA157" s="1" t="str">
        <f t="shared" si="20"/>
        <v/>
      </c>
    </row>
    <row r="158" spans="1:27" x14ac:dyDescent="0.2">
      <c r="A158" t="str">
        <f>IF(COUNTBLANK(B158:AB158)&lt;&gt;COLUMNS(B158:AB158),157,"")</f>
        <v/>
      </c>
      <c r="D158" s="1" t="str">
        <f t="shared" si="14"/>
        <v/>
      </c>
      <c r="G158" s="2" t="str">
        <f t="shared" si="15"/>
        <v/>
      </c>
      <c r="H158" s="1" t="str">
        <f t="shared" si="16"/>
        <v/>
      </c>
      <c r="S158" s="1" t="str">
        <f t="shared" si="17"/>
        <v/>
      </c>
      <c r="U158" s="1" t="str">
        <f t="shared" si="18"/>
        <v/>
      </c>
      <c r="X158" s="1" t="str">
        <f t="shared" si="19"/>
        <v/>
      </c>
      <c r="AA158" s="1" t="str">
        <f t="shared" si="20"/>
        <v/>
      </c>
    </row>
    <row r="159" spans="1:27" x14ac:dyDescent="0.2">
      <c r="A159" t="str">
        <f>IF(COUNTBLANK(B159:AB159)&lt;&gt;COLUMNS(B159:AB159),158,"")</f>
        <v/>
      </c>
      <c r="D159" s="1" t="str">
        <f t="shared" si="14"/>
        <v/>
      </c>
      <c r="G159" s="2" t="str">
        <f t="shared" si="15"/>
        <v/>
      </c>
      <c r="H159" s="1" t="str">
        <f t="shared" si="16"/>
        <v/>
      </c>
      <c r="S159" s="1" t="str">
        <f t="shared" si="17"/>
        <v/>
      </c>
      <c r="U159" s="1" t="str">
        <f t="shared" si="18"/>
        <v/>
      </c>
      <c r="X159" s="1" t="str">
        <f t="shared" si="19"/>
        <v/>
      </c>
      <c r="AA159" s="1" t="str">
        <f t="shared" si="20"/>
        <v/>
      </c>
    </row>
    <row r="160" spans="1:27" x14ac:dyDescent="0.2">
      <c r="A160" t="str">
        <f>IF(COUNTBLANK(B160:AB160)&lt;&gt;COLUMNS(B160:AB160),159,"")</f>
        <v/>
      </c>
      <c r="D160" s="1" t="str">
        <f t="shared" si="14"/>
        <v/>
      </c>
      <c r="G160" s="2" t="str">
        <f t="shared" si="15"/>
        <v/>
      </c>
      <c r="H160" s="1" t="str">
        <f t="shared" si="16"/>
        <v/>
      </c>
      <c r="S160" s="1" t="str">
        <f t="shared" si="17"/>
        <v/>
      </c>
      <c r="U160" s="1" t="str">
        <f t="shared" si="18"/>
        <v/>
      </c>
      <c r="X160" s="1" t="str">
        <f t="shared" si="19"/>
        <v/>
      </c>
      <c r="AA160" s="1" t="str">
        <f t="shared" si="20"/>
        <v/>
      </c>
    </row>
    <row r="161" spans="1:27" x14ac:dyDescent="0.2">
      <c r="A161" t="str">
        <f>IF(COUNTBLANK(B161:AB161)&lt;&gt;COLUMNS(B161:AB161),160,"")</f>
        <v/>
      </c>
      <c r="D161" s="1" t="str">
        <f t="shared" si="14"/>
        <v/>
      </c>
      <c r="G161" s="2" t="str">
        <f t="shared" si="15"/>
        <v/>
      </c>
      <c r="H161" s="1" t="str">
        <f t="shared" si="16"/>
        <v/>
      </c>
      <c r="S161" s="1" t="str">
        <f t="shared" si="17"/>
        <v/>
      </c>
      <c r="U161" s="1" t="str">
        <f t="shared" si="18"/>
        <v/>
      </c>
      <c r="X161" s="1" t="str">
        <f t="shared" si="19"/>
        <v/>
      </c>
      <c r="AA161" s="1" t="str">
        <f t="shared" si="20"/>
        <v/>
      </c>
    </row>
    <row r="162" spans="1:27" x14ac:dyDescent="0.2">
      <c r="A162" t="str">
        <f>IF(COUNTBLANK(B162:AB162)&lt;&gt;COLUMNS(B162:AB162),161,"")</f>
        <v/>
      </c>
      <c r="D162" s="1" t="str">
        <f t="shared" si="14"/>
        <v/>
      </c>
      <c r="G162" s="2" t="str">
        <f t="shared" si="15"/>
        <v/>
      </c>
      <c r="H162" s="1" t="str">
        <f t="shared" si="16"/>
        <v/>
      </c>
      <c r="S162" s="1" t="str">
        <f t="shared" si="17"/>
        <v/>
      </c>
      <c r="U162" s="1" t="str">
        <f t="shared" si="18"/>
        <v/>
      </c>
      <c r="X162" s="1" t="str">
        <f t="shared" si="19"/>
        <v/>
      </c>
      <c r="AA162" s="1" t="str">
        <f t="shared" si="20"/>
        <v/>
      </c>
    </row>
    <row r="163" spans="1:27" x14ac:dyDescent="0.2">
      <c r="A163" t="str">
        <f>IF(COUNTBLANK(B163:AB163)&lt;&gt;COLUMNS(B163:AB163),162,"")</f>
        <v/>
      </c>
      <c r="D163" s="1" t="str">
        <f t="shared" si="14"/>
        <v/>
      </c>
      <c r="G163" s="2" t="str">
        <f t="shared" si="15"/>
        <v/>
      </c>
      <c r="H163" s="1" t="str">
        <f t="shared" si="16"/>
        <v/>
      </c>
      <c r="S163" s="1" t="str">
        <f t="shared" si="17"/>
        <v/>
      </c>
      <c r="U163" s="1" t="str">
        <f t="shared" si="18"/>
        <v/>
      </c>
      <c r="X163" s="1" t="str">
        <f t="shared" si="19"/>
        <v/>
      </c>
      <c r="AA163" s="1" t="str">
        <f t="shared" si="20"/>
        <v/>
      </c>
    </row>
    <row r="164" spans="1:27" x14ac:dyDescent="0.2">
      <c r="A164" t="str">
        <f>IF(COUNTBLANK(B164:AB164)&lt;&gt;COLUMNS(B164:AB164),163,"")</f>
        <v/>
      </c>
      <c r="D164" s="1" t="str">
        <f t="shared" si="14"/>
        <v/>
      </c>
      <c r="G164" s="2" t="str">
        <f t="shared" si="15"/>
        <v/>
      </c>
      <c r="H164" s="1" t="str">
        <f t="shared" si="16"/>
        <v/>
      </c>
      <c r="S164" s="1" t="str">
        <f t="shared" si="17"/>
        <v/>
      </c>
      <c r="U164" s="1" t="str">
        <f t="shared" si="18"/>
        <v/>
      </c>
      <c r="X164" s="1" t="str">
        <f t="shared" si="19"/>
        <v/>
      </c>
      <c r="AA164" s="1" t="str">
        <f t="shared" si="20"/>
        <v/>
      </c>
    </row>
    <row r="165" spans="1:27" x14ac:dyDescent="0.2">
      <c r="A165" t="str">
        <f>IF(COUNTBLANK(B165:AB165)&lt;&gt;COLUMNS(B165:AB165),164,"")</f>
        <v/>
      </c>
      <c r="D165" s="1" t="str">
        <f t="shared" si="14"/>
        <v/>
      </c>
      <c r="G165" s="2" t="str">
        <f t="shared" si="15"/>
        <v/>
      </c>
      <c r="H165" s="1" t="str">
        <f t="shared" si="16"/>
        <v/>
      </c>
      <c r="S165" s="1" t="str">
        <f t="shared" si="17"/>
        <v/>
      </c>
      <c r="U165" s="1" t="str">
        <f t="shared" si="18"/>
        <v/>
      </c>
      <c r="X165" s="1" t="str">
        <f t="shared" si="19"/>
        <v/>
      </c>
      <c r="AA165" s="1" t="str">
        <f t="shared" si="20"/>
        <v/>
      </c>
    </row>
    <row r="166" spans="1:27" x14ac:dyDescent="0.2">
      <c r="A166" t="str">
        <f>IF(COUNTBLANK(B166:AB166)&lt;&gt;COLUMNS(B166:AB166),165,"")</f>
        <v/>
      </c>
      <c r="D166" s="1" t="str">
        <f t="shared" si="14"/>
        <v/>
      </c>
      <c r="G166" s="2" t="str">
        <f t="shared" si="15"/>
        <v/>
      </c>
      <c r="H166" s="1" t="str">
        <f t="shared" si="16"/>
        <v/>
      </c>
      <c r="S166" s="1" t="str">
        <f t="shared" si="17"/>
        <v/>
      </c>
      <c r="U166" s="1" t="str">
        <f t="shared" si="18"/>
        <v/>
      </c>
      <c r="X166" s="1" t="str">
        <f t="shared" si="19"/>
        <v/>
      </c>
      <c r="AA166" s="1" t="str">
        <f t="shared" si="20"/>
        <v/>
      </c>
    </row>
    <row r="167" spans="1:27" x14ac:dyDescent="0.2">
      <c r="A167" t="str">
        <f>IF(COUNTBLANK(B167:AB167)&lt;&gt;COLUMNS(B167:AB167),166,"")</f>
        <v/>
      </c>
      <c r="D167" s="1" t="str">
        <f t="shared" si="14"/>
        <v/>
      </c>
      <c r="G167" s="2" t="str">
        <f t="shared" si="15"/>
        <v/>
      </c>
      <c r="H167" s="1" t="str">
        <f t="shared" si="16"/>
        <v/>
      </c>
      <c r="S167" s="1" t="str">
        <f t="shared" si="17"/>
        <v/>
      </c>
      <c r="U167" s="1" t="str">
        <f t="shared" si="18"/>
        <v/>
      </c>
      <c r="X167" s="1" t="str">
        <f t="shared" si="19"/>
        <v/>
      </c>
      <c r="AA167" s="1" t="str">
        <f t="shared" si="20"/>
        <v/>
      </c>
    </row>
    <row r="168" spans="1:27" x14ac:dyDescent="0.2">
      <c r="A168" t="str">
        <f>IF(COUNTBLANK(B168:AB168)&lt;&gt;COLUMNS(B168:AB168),167,"")</f>
        <v/>
      </c>
      <c r="D168" s="1" t="str">
        <f t="shared" si="14"/>
        <v/>
      </c>
      <c r="G168" s="2" t="str">
        <f t="shared" si="15"/>
        <v/>
      </c>
      <c r="H168" s="1" t="str">
        <f t="shared" si="16"/>
        <v/>
      </c>
      <c r="S168" s="1" t="str">
        <f t="shared" si="17"/>
        <v/>
      </c>
      <c r="U168" s="1" t="str">
        <f t="shared" si="18"/>
        <v/>
      </c>
      <c r="X168" s="1" t="str">
        <f t="shared" si="19"/>
        <v/>
      </c>
      <c r="AA168" s="1" t="str">
        <f t="shared" si="20"/>
        <v/>
      </c>
    </row>
    <row r="169" spans="1:27" x14ac:dyDescent="0.2">
      <c r="A169" t="str">
        <f>IF(COUNTBLANK(B169:AB169)&lt;&gt;COLUMNS(B169:AB169),168,"")</f>
        <v/>
      </c>
      <c r="D169" s="1" t="str">
        <f t="shared" si="14"/>
        <v/>
      </c>
      <c r="G169" s="2" t="str">
        <f t="shared" si="15"/>
        <v/>
      </c>
      <c r="H169" s="1" t="str">
        <f t="shared" si="16"/>
        <v/>
      </c>
      <c r="S169" s="1" t="str">
        <f t="shared" si="17"/>
        <v/>
      </c>
      <c r="U169" s="1" t="str">
        <f t="shared" si="18"/>
        <v/>
      </c>
      <c r="X169" s="1" t="str">
        <f t="shared" si="19"/>
        <v/>
      </c>
      <c r="AA169" s="1" t="str">
        <f t="shared" si="20"/>
        <v/>
      </c>
    </row>
    <row r="170" spans="1:27" x14ac:dyDescent="0.2">
      <c r="A170" t="str">
        <f>IF(COUNTBLANK(B170:AB170)&lt;&gt;COLUMNS(B170:AB170),169,"")</f>
        <v/>
      </c>
      <c r="D170" s="1" t="str">
        <f t="shared" si="14"/>
        <v/>
      </c>
      <c r="G170" s="2" t="str">
        <f t="shared" si="15"/>
        <v/>
      </c>
      <c r="H170" s="1" t="str">
        <f t="shared" si="16"/>
        <v/>
      </c>
      <c r="S170" s="1" t="str">
        <f t="shared" si="17"/>
        <v/>
      </c>
      <c r="U170" s="1" t="str">
        <f t="shared" si="18"/>
        <v/>
      </c>
      <c r="X170" s="1" t="str">
        <f t="shared" si="19"/>
        <v/>
      </c>
      <c r="AA170" s="1" t="str">
        <f t="shared" si="20"/>
        <v/>
      </c>
    </row>
    <row r="171" spans="1:27" x14ac:dyDescent="0.2">
      <c r="A171" t="str">
        <f>IF(COUNTBLANK(B171:AB171)&lt;&gt;COLUMNS(B171:AB171),170,"")</f>
        <v/>
      </c>
      <c r="D171" s="1" t="str">
        <f t="shared" si="14"/>
        <v/>
      </c>
      <c r="G171" s="2" t="str">
        <f t="shared" si="15"/>
        <v/>
      </c>
      <c r="H171" s="1" t="str">
        <f t="shared" si="16"/>
        <v/>
      </c>
      <c r="S171" s="1" t="str">
        <f t="shared" si="17"/>
        <v/>
      </c>
      <c r="U171" s="1" t="str">
        <f t="shared" si="18"/>
        <v/>
      </c>
      <c r="X171" s="1" t="str">
        <f t="shared" si="19"/>
        <v/>
      </c>
      <c r="AA171" s="1" t="str">
        <f t="shared" si="20"/>
        <v/>
      </c>
    </row>
    <row r="172" spans="1:27" x14ac:dyDescent="0.2">
      <c r="A172" t="str">
        <f>IF(COUNTBLANK(B172:AB172)&lt;&gt;COLUMNS(B172:AB172),171,"")</f>
        <v/>
      </c>
      <c r="D172" s="1" t="str">
        <f t="shared" si="14"/>
        <v/>
      </c>
      <c r="G172" s="2" t="str">
        <f t="shared" si="15"/>
        <v/>
      </c>
      <c r="H172" s="1" t="str">
        <f t="shared" si="16"/>
        <v/>
      </c>
      <c r="S172" s="1" t="str">
        <f t="shared" si="17"/>
        <v/>
      </c>
      <c r="U172" s="1" t="str">
        <f t="shared" si="18"/>
        <v/>
      </c>
      <c r="X172" s="1" t="str">
        <f t="shared" si="19"/>
        <v/>
      </c>
      <c r="AA172" s="1" t="str">
        <f t="shared" si="20"/>
        <v/>
      </c>
    </row>
    <row r="173" spans="1:27" x14ac:dyDescent="0.2">
      <c r="A173" t="str">
        <f>IF(COUNTBLANK(B173:AB173)&lt;&gt;COLUMNS(B173:AB173),172,"")</f>
        <v/>
      </c>
      <c r="D173" s="1" t="str">
        <f t="shared" si="14"/>
        <v/>
      </c>
      <c r="G173" s="2" t="str">
        <f t="shared" si="15"/>
        <v/>
      </c>
      <c r="H173" s="1" t="str">
        <f t="shared" si="16"/>
        <v/>
      </c>
      <c r="S173" s="1" t="str">
        <f t="shared" si="17"/>
        <v/>
      </c>
      <c r="U173" s="1" t="str">
        <f t="shared" si="18"/>
        <v/>
      </c>
      <c r="X173" s="1" t="str">
        <f t="shared" si="19"/>
        <v/>
      </c>
      <c r="AA173" s="1" t="str">
        <f t="shared" si="20"/>
        <v/>
      </c>
    </row>
    <row r="174" spans="1:27" x14ac:dyDescent="0.2">
      <c r="A174" t="str">
        <f>IF(COUNTBLANK(B174:AB174)&lt;&gt;COLUMNS(B174:AB174),173,"")</f>
        <v/>
      </c>
      <c r="D174" s="1" t="str">
        <f t="shared" si="14"/>
        <v/>
      </c>
      <c r="G174" s="2" t="str">
        <f t="shared" si="15"/>
        <v/>
      </c>
      <c r="H174" s="1" t="str">
        <f t="shared" si="16"/>
        <v/>
      </c>
      <c r="S174" s="1" t="str">
        <f t="shared" si="17"/>
        <v/>
      </c>
      <c r="U174" s="1" t="str">
        <f t="shared" si="18"/>
        <v/>
      </c>
      <c r="X174" s="1" t="str">
        <f t="shared" si="19"/>
        <v/>
      </c>
      <c r="AA174" s="1" t="str">
        <f t="shared" si="20"/>
        <v/>
      </c>
    </row>
    <row r="175" spans="1:27" x14ac:dyDescent="0.2">
      <c r="A175" t="str">
        <f>IF(COUNTBLANK(B175:AB175)&lt;&gt;COLUMNS(B175:AB175),174,"")</f>
        <v/>
      </c>
      <c r="D175" s="1" t="str">
        <f t="shared" si="14"/>
        <v/>
      </c>
      <c r="G175" s="2" t="str">
        <f t="shared" si="15"/>
        <v/>
      </c>
      <c r="H175" s="1" t="str">
        <f t="shared" si="16"/>
        <v/>
      </c>
      <c r="S175" s="1" t="str">
        <f t="shared" si="17"/>
        <v/>
      </c>
      <c r="U175" s="1" t="str">
        <f t="shared" si="18"/>
        <v/>
      </c>
      <c r="X175" s="1" t="str">
        <f t="shared" si="19"/>
        <v/>
      </c>
      <c r="AA175" s="1" t="str">
        <f t="shared" si="20"/>
        <v/>
      </c>
    </row>
    <row r="176" spans="1:27" x14ac:dyDescent="0.2">
      <c r="A176" t="str">
        <f>IF(COUNTBLANK(B176:AB176)&lt;&gt;COLUMNS(B176:AB176),175,"")</f>
        <v/>
      </c>
      <c r="D176" s="1" t="str">
        <f t="shared" si="14"/>
        <v/>
      </c>
      <c r="G176" s="2" t="str">
        <f t="shared" si="15"/>
        <v/>
      </c>
      <c r="H176" s="1" t="str">
        <f t="shared" si="16"/>
        <v/>
      </c>
      <c r="S176" s="1" t="str">
        <f t="shared" si="17"/>
        <v/>
      </c>
      <c r="U176" s="1" t="str">
        <f t="shared" si="18"/>
        <v/>
      </c>
      <c r="X176" s="1" t="str">
        <f t="shared" si="19"/>
        <v/>
      </c>
      <c r="AA176" s="1" t="str">
        <f t="shared" si="20"/>
        <v/>
      </c>
    </row>
    <row r="177" spans="1:27" x14ac:dyDescent="0.2">
      <c r="A177" t="str">
        <f>IF(COUNTBLANK(B177:AB177)&lt;&gt;COLUMNS(B177:AB177),176,"")</f>
        <v/>
      </c>
      <c r="D177" s="1" t="str">
        <f t="shared" si="14"/>
        <v/>
      </c>
      <c r="G177" s="2" t="str">
        <f t="shared" si="15"/>
        <v/>
      </c>
      <c r="H177" s="1" t="str">
        <f t="shared" si="16"/>
        <v/>
      </c>
      <c r="S177" s="1" t="str">
        <f t="shared" si="17"/>
        <v/>
      </c>
      <c r="U177" s="1" t="str">
        <f t="shared" si="18"/>
        <v/>
      </c>
      <c r="X177" s="1" t="str">
        <f t="shared" si="19"/>
        <v/>
      </c>
      <c r="AA177" s="1" t="str">
        <f t="shared" si="20"/>
        <v/>
      </c>
    </row>
    <row r="178" spans="1:27" x14ac:dyDescent="0.2">
      <c r="A178" t="str">
        <f>IF(COUNTBLANK(B178:AB178)&lt;&gt;COLUMNS(B178:AB178),177,"")</f>
        <v/>
      </c>
      <c r="D178" s="1" t="str">
        <f t="shared" si="14"/>
        <v/>
      </c>
      <c r="G178" s="2" t="str">
        <f t="shared" si="15"/>
        <v/>
      </c>
      <c r="H178" s="1" t="str">
        <f t="shared" si="16"/>
        <v/>
      </c>
      <c r="S178" s="1" t="str">
        <f t="shared" si="17"/>
        <v/>
      </c>
      <c r="U178" s="1" t="str">
        <f t="shared" si="18"/>
        <v/>
      </c>
      <c r="X178" s="1" t="str">
        <f t="shared" si="19"/>
        <v/>
      </c>
      <c r="AA178" s="1" t="str">
        <f t="shared" si="20"/>
        <v/>
      </c>
    </row>
    <row r="179" spans="1:27" x14ac:dyDescent="0.2">
      <c r="A179" t="str">
        <f>IF(COUNTBLANK(B179:AB179)&lt;&gt;COLUMNS(B179:AB179),178,"")</f>
        <v/>
      </c>
      <c r="D179" s="1" t="str">
        <f t="shared" si="14"/>
        <v/>
      </c>
      <c r="G179" s="2" t="str">
        <f t="shared" si="15"/>
        <v/>
      </c>
      <c r="H179" s="1" t="str">
        <f t="shared" si="16"/>
        <v/>
      </c>
      <c r="S179" s="1" t="str">
        <f t="shared" si="17"/>
        <v/>
      </c>
      <c r="U179" s="1" t="str">
        <f t="shared" si="18"/>
        <v/>
      </c>
      <c r="X179" s="1" t="str">
        <f t="shared" si="19"/>
        <v/>
      </c>
      <c r="AA179" s="1" t="str">
        <f t="shared" si="20"/>
        <v/>
      </c>
    </row>
    <row r="180" spans="1:27" x14ac:dyDescent="0.2">
      <c r="A180" t="str">
        <f>IF(COUNTBLANK(B180:AB180)&lt;&gt;COLUMNS(B180:AB180),179,"")</f>
        <v/>
      </c>
      <c r="D180" s="1" t="str">
        <f t="shared" si="14"/>
        <v/>
      </c>
      <c r="G180" s="2" t="str">
        <f t="shared" si="15"/>
        <v/>
      </c>
      <c r="H180" s="1" t="str">
        <f t="shared" si="16"/>
        <v/>
      </c>
      <c r="S180" s="1" t="str">
        <f t="shared" si="17"/>
        <v/>
      </c>
      <c r="U180" s="1" t="str">
        <f t="shared" si="18"/>
        <v/>
      </c>
      <c r="X180" s="1" t="str">
        <f t="shared" si="19"/>
        <v/>
      </c>
      <c r="AA180" s="1" t="str">
        <f t="shared" si="20"/>
        <v/>
      </c>
    </row>
    <row r="181" spans="1:27" x14ac:dyDescent="0.2">
      <c r="A181" t="str">
        <f>IF(COUNTBLANK(B181:AB181)&lt;&gt;COLUMNS(B181:AB181),180,"")</f>
        <v/>
      </c>
      <c r="D181" s="1" t="str">
        <f t="shared" si="14"/>
        <v/>
      </c>
      <c r="G181" s="2" t="str">
        <f t="shared" si="15"/>
        <v/>
      </c>
      <c r="H181" s="1" t="str">
        <f t="shared" si="16"/>
        <v/>
      </c>
      <c r="S181" s="1" t="str">
        <f t="shared" si="17"/>
        <v/>
      </c>
      <c r="U181" s="1" t="str">
        <f t="shared" si="18"/>
        <v/>
      </c>
      <c r="X181" s="1" t="str">
        <f t="shared" si="19"/>
        <v/>
      </c>
      <c r="AA181" s="1" t="str">
        <f t="shared" si="20"/>
        <v/>
      </c>
    </row>
    <row r="182" spans="1:27" x14ac:dyDescent="0.2">
      <c r="A182" t="str">
        <f>IF(COUNTBLANK(B182:AB182)&lt;&gt;COLUMNS(B182:AB182),181,"")</f>
        <v/>
      </c>
      <c r="D182" s="1" t="str">
        <f t="shared" si="14"/>
        <v/>
      </c>
      <c r="G182" s="2" t="str">
        <f t="shared" si="15"/>
        <v/>
      </c>
      <c r="H182" s="1" t="str">
        <f t="shared" si="16"/>
        <v/>
      </c>
      <c r="S182" s="1" t="str">
        <f t="shared" si="17"/>
        <v/>
      </c>
      <c r="U182" s="1" t="str">
        <f t="shared" si="18"/>
        <v/>
      </c>
      <c r="X182" s="1" t="str">
        <f t="shared" si="19"/>
        <v/>
      </c>
      <c r="AA182" s="1" t="str">
        <f t="shared" si="20"/>
        <v/>
      </c>
    </row>
    <row r="183" spans="1:27" x14ac:dyDescent="0.2">
      <c r="A183" t="str">
        <f>IF(COUNTBLANK(B183:AB183)&lt;&gt;COLUMNS(B183:AB183),182,"")</f>
        <v/>
      </c>
      <c r="D183" s="1" t="str">
        <f t="shared" si="14"/>
        <v/>
      </c>
      <c r="G183" s="2" t="str">
        <f t="shared" si="15"/>
        <v/>
      </c>
      <c r="H183" s="1" t="str">
        <f t="shared" si="16"/>
        <v/>
      </c>
      <c r="S183" s="1" t="str">
        <f t="shared" si="17"/>
        <v/>
      </c>
      <c r="U183" s="1" t="str">
        <f t="shared" si="18"/>
        <v/>
      </c>
      <c r="X183" s="1" t="str">
        <f t="shared" si="19"/>
        <v/>
      </c>
      <c r="AA183" s="1" t="str">
        <f t="shared" si="20"/>
        <v/>
      </c>
    </row>
    <row r="184" spans="1:27" x14ac:dyDescent="0.2">
      <c r="A184" t="str">
        <f>IF(COUNTBLANK(B184:AB184)&lt;&gt;COLUMNS(B184:AB184),183,"")</f>
        <v/>
      </c>
      <c r="D184" s="1" t="str">
        <f t="shared" si="14"/>
        <v/>
      </c>
      <c r="G184" s="2" t="str">
        <f t="shared" si="15"/>
        <v/>
      </c>
      <c r="H184" s="1" t="str">
        <f t="shared" si="16"/>
        <v/>
      </c>
      <c r="S184" s="1" t="str">
        <f t="shared" si="17"/>
        <v/>
      </c>
      <c r="U184" s="1" t="str">
        <f t="shared" si="18"/>
        <v/>
      </c>
      <c r="X184" s="1" t="str">
        <f t="shared" si="19"/>
        <v/>
      </c>
      <c r="AA184" s="1" t="str">
        <f t="shared" si="20"/>
        <v/>
      </c>
    </row>
    <row r="185" spans="1:27" x14ac:dyDescent="0.2">
      <c r="A185" t="str">
        <f>IF(COUNTBLANK(B185:AB185)&lt;&gt;COLUMNS(B185:AB185),184,"")</f>
        <v/>
      </c>
      <c r="D185" s="1" t="str">
        <f t="shared" si="14"/>
        <v/>
      </c>
      <c r="G185" s="2" t="str">
        <f t="shared" si="15"/>
        <v/>
      </c>
      <c r="H185" s="1" t="str">
        <f t="shared" si="16"/>
        <v/>
      </c>
      <c r="S185" s="1" t="str">
        <f t="shared" si="17"/>
        <v/>
      </c>
      <c r="U185" s="1" t="str">
        <f t="shared" si="18"/>
        <v/>
      </c>
      <c r="X185" s="1" t="str">
        <f t="shared" si="19"/>
        <v/>
      </c>
      <c r="AA185" s="1" t="str">
        <f t="shared" si="20"/>
        <v/>
      </c>
    </row>
    <row r="186" spans="1:27" x14ac:dyDescent="0.2">
      <c r="A186" t="str">
        <f>IF(COUNTBLANK(B186:AB186)&lt;&gt;COLUMNS(B186:AB186),185,"")</f>
        <v/>
      </c>
      <c r="D186" s="1" t="str">
        <f t="shared" si="14"/>
        <v/>
      </c>
      <c r="G186" s="2" t="str">
        <f t="shared" si="15"/>
        <v/>
      </c>
      <c r="H186" s="1" t="str">
        <f t="shared" si="16"/>
        <v/>
      </c>
      <c r="S186" s="1" t="str">
        <f t="shared" si="17"/>
        <v/>
      </c>
      <c r="U186" s="1" t="str">
        <f t="shared" si="18"/>
        <v/>
      </c>
      <c r="X186" s="1" t="str">
        <f t="shared" si="19"/>
        <v/>
      </c>
      <c r="AA186" s="1" t="str">
        <f t="shared" si="20"/>
        <v/>
      </c>
    </row>
    <row r="187" spans="1:27" x14ac:dyDescent="0.2">
      <c r="A187" t="str">
        <f>IF(COUNTBLANK(B187:AB187)&lt;&gt;COLUMNS(B187:AB187),186,"")</f>
        <v/>
      </c>
      <c r="D187" s="1" t="str">
        <f t="shared" si="14"/>
        <v/>
      </c>
      <c r="G187" s="2" t="str">
        <f t="shared" si="15"/>
        <v/>
      </c>
      <c r="H187" s="1" t="str">
        <f t="shared" si="16"/>
        <v/>
      </c>
      <c r="S187" s="1" t="str">
        <f t="shared" si="17"/>
        <v/>
      </c>
      <c r="U187" s="1" t="str">
        <f t="shared" si="18"/>
        <v/>
      </c>
      <c r="X187" s="1" t="str">
        <f t="shared" si="19"/>
        <v/>
      </c>
      <c r="AA187" s="1" t="str">
        <f t="shared" si="20"/>
        <v/>
      </c>
    </row>
    <row r="188" spans="1:27" x14ac:dyDescent="0.2">
      <c r="A188" t="str">
        <f>IF(COUNTBLANK(B188:AB188)&lt;&gt;COLUMNS(B188:AB188),187,"")</f>
        <v/>
      </c>
      <c r="D188" s="1" t="str">
        <f t="shared" si="14"/>
        <v/>
      </c>
      <c r="G188" s="2" t="str">
        <f t="shared" si="15"/>
        <v/>
      </c>
      <c r="H188" s="1" t="str">
        <f t="shared" si="16"/>
        <v/>
      </c>
      <c r="S188" s="1" t="str">
        <f t="shared" si="17"/>
        <v/>
      </c>
      <c r="U188" s="1" t="str">
        <f t="shared" si="18"/>
        <v/>
      </c>
      <c r="X188" s="1" t="str">
        <f t="shared" si="19"/>
        <v/>
      </c>
      <c r="AA188" s="1" t="str">
        <f t="shared" si="20"/>
        <v/>
      </c>
    </row>
    <row r="189" spans="1:27" x14ac:dyDescent="0.2">
      <c r="A189" t="str">
        <f>IF(COUNTBLANK(B189:AB189)&lt;&gt;COLUMNS(B189:AB189),188,"")</f>
        <v/>
      </c>
      <c r="D189" s="1" t="str">
        <f t="shared" si="14"/>
        <v/>
      </c>
      <c r="G189" s="2" t="str">
        <f t="shared" si="15"/>
        <v/>
      </c>
      <c r="H189" s="1" t="str">
        <f t="shared" si="16"/>
        <v/>
      </c>
      <c r="S189" s="1" t="str">
        <f t="shared" si="17"/>
        <v/>
      </c>
      <c r="U189" s="1" t="str">
        <f t="shared" si="18"/>
        <v/>
      </c>
      <c r="X189" s="1" t="str">
        <f t="shared" si="19"/>
        <v/>
      </c>
      <c r="AA189" s="1" t="str">
        <f t="shared" si="20"/>
        <v/>
      </c>
    </row>
    <row r="190" spans="1:27" x14ac:dyDescent="0.2">
      <c r="A190" t="str">
        <f>IF(COUNTBLANK(B190:AB190)&lt;&gt;COLUMNS(B190:AB190),189,"")</f>
        <v/>
      </c>
      <c r="D190" s="1" t="str">
        <f t="shared" si="14"/>
        <v/>
      </c>
      <c r="G190" s="2" t="str">
        <f t="shared" si="15"/>
        <v/>
      </c>
      <c r="H190" s="1" t="str">
        <f t="shared" si="16"/>
        <v/>
      </c>
      <c r="S190" s="1" t="str">
        <f t="shared" si="17"/>
        <v/>
      </c>
      <c r="U190" s="1" t="str">
        <f t="shared" si="18"/>
        <v/>
      </c>
      <c r="X190" s="1" t="str">
        <f t="shared" si="19"/>
        <v/>
      </c>
      <c r="AA190" s="1" t="str">
        <f t="shared" si="20"/>
        <v/>
      </c>
    </row>
    <row r="191" spans="1:27" x14ac:dyDescent="0.2">
      <c r="A191" t="str">
        <f>IF(COUNTBLANK(B191:AB191)&lt;&gt;COLUMNS(B191:AB191),190,"")</f>
        <v/>
      </c>
      <c r="D191" s="1" t="str">
        <f t="shared" si="14"/>
        <v/>
      </c>
      <c r="G191" s="2" t="str">
        <f t="shared" si="15"/>
        <v/>
      </c>
      <c r="H191" s="1" t="str">
        <f t="shared" si="16"/>
        <v/>
      </c>
      <c r="S191" s="1" t="str">
        <f t="shared" si="17"/>
        <v/>
      </c>
      <c r="U191" s="1" t="str">
        <f t="shared" si="18"/>
        <v/>
      </c>
      <c r="X191" s="1" t="str">
        <f t="shared" si="19"/>
        <v/>
      </c>
      <c r="AA191" s="1" t="str">
        <f t="shared" si="20"/>
        <v/>
      </c>
    </row>
    <row r="192" spans="1:27" x14ac:dyDescent="0.2">
      <c r="A192" t="str">
        <f>IF(COUNTBLANK(B192:AB192)&lt;&gt;COLUMNS(B192:AB192),191,"")</f>
        <v/>
      </c>
      <c r="D192" s="1" t="str">
        <f t="shared" si="14"/>
        <v/>
      </c>
      <c r="G192" s="2" t="str">
        <f t="shared" si="15"/>
        <v/>
      </c>
      <c r="H192" s="1" t="str">
        <f t="shared" si="16"/>
        <v/>
      </c>
      <c r="S192" s="1" t="str">
        <f t="shared" si="17"/>
        <v/>
      </c>
      <c r="U192" s="1" t="str">
        <f t="shared" si="18"/>
        <v/>
      </c>
      <c r="X192" s="1" t="str">
        <f t="shared" si="19"/>
        <v/>
      </c>
      <c r="AA192" s="1" t="str">
        <f t="shared" si="20"/>
        <v/>
      </c>
    </row>
    <row r="193" spans="1:27" x14ac:dyDescent="0.2">
      <c r="A193" t="str">
        <f>IF(COUNTBLANK(B193:AB193)&lt;&gt;COLUMNS(B193:AB193),192,"")</f>
        <v/>
      </c>
      <c r="D193" s="1" t="str">
        <f t="shared" si="14"/>
        <v/>
      </c>
      <c r="G193" s="2" t="str">
        <f t="shared" si="15"/>
        <v/>
      </c>
      <c r="H193" s="1" t="str">
        <f t="shared" si="16"/>
        <v/>
      </c>
      <c r="S193" s="1" t="str">
        <f t="shared" si="17"/>
        <v/>
      </c>
      <c r="U193" s="1" t="str">
        <f t="shared" si="18"/>
        <v/>
      </c>
      <c r="X193" s="1" t="str">
        <f t="shared" si="19"/>
        <v/>
      </c>
      <c r="AA193" s="1" t="str">
        <f t="shared" si="20"/>
        <v/>
      </c>
    </row>
    <row r="194" spans="1:27" x14ac:dyDescent="0.2">
      <c r="A194" t="str">
        <f>IF(COUNTBLANK(B194:AB194)&lt;&gt;COLUMNS(B194:AB194),193,"")</f>
        <v/>
      </c>
      <c r="D194" s="1" t="str">
        <f t="shared" ref="D194:D257" si="21">IF(B194="", "", "Not applicable")</f>
        <v/>
      </c>
      <c r="G194" s="2" t="str">
        <f t="shared" ref="G194:G257" si="22">IF(B194="", "", "missing: not provided")</f>
        <v/>
      </c>
      <c r="H194" s="1" t="str">
        <f t="shared" ref="H194:H257" si="23">IF(B194="", "", "meters")</f>
        <v/>
      </c>
      <c r="S194" s="1" t="str">
        <f t="shared" ref="S194:S257" si="24">IF(B194="", "", "Decimal degrees")</f>
        <v/>
      </c>
      <c r="U194" s="1" t="str">
        <f t="shared" ref="U194:U257" si="25">IF(B194="", "", "Decimal degrees")</f>
        <v/>
      </c>
      <c r="X194" s="1" t="str">
        <f t="shared" ref="X194:X257" si="26">IF(B194="", "", "other")</f>
        <v/>
      </c>
      <c r="AA194" s="1" t="str">
        <f t="shared" ref="AA194:AA257" si="27">IF(B194="", "", "Not applicable")</f>
        <v/>
      </c>
    </row>
    <row r="195" spans="1:27" x14ac:dyDescent="0.2">
      <c r="A195" t="str">
        <f>IF(COUNTBLANK(B195:AB195)&lt;&gt;COLUMNS(B195:AB195),194,"")</f>
        <v/>
      </c>
      <c r="D195" s="1" t="str">
        <f t="shared" si="21"/>
        <v/>
      </c>
      <c r="G195" s="2" t="str">
        <f t="shared" si="22"/>
        <v/>
      </c>
      <c r="H195" s="1" t="str">
        <f t="shared" si="23"/>
        <v/>
      </c>
      <c r="S195" s="1" t="str">
        <f t="shared" si="24"/>
        <v/>
      </c>
      <c r="U195" s="1" t="str">
        <f t="shared" si="25"/>
        <v/>
      </c>
      <c r="X195" s="1" t="str">
        <f t="shared" si="26"/>
        <v/>
      </c>
      <c r="AA195" s="1" t="str">
        <f t="shared" si="27"/>
        <v/>
      </c>
    </row>
    <row r="196" spans="1:27" x14ac:dyDescent="0.2">
      <c r="A196" t="str">
        <f>IF(COUNTBLANK(B196:AB196)&lt;&gt;COLUMNS(B196:AB196),195,"")</f>
        <v/>
      </c>
      <c r="D196" s="1" t="str">
        <f t="shared" si="21"/>
        <v/>
      </c>
      <c r="G196" s="2" t="str">
        <f t="shared" si="22"/>
        <v/>
      </c>
      <c r="H196" s="1" t="str">
        <f t="shared" si="23"/>
        <v/>
      </c>
      <c r="S196" s="1" t="str">
        <f t="shared" si="24"/>
        <v/>
      </c>
      <c r="U196" s="1" t="str">
        <f t="shared" si="25"/>
        <v/>
      </c>
      <c r="X196" s="1" t="str">
        <f t="shared" si="26"/>
        <v/>
      </c>
      <c r="AA196" s="1" t="str">
        <f t="shared" si="27"/>
        <v/>
      </c>
    </row>
    <row r="197" spans="1:27" x14ac:dyDescent="0.2">
      <c r="A197" t="str">
        <f>IF(COUNTBLANK(B197:AB197)&lt;&gt;COLUMNS(B197:AB197),196,"")</f>
        <v/>
      </c>
      <c r="D197" s="1" t="str">
        <f t="shared" si="21"/>
        <v/>
      </c>
      <c r="G197" s="2" t="str">
        <f t="shared" si="22"/>
        <v/>
      </c>
      <c r="H197" s="1" t="str">
        <f t="shared" si="23"/>
        <v/>
      </c>
      <c r="S197" s="1" t="str">
        <f t="shared" si="24"/>
        <v/>
      </c>
      <c r="U197" s="1" t="str">
        <f t="shared" si="25"/>
        <v/>
      </c>
      <c r="X197" s="1" t="str">
        <f t="shared" si="26"/>
        <v/>
      </c>
      <c r="AA197" s="1" t="str">
        <f t="shared" si="27"/>
        <v/>
      </c>
    </row>
    <row r="198" spans="1:27" x14ac:dyDescent="0.2">
      <c r="A198" t="str">
        <f>IF(COUNTBLANK(B198:AB198)&lt;&gt;COLUMNS(B198:AB198),197,"")</f>
        <v/>
      </c>
      <c r="D198" s="1" t="str">
        <f t="shared" si="21"/>
        <v/>
      </c>
      <c r="G198" s="2" t="str">
        <f t="shared" si="22"/>
        <v/>
      </c>
      <c r="H198" s="1" t="str">
        <f t="shared" si="23"/>
        <v/>
      </c>
      <c r="S198" s="1" t="str">
        <f t="shared" si="24"/>
        <v/>
      </c>
      <c r="U198" s="1" t="str">
        <f t="shared" si="25"/>
        <v/>
      </c>
      <c r="X198" s="1" t="str">
        <f t="shared" si="26"/>
        <v/>
      </c>
      <c r="AA198" s="1" t="str">
        <f t="shared" si="27"/>
        <v/>
      </c>
    </row>
    <row r="199" spans="1:27" x14ac:dyDescent="0.2">
      <c r="A199" t="str">
        <f>IF(COUNTBLANK(B199:AB199)&lt;&gt;COLUMNS(B199:AB199),198,"")</f>
        <v/>
      </c>
      <c r="D199" s="1" t="str">
        <f t="shared" si="21"/>
        <v/>
      </c>
      <c r="G199" s="2" t="str">
        <f t="shared" si="22"/>
        <v/>
      </c>
      <c r="H199" s="1" t="str">
        <f t="shared" si="23"/>
        <v/>
      </c>
      <c r="S199" s="1" t="str">
        <f t="shared" si="24"/>
        <v/>
      </c>
      <c r="U199" s="1" t="str">
        <f t="shared" si="25"/>
        <v/>
      </c>
      <c r="X199" s="1" t="str">
        <f t="shared" si="26"/>
        <v/>
      </c>
      <c r="AA199" s="1" t="str">
        <f t="shared" si="27"/>
        <v/>
      </c>
    </row>
    <row r="200" spans="1:27" x14ac:dyDescent="0.2">
      <c r="A200" t="str">
        <f>IF(COUNTBLANK(B200:AB200)&lt;&gt;COLUMNS(B200:AB200),199,"")</f>
        <v/>
      </c>
      <c r="D200" s="1" t="str">
        <f t="shared" si="21"/>
        <v/>
      </c>
      <c r="G200" s="2" t="str">
        <f t="shared" si="22"/>
        <v/>
      </c>
      <c r="H200" s="1" t="str">
        <f t="shared" si="23"/>
        <v/>
      </c>
      <c r="S200" s="1" t="str">
        <f t="shared" si="24"/>
        <v/>
      </c>
      <c r="U200" s="1" t="str">
        <f t="shared" si="25"/>
        <v/>
      </c>
      <c r="X200" s="1" t="str">
        <f t="shared" si="26"/>
        <v/>
      </c>
      <c r="AA200" s="1" t="str">
        <f t="shared" si="27"/>
        <v/>
      </c>
    </row>
    <row r="201" spans="1:27" x14ac:dyDescent="0.2">
      <c r="A201" t="str">
        <f>IF(COUNTBLANK(B201:AB201)&lt;&gt;COLUMNS(B201:AB201),200,"")</f>
        <v/>
      </c>
      <c r="D201" s="1" t="str">
        <f t="shared" si="21"/>
        <v/>
      </c>
      <c r="G201" s="2" t="str">
        <f t="shared" si="22"/>
        <v/>
      </c>
      <c r="H201" s="1" t="str">
        <f t="shared" si="23"/>
        <v/>
      </c>
      <c r="S201" s="1" t="str">
        <f t="shared" si="24"/>
        <v/>
      </c>
      <c r="U201" s="1" t="str">
        <f t="shared" si="25"/>
        <v/>
      </c>
      <c r="X201" s="1" t="str">
        <f t="shared" si="26"/>
        <v/>
      </c>
      <c r="AA201" s="1" t="str">
        <f t="shared" si="27"/>
        <v/>
      </c>
    </row>
    <row r="202" spans="1:27" x14ac:dyDescent="0.2">
      <c r="A202" t="str">
        <f>IF(COUNTBLANK(B202:AB202)&lt;&gt;COLUMNS(B202:AB202),201,"")</f>
        <v/>
      </c>
      <c r="D202" s="1" t="str">
        <f t="shared" si="21"/>
        <v/>
      </c>
      <c r="G202" s="2" t="str">
        <f t="shared" si="22"/>
        <v/>
      </c>
      <c r="H202" s="1" t="str">
        <f t="shared" si="23"/>
        <v/>
      </c>
      <c r="S202" s="1" t="str">
        <f t="shared" si="24"/>
        <v/>
      </c>
      <c r="U202" s="1" t="str">
        <f t="shared" si="25"/>
        <v/>
      </c>
      <c r="X202" s="1" t="str">
        <f t="shared" si="26"/>
        <v/>
      </c>
      <c r="AA202" s="1" t="str">
        <f t="shared" si="27"/>
        <v/>
      </c>
    </row>
    <row r="203" spans="1:27" x14ac:dyDescent="0.2">
      <c r="A203" t="str">
        <f>IF(COUNTBLANK(B203:AB203)&lt;&gt;COLUMNS(B203:AB203),202,"")</f>
        <v/>
      </c>
      <c r="D203" s="1" t="str">
        <f t="shared" si="21"/>
        <v/>
      </c>
      <c r="G203" s="2" t="str">
        <f t="shared" si="22"/>
        <v/>
      </c>
      <c r="H203" s="1" t="str">
        <f t="shared" si="23"/>
        <v/>
      </c>
      <c r="S203" s="1" t="str">
        <f t="shared" si="24"/>
        <v/>
      </c>
      <c r="U203" s="1" t="str">
        <f t="shared" si="25"/>
        <v/>
      </c>
      <c r="X203" s="1" t="str">
        <f t="shared" si="26"/>
        <v/>
      </c>
      <c r="AA203" s="1" t="str">
        <f t="shared" si="27"/>
        <v/>
      </c>
    </row>
    <row r="204" spans="1:27" x14ac:dyDescent="0.2">
      <c r="A204" t="str">
        <f>IF(COUNTBLANK(B204:AB204)&lt;&gt;COLUMNS(B204:AB204),203,"")</f>
        <v/>
      </c>
      <c r="D204" s="1" t="str">
        <f t="shared" si="21"/>
        <v/>
      </c>
      <c r="G204" s="2" t="str">
        <f t="shared" si="22"/>
        <v/>
      </c>
      <c r="H204" s="1" t="str">
        <f t="shared" si="23"/>
        <v/>
      </c>
      <c r="S204" s="1" t="str">
        <f t="shared" si="24"/>
        <v/>
      </c>
      <c r="U204" s="1" t="str">
        <f t="shared" si="25"/>
        <v/>
      </c>
      <c r="X204" s="1" t="str">
        <f t="shared" si="26"/>
        <v/>
      </c>
      <c r="AA204" s="1" t="str">
        <f t="shared" si="27"/>
        <v/>
      </c>
    </row>
    <row r="205" spans="1:27" x14ac:dyDescent="0.2">
      <c r="A205" t="str">
        <f>IF(COUNTBLANK(B205:AB205)&lt;&gt;COLUMNS(B205:AB205),204,"")</f>
        <v/>
      </c>
      <c r="D205" s="1" t="str">
        <f t="shared" si="21"/>
        <v/>
      </c>
      <c r="G205" s="2" t="str">
        <f t="shared" si="22"/>
        <v/>
      </c>
      <c r="H205" s="1" t="str">
        <f t="shared" si="23"/>
        <v/>
      </c>
      <c r="S205" s="1" t="str">
        <f t="shared" si="24"/>
        <v/>
      </c>
      <c r="U205" s="1" t="str">
        <f t="shared" si="25"/>
        <v/>
      </c>
      <c r="X205" s="1" t="str">
        <f t="shared" si="26"/>
        <v/>
      </c>
      <c r="AA205" s="1" t="str">
        <f t="shared" si="27"/>
        <v/>
      </c>
    </row>
    <row r="206" spans="1:27" x14ac:dyDescent="0.2">
      <c r="A206" t="str">
        <f>IF(COUNTBLANK(B206:AB206)&lt;&gt;COLUMNS(B206:AB206),205,"")</f>
        <v/>
      </c>
      <c r="D206" s="1" t="str">
        <f t="shared" si="21"/>
        <v/>
      </c>
      <c r="G206" s="2" t="str">
        <f t="shared" si="22"/>
        <v/>
      </c>
      <c r="H206" s="1" t="str">
        <f t="shared" si="23"/>
        <v/>
      </c>
      <c r="S206" s="1" t="str">
        <f t="shared" si="24"/>
        <v/>
      </c>
      <c r="U206" s="1" t="str">
        <f t="shared" si="25"/>
        <v/>
      </c>
      <c r="X206" s="1" t="str">
        <f t="shared" si="26"/>
        <v/>
      </c>
      <c r="AA206" s="1" t="str">
        <f t="shared" si="27"/>
        <v/>
      </c>
    </row>
    <row r="207" spans="1:27" x14ac:dyDescent="0.2">
      <c r="A207" t="str">
        <f>IF(COUNTBLANK(B207:AB207)&lt;&gt;COLUMNS(B207:AB207),206,"")</f>
        <v/>
      </c>
      <c r="D207" s="1" t="str">
        <f t="shared" si="21"/>
        <v/>
      </c>
      <c r="G207" s="2" t="str">
        <f t="shared" si="22"/>
        <v/>
      </c>
      <c r="H207" s="1" t="str">
        <f t="shared" si="23"/>
        <v/>
      </c>
      <c r="S207" s="1" t="str">
        <f t="shared" si="24"/>
        <v/>
      </c>
      <c r="U207" s="1" t="str">
        <f t="shared" si="25"/>
        <v/>
      </c>
      <c r="X207" s="1" t="str">
        <f t="shared" si="26"/>
        <v/>
      </c>
      <c r="AA207" s="1" t="str">
        <f t="shared" si="27"/>
        <v/>
      </c>
    </row>
    <row r="208" spans="1:27" x14ac:dyDescent="0.2">
      <c r="A208" t="str">
        <f>IF(COUNTBLANK(B208:AB208)&lt;&gt;COLUMNS(B208:AB208),207,"")</f>
        <v/>
      </c>
      <c r="D208" s="1" t="str">
        <f t="shared" si="21"/>
        <v/>
      </c>
      <c r="G208" s="2" t="str">
        <f t="shared" si="22"/>
        <v/>
      </c>
      <c r="H208" s="1" t="str">
        <f t="shared" si="23"/>
        <v/>
      </c>
      <c r="S208" s="1" t="str">
        <f t="shared" si="24"/>
        <v/>
      </c>
      <c r="U208" s="1" t="str">
        <f t="shared" si="25"/>
        <v/>
      </c>
      <c r="X208" s="1" t="str">
        <f t="shared" si="26"/>
        <v/>
      </c>
      <c r="AA208" s="1" t="str">
        <f t="shared" si="27"/>
        <v/>
      </c>
    </row>
    <row r="209" spans="1:27" x14ac:dyDescent="0.2">
      <c r="A209" t="str">
        <f>IF(COUNTBLANK(B209:AB209)&lt;&gt;COLUMNS(B209:AB209),208,"")</f>
        <v/>
      </c>
      <c r="D209" s="1" t="str">
        <f t="shared" si="21"/>
        <v/>
      </c>
      <c r="G209" s="2" t="str">
        <f t="shared" si="22"/>
        <v/>
      </c>
      <c r="H209" s="1" t="str">
        <f t="shared" si="23"/>
        <v/>
      </c>
      <c r="S209" s="1" t="str">
        <f t="shared" si="24"/>
        <v/>
      </c>
      <c r="U209" s="1" t="str">
        <f t="shared" si="25"/>
        <v/>
      </c>
      <c r="X209" s="1" t="str">
        <f t="shared" si="26"/>
        <v/>
      </c>
      <c r="AA209" s="1" t="str">
        <f t="shared" si="27"/>
        <v/>
      </c>
    </row>
    <row r="210" spans="1:27" x14ac:dyDescent="0.2">
      <c r="A210" t="str">
        <f>IF(COUNTBLANK(B210:AB210)&lt;&gt;COLUMNS(B210:AB210),209,"")</f>
        <v/>
      </c>
      <c r="D210" s="1" t="str">
        <f t="shared" si="21"/>
        <v/>
      </c>
      <c r="G210" s="2" t="str">
        <f t="shared" si="22"/>
        <v/>
      </c>
      <c r="H210" s="1" t="str">
        <f t="shared" si="23"/>
        <v/>
      </c>
      <c r="S210" s="1" t="str">
        <f t="shared" si="24"/>
        <v/>
      </c>
      <c r="U210" s="1" t="str">
        <f t="shared" si="25"/>
        <v/>
      </c>
      <c r="X210" s="1" t="str">
        <f t="shared" si="26"/>
        <v/>
      </c>
      <c r="AA210" s="1" t="str">
        <f t="shared" si="27"/>
        <v/>
      </c>
    </row>
    <row r="211" spans="1:27" x14ac:dyDescent="0.2">
      <c r="A211" t="str">
        <f>IF(COUNTBLANK(B211:AB211)&lt;&gt;COLUMNS(B211:AB211),210,"")</f>
        <v/>
      </c>
      <c r="D211" s="1" t="str">
        <f t="shared" si="21"/>
        <v/>
      </c>
      <c r="G211" s="2" t="str">
        <f t="shared" si="22"/>
        <v/>
      </c>
      <c r="H211" s="1" t="str">
        <f t="shared" si="23"/>
        <v/>
      </c>
      <c r="S211" s="1" t="str">
        <f t="shared" si="24"/>
        <v/>
      </c>
      <c r="U211" s="1" t="str">
        <f t="shared" si="25"/>
        <v/>
      </c>
      <c r="X211" s="1" t="str">
        <f t="shared" si="26"/>
        <v/>
      </c>
      <c r="AA211" s="1" t="str">
        <f t="shared" si="27"/>
        <v/>
      </c>
    </row>
    <row r="212" spans="1:27" x14ac:dyDescent="0.2">
      <c r="A212" t="str">
        <f>IF(COUNTBLANK(B212:AB212)&lt;&gt;COLUMNS(B212:AB212),211,"")</f>
        <v/>
      </c>
      <c r="D212" s="1" t="str">
        <f t="shared" si="21"/>
        <v/>
      </c>
      <c r="G212" s="2" t="str">
        <f t="shared" si="22"/>
        <v/>
      </c>
      <c r="H212" s="1" t="str">
        <f t="shared" si="23"/>
        <v/>
      </c>
      <c r="S212" s="1" t="str">
        <f t="shared" si="24"/>
        <v/>
      </c>
      <c r="U212" s="1" t="str">
        <f t="shared" si="25"/>
        <v/>
      </c>
      <c r="X212" s="1" t="str">
        <f t="shared" si="26"/>
        <v/>
      </c>
      <c r="AA212" s="1" t="str">
        <f t="shared" si="27"/>
        <v/>
      </c>
    </row>
    <row r="213" spans="1:27" x14ac:dyDescent="0.2">
      <c r="A213" t="str">
        <f>IF(COUNTBLANK(B213:AB213)&lt;&gt;COLUMNS(B213:AB213),212,"")</f>
        <v/>
      </c>
      <c r="D213" s="1" t="str">
        <f t="shared" si="21"/>
        <v/>
      </c>
      <c r="G213" s="2" t="str">
        <f t="shared" si="22"/>
        <v/>
      </c>
      <c r="H213" s="1" t="str">
        <f t="shared" si="23"/>
        <v/>
      </c>
      <c r="S213" s="1" t="str">
        <f t="shared" si="24"/>
        <v/>
      </c>
      <c r="U213" s="1" t="str">
        <f t="shared" si="25"/>
        <v/>
      </c>
      <c r="X213" s="1" t="str">
        <f t="shared" si="26"/>
        <v/>
      </c>
      <c r="AA213" s="1" t="str">
        <f t="shared" si="27"/>
        <v/>
      </c>
    </row>
    <row r="214" spans="1:27" x14ac:dyDescent="0.2">
      <c r="A214" t="str">
        <f>IF(COUNTBLANK(B214:AB214)&lt;&gt;COLUMNS(B214:AB214),213,"")</f>
        <v/>
      </c>
      <c r="D214" s="1" t="str">
        <f t="shared" si="21"/>
        <v/>
      </c>
      <c r="G214" s="2" t="str">
        <f t="shared" si="22"/>
        <v/>
      </c>
      <c r="H214" s="1" t="str">
        <f t="shared" si="23"/>
        <v/>
      </c>
      <c r="S214" s="1" t="str">
        <f t="shared" si="24"/>
        <v/>
      </c>
      <c r="U214" s="1" t="str">
        <f t="shared" si="25"/>
        <v/>
      </c>
      <c r="X214" s="1" t="str">
        <f t="shared" si="26"/>
        <v/>
      </c>
      <c r="AA214" s="1" t="str">
        <f t="shared" si="27"/>
        <v/>
      </c>
    </row>
    <row r="215" spans="1:27" x14ac:dyDescent="0.2">
      <c r="A215" t="str">
        <f>IF(COUNTBLANK(B215:AB215)&lt;&gt;COLUMNS(B215:AB215),214,"")</f>
        <v/>
      </c>
      <c r="D215" s="1" t="str">
        <f t="shared" si="21"/>
        <v/>
      </c>
      <c r="G215" s="2" t="str">
        <f t="shared" si="22"/>
        <v/>
      </c>
      <c r="H215" s="1" t="str">
        <f t="shared" si="23"/>
        <v/>
      </c>
      <c r="S215" s="1" t="str">
        <f t="shared" si="24"/>
        <v/>
      </c>
      <c r="U215" s="1" t="str">
        <f t="shared" si="25"/>
        <v/>
      </c>
      <c r="X215" s="1" t="str">
        <f t="shared" si="26"/>
        <v/>
      </c>
      <c r="AA215" s="1" t="str">
        <f t="shared" si="27"/>
        <v/>
      </c>
    </row>
    <row r="216" spans="1:27" x14ac:dyDescent="0.2">
      <c r="A216" t="str">
        <f>IF(COUNTBLANK(B216:AB216)&lt;&gt;COLUMNS(B216:AB216),215,"")</f>
        <v/>
      </c>
      <c r="D216" s="1" t="str">
        <f t="shared" si="21"/>
        <v/>
      </c>
      <c r="G216" s="2" t="str">
        <f t="shared" si="22"/>
        <v/>
      </c>
      <c r="H216" s="1" t="str">
        <f t="shared" si="23"/>
        <v/>
      </c>
      <c r="S216" s="1" t="str">
        <f t="shared" si="24"/>
        <v/>
      </c>
      <c r="U216" s="1" t="str">
        <f t="shared" si="25"/>
        <v/>
      </c>
      <c r="X216" s="1" t="str">
        <f t="shared" si="26"/>
        <v/>
      </c>
      <c r="AA216" s="1" t="str">
        <f t="shared" si="27"/>
        <v/>
      </c>
    </row>
    <row r="217" spans="1:27" x14ac:dyDescent="0.2">
      <c r="A217" t="str">
        <f>IF(COUNTBLANK(B217:AB217)&lt;&gt;COLUMNS(B217:AB217),216,"")</f>
        <v/>
      </c>
      <c r="D217" s="1" t="str">
        <f t="shared" si="21"/>
        <v/>
      </c>
      <c r="G217" s="2" t="str">
        <f t="shared" si="22"/>
        <v/>
      </c>
      <c r="H217" s="1" t="str">
        <f t="shared" si="23"/>
        <v/>
      </c>
      <c r="S217" s="1" t="str">
        <f t="shared" si="24"/>
        <v/>
      </c>
      <c r="U217" s="1" t="str">
        <f t="shared" si="25"/>
        <v/>
      </c>
      <c r="X217" s="1" t="str">
        <f t="shared" si="26"/>
        <v/>
      </c>
      <c r="AA217" s="1" t="str">
        <f t="shared" si="27"/>
        <v/>
      </c>
    </row>
    <row r="218" spans="1:27" x14ac:dyDescent="0.2">
      <c r="A218" t="str">
        <f>IF(COUNTBLANK(B218:AB218)&lt;&gt;COLUMNS(B218:AB218),217,"")</f>
        <v/>
      </c>
      <c r="D218" s="1" t="str">
        <f t="shared" si="21"/>
        <v/>
      </c>
      <c r="G218" s="2" t="str">
        <f t="shared" si="22"/>
        <v/>
      </c>
      <c r="H218" s="1" t="str">
        <f t="shared" si="23"/>
        <v/>
      </c>
      <c r="S218" s="1" t="str">
        <f t="shared" si="24"/>
        <v/>
      </c>
      <c r="U218" s="1" t="str">
        <f t="shared" si="25"/>
        <v/>
      </c>
      <c r="X218" s="1" t="str">
        <f t="shared" si="26"/>
        <v/>
      </c>
      <c r="AA218" s="1" t="str">
        <f t="shared" si="27"/>
        <v/>
      </c>
    </row>
    <row r="219" spans="1:27" x14ac:dyDescent="0.2">
      <c r="A219" t="str">
        <f>IF(COUNTBLANK(B219:AB219)&lt;&gt;COLUMNS(B219:AB219),218,"")</f>
        <v/>
      </c>
      <c r="D219" s="1" t="str">
        <f t="shared" si="21"/>
        <v/>
      </c>
      <c r="G219" s="2" t="str">
        <f t="shared" si="22"/>
        <v/>
      </c>
      <c r="H219" s="1" t="str">
        <f t="shared" si="23"/>
        <v/>
      </c>
      <c r="S219" s="1" t="str">
        <f t="shared" si="24"/>
        <v/>
      </c>
      <c r="U219" s="1" t="str">
        <f t="shared" si="25"/>
        <v/>
      </c>
      <c r="X219" s="1" t="str">
        <f t="shared" si="26"/>
        <v/>
      </c>
      <c r="AA219" s="1" t="str">
        <f t="shared" si="27"/>
        <v/>
      </c>
    </row>
    <row r="220" spans="1:27" x14ac:dyDescent="0.2">
      <c r="A220" t="str">
        <f>IF(COUNTBLANK(B220:AB220)&lt;&gt;COLUMNS(B220:AB220),219,"")</f>
        <v/>
      </c>
      <c r="D220" s="1" t="str">
        <f t="shared" si="21"/>
        <v/>
      </c>
      <c r="G220" s="2" t="str">
        <f t="shared" si="22"/>
        <v/>
      </c>
      <c r="H220" s="1" t="str">
        <f t="shared" si="23"/>
        <v/>
      </c>
      <c r="S220" s="1" t="str">
        <f t="shared" si="24"/>
        <v/>
      </c>
      <c r="U220" s="1" t="str">
        <f t="shared" si="25"/>
        <v/>
      </c>
      <c r="X220" s="1" t="str">
        <f t="shared" si="26"/>
        <v/>
      </c>
      <c r="AA220" s="1" t="str">
        <f t="shared" si="27"/>
        <v/>
      </c>
    </row>
    <row r="221" spans="1:27" x14ac:dyDescent="0.2">
      <c r="A221" t="str">
        <f>IF(COUNTBLANK(B221:AB221)&lt;&gt;COLUMNS(B221:AB221),220,"")</f>
        <v/>
      </c>
      <c r="D221" s="1" t="str">
        <f t="shared" si="21"/>
        <v/>
      </c>
      <c r="G221" s="2" t="str">
        <f t="shared" si="22"/>
        <v/>
      </c>
      <c r="H221" s="1" t="str">
        <f t="shared" si="23"/>
        <v/>
      </c>
      <c r="S221" s="1" t="str">
        <f t="shared" si="24"/>
        <v/>
      </c>
      <c r="U221" s="1" t="str">
        <f t="shared" si="25"/>
        <v/>
      </c>
      <c r="X221" s="1" t="str">
        <f t="shared" si="26"/>
        <v/>
      </c>
      <c r="AA221" s="1" t="str">
        <f t="shared" si="27"/>
        <v/>
      </c>
    </row>
    <row r="222" spans="1:27" x14ac:dyDescent="0.2">
      <c r="A222" t="str">
        <f>IF(COUNTBLANK(B222:AB222)&lt;&gt;COLUMNS(B222:AB222),221,"")</f>
        <v/>
      </c>
      <c r="D222" s="1" t="str">
        <f t="shared" si="21"/>
        <v/>
      </c>
      <c r="G222" s="2" t="str">
        <f t="shared" si="22"/>
        <v/>
      </c>
      <c r="H222" s="1" t="str">
        <f t="shared" si="23"/>
        <v/>
      </c>
      <c r="S222" s="1" t="str">
        <f t="shared" si="24"/>
        <v/>
      </c>
      <c r="U222" s="1" t="str">
        <f t="shared" si="25"/>
        <v/>
      </c>
      <c r="X222" s="1" t="str">
        <f t="shared" si="26"/>
        <v/>
      </c>
      <c r="AA222" s="1" t="str">
        <f t="shared" si="27"/>
        <v/>
      </c>
    </row>
    <row r="223" spans="1:27" x14ac:dyDescent="0.2">
      <c r="A223" t="str">
        <f>IF(COUNTBLANK(B223:AB223)&lt;&gt;COLUMNS(B223:AB223),222,"")</f>
        <v/>
      </c>
      <c r="D223" s="1" t="str">
        <f t="shared" si="21"/>
        <v/>
      </c>
      <c r="G223" s="2" t="str">
        <f t="shared" si="22"/>
        <v/>
      </c>
      <c r="H223" s="1" t="str">
        <f t="shared" si="23"/>
        <v/>
      </c>
      <c r="S223" s="1" t="str">
        <f t="shared" si="24"/>
        <v/>
      </c>
      <c r="U223" s="1" t="str">
        <f t="shared" si="25"/>
        <v/>
      </c>
      <c r="X223" s="1" t="str">
        <f t="shared" si="26"/>
        <v/>
      </c>
      <c r="AA223" s="1" t="str">
        <f t="shared" si="27"/>
        <v/>
      </c>
    </row>
    <row r="224" spans="1:27" x14ac:dyDescent="0.2">
      <c r="A224" t="str">
        <f>IF(COUNTBLANK(B224:AB224)&lt;&gt;COLUMNS(B224:AB224),223,"")</f>
        <v/>
      </c>
      <c r="D224" s="1" t="str">
        <f t="shared" si="21"/>
        <v/>
      </c>
      <c r="G224" s="2" t="str">
        <f t="shared" si="22"/>
        <v/>
      </c>
      <c r="H224" s="1" t="str">
        <f t="shared" si="23"/>
        <v/>
      </c>
      <c r="S224" s="1" t="str">
        <f t="shared" si="24"/>
        <v/>
      </c>
      <c r="U224" s="1" t="str">
        <f t="shared" si="25"/>
        <v/>
      </c>
      <c r="X224" s="1" t="str">
        <f t="shared" si="26"/>
        <v/>
      </c>
      <c r="AA224" s="1" t="str">
        <f t="shared" si="27"/>
        <v/>
      </c>
    </row>
    <row r="225" spans="1:27" x14ac:dyDescent="0.2">
      <c r="A225" t="str">
        <f>IF(COUNTBLANK(B225:AB225)&lt;&gt;COLUMNS(B225:AB225),224,"")</f>
        <v/>
      </c>
      <c r="D225" s="1" t="str">
        <f t="shared" si="21"/>
        <v/>
      </c>
      <c r="G225" s="2" t="str">
        <f t="shared" si="22"/>
        <v/>
      </c>
      <c r="H225" s="1" t="str">
        <f t="shared" si="23"/>
        <v/>
      </c>
      <c r="S225" s="1" t="str">
        <f t="shared" si="24"/>
        <v/>
      </c>
      <c r="U225" s="1" t="str">
        <f t="shared" si="25"/>
        <v/>
      </c>
      <c r="X225" s="1" t="str">
        <f t="shared" si="26"/>
        <v/>
      </c>
      <c r="AA225" s="1" t="str">
        <f t="shared" si="27"/>
        <v/>
      </c>
    </row>
    <row r="226" spans="1:27" x14ac:dyDescent="0.2">
      <c r="A226" t="str">
        <f>IF(COUNTBLANK(B226:AB226)&lt;&gt;COLUMNS(B226:AB226),225,"")</f>
        <v/>
      </c>
      <c r="D226" s="1" t="str">
        <f t="shared" si="21"/>
        <v/>
      </c>
      <c r="G226" s="2" t="str">
        <f t="shared" si="22"/>
        <v/>
      </c>
      <c r="H226" s="1" t="str">
        <f t="shared" si="23"/>
        <v/>
      </c>
      <c r="S226" s="1" t="str">
        <f t="shared" si="24"/>
        <v/>
      </c>
      <c r="U226" s="1" t="str">
        <f t="shared" si="25"/>
        <v/>
      </c>
      <c r="X226" s="1" t="str">
        <f t="shared" si="26"/>
        <v/>
      </c>
      <c r="AA226" s="1" t="str">
        <f t="shared" si="27"/>
        <v/>
      </c>
    </row>
    <row r="227" spans="1:27" x14ac:dyDescent="0.2">
      <c r="A227" t="str">
        <f>IF(COUNTBLANK(B227:AB227)&lt;&gt;COLUMNS(B227:AB227),226,"")</f>
        <v/>
      </c>
      <c r="D227" s="1" t="str">
        <f t="shared" si="21"/>
        <v/>
      </c>
      <c r="G227" s="2" t="str">
        <f t="shared" si="22"/>
        <v/>
      </c>
      <c r="H227" s="1" t="str">
        <f t="shared" si="23"/>
        <v/>
      </c>
      <c r="S227" s="1" t="str">
        <f t="shared" si="24"/>
        <v/>
      </c>
      <c r="U227" s="1" t="str">
        <f t="shared" si="25"/>
        <v/>
      </c>
      <c r="X227" s="1" t="str">
        <f t="shared" si="26"/>
        <v/>
      </c>
      <c r="AA227" s="1" t="str">
        <f t="shared" si="27"/>
        <v/>
      </c>
    </row>
    <row r="228" spans="1:27" x14ac:dyDescent="0.2">
      <c r="A228" t="str">
        <f>IF(COUNTBLANK(B228:AB228)&lt;&gt;COLUMNS(B228:AB228),227,"")</f>
        <v/>
      </c>
      <c r="D228" s="1" t="str">
        <f t="shared" si="21"/>
        <v/>
      </c>
      <c r="G228" s="2" t="str">
        <f t="shared" si="22"/>
        <v/>
      </c>
      <c r="H228" s="1" t="str">
        <f t="shared" si="23"/>
        <v/>
      </c>
      <c r="S228" s="1" t="str">
        <f t="shared" si="24"/>
        <v/>
      </c>
      <c r="U228" s="1" t="str">
        <f t="shared" si="25"/>
        <v/>
      </c>
      <c r="X228" s="1" t="str">
        <f t="shared" si="26"/>
        <v/>
      </c>
      <c r="AA228" s="1" t="str">
        <f t="shared" si="27"/>
        <v/>
      </c>
    </row>
    <row r="229" spans="1:27" x14ac:dyDescent="0.2">
      <c r="A229" t="str">
        <f>IF(COUNTBLANK(B229:AB229)&lt;&gt;COLUMNS(B229:AB229),228,"")</f>
        <v/>
      </c>
      <c r="D229" s="1" t="str">
        <f t="shared" si="21"/>
        <v/>
      </c>
      <c r="G229" s="2" t="str">
        <f t="shared" si="22"/>
        <v/>
      </c>
      <c r="H229" s="1" t="str">
        <f t="shared" si="23"/>
        <v/>
      </c>
      <c r="S229" s="1" t="str">
        <f t="shared" si="24"/>
        <v/>
      </c>
      <c r="U229" s="1" t="str">
        <f t="shared" si="25"/>
        <v/>
      </c>
      <c r="X229" s="1" t="str">
        <f t="shared" si="26"/>
        <v/>
      </c>
      <c r="AA229" s="1" t="str">
        <f t="shared" si="27"/>
        <v/>
      </c>
    </row>
    <row r="230" spans="1:27" x14ac:dyDescent="0.2">
      <c r="A230" t="str">
        <f>IF(COUNTBLANK(B230:AB230)&lt;&gt;COLUMNS(B230:AB230),229,"")</f>
        <v/>
      </c>
      <c r="D230" s="1" t="str">
        <f t="shared" si="21"/>
        <v/>
      </c>
      <c r="G230" s="2" t="str">
        <f t="shared" si="22"/>
        <v/>
      </c>
      <c r="H230" s="1" t="str">
        <f t="shared" si="23"/>
        <v/>
      </c>
      <c r="S230" s="1" t="str">
        <f t="shared" si="24"/>
        <v/>
      </c>
      <c r="U230" s="1" t="str">
        <f t="shared" si="25"/>
        <v/>
      </c>
      <c r="X230" s="1" t="str">
        <f t="shared" si="26"/>
        <v/>
      </c>
      <c r="AA230" s="1" t="str">
        <f t="shared" si="27"/>
        <v/>
      </c>
    </row>
    <row r="231" spans="1:27" x14ac:dyDescent="0.2">
      <c r="A231" t="str">
        <f>IF(COUNTBLANK(B231:AB231)&lt;&gt;COLUMNS(B231:AB231),230,"")</f>
        <v/>
      </c>
      <c r="D231" s="1" t="str">
        <f t="shared" si="21"/>
        <v/>
      </c>
      <c r="G231" s="2" t="str">
        <f t="shared" si="22"/>
        <v/>
      </c>
      <c r="H231" s="1" t="str">
        <f t="shared" si="23"/>
        <v/>
      </c>
      <c r="S231" s="1" t="str">
        <f t="shared" si="24"/>
        <v/>
      </c>
      <c r="U231" s="1" t="str">
        <f t="shared" si="25"/>
        <v/>
      </c>
      <c r="X231" s="1" t="str">
        <f t="shared" si="26"/>
        <v/>
      </c>
      <c r="AA231" s="1" t="str">
        <f t="shared" si="27"/>
        <v/>
      </c>
    </row>
    <row r="232" spans="1:27" x14ac:dyDescent="0.2">
      <c r="A232" t="str">
        <f>IF(COUNTBLANK(B232:AB232)&lt;&gt;COLUMNS(B232:AB232),231,"")</f>
        <v/>
      </c>
      <c r="D232" s="1" t="str">
        <f t="shared" si="21"/>
        <v/>
      </c>
      <c r="G232" s="2" t="str">
        <f t="shared" si="22"/>
        <v/>
      </c>
      <c r="H232" s="1" t="str">
        <f t="shared" si="23"/>
        <v/>
      </c>
      <c r="S232" s="1" t="str">
        <f t="shared" si="24"/>
        <v/>
      </c>
      <c r="U232" s="1" t="str">
        <f t="shared" si="25"/>
        <v/>
      </c>
      <c r="X232" s="1" t="str">
        <f t="shared" si="26"/>
        <v/>
      </c>
      <c r="AA232" s="1" t="str">
        <f t="shared" si="27"/>
        <v/>
      </c>
    </row>
    <row r="233" spans="1:27" x14ac:dyDescent="0.2">
      <c r="A233" t="str">
        <f>IF(COUNTBLANK(B233:AB233)&lt;&gt;COLUMNS(B233:AB233),232,"")</f>
        <v/>
      </c>
      <c r="D233" s="1" t="str">
        <f t="shared" si="21"/>
        <v/>
      </c>
      <c r="G233" s="2" t="str">
        <f t="shared" si="22"/>
        <v/>
      </c>
      <c r="H233" s="1" t="str">
        <f t="shared" si="23"/>
        <v/>
      </c>
      <c r="S233" s="1" t="str">
        <f t="shared" si="24"/>
        <v/>
      </c>
      <c r="U233" s="1" t="str">
        <f t="shared" si="25"/>
        <v/>
      </c>
      <c r="X233" s="1" t="str">
        <f t="shared" si="26"/>
        <v/>
      </c>
      <c r="AA233" s="1" t="str">
        <f t="shared" si="27"/>
        <v/>
      </c>
    </row>
    <row r="234" spans="1:27" x14ac:dyDescent="0.2">
      <c r="A234" t="str">
        <f>IF(COUNTBLANK(B234:AB234)&lt;&gt;COLUMNS(B234:AB234),233,"")</f>
        <v/>
      </c>
      <c r="D234" s="1" t="str">
        <f t="shared" si="21"/>
        <v/>
      </c>
      <c r="G234" s="2" t="str">
        <f t="shared" si="22"/>
        <v/>
      </c>
      <c r="H234" s="1" t="str">
        <f t="shared" si="23"/>
        <v/>
      </c>
      <c r="S234" s="1" t="str">
        <f t="shared" si="24"/>
        <v/>
      </c>
      <c r="U234" s="1" t="str">
        <f t="shared" si="25"/>
        <v/>
      </c>
      <c r="X234" s="1" t="str">
        <f t="shared" si="26"/>
        <v/>
      </c>
      <c r="AA234" s="1" t="str">
        <f t="shared" si="27"/>
        <v/>
      </c>
    </row>
    <row r="235" spans="1:27" x14ac:dyDescent="0.2">
      <c r="A235" t="str">
        <f>IF(COUNTBLANK(B235:AB235)&lt;&gt;COLUMNS(B235:AB235),234,"")</f>
        <v/>
      </c>
      <c r="D235" s="1" t="str">
        <f t="shared" si="21"/>
        <v/>
      </c>
      <c r="G235" s="2" t="str">
        <f t="shared" si="22"/>
        <v/>
      </c>
      <c r="H235" s="1" t="str">
        <f t="shared" si="23"/>
        <v/>
      </c>
      <c r="S235" s="1" t="str">
        <f t="shared" si="24"/>
        <v/>
      </c>
      <c r="U235" s="1" t="str">
        <f t="shared" si="25"/>
        <v/>
      </c>
      <c r="X235" s="1" t="str">
        <f t="shared" si="26"/>
        <v/>
      </c>
      <c r="AA235" s="1" t="str">
        <f t="shared" si="27"/>
        <v/>
      </c>
    </row>
    <row r="236" spans="1:27" x14ac:dyDescent="0.2">
      <c r="A236" t="str">
        <f>IF(COUNTBLANK(B236:AB236)&lt;&gt;COLUMNS(B236:AB236),235,"")</f>
        <v/>
      </c>
      <c r="D236" s="1" t="str">
        <f t="shared" si="21"/>
        <v/>
      </c>
      <c r="G236" s="2" t="str">
        <f t="shared" si="22"/>
        <v/>
      </c>
      <c r="H236" s="1" t="str">
        <f t="shared" si="23"/>
        <v/>
      </c>
      <c r="S236" s="1" t="str">
        <f t="shared" si="24"/>
        <v/>
      </c>
      <c r="U236" s="1" t="str">
        <f t="shared" si="25"/>
        <v/>
      </c>
      <c r="X236" s="1" t="str">
        <f t="shared" si="26"/>
        <v/>
      </c>
      <c r="AA236" s="1" t="str">
        <f t="shared" si="27"/>
        <v/>
      </c>
    </row>
    <row r="237" spans="1:27" x14ac:dyDescent="0.2">
      <c r="A237" t="str">
        <f>IF(COUNTBLANK(B237:AB237)&lt;&gt;COLUMNS(B237:AB237),236,"")</f>
        <v/>
      </c>
      <c r="D237" s="1" t="str">
        <f t="shared" si="21"/>
        <v/>
      </c>
      <c r="G237" s="2" t="str">
        <f t="shared" si="22"/>
        <v/>
      </c>
      <c r="H237" s="1" t="str">
        <f t="shared" si="23"/>
        <v/>
      </c>
      <c r="S237" s="1" t="str">
        <f t="shared" si="24"/>
        <v/>
      </c>
      <c r="U237" s="1" t="str">
        <f t="shared" si="25"/>
        <v/>
      </c>
      <c r="X237" s="1" t="str">
        <f t="shared" si="26"/>
        <v/>
      </c>
      <c r="AA237" s="1" t="str">
        <f t="shared" si="27"/>
        <v/>
      </c>
    </row>
    <row r="238" spans="1:27" x14ac:dyDescent="0.2">
      <c r="A238" t="str">
        <f>IF(COUNTBLANK(B238:AB238)&lt;&gt;COLUMNS(B238:AB238),237,"")</f>
        <v/>
      </c>
      <c r="D238" s="1" t="str">
        <f t="shared" si="21"/>
        <v/>
      </c>
      <c r="G238" s="2" t="str">
        <f t="shared" si="22"/>
        <v/>
      </c>
      <c r="H238" s="1" t="str">
        <f t="shared" si="23"/>
        <v/>
      </c>
      <c r="S238" s="1" t="str">
        <f t="shared" si="24"/>
        <v/>
      </c>
      <c r="U238" s="1" t="str">
        <f t="shared" si="25"/>
        <v/>
      </c>
      <c r="X238" s="1" t="str">
        <f t="shared" si="26"/>
        <v/>
      </c>
      <c r="AA238" s="1" t="str">
        <f t="shared" si="27"/>
        <v/>
      </c>
    </row>
    <row r="239" spans="1:27" x14ac:dyDescent="0.2">
      <c r="A239" t="str">
        <f>IF(COUNTBLANK(B239:AB239)&lt;&gt;COLUMNS(B239:AB239),238,"")</f>
        <v/>
      </c>
      <c r="D239" s="1" t="str">
        <f t="shared" si="21"/>
        <v/>
      </c>
      <c r="G239" s="2" t="str">
        <f t="shared" si="22"/>
        <v/>
      </c>
      <c r="H239" s="1" t="str">
        <f t="shared" si="23"/>
        <v/>
      </c>
      <c r="S239" s="1" t="str">
        <f t="shared" si="24"/>
        <v/>
      </c>
      <c r="U239" s="1" t="str">
        <f t="shared" si="25"/>
        <v/>
      </c>
      <c r="X239" s="1" t="str">
        <f t="shared" si="26"/>
        <v/>
      </c>
      <c r="AA239" s="1" t="str">
        <f t="shared" si="27"/>
        <v/>
      </c>
    </row>
    <row r="240" spans="1:27" x14ac:dyDescent="0.2">
      <c r="A240" t="str">
        <f>IF(COUNTBLANK(B240:AB240)&lt;&gt;COLUMNS(B240:AB240),239,"")</f>
        <v/>
      </c>
      <c r="D240" s="1" t="str">
        <f t="shared" si="21"/>
        <v/>
      </c>
      <c r="G240" s="2" t="str">
        <f t="shared" si="22"/>
        <v/>
      </c>
      <c r="H240" s="1" t="str">
        <f t="shared" si="23"/>
        <v/>
      </c>
      <c r="S240" s="1" t="str">
        <f t="shared" si="24"/>
        <v/>
      </c>
      <c r="U240" s="1" t="str">
        <f t="shared" si="25"/>
        <v/>
      </c>
      <c r="X240" s="1" t="str">
        <f t="shared" si="26"/>
        <v/>
      </c>
      <c r="AA240" s="1" t="str">
        <f t="shared" si="27"/>
        <v/>
      </c>
    </row>
    <row r="241" spans="1:27" x14ac:dyDescent="0.2">
      <c r="A241" t="str">
        <f>IF(COUNTBLANK(B241:AB241)&lt;&gt;COLUMNS(B241:AB241),240,"")</f>
        <v/>
      </c>
      <c r="D241" s="1" t="str">
        <f t="shared" si="21"/>
        <v/>
      </c>
      <c r="G241" s="2" t="str">
        <f t="shared" si="22"/>
        <v/>
      </c>
      <c r="H241" s="1" t="str">
        <f t="shared" si="23"/>
        <v/>
      </c>
      <c r="S241" s="1" t="str">
        <f t="shared" si="24"/>
        <v/>
      </c>
      <c r="U241" s="1" t="str">
        <f t="shared" si="25"/>
        <v/>
      </c>
      <c r="X241" s="1" t="str">
        <f t="shared" si="26"/>
        <v/>
      </c>
      <c r="AA241" s="1" t="str">
        <f t="shared" si="27"/>
        <v/>
      </c>
    </row>
    <row r="242" spans="1:27" x14ac:dyDescent="0.2">
      <c r="A242" t="str">
        <f>IF(COUNTBLANK(B242:AB242)&lt;&gt;COLUMNS(B242:AB242),241,"")</f>
        <v/>
      </c>
      <c r="D242" s="1" t="str">
        <f t="shared" si="21"/>
        <v/>
      </c>
      <c r="G242" s="2" t="str">
        <f t="shared" si="22"/>
        <v/>
      </c>
      <c r="H242" s="1" t="str">
        <f t="shared" si="23"/>
        <v/>
      </c>
      <c r="S242" s="1" t="str">
        <f t="shared" si="24"/>
        <v/>
      </c>
      <c r="U242" s="1" t="str">
        <f t="shared" si="25"/>
        <v/>
      </c>
      <c r="X242" s="1" t="str">
        <f t="shared" si="26"/>
        <v/>
      </c>
      <c r="AA242" s="1" t="str">
        <f t="shared" si="27"/>
        <v/>
      </c>
    </row>
    <row r="243" spans="1:27" x14ac:dyDescent="0.2">
      <c r="A243" t="str">
        <f>IF(COUNTBLANK(B243:AB243)&lt;&gt;COLUMNS(B243:AB243),242,"")</f>
        <v/>
      </c>
      <c r="D243" s="1" t="str">
        <f t="shared" si="21"/>
        <v/>
      </c>
      <c r="G243" s="2" t="str">
        <f t="shared" si="22"/>
        <v/>
      </c>
      <c r="H243" s="1" t="str">
        <f t="shared" si="23"/>
        <v/>
      </c>
      <c r="S243" s="1" t="str">
        <f t="shared" si="24"/>
        <v/>
      </c>
      <c r="U243" s="1" t="str">
        <f t="shared" si="25"/>
        <v/>
      </c>
      <c r="X243" s="1" t="str">
        <f t="shared" si="26"/>
        <v/>
      </c>
      <c r="AA243" s="1" t="str">
        <f t="shared" si="27"/>
        <v/>
      </c>
    </row>
    <row r="244" spans="1:27" x14ac:dyDescent="0.2">
      <c r="A244" t="str">
        <f>IF(COUNTBLANK(B244:AB244)&lt;&gt;COLUMNS(B244:AB244),243,"")</f>
        <v/>
      </c>
      <c r="D244" s="1" t="str">
        <f t="shared" si="21"/>
        <v/>
      </c>
      <c r="G244" s="2" t="str">
        <f t="shared" si="22"/>
        <v/>
      </c>
      <c r="H244" s="1" t="str">
        <f t="shared" si="23"/>
        <v/>
      </c>
      <c r="S244" s="1" t="str">
        <f t="shared" si="24"/>
        <v/>
      </c>
      <c r="U244" s="1" t="str">
        <f t="shared" si="25"/>
        <v/>
      </c>
      <c r="X244" s="1" t="str">
        <f t="shared" si="26"/>
        <v/>
      </c>
      <c r="AA244" s="1" t="str">
        <f t="shared" si="27"/>
        <v/>
      </c>
    </row>
    <row r="245" spans="1:27" x14ac:dyDescent="0.2">
      <c r="A245" t="str">
        <f>IF(COUNTBLANK(B245:AB245)&lt;&gt;COLUMNS(B245:AB245),244,"")</f>
        <v/>
      </c>
      <c r="D245" s="1" t="str">
        <f t="shared" si="21"/>
        <v/>
      </c>
      <c r="G245" s="2" t="str">
        <f t="shared" si="22"/>
        <v/>
      </c>
      <c r="H245" s="1" t="str">
        <f t="shared" si="23"/>
        <v/>
      </c>
      <c r="S245" s="1" t="str">
        <f t="shared" si="24"/>
        <v/>
      </c>
      <c r="U245" s="1" t="str">
        <f t="shared" si="25"/>
        <v/>
      </c>
      <c r="X245" s="1" t="str">
        <f t="shared" si="26"/>
        <v/>
      </c>
      <c r="AA245" s="1" t="str">
        <f t="shared" si="27"/>
        <v/>
      </c>
    </row>
    <row r="246" spans="1:27" x14ac:dyDescent="0.2">
      <c r="A246" t="str">
        <f>IF(COUNTBLANK(B246:AB246)&lt;&gt;COLUMNS(B246:AB246),245,"")</f>
        <v/>
      </c>
      <c r="D246" s="1" t="str">
        <f t="shared" si="21"/>
        <v/>
      </c>
      <c r="G246" s="2" t="str">
        <f t="shared" si="22"/>
        <v/>
      </c>
      <c r="H246" s="1" t="str">
        <f t="shared" si="23"/>
        <v/>
      </c>
      <c r="S246" s="1" t="str">
        <f t="shared" si="24"/>
        <v/>
      </c>
      <c r="U246" s="1" t="str">
        <f t="shared" si="25"/>
        <v/>
      </c>
      <c r="X246" s="1" t="str">
        <f t="shared" si="26"/>
        <v/>
      </c>
      <c r="AA246" s="1" t="str">
        <f t="shared" si="27"/>
        <v/>
      </c>
    </row>
    <row r="247" spans="1:27" x14ac:dyDescent="0.2">
      <c r="A247" t="str">
        <f>IF(COUNTBLANK(B247:AB247)&lt;&gt;COLUMNS(B247:AB247),246,"")</f>
        <v/>
      </c>
      <c r="D247" s="1" t="str">
        <f t="shared" si="21"/>
        <v/>
      </c>
      <c r="G247" s="2" t="str">
        <f t="shared" si="22"/>
        <v/>
      </c>
      <c r="H247" s="1" t="str">
        <f t="shared" si="23"/>
        <v/>
      </c>
      <c r="S247" s="1" t="str">
        <f t="shared" si="24"/>
        <v/>
      </c>
      <c r="U247" s="1" t="str">
        <f t="shared" si="25"/>
        <v/>
      </c>
      <c r="X247" s="1" t="str">
        <f t="shared" si="26"/>
        <v/>
      </c>
      <c r="AA247" s="1" t="str">
        <f t="shared" si="27"/>
        <v/>
      </c>
    </row>
    <row r="248" spans="1:27" x14ac:dyDescent="0.2">
      <c r="A248" t="str">
        <f>IF(COUNTBLANK(B248:AB248)&lt;&gt;COLUMNS(B248:AB248),247,"")</f>
        <v/>
      </c>
      <c r="D248" s="1" t="str">
        <f t="shared" si="21"/>
        <v/>
      </c>
      <c r="G248" s="2" t="str">
        <f t="shared" si="22"/>
        <v/>
      </c>
      <c r="H248" s="1" t="str">
        <f t="shared" si="23"/>
        <v/>
      </c>
      <c r="S248" s="1" t="str">
        <f t="shared" si="24"/>
        <v/>
      </c>
      <c r="U248" s="1" t="str">
        <f t="shared" si="25"/>
        <v/>
      </c>
      <c r="X248" s="1" t="str">
        <f t="shared" si="26"/>
        <v/>
      </c>
      <c r="AA248" s="1" t="str">
        <f t="shared" si="27"/>
        <v/>
      </c>
    </row>
    <row r="249" spans="1:27" x14ac:dyDescent="0.2">
      <c r="A249" t="str">
        <f>IF(COUNTBLANK(B249:AB249)&lt;&gt;COLUMNS(B249:AB249),248,"")</f>
        <v/>
      </c>
      <c r="D249" s="1" t="str">
        <f t="shared" si="21"/>
        <v/>
      </c>
      <c r="G249" s="2" t="str">
        <f t="shared" si="22"/>
        <v/>
      </c>
      <c r="H249" s="1" t="str">
        <f t="shared" si="23"/>
        <v/>
      </c>
      <c r="S249" s="1" t="str">
        <f t="shared" si="24"/>
        <v/>
      </c>
      <c r="U249" s="1" t="str">
        <f t="shared" si="25"/>
        <v/>
      </c>
      <c r="X249" s="1" t="str">
        <f t="shared" si="26"/>
        <v/>
      </c>
      <c r="AA249" s="1" t="str">
        <f t="shared" si="27"/>
        <v/>
      </c>
    </row>
    <row r="250" spans="1:27" x14ac:dyDescent="0.2">
      <c r="A250" t="str">
        <f>IF(COUNTBLANK(B250:AB250)&lt;&gt;COLUMNS(B250:AB250),249,"")</f>
        <v/>
      </c>
      <c r="D250" s="1" t="str">
        <f t="shared" si="21"/>
        <v/>
      </c>
      <c r="G250" s="2" t="str">
        <f t="shared" si="22"/>
        <v/>
      </c>
      <c r="H250" s="1" t="str">
        <f t="shared" si="23"/>
        <v/>
      </c>
      <c r="S250" s="1" t="str">
        <f t="shared" si="24"/>
        <v/>
      </c>
      <c r="U250" s="1" t="str">
        <f t="shared" si="25"/>
        <v/>
      </c>
      <c r="X250" s="1" t="str">
        <f t="shared" si="26"/>
        <v/>
      </c>
      <c r="AA250" s="1" t="str">
        <f t="shared" si="27"/>
        <v/>
      </c>
    </row>
    <row r="251" spans="1:27" x14ac:dyDescent="0.2">
      <c r="A251" t="str">
        <f>IF(COUNTBLANK(B251:AB251)&lt;&gt;COLUMNS(B251:AB251),250,"")</f>
        <v/>
      </c>
      <c r="D251" s="1" t="str">
        <f t="shared" si="21"/>
        <v/>
      </c>
      <c r="G251" s="2" t="str">
        <f t="shared" si="22"/>
        <v/>
      </c>
      <c r="H251" s="1" t="str">
        <f t="shared" si="23"/>
        <v/>
      </c>
      <c r="S251" s="1" t="str">
        <f t="shared" si="24"/>
        <v/>
      </c>
      <c r="U251" s="1" t="str">
        <f t="shared" si="25"/>
        <v/>
      </c>
      <c r="X251" s="1" t="str">
        <f t="shared" si="26"/>
        <v/>
      </c>
      <c r="AA251" s="1" t="str">
        <f t="shared" si="27"/>
        <v/>
      </c>
    </row>
    <row r="252" spans="1:27" x14ac:dyDescent="0.2">
      <c r="A252" t="str">
        <f>IF(COUNTBLANK(B252:AB252)&lt;&gt;COLUMNS(B252:AB252),251,"")</f>
        <v/>
      </c>
      <c r="D252" s="1" t="str">
        <f t="shared" si="21"/>
        <v/>
      </c>
      <c r="G252" s="2" t="str">
        <f t="shared" si="22"/>
        <v/>
      </c>
      <c r="H252" s="1" t="str">
        <f t="shared" si="23"/>
        <v/>
      </c>
      <c r="S252" s="1" t="str">
        <f t="shared" si="24"/>
        <v/>
      </c>
      <c r="U252" s="1" t="str">
        <f t="shared" si="25"/>
        <v/>
      </c>
      <c r="X252" s="1" t="str">
        <f t="shared" si="26"/>
        <v/>
      </c>
      <c r="AA252" s="1" t="str">
        <f t="shared" si="27"/>
        <v/>
      </c>
    </row>
    <row r="253" spans="1:27" x14ac:dyDescent="0.2">
      <c r="A253" t="str">
        <f>IF(COUNTBLANK(B253:AB253)&lt;&gt;COLUMNS(B253:AB253),252,"")</f>
        <v/>
      </c>
      <c r="D253" s="1" t="str">
        <f t="shared" si="21"/>
        <v/>
      </c>
      <c r="G253" s="2" t="str">
        <f t="shared" si="22"/>
        <v/>
      </c>
      <c r="H253" s="1" t="str">
        <f t="shared" si="23"/>
        <v/>
      </c>
      <c r="S253" s="1" t="str">
        <f t="shared" si="24"/>
        <v/>
      </c>
      <c r="U253" s="1" t="str">
        <f t="shared" si="25"/>
        <v/>
      </c>
      <c r="X253" s="1" t="str">
        <f t="shared" si="26"/>
        <v/>
      </c>
      <c r="AA253" s="1" t="str">
        <f t="shared" si="27"/>
        <v/>
      </c>
    </row>
    <row r="254" spans="1:27" x14ac:dyDescent="0.2">
      <c r="A254" t="str">
        <f>IF(COUNTBLANK(B254:AB254)&lt;&gt;COLUMNS(B254:AB254),253,"")</f>
        <v/>
      </c>
      <c r="D254" s="1" t="str">
        <f t="shared" si="21"/>
        <v/>
      </c>
      <c r="G254" s="2" t="str">
        <f t="shared" si="22"/>
        <v/>
      </c>
      <c r="H254" s="1" t="str">
        <f t="shared" si="23"/>
        <v/>
      </c>
      <c r="S254" s="1" t="str">
        <f t="shared" si="24"/>
        <v/>
      </c>
      <c r="U254" s="1" t="str">
        <f t="shared" si="25"/>
        <v/>
      </c>
      <c r="X254" s="1" t="str">
        <f t="shared" si="26"/>
        <v/>
      </c>
      <c r="AA254" s="1" t="str">
        <f t="shared" si="27"/>
        <v/>
      </c>
    </row>
    <row r="255" spans="1:27" x14ac:dyDescent="0.2">
      <c r="A255" t="str">
        <f>IF(COUNTBLANK(B255:AB255)&lt;&gt;COLUMNS(B255:AB255),254,"")</f>
        <v/>
      </c>
      <c r="D255" s="1" t="str">
        <f t="shared" si="21"/>
        <v/>
      </c>
      <c r="G255" s="2" t="str">
        <f t="shared" si="22"/>
        <v/>
      </c>
      <c r="H255" s="1" t="str">
        <f t="shared" si="23"/>
        <v/>
      </c>
      <c r="S255" s="1" t="str">
        <f t="shared" si="24"/>
        <v/>
      </c>
      <c r="U255" s="1" t="str">
        <f t="shared" si="25"/>
        <v/>
      </c>
      <c r="X255" s="1" t="str">
        <f t="shared" si="26"/>
        <v/>
      </c>
      <c r="AA255" s="1" t="str">
        <f t="shared" si="27"/>
        <v/>
      </c>
    </row>
    <row r="256" spans="1:27" x14ac:dyDescent="0.2">
      <c r="A256" t="str">
        <f>IF(COUNTBLANK(B256:AB256)&lt;&gt;COLUMNS(B256:AB256),255,"")</f>
        <v/>
      </c>
      <c r="D256" s="1" t="str">
        <f t="shared" si="21"/>
        <v/>
      </c>
      <c r="G256" s="2" t="str">
        <f t="shared" si="22"/>
        <v/>
      </c>
      <c r="H256" s="1" t="str">
        <f t="shared" si="23"/>
        <v/>
      </c>
      <c r="S256" s="1" t="str">
        <f t="shared" si="24"/>
        <v/>
      </c>
      <c r="U256" s="1" t="str">
        <f t="shared" si="25"/>
        <v/>
      </c>
      <c r="X256" s="1" t="str">
        <f t="shared" si="26"/>
        <v/>
      </c>
      <c r="AA256" s="1" t="str">
        <f t="shared" si="27"/>
        <v/>
      </c>
    </row>
    <row r="257" spans="1:27" x14ac:dyDescent="0.2">
      <c r="A257" t="str">
        <f>IF(COUNTBLANK(B257:AB257)&lt;&gt;COLUMNS(B257:AB257),256,"")</f>
        <v/>
      </c>
      <c r="D257" s="1" t="str">
        <f t="shared" si="21"/>
        <v/>
      </c>
      <c r="G257" s="2" t="str">
        <f t="shared" si="22"/>
        <v/>
      </c>
      <c r="H257" s="1" t="str">
        <f t="shared" si="23"/>
        <v/>
      </c>
      <c r="S257" s="1" t="str">
        <f t="shared" si="24"/>
        <v/>
      </c>
      <c r="U257" s="1" t="str">
        <f t="shared" si="25"/>
        <v/>
      </c>
      <c r="X257" s="1" t="str">
        <f t="shared" si="26"/>
        <v/>
      </c>
      <c r="AA257" s="1" t="str">
        <f t="shared" si="27"/>
        <v/>
      </c>
    </row>
    <row r="258" spans="1:27" x14ac:dyDescent="0.2">
      <c r="A258" t="str">
        <f>IF(COUNTBLANK(B258:AB258)&lt;&gt;COLUMNS(B258:AB258),257,"")</f>
        <v/>
      </c>
      <c r="D258" s="1" t="str">
        <f t="shared" ref="D258:D321" si="28">IF(B258="", "", "Not applicable")</f>
        <v/>
      </c>
      <c r="G258" s="2" t="str">
        <f t="shared" ref="G258:G321" si="29">IF(B258="", "", "missing: not provided")</f>
        <v/>
      </c>
      <c r="H258" s="1" t="str">
        <f t="shared" ref="H258:H321" si="30">IF(B258="", "", "meters")</f>
        <v/>
      </c>
      <c r="S258" s="1" t="str">
        <f t="shared" ref="S258:S321" si="31">IF(B258="", "", "Decimal degrees")</f>
        <v/>
      </c>
      <c r="U258" s="1" t="str">
        <f t="shared" ref="U258:U321" si="32">IF(B258="", "", "Decimal degrees")</f>
        <v/>
      </c>
      <c r="X258" s="1" t="str">
        <f t="shared" ref="X258:X321" si="33">IF(B258="", "", "other")</f>
        <v/>
      </c>
      <c r="AA258" s="1" t="str">
        <f t="shared" ref="AA258:AA321" si="34">IF(B258="", "", "Not applicable")</f>
        <v/>
      </c>
    </row>
    <row r="259" spans="1:27" x14ac:dyDescent="0.2">
      <c r="A259" t="str">
        <f>IF(COUNTBLANK(B259:AB259)&lt;&gt;COLUMNS(B259:AB259),258,"")</f>
        <v/>
      </c>
      <c r="D259" s="1" t="str">
        <f t="shared" si="28"/>
        <v/>
      </c>
      <c r="G259" s="2" t="str">
        <f t="shared" si="29"/>
        <v/>
      </c>
      <c r="H259" s="1" t="str">
        <f t="shared" si="30"/>
        <v/>
      </c>
      <c r="S259" s="1" t="str">
        <f t="shared" si="31"/>
        <v/>
      </c>
      <c r="U259" s="1" t="str">
        <f t="shared" si="32"/>
        <v/>
      </c>
      <c r="X259" s="1" t="str">
        <f t="shared" si="33"/>
        <v/>
      </c>
      <c r="AA259" s="1" t="str">
        <f t="shared" si="34"/>
        <v/>
      </c>
    </row>
    <row r="260" spans="1:27" x14ac:dyDescent="0.2">
      <c r="A260" t="str">
        <f>IF(COUNTBLANK(B260:AB260)&lt;&gt;COLUMNS(B260:AB260),259,"")</f>
        <v/>
      </c>
      <c r="D260" s="1" t="str">
        <f t="shared" si="28"/>
        <v/>
      </c>
      <c r="G260" s="2" t="str">
        <f t="shared" si="29"/>
        <v/>
      </c>
      <c r="H260" s="1" t="str">
        <f t="shared" si="30"/>
        <v/>
      </c>
      <c r="S260" s="1" t="str">
        <f t="shared" si="31"/>
        <v/>
      </c>
      <c r="U260" s="1" t="str">
        <f t="shared" si="32"/>
        <v/>
      </c>
      <c r="X260" s="1" t="str">
        <f t="shared" si="33"/>
        <v/>
      </c>
      <c r="AA260" s="1" t="str">
        <f t="shared" si="34"/>
        <v/>
      </c>
    </row>
    <row r="261" spans="1:27" x14ac:dyDescent="0.2">
      <c r="A261" t="str">
        <f>IF(COUNTBLANK(B261:AB261)&lt;&gt;COLUMNS(B261:AB261),260,"")</f>
        <v/>
      </c>
      <c r="D261" s="1" t="str">
        <f t="shared" si="28"/>
        <v/>
      </c>
      <c r="G261" s="2" t="str">
        <f t="shared" si="29"/>
        <v/>
      </c>
      <c r="H261" s="1" t="str">
        <f t="shared" si="30"/>
        <v/>
      </c>
      <c r="S261" s="1" t="str">
        <f t="shared" si="31"/>
        <v/>
      </c>
      <c r="U261" s="1" t="str">
        <f t="shared" si="32"/>
        <v/>
      </c>
      <c r="X261" s="1" t="str">
        <f t="shared" si="33"/>
        <v/>
      </c>
      <c r="AA261" s="1" t="str">
        <f t="shared" si="34"/>
        <v/>
      </c>
    </row>
    <row r="262" spans="1:27" x14ac:dyDescent="0.2">
      <c r="A262" t="str">
        <f>IF(COUNTBLANK(B262:AB262)&lt;&gt;COLUMNS(B262:AB262),261,"")</f>
        <v/>
      </c>
      <c r="D262" s="1" t="str">
        <f t="shared" si="28"/>
        <v/>
      </c>
      <c r="G262" s="2" t="str">
        <f t="shared" si="29"/>
        <v/>
      </c>
      <c r="H262" s="1" t="str">
        <f t="shared" si="30"/>
        <v/>
      </c>
      <c r="S262" s="1" t="str">
        <f t="shared" si="31"/>
        <v/>
      </c>
      <c r="U262" s="1" t="str">
        <f t="shared" si="32"/>
        <v/>
      </c>
      <c r="X262" s="1" t="str">
        <f t="shared" si="33"/>
        <v/>
      </c>
      <c r="AA262" s="1" t="str">
        <f t="shared" si="34"/>
        <v/>
      </c>
    </row>
    <row r="263" spans="1:27" x14ac:dyDescent="0.2">
      <c r="A263" t="str">
        <f>IF(COUNTBLANK(B263:AB263)&lt;&gt;COLUMNS(B263:AB263),262,"")</f>
        <v/>
      </c>
      <c r="D263" s="1" t="str">
        <f t="shared" si="28"/>
        <v/>
      </c>
      <c r="G263" s="2" t="str">
        <f t="shared" si="29"/>
        <v/>
      </c>
      <c r="H263" s="1" t="str">
        <f t="shared" si="30"/>
        <v/>
      </c>
      <c r="S263" s="1" t="str">
        <f t="shared" si="31"/>
        <v/>
      </c>
      <c r="U263" s="1" t="str">
        <f t="shared" si="32"/>
        <v/>
      </c>
      <c r="X263" s="1" t="str">
        <f t="shared" si="33"/>
        <v/>
      </c>
      <c r="AA263" s="1" t="str">
        <f t="shared" si="34"/>
        <v/>
      </c>
    </row>
    <row r="264" spans="1:27" x14ac:dyDescent="0.2">
      <c r="A264" t="str">
        <f>IF(COUNTBLANK(B264:AB264)&lt;&gt;COLUMNS(B264:AB264),263,"")</f>
        <v/>
      </c>
      <c r="D264" s="1" t="str">
        <f t="shared" si="28"/>
        <v/>
      </c>
      <c r="G264" s="2" t="str">
        <f t="shared" si="29"/>
        <v/>
      </c>
      <c r="H264" s="1" t="str">
        <f t="shared" si="30"/>
        <v/>
      </c>
      <c r="S264" s="1" t="str">
        <f t="shared" si="31"/>
        <v/>
      </c>
      <c r="U264" s="1" t="str">
        <f t="shared" si="32"/>
        <v/>
      </c>
      <c r="X264" s="1" t="str">
        <f t="shared" si="33"/>
        <v/>
      </c>
      <c r="AA264" s="1" t="str">
        <f t="shared" si="34"/>
        <v/>
      </c>
    </row>
    <row r="265" spans="1:27" x14ac:dyDescent="0.2">
      <c r="A265" t="str">
        <f>IF(COUNTBLANK(B265:AB265)&lt;&gt;COLUMNS(B265:AB265),264,"")</f>
        <v/>
      </c>
      <c r="D265" s="1" t="str">
        <f t="shared" si="28"/>
        <v/>
      </c>
      <c r="G265" s="2" t="str">
        <f t="shared" si="29"/>
        <v/>
      </c>
      <c r="H265" s="1" t="str">
        <f t="shared" si="30"/>
        <v/>
      </c>
      <c r="S265" s="1" t="str">
        <f t="shared" si="31"/>
        <v/>
      </c>
      <c r="U265" s="1" t="str">
        <f t="shared" si="32"/>
        <v/>
      </c>
      <c r="X265" s="1" t="str">
        <f t="shared" si="33"/>
        <v/>
      </c>
      <c r="AA265" s="1" t="str">
        <f t="shared" si="34"/>
        <v/>
      </c>
    </row>
    <row r="266" spans="1:27" x14ac:dyDescent="0.2">
      <c r="A266" t="str">
        <f>IF(COUNTBLANK(B266:AB266)&lt;&gt;COLUMNS(B266:AB266),265,"")</f>
        <v/>
      </c>
      <c r="D266" s="1" t="str">
        <f t="shared" si="28"/>
        <v/>
      </c>
      <c r="G266" s="2" t="str">
        <f t="shared" si="29"/>
        <v/>
      </c>
      <c r="H266" s="1" t="str">
        <f t="shared" si="30"/>
        <v/>
      </c>
      <c r="S266" s="1" t="str">
        <f t="shared" si="31"/>
        <v/>
      </c>
      <c r="U266" s="1" t="str">
        <f t="shared" si="32"/>
        <v/>
      </c>
      <c r="X266" s="1" t="str">
        <f t="shared" si="33"/>
        <v/>
      </c>
      <c r="AA266" s="1" t="str">
        <f t="shared" si="34"/>
        <v/>
      </c>
    </row>
    <row r="267" spans="1:27" x14ac:dyDescent="0.2">
      <c r="A267" t="str">
        <f>IF(COUNTBLANK(B267:AB267)&lt;&gt;COLUMNS(B267:AB267),266,"")</f>
        <v/>
      </c>
      <c r="D267" s="1" t="str">
        <f t="shared" si="28"/>
        <v/>
      </c>
      <c r="G267" s="2" t="str">
        <f t="shared" si="29"/>
        <v/>
      </c>
      <c r="H267" s="1" t="str">
        <f t="shared" si="30"/>
        <v/>
      </c>
      <c r="S267" s="1" t="str">
        <f t="shared" si="31"/>
        <v/>
      </c>
      <c r="U267" s="1" t="str">
        <f t="shared" si="32"/>
        <v/>
      </c>
      <c r="X267" s="1" t="str">
        <f t="shared" si="33"/>
        <v/>
      </c>
      <c r="AA267" s="1" t="str">
        <f t="shared" si="34"/>
        <v/>
      </c>
    </row>
    <row r="268" spans="1:27" x14ac:dyDescent="0.2">
      <c r="A268" t="str">
        <f>IF(COUNTBLANK(B268:AB268)&lt;&gt;COLUMNS(B268:AB268),267,"")</f>
        <v/>
      </c>
      <c r="D268" s="1" t="str">
        <f t="shared" si="28"/>
        <v/>
      </c>
      <c r="G268" s="2" t="str">
        <f t="shared" si="29"/>
        <v/>
      </c>
      <c r="H268" s="1" t="str">
        <f t="shared" si="30"/>
        <v/>
      </c>
      <c r="S268" s="1" t="str">
        <f t="shared" si="31"/>
        <v/>
      </c>
      <c r="U268" s="1" t="str">
        <f t="shared" si="32"/>
        <v/>
      </c>
      <c r="X268" s="1" t="str">
        <f t="shared" si="33"/>
        <v/>
      </c>
      <c r="AA268" s="1" t="str">
        <f t="shared" si="34"/>
        <v/>
      </c>
    </row>
    <row r="269" spans="1:27" x14ac:dyDescent="0.2">
      <c r="A269" t="str">
        <f>IF(COUNTBLANK(B269:AB269)&lt;&gt;COLUMNS(B269:AB269),268,"")</f>
        <v/>
      </c>
      <c r="D269" s="1" t="str">
        <f t="shared" si="28"/>
        <v/>
      </c>
      <c r="G269" s="2" t="str">
        <f t="shared" si="29"/>
        <v/>
      </c>
      <c r="H269" s="1" t="str">
        <f t="shared" si="30"/>
        <v/>
      </c>
      <c r="S269" s="1" t="str">
        <f t="shared" si="31"/>
        <v/>
      </c>
      <c r="U269" s="1" t="str">
        <f t="shared" si="32"/>
        <v/>
      </c>
      <c r="X269" s="1" t="str">
        <f t="shared" si="33"/>
        <v/>
      </c>
      <c r="AA269" s="1" t="str">
        <f t="shared" si="34"/>
        <v/>
      </c>
    </row>
    <row r="270" spans="1:27" x14ac:dyDescent="0.2">
      <c r="A270" t="str">
        <f>IF(COUNTBLANK(B270:AB270)&lt;&gt;COLUMNS(B270:AB270),269,"")</f>
        <v/>
      </c>
      <c r="D270" s="1" t="str">
        <f t="shared" si="28"/>
        <v/>
      </c>
      <c r="G270" s="2" t="str">
        <f t="shared" si="29"/>
        <v/>
      </c>
      <c r="H270" s="1" t="str">
        <f t="shared" si="30"/>
        <v/>
      </c>
      <c r="S270" s="1" t="str">
        <f t="shared" si="31"/>
        <v/>
      </c>
      <c r="U270" s="1" t="str">
        <f t="shared" si="32"/>
        <v/>
      </c>
      <c r="X270" s="1" t="str">
        <f t="shared" si="33"/>
        <v/>
      </c>
      <c r="AA270" s="1" t="str">
        <f t="shared" si="34"/>
        <v/>
      </c>
    </row>
    <row r="271" spans="1:27" x14ac:dyDescent="0.2">
      <c r="A271" t="str">
        <f>IF(COUNTBLANK(B271:AB271)&lt;&gt;COLUMNS(B271:AB271),270,"")</f>
        <v/>
      </c>
      <c r="D271" s="1" t="str">
        <f t="shared" si="28"/>
        <v/>
      </c>
      <c r="G271" s="2" t="str">
        <f t="shared" si="29"/>
        <v/>
      </c>
      <c r="H271" s="1" t="str">
        <f t="shared" si="30"/>
        <v/>
      </c>
      <c r="S271" s="1" t="str">
        <f t="shared" si="31"/>
        <v/>
      </c>
      <c r="U271" s="1" t="str">
        <f t="shared" si="32"/>
        <v/>
      </c>
      <c r="X271" s="1" t="str">
        <f t="shared" si="33"/>
        <v/>
      </c>
      <c r="AA271" s="1" t="str">
        <f t="shared" si="34"/>
        <v/>
      </c>
    </row>
    <row r="272" spans="1:27" x14ac:dyDescent="0.2">
      <c r="A272" t="str">
        <f>IF(COUNTBLANK(B272:AB272)&lt;&gt;COLUMNS(B272:AB272),271,"")</f>
        <v/>
      </c>
      <c r="D272" s="1" t="str">
        <f t="shared" si="28"/>
        <v/>
      </c>
      <c r="G272" s="2" t="str">
        <f t="shared" si="29"/>
        <v/>
      </c>
      <c r="H272" s="1" t="str">
        <f t="shared" si="30"/>
        <v/>
      </c>
      <c r="S272" s="1" t="str">
        <f t="shared" si="31"/>
        <v/>
      </c>
      <c r="U272" s="1" t="str">
        <f t="shared" si="32"/>
        <v/>
      </c>
      <c r="X272" s="1" t="str">
        <f t="shared" si="33"/>
        <v/>
      </c>
      <c r="AA272" s="1" t="str">
        <f t="shared" si="34"/>
        <v/>
      </c>
    </row>
    <row r="273" spans="1:27" x14ac:dyDescent="0.2">
      <c r="A273" t="str">
        <f>IF(COUNTBLANK(B273:AB273)&lt;&gt;COLUMNS(B273:AB273),272,"")</f>
        <v/>
      </c>
      <c r="D273" s="1" t="str">
        <f t="shared" si="28"/>
        <v/>
      </c>
      <c r="G273" s="2" t="str">
        <f t="shared" si="29"/>
        <v/>
      </c>
      <c r="H273" s="1" t="str">
        <f t="shared" si="30"/>
        <v/>
      </c>
      <c r="S273" s="1" t="str">
        <f t="shared" si="31"/>
        <v/>
      </c>
      <c r="U273" s="1" t="str">
        <f t="shared" si="32"/>
        <v/>
      </c>
      <c r="X273" s="1" t="str">
        <f t="shared" si="33"/>
        <v/>
      </c>
      <c r="AA273" s="1" t="str">
        <f t="shared" si="34"/>
        <v/>
      </c>
    </row>
    <row r="274" spans="1:27" x14ac:dyDescent="0.2">
      <c r="A274" t="str">
        <f>IF(COUNTBLANK(B274:AB274)&lt;&gt;COLUMNS(B274:AB274),273,"")</f>
        <v/>
      </c>
      <c r="D274" s="1" t="str">
        <f t="shared" si="28"/>
        <v/>
      </c>
      <c r="G274" s="2" t="str">
        <f t="shared" si="29"/>
        <v/>
      </c>
      <c r="H274" s="1" t="str">
        <f t="shared" si="30"/>
        <v/>
      </c>
      <c r="S274" s="1" t="str">
        <f t="shared" si="31"/>
        <v/>
      </c>
      <c r="U274" s="1" t="str">
        <f t="shared" si="32"/>
        <v/>
      </c>
      <c r="X274" s="1" t="str">
        <f t="shared" si="33"/>
        <v/>
      </c>
      <c r="AA274" s="1" t="str">
        <f t="shared" si="34"/>
        <v/>
      </c>
    </row>
    <row r="275" spans="1:27" x14ac:dyDescent="0.2">
      <c r="A275" t="str">
        <f>IF(COUNTBLANK(B275:AB275)&lt;&gt;COLUMNS(B275:AB275),274,"")</f>
        <v/>
      </c>
      <c r="D275" s="1" t="str">
        <f t="shared" si="28"/>
        <v/>
      </c>
      <c r="G275" s="2" t="str">
        <f t="shared" si="29"/>
        <v/>
      </c>
      <c r="H275" s="1" t="str">
        <f t="shared" si="30"/>
        <v/>
      </c>
      <c r="S275" s="1" t="str">
        <f t="shared" si="31"/>
        <v/>
      </c>
      <c r="U275" s="1" t="str">
        <f t="shared" si="32"/>
        <v/>
      </c>
      <c r="X275" s="1" t="str">
        <f t="shared" si="33"/>
        <v/>
      </c>
      <c r="AA275" s="1" t="str">
        <f t="shared" si="34"/>
        <v/>
      </c>
    </row>
    <row r="276" spans="1:27" x14ac:dyDescent="0.2">
      <c r="A276" t="str">
        <f>IF(COUNTBLANK(B276:AB276)&lt;&gt;COLUMNS(B276:AB276),275,"")</f>
        <v/>
      </c>
      <c r="D276" s="1" t="str">
        <f t="shared" si="28"/>
        <v/>
      </c>
      <c r="G276" s="2" t="str">
        <f t="shared" si="29"/>
        <v/>
      </c>
      <c r="H276" s="1" t="str">
        <f t="shared" si="30"/>
        <v/>
      </c>
      <c r="S276" s="1" t="str">
        <f t="shared" si="31"/>
        <v/>
      </c>
      <c r="U276" s="1" t="str">
        <f t="shared" si="32"/>
        <v/>
      </c>
      <c r="X276" s="1" t="str">
        <f t="shared" si="33"/>
        <v/>
      </c>
      <c r="AA276" s="1" t="str">
        <f t="shared" si="34"/>
        <v/>
      </c>
    </row>
    <row r="277" spans="1:27" x14ac:dyDescent="0.2">
      <c r="A277" t="str">
        <f>IF(COUNTBLANK(B277:AB277)&lt;&gt;COLUMNS(B277:AB277),276,"")</f>
        <v/>
      </c>
      <c r="D277" s="1" t="str">
        <f t="shared" si="28"/>
        <v/>
      </c>
      <c r="G277" s="2" t="str">
        <f t="shared" si="29"/>
        <v/>
      </c>
      <c r="H277" s="1" t="str">
        <f t="shared" si="30"/>
        <v/>
      </c>
      <c r="S277" s="1" t="str">
        <f t="shared" si="31"/>
        <v/>
      </c>
      <c r="U277" s="1" t="str">
        <f t="shared" si="32"/>
        <v/>
      </c>
      <c r="X277" s="1" t="str">
        <f t="shared" si="33"/>
        <v/>
      </c>
      <c r="AA277" s="1" t="str">
        <f t="shared" si="34"/>
        <v/>
      </c>
    </row>
    <row r="278" spans="1:27" x14ac:dyDescent="0.2">
      <c r="A278" t="str">
        <f>IF(COUNTBLANK(B278:AB278)&lt;&gt;COLUMNS(B278:AB278),277,"")</f>
        <v/>
      </c>
      <c r="D278" s="1" t="str">
        <f t="shared" si="28"/>
        <v/>
      </c>
      <c r="G278" s="2" t="str">
        <f t="shared" si="29"/>
        <v/>
      </c>
      <c r="H278" s="1" t="str">
        <f t="shared" si="30"/>
        <v/>
      </c>
      <c r="S278" s="1" t="str">
        <f t="shared" si="31"/>
        <v/>
      </c>
      <c r="U278" s="1" t="str">
        <f t="shared" si="32"/>
        <v/>
      </c>
      <c r="X278" s="1" t="str">
        <f t="shared" si="33"/>
        <v/>
      </c>
      <c r="AA278" s="1" t="str">
        <f t="shared" si="34"/>
        <v/>
      </c>
    </row>
    <row r="279" spans="1:27" x14ac:dyDescent="0.2">
      <c r="A279" t="str">
        <f>IF(COUNTBLANK(B279:AB279)&lt;&gt;COLUMNS(B279:AB279),278,"")</f>
        <v/>
      </c>
      <c r="D279" s="1" t="str">
        <f t="shared" si="28"/>
        <v/>
      </c>
      <c r="G279" s="2" t="str">
        <f t="shared" si="29"/>
        <v/>
      </c>
      <c r="H279" s="1" t="str">
        <f t="shared" si="30"/>
        <v/>
      </c>
      <c r="S279" s="1" t="str">
        <f t="shared" si="31"/>
        <v/>
      </c>
      <c r="U279" s="1" t="str">
        <f t="shared" si="32"/>
        <v/>
      </c>
      <c r="X279" s="1" t="str">
        <f t="shared" si="33"/>
        <v/>
      </c>
      <c r="AA279" s="1" t="str">
        <f t="shared" si="34"/>
        <v/>
      </c>
    </row>
    <row r="280" spans="1:27" x14ac:dyDescent="0.2">
      <c r="A280" t="str">
        <f>IF(COUNTBLANK(B280:AB280)&lt;&gt;COLUMNS(B280:AB280),279,"")</f>
        <v/>
      </c>
      <c r="D280" s="1" t="str">
        <f t="shared" si="28"/>
        <v/>
      </c>
      <c r="G280" s="2" t="str">
        <f t="shared" si="29"/>
        <v/>
      </c>
      <c r="H280" s="1" t="str">
        <f t="shared" si="30"/>
        <v/>
      </c>
      <c r="S280" s="1" t="str">
        <f t="shared" si="31"/>
        <v/>
      </c>
      <c r="U280" s="1" t="str">
        <f t="shared" si="32"/>
        <v/>
      </c>
      <c r="X280" s="1" t="str">
        <f t="shared" si="33"/>
        <v/>
      </c>
      <c r="AA280" s="1" t="str">
        <f t="shared" si="34"/>
        <v/>
      </c>
    </row>
    <row r="281" spans="1:27" x14ac:dyDescent="0.2">
      <c r="A281" t="str">
        <f>IF(COUNTBLANK(B281:AB281)&lt;&gt;COLUMNS(B281:AB281),280,"")</f>
        <v/>
      </c>
      <c r="D281" s="1" t="str">
        <f t="shared" si="28"/>
        <v/>
      </c>
      <c r="G281" s="2" t="str">
        <f t="shared" si="29"/>
        <v/>
      </c>
      <c r="H281" s="1" t="str">
        <f t="shared" si="30"/>
        <v/>
      </c>
      <c r="S281" s="1" t="str">
        <f t="shared" si="31"/>
        <v/>
      </c>
      <c r="U281" s="1" t="str">
        <f t="shared" si="32"/>
        <v/>
      </c>
      <c r="X281" s="1" t="str">
        <f t="shared" si="33"/>
        <v/>
      </c>
      <c r="AA281" s="1" t="str">
        <f t="shared" si="34"/>
        <v/>
      </c>
    </row>
    <row r="282" spans="1:27" x14ac:dyDescent="0.2">
      <c r="A282" t="str">
        <f>IF(COUNTBLANK(B282:AB282)&lt;&gt;COLUMNS(B282:AB282),281,"")</f>
        <v/>
      </c>
      <c r="D282" s="1" t="str">
        <f t="shared" si="28"/>
        <v/>
      </c>
      <c r="G282" s="2" t="str">
        <f t="shared" si="29"/>
        <v/>
      </c>
      <c r="H282" s="1" t="str">
        <f t="shared" si="30"/>
        <v/>
      </c>
      <c r="S282" s="1" t="str">
        <f t="shared" si="31"/>
        <v/>
      </c>
      <c r="U282" s="1" t="str">
        <f t="shared" si="32"/>
        <v/>
      </c>
      <c r="X282" s="1" t="str">
        <f t="shared" si="33"/>
        <v/>
      </c>
      <c r="AA282" s="1" t="str">
        <f t="shared" si="34"/>
        <v/>
      </c>
    </row>
    <row r="283" spans="1:27" x14ac:dyDescent="0.2">
      <c r="A283" t="str">
        <f>IF(COUNTBLANK(B283:AB283)&lt;&gt;COLUMNS(B283:AB283),282,"")</f>
        <v/>
      </c>
      <c r="D283" s="1" t="str">
        <f t="shared" si="28"/>
        <v/>
      </c>
      <c r="G283" s="2" t="str">
        <f t="shared" si="29"/>
        <v/>
      </c>
      <c r="H283" s="1" t="str">
        <f t="shared" si="30"/>
        <v/>
      </c>
      <c r="S283" s="1" t="str">
        <f t="shared" si="31"/>
        <v/>
      </c>
      <c r="U283" s="1" t="str">
        <f t="shared" si="32"/>
        <v/>
      </c>
      <c r="X283" s="1" t="str">
        <f t="shared" si="33"/>
        <v/>
      </c>
      <c r="AA283" s="1" t="str">
        <f t="shared" si="34"/>
        <v/>
      </c>
    </row>
    <row r="284" spans="1:27" x14ac:dyDescent="0.2">
      <c r="A284" t="str">
        <f>IF(COUNTBLANK(B284:AB284)&lt;&gt;COLUMNS(B284:AB284),283,"")</f>
        <v/>
      </c>
      <c r="D284" s="1" t="str">
        <f t="shared" si="28"/>
        <v/>
      </c>
      <c r="G284" s="2" t="str">
        <f t="shared" si="29"/>
        <v/>
      </c>
      <c r="H284" s="1" t="str">
        <f t="shared" si="30"/>
        <v/>
      </c>
      <c r="S284" s="1" t="str">
        <f t="shared" si="31"/>
        <v/>
      </c>
      <c r="U284" s="1" t="str">
        <f t="shared" si="32"/>
        <v/>
      </c>
      <c r="X284" s="1" t="str">
        <f t="shared" si="33"/>
        <v/>
      </c>
      <c r="AA284" s="1" t="str">
        <f t="shared" si="34"/>
        <v/>
      </c>
    </row>
    <row r="285" spans="1:27" x14ac:dyDescent="0.2">
      <c r="A285" t="str">
        <f>IF(COUNTBLANK(B285:AB285)&lt;&gt;COLUMNS(B285:AB285),284,"")</f>
        <v/>
      </c>
      <c r="D285" s="1" t="str">
        <f t="shared" si="28"/>
        <v/>
      </c>
      <c r="G285" s="2" t="str">
        <f t="shared" si="29"/>
        <v/>
      </c>
      <c r="H285" s="1" t="str">
        <f t="shared" si="30"/>
        <v/>
      </c>
      <c r="S285" s="1" t="str">
        <f t="shared" si="31"/>
        <v/>
      </c>
      <c r="U285" s="1" t="str">
        <f t="shared" si="32"/>
        <v/>
      </c>
      <c r="X285" s="1" t="str">
        <f t="shared" si="33"/>
        <v/>
      </c>
      <c r="AA285" s="1" t="str">
        <f t="shared" si="34"/>
        <v/>
      </c>
    </row>
    <row r="286" spans="1:27" x14ac:dyDescent="0.2">
      <c r="A286" t="str">
        <f>IF(COUNTBLANK(B286:AB286)&lt;&gt;COLUMNS(B286:AB286),285,"")</f>
        <v/>
      </c>
      <c r="D286" s="1" t="str">
        <f t="shared" si="28"/>
        <v/>
      </c>
      <c r="G286" s="2" t="str">
        <f t="shared" si="29"/>
        <v/>
      </c>
      <c r="H286" s="1" t="str">
        <f t="shared" si="30"/>
        <v/>
      </c>
      <c r="S286" s="1" t="str">
        <f t="shared" si="31"/>
        <v/>
      </c>
      <c r="U286" s="1" t="str">
        <f t="shared" si="32"/>
        <v/>
      </c>
      <c r="X286" s="1" t="str">
        <f t="shared" si="33"/>
        <v/>
      </c>
      <c r="AA286" s="1" t="str">
        <f t="shared" si="34"/>
        <v/>
      </c>
    </row>
    <row r="287" spans="1:27" x14ac:dyDescent="0.2">
      <c r="A287" t="str">
        <f>IF(COUNTBLANK(B287:AB287)&lt;&gt;COLUMNS(B287:AB287),286,"")</f>
        <v/>
      </c>
      <c r="D287" s="1" t="str">
        <f t="shared" si="28"/>
        <v/>
      </c>
      <c r="G287" s="2" t="str">
        <f t="shared" si="29"/>
        <v/>
      </c>
      <c r="H287" s="1" t="str">
        <f t="shared" si="30"/>
        <v/>
      </c>
      <c r="S287" s="1" t="str">
        <f t="shared" si="31"/>
        <v/>
      </c>
      <c r="U287" s="1" t="str">
        <f t="shared" si="32"/>
        <v/>
      </c>
      <c r="X287" s="1" t="str">
        <f t="shared" si="33"/>
        <v/>
      </c>
      <c r="AA287" s="1" t="str">
        <f t="shared" si="34"/>
        <v/>
      </c>
    </row>
    <row r="288" spans="1:27" x14ac:dyDescent="0.2">
      <c r="A288" t="str">
        <f>IF(COUNTBLANK(B288:AB288)&lt;&gt;COLUMNS(B288:AB288),287,"")</f>
        <v/>
      </c>
      <c r="D288" s="1" t="str">
        <f t="shared" si="28"/>
        <v/>
      </c>
      <c r="G288" s="2" t="str">
        <f t="shared" si="29"/>
        <v/>
      </c>
      <c r="H288" s="1" t="str">
        <f t="shared" si="30"/>
        <v/>
      </c>
      <c r="S288" s="1" t="str">
        <f t="shared" si="31"/>
        <v/>
      </c>
      <c r="U288" s="1" t="str">
        <f t="shared" si="32"/>
        <v/>
      </c>
      <c r="X288" s="1" t="str">
        <f t="shared" si="33"/>
        <v/>
      </c>
      <c r="AA288" s="1" t="str">
        <f t="shared" si="34"/>
        <v/>
      </c>
    </row>
    <row r="289" spans="1:27" x14ac:dyDescent="0.2">
      <c r="A289" t="str">
        <f>IF(COUNTBLANK(B289:AB289)&lt;&gt;COLUMNS(B289:AB289),288,"")</f>
        <v/>
      </c>
      <c r="D289" s="1" t="str">
        <f t="shared" si="28"/>
        <v/>
      </c>
      <c r="G289" s="2" t="str">
        <f t="shared" si="29"/>
        <v/>
      </c>
      <c r="H289" s="1" t="str">
        <f t="shared" si="30"/>
        <v/>
      </c>
      <c r="S289" s="1" t="str">
        <f t="shared" si="31"/>
        <v/>
      </c>
      <c r="U289" s="1" t="str">
        <f t="shared" si="32"/>
        <v/>
      </c>
      <c r="X289" s="1" t="str">
        <f t="shared" si="33"/>
        <v/>
      </c>
      <c r="AA289" s="1" t="str">
        <f t="shared" si="34"/>
        <v/>
      </c>
    </row>
    <row r="290" spans="1:27" x14ac:dyDescent="0.2">
      <c r="A290" t="str">
        <f>IF(COUNTBLANK(B290:AB290)&lt;&gt;COLUMNS(B290:AB290),289,"")</f>
        <v/>
      </c>
      <c r="D290" s="1" t="str">
        <f t="shared" si="28"/>
        <v/>
      </c>
      <c r="G290" s="2" t="str">
        <f t="shared" si="29"/>
        <v/>
      </c>
      <c r="H290" s="1" t="str">
        <f t="shared" si="30"/>
        <v/>
      </c>
      <c r="S290" s="1" t="str">
        <f t="shared" si="31"/>
        <v/>
      </c>
      <c r="U290" s="1" t="str">
        <f t="shared" si="32"/>
        <v/>
      </c>
      <c r="X290" s="1" t="str">
        <f t="shared" si="33"/>
        <v/>
      </c>
      <c r="AA290" s="1" t="str">
        <f t="shared" si="34"/>
        <v/>
      </c>
    </row>
    <row r="291" spans="1:27" x14ac:dyDescent="0.2">
      <c r="A291" t="str">
        <f>IF(COUNTBLANK(B291:AB291)&lt;&gt;COLUMNS(B291:AB291),290,"")</f>
        <v/>
      </c>
      <c r="D291" s="1" t="str">
        <f t="shared" si="28"/>
        <v/>
      </c>
      <c r="G291" s="2" t="str">
        <f t="shared" si="29"/>
        <v/>
      </c>
      <c r="H291" s="1" t="str">
        <f t="shared" si="30"/>
        <v/>
      </c>
      <c r="S291" s="1" t="str">
        <f t="shared" si="31"/>
        <v/>
      </c>
      <c r="U291" s="1" t="str">
        <f t="shared" si="32"/>
        <v/>
      </c>
      <c r="X291" s="1" t="str">
        <f t="shared" si="33"/>
        <v/>
      </c>
      <c r="AA291" s="1" t="str">
        <f t="shared" si="34"/>
        <v/>
      </c>
    </row>
    <row r="292" spans="1:27" x14ac:dyDescent="0.2">
      <c r="A292" t="str">
        <f>IF(COUNTBLANK(B292:AB292)&lt;&gt;COLUMNS(B292:AB292),291,"")</f>
        <v/>
      </c>
      <c r="D292" s="1" t="str">
        <f t="shared" si="28"/>
        <v/>
      </c>
      <c r="G292" s="2" t="str">
        <f t="shared" si="29"/>
        <v/>
      </c>
      <c r="H292" s="1" t="str">
        <f t="shared" si="30"/>
        <v/>
      </c>
      <c r="S292" s="1" t="str">
        <f t="shared" si="31"/>
        <v/>
      </c>
      <c r="U292" s="1" t="str">
        <f t="shared" si="32"/>
        <v/>
      </c>
      <c r="X292" s="1" t="str">
        <f t="shared" si="33"/>
        <v/>
      </c>
      <c r="AA292" s="1" t="str">
        <f t="shared" si="34"/>
        <v/>
      </c>
    </row>
    <row r="293" spans="1:27" x14ac:dyDescent="0.2">
      <c r="A293" t="str">
        <f>IF(COUNTBLANK(B293:AB293)&lt;&gt;COLUMNS(B293:AB293),292,"")</f>
        <v/>
      </c>
      <c r="D293" s="1" t="str">
        <f t="shared" si="28"/>
        <v/>
      </c>
      <c r="G293" s="2" t="str">
        <f t="shared" si="29"/>
        <v/>
      </c>
      <c r="H293" s="1" t="str">
        <f t="shared" si="30"/>
        <v/>
      </c>
      <c r="S293" s="1" t="str">
        <f t="shared" si="31"/>
        <v/>
      </c>
      <c r="U293" s="1" t="str">
        <f t="shared" si="32"/>
        <v/>
      </c>
      <c r="X293" s="1" t="str">
        <f t="shared" si="33"/>
        <v/>
      </c>
      <c r="AA293" s="1" t="str">
        <f t="shared" si="34"/>
        <v/>
      </c>
    </row>
    <row r="294" spans="1:27" x14ac:dyDescent="0.2">
      <c r="A294" t="str">
        <f>IF(COUNTBLANK(B294:AB294)&lt;&gt;COLUMNS(B294:AB294),293,"")</f>
        <v/>
      </c>
      <c r="D294" s="1" t="str">
        <f t="shared" si="28"/>
        <v/>
      </c>
      <c r="G294" s="2" t="str">
        <f t="shared" si="29"/>
        <v/>
      </c>
      <c r="H294" s="1" t="str">
        <f t="shared" si="30"/>
        <v/>
      </c>
      <c r="S294" s="1" t="str">
        <f t="shared" si="31"/>
        <v/>
      </c>
      <c r="U294" s="1" t="str">
        <f t="shared" si="32"/>
        <v/>
      </c>
      <c r="X294" s="1" t="str">
        <f t="shared" si="33"/>
        <v/>
      </c>
      <c r="AA294" s="1" t="str">
        <f t="shared" si="34"/>
        <v/>
      </c>
    </row>
    <row r="295" spans="1:27" x14ac:dyDescent="0.2">
      <c r="A295" t="str">
        <f>IF(COUNTBLANK(B295:AB295)&lt;&gt;COLUMNS(B295:AB295),294,"")</f>
        <v/>
      </c>
      <c r="D295" s="1" t="str">
        <f t="shared" si="28"/>
        <v/>
      </c>
      <c r="G295" s="2" t="str">
        <f t="shared" si="29"/>
        <v/>
      </c>
      <c r="H295" s="1" t="str">
        <f t="shared" si="30"/>
        <v/>
      </c>
      <c r="S295" s="1" t="str">
        <f t="shared" si="31"/>
        <v/>
      </c>
      <c r="U295" s="1" t="str">
        <f t="shared" si="32"/>
        <v/>
      </c>
      <c r="X295" s="1" t="str">
        <f t="shared" si="33"/>
        <v/>
      </c>
      <c r="AA295" s="1" t="str">
        <f t="shared" si="34"/>
        <v/>
      </c>
    </row>
    <row r="296" spans="1:27" x14ac:dyDescent="0.2">
      <c r="A296" t="str">
        <f>IF(COUNTBLANK(B296:AB296)&lt;&gt;COLUMNS(B296:AB296),295,"")</f>
        <v/>
      </c>
      <c r="D296" s="1" t="str">
        <f t="shared" si="28"/>
        <v/>
      </c>
      <c r="G296" s="2" t="str">
        <f t="shared" si="29"/>
        <v/>
      </c>
      <c r="H296" s="1" t="str">
        <f t="shared" si="30"/>
        <v/>
      </c>
      <c r="S296" s="1" t="str">
        <f t="shared" si="31"/>
        <v/>
      </c>
      <c r="U296" s="1" t="str">
        <f t="shared" si="32"/>
        <v/>
      </c>
      <c r="X296" s="1" t="str">
        <f t="shared" si="33"/>
        <v/>
      </c>
      <c r="AA296" s="1" t="str">
        <f t="shared" si="34"/>
        <v/>
      </c>
    </row>
    <row r="297" spans="1:27" x14ac:dyDescent="0.2">
      <c r="A297" t="str">
        <f>IF(COUNTBLANK(B297:AB297)&lt;&gt;COLUMNS(B297:AB297),296,"")</f>
        <v/>
      </c>
      <c r="D297" s="1" t="str">
        <f t="shared" si="28"/>
        <v/>
      </c>
      <c r="G297" s="2" t="str">
        <f t="shared" si="29"/>
        <v/>
      </c>
      <c r="H297" s="1" t="str">
        <f t="shared" si="30"/>
        <v/>
      </c>
      <c r="S297" s="1" t="str">
        <f t="shared" si="31"/>
        <v/>
      </c>
      <c r="U297" s="1" t="str">
        <f t="shared" si="32"/>
        <v/>
      </c>
      <c r="X297" s="1" t="str">
        <f t="shared" si="33"/>
        <v/>
      </c>
      <c r="AA297" s="1" t="str">
        <f t="shared" si="34"/>
        <v/>
      </c>
    </row>
    <row r="298" spans="1:27" x14ac:dyDescent="0.2">
      <c r="A298" t="str">
        <f>IF(COUNTBLANK(B298:AB298)&lt;&gt;COLUMNS(B298:AB298),297,"")</f>
        <v/>
      </c>
      <c r="D298" s="1" t="str">
        <f t="shared" si="28"/>
        <v/>
      </c>
      <c r="G298" s="2" t="str">
        <f t="shared" si="29"/>
        <v/>
      </c>
      <c r="H298" s="1" t="str">
        <f t="shared" si="30"/>
        <v/>
      </c>
      <c r="S298" s="1" t="str">
        <f t="shared" si="31"/>
        <v/>
      </c>
      <c r="U298" s="1" t="str">
        <f t="shared" si="32"/>
        <v/>
      </c>
      <c r="X298" s="1" t="str">
        <f t="shared" si="33"/>
        <v/>
      </c>
      <c r="AA298" s="1" t="str">
        <f t="shared" si="34"/>
        <v/>
      </c>
    </row>
    <row r="299" spans="1:27" x14ac:dyDescent="0.2">
      <c r="A299" t="str">
        <f>IF(COUNTBLANK(B299:AB299)&lt;&gt;COLUMNS(B299:AB299),298,"")</f>
        <v/>
      </c>
      <c r="D299" s="1" t="str">
        <f t="shared" si="28"/>
        <v/>
      </c>
      <c r="G299" s="2" t="str">
        <f t="shared" si="29"/>
        <v/>
      </c>
      <c r="H299" s="1" t="str">
        <f t="shared" si="30"/>
        <v/>
      </c>
      <c r="S299" s="1" t="str">
        <f t="shared" si="31"/>
        <v/>
      </c>
      <c r="U299" s="1" t="str">
        <f t="shared" si="32"/>
        <v/>
      </c>
      <c r="X299" s="1" t="str">
        <f t="shared" si="33"/>
        <v/>
      </c>
      <c r="AA299" s="1" t="str">
        <f t="shared" si="34"/>
        <v/>
      </c>
    </row>
    <row r="300" spans="1:27" x14ac:dyDescent="0.2">
      <c r="A300" t="str">
        <f>IF(COUNTBLANK(B300:AB300)&lt;&gt;COLUMNS(B300:AB300),299,"")</f>
        <v/>
      </c>
      <c r="D300" s="1" t="str">
        <f t="shared" si="28"/>
        <v/>
      </c>
      <c r="G300" s="2" t="str">
        <f t="shared" si="29"/>
        <v/>
      </c>
      <c r="H300" s="1" t="str">
        <f t="shared" si="30"/>
        <v/>
      </c>
      <c r="S300" s="1" t="str">
        <f t="shared" si="31"/>
        <v/>
      </c>
      <c r="U300" s="1" t="str">
        <f t="shared" si="32"/>
        <v/>
      </c>
      <c r="X300" s="1" t="str">
        <f t="shared" si="33"/>
        <v/>
      </c>
      <c r="AA300" s="1" t="str">
        <f t="shared" si="34"/>
        <v/>
      </c>
    </row>
    <row r="301" spans="1:27" x14ac:dyDescent="0.2">
      <c r="A301" t="str">
        <f>IF(COUNTBLANK(B301:AB301)&lt;&gt;COLUMNS(B301:AB301),300,"")</f>
        <v/>
      </c>
      <c r="D301" s="1" t="str">
        <f t="shared" si="28"/>
        <v/>
      </c>
      <c r="G301" s="2" t="str">
        <f t="shared" si="29"/>
        <v/>
      </c>
      <c r="H301" s="1" t="str">
        <f t="shared" si="30"/>
        <v/>
      </c>
      <c r="S301" s="1" t="str">
        <f t="shared" si="31"/>
        <v/>
      </c>
      <c r="U301" s="1" t="str">
        <f t="shared" si="32"/>
        <v/>
      </c>
      <c r="X301" s="1" t="str">
        <f t="shared" si="33"/>
        <v/>
      </c>
      <c r="AA301" s="1" t="str">
        <f t="shared" si="34"/>
        <v/>
      </c>
    </row>
    <row r="302" spans="1:27" x14ac:dyDescent="0.2">
      <c r="A302" t="str">
        <f>IF(COUNTBLANK(B302:AB302)&lt;&gt;COLUMNS(B302:AB302),301,"")</f>
        <v/>
      </c>
      <c r="D302" s="1" t="str">
        <f t="shared" si="28"/>
        <v/>
      </c>
      <c r="G302" s="2" t="str">
        <f t="shared" si="29"/>
        <v/>
      </c>
      <c r="H302" s="1" t="str">
        <f t="shared" si="30"/>
        <v/>
      </c>
      <c r="S302" s="1" t="str">
        <f t="shared" si="31"/>
        <v/>
      </c>
      <c r="U302" s="1" t="str">
        <f t="shared" si="32"/>
        <v/>
      </c>
      <c r="X302" s="1" t="str">
        <f t="shared" si="33"/>
        <v/>
      </c>
      <c r="AA302" s="1" t="str">
        <f t="shared" si="34"/>
        <v/>
      </c>
    </row>
    <row r="303" spans="1:27" x14ac:dyDescent="0.2">
      <c r="A303" t="str">
        <f>IF(COUNTBLANK(B303:AB303)&lt;&gt;COLUMNS(B303:AB303),302,"")</f>
        <v/>
      </c>
      <c r="D303" s="1" t="str">
        <f t="shared" si="28"/>
        <v/>
      </c>
      <c r="G303" s="2" t="str">
        <f t="shared" si="29"/>
        <v/>
      </c>
      <c r="H303" s="1" t="str">
        <f t="shared" si="30"/>
        <v/>
      </c>
      <c r="S303" s="1" t="str">
        <f t="shared" si="31"/>
        <v/>
      </c>
      <c r="U303" s="1" t="str">
        <f t="shared" si="32"/>
        <v/>
      </c>
      <c r="X303" s="1" t="str">
        <f t="shared" si="33"/>
        <v/>
      </c>
      <c r="AA303" s="1" t="str">
        <f t="shared" si="34"/>
        <v/>
      </c>
    </row>
    <row r="304" spans="1:27" x14ac:dyDescent="0.2">
      <c r="A304" t="str">
        <f>IF(COUNTBLANK(B304:AB304)&lt;&gt;COLUMNS(B304:AB304),303,"")</f>
        <v/>
      </c>
      <c r="D304" s="1" t="str">
        <f t="shared" si="28"/>
        <v/>
      </c>
      <c r="G304" s="2" t="str">
        <f t="shared" si="29"/>
        <v/>
      </c>
      <c r="H304" s="1" t="str">
        <f t="shared" si="30"/>
        <v/>
      </c>
      <c r="S304" s="1" t="str">
        <f t="shared" si="31"/>
        <v/>
      </c>
      <c r="U304" s="1" t="str">
        <f t="shared" si="32"/>
        <v/>
      </c>
      <c r="X304" s="1" t="str">
        <f t="shared" si="33"/>
        <v/>
      </c>
      <c r="AA304" s="1" t="str">
        <f t="shared" si="34"/>
        <v/>
      </c>
    </row>
    <row r="305" spans="1:27" x14ac:dyDescent="0.2">
      <c r="A305" t="str">
        <f>IF(COUNTBLANK(B305:AB305)&lt;&gt;COLUMNS(B305:AB305),304,"")</f>
        <v/>
      </c>
      <c r="D305" s="1" t="str">
        <f t="shared" si="28"/>
        <v/>
      </c>
      <c r="G305" s="2" t="str">
        <f t="shared" si="29"/>
        <v/>
      </c>
      <c r="H305" s="1" t="str">
        <f t="shared" si="30"/>
        <v/>
      </c>
      <c r="S305" s="1" t="str">
        <f t="shared" si="31"/>
        <v/>
      </c>
      <c r="U305" s="1" t="str">
        <f t="shared" si="32"/>
        <v/>
      </c>
      <c r="X305" s="1" t="str">
        <f t="shared" si="33"/>
        <v/>
      </c>
      <c r="AA305" s="1" t="str">
        <f t="shared" si="34"/>
        <v/>
      </c>
    </row>
    <row r="306" spans="1:27" x14ac:dyDescent="0.2">
      <c r="A306" t="str">
        <f>IF(COUNTBLANK(B306:AB306)&lt;&gt;COLUMNS(B306:AB306),305,"")</f>
        <v/>
      </c>
      <c r="D306" s="1" t="str">
        <f t="shared" si="28"/>
        <v/>
      </c>
      <c r="G306" s="2" t="str">
        <f t="shared" si="29"/>
        <v/>
      </c>
      <c r="H306" s="1" t="str">
        <f t="shared" si="30"/>
        <v/>
      </c>
      <c r="S306" s="1" t="str">
        <f t="shared" si="31"/>
        <v/>
      </c>
      <c r="U306" s="1" t="str">
        <f t="shared" si="32"/>
        <v/>
      </c>
      <c r="X306" s="1" t="str">
        <f t="shared" si="33"/>
        <v/>
      </c>
      <c r="AA306" s="1" t="str">
        <f t="shared" si="34"/>
        <v/>
      </c>
    </row>
    <row r="307" spans="1:27" x14ac:dyDescent="0.2">
      <c r="A307" t="str">
        <f>IF(COUNTBLANK(B307:AB307)&lt;&gt;COLUMNS(B307:AB307),306,"")</f>
        <v/>
      </c>
      <c r="D307" s="1" t="str">
        <f t="shared" si="28"/>
        <v/>
      </c>
      <c r="G307" s="2" t="str">
        <f t="shared" si="29"/>
        <v/>
      </c>
      <c r="H307" s="1" t="str">
        <f t="shared" si="30"/>
        <v/>
      </c>
      <c r="S307" s="1" t="str">
        <f t="shared" si="31"/>
        <v/>
      </c>
      <c r="U307" s="1" t="str">
        <f t="shared" si="32"/>
        <v/>
      </c>
      <c r="X307" s="1" t="str">
        <f t="shared" si="33"/>
        <v/>
      </c>
      <c r="AA307" s="1" t="str">
        <f t="shared" si="34"/>
        <v/>
      </c>
    </row>
    <row r="308" spans="1:27" x14ac:dyDescent="0.2">
      <c r="A308" t="str">
        <f>IF(COUNTBLANK(B308:AB308)&lt;&gt;COLUMNS(B308:AB308),307,"")</f>
        <v/>
      </c>
      <c r="D308" s="1" t="str">
        <f t="shared" si="28"/>
        <v/>
      </c>
      <c r="G308" s="2" t="str">
        <f t="shared" si="29"/>
        <v/>
      </c>
      <c r="H308" s="1" t="str">
        <f t="shared" si="30"/>
        <v/>
      </c>
      <c r="S308" s="1" t="str">
        <f t="shared" si="31"/>
        <v/>
      </c>
      <c r="U308" s="1" t="str">
        <f t="shared" si="32"/>
        <v/>
      </c>
      <c r="X308" s="1" t="str">
        <f t="shared" si="33"/>
        <v/>
      </c>
      <c r="AA308" s="1" t="str">
        <f t="shared" si="34"/>
        <v/>
      </c>
    </row>
    <row r="309" spans="1:27" x14ac:dyDescent="0.2">
      <c r="A309" t="str">
        <f>IF(COUNTBLANK(B309:AB309)&lt;&gt;COLUMNS(B309:AB309),308,"")</f>
        <v/>
      </c>
      <c r="D309" s="1" t="str">
        <f t="shared" si="28"/>
        <v/>
      </c>
      <c r="G309" s="2" t="str">
        <f t="shared" si="29"/>
        <v/>
      </c>
      <c r="H309" s="1" t="str">
        <f t="shared" si="30"/>
        <v/>
      </c>
      <c r="S309" s="1" t="str">
        <f t="shared" si="31"/>
        <v/>
      </c>
      <c r="U309" s="1" t="str">
        <f t="shared" si="32"/>
        <v/>
      </c>
      <c r="X309" s="1" t="str">
        <f t="shared" si="33"/>
        <v/>
      </c>
      <c r="AA309" s="1" t="str">
        <f t="shared" si="34"/>
        <v/>
      </c>
    </row>
    <row r="310" spans="1:27" x14ac:dyDescent="0.2">
      <c r="A310" t="str">
        <f>IF(COUNTBLANK(B310:AB310)&lt;&gt;COLUMNS(B310:AB310),309,"")</f>
        <v/>
      </c>
      <c r="D310" s="1" t="str">
        <f t="shared" si="28"/>
        <v/>
      </c>
      <c r="G310" s="2" t="str">
        <f t="shared" si="29"/>
        <v/>
      </c>
      <c r="H310" s="1" t="str">
        <f t="shared" si="30"/>
        <v/>
      </c>
      <c r="S310" s="1" t="str">
        <f t="shared" si="31"/>
        <v/>
      </c>
      <c r="U310" s="1" t="str">
        <f t="shared" si="32"/>
        <v/>
      </c>
      <c r="X310" s="1" t="str">
        <f t="shared" si="33"/>
        <v/>
      </c>
      <c r="AA310" s="1" t="str">
        <f t="shared" si="34"/>
        <v/>
      </c>
    </row>
    <row r="311" spans="1:27" x14ac:dyDescent="0.2">
      <c r="A311" t="str">
        <f>IF(COUNTBLANK(B311:AB311)&lt;&gt;COLUMNS(B311:AB311),310,"")</f>
        <v/>
      </c>
      <c r="D311" s="1" t="str">
        <f t="shared" si="28"/>
        <v/>
      </c>
      <c r="G311" s="2" t="str">
        <f t="shared" si="29"/>
        <v/>
      </c>
      <c r="H311" s="1" t="str">
        <f t="shared" si="30"/>
        <v/>
      </c>
      <c r="S311" s="1" t="str">
        <f t="shared" si="31"/>
        <v/>
      </c>
      <c r="U311" s="1" t="str">
        <f t="shared" si="32"/>
        <v/>
      </c>
      <c r="X311" s="1" t="str">
        <f t="shared" si="33"/>
        <v/>
      </c>
      <c r="AA311" s="1" t="str">
        <f t="shared" si="34"/>
        <v/>
      </c>
    </row>
    <row r="312" spans="1:27" x14ac:dyDescent="0.2">
      <c r="A312" t="str">
        <f>IF(COUNTBLANK(B312:AB312)&lt;&gt;COLUMNS(B312:AB312),311,"")</f>
        <v/>
      </c>
      <c r="D312" s="1" t="str">
        <f t="shared" si="28"/>
        <v/>
      </c>
      <c r="G312" s="2" t="str">
        <f t="shared" si="29"/>
        <v/>
      </c>
      <c r="H312" s="1" t="str">
        <f t="shared" si="30"/>
        <v/>
      </c>
      <c r="S312" s="1" t="str">
        <f t="shared" si="31"/>
        <v/>
      </c>
      <c r="U312" s="1" t="str">
        <f t="shared" si="32"/>
        <v/>
      </c>
      <c r="X312" s="1" t="str">
        <f t="shared" si="33"/>
        <v/>
      </c>
      <c r="AA312" s="1" t="str">
        <f t="shared" si="34"/>
        <v/>
      </c>
    </row>
    <row r="313" spans="1:27" x14ac:dyDescent="0.2">
      <c r="A313" t="str">
        <f>IF(COUNTBLANK(B313:AB313)&lt;&gt;COLUMNS(B313:AB313),312,"")</f>
        <v/>
      </c>
      <c r="D313" s="1" t="str">
        <f t="shared" si="28"/>
        <v/>
      </c>
      <c r="G313" s="2" t="str">
        <f t="shared" si="29"/>
        <v/>
      </c>
      <c r="H313" s="1" t="str">
        <f t="shared" si="30"/>
        <v/>
      </c>
      <c r="S313" s="1" t="str">
        <f t="shared" si="31"/>
        <v/>
      </c>
      <c r="U313" s="1" t="str">
        <f t="shared" si="32"/>
        <v/>
      </c>
      <c r="X313" s="1" t="str">
        <f t="shared" si="33"/>
        <v/>
      </c>
      <c r="AA313" s="1" t="str">
        <f t="shared" si="34"/>
        <v/>
      </c>
    </row>
    <row r="314" spans="1:27" x14ac:dyDescent="0.2">
      <c r="A314" t="str">
        <f>IF(COUNTBLANK(B314:AB314)&lt;&gt;COLUMNS(B314:AB314),313,"")</f>
        <v/>
      </c>
      <c r="D314" s="1" t="str">
        <f t="shared" si="28"/>
        <v/>
      </c>
      <c r="G314" s="2" t="str">
        <f t="shared" si="29"/>
        <v/>
      </c>
      <c r="H314" s="1" t="str">
        <f t="shared" si="30"/>
        <v/>
      </c>
      <c r="S314" s="1" t="str">
        <f t="shared" si="31"/>
        <v/>
      </c>
      <c r="U314" s="1" t="str">
        <f t="shared" si="32"/>
        <v/>
      </c>
      <c r="X314" s="1" t="str">
        <f t="shared" si="33"/>
        <v/>
      </c>
      <c r="AA314" s="1" t="str">
        <f t="shared" si="34"/>
        <v/>
      </c>
    </row>
    <row r="315" spans="1:27" x14ac:dyDescent="0.2">
      <c r="A315" t="str">
        <f>IF(COUNTBLANK(B315:AB315)&lt;&gt;COLUMNS(B315:AB315),314,"")</f>
        <v/>
      </c>
      <c r="D315" s="1" t="str">
        <f t="shared" si="28"/>
        <v/>
      </c>
      <c r="G315" s="2" t="str">
        <f t="shared" si="29"/>
        <v/>
      </c>
      <c r="H315" s="1" t="str">
        <f t="shared" si="30"/>
        <v/>
      </c>
      <c r="S315" s="1" t="str">
        <f t="shared" si="31"/>
        <v/>
      </c>
      <c r="U315" s="1" t="str">
        <f t="shared" si="32"/>
        <v/>
      </c>
      <c r="X315" s="1" t="str">
        <f t="shared" si="33"/>
        <v/>
      </c>
      <c r="AA315" s="1" t="str">
        <f t="shared" si="34"/>
        <v/>
      </c>
    </row>
    <row r="316" spans="1:27" x14ac:dyDescent="0.2">
      <c r="A316" t="str">
        <f>IF(COUNTBLANK(B316:AB316)&lt;&gt;COLUMNS(B316:AB316),315,"")</f>
        <v/>
      </c>
      <c r="D316" s="1" t="str">
        <f t="shared" si="28"/>
        <v/>
      </c>
      <c r="G316" s="2" t="str">
        <f t="shared" si="29"/>
        <v/>
      </c>
      <c r="H316" s="1" t="str">
        <f t="shared" si="30"/>
        <v/>
      </c>
      <c r="S316" s="1" t="str">
        <f t="shared" si="31"/>
        <v/>
      </c>
      <c r="U316" s="1" t="str">
        <f t="shared" si="32"/>
        <v/>
      </c>
      <c r="X316" s="1" t="str">
        <f t="shared" si="33"/>
        <v/>
      </c>
      <c r="AA316" s="1" t="str">
        <f t="shared" si="34"/>
        <v/>
      </c>
    </row>
    <row r="317" spans="1:27" x14ac:dyDescent="0.2">
      <c r="A317" t="str">
        <f>IF(COUNTBLANK(B317:AB317)&lt;&gt;COLUMNS(B317:AB317),316,"")</f>
        <v/>
      </c>
      <c r="D317" s="1" t="str">
        <f t="shared" si="28"/>
        <v/>
      </c>
      <c r="G317" s="2" t="str">
        <f t="shared" si="29"/>
        <v/>
      </c>
      <c r="H317" s="1" t="str">
        <f t="shared" si="30"/>
        <v/>
      </c>
      <c r="S317" s="1" t="str">
        <f t="shared" si="31"/>
        <v/>
      </c>
      <c r="U317" s="1" t="str">
        <f t="shared" si="32"/>
        <v/>
      </c>
      <c r="X317" s="1" t="str">
        <f t="shared" si="33"/>
        <v/>
      </c>
      <c r="AA317" s="1" t="str">
        <f t="shared" si="34"/>
        <v/>
      </c>
    </row>
    <row r="318" spans="1:27" x14ac:dyDescent="0.2">
      <c r="A318" t="str">
        <f>IF(COUNTBLANK(B318:AB318)&lt;&gt;COLUMNS(B318:AB318),317,"")</f>
        <v/>
      </c>
      <c r="D318" s="1" t="str">
        <f t="shared" si="28"/>
        <v/>
      </c>
      <c r="G318" s="2" t="str">
        <f t="shared" si="29"/>
        <v/>
      </c>
      <c r="H318" s="1" t="str">
        <f t="shared" si="30"/>
        <v/>
      </c>
      <c r="S318" s="1" t="str">
        <f t="shared" si="31"/>
        <v/>
      </c>
      <c r="U318" s="1" t="str">
        <f t="shared" si="32"/>
        <v/>
      </c>
      <c r="X318" s="1" t="str">
        <f t="shared" si="33"/>
        <v/>
      </c>
      <c r="AA318" s="1" t="str">
        <f t="shared" si="34"/>
        <v/>
      </c>
    </row>
    <row r="319" spans="1:27" x14ac:dyDescent="0.2">
      <c r="A319" t="str">
        <f>IF(COUNTBLANK(B319:AB319)&lt;&gt;COLUMNS(B319:AB319),318,"")</f>
        <v/>
      </c>
      <c r="D319" s="1" t="str">
        <f t="shared" si="28"/>
        <v/>
      </c>
      <c r="G319" s="2" t="str">
        <f t="shared" si="29"/>
        <v/>
      </c>
      <c r="H319" s="1" t="str">
        <f t="shared" si="30"/>
        <v/>
      </c>
      <c r="S319" s="1" t="str">
        <f t="shared" si="31"/>
        <v/>
      </c>
      <c r="U319" s="1" t="str">
        <f t="shared" si="32"/>
        <v/>
      </c>
      <c r="X319" s="1" t="str">
        <f t="shared" si="33"/>
        <v/>
      </c>
      <c r="AA319" s="1" t="str">
        <f t="shared" si="34"/>
        <v/>
      </c>
    </row>
    <row r="320" spans="1:27" x14ac:dyDescent="0.2">
      <c r="A320" t="str">
        <f>IF(COUNTBLANK(B320:AB320)&lt;&gt;COLUMNS(B320:AB320),319,"")</f>
        <v/>
      </c>
      <c r="D320" s="1" t="str">
        <f t="shared" si="28"/>
        <v/>
      </c>
      <c r="G320" s="2" t="str">
        <f t="shared" si="29"/>
        <v/>
      </c>
      <c r="H320" s="1" t="str">
        <f t="shared" si="30"/>
        <v/>
      </c>
      <c r="S320" s="1" t="str">
        <f t="shared" si="31"/>
        <v/>
      </c>
      <c r="U320" s="1" t="str">
        <f t="shared" si="32"/>
        <v/>
      </c>
      <c r="X320" s="1" t="str">
        <f t="shared" si="33"/>
        <v/>
      </c>
      <c r="AA320" s="1" t="str">
        <f t="shared" si="34"/>
        <v/>
      </c>
    </row>
    <row r="321" spans="1:27" x14ac:dyDescent="0.2">
      <c r="A321" t="str">
        <f>IF(COUNTBLANK(B321:AB321)&lt;&gt;COLUMNS(B321:AB321),320,"")</f>
        <v/>
      </c>
      <c r="D321" s="1" t="str">
        <f t="shared" si="28"/>
        <v/>
      </c>
      <c r="G321" s="2" t="str">
        <f t="shared" si="29"/>
        <v/>
      </c>
      <c r="H321" s="1" t="str">
        <f t="shared" si="30"/>
        <v/>
      </c>
      <c r="S321" s="1" t="str">
        <f t="shared" si="31"/>
        <v/>
      </c>
      <c r="U321" s="1" t="str">
        <f t="shared" si="32"/>
        <v/>
      </c>
      <c r="X321" s="1" t="str">
        <f t="shared" si="33"/>
        <v/>
      </c>
      <c r="AA321" s="1" t="str">
        <f t="shared" si="34"/>
        <v/>
      </c>
    </row>
    <row r="322" spans="1:27" x14ac:dyDescent="0.2">
      <c r="A322" t="str">
        <f>IF(COUNTBLANK(B322:AB322)&lt;&gt;COLUMNS(B322:AB322),321,"")</f>
        <v/>
      </c>
      <c r="D322" s="1" t="str">
        <f t="shared" ref="D322:D385" si="35">IF(B322="", "", "Not applicable")</f>
        <v/>
      </c>
      <c r="G322" s="2" t="str">
        <f t="shared" ref="G322:G385" si="36">IF(B322="", "", "missing: not provided")</f>
        <v/>
      </c>
      <c r="H322" s="1" t="str">
        <f t="shared" ref="H322:H385" si="37">IF(B322="", "", "meters")</f>
        <v/>
      </c>
      <c r="S322" s="1" t="str">
        <f t="shared" ref="S322:S385" si="38">IF(B322="", "", "Decimal degrees")</f>
        <v/>
      </c>
      <c r="U322" s="1" t="str">
        <f t="shared" ref="U322:U385" si="39">IF(B322="", "", "Decimal degrees")</f>
        <v/>
      </c>
      <c r="X322" s="1" t="str">
        <f t="shared" ref="X322:X385" si="40">IF(B322="", "", "other")</f>
        <v/>
      </c>
      <c r="AA322" s="1" t="str">
        <f t="shared" ref="AA322:AA385" si="41">IF(B322="", "", "Not applicable")</f>
        <v/>
      </c>
    </row>
    <row r="323" spans="1:27" x14ac:dyDescent="0.2">
      <c r="A323" t="str">
        <f>IF(COUNTBLANK(B323:AB323)&lt;&gt;COLUMNS(B323:AB323),322,"")</f>
        <v/>
      </c>
      <c r="D323" s="1" t="str">
        <f t="shared" si="35"/>
        <v/>
      </c>
      <c r="G323" s="2" t="str">
        <f t="shared" si="36"/>
        <v/>
      </c>
      <c r="H323" s="1" t="str">
        <f t="shared" si="37"/>
        <v/>
      </c>
      <c r="S323" s="1" t="str">
        <f t="shared" si="38"/>
        <v/>
      </c>
      <c r="U323" s="1" t="str">
        <f t="shared" si="39"/>
        <v/>
      </c>
      <c r="X323" s="1" t="str">
        <f t="shared" si="40"/>
        <v/>
      </c>
      <c r="AA323" s="1" t="str">
        <f t="shared" si="41"/>
        <v/>
      </c>
    </row>
    <row r="324" spans="1:27" x14ac:dyDescent="0.2">
      <c r="A324" t="str">
        <f>IF(COUNTBLANK(B324:AB324)&lt;&gt;COLUMNS(B324:AB324),323,"")</f>
        <v/>
      </c>
      <c r="D324" s="1" t="str">
        <f t="shared" si="35"/>
        <v/>
      </c>
      <c r="G324" s="2" t="str">
        <f t="shared" si="36"/>
        <v/>
      </c>
      <c r="H324" s="1" t="str">
        <f t="shared" si="37"/>
        <v/>
      </c>
      <c r="S324" s="1" t="str">
        <f t="shared" si="38"/>
        <v/>
      </c>
      <c r="U324" s="1" t="str">
        <f t="shared" si="39"/>
        <v/>
      </c>
      <c r="X324" s="1" t="str">
        <f t="shared" si="40"/>
        <v/>
      </c>
      <c r="AA324" s="1" t="str">
        <f t="shared" si="41"/>
        <v/>
      </c>
    </row>
    <row r="325" spans="1:27" x14ac:dyDescent="0.2">
      <c r="A325" t="str">
        <f>IF(COUNTBLANK(B325:AB325)&lt;&gt;COLUMNS(B325:AB325),324,"")</f>
        <v/>
      </c>
      <c r="D325" s="1" t="str">
        <f t="shared" si="35"/>
        <v/>
      </c>
      <c r="G325" s="2" t="str">
        <f t="shared" si="36"/>
        <v/>
      </c>
      <c r="H325" s="1" t="str">
        <f t="shared" si="37"/>
        <v/>
      </c>
      <c r="S325" s="1" t="str">
        <f t="shared" si="38"/>
        <v/>
      </c>
      <c r="U325" s="1" t="str">
        <f t="shared" si="39"/>
        <v/>
      </c>
      <c r="X325" s="1" t="str">
        <f t="shared" si="40"/>
        <v/>
      </c>
      <c r="AA325" s="1" t="str">
        <f t="shared" si="41"/>
        <v/>
      </c>
    </row>
    <row r="326" spans="1:27" x14ac:dyDescent="0.2">
      <c r="A326" t="str">
        <f>IF(COUNTBLANK(B326:AB326)&lt;&gt;COLUMNS(B326:AB326),325,"")</f>
        <v/>
      </c>
      <c r="D326" s="1" t="str">
        <f t="shared" si="35"/>
        <v/>
      </c>
      <c r="G326" s="2" t="str">
        <f t="shared" si="36"/>
        <v/>
      </c>
      <c r="H326" s="1" t="str">
        <f t="shared" si="37"/>
        <v/>
      </c>
      <c r="S326" s="1" t="str">
        <f t="shared" si="38"/>
        <v/>
      </c>
      <c r="U326" s="1" t="str">
        <f t="shared" si="39"/>
        <v/>
      </c>
      <c r="X326" s="1" t="str">
        <f t="shared" si="40"/>
        <v/>
      </c>
      <c r="AA326" s="1" t="str">
        <f t="shared" si="41"/>
        <v/>
      </c>
    </row>
    <row r="327" spans="1:27" x14ac:dyDescent="0.2">
      <c r="A327" t="str">
        <f>IF(COUNTBLANK(B327:AB327)&lt;&gt;COLUMNS(B327:AB327),326,"")</f>
        <v/>
      </c>
      <c r="D327" s="1" t="str">
        <f t="shared" si="35"/>
        <v/>
      </c>
      <c r="G327" s="2" t="str">
        <f t="shared" si="36"/>
        <v/>
      </c>
      <c r="H327" s="1" t="str">
        <f t="shared" si="37"/>
        <v/>
      </c>
      <c r="S327" s="1" t="str">
        <f t="shared" si="38"/>
        <v/>
      </c>
      <c r="U327" s="1" t="str">
        <f t="shared" si="39"/>
        <v/>
      </c>
      <c r="X327" s="1" t="str">
        <f t="shared" si="40"/>
        <v/>
      </c>
      <c r="AA327" s="1" t="str">
        <f t="shared" si="41"/>
        <v/>
      </c>
    </row>
    <row r="328" spans="1:27" x14ac:dyDescent="0.2">
      <c r="A328" t="str">
        <f>IF(COUNTBLANK(B328:AB328)&lt;&gt;COLUMNS(B328:AB328),327,"")</f>
        <v/>
      </c>
      <c r="D328" s="1" t="str">
        <f t="shared" si="35"/>
        <v/>
      </c>
      <c r="G328" s="2" t="str">
        <f t="shared" si="36"/>
        <v/>
      </c>
      <c r="H328" s="1" t="str">
        <f t="shared" si="37"/>
        <v/>
      </c>
      <c r="S328" s="1" t="str">
        <f t="shared" si="38"/>
        <v/>
      </c>
      <c r="U328" s="1" t="str">
        <f t="shared" si="39"/>
        <v/>
      </c>
      <c r="X328" s="1" t="str">
        <f t="shared" si="40"/>
        <v/>
      </c>
      <c r="AA328" s="1" t="str">
        <f t="shared" si="41"/>
        <v/>
      </c>
    </row>
    <row r="329" spans="1:27" x14ac:dyDescent="0.2">
      <c r="A329" t="str">
        <f>IF(COUNTBLANK(B329:AB329)&lt;&gt;COLUMNS(B329:AB329),328,"")</f>
        <v/>
      </c>
      <c r="D329" s="1" t="str">
        <f t="shared" si="35"/>
        <v/>
      </c>
      <c r="G329" s="2" t="str">
        <f t="shared" si="36"/>
        <v/>
      </c>
      <c r="H329" s="1" t="str">
        <f t="shared" si="37"/>
        <v/>
      </c>
      <c r="S329" s="1" t="str">
        <f t="shared" si="38"/>
        <v/>
      </c>
      <c r="U329" s="1" t="str">
        <f t="shared" si="39"/>
        <v/>
      </c>
      <c r="X329" s="1" t="str">
        <f t="shared" si="40"/>
        <v/>
      </c>
      <c r="AA329" s="1" t="str">
        <f t="shared" si="41"/>
        <v/>
      </c>
    </row>
    <row r="330" spans="1:27" x14ac:dyDescent="0.2">
      <c r="A330" t="str">
        <f>IF(COUNTBLANK(B330:AB330)&lt;&gt;COLUMNS(B330:AB330),329,"")</f>
        <v/>
      </c>
      <c r="D330" s="1" t="str">
        <f t="shared" si="35"/>
        <v/>
      </c>
      <c r="G330" s="2" t="str">
        <f t="shared" si="36"/>
        <v/>
      </c>
      <c r="H330" s="1" t="str">
        <f t="shared" si="37"/>
        <v/>
      </c>
      <c r="S330" s="1" t="str">
        <f t="shared" si="38"/>
        <v/>
      </c>
      <c r="U330" s="1" t="str">
        <f t="shared" si="39"/>
        <v/>
      </c>
      <c r="X330" s="1" t="str">
        <f t="shared" si="40"/>
        <v/>
      </c>
      <c r="AA330" s="1" t="str">
        <f t="shared" si="41"/>
        <v/>
      </c>
    </row>
    <row r="331" spans="1:27" x14ac:dyDescent="0.2">
      <c r="A331" t="str">
        <f>IF(COUNTBLANK(B331:AB331)&lt;&gt;COLUMNS(B331:AB331),330,"")</f>
        <v/>
      </c>
      <c r="D331" s="1" t="str">
        <f t="shared" si="35"/>
        <v/>
      </c>
      <c r="G331" s="2" t="str">
        <f t="shared" si="36"/>
        <v/>
      </c>
      <c r="H331" s="1" t="str">
        <f t="shared" si="37"/>
        <v/>
      </c>
      <c r="S331" s="1" t="str">
        <f t="shared" si="38"/>
        <v/>
      </c>
      <c r="U331" s="1" t="str">
        <f t="shared" si="39"/>
        <v/>
      </c>
      <c r="X331" s="1" t="str">
        <f t="shared" si="40"/>
        <v/>
      </c>
      <c r="AA331" s="1" t="str">
        <f t="shared" si="41"/>
        <v/>
      </c>
    </row>
    <row r="332" spans="1:27" x14ac:dyDescent="0.2">
      <c r="A332" t="str">
        <f>IF(COUNTBLANK(B332:AB332)&lt;&gt;COLUMNS(B332:AB332),331,"")</f>
        <v/>
      </c>
      <c r="D332" s="1" t="str">
        <f t="shared" si="35"/>
        <v/>
      </c>
      <c r="G332" s="2" t="str">
        <f t="shared" si="36"/>
        <v/>
      </c>
      <c r="H332" s="1" t="str">
        <f t="shared" si="37"/>
        <v/>
      </c>
      <c r="S332" s="1" t="str">
        <f t="shared" si="38"/>
        <v/>
      </c>
      <c r="U332" s="1" t="str">
        <f t="shared" si="39"/>
        <v/>
      </c>
      <c r="X332" s="1" t="str">
        <f t="shared" si="40"/>
        <v/>
      </c>
      <c r="AA332" s="1" t="str">
        <f t="shared" si="41"/>
        <v/>
      </c>
    </row>
    <row r="333" spans="1:27" x14ac:dyDescent="0.2">
      <c r="A333" t="str">
        <f>IF(COUNTBLANK(B333:AB333)&lt;&gt;COLUMNS(B333:AB333),332,"")</f>
        <v/>
      </c>
      <c r="D333" s="1" t="str">
        <f t="shared" si="35"/>
        <v/>
      </c>
      <c r="G333" s="2" t="str">
        <f t="shared" si="36"/>
        <v/>
      </c>
      <c r="H333" s="1" t="str">
        <f t="shared" si="37"/>
        <v/>
      </c>
      <c r="S333" s="1" t="str">
        <f t="shared" si="38"/>
        <v/>
      </c>
      <c r="U333" s="1" t="str">
        <f t="shared" si="39"/>
        <v/>
      </c>
      <c r="X333" s="1" t="str">
        <f t="shared" si="40"/>
        <v/>
      </c>
      <c r="AA333" s="1" t="str">
        <f t="shared" si="41"/>
        <v/>
      </c>
    </row>
    <row r="334" spans="1:27" x14ac:dyDescent="0.2">
      <c r="A334" t="str">
        <f>IF(COUNTBLANK(B334:AB334)&lt;&gt;COLUMNS(B334:AB334),333,"")</f>
        <v/>
      </c>
      <c r="D334" s="1" t="str">
        <f t="shared" si="35"/>
        <v/>
      </c>
      <c r="G334" s="2" t="str">
        <f t="shared" si="36"/>
        <v/>
      </c>
      <c r="H334" s="1" t="str">
        <f t="shared" si="37"/>
        <v/>
      </c>
      <c r="S334" s="1" t="str">
        <f t="shared" si="38"/>
        <v/>
      </c>
      <c r="U334" s="1" t="str">
        <f t="shared" si="39"/>
        <v/>
      </c>
      <c r="X334" s="1" t="str">
        <f t="shared" si="40"/>
        <v/>
      </c>
      <c r="AA334" s="1" t="str">
        <f t="shared" si="41"/>
        <v/>
      </c>
    </row>
    <row r="335" spans="1:27" x14ac:dyDescent="0.2">
      <c r="A335" t="str">
        <f>IF(COUNTBLANK(B335:AB335)&lt;&gt;COLUMNS(B335:AB335),334,"")</f>
        <v/>
      </c>
      <c r="D335" s="1" t="str">
        <f t="shared" si="35"/>
        <v/>
      </c>
      <c r="G335" s="2" t="str">
        <f t="shared" si="36"/>
        <v/>
      </c>
      <c r="H335" s="1" t="str">
        <f t="shared" si="37"/>
        <v/>
      </c>
      <c r="S335" s="1" t="str">
        <f t="shared" si="38"/>
        <v/>
      </c>
      <c r="U335" s="1" t="str">
        <f t="shared" si="39"/>
        <v/>
      </c>
      <c r="X335" s="1" t="str">
        <f t="shared" si="40"/>
        <v/>
      </c>
      <c r="AA335" s="1" t="str">
        <f t="shared" si="41"/>
        <v/>
      </c>
    </row>
    <row r="336" spans="1:27" x14ac:dyDescent="0.2">
      <c r="A336" t="str">
        <f>IF(COUNTBLANK(B336:AB336)&lt;&gt;COLUMNS(B336:AB336),335,"")</f>
        <v/>
      </c>
      <c r="D336" s="1" t="str">
        <f t="shared" si="35"/>
        <v/>
      </c>
      <c r="G336" s="2" t="str">
        <f t="shared" si="36"/>
        <v/>
      </c>
      <c r="H336" s="1" t="str">
        <f t="shared" si="37"/>
        <v/>
      </c>
      <c r="S336" s="1" t="str">
        <f t="shared" si="38"/>
        <v/>
      </c>
      <c r="U336" s="1" t="str">
        <f t="shared" si="39"/>
        <v/>
      </c>
      <c r="X336" s="1" t="str">
        <f t="shared" si="40"/>
        <v/>
      </c>
      <c r="AA336" s="1" t="str">
        <f t="shared" si="41"/>
        <v/>
      </c>
    </row>
    <row r="337" spans="1:27" x14ac:dyDescent="0.2">
      <c r="A337" t="str">
        <f>IF(COUNTBLANK(B337:AB337)&lt;&gt;COLUMNS(B337:AB337),336,"")</f>
        <v/>
      </c>
      <c r="D337" s="1" t="str">
        <f t="shared" si="35"/>
        <v/>
      </c>
      <c r="G337" s="2" t="str">
        <f t="shared" si="36"/>
        <v/>
      </c>
      <c r="H337" s="1" t="str">
        <f t="shared" si="37"/>
        <v/>
      </c>
      <c r="S337" s="1" t="str">
        <f t="shared" si="38"/>
        <v/>
      </c>
      <c r="U337" s="1" t="str">
        <f t="shared" si="39"/>
        <v/>
      </c>
      <c r="X337" s="1" t="str">
        <f t="shared" si="40"/>
        <v/>
      </c>
      <c r="AA337" s="1" t="str">
        <f t="shared" si="41"/>
        <v/>
      </c>
    </row>
    <row r="338" spans="1:27" x14ac:dyDescent="0.2">
      <c r="A338" t="str">
        <f>IF(COUNTBLANK(B338:AB338)&lt;&gt;COLUMNS(B338:AB338),337,"")</f>
        <v/>
      </c>
      <c r="D338" s="1" t="str">
        <f t="shared" si="35"/>
        <v/>
      </c>
      <c r="G338" s="2" t="str">
        <f t="shared" si="36"/>
        <v/>
      </c>
      <c r="H338" s="1" t="str">
        <f t="shared" si="37"/>
        <v/>
      </c>
      <c r="S338" s="1" t="str">
        <f t="shared" si="38"/>
        <v/>
      </c>
      <c r="U338" s="1" t="str">
        <f t="shared" si="39"/>
        <v/>
      </c>
      <c r="X338" s="1" t="str">
        <f t="shared" si="40"/>
        <v/>
      </c>
      <c r="AA338" s="1" t="str">
        <f t="shared" si="41"/>
        <v/>
      </c>
    </row>
    <row r="339" spans="1:27" x14ac:dyDescent="0.2">
      <c r="A339" t="str">
        <f>IF(COUNTBLANK(B339:AB339)&lt;&gt;COLUMNS(B339:AB339),338,"")</f>
        <v/>
      </c>
      <c r="D339" s="1" t="str">
        <f t="shared" si="35"/>
        <v/>
      </c>
      <c r="G339" s="2" t="str">
        <f t="shared" si="36"/>
        <v/>
      </c>
      <c r="H339" s="1" t="str">
        <f t="shared" si="37"/>
        <v/>
      </c>
      <c r="S339" s="1" t="str">
        <f t="shared" si="38"/>
        <v/>
      </c>
      <c r="U339" s="1" t="str">
        <f t="shared" si="39"/>
        <v/>
      </c>
      <c r="X339" s="1" t="str">
        <f t="shared" si="40"/>
        <v/>
      </c>
      <c r="AA339" s="1" t="str">
        <f t="shared" si="41"/>
        <v/>
      </c>
    </row>
    <row r="340" spans="1:27" x14ac:dyDescent="0.2">
      <c r="A340" t="str">
        <f>IF(COUNTBLANK(B340:AB340)&lt;&gt;COLUMNS(B340:AB340),339,"")</f>
        <v/>
      </c>
      <c r="D340" s="1" t="str">
        <f t="shared" si="35"/>
        <v/>
      </c>
      <c r="G340" s="2" t="str">
        <f t="shared" si="36"/>
        <v/>
      </c>
      <c r="H340" s="1" t="str">
        <f t="shared" si="37"/>
        <v/>
      </c>
      <c r="S340" s="1" t="str">
        <f t="shared" si="38"/>
        <v/>
      </c>
      <c r="U340" s="1" t="str">
        <f t="shared" si="39"/>
        <v/>
      </c>
      <c r="X340" s="1" t="str">
        <f t="shared" si="40"/>
        <v/>
      </c>
      <c r="AA340" s="1" t="str">
        <f t="shared" si="41"/>
        <v/>
      </c>
    </row>
    <row r="341" spans="1:27" x14ac:dyDescent="0.2">
      <c r="A341" t="str">
        <f>IF(COUNTBLANK(B341:AB341)&lt;&gt;COLUMNS(B341:AB341),340,"")</f>
        <v/>
      </c>
      <c r="D341" s="1" t="str">
        <f t="shared" si="35"/>
        <v/>
      </c>
      <c r="G341" s="2" t="str">
        <f t="shared" si="36"/>
        <v/>
      </c>
      <c r="H341" s="1" t="str">
        <f t="shared" si="37"/>
        <v/>
      </c>
      <c r="S341" s="1" t="str">
        <f t="shared" si="38"/>
        <v/>
      </c>
      <c r="U341" s="1" t="str">
        <f t="shared" si="39"/>
        <v/>
      </c>
      <c r="X341" s="1" t="str">
        <f t="shared" si="40"/>
        <v/>
      </c>
      <c r="AA341" s="1" t="str">
        <f t="shared" si="41"/>
        <v/>
      </c>
    </row>
    <row r="342" spans="1:27" x14ac:dyDescent="0.2">
      <c r="A342" t="str">
        <f>IF(COUNTBLANK(B342:AB342)&lt;&gt;COLUMNS(B342:AB342),341,"")</f>
        <v/>
      </c>
      <c r="D342" s="1" t="str">
        <f t="shared" si="35"/>
        <v/>
      </c>
      <c r="G342" s="2" t="str">
        <f t="shared" si="36"/>
        <v/>
      </c>
      <c r="H342" s="1" t="str">
        <f t="shared" si="37"/>
        <v/>
      </c>
      <c r="S342" s="1" t="str">
        <f t="shared" si="38"/>
        <v/>
      </c>
      <c r="U342" s="1" t="str">
        <f t="shared" si="39"/>
        <v/>
      </c>
      <c r="X342" s="1" t="str">
        <f t="shared" si="40"/>
        <v/>
      </c>
      <c r="AA342" s="1" t="str">
        <f t="shared" si="41"/>
        <v/>
      </c>
    </row>
    <row r="343" spans="1:27" x14ac:dyDescent="0.2">
      <c r="A343" t="str">
        <f>IF(COUNTBLANK(B343:AB343)&lt;&gt;COLUMNS(B343:AB343),342,"")</f>
        <v/>
      </c>
      <c r="D343" s="1" t="str">
        <f t="shared" si="35"/>
        <v/>
      </c>
      <c r="G343" s="2" t="str">
        <f t="shared" si="36"/>
        <v/>
      </c>
      <c r="H343" s="1" t="str">
        <f t="shared" si="37"/>
        <v/>
      </c>
      <c r="S343" s="1" t="str">
        <f t="shared" si="38"/>
        <v/>
      </c>
      <c r="U343" s="1" t="str">
        <f t="shared" si="39"/>
        <v/>
      </c>
      <c r="X343" s="1" t="str">
        <f t="shared" si="40"/>
        <v/>
      </c>
      <c r="AA343" s="1" t="str">
        <f t="shared" si="41"/>
        <v/>
      </c>
    </row>
    <row r="344" spans="1:27" x14ac:dyDescent="0.2">
      <c r="A344" t="str">
        <f>IF(COUNTBLANK(B344:AB344)&lt;&gt;COLUMNS(B344:AB344),343,"")</f>
        <v/>
      </c>
      <c r="D344" s="1" t="str">
        <f t="shared" si="35"/>
        <v/>
      </c>
      <c r="G344" s="2" t="str">
        <f t="shared" si="36"/>
        <v/>
      </c>
      <c r="H344" s="1" t="str">
        <f t="shared" si="37"/>
        <v/>
      </c>
      <c r="S344" s="1" t="str">
        <f t="shared" si="38"/>
        <v/>
      </c>
      <c r="U344" s="1" t="str">
        <f t="shared" si="39"/>
        <v/>
      </c>
      <c r="X344" s="1" t="str">
        <f t="shared" si="40"/>
        <v/>
      </c>
      <c r="AA344" s="1" t="str">
        <f t="shared" si="41"/>
        <v/>
      </c>
    </row>
    <row r="345" spans="1:27" x14ac:dyDescent="0.2">
      <c r="A345" t="str">
        <f>IF(COUNTBLANK(B345:AB345)&lt;&gt;COLUMNS(B345:AB345),344,"")</f>
        <v/>
      </c>
      <c r="D345" s="1" t="str">
        <f t="shared" si="35"/>
        <v/>
      </c>
      <c r="G345" s="2" t="str">
        <f t="shared" si="36"/>
        <v/>
      </c>
      <c r="H345" s="1" t="str">
        <f t="shared" si="37"/>
        <v/>
      </c>
      <c r="S345" s="1" t="str">
        <f t="shared" si="38"/>
        <v/>
      </c>
      <c r="U345" s="1" t="str">
        <f t="shared" si="39"/>
        <v/>
      </c>
      <c r="X345" s="1" t="str">
        <f t="shared" si="40"/>
        <v/>
      </c>
      <c r="AA345" s="1" t="str">
        <f t="shared" si="41"/>
        <v/>
      </c>
    </row>
    <row r="346" spans="1:27" x14ac:dyDescent="0.2">
      <c r="A346" t="str">
        <f>IF(COUNTBLANK(B346:AB346)&lt;&gt;COLUMNS(B346:AB346),345,"")</f>
        <v/>
      </c>
      <c r="D346" s="1" t="str">
        <f t="shared" si="35"/>
        <v/>
      </c>
      <c r="G346" s="2" t="str">
        <f t="shared" si="36"/>
        <v/>
      </c>
      <c r="H346" s="1" t="str">
        <f t="shared" si="37"/>
        <v/>
      </c>
      <c r="S346" s="1" t="str">
        <f t="shared" si="38"/>
        <v/>
      </c>
      <c r="U346" s="1" t="str">
        <f t="shared" si="39"/>
        <v/>
      </c>
      <c r="X346" s="1" t="str">
        <f t="shared" si="40"/>
        <v/>
      </c>
      <c r="AA346" s="1" t="str">
        <f t="shared" si="41"/>
        <v/>
      </c>
    </row>
    <row r="347" spans="1:27" x14ac:dyDescent="0.2">
      <c r="A347" t="str">
        <f>IF(COUNTBLANK(B347:AB347)&lt;&gt;COLUMNS(B347:AB347),346,"")</f>
        <v/>
      </c>
      <c r="D347" s="1" t="str">
        <f t="shared" si="35"/>
        <v/>
      </c>
      <c r="G347" s="2" t="str">
        <f t="shared" si="36"/>
        <v/>
      </c>
      <c r="H347" s="1" t="str">
        <f t="shared" si="37"/>
        <v/>
      </c>
      <c r="S347" s="1" t="str">
        <f t="shared" si="38"/>
        <v/>
      </c>
      <c r="U347" s="1" t="str">
        <f t="shared" si="39"/>
        <v/>
      </c>
      <c r="X347" s="1" t="str">
        <f t="shared" si="40"/>
        <v/>
      </c>
      <c r="AA347" s="1" t="str">
        <f t="shared" si="41"/>
        <v/>
      </c>
    </row>
    <row r="348" spans="1:27" x14ac:dyDescent="0.2">
      <c r="A348" t="str">
        <f>IF(COUNTBLANK(B348:AB348)&lt;&gt;COLUMNS(B348:AB348),347,"")</f>
        <v/>
      </c>
      <c r="D348" s="1" t="str">
        <f t="shared" si="35"/>
        <v/>
      </c>
      <c r="G348" s="2" t="str">
        <f t="shared" si="36"/>
        <v/>
      </c>
      <c r="H348" s="1" t="str">
        <f t="shared" si="37"/>
        <v/>
      </c>
      <c r="S348" s="1" t="str">
        <f t="shared" si="38"/>
        <v/>
      </c>
      <c r="U348" s="1" t="str">
        <f t="shared" si="39"/>
        <v/>
      </c>
      <c r="X348" s="1" t="str">
        <f t="shared" si="40"/>
        <v/>
      </c>
      <c r="AA348" s="1" t="str">
        <f t="shared" si="41"/>
        <v/>
      </c>
    </row>
    <row r="349" spans="1:27" x14ac:dyDescent="0.2">
      <c r="A349" t="str">
        <f>IF(COUNTBLANK(B349:AB349)&lt;&gt;COLUMNS(B349:AB349),348,"")</f>
        <v/>
      </c>
      <c r="D349" s="1" t="str">
        <f t="shared" si="35"/>
        <v/>
      </c>
      <c r="G349" s="2" t="str">
        <f t="shared" si="36"/>
        <v/>
      </c>
      <c r="H349" s="1" t="str">
        <f t="shared" si="37"/>
        <v/>
      </c>
      <c r="S349" s="1" t="str">
        <f t="shared" si="38"/>
        <v/>
      </c>
      <c r="U349" s="1" t="str">
        <f t="shared" si="39"/>
        <v/>
      </c>
      <c r="X349" s="1" t="str">
        <f t="shared" si="40"/>
        <v/>
      </c>
      <c r="AA349" s="1" t="str">
        <f t="shared" si="41"/>
        <v/>
      </c>
    </row>
    <row r="350" spans="1:27" x14ac:dyDescent="0.2">
      <c r="A350" t="str">
        <f>IF(COUNTBLANK(B350:AB350)&lt;&gt;COLUMNS(B350:AB350),349,"")</f>
        <v/>
      </c>
      <c r="D350" s="1" t="str">
        <f t="shared" si="35"/>
        <v/>
      </c>
      <c r="G350" s="2" t="str">
        <f t="shared" si="36"/>
        <v/>
      </c>
      <c r="H350" s="1" t="str">
        <f t="shared" si="37"/>
        <v/>
      </c>
      <c r="S350" s="1" t="str">
        <f t="shared" si="38"/>
        <v/>
      </c>
      <c r="U350" s="1" t="str">
        <f t="shared" si="39"/>
        <v/>
      </c>
      <c r="X350" s="1" t="str">
        <f t="shared" si="40"/>
        <v/>
      </c>
      <c r="AA350" s="1" t="str">
        <f t="shared" si="41"/>
        <v/>
      </c>
    </row>
    <row r="351" spans="1:27" x14ac:dyDescent="0.2">
      <c r="A351" t="str">
        <f>IF(COUNTBLANK(B351:AB351)&lt;&gt;COLUMNS(B351:AB351),350,"")</f>
        <v/>
      </c>
      <c r="D351" s="1" t="str">
        <f t="shared" si="35"/>
        <v/>
      </c>
      <c r="G351" s="2" t="str">
        <f t="shared" si="36"/>
        <v/>
      </c>
      <c r="H351" s="1" t="str">
        <f t="shared" si="37"/>
        <v/>
      </c>
      <c r="S351" s="1" t="str">
        <f t="shared" si="38"/>
        <v/>
      </c>
      <c r="U351" s="1" t="str">
        <f t="shared" si="39"/>
        <v/>
      </c>
      <c r="X351" s="1" t="str">
        <f t="shared" si="40"/>
        <v/>
      </c>
      <c r="AA351" s="1" t="str">
        <f t="shared" si="41"/>
        <v/>
      </c>
    </row>
    <row r="352" spans="1:27" x14ac:dyDescent="0.2">
      <c r="A352" t="str">
        <f>IF(COUNTBLANK(B352:AB352)&lt;&gt;COLUMNS(B352:AB352),351,"")</f>
        <v/>
      </c>
      <c r="D352" s="1" t="str">
        <f t="shared" si="35"/>
        <v/>
      </c>
      <c r="G352" s="2" t="str">
        <f t="shared" si="36"/>
        <v/>
      </c>
      <c r="H352" s="1" t="str">
        <f t="shared" si="37"/>
        <v/>
      </c>
      <c r="S352" s="1" t="str">
        <f t="shared" si="38"/>
        <v/>
      </c>
      <c r="U352" s="1" t="str">
        <f t="shared" si="39"/>
        <v/>
      </c>
      <c r="X352" s="1" t="str">
        <f t="shared" si="40"/>
        <v/>
      </c>
      <c r="AA352" s="1" t="str">
        <f t="shared" si="41"/>
        <v/>
      </c>
    </row>
    <row r="353" spans="1:27" x14ac:dyDescent="0.2">
      <c r="A353" t="str">
        <f>IF(COUNTBLANK(B353:AB353)&lt;&gt;COLUMNS(B353:AB353),352,"")</f>
        <v/>
      </c>
      <c r="D353" s="1" t="str">
        <f t="shared" si="35"/>
        <v/>
      </c>
      <c r="G353" s="2" t="str">
        <f t="shared" si="36"/>
        <v/>
      </c>
      <c r="H353" s="1" t="str">
        <f t="shared" si="37"/>
        <v/>
      </c>
      <c r="S353" s="1" t="str">
        <f t="shared" si="38"/>
        <v/>
      </c>
      <c r="U353" s="1" t="str">
        <f t="shared" si="39"/>
        <v/>
      </c>
      <c r="X353" s="1" t="str">
        <f t="shared" si="40"/>
        <v/>
      </c>
      <c r="AA353" s="1" t="str">
        <f t="shared" si="41"/>
        <v/>
      </c>
    </row>
    <row r="354" spans="1:27" x14ac:dyDescent="0.2">
      <c r="A354" t="str">
        <f>IF(COUNTBLANK(B354:AB354)&lt;&gt;COLUMNS(B354:AB354),353,"")</f>
        <v/>
      </c>
      <c r="D354" s="1" t="str">
        <f t="shared" si="35"/>
        <v/>
      </c>
      <c r="G354" s="2" t="str">
        <f t="shared" si="36"/>
        <v/>
      </c>
      <c r="H354" s="1" t="str">
        <f t="shared" si="37"/>
        <v/>
      </c>
      <c r="S354" s="1" t="str">
        <f t="shared" si="38"/>
        <v/>
      </c>
      <c r="U354" s="1" t="str">
        <f t="shared" si="39"/>
        <v/>
      </c>
      <c r="X354" s="1" t="str">
        <f t="shared" si="40"/>
        <v/>
      </c>
      <c r="AA354" s="1" t="str">
        <f t="shared" si="41"/>
        <v/>
      </c>
    </row>
    <row r="355" spans="1:27" x14ac:dyDescent="0.2">
      <c r="A355" t="str">
        <f>IF(COUNTBLANK(B355:AB355)&lt;&gt;COLUMNS(B355:AB355),354,"")</f>
        <v/>
      </c>
      <c r="D355" s="1" t="str">
        <f t="shared" si="35"/>
        <v/>
      </c>
      <c r="G355" s="2" t="str">
        <f t="shared" si="36"/>
        <v/>
      </c>
      <c r="H355" s="1" t="str">
        <f t="shared" si="37"/>
        <v/>
      </c>
      <c r="S355" s="1" t="str">
        <f t="shared" si="38"/>
        <v/>
      </c>
      <c r="U355" s="1" t="str">
        <f t="shared" si="39"/>
        <v/>
      </c>
      <c r="X355" s="1" t="str">
        <f t="shared" si="40"/>
        <v/>
      </c>
      <c r="AA355" s="1" t="str">
        <f t="shared" si="41"/>
        <v/>
      </c>
    </row>
    <row r="356" spans="1:27" x14ac:dyDescent="0.2">
      <c r="A356" t="str">
        <f>IF(COUNTBLANK(B356:AB356)&lt;&gt;COLUMNS(B356:AB356),355,"")</f>
        <v/>
      </c>
      <c r="D356" s="1" t="str">
        <f t="shared" si="35"/>
        <v/>
      </c>
      <c r="G356" s="2" t="str">
        <f t="shared" si="36"/>
        <v/>
      </c>
      <c r="H356" s="1" t="str">
        <f t="shared" si="37"/>
        <v/>
      </c>
      <c r="S356" s="1" t="str">
        <f t="shared" si="38"/>
        <v/>
      </c>
      <c r="U356" s="1" t="str">
        <f t="shared" si="39"/>
        <v/>
      </c>
      <c r="X356" s="1" t="str">
        <f t="shared" si="40"/>
        <v/>
      </c>
      <c r="AA356" s="1" t="str">
        <f t="shared" si="41"/>
        <v/>
      </c>
    </row>
    <row r="357" spans="1:27" x14ac:dyDescent="0.2">
      <c r="A357" t="str">
        <f>IF(COUNTBLANK(B357:AB357)&lt;&gt;COLUMNS(B357:AB357),356,"")</f>
        <v/>
      </c>
      <c r="D357" s="1" t="str">
        <f t="shared" si="35"/>
        <v/>
      </c>
      <c r="G357" s="2" t="str">
        <f t="shared" si="36"/>
        <v/>
      </c>
      <c r="H357" s="1" t="str">
        <f t="shared" si="37"/>
        <v/>
      </c>
      <c r="S357" s="1" t="str">
        <f t="shared" si="38"/>
        <v/>
      </c>
      <c r="U357" s="1" t="str">
        <f t="shared" si="39"/>
        <v/>
      </c>
      <c r="X357" s="1" t="str">
        <f t="shared" si="40"/>
        <v/>
      </c>
      <c r="AA357" s="1" t="str">
        <f t="shared" si="41"/>
        <v/>
      </c>
    </row>
    <row r="358" spans="1:27" x14ac:dyDescent="0.2">
      <c r="A358" t="str">
        <f>IF(COUNTBLANK(B358:AB358)&lt;&gt;COLUMNS(B358:AB358),357,"")</f>
        <v/>
      </c>
      <c r="D358" s="1" t="str">
        <f t="shared" si="35"/>
        <v/>
      </c>
      <c r="G358" s="2" t="str">
        <f t="shared" si="36"/>
        <v/>
      </c>
      <c r="H358" s="1" t="str">
        <f t="shared" si="37"/>
        <v/>
      </c>
      <c r="S358" s="1" t="str">
        <f t="shared" si="38"/>
        <v/>
      </c>
      <c r="U358" s="1" t="str">
        <f t="shared" si="39"/>
        <v/>
      </c>
      <c r="X358" s="1" t="str">
        <f t="shared" si="40"/>
        <v/>
      </c>
      <c r="AA358" s="1" t="str">
        <f t="shared" si="41"/>
        <v/>
      </c>
    </row>
    <row r="359" spans="1:27" x14ac:dyDescent="0.2">
      <c r="A359" t="str">
        <f>IF(COUNTBLANK(B359:AB359)&lt;&gt;COLUMNS(B359:AB359),358,"")</f>
        <v/>
      </c>
      <c r="D359" s="1" t="str">
        <f t="shared" si="35"/>
        <v/>
      </c>
      <c r="G359" s="2" t="str">
        <f t="shared" si="36"/>
        <v/>
      </c>
      <c r="H359" s="1" t="str">
        <f t="shared" si="37"/>
        <v/>
      </c>
      <c r="S359" s="1" t="str">
        <f t="shared" si="38"/>
        <v/>
      </c>
      <c r="U359" s="1" t="str">
        <f t="shared" si="39"/>
        <v/>
      </c>
      <c r="X359" s="1" t="str">
        <f t="shared" si="40"/>
        <v/>
      </c>
      <c r="AA359" s="1" t="str">
        <f t="shared" si="41"/>
        <v/>
      </c>
    </row>
    <row r="360" spans="1:27" x14ac:dyDescent="0.2">
      <c r="A360" t="str">
        <f>IF(COUNTBLANK(B360:AB360)&lt;&gt;COLUMNS(B360:AB360),359,"")</f>
        <v/>
      </c>
      <c r="D360" s="1" t="str">
        <f t="shared" si="35"/>
        <v/>
      </c>
      <c r="G360" s="2" t="str">
        <f t="shared" si="36"/>
        <v/>
      </c>
      <c r="H360" s="1" t="str">
        <f t="shared" si="37"/>
        <v/>
      </c>
      <c r="S360" s="1" t="str">
        <f t="shared" si="38"/>
        <v/>
      </c>
      <c r="U360" s="1" t="str">
        <f t="shared" si="39"/>
        <v/>
      </c>
      <c r="X360" s="1" t="str">
        <f t="shared" si="40"/>
        <v/>
      </c>
      <c r="AA360" s="1" t="str">
        <f t="shared" si="41"/>
        <v/>
      </c>
    </row>
    <row r="361" spans="1:27" x14ac:dyDescent="0.2">
      <c r="A361" t="str">
        <f>IF(COUNTBLANK(B361:AB361)&lt;&gt;COLUMNS(B361:AB361),360,"")</f>
        <v/>
      </c>
      <c r="D361" s="1" t="str">
        <f t="shared" si="35"/>
        <v/>
      </c>
      <c r="G361" s="2" t="str">
        <f t="shared" si="36"/>
        <v/>
      </c>
      <c r="H361" s="1" t="str">
        <f t="shared" si="37"/>
        <v/>
      </c>
      <c r="S361" s="1" t="str">
        <f t="shared" si="38"/>
        <v/>
      </c>
      <c r="U361" s="1" t="str">
        <f t="shared" si="39"/>
        <v/>
      </c>
      <c r="X361" s="1" t="str">
        <f t="shared" si="40"/>
        <v/>
      </c>
      <c r="AA361" s="1" t="str">
        <f t="shared" si="41"/>
        <v/>
      </c>
    </row>
    <row r="362" spans="1:27" x14ac:dyDescent="0.2">
      <c r="A362" t="str">
        <f>IF(COUNTBLANK(B362:AB362)&lt;&gt;COLUMNS(B362:AB362),361,"")</f>
        <v/>
      </c>
      <c r="D362" s="1" t="str">
        <f t="shared" si="35"/>
        <v/>
      </c>
      <c r="G362" s="2" t="str">
        <f t="shared" si="36"/>
        <v/>
      </c>
      <c r="H362" s="1" t="str">
        <f t="shared" si="37"/>
        <v/>
      </c>
      <c r="S362" s="1" t="str">
        <f t="shared" si="38"/>
        <v/>
      </c>
      <c r="U362" s="1" t="str">
        <f t="shared" si="39"/>
        <v/>
      </c>
      <c r="X362" s="1" t="str">
        <f t="shared" si="40"/>
        <v/>
      </c>
      <c r="AA362" s="1" t="str">
        <f t="shared" si="41"/>
        <v/>
      </c>
    </row>
    <row r="363" spans="1:27" x14ac:dyDescent="0.2">
      <c r="A363" t="str">
        <f>IF(COUNTBLANK(B363:AB363)&lt;&gt;COLUMNS(B363:AB363),362,"")</f>
        <v/>
      </c>
      <c r="D363" s="1" t="str">
        <f t="shared" si="35"/>
        <v/>
      </c>
      <c r="G363" s="2" t="str">
        <f t="shared" si="36"/>
        <v/>
      </c>
      <c r="H363" s="1" t="str">
        <f t="shared" si="37"/>
        <v/>
      </c>
      <c r="S363" s="1" t="str">
        <f t="shared" si="38"/>
        <v/>
      </c>
      <c r="U363" s="1" t="str">
        <f t="shared" si="39"/>
        <v/>
      </c>
      <c r="X363" s="1" t="str">
        <f t="shared" si="40"/>
        <v/>
      </c>
      <c r="AA363" s="1" t="str">
        <f t="shared" si="41"/>
        <v/>
      </c>
    </row>
    <row r="364" spans="1:27" x14ac:dyDescent="0.2">
      <c r="A364" t="str">
        <f>IF(COUNTBLANK(B364:AB364)&lt;&gt;COLUMNS(B364:AB364),363,"")</f>
        <v/>
      </c>
      <c r="D364" s="1" t="str">
        <f t="shared" si="35"/>
        <v/>
      </c>
      <c r="G364" s="2" t="str">
        <f t="shared" si="36"/>
        <v/>
      </c>
      <c r="H364" s="1" t="str">
        <f t="shared" si="37"/>
        <v/>
      </c>
      <c r="S364" s="1" t="str">
        <f t="shared" si="38"/>
        <v/>
      </c>
      <c r="U364" s="1" t="str">
        <f t="shared" si="39"/>
        <v/>
      </c>
      <c r="X364" s="1" t="str">
        <f t="shared" si="40"/>
        <v/>
      </c>
      <c r="AA364" s="1" t="str">
        <f t="shared" si="41"/>
        <v/>
      </c>
    </row>
    <row r="365" spans="1:27" x14ac:dyDescent="0.2">
      <c r="A365" t="str">
        <f>IF(COUNTBLANK(B365:AB365)&lt;&gt;COLUMNS(B365:AB365),364,"")</f>
        <v/>
      </c>
      <c r="D365" s="1" t="str">
        <f t="shared" si="35"/>
        <v/>
      </c>
      <c r="G365" s="2" t="str">
        <f t="shared" si="36"/>
        <v/>
      </c>
      <c r="H365" s="1" t="str">
        <f t="shared" si="37"/>
        <v/>
      </c>
      <c r="S365" s="1" t="str">
        <f t="shared" si="38"/>
        <v/>
      </c>
      <c r="U365" s="1" t="str">
        <f t="shared" si="39"/>
        <v/>
      </c>
      <c r="X365" s="1" t="str">
        <f t="shared" si="40"/>
        <v/>
      </c>
      <c r="AA365" s="1" t="str">
        <f t="shared" si="41"/>
        <v/>
      </c>
    </row>
    <row r="366" spans="1:27" x14ac:dyDescent="0.2">
      <c r="A366" t="str">
        <f>IF(COUNTBLANK(B366:AB366)&lt;&gt;COLUMNS(B366:AB366),365,"")</f>
        <v/>
      </c>
      <c r="D366" s="1" t="str">
        <f t="shared" si="35"/>
        <v/>
      </c>
      <c r="G366" s="2" t="str">
        <f t="shared" si="36"/>
        <v/>
      </c>
      <c r="H366" s="1" t="str">
        <f t="shared" si="37"/>
        <v/>
      </c>
      <c r="S366" s="1" t="str">
        <f t="shared" si="38"/>
        <v/>
      </c>
      <c r="U366" s="1" t="str">
        <f t="shared" si="39"/>
        <v/>
      </c>
      <c r="X366" s="1" t="str">
        <f t="shared" si="40"/>
        <v/>
      </c>
      <c r="AA366" s="1" t="str">
        <f t="shared" si="41"/>
        <v/>
      </c>
    </row>
    <row r="367" spans="1:27" x14ac:dyDescent="0.2">
      <c r="A367" t="str">
        <f>IF(COUNTBLANK(B367:AB367)&lt;&gt;COLUMNS(B367:AB367),366,"")</f>
        <v/>
      </c>
      <c r="D367" s="1" t="str">
        <f t="shared" si="35"/>
        <v/>
      </c>
      <c r="G367" s="2" t="str">
        <f t="shared" si="36"/>
        <v/>
      </c>
      <c r="H367" s="1" t="str">
        <f t="shared" si="37"/>
        <v/>
      </c>
      <c r="S367" s="1" t="str">
        <f t="shared" si="38"/>
        <v/>
      </c>
      <c r="U367" s="1" t="str">
        <f t="shared" si="39"/>
        <v/>
      </c>
      <c r="X367" s="1" t="str">
        <f t="shared" si="40"/>
        <v/>
      </c>
      <c r="AA367" s="1" t="str">
        <f t="shared" si="41"/>
        <v/>
      </c>
    </row>
    <row r="368" spans="1:27" x14ac:dyDescent="0.2">
      <c r="A368" t="str">
        <f>IF(COUNTBLANK(B368:AB368)&lt;&gt;COLUMNS(B368:AB368),367,"")</f>
        <v/>
      </c>
      <c r="D368" s="1" t="str">
        <f t="shared" si="35"/>
        <v/>
      </c>
      <c r="G368" s="2" t="str">
        <f t="shared" si="36"/>
        <v/>
      </c>
      <c r="H368" s="1" t="str">
        <f t="shared" si="37"/>
        <v/>
      </c>
      <c r="S368" s="1" t="str">
        <f t="shared" si="38"/>
        <v/>
      </c>
      <c r="U368" s="1" t="str">
        <f t="shared" si="39"/>
        <v/>
      </c>
      <c r="X368" s="1" t="str">
        <f t="shared" si="40"/>
        <v/>
      </c>
      <c r="AA368" s="1" t="str">
        <f t="shared" si="41"/>
        <v/>
      </c>
    </row>
    <row r="369" spans="1:27" x14ac:dyDescent="0.2">
      <c r="A369" t="str">
        <f>IF(COUNTBLANK(B369:AB369)&lt;&gt;COLUMNS(B369:AB369),368,"")</f>
        <v/>
      </c>
      <c r="D369" s="1" t="str">
        <f t="shared" si="35"/>
        <v/>
      </c>
      <c r="G369" s="2" t="str">
        <f t="shared" si="36"/>
        <v/>
      </c>
      <c r="H369" s="1" t="str">
        <f t="shared" si="37"/>
        <v/>
      </c>
      <c r="S369" s="1" t="str">
        <f t="shared" si="38"/>
        <v/>
      </c>
      <c r="U369" s="1" t="str">
        <f t="shared" si="39"/>
        <v/>
      </c>
      <c r="X369" s="1" t="str">
        <f t="shared" si="40"/>
        <v/>
      </c>
      <c r="AA369" s="1" t="str">
        <f t="shared" si="41"/>
        <v/>
      </c>
    </row>
    <row r="370" spans="1:27" x14ac:dyDescent="0.2">
      <c r="A370" t="str">
        <f>IF(COUNTBLANK(B370:AB370)&lt;&gt;COLUMNS(B370:AB370),369,"")</f>
        <v/>
      </c>
      <c r="D370" s="1" t="str">
        <f t="shared" si="35"/>
        <v/>
      </c>
      <c r="G370" s="2" t="str">
        <f t="shared" si="36"/>
        <v/>
      </c>
      <c r="H370" s="1" t="str">
        <f t="shared" si="37"/>
        <v/>
      </c>
      <c r="S370" s="1" t="str">
        <f t="shared" si="38"/>
        <v/>
      </c>
      <c r="U370" s="1" t="str">
        <f t="shared" si="39"/>
        <v/>
      </c>
      <c r="X370" s="1" t="str">
        <f t="shared" si="40"/>
        <v/>
      </c>
      <c r="AA370" s="1" t="str">
        <f t="shared" si="41"/>
        <v/>
      </c>
    </row>
    <row r="371" spans="1:27" x14ac:dyDescent="0.2">
      <c r="A371" t="str">
        <f>IF(COUNTBLANK(B371:AB371)&lt;&gt;COLUMNS(B371:AB371),370,"")</f>
        <v/>
      </c>
      <c r="D371" s="1" t="str">
        <f t="shared" si="35"/>
        <v/>
      </c>
      <c r="G371" s="2" t="str">
        <f t="shared" si="36"/>
        <v/>
      </c>
      <c r="H371" s="1" t="str">
        <f t="shared" si="37"/>
        <v/>
      </c>
      <c r="S371" s="1" t="str">
        <f t="shared" si="38"/>
        <v/>
      </c>
      <c r="U371" s="1" t="str">
        <f t="shared" si="39"/>
        <v/>
      </c>
      <c r="X371" s="1" t="str">
        <f t="shared" si="40"/>
        <v/>
      </c>
      <c r="AA371" s="1" t="str">
        <f t="shared" si="41"/>
        <v/>
      </c>
    </row>
    <row r="372" spans="1:27" x14ac:dyDescent="0.2">
      <c r="A372" t="str">
        <f>IF(COUNTBLANK(B372:AB372)&lt;&gt;COLUMNS(B372:AB372),371,"")</f>
        <v/>
      </c>
      <c r="D372" s="1" t="str">
        <f t="shared" si="35"/>
        <v/>
      </c>
      <c r="G372" s="2" t="str">
        <f t="shared" si="36"/>
        <v/>
      </c>
      <c r="H372" s="1" t="str">
        <f t="shared" si="37"/>
        <v/>
      </c>
      <c r="S372" s="1" t="str">
        <f t="shared" si="38"/>
        <v/>
      </c>
      <c r="U372" s="1" t="str">
        <f t="shared" si="39"/>
        <v/>
      </c>
      <c r="X372" s="1" t="str">
        <f t="shared" si="40"/>
        <v/>
      </c>
      <c r="AA372" s="1" t="str">
        <f t="shared" si="41"/>
        <v/>
      </c>
    </row>
    <row r="373" spans="1:27" x14ac:dyDescent="0.2">
      <c r="A373" t="str">
        <f>IF(COUNTBLANK(B373:AB373)&lt;&gt;COLUMNS(B373:AB373),372,"")</f>
        <v/>
      </c>
      <c r="D373" s="1" t="str">
        <f t="shared" si="35"/>
        <v/>
      </c>
      <c r="G373" s="2" t="str">
        <f t="shared" si="36"/>
        <v/>
      </c>
      <c r="H373" s="1" t="str">
        <f t="shared" si="37"/>
        <v/>
      </c>
      <c r="S373" s="1" t="str">
        <f t="shared" si="38"/>
        <v/>
      </c>
      <c r="U373" s="1" t="str">
        <f t="shared" si="39"/>
        <v/>
      </c>
      <c r="X373" s="1" t="str">
        <f t="shared" si="40"/>
        <v/>
      </c>
      <c r="AA373" s="1" t="str">
        <f t="shared" si="41"/>
        <v/>
      </c>
    </row>
    <row r="374" spans="1:27" x14ac:dyDescent="0.2">
      <c r="A374" t="str">
        <f>IF(COUNTBLANK(B374:AB374)&lt;&gt;COLUMNS(B374:AB374),373,"")</f>
        <v/>
      </c>
      <c r="D374" s="1" t="str">
        <f t="shared" si="35"/>
        <v/>
      </c>
      <c r="G374" s="2" t="str">
        <f t="shared" si="36"/>
        <v/>
      </c>
      <c r="H374" s="1" t="str">
        <f t="shared" si="37"/>
        <v/>
      </c>
      <c r="S374" s="1" t="str">
        <f t="shared" si="38"/>
        <v/>
      </c>
      <c r="U374" s="1" t="str">
        <f t="shared" si="39"/>
        <v/>
      </c>
      <c r="X374" s="1" t="str">
        <f t="shared" si="40"/>
        <v/>
      </c>
      <c r="AA374" s="1" t="str">
        <f t="shared" si="41"/>
        <v/>
      </c>
    </row>
    <row r="375" spans="1:27" x14ac:dyDescent="0.2">
      <c r="A375" t="str">
        <f>IF(COUNTBLANK(B375:AB375)&lt;&gt;COLUMNS(B375:AB375),374,"")</f>
        <v/>
      </c>
      <c r="D375" s="1" t="str">
        <f t="shared" si="35"/>
        <v/>
      </c>
      <c r="G375" s="2" t="str">
        <f t="shared" si="36"/>
        <v/>
      </c>
      <c r="H375" s="1" t="str">
        <f t="shared" si="37"/>
        <v/>
      </c>
      <c r="S375" s="1" t="str">
        <f t="shared" si="38"/>
        <v/>
      </c>
      <c r="U375" s="1" t="str">
        <f t="shared" si="39"/>
        <v/>
      </c>
      <c r="X375" s="1" t="str">
        <f t="shared" si="40"/>
        <v/>
      </c>
      <c r="AA375" s="1" t="str">
        <f t="shared" si="41"/>
        <v/>
      </c>
    </row>
    <row r="376" spans="1:27" x14ac:dyDescent="0.2">
      <c r="A376" t="str">
        <f>IF(COUNTBLANK(B376:AB376)&lt;&gt;COLUMNS(B376:AB376),375,"")</f>
        <v/>
      </c>
      <c r="D376" s="1" t="str">
        <f t="shared" si="35"/>
        <v/>
      </c>
      <c r="G376" s="2" t="str">
        <f t="shared" si="36"/>
        <v/>
      </c>
      <c r="H376" s="1" t="str">
        <f t="shared" si="37"/>
        <v/>
      </c>
      <c r="S376" s="1" t="str">
        <f t="shared" si="38"/>
        <v/>
      </c>
      <c r="U376" s="1" t="str">
        <f t="shared" si="39"/>
        <v/>
      </c>
      <c r="X376" s="1" t="str">
        <f t="shared" si="40"/>
        <v/>
      </c>
      <c r="AA376" s="1" t="str">
        <f t="shared" si="41"/>
        <v/>
      </c>
    </row>
    <row r="377" spans="1:27" x14ac:dyDescent="0.2">
      <c r="A377" t="str">
        <f>IF(COUNTBLANK(B377:AB377)&lt;&gt;COLUMNS(B377:AB377),376,"")</f>
        <v/>
      </c>
      <c r="D377" s="1" t="str">
        <f t="shared" si="35"/>
        <v/>
      </c>
      <c r="G377" s="2" t="str">
        <f t="shared" si="36"/>
        <v/>
      </c>
      <c r="H377" s="1" t="str">
        <f t="shared" si="37"/>
        <v/>
      </c>
      <c r="S377" s="1" t="str">
        <f t="shared" si="38"/>
        <v/>
      </c>
      <c r="U377" s="1" t="str">
        <f t="shared" si="39"/>
        <v/>
      </c>
      <c r="X377" s="1" t="str">
        <f t="shared" si="40"/>
        <v/>
      </c>
      <c r="AA377" s="1" t="str">
        <f t="shared" si="41"/>
        <v/>
      </c>
    </row>
    <row r="378" spans="1:27" x14ac:dyDescent="0.2">
      <c r="A378" t="str">
        <f>IF(COUNTBLANK(B378:AB378)&lt;&gt;COLUMNS(B378:AB378),377,"")</f>
        <v/>
      </c>
      <c r="D378" s="1" t="str">
        <f t="shared" si="35"/>
        <v/>
      </c>
      <c r="G378" s="2" t="str">
        <f t="shared" si="36"/>
        <v/>
      </c>
      <c r="H378" s="1" t="str">
        <f t="shared" si="37"/>
        <v/>
      </c>
      <c r="S378" s="1" t="str">
        <f t="shared" si="38"/>
        <v/>
      </c>
      <c r="U378" s="1" t="str">
        <f t="shared" si="39"/>
        <v/>
      </c>
      <c r="X378" s="1" t="str">
        <f t="shared" si="40"/>
        <v/>
      </c>
      <c r="AA378" s="1" t="str">
        <f t="shared" si="41"/>
        <v/>
      </c>
    </row>
    <row r="379" spans="1:27" x14ac:dyDescent="0.2">
      <c r="A379" t="str">
        <f>IF(COUNTBLANK(B379:AB379)&lt;&gt;COLUMNS(B379:AB379),378,"")</f>
        <v/>
      </c>
      <c r="D379" s="1" t="str">
        <f t="shared" si="35"/>
        <v/>
      </c>
      <c r="G379" s="2" t="str">
        <f t="shared" si="36"/>
        <v/>
      </c>
      <c r="H379" s="1" t="str">
        <f t="shared" si="37"/>
        <v/>
      </c>
      <c r="S379" s="1" t="str">
        <f t="shared" si="38"/>
        <v/>
      </c>
      <c r="U379" s="1" t="str">
        <f t="shared" si="39"/>
        <v/>
      </c>
      <c r="X379" s="1" t="str">
        <f t="shared" si="40"/>
        <v/>
      </c>
      <c r="AA379" s="1" t="str">
        <f t="shared" si="41"/>
        <v/>
      </c>
    </row>
    <row r="380" spans="1:27" x14ac:dyDescent="0.2">
      <c r="A380" t="str">
        <f>IF(COUNTBLANK(B380:AB380)&lt;&gt;COLUMNS(B380:AB380),379,"")</f>
        <v/>
      </c>
      <c r="D380" s="1" t="str">
        <f t="shared" si="35"/>
        <v/>
      </c>
      <c r="G380" s="2" t="str">
        <f t="shared" si="36"/>
        <v/>
      </c>
      <c r="H380" s="1" t="str">
        <f t="shared" si="37"/>
        <v/>
      </c>
      <c r="S380" s="1" t="str">
        <f t="shared" si="38"/>
        <v/>
      </c>
      <c r="U380" s="1" t="str">
        <f t="shared" si="39"/>
        <v/>
      </c>
      <c r="X380" s="1" t="str">
        <f t="shared" si="40"/>
        <v/>
      </c>
      <c r="AA380" s="1" t="str">
        <f t="shared" si="41"/>
        <v/>
      </c>
    </row>
    <row r="381" spans="1:27" x14ac:dyDescent="0.2">
      <c r="A381" t="str">
        <f>IF(COUNTBLANK(B381:AB381)&lt;&gt;COLUMNS(B381:AB381),380,"")</f>
        <v/>
      </c>
      <c r="D381" s="1" t="str">
        <f t="shared" si="35"/>
        <v/>
      </c>
      <c r="G381" s="2" t="str">
        <f t="shared" si="36"/>
        <v/>
      </c>
      <c r="H381" s="1" t="str">
        <f t="shared" si="37"/>
        <v/>
      </c>
      <c r="S381" s="1" t="str">
        <f t="shared" si="38"/>
        <v/>
      </c>
      <c r="U381" s="1" t="str">
        <f t="shared" si="39"/>
        <v/>
      </c>
      <c r="X381" s="1" t="str">
        <f t="shared" si="40"/>
        <v/>
      </c>
      <c r="AA381" s="1" t="str">
        <f t="shared" si="41"/>
        <v/>
      </c>
    </row>
    <row r="382" spans="1:27" x14ac:dyDescent="0.2">
      <c r="A382" t="str">
        <f>IF(COUNTBLANK(B382:AB382)&lt;&gt;COLUMNS(B382:AB382),381,"")</f>
        <v/>
      </c>
      <c r="D382" s="1" t="str">
        <f t="shared" si="35"/>
        <v/>
      </c>
      <c r="G382" s="2" t="str">
        <f t="shared" si="36"/>
        <v/>
      </c>
      <c r="H382" s="1" t="str">
        <f t="shared" si="37"/>
        <v/>
      </c>
      <c r="S382" s="1" t="str">
        <f t="shared" si="38"/>
        <v/>
      </c>
      <c r="U382" s="1" t="str">
        <f t="shared" si="39"/>
        <v/>
      </c>
      <c r="X382" s="1" t="str">
        <f t="shared" si="40"/>
        <v/>
      </c>
      <c r="AA382" s="1" t="str">
        <f t="shared" si="41"/>
        <v/>
      </c>
    </row>
    <row r="383" spans="1:27" x14ac:dyDescent="0.2">
      <c r="A383" t="str">
        <f>IF(COUNTBLANK(B383:AB383)&lt;&gt;COLUMNS(B383:AB383),382,"")</f>
        <v/>
      </c>
      <c r="D383" s="1" t="str">
        <f t="shared" si="35"/>
        <v/>
      </c>
      <c r="G383" s="2" t="str">
        <f t="shared" si="36"/>
        <v/>
      </c>
      <c r="H383" s="1" t="str">
        <f t="shared" si="37"/>
        <v/>
      </c>
      <c r="S383" s="1" t="str">
        <f t="shared" si="38"/>
        <v/>
      </c>
      <c r="U383" s="1" t="str">
        <f t="shared" si="39"/>
        <v/>
      </c>
      <c r="X383" s="1" t="str">
        <f t="shared" si="40"/>
        <v/>
      </c>
      <c r="AA383" s="1" t="str">
        <f t="shared" si="41"/>
        <v/>
      </c>
    </row>
    <row r="384" spans="1:27" x14ac:dyDescent="0.2">
      <c r="A384" t="str">
        <f>IF(COUNTBLANK(B384:AB384)&lt;&gt;COLUMNS(B384:AB384),383,"")</f>
        <v/>
      </c>
      <c r="D384" s="1" t="str">
        <f t="shared" si="35"/>
        <v/>
      </c>
      <c r="G384" s="2" t="str">
        <f t="shared" si="36"/>
        <v/>
      </c>
      <c r="H384" s="1" t="str">
        <f t="shared" si="37"/>
        <v/>
      </c>
      <c r="S384" s="1" t="str">
        <f t="shared" si="38"/>
        <v/>
      </c>
      <c r="U384" s="1" t="str">
        <f t="shared" si="39"/>
        <v/>
      </c>
      <c r="X384" s="1" t="str">
        <f t="shared" si="40"/>
        <v/>
      </c>
      <c r="AA384" s="1" t="str">
        <f t="shared" si="41"/>
        <v/>
      </c>
    </row>
    <row r="385" spans="1:27" x14ac:dyDescent="0.2">
      <c r="A385" t="str">
        <f>IF(COUNTBLANK(B385:AB385)&lt;&gt;COLUMNS(B385:AB385),384,"")</f>
        <v/>
      </c>
      <c r="D385" s="1" t="str">
        <f t="shared" si="35"/>
        <v/>
      </c>
      <c r="G385" s="2" t="str">
        <f t="shared" si="36"/>
        <v/>
      </c>
      <c r="H385" s="1" t="str">
        <f t="shared" si="37"/>
        <v/>
      </c>
      <c r="S385" s="1" t="str">
        <f t="shared" si="38"/>
        <v/>
      </c>
      <c r="U385" s="1" t="str">
        <f t="shared" si="39"/>
        <v/>
      </c>
      <c r="X385" s="1" t="str">
        <f t="shared" si="40"/>
        <v/>
      </c>
      <c r="AA385" s="1" t="str">
        <f t="shared" si="41"/>
        <v/>
      </c>
    </row>
    <row r="386" spans="1:27" x14ac:dyDescent="0.2">
      <c r="A386" t="str">
        <f>IF(COUNTBLANK(B386:AB386)&lt;&gt;COLUMNS(B386:AB386),385,"")</f>
        <v/>
      </c>
      <c r="D386" s="1" t="str">
        <f t="shared" ref="D386:D449" si="42">IF(B386="", "", "Not applicable")</f>
        <v/>
      </c>
      <c r="G386" s="2" t="str">
        <f t="shared" ref="G386:G449" si="43">IF(B386="", "", "missing: not provided")</f>
        <v/>
      </c>
      <c r="H386" s="1" t="str">
        <f t="shared" ref="H386:H449" si="44">IF(B386="", "", "meters")</f>
        <v/>
      </c>
      <c r="S386" s="1" t="str">
        <f t="shared" ref="S386:S449" si="45">IF(B386="", "", "Decimal degrees")</f>
        <v/>
      </c>
      <c r="U386" s="1" t="str">
        <f t="shared" ref="U386:U449" si="46">IF(B386="", "", "Decimal degrees")</f>
        <v/>
      </c>
      <c r="X386" s="1" t="str">
        <f t="shared" ref="X386:X449" si="47">IF(B386="", "", "other")</f>
        <v/>
      </c>
      <c r="AA386" s="1" t="str">
        <f t="shared" ref="AA386:AA449" si="48">IF(B386="", "", "Not applicable")</f>
        <v/>
      </c>
    </row>
    <row r="387" spans="1:27" x14ac:dyDescent="0.2">
      <c r="A387" t="str">
        <f>IF(COUNTBLANK(B387:AB387)&lt;&gt;COLUMNS(B387:AB387),386,"")</f>
        <v/>
      </c>
      <c r="D387" s="1" t="str">
        <f t="shared" si="42"/>
        <v/>
      </c>
      <c r="G387" s="2" t="str">
        <f t="shared" si="43"/>
        <v/>
      </c>
      <c r="H387" s="1" t="str">
        <f t="shared" si="44"/>
        <v/>
      </c>
      <c r="S387" s="1" t="str">
        <f t="shared" si="45"/>
        <v/>
      </c>
      <c r="U387" s="1" t="str">
        <f t="shared" si="46"/>
        <v/>
      </c>
      <c r="X387" s="1" t="str">
        <f t="shared" si="47"/>
        <v/>
      </c>
      <c r="AA387" s="1" t="str">
        <f t="shared" si="48"/>
        <v/>
      </c>
    </row>
    <row r="388" spans="1:27" x14ac:dyDescent="0.2">
      <c r="A388" t="str">
        <f>IF(COUNTBLANK(B388:AB388)&lt;&gt;COLUMNS(B388:AB388),387,"")</f>
        <v/>
      </c>
      <c r="D388" s="1" t="str">
        <f t="shared" si="42"/>
        <v/>
      </c>
      <c r="G388" s="2" t="str">
        <f t="shared" si="43"/>
        <v/>
      </c>
      <c r="H388" s="1" t="str">
        <f t="shared" si="44"/>
        <v/>
      </c>
      <c r="S388" s="1" t="str">
        <f t="shared" si="45"/>
        <v/>
      </c>
      <c r="U388" s="1" t="str">
        <f t="shared" si="46"/>
        <v/>
      </c>
      <c r="X388" s="1" t="str">
        <f t="shared" si="47"/>
        <v/>
      </c>
      <c r="AA388" s="1" t="str">
        <f t="shared" si="48"/>
        <v/>
      </c>
    </row>
    <row r="389" spans="1:27" x14ac:dyDescent="0.2">
      <c r="A389" t="str">
        <f>IF(COUNTBLANK(B389:AB389)&lt;&gt;COLUMNS(B389:AB389),388,"")</f>
        <v/>
      </c>
      <c r="D389" s="1" t="str">
        <f t="shared" si="42"/>
        <v/>
      </c>
      <c r="G389" s="2" t="str">
        <f t="shared" si="43"/>
        <v/>
      </c>
      <c r="H389" s="1" t="str">
        <f t="shared" si="44"/>
        <v/>
      </c>
      <c r="S389" s="1" t="str">
        <f t="shared" si="45"/>
        <v/>
      </c>
      <c r="U389" s="1" t="str">
        <f t="shared" si="46"/>
        <v/>
      </c>
      <c r="X389" s="1" t="str">
        <f t="shared" si="47"/>
        <v/>
      </c>
      <c r="AA389" s="1" t="str">
        <f t="shared" si="48"/>
        <v/>
      </c>
    </row>
    <row r="390" spans="1:27" x14ac:dyDescent="0.2">
      <c r="A390" t="str">
        <f>IF(COUNTBLANK(B390:AB390)&lt;&gt;COLUMNS(B390:AB390),389,"")</f>
        <v/>
      </c>
      <c r="D390" s="1" t="str">
        <f t="shared" si="42"/>
        <v/>
      </c>
      <c r="G390" s="2" t="str">
        <f t="shared" si="43"/>
        <v/>
      </c>
      <c r="H390" s="1" t="str">
        <f t="shared" si="44"/>
        <v/>
      </c>
      <c r="S390" s="1" t="str">
        <f t="shared" si="45"/>
        <v/>
      </c>
      <c r="U390" s="1" t="str">
        <f t="shared" si="46"/>
        <v/>
      </c>
      <c r="X390" s="1" t="str">
        <f t="shared" si="47"/>
        <v/>
      </c>
      <c r="AA390" s="1" t="str">
        <f t="shared" si="48"/>
        <v/>
      </c>
    </row>
    <row r="391" spans="1:27" x14ac:dyDescent="0.2">
      <c r="A391" t="str">
        <f>IF(COUNTBLANK(B391:AB391)&lt;&gt;COLUMNS(B391:AB391),390,"")</f>
        <v/>
      </c>
      <c r="D391" s="1" t="str">
        <f t="shared" si="42"/>
        <v/>
      </c>
      <c r="G391" s="2" t="str">
        <f t="shared" si="43"/>
        <v/>
      </c>
      <c r="H391" s="1" t="str">
        <f t="shared" si="44"/>
        <v/>
      </c>
      <c r="S391" s="1" t="str">
        <f t="shared" si="45"/>
        <v/>
      </c>
      <c r="U391" s="1" t="str">
        <f t="shared" si="46"/>
        <v/>
      </c>
      <c r="X391" s="1" t="str">
        <f t="shared" si="47"/>
        <v/>
      </c>
      <c r="AA391" s="1" t="str">
        <f t="shared" si="48"/>
        <v/>
      </c>
    </row>
    <row r="392" spans="1:27" x14ac:dyDescent="0.2">
      <c r="A392" t="str">
        <f>IF(COUNTBLANK(B392:AB392)&lt;&gt;COLUMNS(B392:AB392),391,"")</f>
        <v/>
      </c>
      <c r="D392" s="1" t="str">
        <f t="shared" si="42"/>
        <v/>
      </c>
      <c r="G392" s="2" t="str">
        <f t="shared" si="43"/>
        <v/>
      </c>
      <c r="H392" s="1" t="str">
        <f t="shared" si="44"/>
        <v/>
      </c>
      <c r="S392" s="1" t="str">
        <f t="shared" si="45"/>
        <v/>
      </c>
      <c r="U392" s="1" t="str">
        <f t="shared" si="46"/>
        <v/>
      </c>
      <c r="X392" s="1" t="str">
        <f t="shared" si="47"/>
        <v/>
      </c>
      <c r="AA392" s="1" t="str">
        <f t="shared" si="48"/>
        <v/>
      </c>
    </row>
    <row r="393" spans="1:27" x14ac:dyDescent="0.2">
      <c r="A393" t="str">
        <f>IF(COUNTBLANK(B393:AB393)&lt;&gt;COLUMNS(B393:AB393),392,"")</f>
        <v/>
      </c>
      <c r="D393" s="1" t="str">
        <f t="shared" si="42"/>
        <v/>
      </c>
      <c r="G393" s="2" t="str">
        <f t="shared" si="43"/>
        <v/>
      </c>
      <c r="H393" s="1" t="str">
        <f t="shared" si="44"/>
        <v/>
      </c>
      <c r="S393" s="1" t="str">
        <f t="shared" si="45"/>
        <v/>
      </c>
      <c r="U393" s="1" t="str">
        <f t="shared" si="46"/>
        <v/>
      </c>
      <c r="X393" s="1" t="str">
        <f t="shared" si="47"/>
        <v/>
      </c>
      <c r="AA393" s="1" t="str">
        <f t="shared" si="48"/>
        <v/>
      </c>
    </row>
    <row r="394" spans="1:27" x14ac:dyDescent="0.2">
      <c r="A394" t="str">
        <f>IF(COUNTBLANK(B394:AB394)&lt;&gt;COLUMNS(B394:AB394),393,"")</f>
        <v/>
      </c>
      <c r="D394" s="1" t="str">
        <f t="shared" si="42"/>
        <v/>
      </c>
      <c r="G394" s="2" t="str">
        <f t="shared" si="43"/>
        <v/>
      </c>
      <c r="H394" s="1" t="str">
        <f t="shared" si="44"/>
        <v/>
      </c>
      <c r="S394" s="1" t="str">
        <f t="shared" si="45"/>
        <v/>
      </c>
      <c r="U394" s="1" t="str">
        <f t="shared" si="46"/>
        <v/>
      </c>
      <c r="X394" s="1" t="str">
        <f t="shared" si="47"/>
        <v/>
      </c>
      <c r="AA394" s="1" t="str">
        <f t="shared" si="48"/>
        <v/>
      </c>
    </row>
    <row r="395" spans="1:27" x14ac:dyDescent="0.2">
      <c r="A395" t="str">
        <f>IF(COUNTBLANK(B395:AB395)&lt;&gt;COLUMNS(B395:AB395),394,"")</f>
        <v/>
      </c>
      <c r="D395" s="1" t="str">
        <f t="shared" si="42"/>
        <v/>
      </c>
      <c r="G395" s="2" t="str">
        <f t="shared" si="43"/>
        <v/>
      </c>
      <c r="H395" s="1" t="str">
        <f t="shared" si="44"/>
        <v/>
      </c>
      <c r="S395" s="1" t="str">
        <f t="shared" si="45"/>
        <v/>
      </c>
      <c r="U395" s="1" t="str">
        <f t="shared" si="46"/>
        <v/>
      </c>
      <c r="X395" s="1" t="str">
        <f t="shared" si="47"/>
        <v/>
      </c>
      <c r="AA395" s="1" t="str">
        <f t="shared" si="48"/>
        <v/>
      </c>
    </row>
    <row r="396" spans="1:27" x14ac:dyDescent="0.2">
      <c r="A396" t="str">
        <f>IF(COUNTBLANK(B396:AB396)&lt;&gt;COLUMNS(B396:AB396),395,"")</f>
        <v/>
      </c>
      <c r="D396" s="1" t="str">
        <f t="shared" si="42"/>
        <v/>
      </c>
      <c r="G396" s="2" t="str">
        <f t="shared" si="43"/>
        <v/>
      </c>
      <c r="H396" s="1" t="str">
        <f t="shared" si="44"/>
        <v/>
      </c>
      <c r="S396" s="1" t="str">
        <f t="shared" si="45"/>
        <v/>
      </c>
      <c r="U396" s="1" t="str">
        <f t="shared" si="46"/>
        <v/>
      </c>
      <c r="X396" s="1" t="str">
        <f t="shared" si="47"/>
        <v/>
      </c>
      <c r="AA396" s="1" t="str">
        <f t="shared" si="48"/>
        <v/>
      </c>
    </row>
    <row r="397" spans="1:27" x14ac:dyDescent="0.2">
      <c r="A397" t="str">
        <f>IF(COUNTBLANK(B397:AB397)&lt;&gt;COLUMNS(B397:AB397),396,"")</f>
        <v/>
      </c>
      <c r="D397" s="1" t="str">
        <f t="shared" si="42"/>
        <v/>
      </c>
      <c r="G397" s="2" t="str">
        <f t="shared" si="43"/>
        <v/>
      </c>
      <c r="H397" s="1" t="str">
        <f t="shared" si="44"/>
        <v/>
      </c>
      <c r="S397" s="1" t="str">
        <f t="shared" si="45"/>
        <v/>
      </c>
      <c r="U397" s="1" t="str">
        <f t="shared" si="46"/>
        <v/>
      </c>
      <c r="X397" s="1" t="str">
        <f t="shared" si="47"/>
        <v/>
      </c>
      <c r="AA397" s="1" t="str">
        <f t="shared" si="48"/>
        <v/>
      </c>
    </row>
    <row r="398" spans="1:27" x14ac:dyDescent="0.2">
      <c r="A398" t="str">
        <f>IF(COUNTBLANK(B398:AB398)&lt;&gt;COLUMNS(B398:AB398),397,"")</f>
        <v/>
      </c>
      <c r="D398" s="1" t="str">
        <f t="shared" si="42"/>
        <v/>
      </c>
      <c r="G398" s="2" t="str">
        <f t="shared" si="43"/>
        <v/>
      </c>
      <c r="H398" s="1" t="str">
        <f t="shared" si="44"/>
        <v/>
      </c>
      <c r="S398" s="1" t="str">
        <f t="shared" si="45"/>
        <v/>
      </c>
      <c r="U398" s="1" t="str">
        <f t="shared" si="46"/>
        <v/>
      </c>
      <c r="X398" s="1" t="str">
        <f t="shared" si="47"/>
        <v/>
      </c>
      <c r="AA398" s="1" t="str">
        <f t="shared" si="48"/>
        <v/>
      </c>
    </row>
    <row r="399" spans="1:27" x14ac:dyDescent="0.2">
      <c r="A399" t="str">
        <f>IF(COUNTBLANK(B399:AB399)&lt;&gt;COLUMNS(B399:AB399),398,"")</f>
        <v/>
      </c>
      <c r="D399" s="1" t="str">
        <f t="shared" si="42"/>
        <v/>
      </c>
      <c r="G399" s="2" t="str">
        <f t="shared" si="43"/>
        <v/>
      </c>
      <c r="H399" s="1" t="str">
        <f t="shared" si="44"/>
        <v/>
      </c>
      <c r="S399" s="1" t="str">
        <f t="shared" si="45"/>
        <v/>
      </c>
      <c r="U399" s="1" t="str">
        <f t="shared" si="46"/>
        <v/>
      </c>
      <c r="X399" s="1" t="str">
        <f t="shared" si="47"/>
        <v/>
      </c>
      <c r="AA399" s="1" t="str">
        <f t="shared" si="48"/>
        <v/>
      </c>
    </row>
    <row r="400" spans="1:27" x14ac:dyDescent="0.2">
      <c r="A400" t="str">
        <f>IF(COUNTBLANK(B400:AB400)&lt;&gt;COLUMNS(B400:AB400),399,"")</f>
        <v/>
      </c>
      <c r="D400" s="1" t="str">
        <f t="shared" si="42"/>
        <v/>
      </c>
      <c r="G400" s="2" t="str">
        <f t="shared" si="43"/>
        <v/>
      </c>
      <c r="H400" s="1" t="str">
        <f t="shared" si="44"/>
        <v/>
      </c>
      <c r="S400" s="1" t="str">
        <f t="shared" si="45"/>
        <v/>
      </c>
      <c r="U400" s="1" t="str">
        <f t="shared" si="46"/>
        <v/>
      </c>
      <c r="X400" s="1" t="str">
        <f t="shared" si="47"/>
        <v/>
      </c>
      <c r="AA400" s="1" t="str">
        <f t="shared" si="48"/>
        <v/>
      </c>
    </row>
    <row r="401" spans="1:27" x14ac:dyDescent="0.2">
      <c r="A401" t="str">
        <f>IF(COUNTBLANK(B401:AB401)&lt;&gt;COLUMNS(B401:AB401),400,"")</f>
        <v/>
      </c>
      <c r="D401" s="1" t="str">
        <f t="shared" si="42"/>
        <v/>
      </c>
      <c r="G401" s="2" t="str">
        <f t="shared" si="43"/>
        <v/>
      </c>
      <c r="H401" s="1" t="str">
        <f t="shared" si="44"/>
        <v/>
      </c>
      <c r="S401" s="1" t="str">
        <f t="shared" si="45"/>
        <v/>
      </c>
      <c r="U401" s="1" t="str">
        <f t="shared" si="46"/>
        <v/>
      </c>
      <c r="X401" s="1" t="str">
        <f t="shared" si="47"/>
        <v/>
      </c>
      <c r="AA401" s="1" t="str">
        <f t="shared" si="48"/>
        <v/>
      </c>
    </row>
    <row r="402" spans="1:27" x14ac:dyDescent="0.2">
      <c r="A402" t="str">
        <f>IF(COUNTBLANK(B402:AB402)&lt;&gt;COLUMNS(B402:AB402),401,"")</f>
        <v/>
      </c>
      <c r="D402" s="1" t="str">
        <f t="shared" si="42"/>
        <v/>
      </c>
      <c r="G402" s="2" t="str">
        <f t="shared" si="43"/>
        <v/>
      </c>
      <c r="H402" s="1" t="str">
        <f t="shared" si="44"/>
        <v/>
      </c>
      <c r="S402" s="1" t="str">
        <f t="shared" si="45"/>
        <v/>
      </c>
      <c r="U402" s="1" t="str">
        <f t="shared" si="46"/>
        <v/>
      </c>
      <c r="X402" s="1" t="str">
        <f t="shared" si="47"/>
        <v/>
      </c>
      <c r="AA402" s="1" t="str">
        <f t="shared" si="48"/>
        <v/>
      </c>
    </row>
    <row r="403" spans="1:27" x14ac:dyDescent="0.2">
      <c r="A403" t="str">
        <f>IF(COUNTBLANK(B403:AB403)&lt;&gt;COLUMNS(B403:AB403),402,"")</f>
        <v/>
      </c>
      <c r="D403" s="1" t="str">
        <f t="shared" si="42"/>
        <v/>
      </c>
      <c r="G403" s="2" t="str">
        <f t="shared" si="43"/>
        <v/>
      </c>
      <c r="H403" s="1" t="str">
        <f t="shared" si="44"/>
        <v/>
      </c>
      <c r="S403" s="1" t="str">
        <f t="shared" si="45"/>
        <v/>
      </c>
      <c r="U403" s="1" t="str">
        <f t="shared" si="46"/>
        <v/>
      </c>
      <c r="X403" s="1" t="str">
        <f t="shared" si="47"/>
        <v/>
      </c>
      <c r="AA403" s="1" t="str">
        <f t="shared" si="48"/>
        <v/>
      </c>
    </row>
    <row r="404" spans="1:27" x14ac:dyDescent="0.2">
      <c r="A404" t="str">
        <f>IF(COUNTBLANK(B404:AB404)&lt;&gt;COLUMNS(B404:AB404),403,"")</f>
        <v/>
      </c>
      <c r="D404" s="1" t="str">
        <f t="shared" si="42"/>
        <v/>
      </c>
      <c r="G404" s="2" t="str">
        <f t="shared" si="43"/>
        <v/>
      </c>
      <c r="H404" s="1" t="str">
        <f t="shared" si="44"/>
        <v/>
      </c>
      <c r="S404" s="1" t="str">
        <f t="shared" si="45"/>
        <v/>
      </c>
      <c r="U404" s="1" t="str">
        <f t="shared" si="46"/>
        <v/>
      </c>
      <c r="X404" s="1" t="str">
        <f t="shared" si="47"/>
        <v/>
      </c>
      <c r="AA404" s="1" t="str">
        <f t="shared" si="48"/>
        <v/>
      </c>
    </row>
    <row r="405" spans="1:27" x14ac:dyDescent="0.2">
      <c r="A405" t="str">
        <f>IF(COUNTBLANK(B405:AB405)&lt;&gt;COLUMNS(B405:AB405),404,"")</f>
        <v/>
      </c>
      <c r="D405" s="1" t="str">
        <f t="shared" si="42"/>
        <v/>
      </c>
      <c r="G405" s="2" t="str">
        <f t="shared" si="43"/>
        <v/>
      </c>
      <c r="H405" s="1" t="str">
        <f t="shared" si="44"/>
        <v/>
      </c>
      <c r="S405" s="1" t="str">
        <f t="shared" si="45"/>
        <v/>
      </c>
      <c r="U405" s="1" t="str">
        <f t="shared" si="46"/>
        <v/>
      </c>
      <c r="X405" s="1" t="str">
        <f t="shared" si="47"/>
        <v/>
      </c>
      <c r="AA405" s="1" t="str">
        <f t="shared" si="48"/>
        <v/>
      </c>
    </row>
    <row r="406" spans="1:27" x14ac:dyDescent="0.2">
      <c r="A406" t="str">
        <f>IF(COUNTBLANK(B406:AB406)&lt;&gt;COLUMNS(B406:AB406),405,"")</f>
        <v/>
      </c>
      <c r="D406" s="1" t="str">
        <f t="shared" si="42"/>
        <v/>
      </c>
      <c r="G406" s="2" t="str">
        <f t="shared" si="43"/>
        <v/>
      </c>
      <c r="H406" s="1" t="str">
        <f t="shared" si="44"/>
        <v/>
      </c>
      <c r="S406" s="1" t="str">
        <f t="shared" si="45"/>
        <v/>
      </c>
      <c r="U406" s="1" t="str">
        <f t="shared" si="46"/>
        <v/>
      </c>
      <c r="X406" s="1" t="str">
        <f t="shared" si="47"/>
        <v/>
      </c>
      <c r="AA406" s="1" t="str">
        <f t="shared" si="48"/>
        <v/>
      </c>
    </row>
    <row r="407" spans="1:27" x14ac:dyDescent="0.2">
      <c r="A407" t="str">
        <f>IF(COUNTBLANK(B407:AB407)&lt;&gt;COLUMNS(B407:AB407),406,"")</f>
        <v/>
      </c>
      <c r="D407" s="1" t="str">
        <f t="shared" si="42"/>
        <v/>
      </c>
      <c r="G407" s="2" t="str">
        <f t="shared" si="43"/>
        <v/>
      </c>
      <c r="H407" s="1" t="str">
        <f t="shared" si="44"/>
        <v/>
      </c>
      <c r="S407" s="1" t="str">
        <f t="shared" si="45"/>
        <v/>
      </c>
      <c r="U407" s="1" t="str">
        <f t="shared" si="46"/>
        <v/>
      </c>
      <c r="X407" s="1" t="str">
        <f t="shared" si="47"/>
        <v/>
      </c>
      <c r="AA407" s="1" t="str">
        <f t="shared" si="48"/>
        <v/>
      </c>
    </row>
    <row r="408" spans="1:27" x14ac:dyDescent="0.2">
      <c r="A408" t="str">
        <f>IF(COUNTBLANK(B408:AB408)&lt;&gt;COLUMNS(B408:AB408),407,"")</f>
        <v/>
      </c>
      <c r="D408" s="1" t="str">
        <f t="shared" si="42"/>
        <v/>
      </c>
      <c r="G408" s="2" t="str">
        <f t="shared" si="43"/>
        <v/>
      </c>
      <c r="H408" s="1" t="str">
        <f t="shared" si="44"/>
        <v/>
      </c>
      <c r="S408" s="1" t="str">
        <f t="shared" si="45"/>
        <v/>
      </c>
      <c r="U408" s="1" t="str">
        <f t="shared" si="46"/>
        <v/>
      </c>
      <c r="X408" s="1" t="str">
        <f t="shared" si="47"/>
        <v/>
      </c>
      <c r="AA408" s="1" t="str">
        <f t="shared" si="48"/>
        <v/>
      </c>
    </row>
    <row r="409" spans="1:27" x14ac:dyDescent="0.2">
      <c r="A409" t="str">
        <f>IF(COUNTBLANK(B409:AB409)&lt;&gt;COLUMNS(B409:AB409),408,"")</f>
        <v/>
      </c>
      <c r="D409" s="1" t="str">
        <f t="shared" si="42"/>
        <v/>
      </c>
      <c r="G409" s="2" t="str">
        <f t="shared" si="43"/>
        <v/>
      </c>
      <c r="H409" s="1" t="str">
        <f t="shared" si="44"/>
        <v/>
      </c>
      <c r="S409" s="1" t="str">
        <f t="shared" si="45"/>
        <v/>
      </c>
      <c r="U409" s="1" t="str">
        <f t="shared" si="46"/>
        <v/>
      </c>
      <c r="X409" s="1" t="str">
        <f t="shared" si="47"/>
        <v/>
      </c>
      <c r="AA409" s="1" t="str">
        <f t="shared" si="48"/>
        <v/>
      </c>
    </row>
    <row r="410" spans="1:27" x14ac:dyDescent="0.2">
      <c r="A410" t="str">
        <f>IF(COUNTBLANK(B410:AB410)&lt;&gt;COLUMNS(B410:AB410),409,"")</f>
        <v/>
      </c>
      <c r="D410" s="1" t="str">
        <f t="shared" si="42"/>
        <v/>
      </c>
      <c r="G410" s="2" t="str">
        <f t="shared" si="43"/>
        <v/>
      </c>
      <c r="H410" s="1" t="str">
        <f t="shared" si="44"/>
        <v/>
      </c>
      <c r="S410" s="1" t="str">
        <f t="shared" si="45"/>
        <v/>
      </c>
      <c r="U410" s="1" t="str">
        <f t="shared" si="46"/>
        <v/>
      </c>
      <c r="X410" s="1" t="str">
        <f t="shared" si="47"/>
        <v/>
      </c>
      <c r="AA410" s="1" t="str">
        <f t="shared" si="48"/>
        <v/>
      </c>
    </row>
    <row r="411" spans="1:27" x14ac:dyDescent="0.2">
      <c r="A411" t="str">
        <f>IF(COUNTBLANK(B411:AB411)&lt;&gt;COLUMNS(B411:AB411),410,"")</f>
        <v/>
      </c>
      <c r="D411" s="1" t="str">
        <f t="shared" si="42"/>
        <v/>
      </c>
      <c r="G411" s="2" t="str">
        <f t="shared" si="43"/>
        <v/>
      </c>
      <c r="H411" s="1" t="str">
        <f t="shared" si="44"/>
        <v/>
      </c>
      <c r="S411" s="1" t="str">
        <f t="shared" si="45"/>
        <v/>
      </c>
      <c r="U411" s="1" t="str">
        <f t="shared" si="46"/>
        <v/>
      </c>
      <c r="X411" s="1" t="str">
        <f t="shared" si="47"/>
        <v/>
      </c>
      <c r="AA411" s="1" t="str">
        <f t="shared" si="48"/>
        <v/>
      </c>
    </row>
    <row r="412" spans="1:27" x14ac:dyDescent="0.2">
      <c r="A412" t="str">
        <f>IF(COUNTBLANK(B412:AB412)&lt;&gt;COLUMNS(B412:AB412),411,"")</f>
        <v/>
      </c>
      <c r="D412" s="1" t="str">
        <f t="shared" si="42"/>
        <v/>
      </c>
      <c r="G412" s="2" t="str">
        <f t="shared" si="43"/>
        <v/>
      </c>
      <c r="H412" s="1" t="str">
        <f t="shared" si="44"/>
        <v/>
      </c>
      <c r="S412" s="1" t="str">
        <f t="shared" si="45"/>
        <v/>
      </c>
      <c r="U412" s="1" t="str">
        <f t="shared" si="46"/>
        <v/>
      </c>
      <c r="X412" s="1" t="str">
        <f t="shared" si="47"/>
        <v/>
      </c>
      <c r="AA412" s="1" t="str">
        <f t="shared" si="48"/>
        <v/>
      </c>
    </row>
    <row r="413" spans="1:27" x14ac:dyDescent="0.2">
      <c r="A413" t="str">
        <f>IF(COUNTBLANK(B413:AB413)&lt;&gt;COLUMNS(B413:AB413),412,"")</f>
        <v/>
      </c>
      <c r="D413" s="1" t="str">
        <f t="shared" si="42"/>
        <v/>
      </c>
      <c r="G413" s="2" t="str">
        <f t="shared" si="43"/>
        <v/>
      </c>
      <c r="H413" s="1" t="str">
        <f t="shared" si="44"/>
        <v/>
      </c>
      <c r="S413" s="1" t="str">
        <f t="shared" si="45"/>
        <v/>
      </c>
      <c r="U413" s="1" t="str">
        <f t="shared" si="46"/>
        <v/>
      </c>
      <c r="X413" s="1" t="str">
        <f t="shared" si="47"/>
        <v/>
      </c>
      <c r="AA413" s="1" t="str">
        <f t="shared" si="48"/>
        <v/>
      </c>
    </row>
    <row r="414" spans="1:27" x14ac:dyDescent="0.2">
      <c r="A414" t="str">
        <f>IF(COUNTBLANK(B414:AB414)&lt;&gt;COLUMNS(B414:AB414),413,"")</f>
        <v/>
      </c>
      <c r="D414" s="1" t="str">
        <f t="shared" si="42"/>
        <v/>
      </c>
      <c r="G414" s="2" t="str">
        <f t="shared" si="43"/>
        <v/>
      </c>
      <c r="H414" s="1" t="str">
        <f t="shared" si="44"/>
        <v/>
      </c>
      <c r="S414" s="1" t="str">
        <f t="shared" si="45"/>
        <v/>
      </c>
      <c r="U414" s="1" t="str">
        <f t="shared" si="46"/>
        <v/>
      </c>
      <c r="X414" s="1" t="str">
        <f t="shared" si="47"/>
        <v/>
      </c>
      <c r="AA414" s="1" t="str">
        <f t="shared" si="48"/>
        <v/>
      </c>
    </row>
    <row r="415" spans="1:27" x14ac:dyDescent="0.2">
      <c r="A415" t="str">
        <f>IF(COUNTBLANK(B415:AB415)&lt;&gt;COLUMNS(B415:AB415),414,"")</f>
        <v/>
      </c>
      <c r="D415" s="1" t="str">
        <f t="shared" si="42"/>
        <v/>
      </c>
      <c r="G415" s="2" t="str">
        <f t="shared" si="43"/>
        <v/>
      </c>
      <c r="H415" s="1" t="str">
        <f t="shared" si="44"/>
        <v/>
      </c>
      <c r="S415" s="1" t="str">
        <f t="shared" si="45"/>
        <v/>
      </c>
      <c r="U415" s="1" t="str">
        <f t="shared" si="46"/>
        <v/>
      </c>
      <c r="X415" s="1" t="str">
        <f t="shared" si="47"/>
        <v/>
      </c>
      <c r="AA415" s="1" t="str">
        <f t="shared" si="48"/>
        <v/>
      </c>
    </row>
    <row r="416" spans="1:27" x14ac:dyDescent="0.2">
      <c r="A416" t="str">
        <f>IF(COUNTBLANK(B416:AB416)&lt;&gt;COLUMNS(B416:AB416),415,"")</f>
        <v/>
      </c>
      <c r="D416" s="1" t="str">
        <f t="shared" si="42"/>
        <v/>
      </c>
      <c r="G416" s="2" t="str">
        <f t="shared" si="43"/>
        <v/>
      </c>
      <c r="H416" s="1" t="str">
        <f t="shared" si="44"/>
        <v/>
      </c>
      <c r="S416" s="1" t="str">
        <f t="shared" si="45"/>
        <v/>
      </c>
      <c r="U416" s="1" t="str">
        <f t="shared" si="46"/>
        <v/>
      </c>
      <c r="X416" s="1" t="str">
        <f t="shared" si="47"/>
        <v/>
      </c>
      <c r="AA416" s="1" t="str">
        <f t="shared" si="48"/>
        <v/>
      </c>
    </row>
    <row r="417" spans="1:27" x14ac:dyDescent="0.2">
      <c r="A417" t="str">
        <f>IF(COUNTBLANK(B417:AB417)&lt;&gt;COLUMNS(B417:AB417),416,"")</f>
        <v/>
      </c>
      <c r="D417" s="1" t="str">
        <f t="shared" si="42"/>
        <v/>
      </c>
      <c r="G417" s="2" t="str">
        <f t="shared" si="43"/>
        <v/>
      </c>
      <c r="H417" s="1" t="str">
        <f t="shared" si="44"/>
        <v/>
      </c>
      <c r="S417" s="1" t="str">
        <f t="shared" si="45"/>
        <v/>
      </c>
      <c r="U417" s="1" t="str">
        <f t="shared" si="46"/>
        <v/>
      </c>
      <c r="X417" s="1" t="str">
        <f t="shared" si="47"/>
        <v/>
      </c>
      <c r="AA417" s="1" t="str">
        <f t="shared" si="48"/>
        <v/>
      </c>
    </row>
    <row r="418" spans="1:27" x14ac:dyDescent="0.2">
      <c r="A418" t="str">
        <f>IF(COUNTBLANK(B418:AB418)&lt;&gt;COLUMNS(B418:AB418),417,"")</f>
        <v/>
      </c>
      <c r="D418" s="1" t="str">
        <f t="shared" si="42"/>
        <v/>
      </c>
      <c r="G418" s="2" t="str">
        <f t="shared" si="43"/>
        <v/>
      </c>
      <c r="H418" s="1" t="str">
        <f t="shared" si="44"/>
        <v/>
      </c>
      <c r="S418" s="1" t="str">
        <f t="shared" si="45"/>
        <v/>
      </c>
      <c r="U418" s="1" t="str">
        <f t="shared" si="46"/>
        <v/>
      </c>
      <c r="X418" s="1" t="str">
        <f t="shared" si="47"/>
        <v/>
      </c>
      <c r="AA418" s="1" t="str">
        <f t="shared" si="48"/>
        <v/>
      </c>
    </row>
    <row r="419" spans="1:27" x14ac:dyDescent="0.2">
      <c r="A419" t="str">
        <f>IF(COUNTBLANK(B419:AB419)&lt;&gt;COLUMNS(B419:AB419),418,"")</f>
        <v/>
      </c>
      <c r="D419" s="1" t="str">
        <f t="shared" si="42"/>
        <v/>
      </c>
      <c r="G419" s="2" t="str">
        <f t="shared" si="43"/>
        <v/>
      </c>
      <c r="H419" s="1" t="str">
        <f t="shared" si="44"/>
        <v/>
      </c>
      <c r="S419" s="1" t="str">
        <f t="shared" si="45"/>
        <v/>
      </c>
      <c r="U419" s="1" t="str">
        <f t="shared" si="46"/>
        <v/>
      </c>
      <c r="X419" s="1" t="str">
        <f t="shared" si="47"/>
        <v/>
      </c>
      <c r="AA419" s="1" t="str">
        <f t="shared" si="48"/>
        <v/>
      </c>
    </row>
    <row r="420" spans="1:27" x14ac:dyDescent="0.2">
      <c r="A420" t="str">
        <f>IF(COUNTBLANK(B420:AB420)&lt;&gt;COLUMNS(B420:AB420),419,"")</f>
        <v/>
      </c>
      <c r="D420" s="1" t="str">
        <f t="shared" si="42"/>
        <v/>
      </c>
      <c r="G420" s="2" t="str">
        <f t="shared" si="43"/>
        <v/>
      </c>
      <c r="H420" s="1" t="str">
        <f t="shared" si="44"/>
        <v/>
      </c>
      <c r="S420" s="1" t="str">
        <f t="shared" si="45"/>
        <v/>
      </c>
      <c r="U420" s="1" t="str">
        <f t="shared" si="46"/>
        <v/>
      </c>
      <c r="X420" s="1" t="str">
        <f t="shared" si="47"/>
        <v/>
      </c>
      <c r="AA420" s="1" t="str">
        <f t="shared" si="48"/>
        <v/>
      </c>
    </row>
    <row r="421" spans="1:27" x14ac:dyDescent="0.2">
      <c r="A421" t="str">
        <f>IF(COUNTBLANK(B421:AB421)&lt;&gt;COLUMNS(B421:AB421),420,"")</f>
        <v/>
      </c>
      <c r="D421" s="1" t="str">
        <f t="shared" si="42"/>
        <v/>
      </c>
      <c r="G421" s="2" t="str">
        <f t="shared" si="43"/>
        <v/>
      </c>
      <c r="H421" s="1" t="str">
        <f t="shared" si="44"/>
        <v/>
      </c>
      <c r="S421" s="1" t="str">
        <f t="shared" si="45"/>
        <v/>
      </c>
      <c r="U421" s="1" t="str">
        <f t="shared" si="46"/>
        <v/>
      </c>
      <c r="X421" s="1" t="str">
        <f t="shared" si="47"/>
        <v/>
      </c>
      <c r="AA421" s="1" t="str">
        <f t="shared" si="48"/>
        <v/>
      </c>
    </row>
    <row r="422" spans="1:27" x14ac:dyDescent="0.2">
      <c r="A422" t="str">
        <f>IF(COUNTBLANK(B422:AB422)&lt;&gt;COLUMNS(B422:AB422),421,"")</f>
        <v/>
      </c>
      <c r="D422" s="1" t="str">
        <f t="shared" si="42"/>
        <v/>
      </c>
      <c r="G422" s="2" t="str">
        <f t="shared" si="43"/>
        <v/>
      </c>
      <c r="H422" s="1" t="str">
        <f t="shared" si="44"/>
        <v/>
      </c>
      <c r="S422" s="1" t="str">
        <f t="shared" si="45"/>
        <v/>
      </c>
      <c r="U422" s="1" t="str">
        <f t="shared" si="46"/>
        <v/>
      </c>
      <c r="X422" s="1" t="str">
        <f t="shared" si="47"/>
        <v/>
      </c>
      <c r="AA422" s="1" t="str">
        <f t="shared" si="48"/>
        <v/>
      </c>
    </row>
    <row r="423" spans="1:27" x14ac:dyDescent="0.2">
      <c r="A423" t="str">
        <f>IF(COUNTBLANK(B423:AB423)&lt;&gt;COLUMNS(B423:AB423),422,"")</f>
        <v/>
      </c>
      <c r="D423" s="1" t="str">
        <f t="shared" si="42"/>
        <v/>
      </c>
      <c r="G423" s="2" t="str">
        <f t="shared" si="43"/>
        <v/>
      </c>
      <c r="H423" s="1" t="str">
        <f t="shared" si="44"/>
        <v/>
      </c>
      <c r="S423" s="1" t="str">
        <f t="shared" si="45"/>
        <v/>
      </c>
      <c r="U423" s="1" t="str">
        <f t="shared" si="46"/>
        <v/>
      </c>
      <c r="X423" s="1" t="str">
        <f t="shared" si="47"/>
        <v/>
      </c>
      <c r="AA423" s="1" t="str">
        <f t="shared" si="48"/>
        <v/>
      </c>
    </row>
    <row r="424" spans="1:27" x14ac:dyDescent="0.2">
      <c r="A424" t="str">
        <f>IF(COUNTBLANK(B424:AB424)&lt;&gt;COLUMNS(B424:AB424),423,"")</f>
        <v/>
      </c>
      <c r="D424" s="1" t="str">
        <f t="shared" si="42"/>
        <v/>
      </c>
      <c r="G424" s="2" t="str">
        <f t="shared" si="43"/>
        <v/>
      </c>
      <c r="H424" s="1" t="str">
        <f t="shared" si="44"/>
        <v/>
      </c>
      <c r="S424" s="1" t="str">
        <f t="shared" si="45"/>
        <v/>
      </c>
      <c r="U424" s="1" t="str">
        <f t="shared" si="46"/>
        <v/>
      </c>
      <c r="X424" s="1" t="str">
        <f t="shared" si="47"/>
        <v/>
      </c>
      <c r="AA424" s="1" t="str">
        <f t="shared" si="48"/>
        <v/>
      </c>
    </row>
    <row r="425" spans="1:27" x14ac:dyDescent="0.2">
      <c r="A425" t="str">
        <f>IF(COUNTBLANK(B425:AB425)&lt;&gt;COLUMNS(B425:AB425),424,"")</f>
        <v/>
      </c>
      <c r="D425" s="1" t="str">
        <f t="shared" si="42"/>
        <v/>
      </c>
      <c r="G425" s="2" t="str">
        <f t="shared" si="43"/>
        <v/>
      </c>
      <c r="H425" s="1" t="str">
        <f t="shared" si="44"/>
        <v/>
      </c>
      <c r="S425" s="1" t="str">
        <f t="shared" si="45"/>
        <v/>
      </c>
      <c r="U425" s="1" t="str">
        <f t="shared" si="46"/>
        <v/>
      </c>
      <c r="X425" s="1" t="str">
        <f t="shared" si="47"/>
        <v/>
      </c>
      <c r="AA425" s="1" t="str">
        <f t="shared" si="48"/>
        <v/>
      </c>
    </row>
    <row r="426" spans="1:27" x14ac:dyDescent="0.2">
      <c r="A426" t="str">
        <f>IF(COUNTBLANK(B426:AB426)&lt;&gt;COLUMNS(B426:AB426),425,"")</f>
        <v/>
      </c>
      <c r="D426" s="1" t="str">
        <f t="shared" si="42"/>
        <v/>
      </c>
      <c r="G426" s="2" t="str">
        <f t="shared" si="43"/>
        <v/>
      </c>
      <c r="H426" s="1" t="str">
        <f t="shared" si="44"/>
        <v/>
      </c>
      <c r="S426" s="1" t="str">
        <f t="shared" si="45"/>
        <v/>
      </c>
      <c r="U426" s="1" t="str">
        <f t="shared" si="46"/>
        <v/>
      </c>
      <c r="X426" s="1" t="str">
        <f t="shared" si="47"/>
        <v/>
      </c>
      <c r="AA426" s="1" t="str">
        <f t="shared" si="48"/>
        <v/>
      </c>
    </row>
    <row r="427" spans="1:27" x14ac:dyDescent="0.2">
      <c r="A427" t="str">
        <f>IF(COUNTBLANK(B427:AB427)&lt;&gt;COLUMNS(B427:AB427),426,"")</f>
        <v/>
      </c>
      <c r="D427" s="1" t="str">
        <f t="shared" si="42"/>
        <v/>
      </c>
      <c r="G427" s="2" t="str">
        <f t="shared" si="43"/>
        <v/>
      </c>
      <c r="H427" s="1" t="str">
        <f t="shared" si="44"/>
        <v/>
      </c>
      <c r="S427" s="1" t="str">
        <f t="shared" si="45"/>
        <v/>
      </c>
      <c r="U427" s="1" t="str">
        <f t="shared" si="46"/>
        <v/>
      </c>
      <c r="X427" s="1" t="str">
        <f t="shared" si="47"/>
        <v/>
      </c>
      <c r="AA427" s="1" t="str">
        <f t="shared" si="48"/>
        <v/>
      </c>
    </row>
    <row r="428" spans="1:27" x14ac:dyDescent="0.2">
      <c r="A428" t="str">
        <f>IF(COUNTBLANK(B428:AB428)&lt;&gt;COLUMNS(B428:AB428),427,"")</f>
        <v/>
      </c>
      <c r="D428" s="1" t="str">
        <f t="shared" si="42"/>
        <v/>
      </c>
      <c r="G428" s="2" t="str">
        <f t="shared" si="43"/>
        <v/>
      </c>
      <c r="H428" s="1" t="str">
        <f t="shared" si="44"/>
        <v/>
      </c>
      <c r="S428" s="1" t="str">
        <f t="shared" si="45"/>
        <v/>
      </c>
      <c r="U428" s="1" t="str">
        <f t="shared" si="46"/>
        <v/>
      </c>
      <c r="X428" s="1" t="str">
        <f t="shared" si="47"/>
        <v/>
      </c>
      <c r="AA428" s="1" t="str">
        <f t="shared" si="48"/>
        <v/>
      </c>
    </row>
    <row r="429" spans="1:27" x14ac:dyDescent="0.2">
      <c r="A429" t="str">
        <f>IF(COUNTBLANK(B429:AB429)&lt;&gt;COLUMNS(B429:AB429),428,"")</f>
        <v/>
      </c>
      <c r="D429" s="1" t="str">
        <f t="shared" si="42"/>
        <v/>
      </c>
      <c r="G429" s="2" t="str">
        <f t="shared" si="43"/>
        <v/>
      </c>
      <c r="H429" s="1" t="str">
        <f t="shared" si="44"/>
        <v/>
      </c>
      <c r="S429" s="1" t="str">
        <f t="shared" si="45"/>
        <v/>
      </c>
      <c r="U429" s="1" t="str">
        <f t="shared" si="46"/>
        <v/>
      </c>
      <c r="X429" s="1" t="str">
        <f t="shared" si="47"/>
        <v/>
      </c>
      <c r="AA429" s="1" t="str">
        <f t="shared" si="48"/>
        <v/>
      </c>
    </row>
    <row r="430" spans="1:27" x14ac:dyDescent="0.2">
      <c r="A430" t="str">
        <f>IF(COUNTBLANK(B430:AB430)&lt;&gt;COLUMNS(B430:AB430),429,"")</f>
        <v/>
      </c>
      <c r="D430" s="1" t="str">
        <f t="shared" si="42"/>
        <v/>
      </c>
      <c r="G430" s="2" t="str">
        <f t="shared" si="43"/>
        <v/>
      </c>
      <c r="H430" s="1" t="str">
        <f t="shared" si="44"/>
        <v/>
      </c>
      <c r="S430" s="1" t="str">
        <f t="shared" si="45"/>
        <v/>
      </c>
      <c r="U430" s="1" t="str">
        <f t="shared" si="46"/>
        <v/>
      </c>
      <c r="X430" s="1" t="str">
        <f t="shared" si="47"/>
        <v/>
      </c>
      <c r="AA430" s="1" t="str">
        <f t="shared" si="48"/>
        <v/>
      </c>
    </row>
    <row r="431" spans="1:27" x14ac:dyDescent="0.2">
      <c r="A431" t="str">
        <f>IF(COUNTBLANK(B431:AB431)&lt;&gt;COLUMNS(B431:AB431),430,"")</f>
        <v/>
      </c>
      <c r="D431" s="1" t="str">
        <f t="shared" si="42"/>
        <v/>
      </c>
      <c r="G431" s="2" t="str">
        <f t="shared" si="43"/>
        <v/>
      </c>
      <c r="H431" s="1" t="str">
        <f t="shared" si="44"/>
        <v/>
      </c>
      <c r="S431" s="1" t="str">
        <f t="shared" si="45"/>
        <v/>
      </c>
      <c r="U431" s="1" t="str">
        <f t="shared" si="46"/>
        <v/>
      </c>
      <c r="X431" s="1" t="str">
        <f t="shared" si="47"/>
        <v/>
      </c>
      <c r="AA431" s="1" t="str">
        <f t="shared" si="48"/>
        <v/>
      </c>
    </row>
    <row r="432" spans="1:27" x14ac:dyDescent="0.2">
      <c r="A432" t="str">
        <f>IF(COUNTBLANK(B432:AB432)&lt;&gt;COLUMNS(B432:AB432),431,"")</f>
        <v/>
      </c>
      <c r="D432" s="1" t="str">
        <f t="shared" si="42"/>
        <v/>
      </c>
      <c r="G432" s="2" t="str">
        <f t="shared" si="43"/>
        <v/>
      </c>
      <c r="H432" s="1" t="str">
        <f t="shared" si="44"/>
        <v/>
      </c>
      <c r="S432" s="1" t="str">
        <f t="shared" si="45"/>
        <v/>
      </c>
      <c r="U432" s="1" t="str">
        <f t="shared" si="46"/>
        <v/>
      </c>
      <c r="X432" s="1" t="str">
        <f t="shared" si="47"/>
        <v/>
      </c>
      <c r="AA432" s="1" t="str">
        <f t="shared" si="48"/>
        <v/>
      </c>
    </row>
    <row r="433" spans="1:27" x14ac:dyDescent="0.2">
      <c r="A433" t="str">
        <f>IF(COUNTBLANK(B433:AB433)&lt;&gt;COLUMNS(B433:AB433),432,"")</f>
        <v/>
      </c>
      <c r="D433" s="1" t="str">
        <f t="shared" si="42"/>
        <v/>
      </c>
      <c r="G433" s="2" t="str">
        <f t="shared" si="43"/>
        <v/>
      </c>
      <c r="H433" s="1" t="str">
        <f t="shared" si="44"/>
        <v/>
      </c>
      <c r="S433" s="1" t="str">
        <f t="shared" si="45"/>
        <v/>
      </c>
      <c r="U433" s="1" t="str">
        <f t="shared" si="46"/>
        <v/>
      </c>
      <c r="X433" s="1" t="str">
        <f t="shared" si="47"/>
        <v/>
      </c>
      <c r="AA433" s="1" t="str">
        <f t="shared" si="48"/>
        <v/>
      </c>
    </row>
    <row r="434" spans="1:27" x14ac:dyDescent="0.2">
      <c r="A434" t="str">
        <f>IF(COUNTBLANK(B434:AB434)&lt;&gt;COLUMNS(B434:AB434),433,"")</f>
        <v/>
      </c>
      <c r="D434" s="1" t="str">
        <f t="shared" si="42"/>
        <v/>
      </c>
      <c r="G434" s="2" t="str">
        <f t="shared" si="43"/>
        <v/>
      </c>
      <c r="H434" s="1" t="str">
        <f t="shared" si="44"/>
        <v/>
      </c>
      <c r="S434" s="1" t="str">
        <f t="shared" si="45"/>
        <v/>
      </c>
      <c r="U434" s="1" t="str">
        <f t="shared" si="46"/>
        <v/>
      </c>
      <c r="X434" s="1" t="str">
        <f t="shared" si="47"/>
        <v/>
      </c>
      <c r="AA434" s="1" t="str">
        <f t="shared" si="48"/>
        <v/>
      </c>
    </row>
    <row r="435" spans="1:27" x14ac:dyDescent="0.2">
      <c r="A435" t="str">
        <f>IF(COUNTBLANK(B435:AB435)&lt;&gt;COLUMNS(B435:AB435),434,"")</f>
        <v/>
      </c>
      <c r="D435" s="1" t="str">
        <f t="shared" si="42"/>
        <v/>
      </c>
      <c r="G435" s="2" t="str">
        <f t="shared" si="43"/>
        <v/>
      </c>
      <c r="H435" s="1" t="str">
        <f t="shared" si="44"/>
        <v/>
      </c>
      <c r="S435" s="1" t="str">
        <f t="shared" si="45"/>
        <v/>
      </c>
      <c r="U435" s="1" t="str">
        <f t="shared" si="46"/>
        <v/>
      </c>
      <c r="X435" s="1" t="str">
        <f t="shared" si="47"/>
        <v/>
      </c>
      <c r="AA435" s="1" t="str">
        <f t="shared" si="48"/>
        <v/>
      </c>
    </row>
    <row r="436" spans="1:27" x14ac:dyDescent="0.2">
      <c r="A436" t="str">
        <f>IF(COUNTBLANK(B436:AB436)&lt;&gt;COLUMNS(B436:AB436),435,"")</f>
        <v/>
      </c>
      <c r="D436" s="1" t="str">
        <f t="shared" si="42"/>
        <v/>
      </c>
      <c r="G436" s="2" t="str">
        <f t="shared" si="43"/>
        <v/>
      </c>
      <c r="H436" s="1" t="str">
        <f t="shared" si="44"/>
        <v/>
      </c>
      <c r="S436" s="1" t="str">
        <f t="shared" si="45"/>
        <v/>
      </c>
      <c r="U436" s="1" t="str">
        <f t="shared" si="46"/>
        <v/>
      </c>
      <c r="X436" s="1" t="str">
        <f t="shared" si="47"/>
        <v/>
      </c>
      <c r="AA436" s="1" t="str">
        <f t="shared" si="48"/>
        <v/>
      </c>
    </row>
    <row r="437" spans="1:27" x14ac:dyDescent="0.2">
      <c r="A437" t="str">
        <f>IF(COUNTBLANK(B437:AB437)&lt;&gt;COLUMNS(B437:AB437),436,"")</f>
        <v/>
      </c>
      <c r="D437" s="1" t="str">
        <f t="shared" si="42"/>
        <v/>
      </c>
      <c r="G437" s="2" t="str">
        <f t="shared" si="43"/>
        <v/>
      </c>
      <c r="H437" s="1" t="str">
        <f t="shared" si="44"/>
        <v/>
      </c>
      <c r="S437" s="1" t="str">
        <f t="shared" si="45"/>
        <v/>
      </c>
      <c r="U437" s="1" t="str">
        <f t="shared" si="46"/>
        <v/>
      </c>
      <c r="X437" s="1" t="str">
        <f t="shared" si="47"/>
        <v/>
      </c>
      <c r="AA437" s="1" t="str">
        <f t="shared" si="48"/>
        <v/>
      </c>
    </row>
    <row r="438" spans="1:27" x14ac:dyDescent="0.2">
      <c r="A438" t="str">
        <f>IF(COUNTBLANK(B438:AB438)&lt;&gt;COLUMNS(B438:AB438),437,"")</f>
        <v/>
      </c>
      <c r="D438" s="1" t="str">
        <f t="shared" si="42"/>
        <v/>
      </c>
      <c r="G438" s="2" t="str">
        <f t="shared" si="43"/>
        <v/>
      </c>
      <c r="H438" s="1" t="str">
        <f t="shared" si="44"/>
        <v/>
      </c>
      <c r="S438" s="1" t="str">
        <f t="shared" si="45"/>
        <v/>
      </c>
      <c r="U438" s="1" t="str">
        <f t="shared" si="46"/>
        <v/>
      </c>
      <c r="X438" s="1" t="str">
        <f t="shared" si="47"/>
        <v/>
      </c>
      <c r="AA438" s="1" t="str">
        <f t="shared" si="48"/>
        <v/>
      </c>
    </row>
    <row r="439" spans="1:27" x14ac:dyDescent="0.2">
      <c r="A439" t="str">
        <f>IF(COUNTBLANK(B439:AB439)&lt;&gt;COLUMNS(B439:AB439),438,"")</f>
        <v/>
      </c>
      <c r="D439" s="1" t="str">
        <f t="shared" si="42"/>
        <v/>
      </c>
      <c r="G439" s="2" t="str">
        <f t="shared" si="43"/>
        <v/>
      </c>
      <c r="H439" s="1" t="str">
        <f t="shared" si="44"/>
        <v/>
      </c>
      <c r="S439" s="1" t="str">
        <f t="shared" si="45"/>
        <v/>
      </c>
      <c r="U439" s="1" t="str">
        <f t="shared" si="46"/>
        <v/>
      </c>
      <c r="X439" s="1" t="str">
        <f t="shared" si="47"/>
        <v/>
      </c>
      <c r="AA439" s="1" t="str">
        <f t="shared" si="48"/>
        <v/>
      </c>
    </row>
    <row r="440" spans="1:27" x14ac:dyDescent="0.2">
      <c r="A440" t="str">
        <f>IF(COUNTBLANK(B440:AB440)&lt;&gt;COLUMNS(B440:AB440),439,"")</f>
        <v/>
      </c>
      <c r="D440" s="1" t="str">
        <f t="shared" si="42"/>
        <v/>
      </c>
      <c r="G440" s="2" t="str">
        <f t="shared" si="43"/>
        <v/>
      </c>
      <c r="H440" s="1" t="str">
        <f t="shared" si="44"/>
        <v/>
      </c>
      <c r="S440" s="1" t="str">
        <f t="shared" si="45"/>
        <v/>
      </c>
      <c r="U440" s="1" t="str">
        <f t="shared" si="46"/>
        <v/>
      </c>
      <c r="X440" s="1" t="str">
        <f t="shared" si="47"/>
        <v/>
      </c>
      <c r="AA440" s="1" t="str">
        <f t="shared" si="48"/>
        <v/>
      </c>
    </row>
    <row r="441" spans="1:27" x14ac:dyDescent="0.2">
      <c r="A441" t="str">
        <f>IF(COUNTBLANK(B441:AB441)&lt;&gt;COLUMNS(B441:AB441),440,"")</f>
        <v/>
      </c>
      <c r="D441" s="1" t="str">
        <f t="shared" si="42"/>
        <v/>
      </c>
      <c r="G441" s="2" t="str">
        <f t="shared" si="43"/>
        <v/>
      </c>
      <c r="H441" s="1" t="str">
        <f t="shared" si="44"/>
        <v/>
      </c>
      <c r="S441" s="1" t="str">
        <f t="shared" si="45"/>
        <v/>
      </c>
      <c r="U441" s="1" t="str">
        <f t="shared" si="46"/>
        <v/>
      </c>
      <c r="X441" s="1" t="str">
        <f t="shared" si="47"/>
        <v/>
      </c>
      <c r="AA441" s="1" t="str">
        <f t="shared" si="48"/>
        <v/>
      </c>
    </row>
    <row r="442" spans="1:27" x14ac:dyDescent="0.2">
      <c r="A442" t="str">
        <f>IF(COUNTBLANK(B442:AB442)&lt;&gt;COLUMNS(B442:AB442),441,"")</f>
        <v/>
      </c>
      <c r="D442" s="1" t="str">
        <f t="shared" si="42"/>
        <v/>
      </c>
      <c r="G442" s="2" t="str">
        <f t="shared" si="43"/>
        <v/>
      </c>
      <c r="H442" s="1" t="str">
        <f t="shared" si="44"/>
        <v/>
      </c>
      <c r="S442" s="1" t="str">
        <f t="shared" si="45"/>
        <v/>
      </c>
      <c r="U442" s="1" t="str">
        <f t="shared" si="46"/>
        <v/>
      </c>
      <c r="X442" s="1" t="str">
        <f t="shared" si="47"/>
        <v/>
      </c>
      <c r="AA442" s="1" t="str">
        <f t="shared" si="48"/>
        <v/>
      </c>
    </row>
    <row r="443" spans="1:27" x14ac:dyDescent="0.2">
      <c r="A443" t="str">
        <f>IF(COUNTBLANK(B443:AB443)&lt;&gt;COLUMNS(B443:AB443),442,"")</f>
        <v/>
      </c>
      <c r="D443" s="1" t="str">
        <f t="shared" si="42"/>
        <v/>
      </c>
      <c r="G443" s="2" t="str">
        <f t="shared" si="43"/>
        <v/>
      </c>
      <c r="H443" s="1" t="str">
        <f t="shared" si="44"/>
        <v/>
      </c>
      <c r="S443" s="1" t="str">
        <f t="shared" si="45"/>
        <v/>
      </c>
      <c r="U443" s="1" t="str">
        <f t="shared" si="46"/>
        <v/>
      </c>
      <c r="X443" s="1" t="str">
        <f t="shared" si="47"/>
        <v/>
      </c>
      <c r="AA443" s="1" t="str">
        <f t="shared" si="48"/>
        <v/>
      </c>
    </row>
    <row r="444" spans="1:27" x14ac:dyDescent="0.2">
      <c r="A444" t="str">
        <f>IF(COUNTBLANK(B444:AB444)&lt;&gt;COLUMNS(B444:AB444),443,"")</f>
        <v/>
      </c>
      <c r="D444" s="1" t="str">
        <f t="shared" si="42"/>
        <v/>
      </c>
      <c r="G444" s="2" t="str">
        <f t="shared" si="43"/>
        <v/>
      </c>
      <c r="H444" s="1" t="str">
        <f t="shared" si="44"/>
        <v/>
      </c>
      <c r="S444" s="1" t="str">
        <f t="shared" si="45"/>
        <v/>
      </c>
      <c r="U444" s="1" t="str">
        <f t="shared" si="46"/>
        <v/>
      </c>
      <c r="X444" s="1" t="str">
        <f t="shared" si="47"/>
        <v/>
      </c>
      <c r="AA444" s="1" t="str">
        <f t="shared" si="48"/>
        <v/>
      </c>
    </row>
    <row r="445" spans="1:27" x14ac:dyDescent="0.2">
      <c r="A445" t="str">
        <f>IF(COUNTBLANK(B445:AB445)&lt;&gt;COLUMNS(B445:AB445),444,"")</f>
        <v/>
      </c>
      <c r="D445" s="1" t="str">
        <f t="shared" si="42"/>
        <v/>
      </c>
      <c r="G445" s="2" t="str">
        <f t="shared" si="43"/>
        <v/>
      </c>
      <c r="H445" s="1" t="str">
        <f t="shared" si="44"/>
        <v/>
      </c>
      <c r="S445" s="1" t="str">
        <f t="shared" si="45"/>
        <v/>
      </c>
      <c r="U445" s="1" t="str">
        <f t="shared" si="46"/>
        <v/>
      </c>
      <c r="X445" s="1" t="str">
        <f t="shared" si="47"/>
        <v/>
      </c>
      <c r="AA445" s="1" t="str">
        <f t="shared" si="48"/>
        <v/>
      </c>
    </row>
    <row r="446" spans="1:27" x14ac:dyDescent="0.2">
      <c r="A446" t="str">
        <f>IF(COUNTBLANK(B446:AB446)&lt;&gt;COLUMNS(B446:AB446),445,"")</f>
        <v/>
      </c>
      <c r="D446" s="1" t="str">
        <f t="shared" si="42"/>
        <v/>
      </c>
      <c r="G446" s="2" t="str">
        <f t="shared" si="43"/>
        <v/>
      </c>
      <c r="H446" s="1" t="str">
        <f t="shared" si="44"/>
        <v/>
      </c>
      <c r="S446" s="1" t="str">
        <f t="shared" si="45"/>
        <v/>
      </c>
      <c r="U446" s="1" t="str">
        <f t="shared" si="46"/>
        <v/>
      </c>
      <c r="X446" s="1" t="str">
        <f t="shared" si="47"/>
        <v/>
      </c>
      <c r="AA446" s="1" t="str">
        <f t="shared" si="48"/>
        <v/>
      </c>
    </row>
    <row r="447" spans="1:27" x14ac:dyDescent="0.2">
      <c r="A447" t="str">
        <f>IF(COUNTBLANK(B447:AB447)&lt;&gt;COLUMNS(B447:AB447),446,"")</f>
        <v/>
      </c>
      <c r="D447" s="1" t="str">
        <f t="shared" si="42"/>
        <v/>
      </c>
      <c r="G447" s="2" t="str">
        <f t="shared" si="43"/>
        <v/>
      </c>
      <c r="H447" s="1" t="str">
        <f t="shared" si="44"/>
        <v/>
      </c>
      <c r="S447" s="1" t="str">
        <f t="shared" si="45"/>
        <v/>
      </c>
      <c r="U447" s="1" t="str">
        <f t="shared" si="46"/>
        <v/>
      </c>
      <c r="X447" s="1" t="str">
        <f t="shared" si="47"/>
        <v/>
      </c>
      <c r="AA447" s="1" t="str">
        <f t="shared" si="48"/>
        <v/>
      </c>
    </row>
    <row r="448" spans="1:27" x14ac:dyDescent="0.2">
      <c r="A448" t="str">
        <f>IF(COUNTBLANK(B448:AB448)&lt;&gt;COLUMNS(B448:AB448),447,"")</f>
        <v/>
      </c>
      <c r="D448" s="1" t="str">
        <f t="shared" si="42"/>
        <v/>
      </c>
      <c r="G448" s="2" t="str">
        <f t="shared" si="43"/>
        <v/>
      </c>
      <c r="H448" s="1" t="str">
        <f t="shared" si="44"/>
        <v/>
      </c>
      <c r="S448" s="1" t="str">
        <f t="shared" si="45"/>
        <v/>
      </c>
      <c r="U448" s="1" t="str">
        <f t="shared" si="46"/>
        <v/>
      </c>
      <c r="X448" s="1" t="str">
        <f t="shared" si="47"/>
        <v/>
      </c>
      <c r="AA448" s="1" t="str">
        <f t="shared" si="48"/>
        <v/>
      </c>
    </row>
    <row r="449" spans="1:27" x14ac:dyDescent="0.2">
      <c r="A449" t="str">
        <f>IF(COUNTBLANK(B449:AB449)&lt;&gt;COLUMNS(B449:AB449),448,"")</f>
        <v/>
      </c>
      <c r="D449" s="1" t="str">
        <f t="shared" si="42"/>
        <v/>
      </c>
      <c r="G449" s="2" t="str">
        <f t="shared" si="43"/>
        <v/>
      </c>
      <c r="H449" s="1" t="str">
        <f t="shared" si="44"/>
        <v/>
      </c>
      <c r="S449" s="1" t="str">
        <f t="shared" si="45"/>
        <v/>
      </c>
      <c r="U449" s="1" t="str">
        <f t="shared" si="46"/>
        <v/>
      </c>
      <c r="X449" s="1" t="str">
        <f t="shared" si="47"/>
        <v/>
      </c>
      <c r="AA449" s="1" t="str">
        <f t="shared" si="48"/>
        <v/>
      </c>
    </row>
    <row r="450" spans="1:27" x14ac:dyDescent="0.2">
      <c r="A450" t="str">
        <f>IF(COUNTBLANK(B450:AB450)&lt;&gt;COLUMNS(B450:AB450),449,"")</f>
        <v/>
      </c>
      <c r="D450" s="1" t="str">
        <f t="shared" ref="D450:D513" si="49">IF(B450="", "", "Not applicable")</f>
        <v/>
      </c>
      <c r="G450" s="2" t="str">
        <f t="shared" ref="G450:G513" si="50">IF(B450="", "", "missing: not provided")</f>
        <v/>
      </c>
      <c r="H450" s="1" t="str">
        <f t="shared" ref="H450:H513" si="51">IF(B450="", "", "meters")</f>
        <v/>
      </c>
      <c r="S450" s="1" t="str">
        <f t="shared" ref="S450:S513" si="52">IF(B450="", "", "Decimal degrees")</f>
        <v/>
      </c>
      <c r="U450" s="1" t="str">
        <f t="shared" ref="U450:U513" si="53">IF(B450="", "", "Decimal degrees")</f>
        <v/>
      </c>
      <c r="X450" s="1" t="str">
        <f t="shared" ref="X450:X513" si="54">IF(B450="", "", "other")</f>
        <v/>
      </c>
      <c r="AA450" s="1" t="str">
        <f t="shared" ref="AA450:AA513" si="55">IF(B450="", "", "Not applicable")</f>
        <v/>
      </c>
    </row>
    <row r="451" spans="1:27" x14ac:dyDescent="0.2">
      <c r="A451" t="str">
        <f>IF(COUNTBLANK(B451:AB451)&lt;&gt;COLUMNS(B451:AB451),450,"")</f>
        <v/>
      </c>
      <c r="D451" s="1" t="str">
        <f t="shared" si="49"/>
        <v/>
      </c>
      <c r="G451" s="2" t="str">
        <f t="shared" si="50"/>
        <v/>
      </c>
      <c r="H451" s="1" t="str">
        <f t="shared" si="51"/>
        <v/>
      </c>
      <c r="S451" s="1" t="str">
        <f t="shared" si="52"/>
        <v/>
      </c>
      <c r="U451" s="1" t="str">
        <f t="shared" si="53"/>
        <v/>
      </c>
      <c r="X451" s="1" t="str">
        <f t="shared" si="54"/>
        <v/>
      </c>
      <c r="AA451" s="1" t="str">
        <f t="shared" si="55"/>
        <v/>
      </c>
    </row>
    <row r="452" spans="1:27" x14ac:dyDescent="0.2">
      <c r="A452" t="str">
        <f>IF(COUNTBLANK(B452:AB452)&lt;&gt;COLUMNS(B452:AB452),451,"")</f>
        <v/>
      </c>
      <c r="D452" s="1" t="str">
        <f t="shared" si="49"/>
        <v/>
      </c>
      <c r="G452" s="2" t="str">
        <f t="shared" si="50"/>
        <v/>
      </c>
      <c r="H452" s="1" t="str">
        <f t="shared" si="51"/>
        <v/>
      </c>
      <c r="S452" s="1" t="str">
        <f t="shared" si="52"/>
        <v/>
      </c>
      <c r="U452" s="1" t="str">
        <f t="shared" si="53"/>
        <v/>
      </c>
      <c r="X452" s="1" t="str">
        <f t="shared" si="54"/>
        <v/>
      </c>
      <c r="AA452" s="1" t="str">
        <f t="shared" si="55"/>
        <v/>
      </c>
    </row>
    <row r="453" spans="1:27" x14ac:dyDescent="0.2">
      <c r="A453" t="str">
        <f>IF(COUNTBLANK(B453:AB453)&lt;&gt;COLUMNS(B453:AB453),452,"")</f>
        <v/>
      </c>
      <c r="D453" s="1" t="str">
        <f t="shared" si="49"/>
        <v/>
      </c>
      <c r="G453" s="2" t="str">
        <f t="shared" si="50"/>
        <v/>
      </c>
      <c r="H453" s="1" t="str">
        <f t="shared" si="51"/>
        <v/>
      </c>
      <c r="S453" s="1" t="str">
        <f t="shared" si="52"/>
        <v/>
      </c>
      <c r="U453" s="1" t="str">
        <f t="shared" si="53"/>
        <v/>
      </c>
      <c r="X453" s="1" t="str">
        <f t="shared" si="54"/>
        <v/>
      </c>
      <c r="AA453" s="1" t="str">
        <f t="shared" si="55"/>
        <v/>
      </c>
    </row>
    <row r="454" spans="1:27" x14ac:dyDescent="0.2">
      <c r="A454" t="str">
        <f>IF(COUNTBLANK(B454:AB454)&lt;&gt;COLUMNS(B454:AB454),453,"")</f>
        <v/>
      </c>
      <c r="D454" s="1" t="str">
        <f t="shared" si="49"/>
        <v/>
      </c>
      <c r="G454" s="2" t="str">
        <f t="shared" si="50"/>
        <v/>
      </c>
      <c r="H454" s="1" t="str">
        <f t="shared" si="51"/>
        <v/>
      </c>
      <c r="S454" s="1" t="str">
        <f t="shared" si="52"/>
        <v/>
      </c>
      <c r="U454" s="1" t="str">
        <f t="shared" si="53"/>
        <v/>
      </c>
      <c r="X454" s="1" t="str">
        <f t="shared" si="54"/>
        <v/>
      </c>
      <c r="AA454" s="1" t="str">
        <f t="shared" si="55"/>
        <v/>
      </c>
    </row>
    <row r="455" spans="1:27" x14ac:dyDescent="0.2">
      <c r="A455" t="str">
        <f>IF(COUNTBLANK(B455:AB455)&lt;&gt;COLUMNS(B455:AB455),454,"")</f>
        <v/>
      </c>
      <c r="D455" s="1" t="str">
        <f t="shared" si="49"/>
        <v/>
      </c>
      <c r="G455" s="2" t="str">
        <f t="shared" si="50"/>
        <v/>
      </c>
      <c r="H455" s="1" t="str">
        <f t="shared" si="51"/>
        <v/>
      </c>
      <c r="S455" s="1" t="str">
        <f t="shared" si="52"/>
        <v/>
      </c>
      <c r="U455" s="1" t="str">
        <f t="shared" si="53"/>
        <v/>
      </c>
      <c r="X455" s="1" t="str">
        <f t="shared" si="54"/>
        <v/>
      </c>
      <c r="AA455" s="1" t="str">
        <f t="shared" si="55"/>
        <v/>
      </c>
    </row>
    <row r="456" spans="1:27" x14ac:dyDescent="0.2">
      <c r="A456" t="str">
        <f>IF(COUNTBLANK(B456:AB456)&lt;&gt;COLUMNS(B456:AB456),455,"")</f>
        <v/>
      </c>
      <c r="D456" s="1" t="str">
        <f t="shared" si="49"/>
        <v/>
      </c>
      <c r="G456" s="2" t="str">
        <f t="shared" si="50"/>
        <v/>
      </c>
      <c r="H456" s="1" t="str">
        <f t="shared" si="51"/>
        <v/>
      </c>
      <c r="S456" s="1" t="str">
        <f t="shared" si="52"/>
        <v/>
      </c>
      <c r="U456" s="1" t="str">
        <f t="shared" si="53"/>
        <v/>
      </c>
      <c r="X456" s="1" t="str">
        <f t="shared" si="54"/>
        <v/>
      </c>
      <c r="AA456" s="1" t="str">
        <f t="shared" si="55"/>
        <v/>
      </c>
    </row>
    <row r="457" spans="1:27" x14ac:dyDescent="0.2">
      <c r="A457" t="str">
        <f>IF(COUNTBLANK(B457:AB457)&lt;&gt;COLUMNS(B457:AB457),456,"")</f>
        <v/>
      </c>
      <c r="D457" s="1" t="str">
        <f t="shared" si="49"/>
        <v/>
      </c>
      <c r="G457" s="2" t="str">
        <f t="shared" si="50"/>
        <v/>
      </c>
      <c r="H457" s="1" t="str">
        <f t="shared" si="51"/>
        <v/>
      </c>
      <c r="S457" s="1" t="str">
        <f t="shared" si="52"/>
        <v/>
      </c>
      <c r="U457" s="1" t="str">
        <f t="shared" si="53"/>
        <v/>
      </c>
      <c r="X457" s="1" t="str">
        <f t="shared" si="54"/>
        <v/>
      </c>
      <c r="AA457" s="1" t="str">
        <f t="shared" si="55"/>
        <v/>
      </c>
    </row>
    <row r="458" spans="1:27" x14ac:dyDescent="0.2">
      <c r="A458" t="str">
        <f>IF(COUNTBLANK(B458:AB458)&lt;&gt;COLUMNS(B458:AB458),457,"")</f>
        <v/>
      </c>
      <c r="D458" s="1" t="str">
        <f t="shared" si="49"/>
        <v/>
      </c>
      <c r="G458" s="2" t="str">
        <f t="shared" si="50"/>
        <v/>
      </c>
      <c r="H458" s="1" t="str">
        <f t="shared" si="51"/>
        <v/>
      </c>
      <c r="S458" s="1" t="str">
        <f t="shared" si="52"/>
        <v/>
      </c>
      <c r="U458" s="1" t="str">
        <f t="shared" si="53"/>
        <v/>
      </c>
      <c r="X458" s="1" t="str">
        <f t="shared" si="54"/>
        <v/>
      </c>
      <c r="AA458" s="1" t="str">
        <f t="shared" si="55"/>
        <v/>
      </c>
    </row>
    <row r="459" spans="1:27" x14ac:dyDescent="0.2">
      <c r="A459" t="str">
        <f>IF(COUNTBLANK(B459:AB459)&lt;&gt;COLUMNS(B459:AB459),458,"")</f>
        <v/>
      </c>
      <c r="D459" s="1" t="str">
        <f t="shared" si="49"/>
        <v/>
      </c>
      <c r="G459" s="2" t="str">
        <f t="shared" si="50"/>
        <v/>
      </c>
      <c r="H459" s="1" t="str">
        <f t="shared" si="51"/>
        <v/>
      </c>
      <c r="S459" s="1" t="str">
        <f t="shared" si="52"/>
        <v/>
      </c>
      <c r="U459" s="1" t="str">
        <f t="shared" si="53"/>
        <v/>
      </c>
      <c r="X459" s="1" t="str">
        <f t="shared" si="54"/>
        <v/>
      </c>
      <c r="AA459" s="1" t="str">
        <f t="shared" si="55"/>
        <v/>
      </c>
    </row>
    <row r="460" spans="1:27" x14ac:dyDescent="0.2">
      <c r="A460" t="str">
        <f>IF(COUNTBLANK(B460:AB460)&lt;&gt;COLUMNS(B460:AB460),459,"")</f>
        <v/>
      </c>
      <c r="D460" s="1" t="str">
        <f t="shared" si="49"/>
        <v/>
      </c>
      <c r="G460" s="2" t="str">
        <f t="shared" si="50"/>
        <v/>
      </c>
      <c r="H460" s="1" t="str">
        <f t="shared" si="51"/>
        <v/>
      </c>
      <c r="S460" s="1" t="str">
        <f t="shared" si="52"/>
        <v/>
      </c>
      <c r="U460" s="1" t="str">
        <f t="shared" si="53"/>
        <v/>
      </c>
      <c r="X460" s="1" t="str">
        <f t="shared" si="54"/>
        <v/>
      </c>
      <c r="AA460" s="1" t="str">
        <f t="shared" si="55"/>
        <v/>
      </c>
    </row>
    <row r="461" spans="1:27" x14ac:dyDescent="0.2">
      <c r="A461" t="str">
        <f>IF(COUNTBLANK(B461:AB461)&lt;&gt;COLUMNS(B461:AB461),460,"")</f>
        <v/>
      </c>
      <c r="D461" s="1" t="str">
        <f t="shared" si="49"/>
        <v/>
      </c>
      <c r="G461" s="2" t="str">
        <f t="shared" si="50"/>
        <v/>
      </c>
      <c r="H461" s="1" t="str">
        <f t="shared" si="51"/>
        <v/>
      </c>
      <c r="S461" s="1" t="str">
        <f t="shared" si="52"/>
        <v/>
      </c>
      <c r="U461" s="1" t="str">
        <f t="shared" si="53"/>
        <v/>
      </c>
      <c r="X461" s="1" t="str">
        <f t="shared" si="54"/>
        <v/>
      </c>
      <c r="AA461" s="1" t="str">
        <f t="shared" si="55"/>
        <v/>
      </c>
    </row>
    <row r="462" spans="1:27" x14ac:dyDescent="0.2">
      <c r="A462" t="str">
        <f>IF(COUNTBLANK(B462:AB462)&lt;&gt;COLUMNS(B462:AB462),461,"")</f>
        <v/>
      </c>
      <c r="D462" s="1" t="str">
        <f t="shared" si="49"/>
        <v/>
      </c>
      <c r="G462" s="2" t="str">
        <f t="shared" si="50"/>
        <v/>
      </c>
      <c r="H462" s="1" t="str">
        <f t="shared" si="51"/>
        <v/>
      </c>
      <c r="S462" s="1" t="str">
        <f t="shared" si="52"/>
        <v/>
      </c>
      <c r="U462" s="1" t="str">
        <f t="shared" si="53"/>
        <v/>
      </c>
      <c r="X462" s="1" t="str">
        <f t="shared" si="54"/>
        <v/>
      </c>
      <c r="AA462" s="1" t="str">
        <f t="shared" si="55"/>
        <v/>
      </c>
    </row>
    <row r="463" spans="1:27" x14ac:dyDescent="0.2">
      <c r="A463" t="str">
        <f>IF(COUNTBLANK(B463:AB463)&lt;&gt;COLUMNS(B463:AB463),462,"")</f>
        <v/>
      </c>
      <c r="D463" s="1" t="str">
        <f t="shared" si="49"/>
        <v/>
      </c>
      <c r="G463" s="2" t="str">
        <f t="shared" si="50"/>
        <v/>
      </c>
      <c r="H463" s="1" t="str">
        <f t="shared" si="51"/>
        <v/>
      </c>
      <c r="S463" s="1" t="str">
        <f t="shared" si="52"/>
        <v/>
      </c>
      <c r="U463" s="1" t="str">
        <f t="shared" si="53"/>
        <v/>
      </c>
      <c r="X463" s="1" t="str">
        <f t="shared" si="54"/>
        <v/>
      </c>
      <c r="AA463" s="1" t="str">
        <f t="shared" si="55"/>
        <v/>
      </c>
    </row>
    <row r="464" spans="1:27" x14ac:dyDescent="0.2">
      <c r="A464" t="str">
        <f>IF(COUNTBLANK(B464:AB464)&lt;&gt;COLUMNS(B464:AB464),463,"")</f>
        <v/>
      </c>
      <c r="D464" s="1" t="str">
        <f t="shared" si="49"/>
        <v/>
      </c>
      <c r="G464" s="2" t="str">
        <f t="shared" si="50"/>
        <v/>
      </c>
      <c r="H464" s="1" t="str">
        <f t="shared" si="51"/>
        <v/>
      </c>
      <c r="S464" s="1" t="str">
        <f t="shared" si="52"/>
        <v/>
      </c>
      <c r="U464" s="1" t="str">
        <f t="shared" si="53"/>
        <v/>
      </c>
      <c r="X464" s="1" t="str">
        <f t="shared" si="54"/>
        <v/>
      </c>
      <c r="AA464" s="1" t="str">
        <f t="shared" si="55"/>
        <v/>
      </c>
    </row>
    <row r="465" spans="1:27" x14ac:dyDescent="0.2">
      <c r="A465" t="str">
        <f>IF(COUNTBLANK(B465:AB465)&lt;&gt;COLUMNS(B465:AB465),464,"")</f>
        <v/>
      </c>
      <c r="D465" s="1" t="str">
        <f t="shared" si="49"/>
        <v/>
      </c>
      <c r="G465" s="2" t="str">
        <f t="shared" si="50"/>
        <v/>
      </c>
      <c r="H465" s="1" t="str">
        <f t="shared" si="51"/>
        <v/>
      </c>
      <c r="S465" s="1" t="str">
        <f t="shared" si="52"/>
        <v/>
      </c>
      <c r="U465" s="1" t="str">
        <f t="shared" si="53"/>
        <v/>
      </c>
      <c r="X465" s="1" t="str">
        <f t="shared" si="54"/>
        <v/>
      </c>
      <c r="AA465" s="1" t="str">
        <f t="shared" si="55"/>
        <v/>
      </c>
    </row>
    <row r="466" spans="1:27" x14ac:dyDescent="0.2">
      <c r="A466" t="str">
        <f>IF(COUNTBLANK(B466:AB466)&lt;&gt;COLUMNS(B466:AB466),465,"")</f>
        <v/>
      </c>
      <c r="D466" s="1" t="str">
        <f t="shared" si="49"/>
        <v/>
      </c>
      <c r="G466" s="2" t="str">
        <f t="shared" si="50"/>
        <v/>
      </c>
      <c r="H466" s="1" t="str">
        <f t="shared" si="51"/>
        <v/>
      </c>
      <c r="S466" s="1" t="str">
        <f t="shared" si="52"/>
        <v/>
      </c>
      <c r="U466" s="1" t="str">
        <f t="shared" si="53"/>
        <v/>
      </c>
      <c r="X466" s="1" t="str">
        <f t="shared" si="54"/>
        <v/>
      </c>
      <c r="AA466" s="1" t="str">
        <f t="shared" si="55"/>
        <v/>
      </c>
    </row>
    <row r="467" spans="1:27" x14ac:dyDescent="0.2">
      <c r="A467" t="str">
        <f>IF(COUNTBLANK(B467:AB467)&lt;&gt;COLUMNS(B467:AB467),466,"")</f>
        <v/>
      </c>
      <c r="D467" s="1" t="str">
        <f t="shared" si="49"/>
        <v/>
      </c>
      <c r="G467" s="2" t="str">
        <f t="shared" si="50"/>
        <v/>
      </c>
      <c r="H467" s="1" t="str">
        <f t="shared" si="51"/>
        <v/>
      </c>
      <c r="S467" s="1" t="str">
        <f t="shared" si="52"/>
        <v/>
      </c>
      <c r="U467" s="1" t="str">
        <f t="shared" si="53"/>
        <v/>
      </c>
      <c r="X467" s="1" t="str">
        <f t="shared" si="54"/>
        <v/>
      </c>
      <c r="AA467" s="1" t="str">
        <f t="shared" si="55"/>
        <v/>
      </c>
    </row>
    <row r="468" spans="1:27" x14ac:dyDescent="0.2">
      <c r="A468" t="str">
        <f>IF(COUNTBLANK(B468:AB468)&lt;&gt;COLUMNS(B468:AB468),467,"")</f>
        <v/>
      </c>
      <c r="D468" s="1" t="str">
        <f t="shared" si="49"/>
        <v/>
      </c>
      <c r="G468" s="2" t="str">
        <f t="shared" si="50"/>
        <v/>
      </c>
      <c r="H468" s="1" t="str">
        <f t="shared" si="51"/>
        <v/>
      </c>
      <c r="S468" s="1" t="str">
        <f t="shared" si="52"/>
        <v/>
      </c>
      <c r="U468" s="1" t="str">
        <f t="shared" si="53"/>
        <v/>
      </c>
      <c r="X468" s="1" t="str">
        <f t="shared" si="54"/>
        <v/>
      </c>
      <c r="AA468" s="1" t="str">
        <f t="shared" si="55"/>
        <v/>
      </c>
    </row>
    <row r="469" spans="1:27" x14ac:dyDescent="0.2">
      <c r="A469" t="str">
        <f>IF(COUNTBLANK(B469:AB469)&lt;&gt;COLUMNS(B469:AB469),468,"")</f>
        <v/>
      </c>
      <c r="D469" s="1" t="str">
        <f t="shared" si="49"/>
        <v/>
      </c>
      <c r="G469" s="2" t="str">
        <f t="shared" si="50"/>
        <v/>
      </c>
      <c r="H469" s="1" t="str">
        <f t="shared" si="51"/>
        <v/>
      </c>
      <c r="S469" s="1" t="str">
        <f t="shared" si="52"/>
        <v/>
      </c>
      <c r="U469" s="1" t="str">
        <f t="shared" si="53"/>
        <v/>
      </c>
      <c r="X469" s="1" t="str">
        <f t="shared" si="54"/>
        <v/>
      </c>
      <c r="AA469" s="1" t="str">
        <f t="shared" si="55"/>
        <v/>
      </c>
    </row>
    <row r="470" spans="1:27" x14ac:dyDescent="0.2">
      <c r="A470" t="str">
        <f>IF(COUNTBLANK(B470:AB470)&lt;&gt;COLUMNS(B470:AB470),469,"")</f>
        <v/>
      </c>
      <c r="D470" s="1" t="str">
        <f t="shared" si="49"/>
        <v/>
      </c>
      <c r="G470" s="2" t="str">
        <f t="shared" si="50"/>
        <v/>
      </c>
      <c r="H470" s="1" t="str">
        <f t="shared" si="51"/>
        <v/>
      </c>
      <c r="S470" s="1" t="str">
        <f t="shared" si="52"/>
        <v/>
      </c>
      <c r="U470" s="1" t="str">
        <f t="shared" si="53"/>
        <v/>
      </c>
      <c r="X470" s="1" t="str">
        <f t="shared" si="54"/>
        <v/>
      </c>
      <c r="AA470" s="1" t="str">
        <f t="shared" si="55"/>
        <v/>
      </c>
    </row>
    <row r="471" spans="1:27" x14ac:dyDescent="0.2">
      <c r="A471" t="str">
        <f>IF(COUNTBLANK(B471:AB471)&lt;&gt;COLUMNS(B471:AB471),470,"")</f>
        <v/>
      </c>
      <c r="D471" s="1" t="str">
        <f t="shared" si="49"/>
        <v/>
      </c>
      <c r="G471" s="2" t="str">
        <f t="shared" si="50"/>
        <v/>
      </c>
      <c r="H471" s="1" t="str">
        <f t="shared" si="51"/>
        <v/>
      </c>
      <c r="S471" s="1" t="str">
        <f t="shared" si="52"/>
        <v/>
      </c>
      <c r="U471" s="1" t="str">
        <f t="shared" si="53"/>
        <v/>
      </c>
      <c r="X471" s="1" t="str">
        <f t="shared" si="54"/>
        <v/>
      </c>
      <c r="AA471" s="1" t="str">
        <f t="shared" si="55"/>
        <v/>
      </c>
    </row>
    <row r="472" spans="1:27" x14ac:dyDescent="0.2">
      <c r="A472" t="str">
        <f>IF(COUNTBLANK(B472:AB472)&lt;&gt;COLUMNS(B472:AB472),471,"")</f>
        <v/>
      </c>
      <c r="D472" s="1" t="str">
        <f t="shared" si="49"/>
        <v/>
      </c>
      <c r="G472" s="2" t="str">
        <f t="shared" si="50"/>
        <v/>
      </c>
      <c r="H472" s="1" t="str">
        <f t="shared" si="51"/>
        <v/>
      </c>
      <c r="S472" s="1" t="str">
        <f t="shared" si="52"/>
        <v/>
      </c>
      <c r="U472" s="1" t="str">
        <f t="shared" si="53"/>
        <v/>
      </c>
      <c r="X472" s="1" t="str">
        <f t="shared" si="54"/>
        <v/>
      </c>
      <c r="AA472" s="1" t="str">
        <f t="shared" si="55"/>
        <v/>
      </c>
    </row>
    <row r="473" spans="1:27" x14ac:dyDescent="0.2">
      <c r="A473" t="str">
        <f>IF(COUNTBLANK(B473:AB473)&lt;&gt;COLUMNS(B473:AB473),472,"")</f>
        <v/>
      </c>
      <c r="D473" s="1" t="str">
        <f t="shared" si="49"/>
        <v/>
      </c>
      <c r="G473" s="2" t="str">
        <f t="shared" si="50"/>
        <v/>
      </c>
      <c r="H473" s="1" t="str">
        <f t="shared" si="51"/>
        <v/>
      </c>
      <c r="S473" s="1" t="str">
        <f t="shared" si="52"/>
        <v/>
      </c>
      <c r="U473" s="1" t="str">
        <f t="shared" si="53"/>
        <v/>
      </c>
      <c r="X473" s="1" t="str">
        <f t="shared" si="54"/>
        <v/>
      </c>
      <c r="AA473" s="1" t="str">
        <f t="shared" si="55"/>
        <v/>
      </c>
    </row>
    <row r="474" spans="1:27" x14ac:dyDescent="0.2">
      <c r="A474" t="str">
        <f>IF(COUNTBLANK(B474:AB474)&lt;&gt;COLUMNS(B474:AB474),473,"")</f>
        <v/>
      </c>
      <c r="D474" s="1" t="str">
        <f t="shared" si="49"/>
        <v/>
      </c>
      <c r="G474" s="2" t="str">
        <f t="shared" si="50"/>
        <v/>
      </c>
      <c r="H474" s="1" t="str">
        <f t="shared" si="51"/>
        <v/>
      </c>
      <c r="S474" s="1" t="str">
        <f t="shared" si="52"/>
        <v/>
      </c>
      <c r="U474" s="1" t="str">
        <f t="shared" si="53"/>
        <v/>
      </c>
      <c r="X474" s="1" t="str">
        <f t="shared" si="54"/>
        <v/>
      </c>
      <c r="AA474" s="1" t="str">
        <f t="shared" si="55"/>
        <v/>
      </c>
    </row>
    <row r="475" spans="1:27" x14ac:dyDescent="0.2">
      <c r="A475" t="str">
        <f>IF(COUNTBLANK(B475:AB475)&lt;&gt;COLUMNS(B475:AB475),474,"")</f>
        <v/>
      </c>
      <c r="D475" s="1" t="str">
        <f t="shared" si="49"/>
        <v/>
      </c>
      <c r="G475" s="2" t="str">
        <f t="shared" si="50"/>
        <v/>
      </c>
      <c r="H475" s="1" t="str">
        <f t="shared" si="51"/>
        <v/>
      </c>
      <c r="S475" s="1" t="str">
        <f t="shared" si="52"/>
        <v/>
      </c>
      <c r="U475" s="1" t="str">
        <f t="shared" si="53"/>
        <v/>
      </c>
      <c r="X475" s="1" t="str">
        <f t="shared" si="54"/>
        <v/>
      </c>
      <c r="AA475" s="1" t="str">
        <f t="shared" si="55"/>
        <v/>
      </c>
    </row>
    <row r="476" spans="1:27" x14ac:dyDescent="0.2">
      <c r="A476" t="str">
        <f>IF(COUNTBLANK(B476:AB476)&lt;&gt;COLUMNS(B476:AB476),475,"")</f>
        <v/>
      </c>
      <c r="D476" s="1" t="str">
        <f t="shared" si="49"/>
        <v/>
      </c>
      <c r="G476" s="2" t="str">
        <f t="shared" si="50"/>
        <v/>
      </c>
      <c r="H476" s="1" t="str">
        <f t="shared" si="51"/>
        <v/>
      </c>
      <c r="S476" s="1" t="str">
        <f t="shared" si="52"/>
        <v/>
      </c>
      <c r="U476" s="1" t="str">
        <f t="shared" si="53"/>
        <v/>
      </c>
      <c r="X476" s="1" t="str">
        <f t="shared" si="54"/>
        <v/>
      </c>
      <c r="AA476" s="1" t="str">
        <f t="shared" si="55"/>
        <v/>
      </c>
    </row>
    <row r="477" spans="1:27" x14ac:dyDescent="0.2">
      <c r="A477" t="str">
        <f>IF(COUNTBLANK(B477:AB477)&lt;&gt;COLUMNS(B477:AB477),476,"")</f>
        <v/>
      </c>
      <c r="D477" s="1" t="str">
        <f t="shared" si="49"/>
        <v/>
      </c>
      <c r="G477" s="2" t="str">
        <f t="shared" si="50"/>
        <v/>
      </c>
      <c r="H477" s="1" t="str">
        <f t="shared" si="51"/>
        <v/>
      </c>
      <c r="S477" s="1" t="str">
        <f t="shared" si="52"/>
        <v/>
      </c>
      <c r="U477" s="1" t="str">
        <f t="shared" si="53"/>
        <v/>
      </c>
      <c r="X477" s="1" t="str">
        <f t="shared" si="54"/>
        <v/>
      </c>
      <c r="AA477" s="1" t="str">
        <f t="shared" si="55"/>
        <v/>
      </c>
    </row>
    <row r="478" spans="1:27" x14ac:dyDescent="0.2">
      <c r="A478" t="str">
        <f>IF(COUNTBLANK(B478:AB478)&lt;&gt;COLUMNS(B478:AB478),477,"")</f>
        <v/>
      </c>
      <c r="D478" s="1" t="str">
        <f t="shared" si="49"/>
        <v/>
      </c>
      <c r="G478" s="2" t="str">
        <f t="shared" si="50"/>
        <v/>
      </c>
      <c r="H478" s="1" t="str">
        <f t="shared" si="51"/>
        <v/>
      </c>
      <c r="S478" s="1" t="str">
        <f t="shared" si="52"/>
        <v/>
      </c>
      <c r="U478" s="1" t="str">
        <f t="shared" si="53"/>
        <v/>
      </c>
      <c r="X478" s="1" t="str">
        <f t="shared" si="54"/>
        <v/>
      </c>
      <c r="AA478" s="1" t="str">
        <f t="shared" si="55"/>
        <v/>
      </c>
    </row>
    <row r="479" spans="1:27" x14ac:dyDescent="0.2">
      <c r="A479" t="str">
        <f>IF(COUNTBLANK(B479:AB479)&lt;&gt;COLUMNS(B479:AB479),478,"")</f>
        <v/>
      </c>
      <c r="D479" s="1" t="str">
        <f t="shared" si="49"/>
        <v/>
      </c>
      <c r="G479" s="2" t="str">
        <f t="shared" si="50"/>
        <v/>
      </c>
      <c r="H479" s="1" t="str">
        <f t="shared" si="51"/>
        <v/>
      </c>
      <c r="S479" s="1" t="str">
        <f t="shared" si="52"/>
        <v/>
      </c>
      <c r="U479" s="1" t="str">
        <f t="shared" si="53"/>
        <v/>
      </c>
      <c r="X479" s="1" t="str">
        <f t="shared" si="54"/>
        <v/>
      </c>
      <c r="AA479" s="1" t="str">
        <f t="shared" si="55"/>
        <v/>
      </c>
    </row>
    <row r="480" spans="1:27" x14ac:dyDescent="0.2">
      <c r="A480" t="str">
        <f>IF(COUNTBLANK(B480:AB480)&lt;&gt;COLUMNS(B480:AB480),479,"")</f>
        <v/>
      </c>
      <c r="D480" s="1" t="str">
        <f t="shared" si="49"/>
        <v/>
      </c>
      <c r="G480" s="2" t="str">
        <f t="shared" si="50"/>
        <v/>
      </c>
      <c r="H480" s="1" t="str">
        <f t="shared" si="51"/>
        <v/>
      </c>
      <c r="S480" s="1" t="str">
        <f t="shared" si="52"/>
        <v/>
      </c>
      <c r="U480" s="1" t="str">
        <f t="shared" si="53"/>
        <v/>
      </c>
      <c r="X480" s="1" t="str">
        <f t="shared" si="54"/>
        <v/>
      </c>
      <c r="AA480" s="1" t="str">
        <f t="shared" si="55"/>
        <v/>
      </c>
    </row>
    <row r="481" spans="1:27" x14ac:dyDescent="0.2">
      <c r="A481" t="str">
        <f>IF(COUNTBLANK(B481:AB481)&lt;&gt;COLUMNS(B481:AB481),480,"")</f>
        <v/>
      </c>
      <c r="D481" s="1" t="str">
        <f t="shared" si="49"/>
        <v/>
      </c>
      <c r="G481" s="2" t="str">
        <f t="shared" si="50"/>
        <v/>
      </c>
      <c r="H481" s="1" t="str">
        <f t="shared" si="51"/>
        <v/>
      </c>
      <c r="S481" s="1" t="str">
        <f t="shared" si="52"/>
        <v/>
      </c>
      <c r="U481" s="1" t="str">
        <f t="shared" si="53"/>
        <v/>
      </c>
      <c r="X481" s="1" t="str">
        <f t="shared" si="54"/>
        <v/>
      </c>
      <c r="AA481" s="1" t="str">
        <f t="shared" si="55"/>
        <v/>
      </c>
    </row>
    <row r="482" spans="1:27" x14ac:dyDescent="0.2">
      <c r="A482" t="str">
        <f>IF(COUNTBLANK(B482:AB482)&lt;&gt;COLUMNS(B482:AB482),481,"")</f>
        <v/>
      </c>
      <c r="D482" s="1" t="str">
        <f t="shared" si="49"/>
        <v/>
      </c>
      <c r="G482" s="2" t="str">
        <f t="shared" si="50"/>
        <v/>
      </c>
      <c r="H482" s="1" t="str">
        <f t="shared" si="51"/>
        <v/>
      </c>
      <c r="S482" s="1" t="str">
        <f t="shared" si="52"/>
        <v/>
      </c>
      <c r="U482" s="1" t="str">
        <f t="shared" si="53"/>
        <v/>
      </c>
      <c r="X482" s="1" t="str">
        <f t="shared" si="54"/>
        <v/>
      </c>
      <c r="AA482" s="1" t="str">
        <f t="shared" si="55"/>
        <v/>
      </c>
    </row>
    <row r="483" spans="1:27" x14ac:dyDescent="0.2">
      <c r="A483" t="str">
        <f>IF(COUNTBLANK(B483:AB483)&lt;&gt;COLUMNS(B483:AB483),482,"")</f>
        <v/>
      </c>
      <c r="D483" s="1" t="str">
        <f t="shared" si="49"/>
        <v/>
      </c>
      <c r="G483" s="2" t="str">
        <f t="shared" si="50"/>
        <v/>
      </c>
      <c r="H483" s="1" t="str">
        <f t="shared" si="51"/>
        <v/>
      </c>
      <c r="S483" s="1" t="str">
        <f t="shared" si="52"/>
        <v/>
      </c>
      <c r="U483" s="1" t="str">
        <f t="shared" si="53"/>
        <v/>
      </c>
      <c r="X483" s="1" t="str">
        <f t="shared" si="54"/>
        <v/>
      </c>
      <c r="AA483" s="1" t="str">
        <f t="shared" si="55"/>
        <v/>
      </c>
    </row>
    <row r="484" spans="1:27" x14ac:dyDescent="0.2">
      <c r="A484" t="str">
        <f>IF(COUNTBLANK(B484:AB484)&lt;&gt;COLUMNS(B484:AB484),483,"")</f>
        <v/>
      </c>
      <c r="D484" s="1" t="str">
        <f t="shared" si="49"/>
        <v/>
      </c>
      <c r="G484" s="2" t="str">
        <f t="shared" si="50"/>
        <v/>
      </c>
      <c r="H484" s="1" t="str">
        <f t="shared" si="51"/>
        <v/>
      </c>
      <c r="S484" s="1" t="str">
        <f t="shared" si="52"/>
        <v/>
      </c>
      <c r="U484" s="1" t="str">
        <f t="shared" si="53"/>
        <v/>
      </c>
      <c r="X484" s="1" t="str">
        <f t="shared" si="54"/>
        <v/>
      </c>
      <c r="AA484" s="1" t="str">
        <f t="shared" si="55"/>
        <v/>
      </c>
    </row>
    <row r="485" spans="1:27" x14ac:dyDescent="0.2">
      <c r="A485" t="str">
        <f>IF(COUNTBLANK(B485:AB485)&lt;&gt;COLUMNS(B485:AB485),484,"")</f>
        <v/>
      </c>
      <c r="D485" s="1" t="str">
        <f t="shared" si="49"/>
        <v/>
      </c>
      <c r="G485" s="2" t="str">
        <f t="shared" si="50"/>
        <v/>
      </c>
      <c r="H485" s="1" t="str">
        <f t="shared" si="51"/>
        <v/>
      </c>
      <c r="S485" s="1" t="str">
        <f t="shared" si="52"/>
        <v/>
      </c>
      <c r="U485" s="1" t="str">
        <f t="shared" si="53"/>
        <v/>
      </c>
      <c r="X485" s="1" t="str">
        <f t="shared" si="54"/>
        <v/>
      </c>
      <c r="AA485" s="1" t="str">
        <f t="shared" si="55"/>
        <v/>
      </c>
    </row>
    <row r="486" spans="1:27" x14ac:dyDescent="0.2">
      <c r="A486" t="str">
        <f>IF(COUNTBLANK(B486:AB486)&lt;&gt;COLUMNS(B486:AB486),485,"")</f>
        <v/>
      </c>
      <c r="D486" s="1" t="str">
        <f t="shared" si="49"/>
        <v/>
      </c>
      <c r="G486" s="2" t="str">
        <f t="shared" si="50"/>
        <v/>
      </c>
      <c r="H486" s="1" t="str">
        <f t="shared" si="51"/>
        <v/>
      </c>
      <c r="S486" s="1" t="str">
        <f t="shared" si="52"/>
        <v/>
      </c>
      <c r="U486" s="1" t="str">
        <f t="shared" si="53"/>
        <v/>
      </c>
      <c r="X486" s="1" t="str">
        <f t="shared" si="54"/>
        <v/>
      </c>
      <c r="AA486" s="1" t="str">
        <f t="shared" si="55"/>
        <v/>
      </c>
    </row>
    <row r="487" spans="1:27" x14ac:dyDescent="0.2">
      <c r="A487" t="str">
        <f>IF(COUNTBLANK(B487:AB487)&lt;&gt;COLUMNS(B487:AB487),486,"")</f>
        <v/>
      </c>
      <c r="D487" s="1" t="str">
        <f t="shared" si="49"/>
        <v/>
      </c>
      <c r="G487" s="2" t="str">
        <f t="shared" si="50"/>
        <v/>
      </c>
      <c r="H487" s="1" t="str">
        <f t="shared" si="51"/>
        <v/>
      </c>
      <c r="S487" s="1" t="str">
        <f t="shared" si="52"/>
        <v/>
      </c>
      <c r="U487" s="1" t="str">
        <f t="shared" si="53"/>
        <v/>
      </c>
      <c r="X487" s="1" t="str">
        <f t="shared" si="54"/>
        <v/>
      </c>
      <c r="AA487" s="1" t="str">
        <f t="shared" si="55"/>
        <v/>
      </c>
    </row>
    <row r="488" spans="1:27" x14ac:dyDescent="0.2">
      <c r="A488" t="str">
        <f>IF(COUNTBLANK(B488:AB488)&lt;&gt;COLUMNS(B488:AB488),487,"")</f>
        <v/>
      </c>
      <c r="D488" s="1" t="str">
        <f t="shared" si="49"/>
        <v/>
      </c>
      <c r="G488" s="2" t="str">
        <f t="shared" si="50"/>
        <v/>
      </c>
      <c r="H488" s="1" t="str">
        <f t="shared" si="51"/>
        <v/>
      </c>
      <c r="S488" s="1" t="str">
        <f t="shared" si="52"/>
        <v/>
      </c>
      <c r="U488" s="1" t="str">
        <f t="shared" si="53"/>
        <v/>
      </c>
      <c r="X488" s="1" t="str">
        <f t="shared" si="54"/>
        <v/>
      </c>
      <c r="AA488" s="1" t="str">
        <f t="shared" si="55"/>
        <v/>
      </c>
    </row>
    <row r="489" spans="1:27" x14ac:dyDescent="0.2">
      <c r="A489" t="str">
        <f>IF(COUNTBLANK(B489:AB489)&lt;&gt;COLUMNS(B489:AB489),488,"")</f>
        <v/>
      </c>
      <c r="D489" s="1" t="str">
        <f t="shared" si="49"/>
        <v/>
      </c>
      <c r="G489" s="2" t="str">
        <f t="shared" si="50"/>
        <v/>
      </c>
      <c r="H489" s="1" t="str">
        <f t="shared" si="51"/>
        <v/>
      </c>
      <c r="S489" s="1" t="str">
        <f t="shared" si="52"/>
        <v/>
      </c>
      <c r="U489" s="1" t="str">
        <f t="shared" si="53"/>
        <v/>
      </c>
      <c r="X489" s="1" t="str">
        <f t="shared" si="54"/>
        <v/>
      </c>
      <c r="AA489" s="1" t="str">
        <f t="shared" si="55"/>
        <v/>
      </c>
    </row>
    <row r="490" spans="1:27" x14ac:dyDescent="0.2">
      <c r="A490" t="str">
        <f>IF(COUNTBLANK(B490:AB490)&lt;&gt;COLUMNS(B490:AB490),489,"")</f>
        <v/>
      </c>
      <c r="D490" s="1" t="str">
        <f t="shared" si="49"/>
        <v/>
      </c>
      <c r="G490" s="2" t="str">
        <f t="shared" si="50"/>
        <v/>
      </c>
      <c r="H490" s="1" t="str">
        <f t="shared" si="51"/>
        <v/>
      </c>
      <c r="S490" s="1" t="str">
        <f t="shared" si="52"/>
        <v/>
      </c>
      <c r="U490" s="1" t="str">
        <f t="shared" si="53"/>
        <v/>
      </c>
      <c r="X490" s="1" t="str">
        <f t="shared" si="54"/>
        <v/>
      </c>
      <c r="AA490" s="1" t="str">
        <f t="shared" si="55"/>
        <v/>
      </c>
    </row>
    <row r="491" spans="1:27" x14ac:dyDescent="0.2">
      <c r="A491" t="str">
        <f>IF(COUNTBLANK(B491:AB491)&lt;&gt;COLUMNS(B491:AB491),490,"")</f>
        <v/>
      </c>
      <c r="D491" s="1" t="str">
        <f t="shared" si="49"/>
        <v/>
      </c>
      <c r="G491" s="2" t="str">
        <f t="shared" si="50"/>
        <v/>
      </c>
      <c r="H491" s="1" t="str">
        <f t="shared" si="51"/>
        <v/>
      </c>
      <c r="S491" s="1" t="str">
        <f t="shared" si="52"/>
        <v/>
      </c>
      <c r="U491" s="1" t="str">
        <f t="shared" si="53"/>
        <v/>
      </c>
      <c r="X491" s="1" t="str">
        <f t="shared" si="54"/>
        <v/>
      </c>
      <c r="AA491" s="1" t="str">
        <f t="shared" si="55"/>
        <v/>
      </c>
    </row>
    <row r="492" spans="1:27" x14ac:dyDescent="0.2">
      <c r="A492" t="str">
        <f>IF(COUNTBLANK(B492:AB492)&lt;&gt;COLUMNS(B492:AB492),491,"")</f>
        <v/>
      </c>
      <c r="D492" s="1" t="str">
        <f t="shared" si="49"/>
        <v/>
      </c>
      <c r="G492" s="2" t="str">
        <f t="shared" si="50"/>
        <v/>
      </c>
      <c r="H492" s="1" t="str">
        <f t="shared" si="51"/>
        <v/>
      </c>
      <c r="S492" s="1" t="str">
        <f t="shared" si="52"/>
        <v/>
      </c>
      <c r="U492" s="1" t="str">
        <f t="shared" si="53"/>
        <v/>
      </c>
      <c r="X492" s="1" t="str">
        <f t="shared" si="54"/>
        <v/>
      </c>
      <c r="AA492" s="1" t="str">
        <f t="shared" si="55"/>
        <v/>
      </c>
    </row>
    <row r="493" spans="1:27" x14ac:dyDescent="0.2">
      <c r="A493" t="str">
        <f>IF(COUNTBLANK(B493:AB493)&lt;&gt;COLUMNS(B493:AB493),492,"")</f>
        <v/>
      </c>
      <c r="D493" s="1" t="str">
        <f t="shared" si="49"/>
        <v/>
      </c>
      <c r="G493" s="2" t="str">
        <f t="shared" si="50"/>
        <v/>
      </c>
      <c r="H493" s="1" t="str">
        <f t="shared" si="51"/>
        <v/>
      </c>
      <c r="S493" s="1" t="str">
        <f t="shared" si="52"/>
        <v/>
      </c>
      <c r="U493" s="1" t="str">
        <f t="shared" si="53"/>
        <v/>
      </c>
      <c r="X493" s="1" t="str">
        <f t="shared" si="54"/>
        <v/>
      </c>
      <c r="AA493" s="1" t="str">
        <f t="shared" si="55"/>
        <v/>
      </c>
    </row>
    <row r="494" spans="1:27" x14ac:dyDescent="0.2">
      <c r="A494" t="str">
        <f>IF(COUNTBLANK(B494:AB494)&lt;&gt;COLUMNS(B494:AB494),493,"")</f>
        <v/>
      </c>
      <c r="D494" s="1" t="str">
        <f t="shared" si="49"/>
        <v/>
      </c>
      <c r="G494" s="2" t="str">
        <f t="shared" si="50"/>
        <v/>
      </c>
      <c r="H494" s="1" t="str">
        <f t="shared" si="51"/>
        <v/>
      </c>
      <c r="S494" s="1" t="str">
        <f t="shared" si="52"/>
        <v/>
      </c>
      <c r="U494" s="1" t="str">
        <f t="shared" si="53"/>
        <v/>
      </c>
      <c r="X494" s="1" t="str">
        <f t="shared" si="54"/>
        <v/>
      </c>
      <c r="AA494" s="1" t="str">
        <f t="shared" si="55"/>
        <v/>
      </c>
    </row>
    <row r="495" spans="1:27" x14ac:dyDescent="0.2">
      <c r="A495" t="str">
        <f>IF(COUNTBLANK(B495:AB495)&lt;&gt;COLUMNS(B495:AB495),494,"")</f>
        <v/>
      </c>
      <c r="D495" s="1" t="str">
        <f t="shared" si="49"/>
        <v/>
      </c>
      <c r="G495" s="2" t="str">
        <f t="shared" si="50"/>
        <v/>
      </c>
      <c r="H495" s="1" t="str">
        <f t="shared" si="51"/>
        <v/>
      </c>
      <c r="S495" s="1" t="str">
        <f t="shared" si="52"/>
        <v/>
      </c>
      <c r="U495" s="1" t="str">
        <f t="shared" si="53"/>
        <v/>
      </c>
      <c r="X495" s="1" t="str">
        <f t="shared" si="54"/>
        <v/>
      </c>
      <c r="AA495" s="1" t="str">
        <f t="shared" si="55"/>
        <v/>
      </c>
    </row>
    <row r="496" spans="1:27" x14ac:dyDescent="0.2">
      <c r="A496" t="str">
        <f>IF(COUNTBLANK(B496:AB496)&lt;&gt;COLUMNS(B496:AB496),495,"")</f>
        <v/>
      </c>
      <c r="D496" s="1" t="str">
        <f t="shared" si="49"/>
        <v/>
      </c>
      <c r="G496" s="2" t="str">
        <f t="shared" si="50"/>
        <v/>
      </c>
      <c r="H496" s="1" t="str">
        <f t="shared" si="51"/>
        <v/>
      </c>
      <c r="S496" s="1" t="str">
        <f t="shared" si="52"/>
        <v/>
      </c>
      <c r="U496" s="1" t="str">
        <f t="shared" si="53"/>
        <v/>
      </c>
      <c r="X496" s="1" t="str">
        <f t="shared" si="54"/>
        <v/>
      </c>
      <c r="AA496" s="1" t="str">
        <f t="shared" si="55"/>
        <v/>
      </c>
    </row>
    <row r="497" spans="1:27" x14ac:dyDescent="0.2">
      <c r="A497" t="str">
        <f>IF(COUNTBLANK(B497:AB497)&lt;&gt;COLUMNS(B497:AB497),496,"")</f>
        <v/>
      </c>
      <c r="D497" s="1" t="str">
        <f t="shared" si="49"/>
        <v/>
      </c>
      <c r="G497" s="2" t="str">
        <f t="shared" si="50"/>
        <v/>
      </c>
      <c r="H497" s="1" t="str">
        <f t="shared" si="51"/>
        <v/>
      </c>
      <c r="S497" s="1" t="str">
        <f t="shared" si="52"/>
        <v/>
      </c>
      <c r="U497" s="1" t="str">
        <f t="shared" si="53"/>
        <v/>
      </c>
      <c r="X497" s="1" t="str">
        <f t="shared" si="54"/>
        <v/>
      </c>
      <c r="AA497" s="1" t="str">
        <f t="shared" si="55"/>
        <v/>
      </c>
    </row>
    <row r="498" spans="1:27" x14ac:dyDescent="0.2">
      <c r="A498" t="str">
        <f>IF(COUNTBLANK(B498:AB498)&lt;&gt;COLUMNS(B498:AB498),497,"")</f>
        <v/>
      </c>
      <c r="D498" s="1" t="str">
        <f t="shared" si="49"/>
        <v/>
      </c>
      <c r="G498" s="2" t="str">
        <f t="shared" si="50"/>
        <v/>
      </c>
      <c r="H498" s="1" t="str">
        <f t="shared" si="51"/>
        <v/>
      </c>
      <c r="S498" s="1" t="str">
        <f t="shared" si="52"/>
        <v/>
      </c>
      <c r="U498" s="1" t="str">
        <f t="shared" si="53"/>
        <v/>
      </c>
      <c r="X498" s="1" t="str">
        <f t="shared" si="54"/>
        <v/>
      </c>
      <c r="AA498" s="1" t="str">
        <f t="shared" si="55"/>
        <v/>
      </c>
    </row>
    <row r="499" spans="1:27" x14ac:dyDescent="0.2">
      <c r="A499" t="str">
        <f>IF(COUNTBLANK(B499:AB499)&lt;&gt;COLUMNS(B499:AB499),498,"")</f>
        <v/>
      </c>
      <c r="D499" s="1" t="str">
        <f t="shared" si="49"/>
        <v/>
      </c>
      <c r="G499" s="2" t="str">
        <f t="shared" si="50"/>
        <v/>
      </c>
      <c r="H499" s="1" t="str">
        <f t="shared" si="51"/>
        <v/>
      </c>
      <c r="S499" s="1" t="str">
        <f t="shared" si="52"/>
        <v/>
      </c>
      <c r="U499" s="1" t="str">
        <f t="shared" si="53"/>
        <v/>
      </c>
      <c r="X499" s="1" t="str">
        <f t="shared" si="54"/>
        <v/>
      </c>
      <c r="AA499" s="1" t="str">
        <f t="shared" si="55"/>
        <v/>
      </c>
    </row>
    <row r="500" spans="1:27" x14ac:dyDescent="0.2">
      <c r="A500" t="str">
        <f>IF(COUNTBLANK(B500:AB500)&lt;&gt;COLUMNS(B500:AB500),499,"")</f>
        <v/>
      </c>
      <c r="D500" s="1" t="str">
        <f t="shared" si="49"/>
        <v/>
      </c>
      <c r="G500" s="2" t="str">
        <f t="shared" si="50"/>
        <v/>
      </c>
      <c r="H500" s="1" t="str">
        <f t="shared" si="51"/>
        <v/>
      </c>
      <c r="S500" s="1" t="str">
        <f t="shared" si="52"/>
        <v/>
      </c>
      <c r="U500" s="1" t="str">
        <f t="shared" si="53"/>
        <v/>
      </c>
      <c r="X500" s="1" t="str">
        <f t="shared" si="54"/>
        <v/>
      </c>
      <c r="AA500" s="1" t="str">
        <f t="shared" si="55"/>
        <v/>
      </c>
    </row>
    <row r="501" spans="1:27" x14ac:dyDescent="0.2">
      <c r="A501" t="str">
        <f>IF(COUNTBLANK(B501:AB501)&lt;&gt;COLUMNS(B501:AB501),500,"")</f>
        <v/>
      </c>
      <c r="D501" s="1" t="str">
        <f t="shared" si="49"/>
        <v/>
      </c>
      <c r="G501" s="2" t="str">
        <f t="shared" si="50"/>
        <v/>
      </c>
      <c r="H501" s="1" t="str">
        <f t="shared" si="51"/>
        <v/>
      </c>
      <c r="S501" s="1" t="str">
        <f t="shared" si="52"/>
        <v/>
      </c>
      <c r="U501" s="1" t="str">
        <f t="shared" si="53"/>
        <v/>
      </c>
      <c r="X501" s="1" t="str">
        <f t="shared" si="54"/>
        <v/>
      </c>
      <c r="AA501" s="1" t="str">
        <f t="shared" si="55"/>
        <v/>
      </c>
    </row>
    <row r="502" spans="1:27" x14ac:dyDescent="0.2">
      <c r="A502" t="str">
        <f>IF(COUNTBLANK(B502:AB502)&lt;&gt;COLUMNS(B502:AB502),501,"")</f>
        <v/>
      </c>
      <c r="D502" s="1" t="str">
        <f t="shared" si="49"/>
        <v/>
      </c>
      <c r="G502" s="2" t="str">
        <f t="shared" si="50"/>
        <v/>
      </c>
      <c r="H502" s="1" t="str">
        <f t="shared" si="51"/>
        <v/>
      </c>
      <c r="S502" s="1" t="str">
        <f t="shared" si="52"/>
        <v/>
      </c>
      <c r="U502" s="1" t="str">
        <f t="shared" si="53"/>
        <v/>
      </c>
      <c r="X502" s="1" t="str">
        <f t="shared" si="54"/>
        <v/>
      </c>
      <c r="AA502" s="1" t="str">
        <f t="shared" si="55"/>
        <v/>
      </c>
    </row>
    <row r="503" spans="1:27" x14ac:dyDescent="0.2">
      <c r="A503" t="str">
        <f>IF(COUNTBLANK(B503:AB503)&lt;&gt;COLUMNS(B503:AB503),502,"")</f>
        <v/>
      </c>
      <c r="D503" s="1" t="str">
        <f t="shared" si="49"/>
        <v/>
      </c>
      <c r="G503" s="2" t="str">
        <f t="shared" si="50"/>
        <v/>
      </c>
      <c r="H503" s="1" t="str">
        <f t="shared" si="51"/>
        <v/>
      </c>
      <c r="S503" s="1" t="str">
        <f t="shared" si="52"/>
        <v/>
      </c>
      <c r="U503" s="1" t="str">
        <f t="shared" si="53"/>
        <v/>
      </c>
      <c r="X503" s="1" t="str">
        <f t="shared" si="54"/>
        <v/>
      </c>
      <c r="AA503" s="1" t="str">
        <f t="shared" si="55"/>
        <v/>
      </c>
    </row>
    <row r="504" spans="1:27" x14ac:dyDescent="0.2">
      <c r="A504" t="str">
        <f>IF(COUNTBLANK(B504:AB504)&lt;&gt;COLUMNS(B504:AB504),503,"")</f>
        <v/>
      </c>
      <c r="D504" s="1" t="str">
        <f t="shared" si="49"/>
        <v/>
      </c>
      <c r="G504" s="2" t="str">
        <f t="shared" si="50"/>
        <v/>
      </c>
      <c r="H504" s="1" t="str">
        <f t="shared" si="51"/>
        <v/>
      </c>
      <c r="S504" s="1" t="str">
        <f t="shared" si="52"/>
        <v/>
      </c>
      <c r="U504" s="1" t="str">
        <f t="shared" si="53"/>
        <v/>
      </c>
      <c r="X504" s="1" t="str">
        <f t="shared" si="54"/>
        <v/>
      </c>
      <c r="AA504" s="1" t="str">
        <f t="shared" si="55"/>
        <v/>
      </c>
    </row>
    <row r="505" spans="1:27" x14ac:dyDescent="0.2">
      <c r="A505" t="str">
        <f>IF(COUNTBLANK(B505:AB505)&lt;&gt;COLUMNS(B505:AB505),504,"")</f>
        <v/>
      </c>
      <c r="D505" s="1" t="str">
        <f t="shared" si="49"/>
        <v/>
      </c>
      <c r="G505" s="2" t="str">
        <f t="shared" si="50"/>
        <v/>
      </c>
      <c r="H505" s="1" t="str">
        <f t="shared" si="51"/>
        <v/>
      </c>
      <c r="S505" s="1" t="str">
        <f t="shared" si="52"/>
        <v/>
      </c>
      <c r="U505" s="1" t="str">
        <f t="shared" si="53"/>
        <v/>
      </c>
      <c r="X505" s="1" t="str">
        <f t="shared" si="54"/>
        <v/>
      </c>
      <c r="AA505" s="1" t="str">
        <f t="shared" si="55"/>
        <v/>
      </c>
    </row>
    <row r="506" spans="1:27" x14ac:dyDescent="0.2">
      <c r="A506" t="str">
        <f>IF(COUNTBLANK(B506:AB506)&lt;&gt;COLUMNS(B506:AB506),505,"")</f>
        <v/>
      </c>
      <c r="D506" s="1" t="str">
        <f t="shared" si="49"/>
        <v/>
      </c>
      <c r="G506" s="2" t="str">
        <f t="shared" si="50"/>
        <v/>
      </c>
      <c r="H506" s="1" t="str">
        <f t="shared" si="51"/>
        <v/>
      </c>
      <c r="S506" s="1" t="str">
        <f t="shared" si="52"/>
        <v/>
      </c>
      <c r="U506" s="1" t="str">
        <f t="shared" si="53"/>
        <v/>
      </c>
      <c r="X506" s="1" t="str">
        <f t="shared" si="54"/>
        <v/>
      </c>
      <c r="AA506" s="1" t="str">
        <f t="shared" si="55"/>
        <v/>
      </c>
    </row>
    <row r="507" spans="1:27" x14ac:dyDescent="0.2">
      <c r="A507" t="str">
        <f>IF(COUNTBLANK(B507:AB507)&lt;&gt;COLUMNS(B507:AB507),506,"")</f>
        <v/>
      </c>
      <c r="D507" s="1" t="str">
        <f t="shared" si="49"/>
        <v/>
      </c>
      <c r="G507" s="2" t="str">
        <f t="shared" si="50"/>
        <v/>
      </c>
      <c r="H507" s="1" t="str">
        <f t="shared" si="51"/>
        <v/>
      </c>
      <c r="S507" s="1" t="str">
        <f t="shared" si="52"/>
        <v/>
      </c>
      <c r="U507" s="1" t="str">
        <f t="shared" si="53"/>
        <v/>
      </c>
      <c r="X507" s="1" t="str">
        <f t="shared" si="54"/>
        <v/>
      </c>
      <c r="AA507" s="1" t="str">
        <f t="shared" si="55"/>
        <v/>
      </c>
    </row>
    <row r="508" spans="1:27" x14ac:dyDescent="0.2">
      <c r="A508" t="str">
        <f>IF(COUNTBLANK(B508:AB508)&lt;&gt;COLUMNS(B508:AB508),507,"")</f>
        <v/>
      </c>
      <c r="D508" s="1" t="str">
        <f t="shared" si="49"/>
        <v/>
      </c>
      <c r="G508" s="2" t="str">
        <f t="shared" si="50"/>
        <v/>
      </c>
      <c r="H508" s="1" t="str">
        <f t="shared" si="51"/>
        <v/>
      </c>
      <c r="S508" s="1" t="str">
        <f t="shared" si="52"/>
        <v/>
      </c>
      <c r="U508" s="1" t="str">
        <f t="shared" si="53"/>
        <v/>
      </c>
      <c r="X508" s="1" t="str">
        <f t="shared" si="54"/>
        <v/>
      </c>
      <c r="AA508" s="1" t="str">
        <f t="shared" si="55"/>
        <v/>
      </c>
    </row>
    <row r="509" spans="1:27" x14ac:dyDescent="0.2">
      <c r="A509" t="str">
        <f>IF(COUNTBLANK(B509:AB509)&lt;&gt;COLUMNS(B509:AB509),508,"")</f>
        <v/>
      </c>
      <c r="D509" s="1" t="str">
        <f t="shared" si="49"/>
        <v/>
      </c>
      <c r="G509" s="2" t="str">
        <f t="shared" si="50"/>
        <v/>
      </c>
      <c r="H509" s="1" t="str">
        <f t="shared" si="51"/>
        <v/>
      </c>
      <c r="S509" s="1" t="str">
        <f t="shared" si="52"/>
        <v/>
      </c>
      <c r="U509" s="1" t="str">
        <f t="shared" si="53"/>
        <v/>
      </c>
      <c r="X509" s="1" t="str">
        <f t="shared" si="54"/>
        <v/>
      </c>
      <c r="AA509" s="1" t="str">
        <f t="shared" si="55"/>
        <v/>
      </c>
    </row>
    <row r="510" spans="1:27" x14ac:dyDescent="0.2">
      <c r="A510" t="str">
        <f>IF(COUNTBLANK(B510:AB510)&lt;&gt;COLUMNS(B510:AB510),509,"")</f>
        <v/>
      </c>
      <c r="D510" s="1" t="str">
        <f t="shared" si="49"/>
        <v/>
      </c>
      <c r="G510" s="2" t="str">
        <f t="shared" si="50"/>
        <v/>
      </c>
      <c r="H510" s="1" t="str">
        <f t="shared" si="51"/>
        <v/>
      </c>
      <c r="S510" s="1" t="str">
        <f t="shared" si="52"/>
        <v/>
      </c>
      <c r="U510" s="1" t="str">
        <f t="shared" si="53"/>
        <v/>
      </c>
      <c r="X510" s="1" t="str">
        <f t="shared" si="54"/>
        <v/>
      </c>
      <c r="AA510" s="1" t="str">
        <f t="shared" si="55"/>
        <v/>
      </c>
    </row>
    <row r="511" spans="1:27" x14ac:dyDescent="0.2">
      <c r="A511" t="str">
        <f>IF(COUNTBLANK(B511:AB511)&lt;&gt;COLUMNS(B511:AB511),510,"")</f>
        <v/>
      </c>
      <c r="D511" s="1" t="str">
        <f t="shared" si="49"/>
        <v/>
      </c>
      <c r="G511" s="2" t="str">
        <f t="shared" si="50"/>
        <v/>
      </c>
      <c r="H511" s="1" t="str">
        <f t="shared" si="51"/>
        <v/>
      </c>
      <c r="S511" s="1" t="str">
        <f t="shared" si="52"/>
        <v/>
      </c>
      <c r="U511" s="1" t="str">
        <f t="shared" si="53"/>
        <v/>
      </c>
      <c r="X511" s="1" t="str">
        <f t="shared" si="54"/>
        <v/>
      </c>
      <c r="AA511" s="1" t="str">
        <f t="shared" si="55"/>
        <v/>
      </c>
    </row>
    <row r="512" spans="1:27" x14ac:dyDescent="0.2">
      <c r="A512" t="str">
        <f>IF(COUNTBLANK(B512:AB512)&lt;&gt;COLUMNS(B512:AB512),511,"")</f>
        <v/>
      </c>
      <c r="D512" s="1" t="str">
        <f t="shared" si="49"/>
        <v/>
      </c>
      <c r="G512" s="2" t="str">
        <f t="shared" si="50"/>
        <v/>
      </c>
      <c r="H512" s="1" t="str">
        <f t="shared" si="51"/>
        <v/>
      </c>
      <c r="S512" s="1" t="str">
        <f t="shared" si="52"/>
        <v/>
      </c>
      <c r="U512" s="1" t="str">
        <f t="shared" si="53"/>
        <v/>
      </c>
      <c r="X512" s="1" t="str">
        <f t="shared" si="54"/>
        <v/>
      </c>
      <c r="AA512" s="1" t="str">
        <f t="shared" si="55"/>
        <v/>
      </c>
    </row>
    <row r="513" spans="1:27" x14ac:dyDescent="0.2">
      <c r="A513" t="str">
        <f>IF(COUNTBLANK(B513:AB513)&lt;&gt;COLUMNS(B513:AB513),512,"")</f>
        <v/>
      </c>
      <c r="D513" s="1" t="str">
        <f t="shared" si="49"/>
        <v/>
      </c>
      <c r="G513" s="2" t="str">
        <f t="shared" si="50"/>
        <v/>
      </c>
      <c r="H513" s="1" t="str">
        <f t="shared" si="51"/>
        <v/>
      </c>
      <c r="S513" s="1" t="str">
        <f t="shared" si="52"/>
        <v/>
      </c>
      <c r="U513" s="1" t="str">
        <f t="shared" si="53"/>
        <v/>
      </c>
      <c r="X513" s="1" t="str">
        <f t="shared" si="54"/>
        <v/>
      </c>
      <c r="AA513" s="1" t="str">
        <f t="shared" si="55"/>
        <v/>
      </c>
    </row>
    <row r="514" spans="1:27" x14ac:dyDescent="0.2">
      <c r="A514" t="str">
        <f>IF(COUNTBLANK(B514:AB514)&lt;&gt;COLUMNS(B514:AB514),513,"")</f>
        <v/>
      </c>
      <c r="D514" s="1" t="str">
        <f t="shared" ref="D514:D577" si="56">IF(B514="", "", "Not applicable")</f>
        <v/>
      </c>
      <c r="G514" s="2" t="str">
        <f t="shared" ref="G514:G577" si="57">IF(B514="", "", "missing: not provided")</f>
        <v/>
      </c>
      <c r="H514" s="1" t="str">
        <f t="shared" ref="H514:H577" si="58">IF(B514="", "", "meters")</f>
        <v/>
      </c>
      <c r="S514" s="1" t="str">
        <f t="shared" ref="S514:S577" si="59">IF(B514="", "", "Decimal degrees")</f>
        <v/>
      </c>
      <c r="U514" s="1" t="str">
        <f t="shared" ref="U514:U577" si="60">IF(B514="", "", "Decimal degrees")</f>
        <v/>
      </c>
      <c r="X514" s="1" t="str">
        <f t="shared" ref="X514:X577" si="61">IF(B514="", "", "other")</f>
        <v/>
      </c>
      <c r="AA514" s="1" t="str">
        <f t="shared" ref="AA514:AA577" si="62">IF(B514="", "", "Not applicable")</f>
        <v/>
      </c>
    </row>
    <row r="515" spans="1:27" x14ac:dyDescent="0.2">
      <c r="A515" t="str">
        <f>IF(COUNTBLANK(B515:AB515)&lt;&gt;COLUMNS(B515:AB515),514,"")</f>
        <v/>
      </c>
      <c r="D515" s="1" t="str">
        <f t="shared" si="56"/>
        <v/>
      </c>
      <c r="G515" s="2" t="str">
        <f t="shared" si="57"/>
        <v/>
      </c>
      <c r="H515" s="1" t="str">
        <f t="shared" si="58"/>
        <v/>
      </c>
      <c r="S515" s="1" t="str">
        <f t="shared" si="59"/>
        <v/>
      </c>
      <c r="U515" s="1" t="str">
        <f t="shared" si="60"/>
        <v/>
      </c>
      <c r="X515" s="1" t="str">
        <f t="shared" si="61"/>
        <v/>
      </c>
      <c r="AA515" s="1" t="str">
        <f t="shared" si="62"/>
        <v/>
      </c>
    </row>
    <row r="516" spans="1:27" x14ac:dyDescent="0.2">
      <c r="A516" t="str">
        <f>IF(COUNTBLANK(B516:AB516)&lt;&gt;COLUMNS(B516:AB516),515,"")</f>
        <v/>
      </c>
      <c r="D516" s="1" t="str">
        <f t="shared" si="56"/>
        <v/>
      </c>
      <c r="G516" s="2" t="str">
        <f t="shared" si="57"/>
        <v/>
      </c>
      <c r="H516" s="1" t="str">
        <f t="shared" si="58"/>
        <v/>
      </c>
      <c r="S516" s="1" t="str">
        <f t="shared" si="59"/>
        <v/>
      </c>
      <c r="U516" s="1" t="str">
        <f t="shared" si="60"/>
        <v/>
      </c>
      <c r="X516" s="1" t="str">
        <f t="shared" si="61"/>
        <v/>
      </c>
      <c r="AA516" s="1" t="str">
        <f t="shared" si="62"/>
        <v/>
      </c>
    </row>
    <row r="517" spans="1:27" x14ac:dyDescent="0.2">
      <c r="A517" t="str">
        <f>IF(COUNTBLANK(B517:AB517)&lt;&gt;COLUMNS(B517:AB517),516,"")</f>
        <v/>
      </c>
      <c r="D517" s="1" t="str">
        <f t="shared" si="56"/>
        <v/>
      </c>
      <c r="G517" s="2" t="str">
        <f t="shared" si="57"/>
        <v/>
      </c>
      <c r="H517" s="1" t="str">
        <f t="shared" si="58"/>
        <v/>
      </c>
      <c r="S517" s="1" t="str">
        <f t="shared" si="59"/>
        <v/>
      </c>
      <c r="U517" s="1" t="str">
        <f t="shared" si="60"/>
        <v/>
      </c>
      <c r="X517" s="1" t="str">
        <f t="shared" si="61"/>
        <v/>
      </c>
      <c r="AA517" s="1" t="str">
        <f t="shared" si="62"/>
        <v/>
      </c>
    </row>
    <row r="518" spans="1:27" x14ac:dyDescent="0.2">
      <c r="A518" t="str">
        <f>IF(COUNTBLANK(B518:AB518)&lt;&gt;COLUMNS(B518:AB518),517,"")</f>
        <v/>
      </c>
      <c r="D518" s="1" t="str">
        <f t="shared" si="56"/>
        <v/>
      </c>
      <c r="G518" s="2" t="str">
        <f t="shared" si="57"/>
        <v/>
      </c>
      <c r="H518" s="1" t="str">
        <f t="shared" si="58"/>
        <v/>
      </c>
      <c r="S518" s="1" t="str">
        <f t="shared" si="59"/>
        <v/>
      </c>
      <c r="U518" s="1" t="str">
        <f t="shared" si="60"/>
        <v/>
      </c>
      <c r="X518" s="1" t="str">
        <f t="shared" si="61"/>
        <v/>
      </c>
      <c r="AA518" s="1" t="str">
        <f t="shared" si="62"/>
        <v/>
      </c>
    </row>
    <row r="519" spans="1:27" x14ac:dyDescent="0.2">
      <c r="A519" t="str">
        <f>IF(COUNTBLANK(B519:AB519)&lt;&gt;COLUMNS(B519:AB519),518,"")</f>
        <v/>
      </c>
      <c r="D519" s="1" t="str">
        <f t="shared" si="56"/>
        <v/>
      </c>
      <c r="G519" s="2" t="str">
        <f t="shared" si="57"/>
        <v/>
      </c>
      <c r="H519" s="1" t="str">
        <f t="shared" si="58"/>
        <v/>
      </c>
      <c r="S519" s="1" t="str">
        <f t="shared" si="59"/>
        <v/>
      </c>
      <c r="U519" s="1" t="str">
        <f t="shared" si="60"/>
        <v/>
      </c>
      <c r="X519" s="1" t="str">
        <f t="shared" si="61"/>
        <v/>
      </c>
      <c r="AA519" s="1" t="str">
        <f t="shared" si="62"/>
        <v/>
      </c>
    </row>
    <row r="520" spans="1:27" x14ac:dyDescent="0.2">
      <c r="A520" t="str">
        <f>IF(COUNTBLANK(B520:AB520)&lt;&gt;COLUMNS(B520:AB520),519,"")</f>
        <v/>
      </c>
      <c r="D520" s="1" t="str">
        <f t="shared" si="56"/>
        <v/>
      </c>
      <c r="G520" s="2" t="str">
        <f t="shared" si="57"/>
        <v/>
      </c>
      <c r="H520" s="1" t="str">
        <f t="shared" si="58"/>
        <v/>
      </c>
      <c r="S520" s="1" t="str">
        <f t="shared" si="59"/>
        <v/>
      </c>
      <c r="U520" s="1" t="str">
        <f t="shared" si="60"/>
        <v/>
      </c>
      <c r="X520" s="1" t="str">
        <f t="shared" si="61"/>
        <v/>
      </c>
      <c r="AA520" s="1" t="str">
        <f t="shared" si="62"/>
        <v/>
      </c>
    </row>
    <row r="521" spans="1:27" x14ac:dyDescent="0.2">
      <c r="A521" t="str">
        <f>IF(COUNTBLANK(B521:AB521)&lt;&gt;COLUMNS(B521:AB521),520,"")</f>
        <v/>
      </c>
      <c r="D521" s="1" t="str">
        <f t="shared" si="56"/>
        <v/>
      </c>
      <c r="G521" s="2" t="str">
        <f t="shared" si="57"/>
        <v/>
      </c>
      <c r="H521" s="1" t="str">
        <f t="shared" si="58"/>
        <v/>
      </c>
      <c r="S521" s="1" t="str">
        <f t="shared" si="59"/>
        <v/>
      </c>
      <c r="U521" s="1" t="str">
        <f t="shared" si="60"/>
        <v/>
      </c>
      <c r="X521" s="1" t="str">
        <f t="shared" si="61"/>
        <v/>
      </c>
      <c r="AA521" s="1" t="str">
        <f t="shared" si="62"/>
        <v/>
      </c>
    </row>
    <row r="522" spans="1:27" x14ac:dyDescent="0.2">
      <c r="A522" t="str">
        <f>IF(COUNTBLANK(B522:AB522)&lt;&gt;COLUMNS(B522:AB522),521,"")</f>
        <v/>
      </c>
      <c r="D522" s="1" t="str">
        <f t="shared" si="56"/>
        <v/>
      </c>
      <c r="G522" s="2" t="str">
        <f t="shared" si="57"/>
        <v/>
      </c>
      <c r="H522" s="1" t="str">
        <f t="shared" si="58"/>
        <v/>
      </c>
      <c r="S522" s="1" t="str">
        <f t="shared" si="59"/>
        <v/>
      </c>
      <c r="U522" s="1" t="str">
        <f t="shared" si="60"/>
        <v/>
      </c>
      <c r="X522" s="1" t="str">
        <f t="shared" si="61"/>
        <v/>
      </c>
      <c r="AA522" s="1" t="str">
        <f t="shared" si="62"/>
        <v/>
      </c>
    </row>
    <row r="523" spans="1:27" x14ac:dyDescent="0.2">
      <c r="A523" t="str">
        <f>IF(COUNTBLANK(B523:AB523)&lt;&gt;COLUMNS(B523:AB523),522,"")</f>
        <v/>
      </c>
      <c r="D523" s="1" t="str">
        <f t="shared" si="56"/>
        <v/>
      </c>
      <c r="G523" s="2" t="str">
        <f t="shared" si="57"/>
        <v/>
      </c>
      <c r="H523" s="1" t="str">
        <f t="shared" si="58"/>
        <v/>
      </c>
      <c r="S523" s="1" t="str">
        <f t="shared" si="59"/>
        <v/>
      </c>
      <c r="U523" s="1" t="str">
        <f t="shared" si="60"/>
        <v/>
      </c>
      <c r="X523" s="1" t="str">
        <f t="shared" si="61"/>
        <v/>
      </c>
      <c r="AA523" s="1" t="str">
        <f t="shared" si="62"/>
        <v/>
      </c>
    </row>
    <row r="524" spans="1:27" x14ac:dyDescent="0.2">
      <c r="A524" t="str">
        <f>IF(COUNTBLANK(B524:AB524)&lt;&gt;COLUMNS(B524:AB524),523,"")</f>
        <v/>
      </c>
      <c r="D524" s="1" t="str">
        <f t="shared" si="56"/>
        <v/>
      </c>
      <c r="G524" s="2" t="str">
        <f t="shared" si="57"/>
        <v/>
      </c>
      <c r="H524" s="1" t="str">
        <f t="shared" si="58"/>
        <v/>
      </c>
      <c r="S524" s="1" t="str">
        <f t="shared" si="59"/>
        <v/>
      </c>
      <c r="U524" s="1" t="str">
        <f t="shared" si="60"/>
        <v/>
      </c>
      <c r="X524" s="1" t="str">
        <f t="shared" si="61"/>
        <v/>
      </c>
      <c r="AA524" s="1" t="str">
        <f t="shared" si="62"/>
        <v/>
      </c>
    </row>
    <row r="525" spans="1:27" x14ac:dyDescent="0.2">
      <c r="A525" t="str">
        <f>IF(COUNTBLANK(B525:AB525)&lt;&gt;COLUMNS(B525:AB525),524,"")</f>
        <v/>
      </c>
      <c r="D525" s="1" t="str">
        <f t="shared" si="56"/>
        <v/>
      </c>
      <c r="G525" s="2" t="str">
        <f t="shared" si="57"/>
        <v/>
      </c>
      <c r="H525" s="1" t="str">
        <f t="shared" si="58"/>
        <v/>
      </c>
      <c r="S525" s="1" t="str">
        <f t="shared" si="59"/>
        <v/>
      </c>
      <c r="U525" s="1" t="str">
        <f t="shared" si="60"/>
        <v/>
      </c>
      <c r="X525" s="1" t="str">
        <f t="shared" si="61"/>
        <v/>
      </c>
      <c r="AA525" s="1" t="str">
        <f t="shared" si="62"/>
        <v/>
      </c>
    </row>
    <row r="526" spans="1:27" x14ac:dyDescent="0.2">
      <c r="A526" t="str">
        <f>IF(COUNTBLANK(B526:AB526)&lt;&gt;COLUMNS(B526:AB526),525,"")</f>
        <v/>
      </c>
      <c r="D526" s="1" t="str">
        <f t="shared" si="56"/>
        <v/>
      </c>
      <c r="G526" s="2" t="str">
        <f t="shared" si="57"/>
        <v/>
      </c>
      <c r="H526" s="1" t="str">
        <f t="shared" si="58"/>
        <v/>
      </c>
      <c r="S526" s="1" t="str">
        <f t="shared" si="59"/>
        <v/>
      </c>
      <c r="U526" s="1" t="str">
        <f t="shared" si="60"/>
        <v/>
      </c>
      <c r="X526" s="1" t="str">
        <f t="shared" si="61"/>
        <v/>
      </c>
      <c r="AA526" s="1" t="str">
        <f t="shared" si="62"/>
        <v/>
      </c>
    </row>
    <row r="527" spans="1:27" x14ac:dyDescent="0.2">
      <c r="A527" t="str">
        <f>IF(COUNTBLANK(B527:AB527)&lt;&gt;COLUMNS(B527:AB527),526,"")</f>
        <v/>
      </c>
      <c r="D527" s="1" t="str">
        <f t="shared" si="56"/>
        <v/>
      </c>
      <c r="G527" s="2" t="str">
        <f t="shared" si="57"/>
        <v/>
      </c>
      <c r="H527" s="1" t="str">
        <f t="shared" si="58"/>
        <v/>
      </c>
      <c r="S527" s="1" t="str">
        <f t="shared" si="59"/>
        <v/>
      </c>
      <c r="U527" s="1" t="str">
        <f t="shared" si="60"/>
        <v/>
      </c>
      <c r="X527" s="1" t="str">
        <f t="shared" si="61"/>
        <v/>
      </c>
      <c r="AA527" s="1" t="str">
        <f t="shared" si="62"/>
        <v/>
      </c>
    </row>
    <row r="528" spans="1:27" x14ac:dyDescent="0.2">
      <c r="A528" t="str">
        <f>IF(COUNTBLANK(B528:AB528)&lt;&gt;COLUMNS(B528:AB528),527,"")</f>
        <v/>
      </c>
      <c r="D528" s="1" t="str">
        <f t="shared" si="56"/>
        <v/>
      </c>
      <c r="G528" s="2" t="str">
        <f t="shared" si="57"/>
        <v/>
      </c>
      <c r="H528" s="1" t="str">
        <f t="shared" si="58"/>
        <v/>
      </c>
      <c r="S528" s="1" t="str">
        <f t="shared" si="59"/>
        <v/>
      </c>
      <c r="U528" s="1" t="str">
        <f t="shared" si="60"/>
        <v/>
      </c>
      <c r="X528" s="1" t="str">
        <f t="shared" si="61"/>
        <v/>
      </c>
      <c r="AA528" s="1" t="str">
        <f t="shared" si="62"/>
        <v/>
      </c>
    </row>
    <row r="529" spans="1:27" x14ac:dyDescent="0.2">
      <c r="A529" t="str">
        <f>IF(COUNTBLANK(B529:AB529)&lt;&gt;COLUMNS(B529:AB529),528,"")</f>
        <v/>
      </c>
      <c r="D529" s="1" t="str">
        <f t="shared" si="56"/>
        <v/>
      </c>
      <c r="G529" s="2" t="str">
        <f t="shared" si="57"/>
        <v/>
      </c>
      <c r="H529" s="1" t="str">
        <f t="shared" si="58"/>
        <v/>
      </c>
      <c r="S529" s="1" t="str">
        <f t="shared" si="59"/>
        <v/>
      </c>
      <c r="U529" s="1" t="str">
        <f t="shared" si="60"/>
        <v/>
      </c>
      <c r="X529" s="1" t="str">
        <f t="shared" si="61"/>
        <v/>
      </c>
      <c r="AA529" s="1" t="str">
        <f t="shared" si="62"/>
        <v/>
      </c>
    </row>
    <row r="530" spans="1:27" x14ac:dyDescent="0.2">
      <c r="A530" t="str">
        <f>IF(COUNTBLANK(B530:AB530)&lt;&gt;COLUMNS(B530:AB530),529,"")</f>
        <v/>
      </c>
      <c r="D530" s="1" t="str">
        <f t="shared" si="56"/>
        <v/>
      </c>
      <c r="G530" s="2" t="str">
        <f t="shared" si="57"/>
        <v/>
      </c>
      <c r="H530" s="1" t="str">
        <f t="shared" si="58"/>
        <v/>
      </c>
      <c r="S530" s="1" t="str">
        <f t="shared" si="59"/>
        <v/>
      </c>
      <c r="U530" s="1" t="str">
        <f t="shared" si="60"/>
        <v/>
      </c>
      <c r="X530" s="1" t="str">
        <f t="shared" si="61"/>
        <v/>
      </c>
      <c r="AA530" s="1" t="str">
        <f t="shared" si="62"/>
        <v/>
      </c>
    </row>
    <row r="531" spans="1:27" x14ac:dyDescent="0.2">
      <c r="A531" t="str">
        <f>IF(COUNTBLANK(B531:AB531)&lt;&gt;COLUMNS(B531:AB531),530,"")</f>
        <v/>
      </c>
      <c r="D531" s="1" t="str">
        <f t="shared" si="56"/>
        <v/>
      </c>
      <c r="G531" s="2" t="str">
        <f t="shared" si="57"/>
        <v/>
      </c>
      <c r="H531" s="1" t="str">
        <f t="shared" si="58"/>
        <v/>
      </c>
      <c r="S531" s="1" t="str">
        <f t="shared" si="59"/>
        <v/>
      </c>
      <c r="U531" s="1" t="str">
        <f t="shared" si="60"/>
        <v/>
      </c>
      <c r="X531" s="1" t="str">
        <f t="shared" si="61"/>
        <v/>
      </c>
      <c r="AA531" s="1" t="str">
        <f t="shared" si="62"/>
        <v/>
      </c>
    </row>
    <row r="532" spans="1:27" x14ac:dyDescent="0.2">
      <c r="A532" t="str">
        <f>IF(COUNTBLANK(B532:AB532)&lt;&gt;COLUMNS(B532:AB532),531,"")</f>
        <v/>
      </c>
      <c r="D532" s="1" t="str">
        <f t="shared" si="56"/>
        <v/>
      </c>
      <c r="G532" s="2" t="str">
        <f t="shared" si="57"/>
        <v/>
      </c>
      <c r="H532" s="1" t="str">
        <f t="shared" si="58"/>
        <v/>
      </c>
      <c r="S532" s="1" t="str">
        <f t="shared" si="59"/>
        <v/>
      </c>
      <c r="U532" s="1" t="str">
        <f t="shared" si="60"/>
        <v/>
      </c>
      <c r="X532" s="1" t="str">
        <f t="shared" si="61"/>
        <v/>
      </c>
      <c r="AA532" s="1" t="str">
        <f t="shared" si="62"/>
        <v/>
      </c>
    </row>
    <row r="533" spans="1:27" x14ac:dyDescent="0.2">
      <c r="A533" t="str">
        <f>IF(COUNTBLANK(B533:AB533)&lt;&gt;COLUMNS(B533:AB533),532,"")</f>
        <v/>
      </c>
      <c r="D533" s="1" t="str">
        <f t="shared" si="56"/>
        <v/>
      </c>
      <c r="G533" s="2" t="str">
        <f t="shared" si="57"/>
        <v/>
      </c>
      <c r="H533" s="1" t="str">
        <f t="shared" si="58"/>
        <v/>
      </c>
      <c r="S533" s="1" t="str">
        <f t="shared" si="59"/>
        <v/>
      </c>
      <c r="U533" s="1" t="str">
        <f t="shared" si="60"/>
        <v/>
      </c>
      <c r="X533" s="1" t="str">
        <f t="shared" si="61"/>
        <v/>
      </c>
      <c r="AA533" s="1" t="str">
        <f t="shared" si="62"/>
        <v/>
      </c>
    </row>
    <row r="534" spans="1:27" x14ac:dyDescent="0.2">
      <c r="A534" t="str">
        <f>IF(COUNTBLANK(B534:AB534)&lt;&gt;COLUMNS(B534:AB534),533,"")</f>
        <v/>
      </c>
      <c r="D534" s="1" t="str">
        <f t="shared" si="56"/>
        <v/>
      </c>
      <c r="G534" s="2" t="str">
        <f t="shared" si="57"/>
        <v/>
      </c>
      <c r="H534" s="1" t="str">
        <f t="shared" si="58"/>
        <v/>
      </c>
      <c r="S534" s="1" t="str">
        <f t="shared" si="59"/>
        <v/>
      </c>
      <c r="U534" s="1" t="str">
        <f t="shared" si="60"/>
        <v/>
      </c>
      <c r="X534" s="1" t="str">
        <f t="shared" si="61"/>
        <v/>
      </c>
      <c r="AA534" s="1" t="str">
        <f t="shared" si="62"/>
        <v/>
      </c>
    </row>
    <row r="535" spans="1:27" x14ac:dyDescent="0.2">
      <c r="A535" t="str">
        <f>IF(COUNTBLANK(B535:AB535)&lt;&gt;COLUMNS(B535:AB535),534,"")</f>
        <v/>
      </c>
      <c r="D535" s="1" t="str">
        <f t="shared" si="56"/>
        <v/>
      </c>
      <c r="G535" s="2" t="str">
        <f t="shared" si="57"/>
        <v/>
      </c>
      <c r="H535" s="1" t="str">
        <f t="shared" si="58"/>
        <v/>
      </c>
      <c r="S535" s="1" t="str">
        <f t="shared" si="59"/>
        <v/>
      </c>
      <c r="U535" s="1" t="str">
        <f t="shared" si="60"/>
        <v/>
      </c>
      <c r="X535" s="1" t="str">
        <f t="shared" si="61"/>
        <v/>
      </c>
      <c r="AA535" s="1" t="str">
        <f t="shared" si="62"/>
        <v/>
      </c>
    </row>
    <row r="536" spans="1:27" x14ac:dyDescent="0.2">
      <c r="A536" t="str">
        <f>IF(COUNTBLANK(B536:AB536)&lt;&gt;COLUMNS(B536:AB536),535,"")</f>
        <v/>
      </c>
      <c r="D536" s="1" t="str">
        <f t="shared" si="56"/>
        <v/>
      </c>
      <c r="G536" s="2" t="str">
        <f t="shared" si="57"/>
        <v/>
      </c>
      <c r="H536" s="1" t="str">
        <f t="shared" si="58"/>
        <v/>
      </c>
      <c r="S536" s="1" t="str">
        <f t="shared" si="59"/>
        <v/>
      </c>
      <c r="U536" s="1" t="str">
        <f t="shared" si="60"/>
        <v/>
      </c>
      <c r="X536" s="1" t="str">
        <f t="shared" si="61"/>
        <v/>
      </c>
      <c r="AA536" s="1" t="str">
        <f t="shared" si="62"/>
        <v/>
      </c>
    </row>
    <row r="537" spans="1:27" x14ac:dyDescent="0.2">
      <c r="A537" t="str">
        <f>IF(COUNTBLANK(B537:AB537)&lt;&gt;COLUMNS(B537:AB537),536,"")</f>
        <v/>
      </c>
      <c r="D537" s="1" t="str">
        <f t="shared" si="56"/>
        <v/>
      </c>
      <c r="G537" s="2" t="str">
        <f t="shared" si="57"/>
        <v/>
      </c>
      <c r="H537" s="1" t="str">
        <f t="shared" si="58"/>
        <v/>
      </c>
      <c r="S537" s="1" t="str">
        <f t="shared" si="59"/>
        <v/>
      </c>
      <c r="U537" s="1" t="str">
        <f t="shared" si="60"/>
        <v/>
      </c>
      <c r="X537" s="1" t="str">
        <f t="shared" si="61"/>
        <v/>
      </c>
      <c r="AA537" s="1" t="str">
        <f t="shared" si="62"/>
        <v/>
      </c>
    </row>
    <row r="538" spans="1:27" x14ac:dyDescent="0.2">
      <c r="A538" t="str">
        <f>IF(COUNTBLANK(B538:AB538)&lt;&gt;COLUMNS(B538:AB538),537,"")</f>
        <v/>
      </c>
      <c r="D538" s="1" t="str">
        <f t="shared" si="56"/>
        <v/>
      </c>
      <c r="G538" s="2" t="str">
        <f t="shared" si="57"/>
        <v/>
      </c>
      <c r="H538" s="1" t="str">
        <f t="shared" si="58"/>
        <v/>
      </c>
      <c r="S538" s="1" t="str">
        <f t="shared" si="59"/>
        <v/>
      </c>
      <c r="U538" s="1" t="str">
        <f t="shared" si="60"/>
        <v/>
      </c>
      <c r="X538" s="1" t="str">
        <f t="shared" si="61"/>
        <v/>
      </c>
      <c r="AA538" s="1" t="str">
        <f t="shared" si="62"/>
        <v/>
      </c>
    </row>
    <row r="539" spans="1:27" x14ac:dyDescent="0.2">
      <c r="A539" t="str">
        <f>IF(COUNTBLANK(B539:AB539)&lt;&gt;COLUMNS(B539:AB539),538,"")</f>
        <v/>
      </c>
      <c r="D539" s="1" t="str">
        <f t="shared" si="56"/>
        <v/>
      </c>
      <c r="G539" s="2" t="str">
        <f t="shared" si="57"/>
        <v/>
      </c>
      <c r="H539" s="1" t="str">
        <f t="shared" si="58"/>
        <v/>
      </c>
      <c r="S539" s="1" t="str">
        <f t="shared" si="59"/>
        <v/>
      </c>
      <c r="U539" s="1" t="str">
        <f t="shared" si="60"/>
        <v/>
      </c>
      <c r="X539" s="1" t="str">
        <f t="shared" si="61"/>
        <v/>
      </c>
      <c r="AA539" s="1" t="str">
        <f t="shared" si="62"/>
        <v/>
      </c>
    </row>
    <row r="540" spans="1:27" x14ac:dyDescent="0.2">
      <c r="A540" t="str">
        <f>IF(COUNTBLANK(B540:AB540)&lt;&gt;COLUMNS(B540:AB540),539,"")</f>
        <v/>
      </c>
      <c r="D540" s="1" t="str">
        <f t="shared" si="56"/>
        <v/>
      </c>
      <c r="G540" s="2" t="str">
        <f t="shared" si="57"/>
        <v/>
      </c>
      <c r="H540" s="1" t="str">
        <f t="shared" si="58"/>
        <v/>
      </c>
      <c r="S540" s="1" t="str">
        <f t="shared" si="59"/>
        <v/>
      </c>
      <c r="U540" s="1" t="str">
        <f t="shared" si="60"/>
        <v/>
      </c>
      <c r="X540" s="1" t="str">
        <f t="shared" si="61"/>
        <v/>
      </c>
      <c r="AA540" s="1" t="str">
        <f t="shared" si="62"/>
        <v/>
      </c>
    </row>
    <row r="541" spans="1:27" x14ac:dyDescent="0.2">
      <c r="A541" t="str">
        <f>IF(COUNTBLANK(B541:AB541)&lt;&gt;COLUMNS(B541:AB541),540,"")</f>
        <v/>
      </c>
      <c r="D541" s="1" t="str">
        <f t="shared" si="56"/>
        <v/>
      </c>
      <c r="G541" s="2" t="str">
        <f t="shared" si="57"/>
        <v/>
      </c>
      <c r="H541" s="1" t="str">
        <f t="shared" si="58"/>
        <v/>
      </c>
      <c r="S541" s="1" t="str">
        <f t="shared" si="59"/>
        <v/>
      </c>
      <c r="U541" s="1" t="str">
        <f t="shared" si="60"/>
        <v/>
      </c>
      <c r="X541" s="1" t="str">
        <f t="shared" si="61"/>
        <v/>
      </c>
      <c r="AA541" s="1" t="str">
        <f t="shared" si="62"/>
        <v/>
      </c>
    </row>
    <row r="542" spans="1:27" x14ac:dyDescent="0.2">
      <c r="A542" t="str">
        <f>IF(COUNTBLANK(B542:AB542)&lt;&gt;COLUMNS(B542:AB542),541,"")</f>
        <v/>
      </c>
      <c r="D542" s="1" t="str">
        <f t="shared" si="56"/>
        <v/>
      </c>
      <c r="G542" s="2" t="str">
        <f t="shared" si="57"/>
        <v/>
      </c>
      <c r="H542" s="1" t="str">
        <f t="shared" si="58"/>
        <v/>
      </c>
      <c r="S542" s="1" t="str">
        <f t="shared" si="59"/>
        <v/>
      </c>
      <c r="U542" s="1" t="str">
        <f t="shared" si="60"/>
        <v/>
      </c>
      <c r="X542" s="1" t="str">
        <f t="shared" si="61"/>
        <v/>
      </c>
      <c r="AA542" s="1" t="str">
        <f t="shared" si="62"/>
        <v/>
      </c>
    </row>
    <row r="543" spans="1:27" x14ac:dyDescent="0.2">
      <c r="A543" t="str">
        <f>IF(COUNTBLANK(B543:AB543)&lt;&gt;COLUMNS(B543:AB543),542,"")</f>
        <v/>
      </c>
      <c r="D543" s="1" t="str">
        <f t="shared" si="56"/>
        <v/>
      </c>
      <c r="G543" s="2" t="str">
        <f t="shared" si="57"/>
        <v/>
      </c>
      <c r="H543" s="1" t="str">
        <f t="shared" si="58"/>
        <v/>
      </c>
      <c r="S543" s="1" t="str">
        <f t="shared" si="59"/>
        <v/>
      </c>
      <c r="U543" s="1" t="str">
        <f t="shared" si="60"/>
        <v/>
      </c>
      <c r="X543" s="1" t="str">
        <f t="shared" si="61"/>
        <v/>
      </c>
      <c r="AA543" s="1" t="str">
        <f t="shared" si="62"/>
        <v/>
      </c>
    </row>
    <row r="544" spans="1:27" x14ac:dyDescent="0.2">
      <c r="A544" t="str">
        <f>IF(COUNTBLANK(B544:AB544)&lt;&gt;COLUMNS(B544:AB544),543,"")</f>
        <v/>
      </c>
      <c r="D544" s="1" t="str">
        <f t="shared" si="56"/>
        <v/>
      </c>
      <c r="G544" s="2" t="str">
        <f t="shared" si="57"/>
        <v/>
      </c>
      <c r="H544" s="1" t="str">
        <f t="shared" si="58"/>
        <v/>
      </c>
      <c r="S544" s="1" t="str">
        <f t="shared" si="59"/>
        <v/>
      </c>
      <c r="U544" s="1" t="str">
        <f t="shared" si="60"/>
        <v/>
      </c>
      <c r="X544" s="1" t="str">
        <f t="shared" si="61"/>
        <v/>
      </c>
      <c r="AA544" s="1" t="str">
        <f t="shared" si="62"/>
        <v/>
      </c>
    </row>
    <row r="545" spans="1:27" x14ac:dyDescent="0.2">
      <c r="A545" t="str">
        <f>IF(COUNTBLANK(B545:AB545)&lt;&gt;COLUMNS(B545:AB545),544,"")</f>
        <v/>
      </c>
      <c r="D545" s="1" t="str">
        <f t="shared" si="56"/>
        <v/>
      </c>
      <c r="G545" s="2" t="str">
        <f t="shared" si="57"/>
        <v/>
      </c>
      <c r="H545" s="1" t="str">
        <f t="shared" si="58"/>
        <v/>
      </c>
      <c r="S545" s="1" t="str">
        <f t="shared" si="59"/>
        <v/>
      </c>
      <c r="U545" s="1" t="str">
        <f t="shared" si="60"/>
        <v/>
      </c>
      <c r="X545" s="1" t="str">
        <f t="shared" si="61"/>
        <v/>
      </c>
      <c r="AA545" s="1" t="str">
        <f t="shared" si="62"/>
        <v/>
      </c>
    </row>
    <row r="546" spans="1:27" x14ac:dyDescent="0.2">
      <c r="A546" t="str">
        <f>IF(COUNTBLANK(B546:AB546)&lt;&gt;COLUMNS(B546:AB546),545,"")</f>
        <v/>
      </c>
      <c r="D546" s="1" t="str">
        <f t="shared" si="56"/>
        <v/>
      </c>
      <c r="G546" s="2" t="str">
        <f t="shared" si="57"/>
        <v/>
      </c>
      <c r="H546" s="1" t="str">
        <f t="shared" si="58"/>
        <v/>
      </c>
      <c r="S546" s="1" t="str">
        <f t="shared" si="59"/>
        <v/>
      </c>
      <c r="U546" s="1" t="str">
        <f t="shared" si="60"/>
        <v/>
      </c>
      <c r="X546" s="1" t="str">
        <f t="shared" si="61"/>
        <v/>
      </c>
      <c r="AA546" s="1" t="str">
        <f t="shared" si="62"/>
        <v/>
      </c>
    </row>
    <row r="547" spans="1:27" x14ac:dyDescent="0.2">
      <c r="A547" t="str">
        <f>IF(COUNTBLANK(B547:AB547)&lt;&gt;COLUMNS(B547:AB547),546,"")</f>
        <v/>
      </c>
      <c r="D547" s="1" t="str">
        <f t="shared" si="56"/>
        <v/>
      </c>
      <c r="G547" s="2" t="str">
        <f t="shared" si="57"/>
        <v/>
      </c>
      <c r="H547" s="1" t="str">
        <f t="shared" si="58"/>
        <v/>
      </c>
      <c r="S547" s="1" t="str">
        <f t="shared" si="59"/>
        <v/>
      </c>
      <c r="U547" s="1" t="str">
        <f t="shared" si="60"/>
        <v/>
      </c>
      <c r="X547" s="1" t="str">
        <f t="shared" si="61"/>
        <v/>
      </c>
      <c r="AA547" s="1" t="str">
        <f t="shared" si="62"/>
        <v/>
      </c>
    </row>
    <row r="548" spans="1:27" x14ac:dyDescent="0.2">
      <c r="A548" t="str">
        <f>IF(COUNTBLANK(B548:AB548)&lt;&gt;COLUMNS(B548:AB548),547,"")</f>
        <v/>
      </c>
      <c r="D548" s="1" t="str">
        <f t="shared" si="56"/>
        <v/>
      </c>
      <c r="G548" s="2" t="str">
        <f t="shared" si="57"/>
        <v/>
      </c>
      <c r="H548" s="1" t="str">
        <f t="shared" si="58"/>
        <v/>
      </c>
      <c r="S548" s="1" t="str">
        <f t="shared" si="59"/>
        <v/>
      </c>
      <c r="U548" s="1" t="str">
        <f t="shared" si="60"/>
        <v/>
      </c>
      <c r="X548" s="1" t="str">
        <f t="shared" si="61"/>
        <v/>
      </c>
      <c r="AA548" s="1" t="str">
        <f t="shared" si="62"/>
        <v/>
      </c>
    </row>
    <row r="549" spans="1:27" x14ac:dyDescent="0.2">
      <c r="A549" t="str">
        <f>IF(COUNTBLANK(B549:AB549)&lt;&gt;COLUMNS(B549:AB549),548,"")</f>
        <v/>
      </c>
      <c r="D549" s="1" t="str">
        <f t="shared" si="56"/>
        <v/>
      </c>
      <c r="G549" s="2" t="str">
        <f t="shared" si="57"/>
        <v/>
      </c>
      <c r="H549" s="1" t="str">
        <f t="shared" si="58"/>
        <v/>
      </c>
      <c r="S549" s="1" t="str">
        <f t="shared" si="59"/>
        <v/>
      </c>
      <c r="U549" s="1" t="str">
        <f t="shared" si="60"/>
        <v/>
      </c>
      <c r="X549" s="1" t="str">
        <f t="shared" si="61"/>
        <v/>
      </c>
      <c r="AA549" s="1" t="str">
        <f t="shared" si="62"/>
        <v/>
      </c>
    </row>
    <row r="550" spans="1:27" x14ac:dyDescent="0.2">
      <c r="A550" t="str">
        <f>IF(COUNTBLANK(B550:AB550)&lt;&gt;COLUMNS(B550:AB550),549,"")</f>
        <v/>
      </c>
      <c r="D550" s="1" t="str">
        <f t="shared" si="56"/>
        <v/>
      </c>
      <c r="G550" s="2" t="str">
        <f t="shared" si="57"/>
        <v/>
      </c>
      <c r="H550" s="1" t="str">
        <f t="shared" si="58"/>
        <v/>
      </c>
      <c r="S550" s="1" t="str">
        <f t="shared" si="59"/>
        <v/>
      </c>
      <c r="U550" s="1" t="str">
        <f t="shared" si="60"/>
        <v/>
      </c>
      <c r="X550" s="1" t="str">
        <f t="shared" si="61"/>
        <v/>
      </c>
      <c r="AA550" s="1" t="str">
        <f t="shared" si="62"/>
        <v/>
      </c>
    </row>
    <row r="551" spans="1:27" x14ac:dyDescent="0.2">
      <c r="A551" t="str">
        <f>IF(COUNTBLANK(B551:AB551)&lt;&gt;COLUMNS(B551:AB551),550,"")</f>
        <v/>
      </c>
      <c r="D551" s="1" t="str">
        <f t="shared" si="56"/>
        <v/>
      </c>
      <c r="G551" s="2" t="str">
        <f t="shared" si="57"/>
        <v/>
      </c>
      <c r="H551" s="1" t="str">
        <f t="shared" si="58"/>
        <v/>
      </c>
      <c r="S551" s="1" t="str">
        <f t="shared" si="59"/>
        <v/>
      </c>
      <c r="U551" s="1" t="str">
        <f t="shared" si="60"/>
        <v/>
      </c>
      <c r="X551" s="1" t="str">
        <f t="shared" si="61"/>
        <v/>
      </c>
      <c r="AA551" s="1" t="str">
        <f t="shared" si="62"/>
        <v/>
      </c>
    </row>
    <row r="552" spans="1:27" x14ac:dyDescent="0.2">
      <c r="A552" t="str">
        <f>IF(COUNTBLANK(B552:AB552)&lt;&gt;COLUMNS(B552:AB552),551,"")</f>
        <v/>
      </c>
      <c r="D552" s="1" t="str">
        <f t="shared" si="56"/>
        <v/>
      </c>
      <c r="G552" s="2" t="str">
        <f t="shared" si="57"/>
        <v/>
      </c>
      <c r="H552" s="1" t="str">
        <f t="shared" si="58"/>
        <v/>
      </c>
      <c r="S552" s="1" t="str">
        <f t="shared" si="59"/>
        <v/>
      </c>
      <c r="U552" s="1" t="str">
        <f t="shared" si="60"/>
        <v/>
      </c>
      <c r="X552" s="1" t="str">
        <f t="shared" si="61"/>
        <v/>
      </c>
      <c r="AA552" s="1" t="str">
        <f t="shared" si="62"/>
        <v/>
      </c>
    </row>
    <row r="553" spans="1:27" x14ac:dyDescent="0.2">
      <c r="A553" t="str">
        <f>IF(COUNTBLANK(B553:AB553)&lt;&gt;COLUMNS(B553:AB553),552,"")</f>
        <v/>
      </c>
      <c r="D553" s="1" t="str">
        <f t="shared" si="56"/>
        <v/>
      </c>
      <c r="G553" s="2" t="str">
        <f t="shared" si="57"/>
        <v/>
      </c>
      <c r="H553" s="1" t="str">
        <f t="shared" si="58"/>
        <v/>
      </c>
      <c r="S553" s="1" t="str">
        <f t="shared" si="59"/>
        <v/>
      </c>
      <c r="U553" s="1" t="str">
        <f t="shared" si="60"/>
        <v/>
      </c>
      <c r="X553" s="1" t="str">
        <f t="shared" si="61"/>
        <v/>
      </c>
      <c r="AA553" s="1" t="str">
        <f t="shared" si="62"/>
        <v/>
      </c>
    </row>
    <row r="554" spans="1:27" x14ac:dyDescent="0.2">
      <c r="A554" t="str">
        <f>IF(COUNTBLANK(B554:AB554)&lt;&gt;COLUMNS(B554:AB554),553,"")</f>
        <v/>
      </c>
      <c r="D554" s="1" t="str">
        <f t="shared" si="56"/>
        <v/>
      </c>
      <c r="G554" s="2" t="str">
        <f t="shared" si="57"/>
        <v/>
      </c>
      <c r="H554" s="1" t="str">
        <f t="shared" si="58"/>
        <v/>
      </c>
      <c r="S554" s="1" t="str">
        <f t="shared" si="59"/>
        <v/>
      </c>
      <c r="U554" s="1" t="str">
        <f t="shared" si="60"/>
        <v/>
      </c>
      <c r="X554" s="1" t="str">
        <f t="shared" si="61"/>
        <v/>
      </c>
      <c r="AA554" s="1" t="str">
        <f t="shared" si="62"/>
        <v/>
      </c>
    </row>
    <row r="555" spans="1:27" x14ac:dyDescent="0.2">
      <c r="A555" t="str">
        <f>IF(COUNTBLANK(B555:AB555)&lt;&gt;COLUMNS(B555:AB555),554,"")</f>
        <v/>
      </c>
      <c r="D555" s="1" t="str">
        <f t="shared" si="56"/>
        <v/>
      </c>
      <c r="G555" s="2" t="str">
        <f t="shared" si="57"/>
        <v/>
      </c>
      <c r="H555" s="1" t="str">
        <f t="shared" si="58"/>
        <v/>
      </c>
      <c r="S555" s="1" t="str">
        <f t="shared" si="59"/>
        <v/>
      </c>
      <c r="U555" s="1" t="str">
        <f t="shared" si="60"/>
        <v/>
      </c>
      <c r="X555" s="1" t="str">
        <f t="shared" si="61"/>
        <v/>
      </c>
      <c r="AA555" s="1" t="str">
        <f t="shared" si="62"/>
        <v/>
      </c>
    </row>
    <row r="556" spans="1:27" x14ac:dyDescent="0.2">
      <c r="A556" t="str">
        <f>IF(COUNTBLANK(B556:AB556)&lt;&gt;COLUMNS(B556:AB556),555,"")</f>
        <v/>
      </c>
      <c r="D556" s="1" t="str">
        <f t="shared" si="56"/>
        <v/>
      </c>
      <c r="G556" s="2" t="str">
        <f t="shared" si="57"/>
        <v/>
      </c>
      <c r="H556" s="1" t="str">
        <f t="shared" si="58"/>
        <v/>
      </c>
      <c r="S556" s="1" t="str">
        <f t="shared" si="59"/>
        <v/>
      </c>
      <c r="U556" s="1" t="str">
        <f t="shared" si="60"/>
        <v/>
      </c>
      <c r="X556" s="1" t="str">
        <f t="shared" si="61"/>
        <v/>
      </c>
      <c r="AA556" s="1" t="str">
        <f t="shared" si="62"/>
        <v/>
      </c>
    </row>
    <row r="557" spans="1:27" x14ac:dyDescent="0.2">
      <c r="A557" t="str">
        <f>IF(COUNTBLANK(B557:AB557)&lt;&gt;COLUMNS(B557:AB557),556,"")</f>
        <v/>
      </c>
      <c r="D557" s="1" t="str">
        <f t="shared" si="56"/>
        <v/>
      </c>
      <c r="G557" s="2" t="str">
        <f t="shared" si="57"/>
        <v/>
      </c>
      <c r="H557" s="1" t="str">
        <f t="shared" si="58"/>
        <v/>
      </c>
      <c r="S557" s="1" t="str">
        <f t="shared" si="59"/>
        <v/>
      </c>
      <c r="U557" s="1" t="str">
        <f t="shared" si="60"/>
        <v/>
      </c>
      <c r="X557" s="1" t="str">
        <f t="shared" si="61"/>
        <v/>
      </c>
      <c r="AA557" s="1" t="str">
        <f t="shared" si="62"/>
        <v/>
      </c>
    </row>
    <row r="558" spans="1:27" x14ac:dyDescent="0.2">
      <c r="A558" t="str">
        <f>IF(COUNTBLANK(B558:AB558)&lt;&gt;COLUMNS(B558:AB558),557,"")</f>
        <v/>
      </c>
      <c r="D558" s="1" t="str">
        <f t="shared" si="56"/>
        <v/>
      </c>
      <c r="G558" s="2" t="str">
        <f t="shared" si="57"/>
        <v/>
      </c>
      <c r="H558" s="1" t="str">
        <f t="shared" si="58"/>
        <v/>
      </c>
      <c r="S558" s="1" t="str">
        <f t="shared" si="59"/>
        <v/>
      </c>
      <c r="U558" s="1" t="str">
        <f t="shared" si="60"/>
        <v/>
      </c>
      <c r="X558" s="1" t="str">
        <f t="shared" si="61"/>
        <v/>
      </c>
      <c r="AA558" s="1" t="str">
        <f t="shared" si="62"/>
        <v/>
      </c>
    </row>
    <row r="559" spans="1:27" x14ac:dyDescent="0.2">
      <c r="A559" t="str">
        <f>IF(COUNTBLANK(B559:AB559)&lt;&gt;COLUMNS(B559:AB559),558,"")</f>
        <v/>
      </c>
      <c r="D559" s="1" t="str">
        <f t="shared" si="56"/>
        <v/>
      </c>
      <c r="G559" s="2" t="str">
        <f t="shared" si="57"/>
        <v/>
      </c>
      <c r="H559" s="1" t="str">
        <f t="shared" si="58"/>
        <v/>
      </c>
      <c r="S559" s="1" t="str">
        <f t="shared" si="59"/>
        <v/>
      </c>
      <c r="U559" s="1" t="str">
        <f t="shared" si="60"/>
        <v/>
      </c>
      <c r="X559" s="1" t="str">
        <f t="shared" si="61"/>
        <v/>
      </c>
      <c r="AA559" s="1" t="str">
        <f t="shared" si="62"/>
        <v/>
      </c>
    </row>
    <row r="560" spans="1:27" x14ac:dyDescent="0.2">
      <c r="A560" t="str">
        <f>IF(COUNTBLANK(B560:AB560)&lt;&gt;COLUMNS(B560:AB560),559,"")</f>
        <v/>
      </c>
      <c r="D560" s="1" t="str">
        <f t="shared" si="56"/>
        <v/>
      </c>
      <c r="G560" s="2" t="str">
        <f t="shared" si="57"/>
        <v/>
      </c>
      <c r="H560" s="1" t="str">
        <f t="shared" si="58"/>
        <v/>
      </c>
      <c r="S560" s="1" t="str">
        <f t="shared" si="59"/>
        <v/>
      </c>
      <c r="U560" s="1" t="str">
        <f t="shared" si="60"/>
        <v/>
      </c>
      <c r="X560" s="1" t="str">
        <f t="shared" si="61"/>
        <v/>
      </c>
      <c r="AA560" s="1" t="str">
        <f t="shared" si="62"/>
        <v/>
      </c>
    </row>
    <row r="561" spans="1:27" x14ac:dyDescent="0.2">
      <c r="A561" t="str">
        <f>IF(COUNTBLANK(B561:AB561)&lt;&gt;COLUMNS(B561:AB561),560,"")</f>
        <v/>
      </c>
      <c r="D561" s="1" t="str">
        <f t="shared" si="56"/>
        <v/>
      </c>
      <c r="G561" s="2" t="str">
        <f t="shared" si="57"/>
        <v/>
      </c>
      <c r="H561" s="1" t="str">
        <f t="shared" si="58"/>
        <v/>
      </c>
      <c r="S561" s="1" t="str">
        <f t="shared" si="59"/>
        <v/>
      </c>
      <c r="U561" s="1" t="str">
        <f t="shared" si="60"/>
        <v/>
      </c>
      <c r="X561" s="1" t="str">
        <f t="shared" si="61"/>
        <v/>
      </c>
      <c r="AA561" s="1" t="str">
        <f t="shared" si="62"/>
        <v/>
      </c>
    </row>
    <row r="562" spans="1:27" x14ac:dyDescent="0.2">
      <c r="A562" t="str">
        <f>IF(COUNTBLANK(B562:AB562)&lt;&gt;COLUMNS(B562:AB562),561,"")</f>
        <v/>
      </c>
      <c r="D562" s="1" t="str">
        <f t="shared" si="56"/>
        <v/>
      </c>
      <c r="G562" s="2" t="str">
        <f t="shared" si="57"/>
        <v/>
      </c>
      <c r="H562" s="1" t="str">
        <f t="shared" si="58"/>
        <v/>
      </c>
      <c r="S562" s="1" t="str">
        <f t="shared" si="59"/>
        <v/>
      </c>
      <c r="U562" s="1" t="str">
        <f t="shared" si="60"/>
        <v/>
      </c>
      <c r="X562" s="1" t="str">
        <f t="shared" si="61"/>
        <v/>
      </c>
      <c r="AA562" s="1" t="str">
        <f t="shared" si="62"/>
        <v/>
      </c>
    </row>
    <row r="563" spans="1:27" x14ac:dyDescent="0.2">
      <c r="A563" t="str">
        <f>IF(COUNTBLANK(B563:AB563)&lt;&gt;COLUMNS(B563:AB563),562,"")</f>
        <v/>
      </c>
      <c r="D563" s="1" t="str">
        <f t="shared" si="56"/>
        <v/>
      </c>
      <c r="G563" s="2" t="str">
        <f t="shared" si="57"/>
        <v/>
      </c>
      <c r="H563" s="1" t="str">
        <f t="shared" si="58"/>
        <v/>
      </c>
      <c r="S563" s="1" t="str">
        <f t="shared" si="59"/>
        <v/>
      </c>
      <c r="U563" s="1" t="str">
        <f t="shared" si="60"/>
        <v/>
      </c>
      <c r="X563" s="1" t="str">
        <f t="shared" si="61"/>
        <v/>
      </c>
      <c r="AA563" s="1" t="str">
        <f t="shared" si="62"/>
        <v/>
      </c>
    </row>
    <row r="564" spans="1:27" x14ac:dyDescent="0.2">
      <c r="A564" t="str">
        <f>IF(COUNTBLANK(B564:AB564)&lt;&gt;COLUMNS(B564:AB564),563,"")</f>
        <v/>
      </c>
      <c r="D564" s="1" t="str">
        <f t="shared" si="56"/>
        <v/>
      </c>
      <c r="G564" s="2" t="str">
        <f t="shared" si="57"/>
        <v/>
      </c>
      <c r="H564" s="1" t="str">
        <f t="shared" si="58"/>
        <v/>
      </c>
      <c r="S564" s="1" t="str">
        <f t="shared" si="59"/>
        <v/>
      </c>
      <c r="U564" s="1" t="str">
        <f t="shared" si="60"/>
        <v/>
      </c>
      <c r="X564" s="1" t="str">
        <f t="shared" si="61"/>
        <v/>
      </c>
      <c r="AA564" s="1" t="str">
        <f t="shared" si="62"/>
        <v/>
      </c>
    </row>
    <row r="565" spans="1:27" x14ac:dyDescent="0.2">
      <c r="A565" t="str">
        <f>IF(COUNTBLANK(B565:AB565)&lt;&gt;COLUMNS(B565:AB565),564,"")</f>
        <v/>
      </c>
      <c r="D565" s="1" t="str">
        <f t="shared" si="56"/>
        <v/>
      </c>
      <c r="G565" s="2" t="str">
        <f t="shared" si="57"/>
        <v/>
      </c>
      <c r="H565" s="1" t="str">
        <f t="shared" si="58"/>
        <v/>
      </c>
      <c r="S565" s="1" t="str">
        <f t="shared" si="59"/>
        <v/>
      </c>
      <c r="U565" s="1" t="str">
        <f t="shared" si="60"/>
        <v/>
      </c>
      <c r="X565" s="1" t="str">
        <f t="shared" si="61"/>
        <v/>
      </c>
      <c r="AA565" s="1" t="str">
        <f t="shared" si="62"/>
        <v/>
      </c>
    </row>
    <row r="566" spans="1:27" x14ac:dyDescent="0.2">
      <c r="A566" t="str">
        <f>IF(COUNTBLANK(B566:AB566)&lt;&gt;COLUMNS(B566:AB566),565,"")</f>
        <v/>
      </c>
      <c r="D566" s="1" t="str">
        <f t="shared" si="56"/>
        <v/>
      </c>
      <c r="G566" s="2" t="str">
        <f t="shared" si="57"/>
        <v/>
      </c>
      <c r="H566" s="1" t="str">
        <f t="shared" si="58"/>
        <v/>
      </c>
      <c r="S566" s="1" t="str">
        <f t="shared" si="59"/>
        <v/>
      </c>
      <c r="U566" s="1" t="str">
        <f t="shared" si="60"/>
        <v/>
      </c>
      <c r="X566" s="1" t="str">
        <f t="shared" si="61"/>
        <v/>
      </c>
      <c r="AA566" s="1" t="str">
        <f t="shared" si="62"/>
        <v/>
      </c>
    </row>
    <row r="567" spans="1:27" x14ac:dyDescent="0.2">
      <c r="A567" t="str">
        <f>IF(COUNTBLANK(B567:AB567)&lt;&gt;COLUMNS(B567:AB567),566,"")</f>
        <v/>
      </c>
      <c r="D567" s="1" t="str">
        <f t="shared" si="56"/>
        <v/>
      </c>
      <c r="G567" s="2" t="str">
        <f t="shared" si="57"/>
        <v/>
      </c>
      <c r="H567" s="1" t="str">
        <f t="shared" si="58"/>
        <v/>
      </c>
      <c r="S567" s="1" t="str">
        <f t="shared" si="59"/>
        <v/>
      </c>
      <c r="U567" s="1" t="str">
        <f t="shared" si="60"/>
        <v/>
      </c>
      <c r="X567" s="1" t="str">
        <f t="shared" si="61"/>
        <v/>
      </c>
      <c r="AA567" s="1" t="str">
        <f t="shared" si="62"/>
        <v/>
      </c>
    </row>
    <row r="568" spans="1:27" x14ac:dyDescent="0.2">
      <c r="A568" t="str">
        <f>IF(COUNTBLANK(B568:AB568)&lt;&gt;COLUMNS(B568:AB568),567,"")</f>
        <v/>
      </c>
      <c r="D568" s="1" t="str">
        <f t="shared" si="56"/>
        <v/>
      </c>
      <c r="G568" s="2" t="str">
        <f t="shared" si="57"/>
        <v/>
      </c>
      <c r="H568" s="1" t="str">
        <f t="shared" si="58"/>
        <v/>
      </c>
      <c r="S568" s="1" t="str">
        <f t="shared" si="59"/>
        <v/>
      </c>
      <c r="U568" s="1" t="str">
        <f t="shared" si="60"/>
        <v/>
      </c>
      <c r="X568" s="1" t="str">
        <f t="shared" si="61"/>
        <v/>
      </c>
      <c r="AA568" s="1" t="str">
        <f t="shared" si="62"/>
        <v/>
      </c>
    </row>
    <row r="569" spans="1:27" x14ac:dyDescent="0.2">
      <c r="A569" t="str">
        <f>IF(COUNTBLANK(B569:AB569)&lt;&gt;COLUMNS(B569:AB569),568,"")</f>
        <v/>
      </c>
      <c r="D569" s="1" t="str">
        <f t="shared" si="56"/>
        <v/>
      </c>
      <c r="G569" s="2" t="str">
        <f t="shared" si="57"/>
        <v/>
      </c>
      <c r="H569" s="1" t="str">
        <f t="shared" si="58"/>
        <v/>
      </c>
      <c r="S569" s="1" t="str">
        <f t="shared" si="59"/>
        <v/>
      </c>
      <c r="U569" s="1" t="str">
        <f t="shared" si="60"/>
        <v/>
      </c>
      <c r="X569" s="1" t="str">
        <f t="shared" si="61"/>
        <v/>
      </c>
      <c r="AA569" s="1" t="str">
        <f t="shared" si="62"/>
        <v/>
      </c>
    </row>
    <row r="570" spans="1:27" x14ac:dyDescent="0.2">
      <c r="A570" t="str">
        <f>IF(COUNTBLANK(B570:AB570)&lt;&gt;COLUMNS(B570:AB570),569,"")</f>
        <v/>
      </c>
      <c r="D570" s="1" t="str">
        <f t="shared" si="56"/>
        <v/>
      </c>
      <c r="G570" s="2" t="str">
        <f t="shared" si="57"/>
        <v/>
      </c>
      <c r="H570" s="1" t="str">
        <f t="shared" si="58"/>
        <v/>
      </c>
      <c r="S570" s="1" t="str">
        <f t="shared" si="59"/>
        <v/>
      </c>
      <c r="U570" s="1" t="str">
        <f t="shared" si="60"/>
        <v/>
      </c>
      <c r="X570" s="1" t="str">
        <f t="shared" si="61"/>
        <v/>
      </c>
      <c r="AA570" s="1" t="str">
        <f t="shared" si="62"/>
        <v/>
      </c>
    </row>
    <row r="571" spans="1:27" x14ac:dyDescent="0.2">
      <c r="A571" t="str">
        <f>IF(COUNTBLANK(B571:AB571)&lt;&gt;COLUMNS(B571:AB571),570,"")</f>
        <v/>
      </c>
      <c r="D571" s="1" t="str">
        <f t="shared" si="56"/>
        <v/>
      </c>
      <c r="G571" s="2" t="str">
        <f t="shared" si="57"/>
        <v/>
      </c>
      <c r="H571" s="1" t="str">
        <f t="shared" si="58"/>
        <v/>
      </c>
      <c r="S571" s="1" t="str">
        <f t="shared" si="59"/>
        <v/>
      </c>
      <c r="U571" s="1" t="str">
        <f t="shared" si="60"/>
        <v/>
      </c>
      <c r="X571" s="1" t="str">
        <f t="shared" si="61"/>
        <v/>
      </c>
      <c r="AA571" s="1" t="str">
        <f t="shared" si="62"/>
        <v/>
      </c>
    </row>
    <row r="572" spans="1:27" x14ac:dyDescent="0.2">
      <c r="A572" t="str">
        <f>IF(COUNTBLANK(B572:AB572)&lt;&gt;COLUMNS(B572:AB572),571,"")</f>
        <v/>
      </c>
      <c r="D572" s="1" t="str">
        <f t="shared" si="56"/>
        <v/>
      </c>
      <c r="G572" s="2" t="str">
        <f t="shared" si="57"/>
        <v/>
      </c>
      <c r="H572" s="1" t="str">
        <f t="shared" si="58"/>
        <v/>
      </c>
      <c r="S572" s="1" t="str">
        <f t="shared" si="59"/>
        <v/>
      </c>
      <c r="U572" s="1" t="str">
        <f t="shared" si="60"/>
        <v/>
      </c>
      <c r="X572" s="1" t="str">
        <f t="shared" si="61"/>
        <v/>
      </c>
      <c r="AA572" s="1" t="str">
        <f t="shared" si="62"/>
        <v/>
      </c>
    </row>
    <row r="573" spans="1:27" x14ac:dyDescent="0.2">
      <c r="A573" t="str">
        <f>IF(COUNTBLANK(B573:AB573)&lt;&gt;COLUMNS(B573:AB573),572,"")</f>
        <v/>
      </c>
      <c r="D573" s="1" t="str">
        <f t="shared" si="56"/>
        <v/>
      </c>
      <c r="G573" s="2" t="str">
        <f t="shared" si="57"/>
        <v/>
      </c>
      <c r="H573" s="1" t="str">
        <f t="shared" si="58"/>
        <v/>
      </c>
      <c r="S573" s="1" t="str">
        <f t="shared" si="59"/>
        <v/>
      </c>
      <c r="U573" s="1" t="str">
        <f t="shared" si="60"/>
        <v/>
      </c>
      <c r="X573" s="1" t="str">
        <f t="shared" si="61"/>
        <v/>
      </c>
      <c r="AA573" s="1" t="str">
        <f t="shared" si="62"/>
        <v/>
      </c>
    </row>
    <row r="574" spans="1:27" x14ac:dyDescent="0.2">
      <c r="A574" t="str">
        <f>IF(COUNTBLANK(B574:AB574)&lt;&gt;COLUMNS(B574:AB574),573,"")</f>
        <v/>
      </c>
      <c r="D574" s="1" t="str">
        <f t="shared" si="56"/>
        <v/>
      </c>
      <c r="G574" s="2" t="str">
        <f t="shared" si="57"/>
        <v/>
      </c>
      <c r="H574" s="1" t="str">
        <f t="shared" si="58"/>
        <v/>
      </c>
      <c r="S574" s="1" t="str">
        <f t="shared" si="59"/>
        <v/>
      </c>
      <c r="U574" s="1" t="str">
        <f t="shared" si="60"/>
        <v/>
      </c>
      <c r="X574" s="1" t="str">
        <f t="shared" si="61"/>
        <v/>
      </c>
      <c r="AA574" s="1" t="str">
        <f t="shared" si="62"/>
        <v/>
      </c>
    </row>
    <row r="575" spans="1:27" x14ac:dyDescent="0.2">
      <c r="A575" t="str">
        <f>IF(COUNTBLANK(B575:AB575)&lt;&gt;COLUMNS(B575:AB575),574,"")</f>
        <v/>
      </c>
      <c r="D575" s="1" t="str">
        <f t="shared" si="56"/>
        <v/>
      </c>
      <c r="G575" s="2" t="str">
        <f t="shared" si="57"/>
        <v/>
      </c>
      <c r="H575" s="1" t="str">
        <f t="shared" si="58"/>
        <v/>
      </c>
      <c r="S575" s="1" t="str">
        <f t="shared" si="59"/>
        <v/>
      </c>
      <c r="U575" s="1" t="str">
        <f t="shared" si="60"/>
        <v/>
      </c>
      <c r="X575" s="1" t="str">
        <f t="shared" si="61"/>
        <v/>
      </c>
      <c r="AA575" s="1" t="str">
        <f t="shared" si="62"/>
        <v/>
      </c>
    </row>
    <row r="576" spans="1:27" x14ac:dyDescent="0.2">
      <c r="A576" t="str">
        <f>IF(COUNTBLANK(B576:AB576)&lt;&gt;COLUMNS(B576:AB576),575,"")</f>
        <v/>
      </c>
      <c r="D576" s="1" t="str">
        <f t="shared" si="56"/>
        <v/>
      </c>
      <c r="G576" s="2" t="str">
        <f t="shared" si="57"/>
        <v/>
      </c>
      <c r="H576" s="1" t="str">
        <f t="shared" si="58"/>
        <v/>
      </c>
      <c r="S576" s="1" t="str">
        <f t="shared" si="59"/>
        <v/>
      </c>
      <c r="U576" s="1" t="str">
        <f t="shared" si="60"/>
        <v/>
      </c>
      <c r="X576" s="1" t="str">
        <f t="shared" si="61"/>
        <v/>
      </c>
      <c r="AA576" s="1" t="str">
        <f t="shared" si="62"/>
        <v/>
      </c>
    </row>
    <row r="577" spans="1:27" x14ac:dyDescent="0.2">
      <c r="A577" t="str">
        <f>IF(COUNTBLANK(B577:AB577)&lt;&gt;COLUMNS(B577:AB577),576,"")</f>
        <v/>
      </c>
      <c r="D577" s="1" t="str">
        <f t="shared" si="56"/>
        <v/>
      </c>
      <c r="G577" s="2" t="str">
        <f t="shared" si="57"/>
        <v/>
      </c>
      <c r="H577" s="1" t="str">
        <f t="shared" si="58"/>
        <v/>
      </c>
      <c r="S577" s="1" t="str">
        <f t="shared" si="59"/>
        <v/>
      </c>
      <c r="U577" s="1" t="str">
        <f t="shared" si="60"/>
        <v/>
      </c>
      <c r="X577" s="1" t="str">
        <f t="shared" si="61"/>
        <v/>
      </c>
      <c r="AA577" s="1" t="str">
        <f t="shared" si="62"/>
        <v/>
      </c>
    </row>
    <row r="578" spans="1:27" x14ac:dyDescent="0.2">
      <c r="A578" t="str">
        <f>IF(COUNTBLANK(B578:AB578)&lt;&gt;COLUMNS(B578:AB578),577,"")</f>
        <v/>
      </c>
      <c r="D578" s="1" t="str">
        <f t="shared" ref="D578:D641" si="63">IF(B578="", "", "Not applicable")</f>
        <v/>
      </c>
      <c r="G578" s="2" t="str">
        <f t="shared" ref="G578:G641" si="64">IF(B578="", "", "missing: not provided")</f>
        <v/>
      </c>
      <c r="H578" s="1" t="str">
        <f t="shared" ref="H578:H641" si="65">IF(B578="", "", "meters")</f>
        <v/>
      </c>
      <c r="S578" s="1" t="str">
        <f t="shared" ref="S578:S641" si="66">IF(B578="", "", "Decimal degrees")</f>
        <v/>
      </c>
      <c r="U578" s="1" t="str">
        <f t="shared" ref="U578:U641" si="67">IF(B578="", "", "Decimal degrees")</f>
        <v/>
      </c>
      <c r="X578" s="1" t="str">
        <f t="shared" ref="X578:X641" si="68">IF(B578="", "", "other")</f>
        <v/>
      </c>
      <c r="AA578" s="1" t="str">
        <f t="shared" ref="AA578:AA641" si="69">IF(B578="", "", "Not applicable")</f>
        <v/>
      </c>
    </row>
    <row r="579" spans="1:27" x14ac:dyDescent="0.2">
      <c r="A579" t="str">
        <f>IF(COUNTBLANK(B579:AB579)&lt;&gt;COLUMNS(B579:AB579),578,"")</f>
        <v/>
      </c>
      <c r="D579" s="1" t="str">
        <f t="shared" si="63"/>
        <v/>
      </c>
      <c r="G579" s="2" t="str">
        <f t="shared" si="64"/>
        <v/>
      </c>
      <c r="H579" s="1" t="str">
        <f t="shared" si="65"/>
        <v/>
      </c>
      <c r="S579" s="1" t="str">
        <f t="shared" si="66"/>
        <v/>
      </c>
      <c r="U579" s="1" t="str">
        <f t="shared" si="67"/>
        <v/>
      </c>
      <c r="X579" s="1" t="str">
        <f t="shared" si="68"/>
        <v/>
      </c>
      <c r="AA579" s="1" t="str">
        <f t="shared" si="69"/>
        <v/>
      </c>
    </row>
    <row r="580" spans="1:27" x14ac:dyDescent="0.2">
      <c r="A580" t="str">
        <f>IF(COUNTBLANK(B580:AB580)&lt;&gt;COLUMNS(B580:AB580),579,"")</f>
        <v/>
      </c>
      <c r="D580" s="1" t="str">
        <f t="shared" si="63"/>
        <v/>
      </c>
      <c r="G580" s="2" t="str">
        <f t="shared" si="64"/>
        <v/>
      </c>
      <c r="H580" s="1" t="str">
        <f t="shared" si="65"/>
        <v/>
      </c>
      <c r="S580" s="1" t="str">
        <f t="shared" si="66"/>
        <v/>
      </c>
      <c r="U580" s="1" t="str">
        <f t="shared" si="67"/>
        <v/>
      </c>
      <c r="X580" s="1" t="str">
        <f t="shared" si="68"/>
        <v/>
      </c>
      <c r="AA580" s="1" t="str">
        <f t="shared" si="69"/>
        <v/>
      </c>
    </row>
    <row r="581" spans="1:27" x14ac:dyDescent="0.2">
      <c r="A581" t="str">
        <f>IF(COUNTBLANK(B581:AB581)&lt;&gt;COLUMNS(B581:AB581),580,"")</f>
        <v/>
      </c>
      <c r="D581" s="1" t="str">
        <f t="shared" si="63"/>
        <v/>
      </c>
      <c r="G581" s="2" t="str">
        <f t="shared" si="64"/>
        <v/>
      </c>
      <c r="H581" s="1" t="str">
        <f t="shared" si="65"/>
        <v/>
      </c>
      <c r="S581" s="1" t="str">
        <f t="shared" si="66"/>
        <v/>
      </c>
      <c r="U581" s="1" t="str">
        <f t="shared" si="67"/>
        <v/>
      </c>
      <c r="X581" s="1" t="str">
        <f t="shared" si="68"/>
        <v/>
      </c>
      <c r="AA581" s="1" t="str">
        <f t="shared" si="69"/>
        <v/>
      </c>
    </row>
    <row r="582" spans="1:27" x14ac:dyDescent="0.2">
      <c r="A582" t="str">
        <f>IF(COUNTBLANK(B582:AB582)&lt;&gt;COLUMNS(B582:AB582),581,"")</f>
        <v/>
      </c>
      <c r="D582" s="1" t="str">
        <f t="shared" si="63"/>
        <v/>
      </c>
      <c r="G582" s="2" t="str">
        <f t="shared" si="64"/>
        <v/>
      </c>
      <c r="H582" s="1" t="str">
        <f t="shared" si="65"/>
        <v/>
      </c>
      <c r="S582" s="1" t="str">
        <f t="shared" si="66"/>
        <v/>
      </c>
      <c r="U582" s="1" t="str">
        <f t="shared" si="67"/>
        <v/>
      </c>
      <c r="X582" s="1" t="str">
        <f t="shared" si="68"/>
        <v/>
      </c>
      <c r="AA582" s="1" t="str">
        <f t="shared" si="69"/>
        <v/>
      </c>
    </row>
    <row r="583" spans="1:27" x14ac:dyDescent="0.2">
      <c r="A583" t="str">
        <f>IF(COUNTBLANK(B583:AB583)&lt;&gt;COLUMNS(B583:AB583),582,"")</f>
        <v/>
      </c>
      <c r="D583" s="1" t="str">
        <f t="shared" si="63"/>
        <v/>
      </c>
      <c r="G583" s="2" t="str">
        <f t="shared" si="64"/>
        <v/>
      </c>
      <c r="H583" s="1" t="str">
        <f t="shared" si="65"/>
        <v/>
      </c>
      <c r="S583" s="1" t="str">
        <f t="shared" si="66"/>
        <v/>
      </c>
      <c r="U583" s="1" t="str">
        <f t="shared" si="67"/>
        <v/>
      </c>
      <c r="X583" s="1" t="str">
        <f t="shared" si="68"/>
        <v/>
      </c>
      <c r="AA583" s="1" t="str">
        <f t="shared" si="69"/>
        <v/>
      </c>
    </row>
    <row r="584" spans="1:27" x14ac:dyDescent="0.2">
      <c r="A584" t="str">
        <f>IF(COUNTBLANK(B584:AB584)&lt;&gt;COLUMNS(B584:AB584),583,"")</f>
        <v/>
      </c>
      <c r="D584" s="1" t="str">
        <f t="shared" si="63"/>
        <v/>
      </c>
      <c r="G584" s="2" t="str">
        <f t="shared" si="64"/>
        <v/>
      </c>
      <c r="H584" s="1" t="str">
        <f t="shared" si="65"/>
        <v/>
      </c>
      <c r="S584" s="1" t="str">
        <f t="shared" si="66"/>
        <v/>
      </c>
      <c r="U584" s="1" t="str">
        <f t="shared" si="67"/>
        <v/>
      </c>
      <c r="X584" s="1" t="str">
        <f t="shared" si="68"/>
        <v/>
      </c>
      <c r="AA584" s="1" t="str">
        <f t="shared" si="69"/>
        <v/>
      </c>
    </row>
    <row r="585" spans="1:27" x14ac:dyDescent="0.2">
      <c r="A585" t="str">
        <f>IF(COUNTBLANK(B585:AB585)&lt;&gt;COLUMNS(B585:AB585),584,"")</f>
        <v/>
      </c>
      <c r="D585" s="1" t="str">
        <f t="shared" si="63"/>
        <v/>
      </c>
      <c r="G585" s="2" t="str">
        <f t="shared" si="64"/>
        <v/>
      </c>
      <c r="H585" s="1" t="str">
        <f t="shared" si="65"/>
        <v/>
      </c>
      <c r="S585" s="1" t="str">
        <f t="shared" si="66"/>
        <v/>
      </c>
      <c r="U585" s="1" t="str">
        <f t="shared" si="67"/>
        <v/>
      </c>
      <c r="X585" s="1" t="str">
        <f t="shared" si="68"/>
        <v/>
      </c>
      <c r="AA585" s="1" t="str">
        <f t="shared" si="69"/>
        <v/>
      </c>
    </row>
    <row r="586" spans="1:27" x14ac:dyDescent="0.2">
      <c r="A586" t="str">
        <f>IF(COUNTBLANK(B586:AB586)&lt;&gt;COLUMNS(B586:AB586),585,"")</f>
        <v/>
      </c>
      <c r="D586" s="1" t="str">
        <f t="shared" si="63"/>
        <v/>
      </c>
      <c r="G586" s="2" t="str">
        <f t="shared" si="64"/>
        <v/>
      </c>
      <c r="H586" s="1" t="str">
        <f t="shared" si="65"/>
        <v/>
      </c>
      <c r="S586" s="1" t="str">
        <f t="shared" si="66"/>
        <v/>
      </c>
      <c r="U586" s="1" t="str">
        <f t="shared" si="67"/>
        <v/>
      </c>
      <c r="X586" s="1" t="str">
        <f t="shared" si="68"/>
        <v/>
      </c>
      <c r="AA586" s="1" t="str">
        <f t="shared" si="69"/>
        <v/>
      </c>
    </row>
    <row r="587" spans="1:27" x14ac:dyDescent="0.2">
      <c r="A587" t="str">
        <f>IF(COUNTBLANK(B587:AB587)&lt;&gt;COLUMNS(B587:AB587),586,"")</f>
        <v/>
      </c>
      <c r="D587" s="1" t="str">
        <f t="shared" si="63"/>
        <v/>
      </c>
      <c r="G587" s="2" t="str">
        <f t="shared" si="64"/>
        <v/>
      </c>
      <c r="H587" s="1" t="str">
        <f t="shared" si="65"/>
        <v/>
      </c>
      <c r="S587" s="1" t="str">
        <f t="shared" si="66"/>
        <v/>
      </c>
      <c r="U587" s="1" t="str">
        <f t="shared" si="67"/>
        <v/>
      </c>
      <c r="X587" s="1" t="str">
        <f t="shared" si="68"/>
        <v/>
      </c>
      <c r="AA587" s="1" t="str">
        <f t="shared" si="69"/>
        <v/>
      </c>
    </row>
    <row r="588" spans="1:27" x14ac:dyDescent="0.2">
      <c r="A588" t="str">
        <f>IF(COUNTBLANK(B588:AB588)&lt;&gt;COLUMNS(B588:AB588),587,"")</f>
        <v/>
      </c>
      <c r="D588" s="1" t="str">
        <f t="shared" si="63"/>
        <v/>
      </c>
      <c r="G588" s="2" t="str">
        <f t="shared" si="64"/>
        <v/>
      </c>
      <c r="H588" s="1" t="str">
        <f t="shared" si="65"/>
        <v/>
      </c>
      <c r="S588" s="1" t="str">
        <f t="shared" si="66"/>
        <v/>
      </c>
      <c r="U588" s="1" t="str">
        <f t="shared" si="67"/>
        <v/>
      </c>
      <c r="X588" s="1" t="str">
        <f t="shared" si="68"/>
        <v/>
      </c>
      <c r="AA588" s="1" t="str">
        <f t="shared" si="69"/>
        <v/>
      </c>
    </row>
    <row r="589" spans="1:27" x14ac:dyDescent="0.2">
      <c r="A589" t="str">
        <f>IF(COUNTBLANK(B589:AB589)&lt;&gt;COLUMNS(B589:AB589),588,"")</f>
        <v/>
      </c>
      <c r="D589" s="1" t="str">
        <f t="shared" si="63"/>
        <v/>
      </c>
      <c r="G589" s="2" t="str">
        <f t="shared" si="64"/>
        <v/>
      </c>
      <c r="H589" s="1" t="str">
        <f t="shared" si="65"/>
        <v/>
      </c>
      <c r="S589" s="1" t="str">
        <f t="shared" si="66"/>
        <v/>
      </c>
      <c r="U589" s="1" t="str">
        <f t="shared" si="67"/>
        <v/>
      </c>
      <c r="X589" s="1" t="str">
        <f t="shared" si="68"/>
        <v/>
      </c>
      <c r="AA589" s="1" t="str">
        <f t="shared" si="69"/>
        <v/>
      </c>
    </row>
    <row r="590" spans="1:27" x14ac:dyDescent="0.2">
      <c r="A590" t="str">
        <f>IF(COUNTBLANK(B590:AB590)&lt;&gt;COLUMNS(B590:AB590),589,"")</f>
        <v/>
      </c>
      <c r="D590" s="1" t="str">
        <f t="shared" si="63"/>
        <v/>
      </c>
      <c r="G590" s="2" t="str">
        <f t="shared" si="64"/>
        <v/>
      </c>
      <c r="H590" s="1" t="str">
        <f t="shared" si="65"/>
        <v/>
      </c>
      <c r="S590" s="1" t="str">
        <f t="shared" si="66"/>
        <v/>
      </c>
      <c r="U590" s="1" t="str">
        <f t="shared" si="67"/>
        <v/>
      </c>
      <c r="X590" s="1" t="str">
        <f t="shared" si="68"/>
        <v/>
      </c>
      <c r="AA590" s="1" t="str">
        <f t="shared" si="69"/>
        <v/>
      </c>
    </row>
    <row r="591" spans="1:27" x14ac:dyDescent="0.2">
      <c r="A591" t="str">
        <f>IF(COUNTBLANK(B591:AB591)&lt;&gt;COLUMNS(B591:AB591),590,"")</f>
        <v/>
      </c>
      <c r="D591" s="1" t="str">
        <f t="shared" si="63"/>
        <v/>
      </c>
      <c r="G591" s="2" t="str">
        <f t="shared" si="64"/>
        <v/>
      </c>
      <c r="H591" s="1" t="str">
        <f t="shared" si="65"/>
        <v/>
      </c>
      <c r="S591" s="1" t="str">
        <f t="shared" si="66"/>
        <v/>
      </c>
      <c r="U591" s="1" t="str">
        <f t="shared" si="67"/>
        <v/>
      </c>
      <c r="X591" s="1" t="str">
        <f t="shared" si="68"/>
        <v/>
      </c>
      <c r="AA591" s="1" t="str">
        <f t="shared" si="69"/>
        <v/>
      </c>
    </row>
    <row r="592" spans="1:27" x14ac:dyDescent="0.2">
      <c r="A592" t="str">
        <f>IF(COUNTBLANK(B592:AB592)&lt;&gt;COLUMNS(B592:AB592),591,"")</f>
        <v/>
      </c>
      <c r="D592" s="1" t="str">
        <f t="shared" si="63"/>
        <v/>
      </c>
      <c r="G592" s="2" t="str">
        <f t="shared" si="64"/>
        <v/>
      </c>
      <c r="H592" s="1" t="str">
        <f t="shared" si="65"/>
        <v/>
      </c>
      <c r="S592" s="1" t="str">
        <f t="shared" si="66"/>
        <v/>
      </c>
      <c r="U592" s="1" t="str">
        <f t="shared" si="67"/>
        <v/>
      </c>
      <c r="X592" s="1" t="str">
        <f t="shared" si="68"/>
        <v/>
      </c>
      <c r="AA592" s="1" t="str">
        <f t="shared" si="69"/>
        <v/>
      </c>
    </row>
    <row r="593" spans="1:27" x14ac:dyDescent="0.2">
      <c r="A593" t="str">
        <f>IF(COUNTBLANK(B593:AB593)&lt;&gt;COLUMNS(B593:AB593),592,"")</f>
        <v/>
      </c>
      <c r="D593" s="1" t="str">
        <f t="shared" si="63"/>
        <v/>
      </c>
      <c r="G593" s="2" t="str">
        <f t="shared" si="64"/>
        <v/>
      </c>
      <c r="H593" s="1" t="str">
        <f t="shared" si="65"/>
        <v/>
      </c>
      <c r="S593" s="1" t="str">
        <f t="shared" si="66"/>
        <v/>
      </c>
      <c r="U593" s="1" t="str">
        <f t="shared" si="67"/>
        <v/>
      </c>
      <c r="X593" s="1" t="str">
        <f t="shared" si="68"/>
        <v/>
      </c>
      <c r="AA593" s="1" t="str">
        <f t="shared" si="69"/>
        <v/>
      </c>
    </row>
    <row r="594" spans="1:27" x14ac:dyDescent="0.2">
      <c r="A594" t="str">
        <f>IF(COUNTBLANK(B594:AB594)&lt;&gt;COLUMNS(B594:AB594),593,"")</f>
        <v/>
      </c>
      <c r="D594" s="1" t="str">
        <f t="shared" si="63"/>
        <v/>
      </c>
      <c r="G594" s="2" t="str">
        <f t="shared" si="64"/>
        <v/>
      </c>
      <c r="H594" s="1" t="str">
        <f t="shared" si="65"/>
        <v/>
      </c>
      <c r="S594" s="1" t="str">
        <f t="shared" si="66"/>
        <v/>
      </c>
      <c r="U594" s="1" t="str">
        <f t="shared" si="67"/>
        <v/>
      </c>
      <c r="X594" s="1" t="str">
        <f t="shared" si="68"/>
        <v/>
      </c>
      <c r="AA594" s="1" t="str">
        <f t="shared" si="69"/>
        <v/>
      </c>
    </row>
    <row r="595" spans="1:27" x14ac:dyDescent="0.2">
      <c r="A595" t="str">
        <f>IF(COUNTBLANK(B595:AB595)&lt;&gt;COLUMNS(B595:AB595),594,"")</f>
        <v/>
      </c>
      <c r="D595" s="1" t="str">
        <f t="shared" si="63"/>
        <v/>
      </c>
      <c r="G595" s="2" t="str">
        <f t="shared" si="64"/>
        <v/>
      </c>
      <c r="H595" s="1" t="str">
        <f t="shared" si="65"/>
        <v/>
      </c>
      <c r="S595" s="1" t="str">
        <f t="shared" si="66"/>
        <v/>
      </c>
      <c r="U595" s="1" t="str">
        <f t="shared" si="67"/>
        <v/>
      </c>
      <c r="X595" s="1" t="str">
        <f t="shared" si="68"/>
        <v/>
      </c>
      <c r="AA595" s="1" t="str">
        <f t="shared" si="69"/>
        <v/>
      </c>
    </row>
    <row r="596" spans="1:27" x14ac:dyDescent="0.2">
      <c r="A596" t="str">
        <f>IF(COUNTBLANK(B596:AB596)&lt;&gt;COLUMNS(B596:AB596),595,"")</f>
        <v/>
      </c>
      <c r="D596" s="1" t="str">
        <f t="shared" si="63"/>
        <v/>
      </c>
      <c r="G596" s="2" t="str">
        <f t="shared" si="64"/>
        <v/>
      </c>
      <c r="H596" s="1" t="str">
        <f t="shared" si="65"/>
        <v/>
      </c>
      <c r="S596" s="1" t="str">
        <f t="shared" si="66"/>
        <v/>
      </c>
      <c r="U596" s="1" t="str">
        <f t="shared" si="67"/>
        <v/>
      </c>
      <c r="X596" s="1" t="str">
        <f t="shared" si="68"/>
        <v/>
      </c>
      <c r="AA596" s="1" t="str">
        <f t="shared" si="69"/>
        <v/>
      </c>
    </row>
    <row r="597" spans="1:27" x14ac:dyDescent="0.2">
      <c r="A597" t="str">
        <f>IF(COUNTBLANK(B597:AB597)&lt;&gt;COLUMNS(B597:AB597),596,"")</f>
        <v/>
      </c>
      <c r="D597" s="1" t="str">
        <f t="shared" si="63"/>
        <v/>
      </c>
      <c r="G597" s="2" t="str">
        <f t="shared" si="64"/>
        <v/>
      </c>
      <c r="H597" s="1" t="str">
        <f t="shared" si="65"/>
        <v/>
      </c>
      <c r="S597" s="1" t="str">
        <f t="shared" si="66"/>
        <v/>
      </c>
      <c r="U597" s="1" t="str">
        <f t="shared" si="67"/>
        <v/>
      </c>
      <c r="X597" s="1" t="str">
        <f t="shared" si="68"/>
        <v/>
      </c>
      <c r="AA597" s="1" t="str">
        <f t="shared" si="69"/>
        <v/>
      </c>
    </row>
    <row r="598" spans="1:27" x14ac:dyDescent="0.2">
      <c r="A598" t="str">
        <f>IF(COUNTBLANK(B598:AB598)&lt;&gt;COLUMNS(B598:AB598),597,"")</f>
        <v/>
      </c>
      <c r="D598" s="1" t="str">
        <f t="shared" si="63"/>
        <v/>
      </c>
      <c r="G598" s="2" t="str">
        <f t="shared" si="64"/>
        <v/>
      </c>
      <c r="H598" s="1" t="str">
        <f t="shared" si="65"/>
        <v/>
      </c>
      <c r="S598" s="1" t="str">
        <f t="shared" si="66"/>
        <v/>
      </c>
      <c r="U598" s="1" t="str">
        <f t="shared" si="67"/>
        <v/>
      </c>
      <c r="X598" s="1" t="str">
        <f t="shared" si="68"/>
        <v/>
      </c>
      <c r="AA598" s="1" t="str">
        <f t="shared" si="69"/>
        <v/>
      </c>
    </row>
    <row r="599" spans="1:27" x14ac:dyDescent="0.2">
      <c r="A599" t="str">
        <f>IF(COUNTBLANK(B599:AB599)&lt;&gt;COLUMNS(B599:AB599),598,"")</f>
        <v/>
      </c>
      <c r="D599" s="1" t="str">
        <f t="shared" si="63"/>
        <v/>
      </c>
      <c r="G599" s="2" t="str">
        <f t="shared" si="64"/>
        <v/>
      </c>
      <c r="H599" s="1" t="str">
        <f t="shared" si="65"/>
        <v/>
      </c>
      <c r="S599" s="1" t="str">
        <f t="shared" si="66"/>
        <v/>
      </c>
      <c r="U599" s="1" t="str">
        <f t="shared" si="67"/>
        <v/>
      </c>
      <c r="X599" s="1" t="str">
        <f t="shared" si="68"/>
        <v/>
      </c>
      <c r="AA599" s="1" t="str">
        <f t="shared" si="69"/>
        <v/>
      </c>
    </row>
    <row r="600" spans="1:27" x14ac:dyDescent="0.2">
      <c r="A600" t="str">
        <f>IF(COUNTBLANK(B600:AB600)&lt;&gt;COLUMNS(B600:AB600),599,"")</f>
        <v/>
      </c>
      <c r="D600" s="1" t="str">
        <f t="shared" si="63"/>
        <v/>
      </c>
      <c r="G600" s="2" t="str">
        <f t="shared" si="64"/>
        <v/>
      </c>
      <c r="H600" s="1" t="str">
        <f t="shared" si="65"/>
        <v/>
      </c>
      <c r="S600" s="1" t="str">
        <f t="shared" si="66"/>
        <v/>
      </c>
      <c r="U600" s="1" t="str">
        <f t="shared" si="67"/>
        <v/>
      </c>
      <c r="X600" s="1" t="str">
        <f t="shared" si="68"/>
        <v/>
      </c>
      <c r="AA600" s="1" t="str">
        <f t="shared" si="69"/>
        <v/>
      </c>
    </row>
    <row r="601" spans="1:27" x14ac:dyDescent="0.2">
      <c r="A601" t="str">
        <f>IF(COUNTBLANK(B601:AB601)&lt;&gt;COLUMNS(B601:AB601),600,"")</f>
        <v/>
      </c>
      <c r="D601" s="1" t="str">
        <f t="shared" si="63"/>
        <v/>
      </c>
      <c r="G601" s="2" t="str">
        <f t="shared" si="64"/>
        <v/>
      </c>
      <c r="H601" s="1" t="str">
        <f t="shared" si="65"/>
        <v/>
      </c>
      <c r="S601" s="1" t="str">
        <f t="shared" si="66"/>
        <v/>
      </c>
      <c r="U601" s="1" t="str">
        <f t="shared" si="67"/>
        <v/>
      </c>
      <c r="X601" s="1" t="str">
        <f t="shared" si="68"/>
        <v/>
      </c>
      <c r="AA601" s="1" t="str">
        <f t="shared" si="69"/>
        <v/>
      </c>
    </row>
    <row r="602" spans="1:27" x14ac:dyDescent="0.2">
      <c r="A602" t="str">
        <f>IF(COUNTBLANK(B602:AB602)&lt;&gt;COLUMNS(B602:AB602),601,"")</f>
        <v/>
      </c>
      <c r="D602" s="1" t="str">
        <f t="shared" si="63"/>
        <v/>
      </c>
      <c r="G602" s="2" t="str">
        <f t="shared" si="64"/>
        <v/>
      </c>
      <c r="H602" s="1" t="str">
        <f t="shared" si="65"/>
        <v/>
      </c>
      <c r="S602" s="1" t="str">
        <f t="shared" si="66"/>
        <v/>
      </c>
      <c r="U602" s="1" t="str">
        <f t="shared" si="67"/>
        <v/>
      </c>
      <c r="X602" s="1" t="str">
        <f t="shared" si="68"/>
        <v/>
      </c>
      <c r="AA602" s="1" t="str">
        <f t="shared" si="69"/>
        <v/>
      </c>
    </row>
    <row r="603" spans="1:27" x14ac:dyDescent="0.2">
      <c r="A603" t="str">
        <f>IF(COUNTBLANK(B603:AB603)&lt;&gt;COLUMNS(B603:AB603),602,"")</f>
        <v/>
      </c>
      <c r="D603" s="1" t="str">
        <f t="shared" si="63"/>
        <v/>
      </c>
      <c r="G603" s="2" t="str">
        <f t="shared" si="64"/>
        <v/>
      </c>
      <c r="H603" s="1" t="str">
        <f t="shared" si="65"/>
        <v/>
      </c>
      <c r="S603" s="1" t="str">
        <f t="shared" si="66"/>
        <v/>
      </c>
      <c r="U603" s="1" t="str">
        <f t="shared" si="67"/>
        <v/>
      </c>
      <c r="X603" s="1" t="str">
        <f t="shared" si="68"/>
        <v/>
      </c>
      <c r="AA603" s="1" t="str">
        <f t="shared" si="69"/>
        <v/>
      </c>
    </row>
    <row r="604" spans="1:27" x14ac:dyDescent="0.2">
      <c r="A604" t="str">
        <f>IF(COUNTBLANK(B604:AB604)&lt;&gt;COLUMNS(B604:AB604),603,"")</f>
        <v/>
      </c>
      <c r="D604" s="1" t="str">
        <f t="shared" si="63"/>
        <v/>
      </c>
      <c r="G604" s="2" t="str">
        <f t="shared" si="64"/>
        <v/>
      </c>
      <c r="H604" s="1" t="str">
        <f t="shared" si="65"/>
        <v/>
      </c>
      <c r="S604" s="1" t="str">
        <f t="shared" si="66"/>
        <v/>
      </c>
      <c r="U604" s="1" t="str">
        <f t="shared" si="67"/>
        <v/>
      </c>
      <c r="X604" s="1" t="str">
        <f t="shared" si="68"/>
        <v/>
      </c>
      <c r="AA604" s="1" t="str">
        <f t="shared" si="69"/>
        <v/>
      </c>
    </row>
    <row r="605" spans="1:27" x14ac:dyDescent="0.2">
      <c r="A605" t="str">
        <f>IF(COUNTBLANK(B605:AB605)&lt;&gt;COLUMNS(B605:AB605),604,"")</f>
        <v/>
      </c>
      <c r="D605" s="1" t="str">
        <f t="shared" si="63"/>
        <v/>
      </c>
      <c r="G605" s="2" t="str">
        <f t="shared" si="64"/>
        <v/>
      </c>
      <c r="H605" s="1" t="str">
        <f t="shared" si="65"/>
        <v/>
      </c>
      <c r="S605" s="1" t="str">
        <f t="shared" si="66"/>
        <v/>
      </c>
      <c r="U605" s="1" t="str">
        <f t="shared" si="67"/>
        <v/>
      </c>
      <c r="X605" s="1" t="str">
        <f t="shared" si="68"/>
        <v/>
      </c>
      <c r="AA605" s="1" t="str">
        <f t="shared" si="69"/>
        <v/>
      </c>
    </row>
    <row r="606" spans="1:27" x14ac:dyDescent="0.2">
      <c r="A606" t="str">
        <f>IF(COUNTBLANK(B606:AB606)&lt;&gt;COLUMNS(B606:AB606),605,"")</f>
        <v/>
      </c>
      <c r="D606" s="1" t="str">
        <f t="shared" si="63"/>
        <v/>
      </c>
      <c r="G606" s="2" t="str">
        <f t="shared" si="64"/>
        <v/>
      </c>
      <c r="H606" s="1" t="str">
        <f t="shared" si="65"/>
        <v/>
      </c>
      <c r="S606" s="1" t="str">
        <f t="shared" si="66"/>
        <v/>
      </c>
      <c r="U606" s="1" t="str">
        <f t="shared" si="67"/>
        <v/>
      </c>
      <c r="X606" s="1" t="str">
        <f t="shared" si="68"/>
        <v/>
      </c>
      <c r="AA606" s="1" t="str">
        <f t="shared" si="69"/>
        <v/>
      </c>
    </row>
    <row r="607" spans="1:27" x14ac:dyDescent="0.2">
      <c r="A607" t="str">
        <f>IF(COUNTBLANK(B607:AB607)&lt;&gt;COLUMNS(B607:AB607),606,"")</f>
        <v/>
      </c>
      <c r="D607" s="1" t="str">
        <f t="shared" si="63"/>
        <v/>
      </c>
      <c r="G607" s="2" t="str">
        <f t="shared" si="64"/>
        <v/>
      </c>
      <c r="H607" s="1" t="str">
        <f t="shared" si="65"/>
        <v/>
      </c>
      <c r="S607" s="1" t="str">
        <f t="shared" si="66"/>
        <v/>
      </c>
      <c r="U607" s="1" t="str">
        <f t="shared" si="67"/>
        <v/>
      </c>
      <c r="X607" s="1" t="str">
        <f t="shared" si="68"/>
        <v/>
      </c>
      <c r="AA607" s="1" t="str">
        <f t="shared" si="69"/>
        <v/>
      </c>
    </row>
    <row r="608" spans="1:27" x14ac:dyDescent="0.2">
      <c r="A608" t="str">
        <f>IF(COUNTBLANK(B608:AB608)&lt;&gt;COLUMNS(B608:AB608),607,"")</f>
        <v/>
      </c>
      <c r="D608" s="1" t="str">
        <f t="shared" si="63"/>
        <v/>
      </c>
      <c r="G608" s="2" t="str">
        <f t="shared" si="64"/>
        <v/>
      </c>
      <c r="H608" s="1" t="str">
        <f t="shared" si="65"/>
        <v/>
      </c>
      <c r="S608" s="1" t="str">
        <f t="shared" si="66"/>
        <v/>
      </c>
      <c r="U608" s="1" t="str">
        <f t="shared" si="67"/>
        <v/>
      </c>
      <c r="X608" s="1" t="str">
        <f t="shared" si="68"/>
        <v/>
      </c>
      <c r="AA608" s="1" t="str">
        <f t="shared" si="69"/>
        <v/>
      </c>
    </row>
    <row r="609" spans="1:27" x14ac:dyDescent="0.2">
      <c r="A609" t="str">
        <f>IF(COUNTBLANK(B609:AB609)&lt;&gt;COLUMNS(B609:AB609),608,"")</f>
        <v/>
      </c>
      <c r="D609" s="1" t="str">
        <f t="shared" si="63"/>
        <v/>
      </c>
      <c r="G609" s="2" t="str">
        <f t="shared" si="64"/>
        <v/>
      </c>
      <c r="H609" s="1" t="str">
        <f t="shared" si="65"/>
        <v/>
      </c>
      <c r="S609" s="1" t="str">
        <f t="shared" si="66"/>
        <v/>
      </c>
      <c r="U609" s="1" t="str">
        <f t="shared" si="67"/>
        <v/>
      </c>
      <c r="X609" s="1" t="str">
        <f t="shared" si="68"/>
        <v/>
      </c>
      <c r="AA609" s="1" t="str">
        <f t="shared" si="69"/>
        <v/>
      </c>
    </row>
    <row r="610" spans="1:27" x14ac:dyDescent="0.2">
      <c r="A610" t="str">
        <f>IF(COUNTBLANK(B610:AB610)&lt;&gt;COLUMNS(B610:AB610),609,"")</f>
        <v/>
      </c>
      <c r="D610" s="1" t="str">
        <f t="shared" si="63"/>
        <v/>
      </c>
      <c r="G610" s="2" t="str">
        <f t="shared" si="64"/>
        <v/>
      </c>
      <c r="H610" s="1" t="str">
        <f t="shared" si="65"/>
        <v/>
      </c>
      <c r="S610" s="1" t="str">
        <f t="shared" si="66"/>
        <v/>
      </c>
      <c r="U610" s="1" t="str">
        <f t="shared" si="67"/>
        <v/>
      </c>
      <c r="X610" s="1" t="str">
        <f t="shared" si="68"/>
        <v/>
      </c>
      <c r="AA610" s="1" t="str">
        <f t="shared" si="69"/>
        <v/>
      </c>
    </row>
    <row r="611" spans="1:27" x14ac:dyDescent="0.2">
      <c r="A611" t="str">
        <f>IF(COUNTBLANK(B611:AB611)&lt;&gt;COLUMNS(B611:AB611),610,"")</f>
        <v/>
      </c>
      <c r="D611" s="1" t="str">
        <f t="shared" si="63"/>
        <v/>
      </c>
      <c r="G611" s="2" t="str">
        <f t="shared" si="64"/>
        <v/>
      </c>
      <c r="H611" s="1" t="str">
        <f t="shared" si="65"/>
        <v/>
      </c>
      <c r="S611" s="1" t="str">
        <f t="shared" si="66"/>
        <v/>
      </c>
      <c r="U611" s="1" t="str">
        <f t="shared" si="67"/>
        <v/>
      </c>
      <c r="X611" s="1" t="str">
        <f t="shared" si="68"/>
        <v/>
      </c>
      <c r="AA611" s="1" t="str">
        <f t="shared" si="69"/>
        <v/>
      </c>
    </row>
    <row r="612" spans="1:27" x14ac:dyDescent="0.2">
      <c r="A612" t="str">
        <f>IF(COUNTBLANK(B612:AB612)&lt;&gt;COLUMNS(B612:AB612),611,"")</f>
        <v/>
      </c>
      <c r="D612" s="1" t="str">
        <f t="shared" si="63"/>
        <v/>
      </c>
      <c r="G612" s="2" t="str">
        <f t="shared" si="64"/>
        <v/>
      </c>
      <c r="H612" s="1" t="str">
        <f t="shared" si="65"/>
        <v/>
      </c>
      <c r="S612" s="1" t="str">
        <f t="shared" si="66"/>
        <v/>
      </c>
      <c r="U612" s="1" t="str">
        <f t="shared" si="67"/>
        <v/>
      </c>
      <c r="X612" s="1" t="str">
        <f t="shared" si="68"/>
        <v/>
      </c>
      <c r="AA612" s="1" t="str">
        <f t="shared" si="69"/>
        <v/>
      </c>
    </row>
    <row r="613" spans="1:27" x14ac:dyDescent="0.2">
      <c r="A613" t="str">
        <f>IF(COUNTBLANK(B613:AB613)&lt;&gt;COLUMNS(B613:AB613),612,"")</f>
        <v/>
      </c>
      <c r="D613" s="1" t="str">
        <f t="shared" si="63"/>
        <v/>
      </c>
      <c r="G613" s="2" t="str">
        <f t="shared" si="64"/>
        <v/>
      </c>
      <c r="H613" s="1" t="str">
        <f t="shared" si="65"/>
        <v/>
      </c>
      <c r="S613" s="1" t="str">
        <f t="shared" si="66"/>
        <v/>
      </c>
      <c r="U613" s="1" t="str">
        <f t="shared" si="67"/>
        <v/>
      </c>
      <c r="X613" s="1" t="str">
        <f t="shared" si="68"/>
        <v/>
      </c>
      <c r="AA613" s="1" t="str">
        <f t="shared" si="69"/>
        <v/>
      </c>
    </row>
    <row r="614" spans="1:27" x14ac:dyDescent="0.2">
      <c r="A614" t="str">
        <f>IF(COUNTBLANK(B614:AB614)&lt;&gt;COLUMNS(B614:AB614),613,"")</f>
        <v/>
      </c>
      <c r="D614" s="1" t="str">
        <f t="shared" si="63"/>
        <v/>
      </c>
      <c r="G614" s="2" t="str">
        <f t="shared" si="64"/>
        <v/>
      </c>
      <c r="H614" s="1" t="str">
        <f t="shared" si="65"/>
        <v/>
      </c>
      <c r="S614" s="1" t="str">
        <f t="shared" si="66"/>
        <v/>
      </c>
      <c r="U614" s="1" t="str">
        <f t="shared" si="67"/>
        <v/>
      </c>
      <c r="X614" s="1" t="str">
        <f t="shared" si="68"/>
        <v/>
      </c>
      <c r="AA614" s="1" t="str">
        <f t="shared" si="69"/>
        <v/>
      </c>
    </row>
    <row r="615" spans="1:27" x14ac:dyDescent="0.2">
      <c r="A615" t="str">
        <f>IF(COUNTBLANK(B615:AB615)&lt;&gt;COLUMNS(B615:AB615),614,"")</f>
        <v/>
      </c>
      <c r="D615" s="1" t="str">
        <f t="shared" si="63"/>
        <v/>
      </c>
      <c r="G615" s="2" t="str">
        <f t="shared" si="64"/>
        <v/>
      </c>
      <c r="H615" s="1" t="str">
        <f t="shared" si="65"/>
        <v/>
      </c>
      <c r="S615" s="1" t="str">
        <f t="shared" si="66"/>
        <v/>
      </c>
      <c r="U615" s="1" t="str">
        <f t="shared" si="67"/>
        <v/>
      </c>
      <c r="X615" s="1" t="str">
        <f t="shared" si="68"/>
        <v/>
      </c>
      <c r="AA615" s="1" t="str">
        <f t="shared" si="69"/>
        <v/>
      </c>
    </row>
    <row r="616" spans="1:27" x14ac:dyDescent="0.2">
      <c r="A616" t="str">
        <f>IF(COUNTBLANK(B616:AB616)&lt;&gt;COLUMNS(B616:AB616),615,"")</f>
        <v/>
      </c>
      <c r="D616" s="1" t="str">
        <f t="shared" si="63"/>
        <v/>
      </c>
      <c r="G616" s="2" t="str">
        <f t="shared" si="64"/>
        <v/>
      </c>
      <c r="H616" s="1" t="str">
        <f t="shared" si="65"/>
        <v/>
      </c>
      <c r="S616" s="1" t="str">
        <f t="shared" si="66"/>
        <v/>
      </c>
      <c r="U616" s="1" t="str">
        <f t="shared" si="67"/>
        <v/>
      </c>
      <c r="X616" s="1" t="str">
        <f t="shared" si="68"/>
        <v/>
      </c>
      <c r="AA616" s="1" t="str">
        <f t="shared" si="69"/>
        <v/>
      </c>
    </row>
    <row r="617" spans="1:27" x14ac:dyDescent="0.2">
      <c r="A617" t="str">
        <f>IF(COUNTBLANK(B617:AB617)&lt;&gt;COLUMNS(B617:AB617),616,"")</f>
        <v/>
      </c>
      <c r="D617" s="1" t="str">
        <f t="shared" si="63"/>
        <v/>
      </c>
      <c r="G617" s="2" t="str">
        <f t="shared" si="64"/>
        <v/>
      </c>
      <c r="H617" s="1" t="str">
        <f t="shared" si="65"/>
        <v/>
      </c>
      <c r="S617" s="1" t="str">
        <f t="shared" si="66"/>
        <v/>
      </c>
      <c r="U617" s="1" t="str">
        <f t="shared" si="67"/>
        <v/>
      </c>
      <c r="X617" s="1" t="str">
        <f t="shared" si="68"/>
        <v/>
      </c>
      <c r="AA617" s="1" t="str">
        <f t="shared" si="69"/>
        <v/>
      </c>
    </row>
    <row r="618" spans="1:27" x14ac:dyDescent="0.2">
      <c r="A618" t="str">
        <f>IF(COUNTBLANK(B618:AB618)&lt;&gt;COLUMNS(B618:AB618),617,"")</f>
        <v/>
      </c>
      <c r="D618" s="1" t="str">
        <f t="shared" si="63"/>
        <v/>
      </c>
      <c r="G618" s="2" t="str">
        <f t="shared" si="64"/>
        <v/>
      </c>
      <c r="H618" s="1" t="str">
        <f t="shared" si="65"/>
        <v/>
      </c>
      <c r="S618" s="1" t="str">
        <f t="shared" si="66"/>
        <v/>
      </c>
      <c r="U618" s="1" t="str">
        <f t="shared" si="67"/>
        <v/>
      </c>
      <c r="X618" s="1" t="str">
        <f t="shared" si="68"/>
        <v/>
      </c>
      <c r="AA618" s="1" t="str">
        <f t="shared" si="69"/>
        <v/>
      </c>
    </row>
    <row r="619" spans="1:27" x14ac:dyDescent="0.2">
      <c r="A619" t="str">
        <f>IF(COUNTBLANK(B619:AB619)&lt;&gt;COLUMNS(B619:AB619),618,"")</f>
        <v/>
      </c>
      <c r="D619" s="1" t="str">
        <f t="shared" si="63"/>
        <v/>
      </c>
      <c r="G619" s="2" t="str">
        <f t="shared" si="64"/>
        <v/>
      </c>
      <c r="H619" s="1" t="str">
        <f t="shared" si="65"/>
        <v/>
      </c>
      <c r="S619" s="1" t="str">
        <f t="shared" si="66"/>
        <v/>
      </c>
      <c r="U619" s="1" t="str">
        <f t="shared" si="67"/>
        <v/>
      </c>
      <c r="X619" s="1" t="str">
        <f t="shared" si="68"/>
        <v/>
      </c>
      <c r="AA619" s="1" t="str">
        <f t="shared" si="69"/>
        <v/>
      </c>
    </row>
    <row r="620" spans="1:27" x14ac:dyDescent="0.2">
      <c r="A620" t="str">
        <f>IF(COUNTBLANK(B620:AB620)&lt;&gt;COLUMNS(B620:AB620),619,"")</f>
        <v/>
      </c>
      <c r="D620" s="1" t="str">
        <f t="shared" si="63"/>
        <v/>
      </c>
      <c r="G620" s="2" t="str">
        <f t="shared" si="64"/>
        <v/>
      </c>
      <c r="H620" s="1" t="str">
        <f t="shared" si="65"/>
        <v/>
      </c>
      <c r="S620" s="1" t="str">
        <f t="shared" si="66"/>
        <v/>
      </c>
      <c r="U620" s="1" t="str">
        <f t="shared" si="67"/>
        <v/>
      </c>
      <c r="X620" s="1" t="str">
        <f t="shared" si="68"/>
        <v/>
      </c>
      <c r="AA620" s="1" t="str">
        <f t="shared" si="69"/>
        <v/>
      </c>
    </row>
    <row r="621" spans="1:27" x14ac:dyDescent="0.2">
      <c r="A621" t="str">
        <f>IF(COUNTBLANK(B621:AB621)&lt;&gt;COLUMNS(B621:AB621),620,"")</f>
        <v/>
      </c>
      <c r="D621" s="1" t="str">
        <f t="shared" si="63"/>
        <v/>
      </c>
      <c r="G621" s="2" t="str">
        <f t="shared" si="64"/>
        <v/>
      </c>
      <c r="H621" s="1" t="str">
        <f t="shared" si="65"/>
        <v/>
      </c>
      <c r="S621" s="1" t="str">
        <f t="shared" si="66"/>
        <v/>
      </c>
      <c r="U621" s="1" t="str">
        <f t="shared" si="67"/>
        <v/>
      </c>
      <c r="X621" s="1" t="str">
        <f t="shared" si="68"/>
        <v/>
      </c>
      <c r="AA621" s="1" t="str">
        <f t="shared" si="69"/>
        <v/>
      </c>
    </row>
    <row r="622" spans="1:27" x14ac:dyDescent="0.2">
      <c r="A622" t="str">
        <f>IF(COUNTBLANK(B622:AB622)&lt;&gt;COLUMNS(B622:AB622),621,"")</f>
        <v/>
      </c>
      <c r="D622" s="1" t="str">
        <f t="shared" si="63"/>
        <v/>
      </c>
      <c r="G622" s="2" t="str">
        <f t="shared" si="64"/>
        <v/>
      </c>
      <c r="H622" s="1" t="str">
        <f t="shared" si="65"/>
        <v/>
      </c>
      <c r="S622" s="1" t="str">
        <f t="shared" si="66"/>
        <v/>
      </c>
      <c r="U622" s="1" t="str">
        <f t="shared" si="67"/>
        <v/>
      </c>
      <c r="X622" s="1" t="str">
        <f t="shared" si="68"/>
        <v/>
      </c>
      <c r="AA622" s="1" t="str">
        <f t="shared" si="69"/>
        <v/>
      </c>
    </row>
    <row r="623" spans="1:27" x14ac:dyDescent="0.2">
      <c r="A623" t="str">
        <f>IF(COUNTBLANK(B623:AB623)&lt;&gt;COLUMNS(B623:AB623),622,"")</f>
        <v/>
      </c>
      <c r="D623" s="1" t="str">
        <f t="shared" si="63"/>
        <v/>
      </c>
      <c r="G623" s="2" t="str">
        <f t="shared" si="64"/>
        <v/>
      </c>
      <c r="H623" s="1" t="str">
        <f t="shared" si="65"/>
        <v/>
      </c>
      <c r="S623" s="1" t="str">
        <f t="shared" si="66"/>
        <v/>
      </c>
      <c r="U623" s="1" t="str">
        <f t="shared" si="67"/>
        <v/>
      </c>
      <c r="X623" s="1" t="str">
        <f t="shared" si="68"/>
        <v/>
      </c>
      <c r="AA623" s="1" t="str">
        <f t="shared" si="69"/>
        <v/>
      </c>
    </row>
    <row r="624" spans="1:27" x14ac:dyDescent="0.2">
      <c r="A624" t="str">
        <f>IF(COUNTBLANK(B624:AB624)&lt;&gt;COLUMNS(B624:AB624),623,"")</f>
        <v/>
      </c>
      <c r="D624" s="1" t="str">
        <f t="shared" si="63"/>
        <v/>
      </c>
      <c r="G624" s="2" t="str">
        <f t="shared" si="64"/>
        <v/>
      </c>
      <c r="H624" s="1" t="str">
        <f t="shared" si="65"/>
        <v/>
      </c>
      <c r="S624" s="1" t="str">
        <f t="shared" si="66"/>
        <v/>
      </c>
      <c r="U624" s="1" t="str">
        <f t="shared" si="67"/>
        <v/>
      </c>
      <c r="X624" s="1" t="str">
        <f t="shared" si="68"/>
        <v/>
      </c>
      <c r="AA624" s="1" t="str">
        <f t="shared" si="69"/>
        <v/>
      </c>
    </row>
    <row r="625" spans="1:27" x14ac:dyDescent="0.2">
      <c r="A625" t="str">
        <f>IF(COUNTBLANK(B625:AB625)&lt;&gt;COLUMNS(B625:AB625),624,"")</f>
        <v/>
      </c>
      <c r="D625" s="1" t="str">
        <f t="shared" si="63"/>
        <v/>
      </c>
      <c r="G625" s="2" t="str">
        <f t="shared" si="64"/>
        <v/>
      </c>
      <c r="H625" s="1" t="str">
        <f t="shared" si="65"/>
        <v/>
      </c>
      <c r="S625" s="1" t="str">
        <f t="shared" si="66"/>
        <v/>
      </c>
      <c r="U625" s="1" t="str">
        <f t="shared" si="67"/>
        <v/>
      </c>
      <c r="X625" s="1" t="str">
        <f t="shared" si="68"/>
        <v/>
      </c>
      <c r="AA625" s="1" t="str">
        <f t="shared" si="69"/>
        <v/>
      </c>
    </row>
    <row r="626" spans="1:27" x14ac:dyDescent="0.2">
      <c r="A626" t="str">
        <f>IF(COUNTBLANK(B626:AB626)&lt;&gt;COLUMNS(B626:AB626),625,"")</f>
        <v/>
      </c>
      <c r="D626" s="1" t="str">
        <f t="shared" si="63"/>
        <v/>
      </c>
      <c r="G626" s="2" t="str">
        <f t="shared" si="64"/>
        <v/>
      </c>
      <c r="H626" s="1" t="str">
        <f t="shared" si="65"/>
        <v/>
      </c>
      <c r="S626" s="1" t="str">
        <f t="shared" si="66"/>
        <v/>
      </c>
      <c r="U626" s="1" t="str">
        <f t="shared" si="67"/>
        <v/>
      </c>
      <c r="X626" s="1" t="str">
        <f t="shared" si="68"/>
        <v/>
      </c>
      <c r="AA626" s="1" t="str">
        <f t="shared" si="69"/>
        <v/>
      </c>
    </row>
    <row r="627" spans="1:27" x14ac:dyDescent="0.2">
      <c r="A627" t="str">
        <f>IF(COUNTBLANK(B627:AB627)&lt;&gt;COLUMNS(B627:AB627),626,"")</f>
        <v/>
      </c>
      <c r="D627" s="1" t="str">
        <f t="shared" si="63"/>
        <v/>
      </c>
      <c r="G627" s="2" t="str">
        <f t="shared" si="64"/>
        <v/>
      </c>
      <c r="H627" s="1" t="str">
        <f t="shared" si="65"/>
        <v/>
      </c>
      <c r="S627" s="1" t="str">
        <f t="shared" si="66"/>
        <v/>
      </c>
      <c r="U627" s="1" t="str">
        <f t="shared" si="67"/>
        <v/>
      </c>
      <c r="X627" s="1" t="str">
        <f t="shared" si="68"/>
        <v/>
      </c>
      <c r="AA627" s="1" t="str">
        <f t="shared" si="69"/>
        <v/>
      </c>
    </row>
    <row r="628" spans="1:27" x14ac:dyDescent="0.2">
      <c r="A628" t="str">
        <f>IF(COUNTBLANK(B628:AB628)&lt;&gt;COLUMNS(B628:AB628),627,"")</f>
        <v/>
      </c>
      <c r="D628" s="1" t="str">
        <f t="shared" si="63"/>
        <v/>
      </c>
      <c r="G628" s="2" t="str">
        <f t="shared" si="64"/>
        <v/>
      </c>
      <c r="H628" s="1" t="str">
        <f t="shared" si="65"/>
        <v/>
      </c>
      <c r="S628" s="1" t="str">
        <f t="shared" si="66"/>
        <v/>
      </c>
      <c r="U628" s="1" t="str">
        <f t="shared" si="67"/>
        <v/>
      </c>
      <c r="X628" s="1" t="str">
        <f t="shared" si="68"/>
        <v/>
      </c>
      <c r="AA628" s="1" t="str">
        <f t="shared" si="69"/>
        <v/>
      </c>
    </row>
    <row r="629" spans="1:27" x14ac:dyDescent="0.2">
      <c r="A629" t="str">
        <f>IF(COUNTBLANK(B629:AB629)&lt;&gt;COLUMNS(B629:AB629),628,"")</f>
        <v/>
      </c>
      <c r="D629" s="1" t="str">
        <f t="shared" si="63"/>
        <v/>
      </c>
      <c r="G629" s="2" t="str">
        <f t="shared" si="64"/>
        <v/>
      </c>
      <c r="H629" s="1" t="str">
        <f t="shared" si="65"/>
        <v/>
      </c>
      <c r="S629" s="1" t="str">
        <f t="shared" si="66"/>
        <v/>
      </c>
      <c r="U629" s="1" t="str">
        <f t="shared" si="67"/>
        <v/>
      </c>
      <c r="X629" s="1" t="str">
        <f t="shared" si="68"/>
        <v/>
      </c>
      <c r="AA629" s="1" t="str">
        <f t="shared" si="69"/>
        <v/>
      </c>
    </row>
    <row r="630" spans="1:27" x14ac:dyDescent="0.2">
      <c r="A630" t="str">
        <f>IF(COUNTBLANK(B630:AB630)&lt;&gt;COLUMNS(B630:AB630),629,"")</f>
        <v/>
      </c>
      <c r="D630" s="1" t="str">
        <f t="shared" si="63"/>
        <v/>
      </c>
      <c r="G630" s="2" t="str">
        <f t="shared" si="64"/>
        <v/>
      </c>
      <c r="H630" s="1" t="str">
        <f t="shared" si="65"/>
        <v/>
      </c>
      <c r="S630" s="1" t="str">
        <f t="shared" si="66"/>
        <v/>
      </c>
      <c r="U630" s="1" t="str">
        <f t="shared" si="67"/>
        <v/>
      </c>
      <c r="X630" s="1" t="str">
        <f t="shared" si="68"/>
        <v/>
      </c>
      <c r="AA630" s="1" t="str">
        <f t="shared" si="69"/>
        <v/>
      </c>
    </row>
    <row r="631" spans="1:27" x14ac:dyDescent="0.2">
      <c r="A631" t="str">
        <f>IF(COUNTBLANK(B631:AB631)&lt;&gt;COLUMNS(B631:AB631),630,"")</f>
        <v/>
      </c>
      <c r="D631" s="1" t="str">
        <f t="shared" si="63"/>
        <v/>
      </c>
      <c r="G631" s="2" t="str">
        <f t="shared" si="64"/>
        <v/>
      </c>
      <c r="H631" s="1" t="str">
        <f t="shared" si="65"/>
        <v/>
      </c>
      <c r="S631" s="1" t="str">
        <f t="shared" si="66"/>
        <v/>
      </c>
      <c r="U631" s="1" t="str">
        <f t="shared" si="67"/>
        <v/>
      </c>
      <c r="X631" s="1" t="str">
        <f t="shared" si="68"/>
        <v/>
      </c>
      <c r="AA631" s="1" t="str">
        <f t="shared" si="69"/>
        <v/>
      </c>
    </row>
    <row r="632" spans="1:27" x14ac:dyDescent="0.2">
      <c r="A632" t="str">
        <f>IF(COUNTBLANK(B632:AB632)&lt;&gt;COLUMNS(B632:AB632),631,"")</f>
        <v/>
      </c>
      <c r="D632" s="1" t="str">
        <f t="shared" si="63"/>
        <v/>
      </c>
      <c r="G632" s="2" t="str">
        <f t="shared" si="64"/>
        <v/>
      </c>
      <c r="H632" s="1" t="str">
        <f t="shared" si="65"/>
        <v/>
      </c>
      <c r="S632" s="1" t="str">
        <f t="shared" si="66"/>
        <v/>
      </c>
      <c r="U632" s="1" t="str">
        <f t="shared" si="67"/>
        <v/>
      </c>
      <c r="X632" s="1" t="str">
        <f t="shared" si="68"/>
        <v/>
      </c>
      <c r="AA632" s="1" t="str">
        <f t="shared" si="69"/>
        <v/>
      </c>
    </row>
    <row r="633" spans="1:27" x14ac:dyDescent="0.2">
      <c r="A633" t="str">
        <f>IF(COUNTBLANK(B633:AB633)&lt;&gt;COLUMNS(B633:AB633),632,"")</f>
        <v/>
      </c>
      <c r="D633" s="1" t="str">
        <f t="shared" si="63"/>
        <v/>
      </c>
      <c r="G633" s="2" t="str">
        <f t="shared" si="64"/>
        <v/>
      </c>
      <c r="H633" s="1" t="str">
        <f t="shared" si="65"/>
        <v/>
      </c>
      <c r="S633" s="1" t="str">
        <f t="shared" si="66"/>
        <v/>
      </c>
      <c r="U633" s="1" t="str">
        <f t="shared" si="67"/>
        <v/>
      </c>
      <c r="X633" s="1" t="str">
        <f t="shared" si="68"/>
        <v/>
      </c>
      <c r="AA633" s="1" t="str">
        <f t="shared" si="69"/>
        <v/>
      </c>
    </row>
    <row r="634" spans="1:27" x14ac:dyDescent="0.2">
      <c r="A634" t="str">
        <f>IF(COUNTBLANK(B634:AB634)&lt;&gt;COLUMNS(B634:AB634),633,"")</f>
        <v/>
      </c>
      <c r="D634" s="1" t="str">
        <f t="shared" si="63"/>
        <v/>
      </c>
      <c r="G634" s="2" t="str">
        <f t="shared" si="64"/>
        <v/>
      </c>
      <c r="H634" s="1" t="str">
        <f t="shared" si="65"/>
        <v/>
      </c>
      <c r="S634" s="1" t="str">
        <f t="shared" si="66"/>
        <v/>
      </c>
      <c r="U634" s="1" t="str">
        <f t="shared" si="67"/>
        <v/>
      </c>
      <c r="X634" s="1" t="str">
        <f t="shared" si="68"/>
        <v/>
      </c>
      <c r="AA634" s="1" t="str">
        <f t="shared" si="69"/>
        <v/>
      </c>
    </row>
    <row r="635" spans="1:27" x14ac:dyDescent="0.2">
      <c r="A635" t="str">
        <f>IF(COUNTBLANK(B635:AB635)&lt;&gt;COLUMNS(B635:AB635),634,"")</f>
        <v/>
      </c>
      <c r="D635" s="1" t="str">
        <f t="shared" si="63"/>
        <v/>
      </c>
      <c r="G635" s="2" t="str">
        <f t="shared" si="64"/>
        <v/>
      </c>
      <c r="H635" s="1" t="str">
        <f t="shared" si="65"/>
        <v/>
      </c>
      <c r="S635" s="1" t="str">
        <f t="shared" si="66"/>
        <v/>
      </c>
      <c r="U635" s="1" t="str">
        <f t="shared" si="67"/>
        <v/>
      </c>
      <c r="X635" s="1" t="str">
        <f t="shared" si="68"/>
        <v/>
      </c>
      <c r="AA635" s="1" t="str">
        <f t="shared" si="69"/>
        <v/>
      </c>
    </row>
    <row r="636" spans="1:27" x14ac:dyDescent="0.2">
      <c r="A636" t="str">
        <f>IF(COUNTBLANK(B636:AB636)&lt;&gt;COLUMNS(B636:AB636),635,"")</f>
        <v/>
      </c>
      <c r="D636" s="1" t="str">
        <f t="shared" si="63"/>
        <v/>
      </c>
      <c r="G636" s="2" t="str">
        <f t="shared" si="64"/>
        <v/>
      </c>
      <c r="H636" s="1" t="str">
        <f t="shared" si="65"/>
        <v/>
      </c>
      <c r="S636" s="1" t="str">
        <f t="shared" si="66"/>
        <v/>
      </c>
      <c r="U636" s="1" t="str">
        <f t="shared" si="67"/>
        <v/>
      </c>
      <c r="X636" s="1" t="str">
        <f t="shared" si="68"/>
        <v/>
      </c>
      <c r="AA636" s="1" t="str">
        <f t="shared" si="69"/>
        <v/>
      </c>
    </row>
    <row r="637" spans="1:27" x14ac:dyDescent="0.2">
      <c r="A637" t="str">
        <f>IF(COUNTBLANK(B637:AB637)&lt;&gt;COLUMNS(B637:AB637),636,"")</f>
        <v/>
      </c>
      <c r="D637" s="1" t="str">
        <f t="shared" si="63"/>
        <v/>
      </c>
      <c r="G637" s="2" t="str">
        <f t="shared" si="64"/>
        <v/>
      </c>
      <c r="H637" s="1" t="str">
        <f t="shared" si="65"/>
        <v/>
      </c>
      <c r="S637" s="1" t="str">
        <f t="shared" si="66"/>
        <v/>
      </c>
      <c r="U637" s="1" t="str">
        <f t="shared" si="67"/>
        <v/>
      </c>
      <c r="X637" s="1" t="str">
        <f t="shared" si="68"/>
        <v/>
      </c>
      <c r="AA637" s="1" t="str">
        <f t="shared" si="69"/>
        <v/>
      </c>
    </row>
    <row r="638" spans="1:27" x14ac:dyDescent="0.2">
      <c r="A638" t="str">
        <f>IF(COUNTBLANK(B638:AB638)&lt;&gt;COLUMNS(B638:AB638),637,"")</f>
        <v/>
      </c>
      <c r="D638" s="1" t="str">
        <f t="shared" si="63"/>
        <v/>
      </c>
      <c r="G638" s="2" t="str">
        <f t="shared" si="64"/>
        <v/>
      </c>
      <c r="H638" s="1" t="str">
        <f t="shared" si="65"/>
        <v/>
      </c>
      <c r="S638" s="1" t="str">
        <f t="shared" si="66"/>
        <v/>
      </c>
      <c r="U638" s="1" t="str">
        <f t="shared" si="67"/>
        <v/>
      </c>
      <c r="X638" s="1" t="str">
        <f t="shared" si="68"/>
        <v/>
      </c>
      <c r="AA638" s="1" t="str">
        <f t="shared" si="69"/>
        <v/>
      </c>
    </row>
    <row r="639" spans="1:27" x14ac:dyDescent="0.2">
      <c r="A639" t="str">
        <f>IF(COUNTBLANK(B639:AB639)&lt;&gt;COLUMNS(B639:AB639),638,"")</f>
        <v/>
      </c>
      <c r="D639" s="1" t="str">
        <f t="shared" si="63"/>
        <v/>
      </c>
      <c r="G639" s="2" t="str">
        <f t="shared" si="64"/>
        <v/>
      </c>
      <c r="H639" s="1" t="str">
        <f t="shared" si="65"/>
        <v/>
      </c>
      <c r="S639" s="1" t="str">
        <f t="shared" si="66"/>
        <v/>
      </c>
      <c r="U639" s="1" t="str">
        <f t="shared" si="67"/>
        <v/>
      </c>
      <c r="X639" s="1" t="str">
        <f t="shared" si="68"/>
        <v/>
      </c>
      <c r="AA639" s="1" t="str">
        <f t="shared" si="69"/>
        <v/>
      </c>
    </row>
    <row r="640" spans="1:27" x14ac:dyDescent="0.2">
      <c r="A640" t="str">
        <f>IF(COUNTBLANK(B640:AB640)&lt;&gt;COLUMNS(B640:AB640),639,"")</f>
        <v/>
      </c>
      <c r="D640" s="1" t="str">
        <f t="shared" si="63"/>
        <v/>
      </c>
      <c r="G640" s="2" t="str">
        <f t="shared" si="64"/>
        <v/>
      </c>
      <c r="H640" s="1" t="str">
        <f t="shared" si="65"/>
        <v/>
      </c>
      <c r="S640" s="1" t="str">
        <f t="shared" si="66"/>
        <v/>
      </c>
      <c r="U640" s="1" t="str">
        <f t="shared" si="67"/>
        <v/>
      </c>
      <c r="X640" s="1" t="str">
        <f t="shared" si="68"/>
        <v/>
      </c>
      <c r="AA640" s="1" t="str">
        <f t="shared" si="69"/>
        <v/>
      </c>
    </row>
    <row r="641" spans="1:27" x14ac:dyDescent="0.2">
      <c r="A641" t="str">
        <f>IF(COUNTBLANK(B641:AB641)&lt;&gt;COLUMNS(B641:AB641),640,"")</f>
        <v/>
      </c>
      <c r="D641" s="1" t="str">
        <f t="shared" si="63"/>
        <v/>
      </c>
      <c r="G641" s="2" t="str">
        <f t="shared" si="64"/>
        <v/>
      </c>
      <c r="H641" s="1" t="str">
        <f t="shared" si="65"/>
        <v/>
      </c>
      <c r="S641" s="1" t="str">
        <f t="shared" si="66"/>
        <v/>
      </c>
      <c r="U641" s="1" t="str">
        <f t="shared" si="67"/>
        <v/>
      </c>
      <c r="X641" s="1" t="str">
        <f t="shared" si="68"/>
        <v/>
      </c>
      <c r="AA641" s="1" t="str">
        <f t="shared" si="69"/>
        <v/>
      </c>
    </row>
    <row r="642" spans="1:27" x14ac:dyDescent="0.2">
      <c r="A642" t="str">
        <f>IF(COUNTBLANK(B642:AB642)&lt;&gt;COLUMNS(B642:AB642),641,"")</f>
        <v/>
      </c>
      <c r="D642" s="1" t="str">
        <f t="shared" ref="D642:D705" si="70">IF(B642="", "", "Not applicable")</f>
        <v/>
      </c>
      <c r="G642" s="2" t="str">
        <f t="shared" ref="G642:G705" si="71">IF(B642="", "", "missing: not provided")</f>
        <v/>
      </c>
      <c r="H642" s="1" t="str">
        <f t="shared" ref="H642:H705" si="72">IF(B642="", "", "meters")</f>
        <v/>
      </c>
      <c r="S642" s="1" t="str">
        <f t="shared" ref="S642:S705" si="73">IF(B642="", "", "Decimal degrees")</f>
        <v/>
      </c>
      <c r="U642" s="1" t="str">
        <f t="shared" ref="U642:U705" si="74">IF(B642="", "", "Decimal degrees")</f>
        <v/>
      </c>
      <c r="X642" s="1" t="str">
        <f t="shared" ref="X642:X705" si="75">IF(B642="", "", "other")</f>
        <v/>
      </c>
      <c r="AA642" s="1" t="str">
        <f t="shared" ref="AA642:AA705" si="76">IF(B642="", "", "Not applicable")</f>
        <v/>
      </c>
    </row>
    <row r="643" spans="1:27" x14ac:dyDescent="0.2">
      <c r="A643" t="str">
        <f>IF(COUNTBLANK(B643:AB643)&lt;&gt;COLUMNS(B643:AB643),642,"")</f>
        <v/>
      </c>
      <c r="D643" s="1" t="str">
        <f t="shared" si="70"/>
        <v/>
      </c>
      <c r="G643" s="2" t="str">
        <f t="shared" si="71"/>
        <v/>
      </c>
      <c r="H643" s="1" t="str">
        <f t="shared" si="72"/>
        <v/>
      </c>
      <c r="S643" s="1" t="str">
        <f t="shared" si="73"/>
        <v/>
      </c>
      <c r="U643" s="1" t="str">
        <f t="shared" si="74"/>
        <v/>
      </c>
      <c r="X643" s="1" t="str">
        <f t="shared" si="75"/>
        <v/>
      </c>
      <c r="AA643" s="1" t="str">
        <f t="shared" si="76"/>
        <v/>
      </c>
    </row>
    <row r="644" spans="1:27" x14ac:dyDescent="0.2">
      <c r="A644" t="str">
        <f>IF(COUNTBLANK(B644:AB644)&lt;&gt;COLUMNS(B644:AB644),643,"")</f>
        <v/>
      </c>
      <c r="D644" s="1" t="str">
        <f t="shared" si="70"/>
        <v/>
      </c>
      <c r="G644" s="2" t="str">
        <f t="shared" si="71"/>
        <v/>
      </c>
      <c r="H644" s="1" t="str">
        <f t="shared" si="72"/>
        <v/>
      </c>
      <c r="S644" s="1" t="str">
        <f t="shared" si="73"/>
        <v/>
      </c>
      <c r="U644" s="1" t="str">
        <f t="shared" si="74"/>
        <v/>
      </c>
      <c r="X644" s="1" t="str">
        <f t="shared" si="75"/>
        <v/>
      </c>
      <c r="AA644" s="1" t="str">
        <f t="shared" si="76"/>
        <v/>
      </c>
    </row>
    <row r="645" spans="1:27" x14ac:dyDescent="0.2">
      <c r="A645" t="str">
        <f>IF(COUNTBLANK(B645:AB645)&lt;&gt;COLUMNS(B645:AB645),644,"")</f>
        <v/>
      </c>
      <c r="D645" s="1" t="str">
        <f t="shared" si="70"/>
        <v/>
      </c>
      <c r="G645" s="2" t="str">
        <f t="shared" si="71"/>
        <v/>
      </c>
      <c r="H645" s="1" t="str">
        <f t="shared" si="72"/>
        <v/>
      </c>
      <c r="S645" s="1" t="str">
        <f t="shared" si="73"/>
        <v/>
      </c>
      <c r="U645" s="1" t="str">
        <f t="shared" si="74"/>
        <v/>
      </c>
      <c r="X645" s="1" t="str">
        <f t="shared" si="75"/>
        <v/>
      </c>
      <c r="AA645" s="1" t="str">
        <f t="shared" si="76"/>
        <v/>
      </c>
    </row>
    <row r="646" spans="1:27" x14ac:dyDescent="0.2">
      <c r="A646" t="str">
        <f>IF(COUNTBLANK(B646:AB646)&lt;&gt;COLUMNS(B646:AB646),645,"")</f>
        <v/>
      </c>
      <c r="D646" s="1" t="str">
        <f t="shared" si="70"/>
        <v/>
      </c>
      <c r="G646" s="2" t="str">
        <f t="shared" si="71"/>
        <v/>
      </c>
      <c r="H646" s="1" t="str">
        <f t="shared" si="72"/>
        <v/>
      </c>
      <c r="S646" s="1" t="str">
        <f t="shared" si="73"/>
        <v/>
      </c>
      <c r="U646" s="1" t="str">
        <f t="shared" si="74"/>
        <v/>
      </c>
      <c r="X646" s="1" t="str">
        <f t="shared" si="75"/>
        <v/>
      </c>
      <c r="AA646" s="1" t="str">
        <f t="shared" si="76"/>
        <v/>
      </c>
    </row>
    <row r="647" spans="1:27" x14ac:dyDescent="0.2">
      <c r="A647" t="str">
        <f>IF(COUNTBLANK(B647:AB647)&lt;&gt;COLUMNS(B647:AB647),646,"")</f>
        <v/>
      </c>
      <c r="D647" s="1" t="str">
        <f t="shared" si="70"/>
        <v/>
      </c>
      <c r="G647" s="2" t="str">
        <f t="shared" si="71"/>
        <v/>
      </c>
      <c r="H647" s="1" t="str">
        <f t="shared" si="72"/>
        <v/>
      </c>
      <c r="S647" s="1" t="str">
        <f t="shared" si="73"/>
        <v/>
      </c>
      <c r="U647" s="1" t="str">
        <f t="shared" si="74"/>
        <v/>
      </c>
      <c r="X647" s="1" t="str">
        <f t="shared" si="75"/>
        <v/>
      </c>
      <c r="AA647" s="1" t="str">
        <f t="shared" si="76"/>
        <v/>
      </c>
    </row>
    <row r="648" spans="1:27" x14ac:dyDescent="0.2">
      <c r="A648" t="str">
        <f>IF(COUNTBLANK(B648:AB648)&lt;&gt;COLUMNS(B648:AB648),647,"")</f>
        <v/>
      </c>
      <c r="D648" s="1" t="str">
        <f t="shared" si="70"/>
        <v/>
      </c>
      <c r="G648" s="2" t="str">
        <f t="shared" si="71"/>
        <v/>
      </c>
      <c r="H648" s="1" t="str">
        <f t="shared" si="72"/>
        <v/>
      </c>
      <c r="S648" s="1" t="str">
        <f t="shared" si="73"/>
        <v/>
      </c>
      <c r="U648" s="1" t="str">
        <f t="shared" si="74"/>
        <v/>
      </c>
      <c r="X648" s="1" t="str">
        <f t="shared" si="75"/>
        <v/>
      </c>
      <c r="AA648" s="1" t="str">
        <f t="shared" si="76"/>
        <v/>
      </c>
    </row>
    <row r="649" spans="1:27" x14ac:dyDescent="0.2">
      <c r="A649" t="str">
        <f>IF(COUNTBLANK(B649:AB649)&lt;&gt;COLUMNS(B649:AB649),648,"")</f>
        <v/>
      </c>
      <c r="D649" s="1" t="str">
        <f t="shared" si="70"/>
        <v/>
      </c>
      <c r="G649" s="2" t="str">
        <f t="shared" si="71"/>
        <v/>
      </c>
      <c r="H649" s="1" t="str">
        <f t="shared" si="72"/>
        <v/>
      </c>
      <c r="S649" s="1" t="str">
        <f t="shared" si="73"/>
        <v/>
      </c>
      <c r="U649" s="1" t="str">
        <f t="shared" si="74"/>
        <v/>
      </c>
      <c r="X649" s="1" t="str">
        <f t="shared" si="75"/>
        <v/>
      </c>
      <c r="AA649" s="1" t="str">
        <f t="shared" si="76"/>
        <v/>
      </c>
    </row>
    <row r="650" spans="1:27" x14ac:dyDescent="0.2">
      <c r="A650" t="str">
        <f>IF(COUNTBLANK(B650:AB650)&lt;&gt;COLUMNS(B650:AB650),649,"")</f>
        <v/>
      </c>
      <c r="D650" s="1" t="str">
        <f t="shared" si="70"/>
        <v/>
      </c>
      <c r="G650" s="2" t="str">
        <f t="shared" si="71"/>
        <v/>
      </c>
      <c r="H650" s="1" t="str">
        <f t="shared" si="72"/>
        <v/>
      </c>
      <c r="S650" s="1" t="str">
        <f t="shared" si="73"/>
        <v/>
      </c>
      <c r="U650" s="1" t="str">
        <f t="shared" si="74"/>
        <v/>
      </c>
      <c r="X650" s="1" t="str">
        <f t="shared" si="75"/>
        <v/>
      </c>
      <c r="AA650" s="1" t="str">
        <f t="shared" si="76"/>
        <v/>
      </c>
    </row>
    <row r="651" spans="1:27" x14ac:dyDescent="0.2">
      <c r="A651" t="str">
        <f>IF(COUNTBLANK(B651:AB651)&lt;&gt;COLUMNS(B651:AB651),650,"")</f>
        <v/>
      </c>
      <c r="D651" s="1" t="str">
        <f t="shared" si="70"/>
        <v/>
      </c>
      <c r="G651" s="2" t="str">
        <f t="shared" si="71"/>
        <v/>
      </c>
      <c r="H651" s="1" t="str">
        <f t="shared" si="72"/>
        <v/>
      </c>
      <c r="S651" s="1" t="str">
        <f t="shared" si="73"/>
        <v/>
      </c>
      <c r="U651" s="1" t="str">
        <f t="shared" si="74"/>
        <v/>
      </c>
      <c r="X651" s="1" t="str">
        <f t="shared" si="75"/>
        <v/>
      </c>
      <c r="AA651" s="1" t="str">
        <f t="shared" si="76"/>
        <v/>
      </c>
    </row>
    <row r="652" spans="1:27" x14ac:dyDescent="0.2">
      <c r="A652" t="str">
        <f>IF(COUNTBLANK(B652:AB652)&lt;&gt;COLUMNS(B652:AB652),651,"")</f>
        <v/>
      </c>
      <c r="D652" s="1" t="str">
        <f t="shared" si="70"/>
        <v/>
      </c>
      <c r="G652" s="2" t="str">
        <f t="shared" si="71"/>
        <v/>
      </c>
      <c r="H652" s="1" t="str">
        <f t="shared" si="72"/>
        <v/>
      </c>
      <c r="S652" s="1" t="str">
        <f t="shared" si="73"/>
        <v/>
      </c>
      <c r="U652" s="1" t="str">
        <f t="shared" si="74"/>
        <v/>
      </c>
      <c r="X652" s="1" t="str">
        <f t="shared" si="75"/>
        <v/>
      </c>
      <c r="AA652" s="1" t="str">
        <f t="shared" si="76"/>
        <v/>
      </c>
    </row>
    <row r="653" spans="1:27" x14ac:dyDescent="0.2">
      <c r="A653" t="str">
        <f>IF(COUNTBLANK(B653:AB653)&lt;&gt;COLUMNS(B653:AB653),652,"")</f>
        <v/>
      </c>
      <c r="D653" s="1" t="str">
        <f t="shared" si="70"/>
        <v/>
      </c>
      <c r="G653" s="2" t="str">
        <f t="shared" si="71"/>
        <v/>
      </c>
      <c r="H653" s="1" t="str">
        <f t="shared" si="72"/>
        <v/>
      </c>
      <c r="S653" s="1" t="str">
        <f t="shared" si="73"/>
        <v/>
      </c>
      <c r="U653" s="1" t="str">
        <f t="shared" si="74"/>
        <v/>
      </c>
      <c r="X653" s="1" t="str">
        <f t="shared" si="75"/>
        <v/>
      </c>
      <c r="AA653" s="1" t="str">
        <f t="shared" si="76"/>
        <v/>
      </c>
    </row>
    <row r="654" spans="1:27" x14ac:dyDescent="0.2">
      <c r="A654" t="str">
        <f>IF(COUNTBLANK(B654:AB654)&lt;&gt;COLUMNS(B654:AB654),653,"")</f>
        <v/>
      </c>
      <c r="D654" s="1" t="str">
        <f t="shared" si="70"/>
        <v/>
      </c>
      <c r="G654" s="2" t="str">
        <f t="shared" si="71"/>
        <v/>
      </c>
      <c r="H654" s="1" t="str">
        <f t="shared" si="72"/>
        <v/>
      </c>
      <c r="S654" s="1" t="str">
        <f t="shared" si="73"/>
        <v/>
      </c>
      <c r="U654" s="1" t="str">
        <f t="shared" si="74"/>
        <v/>
      </c>
      <c r="X654" s="1" t="str">
        <f t="shared" si="75"/>
        <v/>
      </c>
      <c r="AA654" s="1" t="str">
        <f t="shared" si="76"/>
        <v/>
      </c>
    </row>
    <row r="655" spans="1:27" x14ac:dyDescent="0.2">
      <c r="A655" t="str">
        <f>IF(COUNTBLANK(B655:AB655)&lt;&gt;COLUMNS(B655:AB655),654,"")</f>
        <v/>
      </c>
      <c r="D655" s="1" t="str">
        <f t="shared" si="70"/>
        <v/>
      </c>
      <c r="G655" s="2" t="str">
        <f t="shared" si="71"/>
        <v/>
      </c>
      <c r="H655" s="1" t="str">
        <f t="shared" si="72"/>
        <v/>
      </c>
      <c r="S655" s="1" t="str">
        <f t="shared" si="73"/>
        <v/>
      </c>
      <c r="U655" s="1" t="str">
        <f t="shared" si="74"/>
        <v/>
      </c>
      <c r="X655" s="1" t="str">
        <f t="shared" si="75"/>
        <v/>
      </c>
      <c r="AA655" s="1" t="str">
        <f t="shared" si="76"/>
        <v/>
      </c>
    </row>
    <row r="656" spans="1:27" x14ac:dyDescent="0.2">
      <c r="A656" t="str">
        <f>IF(COUNTBLANK(B656:AB656)&lt;&gt;COLUMNS(B656:AB656),655,"")</f>
        <v/>
      </c>
      <c r="D656" s="1" t="str">
        <f t="shared" si="70"/>
        <v/>
      </c>
      <c r="G656" s="2" t="str">
        <f t="shared" si="71"/>
        <v/>
      </c>
      <c r="H656" s="1" t="str">
        <f t="shared" si="72"/>
        <v/>
      </c>
      <c r="S656" s="1" t="str">
        <f t="shared" si="73"/>
        <v/>
      </c>
      <c r="U656" s="1" t="str">
        <f t="shared" si="74"/>
        <v/>
      </c>
      <c r="X656" s="1" t="str">
        <f t="shared" si="75"/>
        <v/>
      </c>
      <c r="AA656" s="1" t="str">
        <f t="shared" si="76"/>
        <v/>
      </c>
    </row>
    <row r="657" spans="1:27" x14ac:dyDescent="0.2">
      <c r="A657" t="str">
        <f>IF(COUNTBLANK(B657:AB657)&lt;&gt;COLUMNS(B657:AB657),656,"")</f>
        <v/>
      </c>
      <c r="D657" s="1" t="str">
        <f t="shared" si="70"/>
        <v/>
      </c>
      <c r="G657" s="2" t="str">
        <f t="shared" si="71"/>
        <v/>
      </c>
      <c r="H657" s="1" t="str">
        <f t="shared" si="72"/>
        <v/>
      </c>
      <c r="S657" s="1" t="str">
        <f t="shared" si="73"/>
        <v/>
      </c>
      <c r="U657" s="1" t="str">
        <f t="shared" si="74"/>
        <v/>
      </c>
      <c r="X657" s="1" t="str">
        <f t="shared" si="75"/>
        <v/>
      </c>
      <c r="AA657" s="1" t="str">
        <f t="shared" si="76"/>
        <v/>
      </c>
    </row>
    <row r="658" spans="1:27" x14ac:dyDescent="0.2">
      <c r="A658" t="str">
        <f>IF(COUNTBLANK(B658:AB658)&lt;&gt;COLUMNS(B658:AB658),657,"")</f>
        <v/>
      </c>
      <c r="D658" s="1" t="str">
        <f t="shared" si="70"/>
        <v/>
      </c>
      <c r="G658" s="2" t="str">
        <f t="shared" si="71"/>
        <v/>
      </c>
      <c r="H658" s="1" t="str">
        <f t="shared" si="72"/>
        <v/>
      </c>
      <c r="S658" s="1" t="str">
        <f t="shared" si="73"/>
        <v/>
      </c>
      <c r="U658" s="1" t="str">
        <f t="shared" si="74"/>
        <v/>
      </c>
      <c r="X658" s="1" t="str">
        <f t="shared" si="75"/>
        <v/>
      </c>
      <c r="AA658" s="1" t="str">
        <f t="shared" si="76"/>
        <v/>
      </c>
    </row>
    <row r="659" spans="1:27" x14ac:dyDescent="0.2">
      <c r="A659" t="str">
        <f>IF(COUNTBLANK(B659:AB659)&lt;&gt;COLUMNS(B659:AB659),658,"")</f>
        <v/>
      </c>
      <c r="D659" s="1" t="str">
        <f t="shared" si="70"/>
        <v/>
      </c>
      <c r="G659" s="2" t="str">
        <f t="shared" si="71"/>
        <v/>
      </c>
      <c r="H659" s="1" t="str">
        <f t="shared" si="72"/>
        <v/>
      </c>
      <c r="S659" s="1" t="str">
        <f t="shared" si="73"/>
        <v/>
      </c>
      <c r="U659" s="1" t="str">
        <f t="shared" si="74"/>
        <v/>
      </c>
      <c r="X659" s="1" t="str">
        <f t="shared" si="75"/>
        <v/>
      </c>
      <c r="AA659" s="1" t="str">
        <f t="shared" si="76"/>
        <v/>
      </c>
    </row>
    <row r="660" spans="1:27" x14ac:dyDescent="0.2">
      <c r="A660" t="str">
        <f>IF(COUNTBLANK(B660:AB660)&lt;&gt;COLUMNS(B660:AB660),659,"")</f>
        <v/>
      </c>
      <c r="D660" s="1" t="str">
        <f t="shared" si="70"/>
        <v/>
      </c>
      <c r="G660" s="2" t="str">
        <f t="shared" si="71"/>
        <v/>
      </c>
      <c r="H660" s="1" t="str">
        <f t="shared" si="72"/>
        <v/>
      </c>
      <c r="S660" s="1" t="str">
        <f t="shared" si="73"/>
        <v/>
      </c>
      <c r="U660" s="1" t="str">
        <f t="shared" si="74"/>
        <v/>
      </c>
      <c r="X660" s="1" t="str">
        <f t="shared" si="75"/>
        <v/>
      </c>
      <c r="AA660" s="1" t="str">
        <f t="shared" si="76"/>
        <v/>
      </c>
    </row>
    <row r="661" spans="1:27" x14ac:dyDescent="0.2">
      <c r="A661" t="str">
        <f>IF(COUNTBLANK(B661:AB661)&lt;&gt;COLUMNS(B661:AB661),660,"")</f>
        <v/>
      </c>
      <c r="D661" s="1" t="str">
        <f t="shared" si="70"/>
        <v/>
      </c>
      <c r="G661" s="2" t="str">
        <f t="shared" si="71"/>
        <v/>
      </c>
      <c r="H661" s="1" t="str">
        <f t="shared" si="72"/>
        <v/>
      </c>
      <c r="S661" s="1" t="str">
        <f t="shared" si="73"/>
        <v/>
      </c>
      <c r="U661" s="1" t="str">
        <f t="shared" si="74"/>
        <v/>
      </c>
      <c r="X661" s="1" t="str">
        <f t="shared" si="75"/>
        <v/>
      </c>
      <c r="AA661" s="1" t="str">
        <f t="shared" si="76"/>
        <v/>
      </c>
    </row>
    <row r="662" spans="1:27" x14ac:dyDescent="0.2">
      <c r="A662" t="str">
        <f>IF(COUNTBLANK(B662:AB662)&lt;&gt;COLUMNS(B662:AB662),661,"")</f>
        <v/>
      </c>
      <c r="D662" s="1" t="str">
        <f t="shared" si="70"/>
        <v/>
      </c>
      <c r="G662" s="2" t="str">
        <f t="shared" si="71"/>
        <v/>
      </c>
      <c r="H662" s="1" t="str">
        <f t="shared" si="72"/>
        <v/>
      </c>
      <c r="S662" s="1" t="str">
        <f t="shared" si="73"/>
        <v/>
      </c>
      <c r="U662" s="1" t="str">
        <f t="shared" si="74"/>
        <v/>
      </c>
      <c r="X662" s="1" t="str">
        <f t="shared" si="75"/>
        <v/>
      </c>
      <c r="AA662" s="1" t="str">
        <f t="shared" si="76"/>
        <v/>
      </c>
    </row>
    <row r="663" spans="1:27" x14ac:dyDescent="0.2">
      <c r="A663" t="str">
        <f>IF(COUNTBLANK(B663:AB663)&lt;&gt;COLUMNS(B663:AB663),662,"")</f>
        <v/>
      </c>
      <c r="D663" s="1" t="str">
        <f t="shared" si="70"/>
        <v/>
      </c>
      <c r="G663" s="2" t="str">
        <f t="shared" si="71"/>
        <v/>
      </c>
      <c r="H663" s="1" t="str">
        <f t="shared" si="72"/>
        <v/>
      </c>
      <c r="S663" s="1" t="str">
        <f t="shared" si="73"/>
        <v/>
      </c>
      <c r="U663" s="1" t="str">
        <f t="shared" si="74"/>
        <v/>
      </c>
      <c r="X663" s="1" t="str">
        <f t="shared" si="75"/>
        <v/>
      </c>
      <c r="AA663" s="1" t="str">
        <f t="shared" si="76"/>
        <v/>
      </c>
    </row>
    <row r="664" spans="1:27" x14ac:dyDescent="0.2">
      <c r="A664" t="str">
        <f>IF(COUNTBLANK(B664:AB664)&lt;&gt;COLUMNS(B664:AB664),663,"")</f>
        <v/>
      </c>
      <c r="D664" s="1" t="str">
        <f t="shared" si="70"/>
        <v/>
      </c>
      <c r="G664" s="2" t="str">
        <f t="shared" si="71"/>
        <v/>
      </c>
      <c r="H664" s="1" t="str">
        <f t="shared" si="72"/>
        <v/>
      </c>
      <c r="S664" s="1" t="str">
        <f t="shared" si="73"/>
        <v/>
      </c>
      <c r="U664" s="1" t="str">
        <f t="shared" si="74"/>
        <v/>
      </c>
      <c r="X664" s="1" t="str">
        <f t="shared" si="75"/>
        <v/>
      </c>
      <c r="AA664" s="1" t="str">
        <f t="shared" si="76"/>
        <v/>
      </c>
    </row>
    <row r="665" spans="1:27" x14ac:dyDescent="0.2">
      <c r="A665" t="str">
        <f>IF(COUNTBLANK(B665:AB665)&lt;&gt;COLUMNS(B665:AB665),664,"")</f>
        <v/>
      </c>
      <c r="D665" s="1" t="str">
        <f t="shared" si="70"/>
        <v/>
      </c>
      <c r="G665" s="2" t="str">
        <f t="shared" si="71"/>
        <v/>
      </c>
      <c r="H665" s="1" t="str">
        <f t="shared" si="72"/>
        <v/>
      </c>
      <c r="S665" s="1" t="str">
        <f t="shared" si="73"/>
        <v/>
      </c>
      <c r="U665" s="1" t="str">
        <f t="shared" si="74"/>
        <v/>
      </c>
      <c r="X665" s="1" t="str">
        <f t="shared" si="75"/>
        <v/>
      </c>
      <c r="AA665" s="1" t="str">
        <f t="shared" si="76"/>
        <v/>
      </c>
    </row>
    <row r="666" spans="1:27" x14ac:dyDescent="0.2">
      <c r="A666" t="str">
        <f>IF(COUNTBLANK(B666:AB666)&lt;&gt;COLUMNS(B666:AB666),665,"")</f>
        <v/>
      </c>
      <c r="D666" s="1" t="str">
        <f t="shared" si="70"/>
        <v/>
      </c>
      <c r="G666" s="2" t="str">
        <f t="shared" si="71"/>
        <v/>
      </c>
      <c r="H666" s="1" t="str">
        <f t="shared" si="72"/>
        <v/>
      </c>
      <c r="S666" s="1" t="str">
        <f t="shared" si="73"/>
        <v/>
      </c>
      <c r="U666" s="1" t="str">
        <f t="shared" si="74"/>
        <v/>
      </c>
      <c r="X666" s="1" t="str">
        <f t="shared" si="75"/>
        <v/>
      </c>
      <c r="AA666" s="1" t="str">
        <f t="shared" si="76"/>
        <v/>
      </c>
    </row>
    <row r="667" spans="1:27" x14ac:dyDescent="0.2">
      <c r="A667" t="str">
        <f>IF(COUNTBLANK(B667:AB667)&lt;&gt;COLUMNS(B667:AB667),666,"")</f>
        <v/>
      </c>
      <c r="D667" s="1" t="str">
        <f t="shared" si="70"/>
        <v/>
      </c>
      <c r="G667" s="2" t="str">
        <f t="shared" si="71"/>
        <v/>
      </c>
      <c r="H667" s="1" t="str">
        <f t="shared" si="72"/>
        <v/>
      </c>
      <c r="S667" s="1" t="str">
        <f t="shared" si="73"/>
        <v/>
      </c>
      <c r="U667" s="1" t="str">
        <f t="shared" si="74"/>
        <v/>
      </c>
      <c r="X667" s="1" t="str">
        <f t="shared" si="75"/>
        <v/>
      </c>
      <c r="AA667" s="1" t="str">
        <f t="shared" si="76"/>
        <v/>
      </c>
    </row>
    <row r="668" spans="1:27" x14ac:dyDescent="0.2">
      <c r="A668" t="str">
        <f>IF(COUNTBLANK(B668:AB668)&lt;&gt;COLUMNS(B668:AB668),667,"")</f>
        <v/>
      </c>
      <c r="D668" s="1" t="str">
        <f t="shared" si="70"/>
        <v/>
      </c>
      <c r="G668" s="2" t="str">
        <f t="shared" si="71"/>
        <v/>
      </c>
      <c r="H668" s="1" t="str">
        <f t="shared" si="72"/>
        <v/>
      </c>
      <c r="S668" s="1" t="str">
        <f t="shared" si="73"/>
        <v/>
      </c>
      <c r="U668" s="1" t="str">
        <f t="shared" si="74"/>
        <v/>
      </c>
      <c r="X668" s="1" t="str">
        <f t="shared" si="75"/>
        <v/>
      </c>
      <c r="AA668" s="1" t="str">
        <f t="shared" si="76"/>
        <v/>
      </c>
    </row>
    <row r="669" spans="1:27" x14ac:dyDescent="0.2">
      <c r="A669" t="str">
        <f>IF(COUNTBLANK(B669:AB669)&lt;&gt;COLUMNS(B669:AB669),668,"")</f>
        <v/>
      </c>
      <c r="D669" s="1" t="str">
        <f t="shared" si="70"/>
        <v/>
      </c>
      <c r="G669" s="2" t="str">
        <f t="shared" si="71"/>
        <v/>
      </c>
      <c r="H669" s="1" t="str">
        <f t="shared" si="72"/>
        <v/>
      </c>
      <c r="S669" s="1" t="str">
        <f t="shared" si="73"/>
        <v/>
      </c>
      <c r="U669" s="1" t="str">
        <f t="shared" si="74"/>
        <v/>
      </c>
      <c r="X669" s="1" t="str">
        <f t="shared" si="75"/>
        <v/>
      </c>
      <c r="AA669" s="1" t="str">
        <f t="shared" si="76"/>
        <v/>
      </c>
    </row>
    <row r="670" spans="1:27" x14ac:dyDescent="0.2">
      <c r="A670" t="str">
        <f>IF(COUNTBLANK(B670:AB670)&lt;&gt;COLUMNS(B670:AB670),669,"")</f>
        <v/>
      </c>
      <c r="D670" s="1" t="str">
        <f t="shared" si="70"/>
        <v/>
      </c>
      <c r="G670" s="2" t="str">
        <f t="shared" si="71"/>
        <v/>
      </c>
      <c r="H670" s="1" t="str">
        <f t="shared" si="72"/>
        <v/>
      </c>
      <c r="S670" s="1" t="str">
        <f t="shared" si="73"/>
        <v/>
      </c>
      <c r="U670" s="1" t="str">
        <f t="shared" si="74"/>
        <v/>
      </c>
      <c r="X670" s="1" t="str">
        <f t="shared" si="75"/>
        <v/>
      </c>
      <c r="AA670" s="1" t="str">
        <f t="shared" si="76"/>
        <v/>
      </c>
    </row>
    <row r="671" spans="1:27" x14ac:dyDescent="0.2">
      <c r="A671" t="str">
        <f>IF(COUNTBLANK(B671:AB671)&lt;&gt;COLUMNS(B671:AB671),670,"")</f>
        <v/>
      </c>
      <c r="D671" s="1" t="str">
        <f t="shared" si="70"/>
        <v/>
      </c>
      <c r="G671" s="2" t="str">
        <f t="shared" si="71"/>
        <v/>
      </c>
      <c r="H671" s="1" t="str">
        <f t="shared" si="72"/>
        <v/>
      </c>
      <c r="S671" s="1" t="str">
        <f t="shared" si="73"/>
        <v/>
      </c>
      <c r="U671" s="1" t="str">
        <f t="shared" si="74"/>
        <v/>
      </c>
      <c r="X671" s="1" t="str">
        <f t="shared" si="75"/>
        <v/>
      </c>
      <c r="AA671" s="1" t="str">
        <f t="shared" si="76"/>
        <v/>
      </c>
    </row>
    <row r="672" spans="1:27" x14ac:dyDescent="0.2">
      <c r="A672" t="str">
        <f>IF(COUNTBLANK(B672:AB672)&lt;&gt;COLUMNS(B672:AB672),671,"")</f>
        <v/>
      </c>
      <c r="D672" s="1" t="str">
        <f t="shared" si="70"/>
        <v/>
      </c>
      <c r="G672" s="2" t="str">
        <f t="shared" si="71"/>
        <v/>
      </c>
      <c r="H672" s="1" t="str">
        <f t="shared" si="72"/>
        <v/>
      </c>
      <c r="S672" s="1" t="str">
        <f t="shared" si="73"/>
        <v/>
      </c>
      <c r="U672" s="1" t="str">
        <f t="shared" si="74"/>
        <v/>
      </c>
      <c r="X672" s="1" t="str">
        <f t="shared" si="75"/>
        <v/>
      </c>
      <c r="AA672" s="1" t="str">
        <f t="shared" si="76"/>
        <v/>
      </c>
    </row>
    <row r="673" spans="1:27" x14ac:dyDescent="0.2">
      <c r="A673" t="str">
        <f>IF(COUNTBLANK(B673:AB673)&lt;&gt;COLUMNS(B673:AB673),672,"")</f>
        <v/>
      </c>
      <c r="D673" s="1" t="str">
        <f t="shared" si="70"/>
        <v/>
      </c>
      <c r="G673" s="2" t="str">
        <f t="shared" si="71"/>
        <v/>
      </c>
      <c r="H673" s="1" t="str">
        <f t="shared" si="72"/>
        <v/>
      </c>
      <c r="S673" s="1" t="str">
        <f t="shared" si="73"/>
        <v/>
      </c>
      <c r="U673" s="1" t="str">
        <f t="shared" si="74"/>
        <v/>
      </c>
      <c r="X673" s="1" t="str">
        <f t="shared" si="75"/>
        <v/>
      </c>
      <c r="AA673" s="1" t="str">
        <f t="shared" si="76"/>
        <v/>
      </c>
    </row>
    <row r="674" spans="1:27" x14ac:dyDescent="0.2">
      <c r="A674" t="str">
        <f>IF(COUNTBLANK(B674:AB674)&lt;&gt;COLUMNS(B674:AB674),673,"")</f>
        <v/>
      </c>
      <c r="D674" s="1" t="str">
        <f t="shared" si="70"/>
        <v/>
      </c>
      <c r="G674" s="2" t="str">
        <f t="shared" si="71"/>
        <v/>
      </c>
      <c r="H674" s="1" t="str">
        <f t="shared" si="72"/>
        <v/>
      </c>
      <c r="S674" s="1" t="str">
        <f t="shared" si="73"/>
        <v/>
      </c>
      <c r="U674" s="1" t="str">
        <f t="shared" si="74"/>
        <v/>
      </c>
      <c r="X674" s="1" t="str">
        <f t="shared" si="75"/>
        <v/>
      </c>
      <c r="AA674" s="1" t="str">
        <f t="shared" si="76"/>
        <v/>
      </c>
    </row>
    <row r="675" spans="1:27" x14ac:dyDescent="0.2">
      <c r="A675" t="str">
        <f>IF(COUNTBLANK(B675:AB675)&lt;&gt;COLUMNS(B675:AB675),674,"")</f>
        <v/>
      </c>
      <c r="D675" s="1" t="str">
        <f t="shared" si="70"/>
        <v/>
      </c>
      <c r="G675" s="2" t="str">
        <f t="shared" si="71"/>
        <v/>
      </c>
      <c r="H675" s="1" t="str">
        <f t="shared" si="72"/>
        <v/>
      </c>
      <c r="S675" s="1" t="str">
        <f t="shared" si="73"/>
        <v/>
      </c>
      <c r="U675" s="1" t="str">
        <f t="shared" si="74"/>
        <v/>
      </c>
      <c r="X675" s="1" t="str">
        <f t="shared" si="75"/>
        <v/>
      </c>
      <c r="AA675" s="1" t="str">
        <f t="shared" si="76"/>
        <v/>
      </c>
    </row>
    <row r="676" spans="1:27" x14ac:dyDescent="0.2">
      <c r="A676" t="str">
        <f>IF(COUNTBLANK(B676:AB676)&lt;&gt;COLUMNS(B676:AB676),675,"")</f>
        <v/>
      </c>
      <c r="D676" s="1" t="str">
        <f t="shared" si="70"/>
        <v/>
      </c>
      <c r="G676" s="2" t="str">
        <f t="shared" si="71"/>
        <v/>
      </c>
      <c r="H676" s="1" t="str">
        <f t="shared" si="72"/>
        <v/>
      </c>
      <c r="S676" s="1" t="str">
        <f t="shared" si="73"/>
        <v/>
      </c>
      <c r="U676" s="1" t="str">
        <f t="shared" si="74"/>
        <v/>
      </c>
      <c r="X676" s="1" t="str">
        <f t="shared" si="75"/>
        <v/>
      </c>
      <c r="AA676" s="1" t="str">
        <f t="shared" si="76"/>
        <v/>
      </c>
    </row>
    <row r="677" spans="1:27" x14ac:dyDescent="0.2">
      <c r="A677" t="str">
        <f>IF(COUNTBLANK(B677:AB677)&lt;&gt;COLUMNS(B677:AB677),676,"")</f>
        <v/>
      </c>
      <c r="D677" s="1" t="str">
        <f t="shared" si="70"/>
        <v/>
      </c>
      <c r="G677" s="2" t="str">
        <f t="shared" si="71"/>
        <v/>
      </c>
      <c r="H677" s="1" t="str">
        <f t="shared" si="72"/>
        <v/>
      </c>
      <c r="S677" s="1" t="str">
        <f t="shared" si="73"/>
        <v/>
      </c>
      <c r="U677" s="1" t="str">
        <f t="shared" si="74"/>
        <v/>
      </c>
      <c r="X677" s="1" t="str">
        <f t="shared" si="75"/>
        <v/>
      </c>
      <c r="AA677" s="1" t="str">
        <f t="shared" si="76"/>
        <v/>
      </c>
    </row>
    <row r="678" spans="1:27" x14ac:dyDescent="0.2">
      <c r="A678" t="str">
        <f>IF(COUNTBLANK(B678:AB678)&lt;&gt;COLUMNS(B678:AB678),677,"")</f>
        <v/>
      </c>
      <c r="D678" s="1" t="str">
        <f t="shared" si="70"/>
        <v/>
      </c>
      <c r="G678" s="2" t="str">
        <f t="shared" si="71"/>
        <v/>
      </c>
      <c r="H678" s="1" t="str">
        <f t="shared" si="72"/>
        <v/>
      </c>
      <c r="S678" s="1" t="str">
        <f t="shared" si="73"/>
        <v/>
      </c>
      <c r="U678" s="1" t="str">
        <f t="shared" si="74"/>
        <v/>
      </c>
      <c r="X678" s="1" t="str">
        <f t="shared" si="75"/>
        <v/>
      </c>
      <c r="AA678" s="1" t="str">
        <f t="shared" si="76"/>
        <v/>
      </c>
    </row>
    <row r="679" spans="1:27" x14ac:dyDescent="0.2">
      <c r="A679" t="str">
        <f>IF(COUNTBLANK(B679:AB679)&lt;&gt;COLUMNS(B679:AB679),678,"")</f>
        <v/>
      </c>
      <c r="D679" s="1" t="str">
        <f t="shared" si="70"/>
        <v/>
      </c>
      <c r="G679" s="2" t="str">
        <f t="shared" si="71"/>
        <v/>
      </c>
      <c r="H679" s="1" t="str">
        <f t="shared" si="72"/>
        <v/>
      </c>
      <c r="S679" s="1" t="str">
        <f t="shared" si="73"/>
        <v/>
      </c>
      <c r="U679" s="1" t="str">
        <f t="shared" si="74"/>
        <v/>
      </c>
      <c r="X679" s="1" t="str">
        <f t="shared" si="75"/>
        <v/>
      </c>
      <c r="AA679" s="1" t="str">
        <f t="shared" si="76"/>
        <v/>
      </c>
    </row>
    <row r="680" spans="1:27" x14ac:dyDescent="0.2">
      <c r="A680" t="str">
        <f>IF(COUNTBLANK(B680:AB680)&lt;&gt;COLUMNS(B680:AB680),679,"")</f>
        <v/>
      </c>
      <c r="D680" s="1" t="str">
        <f t="shared" si="70"/>
        <v/>
      </c>
      <c r="G680" s="2" t="str">
        <f t="shared" si="71"/>
        <v/>
      </c>
      <c r="H680" s="1" t="str">
        <f t="shared" si="72"/>
        <v/>
      </c>
      <c r="S680" s="1" t="str">
        <f t="shared" si="73"/>
        <v/>
      </c>
      <c r="U680" s="1" t="str">
        <f t="shared" si="74"/>
        <v/>
      </c>
      <c r="X680" s="1" t="str">
        <f t="shared" si="75"/>
        <v/>
      </c>
      <c r="AA680" s="1" t="str">
        <f t="shared" si="76"/>
        <v/>
      </c>
    </row>
    <row r="681" spans="1:27" x14ac:dyDescent="0.2">
      <c r="A681" t="str">
        <f>IF(COUNTBLANK(B681:AB681)&lt;&gt;COLUMNS(B681:AB681),680,"")</f>
        <v/>
      </c>
      <c r="D681" s="1" t="str">
        <f t="shared" si="70"/>
        <v/>
      </c>
      <c r="G681" s="2" t="str">
        <f t="shared" si="71"/>
        <v/>
      </c>
      <c r="H681" s="1" t="str">
        <f t="shared" si="72"/>
        <v/>
      </c>
      <c r="S681" s="1" t="str">
        <f t="shared" si="73"/>
        <v/>
      </c>
      <c r="U681" s="1" t="str">
        <f t="shared" si="74"/>
        <v/>
      </c>
      <c r="X681" s="1" t="str">
        <f t="shared" si="75"/>
        <v/>
      </c>
      <c r="AA681" s="1" t="str">
        <f t="shared" si="76"/>
        <v/>
      </c>
    </row>
    <row r="682" spans="1:27" x14ac:dyDescent="0.2">
      <c r="A682" t="str">
        <f>IF(COUNTBLANK(B682:AB682)&lt;&gt;COLUMNS(B682:AB682),681,"")</f>
        <v/>
      </c>
      <c r="D682" s="1" t="str">
        <f t="shared" si="70"/>
        <v/>
      </c>
      <c r="G682" s="2" t="str">
        <f t="shared" si="71"/>
        <v/>
      </c>
      <c r="H682" s="1" t="str">
        <f t="shared" si="72"/>
        <v/>
      </c>
      <c r="S682" s="1" t="str">
        <f t="shared" si="73"/>
        <v/>
      </c>
      <c r="U682" s="1" t="str">
        <f t="shared" si="74"/>
        <v/>
      </c>
      <c r="X682" s="1" t="str">
        <f t="shared" si="75"/>
        <v/>
      </c>
      <c r="AA682" s="1" t="str">
        <f t="shared" si="76"/>
        <v/>
      </c>
    </row>
    <row r="683" spans="1:27" x14ac:dyDescent="0.2">
      <c r="A683" t="str">
        <f>IF(COUNTBLANK(B683:AB683)&lt;&gt;COLUMNS(B683:AB683),682,"")</f>
        <v/>
      </c>
      <c r="D683" s="1" t="str">
        <f t="shared" si="70"/>
        <v/>
      </c>
      <c r="G683" s="2" t="str">
        <f t="shared" si="71"/>
        <v/>
      </c>
      <c r="H683" s="1" t="str">
        <f t="shared" si="72"/>
        <v/>
      </c>
      <c r="S683" s="1" t="str">
        <f t="shared" si="73"/>
        <v/>
      </c>
      <c r="U683" s="1" t="str">
        <f t="shared" si="74"/>
        <v/>
      </c>
      <c r="X683" s="1" t="str">
        <f t="shared" si="75"/>
        <v/>
      </c>
      <c r="AA683" s="1" t="str">
        <f t="shared" si="76"/>
        <v/>
      </c>
    </row>
    <row r="684" spans="1:27" x14ac:dyDescent="0.2">
      <c r="A684" t="str">
        <f>IF(COUNTBLANK(B684:AB684)&lt;&gt;COLUMNS(B684:AB684),683,"")</f>
        <v/>
      </c>
      <c r="D684" s="1" t="str">
        <f t="shared" si="70"/>
        <v/>
      </c>
      <c r="G684" s="2" t="str">
        <f t="shared" si="71"/>
        <v/>
      </c>
      <c r="H684" s="1" t="str">
        <f t="shared" si="72"/>
        <v/>
      </c>
      <c r="S684" s="1" t="str">
        <f t="shared" si="73"/>
        <v/>
      </c>
      <c r="U684" s="1" t="str">
        <f t="shared" si="74"/>
        <v/>
      </c>
      <c r="X684" s="1" t="str">
        <f t="shared" si="75"/>
        <v/>
      </c>
      <c r="AA684" s="1" t="str">
        <f t="shared" si="76"/>
        <v/>
      </c>
    </row>
    <row r="685" spans="1:27" x14ac:dyDescent="0.2">
      <c r="A685" t="str">
        <f>IF(COUNTBLANK(B685:AB685)&lt;&gt;COLUMNS(B685:AB685),684,"")</f>
        <v/>
      </c>
      <c r="D685" s="1" t="str">
        <f t="shared" si="70"/>
        <v/>
      </c>
      <c r="G685" s="2" t="str">
        <f t="shared" si="71"/>
        <v/>
      </c>
      <c r="H685" s="1" t="str">
        <f t="shared" si="72"/>
        <v/>
      </c>
      <c r="S685" s="1" t="str">
        <f t="shared" si="73"/>
        <v/>
      </c>
      <c r="U685" s="1" t="str">
        <f t="shared" si="74"/>
        <v/>
      </c>
      <c r="X685" s="1" t="str">
        <f t="shared" si="75"/>
        <v/>
      </c>
      <c r="AA685" s="1" t="str">
        <f t="shared" si="76"/>
        <v/>
      </c>
    </row>
    <row r="686" spans="1:27" x14ac:dyDescent="0.2">
      <c r="A686" t="str">
        <f>IF(COUNTBLANK(B686:AB686)&lt;&gt;COLUMNS(B686:AB686),685,"")</f>
        <v/>
      </c>
      <c r="D686" s="1" t="str">
        <f t="shared" si="70"/>
        <v/>
      </c>
      <c r="G686" s="2" t="str">
        <f t="shared" si="71"/>
        <v/>
      </c>
      <c r="H686" s="1" t="str">
        <f t="shared" si="72"/>
        <v/>
      </c>
      <c r="S686" s="1" t="str">
        <f t="shared" si="73"/>
        <v/>
      </c>
      <c r="U686" s="1" t="str">
        <f t="shared" si="74"/>
        <v/>
      </c>
      <c r="X686" s="1" t="str">
        <f t="shared" si="75"/>
        <v/>
      </c>
      <c r="AA686" s="1" t="str">
        <f t="shared" si="76"/>
        <v/>
      </c>
    </row>
    <row r="687" spans="1:27" x14ac:dyDescent="0.2">
      <c r="A687" t="str">
        <f>IF(COUNTBLANK(B687:AB687)&lt;&gt;COLUMNS(B687:AB687),686,"")</f>
        <v/>
      </c>
      <c r="D687" s="1" t="str">
        <f t="shared" si="70"/>
        <v/>
      </c>
      <c r="G687" s="2" t="str">
        <f t="shared" si="71"/>
        <v/>
      </c>
      <c r="H687" s="1" t="str">
        <f t="shared" si="72"/>
        <v/>
      </c>
      <c r="S687" s="1" t="str">
        <f t="shared" si="73"/>
        <v/>
      </c>
      <c r="U687" s="1" t="str">
        <f t="shared" si="74"/>
        <v/>
      </c>
      <c r="X687" s="1" t="str">
        <f t="shared" si="75"/>
        <v/>
      </c>
      <c r="AA687" s="1" t="str">
        <f t="shared" si="76"/>
        <v/>
      </c>
    </row>
    <row r="688" spans="1:27" x14ac:dyDescent="0.2">
      <c r="A688" t="str">
        <f>IF(COUNTBLANK(B688:AB688)&lt;&gt;COLUMNS(B688:AB688),687,"")</f>
        <v/>
      </c>
      <c r="D688" s="1" t="str">
        <f t="shared" si="70"/>
        <v/>
      </c>
      <c r="G688" s="2" t="str">
        <f t="shared" si="71"/>
        <v/>
      </c>
      <c r="H688" s="1" t="str">
        <f t="shared" si="72"/>
        <v/>
      </c>
      <c r="S688" s="1" t="str">
        <f t="shared" si="73"/>
        <v/>
      </c>
      <c r="U688" s="1" t="str">
        <f t="shared" si="74"/>
        <v/>
      </c>
      <c r="X688" s="1" t="str">
        <f t="shared" si="75"/>
        <v/>
      </c>
      <c r="AA688" s="1" t="str">
        <f t="shared" si="76"/>
        <v/>
      </c>
    </row>
    <row r="689" spans="1:27" x14ac:dyDescent="0.2">
      <c r="A689" t="str">
        <f>IF(COUNTBLANK(B689:AB689)&lt;&gt;COLUMNS(B689:AB689),688,"")</f>
        <v/>
      </c>
      <c r="D689" s="1" t="str">
        <f t="shared" si="70"/>
        <v/>
      </c>
      <c r="G689" s="2" t="str">
        <f t="shared" si="71"/>
        <v/>
      </c>
      <c r="H689" s="1" t="str">
        <f t="shared" si="72"/>
        <v/>
      </c>
      <c r="S689" s="1" t="str">
        <f t="shared" si="73"/>
        <v/>
      </c>
      <c r="U689" s="1" t="str">
        <f t="shared" si="74"/>
        <v/>
      </c>
      <c r="X689" s="1" t="str">
        <f t="shared" si="75"/>
        <v/>
      </c>
      <c r="AA689" s="1" t="str">
        <f t="shared" si="76"/>
        <v/>
      </c>
    </row>
    <row r="690" spans="1:27" x14ac:dyDescent="0.2">
      <c r="A690" t="str">
        <f>IF(COUNTBLANK(B690:AB690)&lt;&gt;COLUMNS(B690:AB690),689,"")</f>
        <v/>
      </c>
      <c r="D690" s="1" t="str">
        <f t="shared" si="70"/>
        <v/>
      </c>
      <c r="G690" s="2" t="str">
        <f t="shared" si="71"/>
        <v/>
      </c>
      <c r="H690" s="1" t="str">
        <f t="shared" si="72"/>
        <v/>
      </c>
      <c r="S690" s="1" t="str">
        <f t="shared" si="73"/>
        <v/>
      </c>
      <c r="U690" s="1" t="str">
        <f t="shared" si="74"/>
        <v/>
      </c>
      <c r="X690" s="1" t="str">
        <f t="shared" si="75"/>
        <v/>
      </c>
      <c r="AA690" s="1" t="str">
        <f t="shared" si="76"/>
        <v/>
      </c>
    </row>
    <row r="691" spans="1:27" x14ac:dyDescent="0.2">
      <c r="A691" t="str">
        <f>IF(COUNTBLANK(B691:AB691)&lt;&gt;COLUMNS(B691:AB691),690,"")</f>
        <v/>
      </c>
      <c r="D691" s="1" t="str">
        <f t="shared" si="70"/>
        <v/>
      </c>
      <c r="G691" s="2" t="str">
        <f t="shared" si="71"/>
        <v/>
      </c>
      <c r="H691" s="1" t="str">
        <f t="shared" si="72"/>
        <v/>
      </c>
      <c r="S691" s="1" t="str">
        <f t="shared" si="73"/>
        <v/>
      </c>
      <c r="U691" s="1" t="str">
        <f t="shared" si="74"/>
        <v/>
      </c>
      <c r="X691" s="1" t="str">
        <f t="shared" si="75"/>
        <v/>
      </c>
      <c r="AA691" s="1" t="str">
        <f t="shared" si="76"/>
        <v/>
      </c>
    </row>
    <row r="692" spans="1:27" x14ac:dyDescent="0.2">
      <c r="A692" t="str">
        <f>IF(COUNTBLANK(B692:AB692)&lt;&gt;COLUMNS(B692:AB692),691,"")</f>
        <v/>
      </c>
      <c r="D692" s="1" t="str">
        <f t="shared" si="70"/>
        <v/>
      </c>
      <c r="G692" s="2" t="str">
        <f t="shared" si="71"/>
        <v/>
      </c>
      <c r="H692" s="1" t="str">
        <f t="shared" si="72"/>
        <v/>
      </c>
      <c r="S692" s="1" t="str">
        <f t="shared" si="73"/>
        <v/>
      </c>
      <c r="U692" s="1" t="str">
        <f t="shared" si="74"/>
        <v/>
      </c>
      <c r="X692" s="1" t="str">
        <f t="shared" si="75"/>
        <v/>
      </c>
      <c r="AA692" s="1" t="str">
        <f t="shared" si="76"/>
        <v/>
      </c>
    </row>
    <row r="693" spans="1:27" x14ac:dyDescent="0.2">
      <c r="A693" t="str">
        <f>IF(COUNTBLANK(B693:AB693)&lt;&gt;COLUMNS(B693:AB693),692,"")</f>
        <v/>
      </c>
      <c r="D693" s="1" t="str">
        <f t="shared" si="70"/>
        <v/>
      </c>
      <c r="G693" s="2" t="str">
        <f t="shared" si="71"/>
        <v/>
      </c>
      <c r="H693" s="1" t="str">
        <f t="shared" si="72"/>
        <v/>
      </c>
      <c r="S693" s="1" t="str">
        <f t="shared" si="73"/>
        <v/>
      </c>
      <c r="U693" s="1" t="str">
        <f t="shared" si="74"/>
        <v/>
      </c>
      <c r="X693" s="1" t="str">
        <f t="shared" si="75"/>
        <v/>
      </c>
      <c r="AA693" s="1" t="str">
        <f t="shared" si="76"/>
        <v/>
      </c>
    </row>
    <row r="694" spans="1:27" x14ac:dyDescent="0.2">
      <c r="A694" t="str">
        <f>IF(COUNTBLANK(B694:AB694)&lt;&gt;COLUMNS(B694:AB694),693,"")</f>
        <v/>
      </c>
      <c r="D694" s="1" t="str">
        <f t="shared" si="70"/>
        <v/>
      </c>
      <c r="G694" s="2" t="str">
        <f t="shared" si="71"/>
        <v/>
      </c>
      <c r="H694" s="1" t="str">
        <f t="shared" si="72"/>
        <v/>
      </c>
      <c r="S694" s="1" t="str">
        <f t="shared" si="73"/>
        <v/>
      </c>
      <c r="U694" s="1" t="str">
        <f t="shared" si="74"/>
        <v/>
      </c>
      <c r="X694" s="1" t="str">
        <f t="shared" si="75"/>
        <v/>
      </c>
      <c r="AA694" s="1" t="str">
        <f t="shared" si="76"/>
        <v/>
      </c>
    </row>
    <row r="695" spans="1:27" x14ac:dyDescent="0.2">
      <c r="A695" t="str">
        <f>IF(COUNTBLANK(B695:AB695)&lt;&gt;COLUMNS(B695:AB695),694,"")</f>
        <v/>
      </c>
      <c r="D695" s="1" t="str">
        <f t="shared" si="70"/>
        <v/>
      </c>
      <c r="G695" s="2" t="str">
        <f t="shared" si="71"/>
        <v/>
      </c>
      <c r="H695" s="1" t="str">
        <f t="shared" si="72"/>
        <v/>
      </c>
      <c r="S695" s="1" t="str">
        <f t="shared" si="73"/>
        <v/>
      </c>
      <c r="U695" s="1" t="str">
        <f t="shared" si="74"/>
        <v/>
      </c>
      <c r="X695" s="1" t="str">
        <f t="shared" si="75"/>
        <v/>
      </c>
      <c r="AA695" s="1" t="str">
        <f t="shared" si="76"/>
        <v/>
      </c>
    </row>
    <row r="696" spans="1:27" x14ac:dyDescent="0.2">
      <c r="A696" t="str">
        <f>IF(COUNTBLANK(B696:AB696)&lt;&gt;COLUMNS(B696:AB696),695,"")</f>
        <v/>
      </c>
      <c r="D696" s="1" t="str">
        <f t="shared" si="70"/>
        <v/>
      </c>
      <c r="G696" s="2" t="str">
        <f t="shared" si="71"/>
        <v/>
      </c>
      <c r="H696" s="1" t="str">
        <f t="shared" si="72"/>
        <v/>
      </c>
      <c r="S696" s="1" t="str">
        <f t="shared" si="73"/>
        <v/>
      </c>
      <c r="U696" s="1" t="str">
        <f t="shared" si="74"/>
        <v/>
      </c>
      <c r="X696" s="1" t="str">
        <f t="shared" si="75"/>
        <v/>
      </c>
      <c r="AA696" s="1" t="str">
        <f t="shared" si="76"/>
        <v/>
      </c>
    </row>
    <row r="697" spans="1:27" x14ac:dyDescent="0.2">
      <c r="A697" t="str">
        <f>IF(COUNTBLANK(B697:AB697)&lt;&gt;COLUMNS(B697:AB697),696,"")</f>
        <v/>
      </c>
      <c r="D697" s="1" t="str">
        <f t="shared" si="70"/>
        <v/>
      </c>
      <c r="G697" s="2" t="str">
        <f t="shared" si="71"/>
        <v/>
      </c>
      <c r="H697" s="1" t="str">
        <f t="shared" si="72"/>
        <v/>
      </c>
      <c r="S697" s="1" t="str">
        <f t="shared" si="73"/>
        <v/>
      </c>
      <c r="U697" s="1" t="str">
        <f t="shared" si="74"/>
        <v/>
      </c>
      <c r="X697" s="1" t="str">
        <f t="shared" si="75"/>
        <v/>
      </c>
      <c r="AA697" s="1" t="str">
        <f t="shared" si="76"/>
        <v/>
      </c>
    </row>
    <row r="698" spans="1:27" x14ac:dyDescent="0.2">
      <c r="A698" t="str">
        <f>IF(COUNTBLANK(B698:AB698)&lt;&gt;COLUMNS(B698:AB698),697,"")</f>
        <v/>
      </c>
      <c r="D698" s="1" t="str">
        <f t="shared" si="70"/>
        <v/>
      </c>
      <c r="G698" s="2" t="str">
        <f t="shared" si="71"/>
        <v/>
      </c>
      <c r="H698" s="1" t="str">
        <f t="shared" si="72"/>
        <v/>
      </c>
      <c r="S698" s="1" t="str">
        <f t="shared" si="73"/>
        <v/>
      </c>
      <c r="U698" s="1" t="str">
        <f t="shared" si="74"/>
        <v/>
      </c>
      <c r="X698" s="1" t="str">
        <f t="shared" si="75"/>
        <v/>
      </c>
      <c r="AA698" s="1" t="str">
        <f t="shared" si="76"/>
        <v/>
      </c>
    </row>
    <row r="699" spans="1:27" x14ac:dyDescent="0.2">
      <c r="A699" t="str">
        <f>IF(COUNTBLANK(B699:AB699)&lt;&gt;COLUMNS(B699:AB699),698,"")</f>
        <v/>
      </c>
      <c r="D699" s="1" t="str">
        <f t="shared" si="70"/>
        <v/>
      </c>
      <c r="G699" s="2" t="str">
        <f t="shared" si="71"/>
        <v/>
      </c>
      <c r="H699" s="1" t="str">
        <f t="shared" si="72"/>
        <v/>
      </c>
      <c r="S699" s="1" t="str">
        <f t="shared" si="73"/>
        <v/>
      </c>
      <c r="U699" s="1" t="str">
        <f t="shared" si="74"/>
        <v/>
      </c>
      <c r="X699" s="1" t="str">
        <f t="shared" si="75"/>
        <v/>
      </c>
      <c r="AA699" s="1" t="str">
        <f t="shared" si="76"/>
        <v/>
      </c>
    </row>
    <row r="700" spans="1:27" x14ac:dyDescent="0.2">
      <c r="A700" t="str">
        <f>IF(COUNTBLANK(B700:AB700)&lt;&gt;COLUMNS(B700:AB700),699,"")</f>
        <v/>
      </c>
      <c r="D700" s="1" t="str">
        <f t="shared" si="70"/>
        <v/>
      </c>
      <c r="G700" s="2" t="str">
        <f t="shared" si="71"/>
        <v/>
      </c>
      <c r="H700" s="1" t="str">
        <f t="shared" si="72"/>
        <v/>
      </c>
      <c r="S700" s="1" t="str">
        <f t="shared" si="73"/>
        <v/>
      </c>
      <c r="U700" s="1" t="str">
        <f t="shared" si="74"/>
        <v/>
      </c>
      <c r="X700" s="1" t="str">
        <f t="shared" si="75"/>
        <v/>
      </c>
      <c r="AA700" s="1" t="str">
        <f t="shared" si="76"/>
        <v/>
      </c>
    </row>
    <row r="701" spans="1:27" x14ac:dyDescent="0.2">
      <c r="A701" t="str">
        <f>IF(COUNTBLANK(B701:AB701)&lt;&gt;COLUMNS(B701:AB701),700,"")</f>
        <v/>
      </c>
      <c r="D701" s="1" t="str">
        <f t="shared" si="70"/>
        <v/>
      </c>
      <c r="G701" s="2" t="str">
        <f t="shared" si="71"/>
        <v/>
      </c>
      <c r="H701" s="1" t="str">
        <f t="shared" si="72"/>
        <v/>
      </c>
      <c r="S701" s="1" t="str">
        <f t="shared" si="73"/>
        <v/>
      </c>
      <c r="U701" s="1" t="str">
        <f t="shared" si="74"/>
        <v/>
      </c>
      <c r="X701" s="1" t="str">
        <f t="shared" si="75"/>
        <v/>
      </c>
      <c r="AA701" s="1" t="str">
        <f t="shared" si="76"/>
        <v/>
      </c>
    </row>
    <row r="702" spans="1:27" x14ac:dyDescent="0.2">
      <c r="A702" t="str">
        <f>IF(COUNTBLANK(B702:AB702)&lt;&gt;COLUMNS(B702:AB702),701,"")</f>
        <v/>
      </c>
      <c r="D702" s="1" t="str">
        <f t="shared" si="70"/>
        <v/>
      </c>
      <c r="G702" s="2" t="str">
        <f t="shared" si="71"/>
        <v/>
      </c>
      <c r="H702" s="1" t="str">
        <f t="shared" si="72"/>
        <v/>
      </c>
      <c r="S702" s="1" t="str">
        <f t="shared" si="73"/>
        <v/>
      </c>
      <c r="U702" s="1" t="str">
        <f t="shared" si="74"/>
        <v/>
      </c>
      <c r="X702" s="1" t="str">
        <f t="shared" si="75"/>
        <v/>
      </c>
      <c r="AA702" s="1" t="str">
        <f t="shared" si="76"/>
        <v/>
      </c>
    </row>
    <row r="703" spans="1:27" x14ac:dyDescent="0.2">
      <c r="A703" t="str">
        <f>IF(COUNTBLANK(B703:AB703)&lt;&gt;COLUMNS(B703:AB703),702,"")</f>
        <v/>
      </c>
      <c r="D703" s="1" t="str">
        <f t="shared" si="70"/>
        <v/>
      </c>
      <c r="G703" s="2" t="str">
        <f t="shared" si="71"/>
        <v/>
      </c>
      <c r="H703" s="1" t="str">
        <f t="shared" si="72"/>
        <v/>
      </c>
      <c r="S703" s="1" t="str">
        <f t="shared" si="73"/>
        <v/>
      </c>
      <c r="U703" s="1" t="str">
        <f t="shared" si="74"/>
        <v/>
      </c>
      <c r="X703" s="1" t="str">
        <f t="shared" si="75"/>
        <v/>
      </c>
      <c r="AA703" s="1" t="str">
        <f t="shared" si="76"/>
        <v/>
      </c>
    </row>
    <row r="704" spans="1:27" x14ac:dyDescent="0.2">
      <c r="A704" t="str">
        <f>IF(COUNTBLANK(B704:AB704)&lt;&gt;COLUMNS(B704:AB704),703,"")</f>
        <v/>
      </c>
      <c r="D704" s="1" t="str">
        <f t="shared" si="70"/>
        <v/>
      </c>
      <c r="G704" s="2" t="str">
        <f t="shared" si="71"/>
        <v/>
      </c>
      <c r="H704" s="1" t="str">
        <f t="shared" si="72"/>
        <v/>
      </c>
      <c r="S704" s="1" t="str">
        <f t="shared" si="73"/>
        <v/>
      </c>
      <c r="U704" s="1" t="str">
        <f t="shared" si="74"/>
        <v/>
      </c>
      <c r="X704" s="1" t="str">
        <f t="shared" si="75"/>
        <v/>
      </c>
      <c r="AA704" s="1" t="str">
        <f t="shared" si="76"/>
        <v/>
      </c>
    </row>
    <row r="705" spans="1:27" x14ac:dyDescent="0.2">
      <c r="A705" t="str">
        <f>IF(COUNTBLANK(B705:AB705)&lt;&gt;COLUMNS(B705:AB705),704,"")</f>
        <v/>
      </c>
      <c r="D705" s="1" t="str">
        <f t="shared" si="70"/>
        <v/>
      </c>
      <c r="G705" s="2" t="str">
        <f t="shared" si="71"/>
        <v/>
      </c>
      <c r="H705" s="1" t="str">
        <f t="shared" si="72"/>
        <v/>
      </c>
      <c r="S705" s="1" t="str">
        <f t="shared" si="73"/>
        <v/>
      </c>
      <c r="U705" s="1" t="str">
        <f t="shared" si="74"/>
        <v/>
      </c>
      <c r="X705" s="1" t="str">
        <f t="shared" si="75"/>
        <v/>
      </c>
      <c r="AA705" s="1" t="str">
        <f t="shared" si="76"/>
        <v/>
      </c>
    </row>
    <row r="706" spans="1:27" x14ac:dyDescent="0.2">
      <c r="A706" t="str">
        <f>IF(COUNTBLANK(B706:AB706)&lt;&gt;COLUMNS(B706:AB706),705,"")</f>
        <v/>
      </c>
      <c r="D706" s="1" t="str">
        <f t="shared" ref="D706:D769" si="77">IF(B706="", "", "Not applicable")</f>
        <v/>
      </c>
      <c r="G706" s="2" t="str">
        <f t="shared" ref="G706:G769" si="78">IF(B706="", "", "missing: not provided")</f>
        <v/>
      </c>
      <c r="H706" s="1" t="str">
        <f t="shared" ref="H706:H769" si="79">IF(B706="", "", "meters")</f>
        <v/>
      </c>
      <c r="S706" s="1" t="str">
        <f t="shared" ref="S706:S769" si="80">IF(B706="", "", "Decimal degrees")</f>
        <v/>
      </c>
      <c r="U706" s="1" t="str">
        <f t="shared" ref="U706:U769" si="81">IF(B706="", "", "Decimal degrees")</f>
        <v/>
      </c>
      <c r="X706" s="1" t="str">
        <f t="shared" ref="X706:X769" si="82">IF(B706="", "", "other")</f>
        <v/>
      </c>
      <c r="AA706" s="1" t="str">
        <f t="shared" ref="AA706:AA769" si="83">IF(B706="", "", "Not applicable")</f>
        <v/>
      </c>
    </row>
    <row r="707" spans="1:27" x14ac:dyDescent="0.2">
      <c r="A707" t="str">
        <f>IF(COUNTBLANK(B707:AB707)&lt;&gt;COLUMNS(B707:AB707),706,"")</f>
        <v/>
      </c>
      <c r="D707" s="1" t="str">
        <f t="shared" si="77"/>
        <v/>
      </c>
      <c r="G707" s="2" t="str">
        <f t="shared" si="78"/>
        <v/>
      </c>
      <c r="H707" s="1" t="str">
        <f t="shared" si="79"/>
        <v/>
      </c>
      <c r="S707" s="1" t="str">
        <f t="shared" si="80"/>
        <v/>
      </c>
      <c r="U707" s="1" t="str">
        <f t="shared" si="81"/>
        <v/>
      </c>
      <c r="X707" s="1" t="str">
        <f t="shared" si="82"/>
        <v/>
      </c>
      <c r="AA707" s="1" t="str">
        <f t="shared" si="83"/>
        <v/>
      </c>
    </row>
    <row r="708" spans="1:27" x14ac:dyDescent="0.2">
      <c r="A708" t="str">
        <f>IF(COUNTBLANK(B708:AB708)&lt;&gt;COLUMNS(B708:AB708),707,"")</f>
        <v/>
      </c>
      <c r="D708" s="1" t="str">
        <f t="shared" si="77"/>
        <v/>
      </c>
      <c r="G708" s="2" t="str">
        <f t="shared" si="78"/>
        <v/>
      </c>
      <c r="H708" s="1" t="str">
        <f t="shared" si="79"/>
        <v/>
      </c>
      <c r="S708" s="1" t="str">
        <f t="shared" si="80"/>
        <v/>
      </c>
      <c r="U708" s="1" t="str">
        <f t="shared" si="81"/>
        <v/>
      </c>
      <c r="X708" s="1" t="str">
        <f t="shared" si="82"/>
        <v/>
      </c>
      <c r="AA708" s="1" t="str">
        <f t="shared" si="83"/>
        <v/>
      </c>
    </row>
    <row r="709" spans="1:27" x14ac:dyDescent="0.2">
      <c r="A709" t="str">
        <f>IF(COUNTBLANK(B709:AB709)&lt;&gt;COLUMNS(B709:AB709),708,"")</f>
        <v/>
      </c>
      <c r="D709" s="1" t="str">
        <f t="shared" si="77"/>
        <v/>
      </c>
      <c r="G709" s="2" t="str">
        <f t="shared" si="78"/>
        <v/>
      </c>
      <c r="H709" s="1" t="str">
        <f t="shared" si="79"/>
        <v/>
      </c>
      <c r="S709" s="1" t="str">
        <f t="shared" si="80"/>
        <v/>
      </c>
      <c r="U709" s="1" t="str">
        <f t="shared" si="81"/>
        <v/>
      </c>
      <c r="X709" s="1" t="str">
        <f t="shared" si="82"/>
        <v/>
      </c>
      <c r="AA709" s="1" t="str">
        <f t="shared" si="83"/>
        <v/>
      </c>
    </row>
    <row r="710" spans="1:27" x14ac:dyDescent="0.2">
      <c r="A710" t="str">
        <f>IF(COUNTBLANK(B710:AB710)&lt;&gt;COLUMNS(B710:AB710),709,"")</f>
        <v/>
      </c>
      <c r="D710" s="1" t="str">
        <f t="shared" si="77"/>
        <v/>
      </c>
      <c r="G710" s="2" t="str">
        <f t="shared" si="78"/>
        <v/>
      </c>
      <c r="H710" s="1" t="str">
        <f t="shared" si="79"/>
        <v/>
      </c>
      <c r="S710" s="1" t="str">
        <f t="shared" si="80"/>
        <v/>
      </c>
      <c r="U710" s="1" t="str">
        <f t="shared" si="81"/>
        <v/>
      </c>
      <c r="X710" s="1" t="str">
        <f t="shared" si="82"/>
        <v/>
      </c>
      <c r="AA710" s="1" t="str">
        <f t="shared" si="83"/>
        <v/>
      </c>
    </row>
    <row r="711" spans="1:27" x14ac:dyDescent="0.2">
      <c r="A711" t="str">
        <f>IF(COUNTBLANK(B711:AB711)&lt;&gt;COLUMNS(B711:AB711),710,"")</f>
        <v/>
      </c>
      <c r="D711" s="1" t="str">
        <f t="shared" si="77"/>
        <v/>
      </c>
      <c r="G711" s="2" t="str">
        <f t="shared" si="78"/>
        <v/>
      </c>
      <c r="H711" s="1" t="str">
        <f t="shared" si="79"/>
        <v/>
      </c>
      <c r="S711" s="1" t="str">
        <f t="shared" si="80"/>
        <v/>
      </c>
      <c r="U711" s="1" t="str">
        <f t="shared" si="81"/>
        <v/>
      </c>
      <c r="X711" s="1" t="str">
        <f t="shared" si="82"/>
        <v/>
      </c>
      <c r="AA711" s="1" t="str">
        <f t="shared" si="83"/>
        <v/>
      </c>
    </row>
    <row r="712" spans="1:27" x14ac:dyDescent="0.2">
      <c r="A712" t="str">
        <f>IF(COUNTBLANK(B712:AB712)&lt;&gt;COLUMNS(B712:AB712),711,"")</f>
        <v/>
      </c>
      <c r="D712" s="1" t="str">
        <f t="shared" si="77"/>
        <v/>
      </c>
      <c r="G712" s="2" t="str">
        <f t="shared" si="78"/>
        <v/>
      </c>
      <c r="H712" s="1" t="str">
        <f t="shared" si="79"/>
        <v/>
      </c>
      <c r="S712" s="1" t="str">
        <f t="shared" si="80"/>
        <v/>
      </c>
      <c r="U712" s="1" t="str">
        <f t="shared" si="81"/>
        <v/>
      </c>
      <c r="X712" s="1" t="str">
        <f t="shared" si="82"/>
        <v/>
      </c>
      <c r="AA712" s="1" t="str">
        <f t="shared" si="83"/>
        <v/>
      </c>
    </row>
    <row r="713" spans="1:27" x14ac:dyDescent="0.2">
      <c r="A713" t="str">
        <f>IF(COUNTBLANK(B713:AB713)&lt;&gt;COLUMNS(B713:AB713),712,"")</f>
        <v/>
      </c>
      <c r="D713" s="1" t="str">
        <f t="shared" si="77"/>
        <v/>
      </c>
      <c r="G713" s="2" t="str">
        <f t="shared" si="78"/>
        <v/>
      </c>
      <c r="H713" s="1" t="str">
        <f t="shared" si="79"/>
        <v/>
      </c>
      <c r="S713" s="1" t="str">
        <f t="shared" si="80"/>
        <v/>
      </c>
      <c r="U713" s="1" t="str">
        <f t="shared" si="81"/>
        <v/>
      </c>
      <c r="X713" s="1" t="str">
        <f t="shared" si="82"/>
        <v/>
      </c>
      <c r="AA713" s="1" t="str">
        <f t="shared" si="83"/>
        <v/>
      </c>
    </row>
    <row r="714" spans="1:27" x14ac:dyDescent="0.2">
      <c r="A714" t="str">
        <f>IF(COUNTBLANK(B714:AB714)&lt;&gt;COLUMNS(B714:AB714),713,"")</f>
        <v/>
      </c>
      <c r="D714" s="1" t="str">
        <f t="shared" si="77"/>
        <v/>
      </c>
      <c r="G714" s="2" t="str">
        <f t="shared" si="78"/>
        <v/>
      </c>
      <c r="H714" s="1" t="str">
        <f t="shared" si="79"/>
        <v/>
      </c>
      <c r="S714" s="1" t="str">
        <f t="shared" si="80"/>
        <v/>
      </c>
      <c r="U714" s="1" t="str">
        <f t="shared" si="81"/>
        <v/>
      </c>
      <c r="X714" s="1" t="str">
        <f t="shared" si="82"/>
        <v/>
      </c>
      <c r="AA714" s="1" t="str">
        <f t="shared" si="83"/>
        <v/>
      </c>
    </row>
    <row r="715" spans="1:27" x14ac:dyDescent="0.2">
      <c r="A715" t="str">
        <f>IF(COUNTBLANK(B715:AB715)&lt;&gt;COLUMNS(B715:AB715),714,"")</f>
        <v/>
      </c>
      <c r="D715" s="1" t="str">
        <f t="shared" si="77"/>
        <v/>
      </c>
      <c r="G715" s="2" t="str">
        <f t="shared" si="78"/>
        <v/>
      </c>
      <c r="H715" s="1" t="str">
        <f t="shared" si="79"/>
        <v/>
      </c>
      <c r="S715" s="1" t="str">
        <f t="shared" si="80"/>
        <v/>
      </c>
      <c r="U715" s="1" t="str">
        <f t="shared" si="81"/>
        <v/>
      </c>
      <c r="X715" s="1" t="str">
        <f t="shared" si="82"/>
        <v/>
      </c>
      <c r="AA715" s="1" t="str">
        <f t="shared" si="83"/>
        <v/>
      </c>
    </row>
    <row r="716" spans="1:27" x14ac:dyDescent="0.2">
      <c r="A716" t="str">
        <f>IF(COUNTBLANK(B716:AB716)&lt;&gt;COLUMNS(B716:AB716),715,"")</f>
        <v/>
      </c>
      <c r="D716" s="1" t="str">
        <f t="shared" si="77"/>
        <v/>
      </c>
      <c r="G716" s="2" t="str">
        <f t="shared" si="78"/>
        <v/>
      </c>
      <c r="H716" s="1" t="str">
        <f t="shared" si="79"/>
        <v/>
      </c>
      <c r="S716" s="1" t="str">
        <f t="shared" si="80"/>
        <v/>
      </c>
      <c r="U716" s="1" t="str">
        <f t="shared" si="81"/>
        <v/>
      </c>
      <c r="X716" s="1" t="str">
        <f t="shared" si="82"/>
        <v/>
      </c>
      <c r="AA716" s="1" t="str">
        <f t="shared" si="83"/>
        <v/>
      </c>
    </row>
    <row r="717" spans="1:27" x14ac:dyDescent="0.2">
      <c r="A717" t="str">
        <f>IF(COUNTBLANK(B717:AB717)&lt;&gt;COLUMNS(B717:AB717),716,"")</f>
        <v/>
      </c>
      <c r="D717" s="1" t="str">
        <f t="shared" si="77"/>
        <v/>
      </c>
      <c r="G717" s="2" t="str">
        <f t="shared" si="78"/>
        <v/>
      </c>
      <c r="H717" s="1" t="str">
        <f t="shared" si="79"/>
        <v/>
      </c>
      <c r="S717" s="1" t="str">
        <f t="shared" si="80"/>
        <v/>
      </c>
      <c r="U717" s="1" t="str">
        <f t="shared" si="81"/>
        <v/>
      </c>
      <c r="X717" s="1" t="str">
        <f t="shared" si="82"/>
        <v/>
      </c>
      <c r="AA717" s="1" t="str">
        <f t="shared" si="83"/>
        <v/>
      </c>
    </row>
    <row r="718" spans="1:27" x14ac:dyDescent="0.2">
      <c r="A718" t="str">
        <f>IF(COUNTBLANK(B718:AB718)&lt;&gt;COLUMNS(B718:AB718),717,"")</f>
        <v/>
      </c>
      <c r="D718" s="1" t="str">
        <f t="shared" si="77"/>
        <v/>
      </c>
      <c r="G718" s="2" t="str">
        <f t="shared" si="78"/>
        <v/>
      </c>
      <c r="H718" s="1" t="str">
        <f t="shared" si="79"/>
        <v/>
      </c>
      <c r="S718" s="1" t="str">
        <f t="shared" si="80"/>
        <v/>
      </c>
      <c r="U718" s="1" t="str">
        <f t="shared" si="81"/>
        <v/>
      </c>
      <c r="X718" s="1" t="str">
        <f t="shared" si="82"/>
        <v/>
      </c>
      <c r="AA718" s="1" t="str">
        <f t="shared" si="83"/>
        <v/>
      </c>
    </row>
    <row r="719" spans="1:27" x14ac:dyDescent="0.2">
      <c r="A719" t="str">
        <f>IF(COUNTBLANK(B719:AB719)&lt;&gt;COLUMNS(B719:AB719),718,"")</f>
        <v/>
      </c>
      <c r="D719" s="1" t="str">
        <f t="shared" si="77"/>
        <v/>
      </c>
      <c r="G719" s="2" t="str">
        <f t="shared" si="78"/>
        <v/>
      </c>
      <c r="H719" s="1" t="str">
        <f t="shared" si="79"/>
        <v/>
      </c>
      <c r="S719" s="1" t="str">
        <f t="shared" si="80"/>
        <v/>
      </c>
      <c r="U719" s="1" t="str">
        <f t="shared" si="81"/>
        <v/>
      </c>
      <c r="X719" s="1" t="str">
        <f t="shared" si="82"/>
        <v/>
      </c>
      <c r="AA719" s="1" t="str">
        <f t="shared" si="83"/>
        <v/>
      </c>
    </row>
    <row r="720" spans="1:27" x14ac:dyDescent="0.2">
      <c r="A720" t="str">
        <f>IF(COUNTBLANK(B720:AB720)&lt;&gt;COLUMNS(B720:AB720),719,"")</f>
        <v/>
      </c>
      <c r="D720" s="1" t="str">
        <f t="shared" si="77"/>
        <v/>
      </c>
      <c r="G720" s="2" t="str">
        <f t="shared" si="78"/>
        <v/>
      </c>
      <c r="H720" s="1" t="str">
        <f t="shared" si="79"/>
        <v/>
      </c>
      <c r="S720" s="1" t="str">
        <f t="shared" si="80"/>
        <v/>
      </c>
      <c r="U720" s="1" t="str">
        <f t="shared" si="81"/>
        <v/>
      </c>
      <c r="X720" s="1" t="str">
        <f t="shared" si="82"/>
        <v/>
      </c>
      <c r="AA720" s="1" t="str">
        <f t="shared" si="83"/>
        <v/>
      </c>
    </row>
    <row r="721" spans="1:27" x14ac:dyDescent="0.2">
      <c r="A721" t="str">
        <f>IF(COUNTBLANK(B721:AB721)&lt;&gt;COLUMNS(B721:AB721),720,"")</f>
        <v/>
      </c>
      <c r="D721" s="1" t="str">
        <f t="shared" si="77"/>
        <v/>
      </c>
      <c r="G721" s="2" t="str">
        <f t="shared" si="78"/>
        <v/>
      </c>
      <c r="H721" s="1" t="str">
        <f t="shared" si="79"/>
        <v/>
      </c>
      <c r="S721" s="1" t="str">
        <f t="shared" si="80"/>
        <v/>
      </c>
      <c r="U721" s="1" t="str">
        <f t="shared" si="81"/>
        <v/>
      </c>
      <c r="X721" s="1" t="str">
        <f t="shared" si="82"/>
        <v/>
      </c>
      <c r="AA721" s="1" t="str">
        <f t="shared" si="83"/>
        <v/>
      </c>
    </row>
    <row r="722" spans="1:27" x14ac:dyDescent="0.2">
      <c r="A722" t="str">
        <f>IF(COUNTBLANK(B722:AB722)&lt;&gt;COLUMNS(B722:AB722),721,"")</f>
        <v/>
      </c>
      <c r="D722" s="1" t="str">
        <f t="shared" si="77"/>
        <v/>
      </c>
      <c r="G722" s="2" t="str">
        <f t="shared" si="78"/>
        <v/>
      </c>
      <c r="H722" s="1" t="str">
        <f t="shared" si="79"/>
        <v/>
      </c>
      <c r="S722" s="1" t="str">
        <f t="shared" si="80"/>
        <v/>
      </c>
      <c r="U722" s="1" t="str">
        <f t="shared" si="81"/>
        <v/>
      </c>
      <c r="X722" s="1" t="str">
        <f t="shared" si="82"/>
        <v/>
      </c>
      <c r="AA722" s="1" t="str">
        <f t="shared" si="83"/>
        <v/>
      </c>
    </row>
    <row r="723" spans="1:27" x14ac:dyDescent="0.2">
      <c r="A723" t="str">
        <f>IF(COUNTBLANK(B723:AB723)&lt;&gt;COLUMNS(B723:AB723),722,"")</f>
        <v/>
      </c>
      <c r="D723" s="1" t="str">
        <f t="shared" si="77"/>
        <v/>
      </c>
      <c r="G723" s="2" t="str">
        <f t="shared" si="78"/>
        <v/>
      </c>
      <c r="H723" s="1" t="str">
        <f t="shared" si="79"/>
        <v/>
      </c>
      <c r="S723" s="1" t="str">
        <f t="shared" si="80"/>
        <v/>
      </c>
      <c r="U723" s="1" t="str">
        <f t="shared" si="81"/>
        <v/>
      </c>
      <c r="X723" s="1" t="str">
        <f t="shared" si="82"/>
        <v/>
      </c>
      <c r="AA723" s="1" t="str">
        <f t="shared" si="83"/>
        <v/>
      </c>
    </row>
    <row r="724" spans="1:27" x14ac:dyDescent="0.2">
      <c r="A724" t="str">
        <f>IF(COUNTBLANK(B724:AB724)&lt;&gt;COLUMNS(B724:AB724),723,"")</f>
        <v/>
      </c>
      <c r="D724" s="1" t="str">
        <f t="shared" si="77"/>
        <v/>
      </c>
      <c r="G724" s="2" t="str">
        <f t="shared" si="78"/>
        <v/>
      </c>
      <c r="H724" s="1" t="str">
        <f t="shared" si="79"/>
        <v/>
      </c>
      <c r="S724" s="1" t="str">
        <f t="shared" si="80"/>
        <v/>
      </c>
      <c r="U724" s="1" t="str">
        <f t="shared" si="81"/>
        <v/>
      </c>
      <c r="X724" s="1" t="str">
        <f t="shared" si="82"/>
        <v/>
      </c>
      <c r="AA724" s="1" t="str">
        <f t="shared" si="83"/>
        <v/>
      </c>
    </row>
    <row r="725" spans="1:27" x14ac:dyDescent="0.2">
      <c r="A725" t="str">
        <f>IF(COUNTBLANK(B725:AB725)&lt;&gt;COLUMNS(B725:AB725),724,"")</f>
        <v/>
      </c>
      <c r="D725" s="1" t="str">
        <f t="shared" si="77"/>
        <v/>
      </c>
      <c r="G725" s="2" t="str">
        <f t="shared" si="78"/>
        <v/>
      </c>
      <c r="H725" s="1" t="str">
        <f t="shared" si="79"/>
        <v/>
      </c>
      <c r="S725" s="1" t="str">
        <f t="shared" si="80"/>
        <v/>
      </c>
      <c r="U725" s="1" t="str">
        <f t="shared" si="81"/>
        <v/>
      </c>
      <c r="X725" s="1" t="str">
        <f t="shared" si="82"/>
        <v/>
      </c>
      <c r="AA725" s="1" t="str">
        <f t="shared" si="83"/>
        <v/>
      </c>
    </row>
    <row r="726" spans="1:27" x14ac:dyDescent="0.2">
      <c r="A726" t="str">
        <f>IF(COUNTBLANK(B726:AB726)&lt;&gt;COLUMNS(B726:AB726),725,"")</f>
        <v/>
      </c>
      <c r="D726" s="1" t="str">
        <f t="shared" si="77"/>
        <v/>
      </c>
      <c r="G726" s="2" t="str">
        <f t="shared" si="78"/>
        <v/>
      </c>
      <c r="H726" s="1" t="str">
        <f t="shared" si="79"/>
        <v/>
      </c>
      <c r="S726" s="1" t="str">
        <f t="shared" si="80"/>
        <v/>
      </c>
      <c r="U726" s="1" t="str">
        <f t="shared" si="81"/>
        <v/>
      </c>
      <c r="X726" s="1" t="str">
        <f t="shared" si="82"/>
        <v/>
      </c>
      <c r="AA726" s="1" t="str">
        <f t="shared" si="83"/>
        <v/>
      </c>
    </row>
    <row r="727" spans="1:27" x14ac:dyDescent="0.2">
      <c r="A727" t="str">
        <f>IF(COUNTBLANK(B727:AB727)&lt;&gt;COLUMNS(B727:AB727),726,"")</f>
        <v/>
      </c>
      <c r="D727" s="1" t="str">
        <f t="shared" si="77"/>
        <v/>
      </c>
      <c r="G727" s="2" t="str">
        <f t="shared" si="78"/>
        <v/>
      </c>
      <c r="H727" s="1" t="str">
        <f t="shared" si="79"/>
        <v/>
      </c>
      <c r="S727" s="1" t="str">
        <f t="shared" si="80"/>
        <v/>
      </c>
      <c r="U727" s="1" t="str">
        <f t="shared" si="81"/>
        <v/>
      </c>
      <c r="X727" s="1" t="str">
        <f t="shared" si="82"/>
        <v/>
      </c>
      <c r="AA727" s="1" t="str">
        <f t="shared" si="83"/>
        <v/>
      </c>
    </row>
    <row r="728" spans="1:27" x14ac:dyDescent="0.2">
      <c r="A728" t="str">
        <f>IF(COUNTBLANK(B728:AB728)&lt;&gt;COLUMNS(B728:AB728),727,"")</f>
        <v/>
      </c>
      <c r="D728" s="1" t="str">
        <f t="shared" si="77"/>
        <v/>
      </c>
      <c r="G728" s="2" t="str">
        <f t="shared" si="78"/>
        <v/>
      </c>
      <c r="H728" s="1" t="str">
        <f t="shared" si="79"/>
        <v/>
      </c>
      <c r="S728" s="1" t="str">
        <f t="shared" si="80"/>
        <v/>
      </c>
      <c r="U728" s="1" t="str">
        <f t="shared" si="81"/>
        <v/>
      </c>
      <c r="X728" s="1" t="str">
        <f t="shared" si="82"/>
        <v/>
      </c>
      <c r="AA728" s="1" t="str">
        <f t="shared" si="83"/>
        <v/>
      </c>
    </row>
    <row r="729" spans="1:27" x14ac:dyDescent="0.2">
      <c r="A729" t="str">
        <f>IF(COUNTBLANK(B729:AB729)&lt;&gt;COLUMNS(B729:AB729),728,"")</f>
        <v/>
      </c>
      <c r="D729" s="1" t="str">
        <f t="shared" si="77"/>
        <v/>
      </c>
      <c r="G729" s="2" t="str">
        <f t="shared" si="78"/>
        <v/>
      </c>
      <c r="H729" s="1" t="str">
        <f t="shared" si="79"/>
        <v/>
      </c>
      <c r="S729" s="1" t="str">
        <f t="shared" si="80"/>
        <v/>
      </c>
      <c r="U729" s="1" t="str">
        <f t="shared" si="81"/>
        <v/>
      </c>
      <c r="X729" s="1" t="str">
        <f t="shared" si="82"/>
        <v/>
      </c>
      <c r="AA729" s="1" t="str">
        <f t="shared" si="83"/>
        <v/>
      </c>
    </row>
    <row r="730" spans="1:27" x14ac:dyDescent="0.2">
      <c r="A730" t="str">
        <f>IF(COUNTBLANK(B730:AB730)&lt;&gt;COLUMNS(B730:AB730),729,"")</f>
        <v/>
      </c>
      <c r="D730" s="1" t="str">
        <f t="shared" si="77"/>
        <v/>
      </c>
      <c r="G730" s="2" t="str">
        <f t="shared" si="78"/>
        <v/>
      </c>
      <c r="H730" s="1" t="str">
        <f t="shared" si="79"/>
        <v/>
      </c>
      <c r="S730" s="1" t="str">
        <f t="shared" si="80"/>
        <v/>
      </c>
      <c r="U730" s="1" t="str">
        <f t="shared" si="81"/>
        <v/>
      </c>
      <c r="X730" s="1" t="str">
        <f t="shared" si="82"/>
        <v/>
      </c>
      <c r="AA730" s="1" t="str">
        <f t="shared" si="83"/>
        <v/>
      </c>
    </row>
    <row r="731" spans="1:27" x14ac:dyDescent="0.2">
      <c r="A731" t="str">
        <f>IF(COUNTBLANK(B731:AB731)&lt;&gt;COLUMNS(B731:AB731),730,"")</f>
        <v/>
      </c>
      <c r="D731" s="1" t="str">
        <f t="shared" si="77"/>
        <v/>
      </c>
      <c r="G731" s="2" t="str">
        <f t="shared" si="78"/>
        <v/>
      </c>
      <c r="H731" s="1" t="str">
        <f t="shared" si="79"/>
        <v/>
      </c>
      <c r="S731" s="1" t="str">
        <f t="shared" si="80"/>
        <v/>
      </c>
      <c r="U731" s="1" t="str">
        <f t="shared" si="81"/>
        <v/>
      </c>
      <c r="X731" s="1" t="str">
        <f t="shared" si="82"/>
        <v/>
      </c>
      <c r="AA731" s="1" t="str">
        <f t="shared" si="83"/>
        <v/>
      </c>
    </row>
    <row r="732" spans="1:27" x14ac:dyDescent="0.2">
      <c r="A732" t="str">
        <f>IF(COUNTBLANK(B732:AB732)&lt;&gt;COLUMNS(B732:AB732),731,"")</f>
        <v/>
      </c>
      <c r="D732" s="1" t="str">
        <f t="shared" si="77"/>
        <v/>
      </c>
      <c r="G732" s="2" t="str">
        <f t="shared" si="78"/>
        <v/>
      </c>
      <c r="H732" s="1" t="str">
        <f t="shared" si="79"/>
        <v/>
      </c>
      <c r="S732" s="1" t="str">
        <f t="shared" si="80"/>
        <v/>
      </c>
      <c r="U732" s="1" t="str">
        <f t="shared" si="81"/>
        <v/>
      </c>
      <c r="X732" s="1" t="str">
        <f t="shared" si="82"/>
        <v/>
      </c>
      <c r="AA732" s="1" t="str">
        <f t="shared" si="83"/>
        <v/>
      </c>
    </row>
    <row r="733" spans="1:27" x14ac:dyDescent="0.2">
      <c r="A733" t="str">
        <f>IF(COUNTBLANK(B733:AB733)&lt;&gt;COLUMNS(B733:AB733),732,"")</f>
        <v/>
      </c>
      <c r="D733" s="1" t="str">
        <f t="shared" si="77"/>
        <v/>
      </c>
      <c r="G733" s="2" t="str">
        <f t="shared" si="78"/>
        <v/>
      </c>
      <c r="H733" s="1" t="str">
        <f t="shared" si="79"/>
        <v/>
      </c>
      <c r="S733" s="1" t="str">
        <f t="shared" si="80"/>
        <v/>
      </c>
      <c r="U733" s="1" t="str">
        <f t="shared" si="81"/>
        <v/>
      </c>
      <c r="X733" s="1" t="str">
        <f t="shared" si="82"/>
        <v/>
      </c>
      <c r="AA733" s="1" t="str">
        <f t="shared" si="83"/>
        <v/>
      </c>
    </row>
    <row r="734" spans="1:27" x14ac:dyDescent="0.2">
      <c r="A734" t="str">
        <f>IF(COUNTBLANK(B734:AB734)&lt;&gt;COLUMNS(B734:AB734),733,"")</f>
        <v/>
      </c>
      <c r="D734" s="1" t="str">
        <f t="shared" si="77"/>
        <v/>
      </c>
      <c r="G734" s="2" t="str">
        <f t="shared" si="78"/>
        <v/>
      </c>
      <c r="H734" s="1" t="str">
        <f t="shared" si="79"/>
        <v/>
      </c>
      <c r="S734" s="1" t="str">
        <f t="shared" si="80"/>
        <v/>
      </c>
      <c r="U734" s="1" t="str">
        <f t="shared" si="81"/>
        <v/>
      </c>
      <c r="X734" s="1" t="str">
        <f t="shared" si="82"/>
        <v/>
      </c>
      <c r="AA734" s="1" t="str">
        <f t="shared" si="83"/>
        <v/>
      </c>
    </row>
    <row r="735" spans="1:27" x14ac:dyDescent="0.2">
      <c r="A735" t="str">
        <f>IF(COUNTBLANK(B735:AB735)&lt;&gt;COLUMNS(B735:AB735),734,"")</f>
        <v/>
      </c>
      <c r="D735" s="1" t="str">
        <f t="shared" si="77"/>
        <v/>
      </c>
      <c r="G735" s="2" t="str">
        <f t="shared" si="78"/>
        <v/>
      </c>
      <c r="H735" s="1" t="str">
        <f t="shared" si="79"/>
        <v/>
      </c>
      <c r="S735" s="1" t="str">
        <f t="shared" si="80"/>
        <v/>
      </c>
      <c r="U735" s="1" t="str">
        <f t="shared" si="81"/>
        <v/>
      </c>
      <c r="X735" s="1" t="str">
        <f t="shared" si="82"/>
        <v/>
      </c>
      <c r="AA735" s="1" t="str">
        <f t="shared" si="83"/>
        <v/>
      </c>
    </row>
    <row r="736" spans="1:27" x14ac:dyDescent="0.2">
      <c r="A736" t="str">
        <f>IF(COUNTBLANK(B736:AB736)&lt;&gt;COLUMNS(B736:AB736),735,"")</f>
        <v/>
      </c>
      <c r="D736" s="1" t="str">
        <f t="shared" si="77"/>
        <v/>
      </c>
      <c r="G736" s="2" t="str">
        <f t="shared" si="78"/>
        <v/>
      </c>
      <c r="H736" s="1" t="str">
        <f t="shared" si="79"/>
        <v/>
      </c>
      <c r="S736" s="1" t="str">
        <f t="shared" si="80"/>
        <v/>
      </c>
      <c r="U736" s="1" t="str">
        <f t="shared" si="81"/>
        <v/>
      </c>
      <c r="X736" s="1" t="str">
        <f t="shared" si="82"/>
        <v/>
      </c>
      <c r="AA736" s="1" t="str">
        <f t="shared" si="83"/>
        <v/>
      </c>
    </row>
    <row r="737" spans="1:27" x14ac:dyDescent="0.2">
      <c r="A737" t="str">
        <f>IF(COUNTBLANK(B737:AB737)&lt;&gt;COLUMNS(B737:AB737),736,"")</f>
        <v/>
      </c>
      <c r="D737" s="1" t="str">
        <f t="shared" si="77"/>
        <v/>
      </c>
      <c r="G737" s="2" t="str">
        <f t="shared" si="78"/>
        <v/>
      </c>
      <c r="H737" s="1" t="str">
        <f t="shared" si="79"/>
        <v/>
      </c>
      <c r="S737" s="1" t="str">
        <f t="shared" si="80"/>
        <v/>
      </c>
      <c r="U737" s="1" t="str">
        <f t="shared" si="81"/>
        <v/>
      </c>
      <c r="X737" s="1" t="str">
        <f t="shared" si="82"/>
        <v/>
      </c>
      <c r="AA737" s="1" t="str">
        <f t="shared" si="83"/>
        <v/>
      </c>
    </row>
    <row r="738" spans="1:27" x14ac:dyDescent="0.2">
      <c r="A738" t="str">
        <f>IF(COUNTBLANK(B738:AB738)&lt;&gt;COLUMNS(B738:AB738),737,"")</f>
        <v/>
      </c>
      <c r="D738" s="1" t="str">
        <f t="shared" si="77"/>
        <v/>
      </c>
      <c r="G738" s="2" t="str">
        <f t="shared" si="78"/>
        <v/>
      </c>
      <c r="H738" s="1" t="str">
        <f t="shared" si="79"/>
        <v/>
      </c>
      <c r="S738" s="1" t="str">
        <f t="shared" si="80"/>
        <v/>
      </c>
      <c r="U738" s="1" t="str">
        <f t="shared" si="81"/>
        <v/>
      </c>
      <c r="X738" s="1" t="str">
        <f t="shared" si="82"/>
        <v/>
      </c>
      <c r="AA738" s="1" t="str">
        <f t="shared" si="83"/>
        <v/>
      </c>
    </row>
    <row r="739" spans="1:27" x14ac:dyDescent="0.2">
      <c r="A739" t="str">
        <f>IF(COUNTBLANK(B739:AB739)&lt;&gt;COLUMNS(B739:AB739),738,"")</f>
        <v/>
      </c>
      <c r="D739" s="1" t="str">
        <f t="shared" si="77"/>
        <v/>
      </c>
      <c r="G739" s="2" t="str">
        <f t="shared" si="78"/>
        <v/>
      </c>
      <c r="H739" s="1" t="str">
        <f t="shared" si="79"/>
        <v/>
      </c>
      <c r="S739" s="1" t="str">
        <f t="shared" si="80"/>
        <v/>
      </c>
      <c r="U739" s="1" t="str">
        <f t="shared" si="81"/>
        <v/>
      </c>
      <c r="X739" s="1" t="str">
        <f t="shared" si="82"/>
        <v/>
      </c>
      <c r="AA739" s="1" t="str">
        <f t="shared" si="83"/>
        <v/>
      </c>
    </row>
    <row r="740" spans="1:27" x14ac:dyDescent="0.2">
      <c r="A740" t="str">
        <f>IF(COUNTBLANK(B740:AB740)&lt;&gt;COLUMNS(B740:AB740),739,"")</f>
        <v/>
      </c>
      <c r="D740" s="1" t="str">
        <f t="shared" si="77"/>
        <v/>
      </c>
      <c r="G740" s="2" t="str">
        <f t="shared" si="78"/>
        <v/>
      </c>
      <c r="H740" s="1" t="str">
        <f t="shared" si="79"/>
        <v/>
      </c>
      <c r="S740" s="1" t="str">
        <f t="shared" si="80"/>
        <v/>
      </c>
      <c r="U740" s="1" t="str">
        <f t="shared" si="81"/>
        <v/>
      </c>
      <c r="X740" s="1" t="str">
        <f t="shared" si="82"/>
        <v/>
      </c>
      <c r="AA740" s="1" t="str">
        <f t="shared" si="83"/>
        <v/>
      </c>
    </row>
    <row r="741" spans="1:27" x14ac:dyDescent="0.2">
      <c r="A741" t="str">
        <f>IF(COUNTBLANK(B741:AB741)&lt;&gt;COLUMNS(B741:AB741),740,"")</f>
        <v/>
      </c>
      <c r="D741" s="1" t="str">
        <f t="shared" si="77"/>
        <v/>
      </c>
      <c r="G741" s="2" t="str">
        <f t="shared" si="78"/>
        <v/>
      </c>
      <c r="H741" s="1" t="str">
        <f t="shared" si="79"/>
        <v/>
      </c>
      <c r="S741" s="1" t="str">
        <f t="shared" si="80"/>
        <v/>
      </c>
      <c r="U741" s="1" t="str">
        <f t="shared" si="81"/>
        <v/>
      </c>
      <c r="X741" s="1" t="str">
        <f t="shared" si="82"/>
        <v/>
      </c>
      <c r="AA741" s="1" t="str">
        <f t="shared" si="83"/>
        <v/>
      </c>
    </row>
    <row r="742" spans="1:27" x14ac:dyDescent="0.2">
      <c r="A742" t="str">
        <f>IF(COUNTBLANK(B742:AB742)&lt;&gt;COLUMNS(B742:AB742),741,"")</f>
        <v/>
      </c>
      <c r="D742" s="1" t="str">
        <f t="shared" si="77"/>
        <v/>
      </c>
      <c r="G742" s="2" t="str">
        <f t="shared" si="78"/>
        <v/>
      </c>
      <c r="H742" s="1" t="str">
        <f t="shared" si="79"/>
        <v/>
      </c>
      <c r="S742" s="1" t="str">
        <f t="shared" si="80"/>
        <v/>
      </c>
      <c r="U742" s="1" t="str">
        <f t="shared" si="81"/>
        <v/>
      </c>
      <c r="X742" s="1" t="str">
        <f t="shared" si="82"/>
        <v/>
      </c>
      <c r="AA742" s="1" t="str">
        <f t="shared" si="83"/>
        <v/>
      </c>
    </row>
    <row r="743" spans="1:27" x14ac:dyDescent="0.2">
      <c r="A743" t="str">
        <f>IF(COUNTBLANK(B743:AB743)&lt;&gt;COLUMNS(B743:AB743),742,"")</f>
        <v/>
      </c>
      <c r="D743" s="1" t="str">
        <f t="shared" si="77"/>
        <v/>
      </c>
      <c r="G743" s="2" t="str">
        <f t="shared" si="78"/>
        <v/>
      </c>
      <c r="H743" s="1" t="str">
        <f t="shared" si="79"/>
        <v/>
      </c>
      <c r="S743" s="1" t="str">
        <f t="shared" si="80"/>
        <v/>
      </c>
      <c r="U743" s="1" t="str">
        <f t="shared" si="81"/>
        <v/>
      </c>
      <c r="X743" s="1" t="str">
        <f t="shared" si="82"/>
        <v/>
      </c>
      <c r="AA743" s="1" t="str">
        <f t="shared" si="83"/>
        <v/>
      </c>
    </row>
    <row r="744" spans="1:27" x14ac:dyDescent="0.2">
      <c r="A744" t="str">
        <f>IF(COUNTBLANK(B744:AB744)&lt;&gt;COLUMNS(B744:AB744),743,"")</f>
        <v/>
      </c>
      <c r="D744" s="1" t="str">
        <f t="shared" si="77"/>
        <v/>
      </c>
      <c r="G744" s="2" t="str">
        <f t="shared" si="78"/>
        <v/>
      </c>
      <c r="H744" s="1" t="str">
        <f t="shared" si="79"/>
        <v/>
      </c>
      <c r="S744" s="1" t="str">
        <f t="shared" si="80"/>
        <v/>
      </c>
      <c r="U744" s="1" t="str">
        <f t="shared" si="81"/>
        <v/>
      </c>
      <c r="X744" s="1" t="str">
        <f t="shared" si="82"/>
        <v/>
      </c>
      <c r="AA744" s="1" t="str">
        <f t="shared" si="83"/>
        <v/>
      </c>
    </row>
    <row r="745" spans="1:27" x14ac:dyDescent="0.2">
      <c r="A745" t="str">
        <f>IF(COUNTBLANK(B745:AB745)&lt;&gt;COLUMNS(B745:AB745),744,"")</f>
        <v/>
      </c>
      <c r="D745" s="1" t="str">
        <f t="shared" si="77"/>
        <v/>
      </c>
      <c r="G745" s="2" t="str">
        <f t="shared" si="78"/>
        <v/>
      </c>
      <c r="H745" s="1" t="str">
        <f t="shared" si="79"/>
        <v/>
      </c>
      <c r="S745" s="1" t="str">
        <f t="shared" si="80"/>
        <v/>
      </c>
      <c r="U745" s="1" t="str">
        <f t="shared" si="81"/>
        <v/>
      </c>
      <c r="X745" s="1" t="str">
        <f t="shared" si="82"/>
        <v/>
      </c>
      <c r="AA745" s="1" t="str">
        <f t="shared" si="83"/>
        <v/>
      </c>
    </row>
    <row r="746" spans="1:27" x14ac:dyDescent="0.2">
      <c r="A746" t="str">
        <f>IF(COUNTBLANK(B746:AB746)&lt;&gt;COLUMNS(B746:AB746),745,"")</f>
        <v/>
      </c>
      <c r="D746" s="1" t="str">
        <f t="shared" si="77"/>
        <v/>
      </c>
      <c r="G746" s="2" t="str">
        <f t="shared" si="78"/>
        <v/>
      </c>
      <c r="H746" s="1" t="str">
        <f t="shared" si="79"/>
        <v/>
      </c>
      <c r="S746" s="1" t="str">
        <f t="shared" si="80"/>
        <v/>
      </c>
      <c r="U746" s="1" t="str">
        <f t="shared" si="81"/>
        <v/>
      </c>
      <c r="X746" s="1" t="str">
        <f t="shared" si="82"/>
        <v/>
      </c>
      <c r="AA746" s="1" t="str">
        <f t="shared" si="83"/>
        <v/>
      </c>
    </row>
    <row r="747" spans="1:27" x14ac:dyDescent="0.2">
      <c r="A747" t="str">
        <f>IF(COUNTBLANK(B747:AB747)&lt;&gt;COLUMNS(B747:AB747),746,"")</f>
        <v/>
      </c>
      <c r="D747" s="1" t="str">
        <f t="shared" si="77"/>
        <v/>
      </c>
      <c r="G747" s="2" t="str">
        <f t="shared" si="78"/>
        <v/>
      </c>
      <c r="H747" s="1" t="str">
        <f t="shared" si="79"/>
        <v/>
      </c>
      <c r="S747" s="1" t="str">
        <f t="shared" si="80"/>
        <v/>
      </c>
      <c r="U747" s="1" t="str">
        <f t="shared" si="81"/>
        <v/>
      </c>
      <c r="X747" s="1" t="str">
        <f t="shared" si="82"/>
        <v/>
      </c>
      <c r="AA747" s="1" t="str">
        <f t="shared" si="83"/>
        <v/>
      </c>
    </row>
    <row r="748" spans="1:27" x14ac:dyDescent="0.2">
      <c r="A748" t="str">
        <f>IF(COUNTBLANK(B748:AB748)&lt;&gt;COLUMNS(B748:AB748),747,"")</f>
        <v/>
      </c>
      <c r="D748" s="1" t="str">
        <f t="shared" si="77"/>
        <v/>
      </c>
      <c r="G748" s="2" t="str">
        <f t="shared" si="78"/>
        <v/>
      </c>
      <c r="H748" s="1" t="str">
        <f t="shared" si="79"/>
        <v/>
      </c>
      <c r="S748" s="1" t="str">
        <f t="shared" si="80"/>
        <v/>
      </c>
      <c r="U748" s="1" t="str">
        <f t="shared" si="81"/>
        <v/>
      </c>
      <c r="X748" s="1" t="str">
        <f t="shared" si="82"/>
        <v/>
      </c>
      <c r="AA748" s="1" t="str">
        <f t="shared" si="83"/>
        <v/>
      </c>
    </row>
    <row r="749" spans="1:27" x14ac:dyDescent="0.2">
      <c r="A749" t="str">
        <f>IF(COUNTBLANK(B749:AB749)&lt;&gt;COLUMNS(B749:AB749),748,"")</f>
        <v/>
      </c>
      <c r="D749" s="1" t="str">
        <f t="shared" si="77"/>
        <v/>
      </c>
      <c r="G749" s="2" t="str">
        <f t="shared" si="78"/>
        <v/>
      </c>
      <c r="H749" s="1" t="str">
        <f t="shared" si="79"/>
        <v/>
      </c>
      <c r="S749" s="1" t="str">
        <f t="shared" si="80"/>
        <v/>
      </c>
      <c r="U749" s="1" t="str">
        <f t="shared" si="81"/>
        <v/>
      </c>
      <c r="X749" s="1" t="str">
        <f t="shared" si="82"/>
        <v/>
      </c>
      <c r="AA749" s="1" t="str">
        <f t="shared" si="83"/>
        <v/>
      </c>
    </row>
    <row r="750" spans="1:27" x14ac:dyDescent="0.2">
      <c r="A750" t="str">
        <f>IF(COUNTBLANK(B750:AB750)&lt;&gt;COLUMNS(B750:AB750),749,"")</f>
        <v/>
      </c>
      <c r="D750" s="1" t="str">
        <f t="shared" si="77"/>
        <v/>
      </c>
      <c r="G750" s="2" t="str">
        <f t="shared" si="78"/>
        <v/>
      </c>
      <c r="H750" s="1" t="str">
        <f t="shared" si="79"/>
        <v/>
      </c>
      <c r="S750" s="1" t="str">
        <f t="shared" si="80"/>
        <v/>
      </c>
      <c r="U750" s="1" t="str">
        <f t="shared" si="81"/>
        <v/>
      </c>
      <c r="X750" s="1" t="str">
        <f t="shared" si="82"/>
        <v/>
      </c>
      <c r="AA750" s="1" t="str">
        <f t="shared" si="83"/>
        <v/>
      </c>
    </row>
    <row r="751" spans="1:27" x14ac:dyDescent="0.2">
      <c r="A751" t="str">
        <f>IF(COUNTBLANK(B751:AB751)&lt;&gt;COLUMNS(B751:AB751),750,"")</f>
        <v/>
      </c>
      <c r="D751" s="1" t="str">
        <f t="shared" si="77"/>
        <v/>
      </c>
      <c r="G751" s="2" t="str">
        <f t="shared" si="78"/>
        <v/>
      </c>
      <c r="H751" s="1" t="str">
        <f t="shared" si="79"/>
        <v/>
      </c>
      <c r="S751" s="1" t="str">
        <f t="shared" si="80"/>
        <v/>
      </c>
      <c r="U751" s="1" t="str">
        <f t="shared" si="81"/>
        <v/>
      </c>
      <c r="X751" s="1" t="str">
        <f t="shared" si="82"/>
        <v/>
      </c>
      <c r="AA751" s="1" t="str">
        <f t="shared" si="83"/>
        <v/>
      </c>
    </row>
    <row r="752" spans="1:27" x14ac:dyDescent="0.2">
      <c r="A752" t="str">
        <f>IF(COUNTBLANK(B752:AB752)&lt;&gt;COLUMNS(B752:AB752),751,"")</f>
        <v/>
      </c>
      <c r="D752" s="1" t="str">
        <f t="shared" si="77"/>
        <v/>
      </c>
      <c r="G752" s="2" t="str">
        <f t="shared" si="78"/>
        <v/>
      </c>
      <c r="H752" s="1" t="str">
        <f t="shared" si="79"/>
        <v/>
      </c>
      <c r="S752" s="1" t="str">
        <f t="shared" si="80"/>
        <v/>
      </c>
      <c r="U752" s="1" t="str">
        <f t="shared" si="81"/>
        <v/>
      </c>
      <c r="X752" s="1" t="str">
        <f t="shared" si="82"/>
        <v/>
      </c>
      <c r="AA752" s="1" t="str">
        <f t="shared" si="83"/>
        <v/>
      </c>
    </row>
    <row r="753" spans="1:27" x14ac:dyDescent="0.2">
      <c r="A753" t="str">
        <f>IF(COUNTBLANK(B753:AB753)&lt;&gt;COLUMNS(B753:AB753),752,"")</f>
        <v/>
      </c>
      <c r="D753" s="1" t="str">
        <f t="shared" si="77"/>
        <v/>
      </c>
      <c r="G753" s="2" t="str">
        <f t="shared" si="78"/>
        <v/>
      </c>
      <c r="H753" s="1" t="str">
        <f t="shared" si="79"/>
        <v/>
      </c>
      <c r="S753" s="1" t="str">
        <f t="shared" si="80"/>
        <v/>
      </c>
      <c r="U753" s="1" t="str">
        <f t="shared" si="81"/>
        <v/>
      </c>
      <c r="X753" s="1" t="str">
        <f t="shared" si="82"/>
        <v/>
      </c>
      <c r="AA753" s="1" t="str">
        <f t="shared" si="83"/>
        <v/>
      </c>
    </row>
    <row r="754" spans="1:27" x14ac:dyDescent="0.2">
      <c r="A754" t="str">
        <f>IF(COUNTBLANK(B754:AB754)&lt;&gt;COLUMNS(B754:AB754),753,"")</f>
        <v/>
      </c>
      <c r="D754" s="1" t="str">
        <f t="shared" si="77"/>
        <v/>
      </c>
      <c r="G754" s="2" t="str">
        <f t="shared" si="78"/>
        <v/>
      </c>
      <c r="H754" s="1" t="str">
        <f t="shared" si="79"/>
        <v/>
      </c>
      <c r="S754" s="1" t="str">
        <f t="shared" si="80"/>
        <v/>
      </c>
      <c r="U754" s="1" t="str">
        <f t="shared" si="81"/>
        <v/>
      </c>
      <c r="X754" s="1" t="str">
        <f t="shared" si="82"/>
        <v/>
      </c>
      <c r="AA754" s="1" t="str">
        <f t="shared" si="83"/>
        <v/>
      </c>
    </row>
    <row r="755" spans="1:27" x14ac:dyDescent="0.2">
      <c r="A755" t="str">
        <f>IF(COUNTBLANK(B755:AB755)&lt;&gt;COLUMNS(B755:AB755),754,"")</f>
        <v/>
      </c>
      <c r="D755" s="1" t="str">
        <f t="shared" si="77"/>
        <v/>
      </c>
      <c r="G755" s="2" t="str">
        <f t="shared" si="78"/>
        <v/>
      </c>
      <c r="H755" s="1" t="str">
        <f t="shared" si="79"/>
        <v/>
      </c>
      <c r="S755" s="1" t="str">
        <f t="shared" si="80"/>
        <v/>
      </c>
      <c r="U755" s="1" t="str">
        <f t="shared" si="81"/>
        <v/>
      </c>
      <c r="X755" s="1" t="str">
        <f t="shared" si="82"/>
        <v/>
      </c>
      <c r="AA755" s="1" t="str">
        <f t="shared" si="83"/>
        <v/>
      </c>
    </row>
    <row r="756" spans="1:27" x14ac:dyDescent="0.2">
      <c r="A756" t="str">
        <f>IF(COUNTBLANK(B756:AB756)&lt;&gt;COLUMNS(B756:AB756),755,"")</f>
        <v/>
      </c>
      <c r="D756" s="1" t="str">
        <f t="shared" si="77"/>
        <v/>
      </c>
      <c r="G756" s="2" t="str">
        <f t="shared" si="78"/>
        <v/>
      </c>
      <c r="H756" s="1" t="str">
        <f t="shared" si="79"/>
        <v/>
      </c>
      <c r="S756" s="1" t="str">
        <f t="shared" si="80"/>
        <v/>
      </c>
      <c r="U756" s="1" t="str">
        <f t="shared" si="81"/>
        <v/>
      </c>
      <c r="X756" s="1" t="str">
        <f t="shared" si="82"/>
        <v/>
      </c>
      <c r="AA756" s="1" t="str">
        <f t="shared" si="83"/>
        <v/>
      </c>
    </row>
    <row r="757" spans="1:27" x14ac:dyDescent="0.2">
      <c r="A757" t="str">
        <f>IF(COUNTBLANK(B757:AB757)&lt;&gt;COLUMNS(B757:AB757),756,"")</f>
        <v/>
      </c>
      <c r="D757" s="1" t="str">
        <f t="shared" si="77"/>
        <v/>
      </c>
      <c r="G757" s="2" t="str">
        <f t="shared" si="78"/>
        <v/>
      </c>
      <c r="H757" s="1" t="str">
        <f t="shared" si="79"/>
        <v/>
      </c>
      <c r="S757" s="1" t="str">
        <f t="shared" si="80"/>
        <v/>
      </c>
      <c r="U757" s="1" t="str">
        <f t="shared" si="81"/>
        <v/>
      </c>
      <c r="X757" s="1" t="str">
        <f t="shared" si="82"/>
        <v/>
      </c>
      <c r="AA757" s="1" t="str">
        <f t="shared" si="83"/>
        <v/>
      </c>
    </row>
    <row r="758" spans="1:27" x14ac:dyDescent="0.2">
      <c r="A758" t="str">
        <f>IF(COUNTBLANK(B758:AB758)&lt;&gt;COLUMNS(B758:AB758),757,"")</f>
        <v/>
      </c>
      <c r="D758" s="1" t="str">
        <f t="shared" si="77"/>
        <v/>
      </c>
      <c r="G758" s="2" t="str">
        <f t="shared" si="78"/>
        <v/>
      </c>
      <c r="H758" s="1" t="str">
        <f t="shared" si="79"/>
        <v/>
      </c>
      <c r="S758" s="1" t="str">
        <f t="shared" si="80"/>
        <v/>
      </c>
      <c r="U758" s="1" t="str">
        <f t="shared" si="81"/>
        <v/>
      </c>
      <c r="X758" s="1" t="str">
        <f t="shared" si="82"/>
        <v/>
      </c>
      <c r="AA758" s="1" t="str">
        <f t="shared" si="83"/>
        <v/>
      </c>
    </row>
    <row r="759" spans="1:27" x14ac:dyDescent="0.2">
      <c r="A759" t="str">
        <f>IF(COUNTBLANK(B759:AB759)&lt;&gt;COLUMNS(B759:AB759),758,"")</f>
        <v/>
      </c>
      <c r="D759" s="1" t="str">
        <f t="shared" si="77"/>
        <v/>
      </c>
      <c r="G759" s="2" t="str">
        <f t="shared" si="78"/>
        <v/>
      </c>
      <c r="H759" s="1" t="str">
        <f t="shared" si="79"/>
        <v/>
      </c>
      <c r="S759" s="1" t="str">
        <f t="shared" si="80"/>
        <v/>
      </c>
      <c r="U759" s="1" t="str">
        <f t="shared" si="81"/>
        <v/>
      </c>
      <c r="X759" s="1" t="str">
        <f t="shared" si="82"/>
        <v/>
      </c>
      <c r="AA759" s="1" t="str">
        <f t="shared" si="83"/>
        <v/>
      </c>
    </row>
    <row r="760" spans="1:27" x14ac:dyDescent="0.2">
      <c r="A760" t="str">
        <f>IF(COUNTBLANK(B760:AB760)&lt;&gt;COLUMNS(B760:AB760),759,"")</f>
        <v/>
      </c>
      <c r="D760" s="1" t="str">
        <f t="shared" si="77"/>
        <v/>
      </c>
      <c r="G760" s="2" t="str">
        <f t="shared" si="78"/>
        <v/>
      </c>
      <c r="H760" s="1" t="str">
        <f t="shared" si="79"/>
        <v/>
      </c>
      <c r="S760" s="1" t="str">
        <f t="shared" si="80"/>
        <v/>
      </c>
      <c r="U760" s="1" t="str">
        <f t="shared" si="81"/>
        <v/>
      </c>
      <c r="X760" s="1" t="str">
        <f t="shared" si="82"/>
        <v/>
      </c>
      <c r="AA760" s="1" t="str">
        <f t="shared" si="83"/>
        <v/>
      </c>
    </row>
    <row r="761" spans="1:27" x14ac:dyDescent="0.2">
      <c r="A761" t="str">
        <f>IF(COUNTBLANK(B761:AB761)&lt;&gt;COLUMNS(B761:AB761),760,"")</f>
        <v/>
      </c>
      <c r="D761" s="1" t="str">
        <f t="shared" si="77"/>
        <v/>
      </c>
      <c r="G761" s="2" t="str">
        <f t="shared" si="78"/>
        <v/>
      </c>
      <c r="H761" s="1" t="str">
        <f t="shared" si="79"/>
        <v/>
      </c>
      <c r="S761" s="1" t="str">
        <f t="shared" si="80"/>
        <v/>
      </c>
      <c r="U761" s="1" t="str">
        <f t="shared" si="81"/>
        <v/>
      </c>
      <c r="X761" s="1" t="str">
        <f t="shared" si="82"/>
        <v/>
      </c>
      <c r="AA761" s="1" t="str">
        <f t="shared" si="83"/>
        <v/>
      </c>
    </row>
    <row r="762" spans="1:27" x14ac:dyDescent="0.2">
      <c r="A762" t="str">
        <f>IF(COUNTBLANK(B762:AB762)&lt;&gt;COLUMNS(B762:AB762),761,"")</f>
        <v/>
      </c>
      <c r="D762" s="1" t="str">
        <f t="shared" si="77"/>
        <v/>
      </c>
      <c r="G762" s="2" t="str">
        <f t="shared" si="78"/>
        <v/>
      </c>
      <c r="H762" s="1" t="str">
        <f t="shared" si="79"/>
        <v/>
      </c>
      <c r="S762" s="1" t="str">
        <f t="shared" si="80"/>
        <v/>
      </c>
      <c r="U762" s="1" t="str">
        <f t="shared" si="81"/>
        <v/>
      </c>
      <c r="X762" s="1" t="str">
        <f t="shared" si="82"/>
        <v/>
      </c>
      <c r="AA762" s="1" t="str">
        <f t="shared" si="83"/>
        <v/>
      </c>
    </row>
    <row r="763" spans="1:27" x14ac:dyDescent="0.2">
      <c r="A763" t="str">
        <f>IF(COUNTBLANK(B763:AB763)&lt;&gt;COLUMNS(B763:AB763),762,"")</f>
        <v/>
      </c>
      <c r="D763" s="1" t="str">
        <f t="shared" si="77"/>
        <v/>
      </c>
      <c r="G763" s="2" t="str">
        <f t="shared" si="78"/>
        <v/>
      </c>
      <c r="H763" s="1" t="str">
        <f t="shared" si="79"/>
        <v/>
      </c>
      <c r="S763" s="1" t="str">
        <f t="shared" si="80"/>
        <v/>
      </c>
      <c r="U763" s="1" t="str">
        <f t="shared" si="81"/>
        <v/>
      </c>
      <c r="X763" s="1" t="str">
        <f t="shared" si="82"/>
        <v/>
      </c>
      <c r="AA763" s="1" t="str">
        <f t="shared" si="83"/>
        <v/>
      </c>
    </row>
    <row r="764" spans="1:27" x14ac:dyDescent="0.2">
      <c r="A764" t="str">
        <f>IF(COUNTBLANK(B764:AB764)&lt;&gt;COLUMNS(B764:AB764),763,"")</f>
        <v/>
      </c>
      <c r="D764" s="1" t="str">
        <f t="shared" si="77"/>
        <v/>
      </c>
      <c r="G764" s="2" t="str">
        <f t="shared" si="78"/>
        <v/>
      </c>
      <c r="H764" s="1" t="str">
        <f t="shared" si="79"/>
        <v/>
      </c>
      <c r="S764" s="1" t="str">
        <f t="shared" si="80"/>
        <v/>
      </c>
      <c r="U764" s="1" t="str">
        <f t="shared" si="81"/>
        <v/>
      </c>
      <c r="X764" s="1" t="str">
        <f t="shared" si="82"/>
        <v/>
      </c>
      <c r="AA764" s="1" t="str">
        <f t="shared" si="83"/>
        <v/>
      </c>
    </row>
    <row r="765" spans="1:27" x14ac:dyDescent="0.2">
      <c r="A765" t="str">
        <f>IF(COUNTBLANK(B765:AB765)&lt;&gt;COLUMNS(B765:AB765),764,"")</f>
        <v/>
      </c>
      <c r="D765" s="1" t="str">
        <f t="shared" si="77"/>
        <v/>
      </c>
      <c r="G765" s="2" t="str">
        <f t="shared" si="78"/>
        <v/>
      </c>
      <c r="H765" s="1" t="str">
        <f t="shared" si="79"/>
        <v/>
      </c>
      <c r="S765" s="1" t="str">
        <f t="shared" si="80"/>
        <v/>
      </c>
      <c r="U765" s="1" t="str">
        <f t="shared" si="81"/>
        <v/>
      </c>
      <c r="X765" s="1" t="str">
        <f t="shared" si="82"/>
        <v/>
      </c>
      <c r="AA765" s="1" t="str">
        <f t="shared" si="83"/>
        <v/>
      </c>
    </row>
    <row r="766" spans="1:27" x14ac:dyDescent="0.2">
      <c r="A766" t="str">
        <f>IF(COUNTBLANK(B766:AB766)&lt;&gt;COLUMNS(B766:AB766),765,"")</f>
        <v/>
      </c>
      <c r="D766" s="1" t="str">
        <f t="shared" si="77"/>
        <v/>
      </c>
      <c r="G766" s="2" t="str">
        <f t="shared" si="78"/>
        <v/>
      </c>
      <c r="H766" s="1" t="str">
        <f t="shared" si="79"/>
        <v/>
      </c>
      <c r="S766" s="1" t="str">
        <f t="shared" si="80"/>
        <v/>
      </c>
      <c r="U766" s="1" t="str">
        <f t="shared" si="81"/>
        <v/>
      </c>
      <c r="X766" s="1" t="str">
        <f t="shared" si="82"/>
        <v/>
      </c>
      <c r="AA766" s="1" t="str">
        <f t="shared" si="83"/>
        <v/>
      </c>
    </row>
    <row r="767" spans="1:27" x14ac:dyDescent="0.2">
      <c r="A767" t="str">
        <f>IF(COUNTBLANK(B767:AB767)&lt;&gt;COLUMNS(B767:AB767),766,"")</f>
        <v/>
      </c>
      <c r="D767" s="1" t="str">
        <f t="shared" si="77"/>
        <v/>
      </c>
      <c r="G767" s="2" t="str">
        <f t="shared" si="78"/>
        <v/>
      </c>
      <c r="H767" s="1" t="str">
        <f t="shared" si="79"/>
        <v/>
      </c>
      <c r="S767" s="1" t="str">
        <f t="shared" si="80"/>
        <v/>
      </c>
      <c r="U767" s="1" t="str">
        <f t="shared" si="81"/>
        <v/>
      </c>
      <c r="X767" s="1" t="str">
        <f t="shared" si="82"/>
        <v/>
      </c>
      <c r="AA767" s="1" t="str">
        <f t="shared" si="83"/>
        <v/>
      </c>
    </row>
    <row r="768" spans="1:27" x14ac:dyDescent="0.2">
      <c r="A768" t="str">
        <f>IF(COUNTBLANK(B768:AB768)&lt;&gt;COLUMNS(B768:AB768),767,"")</f>
        <v/>
      </c>
      <c r="D768" s="1" t="str">
        <f t="shared" si="77"/>
        <v/>
      </c>
      <c r="G768" s="2" t="str">
        <f t="shared" si="78"/>
        <v/>
      </c>
      <c r="H768" s="1" t="str">
        <f t="shared" si="79"/>
        <v/>
      </c>
      <c r="S768" s="1" t="str">
        <f t="shared" si="80"/>
        <v/>
      </c>
      <c r="U768" s="1" t="str">
        <f t="shared" si="81"/>
        <v/>
      </c>
      <c r="X768" s="1" t="str">
        <f t="shared" si="82"/>
        <v/>
      </c>
      <c r="AA768" s="1" t="str">
        <f t="shared" si="83"/>
        <v/>
      </c>
    </row>
    <row r="769" spans="1:27" x14ac:dyDescent="0.2">
      <c r="A769" t="str">
        <f>IF(COUNTBLANK(B769:AB769)&lt;&gt;COLUMNS(B769:AB769),768,"")</f>
        <v/>
      </c>
      <c r="D769" s="1" t="str">
        <f t="shared" si="77"/>
        <v/>
      </c>
      <c r="G769" s="2" t="str">
        <f t="shared" si="78"/>
        <v/>
      </c>
      <c r="H769" s="1" t="str">
        <f t="shared" si="79"/>
        <v/>
      </c>
      <c r="S769" s="1" t="str">
        <f t="shared" si="80"/>
        <v/>
      </c>
      <c r="U769" s="1" t="str">
        <f t="shared" si="81"/>
        <v/>
      </c>
      <c r="X769" s="1" t="str">
        <f t="shared" si="82"/>
        <v/>
      </c>
      <c r="AA769" s="1" t="str">
        <f t="shared" si="83"/>
        <v/>
      </c>
    </row>
    <row r="770" spans="1:27" x14ac:dyDescent="0.2">
      <c r="A770" t="str">
        <f>IF(COUNTBLANK(B770:AB770)&lt;&gt;COLUMNS(B770:AB770),769,"")</f>
        <v/>
      </c>
      <c r="D770" s="1" t="str">
        <f t="shared" ref="D770:D833" si="84">IF(B770="", "", "Not applicable")</f>
        <v/>
      </c>
      <c r="G770" s="2" t="str">
        <f t="shared" ref="G770:G833" si="85">IF(B770="", "", "missing: not provided")</f>
        <v/>
      </c>
      <c r="H770" s="1" t="str">
        <f t="shared" ref="H770:H833" si="86">IF(B770="", "", "meters")</f>
        <v/>
      </c>
      <c r="S770" s="1" t="str">
        <f t="shared" ref="S770:S833" si="87">IF(B770="", "", "Decimal degrees")</f>
        <v/>
      </c>
      <c r="U770" s="1" t="str">
        <f t="shared" ref="U770:U833" si="88">IF(B770="", "", "Decimal degrees")</f>
        <v/>
      </c>
      <c r="X770" s="1" t="str">
        <f t="shared" ref="X770:X833" si="89">IF(B770="", "", "other")</f>
        <v/>
      </c>
      <c r="AA770" s="1" t="str">
        <f t="shared" ref="AA770:AA833" si="90">IF(B770="", "", "Not applicable")</f>
        <v/>
      </c>
    </row>
    <row r="771" spans="1:27" x14ac:dyDescent="0.2">
      <c r="A771" t="str">
        <f>IF(COUNTBLANK(B771:AB771)&lt;&gt;COLUMNS(B771:AB771),770,"")</f>
        <v/>
      </c>
      <c r="D771" s="1" t="str">
        <f t="shared" si="84"/>
        <v/>
      </c>
      <c r="G771" s="2" t="str">
        <f t="shared" si="85"/>
        <v/>
      </c>
      <c r="H771" s="1" t="str">
        <f t="shared" si="86"/>
        <v/>
      </c>
      <c r="S771" s="1" t="str">
        <f t="shared" si="87"/>
        <v/>
      </c>
      <c r="U771" s="1" t="str">
        <f t="shared" si="88"/>
        <v/>
      </c>
      <c r="X771" s="1" t="str">
        <f t="shared" si="89"/>
        <v/>
      </c>
      <c r="AA771" s="1" t="str">
        <f t="shared" si="90"/>
        <v/>
      </c>
    </row>
    <row r="772" spans="1:27" x14ac:dyDescent="0.2">
      <c r="A772" t="str">
        <f>IF(COUNTBLANK(B772:AB772)&lt;&gt;COLUMNS(B772:AB772),771,"")</f>
        <v/>
      </c>
      <c r="D772" s="1" t="str">
        <f t="shared" si="84"/>
        <v/>
      </c>
      <c r="G772" s="2" t="str">
        <f t="shared" si="85"/>
        <v/>
      </c>
      <c r="H772" s="1" t="str">
        <f t="shared" si="86"/>
        <v/>
      </c>
      <c r="S772" s="1" t="str">
        <f t="shared" si="87"/>
        <v/>
      </c>
      <c r="U772" s="1" t="str">
        <f t="shared" si="88"/>
        <v/>
      </c>
      <c r="X772" s="1" t="str">
        <f t="shared" si="89"/>
        <v/>
      </c>
      <c r="AA772" s="1" t="str">
        <f t="shared" si="90"/>
        <v/>
      </c>
    </row>
    <row r="773" spans="1:27" x14ac:dyDescent="0.2">
      <c r="A773" t="str">
        <f>IF(COUNTBLANK(B773:AB773)&lt;&gt;COLUMNS(B773:AB773),772,"")</f>
        <v/>
      </c>
      <c r="D773" s="1" t="str">
        <f t="shared" si="84"/>
        <v/>
      </c>
      <c r="G773" s="2" t="str">
        <f t="shared" si="85"/>
        <v/>
      </c>
      <c r="H773" s="1" t="str">
        <f t="shared" si="86"/>
        <v/>
      </c>
      <c r="S773" s="1" t="str">
        <f t="shared" si="87"/>
        <v/>
      </c>
      <c r="U773" s="1" t="str">
        <f t="shared" si="88"/>
        <v/>
      </c>
      <c r="X773" s="1" t="str">
        <f t="shared" si="89"/>
        <v/>
      </c>
      <c r="AA773" s="1" t="str">
        <f t="shared" si="90"/>
        <v/>
      </c>
    </row>
    <row r="774" spans="1:27" x14ac:dyDescent="0.2">
      <c r="A774" t="str">
        <f>IF(COUNTBLANK(B774:AB774)&lt;&gt;COLUMNS(B774:AB774),773,"")</f>
        <v/>
      </c>
      <c r="D774" s="1" t="str">
        <f t="shared" si="84"/>
        <v/>
      </c>
      <c r="G774" s="2" t="str">
        <f t="shared" si="85"/>
        <v/>
      </c>
      <c r="H774" s="1" t="str">
        <f t="shared" si="86"/>
        <v/>
      </c>
      <c r="S774" s="1" t="str">
        <f t="shared" si="87"/>
        <v/>
      </c>
      <c r="U774" s="1" t="str">
        <f t="shared" si="88"/>
        <v/>
      </c>
      <c r="X774" s="1" t="str">
        <f t="shared" si="89"/>
        <v/>
      </c>
      <c r="AA774" s="1" t="str">
        <f t="shared" si="90"/>
        <v/>
      </c>
    </row>
    <row r="775" spans="1:27" x14ac:dyDescent="0.2">
      <c r="A775" t="str">
        <f>IF(COUNTBLANK(B775:AB775)&lt;&gt;COLUMNS(B775:AB775),774,"")</f>
        <v/>
      </c>
      <c r="D775" s="1" t="str">
        <f t="shared" si="84"/>
        <v/>
      </c>
      <c r="G775" s="2" t="str">
        <f t="shared" si="85"/>
        <v/>
      </c>
      <c r="H775" s="1" t="str">
        <f t="shared" si="86"/>
        <v/>
      </c>
      <c r="S775" s="1" t="str">
        <f t="shared" si="87"/>
        <v/>
      </c>
      <c r="U775" s="1" t="str">
        <f t="shared" si="88"/>
        <v/>
      </c>
      <c r="X775" s="1" t="str">
        <f t="shared" si="89"/>
        <v/>
      </c>
      <c r="AA775" s="1" t="str">
        <f t="shared" si="90"/>
        <v/>
      </c>
    </row>
    <row r="776" spans="1:27" x14ac:dyDescent="0.2">
      <c r="A776" t="str">
        <f>IF(COUNTBLANK(B776:AB776)&lt;&gt;COLUMNS(B776:AB776),775,"")</f>
        <v/>
      </c>
      <c r="D776" s="1" t="str">
        <f t="shared" si="84"/>
        <v/>
      </c>
      <c r="G776" s="2" t="str">
        <f t="shared" si="85"/>
        <v/>
      </c>
      <c r="H776" s="1" t="str">
        <f t="shared" si="86"/>
        <v/>
      </c>
      <c r="S776" s="1" t="str">
        <f t="shared" si="87"/>
        <v/>
      </c>
      <c r="U776" s="1" t="str">
        <f t="shared" si="88"/>
        <v/>
      </c>
      <c r="X776" s="1" t="str">
        <f t="shared" si="89"/>
        <v/>
      </c>
      <c r="AA776" s="1" t="str">
        <f t="shared" si="90"/>
        <v/>
      </c>
    </row>
    <row r="777" spans="1:27" x14ac:dyDescent="0.2">
      <c r="A777" t="str">
        <f>IF(COUNTBLANK(B777:AB777)&lt;&gt;COLUMNS(B777:AB777),776,"")</f>
        <v/>
      </c>
      <c r="D777" s="1" t="str">
        <f t="shared" si="84"/>
        <v/>
      </c>
      <c r="G777" s="2" t="str">
        <f t="shared" si="85"/>
        <v/>
      </c>
      <c r="H777" s="1" t="str">
        <f t="shared" si="86"/>
        <v/>
      </c>
      <c r="S777" s="1" t="str">
        <f t="shared" si="87"/>
        <v/>
      </c>
      <c r="U777" s="1" t="str">
        <f t="shared" si="88"/>
        <v/>
      </c>
      <c r="X777" s="1" t="str">
        <f t="shared" si="89"/>
        <v/>
      </c>
      <c r="AA777" s="1" t="str">
        <f t="shared" si="90"/>
        <v/>
      </c>
    </row>
    <row r="778" spans="1:27" x14ac:dyDescent="0.2">
      <c r="A778" t="str">
        <f>IF(COUNTBLANK(B778:AB778)&lt;&gt;COLUMNS(B778:AB778),777,"")</f>
        <v/>
      </c>
      <c r="D778" s="1" t="str">
        <f t="shared" si="84"/>
        <v/>
      </c>
      <c r="G778" s="2" t="str">
        <f t="shared" si="85"/>
        <v/>
      </c>
      <c r="H778" s="1" t="str">
        <f t="shared" si="86"/>
        <v/>
      </c>
      <c r="S778" s="1" t="str">
        <f t="shared" si="87"/>
        <v/>
      </c>
      <c r="U778" s="1" t="str">
        <f t="shared" si="88"/>
        <v/>
      </c>
      <c r="X778" s="1" t="str">
        <f t="shared" si="89"/>
        <v/>
      </c>
      <c r="AA778" s="1" t="str">
        <f t="shared" si="90"/>
        <v/>
      </c>
    </row>
    <row r="779" spans="1:27" x14ac:dyDescent="0.2">
      <c r="A779" t="str">
        <f>IF(COUNTBLANK(B779:AB779)&lt;&gt;COLUMNS(B779:AB779),778,"")</f>
        <v/>
      </c>
      <c r="D779" s="1" t="str">
        <f t="shared" si="84"/>
        <v/>
      </c>
      <c r="G779" s="2" t="str">
        <f t="shared" si="85"/>
        <v/>
      </c>
      <c r="H779" s="1" t="str">
        <f t="shared" si="86"/>
        <v/>
      </c>
      <c r="S779" s="1" t="str">
        <f t="shared" si="87"/>
        <v/>
      </c>
      <c r="U779" s="1" t="str">
        <f t="shared" si="88"/>
        <v/>
      </c>
      <c r="X779" s="1" t="str">
        <f t="shared" si="89"/>
        <v/>
      </c>
      <c r="AA779" s="1" t="str">
        <f t="shared" si="90"/>
        <v/>
      </c>
    </row>
    <row r="780" spans="1:27" x14ac:dyDescent="0.2">
      <c r="A780" t="str">
        <f>IF(COUNTBLANK(B780:AB780)&lt;&gt;COLUMNS(B780:AB780),779,"")</f>
        <v/>
      </c>
      <c r="D780" s="1" t="str">
        <f t="shared" si="84"/>
        <v/>
      </c>
      <c r="G780" s="2" t="str">
        <f t="shared" si="85"/>
        <v/>
      </c>
      <c r="H780" s="1" t="str">
        <f t="shared" si="86"/>
        <v/>
      </c>
      <c r="S780" s="1" t="str">
        <f t="shared" si="87"/>
        <v/>
      </c>
      <c r="U780" s="1" t="str">
        <f t="shared" si="88"/>
        <v/>
      </c>
      <c r="X780" s="1" t="str">
        <f t="shared" si="89"/>
        <v/>
      </c>
      <c r="AA780" s="1" t="str">
        <f t="shared" si="90"/>
        <v/>
      </c>
    </row>
    <row r="781" spans="1:27" x14ac:dyDescent="0.2">
      <c r="A781" t="str">
        <f>IF(COUNTBLANK(B781:AB781)&lt;&gt;COLUMNS(B781:AB781),780,"")</f>
        <v/>
      </c>
      <c r="D781" s="1" t="str">
        <f t="shared" si="84"/>
        <v/>
      </c>
      <c r="G781" s="2" t="str">
        <f t="shared" si="85"/>
        <v/>
      </c>
      <c r="H781" s="1" t="str">
        <f t="shared" si="86"/>
        <v/>
      </c>
      <c r="S781" s="1" t="str">
        <f t="shared" si="87"/>
        <v/>
      </c>
      <c r="U781" s="1" t="str">
        <f t="shared" si="88"/>
        <v/>
      </c>
      <c r="X781" s="1" t="str">
        <f t="shared" si="89"/>
        <v/>
      </c>
      <c r="AA781" s="1" t="str">
        <f t="shared" si="90"/>
        <v/>
      </c>
    </row>
    <row r="782" spans="1:27" x14ac:dyDescent="0.2">
      <c r="A782" t="str">
        <f>IF(COUNTBLANK(B782:AB782)&lt;&gt;COLUMNS(B782:AB782),781,"")</f>
        <v/>
      </c>
      <c r="D782" s="1" t="str">
        <f t="shared" si="84"/>
        <v/>
      </c>
      <c r="G782" s="2" t="str">
        <f t="shared" si="85"/>
        <v/>
      </c>
      <c r="H782" s="1" t="str">
        <f t="shared" si="86"/>
        <v/>
      </c>
      <c r="S782" s="1" t="str">
        <f t="shared" si="87"/>
        <v/>
      </c>
      <c r="U782" s="1" t="str">
        <f t="shared" si="88"/>
        <v/>
      </c>
      <c r="X782" s="1" t="str">
        <f t="shared" si="89"/>
        <v/>
      </c>
      <c r="AA782" s="1" t="str">
        <f t="shared" si="90"/>
        <v/>
      </c>
    </row>
    <row r="783" spans="1:27" x14ac:dyDescent="0.2">
      <c r="A783" t="str">
        <f>IF(COUNTBLANK(B783:AB783)&lt;&gt;COLUMNS(B783:AB783),782,"")</f>
        <v/>
      </c>
      <c r="D783" s="1" t="str">
        <f t="shared" si="84"/>
        <v/>
      </c>
      <c r="G783" s="2" t="str">
        <f t="shared" si="85"/>
        <v/>
      </c>
      <c r="H783" s="1" t="str">
        <f t="shared" si="86"/>
        <v/>
      </c>
      <c r="S783" s="1" t="str">
        <f t="shared" si="87"/>
        <v/>
      </c>
      <c r="U783" s="1" t="str">
        <f t="shared" si="88"/>
        <v/>
      </c>
      <c r="X783" s="1" t="str">
        <f t="shared" si="89"/>
        <v/>
      </c>
      <c r="AA783" s="1" t="str">
        <f t="shared" si="90"/>
        <v/>
      </c>
    </row>
    <row r="784" spans="1:27" x14ac:dyDescent="0.2">
      <c r="A784" t="str">
        <f>IF(COUNTBLANK(B784:AB784)&lt;&gt;COLUMNS(B784:AB784),783,"")</f>
        <v/>
      </c>
      <c r="D784" s="1" t="str">
        <f t="shared" si="84"/>
        <v/>
      </c>
      <c r="G784" s="2" t="str">
        <f t="shared" si="85"/>
        <v/>
      </c>
      <c r="H784" s="1" t="str">
        <f t="shared" si="86"/>
        <v/>
      </c>
      <c r="S784" s="1" t="str">
        <f t="shared" si="87"/>
        <v/>
      </c>
      <c r="U784" s="1" t="str">
        <f t="shared" si="88"/>
        <v/>
      </c>
      <c r="X784" s="1" t="str">
        <f t="shared" si="89"/>
        <v/>
      </c>
      <c r="AA784" s="1" t="str">
        <f t="shared" si="90"/>
        <v/>
      </c>
    </row>
    <row r="785" spans="1:27" x14ac:dyDescent="0.2">
      <c r="A785" t="str">
        <f>IF(COUNTBLANK(B785:AB785)&lt;&gt;COLUMNS(B785:AB785),784,"")</f>
        <v/>
      </c>
      <c r="D785" s="1" t="str">
        <f t="shared" si="84"/>
        <v/>
      </c>
      <c r="G785" s="2" t="str">
        <f t="shared" si="85"/>
        <v/>
      </c>
      <c r="H785" s="1" t="str">
        <f t="shared" si="86"/>
        <v/>
      </c>
      <c r="S785" s="1" t="str">
        <f t="shared" si="87"/>
        <v/>
      </c>
      <c r="U785" s="1" t="str">
        <f t="shared" si="88"/>
        <v/>
      </c>
      <c r="X785" s="1" t="str">
        <f t="shared" si="89"/>
        <v/>
      </c>
      <c r="AA785" s="1" t="str">
        <f t="shared" si="90"/>
        <v/>
      </c>
    </row>
    <row r="786" spans="1:27" x14ac:dyDescent="0.2">
      <c r="A786" t="str">
        <f>IF(COUNTBLANK(B786:AB786)&lt;&gt;COLUMNS(B786:AB786),785,"")</f>
        <v/>
      </c>
      <c r="D786" s="1" t="str">
        <f t="shared" si="84"/>
        <v/>
      </c>
      <c r="G786" s="2" t="str">
        <f t="shared" si="85"/>
        <v/>
      </c>
      <c r="H786" s="1" t="str">
        <f t="shared" si="86"/>
        <v/>
      </c>
      <c r="S786" s="1" t="str">
        <f t="shared" si="87"/>
        <v/>
      </c>
      <c r="U786" s="1" t="str">
        <f t="shared" si="88"/>
        <v/>
      </c>
      <c r="X786" s="1" t="str">
        <f t="shared" si="89"/>
        <v/>
      </c>
      <c r="AA786" s="1" t="str">
        <f t="shared" si="90"/>
        <v/>
      </c>
    </row>
    <row r="787" spans="1:27" x14ac:dyDescent="0.2">
      <c r="A787" t="str">
        <f>IF(COUNTBLANK(B787:AB787)&lt;&gt;COLUMNS(B787:AB787),786,"")</f>
        <v/>
      </c>
      <c r="D787" s="1" t="str">
        <f t="shared" si="84"/>
        <v/>
      </c>
      <c r="G787" s="2" t="str">
        <f t="shared" si="85"/>
        <v/>
      </c>
      <c r="H787" s="1" t="str">
        <f t="shared" si="86"/>
        <v/>
      </c>
      <c r="S787" s="1" t="str">
        <f t="shared" si="87"/>
        <v/>
      </c>
      <c r="U787" s="1" t="str">
        <f t="shared" si="88"/>
        <v/>
      </c>
      <c r="X787" s="1" t="str">
        <f t="shared" si="89"/>
        <v/>
      </c>
      <c r="AA787" s="1" t="str">
        <f t="shared" si="90"/>
        <v/>
      </c>
    </row>
    <row r="788" spans="1:27" x14ac:dyDescent="0.2">
      <c r="A788" t="str">
        <f>IF(COUNTBLANK(B788:AB788)&lt;&gt;COLUMNS(B788:AB788),787,"")</f>
        <v/>
      </c>
      <c r="D788" s="1" t="str">
        <f t="shared" si="84"/>
        <v/>
      </c>
      <c r="G788" s="2" t="str">
        <f t="shared" si="85"/>
        <v/>
      </c>
      <c r="H788" s="1" t="str">
        <f t="shared" si="86"/>
        <v/>
      </c>
      <c r="S788" s="1" t="str">
        <f t="shared" si="87"/>
        <v/>
      </c>
      <c r="U788" s="1" t="str">
        <f t="shared" si="88"/>
        <v/>
      </c>
      <c r="X788" s="1" t="str">
        <f t="shared" si="89"/>
        <v/>
      </c>
      <c r="AA788" s="1" t="str">
        <f t="shared" si="90"/>
        <v/>
      </c>
    </row>
    <row r="789" spans="1:27" x14ac:dyDescent="0.2">
      <c r="A789" t="str">
        <f>IF(COUNTBLANK(B789:AB789)&lt;&gt;COLUMNS(B789:AB789),788,"")</f>
        <v/>
      </c>
      <c r="D789" s="1" t="str">
        <f t="shared" si="84"/>
        <v/>
      </c>
      <c r="G789" s="2" t="str">
        <f t="shared" si="85"/>
        <v/>
      </c>
      <c r="H789" s="1" t="str">
        <f t="shared" si="86"/>
        <v/>
      </c>
      <c r="S789" s="1" t="str">
        <f t="shared" si="87"/>
        <v/>
      </c>
      <c r="U789" s="1" t="str">
        <f t="shared" si="88"/>
        <v/>
      </c>
      <c r="X789" s="1" t="str">
        <f t="shared" si="89"/>
        <v/>
      </c>
      <c r="AA789" s="1" t="str">
        <f t="shared" si="90"/>
        <v/>
      </c>
    </row>
    <row r="790" spans="1:27" x14ac:dyDescent="0.2">
      <c r="A790" t="str">
        <f>IF(COUNTBLANK(B790:AB790)&lt;&gt;COLUMNS(B790:AB790),789,"")</f>
        <v/>
      </c>
      <c r="D790" s="1" t="str">
        <f t="shared" si="84"/>
        <v/>
      </c>
      <c r="G790" s="2" t="str">
        <f t="shared" si="85"/>
        <v/>
      </c>
      <c r="H790" s="1" t="str">
        <f t="shared" si="86"/>
        <v/>
      </c>
      <c r="S790" s="1" t="str">
        <f t="shared" si="87"/>
        <v/>
      </c>
      <c r="U790" s="1" t="str">
        <f t="shared" si="88"/>
        <v/>
      </c>
      <c r="X790" s="1" t="str">
        <f t="shared" si="89"/>
        <v/>
      </c>
      <c r="AA790" s="1" t="str">
        <f t="shared" si="90"/>
        <v/>
      </c>
    </row>
    <row r="791" spans="1:27" x14ac:dyDescent="0.2">
      <c r="A791" t="str">
        <f>IF(COUNTBLANK(B791:AB791)&lt;&gt;COLUMNS(B791:AB791),790,"")</f>
        <v/>
      </c>
      <c r="D791" s="1" t="str">
        <f t="shared" si="84"/>
        <v/>
      </c>
      <c r="G791" s="2" t="str">
        <f t="shared" si="85"/>
        <v/>
      </c>
      <c r="H791" s="1" t="str">
        <f t="shared" si="86"/>
        <v/>
      </c>
      <c r="S791" s="1" t="str">
        <f t="shared" si="87"/>
        <v/>
      </c>
      <c r="U791" s="1" t="str">
        <f t="shared" si="88"/>
        <v/>
      </c>
      <c r="X791" s="1" t="str">
        <f t="shared" si="89"/>
        <v/>
      </c>
      <c r="AA791" s="1" t="str">
        <f t="shared" si="90"/>
        <v/>
      </c>
    </row>
    <row r="792" spans="1:27" x14ac:dyDescent="0.2">
      <c r="A792" t="str">
        <f>IF(COUNTBLANK(B792:AB792)&lt;&gt;COLUMNS(B792:AB792),791,"")</f>
        <v/>
      </c>
      <c r="D792" s="1" t="str">
        <f t="shared" si="84"/>
        <v/>
      </c>
      <c r="G792" s="2" t="str">
        <f t="shared" si="85"/>
        <v/>
      </c>
      <c r="H792" s="1" t="str">
        <f t="shared" si="86"/>
        <v/>
      </c>
      <c r="S792" s="1" t="str">
        <f t="shared" si="87"/>
        <v/>
      </c>
      <c r="U792" s="1" t="str">
        <f t="shared" si="88"/>
        <v/>
      </c>
      <c r="X792" s="1" t="str">
        <f t="shared" si="89"/>
        <v/>
      </c>
      <c r="AA792" s="1" t="str">
        <f t="shared" si="90"/>
        <v/>
      </c>
    </row>
    <row r="793" spans="1:27" x14ac:dyDescent="0.2">
      <c r="A793" t="str">
        <f>IF(COUNTBLANK(B793:AB793)&lt;&gt;COLUMNS(B793:AB793),792,"")</f>
        <v/>
      </c>
      <c r="D793" s="1" t="str">
        <f t="shared" si="84"/>
        <v/>
      </c>
      <c r="G793" s="2" t="str">
        <f t="shared" si="85"/>
        <v/>
      </c>
      <c r="H793" s="1" t="str">
        <f t="shared" si="86"/>
        <v/>
      </c>
      <c r="S793" s="1" t="str">
        <f t="shared" si="87"/>
        <v/>
      </c>
      <c r="U793" s="1" t="str">
        <f t="shared" si="88"/>
        <v/>
      </c>
      <c r="X793" s="1" t="str">
        <f t="shared" si="89"/>
        <v/>
      </c>
      <c r="AA793" s="1" t="str">
        <f t="shared" si="90"/>
        <v/>
      </c>
    </row>
    <row r="794" spans="1:27" x14ac:dyDescent="0.2">
      <c r="A794" t="str">
        <f>IF(COUNTBLANK(B794:AB794)&lt;&gt;COLUMNS(B794:AB794),793,"")</f>
        <v/>
      </c>
      <c r="D794" s="1" t="str">
        <f t="shared" si="84"/>
        <v/>
      </c>
      <c r="G794" s="2" t="str">
        <f t="shared" si="85"/>
        <v/>
      </c>
      <c r="H794" s="1" t="str">
        <f t="shared" si="86"/>
        <v/>
      </c>
      <c r="S794" s="1" t="str">
        <f t="shared" si="87"/>
        <v/>
      </c>
      <c r="U794" s="1" t="str">
        <f t="shared" si="88"/>
        <v/>
      </c>
      <c r="X794" s="1" t="str">
        <f t="shared" si="89"/>
        <v/>
      </c>
      <c r="AA794" s="1" t="str">
        <f t="shared" si="90"/>
        <v/>
      </c>
    </row>
    <row r="795" spans="1:27" x14ac:dyDescent="0.2">
      <c r="A795" t="str">
        <f>IF(COUNTBLANK(B795:AB795)&lt;&gt;COLUMNS(B795:AB795),794,"")</f>
        <v/>
      </c>
      <c r="D795" s="1" t="str">
        <f t="shared" si="84"/>
        <v/>
      </c>
      <c r="G795" s="2" t="str">
        <f t="shared" si="85"/>
        <v/>
      </c>
      <c r="H795" s="1" t="str">
        <f t="shared" si="86"/>
        <v/>
      </c>
      <c r="S795" s="1" t="str">
        <f t="shared" si="87"/>
        <v/>
      </c>
      <c r="U795" s="1" t="str">
        <f t="shared" si="88"/>
        <v/>
      </c>
      <c r="X795" s="1" t="str">
        <f t="shared" si="89"/>
        <v/>
      </c>
      <c r="AA795" s="1" t="str">
        <f t="shared" si="90"/>
        <v/>
      </c>
    </row>
    <row r="796" spans="1:27" x14ac:dyDescent="0.2">
      <c r="A796" t="str">
        <f>IF(COUNTBLANK(B796:AB796)&lt;&gt;COLUMNS(B796:AB796),795,"")</f>
        <v/>
      </c>
      <c r="D796" s="1" t="str">
        <f t="shared" si="84"/>
        <v/>
      </c>
      <c r="G796" s="2" t="str">
        <f t="shared" si="85"/>
        <v/>
      </c>
      <c r="H796" s="1" t="str">
        <f t="shared" si="86"/>
        <v/>
      </c>
      <c r="S796" s="1" t="str">
        <f t="shared" si="87"/>
        <v/>
      </c>
      <c r="U796" s="1" t="str">
        <f t="shared" si="88"/>
        <v/>
      </c>
      <c r="X796" s="1" t="str">
        <f t="shared" si="89"/>
        <v/>
      </c>
      <c r="AA796" s="1" t="str">
        <f t="shared" si="90"/>
        <v/>
      </c>
    </row>
    <row r="797" spans="1:27" x14ac:dyDescent="0.2">
      <c r="A797" t="str">
        <f>IF(COUNTBLANK(B797:AB797)&lt;&gt;COLUMNS(B797:AB797),796,"")</f>
        <v/>
      </c>
      <c r="D797" s="1" t="str">
        <f t="shared" si="84"/>
        <v/>
      </c>
      <c r="G797" s="2" t="str">
        <f t="shared" si="85"/>
        <v/>
      </c>
      <c r="H797" s="1" t="str">
        <f t="shared" si="86"/>
        <v/>
      </c>
      <c r="S797" s="1" t="str">
        <f t="shared" si="87"/>
        <v/>
      </c>
      <c r="U797" s="1" t="str">
        <f t="shared" si="88"/>
        <v/>
      </c>
      <c r="X797" s="1" t="str">
        <f t="shared" si="89"/>
        <v/>
      </c>
      <c r="AA797" s="1" t="str">
        <f t="shared" si="90"/>
        <v/>
      </c>
    </row>
    <row r="798" spans="1:27" x14ac:dyDescent="0.2">
      <c r="A798" t="str">
        <f>IF(COUNTBLANK(B798:AB798)&lt;&gt;COLUMNS(B798:AB798),797,"")</f>
        <v/>
      </c>
      <c r="D798" s="1" t="str">
        <f t="shared" si="84"/>
        <v/>
      </c>
      <c r="G798" s="2" t="str">
        <f t="shared" si="85"/>
        <v/>
      </c>
      <c r="H798" s="1" t="str">
        <f t="shared" si="86"/>
        <v/>
      </c>
      <c r="S798" s="1" t="str">
        <f t="shared" si="87"/>
        <v/>
      </c>
      <c r="U798" s="1" t="str">
        <f t="shared" si="88"/>
        <v/>
      </c>
      <c r="X798" s="1" t="str">
        <f t="shared" si="89"/>
        <v/>
      </c>
      <c r="AA798" s="1" t="str">
        <f t="shared" si="90"/>
        <v/>
      </c>
    </row>
    <row r="799" spans="1:27" x14ac:dyDescent="0.2">
      <c r="A799" t="str">
        <f>IF(COUNTBLANK(B799:AB799)&lt;&gt;COLUMNS(B799:AB799),798,"")</f>
        <v/>
      </c>
      <c r="D799" s="1" t="str">
        <f t="shared" si="84"/>
        <v/>
      </c>
      <c r="G799" s="2" t="str">
        <f t="shared" si="85"/>
        <v/>
      </c>
      <c r="H799" s="1" t="str">
        <f t="shared" si="86"/>
        <v/>
      </c>
      <c r="S799" s="1" t="str">
        <f t="shared" si="87"/>
        <v/>
      </c>
      <c r="U799" s="1" t="str">
        <f t="shared" si="88"/>
        <v/>
      </c>
      <c r="X799" s="1" t="str">
        <f t="shared" si="89"/>
        <v/>
      </c>
      <c r="AA799" s="1" t="str">
        <f t="shared" si="90"/>
        <v/>
      </c>
    </row>
    <row r="800" spans="1:27" x14ac:dyDescent="0.2">
      <c r="A800" t="str">
        <f>IF(COUNTBLANK(B800:AB800)&lt;&gt;COLUMNS(B800:AB800),799,"")</f>
        <v/>
      </c>
      <c r="D800" s="1" t="str">
        <f t="shared" si="84"/>
        <v/>
      </c>
      <c r="G800" s="2" t="str">
        <f t="shared" si="85"/>
        <v/>
      </c>
      <c r="H800" s="1" t="str">
        <f t="shared" si="86"/>
        <v/>
      </c>
      <c r="S800" s="1" t="str">
        <f t="shared" si="87"/>
        <v/>
      </c>
      <c r="U800" s="1" t="str">
        <f t="shared" si="88"/>
        <v/>
      </c>
      <c r="X800" s="1" t="str">
        <f t="shared" si="89"/>
        <v/>
      </c>
      <c r="AA800" s="1" t="str">
        <f t="shared" si="90"/>
        <v/>
      </c>
    </row>
    <row r="801" spans="1:27" x14ac:dyDescent="0.2">
      <c r="A801" t="str">
        <f>IF(COUNTBLANK(B801:AB801)&lt;&gt;COLUMNS(B801:AB801),800,"")</f>
        <v/>
      </c>
      <c r="D801" s="1" t="str">
        <f t="shared" si="84"/>
        <v/>
      </c>
      <c r="G801" s="2" t="str">
        <f t="shared" si="85"/>
        <v/>
      </c>
      <c r="H801" s="1" t="str">
        <f t="shared" si="86"/>
        <v/>
      </c>
      <c r="S801" s="1" t="str">
        <f t="shared" si="87"/>
        <v/>
      </c>
      <c r="U801" s="1" t="str">
        <f t="shared" si="88"/>
        <v/>
      </c>
      <c r="X801" s="1" t="str">
        <f t="shared" si="89"/>
        <v/>
      </c>
      <c r="AA801" s="1" t="str">
        <f t="shared" si="90"/>
        <v/>
      </c>
    </row>
    <row r="802" spans="1:27" x14ac:dyDescent="0.2">
      <c r="A802" t="str">
        <f>IF(COUNTBLANK(B802:AB802)&lt;&gt;COLUMNS(B802:AB802),801,"")</f>
        <v/>
      </c>
      <c r="D802" s="1" t="str">
        <f t="shared" si="84"/>
        <v/>
      </c>
      <c r="G802" s="2" t="str">
        <f t="shared" si="85"/>
        <v/>
      </c>
      <c r="H802" s="1" t="str">
        <f t="shared" si="86"/>
        <v/>
      </c>
      <c r="S802" s="1" t="str">
        <f t="shared" si="87"/>
        <v/>
      </c>
      <c r="U802" s="1" t="str">
        <f t="shared" si="88"/>
        <v/>
      </c>
      <c r="X802" s="1" t="str">
        <f t="shared" si="89"/>
        <v/>
      </c>
      <c r="AA802" s="1" t="str">
        <f t="shared" si="90"/>
        <v/>
      </c>
    </row>
    <row r="803" spans="1:27" x14ac:dyDescent="0.2">
      <c r="A803" t="str">
        <f>IF(COUNTBLANK(B803:AB803)&lt;&gt;COLUMNS(B803:AB803),802,"")</f>
        <v/>
      </c>
      <c r="D803" s="1" t="str">
        <f t="shared" si="84"/>
        <v/>
      </c>
      <c r="G803" s="2" t="str">
        <f t="shared" si="85"/>
        <v/>
      </c>
      <c r="H803" s="1" t="str">
        <f t="shared" si="86"/>
        <v/>
      </c>
      <c r="S803" s="1" t="str">
        <f t="shared" si="87"/>
        <v/>
      </c>
      <c r="U803" s="1" t="str">
        <f t="shared" si="88"/>
        <v/>
      </c>
      <c r="X803" s="1" t="str">
        <f t="shared" si="89"/>
        <v/>
      </c>
      <c r="AA803" s="1" t="str">
        <f t="shared" si="90"/>
        <v/>
      </c>
    </row>
    <row r="804" spans="1:27" x14ac:dyDescent="0.2">
      <c r="A804" t="str">
        <f>IF(COUNTBLANK(B804:AB804)&lt;&gt;COLUMNS(B804:AB804),803,"")</f>
        <v/>
      </c>
      <c r="D804" s="1" t="str">
        <f t="shared" si="84"/>
        <v/>
      </c>
      <c r="G804" s="2" t="str">
        <f t="shared" si="85"/>
        <v/>
      </c>
      <c r="H804" s="1" t="str">
        <f t="shared" si="86"/>
        <v/>
      </c>
      <c r="S804" s="1" t="str">
        <f t="shared" si="87"/>
        <v/>
      </c>
      <c r="U804" s="1" t="str">
        <f t="shared" si="88"/>
        <v/>
      </c>
      <c r="X804" s="1" t="str">
        <f t="shared" si="89"/>
        <v/>
      </c>
      <c r="AA804" s="1" t="str">
        <f t="shared" si="90"/>
        <v/>
      </c>
    </row>
    <row r="805" spans="1:27" x14ac:dyDescent="0.2">
      <c r="A805" t="str">
        <f>IF(COUNTBLANK(B805:AB805)&lt;&gt;COLUMNS(B805:AB805),804,"")</f>
        <v/>
      </c>
      <c r="D805" s="1" t="str">
        <f t="shared" si="84"/>
        <v/>
      </c>
      <c r="G805" s="2" t="str">
        <f t="shared" si="85"/>
        <v/>
      </c>
      <c r="H805" s="1" t="str">
        <f t="shared" si="86"/>
        <v/>
      </c>
      <c r="S805" s="1" t="str">
        <f t="shared" si="87"/>
        <v/>
      </c>
      <c r="U805" s="1" t="str">
        <f t="shared" si="88"/>
        <v/>
      </c>
      <c r="X805" s="1" t="str">
        <f t="shared" si="89"/>
        <v/>
      </c>
      <c r="AA805" s="1" t="str">
        <f t="shared" si="90"/>
        <v/>
      </c>
    </row>
    <row r="806" spans="1:27" x14ac:dyDescent="0.2">
      <c r="A806" t="str">
        <f>IF(COUNTBLANK(B806:AB806)&lt;&gt;COLUMNS(B806:AB806),805,"")</f>
        <v/>
      </c>
      <c r="D806" s="1" t="str">
        <f t="shared" si="84"/>
        <v/>
      </c>
      <c r="G806" s="2" t="str">
        <f t="shared" si="85"/>
        <v/>
      </c>
      <c r="H806" s="1" t="str">
        <f t="shared" si="86"/>
        <v/>
      </c>
      <c r="S806" s="1" t="str">
        <f t="shared" si="87"/>
        <v/>
      </c>
      <c r="U806" s="1" t="str">
        <f t="shared" si="88"/>
        <v/>
      </c>
      <c r="X806" s="1" t="str">
        <f t="shared" si="89"/>
        <v/>
      </c>
      <c r="AA806" s="1" t="str">
        <f t="shared" si="90"/>
        <v/>
      </c>
    </row>
    <row r="807" spans="1:27" x14ac:dyDescent="0.2">
      <c r="A807" t="str">
        <f>IF(COUNTBLANK(B807:AB807)&lt;&gt;COLUMNS(B807:AB807),806,"")</f>
        <v/>
      </c>
      <c r="D807" s="1" t="str">
        <f t="shared" si="84"/>
        <v/>
      </c>
      <c r="G807" s="2" t="str">
        <f t="shared" si="85"/>
        <v/>
      </c>
      <c r="H807" s="1" t="str">
        <f t="shared" si="86"/>
        <v/>
      </c>
      <c r="S807" s="1" t="str">
        <f t="shared" si="87"/>
        <v/>
      </c>
      <c r="U807" s="1" t="str">
        <f t="shared" si="88"/>
        <v/>
      </c>
      <c r="X807" s="1" t="str">
        <f t="shared" si="89"/>
        <v/>
      </c>
      <c r="AA807" s="1" t="str">
        <f t="shared" si="90"/>
        <v/>
      </c>
    </row>
    <row r="808" spans="1:27" x14ac:dyDescent="0.2">
      <c r="A808" t="str">
        <f>IF(COUNTBLANK(B808:AB808)&lt;&gt;COLUMNS(B808:AB808),807,"")</f>
        <v/>
      </c>
      <c r="D808" s="1" t="str">
        <f t="shared" si="84"/>
        <v/>
      </c>
      <c r="G808" s="2" t="str">
        <f t="shared" si="85"/>
        <v/>
      </c>
      <c r="H808" s="1" t="str">
        <f t="shared" si="86"/>
        <v/>
      </c>
      <c r="S808" s="1" t="str">
        <f t="shared" si="87"/>
        <v/>
      </c>
      <c r="U808" s="1" t="str">
        <f t="shared" si="88"/>
        <v/>
      </c>
      <c r="X808" s="1" t="str">
        <f t="shared" si="89"/>
        <v/>
      </c>
      <c r="AA808" s="1" t="str">
        <f t="shared" si="90"/>
        <v/>
      </c>
    </row>
    <row r="809" spans="1:27" x14ac:dyDescent="0.2">
      <c r="A809" t="str">
        <f>IF(COUNTBLANK(B809:AB809)&lt;&gt;COLUMNS(B809:AB809),808,"")</f>
        <v/>
      </c>
      <c r="D809" s="1" t="str">
        <f t="shared" si="84"/>
        <v/>
      </c>
      <c r="G809" s="2" t="str">
        <f t="shared" si="85"/>
        <v/>
      </c>
      <c r="H809" s="1" t="str">
        <f t="shared" si="86"/>
        <v/>
      </c>
      <c r="S809" s="1" t="str">
        <f t="shared" si="87"/>
        <v/>
      </c>
      <c r="U809" s="1" t="str">
        <f t="shared" si="88"/>
        <v/>
      </c>
      <c r="X809" s="1" t="str">
        <f t="shared" si="89"/>
        <v/>
      </c>
      <c r="AA809" s="1" t="str">
        <f t="shared" si="90"/>
        <v/>
      </c>
    </row>
    <row r="810" spans="1:27" x14ac:dyDescent="0.2">
      <c r="A810" t="str">
        <f>IF(COUNTBLANK(B810:AB810)&lt;&gt;COLUMNS(B810:AB810),809,"")</f>
        <v/>
      </c>
      <c r="D810" s="1" t="str">
        <f t="shared" si="84"/>
        <v/>
      </c>
      <c r="G810" s="2" t="str">
        <f t="shared" si="85"/>
        <v/>
      </c>
      <c r="H810" s="1" t="str">
        <f t="shared" si="86"/>
        <v/>
      </c>
      <c r="S810" s="1" t="str">
        <f t="shared" si="87"/>
        <v/>
      </c>
      <c r="U810" s="1" t="str">
        <f t="shared" si="88"/>
        <v/>
      </c>
      <c r="X810" s="1" t="str">
        <f t="shared" si="89"/>
        <v/>
      </c>
      <c r="AA810" s="1" t="str">
        <f t="shared" si="90"/>
        <v/>
      </c>
    </row>
    <row r="811" spans="1:27" x14ac:dyDescent="0.2">
      <c r="A811" t="str">
        <f>IF(COUNTBLANK(B811:AB811)&lt;&gt;COLUMNS(B811:AB811),810,"")</f>
        <v/>
      </c>
      <c r="D811" s="1" t="str">
        <f t="shared" si="84"/>
        <v/>
      </c>
      <c r="G811" s="2" t="str">
        <f t="shared" si="85"/>
        <v/>
      </c>
      <c r="H811" s="1" t="str">
        <f t="shared" si="86"/>
        <v/>
      </c>
      <c r="S811" s="1" t="str">
        <f t="shared" si="87"/>
        <v/>
      </c>
      <c r="U811" s="1" t="str">
        <f t="shared" si="88"/>
        <v/>
      </c>
      <c r="X811" s="1" t="str">
        <f t="shared" si="89"/>
        <v/>
      </c>
      <c r="AA811" s="1" t="str">
        <f t="shared" si="90"/>
        <v/>
      </c>
    </row>
    <row r="812" spans="1:27" x14ac:dyDescent="0.2">
      <c r="A812" t="str">
        <f>IF(COUNTBLANK(B812:AB812)&lt;&gt;COLUMNS(B812:AB812),811,"")</f>
        <v/>
      </c>
      <c r="D812" s="1" t="str">
        <f t="shared" si="84"/>
        <v/>
      </c>
      <c r="G812" s="2" t="str">
        <f t="shared" si="85"/>
        <v/>
      </c>
      <c r="H812" s="1" t="str">
        <f t="shared" si="86"/>
        <v/>
      </c>
      <c r="S812" s="1" t="str">
        <f t="shared" si="87"/>
        <v/>
      </c>
      <c r="U812" s="1" t="str">
        <f t="shared" si="88"/>
        <v/>
      </c>
      <c r="X812" s="1" t="str">
        <f t="shared" si="89"/>
        <v/>
      </c>
      <c r="AA812" s="1" t="str">
        <f t="shared" si="90"/>
        <v/>
      </c>
    </row>
    <row r="813" spans="1:27" x14ac:dyDescent="0.2">
      <c r="A813" t="str">
        <f>IF(COUNTBLANK(B813:AB813)&lt;&gt;COLUMNS(B813:AB813),812,"")</f>
        <v/>
      </c>
      <c r="D813" s="1" t="str">
        <f t="shared" si="84"/>
        <v/>
      </c>
      <c r="G813" s="2" t="str">
        <f t="shared" si="85"/>
        <v/>
      </c>
      <c r="H813" s="1" t="str">
        <f t="shared" si="86"/>
        <v/>
      </c>
      <c r="S813" s="1" t="str">
        <f t="shared" si="87"/>
        <v/>
      </c>
      <c r="U813" s="1" t="str">
        <f t="shared" si="88"/>
        <v/>
      </c>
      <c r="X813" s="1" t="str">
        <f t="shared" si="89"/>
        <v/>
      </c>
      <c r="AA813" s="1" t="str">
        <f t="shared" si="90"/>
        <v/>
      </c>
    </row>
    <row r="814" spans="1:27" x14ac:dyDescent="0.2">
      <c r="A814" t="str">
        <f>IF(COUNTBLANK(B814:AB814)&lt;&gt;COLUMNS(B814:AB814),813,"")</f>
        <v/>
      </c>
      <c r="D814" s="1" t="str">
        <f t="shared" si="84"/>
        <v/>
      </c>
      <c r="G814" s="2" t="str">
        <f t="shared" si="85"/>
        <v/>
      </c>
      <c r="H814" s="1" t="str">
        <f t="shared" si="86"/>
        <v/>
      </c>
      <c r="S814" s="1" t="str">
        <f t="shared" si="87"/>
        <v/>
      </c>
      <c r="U814" s="1" t="str">
        <f t="shared" si="88"/>
        <v/>
      </c>
      <c r="X814" s="1" t="str">
        <f t="shared" si="89"/>
        <v/>
      </c>
      <c r="AA814" s="1" t="str">
        <f t="shared" si="90"/>
        <v/>
      </c>
    </row>
    <row r="815" spans="1:27" x14ac:dyDescent="0.2">
      <c r="A815" t="str">
        <f>IF(COUNTBLANK(B815:AB815)&lt;&gt;COLUMNS(B815:AB815),814,"")</f>
        <v/>
      </c>
      <c r="D815" s="1" t="str">
        <f t="shared" si="84"/>
        <v/>
      </c>
      <c r="G815" s="2" t="str">
        <f t="shared" si="85"/>
        <v/>
      </c>
      <c r="H815" s="1" t="str">
        <f t="shared" si="86"/>
        <v/>
      </c>
      <c r="S815" s="1" t="str">
        <f t="shared" si="87"/>
        <v/>
      </c>
      <c r="U815" s="1" t="str">
        <f t="shared" si="88"/>
        <v/>
      </c>
      <c r="X815" s="1" t="str">
        <f t="shared" si="89"/>
        <v/>
      </c>
      <c r="AA815" s="1" t="str">
        <f t="shared" si="90"/>
        <v/>
      </c>
    </row>
    <row r="816" spans="1:27" x14ac:dyDescent="0.2">
      <c r="A816" t="str">
        <f>IF(COUNTBLANK(B816:AB816)&lt;&gt;COLUMNS(B816:AB816),815,"")</f>
        <v/>
      </c>
      <c r="D816" s="1" t="str">
        <f t="shared" si="84"/>
        <v/>
      </c>
      <c r="G816" s="2" t="str">
        <f t="shared" si="85"/>
        <v/>
      </c>
      <c r="H816" s="1" t="str">
        <f t="shared" si="86"/>
        <v/>
      </c>
      <c r="S816" s="1" t="str">
        <f t="shared" si="87"/>
        <v/>
      </c>
      <c r="U816" s="1" t="str">
        <f t="shared" si="88"/>
        <v/>
      </c>
      <c r="X816" s="1" t="str">
        <f t="shared" si="89"/>
        <v/>
      </c>
      <c r="AA816" s="1" t="str">
        <f t="shared" si="90"/>
        <v/>
      </c>
    </row>
    <row r="817" spans="1:27" x14ac:dyDescent="0.2">
      <c r="A817" t="str">
        <f>IF(COUNTBLANK(B817:AB817)&lt;&gt;COLUMNS(B817:AB817),816,"")</f>
        <v/>
      </c>
      <c r="D817" s="1" t="str">
        <f t="shared" si="84"/>
        <v/>
      </c>
      <c r="G817" s="2" t="str">
        <f t="shared" si="85"/>
        <v/>
      </c>
      <c r="H817" s="1" t="str">
        <f t="shared" si="86"/>
        <v/>
      </c>
      <c r="S817" s="1" t="str">
        <f t="shared" si="87"/>
        <v/>
      </c>
      <c r="U817" s="1" t="str">
        <f t="shared" si="88"/>
        <v/>
      </c>
      <c r="X817" s="1" t="str">
        <f t="shared" si="89"/>
        <v/>
      </c>
      <c r="AA817" s="1" t="str">
        <f t="shared" si="90"/>
        <v/>
      </c>
    </row>
    <row r="818" spans="1:27" x14ac:dyDescent="0.2">
      <c r="A818" t="str">
        <f>IF(COUNTBLANK(B818:AB818)&lt;&gt;COLUMNS(B818:AB818),817,"")</f>
        <v/>
      </c>
      <c r="D818" s="1" t="str">
        <f t="shared" si="84"/>
        <v/>
      </c>
      <c r="G818" s="2" t="str">
        <f t="shared" si="85"/>
        <v/>
      </c>
      <c r="H818" s="1" t="str">
        <f t="shared" si="86"/>
        <v/>
      </c>
      <c r="S818" s="1" t="str">
        <f t="shared" si="87"/>
        <v/>
      </c>
      <c r="U818" s="1" t="str">
        <f t="shared" si="88"/>
        <v/>
      </c>
      <c r="X818" s="1" t="str">
        <f t="shared" si="89"/>
        <v/>
      </c>
      <c r="AA818" s="1" t="str">
        <f t="shared" si="90"/>
        <v/>
      </c>
    </row>
    <row r="819" spans="1:27" x14ac:dyDescent="0.2">
      <c r="A819" t="str">
        <f>IF(COUNTBLANK(B819:AB819)&lt;&gt;COLUMNS(B819:AB819),818,"")</f>
        <v/>
      </c>
      <c r="D819" s="1" t="str">
        <f t="shared" si="84"/>
        <v/>
      </c>
      <c r="G819" s="2" t="str">
        <f t="shared" si="85"/>
        <v/>
      </c>
      <c r="H819" s="1" t="str">
        <f t="shared" si="86"/>
        <v/>
      </c>
      <c r="S819" s="1" t="str">
        <f t="shared" si="87"/>
        <v/>
      </c>
      <c r="U819" s="1" t="str">
        <f t="shared" si="88"/>
        <v/>
      </c>
      <c r="X819" s="1" t="str">
        <f t="shared" si="89"/>
        <v/>
      </c>
      <c r="AA819" s="1" t="str">
        <f t="shared" si="90"/>
        <v/>
      </c>
    </row>
    <row r="820" spans="1:27" x14ac:dyDescent="0.2">
      <c r="A820" t="str">
        <f>IF(COUNTBLANK(B820:AB820)&lt;&gt;COLUMNS(B820:AB820),819,"")</f>
        <v/>
      </c>
      <c r="D820" s="1" t="str">
        <f t="shared" si="84"/>
        <v/>
      </c>
      <c r="G820" s="2" t="str">
        <f t="shared" si="85"/>
        <v/>
      </c>
      <c r="H820" s="1" t="str">
        <f t="shared" si="86"/>
        <v/>
      </c>
      <c r="S820" s="1" t="str">
        <f t="shared" si="87"/>
        <v/>
      </c>
      <c r="U820" s="1" t="str">
        <f t="shared" si="88"/>
        <v/>
      </c>
      <c r="X820" s="1" t="str">
        <f t="shared" si="89"/>
        <v/>
      </c>
      <c r="AA820" s="1" t="str">
        <f t="shared" si="90"/>
        <v/>
      </c>
    </row>
    <row r="821" spans="1:27" x14ac:dyDescent="0.2">
      <c r="A821" t="str">
        <f>IF(COUNTBLANK(B821:AB821)&lt;&gt;COLUMNS(B821:AB821),820,"")</f>
        <v/>
      </c>
      <c r="D821" s="1" t="str">
        <f t="shared" si="84"/>
        <v/>
      </c>
      <c r="G821" s="2" t="str">
        <f t="shared" si="85"/>
        <v/>
      </c>
      <c r="H821" s="1" t="str">
        <f t="shared" si="86"/>
        <v/>
      </c>
      <c r="S821" s="1" t="str">
        <f t="shared" si="87"/>
        <v/>
      </c>
      <c r="U821" s="1" t="str">
        <f t="shared" si="88"/>
        <v/>
      </c>
      <c r="X821" s="1" t="str">
        <f t="shared" si="89"/>
        <v/>
      </c>
      <c r="AA821" s="1" t="str">
        <f t="shared" si="90"/>
        <v/>
      </c>
    </row>
    <row r="822" spans="1:27" x14ac:dyDescent="0.2">
      <c r="A822" t="str">
        <f>IF(COUNTBLANK(B822:AB822)&lt;&gt;COLUMNS(B822:AB822),821,"")</f>
        <v/>
      </c>
      <c r="D822" s="1" t="str">
        <f t="shared" si="84"/>
        <v/>
      </c>
      <c r="G822" s="2" t="str">
        <f t="shared" si="85"/>
        <v/>
      </c>
      <c r="H822" s="1" t="str">
        <f t="shared" si="86"/>
        <v/>
      </c>
      <c r="S822" s="1" t="str">
        <f t="shared" si="87"/>
        <v/>
      </c>
      <c r="U822" s="1" t="str">
        <f t="shared" si="88"/>
        <v/>
      </c>
      <c r="X822" s="1" t="str">
        <f t="shared" si="89"/>
        <v/>
      </c>
      <c r="AA822" s="1" t="str">
        <f t="shared" si="90"/>
        <v/>
      </c>
    </row>
    <row r="823" spans="1:27" x14ac:dyDescent="0.2">
      <c r="A823" t="str">
        <f>IF(COUNTBLANK(B823:AB823)&lt;&gt;COLUMNS(B823:AB823),822,"")</f>
        <v/>
      </c>
      <c r="D823" s="1" t="str">
        <f t="shared" si="84"/>
        <v/>
      </c>
      <c r="G823" s="2" t="str">
        <f t="shared" si="85"/>
        <v/>
      </c>
      <c r="H823" s="1" t="str">
        <f t="shared" si="86"/>
        <v/>
      </c>
      <c r="S823" s="1" t="str">
        <f t="shared" si="87"/>
        <v/>
      </c>
      <c r="U823" s="1" t="str">
        <f t="shared" si="88"/>
        <v/>
      </c>
      <c r="X823" s="1" t="str">
        <f t="shared" si="89"/>
        <v/>
      </c>
      <c r="AA823" s="1" t="str">
        <f t="shared" si="90"/>
        <v/>
      </c>
    </row>
    <row r="824" spans="1:27" x14ac:dyDescent="0.2">
      <c r="A824" t="str">
        <f>IF(COUNTBLANK(B824:AB824)&lt;&gt;COLUMNS(B824:AB824),823,"")</f>
        <v/>
      </c>
      <c r="D824" s="1" t="str">
        <f t="shared" si="84"/>
        <v/>
      </c>
      <c r="G824" s="2" t="str">
        <f t="shared" si="85"/>
        <v/>
      </c>
      <c r="H824" s="1" t="str">
        <f t="shared" si="86"/>
        <v/>
      </c>
      <c r="S824" s="1" t="str">
        <f t="shared" si="87"/>
        <v/>
      </c>
      <c r="U824" s="1" t="str">
        <f t="shared" si="88"/>
        <v/>
      </c>
      <c r="X824" s="1" t="str">
        <f t="shared" si="89"/>
        <v/>
      </c>
      <c r="AA824" s="1" t="str">
        <f t="shared" si="90"/>
        <v/>
      </c>
    </row>
    <row r="825" spans="1:27" x14ac:dyDescent="0.2">
      <c r="A825" t="str">
        <f>IF(COUNTBLANK(B825:AB825)&lt;&gt;COLUMNS(B825:AB825),824,"")</f>
        <v/>
      </c>
      <c r="D825" s="1" t="str">
        <f t="shared" si="84"/>
        <v/>
      </c>
      <c r="G825" s="2" t="str">
        <f t="shared" si="85"/>
        <v/>
      </c>
      <c r="H825" s="1" t="str">
        <f t="shared" si="86"/>
        <v/>
      </c>
      <c r="S825" s="1" t="str">
        <f t="shared" si="87"/>
        <v/>
      </c>
      <c r="U825" s="1" t="str">
        <f t="shared" si="88"/>
        <v/>
      </c>
      <c r="X825" s="1" t="str">
        <f t="shared" si="89"/>
        <v/>
      </c>
      <c r="AA825" s="1" t="str">
        <f t="shared" si="90"/>
        <v/>
      </c>
    </row>
    <row r="826" spans="1:27" x14ac:dyDescent="0.2">
      <c r="A826" t="str">
        <f>IF(COUNTBLANK(B826:AB826)&lt;&gt;COLUMNS(B826:AB826),825,"")</f>
        <v/>
      </c>
      <c r="D826" s="1" t="str">
        <f t="shared" si="84"/>
        <v/>
      </c>
      <c r="G826" s="2" t="str">
        <f t="shared" si="85"/>
        <v/>
      </c>
      <c r="H826" s="1" t="str">
        <f t="shared" si="86"/>
        <v/>
      </c>
      <c r="S826" s="1" t="str">
        <f t="shared" si="87"/>
        <v/>
      </c>
      <c r="U826" s="1" t="str">
        <f t="shared" si="88"/>
        <v/>
      </c>
      <c r="X826" s="1" t="str">
        <f t="shared" si="89"/>
        <v/>
      </c>
      <c r="AA826" s="1" t="str">
        <f t="shared" si="90"/>
        <v/>
      </c>
    </row>
    <row r="827" spans="1:27" x14ac:dyDescent="0.2">
      <c r="A827" t="str">
        <f>IF(COUNTBLANK(B827:AB827)&lt;&gt;COLUMNS(B827:AB827),826,"")</f>
        <v/>
      </c>
      <c r="D827" s="1" t="str">
        <f t="shared" si="84"/>
        <v/>
      </c>
      <c r="G827" s="2" t="str">
        <f t="shared" si="85"/>
        <v/>
      </c>
      <c r="H827" s="1" t="str">
        <f t="shared" si="86"/>
        <v/>
      </c>
      <c r="S827" s="1" t="str">
        <f t="shared" si="87"/>
        <v/>
      </c>
      <c r="U827" s="1" t="str">
        <f t="shared" si="88"/>
        <v/>
      </c>
      <c r="X827" s="1" t="str">
        <f t="shared" si="89"/>
        <v/>
      </c>
      <c r="AA827" s="1" t="str">
        <f t="shared" si="90"/>
        <v/>
      </c>
    </row>
    <row r="828" spans="1:27" x14ac:dyDescent="0.2">
      <c r="A828" t="str">
        <f>IF(COUNTBLANK(B828:AB828)&lt;&gt;COLUMNS(B828:AB828),827,"")</f>
        <v/>
      </c>
      <c r="D828" s="1" t="str">
        <f t="shared" si="84"/>
        <v/>
      </c>
      <c r="G828" s="2" t="str">
        <f t="shared" si="85"/>
        <v/>
      </c>
      <c r="H828" s="1" t="str">
        <f t="shared" si="86"/>
        <v/>
      </c>
      <c r="S828" s="1" t="str">
        <f t="shared" si="87"/>
        <v/>
      </c>
      <c r="U828" s="1" t="str">
        <f t="shared" si="88"/>
        <v/>
      </c>
      <c r="X828" s="1" t="str">
        <f t="shared" si="89"/>
        <v/>
      </c>
      <c r="AA828" s="1" t="str">
        <f t="shared" si="90"/>
        <v/>
      </c>
    </row>
    <row r="829" spans="1:27" x14ac:dyDescent="0.2">
      <c r="A829" t="str">
        <f>IF(COUNTBLANK(B829:AB829)&lt;&gt;COLUMNS(B829:AB829),828,"")</f>
        <v/>
      </c>
      <c r="D829" s="1" t="str">
        <f t="shared" si="84"/>
        <v/>
      </c>
      <c r="G829" s="2" t="str">
        <f t="shared" si="85"/>
        <v/>
      </c>
      <c r="H829" s="1" t="str">
        <f t="shared" si="86"/>
        <v/>
      </c>
      <c r="S829" s="1" t="str">
        <f t="shared" si="87"/>
        <v/>
      </c>
      <c r="U829" s="1" t="str">
        <f t="shared" si="88"/>
        <v/>
      </c>
      <c r="X829" s="1" t="str">
        <f t="shared" si="89"/>
        <v/>
      </c>
      <c r="AA829" s="1" t="str">
        <f t="shared" si="90"/>
        <v/>
      </c>
    </row>
    <row r="830" spans="1:27" x14ac:dyDescent="0.2">
      <c r="A830" t="str">
        <f>IF(COUNTBLANK(B830:AB830)&lt;&gt;COLUMNS(B830:AB830),829,"")</f>
        <v/>
      </c>
      <c r="D830" s="1" t="str">
        <f t="shared" si="84"/>
        <v/>
      </c>
      <c r="G830" s="2" t="str">
        <f t="shared" si="85"/>
        <v/>
      </c>
      <c r="H830" s="1" t="str">
        <f t="shared" si="86"/>
        <v/>
      </c>
      <c r="S830" s="1" t="str">
        <f t="shared" si="87"/>
        <v/>
      </c>
      <c r="U830" s="1" t="str">
        <f t="shared" si="88"/>
        <v/>
      </c>
      <c r="X830" s="1" t="str">
        <f t="shared" si="89"/>
        <v/>
      </c>
      <c r="AA830" s="1" t="str">
        <f t="shared" si="90"/>
        <v/>
      </c>
    </row>
    <row r="831" spans="1:27" x14ac:dyDescent="0.2">
      <c r="A831" t="str">
        <f>IF(COUNTBLANK(B831:AB831)&lt;&gt;COLUMNS(B831:AB831),830,"")</f>
        <v/>
      </c>
      <c r="D831" s="1" t="str">
        <f t="shared" si="84"/>
        <v/>
      </c>
      <c r="G831" s="2" t="str">
        <f t="shared" si="85"/>
        <v/>
      </c>
      <c r="H831" s="1" t="str">
        <f t="shared" si="86"/>
        <v/>
      </c>
      <c r="S831" s="1" t="str">
        <f t="shared" si="87"/>
        <v/>
      </c>
      <c r="U831" s="1" t="str">
        <f t="shared" si="88"/>
        <v/>
      </c>
      <c r="X831" s="1" t="str">
        <f t="shared" si="89"/>
        <v/>
      </c>
      <c r="AA831" s="1" t="str">
        <f t="shared" si="90"/>
        <v/>
      </c>
    </row>
    <row r="832" spans="1:27" x14ac:dyDescent="0.2">
      <c r="A832" t="str">
        <f>IF(COUNTBLANK(B832:AB832)&lt;&gt;COLUMNS(B832:AB832),831,"")</f>
        <v/>
      </c>
      <c r="D832" s="1" t="str">
        <f t="shared" si="84"/>
        <v/>
      </c>
      <c r="G832" s="2" t="str">
        <f t="shared" si="85"/>
        <v/>
      </c>
      <c r="H832" s="1" t="str">
        <f t="shared" si="86"/>
        <v/>
      </c>
      <c r="S832" s="1" t="str">
        <f t="shared" si="87"/>
        <v/>
      </c>
      <c r="U832" s="1" t="str">
        <f t="shared" si="88"/>
        <v/>
      </c>
      <c r="X832" s="1" t="str">
        <f t="shared" si="89"/>
        <v/>
      </c>
      <c r="AA832" s="1" t="str">
        <f t="shared" si="90"/>
        <v/>
      </c>
    </row>
    <row r="833" spans="1:27" x14ac:dyDescent="0.2">
      <c r="A833" t="str">
        <f>IF(COUNTBLANK(B833:AB833)&lt;&gt;COLUMNS(B833:AB833),832,"")</f>
        <v/>
      </c>
      <c r="D833" s="1" t="str">
        <f t="shared" si="84"/>
        <v/>
      </c>
      <c r="G833" s="2" t="str">
        <f t="shared" si="85"/>
        <v/>
      </c>
      <c r="H833" s="1" t="str">
        <f t="shared" si="86"/>
        <v/>
      </c>
      <c r="S833" s="1" t="str">
        <f t="shared" si="87"/>
        <v/>
      </c>
      <c r="U833" s="1" t="str">
        <f t="shared" si="88"/>
        <v/>
      </c>
      <c r="X833" s="1" t="str">
        <f t="shared" si="89"/>
        <v/>
      </c>
      <c r="AA833" s="1" t="str">
        <f t="shared" si="90"/>
        <v/>
      </c>
    </row>
    <row r="834" spans="1:27" x14ac:dyDescent="0.2">
      <c r="A834" t="str">
        <f>IF(COUNTBLANK(B834:AB834)&lt;&gt;COLUMNS(B834:AB834),833,"")</f>
        <v/>
      </c>
      <c r="D834" s="1" t="str">
        <f t="shared" ref="D834:D897" si="91">IF(B834="", "", "Not applicable")</f>
        <v/>
      </c>
      <c r="G834" s="2" t="str">
        <f t="shared" ref="G834:G897" si="92">IF(B834="", "", "missing: not provided")</f>
        <v/>
      </c>
      <c r="H834" s="1" t="str">
        <f t="shared" ref="H834:H897" si="93">IF(B834="", "", "meters")</f>
        <v/>
      </c>
      <c r="S834" s="1" t="str">
        <f t="shared" ref="S834:S897" si="94">IF(B834="", "", "Decimal degrees")</f>
        <v/>
      </c>
      <c r="U834" s="1" t="str">
        <f t="shared" ref="U834:U897" si="95">IF(B834="", "", "Decimal degrees")</f>
        <v/>
      </c>
      <c r="X834" s="1" t="str">
        <f t="shared" ref="X834:X897" si="96">IF(B834="", "", "other")</f>
        <v/>
      </c>
      <c r="AA834" s="1" t="str">
        <f t="shared" ref="AA834:AA897" si="97">IF(B834="", "", "Not applicable")</f>
        <v/>
      </c>
    </row>
    <row r="835" spans="1:27" x14ac:dyDescent="0.2">
      <c r="A835" t="str">
        <f>IF(COUNTBLANK(B835:AB835)&lt;&gt;COLUMNS(B835:AB835),834,"")</f>
        <v/>
      </c>
      <c r="D835" s="1" t="str">
        <f t="shared" si="91"/>
        <v/>
      </c>
      <c r="G835" s="2" t="str">
        <f t="shared" si="92"/>
        <v/>
      </c>
      <c r="H835" s="1" t="str">
        <f t="shared" si="93"/>
        <v/>
      </c>
      <c r="S835" s="1" t="str">
        <f t="shared" si="94"/>
        <v/>
      </c>
      <c r="U835" s="1" t="str">
        <f t="shared" si="95"/>
        <v/>
      </c>
      <c r="X835" s="1" t="str">
        <f t="shared" si="96"/>
        <v/>
      </c>
      <c r="AA835" s="1" t="str">
        <f t="shared" si="97"/>
        <v/>
      </c>
    </row>
    <row r="836" spans="1:27" x14ac:dyDescent="0.2">
      <c r="A836" t="str">
        <f>IF(COUNTBLANK(B836:AB836)&lt;&gt;COLUMNS(B836:AB836),835,"")</f>
        <v/>
      </c>
      <c r="D836" s="1" t="str">
        <f t="shared" si="91"/>
        <v/>
      </c>
      <c r="G836" s="2" t="str">
        <f t="shared" si="92"/>
        <v/>
      </c>
      <c r="H836" s="1" t="str">
        <f t="shared" si="93"/>
        <v/>
      </c>
      <c r="S836" s="1" t="str">
        <f t="shared" si="94"/>
        <v/>
      </c>
      <c r="U836" s="1" t="str">
        <f t="shared" si="95"/>
        <v/>
      </c>
      <c r="X836" s="1" t="str">
        <f t="shared" si="96"/>
        <v/>
      </c>
      <c r="AA836" s="1" t="str">
        <f t="shared" si="97"/>
        <v/>
      </c>
    </row>
    <row r="837" spans="1:27" x14ac:dyDescent="0.2">
      <c r="A837" t="str">
        <f>IF(COUNTBLANK(B837:AB837)&lt;&gt;COLUMNS(B837:AB837),836,"")</f>
        <v/>
      </c>
      <c r="D837" s="1" t="str">
        <f t="shared" si="91"/>
        <v/>
      </c>
      <c r="G837" s="2" t="str">
        <f t="shared" si="92"/>
        <v/>
      </c>
      <c r="H837" s="1" t="str">
        <f t="shared" si="93"/>
        <v/>
      </c>
      <c r="S837" s="1" t="str">
        <f t="shared" si="94"/>
        <v/>
      </c>
      <c r="U837" s="1" t="str">
        <f t="shared" si="95"/>
        <v/>
      </c>
      <c r="X837" s="1" t="str">
        <f t="shared" si="96"/>
        <v/>
      </c>
      <c r="AA837" s="1" t="str">
        <f t="shared" si="97"/>
        <v/>
      </c>
    </row>
    <row r="838" spans="1:27" x14ac:dyDescent="0.2">
      <c r="A838" t="str">
        <f>IF(COUNTBLANK(B838:AB838)&lt;&gt;COLUMNS(B838:AB838),837,"")</f>
        <v/>
      </c>
      <c r="D838" s="1" t="str">
        <f t="shared" si="91"/>
        <v/>
      </c>
      <c r="G838" s="2" t="str">
        <f t="shared" si="92"/>
        <v/>
      </c>
      <c r="H838" s="1" t="str">
        <f t="shared" si="93"/>
        <v/>
      </c>
      <c r="S838" s="1" t="str">
        <f t="shared" si="94"/>
        <v/>
      </c>
      <c r="U838" s="1" t="str">
        <f t="shared" si="95"/>
        <v/>
      </c>
      <c r="X838" s="1" t="str">
        <f t="shared" si="96"/>
        <v/>
      </c>
      <c r="AA838" s="1" t="str">
        <f t="shared" si="97"/>
        <v/>
      </c>
    </row>
    <row r="839" spans="1:27" x14ac:dyDescent="0.2">
      <c r="A839" t="str">
        <f>IF(COUNTBLANK(B839:AB839)&lt;&gt;COLUMNS(B839:AB839),838,"")</f>
        <v/>
      </c>
      <c r="D839" s="1" t="str">
        <f t="shared" si="91"/>
        <v/>
      </c>
      <c r="G839" s="2" t="str">
        <f t="shared" si="92"/>
        <v/>
      </c>
      <c r="H839" s="1" t="str">
        <f t="shared" si="93"/>
        <v/>
      </c>
      <c r="S839" s="1" t="str">
        <f t="shared" si="94"/>
        <v/>
      </c>
      <c r="U839" s="1" t="str">
        <f t="shared" si="95"/>
        <v/>
      </c>
      <c r="X839" s="1" t="str">
        <f t="shared" si="96"/>
        <v/>
      </c>
      <c r="AA839" s="1" t="str">
        <f t="shared" si="97"/>
        <v/>
      </c>
    </row>
    <row r="840" spans="1:27" x14ac:dyDescent="0.2">
      <c r="A840" t="str">
        <f>IF(COUNTBLANK(B840:AB840)&lt;&gt;COLUMNS(B840:AB840),839,"")</f>
        <v/>
      </c>
      <c r="D840" s="1" t="str">
        <f t="shared" si="91"/>
        <v/>
      </c>
      <c r="G840" s="2" t="str">
        <f t="shared" si="92"/>
        <v/>
      </c>
      <c r="H840" s="1" t="str">
        <f t="shared" si="93"/>
        <v/>
      </c>
      <c r="S840" s="1" t="str">
        <f t="shared" si="94"/>
        <v/>
      </c>
      <c r="U840" s="1" t="str">
        <f t="shared" si="95"/>
        <v/>
      </c>
      <c r="X840" s="1" t="str">
        <f t="shared" si="96"/>
        <v/>
      </c>
      <c r="AA840" s="1" t="str">
        <f t="shared" si="97"/>
        <v/>
      </c>
    </row>
    <row r="841" spans="1:27" x14ac:dyDescent="0.2">
      <c r="A841" t="str">
        <f>IF(COUNTBLANK(B841:AB841)&lt;&gt;COLUMNS(B841:AB841),840,"")</f>
        <v/>
      </c>
      <c r="D841" s="1" t="str">
        <f t="shared" si="91"/>
        <v/>
      </c>
      <c r="G841" s="2" t="str">
        <f t="shared" si="92"/>
        <v/>
      </c>
      <c r="H841" s="1" t="str">
        <f t="shared" si="93"/>
        <v/>
      </c>
      <c r="S841" s="1" t="str">
        <f t="shared" si="94"/>
        <v/>
      </c>
      <c r="U841" s="1" t="str">
        <f t="shared" si="95"/>
        <v/>
      </c>
      <c r="X841" s="1" t="str">
        <f t="shared" si="96"/>
        <v/>
      </c>
      <c r="AA841" s="1" t="str">
        <f t="shared" si="97"/>
        <v/>
      </c>
    </row>
    <row r="842" spans="1:27" x14ac:dyDescent="0.2">
      <c r="A842" t="str">
        <f>IF(COUNTBLANK(B842:AB842)&lt;&gt;COLUMNS(B842:AB842),841,"")</f>
        <v/>
      </c>
      <c r="D842" s="1" t="str">
        <f t="shared" si="91"/>
        <v/>
      </c>
      <c r="G842" s="2" t="str">
        <f t="shared" si="92"/>
        <v/>
      </c>
      <c r="H842" s="1" t="str">
        <f t="shared" si="93"/>
        <v/>
      </c>
      <c r="S842" s="1" t="str">
        <f t="shared" si="94"/>
        <v/>
      </c>
      <c r="U842" s="1" t="str">
        <f t="shared" si="95"/>
        <v/>
      </c>
      <c r="X842" s="1" t="str">
        <f t="shared" si="96"/>
        <v/>
      </c>
      <c r="AA842" s="1" t="str">
        <f t="shared" si="97"/>
        <v/>
      </c>
    </row>
    <row r="843" spans="1:27" x14ac:dyDescent="0.2">
      <c r="A843" t="str">
        <f>IF(COUNTBLANK(B843:AB843)&lt;&gt;COLUMNS(B843:AB843),842,"")</f>
        <v/>
      </c>
      <c r="D843" s="1" t="str">
        <f t="shared" si="91"/>
        <v/>
      </c>
      <c r="G843" s="2" t="str">
        <f t="shared" si="92"/>
        <v/>
      </c>
      <c r="H843" s="1" t="str">
        <f t="shared" si="93"/>
        <v/>
      </c>
      <c r="S843" s="1" t="str">
        <f t="shared" si="94"/>
        <v/>
      </c>
      <c r="U843" s="1" t="str">
        <f t="shared" si="95"/>
        <v/>
      </c>
      <c r="X843" s="1" t="str">
        <f t="shared" si="96"/>
        <v/>
      </c>
      <c r="AA843" s="1" t="str">
        <f t="shared" si="97"/>
        <v/>
      </c>
    </row>
    <row r="844" spans="1:27" x14ac:dyDescent="0.2">
      <c r="A844" t="str">
        <f>IF(COUNTBLANK(B844:AB844)&lt;&gt;COLUMNS(B844:AB844),843,"")</f>
        <v/>
      </c>
      <c r="D844" s="1" t="str">
        <f t="shared" si="91"/>
        <v/>
      </c>
      <c r="G844" s="2" t="str">
        <f t="shared" si="92"/>
        <v/>
      </c>
      <c r="H844" s="1" t="str">
        <f t="shared" si="93"/>
        <v/>
      </c>
      <c r="S844" s="1" t="str">
        <f t="shared" si="94"/>
        <v/>
      </c>
      <c r="U844" s="1" t="str">
        <f t="shared" si="95"/>
        <v/>
      </c>
      <c r="X844" s="1" t="str">
        <f t="shared" si="96"/>
        <v/>
      </c>
      <c r="AA844" s="1" t="str">
        <f t="shared" si="97"/>
        <v/>
      </c>
    </row>
    <row r="845" spans="1:27" x14ac:dyDescent="0.2">
      <c r="A845" t="str">
        <f>IF(COUNTBLANK(B845:AB845)&lt;&gt;COLUMNS(B845:AB845),844,"")</f>
        <v/>
      </c>
      <c r="D845" s="1" t="str">
        <f t="shared" si="91"/>
        <v/>
      </c>
      <c r="G845" s="2" t="str">
        <f t="shared" si="92"/>
        <v/>
      </c>
      <c r="H845" s="1" t="str">
        <f t="shared" si="93"/>
        <v/>
      </c>
      <c r="S845" s="1" t="str">
        <f t="shared" si="94"/>
        <v/>
      </c>
      <c r="U845" s="1" t="str">
        <f t="shared" si="95"/>
        <v/>
      </c>
      <c r="X845" s="1" t="str">
        <f t="shared" si="96"/>
        <v/>
      </c>
      <c r="AA845" s="1" t="str">
        <f t="shared" si="97"/>
        <v/>
      </c>
    </row>
    <row r="846" spans="1:27" x14ac:dyDescent="0.2">
      <c r="A846" t="str">
        <f>IF(COUNTBLANK(B846:AB846)&lt;&gt;COLUMNS(B846:AB846),845,"")</f>
        <v/>
      </c>
      <c r="D846" s="1" t="str">
        <f t="shared" si="91"/>
        <v/>
      </c>
      <c r="G846" s="2" t="str">
        <f t="shared" si="92"/>
        <v/>
      </c>
      <c r="H846" s="1" t="str">
        <f t="shared" si="93"/>
        <v/>
      </c>
      <c r="S846" s="1" t="str">
        <f t="shared" si="94"/>
        <v/>
      </c>
      <c r="U846" s="1" t="str">
        <f t="shared" si="95"/>
        <v/>
      </c>
      <c r="X846" s="1" t="str">
        <f t="shared" si="96"/>
        <v/>
      </c>
      <c r="AA846" s="1" t="str">
        <f t="shared" si="97"/>
        <v/>
      </c>
    </row>
    <row r="847" spans="1:27" x14ac:dyDescent="0.2">
      <c r="A847" t="str">
        <f>IF(COUNTBLANK(B847:AB847)&lt;&gt;COLUMNS(B847:AB847),846,"")</f>
        <v/>
      </c>
      <c r="D847" s="1" t="str">
        <f t="shared" si="91"/>
        <v/>
      </c>
      <c r="G847" s="2" t="str">
        <f t="shared" si="92"/>
        <v/>
      </c>
      <c r="H847" s="1" t="str">
        <f t="shared" si="93"/>
        <v/>
      </c>
      <c r="S847" s="1" t="str">
        <f t="shared" si="94"/>
        <v/>
      </c>
      <c r="U847" s="1" t="str">
        <f t="shared" si="95"/>
        <v/>
      </c>
      <c r="X847" s="1" t="str">
        <f t="shared" si="96"/>
        <v/>
      </c>
      <c r="AA847" s="1" t="str">
        <f t="shared" si="97"/>
        <v/>
      </c>
    </row>
    <row r="848" spans="1:27" x14ac:dyDescent="0.2">
      <c r="A848" t="str">
        <f>IF(COUNTBLANK(B848:AB848)&lt;&gt;COLUMNS(B848:AB848),847,"")</f>
        <v/>
      </c>
      <c r="D848" s="1" t="str">
        <f t="shared" si="91"/>
        <v/>
      </c>
      <c r="G848" s="2" t="str">
        <f t="shared" si="92"/>
        <v/>
      </c>
      <c r="H848" s="1" t="str">
        <f t="shared" si="93"/>
        <v/>
      </c>
      <c r="S848" s="1" t="str">
        <f t="shared" si="94"/>
        <v/>
      </c>
      <c r="U848" s="1" t="str">
        <f t="shared" si="95"/>
        <v/>
      </c>
      <c r="X848" s="1" t="str">
        <f t="shared" si="96"/>
        <v/>
      </c>
      <c r="AA848" s="1" t="str">
        <f t="shared" si="97"/>
        <v/>
      </c>
    </row>
    <row r="849" spans="1:27" x14ac:dyDescent="0.2">
      <c r="A849" t="str">
        <f>IF(COUNTBLANK(B849:AB849)&lt;&gt;COLUMNS(B849:AB849),848,"")</f>
        <v/>
      </c>
      <c r="D849" s="1" t="str">
        <f t="shared" si="91"/>
        <v/>
      </c>
      <c r="G849" s="2" t="str">
        <f t="shared" si="92"/>
        <v/>
      </c>
      <c r="H849" s="1" t="str">
        <f t="shared" si="93"/>
        <v/>
      </c>
      <c r="S849" s="1" t="str">
        <f t="shared" si="94"/>
        <v/>
      </c>
      <c r="U849" s="1" t="str">
        <f t="shared" si="95"/>
        <v/>
      </c>
      <c r="X849" s="1" t="str">
        <f t="shared" si="96"/>
        <v/>
      </c>
      <c r="AA849" s="1" t="str">
        <f t="shared" si="97"/>
        <v/>
      </c>
    </row>
    <row r="850" spans="1:27" x14ac:dyDescent="0.2">
      <c r="A850" t="str">
        <f>IF(COUNTBLANK(B850:AB850)&lt;&gt;COLUMNS(B850:AB850),849,"")</f>
        <v/>
      </c>
      <c r="D850" s="1" t="str">
        <f t="shared" si="91"/>
        <v/>
      </c>
      <c r="G850" s="2" t="str">
        <f t="shared" si="92"/>
        <v/>
      </c>
      <c r="H850" s="1" t="str">
        <f t="shared" si="93"/>
        <v/>
      </c>
      <c r="S850" s="1" t="str">
        <f t="shared" si="94"/>
        <v/>
      </c>
      <c r="U850" s="1" t="str">
        <f t="shared" si="95"/>
        <v/>
      </c>
      <c r="X850" s="1" t="str">
        <f t="shared" si="96"/>
        <v/>
      </c>
      <c r="AA850" s="1" t="str">
        <f t="shared" si="97"/>
        <v/>
      </c>
    </row>
    <row r="851" spans="1:27" x14ac:dyDescent="0.2">
      <c r="A851" t="str">
        <f>IF(COUNTBLANK(B851:AB851)&lt;&gt;COLUMNS(B851:AB851),850,"")</f>
        <v/>
      </c>
      <c r="D851" s="1" t="str">
        <f t="shared" si="91"/>
        <v/>
      </c>
      <c r="G851" s="2" t="str">
        <f t="shared" si="92"/>
        <v/>
      </c>
      <c r="H851" s="1" t="str">
        <f t="shared" si="93"/>
        <v/>
      </c>
      <c r="S851" s="1" t="str">
        <f t="shared" si="94"/>
        <v/>
      </c>
      <c r="U851" s="1" t="str">
        <f t="shared" si="95"/>
        <v/>
      </c>
      <c r="X851" s="1" t="str">
        <f t="shared" si="96"/>
        <v/>
      </c>
      <c r="AA851" s="1" t="str">
        <f t="shared" si="97"/>
        <v/>
      </c>
    </row>
    <row r="852" spans="1:27" x14ac:dyDescent="0.2">
      <c r="A852" t="str">
        <f>IF(COUNTBLANK(B852:AB852)&lt;&gt;COLUMNS(B852:AB852),851,"")</f>
        <v/>
      </c>
      <c r="D852" s="1" t="str">
        <f t="shared" si="91"/>
        <v/>
      </c>
      <c r="G852" s="2" t="str">
        <f t="shared" si="92"/>
        <v/>
      </c>
      <c r="H852" s="1" t="str">
        <f t="shared" si="93"/>
        <v/>
      </c>
      <c r="S852" s="1" t="str">
        <f t="shared" si="94"/>
        <v/>
      </c>
      <c r="U852" s="1" t="str">
        <f t="shared" si="95"/>
        <v/>
      </c>
      <c r="X852" s="1" t="str">
        <f t="shared" si="96"/>
        <v/>
      </c>
      <c r="AA852" s="1" t="str">
        <f t="shared" si="97"/>
        <v/>
      </c>
    </row>
    <row r="853" spans="1:27" x14ac:dyDescent="0.2">
      <c r="A853" t="str">
        <f>IF(COUNTBLANK(B853:AB853)&lt;&gt;COLUMNS(B853:AB853),852,"")</f>
        <v/>
      </c>
      <c r="D853" s="1" t="str">
        <f t="shared" si="91"/>
        <v/>
      </c>
      <c r="G853" s="2" t="str">
        <f t="shared" si="92"/>
        <v/>
      </c>
      <c r="H853" s="1" t="str">
        <f t="shared" si="93"/>
        <v/>
      </c>
      <c r="S853" s="1" t="str">
        <f t="shared" si="94"/>
        <v/>
      </c>
      <c r="U853" s="1" t="str">
        <f t="shared" si="95"/>
        <v/>
      </c>
      <c r="X853" s="1" t="str">
        <f t="shared" si="96"/>
        <v/>
      </c>
      <c r="AA853" s="1" t="str">
        <f t="shared" si="97"/>
        <v/>
      </c>
    </row>
    <row r="854" spans="1:27" x14ac:dyDescent="0.2">
      <c r="A854" t="str">
        <f>IF(COUNTBLANK(B854:AB854)&lt;&gt;COLUMNS(B854:AB854),853,"")</f>
        <v/>
      </c>
      <c r="D854" s="1" t="str">
        <f t="shared" si="91"/>
        <v/>
      </c>
      <c r="G854" s="2" t="str">
        <f t="shared" si="92"/>
        <v/>
      </c>
      <c r="H854" s="1" t="str">
        <f t="shared" si="93"/>
        <v/>
      </c>
      <c r="S854" s="1" t="str">
        <f t="shared" si="94"/>
        <v/>
      </c>
      <c r="U854" s="1" t="str">
        <f t="shared" si="95"/>
        <v/>
      </c>
      <c r="X854" s="1" t="str">
        <f t="shared" si="96"/>
        <v/>
      </c>
      <c r="AA854" s="1" t="str">
        <f t="shared" si="97"/>
        <v/>
      </c>
    </row>
    <row r="855" spans="1:27" x14ac:dyDescent="0.2">
      <c r="A855" t="str">
        <f>IF(COUNTBLANK(B855:AB855)&lt;&gt;COLUMNS(B855:AB855),854,"")</f>
        <v/>
      </c>
      <c r="D855" s="1" t="str">
        <f t="shared" si="91"/>
        <v/>
      </c>
      <c r="G855" s="2" t="str">
        <f t="shared" si="92"/>
        <v/>
      </c>
      <c r="H855" s="1" t="str">
        <f t="shared" si="93"/>
        <v/>
      </c>
      <c r="S855" s="1" t="str">
        <f t="shared" si="94"/>
        <v/>
      </c>
      <c r="U855" s="1" t="str">
        <f t="shared" si="95"/>
        <v/>
      </c>
      <c r="X855" s="1" t="str">
        <f t="shared" si="96"/>
        <v/>
      </c>
      <c r="AA855" s="1" t="str">
        <f t="shared" si="97"/>
        <v/>
      </c>
    </row>
    <row r="856" spans="1:27" x14ac:dyDescent="0.2">
      <c r="A856" t="str">
        <f>IF(COUNTBLANK(B856:AB856)&lt;&gt;COLUMNS(B856:AB856),855,"")</f>
        <v/>
      </c>
      <c r="D856" s="1" t="str">
        <f t="shared" si="91"/>
        <v/>
      </c>
      <c r="G856" s="2" t="str">
        <f t="shared" si="92"/>
        <v/>
      </c>
      <c r="H856" s="1" t="str">
        <f t="shared" si="93"/>
        <v/>
      </c>
      <c r="S856" s="1" t="str">
        <f t="shared" si="94"/>
        <v/>
      </c>
      <c r="U856" s="1" t="str">
        <f t="shared" si="95"/>
        <v/>
      </c>
      <c r="X856" s="1" t="str">
        <f t="shared" si="96"/>
        <v/>
      </c>
      <c r="AA856" s="1" t="str">
        <f t="shared" si="97"/>
        <v/>
      </c>
    </row>
    <row r="857" spans="1:27" x14ac:dyDescent="0.2">
      <c r="A857" t="str">
        <f>IF(COUNTBLANK(B857:AB857)&lt;&gt;COLUMNS(B857:AB857),856,"")</f>
        <v/>
      </c>
      <c r="D857" s="1" t="str">
        <f t="shared" si="91"/>
        <v/>
      </c>
      <c r="G857" s="2" t="str">
        <f t="shared" si="92"/>
        <v/>
      </c>
      <c r="H857" s="1" t="str">
        <f t="shared" si="93"/>
        <v/>
      </c>
      <c r="S857" s="1" t="str">
        <f t="shared" si="94"/>
        <v/>
      </c>
      <c r="U857" s="1" t="str">
        <f t="shared" si="95"/>
        <v/>
      </c>
      <c r="X857" s="1" t="str">
        <f t="shared" si="96"/>
        <v/>
      </c>
      <c r="AA857" s="1" t="str">
        <f t="shared" si="97"/>
        <v/>
      </c>
    </row>
    <row r="858" spans="1:27" x14ac:dyDescent="0.2">
      <c r="A858" t="str">
        <f>IF(COUNTBLANK(B858:AB858)&lt;&gt;COLUMNS(B858:AB858),857,"")</f>
        <v/>
      </c>
      <c r="D858" s="1" t="str">
        <f t="shared" si="91"/>
        <v/>
      </c>
      <c r="G858" s="2" t="str">
        <f t="shared" si="92"/>
        <v/>
      </c>
      <c r="H858" s="1" t="str">
        <f t="shared" si="93"/>
        <v/>
      </c>
      <c r="S858" s="1" t="str">
        <f t="shared" si="94"/>
        <v/>
      </c>
      <c r="U858" s="1" t="str">
        <f t="shared" si="95"/>
        <v/>
      </c>
      <c r="X858" s="1" t="str">
        <f t="shared" si="96"/>
        <v/>
      </c>
      <c r="AA858" s="1" t="str">
        <f t="shared" si="97"/>
        <v/>
      </c>
    </row>
    <row r="859" spans="1:27" x14ac:dyDescent="0.2">
      <c r="A859" t="str">
        <f>IF(COUNTBLANK(B859:AB859)&lt;&gt;COLUMNS(B859:AB859),858,"")</f>
        <v/>
      </c>
      <c r="D859" s="1" t="str">
        <f t="shared" si="91"/>
        <v/>
      </c>
      <c r="G859" s="2" t="str">
        <f t="shared" si="92"/>
        <v/>
      </c>
      <c r="H859" s="1" t="str">
        <f t="shared" si="93"/>
        <v/>
      </c>
      <c r="S859" s="1" t="str">
        <f t="shared" si="94"/>
        <v/>
      </c>
      <c r="U859" s="1" t="str">
        <f t="shared" si="95"/>
        <v/>
      </c>
      <c r="X859" s="1" t="str">
        <f t="shared" si="96"/>
        <v/>
      </c>
      <c r="AA859" s="1" t="str">
        <f t="shared" si="97"/>
        <v/>
      </c>
    </row>
    <row r="860" spans="1:27" x14ac:dyDescent="0.2">
      <c r="A860" t="str">
        <f>IF(COUNTBLANK(B860:AB860)&lt;&gt;COLUMNS(B860:AB860),859,"")</f>
        <v/>
      </c>
      <c r="D860" s="1" t="str">
        <f t="shared" si="91"/>
        <v/>
      </c>
      <c r="G860" s="2" t="str">
        <f t="shared" si="92"/>
        <v/>
      </c>
      <c r="H860" s="1" t="str">
        <f t="shared" si="93"/>
        <v/>
      </c>
      <c r="S860" s="1" t="str">
        <f t="shared" si="94"/>
        <v/>
      </c>
      <c r="U860" s="1" t="str">
        <f t="shared" si="95"/>
        <v/>
      </c>
      <c r="X860" s="1" t="str">
        <f t="shared" si="96"/>
        <v/>
      </c>
      <c r="AA860" s="1" t="str">
        <f t="shared" si="97"/>
        <v/>
      </c>
    </row>
    <row r="861" spans="1:27" x14ac:dyDescent="0.2">
      <c r="A861" t="str">
        <f>IF(COUNTBLANK(B861:AB861)&lt;&gt;COLUMNS(B861:AB861),860,"")</f>
        <v/>
      </c>
      <c r="D861" s="1" t="str">
        <f t="shared" si="91"/>
        <v/>
      </c>
      <c r="G861" s="2" t="str">
        <f t="shared" si="92"/>
        <v/>
      </c>
      <c r="H861" s="1" t="str">
        <f t="shared" si="93"/>
        <v/>
      </c>
      <c r="S861" s="1" t="str">
        <f t="shared" si="94"/>
        <v/>
      </c>
      <c r="U861" s="1" t="str">
        <f t="shared" si="95"/>
        <v/>
      </c>
      <c r="X861" s="1" t="str">
        <f t="shared" si="96"/>
        <v/>
      </c>
      <c r="AA861" s="1" t="str">
        <f t="shared" si="97"/>
        <v/>
      </c>
    </row>
    <row r="862" spans="1:27" x14ac:dyDescent="0.2">
      <c r="A862" t="str">
        <f>IF(COUNTBLANK(B862:AB862)&lt;&gt;COLUMNS(B862:AB862),861,"")</f>
        <v/>
      </c>
      <c r="D862" s="1" t="str">
        <f t="shared" si="91"/>
        <v/>
      </c>
      <c r="G862" s="2" t="str">
        <f t="shared" si="92"/>
        <v/>
      </c>
      <c r="H862" s="1" t="str">
        <f t="shared" si="93"/>
        <v/>
      </c>
      <c r="S862" s="1" t="str">
        <f t="shared" si="94"/>
        <v/>
      </c>
      <c r="U862" s="1" t="str">
        <f t="shared" si="95"/>
        <v/>
      </c>
      <c r="X862" s="1" t="str">
        <f t="shared" si="96"/>
        <v/>
      </c>
      <c r="AA862" s="1" t="str">
        <f t="shared" si="97"/>
        <v/>
      </c>
    </row>
    <row r="863" spans="1:27" x14ac:dyDescent="0.2">
      <c r="A863" t="str">
        <f>IF(COUNTBLANK(B863:AB863)&lt;&gt;COLUMNS(B863:AB863),862,"")</f>
        <v/>
      </c>
      <c r="D863" s="1" t="str">
        <f t="shared" si="91"/>
        <v/>
      </c>
      <c r="G863" s="2" t="str">
        <f t="shared" si="92"/>
        <v/>
      </c>
      <c r="H863" s="1" t="str">
        <f t="shared" si="93"/>
        <v/>
      </c>
      <c r="S863" s="1" t="str">
        <f t="shared" si="94"/>
        <v/>
      </c>
      <c r="U863" s="1" t="str">
        <f t="shared" si="95"/>
        <v/>
      </c>
      <c r="X863" s="1" t="str">
        <f t="shared" si="96"/>
        <v/>
      </c>
      <c r="AA863" s="1" t="str">
        <f t="shared" si="97"/>
        <v/>
      </c>
    </row>
    <row r="864" spans="1:27" x14ac:dyDescent="0.2">
      <c r="A864" t="str">
        <f>IF(COUNTBLANK(B864:AB864)&lt;&gt;COLUMNS(B864:AB864),863,"")</f>
        <v/>
      </c>
      <c r="D864" s="1" t="str">
        <f t="shared" si="91"/>
        <v/>
      </c>
      <c r="G864" s="2" t="str">
        <f t="shared" si="92"/>
        <v/>
      </c>
      <c r="H864" s="1" t="str">
        <f t="shared" si="93"/>
        <v/>
      </c>
      <c r="S864" s="1" t="str">
        <f t="shared" si="94"/>
        <v/>
      </c>
      <c r="U864" s="1" t="str">
        <f t="shared" si="95"/>
        <v/>
      </c>
      <c r="X864" s="1" t="str">
        <f t="shared" si="96"/>
        <v/>
      </c>
      <c r="AA864" s="1" t="str">
        <f t="shared" si="97"/>
        <v/>
      </c>
    </row>
    <row r="865" spans="1:27" x14ac:dyDescent="0.2">
      <c r="A865" t="str">
        <f>IF(COUNTBLANK(B865:AB865)&lt;&gt;COLUMNS(B865:AB865),864,"")</f>
        <v/>
      </c>
      <c r="D865" s="1" t="str">
        <f t="shared" si="91"/>
        <v/>
      </c>
      <c r="G865" s="2" t="str">
        <f t="shared" si="92"/>
        <v/>
      </c>
      <c r="H865" s="1" t="str">
        <f t="shared" si="93"/>
        <v/>
      </c>
      <c r="S865" s="1" t="str">
        <f t="shared" si="94"/>
        <v/>
      </c>
      <c r="U865" s="1" t="str">
        <f t="shared" si="95"/>
        <v/>
      </c>
      <c r="X865" s="1" t="str">
        <f t="shared" si="96"/>
        <v/>
      </c>
      <c r="AA865" s="1" t="str">
        <f t="shared" si="97"/>
        <v/>
      </c>
    </row>
    <row r="866" spans="1:27" x14ac:dyDescent="0.2">
      <c r="A866" t="str">
        <f>IF(COUNTBLANK(B866:AB866)&lt;&gt;COLUMNS(B866:AB866),865,"")</f>
        <v/>
      </c>
      <c r="D866" s="1" t="str">
        <f t="shared" si="91"/>
        <v/>
      </c>
      <c r="G866" s="2" t="str">
        <f t="shared" si="92"/>
        <v/>
      </c>
      <c r="H866" s="1" t="str">
        <f t="shared" si="93"/>
        <v/>
      </c>
      <c r="S866" s="1" t="str">
        <f t="shared" si="94"/>
        <v/>
      </c>
      <c r="U866" s="1" t="str">
        <f t="shared" si="95"/>
        <v/>
      </c>
      <c r="X866" s="1" t="str">
        <f t="shared" si="96"/>
        <v/>
      </c>
      <c r="AA866" s="1" t="str">
        <f t="shared" si="97"/>
        <v/>
      </c>
    </row>
    <row r="867" spans="1:27" x14ac:dyDescent="0.2">
      <c r="A867" t="str">
        <f>IF(COUNTBLANK(B867:AB867)&lt;&gt;COLUMNS(B867:AB867),866,"")</f>
        <v/>
      </c>
      <c r="D867" s="1" t="str">
        <f t="shared" si="91"/>
        <v/>
      </c>
      <c r="G867" s="2" t="str">
        <f t="shared" si="92"/>
        <v/>
      </c>
      <c r="H867" s="1" t="str">
        <f t="shared" si="93"/>
        <v/>
      </c>
      <c r="S867" s="1" t="str">
        <f t="shared" si="94"/>
        <v/>
      </c>
      <c r="U867" s="1" t="str">
        <f t="shared" si="95"/>
        <v/>
      </c>
      <c r="X867" s="1" t="str">
        <f t="shared" si="96"/>
        <v/>
      </c>
      <c r="AA867" s="1" t="str">
        <f t="shared" si="97"/>
        <v/>
      </c>
    </row>
    <row r="868" spans="1:27" x14ac:dyDescent="0.2">
      <c r="A868" t="str">
        <f>IF(COUNTBLANK(B868:AB868)&lt;&gt;COLUMNS(B868:AB868),867,"")</f>
        <v/>
      </c>
      <c r="D868" s="1" t="str">
        <f t="shared" si="91"/>
        <v/>
      </c>
      <c r="G868" s="2" t="str">
        <f t="shared" si="92"/>
        <v/>
      </c>
      <c r="H868" s="1" t="str">
        <f t="shared" si="93"/>
        <v/>
      </c>
      <c r="S868" s="1" t="str">
        <f t="shared" si="94"/>
        <v/>
      </c>
      <c r="U868" s="1" t="str">
        <f t="shared" si="95"/>
        <v/>
      </c>
      <c r="X868" s="1" t="str">
        <f t="shared" si="96"/>
        <v/>
      </c>
      <c r="AA868" s="1" t="str">
        <f t="shared" si="97"/>
        <v/>
      </c>
    </row>
    <row r="869" spans="1:27" x14ac:dyDescent="0.2">
      <c r="A869" t="str">
        <f>IF(COUNTBLANK(B869:AB869)&lt;&gt;COLUMNS(B869:AB869),868,"")</f>
        <v/>
      </c>
      <c r="D869" s="1" t="str">
        <f t="shared" si="91"/>
        <v/>
      </c>
      <c r="G869" s="2" t="str">
        <f t="shared" si="92"/>
        <v/>
      </c>
      <c r="H869" s="1" t="str">
        <f t="shared" si="93"/>
        <v/>
      </c>
      <c r="S869" s="1" t="str">
        <f t="shared" si="94"/>
        <v/>
      </c>
      <c r="U869" s="1" t="str">
        <f t="shared" si="95"/>
        <v/>
      </c>
      <c r="X869" s="1" t="str">
        <f t="shared" si="96"/>
        <v/>
      </c>
      <c r="AA869" s="1" t="str">
        <f t="shared" si="97"/>
        <v/>
      </c>
    </row>
    <row r="870" spans="1:27" x14ac:dyDescent="0.2">
      <c r="A870" t="str">
        <f>IF(COUNTBLANK(B870:AB870)&lt;&gt;COLUMNS(B870:AB870),869,"")</f>
        <v/>
      </c>
      <c r="D870" s="1" t="str">
        <f t="shared" si="91"/>
        <v/>
      </c>
      <c r="G870" s="2" t="str">
        <f t="shared" si="92"/>
        <v/>
      </c>
      <c r="H870" s="1" t="str">
        <f t="shared" si="93"/>
        <v/>
      </c>
      <c r="S870" s="1" t="str">
        <f t="shared" si="94"/>
        <v/>
      </c>
      <c r="U870" s="1" t="str">
        <f t="shared" si="95"/>
        <v/>
      </c>
      <c r="X870" s="1" t="str">
        <f t="shared" si="96"/>
        <v/>
      </c>
      <c r="AA870" s="1" t="str">
        <f t="shared" si="97"/>
        <v/>
      </c>
    </row>
    <row r="871" spans="1:27" x14ac:dyDescent="0.2">
      <c r="A871" t="str">
        <f>IF(COUNTBLANK(B871:AB871)&lt;&gt;COLUMNS(B871:AB871),870,"")</f>
        <v/>
      </c>
      <c r="D871" s="1" t="str">
        <f t="shared" si="91"/>
        <v/>
      </c>
      <c r="G871" s="2" t="str">
        <f t="shared" si="92"/>
        <v/>
      </c>
      <c r="H871" s="1" t="str">
        <f t="shared" si="93"/>
        <v/>
      </c>
      <c r="S871" s="1" t="str">
        <f t="shared" si="94"/>
        <v/>
      </c>
      <c r="U871" s="1" t="str">
        <f t="shared" si="95"/>
        <v/>
      </c>
      <c r="X871" s="1" t="str">
        <f t="shared" si="96"/>
        <v/>
      </c>
      <c r="AA871" s="1" t="str">
        <f t="shared" si="97"/>
        <v/>
      </c>
    </row>
    <row r="872" spans="1:27" x14ac:dyDescent="0.2">
      <c r="A872" t="str">
        <f>IF(COUNTBLANK(B872:AB872)&lt;&gt;COLUMNS(B872:AB872),871,"")</f>
        <v/>
      </c>
      <c r="D872" s="1" t="str">
        <f t="shared" si="91"/>
        <v/>
      </c>
      <c r="G872" s="2" t="str">
        <f t="shared" si="92"/>
        <v/>
      </c>
      <c r="H872" s="1" t="str">
        <f t="shared" si="93"/>
        <v/>
      </c>
      <c r="S872" s="1" t="str">
        <f t="shared" si="94"/>
        <v/>
      </c>
      <c r="U872" s="1" t="str">
        <f t="shared" si="95"/>
        <v/>
      </c>
      <c r="X872" s="1" t="str">
        <f t="shared" si="96"/>
        <v/>
      </c>
      <c r="AA872" s="1" t="str">
        <f t="shared" si="97"/>
        <v/>
      </c>
    </row>
    <row r="873" spans="1:27" x14ac:dyDescent="0.2">
      <c r="A873" t="str">
        <f>IF(COUNTBLANK(B873:AB873)&lt;&gt;COLUMNS(B873:AB873),872,"")</f>
        <v/>
      </c>
      <c r="D873" s="1" t="str">
        <f t="shared" si="91"/>
        <v/>
      </c>
      <c r="G873" s="2" t="str">
        <f t="shared" si="92"/>
        <v/>
      </c>
      <c r="H873" s="1" t="str">
        <f t="shared" si="93"/>
        <v/>
      </c>
      <c r="S873" s="1" t="str">
        <f t="shared" si="94"/>
        <v/>
      </c>
      <c r="U873" s="1" t="str">
        <f t="shared" si="95"/>
        <v/>
      </c>
      <c r="X873" s="1" t="str">
        <f t="shared" si="96"/>
        <v/>
      </c>
      <c r="AA873" s="1" t="str">
        <f t="shared" si="97"/>
        <v/>
      </c>
    </row>
    <row r="874" spans="1:27" x14ac:dyDescent="0.2">
      <c r="A874" t="str">
        <f>IF(COUNTBLANK(B874:AB874)&lt;&gt;COLUMNS(B874:AB874),873,"")</f>
        <v/>
      </c>
      <c r="D874" s="1" t="str">
        <f t="shared" si="91"/>
        <v/>
      </c>
      <c r="G874" s="2" t="str">
        <f t="shared" si="92"/>
        <v/>
      </c>
      <c r="H874" s="1" t="str">
        <f t="shared" si="93"/>
        <v/>
      </c>
      <c r="S874" s="1" t="str">
        <f t="shared" si="94"/>
        <v/>
      </c>
      <c r="U874" s="1" t="str">
        <f t="shared" si="95"/>
        <v/>
      </c>
      <c r="X874" s="1" t="str">
        <f t="shared" si="96"/>
        <v/>
      </c>
      <c r="AA874" s="1" t="str">
        <f t="shared" si="97"/>
        <v/>
      </c>
    </row>
    <row r="875" spans="1:27" x14ac:dyDescent="0.2">
      <c r="A875" t="str">
        <f>IF(COUNTBLANK(B875:AB875)&lt;&gt;COLUMNS(B875:AB875),874,"")</f>
        <v/>
      </c>
      <c r="D875" s="1" t="str">
        <f t="shared" si="91"/>
        <v/>
      </c>
      <c r="G875" s="2" t="str">
        <f t="shared" si="92"/>
        <v/>
      </c>
      <c r="H875" s="1" t="str">
        <f t="shared" si="93"/>
        <v/>
      </c>
      <c r="S875" s="1" t="str">
        <f t="shared" si="94"/>
        <v/>
      </c>
      <c r="U875" s="1" t="str">
        <f t="shared" si="95"/>
        <v/>
      </c>
      <c r="X875" s="1" t="str">
        <f t="shared" si="96"/>
        <v/>
      </c>
      <c r="AA875" s="1" t="str">
        <f t="shared" si="97"/>
        <v/>
      </c>
    </row>
    <row r="876" spans="1:27" x14ac:dyDescent="0.2">
      <c r="A876" t="str">
        <f>IF(COUNTBLANK(B876:AB876)&lt;&gt;COLUMNS(B876:AB876),875,"")</f>
        <v/>
      </c>
      <c r="D876" s="1" t="str">
        <f t="shared" si="91"/>
        <v/>
      </c>
      <c r="G876" s="2" t="str">
        <f t="shared" si="92"/>
        <v/>
      </c>
      <c r="H876" s="1" t="str">
        <f t="shared" si="93"/>
        <v/>
      </c>
      <c r="S876" s="1" t="str">
        <f t="shared" si="94"/>
        <v/>
      </c>
      <c r="U876" s="1" t="str">
        <f t="shared" si="95"/>
        <v/>
      </c>
      <c r="X876" s="1" t="str">
        <f t="shared" si="96"/>
        <v/>
      </c>
      <c r="AA876" s="1" t="str">
        <f t="shared" si="97"/>
        <v/>
      </c>
    </row>
    <row r="877" spans="1:27" x14ac:dyDescent="0.2">
      <c r="A877" t="str">
        <f>IF(COUNTBLANK(B877:AB877)&lt;&gt;COLUMNS(B877:AB877),876,"")</f>
        <v/>
      </c>
      <c r="D877" s="1" t="str">
        <f t="shared" si="91"/>
        <v/>
      </c>
      <c r="G877" s="2" t="str">
        <f t="shared" si="92"/>
        <v/>
      </c>
      <c r="H877" s="1" t="str">
        <f t="shared" si="93"/>
        <v/>
      </c>
      <c r="S877" s="1" t="str">
        <f t="shared" si="94"/>
        <v/>
      </c>
      <c r="U877" s="1" t="str">
        <f t="shared" si="95"/>
        <v/>
      </c>
      <c r="X877" s="1" t="str">
        <f t="shared" si="96"/>
        <v/>
      </c>
      <c r="AA877" s="1" t="str">
        <f t="shared" si="97"/>
        <v/>
      </c>
    </row>
    <row r="878" spans="1:27" x14ac:dyDescent="0.2">
      <c r="A878" t="str">
        <f>IF(COUNTBLANK(B878:AB878)&lt;&gt;COLUMNS(B878:AB878),877,"")</f>
        <v/>
      </c>
      <c r="D878" s="1" t="str">
        <f t="shared" si="91"/>
        <v/>
      </c>
      <c r="G878" s="2" t="str">
        <f t="shared" si="92"/>
        <v/>
      </c>
      <c r="H878" s="1" t="str">
        <f t="shared" si="93"/>
        <v/>
      </c>
      <c r="S878" s="1" t="str">
        <f t="shared" si="94"/>
        <v/>
      </c>
      <c r="U878" s="1" t="str">
        <f t="shared" si="95"/>
        <v/>
      </c>
      <c r="X878" s="1" t="str">
        <f t="shared" si="96"/>
        <v/>
      </c>
      <c r="AA878" s="1" t="str">
        <f t="shared" si="97"/>
        <v/>
      </c>
    </row>
    <row r="879" spans="1:27" x14ac:dyDescent="0.2">
      <c r="A879" t="str">
        <f>IF(COUNTBLANK(B879:AB879)&lt;&gt;COLUMNS(B879:AB879),878,"")</f>
        <v/>
      </c>
      <c r="D879" s="1" t="str">
        <f t="shared" si="91"/>
        <v/>
      </c>
      <c r="G879" s="2" t="str">
        <f t="shared" si="92"/>
        <v/>
      </c>
      <c r="H879" s="1" t="str">
        <f t="shared" si="93"/>
        <v/>
      </c>
      <c r="S879" s="1" t="str">
        <f t="shared" si="94"/>
        <v/>
      </c>
      <c r="U879" s="1" t="str">
        <f t="shared" si="95"/>
        <v/>
      </c>
      <c r="X879" s="1" t="str">
        <f t="shared" si="96"/>
        <v/>
      </c>
      <c r="AA879" s="1" t="str">
        <f t="shared" si="97"/>
        <v/>
      </c>
    </row>
    <row r="880" spans="1:27" x14ac:dyDescent="0.2">
      <c r="A880" t="str">
        <f>IF(COUNTBLANK(B880:AB880)&lt;&gt;COLUMNS(B880:AB880),879,"")</f>
        <v/>
      </c>
      <c r="D880" s="1" t="str">
        <f t="shared" si="91"/>
        <v/>
      </c>
      <c r="G880" s="2" t="str">
        <f t="shared" si="92"/>
        <v/>
      </c>
      <c r="H880" s="1" t="str">
        <f t="shared" si="93"/>
        <v/>
      </c>
      <c r="S880" s="1" t="str">
        <f t="shared" si="94"/>
        <v/>
      </c>
      <c r="U880" s="1" t="str">
        <f t="shared" si="95"/>
        <v/>
      </c>
      <c r="X880" s="1" t="str">
        <f t="shared" si="96"/>
        <v/>
      </c>
      <c r="AA880" s="1" t="str">
        <f t="shared" si="97"/>
        <v/>
      </c>
    </row>
    <row r="881" spans="1:27" x14ac:dyDescent="0.2">
      <c r="A881" t="str">
        <f>IF(COUNTBLANK(B881:AB881)&lt;&gt;COLUMNS(B881:AB881),880,"")</f>
        <v/>
      </c>
      <c r="D881" s="1" t="str">
        <f t="shared" si="91"/>
        <v/>
      </c>
      <c r="G881" s="2" t="str">
        <f t="shared" si="92"/>
        <v/>
      </c>
      <c r="H881" s="1" t="str">
        <f t="shared" si="93"/>
        <v/>
      </c>
      <c r="S881" s="1" t="str">
        <f t="shared" si="94"/>
        <v/>
      </c>
      <c r="U881" s="1" t="str">
        <f t="shared" si="95"/>
        <v/>
      </c>
      <c r="X881" s="1" t="str">
        <f t="shared" si="96"/>
        <v/>
      </c>
      <c r="AA881" s="1" t="str">
        <f t="shared" si="97"/>
        <v/>
      </c>
    </row>
    <row r="882" spans="1:27" x14ac:dyDescent="0.2">
      <c r="A882" t="str">
        <f>IF(COUNTBLANK(B882:AB882)&lt;&gt;COLUMNS(B882:AB882),881,"")</f>
        <v/>
      </c>
      <c r="D882" s="1" t="str">
        <f t="shared" si="91"/>
        <v/>
      </c>
      <c r="G882" s="2" t="str">
        <f t="shared" si="92"/>
        <v/>
      </c>
      <c r="H882" s="1" t="str">
        <f t="shared" si="93"/>
        <v/>
      </c>
      <c r="S882" s="1" t="str">
        <f t="shared" si="94"/>
        <v/>
      </c>
      <c r="U882" s="1" t="str">
        <f t="shared" si="95"/>
        <v/>
      </c>
      <c r="X882" s="1" t="str">
        <f t="shared" si="96"/>
        <v/>
      </c>
      <c r="AA882" s="1" t="str">
        <f t="shared" si="97"/>
        <v/>
      </c>
    </row>
    <row r="883" spans="1:27" x14ac:dyDescent="0.2">
      <c r="A883" t="str">
        <f>IF(COUNTBLANK(B883:AB883)&lt;&gt;COLUMNS(B883:AB883),882,"")</f>
        <v/>
      </c>
      <c r="D883" s="1" t="str">
        <f t="shared" si="91"/>
        <v/>
      </c>
      <c r="G883" s="2" t="str">
        <f t="shared" si="92"/>
        <v/>
      </c>
      <c r="H883" s="1" t="str">
        <f t="shared" si="93"/>
        <v/>
      </c>
      <c r="S883" s="1" t="str">
        <f t="shared" si="94"/>
        <v/>
      </c>
      <c r="U883" s="1" t="str">
        <f t="shared" si="95"/>
        <v/>
      </c>
      <c r="X883" s="1" t="str">
        <f t="shared" si="96"/>
        <v/>
      </c>
      <c r="AA883" s="1" t="str">
        <f t="shared" si="97"/>
        <v/>
      </c>
    </row>
    <row r="884" spans="1:27" x14ac:dyDescent="0.2">
      <c r="A884" t="str">
        <f>IF(COUNTBLANK(B884:AB884)&lt;&gt;COLUMNS(B884:AB884),883,"")</f>
        <v/>
      </c>
      <c r="D884" s="1" t="str">
        <f t="shared" si="91"/>
        <v/>
      </c>
      <c r="G884" s="2" t="str">
        <f t="shared" si="92"/>
        <v/>
      </c>
      <c r="H884" s="1" t="str">
        <f t="shared" si="93"/>
        <v/>
      </c>
      <c r="S884" s="1" t="str">
        <f t="shared" si="94"/>
        <v/>
      </c>
      <c r="U884" s="1" t="str">
        <f t="shared" si="95"/>
        <v/>
      </c>
      <c r="X884" s="1" t="str">
        <f t="shared" si="96"/>
        <v/>
      </c>
      <c r="AA884" s="1" t="str">
        <f t="shared" si="97"/>
        <v/>
      </c>
    </row>
    <row r="885" spans="1:27" x14ac:dyDescent="0.2">
      <c r="A885" t="str">
        <f>IF(COUNTBLANK(B885:AB885)&lt;&gt;COLUMNS(B885:AB885),884,"")</f>
        <v/>
      </c>
      <c r="D885" s="1" t="str">
        <f t="shared" si="91"/>
        <v/>
      </c>
      <c r="G885" s="2" t="str">
        <f t="shared" si="92"/>
        <v/>
      </c>
      <c r="H885" s="1" t="str">
        <f t="shared" si="93"/>
        <v/>
      </c>
      <c r="S885" s="1" t="str">
        <f t="shared" si="94"/>
        <v/>
      </c>
      <c r="U885" s="1" t="str">
        <f t="shared" si="95"/>
        <v/>
      </c>
      <c r="X885" s="1" t="str">
        <f t="shared" si="96"/>
        <v/>
      </c>
      <c r="AA885" s="1" t="str">
        <f t="shared" si="97"/>
        <v/>
      </c>
    </row>
    <row r="886" spans="1:27" x14ac:dyDescent="0.2">
      <c r="A886" t="str">
        <f>IF(COUNTBLANK(B886:AB886)&lt;&gt;COLUMNS(B886:AB886),885,"")</f>
        <v/>
      </c>
      <c r="D886" s="1" t="str">
        <f t="shared" si="91"/>
        <v/>
      </c>
      <c r="G886" s="2" t="str">
        <f t="shared" si="92"/>
        <v/>
      </c>
      <c r="H886" s="1" t="str">
        <f t="shared" si="93"/>
        <v/>
      </c>
      <c r="S886" s="1" t="str">
        <f t="shared" si="94"/>
        <v/>
      </c>
      <c r="U886" s="1" t="str">
        <f t="shared" si="95"/>
        <v/>
      </c>
      <c r="X886" s="1" t="str">
        <f t="shared" si="96"/>
        <v/>
      </c>
      <c r="AA886" s="1" t="str">
        <f t="shared" si="97"/>
        <v/>
      </c>
    </row>
    <row r="887" spans="1:27" x14ac:dyDescent="0.2">
      <c r="A887" t="str">
        <f>IF(COUNTBLANK(B887:AB887)&lt;&gt;COLUMNS(B887:AB887),886,"")</f>
        <v/>
      </c>
      <c r="D887" s="1" t="str">
        <f t="shared" si="91"/>
        <v/>
      </c>
      <c r="G887" s="2" t="str">
        <f t="shared" si="92"/>
        <v/>
      </c>
      <c r="H887" s="1" t="str">
        <f t="shared" si="93"/>
        <v/>
      </c>
      <c r="S887" s="1" t="str">
        <f t="shared" si="94"/>
        <v/>
      </c>
      <c r="U887" s="1" t="str">
        <f t="shared" si="95"/>
        <v/>
      </c>
      <c r="X887" s="1" t="str">
        <f t="shared" si="96"/>
        <v/>
      </c>
      <c r="AA887" s="1" t="str">
        <f t="shared" si="97"/>
        <v/>
      </c>
    </row>
    <row r="888" spans="1:27" x14ac:dyDescent="0.2">
      <c r="A888" t="str">
        <f>IF(COUNTBLANK(B888:AB888)&lt;&gt;COLUMNS(B888:AB888),887,"")</f>
        <v/>
      </c>
      <c r="D888" s="1" t="str">
        <f t="shared" si="91"/>
        <v/>
      </c>
      <c r="G888" s="2" t="str">
        <f t="shared" si="92"/>
        <v/>
      </c>
      <c r="H888" s="1" t="str">
        <f t="shared" si="93"/>
        <v/>
      </c>
      <c r="S888" s="1" t="str">
        <f t="shared" si="94"/>
        <v/>
      </c>
      <c r="U888" s="1" t="str">
        <f t="shared" si="95"/>
        <v/>
      </c>
      <c r="X888" s="1" t="str">
        <f t="shared" si="96"/>
        <v/>
      </c>
      <c r="AA888" s="1" t="str">
        <f t="shared" si="97"/>
        <v/>
      </c>
    </row>
    <row r="889" spans="1:27" x14ac:dyDescent="0.2">
      <c r="A889" t="str">
        <f>IF(COUNTBLANK(B889:AB889)&lt;&gt;COLUMNS(B889:AB889),888,"")</f>
        <v/>
      </c>
      <c r="D889" s="1" t="str">
        <f t="shared" si="91"/>
        <v/>
      </c>
      <c r="G889" s="2" t="str">
        <f t="shared" si="92"/>
        <v/>
      </c>
      <c r="H889" s="1" t="str">
        <f t="shared" si="93"/>
        <v/>
      </c>
      <c r="S889" s="1" t="str">
        <f t="shared" si="94"/>
        <v/>
      </c>
      <c r="U889" s="1" t="str">
        <f t="shared" si="95"/>
        <v/>
      </c>
      <c r="X889" s="1" t="str">
        <f t="shared" si="96"/>
        <v/>
      </c>
      <c r="AA889" s="1" t="str">
        <f t="shared" si="97"/>
        <v/>
      </c>
    </row>
    <row r="890" spans="1:27" x14ac:dyDescent="0.2">
      <c r="A890" t="str">
        <f>IF(COUNTBLANK(B890:AB890)&lt;&gt;COLUMNS(B890:AB890),889,"")</f>
        <v/>
      </c>
      <c r="D890" s="1" t="str">
        <f t="shared" si="91"/>
        <v/>
      </c>
      <c r="G890" s="2" t="str">
        <f t="shared" si="92"/>
        <v/>
      </c>
      <c r="H890" s="1" t="str">
        <f t="shared" si="93"/>
        <v/>
      </c>
      <c r="S890" s="1" t="str">
        <f t="shared" si="94"/>
        <v/>
      </c>
      <c r="U890" s="1" t="str">
        <f t="shared" si="95"/>
        <v/>
      </c>
      <c r="X890" s="1" t="str">
        <f t="shared" si="96"/>
        <v/>
      </c>
      <c r="AA890" s="1" t="str">
        <f t="shared" si="97"/>
        <v/>
      </c>
    </row>
    <row r="891" spans="1:27" x14ac:dyDescent="0.2">
      <c r="A891" t="str">
        <f>IF(COUNTBLANK(B891:AB891)&lt;&gt;COLUMNS(B891:AB891),890,"")</f>
        <v/>
      </c>
      <c r="D891" s="1" t="str">
        <f t="shared" si="91"/>
        <v/>
      </c>
      <c r="G891" s="2" t="str">
        <f t="shared" si="92"/>
        <v/>
      </c>
      <c r="H891" s="1" t="str">
        <f t="shared" si="93"/>
        <v/>
      </c>
      <c r="S891" s="1" t="str">
        <f t="shared" si="94"/>
        <v/>
      </c>
      <c r="U891" s="1" t="str">
        <f t="shared" si="95"/>
        <v/>
      </c>
      <c r="X891" s="1" t="str">
        <f t="shared" si="96"/>
        <v/>
      </c>
      <c r="AA891" s="1" t="str">
        <f t="shared" si="97"/>
        <v/>
      </c>
    </row>
    <row r="892" spans="1:27" x14ac:dyDescent="0.2">
      <c r="A892" t="str">
        <f>IF(COUNTBLANK(B892:AB892)&lt;&gt;COLUMNS(B892:AB892),891,"")</f>
        <v/>
      </c>
      <c r="D892" s="1" t="str">
        <f t="shared" si="91"/>
        <v/>
      </c>
      <c r="G892" s="2" t="str">
        <f t="shared" si="92"/>
        <v/>
      </c>
      <c r="H892" s="1" t="str">
        <f t="shared" si="93"/>
        <v/>
      </c>
      <c r="S892" s="1" t="str">
        <f t="shared" si="94"/>
        <v/>
      </c>
      <c r="U892" s="1" t="str">
        <f t="shared" si="95"/>
        <v/>
      </c>
      <c r="X892" s="1" t="str">
        <f t="shared" si="96"/>
        <v/>
      </c>
      <c r="AA892" s="1" t="str">
        <f t="shared" si="97"/>
        <v/>
      </c>
    </row>
    <row r="893" spans="1:27" x14ac:dyDescent="0.2">
      <c r="A893" t="str">
        <f>IF(COUNTBLANK(B893:AB893)&lt;&gt;COLUMNS(B893:AB893),892,"")</f>
        <v/>
      </c>
      <c r="D893" s="1" t="str">
        <f t="shared" si="91"/>
        <v/>
      </c>
      <c r="G893" s="2" t="str">
        <f t="shared" si="92"/>
        <v/>
      </c>
      <c r="H893" s="1" t="str">
        <f t="shared" si="93"/>
        <v/>
      </c>
      <c r="S893" s="1" t="str">
        <f t="shared" si="94"/>
        <v/>
      </c>
      <c r="U893" s="1" t="str">
        <f t="shared" si="95"/>
        <v/>
      </c>
      <c r="X893" s="1" t="str">
        <f t="shared" si="96"/>
        <v/>
      </c>
      <c r="AA893" s="1" t="str">
        <f t="shared" si="97"/>
        <v/>
      </c>
    </row>
    <row r="894" spans="1:27" x14ac:dyDescent="0.2">
      <c r="A894" t="str">
        <f>IF(COUNTBLANK(B894:AB894)&lt;&gt;COLUMNS(B894:AB894),893,"")</f>
        <v/>
      </c>
      <c r="D894" s="1" t="str">
        <f t="shared" si="91"/>
        <v/>
      </c>
      <c r="G894" s="2" t="str">
        <f t="shared" si="92"/>
        <v/>
      </c>
      <c r="H894" s="1" t="str">
        <f t="shared" si="93"/>
        <v/>
      </c>
      <c r="S894" s="1" t="str">
        <f t="shared" si="94"/>
        <v/>
      </c>
      <c r="U894" s="1" t="str">
        <f t="shared" si="95"/>
        <v/>
      </c>
      <c r="X894" s="1" t="str">
        <f t="shared" si="96"/>
        <v/>
      </c>
      <c r="AA894" s="1" t="str">
        <f t="shared" si="97"/>
        <v/>
      </c>
    </row>
    <row r="895" spans="1:27" x14ac:dyDescent="0.2">
      <c r="A895" t="str">
        <f>IF(COUNTBLANK(B895:AB895)&lt;&gt;COLUMNS(B895:AB895),894,"")</f>
        <v/>
      </c>
      <c r="D895" s="1" t="str">
        <f t="shared" si="91"/>
        <v/>
      </c>
      <c r="G895" s="2" t="str">
        <f t="shared" si="92"/>
        <v/>
      </c>
      <c r="H895" s="1" t="str">
        <f t="shared" si="93"/>
        <v/>
      </c>
      <c r="S895" s="1" t="str">
        <f t="shared" si="94"/>
        <v/>
      </c>
      <c r="U895" s="1" t="str">
        <f t="shared" si="95"/>
        <v/>
      </c>
      <c r="X895" s="1" t="str">
        <f t="shared" si="96"/>
        <v/>
      </c>
      <c r="AA895" s="1" t="str">
        <f t="shared" si="97"/>
        <v/>
      </c>
    </row>
    <row r="896" spans="1:27" x14ac:dyDescent="0.2">
      <c r="A896" t="str">
        <f>IF(COUNTBLANK(B896:AB896)&lt;&gt;COLUMNS(B896:AB896),895,"")</f>
        <v/>
      </c>
      <c r="D896" s="1" t="str">
        <f t="shared" si="91"/>
        <v/>
      </c>
      <c r="G896" s="2" t="str">
        <f t="shared" si="92"/>
        <v/>
      </c>
      <c r="H896" s="1" t="str">
        <f t="shared" si="93"/>
        <v/>
      </c>
      <c r="S896" s="1" t="str">
        <f t="shared" si="94"/>
        <v/>
      </c>
      <c r="U896" s="1" t="str">
        <f t="shared" si="95"/>
        <v/>
      </c>
      <c r="X896" s="1" t="str">
        <f t="shared" si="96"/>
        <v/>
      </c>
      <c r="AA896" s="1" t="str">
        <f t="shared" si="97"/>
        <v/>
      </c>
    </row>
    <row r="897" spans="1:27" x14ac:dyDescent="0.2">
      <c r="A897" t="str">
        <f>IF(COUNTBLANK(B897:AB897)&lt;&gt;COLUMNS(B897:AB897),896,"")</f>
        <v/>
      </c>
      <c r="D897" s="1" t="str">
        <f t="shared" si="91"/>
        <v/>
      </c>
      <c r="G897" s="2" t="str">
        <f t="shared" si="92"/>
        <v/>
      </c>
      <c r="H897" s="1" t="str">
        <f t="shared" si="93"/>
        <v/>
      </c>
      <c r="S897" s="1" t="str">
        <f t="shared" si="94"/>
        <v/>
      </c>
      <c r="U897" s="1" t="str">
        <f t="shared" si="95"/>
        <v/>
      </c>
      <c r="X897" s="1" t="str">
        <f t="shared" si="96"/>
        <v/>
      </c>
      <c r="AA897" s="1" t="str">
        <f t="shared" si="97"/>
        <v/>
      </c>
    </row>
    <row r="898" spans="1:27" x14ac:dyDescent="0.2">
      <c r="A898" t="str">
        <f>IF(COUNTBLANK(B898:AB898)&lt;&gt;COLUMNS(B898:AB898),897,"")</f>
        <v/>
      </c>
      <c r="D898" s="1" t="str">
        <f t="shared" ref="D898:D961" si="98">IF(B898="", "", "Not applicable")</f>
        <v/>
      </c>
      <c r="G898" s="2" t="str">
        <f t="shared" ref="G898:G961" si="99">IF(B898="", "", "missing: not provided")</f>
        <v/>
      </c>
      <c r="H898" s="1" t="str">
        <f t="shared" ref="H898:H961" si="100">IF(B898="", "", "meters")</f>
        <v/>
      </c>
      <c r="S898" s="1" t="str">
        <f t="shared" ref="S898:S961" si="101">IF(B898="", "", "Decimal degrees")</f>
        <v/>
      </c>
      <c r="U898" s="1" t="str">
        <f t="shared" ref="U898:U961" si="102">IF(B898="", "", "Decimal degrees")</f>
        <v/>
      </c>
      <c r="X898" s="1" t="str">
        <f t="shared" ref="X898:X961" si="103">IF(B898="", "", "other")</f>
        <v/>
      </c>
      <c r="AA898" s="1" t="str">
        <f t="shared" ref="AA898:AA961" si="104">IF(B898="", "", "Not applicable")</f>
        <v/>
      </c>
    </row>
    <row r="899" spans="1:27" x14ac:dyDescent="0.2">
      <c r="A899" t="str">
        <f>IF(COUNTBLANK(B899:AB899)&lt;&gt;COLUMNS(B899:AB899),898,"")</f>
        <v/>
      </c>
      <c r="D899" s="1" t="str">
        <f t="shared" si="98"/>
        <v/>
      </c>
      <c r="G899" s="2" t="str">
        <f t="shared" si="99"/>
        <v/>
      </c>
      <c r="H899" s="1" t="str">
        <f t="shared" si="100"/>
        <v/>
      </c>
      <c r="S899" s="1" t="str">
        <f t="shared" si="101"/>
        <v/>
      </c>
      <c r="U899" s="1" t="str">
        <f t="shared" si="102"/>
        <v/>
      </c>
      <c r="X899" s="1" t="str">
        <f t="shared" si="103"/>
        <v/>
      </c>
      <c r="AA899" s="1" t="str">
        <f t="shared" si="104"/>
        <v/>
      </c>
    </row>
    <row r="900" spans="1:27" x14ac:dyDescent="0.2">
      <c r="A900" t="str">
        <f>IF(COUNTBLANK(B900:AB900)&lt;&gt;COLUMNS(B900:AB900),899,"")</f>
        <v/>
      </c>
      <c r="D900" s="1" t="str">
        <f t="shared" si="98"/>
        <v/>
      </c>
      <c r="G900" s="2" t="str">
        <f t="shared" si="99"/>
        <v/>
      </c>
      <c r="H900" s="1" t="str">
        <f t="shared" si="100"/>
        <v/>
      </c>
      <c r="S900" s="1" t="str">
        <f t="shared" si="101"/>
        <v/>
      </c>
      <c r="U900" s="1" t="str">
        <f t="shared" si="102"/>
        <v/>
      </c>
      <c r="X900" s="1" t="str">
        <f t="shared" si="103"/>
        <v/>
      </c>
      <c r="AA900" s="1" t="str">
        <f t="shared" si="104"/>
        <v/>
      </c>
    </row>
    <row r="901" spans="1:27" x14ac:dyDescent="0.2">
      <c r="A901" t="str">
        <f>IF(COUNTBLANK(B901:AB901)&lt;&gt;COLUMNS(B901:AB901),900,"")</f>
        <v/>
      </c>
      <c r="D901" s="1" t="str">
        <f t="shared" si="98"/>
        <v/>
      </c>
      <c r="G901" s="2" t="str">
        <f t="shared" si="99"/>
        <v/>
      </c>
      <c r="H901" s="1" t="str">
        <f t="shared" si="100"/>
        <v/>
      </c>
      <c r="S901" s="1" t="str">
        <f t="shared" si="101"/>
        <v/>
      </c>
      <c r="U901" s="1" t="str">
        <f t="shared" si="102"/>
        <v/>
      </c>
      <c r="X901" s="1" t="str">
        <f t="shared" si="103"/>
        <v/>
      </c>
      <c r="AA901" s="1" t="str">
        <f t="shared" si="104"/>
        <v/>
      </c>
    </row>
    <row r="902" spans="1:27" x14ac:dyDescent="0.2">
      <c r="A902" t="str">
        <f>IF(COUNTBLANK(B902:AB902)&lt;&gt;COLUMNS(B902:AB902),901,"")</f>
        <v/>
      </c>
      <c r="D902" s="1" t="str">
        <f t="shared" si="98"/>
        <v/>
      </c>
      <c r="G902" s="2" t="str">
        <f t="shared" si="99"/>
        <v/>
      </c>
      <c r="H902" s="1" t="str">
        <f t="shared" si="100"/>
        <v/>
      </c>
      <c r="S902" s="1" t="str">
        <f t="shared" si="101"/>
        <v/>
      </c>
      <c r="U902" s="1" t="str">
        <f t="shared" si="102"/>
        <v/>
      </c>
      <c r="X902" s="1" t="str">
        <f t="shared" si="103"/>
        <v/>
      </c>
      <c r="AA902" s="1" t="str">
        <f t="shared" si="104"/>
        <v/>
      </c>
    </row>
    <row r="903" spans="1:27" x14ac:dyDescent="0.2">
      <c r="A903" t="str">
        <f>IF(COUNTBLANK(B903:AB903)&lt;&gt;COLUMNS(B903:AB903),902,"")</f>
        <v/>
      </c>
      <c r="D903" s="1" t="str">
        <f t="shared" si="98"/>
        <v/>
      </c>
      <c r="G903" s="2" t="str">
        <f t="shared" si="99"/>
        <v/>
      </c>
      <c r="H903" s="1" t="str">
        <f t="shared" si="100"/>
        <v/>
      </c>
      <c r="S903" s="1" t="str">
        <f t="shared" si="101"/>
        <v/>
      </c>
      <c r="U903" s="1" t="str">
        <f t="shared" si="102"/>
        <v/>
      </c>
      <c r="X903" s="1" t="str">
        <f t="shared" si="103"/>
        <v/>
      </c>
      <c r="AA903" s="1" t="str">
        <f t="shared" si="104"/>
        <v/>
      </c>
    </row>
    <row r="904" spans="1:27" x14ac:dyDescent="0.2">
      <c r="A904" t="str">
        <f>IF(COUNTBLANK(B904:AB904)&lt;&gt;COLUMNS(B904:AB904),903,"")</f>
        <v/>
      </c>
      <c r="D904" s="1" t="str">
        <f t="shared" si="98"/>
        <v/>
      </c>
      <c r="G904" s="2" t="str">
        <f t="shared" si="99"/>
        <v/>
      </c>
      <c r="H904" s="1" t="str">
        <f t="shared" si="100"/>
        <v/>
      </c>
      <c r="S904" s="1" t="str">
        <f t="shared" si="101"/>
        <v/>
      </c>
      <c r="U904" s="1" t="str">
        <f t="shared" si="102"/>
        <v/>
      </c>
      <c r="X904" s="1" t="str">
        <f t="shared" si="103"/>
        <v/>
      </c>
      <c r="AA904" s="1" t="str">
        <f t="shared" si="104"/>
        <v/>
      </c>
    </row>
    <row r="905" spans="1:27" x14ac:dyDescent="0.2">
      <c r="A905" t="str">
        <f>IF(COUNTBLANK(B905:AB905)&lt;&gt;COLUMNS(B905:AB905),904,"")</f>
        <v/>
      </c>
      <c r="D905" s="1" t="str">
        <f t="shared" si="98"/>
        <v/>
      </c>
      <c r="G905" s="2" t="str">
        <f t="shared" si="99"/>
        <v/>
      </c>
      <c r="H905" s="1" t="str">
        <f t="shared" si="100"/>
        <v/>
      </c>
      <c r="S905" s="1" t="str">
        <f t="shared" si="101"/>
        <v/>
      </c>
      <c r="U905" s="1" t="str">
        <f t="shared" si="102"/>
        <v/>
      </c>
      <c r="X905" s="1" t="str">
        <f t="shared" si="103"/>
        <v/>
      </c>
      <c r="AA905" s="1" t="str">
        <f t="shared" si="104"/>
        <v/>
      </c>
    </row>
    <row r="906" spans="1:27" x14ac:dyDescent="0.2">
      <c r="A906" t="str">
        <f>IF(COUNTBLANK(B906:AB906)&lt;&gt;COLUMNS(B906:AB906),905,"")</f>
        <v/>
      </c>
      <c r="D906" s="1" t="str">
        <f t="shared" si="98"/>
        <v/>
      </c>
      <c r="G906" s="2" t="str">
        <f t="shared" si="99"/>
        <v/>
      </c>
      <c r="H906" s="1" t="str">
        <f t="shared" si="100"/>
        <v/>
      </c>
      <c r="S906" s="1" t="str">
        <f t="shared" si="101"/>
        <v/>
      </c>
      <c r="U906" s="1" t="str">
        <f t="shared" si="102"/>
        <v/>
      </c>
      <c r="X906" s="1" t="str">
        <f t="shared" si="103"/>
        <v/>
      </c>
      <c r="AA906" s="1" t="str">
        <f t="shared" si="104"/>
        <v/>
      </c>
    </row>
    <row r="907" spans="1:27" x14ac:dyDescent="0.2">
      <c r="A907" t="str">
        <f>IF(COUNTBLANK(B907:AB907)&lt;&gt;COLUMNS(B907:AB907),906,"")</f>
        <v/>
      </c>
      <c r="D907" s="1" t="str">
        <f t="shared" si="98"/>
        <v/>
      </c>
      <c r="G907" s="2" t="str">
        <f t="shared" si="99"/>
        <v/>
      </c>
      <c r="H907" s="1" t="str">
        <f t="shared" si="100"/>
        <v/>
      </c>
      <c r="S907" s="1" t="str">
        <f t="shared" si="101"/>
        <v/>
      </c>
      <c r="U907" s="1" t="str">
        <f t="shared" si="102"/>
        <v/>
      </c>
      <c r="X907" s="1" t="str">
        <f t="shared" si="103"/>
        <v/>
      </c>
      <c r="AA907" s="1" t="str">
        <f t="shared" si="104"/>
        <v/>
      </c>
    </row>
    <row r="908" spans="1:27" x14ac:dyDescent="0.2">
      <c r="A908" t="str">
        <f>IF(COUNTBLANK(B908:AB908)&lt;&gt;COLUMNS(B908:AB908),907,"")</f>
        <v/>
      </c>
      <c r="D908" s="1" t="str">
        <f t="shared" si="98"/>
        <v/>
      </c>
      <c r="G908" s="2" t="str">
        <f t="shared" si="99"/>
        <v/>
      </c>
      <c r="H908" s="1" t="str">
        <f t="shared" si="100"/>
        <v/>
      </c>
      <c r="S908" s="1" t="str">
        <f t="shared" si="101"/>
        <v/>
      </c>
      <c r="U908" s="1" t="str">
        <f t="shared" si="102"/>
        <v/>
      </c>
      <c r="X908" s="1" t="str">
        <f t="shared" si="103"/>
        <v/>
      </c>
      <c r="AA908" s="1" t="str">
        <f t="shared" si="104"/>
        <v/>
      </c>
    </row>
    <row r="909" spans="1:27" x14ac:dyDescent="0.2">
      <c r="A909" t="str">
        <f>IF(COUNTBLANK(B909:AB909)&lt;&gt;COLUMNS(B909:AB909),908,"")</f>
        <v/>
      </c>
      <c r="D909" s="1" t="str">
        <f t="shared" si="98"/>
        <v/>
      </c>
      <c r="G909" s="2" t="str">
        <f t="shared" si="99"/>
        <v/>
      </c>
      <c r="H909" s="1" t="str">
        <f t="shared" si="100"/>
        <v/>
      </c>
      <c r="S909" s="1" t="str">
        <f t="shared" si="101"/>
        <v/>
      </c>
      <c r="U909" s="1" t="str">
        <f t="shared" si="102"/>
        <v/>
      </c>
      <c r="X909" s="1" t="str">
        <f t="shared" si="103"/>
        <v/>
      </c>
      <c r="AA909" s="1" t="str">
        <f t="shared" si="104"/>
        <v/>
      </c>
    </row>
    <row r="910" spans="1:27" x14ac:dyDescent="0.2">
      <c r="A910" t="str">
        <f>IF(COUNTBLANK(B910:AB910)&lt;&gt;COLUMNS(B910:AB910),909,"")</f>
        <v/>
      </c>
      <c r="D910" s="1" t="str">
        <f t="shared" si="98"/>
        <v/>
      </c>
      <c r="G910" s="2" t="str">
        <f t="shared" si="99"/>
        <v/>
      </c>
      <c r="H910" s="1" t="str">
        <f t="shared" si="100"/>
        <v/>
      </c>
      <c r="S910" s="1" t="str">
        <f t="shared" si="101"/>
        <v/>
      </c>
      <c r="U910" s="1" t="str">
        <f t="shared" si="102"/>
        <v/>
      </c>
      <c r="X910" s="1" t="str">
        <f t="shared" si="103"/>
        <v/>
      </c>
      <c r="AA910" s="1" t="str">
        <f t="shared" si="104"/>
        <v/>
      </c>
    </row>
    <row r="911" spans="1:27" x14ac:dyDescent="0.2">
      <c r="A911" t="str">
        <f>IF(COUNTBLANK(B911:AB911)&lt;&gt;COLUMNS(B911:AB911),910,"")</f>
        <v/>
      </c>
      <c r="D911" s="1" t="str">
        <f t="shared" si="98"/>
        <v/>
      </c>
      <c r="G911" s="2" t="str">
        <f t="shared" si="99"/>
        <v/>
      </c>
      <c r="H911" s="1" t="str">
        <f t="shared" si="100"/>
        <v/>
      </c>
      <c r="S911" s="1" t="str">
        <f t="shared" si="101"/>
        <v/>
      </c>
      <c r="U911" s="1" t="str">
        <f t="shared" si="102"/>
        <v/>
      </c>
      <c r="X911" s="1" t="str">
        <f t="shared" si="103"/>
        <v/>
      </c>
      <c r="AA911" s="1" t="str">
        <f t="shared" si="104"/>
        <v/>
      </c>
    </row>
    <row r="912" spans="1:27" x14ac:dyDescent="0.2">
      <c r="A912" t="str">
        <f>IF(COUNTBLANK(B912:AB912)&lt;&gt;COLUMNS(B912:AB912),911,"")</f>
        <v/>
      </c>
      <c r="D912" s="1" t="str">
        <f t="shared" si="98"/>
        <v/>
      </c>
      <c r="G912" s="2" t="str">
        <f t="shared" si="99"/>
        <v/>
      </c>
      <c r="H912" s="1" t="str">
        <f t="shared" si="100"/>
        <v/>
      </c>
      <c r="S912" s="1" t="str">
        <f t="shared" si="101"/>
        <v/>
      </c>
      <c r="U912" s="1" t="str">
        <f t="shared" si="102"/>
        <v/>
      </c>
      <c r="X912" s="1" t="str">
        <f t="shared" si="103"/>
        <v/>
      </c>
      <c r="AA912" s="1" t="str">
        <f t="shared" si="104"/>
        <v/>
      </c>
    </row>
    <row r="913" spans="1:27" x14ac:dyDescent="0.2">
      <c r="A913" t="str">
        <f>IF(COUNTBLANK(B913:AB913)&lt;&gt;COLUMNS(B913:AB913),912,"")</f>
        <v/>
      </c>
      <c r="D913" s="1" t="str">
        <f t="shared" si="98"/>
        <v/>
      </c>
      <c r="G913" s="2" t="str">
        <f t="shared" si="99"/>
        <v/>
      </c>
      <c r="H913" s="1" t="str">
        <f t="shared" si="100"/>
        <v/>
      </c>
      <c r="S913" s="1" t="str">
        <f t="shared" si="101"/>
        <v/>
      </c>
      <c r="U913" s="1" t="str">
        <f t="shared" si="102"/>
        <v/>
      </c>
      <c r="X913" s="1" t="str">
        <f t="shared" si="103"/>
        <v/>
      </c>
      <c r="AA913" s="1" t="str">
        <f t="shared" si="104"/>
        <v/>
      </c>
    </row>
    <row r="914" spans="1:27" x14ac:dyDescent="0.2">
      <c r="A914" t="str">
        <f>IF(COUNTBLANK(B914:AB914)&lt;&gt;COLUMNS(B914:AB914),913,"")</f>
        <v/>
      </c>
      <c r="D914" s="1" t="str">
        <f t="shared" si="98"/>
        <v/>
      </c>
      <c r="G914" s="2" t="str">
        <f t="shared" si="99"/>
        <v/>
      </c>
      <c r="H914" s="1" t="str">
        <f t="shared" si="100"/>
        <v/>
      </c>
      <c r="S914" s="1" t="str">
        <f t="shared" si="101"/>
        <v/>
      </c>
      <c r="U914" s="1" t="str">
        <f t="shared" si="102"/>
        <v/>
      </c>
      <c r="X914" s="1" t="str">
        <f t="shared" si="103"/>
        <v/>
      </c>
      <c r="AA914" s="1" t="str">
        <f t="shared" si="104"/>
        <v/>
      </c>
    </row>
    <row r="915" spans="1:27" x14ac:dyDescent="0.2">
      <c r="A915" t="str">
        <f>IF(COUNTBLANK(B915:AB915)&lt;&gt;COLUMNS(B915:AB915),914,"")</f>
        <v/>
      </c>
      <c r="D915" s="1" t="str">
        <f t="shared" si="98"/>
        <v/>
      </c>
      <c r="G915" s="2" t="str">
        <f t="shared" si="99"/>
        <v/>
      </c>
      <c r="H915" s="1" t="str">
        <f t="shared" si="100"/>
        <v/>
      </c>
      <c r="S915" s="1" t="str">
        <f t="shared" si="101"/>
        <v/>
      </c>
      <c r="U915" s="1" t="str">
        <f t="shared" si="102"/>
        <v/>
      </c>
      <c r="X915" s="1" t="str">
        <f t="shared" si="103"/>
        <v/>
      </c>
      <c r="AA915" s="1" t="str">
        <f t="shared" si="104"/>
        <v/>
      </c>
    </row>
    <row r="916" spans="1:27" x14ac:dyDescent="0.2">
      <c r="A916" t="str">
        <f>IF(COUNTBLANK(B916:AB916)&lt;&gt;COLUMNS(B916:AB916),915,"")</f>
        <v/>
      </c>
      <c r="D916" s="1" t="str">
        <f t="shared" si="98"/>
        <v/>
      </c>
      <c r="G916" s="2" t="str">
        <f t="shared" si="99"/>
        <v/>
      </c>
      <c r="H916" s="1" t="str">
        <f t="shared" si="100"/>
        <v/>
      </c>
      <c r="S916" s="1" t="str">
        <f t="shared" si="101"/>
        <v/>
      </c>
      <c r="U916" s="1" t="str">
        <f t="shared" si="102"/>
        <v/>
      </c>
      <c r="X916" s="1" t="str">
        <f t="shared" si="103"/>
        <v/>
      </c>
      <c r="AA916" s="1" t="str">
        <f t="shared" si="104"/>
        <v/>
      </c>
    </row>
    <row r="917" spans="1:27" x14ac:dyDescent="0.2">
      <c r="A917" t="str">
        <f>IF(COUNTBLANK(B917:AB917)&lt;&gt;COLUMNS(B917:AB917),916,"")</f>
        <v/>
      </c>
      <c r="D917" s="1" t="str">
        <f t="shared" si="98"/>
        <v/>
      </c>
      <c r="G917" s="2" t="str">
        <f t="shared" si="99"/>
        <v/>
      </c>
      <c r="H917" s="1" t="str">
        <f t="shared" si="100"/>
        <v/>
      </c>
      <c r="S917" s="1" t="str">
        <f t="shared" si="101"/>
        <v/>
      </c>
      <c r="U917" s="1" t="str">
        <f t="shared" si="102"/>
        <v/>
      </c>
      <c r="X917" s="1" t="str">
        <f t="shared" si="103"/>
        <v/>
      </c>
      <c r="AA917" s="1" t="str">
        <f t="shared" si="104"/>
        <v/>
      </c>
    </row>
    <row r="918" spans="1:27" x14ac:dyDescent="0.2">
      <c r="A918" t="str">
        <f>IF(COUNTBLANK(B918:AB918)&lt;&gt;COLUMNS(B918:AB918),917,"")</f>
        <v/>
      </c>
      <c r="D918" s="1" t="str">
        <f t="shared" si="98"/>
        <v/>
      </c>
      <c r="G918" s="2" t="str">
        <f t="shared" si="99"/>
        <v/>
      </c>
      <c r="H918" s="1" t="str">
        <f t="shared" si="100"/>
        <v/>
      </c>
      <c r="S918" s="1" t="str">
        <f t="shared" si="101"/>
        <v/>
      </c>
      <c r="U918" s="1" t="str">
        <f t="shared" si="102"/>
        <v/>
      </c>
      <c r="X918" s="1" t="str">
        <f t="shared" si="103"/>
        <v/>
      </c>
      <c r="AA918" s="1" t="str">
        <f t="shared" si="104"/>
        <v/>
      </c>
    </row>
    <row r="919" spans="1:27" x14ac:dyDescent="0.2">
      <c r="A919" t="str">
        <f>IF(COUNTBLANK(B919:AB919)&lt;&gt;COLUMNS(B919:AB919),918,"")</f>
        <v/>
      </c>
      <c r="D919" s="1" t="str">
        <f t="shared" si="98"/>
        <v/>
      </c>
      <c r="G919" s="2" t="str">
        <f t="shared" si="99"/>
        <v/>
      </c>
      <c r="H919" s="1" t="str">
        <f t="shared" si="100"/>
        <v/>
      </c>
      <c r="S919" s="1" t="str">
        <f t="shared" si="101"/>
        <v/>
      </c>
      <c r="U919" s="1" t="str">
        <f t="shared" si="102"/>
        <v/>
      </c>
      <c r="X919" s="1" t="str">
        <f t="shared" si="103"/>
        <v/>
      </c>
      <c r="AA919" s="1" t="str">
        <f t="shared" si="104"/>
        <v/>
      </c>
    </row>
    <row r="920" spans="1:27" x14ac:dyDescent="0.2">
      <c r="A920" t="str">
        <f>IF(COUNTBLANK(B920:AB920)&lt;&gt;COLUMNS(B920:AB920),919,"")</f>
        <v/>
      </c>
      <c r="D920" s="1" t="str">
        <f t="shared" si="98"/>
        <v/>
      </c>
      <c r="G920" s="2" t="str">
        <f t="shared" si="99"/>
        <v/>
      </c>
      <c r="H920" s="1" t="str">
        <f t="shared" si="100"/>
        <v/>
      </c>
      <c r="S920" s="1" t="str">
        <f t="shared" si="101"/>
        <v/>
      </c>
      <c r="U920" s="1" t="str">
        <f t="shared" si="102"/>
        <v/>
      </c>
      <c r="X920" s="1" t="str">
        <f t="shared" si="103"/>
        <v/>
      </c>
      <c r="AA920" s="1" t="str">
        <f t="shared" si="104"/>
        <v/>
      </c>
    </row>
    <row r="921" spans="1:27" x14ac:dyDescent="0.2">
      <c r="A921" t="str">
        <f>IF(COUNTBLANK(B921:AB921)&lt;&gt;COLUMNS(B921:AB921),920,"")</f>
        <v/>
      </c>
      <c r="D921" s="1" t="str">
        <f t="shared" si="98"/>
        <v/>
      </c>
      <c r="G921" s="2" t="str">
        <f t="shared" si="99"/>
        <v/>
      </c>
      <c r="H921" s="1" t="str">
        <f t="shared" si="100"/>
        <v/>
      </c>
      <c r="S921" s="1" t="str">
        <f t="shared" si="101"/>
        <v/>
      </c>
      <c r="U921" s="1" t="str">
        <f t="shared" si="102"/>
        <v/>
      </c>
      <c r="X921" s="1" t="str">
        <f t="shared" si="103"/>
        <v/>
      </c>
      <c r="AA921" s="1" t="str">
        <f t="shared" si="104"/>
        <v/>
      </c>
    </row>
    <row r="922" spans="1:27" x14ac:dyDescent="0.2">
      <c r="A922" t="str">
        <f>IF(COUNTBLANK(B922:AB922)&lt;&gt;COLUMNS(B922:AB922),921,"")</f>
        <v/>
      </c>
      <c r="D922" s="1" t="str">
        <f t="shared" si="98"/>
        <v/>
      </c>
      <c r="G922" s="2" t="str">
        <f t="shared" si="99"/>
        <v/>
      </c>
      <c r="H922" s="1" t="str">
        <f t="shared" si="100"/>
        <v/>
      </c>
      <c r="S922" s="1" t="str">
        <f t="shared" si="101"/>
        <v/>
      </c>
      <c r="U922" s="1" t="str">
        <f t="shared" si="102"/>
        <v/>
      </c>
      <c r="X922" s="1" t="str">
        <f t="shared" si="103"/>
        <v/>
      </c>
      <c r="AA922" s="1" t="str">
        <f t="shared" si="104"/>
        <v/>
      </c>
    </row>
    <row r="923" spans="1:27" x14ac:dyDescent="0.2">
      <c r="A923" t="str">
        <f>IF(COUNTBLANK(B923:AB923)&lt;&gt;COLUMNS(B923:AB923),922,"")</f>
        <v/>
      </c>
      <c r="D923" s="1" t="str">
        <f t="shared" si="98"/>
        <v/>
      </c>
      <c r="G923" s="2" t="str">
        <f t="shared" si="99"/>
        <v/>
      </c>
      <c r="H923" s="1" t="str">
        <f t="shared" si="100"/>
        <v/>
      </c>
      <c r="S923" s="1" t="str">
        <f t="shared" si="101"/>
        <v/>
      </c>
      <c r="U923" s="1" t="str">
        <f t="shared" si="102"/>
        <v/>
      </c>
      <c r="X923" s="1" t="str">
        <f t="shared" si="103"/>
        <v/>
      </c>
      <c r="AA923" s="1" t="str">
        <f t="shared" si="104"/>
        <v/>
      </c>
    </row>
    <row r="924" spans="1:27" x14ac:dyDescent="0.2">
      <c r="A924" t="str">
        <f>IF(COUNTBLANK(B924:AB924)&lt;&gt;COLUMNS(B924:AB924),923,"")</f>
        <v/>
      </c>
      <c r="D924" s="1" t="str">
        <f t="shared" si="98"/>
        <v/>
      </c>
      <c r="G924" s="2" t="str">
        <f t="shared" si="99"/>
        <v/>
      </c>
      <c r="H924" s="1" t="str">
        <f t="shared" si="100"/>
        <v/>
      </c>
      <c r="S924" s="1" t="str">
        <f t="shared" si="101"/>
        <v/>
      </c>
      <c r="U924" s="1" t="str">
        <f t="shared" si="102"/>
        <v/>
      </c>
      <c r="X924" s="1" t="str">
        <f t="shared" si="103"/>
        <v/>
      </c>
      <c r="AA924" s="1" t="str">
        <f t="shared" si="104"/>
        <v/>
      </c>
    </row>
    <row r="925" spans="1:27" x14ac:dyDescent="0.2">
      <c r="A925" t="str">
        <f>IF(COUNTBLANK(B925:AB925)&lt;&gt;COLUMNS(B925:AB925),924,"")</f>
        <v/>
      </c>
      <c r="D925" s="1" t="str">
        <f t="shared" si="98"/>
        <v/>
      </c>
      <c r="G925" s="2" t="str">
        <f t="shared" si="99"/>
        <v/>
      </c>
      <c r="H925" s="1" t="str">
        <f t="shared" si="100"/>
        <v/>
      </c>
      <c r="S925" s="1" t="str">
        <f t="shared" si="101"/>
        <v/>
      </c>
      <c r="U925" s="1" t="str">
        <f t="shared" si="102"/>
        <v/>
      </c>
      <c r="X925" s="1" t="str">
        <f t="shared" si="103"/>
        <v/>
      </c>
      <c r="AA925" s="1" t="str">
        <f t="shared" si="104"/>
        <v/>
      </c>
    </row>
    <row r="926" spans="1:27" x14ac:dyDescent="0.2">
      <c r="A926" t="str">
        <f>IF(COUNTBLANK(B926:AB926)&lt;&gt;COLUMNS(B926:AB926),925,"")</f>
        <v/>
      </c>
      <c r="D926" s="1" t="str">
        <f t="shared" si="98"/>
        <v/>
      </c>
      <c r="G926" s="2" t="str">
        <f t="shared" si="99"/>
        <v/>
      </c>
      <c r="H926" s="1" t="str">
        <f t="shared" si="100"/>
        <v/>
      </c>
      <c r="S926" s="1" t="str">
        <f t="shared" si="101"/>
        <v/>
      </c>
      <c r="U926" s="1" t="str">
        <f t="shared" si="102"/>
        <v/>
      </c>
      <c r="X926" s="1" t="str">
        <f t="shared" si="103"/>
        <v/>
      </c>
      <c r="AA926" s="1" t="str">
        <f t="shared" si="104"/>
        <v/>
      </c>
    </row>
    <row r="927" spans="1:27" x14ac:dyDescent="0.2">
      <c r="A927" t="str">
        <f>IF(COUNTBLANK(B927:AB927)&lt;&gt;COLUMNS(B927:AB927),926,"")</f>
        <v/>
      </c>
      <c r="D927" s="1" t="str">
        <f t="shared" si="98"/>
        <v/>
      </c>
      <c r="G927" s="2" t="str">
        <f t="shared" si="99"/>
        <v/>
      </c>
      <c r="H927" s="1" t="str">
        <f t="shared" si="100"/>
        <v/>
      </c>
      <c r="S927" s="1" t="str">
        <f t="shared" si="101"/>
        <v/>
      </c>
      <c r="U927" s="1" t="str">
        <f t="shared" si="102"/>
        <v/>
      </c>
      <c r="X927" s="1" t="str">
        <f t="shared" si="103"/>
        <v/>
      </c>
      <c r="AA927" s="1" t="str">
        <f t="shared" si="104"/>
        <v/>
      </c>
    </row>
    <row r="928" spans="1:27" x14ac:dyDescent="0.2">
      <c r="A928" t="str">
        <f>IF(COUNTBLANK(B928:AB928)&lt;&gt;COLUMNS(B928:AB928),927,"")</f>
        <v/>
      </c>
      <c r="D928" s="1" t="str">
        <f t="shared" si="98"/>
        <v/>
      </c>
      <c r="G928" s="2" t="str">
        <f t="shared" si="99"/>
        <v/>
      </c>
      <c r="H928" s="1" t="str">
        <f t="shared" si="100"/>
        <v/>
      </c>
      <c r="S928" s="1" t="str">
        <f t="shared" si="101"/>
        <v/>
      </c>
      <c r="U928" s="1" t="str">
        <f t="shared" si="102"/>
        <v/>
      </c>
      <c r="X928" s="1" t="str">
        <f t="shared" si="103"/>
        <v/>
      </c>
      <c r="AA928" s="1" t="str">
        <f t="shared" si="104"/>
        <v/>
      </c>
    </row>
    <row r="929" spans="1:27" x14ac:dyDescent="0.2">
      <c r="A929" t="str">
        <f>IF(COUNTBLANK(B929:AB929)&lt;&gt;COLUMNS(B929:AB929),928,"")</f>
        <v/>
      </c>
      <c r="D929" s="1" t="str">
        <f t="shared" si="98"/>
        <v/>
      </c>
      <c r="G929" s="2" t="str">
        <f t="shared" si="99"/>
        <v/>
      </c>
      <c r="H929" s="1" t="str">
        <f t="shared" si="100"/>
        <v/>
      </c>
      <c r="S929" s="1" t="str">
        <f t="shared" si="101"/>
        <v/>
      </c>
      <c r="U929" s="1" t="str">
        <f t="shared" si="102"/>
        <v/>
      </c>
      <c r="X929" s="1" t="str">
        <f t="shared" si="103"/>
        <v/>
      </c>
      <c r="AA929" s="1" t="str">
        <f t="shared" si="104"/>
        <v/>
      </c>
    </row>
    <row r="930" spans="1:27" x14ac:dyDescent="0.2">
      <c r="A930" t="str">
        <f>IF(COUNTBLANK(B930:AB930)&lt;&gt;COLUMNS(B930:AB930),929,"")</f>
        <v/>
      </c>
      <c r="D930" s="1" t="str">
        <f t="shared" si="98"/>
        <v/>
      </c>
      <c r="G930" s="2" t="str">
        <f t="shared" si="99"/>
        <v/>
      </c>
      <c r="H930" s="1" t="str">
        <f t="shared" si="100"/>
        <v/>
      </c>
      <c r="S930" s="1" t="str">
        <f t="shared" si="101"/>
        <v/>
      </c>
      <c r="U930" s="1" t="str">
        <f t="shared" si="102"/>
        <v/>
      </c>
      <c r="X930" s="1" t="str">
        <f t="shared" si="103"/>
        <v/>
      </c>
      <c r="AA930" s="1" t="str">
        <f t="shared" si="104"/>
        <v/>
      </c>
    </row>
    <row r="931" spans="1:27" x14ac:dyDescent="0.2">
      <c r="A931" t="str">
        <f>IF(COUNTBLANK(B931:AB931)&lt;&gt;COLUMNS(B931:AB931),930,"")</f>
        <v/>
      </c>
      <c r="D931" s="1" t="str">
        <f t="shared" si="98"/>
        <v/>
      </c>
      <c r="G931" s="2" t="str">
        <f t="shared" si="99"/>
        <v/>
      </c>
      <c r="H931" s="1" t="str">
        <f t="shared" si="100"/>
        <v/>
      </c>
      <c r="S931" s="1" t="str">
        <f t="shared" si="101"/>
        <v/>
      </c>
      <c r="U931" s="1" t="str">
        <f t="shared" si="102"/>
        <v/>
      </c>
      <c r="X931" s="1" t="str">
        <f t="shared" si="103"/>
        <v/>
      </c>
      <c r="AA931" s="1" t="str">
        <f t="shared" si="104"/>
        <v/>
      </c>
    </row>
    <row r="932" spans="1:27" x14ac:dyDescent="0.2">
      <c r="A932" t="str">
        <f>IF(COUNTBLANK(B932:AB932)&lt;&gt;COLUMNS(B932:AB932),931,"")</f>
        <v/>
      </c>
      <c r="D932" s="1" t="str">
        <f t="shared" si="98"/>
        <v/>
      </c>
      <c r="G932" s="2" t="str">
        <f t="shared" si="99"/>
        <v/>
      </c>
      <c r="H932" s="1" t="str">
        <f t="shared" si="100"/>
        <v/>
      </c>
      <c r="S932" s="1" t="str">
        <f t="shared" si="101"/>
        <v/>
      </c>
      <c r="U932" s="1" t="str">
        <f t="shared" si="102"/>
        <v/>
      </c>
      <c r="X932" s="1" t="str">
        <f t="shared" si="103"/>
        <v/>
      </c>
      <c r="AA932" s="1" t="str">
        <f t="shared" si="104"/>
        <v/>
      </c>
    </row>
    <row r="933" spans="1:27" x14ac:dyDescent="0.2">
      <c r="A933" t="str">
        <f>IF(COUNTBLANK(B933:AB933)&lt;&gt;COLUMNS(B933:AB933),932,"")</f>
        <v/>
      </c>
      <c r="D933" s="1" t="str">
        <f t="shared" si="98"/>
        <v/>
      </c>
      <c r="G933" s="2" t="str">
        <f t="shared" si="99"/>
        <v/>
      </c>
      <c r="H933" s="1" t="str">
        <f t="shared" si="100"/>
        <v/>
      </c>
      <c r="S933" s="1" t="str">
        <f t="shared" si="101"/>
        <v/>
      </c>
      <c r="U933" s="1" t="str">
        <f t="shared" si="102"/>
        <v/>
      </c>
      <c r="X933" s="1" t="str">
        <f t="shared" si="103"/>
        <v/>
      </c>
      <c r="AA933" s="1" t="str">
        <f t="shared" si="104"/>
        <v/>
      </c>
    </row>
    <row r="934" spans="1:27" x14ac:dyDescent="0.2">
      <c r="A934" t="str">
        <f>IF(COUNTBLANK(B934:AB934)&lt;&gt;COLUMNS(B934:AB934),933,"")</f>
        <v/>
      </c>
      <c r="D934" s="1" t="str">
        <f t="shared" si="98"/>
        <v/>
      </c>
      <c r="G934" s="2" t="str">
        <f t="shared" si="99"/>
        <v/>
      </c>
      <c r="H934" s="1" t="str">
        <f t="shared" si="100"/>
        <v/>
      </c>
      <c r="S934" s="1" t="str">
        <f t="shared" si="101"/>
        <v/>
      </c>
      <c r="U934" s="1" t="str">
        <f t="shared" si="102"/>
        <v/>
      </c>
      <c r="X934" s="1" t="str">
        <f t="shared" si="103"/>
        <v/>
      </c>
      <c r="AA934" s="1" t="str">
        <f t="shared" si="104"/>
        <v/>
      </c>
    </row>
    <row r="935" spans="1:27" x14ac:dyDescent="0.2">
      <c r="A935" t="str">
        <f>IF(COUNTBLANK(B935:AB935)&lt;&gt;COLUMNS(B935:AB935),934,"")</f>
        <v/>
      </c>
      <c r="D935" s="1" t="str">
        <f t="shared" si="98"/>
        <v/>
      </c>
      <c r="G935" s="2" t="str">
        <f t="shared" si="99"/>
        <v/>
      </c>
      <c r="H935" s="1" t="str">
        <f t="shared" si="100"/>
        <v/>
      </c>
      <c r="S935" s="1" t="str">
        <f t="shared" si="101"/>
        <v/>
      </c>
      <c r="U935" s="1" t="str">
        <f t="shared" si="102"/>
        <v/>
      </c>
      <c r="X935" s="1" t="str">
        <f t="shared" si="103"/>
        <v/>
      </c>
      <c r="AA935" s="1" t="str">
        <f t="shared" si="104"/>
        <v/>
      </c>
    </row>
    <row r="936" spans="1:27" x14ac:dyDescent="0.2">
      <c r="A936" t="str">
        <f>IF(COUNTBLANK(B936:AB936)&lt;&gt;COLUMNS(B936:AB936),935,"")</f>
        <v/>
      </c>
      <c r="D936" s="1" t="str">
        <f t="shared" si="98"/>
        <v/>
      </c>
      <c r="G936" s="2" t="str">
        <f t="shared" si="99"/>
        <v/>
      </c>
      <c r="H936" s="1" t="str">
        <f t="shared" si="100"/>
        <v/>
      </c>
      <c r="S936" s="1" t="str">
        <f t="shared" si="101"/>
        <v/>
      </c>
      <c r="U936" s="1" t="str">
        <f t="shared" si="102"/>
        <v/>
      </c>
      <c r="X936" s="1" t="str">
        <f t="shared" si="103"/>
        <v/>
      </c>
      <c r="AA936" s="1" t="str">
        <f t="shared" si="104"/>
        <v/>
      </c>
    </row>
    <row r="937" spans="1:27" x14ac:dyDescent="0.2">
      <c r="A937" t="str">
        <f>IF(COUNTBLANK(B937:AB937)&lt;&gt;COLUMNS(B937:AB937),936,"")</f>
        <v/>
      </c>
      <c r="D937" s="1" t="str">
        <f t="shared" si="98"/>
        <v/>
      </c>
      <c r="G937" s="2" t="str">
        <f t="shared" si="99"/>
        <v/>
      </c>
      <c r="H937" s="1" t="str">
        <f t="shared" si="100"/>
        <v/>
      </c>
      <c r="S937" s="1" t="str">
        <f t="shared" si="101"/>
        <v/>
      </c>
      <c r="U937" s="1" t="str">
        <f t="shared" si="102"/>
        <v/>
      </c>
      <c r="X937" s="1" t="str">
        <f t="shared" si="103"/>
        <v/>
      </c>
      <c r="AA937" s="1" t="str">
        <f t="shared" si="104"/>
        <v/>
      </c>
    </row>
    <row r="938" spans="1:27" x14ac:dyDescent="0.2">
      <c r="A938" t="str">
        <f>IF(COUNTBLANK(B938:AB938)&lt;&gt;COLUMNS(B938:AB938),937,"")</f>
        <v/>
      </c>
      <c r="D938" s="1" t="str">
        <f t="shared" si="98"/>
        <v/>
      </c>
      <c r="G938" s="2" t="str">
        <f t="shared" si="99"/>
        <v/>
      </c>
      <c r="H938" s="1" t="str">
        <f t="shared" si="100"/>
        <v/>
      </c>
      <c r="S938" s="1" t="str">
        <f t="shared" si="101"/>
        <v/>
      </c>
      <c r="U938" s="1" t="str">
        <f t="shared" si="102"/>
        <v/>
      </c>
      <c r="X938" s="1" t="str">
        <f t="shared" si="103"/>
        <v/>
      </c>
      <c r="AA938" s="1" t="str">
        <f t="shared" si="104"/>
        <v/>
      </c>
    </row>
    <row r="939" spans="1:27" x14ac:dyDescent="0.2">
      <c r="A939" t="str">
        <f>IF(COUNTBLANK(B939:AB939)&lt;&gt;COLUMNS(B939:AB939),938,"")</f>
        <v/>
      </c>
      <c r="D939" s="1" t="str">
        <f t="shared" si="98"/>
        <v/>
      </c>
      <c r="G939" s="2" t="str">
        <f t="shared" si="99"/>
        <v/>
      </c>
      <c r="H939" s="1" t="str">
        <f t="shared" si="100"/>
        <v/>
      </c>
      <c r="S939" s="1" t="str">
        <f t="shared" si="101"/>
        <v/>
      </c>
      <c r="U939" s="1" t="str">
        <f t="shared" si="102"/>
        <v/>
      </c>
      <c r="X939" s="1" t="str">
        <f t="shared" si="103"/>
        <v/>
      </c>
      <c r="AA939" s="1" t="str">
        <f t="shared" si="104"/>
        <v/>
      </c>
    </row>
    <row r="940" spans="1:27" x14ac:dyDescent="0.2">
      <c r="A940" t="str">
        <f>IF(COUNTBLANK(B940:AB940)&lt;&gt;COLUMNS(B940:AB940),939,"")</f>
        <v/>
      </c>
      <c r="D940" s="1" t="str">
        <f t="shared" si="98"/>
        <v/>
      </c>
      <c r="G940" s="2" t="str">
        <f t="shared" si="99"/>
        <v/>
      </c>
      <c r="H940" s="1" t="str">
        <f t="shared" si="100"/>
        <v/>
      </c>
      <c r="S940" s="1" t="str">
        <f t="shared" si="101"/>
        <v/>
      </c>
      <c r="U940" s="1" t="str">
        <f t="shared" si="102"/>
        <v/>
      </c>
      <c r="X940" s="1" t="str">
        <f t="shared" si="103"/>
        <v/>
      </c>
      <c r="AA940" s="1" t="str">
        <f t="shared" si="104"/>
        <v/>
      </c>
    </row>
    <row r="941" spans="1:27" x14ac:dyDescent="0.2">
      <c r="A941" t="str">
        <f>IF(COUNTBLANK(B941:AB941)&lt;&gt;COLUMNS(B941:AB941),940,"")</f>
        <v/>
      </c>
      <c r="D941" s="1" t="str">
        <f t="shared" si="98"/>
        <v/>
      </c>
      <c r="G941" s="2" t="str">
        <f t="shared" si="99"/>
        <v/>
      </c>
      <c r="H941" s="1" t="str">
        <f t="shared" si="100"/>
        <v/>
      </c>
      <c r="S941" s="1" t="str">
        <f t="shared" si="101"/>
        <v/>
      </c>
      <c r="U941" s="1" t="str">
        <f t="shared" si="102"/>
        <v/>
      </c>
      <c r="X941" s="1" t="str">
        <f t="shared" si="103"/>
        <v/>
      </c>
      <c r="AA941" s="1" t="str">
        <f t="shared" si="104"/>
        <v/>
      </c>
    </row>
    <row r="942" spans="1:27" x14ac:dyDescent="0.2">
      <c r="A942" t="str">
        <f>IF(COUNTBLANK(B942:AB942)&lt;&gt;COLUMNS(B942:AB942),941,"")</f>
        <v/>
      </c>
      <c r="D942" s="1" t="str">
        <f t="shared" si="98"/>
        <v/>
      </c>
      <c r="G942" s="2" t="str">
        <f t="shared" si="99"/>
        <v/>
      </c>
      <c r="H942" s="1" t="str">
        <f t="shared" si="100"/>
        <v/>
      </c>
      <c r="S942" s="1" t="str">
        <f t="shared" si="101"/>
        <v/>
      </c>
      <c r="U942" s="1" t="str">
        <f t="shared" si="102"/>
        <v/>
      </c>
      <c r="X942" s="1" t="str">
        <f t="shared" si="103"/>
        <v/>
      </c>
      <c r="AA942" s="1" t="str">
        <f t="shared" si="104"/>
        <v/>
      </c>
    </row>
    <row r="943" spans="1:27" x14ac:dyDescent="0.2">
      <c r="A943" t="str">
        <f>IF(COUNTBLANK(B943:AB943)&lt;&gt;COLUMNS(B943:AB943),942,"")</f>
        <v/>
      </c>
      <c r="D943" s="1" t="str">
        <f t="shared" si="98"/>
        <v/>
      </c>
      <c r="G943" s="2" t="str">
        <f t="shared" si="99"/>
        <v/>
      </c>
      <c r="H943" s="1" t="str">
        <f t="shared" si="100"/>
        <v/>
      </c>
      <c r="S943" s="1" t="str">
        <f t="shared" si="101"/>
        <v/>
      </c>
      <c r="U943" s="1" t="str">
        <f t="shared" si="102"/>
        <v/>
      </c>
      <c r="X943" s="1" t="str">
        <f t="shared" si="103"/>
        <v/>
      </c>
      <c r="AA943" s="1" t="str">
        <f t="shared" si="104"/>
        <v/>
      </c>
    </row>
    <row r="944" spans="1:27" x14ac:dyDescent="0.2">
      <c r="A944" t="str">
        <f>IF(COUNTBLANK(B944:AB944)&lt;&gt;COLUMNS(B944:AB944),943,"")</f>
        <v/>
      </c>
      <c r="D944" s="1" t="str">
        <f t="shared" si="98"/>
        <v/>
      </c>
      <c r="G944" s="2" t="str">
        <f t="shared" si="99"/>
        <v/>
      </c>
      <c r="H944" s="1" t="str">
        <f t="shared" si="100"/>
        <v/>
      </c>
      <c r="S944" s="1" t="str">
        <f t="shared" si="101"/>
        <v/>
      </c>
      <c r="U944" s="1" t="str">
        <f t="shared" si="102"/>
        <v/>
      </c>
      <c r="X944" s="1" t="str">
        <f t="shared" si="103"/>
        <v/>
      </c>
      <c r="AA944" s="1" t="str">
        <f t="shared" si="104"/>
        <v/>
      </c>
    </row>
    <row r="945" spans="1:27" x14ac:dyDescent="0.2">
      <c r="A945" t="str">
        <f>IF(COUNTBLANK(B945:AB945)&lt;&gt;COLUMNS(B945:AB945),944,"")</f>
        <v/>
      </c>
      <c r="D945" s="1" t="str">
        <f t="shared" si="98"/>
        <v/>
      </c>
      <c r="G945" s="2" t="str">
        <f t="shared" si="99"/>
        <v/>
      </c>
      <c r="H945" s="1" t="str">
        <f t="shared" si="100"/>
        <v/>
      </c>
      <c r="S945" s="1" t="str">
        <f t="shared" si="101"/>
        <v/>
      </c>
      <c r="U945" s="1" t="str">
        <f t="shared" si="102"/>
        <v/>
      </c>
      <c r="X945" s="1" t="str">
        <f t="shared" si="103"/>
        <v/>
      </c>
      <c r="AA945" s="1" t="str">
        <f t="shared" si="104"/>
        <v/>
      </c>
    </row>
    <row r="946" spans="1:27" x14ac:dyDescent="0.2">
      <c r="A946" t="str">
        <f>IF(COUNTBLANK(B946:AB946)&lt;&gt;COLUMNS(B946:AB946),945,"")</f>
        <v/>
      </c>
      <c r="D946" s="1" t="str">
        <f t="shared" si="98"/>
        <v/>
      </c>
      <c r="G946" s="2" t="str">
        <f t="shared" si="99"/>
        <v/>
      </c>
      <c r="H946" s="1" t="str">
        <f t="shared" si="100"/>
        <v/>
      </c>
      <c r="S946" s="1" t="str">
        <f t="shared" si="101"/>
        <v/>
      </c>
      <c r="U946" s="1" t="str">
        <f t="shared" si="102"/>
        <v/>
      </c>
      <c r="X946" s="1" t="str">
        <f t="shared" si="103"/>
        <v/>
      </c>
      <c r="AA946" s="1" t="str">
        <f t="shared" si="104"/>
        <v/>
      </c>
    </row>
    <row r="947" spans="1:27" x14ac:dyDescent="0.2">
      <c r="A947" t="str">
        <f>IF(COUNTBLANK(B947:AB947)&lt;&gt;COLUMNS(B947:AB947),946,"")</f>
        <v/>
      </c>
      <c r="D947" s="1" t="str">
        <f t="shared" si="98"/>
        <v/>
      </c>
      <c r="G947" s="2" t="str">
        <f t="shared" si="99"/>
        <v/>
      </c>
      <c r="H947" s="1" t="str">
        <f t="shared" si="100"/>
        <v/>
      </c>
      <c r="S947" s="1" t="str">
        <f t="shared" si="101"/>
        <v/>
      </c>
      <c r="U947" s="1" t="str">
        <f t="shared" si="102"/>
        <v/>
      </c>
      <c r="X947" s="1" t="str">
        <f t="shared" si="103"/>
        <v/>
      </c>
      <c r="AA947" s="1" t="str">
        <f t="shared" si="104"/>
        <v/>
      </c>
    </row>
    <row r="948" spans="1:27" x14ac:dyDescent="0.2">
      <c r="A948" t="str">
        <f>IF(COUNTBLANK(B948:AB948)&lt;&gt;COLUMNS(B948:AB948),947,"")</f>
        <v/>
      </c>
      <c r="D948" s="1" t="str">
        <f t="shared" si="98"/>
        <v/>
      </c>
      <c r="G948" s="2" t="str">
        <f t="shared" si="99"/>
        <v/>
      </c>
      <c r="H948" s="1" t="str">
        <f t="shared" si="100"/>
        <v/>
      </c>
      <c r="S948" s="1" t="str">
        <f t="shared" si="101"/>
        <v/>
      </c>
      <c r="U948" s="1" t="str">
        <f t="shared" si="102"/>
        <v/>
      </c>
      <c r="X948" s="1" t="str">
        <f t="shared" si="103"/>
        <v/>
      </c>
      <c r="AA948" s="1" t="str">
        <f t="shared" si="104"/>
        <v/>
      </c>
    </row>
    <row r="949" spans="1:27" x14ac:dyDescent="0.2">
      <c r="A949" t="str">
        <f>IF(COUNTBLANK(B949:AB949)&lt;&gt;COLUMNS(B949:AB949),948,"")</f>
        <v/>
      </c>
      <c r="D949" s="1" t="str">
        <f t="shared" si="98"/>
        <v/>
      </c>
      <c r="G949" s="2" t="str">
        <f t="shared" si="99"/>
        <v/>
      </c>
      <c r="H949" s="1" t="str">
        <f t="shared" si="100"/>
        <v/>
      </c>
      <c r="S949" s="1" t="str">
        <f t="shared" si="101"/>
        <v/>
      </c>
      <c r="U949" s="1" t="str">
        <f t="shared" si="102"/>
        <v/>
      </c>
      <c r="X949" s="1" t="str">
        <f t="shared" si="103"/>
        <v/>
      </c>
      <c r="AA949" s="1" t="str">
        <f t="shared" si="104"/>
        <v/>
      </c>
    </row>
    <row r="950" spans="1:27" x14ac:dyDescent="0.2">
      <c r="A950" t="str">
        <f>IF(COUNTBLANK(B950:AB950)&lt;&gt;COLUMNS(B950:AB950),949,"")</f>
        <v/>
      </c>
      <c r="D950" s="1" t="str">
        <f t="shared" si="98"/>
        <v/>
      </c>
      <c r="G950" s="2" t="str">
        <f t="shared" si="99"/>
        <v/>
      </c>
      <c r="H950" s="1" t="str">
        <f t="shared" si="100"/>
        <v/>
      </c>
      <c r="S950" s="1" t="str">
        <f t="shared" si="101"/>
        <v/>
      </c>
      <c r="U950" s="1" t="str">
        <f t="shared" si="102"/>
        <v/>
      </c>
      <c r="X950" s="1" t="str">
        <f t="shared" si="103"/>
        <v/>
      </c>
      <c r="AA950" s="1" t="str">
        <f t="shared" si="104"/>
        <v/>
      </c>
    </row>
    <row r="951" spans="1:27" x14ac:dyDescent="0.2">
      <c r="A951" t="str">
        <f>IF(COUNTBLANK(B951:AB951)&lt;&gt;COLUMNS(B951:AB951),950,"")</f>
        <v/>
      </c>
      <c r="D951" s="1" t="str">
        <f t="shared" si="98"/>
        <v/>
      </c>
      <c r="G951" s="2" t="str">
        <f t="shared" si="99"/>
        <v/>
      </c>
      <c r="H951" s="1" t="str">
        <f t="shared" si="100"/>
        <v/>
      </c>
      <c r="S951" s="1" t="str">
        <f t="shared" si="101"/>
        <v/>
      </c>
      <c r="U951" s="1" t="str">
        <f t="shared" si="102"/>
        <v/>
      </c>
      <c r="X951" s="1" t="str">
        <f t="shared" si="103"/>
        <v/>
      </c>
      <c r="AA951" s="1" t="str">
        <f t="shared" si="104"/>
        <v/>
      </c>
    </row>
    <row r="952" spans="1:27" x14ac:dyDescent="0.2">
      <c r="A952" t="str">
        <f>IF(COUNTBLANK(B952:AB952)&lt;&gt;COLUMNS(B952:AB952),951,"")</f>
        <v/>
      </c>
      <c r="D952" s="1" t="str">
        <f t="shared" si="98"/>
        <v/>
      </c>
      <c r="G952" s="2" t="str">
        <f t="shared" si="99"/>
        <v/>
      </c>
      <c r="H952" s="1" t="str">
        <f t="shared" si="100"/>
        <v/>
      </c>
      <c r="S952" s="1" t="str">
        <f t="shared" si="101"/>
        <v/>
      </c>
      <c r="U952" s="1" t="str">
        <f t="shared" si="102"/>
        <v/>
      </c>
      <c r="X952" s="1" t="str">
        <f t="shared" si="103"/>
        <v/>
      </c>
      <c r="AA952" s="1" t="str">
        <f t="shared" si="104"/>
        <v/>
      </c>
    </row>
    <row r="953" spans="1:27" x14ac:dyDescent="0.2">
      <c r="A953" t="str">
        <f>IF(COUNTBLANK(B953:AB953)&lt;&gt;COLUMNS(B953:AB953),952,"")</f>
        <v/>
      </c>
      <c r="D953" s="1" t="str">
        <f t="shared" si="98"/>
        <v/>
      </c>
      <c r="G953" s="2" t="str">
        <f t="shared" si="99"/>
        <v/>
      </c>
      <c r="H953" s="1" t="str">
        <f t="shared" si="100"/>
        <v/>
      </c>
      <c r="S953" s="1" t="str">
        <f t="shared" si="101"/>
        <v/>
      </c>
      <c r="U953" s="1" t="str">
        <f t="shared" si="102"/>
        <v/>
      </c>
      <c r="X953" s="1" t="str">
        <f t="shared" si="103"/>
        <v/>
      </c>
      <c r="AA953" s="1" t="str">
        <f t="shared" si="104"/>
        <v/>
      </c>
    </row>
    <row r="954" spans="1:27" x14ac:dyDescent="0.2">
      <c r="A954" t="str">
        <f>IF(COUNTBLANK(B954:AB954)&lt;&gt;COLUMNS(B954:AB954),953,"")</f>
        <v/>
      </c>
      <c r="D954" s="1" t="str">
        <f t="shared" si="98"/>
        <v/>
      </c>
      <c r="G954" s="2" t="str">
        <f t="shared" si="99"/>
        <v/>
      </c>
      <c r="H954" s="1" t="str">
        <f t="shared" si="100"/>
        <v/>
      </c>
      <c r="S954" s="1" t="str">
        <f t="shared" si="101"/>
        <v/>
      </c>
      <c r="U954" s="1" t="str">
        <f t="shared" si="102"/>
        <v/>
      </c>
      <c r="X954" s="1" t="str">
        <f t="shared" si="103"/>
        <v/>
      </c>
      <c r="AA954" s="1" t="str">
        <f t="shared" si="104"/>
        <v/>
      </c>
    </row>
    <row r="955" spans="1:27" x14ac:dyDescent="0.2">
      <c r="A955" t="str">
        <f>IF(COUNTBLANK(B955:AB955)&lt;&gt;COLUMNS(B955:AB955),954,"")</f>
        <v/>
      </c>
      <c r="D955" s="1" t="str">
        <f t="shared" si="98"/>
        <v/>
      </c>
      <c r="G955" s="2" t="str">
        <f t="shared" si="99"/>
        <v/>
      </c>
      <c r="H955" s="1" t="str">
        <f t="shared" si="100"/>
        <v/>
      </c>
      <c r="S955" s="1" t="str">
        <f t="shared" si="101"/>
        <v/>
      </c>
      <c r="U955" s="1" t="str">
        <f t="shared" si="102"/>
        <v/>
      </c>
      <c r="X955" s="1" t="str">
        <f t="shared" si="103"/>
        <v/>
      </c>
      <c r="AA955" s="1" t="str">
        <f t="shared" si="104"/>
        <v/>
      </c>
    </row>
    <row r="956" spans="1:27" x14ac:dyDescent="0.2">
      <c r="A956" t="str">
        <f>IF(COUNTBLANK(B956:AB956)&lt;&gt;COLUMNS(B956:AB956),955,"")</f>
        <v/>
      </c>
      <c r="D956" s="1" t="str">
        <f t="shared" si="98"/>
        <v/>
      </c>
      <c r="G956" s="2" t="str">
        <f t="shared" si="99"/>
        <v/>
      </c>
      <c r="H956" s="1" t="str">
        <f t="shared" si="100"/>
        <v/>
      </c>
      <c r="S956" s="1" t="str">
        <f t="shared" si="101"/>
        <v/>
      </c>
      <c r="U956" s="1" t="str">
        <f t="shared" si="102"/>
        <v/>
      </c>
      <c r="X956" s="1" t="str">
        <f t="shared" si="103"/>
        <v/>
      </c>
      <c r="AA956" s="1" t="str">
        <f t="shared" si="104"/>
        <v/>
      </c>
    </row>
    <row r="957" spans="1:27" x14ac:dyDescent="0.2">
      <c r="A957" t="str">
        <f>IF(COUNTBLANK(B957:AB957)&lt;&gt;COLUMNS(B957:AB957),956,"")</f>
        <v/>
      </c>
      <c r="D957" s="1" t="str">
        <f t="shared" si="98"/>
        <v/>
      </c>
      <c r="G957" s="2" t="str">
        <f t="shared" si="99"/>
        <v/>
      </c>
      <c r="H957" s="1" t="str">
        <f t="shared" si="100"/>
        <v/>
      </c>
      <c r="S957" s="1" t="str">
        <f t="shared" si="101"/>
        <v/>
      </c>
      <c r="U957" s="1" t="str">
        <f t="shared" si="102"/>
        <v/>
      </c>
      <c r="X957" s="1" t="str">
        <f t="shared" si="103"/>
        <v/>
      </c>
      <c r="AA957" s="1" t="str">
        <f t="shared" si="104"/>
        <v/>
      </c>
    </row>
    <row r="958" spans="1:27" x14ac:dyDescent="0.2">
      <c r="A958" t="str">
        <f>IF(COUNTBLANK(B958:AB958)&lt;&gt;COLUMNS(B958:AB958),957,"")</f>
        <v/>
      </c>
      <c r="D958" s="1" t="str">
        <f t="shared" si="98"/>
        <v/>
      </c>
      <c r="G958" s="2" t="str">
        <f t="shared" si="99"/>
        <v/>
      </c>
      <c r="H958" s="1" t="str">
        <f t="shared" si="100"/>
        <v/>
      </c>
      <c r="S958" s="1" t="str">
        <f t="shared" si="101"/>
        <v/>
      </c>
      <c r="U958" s="1" t="str">
        <f t="shared" si="102"/>
        <v/>
      </c>
      <c r="X958" s="1" t="str">
        <f t="shared" si="103"/>
        <v/>
      </c>
      <c r="AA958" s="1" t="str">
        <f t="shared" si="104"/>
        <v/>
      </c>
    </row>
    <row r="959" spans="1:27" x14ac:dyDescent="0.2">
      <c r="A959" t="str">
        <f>IF(COUNTBLANK(B959:AB959)&lt;&gt;COLUMNS(B959:AB959),958,"")</f>
        <v/>
      </c>
      <c r="D959" s="1" t="str">
        <f t="shared" si="98"/>
        <v/>
      </c>
      <c r="G959" s="2" t="str">
        <f t="shared" si="99"/>
        <v/>
      </c>
      <c r="H959" s="1" t="str">
        <f t="shared" si="100"/>
        <v/>
      </c>
      <c r="S959" s="1" t="str">
        <f t="shared" si="101"/>
        <v/>
      </c>
      <c r="U959" s="1" t="str">
        <f t="shared" si="102"/>
        <v/>
      </c>
      <c r="X959" s="1" t="str">
        <f t="shared" si="103"/>
        <v/>
      </c>
      <c r="AA959" s="1" t="str">
        <f t="shared" si="104"/>
        <v/>
      </c>
    </row>
    <row r="960" spans="1:27" x14ac:dyDescent="0.2">
      <c r="A960" t="str">
        <f>IF(COUNTBLANK(B960:AB960)&lt;&gt;COLUMNS(B960:AB960),959,"")</f>
        <v/>
      </c>
      <c r="D960" s="1" t="str">
        <f t="shared" si="98"/>
        <v/>
      </c>
      <c r="G960" s="2" t="str">
        <f t="shared" si="99"/>
        <v/>
      </c>
      <c r="H960" s="1" t="str">
        <f t="shared" si="100"/>
        <v/>
      </c>
      <c r="S960" s="1" t="str">
        <f t="shared" si="101"/>
        <v/>
      </c>
      <c r="U960" s="1" t="str">
        <f t="shared" si="102"/>
        <v/>
      </c>
      <c r="X960" s="1" t="str">
        <f t="shared" si="103"/>
        <v/>
      </c>
      <c r="AA960" s="1" t="str">
        <f t="shared" si="104"/>
        <v/>
      </c>
    </row>
    <row r="961" spans="1:27" x14ac:dyDescent="0.2">
      <c r="A961" t="str">
        <f>IF(COUNTBLANK(B961:AB961)&lt;&gt;COLUMNS(B961:AB961),960,"")</f>
        <v/>
      </c>
      <c r="D961" s="1" t="str">
        <f t="shared" si="98"/>
        <v/>
      </c>
      <c r="G961" s="2" t="str">
        <f t="shared" si="99"/>
        <v/>
      </c>
      <c r="H961" s="1" t="str">
        <f t="shared" si="100"/>
        <v/>
      </c>
      <c r="S961" s="1" t="str">
        <f t="shared" si="101"/>
        <v/>
      </c>
      <c r="U961" s="1" t="str">
        <f t="shared" si="102"/>
        <v/>
      </c>
      <c r="X961" s="1" t="str">
        <f t="shared" si="103"/>
        <v/>
      </c>
      <c r="AA961" s="1" t="str">
        <f t="shared" si="104"/>
        <v/>
      </c>
    </row>
    <row r="962" spans="1:27" x14ac:dyDescent="0.2">
      <c r="A962" t="str">
        <f>IF(COUNTBLANK(B962:AB962)&lt;&gt;COLUMNS(B962:AB962),961,"")</f>
        <v/>
      </c>
      <c r="D962" s="1" t="str">
        <f t="shared" ref="D962:D1001" si="105">IF(B962="", "", "Not applicable")</f>
        <v/>
      </c>
      <c r="G962" s="2" t="str">
        <f t="shared" ref="G962:G1001" si="106">IF(B962="", "", "missing: not provided")</f>
        <v/>
      </c>
      <c r="H962" s="1" t="str">
        <f t="shared" ref="H962:H1001" si="107">IF(B962="", "", "meters")</f>
        <v/>
      </c>
      <c r="S962" s="1" t="str">
        <f t="shared" ref="S962:S1001" si="108">IF(B962="", "", "Decimal degrees")</f>
        <v/>
      </c>
      <c r="U962" s="1" t="str">
        <f t="shared" ref="U962:U1001" si="109">IF(B962="", "", "Decimal degrees")</f>
        <v/>
      </c>
      <c r="X962" s="1" t="str">
        <f t="shared" ref="X962:X1001" si="110">IF(B962="", "", "other")</f>
        <v/>
      </c>
      <c r="AA962" s="1" t="str">
        <f t="shared" ref="AA962:AA1001" si="111">IF(B962="", "", "Not applicable")</f>
        <v/>
      </c>
    </row>
    <row r="963" spans="1:27" x14ac:dyDescent="0.2">
      <c r="A963" t="str">
        <f>IF(COUNTBLANK(B963:AB963)&lt;&gt;COLUMNS(B963:AB963),962,"")</f>
        <v/>
      </c>
      <c r="D963" s="1" t="str">
        <f t="shared" si="105"/>
        <v/>
      </c>
      <c r="G963" s="2" t="str">
        <f t="shared" si="106"/>
        <v/>
      </c>
      <c r="H963" s="1" t="str">
        <f t="shared" si="107"/>
        <v/>
      </c>
      <c r="S963" s="1" t="str">
        <f t="shared" si="108"/>
        <v/>
      </c>
      <c r="U963" s="1" t="str">
        <f t="shared" si="109"/>
        <v/>
      </c>
      <c r="X963" s="1" t="str">
        <f t="shared" si="110"/>
        <v/>
      </c>
      <c r="AA963" s="1" t="str">
        <f t="shared" si="111"/>
        <v/>
      </c>
    </row>
    <row r="964" spans="1:27" x14ac:dyDescent="0.2">
      <c r="A964" t="str">
        <f>IF(COUNTBLANK(B964:AB964)&lt;&gt;COLUMNS(B964:AB964),963,"")</f>
        <v/>
      </c>
      <c r="D964" s="1" t="str">
        <f t="shared" si="105"/>
        <v/>
      </c>
      <c r="G964" s="2" t="str">
        <f t="shared" si="106"/>
        <v/>
      </c>
      <c r="H964" s="1" t="str">
        <f t="shared" si="107"/>
        <v/>
      </c>
      <c r="S964" s="1" t="str">
        <f t="shared" si="108"/>
        <v/>
      </c>
      <c r="U964" s="1" t="str">
        <f t="shared" si="109"/>
        <v/>
      </c>
      <c r="X964" s="1" t="str">
        <f t="shared" si="110"/>
        <v/>
      </c>
      <c r="AA964" s="1" t="str">
        <f t="shared" si="111"/>
        <v/>
      </c>
    </row>
    <row r="965" spans="1:27" x14ac:dyDescent="0.2">
      <c r="A965" t="str">
        <f>IF(COUNTBLANK(B965:AB965)&lt;&gt;COLUMNS(B965:AB965),964,"")</f>
        <v/>
      </c>
      <c r="D965" s="1" t="str">
        <f t="shared" si="105"/>
        <v/>
      </c>
      <c r="G965" s="2" t="str">
        <f t="shared" si="106"/>
        <v/>
      </c>
      <c r="H965" s="1" t="str">
        <f t="shared" si="107"/>
        <v/>
      </c>
      <c r="S965" s="1" t="str">
        <f t="shared" si="108"/>
        <v/>
      </c>
      <c r="U965" s="1" t="str">
        <f t="shared" si="109"/>
        <v/>
      </c>
      <c r="X965" s="1" t="str">
        <f t="shared" si="110"/>
        <v/>
      </c>
      <c r="AA965" s="1" t="str">
        <f t="shared" si="111"/>
        <v/>
      </c>
    </row>
    <row r="966" spans="1:27" x14ac:dyDescent="0.2">
      <c r="A966" t="str">
        <f>IF(COUNTBLANK(B966:AB966)&lt;&gt;COLUMNS(B966:AB966),965,"")</f>
        <v/>
      </c>
      <c r="D966" s="1" t="str">
        <f t="shared" si="105"/>
        <v/>
      </c>
      <c r="G966" s="2" t="str">
        <f t="shared" si="106"/>
        <v/>
      </c>
      <c r="H966" s="1" t="str">
        <f t="shared" si="107"/>
        <v/>
      </c>
      <c r="S966" s="1" t="str">
        <f t="shared" si="108"/>
        <v/>
      </c>
      <c r="U966" s="1" t="str">
        <f t="shared" si="109"/>
        <v/>
      </c>
      <c r="X966" s="1" t="str">
        <f t="shared" si="110"/>
        <v/>
      </c>
      <c r="AA966" s="1" t="str">
        <f t="shared" si="111"/>
        <v/>
      </c>
    </row>
    <row r="967" spans="1:27" x14ac:dyDescent="0.2">
      <c r="A967" t="str">
        <f>IF(COUNTBLANK(B967:AB967)&lt;&gt;COLUMNS(B967:AB967),966,"")</f>
        <v/>
      </c>
      <c r="D967" s="1" t="str">
        <f t="shared" si="105"/>
        <v/>
      </c>
      <c r="G967" s="2" t="str">
        <f t="shared" si="106"/>
        <v/>
      </c>
      <c r="H967" s="1" t="str">
        <f t="shared" si="107"/>
        <v/>
      </c>
      <c r="S967" s="1" t="str">
        <f t="shared" si="108"/>
        <v/>
      </c>
      <c r="U967" s="1" t="str">
        <f t="shared" si="109"/>
        <v/>
      </c>
      <c r="X967" s="1" t="str">
        <f t="shared" si="110"/>
        <v/>
      </c>
      <c r="AA967" s="1" t="str">
        <f t="shared" si="111"/>
        <v/>
      </c>
    </row>
    <row r="968" spans="1:27" x14ac:dyDescent="0.2">
      <c r="A968" t="str">
        <f>IF(COUNTBLANK(B968:AB968)&lt;&gt;COLUMNS(B968:AB968),967,"")</f>
        <v/>
      </c>
      <c r="D968" s="1" t="str">
        <f t="shared" si="105"/>
        <v/>
      </c>
      <c r="G968" s="2" t="str">
        <f t="shared" si="106"/>
        <v/>
      </c>
      <c r="H968" s="1" t="str">
        <f t="shared" si="107"/>
        <v/>
      </c>
      <c r="S968" s="1" t="str">
        <f t="shared" si="108"/>
        <v/>
      </c>
      <c r="U968" s="1" t="str">
        <f t="shared" si="109"/>
        <v/>
      </c>
      <c r="X968" s="1" t="str">
        <f t="shared" si="110"/>
        <v/>
      </c>
      <c r="AA968" s="1" t="str">
        <f t="shared" si="111"/>
        <v/>
      </c>
    </row>
    <row r="969" spans="1:27" x14ac:dyDescent="0.2">
      <c r="A969" t="str">
        <f>IF(COUNTBLANK(B969:AB969)&lt;&gt;COLUMNS(B969:AB969),968,"")</f>
        <v/>
      </c>
      <c r="D969" s="1" t="str">
        <f t="shared" si="105"/>
        <v/>
      </c>
      <c r="G969" s="2" t="str">
        <f t="shared" si="106"/>
        <v/>
      </c>
      <c r="H969" s="1" t="str">
        <f t="shared" si="107"/>
        <v/>
      </c>
      <c r="S969" s="1" t="str">
        <f t="shared" si="108"/>
        <v/>
      </c>
      <c r="U969" s="1" t="str">
        <f t="shared" si="109"/>
        <v/>
      </c>
      <c r="X969" s="1" t="str">
        <f t="shared" si="110"/>
        <v/>
      </c>
      <c r="AA969" s="1" t="str">
        <f t="shared" si="111"/>
        <v/>
      </c>
    </row>
    <row r="970" spans="1:27" x14ac:dyDescent="0.2">
      <c r="A970" t="str">
        <f>IF(COUNTBLANK(B970:AB970)&lt;&gt;COLUMNS(B970:AB970),969,"")</f>
        <v/>
      </c>
      <c r="D970" s="1" t="str">
        <f t="shared" si="105"/>
        <v/>
      </c>
      <c r="G970" s="2" t="str">
        <f t="shared" si="106"/>
        <v/>
      </c>
      <c r="H970" s="1" t="str">
        <f t="shared" si="107"/>
        <v/>
      </c>
      <c r="S970" s="1" t="str">
        <f t="shared" si="108"/>
        <v/>
      </c>
      <c r="U970" s="1" t="str">
        <f t="shared" si="109"/>
        <v/>
      </c>
      <c r="X970" s="1" t="str">
        <f t="shared" si="110"/>
        <v/>
      </c>
      <c r="AA970" s="1" t="str">
        <f t="shared" si="111"/>
        <v/>
      </c>
    </row>
    <row r="971" spans="1:27" x14ac:dyDescent="0.2">
      <c r="A971" t="str">
        <f>IF(COUNTBLANK(B971:AB971)&lt;&gt;COLUMNS(B971:AB971),970,"")</f>
        <v/>
      </c>
      <c r="D971" s="1" t="str">
        <f t="shared" si="105"/>
        <v/>
      </c>
      <c r="G971" s="2" t="str">
        <f t="shared" si="106"/>
        <v/>
      </c>
      <c r="H971" s="1" t="str">
        <f t="shared" si="107"/>
        <v/>
      </c>
      <c r="S971" s="1" t="str">
        <f t="shared" si="108"/>
        <v/>
      </c>
      <c r="U971" s="1" t="str">
        <f t="shared" si="109"/>
        <v/>
      </c>
      <c r="X971" s="1" t="str">
        <f t="shared" si="110"/>
        <v/>
      </c>
      <c r="AA971" s="1" t="str">
        <f t="shared" si="111"/>
        <v/>
      </c>
    </row>
    <row r="972" spans="1:27" x14ac:dyDescent="0.2">
      <c r="A972" t="str">
        <f>IF(COUNTBLANK(B972:AB972)&lt;&gt;COLUMNS(B972:AB972),971,"")</f>
        <v/>
      </c>
      <c r="D972" s="1" t="str">
        <f t="shared" si="105"/>
        <v/>
      </c>
      <c r="G972" s="2" t="str">
        <f t="shared" si="106"/>
        <v/>
      </c>
      <c r="H972" s="1" t="str">
        <f t="shared" si="107"/>
        <v/>
      </c>
      <c r="S972" s="1" t="str">
        <f t="shared" si="108"/>
        <v/>
      </c>
      <c r="U972" s="1" t="str">
        <f t="shared" si="109"/>
        <v/>
      </c>
      <c r="X972" s="1" t="str">
        <f t="shared" si="110"/>
        <v/>
      </c>
      <c r="AA972" s="1" t="str">
        <f t="shared" si="111"/>
        <v/>
      </c>
    </row>
    <row r="973" spans="1:27" x14ac:dyDescent="0.2">
      <c r="A973" t="str">
        <f>IF(COUNTBLANK(B973:AB973)&lt;&gt;COLUMNS(B973:AB973),972,"")</f>
        <v/>
      </c>
      <c r="D973" s="1" t="str">
        <f t="shared" si="105"/>
        <v/>
      </c>
      <c r="G973" s="2" t="str">
        <f t="shared" si="106"/>
        <v/>
      </c>
      <c r="H973" s="1" t="str">
        <f t="shared" si="107"/>
        <v/>
      </c>
      <c r="S973" s="1" t="str">
        <f t="shared" si="108"/>
        <v/>
      </c>
      <c r="U973" s="1" t="str">
        <f t="shared" si="109"/>
        <v/>
      </c>
      <c r="X973" s="1" t="str">
        <f t="shared" si="110"/>
        <v/>
      </c>
      <c r="AA973" s="1" t="str">
        <f t="shared" si="111"/>
        <v/>
      </c>
    </row>
    <row r="974" spans="1:27" x14ac:dyDescent="0.2">
      <c r="A974" t="str">
        <f>IF(COUNTBLANK(B974:AB974)&lt;&gt;COLUMNS(B974:AB974),973,"")</f>
        <v/>
      </c>
      <c r="D974" s="1" t="str">
        <f t="shared" si="105"/>
        <v/>
      </c>
      <c r="G974" s="2" t="str">
        <f t="shared" si="106"/>
        <v/>
      </c>
      <c r="H974" s="1" t="str">
        <f t="shared" si="107"/>
        <v/>
      </c>
      <c r="S974" s="1" t="str">
        <f t="shared" si="108"/>
        <v/>
      </c>
      <c r="U974" s="1" t="str">
        <f t="shared" si="109"/>
        <v/>
      </c>
      <c r="X974" s="1" t="str">
        <f t="shared" si="110"/>
        <v/>
      </c>
      <c r="AA974" s="1" t="str">
        <f t="shared" si="111"/>
        <v/>
      </c>
    </row>
    <row r="975" spans="1:27" x14ac:dyDescent="0.2">
      <c r="A975" t="str">
        <f>IF(COUNTBLANK(B975:AB975)&lt;&gt;COLUMNS(B975:AB975),974,"")</f>
        <v/>
      </c>
      <c r="D975" s="1" t="str">
        <f t="shared" si="105"/>
        <v/>
      </c>
      <c r="G975" s="2" t="str">
        <f t="shared" si="106"/>
        <v/>
      </c>
      <c r="H975" s="1" t="str">
        <f t="shared" si="107"/>
        <v/>
      </c>
      <c r="S975" s="1" t="str">
        <f t="shared" si="108"/>
        <v/>
      </c>
      <c r="U975" s="1" t="str">
        <f t="shared" si="109"/>
        <v/>
      </c>
      <c r="X975" s="1" t="str">
        <f t="shared" si="110"/>
        <v/>
      </c>
      <c r="AA975" s="1" t="str">
        <f t="shared" si="111"/>
        <v/>
      </c>
    </row>
    <row r="976" spans="1:27" x14ac:dyDescent="0.2">
      <c r="A976" t="str">
        <f>IF(COUNTBLANK(B976:AB976)&lt;&gt;COLUMNS(B976:AB976),975,"")</f>
        <v/>
      </c>
      <c r="D976" s="1" t="str">
        <f t="shared" si="105"/>
        <v/>
      </c>
      <c r="G976" s="2" t="str">
        <f t="shared" si="106"/>
        <v/>
      </c>
      <c r="H976" s="1" t="str">
        <f t="shared" si="107"/>
        <v/>
      </c>
      <c r="S976" s="1" t="str">
        <f t="shared" si="108"/>
        <v/>
      </c>
      <c r="U976" s="1" t="str">
        <f t="shared" si="109"/>
        <v/>
      </c>
      <c r="X976" s="1" t="str">
        <f t="shared" si="110"/>
        <v/>
      </c>
      <c r="AA976" s="1" t="str">
        <f t="shared" si="111"/>
        <v/>
      </c>
    </row>
    <row r="977" spans="1:27" x14ac:dyDescent="0.2">
      <c r="A977" t="str">
        <f>IF(COUNTBLANK(B977:AB977)&lt;&gt;COLUMNS(B977:AB977),976,"")</f>
        <v/>
      </c>
      <c r="D977" s="1" t="str">
        <f t="shared" si="105"/>
        <v/>
      </c>
      <c r="G977" s="2" t="str">
        <f t="shared" si="106"/>
        <v/>
      </c>
      <c r="H977" s="1" t="str">
        <f t="shared" si="107"/>
        <v/>
      </c>
      <c r="S977" s="1" t="str">
        <f t="shared" si="108"/>
        <v/>
      </c>
      <c r="U977" s="1" t="str">
        <f t="shared" si="109"/>
        <v/>
      </c>
      <c r="X977" s="1" t="str">
        <f t="shared" si="110"/>
        <v/>
      </c>
      <c r="AA977" s="1" t="str">
        <f t="shared" si="111"/>
        <v/>
      </c>
    </row>
    <row r="978" spans="1:27" x14ac:dyDescent="0.2">
      <c r="A978" t="str">
        <f>IF(COUNTBLANK(B978:AB978)&lt;&gt;COLUMNS(B978:AB978),977,"")</f>
        <v/>
      </c>
      <c r="D978" s="1" t="str">
        <f t="shared" si="105"/>
        <v/>
      </c>
      <c r="G978" s="2" t="str">
        <f t="shared" si="106"/>
        <v/>
      </c>
      <c r="H978" s="1" t="str">
        <f t="shared" si="107"/>
        <v/>
      </c>
      <c r="S978" s="1" t="str">
        <f t="shared" si="108"/>
        <v/>
      </c>
      <c r="U978" s="1" t="str">
        <f t="shared" si="109"/>
        <v/>
      </c>
      <c r="X978" s="1" t="str">
        <f t="shared" si="110"/>
        <v/>
      </c>
      <c r="AA978" s="1" t="str">
        <f t="shared" si="111"/>
        <v/>
      </c>
    </row>
    <row r="979" spans="1:27" x14ac:dyDescent="0.2">
      <c r="A979" t="str">
        <f>IF(COUNTBLANK(B979:AB979)&lt;&gt;COLUMNS(B979:AB979),978,"")</f>
        <v/>
      </c>
      <c r="D979" s="1" t="str">
        <f t="shared" si="105"/>
        <v/>
      </c>
      <c r="G979" s="2" t="str">
        <f t="shared" si="106"/>
        <v/>
      </c>
      <c r="H979" s="1" t="str">
        <f t="shared" si="107"/>
        <v/>
      </c>
      <c r="S979" s="1" t="str">
        <f t="shared" si="108"/>
        <v/>
      </c>
      <c r="U979" s="1" t="str">
        <f t="shared" si="109"/>
        <v/>
      </c>
      <c r="X979" s="1" t="str">
        <f t="shared" si="110"/>
        <v/>
      </c>
      <c r="AA979" s="1" t="str">
        <f t="shared" si="111"/>
        <v/>
      </c>
    </row>
    <row r="980" spans="1:27" x14ac:dyDescent="0.2">
      <c r="A980" t="str">
        <f>IF(COUNTBLANK(B980:AB980)&lt;&gt;COLUMNS(B980:AB980),979,"")</f>
        <v/>
      </c>
      <c r="D980" s="1" t="str">
        <f t="shared" si="105"/>
        <v/>
      </c>
      <c r="G980" s="2" t="str">
        <f t="shared" si="106"/>
        <v/>
      </c>
      <c r="H980" s="1" t="str">
        <f t="shared" si="107"/>
        <v/>
      </c>
      <c r="S980" s="1" t="str">
        <f t="shared" si="108"/>
        <v/>
      </c>
      <c r="U980" s="1" t="str">
        <f t="shared" si="109"/>
        <v/>
      </c>
      <c r="X980" s="1" t="str">
        <f t="shared" si="110"/>
        <v/>
      </c>
      <c r="AA980" s="1" t="str">
        <f t="shared" si="111"/>
        <v/>
      </c>
    </row>
    <row r="981" spans="1:27" x14ac:dyDescent="0.2">
      <c r="A981" t="str">
        <f>IF(COUNTBLANK(B981:AB981)&lt;&gt;COLUMNS(B981:AB981),980,"")</f>
        <v/>
      </c>
      <c r="D981" s="1" t="str">
        <f t="shared" si="105"/>
        <v/>
      </c>
      <c r="G981" s="2" t="str">
        <f t="shared" si="106"/>
        <v/>
      </c>
      <c r="H981" s="1" t="str">
        <f t="shared" si="107"/>
        <v/>
      </c>
      <c r="S981" s="1" t="str">
        <f t="shared" si="108"/>
        <v/>
      </c>
      <c r="U981" s="1" t="str">
        <f t="shared" si="109"/>
        <v/>
      </c>
      <c r="X981" s="1" t="str">
        <f t="shared" si="110"/>
        <v/>
      </c>
      <c r="AA981" s="1" t="str">
        <f t="shared" si="111"/>
        <v/>
      </c>
    </row>
    <row r="982" spans="1:27" x14ac:dyDescent="0.2">
      <c r="A982" t="str">
        <f>IF(COUNTBLANK(B982:AB982)&lt;&gt;COLUMNS(B982:AB982),981,"")</f>
        <v/>
      </c>
      <c r="D982" s="1" t="str">
        <f t="shared" si="105"/>
        <v/>
      </c>
      <c r="G982" s="2" t="str">
        <f t="shared" si="106"/>
        <v/>
      </c>
      <c r="H982" s="1" t="str">
        <f t="shared" si="107"/>
        <v/>
      </c>
      <c r="S982" s="1" t="str">
        <f t="shared" si="108"/>
        <v/>
      </c>
      <c r="U982" s="1" t="str">
        <f t="shared" si="109"/>
        <v/>
      </c>
      <c r="X982" s="1" t="str">
        <f t="shared" si="110"/>
        <v/>
      </c>
      <c r="AA982" s="1" t="str">
        <f t="shared" si="111"/>
        <v/>
      </c>
    </row>
    <row r="983" spans="1:27" x14ac:dyDescent="0.2">
      <c r="A983" t="str">
        <f>IF(COUNTBLANK(B983:AB983)&lt;&gt;COLUMNS(B983:AB983),982,"")</f>
        <v/>
      </c>
      <c r="D983" s="1" t="str">
        <f t="shared" si="105"/>
        <v/>
      </c>
      <c r="G983" s="2" t="str">
        <f t="shared" si="106"/>
        <v/>
      </c>
      <c r="H983" s="1" t="str">
        <f t="shared" si="107"/>
        <v/>
      </c>
      <c r="S983" s="1" t="str">
        <f t="shared" si="108"/>
        <v/>
      </c>
      <c r="U983" s="1" t="str">
        <f t="shared" si="109"/>
        <v/>
      </c>
      <c r="X983" s="1" t="str">
        <f t="shared" si="110"/>
        <v/>
      </c>
      <c r="AA983" s="1" t="str">
        <f t="shared" si="111"/>
        <v/>
      </c>
    </row>
    <row r="984" spans="1:27" x14ac:dyDescent="0.2">
      <c r="A984" t="str">
        <f>IF(COUNTBLANK(B984:AB984)&lt;&gt;COLUMNS(B984:AB984),983,"")</f>
        <v/>
      </c>
      <c r="D984" s="1" t="str">
        <f t="shared" si="105"/>
        <v/>
      </c>
      <c r="G984" s="2" t="str">
        <f t="shared" si="106"/>
        <v/>
      </c>
      <c r="H984" s="1" t="str">
        <f t="shared" si="107"/>
        <v/>
      </c>
      <c r="S984" s="1" t="str">
        <f t="shared" si="108"/>
        <v/>
      </c>
      <c r="U984" s="1" t="str">
        <f t="shared" si="109"/>
        <v/>
      </c>
      <c r="X984" s="1" t="str">
        <f t="shared" si="110"/>
        <v/>
      </c>
      <c r="AA984" s="1" t="str">
        <f t="shared" si="111"/>
        <v/>
      </c>
    </row>
    <row r="985" spans="1:27" x14ac:dyDescent="0.2">
      <c r="A985" t="str">
        <f>IF(COUNTBLANK(B985:AB985)&lt;&gt;COLUMNS(B985:AB985),984,"")</f>
        <v/>
      </c>
      <c r="D985" s="1" t="str">
        <f t="shared" si="105"/>
        <v/>
      </c>
      <c r="G985" s="2" t="str">
        <f t="shared" si="106"/>
        <v/>
      </c>
      <c r="H985" s="1" t="str">
        <f t="shared" si="107"/>
        <v/>
      </c>
      <c r="S985" s="1" t="str">
        <f t="shared" si="108"/>
        <v/>
      </c>
      <c r="U985" s="1" t="str">
        <f t="shared" si="109"/>
        <v/>
      </c>
      <c r="X985" s="1" t="str">
        <f t="shared" si="110"/>
        <v/>
      </c>
      <c r="AA985" s="1" t="str">
        <f t="shared" si="111"/>
        <v/>
      </c>
    </row>
    <row r="986" spans="1:27" x14ac:dyDescent="0.2">
      <c r="A986" t="str">
        <f>IF(COUNTBLANK(B986:AB986)&lt;&gt;COLUMNS(B986:AB986),985,"")</f>
        <v/>
      </c>
      <c r="D986" s="1" t="str">
        <f t="shared" si="105"/>
        <v/>
      </c>
      <c r="G986" s="2" t="str">
        <f t="shared" si="106"/>
        <v/>
      </c>
      <c r="H986" s="1" t="str">
        <f t="shared" si="107"/>
        <v/>
      </c>
      <c r="S986" s="1" t="str">
        <f t="shared" si="108"/>
        <v/>
      </c>
      <c r="U986" s="1" t="str">
        <f t="shared" si="109"/>
        <v/>
      </c>
      <c r="X986" s="1" t="str">
        <f t="shared" si="110"/>
        <v/>
      </c>
      <c r="AA986" s="1" t="str">
        <f t="shared" si="111"/>
        <v/>
      </c>
    </row>
    <row r="987" spans="1:27" x14ac:dyDescent="0.2">
      <c r="A987" t="str">
        <f>IF(COUNTBLANK(B987:AB987)&lt;&gt;COLUMNS(B987:AB987),986,"")</f>
        <v/>
      </c>
      <c r="D987" s="1" t="str">
        <f t="shared" si="105"/>
        <v/>
      </c>
      <c r="G987" s="2" t="str">
        <f t="shared" si="106"/>
        <v/>
      </c>
      <c r="H987" s="1" t="str">
        <f t="shared" si="107"/>
        <v/>
      </c>
      <c r="S987" s="1" t="str">
        <f t="shared" si="108"/>
        <v/>
      </c>
      <c r="U987" s="1" t="str">
        <f t="shared" si="109"/>
        <v/>
      </c>
      <c r="X987" s="1" t="str">
        <f t="shared" si="110"/>
        <v/>
      </c>
      <c r="AA987" s="1" t="str">
        <f t="shared" si="111"/>
        <v/>
      </c>
    </row>
    <row r="988" spans="1:27" x14ac:dyDescent="0.2">
      <c r="A988" t="str">
        <f>IF(COUNTBLANK(B988:AB988)&lt;&gt;COLUMNS(B988:AB988),987,"")</f>
        <v/>
      </c>
      <c r="D988" s="1" t="str">
        <f t="shared" si="105"/>
        <v/>
      </c>
      <c r="G988" s="2" t="str">
        <f t="shared" si="106"/>
        <v/>
      </c>
      <c r="H988" s="1" t="str">
        <f t="shared" si="107"/>
        <v/>
      </c>
      <c r="S988" s="1" t="str">
        <f t="shared" si="108"/>
        <v/>
      </c>
      <c r="U988" s="1" t="str">
        <f t="shared" si="109"/>
        <v/>
      </c>
      <c r="X988" s="1" t="str">
        <f t="shared" si="110"/>
        <v/>
      </c>
      <c r="AA988" s="1" t="str">
        <f t="shared" si="111"/>
        <v/>
      </c>
    </row>
    <row r="989" spans="1:27" x14ac:dyDescent="0.2">
      <c r="A989" t="str">
        <f>IF(COUNTBLANK(B989:AB989)&lt;&gt;COLUMNS(B989:AB989),988,"")</f>
        <v/>
      </c>
      <c r="D989" s="1" t="str">
        <f t="shared" si="105"/>
        <v/>
      </c>
      <c r="G989" s="2" t="str">
        <f t="shared" si="106"/>
        <v/>
      </c>
      <c r="H989" s="1" t="str">
        <f t="shared" si="107"/>
        <v/>
      </c>
      <c r="S989" s="1" t="str">
        <f t="shared" si="108"/>
        <v/>
      </c>
      <c r="U989" s="1" t="str">
        <f t="shared" si="109"/>
        <v/>
      </c>
      <c r="X989" s="1" t="str">
        <f t="shared" si="110"/>
        <v/>
      </c>
      <c r="AA989" s="1" t="str">
        <f t="shared" si="111"/>
        <v/>
      </c>
    </row>
    <row r="990" spans="1:27" x14ac:dyDescent="0.2">
      <c r="A990" t="str">
        <f>IF(COUNTBLANK(B990:AB990)&lt;&gt;COLUMNS(B990:AB990),989,"")</f>
        <v/>
      </c>
      <c r="D990" s="1" t="str">
        <f t="shared" si="105"/>
        <v/>
      </c>
      <c r="G990" s="2" t="str">
        <f t="shared" si="106"/>
        <v/>
      </c>
      <c r="H990" s="1" t="str">
        <f t="shared" si="107"/>
        <v/>
      </c>
      <c r="S990" s="1" t="str">
        <f t="shared" si="108"/>
        <v/>
      </c>
      <c r="U990" s="1" t="str">
        <f t="shared" si="109"/>
        <v/>
      </c>
      <c r="X990" s="1" t="str">
        <f t="shared" si="110"/>
        <v/>
      </c>
      <c r="AA990" s="1" t="str">
        <f t="shared" si="111"/>
        <v/>
      </c>
    </row>
    <row r="991" spans="1:27" x14ac:dyDescent="0.2">
      <c r="A991" t="str">
        <f>IF(COUNTBLANK(B991:AB991)&lt;&gt;COLUMNS(B991:AB991),990,"")</f>
        <v/>
      </c>
      <c r="D991" s="1" t="str">
        <f t="shared" si="105"/>
        <v/>
      </c>
      <c r="G991" s="2" t="str">
        <f t="shared" si="106"/>
        <v/>
      </c>
      <c r="H991" s="1" t="str">
        <f t="shared" si="107"/>
        <v/>
      </c>
      <c r="S991" s="1" t="str">
        <f t="shared" si="108"/>
        <v/>
      </c>
      <c r="U991" s="1" t="str">
        <f t="shared" si="109"/>
        <v/>
      </c>
      <c r="X991" s="1" t="str">
        <f t="shared" si="110"/>
        <v/>
      </c>
      <c r="AA991" s="1" t="str">
        <f t="shared" si="111"/>
        <v/>
      </c>
    </row>
    <row r="992" spans="1:27" x14ac:dyDescent="0.2">
      <c r="A992" t="str">
        <f>IF(COUNTBLANK(B992:AB992)&lt;&gt;COLUMNS(B992:AB992),991,"")</f>
        <v/>
      </c>
      <c r="D992" s="1" t="str">
        <f t="shared" si="105"/>
        <v/>
      </c>
      <c r="G992" s="2" t="str">
        <f t="shared" si="106"/>
        <v/>
      </c>
      <c r="H992" s="1" t="str">
        <f t="shared" si="107"/>
        <v/>
      </c>
      <c r="S992" s="1" t="str">
        <f t="shared" si="108"/>
        <v/>
      </c>
      <c r="U992" s="1" t="str">
        <f t="shared" si="109"/>
        <v/>
      </c>
      <c r="X992" s="1" t="str">
        <f t="shared" si="110"/>
        <v/>
      </c>
      <c r="AA992" s="1" t="str">
        <f t="shared" si="111"/>
        <v/>
      </c>
    </row>
    <row r="993" spans="1:27" x14ac:dyDescent="0.2">
      <c r="A993" t="str">
        <f>IF(COUNTBLANK(B993:AB993)&lt;&gt;COLUMNS(B993:AB993),992,"")</f>
        <v/>
      </c>
      <c r="D993" s="1" t="str">
        <f t="shared" si="105"/>
        <v/>
      </c>
      <c r="G993" s="2" t="str">
        <f t="shared" si="106"/>
        <v/>
      </c>
      <c r="H993" s="1" t="str">
        <f t="shared" si="107"/>
        <v/>
      </c>
      <c r="S993" s="1" t="str">
        <f t="shared" si="108"/>
        <v/>
      </c>
      <c r="U993" s="1" t="str">
        <f t="shared" si="109"/>
        <v/>
      </c>
      <c r="X993" s="1" t="str">
        <f t="shared" si="110"/>
        <v/>
      </c>
      <c r="AA993" s="1" t="str">
        <f t="shared" si="111"/>
        <v/>
      </c>
    </row>
    <row r="994" spans="1:27" x14ac:dyDescent="0.2">
      <c r="A994" t="str">
        <f>IF(COUNTBLANK(B994:AB994)&lt;&gt;COLUMNS(B994:AB994),993,"")</f>
        <v/>
      </c>
      <c r="D994" s="1" t="str">
        <f t="shared" si="105"/>
        <v/>
      </c>
      <c r="G994" s="2" t="str">
        <f t="shared" si="106"/>
        <v/>
      </c>
      <c r="H994" s="1" t="str">
        <f t="shared" si="107"/>
        <v/>
      </c>
      <c r="S994" s="1" t="str">
        <f t="shared" si="108"/>
        <v/>
      </c>
      <c r="U994" s="1" t="str">
        <f t="shared" si="109"/>
        <v/>
      </c>
      <c r="X994" s="1" t="str">
        <f t="shared" si="110"/>
        <v/>
      </c>
      <c r="AA994" s="1" t="str">
        <f t="shared" si="111"/>
        <v/>
      </c>
    </row>
    <row r="995" spans="1:27" x14ac:dyDescent="0.2">
      <c r="A995" t="str">
        <f>IF(COUNTBLANK(B995:AB995)&lt;&gt;COLUMNS(B995:AB995),994,"")</f>
        <v/>
      </c>
      <c r="D995" s="1" t="str">
        <f t="shared" si="105"/>
        <v/>
      </c>
      <c r="G995" s="2" t="str">
        <f t="shared" si="106"/>
        <v/>
      </c>
      <c r="H995" s="1" t="str">
        <f t="shared" si="107"/>
        <v/>
      </c>
      <c r="S995" s="1" t="str">
        <f t="shared" si="108"/>
        <v/>
      </c>
      <c r="U995" s="1" t="str">
        <f t="shared" si="109"/>
        <v/>
      </c>
      <c r="X995" s="1" t="str">
        <f t="shared" si="110"/>
        <v/>
      </c>
      <c r="AA995" s="1" t="str">
        <f t="shared" si="111"/>
        <v/>
      </c>
    </row>
    <row r="996" spans="1:27" x14ac:dyDescent="0.2">
      <c r="A996" t="str">
        <f>IF(COUNTBLANK(B996:AB996)&lt;&gt;COLUMNS(B996:AB996),995,"")</f>
        <v/>
      </c>
      <c r="D996" s="1" t="str">
        <f t="shared" si="105"/>
        <v/>
      </c>
      <c r="G996" s="2" t="str">
        <f t="shared" si="106"/>
        <v/>
      </c>
      <c r="H996" s="1" t="str">
        <f t="shared" si="107"/>
        <v/>
      </c>
      <c r="S996" s="1" t="str">
        <f t="shared" si="108"/>
        <v/>
      </c>
      <c r="U996" s="1" t="str">
        <f t="shared" si="109"/>
        <v/>
      </c>
      <c r="X996" s="1" t="str">
        <f t="shared" si="110"/>
        <v/>
      </c>
      <c r="AA996" s="1" t="str">
        <f t="shared" si="111"/>
        <v/>
      </c>
    </row>
    <row r="997" spans="1:27" x14ac:dyDescent="0.2">
      <c r="A997" t="str">
        <f>IF(COUNTBLANK(B997:AB997)&lt;&gt;COLUMNS(B997:AB997),996,"")</f>
        <v/>
      </c>
      <c r="D997" s="1" t="str">
        <f t="shared" si="105"/>
        <v/>
      </c>
      <c r="G997" s="2" t="str">
        <f t="shared" si="106"/>
        <v/>
      </c>
      <c r="H997" s="1" t="str">
        <f t="shared" si="107"/>
        <v/>
      </c>
      <c r="S997" s="1" t="str">
        <f t="shared" si="108"/>
        <v/>
      </c>
      <c r="U997" s="1" t="str">
        <f t="shared" si="109"/>
        <v/>
      </c>
      <c r="X997" s="1" t="str">
        <f t="shared" si="110"/>
        <v/>
      </c>
      <c r="AA997" s="1" t="str">
        <f t="shared" si="111"/>
        <v/>
      </c>
    </row>
    <row r="998" spans="1:27" x14ac:dyDescent="0.2">
      <c r="A998" t="str">
        <f>IF(COUNTBLANK(B998:AB998)&lt;&gt;COLUMNS(B998:AB998),997,"")</f>
        <v/>
      </c>
      <c r="D998" s="1" t="str">
        <f t="shared" si="105"/>
        <v/>
      </c>
      <c r="G998" s="2" t="str">
        <f t="shared" si="106"/>
        <v/>
      </c>
      <c r="H998" s="1" t="str">
        <f t="shared" si="107"/>
        <v/>
      </c>
      <c r="S998" s="1" t="str">
        <f t="shared" si="108"/>
        <v/>
      </c>
      <c r="U998" s="1" t="str">
        <f t="shared" si="109"/>
        <v/>
      </c>
      <c r="X998" s="1" t="str">
        <f t="shared" si="110"/>
        <v/>
      </c>
      <c r="AA998" s="1" t="str">
        <f t="shared" si="111"/>
        <v/>
      </c>
    </row>
    <row r="999" spans="1:27" x14ac:dyDescent="0.2">
      <c r="A999" t="str">
        <f>IF(COUNTBLANK(B999:AB999)&lt;&gt;COLUMNS(B999:AB999),998,"")</f>
        <v/>
      </c>
      <c r="D999" s="1" t="str">
        <f t="shared" si="105"/>
        <v/>
      </c>
      <c r="G999" s="2" t="str">
        <f t="shared" si="106"/>
        <v/>
      </c>
      <c r="H999" s="1" t="str">
        <f t="shared" si="107"/>
        <v/>
      </c>
      <c r="S999" s="1" t="str">
        <f t="shared" si="108"/>
        <v/>
      </c>
      <c r="U999" s="1" t="str">
        <f t="shared" si="109"/>
        <v/>
      </c>
      <c r="X999" s="1" t="str">
        <f t="shared" si="110"/>
        <v/>
      </c>
      <c r="AA999" s="1" t="str">
        <f t="shared" si="111"/>
        <v/>
      </c>
    </row>
    <row r="1000" spans="1:27" x14ac:dyDescent="0.2">
      <c r="A1000" t="str">
        <f>IF(COUNTBLANK(B1000:AB1000)&lt;&gt;COLUMNS(B1000:AB1000),999,"")</f>
        <v/>
      </c>
      <c r="D1000" s="1" t="str">
        <f t="shared" si="105"/>
        <v/>
      </c>
      <c r="G1000" s="2" t="str">
        <f t="shared" si="106"/>
        <v/>
      </c>
      <c r="H1000" s="1" t="str">
        <f t="shared" si="107"/>
        <v/>
      </c>
      <c r="S1000" s="1" t="str">
        <f t="shared" si="108"/>
        <v/>
      </c>
      <c r="U1000" s="1" t="str">
        <f t="shared" si="109"/>
        <v/>
      </c>
      <c r="X1000" s="1" t="str">
        <f t="shared" si="110"/>
        <v/>
      </c>
      <c r="AA1000" s="1" t="str">
        <f t="shared" si="111"/>
        <v/>
      </c>
    </row>
    <row r="1001" spans="1:27" x14ac:dyDescent="0.2">
      <c r="A1001" t="str">
        <f>IF(COUNTBLANK(B1001:AB1001)&lt;&gt;COLUMNS(B1001:AB1001),1000,"")</f>
        <v/>
      </c>
      <c r="D1001" s="1" t="str">
        <f t="shared" si="105"/>
        <v/>
      </c>
      <c r="G1001" s="2" t="str">
        <f t="shared" si="106"/>
        <v/>
      </c>
      <c r="H1001" s="1" t="str">
        <f t="shared" si="107"/>
        <v/>
      </c>
      <c r="S1001" s="1" t="str">
        <f t="shared" si="108"/>
        <v/>
      </c>
      <c r="U1001" s="1" t="str">
        <f t="shared" si="109"/>
        <v/>
      </c>
      <c r="X1001" s="1" t="str">
        <f t="shared" si="110"/>
        <v/>
      </c>
      <c r="AA1001" s="1" t="str">
        <f t="shared" si="111"/>
        <v/>
      </c>
    </row>
    <row r="1002" spans="1:27" x14ac:dyDescent="0.2">
      <c r="B1002" s="3" t="s">
        <v>2</v>
      </c>
    </row>
  </sheetData>
  <sheetProtection sheet="1" objects="1" scenarios="1" formatCells="0" formatColumns="0" formatRows="0"/>
  <dataValidations count="27">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text truncated: please refer to field descriptions sheet for full requirements]." promptTitle="Enter collection_timestamp" prompt="The day and time of sampling as a single point in time expressed in 24-hour time format, e.g. 2016-11-22. The value must be a string and must equal &quot;missing: not collected&quot; o[text truncated: please refer to field descriptions sheet for full requirements]." sqref="C2:C1001">
      <formula1>(OR(AND(IF(C2="",FALSE,TRUE),OR(EXACT(C2,"missing: not collected"),EXACT(C2,"missing: not provided"),EXACT(C2,"missing: restricted access"))),AND(IF(C2="",FALSE,TRUE),AND(AND(IFERROR(INT(LEFT(C2,4))&gt;1900,FALSE),IFERROR(INT(LEFT(C2,4))&lt;=YEAR(NOW()),FALSE)), OR(MID(C2,5,1)="", AND(AND(MID(C2,5,1)="-",IFERROR(INT(MID(C2,6,1))&gt;=0,FALSE),IFERROR(INT(MID(C2,6,1))&lt;=1,FALSE),NOT(MID(C2,7,1)=""),IFERROR(INT(MID(C2,6,2))&gt;=1,FALSE),IFERROR(INT(MID(C2,6,2))&lt;=12,FALSE)), OR(MID(C2,8,1)="", AND(AND(MID(C2,8,1)="-",IFERROR(INT(MID(C2,9,1))&gt;=0,FALSE),IFERROR(INT(MID(C2,9,1))&lt;=3,FALSE),NOT(MID(C2,10,1)=""),IFERROR(INT(MID(C2,9,2))&gt;=1,FALSE),IFERROR(INT(MID(C2,9,2))&lt;=31,FALSE)), OR(MID(C2,11,1)="", AND(AND(MID(C2,11,1)=" ",IFERROR(INT(MID(C2,12,1))&gt;=0,FALSE),IFERROR(INT(MID(C2,12,1))&lt;=2,FALSE),NOT(MID(C2,13,1)=""),IFERROR(INT(MID(C2,12,2))&gt;=0,FALSE),IFERROR(INT(MID(C2,12,2))&lt;=23,FALSE)), OR(MID(C2,14,1)="", AND(AND(MID(C2,14,1)=":",IFERROR(INT(MID(C2,15,1))&gt;=0,FALSE),IFERROR(INT(MID(C2,15,1))&lt;=5,FALSE),NOT(MID(C2,16,1)=""),IFERROR(INT(MID(C2,15,2))&gt;=0,FALSE),IFERROR(INT(MID(C2,15,2))&lt;=59,FALSE)), OR(MID(C2,17,1)="", AND(AND(MID(C2,17,1)=":",IFERROR(INT(MID(C2,18,1))&gt;=0,FALSE),IFERROR(INT(MID(C2,18,1))&lt;=5,FALSE),NOT(MID(C2,19,1)=""),IFERROR(INT(MID(C2,18,2))&gt;=0,FALSE),IFERROR(INT(MID(C2,18,2))&lt;=59,FALSE)), LEN(C2)&lt;=19))))))))))))))</formula1>
    </dataValidation>
    <dataValidation type="list" allowBlank="1" showInputMessage="1" showErrorMessage="1" errorTitle="Invalid value" error="The collection_timestamp_units value entered is not valid. The value must be a string and must equal &quot;Not applicable&quot;. The default value is Not applicable." promptTitle="Enter collection_timestamp_units" prompt="The value must be a string and must equal &quot;Not applicable&quot;. The default value is Not applicable." sqref="D2:D1001">
      <formula1>"Not applicable"</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E2:E1001">
      <formula1>(IF(E2="",FALSE,TRUE))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missing: not collected&quot; or must equal[text truncated: please refer to field descriptions sheet for full requirements]." promptTitle="Enter dna_extracted" prompt="Whether the DNA been extracted from the sample. The value must be a string and must equal &quot;missing: not collected&quot; or must equal &quot;missing: not provided&quot; or the value must be a string and must equal &quot;TRUE&quot; or must equal &quot;FALSE&quot;." sqref="F2:F1001">
      <formula1>"missing: not collected,missing: 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missing: not collected&quot; or[text truncated: please refer to field descriptions sheet for full requirements]." promptTitle="Enter elevation" prompt="Height of land above sea level in meters at the sampling site. The value must be a string and must equal &quot;missing: not collected&quot; or must equal &quot;missing: not provided&quot; or mus[text truncated: please refer to field descriptions sheet for full requirements]." sqref="G2:G1001">
      <formula1>(OR(AND(IF(G2="",FALSE,TRUE),OR(EXACT(G2,"missing: not collected"),EXACT(G2,"missing: not provided"),EXACT(G2,"missing: restricted access"))),AND(IF(G2="",FALSE,ISNUMBER(VALUE(G2))),G2&gt;=-413)))</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H2:H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I2:I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J2:J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text truncated: please refer to field descriptions sheet for full requirements]." promptTitle="Enter empo_3" prompt="The value must be a string and must equal &quot;Plant secretion&quot; or must equal &quot;Plant rhizosphere&quot; or must equal &quot;Plant surface&quot; or must equal &quot;Plant corpus&quot; or must equal &quot;Fungus[text truncated: please refer to field descriptions sheet for full requirements]." sqref="K2:K1001">
      <formula1>(AND(IF(K2="",FALSE,TRUE),OR(EXACT(K2,"Plant secretion"),EXACT(K2,"Plant rhizosphere"),EXACT(K2,"Plant surface"),EXACT(K2,"Plant corpus"),EXACT(K2,"Fungus surface"),EXACT(K2,"Fungus corpus"),EXACT(K2,"Animal surface"),EXACT(K2,"Animal proximal gut"),EXACT(K2,"Animal corpus"),EXACT(K2,"Animal distal gut"),EXACT(K2,"Animal secretion"),EXACT(K2,"Sub-surface (non-saline)"),EXACT(K2,"Surface (non-saline)"),EXACT(K2,"Water (non-saline)"),EXACT(K2,"Soil (non-saline)"),EXACT(K2,"Aerosol (non-saline)"),EXACT(K2,"Sediment (non-saline)"),EXACT(K2,"Surface (saline)"),EXACT(K2,"Water (saline)"),EXACT(K2,"Hypersaline (saline)"),EXACT(K2,"Aerosol (saline)"),EXACT(K2,"Sediment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L2:L1001">
      <formula1>(IF(L2="",FALSE,TRUE))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M2:M1001">
      <formula1>(IF(M2="",FALSE,TRUE))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N2:N1001">
      <formula1>(IF(N2="",FALSE,TRUE))</formula1>
    </dataValidation>
    <dataValidation type="custom" allowBlank="1" showInputMessage="1" showErrorMessage="1" errorTitle="Invalid env_package" error="The env_package value entered is not valid. Environment where the sample was obtained. The value must be a string and must equal &quot;missing: not collected&quot; or must equal &quot;missi[text truncated: please refer to field descriptions sheet for full requirements]." promptTitle="Enter env_package" prompt="Environment where the sample was obtained. The value must be a string and must equal &quot;missing: not collected&quot; or must equal &quot;missing: not provided&quot; or must equal &quot;missing: re[text truncated: please refer to field descriptions sheet for full requirements]." sqref="O2:O1001">
      <formula1>(OR(AND(IF(O2="",FALSE,TRUE),OR(EXACT(O2,"missing: not collected"),EXACT(O2,"missing: not provided"),EXACT(O2,"missing: restricted access"))),AND(IF(O2="",FALSE,TRUE),OR(EXACT(O2,"air"),EXACT(O2,"built environment"),EXACT(O2,"host-associated"),EXACT(O2,"human-associated"),EXACT(O2,"human-skin"),EXACT(O2,"human-oral"),EXACT(O2,"human-gut"),EXACT(O2,"human-vaginal"),EXACT(O2,"microbial mat/biofilm"),EXACT(O2,"misc environment"),EXACT(O2,"plant-associated"),EXACT(O2,"sediment"),EXACT(O2,"soil"),EXACT(O2,"wastewater/sludge"),EXACT(O2,"water")))))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P2:P1001">
      <formula1>(IF(P2="",FALSE,TRUE))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Q2:Q1001">
      <formula1>(IF(Q2="",FALSE,TRUE))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text truncated: please refer to field descriptions sheet for full requirements]." promptTitle="Enter latitude" prompt="Location of the sample site by latitude in decimal degrees, e.g. 32.72 for San Diego, USA. The value must be a string and must equal &quot;missing: not collected&quot; or must equal &quot;m[text truncated: please refer to field descriptions sheet for full requirements]." sqref="R2:R1001">
      <formula1>(OR(AND(IF(R2="",FALSE,TRUE),OR(EXACT(R2,"missing: not collected"),EXACT(R2,"missing: not provided"),EXACT(R2,"missing: restricted access"))),AND(IF(R2="",FALSE,ISNUMBER(VALUE(R2))),R2&gt;=-90,R2&lt;=90)))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S2:S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text truncated: please refer to field descriptions sheet for full requirements]." promptTitle="Enter longitude" prompt="Location of the sample site by longitude in decimal degrees, e.g. -117.16 for San Diego, USA. The value must be a string and must equal &quot;missing: not collected&quot; or must equal[text truncated: please refer to field descriptions sheet for full requirements]." sqref="T2:T1001">
      <formula1>(OR(AND(IF(T2="",FALSE,TRUE),OR(EXACT(T2,"missing: not collected"),EXACT(T2,"missing: not provided"),EXACT(T2,"missing: restricted access"))),AND(IF(T2="",FALSE,ISNUMBER(VALUE(T2))),T2&gt;=-180,T2&lt;=180)))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U2:U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V2:V1001">
      <formula1>(IF(V2="",FALSE,TRUE))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missing: not collecte[text truncated: please refer to field descriptions sheet for full requirements]." promptTitle="Enter value" prompt="Whether there is any raw specimen left to sample. The value must be a string and must equal &quot;missing: not collected&quot; or must equal &quot;missing: not provided&quot; or must equal &quot;miss[text truncated: please refer to field descriptions sheet for full requirements]." sqref="W2:W1001">
      <formula1>"missing: not collected,missing: not provided,missing: 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X2:X1001">
      <formula1>"other"</formula1>
    </dataValidation>
    <dataValidation type="custom" allowBlank="1" showInputMessage="1" showErrorMessage="1" errorTitle="Invalid scientific_name" error="The scientific_name value entered is not valid. The scientific name of the metagenome associated with this sample, as defined in the NCBI Taxonomy. Be aware that this is NOT [text truncated: please refer to field descriptions sheet for full requirements]." promptTitle="Enter scientific_name" prompt="The scientific name of the metagenome associated with this sample, as defined in the NCBI Taxonomy. Be aware that this is NOT the scientific name of the host! Note that this [text truncated: please refer to field descriptions sheet for full requirements]." sqref="Y2:Y1001">
      <formula1>(IF(Y2="",FALSE,TRUE))</formula1>
    </dataValidation>
    <dataValidation type="custom" allowBlank="1" showInputMessage="1" showErrorMessage="1" errorTitle="Invalid taxon_id" error="The taxon_id value entered is not valid. The NCBI Taxonomy id of the metagenome associated with this sample. Be aware that this is NOT the taxon id of the host! Note that thi[text truncated: please refer to field descriptions sheet for full requirements]." promptTitle="Enter taxon_id" prompt="The NCBI Taxonomy id of the metagenome associated with this sample. Be aware that this is NOT the taxon id of the host! Note that this value must correspond to the scientific[text truncated: please refer to field descriptions sheet for full requirements]." sqref="Z2:Z1001">
      <formula1>(OR(AND(IF(Z2="",FALSE,TRUE),OR(EXACT(Z2,"missing: not collected"),EXACT(Z2,"missing: not provided"))),AND(IF(Z2="",FALSE,IF(ISERROR(INT(Z2)),FALSE,INT(Z2)=Z2)),Z2&gt;0)))</formula1>
    </dataValidation>
    <dataValidation type="list" allowBlank="1" showInputMessage="1" showErrorMessage="1" errorTitle="Invalid taxon_id_units" error="The taxon_id_units value entered is not valid. The value must be a string and must equal &quot;Not applicable&quot;. The default value is Not applicable." promptTitle="Enter taxon_id_units" prompt="The value must be a string and must equal &quot;Not applicable&quot;. The default value is Not applicable." sqref="AA2:AA1001">
      <formula1>"Not applicable"</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B2:AB1001">
      <formula1>(IF(AB2="",FALSE,TRUE))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06"/>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zeroHeight="1" x14ac:dyDescent="0.2"/>
  <cols>
    <col min="2" max="28" width="8.83203125" style="4"/>
    <col min="32" max="65" width="0" hidden="1" customWidth="1"/>
  </cols>
  <sheetData>
    <row r="1" spans="1:65" x14ac:dyDescent="0.2">
      <c r="A1" s="3" t="s">
        <v>1</v>
      </c>
      <c r="B1" s="3" t="str">
        <f ca="1">IF(B2=" ", " ", INDEX($AM$1:$BM$1, 1, MATCH(COLUMNS($AM$1006:AM1006),$AM$1006:$BM$1006,0)))</f>
        <v xml:space="preserve"> </v>
      </c>
      <c r="C1" s="3" t="str">
        <f ca="1">IF(C2=" ", " ", INDEX($AM$1:$BM$1, 1, MATCH(COLUMNS($AM$1006:AN1006),$AM$1006:$BM$1006,0)))</f>
        <v xml:space="preserve"> </v>
      </c>
      <c r="D1" s="3" t="str">
        <f ca="1">IF(D2=" ", " ", INDEX($AM$1:$BM$1, 1, MATCH(COLUMNS($AM$1006:AO1006),$AM$1006:$BM$1006,0)))</f>
        <v xml:space="preserve"> </v>
      </c>
      <c r="E1" s="3" t="str">
        <f ca="1">IF(E2=" ", " ", INDEX($AM$1:$BM$1, 1, MATCH(COLUMNS($AM$1006:AP1006),$AM$1006:$BM$1006,0)))</f>
        <v xml:space="preserve"> </v>
      </c>
      <c r="F1" s="3" t="str">
        <f ca="1">IF(F2=" ", " ", INDEX($AM$1:$BM$1, 1, MATCH(COLUMNS($AM$1006:AQ1006),$AM$1006:$BM$1006,0)))</f>
        <v xml:space="preserve"> </v>
      </c>
      <c r="G1" s="3" t="str">
        <f ca="1">IF(G2=" ", " ", INDEX($AM$1:$BM$1, 1, MATCH(COLUMNS($AM$1006:AR1006),$AM$1006:$BM$1006,0)))</f>
        <v xml:space="preserve"> </v>
      </c>
      <c r="H1" s="3" t="str">
        <f ca="1">IF(H2=" ", " ", INDEX($AM$1:$BM$1, 1, MATCH(COLUMNS($AM$1006:AS1006),$AM$1006:$BM$1006,0)))</f>
        <v xml:space="preserve"> </v>
      </c>
      <c r="I1" s="3" t="str">
        <f ca="1">IF(I2=" ", " ", INDEX($AM$1:$BM$1, 1, MATCH(COLUMNS($AM$1006:AT1006),$AM$1006:$BM$1006,0)))</f>
        <v xml:space="preserve"> </v>
      </c>
      <c r="J1" s="3" t="str">
        <f ca="1">IF(J2=" ", " ", INDEX($AM$1:$BM$1, 1, MATCH(COLUMNS($AM$1006:AU1006),$AM$1006:$BM$1006,0)))</f>
        <v xml:space="preserve"> </v>
      </c>
      <c r="K1" s="3" t="str">
        <f ca="1">IF(K2=" ", " ", INDEX($AM$1:$BM$1, 1, MATCH(COLUMNS($AM$1006:AV1006),$AM$1006:$BM$1006,0)))</f>
        <v xml:space="preserve"> </v>
      </c>
      <c r="L1" s="3" t="str">
        <f ca="1">IF(L2=" ", " ", INDEX($AM$1:$BM$1, 1, MATCH(COLUMNS($AM$1006:AW1006),$AM$1006:$BM$1006,0)))</f>
        <v xml:space="preserve"> </v>
      </c>
      <c r="M1" s="3" t="str">
        <f ca="1">IF(M2=" ", " ", INDEX($AM$1:$BM$1, 1, MATCH(COLUMNS($AM$1006:AX1006),$AM$1006:$BM$1006,0)))</f>
        <v xml:space="preserve"> </v>
      </c>
      <c r="N1" s="3" t="str">
        <f ca="1">IF(N2=" ", " ", INDEX($AM$1:$BM$1, 1, MATCH(COLUMNS($AM$1006:AY1006),$AM$1006:$BM$1006,0)))</f>
        <v xml:space="preserve"> </v>
      </c>
      <c r="O1" s="3" t="str">
        <f ca="1">IF(O2=" ", " ", INDEX($AM$1:$BM$1, 1, MATCH(COLUMNS($AM$1006:AZ1006),$AM$1006:$BM$1006,0)))</f>
        <v xml:space="preserve"> </v>
      </c>
      <c r="P1" s="3" t="str">
        <f ca="1">IF(P2=" ", " ", INDEX($AM$1:$BM$1, 1, MATCH(COLUMNS($AM$1006:BA1006),$AM$1006:$BM$1006,0)))</f>
        <v xml:space="preserve"> </v>
      </c>
      <c r="Q1" s="3" t="str">
        <f ca="1">IF(Q2=" ", " ", INDEX($AM$1:$BM$1, 1, MATCH(COLUMNS($AM$1006:BB1006),$AM$1006:$BM$1006,0)))</f>
        <v xml:space="preserve"> </v>
      </c>
      <c r="R1" s="3" t="str">
        <f ca="1">IF(R2=" ", " ", INDEX($AM$1:$BM$1, 1, MATCH(COLUMNS($AM$1006:BC1006),$AM$1006:$BM$1006,0)))</f>
        <v xml:space="preserve"> </v>
      </c>
      <c r="S1" s="3" t="str">
        <f ca="1">IF(S2=" ", " ", INDEX($AM$1:$BM$1, 1, MATCH(COLUMNS($AM$1006:BD1006),$AM$1006:$BM$1006,0)))</f>
        <v xml:space="preserve"> </v>
      </c>
      <c r="T1" s="3" t="str">
        <f ca="1">IF(T2=" ", " ", INDEX($AM$1:$BM$1, 1, MATCH(COLUMNS($AM$1006:BE1006),$AM$1006:$BM$1006,0)))</f>
        <v xml:space="preserve"> </v>
      </c>
      <c r="U1" s="3" t="str">
        <f ca="1">IF(U2=" ", " ", INDEX($AM$1:$BM$1, 1, MATCH(COLUMNS($AM$1006:BF1006),$AM$1006:$BM$1006,0)))</f>
        <v xml:space="preserve"> </v>
      </c>
      <c r="V1" s="3" t="str">
        <f ca="1">IF(V2=" ", " ", INDEX($AM$1:$BM$1, 1, MATCH(COLUMNS($AM$1006:BG1006),$AM$1006:$BM$1006,0)))</f>
        <v xml:space="preserve"> </v>
      </c>
      <c r="W1" s="3" t="str">
        <f ca="1">IF(W2=" ", " ", INDEX($AM$1:$BM$1, 1, MATCH(COLUMNS($AM$1006:BH1006),$AM$1006:$BM$1006,0)))</f>
        <v xml:space="preserve"> </v>
      </c>
      <c r="X1" s="3" t="str">
        <f ca="1">IF(X2=" ", " ", INDEX($AM$1:$BM$1, 1, MATCH(COLUMNS($AM$1006:BI1006),$AM$1006:$BM$1006,0)))</f>
        <v xml:space="preserve"> </v>
      </c>
      <c r="Y1" s="3" t="str">
        <f ca="1">IF(Y2=" ", " ", INDEX($AM$1:$BM$1, 1, MATCH(COLUMNS($AM$1006:BJ1006),$AM$1006:$BM$1006,0)))</f>
        <v xml:space="preserve"> </v>
      </c>
      <c r="Z1" s="3" t="str">
        <f ca="1">IF(Z2=" ", " ", INDEX($AM$1:$BM$1, 1, MATCH(COLUMNS($AM$1006:BK1006),$AM$1006:$BM$1006,0)))</f>
        <v xml:space="preserve"> </v>
      </c>
      <c r="AA1" s="3" t="str">
        <f ca="1">IF(AA2=" ", " ", INDEX($AM$1:$BM$1, 1, MATCH(COLUMNS($AM$1006:BL1006),$AM$1006:$BM$1006,0)))</f>
        <v xml:space="preserve"> </v>
      </c>
      <c r="AB1" s="3" t="str">
        <f ca="1">IF(AB2=" ", " ", INDEX($AM$1:$BM$1, 1, MATCH(COLUMNS($AM$1006:BM1006),$AM$1006:$BM$1006,0)))</f>
        <v xml:space="preserve"> </v>
      </c>
      <c r="AF1" s="3" t="s">
        <v>33</v>
      </c>
      <c r="AG1" s="3" t="s">
        <v>32</v>
      </c>
      <c r="AH1" s="3" t="s">
        <v>31</v>
      </c>
      <c r="AI1" s="3" t="s">
        <v>30</v>
      </c>
      <c r="AJ1" s="3" t="s">
        <v>29</v>
      </c>
      <c r="AK1" s="3" t="s">
        <v>1</v>
      </c>
      <c r="AM1" s="3" t="s">
        <v>1</v>
      </c>
      <c r="AN1" s="3" t="s">
        <v>3</v>
      </c>
      <c r="AO1" s="3" t="s">
        <v>4</v>
      </c>
      <c r="AP1" s="3" t="s">
        <v>5</v>
      </c>
      <c r="AQ1" s="3" t="s">
        <v>6</v>
      </c>
      <c r="AR1" s="3" t="s">
        <v>7</v>
      </c>
      <c r="AS1" s="3" t="s">
        <v>8</v>
      </c>
      <c r="AT1" s="3" t="s">
        <v>9</v>
      </c>
      <c r="AU1" s="3" t="s">
        <v>10</v>
      </c>
      <c r="AV1" s="3" t="s">
        <v>11</v>
      </c>
      <c r="AW1" s="3" t="s">
        <v>12</v>
      </c>
      <c r="AX1" s="3" t="s">
        <v>13</v>
      </c>
      <c r="AY1" s="3" t="s">
        <v>14</v>
      </c>
      <c r="AZ1" s="3" t="s">
        <v>15</v>
      </c>
      <c r="BA1" s="3" t="s">
        <v>16</v>
      </c>
      <c r="BB1" s="3" t="s">
        <v>17</v>
      </c>
      <c r="BC1" s="3" t="s">
        <v>18</v>
      </c>
      <c r="BD1" s="3" t="s">
        <v>19</v>
      </c>
      <c r="BE1" s="3" t="s">
        <v>20</v>
      </c>
      <c r="BF1" s="3" t="s">
        <v>21</v>
      </c>
      <c r="BG1" s="3" t="s">
        <v>22</v>
      </c>
      <c r="BH1" s="3" t="s">
        <v>23</v>
      </c>
      <c r="BI1" s="3" t="s">
        <v>24</v>
      </c>
      <c r="BJ1" s="3" t="s">
        <v>25</v>
      </c>
      <c r="BK1" s="3" t="s">
        <v>26</v>
      </c>
      <c r="BL1" s="3" t="s">
        <v>27</v>
      </c>
      <c r="BM1" s="3" t="s">
        <v>28</v>
      </c>
    </row>
    <row r="2" spans="1:65" x14ac:dyDescent="0.2">
      <c r="A2" s="5" t="str">
        <f ca="1">IF(B2=" "," ",HYPERLINK(CONCATENATE("#metadata!",ADDRESS(INDEX($AH$2:$AH$1001,MATCH(ROWS($AF$2:AF2),$AF$2:$AF$1001,0),0),1)),INDEX($AK$2:$AK$1001,MATCH(ROWS($AF$2:AF2),$AF$2:$AF$1001,0),0)))</f>
        <v xml:space="preserve"> </v>
      </c>
      <c r="B2" s="4" t="str">
        <f ca="1">IF(OR(INDEX($AG$2:$AG$1001,MATCH(ROWS($AF$2:AF2),$AF$2:$AF$1001,0),1)&gt;=100000,INDEX($AM$1005:$BM$1005,1,MATCH(COLUMNS($AM$1006:AM1006),$AM$1006:$BM$1006,0))&gt;=100000), " ",IF(INDEX($AM$2:$BM$1001,MATCH(ROWS($AF$2:AF2),$AF$2:$AF$1001,0),MATCH(COLUMNS($AM$1006:AM1006),$AM$1006:$BM$1006,0)), HYPERLINK("#",""), HYPERLINK(CONCATENATE("#metadata!", ADDRESS(INDEX($AH$2:$AH$1001,MATCH(ROWS($AF$2:AF2),$AF$2:$AF$1001,0),0), INDEX($AM$1004:$BM$1004,1,MATCH(COLUMNS($AM$1006:AM1006),$AM$1006:$BM$1006,0)))),"Fix")))</f>
        <v xml:space="preserve"> </v>
      </c>
      <c r="C2" s="4" t="str">
        <f ca="1">IF(OR(INDEX($AG$2:$AG$1001,MATCH(ROWS($AF$2:AF2),$AF$2:$AF$1001,0),1)&gt;=100000,INDEX($AM$1005:$BM$1005,1,MATCH(COLUMNS($AM$1006:AN1006),$AM$1006:$BM$1006,0))&gt;=100000), " ",IF(INDEX($AM$2:$BM$1001,MATCH(ROWS($AF$2:AF2),$AF$2:$AF$1001,0),MATCH(COLUMNS($AM$1006:AN1006),$AM$1006:$BM$1006,0)), HYPERLINK("#",""), HYPERLINK(CONCATENATE("#metadata!", ADDRESS(INDEX($AH$2:$AH$1001,MATCH(ROWS($AF$2:AF2),$AF$2:$AF$1001,0),0), INDEX($AM$1004:$BM$1004,1,MATCH(COLUMNS($AM$1006:AN1006),$AM$1006:$BM$1006,0)))),"Fix")))</f>
        <v xml:space="preserve"> </v>
      </c>
      <c r="D2" s="4" t="str">
        <f ca="1">IF(OR(INDEX($AG$2:$AG$1001,MATCH(ROWS($AF$2:AF2),$AF$2:$AF$1001,0),1)&gt;=100000,INDEX($AM$1005:$BM$1005,1,MATCH(COLUMNS($AM$1006:AO1006),$AM$1006:$BM$1006,0))&gt;=100000), " ",IF(INDEX($AM$2:$BM$1001,MATCH(ROWS($AF$2:AF2),$AF$2:$AF$1001,0),MATCH(COLUMNS($AM$1006:AO1006),$AM$1006:$BM$1006,0)), HYPERLINK("#",""), HYPERLINK(CONCATENATE("#metadata!", ADDRESS(INDEX($AH$2:$AH$1001,MATCH(ROWS($AF$2:AF2),$AF$2:$AF$1001,0),0), INDEX($AM$1004:$BM$1004,1,MATCH(COLUMNS($AM$1006:AO1006),$AM$1006:$BM$1006,0)))),"Fix")))</f>
        <v xml:space="preserve"> </v>
      </c>
      <c r="E2" s="4" t="str">
        <f ca="1">IF(OR(INDEX($AG$2:$AG$1001,MATCH(ROWS($AF$2:AF2),$AF$2:$AF$1001,0),1)&gt;=100000,INDEX($AM$1005:$BM$1005,1,MATCH(COLUMNS($AM$1006:AP1006),$AM$1006:$BM$1006,0))&gt;=100000), " ",IF(INDEX($AM$2:$BM$1001,MATCH(ROWS($AF$2:AF2),$AF$2:$AF$1001,0),MATCH(COLUMNS($AM$1006:AP1006),$AM$1006:$BM$1006,0)), HYPERLINK("#",""), HYPERLINK(CONCATENATE("#metadata!", ADDRESS(INDEX($AH$2:$AH$1001,MATCH(ROWS($AF$2:AF2),$AF$2:$AF$1001,0),0), INDEX($AM$1004:$BM$1004,1,MATCH(COLUMNS($AM$1006:AP1006),$AM$1006:$BM$1006,0)))),"Fix")))</f>
        <v xml:space="preserve"> </v>
      </c>
      <c r="F2" s="4" t="str">
        <f ca="1">IF(OR(INDEX($AG$2:$AG$1001,MATCH(ROWS($AF$2:AF2),$AF$2:$AF$1001,0),1)&gt;=100000,INDEX($AM$1005:$BM$1005,1,MATCH(COLUMNS($AM$1006:AQ1006),$AM$1006:$BM$1006,0))&gt;=100000), " ",IF(INDEX($AM$2:$BM$1001,MATCH(ROWS($AF$2:AF2),$AF$2:$AF$1001,0),MATCH(COLUMNS($AM$1006:AQ1006),$AM$1006:$BM$1006,0)), HYPERLINK("#",""), HYPERLINK(CONCATENATE("#metadata!", ADDRESS(INDEX($AH$2:$AH$1001,MATCH(ROWS($AF$2:AF2),$AF$2:$AF$1001,0),0), INDEX($AM$1004:$BM$1004,1,MATCH(COLUMNS($AM$1006:AQ1006),$AM$1006:$BM$1006,0)))),"Fix")))</f>
        <v xml:space="preserve"> </v>
      </c>
      <c r="G2" s="4" t="str">
        <f ca="1">IF(OR(INDEX($AG$2:$AG$1001,MATCH(ROWS($AF$2:AF2),$AF$2:$AF$1001,0),1)&gt;=100000,INDEX($AM$1005:$BM$1005,1,MATCH(COLUMNS($AM$1006:AR1006),$AM$1006:$BM$1006,0))&gt;=100000), " ",IF(INDEX($AM$2:$BM$1001,MATCH(ROWS($AF$2:AF2),$AF$2:$AF$1001,0),MATCH(COLUMNS($AM$1006:AR1006),$AM$1006:$BM$1006,0)), HYPERLINK("#",""), HYPERLINK(CONCATENATE("#metadata!", ADDRESS(INDEX($AH$2:$AH$1001,MATCH(ROWS($AF$2:AF2),$AF$2:$AF$1001,0),0), INDEX($AM$1004:$BM$1004,1,MATCH(COLUMNS($AM$1006:AR1006),$AM$1006:$BM$1006,0)))),"Fix")))</f>
        <v xml:space="preserve"> </v>
      </c>
      <c r="H2" s="4" t="str">
        <f ca="1">IF(OR(INDEX($AG$2:$AG$1001,MATCH(ROWS($AF$2:AF2),$AF$2:$AF$1001,0),1)&gt;=100000,INDEX($AM$1005:$BM$1005,1,MATCH(COLUMNS($AM$1006:AS1006),$AM$1006:$BM$1006,0))&gt;=100000), " ",IF(INDEX($AM$2:$BM$1001,MATCH(ROWS($AF$2:AF2),$AF$2:$AF$1001,0),MATCH(COLUMNS($AM$1006:AS1006),$AM$1006:$BM$1006,0)), HYPERLINK("#",""), HYPERLINK(CONCATENATE("#metadata!", ADDRESS(INDEX($AH$2:$AH$1001,MATCH(ROWS($AF$2:AF2),$AF$2:$AF$1001,0),0), INDEX($AM$1004:$BM$1004,1,MATCH(COLUMNS($AM$1006:AS1006),$AM$1006:$BM$1006,0)))),"Fix")))</f>
        <v xml:space="preserve"> </v>
      </c>
      <c r="I2" s="4" t="str">
        <f ca="1">IF(OR(INDEX($AG$2:$AG$1001,MATCH(ROWS($AF$2:AF2),$AF$2:$AF$1001,0),1)&gt;=100000,INDEX($AM$1005:$BM$1005,1,MATCH(COLUMNS($AM$1006:AT1006),$AM$1006:$BM$1006,0))&gt;=100000), " ",IF(INDEX($AM$2:$BM$1001,MATCH(ROWS($AF$2:AF2),$AF$2:$AF$1001,0),MATCH(COLUMNS($AM$1006:AT1006),$AM$1006:$BM$1006,0)), HYPERLINK("#",""), HYPERLINK(CONCATENATE("#metadata!", ADDRESS(INDEX($AH$2:$AH$1001,MATCH(ROWS($AF$2:AF2),$AF$2:$AF$1001,0),0), INDEX($AM$1004:$BM$1004,1,MATCH(COLUMNS($AM$1006:AT1006),$AM$1006:$BM$1006,0)))),"Fix")))</f>
        <v xml:space="preserve"> </v>
      </c>
      <c r="J2" s="4" t="str">
        <f ca="1">IF(OR(INDEX($AG$2:$AG$1001,MATCH(ROWS($AF$2:AF2),$AF$2:$AF$1001,0),1)&gt;=100000,INDEX($AM$1005:$BM$1005,1,MATCH(COLUMNS($AM$1006:AU1006),$AM$1006:$BM$1006,0))&gt;=100000), " ",IF(INDEX($AM$2:$BM$1001,MATCH(ROWS($AF$2:AF2),$AF$2:$AF$1001,0),MATCH(COLUMNS($AM$1006:AU1006),$AM$1006:$BM$1006,0)), HYPERLINK("#",""), HYPERLINK(CONCATENATE("#metadata!", ADDRESS(INDEX($AH$2:$AH$1001,MATCH(ROWS($AF$2:AF2),$AF$2:$AF$1001,0),0), INDEX($AM$1004:$BM$1004,1,MATCH(COLUMNS($AM$1006:AU1006),$AM$1006:$BM$1006,0)))),"Fix")))</f>
        <v xml:space="preserve"> </v>
      </c>
      <c r="K2" s="4" t="str">
        <f ca="1">IF(OR(INDEX($AG$2:$AG$1001,MATCH(ROWS($AF$2:AF2),$AF$2:$AF$1001,0),1)&gt;=100000,INDEX($AM$1005:$BM$1005,1,MATCH(COLUMNS($AM$1006:AV1006),$AM$1006:$BM$1006,0))&gt;=100000), " ",IF(INDEX($AM$2:$BM$1001,MATCH(ROWS($AF$2:AF2),$AF$2:$AF$1001,0),MATCH(COLUMNS($AM$1006:AV1006),$AM$1006:$BM$1006,0)), HYPERLINK("#",""), HYPERLINK(CONCATENATE("#metadata!", ADDRESS(INDEX($AH$2:$AH$1001,MATCH(ROWS($AF$2:AF2),$AF$2:$AF$1001,0),0), INDEX($AM$1004:$BM$1004,1,MATCH(COLUMNS($AM$1006:AV1006),$AM$1006:$BM$1006,0)))),"Fix")))</f>
        <v xml:space="preserve"> </v>
      </c>
      <c r="L2" s="4" t="str">
        <f ca="1">IF(OR(INDEX($AG$2:$AG$1001,MATCH(ROWS($AF$2:AF2),$AF$2:$AF$1001,0),1)&gt;=100000,INDEX($AM$1005:$BM$1005,1,MATCH(COLUMNS($AM$1006:AW1006),$AM$1006:$BM$1006,0))&gt;=100000), " ",IF(INDEX($AM$2:$BM$1001,MATCH(ROWS($AF$2:AF2),$AF$2:$AF$1001,0),MATCH(COLUMNS($AM$1006:AW1006),$AM$1006:$BM$1006,0)), HYPERLINK("#",""), HYPERLINK(CONCATENATE("#metadata!", ADDRESS(INDEX($AH$2:$AH$1001,MATCH(ROWS($AF$2:AF2),$AF$2:$AF$1001,0),0), INDEX($AM$1004:$BM$1004,1,MATCH(COLUMNS($AM$1006:AW1006),$AM$1006:$BM$1006,0)))),"Fix")))</f>
        <v xml:space="preserve"> </v>
      </c>
      <c r="M2" s="4" t="str">
        <f ca="1">IF(OR(INDEX($AG$2:$AG$1001,MATCH(ROWS($AF$2:AF2),$AF$2:$AF$1001,0),1)&gt;=100000,INDEX($AM$1005:$BM$1005,1,MATCH(COLUMNS($AM$1006:AX1006),$AM$1006:$BM$1006,0))&gt;=100000), " ",IF(INDEX($AM$2:$BM$1001,MATCH(ROWS($AF$2:AF2),$AF$2:$AF$1001,0),MATCH(COLUMNS($AM$1006:AX1006),$AM$1006:$BM$1006,0)), HYPERLINK("#",""), HYPERLINK(CONCATENATE("#metadata!", ADDRESS(INDEX($AH$2:$AH$1001,MATCH(ROWS($AF$2:AF2),$AF$2:$AF$1001,0),0), INDEX($AM$1004:$BM$1004,1,MATCH(COLUMNS($AM$1006:AX1006),$AM$1006:$BM$1006,0)))),"Fix")))</f>
        <v xml:space="preserve"> </v>
      </c>
      <c r="N2" s="4" t="str">
        <f ca="1">IF(OR(INDEX($AG$2:$AG$1001,MATCH(ROWS($AF$2:AF2),$AF$2:$AF$1001,0),1)&gt;=100000,INDEX($AM$1005:$BM$1005,1,MATCH(COLUMNS($AM$1006:AY1006),$AM$1006:$BM$1006,0))&gt;=100000), " ",IF(INDEX($AM$2:$BM$1001,MATCH(ROWS($AF$2:AF2),$AF$2:$AF$1001,0),MATCH(COLUMNS($AM$1006:AY1006),$AM$1006:$BM$1006,0)), HYPERLINK("#",""), HYPERLINK(CONCATENATE("#metadata!", ADDRESS(INDEX($AH$2:$AH$1001,MATCH(ROWS($AF$2:AF2),$AF$2:$AF$1001,0),0), INDEX($AM$1004:$BM$1004,1,MATCH(COLUMNS($AM$1006:AY1006),$AM$1006:$BM$1006,0)))),"Fix")))</f>
        <v xml:space="preserve"> </v>
      </c>
      <c r="O2" s="4" t="str">
        <f ca="1">IF(OR(INDEX($AG$2:$AG$1001,MATCH(ROWS($AF$2:AF2),$AF$2:$AF$1001,0),1)&gt;=100000,INDEX($AM$1005:$BM$1005,1,MATCH(COLUMNS($AM$1006:AZ1006),$AM$1006:$BM$1006,0))&gt;=100000), " ",IF(INDEX($AM$2:$BM$1001,MATCH(ROWS($AF$2:AF2),$AF$2:$AF$1001,0),MATCH(COLUMNS($AM$1006:AZ1006),$AM$1006:$BM$1006,0)), HYPERLINK("#",""), HYPERLINK(CONCATENATE("#metadata!", ADDRESS(INDEX($AH$2:$AH$1001,MATCH(ROWS($AF$2:AF2),$AF$2:$AF$1001,0),0), INDEX($AM$1004:$BM$1004,1,MATCH(COLUMNS($AM$1006:AZ1006),$AM$1006:$BM$1006,0)))),"Fix")))</f>
        <v xml:space="preserve"> </v>
      </c>
      <c r="P2" s="4" t="str">
        <f ca="1">IF(OR(INDEX($AG$2:$AG$1001,MATCH(ROWS($AF$2:AF2),$AF$2:$AF$1001,0),1)&gt;=100000,INDEX($AM$1005:$BM$1005,1,MATCH(COLUMNS($AM$1006:BA1006),$AM$1006:$BM$1006,0))&gt;=100000), " ",IF(INDEX($AM$2:$BM$1001,MATCH(ROWS($AF$2:AF2),$AF$2:$AF$1001,0),MATCH(COLUMNS($AM$1006:BA1006),$AM$1006:$BM$1006,0)), HYPERLINK("#",""), HYPERLINK(CONCATENATE("#metadata!", ADDRESS(INDEX($AH$2:$AH$1001,MATCH(ROWS($AF$2:AF2),$AF$2:$AF$1001,0),0), INDEX($AM$1004:$BM$1004,1,MATCH(COLUMNS($AM$1006:BA1006),$AM$1006:$BM$1006,0)))),"Fix")))</f>
        <v xml:space="preserve"> </v>
      </c>
      <c r="Q2" s="4" t="str">
        <f ca="1">IF(OR(INDEX($AG$2:$AG$1001,MATCH(ROWS($AF$2:AF2),$AF$2:$AF$1001,0),1)&gt;=100000,INDEX($AM$1005:$BM$1005,1,MATCH(COLUMNS($AM$1006:BB1006),$AM$1006:$BM$1006,0))&gt;=100000), " ",IF(INDEX($AM$2:$BM$1001,MATCH(ROWS($AF$2:AF2),$AF$2:$AF$1001,0),MATCH(COLUMNS($AM$1006:BB1006),$AM$1006:$BM$1006,0)), HYPERLINK("#",""), HYPERLINK(CONCATENATE("#metadata!", ADDRESS(INDEX($AH$2:$AH$1001,MATCH(ROWS($AF$2:AF2),$AF$2:$AF$1001,0),0), INDEX($AM$1004:$BM$1004,1,MATCH(COLUMNS($AM$1006:BB1006),$AM$1006:$BM$1006,0)))),"Fix")))</f>
        <v xml:space="preserve"> </v>
      </c>
      <c r="R2" s="4" t="str">
        <f ca="1">IF(OR(INDEX($AG$2:$AG$1001,MATCH(ROWS($AF$2:AF2),$AF$2:$AF$1001,0),1)&gt;=100000,INDEX($AM$1005:$BM$1005,1,MATCH(COLUMNS($AM$1006:BC1006),$AM$1006:$BM$1006,0))&gt;=100000), " ",IF(INDEX($AM$2:$BM$1001,MATCH(ROWS($AF$2:AF2),$AF$2:$AF$1001,0),MATCH(COLUMNS($AM$1006:BC1006),$AM$1006:$BM$1006,0)), HYPERLINK("#",""), HYPERLINK(CONCATENATE("#metadata!", ADDRESS(INDEX($AH$2:$AH$1001,MATCH(ROWS($AF$2:AF2),$AF$2:$AF$1001,0),0), INDEX($AM$1004:$BM$1004,1,MATCH(COLUMNS($AM$1006:BC1006),$AM$1006:$BM$1006,0)))),"Fix")))</f>
        <v xml:space="preserve"> </v>
      </c>
      <c r="S2" s="4" t="str">
        <f ca="1">IF(OR(INDEX($AG$2:$AG$1001,MATCH(ROWS($AF$2:AF2),$AF$2:$AF$1001,0),1)&gt;=100000,INDEX($AM$1005:$BM$1005,1,MATCH(COLUMNS($AM$1006:BD1006),$AM$1006:$BM$1006,0))&gt;=100000), " ",IF(INDEX($AM$2:$BM$1001,MATCH(ROWS($AF$2:AF2),$AF$2:$AF$1001,0),MATCH(COLUMNS($AM$1006:BD1006),$AM$1006:$BM$1006,0)), HYPERLINK("#",""), HYPERLINK(CONCATENATE("#metadata!", ADDRESS(INDEX($AH$2:$AH$1001,MATCH(ROWS($AF$2:AF2),$AF$2:$AF$1001,0),0), INDEX($AM$1004:$BM$1004,1,MATCH(COLUMNS($AM$1006:BD1006),$AM$1006:$BM$1006,0)))),"Fix")))</f>
        <v xml:space="preserve"> </v>
      </c>
      <c r="T2" s="4" t="str">
        <f ca="1">IF(OR(INDEX($AG$2:$AG$1001,MATCH(ROWS($AF$2:AF2),$AF$2:$AF$1001,0),1)&gt;=100000,INDEX($AM$1005:$BM$1005,1,MATCH(COLUMNS($AM$1006:BE1006),$AM$1006:$BM$1006,0))&gt;=100000), " ",IF(INDEX($AM$2:$BM$1001,MATCH(ROWS($AF$2:AF2),$AF$2:$AF$1001,0),MATCH(COLUMNS($AM$1006:BE1006),$AM$1006:$BM$1006,0)), HYPERLINK("#",""), HYPERLINK(CONCATENATE("#metadata!", ADDRESS(INDEX($AH$2:$AH$1001,MATCH(ROWS($AF$2:AF2),$AF$2:$AF$1001,0),0), INDEX($AM$1004:$BM$1004,1,MATCH(COLUMNS($AM$1006:BE1006),$AM$1006:$BM$1006,0)))),"Fix")))</f>
        <v xml:space="preserve"> </v>
      </c>
      <c r="U2" s="4" t="str">
        <f ca="1">IF(OR(INDEX($AG$2:$AG$1001,MATCH(ROWS($AF$2:AF2),$AF$2:$AF$1001,0),1)&gt;=100000,INDEX($AM$1005:$BM$1005,1,MATCH(COLUMNS($AM$1006:BF1006),$AM$1006:$BM$1006,0))&gt;=100000), " ",IF(INDEX($AM$2:$BM$1001,MATCH(ROWS($AF$2:AF2),$AF$2:$AF$1001,0),MATCH(COLUMNS($AM$1006:BF1006),$AM$1006:$BM$1006,0)), HYPERLINK("#",""), HYPERLINK(CONCATENATE("#metadata!", ADDRESS(INDEX($AH$2:$AH$1001,MATCH(ROWS($AF$2:AF2),$AF$2:$AF$1001,0),0), INDEX($AM$1004:$BM$1004,1,MATCH(COLUMNS($AM$1006:BF1006),$AM$1006:$BM$1006,0)))),"Fix")))</f>
        <v xml:space="preserve"> </v>
      </c>
      <c r="V2" s="4" t="str">
        <f ca="1">IF(OR(INDEX($AG$2:$AG$1001,MATCH(ROWS($AF$2:AF2),$AF$2:$AF$1001,0),1)&gt;=100000,INDEX($AM$1005:$BM$1005,1,MATCH(COLUMNS($AM$1006:BG1006),$AM$1006:$BM$1006,0))&gt;=100000), " ",IF(INDEX($AM$2:$BM$1001,MATCH(ROWS($AF$2:AF2),$AF$2:$AF$1001,0),MATCH(COLUMNS($AM$1006:BG1006),$AM$1006:$BM$1006,0)), HYPERLINK("#",""), HYPERLINK(CONCATENATE("#metadata!", ADDRESS(INDEX($AH$2:$AH$1001,MATCH(ROWS($AF$2:AF2),$AF$2:$AF$1001,0),0), INDEX($AM$1004:$BM$1004,1,MATCH(COLUMNS($AM$1006:BG1006),$AM$1006:$BM$1006,0)))),"Fix")))</f>
        <v xml:space="preserve"> </v>
      </c>
      <c r="W2" s="4" t="str">
        <f ca="1">IF(OR(INDEX($AG$2:$AG$1001,MATCH(ROWS($AF$2:AF2),$AF$2:$AF$1001,0),1)&gt;=100000,INDEX($AM$1005:$BM$1005,1,MATCH(COLUMNS($AM$1006:BH1006),$AM$1006:$BM$1006,0))&gt;=100000), " ",IF(INDEX($AM$2:$BM$1001,MATCH(ROWS($AF$2:AF2),$AF$2:$AF$1001,0),MATCH(COLUMNS($AM$1006:BH1006),$AM$1006:$BM$1006,0)), HYPERLINK("#",""), HYPERLINK(CONCATENATE("#metadata!", ADDRESS(INDEX($AH$2:$AH$1001,MATCH(ROWS($AF$2:AF2),$AF$2:$AF$1001,0),0), INDEX($AM$1004:$BM$1004,1,MATCH(COLUMNS($AM$1006:BH1006),$AM$1006:$BM$1006,0)))),"Fix")))</f>
        <v xml:space="preserve"> </v>
      </c>
      <c r="X2" s="4" t="str">
        <f ca="1">IF(OR(INDEX($AG$2:$AG$1001,MATCH(ROWS($AF$2:AF2),$AF$2:$AF$1001,0),1)&gt;=100000,INDEX($AM$1005:$BM$1005,1,MATCH(COLUMNS($AM$1006:BI1006),$AM$1006:$BM$1006,0))&gt;=100000), " ",IF(INDEX($AM$2:$BM$1001,MATCH(ROWS($AF$2:AF2),$AF$2:$AF$1001,0),MATCH(COLUMNS($AM$1006:BI1006),$AM$1006:$BM$1006,0)), HYPERLINK("#",""), HYPERLINK(CONCATENATE("#metadata!", ADDRESS(INDEX($AH$2:$AH$1001,MATCH(ROWS($AF$2:AF2),$AF$2:$AF$1001,0),0), INDEX($AM$1004:$BM$1004,1,MATCH(COLUMNS($AM$1006:BI1006),$AM$1006:$BM$1006,0)))),"Fix")))</f>
        <v xml:space="preserve"> </v>
      </c>
      <c r="Y2" s="4" t="str">
        <f ca="1">IF(OR(INDEX($AG$2:$AG$1001,MATCH(ROWS($AF$2:AF2),$AF$2:$AF$1001,0),1)&gt;=100000,INDEX($AM$1005:$BM$1005,1,MATCH(COLUMNS($AM$1006:BJ1006),$AM$1006:$BM$1006,0))&gt;=100000), " ",IF(INDEX($AM$2:$BM$1001,MATCH(ROWS($AF$2:AF2),$AF$2:$AF$1001,0),MATCH(COLUMNS($AM$1006:BJ1006),$AM$1006:$BM$1006,0)), HYPERLINK("#",""), HYPERLINK(CONCATENATE("#metadata!", ADDRESS(INDEX($AH$2:$AH$1001,MATCH(ROWS($AF$2:AF2),$AF$2:$AF$1001,0),0), INDEX($AM$1004:$BM$1004,1,MATCH(COLUMNS($AM$1006:BJ1006),$AM$1006:$BM$1006,0)))),"Fix")))</f>
        <v xml:space="preserve"> </v>
      </c>
      <c r="Z2" s="4" t="str">
        <f ca="1">IF(OR(INDEX($AG$2:$AG$1001,MATCH(ROWS($AF$2:AF2),$AF$2:$AF$1001,0),1)&gt;=100000,INDEX($AM$1005:$BM$1005,1,MATCH(COLUMNS($AM$1006:BK1006),$AM$1006:$BM$1006,0))&gt;=100000), " ",IF(INDEX($AM$2:$BM$1001,MATCH(ROWS($AF$2:AF2),$AF$2:$AF$1001,0),MATCH(COLUMNS($AM$1006:BK1006),$AM$1006:$BM$1006,0)), HYPERLINK("#",""), HYPERLINK(CONCATENATE("#metadata!", ADDRESS(INDEX($AH$2:$AH$1001,MATCH(ROWS($AF$2:AF2),$AF$2:$AF$1001,0),0), INDEX($AM$1004:$BM$1004,1,MATCH(COLUMNS($AM$1006:BK1006),$AM$1006:$BM$1006,0)))),"Fix")))</f>
        <v xml:space="preserve"> </v>
      </c>
      <c r="AA2" s="4" t="str">
        <f ca="1">IF(OR(INDEX($AG$2:$AG$1001,MATCH(ROWS($AF$2:AF2),$AF$2:$AF$1001,0),1)&gt;=100000,INDEX($AM$1005:$BM$1005,1,MATCH(COLUMNS($AM$1006:BL1006),$AM$1006:$BM$1006,0))&gt;=100000), " ",IF(INDEX($AM$2:$BM$1001,MATCH(ROWS($AF$2:AF2),$AF$2:$AF$1001,0),MATCH(COLUMNS($AM$1006:BL1006),$AM$1006:$BM$1006,0)), HYPERLINK("#",""), HYPERLINK(CONCATENATE("#metadata!", ADDRESS(INDEX($AH$2:$AH$1001,MATCH(ROWS($AF$2:AF2),$AF$2:$AF$1001,0),0), INDEX($AM$1004:$BM$1004,1,MATCH(COLUMNS($AM$1006:BL1006),$AM$1006:$BM$1006,0)))),"Fix")))</f>
        <v xml:space="preserve"> </v>
      </c>
      <c r="AB2" s="4" t="str">
        <f ca="1">IF(OR(INDEX($AG$2:$AG$1001,MATCH(ROWS($AF$2:AF2),$AF$2:$AF$1001,0),1)&gt;=100000,INDEX($AM$1005:$BM$1005,1,MATCH(COLUMNS($AM$1006:BM1006),$AM$1006:$BM$1006,0))&gt;=100000), " ",IF(INDEX($AM$2:$BM$1001,MATCH(ROWS($AF$2:AF2),$AF$2:$AF$1001,0),MATCH(COLUMNS($AM$1006:BM1006),$AM$1006:$BM$1006,0)), HYPERLINK("#",""), HYPERLINK(CONCATENATE("#metadata!", ADDRESS(INDEX($AH$2:$AH$1001,MATCH(ROWS($AF$2:AF2),$AF$2:$AF$1001,0),0), INDEX($AM$1004:$BM$1004,1,MATCH(COLUMNS($AM$1006:BM1006),$AM$1006:$BM$1006,0)))),"Fix")))</f>
        <v xml:space="preserve"> </v>
      </c>
      <c r="AF2">
        <f t="array" ref="AF2:AF1001">COUNTIF(AG$2:AG$1001,"&lt;="&amp;$AG2:$AG1001)</f>
        <v>1</v>
      </c>
      <c r="AG2">
        <f t="array" ref="AG2:AG1001">INT(AI2:AI1001)*100000+$AH$2:$AH$1001</f>
        <v>100002</v>
      </c>
      <c r="AH2">
        <f t="array" ref="AH2:AH1001">ROW(metadata!B2:B1001)</f>
        <v>2</v>
      </c>
      <c r="AI2" t="b">
        <f t="shared" ref="AI2:AI65" si="0">IF(AJ2,TRUE,AND(AM2:BM2))</f>
        <v>1</v>
      </c>
      <c r="AJ2" t="b">
        <f>COUNTBLANK(metadata!B2:AB2)=COLUMNS(metadata!B2:AB2)</f>
        <v>1</v>
      </c>
      <c r="AK2" t="str">
        <f t="array" ref="AK2:AK1001">IF(metadata!B2:B1001="","",metadata!B2:B1001)</f>
        <v/>
      </c>
      <c r="AM2" t="b">
        <f ca="1">AND(IF(metadata!B2="",FALSE,TRUE),COUNTIF(metadata!B:B, metadata!B2) = 1,NOT(ISERROR(SUMPRODUCT(SEARCH(MID(metadata!B2,ROW(INDIRECT("1:"&amp;LEN(metadata!B2))), 1),"0123456789abcdefghijklmnopqrstuvwxyzABCDEFGHIJKLMNOPQRSTUVWXYZ.")))))</f>
        <v>0</v>
      </c>
      <c r="AN2" t="b">
        <f ca="1">OR(AND(IF(metadata!C2="",FALSE,TRUE),OR(EXACT(metadata!C2,"missing: not collected"),EXACT(metadata!C2,"missing: not provided"),EXACT(metadata!C2,"missing: restricted access"))),AND(IF(metadata!C2="",FALSE,TRUE),AND(AND(IFERROR(INT(LEFT(metadata!C2,4))&gt;1900,FALSE),IFERROR(INT(LEFT(metadata!C2,4))&lt;=YEAR(NOW()),FALSE)), OR(MID(metadata!C2,5,1)="", AND(AND(MID(metadata!C2,5,1)="-",IFERROR(INT(MID(metadata!C2,6,1))&gt;=0,FALSE),IFERROR(INT(MID(metadata!C2,6,1))&lt;=1,FALSE),NOT(MID(metadata!C2,7,1)=""),IFERROR(INT(MID(metadata!C2,6,2))&gt;=1,FALSE),IFERROR(INT(MID(metadata!C2,6,2))&lt;=12,FALSE)), OR(MID(metadata!C2,8,1)="", AND(AND(MID(metadata!C2,8,1)="-",IFERROR(INT(MID(metadata!C2,9,1))&gt;=0,FALSE),IFERROR(INT(MID(metadata!C2,9,1))&lt;=3,FALSE),NOT(MID(metadata!C2,10,1)=""),IFERROR(INT(MID(metadata!C2,9,2))&gt;=1,FALSE),IFERROR(INT(MID(metadata!C2,9,2))&lt;=31,FALSE)), OR(MID(metadata!C2,11,1)="", AND(AND(MID(metadata!C2,11,1)=" ",IFERROR(INT(MID(metadata!C2,12,1))&gt;=0,FALSE),IFERROR(INT(MID(metadata!C2,12,1))&lt;=2,FALSE),NOT(MID(metadata!C2,13,1)=""),IFERROR(INT(MID(metadata!C2,12,2))&gt;=0,FALSE),IFERROR(INT(MID(metadata!C2,12,2))&lt;=23,FALSE)), OR(MID(metadata!C2,14,1)="", AND(AND(MID(metadata!C2,14,1)=":",IFERROR(INT(MID(metadata!C2,15,1))&gt;=0,FALSE),IFERROR(INT(MID(metadata!C2,15,1))&lt;=5,FALSE),NOT(MID(metadata!C2,16,1)=""),IFERROR(INT(MID(metadata!C2,15,2))&gt;=0,FALSE),IFERROR(INT(MID(metadata!C2,15,2))&lt;=59,FALSE)), OR(MID(metadata!C2,17,1)="", AND(AND(MID(metadata!C2,17,1)=":",IFERROR(INT(MID(metadata!C2,18,1))&gt;=0,FALSE),IFERROR(INT(MID(metadata!C2,18,1))&lt;=5,FALSE),NOT(MID(metadata!C2,19,1)=""),IFERROR(INT(MID(metadata!C2,18,2))&gt;=0,FALSE),IFERROR(INT(MID(metadata!C2,18,2))&lt;=59,FALSE)), LEN(metadata!C2)&lt;=19)))))))))))))</f>
        <v>0</v>
      </c>
      <c r="AO2" t="b">
        <f>AND(IF(metadata!D2="",FALSE,TRUE),EXACT(metadata!D2,"Not applicable"))</f>
        <v>0</v>
      </c>
      <c r="AP2" t="b">
        <f>IF(metadata!E2="",FALSE,TRUE)</f>
        <v>0</v>
      </c>
      <c r="AQ2" t="b">
        <f>OR(AND(IF(metadata!F2="",FALSE,TRUE),OR(EXACT(metadata!F2,"missing: not collected"),EXACT(metadata!F2,"missing: not provided"))),AND(IF(metadata!F2="",FALSE,TRUE),OR(EXACT(metadata!F2,"TRUE"),EXACT(metadata!F2,"FALSE"))))</f>
        <v>0</v>
      </c>
      <c r="AR2" t="b">
        <f>OR(AND(IF(metadata!G2="",FALSE,TRUE),OR(EXACT(metadata!G2,"missing: not collected"),EXACT(metadata!G2,"missing: not provided"),EXACT(metadata!G2,"missing: restricted access"))),AND(IF(metadata!G2="",FALSE,ISNUMBER(VALUE(metadata!G2))),metadata!G2&gt;=-413))</f>
        <v>0</v>
      </c>
      <c r="AS2" t="b">
        <f>AND(IF(metadata!H2="",FALSE,TRUE),EXACT(metadata!H2,"meters"))</f>
        <v>0</v>
      </c>
      <c r="AT2" t="b">
        <f>AND(IF(metadata!I2="",FALSE,TRUE),OR(EXACT(metadata!I2,"Host-associated"),EXACT(metadata!I2,"Free-living")))</f>
        <v>0</v>
      </c>
      <c r="AU2" t="b">
        <f>AND(IF(metadata!J2="",FALSE,TRUE),OR(EXACT(metadata!J2,"Animal"),EXACT(metadata!J2,"Fungus"),EXACT(metadata!J2,"Plant"),EXACT(metadata!J2,"Saline"),EXACT(metadata!J2,"Non-saline")))</f>
        <v>0</v>
      </c>
      <c r="AV2" t="b">
        <f>AND(IF(metadata!K2="",FALSE,TRUE),OR(EXACT(metadata!K2,"Plant secretion"),EXACT(metadata!K2,"Plant rhizosphere"),EXACT(metadata!K2,"Plant surface"),EXACT(metadata!K2,"Plant corpus"),EXACT(metadata!K2,"Fungus surface"),EXACT(metadata!K2,"Fungus corpus"),EXACT(metadata!K2,"Animal surface"),EXACT(metadata!K2,"Animal proximal gut"),EXACT(metadata!K2,"Animal corpus"),EXACT(metadata!K2,"Animal distal gut"),EXACT(metadata!K2,"Animal secretion"),EXACT(metadata!K2,"Sub-surface (non-saline)"),EXACT(metadata!K2,"Surface (non-saline)"),EXACT(metadata!K2,"Water (non-saline)"),EXACT(metadata!K2,"Soil (non-saline)"),EXACT(metadata!K2,"Aerosol (non-saline)"),EXACT(metadata!K2,"Sediment (non-saline)"),EXACT(metadata!K2,"Surface (saline)"),EXACT(metadata!K2,"Water (saline)"),EXACT(metadata!K2,"Hypersaline (saline)"),EXACT(metadata!K2,"Aerosol (saline)"),EXACT(metadata!K2,"Sediment (saline)")))</f>
        <v>0</v>
      </c>
      <c r="AW2" t="b">
        <f>IF(metadata!L2="",FALSE,TRUE)</f>
        <v>0</v>
      </c>
      <c r="AX2" t="b">
        <f>IF(metadata!M2="",FALSE,TRUE)</f>
        <v>0</v>
      </c>
      <c r="AY2" t="b">
        <f>IF(metadata!N2="",FALSE,TRUE)</f>
        <v>0</v>
      </c>
      <c r="AZ2" t="b">
        <f>OR(AND(IF(metadata!O2="",FALSE,TRUE),OR(EXACT(metadata!O2,"missing: not collected"),EXACT(metadata!O2,"missing: not provided"),EXACT(metadata!O2,"missing: restricted access"))),AND(IF(metadata!O2="",FALSE,TRUE),OR(EXACT(metadata!O2,"air"),EXACT(metadata!O2,"built environment"),EXACT(metadata!O2,"host-associated"),EXACT(metadata!O2,"human-associated"),EXACT(metadata!O2,"human-skin"),EXACT(metadata!O2,"human-oral"),EXACT(metadata!O2,"human-gut"),EXACT(metadata!O2,"human-vaginal"),EXACT(metadata!O2,"microbial mat/biofilm"),EXACT(metadata!O2,"misc environment"),EXACT(metadata!O2,"plant-associated"),EXACT(metadata!O2,"sediment"),EXACT(metadata!O2,"soil"),EXACT(metadata!O2,"wastewater/sludge"),EXACT(metadata!O2,"water"))))</f>
        <v>0</v>
      </c>
      <c r="BA2" t="b">
        <f>IF(metadata!P2="",FALSE,TRUE)</f>
        <v>0</v>
      </c>
      <c r="BB2" t="b">
        <f>IF(metadata!Q2="",FALSE,TRUE)</f>
        <v>0</v>
      </c>
      <c r="BC2" t="b">
        <f>OR(AND(IF(metadata!R2="",FALSE,TRUE),OR(EXACT(metadata!R2,"missing: not collected"),EXACT(metadata!R2,"missing: not provided"),EXACT(metadata!R2,"missing: restricted access"))),AND(IF(metadata!R2="",FALSE,ISNUMBER(VALUE(metadata!R2))),metadata!R2&gt;=-90,metadata!R2&lt;=90))</f>
        <v>0</v>
      </c>
      <c r="BD2" t="b">
        <f>AND(IF(metadata!S2="",FALSE,TRUE),EXACT(metadata!S2,"Decimal degrees"))</f>
        <v>0</v>
      </c>
      <c r="BE2" t="b">
        <f>OR(AND(IF(metadata!T2="",FALSE,TRUE),OR(EXACT(metadata!T2,"missing: not collected"),EXACT(metadata!T2,"missing: not provided"),EXACT(metadata!T2,"missing: restricted access"))),AND(IF(metadata!T2="",FALSE,ISNUMBER(VALUE(metadata!T2))),metadata!T2&gt;=-180,metadata!T2&lt;=180))</f>
        <v>0</v>
      </c>
      <c r="BF2" t="b">
        <f>AND(IF(metadata!U2="",FALSE,TRUE),EXACT(metadata!U2,"Decimal degrees"))</f>
        <v>0</v>
      </c>
      <c r="BG2" t="b">
        <f>IF(metadata!V2="",FALSE,TRUE)</f>
        <v>0</v>
      </c>
      <c r="BH2" t="b">
        <f>OR(AND(IF(metadata!W2="",FALSE,TRUE),OR(EXACT(metadata!W2,"missing: not collected"),EXACT(metadata!W2,"missing: not provided"),EXACT(metadata!W2,"missing: restricted access"))),AND(IF(metadata!W2="",FALSE,TRUE),OR(EXACT(metadata!W2,"TRUE"),EXACT(metadata!W2,"FALSE"))))</f>
        <v>0</v>
      </c>
      <c r="BI2" t="b">
        <f>AND(IF(metadata!X2="",FALSE,TRUE),EXACT(metadata!X2,"other"))</f>
        <v>0</v>
      </c>
      <c r="BJ2" t="b">
        <f>IF(metadata!Y2="",FALSE,TRUE)</f>
        <v>0</v>
      </c>
      <c r="BK2" t="b">
        <f>OR(AND(IF(metadata!Z2="",FALSE,TRUE),OR(EXACT(metadata!Z2,"missing: not collected"),EXACT(metadata!Z2,"missing: not provided"))),AND(IF(metadata!Z2="",FALSE,IF(ISERROR(INT(metadata!Z2)),FALSE,INT(metadata!Z2)=metadata!Z2)),metadata!Z2&gt;0))</f>
        <v>0</v>
      </c>
      <c r="BL2" t="b">
        <f>AND(IF(metadata!AA2="",FALSE,TRUE),EXACT(metadata!AA2,"Not applicable"))</f>
        <v>0</v>
      </c>
      <c r="BM2" t="b">
        <f>IF(metadata!AB2="",FALSE,TRUE)</f>
        <v>0</v>
      </c>
    </row>
    <row r="3" spans="1:65" x14ac:dyDescent="0.2">
      <c r="A3" s="5" t="str">
        <f ca="1">IF(B3=" "," ",HYPERLINK(CONCATENATE("#metadata!",ADDRESS(INDEX($AH$2:$AH$1001,MATCH(ROWS($AF$2:AF3),$AF$2:$AF$1001,0),0),1)),INDEX($AK$2:$AK$1001,MATCH(ROWS($AF$2:AF3),$AF$2:$AF$1001,0),0)))</f>
        <v xml:space="preserve"> </v>
      </c>
      <c r="B3" s="4" t="str">
        <f ca="1">IF(OR(INDEX($AG$2:$AG$1001,MATCH(ROWS($AF$2:AF3),$AF$2:$AF$1001,0),1)&gt;=100000,INDEX($AM$1005:$BM$1005,1,MATCH(COLUMNS($AM$1006:AM1006),$AM$1006:$BM$1006,0))&gt;=100000), " ",IF(INDEX($AM$2:$BM$1001,MATCH(ROWS($AF$2:AF3),$AF$2:$AF$1001,0),MATCH(COLUMNS($AM$1006:AM1006),$AM$1006:$BM$1006,0)), HYPERLINK("#",""), HYPERLINK(CONCATENATE("#metadata!", ADDRESS(INDEX($AH$2:$AH$1001,MATCH(ROWS($AF$2:AF3),$AF$2:$AF$1001,0),0), INDEX($AM$1004:$BM$1004,1,MATCH(COLUMNS($AM$1006:AM1006),$AM$1006:$BM$1006,0)))),"Fix")))</f>
        <v xml:space="preserve"> </v>
      </c>
      <c r="C3" s="4" t="str">
        <f ca="1">IF(OR(INDEX($AG$2:$AG$1001,MATCH(ROWS($AF$2:AF3),$AF$2:$AF$1001,0),1)&gt;=100000,INDEX($AM$1005:$BM$1005,1,MATCH(COLUMNS($AM$1006:AN1006),$AM$1006:$BM$1006,0))&gt;=100000), " ",IF(INDEX($AM$2:$BM$1001,MATCH(ROWS($AF$2:AF3),$AF$2:$AF$1001,0),MATCH(COLUMNS($AM$1006:AN1006),$AM$1006:$BM$1006,0)), HYPERLINK("#",""), HYPERLINK(CONCATENATE("#metadata!", ADDRESS(INDEX($AH$2:$AH$1001,MATCH(ROWS($AF$2:AF3),$AF$2:$AF$1001,0),0), INDEX($AM$1004:$BM$1004,1,MATCH(COLUMNS($AM$1006:AN1006),$AM$1006:$BM$1006,0)))),"Fix")))</f>
        <v xml:space="preserve"> </v>
      </c>
      <c r="D3" s="4" t="str">
        <f ca="1">IF(OR(INDEX($AG$2:$AG$1001,MATCH(ROWS($AF$2:AF3),$AF$2:$AF$1001,0),1)&gt;=100000,INDEX($AM$1005:$BM$1005,1,MATCH(COLUMNS($AM$1006:AO1006),$AM$1006:$BM$1006,0))&gt;=100000), " ",IF(INDEX($AM$2:$BM$1001,MATCH(ROWS($AF$2:AF3),$AF$2:$AF$1001,0),MATCH(COLUMNS($AM$1006:AO1006),$AM$1006:$BM$1006,0)), HYPERLINK("#",""), HYPERLINK(CONCATENATE("#metadata!", ADDRESS(INDEX($AH$2:$AH$1001,MATCH(ROWS($AF$2:AF3),$AF$2:$AF$1001,0),0), INDEX($AM$1004:$BM$1004,1,MATCH(COLUMNS($AM$1006:AO1006),$AM$1006:$BM$1006,0)))),"Fix")))</f>
        <v xml:space="preserve"> </v>
      </c>
      <c r="E3" s="4" t="str">
        <f ca="1">IF(OR(INDEX($AG$2:$AG$1001,MATCH(ROWS($AF$2:AF3),$AF$2:$AF$1001,0),1)&gt;=100000,INDEX($AM$1005:$BM$1005,1,MATCH(COLUMNS($AM$1006:AP1006),$AM$1006:$BM$1006,0))&gt;=100000), " ",IF(INDEX($AM$2:$BM$1001,MATCH(ROWS($AF$2:AF3),$AF$2:$AF$1001,0),MATCH(COLUMNS($AM$1006:AP1006),$AM$1006:$BM$1006,0)), HYPERLINK("#",""), HYPERLINK(CONCATENATE("#metadata!", ADDRESS(INDEX($AH$2:$AH$1001,MATCH(ROWS($AF$2:AF3),$AF$2:$AF$1001,0),0), INDEX($AM$1004:$BM$1004,1,MATCH(COLUMNS($AM$1006:AP1006),$AM$1006:$BM$1006,0)))),"Fix")))</f>
        <v xml:space="preserve"> </v>
      </c>
      <c r="F3" s="4" t="str">
        <f ca="1">IF(OR(INDEX($AG$2:$AG$1001,MATCH(ROWS($AF$2:AF3),$AF$2:$AF$1001,0),1)&gt;=100000,INDEX($AM$1005:$BM$1005,1,MATCH(COLUMNS($AM$1006:AQ1006),$AM$1006:$BM$1006,0))&gt;=100000), " ",IF(INDEX($AM$2:$BM$1001,MATCH(ROWS($AF$2:AF3),$AF$2:$AF$1001,0),MATCH(COLUMNS($AM$1006:AQ1006),$AM$1006:$BM$1006,0)), HYPERLINK("#",""), HYPERLINK(CONCATENATE("#metadata!", ADDRESS(INDEX($AH$2:$AH$1001,MATCH(ROWS($AF$2:AF3),$AF$2:$AF$1001,0),0), INDEX($AM$1004:$BM$1004,1,MATCH(COLUMNS($AM$1006:AQ1006),$AM$1006:$BM$1006,0)))),"Fix")))</f>
        <v xml:space="preserve"> </v>
      </c>
      <c r="G3" s="4" t="str">
        <f ca="1">IF(OR(INDEX($AG$2:$AG$1001,MATCH(ROWS($AF$2:AF3),$AF$2:$AF$1001,0),1)&gt;=100000,INDEX($AM$1005:$BM$1005,1,MATCH(COLUMNS($AM$1006:AR1006),$AM$1006:$BM$1006,0))&gt;=100000), " ",IF(INDEX($AM$2:$BM$1001,MATCH(ROWS($AF$2:AF3),$AF$2:$AF$1001,0),MATCH(COLUMNS($AM$1006:AR1006),$AM$1006:$BM$1006,0)), HYPERLINK("#",""), HYPERLINK(CONCATENATE("#metadata!", ADDRESS(INDEX($AH$2:$AH$1001,MATCH(ROWS($AF$2:AF3),$AF$2:$AF$1001,0),0), INDEX($AM$1004:$BM$1004,1,MATCH(COLUMNS($AM$1006:AR1006),$AM$1006:$BM$1006,0)))),"Fix")))</f>
        <v xml:space="preserve"> </v>
      </c>
      <c r="H3" s="4" t="str">
        <f ca="1">IF(OR(INDEX($AG$2:$AG$1001,MATCH(ROWS($AF$2:AF3),$AF$2:$AF$1001,0),1)&gt;=100000,INDEX($AM$1005:$BM$1005,1,MATCH(COLUMNS($AM$1006:AS1006),$AM$1006:$BM$1006,0))&gt;=100000), " ",IF(INDEX($AM$2:$BM$1001,MATCH(ROWS($AF$2:AF3),$AF$2:$AF$1001,0),MATCH(COLUMNS($AM$1006:AS1006),$AM$1006:$BM$1006,0)), HYPERLINK("#",""), HYPERLINK(CONCATENATE("#metadata!", ADDRESS(INDEX($AH$2:$AH$1001,MATCH(ROWS($AF$2:AF3),$AF$2:$AF$1001,0),0), INDEX($AM$1004:$BM$1004,1,MATCH(COLUMNS($AM$1006:AS1006),$AM$1006:$BM$1006,0)))),"Fix")))</f>
        <v xml:space="preserve"> </v>
      </c>
      <c r="I3" s="4" t="str">
        <f ca="1">IF(OR(INDEX($AG$2:$AG$1001,MATCH(ROWS($AF$2:AF3),$AF$2:$AF$1001,0),1)&gt;=100000,INDEX($AM$1005:$BM$1005,1,MATCH(COLUMNS($AM$1006:AT1006),$AM$1006:$BM$1006,0))&gt;=100000), " ",IF(INDEX($AM$2:$BM$1001,MATCH(ROWS($AF$2:AF3),$AF$2:$AF$1001,0),MATCH(COLUMNS($AM$1006:AT1006),$AM$1006:$BM$1006,0)), HYPERLINK("#",""), HYPERLINK(CONCATENATE("#metadata!", ADDRESS(INDEX($AH$2:$AH$1001,MATCH(ROWS($AF$2:AF3),$AF$2:$AF$1001,0),0), INDEX($AM$1004:$BM$1004,1,MATCH(COLUMNS($AM$1006:AT1006),$AM$1006:$BM$1006,0)))),"Fix")))</f>
        <v xml:space="preserve"> </v>
      </c>
      <c r="J3" s="4" t="str">
        <f ca="1">IF(OR(INDEX($AG$2:$AG$1001,MATCH(ROWS($AF$2:AF3),$AF$2:$AF$1001,0),1)&gt;=100000,INDEX($AM$1005:$BM$1005,1,MATCH(COLUMNS($AM$1006:AU1006),$AM$1006:$BM$1006,0))&gt;=100000), " ",IF(INDEX($AM$2:$BM$1001,MATCH(ROWS($AF$2:AF3),$AF$2:$AF$1001,0),MATCH(COLUMNS($AM$1006:AU1006),$AM$1006:$BM$1006,0)), HYPERLINK("#",""), HYPERLINK(CONCATENATE("#metadata!", ADDRESS(INDEX($AH$2:$AH$1001,MATCH(ROWS($AF$2:AF3),$AF$2:$AF$1001,0),0), INDEX($AM$1004:$BM$1004,1,MATCH(COLUMNS($AM$1006:AU1006),$AM$1006:$BM$1006,0)))),"Fix")))</f>
        <v xml:space="preserve"> </v>
      </c>
      <c r="K3" s="4" t="str">
        <f ca="1">IF(OR(INDEX($AG$2:$AG$1001,MATCH(ROWS($AF$2:AF3),$AF$2:$AF$1001,0),1)&gt;=100000,INDEX($AM$1005:$BM$1005,1,MATCH(COLUMNS($AM$1006:AV1006),$AM$1006:$BM$1006,0))&gt;=100000), " ",IF(INDEX($AM$2:$BM$1001,MATCH(ROWS($AF$2:AF3),$AF$2:$AF$1001,0),MATCH(COLUMNS($AM$1006:AV1006),$AM$1006:$BM$1006,0)), HYPERLINK("#",""), HYPERLINK(CONCATENATE("#metadata!", ADDRESS(INDEX($AH$2:$AH$1001,MATCH(ROWS($AF$2:AF3),$AF$2:$AF$1001,0),0), INDEX($AM$1004:$BM$1004,1,MATCH(COLUMNS($AM$1006:AV1006),$AM$1006:$BM$1006,0)))),"Fix")))</f>
        <v xml:space="preserve"> </v>
      </c>
      <c r="L3" s="4" t="str">
        <f ca="1">IF(OR(INDEX($AG$2:$AG$1001,MATCH(ROWS($AF$2:AF3),$AF$2:$AF$1001,0),1)&gt;=100000,INDEX($AM$1005:$BM$1005,1,MATCH(COLUMNS($AM$1006:AW1006),$AM$1006:$BM$1006,0))&gt;=100000), " ",IF(INDEX($AM$2:$BM$1001,MATCH(ROWS($AF$2:AF3),$AF$2:$AF$1001,0),MATCH(COLUMNS($AM$1006:AW1006),$AM$1006:$BM$1006,0)), HYPERLINK("#",""), HYPERLINK(CONCATENATE("#metadata!", ADDRESS(INDEX($AH$2:$AH$1001,MATCH(ROWS($AF$2:AF3),$AF$2:$AF$1001,0),0), INDEX($AM$1004:$BM$1004,1,MATCH(COLUMNS($AM$1006:AW1006),$AM$1006:$BM$1006,0)))),"Fix")))</f>
        <v xml:space="preserve"> </v>
      </c>
      <c r="M3" s="4" t="str">
        <f ca="1">IF(OR(INDEX($AG$2:$AG$1001,MATCH(ROWS($AF$2:AF3),$AF$2:$AF$1001,0),1)&gt;=100000,INDEX($AM$1005:$BM$1005,1,MATCH(COLUMNS($AM$1006:AX1006),$AM$1006:$BM$1006,0))&gt;=100000), " ",IF(INDEX($AM$2:$BM$1001,MATCH(ROWS($AF$2:AF3),$AF$2:$AF$1001,0),MATCH(COLUMNS($AM$1006:AX1006),$AM$1006:$BM$1006,0)), HYPERLINK("#",""), HYPERLINK(CONCATENATE("#metadata!", ADDRESS(INDEX($AH$2:$AH$1001,MATCH(ROWS($AF$2:AF3),$AF$2:$AF$1001,0),0), INDEX($AM$1004:$BM$1004,1,MATCH(COLUMNS($AM$1006:AX1006),$AM$1006:$BM$1006,0)))),"Fix")))</f>
        <v xml:space="preserve"> </v>
      </c>
      <c r="N3" s="4" t="str">
        <f ca="1">IF(OR(INDEX($AG$2:$AG$1001,MATCH(ROWS($AF$2:AF3),$AF$2:$AF$1001,0),1)&gt;=100000,INDEX($AM$1005:$BM$1005,1,MATCH(COLUMNS($AM$1006:AY1006),$AM$1006:$BM$1006,0))&gt;=100000), " ",IF(INDEX($AM$2:$BM$1001,MATCH(ROWS($AF$2:AF3),$AF$2:$AF$1001,0),MATCH(COLUMNS($AM$1006:AY1006),$AM$1006:$BM$1006,0)), HYPERLINK("#",""), HYPERLINK(CONCATENATE("#metadata!", ADDRESS(INDEX($AH$2:$AH$1001,MATCH(ROWS($AF$2:AF3),$AF$2:$AF$1001,0),0), INDEX($AM$1004:$BM$1004,1,MATCH(COLUMNS($AM$1006:AY1006),$AM$1006:$BM$1006,0)))),"Fix")))</f>
        <v xml:space="preserve"> </v>
      </c>
      <c r="O3" s="4" t="str">
        <f ca="1">IF(OR(INDEX($AG$2:$AG$1001,MATCH(ROWS($AF$2:AF3),$AF$2:$AF$1001,0),1)&gt;=100000,INDEX($AM$1005:$BM$1005,1,MATCH(COLUMNS($AM$1006:AZ1006),$AM$1006:$BM$1006,0))&gt;=100000), " ",IF(INDEX($AM$2:$BM$1001,MATCH(ROWS($AF$2:AF3),$AF$2:$AF$1001,0),MATCH(COLUMNS($AM$1006:AZ1006),$AM$1006:$BM$1006,0)), HYPERLINK("#",""), HYPERLINK(CONCATENATE("#metadata!", ADDRESS(INDEX($AH$2:$AH$1001,MATCH(ROWS($AF$2:AF3),$AF$2:$AF$1001,0),0), INDEX($AM$1004:$BM$1004,1,MATCH(COLUMNS($AM$1006:AZ1006),$AM$1006:$BM$1006,0)))),"Fix")))</f>
        <v xml:space="preserve"> </v>
      </c>
      <c r="P3" s="4" t="str">
        <f ca="1">IF(OR(INDEX($AG$2:$AG$1001,MATCH(ROWS($AF$2:AF3),$AF$2:$AF$1001,0),1)&gt;=100000,INDEX($AM$1005:$BM$1005,1,MATCH(COLUMNS($AM$1006:BA1006),$AM$1006:$BM$1006,0))&gt;=100000), " ",IF(INDEX($AM$2:$BM$1001,MATCH(ROWS($AF$2:AF3),$AF$2:$AF$1001,0),MATCH(COLUMNS($AM$1006:BA1006),$AM$1006:$BM$1006,0)), HYPERLINK("#",""), HYPERLINK(CONCATENATE("#metadata!", ADDRESS(INDEX($AH$2:$AH$1001,MATCH(ROWS($AF$2:AF3),$AF$2:$AF$1001,0),0), INDEX($AM$1004:$BM$1004,1,MATCH(COLUMNS($AM$1006:BA1006),$AM$1006:$BM$1006,0)))),"Fix")))</f>
        <v xml:space="preserve"> </v>
      </c>
      <c r="Q3" s="4" t="str">
        <f ca="1">IF(OR(INDEX($AG$2:$AG$1001,MATCH(ROWS($AF$2:AF3),$AF$2:$AF$1001,0),1)&gt;=100000,INDEX($AM$1005:$BM$1005,1,MATCH(COLUMNS($AM$1006:BB1006),$AM$1006:$BM$1006,0))&gt;=100000), " ",IF(INDEX($AM$2:$BM$1001,MATCH(ROWS($AF$2:AF3),$AF$2:$AF$1001,0),MATCH(COLUMNS($AM$1006:BB1006),$AM$1006:$BM$1006,0)), HYPERLINK("#",""), HYPERLINK(CONCATENATE("#metadata!", ADDRESS(INDEX($AH$2:$AH$1001,MATCH(ROWS($AF$2:AF3),$AF$2:$AF$1001,0),0), INDEX($AM$1004:$BM$1004,1,MATCH(COLUMNS($AM$1006:BB1006),$AM$1006:$BM$1006,0)))),"Fix")))</f>
        <v xml:space="preserve"> </v>
      </c>
      <c r="R3" s="4" t="str">
        <f ca="1">IF(OR(INDEX($AG$2:$AG$1001,MATCH(ROWS($AF$2:AF3),$AF$2:$AF$1001,0),1)&gt;=100000,INDEX($AM$1005:$BM$1005,1,MATCH(COLUMNS($AM$1006:BC1006),$AM$1006:$BM$1006,0))&gt;=100000), " ",IF(INDEX($AM$2:$BM$1001,MATCH(ROWS($AF$2:AF3),$AF$2:$AF$1001,0),MATCH(COLUMNS($AM$1006:BC1006),$AM$1006:$BM$1006,0)), HYPERLINK("#",""), HYPERLINK(CONCATENATE("#metadata!", ADDRESS(INDEX($AH$2:$AH$1001,MATCH(ROWS($AF$2:AF3),$AF$2:$AF$1001,0),0), INDEX($AM$1004:$BM$1004,1,MATCH(COLUMNS($AM$1006:BC1006),$AM$1006:$BM$1006,0)))),"Fix")))</f>
        <v xml:space="preserve"> </v>
      </c>
      <c r="S3" s="4" t="str">
        <f ca="1">IF(OR(INDEX($AG$2:$AG$1001,MATCH(ROWS($AF$2:AF3),$AF$2:$AF$1001,0),1)&gt;=100000,INDEX($AM$1005:$BM$1005,1,MATCH(COLUMNS($AM$1006:BD1006),$AM$1006:$BM$1006,0))&gt;=100000), " ",IF(INDEX($AM$2:$BM$1001,MATCH(ROWS($AF$2:AF3),$AF$2:$AF$1001,0),MATCH(COLUMNS($AM$1006:BD1006),$AM$1006:$BM$1006,0)), HYPERLINK("#",""), HYPERLINK(CONCATENATE("#metadata!", ADDRESS(INDEX($AH$2:$AH$1001,MATCH(ROWS($AF$2:AF3),$AF$2:$AF$1001,0),0), INDEX($AM$1004:$BM$1004,1,MATCH(COLUMNS($AM$1006:BD1006),$AM$1006:$BM$1006,0)))),"Fix")))</f>
        <v xml:space="preserve"> </v>
      </c>
      <c r="T3" s="4" t="str">
        <f ca="1">IF(OR(INDEX($AG$2:$AG$1001,MATCH(ROWS($AF$2:AF3),$AF$2:$AF$1001,0),1)&gt;=100000,INDEX($AM$1005:$BM$1005,1,MATCH(COLUMNS($AM$1006:BE1006),$AM$1006:$BM$1006,0))&gt;=100000), " ",IF(INDEX($AM$2:$BM$1001,MATCH(ROWS($AF$2:AF3),$AF$2:$AF$1001,0),MATCH(COLUMNS($AM$1006:BE1006),$AM$1006:$BM$1006,0)), HYPERLINK("#",""), HYPERLINK(CONCATENATE("#metadata!", ADDRESS(INDEX($AH$2:$AH$1001,MATCH(ROWS($AF$2:AF3),$AF$2:$AF$1001,0),0), INDEX($AM$1004:$BM$1004,1,MATCH(COLUMNS($AM$1006:BE1006),$AM$1006:$BM$1006,0)))),"Fix")))</f>
        <v xml:space="preserve"> </v>
      </c>
      <c r="U3" s="4" t="str">
        <f ca="1">IF(OR(INDEX($AG$2:$AG$1001,MATCH(ROWS($AF$2:AF3),$AF$2:$AF$1001,0),1)&gt;=100000,INDEX($AM$1005:$BM$1005,1,MATCH(COLUMNS($AM$1006:BF1006),$AM$1006:$BM$1006,0))&gt;=100000), " ",IF(INDEX($AM$2:$BM$1001,MATCH(ROWS($AF$2:AF3),$AF$2:$AF$1001,0),MATCH(COLUMNS($AM$1006:BF1006),$AM$1006:$BM$1006,0)), HYPERLINK("#",""), HYPERLINK(CONCATENATE("#metadata!", ADDRESS(INDEX($AH$2:$AH$1001,MATCH(ROWS($AF$2:AF3),$AF$2:$AF$1001,0),0), INDEX($AM$1004:$BM$1004,1,MATCH(COLUMNS($AM$1006:BF1006),$AM$1006:$BM$1006,0)))),"Fix")))</f>
        <v xml:space="preserve"> </v>
      </c>
      <c r="V3" s="4" t="str">
        <f ca="1">IF(OR(INDEX($AG$2:$AG$1001,MATCH(ROWS($AF$2:AF3),$AF$2:$AF$1001,0),1)&gt;=100000,INDEX($AM$1005:$BM$1005,1,MATCH(COLUMNS($AM$1006:BG1006),$AM$1006:$BM$1006,0))&gt;=100000), " ",IF(INDEX($AM$2:$BM$1001,MATCH(ROWS($AF$2:AF3),$AF$2:$AF$1001,0),MATCH(COLUMNS($AM$1006:BG1006),$AM$1006:$BM$1006,0)), HYPERLINK("#",""), HYPERLINK(CONCATENATE("#metadata!", ADDRESS(INDEX($AH$2:$AH$1001,MATCH(ROWS($AF$2:AF3),$AF$2:$AF$1001,0),0), INDEX($AM$1004:$BM$1004,1,MATCH(COLUMNS($AM$1006:BG1006),$AM$1006:$BM$1006,0)))),"Fix")))</f>
        <v xml:space="preserve"> </v>
      </c>
      <c r="W3" s="4" t="str">
        <f ca="1">IF(OR(INDEX($AG$2:$AG$1001,MATCH(ROWS($AF$2:AF3),$AF$2:$AF$1001,0),1)&gt;=100000,INDEX($AM$1005:$BM$1005,1,MATCH(COLUMNS($AM$1006:BH1006),$AM$1006:$BM$1006,0))&gt;=100000), " ",IF(INDEX($AM$2:$BM$1001,MATCH(ROWS($AF$2:AF3),$AF$2:$AF$1001,0),MATCH(COLUMNS($AM$1006:BH1006),$AM$1006:$BM$1006,0)), HYPERLINK("#",""), HYPERLINK(CONCATENATE("#metadata!", ADDRESS(INDEX($AH$2:$AH$1001,MATCH(ROWS($AF$2:AF3),$AF$2:$AF$1001,0),0), INDEX($AM$1004:$BM$1004,1,MATCH(COLUMNS($AM$1006:BH1006),$AM$1006:$BM$1006,0)))),"Fix")))</f>
        <v xml:space="preserve"> </v>
      </c>
      <c r="X3" s="4" t="str">
        <f ca="1">IF(OR(INDEX($AG$2:$AG$1001,MATCH(ROWS($AF$2:AF3),$AF$2:$AF$1001,0),1)&gt;=100000,INDEX($AM$1005:$BM$1005,1,MATCH(COLUMNS($AM$1006:BI1006),$AM$1006:$BM$1006,0))&gt;=100000), " ",IF(INDEX($AM$2:$BM$1001,MATCH(ROWS($AF$2:AF3),$AF$2:$AF$1001,0),MATCH(COLUMNS($AM$1006:BI1006),$AM$1006:$BM$1006,0)), HYPERLINK("#",""), HYPERLINK(CONCATENATE("#metadata!", ADDRESS(INDEX($AH$2:$AH$1001,MATCH(ROWS($AF$2:AF3),$AF$2:$AF$1001,0),0), INDEX($AM$1004:$BM$1004,1,MATCH(COLUMNS($AM$1006:BI1006),$AM$1006:$BM$1006,0)))),"Fix")))</f>
        <v xml:space="preserve"> </v>
      </c>
      <c r="Y3" s="4" t="str">
        <f ca="1">IF(OR(INDEX($AG$2:$AG$1001,MATCH(ROWS($AF$2:AF3),$AF$2:$AF$1001,0),1)&gt;=100000,INDEX($AM$1005:$BM$1005,1,MATCH(COLUMNS($AM$1006:BJ1006),$AM$1006:$BM$1006,0))&gt;=100000), " ",IF(INDEX($AM$2:$BM$1001,MATCH(ROWS($AF$2:AF3),$AF$2:$AF$1001,0),MATCH(COLUMNS($AM$1006:BJ1006),$AM$1006:$BM$1006,0)), HYPERLINK("#",""), HYPERLINK(CONCATENATE("#metadata!", ADDRESS(INDEX($AH$2:$AH$1001,MATCH(ROWS($AF$2:AF3),$AF$2:$AF$1001,0),0), INDEX($AM$1004:$BM$1004,1,MATCH(COLUMNS($AM$1006:BJ1006),$AM$1006:$BM$1006,0)))),"Fix")))</f>
        <v xml:space="preserve"> </v>
      </c>
      <c r="Z3" s="4" t="str">
        <f ca="1">IF(OR(INDEX($AG$2:$AG$1001,MATCH(ROWS($AF$2:AF3),$AF$2:$AF$1001,0),1)&gt;=100000,INDEX($AM$1005:$BM$1005,1,MATCH(COLUMNS($AM$1006:BK1006),$AM$1006:$BM$1006,0))&gt;=100000), " ",IF(INDEX($AM$2:$BM$1001,MATCH(ROWS($AF$2:AF3),$AF$2:$AF$1001,0),MATCH(COLUMNS($AM$1006:BK1006),$AM$1006:$BM$1006,0)), HYPERLINK("#",""), HYPERLINK(CONCATENATE("#metadata!", ADDRESS(INDEX($AH$2:$AH$1001,MATCH(ROWS($AF$2:AF3),$AF$2:$AF$1001,0),0), INDEX($AM$1004:$BM$1004,1,MATCH(COLUMNS($AM$1006:BK1006),$AM$1006:$BM$1006,0)))),"Fix")))</f>
        <v xml:space="preserve"> </v>
      </c>
      <c r="AA3" s="4" t="str">
        <f ca="1">IF(OR(INDEX($AG$2:$AG$1001,MATCH(ROWS($AF$2:AF3),$AF$2:$AF$1001,0),1)&gt;=100000,INDEX($AM$1005:$BM$1005,1,MATCH(COLUMNS($AM$1006:BL1006),$AM$1006:$BM$1006,0))&gt;=100000), " ",IF(INDEX($AM$2:$BM$1001,MATCH(ROWS($AF$2:AF3),$AF$2:$AF$1001,0),MATCH(COLUMNS($AM$1006:BL1006),$AM$1006:$BM$1006,0)), HYPERLINK("#",""), HYPERLINK(CONCATENATE("#metadata!", ADDRESS(INDEX($AH$2:$AH$1001,MATCH(ROWS($AF$2:AF3),$AF$2:$AF$1001,0),0), INDEX($AM$1004:$BM$1004,1,MATCH(COLUMNS($AM$1006:BL1006),$AM$1006:$BM$1006,0)))),"Fix")))</f>
        <v xml:space="preserve"> </v>
      </c>
      <c r="AB3" s="4" t="str">
        <f ca="1">IF(OR(INDEX($AG$2:$AG$1001,MATCH(ROWS($AF$2:AF3),$AF$2:$AF$1001,0),1)&gt;=100000,INDEX($AM$1005:$BM$1005,1,MATCH(COLUMNS($AM$1006:BM1006),$AM$1006:$BM$1006,0))&gt;=100000), " ",IF(INDEX($AM$2:$BM$1001,MATCH(ROWS($AF$2:AF3),$AF$2:$AF$1001,0),MATCH(COLUMNS($AM$1006:BM1006),$AM$1006:$BM$1006,0)), HYPERLINK("#",""), HYPERLINK(CONCATENATE("#metadata!", ADDRESS(INDEX($AH$2:$AH$1001,MATCH(ROWS($AF$2:AF3),$AF$2:$AF$1001,0),0), INDEX($AM$1004:$BM$1004,1,MATCH(COLUMNS($AM$1006:BM1006),$AM$1006:$BM$1006,0)))),"Fix")))</f>
        <v xml:space="preserve"> </v>
      </c>
      <c r="AF3">
        <v>2</v>
      </c>
      <c r="AG3">
        <v>100003</v>
      </c>
      <c r="AH3">
        <v>3</v>
      </c>
      <c r="AI3" t="b">
        <f t="shared" si="0"/>
        <v>1</v>
      </c>
      <c r="AJ3" t="b">
        <f>COUNTBLANK(metadata!B3:AB3)=COLUMNS(metadata!B3:AB3)</f>
        <v>1</v>
      </c>
      <c r="AK3" t="str">
        <v/>
      </c>
      <c r="AM3" t="b">
        <f ca="1">AND(IF(metadata!B3="",FALSE,TRUE),COUNTIF(metadata!B:B, metadata!B3) = 1,NOT(ISERROR(SUMPRODUCT(SEARCH(MID(metadata!B3,ROW(INDIRECT("1:"&amp;LEN(metadata!B3))), 1),"0123456789abcdefghijklmnopqrstuvwxyzABCDEFGHIJKLMNOPQRSTUVWXYZ.")))))</f>
        <v>0</v>
      </c>
      <c r="AN3" t="b">
        <f ca="1">OR(AND(IF(metadata!C3="",FALSE,TRUE),OR(EXACT(metadata!C3,"missing: not collected"),EXACT(metadata!C3,"missing: not provided"),EXACT(metadata!C3,"missing: restricted access"))),AND(IF(metadata!C3="",FALSE,TRUE),AND(AND(IFERROR(INT(LEFT(metadata!C3,4))&gt;1900,FALSE),IFERROR(INT(LEFT(metadata!C3,4))&lt;=YEAR(NOW()),FALSE)), OR(MID(metadata!C3,5,1)="", AND(AND(MID(metadata!C3,5,1)="-",IFERROR(INT(MID(metadata!C3,6,1))&gt;=0,FALSE),IFERROR(INT(MID(metadata!C3,6,1))&lt;=1,FALSE),NOT(MID(metadata!C3,7,1)=""),IFERROR(INT(MID(metadata!C3,6,2))&gt;=1,FALSE),IFERROR(INT(MID(metadata!C3,6,2))&lt;=12,FALSE)), OR(MID(metadata!C3,8,1)="", AND(AND(MID(metadata!C3,8,1)="-",IFERROR(INT(MID(metadata!C3,9,1))&gt;=0,FALSE),IFERROR(INT(MID(metadata!C3,9,1))&lt;=3,FALSE),NOT(MID(metadata!C3,10,1)=""),IFERROR(INT(MID(metadata!C3,9,2))&gt;=1,FALSE),IFERROR(INT(MID(metadata!C3,9,2))&lt;=31,FALSE)), OR(MID(metadata!C3,11,1)="", AND(AND(MID(metadata!C3,11,1)=" ",IFERROR(INT(MID(metadata!C3,12,1))&gt;=0,FALSE),IFERROR(INT(MID(metadata!C3,12,1))&lt;=2,FALSE),NOT(MID(metadata!C3,13,1)=""),IFERROR(INT(MID(metadata!C3,12,2))&gt;=0,FALSE),IFERROR(INT(MID(metadata!C3,12,2))&lt;=23,FALSE)), OR(MID(metadata!C3,14,1)="", AND(AND(MID(metadata!C3,14,1)=":",IFERROR(INT(MID(metadata!C3,15,1))&gt;=0,FALSE),IFERROR(INT(MID(metadata!C3,15,1))&lt;=5,FALSE),NOT(MID(metadata!C3,16,1)=""),IFERROR(INT(MID(metadata!C3,15,2))&gt;=0,FALSE),IFERROR(INT(MID(metadata!C3,15,2))&lt;=59,FALSE)), OR(MID(metadata!C3,17,1)="", AND(AND(MID(metadata!C3,17,1)=":",IFERROR(INT(MID(metadata!C3,18,1))&gt;=0,FALSE),IFERROR(INT(MID(metadata!C3,18,1))&lt;=5,FALSE),NOT(MID(metadata!C3,19,1)=""),IFERROR(INT(MID(metadata!C3,18,2))&gt;=0,FALSE),IFERROR(INT(MID(metadata!C3,18,2))&lt;=59,FALSE)), LEN(metadata!C3)&lt;=19)))))))))))))</f>
        <v>0</v>
      </c>
      <c r="AO3" t="b">
        <f>AND(IF(metadata!D3="",FALSE,TRUE),EXACT(metadata!D3,"Not applicable"))</f>
        <v>0</v>
      </c>
      <c r="AP3" t="b">
        <f>IF(metadata!E3="",FALSE,TRUE)</f>
        <v>0</v>
      </c>
      <c r="AQ3" t="b">
        <f>OR(AND(IF(metadata!F3="",FALSE,TRUE),OR(EXACT(metadata!F3,"missing: not collected"),EXACT(metadata!F3,"missing: not provided"))),AND(IF(metadata!F3="",FALSE,TRUE),OR(EXACT(metadata!F3,"TRUE"),EXACT(metadata!F3,"FALSE"))))</f>
        <v>0</v>
      </c>
      <c r="AR3" t="b">
        <f>OR(AND(IF(metadata!G3="",FALSE,TRUE),OR(EXACT(metadata!G3,"missing: not collected"),EXACT(metadata!G3,"missing: not provided"),EXACT(metadata!G3,"missing: restricted access"))),AND(IF(metadata!G3="",FALSE,ISNUMBER(VALUE(metadata!G3))),metadata!G3&gt;=-413))</f>
        <v>0</v>
      </c>
      <c r="AS3" t="b">
        <f>AND(IF(metadata!H3="",FALSE,TRUE),EXACT(metadata!H3,"meters"))</f>
        <v>0</v>
      </c>
      <c r="AT3" t="b">
        <f>AND(IF(metadata!I3="",FALSE,TRUE),OR(EXACT(metadata!I3,"Host-associated"),EXACT(metadata!I3,"Free-living")))</f>
        <v>0</v>
      </c>
      <c r="AU3" t="b">
        <f>AND(IF(metadata!J3="",FALSE,TRUE),OR(EXACT(metadata!J3,"Animal"),EXACT(metadata!J3,"Fungus"),EXACT(metadata!J3,"Plant"),EXACT(metadata!J3,"Saline"),EXACT(metadata!J3,"Non-saline")))</f>
        <v>0</v>
      </c>
      <c r="AV3" t="b">
        <f>AND(IF(metadata!K3="",FALSE,TRUE),OR(EXACT(metadata!K3,"Plant secretion"),EXACT(metadata!K3,"Plant rhizosphere"),EXACT(metadata!K3,"Plant surface"),EXACT(metadata!K3,"Plant corpus"),EXACT(metadata!K3,"Fungus surface"),EXACT(metadata!K3,"Fungus corpus"),EXACT(metadata!K3,"Animal surface"),EXACT(metadata!K3,"Animal proximal gut"),EXACT(metadata!K3,"Animal corpus"),EXACT(metadata!K3,"Animal distal gut"),EXACT(metadata!K3,"Animal secretion"),EXACT(metadata!K3,"Sub-surface (non-saline)"),EXACT(metadata!K3,"Surface (non-saline)"),EXACT(metadata!K3,"Water (non-saline)"),EXACT(metadata!K3,"Soil (non-saline)"),EXACT(metadata!K3,"Aerosol (non-saline)"),EXACT(metadata!K3,"Sediment (non-saline)"),EXACT(metadata!K3,"Surface (saline)"),EXACT(metadata!K3,"Water (saline)"),EXACT(metadata!K3,"Hypersaline (saline)"),EXACT(metadata!K3,"Aerosol (saline)"),EXACT(metadata!K3,"Sediment (saline)")))</f>
        <v>0</v>
      </c>
      <c r="AW3" t="b">
        <f>IF(metadata!L3="",FALSE,TRUE)</f>
        <v>0</v>
      </c>
      <c r="AX3" t="b">
        <f>IF(metadata!M3="",FALSE,TRUE)</f>
        <v>0</v>
      </c>
      <c r="AY3" t="b">
        <f>IF(metadata!N3="",FALSE,TRUE)</f>
        <v>0</v>
      </c>
      <c r="AZ3" t="b">
        <f>OR(AND(IF(metadata!O3="",FALSE,TRUE),OR(EXACT(metadata!O3,"missing: not collected"),EXACT(metadata!O3,"missing: not provided"),EXACT(metadata!O3,"missing: restricted access"))),AND(IF(metadata!O3="",FALSE,TRUE),OR(EXACT(metadata!O3,"air"),EXACT(metadata!O3,"built environment"),EXACT(metadata!O3,"host-associated"),EXACT(metadata!O3,"human-associated"),EXACT(metadata!O3,"human-skin"),EXACT(metadata!O3,"human-oral"),EXACT(metadata!O3,"human-gut"),EXACT(metadata!O3,"human-vaginal"),EXACT(metadata!O3,"microbial mat/biofilm"),EXACT(metadata!O3,"misc environment"),EXACT(metadata!O3,"plant-associated"),EXACT(metadata!O3,"sediment"),EXACT(metadata!O3,"soil"),EXACT(metadata!O3,"wastewater/sludge"),EXACT(metadata!O3,"water"))))</f>
        <v>0</v>
      </c>
      <c r="BA3" t="b">
        <f>IF(metadata!P3="",FALSE,TRUE)</f>
        <v>0</v>
      </c>
      <c r="BB3" t="b">
        <f>IF(metadata!Q3="",FALSE,TRUE)</f>
        <v>0</v>
      </c>
      <c r="BC3" t="b">
        <f>OR(AND(IF(metadata!R3="",FALSE,TRUE),OR(EXACT(metadata!R3,"missing: not collected"),EXACT(metadata!R3,"missing: not provided"),EXACT(metadata!R3,"missing: restricted access"))),AND(IF(metadata!R3="",FALSE,ISNUMBER(VALUE(metadata!R3))),metadata!R3&gt;=-90,metadata!R3&lt;=90))</f>
        <v>0</v>
      </c>
      <c r="BD3" t="b">
        <f>AND(IF(metadata!S3="",FALSE,TRUE),EXACT(metadata!S3,"Decimal degrees"))</f>
        <v>0</v>
      </c>
      <c r="BE3" t="b">
        <f>OR(AND(IF(metadata!T3="",FALSE,TRUE),OR(EXACT(metadata!T3,"missing: not collected"),EXACT(metadata!T3,"missing: not provided"),EXACT(metadata!T3,"missing: restricted access"))),AND(IF(metadata!T3="",FALSE,ISNUMBER(VALUE(metadata!T3))),metadata!T3&gt;=-180,metadata!T3&lt;=180))</f>
        <v>0</v>
      </c>
      <c r="BF3" t="b">
        <f>AND(IF(metadata!U3="",FALSE,TRUE),EXACT(metadata!U3,"Decimal degrees"))</f>
        <v>0</v>
      </c>
      <c r="BG3" t="b">
        <f>IF(metadata!V3="",FALSE,TRUE)</f>
        <v>0</v>
      </c>
      <c r="BH3" t="b">
        <f>OR(AND(IF(metadata!W3="",FALSE,TRUE),OR(EXACT(metadata!W3,"missing: not collected"),EXACT(metadata!W3,"missing: not provided"),EXACT(metadata!W3,"missing: restricted access"))),AND(IF(metadata!W3="",FALSE,TRUE),OR(EXACT(metadata!W3,"TRUE"),EXACT(metadata!W3,"FALSE"))))</f>
        <v>0</v>
      </c>
      <c r="BI3" t="b">
        <f>AND(IF(metadata!X3="",FALSE,TRUE),EXACT(metadata!X3,"other"))</f>
        <v>0</v>
      </c>
      <c r="BJ3" t="b">
        <f>IF(metadata!Y3="",FALSE,TRUE)</f>
        <v>0</v>
      </c>
      <c r="BK3" t="b">
        <f>OR(AND(IF(metadata!Z3="",FALSE,TRUE),OR(EXACT(metadata!Z3,"missing: not collected"),EXACT(metadata!Z3,"missing: not provided"))),AND(IF(metadata!Z3="",FALSE,IF(ISERROR(INT(metadata!Z3)),FALSE,INT(metadata!Z3)=metadata!Z3)),metadata!Z3&gt;0))</f>
        <v>0</v>
      </c>
      <c r="BL3" t="b">
        <f>AND(IF(metadata!AA3="",FALSE,TRUE),EXACT(metadata!AA3,"Not applicable"))</f>
        <v>0</v>
      </c>
      <c r="BM3" t="b">
        <f>IF(metadata!AB3="",FALSE,TRUE)</f>
        <v>0</v>
      </c>
    </row>
    <row r="4" spans="1:65" x14ac:dyDescent="0.2">
      <c r="A4" s="5" t="str">
        <f ca="1">IF(B4=" "," ",HYPERLINK(CONCATENATE("#metadata!",ADDRESS(INDEX($AH$2:$AH$1001,MATCH(ROWS($AF$2:AF4),$AF$2:$AF$1001,0),0),1)),INDEX($AK$2:$AK$1001,MATCH(ROWS($AF$2:AF4),$AF$2:$AF$1001,0),0)))</f>
        <v xml:space="preserve"> </v>
      </c>
      <c r="B4" s="4" t="str">
        <f ca="1">IF(OR(INDEX($AG$2:$AG$1001,MATCH(ROWS($AF$2:AF4),$AF$2:$AF$1001,0),1)&gt;=100000,INDEX($AM$1005:$BM$1005,1,MATCH(COLUMNS($AM$1006:AM1006),$AM$1006:$BM$1006,0))&gt;=100000), " ",IF(INDEX($AM$2:$BM$1001,MATCH(ROWS($AF$2:AF4),$AF$2:$AF$1001,0),MATCH(COLUMNS($AM$1006:AM1006),$AM$1006:$BM$1006,0)), HYPERLINK("#",""), HYPERLINK(CONCATENATE("#metadata!", ADDRESS(INDEX($AH$2:$AH$1001,MATCH(ROWS($AF$2:AF4),$AF$2:$AF$1001,0),0), INDEX($AM$1004:$BM$1004,1,MATCH(COLUMNS($AM$1006:AM1006),$AM$1006:$BM$1006,0)))),"Fix")))</f>
        <v xml:space="preserve"> </v>
      </c>
      <c r="C4" s="4" t="str">
        <f ca="1">IF(OR(INDEX($AG$2:$AG$1001,MATCH(ROWS($AF$2:AF4),$AF$2:$AF$1001,0),1)&gt;=100000,INDEX($AM$1005:$BM$1005,1,MATCH(COLUMNS($AM$1006:AN1006),$AM$1006:$BM$1006,0))&gt;=100000), " ",IF(INDEX($AM$2:$BM$1001,MATCH(ROWS($AF$2:AF4),$AF$2:$AF$1001,0),MATCH(COLUMNS($AM$1006:AN1006),$AM$1006:$BM$1006,0)), HYPERLINK("#",""), HYPERLINK(CONCATENATE("#metadata!", ADDRESS(INDEX($AH$2:$AH$1001,MATCH(ROWS($AF$2:AF4),$AF$2:$AF$1001,0),0), INDEX($AM$1004:$BM$1004,1,MATCH(COLUMNS($AM$1006:AN1006),$AM$1006:$BM$1006,0)))),"Fix")))</f>
        <v xml:space="preserve"> </v>
      </c>
      <c r="D4" s="4" t="str">
        <f ca="1">IF(OR(INDEX($AG$2:$AG$1001,MATCH(ROWS($AF$2:AF4),$AF$2:$AF$1001,0),1)&gt;=100000,INDEX($AM$1005:$BM$1005,1,MATCH(COLUMNS($AM$1006:AO1006),$AM$1006:$BM$1006,0))&gt;=100000), " ",IF(INDEX($AM$2:$BM$1001,MATCH(ROWS($AF$2:AF4),$AF$2:$AF$1001,0),MATCH(COLUMNS($AM$1006:AO1006),$AM$1006:$BM$1006,0)), HYPERLINK("#",""), HYPERLINK(CONCATENATE("#metadata!", ADDRESS(INDEX($AH$2:$AH$1001,MATCH(ROWS($AF$2:AF4),$AF$2:$AF$1001,0),0), INDEX($AM$1004:$BM$1004,1,MATCH(COLUMNS($AM$1006:AO1006),$AM$1006:$BM$1006,0)))),"Fix")))</f>
        <v xml:space="preserve"> </v>
      </c>
      <c r="E4" s="4" t="str">
        <f ca="1">IF(OR(INDEX($AG$2:$AG$1001,MATCH(ROWS($AF$2:AF4),$AF$2:$AF$1001,0),1)&gt;=100000,INDEX($AM$1005:$BM$1005,1,MATCH(COLUMNS($AM$1006:AP1006),$AM$1006:$BM$1006,0))&gt;=100000), " ",IF(INDEX($AM$2:$BM$1001,MATCH(ROWS($AF$2:AF4),$AF$2:$AF$1001,0),MATCH(COLUMNS($AM$1006:AP1006),$AM$1006:$BM$1006,0)), HYPERLINK("#",""), HYPERLINK(CONCATENATE("#metadata!", ADDRESS(INDEX($AH$2:$AH$1001,MATCH(ROWS($AF$2:AF4),$AF$2:$AF$1001,0),0), INDEX($AM$1004:$BM$1004,1,MATCH(COLUMNS($AM$1006:AP1006),$AM$1006:$BM$1006,0)))),"Fix")))</f>
        <v xml:space="preserve"> </v>
      </c>
      <c r="F4" s="4" t="str">
        <f ca="1">IF(OR(INDEX($AG$2:$AG$1001,MATCH(ROWS($AF$2:AF4),$AF$2:$AF$1001,0),1)&gt;=100000,INDEX($AM$1005:$BM$1005,1,MATCH(COLUMNS($AM$1006:AQ1006),$AM$1006:$BM$1006,0))&gt;=100000), " ",IF(INDEX($AM$2:$BM$1001,MATCH(ROWS($AF$2:AF4),$AF$2:$AF$1001,0),MATCH(COLUMNS($AM$1006:AQ1006),$AM$1006:$BM$1006,0)), HYPERLINK("#",""), HYPERLINK(CONCATENATE("#metadata!", ADDRESS(INDEX($AH$2:$AH$1001,MATCH(ROWS($AF$2:AF4),$AF$2:$AF$1001,0),0), INDEX($AM$1004:$BM$1004,1,MATCH(COLUMNS($AM$1006:AQ1006),$AM$1006:$BM$1006,0)))),"Fix")))</f>
        <v xml:space="preserve"> </v>
      </c>
      <c r="G4" s="4" t="str">
        <f ca="1">IF(OR(INDEX($AG$2:$AG$1001,MATCH(ROWS($AF$2:AF4),$AF$2:$AF$1001,0),1)&gt;=100000,INDEX($AM$1005:$BM$1005,1,MATCH(COLUMNS($AM$1006:AR1006),$AM$1006:$BM$1006,0))&gt;=100000), " ",IF(INDEX($AM$2:$BM$1001,MATCH(ROWS($AF$2:AF4),$AF$2:$AF$1001,0),MATCH(COLUMNS($AM$1006:AR1006),$AM$1006:$BM$1006,0)), HYPERLINK("#",""), HYPERLINK(CONCATENATE("#metadata!", ADDRESS(INDEX($AH$2:$AH$1001,MATCH(ROWS($AF$2:AF4),$AF$2:$AF$1001,0),0), INDEX($AM$1004:$BM$1004,1,MATCH(COLUMNS($AM$1006:AR1006),$AM$1006:$BM$1006,0)))),"Fix")))</f>
        <v xml:space="preserve"> </v>
      </c>
      <c r="H4" s="4" t="str">
        <f ca="1">IF(OR(INDEX($AG$2:$AG$1001,MATCH(ROWS($AF$2:AF4),$AF$2:$AF$1001,0),1)&gt;=100000,INDEX($AM$1005:$BM$1005,1,MATCH(COLUMNS($AM$1006:AS1006),$AM$1006:$BM$1006,0))&gt;=100000), " ",IF(INDEX($AM$2:$BM$1001,MATCH(ROWS($AF$2:AF4),$AF$2:$AF$1001,0),MATCH(COLUMNS($AM$1006:AS1006),$AM$1006:$BM$1006,0)), HYPERLINK("#",""), HYPERLINK(CONCATENATE("#metadata!", ADDRESS(INDEX($AH$2:$AH$1001,MATCH(ROWS($AF$2:AF4),$AF$2:$AF$1001,0),0), INDEX($AM$1004:$BM$1004,1,MATCH(COLUMNS($AM$1006:AS1006),$AM$1006:$BM$1006,0)))),"Fix")))</f>
        <v xml:space="preserve"> </v>
      </c>
      <c r="I4" s="4" t="str">
        <f ca="1">IF(OR(INDEX($AG$2:$AG$1001,MATCH(ROWS($AF$2:AF4),$AF$2:$AF$1001,0),1)&gt;=100000,INDEX($AM$1005:$BM$1005,1,MATCH(COLUMNS($AM$1006:AT1006),$AM$1006:$BM$1006,0))&gt;=100000), " ",IF(INDEX($AM$2:$BM$1001,MATCH(ROWS($AF$2:AF4),$AF$2:$AF$1001,0),MATCH(COLUMNS($AM$1006:AT1006),$AM$1006:$BM$1006,0)), HYPERLINK("#",""), HYPERLINK(CONCATENATE("#metadata!", ADDRESS(INDEX($AH$2:$AH$1001,MATCH(ROWS($AF$2:AF4),$AF$2:$AF$1001,0),0), INDEX($AM$1004:$BM$1004,1,MATCH(COLUMNS($AM$1006:AT1006),$AM$1006:$BM$1006,0)))),"Fix")))</f>
        <v xml:space="preserve"> </v>
      </c>
      <c r="J4" s="4" t="str">
        <f ca="1">IF(OR(INDEX($AG$2:$AG$1001,MATCH(ROWS($AF$2:AF4),$AF$2:$AF$1001,0),1)&gt;=100000,INDEX($AM$1005:$BM$1005,1,MATCH(COLUMNS($AM$1006:AU1006),$AM$1006:$BM$1006,0))&gt;=100000), " ",IF(INDEX($AM$2:$BM$1001,MATCH(ROWS($AF$2:AF4),$AF$2:$AF$1001,0),MATCH(COLUMNS($AM$1006:AU1006),$AM$1006:$BM$1006,0)), HYPERLINK("#",""), HYPERLINK(CONCATENATE("#metadata!", ADDRESS(INDEX($AH$2:$AH$1001,MATCH(ROWS($AF$2:AF4),$AF$2:$AF$1001,0),0), INDEX($AM$1004:$BM$1004,1,MATCH(COLUMNS($AM$1006:AU1006),$AM$1006:$BM$1006,0)))),"Fix")))</f>
        <v xml:space="preserve"> </v>
      </c>
      <c r="K4" s="4" t="str">
        <f ca="1">IF(OR(INDEX($AG$2:$AG$1001,MATCH(ROWS($AF$2:AF4),$AF$2:$AF$1001,0),1)&gt;=100000,INDEX($AM$1005:$BM$1005,1,MATCH(COLUMNS($AM$1006:AV1006),$AM$1006:$BM$1006,0))&gt;=100000), " ",IF(INDEX($AM$2:$BM$1001,MATCH(ROWS($AF$2:AF4),$AF$2:$AF$1001,0),MATCH(COLUMNS($AM$1006:AV1006),$AM$1006:$BM$1006,0)), HYPERLINK("#",""), HYPERLINK(CONCATENATE("#metadata!", ADDRESS(INDEX($AH$2:$AH$1001,MATCH(ROWS($AF$2:AF4),$AF$2:$AF$1001,0),0), INDEX($AM$1004:$BM$1004,1,MATCH(COLUMNS($AM$1006:AV1006),$AM$1006:$BM$1006,0)))),"Fix")))</f>
        <v xml:space="preserve"> </v>
      </c>
      <c r="L4" s="4" t="str">
        <f ca="1">IF(OR(INDEX($AG$2:$AG$1001,MATCH(ROWS($AF$2:AF4),$AF$2:$AF$1001,0),1)&gt;=100000,INDEX($AM$1005:$BM$1005,1,MATCH(COLUMNS($AM$1006:AW1006),$AM$1006:$BM$1006,0))&gt;=100000), " ",IF(INDEX($AM$2:$BM$1001,MATCH(ROWS($AF$2:AF4),$AF$2:$AF$1001,0),MATCH(COLUMNS($AM$1006:AW1006),$AM$1006:$BM$1006,0)), HYPERLINK("#",""), HYPERLINK(CONCATENATE("#metadata!", ADDRESS(INDEX($AH$2:$AH$1001,MATCH(ROWS($AF$2:AF4),$AF$2:$AF$1001,0),0), INDEX($AM$1004:$BM$1004,1,MATCH(COLUMNS($AM$1006:AW1006),$AM$1006:$BM$1006,0)))),"Fix")))</f>
        <v xml:space="preserve"> </v>
      </c>
      <c r="M4" s="4" t="str">
        <f ca="1">IF(OR(INDEX($AG$2:$AG$1001,MATCH(ROWS($AF$2:AF4),$AF$2:$AF$1001,0),1)&gt;=100000,INDEX($AM$1005:$BM$1005,1,MATCH(COLUMNS($AM$1006:AX1006),$AM$1006:$BM$1006,0))&gt;=100000), " ",IF(INDEX($AM$2:$BM$1001,MATCH(ROWS($AF$2:AF4),$AF$2:$AF$1001,0),MATCH(COLUMNS($AM$1006:AX1006),$AM$1006:$BM$1006,0)), HYPERLINK("#",""), HYPERLINK(CONCATENATE("#metadata!", ADDRESS(INDEX($AH$2:$AH$1001,MATCH(ROWS($AF$2:AF4),$AF$2:$AF$1001,0),0), INDEX($AM$1004:$BM$1004,1,MATCH(COLUMNS($AM$1006:AX1006),$AM$1006:$BM$1006,0)))),"Fix")))</f>
        <v xml:space="preserve"> </v>
      </c>
      <c r="N4" s="4" t="str">
        <f ca="1">IF(OR(INDEX($AG$2:$AG$1001,MATCH(ROWS($AF$2:AF4),$AF$2:$AF$1001,0),1)&gt;=100000,INDEX($AM$1005:$BM$1005,1,MATCH(COLUMNS($AM$1006:AY1006),$AM$1006:$BM$1006,0))&gt;=100000), " ",IF(INDEX($AM$2:$BM$1001,MATCH(ROWS($AF$2:AF4),$AF$2:$AF$1001,0),MATCH(COLUMNS($AM$1006:AY1006),$AM$1006:$BM$1006,0)), HYPERLINK("#",""), HYPERLINK(CONCATENATE("#metadata!", ADDRESS(INDEX($AH$2:$AH$1001,MATCH(ROWS($AF$2:AF4),$AF$2:$AF$1001,0),0), INDEX($AM$1004:$BM$1004,1,MATCH(COLUMNS($AM$1006:AY1006),$AM$1006:$BM$1006,0)))),"Fix")))</f>
        <v xml:space="preserve"> </v>
      </c>
      <c r="O4" s="4" t="str">
        <f ca="1">IF(OR(INDEX($AG$2:$AG$1001,MATCH(ROWS($AF$2:AF4),$AF$2:$AF$1001,0),1)&gt;=100000,INDEX($AM$1005:$BM$1005,1,MATCH(COLUMNS($AM$1006:AZ1006),$AM$1006:$BM$1006,0))&gt;=100000), " ",IF(INDEX($AM$2:$BM$1001,MATCH(ROWS($AF$2:AF4),$AF$2:$AF$1001,0),MATCH(COLUMNS($AM$1006:AZ1006),$AM$1006:$BM$1006,0)), HYPERLINK("#",""), HYPERLINK(CONCATENATE("#metadata!", ADDRESS(INDEX($AH$2:$AH$1001,MATCH(ROWS($AF$2:AF4),$AF$2:$AF$1001,0),0), INDEX($AM$1004:$BM$1004,1,MATCH(COLUMNS($AM$1006:AZ1006),$AM$1006:$BM$1006,0)))),"Fix")))</f>
        <v xml:space="preserve"> </v>
      </c>
      <c r="P4" s="4" t="str">
        <f ca="1">IF(OR(INDEX($AG$2:$AG$1001,MATCH(ROWS($AF$2:AF4),$AF$2:$AF$1001,0),1)&gt;=100000,INDEX($AM$1005:$BM$1005,1,MATCH(COLUMNS($AM$1006:BA1006),$AM$1006:$BM$1006,0))&gt;=100000), " ",IF(INDEX($AM$2:$BM$1001,MATCH(ROWS($AF$2:AF4),$AF$2:$AF$1001,0),MATCH(COLUMNS($AM$1006:BA1006),$AM$1006:$BM$1006,0)), HYPERLINK("#",""), HYPERLINK(CONCATENATE("#metadata!", ADDRESS(INDEX($AH$2:$AH$1001,MATCH(ROWS($AF$2:AF4),$AF$2:$AF$1001,0),0), INDEX($AM$1004:$BM$1004,1,MATCH(COLUMNS($AM$1006:BA1006),$AM$1006:$BM$1006,0)))),"Fix")))</f>
        <v xml:space="preserve"> </v>
      </c>
      <c r="Q4" s="4" t="str">
        <f ca="1">IF(OR(INDEX($AG$2:$AG$1001,MATCH(ROWS($AF$2:AF4),$AF$2:$AF$1001,0),1)&gt;=100000,INDEX($AM$1005:$BM$1005,1,MATCH(COLUMNS($AM$1006:BB1006),$AM$1006:$BM$1006,0))&gt;=100000), " ",IF(INDEX($AM$2:$BM$1001,MATCH(ROWS($AF$2:AF4),$AF$2:$AF$1001,0),MATCH(COLUMNS($AM$1006:BB1006),$AM$1006:$BM$1006,0)), HYPERLINK("#",""), HYPERLINK(CONCATENATE("#metadata!", ADDRESS(INDEX($AH$2:$AH$1001,MATCH(ROWS($AF$2:AF4),$AF$2:$AF$1001,0),0), INDEX($AM$1004:$BM$1004,1,MATCH(COLUMNS($AM$1006:BB1006),$AM$1006:$BM$1006,0)))),"Fix")))</f>
        <v xml:space="preserve"> </v>
      </c>
      <c r="R4" s="4" t="str">
        <f ca="1">IF(OR(INDEX($AG$2:$AG$1001,MATCH(ROWS($AF$2:AF4),$AF$2:$AF$1001,0),1)&gt;=100000,INDEX($AM$1005:$BM$1005,1,MATCH(COLUMNS($AM$1006:BC1006),$AM$1006:$BM$1006,0))&gt;=100000), " ",IF(INDEX($AM$2:$BM$1001,MATCH(ROWS($AF$2:AF4),$AF$2:$AF$1001,0),MATCH(COLUMNS($AM$1006:BC1006),$AM$1006:$BM$1006,0)), HYPERLINK("#",""), HYPERLINK(CONCATENATE("#metadata!", ADDRESS(INDEX($AH$2:$AH$1001,MATCH(ROWS($AF$2:AF4),$AF$2:$AF$1001,0),0), INDEX($AM$1004:$BM$1004,1,MATCH(COLUMNS($AM$1006:BC1006),$AM$1006:$BM$1006,0)))),"Fix")))</f>
        <v xml:space="preserve"> </v>
      </c>
      <c r="S4" s="4" t="str">
        <f ca="1">IF(OR(INDEX($AG$2:$AG$1001,MATCH(ROWS($AF$2:AF4),$AF$2:$AF$1001,0),1)&gt;=100000,INDEX($AM$1005:$BM$1005,1,MATCH(COLUMNS($AM$1006:BD1006),$AM$1006:$BM$1006,0))&gt;=100000), " ",IF(INDEX($AM$2:$BM$1001,MATCH(ROWS($AF$2:AF4),$AF$2:$AF$1001,0),MATCH(COLUMNS($AM$1006:BD1006),$AM$1006:$BM$1006,0)), HYPERLINK("#",""), HYPERLINK(CONCATENATE("#metadata!", ADDRESS(INDEX($AH$2:$AH$1001,MATCH(ROWS($AF$2:AF4),$AF$2:$AF$1001,0),0), INDEX($AM$1004:$BM$1004,1,MATCH(COLUMNS($AM$1006:BD1006),$AM$1006:$BM$1006,0)))),"Fix")))</f>
        <v xml:space="preserve"> </v>
      </c>
      <c r="T4" s="4" t="str">
        <f ca="1">IF(OR(INDEX($AG$2:$AG$1001,MATCH(ROWS($AF$2:AF4),$AF$2:$AF$1001,0),1)&gt;=100000,INDEX($AM$1005:$BM$1005,1,MATCH(COLUMNS($AM$1006:BE1006),$AM$1006:$BM$1006,0))&gt;=100000), " ",IF(INDEX($AM$2:$BM$1001,MATCH(ROWS($AF$2:AF4),$AF$2:$AF$1001,0),MATCH(COLUMNS($AM$1006:BE1006),$AM$1006:$BM$1006,0)), HYPERLINK("#",""), HYPERLINK(CONCATENATE("#metadata!", ADDRESS(INDEX($AH$2:$AH$1001,MATCH(ROWS($AF$2:AF4),$AF$2:$AF$1001,0),0), INDEX($AM$1004:$BM$1004,1,MATCH(COLUMNS($AM$1006:BE1006),$AM$1006:$BM$1006,0)))),"Fix")))</f>
        <v xml:space="preserve"> </v>
      </c>
      <c r="U4" s="4" t="str">
        <f ca="1">IF(OR(INDEX($AG$2:$AG$1001,MATCH(ROWS($AF$2:AF4),$AF$2:$AF$1001,0),1)&gt;=100000,INDEX($AM$1005:$BM$1005,1,MATCH(COLUMNS($AM$1006:BF1006),$AM$1006:$BM$1006,0))&gt;=100000), " ",IF(INDEX($AM$2:$BM$1001,MATCH(ROWS($AF$2:AF4),$AF$2:$AF$1001,0),MATCH(COLUMNS($AM$1006:BF1006),$AM$1006:$BM$1006,0)), HYPERLINK("#",""), HYPERLINK(CONCATENATE("#metadata!", ADDRESS(INDEX($AH$2:$AH$1001,MATCH(ROWS($AF$2:AF4),$AF$2:$AF$1001,0),0), INDEX($AM$1004:$BM$1004,1,MATCH(COLUMNS($AM$1006:BF1006),$AM$1006:$BM$1006,0)))),"Fix")))</f>
        <v xml:space="preserve"> </v>
      </c>
      <c r="V4" s="4" t="str">
        <f ca="1">IF(OR(INDEX($AG$2:$AG$1001,MATCH(ROWS($AF$2:AF4),$AF$2:$AF$1001,0),1)&gt;=100000,INDEX($AM$1005:$BM$1005,1,MATCH(COLUMNS($AM$1006:BG1006),$AM$1006:$BM$1006,0))&gt;=100000), " ",IF(INDEX($AM$2:$BM$1001,MATCH(ROWS($AF$2:AF4),$AF$2:$AF$1001,0),MATCH(COLUMNS($AM$1006:BG1006),$AM$1006:$BM$1006,0)), HYPERLINK("#",""), HYPERLINK(CONCATENATE("#metadata!", ADDRESS(INDEX($AH$2:$AH$1001,MATCH(ROWS($AF$2:AF4),$AF$2:$AF$1001,0),0), INDEX($AM$1004:$BM$1004,1,MATCH(COLUMNS($AM$1006:BG1006),$AM$1006:$BM$1006,0)))),"Fix")))</f>
        <v xml:space="preserve"> </v>
      </c>
      <c r="W4" s="4" t="str">
        <f ca="1">IF(OR(INDEX($AG$2:$AG$1001,MATCH(ROWS($AF$2:AF4),$AF$2:$AF$1001,0),1)&gt;=100000,INDEX($AM$1005:$BM$1005,1,MATCH(COLUMNS($AM$1006:BH1006),$AM$1006:$BM$1006,0))&gt;=100000), " ",IF(INDEX($AM$2:$BM$1001,MATCH(ROWS($AF$2:AF4),$AF$2:$AF$1001,0),MATCH(COLUMNS($AM$1006:BH1006),$AM$1006:$BM$1006,0)), HYPERLINK("#",""), HYPERLINK(CONCATENATE("#metadata!", ADDRESS(INDEX($AH$2:$AH$1001,MATCH(ROWS($AF$2:AF4),$AF$2:$AF$1001,0),0), INDEX($AM$1004:$BM$1004,1,MATCH(COLUMNS($AM$1006:BH1006),$AM$1006:$BM$1006,0)))),"Fix")))</f>
        <v xml:space="preserve"> </v>
      </c>
      <c r="X4" s="4" t="str">
        <f ca="1">IF(OR(INDEX($AG$2:$AG$1001,MATCH(ROWS($AF$2:AF4),$AF$2:$AF$1001,0),1)&gt;=100000,INDEX($AM$1005:$BM$1005,1,MATCH(COLUMNS($AM$1006:BI1006),$AM$1006:$BM$1006,0))&gt;=100000), " ",IF(INDEX($AM$2:$BM$1001,MATCH(ROWS($AF$2:AF4),$AF$2:$AF$1001,0),MATCH(COLUMNS($AM$1006:BI1006),$AM$1006:$BM$1006,0)), HYPERLINK("#",""), HYPERLINK(CONCATENATE("#metadata!", ADDRESS(INDEX($AH$2:$AH$1001,MATCH(ROWS($AF$2:AF4),$AF$2:$AF$1001,0),0), INDEX($AM$1004:$BM$1004,1,MATCH(COLUMNS($AM$1006:BI1006),$AM$1006:$BM$1006,0)))),"Fix")))</f>
        <v xml:space="preserve"> </v>
      </c>
      <c r="Y4" s="4" t="str">
        <f ca="1">IF(OR(INDEX($AG$2:$AG$1001,MATCH(ROWS($AF$2:AF4),$AF$2:$AF$1001,0),1)&gt;=100000,INDEX($AM$1005:$BM$1005,1,MATCH(COLUMNS($AM$1006:BJ1006),$AM$1006:$BM$1006,0))&gt;=100000), " ",IF(INDEX($AM$2:$BM$1001,MATCH(ROWS($AF$2:AF4),$AF$2:$AF$1001,0),MATCH(COLUMNS($AM$1006:BJ1006),$AM$1006:$BM$1006,0)), HYPERLINK("#",""), HYPERLINK(CONCATENATE("#metadata!", ADDRESS(INDEX($AH$2:$AH$1001,MATCH(ROWS($AF$2:AF4),$AF$2:$AF$1001,0),0), INDEX($AM$1004:$BM$1004,1,MATCH(COLUMNS($AM$1006:BJ1006),$AM$1006:$BM$1006,0)))),"Fix")))</f>
        <v xml:space="preserve"> </v>
      </c>
      <c r="Z4" s="4" t="str">
        <f ca="1">IF(OR(INDEX($AG$2:$AG$1001,MATCH(ROWS($AF$2:AF4),$AF$2:$AF$1001,0),1)&gt;=100000,INDEX($AM$1005:$BM$1005,1,MATCH(COLUMNS($AM$1006:BK1006),$AM$1006:$BM$1006,0))&gt;=100000), " ",IF(INDEX($AM$2:$BM$1001,MATCH(ROWS($AF$2:AF4),$AF$2:$AF$1001,0),MATCH(COLUMNS($AM$1006:BK1006),$AM$1006:$BM$1006,0)), HYPERLINK("#",""), HYPERLINK(CONCATENATE("#metadata!", ADDRESS(INDEX($AH$2:$AH$1001,MATCH(ROWS($AF$2:AF4),$AF$2:$AF$1001,0),0), INDEX($AM$1004:$BM$1004,1,MATCH(COLUMNS($AM$1006:BK1006),$AM$1006:$BM$1006,0)))),"Fix")))</f>
        <v xml:space="preserve"> </v>
      </c>
      <c r="AA4" s="4" t="str">
        <f ca="1">IF(OR(INDEX($AG$2:$AG$1001,MATCH(ROWS($AF$2:AF4),$AF$2:$AF$1001,0),1)&gt;=100000,INDEX($AM$1005:$BM$1005,1,MATCH(COLUMNS($AM$1006:BL1006),$AM$1006:$BM$1006,0))&gt;=100000), " ",IF(INDEX($AM$2:$BM$1001,MATCH(ROWS($AF$2:AF4),$AF$2:$AF$1001,0),MATCH(COLUMNS($AM$1006:BL1006),$AM$1006:$BM$1006,0)), HYPERLINK("#",""), HYPERLINK(CONCATENATE("#metadata!", ADDRESS(INDEX($AH$2:$AH$1001,MATCH(ROWS($AF$2:AF4),$AF$2:$AF$1001,0),0), INDEX($AM$1004:$BM$1004,1,MATCH(COLUMNS($AM$1006:BL1006),$AM$1006:$BM$1006,0)))),"Fix")))</f>
        <v xml:space="preserve"> </v>
      </c>
      <c r="AB4" s="4" t="str">
        <f ca="1">IF(OR(INDEX($AG$2:$AG$1001,MATCH(ROWS($AF$2:AF4),$AF$2:$AF$1001,0),1)&gt;=100000,INDEX($AM$1005:$BM$1005,1,MATCH(COLUMNS($AM$1006:BM1006),$AM$1006:$BM$1006,0))&gt;=100000), " ",IF(INDEX($AM$2:$BM$1001,MATCH(ROWS($AF$2:AF4),$AF$2:$AF$1001,0),MATCH(COLUMNS($AM$1006:BM1006),$AM$1006:$BM$1006,0)), HYPERLINK("#",""), HYPERLINK(CONCATENATE("#metadata!", ADDRESS(INDEX($AH$2:$AH$1001,MATCH(ROWS($AF$2:AF4),$AF$2:$AF$1001,0),0), INDEX($AM$1004:$BM$1004,1,MATCH(COLUMNS($AM$1006:BM1006),$AM$1006:$BM$1006,0)))),"Fix")))</f>
        <v xml:space="preserve"> </v>
      </c>
      <c r="AF4">
        <v>3</v>
      </c>
      <c r="AG4">
        <v>100004</v>
      </c>
      <c r="AH4">
        <v>4</v>
      </c>
      <c r="AI4" t="b">
        <f t="shared" si="0"/>
        <v>1</v>
      </c>
      <c r="AJ4" t="b">
        <f>COUNTBLANK(metadata!B4:AB4)=COLUMNS(metadata!B4:AB4)</f>
        <v>1</v>
      </c>
      <c r="AK4" t="str">
        <v/>
      </c>
      <c r="AM4" t="b">
        <f ca="1">AND(IF(metadata!B4="",FALSE,TRUE),COUNTIF(metadata!B:B, metadata!B4) = 1,NOT(ISERROR(SUMPRODUCT(SEARCH(MID(metadata!B4,ROW(INDIRECT("1:"&amp;LEN(metadata!B4))), 1),"0123456789abcdefghijklmnopqrstuvwxyzABCDEFGHIJKLMNOPQRSTUVWXYZ.")))))</f>
        <v>0</v>
      </c>
      <c r="AN4" t="b">
        <f ca="1">OR(AND(IF(metadata!C4="",FALSE,TRUE),OR(EXACT(metadata!C4,"missing: not collected"),EXACT(metadata!C4,"missing: not provided"),EXACT(metadata!C4,"missing: restricted access"))),AND(IF(metadata!C4="",FALSE,TRUE),AND(AND(IFERROR(INT(LEFT(metadata!C4,4))&gt;1900,FALSE),IFERROR(INT(LEFT(metadata!C4,4))&lt;=YEAR(NOW()),FALSE)), OR(MID(metadata!C4,5,1)="", AND(AND(MID(metadata!C4,5,1)="-",IFERROR(INT(MID(metadata!C4,6,1))&gt;=0,FALSE),IFERROR(INT(MID(metadata!C4,6,1))&lt;=1,FALSE),NOT(MID(metadata!C4,7,1)=""),IFERROR(INT(MID(metadata!C4,6,2))&gt;=1,FALSE),IFERROR(INT(MID(metadata!C4,6,2))&lt;=12,FALSE)), OR(MID(metadata!C4,8,1)="", AND(AND(MID(metadata!C4,8,1)="-",IFERROR(INT(MID(metadata!C4,9,1))&gt;=0,FALSE),IFERROR(INT(MID(metadata!C4,9,1))&lt;=3,FALSE),NOT(MID(metadata!C4,10,1)=""),IFERROR(INT(MID(metadata!C4,9,2))&gt;=1,FALSE),IFERROR(INT(MID(metadata!C4,9,2))&lt;=31,FALSE)), OR(MID(metadata!C4,11,1)="", AND(AND(MID(metadata!C4,11,1)=" ",IFERROR(INT(MID(metadata!C4,12,1))&gt;=0,FALSE),IFERROR(INT(MID(metadata!C4,12,1))&lt;=2,FALSE),NOT(MID(metadata!C4,13,1)=""),IFERROR(INT(MID(metadata!C4,12,2))&gt;=0,FALSE),IFERROR(INT(MID(metadata!C4,12,2))&lt;=23,FALSE)), OR(MID(metadata!C4,14,1)="", AND(AND(MID(metadata!C4,14,1)=":",IFERROR(INT(MID(metadata!C4,15,1))&gt;=0,FALSE),IFERROR(INT(MID(metadata!C4,15,1))&lt;=5,FALSE),NOT(MID(metadata!C4,16,1)=""),IFERROR(INT(MID(metadata!C4,15,2))&gt;=0,FALSE),IFERROR(INT(MID(metadata!C4,15,2))&lt;=59,FALSE)), OR(MID(metadata!C4,17,1)="", AND(AND(MID(metadata!C4,17,1)=":",IFERROR(INT(MID(metadata!C4,18,1))&gt;=0,FALSE),IFERROR(INT(MID(metadata!C4,18,1))&lt;=5,FALSE),NOT(MID(metadata!C4,19,1)=""),IFERROR(INT(MID(metadata!C4,18,2))&gt;=0,FALSE),IFERROR(INT(MID(metadata!C4,18,2))&lt;=59,FALSE)), LEN(metadata!C4)&lt;=19)))))))))))))</f>
        <v>0</v>
      </c>
      <c r="AO4" t="b">
        <f>AND(IF(metadata!D4="",FALSE,TRUE),EXACT(metadata!D4,"Not applicable"))</f>
        <v>0</v>
      </c>
      <c r="AP4" t="b">
        <f>IF(metadata!E4="",FALSE,TRUE)</f>
        <v>0</v>
      </c>
      <c r="AQ4" t="b">
        <f>OR(AND(IF(metadata!F4="",FALSE,TRUE),OR(EXACT(metadata!F4,"missing: not collected"),EXACT(metadata!F4,"missing: not provided"))),AND(IF(metadata!F4="",FALSE,TRUE),OR(EXACT(metadata!F4,"TRUE"),EXACT(metadata!F4,"FALSE"))))</f>
        <v>0</v>
      </c>
      <c r="AR4" t="b">
        <f>OR(AND(IF(metadata!G4="",FALSE,TRUE),OR(EXACT(metadata!G4,"missing: not collected"),EXACT(metadata!G4,"missing: not provided"),EXACT(metadata!G4,"missing: restricted access"))),AND(IF(metadata!G4="",FALSE,ISNUMBER(VALUE(metadata!G4))),metadata!G4&gt;=-413))</f>
        <v>0</v>
      </c>
      <c r="AS4" t="b">
        <f>AND(IF(metadata!H4="",FALSE,TRUE),EXACT(metadata!H4,"meters"))</f>
        <v>0</v>
      </c>
      <c r="AT4" t="b">
        <f>AND(IF(metadata!I4="",FALSE,TRUE),OR(EXACT(metadata!I4,"Host-associated"),EXACT(metadata!I4,"Free-living")))</f>
        <v>0</v>
      </c>
      <c r="AU4" t="b">
        <f>AND(IF(metadata!J4="",FALSE,TRUE),OR(EXACT(metadata!J4,"Animal"),EXACT(metadata!J4,"Fungus"),EXACT(metadata!J4,"Plant"),EXACT(metadata!J4,"Saline"),EXACT(metadata!J4,"Non-saline")))</f>
        <v>0</v>
      </c>
      <c r="AV4" t="b">
        <f>AND(IF(metadata!K4="",FALSE,TRUE),OR(EXACT(metadata!K4,"Plant secretion"),EXACT(metadata!K4,"Plant rhizosphere"),EXACT(metadata!K4,"Plant surface"),EXACT(metadata!K4,"Plant corpus"),EXACT(metadata!K4,"Fungus surface"),EXACT(metadata!K4,"Fungus corpus"),EXACT(metadata!K4,"Animal surface"),EXACT(metadata!K4,"Animal proximal gut"),EXACT(metadata!K4,"Animal corpus"),EXACT(metadata!K4,"Animal distal gut"),EXACT(metadata!K4,"Animal secretion"),EXACT(metadata!K4,"Sub-surface (non-saline)"),EXACT(metadata!K4,"Surface (non-saline)"),EXACT(metadata!K4,"Water (non-saline)"),EXACT(metadata!K4,"Soil (non-saline)"),EXACT(metadata!K4,"Aerosol (non-saline)"),EXACT(metadata!K4,"Sediment (non-saline)"),EXACT(metadata!K4,"Surface (saline)"),EXACT(metadata!K4,"Water (saline)"),EXACT(metadata!K4,"Hypersaline (saline)"),EXACT(metadata!K4,"Aerosol (saline)"),EXACT(metadata!K4,"Sediment (saline)")))</f>
        <v>0</v>
      </c>
      <c r="AW4" t="b">
        <f>IF(metadata!L4="",FALSE,TRUE)</f>
        <v>0</v>
      </c>
      <c r="AX4" t="b">
        <f>IF(metadata!M4="",FALSE,TRUE)</f>
        <v>0</v>
      </c>
      <c r="AY4" t="b">
        <f>IF(metadata!N4="",FALSE,TRUE)</f>
        <v>0</v>
      </c>
      <c r="AZ4" t="b">
        <f>OR(AND(IF(metadata!O4="",FALSE,TRUE),OR(EXACT(metadata!O4,"missing: not collected"),EXACT(metadata!O4,"missing: not provided"),EXACT(metadata!O4,"missing: restricted access"))),AND(IF(metadata!O4="",FALSE,TRUE),OR(EXACT(metadata!O4,"air"),EXACT(metadata!O4,"built environment"),EXACT(metadata!O4,"host-associated"),EXACT(metadata!O4,"human-associated"),EXACT(metadata!O4,"human-skin"),EXACT(metadata!O4,"human-oral"),EXACT(metadata!O4,"human-gut"),EXACT(metadata!O4,"human-vaginal"),EXACT(metadata!O4,"microbial mat/biofilm"),EXACT(metadata!O4,"misc environment"),EXACT(metadata!O4,"plant-associated"),EXACT(metadata!O4,"sediment"),EXACT(metadata!O4,"soil"),EXACT(metadata!O4,"wastewater/sludge"),EXACT(metadata!O4,"water"))))</f>
        <v>0</v>
      </c>
      <c r="BA4" t="b">
        <f>IF(metadata!P4="",FALSE,TRUE)</f>
        <v>0</v>
      </c>
      <c r="BB4" t="b">
        <f>IF(metadata!Q4="",FALSE,TRUE)</f>
        <v>0</v>
      </c>
      <c r="BC4" t="b">
        <f>OR(AND(IF(metadata!R4="",FALSE,TRUE),OR(EXACT(metadata!R4,"missing: not collected"),EXACT(metadata!R4,"missing: not provided"),EXACT(metadata!R4,"missing: restricted access"))),AND(IF(metadata!R4="",FALSE,ISNUMBER(VALUE(metadata!R4))),metadata!R4&gt;=-90,metadata!R4&lt;=90))</f>
        <v>0</v>
      </c>
      <c r="BD4" t="b">
        <f>AND(IF(metadata!S4="",FALSE,TRUE),EXACT(metadata!S4,"Decimal degrees"))</f>
        <v>0</v>
      </c>
      <c r="BE4" t="b">
        <f>OR(AND(IF(metadata!T4="",FALSE,TRUE),OR(EXACT(metadata!T4,"missing: not collected"),EXACT(metadata!T4,"missing: not provided"),EXACT(metadata!T4,"missing: restricted access"))),AND(IF(metadata!T4="",FALSE,ISNUMBER(VALUE(metadata!T4))),metadata!T4&gt;=-180,metadata!T4&lt;=180))</f>
        <v>0</v>
      </c>
      <c r="BF4" t="b">
        <f>AND(IF(metadata!U4="",FALSE,TRUE),EXACT(metadata!U4,"Decimal degrees"))</f>
        <v>0</v>
      </c>
      <c r="BG4" t="b">
        <f>IF(metadata!V4="",FALSE,TRUE)</f>
        <v>0</v>
      </c>
      <c r="BH4" t="b">
        <f>OR(AND(IF(metadata!W4="",FALSE,TRUE),OR(EXACT(metadata!W4,"missing: not collected"),EXACT(metadata!W4,"missing: not provided"),EXACT(metadata!W4,"missing: restricted access"))),AND(IF(metadata!W4="",FALSE,TRUE),OR(EXACT(metadata!W4,"TRUE"),EXACT(metadata!W4,"FALSE"))))</f>
        <v>0</v>
      </c>
      <c r="BI4" t="b">
        <f>AND(IF(metadata!X4="",FALSE,TRUE),EXACT(metadata!X4,"other"))</f>
        <v>0</v>
      </c>
      <c r="BJ4" t="b">
        <f>IF(metadata!Y4="",FALSE,TRUE)</f>
        <v>0</v>
      </c>
      <c r="BK4" t="b">
        <f>OR(AND(IF(metadata!Z4="",FALSE,TRUE),OR(EXACT(metadata!Z4,"missing: not collected"),EXACT(metadata!Z4,"missing: not provided"))),AND(IF(metadata!Z4="",FALSE,IF(ISERROR(INT(metadata!Z4)),FALSE,INT(metadata!Z4)=metadata!Z4)),metadata!Z4&gt;0))</f>
        <v>0</v>
      </c>
      <c r="BL4" t="b">
        <f>AND(IF(metadata!AA4="",FALSE,TRUE),EXACT(metadata!AA4,"Not applicable"))</f>
        <v>0</v>
      </c>
      <c r="BM4" t="b">
        <f>IF(metadata!AB4="",FALSE,TRUE)</f>
        <v>0</v>
      </c>
    </row>
    <row r="5" spans="1:65" x14ac:dyDescent="0.2">
      <c r="A5" s="5" t="str">
        <f ca="1">IF(B5=" "," ",HYPERLINK(CONCATENATE("#metadata!",ADDRESS(INDEX($AH$2:$AH$1001,MATCH(ROWS($AF$2:AF5),$AF$2:$AF$1001,0),0),1)),INDEX($AK$2:$AK$1001,MATCH(ROWS($AF$2:AF5),$AF$2:$AF$1001,0),0)))</f>
        <v xml:space="preserve"> </v>
      </c>
      <c r="B5" s="4" t="str">
        <f ca="1">IF(OR(INDEX($AG$2:$AG$1001,MATCH(ROWS($AF$2:AF5),$AF$2:$AF$1001,0),1)&gt;=100000,INDEX($AM$1005:$BM$1005,1,MATCH(COLUMNS($AM$1006:AM1006),$AM$1006:$BM$1006,0))&gt;=100000), " ",IF(INDEX($AM$2:$BM$1001,MATCH(ROWS($AF$2:AF5),$AF$2:$AF$1001,0),MATCH(COLUMNS($AM$1006:AM1006),$AM$1006:$BM$1006,0)), HYPERLINK("#",""), HYPERLINK(CONCATENATE("#metadata!", ADDRESS(INDEX($AH$2:$AH$1001,MATCH(ROWS($AF$2:AF5),$AF$2:$AF$1001,0),0), INDEX($AM$1004:$BM$1004,1,MATCH(COLUMNS($AM$1006:AM1006),$AM$1006:$BM$1006,0)))),"Fix")))</f>
        <v xml:space="preserve"> </v>
      </c>
      <c r="C5" s="4" t="str">
        <f ca="1">IF(OR(INDEX($AG$2:$AG$1001,MATCH(ROWS($AF$2:AF5),$AF$2:$AF$1001,0),1)&gt;=100000,INDEX($AM$1005:$BM$1005,1,MATCH(COLUMNS($AM$1006:AN1006),$AM$1006:$BM$1006,0))&gt;=100000), " ",IF(INDEX($AM$2:$BM$1001,MATCH(ROWS($AF$2:AF5),$AF$2:$AF$1001,0),MATCH(COLUMNS($AM$1006:AN1006),$AM$1006:$BM$1006,0)), HYPERLINK("#",""), HYPERLINK(CONCATENATE("#metadata!", ADDRESS(INDEX($AH$2:$AH$1001,MATCH(ROWS($AF$2:AF5),$AF$2:$AF$1001,0),0), INDEX($AM$1004:$BM$1004,1,MATCH(COLUMNS($AM$1006:AN1006),$AM$1006:$BM$1006,0)))),"Fix")))</f>
        <v xml:space="preserve"> </v>
      </c>
      <c r="D5" s="4" t="str">
        <f ca="1">IF(OR(INDEX($AG$2:$AG$1001,MATCH(ROWS($AF$2:AF5),$AF$2:$AF$1001,0),1)&gt;=100000,INDEX($AM$1005:$BM$1005,1,MATCH(COLUMNS($AM$1006:AO1006),$AM$1006:$BM$1006,0))&gt;=100000), " ",IF(INDEX($AM$2:$BM$1001,MATCH(ROWS($AF$2:AF5),$AF$2:$AF$1001,0),MATCH(COLUMNS($AM$1006:AO1006),$AM$1006:$BM$1006,0)), HYPERLINK("#",""), HYPERLINK(CONCATENATE("#metadata!", ADDRESS(INDEX($AH$2:$AH$1001,MATCH(ROWS($AF$2:AF5),$AF$2:$AF$1001,0),0), INDEX($AM$1004:$BM$1004,1,MATCH(COLUMNS($AM$1006:AO1006),$AM$1006:$BM$1006,0)))),"Fix")))</f>
        <v xml:space="preserve"> </v>
      </c>
      <c r="E5" s="4" t="str">
        <f ca="1">IF(OR(INDEX($AG$2:$AG$1001,MATCH(ROWS($AF$2:AF5),$AF$2:$AF$1001,0),1)&gt;=100000,INDEX($AM$1005:$BM$1005,1,MATCH(COLUMNS($AM$1006:AP1006),$AM$1006:$BM$1006,0))&gt;=100000), " ",IF(INDEX($AM$2:$BM$1001,MATCH(ROWS($AF$2:AF5),$AF$2:$AF$1001,0),MATCH(COLUMNS($AM$1006:AP1006),$AM$1006:$BM$1006,0)), HYPERLINK("#",""), HYPERLINK(CONCATENATE("#metadata!", ADDRESS(INDEX($AH$2:$AH$1001,MATCH(ROWS($AF$2:AF5),$AF$2:$AF$1001,0),0), INDEX($AM$1004:$BM$1004,1,MATCH(COLUMNS($AM$1006:AP1006),$AM$1006:$BM$1006,0)))),"Fix")))</f>
        <v xml:space="preserve"> </v>
      </c>
      <c r="F5" s="4" t="str">
        <f ca="1">IF(OR(INDEX($AG$2:$AG$1001,MATCH(ROWS($AF$2:AF5),$AF$2:$AF$1001,0),1)&gt;=100000,INDEX($AM$1005:$BM$1005,1,MATCH(COLUMNS($AM$1006:AQ1006),$AM$1006:$BM$1006,0))&gt;=100000), " ",IF(INDEX($AM$2:$BM$1001,MATCH(ROWS($AF$2:AF5),$AF$2:$AF$1001,0),MATCH(COLUMNS($AM$1006:AQ1006),$AM$1006:$BM$1006,0)), HYPERLINK("#",""), HYPERLINK(CONCATENATE("#metadata!", ADDRESS(INDEX($AH$2:$AH$1001,MATCH(ROWS($AF$2:AF5),$AF$2:$AF$1001,0),0), INDEX($AM$1004:$BM$1004,1,MATCH(COLUMNS($AM$1006:AQ1006),$AM$1006:$BM$1006,0)))),"Fix")))</f>
        <v xml:space="preserve"> </v>
      </c>
      <c r="G5" s="4" t="str">
        <f ca="1">IF(OR(INDEX($AG$2:$AG$1001,MATCH(ROWS($AF$2:AF5),$AF$2:$AF$1001,0),1)&gt;=100000,INDEX($AM$1005:$BM$1005,1,MATCH(COLUMNS($AM$1006:AR1006),$AM$1006:$BM$1006,0))&gt;=100000), " ",IF(INDEX($AM$2:$BM$1001,MATCH(ROWS($AF$2:AF5),$AF$2:$AF$1001,0),MATCH(COLUMNS($AM$1006:AR1006),$AM$1006:$BM$1006,0)), HYPERLINK("#",""), HYPERLINK(CONCATENATE("#metadata!", ADDRESS(INDEX($AH$2:$AH$1001,MATCH(ROWS($AF$2:AF5),$AF$2:$AF$1001,0),0), INDEX($AM$1004:$BM$1004,1,MATCH(COLUMNS($AM$1006:AR1006),$AM$1006:$BM$1006,0)))),"Fix")))</f>
        <v xml:space="preserve"> </v>
      </c>
      <c r="H5" s="4" t="str">
        <f ca="1">IF(OR(INDEX($AG$2:$AG$1001,MATCH(ROWS($AF$2:AF5),$AF$2:$AF$1001,0),1)&gt;=100000,INDEX($AM$1005:$BM$1005,1,MATCH(COLUMNS($AM$1006:AS1006),$AM$1006:$BM$1006,0))&gt;=100000), " ",IF(INDEX($AM$2:$BM$1001,MATCH(ROWS($AF$2:AF5),$AF$2:$AF$1001,0),MATCH(COLUMNS($AM$1006:AS1006),$AM$1006:$BM$1006,0)), HYPERLINK("#",""), HYPERLINK(CONCATENATE("#metadata!", ADDRESS(INDEX($AH$2:$AH$1001,MATCH(ROWS($AF$2:AF5),$AF$2:$AF$1001,0),0), INDEX($AM$1004:$BM$1004,1,MATCH(COLUMNS($AM$1006:AS1006),$AM$1006:$BM$1006,0)))),"Fix")))</f>
        <v xml:space="preserve"> </v>
      </c>
      <c r="I5" s="4" t="str">
        <f ca="1">IF(OR(INDEX($AG$2:$AG$1001,MATCH(ROWS($AF$2:AF5),$AF$2:$AF$1001,0),1)&gt;=100000,INDEX($AM$1005:$BM$1005,1,MATCH(COLUMNS($AM$1006:AT1006),$AM$1006:$BM$1006,0))&gt;=100000), " ",IF(INDEX($AM$2:$BM$1001,MATCH(ROWS($AF$2:AF5),$AF$2:$AF$1001,0),MATCH(COLUMNS($AM$1006:AT1006),$AM$1006:$BM$1006,0)), HYPERLINK("#",""), HYPERLINK(CONCATENATE("#metadata!", ADDRESS(INDEX($AH$2:$AH$1001,MATCH(ROWS($AF$2:AF5),$AF$2:$AF$1001,0),0), INDEX($AM$1004:$BM$1004,1,MATCH(COLUMNS($AM$1006:AT1006),$AM$1006:$BM$1006,0)))),"Fix")))</f>
        <v xml:space="preserve"> </v>
      </c>
      <c r="J5" s="4" t="str">
        <f ca="1">IF(OR(INDEX($AG$2:$AG$1001,MATCH(ROWS($AF$2:AF5),$AF$2:$AF$1001,0),1)&gt;=100000,INDEX($AM$1005:$BM$1005,1,MATCH(COLUMNS($AM$1006:AU1006),$AM$1006:$BM$1006,0))&gt;=100000), " ",IF(INDEX($AM$2:$BM$1001,MATCH(ROWS($AF$2:AF5),$AF$2:$AF$1001,0),MATCH(COLUMNS($AM$1006:AU1006),$AM$1006:$BM$1006,0)), HYPERLINK("#",""), HYPERLINK(CONCATENATE("#metadata!", ADDRESS(INDEX($AH$2:$AH$1001,MATCH(ROWS($AF$2:AF5),$AF$2:$AF$1001,0),0), INDEX($AM$1004:$BM$1004,1,MATCH(COLUMNS($AM$1006:AU1006),$AM$1006:$BM$1006,0)))),"Fix")))</f>
        <v xml:space="preserve"> </v>
      </c>
      <c r="K5" s="4" t="str">
        <f ca="1">IF(OR(INDEX($AG$2:$AG$1001,MATCH(ROWS($AF$2:AF5),$AF$2:$AF$1001,0),1)&gt;=100000,INDEX($AM$1005:$BM$1005,1,MATCH(COLUMNS($AM$1006:AV1006),$AM$1006:$BM$1006,0))&gt;=100000), " ",IF(INDEX($AM$2:$BM$1001,MATCH(ROWS($AF$2:AF5),$AF$2:$AF$1001,0),MATCH(COLUMNS($AM$1006:AV1006),$AM$1006:$BM$1006,0)), HYPERLINK("#",""), HYPERLINK(CONCATENATE("#metadata!", ADDRESS(INDEX($AH$2:$AH$1001,MATCH(ROWS($AF$2:AF5),$AF$2:$AF$1001,0),0), INDEX($AM$1004:$BM$1004,1,MATCH(COLUMNS($AM$1006:AV1006),$AM$1006:$BM$1006,0)))),"Fix")))</f>
        <v xml:space="preserve"> </v>
      </c>
      <c r="L5" s="4" t="str">
        <f ca="1">IF(OR(INDEX($AG$2:$AG$1001,MATCH(ROWS($AF$2:AF5),$AF$2:$AF$1001,0),1)&gt;=100000,INDEX($AM$1005:$BM$1005,1,MATCH(COLUMNS($AM$1006:AW1006),$AM$1006:$BM$1006,0))&gt;=100000), " ",IF(INDEX($AM$2:$BM$1001,MATCH(ROWS($AF$2:AF5),$AF$2:$AF$1001,0),MATCH(COLUMNS($AM$1006:AW1006),$AM$1006:$BM$1006,0)), HYPERLINK("#",""), HYPERLINK(CONCATENATE("#metadata!", ADDRESS(INDEX($AH$2:$AH$1001,MATCH(ROWS($AF$2:AF5),$AF$2:$AF$1001,0),0), INDEX($AM$1004:$BM$1004,1,MATCH(COLUMNS($AM$1006:AW1006),$AM$1006:$BM$1006,0)))),"Fix")))</f>
        <v xml:space="preserve"> </v>
      </c>
      <c r="M5" s="4" t="str">
        <f ca="1">IF(OR(INDEX($AG$2:$AG$1001,MATCH(ROWS($AF$2:AF5),$AF$2:$AF$1001,0),1)&gt;=100000,INDEX($AM$1005:$BM$1005,1,MATCH(COLUMNS($AM$1006:AX1006),$AM$1006:$BM$1006,0))&gt;=100000), " ",IF(INDEX($AM$2:$BM$1001,MATCH(ROWS($AF$2:AF5),$AF$2:$AF$1001,0),MATCH(COLUMNS($AM$1006:AX1006),$AM$1006:$BM$1006,0)), HYPERLINK("#",""), HYPERLINK(CONCATENATE("#metadata!", ADDRESS(INDEX($AH$2:$AH$1001,MATCH(ROWS($AF$2:AF5),$AF$2:$AF$1001,0),0), INDEX($AM$1004:$BM$1004,1,MATCH(COLUMNS($AM$1006:AX1006),$AM$1006:$BM$1006,0)))),"Fix")))</f>
        <v xml:space="preserve"> </v>
      </c>
      <c r="N5" s="4" t="str">
        <f ca="1">IF(OR(INDEX($AG$2:$AG$1001,MATCH(ROWS($AF$2:AF5),$AF$2:$AF$1001,0),1)&gt;=100000,INDEX($AM$1005:$BM$1005,1,MATCH(COLUMNS($AM$1006:AY1006),$AM$1006:$BM$1006,0))&gt;=100000), " ",IF(INDEX($AM$2:$BM$1001,MATCH(ROWS($AF$2:AF5),$AF$2:$AF$1001,0),MATCH(COLUMNS($AM$1006:AY1006),$AM$1006:$BM$1006,0)), HYPERLINK("#",""), HYPERLINK(CONCATENATE("#metadata!", ADDRESS(INDEX($AH$2:$AH$1001,MATCH(ROWS($AF$2:AF5),$AF$2:$AF$1001,0),0), INDEX($AM$1004:$BM$1004,1,MATCH(COLUMNS($AM$1006:AY1006),$AM$1006:$BM$1006,0)))),"Fix")))</f>
        <v xml:space="preserve"> </v>
      </c>
      <c r="O5" s="4" t="str">
        <f ca="1">IF(OR(INDEX($AG$2:$AG$1001,MATCH(ROWS($AF$2:AF5),$AF$2:$AF$1001,0),1)&gt;=100000,INDEX($AM$1005:$BM$1005,1,MATCH(COLUMNS($AM$1006:AZ1006),$AM$1006:$BM$1006,0))&gt;=100000), " ",IF(INDEX($AM$2:$BM$1001,MATCH(ROWS($AF$2:AF5),$AF$2:$AF$1001,0),MATCH(COLUMNS($AM$1006:AZ1006),$AM$1006:$BM$1006,0)), HYPERLINK("#",""), HYPERLINK(CONCATENATE("#metadata!", ADDRESS(INDEX($AH$2:$AH$1001,MATCH(ROWS($AF$2:AF5),$AF$2:$AF$1001,0),0), INDEX($AM$1004:$BM$1004,1,MATCH(COLUMNS($AM$1006:AZ1006),$AM$1006:$BM$1006,0)))),"Fix")))</f>
        <v xml:space="preserve"> </v>
      </c>
      <c r="P5" s="4" t="str">
        <f ca="1">IF(OR(INDEX($AG$2:$AG$1001,MATCH(ROWS($AF$2:AF5),$AF$2:$AF$1001,0),1)&gt;=100000,INDEX($AM$1005:$BM$1005,1,MATCH(COLUMNS($AM$1006:BA1006),$AM$1006:$BM$1006,0))&gt;=100000), " ",IF(INDEX($AM$2:$BM$1001,MATCH(ROWS($AF$2:AF5),$AF$2:$AF$1001,0),MATCH(COLUMNS($AM$1006:BA1006),$AM$1006:$BM$1006,0)), HYPERLINK("#",""), HYPERLINK(CONCATENATE("#metadata!", ADDRESS(INDEX($AH$2:$AH$1001,MATCH(ROWS($AF$2:AF5),$AF$2:$AF$1001,0),0), INDEX($AM$1004:$BM$1004,1,MATCH(COLUMNS($AM$1006:BA1006),$AM$1006:$BM$1006,0)))),"Fix")))</f>
        <v xml:space="preserve"> </v>
      </c>
      <c r="Q5" s="4" t="str">
        <f ca="1">IF(OR(INDEX($AG$2:$AG$1001,MATCH(ROWS($AF$2:AF5),$AF$2:$AF$1001,0),1)&gt;=100000,INDEX($AM$1005:$BM$1005,1,MATCH(COLUMNS($AM$1006:BB1006),$AM$1006:$BM$1006,0))&gt;=100000), " ",IF(INDEX($AM$2:$BM$1001,MATCH(ROWS($AF$2:AF5),$AF$2:$AF$1001,0),MATCH(COLUMNS($AM$1006:BB1006),$AM$1006:$BM$1006,0)), HYPERLINK("#",""), HYPERLINK(CONCATENATE("#metadata!", ADDRESS(INDEX($AH$2:$AH$1001,MATCH(ROWS($AF$2:AF5),$AF$2:$AF$1001,0),0), INDEX($AM$1004:$BM$1004,1,MATCH(COLUMNS($AM$1006:BB1006),$AM$1006:$BM$1006,0)))),"Fix")))</f>
        <v xml:space="preserve"> </v>
      </c>
      <c r="R5" s="4" t="str">
        <f ca="1">IF(OR(INDEX($AG$2:$AG$1001,MATCH(ROWS($AF$2:AF5),$AF$2:$AF$1001,0),1)&gt;=100000,INDEX($AM$1005:$BM$1005,1,MATCH(COLUMNS($AM$1006:BC1006),$AM$1006:$BM$1006,0))&gt;=100000), " ",IF(INDEX($AM$2:$BM$1001,MATCH(ROWS($AF$2:AF5),$AF$2:$AF$1001,0),MATCH(COLUMNS($AM$1006:BC1006),$AM$1006:$BM$1006,0)), HYPERLINK("#",""), HYPERLINK(CONCATENATE("#metadata!", ADDRESS(INDEX($AH$2:$AH$1001,MATCH(ROWS($AF$2:AF5),$AF$2:$AF$1001,0),0), INDEX($AM$1004:$BM$1004,1,MATCH(COLUMNS($AM$1006:BC1006),$AM$1006:$BM$1006,0)))),"Fix")))</f>
        <v xml:space="preserve"> </v>
      </c>
      <c r="S5" s="4" t="str">
        <f ca="1">IF(OR(INDEX($AG$2:$AG$1001,MATCH(ROWS($AF$2:AF5),$AF$2:$AF$1001,0),1)&gt;=100000,INDEX($AM$1005:$BM$1005,1,MATCH(COLUMNS($AM$1006:BD1006),$AM$1006:$BM$1006,0))&gt;=100000), " ",IF(INDEX($AM$2:$BM$1001,MATCH(ROWS($AF$2:AF5),$AF$2:$AF$1001,0),MATCH(COLUMNS($AM$1006:BD1006),$AM$1006:$BM$1006,0)), HYPERLINK("#",""), HYPERLINK(CONCATENATE("#metadata!", ADDRESS(INDEX($AH$2:$AH$1001,MATCH(ROWS($AF$2:AF5),$AF$2:$AF$1001,0),0), INDEX($AM$1004:$BM$1004,1,MATCH(COLUMNS($AM$1006:BD1006),$AM$1006:$BM$1006,0)))),"Fix")))</f>
        <v xml:space="preserve"> </v>
      </c>
      <c r="T5" s="4" t="str">
        <f ca="1">IF(OR(INDEX($AG$2:$AG$1001,MATCH(ROWS($AF$2:AF5),$AF$2:$AF$1001,0),1)&gt;=100000,INDEX($AM$1005:$BM$1005,1,MATCH(COLUMNS($AM$1006:BE1006),$AM$1006:$BM$1006,0))&gt;=100000), " ",IF(INDEX($AM$2:$BM$1001,MATCH(ROWS($AF$2:AF5),$AF$2:$AF$1001,0),MATCH(COLUMNS($AM$1006:BE1006),$AM$1006:$BM$1006,0)), HYPERLINK("#",""), HYPERLINK(CONCATENATE("#metadata!", ADDRESS(INDEX($AH$2:$AH$1001,MATCH(ROWS($AF$2:AF5),$AF$2:$AF$1001,0),0), INDEX($AM$1004:$BM$1004,1,MATCH(COLUMNS($AM$1006:BE1006),$AM$1006:$BM$1006,0)))),"Fix")))</f>
        <v xml:space="preserve"> </v>
      </c>
      <c r="U5" s="4" t="str">
        <f ca="1">IF(OR(INDEX($AG$2:$AG$1001,MATCH(ROWS($AF$2:AF5),$AF$2:$AF$1001,0),1)&gt;=100000,INDEX($AM$1005:$BM$1005,1,MATCH(COLUMNS($AM$1006:BF1006),$AM$1006:$BM$1006,0))&gt;=100000), " ",IF(INDEX($AM$2:$BM$1001,MATCH(ROWS($AF$2:AF5),$AF$2:$AF$1001,0),MATCH(COLUMNS($AM$1006:BF1006),$AM$1006:$BM$1006,0)), HYPERLINK("#",""), HYPERLINK(CONCATENATE("#metadata!", ADDRESS(INDEX($AH$2:$AH$1001,MATCH(ROWS($AF$2:AF5),$AF$2:$AF$1001,0),0), INDEX($AM$1004:$BM$1004,1,MATCH(COLUMNS($AM$1006:BF1006),$AM$1006:$BM$1006,0)))),"Fix")))</f>
        <v xml:space="preserve"> </v>
      </c>
      <c r="V5" s="4" t="str">
        <f ca="1">IF(OR(INDEX($AG$2:$AG$1001,MATCH(ROWS($AF$2:AF5),$AF$2:$AF$1001,0),1)&gt;=100000,INDEX($AM$1005:$BM$1005,1,MATCH(COLUMNS($AM$1006:BG1006),$AM$1006:$BM$1006,0))&gt;=100000), " ",IF(INDEX($AM$2:$BM$1001,MATCH(ROWS($AF$2:AF5),$AF$2:$AF$1001,0),MATCH(COLUMNS($AM$1006:BG1006),$AM$1006:$BM$1006,0)), HYPERLINK("#",""), HYPERLINK(CONCATENATE("#metadata!", ADDRESS(INDEX($AH$2:$AH$1001,MATCH(ROWS($AF$2:AF5),$AF$2:$AF$1001,0),0), INDEX($AM$1004:$BM$1004,1,MATCH(COLUMNS($AM$1006:BG1006),$AM$1006:$BM$1006,0)))),"Fix")))</f>
        <v xml:space="preserve"> </v>
      </c>
      <c r="W5" s="4" t="str">
        <f ca="1">IF(OR(INDEX($AG$2:$AG$1001,MATCH(ROWS($AF$2:AF5),$AF$2:$AF$1001,0),1)&gt;=100000,INDEX($AM$1005:$BM$1005,1,MATCH(COLUMNS($AM$1006:BH1006),$AM$1006:$BM$1006,0))&gt;=100000), " ",IF(INDEX($AM$2:$BM$1001,MATCH(ROWS($AF$2:AF5),$AF$2:$AF$1001,0),MATCH(COLUMNS($AM$1006:BH1006),$AM$1006:$BM$1006,0)), HYPERLINK("#",""), HYPERLINK(CONCATENATE("#metadata!", ADDRESS(INDEX($AH$2:$AH$1001,MATCH(ROWS($AF$2:AF5),$AF$2:$AF$1001,0),0), INDEX($AM$1004:$BM$1004,1,MATCH(COLUMNS($AM$1006:BH1006),$AM$1006:$BM$1006,0)))),"Fix")))</f>
        <v xml:space="preserve"> </v>
      </c>
      <c r="X5" s="4" t="str">
        <f ca="1">IF(OR(INDEX($AG$2:$AG$1001,MATCH(ROWS($AF$2:AF5),$AF$2:$AF$1001,0),1)&gt;=100000,INDEX($AM$1005:$BM$1005,1,MATCH(COLUMNS($AM$1006:BI1006),$AM$1006:$BM$1006,0))&gt;=100000), " ",IF(INDEX($AM$2:$BM$1001,MATCH(ROWS($AF$2:AF5),$AF$2:$AF$1001,0),MATCH(COLUMNS($AM$1006:BI1006),$AM$1006:$BM$1006,0)), HYPERLINK("#",""), HYPERLINK(CONCATENATE("#metadata!", ADDRESS(INDEX($AH$2:$AH$1001,MATCH(ROWS($AF$2:AF5),$AF$2:$AF$1001,0),0), INDEX($AM$1004:$BM$1004,1,MATCH(COLUMNS($AM$1006:BI1006),$AM$1006:$BM$1006,0)))),"Fix")))</f>
        <v xml:space="preserve"> </v>
      </c>
      <c r="Y5" s="4" t="str">
        <f ca="1">IF(OR(INDEX($AG$2:$AG$1001,MATCH(ROWS($AF$2:AF5),$AF$2:$AF$1001,0),1)&gt;=100000,INDEX($AM$1005:$BM$1005,1,MATCH(COLUMNS($AM$1006:BJ1006),$AM$1006:$BM$1006,0))&gt;=100000), " ",IF(INDEX($AM$2:$BM$1001,MATCH(ROWS($AF$2:AF5),$AF$2:$AF$1001,0),MATCH(COLUMNS($AM$1006:BJ1006),$AM$1006:$BM$1006,0)), HYPERLINK("#",""), HYPERLINK(CONCATENATE("#metadata!", ADDRESS(INDEX($AH$2:$AH$1001,MATCH(ROWS($AF$2:AF5),$AF$2:$AF$1001,0),0), INDEX($AM$1004:$BM$1004,1,MATCH(COLUMNS($AM$1006:BJ1006),$AM$1006:$BM$1006,0)))),"Fix")))</f>
        <v xml:space="preserve"> </v>
      </c>
      <c r="Z5" s="4" t="str">
        <f ca="1">IF(OR(INDEX($AG$2:$AG$1001,MATCH(ROWS($AF$2:AF5),$AF$2:$AF$1001,0),1)&gt;=100000,INDEX($AM$1005:$BM$1005,1,MATCH(COLUMNS($AM$1006:BK1006),$AM$1006:$BM$1006,0))&gt;=100000), " ",IF(INDEX($AM$2:$BM$1001,MATCH(ROWS($AF$2:AF5),$AF$2:$AF$1001,0),MATCH(COLUMNS($AM$1006:BK1006),$AM$1006:$BM$1006,0)), HYPERLINK("#",""), HYPERLINK(CONCATENATE("#metadata!", ADDRESS(INDEX($AH$2:$AH$1001,MATCH(ROWS($AF$2:AF5),$AF$2:$AF$1001,0),0), INDEX($AM$1004:$BM$1004,1,MATCH(COLUMNS($AM$1006:BK1006),$AM$1006:$BM$1006,0)))),"Fix")))</f>
        <v xml:space="preserve"> </v>
      </c>
      <c r="AA5" s="4" t="str">
        <f ca="1">IF(OR(INDEX($AG$2:$AG$1001,MATCH(ROWS($AF$2:AF5),$AF$2:$AF$1001,0),1)&gt;=100000,INDEX($AM$1005:$BM$1005,1,MATCH(COLUMNS($AM$1006:BL1006),$AM$1006:$BM$1006,0))&gt;=100000), " ",IF(INDEX($AM$2:$BM$1001,MATCH(ROWS($AF$2:AF5),$AF$2:$AF$1001,0),MATCH(COLUMNS($AM$1006:BL1006),$AM$1006:$BM$1006,0)), HYPERLINK("#",""), HYPERLINK(CONCATENATE("#metadata!", ADDRESS(INDEX($AH$2:$AH$1001,MATCH(ROWS($AF$2:AF5),$AF$2:$AF$1001,0),0), INDEX($AM$1004:$BM$1004,1,MATCH(COLUMNS($AM$1006:BL1006),$AM$1006:$BM$1006,0)))),"Fix")))</f>
        <v xml:space="preserve"> </v>
      </c>
      <c r="AB5" s="4" t="str">
        <f ca="1">IF(OR(INDEX($AG$2:$AG$1001,MATCH(ROWS($AF$2:AF5),$AF$2:$AF$1001,0),1)&gt;=100000,INDEX($AM$1005:$BM$1005,1,MATCH(COLUMNS($AM$1006:BM1006),$AM$1006:$BM$1006,0))&gt;=100000), " ",IF(INDEX($AM$2:$BM$1001,MATCH(ROWS($AF$2:AF5),$AF$2:$AF$1001,0),MATCH(COLUMNS($AM$1006:BM1006),$AM$1006:$BM$1006,0)), HYPERLINK("#",""), HYPERLINK(CONCATENATE("#metadata!", ADDRESS(INDEX($AH$2:$AH$1001,MATCH(ROWS($AF$2:AF5),$AF$2:$AF$1001,0),0), INDEX($AM$1004:$BM$1004,1,MATCH(COLUMNS($AM$1006:BM1006),$AM$1006:$BM$1006,0)))),"Fix")))</f>
        <v xml:space="preserve"> </v>
      </c>
      <c r="AF5">
        <v>4</v>
      </c>
      <c r="AG5">
        <v>100005</v>
      </c>
      <c r="AH5">
        <v>5</v>
      </c>
      <c r="AI5" t="b">
        <f t="shared" si="0"/>
        <v>1</v>
      </c>
      <c r="AJ5" t="b">
        <f>COUNTBLANK(metadata!B5:AB5)=COLUMNS(metadata!B5:AB5)</f>
        <v>1</v>
      </c>
      <c r="AK5" t="str">
        <v/>
      </c>
      <c r="AM5" t="b">
        <f ca="1">AND(IF(metadata!B5="",FALSE,TRUE),COUNTIF(metadata!B:B, metadata!B5) = 1,NOT(ISERROR(SUMPRODUCT(SEARCH(MID(metadata!B5,ROW(INDIRECT("1:"&amp;LEN(metadata!B5))), 1),"0123456789abcdefghijklmnopqrstuvwxyzABCDEFGHIJKLMNOPQRSTUVWXYZ.")))))</f>
        <v>0</v>
      </c>
      <c r="AN5" t="b">
        <f ca="1">OR(AND(IF(metadata!C5="",FALSE,TRUE),OR(EXACT(metadata!C5,"missing: not collected"),EXACT(metadata!C5,"missing: not provided"),EXACT(metadata!C5,"missing: restricted access"))),AND(IF(metadata!C5="",FALSE,TRUE),AND(AND(IFERROR(INT(LEFT(metadata!C5,4))&gt;1900,FALSE),IFERROR(INT(LEFT(metadata!C5,4))&lt;=YEAR(NOW()),FALSE)), OR(MID(metadata!C5,5,1)="", AND(AND(MID(metadata!C5,5,1)="-",IFERROR(INT(MID(metadata!C5,6,1))&gt;=0,FALSE),IFERROR(INT(MID(metadata!C5,6,1))&lt;=1,FALSE),NOT(MID(metadata!C5,7,1)=""),IFERROR(INT(MID(metadata!C5,6,2))&gt;=1,FALSE),IFERROR(INT(MID(metadata!C5,6,2))&lt;=12,FALSE)), OR(MID(metadata!C5,8,1)="", AND(AND(MID(metadata!C5,8,1)="-",IFERROR(INT(MID(metadata!C5,9,1))&gt;=0,FALSE),IFERROR(INT(MID(metadata!C5,9,1))&lt;=3,FALSE),NOT(MID(metadata!C5,10,1)=""),IFERROR(INT(MID(metadata!C5,9,2))&gt;=1,FALSE),IFERROR(INT(MID(metadata!C5,9,2))&lt;=31,FALSE)), OR(MID(metadata!C5,11,1)="", AND(AND(MID(metadata!C5,11,1)=" ",IFERROR(INT(MID(metadata!C5,12,1))&gt;=0,FALSE),IFERROR(INT(MID(metadata!C5,12,1))&lt;=2,FALSE),NOT(MID(metadata!C5,13,1)=""),IFERROR(INT(MID(metadata!C5,12,2))&gt;=0,FALSE),IFERROR(INT(MID(metadata!C5,12,2))&lt;=23,FALSE)), OR(MID(metadata!C5,14,1)="", AND(AND(MID(metadata!C5,14,1)=":",IFERROR(INT(MID(metadata!C5,15,1))&gt;=0,FALSE),IFERROR(INT(MID(metadata!C5,15,1))&lt;=5,FALSE),NOT(MID(metadata!C5,16,1)=""),IFERROR(INT(MID(metadata!C5,15,2))&gt;=0,FALSE),IFERROR(INT(MID(metadata!C5,15,2))&lt;=59,FALSE)), OR(MID(metadata!C5,17,1)="", AND(AND(MID(metadata!C5,17,1)=":",IFERROR(INT(MID(metadata!C5,18,1))&gt;=0,FALSE),IFERROR(INT(MID(metadata!C5,18,1))&lt;=5,FALSE),NOT(MID(metadata!C5,19,1)=""),IFERROR(INT(MID(metadata!C5,18,2))&gt;=0,FALSE),IFERROR(INT(MID(metadata!C5,18,2))&lt;=59,FALSE)), LEN(metadata!C5)&lt;=19)))))))))))))</f>
        <v>0</v>
      </c>
      <c r="AO5" t="b">
        <f>AND(IF(metadata!D5="",FALSE,TRUE),EXACT(metadata!D5,"Not applicable"))</f>
        <v>0</v>
      </c>
      <c r="AP5" t="b">
        <f>IF(metadata!E5="",FALSE,TRUE)</f>
        <v>0</v>
      </c>
      <c r="AQ5" t="b">
        <f>OR(AND(IF(metadata!F5="",FALSE,TRUE),OR(EXACT(metadata!F5,"missing: not collected"),EXACT(metadata!F5,"missing: not provided"))),AND(IF(metadata!F5="",FALSE,TRUE),OR(EXACT(metadata!F5,"TRUE"),EXACT(metadata!F5,"FALSE"))))</f>
        <v>0</v>
      </c>
      <c r="AR5" t="b">
        <f>OR(AND(IF(metadata!G5="",FALSE,TRUE),OR(EXACT(metadata!G5,"missing: not collected"),EXACT(metadata!G5,"missing: not provided"),EXACT(metadata!G5,"missing: restricted access"))),AND(IF(metadata!G5="",FALSE,ISNUMBER(VALUE(metadata!G5))),metadata!G5&gt;=-413))</f>
        <v>0</v>
      </c>
      <c r="AS5" t="b">
        <f>AND(IF(metadata!H5="",FALSE,TRUE),EXACT(metadata!H5,"meters"))</f>
        <v>0</v>
      </c>
      <c r="AT5" t="b">
        <f>AND(IF(metadata!I5="",FALSE,TRUE),OR(EXACT(metadata!I5,"Host-associated"),EXACT(metadata!I5,"Free-living")))</f>
        <v>0</v>
      </c>
      <c r="AU5" t="b">
        <f>AND(IF(metadata!J5="",FALSE,TRUE),OR(EXACT(metadata!J5,"Animal"),EXACT(metadata!J5,"Fungus"),EXACT(metadata!J5,"Plant"),EXACT(metadata!J5,"Saline"),EXACT(metadata!J5,"Non-saline")))</f>
        <v>0</v>
      </c>
      <c r="AV5" t="b">
        <f>AND(IF(metadata!K5="",FALSE,TRUE),OR(EXACT(metadata!K5,"Plant secretion"),EXACT(metadata!K5,"Plant rhizosphere"),EXACT(metadata!K5,"Plant surface"),EXACT(metadata!K5,"Plant corpus"),EXACT(metadata!K5,"Fungus surface"),EXACT(metadata!K5,"Fungus corpus"),EXACT(metadata!K5,"Animal surface"),EXACT(metadata!K5,"Animal proximal gut"),EXACT(metadata!K5,"Animal corpus"),EXACT(metadata!K5,"Animal distal gut"),EXACT(metadata!K5,"Animal secretion"),EXACT(metadata!K5,"Sub-surface (non-saline)"),EXACT(metadata!K5,"Surface (non-saline)"),EXACT(metadata!K5,"Water (non-saline)"),EXACT(metadata!K5,"Soil (non-saline)"),EXACT(metadata!K5,"Aerosol (non-saline)"),EXACT(metadata!K5,"Sediment (non-saline)"),EXACT(metadata!K5,"Surface (saline)"),EXACT(metadata!K5,"Water (saline)"),EXACT(metadata!K5,"Hypersaline (saline)"),EXACT(metadata!K5,"Aerosol (saline)"),EXACT(metadata!K5,"Sediment (saline)")))</f>
        <v>0</v>
      </c>
      <c r="AW5" t="b">
        <f>IF(metadata!L5="",FALSE,TRUE)</f>
        <v>0</v>
      </c>
      <c r="AX5" t="b">
        <f>IF(metadata!M5="",FALSE,TRUE)</f>
        <v>0</v>
      </c>
      <c r="AY5" t="b">
        <f>IF(metadata!N5="",FALSE,TRUE)</f>
        <v>0</v>
      </c>
      <c r="AZ5" t="b">
        <f>OR(AND(IF(metadata!O5="",FALSE,TRUE),OR(EXACT(metadata!O5,"missing: not collected"),EXACT(metadata!O5,"missing: not provided"),EXACT(metadata!O5,"missing: restricted access"))),AND(IF(metadata!O5="",FALSE,TRUE),OR(EXACT(metadata!O5,"air"),EXACT(metadata!O5,"built environment"),EXACT(metadata!O5,"host-associated"),EXACT(metadata!O5,"human-associated"),EXACT(metadata!O5,"human-skin"),EXACT(metadata!O5,"human-oral"),EXACT(metadata!O5,"human-gut"),EXACT(metadata!O5,"human-vaginal"),EXACT(metadata!O5,"microbial mat/biofilm"),EXACT(metadata!O5,"misc environment"),EXACT(metadata!O5,"plant-associated"),EXACT(metadata!O5,"sediment"),EXACT(metadata!O5,"soil"),EXACT(metadata!O5,"wastewater/sludge"),EXACT(metadata!O5,"water"))))</f>
        <v>0</v>
      </c>
      <c r="BA5" t="b">
        <f>IF(metadata!P5="",FALSE,TRUE)</f>
        <v>0</v>
      </c>
      <c r="BB5" t="b">
        <f>IF(metadata!Q5="",FALSE,TRUE)</f>
        <v>0</v>
      </c>
      <c r="BC5" t="b">
        <f>OR(AND(IF(metadata!R5="",FALSE,TRUE),OR(EXACT(metadata!R5,"missing: not collected"),EXACT(metadata!R5,"missing: not provided"),EXACT(metadata!R5,"missing: restricted access"))),AND(IF(metadata!R5="",FALSE,ISNUMBER(VALUE(metadata!R5))),metadata!R5&gt;=-90,metadata!R5&lt;=90))</f>
        <v>0</v>
      </c>
      <c r="BD5" t="b">
        <f>AND(IF(metadata!S5="",FALSE,TRUE),EXACT(metadata!S5,"Decimal degrees"))</f>
        <v>0</v>
      </c>
      <c r="BE5" t="b">
        <f>OR(AND(IF(metadata!T5="",FALSE,TRUE),OR(EXACT(metadata!T5,"missing: not collected"),EXACT(metadata!T5,"missing: not provided"),EXACT(metadata!T5,"missing: restricted access"))),AND(IF(metadata!T5="",FALSE,ISNUMBER(VALUE(metadata!T5))),metadata!T5&gt;=-180,metadata!T5&lt;=180))</f>
        <v>0</v>
      </c>
      <c r="BF5" t="b">
        <f>AND(IF(metadata!U5="",FALSE,TRUE),EXACT(metadata!U5,"Decimal degrees"))</f>
        <v>0</v>
      </c>
      <c r="BG5" t="b">
        <f>IF(metadata!V5="",FALSE,TRUE)</f>
        <v>0</v>
      </c>
      <c r="BH5" t="b">
        <f>OR(AND(IF(metadata!W5="",FALSE,TRUE),OR(EXACT(metadata!W5,"missing: not collected"),EXACT(metadata!W5,"missing: not provided"),EXACT(metadata!W5,"missing: restricted access"))),AND(IF(metadata!W5="",FALSE,TRUE),OR(EXACT(metadata!W5,"TRUE"),EXACT(metadata!W5,"FALSE"))))</f>
        <v>0</v>
      </c>
      <c r="BI5" t="b">
        <f>AND(IF(metadata!X5="",FALSE,TRUE),EXACT(metadata!X5,"other"))</f>
        <v>0</v>
      </c>
      <c r="BJ5" t="b">
        <f>IF(metadata!Y5="",FALSE,TRUE)</f>
        <v>0</v>
      </c>
      <c r="BK5" t="b">
        <f>OR(AND(IF(metadata!Z5="",FALSE,TRUE),OR(EXACT(metadata!Z5,"missing: not collected"),EXACT(metadata!Z5,"missing: not provided"))),AND(IF(metadata!Z5="",FALSE,IF(ISERROR(INT(metadata!Z5)),FALSE,INT(metadata!Z5)=metadata!Z5)),metadata!Z5&gt;0))</f>
        <v>0</v>
      </c>
      <c r="BL5" t="b">
        <f>AND(IF(metadata!AA5="",FALSE,TRUE),EXACT(metadata!AA5,"Not applicable"))</f>
        <v>0</v>
      </c>
      <c r="BM5" t="b">
        <f>IF(metadata!AB5="",FALSE,TRUE)</f>
        <v>0</v>
      </c>
    </row>
    <row r="6" spans="1:65" x14ac:dyDescent="0.2">
      <c r="A6" s="5" t="str">
        <f ca="1">IF(B6=" "," ",HYPERLINK(CONCATENATE("#metadata!",ADDRESS(INDEX($AH$2:$AH$1001,MATCH(ROWS($AF$2:AF6),$AF$2:$AF$1001,0),0),1)),INDEX($AK$2:$AK$1001,MATCH(ROWS($AF$2:AF6),$AF$2:$AF$1001,0),0)))</f>
        <v xml:space="preserve"> </v>
      </c>
      <c r="B6" s="4" t="str">
        <f ca="1">IF(OR(INDEX($AG$2:$AG$1001,MATCH(ROWS($AF$2:AF6),$AF$2:$AF$1001,0),1)&gt;=100000,INDEX($AM$1005:$BM$1005,1,MATCH(COLUMNS($AM$1006:AM1006),$AM$1006:$BM$1006,0))&gt;=100000), " ",IF(INDEX($AM$2:$BM$1001,MATCH(ROWS($AF$2:AF6),$AF$2:$AF$1001,0),MATCH(COLUMNS($AM$1006:AM1006),$AM$1006:$BM$1006,0)), HYPERLINK("#",""), HYPERLINK(CONCATENATE("#metadata!", ADDRESS(INDEX($AH$2:$AH$1001,MATCH(ROWS($AF$2:AF6),$AF$2:$AF$1001,0),0), INDEX($AM$1004:$BM$1004,1,MATCH(COLUMNS($AM$1006:AM1006),$AM$1006:$BM$1006,0)))),"Fix")))</f>
        <v xml:space="preserve"> </v>
      </c>
      <c r="C6" s="4" t="str">
        <f ca="1">IF(OR(INDEX($AG$2:$AG$1001,MATCH(ROWS($AF$2:AF6),$AF$2:$AF$1001,0),1)&gt;=100000,INDEX($AM$1005:$BM$1005,1,MATCH(COLUMNS($AM$1006:AN1006),$AM$1006:$BM$1006,0))&gt;=100000), " ",IF(INDEX($AM$2:$BM$1001,MATCH(ROWS($AF$2:AF6),$AF$2:$AF$1001,0),MATCH(COLUMNS($AM$1006:AN1006),$AM$1006:$BM$1006,0)), HYPERLINK("#",""), HYPERLINK(CONCATENATE("#metadata!", ADDRESS(INDEX($AH$2:$AH$1001,MATCH(ROWS($AF$2:AF6),$AF$2:$AF$1001,0),0), INDEX($AM$1004:$BM$1004,1,MATCH(COLUMNS($AM$1006:AN1006),$AM$1006:$BM$1006,0)))),"Fix")))</f>
        <v xml:space="preserve"> </v>
      </c>
      <c r="D6" s="4" t="str">
        <f ca="1">IF(OR(INDEX($AG$2:$AG$1001,MATCH(ROWS($AF$2:AF6),$AF$2:$AF$1001,0),1)&gt;=100000,INDEX($AM$1005:$BM$1005,1,MATCH(COLUMNS($AM$1006:AO1006),$AM$1006:$BM$1006,0))&gt;=100000), " ",IF(INDEX($AM$2:$BM$1001,MATCH(ROWS($AF$2:AF6),$AF$2:$AF$1001,0),MATCH(COLUMNS($AM$1006:AO1006),$AM$1006:$BM$1006,0)), HYPERLINK("#",""), HYPERLINK(CONCATENATE("#metadata!", ADDRESS(INDEX($AH$2:$AH$1001,MATCH(ROWS($AF$2:AF6),$AF$2:$AF$1001,0),0), INDEX($AM$1004:$BM$1004,1,MATCH(COLUMNS($AM$1006:AO1006),$AM$1006:$BM$1006,0)))),"Fix")))</f>
        <v xml:space="preserve"> </v>
      </c>
      <c r="E6" s="4" t="str">
        <f ca="1">IF(OR(INDEX($AG$2:$AG$1001,MATCH(ROWS($AF$2:AF6),$AF$2:$AF$1001,0),1)&gt;=100000,INDEX($AM$1005:$BM$1005,1,MATCH(COLUMNS($AM$1006:AP1006),$AM$1006:$BM$1006,0))&gt;=100000), " ",IF(INDEX($AM$2:$BM$1001,MATCH(ROWS($AF$2:AF6),$AF$2:$AF$1001,0),MATCH(COLUMNS($AM$1006:AP1006),$AM$1006:$BM$1006,0)), HYPERLINK("#",""), HYPERLINK(CONCATENATE("#metadata!", ADDRESS(INDEX($AH$2:$AH$1001,MATCH(ROWS($AF$2:AF6),$AF$2:$AF$1001,0),0), INDEX($AM$1004:$BM$1004,1,MATCH(COLUMNS($AM$1006:AP1006),$AM$1006:$BM$1006,0)))),"Fix")))</f>
        <v xml:space="preserve"> </v>
      </c>
      <c r="F6" s="4" t="str">
        <f ca="1">IF(OR(INDEX($AG$2:$AG$1001,MATCH(ROWS($AF$2:AF6),$AF$2:$AF$1001,0),1)&gt;=100000,INDEX($AM$1005:$BM$1005,1,MATCH(COLUMNS($AM$1006:AQ1006),$AM$1006:$BM$1006,0))&gt;=100000), " ",IF(INDEX($AM$2:$BM$1001,MATCH(ROWS($AF$2:AF6),$AF$2:$AF$1001,0),MATCH(COLUMNS($AM$1006:AQ1006),$AM$1006:$BM$1006,0)), HYPERLINK("#",""), HYPERLINK(CONCATENATE("#metadata!", ADDRESS(INDEX($AH$2:$AH$1001,MATCH(ROWS($AF$2:AF6),$AF$2:$AF$1001,0),0), INDEX($AM$1004:$BM$1004,1,MATCH(COLUMNS($AM$1006:AQ1006),$AM$1006:$BM$1006,0)))),"Fix")))</f>
        <v xml:space="preserve"> </v>
      </c>
      <c r="G6" s="4" t="str">
        <f ca="1">IF(OR(INDEX($AG$2:$AG$1001,MATCH(ROWS($AF$2:AF6),$AF$2:$AF$1001,0),1)&gt;=100000,INDEX($AM$1005:$BM$1005,1,MATCH(COLUMNS($AM$1006:AR1006),$AM$1006:$BM$1006,0))&gt;=100000), " ",IF(INDEX($AM$2:$BM$1001,MATCH(ROWS($AF$2:AF6),$AF$2:$AF$1001,0),MATCH(COLUMNS($AM$1006:AR1006),$AM$1006:$BM$1006,0)), HYPERLINK("#",""), HYPERLINK(CONCATENATE("#metadata!", ADDRESS(INDEX($AH$2:$AH$1001,MATCH(ROWS($AF$2:AF6),$AF$2:$AF$1001,0),0), INDEX($AM$1004:$BM$1004,1,MATCH(COLUMNS($AM$1006:AR1006),$AM$1006:$BM$1006,0)))),"Fix")))</f>
        <v xml:space="preserve"> </v>
      </c>
      <c r="H6" s="4" t="str">
        <f ca="1">IF(OR(INDEX($AG$2:$AG$1001,MATCH(ROWS($AF$2:AF6),$AF$2:$AF$1001,0),1)&gt;=100000,INDEX($AM$1005:$BM$1005,1,MATCH(COLUMNS($AM$1006:AS1006),$AM$1006:$BM$1006,0))&gt;=100000), " ",IF(INDEX($AM$2:$BM$1001,MATCH(ROWS($AF$2:AF6),$AF$2:$AF$1001,0),MATCH(COLUMNS($AM$1006:AS1006),$AM$1006:$BM$1006,0)), HYPERLINK("#",""), HYPERLINK(CONCATENATE("#metadata!", ADDRESS(INDEX($AH$2:$AH$1001,MATCH(ROWS($AF$2:AF6),$AF$2:$AF$1001,0),0), INDEX($AM$1004:$BM$1004,1,MATCH(COLUMNS($AM$1006:AS1006),$AM$1006:$BM$1006,0)))),"Fix")))</f>
        <v xml:space="preserve"> </v>
      </c>
      <c r="I6" s="4" t="str">
        <f ca="1">IF(OR(INDEX($AG$2:$AG$1001,MATCH(ROWS($AF$2:AF6),$AF$2:$AF$1001,0),1)&gt;=100000,INDEX($AM$1005:$BM$1005,1,MATCH(COLUMNS($AM$1006:AT1006),$AM$1006:$BM$1006,0))&gt;=100000), " ",IF(INDEX($AM$2:$BM$1001,MATCH(ROWS($AF$2:AF6),$AF$2:$AF$1001,0),MATCH(COLUMNS($AM$1006:AT1006),$AM$1006:$BM$1006,0)), HYPERLINK("#",""), HYPERLINK(CONCATENATE("#metadata!", ADDRESS(INDEX($AH$2:$AH$1001,MATCH(ROWS($AF$2:AF6),$AF$2:$AF$1001,0),0), INDEX($AM$1004:$BM$1004,1,MATCH(COLUMNS($AM$1006:AT1006),$AM$1006:$BM$1006,0)))),"Fix")))</f>
        <v xml:space="preserve"> </v>
      </c>
      <c r="J6" s="4" t="str">
        <f ca="1">IF(OR(INDEX($AG$2:$AG$1001,MATCH(ROWS($AF$2:AF6),$AF$2:$AF$1001,0),1)&gt;=100000,INDEX($AM$1005:$BM$1005,1,MATCH(COLUMNS($AM$1006:AU1006),$AM$1006:$BM$1006,0))&gt;=100000), " ",IF(INDEX($AM$2:$BM$1001,MATCH(ROWS($AF$2:AF6),$AF$2:$AF$1001,0),MATCH(COLUMNS($AM$1006:AU1006),$AM$1006:$BM$1006,0)), HYPERLINK("#",""), HYPERLINK(CONCATENATE("#metadata!", ADDRESS(INDEX($AH$2:$AH$1001,MATCH(ROWS($AF$2:AF6),$AF$2:$AF$1001,0),0), INDEX($AM$1004:$BM$1004,1,MATCH(COLUMNS($AM$1006:AU1006),$AM$1006:$BM$1006,0)))),"Fix")))</f>
        <v xml:space="preserve"> </v>
      </c>
      <c r="K6" s="4" t="str">
        <f ca="1">IF(OR(INDEX($AG$2:$AG$1001,MATCH(ROWS($AF$2:AF6),$AF$2:$AF$1001,0),1)&gt;=100000,INDEX($AM$1005:$BM$1005,1,MATCH(COLUMNS($AM$1006:AV1006),$AM$1006:$BM$1006,0))&gt;=100000), " ",IF(INDEX($AM$2:$BM$1001,MATCH(ROWS($AF$2:AF6),$AF$2:$AF$1001,0),MATCH(COLUMNS($AM$1006:AV1006),$AM$1006:$BM$1006,0)), HYPERLINK("#",""), HYPERLINK(CONCATENATE("#metadata!", ADDRESS(INDEX($AH$2:$AH$1001,MATCH(ROWS($AF$2:AF6),$AF$2:$AF$1001,0),0), INDEX($AM$1004:$BM$1004,1,MATCH(COLUMNS($AM$1006:AV1006),$AM$1006:$BM$1006,0)))),"Fix")))</f>
        <v xml:space="preserve"> </v>
      </c>
      <c r="L6" s="4" t="str">
        <f ca="1">IF(OR(INDEX($AG$2:$AG$1001,MATCH(ROWS($AF$2:AF6),$AF$2:$AF$1001,0),1)&gt;=100000,INDEX($AM$1005:$BM$1005,1,MATCH(COLUMNS($AM$1006:AW1006),$AM$1006:$BM$1006,0))&gt;=100000), " ",IF(INDEX($AM$2:$BM$1001,MATCH(ROWS($AF$2:AF6),$AF$2:$AF$1001,0),MATCH(COLUMNS($AM$1006:AW1006),$AM$1006:$BM$1006,0)), HYPERLINK("#",""), HYPERLINK(CONCATENATE("#metadata!", ADDRESS(INDEX($AH$2:$AH$1001,MATCH(ROWS($AF$2:AF6),$AF$2:$AF$1001,0),0), INDEX($AM$1004:$BM$1004,1,MATCH(COLUMNS($AM$1006:AW1006),$AM$1006:$BM$1006,0)))),"Fix")))</f>
        <v xml:space="preserve"> </v>
      </c>
      <c r="M6" s="4" t="str">
        <f ca="1">IF(OR(INDEX($AG$2:$AG$1001,MATCH(ROWS($AF$2:AF6),$AF$2:$AF$1001,0),1)&gt;=100000,INDEX($AM$1005:$BM$1005,1,MATCH(COLUMNS($AM$1006:AX1006),$AM$1006:$BM$1006,0))&gt;=100000), " ",IF(INDEX($AM$2:$BM$1001,MATCH(ROWS($AF$2:AF6),$AF$2:$AF$1001,0),MATCH(COLUMNS($AM$1006:AX1006),$AM$1006:$BM$1006,0)), HYPERLINK("#",""), HYPERLINK(CONCATENATE("#metadata!", ADDRESS(INDEX($AH$2:$AH$1001,MATCH(ROWS($AF$2:AF6),$AF$2:$AF$1001,0),0), INDEX($AM$1004:$BM$1004,1,MATCH(COLUMNS($AM$1006:AX1006),$AM$1006:$BM$1006,0)))),"Fix")))</f>
        <v xml:space="preserve"> </v>
      </c>
      <c r="N6" s="4" t="str">
        <f ca="1">IF(OR(INDEX($AG$2:$AG$1001,MATCH(ROWS($AF$2:AF6),$AF$2:$AF$1001,0),1)&gt;=100000,INDEX($AM$1005:$BM$1005,1,MATCH(COLUMNS($AM$1006:AY1006),$AM$1006:$BM$1006,0))&gt;=100000), " ",IF(INDEX($AM$2:$BM$1001,MATCH(ROWS($AF$2:AF6),$AF$2:$AF$1001,0),MATCH(COLUMNS($AM$1006:AY1006),$AM$1006:$BM$1006,0)), HYPERLINK("#",""), HYPERLINK(CONCATENATE("#metadata!", ADDRESS(INDEX($AH$2:$AH$1001,MATCH(ROWS($AF$2:AF6),$AF$2:$AF$1001,0),0), INDEX($AM$1004:$BM$1004,1,MATCH(COLUMNS($AM$1006:AY1006),$AM$1006:$BM$1006,0)))),"Fix")))</f>
        <v xml:space="preserve"> </v>
      </c>
      <c r="O6" s="4" t="str">
        <f ca="1">IF(OR(INDEX($AG$2:$AG$1001,MATCH(ROWS($AF$2:AF6),$AF$2:$AF$1001,0),1)&gt;=100000,INDEX($AM$1005:$BM$1005,1,MATCH(COLUMNS($AM$1006:AZ1006),$AM$1006:$BM$1006,0))&gt;=100000), " ",IF(INDEX($AM$2:$BM$1001,MATCH(ROWS($AF$2:AF6),$AF$2:$AF$1001,0),MATCH(COLUMNS($AM$1006:AZ1006),$AM$1006:$BM$1006,0)), HYPERLINK("#",""), HYPERLINK(CONCATENATE("#metadata!", ADDRESS(INDEX($AH$2:$AH$1001,MATCH(ROWS($AF$2:AF6),$AF$2:$AF$1001,0),0), INDEX($AM$1004:$BM$1004,1,MATCH(COLUMNS($AM$1006:AZ1006),$AM$1006:$BM$1006,0)))),"Fix")))</f>
        <v xml:space="preserve"> </v>
      </c>
      <c r="P6" s="4" t="str">
        <f ca="1">IF(OR(INDEX($AG$2:$AG$1001,MATCH(ROWS($AF$2:AF6),$AF$2:$AF$1001,0),1)&gt;=100000,INDEX($AM$1005:$BM$1005,1,MATCH(COLUMNS($AM$1006:BA1006),$AM$1006:$BM$1006,0))&gt;=100000), " ",IF(INDEX($AM$2:$BM$1001,MATCH(ROWS($AF$2:AF6),$AF$2:$AF$1001,0),MATCH(COLUMNS($AM$1006:BA1006),$AM$1006:$BM$1006,0)), HYPERLINK("#",""), HYPERLINK(CONCATENATE("#metadata!", ADDRESS(INDEX($AH$2:$AH$1001,MATCH(ROWS($AF$2:AF6),$AF$2:$AF$1001,0),0), INDEX($AM$1004:$BM$1004,1,MATCH(COLUMNS($AM$1006:BA1006),$AM$1006:$BM$1006,0)))),"Fix")))</f>
        <v xml:space="preserve"> </v>
      </c>
      <c r="Q6" s="4" t="str">
        <f ca="1">IF(OR(INDEX($AG$2:$AG$1001,MATCH(ROWS($AF$2:AF6),$AF$2:$AF$1001,0),1)&gt;=100000,INDEX($AM$1005:$BM$1005,1,MATCH(COLUMNS($AM$1006:BB1006),$AM$1006:$BM$1006,0))&gt;=100000), " ",IF(INDEX($AM$2:$BM$1001,MATCH(ROWS($AF$2:AF6),$AF$2:$AF$1001,0),MATCH(COLUMNS($AM$1006:BB1006),$AM$1006:$BM$1006,0)), HYPERLINK("#",""), HYPERLINK(CONCATENATE("#metadata!", ADDRESS(INDEX($AH$2:$AH$1001,MATCH(ROWS($AF$2:AF6),$AF$2:$AF$1001,0),0), INDEX($AM$1004:$BM$1004,1,MATCH(COLUMNS($AM$1006:BB1006),$AM$1006:$BM$1006,0)))),"Fix")))</f>
        <v xml:space="preserve"> </v>
      </c>
      <c r="R6" s="4" t="str">
        <f ca="1">IF(OR(INDEX($AG$2:$AG$1001,MATCH(ROWS($AF$2:AF6),$AF$2:$AF$1001,0),1)&gt;=100000,INDEX($AM$1005:$BM$1005,1,MATCH(COLUMNS($AM$1006:BC1006),$AM$1006:$BM$1006,0))&gt;=100000), " ",IF(INDEX($AM$2:$BM$1001,MATCH(ROWS($AF$2:AF6),$AF$2:$AF$1001,0),MATCH(COLUMNS($AM$1006:BC1006),$AM$1006:$BM$1006,0)), HYPERLINK("#",""), HYPERLINK(CONCATENATE("#metadata!", ADDRESS(INDEX($AH$2:$AH$1001,MATCH(ROWS($AF$2:AF6),$AF$2:$AF$1001,0),0), INDEX($AM$1004:$BM$1004,1,MATCH(COLUMNS($AM$1006:BC1006),$AM$1006:$BM$1006,0)))),"Fix")))</f>
        <v xml:space="preserve"> </v>
      </c>
      <c r="S6" s="4" t="str">
        <f ca="1">IF(OR(INDEX($AG$2:$AG$1001,MATCH(ROWS($AF$2:AF6),$AF$2:$AF$1001,0),1)&gt;=100000,INDEX($AM$1005:$BM$1005,1,MATCH(COLUMNS($AM$1006:BD1006),$AM$1006:$BM$1006,0))&gt;=100000), " ",IF(INDEX($AM$2:$BM$1001,MATCH(ROWS($AF$2:AF6),$AF$2:$AF$1001,0),MATCH(COLUMNS($AM$1006:BD1006),$AM$1006:$BM$1006,0)), HYPERLINK("#",""), HYPERLINK(CONCATENATE("#metadata!", ADDRESS(INDEX($AH$2:$AH$1001,MATCH(ROWS($AF$2:AF6),$AF$2:$AF$1001,0),0), INDEX($AM$1004:$BM$1004,1,MATCH(COLUMNS($AM$1006:BD1006),$AM$1006:$BM$1006,0)))),"Fix")))</f>
        <v xml:space="preserve"> </v>
      </c>
      <c r="T6" s="4" t="str">
        <f ca="1">IF(OR(INDEX($AG$2:$AG$1001,MATCH(ROWS($AF$2:AF6),$AF$2:$AF$1001,0),1)&gt;=100000,INDEX($AM$1005:$BM$1005,1,MATCH(COLUMNS($AM$1006:BE1006),$AM$1006:$BM$1006,0))&gt;=100000), " ",IF(INDEX($AM$2:$BM$1001,MATCH(ROWS($AF$2:AF6),$AF$2:$AF$1001,0),MATCH(COLUMNS($AM$1006:BE1006),$AM$1006:$BM$1006,0)), HYPERLINK("#",""), HYPERLINK(CONCATENATE("#metadata!", ADDRESS(INDEX($AH$2:$AH$1001,MATCH(ROWS($AF$2:AF6),$AF$2:$AF$1001,0),0), INDEX($AM$1004:$BM$1004,1,MATCH(COLUMNS($AM$1006:BE1006),$AM$1006:$BM$1006,0)))),"Fix")))</f>
        <v xml:space="preserve"> </v>
      </c>
      <c r="U6" s="4" t="str">
        <f ca="1">IF(OR(INDEX($AG$2:$AG$1001,MATCH(ROWS($AF$2:AF6),$AF$2:$AF$1001,0),1)&gt;=100000,INDEX($AM$1005:$BM$1005,1,MATCH(COLUMNS($AM$1006:BF1006),$AM$1006:$BM$1006,0))&gt;=100000), " ",IF(INDEX($AM$2:$BM$1001,MATCH(ROWS($AF$2:AF6),$AF$2:$AF$1001,0),MATCH(COLUMNS($AM$1006:BF1006),$AM$1006:$BM$1006,0)), HYPERLINK("#",""), HYPERLINK(CONCATENATE("#metadata!", ADDRESS(INDEX($AH$2:$AH$1001,MATCH(ROWS($AF$2:AF6),$AF$2:$AF$1001,0),0), INDEX($AM$1004:$BM$1004,1,MATCH(COLUMNS($AM$1006:BF1006),$AM$1006:$BM$1006,0)))),"Fix")))</f>
        <v xml:space="preserve"> </v>
      </c>
      <c r="V6" s="4" t="str">
        <f ca="1">IF(OR(INDEX($AG$2:$AG$1001,MATCH(ROWS($AF$2:AF6),$AF$2:$AF$1001,0),1)&gt;=100000,INDEX($AM$1005:$BM$1005,1,MATCH(COLUMNS($AM$1006:BG1006),$AM$1006:$BM$1006,0))&gt;=100000), " ",IF(INDEX($AM$2:$BM$1001,MATCH(ROWS($AF$2:AF6),$AF$2:$AF$1001,0),MATCH(COLUMNS($AM$1006:BG1006),$AM$1006:$BM$1006,0)), HYPERLINK("#",""), HYPERLINK(CONCATENATE("#metadata!", ADDRESS(INDEX($AH$2:$AH$1001,MATCH(ROWS($AF$2:AF6),$AF$2:$AF$1001,0),0), INDEX($AM$1004:$BM$1004,1,MATCH(COLUMNS($AM$1006:BG1006),$AM$1006:$BM$1006,0)))),"Fix")))</f>
        <v xml:space="preserve"> </v>
      </c>
      <c r="W6" s="4" t="str">
        <f ca="1">IF(OR(INDEX($AG$2:$AG$1001,MATCH(ROWS($AF$2:AF6),$AF$2:$AF$1001,0),1)&gt;=100000,INDEX($AM$1005:$BM$1005,1,MATCH(COLUMNS($AM$1006:BH1006),$AM$1006:$BM$1006,0))&gt;=100000), " ",IF(INDEX($AM$2:$BM$1001,MATCH(ROWS($AF$2:AF6),$AF$2:$AF$1001,0),MATCH(COLUMNS($AM$1006:BH1006),$AM$1006:$BM$1006,0)), HYPERLINK("#",""), HYPERLINK(CONCATENATE("#metadata!", ADDRESS(INDEX($AH$2:$AH$1001,MATCH(ROWS($AF$2:AF6),$AF$2:$AF$1001,0),0), INDEX($AM$1004:$BM$1004,1,MATCH(COLUMNS($AM$1006:BH1006),$AM$1006:$BM$1006,0)))),"Fix")))</f>
        <v xml:space="preserve"> </v>
      </c>
      <c r="X6" s="4" t="str">
        <f ca="1">IF(OR(INDEX($AG$2:$AG$1001,MATCH(ROWS($AF$2:AF6),$AF$2:$AF$1001,0),1)&gt;=100000,INDEX($AM$1005:$BM$1005,1,MATCH(COLUMNS($AM$1006:BI1006),$AM$1006:$BM$1006,0))&gt;=100000), " ",IF(INDEX($AM$2:$BM$1001,MATCH(ROWS($AF$2:AF6),$AF$2:$AF$1001,0),MATCH(COLUMNS($AM$1006:BI1006),$AM$1006:$BM$1006,0)), HYPERLINK("#",""), HYPERLINK(CONCATENATE("#metadata!", ADDRESS(INDEX($AH$2:$AH$1001,MATCH(ROWS($AF$2:AF6),$AF$2:$AF$1001,0),0), INDEX($AM$1004:$BM$1004,1,MATCH(COLUMNS($AM$1006:BI1006),$AM$1006:$BM$1006,0)))),"Fix")))</f>
        <v xml:space="preserve"> </v>
      </c>
      <c r="Y6" s="4" t="str">
        <f ca="1">IF(OR(INDEX($AG$2:$AG$1001,MATCH(ROWS($AF$2:AF6),$AF$2:$AF$1001,0),1)&gt;=100000,INDEX($AM$1005:$BM$1005,1,MATCH(COLUMNS($AM$1006:BJ1006),$AM$1006:$BM$1006,0))&gt;=100000), " ",IF(INDEX($AM$2:$BM$1001,MATCH(ROWS($AF$2:AF6),$AF$2:$AF$1001,0),MATCH(COLUMNS($AM$1006:BJ1006),$AM$1006:$BM$1006,0)), HYPERLINK("#",""), HYPERLINK(CONCATENATE("#metadata!", ADDRESS(INDEX($AH$2:$AH$1001,MATCH(ROWS($AF$2:AF6),$AF$2:$AF$1001,0),0), INDEX($AM$1004:$BM$1004,1,MATCH(COLUMNS($AM$1006:BJ1006),$AM$1006:$BM$1006,0)))),"Fix")))</f>
        <v xml:space="preserve"> </v>
      </c>
      <c r="Z6" s="4" t="str">
        <f ca="1">IF(OR(INDEX($AG$2:$AG$1001,MATCH(ROWS($AF$2:AF6),$AF$2:$AF$1001,0),1)&gt;=100000,INDEX($AM$1005:$BM$1005,1,MATCH(COLUMNS($AM$1006:BK1006),$AM$1006:$BM$1006,0))&gt;=100000), " ",IF(INDEX($AM$2:$BM$1001,MATCH(ROWS($AF$2:AF6),$AF$2:$AF$1001,0),MATCH(COLUMNS($AM$1006:BK1006),$AM$1006:$BM$1006,0)), HYPERLINK("#",""), HYPERLINK(CONCATENATE("#metadata!", ADDRESS(INDEX($AH$2:$AH$1001,MATCH(ROWS($AF$2:AF6),$AF$2:$AF$1001,0),0), INDEX($AM$1004:$BM$1004,1,MATCH(COLUMNS($AM$1006:BK1006),$AM$1006:$BM$1006,0)))),"Fix")))</f>
        <v xml:space="preserve"> </v>
      </c>
      <c r="AA6" s="4" t="str">
        <f ca="1">IF(OR(INDEX($AG$2:$AG$1001,MATCH(ROWS($AF$2:AF6),$AF$2:$AF$1001,0),1)&gt;=100000,INDEX($AM$1005:$BM$1005,1,MATCH(COLUMNS($AM$1006:BL1006),$AM$1006:$BM$1006,0))&gt;=100000), " ",IF(INDEX($AM$2:$BM$1001,MATCH(ROWS($AF$2:AF6),$AF$2:$AF$1001,0),MATCH(COLUMNS($AM$1006:BL1006),$AM$1006:$BM$1006,0)), HYPERLINK("#",""), HYPERLINK(CONCATENATE("#metadata!", ADDRESS(INDEX($AH$2:$AH$1001,MATCH(ROWS($AF$2:AF6),$AF$2:$AF$1001,0),0), INDEX($AM$1004:$BM$1004,1,MATCH(COLUMNS($AM$1006:BL1006),$AM$1006:$BM$1006,0)))),"Fix")))</f>
        <v xml:space="preserve"> </v>
      </c>
      <c r="AB6" s="4" t="str">
        <f ca="1">IF(OR(INDEX($AG$2:$AG$1001,MATCH(ROWS($AF$2:AF6),$AF$2:$AF$1001,0),1)&gt;=100000,INDEX($AM$1005:$BM$1005,1,MATCH(COLUMNS($AM$1006:BM1006),$AM$1006:$BM$1006,0))&gt;=100000), " ",IF(INDEX($AM$2:$BM$1001,MATCH(ROWS($AF$2:AF6),$AF$2:$AF$1001,0),MATCH(COLUMNS($AM$1006:BM1006),$AM$1006:$BM$1006,0)), HYPERLINK("#",""), HYPERLINK(CONCATENATE("#metadata!", ADDRESS(INDEX($AH$2:$AH$1001,MATCH(ROWS($AF$2:AF6),$AF$2:$AF$1001,0),0), INDEX($AM$1004:$BM$1004,1,MATCH(COLUMNS($AM$1006:BM1006),$AM$1006:$BM$1006,0)))),"Fix")))</f>
        <v xml:space="preserve"> </v>
      </c>
      <c r="AF6">
        <v>5</v>
      </c>
      <c r="AG6">
        <v>100006</v>
      </c>
      <c r="AH6">
        <v>6</v>
      </c>
      <c r="AI6" t="b">
        <f t="shared" si="0"/>
        <v>1</v>
      </c>
      <c r="AJ6" t="b">
        <f>COUNTBLANK(metadata!B6:AB6)=COLUMNS(metadata!B6:AB6)</f>
        <v>1</v>
      </c>
      <c r="AK6" t="str">
        <v/>
      </c>
      <c r="AM6" t="b">
        <f ca="1">AND(IF(metadata!B6="",FALSE,TRUE),COUNTIF(metadata!B:B, metadata!B6) = 1,NOT(ISERROR(SUMPRODUCT(SEARCH(MID(metadata!B6,ROW(INDIRECT("1:"&amp;LEN(metadata!B6))), 1),"0123456789abcdefghijklmnopqrstuvwxyzABCDEFGHIJKLMNOPQRSTUVWXYZ.")))))</f>
        <v>0</v>
      </c>
      <c r="AN6" t="b">
        <f ca="1">OR(AND(IF(metadata!C6="",FALSE,TRUE),OR(EXACT(metadata!C6,"missing: not collected"),EXACT(metadata!C6,"missing: not provided"),EXACT(metadata!C6,"missing: restricted access"))),AND(IF(metadata!C6="",FALSE,TRUE),AND(AND(IFERROR(INT(LEFT(metadata!C6,4))&gt;1900,FALSE),IFERROR(INT(LEFT(metadata!C6,4))&lt;=YEAR(NOW()),FALSE)), OR(MID(metadata!C6,5,1)="", AND(AND(MID(metadata!C6,5,1)="-",IFERROR(INT(MID(metadata!C6,6,1))&gt;=0,FALSE),IFERROR(INT(MID(metadata!C6,6,1))&lt;=1,FALSE),NOT(MID(metadata!C6,7,1)=""),IFERROR(INT(MID(metadata!C6,6,2))&gt;=1,FALSE),IFERROR(INT(MID(metadata!C6,6,2))&lt;=12,FALSE)), OR(MID(metadata!C6,8,1)="", AND(AND(MID(metadata!C6,8,1)="-",IFERROR(INT(MID(metadata!C6,9,1))&gt;=0,FALSE),IFERROR(INT(MID(metadata!C6,9,1))&lt;=3,FALSE),NOT(MID(metadata!C6,10,1)=""),IFERROR(INT(MID(metadata!C6,9,2))&gt;=1,FALSE),IFERROR(INT(MID(metadata!C6,9,2))&lt;=31,FALSE)), OR(MID(metadata!C6,11,1)="", AND(AND(MID(metadata!C6,11,1)=" ",IFERROR(INT(MID(metadata!C6,12,1))&gt;=0,FALSE),IFERROR(INT(MID(metadata!C6,12,1))&lt;=2,FALSE),NOT(MID(metadata!C6,13,1)=""),IFERROR(INT(MID(metadata!C6,12,2))&gt;=0,FALSE),IFERROR(INT(MID(metadata!C6,12,2))&lt;=23,FALSE)), OR(MID(metadata!C6,14,1)="", AND(AND(MID(metadata!C6,14,1)=":",IFERROR(INT(MID(metadata!C6,15,1))&gt;=0,FALSE),IFERROR(INT(MID(metadata!C6,15,1))&lt;=5,FALSE),NOT(MID(metadata!C6,16,1)=""),IFERROR(INT(MID(metadata!C6,15,2))&gt;=0,FALSE),IFERROR(INT(MID(metadata!C6,15,2))&lt;=59,FALSE)), OR(MID(metadata!C6,17,1)="", AND(AND(MID(metadata!C6,17,1)=":",IFERROR(INT(MID(metadata!C6,18,1))&gt;=0,FALSE),IFERROR(INT(MID(metadata!C6,18,1))&lt;=5,FALSE),NOT(MID(metadata!C6,19,1)=""),IFERROR(INT(MID(metadata!C6,18,2))&gt;=0,FALSE),IFERROR(INT(MID(metadata!C6,18,2))&lt;=59,FALSE)), LEN(metadata!C6)&lt;=19)))))))))))))</f>
        <v>0</v>
      </c>
      <c r="AO6" t="b">
        <f>AND(IF(metadata!D6="",FALSE,TRUE),EXACT(metadata!D6,"Not applicable"))</f>
        <v>0</v>
      </c>
      <c r="AP6" t="b">
        <f>IF(metadata!E6="",FALSE,TRUE)</f>
        <v>0</v>
      </c>
      <c r="AQ6" t="b">
        <f>OR(AND(IF(metadata!F6="",FALSE,TRUE),OR(EXACT(metadata!F6,"missing: not collected"),EXACT(metadata!F6,"missing: not provided"))),AND(IF(metadata!F6="",FALSE,TRUE),OR(EXACT(metadata!F6,"TRUE"),EXACT(metadata!F6,"FALSE"))))</f>
        <v>0</v>
      </c>
      <c r="AR6" t="b">
        <f>OR(AND(IF(metadata!G6="",FALSE,TRUE),OR(EXACT(metadata!G6,"missing: not collected"),EXACT(metadata!G6,"missing: not provided"),EXACT(metadata!G6,"missing: restricted access"))),AND(IF(metadata!G6="",FALSE,ISNUMBER(VALUE(metadata!G6))),metadata!G6&gt;=-413))</f>
        <v>0</v>
      </c>
      <c r="AS6" t="b">
        <f>AND(IF(metadata!H6="",FALSE,TRUE),EXACT(metadata!H6,"meters"))</f>
        <v>0</v>
      </c>
      <c r="AT6" t="b">
        <f>AND(IF(metadata!I6="",FALSE,TRUE),OR(EXACT(metadata!I6,"Host-associated"),EXACT(metadata!I6,"Free-living")))</f>
        <v>0</v>
      </c>
      <c r="AU6" t="b">
        <f>AND(IF(metadata!J6="",FALSE,TRUE),OR(EXACT(metadata!J6,"Animal"),EXACT(metadata!J6,"Fungus"),EXACT(metadata!J6,"Plant"),EXACT(metadata!J6,"Saline"),EXACT(metadata!J6,"Non-saline")))</f>
        <v>0</v>
      </c>
      <c r="AV6" t="b">
        <f>AND(IF(metadata!K6="",FALSE,TRUE),OR(EXACT(metadata!K6,"Plant secretion"),EXACT(metadata!K6,"Plant rhizosphere"),EXACT(metadata!K6,"Plant surface"),EXACT(metadata!K6,"Plant corpus"),EXACT(metadata!K6,"Fungus surface"),EXACT(metadata!K6,"Fungus corpus"),EXACT(metadata!K6,"Animal surface"),EXACT(metadata!K6,"Animal proximal gut"),EXACT(metadata!K6,"Animal corpus"),EXACT(metadata!K6,"Animal distal gut"),EXACT(metadata!K6,"Animal secretion"),EXACT(metadata!K6,"Sub-surface (non-saline)"),EXACT(metadata!K6,"Surface (non-saline)"),EXACT(metadata!K6,"Water (non-saline)"),EXACT(metadata!K6,"Soil (non-saline)"),EXACT(metadata!K6,"Aerosol (non-saline)"),EXACT(metadata!K6,"Sediment (non-saline)"),EXACT(metadata!K6,"Surface (saline)"),EXACT(metadata!K6,"Water (saline)"),EXACT(metadata!K6,"Hypersaline (saline)"),EXACT(metadata!K6,"Aerosol (saline)"),EXACT(metadata!K6,"Sediment (saline)")))</f>
        <v>0</v>
      </c>
      <c r="AW6" t="b">
        <f>IF(metadata!L6="",FALSE,TRUE)</f>
        <v>0</v>
      </c>
      <c r="AX6" t="b">
        <f>IF(metadata!M6="",FALSE,TRUE)</f>
        <v>0</v>
      </c>
      <c r="AY6" t="b">
        <f>IF(metadata!N6="",FALSE,TRUE)</f>
        <v>0</v>
      </c>
      <c r="AZ6" t="b">
        <f>OR(AND(IF(metadata!O6="",FALSE,TRUE),OR(EXACT(metadata!O6,"missing: not collected"),EXACT(metadata!O6,"missing: not provided"),EXACT(metadata!O6,"missing: restricted access"))),AND(IF(metadata!O6="",FALSE,TRUE),OR(EXACT(metadata!O6,"air"),EXACT(metadata!O6,"built environment"),EXACT(metadata!O6,"host-associated"),EXACT(metadata!O6,"human-associated"),EXACT(metadata!O6,"human-skin"),EXACT(metadata!O6,"human-oral"),EXACT(metadata!O6,"human-gut"),EXACT(metadata!O6,"human-vaginal"),EXACT(metadata!O6,"microbial mat/biofilm"),EXACT(metadata!O6,"misc environment"),EXACT(metadata!O6,"plant-associated"),EXACT(metadata!O6,"sediment"),EXACT(metadata!O6,"soil"),EXACT(metadata!O6,"wastewater/sludge"),EXACT(metadata!O6,"water"))))</f>
        <v>0</v>
      </c>
      <c r="BA6" t="b">
        <f>IF(metadata!P6="",FALSE,TRUE)</f>
        <v>0</v>
      </c>
      <c r="BB6" t="b">
        <f>IF(metadata!Q6="",FALSE,TRUE)</f>
        <v>0</v>
      </c>
      <c r="BC6" t="b">
        <f>OR(AND(IF(metadata!R6="",FALSE,TRUE),OR(EXACT(metadata!R6,"missing: not collected"),EXACT(metadata!R6,"missing: not provided"),EXACT(metadata!R6,"missing: restricted access"))),AND(IF(metadata!R6="",FALSE,ISNUMBER(VALUE(metadata!R6))),metadata!R6&gt;=-90,metadata!R6&lt;=90))</f>
        <v>0</v>
      </c>
      <c r="BD6" t="b">
        <f>AND(IF(metadata!S6="",FALSE,TRUE),EXACT(metadata!S6,"Decimal degrees"))</f>
        <v>0</v>
      </c>
      <c r="BE6" t="b">
        <f>OR(AND(IF(metadata!T6="",FALSE,TRUE),OR(EXACT(metadata!T6,"missing: not collected"),EXACT(metadata!T6,"missing: not provided"),EXACT(metadata!T6,"missing: restricted access"))),AND(IF(metadata!T6="",FALSE,ISNUMBER(VALUE(metadata!T6))),metadata!T6&gt;=-180,metadata!T6&lt;=180))</f>
        <v>0</v>
      </c>
      <c r="BF6" t="b">
        <f>AND(IF(metadata!U6="",FALSE,TRUE),EXACT(metadata!U6,"Decimal degrees"))</f>
        <v>0</v>
      </c>
      <c r="BG6" t="b">
        <f>IF(metadata!V6="",FALSE,TRUE)</f>
        <v>0</v>
      </c>
      <c r="BH6" t="b">
        <f>OR(AND(IF(metadata!W6="",FALSE,TRUE),OR(EXACT(metadata!W6,"missing: not collected"),EXACT(metadata!W6,"missing: not provided"),EXACT(metadata!W6,"missing: restricted access"))),AND(IF(metadata!W6="",FALSE,TRUE),OR(EXACT(metadata!W6,"TRUE"),EXACT(metadata!W6,"FALSE"))))</f>
        <v>0</v>
      </c>
      <c r="BI6" t="b">
        <f>AND(IF(metadata!X6="",FALSE,TRUE),EXACT(metadata!X6,"other"))</f>
        <v>0</v>
      </c>
      <c r="BJ6" t="b">
        <f>IF(metadata!Y6="",FALSE,TRUE)</f>
        <v>0</v>
      </c>
      <c r="BK6" t="b">
        <f>OR(AND(IF(metadata!Z6="",FALSE,TRUE),OR(EXACT(metadata!Z6,"missing: not collected"),EXACT(metadata!Z6,"missing: not provided"))),AND(IF(metadata!Z6="",FALSE,IF(ISERROR(INT(metadata!Z6)),FALSE,INT(metadata!Z6)=metadata!Z6)),metadata!Z6&gt;0))</f>
        <v>0</v>
      </c>
      <c r="BL6" t="b">
        <f>AND(IF(metadata!AA6="",FALSE,TRUE),EXACT(metadata!AA6,"Not applicable"))</f>
        <v>0</v>
      </c>
      <c r="BM6" t="b">
        <f>IF(metadata!AB6="",FALSE,TRUE)</f>
        <v>0</v>
      </c>
    </row>
    <row r="7" spans="1:65" x14ac:dyDescent="0.2">
      <c r="A7" s="5" t="str">
        <f ca="1">IF(B7=" "," ",HYPERLINK(CONCATENATE("#metadata!",ADDRESS(INDEX($AH$2:$AH$1001,MATCH(ROWS($AF$2:AF7),$AF$2:$AF$1001,0),0),1)),INDEX($AK$2:$AK$1001,MATCH(ROWS($AF$2:AF7),$AF$2:$AF$1001,0),0)))</f>
        <v xml:space="preserve"> </v>
      </c>
      <c r="B7" s="4" t="str">
        <f ca="1">IF(OR(INDEX($AG$2:$AG$1001,MATCH(ROWS($AF$2:AF7),$AF$2:$AF$1001,0),1)&gt;=100000,INDEX($AM$1005:$BM$1005,1,MATCH(COLUMNS($AM$1006:AM1006),$AM$1006:$BM$1006,0))&gt;=100000), " ",IF(INDEX($AM$2:$BM$1001,MATCH(ROWS($AF$2:AF7),$AF$2:$AF$1001,0),MATCH(COLUMNS($AM$1006:AM1006),$AM$1006:$BM$1006,0)), HYPERLINK("#",""), HYPERLINK(CONCATENATE("#metadata!", ADDRESS(INDEX($AH$2:$AH$1001,MATCH(ROWS($AF$2:AF7),$AF$2:$AF$1001,0),0), INDEX($AM$1004:$BM$1004,1,MATCH(COLUMNS($AM$1006:AM1006),$AM$1006:$BM$1006,0)))),"Fix")))</f>
        <v xml:space="preserve"> </v>
      </c>
      <c r="C7" s="4" t="str">
        <f ca="1">IF(OR(INDEX($AG$2:$AG$1001,MATCH(ROWS($AF$2:AF7),$AF$2:$AF$1001,0),1)&gt;=100000,INDEX($AM$1005:$BM$1005,1,MATCH(COLUMNS($AM$1006:AN1006),$AM$1006:$BM$1006,0))&gt;=100000), " ",IF(INDEX($AM$2:$BM$1001,MATCH(ROWS($AF$2:AF7),$AF$2:$AF$1001,0),MATCH(COLUMNS($AM$1006:AN1006),$AM$1006:$BM$1006,0)), HYPERLINK("#",""), HYPERLINK(CONCATENATE("#metadata!", ADDRESS(INDEX($AH$2:$AH$1001,MATCH(ROWS($AF$2:AF7),$AF$2:$AF$1001,0),0), INDEX($AM$1004:$BM$1004,1,MATCH(COLUMNS($AM$1006:AN1006),$AM$1006:$BM$1006,0)))),"Fix")))</f>
        <v xml:space="preserve"> </v>
      </c>
      <c r="D7" s="4" t="str">
        <f ca="1">IF(OR(INDEX($AG$2:$AG$1001,MATCH(ROWS($AF$2:AF7),$AF$2:$AF$1001,0),1)&gt;=100000,INDEX($AM$1005:$BM$1005,1,MATCH(COLUMNS($AM$1006:AO1006),$AM$1006:$BM$1006,0))&gt;=100000), " ",IF(INDEX($AM$2:$BM$1001,MATCH(ROWS($AF$2:AF7),$AF$2:$AF$1001,0),MATCH(COLUMNS($AM$1006:AO1006),$AM$1006:$BM$1006,0)), HYPERLINK("#",""), HYPERLINK(CONCATENATE("#metadata!", ADDRESS(INDEX($AH$2:$AH$1001,MATCH(ROWS($AF$2:AF7),$AF$2:$AF$1001,0),0), INDEX($AM$1004:$BM$1004,1,MATCH(COLUMNS($AM$1006:AO1006),$AM$1006:$BM$1006,0)))),"Fix")))</f>
        <v xml:space="preserve"> </v>
      </c>
      <c r="E7" s="4" t="str">
        <f ca="1">IF(OR(INDEX($AG$2:$AG$1001,MATCH(ROWS($AF$2:AF7),$AF$2:$AF$1001,0),1)&gt;=100000,INDEX($AM$1005:$BM$1005,1,MATCH(COLUMNS($AM$1006:AP1006),$AM$1006:$BM$1006,0))&gt;=100000), " ",IF(INDEX($AM$2:$BM$1001,MATCH(ROWS($AF$2:AF7),$AF$2:$AF$1001,0),MATCH(COLUMNS($AM$1006:AP1006),$AM$1006:$BM$1006,0)), HYPERLINK("#",""), HYPERLINK(CONCATENATE("#metadata!", ADDRESS(INDEX($AH$2:$AH$1001,MATCH(ROWS($AF$2:AF7),$AF$2:$AF$1001,0),0), INDEX($AM$1004:$BM$1004,1,MATCH(COLUMNS($AM$1006:AP1006),$AM$1006:$BM$1006,0)))),"Fix")))</f>
        <v xml:space="preserve"> </v>
      </c>
      <c r="F7" s="4" t="str">
        <f ca="1">IF(OR(INDEX($AG$2:$AG$1001,MATCH(ROWS($AF$2:AF7),$AF$2:$AF$1001,0),1)&gt;=100000,INDEX($AM$1005:$BM$1005,1,MATCH(COLUMNS($AM$1006:AQ1006),$AM$1006:$BM$1006,0))&gt;=100000), " ",IF(INDEX($AM$2:$BM$1001,MATCH(ROWS($AF$2:AF7),$AF$2:$AF$1001,0),MATCH(COLUMNS($AM$1006:AQ1006),$AM$1006:$BM$1006,0)), HYPERLINK("#",""), HYPERLINK(CONCATENATE("#metadata!", ADDRESS(INDEX($AH$2:$AH$1001,MATCH(ROWS($AF$2:AF7),$AF$2:$AF$1001,0),0), INDEX($AM$1004:$BM$1004,1,MATCH(COLUMNS($AM$1006:AQ1006),$AM$1006:$BM$1006,0)))),"Fix")))</f>
        <v xml:space="preserve"> </v>
      </c>
      <c r="G7" s="4" t="str">
        <f ca="1">IF(OR(INDEX($AG$2:$AG$1001,MATCH(ROWS($AF$2:AF7),$AF$2:$AF$1001,0),1)&gt;=100000,INDEX($AM$1005:$BM$1005,1,MATCH(COLUMNS($AM$1006:AR1006),$AM$1006:$BM$1006,0))&gt;=100000), " ",IF(INDEX($AM$2:$BM$1001,MATCH(ROWS($AF$2:AF7),$AF$2:$AF$1001,0),MATCH(COLUMNS($AM$1006:AR1006),$AM$1006:$BM$1006,0)), HYPERLINK("#",""), HYPERLINK(CONCATENATE("#metadata!", ADDRESS(INDEX($AH$2:$AH$1001,MATCH(ROWS($AF$2:AF7),$AF$2:$AF$1001,0),0), INDEX($AM$1004:$BM$1004,1,MATCH(COLUMNS($AM$1006:AR1006),$AM$1006:$BM$1006,0)))),"Fix")))</f>
        <v xml:space="preserve"> </v>
      </c>
      <c r="H7" s="4" t="str">
        <f ca="1">IF(OR(INDEX($AG$2:$AG$1001,MATCH(ROWS($AF$2:AF7),$AF$2:$AF$1001,0),1)&gt;=100000,INDEX($AM$1005:$BM$1005,1,MATCH(COLUMNS($AM$1006:AS1006),$AM$1006:$BM$1006,0))&gt;=100000), " ",IF(INDEX($AM$2:$BM$1001,MATCH(ROWS($AF$2:AF7),$AF$2:$AF$1001,0),MATCH(COLUMNS($AM$1006:AS1006),$AM$1006:$BM$1006,0)), HYPERLINK("#",""), HYPERLINK(CONCATENATE("#metadata!", ADDRESS(INDEX($AH$2:$AH$1001,MATCH(ROWS($AF$2:AF7),$AF$2:$AF$1001,0),0), INDEX($AM$1004:$BM$1004,1,MATCH(COLUMNS($AM$1006:AS1006),$AM$1006:$BM$1006,0)))),"Fix")))</f>
        <v xml:space="preserve"> </v>
      </c>
      <c r="I7" s="4" t="str">
        <f ca="1">IF(OR(INDEX($AG$2:$AG$1001,MATCH(ROWS($AF$2:AF7),$AF$2:$AF$1001,0),1)&gt;=100000,INDEX($AM$1005:$BM$1005,1,MATCH(COLUMNS($AM$1006:AT1006),$AM$1006:$BM$1006,0))&gt;=100000), " ",IF(INDEX($AM$2:$BM$1001,MATCH(ROWS($AF$2:AF7),$AF$2:$AF$1001,0),MATCH(COLUMNS($AM$1006:AT1006),$AM$1006:$BM$1006,0)), HYPERLINK("#",""), HYPERLINK(CONCATENATE("#metadata!", ADDRESS(INDEX($AH$2:$AH$1001,MATCH(ROWS($AF$2:AF7),$AF$2:$AF$1001,0),0), INDEX($AM$1004:$BM$1004,1,MATCH(COLUMNS($AM$1006:AT1006),$AM$1006:$BM$1006,0)))),"Fix")))</f>
        <v xml:space="preserve"> </v>
      </c>
      <c r="J7" s="4" t="str">
        <f ca="1">IF(OR(INDEX($AG$2:$AG$1001,MATCH(ROWS($AF$2:AF7),$AF$2:$AF$1001,0),1)&gt;=100000,INDEX($AM$1005:$BM$1005,1,MATCH(COLUMNS($AM$1006:AU1006),$AM$1006:$BM$1006,0))&gt;=100000), " ",IF(INDEX($AM$2:$BM$1001,MATCH(ROWS($AF$2:AF7),$AF$2:$AF$1001,0),MATCH(COLUMNS($AM$1006:AU1006),$AM$1006:$BM$1006,0)), HYPERLINK("#",""), HYPERLINK(CONCATENATE("#metadata!", ADDRESS(INDEX($AH$2:$AH$1001,MATCH(ROWS($AF$2:AF7),$AF$2:$AF$1001,0),0), INDEX($AM$1004:$BM$1004,1,MATCH(COLUMNS($AM$1006:AU1006),$AM$1006:$BM$1006,0)))),"Fix")))</f>
        <v xml:space="preserve"> </v>
      </c>
      <c r="K7" s="4" t="str">
        <f ca="1">IF(OR(INDEX($AG$2:$AG$1001,MATCH(ROWS($AF$2:AF7),$AF$2:$AF$1001,0),1)&gt;=100000,INDEX($AM$1005:$BM$1005,1,MATCH(COLUMNS($AM$1006:AV1006),$AM$1006:$BM$1006,0))&gt;=100000), " ",IF(INDEX($AM$2:$BM$1001,MATCH(ROWS($AF$2:AF7),$AF$2:$AF$1001,0),MATCH(COLUMNS($AM$1006:AV1006),$AM$1006:$BM$1006,0)), HYPERLINK("#",""), HYPERLINK(CONCATENATE("#metadata!", ADDRESS(INDEX($AH$2:$AH$1001,MATCH(ROWS($AF$2:AF7),$AF$2:$AF$1001,0),0), INDEX($AM$1004:$BM$1004,1,MATCH(COLUMNS($AM$1006:AV1006),$AM$1006:$BM$1006,0)))),"Fix")))</f>
        <v xml:space="preserve"> </v>
      </c>
      <c r="L7" s="4" t="str">
        <f ca="1">IF(OR(INDEX($AG$2:$AG$1001,MATCH(ROWS($AF$2:AF7),$AF$2:$AF$1001,0),1)&gt;=100000,INDEX($AM$1005:$BM$1005,1,MATCH(COLUMNS($AM$1006:AW1006),$AM$1006:$BM$1006,0))&gt;=100000), " ",IF(INDEX($AM$2:$BM$1001,MATCH(ROWS($AF$2:AF7),$AF$2:$AF$1001,0),MATCH(COLUMNS($AM$1006:AW1006),$AM$1006:$BM$1006,0)), HYPERLINK("#",""), HYPERLINK(CONCATENATE("#metadata!", ADDRESS(INDEX($AH$2:$AH$1001,MATCH(ROWS($AF$2:AF7),$AF$2:$AF$1001,0),0), INDEX($AM$1004:$BM$1004,1,MATCH(COLUMNS($AM$1006:AW1006),$AM$1006:$BM$1006,0)))),"Fix")))</f>
        <v xml:space="preserve"> </v>
      </c>
      <c r="M7" s="4" t="str">
        <f ca="1">IF(OR(INDEX($AG$2:$AG$1001,MATCH(ROWS($AF$2:AF7),$AF$2:$AF$1001,0),1)&gt;=100000,INDEX($AM$1005:$BM$1005,1,MATCH(COLUMNS($AM$1006:AX1006),$AM$1006:$BM$1006,0))&gt;=100000), " ",IF(INDEX($AM$2:$BM$1001,MATCH(ROWS($AF$2:AF7),$AF$2:$AF$1001,0),MATCH(COLUMNS($AM$1006:AX1006),$AM$1006:$BM$1006,0)), HYPERLINK("#",""), HYPERLINK(CONCATENATE("#metadata!", ADDRESS(INDEX($AH$2:$AH$1001,MATCH(ROWS($AF$2:AF7),$AF$2:$AF$1001,0),0), INDEX($AM$1004:$BM$1004,1,MATCH(COLUMNS($AM$1006:AX1006),$AM$1006:$BM$1006,0)))),"Fix")))</f>
        <v xml:space="preserve"> </v>
      </c>
      <c r="N7" s="4" t="str">
        <f ca="1">IF(OR(INDEX($AG$2:$AG$1001,MATCH(ROWS($AF$2:AF7),$AF$2:$AF$1001,0),1)&gt;=100000,INDEX($AM$1005:$BM$1005,1,MATCH(COLUMNS($AM$1006:AY1006),$AM$1006:$BM$1006,0))&gt;=100000), " ",IF(INDEX($AM$2:$BM$1001,MATCH(ROWS($AF$2:AF7),$AF$2:$AF$1001,0),MATCH(COLUMNS($AM$1006:AY1006),$AM$1006:$BM$1006,0)), HYPERLINK("#",""), HYPERLINK(CONCATENATE("#metadata!", ADDRESS(INDEX($AH$2:$AH$1001,MATCH(ROWS($AF$2:AF7),$AF$2:$AF$1001,0),0), INDEX($AM$1004:$BM$1004,1,MATCH(COLUMNS($AM$1006:AY1006),$AM$1006:$BM$1006,0)))),"Fix")))</f>
        <v xml:space="preserve"> </v>
      </c>
      <c r="O7" s="4" t="str">
        <f ca="1">IF(OR(INDEX($AG$2:$AG$1001,MATCH(ROWS($AF$2:AF7),$AF$2:$AF$1001,0),1)&gt;=100000,INDEX($AM$1005:$BM$1005,1,MATCH(COLUMNS($AM$1006:AZ1006),$AM$1006:$BM$1006,0))&gt;=100000), " ",IF(INDEX($AM$2:$BM$1001,MATCH(ROWS($AF$2:AF7),$AF$2:$AF$1001,0),MATCH(COLUMNS($AM$1006:AZ1006),$AM$1006:$BM$1006,0)), HYPERLINK("#",""), HYPERLINK(CONCATENATE("#metadata!", ADDRESS(INDEX($AH$2:$AH$1001,MATCH(ROWS($AF$2:AF7),$AF$2:$AF$1001,0),0), INDEX($AM$1004:$BM$1004,1,MATCH(COLUMNS($AM$1006:AZ1006),$AM$1006:$BM$1006,0)))),"Fix")))</f>
        <v xml:space="preserve"> </v>
      </c>
      <c r="P7" s="4" t="str">
        <f ca="1">IF(OR(INDEX($AG$2:$AG$1001,MATCH(ROWS($AF$2:AF7),$AF$2:$AF$1001,0),1)&gt;=100000,INDEX($AM$1005:$BM$1005,1,MATCH(COLUMNS($AM$1006:BA1006),$AM$1006:$BM$1006,0))&gt;=100000), " ",IF(INDEX($AM$2:$BM$1001,MATCH(ROWS($AF$2:AF7),$AF$2:$AF$1001,0),MATCH(COLUMNS($AM$1006:BA1006),$AM$1006:$BM$1006,0)), HYPERLINK("#",""), HYPERLINK(CONCATENATE("#metadata!", ADDRESS(INDEX($AH$2:$AH$1001,MATCH(ROWS($AF$2:AF7),$AF$2:$AF$1001,0),0), INDEX($AM$1004:$BM$1004,1,MATCH(COLUMNS($AM$1006:BA1006),$AM$1006:$BM$1006,0)))),"Fix")))</f>
        <v xml:space="preserve"> </v>
      </c>
      <c r="Q7" s="4" t="str">
        <f ca="1">IF(OR(INDEX($AG$2:$AG$1001,MATCH(ROWS($AF$2:AF7),$AF$2:$AF$1001,0),1)&gt;=100000,INDEX($AM$1005:$BM$1005,1,MATCH(COLUMNS($AM$1006:BB1006),$AM$1006:$BM$1006,0))&gt;=100000), " ",IF(INDEX($AM$2:$BM$1001,MATCH(ROWS($AF$2:AF7),$AF$2:$AF$1001,0),MATCH(COLUMNS($AM$1006:BB1006),$AM$1006:$BM$1006,0)), HYPERLINK("#",""), HYPERLINK(CONCATENATE("#metadata!", ADDRESS(INDEX($AH$2:$AH$1001,MATCH(ROWS($AF$2:AF7),$AF$2:$AF$1001,0),0), INDEX($AM$1004:$BM$1004,1,MATCH(COLUMNS($AM$1006:BB1006),$AM$1006:$BM$1006,0)))),"Fix")))</f>
        <v xml:space="preserve"> </v>
      </c>
      <c r="R7" s="4" t="str">
        <f ca="1">IF(OR(INDEX($AG$2:$AG$1001,MATCH(ROWS($AF$2:AF7),$AF$2:$AF$1001,0),1)&gt;=100000,INDEX($AM$1005:$BM$1005,1,MATCH(COLUMNS($AM$1006:BC1006),$AM$1006:$BM$1006,0))&gt;=100000), " ",IF(INDEX($AM$2:$BM$1001,MATCH(ROWS($AF$2:AF7),$AF$2:$AF$1001,0),MATCH(COLUMNS($AM$1006:BC1006),$AM$1006:$BM$1006,0)), HYPERLINK("#",""), HYPERLINK(CONCATENATE("#metadata!", ADDRESS(INDEX($AH$2:$AH$1001,MATCH(ROWS($AF$2:AF7),$AF$2:$AF$1001,0),0), INDEX($AM$1004:$BM$1004,1,MATCH(COLUMNS($AM$1006:BC1006),$AM$1006:$BM$1006,0)))),"Fix")))</f>
        <v xml:space="preserve"> </v>
      </c>
      <c r="S7" s="4" t="str">
        <f ca="1">IF(OR(INDEX($AG$2:$AG$1001,MATCH(ROWS($AF$2:AF7),$AF$2:$AF$1001,0),1)&gt;=100000,INDEX($AM$1005:$BM$1005,1,MATCH(COLUMNS($AM$1006:BD1006),$AM$1006:$BM$1006,0))&gt;=100000), " ",IF(INDEX($AM$2:$BM$1001,MATCH(ROWS($AF$2:AF7),$AF$2:$AF$1001,0),MATCH(COLUMNS($AM$1006:BD1006),$AM$1006:$BM$1006,0)), HYPERLINK("#",""), HYPERLINK(CONCATENATE("#metadata!", ADDRESS(INDEX($AH$2:$AH$1001,MATCH(ROWS($AF$2:AF7),$AF$2:$AF$1001,0),0), INDEX($AM$1004:$BM$1004,1,MATCH(COLUMNS($AM$1006:BD1006),$AM$1006:$BM$1006,0)))),"Fix")))</f>
        <v xml:space="preserve"> </v>
      </c>
      <c r="T7" s="4" t="str">
        <f ca="1">IF(OR(INDEX($AG$2:$AG$1001,MATCH(ROWS($AF$2:AF7),$AF$2:$AF$1001,0),1)&gt;=100000,INDEX($AM$1005:$BM$1005,1,MATCH(COLUMNS($AM$1006:BE1006),$AM$1006:$BM$1006,0))&gt;=100000), " ",IF(INDEX($AM$2:$BM$1001,MATCH(ROWS($AF$2:AF7),$AF$2:$AF$1001,0),MATCH(COLUMNS($AM$1006:BE1006),$AM$1006:$BM$1006,0)), HYPERLINK("#",""), HYPERLINK(CONCATENATE("#metadata!", ADDRESS(INDEX($AH$2:$AH$1001,MATCH(ROWS($AF$2:AF7),$AF$2:$AF$1001,0),0), INDEX($AM$1004:$BM$1004,1,MATCH(COLUMNS($AM$1006:BE1006),$AM$1006:$BM$1006,0)))),"Fix")))</f>
        <v xml:space="preserve"> </v>
      </c>
      <c r="U7" s="4" t="str">
        <f ca="1">IF(OR(INDEX($AG$2:$AG$1001,MATCH(ROWS($AF$2:AF7),$AF$2:$AF$1001,0),1)&gt;=100000,INDEX($AM$1005:$BM$1005,1,MATCH(COLUMNS($AM$1006:BF1006),$AM$1006:$BM$1006,0))&gt;=100000), " ",IF(INDEX($AM$2:$BM$1001,MATCH(ROWS($AF$2:AF7),$AF$2:$AF$1001,0),MATCH(COLUMNS($AM$1006:BF1006),$AM$1006:$BM$1006,0)), HYPERLINK("#",""), HYPERLINK(CONCATENATE("#metadata!", ADDRESS(INDEX($AH$2:$AH$1001,MATCH(ROWS($AF$2:AF7),$AF$2:$AF$1001,0),0), INDEX($AM$1004:$BM$1004,1,MATCH(COLUMNS($AM$1006:BF1006),$AM$1006:$BM$1006,0)))),"Fix")))</f>
        <v xml:space="preserve"> </v>
      </c>
      <c r="V7" s="4" t="str">
        <f ca="1">IF(OR(INDEX($AG$2:$AG$1001,MATCH(ROWS($AF$2:AF7),$AF$2:$AF$1001,0),1)&gt;=100000,INDEX($AM$1005:$BM$1005,1,MATCH(COLUMNS($AM$1006:BG1006),$AM$1006:$BM$1006,0))&gt;=100000), " ",IF(INDEX($AM$2:$BM$1001,MATCH(ROWS($AF$2:AF7),$AF$2:$AF$1001,0),MATCH(COLUMNS($AM$1006:BG1006),$AM$1006:$BM$1006,0)), HYPERLINK("#",""), HYPERLINK(CONCATENATE("#metadata!", ADDRESS(INDEX($AH$2:$AH$1001,MATCH(ROWS($AF$2:AF7),$AF$2:$AF$1001,0),0), INDEX($AM$1004:$BM$1004,1,MATCH(COLUMNS($AM$1006:BG1006),$AM$1006:$BM$1006,0)))),"Fix")))</f>
        <v xml:space="preserve"> </v>
      </c>
      <c r="W7" s="4" t="str">
        <f ca="1">IF(OR(INDEX($AG$2:$AG$1001,MATCH(ROWS($AF$2:AF7),$AF$2:$AF$1001,0),1)&gt;=100000,INDEX($AM$1005:$BM$1005,1,MATCH(COLUMNS($AM$1006:BH1006),$AM$1006:$BM$1006,0))&gt;=100000), " ",IF(INDEX($AM$2:$BM$1001,MATCH(ROWS($AF$2:AF7),$AF$2:$AF$1001,0),MATCH(COLUMNS($AM$1006:BH1006),$AM$1006:$BM$1006,0)), HYPERLINK("#",""), HYPERLINK(CONCATENATE("#metadata!", ADDRESS(INDEX($AH$2:$AH$1001,MATCH(ROWS($AF$2:AF7),$AF$2:$AF$1001,0),0), INDEX($AM$1004:$BM$1004,1,MATCH(COLUMNS($AM$1006:BH1006),$AM$1006:$BM$1006,0)))),"Fix")))</f>
        <v xml:space="preserve"> </v>
      </c>
      <c r="X7" s="4" t="str">
        <f ca="1">IF(OR(INDEX($AG$2:$AG$1001,MATCH(ROWS($AF$2:AF7),$AF$2:$AF$1001,0),1)&gt;=100000,INDEX($AM$1005:$BM$1005,1,MATCH(COLUMNS($AM$1006:BI1006),$AM$1006:$BM$1006,0))&gt;=100000), " ",IF(INDEX($AM$2:$BM$1001,MATCH(ROWS($AF$2:AF7),$AF$2:$AF$1001,0),MATCH(COLUMNS($AM$1006:BI1006),$AM$1006:$BM$1006,0)), HYPERLINK("#",""), HYPERLINK(CONCATENATE("#metadata!", ADDRESS(INDEX($AH$2:$AH$1001,MATCH(ROWS($AF$2:AF7),$AF$2:$AF$1001,0),0), INDEX($AM$1004:$BM$1004,1,MATCH(COLUMNS($AM$1006:BI1006),$AM$1006:$BM$1006,0)))),"Fix")))</f>
        <v xml:space="preserve"> </v>
      </c>
      <c r="Y7" s="4" t="str">
        <f ca="1">IF(OR(INDEX($AG$2:$AG$1001,MATCH(ROWS($AF$2:AF7),$AF$2:$AF$1001,0),1)&gt;=100000,INDEX($AM$1005:$BM$1005,1,MATCH(COLUMNS($AM$1006:BJ1006),$AM$1006:$BM$1006,0))&gt;=100000), " ",IF(INDEX($AM$2:$BM$1001,MATCH(ROWS($AF$2:AF7),$AF$2:$AF$1001,0),MATCH(COLUMNS($AM$1006:BJ1006),$AM$1006:$BM$1006,0)), HYPERLINK("#",""), HYPERLINK(CONCATENATE("#metadata!", ADDRESS(INDEX($AH$2:$AH$1001,MATCH(ROWS($AF$2:AF7),$AF$2:$AF$1001,0),0), INDEX($AM$1004:$BM$1004,1,MATCH(COLUMNS($AM$1006:BJ1006),$AM$1006:$BM$1006,0)))),"Fix")))</f>
        <v xml:space="preserve"> </v>
      </c>
      <c r="Z7" s="4" t="str">
        <f ca="1">IF(OR(INDEX($AG$2:$AG$1001,MATCH(ROWS($AF$2:AF7),$AF$2:$AF$1001,0),1)&gt;=100000,INDEX($AM$1005:$BM$1005,1,MATCH(COLUMNS($AM$1006:BK1006),$AM$1006:$BM$1006,0))&gt;=100000), " ",IF(INDEX($AM$2:$BM$1001,MATCH(ROWS($AF$2:AF7),$AF$2:$AF$1001,0),MATCH(COLUMNS($AM$1006:BK1006),$AM$1006:$BM$1006,0)), HYPERLINK("#",""), HYPERLINK(CONCATENATE("#metadata!", ADDRESS(INDEX($AH$2:$AH$1001,MATCH(ROWS($AF$2:AF7),$AF$2:$AF$1001,0),0), INDEX($AM$1004:$BM$1004,1,MATCH(COLUMNS($AM$1006:BK1006),$AM$1006:$BM$1006,0)))),"Fix")))</f>
        <v xml:space="preserve"> </v>
      </c>
      <c r="AA7" s="4" t="str">
        <f ca="1">IF(OR(INDEX($AG$2:$AG$1001,MATCH(ROWS($AF$2:AF7),$AF$2:$AF$1001,0),1)&gt;=100000,INDEX($AM$1005:$BM$1005,1,MATCH(COLUMNS($AM$1006:BL1006),$AM$1006:$BM$1006,0))&gt;=100000), " ",IF(INDEX($AM$2:$BM$1001,MATCH(ROWS($AF$2:AF7),$AF$2:$AF$1001,0),MATCH(COLUMNS($AM$1006:BL1006),$AM$1006:$BM$1006,0)), HYPERLINK("#",""), HYPERLINK(CONCATENATE("#metadata!", ADDRESS(INDEX($AH$2:$AH$1001,MATCH(ROWS($AF$2:AF7),$AF$2:$AF$1001,0),0), INDEX($AM$1004:$BM$1004,1,MATCH(COLUMNS($AM$1006:BL1006),$AM$1006:$BM$1006,0)))),"Fix")))</f>
        <v xml:space="preserve"> </v>
      </c>
      <c r="AB7" s="4" t="str">
        <f ca="1">IF(OR(INDEX($AG$2:$AG$1001,MATCH(ROWS($AF$2:AF7),$AF$2:$AF$1001,0),1)&gt;=100000,INDEX($AM$1005:$BM$1005,1,MATCH(COLUMNS($AM$1006:BM1006),$AM$1006:$BM$1006,0))&gt;=100000), " ",IF(INDEX($AM$2:$BM$1001,MATCH(ROWS($AF$2:AF7),$AF$2:$AF$1001,0),MATCH(COLUMNS($AM$1006:BM1006),$AM$1006:$BM$1006,0)), HYPERLINK("#",""), HYPERLINK(CONCATENATE("#metadata!", ADDRESS(INDEX($AH$2:$AH$1001,MATCH(ROWS($AF$2:AF7),$AF$2:$AF$1001,0),0), INDEX($AM$1004:$BM$1004,1,MATCH(COLUMNS($AM$1006:BM1006),$AM$1006:$BM$1006,0)))),"Fix")))</f>
        <v xml:space="preserve"> </v>
      </c>
      <c r="AF7">
        <v>6</v>
      </c>
      <c r="AG7">
        <v>100007</v>
      </c>
      <c r="AH7">
        <v>7</v>
      </c>
      <c r="AI7" t="b">
        <f t="shared" si="0"/>
        <v>1</v>
      </c>
      <c r="AJ7" t="b">
        <f>COUNTBLANK(metadata!B7:AB7)=COLUMNS(metadata!B7:AB7)</f>
        <v>1</v>
      </c>
      <c r="AK7" t="str">
        <v/>
      </c>
      <c r="AM7" t="b">
        <f ca="1">AND(IF(metadata!B7="",FALSE,TRUE),COUNTIF(metadata!B:B, metadata!B7) = 1,NOT(ISERROR(SUMPRODUCT(SEARCH(MID(metadata!B7,ROW(INDIRECT("1:"&amp;LEN(metadata!B7))), 1),"0123456789abcdefghijklmnopqrstuvwxyzABCDEFGHIJKLMNOPQRSTUVWXYZ.")))))</f>
        <v>0</v>
      </c>
      <c r="AN7" t="b">
        <f ca="1">OR(AND(IF(metadata!C7="",FALSE,TRUE),OR(EXACT(metadata!C7,"missing: not collected"),EXACT(metadata!C7,"missing: not provided"),EXACT(metadata!C7,"missing: restricted access"))),AND(IF(metadata!C7="",FALSE,TRUE),AND(AND(IFERROR(INT(LEFT(metadata!C7,4))&gt;1900,FALSE),IFERROR(INT(LEFT(metadata!C7,4))&lt;=YEAR(NOW()),FALSE)), OR(MID(metadata!C7,5,1)="", AND(AND(MID(metadata!C7,5,1)="-",IFERROR(INT(MID(metadata!C7,6,1))&gt;=0,FALSE),IFERROR(INT(MID(metadata!C7,6,1))&lt;=1,FALSE),NOT(MID(metadata!C7,7,1)=""),IFERROR(INT(MID(metadata!C7,6,2))&gt;=1,FALSE),IFERROR(INT(MID(metadata!C7,6,2))&lt;=12,FALSE)), OR(MID(metadata!C7,8,1)="", AND(AND(MID(metadata!C7,8,1)="-",IFERROR(INT(MID(metadata!C7,9,1))&gt;=0,FALSE),IFERROR(INT(MID(metadata!C7,9,1))&lt;=3,FALSE),NOT(MID(metadata!C7,10,1)=""),IFERROR(INT(MID(metadata!C7,9,2))&gt;=1,FALSE),IFERROR(INT(MID(metadata!C7,9,2))&lt;=31,FALSE)), OR(MID(metadata!C7,11,1)="", AND(AND(MID(metadata!C7,11,1)=" ",IFERROR(INT(MID(metadata!C7,12,1))&gt;=0,FALSE),IFERROR(INT(MID(metadata!C7,12,1))&lt;=2,FALSE),NOT(MID(metadata!C7,13,1)=""),IFERROR(INT(MID(metadata!C7,12,2))&gt;=0,FALSE),IFERROR(INT(MID(metadata!C7,12,2))&lt;=23,FALSE)), OR(MID(metadata!C7,14,1)="", AND(AND(MID(metadata!C7,14,1)=":",IFERROR(INT(MID(metadata!C7,15,1))&gt;=0,FALSE),IFERROR(INT(MID(metadata!C7,15,1))&lt;=5,FALSE),NOT(MID(metadata!C7,16,1)=""),IFERROR(INT(MID(metadata!C7,15,2))&gt;=0,FALSE),IFERROR(INT(MID(metadata!C7,15,2))&lt;=59,FALSE)), OR(MID(metadata!C7,17,1)="", AND(AND(MID(metadata!C7,17,1)=":",IFERROR(INT(MID(metadata!C7,18,1))&gt;=0,FALSE),IFERROR(INT(MID(metadata!C7,18,1))&lt;=5,FALSE),NOT(MID(metadata!C7,19,1)=""),IFERROR(INT(MID(metadata!C7,18,2))&gt;=0,FALSE),IFERROR(INT(MID(metadata!C7,18,2))&lt;=59,FALSE)), LEN(metadata!C7)&lt;=19)))))))))))))</f>
        <v>0</v>
      </c>
      <c r="AO7" t="b">
        <f>AND(IF(metadata!D7="",FALSE,TRUE),EXACT(metadata!D7,"Not applicable"))</f>
        <v>0</v>
      </c>
      <c r="AP7" t="b">
        <f>IF(metadata!E7="",FALSE,TRUE)</f>
        <v>0</v>
      </c>
      <c r="AQ7" t="b">
        <f>OR(AND(IF(metadata!F7="",FALSE,TRUE),OR(EXACT(metadata!F7,"missing: not collected"),EXACT(metadata!F7,"missing: not provided"))),AND(IF(metadata!F7="",FALSE,TRUE),OR(EXACT(metadata!F7,"TRUE"),EXACT(metadata!F7,"FALSE"))))</f>
        <v>0</v>
      </c>
      <c r="AR7" t="b">
        <f>OR(AND(IF(metadata!G7="",FALSE,TRUE),OR(EXACT(metadata!G7,"missing: not collected"),EXACT(metadata!G7,"missing: not provided"),EXACT(metadata!G7,"missing: restricted access"))),AND(IF(metadata!G7="",FALSE,ISNUMBER(VALUE(metadata!G7))),metadata!G7&gt;=-413))</f>
        <v>0</v>
      </c>
      <c r="AS7" t="b">
        <f>AND(IF(metadata!H7="",FALSE,TRUE),EXACT(metadata!H7,"meters"))</f>
        <v>0</v>
      </c>
      <c r="AT7" t="b">
        <f>AND(IF(metadata!I7="",FALSE,TRUE),OR(EXACT(metadata!I7,"Host-associated"),EXACT(metadata!I7,"Free-living")))</f>
        <v>0</v>
      </c>
      <c r="AU7" t="b">
        <f>AND(IF(metadata!J7="",FALSE,TRUE),OR(EXACT(metadata!J7,"Animal"),EXACT(metadata!J7,"Fungus"),EXACT(metadata!J7,"Plant"),EXACT(metadata!J7,"Saline"),EXACT(metadata!J7,"Non-saline")))</f>
        <v>0</v>
      </c>
      <c r="AV7" t="b">
        <f>AND(IF(metadata!K7="",FALSE,TRUE),OR(EXACT(metadata!K7,"Plant secretion"),EXACT(metadata!K7,"Plant rhizosphere"),EXACT(metadata!K7,"Plant surface"),EXACT(metadata!K7,"Plant corpus"),EXACT(metadata!K7,"Fungus surface"),EXACT(metadata!K7,"Fungus corpus"),EXACT(metadata!K7,"Animal surface"),EXACT(metadata!K7,"Animal proximal gut"),EXACT(metadata!K7,"Animal corpus"),EXACT(metadata!K7,"Animal distal gut"),EXACT(metadata!K7,"Animal secretion"),EXACT(metadata!K7,"Sub-surface (non-saline)"),EXACT(metadata!K7,"Surface (non-saline)"),EXACT(metadata!K7,"Water (non-saline)"),EXACT(metadata!K7,"Soil (non-saline)"),EXACT(metadata!K7,"Aerosol (non-saline)"),EXACT(metadata!K7,"Sediment (non-saline)"),EXACT(metadata!K7,"Surface (saline)"),EXACT(metadata!K7,"Water (saline)"),EXACT(metadata!K7,"Hypersaline (saline)"),EXACT(metadata!K7,"Aerosol (saline)"),EXACT(metadata!K7,"Sediment (saline)")))</f>
        <v>0</v>
      </c>
      <c r="AW7" t="b">
        <f>IF(metadata!L7="",FALSE,TRUE)</f>
        <v>0</v>
      </c>
      <c r="AX7" t="b">
        <f>IF(metadata!M7="",FALSE,TRUE)</f>
        <v>0</v>
      </c>
      <c r="AY7" t="b">
        <f>IF(metadata!N7="",FALSE,TRUE)</f>
        <v>0</v>
      </c>
      <c r="AZ7" t="b">
        <f>OR(AND(IF(metadata!O7="",FALSE,TRUE),OR(EXACT(metadata!O7,"missing: not collected"),EXACT(metadata!O7,"missing: not provided"),EXACT(metadata!O7,"missing: restricted access"))),AND(IF(metadata!O7="",FALSE,TRUE),OR(EXACT(metadata!O7,"air"),EXACT(metadata!O7,"built environment"),EXACT(metadata!O7,"host-associated"),EXACT(metadata!O7,"human-associated"),EXACT(metadata!O7,"human-skin"),EXACT(metadata!O7,"human-oral"),EXACT(metadata!O7,"human-gut"),EXACT(metadata!O7,"human-vaginal"),EXACT(metadata!O7,"microbial mat/biofilm"),EXACT(metadata!O7,"misc environment"),EXACT(metadata!O7,"plant-associated"),EXACT(metadata!O7,"sediment"),EXACT(metadata!O7,"soil"),EXACT(metadata!O7,"wastewater/sludge"),EXACT(metadata!O7,"water"))))</f>
        <v>0</v>
      </c>
      <c r="BA7" t="b">
        <f>IF(metadata!P7="",FALSE,TRUE)</f>
        <v>0</v>
      </c>
      <c r="BB7" t="b">
        <f>IF(metadata!Q7="",FALSE,TRUE)</f>
        <v>0</v>
      </c>
      <c r="BC7" t="b">
        <f>OR(AND(IF(metadata!R7="",FALSE,TRUE),OR(EXACT(metadata!R7,"missing: not collected"),EXACT(metadata!R7,"missing: not provided"),EXACT(metadata!R7,"missing: restricted access"))),AND(IF(metadata!R7="",FALSE,ISNUMBER(VALUE(metadata!R7))),metadata!R7&gt;=-90,metadata!R7&lt;=90))</f>
        <v>0</v>
      </c>
      <c r="BD7" t="b">
        <f>AND(IF(metadata!S7="",FALSE,TRUE),EXACT(metadata!S7,"Decimal degrees"))</f>
        <v>0</v>
      </c>
      <c r="BE7" t="b">
        <f>OR(AND(IF(metadata!T7="",FALSE,TRUE),OR(EXACT(metadata!T7,"missing: not collected"),EXACT(metadata!T7,"missing: not provided"),EXACT(metadata!T7,"missing: restricted access"))),AND(IF(metadata!T7="",FALSE,ISNUMBER(VALUE(metadata!T7))),metadata!T7&gt;=-180,metadata!T7&lt;=180))</f>
        <v>0</v>
      </c>
      <c r="BF7" t="b">
        <f>AND(IF(metadata!U7="",FALSE,TRUE),EXACT(metadata!U7,"Decimal degrees"))</f>
        <v>0</v>
      </c>
      <c r="BG7" t="b">
        <f>IF(metadata!V7="",FALSE,TRUE)</f>
        <v>0</v>
      </c>
      <c r="BH7" t="b">
        <f>OR(AND(IF(metadata!W7="",FALSE,TRUE),OR(EXACT(metadata!W7,"missing: not collected"),EXACT(metadata!W7,"missing: not provided"),EXACT(metadata!W7,"missing: restricted access"))),AND(IF(metadata!W7="",FALSE,TRUE),OR(EXACT(metadata!W7,"TRUE"),EXACT(metadata!W7,"FALSE"))))</f>
        <v>0</v>
      </c>
      <c r="BI7" t="b">
        <f>AND(IF(metadata!X7="",FALSE,TRUE),EXACT(metadata!X7,"other"))</f>
        <v>0</v>
      </c>
      <c r="BJ7" t="b">
        <f>IF(metadata!Y7="",FALSE,TRUE)</f>
        <v>0</v>
      </c>
      <c r="BK7" t="b">
        <f>OR(AND(IF(metadata!Z7="",FALSE,TRUE),OR(EXACT(metadata!Z7,"missing: not collected"),EXACT(metadata!Z7,"missing: not provided"))),AND(IF(metadata!Z7="",FALSE,IF(ISERROR(INT(metadata!Z7)),FALSE,INT(metadata!Z7)=metadata!Z7)),metadata!Z7&gt;0))</f>
        <v>0</v>
      </c>
      <c r="BL7" t="b">
        <f>AND(IF(metadata!AA7="",FALSE,TRUE),EXACT(metadata!AA7,"Not applicable"))</f>
        <v>0</v>
      </c>
      <c r="BM7" t="b">
        <f>IF(metadata!AB7="",FALSE,TRUE)</f>
        <v>0</v>
      </c>
    </row>
    <row r="8" spans="1:65" x14ac:dyDescent="0.2">
      <c r="A8" s="5" t="str">
        <f ca="1">IF(B8=" "," ",HYPERLINK(CONCATENATE("#metadata!",ADDRESS(INDEX($AH$2:$AH$1001,MATCH(ROWS($AF$2:AF8),$AF$2:$AF$1001,0),0),1)),INDEX($AK$2:$AK$1001,MATCH(ROWS($AF$2:AF8),$AF$2:$AF$1001,0),0)))</f>
        <v xml:space="preserve"> </v>
      </c>
      <c r="B8" s="4" t="str">
        <f ca="1">IF(OR(INDEX($AG$2:$AG$1001,MATCH(ROWS($AF$2:AF8),$AF$2:$AF$1001,0),1)&gt;=100000,INDEX($AM$1005:$BM$1005,1,MATCH(COLUMNS($AM$1006:AM1006),$AM$1006:$BM$1006,0))&gt;=100000), " ",IF(INDEX($AM$2:$BM$1001,MATCH(ROWS($AF$2:AF8),$AF$2:$AF$1001,0),MATCH(COLUMNS($AM$1006:AM1006),$AM$1006:$BM$1006,0)), HYPERLINK("#",""), HYPERLINK(CONCATENATE("#metadata!", ADDRESS(INDEX($AH$2:$AH$1001,MATCH(ROWS($AF$2:AF8),$AF$2:$AF$1001,0),0), INDEX($AM$1004:$BM$1004,1,MATCH(COLUMNS($AM$1006:AM1006),$AM$1006:$BM$1006,0)))),"Fix")))</f>
        <v xml:space="preserve"> </v>
      </c>
      <c r="C8" s="4" t="str">
        <f ca="1">IF(OR(INDEX($AG$2:$AG$1001,MATCH(ROWS($AF$2:AF8),$AF$2:$AF$1001,0),1)&gt;=100000,INDEX($AM$1005:$BM$1005,1,MATCH(COLUMNS($AM$1006:AN1006),$AM$1006:$BM$1006,0))&gt;=100000), " ",IF(INDEX($AM$2:$BM$1001,MATCH(ROWS($AF$2:AF8),$AF$2:$AF$1001,0),MATCH(COLUMNS($AM$1006:AN1006),$AM$1006:$BM$1006,0)), HYPERLINK("#",""), HYPERLINK(CONCATENATE("#metadata!", ADDRESS(INDEX($AH$2:$AH$1001,MATCH(ROWS($AF$2:AF8),$AF$2:$AF$1001,0),0), INDEX($AM$1004:$BM$1004,1,MATCH(COLUMNS($AM$1006:AN1006),$AM$1006:$BM$1006,0)))),"Fix")))</f>
        <v xml:space="preserve"> </v>
      </c>
      <c r="D8" s="4" t="str">
        <f ca="1">IF(OR(INDEX($AG$2:$AG$1001,MATCH(ROWS($AF$2:AF8),$AF$2:$AF$1001,0),1)&gt;=100000,INDEX($AM$1005:$BM$1005,1,MATCH(COLUMNS($AM$1006:AO1006),$AM$1006:$BM$1006,0))&gt;=100000), " ",IF(INDEX($AM$2:$BM$1001,MATCH(ROWS($AF$2:AF8),$AF$2:$AF$1001,0),MATCH(COLUMNS($AM$1006:AO1006),$AM$1006:$BM$1006,0)), HYPERLINK("#",""), HYPERLINK(CONCATENATE("#metadata!", ADDRESS(INDEX($AH$2:$AH$1001,MATCH(ROWS($AF$2:AF8),$AF$2:$AF$1001,0),0), INDEX($AM$1004:$BM$1004,1,MATCH(COLUMNS($AM$1006:AO1006),$AM$1006:$BM$1006,0)))),"Fix")))</f>
        <v xml:space="preserve"> </v>
      </c>
      <c r="E8" s="4" t="str">
        <f ca="1">IF(OR(INDEX($AG$2:$AG$1001,MATCH(ROWS($AF$2:AF8),$AF$2:$AF$1001,0),1)&gt;=100000,INDEX($AM$1005:$BM$1005,1,MATCH(COLUMNS($AM$1006:AP1006),$AM$1006:$BM$1006,0))&gt;=100000), " ",IF(INDEX($AM$2:$BM$1001,MATCH(ROWS($AF$2:AF8),$AF$2:$AF$1001,0),MATCH(COLUMNS($AM$1006:AP1006),$AM$1006:$BM$1006,0)), HYPERLINK("#",""), HYPERLINK(CONCATENATE("#metadata!", ADDRESS(INDEX($AH$2:$AH$1001,MATCH(ROWS($AF$2:AF8),$AF$2:$AF$1001,0),0), INDEX($AM$1004:$BM$1004,1,MATCH(COLUMNS($AM$1006:AP1006),$AM$1006:$BM$1006,0)))),"Fix")))</f>
        <v xml:space="preserve"> </v>
      </c>
      <c r="F8" s="4" t="str">
        <f ca="1">IF(OR(INDEX($AG$2:$AG$1001,MATCH(ROWS($AF$2:AF8),$AF$2:$AF$1001,0),1)&gt;=100000,INDEX($AM$1005:$BM$1005,1,MATCH(COLUMNS($AM$1006:AQ1006),$AM$1006:$BM$1006,0))&gt;=100000), " ",IF(INDEX($AM$2:$BM$1001,MATCH(ROWS($AF$2:AF8),$AF$2:$AF$1001,0),MATCH(COLUMNS($AM$1006:AQ1006),$AM$1006:$BM$1006,0)), HYPERLINK("#",""), HYPERLINK(CONCATENATE("#metadata!", ADDRESS(INDEX($AH$2:$AH$1001,MATCH(ROWS($AF$2:AF8),$AF$2:$AF$1001,0),0), INDEX($AM$1004:$BM$1004,1,MATCH(COLUMNS($AM$1006:AQ1006),$AM$1006:$BM$1006,0)))),"Fix")))</f>
        <v xml:space="preserve"> </v>
      </c>
      <c r="G8" s="4" t="str">
        <f ca="1">IF(OR(INDEX($AG$2:$AG$1001,MATCH(ROWS($AF$2:AF8),$AF$2:$AF$1001,0),1)&gt;=100000,INDEX($AM$1005:$BM$1005,1,MATCH(COLUMNS($AM$1006:AR1006),$AM$1006:$BM$1006,0))&gt;=100000), " ",IF(INDEX($AM$2:$BM$1001,MATCH(ROWS($AF$2:AF8),$AF$2:$AF$1001,0),MATCH(COLUMNS($AM$1006:AR1006),$AM$1006:$BM$1006,0)), HYPERLINK("#",""), HYPERLINK(CONCATENATE("#metadata!", ADDRESS(INDEX($AH$2:$AH$1001,MATCH(ROWS($AF$2:AF8),$AF$2:$AF$1001,0),0), INDEX($AM$1004:$BM$1004,1,MATCH(COLUMNS($AM$1006:AR1006),$AM$1006:$BM$1006,0)))),"Fix")))</f>
        <v xml:space="preserve"> </v>
      </c>
      <c r="H8" s="4" t="str">
        <f ca="1">IF(OR(INDEX($AG$2:$AG$1001,MATCH(ROWS($AF$2:AF8),$AF$2:$AF$1001,0),1)&gt;=100000,INDEX($AM$1005:$BM$1005,1,MATCH(COLUMNS($AM$1006:AS1006),$AM$1006:$BM$1006,0))&gt;=100000), " ",IF(INDEX($AM$2:$BM$1001,MATCH(ROWS($AF$2:AF8),$AF$2:$AF$1001,0),MATCH(COLUMNS($AM$1006:AS1006),$AM$1006:$BM$1006,0)), HYPERLINK("#",""), HYPERLINK(CONCATENATE("#metadata!", ADDRESS(INDEX($AH$2:$AH$1001,MATCH(ROWS($AF$2:AF8),$AF$2:$AF$1001,0),0), INDEX($AM$1004:$BM$1004,1,MATCH(COLUMNS($AM$1006:AS1006),$AM$1006:$BM$1006,0)))),"Fix")))</f>
        <v xml:space="preserve"> </v>
      </c>
      <c r="I8" s="4" t="str">
        <f ca="1">IF(OR(INDEX($AG$2:$AG$1001,MATCH(ROWS($AF$2:AF8),$AF$2:$AF$1001,0),1)&gt;=100000,INDEX($AM$1005:$BM$1005,1,MATCH(COLUMNS($AM$1006:AT1006),$AM$1006:$BM$1006,0))&gt;=100000), " ",IF(INDEX($AM$2:$BM$1001,MATCH(ROWS($AF$2:AF8),$AF$2:$AF$1001,0),MATCH(COLUMNS($AM$1006:AT1006),$AM$1006:$BM$1006,0)), HYPERLINK("#",""), HYPERLINK(CONCATENATE("#metadata!", ADDRESS(INDEX($AH$2:$AH$1001,MATCH(ROWS($AF$2:AF8),$AF$2:$AF$1001,0),0), INDEX($AM$1004:$BM$1004,1,MATCH(COLUMNS($AM$1006:AT1006),$AM$1006:$BM$1006,0)))),"Fix")))</f>
        <v xml:space="preserve"> </v>
      </c>
      <c r="J8" s="4" t="str">
        <f ca="1">IF(OR(INDEX($AG$2:$AG$1001,MATCH(ROWS($AF$2:AF8),$AF$2:$AF$1001,0),1)&gt;=100000,INDEX($AM$1005:$BM$1005,1,MATCH(COLUMNS($AM$1006:AU1006),$AM$1006:$BM$1006,0))&gt;=100000), " ",IF(INDEX($AM$2:$BM$1001,MATCH(ROWS($AF$2:AF8),$AF$2:$AF$1001,0),MATCH(COLUMNS($AM$1006:AU1006),$AM$1006:$BM$1006,0)), HYPERLINK("#",""), HYPERLINK(CONCATENATE("#metadata!", ADDRESS(INDEX($AH$2:$AH$1001,MATCH(ROWS($AF$2:AF8),$AF$2:$AF$1001,0),0), INDEX($AM$1004:$BM$1004,1,MATCH(COLUMNS($AM$1006:AU1006),$AM$1006:$BM$1006,0)))),"Fix")))</f>
        <v xml:space="preserve"> </v>
      </c>
      <c r="K8" s="4" t="str">
        <f ca="1">IF(OR(INDEX($AG$2:$AG$1001,MATCH(ROWS($AF$2:AF8),$AF$2:$AF$1001,0),1)&gt;=100000,INDEX($AM$1005:$BM$1005,1,MATCH(COLUMNS($AM$1006:AV1006),$AM$1006:$BM$1006,0))&gt;=100000), " ",IF(INDEX($AM$2:$BM$1001,MATCH(ROWS($AF$2:AF8),$AF$2:$AF$1001,0),MATCH(COLUMNS($AM$1006:AV1006),$AM$1006:$BM$1006,0)), HYPERLINK("#",""), HYPERLINK(CONCATENATE("#metadata!", ADDRESS(INDEX($AH$2:$AH$1001,MATCH(ROWS($AF$2:AF8),$AF$2:$AF$1001,0),0), INDEX($AM$1004:$BM$1004,1,MATCH(COLUMNS($AM$1006:AV1006),$AM$1006:$BM$1006,0)))),"Fix")))</f>
        <v xml:space="preserve"> </v>
      </c>
      <c r="L8" s="4" t="str">
        <f ca="1">IF(OR(INDEX($AG$2:$AG$1001,MATCH(ROWS($AF$2:AF8),$AF$2:$AF$1001,0),1)&gt;=100000,INDEX($AM$1005:$BM$1005,1,MATCH(COLUMNS($AM$1006:AW1006),$AM$1006:$BM$1006,0))&gt;=100000), " ",IF(INDEX($AM$2:$BM$1001,MATCH(ROWS($AF$2:AF8),$AF$2:$AF$1001,0),MATCH(COLUMNS($AM$1006:AW1006),$AM$1006:$BM$1006,0)), HYPERLINK("#",""), HYPERLINK(CONCATENATE("#metadata!", ADDRESS(INDEX($AH$2:$AH$1001,MATCH(ROWS($AF$2:AF8),$AF$2:$AF$1001,0),0), INDEX($AM$1004:$BM$1004,1,MATCH(COLUMNS($AM$1006:AW1006),$AM$1006:$BM$1006,0)))),"Fix")))</f>
        <v xml:space="preserve"> </v>
      </c>
      <c r="M8" s="4" t="str">
        <f ca="1">IF(OR(INDEX($AG$2:$AG$1001,MATCH(ROWS($AF$2:AF8),$AF$2:$AF$1001,0),1)&gt;=100000,INDEX($AM$1005:$BM$1005,1,MATCH(COLUMNS($AM$1006:AX1006),$AM$1006:$BM$1006,0))&gt;=100000), " ",IF(INDEX($AM$2:$BM$1001,MATCH(ROWS($AF$2:AF8),$AF$2:$AF$1001,0),MATCH(COLUMNS($AM$1006:AX1006),$AM$1006:$BM$1006,0)), HYPERLINK("#",""), HYPERLINK(CONCATENATE("#metadata!", ADDRESS(INDEX($AH$2:$AH$1001,MATCH(ROWS($AF$2:AF8),$AF$2:$AF$1001,0),0), INDEX($AM$1004:$BM$1004,1,MATCH(COLUMNS($AM$1006:AX1006),$AM$1006:$BM$1006,0)))),"Fix")))</f>
        <v xml:space="preserve"> </v>
      </c>
      <c r="N8" s="4" t="str">
        <f ca="1">IF(OR(INDEX($AG$2:$AG$1001,MATCH(ROWS($AF$2:AF8),$AF$2:$AF$1001,0),1)&gt;=100000,INDEX($AM$1005:$BM$1005,1,MATCH(COLUMNS($AM$1006:AY1006),$AM$1006:$BM$1006,0))&gt;=100000), " ",IF(INDEX($AM$2:$BM$1001,MATCH(ROWS($AF$2:AF8),$AF$2:$AF$1001,0),MATCH(COLUMNS($AM$1006:AY1006),$AM$1006:$BM$1006,0)), HYPERLINK("#",""), HYPERLINK(CONCATENATE("#metadata!", ADDRESS(INDEX($AH$2:$AH$1001,MATCH(ROWS($AF$2:AF8),$AF$2:$AF$1001,0),0), INDEX($AM$1004:$BM$1004,1,MATCH(COLUMNS($AM$1006:AY1006),$AM$1006:$BM$1006,0)))),"Fix")))</f>
        <v xml:space="preserve"> </v>
      </c>
      <c r="O8" s="4" t="str">
        <f ca="1">IF(OR(INDEX($AG$2:$AG$1001,MATCH(ROWS($AF$2:AF8),$AF$2:$AF$1001,0),1)&gt;=100000,INDEX($AM$1005:$BM$1005,1,MATCH(COLUMNS($AM$1006:AZ1006),$AM$1006:$BM$1006,0))&gt;=100000), " ",IF(INDEX($AM$2:$BM$1001,MATCH(ROWS($AF$2:AF8),$AF$2:$AF$1001,0),MATCH(COLUMNS($AM$1006:AZ1006),$AM$1006:$BM$1006,0)), HYPERLINK("#",""), HYPERLINK(CONCATENATE("#metadata!", ADDRESS(INDEX($AH$2:$AH$1001,MATCH(ROWS($AF$2:AF8),$AF$2:$AF$1001,0),0), INDEX($AM$1004:$BM$1004,1,MATCH(COLUMNS($AM$1006:AZ1006),$AM$1006:$BM$1006,0)))),"Fix")))</f>
        <v xml:space="preserve"> </v>
      </c>
      <c r="P8" s="4" t="str">
        <f ca="1">IF(OR(INDEX($AG$2:$AG$1001,MATCH(ROWS($AF$2:AF8),$AF$2:$AF$1001,0),1)&gt;=100000,INDEX($AM$1005:$BM$1005,1,MATCH(COLUMNS($AM$1006:BA1006),$AM$1006:$BM$1006,0))&gt;=100000), " ",IF(INDEX($AM$2:$BM$1001,MATCH(ROWS($AF$2:AF8),$AF$2:$AF$1001,0),MATCH(COLUMNS($AM$1006:BA1006),$AM$1006:$BM$1006,0)), HYPERLINK("#",""), HYPERLINK(CONCATENATE("#metadata!", ADDRESS(INDEX($AH$2:$AH$1001,MATCH(ROWS($AF$2:AF8),$AF$2:$AF$1001,0),0), INDEX($AM$1004:$BM$1004,1,MATCH(COLUMNS($AM$1006:BA1006),$AM$1006:$BM$1006,0)))),"Fix")))</f>
        <v xml:space="preserve"> </v>
      </c>
      <c r="Q8" s="4" t="str">
        <f ca="1">IF(OR(INDEX($AG$2:$AG$1001,MATCH(ROWS($AF$2:AF8),$AF$2:$AF$1001,0),1)&gt;=100000,INDEX($AM$1005:$BM$1005,1,MATCH(COLUMNS($AM$1006:BB1006),$AM$1006:$BM$1006,0))&gt;=100000), " ",IF(INDEX($AM$2:$BM$1001,MATCH(ROWS($AF$2:AF8),$AF$2:$AF$1001,0),MATCH(COLUMNS($AM$1006:BB1006),$AM$1006:$BM$1006,0)), HYPERLINK("#",""), HYPERLINK(CONCATENATE("#metadata!", ADDRESS(INDEX($AH$2:$AH$1001,MATCH(ROWS($AF$2:AF8),$AF$2:$AF$1001,0),0), INDEX($AM$1004:$BM$1004,1,MATCH(COLUMNS($AM$1006:BB1006),$AM$1006:$BM$1006,0)))),"Fix")))</f>
        <v xml:space="preserve"> </v>
      </c>
      <c r="R8" s="4" t="str">
        <f ca="1">IF(OR(INDEX($AG$2:$AG$1001,MATCH(ROWS($AF$2:AF8),$AF$2:$AF$1001,0),1)&gt;=100000,INDEX($AM$1005:$BM$1005,1,MATCH(COLUMNS($AM$1006:BC1006),$AM$1006:$BM$1006,0))&gt;=100000), " ",IF(INDEX($AM$2:$BM$1001,MATCH(ROWS($AF$2:AF8),$AF$2:$AF$1001,0),MATCH(COLUMNS($AM$1006:BC1006),$AM$1006:$BM$1006,0)), HYPERLINK("#",""), HYPERLINK(CONCATENATE("#metadata!", ADDRESS(INDEX($AH$2:$AH$1001,MATCH(ROWS($AF$2:AF8),$AF$2:$AF$1001,0),0), INDEX($AM$1004:$BM$1004,1,MATCH(COLUMNS($AM$1006:BC1006),$AM$1006:$BM$1006,0)))),"Fix")))</f>
        <v xml:space="preserve"> </v>
      </c>
      <c r="S8" s="4" t="str">
        <f ca="1">IF(OR(INDEX($AG$2:$AG$1001,MATCH(ROWS($AF$2:AF8),$AF$2:$AF$1001,0),1)&gt;=100000,INDEX($AM$1005:$BM$1005,1,MATCH(COLUMNS($AM$1006:BD1006),$AM$1006:$BM$1006,0))&gt;=100000), " ",IF(INDEX($AM$2:$BM$1001,MATCH(ROWS($AF$2:AF8),$AF$2:$AF$1001,0),MATCH(COLUMNS($AM$1006:BD1006),$AM$1006:$BM$1006,0)), HYPERLINK("#",""), HYPERLINK(CONCATENATE("#metadata!", ADDRESS(INDEX($AH$2:$AH$1001,MATCH(ROWS($AF$2:AF8),$AF$2:$AF$1001,0),0), INDEX($AM$1004:$BM$1004,1,MATCH(COLUMNS($AM$1006:BD1006),$AM$1006:$BM$1006,0)))),"Fix")))</f>
        <v xml:space="preserve"> </v>
      </c>
      <c r="T8" s="4" t="str">
        <f ca="1">IF(OR(INDEX($AG$2:$AG$1001,MATCH(ROWS($AF$2:AF8),$AF$2:$AF$1001,0),1)&gt;=100000,INDEX($AM$1005:$BM$1005,1,MATCH(COLUMNS($AM$1006:BE1006),$AM$1006:$BM$1006,0))&gt;=100000), " ",IF(INDEX($AM$2:$BM$1001,MATCH(ROWS($AF$2:AF8),$AF$2:$AF$1001,0),MATCH(COLUMNS($AM$1006:BE1006),$AM$1006:$BM$1006,0)), HYPERLINK("#",""), HYPERLINK(CONCATENATE("#metadata!", ADDRESS(INDEX($AH$2:$AH$1001,MATCH(ROWS($AF$2:AF8),$AF$2:$AF$1001,0),0), INDEX($AM$1004:$BM$1004,1,MATCH(COLUMNS($AM$1006:BE1006),$AM$1006:$BM$1006,0)))),"Fix")))</f>
        <v xml:space="preserve"> </v>
      </c>
      <c r="U8" s="4" t="str">
        <f ca="1">IF(OR(INDEX($AG$2:$AG$1001,MATCH(ROWS($AF$2:AF8),$AF$2:$AF$1001,0),1)&gt;=100000,INDEX($AM$1005:$BM$1005,1,MATCH(COLUMNS($AM$1006:BF1006),$AM$1006:$BM$1006,0))&gt;=100000), " ",IF(INDEX($AM$2:$BM$1001,MATCH(ROWS($AF$2:AF8),$AF$2:$AF$1001,0),MATCH(COLUMNS($AM$1006:BF1006),$AM$1006:$BM$1006,0)), HYPERLINK("#",""), HYPERLINK(CONCATENATE("#metadata!", ADDRESS(INDEX($AH$2:$AH$1001,MATCH(ROWS($AF$2:AF8),$AF$2:$AF$1001,0),0), INDEX($AM$1004:$BM$1004,1,MATCH(COLUMNS($AM$1006:BF1006),$AM$1006:$BM$1006,0)))),"Fix")))</f>
        <v xml:space="preserve"> </v>
      </c>
      <c r="V8" s="4" t="str">
        <f ca="1">IF(OR(INDEX($AG$2:$AG$1001,MATCH(ROWS($AF$2:AF8),$AF$2:$AF$1001,0),1)&gt;=100000,INDEX($AM$1005:$BM$1005,1,MATCH(COLUMNS($AM$1006:BG1006),$AM$1006:$BM$1006,0))&gt;=100000), " ",IF(INDEX($AM$2:$BM$1001,MATCH(ROWS($AF$2:AF8),$AF$2:$AF$1001,0),MATCH(COLUMNS($AM$1006:BG1006),$AM$1006:$BM$1006,0)), HYPERLINK("#",""), HYPERLINK(CONCATENATE("#metadata!", ADDRESS(INDEX($AH$2:$AH$1001,MATCH(ROWS($AF$2:AF8),$AF$2:$AF$1001,0),0), INDEX($AM$1004:$BM$1004,1,MATCH(COLUMNS($AM$1006:BG1006),$AM$1006:$BM$1006,0)))),"Fix")))</f>
        <v xml:space="preserve"> </v>
      </c>
      <c r="W8" s="4" t="str">
        <f ca="1">IF(OR(INDEX($AG$2:$AG$1001,MATCH(ROWS($AF$2:AF8),$AF$2:$AF$1001,0),1)&gt;=100000,INDEX($AM$1005:$BM$1005,1,MATCH(COLUMNS($AM$1006:BH1006),$AM$1006:$BM$1006,0))&gt;=100000), " ",IF(INDEX($AM$2:$BM$1001,MATCH(ROWS($AF$2:AF8),$AF$2:$AF$1001,0),MATCH(COLUMNS($AM$1006:BH1006),$AM$1006:$BM$1006,0)), HYPERLINK("#",""), HYPERLINK(CONCATENATE("#metadata!", ADDRESS(INDEX($AH$2:$AH$1001,MATCH(ROWS($AF$2:AF8),$AF$2:$AF$1001,0),0), INDEX($AM$1004:$BM$1004,1,MATCH(COLUMNS($AM$1006:BH1006),$AM$1006:$BM$1006,0)))),"Fix")))</f>
        <v xml:space="preserve"> </v>
      </c>
      <c r="X8" s="4" t="str">
        <f ca="1">IF(OR(INDEX($AG$2:$AG$1001,MATCH(ROWS($AF$2:AF8),$AF$2:$AF$1001,0),1)&gt;=100000,INDEX($AM$1005:$BM$1005,1,MATCH(COLUMNS($AM$1006:BI1006),$AM$1006:$BM$1006,0))&gt;=100000), " ",IF(INDEX($AM$2:$BM$1001,MATCH(ROWS($AF$2:AF8),$AF$2:$AF$1001,0),MATCH(COLUMNS($AM$1006:BI1006),$AM$1006:$BM$1006,0)), HYPERLINK("#",""), HYPERLINK(CONCATENATE("#metadata!", ADDRESS(INDEX($AH$2:$AH$1001,MATCH(ROWS($AF$2:AF8),$AF$2:$AF$1001,0),0), INDEX($AM$1004:$BM$1004,1,MATCH(COLUMNS($AM$1006:BI1006),$AM$1006:$BM$1006,0)))),"Fix")))</f>
        <v xml:space="preserve"> </v>
      </c>
      <c r="Y8" s="4" t="str">
        <f ca="1">IF(OR(INDEX($AG$2:$AG$1001,MATCH(ROWS($AF$2:AF8),$AF$2:$AF$1001,0),1)&gt;=100000,INDEX($AM$1005:$BM$1005,1,MATCH(COLUMNS($AM$1006:BJ1006),$AM$1006:$BM$1006,0))&gt;=100000), " ",IF(INDEX($AM$2:$BM$1001,MATCH(ROWS($AF$2:AF8),$AF$2:$AF$1001,0),MATCH(COLUMNS($AM$1006:BJ1006),$AM$1006:$BM$1006,0)), HYPERLINK("#",""), HYPERLINK(CONCATENATE("#metadata!", ADDRESS(INDEX($AH$2:$AH$1001,MATCH(ROWS($AF$2:AF8),$AF$2:$AF$1001,0),0), INDEX($AM$1004:$BM$1004,1,MATCH(COLUMNS($AM$1006:BJ1006),$AM$1006:$BM$1006,0)))),"Fix")))</f>
        <v xml:space="preserve"> </v>
      </c>
      <c r="Z8" s="4" t="str">
        <f ca="1">IF(OR(INDEX($AG$2:$AG$1001,MATCH(ROWS($AF$2:AF8),$AF$2:$AF$1001,0),1)&gt;=100000,INDEX($AM$1005:$BM$1005,1,MATCH(COLUMNS($AM$1006:BK1006),$AM$1006:$BM$1006,0))&gt;=100000), " ",IF(INDEX($AM$2:$BM$1001,MATCH(ROWS($AF$2:AF8),$AF$2:$AF$1001,0),MATCH(COLUMNS($AM$1006:BK1006),$AM$1006:$BM$1006,0)), HYPERLINK("#",""), HYPERLINK(CONCATENATE("#metadata!", ADDRESS(INDEX($AH$2:$AH$1001,MATCH(ROWS($AF$2:AF8),$AF$2:$AF$1001,0),0), INDEX($AM$1004:$BM$1004,1,MATCH(COLUMNS($AM$1006:BK1006),$AM$1006:$BM$1006,0)))),"Fix")))</f>
        <v xml:space="preserve"> </v>
      </c>
      <c r="AA8" s="4" t="str">
        <f ca="1">IF(OR(INDEX($AG$2:$AG$1001,MATCH(ROWS($AF$2:AF8),$AF$2:$AF$1001,0),1)&gt;=100000,INDEX($AM$1005:$BM$1005,1,MATCH(COLUMNS($AM$1006:BL1006),$AM$1006:$BM$1006,0))&gt;=100000), " ",IF(INDEX($AM$2:$BM$1001,MATCH(ROWS($AF$2:AF8),$AF$2:$AF$1001,0),MATCH(COLUMNS($AM$1006:BL1006),$AM$1006:$BM$1006,0)), HYPERLINK("#",""), HYPERLINK(CONCATENATE("#metadata!", ADDRESS(INDEX($AH$2:$AH$1001,MATCH(ROWS($AF$2:AF8),$AF$2:$AF$1001,0),0), INDEX($AM$1004:$BM$1004,1,MATCH(COLUMNS($AM$1006:BL1006),$AM$1006:$BM$1006,0)))),"Fix")))</f>
        <v xml:space="preserve"> </v>
      </c>
      <c r="AB8" s="4" t="str">
        <f ca="1">IF(OR(INDEX($AG$2:$AG$1001,MATCH(ROWS($AF$2:AF8),$AF$2:$AF$1001,0),1)&gt;=100000,INDEX($AM$1005:$BM$1005,1,MATCH(COLUMNS($AM$1006:BM1006),$AM$1006:$BM$1006,0))&gt;=100000), " ",IF(INDEX($AM$2:$BM$1001,MATCH(ROWS($AF$2:AF8),$AF$2:$AF$1001,0),MATCH(COLUMNS($AM$1006:BM1006),$AM$1006:$BM$1006,0)), HYPERLINK("#",""), HYPERLINK(CONCATENATE("#metadata!", ADDRESS(INDEX($AH$2:$AH$1001,MATCH(ROWS($AF$2:AF8),$AF$2:$AF$1001,0),0), INDEX($AM$1004:$BM$1004,1,MATCH(COLUMNS($AM$1006:BM1006),$AM$1006:$BM$1006,0)))),"Fix")))</f>
        <v xml:space="preserve"> </v>
      </c>
      <c r="AF8">
        <v>7</v>
      </c>
      <c r="AG8">
        <v>100008</v>
      </c>
      <c r="AH8">
        <v>8</v>
      </c>
      <c r="AI8" t="b">
        <f t="shared" si="0"/>
        <v>1</v>
      </c>
      <c r="AJ8" t="b">
        <f>COUNTBLANK(metadata!B8:AB8)=COLUMNS(metadata!B8:AB8)</f>
        <v>1</v>
      </c>
      <c r="AK8" t="str">
        <v/>
      </c>
      <c r="AM8" t="b">
        <f ca="1">AND(IF(metadata!B8="",FALSE,TRUE),COUNTIF(metadata!B:B, metadata!B8) = 1,NOT(ISERROR(SUMPRODUCT(SEARCH(MID(metadata!B8,ROW(INDIRECT("1:"&amp;LEN(metadata!B8))), 1),"0123456789abcdefghijklmnopqrstuvwxyzABCDEFGHIJKLMNOPQRSTUVWXYZ.")))))</f>
        <v>0</v>
      </c>
      <c r="AN8" t="b">
        <f ca="1">OR(AND(IF(metadata!C8="",FALSE,TRUE),OR(EXACT(metadata!C8,"missing: not collected"),EXACT(metadata!C8,"missing: not provided"),EXACT(metadata!C8,"missing: restricted access"))),AND(IF(metadata!C8="",FALSE,TRUE),AND(AND(IFERROR(INT(LEFT(metadata!C8,4))&gt;1900,FALSE),IFERROR(INT(LEFT(metadata!C8,4))&lt;=YEAR(NOW()),FALSE)), OR(MID(metadata!C8,5,1)="", AND(AND(MID(metadata!C8,5,1)="-",IFERROR(INT(MID(metadata!C8,6,1))&gt;=0,FALSE),IFERROR(INT(MID(metadata!C8,6,1))&lt;=1,FALSE),NOT(MID(metadata!C8,7,1)=""),IFERROR(INT(MID(metadata!C8,6,2))&gt;=1,FALSE),IFERROR(INT(MID(metadata!C8,6,2))&lt;=12,FALSE)), OR(MID(metadata!C8,8,1)="", AND(AND(MID(metadata!C8,8,1)="-",IFERROR(INT(MID(metadata!C8,9,1))&gt;=0,FALSE),IFERROR(INT(MID(metadata!C8,9,1))&lt;=3,FALSE),NOT(MID(metadata!C8,10,1)=""),IFERROR(INT(MID(metadata!C8,9,2))&gt;=1,FALSE),IFERROR(INT(MID(metadata!C8,9,2))&lt;=31,FALSE)), OR(MID(metadata!C8,11,1)="", AND(AND(MID(metadata!C8,11,1)=" ",IFERROR(INT(MID(metadata!C8,12,1))&gt;=0,FALSE),IFERROR(INT(MID(metadata!C8,12,1))&lt;=2,FALSE),NOT(MID(metadata!C8,13,1)=""),IFERROR(INT(MID(metadata!C8,12,2))&gt;=0,FALSE),IFERROR(INT(MID(metadata!C8,12,2))&lt;=23,FALSE)), OR(MID(metadata!C8,14,1)="", AND(AND(MID(metadata!C8,14,1)=":",IFERROR(INT(MID(metadata!C8,15,1))&gt;=0,FALSE),IFERROR(INT(MID(metadata!C8,15,1))&lt;=5,FALSE),NOT(MID(metadata!C8,16,1)=""),IFERROR(INT(MID(metadata!C8,15,2))&gt;=0,FALSE),IFERROR(INT(MID(metadata!C8,15,2))&lt;=59,FALSE)), OR(MID(metadata!C8,17,1)="", AND(AND(MID(metadata!C8,17,1)=":",IFERROR(INT(MID(metadata!C8,18,1))&gt;=0,FALSE),IFERROR(INT(MID(metadata!C8,18,1))&lt;=5,FALSE),NOT(MID(metadata!C8,19,1)=""),IFERROR(INT(MID(metadata!C8,18,2))&gt;=0,FALSE),IFERROR(INT(MID(metadata!C8,18,2))&lt;=59,FALSE)), LEN(metadata!C8)&lt;=19)))))))))))))</f>
        <v>0</v>
      </c>
      <c r="AO8" t="b">
        <f>AND(IF(metadata!D8="",FALSE,TRUE),EXACT(metadata!D8,"Not applicable"))</f>
        <v>0</v>
      </c>
      <c r="AP8" t="b">
        <f>IF(metadata!E8="",FALSE,TRUE)</f>
        <v>0</v>
      </c>
      <c r="AQ8" t="b">
        <f>OR(AND(IF(metadata!F8="",FALSE,TRUE),OR(EXACT(metadata!F8,"missing: not collected"),EXACT(metadata!F8,"missing: not provided"))),AND(IF(metadata!F8="",FALSE,TRUE),OR(EXACT(metadata!F8,"TRUE"),EXACT(metadata!F8,"FALSE"))))</f>
        <v>0</v>
      </c>
      <c r="AR8" t="b">
        <f>OR(AND(IF(metadata!G8="",FALSE,TRUE),OR(EXACT(metadata!G8,"missing: not collected"),EXACT(metadata!G8,"missing: not provided"),EXACT(metadata!G8,"missing: restricted access"))),AND(IF(metadata!G8="",FALSE,ISNUMBER(VALUE(metadata!G8))),metadata!G8&gt;=-413))</f>
        <v>0</v>
      </c>
      <c r="AS8" t="b">
        <f>AND(IF(metadata!H8="",FALSE,TRUE),EXACT(metadata!H8,"meters"))</f>
        <v>0</v>
      </c>
      <c r="AT8" t="b">
        <f>AND(IF(metadata!I8="",FALSE,TRUE),OR(EXACT(metadata!I8,"Host-associated"),EXACT(metadata!I8,"Free-living")))</f>
        <v>0</v>
      </c>
      <c r="AU8" t="b">
        <f>AND(IF(metadata!J8="",FALSE,TRUE),OR(EXACT(metadata!J8,"Animal"),EXACT(metadata!J8,"Fungus"),EXACT(metadata!J8,"Plant"),EXACT(metadata!J8,"Saline"),EXACT(metadata!J8,"Non-saline")))</f>
        <v>0</v>
      </c>
      <c r="AV8" t="b">
        <f>AND(IF(metadata!K8="",FALSE,TRUE),OR(EXACT(metadata!K8,"Plant secretion"),EXACT(metadata!K8,"Plant rhizosphere"),EXACT(metadata!K8,"Plant surface"),EXACT(metadata!K8,"Plant corpus"),EXACT(metadata!K8,"Fungus surface"),EXACT(metadata!K8,"Fungus corpus"),EXACT(metadata!K8,"Animal surface"),EXACT(metadata!K8,"Animal proximal gut"),EXACT(metadata!K8,"Animal corpus"),EXACT(metadata!K8,"Animal distal gut"),EXACT(metadata!K8,"Animal secretion"),EXACT(metadata!K8,"Sub-surface (non-saline)"),EXACT(metadata!K8,"Surface (non-saline)"),EXACT(metadata!K8,"Water (non-saline)"),EXACT(metadata!K8,"Soil (non-saline)"),EXACT(metadata!K8,"Aerosol (non-saline)"),EXACT(metadata!K8,"Sediment (non-saline)"),EXACT(metadata!K8,"Surface (saline)"),EXACT(metadata!K8,"Water (saline)"),EXACT(metadata!K8,"Hypersaline (saline)"),EXACT(metadata!K8,"Aerosol (saline)"),EXACT(metadata!K8,"Sediment (saline)")))</f>
        <v>0</v>
      </c>
      <c r="AW8" t="b">
        <f>IF(metadata!L8="",FALSE,TRUE)</f>
        <v>0</v>
      </c>
      <c r="AX8" t="b">
        <f>IF(metadata!M8="",FALSE,TRUE)</f>
        <v>0</v>
      </c>
      <c r="AY8" t="b">
        <f>IF(metadata!N8="",FALSE,TRUE)</f>
        <v>0</v>
      </c>
      <c r="AZ8" t="b">
        <f>OR(AND(IF(metadata!O8="",FALSE,TRUE),OR(EXACT(metadata!O8,"missing: not collected"),EXACT(metadata!O8,"missing: not provided"),EXACT(metadata!O8,"missing: restricted access"))),AND(IF(metadata!O8="",FALSE,TRUE),OR(EXACT(metadata!O8,"air"),EXACT(metadata!O8,"built environment"),EXACT(metadata!O8,"host-associated"),EXACT(metadata!O8,"human-associated"),EXACT(metadata!O8,"human-skin"),EXACT(metadata!O8,"human-oral"),EXACT(metadata!O8,"human-gut"),EXACT(metadata!O8,"human-vaginal"),EXACT(metadata!O8,"microbial mat/biofilm"),EXACT(metadata!O8,"misc environment"),EXACT(metadata!O8,"plant-associated"),EXACT(metadata!O8,"sediment"),EXACT(metadata!O8,"soil"),EXACT(metadata!O8,"wastewater/sludge"),EXACT(metadata!O8,"water"))))</f>
        <v>0</v>
      </c>
      <c r="BA8" t="b">
        <f>IF(metadata!P8="",FALSE,TRUE)</f>
        <v>0</v>
      </c>
      <c r="BB8" t="b">
        <f>IF(metadata!Q8="",FALSE,TRUE)</f>
        <v>0</v>
      </c>
      <c r="BC8" t="b">
        <f>OR(AND(IF(metadata!R8="",FALSE,TRUE),OR(EXACT(metadata!R8,"missing: not collected"),EXACT(metadata!R8,"missing: not provided"),EXACT(metadata!R8,"missing: restricted access"))),AND(IF(metadata!R8="",FALSE,ISNUMBER(VALUE(metadata!R8))),metadata!R8&gt;=-90,metadata!R8&lt;=90))</f>
        <v>0</v>
      </c>
      <c r="BD8" t="b">
        <f>AND(IF(metadata!S8="",FALSE,TRUE),EXACT(metadata!S8,"Decimal degrees"))</f>
        <v>0</v>
      </c>
      <c r="BE8" t="b">
        <f>OR(AND(IF(metadata!T8="",FALSE,TRUE),OR(EXACT(metadata!T8,"missing: not collected"),EXACT(metadata!T8,"missing: not provided"),EXACT(metadata!T8,"missing: restricted access"))),AND(IF(metadata!T8="",FALSE,ISNUMBER(VALUE(metadata!T8))),metadata!T8&gt;=-180,metadata!T8&lt;=180))</f>
        <v>0</v>
      </c>
      <c r="BF8" t="b">
        <f>AND(IF(metadata!U8="",FALSE,TRUE),EXACT(metadata!U8,"Decimal degrees"))</f>
        <v>0</v>
      </c>
      <c r="BG8" t="b">
        <f>IF(metadata!V8="",FALSE,TRUE)</f>
        <v>0</v>
      </c>
      <c r="BH8" t="b">
        <f>OR(AND(IF(metadata!W8="",FALSE,TRUE),OR(EXACT(metadata!W8,"missing: not collected"),EXACT(metadata!W8,"missing: not provided"),EXACT(metadata!W8,"missing: restricted access"))),AND(IF(metadata!W8="",FALSE,TRUE),OR(EXACT(metadata!W8,"TRUE"),EXACT(metadata!W8,"FALSE"))))</f>
        <v>0</v>
      </c>
      <c r="BI8" t="b">
        <f>AND(IF(metadata!X8="",FALSE,TRUE),EXACT(metadata!X8,"other"))</f>
        <v>0</v>
      </c>
      <c r="BJ8" t="b">
        <f>IF(metadata!Y8="",FALSE,TRUE)</f>
        <v>0</v>
      </c>
      <c r="BK8" t="b">
        <f>OR(AND(IF(metadata!Z8="",FALSE,TRUE),OR(EXACT(metadata!Z8,"missing: not collected"),EXACT(metadata!Z8,"missing: not provided"))),AND(IF(metadata!Z8="",FALSE,IF(ISERROR(INT(metadata!Z8)),FALSE,INT(metadata!Z8)=metadata!Z8)),metadata!Z8&gt;0))</f>
        <v>0</v>
      </c>
      <c r="BL8" t="b">
        <f>AND(IF(metadata!AA8="",FALSE,TRUE),EXACT(metadata!AA8,"Not applicable"))</f>
        <v>0</v>
      </c>
      <c r="BM8" t="b">
        <f>IF(metadata!AB8="",FALSE,TRUE)</f>
        <v>0</v>
      </c>
    </row>
    <row r="9" spans="1:65" x14ac:dyDescent="0.2">
      <c r="A9" s="5" t="str">
        <f ca="1">IF(B9=" "," ",HYPERLINK(CONCATENATE("#metadata!",ADDRESS(INDEX($AH$2:$AH$1001,MATCH(ROWS($AF$2:AF9),$AF$2:$AF$1001,0),0),1)),INDEX($AK$2:$AK$1001,MATCH(ROWS($AF$2:AF9),$AF$2:$AF$1001,0),0)))</f>
        <v xml:space="preserve"> </v>
      </c>
      <c r="B9" s="4" t="str">
        <f ca="1">IF(OR(INDEX($AG$2:$AG$1001,MATCH(ROWS($AF$2:AF9),$AF$2:$AF$1001,0),1)&gt;=100000,INDEX($AM$1005:$BM$1005,1,MATCH(COLUMNS($AM$1006:AM1006),$AM$1006:$BM$1006,0))&gt;=100000), " ",IF(INDEX($AM$2:$BM$1001,MATCH(ROWS($AF$2:AF9),$AF$2:$AF$1001,0),MATCH(COLUMNS($AM$1006:AM1006),$AM$1006:$BM$1006,0)), HYPERLINK("#",""), HYPERLINK(CONCATENATE("#metadata!", ADDRESS(INDEX($AH$2:$AH$1001,MATCH(ROWS($AF$2:AF9),$AF$2:$AF$1001,0),0), INDEX($AM$1004:$BM$1004,1,MATCH(COLUMNS($AM$1006:AM1006),$AM$1006:$BM$1006,0)))),"Fix")))</f>
        <v xml:space="preserve"> </v>
      </c>
      <c r="C9" s="4" t="str">
        <f ca="1">IF(OR(INDEX($AG$2:$AG$1001,MATCH(ROWS($AF$2:AF9),$AF$2:$AF$1001,0),1)&gt;=100000,INDEX($AM$1005:$BM$1005,1,MATCH(COLUMNS($AM$1006:AN1006),$AM$1006:$BM$1006,0))&gt;=100000), " ",IF(INDEX($AM$2:$BM$1001,MATCH(ROWS($AF$2:AF9),$AF$2:$AF$1001,0),MATCH(COLUMNS($AM$1006:AN1006),$AM$1006:$BM$1006,0)), HYPERLINK("#",""), HYPERLINK(CONCATENATE("#metadata!", ADDRESS(INDEX($AH$2:$AH$1001,MATCH(ROWS($AF$2:AF9),$AF$2:$AF$1001,0),0), INDEX($AM$1004:$BM$1004,1,MATCH(COLUMNS($AM$1006:AN1006),$AM$1006:$BM$1006,0)))),"Fix")))</f>
        <v xml:space="preserve"> </v>
      </c>
      <c r="D9" s="4" t="str">
        <f ca="1">IF(OR(INDEX($AG$2:$AG$1001,MATCH(ROWS($AF$2:AF9),$AF$2:$AF$1001,0),1)&gt;=100000,INDEX($AM$1005:$BM$1005,1,MATCH(COLUMNS($AM$1006:AO1006),$AM$1006:$BM$1006,0))&gt;=100000), " ",IF(INDEX($AM$2:$BM$1001,MATCH(ROWS($AF$2:AF9),$AF$2:$AF$1001,0),MATCH(COLUMNS($AM$1006:AO1006),$AM$1006:$BM$1006,0)), HYPERLINK("#",""), HYPERLINK(CONCATENATE("#metadata!", ADDRESS(INDEX($AH$2:$AH$1001,MATCH(ROWS($AF$2:AF9),$AF$2:$AF$1001,0),0), INDEX($AM$1004:$BM$1004,1,MATCH(COLUMNS($AM$1006:AO1006),$AM$1006:$BM$1006,0)))),"Fix")))</f>
        <v xml:space="preserve"> </v>
      </c>
      <c r="E9" s="4" t="str">
        <f ca="1">IF(OR(INDEX($AG$2:$AG$1001,MATCH(ROWS($AF$2:AF9),$AF$2:$AF$1001,0),1)&gt;=100000,INDEX($AM$1005:$BM$1005,1,MATCH(COLUMNS($AM$1006:AP1006),$AM$1006:$BM$1006,0))&gt;=100000), " ",IF(INDEX($AM$2:$BM$1001,MATCH(ROWS($AF$2:AF9),$AF$2:$AF$1001,0),MATCH(COLUMNS($AM$1006:AP1006),$AM$1006:$BM$1006,0)), HYPERLINK("#",""), HYPERLINK(CONCATENATE("#metadata!", ADDRESS(INDEX($AH$2:$AH$1001,MATCH(ROWS($AF$2:AF9),$AF$2:$AF$1001,0),0), INDEX($AM$1004:$BM$1004,1,MATCH(COLUMNS($AM$1006:AP1006),$AM$1006:$BM$1006,0)))),"Fix")))</f>
        <v xml:space="preserve"> </v>
      </c>
      <c r="F9" s="4" t="str">
        <f ca="1">IF(OR(INDEX($AG$2:$AG$1001,MATCH(ROWS($AF$2:AF9),$AF$2:$AF$1001,0),1)&gt;=100000,INDEX($AM$1005:$BM$1005,1,MATCH(COLUMNS($AM$1006:AQ1006),$AM$1006:$BM$1006,0))&gt;=100000), " ",IF(INDEX($AM$2:$BM$1001,MATCH(ROWS($AF$2:AF9),$AF$2:$AF$1001,0),MATCH(COLUMNS($AM$1006:AQ1006),$AM$1006:$BM$1006,0)), HYPERLINK("#",""), HYPERLINK(CONCATENATE("#metadata!", ADDRESS(INDEX($AH$2:$AH$1001,MATCH(ROWS($AF$2:AF9),$AF$2:$AF$1001,0),0), INDEX($AM$1004:$BM$1004,1,MATCH(COLUMNS($AM$1006:AQ1006),$AM$1006:$BM$1006,0)))),"Fix")))</f>
        <v xml:space="preserve"> </v>
      </c>
      <c r="G9" s="4" t="str">
        <f ca="1">IF(OR(INDEX($AG$2:$AG$1001,MATCH(ROWS($AF$2:AF9),$AF$2:$AF$1001,0),1)&gt;=100000,INDEX($AM$1005:$BM$1005,1,MATCH(COLUMNS($AM$1006:AR1006),$AM$1006:$BM$1006,0))&gt;=100000), " ",IF(INDEX($AM$2:$BM$1001,MATCH(ROWS($AF$2:AF9),$AF$2:$AF$1001,0),MATCH(COLUMNS($AM$1006:AR1006),$AM$1006:$BM$1006,0)), HYPERLINK("#",""), HYPERLINK(CONCATENATE("#metadata!", ADDRESS(INDEX($AH$2:$AH$1001,MATCH(ROWS($AF$2:AF9),$AF$2:$AF$1001,0),0), INDEX($AM$1004:$BM$1004,1,MATCH(COLUMNS($AM$1006:AR1006),$AM$1006:$BM$1006,0)))),"Fix")))</f>
        <v xml:space="preserve"> </v>
      </c>
      <c r="H9" s="4" t="str">
        <f ca="1">IF(OR(INDEX($AG$2:$AG$1001,MATCH(ROWS($AF$2:AF9),$AF$2:$AF$1001,0),1)&gt;=100000,INDEX($AM$1005:$BM$1005,1,MATCH(COLUMNS($AM$1006:AS1006),$AM$1006:$BM$1006,0))&gt;=100000), " ",IF(INDEX($AM$2:$BM$1001,MATCH(ROWS($AF$2:AF9),$AF$2:$AF$1001,0),MATCH(COLUMNS($AM$1006:AS1006),$AM$1006:$BM$1006,0)), HYPERLINK("#",""), HYPERLINK(CONCATENATE("#metadata!", ADDRESS(INDEX($AH$2:$AH$1001,MATCH(ROWS($AF$2:AF9),$AF$2:$AF$1001,0),0), INDEX($AM$1004:$BM$1004,1,MATCH(COLUMNS($AM$1006:AS1006),$AM$1006:$BM$1006,0)))),"Fix")))</f>
        <v xml:space="preserve"> </v>
      </c>
      <c r="I9" s="4" t="str">
        <f ca="1">IF(OR(INDEX($AG$2:$AG$1001,MATCH(ROWS($AF$2:AF9),$AF$2:$AF$1001,0),1)&gt;=100000,INDEX($AM$1005:$BM$1005,1,MATCH(COLUMNS($AM$1006:AT1006),$AM$1006:$BM$1006,0))&gt;=100000), " ",IF(INDEX($AM$2:$BM$1001,MATCH(ROWS($AF$2:AF9),$AF$2:$AF$1001,0),MATCH(COLUMNS($AM$1006:AT1006),$AM$1006:$BM$1006,0)), HYPERLINK("#",""), HYPERLINK(CONCATENATE("#metadata!", ADDRESS(INDEX($AH$2:$AH$1001,MATCH(ROWS($AF$2:AF9),$AF$2:$AF$1001,0),0), INDEX($AM$1004:$BM$1004,1,MATCH(COLUMNS($AM$1006:AT1006),$AM$1006:$BM$1006,0)))),"Fix")))</f>
        <v xml:space="preserve"> </v>
      </c>
      <c r="J9" s="4" t="str">
        <f ca="1">IF(OR(INDEX($AG$2:$AG$1001,MATCH(ROWS($AF$2:AF9),$AF$2:$AF$1001,0),1)&gt;=100000,INDEX($AM$1005:$BM$1005,1,MATCH(COLUMNS($AM$1006:AU1006),$AM$1006:$BM$1006,0))&gt;=100000), " ",IF(INDEX($AM$2:$BM$1001,MATCH(ROWS($AF$2:AF9),$AF$2:$AF$1001,0),MATCH(COLUMNS($AM$1006:AU1006),$AM$1006:$BM$1006,0)), HYPERLINK("#",""), HYPERLINK(CONCATENATE("#metadata!", ADDRESS(INDEX($AH$2:$AH$1001,MATCH(ROWS($AF$2:AF9),$AF$2:$AF$1001,0),0), INDEX($AM$1004:$BM$1004,1,MATCH(COLUMNS($AM$1006:AU1006),$AM$1006:$BM$1006,0)))),"Fix")))</f>
        <v xml:space="preserve"> </v>
      </c>
      <c r="K9" s="4" t="str">
        <f ca="1">IF(OR(INDEX($AG$2:$AG$1001,MATCH(ROWS($AF$2:AF9),$AF$2:$AF$1001,0),1)&gt;=100000,INDEX($AM$1005:$BM$1005,1,MATCH(COLUMNS($AM$1006:AV1006),$AM$1006:$BM$1006,0))&gt;=100000), " ",IF(INDEX($AM$2:$BM$1001,MATCH(ROWS($AF$2:AF9),$AF$2:$AF$1001,0),MATCH(COLUMNS($AM$1006:AV1006),$AM$1006:$BM$1006,0)), HYPERLINK("#",""), HYPERLINK(CONCATENATE("#metadata!", ADDRESS(INDEX($AH$2:$AH$1001,MATCH(ROWS($AF$2:AF9),$AF$2:$AF$1001,0),0), INDEX($AM$1004:$BM$1004,1,MATCH(COLUMNS($AM$1006:AV1006),$AM$1006:$BM$1006,0)))),"Fix")))</f>
        <v xml:space="preserve"> </v>
      </c>
      <c r="L9" s="4" t="str">
        <f ca="1">IF(OR(INDEX($AG$2:$AG$1001,MATCH(ROWS($AF$2:AF9),$AF$2:$AF$1001,0),1)&gt;=100000,INDEX($AM$1005:$BM$1005,1,MATCH(COLUMNS($AM$1006:AW1006),$AM$1006:$BM$1006,0))&gt;=100000), " ",IF(INDEX($AM$2:$BM$1001,MATCH(ROWS($AF$2:AF9),$AF$2:$AF$1001,0),MATCH(COLUMNS($AM$1006:AW1006),$AM$1006:$BM$1006,0)), HYPERLINK("#",""), HYPERLINK(CONCATENATE("#metadata!", ADDRESS(INDEX($AH$2:$AH$1001,MATCH(ROWS($AF$2:AF9),$AF$2:$AF$1001,0),0), INDEX($AM$1004:$BM$1004,1,MATCH(COLUMNS($AM$1006:AW1006),$AM$1006:$BM$1006,0)))),"Fix")))</f>
        <v xml:space="preserve"> </v>
      </c>
      <c r="M9" s="4" t="str">
        <f ca="1">IF(OR(INDEX($AG$2:$AG$1001,MATCH(ROWS($AF$2:AF9),$AF$2:$AF$1001,0),1)&gt;=100000,INDEX($AM$1005:$BM$1005,1,MATCH(COLUMNS($AM$1006:AX1006),$AM$1006:$BM$1006,0))&gt;=100000), " ",IF(INDEX($AM$2:$BM$1001,MATCH(ROWS($AF$2:AF9),$AF$2:$AF$1001,0),MATCH(COLUMNS($AM$1006:AX1006),$AM$1006:$BM$1006,0)), HYPERLINK("#",""), HYPERLINK(CONCATENATE("#metadata!", ADDRESS(INDEX($AH$2:$AH$1001,MATCH(ROWS($AF$2:AF9),$AF$2:$AF$1001,0),0), INDEX($AM$1004:$BM$1004,1,MATCH(COLUMNS($AM$1006:AX1006),$AM$1006:$BM$1006,0)))),"Fix")))</f>
        <v xml:space="preserve"> </v>
      </c>
      <c r="N9" s="4" t="str">
        <f ca="1">IF(OR(INDEX($AG$2:$AG$1001,MATCH(ROWS($AF$2:AF9),$AF$2:$AF$1001,0),1)&gt;=100000,INDEX($AM$1005:$BM$1005,1,MATCH(COLUMNS($AM$1006:AY1006),$AM$1006:$BM$1006,0))&gt;=100000), " ",IF(INDEX($AM$2:$BM$1001,MATCH(ROWS($AF$2:AF9),$AF$2:$AF$1001,0),MATCH(COLUMNS($AM$1006:AY1006),$AM$1006:$BM$1006,0)), HYPERLINK("#",""), HYPERLINK(CONCATENATE("#metadata!", ADDRESS(INDEX($AH$2:$AH$1001,MATCH(ROWS($AF$2:AF9),$AF$2:$AF$1001,0),0), INDEX($AM$1004:$BM$1004,1,MATCH(COLUMNS($AM$1006:AY1006),$AM$1006:$BM$1006,0)))),"Fix")))</f>
        <v xml:space="preserve"> </v>
      </c>
      <c r="O9" s="4" t="str">
        <f ca="1">IF(OR(INDEX($AG$2:$AG$1001,MATCH(ROWS($AF$2:AF9),$AF$2:$AF$1001,0),1)&gt;=100000,INDEX($AM$1005:$BM$1005,1,MATCH(COLUMNS($AM$1006:AZ1006),$AM$1006:$BM$1006,0))&gt;=100000), " ",IF(INDEX($AM$2:$BM$1001,MATCH(ROWS($AF$2:AF9),$AF$2:$AF$1001,0),MATCH(COLUMNS($AM$1006:AZ1006),$AM$1006:$BM$1006,0)), HYPERLINK("#",""), HYPERLINK(CONCATENATE("#metadata!", ADDRESS(INDEX($AH$2:$AH$1001,MATCH(ROWS($AF$2:AF9),$AF$2:$AF$1001,0),0), INDEX($AM$1004:$BM$1004,1,MATCH(COLUMNS($AM$1006:AZ1006),$AM$1006:$BM$1006,0)))),"Fix")))</f>
        <v xml:space="preserve"> </v>
      </c>
      <c r="P9" s="4" t="str">
        <f ca="1">IF(OR(INDEX($AG$2:$AG$1001,MATCH(ROWS($AF$2:AF9),$AF$2:$AF$1001,0),1)&gt;=100000,INDEX($AM$1005:$BM$1005,1,MATCH(COLUMNS($AM$1006:BA1006),$AM$1006:$BM$1006,0))&gt;=100000), " ",IF(INDEX($AM$2:$BM$1001,MATCH(ROWS($AF$2:AF9),$AF$2:$AF$1001,0),MATCH(COLUMNS($AM$1006:BA1006),$AM$1006:$BM$1006,0)), HYPERLINK("#",""), HYPERLINK(CONCATENATE("#metadata!", ADDRESS(INDEX($AH$2:$AH$1001,MATCH(ROWS($AF$2:AF9),$AF$2:$AF$1001,0),0), INDEX($AM$1004:$BM$1004,1,MATCH(COLUMNS($AM$1006:BA1006),$AM$1006:$BM$1006,0)))),"Fix")))</f>
        <v xml:space="preserve"> </v>
      </c>
      <c r="Q9" s="4" t="str">
        <f ca="1">IF(OR(INDEX($AG$2:$AG$1001,MATCH(ROWS($AF$2:AF9),$AF$2:$AF$1001,0),1)&gt;=100000,INDEX($AM$1005:$BM$1005,1,MATCH(COLUMNS($AM$1006:BB1006),$AM$1006:$BM$1006,0))&gt;=100000), " ",IF(INDEX($AM$2:$BM$1001,MATCH(ROWS($AF$2:AF9),$AF$2:$AF$1001,0),MATCH(COLUMNS($AM$1006:BB1006),$AM$1006:$BM$1006,0)), HYPERLINK("#",""), HYPERLINK(CONCATENATE("#metadata!", ADDRESS(INDEX($AH$2:$AH$1001,MATCH(ROWS($AF$2:AF9),$AF$2:$AF$1001,0),0), INDEX($AM$1004:$BM$1004,1,MATCH(COLUMNS($AM$1006:BB1006),$AM$1006:$BM$1006,0)))),"Fix")))</f>
        <v xml:space="preserve"> </v>
      </c>
      <c r="R9" s="4" t="str">
        <f ca="1">IF(OR(INDEX($AG$2:$AG$1001,MATCH(ROWS($AF$2:AF9),$AF$2:$AF$1001,0),1)&gt;=100000,INDEX($AM$1005:$BM$1005,1,MATCH(COLUMNS($AM$1006:BC1006),$AM$1006:$BM$1006,0))&gt;=100000), " ",IF(INDEX($AM$2:$BM$1001,MATCH(ROWS($AF$2:AF9),$AF$2:$AF$1001,0),MATCH(COLUMNS($AM$1006:BC1006),$AM$1006:$BM$1006,0)), HYPERLINK("#",""), HYPERLINK(CONCATENATE("#metadata!", ADDRESS(INDEX($AH$2:$AH$1001,MATCH(ROWS($AF$2:AF9),$AF$2:$AF$1001,0),0), INDEX($AM$1004:$BM$1004,1,MATCH(COLUMNS($AM$1006:BC1006),$AM$1006:$BM$1006,0)))),"Fix")))</f>
        <v xml:space="preserve"> </v>
      </c>
      <c r="S9" s="4" t="str">
        <f ca="1">IF(OR(INDEX($AG$2:$AG$1001,MATCH(ROWS($AF$2:AF9),$AF$2:$AF$1001,0),1)&gt;=100000,INDEX($AM$1005:$BM$1005,1,MATCH(COLUMNS($AM$1006:BD1006),$AM$1006:$BM$1006,0))&gt;=100000), " ",IF(INDEX($AM$2:$BM$1001,MATCH(ROWS($AF$2:AF9),$AF$2:$AF$1001,0),MATCH(COLUMNS($AM$1006:BD1006),$AM$1006:$BM$1006,0)), HYPERLINK("#",""), HYPERLINK(CONCATENATE("#metadata!", ADDRESS(INDEX($AH$2:$AH$1001,MATCH(ROWS($AF$2:AF9),$AF$2:$AF$1001,0),0), INDEX($AM$1004:$BM$1004,1,MATCH(COLUMNS($AM$1006:BD1006),$AM$1006:$BM$1006,0)))),"Fix")))</f>
        <v xml:space="preserve"> </v>
      </c>
      <c r="T9" s="4" t="str">
        <f ca="1">IF(OR(INDEX($AG$2:$AG$1001,MATCH(ROWS($AF$2:AF9),$AF$2:$AF$1001,0),1)&gt;=100000,INDEX($AM$1005:$BM$1005,1,MATCH(COLUMNS($AM$1006:BE1006),$AM$1006:$BM$1006,0))&gt;=100000), " ",IF(INDEX($AM$2:$BM$1001,MATCH(ROWS($AF$2:AF9),$AF$2:$AF$1001,0),MATCH(COLUMNS($AM$1006:BE1006),$AM$1006:$BM$1006,0)), HYPERLINK("#",""), HYPERLINK(CONCATENATE("#metadata!", ADDRESS(INDEX($AH$2:$AH$1001,MATCH(ROWS($AF$2:AF9),$AF$2:$AF$1001,0),0), INDEX($AM$1004:$BM$1004,1,MATCH(COLUMNS($AM$1006:BE1006),$AM$1006:$BM$1006,0)))),"Fix")))</f>
        <v xml:space="preserve"> </v>
      </c>
      <c r="U9" s="4" t="str">
        <f ca="1">IF(OR(INDEX($AG$2:$AG$1001,MATCH(ROWS($AF$2:AF9),$AF$2:$AF$1001,0),1)&gt;=100000,INDEX($AM$1005:$BM$1005,1,MATCH(COLUMNS($AM$1006:BF1006),$AM$1006:$BM$1006,0))&gt;=100000), " ",IF(INDEX($AM$2:$BM$1001,MATCH(ROWS($AF$2:AF9),$AF$2:$AF$1001,0),MATCH(COLUMNS($AM$1006:BF1006),$AM$1006:$BM$1006,0)), HYPERLINK("#",""), HYPERLINK(CONCATENATE("#metadata!", ADDRESS(INDEX($AH$2:$AH$1001,MATCH(ROWS($AF$2:AF9),$AF$2:$AF$1001,0),0), INDEX($AM$1004:$BM$1004,1,MATCH(COLUMNS($AM$1006:BF1006),$AM$1006:$BM$1006,0)))),"Fix")))</f>
        <v xml:space="preserve"> </v>
      </c>
      <c r="V9" s="4" t="str">
        <f ca="1">IF(OR(INDEX($AG$2:$AG$1001,MATCH(ROWS($AF$2:AF9),$AF$2:$AF$1001,0),1)&gt;=100000,INDEX($AM$1005:$BM$1005,1,MATCH(COLUMNS($AM$1006:BG1006),$AM$1006:$BM$1006,0))&gt;=100000), " ",IF(INDEX($AM$2:$BM$1001,MATCH(ROWS($AF$2:AF9),$AF$2:$AF$1001,0),MATCH(COLUMNS($AM$1006:BG1006),$AM$1006:$BM$1006,0)), HYPERLINK("#",""), HYPERLINK(CONCATENATE("#metadata!", ADDRESS(INDEX($AH$2:$AH$1001,MATCH(ROWS($AF$2:AF9),$AF$2:$AF$1001,0),0), INDEX($AM$1004:$BM$1004,1,MATCH(COLUMNS($AM$1006:BG1006),$AM$1006:$BM$1006,0)))),"Fix")))</f>
        <v xml:space="preserve"> </v>
      </c>
      <c r="W9" s="4" t="str">
        <f ca="1">IF(OR(INDEX($AG$2:$AG$1001,MATCH(ROWS($AF$2:AF9),$AF$2:$AF$1001,0),1)&gt;=100000,INDEX($AM$1005:$BM$1005,1,MATCH(COLUMNS($AM$1006:BH1006),$AM$1006:$BM$1006,0))&gt;=100000), " ",IF(INDEX($AM$2:$BM$1001,MATCH(ROWS($AF$2:AF9),$AF$2:$AF$1001,0),MATCH(COLUMNS($AM$1006:BH1006),$AM$1006:$BM$1006,0)), HYPERLINK("#",""), HYPERLINK(CONCATENATE("#metadata!", ADDRESS(INDEX($AH$2:$AH$1001,MATCH(ROWS($AF$2:AF9),$AF$2:$AF$1001,0),0), INDEX($AM$1004:$BM$1004,1,MATCH(COLUMNS($AM$1006:BH1006),$AM$1006:$BM$1006,0)))),"Fix")))</f>
        <v xml:space="preserve"> </v>
      </c>
      <c r="X9" s="4" t="str">
        <f ca="1">IF(OR(INDEX($AG$2:$AG$1001,MATCH(ROWS($AF$2:AF9),$AF$2:$AF$1001,0),1)&gt;=100000,INDEX($AM$1005:$BM$1005,1,MATCH(COLUMNS($AM$1006:BI1006),$AM$1006:$BM$1006,0))&gt;=100000), " ",IF(INDEX($AM$2:$BM$1001,MATCH(ROWS($AF$2:AF9),$AF$2:$AF$1001,0),MATCH(COLUMNS($AM$1006:BI1006),$AM$1006:$BM$1006,0)), HYPERLINK("#",""), HYPERLINK(CONCATENATE("#metadata!", ADDRESS(INDEX($AH$2:$AH$1001,MATCH(ROWS($AF$2:AF9),$AF$2:$AF$1001,0),0), INDEX($AM$1004:$BM$1004,1,MATCH(COLUMNS($AM$1006:BI1006),$AM$1006:$BM$1006,0)))),"Fix")))</f>
        <v xml:space="preserve"> </v>
      </c>
      <c r="Y9" s="4" t="str">
        <f ca="1">IF(OR(INDEX($AG$2:$AG$1001,MATCH(ROWS($AF$2:AF9),$AF$2:$AF$1001,0),1)&gt;=100000,INDEX($AM$1005:$BM$1005,1,MATCH(COLUMNS($AM$1006:BJ1006),$AM$1006:$BM$1006,0))&gt;=100000), " ",IF(INDEX($AM$2:$BM$1001,MATCH(ROWS($AF$2:AF9),$AF$2:$AF$1001,0),MATCH(COLUMNS($AM$1006:BJ1006),$AM$1006:$BM$1006,0)), HYPERLINK("#",""), HYPERLINK(CONCATENATE("#metadata!", ADDRESS(INDEX($AH$2:$AH$1001,MATCH(ROWS($AF$2:AF9),$AF$2:$AF$1001,0),0), INDEX($AM$1004:$BM$1004,1,MATCH(COLUMNS($AM$1006:BJ1006),$AM$1006:$BM$1006,0)))),"Fix")))</f>
        <v xml:space="preserve"> </v>
      </c>
      <c r="Z9" s="4" t="str">
        <f ca="1">IF(OR(INDEX($AG$2:$AG$1001,MATCH(ROWS($AF$2:AF9),$AF$2:$AF$1001,0),1)&gt;=100000,INDEX($AM$1005:$BM$1005,1,MATCH(COLUMNS($AM$1006:BK1006),$AM$1006:$BM$1006,0))&gt;=100000), " ",IF(INDEX($AM$2:$BM$1001,MATCH(ROWS($AF$2:AF9),$AF$2:$AF$1001,0),MATCH(COLUMNS($AM$1006:BK1006),$AM$1006:$BM$1006,0)), HYPERLINK("#",""), HYPERLINK(CONCATENATE("#metadata!", ADDRESS(INDEX($AH$2:$AH$1001,MATCH(ROWS($AF$2:AF9),$AF$2:$AF$1001,0),0), INDEX($AM$1004:$BM$1004,1,MATCH(COLUMNS($AM$1006:BK1006),$AM$1006:$BM$1006,0)))),"Fix")))</f>
        <v xml:space="preserve"> </v>
      </c>
      <c r="AA9" s="4" t="str">
        <f ca="1">IF(OR(INDEX($AG$2:$AG$1001,MATCH(ROWS($AF$2:AF9),$AF$2:$AF$1001,0),1)&gt;=100000,INDEX($AM$1005:$BM$1005,1,MATCH(COLUMNS($AM$1006:BL1006),$AM$1006:$BM$1006,0))&gt;=100000), " ",IF(INDEX($AM$2:$BM$1001,MATCH(ROWS($AF$2:AF9),$AF$2:$AF$1001,0),MATCH(COLUMNS($AM$1006:BL1006),$AM$1006:$BM$1006,0)), HYPERLINK("#",""), HYPERLINK(CONCATENATE("#metadata!", ADDRESS(INDEX($AH$2:$AH$1001,MATCH(ROWS($AF$2:AF9),$AF$2:$AF$1001,0),0), INDEX($AM$1004:$BM$1004,1,MATCH(COLUMNS($AM$1006:BL1006),$AM$1006:$BM$1006,0)))),"Fix")))</f>
        <v xml:space="preserve"> </v>
      </c>
      <c r="AB9" s="4" t="str">
        <f ca="1">IF(OR(INDEX($AG$2:$AG$1001,MATCH(ROWS($AF$2:AF9),$AF$2:$AF$1001,0),1)&gt;=100000,INDEX($AM$1005:$BM$1005,1,MATCH(COLUMNS($AM$1006:BM1006),$AM$1006:$BM$1006,0))&gt;=100000), " ",IF(INDEX($AM$2:$BM$1001,MATCH(ROWS($AF$2:AF9),$AF$2:$AF$1001,0),MATCH(COLUMNS($AM$1006:BM1006),$AM$1006:$BM$1006,0)), HYPERLINK("#",""), HYPERLINK(CONCATENATE("#metadata!", ADDRESS(INDEX($AH$2:$AH$1001,MATCH(ROWS($AF$2:AF9),$AF$2:$AF$1001,0),0), INDEX($AM$1004:$BM$1004,1,MATCH(COLUMNS($AM$1006:BM1006),$AM$1006:$BM$1006,0)))),"Fix")))</f>
        <v xml:space="preserve"> </v>
      </c>
      <c r="AF9">
        <v>8</v>
      </c>
      <c r="AG9">
        <v>100009</v>
      </c>
      <c r="AH9">
        <v>9</v>
      </c>
      <c r="AI9" t="b">
        <f t="shared" si="0"/>
        <v>1</v>
      </c>
      <c r="AJ9" t="b">
        <f>COUNTBLANK(metadata!B9:AB9)=COLUMNS(metadata!B9:AB9)</f>
        <v>1</v>
      </c>
      <c r="AK9" t="str">
        <v/>
      </c>
      <c r="AM9" t="b">
        <f ca="1">AND(IF(metadata!B9="",FALSE,TRUE),COUNTIF(metadata!B:B, metadata!B9) = 1,NOT(ISERROR(SUMPRODUCT(SEARCH(MID(metadata!B9,ROW(INDIRECT("1:"&amp;LEN(metadata!B9))), 1),"0123456789abcdefghijklmnopqrstuvwxyzABCDEFGHIJKLMNOPQRSTUVWXYZ.")))))</f>
        <v>0</v>
      </c>
      <c r="AN9" t="b">
        <f ca="1">OR(AND(IF(metadata!C9="",FALSE,TRUE),OR(EXACT(metadata!C9,"missing: not collected"),EXACT(metadata!C9,"missing: not provided"),EXACT(metadata!C9,"missing: restricted access"))),AND(IF(metadata!C9="",FALSE,TRUE),AND(AND(IFERROR(INT(LEFT(metadata!C9,4))&gt;1900,FALSE),IFERROR(INT(LEFT(metadata!C9,4))&lt;=YEAR(NOW()),FALSE)), OR(MID(metadata!C9,5,1)="", AND(AND(MID(metadata!C9,5,1)="-",IFERROR(INT(MID(metadata!C9,6,1))&gt;=0,FALSE),IFERROR(INT(MID(metadata!C9,6,1))&lt;=1,FALSE),NOT(MID(metadata!C9,7,1)=""),IFERROR(INT(MID(metadata!C9,6,2))&gt;=1,FALSE),IFERROR(INT(MID(metadata!C9,6,2))&lt;=12,FALSE)), OR(MID(metadata!C9,8,1)="", AND(AND(MID(metadata!C9,8,1)="-",IFERROR(INT(MID(metadata!C9,9,1))&gt;=0,FALSE),IFERROR(INT(MID(metadata!C9,9,1))&lt;=3,FALSE),NOT(MID(metadata!C9,10,1)=""),IFERROR(INT(MID(metadata!C9,9,2))&gt;=1,FALSE),IFERROR(INT(MID(metadata!C9,9,2))&lt;=31,FALSE)), OR(MID(metadata!C9,11,1)="", AND(AND(MID(metadata!C9,11,1)=" ",IFERROR(INT(MID(metadata!C9,12,1))&gt;=0,FALSE),IFERROR(INT(MID(metadata!C9,12,1))&lt;=2,FALSE),NOT(MID(metadata!C9,13,1)=""),IFERROR(INT(MID(metadata!C9,12,2))&gt;=0,FALSE),IFERROR(INT(MID(metadata!C9,12,2))&lt;=23,FALSE)), OR(MID(metadata!C9,14,1)="", AND(AND(MID(metadata!C9,14,1)=":",IFERROR(INT(MID(metadata!C9,15,1))&gt;=0,FALSE),IFERROR(INT(MID(metadata!C9,15,1))&lt;=5,FALSE),NOT(MID(metadata!C9,16,1)=""),IFERROR(INT(MID(metadata!C9,15,2))&gt;=0,FALSE),IFERROR(INT(MID(metadata!C9,15,2))&lt;=59,FALSE)), OR(MID(metadata!C9,17,1)="", AND(AND(MID(metadata!C9,17,1)=":",IFERROR(INT(MID(metadata!C9,18,1))&gt;=0,FALSE),IFERROR(INT(MID(metadata!C9,18,1))&lt;=5,FALSE),NOT(MID(metadata!C9,19,1)=""),IFERROR(INT(MID(metadata!C9,18,2))&gt;=0,FALSE),IFERROR(INT(MID(metadata!C9,18,2))&lt;=59,FALSE)), LEN(metadata!C9)&lt;=19)))))))))))))</f>
        <v>0</v>
      </c>
      <c r="AO9" t="b">
        <f>AND(IF(metadata!D9="",FALSE,TRUE),EXACT(metadata!D9,"Not applicable"))</f>
        <v>0</v>
      </c>
      <c r="AP9" t="b">
        <f>IF(metadata!E9="",FALSE,TRUE)</f>
        <v>0</v>
      </c>
      <c r="AQ9" t="b">
        <f>OR(AND(IF(metadata!F9="",FALSE,TRUE),OR(EXACT(metadata!F9,"missing: not collected"),EXACT(metadata!F9,"missing: not provided"))),AND(IF(metadata!F9="",FALSE,TRUE),OR(EXACT(metadata!F9,"TRUE"),EXACT(metadata!F9,"FALSE"))))</f>
        <v>0</v>
      </c>
      <c r="AR9" t="b">
        <f>OR(AND(IF(metadata!G9="",FALSE,TRUE),OR(EXACT(metadata!G9,"missing: not collected"),EXACT(metadata!G9,"missing: not provided"),EXACT(metadata!G9,"missing: restricted access"))),AND(IF(metadata!G9="",FALSE,ISNUMBER(VALUE(metadata!G9))),metadata!G9&gt;=-413))</f>
        <v>0</v>
      </c>
      <c r="AS9" t="b">
        <f>AND(IF(metadata!H9="",FALSE,TRUE),EXACT(metadata!H9,"meters"))</f>
        <v>0</v>
      </c>
      <c r="AT9" t="b">
        <f>AND(IF(metadata!I9="",FALSE,TRUE),OR(EXACT(metadata!I9,"Host-associated"),EXACT(metadata!I9,"Free-living")))</f>
        <v>0</v>
      </c>
      <c r="AU9" t="b">
        <f>AND(IF(metadata!J9="",FALSE,TRUE),OR(EXACT(metadata!J9,"Animal"),EXACT(metadata!J9,"Fungus"),EXACT(metadata!J9,"Plant"),EXACT(metadata!J9,"Saline"),EXACT(metadata!J9,"Non-saline")))</f>
        <v>0</v>
      </c>
      <c r="AV9" t="b">
        <f>AND(IF(metadata!K9="",FALSE,TRUE),OR(EXACT(metadata!K9,"Plant secretion"),EXACT(metadata!K9,"Plant rhizosphere"),EXACT(metadata!K9,"Plant surface"),EXACT(metadata!K9,"Plant corpus"),EXACT(metadata!K9,"Fungus surface"),EXACT(metadata!K9,"Fungus corpus"),EXACT(metadata!K9,"Animal surface"),EXACT(metadata!K9,"Animal proximal gut"),EXACT(metadata!K9,"Animal corpus"),EXACT(metadata!K9,"Animal distal gut"),EXACT(metadata!K9,"Animal secretion"),EXACT(metadata!K9,"Sub-surface (non-saline)"),EXACT(metadata!K9,"Surface (non-saline)"),EXACT(metadata!K9,"Water (non-saline)"),EXACT(metadata!K9,"Soil (non-saline)"),EXACT(metadata!K9,"Aerosol (non-saline)"),EXACT(metadata!K9,"Sediment (non-saline)"),EXACT(metadata!K9,"Surface (saline)"),EXACT(metadata!K9,"Water (saline)"),EXACT(metadata!K9,"Hypersaline (saline)"),EXACT(metadata!K9,"Aerosol (saline)"),EXACT(metadata!K9,"Sediment (saline)")))</f>
        <v>0</v>
      </c>
      <c r="AW9" t="b">
        <f>IF(metadata!L9="",FALSE,TRUE)</f>
        <v>0</v>
      </c>
      <c r="AX9" t="b">
        <f>IF(metadata!M9="",FALSE,TRUE)</f>
        <v>0</v>
      </c>
      <c r="AY9" t="b">
        <f>IF(metadata!N9="",FALSE,TRUE)</f>
        <v>0</v>
      </c>
      <c r="AZ9" t="b">
        <f>OR(AND(IF(metadata!O9="",FALSE,TRUE),OR(EXACT(metadata!O9,"missing: not collected"),EXACT(metadata!O9,"missing: not provided"),EXACT(metadata!O9,"missing: restricted access"))),AND(IF(metadata!O9="",FALSE,TRUE),OR(EXACT(metadata!O9,"air"),EXACT(metadata!O9,"built environment"),EXACT(metadata!O9,"host-associated"),EXACT(metadata!O9,"human-associated"),EXACT(metadata!O9,"human-skin"),EXACT(metadata!O9,"human-oral"),EXACT(metadata!O9,"human-gut"),EXACT(metadata!O9,"human-vaginal"),EXACT(metadata!O9,"microbial mat/biofilm"),EXACT(metadata!O9,"misc environment"),EXACT(metadata!O9,"plant-associated"),EXACT(metadata!O9,"sediment"),EXACT(metadata!O9,"soil"),EXACT(metadata!O9,"wastewater/sludge"),EXACT(metadata!O9,"water"))))</f>
        <v>0</v>
      </c>
      <c r="BA9" t="b">
        <f>IF(metadata!P9="",FALSE,TRUE)</f>
        <v>0</v>
      </c>
      <c r="BB9" t="b">
        <f>IF(metadata!Q9="",FALSE,TRUE)</f>
        <v>0</v>
      </c>
      <c r="BC9" t="b">
        <f>OR(AND(IF(metadata!R9="",FALSE,TRUE),OR(EXACT(metadata!R9,"missing: not collected"),EXACT(metadata!R9,"missing: not provided"),EXACT(metadata!R9,"missing: restricted access"))),AND(IF(metadata!R9="",FALSE,ISNUMBER(VALUE(metadata!R9))),metadata!R9&gt;=-90,metadata!R9&lt;=90))</f>
        <v>0</v>
      </c>
      <c r="BD9" t="b">
        <f>AND(IF(metadata!S9="",FALSE,TRUE),EXACT(metadata!S9,"Decimal degrees"))</f>
        <v>0</v>
      </c>
      <c r="BE9" t="b">
        <f>OR(AND(IF(metadata!T9="",FALSE,TRUE),OR(EXACT(metadata!T9,"missing: not collected"),EXACT(metadata!T9,"missing: not provided"),EXACT(metadata!T9,"missing: restricted access"))),AND(IF(metadata!T9="",FALSE,ISNUMBER(VALUE(metadata!T9))),metadata!T9&gt;=-180,metadata!T9&lt;=180))</f>
        <v>0</v>
      </c>
      <c r="BF9" t="b">
        <f>AND(IF(metadata!U9="",FALSE,TRUE),EXACT(metadata!U9,"Decimal degrees"))</f>
        <v>0</v>
      </c>
      <c r="BG9" t="b">
        <f>IF(metadata!V9="",FALSE,TRUE)</f>
        <v>0</v>
      </c>
      <c r="BH9" t="b">
        <f>OR(AND(IF(metadata!W9="",FALSE,TRUE),OR(EXACT(metadata!W9,"missing: not collected"),EXACT(metadata!W9,"missing: not provided"),EXACT(metadata!W9,"missing: restricted access"))),AND(IF(metadata!W9="",FALSE,TRUE),OR(EXACT(metadata!W9,"TRUE"),EXACT(metadata!W9,"FALSE"))))</f>
        <v>0</v>
      </c>
      <c r="BI9" t="b">
        <f>AND(IF(metadata!X9="",FALSE,TRUE),EXACT(metadata!X9,"other"))</f>
        <v>0</v>
      </c>
      <c r="BJ9" t="b">
        <f>IF(metadata!Y9="",FALSE,TRUE)</f>
        <v>0</v>
      </c>
      <c r="BK9" t="b">
        <f>OR(AND(IF(metadata!Z9="",FALSE,TRUE),OR(EXACT(metadata!Z9,"missing: not collected"),EXACT(metadata!Z9,"missing: not provided"))),AND(IF(metadata!Z9="",FALSE,IF(ISERROR(INT(metadata!Z9)),FALSE,INT(metadata!Z9)=metadata!Z9)),metadata!Z9&gt;0))</f>
        <v>0</v>
      </c>
      <c r="BL9" t="b">
        <f>AND(IF(metadata!AA9="",FALSE,TRUE),EXACT(metadata!AA9,"Not applicable"))</f>
        <v>0</v>
      </c>
      <c r="BM9" t="b">
        <f>IF(metadata!AB9="",FALSE,TRUE)</f>
        <v>0</v>
      </c>
    </row>
    <row r="10" spans="1:65" x14ac:dyDescent="0.2">
      <c r="A10" s="5" t="str">
        <f ca="1">IF(B10=" "," ",HYPERLINK(CONCATENATE("#metadata!",ADDRESS(INDEX($AH$2:$AH$1001,MATCH(ROWS($AF$2:AF10),$AF$2:$AF$1001,0),0),1)),INDEX($AK$2:$AK$1001,MATCH(ROWS($AF$2:AF10),$AF$2:$AF$1001,0),0)))</f>
        <v xml:space="preserve"> </v>
      </c>
      <c r="B10" s="4" t="str">
        <f ca="1">IF(OR(INDEX($AG$2:$AG$1001,MATCH(ROWS($AF$2:AF10),$AF$2:$AF$1001,0),1)&gt;=100000,INDEX($AM$1005:$BM$1005,1,MATCH(COLUMNS($AM$1006:AM1006),$AM$1006:$BM$1006,0))&gt;=100000), " ",IF(INDEX($AM$2:$BM$1001,MATCH(ROWS($AF$2:AF10),$AF$2:$AF$1001,0),MATCH(COLUMNS($AM$1006:AM1006),$AM$1006:$BM$1006,0)), HYPERLINK("#",""), HYPERLINK(CONCATENATE("#metadata!", ADDRESS(INDEX($AH$2:$AH$1001,MATCH(ROWS($AF$2:AF10),$AF$2:$AF$1001,0),0), INDEX($AM$1004:$BM$1004,1,MATCH(COLUMNS($AM$1006:AM1006),$AM$1006:$BM$1006,0)))),"Fix")))</f>
        <v xml:space="preserve"> </v>
      </c>
      <c r="C10" s="4" t="str">
        <f ca="1">IF(OR(INDEX($AG$2:$AG$1001,MATCH(ROWS($AF$2:AF10),$AF$2:$AF$1001,0),1)&gt;=100000,INDEX($AM$1005:$BM$1005,1,MATCH(COLUMNS($AM$1006:AN1006),$AM$1006:$BM$1006,0))&gt;=100000), " ",IF(INDEX($AM$2:$BM$1001,MATCH(ROWS($AF$2:AF10),$AF$2:$AF$1001,0),MATCH(COLUMNS($AM$1006:AN1006),$AM$1006:$BM$1006,0)), HYPERLINK("#",""), HYPERLINK(CONCATENATE("#metadata!", ADDRESS(INDEX($AH$2:$AH$1001,MATCH(ROWS($AF$2:AF10),$AF$2:$AF$1001,0),0), INDEX($AM$1004:$BM$1004,1,MATCH(COLUMNS($AM$1006:AN1006),$AM$1006:$BM$1006,0)))),"Fix")))</f>
        <v xml:space="preserve"> </v>
      </c>
      <c r="D10" s="4" t="str">
        <f ca="1">IF(OR(INDEX($AG$2:$AG$1001,MATCH(ROWS($AF$2:AF10),$AF$2:$AF$1001,0),1)&gt;=100000,INDEX($AM$1005:$BM$1005,1,MATCH(COLUMNS($AM$1006:AO1006),$AM$1006:$BM$1006,0))&gt;=100000), " ",IF(INDEX($AM$2:$BM$1001,MATCH(ROWS($AF$2:AF10),$AF$2:$AF$1001,0),MATCH(COLUMNS($AM$1006:AO1006),$AM$1006:$BM$1006,0)), HYPERLINK("#",""), HYPERLINK(CONCATENATE("#metadata!", ADDRESS(INDEX($AH$2:$AH$1001,MATCH(ROWS($AF$2:AF10),$AF$2:$AF$1001,0),0), INDEX($AM$1004:$BM$1004,1,MATCH(COLUMNS($AM$1006:AO1006),$AM$1006:$BM$1006,0)))),"Fix")))</f>
        <v xml:space="preserve"> </v>
      </c>
      <c r="E10" s="4" t="str">
        <f ca="1">IF(OR(INDEX($AG$2:$AG$1001,MATCH(ROWS($AF$2:AF10),$AF$2:$AF$1001,0),1)&gt;=100000,INDEX($AM$1005:$BM$1005,1,MATCH(COLUMNS($AM$1006:AP1006),$AM$1006:$BM$1006,0))&gt;=100000), " ",IF(INDEX($AM$2:$BM$1001,MATCH(ROWS($AF$2:AF10),$AF$2:$AF$1001,0),MATCH(COLUMNS($AM$1006:AP1006),$AM$1006:$BM$1006,0)), HYPERLINK("#",""), HYPERLINK(CONCATENATE("#metadata!", ADDRESS(INDEX($AH$2:$AH$1001,MATCH(ROWS($AF$2:AF10),$AF$2:$AF$1001,0),0), INDEX($AM$1004:$BM$1004,1,MATCH(COLUMNS($AM$1006:AP1006),$AM$1006:$BM$1006,0)))),"Fix")))</f>
        <v xml:space="preserve"> </v>
      </c>
      <c r="F10" s="4" t="str">
        <f ca="1">IF(OR(INDEX($AG$2:$AG$1001,MATCH(ROWS($AF$2:AF10),$AF$2:$AF$1001,0),1)&gt;=100000,INDEX($AM$1005:$BM$1005,1,MATCH(COLUMNS($AM$1006:AQ1006),$AM$1006:$BM$1006,0))&gt;=100000), " ",IF(INDEX($AM$2:$BM$1001,MATCH(ROWS($AF$2:AF10),$AF$2:$AF$1001,0),MATCH(COLUMNS($AM$1006:AQ1006),$AM$1006:$BM$1006,0)), HYPERLINK("#",""), HYPERLINK(CONCATENATE("#metadata!", ADDRESS(INDEX($AH$2:$AH$1001,MATCH(ROWS($AF$2:AF10),$AF$2:$AF$1001,0),0), INDEX($AM$1004:$BM$1004,1,MATCH(COLUMNS($AM$1006:AQ1006),$AM$1006:$BM$1006,0)))),"Fix")))</f>
        <v xml:space="preserve"> </v>
      </c>
      <c r="G10" s="4" t="str">
        <f ca="1">IF(OR(INDEX($AG$2:$AG$1001,MATCH(ROWS($AF$2:AF10),$AF$2:$AF$1001,0),1)&gt;=100000,INDEX($AM$1005:$BM$1005,1,MATCH(COLUMNS($AM$1006:AR1006),$AM$1006:$BM$1006,0))&gt;=100000), " ",IF(INDEX($AM$2:$BM$1001,MATCH(ROWS($AF$2:AF10),$AF$2:$AF$1001,0),MATCH(COLUMNS($AM$1006:AR1006),$AM$1006:$BM$1006,0)), HYPERLINK("#",""), HYPERLINK(CONCATENATE("#metadata!", ADDRESS(INDEX($AH$2:$AH$1001,MATCH(ROWS($AF$2:AF10),$AF$2:$AF$1001,0),0), INDEX($AM$1004:$BM$1004,1,MATCH(COLUMNS($AM$1006:AR1006),$AM$1006:$BM$1006,0)))),"Fix")))</f>
        <v xml:space="preserve"> </v>
      </c>
      <c r="H10" s="4" t="str">
        <f ca="1">IF(OR(INDEX($AG$2:$AG$1001,MATCH(ROWS($AF$2:AF10),$AF$2:$AF$1001,0),1)&gt;=100000,INDEX($AM$1005:$BM$1005,1,MATCH(COLUMNS($AM$1006:AS1006),$AM$1006:$BM$1006,0))&gt;=100000), " ",IF(INDEX($AM$2:$BM$1001,MATCH(ROWS($AF$2:AF10),$AF$2:$AF$1001,0),MATCH(COLUMNS($AM$1006:AS1006),$AM$1006:$BM$1006,0)), HYPERLINK("#",""), HYPERLINK(CONCATENATE("#metadata!", ADDRESS(INDEX($AH$2:$AH$1001,MATCH(ROWS($AF$2:AF10),$AF$2:$AF$1001,0),0), INDEX($AM$1004:$BM$1004,1,MATCH(COLUMNS($AM$1006:AS1006),$AM$1006:$BM$1006,0)))),"Fix")))</f>
        <v xml:space="preserve"> </v>
      </c>
      <c r="I10" s="4" t="str">
        <f ca="1">IF(OR(INDEX($AG$2:$AG$1001,MATCH(ROWS($AF$2:AF10),$AF$2:$AF$1001,0),1)&gt;=100000,INDEX($AM$1005:$BM$1005,1,MATCH(COLUMNS($AM$1006:AT1006),$AM$1006:$BM$1006,0))&gt;=100000), " ",IF(INDEX($AM$2:$BM$1001,MATCH(ROWS($AF$2:AF10),$AF$2:$AF$1001,0),MATCH(COLUMNS($AM$1006:AT1006),$AM$1006:$BM$1006,0)), HYPERLINK("#",""), HYPERLINK(CONCATENATE("#metadata!", ADDRESS(INDEX($AH$2:$AH$1001,MATCH(ROWS($AF$2:AF10),$AF$2:$AF$1001,0),0), INDEX($AM$1004:$BM$1004,1,MATCH(COLUMNS($AM$1006:AT1006),$AM$1006:$BM$1006,0)))),"Fix")))</f>
        <v xml:space="preserve"> </v>
      </c>
      <c r="J10" s="4" t="str">
        <f ca="1">IF(OR(INDEX($AG$2:$AG$1001,MATCH(ROWS($AF$2:AF10),$AF$2:$AF$1001,0),1)&gt;=100000,INDEX($AM$1005:$BM$1005,1,MATCH(COLUMNS($AM$1006:AU1006),$AM$1006:$BM$1006,0))&gt;=100000), " ",IF(INDEX($AM$2:$BM$1001,MATCH(ROWS($AF$2:AF10),$AF$2:$AF$1001,0),MATCH(COLUMNS($AM$1006:AU1006),$AM$1006:$BM$1006,0)), HYPERLINK("#",""), HYPERLINK(CONCATENATE("#metadata!", ADDRESS(INDEX($AH$2:$AH$1001,MATCH(ROWS($AF$2:AF10),$AF$2:$AF$1001,0),0), INDEX($AM$1004:$BM$1004,1,MATCH(COLUMNS($AM$1006:AU1006),$AM$1006:$BM$1006,0)))),"Fix")))</f>
        <v xml:space="preserve"> </v>
      </c>
      <c r="K10" s="4" t="str">
        <f ca="1">IF(OR(INDEX($AG$2:$AG$1001,MATCH(ROWS($AF$2:AF10),$AF$2:$AF$1001,0),1)&gt;=100000,INDEX($AM$1005:$BM$1005,1,MATCH(COLUMNS($AM$1006:AV1006),$AM$1006:$BM$1006,0))&gt;=100000), " ",IF(INDEX($AM$2:$BM$1001,MATCH(ROWS($AF$2:AF10),$AF$2:$AF$1001,0),MATCH(COLUMNS($AM$1006:AV1006),$AM$1006:$BM$1006,0)), HYPERLINK("#",""), HYPERLINK(CONCATENATE("#metadata!", ADDRESS(INDEX($AH$2:$AH$1001,MATCH(ROWS($AF$2:AF10),$AF$2:$AF$1001,0),0), INDEX($AM$1004:$BM$1004,1,MATCH(COLUMNS($AM$1006:AV1006),$AM$1006:$BM$1006,0)))),"Fix")))</f>
        <v xml:space="preserve"> </v>
      </c>
      <c r="L10" s="4" t="str">
        <f ca="1">IF(OR(INDEX($AG$2:$AG$1001,MATCH(ROWS($AF$2:AF10),$AF$2:$AF$1001,0),1)&gt;=100000,INDEX($AM$1005:$BM$1005,1,MATCH(COLUMNS($AM$1006:AW1006),$AM$1006:$BM$1006,0))&gt;=100000), " ",IF(INDEX($AM$2:$BM$1001,MATCH(ROWS($AF$2:AF10),$AF$2:$AF$1001,0),MATCH(COLUMNS($AM$1006:AW1006),$AM$1006:$BM$1006,0)), HYPERLINK("#",""), HYPERLINK(CONCATENATE("#metadata!", ADDRESS(INDEX($AH$2:$AH$1001,MATCH(ROWS($AF$2:AF10),$AF$2:$AF$1001,0),0), INDEX($AM$1004:$BM$1004,1,MATCH(COLUMNS($AM$1006:AW1006),$AM$1006:$BM$1006,0)))),"Fix")))</f>
        <v xml:space="preserve"> </v>
      </c>
      <c r="M10" s="4" t="str">
        <f ca="1">IF(OR(INDEX($AG$2:$AG$1001,MATCH(ROWS($AF$2:AF10),$AF$2:$AF$1001,0),1)&gt;=100000,INDEX($AM$1005:$BM$1005,1,MATCH(COLUMNS($AM$1006:AX1006),$AM$1006:$BM$1006,0))&gt;=100000), " ",IF(INDEX($AM$2:$BM$1001,MATCH(ROWS($AF$2:AF10),$AF$2:$AF$1001,0),MATCH(COLUMNS($AM$1006:AX1006),$AM$1006:$BM$1006,0)), HYPERLINK("#",""), HYPERLINK(CONCATENATE("#metadata!", ADDRESS(INDEX($AH$2:$AH$1001,MATCH(ROWS($AF$2:AF10),$AF$2:$AF$1001,0),0), INDEX($AM$1004:$BM$1004,1,MATCH(COLUMNS($AM$1006:AX1006),$AM$1006:$BM$1006,0)))),"Fix")))</f>
        <v xml:space="preserve"> </v>
      </c>
      <c r="N10" s="4" t="str">
        <f ca="1">IF(OR(INDEX($AG$2:$AG$1001,MATCH(ROWS($AF$2:AF10),$AF$2:$AF$1001,0),1)&gt;=100000,INDEX($AM$1005:$BM$1005,1,MATCH(COLUMNS($AM$1006:AY1006),$AM$1006:$BM$1006,0))&gt;=100000), " ",IF(INDEX($AM$2:$BM$1001,MATCH(ROWS($AF$2:AF10),$AF$2:$AF$1001,0),MATCH(COLUMNS($AM$1006:AY1006),$AM$1006:$BM$1006,0)), HYPERLINK("#",""), HYPERLINK(CONCATENATE("#metadata!", ADDRESS(INDEX($AH$2:$AH$1001,MATCH(ROWS($AF$2:AF10),$AF$2:$AF$1001,0),0), INDEX($AM$1004:$BM$1004,1,MATCH(COLUMNS($AM$1006:AY1006),$AM$1006:$BM$1006,0)))),"Fix")))</f>
        <v xml:space="preserve"> </v>
      </c>
      <c r="O10" s="4" t="str">
        <f ca="1">IF(OR(INDEX($AG$2:$AG$1001,MATCH(ROWS($AF$2:AF10),$AF$2:$AF$1001,0),1)&gt;=100000,INDEX($AM$1005:$BM$1005,1,MATCH(COLUMNS($AM$1006:AZ1006),$AM$1006:$BM$1006,0))&gt;=100000), " ",IF(INDEX($AM$2:$BM$1001,MATCH(ROWS($AF$2:AF10),$AF$2:$AF$1001,0),MATCH(COLUMNS($AM$1006:AZ1006),$AM$1006:$BM$1006,0)), HYPERLINK("#",""), HYPERLINK(CONCATENATE("#metadata!", ADDRESS(INDEX($AH$2:$AH$1001,MATCH(ROWS($AF$2:AF10),$AF$2:$AF$1001,0),0), INDEX($AM$1004:$BM$1004,1,MATCH(COLUMNS($AM$1006:AZ1006),$AM$1006:$BM$1006,0)))),"Fix")))</f>
        <v xml:space="preserve"> </v>
      </c>
      <c r="P10" s="4" t="str">
        <f ca="1">IF(OR(INDEX($AG$2:$AG$1001,MATCH(ROWS($AF$2:AF10),$AF$2:$AF$1001,0),1)&gt;=100000,INDEX($AM$1005:$BM$1005,1,MATCH(COLUMNS($AM$1006:BA1006),$AM$1006:$BM$1006,0))&gt;=100000), " ",IF(INDEX($AM$2:$BM$1001,MATCH(ROWS($AF$2:AF10),$AF$2:$AF$1001,0),MATCH(COLUMNS($AM$1006:BA1006),$AM$1006:$BM$1006,0)), HYPERLINK("#",""), HYPERLINK(CONCATENATE("#metadata!", ADDRESS(INDEX($AH$2:$AH$1001,MATCH(ROWS($AF$2:AF10),$AF$2:$AF$1001,0),0), INDEX($AM$1004:$BM$1004,1,MATCH(COLUMNS($AM$1006:BA1006),$AM$1006:$BM$1006,0)))),"Fix")))</f>
        <v xml:space="preserve"> </v>
      </c>
      <c r="Q10" s="4" t="str">
        <f ca="1">IF(OR(INDEX($AG$2:$AG$1001,MATCH(ROWS($AF$2:AF10),$AF$2:$AF$1001,0),1)&gt;=100000,INDEX($AM$1005:$BM$1005,1,MATCH(COLUMNS($AM$1006:BB1006),$AM$1006:$BM$1006,0))&gt;=100000), " ",IF(INDEX($AM$2:$BM$1001,MATCH(ROWS($AF$2:AF10),$AF$2:$AF$1001,0),MATCH(COLUMNS($AM$1006:BB1006),$AM$1006:$BM$1006,0)), HYPERLINK("#",""), HYPERLINK(CONCATENATE("#metadata!", ADDRESS(INDEX($AH$2:$AH$1001,MATCH(ROWS($AF$2:AF10),$AF$2:$AF$1001,0),0), INDEX($AM$1004:$BM$1004,1,MATCH(COLUMNS($AM$1006:BB1006),$AM$1006:$BM$1006,0)))),"Fix")))</f>
        <v xml:space="preserve"> </v>
      </c>
      <c r="R10" s="4" t="str">
        <f ca="1">IF(OR(INDEX($AG$2:$AG$1001,MATCH(ROWS($AF$2:AF10),$AF$2:$AF$1001,0),1)&gt;=100000,INDEX($AM$1005:$BM$1005,1,MATCH(COLUMNS($AM$1006:BC1006),$AM$1006:$BM$1006,0))&gt;=100000), " ",IF(INDEX($AM$2:$BM$1001,MATCH(ROWS($AF$2:AF10),$AF$2:$AF$1001,0),MATCH(COLUMNS($AM$1006:BC1006),$AM$1006:$BM$1006,0)), HYPERLINK("#",""), HYPERLINK(CONCATENATE("#metadata!", ADDRESS(INDEX($AH$2:$AH$1001,MATCH(ROWS($AF$2:AF10),$AF$2:$AF$1001,0),0), INDEX($AM$1004:$BM$1004,1,MATCH(COLUMNS($AM$1006:BC1006),$AM$1006:$BM$1006,0)))),"Fix")))</f>
        <v xml:space="preserve"> </v>
      </c>
      <c r="S10" s="4" t="str">
        <f ca="1">IF(OR(INDEX($AG$2:$AG$1001,MATCH(ROWS($AF$2:AF10),$AF$2:$AF$1001,0),1)&gt;=100000,INDEX($AM$1005:$BM$1005,1,MATCH(COLUMNS($AM$1006:BD1006),$AM$1006:$BM$1006,0))&gt;=100000), " ",IF(INDEX($AM$2:$BM$1001,MATCH(ROWS($AF$2:AF10),$AF$2:$AF$1001,0),MATCH(COLUMNS($AM$1006:BD1006),$AM$1006:$BM$1006,0)), HYPERLINK("#",""), HYPERLINK(CONCATENATE("#metadata!", ADDRESS(INDEX($AH$2:$AH$1001,MATCH(ROWS($AF$2:AF10),$AF$2:$AF$1001,0),0), INDEX($AM$1004:$BM$1004,1,MATCH(COLUMNS($AM$1006:BD1006),$AM$1006:$BM$1006,0)))),"Fix")))</f>
        <v xml:space="preserve"> </v>
      </c>
      <c r="T10" s="4" t="str">
        <f ca="1">IF(OR(INDEX($AG$2:$AG$1001,MATCH(ROWS($AF$2:AF10),$AF$2:$AF$1001,0),1)&gt;=100000,INDEX($AM$1005:$BM$1005,1,MATCH(COLUMNS($AM$1006:BE1006),$AM$1006:$BM$1006,0))&gt;=100000), " ",IF(INDEX($AM$2:$BM$1001,MATCH(ROWS($AF$2:AF10),$AF$2:$AF$1001,0),MATCH(COLUMNS($AM$1006:BE1006),$AM$1006:$BM$1006,0)), HYPERLINK("#",""), HYPERLINK(CONCATENATE("#metadata!", ADDRESS(INDEX($AH$2:$AH$1001,MATCH(ROWS($AF$2:AF10),$AF$2:$AF$1001,0),0), INDEX($AM$1004:$BM$1004,1,MATCH(COLUMNS($AM$1006:BE1006),$AM$1006:$BM$1006,0)))),"Fix")))</f>
        <v xml:space="preserve"> </v>
      </c>
      <c r="U10" s="4" t="str">
        <f ca="1">IF(OR(INDEX($AG$2:$AG$1001,MATCH(ROWS($AF$2:AF10),$AF$2:$AF$1001,0),1)&gt;=100000,INDEX($AM$1005:$BM$1005,1,MATCH(COLUMNS($AM$1006:BF1006),$AM$1006:$BM$1006,0))&gt;=100000), " ",IF(INDEX($AM$2:$BM$1001,MATCH(ROWS($AF$2:AF10),$AF$2:$AF$1001,0),MATCH(COLUMNS($AM$1006:BF1006),$AM$1006:$BM$1006,0)), HYPERLINK("#",""), HYPERLINK(CONCATENATE("#metadata!", ADDRESS(INDEX($AH$2:$AH$1001,MATCH(ROWS($AF$2:AF10),$AF$2:$AF$1001,0),0), INDEX($AM$1004:$BM$1004,1,MATCH(COLUMNS($AM$1006:BF1006),$AM$1006:$BM$1006,0)))),"Fix")))</f>
        <v xml:space="preserve"> </v>
      </c>
      <c r="V10" s="4" t="str">
        <f ca="1">IF(OR(INDEX($AG$2:$AG$1001,MATCH(ROWS($AF$2:AF10),$AF$2:$AF$1001,0),1)&gt;=100000,INDEX($AM$1005:$BM$1005,1,MATCH(COLUMNS($AM$1006:BG1006),$AM$1006:$BM$1006,0))&gt;=100000), " ",IF(INDEX($AM$2:$BM$1001,MATCH(ROWS($AF$2:AF10),$AF$2:$AF$1001,0),MATCH(COLUMNS($AM$1006:BG1006),$AM$1006:$BM$1006,0)), HYPERLINK("#",""), HYPERLINK(CONCATENATE("#metadata!", ADDRESS(INDEX($AH$2:$AH$1001,MATCH(ROWS($AF$2:AF10),$AF$2:$AF$1001,0),0), INDEX($AM$1004:$BM$1004,1,MATCH(COLUMNS($AM$1006:BG1006),$AM$1006:$BM$1006,0)))),"Fix")))</f>
        <v xml:space="preserve"> </v>
      </c>
      <c r="W10" s="4" t="str">
        <f ca="1">IF(OR(INDEX($AG$2:$AG$1001,MATCH(ROWS($AF$2:AF10),$AF$2:$AF$1001,0),1)&gt;=100000,INDEX($AM$1005:$BM$1005,1,MATCH(COLUMNS($AM$1006:BH1006),$AM$1006:$BM$1006,0))&gt;=100000), " ",IF(INDEX($AM$2:$BM$1001,MATCH(ROWS($AF$2:AF10),$AF$2:$AF$1001,0),MATCH(COLUMNS($AM$1006:BH1006),$AM$1006:$BM$1006,0)), HYPERLINK("#",""), HYPERLINK(CONCATENATE("#metadata!", ADDRESS(INDEX($AH$2:$AH$1001,MATCH(ROWS($AF$2:AF10),$AF$2:$AF$1001,0),0), INDEX($AM$1004:$BM$1004,1,MATCH(COLUMNS($AM$1006:BH1006),$AM$1006:$BM$1006,0)))),"Fix")))</f>
        <v xml:space="preserve"> </v>
      </c>
      <c r="X10" s="4" t="str">
        <f ca="1">IF(OR(INDEX($AG$2:$AG$1001,MATCH(ROWS($AF$2:AF10),$AF$2:$AF$1001,0),1)&gt;=100000,INDEX($AM$1005:$BM$1005,1,MATCH(COLUMNS($AM$1006:BI1006),$AM$1006:$BM$1006,0))&gt;=100000), " ",IF(INDEX($AM$2:$BM$1001,MATCH(ROWS($AF$2:AF10),$AF$2:$AF$1001,0),MATCH(COLUMNS($AM$1006:BI1006),$AM$1006:$BM$1006,0)), HYPERLINK("#",""), HYPERLINK(CONCATENATE("#metadata!", ADDRESS(INDEX($AH$2:$AH$1001,MATCH(ROWS($AF$2:AF10),$AF$2:$AF$1001,0),0), INDEX($AM$1004:$BM$1004,1,MATCH(COLUMNS($AM$1006:BI1006),$AM$1006:$BM$1006,0)))),"Fix")))</f>
        <v xml:space="preserve"> </v>
      </c>
      <c r="Y10" s="4" t="str">
        <f ca="1">IF(OR(INDEX($AG$2:$AG$1001,MATCH(ROWS($AF$2:AF10),$AF$2:$AF$1001,0),1)&gt;=100000,INDEX($AM$1005:$BM$1005,1,MATCH(COLUMNS($AM$1006:BJ1006),$AM$1006:$BM$1006,0))&gt;=100000), " ",IF(INDEX($AM$2:$BM$1001,MATCH(ROWS($AF$2:AF10),$AF$2:$AF$1001,0),MATCH(COLUMNS($AM$1006:BJ1006),$AM$1006:$BM$1006,0)), HYPERLINK("#",""), HYPERLINK(CONCATENATE("#metadata!", ADDRESS(INDEX($AH$2:$AH$1001,MATCH(ROWS($AF$2:AF10),$AF$2:$AF$1001,0),0), INDEX($AM$1004:$BM$1004,1,MATCH(COLUMNS($AM$1006:BJ1006),$AM$1006:$BM$1006,0)))),"Fix")))</f>
        <v xml:space="preserve"> </v>
      </c>
      <c r="Z10" s="4" t="str">
        <f ca="1">IF(OR(INDEX($AG$2:$AG$1001,MATCH(ROWS($AF$2:AF10),$AF$2:$AF$1001,0),1)&gt;=100000,INDEX($AM$1005:$BM$1005,1,MATCH(COLUMNS($AM$1006:BK1006),$AM$1006:$BM$1006,0))&gt;=100000), " ",IF(INDEX($AM$2:$BM$1001,MATCH(ROWS($AF$2:AF10),$AF$2:$AF$1001,0),MATCH(COLUMNS($AM$1006:BK1006),$AM$1006:$BM$1006,0)), HYPERLINK("#",""), HYPERLINK(CONCATENATE("#metadata!", ADDRESS(INDEX($AH$2:$AH$1001,MATCH(ROWS($AF$2:AF10),$AF$2:$AF$1001,0),0), INDEX($AM$1004:$BM$1004,1,MATCH(COLUMNS($AM$1006:BK1006),$AM$1006:$BM$1006,0)))),"Fix")))</f>
        <v xml:space="preserve"> </v>
      </c>
      <c r="AA10" s="4" t="str">
        <f ca="1">IF(OR(INDEX($AG$2:$AG$1001,MATCH(ROWS($AF$2:AF10),$AF$2:$AF$1001,0),1)&gt;=100000,INDEX($AM$1005:$BM$1005,1,MATCH(COLUMNS($AM$1006:BL1006),$AM$1006:$BM$1006,0))&gt;=100000), " ",IF(INDEX($AM$2:$BM$1001,MATCH(ROWS($AF$2:AF10),$AF$2:$AF$1001,0),MATCH(COLUMNS($AM$1006:BL1006),$AM$1006:$BM$1006,0)), HYPERLINK("#",""), HYPERLINK(CONCATENATE("#metadata!", ADDRESS(INDEX($AH$2:$AH$1001,MATCH(ROWS($AF$2:AF10),$AF$2:$AF$1001,0),0), INDEX($AM$1004:$BM$1004,1,MATCH(COLUMNS($AM$1006:BL1006),$AM$1006:$BM$1006,0)))),"Fix")))</f>
        <v xml:space="preserve"> </v>
      </c>
      <c r="AB10" s="4" t="str">
        <f ca="1">IF(OR(INDEX($AG$2:$AG$1001,MATCH(ROWS($AF$2:AF10),$AF$2:$AF$1001,0),1)&gt;=100000,INDEX($AM$1005:$BM$1005,1,MATCH(COLUMNS($AM$1006:BM1006),$AM$1006:$BM$1006,0))&gt;=100000), " ",IF(INDEX($AM$2:$BM$1001,MATCH(ROWS($AF$2:AF10),$AF$2:$AF$1001,0),MATCH(COLUMNS($AM$1006:BM1006),$AM$1006:$BM$1006,0)), HYPERLINK("#",""), HYPERLINK(CONCATENATE("#metadata!", ADDRESS(INDEX($AH$2:$AH$1001,MATCH(ROWS($AF$2:AF10),$AF$2:$AF$1001,0),0), INDEX($AM$1004:$BM$1004,1,MATCH(COLUMNS($AM$1006:BM1006),$AM$1006:$BM$1006,0)))),"Fix")))</f>
        <v xml:space="preserve"> </v>
      </c>
      <c r="AF10">
        <v>9</v>
      </c>
      <c r="AG10">
        <v>100010</v>
      </c>
      <c r="AH10">
        <v>10</v>
      </c>
      <c r="AI10" t="b">
        <f t="shared" si="0"/>
        <v>1</v>
      </c>
      <c r="AJ10" t="b">
        <f>COUNTBLANK(metadata!B10:AB10)=COLUMNS(metadata!B10:AB10)</f>
        <v>1</v>
      </c>
      <c r="AK10" t="str">
        <v/>
      </c>
      <c r="AM10" t="b">
        <f ca="1">AND(IF(metadata!B10="",FALSE,TRUE),COUNTIF(metadata!B:B, metadata!B10) = 1,NOT(ISERROR(SUMPRODUCT(SEARCH(MID(metadata!B10,ROW(INDIRECT("1:"&amp;LEN(metadata!B10))), 1),"0123456789abcdefghijklmnopqrstuvwxyzABCDEFGHIJKLMNOPQRSTUVWXYZ.")))))</f>
        <v>0</v>
      </c>
      <c r="AN10" t="b">
        <f ca="1">OR(AND(IF(metadata!C10="",FALSE,TRUE),OR(EXACT(metadata!C10,"missing: not collected"),EXACT(metadata!C10,"missing: not provided"),EXACT(metadata!C10,"missing: restricted access"))),AND(IF(metadata!C10="",FALSE,TRUE),AND(AND(IFERROR(INT(LEFT(metadata!C10,4))&gt;1900,FALSE),IFERROR(INT(LEFT(metadata!C10,4))&lt;=YEAR(NOW()),FALSE)), OR(MID(metadata!C10,5,1)="", AND(AND(MID(metadata!C10,5,1)="-",IFERROR(INT(MID(metadata!C10,6,1))&gt;=0,FALSE),IFERROR(INT(MID(metadata!C10,6,1))&lt;=1,FALSE),NOT(MID(metadata!C10,7,1)=""),IFERROR(INT(MID(metadata!C10,6,2))&gt;=1,FALSE),IFERROR(INT(MID(metadata!C10,6,2))&lt;=12,FALSE)), OR(MID(metadata!C10,8,1)="", AND(AND(MID(metadata!C10,8,1)="-",IFERROR(INT(MID(metadata!C10,9,1))&gt;=0,FALSE),IFERROR(INT(MID(metadata!C10,9,1))&lt;=3,FALSE),NOT(MID(metadata!C10,10,1)=""),IFERROR(INT(MID(metadata!C10,9,2))&gt;=1,FALSE),IFERROR(INT(MID(metadata!C10,9,2))&lt;=31,FALSE)), OR(MID(metadata!C10,11,1)="", AND(AND(MID(metadata!C10,11,1)=" ",IFERROR(INT(MID(metadata!C10,12,1))&gt;=0,FALSE),IFERROR(INT(MID(metadata!C10,12,1))&lt;=2,FALSE),NOT(MID(metadata!C10,13,1)=""),IFERROR(INT(MID(metadata!C10,12,2))&gt;=0,FALSE),IFERROR(INT(MID(metadata!C10,12,2))&lt;=23,FALSE)), OR(MID(metadata!C10,14,1)="", AND(AND(MID(metadata!C10,14,1)=":",IFERROR(INT(MID(metadata!C10,15,1))&gt;=0,FALSE),IFERROR(INT(MID(metadata!C10,15,1))&lt;=5,FALSE),NOT(MID(metadata!C10,16,1)=""),IFERROR(INT(MID(metadata!C10,15,2))&gt;=0,FALSE),IFERROR(INT(MID(metadata!C10,15,2))&lt;=59,FALSE)), OR(MID(metadata!C10,17,1)="", AND(AND(MID(metadata!C10,17,1)=":",IFERROR(INT(MID(metadata!C10,18,1))&gt;=0,FALSE),IFERROR(INT(MID(metadata!C10,18,1))&lt;=5,FALSE),NOT(MID(metadata!C10,19,1)=""),IFERROR(INT(MID(metadata!C10,18,2))&gt;=0,FALSE),IFERROR(INT(MID(metadata!C10,18,2))&lt;=59,FALSE)), LEN(metadata!C10)&lt;=19)))))))))))))</f>
        <v>0</v>
      </c>
      <c r="AO10" t="b">
        <f>AND(IF(metadata!D10="",FALSE,TRUE),EXACT(metadata!D10,"Not applicable"))</f>
        <v>0</v>
      </c>
      <c r="AP10" t="b">
        <f>IF(metadata!E10="",FALSE,TRUE)</f>
        <v>0</v>
      </c>
      <c r="AQ10" t="b">
        <f>OR(AND(IF(metadata!F10="",FALSE,TRUE),OR(EXACT(metadata!F10,"missing: not collected"),EXACT(metadata!F10,"missing: not provided"))),AND(IF(metadata!F10="",FALSE,TRUE),OR(EXACT(metadata!F10,"TRUE"),EXACT(metadata!F10,"FALSE"))))</f>
        <v>0</v>
      </c>
      <c r="AR10" t="b">
        <f>OR(AND(IF(metadata!G10="",FALSE,TRUE),OR(EXACT(metadata!G10,"missing: not collected"),EXACT(metadata!G10,"missing: not provided"),EXACT(metadata!G10,"missing: restricted access"))),AND(IF(metadata!G10="",FALSE,ISNUMBER(VALUE(metadata!G10))),metadata!G10&gt;=-413))</f>
        <v>0</v>
      </c>
      <c r="AS10" t="b">
        <f>AND(IF(metadata!H10="",FALSE,TRUE),EXACT(metadata!H10,"meters"))</f>
        <v>0</v>
      </c>
      <c r="AT10" t="b">
        <f>AND(IF(metadata!I10="",FALSE,TRUE),OR(EXACT(metadata!I10,"Host-associated"),EXACT(metadata!I10,"Free-living")))</f>
        <v>0</v>
      </c>
      <c r="AU10" t="b">
        <f>AND(IF(metadata!J10="",FALSE,TRUE),OR(EXACT(metadata!J10,"Animal"),EXACT(metadata!J10,"Fungus"),EXACT(metadata!J10,"Plant"),EXACT(metadata!J10,"Saline"),EXACT(metadata!J10,"Non-saline")))</f>
        <v>0</v>
      </c>
      <c r="AV10" t="b">
        <f>AND(IF(metadata!K10="",FALSE,TRUE),OR(EXACT(metadata!K10,"Plant secretion"),EXACT(metadata!K10,"Plant rhizosphere"),EXACT(metadata!K10,"Plant surface"),EXACT(metadata!K10,"Plant corpus"),EXACT(metadata!K10,"Fungus surface"),EXACT(metadata!K10,"Fungus corpus"),EXACT(metadata!K10,"Animal surface"),EXACT(metadata!K10,"Animal proximal gut"),EXACT(metadata!K10,"Animal corpus"),EXACT(metadata!K10,"Animal distal gut"),EXACT(metadata!K10,"Animal secretion"),EXACT(metadata!K10,"Sub-surface (non-saline)"),EXACT(metadata!K10,"Surface (non-saline)"),EXACT(metadata!K10,"Water (non-saline)"),EXACT(metadata!K10,"Soil (non-saline)"),EXACT(metadata!K10,"Aerosol (non-saline)"),EXACT(metadata!K10,"Sediment (non-saline)"),EXACT(metadata!K10,"Surface (saline)"),EXACT(metadata!K10,"Water (saline)"),EXACT(metadata!K10,"Hypersaline (saline)"),EXACT(metadata!K10,"Aerosol (saline)"),EXACT(metadata!K10,"Sediment (saline)")))</f>
        <v>0</v>
      </c>
      <c r="AW10" t="b">
        <f>IF(metadata!L10="",FALSE,TRUE)</f>
        <v>0</v>
      </c>
      <c r="AX10" t="b">
        <f>IF(metadata!M10="",FALSE,TRUE)</f>
        <v>0</v>
      </c>
      <c r="AY10" t="b">
        <f>IF(metadata!N10="",FALSE,TRUE)</f>
        <v>0</v>
      </c>
      <c r="AZ10" t="b">
        <f>OR(AND(IF(metadata!O10="",FALSE,TRUE),OR(EXACT(metadata!O10,"missing: not collected"),EXACT(metadata!O10,"missing: not provided"),EXACT(metadata!O10,"missing: restricted access"))),AND(IF(metadata!O10="",FALSE,TRUE),OR(EXACT(metadata!O10,"air"),EXACT(metadata!O10,"built environment"),EXACT(metadata!O10,"host-associated"),EXACT(metadata!O10,"human-associated"),EXACT(metadata!O10,"human-skin"),EXACT(metadata!O10,"human-oral"),EXACT(metadata!O10,"human-gut"),EXACT(metadata!O10,"human-vaginal"),EXACT(metadata!O10,"microbial mat/biofilm"),EXACT(metadata!O10,"misc environment"),EXACT(metadata!O10,"plant-associated"),EXACT(metadata!O10,"sediment"),EXACT(metadata!O10,"soil"),EXACT(metadata!O10,"wastewater/sludge"),EXACT(metadata!O10,"water"))))</f>
        <v>0</v>
      </c>
      <c r="BA10" t="b">
        <f>IF(metadata!P10="",FALSE,TRUE)</f>
        <v>0</v>
      </c>
      <c r="BB10" t="b">
        <f>IF(metadata!Q10="",FALSE,TRUE)</f>
        <v>0</v>
      </c>
      <c r="BC10" t="b">
        <f>OR(AND(IF(metadata!R10="",FALSE,TRUE),OR(EXACT(metadata!R10,"missing: not collected"),EXACT(metadata!R10,"missing: not provided"),EXACT(metadata!R10,"missing: restricted access"))),AND(IF(metadata!R10="",FALSE,ISNUMBER(VALUE(metadata!R10))),metadata!R10&gt;=-90,metadata!R10&lt;=90))</f>
        <v>0</v>
      </c>
      <c r="BD10" t="b">
        <f>AND(IF(metadata!S10="",FALSE,TRUE),EXACT(metadata!S10,"Decimal degrees"))</f>
        <v>0</v>
      </c>
      <c r="BE10" t="b">
        <f>OR(AND(IF(metadata!T10="",FALSE,TRUE),OR(EXACT(metadata!T10,"missing: not collected"),EXACT(metadata!T10,"missing: not provided"),EXACT(metadata!T10,"missing: restricted access"))),AND(IF(metadata!T10="",FALSE,ISNUMBER(VALUE(metadata!T10))),metadata!T10&gt;=-180,metadata!T10&lt;=180))</f>
        <v>0</v>
      </c>
      <c r="BF10" t="b">
        <f>AND(IF(metadata!U10="",FALSE,TRUE),EXACT(metadata!U10,"Decimal degrees"))</f>
        <v>0</v>
      </c>
      <c r="BG10" t="b">
        <f>IF(metadata!V10="",FALSE,TRUE)</f>
        <v>0</v>
      </c>
      <c r="BH10" t="b">
        <f>OR(AND(IF(metadata!W10="",FALSE,TRUE),OR(EXACT(metadata!W10,"missing: not collected"),EXACT(metadata!W10,"missing: not provided"),EXACT(metadata!W10,"missing: restricted access"))),AND(IF(metadata!W10="",FALSE,TRUE),OR(EXACT(metadata!W10,"TRUE"),EXACT(metadata!W10,"FALSE"))))</f>
        <v>0</v>
      </c>
      <c r="BI10" t="b">
        <f>AND(IF(metadata!X10="",FALSE,TRUE),EXACT(metadata!X10,"other"))</f>
        <v>0</v>
      </c>
      <c r="BJ10" t="b">
        <f>IF(metadata!Y10="",FALSE,TRUE)</f>
        <v>0</v>
      </c>
      <c r="BK10" t="b">
        <f>OR(AND(IF(metadata!Z10="",FALSE,TRUE),OR(EXACT(metadata!Z10,"missing: not collected"),EXACT(metadata!Z10,"missing: not provided"))),AND(IF(metadata!Z10="",FALSE,IF(ISERROR(INT(metadata!Z10)),FALSE,INT(metadata!Z10)=metadata!Z10)),metadata!Z10&gt;0))</f>
        <v>0</v>
      </c>
      <c r="BL10" t="b">
        <f>AND(IF(metadata!AA10="",FALSE,TRUE),EXACT(metadata!AA10,"Not applicable"))</f>
        <v>0</v>
      </c>
      <c r="BM10" t="b">
        <f>IF(metadata!AB10="",FALSE,TRUE)</f>
        <v>0</v>
      </c>
    </row>
    <row r="11" spans="1:65" x14ac:dyDescent="0.2">
      <c r="A11" s="5" t="str">
        <f ca="1">IF(B11=" "," ",HYPERLINK(CONCATENATE("#metadata!",ADDRESS(INDEX($AH$2:$AH$1001,MATCH(ROWS($AF$2:AF11),$AF$2:$AF$1001,0),0),1)),INDEX($AK$2:$AK$1001,MATCH(ROWS($AF$2:AF11),$AF$2:$AF$1001,0),0)))</f>
        <v xml:space="preserve"> </v>
      </c>
      <c r="B11" s="4" t="str">
        <f ca="1">IF(OR(INDEX($AG$2:$AG$1001,MATCH(ROWS($AF$2:AF11),$AF$2:$AF$1001,0),1)&gt;=100000,INDEX($AM$1005:$BM$1005,1,MATCH(COLUMNS($AM$1006:AM1006),$AM$1006:$BM$1006,0))&gt;=100000), " ",IF(INDEX($AM$2:$BM$1001,MATCH(ROWS($AF$2:AF11),$AF$2:$AF$1001,0),MATCH(COLUMNS($AM$1006:AM1006),$AM$1006:$BM$1006,0)), HYPERLINK("#",""), HYPERLINK(CONCATENATE("#metadata!", ADDRESS(INDEX($AH$2:$AH$1001,MATCH(ROWS($AF$2:AF11),$AF$2:$AF$1001,0),0), INDEX($AM$1004:$BM$1004,1,MATCH(COLUMNS($AM$1006:AM1006),$AM$1006:$BM$1006,0)))),"Fix")))</f>
        <v xml:space="preserve"> </v>
      </c>
      <c r="C11" s="4" t="str">
        <f ca="1">IF(OR(INDEX($AG$2:$AG$1001,MATCH(ROWS($AF$2:AF11),$AF$2:$AF$1001,0),1)&gt;=100000,INDEX($AM$1005:$BM$1005,1,MATCH(COLUMNS($AM$1006:AN1006),$AM$1006:$BM$1006,0))&gt;=100000), " ",IF(INDEX($AM$2:$BM$1001,MATCH(ROWS($AF$2:AF11),$AF$2:$AF$1001,0),MATCH(COLUMNS($AM$1006:AN1006),$AM$1006:$BM$1006,0)), HYPERLINK("#",""), HYPERLINK(CONCATENATE("#metadata!", ADDRESS(INDEX($AH$2:$AH$1001,MATCH(ROWS($AF$2:AF11),$AF$2:$AF$1001,0),0), INDEX($AM$1004:$BM$1004,1,MATCH(COLUMNS($AM$1006:AN1006),$AM$1006:$BM$1006,0)))),"Fix")))</f>
        <v xml:space="preserve"> </v>
      </c>
      <c r="D11" s="4" t="str">
        <f ca="1">IF(OR(INDEX($AG$2:$AG$1001,MATCH(ROWS($AF$2:AF11),$AF$2:$AF$1001,0),1)&gt;=100000,INDEX($AM$1005:$BM$1005,1,MATCH(COLUMNS($AM$1006:AO1006),$AM$1006:$BM$1006,0))&gt;=100000), " ",IF(INDEX($AM$2:$BM$1001,MATCH(ROWS($AF$2:AF11),$AF$2:$AF$1001,0),MATCH(COLUMNS($AM$1006:AO1006),$AM$1006:$BM$1006,0)), HYPERLINK("#",""), HYPERLINK(CONCATENATE("#metadata!", ADDRESS(INDEX($AH$2:$AH$1001,MATCH(ROWS($AF$2:AF11),$AF$2:$AF$1001,0),0), INDEX($AM$1004:$BM$1004,1,MATCH(COLUMNS($AM$1006:AO1006),$AM$1006:$BM$1006,0)))),"Fix")))</f>
        <v xml:space="preserve"> </v>
      </c>
      <c r="E11" s="4" t="str">
        <f ca="1">IF(OR(INDEX($AG$2:$AG$1001,MATCH(ROWS($AF$2:AF11),$AF$2:$AF$1001,0),1)&gt;=100000,INDEX($AM$1005:$BM$1005,1,MATCH(COLUMNS($AM$1006:AP1006),$AM$1006:$BM$1006,0))&gt;=100000), " ",IF(INDEX($AM$2:$BM$1001,MATCH(ROWS($AF$2:AF11),$AF$2:$AF$1001,0),MATCH(COLUMNS($AM$1006:AP1006),$AM$1006:$BM$1006,0)), HYPERLINK("#",""), HYPERLINK(CONCATENATE("#metadata!", ADDRESS(INDEX($AH$2:$AH$1001,MATCH(ROWS($AF$2:AF11),$AF$2:$AF$1001,0),0), INDEX($AM$1004:$BM$1004,1,MATCH(COLUMNS($AM$1006:AP1006),$AM$1006:$BM$1006,0)))),"Fix")))</f>
        <v xml:space="preserve"> </v>
      </c>
      <c r="F11" s="4" t="str">
        <f ca="1">IF(OR(INDEX($AG$2:$AG$1001,MATCH(ROWS($AF$2:AF11),$AF$2:$AF$1001,0),1)&gt;=100000,INDEX($AM$1005:$BM$1005,1,MATCH(COLUMNS($AM$1006:AQ1006),$AM$1006:$BM$1006,0))&gt;=100000), " ",IF(INDEX($AM$2:$BM$1001,MATCH(ROWS($AF$2:AF11),$AF$2:$AF$1001,0),MATCH(COLUMNS($AM$1006:AQ1006),$AM$1006:$BM$1006,0)), HYPERLINK("#",""), HYPERLINK(CONCATENATE("#metadata!", ADDRESS(INDEX($AH$2:$AH$1001,MATCH(ROWS($AF$2:AF11),$AF$2:$AF$1001,0),0), INDEX($AM$1004:$BM$1004,1,MATCH(COLUMNS($AM$1006:AQ1006),$AM$1006:$BM$1006,0)))),"Fix")))</f>
        <v xml:space="preserve"> </v>
      </c>
      <c r="G11" s="4" t="str">
        <f ca="1">IF(OR(INDEX($AG$2:$AG$1001,MATCH(ROWS($AF$2:AF11),$AF$2:$AF$1001,0),1)&gt;=100000,INDEX($AM$1005:$BM$1005,1,MATCH(COLUMNS($AM$1006:AR1006),$AM$1006:$BM$1006,0))&gt;=100000), " ",IF(INDEX($AM$2:$BM$1001,MATCH(ROWS($AF$2:AF11),$AF$2:$AF$1001,0),MATCH(COLUMNS($AM$1006:AR1006),$AM$1006:$BM$1006,0)), HYPERLINK("#",""), HYPERLINK(CONCATENATE("#metadata!", ADDRESS(INDEX($AH$2:$AH$1001,MATCH(ROWS($AF$2:AF11),$AF$2:$AF$1001,0),0), INDEX($AM$1004:$BM$1004,1,MATCH(COLUMNS($AM$1006:AR1006),$AM$1006:$BM$1006,0)))),"Fix")))</f>
        <v xml:space="preserve"> </v>
      </c>
      <c r="H11" s="4" t="str">
        <f ca="1">IF(OR(INDEX($AG$2:$AG$1001,MATCH(ROWS($AF$2:AF11),$AF$2:$AF$1001,0),1)&gt;=100000,INDEX($AM$1005:$BM$1005,1,MATCH(COLUMNS($AM$1006:AS1006),$AM$1006:$BM$1006,0))&gt;=100000), " ",IF(INDEX($AM$2:$BM$1001,MATCH(ROWS($AF$2:AF11),$AF$2:$AF$1001,0),MATCH(COLUMNS($AM$1006:AS1006),$AM$1006:$BM$1006,0)), HYPERLINK("#",""), HYPERLINK(CONCATENATE("#metadata!", ADDRESS(INDEX($AH$2:$AH$1001,MATCH(ROWS($AF$2:AF11),$AF$2:$AF$1001,0),0), INDEX($AM$1004:$BM$1004,1,MATCH(COLUMNS($AM$1006:AS1006),$AM$1006:$BM$1006,0)))),"Fix")))</f>
        <v xml:space="preserve"> </v>
      </c>
      <c r="I11" s="4" t="str">
        <f ca="1">IF(OR(INDEX($AG$2:$AG$1001,MATCH(ROWS($AF$2:AF11),$AF$2:$AF$1001,0),1)&gt;=100000,INDEX($AM$1005:$BM$1005,1,MATCH(COLUMNS($AM$1006:AT1006),$AM$1006:$BM$1006,0))&gt;=100000), " ",IF(INDEX($AM$2:$BM$1001,MATCH(ROWS($AF$2:AF11),$AF$2:$AF$1001,0),MATCH(COLUMNS($AM$1006:AT1006),$AM$1006:$BM$1006,0)), HYPERLINK("#",""), HYPERLINK(CONCATENATE("#metadata!", ADDRESS(INDEX($AH$2:$AH$1001,MATCH(ROWS($AF$2:AF11),$AF$2:$AF$1001,0),0), INDEX($AM$1004:$BM$1004,1,MATCH(COLUMNS($AM$1006:AT1006),$AM$1006:$BM$1006,0)))),"Fix")))</f>
        <v xml:space="preserve"> </v>
      </c>
      <c r="J11" s="4" t="str">
        <f ca="1">IF(OR(INDEX($AG$2:$AG$1001,MATCH(ROWS($AF$2:AF11),$AF$2:$AF$1001,0),1)&gt;=100000,INDEX($AM$1005:$BM$1005,1,MATCH(COLUMNS($AM$1006:AU1006),$AM$1006:$BM$1006,0))&gt;=100000), " ",IF(INDEX($AM$2:$BM$1001,MATCH(ROWS($AF$2:AF11),$AF$2:$AF$1001,0),MATCH(COLUMNS($AM$1006:AU1006),$AM$1006:$BM$1006,0)), HYPERLINK("#",""), HYPERLINK(CONCATENATE("#metadata!", ADDRESS(INDEX($AH$2:$AH$1001,MATCH(ROWS($AF$2:AF11),$AF$2:$AF$1001,0),0), INDEX($AM$1004:$BM$1004,1,MATCH(COLUMNS($AM$1006:AU1006),$AM$1006:$BM$1006,0)))),"Fix")))</f>
        <v xml:space="preserve"> </v>
      </c>
      <c r="K11" s="4" t="str">
        <f ca="1">IF(OR(INDEX($AG$2:$AG$1001,MATCH(ROWS($AF$2:AF11),$AF$2:$AF$1001,0),1)&gt;=100000,INDEX($AM$1005:$BM$1005,1,MATCH(COLUMNS($AM$1006:AV1006),$AM$1006:$BM$1006,0))&gt;=100000), " ",IF(INDEX($AM$2:$BM$1001,MATCH(ROWS($AF$2:AF11),$AF$2:$AF$1001,0),MATCH(COLUMNS($AM$1006:AV1006),$AM$1006:$BM$1006,0)), HYPERLINK("#",""), HYPERLINK(CONCATENATE("#metadata!", ADDRESS(INDEX($AH$2:$AH$1001,MATCH(ROWS($AF$2:AF11),$AF$2:$AF$1001,0),0), INDEX($AM$1004:$BM$1004,1,MATCH(COLUMNS($AM$1006:AV1006),$AM$1006:$BM$1006,0)))),"Fix")))</f>
        <v xml:space="preserve"> </v>
      </c>
      <c r="L11" s="4" t="str">
        <f ca="1">IF(OR(INDEX($AG$2:$AG$1001,MATCH(ROWS($AF$2:AF11),$AF$2:$AF$1001,0),1)&gt;=100000,INDEX($AM$1005:$BM$1005,1,MATCH(COLUMNS($AM$1006:AW1006),$AM$1006:$BM$1006,0))&gt;=100000), " ",IF(INDEX($AM$2:$BM$1001,MATCH(ROWS($AF$2:AF11),$AF$2:$AF$1001,0),MATCH(COLUMNS($AM$1006:AW1006),$AM$1006:$BM$1006,0)), HYPERLINK("#",""), HYPERLINK(CONCATENATE("#metadata!", ADDRESS(INDEX($AH$2:$AH$1001,MATCH(ROWS($AF$2:AF11),$AF$2:$AF$1001,0),0), INDEX($AM$1004:$BM$1004,1,MATCH(COLUMNS($AM$1006:AW1006),$AM$1006:$BM$1006,0)))),"Fix")))</f>
        <v xml:space="preserve"> </v>
      </c>
      <c r="M11" s="4" t="str">
        <f ca="1">IF(OR(INDEX($AG$2:$AG$1001,MATCH(ROWS($AF$2:AF11),$AF$2:$AF$1001,0),1)&gt;=100000,INDEX($AM$1005:$BM$1005,1,MATCH(COLUMNS($AM$1006:AX1006),$AM$1006:$BM$1006,0))&gt;=100000), " ",IF(INDEX($AM$2:$BM$1001,MATCH(ROWS($AF$2:AF11),$AF$2:$AF$1001,0),MATCH(COLUMNS($AM$1006:AX1006),$AM$1006:$BM$1006,0)), HYPERLINK("#",""), HYPERLINK(CONCATENATE("#metadata!", ADDRESS(INDEX($AH$2:$AH$1001,MATCH(ROWS($AF$2:AF11),$AF$2:$AF$1001,0),0), INDEX($AM$1004:$BM$1004,1,MATCH(COLUMNS($AM$1006:AX1006),$AM$1006:$BM$1006,0)))),"Fix")))</f>
        <v xml:space="preserve"> </v>
      </c>
      <c r="N11" s="4" t="str">
        <f ca="1">IF(OR(INDEX($AG$2:$AG$1001,MATCH(ROWS($AF$2:AF11),$AF$2:$AF$1001,0),1)&gt;=100000,INDEX($AM$1005:$BM$1005,1,MATCH(COLUMNS($AM$1006:AY1006),$AM$1006:$BM$1006,0))&gt;=100000), " ",IF(INDEX($AM$2:$BM$1001,MATCH(ROWS($AF$2:AF11),$AF$2:$AF$1001,0),MATCH(COLUMNS($AM$1006:AY1006),$AM$1006:$BM$1006,0)), HYPERLINK("#",""), HYPERLINK(CONCATENATE("#metadata!", ADDRESS(INDEX($AH$2:$AH$1001,MATCH(ROWS($AF$2:AF11),$AF$2:$AF$1001,0),0), INDEX($AM$1004:$BM$1004,1,MATCH(COLUMNS($AM$1006:AY1006),$AM$1006:$BM$1006,0)))),"Fix")))</f>
        <v xml:space="preserve"> </v>
      </c>
      <c r="O11" s="4" t="str">
        <f ca="1">IF(OR(INDEX($AG$2:$AG$1001,MATCH(ROWS($AF$2:AF11),$AF$2:$AF$1001,0),1)&gt;=100000,INDEX($AM$1005:$BM$1005,1,MATCH(COLUMNS($AM$1006:AZ1006),$AM$1006:$BM$1006,0))&gt;=100000), " ",IF(INDEX($AM$2:$BM$1001,MATCH(ROWS($AF$2:AF11),$AF$2:$AF$1001,0),MATCH(COLUMNS($AM$1006:AZ1006),$AM$1006:$BM$1006,0)), HYPERLINK("#",""), HYPERLINK(CONCATENATE("#metadata!", ADDRESS(INDEX($AH$2:$AH$1001,MATCH(ROWS($AF$2:AF11),$AF$2:$AF$1001,0),0), INDEX($AM$1004:$BM$1004,1,MATCH(COLUMNS($AM$1006:AZ1006),$AM$1006:$BM$1006,0)))),"Fix")))</f>
        <v xml:space="preserve"> </v>
      </c>
      <c r="P11" s="4" t="str">
        <f ca="1">IF(OR(INDEX($AG$2:$AG$1001,MATCH(ROWS($AF$2:AF11),$AF$2:$AF$1001,0),1)&gt;=100000,INDEX($AM$1005:$BM$1005,1,MATCH(COLUMNS($AM$1006:BA1006),$AM$1006:$BM$1006,0))&gt;=100000), " ",IF(INDEX($AM$2:$BM$1001,MATCH(ROWS($AF$2:AF11),$AF$2:$AF$1001,0),MATCH(COLUMNS($AM$1006:BA1006),$AM$1006:$BM$1006,0)), HYPERLINK("#",""), HYPERLINK(CONCATENATE("#metadata!", ADDRESS(INDEX($AH$2:$AH$1001,MATCH(ROWS($AF$2:AF11),$AF$2:$AF$1001,0),0), INDEX($AM$1004:$BM$1004,1,MATCH(COLUMNS($AM$1006:BA1006),$AM$1006:$BM$1006,0)))),"Fix")))</f>
        <v xml:space="preserve"> </v>
      </c>
      <c r="Q11" s="4" t="str">
        <f ca="1">IF(OR(INDEX($AG$2:$AG$1001,MATCH(ROWS($AF$2:AF11),$AF$2:$AF$1001,0),1)&gt;=100000,INDEX($AM$1005:$BM$1005,1,MATCH(COLUMNS($AM$1006:BB1006),$AM$1006:$BM$1006,0))&gt;=100000), " ",IF(INDEX($AM$2:$BM$1001,MATCH(ROWS($AF$2:AF11),$AF$2:$AF$1001,0),MATCH(COLUMNS($AM$1006:BB1006),$AM$1006:$BM$1006,0)), HYPERLINK("#",""), HYPERLINK(CONCATENATE("#metadata!", ADDRESS(INDEX($AH$2:$AH$1001,MATCH(ROWS($AF$2:AF11),$AF$2:$AF$1001,0),0), INDEX($AM$1004:$BM$1004,1,MATCH(COLUMNS($AM$1006:BB1006),$AM$1006:$BM$1006,0)))),"Fix")))</f>
        <v xml:space="preserve"> </v>
      </c>
      <c r="R11" s="4" t="str">
        <f ca="1">IF(OR(INDEX($AG$2:$AG$1001,MATCH(ROWS($AF$2:AF11),$AF$2:$AF$1001,0),1)&gt;=100000,INDEX($AM$1005:$BM$1005,1,MATCH(COLUMNS($AM$1006:BC1006),$AM$1006:$BM$1006,0))&gt;=100000), " ",IF(INDEX($AM$2:$BM$1001,MATCH(ROWS($AF$2:AF11),$AF$2:$AF$1001,0),MATCH(COLUMNS($AM$1006:BC1006),$AM$1006:$BM$1006,0)), HYPERLINK("#",""), HYPERLINK(CONCATENATE("#metadata!", ADDRESS(INDEX($AH$2:$AH$1001,MATCH(ROWS($AF$2:AF11),$AF$2:$AF$1001,0),0), INDEX($AM$1004:$BM$1004,1,MATCH(COLUMNS($AM$1006:BC1006),$AM$1006:$BM$1006,0)))),"Fix")))</f>
        <v xml:space="preserve"> </v>
      </c>
      <c r="S11" s="4" t="str">
        <f ca="1">IF(OR(INDEX($AG$2:$AG$1001,MATCH(ROWS($AF$2:AF11),$AF$2:$AF$1001,0),1)&gt;=100000,INDEX($AM$1005:$BM$1005,1,MATCH(COLUMNS($AM$1006:BD1006),$AM$1006:$BM$1006,0))&gt;=100000), " ",IF(INDEX($AM$2:$BM$1001,MATCH(ROWS($AF$2:AF11),$AF$2:$AF$1001,0),MATCH(COLUMNS($AM$1006:BD1006),$AM$1006:$BM$1006,0)), HYPERLINK("#",""), HYPERLINK(CONCATENATE("#metadata!", ADDRESS(INDEX($AH$2:$AH$1001,MATCH(ROWS($AF$2:AF11),$AF$2:$AF$1001,0),0), INDEX($AM$1004:$BM$1004,1,MATCH(COLUMNS($AM$1006:BD1006),$AM$1006:$BM$1006,0)))),"Fix")))</f>
        <v xml:space="preserve"> </v>
      </c>
      <c r="T11" s="4" t="str">
        <f ca="1">IF(OR(INDEX($AG$2:$AG$1001,MATCH(ROWS($AF$2:AF11),$AF$2:$AF$1001,0),1)&gt;=100000,INDEX($AM$1005:$BM$1005,1,MATCH(COLUMNS($AM$1006:BE1006),$AM$1006:$BM$1006,0))&gt;=100000), " ",IF(INDEX($AM$2:$BM$1001,MATCH(ROWS($AF$2:AF11),$AF$2:$AF$1001,0),MATCH(COLUMNS($AM$1006:BE1006),$AM$1006:$BM$1006,0)), HYPERLINK("#",""), HYPERLINK(CONCATENATE("#metadata!", ADDRESS(INDEX($AH$2:$AH$1001,MATCH(ROWS($AF$2:AF11),$AF$2:$AF$1001,0),0), INDEX($AM$1004:$BM$1004,1,MATCH(COLUMNS($AM$1006:BE1006),$AM$1006:$BM$1006,0)))),"Fix")))</f>
        <v xml:space="preserve"> </v>
      </c>
      <c r="U11" s="4" t="str">
        <f ca="1">IF(OR(INDEX($AG$2:$AG$1001,MATCH(ROWS($AF$2:AF11),$AF$2:$AF$1001,0),1)&gt;=100000,INDEX($AM$1005:$BM$1005,1,MATCH(COLUMNS($AM$1006:BF1006),$AM$1006:$BM$1006,0))&gt;=100000), " ",IF(INDEX($AM$2:$BM$1001,MATCH(ROWS($AF$2:AF11),$AF$2:$AF$1001,0),MATCH(COLUMNS($AM$1006:BF1006),$AM$1006:$BM$1006,0)), HYPERLINK("#",""), HYPERLINK(CONCATENATE("#metadata!", ADDRESS(INDEX($AH$2:$AH$1001,MATCH(ROWS($AF$2:AF11),$AF$2:$AF$1001,0),0), INDEX($AM$1004:$BM$1004,1,MATCH(COLUMNS($AM$1006:BF1006),$AM$1006:$BM$1006,0)))),"Fix")))</f>
        <v xml:space="preserve"> </v>
      </c>
      <c r="V11" s="4" t="str">
        <f ca="1">IF(OR(INDEX($AG$2:$AG$1001,MATCH(ROWS($AF$2:AF11),$AF$2:$AF$1001,0),1)&gt;=100000,INDEX($AM$1005:$BM$1005,1,MATCH(COLUMNS($AM$1006:BG1006),$AM$1006:$BM$1006,0))&gt;=100000), " ",IF(INDEX($AM$2:$BM$1001,MATCH(ROWS($AF$2:AF11),$AF$2:$AF$1001,0),MATCH(COLUMNS($AM$1006:BG1006),$AM$1006:$BM$1006,0)), HYPERLINK("#",""), HYPERLINK(CONCATENATE("#metadata!", ADDRESS(INDEX($AH$2:$AH$1001,MATCH(ROWS($AF$2:AF11),$AF$2:$AF$1001,0),0), INDEX($AM$1004:$BM$1004,1,MATCH(COLUMNS($AM$1006:BG1006),$AM$1006:$BM$1006,0)))),"Fix")))</f>
        <v xml:space="preserve"> </v>
      </c>
      <c r="W11" s="4" t="str">
        <f ca="1">IF(OR(INDEX($AG$2:$AG$1001,MATCH(ROWS($AF$2:AF11),$AF$2:$AF$1001,0),1)&gt;=100000,INDEX($AM$1005:$BM$1005,1,MATCH(COLUMNS($AM$1006:BH1006),$AM$1006:$BM$1006,0))&gt;=100000), " ",IF(INDEX($AM$2:$BM$1001,MATCH(ROWS($AF$2:AF11),$AF$2:$AF$1001,0),MATCH(COLUMNS($AM$1006:BH1006),$AM$1006:$BM$1006,0)), HYPERLINK("#",""), HYPERLINK(CONCATENATE("#metadata!", ADDRESS(INDEX($AH$2:$AH$1001,MATCH(ROWS($AF$2:AF11),$AF$2:$AF$1001,0),0), INDEX($AM$1004:$BM$1004,1,MATCH(COLUMNS($AM$1006:BH1006),$AM$1006:$BM$1006,0)))),"Fix")))</f>
        <v xml:space="preserve"> </v>
      </c>
      <c r="X11" s="4" t="str">
        <f ca="1">IF(OR(INDEX($AG$2:$AG$1001,MATCH(ROWS($AF$2:AF11),$AF$2:$AF$1001,0),1)&gt;=100000,INDEX($AM$1005:$BM$1005,1,MATCH(COLUMNS($AM$1006:BI1006),$AM$1006:$BM$1006,0))&gt;=100000), " ",IF(INDEX($AM$2:$BM$1001,MATCH(ROWS($AF$2:AF11),$AF$2:$AF$1001,0),MATCH(COLUMNS($AM$1006:BI1006),$AM$1006:$BM$1006,0)), HYPERLINK("#",""), HYPERLINK(CONCATENATE("#metadata!", ADDRESS(INDEX($AH$2:$AH$1001,MATCH(ROWS($AF$2:AF11),$AF$2:$AF$1001,0),0), INDEX($AM$1004:$BM$1004,1,MATCH(COLUMNS($AM$1006:BI1006),$AM$1006:$BM$1006,0)))),"Fix")))</f>
        <v xml:space="preserve"> </v>
      </c>
      <c r="Y11" s="4" t="str">
        <f ca="1">IF(OR(INDEX($AG$2:$AG$1001,MATCH(ROWS($AF$2:AF11),$AF$2:$AF$1001,0),1)&gt;=100000,INDEX($AM$1005:$BM$1005,1,MATCH(COLUMNS($AM$1006:BJ1006),$AM$1006:$BM$1006,0))&gt;=100000), " ",IF(INDEX($AM$2:$BM$1001,MATCH(ROWS($AF$2:AF11),$AF$2:$AF$1001,0),MATCH(COLUMNS($AM$1006:BJ1006),$AM$1006:$BM$1006,0)), HYPERLINK("#",""), HYPERLINK(CONCATENATE("#metadata!", ADDRESS(INDEX($AH$2:$AH$1001,MATCH(ROWS($AF$2:AF11),$AF$2:$AF$1001,0),0), INDEX($AM$1004:$BM$1004,1,MATCH(COLUMNS($AM$1006:BJ1006),$AM$1006:$BM$1006,0)))),"Fix")))</f>
        <v xml:space="preserve"> </v>
      </c>
      <c r="Z11" s="4" t="str">
        <f ca="1">IF(OR(INDEX($AG$2:$AG$1001,MATCH(ROWS($AF$2:AF11),$AF$2:$AF$1001,0),1)&gt;=100000,INDEX($AM$1005:$BM$1005,1,MATCH(COLUMNS($AM$1006:BK1006),$AM$1006:$BM$1006,0))&gt;=100000), " ",IF(INDEX($AM$2:$BM$1001,MATCH(ROWS($AF$2:AF11),$AF$2:$AF$1001,0),MATCH(COLUMNS($AM$1006:BK1006),$AM$1006:$BM$1006,0)), HYPERLINK("#",""), HYPERLINK(CONCATENATE("#metadata!", ADDRESS(INDEX($AH$2:$AH$1001,MATCH(ROWS($AF$2:AF11),$AF$2:$AF$1001,0),0), INDEX($AM$1004:$BM$1004,1,MATCH(COLUMNS($AM$1006:BK1006),$AM$1006:$BM$1006,0)))),"Fix")))</f>
        <v xml:space="preserve"> </v>
      </c>
      <c r="AA11" s="4" t="str">
        <f ca="1">IF(OR(INDEX($AG$2:$AG$1001,MATCH(ROWS($AF$2:AF11),$AF$2:$AF$1001,0),1)&gt;=100000,INDEX($AM$1005:$BM$1005,1,MATCH(COLUMNS($AM$1006:BL1006),$AM$1006:$BM$1006,0))&gt;=100000), " ",IF(INDEX($AM$2:$BM$1001,MATCH(ROWS($AF$2:AF11),$AF$2:$AF$1001,0),MATCH(COLUMNS($AM$1006:BL1006),$AM$1006:$BM$1006,0)), HYPERLINK("#",""), HYPERLINK(CONCATENATE("#metadata!", ADDRESS(INDEX($AH$2:$AH$1001,MATCH(ROWS($AF$2:AF11),$AF$2:$AF$1001,0),0), INDEX($AM$1004:$BM$1004,1,MATCH(COLUMNS($AM$1006:BL1006),$AM$1006:$BM$1006,0)))),"Fix")))</f>
        <v xml:space="preserve"> </v>
      </c>
      <c r="AB11" s="4" t="str">
        <f ca="1">IF(OR(INDEX($AG$2:$AG$1001,MATCH(ROWS($AF$2:AF11),$AF$2:$AF$1001,0),1)&gt;=100000,INDEX($AM$1005:$BM$1005,1,MATCH(COLUMNS($AM$1006:BM1006),$AM$1006:$BM$1006,0))&gt;=100000), " ",IF(INDEX($AM$2:$BM$1001,MATCH(ROWS($AF$2:AF11),$AF$2:$AF$1001,0),MATCH(COLUMNS($AM$1006:BM1006),$AM$1006:$BM$1006,0)), HYPERLINK("#",""), HYPERLINK(CONCATENATE("#metadata!", ADDRESS(INDEX($AH$2:$AH$1001,MATCH(ROWS($AF$2:AF11),$AF$2:$AF$1001,0),0), INDEX($AM$1004:$BM$1004,1,MATCH(COLUMNS($AM$1006:BM1006),$AM$1006:$BM$1006,0)))),"Fix")))</f>
        <v xml:space="preserve"> </v>
      </c>
      <c r="AF11">
        <v>10</v>
      </c>
      <c r="AG11">
        <v>100011</v>
      </c>
      <c r="AH11">
        <v>11</v>
      </c>
      <c r="AI11" t="b">
        <f t="shared" si="0"/>
        <v>1</v>
      </c>
      <c r="AJ11" t="b">
        <f>COUNTBLANK(metadata!B11:AB11)=COLUMNS(metadata!B11:AB11)</f>
        <v>1</v>
      </c>
      <c r="AK11" t="str">
        <v/>
      </c>
      <c r="AM11" t="b">
        <f ca="1">AND(IF(metadata!B11="",FALSE,TRUE),COUNTIF(metadata!B:B, metadata!B11) = 1,NOT(ISERROR(SUMPRODUCT(SEARCH(MID(metadata!B11,ROW(INDIRECT("1:"&amp;LEN(metadata!B11))), 1),"0123456789abcdefghijklmnopqrstuvwxyzABCDEFGHIJKLMNOPQRSTUVWXYZ.")))))</f>
        <v>0</v>
      </c>
      <c r="AN11" t="b">
        <f ca="1">OR(AND(IF(metadata!C11="",FALSE,TRUE),OR(EXACT(metadata!C11,"missing: not collected"),EXACT(metadata!C11,"missing: not provided"),EXACT(metadata!C11,"missing: restricted access"))),AND(IF(metadata!C11="",FALSE,TRUE),AND(AND(IFERROR(INT(LEFT(metadata!C11,4))&gt;1900,FALSE),IFERROR(INT(LEFT(metadata!C11,4))&lt;=YEAR(NOW()),FALSE)), OR(MID(metadata!C11,5,1)="", AND(AND(MID(metadata!C11,5,1)="-",IFERROR(INT(MID(metadata!C11,6,1))&gt;=0,FALSE),IFERROR(INT(MID(metadata!C11,6,1))&lt;=1,FALSE),NOT(MID(metadata!C11,7,1)=""),IFERROR(INT(MID(metadata!C11,6,2))&gt;=1,FALSE),IFERROR(INT(MID(metadata!C11,6,2))&lt;=12,FALSE)), OR(MID(metadata!C11,8,1)="", AND(AND(MID(metadata!C11,8,1)="-",IFERROR(INT(MID(metadata!C11,9,1))&gt;=0,FALSE),IFERROR(INT(MID(metadata!C11,9,1))&lt;=3,FALSE),NOT(MID(metadata!C11,10,1)=""),IFERROR(INT(MID(metadata!C11,9,2))&gt;=1,FALSE),IFERROR(INT(MID(metadata!C11,9,2))&lt;=31,FALSE)), OR(MID(metadata!C11,11,1)="", AND(AND(MID(metadata!C11,11,1)=" ",IFERROR(INT(MID(metadata!C11,12,1))&gt;=0,FALSE),IFERROR(INT(MID(metadata!C11,12,1))&lt;=2,FALSE),NOT(MID(metadata!C11,13,1)=""),IFERROR(INT(MID(metadata!C11,12,2))&gt;=0,FALSE),IFERROR(INT(MID(metadata!C11,12,2))&lt;=23,FALSE)), OR(MID(metadata!C11,14,1)="", AND(AND(MID(metadata!C11,14,1)=":",IFERROR(INT(MID(metadata!C11,15,1))&gt;=0,FALSE),IFERROR(INT(MID(metadata!C11,15,1))&lt;=5,FALSE),NOT(MID(metadata!C11,16,1)=""),IFERROR(INT(MID(metadata!C11,15,2))&gt;=0,FALSE),IFERROR(INT(MID(metadata!C11,15,2))&lt;=59,FALSE)), OR(MID(metadata!C11,17,1)="", AND(AND(MID(metadata!C11,17,1)=":",IFERROR(INT(MID(metadata!C11,18,1))&gt;=0,FALSE),IFERROR(INT(MID(metadata!C11,18,1))&lt;=5,FALSE),NOT(MID(metadata!C11,19,1)=""),IFERROR(INT(MID(metadata!C11,18,2))&gt;=0,FALSE),IFERROR(INT(MID(metadata!C11,18,2))&lt;=59,FALSE)), LEN(metadata!C11)&lt;=19)))))))))))))</f>
        <v>0</v>
      </c>
      <c r="AO11" t="b">
        <f>AND(IF(metadata!D11="",FALSE,TRUE),EXACT(metadata!D11,"Not applicable"))</f>
        <v>0</v>
      </c>
      <c r="AP11" t="b">
        <f>IF(metadata!E11="",FALSE,TRUE)</f>
        <v>0</v>
      </c>
      <c r="AQ11" t="b">
        <f>OR(AND(IF(metadata!F11="",FALSE,TRUE),OR(EXACT(metadata!F11,"missing: not collected"),EXACT(metadata!F11,"missing: not provided"))),AND(IF(metadata!F11="",FALSE,TRUE),OR(EXACT(metadata!F11,"TRUE"),EXACT(metadata!F11,"FALSE"))))</f>
        <v>0</v>
      </c>
      <c r="AR11" t="b">
        <f>OR(AND(IF(metadata!G11="",FALSE,TRUE),OR(EXACT(metadata!G11,"missing: not collected"),EXACT(metadata!G11,"missing: not provided"),EXACT(metadata!G11,"missing: restricted access"))),AND(IF(metadata!G11="",FALSE,ISNUMBER(VALUE(metadata!G11))),metadata!G11&gt;=-413))</f>
        <v>0</v>
      </c>
      <c r="AS11" t="b">
        <f>AND(IF(metadata!H11="",FALSE,TRUE),EXACT(metadata!H11,"meters"))</f>
        <v>0</v>
      </c>
      <c r="AT11" t="b">
        <f>AND(IF(metadata!I11="",FALSE,TRUE),OR(EXACT(metadata!I11,"Host-associated"),EXACT(metadata!I11,"Free-living")))</f>
        <v>0</v>
      </c>
      <c r="AU11" t="b">
        <f>AND(IF(metadata!J11="",FALSE,TRUE),OR(EXACT(metadata!J11,"Animal"),EXACT(metadata!J11,"Fungus"),EXACT(metadata!J11,"Plant"),EXACT(metadata!J11,"Saline"),EXACT(metadata!J11,"Non-saline")))</f>
        <v>0</v>
      </c>
      <c r="AV11" t="b">
        <f>AND(IF(metadata!K11="",FALSE,TRUE),OR(EXACT(metadata!K11,"Plant secretion"),EXACT(metadata!K11,"Plant rhizosphere"),EXACT(metadata!K11,"Plant surface"),EXACT(metadata!K11,"Plant corpus"),EXACT(metadata!K11,"Fungus surface"),EXACT(metadata!K11,"Fungus corpus"),EXACT(metadata!K11,"Animal surface"),EXACT(metadata!K11,"Animal proximal gut"),EXACT(metadata!K11,"Animal corpus"),EXACT(metadata!K11,"Animal distal gut"),EXACT(metadata!K11,"Animal secretion"),EXACT(metadata!K11,"Sub-surface (non-saline)"),EXACT(metadata!K11,"Surface (non-saline)"),EXACT(metadata!K11,"Water (non-saline)"),EXACT(metadata!K11,"Soil (non-saline)"),EXACT(metadata!K11,"Aerosol (non-saline)"),EXACT(metadata!K11,"Sediment (non-saline)"),EXACT(metadata!K11,"Surface (saline)"),EXACT(metadata!K11,"Water (saline)"),EXACT(metadata!K11,"Hypersaline (saline)"),EXACT(metadata!K11,"Aerosol (saline)"),EXACT(metadata!K11,"Sediment (saline)")))</f>
        <v>0</v>
      </c>
      <c r="AW11" t="b">
        <f>IF(metadata!L11="",FALSE,TRUE)</f>
        <v>0</v>
      </c>
      <c r="AX11" t="b">
        <f>IF(metadata!M11="",FALSE,TRUE)</f>
        <v>0</v>
      </c>
      <c r="AY11" t="b">
        <f>IF(metadata!N11="",FALSE,TRUE)</f>
        <v>0</v>
      </c>
      <c r="AZ11" t="b">
        <f>OR(AND(IF(metadata!O11="",FALSE,TRUE),OR(EXACT(metadata!O11,"missing: not collected"),EXACT(metadata!O11,"missing: not provided"),EXACT(metadata!O11,"missing: restricted access"))),AND(IF(metadata!O11="",FALSE,TRUE),OR(EXACT(metadata!O11,"air"),EXACT(metadata!O11,"built environment"),EXACT(metadata!O11,"host-associated"),EXACT(metadata!O11,"human-associated"),EXACT(metadata!O11,"human-skin"),EXACT(metadata!O11,"human-oral"),EXACT(metadata!O11,"human-gut"),EXACT(metadata!O11,"human-vaginal"),EXACT(metadata!O11,"microbial mat/biofilm"),EXACT(metadata!O11,"misc environment"),EXACT(metadata!O11,"plant-associated"),EXACT(metadata!O11,"sediment"),EXACT(metadata!O11,"soil"),EXACT(metadata!O11,"wastewater/sludge"),EXACT(metadata!O11,"water"))))</f>
        <v>0</v>
      </c>
      <c r="BA11" t="b">
        <f>IF(metadata!P11="",FALSE,TRUE)</f>
        <v>0</v>
      </c>
      <c r="BB11" t="b">
        <f>IF(metadata!Q11="",FALSE,TRUE)</f>
        <v>0</v>
      </c>
      <c r="BC11" t="b">
        <f>OR(AND(IF(metadata!R11="",FALSE,TRUE),OR(EXACT(metadata!R11,"missing: not collected"),EXACT(metadata!R11,"missing: not provided"),EXACT(metadata!R11,"missing: restricted access"))),AND(IF(metadata!R11="",FALSE,ISNUMBER(VALUE(metadata!R11))),metadata!R11&gt;=-90,metadata!R11&lt;=90))</f>
        <v>0</v>
      </c>
      <c r="BD11" t="b">
        <f>AND(IF(metadata!S11="",FALSE,TRUE),EXACT(metadata!S11,"Decimal degrees"))</f>
        <v>0</v>
      </c>
      <c r="BE11" t="b">
        <f>OR(AND(IF(metadata!T11="",FALSE,TRUE),OR(EXACT(metadata!T11,"missing: not collected"),EXACT(metadata!T11,"missing: not provided"),EXACT(metadata!T11,"missing: restricted access"))),AND(IF(metadata!T11="",FALSE,ISNUMBER(VALUE(metadata!T11))),metadata!T11&gt;=-180,metadata!T11&lt;=180))</f>
        <v>0</v>
      </c>
      <c r="BF11" t="b">
        <f>AND(IF(metadata!U11="",FALSE,TRUE),EXACT(metadata!U11,"Decimal degrees"))</f>
        <v>0</v>
      </c>
      <c r="BG11" t="b">
        <f>IF(metadata!V11="",FALSE,TRUE)</f>
        <v>0</v>
      </c>
      <c r="BH11" t="b">
        <f>OR(AND(IF(metadata!W11="",FALSE,TRUE),OR(EXACT(metadata!W11,"missing: not collected"),EXACT(metadata!W11,"missing: not provided"),EXACT(metadata!W11,"missing: restricted access"))),AND(IF(metadata!W11="",FALSE,TRUE),OR(EXACT(metadata!W11,"TRUE"),EXACT(metadata!W11,"FALSE"))))</f>
        <v>0</v>
      </c>
      <c r="BI11" t="b">
        <f>AND(IF(metadata!X11="",FALSE,TRUE),EXACT(metadata!X11,"other"))</f>
        <v>0</v>
      </c>
      <c r="BJ11" t="b">
        <f>IF(metadata!Y11="",FALSE,TRUE)</f>
        <v>0</v>
      </c>
      <c r="BK11" t="b">
        <f>OR(AND(IF(metadata!Z11="",FALSE,TRUE),OR(EXACT(metadata!Z11,"missing: not collected"),EXACT(metadata!Z11,"missing: not provided"))),AND(IF(metadata!Z11="",FALSE,IF(ISERROR(INT(metadata!Z11)),FALSE,INT(metadata!Z11)=metadata!Z11)),metadata!Z11&gt;0))</f>
        <v>0</v>
      </c>
      <c r="BL11" t="b">
        <f>AND(IF(metadata!AA11="",FALSE,TRUE),EXACT(metadata!AA11,"Not applicable"))</f>
        <v>0</v>
      </c>
      <c r="BM11" t="b">
        <f>IF(metadata!AB11="",FALSE,TRUE)</f>
        <v>0</v>
      </c>
    </row>
    <row r="12" spans="1:65" x14ac:dyDescent="0.2">
      <c r="A12" s="5" t="str">
        <f ca="1">IF(B12=" "," ",HYPERLINK(CONCATENATE("#metadata!",ADDRESS(INDEX($AH$2:$AH$1001,MATCH(ROWS($AF$2:AF12),$AF$2:$AF$1001,0),0),1)),INDEX($AK$2:$AK$1001,MATCH(ROWS($AF$2:AF12),$AF$2:$AF$1001,0),0)))</f>
        <v xml:space="preserve"> </v>
      </c>
      <c r="B12" s="4" t="str">
        <f ca="1">IF(OR(INDEX($AG$2:$AG$1001,MATCH(ROWS($AF$2:AF12),$AF$2:$AF$1001,0),1)&gt;=100000,INDEX($AM$1005:$BM$1005,1,MATCH(COLUMNS($AM$1006:AM1006),$AM$1006:$BM$1006,0))&gt;=100000), " ",IF(INDEX($AM$2:$BM$1001,MATCH(ROWS($AF$2:AF12),$AF$2:$AF$1001,0),MATCH(COLUMNS($AM$1006:AM1006),$AM$1006:$BM$1006,0)), HYPERLINK("#",""), HYPERLINK(CONCATENATE("#metadata!", ADDRESS(INDEX($AH$2:$AH$1001,MATCH(ROWS($AF$2:AF12),$AF$2:$AF$1001,0),0), INDEX($AM$1004:$BM$1004,1,MATCH(COLUMNS($AM$1006:AM1006),$AM$1006:$BM$1006,0)))),"Fix")))</f>
        <v xml:space="preserve"> </v>
      </c>
      <c r="C12" s="4" t="str">
        <f ca="1">IF(OR(INDEX($AG$2:$AG$1001,MATCH(ROWS($AF$2:AF12),$AF$2:$AF$1001,0),1)&gt;=100000,INDEX($AM$1005:$BM$1005,1,MATCH(COLUMNS($AM$1006:AN1006),$AM$1006:$BM$1006,0))&gt;=100000), " ",IF(INDEX($AM$2:$BM$1001,MATCH(ROWS($AF$2:AF12),$AF$2:$AF$1001,0),MATCH(COLUMNS($AM$1006:AN1006),$AM$1006:$BM$1006,0)), HYPERLINK("#",""), HYPERLINK(CONCATENATE("#metadata!", ADDRESS(INDEX($AH$2:$AH$1001,MATCH(ROWS($AF$2:AF12),$AF$2:$AF$1001,0),0), INDEX($AM$1004:$BM$1004,1,MATCH(COLUMNS($AM$1006:AN1006),$AM$1006:$BM$1006,0)))),"Fix")))</f>
        <v xml:space="preserve"> </v>
      </c>
      <c r="D12" s="4" t="str">
        <f ca="1">IF(OR(INDEX($AG$2:$AG$1001,MATCH(ROWS($AF$2:AF12),$AF$2:$AF$1001,0),1)&gt;=100000,INDEX($AM$1005:$BM$1005,1,MATCH(COLUMNS($AM$1006:AO1006),$AM$1006:$BM$1006,0))&gt;=100000), " ",IF(INDEX($AM$2:$BM$1001,MATCH(ROWS($AF$2:AF12),$AF$2:$AF$1001,0),MATCH(COLUMNS($AM$1006:AO1006),$AM$1006:$BM$1006,0)), HYPERLINK("#",""), HYPERLINK(CONCATENATE("#metadata!", ADDRESS(INDEX($AH$2:$AH$1001,MATCH(ROWS($AF$2:AF12),$AF$2:$AF$1001,0),0), INDEX($AM$1004:$BM$1004,1,MATCH(COLUMNS($AM$1006:AO1006),$AM$1006:$BM$1006,0)))),"Fix")))</f>
        <v xml:space="preserve"> </v>
      </c>
      <c r="E12" s="4" t="str">
        <f ca="1">IF(OR(INDEX($AG$2:$AG$1001,MATCH(ROWS($AF$2:AF12),$AF$2:$AF$1001,0),1)&gt;=100000,INDEX($AM$1005:$BM$1005,1,MATCH(COLUMNS($AM$1006:AP1006),$AM$1006:$BM$1006,0))&gt;=100000), " ",IF(INDEX($AM$2:$BM$1001,MATCH(ROWS($AF$2:AF12),$AF$2:$AF$1001,0),MATCH(COLUMNS($AM$1006:AP1006),$AM$1006:$BM$1006,0)), HYPERLINK("#",""), HYPERLINK(CONCATENATE("#metadata!", ADDRESS(INDEX($AH$2:$AH$1001,MATCH(ROWS($AF$2:AF12),$AF$2:$AF$1001,0),0), INDEX($AM$1004:$BM$1004,1,MATCH(COLUMNS($AM$1006:AP1006),$AM$1006:$BM$1006,0)))),"Fix")))</f>
        <v xml:space="preserve"> </v>
      </c>
      <c r="F12" s="4" t="str">
        <f ca="1">IF(OR(INDEX($AG$2:$AG$1001,MATCH(ROWS($AF$2:AF12),$AF$2:$AF$1001,0),1)&gt;=100000,INDEX($AM$1005:$BM$1005,1,MATCH(COLUMNS($AM$1006:AQ1006),$AM$1006:$BM$1006,0))&gt;=100000), " ",IF(INDEX($AM$2:$BM$1001,MATCH(ROWS($AF$2:AF12),$AF$2:$AF$1001,0),MATCH(COLUMNS($AM$1006:AQ1006),$AM$1006:$BM$1006,0)), HYPERLINK("#",""), HYPERLINK(CONCATENATE("#metadata!", ADDRESS(INDEX($AH$2:$AH$1001,MATCH(ROWS($AF$2:AF12),$AF$2:$AF$1001,0),0), INDEX($AM$1004:$BM$1004,1,MATCH(COLUMNS($AM$1006:AQ1006),$AM$1006:$BM$1006,0)))),"Fix")))</f>
        <v xml:space="preserve"> </v>
      </c>
      <c r="G12" s="4" t="str">
        <f ca="1">IF(OR(INDEX($AG$2:$AG$1001,MATCH(ROWS($AF$2:AF12),$AF$2:$AF$1001,0),1)&gt;=100000,INDEX($AM$1005:$BM$1005,1,MATCH(COLUMNS($AM$1006:AR1006),$AM$1006:$BM$1006,0))&gt;=100000), " ",IF(INDEX($AM$2:$BM$1001,MATCH(ROWS($AF$2:AF12),$AF$2:$AF$1001,0),MATCH(COLUMNS($AM$1006:AR1006),$AM$1006:$BM$1006,0)), HYPERLINK("#",""), HYPERLINK(CONCATENATE("#metadata!", ADDRESS(INDEX($AH$2:$AH$1001,MATCH(ROWS($AF$2:AF12),$AF$2:$AF$1001,0),0), INDEX($AM$1004:$BM$1004,1,MATCH(COLUMNS($AM$1006:AR1006),$AM$1006:$BM$1006,0)))),"Fix")))</f>
        <v xml:space="preserve"> </v>
      </c>
      <c r="H12" s="4" t="str">
        <f ca="1">IF(OR(INDEX($AG$2:$AG$1001,MATCH(ROWS($AF$2:AF12),$AF$2:$AF$1001,0),1)&gt;=100000,INDEX($AM$1005:$BM$1005,1,MATCH(COLUMNS($AM$1006:AS1006),$AM$1006:$BM$1006,0))&gt;=100000), " ",IF(INDEX($AM$2:$BM$1001,MATCH(ROWS($AF$2:AF12),$AF$2:$AF$1001,0),MATCH(COLUMNS($AM$1006:AS1006),$AM$1006:$BM$1006,0)), HYPERLINK("#",""), HYPERLINK(CONCATENATE("#metadata!", ADDRESS(INDEX($AH$2:$AH$1001,MATCH(ROWS($AF$2:AF12),$AF$2:$AF$1001,0),0), INDEX($AM$1004:$BM$1004,1,MATCH(COLUMNS($AM$1006:AS1006),$AM$1006:$BM$1006,0)))),"Fix")))</f>
        <v xml:space="preserve"> </v>
      </c>
      <c r="I12" s="4" t="str">
        <f ca="1">IF(OR(INDEX($AG$2:$AG$1001,MATCH(ROWS($AF$2:AF12),$AF$2:$AF$1001,0),1)&gt;=100000,INDEX($AM$1005:$BM$1005,1,MATCH(COLUMNS($AM$1006:AT1006),$AM$1006:$BM$1006,0))&gt;=100000), " ",IF(INDEX($AM$2:$BM$1001,MATCH(ROWS($AF$2:AF12),$AF$2:$AF$1001,0),MATCH(COLUMNS($AM$1006:AT1006),$AM$1006:$BM$1006,0)), HYPERLINK("#",""), HYPERLINK(CONCATENATE("#metadata!", ADDRESS(INDEX($AH$2:$AH$1001,MATCH(ROWS($AF$2:AF12),$AF$2:$AF$1001,0),0), INDEX($AM$1004:$BM$1004,1,MATCH(COLUMNS($AM$1006:AT1006),$AM$1006:$BM$1006,0)))),"Fix")))</f>
        <v xml:space="preserve"> </v>
      </c>
      <c r="J12" s="4" t="str">
        <f ca="1">IF(OR(INDEX($AG$2:$AG$1001,MATCH(ROWS($AF$2:AF12),$AF$2:$AF$1001,0),1)&gt;=100000,INDEX($AM$1005:$BM$1005,1,MATCH(COLUMNS($AM$1006:AU1006),$AM$1006:$BM$1006,0))&gt;=100000), " ",IF(INDEX($AM$2:$BM$1001,MATCH(ROWS($AF$2:AF12),$AF$2:$AF$1001,0),MATCH(COLUMNS($AM$1006:AU1006),$AM$1006:$BM$1006,0)), HYPERLINK("#",""), HYPERLINK(CONCATENATE("#metadata!", ADDRESS(INDEX($AH$2:$AH$1001,MATCH(ROWS($AF$2:AF12),$AF$2:$AF$1001,0),0), INDEX($AM$1004:$BM$1004,1,MATCH(COLUMNS($AM$1006:AU1006),$AM$1006:$BM$1006,0)))),"Fix")))</f>
        <v xml:space="preserve"> </v>
      </c>
      <c r="K12" s="4" t="str">
        <f ca="1">IF(OR(INDEX($AG$2:$AG$1001,MATCH(ROWS($AF$2:AF12),$AF$2:$AF$1001,0),1)&gt;=100000,INDEX($AM$1005:$BM$1005,1,MATCH(COLUMNS($AM$1006:AV1006),$AM$1006:$BM$1006,0))&gt;=100000), " ",IF(INDEX($AM$2:$BM$1001,MATCH(ROWS($AF$2:AF12),$AF$2:$AF$1001,0),MATCH(COLUMNS($AM$1006:AV1006),$AM$1006:$BM$1006,0)), HYPERLINK("#",""), HYPERLINK(CONCATENATE("#metadata!", ADDRESS(INDEX($AH$2:$AH$1001,MATCH(ROWS($AF$2:AF12),$AF$2:$AF$1001,0),0), INDEX($AM$1004:$BM$1004,1,MATCH(COLUMNS($AM$1006:AV1006),$AM$1006:$BM$1006,0)))),"Fix")))</f>
        <v xml:space="preserve"> </v>
      </c>
      <c r="L12" s="4" t="str">
        <f ca="1">IF(OR(INDEX($AG$2:$AG$1001,MATCH(ROWS($AF$2:AF12),$AF$2:$AF$1001,0),1)&gt;=100000,INDEX($AM$1005:$BM$1005,1,MATCH(COLUMNS($AM$1006:AW1006),$AM$1006:$BM$1006,0))&gt;=100000), " ",IF(INDEX($AM$2:$BM$1001,MATCH(ROWS($AF$2:AF12),$AF$2:$AF$1001,0),MATCH(COLUMNS($AM$1006:AW1006),$AM$1006:$BM$1006,0)), HYPERLINK("#",""), HYPERLINK(CONCATENATE("#metadata!", ADDRESS(INDEX($AH$2:$AH$1001,MATCH(ROWS($AF$2:AF12),$AF$2:$AF$1001,0),0), INDEX($AM$1004:$BM$1004,1,MATCH(COLUMNS($AM$1006:AW1006),$AM$1006:$BM$1006,0)))),"Fix")))</f>
        <v xml:space="preserve"> </v>
      </c>
      <c r="M12" s="4" t="str">
        <f ca="1">IF(OR(INDEX($AG$2:$AG$1001,MATCH(ROWS($AF$2:AF12),$AF$2:$AF$1001,0),1)&gt;=100000,INDEX($AM$1005:$BM$1005,1,MATCH(COLUMNS($AM$1006:AX1006),$AM$1006:$BM$1006,0))&gt;=100000), " ",IF(INDEX($AM$2:$BM$1001,MATCH(ROWS($AF$2:AF12),$AF$2:$AF$1001,0),MATCH(COLUMNS($AM$1006:AX1006),$AM$1006:$BM$1006,0)), HYPERLINK("#",""), HYPERLINK(CONCATENATE("#metadata!", ADDRESS(INDEX($AH$2:$AH$1001,MATCH(ROWS($AF$2:AF12),$AF$2:$AF$1001,0),0), INDEX($AM$1004:$BM$1004,1,MATCH(COLUMNS($AM$1006:AX1006),$AM$1006:$BM$1006,0)))),"Fix")))</f>
        <v xml:space="preserve"> </v>
      </c>
      <c r="N12" s="4" t="str">
        <f ca="1">IF(OR(INDEX($AG$2:$AG$1001,MATCH(ROWS($AF$2:AF12),$AF$2:$AF$1001,0),1)&gt;=100000,INDEX($AM$1005:$BM$1005,1,MATCH(COLUMNS($AM$1006:AY1006),$AM$1006:$BM$1006,0))&gt;=100000), " ",IF(INDEX($AM$2:$BM$1001,MATCH(ROWS($AF$2:AF12),$AF$2:$AF$1001,0),MATCH(COLUMNS($AM$1006:AY1006),$AM$1006:$BM$1006,0)), HYPERLINK("#",""), HYPERLINK(CONCATENATE("#metadata!", ADDRESS(INDEX($AH$2:$AH$1001,MATCH(ROWS($AF$2:AF12),$AF$2:$AF$1001,0),0), INDEX($AM$1004:$BM$1004,1,MATCH(COLUMNS($AM$1006:AY1006),$AM$1006:$BM$1006,0)))),"Fix")))</f>
        <v xml:space="preserve"> </v>
      </c>
      <c r="O12" s="4" t="str">
        <f ca="1">IF(OR(INDEX($AG$2:$AG$1001,MATCH(ROWS($AF$2:AF12),$AF$2:$AF$1001,0),1)&gt;=100000,INDEX($AM$1005:$BM$1005,1,MATCH(COLUMNS($AM$1006:AZ1006),$AM$1006:$BM$1006,0))&gt;=100000), " ",IF(INDEX($AM$2:$BM$1001,MATCH(ROWS($AF$2:AF12),$AF$2:$AF$1001,0),MATCH(COLUMNS($AM$1006:AZ1006),$AM$1006:$BM$1006,0)), HYPERLINK("#",""), HYPERLINK(CONCATENATE("#metadata!", ADDRESS(INDEX($AH$2:$AH$1001,MATCH(ROWS($AF$2:AF12),$AF$2:$AF$1001,0),0), INDEX($AM$1004:$BM$1004,1,MATCH(COLUMNS($AM$1006:AZ1006),$AM$1006:$BM$1006,0)))),"Fix")))</f>
        <v xml:space="preserve"> </v>
      </c>
      <c r="P12" s="4" t="str">
        <f ca="1">IF(OR(INDEX($AG$2:$AG$1001,MATCH(ROWS($AF$2:AF12),$AF$2:$AF$1001,0),1)&gt;=100000,INDEX($AM$1005:$BM$1005,1,MATCH(COLUMNS($AM$1006:BA1006),$AM$1006:$BM$1006,0))&gt;=100000), " ",IF(INDEX($AM$2:$BM$1001,MATCH(ROWS($AF$2:AF12),$AF$2:$AF$1001,0),MATCH(COLUMNS($AM$1006:BA1006),$AM$1006:$BM$1006,0)), HYPERLINK("#",""), HYPERLINK(CONCATENATE("#metadata!", ADDRESS(INDEX($AH$2:$AH$1001,MATCH(ROWS($AF$2:AF12),$AF$2:$AF$1001,0),0), INDEX($AM$1004:$BM$1004,1,MATCH(COLUMNS($AM$1006:BA1006),$AM$1006:$BM$1006,0)))),"Fix")))</f>
        <v xml:space="preserve"> </v>
      </c>
      <c r="Q12" s="4" t="str">
        <f ca="1">IF(OR(INDEX($AG$2:$AG$1001,MATCH(ROWS($AF$2:AF12),$AF$2:$AF$1001,0),1)&gt;=100000,INDEX($AM$1005:$BM$1005,1,MATCH(COLUMNS($AM$1006:BB1006),$AM$1006:$BM$1006,0))&gt;=100000), " ",IF(INDEX($AM$2:$BM$1001,MATCH(ROWS($AF$2:AF12),$AF$2:$AF$1001,0),MATCH(COLUMNS($AM$1006:BB1006),$AM$1006:$BM$1006,0)), HYPERLINK("#",""), HYPERLINK(CONCATENATE("#metadata!", ADDRESS(INDEX($AH$2:$AH$1001,MATCH(ROWS($AF$2:AF12),$AF$2:$AF$1001,0),0), INDEX($AM$1004:$BM$1004,1,MATCH(COLUMNS($AM$1006:BB1006),$AM$1006:$BM$1006,0)))),"Fix")))</f>
        <v xml:space="preserve"> </v>
      </c>
      <c r="R12" s="4" t="str">
        <f ca="1">IF(OR(INDEX($AG$2:$AG$1001,MATCH(ROWS($AF$2:AF12),$AF$2:$AF$1001,0),1)&gt;=100000,INDEX($AM$1005:$BM$1005,1,MATCH(COLUMNS($AM$1006:BC1006),$AM$1006:$BM$1006,0))&gt;=100000), " ",IF(INDEX($AM$2:$BM$1001,MATCH(ROWS($AF$2:AF12),$AF$2:$AF$1001,0),MATCH(COLUMNS($AM$1006:BC1006),$AM$1006:$BM$1006,0)), HYPERLINK("#",""), HYPERLINK(CONCATENATE("#metadata!", ADDRESS(INDEX($AH$2:$AH$1001,MATCH(ROWS($AF$2:AF12),$AF$2:$AF$1001,0),0), INDEX($AM$1004:$BM$1004,1,MATCH(COLUMNS($AM$1006:BC1006),$AM$1006:$BM$1006,0)))),"Fix")))</f>
        <v xml:space="preserve"> </v>
      </c>
      <c r="S12" s="4" t="str">
        <f ca="1">IF(OR(INDEX($AG$2:$AG$1001,MATCH(ROWS($AF$2:AF12),$AF$2:$AF$1001,0),1)&gt;=100000,INDEX($AM$1005:$BM$1005,1,MATCH(COLUMNS($AM$1006:BD1006),$AM$1006:$BM$1006,0))&gt;=100000), " ",IF(INDEX($AM$2:$BM$1001,MATCH(ROWS($AF$2:AF12),$AF$2:$AF$1001,0),MATCH(COLUMNS($AM$1006:BD1006),$AM$1006:$BM$1006,0)), HYPERLINK("#",""), HYPERLINK(CONCATENATE("#metadata!", ADDRESS(INDEX($AH$2:$AH$1001,MATCH(ROWS($AF$2:AF12),$AF$2:$AF$1001,0),0), INDEX($AM$1004:$BM$1004,1,MATCH(COLUMNS($AM$1006:BD1006),$AM$1006:$BM$1006,0)))),"Fix")))</f>
        <v xml:space="preserve"> </v>
      </c>
      <c r="T12" s="4" t="str">
        <f ca="1">IF(OR(INDEX($AG$2:$AG$1001,MATCH(ROWS($AF$2:AF12),$AF$2:$AF$1001,0),1)&gt;=100000,INDEX($AM$1005:$BM$1005,1,MATCH(COLUMNS($AM$1006:BE1006),$AM$1006:$BM$1006,0))&gt;=100000), " ",IF(INDEX($AM$2:$BM$1001,MATCH(ROWS($AF$2:AF12),$AF$2:$AF$1001,0),MATCH(COLUMNS($AM$1006:BE1006),$AM$1006:$BM$1006,0)), HYPERLINK("#",""), HYPERLINK(CONCATENATE("#metadata!", ADDRESS(INDEX($AH$2:$AH$1001,MATCH(ROWS($AF$2:AF12),$AF$2:$AF$1001,0),0), INDEX($AM$1004:$BM$1004,1,MATCH(COLUMNS($AM$1006:BE1006),$AM$1006:$BM$1006,0)))),"Fix")))</f>
        <v xml:space="preserve"> </v>
      </c>
      <c r="U12" s="4" t="str">
        <f ca="1">IF(OR(INDEX($AG$2:$AG$1001,MATCH(ROWS($AF$2:AF12),$AF$2:$AF$1001,0),1)&gt;=100000,INDEX($AM$1005:$BM$1005,1,MATCH(COLUMNS($AM$1006:BF1006),$AM$1006:$BM$1006,0))&gt;=100000), " ",IF(INDEX($AM$2:$BM$1001,MATCH(ROWS($AF$2:AF12),$AF$2:$AF$1001,0),MATCH(COLUMNS($AM$1006:BF1006),$AM$1006:$BM$1006,0)), HYPERLINK("#",""), HYPERLINK(CONCATENATE("#metadata!", ADDRESS(INDEX($AH$2:$AH$1001,MATCH(ROWS($AF$2:AF12),$AF$2:$AF$1001,0),0), INDEX($AM$1004:$BM$1004,1,MATCH(COLUMNS($AM$1006:BF1006),$AM$1006:$BM$1006,0)))),"Fix")))</f>
        <v xml:space="preserve"> </v>
      </c>
      <c r="V12" s="4" t="str">
        <f ca="1">IF(OR(INDEX($AG$2:$AG$1001,MATCH(ROWS($AF$2:AF12),$AF$2:$AF$1001,0),1)&gt;=100000,INDEX($AM$1005:$BM$1005,1,MATCH(COLUMNS($AM$1006:BG1006),$AM$1006:$BM$1006,0))&gt;=100000), " ",IF(INDEX($AM$2:$BM$1001,MATCH(ROWS($AF$2:AF12),$AF$2:$AF$1001,0),MATCH(COLUMNS($AM$1006:BG1006),$AM$1006:$BM$1006,0)), HYPERLINK("#",""), HYPERLINK(CONCATENATE("#metadata!", ADDRESS(INDEX($AH$2:$AH$1001,MATCH(ROWS($AF$2:AF12),$AF$2:$AF$1001,0),0), INDEX($AM$1004:$BM$1004,1,MATCH(COLUMNS($AM$1006:BG1006),$AM$1006:$BM$1006,0)))),"Fix")))</f>
        <v xml:space="preserve"> </v>
      </c>
      <c r="W12" s="4" t="str">
        <f ca="1">IF(OR(INDEX($AG$2:$AG$1001,MATCH(ROWS($AF$2:AF12),$AF$2:$AF$1001,0),1)&gt;=100000,INDEX($AM$1005:$BM$1005,1,MATCH(COLUMNS($AM$1006:BH1006),$AM$1006:$BM$1006,0))&gt;=100000), " ",IF(INDEX($AM$2:$BM$1001,MATCH(ROWS($AF$2:AF12),$AF$2:$AF$1001,0),MATCH(COLUMNS($AM$1006:BH1006),$AM$1006:$BM$1006,0)), HYPERLINK("#",""), HYPERLINK(CONCATENATE("#metadata!", ADDRESS(INDEX($AH$2:$AH$1001,MATCH(ROWS($AF$2:AF12),$AF$2:$AF$1001,0),0), INDEX($AM$1004:$BM$1004,1,MATCH(COLUMNS($AM$1006:BH1006),$AM$1006:$BM$1006,0)))),"Fix")))</f>
        <v xml:space="preserve"> </v>
      </c>
      <c r="X12" s="4" t="str">
        <f ca="1">IF(OR(INDEX($AG$2:$AG$1001,MATCH(ROWS($AF$2:AF12),$AF$2:$AF$1001,0),1)&gt;=100000,INDEX($AM$1005:$BM$1005,1,MATCH(COLUMNS($AM$1006:BI1006),$AM$1006:$BM$1006,0))&gt;=100000), " ",IF(INDEX($AM$2:$BM$1001,MATCH(ROWS($AF$2:AF12),$AF$2:$AF$1001,0),MATCH(COLUMNS($AM$1006:BI1006),$AM$1006:$BM$1006,0)), HYPERLINK("#",""), HYPERLINK(CONCATENATE("#metadata!", ADDRESS(INDEX($AH$2:$AH$1001,MATCH(ROWS($AF$2:AF12),$AF$2:$AF$1001,0),0), INDEX($AM$1004:$BM$1004,1,MATCH(COLUMNS($AM$1006:BI1006),$AM$1006:$BM$1006,0)))),"Fix")))</f>
        <v xml:space="preserve"> </v>
      </c>
      <c r="Y12" s="4" t="str">
        <f ca="1">IF(OR(INDEX($AG$2:$AG$1001,MATCH(ROWS($AF$2:AF12),$AF$2:$AF$1001,0),1)&gt;=100000,INDEX($AM$1005:$BM$1005,1,MATCH(COLUMNS($AM$1006:BJ1006),$AM$1006:$BM$1006,0))&gt;=100000), " ",IF(INDEX($AM$2:$BM$1001,MATCH(ROWS($AF$2:AF12),$AF$2:$AF$1001,0),MATCH(COLUMNS($AM$1006:BJ1006),$AM$1006:$BM$1006,0)), HYPERLINK("#",""), HYPERLINK(CONCATENATE("#metadata!", ADDRESS(INDEX($AH$2:$AH$1001,MATCH(ROWS($AF$2:AF12),$AF$2:$AF$1001,0),0), INDEX($AM$1004:$BM$1004,1,MATCH(COLUMNS($AM$1006:BJ1006),$AM$1006:$BM$1006,0)))),"Fix")))</f>
        <v xml:space="preserve"> </v>
      </c>
      <c r="Z12" s="4" t="str">
        <f ca="1">IF(OR(INDEX($AG$2:$AG$1001,MATCH(ROWS($AF$2:AF12),$AF$2:$AF$1001,0),1)&gt;=100000,INDEX($AM$1005:$BM$1005,1,MATCH(COLUMNS($AM$1006:BK1006),$AM$1006:$BM$1006,0))&gt;=100000), " ",IF(INDEX($AM$2:$BM$1001,MATCH(ROWS($AF$2:AF12),$AF$2:$AF$1001,0),MATCH(COLUMNS($AM$1006:BK1006),$AM$1006:$BM$1006,0)), HYPERLINK("#",""), HYPERLINK(CONCATENATE("#metadata!", ADDRESS(INDEX($AH$2:$AH$1001,MATCH(ROWS($AF$2:AF12),$AF$2:$AF$1001,0),0), INDEX($AM$1004:$BM$1004,1,MATCH(COLUMNS($AM$1006:BK1006),$AM$1006:$BM$1006,0)))),"Fix")))</f>
        <v xml:space="preserve"> </v>
      </c>
      <c r="AA12" s="4" t="str">
        <f ca="1">IF(OR(INDEX($AG$2:$AG$1001,MATCH(ROWS($AF$2:AF12),$AF$2:$AF$1001,0),1)&gt;=100000,INDEX($AM$1005:$BM$1005,1,MATCH(COLUMNS($AM$1006:BL1006),$AM$1006:$BM$1006,0))&gt;=100000), " ",IF(INDEX($AM$2:$BM$1001,MATCH(ROWS($AF$2:AF12),$AF$2:$AF$1001,0),MATCH(COLUMNS($AM$1006:BL1006),$AM$1006:$BM$1006,0)), HYPERLINK("#",""), HYPERLINK(CONCATENATE("#metadata!", ADDRESS(INDEX($AH$2:$AH$1001,MATCH(ROWS($AF$2:AF12),$AF$2:$AF$1001,0),0), INDEX($AM$1004:$BM$1004,1,MATCH(COLUMNS($AM$1006:BL1006),$AM$1006:$BM$1006,0)))),"Fix")))</f>
        <v xml:space="preserve"> </v>
      </c>
      <c r="AB12" s="4" t="str">
        <f ca="1">IF(OR(INDEX($AG$2:$AG$1001,MATCH(ROWS($AF$2:AF12),$AF$2:$AF$1001,0),1)&gt;=100000,INDEX($AM$1005:$BM$1005,1,MATCH(COLUMNS($AM$1006:BM1006),$AM$1006:$BM$1006,0))&gt;=100000), " ",IF(INDEX($AM$2:$BM$1001,MATCH(ROWS($AF$2:AF12),$AF$2:$AF$1001,0),MATCH(COLUMNS($AM$1006:BM1006),$AM$1006:$BM$1006,0)), HYPERLINK("#",""), HYPERLINK(CONCATENATE("#metadata!", ADDRESS(INDEX($AH$2:$AH$1001,MATCH(ROWS($AF$2:AF12),$AF$2:$AF$1001,0),0), INDEX($AM$1004:$BM$1004,1,MATCH(COLUMNS($AM$1006:BM1006),$AM$1006:$BM$1006,0)))),"Fix")))</f>
        <v xml:space="preserve"> </v>
      </c>
      <c r="AF12">
        <v>11</v>
      </c>
      <c r="AG12">
        <v>100012</v>
      </c>
      <c r="AH12">
        <v>12</v>
      </c>
      <c r="AI12" t="b">
        <f t="shared" si="0"/>
        <v>1</v>
      </c>
      <c r="AJ12" t="b">
        <f>COUNTBLANK(metadata!B12:AB12)=COLUMNS(metadata!B12:AB12)</f>
        <v>1</v>
      </c>
      <c r="AK12" t="str">
        <v/>
      </c>
      <c r="AM12" t="b">
        <f ca="1">AND(IF(metadata!B12="",FALSE,TRUE),COUNTIF(metadata!B:B, metadata!B12) = 1,NOT(ISERROR(SUMPRODUCT(SEARCH(MID(metadata!B12,ROW(INDIRECT("1:"&amp;LEN(metadata!B12))), 1),"0123456789abcdefghijklmnopqrstuvwxyzABCDEFGHIJKLMNOPQRSTUVWXYZ.")))))</f>
        <v>0</v>
      </c>
      <c r="AN12" t="b">
        <f ca="1">OR(AND(IF(metadata!C12="",FALSE,TRUE),OR(EXACT(metadata!C12,"missing: not collected"),EXACT(metadata!C12,"missing: not provided"),EXACT(metadata!C12,"missing: restricted access"))),AND(IF(metadata!C12="",FALSE,TRUE),AND(AND(IFERROR(INT(LEFT(metadata!C12,4))&gt;1900,FALSE),IFERROR(INT(LEFT(metadata!C12,4))&lt;=YEAR(NOW()),FALSE)), OR(MID(metadata!C12,5,1)="", AND(AND(MID(metadata!C12,5,1)="-",IFERROR(INT(MID(metadata!C12,6,1))&gt;=0,FALSE),IFERROR(INT(MID(metadata!C12,6,1))&lt;=1,FALSE),NOT(MID(metadata!C12,7,1)=""),IFERROR(INT(MID(metadata!C12,6,2))&gt;=1,FALSE),IFERROR(INT(MID(metadata!C12,6,2))&lt;=12,FALSE)), OR(MID(metadata!C12,8,1)="", AND(AND(MID(metadata!C12,8,1)="-",IFERROR(INT(MID(metadata!C12,9,1))&gt;=0,FALSE),IFERROR(INT(MID(metadata!C12,9,1))&lt;=3,FALSE),NOT(MID(metadata!C12,10,1)=""),IFERROR(INT(MID(metadata!C12,9,2))&gt;=1,FALSE),IFERROR(INT(MID(metadata!C12,9,2))&lt;=31,FALSE)), OR(MID(metadata!C12,11,1)="", AND(AND(MID(metadata!C12,11,1)=" ",IFERROR(INT(MID(metadata!C12,12,1))&gt;=0,FALSE),IFERROR(INT(MID(metadata!C12,12,1))&lt;=2,FALSE),NOT(MID(metadata!C12,13,1)=""),IFERROR(INT(MID(metadata!C12,12,2))&gt;=0,FALSE),IFERROR(INT(MID(metadata!C12,12,2))&lt;=23,FALSE)), OR(MID(metadata!C12,14,1)="", AND(AND(MID(metadata!C12,14,1)=":",IFERROR(INT(MID(metadata!C12,15,1))&gt;=0,FALSE),IFERROR(INT(MID(metadata!C12,15,1))&lt;=5,FALSE),NOT(MID(metadata!C12,16,1)=""),IFERROR(INT(MID(metadata!C12,15,2))&gt;=0,FALSE),IFERROR(INT(MID(metadata!C12,15,2))&lt;=59,FALSE)), OR(MID(metadata!C12,17,1)="", AND(AND(MID(metadata!C12,17,1)=":",IFERROR(INT(MID(metadata!C12,18,1))&gt;=0,FALSE),IFERROR(INT(MID(metadata!C12,18,1))&lt;=5,FALSE),NOT(MID(metadata!C12,19,1)=""),IFERROR(INT(MID(metadata!C12,18,2))&gt;=0,FALSE),IFERROR(INT(MID(metadata!C12,18,2))&lt;=59,FALSE)), LEN(metadata!C12)&lt;=19)))))))))))))</f>
        <v>0</v>
      </c>
      <c r="AO12" t="b">
        <f>AND(IF(metadata!D12="",FALSE,TRUE),EXACT(metadata!D12,"Not applicable"))</f>
        <v>0</v>
      </c>
      <c r="AP12" t="b">
        <f>IF(metadata!E12="",FALSE,TRUE)</f>
        <v>0</v>
      </c>
      <c r="AQ12" t="b">
        <f>OR(AND(IF(metadata!F12="",FALSE,TRUE),OR(EXACT(metadata!F12,"missing: not collected"),EXACT(metadata!F12,"missing: not provided"))),AND(IF(metadata!F12="",FALSE,TRUE),OR(EXACT(metadata!F12,"TRUE"),EXACT(metadata!F12,"FALSE"))))</f>
        <v>0</v>
      </c>
      <c r="AR12" t="b">
        <f>OR(AND(IF(metadata!G12="",FALSE,TRUE),OR(EXACT(metadata!G12,"missing: not collected"),EXACT(metadata!G12,"missing: not provided"),EXACT(metadata!G12,"missing: restricted access"))),AND(IF(metadata!G12="",FALSE,ISNUMBER(VALUE(metadata!G12))),metadata!G12&gt;=-413))</f>
        <v>0</v>
      </c>
      <c r="AS12" t="b">
        <f>AND(IF(metadata!H12="",FALSE,TRUE),EXACT(metadata!H12,"meters"))</f>
        <v>0</v>
      </c>
      <c r="AT12" t="b">
        <f>AND(IF(metadata!I12="",FALSE,TRUE),OR(EXACT(metadata!I12,"Host-associated"),EXACT(metadata!I12,"Free-living")))</f>
        <v>0</v>
      </c>
      <c r="AU12" t="b">
        <f>AND(IF(metadata!J12="",FALSE,TRUE),OR(EXACT(metadata!J12,"Animal"),EXACT(metadata!J12,"Fungus"),EXACT(metadata!J12,"Plant"),EXACT(metadata!J12,"Saline"),EXACT(metadata!J12,"Non-saline")))</f>
        <v>0</v>
      </c>
      <c r="AV12" t="b">
        <f>AND(IF(metadata!K12="",FALSE,TRUE),OR(EXACT(metadata!K12,"Plant secretion"),EXACT(metadata!K12,"Plant rhizosphere"),EXACT(metadata!K12,"Plant surface"),EXACT(metadata!K12,"Plant corpus"),EXACT(metadata!K12,"Fungus surface"),EXACT(metadata!K12,"Fungus corpus"),EXACT(metadata!K12,"Animal surface"),EXACT(metadata!K12,"Animal proximal gut"),EXACT(metadata!K12,"Animal corpus"),EXACT(metadata!K12,"Animal distal gut"),EXACT(metadata!K12,"Animal secretion"),EXACT(metadata!K12,"Sub-surface (non-saline)"),EXACT(metadata!K12,"Surface (non-saline)"),EXACT(metadata!K12,"Water (non-saline)"),EXACT(metadata!K12,"Soil (non-saline)"),EXACT(metadata!K12,"Aerosol (non-saline)"),EXACT(metadata!K12,"Sediment (non-saline)"),EXACT(metadata!K12,"Surface (saline)"),EXACT(metadata!K12,"Water (saline)"),EXACT(metadata!K12,"Hypersaline (saline)"),EXACT(metadata!K12,"Aerosol (saline)"),EXACT(metadata!K12,"Sediment (saline)")))</f>
        <v>0</v>
      </c>
      <c r="AW12" t="b">
        <f>IF(metadata!L12="",FALSE,TRUE)</f>
        <v>0</v>
      </c>
      <c r="AX12" t="b">
        <f>IF(metadata!M12="",FALSE,TRUE)</f>
        <v>0</v>
      </c>
      <c r="AY12" t="b">
        <f>IF(metadata!N12="",FALSE,TRUE)</f>
        <v>0</v>
      </c>
      <c r="AZ12" t="b">
        <f>OR(AND(IF(metadata!O12="",FALSE,TRUE),OR(EXACT(metadata!O12,"missing: not collected"),EXACT(metadata!O12,"missing: not provided"),EXACT(metadata!O12,"missing: restricted access"))),AND(IF(metadata!O12="",FALSE,TRUE),OR(EXACT(metadata!O12,"air"),EXACT(metadata!O12,"built environment"),EXACT(metadata!O12,"host-associated"),EXACT(metadata!O12,"human-associated"),EXACT(metadata!O12,"human-skin"),EXACT(metadata!O12,"human-oral"),EXACT(metadata!O12,"human-gut"),EXACT(metadata!O12,"human-vaginal"),EXACT(metadata!O12,"microbial mat/biofilm"),EXACT(metadata!O12,"misc environment"),EXACT(metadata!O12,"plant-associated"),EXACT(metadata!O12,"sediment"),EXACT(metadata!O12,"soil"),EXACT(metadata!O12,"wastewater/sludge"),EXACT(metadata!O12,"water"))))</f>
        <v>0</v>
      </c>
      <c r="BA12" t="b">
        <f>IF(metadata!P12="",FALSE,TRUE)</f>
        <v>0</v>
      </c>
      <c r="BB12" t="b">
        <f>IF(metadata!Q12="",FALSE,TRUE)</f>
        <v>0</v>
      </c>
      <c r="BC12" t="b">
        <f>OR(AND(IF(metadata!R12="",FALSE,TRUE),OR(EXACT(metadata!R12,"missing: not collected"),EXACT(metadata!R12,"missing: not provided"),EXACT(metadata!R12,"missing: restricted access"))),AND(IF(metadata!R12="",FALSE,ISNUMBER(VALUE(metadata!R12))),metadata!R12&gt;=-90,metadata!R12&lt;=90))</f>
        <v>0</v>
      </c>
      <c r="BD12" t="b">
        <f>AND(IF(metadata!S12="",FALSE,TRUE),EXACT(metadata!S12,"Decimal degrees"))</f>
        <v>0</v>
      </c>
      <c r="BE12" t="b">
        <f>OR(AND(IF(metadata!T12="",FALSE,TRUE),OR(EXACT(metadata!T12,"missing: not collected"),EXACT(metadata!T12,"missing: not provided"),EXACT(metadata!T12,"missing: restricted access"))),AND(IF(metadata!T12="",FALSE,ISNUMBER(VALUE(metadata!T12))),metadata!T12&gt;=-180,metadata!T12&lt;=180))</f>
        <v>0</v>
      </c>
      <c r="BF12" t="b">
        <f>AND(IF(metadata!U12="",FALSE,TRUE),EXACT(metadata!U12,"Decimal degrees"))</f>
        <v>0</v>
      </c>
      <c r="BG12" t="b">
        <f>IF(metadata!V12="",FALSE,TRUE)</f>
        <v>0</v>
      </c>
      <c r="BH12" t="b">
        <f>OR(AND(IF(metadata!W12="",FALSE,TRUE),OR(EXACT(metadata!W12,"missing: not collected"),EXACT(metadata!W12,"missing: not provided"),EXACT(metadata!W12,"missing: restricted access"))),AND(IF(metadata!W12="",FALSE,TRUE),OR(EXACT(metadata!W12,"TRUE"),EXACT(metadata!W12,"FALSE"))))</f>
        <v>0</v>
      </c>
      <c r="BI12" t="b">
        <f>AND(IF(metadata!X12="",FALSE,TRUE),EXACT(metadata!X12,"other"))</f>
        <v>0</v>
      </c>
      <c r="BJ12" t="b">
        <f>IF(metadata!Y12="",FALSE,TRUE)</f>
        <v>0</v>
      </c>
      <c r="BK12" t="b">
        <f>OR(AND(IF(metadata!Z12="",FALSE,TRUE),OR(EXACT(metadata!Z12,"missing: not collected"),EXACT(metadata!Z12,"missing: not provided"))),AND(IF(metadata!Z12="",FALSE,IF(ISERROR(INT(metadata!Z12)),FALSE,INT(metadata!Z12)=metadata!Z12)),metadata!Z12&gt;0))</f>
        <v>0</v>
      </c>
      <c r="BL12" t="b">
        <f>AND(IF(metadata!AA12="",FALSE,TRUE),EXACT(metadata!AA12,"Not applicable"))</f>
        <v>0</v>
      </c>
      <c r="BM12" t="b">
        <f>IF(metadata!AB12="",FALSE,TRUE)</f>
        <v>0</v>
      </c>
    </row>
    <row r="13" spans="1:65" x14ac:dyDescent="0.2">
      <c r="A13" s="5" t="str">
        <f ca="1">IF(B13=" "," ",HYPERLINK(CONCATENATE("#metadata!",ADDRESS(INDEX($AH$2:$AH$1001,MATCH(ROWS($AF$2:AF13),$AF$2:$AF$1001,0),0),1)),INDEX($AK$2:$AK$1001,MATCH(ROWS($AF$2:AF13),$AF$2:$AF$1001,0),0)))</f>
        <v xml:space="preserve"> </v>
      </c>
      <c r="B13" s="4" t="str">
        <f ca="1">IF(OR(INDEX($AG$2:$AG$1001,MATCH(ROWS($AF$2:AF13),$AF$2:$AF$1001,0),1)&gt;=100000,INDEX($AM$1005:$BM$1005,1,MATCH(COLUMNS($AM$1006:AM1006),$AM$1006:$BM$1006,0))&gt;=100000), " ",IF(INDEX($AM$2:$BM$1001,MATCH(ROWS($AF$2:AF13),$AF$2:$AF$1001,0),MATCH(COLUMNS($AM$1006:AM1006),$AM$1006:$BM$1006,0)), HYPERLINK("#",""), HYPERLINK(CONCATENATE("#metadata!", ADDRESS(INDEX($AH$2:$AH$1001,MATCH(ROWS($AF$2:AF13),$AF$2:$AF$1001,0),0), INDEX($AM$1004:$BM$1004,1,MATCH(COLUMNS($AM$1006:AM1006),$AM$1006:$BM$1006,0)))),"Fix")))</f>
        <v xml:space="preserve"> </v>
      </c>
      <c r="C13" s="4" t="str">
        <f ca="1">IF(OR(INDEX($AG$2:$AG$1001,MATCH(ROWS($AF$2:AF13),$AF$2:$AF$1001,0),1)&gt;=100000,INDEX($AM$1005:$BM$1005,1,MATCH(COLUMNS($AM$1006:AN1006),$AM$1006:$BM$1006,0))&gt;=100000), " ",IF(INDEX($AM$2:$BM$1001,MATCH(ROWS($AF$2:AF13),$AF$2:$AF$1001,0),MATCH(COLUMNS($AM$1006:AN1006),$AM$1006:$BM$1006,0)), HYPERLINK("#",""), HYPERLINK(CONCATENATE("#metadata!", ADDRESS(INDEX($AH$2:$AH$1001,MATCH(ROWS($AF$2:AF13),$AF$2:$AF$1001,0),0), INDEX($AM$1004:$BM$1004,1,MATCH(COLUMNS($AM$1006:AN1006),$AM$1006:$BM$1006,0)))),"Fix")))</f>
        <v xml:space="preserve"> </v>
      </c>
      <c r="D13" s="4" t="str">
        <f ca="1">IF(OR(INDEX($AG$2:$AG$1001,MATCH(ROWS($AF$2:AF13),$AF$2:$AF$1001,0),1)&gt;=100000,INDEX($AM$1005:$BM$1005,1,MATCH(COLUMNS($AM$1006:AO1006),$AM$1006:$BM$1006,0))&gt;=100000), " ",IF(INDEX($AM$2:$BM$1001,MATCH(ROWS($AF$2:AF13),$AF$2:$AF$1001,0),MATCH(COLUMNS($AM$1006:AO1006),$AM$1006:$BM$1006,0)), HYPERLINK("#",""), HYPERLINK(CONCATENATE("#metadata!", ADDRESS(INDEX($AH$2:$AH$1001,MATCH(ROWS($AF$2:AF13),$AF$2:$AF$1001,0),0), INDEX($AM$1004:$BM$1004,1,MATCH(COLUMNS($AM$1006:AO1006),$AM$1006:$BM$1006,0)))),"Fix")))</f>
        <v xml:space="preserve"> </v>
      </c>
      <c r="E13" s="4" t="str">
        <f ca="1">IF(OR(INDEX($AG$2:$AG$1001,MATCH(ROWS($AF$2:AF13),$AF$2:$AF$1001,0),1)&gt;=100000,INDEX($AM$1005:$BM$1005,1,MATCH(COLUMNS($AM$1006:AP1006),$AM$1006:$BM$1006,0))&gt;=100000), " ",IF(INDEX($AM$2:$BM$1001,MATCH(ROWS($AF$2:AF13),$AF$2:$AF$1001,0),MATCH(COLUMNS($AM$1006:AP1006),$AM$1006:$BM$1006,0)), HYPERLINK("#",""), HYPERLINK(CONCATENATE("#metadata!", ADDRESS(INDEX($AH$2:$AH$1001,MATCH(ROWS($AF$2:AF13),$AF$2:$AF$1001,0),0), INDEX($AM$1004:$BM$1004,1,MATCH(COLUMNS($AM$1006:AP1006),$AM$1006:$BM$1006,0)))),"Fix")))</f>
        <v xml:space="preserve"> </v>
      </c>
      <c r="F13" s="4" t="str">
        <f ca="1">IF(OR(INDEX($AG$2:$AG$1001,MATCH(ROWS($AF$2:AF13),$AF$2:$AF$1001,0),1)&gt;=100000,INDEX($AM$1005:$BM$1005,1,MATCH(COLUMNS($AM$1006:AQ1006),$AM$1006:$BM$1006,0))&gt;=100000), " ",IF(INDEX($AM$2:$BM$1001,MATCH(ROWS($AF$2:AF13),$AF$2:$AF$1001,0),MATCH(COLUMNS($AM$1006:AQ1006),$AM$1006:$BM$1006,0)), HYPERLINK("#",""), HYPERLINK(CONCATENATE("#metadata!", ADDRESS(INDEX($AH$2:$AH$1001,MATCH(ROWS($AF$2:AF13),$AF$2:$AF$1001,0),0), INDEX($AM$1004:$BM$1004,1,MATCH(COLUMNS($AM$1006:AQ1006),$AM$1006:$BM$1006,0)))),"Fix")))</f>
        <v xml:space="preserve"> </v>
      </c>
      <c r="G13" s="4" t="str">
        <f ca="1">IF(OR(INDEX($AG$2:$AG$1001,MATCH(ROWS($AF$2:AF13),$AF$2:$AF$1001,0),1)&gt;=100000,INDEX($AM$1005:$BM$1005,1,MATCH(COLUMNS($AM$1006:AR1006),$AM$1006:$BM$1006,0))&gt;=100000), " ",IF(INDEX($AM$2:$BM$1001,MATCH(ROWS($AF$2:AF13),$AF$2:$AF$1001,0),MATCH(COLUMNS($AM$1006:AR1006),$AM$1006:$BM$1006,0)), HYPERLINK("#",""), HYPERLINK(CONCATENATE("#metadata!", ADDRESS(INDEX($AH$2:$AH$1001,MATCH(ROWS($AF$2:AF13),$AF$2:$AF$1001,0),0), INDEX($AM$1004:$BM$1004,1,MATCH(COLUMNS($AM$1006:AR1006),$AM$1006:$BM$1006,0)))),"Fix")))</f>
        <v xml:space="preserve"> </v>
      </c>
      <c r="H13" s="4" t="str">
        <f ca="1">IF(OR(INDEX($AG$2:$AG$1001,MATCH(ROWS($AF$2:AF13),$AF$2:$AF$1001,0),1)&gt;=100000,INDEX($AM$1005:$BM$1005,1,MATCH(COLUMNS($AM$1006:AS1006),$AM$1006:$BM$1006,0))&gt;=100000), " ",IF(INDEX($AM$2:$BM$1001,MATCH(ROWS($AF$2:AF13),$AF$2:$AF$1001,0),MATCH(COLUMNS($AM$1006:AS1006),$AM$1006:$BM$1006,0)), HYPERLINK("#",""), HYPERLINK(CONCATENATE("#metadata!", ADDRESS(INDEX($AH$2:$AH$1001,MATCH(ROWS($AF$2:AF13),$AF$2:$AF$1001,0),0), INDEX($AM$1004:$BM$1004,1,MATCH(COLUMNS($AM$1006:AS1006),$AM$1006:$BM$1006,0)))),"Fix")))</f>
        <v xml:space="preserve"> </v>
      </c>
      <c r="I13" s="4" t="str">
        <f ca="1">IF(OR(INDEX($AG$2:$AG$1001,MATCH(ROWS($AF$2:AF13),$AF$2:$AF$1001,0),1)&gt;=100000,INDEX($AM$1005:$BM$1005,1,MATCH(COLUMNS($AM$1006:AT1006),$AM$1006:$BM$1006,0))&gt;=100000), " ",IF(INDEX($AM$2:$BM$1001,MATCH(ROWS($AF$2:AF13),$AF$2:$AF$1001,0),MATCH(COLUMNS($AM$1006:AT1006),$AM$1006:$BM$1006,0)), HYPERLINK("#",""), HYPERLINK(CONCATENATE("#metadata!", ADDRESS(INDEX($AH$2:$AH$1001,MATCH(ROWS($AF$2:AF13),$AF$2:$AF$1001,0),0), INDEX($AM$1004:$BM$1004,1,MATCH(COLUMNS($AM$1006:AT1006),$AM$1006:$BM$1006,0)))),"Fix")))</f>
        <v xml:space="preserve"> </v>
      </c>
      <c r="J13" s="4" t="str">
        <f ca="1">IF(OR(INDEX($AG$2:$AG$1001,MATCH(ROWS($AF$2:AF13),$AF$2:$AF$1001,0),1)&gt;=100000,INDEX($AM$1005:$BM$1005,1,MATCH(COLUMNS($AM$1006:AU1006),$AM$1006:$BM$1006,0))&gt;=100000), " ",IF(INDEX($AM$2:$BM$1001,MATCH(ROWS($AF$2:AF13),$AF$2:$AF$1001,0),MATCH(COLUMNS($AM$1006:AU1006),$AM$1006:$BM$1006,0)), HYPERLINK("#",""), HYPERLINK(CONCATENATE("#metadata!", ADDRESS(INDEX($AH$2:$AH$1001,MATCH(ROWS($AF$2:AF13),$AF$2:$AF$1001,0),0), INDEX($AM$1004:$BM$1004,1,MATCH(COLUMNS($AM$1006:AU1006),$AM$1006:$BM$1006,0)))),"Fix")))</f>
        <v xml:space="preserve"> </v>
      </c>
      <c r="K13" s="4" t="str">
        <f ca="1">IF(OR(INDEX($AG$2:$AG$1001,MATCH(ROWS($AF$2:AF13),$AF$2:$AF$1001,0),1)&gt;=100000,INDEX($AM$1005:$BM$1005,1,MATCH(COLUMNS($AM$1006:AV1006),$AM$1006:$BM$1006,0))&gt;=100000), " ",IF(INDEX($AM$2:$BM$1001,MATCH(ROWS($AF$2:AF13),$AF$2:$AF$1001,0),MATCH(COLUMNS($AM$1006:AV1006),$AM$1006:$BM$1006,0)), HYPERLINK("#",""), HYPERLINK(CONCATENATE("#metadata!", ADDRESS(INDEX($AH$2:$AH$1001,MATCH(ROWS($AF$2:AF13),$AF$2:$AF$1001,0),0), INDEX($AM$1004:$BM$1004,1,MATCH(COLUMNS($AM$1006:AV1006),$AM$1006:$BM$1006,0)))),"Fix")))</f>
        <v xml:space="preserve"> </v>
      </c>
      <c r="L13" s="4" t="str">
        <f ca="1">IF(OR(INDEX($AG$2:$AG$1001,MATCH(ROWS($AF$2:AF13),$AF$2:$AF$1001,0),1)&gt;=100000,INDEX($AM$1005:$BM$1005,1,MATCH(COLUMNS($AM$1006:AW1006),$AM$1006:$BM$1006,0))&gt;=100000), " ",IF(INDEX($AM$2:$BM$1001,MATCH(ROWS($AF$2:AF13),$AF$2:$AF$1001,0),MATCH(COLUMNS($AM$1006:AW1006),$AM$1006:$BM$1006,0)), HYPERLINK("#",""), HYPERLINK(CONCATENATE("#metadata!", ADDRESS(INDEX($AH$2:$AH$1001,MATCH(ROWS($AF$2:AF13),$AF$2:$AF$1001,0),0), INDEX($AM$1004:$BM$1004,1,MATCH(COLUMNS($AM$1006:AW1006),$AM$1006:$BM$1006,0)))),"Fix")))</f>
        <v xml:space="preserve"> </v>
      </c>
      <c r="M13" s="4" t="str">
        <f ca="1">IF(OR(INDEX($AG$2:$AG$1001,MATCH(ROWS($AF$2:AF13),$AF$2:$AF$1001,0),1)&gt;=100000,INDEX($AM$1005:$BM$1005,1,MATCH(COLUMNS($AM$1006:AX1006),$AM$1006:$BM$1006,0))&gt;=100000), " ",IF(INDEX($AM$2:$BM$1001,MATCH(ROWS($AF$2:AF13),$AF$2:$AF$1001,0),MATCH(COLUMNS($AM$1006:AX1006),$AM$1006:$BM$1006,0)), HYPERLINK("#",""), HYPERLINK(CONCATENATE("#metadata!", ADDRESS(INDEX($AH$2:$AH$1001,MATCH(ROWS($AF$2:AF13),$AF$2:$AF$1001,0),0), INDEX($AM$1004:$BM$1004,1,MATCH(COLUMNS($AM$1006:AX1006),$AM$1006:$BM$1006,0)))),"Fix")))</f>
        <v xml:space="preserve"> </v>
      </c>
      <c r="N13" s="4" t="str">
        <f ca="1">IF(OR(INDEX($AG$2:$AG$1001,MATCH(ROWS($AF$2:AF13),$AF$2:$AF$1001,0),1)&gt;=100000,INDEX($AM$1005:$BM$1005,1,MATCH(COLUMNS($AM$1006:AY1006),$AM$1006:$BM$1006,0))&gt;=100000), " ",IF(INDEX($AM$2:$BM$1001,MATCH(ROWS($AF$2:AF13),$AF$2:$AF$1001,0),MATCH(COLUMNS($AM$1006:AY1006),$AM$1006:$BM$1006,0)), HYPERLINK("#",""), HYPERLINK(CONCATENATE("#metadata!", ADDRESS(INDEX($AH$2:$AH$1001,MATCH(ROWS($AF$2:AF13),$AF$2:$AF$1001,0),0), INDEX($AM$1004:$BM$1004,1,MATCH(COLUMNS($AM$1006:AY1006),$AM$1006:$BM$1006,0)))),"Fix")))</f>
        <v xml:space="preserve"> </v>
      </c>
      <c r="O13" s="4" t="str">
        <f ca="1">IF(OR(INDEX($AG$2:$AG$1001,MATCH(ROWS($AF$2:AF13),$AF$2:$AF$1001,0),1)&gt;=100000,INDEX($AM$1005:$BM$1005,1,MATCH(COLUMNS($AM$1006:AZ1006),$AM$1006:$BM$1006,0))&gt;=100000), " ",IF(INDEX($AM$2:$BM$1001,MATCH(ROWS($AF$2:AF13),$AF$2:$AF$1001,0),MATCH(COLUMNS($AM$1006:AZ1006),$AM$1006:$BM$1006,0)), HYPERLINK("#",""), HYPERLINK(CONCATENATE("#metadata!", ADDRESS(INDEX($AH$2:$AH$1001,MATCH(ROWS($AF$2:AF13),$AF$2:$AF$1001,0),0), INDEX($AM$1004:$BM$1004,1,MATCH(COLUMNS($AM$1006:AZ1006),$AM$1006:$BM$1006,0)))),"Fix")))</f>
        <v xml:space="preserve"> </v>
      </c>
      <c r="P13" s="4" t="str">
        <f ca="1">IF(OR(INDEX($AG$2:$AG$1001,MATCH(ROWS($AF$2:AF13),$AF$2:$AF$1001,0),1)&gt;=100000,INDEX($AM$1005:$BM$1005,1,MATCH(COLUMNS($AM$1006:BA1006),$AM$1006:$BM$1006,0))&gt;=100000), " ",IF(INDEX($AM$2:$BM$1001,MATCH(ROWS($AF$2:AF13),$AF$2:$AF$1001,0),MATCH(COLUMNS($AM$1006:BA1006),$AM$1006:$BM$1006,0)), HYPERLINK("#",""), HYPERLINK(CONCATENATE("#metadata!", ADDRESS(INDEX($AH$2:$AH$1001,MATCH(ROWS($AF$2:AF13),$AF$2:$AF$1001,0),0), INDEX($AM$1004:$BM$1004,1,MATCH(COLUMNS($AM$1006:BA1006),$AM$1006:$BM$1006,0)))),"Fix")))</f>
        <v xml:space="preserve"> </v>
      </c>
      <c r="Q13" s="4" t="str">
        <f ca="1">IF(OR(INDEX($AG$2:$AG$1001,MATCH(ROWS($AF$2:AF13),$AF$2:$AF$1001,0),1)&gt;=100000,INDEX($AM$1005:$BM$1005,1,MATCH(COLUMNS($AM$1006:BB1006),$AM$1006:$BM$1006,0))&gt;=100000), " ",IF(INDEX($AM$2:$BM$1001,MATCH(ROWS($AF$2:AF13),$AF$2:$AF$1001,0),MATCH(COLUMNS($AM$1006:BB1006),$AM$1006:$BM$1006,0)), HYPERLINK("#",""), HYPERLINK(CONCATENATE("#metadata!", ADDRESS(INDEX($AH$2:$AH$1001,MATCH(ROWS($AF$2:AF13),$AF$2:$AF$1001,0),0), INDEX($AM$1004:$BM$1004,1,MATCH(COLUMNS($AM$1006:BB1006),$AM$1006:$BM$1006,0)))),"Fix")))</f>
        <v xml:space="preserve"> </v>
      </c>
      <c r="R13" s="4" t="str">
        <f ca="1">IF(OR(INDEX($AG$2:$AG$1001,MATCH(ROWS($AF$2:AF13),$AF$2:$AF$1001,0),1)&gt;=100000,INDEX($AM$1005:$BM$1005,1,MATCH(COLUMNS($AM$1006:BC1006),$AM$1006:$BM$1006,0))&gt;=100000), " ",IF(INDEX($AM$2:$BM$1001,MATCH(ROWS($AF$2:AF13),$AF$2:$AF$1001,0),MATCH(COLUMNS($AM$1006:BC1006),$AM$1006:$BM$1006,0)), HYPERLINK("#",""), HYPERLINK(CONCATENATE("#metadata!", ADDRESS(INDEX($AH$2:$AH$1001,MATCH(ROWS($AF$2:AF13),$AF$2:$AF$1001,0),0), INDEX($AM$1004:$BM$1004,1,MATCH(COLUMNS($AM$1006:BC1006),$AM$1006:$BM$1006,0)))),"Fix")))</f>
        <v xml:space="preserve"> </v>
      </c>
      <c r="S13" s="4" t="str">
        <f ca="1">IF(OR(INDEX($AG$2:$AG$1001,MATCH(ROWS($AF$2:AF13),$AF$2:$AF$1001,0),1)&gt;=100000,INDEX($AM$1005:$BM$1005,1,MATCH(COLUMNS($AM$1006:BD1006),$AM$1006:$BM$1006,0))&gt;=100000), " ",IF(INDEX($AM$2:$BM$1001,MATCH(ROWS($AF$2:AF13),$AF$2:$AF$1001,0),MATCH(COLUMNS($AM$1006:BD1006),$AM$1006:$BM$1006,0)), HYPERLINK("#",""), HYPERLINK(CONCATENATE("#metadata!", ADDRESS(INDEX($AH$2:$AH$1001,MATCH(ROWS($AF$2:AF13),$AF$2:$AF$1001,0),0), INDEX($AM$1004:$BM$1004,1,MATCH(COLUMNS($AM$1006:BD1006),$AM$1006:$BM$1006,0)))),"Fix")))</f>
        <v xml:space="preserve"> </v>
      </c>
      <c r="T13" s="4" t="str">
        <f ca="1">IF(OR(INDEX($AG$2:$AG$1001,MATCH(ROWS($AF$2:AF13),$AF$2:$AF$1001,0),1)&gt;=100000,INDEX($AM$1005:$BM$1005,1,MATCH(COLUMNS($AM$1006:BE1006),$AM$1006:$BM$1006,0))&gt;=100000), " ",IF(INDEX($AM$2:$BM$1001,MATCH(ROWS($AF$2:AF13),$AF$2:$AF$1001,0),MATCH(COLUMNS($AM$1006:BE1006),$AM$1006:$BM$1006,0)), HYPERLINK("#",""), HYPERLINK(CONCATENATE("#metadata!", ADDRESS(INDEX($AH$2:$AH$1001,MATCH(ROWS($AF$2:AF13),$AF$2:$AF$1001,0),0), INDEX($AM$1004:$BM$1004,1,MATCH(COLUMNS($AM$1006:BE1006),$AM$1006:$BM$1006,0)))),"Fix")))</f>
        <v xml:space="preserve"> </v>
      </c>
      <c r="U13" s="4" t="str">
        <f ca="1">IF(OR(INDEX($AG$2:$AG$1001,MATCH(ROWS($AF$2:AF13),$AF$2:$AF$1001,0),1)&gt;=100000,INDEX($AM$1005:$BM$1005,1,MATCH(COLUMNS($AM$1006:BF1006),$AM$1006:$BM$1006,0))&gt;=100000), " ",IF(INDEX($AM$2:$BM$1001,MATCH(ROWS($AF$2:AF13),$AF$2:$AF$1001,0),MATCH(COLUMNS($AM$1006:BF1006),$AM$1006:$BM$1006,0)), HYPERLINK("#",""), HYPERLINK(CONCATENATE("#metadata!", ADDRESS(INDEX($AH$2:$AH$1001,MATCH(ROWS($AF$2:AF13),$AF$2:$AF$1001,0),0), INDEX($AM$1004:$BM$1004,1,MATCH(COLUMNS($AM$1006:BF1006),$AM$1006:$BM$1006,0)))),"Fix")))</f>
        <v xml:space="preserve"> </v>
      </c>
      <c r="V13" s="4" t="str">
        <f ca="1">IF(OR(INDEX($AG$2:$AG$1001,MATCH(ROWS($AF$2:AF13),$AF$2:$AF$1001,0),1)&gt;=100000,INDEX($AM$1005:$BM$1005,1,MATCH(COLUMNS($AM$1006:BG1006),$AM$1006:$BM$1006,0))&gt;=100000), " ",IF(INDEX($AM$2:$BM$1001,MATCH(ROWS($AF$2:AF13),$AF$2:$AF$1001,0),MATCH(COLUMNS($AM$1006:BG1006),$AM$1006:$BM$1006,0)), HYPERLINK("#",""), HYPERLINK(CONCATENATE("#metadata!", ADDRESS(INDEX($AH$2:$AH$1001,MATCH(ROWS($AF$2:AF13),$AF$2:$AF$1001,0),0), INDEX($AM$1004:$BM$1004,1,MATCH(COLUMNS($AM$1006:BG1006),$AM$1006:$BM$1006,0)))),"Fix")))</f>
        <v xml:space="preserve"> </v>
      </c>
      <c r="W13" s="4" t="str">
        <f ca="1">IF(OR(INDEX($AG$2:$AG$1001,MATCH(ROWS($AF$2:AF13),$AF$2:$AF$1001,0),1)&gt;=100000,INDEX($AM$1005:$BM$1005,1,MATCH(COLUMNS($AM$1006:BH1006),$AM$1006:$BM$1006,0))&gt;=100000), " ",IF(INDEX($AM$2:$BM$1001,MATCH(ROWS($AF$2:AF13),$AF$2:$AF$1001,0),MATCH(COLUMNS($AM$1006:BH1006),$AM$1006:$BM$1006,0)), HYPERLINK("#",""), HYPERLINK(CONCATENATE("#metadata!", ADDRESS(INDEX($AH$2:$AH$1001,MATCH(ROWS($AF$2:AF13),$AF$2:$AF$1001,0),0), INDEX($AM$1004:$BM$1004,1,MATCH(COLUMNS($AM$1006:BH1006),$AM$1006:$BM$1006,0)))),"Fix")))</f>
        <v xml:space="preserve"> </v>
      </c>
      <c r="X13" s="4" t="str">
        <f ca="1">IF(OR(INDEX($AG$2:$AG$1001,MATCH(ROWS($AF$2:AF13),$AF$2:$AF$1001,0),1)&gt;=100000,INDEX($AM$1005:$BM$1005,1,MATCH(COLUMNS($AM$1006:BI1006),$AM$1006:$BM$1006,0))&gt;=100000), " ",IF(INDEX($AM$2:$BM$1001,MATCH(ROWS($AF$2:AF13),$AF$2:$AF$1001,0),MATCH(COLUMNS($AM$1006:BI1006),$AM$1006:$BM$1006,0)), HYPERLINK("#",""), HYPERLINK(CONCATENATE("#metadata!", ADDRESS(INDEX($AH$2:$AH$1001,MATCH(ROWS($AF$2:AF13),$AF$2:$AF$1001,0),0), INDEX($AM$1004:$BM$1004,1,MATCH(COLUMNS($AM$1006:BI1006),$AM$1006:$BM$1006,0)))),"Fix")))</f>
        <v xml:space="preserve"> </v>
      </c>
      <c r="Y13" s="4" t="str">
        <f ca="1">IF(OR(INDEX($AG$2:$AG$1001,MATCH(ROWS($AF$2:AF13),$AF$2:$AF$1001,0),1)&gt;=100000,INDEX($AM$1005:$BM$1005,1,MATCH(COLUMNS($AM$1006:BJ1006),$AM$1006:$BM$1006,0))&gt;=100000), " ",IF(INDEX($AM$2:$BM$1001,MATCH(ROWS($AF$2:AF13),$AF$2:$AF$1001,0),MATCH(COLUMNS($AM$1006:BJ1006),$AM$1006:$BM$1006,0)), HYPERLINK("#",""), HYPERLINK(CONCATENATE("#metadata!", ADDRESS(INDEX($AH$2:$AH$1001,MATCH(ROWS($AF$2:AF13),$AF$2:$AF$1001,0),0), INDEX($AM$1004:$BM$1004,1,MATCH(COLUMNS($AM$1006:BJ1006),$AM$1006:$BM$1006,0)))),"Fix")))</f>
        <v xml:space="preserve"> </v>
      </c>
      <c r="Z13" s="4" t="str">
        <f ca="1">IF(OR(INDEX($AG$2:$AG$1001,MATCH(ROWS($AF$2:AF13),$AF$2:$AF$1001,0),1)&gt;=100000,INDEX($AM$1005:$BM$1005,1,MATCH(COLUMNS($AM$1006:BK1006),$AM$1006:$BM$1006,0))&gt;=100000), " ",IF(INDEX($AM$2:$BM$1001,MATCH(ROWS($AF$2:AF13),$AF$2:$AF$1001,0),MATCH(COLUMNS($AM$1006:BK1006),$AM$1006:$BM$1006,0)), HYPERLINK("#",""), HYPERLINK(CONCATENATE("#metadata!", ADDRESS(INDEX($AH$2:$AH$1001,MATCH(ROWS($AF$2:AF13),$AF$2:$AF$1001,0),0), INDEX($AM$1004:$BM$1004,1,MATCH(COLUMNS($AM$1006:BK1006),$AM$1006:$BM$1006,0)))),"Fix")))</f>
        <v xml:space="preserve"> </v>
      </c>
      <c r="AA13" s="4" t="str">
        <f ca="1">IF(OR(INDEX($AG$2:$AG$1001,MATCH(ROWS($AF$2:AF13),$AF$2:$AF$1001,0),1)&gt;=100000,INDEX($AM$1005:$BM$1005,1,MATCH(COLUMNS($AM$1006:BL1006),$AM$1006:$BM$1006,0))&gt;=100000), " ",IF(INDEX($AM$2:$BM$1001,MATCH(ROWS($AF$2:AF13),$AF$2:$AF$1001,0),MATCH(COLUMNS($AM$1006:BL1006),$AM$1006:$BM$1006,0)), HYPERLINK("#",""), HYPERLINK(CONCATENATE("#metadata!", ADDRESS(INDEX($AH$2:$AH$1001,MATCH(ROWS($AF$2:AF13),$AF$2:$AF$1001,0),0), INDEX($AM$1004:$BM$1004,1,MATCH(COLUMNS($AM$1006:BL1006),$AM$1006:$BM$1006,0)))),"Fix")))</f>
        <v xml:space="preserve"> </v>
      </c>
      <c r="AB13" s="4" t="str">
        <f ca="1">IF(OR(INDEX($AG$2:$AG$1001,MATCH(ROWS($AF$2:AF13),$AF$2:$AF$1001,0),1)&gt;=100000,INDEX($AM$1005:$BM$1005,1,MATCH(COLUMNS($AM$1006:BM1006),$AM$1006:$BM$1006,0))&gt;=100000), " ",IF(INDEX($AM$2:$BM$1001,MATCH(ROWS($AF$2:AF13),$AF$2:$AF$1001,0),MATCH(COLUMNS($AM$1006:BM1006),$AM$1006:$BM$1006,0)), HYPERLINK("#",""), HYPERLINK(CONCATENATE("#metadata!", ADDRESS(INDEX($AH$2:$AH$1001,MATCH(ROWS($AF$2:AF13),$AF$2:$AF$1001,0),0), INDEX($AM$1004:$BM$1004,1,MATCH(COLUMNS($AM$1006:BM1006),$AM$1006:$BM$1006,0)))),"Fix")))</f>
        <v xml:space="preserve"> </v>
      </c>
      <c r="AF13">
        <v>12</v>
      </c>
      <c r="AG13">
        <v>100013</v>
      </c>
      <c r="AH13">
        <v>13</v>
      </c>
      <c r="AI13" t="b">
        <f t="shared" si="0"/>
        <v>1</v>
      </c>
      <c r="AJ13" t="b">
        <f>COUNTBLANK(metadata!B13:AB13)=COLUMNS(metadata!B13:AB13)</f>
        <v>1</v>
      </c>
      <c r="AK13" t="str">
        <v/>
      </c>
      <c r="AM13" t="b">
        <f ca="1">AND(IF(metadata!B13="",FALSE,TRUE),COUNTIF(metadata!B:B, metadata!B13) = 1,NOT(ISERROR(SUMPRODUCT(SEARCH(MID(metadata!B13,ROW(INDIRECT("1:"&amp;LEN(metadata!B13))), 1),"0123456789abcdefghijklmnopqrstuvwxyzABCDEFGHIJKLMNOPQRSTUVWXYZ.")))))</f>
        <v>0</v>
      </c>
      <c r="AN13" t="b">
        <f ca="1">OR(AND(IF(metadata!C13="",FALSE,TRUE),OR(EXACT(metadata!C13,"missing: not collected"),EXACT(metadata!C13,"missing: not provided"),EXACT(metadata!C13,"missing: restricted access"))),AND(IF(metadata!C13="",FALSE,TRUE),AND(AND(IFERROR(INT(LEFT(metadata!C13,4))&gt;1900,FALSE),IFERROR(INT(LEFT(metadata!C13,4))&lt;=YEAR(NOW()),FALSE)), OR(MID(metadata!C13,5,1)="", AND(AND(MID(metadata!C13,5,1)="-",IFERROR(INT(MID(metadata!C13,6,1))&gt;=0,FALSE),IFERROR(INT(MID(metadata!C13,6,1))&lt;=1,FALSE),NOT(MID(metadata!C13,7,1)=""),IFERROR(INT(MID(metadata!C13,6,2))&gt;=1,FALSE),IFERROR(INT(MID(metadata!C13,6,2))&lt;=12,FALSE)), OR(MID(metadata!C13,8,1)="", AND(AND(MID(metadata!C13,8,1)="-",IFERROR(INT(MID(metadata!C13,9,1))&gt;=0,FALSE),IFERROR(INT(MID(metadata!C13,9,1))&lt;=3,FALSE),NOT(MID(metadata!C13,10,1)=""),IFERROR(INT(MID(metadata!C13,9,2))&gt;=1,FALSE),IFERROR(INT(MID(metadata!C13,9,2))&lt;=31,FALSE)), OR(MID(metadata!C13,11,1)="", AND(AND(MID(metadata!C13,11,1)=" ",IFERROR(INT(MID(metadata!C13,12,1))&gt;=0,FALSE),IFERROR(INT(MID(metadata!C13,12,1))&lt;=2,FALSE),NOT(MID(metadata!C13,13,1)=""),IFERROR(INT(MID(metadata!C13,12,2))&gt;=0,FALSE),IFERROR(INT(MID(metadata!C13,12,2))&lt;=23,FALSE)), OR(MID(metadata!C13,14,1)="", AND(AND(MID(metadata!C13,14,1)=":",IFERROR(INT(MID(metadata!C13,15,1))&gt;=0,FALSE),IFERROR(INT(MID(metadata!C13,15,1))&lt;=5,FALSE),NOT(MID(metadata!C13,16,1)=""),IFERROR(INT(MID(metadata!C13,15,2))&gt;=0,FALSE),IFERROR(INT(MID(metadata!C13,15,2))&lt;=59,FALSE)), OR(MID(metadata!C13,17,1)="", AND(AND(MID(metadata!C13,17,1)=":",IFERROR(INT(MID(metadata!C13,18,1))&gt;=0,FALSE),IFERROR(INT(MID(metadata!C13,18,1))&lt;=5,FALSE),NOT(MID(metadata!C13,19,1)=""),IFERROR(INT(MID(metadata!C13,18,2))&gt;=0,FALSE),IFERROR(INT(MID(metadata!C13,18,2))&lt;=59,FALSE)), LEN(metadata!C13)&lt;=19)))))))))))))</f>
        <v>0</v>
      </c>
      <c r="AO13" t="b">
        <f>AND(IF(metadata!D13="",FALSE,TRUE),EXACT(metadata!D13,"Not applicable"))</f>
        <v>0</v>
      </c>
      <c r="AP13" t="b">
        <f>IF(metadata!E13="",FALSE,TRUE)</f>
        <v>0</v>
      </c>
      <c r="AQ13" t="b">
        <f>OR(AND(IF(metadata!F13="",FALSE,TRUE),OR(EXACT(metadata!F13,"missing: not collected"),EXACT(metadata!F13,"missing: not provided"))),AND(IF(metadata!F13="",FALSE,TRUE),OR(EXACT(metadata!F13,"TRUE"),EXACT(metadata!F13,"FALSE"))))</f>
        <v>0</v>
      </c>
      <c r="AR13" t="b">
        <f>OR(AND(IF(metadata!G13="",FALSE,TRUE),OR(EXACT(metadata!G13,"missing: not collected"),EXACT(metadata!G13,"missing: not provided"),EXACT(metadata!G13,"missing: restricted access"))),AND(IF(metadata!G13="",FALSE,ISNUMBER(VALUE(metadata!G13))),metadata!G13&gt;=-413))</f>
        <v>0</v>
      </c>
      <c r="AS13" t="b">
        <f>AND(IF(metadata!H13="",FALSE,TRUE),EXACT(metadata!H13,"meters"))</f>
        <v>0</v>
      </c>
      <c r="AT13" t="b">
        <f>AND(IF(metadata!I13="",FALSE,TRUE),OR(EXACT(metadata!I13,"Host-associated"),EXACT(metadata!I13,"Free-living")))</f>
        <v>0</v>
      </c>
      <c r="AU13" t="b">
        <f>AND(IF(metadata!J13="",FALSE,TRUE),OR(EXACT(metadata!J13,"Animal"),EXACT(metadata!J13,"Fungus"),EXACT(metadata!J13,"Plant"),EXACT(metadata!J13,"Saline"),EXACT(metadata!J13,"Non-saline")))</f>
        <v>0</v>
      </c>
      <c r="AV13" t="b">
        <f>AND(IF(metadata!K13="",FALSE,TRUE),OR(EXACT(metadata!K13,"Plant secretion"),EXACT(metadata!K13,"Plant rhizosphere"),EXACT(metadata!K13,"Plant surface"),EXACT(metadata!K13,"Plant corpus"),EXACT(metadata!K13,"Fungus surface"),EXACT(metadata!K13,"Fungus corpus"),EXACT(metadata!K13,"Animal surface"),EXACT(metadata!K13,"Animal proximal gut"),EXACT(metadata!K13,"Animal corpus"),EXACT(metadata!K13,"Animal distal gut"),EXACT(metadata!K13,"Animal secretion"),EXACT(metadata!K13,"Sub-surface (non-saline)"),EXACT(metadata!K13,"Surface (non-saline)"),EXACT(metadata!K13,"Water (non-saline)"),EXACT(metadata!K13,"Soil (non-saline)"),EXACT(metadata!K13,"Aerosol (non-saline)"),EXACT(metadata!K13,"Sediment (non-saline)"),EXACT(metadata!K13,"Surface (saline)"),EXACT(metadata!K13,"Water (saline)"),EXACT(metadata!K13,"Hypersaline (saline)"),EXACT(metadata!K13,"Aerosol (saline)"),EXACT(metadata!K13,"Sediment (saline)")))</f>
        <v>0</v>
      </c>
      <c r="AW13" t="b">
        <f>IF(metadata!L13="",FALSE,TRUE)</f>
        <v>0</v>
      </c>
      <c r="AX13" t="b">
        <f>IF(metadata!M13="",FALSE,TRUE)</f>
        <v>0</v>
      </c>
      <c r="AY13" t="b">
        <f>IF(metadata!N13="",FALSE,TRUE)</f>
        <v>0</v>
      </c>
      <c r="AZ13" t="b">
        <f>OR(AND(IF(metadata!O13="",FALSE,TRUE),OR(EXACT(metadata!O13,"missing: not collected"),EXACT(metadata!O13,"missing: not provided"),EXACT(metadata!O13,"missing: restricted access"))),AND(IF(metadata!O13="",FALSE,TRUE),OR(EXACT(metadata!O13,"air"),EXACT(metadata!O13,"built environment"),EXACT(metadata!O13,"host-associated"),EXACT(metadata!O13,"human-associated"),EXACT(metadata!O13,"human-skin"),EXACT(metadata!O13,"human-oral"),EXACT(metadata!O13,"human-gut"),EXACT(metadata!O13,"human-vaginal"),EXACT(metadata!O13,"microbial mat/biofilm"),EXACT(metadata!O13,"misc environment"),EXACT(metadata!O13,"plant-associated"),EXACT(metadata!O13,"sediment"),EXACT(metadata!O13,"soil"),EXACT(metadata!O13,"wastewater/sludge"),EXACT(metadata!O13,"water"))))</f>
        <v>0</v>
      </c>
      <c r="BA13" t="b">
        <f>IF(metadata!P13="",FALSE,TRUE)</f>
        <v>0</v>
      </c>
      <c r="BB13" t="b">
        <f>IF(metadata!Q13="",FALSE,TRUE)</f>
        <v>0</v>
      </c>
      <c r="BC13" t="b">
        <f>OR(AND(IF(metadata!R13="",FALSE,TRUE),OR(EXACT(metadata!R13,"missing: not collected"),EXACT(metadata!R13,"missing: not provided"),EXACT(metadata!R13,"missing: restricted access"))),AND(IF(metadata!R13="",FALSE,ISNUMBER(VALUE(metadata!R13))),metadata!R13&gt;=-90,metadata!R13&lt;=90))</f>
        <v>0</v>
      </c>
      <c r="BD13" t="b">
        <f>AND(IF(metadata!S13="",FALSE,TRUE),EXACT(metadata!S13,"Decimal degrees"))</f>
        <v>0</v>
      </c>
      <c r="BE13" t="b">
        <f>OR(AND(IF(metadata!T13="",FALSE,TRUE),OR(EXACT(metadata!T13,"missing: not collected"),EXACT(metadata!T13,"missing: not provided"),EXACT(metadata!T13,"missing: restricted access"))),AND(IF(metadata!T13="",FALSE,ISNUMBER(VALUE(metadata!T13))),metadata!T13&gt;=-180,metadata!T13&lt;=180))</f>
        <v>0</v>
      </c>
      <c r="BF13" t="b">
        <f>AND(IF(metadata!U13="",FALSE,TRUE),EXACT(metadata!U13,"Decimal degrees"))</f>
        <v>0</v>
      </c>
      <c r="BG13" t="b">
        <f>IF(metadata!V13="",FALSE,TRUE)</f>
        <v>0</v>
      </c>
      <c r="BH13" t="b">
        <f>OR(AND(IF(metadata!W13="",FALSE,TRUE),OR(EXACT(metadata!W13,"missing: not collected"),EXACT(metadata!W13,"missing: not provided"),EXACT(metadata!W13,"missing: restricted access"))),AND(IF(metadata!W13="",FALSE,TRUE),OR(EXACT(metadata!W13,"TRUE"),EXACT(metadata!W13,"FALSE"))))</f>
        <v>0</v>
      </c>
      <c r="BI13" t="b">
        <f>AND(IF(metadata!X13="",FALSE,TRUE),EXACT(metadata!X13,"other"))</f>
        <v>0</v>
      </c>
      <c r="BJ13" t="b">
        <f>IF(metadata!Y13="",FALSE,TRUE)</f>
        <v>0</v>
      </c>
      <c r="BK13" t="b">
        <f>OR(AND(IF(metadata!Z13="",FALSE,TRUE),OR(EXACT(metadata!Z13,"missing: not collected"),EXACT(metadata!Z13,"missing: not provided"))),AND(IF(metadata!Z13="",FALSE,IF(ISERROR(INT(metadata!Z13)),FALSE,INT(metadata!Z13)=metadata!Z13)),metadata!Z13&gt;0))</f>
        <v>0</v>
      </c>
      <c r="BL13" t="b">
        <f>AND(IF(metadata!AA13="",FALSE,TRUE),EXACT(metadata!AA13,"Not applicable"))</f>
        <v>0</v>
      </c>
      <c r="BM13" t="b">
        <f>IF(metadata!AB13="",FALSE,TRUE)</f>
        <v>0</v>
      </c>
    </row>
    <row r="14" spans="1:65" x14ac:dyDescent="0.2">
      <c r="A14" s="5" t="str">
        <f ca="1">IF(B14=" "," ",HYPERLINK(CONCATENATE("#metadata!",ADDRESS(INDEX($AH$2:$AH$1001,MATCH(ROWS($AF$2:AF14),$AF$2:$AF$1001,0),0),1)),INDEX($AK$2:$AK$1001,MATCH(ROWS($AF$2:AF14),$AF$2:$AF$1001,0),0)))</f>
        <v xml:space="preserve"> </v>
      </c>
      <c r="B14" s="4" t="str">
        <f ca="1">IF(OR(INDEX($AG$2:$AG$1001,MATCH(ROWS($AF$2:AF14),$AF$2:$AF$1001,0),1)&gt;=100000,INDEX($AM$1005:$BM$1005,1,MATCH(COLUMNS($AM$1006:AM1006),$AM$1006:$BM$1006,0))&gt;=100000), " ",IF(INDEX($AM$2:$BM$1001,MATCH(ROWS($AF$2:AF14),$AF$2:$AF$1001,0),MATCH(COLUMNS($AM$1006:AM1006),$AM$1006:$BM$1006,0)), HYPERLINK("#",""), HYPERLINK(CONCATENATE("#metadata!", ADDRESS(INDEX($AH$2:$AH$1001,MATCH(ROWS($AF$2:AF14),$AF$2:$AF$1001,0),0), INDEX($AM$1004:$BM$1004,1,MATCH(COLUMNS($AM$1006:AM1006),$AM$1006:$BM$1006,0)))),"Fix")))</f>
        <v xml:space="preserve"> </v>
      </c>
      <c r="C14" s="4" t="str">
        <f ca="1">IF(OR(INDEX($AG$2:$AG$1001,MATCH(ROWS($AF$2:AF14),$AF$2:$AF$1001,0),1)&gt;=100000,INDEX($AM$1005:$BM$1005,1,MATCH(COLUMNS($AM$1006:AN1006),$AM$1006:$BM$1006,0))&gt;=100000), " ",IF(INDEX($AM$2:$BM$1001,MATCH(ROWS($AF$2:AF14),$AF$2:$AF$1001,0),MATCH(COLUMNS($AM$1006:AN1006),$AM$1006:$BM$1006,0)), HYPERLINK("#",""), HYPERLINK(CONCATENATE("#metadata!", ADDRESS(INDEX($AH$2:$AH$1001,MATCH(ROWS($AF$2:AF14),$AF$2:$AF$1001,0),0), INDEX($AM$1004:$BM$1004,1,MATCH(COLUMNS($AM$1006:AN1006),$AM$1006:$BM$1006,0)))),"Fix")))</f>
        <v xml:space="preserve"> </v>
      </c>
      <c r="D14" s="4" t="str">
        <f ca="1">IF(OR(INDEX($AG$2:$AG$1001,MATCH(ROWS($AF$2:AF14),$AF$2:$AF$1001,0),1)&gt;=100000,INDEX($AM$1005:$BM$1005,1,MATCH(COLUMNS($AM$1006:AO1006),$AM$1006:$BM$1006,0))&gt;=100000), " ",IF(INDEX($AM$2:$BM$1001,MATCH(ROWS($AF$2:AF14),$AF$2:$AF$1001,0),MATCH(COLUMNS($AM$1006:AO1006),$AM$1006:$BM$1006,0)), HYPERLINK("#",""), HYPERLINK(CONCATENATE("#metadata!", ADDRESS(INDEX($AH$2:$AH$1001,MATCH(ROWS($AF$2:AF14),$AF$2:$AF$1001,0),0), INDEX($AM$1004:$BM$1004,1,MATCH(COLUMNS($AM$1006:AO1006),$AM$1006:$BM$1006,0)))),"Fix")))</f>
        <v xml:space="preserve"> </v>
      </c>
      <c r="E14" s="4" t="str">
        <f ca="1">IF(OR(INDEX($AG$2:$AG$1001,MATCH(ROWS($AF$2:AF14),$AF$2:$AF$1001,0),1)&gt;=100000,INDEX($AM$1005:$BM$1005,1,MATCH(COLUMNS($AM$1006:AP1006),$AM$1006:$BM$1006,0))&gt;=100000), " ",IF(INDEX($AM$2:$BM$1001,MATCH(ROWS($AF$2:AF14),$AF$2:$AF$1001,0),MATCH(COLUMNS($AM$1006:AP1006),$AM$1006:$BM$1006,0)), HYPERLINK("#",""), HYPERLINK(CONCATENATE("#metadata!", ADDRESS(INDEX($AH$2:$AH$1001,MATCH(ROWS($AF$2:AF14),$AF$2:$AF$1001,0),0), INDEX($AM$1004:$BM$1004,1,MATCH(COLUMNS($AM$1006:AP1006),$AM$1006:$BM$1006,0)))),"Fix")))</f>
        <v xml:space="preserve"> </v>
      </c>
      <c r="F14" s="4" t="str">
        <f ca="1">IF(OR(INDEX($AG$2:$AG$1001,MATCH(ROWS($AF$2:AF14),$AF$2:$AF$1001,0),1)&gt;=100000,INDEX($AM$1005:$BM$1005,1,MATCH(COLUMNS($AM$1006:AQ1006),$AM$1006:$BM$1006,0))&gt;=100000), " ",IF(INDEX($AM$2:$BM$1001,MATCH(ROWS($AF$2:AF14),$AF$2:$AF$1001,0),MATCH(COLUMNS($AM$1006:AQ1006),$AM$1006:$BM$1006,0)), HYPERLINK("#",""), HYPERLINK(CONCATENATE("#metadata!", ADDRESS(INDEX($AH$2:$AH$1001,MATCH(ROWS($AF$2:AF14),$AF$2:$AF$1001,0),0), INDEX($AM$1004:$BM$1004,1,MATCH(COLUMNS($AM$1006:AQ1006),$AM$1006:$BM$1006,0)))),"Fix")))</f>
        <v xml:space="preserve"> </v>
      </c>
      <c r="G14" s="4" t="str">
        <f ca="1">IF(OR(INDEX($AG$2:$AG$1001,MATCH(ROWS($AF$2:AF14),$AF$2:$AF$1001,0),1)&gt;=100000,INDEX($AM$1005:$BM$1005,1,MATCH(COLUMNS($AM$1006:AR1006),$AM$1006:$BM$1006,0))&gt;=100000), " ",IF(INDEX($AM$2:$BM$1001,MATCH(ROWS($AF$2:AF14),$AF$2:$AF$1001,0),MATCH(COLUMNS($AM$1006:AR1006),$AM$1006:$BM$1006,0)), HYPERLINK("#",""), HYPERLINK(CONCATENATE("#metadata!", ADDRESS(INDEX($AH$2:$AH$1001,MATCH(ROWS($AF$2:AF14),$AF$2:$AF$1001,0),0), INDEX($AM$1004:$BM$1004,1,MATCH(COLUMNS($AM$1006:AR1006),$AM$1006:$BM$1006,0)))),"Fix")))</f>
        <v xml:space="preserve"> </v>
      </c>
      <c r="H14" s="4" t="str">
        <f ca="1">IF(OR(INDEX($AG$2:$AG$1001,MATCH(ROWS($AF$2:AF14),$AF$2:$AF$1001,0),1)&gt;=100000,INDEX($AM$1005:$BM$1005,1,MATCH(COLUMNS($AM$1006:AS1006),$AM$1006:$BM$1006,0))&gt;=100000), " ",IF(INDEX($AM$2:$BM$1001,MATCH(ROWS($AF$2:AF14),$AF$2:$AF$1001,0),MATCH(COLUMNS($AM$1006:AS1006),$AM$1006:$BM$1006,0)), HYPERLINK("#",""), HYPERLINK(CONCATENATE("#metadata!", ADDRESS(INDEX($AH$2:$AH$1001,MATCH(ROWS($AF$2:AF14),$AF$2:$AF$1001,0),0), INDEX($AM$1004:$BM$1004,1,MATCH(COLUMNS($AM$1006:AS1006),$AM$1006:$BM$1006,0)))),"Fix")))</f>
        <v xml:space="preserve"> </v>
      </c>
      <c r="I14" s="4" t="str">
        <f ca="1">IF(OR(INDEX($AG$2:$AG$1001,MATCH(ROWS($AF$2:AF14),$AF$2:$AF$1001,0),1)&gt;=100000,INDEX($AM$1005:$BM$1005,1,MATCH(COLUMNS($AM$1006:AT1006),$AM$1006:$BM$1006,0))&gt;=100000), " ",IF(INDEX($AM$2:$BM$1001,MATCH(ROWS($AF$2:AF14),$AF$2:$AF$1001,0),MATCH(COLUMNS($AM$1006:AT1006),$AM$1006:$BM$1006,0)), HYPERLINK("#",""), HYPERLINK(CONCATENATE("#metadata!", ADDRESS(INDEX($AH$2:$AH$1001,MATCH(ROWS($AF$2:AF14),$AF$2:$AF$1001,0),0), INDEX($AM$1004:$BM$1004,1,MATCH(COLUMNS($AM$1006:AT1006),$AM$1006:$BM$1006,0)))),"Fix")))</f>
        <v xml:space="preserve"> </v>
      </c>
      <c r="J14" s="4" t="str">
        <f ca="1">IF(OR(INDEX($AG$2:$AG$1001,MATCH(ROWS($AF$2:AF14),$AF$2:$AF$1001,0),1)&gt;=100000,INDEX($AM$1005:$BM$1005,1,MATCH(COLUMNS($AM$1006:AU1006),$AM$1006:$BM$1006,0))&gt;=100000), " ",IF(INDEX($AM$2:$BM$1001,MATCH(ROWS($AF$2:AF14),$AF$2:$AF$1001,0),MATCH(COLUMNS($AM$1006:AU1006),$AM$1006:$BM$1006,0)), HYPERLINK("#",""), HYPERLINK(CONCATENATE("#metadata!", ADDRESS(INDEX($AH$2:$AH$1001,MATCH(ROWS($AF$2:AF14),$AF$2:$AF$1001,0),0), INDEX($AM$1004:$BM$1004,1,MATCH(COLUMNS($AM$1006:AU1006),$AM$1006:$BM$1006,0)))),"Fix")))</f>
        <v xml:space="preserve"> </v>
      </c>
      <c r="K14" s="4" t="str">
        <f ca="1">IF(OR(INDEX($AG$2:$AG$1001,MATCH(ROWS($AF$2:AF14),$AF$2:$AF$1001,0),1)&gt;=100000,INDEX($AM$1005:$BM$1005,1,MATCH(COLUMNS($AM$1006:AV1006),$AM$1006:$BM$1006,0))&gt;=100000), " ",IF(INDEX($AM$2:$BM$1001,MATCH(ROWS($AF$2:AF14),$AF$2:$AF$1001,0),MATCH(COLUMNS($AM$1006:AV1006),$AM$1006:$BM$1006,0)), HYPERLINK("#",""), HYPERLINK(CONCATENATE("#metadata!", ADDRESS(INDEX($AH$2:$AH$1001,MATCH(ROWS($AF$2:AF14),$AF$2:$AF$1001,0),0), INDEX($AM$1004:$BM$1004,1,MATCH(COLUMNS($AM$1006:AV1006),$AM$1006:$BM$1006,0)))),"Fix")))</f>
        <v xml:space="preserve"> </v>
      </c>
      <c r="L14" s="4" t="str">
        <f ca="1">IF(OR(INDEX($AG$2:$AG$1001,MATCH(ROWS($AF$2:AF14),$AF$2:$AF$1001,0),1)&gt;=100000,INDEX($AM$1005:$BM$1005,1,MATCH(COLUMNS($AM$1006:AW1006),$AM$1006:$BM$1006,0))&gt;=100000), " ",IF(INDEX($AM$2:$BM$1001,MATCH(ROWS($AF$2:AF14),$AF$2:$AF$1001,0),MATCH(COLUMNS($AM$1006:AW1006),$AM$1006:$BM$1006,0)), HYPERLINK("#",""), HYPERLINK(CONCATENATE("#metadata!", ADDRESS(INDEX($AH$2:$AH$1001,MATCH(ROWS($AF$2:AF14),$AF$2:$AF$1001,0),0), INDEX($AM$1004:$BM$1004,1,MATCH(COLUMNS($AM$1006:AW1006),$AM$1006:$BM$1006,0)))),"Fix")))</f>
        <v xml:space="preserve"> </v>
      </c>
      <c r="M14" s="4" t="str">
        <f ca="1">IF(OR(INDEX($AG$2:$AG$1001,MATCH(ROWS($AF$2:AF14),$AF$2:$AF$1001,0),1)&gt;=100000,INDEX($AM$1005:$BM$1005,1,MATCH(COLUMNS($AM$1006:AX1006),$AM$1006:$BM$1006,0))&gt;=100000), " ",IF(INDEX($AM$2:$BM$1001,MATCH(ROWS($AF$2:AF14),$AF$2:$AF$1001,0),MATCH(COLUMNS($AM$1006:AX1006),$AM$1006:$BM$1006,0)), HYPERLINK("#",""), HYPERLINK(CONCATENATE("#metadata!", ADDRESS(INDEX($AH$2:$AH$1001,MATCH(ROWS($AF$2:AF14),$AF$2:$AF$1001,0),0), INDEX($AM$1004:$BM$1004,1,MATCH(COLUMNS($AM$1006:AX1006),$AM$1006:$BM$1006,0)))),"Fix")))</f>
        <v xml:space="preserve"> </v>
      </c>
      <c r="N14" s="4" t="str">
        <f ca="1">IF(OR(INDEX($AG$2:$AG$1001,MATCH(ROWS($AF$2:AF14),$AF$2:$AF$1001,0),1)&gt;=100000,INDEX($AM$1005:$BM$1005,1,MATCH(COLUMNS($AM$1006:AY1006),$AM$1006:$BM$1006,0))&gt;=100000), " ",IF(INDEX($AM$2:$BM$1001,MATCH(ROWS($AF$2:AF14),$AF$2:$AF$1001,0),MATCH(COLUMNS($AM$1006:AY1006),$AM$1006:$BM$1006,0)), HYPERLINK("#",""), HYPERLINK(CONCATENATE("#metadata!", ADDRESS(INDEX($AH$2:$AH$1001,MATCH(ROWS($AF$2:AF14),$AF$2:$AF$1001,0),0), INDEX($AM$1004:$BM$1004,1,MATCH(COLUMNS($AM$1006:AY1006),$AM$1006:$BM$1006,0)))),"Fix")))</f>
        <v xml:space="preserve"> </v>
      </c>
      <c r="O14" s="4" t="str">
        <f ca="1">IF(OR(INDEX($AG$2:$AG$1001,MATCH(ROWS($AF$2:AF14),$AF$2:$AF$1001,0),1)&gt;=100000,INDEX($AM$1005:$BM$1005,1,MATCH(COLUMNS($AM$1006:AZ1006),$AM$1006:$BM$1006,0))&gt;=100000), " ",IF(INDEX($AM$2:$BM$1001,MATCH(ROWS($AF$2:AF14),$AF$2:$AF$1001,0),MATCH(COLUMNS($AM$1006:AZ1006),$AM$1006:$BM$1006,0)), HYPERLINK("#",""), HYPERLINK(CONCATENATE("#metadata!", ADDRESS(INDEX($AH$2:$AH$1001,MATCH(ROWS($AF$2:AF14),$AF$2:$AF$1001,0),0), INDEX($AM$1004:$BM$1004,1,MATCH(COLUMNS($AM$1006:AZ1006),$AM$1006:$BM$1006,0)))),"Fix")))</f>
        <v xml:space="preserve"> </v>
      </c>
      <c r="P14" s="4" t="str">
        <f ca="1">IF(OR(INDEX($AG$2:$AG$1001,MATCH(ROWS($AF$2:AF14),$AF$2:$AF$1001,0),1)&gt;=100000,INDEX($AM$1005:$BM$1005,1,MATCH(COLUMNS($AM$1006:BA1006),$AM$1006:$BM$1006,0))&gt;=100000), " ",IF(INDEX($AM$2:$BM$1001,MATCH(ROWS($AF$2:AF14),$AF$2:$AF$1001,0),MATCH(COLUMNS($AM$1006:BA1006),$AM$1006:$BM$1006,0)), HYPERLINK("#",""), HYPERLINK(CONCATENATE("#metadata!", ADDRESS(INDEX($AH$2:$AH$1001,MATCH(ROWS($AF$2:AF14),$AF$2:$AF$1001,0),0), INDEX($AM$1004:$BM$1004,1,MATCH(COLUMNS($AM$1006:BA1006),$AM$1006:$BM$1006,0)))),"Fix")))</f>
        <v xml:space="preserve"> </v>
      </c>
      <c r="Q14" s="4" t="str">
        <f ca="1">IF(OR(INDEX($AG$2:$AG$1001,MATCH(ROWS($AF$2:AF14),$AF$2:$AF$1001,0),1)&gt;=100000,INDEX($AM$1005:$BM$1005,1,MATCH(COLUMNS($AM$1006:BB1006),$AM$1006:$BM$1006,0))&gt;=100000), " ",IF(INDEX($AM$2:$BM$1001,MATCH(ROWS($AF$2:AF14),$AF$2:$AF$1001,0),MATCH(COLUMNS($AM$1006:BB1006),$AM$1006:$BM$1006,0)), HYPERLINK("#",""), HYPERLINK(CONCATENATE("#metadata!", ADDRESS(INDEX($AH$2:$AH$1001,MATCH(ROWS($AF$2:AF14),$AF$2:$AF$1001,0),0), INDEX($AM$1004:$BM$1004,1,MATCH(COLUMNS($AM$1006:BB1006),$AM$1006:$BM$1006,0)))),"Fix")))</f>
        <v xml:space="preserve"> </v>
      </c>
      <c r="R14" s="4" t="str">
        <f ca="1">IF(OR(INDEX($AG$2:$AG$1001,MATCH(ROWS($AF$2:AF14),$AF$2:$AF$1001,0),1)&gt;=100000,INDEX($AM$1005:$BM$1005,1,MATCH(COLUMNS($AM$1006:BC1006),$AM$1006:$BM$1006,0))&gt;=100000), " ",IF(INDEX($AM$2:$BM$1001,MATCH(ROWS($AF$2:AF14),$AF$2:$AF$1001,0),MATCH(COLUMNS($AM$1006:BC1006),$AM$1006:$BM$1006,0)), HYPERLINK("#",""), HYPERLINK(CONCATENATE("#metadata!", ADDRESS(INDEX($AH$2:$AH$1001,MATCH(ROWS($AF$2:AF14),$AF$2:$AF$1001,0),0), INDEX($AM$1004:$BM$1004,1,MATCH(COLUMNS($AM$1006:BC1006),$AM$1006:$BM$1006,0)))),"Fix")))</f>
        <v xml:space="preserve"> </v>
      </c>
      <c r="S14" s="4" t="str">
        <f ca="1">IF(OR(INDEX($AG$2:$AG$1001,MATCH(ROWS($AF$2:AF14),$AF$2:$AF$1001,0),1)&gt;=100000,INDEX($AM$1005:$BM$1005,1,MATCH(COLUMNS($AM$1006:BD1006),$AM$1006:$BM$1006,0))&gt;=100000), " ",IF(INDEX($AM$2:$BM$1001,MATCH(ROWS($AF$2:AF14),$AF$2:$AF$1001,0),MATCH(COLUMNS($AM$1006:BD1006),$AM$1006:$BM$1006,0)), HYPERLINK("#",""), HYPERLINK(CONCATENATE("#metadata!", ADDRESS(INDEX($AH$2:$AH$1001,MATCH(ROWS($AF$2:AF14),$AF$2:$AF$1001,0),0), INDEX($AM$1004:$BM$1004,1,MATCH(COLUMNS($AM$1006:BD1006),$AM$1006:$BM$1006,0)))),"Fix")))</f>
        <v xml:space="preserve"> </v>
      </c>
      <c r="T14" s="4" t="str">
        <f ca="1">IF(OR(INDEX($AG$2:$AG$1001,MATCH(ROWS($AF$2:AF14),$AF$2:$AF$1001,0),1)&gt;=100000,INDEX($AM$1005:$BM$1005,1,MATCH(COLUMNS($AM$1006:BE1006),$AM$1006:$BM$1006,0))&gt;=100000), " ",IF(INDEX($AM$2:$BM$1001,MATCH(ROWS($AF$2:AF14),$AF$2:$AF$1001,0),MATCH(COLUMNS($AM$1006:BE1006),$AM$1006:$BM$1006,0)), HYPERLINK("#",""), HYPERLINK(CONCATENATE("#metadata!", ADDRESS(INDEX($AH$2:$AH$1001,MATCH(ROWS($AF$2:AF14),$AF$2:$AF$1001,0),0), INDEX($AM$1004:$BM$1004,1,MATCH(COLUMNS($AM$1006:BE1006),$AM$1006:$BM$1006,0)))),"Fix")))</f>
        <v xml:space="preserve"> </v>
      </c>
      <c r="U14" s="4" t="str">
        <f ca="1">IF(OR(INDEX($AG$2:$AG$1001,MATCH(ROWS($AF$2:AF14),$AF$2:$AF$1001,0),1)&gt;=100000,INDEX($AM$1005:$BM$1005,1,MATCH(COLUMNS($AM$1006:BF1006),$AM$1006:$BM$1006,0))&gt;=100000), " ",IF(INDEX($AM$2:$BM$1001,MATCH(ROWS($AF$2:AF14),$AF$2:$AF$1001,0),MATCH(COLUMNS($AM$1006:BF1006),$AM$1006:$BM$1006,0)), HYPERLINK("#",""), HYPERLINK(CONCATENATE("#metadata!", ADDRESS(INDEX($AH$2:$AH$1001,MATCH(ROWS($AF$2:AF14),$AF$2:$AF$1001,0),0), INDEX($AM$1004:$BM$1004,1,MATCH(COLUMNS($AM$1006:BF1006),$AM$1006:$BM$1006,0)))),"Fix")))</f>
        <v xml:space="preserve"> </v>
      </c>
      <c r="V14" s="4" t="str">
        <f ca="1">IF(OR(INDEX($AG$2:$AG$1001,MATCH(ROWS($AF$2:AF14),$AF$2:$AF$1001,0),1)&gt;=100000,INDEX($AM$1005:$BM$1005,1,MATCH(COLUMNS($AM$1006:BG1006),$AM$1006:$BM$1006,0))&gt;=100000), " ",IF(INDEX($AM$2:$BM$1001,MATCH(ROWS($AF$2:AF14),$AF$2:$AF$1001,0),MATCH(COLUMNS($AM$1006:BG1006),$AM$1006:$BM$1006,0)), HYPERLINK("#",""), HYPERLINK(CONCATENATE("#metadata!", ADDRESS(INDEX($AH$2:$AH$1001,MATCH(ROWS($AF$2:AF14),$AF$2:$AF$1001,0),0), INDEX($AM$1004:$BM$1004,1,MATCH(COLUMNS($AM$1006:BG1006),$AM$1006:$BM$1006,0)))),"Fix")))</f>
        <v xml:space="preserve"> </v>
      </c>
      <c r="W14" s="4" t="str">
        <f ca="1">IF(OR(INDEX($AG$2:$AG$1001,MATCH(ROWS($AF$2:AF14),$AF$2:$AF$1001,0),1)&gt;=100000,INDEX($AM$1005:$BM$1005,1,MATCH(COLUMNS($AM$1006:BH1006),$AM$1006:$BM$1006,0))&gt;=100000), " ",IF(INDEX($AM$2:$BM$1001,MATCH(ROWS($AF$2:AF14),$AF$2:$AF$1001,0),MATCH(COLUMNS($AM$1006:BH1006),$AM$1006:$BM$1006,0)), HYPERLINK("#",""), HYPERLINK(CONCATENATE("#metadata!", ADDRESS(INDEX($AH$2:$AH$1001,MATCH(ROWS($AF$2:AF14),$AF$2:$AF$1001,0),0), INDEX($AM$1004:$BM$1004,1,MATCH(COLUMNS($AM$1006:BH1006),$AM$1006:$BM$1006,0)))),"Fix")))</f>
        <v xml:space="preserve"> </v>
      </c>
      <c r="X14" s="4" t="str">
        <f ca="1">IF(OR(INDEX($AG$2:$AG$1001,MATCH(ROWS($AF$2:AF14),$AF$2:$AF$1001,0),1)&gt;=100000,INDEX($AM$1005:$BM$1005,1,MATCH(COLUMNS($AM$1006:BI1006),$AM$1006:$BM$1006,0))&gt;=100000), " ",IF(INDEX($AM$2:$BM$1001,MATCH(ROWS($AF$2:AF14),$AF$2:$AF$1001,0),MATCH(COLUMNS($AM$1006:BI1006),$AM$1006:$BM$1006,0)), HYPERLINK("#",""), HYPERLINK(CONCATENATE("#metadata!", ADDRESS(INDEX($AH$2:$AH$1001,MATCH(ROWS($AF$2:AF14),$AF$2:$AF$1001,0),0), INDEX($AM$1004:$BM$1004,1,MATCH(COLUMNS($AM$1006:BI1006),$AM$1006:$BM$1006,0)))),"Fix")))</f>
        <v xml:space="preserve"> </v>
      </c>
      <c r="Y14" s="4" t="str">
        <f ca="1">IF(OR(INDEX($AG$2:$AG$1001,MATCH(ROWS($AF$2:AF14),$AF$2:$AF$1001,0),1)&gt;=100000,INDEX($AM$1005:$BM$1005,1,MATCH(COLUMNS($AM$1006:BJ1006),$AM$1006:$BM$1006,0))&gt;=100000), " ",IF(INDEX($AM$2:$BM$1001,MATCH(ROWS($AF$2:AF14),$AF$2:$AF$1001,0),MATCH(COLUMNS($AM$1006:BJ1006),$AM$1006:$BM$1006,0)), HYPERLINK("#",""), HYPERLINK(CONCATENATE("#metadata!", ADDRESS(INDEX($AH$2:$AH$1001,MATCH(ROWS($AF$2:AF14),$AF$2:$AF$1001,0),0), INDEX($AM$1004:$BM$1004,1,MATCH(COLUMNS($AM$1006:BJ1006),$AM$1006:$BM$1006,0)))),"Fix")))</f>
        <v xml:space="preserve"> </v>
      </c>
      <c r="Z14" s="4" t="str">
        <f ca="1">IF(OR(INDEX($AG$2:$AG$1001,MATCH(ROWS($AF$2:AF14),$AF$2:$AF$1001,0),1)&gt;=100000,INDEX($AM$1005:$BM$1005,1,MATCH(COLUMNS($AM$1006:BK1006),$AM$1006:$BM$1006,0))&gt;=100000), " ",IF(INDEX($AM$2:$BM$1001,MATCH(ROWS($AF$2:AF14),$AF$2:$AF$1001,0),MATCH(COLUMNS($AM$1006:BK1006),$AM$1006:$BM$1006,0)), HYPERLINK("#",""), HYPERLINK(CONCATENATE("#metadata!", ADDRESS(INDEX($AH$2:$AH$1001,MATCH(ROWS($AF$2:AF14),$AF$2:$AF$1001,0),0), INDEX($AM$1004:$BM$1004,1,MATCH(COLUMNS($AM$1006:BK1006),$AM$1006:$BM$1006,0)))),"Fix")))</f>
        <v xml:space="preserve"> </v>
      </c>
      <c r="AA14" s="4" t="str">
        <f ca="1">IF(OR(INDEX($AG$2:$AG$1001,MATCH(ROWS($AF$2:AF14),$AF$2:$AF$1001,0),1)&gt;=100000,INDEX($AM$1005:$BM$1005,1,MATCH(COLUMNS($AM$1006:BL1006),$AM$1006:$BM$1006,0))&gt;=100000), " ",IF(INDEX($AM$2:$BM$1001,MATCH(ROWS($AF$2:AF14),$AF$2:$AF$1001,0),MATCH(COLUMNS($AM$1006:BL1006),$AM$1006:$BM$1006,0)), HYPERLINK("#",""), HYPERLINK(CONCATENATE("#metadata!", ADDRESS(INDEX($AH$2:$AH$1001,MATCH(ROWS($AF$2:AF14),$AF$2:$AF$1001,0),0), INDEX($AM$1004:$BM$1004,1,MATCH(COLUMNS($AM$1006:BL1006),$AM$1006:$BM$1006,0)))),"Fix")))</f>
        <v xml:space="preserve"> </v>
      </c>
      <c r="AB14" s="4" t="str">
        <f ca="1">IF(OR(INDEX($AG$2:$AG$1001,MATCH(ROWS($AF$2:AF14),$AF$2:$AF$1001,0),1)&gt;=100000,INDEX($AM$1005:$BM$1005,1,MATCH(COLUMNS($AM$1006:BM1006),$AM$1006:$BM$1006,0))&gt;=100000), " ",IF(INDEX($AM$2:$BM$1001,MATCH(ROWS($AF$2:AF14),$AF$2:$AF$1001,0),MATCH(COLUMNS($AM$1006:BM1006),$AM$1006:$BM$1006,0)), HYPERLINK("#",""), HYPERLINK(CONCATENATE("#metadata!", ADDRESS(INDEX($AH$2:$AH$1001,MATCH(ROWS($AF$2:AF14),$AF$2:$AF$1001,0),0), INDEX($AM$1004:$BM$1004,1,MATCH(COLUMNS($AM$1006:BM1006),$AM$1006:$BM$1006,0)))),"Fix")))</f>
        <v xml:space="preserve"> </v>
      </c>
      <c r="AF14">
        <v>13</v>
      </c>
      <c r="AG14">
        <v>100014</v>
      </c>
      <c r="AH14">
        <v>14</v>
      </c>
      <c r="AI14" t="b">
        <f t="shared" si="0"/>
        <v>1</v>
      </c>
      <c r="AJ14" t="b">
        <f>COUNTBLANK(metadata!B14:AB14)=COLUMNS(metadata!B14:AB14)</f>
        <v>1</v>
      </c>
      <c r="AK14" t="str">
        <v/>
      </c>
      <c r="AM14" t="b">
        <f ca="1">AND(IF(metadata!B14="",FALSE,TRUE),COUNTIF(metadata!B:B, metadata!B14) = 1,NOT(ISERROR(SUMPRODUCT(SEARCH(MID(metadata!B14,ROW(INDIRECT("1:"&amp;LEN(metadata!B14))), 1),"0123456789abcdefghijklmnopqrstuvwxyzABCDEFGHIJKLMNOPQRSTUVWXYZ.")))))</f>
        <v>0</v>
      </c>
      <c r="AN14" t="b">
        <f ca="1">OR(AND(IF(metadata!C14="",FALSE,TRUE),OR(EXACT(metadata!C14,"missing: not collected"),EXACT(metadata!C14,"missing: not provided"),EXACT(metadata!C14,"missing: restricted access"))),AND(IF(metadata!C14="",FALSE,TRUE),AND(AND(IFERROR(INT(LEFT(metadata!C14,4))&gt;1900,FALSE),IFERROR(INT(LEFT(metadata!C14,4))&lt;=YEAR(NOW()),FALSE)), OR(MID(metadata!C14,5,1)="", AND(AND(MID(metadata!C14,5,1)="-",IFERROR(INT(MID(metadata!C14,6,1))&gt;=0,FALSE),IFERROR(INT(MID(metadata!C14,6,1))&lt;=1,FALSE),NOT(MID(metadata!C14,7,1)=""),IFERROR(INT(MID(metadata!C14,6,2))&gt;=1,FALSE),IFERROR(INT(MID(metadata!C14,6,2))&lt;=12,FALSE)), OR(MID(metadata!C14,8,1)="", AND(AND(MID(metadata!C14,8,1)="-",IFERROR(INT(MID(metadata!C14,9,1))&gt;=0,FALSE),IFERROR(INT(MID(metadata!C14,9,1))&lt;=3,FALSE),NOT(MID(metadata!C14,10,1)=""),IFERROR(INT(MID(metadata!C14,9,2))&gt;=1,FALSE),IFERROR(INT(MID(metadata!C14,9,2))&lt;=31,FALSE)), OR(MID(metadata!C14,11,1)="", AND(AND(MID(metadata!C14,11,1)=" ",IFERROR(INT(MID(metadata!C14,12,1))&gt;=0,FALSE),IFERROR(INT(MID(metadata!C14,12,1))&lt;=2,FALSE),NOT(MID(metadata!C14,13,1)=""),IFERROR(INT(MID(metadata!C14,12,2))&gt;=0,FALSE),IFERROR(INT(MID(metadata!C14,12,2))&lt;=23,FALSE)), OR(MID(metadata!C14,14,1)="", AND(AND(MID(metadata!C14,14,1)=":",IFERROR(INT(MID(metadata!C14,15,1))&gt;=0,FALSE),IFERROR(INT(MID(metadata!C14,15,1))&lt;=5,FALSE),NOT(MID(metadata!C14,16,1)=""),IFERROR(INT(MID(metadata!C14,15,2))&gt;=0,FALSE),IFERROR(INT(MID(metadata!C14,15,2))&lt;=59,FALSE)), OR(MID(metadata!C14,17,1)="", AND(AND(MID(metadata!C14,17,1)=":",IFERROR(INT(MID(metadata!C14,18,1))&gt;=0,FALSE),IFERROR(INT(MID(metadata!C14,18,1))&lt;=5,FALSE),NOT(MID(metadata!C14,19,1)=""),IFERROR(INT(MID(metadata!C14,18,2))&gt;=0,FALSE),IFERROR(INT(MID(metadata!C14,18,2))&lt;=59,FALSE)), LEN(metadata!C14)&lt;=19)))))))))))))</f>
        <v>0</v>
      </c>
      <c r="AO14" t="b">
        <f>AND(IF(metadata!D14="",FALSE,TRUE),EXACT(metadata!D14,"Not applicable"))</f>
        <v>0</v>
      </c>
      <c r="AP14" t="b">
        <f>IF(metadata!E14="",FALSE,TRUE)</f>
        <v>0</v>
      </c>
      <c r="AQ14" t="b">
        <f>OR(AND(IF(metadata!F14="",FALSE,TRUE),OR(EXACT(metadata!F14,"missing: not collected"),EXACT(metadata!F14,"missing: not provided"))),AND(IF(metadata!F14="",FALSE,TRUE),OR(EXACT(metadata!F14,"TRUE"),EXACT(metadata!F14,"FALSE"))))</f>
        <v>0</v>
      </c>
      <c r="AR14" t="b">
        <f>OR(AND(IF(metadata!G14="",FALSE,TRUE),OR(EXACT(metadata!G14,"missing: not collected"),EXACT(metadata!G14,"missing: not provided"),EXACT(metadata!G14,"missing: restricted access"))),AND(IF(metadata!G14="",FALSE,ISNUMBER(VALUE(metadata!G14))),metadata!G14&gt;=-413))</f>
        <v>0</v>
      </c>
      <c r="AS14" t="b">
        <f>AND(IF(metadata!H14="",FALSE,TRUE),EXACT(metadata!H14,"meters"))</f>
        <v>0</v>
      </c>
      <c r="AT14" t="b">
        <f>AND(IF(metadata!I14="",FALSE,TRUE),OR(EXACT(metadata!I14,"Host-associated"),EXACT(metadata!I14,"Free-living")))</f>
        <v>0</v>
      </c>
      <c r="AU14" t="b">
        <f>AND(IF(metadata!J14="",FALSE,TRUE),OR(EXACT(metadata!J14,"Animal"),EXACT(metadata!J14,"Fungus"),EXACT(metadata!J14,"Plant"),EXACT(metadata!J14,"Saline"),EXACT(metadata!J14,"Non-saline")))</f>
        <v>0</v>
      </c>
      <c r="AV14" t="b">
        <f>AND(IF(metadata!K14="",FALSE,TRUE),OR(EXACT(metadata!K14,"Plant secretion"),EXACT(metadata!K14,"Plant rhizosphere"),EXACT(metadata!K14,"Plant surface"),EXACT(metadata!K14,"Plant corpus"),EXACT(metadata!K14,"Fungus surface"),EXACT(metadata!K14,"Fungus corpus"),EXACT(metadata!K14,"Animal surface"),EXACT(metadata!K14,"Animal proximal gut"),EXACT(metadata!K14,"Animal corpus"),EXACT(metadata!K14,"Animal distal gut"),EXACT(metadata!K14,"Animal secretion"),EXACT(metadata!K14,"Sub-surface (non-saline)"),EXACT(metadata!K14,"Surface (non-saline)"),EXACT(metadata!K14,"Water (non-saline)"),EXACT(metadata!K14,"Soil (non-saline)"),EXACT(metadata!K14,"Aerosol (non-saline)"),EXACT(metadata!K14,"Sediment (non-saline)"),EXACT(metadata!K14,"Surface (saline)"),EXACT(metadata!K14,"Water (saline)"),EXACT(metadata!K14,"Hypersaline (saline)"),EXACT(metadata!K14,"Aerosol (saline)"),EXACT(metadata!K14,"Sediment (saline)")))</f>
        <v>0</v>
      </c>
      <c r="AW14" t="b">
        <f>IF(metadata!L14="",FALSE,TRUE)</f>
        <v>0</v>
      </c>
      <c r="AX14" t="b">
        <f>IF(metadata!M14="",FALSE,TRUE)</f>
        <v>0</v>
      </c>
      <c r="AY14" t="b">
        <f>IF(metadata!N14="",FALSE,TRUE)</f>
        <v>0</v>
      </c>
      <c r="AZ14" t="b">
        <f>OR(AND(IF(metadata!O14="",FALSE,TRUE),OR(EXACT(metadata!O14,"missing: not collected"),EXACT(metadata!O14,"missing: not provided"),EXACT(metadata!O14,"missing: restricted access"))),AND(IF(metadata!O14="",FALSE,TRUE),OR(EXACT(metadata!O14,"air"),EXACT(metadata!O14,"built environment"),EXACT(metadata!O14,"host-associated"),EXACT(metadata!O14,"human-associated"),EXACT(metadata!O14,"human-skin"),EXACT(metadata!O14,"human-oral"),EXACT(metadata!O14,"human-gut"),EXACT(metadata!O14,"human-vaginal"),EXACT(metadata!O14,"microbial mat/biofilm"),EXACT(metadata!O14,"misc environment"),EXACT(metadata!O14,"plant-associated"),EXACT(metadata!O14,"sediment"),EXACT(metadata!O14,"soil"),EXACT(metadata!O14,"wastewater/sludge"),EXACT(metadata!O14,"water"))))</f>
        <v>0</v>
      </c>
      <c r="BA14" t="b">
        <f>IF(metadata!P14="",FALSE,TRUE)</f>
        <v>0</v>
      </c>
      <c r="BB14" t="b">
        <f>IF(metadata!Q14="",FALSE,TRUE)</f>
        <v>0</v>
      </c>
      <c r="BC14" t="b">
        <f>OR(AND(IF(metadata!R14="",FALSE,TRUE),OR(EXACT(metadata!R14,"missing: not collected"),EXACT(metadata!R14,"missing: not provided"),EXACT(metadata!R14,"missing: restricted access"))),AND(IF(metadata!R14="",FALSE,ISNUMBER(VALUE(metadata!R14))),metadata!R14&gt;=-90,metadata!R14&lt;=90))</f>
        <v>0</v>
      </c>
      <c r="BD14" t="b">
        <f>AND(IF(metadata!S14="",FALSE,TRUE),EXACT(metadata!S14,"Decimal degrees"))</f>
        <v>0</v>
      </c>
      <c r="BE14" t="b">
        <f>OR(AND(IF(metadata!T14="",FALSE,TRUE),OR(EXACT(metadata!T14,"missing: not collected"),EXACT(metadata!T14,"missing: not provided"),EXACT(metadata!T14,"missing: restricted access"))),AND(IF(metadata!T14="",FALSE,ISNUMBER(VALUE(metadata!T14))),metadata!T14&gt;=-180,metadata!T14&lt;=180))</f>
        <v>0</v>
      </c>
      <c r="BF14" t="b">
        <f>AND(IF(metadata!U14="",FALSE,TRUE),EXACT(metadata!U14,"Decimal degrees"))</f>
        <v>0</v>
      </c>
      <c r="BG14" t="b">
        <f>IF(metadata!V14="",FALSE,TRUE)</f>
        <v>0</v>
      </c>
      <c r="BH14" t="b">
        <f>OR(AND(IF(metadata!W14="",FALSE,TRUE),OR(EXACT(metadata!W14,"missing: not collected"),EXACT(metadata!W14,"missing: not provided"),EXACT(metadata!W14,"missing: restricted access"))),AND(IF(metadata!W14="",FALSE,TRUE),OR(EXACT(metadata!W14,"TRUE"),EXACT(metadata!W14,"FALSE"))))</f>
        <v>0</v>
      </c>
      <c r="BI14" t="b">
        <f>AND(IF(metadata!X14="",FALSE,TRUE),EXACT(metadata!X14,"other"))</f>
        <v>0</v>
      </c>
      <c r="BJ14" t="b">
        <f>IF(metadata!Y14="",FALSE,TRUE)</f>
        <v>0</v>
      </c>
      <c r="BK14" t="b">
        <f>OR(AND(IF(metadata!Z14="",FALSE,TRUE),OR(EXACT(metadata!Z14,"missing: not collected"),EXACT(metadata!Z14,"missing: not provided"))),AND(IF(metadata!Z14="",FALSE,IF(ISERROR(INT(metadata!Z14)),FALSE,INT(metadata!Z14)=metadata!Z14)),metadata!Z14&gt;0))</f>
        <v>0</v>
      </c>
      <c r="BL14" t="b">
        <f>AND(IF(metadata!AA14="",FALSE,TRUE),EXACT(metadata!AA14,"Not applicable"))</f>
        <v>0</v>
      </c>
      <c r="BM14" t="b">
        <f>IF(metadata!AB14="",FALSE,TRUE)</f>
        <v>0</v>
      </c>
    </row>
    <row r="15" spans="1:65" x14ac:dyDescent="0.2">
      <c r="A15" s="5" t="str">
        <f ca="1">IF(B15=" "," ",HYPERLINK(CONCATENATE("#metadata!",ADDRESS(INDEX($AH$2:$AH$1001,MATCH(ROWS($AF$2:AF15),$AF$2:$AF$1001,0),0),1)),INDEX($AK$2:$AK$1001,MATCH(ROWS($AF$2:AF15),$AF$2:$AF$1001,0),0)))</f>
        <v xml:space="preserve"> </v>
      </c>
      <c r="B15" s="4" t="str">
        <f ca="1">IF(OR(INDEX($AG$2:$AG$1001,MATCH(ROWS($AF$2:AF15),$AF$2:$AF$1001,0),1)&gt;=100000,INDEX($AM$1005:$BM$1005,1,MATCH(COLUMNS($AM$1006:AM1006),$AM$1006:$BM$1006,0))&gt;=100000), " ",IF(INDEX($AM$2:$BM$1001,MATCH(ROWS($AF$2:AF15),$AF$2:$AF$1001,0),MATCH(COLUMNS($AM$1006:AM1006),$AM$1006:$BM$1006,0)), HYPERLINK("#",""), HYPERLINK(CONCATENATE("#metadata!", ADDRESS(INDEX($AH$2:$AH$1001,MATCH(ROWS($AF$2:AF15),$AF$2:$AF$1001,0),0), INDEX($AM$1004:$BM$1004,1,MATCH(COLUMNS($AM$1006:AM1006),$AM$1006:$BM$1006,0)))),"Fix")))</f>
        <v xml:space="preserve"> </v>
      </c>
      <c r="C15" s="4" t="str">
        <f ca="1">IF(OR(INDEX($AG$2:$AG$1001,MATCH(ROWS($AF$2:AF15),$AF$2:$AF$1001,0),1)&gt;=100000,INDEX($AM$1005:$BM$1005,1,MATCH(COLUMNS($AM$1006:AN1006),$AM$1006:$BM$1006,0))&gt;=100000), " ",IF(INDEX($AM$2:$BM$1001,MATCH(ROWS($AF$2:AF15),$AF$2:$AF$1001,0),MATCH(COLUMNS($AM$1006:AN1006),$AM$1006:$BM$1006,0)), HYPERLINK("#",""), HYPERLINK(CONCATENATE("#metadata!", ADDRESS(INDEX($AH$2:$AH$1001,MATCH(ROWS($AF$2:AF15),$AF$2:$AF$1001,0),0), INDEX($AM$1004:$BM$1004,1,MATCH(COLUMNS($AM$1006:AN1006),$AM$1006:$BM$1006,0)))),"Fix")))</f>
        <v xml:space="preserve"> </v>
      </c>
      <c r="D15" s="4" t="str">
        <f ca="1">IF(OR(INDEX($AG$2:$AG$1001,MATCH(ROWS($AF$2:AF15),$AF$2:$AF$1001,0),1)&gt;=100000,INDEX($AM$1005:$BM$1005,1,MATCH(COLUMNS($AM$1006:AO1006),$AM$1006:$BM$1006,0))&gt;=100000), " ",IF(INDEX($AM$2:$BM$1001,MATCH(ROWS($AF$2:AF15),$AF$2:$AF$1001,0),MATCH(COLUMNS($AM$1006:AO1006),$AM$1006:$BM$1006,0)), HYPERLINK("#",""), HYPERLINK(CONCATENATE("#metadata!", ADDRESS(INDEX($AH$2:$AH$1001,MATCH(ROWS($AF$2:AF15),$AF$2:$AF$1001,0),0), INDEX($AM$1004:$BM$1004,1,MATCH(COLUMNS($AM$1006:AO1006),$AM$1006:$BM$1006,0)))),"Fix")))</f>
        <v xml:space="preserve"> </v>
      </c>
      <c r="E15" s="4" t="str">
        <f ca="1">IF(OR(INDEX($AG$2:$AG$1001,MATCH(ROWS($AF$2:AF15),$AF$2:$AF$1001,0),1)&gt;=100000,INDEX($AM$1005:$BM$1005,1,MATCH(COLUMNS($AM$1006:AP1006),$AM$1006:$BM$1006,0))&gt;=100000), " ",IF(INDEX($AM$2:$BM$1001,MATCH(ROWS($AF$2:AF15),$AF$2:$AF$1001,0),MATCH(COLUMNS($AM$1006:AP1006),$AM$1006:$BM$1006,0)), HYPERLINK("#",""), HYPERLINK(CONCATENATE("#metadata!", ADDRESS(INDEX($AH$2:$AH$1001,MATCH(ROWS($AF$2:AF15),$AF$2:$AF$1001,0),0), INDEX($AM$1004:$BM$1004,1,MATCH(COLUMNS($AM$1006:AP1006),$AM$1006:$BM$1006,0)))),"Fix")))</f>
        <v xml:space="preserve"> </v>
      </c>
      <c r="F15" s="4" t="str">
        <f ca="1">IF(OR(INDEX($AG$2:$AG$1001,MATCH(ROWS($AF$2:AF15),$AF$2:$AF$1001,0),1)&gt;=100000,INDEX($AM$1005:$BM$1005,1,MATCH(COLUMNS($AM$1006:AQ1006),$AM$1006:$BM$1006,0))&gt;=100000), " ",IF(INDEX($AM$2:$BM$1001,MATCH(ROWS($AF$2:AF15),$AF$2:$AF$1001,0),MATCH(COLUMNS($AM$1006:AQ1006),$AM$1006:$BM$1006,0)), HYPERLINK("#",""), HYPERLINK(CONCATENATE("#metadata!", ADDRESS(INDEX($AH$2:$AH$1001,MATCH(ROWS($AF$2:AF15),$AF$2:$AF$1001,0),0), INDEX($AM$1004:$BM$1004,1,MATCH(COLUMNS($AM$1006:AQ1006),$AM$1006:$BM$1006,0)))),"Fix")))</f>
        <v xml:space="preserve"> </v>
      </c>
      <c r="G15" s="4" t="str">
        <f ca="1">IF(OR(INDEX($AG$2:$AG$1001,MATCH(ROWS($AF$2:AF15),$AF$2:$AF$1001,0),1)&gt;=100000,INDEX($AM$1005:$BM$1005,1,MATCH(COLUMNS($AM$1006:AR1006),$AM$1006:$BM$1006,0))&gt;=100000), " ",IF(INDEX($AM$2:$BM$1001,MATCH(ROWS($AF$2:AF15),$AF$2:$AF$1001,0),MATCH(COLUMNS($AM$1006:AR1006),$AM$1006:$BM$1006,0)), HYPERLINK("#",""), HYPERLINK(CONCATENATE("#metadata!", ADDRESS(INDEX($AH$2:$AH$1001,MATCH(ROWS($AF$2:AF15),$AF$2:$AF$1001,0),0), INDEX($AM$1004:$BM$1004,1,MATCH(COLUMNS($AM$1006:AR1006),$AM$1006:$BM$1006,0)))),"Fix")))</f>
        <v xml:space="preserve"> </v>
      </c>
      <c r="H15" s="4" t="str">
        <f ca="1">IF(OR(INDEX($AG$2:$AG$1001,MATCH(ROWS($AF$2:AF15),$AF$2:$AF$1001,0),1)&gt;=100000,INDEX($AM$1005:$BM$1005,1,MATCH(COLUMNS($AM$1006:AS1006),$AM$1006:$BM$1006,0))&gt;=100000), " ",IF(INDEX($AM$2:$BM$1001,MATCH(ROWS($AF$2:AF15),$AF$2:$AF$1001,0),MATCH(COLUMNS($AM$1006:AS1006),$AM$1006:$BM$1006,0)), HYPERLINK("#",""), HYPERLINK(CONCATENATE("#metadata!", ADDRESS(INDEX($AH$2:$AH$1001,MATCH(ROWS($AF$2:AF15),$AF$2:$AF$1001,0),0), INDEX($AM$1004:$BM$1004,1,MATCH(COLUMNS($AM$1006:AS1006),$AM$1006:$BM$1006,0)))),"Fix")))</f>
        <v xml:space="preserve"> </v>
      </c>
      <c r="I15" s="4" t="str">
        <f ca="1">IF(OR(INDEX($AG$2:$AG$1001,MATCH(ROWS($AF$2:AF15),$AF$2:$AF$1001,0),1)&gt;=100000,INDEX($AM$1005:$BM$1005,1,MATCH(COLUMNS($AM$1006:AT1006),$AM$1006:$BM$1006,0))&gt;=100000), " ",IF(INDEX($AM$2:$BM$1001,MATCH(ROWS($AF$2:AF15),$AF$2:$AF$1001,0),MATCH(COLUMNS($AM$1006:AT1006),$AM$1006:$BM$1006,0)), HYPERLINK("#",""), HYPERLINK(CONCATENATE("#metadata!", ADDRESS(INDEX($AH$2:$AH$1001,MATCH(ROWS($AF$2:AF15),$AF$2:$AF$1001,0),0), INDEX($AM$1004:$BM$1004,1,MATCH(COLUMNS($AM$1006:AT1006),$AM$1006:$BM$1006,0)))),"Fix")))</f>
        <v xml:space="preserve"> </v>
      </c>
      <c r="J15" s="4" t="str">
        <f ca="1">IF(OR(INDEX($AG$2:$AG$1001,MATCH(ROWS($AF$2:AF15),$AF$2:$AF$1001,0),1)&gt;=100000,INDEX($AM$1005:$BM$1005,1,MATCH(COLUMNS($AM$1006:AU1006),$AM$1006:$BM$1006,0))&gt;=100000), " ",IF(INDEX($AM$2:$BM$1001,MATCH(ROWS($AF$2:AF15),$AF$2:$AF$1001,0),MATCH(COLUMNS($AM$1006:AU1006),$AM$1006:$BM$1006,0)), HYPERLINK("#",""), HYPERLINK(CONCATENATE("#metadata!", ADDRESS(INDEX($AH$2:$AH$1001,MATCH(ROWS($AF$2:AF15),$AF$2:$AF$1001,0),0), INDEX($AM$1004:$BM$1004,1,MATCH(COLUMNS($AM$1006:AU1006),$AM$1006:$BM$1006,0)))),"Fix")))</f>
        <v xml:space="preserve"> </v>
      </c>
      <c r="K15" s="4" t="str">
        <f ca="1">IF(OR(INDEX($AG$2:$AG$1001,MATCH(ROWS($AF$2:AF15),$AF$2:$AF$1001,0),1)&gt;=100000,INDEX($AM$1005:$BM$1005,1,MATCH(COLUMNS($AM$1006:AV1006),$AM$1006:$BM$1006,0))&gt;=100000), " ",IF(INDEX($AM$2:$BM$1001,MATCH(ROWS($AF$2:AF15),$AF$2:$AF$1001,0),MATCH(COLUMNS($AM$1006:AV1006),$AM$1006:$BM$1006,0)), HYPERLINK("#",""), HYPERLINK(CONCATENATE("#metadata!", ADDRESS(INDEX($AH$2:$AH$1001,MATCH(ROWS($AF$2:AF15),$AF$2:$AF$1001,0),0), INDEX($AM$1004:$BM$1004,1,MATCH(COLUMNS($AM$1006:AV1006),$AM$1006:$BM$1006,0)))),"Fix")))</f>
        <v xml:space="preserve"> </v>
      </c>
      <c r="L15" s="4" t="str">
        <f ca="1">IF(OR(INDEX($AG$2:$AG$1001,MATCH(ROWS($AF$2:AF15),$AF$2:$AF$1001,0),1)&gt;=100000,INDEX($AM$1005:$BM$1005,1,MATCH(COLUMNS($AM$1006:AW1006),$AM$1006:$BM$1006,0))&gt;=100000), " ",IF(INDEX($AM$2:$BM$1001,MATCH(ROWS($AF$2:AF15),$AF$2:$AF$1001,0),MATCH(COLUMNS($AM$1006:AW1006),$AM$1006:$BM$1006,0)), HYPERLINK("#",""), HYPERLINK(CONCATENATE("#metadata!", ADDRESS(INDEX($AH$2:$AH$1001,MATCH(ROWS($AF$2:AF15),$AF$2:$AF$1001,0),0), INDEX($AM$1004:$BM$1004,1,MATCH(COLUMNS($AM$1006:AW1006),$AM$1006:$BM$1006,0)))),"Fix")))</f>
        <v xml:space="preserve"> </v>
      </c>
      <c r="M15" s="4" t="str">
        <f ca="1">IF(OR(INDEX($AG$2:$AG$1001,MATCH(ROWS($AF$2:AF15),$AF$2:$AF$1001,0),1)&gt;=100000,INDEX($AM$1005:$BM$1005,1,MATCH(COLUMNS($AM$1006:AX1006),$AM$1006:$BM$1006,0))&gt;=100000), " ",IF(INDEX($AM$2:$BM$1001,MATCH(ROWS($AF$2:AF15),$AF$2:$AF$1001,0),MATCH(COLUMNS($AM$1006:AX1006),$AM$1006:$BM$1006,0)), HYPERLINK("#",""), HYPERLINK(CONCATENATE("#metadata!", ADDRESS(INDEX($AH$2:$AH$1001,MATCH(ROWS($AF$2:AF15),$AF$2:$AF$1001,0),0), INDEX($AM$1004:$BM$1004,1,MATCH(COLUMNS($AM$1006:AX1006),$AM$1006:$BM$1006,0)))),"Fix")))</f>
        <v xml:space="preserve"> </v>
      </c>
      <c r="N15" s="4" t="str">
        <f ca="1">IF(OR(INDEX($AG$2:$AG$1001,MATCH(ROWS($AF$2:AF15),$AF$2:$AF$1001,0),1)&gt;=100000,INDEX($AM$1005:$BM$1005,1,MATCH(COLUMNS($AM$1006:AY1006),$AM$1006:$BM$1006,0))&gt;=100000), " ",IF(INDEX($AM$2:$BM$1001,MATCH(ROWS($AF$2:AF15),$AF$2:$AF$1001,0),MATCH(COLUMNS($AM$1006:AY1006),$AM$1006:$BM$1006,0)), HYPERLINK("#",""), HYPERLINK(CONCATENATE("#metadata!", ADDRESS(INDEX($AH$2:$AH$1001,MATCH(ROWS($AF$2:AF15),$AF$2:$AF$1001,0),0), INDEX($AM$1004:$BM$1004,1,MATCH(COLUMNS($AM$1006:AY1006),$AM$1006:$BM$1006,0)))),"Fix")))</f>
        <v xml:space="preserve"> </v>
      </c>
      <c r="O15" s="4" t="str">
        <f ca="1">IF(OR(INDEX($AG$2:$AG$1001,MATCH(ROWS($AF$2:AF15),$AF$2:$AF$1001,0),1)&gt;=100000,INDEX($AM$1005:$BM$1005,1,MATCH(COLUMNS($AM$1006:AZ1006),$AM$1006:$BM$1006,0))&gt;=100000), " ",IF(INDEX($AM$2:$BM$1001,MATCH(ROWS($AF$2:AF15),$AF$2:$AF$1001,0),MATCH(COLUMNS($AM$1006:AZ1006),$AM$1006:$BM$1006,0)), HYPERLINK("#",""), HYPERLINK(CONCATENATE("#metadata!", ADDRESS(INDEX($AH$2:$AH$1001,MATCH(ROWS($AF$2:AF15),$AF$2:$AF$1001,0),0), INDEX($AM$1004:$BM$1004,1,MATCH(COLUMNS($AM$1006:AZ1006),$AM$1006:$BM$1006,0)))),"Fix")))</f>
        <v xml:space="preserve"> </v>
      </c>
      <c r="P15" s="4" t="str">
        <f ca="1">IF(OR(INDEX($AG$2:$AG$1001,MATCH(ROWS($AF$2:AF15),$AF$2:$AF$1001,0),1)&gt;=100000,INDEX($AM$1005:$BM$1005,1,MATCH(COLUMNS($AM$1006:BA1006),$AM$1006:$BM$1006,0))&gt;=100000), " ",IF(INDEX($AM$2:$BM$1001,MATCH(ROWS($AF$2:AF15),$AF$2:$AF$1001,0),MATCH(COLUMNS($AM$1006:BA1006),$AM$1006:$BM$1006,0)), HYPERLINK("#",""), HYPERLINK(CONCATENATE("#metadata!", ADDRESS(INDEX($AH$2:$AH$1001,MATCH(ROWS($AF$2:AF15),$AF$2:$AF$1001,0),0), INDEX($AM$1004:$BM$1004,1,MATCH(COLUMNS($AM$1006:BA1006),$AM$1006:$BM$1006,0)))),"Fix")))</f>
        <v xml:space="preserve"> </v>
      </c>
      <c r="Q15" s="4" t="str">
        <f ca="1">IF(OR(INDEX($AG$2:$AG$1001,MATCH(ROWS($AF$2:AF15),$AF$2:$AF$1001,0),1)&gt;=100000,INDEX($AM$1005:$BM$1005,1,MATCH(COLUMNS($AM$1006:BB1006),$AM$1006:$BM$1006,0))&gt;=100000), " ",IF(INDEX($AM$2:$BM$1001,MATCH(ROWS($AF$2:AF15),$AF$2:$AF$1001,0),MATCH(COLUMNS($AM$1006:BB1006),$AM$1006:$BM$1006,0)), HYPERLINK("#",""), HYPERLINK(CONCATENATE("#metadata!", ADDRESS(INDEX($AH$2:$AH$1001,MATCH(ROWS($AF$2:AF15),$AF$2:$AF$1001,0),0), INDEX($AM$1004:$BM$1004,1,MATCH(COLUMNS($AM$1006:BB1006),$AM$1006:$BM$1006,0)))),"Fix")))</f>
        <v xml:space="preserve"> </v>
      </c>
      <c r="R15" s="4" t="str">
        <f ca="1">IF(OR(INDEX($AG$2:$AG$1001,MATCH(ROWS($AF$2:AF15),$AF$2:$AF$1001,0),1)&gt;=100000,INDEX($AM$1005:$BM$1005,1,MATCH(COLUMNS($AM$1006:BC1006),$AM$1006:$BM$1006,0))&gt;=100000), " ",IF(INDEX($AM$2:$BM$1001,MATCH(ROWS($AF$2:AF15),$AF$2:$AF$1001,0),MATCH(COLUMNS($AM$1006:BC1006),$AM$1006:$BM$1006,0)), HYPERLINK("#",""), HYPERLINK(CONCATENATE("#metadata!", ADDRESS(INDEX($AH$2:$AH$1001,MATCH(ROWS($AF$2:AF15),$AF$2:$AF$1001,0),0), INDEX($AM$1004:$BM$1004,1,MATCH(COLUMNS($AM$1006:BC1006),$AM$1006:$BM$1006,0)))),"Fix")))</f>
        <v xml:space="preserve"> </v>
      </c>
      <c r="S15" s="4" t="str">
        <f ca="1">IF(OR(INDEX($AG$2:$AG$1001,MATCH(ROWS($AF$2:AF15),$AF$2:$AF$1001,0),1)&gt;=100000,INDEX($AM$1005:$BM$1005,1,MATCH(COLUMNS($AM$1006:BD1006),$AM$1006:$BM$1006,0))&gt;=100000), " ",IF(INDEX($AM$2:$BM$1001,MATCH(ROWS($AF$2:AF15),$AF$2:$AF$1001,0),MATCH(COLUMNS($AM$1006:BD1006),$AM$1006:$BM$1006,0)), HYPERLINK("#",""), HYPERLINK(CONCATENATE("#metadata!", ADDRESS(INDEX($AH$2:$AH$1001,MATCH(ROWS($AF$2:AF15),$AF$2:$AF$1001,0),0), INDEX($AM$1004:$BM$1004,1,MATCH(COLUMNS($AM$1006:BD1006),$AM$1006:$BM$1006,0)))),"Fix")))</f>
        <v xml:space="preserve"> </v>
      </c>
      <c r="T15" s="4" t="str">
        <f ca="1">IF(OR(INDEX($AG$2:$AG$1001,MATCH(ROWS($AF$2:AF15),$AF$2:$AF$1001,0),1)&gt;=100000,INDEX($AM$1005:$BM$1005,1,MATCH(COLUMNS($AM$1006:BE1006),$AM$1006:$BM$1006,0))&gt;=100000), " ",IF(INDEX($AM$2:$BM$1001,MATCH(ROWS($AF$2:AF15),$AF$2:$AF$1001,0),MATCH(COLUMNS($AM$1006:BE1006),$AM$1006:$BM$1006,0)), HYPERLINK("#",""), HYPERLINK(CONCATENATE("#metadata!", ADDRESS(INDEX($AH$2:$AH$1001,MATCH(ROWS($AF$2:AF15),$AF$2:$AF$1001,0),0), INDEX($AM$1004:$BM$1004,1,MATCH(COLUMNS($AM$1006:BE1006),$AM$1006:$BM$1006,0)))),"Fix")))</f>
        <v xml:space="preserve"> </v>
      </c>
      <c r="U15" s="4" t="str">
        <f ca="1">IF(OR(INDEX($AG$2:$AG$1001,MATCH(ROWS($AF$2:AF15),$AF$2:$AF$1001,0),1)&gt;=100000,INDEX($AM$1005:$BM$1005,1,MATCH(COLUMNS($AM$1006:BF1006),$AM$1006:$BM$1006,0))&gt;=100000), " ",IF(INDEX($AM$2:$BM$1001,MATCH(ROWS($AF$2:AF15),$AF$2:$AF$1001,0),MATCH(COLUMNS($AM$1006:BF1006),$AM$1006:$BM$1006,0)), HYPERLINK("#",""), HYPERLINK(CONCATENATE("#metadata!", ADDRESS(INDEX($AH$2:$AH$1001,MATCH(ROWS($AF$2:AF15),$AF$2:$AF$1001,0),0), INDEX($AM$1004:$BM$1004,1,MATCH(COLUMNS($AM$1006:BF1006),$AM$1006:$BM$1006,0)))),"Fix")))</f>
        <v xml:space="preserve"> </v>
      </c>
      <c r="V15" s="4" t="str">
        <f ca="1">IF(OR(INDEX($AG$2:$AG$1001,MATCH(ROWS($AF$2:AF15),$AF$2:$AF$1001,0),1)&gt;=100000,INDEX($AM$1005:$BM$1005,1,MATCH(COLUMNS($AM$1006:BG1006),$AM$1006:$BM$1006,0))&gt;=100000), " ",IF(INDEX($AM$2:$BM$1001,MATCH(ROWS($AF$2:AF15),$AF$2:$AF$1001,0),MATCH(COLUMNS($AM$1006:BG1006),$AM$1006:$BM$1006,0)), HYPERLINK("#",""), HYPERLINK(CONCATENATE("#metadata!", ADDRESS(INDEX($AH$2:$AH$1001,MATCH(ROWS($AF$2:AF15),$AF$2:$AF$1001,0),0), INDEX($AM$1004:$BM$1004,1,MATCH(COLUMNS($AM$1006:BG1006),$AM$1006:$BM$1006,0)))),"Fix")))</f>
        <v xml:space="preserve"> </v>
      </c>
      <c r="W15" s="4" t="str">
        <f ca="1">IF(OR(INDEX($AG$2:$AG$1001,MATCH(ROWS($AF$2:AF15),$AF$2:$AF$1001,0),1)&gt;=100000,INDEX($AM$1005:$BM$1005,1,MATCH(COLUMNS($AM$1006:BH1006),$AM$1006:$BM$1006,0))&gt;=100000), " ",IF(INDEX($AM$2:$BM$1001,MATCH(ROWS($AF$2:AF15),$AF$2:$AF$1001,0),MATCH(COLUMNS($AM$1006:BH1006),$AM$1006:$BM$1006,0)), HYPERLINK("#",""), HYPERLINK(CONCATENATE("#metadata!", ADDRESS(INDEX($AH$2:$AH$1001,MATCH(ROWS($AF$2:AF15),$AF$2:$AF$1001,0),0), INDEX($AM$1004:$BM$1004,1,MATCH(COLUMNS($AM$1006:BH1006),$AM$1006:$BM$1006,0)))),"Fix")))</f>
        <v xml:space="preserve"> </v>
      </c>
      <c r="X15" s="4" t="str">
        <f ca="1">IF(OR(INDEX($AG$2:$AG$1001,MATCH(ROWS($AF$2:AF15),$AF$2:$AF$1001,0),1)&gt;=100000,INDEX($AM$1005:$BM$1005,1,MATCH(COLUMNS($AM$1006:BI1006),$AM$1006:$BM$1006,0))&gt;=100000), " ",IF(INDEX($AM$2:$BM$1001,MATCH(ROWS($AF$2:AF15),$AF$2:$AF$1001,0),MATCH(COLUMNS($AM$1006:BI1006),$AM$1006:$BM$1006,0)), HYPERLINK("#",""), HYPERLINK(CONCATENATE("#metadata!", ADDRESS(INDEX($AH$2:$AH$1001,MATCH(ROWS($AF$2:AF15),$AF$2:$AF$1001,0),0), INDEX($AM$1004:$BM$1004,1,MATCH(COLUMNS($AM$1006:BI1006),$AM$1006:$BM$1006,0)))),"Fix")))</f>
        <v xml:space="preserve"> </v>
      </c>
      <c r="Y15" s="4" t="str">
        <f ca="1">IF(OR(INDEX($AG$2:$AG$1001,MATCH(ROWS($AF$2:AF15),$AF$2:$AF$1001,0),1)&gt;=100000,INDEX($AM$1005:$BM$1005,1,MATCH(COLUMNS($AM$1006:BJ1006),$AM$1006:$BM$1006,0))&gt;=100000), " ",IF(INDEX($AM$2:$BM$1001,MATCH(ROWS($AF$2:AF15),$AF$2:$AF$1001,0),MATCH(COLUMNS($AM$1006:BJ1006),$AM$1006:$BM$1006,0)), HYPERLINK("#",""), HYPERLINK(CONCATENATE("#metadata!", ADDRESS(INDEX($AH$2:$AH$1001,MATCH(ROWS($AF$2:AF15),$AF$2:$AF$1001,0),0), INDEX($AM$1004:$BM$1004,1,MATCH(COLUMNS($AM$1006:BJ1006),$AM$1006:$BM$1006,0)))),"Fix")))</f>
        <v xml:space="preserve"> </v>
      </c>
      <c r="Z15" s="4" t="str">
        <f ca="1">IF(OR(INDEX($AG$2:$AG$1001,MATCH(ROWS($AF$2:AF15),$AF$2:$AF$1001,0),1)&gt;=100000,INDEX($AM$1005:$BM$1005,1,MATCH(COLUMNS($AM$1006:BK1006),$AM$1006:$BM$1006,0))&gt;=100000), " ",IF(INDEX($AM$2:$BM$1001,MATCH(ROWS($AF$2:AF15),$AF$2:$AF$1001,0),MATCH(COLUMNS($AM$1006:BK1006),$AM$1006:$BM$1006,0)), HYPERLINK("#",""), HYPERLINK(CONCATENATE("#metadata!", ADDRESS(INDEX($AH$2:$AH$1001,MATCH(ROWS($AF$2:AF15),$AF$2:$AF$1001,0),0), INDEX($AM$1004:$BM$1004,1,MATCH(COLUMNS($AM$1006:BK1006),$AM$1006:$BM$1006,0)))),"Fix")))</f>
        <v xml:space="preserve"> </v>
      </c>
      <c r="AA15" s="4" t="str">
        <f ca="1">IF(OR(INDEX($AG$2:$AG$1001,MATCH(ROWS($AF$2:AF15),$AF$2:$AF$1001,0),1)&gt;=100000,INDEX($AM$1005:$BM$1005,1,MATCH(COLUMNS($AM$1006:BL1006),$AM$1006:$BM$1006,0))&gt;=100000), " ",IF(INDEX($AM$2:$BM$1001,MATCH(ROWS($AF$2:AF15),$AF$2:$AF$1001,0),MATCH(COLUMNS($AM$1006:BL1006),$AM$1006:$BM$1006,0)), HYPERLINK("#",""), HYPERLINK(CONCATENATE("#metadata!", ADDRESS(INDEX($AH$2:$AH$1001,MATCH(ROWS($AF$2:AF15),$AF$2:$AF$1001,0),0), INDEX($AM$1004:$BM$1004,1,MATCH(COLUMNS($AM$1006:BL1006),$AM$1006:$BM$1006,0)))),"Fix")))</f>
        <v xml:space="preserve"> </v>
      </c>
      <c r="AB15" s="4" t="str">
        <f ca="1">IF(OR(INDEX($AG$2:$AG$1001,MATCH(ROWS($AF$2:AF15),$AF$2:$AF$1001,0),1)&gt;=100000,INDEX($AM$1005:$BM$1005,1,MATCH(COLUMNS($AM$1006:BM1006),$AM$1006:$BM$1006,0))&gt;=100000), " ",IF(INDEX($AM$2:$BM$1001,MATCH(ROWS($AF$2:AF15),$AF$2:$AF$1001,0),MATCH(COLUMNS($AM$1006:BM1006),$AM$1006:$BM$1006,0)), HYPERLINK("#",""), HYPERLINK(CONCATENATE("#metadata!", ADDRESS(INDEX($AH$2:$AH$1001,MATCH(ROWS($AF$2:AF15),$AF$2:$AF$1001,0),0), INDEX($AM$1004:$BM$1004,1,MATCH(COLUMNS($AM$1006:BM1006),$AM$1006:$BM$1006,0)))),"Fix")))</f>
        <v xml:space="preserve"> </v>
      </c>
      <c r="AF15">
        <v>14</v>
      </c>
      <c r="AG15">
        <v>100015</v>
      </c>
      <c r="AH15">
        <v>15</v>
      </c>
      <c r="AI15" t="b">
        <f t="shared" si="0"/>
        <v>1</v>
      </c>
      <c r="AJ15" t="b">
        <f>COUNTBLANK(metadata!B15:AB15)=COLUMNS(metadata!B15:AB15)</f>
        <v>1</v>
      </c>
      <c r="AK15" t="str">
        <v/>
      </c>
      <c r="AM15" t="b">
        <f ca="1">AND(IF(metadata!B15="",FALSE,TRUE),COUNTIF(metadata!B:B, metadata!B15) = 1,NOT(ISERROR(SUMPRODUCT(SEARCH(MID(metadata!B15,ROW(INDIRECT("1:"&amp;LEN(metadata!B15))), 1),"0123456789abcdefghijklmnopqrstuvwxyzABCDEFGHIJKLMNOPQRSTUVWXYZ.")))))</f>
        <v>0</v>
      </c>
      <c r="AN15" t="b">
        <f ca="1">OR(AND(IF(metadata!C15="",FALSE,TRUE),OR(EXACT(metadata!C15,"missing: not collected"),EXACT(metadata!C15,"missing: not provided"),EXACT(metadata!C15,"missing: restricted access"))),AND(IF(metadata!C15="",FALSE,TRUE),AND(AND(IFERROR(INT(LEFT(metadata!C15,4))&gt;1900,FALSE),IFERROR(INT(LEFT(metadata!C15,4))&lt;=YEAR(NOW()),FALSE)), OR(MID(metadata!C15,5,1)="", AND(AND(MID(metadata!C15,5,1)="-",IFERROR(INT(MID(metadata!C15,6,1))&gt;=0,FALSE),IFERROR(INT(MID(metadata!C15,6,1))&lt;=1,FALSE),NOT(MID(metadata!C15,7,1)=""),IFERROR(INT(MID(metadata!C15,6,2))&gt;=1,FALSE),IFERROR(INT(MID(metadata!C15,6,2))&lt;=12,FALSE)), OR(MID(metadata!C15,8,1)="", AND(AND(MID(metadata!C15,8,1)="-",IFERROR(INT(MID(metadata!C15,9,1))&gt;=0,FALSE),IFERROR(INT(MID(metadata!C15,9,1))&lt;=3,FALSE),NOT(MID(metadata!C15,10,1)=""),IFERROR(INT(MID(metadata!C15,9,2))&gt;=1,FALSE),IFERROR(INT(MID(metadata!C15,9,2))&lt;=31,FALSE)), OR(MID(metadata!C15,11,1)="", AND(AND(MID(metadata!C15,11,1)=" ",IFERROR(INT(MID(metadata!C15,12,1))&gt;=0,FALSE),IFERROR(INT(MID(metadata!C15,12,1))&lt;=2,FALSE),NOT(MID(metadata!C15,13,1)=""),IFERROR(INT(MID(metadata!C15,12,2))&gt;=0,FALSE),IFERROR(INT(MID(metadata!C15,12,2))&lt;=23,FALSE)), OR(MID(metadata!C15,14,1)="", AND(AND(MID(metadata!C15,14,1)=":",IFERROR(INT(MID(metadata!C15,15,1))&gt;=0,FALSE),IFERROR(INT(MID(metadata!C15,15,1))&lt;=5,FALSE),NOT(MID(metadata!C15,16,1)=""),IFERROR(INT(MID(metadata!C15,15,2))&gt;=0,FALSE),IFERROR(INT(MID(metadata!C15,15,2))&lt;=59,FALSE)), OR(MID(metadata!C15,17,1)="", AND(AND(MID(metadata!C15,17,1)=":",IFERROR(INT(MID(metadata!C15,18,1))&gt;=0,FALSE),IFERROR(INT(MID(metadata!C15,18,1))&lt;=5,FALSE),NOT(MID(metadata!C15,19,1)=""),IFERROR(INT(MID(metadata!C15,18,2))&gt;=0,FALSE),IFERROR(INT(MID(metadata!C15,18,2))&lt;=59,FALSE)), LEN(metadata!C15)&lt;=19)))))))))))))</f>
        <v>0</v>
      </c>
      <c r="AO15" t="b">
        <f>AND(IF(metadata!D15="",FALSE,TRUE),EXACT(metadata!D15,"Not applicable"))</f>
        <v>0</v>
      </c>
      <c r="AP15" t="b">
        <f>IF(metadata!E15="",FALSE,TRUE)</f>
        <v>0</v>
      </c>
      <c r="AQ15" t="b">
        <f>OR(AND(IF(metadata!F15="",FALSE,TRUE),OR(EXACT(metadata!F15,"missing: not collected"),EXACT(metadata!F15,"missing: not provided"))),AND(IF(metadata!F15="",FALSE,TRUE),OR(EXACT(metadata!F15,"TRUE"),EXACT(metadata!F15,"FALSE"))))</f>
        <v>0</v>
      </c>
      <c r="AR15" t="b">
        <f>OR(AND(IF(metadata!G15="",FALSE,TRUE),OR(EXACT(metadata!G15,"missing: not collected"),EXACT(metadata!G15,"missing: not provided"),EXACT(metadata!G15,"missing: restricted access"))),AND(IF(metadata!G15="",FALSE,ISNUMBER(VALUE(metadata!G15))),metadata!G15&gt;=-413))</f>
        <v>0</v>
      </c>
      <c r="AS15" t="b">
        <f>AND(IF(metadata!H15="",FALSE,TRUE),EXACT(metadata!H15,"meters"))</f>
        <v>0</v>
      </c>
      <c r="AT15" t="b">
        <f>AND(IF(metadata!I15="",FALSE,TRUE),OR(EXACT(metadata!I15,"Host-associated"),EXACT(metadata!I15,"Free-living")))</f>
        <v>0</v>
      </c>
      <c r="AU15" t="b">
        <f>AND(IF(metadata!J15="",FALSE,TRUE),OR(EXACT(metadata!J15,"Animal"),EXACT(metadata!J15,"Fungus"),EXACT(metadata!J15,"Plant"),EXACT(metadata!J15,"Saline"),EXACT(metadata!J15,"Non-saline")))</f>
        <v>0</v>
      </c>
      <c r="AV15" t="b">
        <f>AND(IF(metadata!K15="",FALSE,TRUE),OR(EXACT(metadata!K15,"Plant secretion"),EXACT(metadata!K15,"Plant rhizosphere"),EXACT(metadata!K15,"Plant surface"),EXACT(metadata!K15,"Plant corpus"),EXACT(metadata!K15,"Fungus surface"),EXACT(metadata!K15,"Fungus corpus"),EXACT(metadata!K15,"Animal surface"),EXACT(metadata!K15,"Animal proximal gut"),EXACT(metadata!K15,"Animal corpus"),EXACT(metadata!K15,"Animal distal gut"),EXACT(metadata!K15,"Animal secretion"),EXACT(metadata!K15,"Sub-surface (non-saline)"),EXACT(metadata!K15,"Surface (non-saline)"),EXACT(metadata!K15,"Water (non-saline)"),EXACT(metadata!K15,"Soil (non-saline)"),EXACT(metadata!K15,"Aerosol (non-saline)"),EXACT(metadata!K15,"Sediment (non-saline)"),EXACT(metadata!K15,"Surface (saline)"),EXACT(metadata!K15,"Water (saline)"),EXACT(metadata!K15,"Hypersaline (saline)"),EXACT(metadata!K15,"Aerosol (saline)"),EXACT(metadata!K15,"Sediment (saline)")))</f>
        <v>0</v>
      </c>
      <c r="AW15" t="b">
        <f>IF(metadata!L15="",FALSE,TRUE)</f>
        <v>0</v>
      </c>
      <c r="AX15" t="b">
        <f>IF(metadata!M15="",FALSE,TRUE)</f>
        <v>0</v>
      </c>
      <c r="AY15" t="b">
        <f>IF(metadata!N15="",FALSE,TRUE)</f>
        <v>0</v>
      </c>
      <c r="AZ15" t="b">
        <f>OR(AND(IF(metadata!O15="",FALSE,TRUE),OR(EXACT(metadata!O15,"missing: not collected"),EXACT(metadata!O15,"missing: not provided"),EXACT(metadata!O15,"missing: restricted access"))),AND(IF(metadata!O15="",FALSE,TRUE),OR(EXACT(metadata!O15,"air"),EXACT(metadata!O15,"built environment"),EXACT(metadata!O15,"host-associated"),EXACT(metadata!O15,"human-associated"),EXACT(metadata!O15,"human-skin"),EXACT(metadata!O15,"human-oral"),EXACT(metadata!O15,"human-gut"),EXACT(metadata!O15,"human-vaginal"),EXACT(metadata!O15,"microbial mat/biofilm"),EXACT(metadata!O15,"misc environment"),EXACT(metadata!O15,"plant-associated"),EXACT(metadata!O15,"sediment"),EXACT(metadata!O15,"soil"),EXACT(metadata!O15,"wastewater/sludge"),EXACT(metadata!O15,"water"))))</f>
        <v>0</v>
      </c>
      <c r="BA15" t="b">
        <f>IF(metadata!P15="",FALSE,TRUE)</f>
        <v>0</v>
      </c>
      <c r="BB15" t="b">
        <f>IF(metadata!Q15="",FALSE,TRUE)</f>
        <v>0</v>
      </c>
      <c r="BC15" t="b">
        <f>OR(AND(IF(metadata!R15="",FALSE,TRUE),OR(EXACT(metadata!R15,"missing: not collected"),EXACT(metadata!R15,"missing: not provided"),EXACT(metadata!R15,"missing: restricted access"))),AND(IF(metadata!R15="",FALSE,ISNUMBER(VALUE(metadata!R15))),metadata!R15&gt;=-90,metadata!R15&lt;=90))</f>
        <v>0</v>
      </c>
      <c r="BD15" t="b">
        <f>AND(IF(metadata!S15="",FALSE,TRUE),EXACT(metadata!S15,"Decimal degrees"))</f>
        <v>0</v>
      </c>
      <c r="BE15" t="b">
        <f>OR(AND(IF(metadata!T15="",FALSE,TRUE),OR(EXACT(metadata!T15,"missing: not collected"),EXACT(metadata!T15,"missing: not provided"),EXACT(metadata!T15,"missing: restricted access"))),AND(IF(metadata!T15="",FALSE,ISNUMBER(VALUE(metadata!T15))),metadata!T15&gt;=-180,metadata!T15&lt;=180))</f>
        <v>0</v>
      </c>
      <c r="BF15" t="b">
        <f>AND(IF(metadata!U15="",FALSE,TRUE),EXACT(metadata!U15,"Decimal degrees"))</f>
        <v>0</v>
      </c>
      <c r="BG15" t="b">
        <f>IF(metadata!V15="",FALSE,TRUE)</f>
        <v>0</v>
      </c>
      <c r="BH15" t="b">
        <f>OR(AND(IF(metadata!W15="",FALSE,TRUE),OR(EXACT(metadata!W15,"missing: not collected"),EXACT(metadata!W15,"missing: not provided"),EXACT(metadata!W15,"missing: restricted access"))),AND(IF(metadata!W15="",FALSE,TRUE),OR(EXACT(metadata!W15,"TRUE"),EXACT(metadata!W15,"FALSE"))))</f>
        <v>0</v>
      </c>
      <c r="BI15" t="b">
        <f>AND(IF(metadata!X15="",FALSE,TRUE),EXACT(metadata!X15,"other"))</f>
        <v>0</v>
      </c>
      <c r="BJ15" t="b">
        <f>IF(metadata!Y15="",FALSE,TRUE)</f>
        <v>0</v>
      </c>
      <c r="BK15" t="b">
        <f>OR(AND(IF(metadata!Z15="",FALSE,TRUE),OR(EXACT(metadata!Z15,"missing: not collected"),EXACT(metadata!Z15,"missing: not provided"))),AND(IF(metadata!Z15="",FALSE,IF(ISERROR(INT(metadata!Z15)),FALSE,INT(metadata!Z15)=metadata!Z15)),metadata!Z15&gt;0))</f>
        <v>0</v>
      </c>
      <c r="BL15" t="b">
        <f>AND(IF(metadata!AA15="",FALSE,TRUE),EXACT(metadata!AA15,"Not applicable"))</f>
        <v>0</v>
      </c>
      <c r="BM15" t="b">
        <f>IF(metadata!AB15="",FALSE,TRUE)</f>
        <v>0</v>
      </c>
    </row>
    <row r="16" spans="1:65" x14ac:dyDescent="0.2">
      <c r="A16" s="5" t="str">
        <f ca="1">IF(B16=" "," ",HYPERLINK(CONCATENATE("#metadata!",ADDRESS(INDEX($AH$2:$AH$1001,MATCH(ROWS($AF$2:AF16),$AF$2:$AF$1001,0),0),1)),INDEX($AK$2:$AK$1001,MATCH(ROWS($AF$2:AF16),$AF$2:$AF$1001,0),0)))</f>
        <v xml:space="preserve"> </v>
      </c>
      <c r="B16" s="4" t="str">
        <f ca="1">IF(OR(INDEX($AG$2:$AG$1001,MATCH(ROWS($AF$2:AF16),$AF$2:$AF$1001,0),1)&gt;=100000,INDEX($AM$1005:$BM$1005,1,MATCH(COLUMNS($AM$1006:AM1006),$AM$1006:$BM$1006,0))&gt;=100000), " ",IF(INDEX($AM$2:$BM$1001,MATCH(ROWS($AF$2:AF16),$AF$2:$AF$1001,0),MATCH(COLUMNS($AM$1006:AM1006),$AM$1006:$BM$1006,0)), HYPERLINK("#",""), HYPERLINK(CONCATENATE("#metadata!", ADDRESS(INDEX($AH$2:$AH$1001,MATCH(ROWS($AF$2:AF16),$AF$2:$AF$1001,0),0), INDEX($AM$1004:$BM$1004,1,MATCH(COLUMNS($AM$1006:AM1006),$AM$1006:$BM$1006,0)))),"Fix")))</f>
        <v xml:space="preserve"> </v>
      </c>
      <c r="C16" s="4" t="str">
        <f ca="1">IF(OR(INDEX($AG$2:$AG$1001,MATCH(ROWS($AF$2:AF16),$AF$2:$AF$1001,0),1)&gt;=100000,INDEX($AM$1005:$BM$1005,1,MATCH(COLUMNS($AM$1006:AN1006),$AM$1006:$BM$1006,0))&gt;=100000), " ",IF(INDEX($AM$2:$BM$1001,MATCH(ROWS($AF$2:AF16),$AF$2:$AF$1001,0),MATCH(COLUMNS($AM$1006:AN1006),$AM$1006:$BM$1006,0)), HYPERLINK("#",""), HYPERLINK(CONCATENATE("#metadata!", ADDRESS(INDEX($AH$2:$AH$1001,MATCH(ROWS($AF$2:AF16),$AF$2:$AF$1001,0),0), INDEX($AM$1004:$BM$1004,1,MATCH(COLUMNS($AM$1006:AN1006),$AM$1006:$BM$1006,0)))),"Fix")))</f>
        <v xml:space="preserve"> </v>
      </c>
      <c r="D16" s="4" t="str">
        <f ca="1">IF(OR(INDEX($AG$2:$AG$1001,MATCH(ROWS($AF$2:AF16),$AF$2:$AF$1001,0),1)&gt;=100000,INDEX($AM$1005:$BM$1005,1,MATCH(COLUMNS($AM$1006:AO1006),$AM$1006:$BM$1006,0))&gt;=100000), " ",IF(INDEX($AM$2:$BM$1001,MATCH(ROWS($AF$2:AF16),$AF$2:$AF$1001,0),MATCH(COLUMNS($AM$1006:AO1006),$AM$1006:$BM$1006,0)), HYPERLINK("#",""), HYPERLINK(CONCATENATE("#metadata!", ADDRESS(INDEX($AH$2:$AH$1001,MATCH(ROWS($AF$2:AF16),$AF$2:$AF$1001,0),0), INDEX($AM$1004:$BM$1004,1,MATCH(COLUMNS($AM$1006:AO1006),$AM$1006:$BM$1006,0)))),"Fix")))</f>
        <v xml:space="preserve"> </v>
      </c>
      <c r="E16" s="4" t="str">
        <f ca="1">IF(OR(INDEX($AG$2:$AG$1001,MATCH(ROWS($AF$2:AF16),$AF$2:$AF$1001,0),1)&gt;=100000,INDEX($AM$1005:$BM$1005,1,MATCH(COLUMNS($AM$1006:AP1006),$AM$1006:$BM$1006,0))&gt;=100000), " ",IF(INDEX($AM$2:$BM$1001,MATCH(ROWS($AF$2:AF16),$AF$2:$AF$1001,0),MATCH(COLUMNS($AM$1006:AP1006),$AM$1006:$BM$1006,0)), HYPERLINK("#",""), HYPERLINK(CONCATENATE("#metadata!", ADDRESS(INDEX($AH$2:$AH$1001,MATCH(ROWS($AF$2:AF16),$AF$2:$AF$1001,0),0), INDEX($AM$1004:$BM$1004,1,MATCH(COLUMNS($AM$1006:AP1006),$AM$1006:$BM$1006,0)))),"Fix")))</f>
        <v xml:space="preserve"> </v>
      </c>
      <c r="F16" s="4" t="str">
        <f ca="1">IF(OR(INDEX($AG$2:$AG$1001,MATCH(ROWS($AF$2:AF16),$AF$2:$AF$1001,0),1)&gt;=100000,INDEX($AM$1005:$BM$1005,1,MATCH(COLUMNS($AM$1006:AQ1006),$AM$1006:$BM$1006,0))&gt;=100000), " ",IF(INDEX($AM$2:$BM$1001,MATCH(ROWS($AF$2:AF16),$AF$2:$AF$1001,0),MATCH(COLUMNS($AM$1006:AQ1006),$AM$1006:$BM$1006,0)), HYPERLINK("#",""), HYPERLINK(CONCATENATE("#metadata!", ADDRESS(INDEX($AH$2:$AH$1001,MATCH(ROWS($AF$2:AF16),$AF$2:$AF$1001,0),0), INDEX($AM$1004:$BM$1004,1,MATCH(COLUMNS($AM$1006:AQ1006),$AM$1006:$BM$1006,0)))),"Fix")))</f>
        <v xml:space="preserve"> </v>
      </c>
      <c r="G16" s="4" t="str">
        <f ca="1">IF(OR(INDEX($AG$2:$AG$1001,MATCH(ROWS($AF$2:AF16),$AF$2:$AF$1001,0),1)&gt;=100000,INDEX($AM$1005:$BM$1005,1,MATCH(COLUMNS($AM$1006:AR1006),$AM$1006:$BM$1006,0))&gt;=100000), " ",IF(INDEX($AM$2:$BM$1001,MATCH(ROWS($AF$2:AF16),$AF$2:$AF$1001,0),MATCH(COLUMNS($AM$1006:AR1006),$AM$1006:$BM$1006,0)), HYPERLINK("#",""), HYPERLINK(CONCATENATE("#metadata!", ADDRESS(INDEX($AH$2:$AH$1001,MATCH(ROWS($AF$2:AF16),$AF$2:$AF$1001,0),0), INDEX($AM$1004:$BM$1004,1,MATCH(COLUMNS($AM$1006:AR1006),$AM$1006:$BM$1006,0)))),"Fix")))</f>
        <v xml:space="preserve"> </v>
      </c>
      <c r="H16" s="4" t="str">
        <f ca="1">IF(OR(INDEX($AG$2:$AG$1001,MATCH(ROWS($AF$2:AF16),$AF$2:$AF$1001,0),1)&gt;=100000,INDEX($AM$1005:$BM$1005,1,MATCH(COLUMNS($AM$1006:AS1006),$AM$1006:$BM$1006,0))&gt;=100000), " ",IF(INDEX($AM$2:$BM$1001,MATCH(ROWS($AF$2:AF16),$AF$2:$AF$1001,0),MATCH(COLUMNS($AM$1006:AS1006),$AM$1006:$BM$1006,0)), HYPERLINK("#",""), HYPERLINK(CONCATENATE("#metadata!", ADDRESS(INDEX($AH$2:$AH$1001,MATCH(ROWS($AF$2:AF16),$AF$2:$AF$1001,0),0), INDEX($AM$1004:$BM$1004,1,MATCH(COLUMNS($AM$1006:AS1006),$AM$1006:$BM$1006,0)))),"Fix")))</f>
        <v xml:space="preserve"> </v>
      </c>
      <c r="I16" s="4" t="str">
        <f ca="1">IF(OR(INDEX($AG$2:$AG$1001,MATCH(ROWS($AF$2:AF16),$AF$2:$AF$1001,0),1)&gt;=100000,INDEX($AM$1005:$BM$1005,1,MATCH(COLUMNS($AM$1006:AT1006),$AM$1006:$BM$1006,0))&gt;=100000), " ",IF(INDEX($AM$2:$BM$1001,MATCH(ROWS($AF$2:AF16),$AF$2:$AF$1001,0),MATCH(COLUMNS($AM$1006:AT1006),$AM$1006:$BM$1006,0)), HYPERLINK("#",""), HYPERLINK(CONCATENATE("#metadata!", ADDRESS(INDEX($AH$2:$AH$1001,MATCH(ROWS($AF$2:AF16),$AF$2:$AF$1001,0),0), INDEX($AM$1004:$BM$1004,1,MATCH(COLUMNS($AM$1006:AT1006),$AM$1006:$BM$1006,0)))),"Fix")))</f>
        <v xml:space="preserve"> </v>
      </c>
      <c r="J16" s="4" t="str">
        <f ca="1">IF(OR(INDEX($AG$2:$AG$1001,MATCH(ROWS($AF$2:AF16),$AF$2:$AF$1001,0),1)&gt;=100000,INDEX($AM$1005:$BM$1005,1,MATCH(COLUMNS($AM$1006:AU1006),$AM$1006:$BM$1006,0))&gt;=100000), " ",IF(INDEX($AM$2:$BM$1001,MATCH(ROWS($AF$2:AF16),$AF$2:$AF$1001,0),MATCH(COLUMNS($AM$1006:AU1006),$AM$1006:$BM$1006,0)), HYPERLINK("#",""), HYPERLINK(CONCATENATE("#metadata!", ADDRESS(INDEX($AH$2:$AH$1001,MATCH(ROWS($AF$2:AF16),$AF$2:$AF$1001,0),0), INDEX($AM$1004:$BM$1004,1,MATCH(COLUMNS($AM$1006:AU1006),$AM$1006:$BM$1006,0)))),"Fix")))</f>
        <v xml:space="preserve"> </v>
      </c>
      <c r="K16" s="4" t="str">
        <f ca="1">IF(OR(INDEX($AG$2:$AG$1001,MATCH(ROWS($AF$2:AF16),$AF$2:$AF$1001,0),1)&gt;=100000,INDEX($AM$1005:$BM$1005,1,MATCH(COLUMNS($AM$1006:AV1006),$AM$1006:$BM$1006,0))&gt;=100000), " ",IF(INDEX($AM$2:$BM$1001,MATCH(ROWS($AF$2:AF16),$AF$2:$AF$1001,0),MATCH(COLUMNS($AM$1006:AV1006),$AM$1006:$BM$1006,0)), HYPERLINK("#",""), HYPERLINK(CONCATENATE("#metadata!", ADDRESS(INDEX($AH$2:$AH$1001,MATCH(ROWS($AF$2:AF16),$AF$2:$AF$1001,0),0), INDEX($AM$1004:$BM$1004,1,MATCH(COLUMNS($AM$1006:AV1006),$AM$1006:$BM$1006,0)))),"Fix")))</f>
        <v xml:space="preserve"> </v>
      </c>
      <c r="L16" s="4" t="str">
        <f ca="1">IF(OR(INDEX($AG$2:$AG$1001,MATCH(ROWS($AF$2:AF16),$AF$2:$AF$1001,0),1)&gt;=100000,INDEX($AM$1005:$BM$1005,1,MATCH(COLUMNS($AM$1006:AW1006),$AM$1006:$BM$1006,0))&gt;=100000), " ",IF(INDEX($AM$2:$BM$1001,MATCH(ROWS($AF$2:AF16),$AF$2:$AF$1001,0),MATCH(COLUMNS($AM$1006:AW1006),$AM$1006:$BM$1006,0)), HYPERLINK("#",""), HYPERLINK(CONCATENATE("#metadata!", ADDRESS(INDEX($AH$2:$AH$1001,MATCH(ROWS($AF$2:AF16),$AF$2:$AF$1001,0),0), INDEX($AM$1004:$BM$1004,1,MATCH(COLUMNS($AM$1006:AW1006),$AM$1006:$BM$1006,0)))),"Fix")))</f>
        <v xml:space="preserve"> </v>
      </c>
      <c r="M16" s="4" t="str">
        <f ca="1">IF(OR(INDEX($AG$2:$AG$1001,MATCH(ROWS($AF$2:AF16),$AF$2:$AF$1001,0),1)&gt;=100000,INDEX($AM$1005:$BM$1005,1,MATCH(COLUMNS($AM$1006:AX1006),$AM$1006:$BM$1006,0))&gt;=100000), " ",IF(INDEX($AM$2:$BM$1001,MATCH(ROWS($AF$2:AF16),$AF$2:$AF$1001,0),MATCH(COLUMNS($AM$1006:AX1006),$AM$1006:$BM$1006,0)), HYPERLINK("#",""), HYPERLINK(CONCATENATE("#metadata!", ADDRESS(INDEX($AH$2:$AH$1001,MATCH(ROWS($AF$2:AF16),$AF$2:$AF$1001,0),0), INDEX($AM$1004:$BM$1004,1,MATCH(COLUMNS($AM$1006:AX1006),$AM$1006:$BM$1006,0)))),"Fix")))</f>
        <v xml:space="preserve"> </v>
      </c>
      <c r="N16" s="4" t="str">
        <f ca="1">IF(OR(INDEX($AG$2:$AG$1001,MATCH(ROWS($AF$2:AF16),$AF$2:$AF$1001,0),1)&gt;=100000,INDEX($AM$1005:$BM$1005,1,MATCH(COLUMNS($AM$1006:AY1006),$AM$1006:$BM$1006,0))&gt;=100000), " ",IF(INDEX($AM$2:$BM$1001,MATCH(ROWS($AF$2:AF16),$AF$2:$AF$1001,0),MATCH(COLUMNS($AM$1006:AY1006),$AM$1006:$BM$1006,0)), HYPERLINK("#",""), HYPERLINK(CONCATENATE("#metadata!", ADDRESS(INDEX($AH$2:$AH$1001,MATCH(ROWS($AF$2:AF16),$AF$2:$AF$1001,0),0), INDEX($AM$1004:$BM$1004,1,MATCH(COLUMNS($AM$1006:AY1006),$AM$1006:$BM$1006,0)))),"Fix")))</f>
        <v xml:space="preserve"> </v>
      </c>
      <c r="O16" s="4" t="str">
        <f ca="1">IF(OR(INDEX($AG$2:$AG$1001,MATCH(ROWS($AF$2:AF16),$AF$2:$AF$1001,0),1)&gt;=100000,INDEX($AM$1005:$BM$1005,1,MATCH(COLUMNS($AM$1006:AZ1006),$AM$1006:$BM$1006,0))&gt;=100000), " ",IF(INDEX($AM$2:$BM$1001,MATCH(ROWS($AF$2:AF16),$AF$2:$AF$1001,0),MATCH(COLUMNS($AM$1006:AZ1006),$AM$1006:$BM$1006,0)), HYPERLINK("#",""), HYPERLINK(CONCATENATE("#metadata!", ADDRESS(INDEX($AH$2:$AH$1001,MATCH(ROWS($AF$2:AF16),$AF$2:$AF$1001,0),0), INDEX($AM$1004:$BM$1004,1,MATCH(COLUMNS($AM$1006:AZ1006),$AM$1006:$BM$1006,0)))),"Fix")))</f>
        <v xml:space="preserve"> </v>
      </c>
      <c r="P16" s="4" t="str">
        <f ca="1">IF(OR(INDEX($AG$2:$AG$1001,MATCH(ROWS($AF$2:AF16),$AF$2:$AF$1001,0),1)&gt;=100000,INDEX($AM$1005:$BM$1005,1,MATCH(COLUMNS($AM$1006:BA1006),$AM$1006:$BM$1006,0))&gt;=100000), " ",IF(INDEX($AM$2:$BM$1001,MATCH(ROWS($AF$2:AF16),$AF$2:$AF$1001,0),MATCH(COLUMNS($AM$1006:BA1006),$AM$1006:$BM$1006,0)), HYPERLINK("#",""), HYPERLINK(CONCATENATE("#metadata!", ADDRESS(INDEX($AH$2:$AH$1001,MATCH(ROWS($AF$2:AF16),$AF$2:$AF$1001,0),0), INDEX($AM$1004:$BM$1004,1,MATCH(COLUMNS($AM$1006:BA1006),$AM$1006:$BM$1006,0)))),"Fix")))</f>
        <v xml:space="preserve"> </v>
      </c>
      <c r="Q16" s="4" t="str">
        <f ca="1">IF(OR(INDEX($AG$2:$AG$1001,MATCH(ROWS($AF$2:AF16),$AF$2:$AF$1001,0),1)&gt;=100000,INDEX($AM$1005:$BM$1005,1,MATCH(COLUMNS($AM$1006:BB1006),$AM$1006:$BM$1006,0))&gt;=100000), " ",IF(INDEX($AM$2:$BM$1001,MATCH(ROWS($AF$2:AF16),$AF$2:$AF$1001,0),MATCH(COLUMNS($AM$1006:BB1006),$AM$1006:$BM$1006,0)), HYPERLINK("#",""), HYPERLINK(CONCATENATE("#metadata!", ADDRESS(INDEX($AH$2:$AH$1001,MATCH(ROWS($AF$2:AF16),$AF$2:$AF$1001,0),0), INDEX($AM$1004:$BM$1004,1,MATCH(COLUMNS($AM$1006:BB1006),$AM$1006:$BM$1006,0)))),"Fix")))</f>
        <v xml:space="preserve"> </v>
      </c>
      <c r="R16" s="4" t="str">
        <f ca="1">IF(OR(INDEX($AG$2:$AG$1001,MATCH(ROWS($AF$2:AF16),$AF$2:$AF$1001,0),1)&gt;=100000,INDEX($AM$1005:$BM$1005,1,MATCH(COLUMNS($AM$1006:BC1006),$AM$1006:$BM$1006,0))&gt;=100000), " ",IF(INDEX($AM$2:$BM$1001,MATCH(ROWS($AF$2:AF16),$AF$2:$AF$1001,0),MATCH(COLUMNS($AM$1006:BC1006),$AM$1006:$BM$1006,0)), HYPERLINK("#",""), HYPERLINK(CONCATENATE("#metadata!", ADDRESS(INDEX($AH$2:$AH$1001,MATCH(ROWS($AF$2:AF16),$AF$2:$AF$1001,0),0), INDEX($AM$1004:$BM$1004,1,MATCH(COLUMNS($AM$1006:BC1006),$AM$1006:$BM$1006,0)))),"Fix")))</f>
        <v xml:space="preserve"> </v>
      </c>
      <c r="S16" s="4" t="str">
        <f ca="1">IF(OR(INDEX($AG$2:$AG$1001,MATCH(ROWS($AF$2:AF16),$AF$2:$AF$1001,0),1)&gt;=100000,INDEX($AM$1005:$BM$1005,1,MATCH(COLUMNS($AM$1006:BD1006),$AM$1006:$BM$1006,0))&gt;=100000), " ",IF(INDEX($AM$2:$BM$1001,MATCH(ROWS($AF$2:AF16),$AF$2:$AF$1001,0),MATCH(COLUMNS($AM$1006:BD1006),$AM$1006:$BM$1006,0)), HYPERLINK("#",""), HYPERLINK(CONCATENATE("#metadata!", ADDRESS(INDEX($AH$2:$AH$1001,MATCH(ROWS($AF$2:AF16),$AF$2:$AF$1001,0),0), INDEX($AM$1004:$BM$1004,1,MATCH(COLUMNS($AM$1006:BD1006),$AM$1006:$BM$1006,0)))),"Fix")))</f>
        <v xml:space="preserve"> </v>
      </c>
      <c r="T16" s="4" t="str">
        <f ca="1">IF(OR(INDEX($AG$2:$AG$1001,MATCH(ROWS($AF$2:AF16),$AF$2:$AF$1001,0),1)&gt;=100000,INDEX($AM$1005:$BM$1005,1,MATCH(COLUMNS($AM$1006:BE1006),$AM$1006:$BM$1006,0))&gt;=100000), " ",IF(INDEX($AM$2:$BM$1001,MATCH(ROWS($AF$2:AF16),$AF$2:$AF$1001,0),MATCH(COLUMNS($AM$1006:BE1006),$AM$1006:$BM$1006,0)), HYPERLINK("#",""), HYPERLINK(CONCATENATE("#metadata!", ADDRESS(INDEX($AH$2:$AH$1001,MATCH(ROWS($AF$2:AF16),$AF$2:$AF$1001,0),0), INDEX($AM$1004:$BM$1004,1,MATCH(COLUMNS($AM$1006:BE1006),$AM$1006:$BM$1006,0)))),"Fix")))</f>
        <v xml:space="preserve"> </v>
      </c>
      <c r="U16" s="4" t="str">
        <f ca="1">IF(OR(INDEX($AG$2:$AG$1001,MATCH(ROWS($AF$2:AF16),$AF$2:$AF$1001,0),1)&gt;=100000,INDEX($AM$1005:$BM$1005,1,MATCH(COLUMNS($AM$1006:BF1006),$AM$1006:$BM$1006,0))&gt;=100000), " ",IF(INDEX($AM$2:$BM$1001,MATCH(ROWS($AF$2:AF16),$AF$2:$AF$1001,0),MATCH(COLUMNS($AM$1006:BF1006),$AM$1006:$BM$1006,0)), HYPERLINK("#",""), HYPERLINK(CONCATENATE("#metadata!", ADDRESS(INDEX($AH$2:$AH$1001,MATCH(ROWS($AF$2:AF16),$AF$2:$AF$1001,0),0), INDEX($AM$1004:$BM$1004,1,MATCH(COLUMNS($AM$1006:BF1006),$AM$1006:$BM$1006,0)))),"Fix")))</f>
        <v xml:space="preserve"> </v>
      </c>
      <c r="V16" s="4" t="str">
        <f ca="1">IF(OR(INDEX($AG$2:$AG$1001,MATCH(ROWS($AF$2:AF16),$AF$2:$AF$1001,0),1)&gt;=100000,INDEX($AM$1005:$BM$1005,1,MATCH(COLUMNS($AM$1006:BG1006),$AM$1006:$BM$1006,0))&gt;=100000), " ",IF(INDEX($AM$2:$BM$1001,MATCH(ROWS($AF$2:AF16),$AF$2:$AF$1001,0),MATCH(COLUMNS($AM$1006:BG1006),$AM$1006:$BM$1006,0)), HYPERLINK("#",""), HYPERLINK(CONCATENATE("#metadata!", ADDRESS(INDEX($AH$2:$AH$1001,MATCH(ROWS($AF$2:AF16),$AF$2:$AF$1001,0),0), INDEX($AM$1004:$BM$1004,1,MATCH(COLUMNS($AM$1006:BG1006),$AM$1006:$BM$1006,0)))),"Fix")))</f>
        <v xml:space="preserve"> </v>
      </c>
      <c r="W16" s="4" t="str">
        <f ca="1">IF(OR(INDEX($AG$2:$AG$1001,MATCH(ROWS($AF$2:AF16),$AF$2:$AF$1001,0),1)&gt;=100000,INDEX($AM$1005:$BM$1005,1,MATCH(COLUMNS($AM$1006:BH1006),$AM$1006:$BM$1006,0))&gt;=100000), " ",IF(INDEX($AM$2:$BM$1001,MATCH(ROWS($AF$2:AF16),$AF$2:$AF$1001,0),MATCH(COLUMNS($AM$1006:BH1006),$AM$1006:$BM$1006,0)), HYPERLINK("#",""), HYPERLINK(CONCATENATE("#metadata!", ADDRESS(INDEX($AH$2:$AH$1001,MATCH(ROWS($AF$2:AF16),$AF$2:$AF$1001,0),0), INDEX($AM$1004:$BM$1004,1,MATCH(COLUMNS($AM$1006:BH1006),$AM$1006:$BM$1006,0)))),"Fix")))</f>
        <v xml:space="preserve"> </v>
      </c>
      <c r="X16" s="4" t="str">
        <f ca="1">IF(OR(INDEX($AG$2:$AG$1001,MATCH(ROWS($AF$2:AF16),$AF$2:$AF$1001,0),1)&gt;=100000,INDEX($AM$1005:$BM$1005,1,MATCH(COLUMNS($AM$1006:BI1006),$AM$1006:$BM$1006,0))&gt;=100000), " ",IF(INDEX($AM$2:$BM$1001,MATCH(ROWS($AF$2:AF16),$AF$2:$AF$1001,0),MATCH(COLUMNS($AM$1006:BI1006),$AM$1006:$BM$1006,0)), HYPERLINK("#",""), HYPERLINK(CONCATENATE("#metadata!", ADDRESS(INDEX($AH$2:$AH$1001,MATCH(ROWS($AF$2:AF16),$AF$2:$AF$1001,0),0), INDEX($AM$1004:$BM$1004,1,MATCH(COLUMNS($AM$1006:BI1006),$AM$1006:$BM$1006,0)))),"Fix")))</f>
        <v xml:space="preserve"> </v>
      </c>
      <c r="Y16" s="4" t="str">
        <f ca="1">IF(OR(INDEX($AG$2:$AG$1001,MATCH(ROWS($AF$2:AF16),$AF$2:$AF$1001,0),1)&gt;=100000,INDEX($AM$1005:$BM$1005,1,MATCH(COLUMNS($AM$1006:BJ1006),$AM$1006:$BM$1006,0))&gt;=100000), " ",IF(INDEX($AM$2:$BM$1001,MATCH(ROWS($AF$2:AF16),$AF$2:$AF$1001,0),MATCH(COLUMNS($AM$1006:BJ1006),$AM$1006:$BM$1006,0)), HYPERLINK("#",""), HYPERLINK(CONCATENATE("#metadata!", ADDRESS(INDEX($AH$2:$AH$1001,MATCH(ROWS($AF$2:AF16),$AF$2:$AF$1001,0),0), INDEX($AM$1004:$BM$1004,1,MATCH(COLUMNS($AM$1006:BJ1006),$AM$1006:$BM$1006,0)))),"Fix")))</f>
        <v xml:space="preserve"> </v>
      </c>
      <c r="Z16" s="4" t="str">
        <f ca="1">IF(OR(INDEX($AG$2:$AG$1001,MATCH(ROWS($AF$2:AF16),$AF$2:$AF$1001,0),1)&gt;=100000,INDEX($AM$1005:$BM$1005,1,MATCH(COLUMNS($AM$1006:BK1006),$AM$1006:$BM$1006,0))&gt;=100000), " ",IF(INDEX($AM$2:$BM$1001,MATCH(ROWS($AF$2:AF16),$AF$2:$AF$1001,0),MATCH(COLUMNS($AM$1006:BK1006),$AM$1006:$BM$1006,0)), HYPERLINK("#",""), HYPERLINK(CONCATENATE("#metadata!", ADDRESS(INDEX($AH$2:$AH$1001,MATCH(ROWS($AF$2:AF16),$AF$2:$AF$1001,0),0), INDEX($AM$1004:$BM$1004,1,MATCH(COLUMNS($AM$1006:BK1006),$AM$1006:$BM$1006,0)))),"Fix")))</f>
        <v xml:space="preserve"> </v>
      </c>
      <c r="AA16" s="4" t="str">
        <f ca="1">IF(OR(INDEX($AG$2:$AG$1001,MATCH(ROWS($AF$2:AF16),$AF$2:$AF$1001,0),1)&gt;=100000,INDEX($AM$1005:$BM$1005,1,MATCH(COLUMNS($AM$1006:BL1006),$AM$1006:$BM$1006,0))&gt;=100000), " ",IF(INDEX($AM$2:$BM$1001,MATCH(ROWS($AF$2:AF16),$AF$2:$AF$1001,0),MATCH(COLUMNS($AM$1006:BL1006),$AM$1006:$BM$1006,0)), HYPERLINK("#",""), HYPERLINK(CONCATENATE("#metadata!", ADDRESS(INDEX($AH$2:$AH$1001,MATCH(ROWS($AF$2:AF16),$AF$2:$AF$1001,0),0), INDEX($AM$1004:$BM$1004,1,MATCH(COLUMNS($AM$1006:BL1006),$AM$1006:$BM$1006,0)))),"Fix")))</f>
        <v xml:space="preserve"> </v>
      </c>
      <c r="AB16" s="4" t="str">
        <f ca="1">IF(OR(INDEX($AG$2:$AG$1001,MATCH(ROWS($AF$2:AF16),$AF$2:$AF$1001,0),1)&gt;=100000,INDEX($AM$1005:$BM$1005,1,MATCH(COLUMNS($AM$1006:BM1006),$AM$1006:$BM$1006,0))&gt;=100000), " ",IF(INDEX($AM$2:$BM$1001,MATCH(ROWS($AF$2:AF16),$AF$2:$AF$1001,0),MATCH(COLUMNS($AM$1006:BM1006),$AM$1006:$BM$1006,0)), HYPERLINK("#",""), HYPERLINK(CONCATENATE("#metadata!", ADDRESS(INDEX($AH$2:$AH$1001,MATCH(ROWS($AF$2:AF16),$AF$2:$AF$1001,0),0), INDEX($AM$1004:$BM$1004,1,MATCH(COLUMNS($AM$1006:BM1006),$AM$1006:$BM$1006,0)))),"Fix")))</f>
        <v xml:space="preserve"> </v>
      </c>
      <c r="AF16">
        <v>15</v>
      </c>
      <c r="AG16">
        <v>100016</v>
      </c>
      <c r="AH16">
        <v>16</v>
      </c>
      <c r="AI16" t="b">
        <f t="shared" si="0"/>
        <v>1</v>
      </c>
      <c r="AJ16" t="b">
        <f>COUNTBLANK(metadata!B16:AB16)=COLUMNS(metadata!B16:AB16)</f>
        <v>1</v>
      </c>
      <c r="AK16" t="str">
        <v/>
      </c>
      <c r="AM16" t="b">
        <f ca="1">AND(IF(metadata!B16="",FALSE,TRUE),COUNTIF(metadata!B:B, metadata!B16) = 1,NOT(ISERROR(SUMPRODUCT(SEARCH(MID(metadata!B16,ROW(INDIRECT("1:"&amp;LEN(metadata!B16))), 1),"0123456789abcdefghijklmnopqrstuvwxyzABCDEFGHIJKLMNOPQRSTUVWXYZ.")))))</f>
        <v>0</v>
      </c>
      <c r="AN16" t="b">
        <f ca="1">OR(AND(IF(metadata!C16="",FALSE,TRUE),OR(EXACT(metadata!C16,"missing: not collected"),EXACT(metadata!C16,"missing: not provided"),EXACT(metadata!C16,"missing: restricted access"))),AND(IF(metadata!C16="",FALSE,TRUE),AND(AND(IFERROR(INT(LEFT(metadata!C16,4))&gt;1900,FALSE),IFERROR(INT(LEFT(metadata!C16,4))&lt;=YEAR(NOW()),FALSE)), OR(MID(metadata!C16,5,1)="", AND(AND(MID(metadata!C16,5,1)="-",IFERROR(INT(MID(metadata!C16,6,1))&gt;=0,FALSE),IFERROR(INT(MID(metadata!C16,6,1))&lt;=1,FALSE),NOT(MID(metadata!C16,7,1)=""),IFERROR(INT(MID(metadata!C16,6,2))&gt;=1,FALSE),IFERROR(INT(MID(metadata!C16,6,2))&lt;=12,FALSE)), OR(MID(metadata!C16,8,1)="", AND(AND(MID(metadata!C16,8,1)="-",IFERROR(INT(MID(metadata!C16,9,1))&gt;=0,FALSE),IFERROR(INT(MID(metadata!C16,9,1))&lt;=3,FALSE),NOT(MID(metadata!C16,10,1)=""),IFERROR(INT(MID(metadata!C16,9,2))&gt;=1,FALSE),IFERROR(INT(MID(metadata!C16,9,2))&lt;=31,FALSE)), OR(MID(metadata!C16,11,1)="", AND(AND(MID(metadata!C16,11,1)=" ",IFERROR(INT(MID(metadata!C16,12,1))&gt;=0,FALSE),IFERROR(INT(MID(metadata!C16,12,1))&lt;=2,FALSE),NOT(MID(metadata!C16,13,1)=""),IFERROR(INT(MID(metadata!C16,12,2))&gt;=0,FALSE),IFERROR(INT(MID(metadata!C16,12,2))&lt;=23,FALSE)), OR(MID(metadata!C16,14,1)="", AND(AND(MID(metadata!C16,14,1)=":",IFERROR(INT(MID(metadata!C16,15,1))&gt;=0,FALSE),IFERROR(INT(MID(metadata!C16,15,1))&lt;=5,FALSE),NOT(MID(metadata!C16,16,1)=""),IFERROR(INT(MID(metadata!C16,15,2))&gt;=0,FALSE),IFERROR(INT(MID(metadata!C16,15,2))&lt;=59,FALSE)), OR(MID(metadata!C16,17,1)="", AND(AND(MID(metadata!C16,17,1)=":",IFERROR(INT(MID(metadata!C16,18,1))&gt;=0,FALSE),IFERROR(INT(MID(metadata!C16,18,1))&lt;=5,FALSE),NOT(MID(metadata!C16,19,1)=""),IFERROR(INT(MID(metadata!C16,18,2))&gt;=0,FALSE),IFERROR(INT(MID(metadata!C16,18,2))&lt;=59,FALSE)), LEN(metadata!C16)&lt;=19)))))))))))))</f>
        <v>0</v>
      </c>
      <c r="AO16" t="b">
        <f>AND(IF(metadata!D16="",FALSE,TRUE),EXACT(metadata!D16,"Not applicable"))</f>
        <v>0</v>
      </c>
      <c r="AP16" t="b">
        <f>IF(metadata!E16="",FALSE,TRUE)</f>
        <v>0</v>
      </c>
      <c r="AQ16" t="b">
        <f>OR(AND(IF(metadata!F16="",FALSE,TRUE),OR(EXACT(metadata!F16,"missing: not collected"),EXACT(metadata!F16,"missing: not provided"))),AND(IF(metadata!F16="",FALSE,TRUE),OR(EXACT(metadata!F16,"TRUE"),EXACT(metadata!F16,"FALSE"))))</f>
        <v>0</v>
      </c>
      <c r="AR16" t="b">
        <f>OR(AND(IF(metadata!G16="",FALSE,TRUE),OR(EXACT(metadata!G16,"missing: not collected"),EXACT(metadata!G16,"missing: not provided"),EXACT(metadata!G16,"missing: restricted access"))),AND(IF(metadata!G16="",FALSE,ISNUMBER(VALUE(metadata!G16))),metadata!G16&gt;=-413))</f>
        <v>0</v>
      </c>
      <c r="AS16" t="b">
        <f>AND(IF(metadata!H16="",FALSE,TRUE),EXACT(metadata!H16,"meters"))</f>
        <v>0</v>
      </c>
      <c r="AT16" t="b">
        <f>AND(IF(metadata!I16="",FALSE,TRUE),OR(EXACT(metadata!I16,"Host-associated"),EXACT(metadata!I16,"Free-living")))</f>
        <v>0</v>
      </c>
      <c r="AU16" t="b">
        <f>AND(IF(metadata!J16="",FALSE,TRUE),OR(EXACT(metadata!J16,"Animal"),EXACT(metadata!J16,"Fungus"),EXACT(metadata!J16,"Plant"),EXACT(metadata!J16,"Saline"),EXACT(metadata!J16,"Non-saline")))</f>
        <v>0</v>
      </c>
      <c r="AV16" t="b">
        <f>AND(IF(metadata!K16="",FALSE,TRUE),OR(EXACT(metadata!K16,"Plant secretion"),EXACT(metadata!K16,"Plant rhizosphere"),EXACT(metadata!K16,"Plant surface"),EXACT(metadata!K16,"Plant corpus"),EXACT(metadata!K16,"Fungus surface"),EXACT(metadata!K16,"Fungus corpus"),EXACT(metadata!K16,"Animal surface"),EXACT(metadata!K16,"Animal proximal gut"),EXACT(metadata!K16,"Animal corpus"),EXACT(metadata!K16,"Animal distal gut"),EXACT(metadata!K16,"Animal secretion"),EXACT(metadata!K16,"Sub-surface (non-saline)"),EXACT(metadata!K16,"Surface (non-saline)"),EXACT(metadata!K16,"Water (non-saline)"),EXACT(metadata!K16,"Soil (non-saline)"),EXACT(metadata!K16,"Aerosol (non-saline)"),EXACT(metadata!K16,"Sediment (non-saline)"),EXACT(metadata!K16,"Surface (saline)"),EXACT(metadata!K16,"Water (saline)"),EXACT(metadata!K16,"Hypersaline (saline)"),EXACT(metadata!K16,"Aerosol (saline)"),EXACT(metadata!K16,"Sediment (saline)")))</f>
        <v>0</v>
      </c>
      <c r="AW16" t="b">
        <f>IF(metadata!L16="",FALSE,TRUE)</f>
        <v>0</v>
      </c>
      <c r="AX16" t="b">
        <f>IF(metadata!M16="",FALSE,TRUE)</f>
        <v>0</v>
      </c>
      <c r="AY16" t="b">
        <f>IF(metadata!N16="",FALSE,TRUE)</f>
        <v>0</v>
      </c>
      <c r="AZ16" t="b">
        <f>OR(AND(IF(metadata!O16="",FALSE,TRUE),OR(EXACT(metadata!O16,"missing: not collected"),EXACT(metadata!O16,"missing: not provided"),EXACT(metadata!O16,"missing: restricted access"))),AND(IF(metadata!O16="",FALSE,TRUE),OR(EXACT(metadata!O16,"air"),EXACT(metadata!O16,"built environment"),EXACT(metadata!O16,"host-associated"),EXACT(metadata!O16,"human-associated"),EXACT(metadata!O16,"human-skin"),EXACT(metadata!O16,"human-oral"),EXACT(metadata!O16,"human-gut"),EXACT(metadata!O16,"human-vaginal"),EXACT(metadata!O16,"microbial mat/biofilm"),EXACT(metadata!O16,"misc environment"),EXACT(metadata!O16,"plant-associated"),EXACT(metadata!O16,"sediment"),EXACT(metadata!O16,"soil"),EXACT(metadata!O16,"wastewater/sludge"),EXACT(metadata!O16,"water"))))</f>
        <v>0</v>
      </c>
      <c r="BA16" t="b">
        <f>IF(metadata!P16="",FALSE,TRUE)</f>
        <v>0</v>
      </c>
      <c r="BB16" t="b">
        <f>IF(metadata!Q16="",FALSE,TRUE)</f>
        <v>0</v>
      </c>
      <c r="BC16" t="b">
        <f>OR(AND(IF(metadata!R16="",FALSE,TRUE),OR(EXACT(metadata!R16,"missing: not collected"),EXACT(metadata!R16,"missing: not provided"),EXACT(metadata!R16,"missing: restricted access"))),AND(IF(metadata!R16="",FALSE,ISNUMBER(VALUE(metadata!R16))),metadata!R16&gt;=-90,metadata!R16&lt;=90))</f>
        <v>0</v>
      </c>
      <c r="BD16" t="b">
        <f>AND(IF(metadata!S16="",FALSE,TRUE),EXACT(metadata!S16,"Decimal degrees"))</f>
        <v>0</v>
      </c>
      <c r="BE16" t="b">
        <f>OR(AND(IF(metadata!T16="",FALSE,TRUE),OR(EXACT(metadata!T16,"missing: not collected"),EXACT(metadata!T16,"missing: not provided"),EXACT(metadata!T16,"missing: restricted access"))),AND(IF(metadata!T16="",FALSE,ISNUMBER(VALUE(metadata!T16))),metadata!T16&gt;=-180,metadata!T16&lt;=180))</f>
        <v>0</v>
      </c>
      <c r="BF16" t="b">
        <f>AND(IF(metadata!U16="",FALSE,TRUE),EXACT(metadata!U16,"Decimal degrees"))</f>
        <v>0</v>
      </c>
      <c r="BG16" t="b">
        <f>IF(metadata!V16="",FALSE,TRUE)</f>
        <v>0</v>
      </c>
      <c r="BH16" t="b">
        <f>OR(AND(IF(metadata!W16="",FALSE,TRUE),OR(EXACT(metadata!W16,"missing: not collected"),EXACT(metadata!W16,"missing: not provided"),EXACT(metadata!W16,"missing: restricted access"))),AND(IF(metadata!W16="",FALSE,TRUE),OR(EXACT(metadata!W16,"TRUE"),EXACT(metadata!W16,"FALSE"))))</f>
        <v>0</v>
      </c>
      <c r="BI16" t="b">
        <f>AND(IF(metadata!X16="",FALSE,TRUE),EXACT(metadata!X16,"other"))</f>
        <v>0</v>
      </c>
      <c r="BJ16" t="b">
        <f>IF(metadata!Y16="",FALSE,TRUE)</f>
        <v>0</v>
      </c>
      <c r="BK16" t="b">
        <f>OR(AND(IF(metadata!Z16="",FALSE,TRUE),OR(EXACT(metadata!Z16,"missing: not collected"),EXACT(metadata!Z16,"missing: not provided"))),AND(IF(metadata!Z16="",FALSE,IF(ISERROR(INT(metadata!Z16)),FALSE,INT(metadata!Z16)=metadata!Z16)),metadata!Z16&gt;0))</f>
        <v>0</v>
      </c>
      <c r="BL16" t="b">
        <f>AND(IF(metadata!AA16="",FALSE,TRUE),EXACT(metadata!AA16,"Not applicable"))</f>
        <v>0</v>
      </c>
      <c r="BM16" t="b">
        <f>IF(metadata!AB16="",FALSE,TRUE)</f>
        <v>0</v>
      </c>
    </row>
    <row r="17" spans="1:65" x14ac:dyDescent="0.2">
      <c r="A17" s="5" t="str">
        <f ca="1">IF(B17=" "," ",HYPERLINK(CONCATENATE("#metadata!",ADDRESS(INDEX($AH$2:$AH$1001,MATCH(ROWS($AF$2:AF17),$AF$2:$AF$1001,0),0),1)),INDEX($AK$2:$AK$1001,MATCH(ROWS($AF$2:AF17),$AF$2:$AF$1001,0),0)))</f>
        <v xml:space="preserve"> </v>
      </c>
      <c r="B17" s="4" t="str">
        <f ca="1">IF(OR(INDEX($AG$2:$AG$1001,MATCH(ROWS($AF$2:AF17),$AF$2:$AF$1001,0),1)&gt;=100000,INDEX($AM$1005:$BM$1005,1,MATCH(COLUMNS($AM$1006:AM1006),$AM$1006:$BM$1006,0))&gt;=100000), " ",IF(INDEX($AM$2:$BM$1001,MATCH(ROWS($AF$2:AF17),$AF$2:$AF$1001,0),MATCH(COLUMNS($AM$1006:AM1006),$AM$1006:$BM$1006,0)), HYPERLINK("#",""), HYPERLINK(CONCATENATE("#metadata!", ADDRESS(INDEX($AH$2:$AH$1001,MATCH(ROWS($AF$2:AF17),$AF$2:$AF$1001,0),0), INDEX($AM$1004:$BM$1004,1,MATCH(COLUMNS($AM$1006:AM1006),$AM$1006:$BM$1006,0)))),"Fix")))</f>
        <v xml:space="preserve"> </v>
      </c>
      <c r="C17" s="4" t="str">
        <f ca="1">IF(OR(INDEX($AG$2:$AG$1001,MATCH(ROWS($AF$2:AF17),$AF$2:$AF$1001,0),1)&gt;=100000,INDEX($AM$1005:$BM$1005,1,MATCH(COLUMNS($AM$1006:AN1006),$AM$1006:$BM$1006,0))&gt;=100000), " ",IF(INDEX($AM$2:$BM$1001,MATCH(ROWS($AF$2:AF17),$AF$2:$AF$1001,0),MATCH(COLUMNS($AM$1006:AN1006),$AM$1006:$BM$1006,0)), HYPERLINK("#",""), HYPERLINK(CONCATENATE("#metadata!", ADDRESS(INDEX($AH$2:$AH$1001,MATCH(ROWS($AF$2:AF17),$AF$2:$AF$1001,0),0), INDEX($AM$1004:$BM$1004,1,MATCH(COLUMNS($AM$1006:AN1006),$AM$1006:$BM$1006,0)))),"Fix")))</f>
        <v xml:space="preserve"> </v>
      </c>
      <c r="D17" s="4" t="str">
        <f ca="1">IF(OR(INDEX($AG$2:$AG$1001,MATCH(ROWS($AF$2:AF17),$AF$2:$AF$1001,0),1)&gt;=100000,INDEX($AM$1005:$BM$1005,1,MATCH(COLUMNS($AM$1006:AO1006),$AM$1006:$BM$1006,0))&gt;=100000), " ",IF(INDEX($AM$2:$BM$1001,MATCH(ROWS($AF$2:AF17),$AF$2:$AF$1001,0),MATCH(COLUMNS($AM$1006:AO1006),$AM$1006:$BM$1006,0)), HYPERLINK("#",""), HYPERLINK(CONCATENATE("#metadata!", ADDRESS(INDEX($AH$2:$AH$1001,MATCH(ROWS($AF$2:AF17),$AF$2:$AF$1001,0),0), INDEX($AM$1004:$BM$1004,1,MATCH(COLUMNS($AM$1006:AO1006),$AM$1006:$BM$1006,0)))),"Fix")))</f>
        <v xml:space="preserve"> </v>
      </c>
      <c r="E17" s="4" t="str">
        <f ca="1">IF(OR(INDEX($AG$2:$AG$1001,MATCH(ROWS($AF$2:AF17),$AF$2:$AF$1001,0),1)&gt;=100000,INDEX($AM$1005:$BM$1005,1,MATCH(COLUMNS($AM$1006:AP1006),$AM$1006:$BM$1006,0))&gt;=100000), " ",IF(INDEX($AM$2:$BM$1001,MATCH(ROWS($AF$2:AF17),$AF$2:$AF$1001,0),MATCH(COLUMNS($AM$1006:AP1006),$AM$1006:$BM$1006,0)), HYPERLINK("#",""), HYPERLINK(CONCATENATE("#metadata!", ADDRESS(INDEX($AH$2:$AH$1001,MATCH(ROWS($AF$2:AF17),$AF$2:$AF$1001,0),0), INDEX($AM$1004:$BM$1004,1,MATCH(COLUMNS($AM$1006:AP1006),$AM$1006:$BM$1006,0)))),"Fix")))</f>
        <v xml:space="preserve"> </v>
      </c>
      <c r="F17" s="4" t="str">
        <f ca="1">IF(OR(INDEX($AG$2:$AG$1001,MATCH(ROWS($AF$2:AF17),$AF$2:$AF$1001,0),1)&gt;=100000,INDEX($AM$1005:$BM$1005,1,MATCH(COLUMNS($AM$1006:AQ1006),$AM$1006:$BM$1006,0))&gt;=100000), " ",IF(INDEX($AM$2:$BM$1001,MATCH(ROWS($AF$2:AF17),$AF$2:$AF$1001,0),MATCH(COLUMNS($AM$1006:AQ1006),$AM$1006:$BM$1006,0)), HYPERLINK("#",""), HYPERLINK(CONCATENATE("#metadata!", ADDRESS(INDEX($AH$2:$AH$1001,MATCH(ROWS($AF$2:AF17),$AF$2:$AF$1001,0),0), INDEX($AM$1004:$BM$1004,1,MATCH(COLUMNS($AM$1006:AQ1006),$AM$1006:$BM$1006,0)))),"Fix")))</f>
        <v xml:space="preserve"> </v>
      </c>
      <c r="G17" s="4" t="str">
        <f ca="1">IF(OR(INDEX($AG$2:$AG$1001,MATCH(ROWS($AF$2:AF17),$AF$2:$AF$1001,0),1)&gt;=100000,INDEX($AM$1005:$BM$1005,1,MATCH(COLUMNS($AM$1006:AR1006),$AM$1006:$BM$1006,0))&gt;=100000), " ",IF(INDEX($AM$2:$BM$1001,MATCH(ROWS($AF$2:AF17),$AF$2:$AF$1001,0),MATCH(COLUMNS($AM$1006:AR1006),$AM$1006:$BM$1006,0)), HYPERLINK("#",""), HYPERLINK(CONCATENATE("#metadata!", ADDRESS(INDEX($AH$2:$AH$1001,MATCH(ROWS($AF$2:AF17),$AF$2:$AF$1001,0),0), INDEX($AM$1004:$BM$1004,1,MATCH(COLUMNS($AM$1006:AR1006),$AM$1006:$BM$1006,0)))),"Fix")))</f>
        <v xml:space="preserve"> </v>
      </c>
      <c r="H17" s="4" t="str">
        <f ca="1">IF(OR(INDEX($AG$2:$AG$1001,MATCH(ROWS($AF$2:AF17),$AF$2:$AF$1001,0),1)&gt;=100000,INDEX($AM$1005:$BM$1005,1,MATCH(COLUMNS($AM$1006:AS1006),$AM$1006:$BM$1006,0))&gt;=100000), " ",IF(INDEX($AM$2:$BM$1001,MATCH(ROWS($AF$2:AF17),$AF$2:$AF$1001,0),MATCH(COLUMNS($AM$1006:AS1006),$AM$1006:$BM$1006,0)), HYPERLINK("#",""), HYPERLINK(CONCATENATE("#metadata!", ADDRESS(INDEX($AH$2:$AH$1001,MATCH(ROWS($AF$2:AF17),$AF$2:$AF$1001,0),0), INDEX($AM$1004:$BM$1004,1,MATCH(COLUMNS($AM$1006:AS1006),$AM$1006:$BM$1006,0)))),"Fix")))</f>
        <v xml:space="preserve"> </v>
      </c>
      <c r="I17" s="4" t="str">
        <f ca="1">IF(OR(INDEX($AG$2:$AG$1001,MATCH(ROWS($AF$2:AF17),$AF$2:$AF$1001,0),1)&gt;=100000,INDEX($AM$1005:$BM$1005,1,MATCH(COLUMNS($AM$1006:AT1006),$AM$1006:$BM$1006,0))&gt;=100000), " ",IF(INDEX($AM$2:$BM$1001,MATCH(ROWS($AF$2:AF17),$AF$2:$AF$1001,0),MATCH(COLUMNS($AM$1006:AT1006),$AM$1006:$BM$1006,0)), HYPERLINK("#",""), HYPERLINK(CONCATENATE("#metadata!", ADDRESS(INDEX($AH$2:$AH$1001,MATCH(ROWS($AF$2:AF17),$AF$2:$AF$1001,0),0), INDEX($AM$1004:$BM$1004,1,MATCH(COLUMNS($AM$1006:AT1006),$AM$1006:$BM$1006,0)))),"Fix")))</f>
        <v xml:space="preserve"> </v>
      </c>
      <c r="J17" s="4" t="str">
        <f ca="1">IF(OR(INDEX($AG$2:$AG$1001,MATCH(ROWS($AF$2:AF17),$AF$2:$AF$1001,0),1)&gt;=100000,INDEX($AM$1005:$BM$1005,1,MATCH(COLUMNS($AM$1006:AU1006),$AM$1006:$BM$1006,0))&gt;=100000), " ",IF(INDEX($AM$2:$BM$1001,MATCH(ROWS($AF$2:AF17),$AF$2:$AF$1001,0),MATCH(COLUMNS($AM$1006:AU1006),$AM$1006:$BM$1006,0)), HYPERLINK("#",""), HYPERLINK(CONCATENATE("#metadata!", ADDRESS(INDEX($AH$2:$AH$1001,MATCH(ROWS($AF$2:AF17),$AF$2:$AF$1001,0),0), INDEX($AM$1004:$BM$1004,1,MATCH(COLUMNS($AM$1006:AU1006),$AM$1006:$BM$1006,0)))),"Fix")))</f>
        <v xml:space="preserve"> </v>
      </c>
      <c r="K17" s="4" t="str">
        <f ca="1">IF(OR(INDEX($AG$2:$AG$1001,MATCH(ROWS($AF$2:AF17),$AF$2:$AF$1001,0),1)&gt;=100000,INDEX($AM$1005:$BM$1005,1,MATCH(COLUMNS($AM$1006:AV1006),$AM$1006:$BM$1006,0))&gt;=100000), " ",IF(INDEX($AM$2:$BM$1001,MATCH(ROWS($AF$2:AF17),$AF$2:$AF$1001,0),MATCH(COLUMNS($AM$1006:AV1006),$AM$1006:$BM$1006,0)), HYPERLINK("#",""), HYPERLINK(CONCATENATE("#metadata!", ADDRESS(INDEX($AH$2:$AH$1001,MATCH(ROWS($AF$2:AF17),$AF$2:$AF$1001,0),0), INDEX($AM$1004:$BM$1004,1,MATCH(COLUMNS($AM$1006:AV1006),$AM$1006:$BM$1006,0)))),"Fix")))</f>
        <v xml:space="preserve"> </v>
      </c>
      <c r="L17" s="4" t="str">
        <f ca="1">IF(OR(INDEX($AG$2:$AG$1001,MATCH(ROWS($AF$2:AF17),$AF$2:$AF$1001,0),1)&gt;=100000,INDEX($AM$1005:$BM$1005,1,MATCH(COLUMNS($AM$1006:AW1006),$AM$1006:$BM$1006,0))&gt;=100000), " ",IF(INDEX($AM$2:$BM$1001,MATCH(ROWS($AF$2:AF17),$AF$2:$AF$1001,0),MATCH(COLUMNS($AM$1006:AW1006),$AM$1006:$BM$1006,0)), HYPERLINK("#",""), HYPERLINK(CONCATENATE("#metadata!", ADDRESS(INDEX($AH$2:$AH$1001,MATCH(ROWS($AF$2:AF17),$AF$2:$AF$1001,0),0), INDEX($AM$1004:$BM$1004,1,MATCH(COLUMNS($AM$1006:AW1006),$AM$1006:$BM$1006,0)))),"Fix")))</f>
        <v xml:space="preserve"> </v>
      </c>
      <c r="M17" s="4" t="str">
        <f ca="1">IF(OR(INDEX($AG$2:$AG$1001,MATCH(ROWS($AF$2:AF17),$AF$2:$AF$1001,0),1)&gt;=100000,INDEX($AM$1005:$BM$1005,1,MATCH(COLUMNS($AM$1006:AX1006),$AM$1006:$BM$1006,0))&gt;=100000), " ",IF(INDEX($AM$2:$BM$1001,MATCH(ROWS($AF$2:AF17),$AF$2:$AF$1001,0),MATCH(COLUMNS($AM$1006:AX1006),$AM$1006:$BM$1006,0)), HYPERLINK("#",""), HYPERLINK(CONCATENATE("#metadata!", ADDRESS(INDEX($AH$2:$AH$1001,MATCH(ROWS($AF$2:AF17),$AF$2:$AF$1001,0),0), INDEX($AM$1004:$BM$1004,1,MATCH(COLUMNS($AM$1006:AX1006),$AM$1006:$BM$1006,0)))),"Fix")))</f>
        <v xml:space="preserve"> </v>
      </c>
      <c r="N17" s="4" t="str">
        <f ca="1">IF(OR(INDEX($AG$2:$AG$1001,MATCH(ROWS($AF$2:AF17),$AF$2:$AF$1001,0),1)&gt;=100000,INDEX($AM$1005:$BM$1005,1,MATCH(COLUMNS($AM$1006:AY1006),$AM$1006:$BM$1006,0))&gt;=100000), " ",IF(INDEX($AM$2:$BM$1001,MATCH(ROWS($AF$2:AF17),$AF$2:$AF$1001,0),MATCH(COLUMNS($AM$1006:AY1006),$AM$1006:$BM$1006,0)), HYPERLINK("#",""), HYPERLINK(CONCATENATE("#metadata!", ADDRESS(INDEX($AH$2:$AH$1001,MATCH(ROWS($AF$2:AF17),$AF$2:$AF$1001,0),0), INDEX($AM$1004:$BM$1004,1,MATCH(COLUMNS($AM$1006:AY1006),$AM$1006:$BM$1006,0)))),"Fix")))</f>
        <v xml:space="preserve"> </v>
      </c>
      <c r="O17" s="4" t="str">
        <f ca="1">IF(OR(INDEX($AG$2:$AG$1001,MATCH(ROWS($AF$2:AF17),$AF$2:$AF$1001,0),1)&gt;=100000,INDEX($AM$1005:$BM$1005,1,MATCH(COLUMNS($AM$1006:AZ1006),$AM$1006:$BM$1006,0))&gt;=100000), " ",IF(INDEX($AM$2:$BM$1001,MATCH(ROWS($AF$2:AF17),$AF$2:$AF$1001,0),MATCH(COLUMNS($AM$1006:AZ1006),$AM$1006:$BM$1006,0)), HYPERLINK("#",""), HYPERLINK(CONCATENATE("#metadata!", ADDRESS(INDEX($AH$2:$AH$1001,MATCH(ROWS($AF$2:AF17),$AF$2:$AF$1001,0),0), INDEX($AM$1004:$BM$1004,1,MATCH(COLUMNS($AM$1006:AZ1006),$AM$1006:$BM$1006,0)))),"Fix")))</f>
        <v xml:space="preserve"> </v>
      </c>
      <c r="P17" s="4" t="str">
        <f ca="1">IF(OR(INDEX($AG$2:$AG$1001,MATCH(ROWS($AF$2:AF17),$AF$2:$AF$1001,0),1)&gt;=100000,INDEX($AM$1005:$BM$1005,1,MATCH(COLUMNS($AM$1006:BA1006),$AM$1006:$BM$1006,0))&gt;=100000), " ",IF(INDEX($AM$2:$BM$1001,MATCH(ROWS($AF$2:AF17),$AF$2:$AF$1001,0),MATCH(COLUMNS($AM$1006:BA1006),$AM$1006:$BM$1006,0)), HYPERLINK("#",""), HYPERLINK(CONCATENATE("#metadata!", ADDRESS(INDEX($AH$2:$AH$1001,MATCH(ROWS($AF$2:AF17),$AF$2:$AF$1001,0),0), INDEX($AM$1004:$BM$1004,1,MATCH(COLUMNS($AM$1006:BA1006),$AM$1006:$BM$1006,0)))),"Fix")))</f>
        <v xml:space="preserve"> </v>
      </c>
      <c r="Q17" s="4" t="str">
        <f ca="1">IF(OR(INDEX($AG$2:$AG$1001,MATCH(ROWS($AF$2:AF17),$AF$2:$AF$1001,0),1)&gt;=100000,INDEX($AM$1005:$BM$1005,1,MATCH(COLUMNS($AM$1006:BB1006),$AM$1006:$BM$1006,0))&gt;=100000), " ",IF(INDEX($AM$2:$BM$1001,MATCH(ROWS($AF$2:AF17),$AF$2:$AF$1001,0),MATCH(COLUMNS($AM$1006:BB1006),$AM$1006:$BM$1006,0)), HYPERLINK("#",""), HYPERLINK(CONCATENATE("#metadata!", ADDRESS(INDEX($AH$2:$AH$1001,MATCH(ROWS($AF$2:AF17),$AF$2:$AF$1001,0),0), INDEX($AM$1004:$BM$1004,1,MATCH(COLUMNS($AM$1006:BB1006),$AM$1006:$BM$1006,0)))),"Fix")))</f>
        <v xml:space="preserve"> </v>
      </c>
      <c r="R17" s="4" t="str">
        <f ca="1">IF(OR(INDEX($AG$2:$AG$1001,MATCH(ROWS($AF$2:AF17),$AF$2:$AF$1001,0),1)&gt;=100000,INDEX($AM$1005:$BM$1005,1,MATCH(COLUMNS($AM$1006:BC1006),$AM$1006:$BM$1006,0))&gt;=100000), " ",IF(INDEX($AM$2:$BM$1001,MATCH(ROWS($AF$2:AF17),$AF$2:$AF$1001,0),MATCH(COLUMNS($AM$1006:BC1006),$AM$1006:$BM$1006,0)), HYPERLINK("#",""), HYPERLINK(CONCATENATE("#metadata!", ADDRESS(INDEX($AH$2:$AH$1001,MATCH(ROWS($AF$2:AF17),$AF$2:$AF$1001,0),0), INDEX($AM$1004:$BM$1004,1,MATCH(COLUMNS($AM$1006:BC1006),$AM$1006:$BM$1006,0)))),"Fix")))</f>
        <v xml:space="preserve"> </v>
      </c>
      <c r="S17" s="4" t="str">
        <f ca="1">IF(OR(INDEX($AG$2:$AG$1001,MATCH(ROWS($AF$2:AF17),$AF$2:$AF$1001,0),1)&gt;=100000,INDEX($AM$1005:$BM$1005,1,MATCH(COLUMNS($AM$1006:BD1006),$AM$1006:$BM$1006,0))&gt;=100000), " ",IF(INDEX($AM$2:$BM$1001,MATCH(ROWS($AF$2:AF17),$AF$2:$AF$1001,0),MATCH(COLUMNS($AM$1006:BD1006),$AM$1006:$BM$1006,0)), HYPERLINK("#",""), HYPERLINK(CONCATENATE("#metadata!", ADDRESS(INDEX($AH$2:$AH$1001,MATCH(ROWS($AF$2:AF17),$AF$2:$AF$1001,0),0), INDEX($AM$1004:$BM$1004,1,MATCH(COLUMNS($AM$1006:BD1006),$AM$1006:$BM$1006,0)))),"Fix")))</f>
        <v xml:space="preserve"> </v>
      </c>
      <c r="T17" s="4" t="str">
        <f ca="1">IF(OR(INDEX($AG$2:$AG$1001,MATCH(ROWS($AF$2:AF17),$AF$2:$AF$1001,0),1)&gt;=100000,INDEX($AM$1005:$BM$1005,1,MATCH(COLUMNS($AM$1006:BE1006),$AM$1006:$BM$1006,0))&gt;=100000), " ",IF(INDEX($AM$2:$BM$1001,MATCH(ROWS($AF$2:AF17),$AF$2:$AF$1001,0),MATCH(COLUMNS($AM$1006:BE1006),$AM$1006:$BM$1006,0)), HYPERLINK("#",""), HYPERLINK(CONCATENATE("#metadata!", ADDRESS(INDEX($AH$2:$AH$1001,MATCH(ROWS($AF$2:AF17),$AF$2:$AF$1001,0),0), INDEX($AM$1004:$BM$1004,1,MATCH(COLUMNS($AM$1006:BE1006),$AM$1006:$BM$1006,0)))),"Fix")))</f>
        <v xml:space="preserve"> </v>
      </c>
      <c r="U17" s="4" t="str">
        <f ca="1">IF(OR(INDEX($AG$2:$AG$1001,MATCH(ROWS($AF$2:AF17),$AF$2:$AF$1001,0),1)&gt;=100000,INDEX($AM$1005:$BM$1005,1,MATCH(COLUMNS($AM$1006:BF1006),$AM$1006:$BM$1006,0))&gt;=100000), " ",IF(INDEX($AM$2:$BM$1001,MATCH(ROWS($AF$2:AF17),$AF$2:$AF$1001,0),MATCH(COLUMNS($AM$1006:BF1006),$AM$1006:$BM$1006,0)), HYPERLINK("#",""), HYPERLINK(CONCATENATE("#metadata!", ADDRESS(INDEX($AH$2:$AH$1001,MATCH(ROWS($AF$2:AF17),$AF$2:$AF$1001,0),0), INDEX($AM$1004:$BM$1004,1,MATCH(COLUMNS($AM$1006:BF1006),$AM$1006:$BM$1006,0)))),"Fix")))</f>
        <v xml:space="preserve"> </v>
      </c>
      <c r="V17" s="4" t="str">
        <f ca="1">IF(OR(INDEX($AG$2:$AG$1001,MATCH(ROWS($AF$2:AF17),$AF$2:$AF$1001,0),1)&gt;=100000,INDEX($AM$1005:$BM$1005,1,MATCH(COLUMNS($AM$1006:BG1006),$AM$1006:$BM$1006,0))&gt;=100000), " ",IF(INDEX($AM$2:$BM$1001,MATCH(ROWS($AF$2:AF17),$AF$2:$AF$1001,0),MATCH(COLUMNS($AM$1006:BG1006),$AM$1006:$BM$1006,0)), HYPERLINK("#",""), HYPERLINK(CONCATENATE("#metadata!", ADDRESS(INDEX($AH$2:$AH$1001,MATCH(ROWS($AF$2:AF17),$AF$2:$AF$1001,0),0), INDEX($AM$1004:$BM$1004,1,MATCH(COLUMNS($AM$1006:BG1006),$AM$1006:$BM$1006,0)))),"Fix")))</f>
        <v xml:space="preserve"> </v>
      </c>
      <c r="W17" s="4" t="str">
        <f ca="1">IF(OR(INDEX($AG$2:$AG$1001,MATCH(ROWS($AF$2:AF17),$AF$2:$AF$1001,0),1)&gt;=100000,INDEX($AM$1005:$BM$1005,1,MATCH(COLUMNS($AM$1006:BH1006),$AM$1006:$BM$1006,0))&gt;=100000), " ",IF(INDEX($AM$2:$BM$1001,MATCH(ROWS($AF$2:AF17),$AF$2:$AF$1001,0),MATCH(COLUMNS($AM$1006:BH1006),$AM$1006:$BM$1006,0)), HYPERLINK("#",""), HYPERLINK(CONCATENATE("#metadata!", ADDRESS(INDEX($AH$2:$AH$1001,MATCH(ROWS($AF$2:AF17),$AF$2:$AF$1001,0),0), INDEX($AM$1004:$BM$1004,1,MATCH(COLUMNS($AM$1006:BH1006),$AM$1006:$BM$1006,0)))),"Fix")))</f>
        <v xml:space="preserve"> </v>
      </c>
      <c r="X17" s="4" t="str">
        <f ca="1">IF(OR(INDEX($AG$2:$AG$1001,MATCH(ROWS($AF$2:AF17),$AF$2:$AF$1001,0),1)&gt;=100000,INDEX($AM$1005:$BM$1005,1,MATCH(COLUMNS($AM$1006:BI1006),$AM$1006:$BM$1006,0))&gt;=100000), " ",IF(INDEX($AM$2:$BM$1001,MATCH(ROWS($AF$2:AF17),$AF$2:$AF$1001,0),MATCH(COLUMNS($AM$1006:BI1006),$AM$1006:$BM$1006,0)), HYPERLINK("#",""), HYPERLINK(CONCATENATE("#metadata!", ADDRESS(INDEX($AH$2:$AH$1001,MATCH(ROWS($AF$2:AF17),$AF$2:$AF$1001,0),0), INDEX($AM$1004:$BM$1004,1,MATCH(COLUMNS($AM$1006:BI1006),$AM$1006:$BM$1006,0)))),"Fix")))</f>
        <v xml:space="preserve"> </v>
      </c>
      <c r="Y17" s="4" t="str">
        <f ca="1">IF(OR(INDEX($AG$2:$AG$1001,MATCH(ROWS($AF$2:AF17),$AF$2:$AF$1001,0),1)&gt;=100000,INDEX($AM$1005:$BM$1005,1,MATCH(COLUMNS($AM$1006:BJ1006),$AM$1006:$BM$1006,0))&gt;=100000), " ",IF(INDEX($AM$2:$BM$1001,MATCH(ROWS($AF$2:AF17),$AF$2:$AF$1001,0),MATCH(COLUMNS($AM$1006:BJ1006),$AM$1006:$BM$1006,0)), HYPERLINK("#",""), HYPERLINK(CONCATENATE("#metadata!", ADDRESS(INDEX($AH$2:$AH$1001,MATCH(ROWS($AF$2:AF17),$AF$2:$AF$1001,0),0), INDEX($AM$1004:$BM$1004,1,MATCH(COLUMNS($AM$1006:BJ1006),$AM$1006:$BM$1006,0)))),"Fix")))</f>
        <v xml:space="preserve"> </v>
      </c>
      <c r="Z17" s="4" t="str">
        <f ca="1">IF(OR(INDEX($AG$2:$AG$1001,MATCH(ROWS($AF$2:AF17),$AF$2:$AF$1001,0),1)&gt;=100000,INDEX($AM$1005:$BM$1005,1,MATCH(COLUMNS($AM$1006:BK1006),$AM$1006:$BM$1006,0))&gt;=100000), " ",IF(INDEX($AM$2:$BM$1001,MATCH(ROWS($AF$2:AF17),$AF$2:$AF$1001,0),MATCH(COLUMNS($AM$1006:BK1006),$AM$1006:$BM$1006,0)), HYPERLINK("#",""), HYPERLINK(CONCATENATE("#metadata!", ADDRESS(INDEX($AH$2:$AH$1001,MATCH(ROWS($AF$2:AF17),$AF$2:$AF$1001,0),0), INDEX($AM$1004:$BM$1004,1,MATCH(COLUMNS($AM$1006:BK1006),$AM$1006:$BM$1006,0)))),"Fix")))</f>
        <v xml:space="preserve"> </v>
      </c>
      <c r="AA17" s="4" t="str">
        <f ca="1">IF(OR(INDEX($AG$2:$AG$1001,MATCH(ROWS($AF$2:AF17),$AF$2:$AF$1001,0),1)&gt;=100000,INDEX($AM$1005:$BM$1005,1,MATCH(COLUMNS($AM$1006:BL1006),$AM$1006:$BM$1006,0))&gt;=100000), " ",IF(INDEX($AM$2:$BM$1001,MATCH(ROWS($AF$2:AF17),$AF$2:$AF$1001,0),MATCH(COLUMNS($AM$1006:BL1006),$AM$1006:$BM$1006,0)), HYPERLINK("#",""), HYPERLINK(CONCATENATE("#metadata!", ADDRESS(INDEX($AH$2:$AH$1001,MATCH(ROWS($AF$2:AF17),$AF$2:$AF$1001,0),0), INDEX($AM$1004:$BM$1004,1,MATCH(COLUMNS($AM$1006:BL1006),$AM$1006:$BM$1006,0)))),"Fix")))</f>
        <v xml:space="preserve"> </v>
      </c>
      <c r="AB17" s="4" t="str">
        <f ca="1">IF(OR(INDEX($AG$2:$AG$1001,MATCH(ROWS($AF$2:AF17),$AF$2:$AF$1001,0),1)&gt;=100000,INDEX($AM$1005:$BM$1005,1,MATCH(COLUMNS($AM$1006:BM1006),$AM$1006:$BM$1006,0))&gt;=100000), " ",IF(INDEX($AM$2:$BM$1001,MATCH(ROWS($AF$2:AF17),$AF$2:$AF$1001,0),MATCH(COLUMNS($AM$1006:BM1006),$AM$1006:$BM$1006,0)), HYPERLINK("#",""), HYPERLINK(CONCATENATE("#metadata!", ADDRESS(INDEX($AH$2:$AH$1001,MATCH(ROWS($AF$2:AF17),$AF$2:$AF$1001,0),0), INDEX($AM$1004:$BM$1004,1,MATCH(COLUMNS($AM$1006:BM1006),$AM$1006:$BM$1006,0)))),"Fix")))</f>
        <v xml:space="preserve"> </v>
      </c>
      <c r="AF17">
        <v>16</v>
      </c>
      <c r="AG17">
        <v>100017</v>
      </c>
      <c r="AH17">
        <v>17</v>
      </c>
      <c r="AI17" t="b">
        <f t="shared" si="0"/>
        <v>1</v>
      </c>
      <c r="AJ17" t="b">
        <f>COUNTBLANK(metadata!B17:AB17)=COLUMNS(metadata!B17:AB17)</f>
        <v>1</v>
      </c>
      <c r="AK17" t="str">
        <v/>
      </c>
      <c r="AM17" t="b">
        <f ca="1">AND(IF(metadata!B17="",FALSE,TRUE),COUNTIF(metadata!B:B, metadata!B17) = 1,NOT(ISERROR(SUMPRODUCT(SEARCH(MID(metadata!B17,ROW(INDIRECT("1:"&amp;LEN(metadata!B17))), 1),"0123456789abcdefghijklmnopqrstuvwxyzABCDEFGHIJKLMNOPQRSTUVWXYZ.")))))</f>
        <v>0</v>
      </c>
      <c r="AN17" t="b">
        <f ca="1">OR(AND(IF(metadata!C17="",FALSE,TRUE),OR(EXACT(metadata!C17,"missing: not collected"),EXACT(metadata!C17,"missing: not provided"),EXACT(metadata!C17,"missing: restricted access"))),AND(IF(metadata!C17="",FALSE,TRUE),AND(AND(IFERROR(INT(LEFT(metadata!C17,4))&gt;1900,FALSE),IFERROR(INT(LEFT(metadata!C17,4))&lt;=YEAR(NOW()),FALSE)), OR(MID(metadata!C17,5,1)="", AND(AND(MID(metadata!C17,5,1)="-",IFERROR(INT(MID(metadata!C17,6,1))&gt;=0,FALSE),IFERROR(INT(MID(metadata!C17,6,1))&lt;=1,FALSE),NOT(MID(metadata!C17,7,1)=""),IFERROR(INT(MID(metadata!C17,6,2))&gt;=1,FALSE),IFERROR(INT(MID(metadata!C17,6,2))&lt;=12,FALSE)), OR(MID(metadata!C17,8,1)="", AND(AND(MID(metadata!C17,8,1)="-",IFERROR(INT(MID(metadata!C17,9,1))&gt;=0,FALSE),IFERROR(INT(MID(metadata!C17,9,1))&lt;=3,FALSE),NOT(MID(metadata!C17,10,1)=""),IFERROR(INT(MID(metadata!C17,9,2))&gt;=1,FALSE),IFERROR(INT(MID(metadata!C17,9,2))&lt;=31,FALSE)), OR(MID(metadata!C17,11,1)="", AND(AND(MID(metadata!C17,11,1)=" ",IFERROR(INT(MID(metadata!C17,12,1))&gt;=0,FALSE),IFERROR(INT(MID(metadata!C17,12,1))&lt;=2,FALSE),NOT(MID(metadata!C17,13,1)=""),IFERROR(INT(MID(metadata!C17,12,2))&gt;=0,FALSE),IFERROR(INT(MID(metadata!C17,12,2))&lt;=23,FALSE)), OR(MID(metadata!C17,14,1)="", AND(AND(MID(metadata!C17,14,1)=":",IFERROR(INT(MID(metadata!C17,15,1))&gt;=0,FALSE),IFERROR(INT(MID(metadata!C17,15,1))&lt;=5,FALSE),NOT(MID(metadata!C17,16,1)=""),IFERROR(INT(MID(metadata!C17,15,2))&gt;=0,FALSE),IFERROR(INT(MID(metadata!C17,15,2))&lt;=59,FALSE)), OR(MID(metadata!C17,17,1)="", AND(AND(MID(metadata!C17,17,1)=":",IFERROR(INT(MID(metadata!C17,18,1))&gt;=0,FALSE),IFERROR(INT(MID(metadata!C17,18,1))&lt;=5,FALSE),NOT(MID(metadata!C17,19,1)=""),IFERROR(INT(MID(metadata!C17,18,2))&gt;=0,FALSE),IFERROR(INT(MID(metadata!C17,18,2))&lt;=59,FALSE)), LEN(metadata!C17)&lt;=19)))))))))))))</f>
        <v>0</v>
      </c>
      <c r="AO17" t="b">
        <f>AND(IF(metadata!D17="",FALSE,TRUE),EXACT(metadata!D17,"Not applicable"))</f>
        <v>0</v>
      </c>
      <c r="AP17" t="b">
        <f>IF(metadata!E17="",FALSE,TRUE)</f>
        <v>0</v>
      </c>
      <c r="AQ17" t="b">
        <f>OR(AND(IF(metadata!F17="",FALSE,TRUE),OR(EXACT(metadata!F17,"missing: not collected"),EXACT(metadata!F17,"missing: not provided"))),AND(IF(metadata!F17="",FALSE,TRUE),OR(EXACT(metadata!F17,"TRUE"),EXACT(metadata!F17,"FALSE"))))</f>
        <v>0</v>
      </c>
      <c r="AR17" t="b">
        <f>OR(AND(IF(metadata!G17="",FALSE,TRUE),OR(EXACT(metadata!G17,"missing: not collected"),EXACT(metadata!G17,"missing: not provided"),EXACT(metadata!G17,"missing: restricted access"))),AND(IF(metadata!G17="",FALSE,ISNUMBER(VALUE(metadata!G17))),metadata!G17&gt;=-413))</f>
        <v>0</v>
      </c>
      <c r="AS17" t="b">
        <f>AND(IF(metadata!H17="",FALSE,TRUE),EXACT(metadata!H17,"meters"))</f>
        <v>0</v>
      </c>
      <c r="AT17" t="b">
        <f>AND(IF(metadata!I17="",FALSE,TRUE),OR(EXACT(metadata!I17,"Host-associated"),EXACT(metadata!I17,"Free-living")))</f>
        <v>0</v>
      </c>
      <c r="AU17" t="b">
        <f>AND(IF(metadata!J17="",FALSE,TRUE),OR(EXACT(metadata!J17,"Animal"),EXACT(metadata!J17,"Fungus"),EXACT(metadata!J17,"Plant"),EXACT(metadata!J17,"Saline"),EXACT(metadata!J17,"Non-saline")))</f>
        <v>0</v>
      </c>
      <c r="AV17" t="b">
        <f>AND(IF(metadata!K17="",FALSE,TRUE),OR(EXACT(metadata!K17,"Plant secretion"),EXACT(metadata!K17,"Plant rhizosphere"),EXACT(metadata!K17,"Plant surface"),EXACT(metadata!K17,"Plant corpus"),EXACT(metadata!K17,"Fungus surface"),EXACT(metadata!K17,"Fungus corpus"),EXACT(metadata!K17,"Animal surface"),EXACT(metadata!K17,"Animal proximal gut"),EXACT(metadata!K17,"Animal corpus"),EXACT(metadata!K17,"Animal distal gut"),EXACT(metadata!K17,"Animal secretion"),EXACT(metadata!K17,"Sub-surface (non-saline)"),EXACT(metadata!K17,"Surface (non-saline)"),EXACT(metadata!K17,"Water (non-saline)"),EXACT(metadata!K17,"Soil (non-saline)"),EXACT(metadata!K17,"Aerosol (non-saline)"),EXACT(metadata!K17,"Sediment (non-saline)"),EXACT(metadata!K17,"Surface (saline)"),EXACT(metadata!K17,"Water (saline)"),EXACT(metadata!K17,"Hypersaline (saline)"),EXACT(metadata!K17,"Aerosol (saline)"),EXACT(metadata!K17,"Sediment (saline)")))</f>
        <v>0</v>
      </c>
      <c r="AW17" t="b">
        <f>IF(metadata!L17="",FALSE,TRUE)</f>
        <v>0</v>
      </c>
      <c r="AX17" t="b">
        <f>IF(metadata!M17="",FALSE,TRUE)</f>
        <v>0</v>
      </c>
      <c r="AY17" t="b">
        <f>IF(metadata!N17="",FALSE,TRUE)</f>
        <v>0</v>
      </c>
      <c r="AZ17" t="b">
        <f>OR(AND(IF(metadata!O17="",FALSE,TRUE),OR(EXACT(metadata!O17,"missing: not collected"),EXACT(metadata!O17,"missing: not provided"),EXACT(metadata!O17,"missing: restricted access"))),AND(IF(metadata!O17="",FALSE,TRUE),OR(EXACT(metadata!O17,"air"),EXACT(metadata!O17,"built environment"),EXACT(metadata!O17,"host-associated"),EXACT(metadata!O17,"human-associated"),EXACT(metadata!O17,"human-skin"),EXACT(metadata!O17,"human-oral"),EXACT(metadata!O17,"human-gut"),EXACT(metadata!O17,"human-vaginal"),EXACT(metadata!O17,"microbial mat/biofilm"),EXACT(metadata!O17,"misc environment"),EXACT(metadata!O17,"plant-associated"),EXACT(metadata!O17,"sediment"),EXACT(metadata!O17,"soil"),EXACT(metadata!O17,"wastewater/sludge"),EXACT(metadata!O17,"water"))))</f>
        <v>0</v>
      </c>
      <c r="BA17" t="b">
        <f>IF(metadata!P17="",FALSE,TRUE)</f>
        <v>0</v>
      </c>
      <c r="BB17" t="b">
        <f>IF(metadata!Q17="",FALSE,TRUE)</f>
        <v>0</v>
      </c>
      <c r="BC17" t="b">
        <f>OR(AND(IF(metadata!R17="",FALSE,TRUE),OR(EXACT(metadata!R17,"missing: not collected"),EXACT(metadata!R17,"missing: not provided"),EXACT(metadata!R17,"missing: restricted access"))),AND(IF(metadata!R17="",FALSE,ISNUMBER(VALUE(metadata!R17))),metadata!R17&gt;=-90,metadata!R17&lt;=90))</f>
        <v>0</v>
      </c>
      <c r="BD17" t="b">
        <f>AND(IF(metadata!S17="",FALSE,TRUE),EXACT(metadata!S17,"Decimal degrees"))</f>
        <v>0</v>
      </c>
      <c r="BE17" t="b">
        <f>OR(AND(IF(metadata!T17="",FALSE,TRUE),OR(EXACT(metadata!T17,"missing: not collected"),EXACT(metadata!T17,"missing: not provided"),EXACT(metadata!T17,"missing: restricted access"))),AND(IF(metadata!T17="",FALSE,ISNUMBER(VALUE(metadata!T17))),metadata!T17&gt;=-180,metadata!T17&lt;=180))</f>
        <v>0</v>
      </c>
      <c r="BF17" t="b">
        <f>AND(IF(metadata!U17="",FALSE,TRUE),EXACT(metadata!U17,"Decimal degrees"))</f>
        <v>0</v>
      </c>
      <c r="BG17" t="b">
        <f>IF(metadata!V17="",FALSE,TRUE)</f>
        <v>0</v>
      </c>
      <c r="BH17" t="b">
        <f>OR(AND(IF(metadata!W17="",FALSE,TRUE),OR(EXACT(metadata!W17,"missing: not collected"),EXACT(metadata!W17,"missing: not provided"),EXACT(metadata!W17,"missing: restricted access"))),AND(IF(metadata!W17="",FALSE,TRUE),OR(EXACT(metadata!W17,"TRUE"),EXACT(metadata!W17,"FALSE"))))</f>
        <v>0</v>
      </c>
      <c r="BI17" t="b">
        <f>AND(IF(metadata!X17="",FALSE,TRUE),EXACT(metadata!X17,"other"))</f>
        <v>0</v>
      </c>
      <c r="BJ17" t="b">
        <f>IF(metadata!Y17="",FALSE,TRUE)</f>
        <v>0</v>
      </c>
      <c r="BK17" t="b">
        <f>OR(AND(IF(metadata!Z17="",FALSE,TRUE),OR(EXACT(metadata!Z17,"missing: not collected"),EXACT(metadata!Z17,"missing: not provided"))),AND(IF(metadata!Z17="",FALSE,IF(ISERROR(INT(metadata!Z17)),FALSE,INT(metadata!Z17)=metadata!Z17)),metadata!Z17&gt;0))</f>
        <v>0</v>
      </c>
      <c r="BL17" t="b">
        <f>AND(IF(metadata!AA17="",FALSE,TRUE),EXACT(metadata!AA17,"Not applicable"))</f>
        <v>0</v>
      </c>
      <c r="BM17" t="b">
        <f>IF(metadata!AB17="",FALSE,TRUE)</f>
        <v>0</v>
      </c>
    </row>
    <row r="18" spans="1:65" x14ac:dyDescent="0.2">
      <c r="A18" s="5" t="str">
        <f ca="1">IF(B18=" "," ",HYPERLINK(CONCATENATE("#metadata!",ADDRESS(INDEX($AH$2:$AH$1001,MATCH(ROWS($AF$2:AF18),$AF$2:$AF$1001,0),0),1)),INDEX($AK$2:$AK$1001,MATCH(ROWS($AF$2:AF18),$AF$2:$AF$1001,0),0)))</f>
        <v xml:space="preserve"> </v>
      </c>
      <c r="B18" s="4" t="str">
        <f ca="1">IF(OR(INDEX($AG$2:$AG$1001,MATCH(ROWS($AF$2:AF18),$AF$2:$AF$1001,0),1)&gt;=100000,INDEX($AM$1005:$BM$1005,1,MATCH(COLUMNS($AM$1006:AM1006),$AM$1006:$BM$1006,0))&gt;=100000), " ",IF(INDEX($AM$2:$BM$1001,MATCH(ROWS($AF$2:AF18),$AF$2:$AF$1001,0),MATCH(COLUMNS($AM$1006:AM1006),$AM$1006:$BM$1006,0)), HYPERLINK("#",""), HYPERLINK(CONCATENATE("#metadata!", ADDRESS(INDEX($AH$2:$AH$1001,MATCH(ROWS($AF$2:AF18),$AF$2:$AF$1001,0),0), INDEX($AM$1004:$BM$1004,1,MATCH(COLUMNS($AM$1006:AM1006),$AM$1006:$BM$1006,0)))),"Fix")))</f>
        <v xml:space="preserve"> </v>
      </c>
      <c r="C18" s="4" t="str">
        <f ca="1">IF(OR(INDEX($AG$2:$AG$1001,MATCH(ROWS($AF$2:AF18),$AF$2:$AF$1001,0),1)&gt;=100000,INDEX($AM$1005:$BM$1005,1,MATCH(COLUMNS($AM$1006:AN1006),$AM$1006:$BM$1006,0))&gt;=100000), " ",IF(INDEX($AM$2:$BM$1001,MATCH(ROWS($AF$2:AF18),$AF$2:$AF$1001,0),MATCH(COLUMNS($AM$1006:AN1006),$AM$1006:$BM$1006,0)), HYPERLINK("#",""), HYPERLINK(CONCATENATE("#metadata!", ADDRESS(INDEX($AH$2:$AH$1001,MATCH(ROWS($AF$2:AF18),$AF$2:$AF$1001,0),0), INDEX($AM$1004:$BM$1004,1,MATCH(COLUMNS($AM$1006:AN1006),$AM$1006:$BM$1006,0)))),"Fix")))</f>
        <v xml:space="preserve"> </v>
      </c>
      <c r="D18" s="4" t="str">
        <f ca="1">IF(OR(INDEX($AG$2:$AG$1001,MATCH(ROWS($AF$2:AF18),$AF$2:$AF$1001,0),1)&gt;=100000,INDEX($AM$1005:$BM$1005,1,MATCH(COLUMNS($AM$1006:AO1006),$AM$1006:$BM$1006,0))&gt;=100000), " ",IF(INDEX($AM$2:$BM$1001,MATCH(ROWS($AF$2:AF18),$AF$2:$AF$1001,0),MATCH(COLUMNS($AM$1006:AO1006),$AM$1006:$BM$1006,0)), HYPERLINK("#",""), HYPERLINK(CONCATENATE("#metadata!", ADDRESS(INDEX($AH$2:$AH$1001,MATCH(ROWS($AF$2:AF18),$AF$2:$AF$1001,0),0), INDEX($AM$1004:$BM$1004,1,MATCH(COLUMNS($AM$1006:AO1006),$AM$1006:$BM$1006,0)))),"Fix")))</f>
        <v xml:space="preserve"> </v>
      </c>
      <c r="E18" s="4" t="str">
        <f ca="1">IF(OR(INDEX($AG$2:$AG$1001,MATCH(ROWS($AF$2:AF18),$AF$2:$AF$1001,0),1)&gt;=100000,INDEX($AM$1005:$BM$1005,1,MATCH(COLUMNS($AM$1006:AP1006),$AM$1006:$BM$1006,0))&gt;=100000), " ",IF(INDEX($AM$2:$BM$1001,MATCH(ROWS($AF$2:AF18),$AF$2:$AF$1001,0),MATCH(COLUMNS($AM$1006:AP1006),$AM$1006:$BM$1006,0)), HYPERLINK("#",""), HYPERLINK(CONCATENATE("#metadata!", ADDRESS(INDEX($AH$2:$AH$1001,MATCH(ROWS($AF$2:AF18),$AF$2:$AF$1001,0),0), INDEX($AM$1004:$BM$1004,1,MATCH(COLUMNS($AM$1006:AP1006),$AM$1006:$BM$1006,0)))),"Fix")))</f>
        <v xml:space="preserve"> </v>
      </c>
      <c r="F18" s="4" t="str">
        <f ca="1">IF(OR(INDEX($AG$2:$AG$1001,MATCH(ROWS($AF$2:AF18),$AF$2:$AF$1001,0),1)&gt;=100000,INDEX($AM$1005:$BM$1005,1,MATCH(COLUMNS($AM$1006:AQ1006),$AM$1006:$BM$1006,0))&gt;=100000), " ",IF(INDEX($AM$2:$BM$1001,MATCH(ROWS($AF$2:AF18),$AF$2:$AF$1001,0),MATCH(COLUMNS($AM$1006:AQ1006),$AM$1006:$BM$1006,0)), HYPERLINK("#",""), HYPERLINK(CONCATENATE("#metadata!", ADDRESS(INDEX($AH$2:$AH$1001,MATCH(ROWS($AF$2:AF18),$AF$2:$AF$1001,0),0), INDEX($AM$1004:$BM$1004,1,MATCH(COLUMNS($AM$1006:AQ1006),$AM$1006:$BM$1006,0)))),"Fix")))</f>
        <v xml:space="preserve"> </v>
      </c>
      <c r="G18" s="4" t="str">
        <f ca="1">IF(OR(INDEX($AG$2:$AG$1001,MATCH(ROWS($AF$2:AF18),$AF$2:$AF$1001,0),1)&gt;=100000,INDEX($AM$1005:$BM$1005,1,MATCH(COLUMNS($AM$1006:AR1006),$AM$1006:$BM$1006,0))&gt;=100000), " ",IF(INDEX($AM$2:$BM$1001,MATCH(ROWS($AF$2:AF18),$AF$2:$AF$1001,0),MATCH(COLUMNS($AM$1006:AR1006),$AM$1006:$BM$1006,0)), HYPERLINK("#",""), HYPERLINK(CONCATENATE("#metadata!", ADDRESS(INDEX($AH$2:$AH$1001,MATCH(ROWS($AF$2:AF18),$AF$2:$AF$1001,0),0), INDEX($AM$1004:$BM$1004,1,MATCH(COLUMNS($AM$1006:AR1006),$AM$1006:$BM$1006,0)))),"Fix")))</f>
        <v xml:space="preserve"> </v>
      </c>
      <c r="H18" s="4" t="str">
        <f ca="1">IF(OR(INDEX($AG$2:$AG$1001,MATCH(ROWS($AF$2:AF18),$AF$2:$AF$1001,0),1)&gt;=100000,INDEX($AM$1005:$BM$1005,1,MATCH(COLUMNS($AM$1006:AS1006),$AM$1006:$BM$1006,0))&gt;=100000), " ",IF(INDEX($AM$2:$BM$1001,MATCH(ROWS($AF$2:AF18),$AF$2:$AF$1001,0),MATCH(COLUMNS($AM$1006:AS1006),$AM$1006:$BM$1006,0)), HYPERLINK("#",""), HYPERLINK(CONCATENATE("#metadata!", ADDRESS(INDEX($AH$2:$AH$1001,MATCH(ROWS($AF$2:AF18),$AF$2:$AF$1001,0),0), INDEX($AM$1004:$BM$1004,1,MATCH(COLUMNS($AM$1006:AS1006),$AM$1006:$BM$1006,0)))),"Fix")))</f>
        <v xml:space="preserve"> </v>
      </c>
      <c r="I18" s="4" t="str">
        <f ca="1">IF(OR(INDEX($AG$2:$AG$1001,MATCH(ROWS($AF$2:AF18),$AF$2:$AF$1001,0),1)&gt;=100000,INDEX($AM$1005:$BM$1005,1,MATCH(COLUMNS($AM$1006:AT1006),$AM$1006:$BM$1006,0))&gt;=100000), " ",IF(INDEX($AM$2:$BM$1001,MATCH(ROWS($AF$2:AF18),$AF$2:$AF$1001,0),MATCH(COLUMNS($AM$1006:AT1006),$AM$1006:$BM$1006,0)), HYPERLINK("#",""), HYPERLINK(CONCATENATE("#metadata!", ADDRESS(INDEX($AH$2:$AH$1001,MATCH(ROWS($AF$2:AF18),$AF$2:$AF$1001,0),0), INDEX($AM$1004:$BM$1004,1,MATCH(COLUMNS($AM$1006:AT1006),$AM$1006:$BM$1006,0)))),"Fix")))</f>
        <v xml:space="preserve"> </v>
      </c>
      <c r="J18" s="4" t="str">
        <f ca="1">IF(OR(INDEX($AG$2:$AG$1001,MATCH(ROWS($AF$2:AF18),$AF$2:$AF$1001,0),1)&gt;=100000,INDEX($AM$1005:$BM$1005,1,MATCH(COLUMNS($AM$1006:AU1006),$AM$1006:$BM$1006,0))&gt;=100000), " ",IF(INDEX($AM$2:$BM$1001,MATCH(ROWS($AF$2:AF18),$AF$2:$AF$1001,0),MATCH(COLUMNS($AM$1006:AU1006),$AM$1006:$BM$1006,0)), HYPERLINK("#",""), HYPERLINK(CONCATENATE("#metadata!", ADDRESS(INDEX($AH$2:$AH$1001,MATCH(ROWS($AF$2:AF18),$AF$2:$AF$1001,0),0), INDEX($AM$1004:$BM$1004,1,MATCH(COLUMNS($AM$1006:AU1006),$AM$1006:$BM$1006,0)))),"Fix")))</f>
        <v xml:space="preserve"> </v>
      </c>
      <c r="K18" s="4" t="str">
        <f ca="1">IF(OR(INDEX($AG$2:$AG$1001,MATCH(ROWS($AF$2:AF18),$AF$2:$AF$1001,0),1)&gt;=100000,INDEX($AM$1005:$BM$1005,1,MATCH(COLUMNS($AM$1006:AV1006),$AM$1006:$BM$1006,0))&gt;=100000), " ",IF(INDEX($AM$2:$BM$1001,MATCH(ROWS($AF$2:AF18),$AF$2:$AF$1001,0),MATCH(COLUMNS($AM$1006:AV1006),$AM$1006:$BM$1006,0)), HYPERLINK("#",""), HYPERLINK(CONCATENATE("#metadata!", ADDRESS(INDEX($AH$2:$AH$1001,MATCH(ROWS($AF$2:AF18),$AF$2:$AF$1001,0),0), INDEX($AM$1004:$BM$1004,1,MATCH(COLUMNS($AM$1006:AV1006),$AM$1006:$BM$1006,0)))),"Fix")))</f>
        <v xml:space="preserve"> </v>
      </c>
      <c r="L18" s="4" t="str">
        <f ca="1">IF(OR(INDEX($AG$2:$AG$1001,MATCH(ROWS($AF$2:AF18),$AF$2:$AF$1001,0),1)&gt;=100000,INDEX($AM$1005:$BM$1005,1,MATCH(COLUMNS($AM$1006:AW1006),$AM$1006:$BM$1006,0))&gt;=100000), " ",IF(INDEX($AM$2:$BM$1001,MATCH(ROWS($AF$2:AF18),$AF$2:$AF$1001,0),MATCH(COLUMNS($AM$1006:AW1006),$AM$1006:$BM$1006,0)), HYPERLINK("#",""), HYPERLINK(CONCATENATE("#metadata!", ADDRESS(INDEX($AH$2:$AH$1001,MATCH(ROWS($AF$2:AF18),$AF$2:$AF$1001,0),0), INDEX($AM$1004:$BM$1004,1,MATCH(COLUMNS($AM$1006:AW1006),$AM$1006:$BM$1006,0)))),"Fix")))</f>
        <v xml:space="preserve"> </v>
      </c>
      <c r="M18" s="4" t="str">
        <f ca="1">IF(OR(INDEX($AG$2:$AG$1001,MATCH(ROWS($AF$2:AF18),$AF$2:$AF$1001,0),1)&gt;=100000,INDEX($AM$1005:$BM$1005,1,MATCH(COLUMNS($AM$1006:AX1006),$AM$1006:$BM$1006,0))&gt;=100000), " ",IF(INDEX($AM$2:$BM$1001,MATCH(ROWS($AF$2:AF18),$AF$2:$AF$1001,0),MATCH(COLUMNS($AM$1006:AX1006),$AM$1006:$BM$1006,0)), HYPERLINK("#",""), HYPERLINK(CONCATENATE("#metadata!", ADDRESS(INDEX($AH$2:$AH$1001,MATCH(ROWS($AF$2:AF18),$AF$2:$AF$1001,0),0), INDEX($AM$1004:$BM$1004,1,MATCH(COLUMNS($AM$1006:AX1006),$AM$1006:$BM$1006,0)))),"Fix")))</f>
        <v xml:space="preserve"> </v>
      </c>
      <c r="N18" s="4" t="str">
        <f ca="1">IF(OR(INDEX($AG$2:$AG$1001,MATCH(ROWS($AF$2:AF18),$AF$2:$AF$1001,0),1)&gt;=100000,INDEX($AM$1005:$BM$1005,1,MATCH(COLUMNS($AM$1006:AY1006),$AM$1006:$BM$1006,0))&gt;=100000), " ",IF(INDEX($AM$2:$BM$1001,MATCH(ROWS($AF$2:AF18),$AF$2:$AF$1001,0),MATCH(COLUMNS($AM$1006:AY1006),$AM$1006:$BM$1006,0)), HYPERLINK("#",""), HYPERLINK(CONCATENATE("#metadata!", ADDRESS(INDEX($AH$2:$AH$1001,MATCH(ROWS($AF$2:AF18),$AF$2:$AF$1001,0),0), INDEX($AM$1004:$BM$1004,1,MATCH(COLUMNS($AM$1006:AY1006),$AM$1006:$BM$1006,0)))),"Fix")))</f>
        <v xml:space="preserve"> </v>
      </c>
      <c r="O18" s="4" t="str">
        <f ca="1">IF(OR(INDEX($AG$2:$AG$1001,MATCH(ROWS($AF$2:AF18),$AF$2:$AF$1001,0),1)&gt;=100000,INDEX($AM$1005:$BM$1005,1,MATCH(COLUMNS($AM$1006:AZ1006),$AM$1006:$BM$1006,0))&gt;=100000), " ",IF(INDEX($AM$2:$BM$1001,MATCH(ROWS($AF$2:AF18),$AF$2:$AF$1001,0),MATCH(COLUMNS($AM$1006:AZ1006),$AM$1006:$BM$1006,0)), HYPERLINK("#",""), HYPERLINK(CONCATENATE("#metadata!", ADDRESS(INDEX($AH$2:$AH$1001,MATCH(ROWS($AF$2:AF18),$AF$2:$AF$1001,0),0), INDEX($AM$1004:$BM$1004,1,MATCH(COLUMNS($AM$1006:AZ1006),$AM$1006:$BM$1006,0)))),"Fix")))</f>
        <v xml:space="preserve"> </v>
      </c>
      <c r="P18" s="4" t="str">
        <f ca="1">IF(OR(INDEX($AG$2:$AG$1001,MATCH(ROWS($AF$2:AF18),$AF$2:$AF$1001,0),1)&gt;=100000,INDEX($AM$1005:$BM$1005,1,MATCH(COLUMNS($AM$1006:BA1006),$AM$1006:$BM$1006,0))&gt;=100000), " ",IF(INDEX($AM$2:$BM$1001,MATCH(ROWS($AF$2:AF18),$AF$2:$AF$1001,0),MATCH(COLUMNS($AM$1006:BA1006),$AM$1006:$BM$1006,0)), HYPERLINK("#",""), HYPERLINK(CONCATENATE("#metadata!", ADDRESS(INDEX($AH$2:$AH$1001,MATCH(ROWS($AF$2:AF18),$AF$2:$AF$1001,0),0), INDEX($AM$1004:$BM$1004,1,MATCH(COLUMNS($AM$1006:BA1006),$AM$1006:$BM$1006,0)))),"Fix")))</f>
        <v xml:space="preserve"> </v>
      </c>
      <c r="Q18" s="4" t="str">
        <f ca="1">IF(OR(INDEX($AG$2:$AG$1001,MATCH(ROWS($AF$2:AF18),$AF$2:$AF$1001,0),1)&gt;=100000,INDEX($AM$1005:$BM$1005,1,MATCH(COLUMNS($AM$1006:BB1006),$AM$1006:$BM$1006,0))&gt;=100000), " ",IF(INDEX($AM$2:$BM$1001,MATCH(ROWS($AF$2:AF18),$AF$2:$AF$1001,0),MATCH(COLUMNS($AM$1006:BB1006),$AM$1006:$BM$1006,0)), HYPERLINK("#",""), HYPERLINK(CONCATENATE("#metadata!", ADDRESS(INDEX($AH$2:$AH$1001,MATCH(ROWS($AF$2:AF18),$AF$2:$AF$1001,0),0), INDEX($AM$1004:$BM$1004,1,MATCH(COLUMNS($AM$1006:BB1006),$AM$1006:$BM$1006,0)))),"Fix")))</f>
        <v xml:space="preserve"> </v>
      </c>
      <c r="R18" s="4" t="str">
        <f ca="1">IF(OR(INDEX($AG$2:$AG$1001,MATCH(ROWS($AF$2:AF18),$AF$2:$AF$1001,0),1)&gt;=100000,INDEX($AM$1005:$BM$1005,1,MATCH(COLUMNS($AM$1006:BC1006),$AM$1006:$BM$1006,0))&gt;=100000), " ",IF(INDEX($AM$2:$BM$1001,MATCH(ROWS($AF$2:AF18),$AF$2:$AF$1001,0),MATCH(COLUMNS($AM$1006:BC1006),$AM$1006:$BM$1006,0)), HYPERLINK("#",""), HYPERLINK(CONCATENATE("#metadata!", ADDRESS(INDEX($AH$2:$AH$1001,MATCH(ROWS($AF$2:AF18),$AF$2:$AF$1001,0),0), INDEX($AM$1004:$BM$1004,1,MATCH(COLUMNS($AM$1006:BC1006),$AM$1006:$BM$1006,0)))),"Fix")))</f>
        <v xml:space="preserve"> </v>
      </c>
      <c r="S18" s="4" t="str">
        <f ca="1">IF(OR(INDEX($AG$2:$AG$1001,MATCH(ROWS($AF$2:AF18),$AF$2:$AF$1001,0),1)&gt;=100000,INDEX($AM$1005:$BM$1005,1,MATCH(COLUMNS($AM$1006:BD1006),$AM$1006:$BM$1006,0))&gt;=100000), " ",IF(INDEX($AM$2:$BM$1001,MATCH(ROWS($AF$2:AF18),$AF$2:$AF$1001,0),MATCH(COLUMNS($AM$1006:BD1006),$AM$1006:$BM$1006,0)), HYPERLINK("#",""), HYPERLINK(CONCATENATE("#metadata!", ADDRESS(INDEX($AH$2:$AH$1001,MATCH(ROWS($AF$2:AF18),$AF$2:$AF$1001,0),0), INDEX($AM$1004:$BM$1004,1,MATCH(COLUMNS($AM$1006:BD1006),$AM$1006:$BM$1006,0)))),"Fix")))</f>
        <v xml:space="preserve"> </v>
      </c>
      <c r="T18" s="4" t="str">
        <f ca="1">IF(OR(INDEX($AG$2:$AG$1001,MATCH(ROWS($AF$2:AF18),$AF$2:$AF$1001,0),1)&gt;=100000,INDEX($AM$1005:$BM$1005,1,MATCH(COLUMNS($AM$1006:BE1006),$AM$1006:$BM$1006,0))&gt;=100000), " ",IF(INDEX($AM$2:$BM$1001,MATCH(ROWS($AF$2:AF18),$AF$2:$AF$1001,0),MATCH(COLUMNS($AM$1006:BE1006),$AM$1006:$BM$1006,0)), HYPERLINK("#",""), HYPERLINK(CONCATENATE("#metadata!", ADDRESS(INDEX($AH$2:$AH$1001,MATCH(ROWS($AF$2:AF18),$AF$2:$AF$1001,0),0), INDEX($AM$1004:$BM$1004,1,MATCH(COLUMNS($AM$1006:BE1006),$AM$1006:$BM$1006,0)))),"Fix")))</f>
        <v xml:space="preserve"> </v>
      </c>
      <c r="U18" s="4" t="str">
        <f ca="1">IF(OR(INDEX($AG$2:$AG$1001,MATCH(ROWS($AF$2:AF18),$AF$2:$AF$1001,0),1)&gt;=100000,INDEX($AM$1005:$BM$1005,1,MATCH(COLUMNS($AM$1006:BF1006),$AM$1006:$BM$1006,0))&gt;=100000), " ",IF(INDEX($AM$2:$BM$1001,MATCH(ROWS($AF$2:AF18),$AF$2:$AF$1001,0),MATCH(COLUMNS($AM$1006:BF1006),$AM$1006:$BM$1006,0)), HYPERLINK("#",""), HYPERLINK(CONCATENATE("#metadata!", ADDRESS(INDEX($AH$2:$AH$1001,MATCH(ROWS($AF$2:AF18),$AF$2:$AF$1001,0),0), INDEX($AM$1004:$BM$1004,1,MATCH(COLUMNS($AM$1006:BF1006),$AM$1006:$BM$1006,0)))),"Fix")))</f>
        <v xml:space="preserve"> </v>
      </c>
      <c r="V18" s="4" t="str">
        <f ca="1">IF(OR(INDEX($AG$2:$AG$1001,MATCH(ROWS($AF$2:AF18),$AF$2:$AF$1001,0),1)&gt;=100000,INDEX($AM$1005:$BM$1005,1,MATCH(COLUMNS($AM$1006:BG1006),$AM$1006:$BM$1006,0))&gt;=100000), " ",IF(INDEX($AM$2:$BM$1001,MATCH(ROWS($AF$2:AF18),$AF$2:$AF$1001,0),MATCH(COLUMNS($AM$1006:BG1006),$AM$1006:$BM$1006,0)), HYPERLINK("#",""), HYPERLINK(CONCATENATE("#metadata!", ADDRESS(INDEX($AH$2:$AH$1001,MATCH(ROWS($AF$2:AF18),$AF$2:$AF$1001,0),0), INDEX($AM$1004:$BM$1004,1,MATCH(COLUMNS($AM$1006:BG1006),$AM$1006:$BM$1006,0)))),"Fix")))</f>
        <v xml:space="preserve"> </v>
      </c>
      <c r="W18" s="4" t="str">
        <f ca="1">IF(OR(INDEX($AG$2:$AG$1001,MATCH(ROWS($AF$2:AF18),$AF$2:$AF$1001,0),1)&gt;=100000,INDEX($AM$1005:$BM$1005,1,MATCH(COLUMNS($AM$1006:BH1006),$AM$1006:$BM$1006,0))&gt;=100000), " ",IF(INDEX($AM$2:$BM$1001,MATCH(ROWS($AF$2:AF18),$AF$2:$AF$1001,0),MATCH(COLUMNS($AM$1006:BH1006),$AM$1006:$BM$1006,0)), HYPERLINK("#",""), HYPERLINK(CONCATENATE("#metadata!", ADDRESS(INDEX($AH$2:$AH$1001,MATCH(ROWS($AF$2:AF18),$AF$2:$AF$1001,0),0), INDEX($AM$1004:$BM$1004,1,MATCH(COLUMNS($AM$1006:BH1006),$AM$1006:$BM$1006,0)))),"Fix")))</f>
        <v xml:space="preserve"> </v>
      </c>
      <c r="X18" s="4" t="str">
        <f ca="1">IF(OR(INDEX($AG$2:$AG$1001,MATCH(ROWS($AF$2:AF18),$AF$2:$AF$1001,0),1)&gt;=100000,INDEX($AM$1005:$BM$1005,1,MATCH(COLUMNS($AM$1006:BI1006),$AM$1006:$BM$1006,0))&gt;=100000), " ",IF(INDEX($AM$2:$BM$1001,MATCH(ROWS($AF$2:AF18),$AF$2:$AF$1001,0),MATCH(COLUMNS($AM$1006:BI1006),$AM$1006:$BM$1006,0)), HYPERLINK("#",""), HYPERLINK(CONCATENATE("#metadata!", ADDRESS(INDEX($AH$2:$AH$1001,MATCH(ROWS($AF$2:AF18),$AF$2:$AF$1001,0),0), INDEX($AM$1004:$BM$1004,1,MATCH(COLUMNS($AM$1006:BI1006),$AM$1006:$BM$1006,0)))),"Fix")))</f>
        <v xml:space="preserve"> </v>
      </c>
      <c r="Y18" s="4" t="str">
        <f ca="1">IF(OR(INDEX($AG$2:$AG$1001,MATCH(ROWS($AF$2:AF18),$AF$2:$AF$1001,0),1)&gt;=100000,INDEX($AM$1005:$BM$1005,1,MATCH(COLUMNS($AM$1006:BJ1006),$AM$1006:$BM$1006,0))&gt;=100000), " ",IF(INDEX($AM$2:$BM$1001,MATCH(ROWS($AF$2:AF18),$AF$2:$AF$1001,0),MATCH(COLUMNS($AM$1006:BJ1006),$AM$1006:$BM$1006,0)), HYPERLINK("#",""), HYPERLINK(CONCATENATE("#metadata!", ADDRESS(INDEX($AH$2:$AH$1001,MATCH(ROWS($AF$2:AF18),$AF$2:$AF$1001,0),0), INDEX($AM$1004:$BM$1004,1,MATCH(COLUMNS($AM$1006:BJ1006),$AM$1006:$BM$1006,0)))),"Fix")))</f>
        <v xml:space="preserve"> </v>
      </c>
      <c r="Z18" s="4" t="str">
        <f ca="1">IF(OR(INDEX($AG$2:$AG$1001,MATCH(ROWS($AF$2:AF18),$AF$2:$AF$1001,0),1)&gt;=100000,INDEX($AM$1005:$BM$1005,1,MATCH(COLUMNS($AM$1006:BK1006),$AM$1006:$BM$1006,0))&gt;=100000), " ",IF(INDEX($AM$2:$BM$1001,MATCH(ROWS($AF$2:AF18),$AF$2:$AF$1001,0),MATCH(COLUMNS($AM$1006:BK1006),$AM$1006:$BM$1006,0)), HYPERLINK("#",""), HYPERLINK(CONCATENATE("#metadata!", ADDRESS(INDEX($AH$2:$AH$1001,MATCH(ROWS($AF$2:AF18),$AF$2:$AF$1001,0),0), INDEX($AM$1004:$BM$1004,1,MATCH(COLUMNS($AM$1006:BK1006),$AM$1006:$BM$1006,0)))),"Fix")))</f>
        <v xml:space="preserve"> </v>
      </c>
      <c r="AA18" s="4" t="str">
        <f ca="1">IF(OR(INDEX($AG$2:$AG$1001,MATCH(ROWS($AF$2:AF18),$AF$2:$AF$1001,0),1)&gt;=100000,INDEX($AM$1005:$BM$1005,1,MATCH(COLUMNS($AM$1006:BL1006),$AM$1006:$BM$1006,0))&gt;=100000), " ",IF(INDEX($AM$2:$BM$1001,MATCH(ROWS($AF$2:AF18),$AF$2:$AF$1001,0),MATCH(COLUMNS($AM$1006:BL1006),$AM$1006:$BM$1006,0)), HYPERLINK("#",""), HYPERLINK(CONCATENATE("#metadata!", ADDRESS(INDEX($AH$2:$AH$1001,MATCH(ROWS($AF$2:AF18),$AF$2:$AF$1001,0),0), INDEX($AM$1004:$BM$1004,1,MATCH(COLUMNS($AM$1006:BL1006),$AM$1006:$BM$1006,0)))),"Fix")))</f>
        <v xml:space="preserve"> </v>
      </c>
      <c r="AB18" s="4" t="str">
        <f ca="1">IF(OR(INDEX($AG$2:$AG$1001,MATCH(ROWS($AF$2:AF18),$AF$2:$AF$1001,0),1)&gt;=100000,INDEX($AM$1005:$BM$1005,1,MATCH(COLUMNS($AM$1006:BM1006),$AM$1006:$BM$1006,0))&gt;=100000), " ",IF(INDEX($AM$2:$BM$1001,MATCH(ROWS($AF$2:AF18),$AF$2:$AF$1001,0),MATCH(COLUMNS($AM$1006:BM1006),$AM$1006:$BM$1006,0)), HYPERLINK("#",""), HYPERLINK(CONCATENATE("#metadata!", ADDRESS(INDEX($AH$2:$AH$1001,MATCH(ROWS($AF$2:AF18),$AF$2:$AF$1001,0),0), INDEX($AM$1004:$BM$1004,1,MATCH(COLUMNS($AM$1006:BM1006),$AM$1006:$BM$1006,0)))),"Fix")))</f>
        <v xml:space="preserve"> </v>
      </c>
      <c r="AF18">
        <v>17</v>
      </c>
      <c r="AG18">
        <v>100018</v>
      </c>
      <c r="AH18">
        <v>18</v>
      </c>
      <c r="AI18" t="b">
        <f t="shared" si="0"/>
        <v>1</v>
      </c>
      <c r="AJ18" t="b">
        <f>COUNTBLANK(metadata!B18:AB18)=COLUMNS(metadata!B18:AB18)</f>
        <v>1</v>
      </c>
      <c r="AK18" t="str">
        <v/>
      </c>
      <c r="AM18" t="b">
        <f ca="1">AND(IF(metadata!B18="",FALSE,TRUE),COUNTIF(metadata!B:B, metadata!B18) = 1,NOT(ISERROR(SUMPRODUCT(SEARCH(MID(metadata!B18,ROW(INDIRECT("1:"&amp;LEN(metadata!B18))), 1),"0123456789abcdefghijklmnopqrstuvwxyzABCDEFGHIJKLMNOPQRSTUVWXYZ.")))))</f>
        <v>0</v>
      </c>
      <c r="AN18" t="b">
        <f ca="1">OR(AND(IF(metadata!C18="",FALSE,TRUE),OR(EXACT(metadata!C18,"missing: not collected"),EXACT(metadata!C18,"missing: not provided"),EXACT(metadata!C18,"missing: restricted access"))),AND(IF(metadata!C18="",FALSE,TRUE),AND(AND(IFERROR(INT(LEFT(metadata!C18,4))&gt;1900,FALSE),IFERROR(INT(LEFT(metadata!C18,4))&lt;=YEAR(NOW()),FALSE)), OR(MID(metadata!C18,5,1)="", AND(AND(MID(metadata!C18,5,1)="-",IFERROR(INT(MID(metadata!C18,6,1))&gt;=0,FALSE),IFERROR(INT(MID(metadata!C18,6,1))&lt;=1,FALSE),NOT(MID(metadata!C18,7,1)=""),IFERROR(INT(MID(metadata!C18,6,2))&gt;=1,FALSE),IFERROR(INT(MID(metadata!C18,6,2))&lt;=12,FALSE)), OR(MID(metadata!C18,8,1)="", AND(AND(MID(metadata!C18,8,1)="-",IFERROR(INT(MID(metadata!C18,9,1))&gt;=0,FALSE),IFERROR(INT(MID(metadata!C18,9,1))&lt;=3,FALSE),NOT(MID(metadata!C18,10,1)=""),IFERROR(INT(MID(metadata!C18,9,2))&gt;=1,FALSE),IFERROR(INT(MID(metadata!C18,9,2))&lt;=31,FALSE)), OR(MID(metadata!C18,11,1)="", AND(AND(MID(metadata!C18,11,1)=" ",IFERROR(INT(MID(metadata!C18,12,1))&gt;=0,FALSE),IFERROR(INT(MID(metadata!C18,12,1))&lt;=2,FALSE),NOT(MID(metadata!C18,13,1)=""),IFERROR(INT(MID(metadata!C18,12,2))&gt;=0,FALSE),IFERROR(INT(MID(metadata!C18,12,2))&lt;=23,FALSE)), OR(MID(metadata!C18,14,1)="", AND(AND(MID(metadata!C18,14,1)=":",IFERROR(INT(MID(metadata!C18,15,1))&gt;=0,FALSE),IFERROR(INT(MID(metadata!C18,15,1))&lt;=5,FALSE),NOT(MID(metadata!C18,16,1)=""),IFERROR(INT(MID(metadata!C18,15,2))&gt;=0,FALSE),IFERROR(INT(MID(metadata!C18,15,2))&lt;=59,FALSE)), OR(MID(metadata!C18,17,1)="", AND(AND(MID(metadata!C18,17,1)=":",IFERROR(INT(MID(metadata!C18,18,1))&gt;=0,FALSE),IFERROR(INT(MID(metadata!C18,18,1))&lt;=5,FALSE),NOT(MID(metadata!C18,19,1)=""),IFERROR(INT(MID(metadata!C18,18,2))&gt;=0,FALSE),IFERROR(INT(MID(metadata!C18,18,2))&lt;=59,FALSE)), LEN(metadata!C18)&lt;=19)))))))))))))</f>
        <v>0</v>
      </c>
      <c r="AO18" t="b">
        <f>AND(IF(metadata!D18="",FALSE,TRUE),EXACT(metadata!D18,"Not applicable"))</f>
        <v>0</v>
      </c>
      <c r="AP18" t="b">
        <f>IF(metadata!E18="",FALSE,TRUE)</f>
        <v>0</v>
      </c>
      <c r="AQ18" t="b">
        <f>OR(AND(IF(metadata!F18="",FALSE,TRUE),OR(EXACT(metadata!F18,"missing: not collected"),EXACT(metadata!F18,"missing: not provided"))),AND(IF(metadata!F18="",FALSE,TRUE),OR(EXACT(metadata!F18,"TRUE"),EXACT(metadata!F18,"FALSE"))))</f>
        <v>0</v>
      </c>
      <c r="AR18" t="b">
        <f>OR(AND(IF(metadata!G18="",FALSE,TRUE),OR(EXACT(metadata!G18,"missing: not collected"),EXACT(metadata!G18,"missing: not provided"),EXACT(metadata!G18,"missing: restricted access"))),AND(IF(metadata!G18="",FALSE,ISNUMBER(VALUE(metadata!G18))),metadata!G18&gt;=-413))</f>
        <v>0</v>
      </c>
      <c r="AS18" t="b">
        <f>AND(IF(metadata!H18="",FALSE,TRUE),EXACT(metadata!H18,"meters"))</f>
        <v>0</v>
      </c>
      <c r="AT18" t="b">
        <f>AND(IF(metadata!I18="",FALSE,TRUE),OR(EXACT(metadata!I18,"Host-associated"),EXACT(metadata!I18,"Free-living")))</f>
        <v>0</v>
      </c>
      <c r="AU18" t="b">
        <f>AND(IF(metadata!J18="",FALSE,TRUE),OR(EXACT(metadata!J18,"Animal"),EXACT(metadata!J18,"Fungus"),EXACT(metadata!J18,"Plant"),EXACT(metadata!J18,"Saline"),EXACT(metadata!J18,"Non-saline")))</f>
        <v>0</v>
      </c>
      <c r="AV18" t="b">
        <f>AND(IF(metadata!K18="",FALSE,TRUE),OR(EXACT(metadata!K18,"Plant secretion"),EXACT(metadata!K18,"Plant rhizosphere"),EXACT(metadata!K18,"Plant surface"),EXACT(metadata!K18,"Plant corpus"),EXACT(metadata!K18,"Fungus surface"),EXACT(metadata!K18,"Fungus corpus"),EXACT(metadata!K18,"Animal surface"),EXACT(metadata!K18,"Animal proximal gut"),EXACT(metadata!K18,"Animal corpus"),EXACT(metadata!K18,"Animal distal gut"),EXACT(metadata!K18,"Animal secretion"),EXACT(metadata!K18,"Sub-surface (non-saline)"),EXACT(metadata!K18,"Surface (non-saline)"),EXACT(metadata!K18,"Water (non-saline)"),EXACT(metadata!K18,"Soil (non-saline)"),EXACT(metadata!K18,"Aerosol (non-saline)"),EXACT(metadata!K18,"Sediment (non-saline)"),EXACT(metadata!K18,"Surface (saline)"),EXACT(metadata!K18,"Water (saline)"),EXACT(metadata!K18,"Hypersaline (saline)"),EXACT(metadata!K18,"Aerosol (saline)"),EXACT(metadata!K18,"Sediment (saline)")))</f>
        <v>0</v>
      </c>
      <c r="AW18" t="b">
        <f>IF(metadata!L18="",FALSE,TRUE)</f>
        <v>0</v>
      </c>
      <c r="AX18" t="b">
        <f>IF(metadata!M18="",FALSE,TRUE)</f>
        <v>0</v>
      </c>
      <c r="AY18" t="b">
        <f>IF(metadata!N18="",FALSE,TRUE)</f>
        <v>0</v>
      </c>
      <c r="AZ18" t="b">
        <f>OR(AND(IF(metadata!O18="",FALSE,TRUE),OR(EXACT(metadata!O18,"missing: not collected"),EXACT(metadata!O18,"missing: not provided"),EXACT(metadata!O18,"missing: restricted access"))),AND(IF(metadata!O18="",FALSE,TRUE),OR(EXACT(metadata!O18,"air"),EXACT(metadata!O18,"built environment"),EXACT(metadata!O18,"host-associated"),EXACT(metadata!O18,"human-associated"),EXACT(metadata!O18,"human-skin"),EXACT(metadata!O18,"human-oral"),EXACT(metadata!O18,"human-gut"),EXACT(metadata!O18,"human-vaginal"),EXACT(metadata!O18,"microbial mat/biofilm"),EXACT(metadata!O18,"misc environment"),EXACT(metadata!O18,"plant-associated"),EXACT(metadata!O18,"sediment"),EXACT(metadata!O18,"soil"),EXACT(metadata!O18,"wastewater/sludge"),EXACT(metadata!O18,"water"))))</f>
        <v>0</v>
      </c>
      <c r="BA18" t="b">
        <f>IF(metadata!P18="",FALSE,TRUE)</f>
        <v>0</v>
      </c>
      <c r="BB18" t="b">
        <f>IF(metadata!Q18="",FALSE,TRUE)</f>
        <v>0</v>
      </c>
      <c r="BC18" t="b">
        <f>OR(AND(IF(metadata!R18="",FALSE,TRUE),OR(EXACT(metadata!R18,"missing: not collected"),EXACT(metadata!R18,"missing: not provided"),EXACT(metadata!R18,"missing: restricted access"))),AND(IF(metadata!R18="",FALSE,ISNUMBER(VALUE(metadata!R18))),metadata!R18&gt;=-90,metadata!R18&lt;=90))</f>
        <v>0</v>
      </c>
      <c r="BD18" t="b">
        <f>AND(IF(metadata!S18="",FALSE,TRUE),EXACT(metadata!S18,"Decimal degrees"))</f>
        <v>0</v>
      </c>
      <c r="BE18" t="b">
        <f>OR(AND(IF(metadata!T18="",FALSE,TRUE),OR(EXACT(metadata!T18,"missing: not collected"),EXACT(metadata!T18,"missing: not provided"),EXACT(metadata!T18,"missing: restricted access"))),AND(IF(metadata!T18="",FALSE,ISNUMBER(VALUE(metadata!T18))),metadata!T18&gt;=-180,metadata!T18&lt;=180))</f>
        <v>0</v>
      </c>
      <c r="BF18" t="b">
        <f>AND(IF(metadata!U18="",FALSE,TRUE),EXACT(metadata!U18,"Decimal degrees"))</f>
        <v>0</v>
      </c>
      <c r="BG18" t="b">
        <f>IF(metadata!V18="",FALSE,TRUE)</f>
        <v>0</v>
      </c>
      <c r="BH18" t="b">
        <f>OR(AND(IF(metadata!W18="",FALSE,TRUE),OR(EXACT(metadata!W18,"missing: not collected"),EXACT(metadata!W18,"missing: not provided"),EXACT(metadata!W18,"missing: restricted access"))),AND(IF(metadata!W18="",FALSE,TRUE),OR(EXACT(metadata!W18,"TRUE"),EXACT(metadata!W18,"FALSE"))))</f>
        <v>0</v>
      </c>
      <c r="BI18" t="b">
        <f>AND(IF(metadata!X18="",FALSE,TRUE),EXACT(metadata!X18,"other"))</f>
        <v>0</v>
      </c>
      <c r="BJ18" t="b">
        <f>IF(metadata!Y18="",FALSE,TRUE)</f>
        <v>0</v>
      </c>
      <c r="BK18" t="b">
        <f>OR(AND(IF(metadata!Z18="",FALSE,TRUE),OR(EXACT(metadata!Z18,"missing: not collected"),EXACT(metadata!Z18,"missing: not provided"))),AND(IF(metadata!Z18="",FALSE,IF(ISERROR(INT(metadata!Z18)),FALSE,INT(metadata!Z18)=metadata!Z18)),metadata!Z18&gt;0))</f>
        <v>0</v>
      </c>
      <c r="BL18" t="b">
        <f>AND(IF(metadata!AA18="",FALSE,TRUE),EXACT(metadata!AA18,"Not applicable"))</f>
        <v>0</v>
      </c>
      <c r="BM18" t="b">
        <f>IF(metadata!AB18="",FALSE,TRUE)</f>
        <v>0</v>
      </c>
    </row>
    <row r="19" spans="1:65" x14ac:dyDescent="0.2">
      <c r="A19" s="5" t="str">
        <f ca="1">IF(B19=" "," ",HYPERLINK(CONCATENATE("#metadata!",ADDRESS(INDEX($AH$2:$AH$1001,MATCH(ROWS($AF$2:AF19),$AF$2:$AF$1001,0),0),1)),INDEX($AK$2:$AK$1001,MATCH(ROWS($AF$2:AF19),$AF$2:$AF$1001,0),0)))</f>
        <v xml:space="preserve"> </v>
      </c>
      <c r="B19" s="4" t="str">
        <f ca="1">IF(OR(INDEX($AG$2:$AG$1001,MATCH(ROWS($AF$2:AF19),$AF$2:$AF$1001,0),1)&gt;=100000,INDEX($AM$1005:$BM$1005,1,MATCH(COLUMNS($AM$1006:AM1006),$AM$1006:$BM$1006,0))&gt;=100000), " ",IF(INDEX($AM$2:$BM$1001,MATCH(ROWS($AF$2:AF19),$AF$2:$AF$1001,0),MATCH(COLUMNS($AM$1006:AM1006),$AM$1006:$BM$1006,0)), HYPERLINK("#",""), HYPERLINK(CONCATENATE("#metadata!", ADDRESS(INDEX($AH$2:$AH$1001,MATCH(ROWS($AF$2:AF19),$AF$2:$AF$1001,0),0), INDEX($AM$1004:$BM$1004,1,MATCH(COLUMNS($AM$1006:AM1006),$AM$1006:$BM$1006,0)))),"Fix")))</f>
        <v xml:space="preserve"> </v>
      </c>
      <c r="C19" s="4" t="str">
        <f ca="1">IF(OR(INDEX($AG$2:$AG$1001,MATCH(ROWS($AF$2:AF19),$AF$2:$AF$1001,0),1)&gt;=100000,INDEX($AM$1005:$BM$1005,1,MATCH(COLUMNS($AM$1006:AN1006),$AM$1006:$BM$1006,0))&gt;=100000), " ",IF(INDEX($AM$2:$BM$1001,MATCH(ROWS($AF$2:AF19),$AF$2:$AF$1001,0),MATCH(COLUMNS($AM$1006:AN1006),$AM$1006:$BM$1006,0)), HYPERLINK("#",""), HYPERLINK(CONCATENATE("#metadata!", ADDRESS(INDEX($AH$2:$AH$1001,MATCH(ROWS($AF$2:AF19),$AF$2:$AF$1001,0),0), INDEX($AM$1004:$BM$1004,1,MATCH(COLUMNS($AM$1006:AN1006),$AM$1006:$BM$1006,0)))),"Fix")))</f>
        <v xml:space="preserve"> </v>
      </c>
      <c r="D19" s="4" t="str">
        <f ca="1">IF(OR(INDEX($AG$2:$AG$1001,MATCH(ROWS($AF$2:AF19),$AF$2:$AF$1001,0),1)&gt;=100000,INDEX($AM$1005:$BM$1005,1,MATCH(COLUMNS($AM$1006:AO1006),$AM$1006:$BM$1006,0))&gt;=100000), " ",IF(INDEX($AM$2:$BM$1001,MATCH(ROWS($AF$2:AF19),$AF$2:$AF$1001,0),MATCH(COLUMNS($AM$1006:AO1006),$AM$1006:$BM$1006,0)), HYPERLINK("#",""), HYPERLINK(CONCATENATE("#metadata!", ADDRESS(INDEX($AH$2:$AH$1001,MATCH(ROWS($AF$2:AF19),$AF$2:$AF$1001,0),0), INDEX($AM$1004:$BM$1004,1,MATCH(COLUMNS($AM$1006:AO1006),$AM$1006:$BM$1006,0)))),"Fix")))</f>
        <v xml:space="preserve"> </v>
      </c>
      <c r="E19" s="4" t="str">
        <f ca="1">IF(OR(INDEX($AG$2:$AG$1001,MATCH(ROWS($AF$2:AF19),$AF$2:$AF$1001,0),1)&gt;=100000,INDEX($AM$1005:$BM$1005,1,MATCH(COLUMNS($AM$1006:AP1006),$AM$1006:$BM$1006,0))&gt;=100000), " ",IF(INDEX($AM$2:$BM$1001,MATCH(ROWS($AF$2:AF19),$AF$2:$AF$1001,0),MATCH(COLUMNS($AM$1006:AP1006),$AM$1006:$BM$1006,0)), HYPERLINK("#",""), HYPERLINK(CONCATENATE("#metadata!", ADDRESS(INDEX($AH$2:$AH$1001,MATCH(ROWS($AF$2:AF19),$AF$2:$AF$1001,0),0), INDEX($AM$1004:$BM$1004,1,MATCH(COLUMNS($AM$1006:AP1006),$AM$1006:$BM$1006,0)))),"Fix")))</f>
        <v xml:space="preserve"> </v>
      </c>
      <c r="F19" s="4" t="str">
        <f ca="1">IF(OR(INDEX($AG$2:$AG$1001,MATCH(ROWS($AF$2:AF19),$AF$2:$AF$1001,0),1)&gt;=100000,INDEX($AM$1005:$BM$1005,1,MATCH(COLUMNS($AM$1006:AQ1006),$AM$1006:$BM$1006,0))&gt;=100000), " ",IF(INDEX($AM$2:$BM$1001,MATCH(ROWS($AF$2:AF19),$AF$2:$AF$1001,0),MATCH(COLUMNS($AM$1006:AQ1006),$AM$1006:$BM$1006,0)), HYPERLINK("#",""), HYPERLINK(CONCATENATE("#metadata!", ADDRESS(INDEX($AH$2:$AH$1001,MATCH(ROWS($AF$2:AF19),$AF$2:$AF$1001,0),0), INDEX($AM$1004:$BM$1004,1,MATCH(COLUMNS($AM$1006:AQ1006),$AM$1006:$BM$1006,0)))),"Fix")))</f>
        <v xml:space="preserve"> </v>
      </c>
      <c r="G19" s="4" t="str">
        <f ca="1">IF(OR(INDEX($AG$2:$AG$1001,MATCH(ROWS($AF$2:AF19),$AF$2:$AF$1001,0),1)&gt;=100000,INDEX($AM$1005:$BM$1005,1,MATCH(COLUMNS($AM$1006:AR1006),$AM$1006:$BM$1006,0))&gt;=100000), " ",IF(INDEX($AM$2:$BM$1001,MATCH(ROWS($AF$2:AF19),$AF$2:$AF$1001,0),MATCH(COLUMNS($AM$1006:AR1006),$AM$1006:$BM$1006,0)), HYPERLINK("#",""), HYPERLINK(CONCATENATE("#metadata!", ADDRESS(INDEX($AH$2:$AH$1001,MATCH(ROWS($AF$2:AF19),$AF$2:$AF$1001,0),0), INDEX($AM$1004:$BM$1004,1,MATCH(COLUMNS($AM$1006:AR1006),$AM$1006:$BM$1006,0)))),"Fix")))</f>
        <v xml:space="preserve"> </v>
      </c>
      <c r="H19" s="4" t="str">
        <f ca="1">IF(OR(INDEX($AG$2:$AG$1001,MATCH(ROWS($AF$2:AF19),$AF$2:$AF$1001,0),1)&gt;=100000,INDEX($AM$1005:$BM$1005,1,MATCH(COLUMNS($AM$1006:AS1006),$AM$1006:$BM$1006,0))&gt;=100000), " ",IF(INDEX($AM$2:$BM$1001,MATCH(ROWS($AF$2:AF19),$AF$2:$AF$1001,0),MATCH(COLUMNS($AM$1006:AS1006),$AM$1006:$BM$1006,0)), HYPERLINK("#",""), HYPERLINK(CONCATENATE("#metadata!", ADDRESS(INDEX($AH$2:$AH$1001,MATCH(ROWS($AF$2:AF19),$AF$2:$AF$1001,0),0), INDEX($AM$1004:$BM$1004,1,MATCH(COLUMNS($AM$1006:AS1006),$AM$1006:$BM$1006,0)))),"Fix")))</f>
        <v xml:space="preserve"> </v>
      </c>
      <c r="I19" s="4" t="str">
        <f ca="1">IF(OR(INDEX($AG$2:$AG$1001,MATCH(ROWS($AF$2:AF19),$AF$2:$AF$1001,0),1)&gt;=100000,INDEX($AM$1005:$BM$1005,1,MATCH(COLUMNS($AM$1006:AT1006),$AM$1006:$BM$1006,0))&gt;=100000), " ",IF(INDEX($AM$2:$BM$1001,MATCH(ROWS($AF$2:AF19),$AF$2:$AF$1001,0),MATCH(COLUMNS($AM$1006:AT1006),$AM$1006:$BM$1006,0)), HYPERLINK("#",""), HYPERLINK(CONCATENATE("#metadata!", ADDRESS(INDEX($AH$2:$AH$1001,MATCH(ROWS($AF$2:AF19),$AF$2:$AF$1001,0),0), INDEX($AM$1004:$BM$1004,1,MATCH(COLUMNS($AM$1006:AT1006),$AM$1006:$BM$1006,0)))),"Fix")))</f>
        <v xml:space="preserve"> </v>
      </c>
      <c r="J19" s="4" t="str">
        <f ca="1">IF(OR(INDEX($AG$2:$AG$1001,MATCH(ROWS($AF$2:AF19),$AF$2:$AF$1001,0),1)&gt;=100000,INDEX($AM$1005:$BM$1005,1,MATCH(COLUMNS($AM$1006:AU1006),$AM$1006:$BM$1006,0))&gt;=100000), " ",IF(INDEX($AM$2:$BM$1001,MATCH(ROWS($AF$2:AF19),$AF$2:$AF$1001,0),MATCH(COLUMNS($AM$1006:AU1006),$AM$1006:$BM$1006,0)), HYPERLINK("#",""), HYPERLINK(CONCATENATE("#metadata!", ADDRESS(INDEX($AH$2:$AH$1001,MATCH(ROWS($AF$2:AF19),$AF$2:$AF$1001,0),0), INDEX($AM$1004:$BM$1004,1,MATCH(COLUMNS($AM$1006:AU1006),$AM$1006:$BM$1006,0)))),"Fix")))</f>
        <v xml:space="preserve"> </v>
      </c>
      <c r="K19" s="4" t="str">
        <f ca="1">IF(OR(INDEX($AG$2:$AG$1001,MATCH(ROWS($AF$2:AF19),$AF$2:$AF$1001,0),1)&gt;=100000,INDEX($AM$1005:$BM$1005,1,MATCH(COLUMNS($AM$1006:AV1006),$AM$1006:$BM$1006,0))&gt;=100000), " ",IF(INDEX($AM$2:$BM$1001,MATCH(ROWS($AF$2:AF19),$AF$2:$AF$1001,0),MATCH(COLUMNS($AM$1006:AV1006),$AM$1006:$BM$1006,0)), HYPERLINK("#",""), HYPERLINK(CONCATENATE("#metadata!", ADDRESS(INDEX($AH$2:$AH$1001,MATCH(ROWS($AF$2:AF19),$AF$2:$AF$1001,0),0), INDEX($AM$1004:$BM$1004,1,MATCH(COLUMNS($AM$1006:AV1006),$AM$1006:$BM$1006,0)))),"Fix")))</f>
        <v xml:space="preserve"> </v>
      </c>
      <c r="L19" s="4" t="str">
        <f ca="1">IF(OR(INDEX($AG$2:$AG$1001,MATCH(ROWS($AF$2:AF19),$AF$2:$AF$1001,0),1)&gt;=100000,INDEX($AM$1005:$BM$1005,1,MATCH(COLUMNS($AM$1006:AW1006),$AM$1006:$BM$1006,0))&gt;=100000), " ",IF(INDEX($AM$2:$BM$1001,MATCH(ROWS($AF$2:AF19),$AF$2:$AF$1001,0),MATCH(COLUMNS($AM$1006:AW1006),$AM$1006:$BM$1006,0)), HYPERLINK("#",""), HYPERLINK(CONCATENATE("#metadata!", ADDRESS(INDEX($AH$2:$AH$1001,MATCH(ROWS($AF$2:AF19),$AF$2:$AF$1001,0),0), INDEX($AM$1004:$BM$1004,1,MATCH(COLUMNS($AM$1006:AW1006),$AM$1006:$BM$1006,0)))),"Fix")))</f>
        <v xml:space="preserve"> </v>
      </c>
      <c r="M19" s="4" t="str">
        <f ca="1">IF(OR(INDEX($AG$2:$AG$1001,MATCH(ROWS($AF$2:AF19),$AF$2:$AF$1001,0),1)&gt;=100000,INDEX($AM$1005:$BM$1005,1,MATCH(COLUMNS($AM$1006:AX1006),$AM$1006:$BM$1006,0))&gt;=100000), " ",IF(INDEX($AM$2:$BM$1001,MATCH(ROWS($AF$2:AF19),$AF$2:$AF$1001,0),MATCH(COLUMNS($AM$1006:AX1006),$AM$1006:$BM$1006,0)), HYPERLINK("#",""), HYPERLINK(CONCATENATE("#metadata!", ADDRESS(INDEX($AH$2:$AH$1001,MATCH(ROWS($AF$2:AF19),$AF$2:$AF$1001,0),0), INDEX($AM$1004:$BM$1004,1,MATCH(COLUMNS($AM$1006:AX1006),$AM$1006:$BM$1006,0)))),"Fix")))</f>
        <v xml:space="preserve"> </v>
      </c>
      <c r="N19" s="4" t="str">
        <f ca="1">IF(OR(INDEX($AG$2:$AG$1001,MATCH(ROWS($AF$2:AF19),$AF$2:$AF$1001,0),1)&gt;=100000,INDEX($AM$1005:$BM$1005,1,MATCH(COLUMNS($AM$1006:AY1006),$AM$1006:$BM$1006,0))&gt;=100000), " ",IF(INDEX($AM$2:$BM$1001,MATCH(ROWS($AF$2:AF19),$AF$2:$AF$1001,0),MATCH(COLUMNS($AM$1006:AY1006),$AM$1006:$BM$1006,0)), HYPERLINK("#",""), HYPERLINK(CONCATENATE("#metadata!", ADDRESS(INDEX($AH$2:$AH$1001,MATCH(ROWS($AF$2:AF19),$AF$2:$AF$1001,0),0), INDEX($AM$1004:$BM$1004,1,MATCH(COLUMNS($AM$1006:AY1006),$AM$1006:$BM$1006,0)))),"Fix")))</f>
        <v xml:space="preserve"> </v>
      </c>
      <c r="O19" s="4" t="str">
        <f ca="1">IF(OR(INDEX($AG$2:$AG$1001,MATCH(ROWS($AF$2:AF19),$AF$2:$AF$1001,0),1)&gt;=100000,INDEX($AM$1005:$BM$1005,1,MATCH(COLUMNS($AM$1006:AZ1006),$AM$1006:$BM$1006,0))&gt;=100000), " ",IF(INDEX($AM$2:$BM$1001,MATCH(ROWS($AF$2:AF19),$AF$2:$AF$1001,0),MATCH(COLUMNS($AM$1006:AZ1006),$AM$1006:$BM$1006,0)), HYPERLINK("#",""), HYPERLINK(CONCATENATE("#metadata!", ADDRESS(INDEX($AH$2:$AH$1001,MATCH(ROWS($AF$2:AF19),$AF$2:$AF$1001,0),0), INDEX($AM$1004:$BM$1004,1,MATCH(COLUMNS($AM$1006:AZ1006),$AM$1006:$BM$1006,0)))),"Fix")))</f>
        <v xml:space="preserve"> </v>
      </c>
      <c r="P19" s="4" t="str">
        <f ca="1">IF(OR(INDEX($AG$2:$AG$1001,MATCH(ROWS($AF$2:AF19),$AF$2:$AF$1001,0),1)&gt;=100000,INDEX($AM$1005:$BM$1005,1,MATCH(COLUMNS($AM$1006:BA1006),$AM$1006:$BM$1006,0))&gt;=100000), " ",IF(INDEX($AM$2:$BM$1001,MATCH(ROWS($AF$2:AF19),$AF$2:$AF$1001,0),MATCH(COLUMNS($AM$1006:BA1006),$AM$1006:$BM$1006,0)), HYPERLINK("#",""), HYPERLINK(CONCATENATE("#metadata!", ADDRESS(INDEX($AH$2:$AH$1001,MATCH(ROWS($AF$2:AF19),$AF$2:$AF$1001,0),0), INDEX($AM$1004:$BM$1004,1,MATCH(COLUMNS($AM$1006:BA1006),$AM$1006:$BM$1006,0)))),"Fix")))</f>
        <v xml:space="preserve"> </v>
      </c>
      <c r="Q19" s="4" t="str">
        <f ca="1">IF(OR(INDEX($AG$2:$AG$1001,MATCH(ROWS($AF$2:AF19),$AF$2:$AF$1001,0),1)&gt;=100000,INDEX($AM$1005:$BM$1005,1,MATCH(COLUMNS($AM$1006:BB1006),$AM$1006:$BM$1006,0))&gt;=100000), " ",IF(INDEX($AM$2:$BM$1001,MATCH(ROWS($AF$2:AF19),$AF$2:$AF$1001,0),MATCH(COLUMNS($AM$1006:BB1006),$AM$1006:$BM$1006,0)), HYPERLINK("#",""), HYPERLINK(CONCATENATE("#metadata!", ADDRESS(INDEX($AH$2:$AH$1001,MATCH(ROWS($AF$2:AF19),$AF$2:$AF$1001,0),0), INDEX($AM$1004:$BM$1004,1,MATCH(COLUMNS($AM$1006:BB1006),$AM$1006:$BM$1006,0)))),"Fix")))</f>
        <v xml:space="preserve"> </v>
      </c>
      <c r="R19" s="4" t="str">
        <f ca="1">IF(OR(INDEX($AG$2:$AG$1001,MATCH(ROWS($AF$2:AF19),$AF$2:$AF$1001,0),1)&gt;=100000,INDEX($AM$1005:$BM$1005,1,MATCH(COLUMNS($AM$1006:BC1006),$AM$1006:$BM$1006,0))&gt;=100000), " ",IF(INDEX($AM$2:$BM$1001,MATCH(ROWS($AF$2:AF19),$AF$2:$AF$1001,0),MATCH(COLUMNS($AM$1006:BC1006),$AM$1006:$BM$1006,0)), HYPERLINK("#",""), HYPERLINK(CONCATENATE("#metadata!", ADDRESS(INDEX($AH$2:$AH$1001,MATCH(ROWS($AF$2:AF19),$AF$2:$AF$1001,0),0), INDEX($AM$1004:$BM$1004,1,MATCH(COLUMNS($AM$1006:BC1006),$AM$1006:$BM$1006,0)))),"Fix")))</f>
        <v xml:space="preserve"> </v>
      </c>
      <c r="S19" s="4" t="str">
        <f ca="1">IF(OR(INDEX($AG$2:$AG$1001,MATCH(ROWS($AF$2:AF19),$AF$2:$AF$1001,0),1)&gt;=100000,INDEX($AM$1005:$BM$1005,1,MATCH(COLUMNS($AM$1006:BD1006),$AM$1006:$BM$1006,0))&gt;=100000), " ",IF(INDEX($AM$2:$BM$1001,MATCH(ROWS($AF$2:AF19),$AF$2:$AF$1001,0),MATCH(COLUMNS($AM$1006:BD1006),$AM$1006:$BM$1006,0)), HYPERLINK("#",""), HYPERLINK(CONCATENATE("#metadata!", ADDRESS(INDEX($AH$2:$AH$1001,MATCH(ROWS($AF$2:AF19),$AF$2:$AF$1001,0),0), INDEX($AM$1004:$BM$1004,1,MATCH(COLUMNS($AM$1006:BD1006),$AM$1006:$BM$1006,0)))),"Fix")))</f>
        <v xml:space="preserve"> </v>
      </c>
      <c r="T19" s="4" t="str">
        <f ca="1">IF(OR(INDEX($AG$2:$AG$1001,MATCH(ROWS($AF$2:AF19),$AF$2:$AF$1001,0),1)&gt;=100000,INDEX($AM$1005:$BM$1005,1,MATCH(COLUMNS($AM$1006:BE1006),$AM$1006:$BM$1006,0))&gt;=100000), " ",IF(INDEX($AM$2:$BM$1001,MATCH(ROWS($AF$2:AF19),$AF$2:$AF$1001,0),MATCH(COLUMNS($AM$1006:BE1006),$AM$1006:$BM$1006,0)), HYPERLINK("#",""), HYPERLINK(CONCATENATE("#metadata!", ADDRESS(INDEX($AH$2:$AH$1001,MATCH(ROWS($AF$2:AF19),$AF$2:$AF$1001,0),0), INDEX($AM$1004:$BM$1004,1,MATCH(COLUMNS($AM$1006:BE1006),$AM$1006:$BM$1006,0)))),"Fix")))</f>
        <v xml:space="preserve"> </v>
      </c>
      <c r="U19" s="4" t="str">
        <f ca="1">IF(OR(INDEX($AG$2:$AG$1001,MATCH(ROWS($AF$2:AF19),$AF$2:$AF$1001,0),1)&gt;=100000,INDEX($AM$1005:$BM$1005,1,MATCH(COLUMNS($AM$1006:BF1006),$AM$1006:$BM$1006,0))&gt;=100000), " ",IF(INDEX($AM$2:$BM$1001,MATCH(ROWS($AF$2:AF19),$AF$2:$AF$1001,0),MATCH(COLUMNS($AM$1006:BF1006),$AM$1006:$BM$1006,0)), HYPERLINK("#",""), HYPERLINK(CONCATENATE("#metadata!", ADDRESS(INDEX($AH$2:$AH$1001,MATCH(ROWS($AF$2:AF19),$AF$2:$AF$1001,0),0), INDEX($AM$1004:$BM$1004,1,MATCH(COLUMNS($AM$1006:BF1006),$AM$1006:$BM$1006,0)))),"Fix")))</f>
        <v xml:space="preserve"> </v>
      </c>
      <c r="V19" s="4" t="str">
        <f ca="1">IF(OR(INDEX($AG$2:$AG$1001,MATCH(ROWS($AF$2:AF19),$AF$2:$AF$1001,0),1)&gt;=100000,INDEX($AM$1005:$BM$1005,1,MATCH(COLUMNS($AM$1006:BG1006),$AM$1006:$BM$1006,0))&gt;=100000), " ",IF(INDEX($AM$2:$BM$1001,MATCH(ROWS($AF$2:AF19),$AF$2:$AF$1001,0),MATCH(COLUMNS($AM$1006:BG1006),$AM$1006:$BM$1006,0)), HYPERLINK("#",""), HYPERLINK(CONCATENATE("#metadata!", ADDRESS(INDEX($AH$2:$AH$1001,MATCH(ROWS($AF$2:AF19),$AF$2:$AF$1001,0),0), INDEX($AM$1004:$BM$1004,1,MATCH(COLUMNS($AM$1006:BG1006),$AM$1006:$BM$1006,0)))),"Fix")))</f>
        <v xml:space="preserve"> </v>
      </c>
      <c r="W19" s="4" t="str">
        <f ca="1">IF(OR(INDEX($AG$2:$AG$1001,MATCH(ROWS($AF$2:AF19),$AF$2:$AF$1001,0),1)&gt;=100000,INDEX($AM$1005:$BM$1005,1,MATCH(COLUMNS($AM$1006:BH1006),$AM$1006:$BM$1006,0))&gt;=100000), " ",IF(INDEX($AM$2:$BM$1001,MATCH(ROWS($AF$2:AF19),$AF$2:$AF$1001,0),MATCH(COLUMNS($AM$1006:BH1006),$AM$1006:$BM$1006,0)), HYPERLINK("#",""), HYPERLINK(CONCATENATE("#metadata!", ADDRESS(INDEX($AH$2:$AH$1001,MATCH(ROWS($AF$2:AF19),$AF$2:$AF$1001,0),0), INDEX($AM$1004:$BM$1004,1,MATCH(COLUMNS($AM$1006:BH1006),$AM$1006:$BM$1006,0)))),"Fix")))</f>
        <v xml:space="preserve"> </v>
      </c>
      <c r="X19" s="4" t="str">
        <f ca="1">IF(OR(INDEX($AG$2:$AG$1001,MATCH(ROWS($AF$2:AF19),$AF$2:$AF$1001,0),1)&gt;=100000,INDEX($AM$1005:$BM$1005,1,MATCH(COLUMNS($AM$1006:BI1006),$AM$1006:$BM$1006,0))&gt;=100000), " ",IF(INDEX($AM$2:$BM$1001,MATCH(ROWS($AF$2:AF19),$AF$2:$AF$1001,0),MATCH(COLUMNS($AM$1006:BI1006),$AM$1006:$BM$1006,0)), HYPERLINK("#",""), HYPERLINK(CONCATENATE("#metadata!", ADDRESS(INDEX($AH$2:$AH$1001,MATCH(ROWS($AF$2:AF19),$AF$2:$AF$1001,0),0), INDEX($AM$1004:$BM$1004,1,MATCH(COLUMNS($AM$1006:BI1006),$AM$1006:$BM$1006,0)))),"Fix")))</f>
        <v xml:space="preserve"> </v>
      </c>
      <c r="Y19" s="4" t="str">
        <f ca="1">IF(OR(INDEX($AG$2:$AG$1001,MATCH(ROWS($AF$2:AF19),$AF$2:$AF$1001,0),1)&gt;=100000,INDEX($AM$1005:$BM$1005,1,MATCH(COLUMNS($AM$1006:BJ1006),$AM$1006:$BM$1006,0))&gt;=100000), " ",IF(INDEX($AM$2:$BM$1001,MATCH(ROWS($AF$2:AF19),$AF$2:$AF$1001,0),MATCH(COLUMNS($AM$1006:BJ1006),$AM$1006:$BM$1006,0)), HYPERLINK("#",""), HYPERLINK(CONCATENATE("#metadata!", ADDRESS(INDEX($AH$2:$AH$1001,MATCH(ROWS($AF$2:AF19),$AF$2:$AF$1001,0),0), INDEX($AM$1004:$BM$1004,1,MATCH(COLUMNS($AM$1006:BJ1006),$AM$1006:$BM$1006,0)))),"Fix")))</f>
        <v xml:space="preserve"> </v>
      </c>
      <c r="Z19" s="4" t="str">
        <f ca="1">IF(OR(INDEX($AG$2:$AG$1001,MATCH(ROWS($AF$2:AF19),$AF$2:$AF$1001,0),1)&gt;=100000,INDEX($AM$1005:$BM$1005,1,MATCH(COLUMNS($AM$1006:BK1006),$AM$1006:$BM$1006,0))&gt;=100000), " ",IF(INDEX($AM$2:$BM$1001,MATCH(ROWS($AF$2:AF19),$AF$2:$AF$1001,0),MATCH(COLUMNS($AM$1006:BK1006),$AM$1006:$BM$1006,0)), HYPERLINK("#",""), HYPERLINK(CONCATENATE("#metadata!", ADDRESS(INDEX($AH$2:$AH$1001,MATCH(ROWS($AF$2:AF19),$AF$2:$AF$1001,0),0), INDEX($AM$1004:$BM$1004,1,MATCH(COLUMNS($AM$1006:BK1006),$AM$1006:$BM$1006,0)))),"Fix")))</f>
        <v xml:space="preserve"> </v>
      </c>
      <c r="AA19" s="4" t="str">
        <f ca="1">IF(OR(INDEX($AG$2:$AG$1001,MATCH(ROWS($AF$2:AF19),$AF$2:$AF$1001,0),1)&gt;=100000,INDEX($AM$1005:$BM$1005,1,MATCH(COLUMNS($AM$1006:BL1006),$AM$1006:$BM$1006,0))&gt;=100000), " ",IF(INDEX($AM$2:$BM$1001,MATCH(ROWS($AF$2:AF19),$AF$2:$AF$1001,0),MATCH(COLUMNS($AM$1006:BL1006),$AM$1006:$BM$1006,0)), HYPERLINK("#",""), HYPERLINK(CONCATENATE("#metadata!", ADDRESS(INDEX($AH$2:$AH$1001,MATCH(ROWS($AF$2:AF19),$AF$2:$AF$1001,0),0), INDEX($AM$1004:$BM$1004,1,MATCH(COLUMNS($AM$1006:BL1006),$AM$1006:$BM$1006,0)))),"Fix")))</f>
        <v xml:space="preserve"> </v>
      </c>
      <c r="AB19" s="4" t="str">
        <f ca="1">IF(OR(INDEX($AG$2:$AG$1001,MATCH(ROWS($AF$2:AF19),$AF$2:$AF$1001,0),1)&gt;=100000,INDEX($AM$1005:$BM$1005,1,MATCH(COLUMNS($AM$1006:BM1006),$AM$1006:$BM$1006,0))&gt;=100000), " ",IF(INDEX($AM$2:$BM$1001,MATCH(ROWS($AF$2:AF19),$AF$2:$AF$1001,0),MATCH(COLUMNS($AM$1006:BM1006),$AM$1006:$BM$1006,0)), HYPERLINK("#",""), HYPERLINK(CONCATENATE("#metadata!", ADDRESS(INDEX($AH$2:$AH$1001,MATCH(ROWS($AF$2:AF19),$AF$2:$AF$1001,0),0), INDEX($AM$1004:$BM$1004,1,MATCH(COLUMNS($AM$1006:BM1006),$AM$1006:$BM$1006,0)))),"Fix")))</f>
        <v xml:space="preserve"> </v>
      </c>
      <c r="AF19">
        <v>18</v>
      </c>
      <c r="AG19">
        <v>100019</v>
      </c>
      <c r="AH19">
        <v>19</v>
      </c>
      <c r="AI19" t="b">
        <f t="shared" si="0"/>
        <v>1</v>
      </c>
      <c r="AJ19" t="b">
        <f>COUNTBLANK(metadata!B19:AB19)=COLUMNS(metadata!B19:AB19)</f>
        <v>1</v>
      </c>
      <c r="AK19" t="str">
        <v/>
      </c>
      <c r="AM19" t="b">
        <f ca="1">AND(IF(metadata!B19="",FALSE,TRUE),COUNTIF(metadata!B:B, metadata!B19) = 1,NOT(ISERROR(SUMPRODUCT(SEARCH(MID(metadata!B19,ROW(INDIRECT("1:"&amp;LEN(metadata!B19))), 1),"0123456789abcdefghijklmnopqrstuvwxyzABCDEFGHIJKLMNOPQRSTUVWXYZ.")))))</f>
        <v>0</v>
      </c>
      <c r="AN19" t="b">
        <f ca="1">OR(AND(IF(metadata!C19="",FALSE,TRUE),OR(EXACT(metadata!C19,"missing: not collected"),EXACT(metadata!C19,"missing: not provided"),EXACT(metadata!C19,"missing: restricted access"))),AND(IF(metadata!C19="",FALSE,TRUE),AND(AND(IFERROR(INT(LEFT(metadata!C19,4))&gt;1900,FALSE),IFERROR(INT(LEFT(metadata!C19,4))&lt;=YEAR(NOW()),FALSE)), OR(MID(metadata!C19,5,1)="", AND(AND(MID(metadata!C19,5,1)="-",IFERROR(INT(MID(metadata!C19,6,1))&gt;=0,FALSE),IFERROR(INT(MID(metadata!C19,6,1))&lt;=1,FALSE),NOT(MID(metadata!C19,7,1)=""),IFERROR(INT(MID(metadata!C19,6,2))&gt;=1,FALSE),IFERROR(INT(MID(metadata!C19,6,2))&lt;=12,FALSE)), OR(MID(metadata!C19,8,1)="", AND(AND(MID(metadata!C19,8,1)="-",IFERROR(INT(MID(metadata!C19,9,1))&gt;=0,FALSE),IFERROR(INT(MID(metadata!C19,9,1))&lt;=3,FALSE),NOT(MID(metadata!C19,10,1)=""),IFERROR(INT(MID(metadata!C19,9,2))&gt;=1,FALSE),IFERROR(INT(MID(metadata!C19,9,2))&lt;=31,FALSE)), OR(MID(metadata!C19,11,1)="", AND(AND(MID(metadata!C19,11,1)=" ",IFERROR(INT(MID(metadata!C19,12,1))&gt;=0,FALSE),IFERROR(INT(MID(metadata!C19,12,1))&lt;=2,FALSE),NOT(MID(metadata!C19,13,1)=""),IFERROR(INT(MID(metadata!C19,12,2))&gt;=0,FALSE),IFERROR(INT(MID(metadata!C19,12,2))&lt;=23,FALSE)), OR(MID(metadata!C19,14,1)="", AND(AND(MID(metadata!C19,14,1)=":",IFERROR(INT(MID(metadata!C19,15,1))&gt;=0,FALSE),IFERROR(INT(MID(metadata!C19,15,1))&lt;=5,FALSE),NOT(MID(metadata!C19,16,1)=""),IFERROR(INT(MID(metadata!C19,15,2))&gt;=0,FALSE),IFERROR(INT(MID(metadata!C19,15,2))&lt;=59,FALSE)), OR(MID(metadata!C19,17,1)="", AND(AND(MID(metadata!C19,17,1)=":",IFERROR(INT(MID(metadata!C19,18,1))&gt;=0,FALSE),IFERROR(INT(MID(metadata!C19,18,1))&lt;=5,FALSE),NOT(MID(metadata!C19,19,1)=""),IFERROR(INT(MID(metadata!C19,18,2))&gt;=0,FALSE),IFERROR(INT(MID(metadata!C19,18,2))&lt;=59,FALSE)), LEN(metadata!C19)&lt;=19)))))))))))))</f>
        <v>0</v>
      </c>
      <c r="AO19" t="b">
        <f>AND(IF(metadata!D19="",FALSE,TRUE),EXACT(metadata!D19,"Not applicable"))</f>
        <v>0</v>
      </c>
      <c r="AP19" t="b">
        <f>IF(metadata!E19="",FALSE,TRUE)</f>
        <v>0</v>
      </c>
      <c r="AQ19" t="b">
        <f>OR(AND(IF(metadata!F19="",FALSE,TRUE),OR(EXACT(metadata!F19,"missing: not collected"),EXACT(metadata!F19,"missing: not provided"))),AND(IF(metadata!F19="",FALSE,TRUE),OR(EXACT(metadata!F19,"TRUE"),EXACT(metadata!F19,"FALSE"))))</f>
        <v>0</v>
      </c>
      <c r="AR19" t="b">
        <f>OR(AND(IF(metadata!G19="",FALSE,TRUE),OR(EXACT(metadata!G19,"missing: not collected"),EXACT(metadata!G19,"missing: not provided"),EXACT(metadata!G19,"missing: restricted access"))),AND(IF(metadata!G19="",FALSE,ISNUMBER(VALUE(metadata!G19))),metadata!G19&gt;=-413))</f>
        <v>0</v>
      </c>
      <c r="AS19" t="b">
        <f>AND(IF(metadata!H19="",FALSE,TRUE),EXACT(metadata!H19,"meters"))</f>
        <v>0</v>
      </c>
      <c r="AT19" t="b">
        <f>AND(IF(metadata!I19="",FALSE,TRUE),OR(EXACT(metadata!I19,"Host-associated"),EXACT(metadata!I19,"Free-living")))</f>
        <v>0</v>
      </c>
      <c r="AU19" t="b">
        <f>AND(IF(metadata!J19="",FALSE,TRUE),OR(EXACT(metadata!J19,"Animal"),EXACT(metadata!J19,"Fungus"),EXACT(metadata!J19,"Plant"),EXACT(metadata!J19,"Saline"),EXACT(metadata!J19,"Non-saline")))</f>
        <v>0</v>
      </c>
      <c r="AV19" t="b">
        <f>AND(IF(metadata!K19="",FALSE,TRUE),OR(EXACT(metadata!K19,"Plant secretion"),EXACT(metadata!K19,"Plant rhizosphere"),EXACT(metadata!K19,"Plant surface"),EXACT(metadata!K19,"Plant corpus"),EXACT(metadata!K19,"Fungus surface"),EXACT(metadata!K19,"Fungus corpus"),EXACT(metadata!K19,"Animal surface"),EXACT(metadata!K19,"Animal proximal gut"),EXACT(metadata!K19,"Animal corpus"),EXACT(metadata!K19,"Animal distal gut"),EXACT(metadata!K19,"Animal secretion"),EXACT(metadata!K19,"Sub-surface (non-saline)"),EXACT(metadata!K19,"Surface (non-saline)"),EXACT(metadata!K19,"Water (non-saline)"),EXACT(metadata!K19,"Soil (non-saline)"),EXACT(metadata!K19,"Aerosol (non-saline)"),EXACT(metadata!K19,"Sediment (non-saline)"),EXACT(metadata!K19,"Surface (saline)"),EXACT(metadata!K19,"Water (saline)"),EXACT(metadata!K19,"Hypersaline (saline)"),EXACT(metadata!K19,"Aerosol (saline)"),EXACT(metadata!K19,"Sediment (saline)")))</f>
        <v>0</v>
      </c>
      <c r="AW19" t="b">
        <f>IF(metadata!L19="",FALSE,TRUE)</f>
        <v>0</v>
      </c>
      <c r="AX19" t="b">
        <f>IF(metadata!M19="",FALSE,TRUE)</f>
        <v>0</v>
      </c>
      <c r="AY19" t="b">
        <f>IF(metadata!N19="",FALSE,TRUE)</f>
        <v>0</v>
      </c>
      <c r="AZ19" t="b">
        <f>OR(AND(IF(metadata!O19="",FALSE,TRUE),OR(EXACT(metadata!O19,"missing: not collected"),EXACT(metadata!O19,"missing: not provided"),EXACT(metadata!O19,"missing: restricted access"))),AND(IF(metadata!O19="",FALSE,TRUE),OR(EXACT(metadata!O19,"air"),EXACT(metadata!O19,"built environment"),EXACT(metadata!O19,"host-associated"),EXACT(metadata!O19,"human-associated"),EXACT(metadata!O19,"human-skin"),EXACT(metadata!O19,"human-oral"),EXACT(metadata!O19,"human-gut"),EXACT(metadata!O19,"human-vaginal"),EXACT(metadata!O19,"microbial mat/biofilm"),EXACT(metadata!O19,"misc environment"),EXACT(metadata!O19,"plant-associated"),EXACT(metadata!O19,"sediment"),EXACT(metadata!O19,"soil"),EXACT(metadata!O19,"wastewater/sludge"),EXACT(metadata!O19,"water"))))</f>
        <v>0</v>
      </c>
      <c r="BA19" t="b">
        <f>IF(metadata!P19="",FALSE,TRUE)</f>
        <v>0</v>
      </c>
      <c r="BB19" t="b">
        <f>IF(metadata!Q19="",FALSE,TRUE)</f>
        <v>0</v>
      </c>
      <c r="BC19" t="b">
        <f>OR(AND(IF(metadata!R19="",FALSE,TRUE),OR(EXACT(metadata!R19,"missing: not collected"),EXACT(metadata!R19,"missing: not provided"),EXACT(metadata!R19,"missing: restricted access"))),AND(IF(metadata!R19="",FALSE,ISNUMBER(VALUE(metadata!R19))),metadata!R19&gt;=-90,metadata!R19&lt;=90))</f>
        <v>0</v>
      </c>
      <c r="BD19" t="b">
        <f>AND(IF(metadata!S19="",FALSE,TRUE),EXACT(metadata!S19,"Decimal degrees"))</f>
        <v>0</v>
      </c>
      <c r="BE19" t="b">
        <f>OR(AND(IF(metadata!T19="",FALSE,TRUE),OR(EXACT(metadata!T19,"missing: not collected"),EXACT(metadata!T19,"missing: not provided"),EXACT(metadata!T19,"missing: restricted access"))),AND(IF(metadata!T19="",FALSE,ISNUMBER(VALUE(metadata!T19))),metadata!T19&gt;=-180,metadata!T19&lt;=180))</f>
        <v>0</v>
      </c>
      <c r="BF19" t="b">
        <f>AND(IF(metadata!U19="",FALSE,TRUE),EXACT(metadata!U19,"Decimal degrees"))</f>
        <v>0</v>
      </c>
      <c r="BG19" t="b">
        <f>IF(metadata!V19="",FALSE,TRUE)</f>
        <v>0</v>
      </c>
      <c r="BH19" t="b">
        <f>OR(AND(IF(metadata!W19="",FALSE,TRUE),OR(EXACT(metadata!W19,"missing: not collected"),EXACT(metadata!W19,"missing: not provided"),EXACT(metadata!W19,"missing: restricted access"))),AND(IF(metadata!W19="",FALSE,TRUE),OR(EXACT(metadata!W19,"TRUE"),EXACT(metadata!W19,"FALSE"))))</f>
        <v>0</v>
      </c>
      <c r="BI19" t="b">
        <f>AND(IF(metadata!X19="",FALSE,TRUE),EXACT(metadata!X19,"other"))</f>
        <v>0</v>
      </c>
      <c r="BJ19" t="b">
        <f>IF(metadata!Y19="",FALSE,TRUE)</f>
        <v>0</v>
      </c>
      <c r="BK19" t="b">
        <f>OR(AND(IF(metadata!Z19="",FALSE,TRUE),OR(EXACT(metadata!Z19,"missing: not collected"),EXACT(metadata!Z19,"missing: not provided"))),AND(IF(metadata!Z19="",FALSE,IF(ISERROR(INT(metadata!Z19)),FALSE,INT(metadata!Z19)=metadata!Z19)),metadata!Z19&gt;0))</f>
        <v>0</v>
      </c>
      <c r="BL19" t="b">
        <f>AND(IF(metadata!AA19="",FALSE,TRUE),EXACT(metadata!AA19,"Not applicable"))</f>
        <v>0</v>
      </c>
      <c r="BM19" t="b">
        <f>IF(metadata!AB19="",FALSE,TRUE)</f>
        <v>0</v>
      </c>
    </row>
    <row r="20" spans="1:65" x14ac:dyDescent="0.2">
      <c r="A20" s="5" t="str">
        <f ca="1">IF(B20=" "," ",HYPERLINK(CONCATENATE("#metadata!",ADDRESS(INDEX($AH$2:$AH$1001,MATCH(ROWS($AF$2:AF20),$AF$2:$AF$1001,0),0),1)),INDEX($AK$2:$AK$1001,MATCH(ROWS($AF$2:AF20),$AF$2:$AF$1001,0),0)))</f>
        <v xml:space="preserve"> </v>
      </c>
      <c r="B20" s="4" t="str">
        <f ca="1">IF(OR(INDEX($AG$2:$AG$1001,MATCH(ROWS($AF$2:AF20),$AF$2:$AF$1001,0),1)&gt;=100000,INDEX($AM$1005:$BM$1005,1,MATCH(COLUMNS($AM$1006:AM1006),$AM$1006:$BM$1006,0))&gt;=100000), " ",IF(INDEX($AM$2:$BM$1001,MATCH(ROWS($AF$2:AF20),$AF$2:$AF$1001,0),MATCH(COLUMNS($AM$1006:AM1006),$AM$1006:$BM$1006,0)), HYPERLINK("#",""), HYPERLINK(CONCATENATE("#metadata!", ADDRESS(INDEX($AH$2:$AH$1001,MATCH(ROWS($AF$2:AF20),$AF$2:$AF$1001,0),0), INDEX($AM$1004:$BM$1004,1,MATCH(COLUMNS($AM$1006:AM1006),$AM$1006:$BM$1006,0)))),"Fix")))</f>
        <v xml:space="preserve"> </v>
      </c>
      <c r="C20" s="4" t="str">
        <f ca="1">IF(OR(INDEX($AG$2:$AG$1001,MATCH(ROWS($AF$2:AF20),$AF$2:$AF$1001,0),1)&gt;=100000,INDEX($AM$1005:$BM$1005,1,MATCH(COLUMNS($AM$1006:AN1006),$AM$1006:$BM$1006,0))&gt;=100000), " ",IF(INDEX($AM$2:$BM$1001,MATCH(ROWS($AF$2:AF20),$AF$2:$AF$1001,0),MATCH(COLUMNS($AM$1006:AN1006),$AM$1006:$BM$1006,0)), HYPERLINK("#",""), HYPERLINK(CONCATENATE("#metadata!", ADDRESS(INDEX($AH$2:$AH$1001,MATCH(ROWS($AF$2:AF20),$AF$2:$AF$1001,0),0), INDEX($AM$1004:$BM$1004,1,MATCH(COLUMNS($AM$1006:AN1006),$AM$1006:$BM$1006,0)))),"Fix")))</f>
        <v xml:space="preserve"> </v>
      </c>
      <c r="D20" s="4" t="str">
        <f ca="1">IF(OR(INDEX($AG$2:$AG$1001,MATCH(ROWS($AF$2:AF20),$AF$2:$AF$1001,0),1)&gt;=100000,INDEX($AM$1005:$BM$1005,1,MATCH(COLUMNS($AM$1006:AO1006),$AM$1006:$BM$1006,0))&gt;=100000), " ",IF(INDEX($AM$2:$BM$1001,MATCH(ROWS($AF$2:AF20),$AF$2:$AF$1001,0),MATCH(COLUMNS($AM$1006:AO1006),$AM$1006:$BM$1006,0)), HYPERLINK("#",""), HYPERLINK(CONCATENATE("#metadata!", ADDRESS(INDEX($AH$2:$AH$1001,MATCH(ROWS($AF$2:AF20),$AF$2:$AF$1001,0),0), INDEX($AM$1004:$BM$1004,1,MATCH(COLUMNS($AM$1006:AO1006),$AM$1006:$BM$1006,0)))),"Fix")))</f>
        <v xml:space="preserve"> </v>
      </c>
      <c r="E20" s="4" t="str">
        <f ca="1">IF(OR(INDEX($AG$2:$AG$1001,MATCH(ROWS($AF$2:AF20),$AF$2:$AF$1001,0),1)&gt;=100000,INDEX($AM$1005:$BM$1005,1,MATCH(COLUMNS($AM$1006:AP1006),$AM$1006:$BM$1006,0))&gt;=100000), " ",IF(INDEX($AM$2:$BM$1001,MATCH(ROWS($AF$2:AF20),$AF$2:$AF$1001,0),MATCH(COLUMNS($AM$1006:AP1006),$AM$1006:$BM$1006,0)), HYPERLINK("#",""), HYPERLINK(CONCATENATE("#metadata!", ADDRESS(INDEX($AH$2:$AH$1001,MATCH(ROWS($AF$2:AF20),$AF$2:$AF$1001,0),0), INDEX($AM$1004:$BM$1004,1,MATCH(COLUMNS($AM$1006:AP1006),$AM$1006:$BM$1006,0)))),"Fix")))</f>
        <v xml:space="preserve"> </v>
      </c>
      <c r="F20" s="4" t="str">
        <f ca="1">IF(OR(INDEX($AG$2:$AG$1001,MATCH(ROWS($AF$2:AF20),$AF$2:$AF$1001,0),1)&gt;=100000,INDEX($AM$1005:$BM$1005,1,MATCH(COLUMNS($AM$1006:AQ1006),$AM$1006:$BM$1006,0))&gt;=100000), " ",IF(INDEX($AM$2:$BM$1001,MATCH(ROWS($AF$2:AF20),$AF$2:$AF$1001,0),MATCH(COLUMNS($AM$1006:AQ1006),$AM$1006:$BM$1006,0)), HYPERLINK("#",""), HYPERLINK(CONCATENATE("#metadata!", ADDRESS(INDEX($AH$2:$AH$1001,MATCH(ROWS($AF$2:AF20),$AF$2:$AF$1001,0),0), INDEX($AM$1004:$BM$1004,1,MATCH(COLUMNS($AM$1006:AQ1006),$AM$1006:$BM$1006,0)))),"Fix")))</f>
        <v xml:space="preserve"> </v>
      </c>
      <c r="G20" s="4" t="str">
        <f ca="1">IF(OR(INDEX($AG$2:$AG$1001,MATCH(ROWS($AF$2:AF20),$AF$2:$AF$1001,0),1)&gt;=100000,INDEX($AM$1005:$BM$1005,1,MATCH(COLUMNS($AM$1006:AR1006),$AM$1006:$BM$1006,0))&gt;=100000), " ",IF(INDEX($AM$2:$BM$1001,MATCH(ROWS($AF$2:AF20),$AF$2:$AF$1001,0),MATCH(COLUMNS($AM$1006:AR1006),$AM$1006:$BM$1006,0)), HYPERLINK("#",""), HYPERLINK(CONCATENATE("#metadata!", ADDRESS(INDEX($AH$2:$AH$1001,MATCH(ROWS($AF$2:AF20),$AF$2:$AF$1001,0),0), INDEX($AM$1004:$BM$1004,1,MATCH(COLUMNS($AM$1006:AR1006),$AM$1006:$BM$1006,0)))),"Fix")))</f>
        <v xml:space="preserve"> </v>
      </c>
      <c r="H20" s="4" t="str">
        <f ca="1">IF(OR(INDEX($AG$2:$AG$1001,MATCH(ROWS($AF$2:AF20),$AF$2:$AF$1001,0),1)&gt;=100000,INDEX($AM$1005:$BM$1005,1,MATCH(COLUMNS($AM$1006:AS1006),$AM$1006:$BM$1006,0))&gt;=100000), " ",IF(INDEX($AM$2:$BM$1001,MATCH(ROWS($AF$2:AF20),$AF$2:$AF$1001,0),MATCH(COLUMNS($AM$1006:AS1006),$AM$1006:$BM$1006,0)), HYPERLINK("#",""), HYPERLINK(CONCATENATE("#metadata!", ADDRESS(INDEX($AH$2:$AH$1001,MATCH(ROWS($AF$2:AF20),$AF$2:$AF$1001,0),0), INDEX($AM$1004:$BM$1004,1,MATCH(COLUMNS($AM$1006:AS1006),$AM$1006:$BM$1006,0)))),"Fix")))</f>
        <v xml:space="preserve"> </v>
      </c>
      <c r="I20" s="4" t="str">
        <f ca="1">IF(OR(INDEX($AG$2:$AG$1001,MATCH(ROWS($AF$2:AF20),$AF$2:$AF$1001,0),1)&gt;=100000,INDEX($AM$1005:$BM$1005,1,MATCH(COLUMNS($AM$1006:AT1006),$AM$1006:$BM$1006,0))&gt;=100000), " ",IF(INDEX($AM$2:$BM$1001,MATCH(ROWS($AF$2:AF20),$AF$2:$AF$1001,0),MATCH(COLUMNS($AM$1006:AT1006),$AM$1006:$BM$1006,0)), HYPERLINK("#",""), HYPERLINK(CONCATENATE("#metadata!", ADDRESS(INDEX($AH$2:$AH$1001,MATCH(ROWS($AF$2:AF20),$AF$2:$AF$1001,0),0), INDEX($AM$1004:$BM$1004,1,MATCH(COLUMNS($AM$1006:AT1006),$AM$1006:$BM$1006,0)))),"Fix")))</f>
        <v xml:space="preserve"> </v>
      </c>
      <c r="J20" s="4" t="str">
        <f ca="1">IF(OR(INDEX($AG$2:$AG$1001,MATCH(ROWS($AF$2:AF20),$AF$2:$AF$1001,0),1)&gt;=100000,INDEX($AM$1005:$BM$1005,1,MATCH(COLUMNS($AM$1006:AU1006),$AM$1006:$BM$1006,0))&gt;=100000), " ",IF(INDEX($AM$2:$BM$1001,MATCH(ROWS($AF$2:AF20),$AF$2:$AF$1001,0),MATCH(COLUMNS($AM$1006:AU1006),$AM$1006:$BM$1006,0)), HYPERLINK("#",""), HYPERLINK(CONCATENATE("#metadata!", ADDRESS(INDEX($AH$2:$AH$1001,MATCH(ROWS($AF$2:AF20),$AF$2:$AF$1001,0),0), INDEX($AM$1004:$BM$1004,1,MATCH(COLUMNS($AM$1006:AU1006),$AM$1006:$BM$1006,0)))),"Fix")))</f>
        <v xml:space="preserve"> </v>
      </c>
      <c r="K20" s="4" t="str">
        <f ca="1">IF(OR(INDEX($AG$2:$AG$1001,MATCH(ROWS($AF$2:AF20),$AF$2:$AF$1001,0),1)&gt;=100000,INDEX($AM$1005:$BM$1005,1,MATCH(COLUMNS($AM$1006:AV1006),$AM$1006:$BM$1006,0))&gt;=100000), " ",IF(INDEX($AM$2:$BM$1001,MATCH(ROWS($AF$2:AF20),$AF$2:$AF$1001,0),MATCH(COLUMNS($AM$1006:AV1006),$AM$1006:$BM$1006,0)), HYPERLINK("#",""), HYPERLINK(CONCATENATE("#metadata!", ADDRESS(INDEX($AH$2:$AH$1001,MATCH(ROWS($AF$2:AF20),$AF$2:$AF$1001,0),0), INDEX($AM$1004:$BM$1004,1,MATCH(COLUMNS($AM$1006:AV1006),$AM$1006:$BM$1006,0)))),"Fix")))</f>
        <v xml:space="preserve"> </v>
      </c>
      <c r="L20" s="4" t="str">
        <f ca="1">IF(OR(INDEX($AG$2:$AG$1001,MATCH(ROWS($AF$2:AF20),$AF$2:$AF$1001,0),1)&gt;=100000,INDEX($AM$1005:$BM$1005,1,MATCH(COLUMNS($AM$1006:AW1006),$AM$1006:$BM$1006,0))&gt;=100000), " ",IF(INDEX($AM$2:$BM$1001,MATCH(ROWS($AF$2:AF20),$AF$2:$AF$1001,0),MATCH(COLUMNS($AM$1006:AW1006),$AM$1006:$BM$1006,0)), HYPERLINK("#",""), HYPERLINK(CONCATENATE("#metadata!", ADDRESS(INDEX($AH$2:$AH$1001,MATCH(ROWS($AF$2:AF20),$AF$2:$AF$1001,0),0), INDEX($AM$1004:$BM$1004,1,MATCH(COLUMNS($AM$1006:AW1006),$AM$1006:$BM$1006,0)))),"Fix")))</f>
        <v xml:space="preserve"> </v>
      </c>
      <c r="M20" s="4" t="str">
        <f ca="1">IF(OR(INDEX($AG$2:$AG$1001,MATCH(ROWS($AF$2:AF20),$AF$2:$AF$1001,0),1)&gt;=100000,INDEX($AM$1005:$BM$1005,1,MATCH(COLUMNS($AM$1006:AX1006),$AM$1006:$BM$1006,0))&gt;=100000), " ",IF(INDEX($AM$2:$BM$1001,MATCH(ROWS($AF$2:AF20),$AF$2:$AF$1001,0),MATCH(COLUMNS($AM$1006:AX1006),$AM$1006:$BM$1006,0)), HYPERLINK("#",""), HYPERLINK(CONCATENATE("#metadata!", ADDRESS(INDEX($AH$2:$AH$1001,MATCH(ROWS($AF$2:AF20),$AF$2:$AF$1001,0),0), INDEX($AM$1004:$BM$1004,1,MATCH(COLUMNS($AM$1006:AX1006),$AM$1006:$BM$1006,0)))),"Fix")))</f>
        <v xml:space="preserve"> </v>
      </c>
      <c r="N20" s="4" t="str">
        <f ca="1">IF(OR(INDEX($AG$2:$AG$1001,MATCH(ROWS($AF$2:AF20),$AF$2:$AF$1001,0),1)&gt;=100000,INDEX($AM$1005:$BM$1005,1,MATCH(COLUMNS($AM$1006:AY1006),$AM$1006:$BM$1006,0))&gt;=100000), " ",IF(INDEX($AM$2:$BM$1001,MATCH(ROWS($AF$2:AF20),$AF$2:$AF$1001,0),MATCH(COLUMNS($AM$1006:AY1006),$AM$1006:$BM$1006,0)), HYPERLINK("#",""), HYPERLINK(CONCATENATE("#metadata!", ADDRESS(INDEX($AH$2:$AH$1001,MATCH(ROWS($AF$2:AF20),$AF$2:$AF$1001,0),0), INDEX($AM$1004:$BM$1004,1,MATCH(COLUMNS($AM$1006:AY1006),$AM$1006:$BM$1006,0)))),"Fix")))</f>
        <v xml:space="preserve"> </v>
      </c>
      <c r="O20" s="4" t="str">
        <f ca="1">IF(OR(INDEX($AG$2:$AG$1001,MATCH(ROWS($AF$2:AF20),$AF$2:$AF$1001,0),1)&gt;=100000,INDEX($AM$1005:$BM$1005,1,MATCH(COLUMNS($AM$1006:AZ1006),$AM$1006:$BM$1006,0))&gt;=100000), " ",IF(INDEX($AM$2:$BM$1001,MATCH(ROWS($AF$2:AF20),$AF$2:$AF$1001,0),MATCH(COLUMNS($AM$1006:AZ1006),$AM$1006:$BM$1006,0)), HYPERLINK("#",""), HYPERLINK(CONCATENATE("#metadata!", ADDRESS(INDEX($AH$2:$AH$1001,MATCH(ROWS($AF$2:AF20),$AF$2:$AF$1001,0),0), INDEX($AM$1004:$BM$1004,1,MATCH(COLUMNS($AM$1006:AZ1006),$AM$1006:$BM$1006,0)))),"Fix")))</f>
        <v xml:space="preserve"> </v>
      </c>
      <c r="P20" s="4" t="str">
        <f ca="1">IF(OR(INDEX($AG$2:$AG$1001,MATCH(ROWS($AF$2:AF20),$AF$2:$AF$1001,0),1)&gt;=100000,INDEX($AM$1005:$BM$1005,1,MATCH(COLUMNS($AM$1006:BA1006),$AM$1006:$BM$1006,0))&gt;=100000), " ",IF(INDEX($AM$2:$BM$1001,MATCH(ROWS($AF$2:AF20),$AF$2:$AF$1001,0),MATCH(COLUMNS($AM$1006:BA1006),$AM$1006:$BM$1006,0)), HYPERLINK("#",""), HYPERLINK(CONCATENATE("#metadata!", ADDRESS(INDEX($AH$2:$AH$1001,MATCH(ROWS($AF$2:AF20),$AF$2:$AF$1001,0),0), INDEX($AM$1004:$BM$1004,1,MATCH(COLUMNS($AM$1006:BA1006),$AM$1006:$BM$1006,0)))),"Fix")))</f>
        <v xml:space="preserve"> </v>
      </c>
      <c r="Q20" s="4" t="str">
        <f ca="1">IF(OR(INDEX($AG$2:$AG$1001,MATCH(ROWS($AF$2:AF20),$AF$2:$AF$1001,0),1)&gt;=100000,INDEX($AM$1005:$BM$1005,1,MATCH(COLUMNS($AM$1006:BB1006),$AM$1006:$BM$1006,0))&gt;=100000), " ",IF(INDEX($AM$2:$BM$1001,MATCH(ROWS($AF$2:AF20),$AF$2:$AF$1001,0),MATCH(COLUMNS($AM$1006:BB1006),$AM$1006:$BM$1006,0)), HYPERLINK("#",""), HYPERLINK(CONCATENATE("#metadata!", ADDRESS(INDEX($AH$2:$AH$1001,MATCH(ROWS($AF$2:AF20),$AF$2:$AF$1001,0),0), INDEX($AM$1004:$BM$1004,1,MATCH(COLUMNS($AM$1006:BB1006),$AM$1006:$BM$1006,0)))),"Fix")))</f>
        <v xml:space="preserve"> </v>
      </c>
      <c r="R20" s="4" t="str">
        <f ca="1">IF(OR(INDEX($AG$2:$AG$1001,MATCH(ROWS($AF$2:AF20),$AF$2:$AF$1001,0),1)&gt;=100000,INDEX($AM$1005:$BM$1005,1,MATCH(COLUMNS($AM$1006:BC1006),$AM$1006:$BM$1006,0))&gt;=100000), " ",IF(INDEX($AM$2:$BM$1001,MATCH(ROWS($AF$2:AF20),$AF$2:$AF$1001,0),MATCH(COLUMNS($AM$1006:BC1006),$AM$1006:$BM$1006,0)), HYPERLINK("#",""), HYPERLINK(CONCATENATE("#metadata!", ADDRESS(INDEX($AH$2:$AH$1001,MATCH(ROWS($AF$2:AF20),$AF$2:$AF$1001,0),0), INDEX($AM$1004:$BM$1004,1,MATCH(COLUMNS($AM$1006:BC1006),$AM$1006:$BM$1006,0)))),"Fix")))</f>
        <v xml:space="preserve"> </v>
      </c>
      <c r="S20" s="4" t="str">
        <f ca="1">IF(OR(INDEX($AG$2:$AG$1001,MATCH(ROWS($AF$2:AF20),$AF$2:$AF$1001,0),1)&gt;=100000,INDEX($AM$1005:$BM$1005,1,MATCH(COLUMNS($AM$1006:BD1006),$AM$1006:$BM$1006,0))&gt;=100000), " ",IF(INDEX($AM$2:$BM$1001,MATCH(ROWS($AF$2:AF20),$AF$2:$AF$1001,0),MATCH(COLUMNS($AM$1006:BD1006),$AM$1006:$BM$1006,0)), HYPERLINK("#",""), HYPERLINK(CONCATENATE("#metadata!", ADDRESS(INDEX($AH$2:$AH$1001,MATCH(ROWS($AF$2:AF20),$AF$2:$AF$1001,0),0), INDEX($AM$1004:$BM$1004,1,MATCH(COLUMNS($AM$1006:BD1006),$AM$1006:$BM$1006,0)))),"Fix")))</f>
        <v xml:space="preserve"> </v>
      </c>
      <c r="T20" s="4" t="str">
        <f ca="1">IF(OR(INDEX($AG$2:$AG$1001,MATCH(ROWS($AF$2:AF20),$AF$2:$AF$1001,0),1)&gt;=100000,INDEX($AM$1005:$BM$1005,1,MATCH(COLUMNS($AM$1006:BE1006),$AM$1006:$BM$1006,0))&gt;=100000), " ",IF(INDEX($AM$2:$BM$1001,MATCH(ROWS($AF$2:AF20),$AF$2:$AF$1001,0),MATCH(COLUMNS($AM$1006:BE1006),$AM$1006:$BM$1006,0)), HYPERLINK("#",""), HYPERLINK(CONCATENATE("#metadata!", ADDRESS(INDEX($AH$2:$AH$1001,MATCH(ROWS($AF$2:AF20),$AF$2:$AF$1001,0),0), INDEX($AM$1004:$BM$1004,1,MATCH(COLUMNS($AM$1006:BE1006),$AM$1006:$BM$1006,0)))),"Fix")))</f>
        <v xml:space="preserve"> </v>
      </c>
      <c r="U20" s="4" t="str">
        <f ca="1">IF(OR(INDEX($AG$2:$AG$1001,MATCH(ROWS($AF$2:AF20),$AF$2:$AF$1001,0),1)&gt;=100000,INDEX($AM$1005:$BM$1005,1,MATCH(COLUMNS($AM$1006:BF1006),$AM$1006:$BM$1006,0))&gt;=100000), " ",IF(INDEX($AM$2:$BM$1001,MATCH(ROWS($AF$2:AF20),$AF$2:$AF$1001,0),MATCH(COLUMNS($AM$1006:BF1006),$AM$1006:$BM$1006,0)), HYPERLINK("#",""), HYPERLINK(CONCATENATE("#metadata!", ADDRESS(INDEX($AH$2:$AH$1001,MATCH(ROWS($AF$2:AF20),$AF$2:$AF$1001,0),0), INDEX($AM$1004:$BM$1004,1,MATCH(COLUMNS($AM$1006:BF1006),$AM$1006:$BM$1006,0)))),"Fix")))</f>
        <v xml:space="preserve"> </v>
      </c>
      <c r="V20" s="4" t="str">
        <f ca="1">IF(OR(INDEX($AG$2:$AG$1001,MATCH(ROWS($AF$2:AF20),$AF$2:$AF$1001,0),1)&gt;=100000,INDEX($AM$1005:$BM$1005,1,MATCH(COLUMNS($AM$1006:BG1006),$AM$1006:$BM$1006,0))&gt;=100000), " ",IF(INDEX($AM$2:$BM$1001,MATCH(ROWS($AF$2:AF20),$AF$2:$AF$1001,0),MATCH(COLUMNS($AM$1006:BG1006),$AM$1006:$BM$1006,0)), HYPERLINK("#",""), HYPERLINK(CONCATENATE("#metadata!", ADDRESS(INDEX($AH$2:$AH$1001,MATCH(ROWS($AF$2:AF20),$AF$2:$AF$1001,0),0), INDEX($AM$1004:$BM$1004,1,MATCH(COLUMNS($AM$1006:BG1006),$AM$1006:$BM$1006,0)))),"Fix")))</f>
        <v xml:space="preserve"> </v>
      </c>
      <c r="W20" s="4" t="str">
        <f ca="1">IF(OR(INDEX($AG$2:$AG$1001,MATCH(ROWS($AF$2:AF20),$AF$2:$AF$1001,0),1)&gt;=100000,INDEX($AM$1005:$BM$1005,1,MATCH(COLUMNS($AM$1006:BH1006),$AM$1006:$BM$1006,0))&gt;=100000), " ",IF(INDEX($AM$2:$BM$1001,MATCH(ROWS($AF$2:AF20),$AF$2:$AF$1001,0),MATCH(COLUMNS($AM$1006:BH1006),$AM$1006:$BM$1006,0)), HYPERLINK("#",""), HYPERLINK(CONCATENATE("#metadata!", ADDRESS(INDEX($AH$2:$AH$1001,MATCH(ROWS($AF$2:AF20),$AF$2:$AF$1001,0),0), INDEX($AM$1004:$BM$1004,1,MATCH(COLUMNS($AM$1006:BH1006),$AM$1006:$BM$1006,0)))),"Fix")))</f>
        <v xml:space="preserve"> </v>
      </c>
      <c r="X20" s="4" t="str">
        <f ca="1">IF(OR(INDEX($AG$2:$AG$1001,MATCH(ROWS($AF$2:AF20),$AF$2:$AF$1001,0),1)&gt;=100000,INDEX($AM$1005:$BM$1005,1,MATCH(COLUMNS($AM$1006:BI1006),$AM$1006:$BM$1006,0))&gt;=100000), " ",IF(INDEX($AM$2:$BM$1001,MATCH(ROWS($AF$2:AF20),$AF$2:$AF$1001,0),MATCH(COLUMNS($AM$1006:BI1006),$AM$1006:$BM$1006,0)), HYPERLINK("#",""), HYPERLINK(CONCATENATE("#metadata!", ADDRESS(INDEX($AH$2:$AH$1001,MATCH(ROWS($AF$2:AF20),$AF$2:$AF$1001,0),0), INDEX($AM$1004:$BM$1004,1,MATCH(COLUMNS($AM$1006:BI1006),$AM$1006:$BM$1006,0)))),"Fix")))</f>
        <v xml:space="preserve"> </v>
      </c>
      <c r="Y20" s="4" t="str">
        <f ca="1">IF(OR(INDEX($AG$2:$AG$1001,MATCH(ROWS($AF$2:AF20),$AF$2:$AF$1001,0),1)&gt;=100000,INDEX($AM$1005:$BM$1005,1,MATCH(COLUMNS($AM$1006:BJ1006),$AM$1006:$BM$1006,0))&gt;=100000), " ",IF(INDEX($AM$2:$BM$1001,MATCH(ROWS($AF$2:AF20),$AF$2:$AF$1001,0),MATCH(COLUMNS($AM$1006:BJ1006),$AM$1006:$BM$1006,0)), HYPERLINK("#",""), HYPERLINK(CONCATENATE("#metadata!", ADDRESS(INDEX($AH$2:$AH$1001,MATCH(ROWS($AF$2:AF20),$AF$2:$AF$1001,0),0), INDEX($AM$1004:$BM$1004,1,MATCH(COLUMNS($AM$1006:BJ1006),$AM$1006:$BM$1006,0)))),"Fix")))</f>
        <v xml:space="preserve"> </v>
      </c>
      <c r="Z20" s="4" t="str">
        <f ca="1">IF(OR(INDEX($AG$2:$AG$1001,MATCH(ROWS($AF$2:AF20),$AF$2:$AF$1001,0),1)&gt;=100000,INDEX($AM$1005:$BM$1005,1,MATCH(COLUMNS($AM$1006:BK1006),$AM$1006:$BM$1006,0))&gt;=100000), " ",IF(INDEX($AM$2:$BM$1001,MATCH(ROWS($AF$2:AF20),$AF$2:$AF$1001,0),MATCH(COLUMNS($AM$1006:BK1006),$AM$1006:$BM$1006,0)), HYPERLINK("#",""), HYPERLINK(CONCATENATE("#metadata!", ADDRESS(INDEX($AH$2:$AH$1001,MATCH(ROWS($AF$2:AF20),$AF$2:$AF$1001,0),0), INDEX($AM$1004:$BM$1004,1,MATCH(COLUMNS($AM$1006:BK1006),$AM$1006:$BM$1006,0)))),"Fix")))</f>
        <v xml:space="preserve"> </v>
      </c>
      <c r="AA20" s="4" t="str">
        <f ca="1">IF(OR(INDEX($AG$2:$AG$1001,MATCH(ROWS($AF$2:AF20),$AF$2:$AF$1001,0),1)&gt;=100000,INDEX($AM$1005:$BM$1005,1,MATCH(COLUMNS($AM$1006:BL1006),$AM$1006:$BM$1006,0))&gt;=100000), " ",IF(INDEX($AM$2:$BM$1001,MATCH(ROWS($AF$2:AF20),$AF$2:$AF$1001,0),MATCH(COLUMNS($AM$1006:BL1006),$AM$1006:$BM$1006,0)), HYPERLINK("#",""), HYPERLINK(CONCATENATE("#metadata!", ADDRESS(INDEX($AH$2:$AH$1001,MATCH(ROWS($AF$2:AF20),$AF$2:$AF$1001,0),0), INDEX($AM$1004:$BM$1004,1,MATCH(COLUMNS($AM$1006:BL1006),$AM$1006:$BM$1006,0)))),"Fix")))</f>
        <v xml:space="preserve"> </v>
      </c>
      <c r="AB20" s="4" t="str">
        <f ca="1">IF(OR(INDEX($AG$2:$AG$1001,MATCH(ROWS($AF$2:AF20),$AF$2:$AF$1001,0),1)&gt;=100000,INDEX($AM$1005:$BM$1005,1,MATCH(COLUMNS($AM$1006:BM1006),$AM$1006:$BM$1006,0))&gt;=100000), " ",IF(INDEX($AM$2:$BM$1001,MATCH(ROWS($AF$2:AF20),$AF$2:$AF$1001,0),MATCH(COLUMNS($AM$1006:BM1006),$AM$1006:$BM$1006,0)), HYPERLINK("#",""), HYPERLINK(CONCATENATE("#metadata!", ADDRESS(INDEX($AH$2:$AH$1001,MATCH(ROWS($AF$2:AF20),$AF$2:$AF$1001,0),0), INDEX($AM$1004:$BM$1004,1,MATCH(COLUMNS($AM$1006:BM1006),$AM$1006:$BM$1006,0)))),"Fix")))</f>
        <v xml:space="preserve"> </v>
      </c>
      <c r="AF20">
        <v>19</v>
      </c>
      <c r="AG20">
        <v>100020</v>
      </c>
      <c r="AH20">
        <v>20</v>
      </c>
      <c r="AI20" t="b">
        <f t="shared" si="0"/>
        <v>1</v>
      </c>
      <c r="AJ20" t="b">
        <f>COUNTBLANK(metadata!B20:AB20)=COLUMNS(metadata!B20:AB20)</f>
        <v>1</v>
      </c>
      <c r="AK20" t="str">
        <v/>
      </c>
      <c r="AM20" t="b">
        <f ca="1">AND(IF(metadata!B20="",FALSE,TRUE),COUNTIF(metadata!B:B, metadata!B20) = 1,NOT(ISERROR(SUMPRODUCT(SEARCH(MID(metadata!B20,ROW(INDIRECT("1:"&amp;LEN(metadata!B20))), 1),"0123456789abcdefghijklmnopqrstuvwxyzABCDEFGHIJKLMNOPQRSTUVWXYZ.")))))</f>
        <v>0</v>
      </c>
      <c r="AN20" t="b">
        <f ca="1">OR(AND(IF(metadata!C20="",FALSE,TRUE),OR(EXACT(metadata!C20,"missing: not collected"),EXACT(metadata!C20,"missing: not provided"),EXACT(metadata!C20,"missing: restricted access"))),AND(IF(metadata!C20="",FALSE,TRUE),AND(AND(IFERROR(INT(LEFT(metadata!C20,4))&gt;1900,FALSE),IFERROR(INT(LEFT(metadata!C20,4))&lt;=YEAR(NOW()),FALSE)), OR(MID(metadata!C20,5,1)="", AND(AND(MID(metadata!C20,5,1)="-",IFERROR(INT(MID(metadata!C20,6,1))&gt;=0,FALSE),IFERROR(INT(MID(metadata!C20,6,1))&lt;=1,FALSE),NOT(MID(metadata!C20,7,1)=""),IFERROR(INT(MID(metadata!C20,6,2))&gt;=1,FALSE),IFERROR(INT(MID(metadata!C20,6,2))&lt;=12,FALSE)), OR(MID(metadata!C20,8,1)="", AND(AND(MID(metadata!C20,8,1)="-",IFERROR(INT(MID(metadata!C20,9,1))&gt;=0,FALSE),IFERROR(INT(MID(metadata!C20,9,1))&lt;=3,FALSE),NOT(MID(metadata!C20,10,1)=""),IFERROR(INT(MID(metadata!C20,9,2))&gt;=1,FALSE),IFERROR(INT(MID(metadata!C20,9,2))&lt;=31,FALSE)), OR(MID(metadata!C20,11,1)="", AND(AND(MID(metadata!C20,11,1)=" ",IFERROR(INT(MID(metadata!C20,12,1))&gt;=0,FALSE),IFERROR(INT(MID(metadata!C20,12,1))&lt;=2,FALSE),NOT(MID(metadata!C20,13,1)=""),IFERROR(INT(MID(metadata!C20,12,2))&gt;=0,FALSE),IFERROR(INT(MID(metadata!C20,12,2))&lt;=23,FALSE)), OR(MID(metadata!C20,14,1)="", AND(AND(MID(metadata!C20,14,1)=":",IFERROR(INT(MID(metadata!C20,15,1))&gt;=0,FALSE),IFERROR(INT(MID(metadata!C20,15,1))&lt;=5,FALSE),NOT(MID(metadata!C20,16,1)=""),IFERROR(INT(MID(metadata!C20,15,2))&gt;=0,FALSE),IFERROR(INT(MID(metadata!C20,15,2))&lt;=59,FALSE)), OR(MID(metadata!C20,17,1)="", AND(AND(MID(metadata!C20,17,1)=":",IFERROR(INT(MID(metadata!C20,18,1))&gt;=0,FALSE),IFERROR(INT(MID(metadata!C20,18,1))&lt;=5,FALSE),NOT(MID(metadata!C20,19,1)=""),IFERROR(INT(MID(metadata!C20,18,2))&gt;=0,FALSE),IFERROR(INT(MID(metadata!C20,18,2))&lt;=59,FALSE)), LEN(metadata!C20)&lt;=19)))))))))))))</f>
        <v>0</v>
      </c>
      <c r="AO20" t="b">
        <f>AND(IF(metadata!D20="",FALSE,TRUE),EXACT(metadata!D20,"Not applicable"))</f>
        <v>0</v>
      </c>
      <c r="AP20" t="b">
        <f>IF(metadata!E20="",FALSE,TRUE)</f>
        <v>0</v>
      </c>
      <c r="AQ20" t="b">
        <f>OR(AND(IF(metadata!F20="",FALSE,TRUE),OR(EXACT(metadata!F20,"missing: not collected"),EXACT(metadata!F20,"missing: not provided"))),AND(IF(metadata!F20="",FALSE,TRUE),OR(EXACT(metadata!F20,"TRUE"),EXACT(metadata!F20,"FALSE"))))</f>
        <v>0</v>
      </c>
      <c r="AR20" t="b">
        <f>OR(AND(IF(metadata!G20="",FALSE,TRUE),OR(EXACT(metadata!G20,"missing: not collected"),EXACT(metadata!G20,"missing: not provided"),EXACT(metadata!G20,"missing: restricted access"))),AND(IF(metadata!G20="",FALSE,ISNUMBER(VALUE(metadata!G20))),metadata!G20&gt;=-413))</f>
        <v>0</v>
      </c>
      <c r="AS20" t="b">
        <f>AND(IF(metadata!H20="",FALSE,TRUE),EXACT(metadata!H20,"meters"))</f>
        <v>0</v>
      </c>
      <c r="AT20" t="b">
        <f>AND(IF(metadata!I20="",FALSE,TRUE),OR(EXACT(metadata!I20,"Host-associated"),EXACT(metadata!I20,"Free-living")))</f>
        <v>0</v>
      </c>
      <c r="AU20" t="b">
        <f>AND(IF(metadata!J20="",FALSE,TRUE),OR(EXACT(metadata!J20,"Animal"),EXACT(metadata!J20,"Fungus"),EXACT(metadata!J20,"Plant"),EXACT(metadata!J20,"Saline"),EXACT(metadata!J20,"Non-saline")))</f>
        <v>0</v>
      </c>
      <c r="AV20" t="b">
        <f>AND(IF(metadata!K20="",FALSE,TRUE),OR(EXACT(metadata!K20,"Plant secretion"),EXACT(metadata!K20,"Plant rhizosphere"),EXACT(metadata!K20,"Plant surface"),EXACT(metadata!K20,"Plant corpus"),EXACT(metadata!K20,"Fungus surface"),EXACT(metadata!K20,"Fungus corpus"),EXACT(metadata!K20,"Animal surface"),EXACT(metadata!K20,"Animal proximal gut"),EXACT(metadata!K20,"Animal corpus"),EXACT(metadata!K20,"Animal distal gut"),EXACT(metadata!K20,"Animal secretion"),EXACT(metadata!K20,"Sub-surface (non-saline)"),EXACT(metadata!K20,"Surface (non-saline)"),EXACT(metadata!K20,"Water (non-saline)"),EXACT(metadata!K20,"Soil (non-saline)"),EXACT(metadata!K20,"Aerosol (non-saline)"),EXACT(metadata!K20,"Sediment (non-saline)"),EXACT(metadata!K20,"Surface (saline)"),EXACT(metadata!K20,"Water (saline)"),EXACT(metadata!K20,"Hypersaline (saline)"),EXACT(metadata!K20,"Aerosol (saline)"),EXACT(metadata!K20,"Sediment (saline)")))</f>
        <v>0</v>
      </c>
      <c r="AW20" t="b">
        <f>IF(metadata!L20="",FALSE,TRUE)</f>
        <v>0</v>
      </c>
      <c r="AX20" t="b">
        <f>IF(metadata!M20="",FALSE,TRUE)</f>
        <v>0</v>
      </c>
      <c r="AY20" t="b">
        <f>IF(metadata!N20="",FALSE,TRUE)</f>
        <v>0</v>
      </c>
      <c r="AZ20" t="b">
        <f>OR(AND(IF(metadata!O20="",FALSE,TRUE),OR(EXACT(metadata!O20,"missing: not collected"),EXACT(metadata!O20,"missing: not provided"),EXACT(metadata!O20,"missing: restricted access"))),AND(IF(metadata!O20="",FALSE,TRUE),OR(EXACT(metadata!O20,"air"),EXACT(metadata!O20,"built environment"),EXACT(metadata!O20,"host-associated"),EXACT(metadata!O20,"human-associated"),EXACT(metadata!O20,"human-skin"),EXACT(metadata!O20,"human-oral"),EXACT(metadata!O20,"human-gut"),EXACT(metadata!O20,"human-vaginal"),EXACT(metadata!O20,"microbial mat/biofilm"),EXACT(metadata!O20,"misc environment"),EXACT(metadata!O20,"plant-associated"),EXACT(metadata!O20,"sediment"),EXACT(metadata!O20,"soil"),EXACT(metadata!O20,"wastewater/sludge"),EXACT(metadata!O20,"water"))))</f>
        <v>0</v>
      </c>
      <c r="BA20" t="b">
        <f>IF(metadata!P20="",FALSE,TRUE)</f>
        <v>0</v>
      </c>
      <c r="BB20" t="b">
        <f>IF(metadata!Q20="",FALSE,TRUE)</f>
        <v>0</v>
      </c>
      <c r="BC20" t="b">
        <f>OR(AND(IF(metadata!R20="",FALSE,TRUE),OR(EXACT(metadata!R20,"missing: not collected"),EXACT(metadata!R20,"missing: not provided"),EXACT(metadata!R20,"missing: restricted access"))),AND(IF(metadata!R20="",FALSE,ISNUMBER(VALUE(metadata!R20))),metadata!R20&gt;=-90,metadata!R20&lt;=90))</f>
        <v>0</v>
      </c>
      <c r="BD20" t="b">
        <f>AND(IF(metadata!S20="",FALSE,TRUE),EXACT(metadata!S20,"Decimal degrees"))</f>
        <v>0</v>
      </c>
      <c r="BE20" t="b">
        <f>OR(AND(IF(metadata!T20="",FALSE,TRUE),OR(EXACT(metadata!T20,"missing: not collected"),EXACT(metadata!T20,"missing: not provided"),EXACT(metadata!T20,"missing: restricted access"))),AND(IF(metadata!T20="",FALSE,ISNUMBER(VALUE(metadata!T20))),metadata!T20&gt;=-180,metadata!T20&lt;=180))</f>
        <v>0</v>
      </c>
      <c r="BF20" t="b">
        <f>AND(IF(metadata!U20="",FALSE,TRUE),EXACT(metadata!U20,"Decimal degrees"))</f>
        <v>0</v>
      </c>
      <c r="BG20" t="b">
        <f>IF(metadata!V20="",FALSE,TRUE)</f>
        <v>0</v>
      </c>
      <c r="BH20" t="b">
        <f>OR(AND(IF(metadata!W20="",FALSE,TRUE),OR(EXACT(metadata!W20,"missing: not collected"),EXACT(metadata!W20,"missing: not provided"),EXACT(metadata!W20,"missing: restricted access"))),AND(IF(metadata!W20="",FALSE,TRUE),OR(EXACT(metadata!W20,"TRUE"),EXACT(metadata!W20,"FALSE"))))</f>
        <v>0</v>
      </c>
      <c r="BI20" t="b">
        <f>AND(IF(metadata!X20="",FALSE,TRUE),EXACT(metadata!X20,"other"))</f>
        <v>0</v>
      </c>
      <c r="BJ20" t="b">
        <f>IF(metadata!Y20="",FALSE,TRUE)</f>
        <v>0</v>
      </c>
      <c r="BK20" t="b">
        <f>OR(AND(IF(metadata!Z20="",FALSE,TRUE),OR(EXACT(metadata!Z20,"missing: not collected"),EXACT(metadata!Z20,"missing: not provided"))),AND(IF(metadata!Z20="",FALSE,IF(ISERROR(INT(metadata!Z20)),FALSE,INT(metadata!Z20)=metadata!Z20)),metadata!Z20&gt;0))</f>
        <v>0</v>
      </c>
      <c r="BL20" t="b">
        <f>AND(IF(metadata!AA20="",FALSE,TRUE),EXACT(metadata!AA20,"Not applicable"))</f>
        <v>0</v>
      </c>
      <c r="BM20" t="b">
        <f>IF(metadata!AB20="",FALSE,TRUE)</f>
        <v>0</v>
      </c>
    </row>
    <row r="21" spans="1:65" x14ac:dyDescent="0.2">
      <c r="A21" s="5" t="str">
        <f ca="1">IF(B21=" "," ",HYPERLINK(CONCATENATE("#metadata!",ADDRESS(INDEX($AH$2:$AH$1001,MATCH(ROWS($AF$2:AF21),$AF$2:$AF$1001,0),0),1)),INDEX($AK$2:$AK$1001,MATCH(ROWS($AF$2:AF21),$AF$2:$AF$1001,0),0)))</f>
        <v xml:space="preserve"> </v>
      </c>
      <c r="B21" s="4" t="str">
        <f ca="1">IF(OR(INDEX($AG$2:$AG$1001,MATCH(ROWS($AF$2:AF21),$AF$2:$AF$1001,0),1)&gt;=100000,INDEX($AM$1005:$BM$1005,1,MATCH(COLUMNS($AM$1006:AM1006),$AM$1006:$BM$1006,0))&gt;=100000), " ",IF(INDEX($AM$2:$BM$1001,MATCH(ROWS($AF$2:AF21),$AF$2:$AF$1001,0),MATCH(COLUMNS($AM$1006:AM1006),$AM$1006:$BM$1006,0)), HYPERLINK("#",""), HYPERLINK(CONCATENATE("#metadata!", ADDRESS(INDEX($AH$2:$AH$1001,MATCH(ROWS($AF$2:AF21),$AF$2:$AF$1001,0),0), INDEX($AM$1004:$BM$1004,1,MATCH(COLUMNS($AM$1006:AM1006),$AM$1006:$BM$1006,0)))),"Fix")))</f>
        <v xml:space="preserve"> </v>
      </c>
      <c r="C21" s="4" t="str">
        <f ca="1">IF(OR(INDEX($AG$2:$AG$1001,MATCH(ROWS($AF$2:AF21),$AF$2:$AF$1001,0),1)&gt;=100000,INDEX($AM$1005:$BM$1005,1,MATCH(COLUMNS($AM$1006:AN1006),$AM$1006:$BM$1006,0))&gt;=100000), " ",IF(INDEX($AM$2:$BM$1001,MATCH(ROWS($AF$2:AF21),$AF$2:$AF$1001,0),MATCH(COLUMNS($AM$1006:AN1006),$AM$1006:$BM$1006,0)), HYPERLINK("#",""), HYPERLINK(CONCATENATE("#metadata!", ADDRESS(INDEX($AH$2:$AH$1001,MATCH(ROWS($AF$2:AF21),$AF$2:$AF$1001,0),0), INDEX($AM$1004:$BM$1004,1,MATCH(COLUMNS($AM$1006:AN1006),$AM$1006:$BM$1006,0)))),"Fix")))</f>
        <v xml:space="preserve"> </v>
      </c>
      <c r="D21" s="4" t="str">
        <f ca="1">IF(OR(INDEX($AG$2:$AG$1001,MATCH(ROWS($AF$2:AF21),$AF$2:$AF$1001,0),1)&gt;=100000,INDEX($AM$1005:$BM$1005,1,MATCH(COLUMNS($AM$1006:AO1006),$AM$1006:$BM$1006,0))&gt;=100000), " ",IF(INDEX($AM$2:$BM$1001,MATCH(ROWS($AF$2:AF21),$AF$2:$AF$1001,0),MATCH(COLUMNS($AM$1006:AO1006),$AM$1006:$BM$1006,0)), HYPERLINK("#",""), HYPERLINK(CONCATENATE("#metadata!", ADDRESS(INDEX($AH$2:$AH$1001,MATCH(ROWS($AF$2:AF21),$AF$2:$AF$1001,0),0), INDEX($AM$1004:$BM$1004,1,MATCH(COLUMNS($AM$1006:AO1006),$AM$1006:$BM$1006,0)))),"Fix")))</f>
        <v xml:space="preserve"> </v>
      </c>
      <c r="E21" s="4" t="str">
        <f ca="1">IF(OR(INDEX($AG$2:$AG$1001,MATCH(ROWS($AF$2:AF21),$AF$2:$AF$1001,0),1)&gt;=100000,INDEX($AM$1005:$BM$1005,1,MATCH(COLUMNS($AM$1006:AP1006),$AM$1006:$BM$1006,0))&gt;=100000), " ",IF(INDEX($AM$2:$BM$1001,MATCH(ROWS($AF$2:AF21),$AF$2:$AF$1001,0),MATCH(COLUMNS($AM$1006:AP1006),$AM$1006:$BM$1006,0)), HYPERLINK("#",""), HYPERLINK(CONCATENATE("#metadata!", ADDRESS(INDEX($AH$2:$AH$1001,MATCH(ROWS($AF$2:AF21),$AF$2:$AF$1001,0),0), INDEX($AM$1004:$BM$1004,1,MATCH(COLUMNS($AM$1006:AP1006),$AM$1006:$BM$1006,0)))),"Fix")))</f>
        <v xml:space="preserve"> </v>
      </c>
      <c r="F21" s="4" t="str">
        <f ca="1">IF(OR(INDEX($AG$2:$AG$1001,MATCH(ROWS($AF$2:AF21),$AF$2:$AF$1001,0),1)&gt;=100000,INDEX($AM$1005:$BM$1005,1,MATCH(COLUMNS($AM$1006:AQ1006),$AM$1006:$BM$1006,0))&gt;=100000), " ",IF(INDEX($AM$2:$BM$1001,MATCH(ROWS($AF$2:AF21),$AF$2:$AF$1001,0),MATCH(COLUMNS($AM$1006:AQ1006),$AM$1006:$BM$1006,0)), HYPERLINK("#",""), HYPERLINK(CONCATENATE("#metadata!", ADDRESS(INDEX($AH$2:$AH$1001,MATCH(ROWS($AF$2:AF21),$AF$2:$AF$1001,0),0), INDEX($AM$1004:$BM$1004,1,MATCH(COLUMNS($AM$1006:AQ1006),$AM$1006:$BM$1006,0)))),"Fix")))</f>
        <v xml:space="preserve"> </v>
      </c>
      <c r="G21" s="4" t="str">
        <f ca="1">IF(OR(INDEX($AG$2:$AG$1001,MATCH(ROWS($AF$2:AF21),$AF$2:$AF$1001,0),1)&gt;=100000,INDEX($AM$1005:$BM$1005,1,MATCH(COLUMNS($AM$1006:AR1006),$AM$1006:$BM$1006,0))&gt;=100000), " ",IF(INDEX($AM$2:$BM$1001,MATCH(ROWS($AF$2:AF21),$AF$2:$AF$1001,0),MATCH(COLUMNS($AM$1006:AR1006),$AM$1006:$BM$1006,0)), HYPERLINK("#",""), HYPERLINK(CONCATENATE("#metadata!", ADDRESS(INDEX($AH$2:$AH$1001,MATCH(ROWS($AF$2:AF21),$AF$2:$AF$1001,0),0), INDEX($AM$1004:$BM$1004,1,MATCH(COLUMNS($AM$1006:AR1006),$AM$1006:$BM$1006,0)))),"Fix")))</f>
        <v xml:space="preserve"> </v>
      </c>
      <c r="H21" s="4" t="str">
        <f ca="1">IF(OR(INDEX($AG$2:$AG$1001,MATCH(ROWS($AF$2:AF21),$AF$2:$AF$1001,0),1)&gt;=100000,INDEX($AM$1005:$BM$1005,1,MATCH(COLUMNS($AM$1006:AS1006),$AM$1006:$BM$1006,0))&gt;=100000), " ",IF(INDEX($AM$2:$BM$1001,MATCH(ROWS($AF$2:AF21),$AF$2:$AF$1001,0),MATCH(COLUMNS($AM$1006:AS1006),$AM$1006:$BM$1006,0)), HYPERLINK("#",""), HYPERLINK(CONCATENATE("#metadata!", ADDRESS(INDEX($AH$2:$AH$1001,MATCH(ROWS($AF$2:AF21),$AF$2:$AF$1001,0),0), INDEX($AM$1004:$BM$1004,1,MATCH(COLUMNS($AM$1006:AS1006),$AM$1006:$BM$1006,0)))),"Fix")))</f>
        <v xml:space="preserve"> </v>
      </c>
      <c r="I21" s="4" t="str">
        <f ca="1">IF(OR(INDEX($AG$2:$AG$1001,MATCH(ROWS($AF$2:AF21),$AF$2:$AF$1001,0),1)&gt;=100000,INDEX($AM$1005:$BM$1005,1,MATCH(COLUMNS($AM$1006:AT1006),$AM$1006:$BM$1006,0))&gt;=100000), " ",IF(INDEX($AM$2:$BM$1001,MATCH(ROWS($AF$2:AF21),$AF$2:$AF$1001,0),MATCH(COLUMNS($AM$1006:AT1006),$AM$1006:$BM$1006,0)), HYPERLINK("#",""), HYPERLINK(CONCATENATE("#metadata!", ADDRESS(INDEX($AH$2:$AH$1001,MATCH(ROWS($AF$2:AF21),$AF$2:$AF$1001,0),0), INDEX($AM$1004:$BM$1004,1,MATCH(COLUMNS($AM$1006:AT1006),$AM$1006:$BM$1006,0)))),"Fix")))</f>
        <v xml:space="preserve"> </v>
      </c>
      <c r="J21" s="4" t="str">
        <f ca="1">IF(OR(INDEX($AG$2:$AG$1001,MATCH(ROWS($AF$2:AF21),$AF$2:$AF$1001,0),1)&gt;=100000,INDEX($AM$1005:$BM$1005,1,MATCH(COLUMNS($AM$1006:AU1006),$AM$1006:$BM$1006,0))&gt;=100000), " ",IF(INDEX($AM$2:$BM$1001,MATCH(ROWS($AF$2:AF21),$AF$2:$AF$1001,0),MATCH(COLUMNS($AM$1006:AU1006),$AM$1006:$BM$1006,0)), HYPERLINK("#",""), HYPERLINK(CONCATENATE("#metadata!", ADDRESS(INDEX($AH$2:$AH$1001,MATCH(ROWS($AF$2:AF21),$AF$2:$AF$1001,0),0), INDEX($AM$1004:$BM$1004,1,MATCH(COLUMNS($AM$1006:AU1006),$AM$1006:$BM$1006,0)))),"Fix")))</f>
        <v xml:space="preserve"> </v>
      </c>
      <c r="K21" s="4" t="str">
        <f ca="1">IF(OR(INDEX($AG$2:$AG$1001,MATCH(ROWS($AF$2:AF21),$AF$2:$AF$1001,0),1)&gt;=100000,INDEX($AM$1005:$BM$1005,1,MATCH(COLUMNS($AM$1006:AV1006),$AM$1006:$BM$1006,0))&gt;=100000), " ",IF(INDEX($AM$2:$BM$1001,MATCH(ROWS($AF$2:AF21),$AF$2:$AF$1001,0),MATCH(COLUMNS($AM$1006:AV1006),$AM$1006:$BM$1006,0)), HYPERLINK("#",""), HYPERLINK(CONCATENATE("#metadata!", ADDRESS(INDEX($AH$2:$AH$1001,MATCH(ROWS($AF$2:AF21),$AF$2:$AF$1001,0),0), INDEX($AM$1004:$BM$1004,1,MATCH(COLUMNS($AM$1006:AV1006),$AM$1006:$BM$1006,0)))),"Fix")))</f>
        <v xml:space="preserve"> </v>
      </c>
      <c r="L21" s="4" t="str">
        <f ca="1">IF(OR(INDEX($AG$2:$AG$1001,MATCH(ROWS($AF$2:AF21),$AF$2:$AF$1001,0),1)&gt;=100000,INDEX($AM$1005:$BM$1005,1,MATCH(COLUMNS($AM$1006:AW1006),$AM$1006:$BM$1006,0))&gt;=100000), " ",IF(INDEX($AM$2:$BM$1001,MATCH(ROWS($AF$2:AF21),$AF$2:$AF$1001,0),MATCH(COLUMNS($AM$1006:AW1006),$AM$1006:$BM$1006,0)), HYPERLINK("#",""), HYPERLINK(CONCATENATE("#metadata!", ADDRESS(INDEX($AH$2:$AH$1001,MATCH(ROWS($AF$2:AF21),$AF$2:$AF$1001,0),0), INDEX($AM$1004:$BM$1004,1,MATCH(COLUMNS($AM$1006:AW1006),$AM$1006:$BM$1006,0)))),"Fix")))</f>
        <v xml:space="preserve"> </v>
      </c>
      <c r="M21" s="4" t="str">
        <f ca="1">IF(OR(INDEX($AG$2:$AG$1001,MATCH(ROWS($AF$2:AF21),$AF$2:$AF$1001,0),1)&gt;=100000,INDEX($AM$1005:$BM$1005,1,MATCH(COLUMNS($AM$1006:AX1006),$AM$1006:$BM$1006,0))&gt;=100000), " ",IF(INDEX($AM$2:$BM$1001,MATCH(ROWS($AF$2:AF21),$AF$2:$AF$1001,0),MATCH(COLUMNS($AM$1006:AX1006),$AM$1006:$BM$1006,0)), HYPERLINK("#",""), HYPERLINK(CONCATENATE("#metadata!", ADDRESS(INDEX($AH$2:$AH$1001,MATCH(ROWS($AF$2:AF21),$AF$2:$AF$1001,0),0), INDEX($AM$1004:$BM$1004,1,MATCH(COLUMNS($AM$1006:AX1006),$AM$1006:$BM$1006,0)))),"Fix")))</f>
        <v xml:space="preserve"> </v>
      </c>
      <c r="N21" s="4" t="str">
        <f ca="1">IF(OR(INDEX($AG$2:$AG$1001,MATCH(ROWS($AF$2:AF21),$AF$2:$AF$1001,0),1)&gt;=100000,INDEX($AM$1005:$BM$1005,1,MATCH(COLUMNS($AM$1006:AY1006),$AM$1006:$BM$1006,0))&gt;=100000), " ",IF(INDEX($AM$2:$BM$1001,MATCH(ROWS($AF$2:AF21),$AF$2:$AF$1001,0),MATCH(COLUMNS($AM$1006:AY1006),$AM$1006:$BM$1006,0)), HYPERLINK("#",""), HYPERLINK(CONCATENATE("#metadata!", ADDRESS(INDEX($AH$2:$AH$1001,MATCH(ROWS($AF$2:AF21),$AF$2:$AF$1001,0),0), INDEX($AM$1004:$BM$1004,1,MATCH(COLUMNS($AM$1006:AY1006),$AM$1006:$BM$1006,0)))),"Fix")))</f>
        <v xml:space="preserve"> </v>
      </c>
      <c r="O21" s="4" t="str">
        <f ca="1">IF(OR(INDEX($AG$2:$AG$1001,MATCH(ROWS($AF$2:AF21),$AF$2:$AF$1001,0),1)&gt;=100000,INDEX($AM$1005:$BM$1005,1,MATCH(COLUMNS($AM$1006:AZ1006),$AM$1006:$BM$1006,0))&gt;=100000), " ",IF(INDEX($AM$2:$BM$1001,MATCH(ROWS($AF$2:AF21),$AF$2:$AF$1001,0),MATCH(COLUMNS($AM$1006:AZ1006),$AM$1006:$BM$1006,0)), HYPERLINK("#",""), HYPERLINK(CONCATENATE("#metadata!", ADDRESS(INDEX($AH$2:$AH$1001,MATCH(ROWS($AF$2:AF21),$AF$2:$AF$1001,0),0), INDEX($AM$1004:$BM$1004,1,MATCH(COLUMNS($AM$1006:AZ1006),$AM$1006:$BM$1006,0)))),"Fix")))</f>
        <v xml:space="preserve"> </v>
      </c>
      <c r="P21" s="4" t="str">
        <f ca="1">IF(OR(INDEX($AG$2:$AG$1001,MATCH(ROWS($AF$2:AF21),$AF$2:$AF$1001,0),1)&gt;=100000,INDEX($AM$1005:$BM$1005,1,MATCH(COLUMNS($AM$1006:BA1006),$AM$1006:$BM$1006,0))&gt;=100000), " ",IF(INDEX($AM$2:$BM$1001,MATCH(ROWS($AF$2:AF21),$AF$2:$AF$1001,0),MATCH(COLUMNS($AM$1006:BA1006),$AM$1006:$BM$1006,0)), HYPERLINK("#",""), HYPERLINK(CONCATENATE("#metadata!", ADDRESS(INDEX($AH$2:$AH$1001,MATCH(ROWS($AF$2:AF21),$AF$2:$AF$1001,0),0), INDEX($AM$1004:$BM$1004,1,MATCH(COLUMNS($AM$1006:BA1006),$AM$1006:$BM$1006,0)))),"Fix")))</f>
        <v xml:space="preserve"> </v>
      </c>
      <c r="Q21" s="4" t="str">
        <f ca="1">IF(OR(INDEX($AG$2:$AG$1001,MATCH(ROWS($AF$2:AF21),$AF$2:$AF$1001,0),1)&gt;=100000,INDEX($AM$1005:$BM$1005,1,MATCH(COLUMNS($AM$1006:BB1006),$AM$1006:$BM$1006,0))&gt;=100000), " ",IF(INDEX($AM$2:$BM$1001,MATCH(ROWS($AF$2:AF21),$AF$2:$AF$1001,0),MATCH(COLUMNS($AM$1006:BB1006),$AM$1006:$BM$1006,0)), HYPERLINK("#",""), HYPERLINK(CONCATENATE("#metadata!", ADDRESS(INDEX($AH$2:$AH$1001,MATCH(ROWS($AF$2:AF21),$AF$2:$AF$1001,0),0), INDEX($AM$1004:$BM$1004,1,MATCH(COLUMNS($AM$1006:BB1006),$AM$1006:$BM$1006,0)))),"Fix")))</f>
        <v xml:space="preserve"> </v>
      </c>
      <c r="R21" s="4" t="str">
        <f ca="1">IF(OR(INDEX($AG$2:$AG$1001,MATCH(ROWS($AF$2:AF21),$AF$2:$AF$1001,0),1)&gt;=100000,INDEX($AM$1005:$BM$1005,1,MATCH(COLUMNS($AM$1006:BC1006),$AM$1006:$BM$1006,0))&gt;=100000), " ",IF(INDEX($AM$2:$BM$1001,MATCH(ROWS($AF$2:AF21),$AF$2:$AF$1001,0),MATCH(COLUMNS($AM$1006:BC1006),$AM$1006:$BM$1006,0)), HYPERLINK("#",""), HYPERLINK(CONCATENATE("#metadata!", ADDRESS(INDEX($AH$2:$AH$1001,MATCH(ROWS($AF$2:AF21),$AF$2:$AF$1001,0),0), INDEX($AM$1004:$BM$1004,1,MATCH(COLUMNS($AM$1006:BC1006),$AM$1006:$BM$1006,0)))),"Fix")))</f>
        <v xml:space="preserve"> </v>
      </c>
      <c r="S21" s="4" t="str">
        <f ca="1">IF(OR(INDEX($AG$2:$AG$1001,MATCH(ROWS($AF$2:AF21),$AF$2:$AF$1001,0),1)&gt;=100000,INDEX($AM$1005:$BM$1005,1,MATCH(COLUMNS($AM$1006:BD1006),$AM$1006:$BM$1006,0))&gt;=100000), " ",IF(INDEX($AM$2:$BM$1001,MATCH(ROWS($AF$2:AF21),$AF$2:$AF$1001,0),MATCH(COLUMNS($AM$1006:BD1006),$AM$1006:$BM$1006,0)), HYPERLINK("#",""), HYPERLINK(CONCATENATE("#metadata!", ADDRESS(INDEX($AH$2:$AH$1001,MATCH(ROWS($AF$2:AF21),$AF$2:$AF$1001,0),0), INDEX($AM$1004:$BM$1004,1,MATCH(COLUMNS($AM$1006:BD1006),$AM$1006:$BM$1006,0)))),"Fix")))</f>
        <v xml:space="preserve"> </v>
      </c>
      <c r="T21" s="4" t="str">
        <f ca="1">IF(OR(INDEX($AG$2:$AG$1001,MATCH(ROWS($AF$2:AF21),$AF$2:$AF$1001,0),1)&gt;=100000,INDEX($AM$1005:$BM$1005,1,MATCH(COLUMNS($AM$1006:BE1006),$AM$1006:$BM$1006,0))&gt;=100000), " ",IF(INDEX($AM$2:$BM$1001,MATCH(ROWS($AF$2:AF21),$AF$2:$AF$1001,0),MATCH(COLUMNS($AM$1006:BE1006),$AM$1006:$BM$1006,0)), HYPERLINK("#",""), HYPERLINK(CONCATENATE("#metadata!", ADDRESS(INDEX($AH$2:$AH$1001,MATCH(ROWS($AF$2:AF21),$AF$2:$AF$1001,0),0), INDEX($AM$1004:$BM$1004,1,MATCH(COLUMNS($AM$1006:BE1006),$AM$1006:$BM$1006,0)))),"Fix")))</f>
        <v xml:space="preserve"> </v>
      </c>
      <c r="U21" s="4" t="str">
        <f ca="1">IF(OR(INDEX($AG$2:$AG$1001,MATCH(ROWS($AF$2:AF21),$AF$2:$AF$1001,0),1)&gt;=100000,INDEX($AM$1005:$BM$1005,1,MATCH(COLUMNS($AM$1006:BF1006),$AM$1006:$BM$1006,0))&gt;=100000), " ",IF(INDEX($AM$2:$BM$1001,MATCH(ROWS($AF$2:AF21),$AF$2:$AF$1001,0),MATCH(COLUMNS($AM$1006:BF1006),$AM$1006:$BM$1006,0)), HYPERLINK("#",""), HYPERLINK(CONCATENATE("#metadata!", ADDRESS(INDEX($AH$2:$AH$1001,MATCH(ROWS($AF$2:AF21),$AF$2:$AF$1001,0),0), INDEX($AM$1004:$BM$1004,1,MATCH(COLUMNS($AM$1006:BF1006),$AM$1006:$BM$1006,0)))),"Fix")))</f>
        <v xml:space="preserve"> </v>
      </c>
      <c r="V21" s="4" t="str">
        <f ca="1">IF(OR(INDEX($AG$2:$AG$1001,MATCH(ROWS($AF$2:AF21),$AF$2:$AF$1001,0),1)&gt;=100000,INDEX($AM$1005:$BM$1005,1,MATCH(COLUMNS($AM$1006:BG1006),$AM$1006:$BM$1006,0))&gt;=100000), " ",IF(INDEX($AM$2:$BM$1001,MATCH(ROWS($AF$2:AF21),$AF$2:$AF$1001,0),MATCH(COLUMNS($AM$1006:BG1006),$AM$1006:$BM$1006,0)), HYPERLINK("#",""), HYPERLINK(CONCATENATE("#metadata!", ADDRESS(INDEX($AH$2:$AH$1001,MATCH(ROWS($AF$2:AF21),$AF$2:$AF$1001,0),0), INDEX($AM$1004:$BM$1004,1,MATCH(COLUMNS($AM$1006:BG1006),$AM$1006:$BM$1006,0)))),"Fix")))</f>
        <v xml:space="preserve"> </v>
      </c>
      <c r="W21" s="4" t="str">
        <f ca="1">IF(OR(INDEX($AG$2:$AG$1001,MATCH(ROWS($AF$2:AF21),$AF$2:$AF$1001,0),1)&gt;=100000,INDEX($AM$1005:$BM$1005,1,MATCH(COLUMNS($AM$1006:BH1006),$AM$1006:$BM$1006,0))&gt;=100000), " ",IF(INDEX($AM$2:$BM$1001,MATCH(ROWS($AF$2:AF21),$AF$2:$AF$1001,0),MATCH(COLUMNS($AM$1006:BH1006),$AM$1006:$BM$1006,0)), HYPERLINK("#",""), HYPERLINK(CONCATENATE("#metadata!", ADDRESS(INDEX($AH$2:$AH$1001,MATCH(ROWS($AF$2:AF21),$AF$2:$AF$1001,0),0), INDEX($AM$1004:$BM$1004,1,MATCH(COLUMNS($AM$1006:BH1006),$AM$1006:$BM$1006,0)))),"Fix")))</f>
        <v xml:space="preserve"> </v>
      </c>
      <c r="X21" s="4" t="str">
        <f ca="1">IF(OR(INDEX($AG$2:$AG$1001,MATCH(ROWS($AF$2:AF21),$AF$2:$AF$1001,0),1)&gt;=100000,INDEX($AM$1005:$BM$1005,1,MATCH(COLUMNS($AM$1006:BI1006),$AM$1006:$BM$1006,0))&gt;=100000), " ",IF(INDEX($AM$2:$BM$1001,MATCH(ROWS($AF$2:AF21),$AF$2:$AF$1001,0),MATCH(COLUMNS($AM$1006:BI1006),$AM$1006:$BM$1006,0)), HYPERLINK("#",""), HYPERLINK(CONCATENATE("#metadata!", ADDRESS(INDEX($AH$2:$AH$1001,MATCH(ROWS($AF$2:AF21),$AF$2:$AF$1001,0),0), INDEX($AM$1004:$BM$1004,1,MATCH(COLUMNS($AM$1006:BI1006),$AM$1006:$BM$1006,0)))),"Fix")))</f>
        <v xml:space="preserve"> </v>
      </c>
      <c r="Y21" s="4" t="str">
        <f ca="1">IF(OR(INDEX($AG$2:$AG$1001,MATCH(ROWS($AF$2:AF21),$AF$2:$AF$1001,0),1)&gt;=100000,INDEX($AM$1005:$BM$1005,1,MATCH(COLUMNS($AM$1006:BJ1006),$AM$1006:$BM$1006,0))&gt;=100000), " ",IF(INDEX($AM$2:$BM$1001,MATCH(ROWS($AF$2:AF21),$AF$2:$AF$1001,0),MATCH(COLUMNS($AM$1006:BJ1006),$AM$1006:$BM$1006,0)), HYPERLINK("#",""), HYPERLINK(CONCATENATE("#metadata!", ADDRESS(INDEX($AH$2:$AH$1001,MATCH(ROWS($AF$2:AF21),$AF$2:$AF$1001,0),0), INDEX($AM$1004:$BM$1004,1,MATCH(COLUMNS($AM$1006:BJ1006),$AM$1006:$BM$1006,0)))),"Fix")))</f>
        <v xml:space="preserve"> </v>
      </c>
      <c r="Z21" s="4" t="str">
        <f ca="1">IF(OR(INDEX($AG$2:$AG$1001,MATCH(ROWS($AF$2:AF21),$AF$2:$AF$1001,0),1)&gt;=100000,INDEX($AM$1005:$BM$1005,1,MATCH(COLUMNS($AM$1006:BK1006),$AM$1006:$BM$1006,0))&gt;=100000), " ",IF(INDEX($AM$2:$BM$1001,MATCH(ROWS($AF$2:AF21),$AF$2:$AF$1001,0),MATCH(COLUMNS($AM$1006:BK1006),$AM$1006:$BM$1006,0)), HYPERLINK("#",""), HYPERLINK(CONCATENATE("#metadata!", ADDRESS(INDEX($AH$2:$AH$1001,MATCH(ROWS($AF$2:AF21),$AF$2:$AF$1001,0),0), INDEX($AM$1004:$BM$1004,1,MATCH(COLUMNS($AM$1006:BK1006),$AM$1006:$BM$1006,0)))),"Fix")))</f>
        <v xml:space="preserve"> </v>
      </c>
      <c r="AA21" s="4" t="str">
        <f ca="1">IF(OR(INDEX($AG$2:$AG$1001,MATCH(ROWS($AF$2:AF21),$AF$2:$AF$1001,0),1)&gt;=100000,INDEX($AM$1005:$BM$1005,1,MATCH(COLUMNS($AM$1006:BL1006),$AM$1006:$BM$1006,0))&gt;=100000), " ",IF(INDEX($AM$2:$BM$1001,MATCH(ROWS($AF$2:AF21),$AF$2:$AF$1001,0),MATCH(COLUMNS($AM$1006:BL1006),$AM$1006:$BM$1006,0)), HYPERLINK("#",""), HYPERLINK(CONCATENATE("#metadata!", ADDRESS(INDEX($AH$2:$AH$1001,MATCH(ROWS($AF$2:AF21),$AF$2:$AF$1001,0),0), INDEX($AM$1004:$BM$1004,1,MATCH(COLUMNS($AM$1006:BL1006),$AM$1006:$BM$1006,0)))),"Fix")))</f>
        <v xml:space="preserve"> </v>
      </c>
      <c r="AB21" s="4" t="str">
        <f ca="1">IF(OR(INDEX($AG$2:$AG$1001,MATCH(ROWS($AF$2:AF21),$AF$2:$AF$1001,0),1)&gt;=100000,INDEX($AM$1005:$BM$1005,1,MATCH(COLUMNS($AM$1006:BM1006),$AM$1006:$BM$1006,0))&gt;=100000), " ",IF(INDEX($AM$2:$BM$1001,MATCH(ROWS($AF$2:AF21),$AF$2:$AF$1001,0),MATCH(COLUMNS($AM$1006:BM1006),$AM$1006:$BM$1006,0)), HYPERLINK("#",""), HYPERLINK(CONCATENATE("#metadata!", ADDRESS(INDEX($AH$2:$AH$1001,MATCH(ROWS($AF$2:AF21),$AF$2:$AF$1001,0),0), INDEX($AM$1004:$BM$1004,1,MATCH(COLUMNS($AM$1006:BM1006),$AM$1006:$BM$1006,0)))),"Fix")))</f>
        <v xml:space="preserve"> </v>
      </c>
      <c r="AF21">
        <v>20</v>
      </c>
      <c r="AG21">
        <v>100021</v>
      </c>
      <c r="AH21">
        <v>21</v>
      </c>
      <c r="AI21" t="b">
        <f t="shared" si="0"/>
        <v>1</v>
      </c>
      <c r="AJ21" t="b">
        <f>COUNTBLANK(metadata!B21:AB21)=COLUMNS(metadata!B21:AB21)</f>
        <v>1</v>
      </c>
      <c r="AK21" t="str">
        <v/>
      </c>
      <c r="AM21" t="b">
        <f ca="1">AND(IF(metadata!B21="",FALSE,TRUE),COUNTIF(metadata!B:B, metadata!B21) = 1,NOT(ISERROR(SUMPRODUCT(SEARCH(MID(metadata!B21,ROW(INDIRECT("1:"&amp;LEN(metadata!B21))), 1),"0123456789abcdefghijklmnopqrstuvwxyzABCDEFGHIJKLMNOPQRSTUVWXYZ.")))))</f>
        <v>0</v>
      </c>
      <c r="AN21" t="b">
        <f ca="1">OR(AND(IF(metadata!C21="",FALSE,TRUE),OR(EXACT(metadata!C21,"missing: not collected"),EXACT(metadata!C21,"missing: not provided"),EXACT(metadata!C21,"missing: restricted access"))),AND(IF(metadata!C21="",FALSE,TRUE),AND(AND(IFERROR(INT(LEFT(metadata!C21,4))&gt;1900,FALSE),IFERROR(INT(LEFT(metadata!C21,4))&lt;=YEAR(NOW()),FALSE)), OR(MID(metadata!C21,5,1)="", AND(AND(MID(metadata!C21,5,1)="-",IFERROR(INT(MID(metadata!C21,6,1))&gt;=0,FALSE),IFERROR(INT(MID(metadata!C21,6,1))&lt;=1,FALSE),NOT(MID(metadata!C21,7,1)=""),IFERROR(INT(MID(metadata!C21,6,2))&gt;=1,FALSE),IFERROR(INT(MID(metadata!C21,6,2))&lt;=12,FALSE)), OR(MID(metadata!C21,8,1)="", AND(AND(MID(metadata!C21,8,1)="-",IFERROR(INT(MID(metadata!C21,9,1))&gt;=0,FALSE),IFERROR(INT(MID(metadata!C21,9,1))&lt;=3,FALSE),NOT(MID(metadata!C21,10,1)=""),IFERROR(INT(MID(metadata!C21,9,2))&gt;=1,FALSE),IFERROR(INT(MID(metadata!C21,9,2))&lt;=31,FALSE)), OR(MID(metadata!C21,11,1)="", AND(AND(MID(metadata!C21,11,1)=" ",IFERROR(INT(MID(metadata!C21,12,1))&gt;=0,FALSE),IFERROR(INT(MID(metadata!C21,12,1))&lt;=2,FALSE),NOT(MID(metadata!C21,13,1)=""),IFERROR(INT(MID(metadata!C21,12,2))&gt;=0,FALSE),IFERROR(INT(MID(metadata!C21,12,2))&lt;=23,FALSE)), OR(MID(metadata!C21,14,1)="", AND(AND(MID(metadata!C21,14,1)=":",IFERROR(INT(MID(metadata!C21,15,1))&gt;=0,FALSE),IFERROR(INT(MID(metadata!C21,15,1))&lt;=5,FALSE),NOT(MID(metadata!C21,16,1)=""),IFERROR(INT(MID(metadata!C21,15,2))&gt;=0,FALSE),IFERROR(INT(MID(metadata!C21,15,2))&lt;=59,FALSE)), OR(MID(metadata!C21,17,1)="", AND(AND(MID(metadata!C21,17,1)=":",IFERROR(INT(MID(metadata!C21,18,1))&gt;=0,FALSE),IFERROR(INT(MID(metadata!C21,18,1))&lt;=5,FALSE),NOT(MID(metadata!C21,19,1)=""),IFERROR(INT(MID(metadata!C21,18,2))&gt;=0,FALSE),IFERROR(INT(MID(metadata!C21,18,2))&lt;=59,FALSE)), LEN(metadata!C21)&lt;=19)))))))))))))</f>
        <v>0</v>
      </c>
      <c r="AO21" t="b">
        <f>AND(IF(metadata!D21="",FALSE,TRUE),EXACT(metadata!D21,"Not applicable"))</f>
        <v>0</v>
      </c>
      <c r="AP21" t="b">
        <f>IF(metadata!E21="",FALSE,TRUE)</f>
        <v>0</v>
      </c>
      <c r="AQ21" t="b">
        <f>OR(AND(IF(metadata!F21="",FALSE,TRUE),OR(EXACT(metadata!F21,"missing: not collected"),EXACT(metadata!F21,"missing: not provided"))),AND(IF(metadata!F21="",FALSE,TRUE),OR(EXACT(metadata!F21,"TRUE"),EXACT(metadata!F21,"FALSE"))))</f>
        <v>0</v>
      </c>
      <c r="AR21" t="b">
        <f>OR(AND(IF(metadata!G21="",FALSE,TRUE),OR(EXACT(metadata!G21,"missing: not collected"),EXACT(metadata!G21,"missing: not provided"),EXACT(metadata!G21,"missing: restricted access"))),AND(IF(metadata!G21="",FALSE,ISNUMBER(VALUE(metadata!G21))),metadata!G21&gt;=-413))</f>
        <v>0</v>
      </c>
      <c r="AS21" t="b">
        <f>AND(IF(metadata!H21="",FALSE,TRUE),EXACT(metadata!H21,"meters"))</f>
        <v>0</v>
      </c>
      <c r="AT21" t="b">
        <f>AND(IF(metadata!I21="",FALSE,TRUE),OR(EXACT(metadata!I21,"Host-associated"),EXACT(metadata!I21,"Free-living")))</f>
        <v>0</v>
      </c>
      <c r="AU21" t="b">
        <f>AND(IF(metadata!J21="",FALSE,TRUE),OR(EXACT(metadata!J21,"Animal"),EXACT(metadata!J21,"Fungus"),EXACT(metadata!J21,"Plant"),EXACT(metadata!J21,"Saline"),EXACT(metadata!J21,"Non-saline")))</f>
        <v>0</v>
      </c>
      <c r="AV21" t="b">
        <f>AND(IF(metadata!K21="",FALSE,TRUE),OR(EXACT(metadata!K21,"Plant secretion"),EXACT(metadata!K21,"Plant rhizosphere"),EXACT(metadata!K21,"Plant surface"),EXACT(metadata!K21,"Plant corpus"),EXACT(metadata!K21,"Fungus surface"),EXACT(metadata!K21,"Fungus corpus"),EXACT(metadata!K21,"Animal surface"),EXACT(metadata!K21,"Animal proximal gut"),EXACT(metadata!K21,"Animal corpus"),EXACT(metadata!K21,"Animal distal gut"),EXACT(metadata!K21,"Animal secretion"),EXACT(metadata!K21,"Sub-surface (non-saline)"),EXACT(metadata!K21,"Surface (non-saline)"),EXACT(metadata!K21,"Water (non-saline)"),EXACT(metadata!K21,"Soil (non-saline)"),EXACT(metadata!K21,"Aerosol (non-saline)"),EXACT(metadata!K21,"Sediment (non-saline)"),EXACT(metadata!K21,"Surface (saline)"),EXACT(metadata!K21,"Water (saline)"),EXACT(metadata!K21,"Hypersaline (saline)"),EXACT(metadata!K21,"Aerosol (saline)"),EXACT(metadata!K21,"Sediment (saline)")))</f>
        <v>0</v>
      </c>
      <c r="AW21" t="b">
        <f>IF(metadata!L21="",FALSE,TRUE)</f>
        <v>0</v>
      </c>
      <c r="AX21" t="b">
        <f>IF(metadata!M21="",FALSE,TRUE)</f>
        <v>0</v>
      </c>
      <c r="AY21" t="b">
        <f>IF(metadata!N21="",FALSE,TRUE)</f>
        <v>0</v>
      </c>
      <c r="AZ21" t="b">
        <f>OR(AND(IF(metadata!O21="",FALSE,TRUE),OR(EXACT(metadata!O21,"missing: not collected"),EXACT(metadata!O21,"missing: not provided"),EXACT(metadata!O21,"missing: restricted access"))),AND(IF(metadata!O21="",FALSE,TRUE),OR(EXACT(metadata!O21,"air"),EXACT(metadata!O21,"built environment"),EXACT(metadata!O21,"host-associated"),EXACT(metadata!O21,"human-associated"),EXACT(metadata!O21,"human-skin"),EXACT(metadata!O21,"human-oral"),EXACT(metadata!O21,"human-gut"),EXACT(metadata!O21,"human-vaginal"),EXACT(metadata!O21,"microbial mat/biofilm"),EXACT(metadata!O21,"misc environment"),EXACT(metadata!O21,"plant-associated"),EXACT(metadata!O21,"sediment"),EXACT(metadata!O21,"soil"),EXACT(metadata!O21,"wastewater/sludge"),EXACT(metadata!O21,"water"))))</f>
        <v>0</v>
      </c>
      <c r="BA21" t="b">
        <f>IF(metadata!P21="",FALSE,TRUE)</f>
        <v>0</v>
      </c>
      <c r="BB21" t="b">
        <f>IF(metadata!Q21="",FALSE,TRUE)</f>
        <v>0</v>
      </c>
      <c r="BC21" t="b">
        <f>OR(AND(IF(metadata!R21="",FALSE,TRUE),OR(EXACT(metadata!R21,"missing: not collected"),EXACT(metadata!R21,"missing: not provided"),EXACT(metadata!R21,"missing: restricted access"))),AND(IF(metadata!R21="",FALSE,ISNUMBER(VALUE(metadata!R21))),metadata!R21&gt;=-90,metadata!R21&lt;=90))</f>
        <v>0</v>
      </c>
      <c r="BD21" t="b">
        <f>AND(IF(metadata!S21="",FALSE,TRUE),EXACT(metadata!S21,"Decimal degrees"))</f>
        <v>0</v>
      </c>
      <c r="BE21" t="b">
        <f>OR(AND(IF(metadata!T21="",FALSE,TRUE),OR(EXACT(metadata!T21,"missing: not collected"),EXACT(metadata!T21,"missing: not provided"),EXACT(metadata!T21,"missing: restricted access"))),AND(IF(metadata!T21="",FALSE,ISNUMBER(VALUE(metadata!T21))),metadata!T21&gt;=-180,metadata!T21&lt;=180))</f>
        <v>0</v>
      </c>
      <c r="BF21" t="b">
        <f>AND(IF(metadata!U21="",FALSE,TRUE),EXACT(metadata!U21,"Decimal degrees"))</f>
        <v>0</v>
      </c>
      <c r="BG21" t="b">
        <f>IF(metadata!V21="",FALSE,TRUE)</f>
        <v>0</v>
      </c>
      <c r="BH21" t="b">
        <f>OR(AND(IF(metadata!W21="",FALSE,TRUE),OR(EXACT(metadata!W21,"missing: not collected"),EXACT(metadata!W21,"missing: not provided"),EXACT(metadata!W21,"missing: restricted access"))),AND(IF(metadata!W21="",FALSE,TRUE),OR(EXACT(metadata!W21,"TRUE"),EXACT(metadata!W21,"FALSE"))))</f>
        <v>0</v>
      </c>
      <c r="BI21" t="b">
        <f>AND(IF(metadata!X21="",FALSE,TRUE),EXACT(metadata!X21,"other"))</f>
        <v>0</v>
      </c>
      <c r="BJ21" t="b">
        <f>IF(metadata!Y21="",FALSE,TRUE)</f>
        <v>0</v>
      </c>
      <c r="BK21" t="b">
        <f>OR(AND(IF(metadata!Z21="",FALSE,TRUE),OR(EXACT(metadata!Z21,"missing: not collected"),EXACT(metadata!Z21,"missing: not provided"))),AND(IF(metadata!Z21="",FALSE,IF(ISERROR(INT(metadata!Z21)),FALSE,INT(metadata!Z21)=metadata!Z21)),metadata!Z21&gt;0))</f>
        <v>0</v>
      </c>
      <c r="BL21" t="b">
        <f>AND(IF(metadata!AA21="",FALSE,TRUE),EXACT(metadata!AA21,"Not applicable"))</f>
        <v>0</v>
      </c>
      <c r="BM21" t="b">
        <f>IF(metadata!AB21="",FALSE,TRUE)</f>
        <v>0</v>
      </c>
    </row>
    <row r="22" spans="1:65" x14ac:dyDescent="0.2">
      <c r="A22" s="5" t="str">
        <f ca="1">IF(B22=" "," ",HYPERLINK(CONCATENATE("#metadata!",ADDRESS(INDEX($AH$2:$AH$1001,MATCH(ROWS($AF$2:AF22),$AF$2:$AF$1001,0),0),1)),INDEX($AK$2:$AK$1001,MATCH(ROWS($AF$2:AF22),$AF$2:$AF$1001,0),0)))</f>
        <v xml:space="preserve"> </v>
      </c>
      <c r="B22" s="4" t="str">
        <f ca="1">IF(OR(INDEX($AG$2:$AG$1001,MATCH(ROWS($AF$2:AF22),$AF$2:$AF$1001,0),1)&gt;=100000,INDEX($AM$1005:$BM$1005,1,MATCH(COLUMNS($AM$1006:AM1006),$AM$1006:$BM$1006,0))&gt;=100000), " ",IF(INDEX($AM$2:$BM$1001,MATCH(ROWS($AF$2:AF22),$AF$2:$AF$1001,0),MATCH(COLUMNS($AM$1006:AM1006),$AM$1006:$BM$1006,0)), HYPERLINK("#",""), HYPERLINK(CONCATENATE("#metadata!", ADDRESS(INDEX($AH$2:$AH$1001,MATCH(ROWS($AF$2:AF22),$AF$2:$AF$1001,0),0), INDEX($AM$1004:$BM$1004,1,MATCH(COLUMNS($AM$1006:AM1006),$AM$1006:$BM$1006,0)))),"Fix")))</f>
        <v xml:space="preserve"> </v>
      </c>
      <c r="C22" s="4" t="str">
        <f ca="1">IF(OR(INDEX($AG$2:$AG$1001,MATCH(ROWS($AF$2:AF22),$AF$2:$AF$1001,0),1)&gt;=100000,INDEX($AM$1005:$BM$1005,1,MATCH(COLUMNS($AM$1006:AN1006),$AM$1006:$BM$1006,0))&gt;=100000), " ",IF(INDEX($AM$2:$BM$1001,MATCH(ROWS($AF$2:AF22),$AF$2:$AF$1001,0),MATCH(COLUMNS($AM$1006:AN1006),$AM$1006:$BM$1006,0)), HYPERLINK("#",""), HYPERLINK(CONCATENATE("#metadata!", ADDRESS(INDEX($AH$2:$AH$1001,MATCH(ROWS($AF$2:AF22),$AF$2:$AF$1001,0),0), INDEX($AM$1004:$BM$1004,1,MATCH(COLUMNS($AM$1006:AN1006),$AM$1006:$BM$1006,0)))),"Fix")))</f>
        <v xml:space="preserve"> </v>
      </c>
      <c r="D22" s="4" t="str">
        <f ca="1">IF(OR(INDEX($AG$2:$AG$1001,MATCH(ROWS($AF$2:AF22),$AF$2:$AF$1001,0),1)&gt;=100000,INDEX($AM$1005:$BM$1005,1,MATCH(COLUMNS($AM$1006:AO1006),$AM$1006:$BM$1006,0))&gt;=100000), " ",IF(INDEX($AM$2:$BM$1001,MATCH(ROWS($AF$2:AF22),$AF$2:$AF$1001,0),MATCH(COLUMNS($AM$1006:AO1006),$AM$1006:$BM$1006,0)), HYPERLINK("#",""), HYPERLINK(CONCATENATE("#metadata!", ADDRESS(INDEX($AH$2:$AH$1001,MATCH(ROWS($AF$2:AF22),$AF$2:$AF$1001,0),0), INDEX($AM$1004:$BM$1004,1,MATCH(COLUMNS($AM$1006:AO1006),$AM$1006:$BM$1006,0)))),"Fix")))</f>
        <v xml:space="preserve"> </v>
      </c>
      <c r="E22" s="4" t="str">
        <f ca="1">IF(OR(INDEX($AG$2:$AG$1001,MATCH(ROWS($AF$2:AF22),$AF$2:$AF$1001,0),1)&gt;=100000,INDEX($AM$1005:$BM$1005,1,MATCH(COLUMNS($AM$1006:AP1006),$AM$1006:$BM$1006,0))&gt;=100000), " ",IF(INDEX($AM$2:$BM$1001,MATCH(ROWS($AF$2:AF22),$AF$2:$AF$1001,0),MATCH(COLUMNS($AM$1006:AP1006),$AM$1006:$BM$1006,0)), HYPERLINK("#",""), HYPERLINK(CONCATENATE("#metadata!", ADDRESS(INDEX($AH$2:$AH$1001,MATCH(ROWS($AF$2:AF22),$AF$2:$AF$1001,0),0), INDEX($AM$1004:$BM$1004,1,MATCH(COLUMNS($AM$1006:AP1006),$AM$1006:$BM$1006,0)))),"Fix")))</f>
        <v xml:space="preserve"> </v>
      </c>
      <c r="F22" s="4" t="str">
        <f ca="1">IF(OR(INDEX($AG$2:$AG$1001,MATCH(ROWS($AF$2:AF22),$AF$2:$AF$1001,0),1)&gt;=100000,INDEX($AM$1005:$BM$1005,1,MATCH(COLUMNS($AM$1006:AQ1006),$AM$1006:$BM$1006,0))&gt;=100000), " ",IF(INDEX($AM$2:$BM$1001,MATCH(ROWS($AF$2:AF22),$AF$2:$AF$1001,0),MATCH(COLUMNS($AM$1006:AQ1006),$AM$1006:$BM$1006,0)), HYPERLINK("#",""), HYPERLINK(CONCATENATE("#metadata!", ADDRESS(INDEX($AH$2:$AH$1001,MATCH(ROWS($AF$2:AF22),$AF$2:$AF$1001,0),0), INDEX($AM$1004:$BM$1004,1,MATCH(COLUMNS($AM$1006:AQ1006),$AM$1006:$BM$1006,0)))),"Fix")))</f>
        <v xml:space="preserve"> </v>
      </c>
      <c r="G22" s="4" t="str">
        <f ca="1">IF(OR(INDEX($AG$2:$AG$1001,MATCH(ROWS($AF$2:AF22),$AF$2:$AF$1001,0),1)&gt;=100000,INDEX($AM$1005:$BM$1005,1,MATCH(COLUMNS($AM$1006:AR1006),$AM$1006:$BM$1006,0))&gt;=100000), " ",IF(INDEX($AM$2:$BM$1001,MATCH(ROWS($AF$2:AF22),$AF$2:$AF$1001,0),MATCH(COLUMNS($AM$1006:AR1006),$AM$1006:$BM$1006,0)), HYPERLINK("#",""), HYPERLINK(CONCATENATE("#metadata!", ADDRESS(INDEX($AH$2:$AH$1001,MATCH(ROWS($AF$2:AF22),$AF$2:$AF$1001,0),0), INDEX($AM$1004:$BM$1004,1,MATCH(COLUMNS($AM$1006:AR1006),$AM$1006:$BM$1006,0)))),"Fix")))</f>
        <v xml:space="preserve"> </v>
      </c>
      <c r="H22" s="4" t="str">
        <f ca="1">IF(OR(INDEX($AG$2:$AG$1001,MATCH(ROWS($AF$2:AF22),$AF$2:$AF$1001,0),1)&gt;=100000,INDEX($AM$1005:$BM$1005,1,MATCH(COLUMNS($AM$1006:AS1006),$AM$1006:$BM$1006,0))&gt;=100000), " ",IF(INDEX($AM$2:$BM$1001,MATCH(ROWS($AF$2:AF22),$AF$2:$AF$1001,0),MATCH(COLUMNS($AM$1006:AS1006),$AM$1006:$BM$1006,0)), HYPERLINK("#",""), HYPERLINK(CONCATENATE("#metadata!", ADDRESS(INDEX($AH$2:$AH$1001,MATCH(ROWS($AF$2:AF22),$AF$2:$AF$1001,0),0), INDEX($AM$1004:$BM$1004,1,MATCH(COLUMNS($AM$1006:AS1006),$AM$1006:$BM$1006,0)))),"Fix")))</f>
        <v xml:space="preserve"> </v>
      </c>
      <c r="I22" s="4" t="str">
        <f ca="1">IF(OR(INDEX($AG$2:$AG$1001,MATCH(ROWS($AF$2:AF22),$AF$2:$AF$1001,0),1)&gt;=100000,INDEX($AM$1005:$BM$1005,1,MATCH(COLUMNS($AM$1006:AT1006),$AM$1006:$BM$1006,0))&gt;=100000), " ",IF(INDEX($AM$2:$BM$1001,MATCH(ROWS($AF$2:AF22),$AF$2:$AF$1001,0),MATCH(COLUMNS($AM$1006:AT1006),$AM$1006:$BM$1006,0)), HYPERLINK("#",""), HYPERLINK(CONCATENATE("#metadata!", ADDRESS(INDEX($AH$2:$AH$1001,MATCH(ROWS($AF$2:AF22),$AF$2:$AF$1001,0),0), INDEX($AM$1004:$BM$1004,1,MATCH(COLUMNS($AM$1006:AT1006),$AM$1006:$BM$1006,0)))),"Fix")))</f>
        <v xml:space="preserve"> </v>
      </c>
      <c r="J22" s="4" t="str">
        <f ca="1">IF(OR(INDEX($AG$2:$AG$1001,MATCH(ROWS($AF$2:AF22),$AF$2:$AF$1001,0),1)&gt;=100000,INDEX($AM$1005:$BM$1005,1,MATCH(COLUMNS($AM$1006:AU1006),$AM$1006:$BM$1006,0))&gt;=100000), " ",IF(INDEX($AM$2:$BM$1001,MATCH(ROWS($AF$2:AF22),$AF$2:$AF$1001,0),MATCH(COLUMNS($AM$1006:AU1006),$AM$1006:$BM$1006,0)), HYPERLINK("#",""), HYPERLINK(CONCATENATE("#metadata!", ADDRESS(INDEX($AH$2:$AH$1001,MATCH(ROWS($AF$2:AF22),$AF$2:$AF$1001,0),0), INDEX($AM$1004:$BM$1004,1,MATCH(COLUMNS($AM$1006:AU1006),$AM$1006:$BM$1006,0)))),"Fix")))</f>
        <v xml:space="preserve"> </v>
      </c>
      <c r="K22" s="4" t="str">
        <f ca="1">IF(OR(INDEX($AG$2:$AG$1001,MATCH(ROWS($AF$2:AF22),$AF$2:$AF$1001,0),1)&gt;=100000,INDEX($AM$1005:$BM$1005,1,MATCH(COLUMNS($AM$1006:AV1006),$AM$1006:$BM$1006,0))&gt;=100000), " ",IF(INDEX($AM$2:$BM$1001,MATCH(ROWS($AF$2:AF22),$AF$2:$AF$1001,0),MATCH(COLUMNS($AM$1006:AV1006),$AM$1006:$BM$1006,0)), HYPERLINK("#",""), HYPERLINK(CONCATENATE("#metadata!", ADDRESS(INDEX($AH$2:$AH$1001,MATCH(ROWS($AF$2:AF22),$AF$2:$AF$1001,0),0), INDEX($AM$1004:$BM$1004,1,MATCH(COLUMNS($AM$1006:AV1006),$AM$1006:$BM$1006,0)))),"Fix")))</f>
        <v xml:space="preserve"> </v>
      </c>
      <c r="L22" s="4" t="str">
        <f ca="1">IF(OR(INDEX($AG$2:$AG$1001,MATCH(ROWS($AF$2:AF22),$AF$2:$AF$1001,0),1)&gt;=100000,INDEX($AM$1005:$BM$1005,1,MATCH(COLUMNS($AM$1006:AW1006),$AM$1006:$BM$1006,0))&gt;=100000), " ",IF(INDEX($AM$2:$BM$1001,MATCH(ROWS($AF$2:AF22),$AF$2:$AF$1001,0),MATCH(COLUMNS($AM$1006:AW1006),$AM$1006:$BM$1006,0)), HYPERLINK("#",""), HYPERLINK(CONCATENATE("#metadata!", ADDRESS(INDEX($AH$2:$AH$1001,MATCH(ROWS($AF$2:AF22),$AF$2:$AF$1001,0),0), INDEX($AM$1004:$BM$1004,1,MATCH(COLUMNS($AM$1006:AW1006),$AM$1006:$BM$1006,0)))),"Fix")))</f>
        <v xml:space="preserve"> </v>
      </c>
      <c r="M22" s="4" t="str">
        <f ca="1">IF(OR(INDEX($AG$2:$AG$1001,MATCH(ROWS($AF$2:AF22),$AF$2:$AF$1001,0),1)&gt;=100000,INDEX($AM$1005:$BM$1005,1,MATCH(COLUMNS($AM$1006:AX1006),$AM$1006:$BM$1006,0))&gt;=100000), " ",IF(INDEX($AM$2:$BM$1001,MATCH(ROWS($AF$2:AF22),$AF$2:$AF$1001,0),MATCH(COLUMNS($AM$1006:AX1006),$AM$1006:$BM$1006,0)), HYPERLINK("#",""), HYPERLINK(CONCATENATE("#metadata!", ADDRESS(INDEX($AH$2:$AH$1001,MATCH(ROWS($AF$2:AF22),$AF$2:$AF$1001,0),0), INDEX($AM$1004:$BM$1004,1,MATCH(COLUMNS($AM$1006:AX1006),$AM$1006:$BM$1006,0)))),"Fix")))</f>
        <v xml:space="preserve"> </v>
      </c>
      <c r="N22" s="4" t="str">
        <f ca="1">IF(OR(INDEX($AG$2:$AG$1001,MATCH(ROWS($AF$2:AF22),$AF$2:$AF$1001,0),1)&gt;=100000,INDEX($AM$1005:$BM$1005,1,MATCH(COLUMNS($AM$1006:AY1006),$AM$1006:$BM$1006,0))&gt;=100000), " ",IF(INDEX($AM$2:$BM$1001,MATCH(ROWS($AF$2:AF22),$AF$2:$AF$1001,0),MATCH(COLUMNS($AM$1006:AY1006),$AM$1006:$BM$1006,0)), HYPERLINK("#",""), HYPERLINK(CONCATENATE("#metadata!", ADDRESS(INDEX($AH$2:$AH$1001,MATCH(ROWS($AF$2:AF22),$AF$2:$AF$1001,0),0), INDEX($AM$1004:$BM$1004,1,MATCH(COLUMNS($AM$1006:AY1006),$AM$1006:$BM$1006,0)))),"Fix")))</f>
        <v xml:space="preserve"> </v>
      </c>
      <c r="O22" s="4" t="str">
        <f ca="1">IF(OR(INDEX($AG$2:$AG$1001,MATCH(ROWS($AF$2:AF22),$AF$2:$AF$1001,0),1)&gt;=100000,INDEX($AM$1005:$BM$1005,1,MATCH(COLUMNS($AM$1006:AZ1006),$AM$1006:$BM$1006,0))&gt;=100000), " ",IF(INDEX($AM$2:$BM$1001,MATCH(ROWS($AF$2:AF22),$AF$2:$AF$1001,0),MATCH(COLUMNS($AM$1006:AZ1006),$AM$1006:$BM$1006,0)), HYPERLINK("#",""), HYPERLINK(CONCATENATE("#metadata!", ADDRESS(INDEX($AH$2:$AH$1001,MATCH(ROWS($AF$2:AF22),$AF$2:$AF$1001,0),0), INDEX($AM$1004:$BM$1004,1,MATCH(COLUMNS($AM$1006:AZ1006),$AM$1006:$BM$1006,0)))),"Fix")))</f>
        <v xml:space="preserve"> </v>
      </c>
      <c r="P22" s="4" t="str">
        <f ca="1">IF(OR(INDEX($AG$2:$AG$1001,MATCH(ROWS($AF$2:AF22),$AF$2:$AF$1001,0),1)&gt;=100000,INDEX($AM$1005:$BM$1005,1,MATCH(COLUMNS($AM$1006:BA1006),$AM$1006:$BM$1006,0))&gt;=100000), " ",IF(INDEX($AM$2:$BM$1001,MATCH(ROWS($AF$2:AF22),$AF$2:$AF$1001,0),MATCH(COLUMNS($AM$1006:BA1006),$AM$1006:$BM$1006,0)), HYPERLINK("#",""), HYPERLINK(CONCATENATE("#metadata!", ADDRESS(INDEX($AH$2:$AH$1001,MATCH(ROWS($AF$2:AF22),$AF$2:$AF$1001,0),0), INDEX($AM$1004:$BM$1004,1,MATCH(COLUMNS($AM$1006:BA1006),$AM$1006:$BM$1006,0)))),"Fix")))</f>
        <v xml:space="preserve"> </v>
      </c>
      <c r="Q22" s="4" t="str">
        <f ca="1">IF(OR(INDEX($AG$2:$AG$1001,MATCH(ROWS($AF$2:AF22),$AF$2:$AF$1001,0),1)&gt;=100000,INDEX($AM$1005:$BM$1005,1,MATCH(COLUMNS($AM$1006:BB1006),$AM$1006:$BM$1006,0))&gt;=100000), " ",IF(INDEX($AM$2:$BM$1001,MATCH(ROWS($AF$2:AF22),$AF$2:$AF$1001,0),MATCH(COLUMNS($AM$1006:BB1006),$AM$1006:$BM$1006,0)), HYPERLINK("#",""), HYPERLINK(CONCATENATE("#metadata!", ADDRESS(INDEX($AH$2:$AH$1001,MATCH(ROWS($AF$2:AF22),$AF$2:$AF$1001,0),0), INDEX($AM$1004:$BM$1004,1,MATCH(COLUMNS($AM$1006:BB1006),$AM$1006:$BM$1006,0)))),"Fix")))</f>
        <v xml:space="preserve"> </v>
      </c>
      <c r="R22" s="4" t="str">
        <f ca="1">IF(OR(INDEX($AG$2:$AG$1001,MATCH(ROWS($AF$2:AF22),$AF$2:$AF$1001,0),1)&gt;=100000,INDEX($AM$1005:$BM$1005,1,MATCH(COLUMNS($AM$1006:BC1006),$AM$1006:$BM$1006,0))&gt;=100000), " ",IF(INDEX($AM$2:$BM$1001,MATCH(ROWS($AF$2:AF22),$AF$2:$AF$1001,0),MATCH(COLUMNS($AM$1006:BC1006),$AM$1006:$BM$1006,0)), HYPERLINK("#",""), HYPERLINK(CONCATENATE("#metadata!", ADDRESS(INDEX($AH$2:$AH$1001,MATCH(ROWS($AF$2:AF22),$AF$2:$AF$1001,0),0), INDEX($AM$1004:$BM$1004,1,MATCH(COLUMNS($AM$1006:BC1006),$AM$1006:$BM$1006,0)))),"Fix")))</f>
        <v xml:space="preserve"> </v>
      </c>
      <c r="S22" s="4" t="str">
        <f ca="1">IF(OR(INDEX($AG$2:$AG$1001,MATCH(ROWS($AF$2:AF22),$AF$2:$AF$1001,0),1)&gt;=100000,INDEX($AM$1005:$BM$1005,1,MATCH(COLUMNS($AM$1006:BD1006),$AM$1006:$BM$1006,0))&gt;=100000), " ",IF(INDEX($AM$2:$BM$1001,MATCH(ROWS($AF$2:AF22),$AF$2:$AF$1001,0),MATCH(COLUMNS($AM$1006:BD1006),$AM$1006:$BM$1006,0)), HYPERLINK("#",""), HYPERLINK(CONCATENATE("#metadata!", ADDRESS(INDEX($AH$2:$AH$1001,MATCH(ROWS($AF$2:AF22),$AF$2:$AF$1001,0),0), INDEX($AM$1004:$BM$1004,1,MATCH(COLUMNS($AM$1006:BD1006),$AM$1006:$BM$1006,0)))),"Fix")))</f>
        <v xml:space="preserve"> </v>
      </c>
      <c r="T22" s="4" t="str">
        <f ca="1">IF(OR(INDEX($AG$2:$AG$1001,MATCH(ROWS($AF$2:AF22),$AF$2:$AF$1001,0),1)&gt;=100000,INDEX($AM$1005:$BM$1005,1,MATCH(COLUMNS($AM$1006:BE1006),$AM$1006:$BM$1006,0))&gt;=100000), " ",IF(INDEX($AM$2:$BM$1001,MATCH(ROWS($AF$2:AF22),$AF$2:$AF$1001,0),MATCH(COLUMNS($AM$1006:BE1006),$AM$1006:$BM$1006,0)), HYPERLINK("#",""), HYPERLINK(CONCATENATE("#metadata!", ADDRESS(INDEX($AH$2:$AH$1001,MATCH(ROWS($AF$2:AF22),$AF$2:$AF$1001,0),0), INDEX($AM$1004:$BM$1004,1,MATCH(COLUMNS($AM$1006:BE1006),$AM$1006:$BM$1006,0)))),"Fix")))</f>
        <v xml:space="preserve"> </v>
      </c>
      <c r="U22" s="4" t="str">
        <f ca="1">IF(OR(INDEX($AG$2:$AG$1001,MATCH(ROWS($AF$2:AF22),$AF$2:$AF$1001,0),1)&gt;=100000,INDEX($AM$1005:$BM$1005,1,MATCH(COLUMNS($AM$1006:BF1006),$AM$1006:$BM$1006,0))&gt;=100000), " ",IF(INDEX($AM$2:$BM$1001,MATCH(ROWS($AF$2:AF22),$AF$2:$AF$1001,0),MATCH(COLUMNS($AM$1006:BF1006),$AM$1006:$BM$1006,0)), HYPERLINK("#",""), HYPERLINK(CONCATENATE("#metadata!", ADDRESS(INDEX($AH$2:$AH$1001,MATCH(ROWS($AF$2:AF22),$AF$2:$AF$1001,0),0), INDEX($AM$1004:$BM$1004,1,MATCH(COLUMNS($AM$1006:BF1006),$AM$1006:$BM$1006,0)))),"Fix")))</f>
        <v xml:space="preserve"> </v>
      </c>
      <c r="V22" s="4" t="str">
        <f ca="1">IF(OR(INDEX($AG$2:$AG$1001,MATCH(ROWS($AF$2:AF22),$AF$2:$AF$1001,0),1)&gt;=100000,INDEX($AM$1005:$BM$1005,1,MATCH(COLUMNS($AM$1006:BG1006),$AM$1006:$BM$1006,0))&gt;=100000), " ",IF(INDEX($AM$2:$BM$1001,MATCH(ROWS($AF$2:AF22),$AF$2:$AF$1001,0),MATCH(COLUMNS($AM$1006:BG1006),$AM$1006:$BM$1006,0)), HYPERLINK("#",""), HYPERLINK(CONCATENATE("#metadata!", ADDRESS(INDEX($AH$2:$AH$1001,MATCH(ROWS($AF$2:AF22),$AF$2:$AF$1001,0),0), INDEX($AM$1004:$BM$1004,1,MATCH(COLUMNS($AM$1006:BG1006),$AM$1006:$BM$1006,0)))),"Fix")))</f>
        <v xml:space="preserve"> </v>
      </c>
      <c r="W22" s="4" t="str">
        <f ca="1">IF(OR(INDEX($AG$2:$AG$1001,MATCH(ROWS($AF$2:AF22),$AF$2:$AF$1001,0),1)&gt;=100000,INDEX($AM$1005:$BM$1005,1,MATCH(COLUMNS($AM$1006:BH1006),$AM$1006:$BM$1006,0))&gt;=100000), " ",IF(INDEX($AM$2:$BM$1001,MATCH(ROWS($AF$2:AF22),$AF$2:$AF$1001,0),MATCH(COLUMNS($AM$1006:BH1006),$AM$1006:$BM$1006,0)), HYPERLINK("#",""), HYPERLINK(CONCATENATE("#metadata!", ADDRESS(INDEX($AH$2:$AH$1001,MATCH(ROWS($AF$2:AF22),$AF$2:$AF$1001,0),0), INDEX($AM$1004:$BM$1004,1,MATCH(COLUMNS($AM$1006:BH1006),$AM$1006:$BM$1006,0)))),"Fix")))</f>
        <v xml:space="preserve"> </v>
      </c>
      <c r="X22" s="4" t="str">
        <f ca="1">IF(OR(INDEX($AG$2:$AG$1001,MATCH(ROWS($AF$2:AF22),$AF$2:$AF$1001,0),1)&gt;=100000,INDEX($AM$1005:$BM$1005,1,MATCH(COLUMNS($AM$1006:BI1006),$AM$1006:$BM$1006,0))&gt;=100000), " ",IF(INDEX($AM$2:$BM$1001,MATCH(ROWS($AF$2:AF22),$AF$2:$AF$1001,0),MATCH(COLUMNS($AM$1006:BI1006),$AM$1006:$BM$1006,0)), HYPERLINK("#",""), HYPERLINK(CONCATENATE("#metadata!", ADDRESS(INDEX($AH$2:$AH$1001,MATCH(ROWS($AF$2:AF22),$AF$2:$AF$1001,0),0), INDEX($AM$1004:$BM$1004,1,MATCH(COLUMNS($AM$1006:BI1006),$AM$1006:$BM$1006,0)))),"Fix")))</f>
        <v xml:space="preserve"> </v>
      </c>
      <c r="Y22" s="4" t="str">
        <f ca="1">IF(OR(INDEX($AG$2:$AG$1001,MATCH(ROWS($AF$2:AF22),$AF$2:$AF$1001,0),1)&gt;=100000,INDEX($AM$1005:$BM$1005,1,MATCH(COLUMNS($AM$1006:BJ1006),$AM$1006:$BM$1006,0))&gt;=100000), " ",IF(INDEX($AM$2:$BM$1001,MATCH(ROWS($AF$2:AF22),$AF$2:$AF$1001,0),MATCH(COLUMNS($AM$1006:BJ1006),$AM$1006:$BM$1006,0)), HYPERLINK("#",""), HYPERLINK(CONCATENATE("#metadata!", ADDRESS(INDEX($AH$2:$AH$1001,MATCH(ROWS($AF$2:AF22),$AF$2:$AF$1001,0),0), INDEX($AM$1004:$BM$1004,1,MATCH(COLUMNS($AM$1006:BJ1006),$AM$1006:$BM$1006,0)))),"Fix")))</f>
        <v xml:space="preserve"> </v>
      </c>
      <c r="Z22" s="4" t="str">
        <f ca="1">IF(OR(INDEX($AG$2:$AG$1001,MATCH(ROWS($AF$2:AF22),$AF$2:$AF$1001,0),1)&gt;=100000,INDEX($AM$1005:$BM$1005,1,MATCH(COLUMNS($AM$1006:BK1006),$AM$1006:$BM$1006,0))&gt;=100000), " ",IF(INDEX($AM$2:$BM$1001,MATCH(ROWS($AF$2:AF22),$AF$2:$AF$1001,0),MATCH(COLUMNS($AM$1006:BK1006),$AM$1006:$BM$1006,0)), HYPERLINK("#",""), HYPERLINK(CONCATENATE("#metadata!", ADDRESS(INDEX($AH$2:$AH$1001,MATCH(ROWS($AF$2:AF22),$AF$2:$AF$1001,0),0), INDEX($AM$1004:$BM$1004,1,MATCH(COLUMNS($AM$1006:BK1006),$AM$1006:$BM$1006,0)))),"Fix")))</f>
        <v xml:space="preserve"> </v>
      </c>
      <c r="AA22" s="4" t="str">
        <f ca="1">IF(OR(INDEX($AG$2:$AG$1001,MATCH(ROWS($AF$2:AF22),$AF$2:$AF$1001,0),1)&gt;=100000,INDEX($AM$1005:$BM$1005,1,MATCH(COLUMNS($AM$1006:BL1006),$AM$1006:$BM$1006,0))&gt;=100000), " ",IF(INDEX($AM$2:$BM$1001,MATCH(ROWS($AF$2:AF22),$AF$2:$AF$1001,0),MATCH(COLUMNS($AM$1006:BL1006),$AM$1006:$BM$1006,0)), HYPERLINK("#",""), HYPERLINK(CONCATENATE("#metadata!", ADDRESS(INDEX($AH$2:$AH$1001,MATCH(ROWS($AF$2:AF22),$AF$2:$AF$1001,0),0), INDEX($AM$1004:$BM$1004,1,MATCH(COLUMNS($AM$1006:BL1006),$AM$1006:$BM$1006,0)))),"Fix")))</f>
        <v xml:space="preserve"> </v>
      </c>
      <c r="AB22" s="4" t="str">
        <f ca="1">IF(OR(INDEX($AG$2:$AG$1001,MATCH(ROWS($AF$2:AF22),$AF$2:$AF$1001,0),1)&gt;=100000,INDEX($AM$1005:$BM$1005,1,MATCH(COLUMNS($AM$1006:BM1006),$AM$1006:$BM$1006,0))&gt;=100000), " ",IF(INDEX($AM$2:$BM$1001,MATCH(ROWS($AF$2:AF22),$AF$2:$AF$1001,0),MATCH(COLUMNS($AM$1006:BM1006),$AM$1006:$BM$1006,0)), HYPERLINK("#",""), HYPERLINK(CONCATENATE("#metadata!", ADDRESS(INDEX($AH$2:$AH$1001,MATCH(ROWS($AF$2:AF22),$AF$2:$AF$1001,0),0), INDEX($AM$1004:$BM$1004,1,MATCH(COLUMNS($AM$1006:BM1006),$AM$1006:$BM$1006,0)))),"Fix")))</f>
        <v xml:space="preserve"> </v>
      </c>
      <c r="AF22">
        <v>21</v>
      </c>
      <c r="AG22">
        <v>100022</v>
      </c>
      <c r="AH22">
        <v>22</v>
      </c>
      <c r="AI22" t="b">
        <f t="shared" si="0"/>
        <v>1</v>
      </c>
      <c r="AJ22" t="b">
        <f>COUNTBLANK(metadata!B22:AB22)=COLUMNS(metadata!B22:AB22)</f>
        <v>1</v>
      </c>
      <c r="AK22" t="str">
        <v/>
      </c>
      <c r="AM22" t="b">
        <f ca="1">AND(IF(metadata!B22="",FALSE,TRUE),COUNTIF(metadata!B:B, metadata!B22) = 1,NOT(ISERROR(SUMPRODUCT(SEARCH(MID(metadata!B22,ROW(INDIRECT("1:"&amp;LEN(metadata!B22))), 1),"0123456789abcdefghijklmnopqrstuvwxyzABCDEFGHIJKLMNOPQRSTUVWXYZ.")))))</f>
        <v>0</v>
      </c>
      <c r="AN22" t="b">
        <f ca="1">OR(AND(IF(metadata!C22="",FALSE,TRUE),OR(EXACT(metadata!C22,"missing: not collected"),EXACT(metadata!C22,"missing: not provided"),EXACT(metadata!C22,"missing: restricted access"))),AND(IF(metadata!C22="",FALSE,TRUE),AND(AND(IFERROR(INT(LEFT(metadata!C22,4))&gt;1900,FALSE),IFERROR(INT(LEFT(metadata!C22,4))&lt;=YEAR(NOW()),FALSE)), OR(MID(metadata!C22,5,1)="", AND(AND(MID(metadata!C22,5,1)="-",IFERROR(INT(MID(metadata!C22,6,1))&gt;=0,FALSE),IFERROR(INT(MID(metadata!C22,6,1))&lt;=1,FALSE),NOT(MID(metadata!C22,7,1)=""),IFERROR(INT(MID(metadata!C22,6,2))&gt;=1,FALSE),IFERROR(INT(MID(metadata!C22,6,2))&lt;=12,FALSE)), OR(MID(metadata!C22,8,1)="", AND(AND(MID(metadata!C22,8,1)="-",IFERROR(INT(MID(metadata!C22,9,1))&gt;=0,FALSE),IFERROR(INT(MID(metadata!C22,9,1))&lt;=3,FALSE),NOT(MID(metadata!C22,10,1)=""),IFERROR(INT(MID(metadata!C22,9,2))&gt;=1,FALSE),IFERROR(INT(MID(metadata!C22,9,2))&lt;=31,FALSE)), OR(MID(metadata!C22,11,1)="", AND(AND(MID(metadata!C22,11,1)=" ",IFERROR(INT(MID(metadata!C22,12,1))&gt;=0,FALSE),IFERROR(INT(MID(metadata!C22,12,1))&lt;=2,FALSE),NOT(MID(metadata!C22,13,1)=""),IFERROR(INT(MID(metadata!C22,12,2))&gt;=0,FALSE),IFERROR(INT(MID(metadata!C22,12,2))&lt;=23,FALSE)), OR(MID(metadata!C22,14,1)="", AND(AND(MID(metadata!C22,14,1)=":",IFERROR(INT(MID(metadata!C22,15,1))&gt;=0,FALSE),IFERROR(INT(MID(metadata!C22,15,1))&lt;=5,FALSE),NOT(MID(metadata!C22,16,1)=""),IFERROR(INT(MID(metadata!C22,15,2))&gt;=0,FALSE),IFERROR(INT(MID(metadata!C22,15,2))&lt;=59,FALSE)), OR(MID(metadata!C22,17,1)="", AND(AND(MID(metadata!C22,17,1)=":",IFERROR(INT(MID(metadata!C22,18,1))&gt;=0,FALSE),IFERROR(INT(MID(metadata!C22,18,1))&lt;=5,FALSE),NOT(MID(metadata!C22,19,1)=""),IFERROR(INT(MID(metadata!C22,18,2))&gt;=0,FALSE),IFERROR(INT(MID(metadata!C22,18,2))&lt;=59,FALSE)), LEN(metadata!C22)&lt;=19)))))))))))))</f>
        <v>0</v>
      </c>
      <c r="AO22" t="b">
        <f>AND(IF(metadata!D22="",FALSE,TRUE),EXACT(metadata!D22,"Not applicable"))</f>
        <v>0</v>
      </c>
      <c r="AP22" t="b">
        <f>IF(metadata!E22="",FALSE,TRUE)</f>
        <v>0</v>
      </c>
      <c r="AQ22" t="b">
        <f>OR(AND(IF(metadata!F22="",FALSE,TRUE),OR(EXACT(metadata!F22,"missing: not collected"),EXACT(metadata!F22,"missing: not provided"))),AND(IF(metadata!F22="",FALSE,TRUE),OR(EXACT(metadata!F22,"TRUE"),EXACT(metadata!F22,"FALSE"))))</f>
        <v>0</v>
      </c>
      <c r="AR22" t="b">
        <f>OR(AND(IF(metadata!G22="",FALSE,TRUE),OR(EXACT(metadata!G22,"missing: not collected"),EXACT(metadata!G22,"missing: not provided"),EXACT(metadata!G22,"missing: restricted access"))),AND(IF(metadata!G22="",FALSE,ISNUMBER(VALUE(metadata!G22))),metadata!G22&gt;=-413))</f>
        <v>0</v>
      </c>
      <c r="AS22" t="b">
        <f>AND(IF(metadata!H22="",FALSE,TRUE),EXACT(metadata!H22,"meters"))</f>
        <v>0</v>
      </c>
      <c r="AT22" t="b">
        <f>AND(IF(metadata!I22="",FALSE,TRUE),OR(EXACT(metadata!I22,"Host-associated"),EXACT(metadata!I22,"Free-living")))</f>
        <v>0</v>
      </c>
      <c r="AU22" t="b">
        <f>AND(IF(metadata!J22="",FALSE,TRUE),OR(EXACT(metadata!J22,"Animal"),EXACT(metadata!J22,"Fungus"),EXACT(metadata!J22,"Plant"),EXACT(metadata!J22,"Saline"),EXACT(metadata!J22,"Non-saline")))</f>
        <v>0</v>
      </c>
      <c r="AV22" t="b">
        <f>AND(IF(metadata!K22="",FALSE,TRUE),OR(EXACT(metadata!K22,"Plant secretion"),EXACT(metadata!K22,"Plant rhizosphere"),EXACT(metadata!K22,"Plant surface"),EXACT(metadata!K22,"Plant corpus"),EXACT(metadata!K22,"Fungus surface"),EXACT(metadata!K22,"Fungus corpus"),EXACT(metadata!K22,"Animal surface"),EXACT(metadata!K22,"Animal proximal gut"),EXACT(metadata!K22,"Animal corpus"),EXACT(metadata!K22,"Animal distal gut"),EXACT(metadata!K22,"Animal secretion"),EXACT(metadata!K22,"Sub-surface (non-saline)"),EXACT(metadata!K22,"Surface (non-saline)"),EXACT(metadata!K22,"Water (non-saline)"),EXACT(metadata!K22,"Soil (non-saline)"),EXACT(metadata!K22,"Aerosol (non-saline)"),EXACT(metadata!K22,"Sediment (non-saline)"),EXACT(metadata!K22,"Surface (saline)"),EXACT(metadata!K22,"Water (saline)"),EXACT(metadata!K22,"Hypersaline (saline)"),EXACT(metadata!K22,"Aerosol (saline)"),EXACT(metadata!K22,"Sediment (saline)")))</f>
        <v>0</v>
      </c>
      <c r="AW22" t="b">
        <f>IF(metadata!L22="",FALSE,TRUE)</f>
        <v>0</v>
      </c>
      <c r="AX22" t="b">
        <f>IF(metadata!M22="",FALSE,TRUE)</f>
        <v>0</v>
      </c>
      <c r="AY22" t="b">
        <f>IF(metadata!N22="",FALSE,TRUE)</f>
        <v>0</v>
      </c>
      <c r="AZ22" t="b">
        <f>OR(AND(IF(metadata!O22="",FALSE,TRUE),OR(EXACT(metadata!O22,"missing: not collected"),EXACT(metadata!O22,"missing: not provided"),EXACT(metadata!O22,"missing: restricted access"))),AND(IF(metadata!O22="",FALSE,TRUE),OR(EXACT(metadata!O22,"air"),EXACT(metadata!O22,"built environment"),EXACT(metadata!O22,"host-associated"),EXACT(metadata!O22,"human-associated"),EXACT(metadata!O22,"human-skin"),EXACT(metadata!O22,"human-oral"),EXACT(metadata!O22,"human-gut"),EXACT(metadata!O22,"human-vaginal"),EXACT(metadata!O22,"microbial mat/biofilm"),EXACT(metadata!O22,"misc environment"),EXACT(metadata!O22,"plant-associated"),EXACT(metadata!O22,"sediment"),EXACT(metadata!O22,"soil"),EXACT(metadata!O22,"wastewater/sludge"),EXACT(metadata!O22,"water"))))</f>
        <v>0</v>
      </c>
      <c r="BA22" t="b">
        <f>IF(metadata!P22="",FALSE,TRUE)</f>
        <v>0</v>
      </c>
      <c r="BB22" t="b">
        <f>IF(metadata!Q22="",FALSE,TRUE)</f>
        <v>0</v>
      </c>
      <c r="BC22" t="b">
        <f>OR(AND(IF(metadata!R22="",FALSE,TRUE),OR(EXACT(metadata!R22,"missing: not collected"),EXACT(metadata!R22,"missing: not provided"),EXACT(metadata!R22,"missing: restricted access"))),AND(IF(metadata!R22="",FALSE,ISNUMBER(VALUE(metadata!R22))),metadata!R22&gt;=-90,metadata!R22&lt;=90))</f>
        <v>0</v>
      </c>
      <c r="BD22" t="b">
        <f>AND(IF(metadata!S22="",FALSE,TRUE),EXACT(metadata!S22,"Decimal degrees"))</f>
        <v>0</v>
      </c>
      <c r="BE22" t="b">
        <f>OR(AND(IF(metadata!T22="",FALSE,TRUE),OR(EXACT(metadata!T22,"missing: not collected"),EXACT(metadata!T22,"missing: not provided"),EXACT(metadata!T22,"missing: restricted access"))),AND(IF(metadata!T22="",FALSE,ISNUMBER(VALUE(metadata!T22))),metadata!T22&gt;=-180,metadata!T22&lt;=180))</f>
        <v>0</v>
      </c>
      <c r="BF22" t="b">
        <f>AND(IF(metadata!U22="",FALSE,TRUE),EXACT(metadata!U22,"Decimal degrees"))</f>
        <v>0</v>
      </c>
      <c r="BG22" t="b">
        <f>IF(metadata!V22="",FALSE,TRUE)</f>
        <v>0</v>
      </c>
      <c r="BH22" t="b">
        <f>OR(AND(IF(metadata!W22="",FALSE,TRUE),OR(EXACT(metadata!W22,"missing: not collected"),EXACT(metadata!W22,"missing: not provided"),EXACT(metadata!W22,"missing: restricted access"))),AND(IF(metadata!W22="",FALSE,TRUE),OR(EXACT(metadata!W22,"TRUE"),EXACT(metadata!W22,"FALSE"))))</f>
        <v>0</v>
      </c>
      <c r="BI22" t="b">
        <f>AND(IF(metadata!X22="",FALSE,TRUE),EXACT(metadata!X22,"other"))</f>
        <v>0</v>
      </c>
      <c r="BJ22" t="b">
        <f>IF(metadata!Y22="",FALSE,TRUE)</f>
        <v>0</v>
      </c>
      <c r="BK22" t="b">
        <f>OR(AND(IF(metadata!Z22="",FALSE,TRUE),OR(EXACT(metadata!Z22,"missing: not collected"),EXACT(metadata!Z22,"missing: not provided"))),AND(IF(metadata!Z22="",FALSE,IF(ISERROR(INT(metadata!Z22)),FALSE,INT(metadata!Z22)=metadata!Z22)),metadata!Z22&gt;0))</f>
        <v>0</v>
      </c>
      <c r="BL22" t="b">
        <f>AND(IF(metadata!AA22="",FALSE,TRUE),EXACT(metadata!AA22,"Not applicable"))</f>
        <v>0</v>
      </c>
      <c r="BM22" t="b">
        <f>IF(metadata!AB22="",FALSE,TRUE)</f>
        <v>0</v>
      </c>
    </row>
    <row r="23" spans="1:65" x14ac:dyDescent="0.2">
      <c r="A23" s="5" t="str">
        <f ca="1">IF(B23=" "," ",HYPERLINK(CONCATENATE("#metadata!",ADDRESS(INDEX($AH$2:$AH$1001,MATCH(ROWS($AF$2:AF23),$AF$2:$AF$1001,0),0),1)),INDEX($AK$2:$AK$1001,MATCH(ROWS($AF$2:AF23),$AF$2:$AF$1001,0),0)))</f>
        <v xml:space="preserve"> </v>
      </c>
      <c r="B23" s="4" t="str">
        <f ca="1">IF(OR(INDEX($AG$2:$AG$1001,MATCH(ROWS($AF$2:AF23),$AF$2:$AF$1001,0),1)&gt;=100000,INDEX($AM$1005:$BM$1005,1,MATCH(COLUMNS($AM$1006:AM1006),$AM$1006:$BM$1006,0))&gt;=100000), " ",IF(INDEX($AM$2:$BM$1001,MATCH(ROWS($AF$2:AF23),$AF$2:$AF$1001,0),MATCH(COLUMNS($AM$1006:AM1006),$AM$1006:$BM$1006,0)), HYPERLINK("#",""), HYPERLINK(CONCATENATE("#metadata!", ADDRESS(INDEX($AH$2:$AH$1001,MATCH(ROWS($AF$2:AF23),$AF$2:$AF$1001,0),0), INDEX($AM$1004:$BM$1004,1,MATCH(COLUMNS($AM$1006:AM1006),$AM$1006:$BM$1006,0)))),"Fix")))</f>
        <v xml:space="preserve"> </v>
      </c>
      <c r="C23" s="4" t="str">
        <f ca="1">IF(OR(INDEX($AG$2:$AG$1001,MATCH(ROWS($AF$2:AF23),$AF$2:$AF$1001,0),1)&gt;=100000,INDEX($AM$1005:$BM$1005,1,MATCH(COLUMNS($AM$1006:AN1006),$AM$1006:$BM$1006,0))&gt;=100000), " ",IF(INDEX($AM$2:$BM$1001,MATCH(ROWS($AF$2:AF23),$AF$2:$AF$1001,0),MATCH(COLUMNS($AM$1006:AN1006),$AM$1006:$BM$1006,0)), HYPERLINK("#",""), HYPERLINK(CONCATENATE("#metadata!", ADDRESS(INDEX($AH$2:$AH$1001,MATCH(ROWS($AF$2:AF23),$AF$2:$AF$1001,0),0), INDEX($AM$1004:$BM$1004,1,MATCH(COLUMNS($AM$1006:AN1006),$AM$1006:$BM$1006,0)))),"Fix")))</f>
        <v xml:space="preserve"> </v>
      </c>
      <c r="D23" s="4" t="str">
        <f ca="1">IF(OR(INDEX($AG$2:$AG$1001,MATCH(ROWS($AF$2:AF23),$AF$2:$AF$1001,0),1)&gt;=100000,INDEX($AM$1005:$BM$1005,1,MATCH(COLUMNS($AM$1006:AO1006),$AM$1006:$BM$1006,0))&gt;=100000), " ",IF(INDEX($AM$2:$BM$1001,MATCH(ROWS($AF$2:AF23),$AF$2:$AF$1001,0),MATCH(COLUMNS($AM$1006:AO1006),$AM$1006:$BM$1006,0)), HYPERLINK("#",""), HYPERLINK(CONCATENATE("#metadata!", ADDRESS(INDEX($AH$2:$AH$1001,MATCH(ROWS($AF$2:AF23),$AF$2:$AF$1001,0),0), INDEX($AM$1004:$BM$1004,1,MATCH(COLUMNS($AM$1006:AO1006),$AM$1006:$BM$1006,0)))),"Fix")))</f>
        <v xml:space="preserve"> </v>
      </c>
      <c r="E23" s="4" t="str">
        <f ca="1">IF(OR(INDEX($AG$2:$AG$1001,MATCH(ROWS($AF$2:AF23),$AF$2:$AF$1001,0),1)&gt;=100000,INDEX($AM$1005:$BM$1005,1,MATCH(COLUMNS($AM$1006:AP1006),$AM$1006:$BM$1006,0))&gt;=100000), " ",IF(INDEX($AM$2:$BM$1001,MATCH(ROWS($AF$2:AF23),$AF$2:$AF$1001,0),MATCH(COLUMNS($AM$1006:AP1006),$AM$1006:$BM$1006,0)), HYPERLINK("#",""), HYPERLINK(CONCATENATE("#metadata!", ADDRESS(INDEX($AH$2:$AH$1001,MATCH(ROWS($AF$2:AF23),$AF$2:$AF$1001,0),0), INDEX($AM$1004:$BM$1004,1,MATCH(COLUMNS($AM$1006:AP1006),$AM$1006:$BM$1006,0)))),"Fix")))</f>
        <v xml:space="preserve"> </v>
      </c>
      <c r="F23" s="4" t="str">
        <f ca="1">IF(OR(INDEX($AG$2:$AG$1001,MATCH(ROWS($AF$2:AF23),$AF$2:$AF$1001,0),1)&gt;=100000,INDEX($AM$1005:$BM$1005,1,MATCH(COLUMNS($AM$1006:AQ1006),$AM$1006:$BM$1006,0))&gt;=100000), " ",IF(INDEX($AM$2:$BM$1001,MATCH(ROWS($AF$2:AF23),$AF$2:$AF$1001,0),MATCH(COLUMNS($AM$1006:AQ1006),$AM$1006:$BM$1006,0)), HYPERLINK("#",""), HYPERLINK(CONCATENATE("#metadata!", ADDRESS(INDEX($AH$2:$AH$1001,MATCH(ROWS($AF$2:AF23),$AF$2:$AF$1001,0),0), INDEX($AM$1004:$BM$1004,1,MATCH(COLUMNS($AM$1006:AQ1006),$AM$1006:$BM$1006,0)))),"Fix")))</f>
        <v xml:space="preserve"> </v>
      </c>
      <c r="G23" s="4" t="str">
        <f ca="1">IF(OR(INDEX($AG$2:$AG$1001,MATCH(ROWS($AF$2:AF23),$AF$2:$AF$1001,0),1)&gt;=100000,INDEX($AM$1005:$BM$1005,1,MATCH(COLUMNS($AM$1006:AR1006),$AM$1006:$BM$1006,0))&gt;=100000), " ",IF(INDEX($AM$2:$BM$1001,MATCH(ROWS($AF$2:AF23),$AF$2:$AF$1001,0),MATCH(COLUMNS($AM$1006:AR1006),$AM$1006:$BM$1006,0)), HYPERLINK("#",""), HYPERLINK(CONCATENATE("#metadata!", ADDRESS(INDEX($AH$2:$AH$1001,MATCH(ROWS($AF$2:AF23),$AF$2:$AF$1001,0),0), INDEX($AM$1004:$BM$1004,1,MATCH(COLUMNS($AM$1006:AR1006),$AM$1006:$BM$1006,0)))),"Fix")))</f>
        <v xml:space="preserve"> </v>
      </c>
      <c r="H23" s="4" t="str">
        <f ca="1">IF(OR(INDEX($AG$2:$AG$1001,MATCH(ROWS($AF$2:AF23),$AF$2:$AF$1001,0),1)&gt;=100000,INDEX($AM$1005:$BM$1005,1,MATCH(COLUMNS($AM$1006:AS1006),$AM$1006:$BM$1006,0))&gt;=100000), " ",IF(INDEX($AM$2:$BM$1001,MATCH(ROWS($AF$2:AF23),$AF$2:$AF$1001,0),MATCH(COLUMNS($AM$1006:AS1006),$AM$1006:$BM$1006,0)), HYPERLINK("#",""), HYPERLINK(CONCATENATE("#metadata!", ADDRESS(INDEX($AH$2:$AH$1001,MATCH(ROWS($AF$2:AF23),$AF$2:$AF$1001,0),0), INDEX($AM$1004:$BM$1004,1,MATCH(COLUMNS($AM$1006:AS1006),$AM$1006:$BM$1006,0)))),"Fix")))</f>
        <v xml:space="preserve"> </v>
      </c>
      <c r="I23" s="4" t="str">
        <f ca="1">IF(OR(INDEX($AG$2:$AG$1001,MATCH(ROWS($AF$2:AF23),$AF$2:$AF$1001,0),1)&gt;=100000,INDEX($AM$1005:$BM$1005,1,MATCH(COLUMNS($AM$1006:AT1006),$AM$1006:$BM$1006,0))&gt;=100000), " ",IF(INDEX($AM$2:$BM$1001,MATCH(ROWS($AF$2:AF23),$AF$2:$AF$1001,0),MATCH(COLUMNS($AM$1006:AT1006),$AM$1006:$BM$1006,0)), HYPERLINK("#",""), HYPERLINK(CONCATENATE("#metadata!", ADDRESS(INDEX($AH$2:$AH$1001,MATCH(ROWS($AF$2:AF23),$AF$2:$AF$1001,0),0), INDEX($AM$1004:$BM$1004,1,MATCH(COLUMNS($AM$1006:AT1006),$AM$1006:$BM$1006,0)))),"Fix")))</f>
        <v xml:space="preserve"> </v>
      </c>
      <c r="J23" s="4" t="str">
        <f ca="1">IF(OR(INDEX($AG$2:$AG$1001,MATCH(ROWS($AF$2:AF23),$AF$2:$AF$1001,0),1)&gt;=100000,INDEX($AM$1005:$BM$1005,1,MATCH(COLUMNS($AM$1006:AU1006),$AM$1006:$BM$1006,0))&gt;=100000), " ",IF(INDEX($AM$2:$BM$1001,MATCH(ROWS($AF$2:AF23),$AF$2:$AF$1001,0),MATCH(COLUMNS($AM$1006:AU1006),$AM$1006:$BM$1006,0)), HYPERLINK("#",""), HYPERLINK(CONCATENATE("#metadata!", ADDRESS(INDEX($AH$2:$AH$1001,MATCH(ROWS($AF$2:AF23),$AF$2:$AF$1001,0),0), INDEX($AM$1004:$BM$1004,1,MATCH(COLUMNS($AM$1006:AU1006),$AM$1006:$BM$1006,0)))),"Fix")))</f>
        <v xml:space="preserve"> </v>
      </c>
      <c r="K23" s="4" t="str">
        <f ca="1">IF(OR(INDEX($AG$2:$AG$1001,MATCH(ROWS($AF$2:AF23),$AF$2:$AF$1001,0),1)&gt;=100000,INDEX($AM$1005:$BM$1005,1,MATCH(COLUMNS($AM$1006:AV1006),$AM$1006:$BM$1006,0))&gt;=100000), " ",IF(INDEX($AM$2:$BM$1001,MATCH(ROWS($AF$2:AF23),$AF$2:$AF$1001,0),MATCH(COLUMNS($AM$1006:AV1006),$AM$1006:$BM$1006,0)), HYPERLINK("#",""), HYPERLINK(CONCATENATE("#metadata!", ADDRESS(INDEX($AH$2:$AH$1001,MATCH(ROWS($AF$2:AF23),$AF$2:$AF$1001,0),0), INDEX($AM$1004:$BM$1004,1,MATCH(COLUMNS($AM$1006:AV1006),$AM$1006:$BM$1006,0)))),"Fix")))</f>
        <v xml:space="preserve"> </v>
      </c>
      <c r="L23" s="4" t="str">
        <f ca="1">IF(OR(INDEX($AG$2:$AG$1001,MATCH(ROWS($AF$2:AF23),$AF$2:$AF$1001,0),1)&gt;=100000,INDEX($AM$1005:$BM$1005,1,MATCH(COLUMNS($AM$1006:AW1006),$AM$1006:$BM$1006,0))&gt;=100000), " ",IF(INDEX($AM$2:$BM$1001,MATCH(ROWS($AF$2:AF23),$AF$2:$AF$1001,0),MATCH(COLUMNS($AM$1006:AW1006),$AM$1006:$BM$1006,0)), HYPERLINK("#",""), HYPERLINK(CONCATENATE("#metadata!", ADDRESS(INDEX($AH$2:$AH$1001,MATCH(ROWS($AF$2:AF23),$AF$2:$AF$1001,0),0), INDEX($AM$1004:$BM$1004,1,MATCH(COLUMNS($AM$1006:AW1006),$AM$1006:$BM$1006,0)))),"Fix")))</f>
        <v xml:space="preserve"> </v>
      </c>
      <c r="M23" s="4" t="str">
        <f ca="1">IF(OR(INDEX($AG$2:$AG$1001,MATCH(ROWS($AF$2:AF23),$AF$2:$AF$1001,0),1)&gt;=100000,INDEX($AM$1005:$BM$1005,1,MATCH(COLUMNS($AM$1006:AX1006),$AM$1006:$BM$1006,0))&gt;=100000), " ",IF(INDEX($AM$2:$BM$1001,MATCH(ROWS($AF$2:AF23),$AF$2:$AF$1001,0),MATCH(COLUMNS($AM$1006:AX1006),$AM$1006:$BM$1006,0)), HYPERLINK("#",""), HYPERLINK(CONCATENATE("#metadata!", ADDRESS(INDEX($AH$2:$AH$1001,MATCH(ROWS($AF$2:AF23),$AF$2:$AF$1001,0),0), INDEX($AM$1004:$BM$1004,1,MATCH(COLUMNS($AM$1006:AX1006),$AM$1006:$BM$1006,0)))),"Fix")))</f>
        <v xml:space="preserve"> </v>
      </c>
      <c r="N23" s="4" t="str">
        <f ca="1">IF(OR(INDEX($AG$2:$AG$1001,MATCH(ROWS($AF$2:AF23),$AF$2:$AF$1001,0),1)&gt;=100000,INDEX($AM$1005:$BM$1005,1,MATCH(COLUMNS($AM$1006:AY1006),$AM$1006:$BM$1006,0))&gt;=100000), " ",IF(INDEX($AM$2:$BM$1001,MATCH(ROWS($AF$2:AF23),$AF$2:$AF$1001,0),MATCH(COLUMNS($AM$1006:AY1006),$AM$1006:$BM$1006,0)), HYPERLINK("#",""), HYPERLINK(CONCATENATE("#metadata!", ADDRESS(INDEX($AH$2:$AH$1001,MATCH(ROWS($AF$2:AF23),$AF$2:$AF$1001,0),0), INDEX($AM$1004:$BM$1004,1,MATCH(COLUMNS($AM$1006:AY1006),$AM$1006:$BM$1006,0)))),"Fix")))</f>
        <v xml:space="preserve"> </v>
      </c>
      <c r="O23" s="4" t="str">
        <f ca="1">IF(OR(INDEX($AG$2:$AG$1001,MATCH(ROWS($AF$2:AF23),$AF$2:$AF$1001,0),1)&gt;=100000,INDEX($AM$1005:$BM$1005,1,MATCH(COLUMNS($AM$1006:AZ1006),$AM$1006:$BM$1006,0))&gt;=100000), " ",IF(INDEX($AM$2:$BM$1001,MATCH(ROWS($AF$2:AF23),$AF$2:$AF$1001,0),MATCH(COLUMNS($AM$1006:AZ1006),$AM$1006:$BM$1006,0)), HYPERLINK("#",""), HYPERLINK(CONCATENATE("#metadata!", ADDRESS(INDEX($AH$2:$AH$1001,MATCH(ROWS($AF$2:AF23),$AF$2:$AF$1001,0),0), INDEX($AM$1004:$BM$1004,1,MATCH(COLUMNS($AM$1006:AZ1006),$AM$1006:$BM$1006,0)))),"Fix")))</f>
        <v xml:space="preserve"> </v>
      </c>
      <c r="P23" s="4" t="str">
        <f ca="1">IF(OR(INDEX($AG$2:$AG$1001,MATCH(ROWS($AF$2:AF23),$AF$2:$AF$1001,0),1)&gt;=100000,INDEX($AM$1005:$BM$1005,1,MATCH(COLUMNS($AM$1006:BA1006),$AM$1006:$BM$1006,0))&gt;=100000), " ",IF(INDEX($AM$2:$BM$1001,MATCH(ROWS($AF$2:AF23),$AF$2:$AF$1001,0),MATCH(COLUMNS($AM$1006:BA1006),$AM$1006:$BM$1006,0)), HYPERLINK("#",""), HYPERLINK(CONCATENATE("#metadata!", ADDRESS(INDEX($AH$2:$AH$1001,MATCH(ROWS($AF$2:AF23),$AF$2:$AF$1001,0),0), INDEX($AM$1004:$BM$1004,1,MATCH(COLUMNS($AM$1006:BA1006),$AM$1006:$BM$1006,0)))),"Fix")))</f>
        <v xml:space="preserve"> </v>
      </c>
      <c r="Q23" s="4" t="str">
        <f ca="1">IF(OR(INDEX($AG$2:$AG$1001,MATCH(ROWS($AF$2:AF23),$AF$2:$AF$1001,0),1)&gt;=100000,INDEX($AM$1005:$BM$1005,1,MATCH(COLUMNS($AM$1006:BB1006),$AM$1006:$BM$1006,0))&gt;=100000), " ",IF(INDEX($AM$2:$BM$1001,MATCH(ROWS($AF$2:AF23),$AF$2:$AF$1001,0),MATCH(COLUMNS($AM$1006:BB1006),$AM$1006:$BM$1006,0)), HYPERLINK("#",""), HYPERLINK(CONCATENATE("#metadata!", ADDRESS(INDEX($AH$2:$AH$1001,MATCH(ROWS($AF$2:AF23),$AF$2:$AF$1001,0),0), INDEX($AM$1004:$BM$1004,1,MATCH(COLUMNS($AM$1006:BB1006),$AM$1006:$BM$1006,0)))),"Fix")))</f>
        <v xml:space="preserve"> </v>
      </c>
      <c r="R23" s="4" t="str">
        <f ca="1">IF(OR(INDEX($AG$2:$AG$1001,MATCH(ROWS($AF$2:AF23),$AF$2:$AF$1001,0),1)&gt;=100000,INDEX($AM$1005:$BM$1005,1,MATCH(COLUMNS($AM$1006:BC1006),$AM$1006:$BM$1006,0))&gt;=100000), " ",IF(INDEX($AM$2:$BM$1001,MATCH(ROWS($AF$2:AF23),$AF$2:$AF$1001,0),MATCH(COLUMNS($AM$1006:BC1006),$AM$1006:$BM$1006,0)), HYPERLINK("#",""), HYPERLINK(CONCATENATE("#metadata!", ADDRESS(INDEX($AH$2:$AH$1001,MATCH(ROWS($AF$2:AF23),$AF$2:$AF$1001,0),0), INDEX($AM$1004:$BM$1004,1,MATCH(COLUMNS($AM$1006:BC1006),$AM$1006:$BM$1006,0)))),"Fix")))</f>
        <v xml:space="preserve"> </v>
      </c>
      <c r="S23" s="4" t="str">
        <f ca="1">IF(OR(INDEX($AG$2:$AG$1001,MATCH(ROWS($AF$2:AF23),$AF$2:$AF$1001,0),1)&gt;=100000,INDEX($AM$1005:$BM$1005,1,MATCH(COLUMNS($AM$1006:BD1006),$AM$1006:$BM$1006,0))&gt;=100000), " ",IF(INDEX($AM$2:$BM$1001,MATCH(ROWS($AF$2:AF23),$AF$2:$AF$1001,0),MATCH(COLUMNS($AM$1006:BD1006),$AM$1006:$BM$1006,0)), HYPERLINK("#",""), HYPERLINK(CONCATENATE("#metadata!", ADDRESS(INDEX($AH$2:$AH$1001,MATCH(ROWS($AF$2:AF23),$AF$2:$AF$1001,0),0), INDEX($AM$1004:$BM$1004,1,MATCH(COLUMNS($AM$1006:BD1006),$AM$1006:$BM$1006,0)))),"Fix")))</f>
        <v xml:space="preserve"> </v>
      </c>
      <c r="T23" s="4" t="str">
        <f ca="1">IF(OR(INDEX($AG$2:$AG$1001,MATCH(ROWS($AF$2:AF23),$AF$2:$AF$1001,0),1)&gt;=100000,INDEX($AM$1005:$BM$1005,1,MATCH(COLUMNS($AM$1006:BE1006),$AM$1006:$BM$1006,0))&gt;=100000), " ",IF(INDEX($AM$2:$BM$1001,MATCH(ROWS($AF$2:AF23),$AF$2:$AF$1001,0),MATCH(COLUMNS($AM$1006:BE1006),$AM$1006:$BM$1006,0)), HYPERLINK("#",""), HYPERLINK(CONCATENATE("#metadata!", ADDRESS(INDEX($AH$2:$AH$1001,MATCH(ROWS($AF$2:AF23),$AF$2:$AF$1001,0),0), INDEX($AM$1004:$BM$1004,1,MATCH(COLUMNS($AM$1006:BE1006),$AM$1006:$BM$1006,0)))),"Fix")))</f>
        <v xml:space="preserve"> </v>
      </c>
      <c r="U23" s="4" t="str">
        <f ca="1">IF(OR(INDEX($AG$2:$AG$1001,MATCH(ROWS($AF$2:AF23),$AF$2:$AF$1001,0),1)&gt;=100000,INDEX($AM$1005:$BM$1005,1,MATCH(COLUMNS($AM$1006:BF1006),$AM$1006:$BM$1006,0))&gt;=100000), " ",IF(INDEX($AM$2:$BM$1001,MATCH(ROWS($AF$2:AF23),$AF$2:$AF$1001,0),MATCH(COLUMNS($AM$1006:BF1006),$AM$1006:$BM$1006,0)), HYPERLINK("#",""), HYPERLINK(CONCATENATE("#metadata!", ADDRESS(INDEX($AH$2:$AH$1001,MATCH(ROWS($AF$2:AF23),$AF$2:$AF$1001,0),0), INDEX($AM$1004:$BM$1004,1,MATCH(COLUMNS($AM$1006:BF1006),$AM$1006:$BM$1006,0)))),"Fix")))</f>
        <v xml:space="preserve"> </v>
      </c>
      <c r="V23" s="4" t="str">
        <f ca="1">IF(OR(INDEX($AG$2:$AG$1001,MATCH(ROWS($AF$2:AF23),$AF$2:$AF$1001,0),1)&gt;=100000,INDEX($AM$1005:$BM$1005,1,MATCH(COLUMNS($AM$1006:BG1006),$AM$1006:$BM$1006,0))&gt;=100000), " ",IF(INDEX($AM$2:$BM$1001,MATCH(ROWS($AF$2:AF23),$AF$2:$AF$1001,0),MATCH(COLUMNS($AM$1006:BG1006),$AM$1006:$BM$1006,0)), HYPERLINK("#",""), HYPERLINK(CONCATENATE("#metadata!", ADDRESS(INDEX($AH$2:$AH$1001,MATCH(ROWS($AF$2:AF23),$AF$2:$AF$1001,0),0), INDEX($AM$1004:$BM$1004,1,MATCH(COLUMNS($AM$1006:BG1006),$AM$1006:$BM$1006,0)))),"Fix")))</f>
        <v xml:space="preserve"> </v>
      </c>
      <c r="W23" s="4" t="str">
        <f ca="1">IF(OR(INDEX($AG$2:$AG$1001,MATCH(ROWS($AF$2:AF23),$AF$2:$AF$1001,0),1)&gt;=100000,INDEX($AM$1005:$BM$1005,1,MATCH(COLUMNS($AM$1006:BH1006),$AM$1006:$BM$1006,0))&gt;=100000), " ",IF(INDEX($AM$2:$BM$1001,MATCH(ROWS($AF$2:AF23),$AF$2:$AF$1001,0),MATCH(COLUMNS($AM$1006:BH1006),$AM$1006:$BM$1006,0)), HYPERLINK("#",""), HYPERLINK(CONCATENATE("#metadata!", ADDRESS(INDEX($AH$2:$AH$1001,MATCH(ROWS($AF$2:AF23),$AF$2:$AF$1001,0),0), INDEX($AM$1004:$BM$1004,1,MATCH(COLUMNS($AM$1006:BH1006),$AM$1006:$BM$1006,0)))),"Fix")))</f>
        <v xml:space="preserve"> </v>
      </c>
      <c r="X23" s="4" t="str">
        <f ca="1">IF(OR(INDEX($AG$2:$AG$1001,MATCH(ROWS($AF$2:AF23),$AF$2:$AF$1001,0),1)&gt;=100000,INDEX($AM$1005:$BM$1005,1,MATCH(COLUMNS($AM$1006:BI1006),$AM$1006:$BM$1006,0))&gt;=100000), " ",IF(INDEX($AM$2:$BM$1001,MATCH(ROWS($AF$2:AF23),$AF$2:$AF$1001,0),MATCH(COLUMNS($AM$1006:BI1006),$AM$1006:$BM$1006,0)), HYPERLINK("#",""), HYPERLINK(CONCATENATE("#metadata!", ADDRESS(INDEX($AH$2:$AH$1001,MATCH(ROWS($AF$2:AF23),$AF$2:$AF$1001,0),0), INDEX($AM$1004:$BM$1004,1,MATCH(COLUMNS($AM$1006:BI1006),$AM$1006:$BM$1006,0)))),"Fix")))</f>
        <v xml:space="preserve"> </v>
      </c>
      <c r="Y23" s="4" t="str">
        <f ca="1">IF(OR(INDEX($AG$2:$AG$1001,MATCH(ROWS($AF$2:AF23),$AF$2:$AF$1001,0),1)&gt;=100000,INDEX($AM$1005:$BM$1005,1,MATCH(COLUMNS($AM$1006:BJ1006),$AM$1006:$BM$1006,0))&gt;=100000), " ",IF(INDEX($AM$2:$BM$1001,MATCH(ROWS($AF$2:AF23),$AF$2:$AF$1001,0),MATCH(COLUMNS($AM$1006:BJ1006),$AM$1006:$BM$1006,0)), HYPERLINK("#",""), HYPERLINK(CONCATENATE("#metadata!", ADDRESS(INDEX($AH$2:$AH$1001,MATCH(ROWS($AF$2:AF23),$AF$2:$AF$1001,0),0), INDEX($AM$1004:$BM$1004,1,MATCH(COLUMNS($AM$1006:BJ1006),$AM$1006:$BM$1006,0)))),"Fix")))</f>
        <v xml:space="preserve"> </v>
      </c>
      <c r="Z23" s="4" t="str">
        <f ca="1">IF(OR(INDEX($AG$2:$AG$1001,MATCH(ROWS($AF$2:AF23),$AF$2:$AF$1001,0),1)&gt;=100000,INDEX($AM$1005:$BM$1005,1,MATCH(COLUMNS($AM$1006:BK1006),$AM$1006:$BM$1006,0))&gt;=100000), " ",IF(INDEX($AM$2:$BM$1001,MATCH(ROWS($AF$2:AF23),$AF$2:$AF$1001,0),MATCH(COLUMNS($AM$1006:BK1006),$AM$1006:$BM$1006,0)), HYPERLINK("#",""), HYPERLINK(CONCATENATE("#metadata!", ADDRESS(INDEX($AH$2:$AH$1001,MATCH(ROWS($AF$2:AF23),$AF$2:$AF$1001,0),0), INDEX($AM$1004:$BM$1004,1,MATCH(COLUMNS($AM$1006:BK1006),$AM$1006:$BM$1006,0)))),"Fix")))</f>
        <v xml:space="preserve"> </v>
      </c>
      <c r="AA23" s="4" t="str">
        <f ca="1">IF(OR(INDEX($AG$2:$AG$1001,MATCH(ROWS($AF$2:AF23),$AF$2:$AF$1001,0),1)&gt;=100000,INDEX($AM$1005:$BM$1005,1,MATCH(COLUMNS($AM$1006:BL1006),$AM$1006:$BM$1006,0))&gt;=100000), " ",IF(INDEX($AM$2:$BM$1001,MATCH(ROWS($AF$2:AF23),$AF$2:$AF$1001,0),MATCH(COLUMNS($AM$1006:BL1006),$AM$1006:$BM$1006,0)), HYPERLINK("#",""), HYPERLINK(CONCATENATE("#metadata!", ADDRESS(INDEX($AH$2:$AH$1001,MATCH(ROWS($AF$2:AF23),$AF$2:$AF$1001,0),0), INDEX($AM$1004:$BM$1004,1,MATCH(COLUMNS($AM$1006:BL1006),$AM$1006:$BM$1006,0)))),"Fix")))</f>
        <v xml:space="preserve"> </v>
      </c>
      <c r="AB23" s="4" t="str">
        <f ca="1">IF(OR(INDEX($AG$2:$AG$1001,MATCH(ROWS($AF$2:AF23),$AF$2:$AF$1001,0),1)&gt;=100000,INDEX($AM$1005:$BM$1005,1,MATCH(COLUMNS($AM$1006:BM1006),$AM$1006:$BM$1006,0))&gt;=100000), " ",IF(INDEX($AM$2:$BM$1001,MATCH(ROWS($AF$2:AF23),$AF$2:$AF$1001,0),MATCH(COLUMNS($AM$1006:BM1006),$AM$1006:$BM$1006,0)), HYPERLINK("#",""), HYPERLINK(CONCATENATE("#metadata!", ADDRESS(INDEX($AH$2:$AH$1001,MATCH(ROWS($AF$2:AF23),$AF$2:$AF$1001,0),0), INDEX($AM$1004:$BM$1004,1,MATCH(COLUMNS($AM$1006:BM1006),$AM$1006:$BM$1006,0)))),"Fix")))</f>
        <v xml:space="preserve"> </v>
      </c>
      <c r="AF23">
        <v>22</v>
      </c>
      <c r="AG23">
        <v>100023</v>
      </c>
      <c r="AH23">
        <v>23</v>
      </c>
      <c r="AI23" t="b">
        <f t="shared" si="0"/>
        <v>1</v>
      </c>
      <c r="AJ23" t="b">
        <f>COUNTBLANK(metadata!B23:AB23)=COLUMNS(metadata!B23:AB23)</f>
        <v>1</v>
      </c>
      <c r="AK23" t="str">
        <v/>
      </c>
      <c r="AM23" t="b">
        <f ca="1">AND(IF(metadata!B23="",FALSE,TRUE),COUNTIF(metadata!B:B, metadata!B23) = 1,NOT(ISERROR(SUMPRODUCT(SEARCH(MID(metadata!B23,ROW(INDIRECT("1:"&amp;LEN(metadata!B23))), 1),"0123456789abcdefghijklmnopqrstuvwxyzABCDEFGHIJKLMNOPQRSTUVWXYZ.")))))</f>
        <v>0</v>
      </c>
      <c r="AN23" t="b">
        <f ca="1">OR(AND(IF(metadata!C23="",FALSE,TRUE),OR(EXACT(metadata!C23,"missing: not collected"),EXACT(metadata!C23,"missing: not provided"),EXACT(metadata!C23,"missing: restricted access"))),AND(IF(metadata!C23="",FALSE,TRUE),AND(AND(IFERROR(INT(LEFT(metadata!C23,4))&gt;1900,FALSE),IFERROR(INT(LEFT(metadata!C23,4))&lt;=YEAR(NOW()),FALSE)), OR(MID(metadata!C23,5,1)="", AND(AND(MID(metadata!C23,5,1)="-",IFERROR(INT(MID(metadata!C23,6,1))&gt;=0,FALSE),IFERROR(INT(MID(metadata!C23,6,1))&lt;=1,FALSE),NOT(MID(metadata!C23,7,1)=""),IFERROR(INT(MID(metadata!C23,6,2))&gt;=1,FALSE),IFERROR(INT(MID(metadata!C23,6,2))&lt;=12,FALSE)), OR(MID(metadata!C23,8,1)="", AND(AND(MID(metadata!C23,8,1)="-",IFERROR(INT(MID(metadata!C23,9,1))&gt;=0,FALSE),IFERROR(INT(MID(metadata!C23,9,1))&lt;=3,FALSE),NOT(MID(metadata!C23,10,1)=""),IFERROR(INT(MID(metadata!C23,9,2))&gt;=1,FALSE),IFERROR(INT(MID(metadata!C23,9,2))&lt;=31,FALSE)), OR(MID(metadata!C23,11,1)="", AND(AND(MID(metadata!C23,11,1)=" ",IFERROR(INT(MID(metadata!C23,12,1))&gt;=0,FALSE),IFERROR(INT(MID(metadata!C23,12,1))&lt;=2,FALSE),NOT(MID(metadata!C23,13,1)=""),IFERROR(INT(MID(metadata!C23,12,2))&gt;=0,FALSE),IFERROR(INT(MID(metadata!C23,12,2))&lt;=23,FALSE)), OR(MID(metadata!C23,14,1)="", AND(AND(MID(metadata!C23,14,1)=":",IFERROR(INT(MID(metadata!C23,15,1))&gt;=0,FALSE),IFERROR(INT(MID(metadata!C23,15,1))&lt;=5,FALSE),NOT(MID(metadata!C23,16,1)=""),IFERROR(INT(MID(metadata!C23,15,2))&gt;=0,FALSE),IFERROR(INT(MID(metadata!C23,15,2))&lt;=59,FALSE)), OR(MID(metadata!C23,17,1)="", AND(AND(MID(metadata!C23,17,1)=":",IFERROR(INT(MID(metadata!C23,18,1))&gt;=0,FALSE),IFERROR(INT(MID(metadata!C23,18,1))&lt;=5,FALSE),NOT(MID(metadata!C23,19,1)=""),IFERROR(INT(MID(metadata!C23,18,2))&gt;=0,FALSE),IFERROR(INT(MID(metadata!C23,18,2))&lt;=59,FALSE)), LEN(metadata!C23)&lt;=19)))))))))))))</f>
        <v>0</v>
      </c>
      <c r="AO23" t="b">
        <f>AND(IF(metadata!D23="",FALSE,TRUE),EXACT(metadata!D23,"Not applicable"))</f>
        <v>0</v>
      </c>
      <c r="AP23" t="b">
        <f>IF(metadata!E23="",FALSE,TRUE)</f>
        <v>0</v>
      </c>
      <c r="AQ23" t="b">
        <f>OR(AND(IF(metadata!F23="",FALSE,TRUE),OR(EXACT(metadata!F23,"missing: not collected"),EXACT(metadata!F23,"missing: not provided"))),AND(IF(metadata!F23="",FALSE,TRUE),OR(EXACT(metadata!F23,"TRUE"),EXACT(metadata!F23,"FALSE"))))</f>
        <v>0</v>
      </c>
      <c r="AR23" t="b">
        <f>OR(AND(IF(metadata!G23="",FALSE,TRUE),OR(EXACT(metadata!G23,"missing: not collected"),EXACT(metadata!G23,"missing: not provided"),EXACT(metadata!G23,"missing: restricted access"))),AND(IF(metadata!G23="",FALSE,ISNUMBER(VALUE(metadata!G23))),metadata!G23&gt;=-413))</f>
        <v>0</v>
      </c>
      <c r="AS23" t="b">
        <f>AND(IF(metadata!H23="",FALSE,TRUE),EXACT(metadata!H23,"meters"))</f>
        <v>0</v>
      </c>
      <c r="AT23" t="b">
        <f>AND(IF(metadata!I23="",FALSE,TRUE),OR(EXACT(metadata!I23,"Host-associated"),EXACT(metadata!I23,"Free-living")))</f>
        <v>0</v>
      </c>
      <c r="AU23" t="b">
        <f>AND(IF(metadata!J23="",FALSE,TRUE),OR(EXACT(metadata!J23,"Animal"),EXACT(metadata!J23,"Fungus"),EXACT(metadata!J23,"Plant"),EXACT(metadata!J23,"Saline"),EXACT(metadata!J23,"Non-saline")))</f>
        <v>0</v>
      </c>
      <c r="AV23" t="b">
        <f>AND(IF(metadata!K23="",FALSE,TRUE),OR(EXACT(metadata!K23,"Plant secretion"),EXACT(metadata!K23,"Plant rhizosphere"),EXACT(metadata!K23,"Plant surface"),EXACT(metadata!K23,"Plant corpus"),EXACT(metadata!K23,"Fungus surface"),EXACT(metadata!K23,"Fungus corpus"),EXACT(metadata!K23,"Animal surface"),EXACT(metadata!K23,"Animal proximal gut"),EXACT(metadata!K23,"Animal corpus"),EXACT(metadata!K23,"Animal distal gut"),EXACT(metadata!K23,"Animal secretion"),EXACT(metadata!K23,"Sub-surface (non-saline)"),EXACT(metadata!K23,"Surface (non-saline)"),EXACT(metadata!K23,"Water (non-saline)"),EXACT(metadata!K23,"Soil (non-saline)"),EXACT(metadata!K23,"Aerosol (non-saline)"),EXACT(metadata!K23,"Sediment (non-saline)"),EXACT(metadata!K23,"Surface (saline)"),EXACT(metadata!K23,"Water (saline)"),EXACT(metadata!K23,"Hypersaline (saline)"),EXACT(metadata!K23,"Aerosol (saline)"),EXACT(metadata!K23,"Sediment (saline)")))</f>
        <v>0</v>
      </c>
      <c r="AW23" t="b">
        <f>IF(metadata!L23="",FALSE,TRUE)</f>
        <v>0</v>
      </c>
      <c r="AX23" t="b">
        <f>IF(metadata!M23="",FALSE,TRUE)</f>
        <v>0</v>
      </c>
      <c r="AY23" t="b">
        <f>IF(metadata!N23="",FALSE,TRUE)</f>
        <v>0</v>
      </c>
      <c r="AZ23" t="b">
        <f>OR(AND(IF(metadata!O23="",FALSE,TRUE),OR(EXACT(metadata!O23,"missing: not collected"),EXACT(metadata!O23,"missing: not provided"),EXACT(metadata!O23,"missing: restricted access"))),AND(IF(metadata!O23="",FALSE,TRUE),OR(EXACT(metadata!O23,"air"),EXACT(metadata!O23,"built environment"),EXACT(metadata!O23,"host-associated"),EXACT(metadata!O23,"human-associated"),EXACT(metadata!O23,"human-skin"),EXACT(metadata!O23,"human-oral"),EXACT(metadata!O23,"human-gut"),EXACT(metadata!O23,"human-vaginal"),EXACT(metadata!O23,"microbial mat/biofilm"),EXACT(metadata!O23,"misc environment"),EXACT(metadata!O23,"plant-associated"),EXACT(metadata!O23,"sediment"),EXACT(metadata!O23,"soil"),EXACT(metadata!O23,"wastewater/sludge"),EXACT(metadata!O23,"water"))))</f>
        <v>0</v>
      </c>
      <c r="BA23" t="b">
        <f>IF(metadata!P23="",FALSE,TRUE)</f>
        <v>0</v>
      </c>
      <c r="BB23" t="b">
        <f>IF(metadata!Q23="",FALSE,TRUE)</f>
        <v>0</v>
      </c>
      <c r="BC23" t="b">
        <f>OR(AND(IF(metadata!R23="",FALSE,TRUE),OR(EXACT(metadata!R23,"missing: not collected"),EXACT(metadata!R23,"missing: not provided"),EXACT(metadata!R23,"missing: restricted access"))),AND(IF(metadata!R23="",FALSE,ISNUMBER(VALUE(metadata!R23))),metadata!R23&gt;=-90,metadata!R23&lt;=90))</f>
        <v>0</v>
      </c>
      <c r="BD23" t="b">
        <f>AND(IF(metadata!S23="",FALSE,TRUE),EXACT(metadata!S23,"Decimal degrees"))</f>
        <v>0</v>
      </c>
      <c r="BE23" t="b">
        <f>OR(AND(IF(metadata!T23="",FALSE,TRUE),OR(EXACT(metadata!T23,"missing: not collected"),EXACT(metadata!T23,"missing: not provided"),EXACT(metadata!T23,"missing: restricted access"))),AND(IF(metadata!T23="",FALSE,ISNUMBER(VALUE(metadata!T23))),metadata!T23&gt;=-180,metadata!T23&lt;=180))</f>
        <v>0</v>
      </c>
      <c r="BF23" t="b">
        <f>AND(IF(metadata!U23="",FALSE,TRUE),EXACT(metadata!U23,"Decimal degrees"))</f>
        <v>0</v>
      </c>
      <c r="BG23" t="b">
        <f>IF(metadata!V23="",FALSE,TRUE)</f>
        <v>0</v>
      </c>
      <c r="BH23" t="b">
        <f>OR(AND(IF(metadata!W23="",FALSE,TRUE),OR(EXACT(metadata!W23,"missing: not collected"),EXACT(metadata!W23,"missing: not provided"),EXACT(metadata!W23,"missing: restricted access"))),AND(IF(metadata!W23="",FALSE,TRUE),OR(EXACT(metadata!W23,"TRUE"),EXACT(metadata!W23,"FALSE"))))</f>
        <v>0</v>
      </c>
      <c r="BI23" t="b">
        <f>AND(IF(metadata!X23="",FALSE,TRUE),EXACT(metadata!X23,"other"))</f>
        <v>0</v>
      </c>
      <c r="BJ23" t="b">
        <f>IF(metadata!Y23="",FALSE,TRUE)</f>
        <v>0</v>
      </c>
      <c r="BK23" t="b">
        <f>OR(AND(IF(metadata!Z23="",FALSE,TRUE),OR(EXACT(metadata!Z23,"missing: not collected"),EXACT(metadata!Z23,"missing: not provided"))),AND(IF(metadata!Z23="",FALSE,IF(ISERROR(INT(metadata!Z23)),FALSE,INT(metadata!Z23)=metadata!Z23)),metadata!Z23&gt;0))</f>
        <v>0</v>
      </c>
      <c r="BL23" t="b">
        <f>AND(IF(metadata!AA23="",FALSE,TRUE),EXACT(metadata!AA23,"Not applicable"))</f>
        <v>0</v>
      </c>
      <c r="BM23" t="b">
        <f>IF(metadata!AB23="",FALSE,TRUE)</f>
        <v>0</v>
      </c>
    </row>
    <row r="24" spans="1:65" x14ac:dyDescent="0.2">
      <c r="A24" s="5" t="str">
        <f ca="1">IF(B24=" "," ",HYPERLINK(CONCATENATE("#metadata!",ADDRESS(INDEX($AH$2:$AH$1001,MATCH(ROWS($AF$2:AF24),$AF$2:$AF$1001,0),0),1)),INDEX($AK$2:$AK$1001,MATCH(ROWS($AF$2:AF24),$AF$2:$AF$1001,0),0)))</f>
        <v xml:space="preserve"> </v>
      </c>
      <c r="B24" s="4" t="str">
        <f ca="1">IF(OR(INDEX($AG$2:$AG$1001,MATCH(ROWS($AF$2:AF24),$AF$2:$AF$1001,0),1)&gt;=100000,INDEX($AM$1005:$BM$1005,1,MATCH(COLUMNS($AM$1006:AM1006),$AM$1006:$BM$1006,0))&gt;=100000), " ",IF(INDEX($AM$2:$BM$1001,MATCH(ROWS($AF$2:AF24),$AF$2:$AF$1001,0),MATCH(COLUMNS($AM$1006:AM1006),$AM$1006:$BM$1006,0)), HYPERLINK("#",""), HYPERLINK(CONCATENATE("#metadata!", ADDRESS(INDEX($AH$2:$AH$1001,MATCH(ROWS($AF$2:AF24),$AF$2:$AF$1001,0),0), INDEX($AM$1004:$BM$1004,1,MATCH(COLUMNS($AM$1006:AM1006),$AM$1006:$BM$1006,0)))),"Fix")))</f>
        <v xml:space="preserve"> </v>
      </c>
      <c r="C24" s="4" t="str">
        <f ca="1">IF(OR(INDEX($AG$2:$AG$1001,MATCH(ROWS($AF$2:AF24),$AF$2:$AF$1001,0),1)&gt;=100000,INDEX($AM$1005:$BM$1005,1,MATCH(COLUMNS($AM$1006:AN1006),$AM$1006:$BM$1006,0))&gt;=100000), " ",IF(INDEX($AM$2:$BM$1001,MATCH(ROWS($AF$2:AF24),$AF$2:$AF$1001,0),MATCH(COLUMNS($AM$1006:AN1006),$AM$1006:$BM$1006,0)), HYPERLINK("#",""), HYPERLINK(CONCATENATE("#metadata!", ADDRESS(INDEX($AH$2:$AH$1001,MATCH(ROWS($AF$2:AF24),$AF$2:$AF$1001,0),0), INDEX($AM$1004:$BM$1004,1,MATCH(COLUMNS($AM$1006:AN1006),$AM$1006:$BM$1006,0)))),"Fix")))</f>
        <v xml:space="preserve"> </v>
      </c>
      <c r="D24" s="4" t="str">
        <f ca="1">IF(OR(INDEX($AG$2:$AG$1001,MATCH(ROWS($AF$2:AF24),$AF$2:$AF$1001,0),1)&gt;=100000,INDEX($AM$1005:$BM$1005,1,MATCH(COLUMNS($AM$1006:AO1006),$AM$1006:$BM$1006,0))&gt;=100000), " ",IF(INDEX($AM$2:$BM$1001,MATCH(ROWS($AF$2:AF24),$AF$2:$AF$1001,0),MATCH(COLUMNS($AM$1006:AO1006),$AM$1006:$BM$1006,0)), HYPERLINK("#",""), HYPERLINK(CONCATENATE("#metadata!", ADDRESS(INDEX($AH$2:$AH$1001,MATCH(ROWS($AF$2:AF24),$AF$2:$AF$1001,0),0), INDEX($AM$1004:$BM$1004,1,MATCH(COLUMNS($AM$1006:AO1006),$AM$1006:$BM$1006,0)))),"Fix")))</f>
        <v xml:space="preserve"> </v>
      </c>
      <c r="E24" s="4" t="str">
        <f ca="1">IF(OR(INDEX($AG$2:$AG$1001,MATCH(ROWS($AF$2:AF24),$AF$2:$AF$1001,0),1)&gt;=100000,INDEX($AM$1005:$BM$1005,1,MATCH(COLUMNS($AM$1006:AP1006),$AM$1006:$BM$1006,0))&gt;=100000), " ",IF(INDEX($AM$2:$BM$1001,MATCH(ROWS($AF$2:AF24),$AF$2:$AF$1001,0),MATCH(COLUMNS($AM$1006:AP1006),$AM$1006:$BM$1006,0)), HYPERLINK("#",""), HYPERLINK(CONCATENATE("#metadata!", ADDRESS(INDEX($AH$2:$AH$1001,MATCH(ROWS($AF$2:AF24),$AF$2:$AF$1001,0),0), INDEX($AM$1004:$BM$1004,1,MATCH(COLUMNS($AM$1006:AP1006),$AM$1006:$BM$1006,0)))),"Fix")))</f>
        <v xml:space="preserve"> </v>
      </c>
      <c r="F24" s="4" t="str">
        <f ca="1">IF(OR(INDEX($AG$2:$AG$1001,MATCH(ROWS($AF$2:AF24),$AF$2:$AF$1001,0),1)&gt;=100000,INDEX($AM$1005:$BM$1005,1,MATCH(COLUMNS($AM$1006:AQ1006),$AM$1006:$BM$1006,0))&gt;=100000), " ",IF(INDEX($AM$2:$BM$1001,MATCH(ROWS($AF$2:AF24),$AF$2:$AF$1001,0),MATCH(COLUMNS($AM$1006:AQ1006),$AM$1006:$BM$1006,0)), HYPERLINK("#",""), HYPERLINK(CONCATENATE("#metadata!", ADDRESS(INDEX($AH$2:$AH$1001,MATCH(ROWS($AF$2:AF24),$AF$2:$AF$1001,0),0), INDEX($AM$1004:$BM$1004,1,MATCH(COLUMNS($AM$1006:AQ1006),$AM$1006:$BM$1006,0)))),"Fix")))</f>
        <v xml:space="preserve"> </v>
      </c>
      <c r="G24" s="4" t="str">
        <f ca="1">IF(OR(INDEX($AG$2:$AG$1001,MATCH(ROWS($AF$2:AF24),$AF$2:$AF$1001,0),1)&gt;=100000,INDEX($AM$1005:$BM$1005,1,MATCH(COLUMNS($AM$1006:AR1006),$AM$1006:$BM$1006,0))&gt;=100000), " ",IF(INDEX($AM$2:$BM$1001,MATCH(ROWS($AF$2:AF24),$AF$2:$AF$1001,0),MATCH(COLUMNS($AM$1006:AR1006),$AM$1006:$BM$1006,0)), HYPERLINK("#",""), HYPERLINK(CONCATENATE("#metadata!", ADDRESS(INDEX($AH$2:$AH$1001,MATCH(ROWS($AF$2:AF24),$AF$2:$AF$1001,0),0), INDEX($AM$1004:$BM$1004,1,MATCH(COLUMNS($AM$1006:AR1006),$AM$1006:$BM$1006,0)))),"Fix")))</f>
        <v xml:space="preserve"> </v>
      </c>
      <c r="H24" s="4" t="str">
        <f ca="1">IF(OR(INDEX($AG$2:$AG$1001,MATCH(ROWS($AF$2:AF24),$AF$2:$AF$1001,0),1)&gt;=100000,INDEX($AM$1005:$BM$1005,1,MATCH(COLUMNS($AM$1006:AS1006),$AM$1006:$BM$1006,0))&gt;=100000), " ",IF(INDEX($AM$2:$BM$1001,MATCH(ROWS($AF$2:AF24),$AF$2:$AF$1001,0),MATCH(COLUMNS($AM$1006:AS1006),$AM$1006:$BM$1006,0)), HYPERLINK("#",""), HYPERLINK(CONCATENATE("#metadata!", ADDRESS(INDEX($AH$2:$AH$1001,MATCH(ROWS($AF$2:AF24),$AF$2:$AF$1001,0),0), INDEX($AM$1004:$BM$1004,1,MATCH(COLUMNS($AM$1006:AS1006),$AM$1006:$BM$1006,0)))),"Fix")))</f>
        <v xml:space="preserve"> </v>
      </c>
      <c r="I24" s="4" t="str">
        <f ca="1">IF(OR(INDEX($AG$2:$AG$1001,MATCH(ROWS($AF$2:AF24),$AF$2:$AF$1001,0),1)&gt;=100000,INDEX($AM$1005:$BM$1005,1,MATCH(COLUMNS($AM$1006:AT1006),$AM$1006:$BM$1006,0))&gt;=100000), " ",IF(INDEX($AM$2:$BM$1001,MATCH(ROWS($AF$2:AF24),$AF$2:$AF$1001,0),MATCH(COLUMNS($AM$1006:AT1006),$AM$1006:$BM$1006,0)), HYPERLINK("#",""), HYPERLINK(CONCATENATE("#metadata!", ADDRESS(INDEX($AH$2:$AH$1001,MATCH(ROWS($AF$2:AF24),$AF$2:$AF$1001,0),0), INDEX($AM$1004:$BM$1004,1,MATCH(COLUMNS($AM$1006:AT1006),$AM$1006:$BM$1006,0)))),"Fix")))</f>
        <v xml:space="preserve"> </v>
      </c>
      <c r="J24" s="4" t="str">
        <f ca="1">IF(OR(INDEX($AG$2:$AG$1001,MATCH(ROWS($AF$2:AF24),$AF$2:$AF$1001,0),1)&gt;=100000,INDEX($AM$1005:$BM$1005,1,MATCH(COLUMNS($AM$1006:AU1006),$AM$1006:$BM$1006,0))&gt;=100000), " ",IF(INDEX($AM$2:$BM$1001,MATCH(ROWS($AF$2:AF24),$AF$2:$AF$1001,0),MATCH(COLUMNS($AM$1006:AU1006),$AM$1006:$BM$1006,0)), HYPERLINK("#",""), HYPERLINK(CONCATENATE("#metadata!", ADDRESS(INDEX($AH$2:$AH$1001,MATCH(ROWS($AF$2:AF24),$AF$2:$AF$1001,0),0), INDEX($AM$1004:$BM$1004,1,MATCH(COLUMNS($AM$1006:AU1006),$AM$1006:$BM$1006,0)))),"Fix")))</f>
        <v xml:space="preserve"> </v>
      </c>
      <c r="K24" s="4" t="str">
        <f ca="1">IF(OR(INDEX($AG$2:$AG$1001,MATCH(ROWS($AF$2:AF24),$AF$2:$AF$1001,0),1)&gt;=100000,INDEX($AM$1005:$BM$1005,1,MATCH(COLUMNS($AM$1006:AV1006),$AM$1006:$BM$1006,0))&gt;=100000), " ",IF(INDEX($AM$2:$BM$1001,MATCH(ROWS($AF$2:AF24),$AF$2:$AF$1001,0),MATCH(COLUMNS($AM$1006:AV1006),$AM$1006:$BM$1006,0)), HYPERLINK("#",""), HYPERLINK(CONCATENATE("#metadata!", ADDRESS(INDEX($AH$2:$AH$1001,MATCH(ROWS($AF$2:AF24),$AF$2:$AF$1001,0),0), INDEX($AM$1004:$BM$1004,1,MATCH(COLUMNS($AM$1006:AV1006),$AM$1006:$BM$1006,0)))),"Fix")))</f>
        <v xml:space="preserve"> </v>
      </c>
      <c r="L24" s="4" t="str">
        <f ca="1">IF(OR(INDEX($AG$2:$AG$1001,MATCH(ROWS($AF$2:AF24),$AF$2:$AF$1001,0),1)&gt;=100000,INDEX($AM$1005:$BM$1005,1,MATCH(COLUMNS($AM$1006:AW1006),$AM$1006:$BM$1006,0))&gt;=100000), " ",IF(INDEX($AM$2:$BM$1001,MATCH(ROWS($AF$2:AF24),$AF$2:$AF$1001,0),MATCH(COLUMNS($AM$1006:AW1006),$AM$1006:$BM$1006,0)), HYPERLINK("#",""), HYPERLINK(CONCATENATE("#metadata!", ADDRESS(INDEX($AH$2:$AH$1001,MATCH(ROWS($AF$2:AF24),$AF$2:$AF$1001,0),0), INDEX($AM$1004:$BM$1004,1,MATCH(COLUMNS($AM$1006:AW1006),$AM$1006:$BM$1006,0)))),"Fix")))</f>
        <v xml:space="preserve"> </v>
      </c>
      <c r="M24" s="4" t="str">
        <f ca="1">IF(OR(INDEX($AG$2:$AG$1001,MATCH(ROWS($AF$2:AF24),$AF$2:$AF$1001,0),1)&gt;=100000,INDEX($AM$1005:$BM$1005,1,MATCH(COLUMNS($AM$1006:AX1006),$AM$1006:$BM$1006,0))&gt;=100000), " ",IF(INDEX($AM$2:$BM$1001,MATCH(ROWS($AF$2:AF24),$AF$2:$AF$1001,0),MATCH(COLUMNS($AM$1006:AX1006),$AM$1006:$BM$1006,0)), HYPERLINK("#",""), HYPERLINK(CONCATENATE("#metadata!", ADDRESS(INDEX($AH$2:$AH$1001,MATCH(ROWS($AF$2:AF24),$AF$2:$AF$1001,0),0), INDEX($AM$1004:$BM$1004,1,MATCH(COLUMNS($AM$1006:AX1006),$AM$1006:$BM$1006,0)))),"Fix")))</f>
        <v xml:space="preserve"> </v>
      </c>
      <c r="N24" s="4" t="str">
        <f ca="1">IF(OR(INDEX($AG$2:$AG$1001,MATCH(ROWS($AF$2:AF24),$AF$2:$AF$1001,0),1)&gt;=100000,INDEX($AM$1005:$BM$1005,1,MATCH(COLUMNS($AM$1006:AY1006),$AM$1006:$BM$1006,0))&gt;=100000), " ",IF(INDEX($AM$2:$BM$1001,MATCH(ROWS($AF$2:AF24),$AF$2:$AF$1001,0),MATCH(COLUMNS($AM$1006:AY1006),$AM$1006:$BM$1006,0)), HYPERLINK("#",""), HYPERLINK(CONCATENATE("#metadata!", ADDRESS(INDEX($AH$2:$AH$1001,MATCH(ROWS($AF$2:AF24),$AF$2:$AF$1001,0),0), INDEX($AM$1004:$BM$1004,1,MATCH(COLUMNS($AM$1006:AY1006),$AM$1006:$BM$1006,0)))),"Fix")))</f>
        <v xml:space="preserve"> </v>
      </c>
      <c r="O24" s="4" t="str">
        <f ca="1">IF(OR(INDEX($AG$2:$AG$1001,MATCH(ROWS($AF$2:AF24),$AF$2:$AF$1001,0),1)&gt;=100000,INDEX($AM$1005:$BM$1005,1,MATCH(COLUMNS($AM$1006:AZ1006),$AM$1006:$BM$1006,0))&gt;=100000), " ",IF(INDEX($AM$2:$BM$1001,MATCH(ROWS($AF$2:AF24),$AF$2:$AF$1001,0),MATCH(COLUMNS($AM$1006:AZ1006),$AM$1006:$BM$1006,0)), HYPERLINK("#",""), HYPERLINK(CONCATENATE("#metadata!", ADDRESS(INDEX($AH$2:$AH$1001,MATCH(ROWS($AF$2:AF24),$AF$2:$AF$1001,0),0), INDEX($AM$1004:$BM$1004,1,MATCH(COLUMNS($AM$1006:AZ1006),$AM$1006:$BM$1006,0)))),"Fix")))</f>
        <v xml:space="preserve"> </v>
      </c>
      <c r="P24" s="4" t="str">
        <f ca="1">IF(OR(INDEX($AG$2:$AG$1001,MATCH(ROWS($AF$2:AF24),$AF$2:$AF$1001,0),1)&gt;=100000,INDEX($AM$1005:$BM$1005,1,MATCH(COLUMNS($AM$1006:BA1006),$AM$1006:$BM$1006,0))&gt;=100000), " ",IF(INDEX($AM$2:$BM$1001,MATCH(ROWS($AF$2:AF24),$AF$2:$AF$1001,0),MATCH(COLUMNS($AM$1006:BA1006),$AM$1006:$BM$1006,0)), HYPERLINK("#",""), HYPERLINK(CONCATENATE("#metadata!", ADDRESS(INDEX($AH$2:$AH$1001,MATCH(ROWS($AF$2:AF24),$AF$2:$AF$1001,0),0), INDEX($AM$1004:$BM$1004,1,MATCH(COLUMNS($AM$1006:BA1006),$AM$1006:$BM$1006,0)))),"Fix")))</f>
        <v xml:space="preserve"> </v>
      </c>
      <c r="Q24" s="4" t="str">
        <f ca="1">IF(OR(INDEX($AG$2:$AG$1001,MATCH(ROWS($AF$2:AF24),$AF$2:$AF$1001,0),1)&gt;=100000,INDEX($AM$1005:$BM$1005,1,MATCH(COLUMNS($AM$1006:BB1006),$AM$1006:$BM$1006,0))&gt;=100000), " ",IF(INDEX($AM$2:$BM$1001,MATCH(ROWS($AF$2:AF24),$AF$2:$AF$1001,0),MATCH(COLUMNS($AM$1006:BB1006),$AM$1006:$BM$1006,0)), HYPERLINK("#",""), HYPERLINK(CONCATENATE("#metadata!", ADDRESS(INDEX($AH$2:$AH$1001,MATCH(ROWS($AF$2:AF24),$AF$2:$AF$1001,0),0), INDEX($AM$1004:$BM$1004,1,MATCH(COLUMNS($AM$1006:BB1006),$AM$1006:$BM$1006,0)))),"Fix")))</f>
        <v xml:space="preserve"> </v>
      </c>
      <c r="R24" s="4" t="str">
        <f ca="1">IF(OR(INDEX($AG$2:$AG$1001,MATCH(ROWS($AF$2:AF24),$AF$2:$AF$1001,0),1)&gt;=100000,INDEX($AM$1005:$BM$1005,1,MATCH(COLUMNS($AM$1006:BC1006),$AM$1006:$BM$1006,0))&gt;=100000), " ",IF(INDEX($AM$2:$BM$1001,MATCH(ROWS($AF$2:AF24),$AF$2:$AF$1001,0),MATCH(COLUMNS($AM$1006:BC1006),$AM$1006:$BM$1006,0)), HYPERLINK("#",""), HYPERLINK(CONCATENATE("#metadata!", ADDRESS(INDEX($AH$2:$AH$1001,MATCH(ROWS($AF$2:AF24),$AF$2:$AF$1001,0),0), INDEX($AM$1004:$BM$1004,1,MATCH(COLUMNS($AM$1006:BC1006),$AM$1006:$BM$1006,0)))),"Fix")))</f>
        <v xml:space="preserve"> </v>
      </c>
      <c r="S24" s="4" t="str">
        <f ca="1">IF(OR(INDEX($AG$2:$AG$1001,MATCH(ROWS($AF$2:AF24),$AF$2:$AF$1001,0),1)&gt;=100000,INDEX($AM$1005:$BM$1005,1,MATCH(COLUMNS($AM$1006:BD1006),$AM$1006:$BM$1006,0))&gt;=100000), " ",IF(INDEX($AM$2:$BM$1001,MATCH(ROWS($AF$2:AF24),$AF$2:$AF$1001,0),MATCH(COLUMNS($AM$1006:BD1006),$AM$1006:$BM$1006,0)), HYPERLINK("#",""), HYPERLINK(CONCATENATE("#metadata!", ADDRESS(INDEX($AH$2:$AH$1001,MATCH(ROWS($AF$2:AF24),$AF$2:$AF$1001,0),0), INDEX($AM$1004:$BM$1004,1,MATCH(COLUMNS($AM$1006:BD1006),$AM$1006:$BM$1006,0)))),"Fix")))</f>
        <v xml:space="preserve"> </v>
      </c>
      <c r="T24" s="4" t="str">
        <f ca="1">IF(OR(INDEX($AG$2:$AG$1001,MATCH(ROWS($AF$2:AF24),$AF$2:$AF$1001,0),1)&gt;=100000,INDEX($AM$1005:$BM$1005,1,MATCH(COLUMNS($AM$1006:BE1006),$AM$1006:$BM$1006,0))&gt;=100000), " ",IF(INDEX($AM$2:$BM$1001,MATCH(ROWS($AF$2:AF24),$AF$2:$AF$1001,0),MATCH(COLUMNS($AM$1006:BE1006),$AM$1006:$BM$1006,0)), HYPERLINK("#",""), HYPERLINK(CONCATENATE("#metadata!", ADDRESS(INDEX($AH$2:$AH$1001,MATCH(ROWS($AF$2:AF24),$AF$2:$AF$1001,0),0), INDEX($AM$1004:$BM$1004,1,MATCH(COLUMNS($AM$1006:BE1006),$AM$1006:$BM$1006,0)))),"Fix")))</f>
        <v xml:space="preserve"> </v>
      </c>
      <c r="U24" s="4" t="str">
        <f ca="1">IF(OR(INDEX($AG$2:$AG$1001,MATCH(ROWS($AF$2:AF24),$AF$2:$AF$1001,0),1)&gt;=100000,INDEX($AM$1005:$BM$1005,1,MATCH(COLUMNS($AM$1006:BF1006),$AM$1006:$BM$1006,0))&gt;=100000), " ",IF(INDEX($AM$2:$BM$1001,MATCH(ROWS($AF$2:AF24),$AF$2:$AF$1001,0),MATCH(COLUMNS($AM$1006:BF1006),$AM$1006:$BM$1006,0)), HYPERLINK("#",""), HYPERLINK(CONCATENATE("#metadata!", ADDRESS(INDEX($AH$2:$AH$1001,MATCH(ROWS($AF$2:AF24),$AF$2:$AF$1001,0),0), INDEX($AM$1004:$BM$1004,1,MATCH(COLUMNS($AM$1006:BF1006),$AM$1006:$BM$1006,0)))),"Fix")))</f>
        <v xml:space="preserve"> </v>
      </c>
      <c r="V24" s="4" t="str">
        <f ca="1">IF(OR(INDEX($AG$2:$AG$1001,MATCH(ROWS($AF$2:AF24),$AF$2:$AF$1001,0),1)&gt;=100000,INDEX($AM$1005:$BM$1005,1,MATCH(COLUMNS($AM$1006:BG1006),$AM$1006:$BM$1006,0))&gt;=100000), " ",IF(INDEX($AM$2:$BM$1001,MATCH(ROWS($AF$2:AF24),$AF$2:$AF$1001,0),MATCH(COLUMNS($AM$1006:BG1006),$AM$1006:$BM$1006,0)), HYPERLINK("#",""), HYPERLINK(CONCATENATE("#metadata!", ADDRESS(INDEX($AH$2:$AH$1001,MATCH(ROWS($AF$2:AF24),$AF$2:$AF$1001,0),0), INDEX($AM$1004:$BM$1004,1,MATCH(COLUMNS($AM$1006:BG1006),$AM$1006:$BM$1006,0)))),"Fix")))</f>
        <v xml:space="preserve"> </v>
      </c>
      <c r="W24" s="4" t="str">
        <f ca="1">IF(OR(INDEX($AG$2:$AG$1001,MATCH(ROWS($AF$2:AF24),$AF$2:$AF$1001,0),1)&gt;=100000,INDEX($AM$1005:$BM$1005,1,MATCH(COLUMNS($AM$1006:BH1006),$AM$1006:$BM$1006,0))&gt;=100000), " ",IF(INDEX($AM$2:$BM$1001,MATCH(ROWS($AF$2:AF24),$AF$2:$AF$1001,0),MATCH(COLUMNS($AM$1006:BH1006),$AM$1006:$BM$1006,0)), HYPERLINK("#",""), HYPERLINK(CONCATENATE("#metadata!", ADDRESS(INDEX($AH$2:$AH$1001,MATCH(ROWS($AF$2:AF24),$AF$2:$AF$1001,0),0), INDEX($AM$1004:$BM$1004,1,MATCH(COLUMNS($AM$1006:BH1006),$AM$1006:$BM$1006,0)))),"Fix")))</f>
        <v xml:space="preserve"> </v>
      </c>
      <c r="X24" s="4" t="str">
        <f ca="1">IF(OR(INDEX($AG$2:$AG$1001,MATCH(ROWS($AF$2:AF24),$AF$2:$AF$1001,0),1)&gt;=100000,INDEX($AM$1005:$BM$1005,1,MATCH(COLUMNS($AM$1006:BI1006),$AM$1006:$BM$1006,0))&gt;=100000), " ",IF(INDEX($AM$2:$BM$1001,MATCH(ROWS($AF$2:AF24),$AF$2:$AF$1001,0),MATCH(COLUMNS($AM$1006:BI1006),$AM$1006:$BM$1006,0)), HYPERLINK("#",""), HYPERLINK(CONCATENATE("#metadata!", ADDRESS(INDEX($AH$2:$AH$1001,MATCH(ROWS($AF$2:AF24),$AF$2:$AF$1001,0),0), INDEX($AM$1004:$BM$1004,1,MATCH(COLUMNS($AM$1006:BI1006),$AM$1006:$BM$1006,0)))),"Fix")))</f>
        <v xml:space="preserve"> </v>
      </c>
      <c r="Y24" s="4" t="str">
        <f ca="1">IF(OR(INDEX($AG$2:$AG$1001,MATCH(ROWS($AF$2:AF24),$AF$2:$AF$1001,0),1)&gt;=100000,INDEX($AM$1005:$BM$1005,1,MATCH(COLUMNS($AM$1006:BJ1006),$AM$1006:$BM$1006,0))&gt;=100000), " ",IF(INDEX($AM$2:$BM$1001,MATCH(ROWS($AF$2:AF24),$AF$2:$AF$1001,0),MATCH(COLUMNS($AM$1006:BJ1006),$AM$1006:$BM$1006,0)), HYPERLINK("#",""), HYPERLINK(CONCATENATE("#metadata!", ADDRESS(INDEX($AH$2:$AH$1001,MATCH(ROWS($AF$2:AF24),$AF$2:$AF$1001,0),0), INDEX($AM$1004:$BM$1004,1,MATCH(COLUMNS($AM$1006:BJ1006),$AM$1006:$BM$1006,0)))),"Fix")))</f>
        <v xml:space="preserve"> </v>
      </c>
      <c r="Z24" s="4" t="str">
        <f ca="1">IF(OR(INDEX($AG$2:$AG$1001,MATCH(ROWS($AF$2:AF24),$AF$2:$AF$1001,0),1)&gt;=100000,INDEX($AM$1005:$BM$1005,1,MATCH(COLUMNS($AM$1006:BK1006),$AM$1006:$BM$1006,0))&gt;=100000), " ",IF(INDEX($AM$2:$BM$1001,MATCH(ROWS($AF$2:AF24),$AF$2:$AF$1001,0),MATCH(COLUMNS($AM$1006:BK1006),$AM$1006:$BM$1006,0)), HYPERLINK("#",""), HYPERLINK(CONCATENATE("#metadata!", ADDRESS(INDEX($AH$2:$AH$1001,MATCH(ROWS($AF$2:AF24),$AF$2:$AF$1001,0),0), INDEX($AM$1004:$BM$1004,1,MATCH(COLUMNS($AM$1006:BK1006),$AM$1006:$BM$1006,0)))),"Fix")))</f>
        <v xml:space="preserve"> </v>
      </c>
      <c r="AA24" s="4" t="str">
        <f ca="1">IF(OR(INDEX($AG$2:$AG$1001,MATCH(ROWS($AF$2:AF24),$AF$2:$AF$1001,0),1)&gt;=100000,INDEX($AM$1005:$BM$1005,1,MATCH(COLUMNS($AM$1006:BL1006),$AM$1006:$BM$1006,0))&gt;=100000), " ",IF(INDEX($AM$2:$BM$1001,MATCH(ROWS($AF$2:AF24),$AF$2:$AF$1001,0),MATCH(COLUMNS($AM$1006:BL1006),$AM$1006:$BM$1006,0)), HYPERLINK("#",""), HYPERLINK(CONCATENATE("#metadata!", ADDRESS(INDEX($AH$2:$AH$1001,MATCH(ROWS($AF$2:AF24),$AF$2:$AF$1001,0),0), INDEX($AM$1004:$BM$1004,1,MATCH(COLUMNS($AM$1006:BL1006),$AM$1006:$BM$1006,0)))),"Fix")))</f>
        <v xml:space="preserve"> </v>
      </c>
      <c r="AB24" s="4" t="str">
        <f ca="1">IF(OR(INDEX($AG$2:$AG$1001,MATCH(ROWS($AF$2:AF24),$AF$2:$AF$1001,0),1)&gt;=100000,INDEX($AM$1005:$BM$1005,1,MATCH(COLUMNS($AM$1006:BM1006),$AM$1006:$BM$1006,0))&gt;=100000), " ",IF(INDEX($AM$2:$BM$1001,MATCH(ROWS($AF$2:AF24),$AF$2:$AF$1001,0),MATCH(COLUMNS($AM$1006:BM1006),$AM$1006:$BM$1006,0)), HYPERLINK("#",""), HYPERLINK(CONCATENATE("#metadata!", ADDRESS(INDEX($AH$2:$AH$1001,MATCH(ROWS($AF$2:AF24),$AF$2:$AF$1001,0),0), INDEX($AM$1004:$BM$1004,1,MATCH(COLUMNS($AM$1006:BM1006),$AM$1006:$BM$1006,0)))),"Fix")))</f>
        <v xml:space="preserve"> </v>
      </c>
      <c r="AF24">
        <v>23</v>
      </c>
      <c r="AG24">
        <v>100024</v>
      </c>
      <c r="AH24">
        <v>24</v>
      </c>
      <c r="AI24" t="b">
        <f t="shared" si="0"/>
        <v>1</v>
      </c>
      <c r="AJ24" t="b">
        <f>COUNTBLANK(metadata!B24:AB24)=COLUMNS(metadata!B24:AB24)</f>
        <v>1</v>
      </c>
      <c r="AK24" t="str">
        <v/>
      </c>
      <c r="AM24" t="b">
        <f ca="1">AND(IF(metadata!B24="",FALSE,TRUE),COUNTIF(metadata!B:B, metadata!B24) = 1,NOT(ISERROR(SUMPRODUCT(SEARCH(MID(metadata!B24,ROW(INDIRECT("1:"&amp;LEN(metadata!B24))), 1),"0123456789abcdefghijklmnopqrstuvwxyzABCDEFGHIJKLMNOPQRSTUVWXYZ.")))))</f>
        <v>0</v>
      </c>
      <c r="AN24" t="b">
        <f ca="1">OR(AND(IF(metadata!C24="",FALSE,TRUE),OR(EXACT(metadata!C24,"missing: not collected"),EXACT(metadata!C24,"missing: not provided"),EXACT(metadata!C24,"missing: restricted access"))),AND(IF(metadata!C24="",FALSE,TRUE),AND(AND(IFERROR(INT(LEFT(metadata!C24,4))&gt;1900,FALSE),IFERROR(INT(LEFT(metadata!C24,4))&lt;=YEAR(NOW()),FALSE)), OR(MID(metadata!C24,5,1)="", AND(AND(MID(metadata!C24,5,1)="-",IFERROR(INT(MID(metadata!C24,6,1))&gt;=0,FALSE),IFERROR(INT(MID(metadata!C24,6,1))&lt;=1,FALSE),NOT(MID(metadata!C24,7,1)=""),IFERROR(INT(MID(metadata!C24,6,2))&gt;=1,FALSE),IFERROR(INT(MID(metadata!C24,6,2))&lt;=12,FALSE)), OR(MID(metadata!C24,8,1)="", AND(AND(MID(metadata!C24,8,1)="-",IFERROR(INT(MID(metadata!C24,9,1))&gt;=0,FALSE),IFERROR(INT(MID(metadata!C24,9,1))&lt;=3,FALSE),NOT(MID(metadata!C24,10,1)=""),IFERROR(INT(MID(metadata!C24,9,2))&gt;=1,FALSE),IFERROR(INT(MID(metadata!C24,9,2))&lt;=31,FALSE)), OR(MID(metadata!C24,11,1)="", AND(AND(MID(metadata!C24,11,1)=" ",IFERROR(INT(MID(metadata!C24,12,1))&gt;=0,FALSE),IFERROR(INT(MID(metadata!C24,12,1))&lt;=2,FALSE),NOT(MID(metadata!C24,13,1)=""),IFERROR(INT(MID(metadata!C24,12,2))&gt;=0,FALSE),IFERROR(INT(MID(metadata!C24,12,2))&lt;=23,FALSE)), OR(MID(metadata!C24,14,1)="", AND(AND(MID(metadata!C24,14,1)=":",IFERROR(INT(MID(metadata!C24,15,1))&gt;=0,FALSE),IFERROR(INT(MID(metadata!C24,15,1))&lt;=5,FALSE),NOT(MID(metadata!C24,16,1)=""),IFERROR(INT(MID(metadata!C24,15,2))&gt;=0,FALSE),IFERROR(INT(MID(metadata!C24,15,2))&lt;=59,FALSE)), OR(MID(metadata!C24,17,1)="", AND(AND(MID(metadata!C24,17,1)=":",IFERROR(INT(MID(metadata!C24,18,1))&gt;=0,FALSE),IFERROR(INT(MID(metadata!C24,18,1))&lt;=5,FALSE),NOT(MID(metadata!C24,19,1)=""),IFERROR(INT(MID(metadata!C24,18,2))&gt;=0,FALSE),IFERROR(INT(MID(metadata!C24,18,2))&lt;=59,FALSE)), LEN(metadata!C24)&lt;=19)))))))))))))</f>
        <v>0</v>
      </c>
      <c r="AO24" t="b">
        <f>AND(IF(metadata!D24="",FALSE,TRUE),EXACT(metadata!D24,"Not applicable"))</f>
        <v>0</v>
      </c>
      <c r="AP24" t="b">
        <f>IF(metadata!E24="",FALSE,TRUE)</f>
        <v>0</v>
      </c>
      <c r="AQ24" t="b">
        <f>OR(AND(IF(metadata!F24="",FALSE,TRUE),OR(EXACT(metadata!F24,"missing: not collected"),EXACT(metadata!F24,"missing: not provided"))),AND(IF(metadata!F24="",FALSE,TRUE),OR(EXACT(metadata!F24,"TRUE"),EXACT(metadata!F24,"FALSE"))))</f>
        <v>0</v>
      </c>
      <c r="AR24" t="b">
        <f>OR(AND(IF(metadata!G24="",FALSE,TRUE),OR(EXACT(metadata!G24,"missing: not collected"),EXACT(metadata!G24,"missing: not provided"),EXACT(metadata!G24,"missing: restricted access"))),AND(IF(metadata!G24="",FALSE,ISNUMBER(VALUE(metadata!G24))),metadata!G24&gt;=-413))</f>
        <v>0</v>
      </c>
      <c r="AS24" t="b">
        <f>AND(IF(metadata!H24="",FALSE,TRUE),EXACT(metadata!H24,"meters"))</f>
        <v>0</v>
      </c>
      <c r="AT24" t="b">
        <f>AND(IF(metadata!I24="",FALSE,TRUE),OR(EXACT(metadata!I24,"Host-associated"),EXACT(metadata!I24,"Free-living")))</f>
        <v>0</v>
      </c>
      <c r="AU24" t="b">
        <f>AND(IF(metadata!J24="",FALSE,TRUE),OR(EXACT(metadata!J24,"Animal"),EXACT(metadata!J24,"Fungus"),EXACT(metadata!J24,"Plant"),EXACT(metadata!J24,"Saline"),EXACT(metadata!J24,"Non-saline")))</f>
        <v>0</v>
      </c>
      <c r="AV24" t="b">
        <f>AND(IF(metadata!K24="",FALSE,TRUE),OR(EXACT(metadata!K24,"Plant secretion"),EXACT(metadata!K24,"Plant rhizosphere"),EXACT(metadata!K24,"Plant surface"),EXACT(metadata!K24,"Plant corpus"),EXACT(metadata!K24,"Fungus surface"),EXACT(metadata!K24,"Fungus corpus"),EXACT(metadata!K24,"Animal surface"),EXACT(metadata!K24,"Animal proximal gut"),EXACT(metadata!K24,"Animal corpus"),EXACT(metadata!K24,"Animal distal gut"),EXACT(metadata!K24,"Animal secretion"),EXACT(metadata!K24,"Sub-surface (non-saline)"),EXACT(metadata!K24,"Surface (non-saline)"),EXACT(metadata!K24,"Water (non-saline)"),EXACT(metadata!K24,"Soil (non-saline)"),EXACT(metadata!K24,"Aerosol (non-saline)"),EXACT(metadata!K24,"Sediment (non-saline)"),EXACT(metadata!K24,"Surface (saline)"),EXACT(metadata!K24,"Water (saline)"),EXACT(metadata!K24,"Hypersaline (saline)"),EXACT(metadata!K24,"Aerosol (saline)"),EXACT(metadata!K24,"Sediment (saline)")))</f>
        <v>0</v>
      </c>
      <c r="AW24" t="b">
        <f>IF(metadata!L24="",FALSE,TRUE)</f>
        <v>0</v>
      </c>
      <c r="AX24" t="b">
        <f>IF(metadata!M24="",FALSE,TRUE)</f>
        <v>0</v>
      </c>
      <c r="AY24" t="b">
        <f>IF(metadata!N24="",FALSE,TRUE)</f>
        <v>0</v>
      </c>
      <c r="AZ24" t="b">
        <f>OR(AND(IF(metadata!O24="",FALSE,TRUE),OR(EXACT(metadata!O24,"missing: not collected"),EXACT(metadata!O24,"missing: not provided"),EXACT(metadata!O24,"missing: restricted access"))),AND(IF(metadata!O24="",FALSE,TRUE),OR(EXACT(metadata!O24,"air"),EXACT(metadata!O24,"built environment"),EXACT(metadata!O24,"host-associated"),EXACT(metadata!O24,"human-associated"),EXACT(metadata!O24,"human-skin"),EXACT(metadata!O24,"human-oral"),EXACT(metadata!O24,"human-gut"),EXACT(metadata!O24,"human-vaginal"),EXACT(metadata!O24,"microbial mat/biofilm"),EXACT(metadata!O24,"misc environment"),EXACT(metadata!O24,"plant-associated"),EXACT(metadata!O24,"sediment"),EXACT(metadata!O24,"soil"),EXACT(metadata!O24,"wastewater/sludge"),EXACT(metadata!O24,"water"))))</f>
        <v>0</v>
      </c>
      <c r="BA24" t="b">
        <f>IF(metadata!P24="",FALSE,TRUE)</f>
        <v>0</v>
      </c>
      <c r="BB24" t="b">
        <f>IF(metadata!Q24="",FALSE,TRUE)</f>
        <v>0</v>
      </c>
      <c r="BC24" t="b">
        <f>OR(AND(IF(metadata!R24="",FALSE,TRUE),OR(EXACT(metadata!R24,"missing: not collected"),EXACT(metadata!R24,"missing: not provided"),EXACT(metadata!R24,"missing: restricted access"))),AND(IF(metadata!R24="",FALSE,ISNUMBER(VALUE(metadata!R24))),metadata!R24&gt;=-90,metadata!R24&lt;=90))</f>
        <v>0</v>
      </c>
      <c r="BD24" t="b">
        <f>AND(IF(metadata!S24="",FALSE,TRUE),EXACT(metadata!S24,"Decimal degrees"))</f>
        <v>0</v>
      </c>
      <c r="BE24" t="b">
        <f>OR(AND(IF(metadata!T24="",FALSE,TRUE),OR(EXACT(metadata!T24,"missing: not collected"),EXACT(metadata!T24,"missing: not provided"),EXACT(metadata!T24,"missing: restricted access"))),AND(IF(metadata!T24="",FALSE,ISNUMBER(VALUE(metadata!T24))),metadata!T24&gt;=-180,metadata!T24&lt;=180))</f>
        <v>0</v>
      </c>
      <c r="BF24" t="b">
        <f>AND(IF(metadata!U24="",FALSE,TRUE),EXACT(metadata!U24,"Decimal degrees"))</f>
        <v>0</v>
      </c>
      <c r="BG24" t="b">
        <f>IF(metadata!V24="",FALSE,TRUE)</f>
        <v>0</v>
      </c>
      <c r="BH24" t="b">
        <f>OR(AND(IF(metadata!W24="",FALSE,TRUE),OR(EXACT(metadata!W24,"missing: not collected"),EXACT(metadata!W24,"missing: not provided"),EXACT(metadata!W24,"missing: restricted access"))),AND(IF(metadata!W24="",FALSE,TRUE),OR(EXACT(metadata!W24,"TRUE"),EXACT(metadata!W24,"FALSE"))))</f>
        <v>0</v>
      </c>
      <c r="BI24" t="b">
        <f>AND(IF(metadata!X24="",FALSE,TRUE),EXACT(metadata!X24,"other"))</f>
        <v>0</v>
      </c>
      <c r="BJ24" t="b">
        <f>IF(metadata!Y24="",FALSE,TRUE)</f>
        <v>0</v>
      </c>
      <c r="BK24" t="b">
        <f>OR(AND(IF(metadata!Z24="",FALSE,TRUE),OR(EXACT(metadata!Z24,"missing: not collected"),EXACT(metadata!Z24,"missing: not provided"))),AND(IF(metadata!Z24="",FALSE,IF(ISERROR(INT(metadata!Z24)),FALSE,INT(metadata!Z24)=metadata!Z24)),metadata!Z24&gt;0))</f>
        <v>0</v>
      </c>
      <c r="BL24" t="b">
        <f>AND(IF(metadata!AA24="",FALSE,TRUE),EXACT(metadata!AA24,"Not applicable"))</f>
        <v>0</v>
      </c>
      <c r="BM24" t="b">
        <f>IF(metadata!AB24="",FALSE,TRUE)</f>
        <v>0</v>
      </c>
    </row>
    <row r="25" spans="1:65" x14ac:dyDescent="0.2">
      <c r="A25" s="5" t="str">
        <f ca="1">IF(B25=" "," ",HYPERLINK(CONCATENATE("#metadata!",ADDRESS(INDEX($AH$2:$AH$1001,MATCH(ROWS($AF$2:AF25),$AF$2:$AF$1001,0),0),1)),INDEX($AK$2:$AK$1001,MATCH(ROWS($AF$2:AF25),$AF$2:$AF$1001,0),0)))</f>
        <v xml:space="preserve"> </v>
      </c>
      <c r="B25" s="4" t="str">
        <f ca="1">IF(OR(INDEX($AG$2:$AG$1001,MATCH(ROWS($AF$2:AF25),$AF$2:$AF$1001,0),1)&gt;=100000,INDEX($AM$1005:$BM$1005,1,MATCH(COLUMNS($AM$1006:AM1006),$AM$1006:$BM$1006,0))&gt;=100000), " ",IF(INDEX($AM$2:$BM$1001,MATCH(ROWS($AF$2:AF25),$AF$2:$AF$1001,0),MATCH(COLUMNS($AM$1006:AM1006),$AM$1006:$BM$1006,0)), HYPERLINK("#",""), HYPERLINK(CONCATENATE("#metadata!", ADDRESS(INDEX($AH$2:$AH$1001,MATCH(ROWS($AF$2:AF25),$AF$2:$AF$1001,0),0), INDEX($AM$1004:$BM$1004,1,MATCH(COLUMNS($AM$1006:AM1006),$AM$1006:$BM$1006,0)))),"Fix")))</f>
        <v xml:space="preserve"> </v>
      </c>
      <c r="C25" s="4" t="str">
        <f ca="1">IF(OR(INDEX($AG$2:$AG$1001,MATCH(ROWS($AF$2:AF25),$AF$2:$AF$1001,0),1)&gt;=100000,INDEX($AM$1005:$BM$1005,1,MATCH(COLUMNS($AM$1006:AN1006),$AM$1006:$BM$1006,0))&gt;=100000), " ",IF(INDEX($AM$2:$BM$1001,MATCH(ROWS($AF$2:AF25),$AF$2:$AF$1001,0),MATCH(COLUMNS($AM$1006:AN1006),$AM$1006:$BM$1006,0)), HYPERLINK("#",""), HYPERLINK(CONCATENATE("#metadata!", ADDRESS(INDEX($AH$2:$AH$1001,MATCH(ROWS($AF$2:AF25),$AF$2:$AF$1001,0),0), INDEX($AM$1004:$BM$1004,1,MATCH(COLUMNS($AM$1006:AN1006),$AM$1006:$BM$1006,0)))),"Fix")))</f>
        <v xml:space="preserve"> </v>
      </c>
      <c r="D25" s="4" t="str">
        <f ca="1">IF(OR(INDEX($AG$2:$AG$1001,MATCH(ROWS($AF$2:AF25),$AF$2:$AF$1001,0),1)&gt;=100000,INDEX($AM$1005:$BM$1005,1,MATCH(COLUMNS($AM$1006:AO1006),$AM$1006:$BM$1006,0))&gt;=100000), " ",IF(INDEX($AM$2:$BM$1001,MATCH(ROWS($AF$2:AF25),$AF$2:$AF$1001,0),MATCH(COLUMNS($AM$1006:AO1006),$AM$1006:$BM$1006,0)), HYPERLINK("#",""), HYPERLINK(CONCATENATE("#metadata!", ADDRESS(INDEX($AH$2:$AH$1001,MATCH(ROWS($AF$2:AF25),$AF$2:$AF$1001,0),0), INDEX($AM$1004:$BM$1004,1,MATCH(COLUMNS($AM$1006:AO1006),$AM$1006:$BM$1006,0)))),"Fix")))</f>
        <v xml:space="preserve"> </v>
      </c>
      <c r="E25" s="4" t="str">
        <f ca="1">IF(OR(INDEX($AG$2:$AG$1001,MATCH(ROWS($AF$2:AF25),$AF$2:$AF$1001,0),1)&gt;=100000,INDEX($AM$1005:$BM$1005,1,MATCH(COLUMNS($AM$1006:AP1006),$AM$1006:$BM$1006,0))&gt;=100000), " ",IF(INDEX($AM$2:$BM$1001,MATCH(ROWS($AF$2:AF25),$AF$2:$AF$1001,0),MATCH(COLUMNS($AM$1006:AP1006),$AM$1006:$BM$1006,0)), HYPERLINK("#",""), HYPERLINK(CONCATENATE("#metadata!", ADDRESS(INDEX($AH$2:$AH$1001,MATCH(ROWS($AF$2:AF25),$AF$2:$AF$1001,0),0), INDEX($AM$1004:$BM$1004,1,MATCH(COLUMNS($AM$1006:AP1006),$AM$1006:$BM$1006,0)))),"Fix")))</f>
        <v xml:space="preserve"> </v>
      </c>
      <c r="F25" s="4" t="str">
        <f ca="1">IF(OR(INDEX($AG$2:$AG$1001,MATCH(ROWS($AF$2:AF25),$AF$2:$AF$1001,0),1)&gt;=100000,INDEX($AM$1005:$BM$1005,1,MATCH(COLUMNS($AM$1006:AQ1006),$AM$1006:$BM$1006,0))&gt;=100000), " ",IF(INDEX($AM$2:$BM$1001,MATCH(ROWS($AF$2:AF25),$AF$2:$AF$1001,0),MATCH(COLUMNS($AM$1006:AQ1006),$AM$1006:$BM$1006,0)), HYPERLINK("#",""), HYPERLINK(CONCATENATE("#metadata!", ADDRESS(INDEX($AH$2:$AH$1001,MATCH(ROWS($AF$2:AF25),$AF$2:$AF$1001,0),0), INDEX($AM$1004:$BM$1004,1,MATCH(COLUMNS($AM$1006:AQ1006),$AM$1006:$BM$1006,0)))),"Fix")))</f>
        <v xml:space="preserve"> </v>
      </c>
      <c r="G25" s="4" t="str">
        <f ca="1">IF(OR(INDEX($AG$2:$AG$1001,MATCH(ROWS($AF$2:AF25),$AF$2:$AF$1001,0),1)&gt;=100000,INDEX($AM$1005:$BM$1005,1,MATCH(COLUMNS($AM$1006:AR1006),$AM$1006:$BM$1006,0))&gt;=100000), " ",IF(INDEX($AM$2:$BM$1001,MATCH(ROWS($AF$2:AF25),$AF$2:$AF$1001,0),MATCH(COLUMNS($AM$1006:AR1006),$AM$1006:$BM$1006,0)), HYPERLINK("#",""), HYPERLINK(CONCATENATE("#metadata!", ADDRESS(INDEX($AH$2:$AH$1001,MATCH(ROWS($AF$2:AF25),$AF$2:$AF$1001,0),0), INDEX($AM$1004:$BM$1004,1,MATCH(COLUMNS($AM$1006:AR1006),$AM$1006:$BM$1006,0)))),"Fix")))</f>
        <v xml:space="preserve"> </v>
      </c>
      <c r="H25" s="4" t="str">
        <f ca="1">IF(OR(INDEX($AG$2:$AG$1001,MATCH(ROWS($AF$2:AF25),$AF$2:$AF$1001,0),1)&gt;=100000,INDEX($AM$1005:$BM$1005,1,MATCH(COLUMNS($AM$1006:AS1006),$AM$1006:$BM$1006,0))&gt;=100000), " ",IF(INDEX($AM$2:$BM$1001,MATCH(ROWS($AF$2:AF25),$AF$2:$AF$1001,0),MATCH(COLUMNS($AM$1006:AS1006),$AM$1006:$BM$1006,0)), HYPERLINK("#",""), HYPERLINK(CONCATENATE("#metadata!", ADDRESS(INDEX($AH$2:$AH$1001,MATCH(ROWS($AF$2:AF25),$AF$2:$AF$1001,0),0), INDEX($AM$1004:$BM$1004,1,MATCH(COLUMNS($AM$1006:AS1006),$AM$1006:$BM$1006,0)))),"Fix")))</f>
        <v xml:space="preserve"> </v>
      </c>
      <c r="I25" s="4" t="str">
        <f ca="1">IF(OR(INDEX($AG$2:$AG$1001,MATCH(ROWS($AF$2:AF25),$AF$2:$AF$1001,0),1)&gt;=100000,INDEX($AM$1005:$BM$1005,1,MATCH(COLUMNS($AM$1006:AT1006),$AM$1006:$BM$1006,0))&gt;=100000), " ",IF(INDEX($AM$2:$BM$1001,MATCH(ROWS($AF$2:AF25),$AF$2:$AF$1001,0),MATCH(COLUMNS($AM$1006:AT1006),$AM$1006:$BM$1006,0)), HYPERLINK("#",""), HYPERLINK(CONCATENATE("#metadata!", ADDRESS(INDEX($AH$2:$AH$1001,MATCH(ROWS($AF$2:AF25),$AF$2:$AF$1001,0),0), INDEX($AM$1004:$BM$1004,1,MATCH(COLUMNS($AM$1006:AT1006),$AM$1006:$BM$1006,0)))),"Fix")))</f>
        <v xml:space="preserve"> </v>
      </c>
      <c r="J25" s="4" t="str">
        <f ca="1">IF(OR(INDEX($AG$2:$AG$1001,MATCH(ROWS($AF$2:AF25),$AF$2:$AF$1001,0),1)&gt;=100000,INDEX($AM$1005:$BM$1005,1,MATCH(COLUMNS($AM$1006:AU1006),$AM$1006:$BM$1006,0))&gt;=100000), " ",IF(INDEX($AM$2:$BM$1001,MATCH(ROWS($AF$2:AF25),$AF$2:$AF$1001,0),MATCH(COLUMNS($AM$1006:AU1006),$AM$1006:$BM$1006,0)), HYPERLINK("#",""), HYPERLINK(CONCATENATE("#metadata!", ADDRESS(INDEX($AH$2:$AH$1001,MATCH(ROWS($AF$2:AF25),$AF$2:$AF$1001,0),0), INDEX($AM$1004:$BM$1004,1,MATCH(COLUMNS($AM$1006:AU1006),$AM$1006:$BM$1006,0)))),"Fix")))</f>
        <v xml:space="preserve"> </v>
      </c>
      <c r="K25" s="4" t="str">
        <f ca="1">IF(OR(INDEX($AG$2:$AG$1001,MATCH(ROWS($AF$2:AF25),$AF$2:$AF$1001,0),1)&gt;=100000,INDEX($AM$1005:$BM$1005,1,MATCH(COLUMNS($AM$1006:AV1006),$AM$1006:$BM$1006,0))&gt;=100000), " ",IF(INDEX($AM$2:$BM$1001,MATCH(ROWS($AF$2:AF25),$AF$2:$AF$1001,0),MATCH(COLUMNS($AM$1006:AV1006),$AM$1006:$BM$1006,0)), HYPERLINK("#",""), HYPERLINK(CONCATENATE("#metadata!", ADDRESS(INDEX($AH$2:$AH$1001,MATCH(ROWS($AF$2:AF25),$AF$2:$AF$1001,0),0), INDEX($AM$1004:$BM$1004,1,MATCH(COLUMNS($AM$1006:AV1006),$AM$1006:$BM$1006,0)))),"Fix")))</f>
        <v xml:space="preserve"> </v>
      </c>
      <c r="L25" s="4" t="str">
        <f ca="1">IF(OR(INDEX($AG$2:$AG$1001,MATCH(ROWS($AF$2:AF25),$AF$2:$AF$1001,0),1)&gt;=100000,INDEX($AM$1005:$BM$1005,1,MATCH(COLUMNS($AM$1006:AW1006),$AM$1006:$BM$1006,0))&gt;=100000), " ",IF(INDEX($AM$2:$BM$1001,MATCH(ROWS($AF$2:AF25),$AF$2:$AF$1001,0),MATCH(COLUMNS($AM$1006:AW1006),$AM$1006:$BM$1006,0)), HYPERLINK("#",""), HYPERLINK(CONCATENATE("#metadata!", ADDRESS(INDEX($AH$2:$AH$1001,MATCH(ROWS($AF$2:AF25),$AF$2:$AF$1001,0),0), INDEX($AM$1004:$BM$1004,1,MATCH(COLUMNS($AM$1006:AW1006),$AM$1006:$BM$1006,0)))),"Fix")))</f>
        <v xml:space="preserve"> </v>
      </c>
      <c r="M25" s="4" t="str">
        <f ca="1">IF(OR(INDEX($AG$2:$AG$1001,MATCH(ROWS($AF$2:AF25),$AF$2:$AF$1001,0),1)&gt;=100000,INDEX($AM$1005:$BM$1005,1,MATCH(COLUMNS($AM$1006:AX1006),$AM$1006:$BM$1006,0))&gt;=100000), " ",IF(INDEX($AM$2:$BM$1001,MATCH(ROWS($AF$2:AF25),$AF$2:$AF$1001,0),MATCH(COLUMNS($AM$1006:AX1006),$AM$1006:$BM$1006,0)), HYPERLINK("#",""), HYPERLINK(CONCATENATE("#metadata!", ADDRESS(INDEX($AH$2:$AH$1001,MATCH(ROWS($AF$2:AF25),$AF$2:$AF$1001,0),0), INDEX($AM$1004:$BM$1004,1,MATCH(COLUMNS($AM$1006:AX1006),$AM$1006:$BM$1006,0)))),"Fix")))</f>
        <v xml:space="preserve"> </v>
      </c>
      <c r="N25" s="4" t="str">
        <f ca="1">IF(OR(INDEX($AG$2:$AG$1001,MATCH(ROWS($AF$2:AF25),$AF$2:$AF$1001,0),1)&gt;=100000,INDEX($AM$1005:$BM$1005,1,MATCH(COLUMNS($AM$1006:AY1006),$AM$1006:$BM$1006,0))&gt;=100000), " ",IF(INDEX($AM$2:$BM$1001,MATCH(ROWS($AF$2:AF25),$AF$2:$AF$1001,0),MATCH(COLUMNS($AM$1006:AY1006),$AM$1006:$BM$1006,0)), HYPERLINK("#",""), HYPERLINK(CONCATENATE("#metadata!", ADDRESS(INDEX($AH$2:$AH$1001,MATCH(ROWS($AF$2:AF25),$AF$2:$AF$1001,0),0), INDEX($AM$1004:$BM$1004,1,MATCH(COLUMNS($AM$1006:AY1006),$AM$1006:$BM$1006,0)))),"Fix")))</f>
        <v xml:space="preserve"> </v>
      </c>
      <c r="O25" s="4" t="str">
        <f ca="1">IF(OR(INDEX($AG$2:$AG$1001,MATCH(ROWS($AF$2:AF25),$AF$2:$AF$1001,0),1)&gt;=100000,INDEX($AM$1005:$BM$1005,1,MATCH(COLUMNS($AM$1006:AZ1006),$AM$1006:$BM$1006,0))&gt;=100000), " ",IF(INDEX($AM$2:$BM$1001,MATCH(ROWS($AF$2:AF25),$AF$2:$AF$1001,0),MATCH(COLUMNS($AM$1006:AZ1006),$AM$1006:$BM$1006,0)), HYPERLINK("#",""), HYPERLINK(CONCATENATE("#metadata!", ADDRESS(INDEX($AH$2:$AH$1001,MATCH(ROWS($AF$2:AF25),$AF$2:$AF$1001,0),0), INDEX($AM$1004:$BM$1004,1,MATCH(COLUMNS($AM$1006:AZ1006),$AM$1006:$BM$1006,0)))),"Fix")))</f>
        <v xml:space="preserve"> </v>
      </c>
      <c r="P25" s="4" t="str">
        <f ca="1">IF(OR(INDEX($AG$2:$AG$1001,MATCH(ROWS($AF$2:AF25),$AF$2:$AF$1001,0),1)&gt;=100000,INDEX($AM$1005:$BM$1005,1,MATCH(COLUMNS($AM$1006:BA1006),$AM$1006:$BM$1006,0))&gt;=100000), " ",IF(INDEX($AM$2:$BM$1001,MATCH(ROWS($AF$2:AF25),$AF$2:$AF$1001,0),MATCH(COLUMNS($AM$1006:BA1006),$AM$1006:$BM$1006,0)), HYPERLINK("#",""), HYPERLINK(CONCATENATE("#metadata!", ADDRESS(INDEX($AH$2:$AH$1001,MATCH(ROWS($AF$2:AF25),$AF$2:$AF$1001,0),0), INDEX($AM$1004:$BM$1004,1,MATCH(COLUMNS($AM$1006:BA1006),$AM$1006:$BM$1006,0)))),"Fix")))</f>
        <v xml:space="preserve"> </v>
      </c>
      <c r="Q25" s="4" t="str">
        <f ca="1">IF(OR(INDEX($AG$2:$AG$1001,MATCH(ROWS($AF$2:AF25),$AF$2:$AF$1001,0),1)&gt;=100000,INDEX($AM$1005:$BM$1005,1,MATCH(COLUMNS($AM$1006:BB1006),$AM$1006:$BM$1006,0))&gt;=100000), " ",IF(INDEX($AM$2:$BM$1001,MATCH(ROWS($AF$2:AF25),$AF$2:$AF$1001,0),MATCH(COLUMNS($AM$1006:BB1006),$AM$1006:$BM$1006,0)), HYPERLINK("#",""), HYPERLINK(CONCATENATE("#metadata!", ADDRESS(INDEX($AH$2:$AH$1001,MATCH(ROWS($AF$2:AF25),$AF$2:$AF$1001,0),0), INDEX($AM$1004:$BM$1004,1,MATCH(COLUMNS($AM$1006:BB1006),$AM$1006:$BM$1006,0)))),"Fix")))</f>
        <v xml:space="preserve"> </v>
      </c>
      <c r="R25" s="4" t="str">
        <f ca="1">IF(OR(INDEX($AG$2:$AG$1001,MATCH(ROWS($AF$2:AF25),$AF$2:$AF$1001,0),1)&gt;=100000,INDEX($AM$1005:$BM$1005,1,MATCH(COLUMNS($AM$1006:BC1006),$AM$1006:$BM$1006,0))&gt;=100000), " ",IF(INDEX($AM$2:$BM$1001,MATCH(ROWS($AF$2:AF25),$AF$2:$AF$1001,0),MATCH(COLUMNS($AM$1006:BC1006),$AM$1006:$BM$1006,0)), HYPERLINK("#",""), HYPERLINK(CONCATENATE("#metadata!", ADDRESS(INDEX($AH$2:$AH$1001,MATCH(ROWS($AF$2:AF25),$AF$2:$AF$1001,0),0), INDEX($AM$1004:$BM$1004,1,MATCH(COLUMNS($AM$1006:BC1006),$AM$1006:$BM$1006,0)))),"Fix")))</f>
        <v xml:space="preserve"> </v>
      </c>
      <c r="S25" s="4" t="str">
        <f ca="1">IF(OR(INDEX($AG$2:$AG$1001,MATCH(ROWS($AF$2:AF25),$AF$2:$AF$1001,0),1)&gt;=100000,INDEX($AM$1005:$BM$1005,1,MATCH(COLUMNS($AM$1006:BD1006),$AM$1006:$BM$1006,0))&gt;=100000), " ",IF(INDEX($AM$2:$BM$1001,MATCH(ROWS($AF$2:AF25),$AF$2:$AF$1001,0),MATCH(COLUMNS($AM$1006:BD1006),$AM$1006:$BM$1006,0)), HYPERLINK("#",""), HYPERLINK(CONCATENATE("#metadata!", ADDRESS(INDEX($AH$2:$AH$1001,MATCH(ROWS($AF$2:AF25),$AF$2:$AF$1001,0),0), INDEX($AM$1004:$BM$1004,1,MATCH(COLUMNS($AM$1006:BD1006),$AM$1006:$BM$1006,0)))),"Fix")))</f>
        <v xml:space="preserve"> </v>
      </c>
      <c r="T25" s="4" t="str">
        <f ca="1">IF(OR(INDEX($AG$2:$AG$1001,MATCH(ROWS($AF$2:AF25),$AF$2:$AF$1001,0),1)&gt;=100000,INDEX($AM$1005:$BM$1005,1,MATCH(COLUMNS($AM$1006:BE1006),$AM$1006:$BM$1006,0))&gt;=100000), " ",IF(INDEX($AM$2:$BM$1001,MATCH(ROWS($AF$2:AF25),$AF$2:$AF$1001,0),MATCH(COLUMNS($AM$1006:BE1006),$AM$1006:$BM$1006,0)), HYPERLINK("#",""), HYPERLINK(CONCATENATE("#metadata!", ADDRESS(INDEX($AH$2:$AH$1001,MATCH(ROWS($AF$2:AF25),$AF$2:$AF$1001,0),0), INDEX($AM$1004:$BM$1004,1,MATCH(COLUMNS($AM$1006:BE1006),$AM$1006:$BM$1006,0)))),"Fix")))</f>
        <v xml:space="preserve"> </v>
      </c>
      <c r="U25" s="4" t="str">
        <f ca="1">IF(OR(INDEX($AG$2:$AG$1001,MATCH(ROWS($AF$2:AF25),$AF$2:$AF$1001,0),1)&gt;=100000,INDEX($AM$1005:$BM$1005,1,MATCH(COLUMNS($AM$1006:BF1006),$AM$1006:$BM$1006,0))&gt;=100000), " ",IF(INDEX($AM$2:$BM$1001,MATCH(ROWS($AF$2:AF25),$AF$2:$AF$1001,0),MATCH(COLUMNS($AM$1006:BF1006),$AM$1006:$BM$1006,0)), HYPERLINK("#",""), HYPERLINK(CONCATENATE("#metadata!", ADDRESS(INDEX($AH$2:$AH$1001,MATCH(ROWS($AF$2:AF25),$AF$2:$AF$1001,0),0), INDEX($AM$1004:$BM$1004,1,MATCH(COLUMNS($AM$1006:BF1006),$AM$1006:$BM$1006,0)))),"Fix")))</f>
        <v xml:space="preserve"> </v>
      </c>
      <c r="V25" s="4" t="str">
        <f ca="1">IF(OR(INDEX($AG$2:$AG$1001,MATCH(ROWS($AF$2:AF25),$AF$2:$AF$1001,0),1)&gt;=100000,INDEX($AM$1005:$BM$1005,1,MATCH(COLUMNS($AM$1006:BG1006),$AM$1006:$BM$1006,0))&gt;=100000), " ",IF(INDEX($AM$2:$BM$1001,MATCH(ROWS($AF$2:AF25),$AF$2:$AF$1001,0),MATCH(COLUMNS($AM$1006:BG1006),$AM$1006:$BM$1006,0)), HYPERLINK("#",""), HYPERLINK(CONCATENATE("#metadata!", ADDRESS(INDEX($AH$2:$AH$1001,MATCH(ROWS($AF$2:AF25),$AF$2:$AF$1001,0),0), INDEX($AM$1004:$BM$1004,1,MATCH(COLUMNS($AM$1006:BG1006),$AM$1006:$BM$1006,0)))),"Fix")))</f>
        <v xml:space="preserve"> </v>
      </c>
      <c r="W25" s="4" t="str">
        <f ca="1">IF(OR(INDEX($AG$2:$AG$1001,MATCH(ROWS($AF$2:AF25),$AF$2:$AF$1001,0),1)&gt;=100000,INDEX($AM$1005:$BM$1005,1,MATCH(COLUMNS($AM$1006:BH1006),$AM$1006:$BM$1006,0))&gt;=100000), " ",IF(INDEX($AM$2:$BM$1001,MATCH(ROWS($AF$2:AF25),$AF$2:$AF$1001,0),MATCH(COLUMNS($AM$1006:BH1006),$AM$1006:$BM$1006,0)), HYPERLINK("#",""), HYPERLINK(CONCATENATE("#metadata!", ADDRESS(INDEX($AH$2:$AH$1001,MATCH(ROWS($AF$2:AF25),$AF$2:$AF$1001,0),0), INDEX($AM$1004:$BM$1004,1,MATCH(COLUMNS($AM$1006:BH1006),$AM$1006:$BM$1006,0)))),"Fix")))</f>
        <v xml:space="preserve"> </v>
      </c>
      <c r="X25" s="4" t="str">
        <f ca="1">IF(OR(INDEX($AG$2:$AG$1001,MATCH(ROWS($AF$2:AF25),$AF$2:$AF$1001,0),1)&gt;=100000,INDEX($AM$1005:$BM$1005,1,MATCH(COLUMNS($AM$1006:BI1006),$AM$1006:$BM$1006,0))&gt;=100000), " ",IF(INDEX($AM$2:$BM$1001,MATCH(ROWS($AF$2:AF25),$AF$2:$AF$1001,0),MATCH(COLUMNS($AM$1006:BI1006),$AM$1006:$BM$1006,0)), HYPERLINK("#",""), HYPERLINK(CONCATENATE("#metadata!", ADDRESS(INDEX($AH$2:$AH$1001,MATCH(ROWS($AF$2:AF25),$AF$2:$AF$1001,0),0), INDEX($AM$1004:$BM$1004,1,MATCH(COLUMNS($AM$1006:BI1006),$AM$1006:$BM$1006,0)))),"Fix")))</f>
        <v xml:space="preserve"> </v>
      </c>
      <c r="Y25" s="4" t="str">
        <f ca="1">IF(OR(INDEX($AG$2:$AG$1001,MATCH(ROWS($AF$2:AF25),$AF$2:$AF$1001,0),1)&gt;=100000,INDEX($AM$1005:$BM$1005,1,MATCH(COLUMNS($AM$1006:BJ1006),$AM$1006:$BM$1006,0))&gt;=100000), " ",IF(INDEX($AM$2:$BM$1001,MATCH(ROWS($AF$2:AF25),$AF$2:$AF$1001,0),MATCH(COLUMNS($AM$1006:BJ1006),$AM$1006:$BM$1006,0)), HYPERLINK("#",""), HYPERLINK(CONCATENATE("#metadata!", ADDRESS(INDEX($AH$2:$AH$1001,MATCH(ROWS($AF$2:AF25),$AF$2:$AF$1001,0),0), INDEX($AM$1004:$BM$1004,1,MATCH(COLUMNS($AM$1006:BJ1006),$AM$1006:$BM$1006,0)))),"Fix")))</f>
        <v xml:space="preserve"> </v>
      </c>
      <c r="Z25" s="4" t="str">
        <f ca="1">IF(OR(INDEX($AG$2:$AG$1001,MATCH(ROWS($AF$2:AF25),$AF$2:$AF$1001,0),1)&gt;=100000,INDEX($AM$1005:$BM$1005,1,MATCH(COLUMNS($AM$1006:BK1006),$AM$1006:$BM$1006,0))&gt;=100000), " ",IF(INDEX($AM$2:$BM$1001,MATCH(ROWS($AF$2:AF25),$AF$2:$AF$1001,0),MATCH(COLUMNS($AM$1006:BK1006),$AM$1006:$BM$1006,0)), HYPERLINK("#",""), HYPERLINK(CONCATENATE("#metadata!", ADDRESS(INDEX($AH$2:$AH$1001,MATCH(ROWS($AF$2:AF25),$AF$2:$AF$1001,0),0), INDEX($AM$1004:$BM$1004,1,MATCH(COLUMNS($AM$1006:BK1006),$AM$1006:$BM$1006,0)))),"Fix")))</f>
        <v xml:space="preserve"> </v>
      </c>
      <c r="AA25" s="4" t="str">
        <f ca="1">IF(OR(INDEX($AG$2:$AG$1001,MATCH(ROWS($AF$2:AF25),$AF$2:$AF$1001,0),1)&gt;=100000,INDEX($AM$1005:$BM$1005,1,MATCH(COLUMNS($AM$1006:BL1006),$AM$1006:$BM$1006,0))&gt;=100000), " ",IF(INDEX($AM$2:$BM$1001,MATCH(ROWS($AF$2:AF25),$AF$2:$AF$1001,0),MATCH(COLUMNS($AM$1006:BL1006),$AM$1006:$BM$1006,0)), HYPERLINK("#",""), HYPERLINK(CONCATENATE("#metadata!", ADDRESS(INDEX($AH$2:$AH$1001,MATCH(ROWS($AF$2:AF25),$AF$2:$AF$1001,0),0), INDEX($AM$1004:$BM$1004,1,MATCH(COLUMNS($AM$1006:BL1006),$AM$1006:$BM$1006,0)))),"Fix")))</f>
        <v xml:space="preserve"> </v>
      </c>
      <c r="AB25" s="4" t="str">
        <f ca="1">IF(OR(INDEX($AG$2:$AG$1001,MATCH(ROWS($AF$2:AF25),$AF$2:$AF$1001,0),1)&gt;=100000,INDEX($AM$1005:$BM$1005,1,MATCH(COLUMNS($AM$1006:BM1006),$AM$1006:$BM$1006,0))&gt;=100000), " ",IF(INDEX($AM$2:$BM$1001,MATCH(ROWS($AF$2:AF25),$AF$2:$AF$1001,0),MATCH(COLUMNS($AM$1006:BM1006),$AM$1006:$BM$1006,0)), HYPERLINK("#",""), HYPERLINK(CONCATENATE("#metadata!", ADDRESS(INDEX($AH$2:$AH$1001,MATCH(ROWS($AF$2:AF25),$AF$2:$AF$1001,0),0), INDEX($AM$1004:$BM$1004,1,MATCH(COLUMNS($AM$1006:BM1006),$AM$1006:$BM$1006,0)))),"Fix")))</f>
        <v xml:space="preserve"> </v>
      </c>
      <c r="AF25">
        <v>24</v>
      </c>
      <c r="AG25">
        <v>100025</v>
      </c>
      <c r="AH25">
        <v>25</v>
      </c>
      <c r="AI25" t="b">
        <f t="shared" si="0"/>
        <v>1</v>
      </c>
      <c r="AJ25" t="b">
        <f>COUNTBLANK(metadata!B25:AB25)=COLUMNS(metadata!B25:AB25)</f>
        <v>1</v>
      </c>
      <c r="AK25" t="str">
        <v/>
      </c>
      <c r="AM25" t="b">
        <f ca="1">AND(IF(metadata!B25="",FALSE,TRUE),COUNTIF(metadata!B:B, metadata!B25) = 1,NOT(ISERROR(SUMPRODUCT(SEARCH(MID(metadata!B25,ROW(INDIRECT("1:"&amp;LEN(metadata!B25))), 1),"0123456789abcdefghijklmnopqrstuvwxyzABCDEFGHIJKLMNOPQRSTUVWXYZ.")))))</f>
        <v>0</v>
      </c>
      <c r="AN25" t="b">
        <f ca="1">OR(AND(IF(metadata!C25="",FALSE,TRUE),OR(EXACT(metadata!C25,"missing: not collected"),EXACT(metadata!C25,"missing: not provided"),EXACT(metadata!C25,"missing: restricted access"))),AND(IF(metadata!C25="",FALSE,TRUE),AND(AND(IFERROR(INT(LEFT(metadata!C25,4))&gt;1900,FALSE),IFERROR(INT(LEFT(metadata!C25,4))&lt;=YEAR(NOW()),FALSE)), OR(MID(metadata!C25,5,1)="", AND(AND(MID(metadata!C25,5,1)="-",IFERROR(INT(MID(metadata!C25,6,1))&gt;=0,FALSE),IFERROR(INT(MID(metadata!C25,6,1))&lt;=1,FALSE),NOT(MID(metadata!C25,7,1)=""),IFERROR(INT(MID(metadata!C25,6,2))&gt;=1,FALSE),IFERROR(INT(MID(metadata!C25,6,2))&lt;=12,FALSE)), OR(MID(metadata!C25,8,1)="", AND(AND(MID(metadata!C25,8,1)="-",IFERROR(INT(MID(metadata!C25,9,1))&gt;=0,FALSE),IFERROR(INT(MID(metadata!C25,9,1))&lt;=3,FALSE),NOT(MID(metadata!C25,10,1)=""),IFERROR(INT(MID(metadata!C25,9,2))&gt;=1,FALSE),IFERROR(INT(MID(metadata!C25,9,2))&lt;=31,FALSE)), OR(MID(metadata!C25,11,1)="", AND(AND(MID(metadata!C25,11,1)=" ",IFERROR(INT(MID(metadata!C25,12,1))&gt;=0,FALSE),IFERROR(INT(MID(metadata!C25,12,1))&lt;=2,FALSE),NOT(MID(metadata!C25,13,1)=""),IFERROR(INT(MID(metadata!C25,12,2))&gt;=0,FALSE),IFERROR(INT(MID(metadata!C25,12,2))&lt;=23,FALSE)), OR(MID(metadata!C25,14,1)="", AND(AND(MID(metadata!C25,14,1)=":",IFERROR(INT(MID(metadata!C25,15,1))&gt;=0,FALSE),IFERROR(INT(MID(metadata!C25,15,1))&lt;=5,FALSE),NOT(MID(metadata!C25,16,1)=""),IFERROR(INT(MID(metadata!C25,15,2))&gt;=0,FALSE),IFERROR(INT(MID(metadata!C25,15,2))&lt;=59,FALSE)), OR(MID(metadata!C25,17,1)="", AND(AND(MID(metadata!C25,17,1)=":",IFERROR(INT(MID(metadata!C25,18,1))&gt;=0,FALSE),IFERROR(INT(MID(metadata!C25,18,1))&lt;=5,FALSE),NOT(MID(metadata!C25,19,1)=""),IFERROR(INT(MID(metadata!C25,18,2))&gt;=0,FALSE),IFERROR(INT(MID(metadata!C25,18,2))&lt;=59,FALSE)), LEN(metadata!C25)&lt;=19)))))))))))))</f>
        <v>0</v>
      </c>
      <c r="AO25" t="b">
        <f>AND(IF(metadata!D25="",FALSE,TRUE),EXACT(metadata!D25,"Not applicable"))</f>
        <v>0</v>
      </c>
      <c r="AP25" t="b">
        <f>IF(metadata!E25="",FALSE,TRUE)</f>
        <v>0</v>
      </c>
      <c r="AQ25" t="b">
        <f>OR(AND(IF(metadata!F25="",FALSE,TRUE),OR(EXACT(metadata!F25,"missing: not collected"),EXACT(metadata!F25,"missing: not provided"))),AND(IF(metadata!F25="",FALSE,TRUE),OR(EXACT(metadata!F25,"TRUE"),EXACT(metadata!F25,"FALSE"))))</f>
        <v>0</v>
      </c>
      <c r="AR25" t="b">
        <f>OR(AND(IF(metadata!G25="",FALSE,TRUE),OR(EXACT(metadata!G25,"missing: not collected"),EXACT(metadata!G25,"missing: not provided"),EXACT(metadata!G25,"missing: restricted access"))),AND(IF(metadata!G25="",FALSE,ISNUMBER(VALUE(metadata!G25))),metadata!G25&gt;=-413))</f>
        <v>0</v>
      </c>
      <c r="AS25" t="b">
        <f>AND(IF(metadata!H25="",FALSE,TRUE),EXACT(metadata!H25,"meters"))</f>
        <v>0</v>
      </c>
      <c r="AT25" t="b">
        <f>AND(IF(metadata!I25="",FALSE,TRUE),OR(EXACT(metadata!I25,"Host-associated"),EXACT(metadata!I25,"Free-living")))</f>
        <v>0</v>
      </c>
      <c r="AU25" t="b">
        <f>AND(IF(metadata!J25="",FALSE,TRUE),OR(EXACT(metadata!J25,"Animal"),EXACT(metadata!J25,"Fungus"),EXACT(metadata!J25,"Plant"),EXACT(metadata!J25,"Saline"),EXACT(metadata!J25,"Non-saline")))</f>
        <v>0</v>
      </c>
      <c r="AV25" t="b">
        <f>AND(IF(metadata!K25="",FALSE,TRUE),OR(EXACT(metadata!K25,"Plant secretion"),EXACT(metadata!K25,"Plant rhizosphere"),EXACT(metadata!K25,"Plant surface"),EXACT(metadata!K25,"Plant corpus"),EXACT(metadata!K25,"Fungus surface"),EXACT(metadata!K25,"Fungus corpus"),EXACT(metadata!K25,"Animal surface"),EXACT(metadata!K25,"Animal proximal gut"),EXACT(metadata!K25,"Animal corpus"),EXACT(metadata!K25,"Animal distal gut"),EXACT(metadata!K25,"Animal secretion"),EXACT(metadata!K25,"Sub-surface (non-saline)"),EXACT(metadata!K25,"Surface (non-saline)"),EXACT(metadata!K25,"Water (non-saline)"),EXACT(metadata!K25,"Soil (non-saline)"),EXACT(metadata!K25,"Aerosol (non-saline)"),EXACT(metadata!K25,"Sediment (non-saline)"),EXACT(metadata!K25,"Surface (saline)"),EXACT(metadata!K25,"Water (saline)"),EXACT(metadata!K25,"Hypersaline (saline)"),EXACT(metadata!K25,"Aerosol (saline)"),EXACT(metadata!K25,"Sediment (saline)")))</f>
        <v>0</v>
      </c>
      <c r="AW25" t="b">
        <f>IF(metadata!L25="",FALSE,TRUE)</f>
        <v>0</v>
      </c>
      <c r="AX25" t="b">
        <f>IF(metadata!M25="",FALSE,TRUE)</f>
        <v>0</v>
      </c>
      <c r="AY25" t="b">
        <f>IF(metadata!N25="",FALSE,TRUE)</f>
        <v>0</v>
      </c>
      <c r="AZ25" t="b">
        <f>OR(AND(IF(metadata!O25="",FALSE,TRUE),OR(EXACT(metadata!O25,"missing: not collected"),EXACT(metadata!O25,"missing: not provided"),EXACT(metadata!O25,"missing: restricted access"))),AND(IF(metadata!O25="",FALSE,TRUE),OR(EXACT(metadata!O25,"air"),EXACT(metadata!O25,"built environment"),EXACT(metadata!O25,"host-associated"),EXACT(metadata!O25,"human-associated"),EXACT(metadata!O25,"human-skin"),EXACT(metadata!O25,"human-oral"),EXACT(metadata!O25,"human-gut"),EXACT(metadata!O25,"human-vaginal"),EXACT(metadata!O25,"microbial mat/biofilm"),EXACT(metadata!O25,"misc environment"),EXACT(metadata!O25,"plant-associated"),EXACT(metadata!O25,"sediment"),EXACT(metadata!O25,"soil"),EXACT(metadata!O25,"wastewater/sludge"),EXACT(metadata!O25,"water"))))</f>
        <v>0</v>
      </c>
      <c r="BA25" t="b">
        <f>IF(metadata!P25="",FALSE,TRUE)</f>
        <v>0</v>
      </c>
      <c r="BB25" t="b">
        <f>IF(metadata!Q25="",FALSE,TRUE)</f>
        <v>0</v>
      </c>
      <c r="BC25" t="b">
        <f>OR(AND(IF(metadata!R25="",FALSE,TRUE),OR(EXACT(metadata!R25,"missing: not collected"),EXACT(metadata!R25,"missing: not provided"),EXACT(metadata!R25,"missing: restricted access"))),AND(IF(metadata!R25="",FALSE,ISNUMBER(VALUE(metadata!R25))),metadata!R25&gt;=-90,metadata!R25&lt;=90))</f>
        <v>0</v>
      </c>
      <c r="BD25" t="b">
        <f>AND(IF(metadata!S25="",FALSE,TRUE),EXACT(metadata!S25,"Decimal degrees"))</f>
        <v>0</v>
      </c>
      <c r="BE25" t="b">
        <f>OR(AND(IF(metadata!T25="",FALSE,TRUE),OR(EXACT(metadata!T25,"missing: not collected"),EXACT(metadata!T25,"missing: not provided"),EXACT(metadata!T25,"missing: restricted access"))),AND(IF(metadata!T25="",FALSE,ISNUMBER(VALUE(metadata!T25))),metadata!T25&gt;=-180,metadata!T25&lt;=180))</f>
        <v>0</v>
      </c>
      <c r="BF25" t="b">
        <f>AND(IF(metadata!U25="",FALSE,TRUE),EXACT(metadata!U25,"Decimal degrees"))</f>
        <v>0</v>
      </c>
      <c r="BG25" t="b">
        <f>IF(metadata!V25="",FALSE,TRUE)</f>
        <v>0</v>
      </c>
      <c r="BH25" t="b">
        <f>OR(AND(IF(metadata!W25="",FALSE,TRUE),OR(EXACT(metadata!W25,"missing: not collected"),EXACT(metadata!W25,"missing: not provided"),EXACT(metadata!W25,"missing: restricted access"))),AND(IF(metadata!W25="",FALSE,TRUE),OR(EXACT(metadata!W25,"TRUE"),EXACT(metadata!W25,"FALSE"))))</f>
        <v>0</v>
      </c>
      <c r="BI25" t="b">
        <f>AND(IF(metadata!X25="",FALSE,TRUE),EXACT(metadata!X25,"other"))</f>
        <v>0</v>
      </c>
      <c r="BJ25" t="b">
        <f>IF(metadata!Y25="",FALSE,TRUE)</f>
        <v>0</v>
      </c>
      <c r="BK25" t="b">
        <f>OR(AND(IF(metadata!Z25="",FALSE,TRUE),OR(EXACT(metadata!Z25,"missing: not collected"),EXACT(metadata!Z25,"missing: not provided"))),AND(IF(metadata!Z25="",FALSE,IF(ISERROR(INT(metadata!Z25)),FALSE,INT(metadata!Z25)=metadata!Z25)),metadata!Z25&gt;0))</f>
        <v>0</v>
      </c>
      <c r="BL25" t="b">
        <f>AND(IF(metadata!AA25="",FALSE,TRUE),EXACT(metadata!AA25,"Not applicable"))</f>
        <v>0</v>
      </c>
      <c r="BM25" t="b">
        <f>IF(metadata!AB25="",FALSE,TRUE)</f>
        <v>0</v>
      </c>
    </row>
    <row r="26" spans="1:65" x14ac:dyDescent="0.2">
      <c r="A26" s="5" t="str">
        <f ca="1">IF(B26=" "," ",HYPERLINK(CONCATENATE("#metadata!",ADDRESS(INDEX($AH$2:$AH$1001,MATCH(ROWS($AF$2:AF26),$AF$2:$AF$1001,0),0),1)),INDEX($AK$2:$AK$1001,MATCH(ROWS($AF$2:AF26),$AF$2:$AF$1001,0),0)))</f>
        <v xml:space="preserve"> </v>
      </c>
      <c r="B26" s="4" t="str">
        <f ca="1">IF(OR(INDEX($AG$2:$AG$1001,MATCH(ROWS($AF$2:AF26),$AF$2:$AF$1001,0),1)&gt;=100000,INDEX($AM$1005:$BM$1005,1,MATCH(COLUMNS($AM$1006:AM1006),$AM$1006:$BM$1006,0))&gt;=100000), " ",IF(INDEX($AM$2:$BM$1001,MATCH(ROWS($AF$2:AF26),$AF$2:$AF$1001,0),MATCH(COLUMNS($AM$1006:AM1006),$AM$1006:$BM$1006,0)), HYPERLINK("#",""), HYPERLINK(CONCATENATE("#metadata!", ADDRESS(INDEX($AH$2:$AH$1001,MATCH(ROWS($AF$2:AF26),$AF$2:$AF$1001,0),0), INDEX($AM$1004:$BM$1004,1,MATCH(COLUMNS($AM$1006:AM1006),$AM$1006:$BM$1006,0)))),"Fix")))</f>
        <v xml:space="preserve"> </v>
      </c>
      <c r="C26" s="4" t="str">
        <f ca="1">IF(OR(INDEX($AG$2:$AG$1001,MATCH(ROWS($AF$2:AF26),$AF$2:$AF$1001,0),1)&gt;=100000,INDEX($AM$1005:$BM$1005,1,MATCH(COLUMNS($AM$1006:AN1006),$AM$1006:$BM$1006,0))&gt;=100000), " ",IF(INDEX($AM$2:$BM$1001,MATCH(ROWS($AF$2:AF26),$AF$2:$AF$1001,0),MATCH(COLUMNS($AM$1006:AN1006),$AM$1006:$BM$1006,0)), HYPERLINK("#",""), HYPERLINK(CONCATENATE("#metadata!", ADDRESS(INDEX($AH$2:$AH$1001,MATCH(ROWS($AF$2:AF26),$AF$2:$AF$1001,0),0), INDEX($AM$1004:$BM$1004,1,MATCH(COLUMNS($AM$1006:AN1006),$AM$1006:$BM$1006,0)))),"Fix")))</f>
        <v xml:space="preserve"> </v>
      </c>
      <c r="D26" s="4" t="str">
        <f ca="1">IF(OR(INDEX($AG$2:$AG$1001,MATCH(ROWS($AF$2:AF26),$AF$2:$AF$1001,0),1)&gt;=100000,INDEX($AM$1005:$BM$1005,1,MATCH(COLUMNS($AM$1006:AO1006),$AM$1006:$BM$1006,0))&gt;=100000), " ",IF(INDEX($AM$2:$BM$1001,MATCH(ROWS($AF$2:AF26),$AF$2:$AF$1001,0),MATCH(COLUMNS($AM$1006:AO1006),$AM$1006:$BM$1006,0)), HYPERLINK("#",""), HYPERLINK(CONCATENATE("#metadata!", ADDRESS(INDEX($AH$2:$AH$1001,MATCH(ROWS($AF$2:AF26),$AF$2:$AF$1001,0),0), INDEX($AM$1004:$BM$1004,1,MATCH(COLUMNS($AM$1006:AO1006),$AM$1006:$BM$1006,0)))),"Fix")))</f>
        <v xml:space="preserve"> </v>
      </c>
      <c r="E26" s="4" t="str">
        <f ca="1">IF(OR(INDEX($AG$2:$AG$1001,MATCH(ROWS($AF$2:AF26),$AF$2:$AF$1001,0),1)&gt;=100000,INDEX($AM$1005:$BM$1005,1,MATCH(COLUMNS($AM$1006:AP1006),$AM$1006:$BM$1006,0))&gt;=100000), " ",IF(INDEX($AM$2:$BM$1001,MATCH(ROWS($AF$2:AF26),$AF$2:$AF$1001,0),MATCH(COLUMNS($AM$1006:AP1006),$AM$1006:$BM$1006,0)), HYPERLINK("#",""), HYPERLINK(CONCATENATE("#metadata!", ADDRESS(INDEX($AH$2:$AH$1001,MATCH(ROWS($AF$2:AF26),$AF$2:$AF$1001,0),0), INDEX($AM$1004:$BM$1004,1,MATCH(COLUMNS($AM$1006:AP1006),$AM$1006:$BM$1006,0)))),"Fix")))</f>
        <v xml:space="preserve"> </v>
      </c>
      <c r="F26" s="4" t="str">
        <f ca="1">IF(OR(INDEX($AG$2:$AG$1001,MATCH(ROWS($AF$2:AF26),$AF$2:$AF$1001,0),1)&gt;=100000,INDEX($AM$1005:$BM$1005,1,MATCH(COLUMNS($AM$1006:AQ1006),$AM$1006:$BM$1006,0))&gt;=100000), " ",IF(INDEX($AM$2:$BM$1001,MATCH(ROWS($AF$2:AF26),$AF$2:$AF$1001,0),MATCH(COLUMNS($AM$1006:AQ1006),$AM$1006:$BM$1006,0)), HYPERLINK("#",""), HYPERLINK(CONCATENATE("#metadata!", ADDRESS(INDEX($AH$2:$AH$1001,MATCH(ROWS($AF$2:AF26),$AF$2:$AF$1001,0),0), INDEX($AM$1004:$BM$1004,1,MATCH(COLUMNS($AM$1006:AQ1006),$AM$1006:$BM$1006,0)))),"Fix")))</f>
        <v xml:space="preserve"> </v>
      </c>
      <c r="G26" s="4" t="str">
        <f ca="1">IF(OR(INDEX($AG$2:$AG$1001,MATCH(ROWS($AF$2:AF26),$AF$2:$AF$1001,0),1)&gt;=100000,INDEX($AM$1005:$BM$1005,1,MATCH(COLUMNS($AM$1006:AR1006),$AM$1006:$BM$1006,0))&gt;=100000), " ",IF(INDEX($AM$2:$BM$1001,MATCH(ROWS($AF$2:AF26),$AF$2:$AF$1001,0),MATCH(COLUMNS($AM$1006:AR1006),$AM$1006:$BM$1006,0)), HYPERLINK("#",""), HYPERLINK(CONCATENATE("#metadata!", ADDRESS(INDEX($AH$2:$AH$1001,MATCH(ROWS($AF$2:AF26),$AF$2:$AF$1001,0),0), INDEX($AM$1004:$BM$1004,1,MATCH(COLUMNS($AM$1006:AR1006),$AM$1006:$BM$1006,0)))),"Fix")))</f>
        <v xml:space="preserve"> </v>
      </c>
      <c r="H26" s="4" t="str">
        <f ca="1">IF(OR(INDEX($AG$2:$AG$1001,MATCH(ROWS($AF$2:AF26),$AF$2:$AF$1001,0),1)&gt;=100000,INDEX($AM$1005:$BM$1005,1,MATCH(COLUMNS($AM$1006:AS1006),$AM$1006:$BM$1006,0))&gt;=100000), " ",IF(INDEX($AM$2:$BM$1001,MATCH(ROWS($AF$2:AF26),$AF$2:$AF$1001,0),MATCH(COLUMNS($AM$1006:AS1006),$AM$1006:$BM$1006,0)), HYPERLINK("#",""), HYPERLINK(CONCATENATE("#metadata!", ADDRESS(INDEX($AH$2:$AH$1001,MATCH(ROWS($AF$2:AF26),$AF$2:$AF$1001,0),0), INDEX($AM$1004:$BM$1004,1,MATCH(COLUMNS($AM$1006:AS1006),$AM$1006:$BM$1006,0)))),"Fix")))</f>
        <v xml:space="preserve"> </v>
      </c>
      <c r="I26" s="4" t="str">
        <f ca="1">IF(OR(INDEX($AG$2:$AG$1001,MATCH(ROWS($AF$2:AF26),$AF$2:$AF$1001,0),1)&gt;=100000,INDEX($AM$1005:$BM$1005,1,MATCH(COLUMNS($AM$1006:AT1006),$AM$1006:$BM$1006,0))&gt;=100000), " ",IF(INDEX($AM$2:$BM$1001,MATCH(ROWS($AF$2:AF26),$AF$2:$AF$1001,0),MATCH(COLUMNS($AM$1006:AT1006),$AM$1006:$BM$1006,0)), HYPERLINK("#",""), HYPERLINK(CONCATENATE("#metadata!", ADDRESS(INDEX($AH$2:$AH$1001,MATCH(ROWS($AF$2:AF26),$AF$2:$AF$1001,0),0), INDEX($AM$1004:$BM$1004,1,MATCH(COLUMNS($AM$1006:AT1006),$AM$1006:$BM$1006,0)))),"Fix")))</f>
        <v xml:space="preserve"> </v>
      </c>
      <c r="J26" s="4" t="str">
        <f ca="1">IF(OR(INDEX($AG$2:$AG$1001,MATCH(ROWS($AF$2:AF26),$AF$2:$AF$1001,0),1)&gt;=100000,INDEX($AM$1005:$BM$1005,1,MATCH(COLUMNS($AM$1006:AU1006),$AM$1006:$BM$1006,0))&gt;=100000), " ",IF(INDEX($AM$2:$BM$1001,MATCH(ROWS($AF$2:AF26),$AF$2:$AF$1001,0),MATCH(COLUMNS($AM$1006:AU1006),$AM$1006:$BM$1006,0)), HYPERLINK("#",""), HYPERLINK(CONCATENATE("#metadata!", ADDRESS(INDEX($AH$2:$AH$1001,MATCH(ROWS($AF$2:AF26),$AF$2:$AF$1001,0),0), INDEX($AM$1004:$BM$1004,1,MATCH(COLUMNS($AM$1006:AU1006),$AM$1006:$BM$1006,0)))),"Fix")))</f>
        <v xml:space="preserve"> </v>
      </c>
      <c r="K26" s="4" t="str">
        <f ca="1">IF(OR(INDEX($AG$2:$AG$1001,MATCH(ROWS($AF$2:AF26),$AF$2:$AF$1001,0),1)&gt;=100000,INDEX($AM$1005:$BM$1005,1,MATCH(COLUMNS($AM$1006:AV1006),$AM$1006:$BM$1006,0))&gt;=100000), " ",IF(INDEX($AM$2:$BM$1001,MATCH(ROWS($AF$2:AF26),$AF$2:$AF$1001,0),MATCH(COLUMNS($AM$1006:AV1006),$AM$1006:$BM$1006,0)), HYPERLINK("#",""), HYPERLINK(CONCATENATE("#metadata!", ADDRESS(INDEX($AH$2:$AH$1001,MATCH(ROWS($AF$2:AF26),$AF$2:$AF$1001,0),0), INDEX($AM$1004:$BM$1004,1,MATCH(COLUMNS($AM$1006:AV1006),$AM$1006:$BM$1006,0)))),"Fix")))</f>
        <v xml:space="preserve"> </v>
      </c>
      <c r="L26" s="4" t="str">
        <f ca="1">IF(OR(INDEX($AG$2:$AG$1001,MATCH(ROWS($AF$2:AF26),$AF$2:$AF$1001,0),1)&gt;=100000,INDEX($AM$1005:$BM$1005,1,MATCH(COLUMNS($AM$1006:AW1006),$AM$1006:$BM$1006,0))&gt;=100000), " ",IF(INDEX($AM$2:$BM$1001,MATCH(ROWS($AF$2:AF26),$AF$2:$AF$1001,0),MATCH(COLUMNS($AM$1006:AW1006),$AM$1006:$BM$1006,0)), HYPERLINK("#",""), HYPERLINK(CONCATENATE("#metadata!", ADDRESS(INDEX($AH$2:$AH$1001,MATCH(ROWS($AF$2:AF26),$AF$2:$AF$1001,0),0), INDEX($AM$1004:$BM$1004,1,MATCH(COLUMNS($AM$1006:AW1006),$AM$1006:$BM$1006,0)))),"Fix")))</f>
        <v xml:space="preserve"> </v>
      </c>
      <c r="M26" s="4" t="str">
        <f ca="1">IF(OR(INDEX($AG$2:$AG$1001,MATCH(ROWS($AF$2:AF26),$AF$2:$AF$1001,0),1)&gt;=100000,INDEX($AM$1005:$BM$1005,1,MATCH(COLUMNS($AM$1006:AX1006),$AM$1006:$BM$1006,0))&gt;=100000), " ",IF(INDEX($AM$2:$BM$1001,MATCH(ROWS($AF$2:AF26),$AF$2:$AF$1001,0),MATCH(COLUMNS($AM$1006:AX1006),$AM$1006:$BM$1006,0)), HYPERLINK("#",""), HYPERLINK(CONCATENATE("#metadata!", ADDRESS(INDEX($AH$2:$AH$1001,MATCH(ROWS($AF$2:AF26),$AF$2:$AF$1001,0),0), INDEX($AM$1004:$BM$1004,1,MATCH(COLUMNS($AM$1006:AX1006),$AM$1006:$BM$1006,0)))),"Fix")))</f>
        <v xml:space="preserve"> </v>
      </c>
      <c r="N26" s="4" t="str">
        <f ca="1">IF(OR(INDEX($AG$2:$AG$1001,MATCH(ROWS($AF$2:AF26),$AF$2:$AF$1001,0),1)&gt;=100000,INDEX($AM$1005:$BM$1005,1,MATCH(COLUMNS($AM$1006:AY1006),$AM$1006:$BM$1006,0))&gt;=100000), " ",IF(INDEX($AM$2:$BM$1001,MATCH(ROWS($AF$2:AF26),$AF$2:$AF$1001,0),MATCH(COLUMNS($AM$1006:AY1006),$AM$1006:$BM$1006,0)), HYPERLINK("#",""), HYPERLINK(CONCATENATE("#metadata!", ADDRESS(INDEX($AH$2:$AH$1001,MATCH(ROWS($AF$2:AF26),$AF$2:$AF$1001,0),0), INDEX($AM$1004:$BM$1004,1,MATCH(COLUMNS($AM$1006:AY1006),$AM$1006:$BM$1006,0)))),"Fix")))</f>
        <v xml:space="preserve"> </v>
      </c>
      <c r="O26" s="4" t="str">
        <f ca="1">IF(OR(INDEX($AG$2:$AG$1001,MATCH(ROWS($AF$2:AF26),$AF$2:$AF$1001,0),1)&gt;=100000,INDEX($AM$1005:$BM$1005,1,MATCH(COLUMNS($AM$1006:AZ1006),$AM$1006:$BM$1006,0))&gt;=100000), " ",IF(INDEX($AM$2:$BM$1001,MATCH(ROWS($AF$2:AF26),$AF$2:$AF$1001,0),MATCH(COLUMNS($AM$1006:AZ1006),$AM$1006:$BM$1006,0)), HYPERLINK("#",""), HYPERLINK(CONCATENATE("#metadata!", ADDRESS(INDEX($AH$2:$AH$1001,MATCH(ROWS($AF$2:AF26),$AF$2:$AF$1001,0),0), INDEX($AM$1004:$BM$1004,1,MATCH(COLUMNS($AM$1006:AZ1006),$AM$1006:$BM$1006,0)))),"Fix")))</f>
        <v xml:space="preserve"> </v>
      </c>
      <c r="P26" s="4" t="str">
        <f ca="1">IF(OR(INDEX($AG$2:$AG$1001,MATCH(ROWS($AF$2:AF26),$AF$2:$AF$1001,0),1)&gt;=100000,INDEX($AM$1005:$BM$1005,1,MATCH(COLUMNS($AM$1006:BA1006),$AM$1006:$BM$1006,0))&gt;=100000), " ",IF(INDEX($AM$2:$BM$1001,MATCH(ROWS($AF$2:AF26),$AF$2:$AF$1001,0),MATCH(COLUMNS($AM$1006:BA1006),$AM$1006:$BM$1006,0)), HYPERLINK("#",""), HYPERLINK(CONCATENATE("#metadata!", ADDRESS(INDEX($AH$2:$AH$1001,MATCH(ROWS($AF$2:AF26),$AF$2:$AF$1001,0),0), INDEX($AM$1004:$BM$1004,1,MATCH(COLUMNS($AM$1006:BA1006),$AM$1006:$BM$1006,0)))),"Fix")))</f>
        <v xml:space="preserve"> </v>
      </c>
      <c r="Q26" s="4" t="str">
        <f ca="1">IF(OR(INDEX($AG$2:$AG$1001,MATCH(ROWS($AF$2:AF26),$AF$2:$AF$1001,0),1)&gt;=100000,INDEX($AM$1005:$BM$1005,1,MATCH(COLUMNS($AM$1006:BB1006),$AM$1006:$BM$1006,0))&gt;=100000), " ",IF(INDEX($AM$2:$BM$1001,MATCH(ROWS($AF$2:AF26),$AF$2:$AF$1001,0),MATCH(COLUMNS($AM$1006:BB1006),$AM$1006:$BM$1006,0)), HYPERLINK("#",""), HYPERLINK(CONCATENATE("#metadata!", ADDRESS(INDEX($AH$2:$AH$1001,MATCH(ROWS($AF$2:AF26),$AF$2:$AF$1001,0),0), INDEX($AM$1004:$BM$1004,1,MATCH(COLUMNS($AM$1006:BB1006),$AM$1006:$BM$1006,0)))),"Fix")))</f>
        <v xml:space="preserve"> </v>
      </c>
      <c r="R26" s="4" t="str">
        <f ca="1">IF(OR(INDEX($AG$2:$AG$1001,MATCH(ROWS($AF$2:AF26),$AF$2:$AF$1001,0),1)&gt;=100000,INDEX($AM$1005:$BM$1005,1,MATCH(COLUMNS($AM$1006:BC1006),$AM$1006:$BM$1006,0))&gt;=100000), " ",IF(INDEX($AM$2:$BM$1001,MATCH(ROWS($AF$2:AF26),$AF$2:$AF$1001,0),MATCH(COLUMNS($AM$1006:BC1006),$AM$1006:$BM$1006,0)), HYPERLINK("#",""), HYPERLINK(CONCATENATE("#metadata!", ADDRESS(INDEX($AH$2:$AH$1001,MATCH(ROWS($AF$2:AF26),$AF$2:$AF$1001,0),0), INDEX($AM$1004:$BM$1004,1,MATCH(COLUMNS($AM$1006:BC1006),$AM$1006:$BM$1006,0)))),"Fix")))</f>
        <v xml:space="preserve"> </v>
      </c>
      <c r="S26" s="4" t="str">
        <f ca="1">IF(OR(INDEX($AG$2:$AG$1001,MATCH(ROWS($AF$2:AF26),$AF$2:$AF$1001,0),1)&gt;=100000,INDEX($AM$1005:$BM$1005,1,MATCH(COLUMNS($AM$1006:BD1006),$AM$1006:$BM$1006,0))&gt;=100000), " ",IF(INDEX($AM$2:$BM$1001,MATCH(ROWS($AF$2:AF26),$AF$2:$AF$1001,0),MATCH(COLUMNS($AM$1006:BD1006),$AM$1006:$BM$1006,0)), HYPERLINK("#",""), HYPERLINK(CONCATENATE("#metadata!", ADDRESS(INDEX($AH$2:$AH$1001,MATCH(ROWS($AF$2:AF26),$AF$2:$AF$1001,0),0), INDEX($AM$1004:$BM$1004,1,MATCH(COLUMNS($AM$1006:BD1006),$AM$1006:$BM$1006,0)))),"Fix")))</f>
        <v xml:space="preserve"> </v>
      </c>
      <c r="T26" s="4" t="str">
        <f ca="1">IF(OR(INDEX($AG$2:$AG$1001,MATCH(ROWS($AF$2:AF26),$AF$2:$AF$1001,0),1)&gt;=100000,INDEX($AM$1005:$BM$1005,1,MATCH(COLUMNS($AM$1006:BE1006),$AM$1006:$BM$1006,0))&gt;=100000), " ",IF(INDEX($AM$2:$BM$1001,MATCH(ROWS($AF$2:AF26),$AF$2:$AF$1001,0),MATCH(COLUMNS($AM$1006:BE1006),$AM$1006:$BM$1006,0)), HYPERLINK("#",""), HYPERLINK(CONCATENATE("#metadata!", ADDRESS(INDEX($AH$2:$AH$1001,MATCH(ROWS($AF$2:AF26),$AF$2:$AF$1001,0),0), INDEX($AM$1004:$BM$1004,1,MATCH(COLUMNS($AM$1006:BE1006),$AM$1006:$BM$1006,0)))),"Fix")))</f>
        <v xml:space="preserve"> </v>
      </c>
      <c r="U26" s="4" t="str">
        <f ca="1">IF(OR(INDEX($AG$2:$AG$1001,MATCH(ROWS($AF$2:AF26),$AF$2:$AF$1001,0),1)&gt;=100000,INDEX($AM$1005:$BM$1005,1,MATCH(COLUMNS($AM$1006:BF1006),$AM$1006:$BM$1006,0))&gt;=100000), " ",IF(INDEX($AM$2:$BM$1001,MATCH(ROWS($AF$2:AF26),$AF$2:$AF$1001,0),MATCH(COLUMNS($AM$1006:BF1006),$AM$1006:$BM$1006,0)), HYPERLINK("#",""), HYPERLINK(CONCATENATE("#metadata!", ADDRESS(INDEX($AH$2:$AH$1001,MATCH(ROWS($AF$2:AF26),$AF$2:$AF$1001,0),0), INDEX($AM$1004:$BM$1004,1,MATCH(COLUMNS($AM$1006:BF1006),$AM$1006:$BM$1006,0)))),"Fix")))</f>
        <v xml:space="preserve"> </v>
      </c>
      <c r="V26" s="4" t="str">
        <f ca="1">IF(OR(INDEX($AG$2:$AG$1001,MATCH(ROWS($AF$2:AF26),$AF$2:$AF$1001,0),1)&gt;=100000,INDEX($AM$1005:$BM$1005,1,MATCH(COLUMNS($AM$1006:BG1006),$AM$1006:$BM$1006,0))&gt;=100000), " ",IF(INDEX($AM$2:$BM$1001,MATCH(ROWS($AF$2:AF26),$AF$2:$AF$1001,0),MATCH(COLUMNS($AM$1006:BG1006),$AM$1006:$BM$1006,0)), HYPERLINK("#",""), HYPERLINK(CONCATENATE("#metadata!", ADDRESS(INDEX($AH$2:$AH$1001,MATCH(ROWS($AF$2:AF26),$AF$2:$AF$1001,0),0), INDEX($AM$1004:$BM$1004,1,MATCH(COLUMNS($AM$1006:BG1006),$AM$1006:$BM$1006,0)))),"Fix")))</f>
        <v xml:space="preserve"> </v>
      </c>
      <c r="W26" s="4" t="str">
        <f ca="1">IF(OR(INDEX($AG$2:$AG$1001,MATCH(ROWS($AF$2:AF26),$AF$2:$AF$1001,0),1)&gt;=100000,INDEX($AM$1005:$BM$1005,1,MATCH(COLUMNS($AM$1006:BH1006),$AM$1006:$BM$1006,0))&gt;=100000), " ",IF(INDEX($AM$2:$BM$1001,MATCH(ROWS($AF$2:AF26),$AF$2:$AF$1001,0),MATCH(COLUMNS($AM$1006:BH1006),$AM$1006:$BM$1006,0)), HYPERLINK("#",""), HYPERLINK(CONCATENATE("#metadata!", ADDRESS(INDEX($AH$2:$AH$1001,MATCH(ROWS($AF$2:AF26),$AF$2:$AF$1001,0),0), INDEX($AM$1004:$BM$1004,1,MATCH(COLUMNS($AM$1006:BH1006),$AM$1006:$BM$1006,0)))),"Fix")))</f>
        <v xml:space="preserve"> </v>
      </c>
      <c r="X26" s="4" t="str">
        <f ca="1">IF(OR(INDEX($AG$2:$AG$1001,MATCH(ROWS($AF$2:AF26),$AF$2:$AF$1001,0),1)&gt;=100000,INDEX($AM$1005:$BM$1005,1,MATCH(COLUMNS($AM$1006:BI1006),$AM$1006:$BM$1006,0))&gt;=100000), " ",IF(INDEX($AM$2:$BM$1001,MATCH(ROWS($AF$2:AF26),$AF$2:$AF$1001,0),MATCH(COLUMNS($AM$1006:BI1006),$AM$1006:$BM$1006,0)), HYPERLINK("#",""), HYPERLINK(CONCATENATE("#metadata!", ADDRESS(INDEX($AH$2:$AH$1001,MATCH(ROWS($AF$2:AF26),$AF$2:$AF$1001,0),0), INDEX($AM$1004:$BM$1004,1,MATCH(COLUMNS($AM$1006:BI1006),$AM$1006:$BM$1006,0)))),"Fix")))</f>
        <v xml:space="preserve"> </v>
      </c>
      <c r="Y26" s="4" t="str">
        <f ca="1">IF(OR(INDEX($AG$2:$AG$1001,MATCH(ROWS($AF$2:AF26),$AF$2:$AF$1001,0),1)&gt;=100000,INDEX($AM$1005:$BM$1005,1,MATCH(COLUMNS($AM$1006:BJ1006),$AM$1006:$BM$1006,0))&gt;=100000), " ",IF(INDEX($AM$2:$BM$1001,MATCH(ROWS($AF$2:AF26),$AF$2:$AF$1001,0),MATCH(COLUMNS($AM$1006:BJ1006),$AM$1006:$BM$1006,0)), HYPERLINK("#",""), HYPERLINK(CONCATENATE("#metadata!", ADDRESS(INDEX($AH$2:$AH$1001,MATCH(ROWS($AF$2:AF26),$AF$2:$AF$1001,0),0), INDEX($AM$1004:$BM$1004,1,MATCH(COLUMNS($AM$1006:BJ1006),$AM$1006:$BM$1006,0)))),"Fix")))</f>
        <v xml:space="preserve"> </v>
      </c>
      <c r="Z26" s="4" t="str">
        <f ca="1">IF(OR(INDEX($AG$2:$AG$1001,MATCH(ROWS($AF$2:AF26),$AF$2:$AF$1001,0),1)&gt;=100000,INDEX($AM$1005:$BM$1005,1,MATCH(COLUMNS($AM$1006:BK1006),$AM$1006:$BM$1006,0))&gt;=100000), " ",IF(INDEX($AM$2:$BM$1001,MATCH(ROWS($AF$2:AF26),$AF$2:$AF$1001,0),MATCH(COLUMNS($AM$1006:BK1006),$AM$1006:$BM$1006,0)), HYPERLINK("#",""), HYPERLINK(CONCATENATE("#metadata!", ADDRESS(INDEX($AH$2:$AH$1001,MATCH(ROWS($AF$2:AF26),$AF$2:$AF$1001,0),0), INDEX($AM$1004:$BM$1004,1,MATCH(COLUMNS($AM$1006:BK1006),$AM$1006:$BM$1006,0)))),"Fix")))</f>
        <v xml:space="preserve"> </v>
      </c>
      <c r="AA26" s="4" t="str">
        <f ca="1">IF(OR(INDEX($AG$2:$AG$1001,MATCH(ROWS($AF$2:AF26),$AF$2:$AF$1001,0),1)&gt;=100000,INDEX($AM$1005:$BM$1005,1,MATCH(COLUMNS($AM$1006:BL1006),$AM$1006:$BM$1006,0))&gt;=100000), " ",IF(INDEX($AM$2:$BM$1001,MATCH(ROWS($AF$2:AF26),$AF$2:$AF$1001,0),MATCH(COLUMNS($AM$1006:BL1006),$AM$1006:$BM$1006,0)), HYPERLINK("#",""), HYPERLINK(CONCATENATE("#metadata!", ADDRESS(INDEX($AH$2:$AH$1001,MATCH(ROWS($AF$2:AF26),$AF$2:$AF$1001,0),0), INDEX($AM$1004:$BM$1004,1,MATCH(COLUMNS($AM$1006:BL1006),$AM$1006:$BM$1006,0)))),"Fix")))</f>
        <v xml:space="preserve"> </v>
      </c>
      <c r="AB26" s="4" t="str">
        <f ca="1">IF(OR(INDEX($AG$2:$AG$1001,MATCH(ROWS($AF$2:AF26),$AF$2:$AF$1001,0),1)&gt;=100000,INDEX($AM$1005:$BM$1005,1,MATCH(COLUMNS($AM$1006:BM1006),$AM$1006:$BM$1006,0))&gt;=100000), " ",IF(INDEX($AM$2:$BM$1001,MATCH(ROWS($AF$2:AF26),$AF$2:$AF$1001,0),MATCH(COLUMNS($AM$1006:BM1006),$AM$1006:$BM$1006,0)), HYPERLINK("#",""), HYPERLINK(CONCATENATE("#metadata!", ADDRESS(INDEX($AH$2:$AH$1001,MATCH(ROWS($AF$2:AF26),$AF$2:$AF$1001,0),0), INDEX($AM$1004:$BM$1004,1,MATCH(COLUMNS($AM$1006:BM1006),$AM$1006:$BM$1006,0)))),"Fix")))</f>
        <v xml:space="preserve"> </v>
      </c>
      <c r="AF26">
        <v>25</v>
      </c>
      <c r="AG26">
        <v>100026</v>
      </c>
      <c r="AH26">
        <v>26</v>
      </c>
      <c r="AI26" t="b">
        <f t="shared" si="0"/>
        <v>1</v>
      </c>
      <c r="AJ26" t="b">
        <f>COUNTBLANK(metadata!B26:AB26)=COLUMNS(metadata!B26:AB26)</f>
        <v>1</v>
      </c>
      <c r="AK26" t="str">
        <v/>
      </c>
      <c r="AM26" t="b">
        <f ca="1">AND(IF(metadata!B26="",FALSE,TRUE),COUNTIF(metadata!B:B, metadata!B26) = 1,NOT(ISERROR(SUMPRODUCT(SEARCH(MID(metadata!B26,ROW(INDIRECT("1:"&amp;LEN(metadata!B26))), 1),"0123456789abcdefghijklmnopqrstuvwxyzABCDEFGHIJKLMNOPQRSTUVWXYZ.")))))</f>
        <v>0</v>
      </c>
      <c r="AN26" t="b">
        <f ca="1">OR(AND(IF(metadata!C26="",FALSE,TRUE),OR(EXACT(metadata!C26,"missing: not collected"),EXACT(metadata!C26,"missing: not provided"),EXACT(metadata!C26,"missing: restricted access"))),AND(IF(metadata!C26="",FALSE,TRUE),AND(AND(IFERROR(INT(LEFT(metadata!C26,4))&gt;1900,FALSE),IFERROR(INT(LEFT(metadata!C26,4))&lt;=YEAR(NOW()),FALSE)), OR(MID(metadata!C26,5,1)="", AND(AND(MID(metadata!C26,5,1)="-",IFERROR(INT(MID(metadata!C26,6,1))&gt;=0,FALSE),IFERROR(INT(MID(metadata!C26,6,1))&lt;=1,FALSE),NOT(MID(metadata!C26,7,1)=""),IFERROR(INT(MID(metadata!C26,6,2))&gt;=1,FALSE),IFERROR(INT(MID(metadata!C26,6,2))&lt;=12,FALSE)), OR(MID(metadata!C26,8,1)="", AND(AND(MID(metadata!C26,8,1)="-",IFERROR(INT(MID(metadata!C26,9,1))&gt;=0,FALSE),IFERROR(INT(MID(metadata!C26,9,1))&lt;=3,FALSE),NOT(MID(metadata!C26,10,1)=""),IFERROR(INT(MID(metadata!C26,9,2))&gt;=1,FALSE),IFERROR(INT(MID(metadata!C26,9,2))&lt;=31,FALSE)), OR(MID(metadata!C26,11,1)="", AND(AND(MID(metadata!C26,11,1)=" ",IFERROR(INT(MID(metadata!C26,12,1))&gt;=0,FALSE),IFERROR(INT(MID(metadata!C26,12,1))&lt;=2,FALSE),NOT(MID(metadata!C26,13,1)=""),IFERROR(INT(MID(metadata!C26,12,2))&gt;=0,FALSE),IFERROR(INT(MID(metadata!C26,12,2))&lt;=23,FALSE)), OR(MID(metadata!C26,14,1)="", AND(AND(MID(metadata!C26,14,1)=":",IFERROR(INT(MID(metadata!C26,15,1))&gt;=0,FALSE),IFERROR(INT(MID(metadata!C26,15,1))&lt;=5,FALSE),NOT(MID(metadata!C26,16,1)=""),IFERROR(INT(MID(metadata!C26,15,2))&gt;=0,FALSE),IFERROR(INT(MID(metadata!C26,15,2))&lt;=59,FALSE)), OR(MID(metadata!C26,17,1)="", AND(AND(MID(metadata!C26,17,1)=":",IFERROR(INT(MID(metadata!C26,18,1))&gt;=0,FALSE),IFERROR(INT(MID(metadata!C26,18,1))&lt;=5,FALSE),NOT(MID(metadata!C26,19,1)=""),IFERROR(INT(MID(metadata!C26,18,2))&gt;=0,FALSE),IFERROR(INT(MID(metadata!C26,18,2))&lt;=59,FALSE)), LEN(metadata!C26)&lt;=19)))))))))))))</f>
        <v>0</v>
      </c>
      <c r="AO26" t="b">
        <f>AND(IF(metadata!D26="",FALSE,TRUE),EXACT(metadata!D26,"Not applicable"))</f>
        <v>0</v>
      </c>
      <c r="AP26" t="b">
        <f>IF(metadata!E26="",FALSE,TRUE)</f>
        <v>0</v>
      </c>
      <c r="AQ26" t="b">
        <f>OR(AND(IF(metadata!F26="",FALSE,TRUE),OR(EXACT(metadata!F26,"missing: not collected"),EXACT(metadata!F26,"missing: not provided"))),AND(IF(metadata!F26="",FALSE,TRUE),OR(EXACT(metadata!F26,"TRUE"),EXACT(metadata!F26,"FALSE"))))</f>
        <v>0</v>
      </c>
      <c r="AR26" t="b">
        <f>OR(AND(IF(metadata!G26="",FALSE,TRUE),OR(EXACT(metadata!G26,"missing: not collected"),EXACT(metadata!G26,"missing: not provided"),EXACT(metadata!G26,"missing: restricted access"))),AND(IF(metadata!G26="",FALSE,ISNUMBER(VALUE(metadata!G26))),metadata!G26&gt;=-413))</f>
        <v>0</v>
      </c>
      <c r="AS26" t="b">
        <f>AND(IF(metadata!H26="",FALSE,TRUE),EXACT(metadata!H26,"meters"))</f>
        <v>0</v>
      </c>
      <c r="AT26" t="b">
        <f>AND(IF(metadata!I26="",FALSE,TRUE),OR(EXACT(metadata!I26,"Host-associated"),EXACT(metadata!I26,"Free-living")))</f>
        <v>0</v>
      </c>
      <c r="AU26" t="b">
        <f>AND(IF(metadata!J26="",FALSE,TRUE),OR(EXACT(metadata!J26,"Animal"),EXACT(metadata!J26,"Fungus"),EXACT(metadata!J26,"Plant"),EXACT(metadata!J26,"Saline"),EXACT(metadata!J26,"Non-saline")))</f>
        <v>0</v>
      </c>
      <c r="AV26" t="b">
        <f>AND(IF(metadata!K26="",FALSE,TRUE),OR(EXACT(metadata!K26,"Plant secretion"),EXACT(metadata!K26,"Plant rhizosphere"),EXACT(metadata!K26,"Plant surface"),EXACT(metadata!K26,"Plant corpus"),EXACT(metadata!K26,"Fungus surface"),EXACT(metadata!K26,"Fungus corpus"),EXACT(metadata!K26,"Animal surface"),EXACT(metadata!K26,"Animal proximal gut"),EXACT(metadata!K26,"Animal corpus"),EXACT(metadata!K26,"Animal distal gut"),EXACT(metadata!K26,"Animal secretion"),EXACT(metadata!K26,"Sub-surface (non-saline)"),EXACT(metadata!K26,"Surface (non-saline)"),EXACT(metadata!K26,"Water (non-saline)"),EXACT(metadata!K26,"Soil (non-saline)"),EXACT(metadata!K26,"Aerosol (non-saline)"),EXACT(metadata!K26,"Sediment (non-saline)"),EXACT(metadata!K26,"Surface (saline)"),EXACT(metadata!K26,"Water (saline)"),EXACT(metadata!K26,"Hypersaline (saline)"),EXACT(metadata!K26,"Aerosol (saline)"),EXACT(metadata!K26,"Sediment (saline)")))</f>
        <v>0</v>
      </c>
      <c r="AW26" t="b">
        <f>IF(metadata!L26="",FALSE,TRUE)</f>
        <v>0</v>
      </c>
      <c r="AX26" t="b">
        <f>IF(metadata!M26="",FALSE,TRUE)</f>
        <v>0</v>
      </c>
      <c r="AY26" t="b">
        <f>IF(metadata!N26="",FALSE,TRUE)</f>
        <v>0</v>
      </c>
      <c r="AZ26" t="b">
        <f>OR(AND(IF(metadata!O26="",FALSE,TRUE),OR(EXACT(metadata!O26,"missing: not collected"),EXACT(metadata!O26,"missing: not provided"),EXACT(metadata!O26,"missing: restricted access"))),AND(IF(metadata!O26="",FALSE,TRUE),OR(EXACT(metadata!O26,"air"),EXACT(metadata!O26,"built environment"),EXACT(metadata!O26,"host-associated"),EXACT(metadata!O26,"human-associated"),EXACT(metadata!O26,"human-skin"),EXACT(metadata!O26,"human-oral"),EXACT(metadata!O26,"human-gut"),EXACT(metadata!O26,"human-vaginal"),EXACT(metadata!O26,"microbial mat/biofilm"),EXACT(metadata!O26,"misc environment"),EXACT(metadata!O26,"plant-associated"),EXACT(metadata!O26,"sediment"),EXACT(metadata!O26,"soil"),EXACT(metadata!O26,"wastewater/sludge"),EXACT(metadata!O26,"water"))))</f>
        <v>0</v>
      </c>
      <c r="BA26" t="b">
        <f>IF(metadata!P26="",FALSE,TRUE)</f>
        <v>0</v>
      </c>
      <c r="BB26" t="b">
        <f>IF(metadata!Q26="",FALSE,TRUE)</f>
        <v>0</v>
      </c>
      <c r="BC26" t="b">
        <f>OR(AND(IF(metadata!R26="",FALSE,TRUE),OR(EXACT(metadata!R26,"missing: not collected"),EXACT(metadata!R26,"missing: not provided"),EXACT(metadata!R26,"missing: restricted access"))),AND(IF(metadata!R26="",FALSE,ISNUMBER(VALUE(metadata!R26))),metadata!R26&gt;=-90,metadata!R26&lt;=90))</f>
        <v>0</v>
      </c>
      <c r="BD26" t="b">
        <f>AND(IF(metadata!S26="",FALSE,TRUE),EXACT(metadata!S26,"Decimal degrees"))</f>
        <v>0</v>
      </c>
      <c r="BE26" t="b">
        <f>OR(AND(IF(metadata!T26="",FALSE,TRUE),OR(EXACT(metadata!T26,"missing: not collected"),EXACT(metadata!T26,"missing: not provided"),EXACT(metadata!T26,"missing: restricted access"))),AND(IF(metadata!T26="",FALSE,ISNUMBER(VALUE(metadata!T26))),metadata!T26&gt;=-180,metadata!T26&lt;=180))</f>
        <v>0</v>
      </c>
      <c r="BF26" t="b">
        <f>AND(IF(metadata!U26="",FALSE,TRUE),EXACT(metadata!U26,"Decimal degrees"))</f>
        <v>0</v>
      </c>
      <c r="BG26" t="b">
        <f>IF(metadata!V26="",FALSE,TRUE)</f>
        <v>0</v>
      </c>
      <c r="BH26" t="b">
        <f>OR(AND(IF(metadata!W26="",FALSE,TRUE),OR(EXACT(metadata!W26,"missing: not collected"),EXACT(metadata!W26,"missing: not provided"),EXACT(metadata!W26,"missing: restricted access"))),AND(IF(metadata!W26="",FALSE,TRUE),OR(EXACT(metadata!W26,"TRUE"),EXACT(metadata!W26,"FALSE"))))</f>
        <v>0</v>
      </c>
      <c r="BI26" t="b">
        <f>AND(IF(metadata!X26="",FALSE,TRUE),EXACT(metadata!X26,"other"))</f>
        <v>0</v>
      </c>
      <c r="BJ26" t="b">
        <f>IF(metadata!Y26="",FALSE,TRUE)</f>
        <v>0</v>
      </c>
      <c r="BK26" t="b">
        <f>OR(AND(IF(metadata!Z26="",FALSE,TRUE),OR(EXACT(metadata!Z26,"missing: not collected"),EXACT(metadata!Z26,"missing: not provided"))),AND(IF(metadata!Z26="",FALSE,IF(ISERROR(INT(metadata!Z26)),FALSE,INT(metadata!Z26)=metadata!Z26)),metadata!Z26&gt;0))</f>
        <v>0</v>
      </c>
      <c r="BL26" t="b">
        <f>AND(IF(metadata!AA26="",FALSE,TRUE),EXACT(metadata!AA26,"Not applicable"))</f>
        <v>0</v>
      </c>
      <c r="BM26" t="b">
        <f>IF(metadata!AB26="",FALSE,TRUE)</f>
        <v>0</v>
      </c>
    </row>
    <row r="27" spans="1:65" x14ac:dyDescent="0.2">
      <c r="A27" s="5" t="str">
        <f ca="1">IF(B27=" "," ",HYPERLINK(CONCATENATE("#metadata!",ADDRESS(INDEX($AH$2:$AH$1001,MATCH(ROWS($AF$2:AF27),$AF$2:$AF$1001,0),0),1)),INDEX($AK$2:$AK$1001,MATCH(ROWS($AF$2:AF27),$AF$2:$AF$1001,0),0)))</f>
        <v xml:space="preserve"> </v>
      </c>
      <c r="B27" s="4" t="str">
        <f ca="1">IF(OR(INDEX($AG$2:$AG$1001,MATCH(ROWS($AF$2:AF27),$AF$2:$AF$1001,0),1)&gt;=100000,INDEX($AM$1005:$BM$1005,1,MATCH(COLUMNS($AM$1006:AM1006),$AM$1006:$BM$1006,0))&gt;=100000), " ",IF(INDEX($AM$2:$BM$1001,MATCH(ROWS($AF$2:AF27),$AF$2:$AF$1001,0),MATCH(COLUMNS($AM$1006:AM1006),$AM$1006:$BM$1006,0)), HYPERLINK("#",""), HYPERLINK(CONCATENATE("#metadata!", ADDRESS(INDEX($AH$2:$AH$1001,MATCH(ROWS($AF$2:AF27),$AF$2:$AF$1001,0),0), INDEX($AM$1004:$BM$1004,1,MATCH(COLUMNS($AM$1006:AM1006),$AM$1006:$BM$1006,0)))),"Fix")))</f>
        <v xml:space="preserve"> </v>
      </c>
      <c r="C27" s="4" t="str">
        <f ca="1">IF(OR(INDEX($AG$2:$AG$1001,MATCH(ROWS($AF$2:AF27),$AF$2:$AF$1001,0),1)&gt;=100000,INDEX($AM$1005:$BM$1005,1,MATCH(COLUMNS($AM$1006:AN1006),$AM$1006:$BM$1006,0))&gt;=100000), " ",IF(INDEX($AM$2:$BM$1001,MATCH(ROWS($AF$2:AF27),$AF$2:$AF$1001,0),MATCH(COLUMNS($AM$1006:AN1006),$AM$1006:$BM$1006,0)), HYPERLINK("#",""), HYPERLINK(CONCATENATE("#metadata!", ADDRESS(INDEX($AH$2:$AH$1001,MATCH(ROWS($AF$2:AF27),$AF$2:$AF$1001,0),0), INDEX($AM$1004:$BM$1004,1,MATCH(COLUMNS($AM$1006:AN1006),$AM$1006:$BM$1006,0)))),"Fix")))</f>
        <v xml:space="preserve"> </v>
      </c>
      <c r="D27" s="4" t="str">
        <f ca="1">IF(OR(INDEX($AG$2:$AG$1001,MATCH(ROWS($AF$2:AF27),$AF$2:$AF$1001,0),1)&gt;=100000,INDEX($AM$1005:$BM$1005,1,MATCH(COLUMNS($AM$1006:AO1006),$AM$1006:$BM$1006,0))&gt;=100000), " ",IF(INDEX($AM$2:$BM$1001,MATCH(ROWS($AF$2:AF27),$AF$2:$AF$1001,0),MATCH(COLUMNS($AM$1006:AO1006),$AM$1006:$BM$1006,0)), HYPERLINK("#",""), HYPERLINK(CONCATENATE("#metadata!", ADDRESS(INDEX($AH$2:$AH$1001,MATCH(ROWS($AF$2:AF27),$AF$2:$AF$1001,0),0), INDEX($AM$1004:$BM$1004,1,MATCH(COLUMNS($AM$1006:AO1006),$AM$1006:$BM$1006,0)))),"Fix")))</f>
        <v xml:space="preserve"> </v>
      </c>
      <c r="E27" s="4" t="str">
        <f ca="1">IF(OR(INDEX($AG$2:$AG$1001,MATCH(ROWS($AF$2:AF27),$AF$2:$AF$1001,0),1)&gt;=100000,INDEX($AM$1005:$BM$1005,1,MATCH(COLUMNS($AM$1006:AP1006),$AM$1006:$BM$1006,0))&gt;=100000), " ",IF(INDEX($AM$2:$BM$1001,MATCH(ROWS($AF$2:AF27),$AF$2:$AF$1001,0),MATCH(COLUMNS($AM$1006:AP1006),$AM$1006:$BM$1006,0)), HYPERLINK("#",""), HYPERLINK(CONCATENATE("#metadata!", ADDRESS(INDEX($AH$2:$AH$1001,MATCH(ROWS($AF$2:AF27),$AF$2:$AF$1001,0),0), INDEX($AM$1004:$BM$1004,1,MATCH(COLUMNS($AM$1006:AP1006),$AM$1006:$BM$1006,0)))),"Fix")))</f>
        <v xml:space="preserve"> </v>
      </c>
      <c r="F27" s="4" t="str">
        <f ca="1">IF(OR(INDEX($AG$2:$AG$1001,MATCH(ROWS($AF$2:AF27),$AF$2:$AF$1001,0),1)&gt;=100000,INDEX($AM$1005:$BM$1005,1,MATCH(COLUMNS($AM$1006:AQ1006),$AM$1006:$BM$1006,0))&gt;=100000), " ",IF(INDEX($AM$2:$BM$1001,MATCH(ROWS($AF$2:AF27),$AF$2:$AF$1001,0),MATCH(COLUMNS($AM$1006:AQ1006),$AM$1006:$BM$1006,0)), HYPERLINK("#",""), HYPERLINK(CONCATENATE("#metadata!", ADDRESS(INDEX($AH$2:$AH$1001,MATCH(ROWS($AF$2:AF27),$AF$2:$AF$1001,0),0), INDEX($AM$1004:$BM$1004,1,MATCH(COLUMNS($AM$1006:AQ1006),$AM$1006:$BM$1006,0)))),"Fix")))</f>
        <v xml:space="preserve"> </v>
      </c>
      <c r="G27" s="4" t="str">
        <f ca="1">IF(OR(INDEX($AG$2:$AG$1001,MATCH(ROWS($AF$2:AF27),$AF$2:$AF$1001,0),1)&gt;=100000,INDEX($AM$1005:$BM$1005,1,MATCH(COLUMNS($AM$1006:AR1006),$AM$1006:$BM$1006,0))&gt;=100000), " ",IF(INDEX($AM$2:$BM$1001,MATCH(ROWS($AF$2:AF27),$AF$2:$AF$1001,0),MATCH(COLUMNS($AM$1006:AR1006),$AM$1006:$BM$1006,0)), HYPERLINK("#",""), HYPERLINK(CONCATENATE("#metadata!", ADDRESS(INDEX($AH$2:$AH$1001,MATCH(ROWS($AF$2:AF27),$AF$2:$AF$1001,0),0), INDEX($AM$1004:$BM$1004,1,MATCH(COLUMNS($AM$1006:AR1006),$AM$1006:$BM$1006,0)))),"Fix")))</f>
        <v xml:space="preserve"> </v>
      </c>
      <c r="H27" s="4" t="str">
        <f ca="1">IF(OR(INDEX($AG$2:$AG$1001,MATCH(ROWS($AF$2:AF27),$AF$2:$AF$1001,0),1)&gt;=100000,INDEX($AM$1005:$BM$1005,1,MATCH(COLUMNS($AM$1006:AS1006),$AM$1006:$BM$1006,0))&gt;=100000), " ",IF(INDEX($AM$2:$BM$1001,MATCH(ROWS($AF$2:AF27),$AF$2:$AF$1001,0),MATCH(COLUMNS($AM$1006:AS1006),$AM$1006:$BM$1006,0)), HYPERLINK("#",""), HYPERLINK(CONCATENATE("#metadata!", ADDRESS(INDEX($AH$2:$AH$1001,MATCH(ROWS($AF$2:AF27),$AF$2:$AF$1001,0),0), INDEX($AM$1004:$BM$1004,1,MATCH(COLUMNS($AM$1006:AS1006),$AM$1006:$BM$1006,0)))),"Fix")))</f>
        <v xml:space="preserve"> </v>
      </c>
      <c r="I27" s="4" t="str">
        <f ca="1">IF(OR(INDEX($AG$2:$AG$1001,MATCH(ROWS($AF$2:AF27),$AF$2:$AF$1001,0),1)&gt;=100000,INDEX($AM$1005:$BM$1005,1,MATCH(COLUMNS($AM$1006:AT1006),$AM$1006:$BM$1006,0))&gt;=100000), " ",IF(INDEX($AM$2:$BM$1001,MATCH(ROWS($AF$2:AF27),$AF$2:$AF$1001,0),MATCH(COLUMNS($AM$1006:AT1006),$AM$1006:$BM$1006,0)), HYPERLINK("#",""), HYPERLINK(CONCATENATE("#metadata!", ADDRESS(INDEX($AH$2:$AH$1001,MATCH(ROWS($AF$2:AF27),$AF$2:$AF$1001,0),0), INDEX($AM$1004:$BM$1004,1,MATCH(COLUMNS($AM$1006:AT1006),$AM$1006:$BM$1006,0)))),"Fix")))</f>
        <v xml:space="preserve"> </v>
      </c>
      <c r="J27" s="4" t="str">
        <f ca="1">IF(OR(INDEX($AG$2:$AG$1001,MATCH(ROWS($AF$2:AF27),$AF$2:$AF$1001,0),1)&gt;=100000,INDEX($AM$1005:$BM$1005,1,MATCH(COLUMNS($AM$1006:AU1006),$AM$1006:$BM$1006,0))&gt;=100000), " ",IF(INDEX($AM$2:$BM$1001,MATCH(ROWS($AF$2:AF27),$AF$2:$AF$1001,0),MATCH(COLUMNS($AM$1006:AU1006),$AM$1006:$BM$1006,0)), HYPERLINK("#",""), HYPERLINK(CONCATENATE("#metadata!", ADDRESS(INDEX($AH$2:$AH$1001,MATCH(ROWS($AF$2:AF27),$AF$2:$AF$1001,0),0), INDEX($AM$1004:$BM$1004,1,MATCH(COLUMNS($AM$1006:AU1006),$AM$1006:$BM$1006,0)))),"Fix")))</f>
        <v xml:space="preserve"> </v>
      </c>
      <c r="K27" s="4" t="str">
        <f ca="1">IF(OR(INDEX($AG$2:$AG$1001,MATCH(ROWS($AF$2:AF27),$AF$2:$AF$1001,0),1)&gt;=100000,INDEX($AM$1005:$BM$1005,1,MATCH(COLUMNS($AM$1006:AV1006),$AM$1006:$BM$1006,0))&gt;=100000), " ",IF(INDEX($AM$2:$BM$1001,MATCH(ROWS($AF$2:AF27),$AF$2:$AF$1001,0),MATCH(COLUMNS($AM$1006:AV1006),$AM$1006:$BM$1006,0)), HYPERLINK("#",""), HYPERLINK(CONCATENATE("#metadata!", ADDRESS(INDEX($AH$2:$AH$1001,MATCH(ROWS($AF$2:AF27),$AF$2:$AF$1001,0),0), INDEX($AM$1004:$BM$1004,1,MATCH(COLUMNS($AM$1006:AV1006),$AM$1006:$BM$1006,0)))),"Fix")))</f>
        <v xml:space="preserve"> </v>
      </c>
      <c r="L27" s="4" t="str">
        <f ca="1">IF(OR(INDEX($AG$2:$AG$1001,MATCH(ROWS($AF$2:AF27),$AF$2:$AF$1001,0),1)&gt;=100000,INDEX($AM$1005:$BM$1005,1,MATCH(COLUMNS($AM$1006:AW1006),$AM$1006:$BM$1006,0))&gt;=100000), " ",IF(INDEX($AM$2:$BM$1001,MATCH(ROWS($AF$2:AF27),$AF$2:$AF$1001,0),MATCH(COLUMNS($AM$1006:AW1006),$AM$1006:$BM$1006,0)), HYPERLINK("#",""), HYPERLINK(CONCATENATE("#metadata!", ADDRESS(INDEX($AH$2:$AH$1001,MATCH(ROWS($AF$2:AF27),$AF$2:$AF$1001,0),0), INDEX($AM$1004:$BM$1004,1,MATCH(COLUMNS($AM$1006:AW1006),$AM$1006:$BM$1006,0)))),"Fix")))</f>
        <v xml:space="preserve"> </v>
      </c>
      <c r="M27" s="4" t="str">
        <f ca="1">IF(OR(INDEX($AG$2:$AG$1001,MATCH(ROWS($AF$2:AF27),$AF$2:$AF$1001,0),1)&gt;=100000,INDEX($AM$1005:$BM$1005,1,MATCH(COLUMNS($AM$1006:AX1006),$AM$1006:$BM$1006,0))&gt;=100000), " ",IF(INDEX($AM$2:$BM$1001,MATCH(ROWS($AF$2:AF27),$AF$2:$AF$1001,0),MATCH(COLUMNS($AM$1006:AX1006),$AM$1006:$BM$1006,0)), HYPERLINK("#",""), HYPERLINK(CONCATENATE("#metadata!", ADDRESS(INDEX($AH$2:$AH$1001,MATCH(ROWS($AF$2:AF27),$AF$2:$AF$1001,0),0), INDEX($AM$1004:$BM$1004,1,MATCH(COLUMNS($AM$1006:AX1006),$AM$1006:$BM$1006,0)))),"Fix")))</f>
        <v xml:space="preserve"> </v>
      </c>
      <c r="N27" s="4" t="str">
        <f ca="1">IF(OR(INDEX($AG$2:$AG$1001,MATCH(ROWS($AF$2:AF27),$AF$2:$AF$1001,0),1)&gt;=100000,INDEX($AM$1005:$BM$1005,1,MATCH(COLUMNS($AM$1006:AY1006),$AM$1006:$BM$1006,0))&gt;=100000), " ",IF(INDEX($AM$2:$BM$1001,MATCH(ROWS($AF$2:AF27),$AF$2:$AF$1001,0),MATCH(COLUMNS($AM$1006:AY1006),$AM$1006:$BM$1006,0)), HYPERLINK("#",""), HYPERLINK(CONCATENATE("#metadata!", ADDRESS(INDEX($AH$2:$AH$1001,MATCH(ROWS($AF$2:AF27),$AF$2:$AF$1001,0),0), INDEX($AM$1004:$BM$1004,1,MATCH(COLUMNS($AM$1006:AY1006),$AM$1006:$BM$1006,0)))),"Fix")))</f>
        <v xml:space="preserve"> </v>
      </c>
      <c r="O27" s="4" t="str">
        <f ca="1">IF(OR(INDEX($AG$2:$AG$1001,MATCH(ROWS($AF$2:AF27),$AF$2:$AF$1001,0),1)&gt;=100000,INDEX($AM$1005:$BM$1005,1,MATCH(COLUMNS($AM$1006:AZ1006),$AM$1006:$BM$1006,0))&gt;=100000), " ",IF(INDEX($AM$2:$BM$1001,MATCH(ROWS($AF$2:AF27),$AF$2:$AF$1001,0),MATCH(COLUMNS($AM$1006:AZ1006),$AM$1006:$BM$1006,0)), HYPERLINK("#",""), HYPERLINK(CONCATENATE("#metadata!", ADDRESS(INDEX($AH$2:$AH$1001,MATCH(ROWS($AF$2:AF27),$AF$2:$AF$1001,0),0), INDEX($AM$1004:$BM$1004,1,MATCH(COLUMNS($AM$1006:AZ1006),$AM$1006:$BM$1006,0)))),"Fix")))</f>
        <v xml:space="preserve"> </v>
      </c>
      <c r="P27" s="4" t="str">
        <f ca="1">IF(OR(INDEX($AG$2:$AG$1001,MATCH(ROWS($AF$2:AF27),$AF$2:$AF$1001,0),1)&gt;=100000,INDEX($AM$1005:$BM$1005,1,MATCH(COLUMNS($AM$1006:BA1006),$AM$1006:$BM$1006,0))&gt;=100000), " ",IF(INDEX($AM$2:$BM$1001,MATCH(ROWS($AF$2:AF27),$AF$2:$AF$1001,0),MATCH(COLUMNS($AM$1006:BA1006),$AM$1006:$BM$1006,0)), HYPERLINK("#",""), HYPERLINK(CONCATENATE("#metadata!", ADDRESS(INDEX($AH$2:$AH$1001,MATCH(ROWS($AF$2:AF27),$AF$2:$AF$1001,0),0), INDEX($AM$1004:$BM$1004,1,MATCH(COLUMNS($AM$1006:BA1006),$AM$1006:$BM$1006,0)))),"Fix")))</f>
        <v xml:space="preserve"> </v>
      </c>
      <c r="Q27" s="4" t="str">
        <f ca="1">IF(OR(INDEX($AG$2:$AG$1001,MATCH(ROWS($AF$2:AF27),$AF$2:$AF$1001,0),1)&gt;=100000,INDEX($AM$1005:$BM$1005,1,MATCH(COLUMNS($AM$1006:BB1006),$AM$1006:$BM$1006,0))&gt;=100000), " ",IF(INDEX($AM$2:$BM$1001,MATCH(ROWS($AF$2:AF27),$AF$2:$AF$1001,0),MATCH(COLUMNS($AM$1006:BB1006),$AM$1006:$BM$1006,0)), HYPERLINK("#",""), HYPERLINK(CONCATENATE("#metadata!", ADDRESS(INDEX($AH$2:$AH$1001,MATCH(ROWS($AF$2:AF27),$AF$2:$AF$1001,0),0), INDEX($AM$1004:$BM$1004,1,MATCH(COLUMNS($AM$1006:BB1006),$AM$1006:$BM$1006,0)))),"Fix")))</f>
        <v xml:space="preserve"> </v>
      </c>
      <c r="R27" s="4" t="str">
        <f ca="1">IF(OR(INDEX($AG$2:$AG$1001,MATCH(ROWS($AF$2:AF27),$AF$2:$AF$1001,0),1)&gt;=100000,INDEX($AM$1005:$BM$1005,1,MATCH(COLUMNS($AM$1006:BC1006),$AM$1006:$BM$1006,0))&gt;=100000), " ",IF(INDEX($AM$2:$BM$1001,MATCH(ROWS($AF$2:AF27),$AF$2:$AF$1001,0),MATCH(COLUMNS($AM$1006:BC1006),$AM$1006:$BM$1006,0)), HYPERLINK("#",""), HYPERLINK(CONCATENATE("#metadata!", ADDRESS(INDEX($AH$2:$AH$1001,MATCH(ROWS($AF$2:AF27),$AF$2:$AF$1001,0),0), INDEX($AM$1004:$BM$1004,1,MATCH(COLUMNS($AM$1006:BC1006),$AM$1006:$BM$1006,0)))),"Fix")))</f>
        <v xml:space="preserve"> </v>
      </c>
      <c r="S27" s="4" t="str">
        <f ca="1">IF(OR(INDEX($AG$2:$AG$1001,MATCH(ROWS($AF$2:AF27),$AF$2:$AF$1001,0),1)&gt;=100000,INDEX($AM$1005:$BM$1005,1,MATCH(COLUMNS($AM$1006:BD1006),$AM$1006:$BM$1006,0))&gt;=100000), " ",IF(INDEX($AM$2:$BM$1001,MATCH(ROWS($AF$2:AF27),$AF$2:$AF$1001,0),MATCH(COLUMNS($AM$1006:BD1006),$AM$1006:$BM$1006,0)), HYPERLINK("#",""), HYPERLINK(CONCATENATE("#metadata!", ADDRESS(INDEX($AH$2:$AH$1001,MATCH(ROWS($AF$2:AF27),$AF$2:$AF$1001,0),0), INDEX($AM$1004:$BM$1004,1,MATCH(COLUMNS($AM$1006:BD1006),$AM$1006:$BM$1006,0)))),"Fix")))</f>
        <v xml:space="preserve"> </v>
      </c>
      <c r="T27" s="4" t="str">
        <f ca="1">IF(OR(INDEX($AG$2:$AG$1001,MATCH(ROWS($AF$2:AF27),$AF$2:$AF$1001,0),1)&gt;=100000,INDEX($AM$1005:$BM$1005,1,MATCH(COLUMNS($AM$1006:BE1006),$AM$1006:$BM$1006,0))&gt;=100000), " ",IF(INDEX($AM$2:$BM$1001,MATCH(ROWS($AF$2:AF27),$AF$2:$AF$1001,0),MATCH(COLUMNS($AM$1006:BE1006),$AM$1006:$BM$1006,0)), HYPERLINK("#",""), HYPERLINK(CONCATENATE("#metadata!", ADDRESS(INDEX($AH$2:$AH$1001,MATCH(ROWS($AF$2:AF27),$AF$2:$AF$1001,0),0), INDEX($AM$1004:$BM$1004,1,MATCH(COLUMNS($AM$1006:BE1006),$AM$1006:$BM$1006,0)))),"Fix")))</f>
        <v xml:space="preserve"> </v>
      </c>
      <c r="U27" s="4" t="str">
        <f ca="1">IF(OR(INDEX($AG$2:$AG$1001,MATCH(ROWS($AF$2:AF27),$AF$2:$AF$1001,0),1)&gt;=100000,INDEX($AM$1005:$BM$1005,1,MATCH(COLUMNS($AM$1006:BF1006),$AM$1006:$BM$1006,0))&gt;=100000), " ",IF(INDEX($AM$2:$BM$1001,MATCH(ROWS($AF$2:AF27),$AF$2:$AF$1001,0),MATCH(COLUMNS($AM$1006:BF1006),$AM$1006:$BM$1006,0)), HYPERLINK("#",""), HYPERLINK(CONCATENATE("#metadata!", ADDRESS(INDEX($AH$2:$AH$1001,MATCH(ROWS($AF$2:AF27),$AF$2:$AF$1001,0),0), INDEX($AM$1004:$BM$1004,1,MATCH(COLUMNS($AM$1006:BF1006),$AM$1006:$BM$1006,0)))),"Fix")))</f>
        <v xml:space="preserve"> </v>
      </c>
      <c r="V27" s="4" t="str">
        <f ca="1">IF(OR(INDEX($AG$2:$AG$1001,MATCH(ROWS($AF$2:AF27),$AF$2:$AF$1001,0),1)&gt;=100000,INDEX($AM$1005:$BM$1005,1,MATCH(COLUMNS($AM$1006:BG1006),$AM$1006:$BM$1006,0))&gt;=100000), " ",IF(INDEX($AM$2:$BM$1001,MATCH(ROWS($AF$2:AF27),$AF$2:$AF$1001,0),MATCH(COLUMNS($AM$1006:BG1006),$AM$1006:$BM$1006,0)), HYPERLINK("#",""), HYPERLINK(CONCATENATE("#metadata!", ADDRESS(INDEX($AH$2:$AH$1001,MATCH(ROWS($AF$2:AF27),$AF$2:$AF$1001,0),0), INDEX($AM$1004:$BM$1004,1,MATCH(COLUMNS($AM$1006:BG1006),$AM$1006:$BM$1006,0)))),"Fix")))</f>
        <v xml:space="preserve"> </v>
      </c>
      <c r="W27" s="4" t="str">
        <f ca="1">IF(OR(INDEX($AG$2:$AG$1001,MATCH(ROWS($AF$2:AF27),$AF$2:$AF$1001,0),1)&gt;=100000,INDEX($AM$1005:$BM$1005,1,MATCH(COLUMNS($AM$1006:BH1006),$AM$1006:$BM$1006,0))&gt;=100000), " ",IF(INDEX($AM$2:$BM$1001,MATCH(ROWS($AF$2:AF27),$AF$2:$AF$1001,0),MATCH(COLUMNS($AM$1006:BH1006),$AM$1006:$BM$1006,0)), HYPERLINK("#",""), HYPERLINK(CONCATENATE("#metadata!", ADDRESS(INDEX($AH$2:$AH$1001,MATCH(ROWS($AF$2:AF27),$AF$2:$AF$1001,0),0), INDEX($AM$1004:$BM$1004,1,MATCH(COLUMNS($AM$1006:BH1006),$AM$1006:$BM$1006,0)))),"Fix")))</f>
        <v xml:space="preserve"> </v>
      </c>
      <c r="X27" s="4" t="str">
        <f ca="1">IF(OR(INDEX($AG$2:$AG$1001,MATCH(ROWS($AF$2:AF27),$AF$2:$AF$1001,0),1)&gt;=100000,INDEX($AM$1005:$BM$1005,1,MATCH(COLUMNS($AM$1006:BI1006),$AM$1006:$BM$1006,0))&gt;=100000), " ",IF(INDEX($AM$2:$BM$1001,MATCH(ROWS($AF$2:AF27),$AF$2:$AF$1001,0),MATCH(COLUMNS($AM$1006:BI1006),$AM$1006:$BM$1006,0)), HYPERLINK("#",""), HYPERLINK(CONCATENATE("#metadata!", ADDRESS(INDEX($AH$2:$AH$1001,MATCH(ROWS($AF$2:AF27),$AF$2:$AF$1001,0),0), INDEX($AM$1004:$BM$1004,1,MATCH(COLUMNS($AM$1006:BI1006),$AM$1006:$BM$1006,0)))),"Fix")))</f>
        <v xml:space="preserve"> </v>
      </c>
      <c r="Y27" s="4" t="str">
        <f ca="1">IF(OR(INDEX($AG$2:$AG$1001,MATCH(ROWS($AF$2:AF27),$AF$2:$AF$1001,0),1)&gt;=100000,INDEX($AM$1005:$BM$1005,1,MATCH(COLUMNS($AM$1006:BJ1006),$AM$1006:$BM$1006,0))&gt;=100000), " ",IF(INDEX($AM$2:$BM$1001,MATCH(ROWS($AF$2:AF27),$AF$2:$AF$1001,0),MATCH(COLUMNS($AM$1006:BJ1006),$AM$1006:$BM$1006,0)), HYPERLINK("#",""), HYPERLINK(CONCATENATE("#metadata!", ADDRESS(INDEX($AH$2:$AH$1001,MATCH(ROWS($AF$2:AF27),$AF$2:$AF$1001,0),0), INDEX($AM$1004:$BM$1004,1,MATCH(COLUMNS($AM$1006:BJ1006),$AM$1006:$BM$1006,0)))),"Fix")))</f>
        <v xml:space="preserve"> </v>
      </c>
      <c r="Z27" s="4" t="str">
        <f ca="1">IF(OR(INDEX($AG$2:$AG$1001,MATCH(ROWS($AF$2:AF27),$AF$2:$AF$1001,0),1)&gt;=100000,INDEX($AM$1005:$BM$1005,1,MATCH(COLUMNS($AM$1006:BK1006),$AM$1006:$BM$1006,0))&gt;=100000), " ",IF(INDEX($AM$2:$BM$1001,MATCH(ROWS($AF$2:AF27),$AF$2:$AF$1001,0),MATCH(COLUMNS($AM$1006:BK1006),$AM$1006:$BM$1006,0)), HYPERLINK("#",""), HYPERLINK(CONCATENATE("#metadata!", ADDRESS(INDEX($AH$2:$AH$1001,MATCH(ROWS($AF$2:AF27),$AF$2:$AF$1001,0),0), INDEX($AM$1004:$BM$1004,1,MATCH(COLUMNS($AM$1006:BK1006),$AM$1006:$BM$1006,0)))),"Fix")))</f>
        <v xml:space="preserve"> </v>
      </c>
      <c r="AA27" s="4" t="str">
        <f ca="1">IF(OR(INDEX($AG$2:$AG$1001,MATCH(ROWS($AF$2:AF27),$AF$2:$AF$1001,0),1)&gt;=100000,INDEX($AM$1005:$BM$1005,1,MATCH(COLUMNS($AM$1006:BL1006),$AM$1006:$BM$1006,0))&gt;=100000), " ",IF(INDEX($AM$2:$BM$1001,MATCH(ROWS($AF$2:AF27),$AF$2:$AF$1001,0),MATCH(COLUMNS($AM$1006:BL1006),$AM$1006:$BM$1006,0)), HYPERLINK("#",""), HYPERLINK(CONCATENATE("#metadata!", ADDRESS(INDEX($AH$2:$AH$1001,MATCH(ROWS($AF$2:AF27),$AF$2:$AF$1001,0),0), INDEX($AM$1004:$BM$1004,1,MATCH(COLUMNS($AM$1006:BL1006),$AM$1006:$BM$1006,0)))),"Fix")))</f>
        <v xml:space="preserve"> </v>
      </c>
      <c r="AB27" s="4" t="str">
        <f ca="1">IF(OR(INDEX($AG$2:$AG$1001,MATCH(ROWS($AF$2:AF27),$AF$2:$AF$1001,0),1)&gt;=100000,INDEX($AM$1005:$BM$1005,1,MATCH(COLUMNS($AM$1006:BM1006),$AM$1006:$BM$1006,0))&gt;=100000), " ",IF(INDEX($AM$2:$BM$1001,MATCH(ROWS($AF$2:AF27),$AF$2:$AF$1001,0),MATCH(COLUMNS($AM$1006:BM1006),$AM$1006:$BM$1006,0)), HYPERLINK("#",""), HYPERLINK(CONCATENATE("#metadata!", ADDRESS(INDEX($AH$2:$AH$1001,MATCH(ROWS($AF$2:AF27),$AF$2:$AF$1001,0),0), INDEX($AM$1004:$BM$1004,1,MATCH(COLUMNS($AM$1006:BM1006),$AM$1006:$BM$1006,0)))),"Fix")))</f>
        <v xml:space="preserve"> </v>
      </c>
      <c r="AF27">
        <v>26</v>
      </c>
      <c r="AG27">
        <v>100027</v>
      </c>
      <c r="AH27">
        <v>27</v>
      </c>
      <c r="AI27" t="b">
        <f t="shared" si="0"/>
        <v>1</v>
      </c>
      <c r="AJ27" t="b">
        <f>COUNTBLANK(metadata!B27:AB27)=COLUMNS(metadata!B27:AB27)</f>
        <v>1</v>
      </c>
      <c r="AK27" t="str">
        <v/>
      </c>
      <c r="AM27" t="b">
        <f ca="1">AND(IF(metadata!B27="",FALSE,TRUE),COUNTIF(metadata!B:B, metadata!B27) = 1,NOT(ISERROR(SUMPRODUCT(SEARCH(MID(metadata!B27,ROW(INDIRECT("1:"&amp;LEN(metadata!B27))), 1),"0123456789abcdefghijklmnopqrstuvwxyzABCDEFGHIJKLMNOPQRSTUVWXYZ.")))))</f>
        <v>0</v>
      </c>
      <c r="AN27" t="b">
        <f ca="1">OR(AND(IF(metadata!C27="",FALSE,TRUE),OR(EXACT(metadata!C27,"missing: not collected"),EXACT(metadata!C27,"missing: not provided"),EXACT(metadata!C27,"missing: restricted access"))),AND(IF(metadata!C27="",FALSE,TRUE),AND(AND(IFERROR(INT(LEFT(metadata!C27,4))&gt;1900,FALSE),IFERROR(INT(LEFT(metadata!C27,4))&lt;=YEAR(NOW()),FALSE)), OR(MID(metadata!C27,5,1)="", AND(AND(MID(metadata!C27,5,1)="-",IFERROR(INT(MID(metadata!C27,6,1))&gt;=0,FALSE),IFERROR(INT(MID(metadata!C27,6,1))&lt;=1,FALSE),NOT(MID(metadata!C27,7,1)=""),IFERROR(INT(MID(metadata!C27,6,2))&gt;=1,FALSE),IFERROR(INT(MID(metadata!C27,6,2))&lt;=12,FALSE)), OR(MID(metadata!C27,8,1)="", AND(AND(MID(metadata!C27,8,1)="-",IFERROR(INT(MID(metadata!C27,9,1))&gt;=0,FALSE),IFERROR(INT(MID(metadata!C27,9,1))&lt;=3,FALSE),NOT(MID(metadata!C27,10,1)=""),IFERROR(INT(MID(metadata!C27,9,2))&gt;=1,FALSE),IFERROR(INT(MID(metadata!C27,9,2))&lt;=31,FALSE)), OR(MID(metadata!C27,11,1)="", AND(AND(MID(metadata!C27,11,1)=" ",IFERROR(INT(MID(metadata!C27,12,1))&gt;=0,FALSE),IFERROR(INT(MID(metadata!C27,12,1))&lt;=2,FALSE),NOT(MID(metadata!C27,13,1)=""),IFERROR(INT(MID(metadata!C27,12,2))&gt;=0,FALSE),IFERROR(INT(MID(metadata!C27,12,2))&lt;=23,FALSE)), OR(MID(metadata!C27,14,1)="", AND(AND(MID(metadata!C27,14,1)=":",IFERROR(INT(MID(metadata!C27,15,1))&gt;=0,FALSE),IFERROR(INT(MID(metadata!C27,15,1))&lt;=5,FALSE),NOT(MID(metadata!C27,16,1)=""),IFERROR(INT(MID(metadata!C27,15,2))&gt;=0,FALSE),IFERROR(INT(MID(metadata!C27,15,2))&lt;=59,FALSE)), OR(MID(metadata!C27,17,1)="", AND(AND(MID(metadata!C27,17,1)=":",IFERROR(INT(MID(metadata!C27,18,1))&gt;=0,FALSE),IFERROR(INT(MID(metadata!C27,18,1))&lt;=5,FALSE),NOT(MID(metadata!C27,19,1)=""),IFERROR(INT(MID(metadata!C27,18,2))&gt;=0,FALSE),IFERROR(INT(MID(metadata!C27,18,2))&lt;=59,FALSE)), LEN(metadata!C27)&lt;=19)))))))))))))</f>
        <v>0</v>
      </c>
      <c r="AO27" t="b">
        <f>AND(IF(metadata!D27="",FALSE,TRUE),EXACT(metadata!D27,"Not applicable"))</f>
        <v>0</v>
      </c>
      <c r="AP27" t="b">
        <f>IF(metadata!E27="",FALSE,TRUE)</f>
        <v>0</v>
      </c>
      <c r="AQ27" t="b">
        <f>OR(AND(IF(metadata!F27="",FALSE,TRUE),OR(EXACT(metadata!F27,"missing: not collected"),EXACT(metadata!F27,"missing: not provided"))),AND(IF(metadata!F27="",FALSE,TRUE),OR(EXACT(metadata!F27,"TRUE"),EXACT(metadata!F27,"FALSE"))))</f>
        <v>0</v>
      </c>
      <c r="AR27" t="b">
        <f>OR(AND(IF(metadata!G27="",FALSE,TRUE),OR(EXACT(metadata!G27,"missing: not collected"),EXACT(metadata!G27,"missing: not provided"),EXACT(metadata!G27,"missing: restricted access"))),AND(IF(metadata!G27="",FALSE,ISNUMBER(VALUE(metadata!G27))),metadata!G27&gt;=-413))</f>
        <v>0</v>
      </c>
      <c r="AS27" t="b">
        <f>AND(IF(metadata!H27="",FALSE,TRUE),EXACT(metadata!H27,"meters"))</f>
        <v>0</v>
      </c>
      <c r="AT27" t="b">
        <f>AND(IF(metadata!I27="",FALSE,TRUE),OR(EXACT(metadata!I27,"Host-associated"),EXACT(metadata!I27,"Free-living")))</f>
        <v>0</v>
      </c>
      <c r="AU27" t="b">
        <f>AND(IF(metadata!J27="",FALSE,TRUE),OR(EXACT(metadata!J27,"Animal"),EXACT(metadata!J27,"Fungus"),EXACT(metadata!J27,"Plant"),EXACT(metadata!J27,"Saline"),EXACT(metadata!J27,"Non-saline")))</f>
        <v>0</v>
      </c>
      <c r="AV27" t="b">
        <f>AND(IF(metadata!K27="",FALSE,TRUE),OR(EXACT(metadata!K27,"Plant secretion"),EXACT(metadata!K27,"Plant rhizosphere"),EXACT(metadata!K27,"Plant surface"),EXACT(metadata!K27,"Plant corpus"),EXACT(metadata!K27,"Fungus surface"),EXACT(metadata!K27,"Fungus corpus"),EXACT(metadata!K27,"Animal surface"),EXACT(metadata!K27,"Animal proximal gut"),EXACT(metadata!K27,"Animal corpus"),EXACT(metadata!K27,"Animal distal gut"),EXACT(metadata!K27,"Animal secretion"),EXACT(metadata!K27,"Sub-surface (non-saline)"),EXACT(metadata!K27,"Surface (non-saline)"),EXACT(metadata!K27,"Water (non-saline)"),EXACT(metadata!K27,"Soil (non-saline)"),EXACT(metadata!K27,"Aerosol (non-saline)"),EXACT(metadata!K27,"Sediment (non-saline)"),EXACT(metadata!K27,"Surface (saline)"),EXACT(metadata!K27,"Water (saline)"),EXACT(metadata!K27,"Hypersaline (saline)"),EXACT(metadata!K27,"Aerosol (saline)"),EXACT(metadata!K27,"Sediment (saline)")))</f>
        <v>0</v>
      </c>
      <c r="AW27" t="b">
        <f>IF(metadata!L27="",FALSE,TRUE)</f>
        <v>0</v>
      </c>
      <c r="AX27" t="b">
        <f>IF(metadata!M27="",FALSE,TRUE)</f>
        <v>0</v>
      </c>
      <c r="AY27" t="b">
        <f>IF(metadata!N27="",FALSE,TRUE)</f>
        <v>0</v>
      </c>
      <c r="AZ27" t="b">
        <f>OR(AND(IF(metadata!O27="",FALSE,TRUE),OR(EXACT(metadata!O27,"missing: not collected"),EXACT(metadata!O27,"missing: not provided"),EXACT(metadata!O27,"missing: restricted access"))),AND(IF(metadata!O27="",FALSE,TRUE),OR(EXACT(metadata!O27,"air"),EXACT(metadata!O27,"built environment"),EXACT(metadata!O27,"host-associated"),EXACT(metadata!O27,"human-associated"),EXACT(metadata!O27,"human-skin"),EXACT(metadata!O27,"human-oral"),EXACT(metadata!O27,"human-gut"),EXACT(metadata!O27,"human-vaginal"),EXACT(metadata!O27,"microbial mat/biofilm"),EXACT(metadata!O27,"misc environment"),EXACT(metadata!O27,"plant-associated"),EXACT(metadata!O27,"sediment"),EXACT(metadata!O27,"soil"),EXACT(metadata!O27,"wastewater/sludge"),EXACT(metadata!O27,"water"))))</f>
        <v>0</v>
      </c>
      <c r="BA27" t="b">
        <f>IF(metadata!P27="",FALSE,TRUE)</f>
        <v>0</v>
      </c>
      <c r="BB27" t="b">
        <f>IF(metadata!Q27="",FALSE,TRUE)</f>
        <v>0</v>
      </c>
      <c r="BC27" t="b">
        <f>OR(AND(IF(metadata!R27="",FALSE,TRUE),OR(EXACT(metadata!R27,"missing: not collected"),EXACT(metadata!R27,"missing: not provided"),EXACT(metadata!R27,"missing: restricted access"))),AND(IF(metadata!R27="",FALSE,ISNUMBER(VALUE(metadata!R27))),metadata!R27&gt;=-90,metadata!R27&lt;=90))</f>
        <v>0</v>
      </c>
      <c r="BD27" t="b">
        <f>AND(IF(metadata!S27="",FALSE,TRUE),EXACT(metadata!S27,"Decimal degrees"))</f>
        <v>0</v>
      </c>
      <c r="BE27" t="b">
        <f>OR(AND(IF(metadata!T27="",FALSE,TRUE),OR(EXACT(metadata!T27,"missing: not collected"),EXACT(metadata!T27,"missing: not provided"),EXACT(metadata!T27,"missing: restricted access"))),AND(IF(metadata!T27="",FALSE,ISNUMBER(VALUE(metadata!T27))),metadata!T27&gt;=-180,metadata!T27&lt;=180))</f>
        <v>0</v>
      </c>
      <c r="BF27" t="b">
        <f>AND(IF(metadata!U27="",FALSE,TRUE),EXACT(metadata!U27,"Decimal degrees"))</f>
        <v>0</v>
      </c>
      <c r="BG27" t="b">
        <f>IF(metadata!V27="",FALSE,TRUE)</f>
        <v>0</v>
      </c>
      <c r="BH27" t="b">
        <f>OR(AND(IF(metadata!W27="",FALSE,TRUE),OR(EXACT(metadata!W27,"missing: not collected"),EXACT(metadata!W27,"missing: not provided"),EXACT(metadata!W27,"missing: restricted access"))),AND(IF(metadata!W27="",FALSE,TRUE),OR(EXACT(metadata!W27,"TRUE"),EXACT(metadata!W27,"FALSE"))))</f>
        <v>0</v>
      </c>
      <c r="BI27" t="b">
        <f>AND(IF(metadata!X27="",FALSE,TRUE),EXACT(metadata!X27,"other"))</f>
        <v>0</v>
      </c>
      <c r="BJ27" t="b">
        <f>IF(metadata!Y27="",FALSE,TRUE)</f>
        <v>0</v>
      </c>
      <c r="BK27" t="b">
        <f>OR(AND(IF(metadata!Z27="",FALSE,TRUE),OR(EXACT(metadata!Z27,"missing: not collected"),EXACT(metadata!Z27,"missing: not provided"))),AND(IF(metadata!Z27="",FALSE,IF(ISERROR(INT(metadata!Z27)),FALSE,INT(metadata!Z27)=metadata!Z27)),metadata!Z27&gt;0))</f>
        <v>0</v>
      </c>
      <c r="BL27" t="b">
        <f>AND(IF(metadata!AA27="",FALSE,TRUE),EXACT(metadata!AA27,"Not applicable"))</f>
        <v>0</v>
      </c>
      <c r="BM27" t="b">
        <f>IF(metadata!AB27="",FALSE,TRUE)</f>
        <v>0</v>
      </c>
    </row>
    <row r="28" spans="1:65" x14ac:dyDescent="0.2">
      <c r="A28" s="5" t="str">
        <f ca="1">IF(B28=" "," ",HYPERLINK(CONCATENATE("#metadata!",ADDRESS(INDEX($AH$2:$AH$1001,MATCH(ROWS($AF$2:AF28),$AF$2:$AF$1001,0),0),1)),INDEX($AK$2:$AK$1001,MATCH(ROWS($AF$2:AF28),$AF$2:$AF$1001,0),0)))</f>
        <v xml:space="preserve"> </v>
      </c>
      <c r="B28" s="4" t="str">
        <f ca="1">IF(OR(INDEX($AG$2:$AG$1001,MATCH(ROWS($AF$2:AF28),$AF$2:$AF$1001,0),1)&gt;=100000,INDEX($AM$1005:$BM$1005,1,MATCH(COLUMNS($AM$1006:AM1006),$AM$1006:$BM$1006,0))&gt;=100000), " ",IF(INDEX($AM$2:$BM$1001,MATCH(ROWS($AF$2:AF28),$AF$2:$AF$1001,0),MATCH(COLUMNS($AM$1006:AM1006),$AM$1006:$BM$1006,0)), HYPERLINK("#",""), HYPERLINK(CONCATENATE("#metadata!", ADDRESS(INDEX($AH$2:$AH$1001,MATCH(ROWS($AF$2:AF28),$AF$2:$AF$1001,0),0), INDEX($AM$1004:$BM$1004,1,MATCH(COLUMNS($AM$1006:AM1006),$AM$1006:$BM$1006,0)))),"Fix")))</f>
        <v xml:space="preserve"> </v>
      </c>
      <c r="C28" s="4" t="str">
        <f ca="1">IF(OR(INDEX($AG$2:$AG$1001,MATCH(ROWS($AF$2:AF28),$AF$2:$AF$1001,0),1)&gt;=100000,INDEX($AM$1005:$BM$1005,1,MATCH(COLUMNS($AM$1006:AN1006),$AM$1006:$BM$1006,0))&gt;=100000), " ",IF(INDEX($AM$2:$BM$1001,MATCH(ROWS($AF$2:AF28),$AF$2:$AF$1001,0),MATCH(COLUMNS($AM$1006:AN1006),$AM$1006:$BM$1006,0)), HYPERLINK("#",""), HYPERLINK(CONCATENATE("#metadata!", ADDRESS(INDEX($AH$2:$AH$1001,MATCH(ROWS($AF$2:AF28),$AF$2:$AF$1001,0),0), INDEX($AM$1004:$BM$1004,1,MATCH(COLUMNS($AM$1006:AN1006),$AM$1006:$BM$1006,0)))),"Fix")))</f>
        <v xml:space="preserve"> </v>
      </c>
      <c r="D28" s="4" t="str">
        <f ca="1">IF(OR(INDEX($AG$2:$AG$1001,MATCH(ROWS($AF$2:AF28),$AF$2:$AF$1001,0),1)&gt;=100000,INDEX($AM$1005:$BM$1005,1,MATCH(COLUMNS($AM$1006:AO1006),$AM$1006:$BM$1006,0))&gt;=100000), " ",IF(INDEX($AM$2:$BM$1001,MATCH(ROWS($AF$2:AF28),$AF$2:$AF$1001,0),MATCH(COLUMNS($AM$1006:AO1006),$AM$1006:$BM$1006,0)), HYPERLINK("#",""), HYPERLINK(CONCATENATE("#metadata!", ADDRESS(INDEX($AH$2:$AH$1001,MATCH(ROWS($AF$2:AF28),$AF$2:$AF$1001,0),0), INDEX($AM$1004:$BM$1004,1,MATCH(COLUMNS($AM$1006:AO1006),$AM$1006:$BM$1006,0)))),"Fix")))</f>
        <v xml:space="preserve"> </v>
      </c>
      <c r="E28" s="4" t="str">
        <f ca="1">IF(OR(INDEX($AG$2:$AG$1001,MATCH(ROWS($AF$2:AF28),$AF$2:$AF$1001,0),1)&gt;=100000,INDEX($AM$1005:$BM$1005,1,MATCH(COLUMNS($AM$1006:AP1006),$AM$1006:$BM$1006,0))&gt;=100000), " ",IF(INDEX($AM$2:$BM$1001,MATCH(ROWS($AF$2:AF28),$AF$2:$AF$1001,0),MATCH(COLUMNS($AM$1006:AP1006),$AM$1006:$BM$1006,0)), HYPERLINK("#",""), HYPERLINK(CONCATENATE("#metadata!", ADDRESS(INDEX($AH$2:$AH$1001,MATCH(ROWS($AF$2:AF28),$AF$2:$AF$1001,0),0), INDEX($AM$1004:$BM$1004,1,MATCH(COLUMNS($AM$1006:AP1006),$AM$1006:$BM$1006,0)))),"Fix")))</f>
        <v xml:space="preserve"> </v>
      </c>
      <c r="F28" s="4" t="str">
        <f ca="1">IF(OR(INDEX($AG$2:$AG$1001,MATCH(ROWS($AF$2:AF28),$AF$2:$AF$1001,0),1)&gt;=100000,INDEX($AM$1005:$BM$1005,1,MATCH(COLUMNS($AM$1006:AQ1006),$AM$1006:$BM$1006,0))&gt;=100000), " ",IF(INDEX($AM$2:$BM$1001,MATCH(ROWS($AF$2:AF28),$AF$2:$AF$1001,0),MATCH(COLUMNS($AM$1006:AQ1006),$AM$1006:$BM$1006,0)), HYPERLINK("#",""), HYPERLINK(CONCATENATE("#metadata!", ADDRESS(INDEX($AH$2:$AH$1001,MATCH(ROWS($AF$2:AF28),$AF$2:$AF$1001,0),0), INDEX($AM$1004:$BM$1004,1,MATCH(COLUMNS($AM$1006:AQ1006),$AM$1006:$BM$1006,0)))),"Fix")))</f>
        <v xml:space="preserve"> </v>
      </c>
      <c r="G28" s="4" t="str">
        <f ca="1">IF(OR(INDEX($AG$2:$AG$1001,MATCH(ROWS($AF$2:AF28),$AF$2:$AF$1001,0),1)&gt;=100000,INDEX($AM$1005:$BM$1005,1,MATCH(COLUMNS($AM$1006:AR1006),$AM$1006:$BM$1006,0))&gt;=100000), " ",IF(INDEX($AM$2:$BM$1001,MATCH(ROWS($AF$2:AF28),$AF$2:$AF$1001,0),MATCH(COLUMNS($AM$1006:AR1006),$AM$1006:$BM$1006,0)), HYPERLINK("#",""), HYPERLINK(CONCATENATE("#metadata!", ADDRESS(INDEX($AH$2:$AH$1001,MATCH(ROWS($AF$2:AF28),$AF$2:$AF$1001,0),0), INDEX($AM$1004:$BM$1004,1,MATCH(COLUMNS($AM$1006:AR1006),$AM$1006:$BM$1006,0)))),"Fix")))</f>
        <v xml:space="preserve"> </v>
      </c>
      <c r="H28" s="4" t="str">
        <f ca="1">IF(OR(INDEX($AG$2:$AG$1001,MATCH(ROWS($AF$2:AF28),$AF$2:$AF$1001,0),1)&gt;=100000,INDEX($AM$1005:$BM$1005,1,MATCH(COLUMNS($AM$1006:AS1006),$AM$1006:$BM$1006,0))&gt;=100000), " ",IF(INDEX($AM$2:$BM$1001,MATCH(ROWS($AF$2:AF28),$AF$2:$AF$1001,0),MATCH(COLUMNS($AM$1006:AS1006),$AM$1006:$BM$1006,0)), HYPERLINK("#",""), HYPERLINK(CONCATENATE("#metadata!", ADDRESS(INDEX($AH$2:$AH$1001,MATCH(ROWS($AF$2:AF28),$AF$2:$AF$1001,0),0), INDEX($AM$1004:$BM$1004,1,MATCH(COLUMNS($AM$1006:AS1006),$AM$1006:$BM$1006,0)))),"Fix")))</f>
        <v xml:space="preserve"> </v>
      </c>
      <c r="I28" s="4" t="str">
        <f ca="1">IF(OR(INDEX($AG$2:$AG$1001,MATCH(ROWS($AF$2:AF28),$AF$2:$AF$1001,0),1)&gt;=100000,INDEX($AM$1005:$BM$1005,1,MATCH(COLUMNS($AM$1006:AT1006),$AM$1006:$BM$1006,0))&gt;=100000), " ",IF(INDEX($AM$2:$BM$1001,MATCH(ROWS($AF$2:AF28),$AF$2:$AF$1001,0),MATCH(COLUMNS($AM$1006:AT1006),$AM$1006:$BM$1006,0)), HYPERLINK("#",""), HYPERLINK(CONCATENATE("#metadata!", ADDRESS(INDEX($AH$2:$AH$1001,MATCH(ROWS($AF$2:AF28),$AF$2:$AF$1001,0),0), INDEX($AM$1004:$BM$1004,1,MATCH(COLUMNS($AM$1006:AT1006),$AM$1006:$BM$1006,0)))),"Fix")))</f>
        <v xml:space="preserve"> </v>
      </c>
      <c r="J28" s="4" t="str">
        <f ca="1">IF(OR(INDEX($AG$2:$AG$1001,MATCH(ROWS($AF$2:AF28),$AF$2:$AF$1001,0),1)&gt;=100000,INDEX($AM$1005:$BM$1005,1,MATCH(COLUMNS($AM$1006:AU1006),$AM$1006:$BM$1006,0))&gt;=100000), " ",IF(INDEX($AM$2:$BM$1001,MATCH(ROWS($AF$2:AF28),$AF$2:$AF$1001,0),MATCH(COLUMNS($AM$1006:AU1006),$AM$1006:$BM$1006,0)), HYPERLINK("#",""), HYPERLINK(CONCATENATE("#metadata!", ADDRESS(INDEX($AH$2:$AH$1001,MATCH(ROWS($AF$2:AF28),$AF$2:$AF$1001,0),0), INDEX($AM$1004:$BM$1004,1,MATCH(COLUMNS($AM$1006:AU1006),$AM$1006:$BM$1006,0)))),"Fix")))</f>
        <v xml:space="preserve"> </v>
      </c>
      <c r="K28" s="4" t="str">
        <f ca="1">IF(OR(INDEX($AG$2:$AG$1001,MATCH(ROWS($AF$2:AF28),$AF$2:$AF$1001,0),1)&gt;=100000,INDEX($AM$1005:$BM$1005,1,MATCH(COLUMNS($AM$1006:AV1006),$AM$1006:$BM$1006,0))&gt;=100000), " ",IF(INDEX($AM$2:$BM$1001,MATCH(ROWS($AF$2:AF28),$AF$2:$AF$1001,0),MATCH(COLUMNS($AM$1006:AV1006),$AM$1006:$BM$1006,0)), HYPERLINK("#",""), HYPERLINK(CONCATENATE("#metadata!", ADDRESS(INDEX($AH$2:$AH$1001,MATCH(ROWS($AF$2:AF28),$AF$2:$AF$1001,0),0), INDEX($AM$1004:$BM$1004,1,MATCH(COLUMNS($AM$1006:AV1006),$AM$1006:$BM$1006,0)))),"Fix")))</f>
        <v xml:space="preserve"> </v>
      </c>
      <c r="L28" s="4" t="str">
        <f ca="1">IF(OR(INDEX($AG$2:$AG$1001,MATCH(ROWS($AF$2:AF28),$AF$2:$AF$1001,0),1)&gt;=100000,INDEX($AM$1005:$BM$1005,1,MATCH(COLUMNS($AM$1006:AW1006),$AM$1006:$BM$1006,0))&gt;=100000), " ",IF(INDEX($AM$2:$BM$1001,MATCH(ROWS($AF$2:AF28),$AF$2:$AF$1001,0),MATCH(COLUMNS($AM$1006:AW1006),$AM$1006:$BM$1006,0)), HYPERLINK("#",""), HYPERLINK(CONCATENATE("#metadata!", ADDRESS(INDEX($AH$2:$AH$1001,MATCH(ROWS($AF$2:AF28),$AF$2:$AF$1001,0),0), INDEX($AM$1004:$BM$1004,1,MATCH(COLUMNS($AM$1006:AW1006),$AM$1006:$BM$1006,0)))),"Fix")))</f>
        <v xml:space="preserve"> </v>
      </c>
      <c r="M28" s="4" t="str">
        <f ca="1">IF(OR(INDEX($AG$2:$AG$1001,MATCH(ROWS($AF$2:AF28),$AF$2:$AF$1001,0),1)&gt;=100000,INDEX($AM$1005:$BM$1005,1,MATCH(COLUMNS($AM$1006:AX1006),$AM$1006:$BM$1006,0))&gt;=100000), " ",IF(INDEX($AM$2:$BM$1001,MATCH(ROWS($AF$2:AF28),$AF$2:$AF$1001,0),MATCH(COLUMNS($AM$1006:AX1006),$AM$1006:$BM$1006,0)), HYPERLINK("#",""), HYPERLINK(CONCATENATE("#metadata!", ADDRESS(INDEX($AH$2:$AH$1001,MATCH(ROWS($AF$2:AF28),$AF$2:$AF$1001,0),0), INDEX($AM$1004:$BM$1004,1,MATCH(COLUMNS($AM$1006:AX1006),$AM$1006:$BM$1006,0)))),"Fix")))</f>
        <v xml:space="preserve"> </v>
      </c>
      <c r="N28" s="4" t="str">
        <f ca="1">IF(OR(INDEX($AG$2:$AG$1001,MATCH(ROWS($AF$2:AF28),$AF$2:$AF$1001,0),1)&gt;=100000,INDEX($AM$1005:$BM$1005,1,MATCH(COLUMNS($AM$1006:AY1006),$AM$1006:$BM$1006,0))&gt;=100000), " ",IF(INDEX($AM$2:$BM$1001,MATCH(ROWS($AF$2:AF28),$AF$2:$AF$1001,0),MATCH(COLUMNS($AM$1006:AY1006),$AM$1006:$BM$1006,0)), HYPERLINK("#",""), HYPERLINK(CONCATENATE("#metadata!", ADDRESS(INDEX($AH$2:$AH$1001,MATCH(ROWS($AF$2:AF28),$AF$2:$AF$1001,0),0), INDEX($AM$1004:$BM$1004,1,MATCH(COLUMNS($AM$1006:AY1006),$AM$1006:$BM$1006,0)))),"Fix")))</f>
        <v xml:space="preserve"> </v>
      </c>
      <c r="O28" s="4" t="str">
        <f ca="1">IF(OR(INDEX($AG$2:$AG$1001,MATCH(ROWS($AF$2:AF28),$AF$2:$AF$1001,0),1)&gt;=100000,INDEX($AM$1005:$BM$1005,1,MATCH(COLUMNS($AM$1006:AZ1006),$AM$1006:$BM$1006,0))&gt;=100000), " ",IF(INDEX($AM$2:$BM$1001,MATCH(ROWS($AF$2:AF28),$AF$2:$AF$1001,0),MATCH(COLUMNS($AM$1006:AZ1006),$AM$1006:$BM$1006,0)), HYPERLINK("#",""), HYPERLINK(CONCATENATE("#metadata!", ADDRESS(INDEX($AH$2:$AH$1001,MATCH(ROWS($AF$2:AF28),$AF$2:$AF$1001,0),0), INDEX($AM$1004:$BM$1004,1,MATCH(COLUMNS($AM$1006:AZ1006),$AM$1006:$BM$1006,0)))),"Fix")))</f>
        <v xml:space="preserve"> </v>
      </c>
      <c r="P28" s="4" t="str">
        <f ca="1">IF(OR(INDEX($AG$2:$AG$1001,MATCH(ROWS($AF$2:AF28),$AF$2:$AF$1001,0),1)&gt;=100000,INDEX($AM$1005:$BM$1005,1,MATCH(COLUMNS($AM$1006:BA1006),$AM$1006:$BM$1006,0))&gt;=100000), " ",IF(INDEX($AM$2:$BM$1001,MATCH(ROWS($AF$2:AF28),$AF$2:$AF$1001,0),MATCH(COLUMNS($AM$1006:BA1006),$AM$1006:$BM$1006,0)), HYPERLINK("#",""), HYPERLINK(CONCATENATE("#metadata!", ADDRESS(INDEX($AH$2:$AH$1001,MATCH(ROWS($AF$2:AF28),$AF$2:$AF$1001,0),0), INDEX($AM$1004:$BM$1004,1,MATCH(COLUMNS($AM$1006:BA1006),$AM$1006:$BM$1006,0)))),"Fix")))</f>
        <v xml:space="preserve"> </v>
      </c>
      <c r="Q28" s="4" t="str">
        <f ca="1">IF(OR(INDEX($AG$2:$AG$1001,MATCH(ROWS($AF$2:AF28),$AF$2:$AF$1001,0),1)&gt;=100000,INDEX($AM$1005:$BM$1005,1,MATCH(COLUMNS($AM$1006:BB1006),$AM$1006:$BM$1006,0))&gt;=100000), " ",IF(INDEX($AM$2:$BM$1001,MATCH(ROWS($AF$2:AF28),$AF$2:$AF$1001,0),MATCH(COLUMNS($AM$1006:BB1006),$AM$1006:$BM$1006,0)), HYPERLINK("#",""), HYPERLINK(CONCATENATE("#metadata!", ADDRESS(INDEX($AH$2:$AH$1001,MATCH(ROWS($AF$2:AF28),$AF$2:$AF$1001,0),0), INDEX($AM$1004:$BM$1004,1,MATCH(COLUMNS($AM$1006:BB1006),$AM$1006:$BM$1006,0)))),"Fix")))</f>
        <v xml:space="preserve"> </v>
      </c>
      <c r="R28" s="4" t="str">
        <f ca="1">IF(OR(INDEX($AG$2:$AG$1001,MATCH(ROWS($AF$2:AF28),$AF$2:$AF$1001,0),1)&gt;=100000,INDEX($AM$1005:$BM$1005,1,MATCH(COLUMNS($AM$1006:BC1006),$AM$1006:$BM$1006,0))&gt;=100000), " ",IF(INDEX($AM$2:$BM$1001,MATCH(ROWS($AF$2:AF28),$AF$2:$AF$1001,0),MATCH(COLUMNS($AM$1006:BC1006),$AM$1006:$BM$1006,0)), HYPERLINK("#",""), HYPERLINK(CONCATENATE("#metadata!", ADDRESS(INDEX($AH$2:$AH$1001,MATCH(ROWS($AF$2:AF28),$AF$2:$AF$1001,0),0), INDEX($AM$1004:$BM$1004,1,MATCH(COLUMNS($AM$1006:BC1006),$AM$1006:$BM$1006,0)))),"Fix")))</f>
        <v xml:space="preserve"> </v>
      </c>
      <c r="S28" s="4" t="str">
        <f ca="1">IF(OR(INDEX($AG$2:$AG$1001,MATCH(ROWS($AF$2:AF28),$AF$2:$AF$1001,0),1)&gt;=100000,INDEX($AM$1005:$BM$1005,1,MATCH(COLUMNS($AM$1006:BD1006),$AM$1006:$BM$1006,0))&gt;=100000), " ",IF(INDEX($AM$2:$BM$1001,MATCH(ROWS($AF$2:AF28),$AF$2:$AF$1001,0),MATCH(COLUMNS($AM$1006:BD1006),$AM$1006:$BM$1006,0)), HYPERLINK("#",""), HYPERLINK(CONCATENATE("#metadata!", ADDRESS(INDEX($AH$2:$AH$1001,MATCH(ROWS($AF$2:AF28),$AF$2:$AF$1001,0),0), INDEX($AM$1004:$BM$1004,1,MATCH(COLUMNS($AM$1006:BD1006),$AM$1006:$BM$1006,0)))),"Fix")))</f>
        <v xml:space="preserve"> </v>
      </c>
      <c r="T28" s="4" t="str">
        <f ca="1">IF(OR(INDEX($AG$2:$AG$1001,MATCH(ROWS($AF$2:AF28),$AF$2:$AF$1001,0),1)&gt;=100000,INDEX($AM$1005:$BM$1005,1,MATCH(COLUMNS($AM$1006:BE1006),$AM$1006:$BM$1006,0))&gt;=100000), " ",IF(INDEX($AM$2:$BM$1001,MATCH(ROWS($AF$2:AF28),$AF$2:$AF$1001,0),MATCH(COLUMNS($AM$1006:BE1006),$AM$1006:$BM$1006,0)), HYPERLINK("#",""), HYPERLINK(CONCATENATE("#metadata!", ADDRESS(INDEX($AH$2:$AH$1001,MATCH(ROWS($AF$2:AF28),$AF$2:$AF$1001,0),0), INDEX($AM$1004:$BM$1004,1,MATCH(COLUMNS($AM$1006:BE1006),$AM$1006:$BM$1006,0)))),"Fix")))</f>
        <v xml:space="preserve"> </v>
      </c>
      <c r="U28" s="4" t="str">
        <f ca="1">IF(OR(INDEX($AG$2:$AG$1001,MATCH(ROWS($AF$2:AF28),$AF$2:$AF$1001,0),1)&gt;=100000,INDEX($AM$1005:$BM$1005,1,MATCH(COLUMNS($AM$1006:BF1006),$AM$1006:$BM$1006,0))&gt;=100000), " ",IF(INDEX($AM$2:$BM$1001,MATCH(ROWS($AF$2:AF28),$AF$2:$AF$1001,0),MATCH(COLUMNS($AM$1006:BF1006),$AM$1006:$BM$1006,0)), HYPERLINK("#",""), HYPERLINK(CONCATENATE("#metadata!", ADDRESS(INDEX($AH$2:$AH$1001,MATCH(ROWS($AF$2:AF28),$AF$2:$AF$1001,0),0), INDEX($AM$1004:$BM$1004,1,MATCH(COLUMNS($AM$1006:BF1006),$AM$1006:$BM$1006,0)))),"Fix")))</f>
        <v xml:space="preserve"> </v>
      </c>
      <c r="V28" s="4" t="str">
        <f ca="1">IF(OR(INDEX($AG$2:$AG$1001,MATCH(ROWS($AF$2:AF28),$AF$2:$AF$1001,0),1)&gt;=100000,INDEX($AM$1005:$BM$1005,1,MATCH(COLUMNS($AM$1006:BG1006),$AM$1006:$BM$1006,0))&gt;=100000), " ",IF(INDEX($AM$2:$BM$1001,MATCH(ROWS($AF$2:AF28),$AF$2:$AF$1001,0),MATCH(COLUMNS($AM$1006:BG1006),$AM$1006:$BM$1006,0)), HYPERLINK("#",""), HYPERLINK(CONCATENATE("#metadata!", ADDRESS(INDEX($AH$2:$AH$1001,MATCH(ROWS($AF$2:AF28),$AF$2:$AF$1001,0),0), INDEX($AM$1004:$BM$1004,1,MATCH(COLUMNS($AM$1006:BG1006),$AM$1006:$BM$1006,0)))),"Fix")))</f>
        <v xml:space="preserve"> </v>
      </c>
      <c r="W28" s="4" t="str">
        <f ca="1">IF(OR(INDEX($AG$2:$AG$1001,MATCH(ROWS($AF$2:AF28),$AF$2:$AF$1001,0),1)&gt;=100000,INDEX($AM$1005:$BM$1005,1,MATCH(COLUMNS($AM$1006:BH1006),$AM$1006:$BM$1006,0))&gt;=100000), " ",IF(INDEX($AM$2:$BM$1001,MATCH(ROWS($AF$2:AF28),$AF$2:$AF$1001,0),MATCH(COLUMNS($AM$1006:BH1006),$AM$1006:$BM$1006,0)), HYPERLINK("#",""), HYPERLINK(CONCATENATE("#metadata!", ADDRESS(INDEX($AH$2:$AH$1001,MATCH(ROWS($AF$2:AF28),$AF$2:$AF$1001,0),0), INDEX($AM$1004:$BM$1004,1,MATCH(COLUMNS($AM$1006:BH1006),$AM$1006:$BM$1006,0)))),"Fix")))</f>
        <v xml:space="preserve"> </v>
      </c>
      <c r="X28" s="4" t="str">
        <f ca="1">IF(OR(INDEX($AG$2:$AG$1001,MATCH(ROWS($AF$2:AF28),$AF$2:$AF$1001,0),1)&gt;=100000,INDEX($AM$1005:$BM$1005,1,MATCH(COLUMNS($AM$1006:BI1006),$AM$1006:$BM$1006,0))&gt;=100000), " ",IF(INDEX($AM$2:$BM$1001,MATCH(ROWS($AF$2:AF28),$AF$2:$AF$1001,0),MATCH(COLUMNS($AM$1006:BI1006),$AM$1006:$BM$1006,0)), HYPERLINK("#",""), HYPERLINK(CONCATENATE("#metadata!", ADDRESS(INDEX($AH$2:$AH$1001,MATCH(ROWS($AF$2:AF28),$AF$2:$AF$1001,0),0), INDEX($AM$1004:$BM$1004,1,MATCH(COLUMNS($AM$1006:BI1006),$AM$1006:$BM$1006,0)))),"Fix")))</f>
        <v xml:space="preserve"> </v>
      </c>
      <c r="Y28" s="4" t="str">
        <f ca="1">IF(OR(INDEX($AG$2:$AG$1001,MATCH(ROWS($AF$2:AF28),$AF$2:$AF$1001,0),1)&gt;=100000,INDEX($AM$1005:$BM$1005,1,MATCH(COLUMNS($AM$1006:BJ1006),$AM$1006:$BM$1006,0))&gt;=100000), " ",IF(INDEX($AM$2:$BM$1001,MATCH(ROWS($AF$2:AF28),$AF$2:$AF$1001,0),MATCH(COLUMNS($AM$1006:BJ1006),$AM$1006:$BM$1006,0)), HYPERLINK("#",""), HYPERLINK(CONCATENATE("#metadata!", ADDRESS(INDEX($AH$2:$AH$1001,MATCH(ROWS($AF$2:AF28),$AF$2:$AF$1001,0),0), INDEX($AM$1004:$BM$1004,1,MATCH(COLUMNS($AM$1006:BJ1006),$AM$1006:$BM$1006,0)))),"Fix")))</f>
        <v xml:space="preserve"> </v>
      </c>
      <c r="Z28" s="4" t="str">
        <f ca="1">IF(OR(INDEX($AG$2:$AG$1001,MATCH(ROWS($AF$2:AF28),$AF$2:$AF$1001,0),1)&gt;=100000,INDEX($AM$1005:$BM$1005,1,MATCH(COLUMNS($AM$1006:BK1006),$AM$1006:$BM$1006,0))&gt;=100000), " ",IF(INDEX($AM$2:$BM$1001,MATCH(ROWS($AF$2:AF28),$AF$2:$AF$1001,0),MATCH(COLUMNS($AM$1006:BK1006),$AM$1006:$BM$1006,0)), HYPERLINK("#",""), HYPERLINK(CONCATENATE("#metadata!", ADDRESS(INDEX($AH$2:$AH$1001,MATCH(ROWS($AF$2:AF28),$AF$2:$AF$1001,0),0), INDEX($AM$1004:$BM$1004,1,MATCH(COLUMNS($AM$1006:BK1006),$AM$1006:$BM$1006,0)))),"Fix")))</f>
        <v xml:space="preserve"> </v>
      </c>
      <c r="AA28" s="4" t="str">
        <f ca="1">IF(OR(INDEX($AG$2:$AG$1001,MATCH(ROWS($AF$2:AF28),$AF$2:$AF$1001,0),1)&gt;=100000,INDEX($AM$1005:$BM$1005,1,MATCH(COLUMNS($AM$1006:BL1006),$AM$1006:$BM$1006,0))&gt;=100000), " ",IF(INDEX($AM$2:$BM$1001,MATCH(ROWS($AF$2:AF28),$AF$2:$AF$1001,0),MATCH(COLUMNS($AM$1006:BL1006),$AM$1006:$BM$1006,0)), HYPERLINK("#",""), HYPERLINK(CONCATENATE("#metadata!", ADDRESS(INDEX($AH$2:$AH$1001,MATCH(ROWS($AF$2:AF28),$AF$2:$AF$1001,0),0), INDEX($AM$1004:$BM$1004,1,MATCH(COLUMNS($AM$1006:BL1006),$AM$1006:$BM$1006,0)))),"Fix")))</f>
        <v xml:space="preserve"> </v>
      </c>
      <c r="AB28" s="4" t="str">
        <f ca="1">IF(OR(INDEX($AG$2:$AG$1001,MATCH(ROWS($AF$2:AF28),$AF$2:$AF$1001,0),1)&gt;=100000,INDEX($AM$1005:$BM$1005,1,MATCH(COLUMNS($AM$1006:BM1006),$AM$1006:$BM$1006,0))&gt;=100000), " ",IF(INDEX($AM$2:$BM$1001,MATCH(ROWS($AF$2:AF28),$AF$2:$AF$1001,0),MATCH(COLUMNS($AM$1006:BM1006),$AM$1006:$BM$1006,0)), HYPERLINK("#",""), HYPERLINK(CONCATENATE("#metadata!", ADDRESS(INDEX($AH$2:$AH$1001,MATCH(ROWS($AF$2:AF28),$AF$2:$AF$1001,0),0), INDEX($AM$1004:$BM$1004,1,MATCH(COLUMNS($AM$1006:BM1006),$AM$1006:$BM$1006,0)))),"Fix")))</f>
        <v xml:space="preserve"> </v>
      </c>
      <c r="AF28">
        <v>27</v>
      </c>
      <c r="AG28">
        <v>100028</v>
      </c>
      <c r="AH28">
        <v>28</v>
      </c>
      <c r="AI28" t="b">
        <f t="shared" si="0"/>
        <v>1</v>
      </c>
      <c r="AJ28" t="b">
        <f>COUNTBLANK(metadata!B28:AB28)=COLUMNS(metadata!B28:AB28)</f>
        <v>1</v>
      </c>
      <c r="AK28" t="str">
        <v/>
      </c>
      <c r="AM28" t="b">
        <f ca="1">AND(IF(metadata!B28="",FALSE,TRUE),COUNTIF(metadata!B:B, metadata!B28) = 1,NOT(ISERROR(SUMPRODUCT(SEARCH(MID(metadata!B28,ROW(INDIRECT("1:"&amp;LEN(metadata!B28))), 1),"0123456789abcdefghijklmnopqrstuvwxyzABCDEFGHIJKLMNOPQRSTUVWXYZ.")))))</f>
        <v>0</v>
      </c>
      <c r="AN28" t="b">
        <f ca="1">OR(AND(IF(metadata!C28="",FALSE,TRUE),OR(EXACT(metadata!C28,"missing: not collected"),EXACT(metadata!C28,"missing: not provided"),EXACT(metadata!C28,"missing: restricted access"))),AND(IF(metadata!C28="",FALSE,TRUE),AND(AND(IFERROR(INT(LEFT(metadata!C28,4))&gt;1900,FALSE),IFERROR(INT(LEFT(metadata!C28,4))&lt;=YEAR(NOW()),FALSE)), OR(MID(metadata!C28,5,1)="", AND(AND(MID(metadata!C28,5,1)="-",IFERROR(INT(MID(metadata!C28,6,1))&gt;=0,FALSE),IFERROR(INT(MID(metadata!C28,6,1))&lt;=1,FALSE),NOT(MID(metadata!C28,7,1)=""),IFERROR(INT(MID(metadata!C28,6,2))&gt;=1,FALSE),IFERROR(INT(MID(metadata!C28,6,2))&lt;=12,FALSE)), OR(MID(metadata!C28,8,1)="", AND(AND(MID(metadata!C28,8,1)="-",IFERROR(INT(MID(metadata!C28,9,1))&gt;=0,FALSE),IFERROR(INT(MID(metadata!C28,9,1))&lt;=3,FALSE),NOT(MID(metadata!C28,10,1)=""),IFERROR(INT(MID(metadata!C28,9,2))&gt;=1,FALSE),IFERROR(INT(MID(metadata!C28,9,2))&lt;=31,FALSE)), OR(MID(metadata!C28,11,1)="", AND(AND(MID(metadata!C28,11,1)=" ",IFERROR(INT(MID(metadata!C28,12,1))&gt;=0,FALSE),IFERROR(INT(MID(metadata!C28,12,1))&lt;=2,FALSE),NOT(MID(metadata!C28,13,1)=""),IFERROR(INT(MID(metadata!C28,12,2))&gt;=0,FALSE),IFERROR(INT(MID(metadata!C28,12,2))&lt;=23,FALSE)), OR(MID(metadata!C28,14,1)="", AND(AND(MID(metadata!C28,14,1)=":",IFERROR(INT(MID(metadata!C28,15,1))&gt;=0,FALSE),IFERROR(INT(MID(metadata!C28,15,1))&lt;=5,FALSE),NOT(MID(metadata!C28,16,1)=""),IFERROR(INT(MID(metadata!C28,15,2))&gt;=0,FALSE),IFERROR(INT(MID(metadata!C28,15,2))&lt;=59,FALSE)), OR(MID(metadata!C28,17,1)="", AND(AND(MID(metadata!C28,17,1)=":",IFERROR(INT(MID(metadata!C28,18,1))&gt;=0,FALSE),IFERROR(INT(MID(metadata!C28,18,1))&lt;=5,FALSE),NOT(MID(metadata!C28,19,1)=""),IFERROR(INT(MID(metadata!C28,18,2))&gt;=0,FALSE),IFERROR(INT(MID(metadata!C28,18,2))&lt;=59,FALSE)), LEN(metadata!C28)&lt;=19)))))))))))))</f>
        <v>0</v>
      </c>
      <c r="AO28" t="b">
        <f>AND(IF(metadata!D28="",FALSE,TRUE),EXACT(metadata!D28,"Not applicable"))</f>
        <v>0</v>
      </c>
      <c r="AP28" t="b">
        <f>IF(metadata!E28="",FALSE,TRUE)</f>
        <v>0</v>
      </c>
      <c r="AQ28" t="b">
        <f>OR(AND(IF(metadata!F28="",FALSE,TRUE),OR(EXACT(metadata!F28,"missing: not collected"),EXACT(metadata!F28,"missing: not provided"))),AND(IF(metadata!F28="",FALSE,TRUE),OR(EXACT(metadata!F28,"TRUE"),EXACT(metadata!F28,"FALSE"))))</f>
        <v>0</v>
      </c>
      <c r="AR28" t="b">
        <f>OR(AND(IF(metadata!G28="",FALSE,TRUE),OR(EXACT(metadata!G28,"missing: not collected"),EXACT(metadata!G28,"missing: not provided"),EXACT(metadata!G28,"missing: restricted access"))),AND(IF(metadata!G28="",FALSE,ISNUMBER(VALUE(metadata!G28))),metadata!G28&gt;=-413))</f>
        <v>0</v>
      </c>
      <c r="AS28" t="b">
        <f>AND(IF(metadata!H28="",FALSE,TRUE),EXACT(metadata!H28,"meters"))</f>
        <v>0</v>
      </c>
      <c r="AT28" t="b">
        <f>AND(IF(metadata!I28="",FALSE,TRUE),OR(EXACT(metadata!I28,"Host-associated"),EXACT(metadata!I28,"Free-living")))</f>
        <v>0</v>
      </c>
      <c r="AU28" t="b">
        <f>AND(IF(metadata!J28="",FALSE,TRUE),OR(EXACT(metadata!J28,"Animal"),EXACT(metadata!J28,"Fungus"),EXACT(metadata!J28,"Plant"),EXACT(metadata!J28,"Saline"),EXACT(metadata!J28,"Non-saline")))</f>
        <v>0</v>
      </c>
      <c r="AV28" t="b">
        <f>AND(IF(metadata!K28="",FALSE,TRUE),OR(EXACT(metadata!K28,"Plant secretion"),EXACT(metadata!K28,"Plant rhizosphere"),EXACT(metadata!K28,"Plant surface"),EXACT(metadata!K28,"Plant corpus"),EXACT(metadata!K28,"Fungus surface"),EXACT(metadata!K28,"Fungus corpus"),EXACT(metadata!K28,"Animal surface"),EXACT(metadata!K28,"Animal proximal gut"),EXACT(metadata!K28,"Animal corpus"),EXACT(metadata!K28,"Animal distal gut"),EXACT(metadata!K28,"Animal secretion"),EXACT(metadata!K28,"Sub-surface (non-saline)"),EXACT(metadata!K28,"Surface (non-saline)"),EXACT(metadata!K28,"Water (non-saline)"),EXACT(metadata!K28,"Soil (non-saline)"),EXACT(metadata!K28,"Aerosol (non-saline)"),EXACT(metadata!K28,"Sediment (non-saline)"),EXACT(metadata!K28,"Surface (saline)"),EXACT(metadata!K28,"Water (saline)"),EXACT(metadata!K28,"Hypersaline (saline)"),EXACT(metadata!K28,"Aerosol (saline)"),EXACT(metadata!K28,"Sediment (saline)")))</f>
        <v>0</v>
      </c>
      <c r="AW28" t="b">
        <f>IF(metadata!L28="",FALSE,TRUE)</f>
        <v>0</v>
      </c>
      <c r="AX28" t="b">
        <f>IF(metadata!M28="",FALSE,TRUE)</f>
        <v>0</v>
      </c>
      <c r="AY28" t="b">
        <f>IF(metadata!N28="",FALSE,TRUE)</f>
        <v>0</v>
      </c>
      <c r="AZ28" t="b">
        <f>OR(AND(IF(metadata!O28="",FALSE,TRUE),OR(EXACT(metadata!O28,"missing: not collected"),EXACT(metadata!O28,"missing: not provided"),EXACT(metadata!O28,"missing: restricted access"))),AND(IF(metadata!O28="",FALSE,TRUE),OR(EXACT(metadata!O28,"air"),EXACT(metadata!O28,"built environment"),EXACT(metadata!O28,"host-associated"),EXACT(metadata!O28,"human-associated"),EXACT(metadata!O28,"human-skin"),EXACT(metadata!O28,"human-oral"),EXACT(metadata!O28,"human-gut"),EXACT(metadata!O28,"human-vaginal"),EXACT(metadata!O28,"microbial mat/biofilm"),EXACT(metadata!O28,"misc environment"),EXACT(metadata!O28,"plant-associated"),EXACT(metadata!O28,"sediment"),EXACT(metadata!O28,"soil"),EXACT(metadata!O28,"wastewater/sludge"),EXACT(metadata!O28,"water"))))</f>
        <v>0</v>
      </c>
      <c r="BA28" t="b">
        <f>IF(metadata!P28="",FALSE,TRUE)</f>
        <v>0</v>
      </c>
      <c r="BB28" t="b">
        <f>IF(metadata!Q28="",FALSE,TRUE)</f>
        <v>0</v>
      </c>
      <c r="BC28" t="b">
        <f>OR(AND(IF(metadata!R28="",FALSE,TRUE),OR(EXACT(metadata!R28,"missing: not collected"),EXACT(metadata!R28,"missing: not provided"),EXACT(metadata!R28,"missing: restricted access"))),AND(IF(metadata!R28="",FALSE,ISNUMBER(VALUE(metadata!R28))),metadata!R28&gt;=-90,metadata!R28&lt;=90))</f>
        <v>0</v>
      </c>
      <c r="BD28" t="b">
        <f>AND(IF(metadata!S28="",FALSE,TRUE),EXACT(metadata!S28,"Decimal degrees"))</f>
        <v>0</v>
      </c>
      <c r="BE28" t="b">
        <f>OR(AND(IF(metadata!T28="",FALSE,TRUE),OR(EXACT(metadata!T28,"missing: not collected"),EXACT(metadata!T28,"missing: not provided"),EXACT(metadata!T28,"missing: restricted access"))),AND(IF(metadata!T28="",FALSE,ISNUMBER(VALUE(metadata!T28))),metadata!T28&gt;=-180,metadata!T28&lt;=180))</f>
        <v>0</v>
      </c>
      <c r="BF28" t="b">
        <f>AND(IF(metadata!U28="",FALSE,TRUE),EXACT(metadata!U28,"Decimal degrees"))</f>
        <v>0</v>
      </c>
      <c r="BG28" t="b">
        <f>IF(metadata!V28="",FALSE,TRUE)</f>
        <v>0</v>
      </c>
      <c r="BH28" t="b">
        <f>OR(AND(IF(metadata!W28="",FALSE,TRUE),OR(EXACT(metadata!W28,"missing: not collected"),EXACT(metadata!W28,"missing: not provided"),EXACT(metadata!W28,"missing: restricted access"))),AND(IF(metadata!W28="",FALSE,TRUE),OR(EXACT(metadata!W28,"TRUE"),EXACT(metadata!W28,"FALSE"))))</f>
        <v>0</v>
      </c>
      <c r="BI28" t="b">
        <f>AND(IF(metadata!X28="",FALSE,TRUE),EXACT(metadata!X28,"other"))</f>
        <v>0</v>
      </c>
      <c r="BJ28" t="b">
        <f>IF(metadata!Y28="",FALSE,TRUE)</f>
        <v>0</v>
      </c>
      <c r="BK28" t="b">
        <f>OR(AND(IF(metadata!Z28="",FALSE,TRUE),OR(EXACT(metadata!Z28,"missing: not collected"),EXACT(metadata!Z28,"missing: not provided"))),AND(IF(metadata!Z28="",FALSE,IF(ISERROR(INT(metadata!Z28)),FALSE,INT(metadata!Z28)=metadata!Z28)),metadata!Z28&gt;0))</f>
        <v>0</v>
      </c>
      <c r="BL28" t="b">
        <f>AND(IF(metadata!AA28="",FALSE,TRUE),EXACT(metadata!AA28,"Not applicable"))</f>
        <v>0</v>
      </c>
      <c r="BM28" t="b">
        <f>IF(metadata!AB28="",FALSE,TRUE)</f>
        <v>0</v>
      </c>
    </row>
    <row r="29" spans="1:65" x14ac:dyDescent="0.2">
      <c r="A29" s="5" t="str">
        <f ca="1">IF(B29=" "," ",HYPERLINK(CONCATENATE("#metadata!",ADDRESS(INDEX($AH$2:$AH$1001,MATCH(ROWS($AF$2:AF29),$AF$2:$AF$1001,0),0),1)),INDEX($AK$2:$AK$1001,MATCH(ROWS($AF$2:AF29),$AF$2:$AF$1001,0),0)))</f>
        <v xml:space="preserve"> </v>
      </c>
      <c r="B29" s="4" t="str">
        <f ca="1">IF(OR(INDEX($AG$2:$AG$1001,MATCH(ROWS($AF$2:AF29),$AF$2:$AF$1001,0),1)&gt;=100000,INDEX($AM$1005:$BM$1005,1,MATCH(COLUMNS($AM$1006:AM1006),$AM$1006:$BM$1006,0))&gt;=100000), " ",IF(INDEX($AM$2:$BM$1001,MATCH(ROWS($AF$2:AF29),$AF$2:$AF$1001,0),MATCH(COLUMNS($AM$1006:AM1006),$AM$1006:$BM$1006,0)), HYPERLINK("#",""), HYPERLINK(CONCATENATE("#metadata!", ADDRESS(INDEX($AH$2:$AH$1001,MATCH(ROWS($AF$2:AF29),$AF$2:$AF$1001,0),0), INDEX($AM$1004:$BM$1004,1,MATCH(COLUMNS($AM$1006:AM1006),$AM$1006:$BM$1006,0)))),"Fix")))</f>
        <v xml:space="preserve"> </v>
      </c>
      <c r="C29" s="4" t="str">
        <f ca="1">IF(OR(INDEX($AG$2:$AG$1001,MATCH(ROWS($AF$2:AF29),$AF$2:$AF$1001,0),1)&gt;=100000,INDEX($AM$1005:$BM$1005,1,MATCH(COLUMNS($AM$1006:AN1006),$AM$1006:$BM$1006,0))&gt;=100000), " ",IF(INDEX($AM$2:$BM$1001,MATCH(ROWS($AF$2:AF29),$AF$2:$AF$1001,0),MATCH(COLUMNS($AM$1006:AN1006),$AM$1006:$BM$1006,0)), HYPERLINK("#",""), HYPERLINK(CONCATENATE("#metadata!", ADDRESS(INDEX($AH$2:$AH$1001,MATCH(ROWS($AF$2:AF29),$AF$2:$AF$1001,0),0), INDEX($AM$1004:$BM$1004,1,MATCH(COLUMNS($AM$1006:AN1006),$AM$1006:$BM$1006,0)))),"Fix")))</f>
        <v xml:space="preserve"> </v>
      </c>
      <c r="D29" s="4" t="str">
        <f ca="1">IF(OR(INDEX($AG$2:$AG$1001,MATCH(ROWS($AF$2:AF29),$AF$2:$AF$1001,0),1)&gt;=100000,INDEX($AM$1005:$BM$1005,1,MATCH(COLUMNS($AM$1006:AO1006),$AM$1006:$BM$1006,0))&gt;=100000), " ",IF(INDEX($AM$2:$BM$1001,MATCH(ROWS($AF$2:AF29),$AF$2:$AF$1001,0),MATCH(COLUMNS($AM$1006:AO1006),$AM$1006:$BM$1006,0)), HYPERLINK("#",""), HYPERLINK(CONCATENATE("#metadata!", ADDRESS(INDEX($AH$2:$AH$1001,MATCH(ROWS($AF$2:AF29),$AF$2:$AF$1001,0),0), INDEX($AM$1004:$BM$1004,1,MATCH(COLUMNS($AM$1006:AO1006),$AM$1006:$BM$1006,0)))),"Fix")))</f>
        <v xml:space="preserve"> </v>
      </c>
      <c r="E29" s="4" t="str">
        <f ca="1">IF(OR(INDEX($AG$2:$AG$1001,MATCH(ROWS($AF$2:AF29),$AF$2:$AF$1001,0),1)&gt;=100000,INDEX($AM$1005:$BM$1005,1,MATCH(COLUMNS($AM$1006:AP1006),$AM$1006:$BM$1006,0))&gt;=100000), " ",IF(INDEX($AM$2:$BM$1001,MATCH(ROWS($AF$2:AF29),$AF$2:$AF$1001,0),MATCH(COLUMNS($AM$1006:AP1006),$AM$1006:$BM$1006,0)), HYPERLINK("#",""), HYPERLINK(CONCATENATE("#metadata!", ADDRESS(INDEX($AH$2:$AH$1001,MATCH(ROWS($AF$2:AF29),$AF$2:$AF$1001,0),0), INDEX($AM$1004:$BM$1004,1,MATCH(COLUMNS($AM$1006:AP1006),$AM$1006:$BM$1006,0)))),"Fix")))</f>
        <v xml:space="preserve"> </v>
      </c>
      <c r="F29" s="4" t="str">
        <f ca="1">IF(OR(INDEX($AG$2:$AG$1001,MATCH(ROWS($AF$2:AF29),$AF$2:$AF$1001,0),1)&gt;=100000,INDEX($AM$1005:$BM$1005,1,MATCH(COLUMNS($AM$1006:AQ1006),$AM$1006:$BM$1006,0))&gt;=100000), " ",IF(INDEX($AM$2:$BM$1001,MATCH(ROWS($AF$2:AF29),$AF$2:$AF$1001,0),MATCH(COLUMNS($AM$1006:AQ1006),$AM$1006:$BM$1006,0)), HYPERLINK("#",""), HYPERLINK(CONCATENATE("#metadata!", ADDRESS(INDEX($AH$2:$AH$1001,MATCH(ROWS($AF$2:AF29),$AF$2:$AF$1001,0),0), INDEX($AM$1004:$BM$1004,1,MATCH(COLUMNS($AM$1006:AQ1006),$AM$1006:$BM$1006,0)))),"Fix")))</f>
        <v xml:space="preserve"> </v>
      </c>
      <c r="G29" s="4" t="str">
        <f ca="1">IF(OR(INDEX($AG$2:$AG$1001,MATCH(ROWS($AF$2:AF29),$AF$2:$AF$1001,0),1)&gt;=100000,INDEX($AM$1005:$BM$1005,1,MATCH(COLUMNS($AM$1006:AR1006),$AM$1006:$BM$1006,0))&gt;=100000), " ",IF(INDEX($AM$2:$BM$1001,MATCH(ROWS($AF$2:AF29),$AF$2:$AF$1001,0),MATCH(COLUMNS($AM$1006:AR1006),$AM$1006:$BM$1006,0)), HYPERLINK("#",""), HYPERLINK(CONCATENATE("#metadata!", ADDRESS(INDEX($AH$2:$AH$1001,MATCH(ROWS($AF$2:AF29),$AF$2:$AF$1001,0),0), INDEX($AM$1004:$BM$1004,1,MATCH(COLUMNS($AM$1006:AR1006),$AM$1006:$BM$1006,0)))),"Fix")))</f>
        <v xml:space="preserve"> </v>
      </c>
      <c r="H29" s="4" t="str">
        <f ca="1">IF(OR(INDEX($AG$2:$AG$1001,MATCH(ROWS($AF$2:AF29),$AF$2:$AF$1001,0),1)&gt;=100000,INDEX($AM$1005:$BM$1005,1,MATCH(COLUMNS($AM$1006:AS1006),$AM$1006:$BM$1006,0))&gt;=100000), " ",IF(INDEX($AM$2:$BM$1001,MATCH(ROWS($AF$2:AF29),$AF$2:$AF$1001,0),MATCH(COLUMNS($AM$1006:AS1006),$AM$1006:$BM$1006,0)), HYPERLINK("#",""), HYPERLINK(CONCATENATE("#metadata!", ADDRESS(INDEX($AH$2:$AH$1001,MATCH(ROWS($AF$2:AF29),$AF$2:$AF$1001,0),0), INDEX($AM$1004:$BM$1004,1,MATCH(COLUMNS($AM$1006:AS1006),$AM$1006:$BM$1006,0)))),"Fix")))</f>
        <v xml:space="preserve"> </v>
      </c>
      <c r="I29" s="4" t="str">
        <f ca="1">IF(OR(INDEX($AG$2:$AG$1001,MATCH(ROWS($AF$2:AF29),$AF$2:$AF$1001,0),1)&gt;=100000,INDEX($AM$1005:$BM$1005,1,MATCH(COLUMNS($AM$1006:AT1006),$AM$1006:$BM$1006,0))&gt;=100000), " ",IF(INDEX($AM$2:$BM$1001,MATCH(ROWS($AF$2:AF29),$AF$2:$AF$1001,0),MATCH(COLUMNS($AM$1006:AT1006),$AM$1006:$BM$1006,0)), HYPERLINK("#",""), HYPERLINK(CONCATENATE("#metadata!", ADDRESS(INDEX($AH$2:$AH$1001,MATCH(ROWS($AF$2:AF29),$AF$2:$AF$1001,0),0), INDEX($AM$1004:$BM$1004,1,MATCH(COLUMNS($AM$1006:AT1006),$AM$1006:$BM$1006,0)))),"Fix")))</f>
        <v xml:space="preserve"> </v>
      </c>
      <c r="J29" s="4" t="str">
        <f ca="1">IF(OR(INDEX($AG$2:$AG$1001,MATCH(ROWS($AF$2:AF29),$AF$2:$AF$1001,0),1)&gt;=100000,INDEX($AM$1005:$BM$1005,1,MATCH(COLUMNS($AM$1006:AU1006),$AM$1006:$BM$1006,0))&gt;=100000), " ",IF(INDEX($AM$2:$BM$1001,MATCH(ROWS($AF$2:AF29),$AF$2:$AF$1001,0),MATCH(COLUMNS($AM$1006:AU1006),$AM$1006:$BM$1006,0)), HYPERLINK("#",""), HYPERLINK(CONCATENATE("#metadata!", ADDRESS(INDEX($AH$2:$AH$1001,MATCH(ROWS($AF$2:AF29),$AF$2:$AF$1001,0),0), INDEX($AM$1004:$BM$1004,1,MATCH(COLUMNS($AM$1006:AU1006),$AM$1006:$BM$1006,0)))),"Fix")))</f>
        <v xml:space="preserve"> </v>
      </c>
      <c r="K29" s="4" t="str">
        <f ca="1">IF(OR(INDEX($AG$2:$AG$1001,MATCH(ROWS($AF$2:AF29),$AF$2:$AF$1001,0),1)&gt;=100000,INDEX($AM$1005:$BM$1005,1,MATCH(COLUMNS($AM$1006:AV1006),$AM$1006:$BM$1006,0))&gt;=100000), " ",IF(INDEX($AM$2:$BM$1001,MATCH(ROWS($AF$2:AF29),$AF$2:$AF$1001,0),MATCH(COLUMNS($AM$1006:AV1006),$AM$1006:$BM$1006,0)), HYPERLINK("#",""), HYPERLINK(CONCATENATE("#metadata!", ADDRESS(INDEX($AH$2:$AH$1001,MATCH(ROWS($AF$2:AF29),$AF$2:$AF$1001,0),0), INDEX($AM$1004:$BM$1004,1,MATCH(COLUMNS($AM$1006:AV1006),$AM$1006:$BM$1006,0)))),"Fix")))</f>
        <v xml:space="preserve"> </v>
      </c>
      <c r="L29" s="4" t="str">
        <f ca="1">IF(OR(INDEX($AG$2:$AG$1001,MATCH(ROWS($AF$2:AF29),$AF$2:$AF$1001,0),1)&gt;=100000,INDEX($AM$1005:$BM$1005,1,MATCH(COLUMNS($AM$1006:AW1006),$AM$1006:$BM$1006,0))&gt;=100000), " ",IF(INDEX($AM$2:$BM$1001,MATCH(ROWS($AF$2:AF29),$AF$2:$AF$1001,0),MATCH(COLUMNS($AM$1006:AW1006),$AM$1006:$BM$1006,0)), HYPERLINK("#",""), HYPERLINK(CONCATENATE("#metadata!", ADDRESS(INDEX($AH$2:$AH$1001,MATCH(ROWS($AF$2:AF29),$AF$2:$AF$1001,0),0), INDEX($AM$1004:$BM$1004,1,MATCH(COLUMNS($AM$1006:AW1006),$AM$1006:$BM$1006,0)))),"Fix")))</f>
        <v xml:space="preserve"> </v>
      </c>
      <c r="M29" s="4" t="str">
        <f ca="1">IF(OR(INDEX($AG$2:$AG$1001,MATCH(ROWS($AF$2:AF29),$AF$2:$AF$1001,0),1)&gt;=100000,INDEX($AM$1005:$BM$1005,1,MATCH(COLUMNS($AM$1006:AX1006),$AM$1006:$BM$1006,0))&gt;=100000), " ",IF(INDEX($AM$2:$BM$1001,MATCH(ROWS($AF$2:AF29),$AF$2:$AF$1001,0),MATCH(COLUMNS($AM$1006:AX1006),$AM$1006:$BM$1006,0)), HYPERLINK("#",""), HYPERLINK(CONCATENATE("#metadata!", ADDRESS(INDEX($AH$2:$AH$1001,MATCH(ROWS($AF$2:AF29),$AF$2:$AF$1001,0),0), INDEX($AM$1004:$BM$1004,1,MATCH(COLUMNS($AM$1006:AX1006),$AM$1006:$BM$1006,0)))),"Fix")))</f>
        <v xml:space="preserve"> </v>
      </c>
      <c r="N29" s="4" t="str">
        <f ca="1">IF(OR(INDEX($AG$2:$AG$1001,MATCH(ROWS($AF$2:AF29),$AF$2:$AF$1001,0),1)&gt;=100000,INDEX($AM$1005:$BM$1005,1,MATCH(COLUMNS($AM$1006:AY1006),$AM$1006:$BM$1006,0))&gt;=100000), " ",IF(INDEX($AM$2:$BM$1001,MATCH(ROWS($AF$2:AF29),$AF$2:$AF$1001,0),MATCH(COLUMNS($AM$1006:AY1006),$AM$1006:$BM$1006,0)), HYPERLINK("#",""), HYPERLINK(CONCATENATE("#metadata!", ADDRESS(INDEX($AH$2:$AH$1001,MATCH(ROWS($AF$2:AF29),$AF$2:$AF$1001,0),0), INDEX($AM$1004:$BM$1004,1,MATCH(COLUMNS($AM$1006:AY1006),$AM$1006:$BM$1006,0)))),"Fix")))</f>
        <v xml:space="preserve"> </v>
      </c>
      <c r="O29" s="4" t="str">
        <f ca="1">IF(OR(INDEX($AG$2:$AG$1001,MATCH(ROWS($AF$2:AF29),$AF$2:$AF$1001,0),1)&gt;=100000,INDEX($AM$1005:$BM$1005,1,MATCH(COLUMNS($AM$1006:AZ1006),$AM$1006:$BM$1006,0))&gt;=100000), " ",IF(INDEX($AM$2:$BM$1001,MATCH(ROWS($AF$2:AF29),$AF$2:$AF$1001,0),MATCH(COLUMNS($AM$1006:AZ1006),$AM$1006:$BM$1006,0)), HYPERLINK("#",""), HYPERLINK(CONCATENATE("#metadata!", ADDRESS(INDEX($AH$2:$AH$1001,MATCH(ROWS($AF$2:AF29),$AF$2:$AF$1001,0),0), INDEX($AM$1004:$BM$1004,1,MATCH(COLUMNS($AM$1006:AZ1006),$AM$1006:$BM$1006,0)))),"Fix")))</f>
        <v xml:space="preserve"> </v>
      </c>
      <c r="P29" s="4" t="str">
        <f ca="1">IF(OR(INDEX($AG$2:$AG$1001,MATCH(ROWS($AF$2:AF29),$AF$2:$AF$1001,0),1)&gt;=100000,INDEX($AM$1005:$BM$1005,1,MATCH(COLUMNS($AM$1006:BA1006),$AM$1006:$BM$1006,0))&gt;=100000), " ",IF(INDEX($AM$2:$BM$1001,MATCH(ROWS($AF$2:AF29),$AF$2:$AF$1001,0),MATCH(COLUMNS($AM$1006:BA1006),$AM$1006:$BM$1006,0)), HYPERLINK("#",""), HYPERLINK(CONCATENATE("#metadata!", ADDRESS(INDEX($AH$2:$AH$1001,MATCH(ROWS($AF$2:AF29),$AF$2:$AF$1001,0),0), INDEX($AM$1004:$BM$1004,1,MATCH(COLUMNS($AM$1006:BA1006),$AM$1006:$BM$1006,0)))),"Fix")))</f>
        <v xml:space="preserve"> </v>
      </c>
      <c r="Q29" s="4" t="str">
        <f ca="1">IF(OR(INDEX($AG$2:$AG$1001,MATCH(ROWS($AF$2:AF29),$AF$2:$AF$1001,0),1)&gt;=100000,INDEX($AM$1005:$BM$1005,1,MATCH(COLUMNS($AM$1006:BB1006),$AM$1006:$BM$1006,0))&gt;=100000), " ",IF(INDEX($AM$2:$BM$1001,MATCH(ROWS($AF$2:AF29),$AF$2:$AF$1001,0),MATCH(COLUMNS($AM$1006:BB1006),$AM$1006:$BM$1006,0)), HYPERLINK("#",""), HYPERLINK(CONCATENATE("#metadata!", ADDRESS(INDEX($AH$2:$AH$1001,MATCH(ROWS($AF$2:AF29),$AF$2:$AF$1001,0),0), INDEX($AM$1004:$BM$1004,1,MATCH(COLUMNS($AM$1006:BB1006),$AM$1006:$BM$1006,0)))),"Fix")))</f>
        <v xml:space="preserve"> </v>
      </c>
      <c r="R29" s="4" t="str">
        <f ca="1">IF(OR(INDEX($AG$2:$AG$1001,MATCH(ROWS($AF$2:AF29),$AF$2:$AF$1001,0),1)&gt;=100000,INDEX($AM$1005:$BM$1005,1,MATCH(COLUMNS($AM$1006:BC1006),$AM$1006:$BM$1006,0))&gt;=100000), " ",IF(INDEX($AM$2:$BM$1001,MATCH(ROWS($AF$2:AF29),$AF$2:$AF$1001,0),MATCH(COLUMNS($AM$1006:BC1006),$AM$1006:$BM$1006,0)), HYPERLINK("#",""), HYPERLINK(CONCATENATE("#metadata!", ADDRESS(INDEX($AH$2:$AH$1001,MATCH(ROWS($AF$2:AF29),$AF$2:$AF$1001,0),0), INDEX($AM$1004:$BM$1004,1,MATCH(COLUMNS($AM$1006:BC1006),$AM$1006:$BM$1006,0)))),"Fix")))</f>
        <v xml:space="preserve"> </v>
      </c>
      <c r="S29" s="4" t="str">
        <f ca="1">IF(OR(INDEX($AG$2:$AG$1001,MATCH(ROWS($AF$2:AF29),$AF$2:$AF$1001,0),1)&gt;=100000,INDEX($AM$1005:$BM$1005,1,MATCH(COLUMNS($AM$1006:BD1006),$AM$1006:$BM$1006,0))&gt;=100000), " ",IF(INDEX($AM$2:$BM$1001,MATCH(ROWS($AF$2:AF29),$AF$2:$AF$1001,0),MATCH(COLUMNS($AM$1006:BD1006),$AM$1006:$BM$1006,0)), HYPERLINK("#",""), HYPERLINK(CONCATENATE("#metadata!", ADDRESS(INDEX($AH$2:$AH$1001,MATCH(ROWS($AF$2:AF29),$AF$2:$AF$1001,0),0), INDEX($AM$1004:$BM$1004,1,MATCH(COLUMNS($AM$1006:BD1006),$AM$1006:$BM$1006,0)))),"Fix")))</f>
        <v xml:space="preserve"> </v>
      </c>
      <c r="T29" s="4" t="str">
        <f ca="1">IF(OR(INDEX($AG$2:$AG$1001,MATCH(ROWS($AF$2:AF29),$AF$2:$AF$1001,0),1)&gt;=100000,INDEX($AM$1005:$BM$1005,1,MATCH(COLUMNS($AM$1006:BE1006),$AM$1006:$BM$1006,0))&gt;=100000), " ",IF(INDEX($AM$2:$BM$1001,MATCH(ROWS($AF$2:AF29),$AF$2:$AF$1001,0),MATCH(COLUMNS($AM$1006:BE1006),$AM$1006:$BM$1006,0)), HYPERLINK("#",""), HYPERLINK(CONCATENATE("#metadata!", ADDRESS(INDEX($AH$2:$AH$1001,MATCH(ROWS($AF$2:AF29),$AF$2:$AF$1001,0),0), INDEX($AM$1004:$BM$1004,1,MATCH(COLUMNS($AM$1006:BE1006),$AM$1006:$BM$1006,0)))),"Fix")))</f>
        <v xml:space="preserve"> </v>
      </c>
      <c r="U29" s="4" t="str">
        <f ca="1">IF(OR(INDEX($AG$2:$AG$1001,MATCH(ROWS($AF$2:AF29),$AF$2:$AF$1001,0),1)&gt;=100000,INDEX($AM$1005:$BM$1005,1,MATCH(COLUMNS($AM$1006:BF1006),$AM$1006:$BM$1006,0))&gt;=100000), " ",IF(INDEX($AM$2:$BM$1001,MATCH(ROWS($AF$2:AF29),$AF$2:$AF$1001,0),MATCH(COLUMNS($AM$1006:BF1006),$AM$1006:$BM$1006,0)), HYPERLINK("#",""), HYPERLINK(CONCATENATE("#metadata!", ADDRESS(INDEX($AH$2:$AH$1001,MATCH(ROWS($AF$2:AF29),$AF$2:$AF$1001,0),0), INDEX($AM$1004:$BM$1004,1,MATCH(COLUMNS($AM$1006:BF1006),$AM$1006:$BM$1006,0)))),"Fix")))</f>
        <v xml:space="preserve"> </v>
      </c>
      <c r="V29" s="4" t="str">
        <f ca="1">IF(OR(INDEX($AG$2:$AG$1001,MATCH(ROWS($AF$2:AF29),$AF$2:$AF$1001,0),1)&gt;=100000,INDEX($AM$1005:$BM$1005,1,MATCH(COLUMNS($AM$1006:BG1006),$AM$1006:$BM$1006,0))&gt;=100000), " ",IF(INDEX($AM$2:$BM$1001,MATCH(ROWS($AF$2:AF29),$AF$2:$AF$1001,0),MATCH(COLUMNS($AM$1006:BG1006),$AM$1006:$BM$1006,0)), HYPERLINK("#",""), HYPERLINK(CONCATENATE("#metadata!", ADDRESS(INDEX($AH$2:$AH$1001,MATCH(ROWS($AF$2:AF29),$AF$2:$AF$1001,0),0), INDEX($AM$1004:$BM$1004,1,MATCH(COLUMNS($AM$1006:BG1006),$AM$1006:$BM$1006,0)))),"Fix")))</f>
        <v xml:space="preserve"> </v>
      </c>
      <c r="W29" s="4" t="str">
        <f ca="1">IF(OR(INDEX($AG$2:$AG$1001,MATCH(ROWS($AF$2:AF29),$AF$2:$AF$1001,0),1)&gt;=100000,INDEX($AM$1005:$BM$1005,1,MATCH(COLUMNS($AM$1006:BH1006),$AM$1006:$BM$1006,0))&gt;=100000), " ",IF(INDEX($AM$2:$BM$1001,MATCH(ROWS($AF$2:AF29),$AF$2:$AF$1001,0),MATCH(COLUMNS($AM$1006:BH1006),$AM$1006:$BM$1006,0)), HYPERLINK("#",""), HYPERLINK(CONCATENATE("#metadata!", ADDRESS(INDEX($AH$2:$AH$1001,MATCH(ROWS($AF$2:AF29),$AF$2:$AF$1001,0),0), INDEX($AM$1004:$BM$1004,1,MATCH(COLUMNS($AM$1006:BH1006),$AM$1006:$BM$1006,0)))),"Fix")))</f>
        <v xml:space="preserve"> </v>
      </c>
      <c r="X29" s="4" t="str">
        <f ca="1">IF(OR(INDEX($AG$2:$AG$1001,MATCH(ROWS($AF$2:AF29),$AF$2:$AF$1001,0),1)&gt;=100000,INDEX($AM$1005:$BM$1005,1,MATCH(COLUMNS($AM$1006:BI1006),$AM$1006:$BM$1006,0))&gt;=100000), " ",IF(INDEX($AM$2:$BM$1001,MATCH(ROWS($AF$2:AF29),$AF$2:$AF$1001,0),MATCH(COLUMNS($AM$1006:BI1006),$AM$1006:$BM$1006,0)), HYPERLINK("#",""), HYPERLINK(CONCATENATE("#metadata!", ADDRESS(INDEX($AH$2:$AH$1001,MATCH(ROWS($AF$2:AF29),$AF$2:$AF$1001,0),0), INDEX($AM$1004:$BM$1004,1,MATCH(COLUMNS($AM$1006:BI1006),$AM$1006:$BM$1006,0)))),"Fix")))</f>
        <v xml:space="preserve"> </v>
      </c>
      <c r="Y29" s="4" t="str">
        <f ca="1">IF(OR(INDEX($AG$2:$AG$1001,MATCH(ROWS($AF$2:AF29),$AF$2:$AF$1001,0),1)&gt;=100000,INDEX($AM$1005:$BM$1005,1,MATCH(COLUMNS($AM$1006:BJ1006),$AM$1006:$BM$1006,0))&gt;=100000), " ",IF(INDEX($AM$2:$BM$1001,MATCH(ROWS($AF$2:AF29),$AF$2:$AF$1001,0),MATCH(COLUMNS($AM$1006:BJ1006),$AM$1006:$BM$1006,0)), HYPERLINK("#",""), HYPERLINK(CONCATENATE("#metadata!", ADDRESS(INDEX($AH$2:$AH$1001,MATCH(ROWS($AF$2:AF29),$AF$2:$AF$1001,0),0), INDEX($AM$1004:$BM$1004,1,MATCH(COLUMNS($AM$1006:BJ1006),$AM$1006:$BM$1006,0)))),"Fix")))</f>
        <v xml:space="preserve"> </v>
      </c>
      <c r="Z29" s="4" t="str">
        <f ca="1">IF(OR(INDEX($AG$2:$AG$1001,MATCH(ROWS($AF$2:AF29),$AF$2:$AF$1001,0),1)&gt;=100000,INDEX($AM$1005:$BM$1005,1,MATCH(COLUMNS($AM$1006:BK1006),$AM$1006:$BM$1006,0))&gt;=100000), " ",IF(INDEX($AM$2:$BM$1001,MATCH(ROWS($AF$2:AF29),$AF$2:$AF$1001,0),MATCH(COLUMNS($AM$1006:BK1006),$AM$1006:$BM$1006,0)), HYPERLINK("#",""), HYPERLINK(CONCATENATE("#metadata!", ADDRESS(INDEX($AH$2:$AH$1001,MATCH(ROWS($AF$2:AF29),$AF$2:$AF$1001,0),0), INDEX($AM$1004:$BM$1004,1,MATCH(COLUMNS($AM$1006:BK1006),$AM$1006:$BM$1006,0)))),"Fix")))</f>
        <v xml:space="preserve"> </v>
      </c>
      <c r="AA29" s="4" t="str">
        <f ca="1">IF(OR(INDEX($AG$2:$AG$1001,MATCH(ROWS($AF$2:AF29),$AF$2:$AF$1001,0),1)&gt;=100000,INDEX($AM$1005:$BM$1005,1,MATCH(COLUMNS($AM$1006:BL1006),$AM$1006:$BM$1006,0))&gt;=100000), " ",IF(INDEX($AM$2:$BM$1001,MATCH(ROWS($AF$2:AF29),$AF$2:$AF$1001,0),MATCH(COLUMNS($AM$1006:BL1006),$AM$1006:$BM$1006,0)), HYPERLINK("#",""), HYPERLINK(CONCATENATE("#metadata!", ADDRESS(INDEX($AH$2:$AH$1001,MATCH(ROWS($AF$2:AF29),$AF$2:$AF$1001,0),0), INDEX($AM$1004:$BM$1004,1,MATCH(COLUMNS($AM$1006:BL1006),$AM$1006:$BM$1006,0)))),"Fix")))</f>
        <v xml:space="preserve"> </v>
      </c>
      <c r="AB29" s="4" t="str">
        <f ca="1">IF(OR(INDEX($AG$2:$AG$1001,MATCH(ROWS($AF$2:AF29),$AF$2:$AF$1001,0),1)&gt;=100000,INDEX($AM$1005:$BM$1005,1,MATCH(COLUMNS($AM$1006:BM1006),$AM$1006:$BM$1006,0))&gt;=100000), " ",IF(INDEX($AM$2:$BM$1001,MATCH(ROWS($AF$2:AF29),$AF$2:$AF$1001,0),MATCH(COLUMNS($AM$1006:BM1006),$AM$1006:$BM$1006,0)), HYPERLINK("#",""), HYPERLINK(CONCATENATE("#metadata!", ADDRESS(INDEX($AH$2:$AH$1001,MATCH(ROWS($AF$2:AF29),$AF$2:$AF$1001,0),0), INDEX($AM$1004:$BM$1004,1,MATCH(COLUMNS($AM$1006:BM1006),$AM$1006:$BM$1006,0)))),"Fix")))</f>
        <v xml:space="preserve"> </v>
      </c>
      <c r="AF29">
        <v>28</v>
      </c>
      <c r="AG29">
        <v>100029</v>
      </c>
      <c r="AH29">
        <v>29</v>
      </c>
      <c r="AI29" t="b">
        <f t="shared" si="0"/>
        <v>1</v>
      </c>
      <c r="AJ29" t="b">
        <f>COUNTBLANK(metadata!B29:AB29)=COLUMNS(metadata!B29:AB29)</f>
        <v>1</v>
      </c>
      <c r="AK29" t="str">
        <v/>
      </c>
      <c r="AM29" t="b">
        <f ca="1">AND(IF(metadata!B29="",FALSE,TRUE),COUNTIF(metadata!B:B, metadata!B29) = 1,NOT(ISERROR(SUMPRODUCT(SEARCH(MID(metadata!B29,ROW(INDIRECT("1:"&amp;LEN(metadata!B29))), 1),"0123456789abcdefghijklmnopqrstuvwxyzABCDEFGHIJKLMNOPQRSTUVWXYZ.")))))</f>
        <v>0</v>
      </c>
      <c r="AN29" t="b">
        <f ca="1">OR(AND(IF(metadata!C29="",FALSE,TRUE),OR(EXACT(metadata!C29,"missing: not collected"),EXACT(metadata!C29,"missing: not provided"),EXACT(metadata!C29,"missing: restricted access"))),AND(IF(metadata!C29="",FALSE,TRUE),AND(AND(IFERROR(INT(LEFT(metadata!C29,4))&gt;1900,FALSE),IFERROR(INT(LEFT(metadata!C29,4))&lt;=YEAR(NOW()),FALSE)), OR(MID(metadata!C29,5,1)="", AND(AND(MID(metadata!C29,5,1)="-",IFERROR(INT(MID(metadata!C29,6,1))&gt;=0,FALSE),IFERROR(INT(MID(metadata!C29,6,1))&lt;=1,FALSE),NOT(MID(metadata!C29,7,1)=""),IFERROR(INT(MID(metadata!C29,6,2))&gt;=1,FALSE),IFERROR(INT(MID(metadata!C29,6,2))&lt;=12,FALSE)), OR(MID(metadata!C29,8,1)="", AND(AND(MID(metadata!C29,8,1)="-",IFERROR(INT(MID(metadata!C29,9,1))&gt;=0,FALSE),IFERROR(INT(MID(metadata!C29,9,1))&lt;=3,FALSE),NOT(MID(metadata!C29,10,1)=""),IFERROR(INT(MID(metadata!C29,9,2))&gt;=1,FALSE),IFERROR(INT(MID(metadata!C29,9,2))&lt;=31,FALSE)), OR(MID(metadata!C29,11,1)="", AND(AND(MID(metadata!C29,11,1)=" ",IFERROR(INT(MID(metadata!C29,12,1))&gt;=0,FALSE),IFERROR(INT(MID(metadata!C29,12,1))&lt;=2,FALSE),NOT(MID(metadata!C29,13,1)=""),IFERROR(INT(MID(metadata!C29,12,2))&gt;=0,FALSE),IFERROR(INT(MID(metadata!C29,12,2))&lt;=23,FALSE)), OR(MID(metadata!C29,14,1)="", AND(AND(MID(metadata!C29,14,1)=":",IFERROR(INT(MID(metadata!C29,15,1))&gt;=0,FALSE),IFERROR(INT(MID(metadata!C29,15,1))&lt;=5,FALSE),NOT(MID(metadata!C29,16,1)=""),IFERROR(INT(MID(metadata!C29,15,2))&gt;=0,FALSE),IFERROR(INT(MID(metadata!C29,15,2))&lt;=59,FALSE)), OR(MID(metadata!C29,17,1)="", AND(AND(MID(metadata!C29,17,1)=":",IFERROR(INT(MID(metadata!C29,18,1))&gt;=0,FALSE),IFERROR(INT(MID(metadata!C29,18,1))&lt;=5,FALSE),NOT(MID(metadata!C29,19,1)=""),IFERROR(INT(MID(metadata!C29,18,2))&gt;=0,FALSE),IFERROR(INT(MID(metadata!C29,18,2))&lt;=59,FALSE)), LEN(metadata!C29)&lt;=19)))))))))))))</f>
        <v>0</v>
      </c>
      <c r="AO29" t="b">
        <f>AND(IF(metadata!D29="",FALSE,TRUE),EXACT(metadata!D29,"Not applicable"))</f>
        <v>0</v>
      </c>
      <c r="AP29" t="b">
        <f>IF(metadata!E29="",FALSE,TRUE)</f>
        <v>0</v>
      </c>
      <c r="AQ29" t="b">
        <f>OR(AND(IF(metadata!F29="",FALSE,TRUE),OR(EXACT(metadata!F29,"missing: not collected"),EXACT(metadata!F29,"missing: not provided"))),AND(IF(metadata!F29="",FALSE,TRUE),OR(EXACT(metadata!F29,"TRUE"),EXACT(metadata!F29,"FALSE"))))</f>
        <v>0</v>
      </c>
      <c r="AR29" t="b">
        <f>OR(AND(IF(metadata!G29="",FALSE,TRUE),OR(EXACT(metadata!G29,"missing: not collected"),EXACT(metadata!G29,"missing: not provided"),EXACT(metadata!G29,"missing: restricted access"))),AND(IF(metadata!G29="",FALSE,ISNUMBER(VALUE(metadata!G29))),metadata!G29&gt;=-413))</f>
        <v>0</v>
      </c>
      <c r="AS29" t="b">
        <f>AND(IF(metadata!H29="",FALSE,TRUE),EXACT(metadata!H29,"meters"))</f>
        <v>0</v>
      </c>
      <c r="AT29" t="b">
        <f>AND(IF(metadata!I29="",FALSE,TRUE),OR(EXACT(metadata!I29,"Host-associated"),EXACT(metadata!I29,"Free-living")))</f>
        <v>0</v>
      </c>
      <c r="AU29" t="b">
        <f>AND(IF(metadata!J29="",FALSE,TRUE),OR(EXACT(metadata!J29,"Animal"),EXACT(metadata!J29,"Fungus"),EXACT(metadata!J29,"Plant"),EXACT(metadata!J29,"Saline"),EXACT(metadata!J29,"Non-saline")))</f>
        <v>0</v>
      </c>
      <c r="AV29" t="b">
        <f>AND(IF(metadata!K29="",FALSE,TRUE),OR(EXACT(metadata!K29,"Plant secretion"),EXACT(metadata!K29,"Plant rhizosphere"),EXACT(metadata!K29,"Plant surface"),EXACT(metadata!K29,"Plant corpus"),EXACT(metadata!K29,"Fungus surface"),EXACT(metadata!K29,"Fungus corpus"),EXACT(metadata!K29,"Animal surface"),EXACT(metadata!K29,"Animal proximal gut"),EXACT(metadata!K29,"Animal corpus"),EXACT(metadata!K29,"Animal distal gut"),EXACT(metadata!K29,"Animal secretion"),EXACT(metadata!K29,"Sub-surface (non-saline)"),EXACT(metadata!K29,"Surface (non-saline)"),EXACT(metadata!K29,"Water (non-saline)"),EXACT(metadata!K29,"Soil (non-saline)"),EXACT(metadata!K29,"Aerosol (non-saline)"),EXACT(metadata!K29,"Sediment (non-saline)"),EXACT(metadata!K29,"Surface (saline)"),EXACT(metadata!K29,"Water (saline)"),EXACT(metadata!K29,"Hypersaline (saline)"),EXACT(metadata!K29,"Aerosol (saline)"),EXACT(metadata!K29,"Sediment (saline)")))</f>
        <v>0</v>
      </c>
      <c r="AW29" t="b">
        <f>IF(metadata!L29="",FALSE,TRUE)</f>
        <v>0</v>
      </c>
      <c r="AX29" t="b">
        <f>IF(metadata!M29="",FALSE,TRUE)</f>
        <v>0</v>
      </c>
      <c r="AY29" t="b">
        <f>IF(metadata!N29="",FALSE,TRUE)</f>
        <v>0</v>
      </c>
      <c r="AZ29" t="b">
        <f>OR(AND(IF(metadata!O29="",FALSE,TRUE),OR(EXACT(metadata!O29,"missing: not collected"),EXACT(metadata!O29,"missing: not provided"),EXACT(metadata!O29,"missing: restricted access"))),AND(IF(metadata!O29="",FALSE,TRUE),OR(EXACT(metadata!O29,"air"),EXACT(metadata!O29,"built environment"),EXACT(metadata!O29,"host-associated"),EXACT(metadata!O29,"human-associated"),EXACT(metadata!O29,"human-skin"),EXACT(metadata!O29,"human-oral"),EXACT(metadata!O29,"human-gut"),EXACT(metadata!O29,"human-vaginal"),EXACT(metadata!O29,"microbial mat/biofilm"),EXACT(metadata!O29,"misc environment"),EXACT(metadata!O29,"plant-associated"),EXACT(metadata!O29,"sediment"),EXACT(metadata!O29,"soil"),EXACT(metadata!O29,"wastewater/sludge"),EXACT(metadata!O29,"water"))))</f>
        <v>0</v>
      </c>
      <c r="BA29" t="b">
        <f>IF(metadata!P29="",FALSE,TRUE)</f>
        <v>0</v>
      </c>
      <c r="BB29" t="b">
        <f>IF(metadata!Q29="",FALSE,TRUE)</f>
        <v>0</v>
      </c>
      <c r="BC29" t="b">
        <f>OR(AND(IF(metadata!R29="",FALSE,TRUE),OR(EXACT(metadata!R29,"missing: not collected"),EXACT(metadata!R29,"missing: not provided"),EXACT(metadata!R29,"missing: restricted access"))),AND(IF(metadata!R29="",FALSE,ISNUMBER(VALUE(metadata!R29))),metadata!R29&gt;=-90,metadata!R29&lt;=90))</f>
        <v>0</v>
      </c>
      <c r="BD29" t="b">
        <f>AND(IF(metadata!S29="",FALSE,TRUE),EXACT(metadata!S29,"Decimal degrees"))</f>
        <v>0</v>
      </c>
      <c r="BE29" t="b">
        <f>OR(AND(IF(metadata!T29="",FALSE,TRUE),OR(EXACT(metadata!T29,"missing: not collected"),EXACT(metadata!T29,"missing: not provided"),EXACT(metadata!T29,"missing: restricted access"))),AND(IF(metadata!T29="",FALSE,ISNUMBER(VALUE(metadata!T29))),metadata!T29&gt;=-180,metadata!T29&lt;=180))</f>
        <v>0</v>
      </c>
      <c r="BF29" t="b">
        <f>AND(IF(metadata!U29="",FALSE,TRUE),EXACT(metadata!U29,"Decimal degrees"))</f>
        <v>0</v>
      </c>
      <c r="BG29" t="b">
        <f>IF(metadata!V29="",FALSE,TRUE)</f>
        <v>0</v>
      </c>
      <c r="BH29" t="b">
        <f>OR(AND(IF(metadata!W29="",FALSE,TRUE),OR(EXACT(metadata!W29,"missing: not collected"),EXACT(metadata!W29,"missing: not provided"),EXACT(metadata!W29,"missing: restricted access"))),AND(IF(metadata!W29="",FALSE,TRUE),OR(EXACT(metadata!W29,"TRUE"),EXACT(metadata!W29,"FALSE"))))</f>
        <v>0</v>
      </c>
      <c r="BI29" t="b">
        <f>AND(IF(metadata!X29="",FALSE,TRUE),EXACT(metadata!X29,"other"))</f>
        <v>0</v>
      </c>
      <c r="BJ29" t="b">
        <f>IF(metadata!Y29="",FALSE,TRUE)</f>
        <v>0</v>
      </c>
      <c r="BK29" t="b">
        <f>OR(AND(IF(metadata!Z29="",FALSE,TRUE),OR(EXACT(metadata!Z29,"missing: not collected"),EXACT(metadata!Z29,"missing: not provided"))),AND(IF(metadata!Z29="",FALSE,IF(ISERROR(INT(metadata!Z29)),FALSE,INT(metadata!Z29)=metadata!Z29)),metadata!Z29&gt;0))</f>
        <v>0</v>
      </c>
      <c r="BL29" t="b">
        <f>AND(IF(metadata!AA29="",FALSE,TRUE),EXACT(metadata!AA29,"Not applicable"))</f>
        <v>0</v>
      </c>
      <c r="BM29" t="b">
        <f>IF(metadata!AB29="",FALSE,TRUE)</f>
        <v>0</v>
      </c>
    </row>
    <row r="30" spans="1:65" x14ac:dyDescent="0.2">
      <c r="A30" s="5" t="str">
        <f ca="1">IF(B30=" "," ",HYPERLINK(CONCATENATE("#metadata!",ADDRESS(INDEX($AH$2:$AH$1001,MATCH(ROWS($AF$2:AF30),$AF$2:$AF$1001,0),0),1)),INDEX($AK$2:$AK$1001,MATCH(ROWS($AF$2:AF30),$AF$2:$AF$1001,0),0)))</f>
        <v xml:space="preserve"> </v>
      </c>
      <c r="B30" s="4" t="str">
        <f ca="1">IF(OR(INDEX($AG$2:$AG$1001,MATCH(ROWS($AF$2:AF30),$AF$2:$AF$1001,0),1)&gt;=100000,INDEX($AM$1005:$BM$1005,1,MATCH(COLUMNS($AM$1006:AM1006),$AM$1006:$BM$1006,0))&gt;=100000), " ",IF(INDEX($AM$2:$BM$1001,MATCH(ROWS($AF$2:AF30),$AF$2:$AF$1001,0),MATCH(COLUMNS($AM$1006:AM1006),$AM$1006:$BM$1006,0)), HYPERLINK("#",""), HYPERLINK(CONCATENATE("#metadata!", ADDRESS(INDEX($AH$2:$AH$1001,MATCH(ROWS($AF$2:AF30),$AF$2:$AF$1001,0),0), INDEX($AM$1004:$BM$1004,1,MATCH(COLUMNS($AM$1006:AM1006),$AM$1006:$BM$1006,0)))),"Fix")))</f>
        <v xml:space="preserve"> </v>
      </c>
      <c r="C30" s="4" t="str">
        <f ca="1">IF(OR(INDEX($AG$2:$AG$1001,MATCH(ROWS($AF$2:AF30),$AF$2:$AF$1001,0),1)&gt;=100000,INDEX($AM$1005:$BM$1005,1,MATCH(COLUMNS($AM$1006:AN1006),$AM$1006:$BM$1006,0))&gt;=100000), " ",IF(INDEX($AM$2:$BM$1001,MATCH(ROWS($AF$2:AF30),$AF$2:$AF$1001,0),MATCH(COLUMNS($AM$1006:AN1006),$AM$1006:$BM$1006,0)), HYPERLINK("#",""), HYPERLINK(CONCATENATE("#metadata!", ADDRESS(INDEX($AH$2:$AH$1001,MATCH(ROWS($AF$2:AF30),$AF$2:$AF$1001,0),0), INDEX($AM$1004:$BM$1004,1,MATCH(COLUMNS($AM$1006:AN1006),$AM$1006:$BM$1006,0)))),"Fix")))</f>
        <v xml:space="preserve"> </v>
      </c>
      <c r="D30" s="4" t="str">
        <f ca="1">IF(OR(INDEX($AG$2:$AG$1001,MATCH(ROWS($AF$2:AF30),$AF$2:$AF$1001,0),1)&gt;=100000,INDEX($AM$1005:$BM$1005,1,MATCH(COLUMNS($AM$1006:AO1006),$AM$1006:$BM$1006,0))&gt;=100000), " ",IF(INDEX($AM$2:$BM$1001,MATCH(ROWS($AF$2:AF30),$AF$2:$AF$1001,0),MATCH(COLUMNS($AM$1006:AO1006),$AM$1006:$BM$1006,0)), HYPERLINK("#",""), HYPERLINK(CONCATENATE("#metadata!", ADDRESS(INDEX($AH$2:$AH$1001,MATCH(ROWS($AF$2:AF30),$AF$2:$AF$1001,0),0), INDEX($AM$1004:$BM$1004,1,MATCH(COLUMNS($AM$1006:AO1006),$AM$1006:$BM$1006,0)))),"Fix")))</f>
        <v xml:space="preserve"> </v>
      </c>
      <c r="E30" s="4" t="str">
        <f ca="1">IF(OR(INDEX($AG$2:$AG$1001,MATCH(ROWS($AF$2:AF30),$AF$2:$AF$1001,0),1)&gt;=100000,INDEX($AM$1005:$BM$1005,1,MATCH(COLUMNS($AM$1006:AP1006),$AM$1006:$BM$1006,0))&gt;=100000), " ",IF(INDEX($AM$2:$BM$1001,MATCH(ROWS($AF$2:AF30),$AF$2:$AF$1001,0),MATCH(COLUMNS($AM$1006:AP1006),$AM$1006:$BM$1006,0)), HYPERLINK("#",""), HYPERLINK(CONCATENATE("#metadata!", ADDRESS(INDEX($AH$2:$AH$1001,MATCH(ROWS($AF$2:AF30),$AF$2:$AF$1001,0),0), INDEX($AM$1004:$BM$1004,1,MATCH(COLUMNS($AM$1006:AP1006),$AM$1006:$BM$1006,0)))),"Fix")))</f>
        <v xml:space="preserve"> </v>
      </c>
      <c r="F30" s="4" t="str">
        <f ca="1">IF(OR(INDEX($AG$2:$AG$1001,MATCH(ROWS($AF$2:AF30),$AF$2:$AF$1001,0),1)&gt;=100000,INDEX($AM$1005:$BM$1005,1,MATCH(COLUMNS($AM$1006:AQ1006),$AM$1006:$BM$1006,0))&gt;=100000), " ",IF(INDEX($AM$2:$BM$1001,MATCH(ROWS($AF$2:AF30),$AF$2:$AF$1001,0),MATCH(COLUMNS($AM$1006:AQ1006),$AM$1006:$BM$1006,0)), HYPERLINK("#",""), HYPERLINK(CONCATENATE("#metadata!", ADDRESS(INDEX($AH$2:$AH$1001,MATCH(ROWS($AF$2:AF30),$AF$2:$AF$1001,0),0), INDEX($AM$1004:$BM$1004,1,MATCH(COLUMNS($AM$1006:AQ1006),$AM$1006:$BM$1006,0)))),"Fix")))</f>
        <v xml:space="preserve"> </v>
      </c>
      <c r="G30" s="4" t="str">
        <f ca="1">IF(OR(INDEX($AG$2:$AG$1001,MATCH(ROWS($AF$2:AF30),$AF$2:$AF$1001,0),1)&gt;=100000,INDEX($AM$1005:$BM$1005,1,MATCH(COLUMNS($AM$1006:AR1006),$AM$1006:$BM$1006,0))&gt;=100000), " ",IF(INDEX($AM$2:$BM$1001,MATCH(ROWS($AF$2:AF30),$AF$2:$AF$1001,0),MATCH(COLUMNS($AM$1006:AR1006),$AM$1006:$BM$1006,0)), HYPERLINK("#",""), HYPERLINK(CONCATENATE("#metadata!", ADDRESS(INDEX($AH$2:$AH$1001,MATCH(ROWS($AF$2:AF30),$AF$2:$AF$1001,0),0), INDEX($AM$1004:$BM$1004,1,MATCH(COLUMNS($AM$1006:AR1006),$AM$1006:$BM$1006,0)))),"Fix")))</f>
        <v xml:space="preserve"> </v>
      </c>
      <c r="H30" s="4" t="str">
        <f ca="1">IF(OR(INDEX($AG$2:$AG$1001,MATCH(ROWS($AF$2:AF30),$AF$2:$AF$1001,0),1)&gt;=100000,INDEX($AM$1005:$BM$1005,1,MATCH(COLUMNS($AM$1006:AS1006),$AM$1006:$BM$1006,0))&gt;=100000), " ",IF(INDEX($AM$2:$BM$1001,MATCH(ROWS($AF$2:AF30),$AF$2:$AF$1001,0),MATCH(COLUMNS($AM$1006:AS1006),$AM$1006:$BM$1006,0)), HYPERLINK("#",""), HYPERLINK(CONCATENATE("#metadata!", ADDRESS(INDEX($AH$2:$AH$1001,MATCH(ROWS($AF$2:AF30),$AF$2:$AF$1001,0),0), INDEX($AM$1004:$BM$1004,1,MATCH(COLUMNS($AM$1006:AS1006),$AM$1006:$BM$1006,0)))),"Fix")))</f>
        <v xml:space="preserve"> </v>
      </c>
      <c r="I30" s="4" t="str">
        <f ca="1">IF(OR(INDEX($AG$2:$AG$1001,MATCH(ROWS($AF$2:AF30),$AF$2:$AF$1001,0),1)&gt;=100000,INDEX($AM$1005:$BM$1005,1,MATCH(COLUMNS($AM$1006:AT1006),$AM$1006:$BM$1006,0))&gt;=100000), " ",IF(INDEX($AM$2:$BM$1001,MATCH(ROWS($AF$2:AF30),$AF$2:$AF$1001,0),MATCH(COLUMNS($AM$1006:AT1006),$AM$1006:$BM$1006,0)), HYPERLINK("#",""), HYPERLINK(CONCATENATE("#metadata!", ADDRESS(INDEX($AH$2:$AH$1001,MATCH(ROWS($AF$2:AF30),$AF$2:$AF$1001,0),0), INDEX($AM$1004:$BM$1004,1,MATCH(COLUMNS($AM$1006:AT1006),$AM$1006:$BM$1006,0)))),"Fix")))</f>
        <v xml:space="preserve"> </v>
      </c>
      <c r="J30" s="4" t="str">
        <f ca="1">IF(OR(INDEX($AG$2:$AG$1001,MATCH(ROWS($AF$2:AF30),$AF$2:$AF$1001,0),1)&gt;=100000,INDEX($AM$1005:$BM$1005,1,MATCH(COLUMNS($AM$1006:AU1006),$AM$1006:$BM$1006,0))&gt;=100000), " ",IF(INDEX($AM$2:$BM$1001,MATCH(ROWS($AF$2:AF30),$AF$2:$AF$1001,0),MATCH(COLUMNS($AM$1006:AU1006),$AM$1006:$BM$1006,0)), HYPERLINK("#",""), HYPERLINK(CONCATENATE("#metadata!", ADDRESS(INDEX($AH$2:$AH$1001,MATCH(ROWS($AF$2:AF30),$AF$2:$AF$1001,0),0), INDEX($AM$1004:$BM$1004,1,MATCH(COLUMNS($AM$1006:AU1006),$AM$1006:$BM$1006,0)))),"Fix")))</f>
        <v xml:space="preserve"> </v>
      </c>
      <c r="K30" s="4" t="str">
        <f ca="1">IF(OR(INDEX($AG$2:$AG$1001,MATCH(ROWS($AF$2:AF30),$AF$2:$AF$1001,0),1)&gt;=100000,INDEX($AM$1005:$BM$1005,1,MATCH(COLUMNS($AM$1006:AV1006),$AM$1006:$BM$1006,0))&gt;=100000), " ",IF(INDEX($AM$2:$BM$1001,MATCH(ROWS($AF$2:AF30),$AF$2:$AF$1001,0),MATCH(COLUMNS($AM$1006:AV1006),$AM$1006:$BM$1006,0)), HYPERLINK("#",""), HYPERLINK(CONCATENATE("#metadata!", ADDRESS(INDEX($AH$2:$AH$1001,MATCH(ROWS($AF$2:AF30),$AF$2:$AF$1001,0),0), INDEX($AM$1004:$BM$1004,1,MATCH(COLUMNS($AM$1006:AV1006),$AM$1006:$BM$1006,0)))),"Fix")))</f>
        <v xml:space="preserve"> </v>
      </c>
      <c r="L30" s="4" t="str">
        <f ca="1">IF(OR(INDEX($AG$2:$AG$1001,MATCH(ROWS($AF$2:AF30),$AF$2:$AF$1001,0),1)&gt;=100000,INDEX($AM$1005:$BM$1005,1,MATCH(COLUMNS($AM$1006:AW1006),$AM$1006:$BM$1006,0))&gt;=100000), " ",IF(INDEX($AM$2:$BM$1001,MATCH(ROWS($AF$2:AF30),$AF$2:$AF$1001,0),MATCH(COLUMNS($AM$1006:AW1006),$AM$1006:$BM$1006,0)), HYPERLINK("#",""), HYPERLINK(CONCATENATE("#metadata!", ADDRESS(INDEX($AH$2:$AH$1001,MATCH(ROWS($AF$2:AF30),$AF$2:$AF$1001,0),0), INDEX($AM$1004:$BM$1004,1,MATCH(COLUMNS($AM$1006:AW1006),$AM$1006:$BM$1006,0)))),"Fix")))</f>
        <v xml:space="preserve"> </v>
      </c>
      <c r="M30" s="4" t="str">
        <f ca="1">IF(OR(INDEX($AG$2:$AG$1001,MATCH(ROWS($AF$2:AF30),$AF$2:$AF$1001,0),1)&gt;=100000,INDEX($AM$1005:$BM$1005,1,MATCH(COLUMNS($AM$1006:AX1006),$AM$1006:$BM$1006,0))&gt;=100000), " ",IF(INDEX($AM$2:$BM$1001,MATCH(ROWS($AF$2:AF30),$AF$2:$AF$1001,0),MATCH(COLUMNS($AM$1006:AX1006),$AM$1006:$BM$1006,0)), HYPERLINK("#",""), HYPERLINK(CONCATENATE("#metadata!", ADDRESS(INDEX($AH$2:$AH$1001,MATCH(ROWS($AF$2:AF30),$AF$2:$AF$1001,0),0), INDEX($AM$1004:$BM$1004,1,MATCH(COLUMNS($AM$1006:AX1006),$AM$1006:$BM$1006,0)))),"Fix")))</f>
        <v xml:space="preserve"> </v>
      </c>
      <c r="N30" s="4" t="str">
        <f ca="1">IF(OR(INDEX($AG$2:$AG$1001,MATCH(ROWS($AF$2:AF30),$AF$2:$AF$1001,0),1)&gt;=100000,INDEX($AM$1005:$BM$1005,1,MATCH(COLUMNS($AM$1006:AY1006),$AM$1006:$BM$1006,0))&gt;=100000), " ",IF(INDEX($AM$2:$BM$1001,MATCH(ROWS($AF$2:AF30),$AF$2:$AF$1001,0),MATCH(COLUMNS($AM$1006:AY1006),$AM$1006:$BM$1006,0)), HYPERLINK("#",""), HYPERLINK(CONCATENATE("#metadata!", ADDRESS(INDEX($AH$2:$AH$1001,MATCH(ROWS($AF$2:AF30),$AF$2:$AF$1001,0),0), INDEX($AM$1004:$BM$1004,1,MATCH(COLUMNS($AM$1006:AY1006),$AM$1006:$BM$1006,0)))),"Fix")))</f>
        <v xml:space="preserve"> </v>
      </c>
      <c r="O30" s="4" t="str">
        <f ca="1">IF(OR(INDEX($AG$2:$AG$1001,MATCH(ROWS($AF$2:AF30),$AF$2:$AF$1001,0),1)&gt;=100000,INDEX($AM$1005:$BM$1005,1,MATCH(COLUMNS($AM$1006:AZ1006),$AM$1006:$BM$1006,0))&gt;=100000), " ",IF(INDEX($AM$2:$BM$1001,MATCH(ROWS($AF$2:AF30),$AF$2:$AF$1001,0),MATCH(COLUMNS($AM$1006:AZ1006),$AM$1006:$BM$1006,0)), HYPERLINK("#",""), HYPERLINK(CONCATENATE("#metadata!", ADDRESS(INDEX($AH$2:$AH$1001,MATCH(ROWS($AF$2:AF30),$AF$2:$AF$1001,0),0), INDEX($AM$1004:$BM$1004,1,MATCH(COLUMNS($AM$1006:AZ1006),$AM$1006:$BM$1006,0)))),"Fix")))</f>
        <v xml:space="preserve"> </v>
      </c>
      <c r="P30" s="4" t="str">
        <f ca="1">IF(OR(INDEX($AG$2:$AG$1001,MATCH(ROWS($AF$2:AF30),$AF$2:$AF$1001,0),1)&gt;=100000,INDEX($AM$1005:$BM$1005,1,MATCH(COLUMNS($AM$1006:BA1006),$AM$1006:$BM$1006,0))&gt;=100000), " ",IF(INDEX($AM$2:$BM$1001,MATCH(ROWS($AF$2:AF30),$AF$2:$AF$1001,0),MATCH(COLUMNS($AM$1006:BA1006),$AM$1006:$BM$1006,0)), HYPERLINK("#",""), HYPERLINK(CONCATENATE("#metadata!", ADDRESS(INDEX($AH$2:$AH$1001,MATCH(ROWS($AF$2:AF30),$AF$2:$AF$1001,0),0), INDEX($AM$1004:$BM$1004,1,MATCH(COLUMNS($AM$1006:BA1006),$AM$1006:$BM$1006,0)))),"Fix")))</f>
        <v xml:space="preserve"> </v>
      </c>
      <c r="Q30" s="4" t="str">
        <f ca="1">IF(OR(INDEX($AG$2:$AG$1001,MATCH(ROWS($AF$2:AF30),$AF$2:$AF$1001,0),1)&gt;=100000,INDEX($AM$1005:$BM$1005,1,MATCH(COLUMNS($AM$1006:BB1006),$AM$1006:$BM$1006,0))&gt;=100000), " ",IF(INDEX($AM$2:$BM$1001,MATCH(ROWS($AF$2:AF30),$AF$2:$AF$1001,0),MATCH(COLUMNS($AM$1006:BB1006),$AM$1006:$BM$1006,0)), HYPERLINK("#",""), HYPERLINK(CONCATENATE("#metadata!", ADDRESS(INDEX($AH$2:$AH$1001,MATCH(ROWS($AF$2:AF30),$AF$2:$AF$1001,0),0), INDEX($AM$1004:$BM$1004,1,MATCH(COLUMNS($AM$1006:BB1006),$AM$1006:$BM$1006,0)))),"Fix")))</f>
        <v xml:space="preserve"> </v>
      </c>
      <c r="R30" s="4" t="str">
        <f ca="1">IF(OR(INDEX($AG$2:$AG$1001,MATCH(ROWS($AF$2:AF30),$AF$2:$AF$1001,0),1)&gt;=100000,INDEX($AM$1005:$BM$1005,1,MATCH(COLUMNS($AM$1006:BC1006),$AM$1006:$BM$1006,0))&gt;=100000), " ",IF(INDEX($AM$2:$BM$1001,MATCH(ROWS($AF$2:AF30),$AF$2:$AF$1001,0),MATCH(COLUMNS($AM$1006:BC1006),$AM$1006:$BM$1006,0)), HYPERLINK("#",""), HYPERLINK(CONCATENATE("#metadata!", ADDRESS(INDEX($AH$2:$AH$1001,MATCH(ROWS($AF$2:AF30),$AF$2:$AF$1001,0),0), INDEX($AM$1004:$BM$1004,1,MATCH(COLUMNS($AM$1006:BC1006),$AM$1006:$BM$1006,0)))),"Fix")))</f>
        <v xml:space="preserve"> </v>
      </c>
      <c r="S30" s="4" t="str">
        <f ca="1">IF(OR(INDEX($AG$2:$AG$1001,MATCH(ROWS($AF$2:AF30),$AF$2:$AF$1001,0),1)&gt;=100000,INDEX($AM$1005:$BM$1005,1,MATCH(COLUMNS($AM$1006:BD1006),$AM$1006:$BM$1006,0))&gt;=100000), " ",IF(INDEX($AM$2:$BM$1001,MATCH(ROWS($AF$2:AF30),$AF$2:$AF$1001,0),MATCH(COLUMNS($AM$1006:BD1006),$AM$1006:$BM$1006,0)), HYPERLINK("#",""), HYPERLINK(CONCATENATE("#metadata!", ADDRESS(INDEX($AH$2:$AH$1001,MATCH(ROWS($AF$2:AF30),$AF$2:$AF$1001,0),0), INDEX($AM$1004:$BM$1004,1,MATCH(COLUMNS($AM$1006:BD1006),$AM$1006:$BM$1006,0)))),"Fix")))</f>
        <v xml:space="preserve"> </v>
      </c>
      <c r="T30" s="4" t="str">
        <f ca="1">IF(OR(INDEX($AG$2:$AG$1001,MATCH(ROWS($AF$2:AF30),$AF$2:$AF$1001,0),1)&gt;=100000,INDEX($AM$1005:$BM$1005,1,MATCH(COLUMNS($AM$1006:BE1006),$AM$1006:$BM$1006,0))&gt;=100000), " ",IF(INDEX($AM$2:$BM$1001,MATCH(ROWS($AF$2:AF30),$AF$2:$AF$1001,0),MATCH(COLUMNS($AM$1006:BE1006),$AM$1006:$BM$1006,0)), HYPERLINK("#",""), HYPERLINK(CONCATENATE("#metadata!", ADDRESS(INDEX($AH$2:$AH$1001,MATCH(ROWS($AF$2:AF30),$AF$2:$AF$1001,0),0), INDEX($AM$1004:$BM$1004,1,MATCH(COLUMNS($AM$1006:BE1006),$AM$1006:$BM$1006,0)))),"Fix")))</f>
        <v xml:space="preserve"> </v>
      </c>
      <c r="U30" s="4" t="str">
        <f ca="1">IF(OR(INDEX($AG$2:$AG$1001,MATCH(ROWS($AF$2:AF30),$AF$2:$AF$1001,0),1)&gt;=100000,INDEX($AM$1005:$BM$1005,1,MATCH(COLUMNS($AM$1006:BF1006),$AM$1006:$BM$1006,0))&gt;=100000), " ",IF(INDEX($AM$2:$BM$1001,MATCH(ROWS($AF$2:AF30),$AF$2:$AF$1001,0),MATCH(COLUMNS($AM$1006:BF1006),$AM$1006:$BM$1006,0)), HYPERLINK("#",""), HYPERLINK(CONCATENATE("#metadata!", ADDRESS(INDEX($AH$2:$AH$1001,MATCH(ROWS($AF$2:AF30),$AF$2:$AF$1001,0),0), INDEX($AM$1004:$BM$1004,1,MATCH(COLUMNS($AM$1006:BF1006),$AM$1006:$BM$1006,0)))),"Fix")))</f>
        <v xml:space="preserve"> </v>
      </c>
      <c r="V30" s="4" t="str">
        <f ca="1">IF(OR(INDEX($AG$2:$AG$1001,MATCH(ROWS($AF$2:AF30),$AF$2:$AF$1001,0),1)&gt;=100000,INDEX($AM$1005:$BM$1005,1,MATCH(COLUMNS($AM$1006:BG1006),$AM$1006:$BM$1006,0))&gt;=100000), " ",IF(INDEX($AM$2:$BM$1001,MATCH(ROWS($AF$2:AF30),$AF$2:$AF$1001,0),MATCH(COLUMNS($AM$1006:BG1006),$AM$1006:$BM$1006,0)), HYPERLINK("#",""), HYPERLINK(CONCATENATE("#metadata!", ADDRESS(INDEX($AH$2:$AH$1001,MATCH(ROWS($AF$2:AF30),$AF$2:$AF$1001,0),0), INDEX($AM$1004:$BM$1004,1,MATCH(COLUMNS($AM$1006:BG1006),$AM$1006:$BM$1006,0)))),"Fix")))</f>
        <v xml:space="preserve"> </v>
      </c>
      <c r="W30" s="4" t="str">
        <f ca="1">IF(OR(INDEX($AG$2:$AG$1001,MATCH(ROWS($AF$2:AF30),$AF$2:$AF$1001,0),1)&gt;=100000,INDEX($AM$1005:$BM$1005,1,MATCH(COLUMNS($AM$1006:BH1006),$AM$1006:$BM$1006,0))&gt;=100000), " ",IF(INDEX($AM$2:$BM$1001,MATCH(ROWS($AF$2:AF30),$AF$2:$AF$1001,0),MATCH(COLUMNS($AM$1006:BH1006),$AM$1006:$BM$1006,0)), HYPERLINK("#",""), HYPERLINK(CONCATENATE("#metadata!", ADDRESS(INDEX($AH$2:$AH$1001,MATCH(ROWS($AF$2:AF30),$AF$2:$AF$1001,0),0), INDEX($AM$1004:$BM$1004,1,MATCH(COLUMNS($AM$1006:BH1006),$AM$1006:$BM$1006,0)))),"Fix")))</f>
        <v xml:space="preserve"> </v>
      </c>
      <c r="X30" s="4" t="str">
        <f ca="1">IF(OR(INDEX($AG$2:$AG$1001,MATCH(ROWS($AF$2:AF30),$AF$2:$AF$1001,0),1)&gt;=100000,INDEX($AM$1005:$BM$1005,1,MATCH(COLUMNS($AM$1006:BI1006),$AM$1006:$BM$1006,0))&gt;=100000), " ",IF(INDEX($AM$2:$BM$1001,MATCH(ROWS($AF$2:AF30),$AF$2:$AF$1001,0),MATCH(COLUMNS($AM$1006:BI1006),$AM$1006:$BM$1006,0)), HYPERLINK("#",""), HYPERLINK(CONCATENATE("#metadata!", ADDRESS(INDEX($AH$2:$AH$1001,MATCH(ROWS($AF$2:AF30),$AF$2:$AF$1001,0),0), INDEX($AM$1004:$BM$1004,1,MATCH(COLUMNS($AM$1006:BI1006),$AM$1006:$BM$1006,0)))),"Fix")))</f>
        <v xml:space="preserve"> </v>
      </c>
      <c r="Y30" s="4" t="str">
        <f ca="1">IF(OR(INDEX($AG$2:$AG$1001,MATCH(ROWS($AF$2:AF30),$AF$2:$AF$1001,0),1)&gt;=100000,INDEX($AM$1005:$BM$1005,1,MATCH(COLUMNS($AM$1006:BJ1006),$AM$1006:$BM$1006,0))&gt;=100000), " ",IF(INDEX($AM$2:$BM$1001,MATCH(ROWS($AF$2:AF30),$AF$2:$AF$1001,0),MATCH(COLUMNS($AM$1006:BJ1006),$AM$1006:$BM$1006,0)), HYPERLINK("#",""), HYPERLINK(CONCATENATE("#metadata!", ADDRESS(INDEX($AH$2:$AH$1001,MATCH(ROWS($AF$2:AF30),$AF$2:$AF$1001,0),0), INDEX($AM$1004:$BM$1004,1,MATCH(COLUMNS($AM$1006:BJ1006),$AM$1006:$BM$1006,0)))),"Fix")))</f>
        <v xml:space="preserve"> </v>
      </c>
      <c r="Z30" s="4" t="str">
        <f ca="1">IF(OR(INDEX($AG$2:$AG$1001,MATCH(ROWS($AF$2:AF30),$AF$2:$AF$1001,0),1)&gt;=100000,INDEX($AM$1005:$BM$1005,1,MATCH(COLUMNS($AM$1006:BK1006),$AM$1006:$BM$1006,0))&gt;=100000), " ",IF(INDEX($AM$2:$BM$1001,MATCH(ROWS($AF$2:AF30),$AF$2:$AF$1001,0),MATCH(COLUMNS($AM$1006:BK1006),$AM$1006:$BM$1006,0)), HYPERLINK("#",""), HYPERLINK(CONCATENATE("#metadata!", ADDRESS(INDEX($AH$2:$AH$1001,MATCH(ROWS($AF$2:AF30),$AF$2:$AF$1001,0),0), INDEX($AM$1004:$BM$1004,1,MATCH(COLUMNS($AM$1006:BK1006),$AM$1006:$BM$1006,0)))),"Fix")))</f>
        <v xml:space="preserve"> </v>
      </c>
      <c r="AA30" s="4" t="str">
        <f ca="1">IF(OR(INDEX($AG$2:$AG$1001,MATCH(ROWS($AF$2:AF30),$AF$2:$AF$1001,0),1)&gt;=100000,INDEX($AM$1005:$BM$1005,1,MATCH(COLUMNS($AM$1006:BL1006),$AM$1006:$BM$1006,0))&gt;=100000), " ",IF(INDEX($AM$2:$BM$1001,MATCH(ROWS($AF$2:AF30),$AF$2:$AF$1001,0),MATCH(COLUMNS($AM$1006:BL1006),$AM$1006:$BM$1006,0)), HYPERLINK("#",""), HYPERLINK(CONCATENATE("#metadata!", ADDRESS(INDEX($AH$2:$AH$1001,MATCH(ROWS($AF$2:AF30),$AF$2:$AF$1001,0),0), INDEX($AM$1004:$BM$1004,1,MATCH(COLUMNS($AM$1006:BL1006),$AM$1006:$BM$1006,0)))),"Fix")))</f>
        <v xml:space="preserve"> </v>
      </c>
      <c r="AB30" s="4" t="str">
        <f ca="1">IF(OR(INDEX($AG$2:$AG$1001,MATCH(ROWS($AF$2:AF30),$AF$2:$AF$1001,0),1)&gt;=100000,INDEX($AM$1005:$BM$1005,1,MATCH(COLUMNS($AM$1006:BM1006),$AM$1006:$BM$1006,0))&gt;=100000), " ",IF(INDEX($AM$2:$BM$1001,MATCH(ROWS($AF$2:AF30),$AF$2:$AF$1001,0),MATCH(COLUMNS($AM$1006:BM1006),$AM$1006:$BM$1006,0)), HYPERLINK("#",""), HYPERLINK(CONCATENATE("#metadata!", ADDRESS(INDEX($AH$2:$AH$1001,MATCH(ROWS($AF$2:AF30),$AF$2:$AF$1001,0),0), INDEX($AM$1004:$BM$1004,1,MATCH(COLUMNS($AM$1006:BM1006),$AM$1006:$BM$1006,0)))),"Fix")))</f>
        <v xml:space="preserve"> </v>
      </c>
      <c r="AF30">
        <v>29</v>
      </c>
      <c r="AG30">
        <v>100030</v>
      </c>
      <c r="AH30">
        <v>30</v>
      </c>
      <c r="AI30" t="b">
        <f t="shared" si="0"/>
        <v>1</v>
      </c>
      <c r="AJ30" t="b">
        <f>COUNTBLANK(metadata!B30:AB30)=COLUMNS(metadata!B30:AB30)</f>
        <v>1</v>
      </c>
      <c r="AK30" t="str">
        <v/>
      </c>
      <c r="AM30" t="b">
        <f ca="1">AND(IF(metadata!B30="",FALSE,TRUE),COUNTIF(metadata!B:B, metadata!B30) = 1,NOT(ISERROR(SUMPRODUCT(SEARCH(MID(metadata!B30,ROW(INDIRECT("1:"&amp;LEN(metadata!B30))), 1),"0123456789abcdefghijklmnopqrstuvwxyzABCDEFGHIJKLMNOPQRSTUVWXYZ.")))))</f>
        <v>0</v>
      </c>
      <c r="AN30" t="b">
        <f ca="1">OR(AND(IF(metadata!C30="",FALSE,TRUE),OR(EXACT(metadata!C30,"missing: not collected"),EXACT(metadata!C30,"missing: not provided"),EXACT(metadata!C30,"missing: restricted access"))),AND(IF(metadata!C30="",FALSE,TRUE),AND(AND(IFERROR(INT(LEFT(metadata!C30,4))&gt;1900,FALSE),IFERROR(INT(LEFT(metadata!C30,4))&lt;=YEAR(NOW()),FALSE)), OR(MID(metadata!C30,5,1)="", AND(AND(MID(metadata!C30,5,1)="-",IFERROR(INT(MID(metadata!C30,6,1))&gt;=0,FALSE),IFERROR(INT(MID(metadata!C30,6,1))&lt;=1,FALSE),NOT(MID(metadata!C30,7,1)=""),IFERROR(INT(MID(metadata!C30,6,2))&gt;=1,FALSE),IFERROR(INT(MID(metadata!C30,6,2))&lt;=12,FALSE)), OR(MID(metadata!C30,8,1)="", AND(AND(MID(metadata!C30,8,1)="-",IFERROR(INT(MID(metadata!C30,9,1))&gt;=0,FALSE),IFERROR(INT(MID(metadata!C30,9,1))&lt;=3,FALSE),NOT(MID(metadata!C30,10,1)=""),IFERROR(INT(MID(metadata!C30,9,2))&gt;=1,FALSE),IFERROR(INT(MID(metadata!C30,9,2))&lt;=31,FALSE)), OR(MID(metadata!C30,11,1)="", AND(AND(MID(metadata!C30,11,1)=" ",IFERROR(INT(MID(metadata!C30,12,1))&gt;=0,FALSE),IFERROR(INT(MID(metadata!C30,12,1))&lt;=2,FALSE),NOT(MID(metadata!C30,13,1)=""),IFERROR(INT(MID(metadata!C30,12,2))&gt;=0,FALSE),IFERROR(INT(MID(metadata!C30,12,2))&lt;=23,FALSE)), OR(MID(metadata!C30,14,1)="", AND(AND(MID(metadata!C30,14,1)=":",IFERROR(INT(MID(metadata!C30,15,1))&gt;=0,FALSE),IFERROR(INT(MID(metadata!C30,15,1))&lt;=5,FALSE),NOT(MID(metadata!C30,16,1)=""),IFERROR(INT(MID(metadata!C30,15,2))&gt;=0,FALSE),IFERROR(INT(MID(metadata!C30,15,2))&lt;=59,FALSE)), OR(MID(metadata!C30,17,1)="", AND(AND(MID(metadata!C30,17,1)=":",IFERROR(INT(MID(metadata!C30,18,1))&gt;=0,FALSE),IFERROR(INT(MID(metadata!C30,18,1))&lt;=5,FALSE),NOT(MID(metadata!C30,19,1)=""),IFERROR(INT(MID(metadata!C30,18,2))&gt;=0,FALSE),IFERROR(INT(MID(metadata!C30,18,2))&lt;=59,FALSE)), LEN(metadata!C30)&lt;=19)))))))))))))</f>
        <v>0</v>
      </c>
      <c r="AO30" t="b">
        <f>AND(IF(metadata!D30="",FALSE,TRUE),EXACT(metadata!D30,"Not applicable"))</f>
        <v>0</v>
      </c>
      <c r="AP30" t="b">
        <f>IF(metadata!E30="",FALSE,TRUE)</f>
        <v>0</v>
      </c>
      <c r="AQ30" t="b">
        <f>OR(AND(IF(metadata!F30="",FALSE,TRUE),OR(EXACT(metadata!F30,"missing: not collected"),EXACT(metadata!F30,"missing: not provided"))),AND(IF(metadata!F30="",FALSE,TRUE),OR(EXACT(metadata!F30,"TRUE"),EXACT(metadata!F30,"FALSE"))))</f>
        <v>0</v>
      </c>
      <c r="AR30" t="b">
        <f>OR(AND(IF(metadata!G30="",FALSE,TRUE),OR(EXACT(metadata!G30,"missing: not collected"),EXACT(metadata!G30,"missing: not provided"),EXACT(metadata!G30,"missing: restricted access"))),AND(IF(metadata!G30="",FALSE,ISNUMBER(VALUE(metadata!G30))),metadata!G30&gt;=-413))</f>
        <v>0</v>
      </c>
      <c r="AS30" t="b">
        <f>AND(IF(metadata!H30="",FALSE,TRUE),EXACT(metadata!H30,"meters"))</f>
        <v>0</v>
      </c>
      <c r="AT30" t="b">
        <f>AND(IF(metadata!I30="",FALSE,TRUE),OR(EXACT(metadata!I30,"Host-associated"),EXACT(metadata!I30,"Free-living")))</f>
        <v>0</v>
      </c>
      <c r="AU30" t="b">
        <f>AND(IF(metadata!J30="",FALSE,TRUE),OR(EXACT(metadata!J30,"Animal"),EXACT(metadata!J30,"Fungus"),EXACT(metadata!J30,"Plant"),EXACT(metadata!J30,"Saline"),EXACT(metadata!J30,"Non-saline")))</f>
        <v>0</v>
      </c>
      <c r="AV30" t="b">
        <f>AND(IF(metadata!K30="",FALSE,TRUE),OR(EXACT(metadata!K30,"Plant secretion"),EXACT(metadata!K30,"Plant rhizosphere"),EXACT(metadata!K30,"Plant surface"),EXACT(metadata!K30,"Plant corpus"),EXACT(metadata!K30,"Fungus surface"),EXACT(metadata!K30,"Fungus corpus"),EXACT(metadata!K30,"Animal surface"),EXACT(metadata!K30,"Animal proximal gut"),EXACT(metadata!K30,"Animal corpus"),EXACT(metadata!K30,"Animal distal gut"),EXACT(metadata!K30,"Animal secretion"),EXACT(metadata!K30,"Sub-surface (non-saline)"),EXACT(metadata!K30,"Surface (non-saline)"),EXACT(metadata!K30,"Water (non-saline)"),EXACT(metadata!K30,"Soil (non-saline)"),EXACT(metadata!K30,"Aerosol (non-saline)"),EXACT(metadata!K30,"Sediment (non-saline)"),EXACT(metadata!K30,"Surface (saline)"),EXACT(metadata!K30,"Water (saline)"),EXACT(metadata!K30,"Hypersaline (saline)"),EXACT(metadata!K30,"Aerosol (saline)"),EXACT(metadata!K30,"Sediment (saline)")))</f>
        <v>0</v>
      </c>
      <c r="AW30" t="b">
        <f>IF(metadata!L30="",FALSE,TRUE)</f>
        <v>0</v>
      </c>
      <c r="AX30" t="b">
        <f>IF(metadata!M30="",FALSE,TRUE)</f>
        <v>0</v>
      </c>
      <c r="AY30" t="b">
        <f>IF(metadata!N30="",FALSE,TRUE)</f>
        <v>0</v>
      </c>
      <c r="AZ30" t="b">
        <f>OR(AND(IF(metadata!O30="",FALSE,TRUE),OR(EXACT(metadata!O30,"missing: not collected"),EXACT(metadata!O30,"missing: not provided"),EXACT(metadata!O30,"missing: restricted access"))),AND(IF(metadata!O30="",FALSE,TRUE),OR(EXACT(metadata!O30,"air"),EXACT(metadata!O30,"built environment"),EXACT(metadata!O30,"host-associated"),EXACT(metadata!O30,"human-associated"),EXACT(metadata!O30,"human-skin"),EXACT(metadata!O30,"human-oral"),EXACT(metadata!O30,"human-gut"),EXACT(metadata!O30,"human-vaginal"),EXACT(metadata!O30,"microbial mat/biofilm"),EXACT(metadata!O30,"misc environment"),EXACT(metadata!O30,"plant-associated"),EXACT(metadata!O30,"sediment"),EXACT(metadata!O30,"soil"),EXACT(metadata!O30,"wastewater/sludge"),EXACT(metadata!O30,"water"))))</f>
        <v>0</v>
      </c>
      <c r="BA30" t="b">
        <f>IF(metadata!P30="",FALSE,TRUE)</f>
        <v>0</v>
      </c>
      <c r="BB30" t="b">
        <f>IF(metadata!Q30="",FALSE,TRUE)</f>
        <v>0</v>
      </c>
      <c r="BC30" t="b">
        <f>OR(AND(IF(metadata!R30="",FALSE,TRUE),OR(EXACT(metadata!R30,"missing: not collected"),EXACT(metadata!R30,"missing: not provided"),EXACT(metadata!R30,"missing: restricted access"))),AND(IF(metadata!R30="",FALSE,ISNUMBER(VALUE(metadata!R30))),metadata!R30&gt;=-90,metadata!R30&lt;=90))</f>
        <v>0</v>
      </c>
      <c r="BD30" t="b">
        <f>AND(IF(metadata!S30="",FALSE,TRUE),EXACT(metadata!S30,"Decimal degrees"))</f>
        <v>0</v>
      </c>
      <c r="BE30" t="b">
        <f>OR(AND(IF(metadata!T30="",FALSE,TRUE),OR(EXACT(metadata!T30,"missing: not collected"),EXACT(metadata!T30,"missing: not provided"),EXACT(metadata!T30,"missing: restricted access"))),AND(IF(metadata!T30="",FALSE,ISNUMBER(VALUE(metadata!T30))),metadata!T30&gt;=-180,metadata!T30&lt;=180))</f>
        <v>0</v>
      </c>
      <c r="BF30" t="b">
        <f>AND(IF(metadata!U30="",FALSE,TRUE),EXACT(metadata!U30,"Decimal degrees"))</f>
        <v>0</v>
      </c>
      <c r="BG30" t="b">
        <f>IF(metadata!V30="",FALSE,TRUE)</f>
        <v>0</v>
      </c>
      <c r="BH30" t="b">
        <f>OR(AND(IF(metadata!W30="",FALSE,TRUE),OR(EXACT(metadata!W30,"missing: not collected"),EXACT(metadata!W30,"missing: not provided"),EXACT(metadata!W30,"missing: restricted access"))),AND(IF(metadata!W30="",FALSE,TRUE),OR(EXACT(metadata!W30,"TRUE"),EXACT(metadata!W30,"FALSE"))))</f>
        <v>0</v>
      </c>
      <c r="BI30" t="b">
        <f>AND(IF(metadata!X30="",FALSE,TRUE),EXACT(metadata!X30,"other"))</f>
        <v>0</v>
      </c>
      <c r="BJ30" t="b">
        <f>IF(metadata!Y30="",FALSE,TRUE)</f>
        <v>0</v>
      </c>
      <c r="BK30" t="b">
        <f>OR(AND(IF(metadata!Z30="",FALSE,TRUE),OR(EXACT(metadata!Z30,"missing: not collected"),EXACT(metadata!Z30,"missing: not provided"))),AND(IF(metadata!Z30="",FALSE,IF(ISERROR(INT(metadata!Z30)),FALSE,INT(metadata!Z30)=metadata!Z30)),metadata!Z30&gt;0))</f>
        <v>0</v>
      </c>
      <c r="BL30" t="b">
        <f>AND(IF(metadata!AA30="",FALSE,TRUE),EXACT(metadata!AA30,"Not applicable"))</f>
        <v>0</v>
      </c>
      <c r="BM30" t="b">
        <f>IF(metadata!AB30="",FALSE,TRUE)</f>
        <v>0</v>
      </c>
    </row>
    <row r="31" spans="1:65" x14ac:dyDescent="0.2">
      <c r="A31" s="5" t="str">
        <f ca="1">IF(B31=" "," ",HYPERLINK(CONCATENATE("#metadata!",ADDRESS(INDEX($AH$2:$AH$1001,MATCH(ROWS($AF$2:AF31),$AF$2:$AF$1001,0),0),1)),INDEX($AK$2:$AK$1001,MATCH(ROWS($AF$2:AF31),$AF$2:$AF$1001,0),0)))</f>
        <v xml:space="preserve"> </v>
      </c>
      <c r="B31" s="4" t="str">
        <f ca="1">IF(OR(INDEX($AG$2:$AG$1001,MATCH(ROWS($AF$2:AF31),$AF$2:$AF$1001,0),1)&gt;=100000,INDEX($AM$1005:$BM$1005,1,MATCH(COLUMNS($AM$1006:AM1006),$AM$1006:$BM$1006,0))&gt;=100000), " ",IF(INDEX($AM$2:$BM$1001,MATCH(ROWS($AF$2:AF31),$AF$2:$AF$1001,0),MATCH(COLUMNS($AM$1006:AM1006),$AM$1006:$BM$1006,0)), HYPERLINK("#",""), HYPERLINK(CONCATENATE("#metadata!", ADDRESS(INDEX($AH$2:$AH$1001,MATCH(ROWS($AF$2:AF31),$AF$2:$AF$1001,0),0), INDEX($AM$1004:$BM$1004,1,MATCH(COLUMNS($AM$1006:AM1006),$AM$1006:$BM$1006,0)))),"Fix")))</f>
        <v xml:space="preserve"> </v>
      </c>
      <c r="C31" s="4" t="str">
        <f ca="1">IF(OR(INDEX($AG$2:$AG$1001,MATCH(ROWS($AF$2:AF31),$AF$2:$AF$1001,0),1)&gt;=100000,INDEX($AM$1005:$BM$1005,1,MATCH(COLUMNS($AM$1006:AN1006),$AM$1006:$BM$1006,0))&gt;=100000), " ",IF(INDEX($AM$2:$BM$1001,MATCH(ROWS($AF$2:AF31),$AF$2:$AF$1001,0),MATCH(COLUMNS($AM$1006:AN1006),$AM$1006:$BM$1006,0)), HYPERLINK("#",""), HYPERLINK(CONCATENATE("#metadata!", ADDRESS(INDEX($AH$2:$AH$1001,MATCH(ROWS($AF$2:AF31),$AF$2:$AF$1001,0),0), INDEX($AM$1004:$BM$1004,1,MATCH(COLUMNS($AM$1006:AN1006),$AM$1006:$BM$1006,0)))),"Fix")))</f>
        <v xml:space="preserve"> </v>
      </c>
      <c r="D31" s="4" t="str">
        <f ca="1">IF(OR(INDEX($AG$2:$AG$1001,MATCH(ROWS($AF$2:AF31),$AF$2:$AF$1001,0),1)&gt;=100000,INDEX($AM$1005:$BM$1005,1,MATCH(COLUMNS($AM$1006:AO1006),$AM$1006:$BM$1006,0))&gt;=100000), " ",IF(INDEX($AM$2:$BM$1001,MATCH(ROWS($AF$2:AF31),$AF$2:$AF$1001,0),MATCH(COLUMNS($AM$1006:AO1006),$AM$1006:$BM$1006,0)), HYPERLINK("#",""), HYPERLINK(CONCATENATE("#metadata!", ADDRESS(INDEX($AH$2:$AH$1001,MATCH(ROWS($AF$2:AF31),$AF$2:$AF$1001,0),0), INDEX($AM$1004:$BM$1004,1,MATCH(COLUMNS($AM$1006:AO1006),$AM$1006:$BM$1006,0)))),"Fix")))</f>
        <v xml:space="preserve"> </v>
      </c>
      <c r="E31" s="4" t="str">
        <f ca="1">IF(OR(INDEX($AG$2:$AG$1001,MATCH(ROWS($AF$2:AF31),$AF$2:$AF$1001,0),1)&gt;=100000,INDEX($AM$1005:$BM$1005,1,MATCH(COLUMNS($AM$1006:AP1006),$AM$1006:$BM$1006,0))&gt;=100000), " ",IF(INDEX($AM$2:$BM$1001,MATCH(ROWS($AF$2:AF31),$AF$2:$AF$1001,0),MATCH(COLUMNS($AM$1006:AP1006),$AM$1006:$BM$1006,0)), HYPERLINK("#",""), HYPERLINK(CONCATENATE("#metadata!", ADDRESS(INDEX($AH$2:$AH$1001,MATCH(ROWS($AF$2:AF31),$AF$2:$AF$1001,0),0), INDEX($AM$1004:$BM$1004,1,MATCH(COLUMNS($AM$1006:AP1006),$AM$1006:$BM$1006,0)))),"Fix")))</f>
        <v xml:space="preserve"> </v>
      </c>
      <c r="F31" s="4" t="str">
        <f ca="1">IF(OR(INDEX($AG$2:$AG$1001,MATCH(ROWS($AF$2:AF31),$AF$2:$AF$1001,0),1)&gt;=100000,INDEX($AM$1005:$BM$1005,1,MATCH(COLUMNS($AM$1006:AQ1006),$AM$1006:$BM$1006,0))&gt;=100000), " ",IF(INDEX($AM$2:$BM$1001,MATCH(ROWS($AF$2:AF31),$AF$2:$AF$1001,0),MATCH(COLUMNS($AM$1006:AQ1006),$AM$1006:$BM$1006,0)), HYPERLINK("#",""), HYPERLINK(CONCATENATE("#metadata!", ADDRESS(INDEX($AH$2:$AH$1001,MATCH(ROWS($AF$2:AF31),$AF$2:$AF$1001,0),0), INDEX($AM$1004:$BM$1004,1,MATCH(COLUMNS($AM$1006:AQ1006),$AM$1006:$BM$1006,0)))),"Fix")))</f>
        <v xml:space="preserve"> </v>
      </c>
      <c r="G31" s="4" t="str">
        <f ca="1">IF(OR(INDEX($AG$2:$AG$1001,MATCH(ROWS($AF$2:AF31),$AF$2:$AF$1001,0),1)&gt;=100000,INDEX($AM$1005:$BM$1005,1,MATCH(COLUMNS($AM$1006:AR1006),$AM$1006:$BM$1006,0))&gt;=100000), " ",IF(INDEX($AM$2:$BM$1001,MATCH(ROWS($AF$2:AF31),$AF$2:$AF$1001,0),MATCH(COLUMNS($AM$1006:AR1006),$AM$1006:$BM$1006,0)), HYPERLINK("#",""), HYPERLINK(CONCATENATE("#metadata!", ADDRESS(INDEX($AH$2:$AH$1001,MATCH(ROWS($AF$2:AF31),$AF$2:$AF$1001,0),0), INDEX($AM$1004:$BM$1004,1,MATCH(COLUMNS($AM$1006:AR1006),$AM$1006:$BM$1006,0)))),"Fix")))</f>
        <v xml:space="preserve"> </v>
      </c>
      <c r="H31" s="4" t="str">
        <f ca="1">IF(OR(INDEX($AG$2:$AG$1001,MATCH(ROWS($AF$2:AF31),$AF$2:$AF$1001,0),1)&gt;=100000,INDEX($AM$1005:$BM$1005,1,MATCH(COLUMNS($AM$1006:AS1006),$AM$1006:$BM$1006,0))&gt;=100000), " ",IF(INDEX($AM$2:$BM$1001,MATCH(ROWS($AF$2:AF31),$AF$2:$AF$1001,0),MATCH(COLUMNS($AM$1006:AS1006),$AM$1006:$BM$1006,0)), HYPERLINK("#",""), HYPERLINK(CONCATENATE("#metadata!", ADDRESS(INDEX($AH$2:$AH$1001,MATCH(ROWS($AF$2:AF31),$AF$2:$AF$1001,0),0), INDEX($AM$1004:$BM$1004,1,MATCH(COLUMNS($AM$1006:AS1006),$AM$1006:$BM$1006,0)))),"Fix")))</f>
        <v xml:space="preserve"> </v>
      </c>
      <c r="I31" s="4" t="str">
        <f ca="1">IF(OR(INDEX($AG$2:$AG$1001,MATCH(ROWS($AF$2:AF31),$AF$2:$AF$1001,0),1)&gt;=100000,INDEX($AM$1005:$BM$1005,1,MATCH(COLUMNS($AM$1006:AT1006),$AM$1006:$BM$1006,0))&gt;=100000), " ",IF(INDEX($AM$2:$BM$1001,MATCH(ROWS($AF$2:AF31),$AF$2:$AF$1001,0),MATCH(COLUMNS($AM$1006:AT1006),$AM$1006:$BM$1006,0)), HYPERLINK("#",""), HYPERLINK(CONCATENATE("#metadata!", ADDRESS(INDEX($AH$2:$AH$1001,MATCH(ROWS($AF$2:AF31),$AF$2:$AF$1001,0),0), INDEX($AM$1004:$BM$1004,1,MATCH(COLUMNS($AM$1006:AT1006),$AM$1006:$BM$1006,0)))),"Fix")))</f>
        <v xml:space="preserve"> </v>
      </c>
      <c r="J31" s="4" t="str">
        <f ca="1">IF(OR(INDEX($AG$2:$AG$1001,MATCH(ROWS($AF$2:AF31),$AF$2:$AF$1001,0),1)&gt;=100000,INDEX($AM$1005:$BM$1005,1,MATCH(COLUMNS($AM$1006:AU1006),$AM$1006:$BM$1006,0))&gt;=100000), " ",IF(INDEX($AM$2:$BM$1001,MATCH(ROWS($AF$2:AF31),$AF$2:$AF$1001,0),MATCH(COLUMNS($AM$1006:AU1006),$AM$1006:$BM$1006,0)), HYPERLINK("#",""), HYPERLINK(CONCATENATE("#metadata!", ADDRESS(INDEX($AH$2:$AH$1001,MATCH(ROWS($AF$2:AF31),$AF$2:$AF$1001,0),0), INDEX($AM$1004:$BM$1004,1,MATCH(COLUMNS($AM$1006:AU1006),$AM$1006:$BM$1006,0)))),"Fix")))</f>
        <v xml:space="preserve"> </v>
      </c>
      <c r="K31" s="4" t="str">
        <f ca="1">IF(OR(INDEX($AG$2:$AG$1001,MATCH(ROWS($AF$2:AF31),$AF$2:$AF$1001,0),1)&gt;=100000,INDEX($AM$1005:$BM$1005,1,MATCH(COLUMNS($AM$1006:AV1006),$AM$1006:$BM$1006,0))&gt;=100000), " ",IF(INDEX($AM$2:$BM$1001,MATCH(ROWS($AF$2:AF31),$AF$2:$AF$1001,0),MATCH(COLUMNS($AM$1006:AV1006),$AM$1006:$BM$1006,0)), HYPERLINK("#",""), HYPERLINK(CONCATENATE("#metadata!", ADDRESS(INDEX($AH$2:$AH$1001,MATCH(ROWS($AF$2:AF31),$AF$2:$AF$1001,0),0), INDEX($AM$1004:$BM$1004,1,MATCH(COLUMNS($AM$1006:AV1006),$AM$1006:$BM$1006,0)))),"Fix")))</f>
        <v xml:space="preserve"> </v>
      </c>
      <c r="L31" s="4" t="str">
        <f ca="1">IF(OR(INDEX($AG$2:$AG$1001,MATCH(ROWS($AF$2:AF31),$AF$2:$AF$1001,0),1)&gt;=100000,INDEX($AM$1005:$BM$1005,1,MATCH(COLUMNS($AM$1006:AW1006),$AM$1006:$BM$1006,0))&gt;=100000), " ",IF(INDEX($AM$2:$BM$1001,MATCH(ROWS($AF$2:AF31),$AF$2:$AF$1001,0),MATCH(COLUMNS($AM$1006:AW1006),$AM$1006:$BM$1006,0)), HYPERLINK("#",""), HYPERLINK(CONCATENATE("#metadata!", ADDRESS(INDEX($AH$2:$AH$1001,MATCH(ROWS($AF$2:AF31),$AF$2:$AF$1001,0),0), INDEX($AM$1004:$BM$1004,1,MATCH(COLUMNS($AM$1006:AW1006),$AM$1006:$BM$1006,0)))),"Fix")))</f>
        <v xml:space="preserve"> </v>
      </c>
      <c r="M31" s="4" t="str">
        <f ca="1">IF(OR(INDEX($AG$2:$AG$1001,MATCH(ROWS($AF$2:AF31),$AF$2:$AF$1001,0),1)&gt;=100000,INDEX($AM$1005:$BM$1005,1,MATCH(COLUMNS($AM$1006:AX1006),$AM$1006:$BM$1006,0))&gt;=100000), " ",IF(INDEX($AM$2:$BM$1001,MATCH(ROWS($AF$2:AF31),$AF$2:$AF$1001,0),MATCH(COLUMNS($AM$1006:AX1006),$AM$1006:$BM$1006,0)), HYPERLINK("#",""), HYPERLINK(CONCATENATE("#metadata!", ADDRESS(INDEX($AH$2:$AH$1001,MATCH(ROWS($AF$2:AF31),$AF$2:$AF$1001,0),0), INDEX($AM$1004:$BM$1004,1,MATCH(COLUMNS($AM$1006:AX1006),$AM$1006:$BM$1006,0)))),"Fix")))</f>
        <v xml:space="preserve"> </v>
      </c>
      <c r="N31" s="4" t="str">
        <f ca="1">IF(OR(INDEX($AG$2:$AG$1001,MATCH(ROWS($AF$2:AF31),$AF$2:$AF$1001,0),1)&gt;=100000,INDEX($AM$1005:$BM$1005,1,MATCH(COLUMNS($AM$1006:AY1006),$AM$1006:$BM$1006,0))&gt;=100000), " ",IF(INDEX($AM$2:$BM$1001,MATCH(ROWS($AF$2:AF31),$AF$2:$AF$1001,0),MATCH(COLUMNS($AM$1006:AY1006),$AM$1006:$BM$1006,0)), HYPERLINK("#",""), HYPERLINK(CONCATENATE("#metadata!", ADDRESS(INDEX($AH$2:$AH$1001,MATCH(ROWS($AF$2:AF31),$AF$2:$AF$1001,0),0), INDEX($AM$1004:$BM$1004,1,MATCH(COLUMNS($AM$1006:AY1006),$AM$1006:$BM$1006,0)))),"Fix")))</f>
        <v xml:space="preserve"> </v>
      </c>
      <c r="O31" s="4" t="str">
        <f ca="1">IF(OR(INDEX($AG$2:$AG$1001,MATCH(ROWS($AF$2:AF31),$AF$2:$AF$1001,0),1)&gt;=100000,INDEX($AM$1005:$BM$1005,1,MATCH(COLUMNS($AM$1006:AZ1006),$AM$1006:$BM$1006,0))&gt;=100000), " ",IF(INDEX($AM$2:$BM$1001,MATCH(ROWS($AF$2:AF31),$AF$2:$AF$1001,0),MATCH(COLUMNS($AM$1006:AZ1006),$AM$1006:$BM$1006,0)), HYPERLINK("#",""), HYPERLINK(CONCATENATE("#metadata!", ADDRESS(INDEX($AH$2:$AH$1001,MATCH(ROWS($AF$2:AF31),$AF$2:$AF$1001,0),0), INDEX($AM$1004:$BM$1004,1,MATCH(COLUMNS($AM$1006:AZ1006),$AM$1006:$BM$1006,0)))),"Fix")))</f>
        <v xml:space="preserve"> </v>
      </c>
      <c r="P31" s="4" t="str">
        <f ca="1">IF(OR(INDEX($AG$2:$AG$1001,MATCH(ROWS($AF$2:AF31),$AF$2:$AF$1001,0),1)&gt;=100000,INDEX($AM$1005:$BM$1005,1,MATCH(COLUMNS($AM$1006:BA1006),$AM$1006:$BM$1006,0))&gt;=100000), " ",IF(INDEX($AM$2:$BM$1001,MATCH(ROWS($AF$2:AF31),$AF$2:$AF$1001,0),MATCH(COLUMNS($AM$1006:BA1006),$AM$1006:$BM$1006,0)), HYPERLINK("#",""), HYPERLINK(CONCATENATE("#metadata!", ADDRESS(INDEX($AH$2:$AH$1001,MATCH(ROWS($AF$2:AF31),$AF$2:$AF$1001,0),0), INDEX($AM$1004:$BM$1004,1,MATCH(COLUMNS($AM$1006:BA1006),$AM$1006:$BM$1006,0)))),"Fix")))</f>
        <v xml:space="preserve"> </v>
      </c>
      <c r="Q31" s="4" t="str">
        <f ca="1">IF(OR(INDEX($AG$2:$AG$1001,MATCH(ROWS($AF$2:AF31),$AF$2:$AF$1001,0),1)&gt;=100000,INDEX($AM$1005:$BM$1005,1,MATCH(COLUMNS($AM$1006:BB1006),$AM$1006:$BM$1006,0))&gt;=100000), " ",IF(INDEX($AM$2:$BM$1001,MATCH(ROWS($AF$2:AF31),$AF$2:$AF$1001,0),MATCH(COLUMNS($AM$1006:BB1006),$AM$1006:$BM$1006,0)), HYPERLINK("#",""), HYPERLINK(CONCATENATE("#metadata!", ADDRESS(INDEX($AH$2:$AH$1001,MATCH(ROWS($AF$2:AF31),$AF$2:$AF$1001,0),0), INDEX($AM$1004:$BM$1004,1,MATCH(COLUMNS($AM$1006:BB1006),$AM$1006:$BM$1006,0)))),"Fix")))</f>
        <v xml:space="preserve"> </v>
      </c>
      <c r="R31" s="4" t="str">
        <f ca="1">IF(OR(INDEX($AG$2:$AG$1001,MATCH(ROWS($AF$2:AF31),$AF$2:$AF$1001,0),1)&gt;=100000,INDEX($AM$1005:$BM$1005,1,MATCH(COLUMNS($AM$1006:BC1006),$AM$1006:$BM$1006,0))&gt;=100000), " ",IF(INDEX($AM$2:$BM$1001,MATCH(ROWS($AF$2:AF31),$AF$2:$AF$1001,0),MATCH(COLUMNS($AM$1006:BC1006),$AM$1006:$BM$1006,0)), HYPERLINK("#",""), HYPERLINK(CONCATENATE("#metadata!", ADDRESS(INDEX($AH$2:$AH$1001,MATCH(ROWS($AF$2:AF31),$AF$2:$AF$1001,0),0), INDEX($AM$1004:$BM$1004,1,MATCH(COLUMNS($AM$1006:BC1006),$AM$1006:$BM$1006,0)))),"Fix")))</f>
        <v xml:space="preserve"> </v>
      </c>
      <c r="S31" s="4" t="str">
        <f ca="1">IF(OR(INDEX($AG$2:$AG$1001,MATCH(ROWS($AF$2:AF31),$AF$2:$AF$1001,0),1)&gt;=100000,INDEX($AM$1005:$BM$1005,1,MATCH(COLUMNS($AM$1006:BD1006),$AM$1006:$BM$1006,0))&gt;=100000), " ",IF(INDEX($AM$2:$BM$1001,MATCH(ROWS($AF$2:AF31),$AF$2:$AF$1001,0),MATCH(COLUMNS($AM$1006:BD1006),$AM$1006:$BM$1006,0)), HYPERLINK("#",""), HYPERLINK(CONCATENATE("#metadata!", ADDRESS(INDEX($AH$2:$AH$1001,MATCH(ROWS($AF$2:AF31),$AF$2:$AF$1001,0),0), INDEX($AM$1004:$BM$1004,1,MATCH(COLUMNS($AM$1006:BD1006),$AM$1006:$BM$1006,0)))),"Fix")))</f>
        <v xml:space="preserve"> </v>
      </c>
      <c r="T31" s="4" t="str">
        <f ca="1">IF(OR(INDEX($AG$2:$AG$1001,MATCH(ROWS($AF$2:AF31),$AF$2:$AF$1001,0),1)&gt;=100000,INDEX($AM$1005:$BM$1005,1,MATCH(COLUMNS($AM$1006:BE1006),$AM$1006:$BM$1006,0))&gt;=100000), " ",IF(INDEX($AM$2:$BM$1001,MATCH(ROWS($AF$2:AF31),$AF$2:$AF$1001,0),MATCH(COLUMNS($AM$1006:BE1006),$AM$1006:$BM$1006,0)), HYPERLINK("#",""), HYPERLINK(CONCATENATE("#metadata!", ADDRESS(INDEX($AH$2:$AH$1001,MATCH(ROWS($AF$2:AF31),$AF$2:$AF$1001,0),0), INDEX($AM$1004:$BM$1004,1,MATCH(COLUMNS($AM$1006:BE1006),$AM$1006:$BM$1006,0)))),"Fix")))</f>
        <v xml:space="preserve"> </v>
      </c>
      <c r="U31" s="4" t="str">
        <f ca="1">IF(OR(INDEX($AG$2:$AG$1001,MATCH(ROWS($AF$2:AF31),$AF$2:$AF$1001,0),1)&gt;=100000,INDEX($AM$1005:$BM$1005,1,MATCH(COLUMNS($AM$1006:BF1006),$AM$1006:$BM$1006,0))&gt;=100000), " ",IF(INDEX($AM$2:$BM$1001,MATCH(ROWS($AF$2:AF31),$AF$2:$AF$1001,0),MATCH(COLUMNS($AM$1006:BF1006),$AM$1006:$BM$1006,0)), HYPERLINK("#",""), HYPERLINK(CONCATENATE("#metadata!", ADDRESS(INDEX($AH$2:$AH$1001,MATCH(ROWS($AF$2:AF31),$AF$2:$AF$1001,0),0), INDEX($AM$1004:$BM$1004,1,MATCH(COLUMNS($AM$1006:BF1006),$AM$1006:$BM$1006,0)))),"Fix")))</f>
        <v xml:space="preserve"> </v>
      </c>
      <c r="V31" s="4" t="str">
        <f ca="1">IF(OR(INDEX($AG$2:$AG$1001,MATCH(ROWS($AF$2:AF31),$AF$2:$AF$1001,0),1)&gt;=100000,INDEX($AM$1005:$BM$1005,1,MATCH(COLUMNS($AM$1006:BG1006),$AM$1006:$BM$1006,0))&gt;=100000), " ",IF(INDEX($AM$2:$BM$1001,MATCH(ROWS($AF$2:AF31),$AF$2:$AF$1001,0),MATCH(COLUMNS($AM$1006:BG1006),$AM$1006:$BM$1006,0)), HYPERLINK("#",""), HYPERLINK(CONCATENATE("#metadata!", ADDRESS(INDEX($AH$2:$AH$1001,MATCH(ROWS($AF$2:AF31),$AF$2:$AF$1001,0),0), INDEX($AM$1004:$BM$1004,1,MATCH(COLUMNS($AM$1006:BG1006),$AM$1006:$BM$1006,0)))),"Fix")))</f>
        <v xml:space="preserve"> </v>
      </c>
      <c r="W31" s="4" t="str">
        <f ca="1">IF(OR(INDEX($AG$2:$AG$1001,MATCH(ROWS($AF$2:AF31),$AF$2:$AF$1001,0),1)&gt;=100000,INDEX($AM$1005:$BM$1005,1,MATCH(COLUMNS($AM$1006:BH1006),$AM$1006:$BM$1006,0))&gt;=100000), " ",IF(INDEX($AM$2:$BM$1001,MATCH(ROWS($AF$2:AF31),$AF$2:$AF$1001,0),MATCH(COLUMNS($AM$1006:BH1006),$AM$1006:$BM$1006,0)), HYPERLINK("#",""), HYPERLINK(CONCATENATE("#metadata!", ADDRESS(INDEX($AH$2:$AH$1001,MATCH(ROWS($AF$2:AF31),$AF$2:$AF$1001,0),0), INDEX($AM$1004:$BM$1004,1,MATCH(COLUMNS($AM$1006:BH1006),$AM$1006:$BM$1006,0)))),"Fix")))</f>
        <v xml:space="preserve"> </v>
      </c>
      <c r="X31" s="4" t="str">
        <f ca="1">IF(OR(INDEX($AG$2:$AG$1001,MATCH(ROWS($AF$2:AF31),$AF$2:$AF$1001,0),1)&gt;=100000,INDEX($AM$1005:$BM$1005,1,MATCH(COLUMNS($AM$1006:BI1006),$AM$1006:$BM$1006,0))&gt;=100000), " ",IF(INDEX($AM$2:$BM$1001,MATCH(ROWS($AF$2:AF31),$AF$2:$AF$1001,0),MATCH(COLUMNS($AM$1006:BI1006),$AM$1006:$BM$1006,0)), HYPERLINK("#",""), HYPERLINK(CONCATENATE("#metadata!", ADDRESS(INDEX($AH$2:$AH$1001,MATCH(ROWS($AF$2:AF31),$AF$2:$AF$1001,0),0), INDEX($AM$1004:$BM$1004,1,MATCH(COLUMNS($AM$1006:BI1006),$AM$1006:$BM$1006,0)))),"Fix")))</f>
        <v xml:space="preserve"> </v>
      </c>
      <c r="Y31" s="4" t="str">
        <f ca="1">IF(OR(INDEX($AG$2:$AG$1001,MATCH(ROWS($AF$2:AF31),$AF$2:$AF$1001,0),1)&gt;=100000,INDEX($AM$1005:$BM$1005,1,MATCH(COLUMNS($AM$1006:BJ1006),$AM$1006:$BM$1006,0))&gt;=100000), " ",IF(INDEX($AM$2:$BM$1001,MATCH(ROWS($AF$2:AF31),$AF$2:$AF$1001,0),MATCH(COLUMNS($AM$1006:BJ1006),$AM$1006:$BM$1006,0)), HYPERLINK("#",""), HYPERLINK(CONCATENATE("#metadata!", ADDRESS(INDEX($AH$2:$AH$1001,MATCH(ROWS($AF$2:AF31),$AF$2:$AF$1001,0),0), INDEX($AM$1004:$BM$1004,1,MATCH(COLUMNS($AM$1006:BJ1006),$AM$1006:$BM$1006,0)))),"Fix")))</f>
        <v xml:space="preserve"> </v>
      </c>
      <c r="Z31" s="4" t="str">
        <f ca="1">IF(OR(INDEX($AG$2:$AG$1001,MATCH(ROWS($AF$2:AF31),$AF$2:$AF$1001,0),1)&gt;=100000,INDEX($AM$1005:$BM$1005,1,MATCH(COLUMNS($AM$1006:BK1006),$AM$1006:$BM$1006,0))&gt;=100000), " ",IF(INDEX($AM$2:$BM$1001,MATCH(ROWS($AF$2:AF31),$AF$2:$AF$1001,0),MATCH(COLUMNS($AM$1006:BK1006),$AM$1006:$BM$1006,0)), HYPERLINK("#",""), HYPERLINK(CONCATENATE("#metadata!", ADDRESS(INDEX($AH$2:$AH$1001,MATCH(ROWS($AF$2:AF31),$AF$2:$AF$1001,0),0), INDEX($AM$1004:$BM$1004,1,MATCH(COLUMNS($AM$1006:BK1006),$AM$1006:$BM$1006,0)))),"Fix")))</f>
        <v xml:space="preserve"> </v>
      </c>
      <c r="AA31" s="4" t="str">
        <f ca="1">IF(OR(INDEX($AG$2:$AG$1001,MATCH(ROWS($AF$2:AF31),$AF$2:$AF$1001,0),1)&gt;=100000,INDEX($AM$1005:$BM$1005,1,MATCH(COLUMNS($AM$1006:BL1006),$AM$1006:$BM$1006,0))&gt;=100000), " ",IF(INDEX($AM$2:$BM$1001,MATCH(ROWS($AF$2:AF31),$AF$2:$AF$1001,0),MATCH(COLUMNS($AM$1006:BL1006),$AM$1006:$BM$1006,0)), HYPERLINK("#",""), HYPERLINK(CONCATENATE("#metadata!", ADDRESS(INDEX($AH$2:$AH$1001,MATCH(ROWS($AF$2:AF31),$AF$2:$AF$1001,0),0), INDEX($AM$1004:$BM$1004,1,MATCH(COLUMNS($AM$1006:BL1006),$AM$1006:$BM$1006,0)))),"Fix")))</f>
        <v xml:space="preserve"> </v>
      </c>
      <c r="AB31" s="4" t="str">
        <f ca="1">IF(OR(INDEX($AG$2:$AG$1001,MATCH(ROWS($AF$2:AF31),$AF$2:$AF$1001,0),1)&gt;=100000,INDEX($AM$1005:$BM$1005,1,MATCH(COLUMNS($AM$1006:BM1006),$AM$1006:$BM$1006,0))&gt;=100000), " ",IF(INDEX($AM$2:$BM$1001,MATCH(ROWS($AF$2:AF31),$AF$2:$AF$1001,0),MATCH(COLUMNS($AM$1006:BM1006),$AM$1006:$BM$1006,0)), HYPERLINK("#",""), HYPERLINK(CONCATENATE("#metadata!", ADDRESS(INDEX($AH$2:$AH$1001,MATCH(ROWS($AF$2:AF31),$AF$2:$AF$1001,0),0), INDEX($AM$1004:$BM$1004,1,MATCH(COLUMNS($AM$1006:BM1006),$AM$1006:$BM$1006,0)))),"Fix")))</f>
        <v xml:space="preserve"> </v>
      </c>
      <c r="AF31">
        <v>30</v>
      </c>
      <c r="AG31">
        <v>100031</v>
      </c>
      <c r="AH31">
        <v>31</v>
      </c>
      <c r="AI31" t="b">
        <f t="shared" si="0"/>
        <v>1</v>
      </c>
      <c r="AJ31" t="b">
        <f>COUNTBLANK(metadata!B31:AB31)=COLUMNS(metadata!B31:AB31)</f>
        <v>1</v>
      </c>
      <c r="AK31" t="str">
        <v/>
      </c>
      <c r="AM31" t="b">
        <f ca="1">AND(IF(metadata!B31="",FALSE,TRUE),COUNTIF(metadata!B:B, metadata!B31) = 1,NOT(ISERROR(SUMPRODUCT(SEARCH(MID(metadata!B31,ROW(INDIRECT("1:"&amp;LEN(metadata!B31))), 1),"0123456789abcdefghijklmnopqrstuvwxyzABCDEFGHIJKLMNOPQRSTUVWXYZ.")))))</f>
        <v>0</v>
      </c>
      <c r="AN31" t="b">
        <f ca="1">OR(AND(IF(metadata!C31="",FALSE,TRUE),OR(EXACT(metadata!C31,"missing: not collected"),EXACT(metadata!C31,"missing: not provided"),EXACT(metadata!C31,"missing: restricted access"))),AND(IF(metadata!C31="",FALSE,TRUE),AND(AND(IFERROR(INT(LEFT(metadata!C31,4))&gt;1900,FALSE),IFERROR(INT(LEFT(metadata!C31,4))&lt;=YEAR(NOW()),FALSE)), OR(MID(metadata!C31,5,1)="", AND(AND(MID(metadata!C31,5,1)="-",IFERROR(INT(MID(metadata!C31,6,1))&gt;=0,FALSE),IFERROR(INT(MID(metadata!C31,6,1))&lt;=1,FALSE),NOT(MID(metadata!C31,7,1)=""),IFERROR(INT(MID(metadata!C31,6,2))&gt;=1,FALSE),IFERROR(INT(MID(metadata!C31,6,2))&lt;=12,FALSE)), OR(MID(metadata!C31,8,1)="", AND(AND(MID(metadata!C31,8,1)="-",IFERROR(INT(MID(metadata!C31,9,1))&gt;=0,FALSE),IFERROR(INT(MID(metadata!C31,9,1))&lt;=3,FALSE),NOT(MID(metadata!C31,10,1)=""),IFERROR(INT(MID(metadata!C31,9,2))&gt;=1,FALSE),IFERROR(INT(MID(metadata!C31,9,2))&lt;=31,FALSE)), OR(MID(metadata!C31,11,1)="", AND(AND(MID(metadata!C31,11,1)=" ",IFERROR(INT(MID(metadata!C31,12,1))&gt;=0,FALSE),IFERROR(INT(MID(metadata!C31,12,1))&lt;=2,FALSE),NOT(MID(metadata!C31,13,1)=""),IFERROR(INT(MID(metadata!C31,12,2))&gt;=0,FALSE),IFERROR(INT(MID(metadata!C31,12,2))&lt;=23,FALSE)), OR(MID(metadata!C31,14,1)="", AND(AND(MID(metadata!C31,14,1)=":",IFERROR(INT(MID(metadata!C31,15,1))&gt;=0,FALSE),IFERROR(INT(MID(metadata!C31,15,1))&lt;=5,FALSE),NOT(MID(metadata!C31,16,1)=""),IFERROR(INT(MID(metadata!C31,15,2))&gt;=0,FALSE),IFERROR(INT(MID(metadata!C31,15,2))&lt;=59,FALSE)), OR(MID(metadata!C31,17,1)="", AND(AND(MID(metadata!C31,17,1)=":",IFERROR(INT(MID(metadata!C31,18,1))&gt;=0,FALSE),IFERROR(INT(MID(metadata!C31,18,1))&lt;=5,FALSE),NOT(MID(metadata!C31,19,1)=""),IFERROR(INT(MID(metadata!C31,18,2))&gt;=0,FALSE),IFERROR(INT(MID(metadata!C31,18,2))&lt;=59,FALSE)), LEN(metadata!C31)&lt;=19)))))))))))))</f>
        <v>0</v>
      </c>
      <c r="AO31" t="b">
        <f>AND(IF(metadata!D31="",FALSE,TRUE),EXACT(metadata!D31,"Not applicable"))</f>
        <v>0</v>
      </c>
      <c r="AP31" t="b">
        <f>IF(metadata!E31="",FALSE,TRUE)</f>
        <v>0</v>
      </c>
      <c r="AQ31" t="b">
        <f>OR(AND(IF(metadata!F31="",FALSE,TRUE),OR(EXACT(metadata!F31,"missing: not collected"),EXACT(metadata!F31,"missing: not provided"))),AND(IF(metadata!F31="",FALSE,TRUE),OR(EXACT(metadata!F31,"TRUE"),EXACT(metadata!F31,"FALSE"))))</f>
        <v>0</v>
      </c>
      <c r="AR31" t="b">
        <f>OR(AND(IF(metadata!G31="",FALSE,TRUE),OR(EXACT(metadata!G31,"missing: not collected"),EXACT(metadata!G31,"missing: not provided"),EXACT(metadata!G31,"missing: restricted access"))),AND(IF(metadata!G31="",FALSE,ISNUMBER(VALUE(metadata!G31))),metadata!G31&gt;=-413))</f>
        <v>0</v>
      </c>
      <c r="AS31" t="b">
        <f>AND(IF(metadata!H31="",FALSE,TRUE),EXACT(metadata!H31,"meters"))</f>
        <v>0</v>
      </c>
      <c r="AT31" t="b">
        <f>AND(IF(metadata!I31="",FALSE,TRUE),OR(EXACT(metadata!I31,"Host-associated"),EXACT(metadata!I31,"Free-living")))</f>
        <v>0</v>
      </c>
      <c r="AU31" t="b">
        <f>AND(IF(metadata!J31="",FALSE,TRUE),OR(EXACT(metadata!J31,"Animal"),EXACT(metadata!J31,"Fungus"),EXACT(metadata!J31,"Plant"),EXACT(metadata!J31,"Saline"),EXACT(metadata!J31,"Non-saline")))</f>
        <v>0</v>
      </c>
      <c r="AV31" t="b">
        <f>AND(IF(metadata!K31="",FALSE,TRUE),OR(EXACT(metadata!K31,"Plant secretion"),EXACT(metadata!K31,"Plant rhizosphere"),EXACT(metadata!K31,"Plant surface"),EXACT(metadata!K31,"Plant corpus"),EXACT(metadata!K31,"Fungus surface"),EXACT(metadata!K31,"Fungus corpus"),EXACT(metadata!K31,"Animal surface"),EXACT(metadata!K31,"Animal proximal gut"),EXACT(metadata!K31,"Animal corpus"),EXACT(metadata!K31,"Animal distal gut"),EXACT(metadata!K31,"Animal secretion"),EXACT(metadata!K31,"Sub-surface (non-saline)"),EXACT(metadata!K31,"Surface (non-saline)"),EXACT(metadata!K31,"Water (non-saline)"),EXACT(metadata!K31,"Soil (non-saline)"),EXACT(metadata!K31,"Aerosol (non-saline)"),EXACT(metadata!K31,"Sediment (non-saline)"),EXACT(metadata!K31,"Surface (saline)"),EXACT(metadata!K31,"Water (saline)"),EXACT(metadata!K31,"Hypersaline (saline)"),EXACT(metadata!K31,"Aerosol (saline)"),EXACT(metadata!K31,"Sediment (saline)")))</f>
        <v>0</v>
      </c>
      <c r="AW31" t="b">
        <f>IF(metadata!L31="",FALSE,TRUE)</f>
        <v>0</v>
      </c>
      <c r="AX31" t="b">
        <f>IF(metadata!M31="",FALSE,TRUE)</f>
        <v>0</v>
      </c>
      <c r="AY31" t="b">
        <f>IF(metadata!N31="",FALSE,TRUE)</f>
        <v>0</v>
      </c>
      <c r="AZ31" t="b">
        <f>OR(AND(IF(metadata!O31="",FALSE,TRUE),OR(EXACT(metadata!O31,"missing: not collected"),EXACT(metadata!O31,"missing: not provided"),EXACT(metadata!O31,"missing: restricted access"))),AND(IF(metadata!O31="",FALSE,TRUE),OR(EXACT(metadata!O31,"air"),EXACT(metadata!O31,"built environment"),EXACT(metadata!O31,"host-associated"),EXACT(metadata!O31,"human-associated"),EXACT(metadata!O31,"human-skin"),EXACT(metadata!O31,"human-oral"),EXACT(metadata!O31,"human-gut"),EXACT(metadata!O31,"human-vaginal"),EXACT(metadata!O31,"microbial mat/biofilm"),EXACT(metadata!O31,"misc environment"),EXACT(metadata!O31,"plant-associated"),EXACT(metadata!O31,"sediment"),EXACT(metadata!O31,"soil"),EXACT(metadata!O31,"wastewater/sludge"),EXACT(metadata!O31,"water"))))</f>
        <v>0</v>
      </c>
      <c r="BA31" t="b">
        <f>IF(metadata!P31="",FALSE,TRUE)</f>
        <v>0</v>
      </c>
      <c r="BB31" t="b">
        <f>IF(metadata!Q31="",FALSE,TRUE)</f>
        <v>0</v>
      </c>
      <c r="BC31" t="b">
        <f>OR(AND(IF(metadata!R31="",FALSE,TRUE),OR(EXACT(metadata!R31,"missing: not collected"),EXACT(metadata!R31,"missing: not provided"),EXACT(metadata!R31,"missing: restricted access"))),AND(IF(metadata!R31="",FALSE,ISNUMBER(VALUE(metadata!R31))),metadata!R31&gt;=-90,metadata!R31&lt;=90))</f>
        <v>0</v>
      </c>
      <c r="BD31" t="b">
        <f>AND(IF(metadata!S31="",FALSE,TRUE),EXACT(metadata!S31,"Decimal degrees"))</f>
        <v>0</v>
      </c>
      <c r="BE31" t="b">
        <f>OR(AND(IF(metadata!T31="",FALSE,TRUE),OR(EXACT(metadata!T31,"missing: not collected"),EXACT(metadata!T31,"missing: not provided"),EXACT(metadata!T31,"missing: restricted access"))),AND(IF(metadata!T31="",FALSE,ISNUMBER(VALUE(metadata!T31))),metadata!T31&gt;=-180,metadata!T31&lt;=180))</f>
        <v>0</v>
      </c>
      <c r="BF31" t="b">
        <f>AND(IF(metadata!U31="",FALSE,TRUE),EXACT(metadata!U31,"Decimal degrees"))</f>
        <v>0</v>
      </c>
      <c r="BG31" t="b">
        <f>IF(metadata!V31="",FALSE,TRUE)</f>
        <v>0</v>
      </c>
      <c r="BH31" t="b">
        <f>OR(AND(IF(metadata!W31="",FALSE,TRUE),OR(EXACT(metadata!W31,"missing: not collected"),EXACT(metadata!W31,"missing: not provided"),EXACT(metadata!W31,"missing: restricted access"))),AND(IF(metadata!W31="",FALSE,TRUE),OR(EXACT(metadata!W31,"TRUE"),EXACT(metadata!W31,"FALSE"))))</f>
        <v>0</v>
      </c>
      <c r="BI31" t="b">
        <f>AND(IF(metadata!X31="",FALSE,TRUE),EXACT(metadata!X31,"other"))</f>
        <v>0</v>
      </c>
      <c r="BJ31" t="b">
        <f>IF(metadata!Y31="",FALSE,TRUE)</f>
        <v>0</v>
      </c>
      <c r="BK31" t="b">
        <f>OR(AND(IF(metadata!Z31="",FALSE,TRUE),OR(EXACT(metadata!Z31,"missing: not collected"),EXACT(metadata!Z31,"missing: not provided"))),AND(IF(metadata!Z31="",FALSE,IF(ISERROR(INT(metadata!Z31)),FALSE,INT(metadata!Z31)=metadata!Z31)),metadata!Z31&gt;0))</f>
        <v>0</v>
      </c>
      <c r="BL31" t="b">
        <f>AND(IF(metadata!AA31="",FALSE,TRUE),EXACT(metadata!AA31,"Not applicable"))</f>
        <v>0</v>
      </c>
      <c r="BM31" t="b">
        <f>IF(metadata!AB31="",FALSE,TRUE)</f>
        <v>0</v>
      </c>
    </row>
    <row r="32" spans="1:65" x14ac:dyDescent="0.2">
      <c r="A32" s="5" t="str">
        <f ca="1">IF(B32=" "," ",HYPERLINK(CONCATENATE("#metadata!",ADDRESS(INDEX($AH$2:$AH$1001,MATCH(ROWS($AF$2:AF32),$AF$2:$AF$1001,0),0),1)),INDEX($AK$2:$AK$1001,MATCH(ROWS($AF$2:AF32),$AF$2:$AF$1001,0),0)))</f>
        <v xml:space="preserve"> </v>
      </c>
      <c r="B32" s="4" t="str">
        <f ca="1">IF(OR(INDEX($AG$2:$AG$1001,MATCH(ROWS($AF$2:AF32),$AF$2:$AF$1001,0),1)&gt;=100000,INDEX($AM$1005:$BM$1005,1,MATCH(COLUMNS($AM$1006:AM1006),$AM$1006:$BM$1006,0))&gt;=100000), " ",IF(INDEX($AM$2:$BM$1001,MATCH(ROWS($AF$2:AF32),$AF$2:$AF$1001,0),MATCH(COLUMNS($AM$1006:AM1006),$AM$1006:$BM$1006,0)), HYPERLINK("#",""), HYPERLINK(CONCATENATE("#metadata!", ADDRESS(INDEX($AH$2:$AH$1001,MATCH(ROWS($AF$2:AF32),$AF$2:$AF$1001,0),0), INDEX($AM$1004:$BM$1004,1,MATCH(COLUMNS($AM$1006:AM1006),$AM$1006:$BM$1006,0)))),"Fix")))</f>
        <v xml:space="preserve"> </v>
      </c>
      <c r="C32" s="4" t="str">
        <f ca="1">IF(OR(INDEX($AG$2:$AG$1001,MATCH(ROWS($AF$2:AF32),$AF$2:$AF$1001,0),1)&gt;=100000,INDEX($AM$1005:$BM$1005,1,MATCH(COLUMNS($AM$1006:AN1006),$AM$1006:$BM$1006,0))&gt;=100000), " ",IF(INDEX($AM$2:$BM$1001,MATCH(ROWS($AF$2:AF32),$AF$2:$AF$1001,0),MATCH(COLUMNS($AM$1006:AN1006),$AM$1006:$BM$1006,0)), HYPERLINK("#",""), HYPERLINK(CONCATENATE("#metadata!", ADDRESS(INDEX($AH$2:$AH$1001,MATCH(ROWS($AF$2:AF32),$AF$2:$AF$1001,0),0), INDEX($AM$1004:$BM$1004,1,MATCH(COLUMNS($AM$1006:AN1006),$AM$1006:$BM$1006,0)))),"Fix")))</f>
        <v xml:space="preserve"> </v>
      </c>
      <c r="D32" s="4" t="str">
        <f ca="1">IF(OR(INDEX($AG$2:$AG$1001,MATCH(ROWS($AF$2:AF32),$AF$2:$AF$1001,0),1)&gt;=100000,INDEX($AM$1005:$BM$1005,1,MATCH(COLUMNS($AM$1006:AO1006),$AM$1006:$BM$1006,0))&gt;=100000), " ",IF(INDEX($AM$2:$BM$1001,MATCH(ROWS($AF$2:AF32),$AF$2:$AF$1001,0),MATCH(COLUMNS($AM$1006:AO1006),$AM$1006:$BM$1006,0)), HYPERLINK("#",""), HYPERLINK(CONCATENATE("#metadata!", ADDRESS(INDEX($AH$2:$AH$1001,MATCH(ROWS($AF$2:AF32),$AF$2:$AF$1001,0),0), INDEX($AM$1004:$BM$1004,1,MATCH(COLUMNS($AM$1006:AO1006),$AM$1006:$BM$1006,0)))),"Fix")))</f>
        <v xml:space="preserve"> </v>
      </c>
      <c r="E32" s="4" t="str">
        <f ca="1">IF(OR(INDEX($AG$2:$AG$1001,MATCH(ROWS($AF$2:AF32),$AF$2:$AF$1001,0),1)&gt;=100000,INDEX($AM$1005:$BM$1005,1,MATCH(COLUMNS($AM$1006:AP1006),$AM$1006:$BM$1006,0))&gt;=100000), " ",IF(INDEX($AM$2:$BM$1001,MATCH(ROWS($AF$2:AF32),$AF$2:$AF$1001,0),MATCH(COLUMNS($AM$1006:AP1006),$AM$1006:$BM$1006,0)), HYPERLINK("#",""), HYPERLINK(CONCATENATE("#metadata!", ADDRESS(INDEX($AH$2:$AH$1001,MATCH(ROWS($AF$2:AF32),$AF$2:$AF$1001,0),0), INDEX($AM$1004:$BM$1004,1,MATCH(COLUMNS($AM$1006:AP1006),$AM$1006:$BM$1006,0)))),"Fix")))</f>
        <v xml:space="preserve"> </v>
      </c>
      <c r="F32" s="4" t="str">
        <f ca="1">IF(OR(INDEX($AG$2:$AG$1001,MATCH(ROWS($AF$2:AF32),$AF$2:$AF$1001,0),1)&gt;=100000,INDEX($AM$1005:$BM$1005,1,MATCH(COLUMNS($AM$1006:AQ1006),$AM$1006:$BM$1006,0))&gt;=100000), " ",IF(INDEX($AM$2:$BM$1001,MATCH(ROWS($AF$2:AF32),$AF$2:$AF$1001,0),MATCH(COLUMNS($AM$1006:AQ1006),$AM$1006:$BM$1006,0)), HYPERLINK("#",""), HYPERLINK(CONCATENATE("#metadata!", ADDRESS(INDEX($AH$2:$AH$1001,MATCH(ROWS($AF$2:AF32),$AF$2:$AF$1001,0),0), INDEX($AM$1004:$BM$1004,1,MATCH(COLUMNS($AM$1006:AQ1006),$AM$1006:$BM$1006,0)))),"Fix")))</f>
        <v xml:space="preserve"> </v>
      </c>
      <c r="G32" s="4" t="str">
        <f ca="1">IF(OR(INDEX($AG$2:$AG$1001,MATCH(ROWS($AF$2:AF32),$AF$2:$AF$1001,0),1)&gt;=100000,INDEX($AM$1005:$BM$1005,1,MATCH(COLUMNS($AM$1006:AR1006),$AM$1006:$BM$1006,0))&gt;=100000), " ",IF(INDEX($AM$2:$BM$1001,MATCH(ROWS($AF$2:AF32),$AF$2:$AF$1001,0),MATCH(COLUMNS($AM$1006:AR1006),$AM$1006:$BM$1006,0)), HYPERLINK("#",""), HYPERLINK(CONCATENATE("#metadata!", ADDRESS(INDEX($AH$2:$AH$1001,MATCH(ROWS($AF$2:AF32),$AF$2:$AF$1001,0),0), INDEX($AM$1004:$BM$1004,1,MATCH(COLUMNS($AM$1006:AR1006),$AM$1006:$BM$1006,0)))),"Fix")))</f>
        <v xml:space="preserve"> </v>
      </c>
      <c r="H32" s="4" t="str">
        <f ca="1">IF(OR(INDEX($AG$2:$AG$1001,MATCH(ROWS($AF$2:AF32),$AF$2:$AF$1001,0),1)&gt;=100000,INDEX($AM$1005:$BM$1005,1,MATCH(COLUMNS($AM$1006:AS1006),$AM$1006:$BM$1006,0))&gt;=100000), " ",IF(INDEX($AM$2:$BM$1001,MATCH(ROWS($AF$2:AF32),$AF$2:$AF$1001,0),MATCH(COLUMNS($AM$1006:AS1006),$AM$1006:$BM$1006,0)), HYPERLINK("#",""), HYPERLINK(CONCATENATE("#metadata!", ADDRESS(INDEX($AH$2:$AH$1001,MATCH(ROWS($AF$2:AF32),$AF$2:$AF$1001,0),0), INDEX($AM$1004:$BM$1004,1,MATCH(COLUMNS($AM$1006:AS1006),$AM$1006:$BM$1006,0)))),"Fix")))</f>
        <v xml:space="preserve"> </v>
      </c>
      <c r="I32" s="4" t="str">
        <f ca="1">IF(OR(INDEX($AG$2:$AG$1001,MATCH(ROWS($AF$2:AF32),$AF$2:$AF$1001,0),1)&gt;=100000,INDEX($AM$1005:$BM$1005,1,MATCH(COLUMNS($AM$1006:AT1006),$AM$1006:$BM$1006,0))&gt;=100000), " ",IF(INDEX($AM$2:$BM$1001,MATCH(ROWS($AF$2:AF32),$AF$2:$AF$1001,0),MATCH(COLUMNS($AM$1006:AT1006),$AM$1006:$BM$1006,0)), HYPERLINK("#",""), HYPERLINK(CONCATENATE("#metadata!", ADDRESS(INDEX($AH$2:$AH$1001,MATCH(ROWS($AF$2:AF32),$AF$2:$AF$1001,0),0), INDEX($AM$1004:$BM$1004,1,MATCH(COLUMNS($AM$1006:AT1006),$AM$1006:$BM$1006,0)))),"Fix")))</f>
        <v xml:space="preserve"> </v>
      </c>
      <c r="J32" s="4" t="str">
        <f ca="1">IF(OR(INDEX($AG$2:$AG$1001,MATCH(ROWS($AF$2:AF32),$AF$2:$AF$1001,0),1)&gt;=100000,INDEX($AM$1005:$BM$1005,1,MATCH(COLUMNS($AM$1006:AU1006),$AM$1006:$BM$1006,0))&gt;=100000), " ",IF(INDEX($AM$2:$BM$1001,MATCH(ROWS($AF$2:AF32),$AF$2:$AF$1001,0),MATCH(COLUMNS($AM$1006:AU1006),$AM$1006:$BM$1006,0)), HYPERLINK("#",""), HYPERLINK(CONCATENATE("#metadata!", ADDRESS(INDEX($AH$2:$AH$1001,MATCH(ROWS($AF$2:AF32),$AF$2:$AF$1001,0),0), INDEX($AM$1004:$BM$1004,1,MATCH(COLUMNS($AM$1006:AU1006),$AM$1006:$BM$1006,0)))),"Fix")))</f>
        <v xml:space="preserve"> </v>
      </c>
      <c r="K32" s="4" t="str">
        <f ca="1">IF(OR(INDEX($AG$2:$AG$1001,MATCH(ROWS($AF$2:AF32),$AF$2:$AF$1001,0),1)&gt;=100000,INDEX($AM$1005:$BM$1005,1,MATCH(COLUMNS($AM$1006:AV1006),$AM$1006:$BM$1006,0))&gt;=100000), " ",IF(INDEX($AM$2:$BM$1001,MATCH(ROWS($AF$2:AF32),$AF$2:$AF$1001,0),MATCH(COLUMNS($AM$1006:AV1006),$AM$1006:$BM$1006,0)), HYPERLINK("#",""), HYPERLINK(CONCATENATE("#metadata!", ADDRESS(INDEX($AH$2:$AH$1001,MATCH(ROWS($AF$2:AF32),$AF$2:$AF$1001,0),0), INDEX($AM$1004:$BM$1004,1,MATCH(COLUMNS($AM$1006:AV1006),$AM$1006:$BM$1006,0)))),"Fix")))</f>
        <v xml:space="preserve"> </v>
      </c>
      <c r="L32" s="4" t="str">
        <f ca="1">IF(OR(INDEX($AG$2:$AG$1001,MATCH(ROWS($AF$2:AF32),$AF$2:$AF$1001,0),1)&gt;=100000,INDEX($AM$1005:$BM$1005,1,MATCH(COLUMNS($AM$1006:AW1006),$AM$1006:$BM$1006,0))&gt;=100000), " ",IF(INDEX($AM$2:$BM$1001,MATCH(ROWS($AF$2:AF32),$AF$2:$AF$1001,0),MATCH(COLUMNS($AM$1006:AW1006),$AM$1006:$BM$1006,0)), HYPERLINK("#",""), HYPERLINK(CONCATENATE("#metadata!", ADDRESS(INDEX($AH$2:$AH$1001,MATCH(ROWS($AF$2:AF32),$AF$2:$AF$1001,0),0), INDEX($AM$1004:$BM$1004,1,MATCH(COLUMNS($AM$1006:AW1006),$AM$1006:$BM$1006,0)))),"Fix")))</f>
        <v xml:space="preserve"> </v>
      </c>
      <c r="M32" s="4" t="str">
        <f ca="1">IF(OR(INDEX($AG$2:$AG$1001,MATCH(ROWS($AF$2:AF32),$AF$2:$AF$1001,0),1)&gt;=100000,INDEX($AM$1005:$BM$1005,1,MATCH(COLUMNS($AM$1006:AX1006),$AM$1006:$BM$1006,0))&gt;=100000), " ",IF(INDEX($AM$2:$BM$1001,MATCH(ROWS($AF$2:AF32),$AF$2:$AF$1001,0),MATCH(COLUMNS($AM$1006:AX1006),$AM$1006:$BM$1006,0)), HYPERLINK("#",""), HYPERLINK(CONCATENATE("#metadata!", ADDRESS(INDEX($AH$2:$AH$1001,MATCH(ROWS($AF$2:AF32),$AF$2:$AF$1001,0),0), INDEX($AM$1004:$BM$1004,1,MATCH(COLUMNS($AM$1006:AX1006),$AM$1006:$BM$1006,0)))),"Fix")))</f>
        <v xml:space="preserve"> </v>
      </c>
      <c r="N32" s="4" t="str">
        <f ca="1">IF(OR(INDEX($AG$2:$AG$1001,MATCH(ROWS($AF$2:AF32),$AF$2:$AF$1001,0),1)&gt;=100000,INDEX($AM$1005:$BM$1005,1,MATCH(COLUMNS($AM$1006:AY1006),$AM$1006:$BM$1006,0))&gt;=100000), " ",IF(INDEX($AM$2:$BM$1001,MATCH(ROWS($AF$2:AF32),$AF$2:$AF$1001,0),MATCH(COLUMNS($AM$1006:AY1006),$AM$1006:$BM$1006,0)), HYPERLINK("#",""), HYPERLINK(CONCATENATE("#metadata!", ADDRESS(INDEX($AH$2:$AH$1001,MATCH(ROWS($AF$2:AF32),$AF$2:$AF$1001,0),0), INDEX($AM$1004:$BM$1004,1,MATCH(COLUMNS($AM$1006:AY1006),$AM$1006:$BM$1006,0)))),"Fix")))</f>
        <v xml:space="preserve"> </v>
      </c>
      <c r="O32" s="4" t="str">
        <f ca="1">IF(OR(INDEX($AG$2:$AG$1001,MATCH(ROWS($AF$2:AF32),$AF$2:$AF$1001,0),1)&gt;=100000,INDEX($AM$1005:$BM$1005,1,MATCH(COLUMNS($AM$1006:AZ1006),$AM$1006:$BM$1006,0))&gt;=100000), " ",IF(INDEX($AM$2:$BM$1001,MATCH(ROWS($AF$2:AF32),$AF$2:$AF$1001,0),MATCH(COLUMNS($AM$1006:AZ1006),$AM$1006:$BM$1006,0)), HYPERLINK("#",""), HYPERLINK(CONCATENATE("#metadata!", ADDRESS(INDEX($AH$2:$AH$1001,MATCH(ROWS($AF$2:AF32),$AF$2:$AF$1001,0),0), INDEX($AM$1004:$BM$1004,1,MATCH(COLUMNS($AM$1006:AZ1006),$AM$1006:$BM$1006,0)))),"Fix")))</f>
        <v xml:space="preserve"> </v>
      </c>
      <c r="P32" s="4" t="str">
        <f ca="1">IF(OR(INDEX($AG$2:$AG$1001,MATCH(ROWS($AF$2:AF32),$AF$2:$AF$1001,0),1)&gt;=100000,INDEX($AM$1005:$BM$1005,1,MATCH(COLUMNS($AM$1006:BA1006),$AM$1006:$BM$1006,0))&gt;=100000), " ",IF(INDEX($AM$2:$BM$1001,MATCH(ROWS($AF$2:AF32),$AF$2:$AF$1001,0),MATCH(COLUMNS($AM$1006:BA1006),$AM$1006:$BM$1006,0)), HYPERLINK("#",""), HYPERLINK(CONCATENATE("#metadata!", ADDRESS(INDEX($AH$2:$AH$1001,MATCH(ROWS($AF$2:AF32),$AF$2:$AF$1001,0),0), INDEX($AM$1004:$BM$1004,1,MATCH(COLUMNS($AM$1006:BA1006),$AM$1006:$BM$1006,0)))),"Fix")))</f>
        <v xml:space="preserve"> </v>
      </c>
      <c r="Q32" s="4" t="str">
        <f ca="1">IF(OR(INDEX($AG$2:$AG$1001,MATCH(ROWS($AF$2:AF32),$AF$2:$AF$1001,0),1)&gt;=100000,INDEX($AM$1005:$BM$1005,1,MATCH(COLUMNS($AM$1006:BB1006),$AM$1006:$BM$1006,0))&gt;=100000), " ",IF(INDEX($AM$2:$BM$1001,MATCH(ROWS($AF$2:AF32),$AF$2:$AF$1001,0),MATCH(COLUMNS($AM$1006:BB1006),$AM$1006:$BM$1006,0)), HYPERLINK("#",""), HYPERLINK(CONCATENATE("#metadata!", ADDRESS(INDEX($AH$2:$AH$1001,MATCH(ROWS($AF$2:AF32),$AF$2:$AF$1001,0),0), INDEX($AM$1004:$BM$1004,1,MATCH(COLUMNS($AM$1006:BB1006),$AM$1006:$BM$1006,0)))),"Fix")))</f>
        <v xml:space="preserve"> </v>
      </c>
      <c r="R32" s="4" t="str">
        <f ca="1">IF(OR(INDEX($AG$2:$AG$1001,MATCH(ROWS($AF$2:AF32),$AF$2:$AF$1001,0),1)&gt;=100000,INDEX($AM$1005:$BM$1005,1,MATCH(COLUMNS($AM$1006:BC1006),$AM$1006:$BM$1006,0))&gt;=100000), " ",IF(INDEX($AM$2:$BM$1001,MATCH(ROWS($AF$2:AF32),$AF$2:$AF$1001,0),MATCH(COLUMNS($AM$1006:BC1006),$AM$1006:$BM$1006,0)), HYPERLINK("#",""), HYPERLINK(CONCATENATE("#metadata!", ADDRESS(INDEX($AH$2:$AH$1001,MATCH(ROWS($AF$2:AF32),$AF$2:$AF$1001,0),0), INDEX($AM$1004:$BM$1004,1,MATCH(COLUMNS($AM$1006:BC1006),$AM$1006:$BM$1006,0)))),"Fix")))</f>
        <v xml:space="preserve"> </v>
      </c>
      <c r="S32" s="4" t="str">
        <f ca="1">IF(OR(INDEX($AG$2:$AG$1001,MATCH(ROWS($AF$2:AF32),$AF$2:$AF$1001,0),1)&gt;=100000,INDEX($AM$1005:$BM$1005,1,MATCH(COLUMNS($AM$1006:BD1006),$AM$1006:$BM$1006,0))&gt;=100000), " ",IF(INDEX($AM$2:$BM$1001,MATCH(ROWS($AF$2:AF32),$AF$2:$AF$1001,0),MATCH(COLUMNS($AM$1006:BD1006),$AM$1006:$BM$1006,0)), HYPERLINK("#",""), HYPERLINK(CONCATENATE("#metadata!", ADDRESS(INDEX($AH$2:$AH$1001,MATCH(ROWS($AF$2:AF32),$AF$2:$AF$1001,0),0), INDEX($AM$1004:$BM$1004,1,MATCH(COLUMNS($AM$1006:BD1006),$AM$1006:$BM$1006,0)))),"Fix")))</f>
        <v xml:space="preserve"> </v>
      </c>
      <c r="T32" s="4" t="str">
        <f ca="1">IF(OR(INDEX($AG$2:$AG$1001,MATCH(ROWS($AF$2:AF32),$AF$2:$AF$1001,0),1)&gt;=100000,INDEX($AM$1005:$BM$1005,1,MATCH(COLUMNS($AM$1006:BE1006),$AM$1006:$BM$1006,0))&gt;=100000), " ",IF(INDEX($AM$2:$BM$1001,MATCH(ROWS($AF$2:AF32),$AF$2:$AF$1001,0),MATCH(COLUMNS($AM$1006:BE1006),$AM$1006:$BM$1006,0)), HYPERLINK("#",""), HYPERLINK(CONCATENATE("#metadata!", ADDRESS(INDEX($AH$2:$AH$1001,MATCH(ROWS($AF$2:AF32),$AF$2:$AF$1001,0),0), INDEX($AM$1004:$BM$1004,1,MATCH(COLUMNS($AM$1006:BE1006),$AM$1006:$BM$1006,0)))),"Fix")))</f>
        <v xml:space="preserve"> </v>
      </c>
      <c r="U32" s="4" t="str">
        <f ca="1">IF(OR(INDEX($AG$2:$AG$1001,MATCH(ROWS($AF$2:AF32),$AF$2:$AF$1001,0),1)&gt;=100000,INDEX($AM$1005:$BM$1005,1,MATCH(COLUMNS($AM$1006:BF1006),$AM$1006:$BM$1006,0))&gt;=100000), " ",IF(INDEX($AM$2:$BM$1001,MATCH(ROWS($AF$2:AF32),$AF$2:$AF$1001,0),MATCH(COLUMNS($AM$1006:BF1006),$AM$1006:$BM$1006,0)), HYPERLINK("#",""), HYPERLINK(CONCATENATE("#metadata!", ADDRESS(INDEX($AH$2:$AH$1001,MATCH(ROWS($AF$2:AF32),$AF$2:$AF$1001,0),0), INDEX($AM$1004:$BM$1004,1,MATCH(COLUMNS($AM$1006:BF1006),$AM$1006:$BM$1006,0)))),"Fix")))</f>
        <v xml:space="preserve"> </v>
      </c>
      <c r="V32" s="4" t="str">
        <f ca="1">IF(OR(INDEX($AG$2:$AG$1001,MATCH(ROWS($AF$2:AF32),$AF$2:$AF$1001,0),1)&gt;=100000,INDEX($AM$1005:$BM$1005,1,MATCH(COLUMNS($AM$1006:BG1006),$AM$1006:$BM$1006,0))&gt;=100000), " ",IF(INDEX($AM$2:$BM$1001,MATCH(ROWS($AF$2:AF32),$AF$2:$AF$1001,0),MATCH(COLUMNS($AM$1006:BG1006),$AM$1006:$BM$1006,0)), HYPERLINK("#",""), HYPERLINK(CONCATENATE("#metadata!", ADDRESS(INDEX($AH$2:$AH$1001,MATCH(ROWS($AF$2:AF32),$AF$2:$AF$1001,0),0), INDEX($AM$1004:$BM$1004,1,MATCH(COLUMNS($AM$1006:BG1006),$AM$1006:$BM$1006,0)))),"Fix")))</f>
        <v xml:space="preserve"> </v>
      </c>
      <c r="W32" s="4" t="str">
        <f ca="1">IF(OR(INDEX($AG$2:$AG$1001,MATCH(ROWS($AF$2:AF32),$AF$2:$AF$1001,0),1)&gt;=100000,INDEX($AM$1005:$BM$1005,1,MATCH(COLUMNS($AM$1006:BH1006),$AM$1006:$BM$1006,0))&gt;=100000), " ",IF(INDEX($AM$2:$BM$1001,MATCH(ROWS($AF$2:AF32),$AF$2:$AF$1001,0),MATCH(COLUMNS($AM$1006:BH1006),$AM$1006:$BM$1006,0)), HYPERLINK("#",""), HYPERLINK(CONCATENATE("#metadata!", ADDRESS(INDEX($AH$2:$AH$1001,MATCH(ROWS($AF$2:AF32),$AF$2:$AF$1001,0),0), INDEX($AM$1004:$BM$1004,1,MATCH(COLUMNS($AM$1006:BH1006),$AM$1006:$BM$1006,0)))),"Fix")))</f>
        <v xml:space="preserve"> </v>
      </c>
      <c r="X32" s="4" t="str">
        <f ca="1">IF(OR(INDEX($AG$2:$AG$1001,MATCH(ROWS($AF$2:AF32),$AF$2:$AF$1001,0),1)&gt;=100000,INDEX($AM$1005:$BM$1005,1,MATCH(COLUMNS($AM$1006:BI1006),$AM$1006:$BM$1006,0))&gt;=100000), " ",IF(INDEX($AM$2:$BM$1001,MATCH(ROWS($AF$2:AF32),$AF$2:$AF$1001,0),MATCH(COLUMNS($AM$1006:BI1006),$AM$1006:$BM$1006,0)), HYPERLINK("#",""), HYPERLINK(CONCATENATE("#metadata!", ADDRESS(INDEX($AH$2:$AH$1001,MATCH(ROWS($AF$2:AF32),$AF$2:$AF$1001,0),0), INDEX($AM$1004:$BM$1004,1,MATCH(COLUMNS($AM$1006:BI1006),$AM$1006:$BM$1006,0)))),"Fix")))</f>
        <v xml:space="preserve"> </v>
      </c>
      <c r="Y32" s="4" t="str">
        <f ca="1">IF(OR(INDEX($AG$2:$AG$1001,MATCH(ROWS($AF$2:AF32),$AF$2:$AF$1001,0),1)&gt;=100000,INDEX($AM$1005:$BM$1005,1,MATCH(COLUMNS($AM$1006:BJ1006),$AM$1006:$BM$1006,0))&gt;=100000), " ",IF(INDEX($AM$2:$BM$1001,MATCH(ROWS($AF$2:AF32),$AF$2:$AF$1001,0),MATCH(COLUMNS($AM$1006:BJ1006),$AM$1006:$BM$1006,0)), HYPERLINK("#",""), HYPERLINK(CONCATENATE("#metadata!", ADDRESS(INDEX($AH$2:$AH$1001,MATCH(ROWS($AF$2:AF32),$AF$2:$AF$1001,0),0), INDEX($AM$1004:$BM$1004,1,MATCH(COLUMNS($AM$1006:BJ1006),$AM$1006:$BM$1006,0)))),"Fix")))</f>
        <v xml:space="preserve"> </v>
      </c>
      <c r="Z32" s="4" t="str">
        <f ca="1">IF(OR(INDEX($AG$2:$AG$1001,MATCH(ROWS($AF$2:AF32),$AF$2:$AF$1001,0),1)&gt;=100000,INDEX($AM$1005:$BM$1005,1,MATCH(COLUMNS($AM$1006:BK1006),$AM$1006:$BM$1006,0))&gt;=100000), " ",IF(INDEX($AM$2:$BM$1001,MATCH(ROWS($AF$2:AF32),$AF$2:$AF$1001,0),MATCH(COLUMNS($AM$1006:BK1006),$AM$1006:$BM$1006,0)), HYPERLINK("#",""), HYPERLINK(CONCATENATE("#metadata!", ADDRESS(INDEX($AH$2:$AH$1001,MATCH(ROWS($AF$2:AF32),$AF$2:$AF$1001,0),0), INDEX($AM$1004:$BM$1004,1,MATCH(COLUMNS($AM$1006:BK1006),$AM$1006:$BM$1006,0)))),"Fix")))</f>
        <v xml:space="preserve"> </v>
      </c>
      <c r="AA32" s="4" t="str">
        <f ca="1">IF(OR(INDEX($AG$2:$AG$1001,MATCH(ROWS($AF$2:AF32),$AF$2:$AF$1001,0),1)&gt;=100000,INDEX($AM$1005:$BM$1005,1,MATCH(COLUMNS($AM$1006:BL1006),$AM$1006:$BM$1006,0))&gt;=100000), " ",IF(INDEX($AM$2:$BM$1001,MATCH(ROWS($AF$2:AF32),$AF$2:$AF$1001,0),MATCH(COLUMNS($AM$1006:BL1006),$AM$1006:$BM$1006,0)), HYPERLINK("#",""), HYPERLINK(CONCATENATE("#metadata!", ADDRESS(INDEX($AH$2:$AH$1001,MATCH(ROWS($AF$2:AF32),$AF$2:$AF$1001,0),0), INDEX($AM$1004:$BM$1004,1,MATCH(COLUMNS($AM$1006:BL1006),$AM$1006:$BM$1006,0)))),"Fix")))</f>
        <v xml:space="preserve"> </v>
      </c>
      <c r="AB32" s="4" t="str">
        <f ca="1">IF(OR(INDEX($AG$2:$AG$1001,MATCH(ROWS($AF$2:AF32),$AF$2:$AF$1001,0),1)&gt;=100000,INDEX($AM$1005:$BM$1005,1,MATCH(COLUMNS($AM$1006:BM1006),$AM$1006:$BM$1006,0))&gt;=100000), " ",IF(INDEX($AM$2:$BM$1001,MATCH(ROWS($AF$2:AF32),$AF$2:$AF$1001,0),MATCH(COLUMNS($AM$1006:BM1006),$AM$1006:$BM$1006,0)), HYPERLINK("#",""), HYPERLINK(CONCATENATE("#metadata!", ADDRESS(INDEX($AH$2:$AH$1001,MATCH(ROWS($AF$2:AF32),$AF$2:$AF$1001,0),0), INDEX($AM$1004:$BM$1004,1,MATCH(COLUMNS($AM$1006:BM1006),$AM$1006:$BM$1006,0)))),"Fix")))</f>
        <v xml:space="preserve"> </v>
      </c>
      <c r="AF32">
        <v>31</v>
      </c>
      <c r="AG32">
        <v>100032</v>
      </c>
      <c r="AH32">
        <v>32</v>
      </c>
      <c r="AI32" t="b">
        <f t="shared" si="0"/>
        <v>1</v>
      </c>
      <c r="AJ32" t="b">
        <f>COUNTBLANK(metadata!B32:AB32)=COLUMNS(metadata!B32:AB32)</f>
        <v>1</v>
      </c>
      <c r="AK32" t="str">
        <v/>
      </c>
      <c r="AM32" t="b">
        <f ca="1">AND(IF(metadata!B32="",FALSE,TRUE),COUNTIF(metadata!B:B, metadata!B32) = 1,NOT(ISERROR(SUMPRODUCT(SEARCH(MID(metadata!B32,ROW(INDIRECT("1:"&amp;LEN(metadata!B32))), 1),"0123456789abcdefghijklmnopqrstuvwxyzABCDEFGHIJKLMNOPQRSTUVWXYZ.")))))</f>
        <v>0</v>
      </c>
      <c r="AN32" t="b">
        <f ca="1">OR(AND(IF(metadata!C32="",FALSE,TRUE),OR(EXACT(metadata!C32,"missing: not collected"),EXACT(metadata!C32,"missing: not provided"),EXACT(metadata!C32,"missing: restricted access"))),AND(IF(metadata!C32="",FALSE,TRUE),AND(AND(IFERROR(INT(LEFT(metadata!C32,4))&gt;1900,FALSE),IFERROR(INT(LEFT(metadata!C32,4))&lt;=YEAR(NOW()),FALSE)), OR(MID(metadata!C32,5,1)="", AND(AND(MID(metadata!C32,5,1)="-",IFERROR(INT(MID(metadata!C32,6,1))&gt;=0,FALSE),IFERROR(INT(MID(metadata!C32,6,1))&lt;=1,FALSE),NOT(MID(metadata!C32,7,1)=""),IFERROR(INT(MID(metadata!C32,6,2))&gt;=1,FALSE),IFERROR(INT(MID(metadata!C32,6,2))&lt;=12,FALSE)), OR(MID(metadata!C32,8,1)="", AND(AND(MID(metadata!C32,8,1)="-",IFERROR(INT(MID(metadata!C32,9,1))&gt;=0,FALSE),IFERROR(INT(MID(metadata!C32,9,1))&lt;=3,FALSE),NOT(MID(metadata!C32,10,1)=""),IFERROR(INT(MID(metadata!C32,9,2))&gt;=1,FALSE),IFERROR(INT(MID(metadata!C32,9,2))&lt;=31,FALSE)), OR(MID(metadata!C32,11,1)="", AND(AND(MID(metadata!C32,11,1)=" ",IFERROR(INT(MID(metadata!C32,12,1))&gt;=0,FALSE),IFERROR(INT(MID(metadata!C32,12,1))&lt;=2,FALSE),NOT(MID(metadata!C32,13,1)=""),IFERROR(INT(MID(metadata!C32,12,2))&gt;=0,FALSE),IFERROR(INT(MID(metadata!C32,12,2))&lt;=23,FALSE)), OR(MID(metadata!C32,14,1)="", AND(AND(MID(metadata!C32,14,1)=":",IFERROR(INT(MID(metadata!C32,15,1))&gt;=0,FALSE),IFERROR(INT(MID(metadata!C32,15,1))&lt;=5,FALSE),NOT(MID(metadata!C32,16,1)=""),IFERROR(INT(MID(metadata!C32,15,2))&gt;=0,FALSE),IFERROR(INT(MID(metadata!C32,15,2))&lt;=59,FALSE)), OR(MID(metadata!C32,17,1)="", AND(AND(MID(metadata!C32,17,1)=":",IFERROR(INT(MID(metadata!C32,18,1))&gt;=0,FALSE),IFERROR(INT(MID(metadata!C32,18,1))&lt;=5,FALSE),NOT(MID(metadata!C32,19,1)=""),IFERROR(INT(MID(metadata!C32,18,2))&gt;=0,FALSE),IFERROR(INT(MID(metadata!C32,18,2))&lt;=59,FALSE)), LEN(metadata!C32)&lt;=19)))))))))))))</f>
        <v>0</v>
      </c>
      <c r="AO32" t="b">
        <f>AND(IF(metadata!D32="",FALSE,TRUE),EXACT(metadata!D32,"Not applicable"))</f>
        <v>0</v>
      </c>
      <c r="AP32" t="b">
        <f>IF(metadata!E32="",FALSE,TRUE)</f>
        <v>0</v>
      </c>
      <c r="AQ32" t="b">
        <f>OR(AND(IF(metadata!F32="",FALSE,TRUE),OR(EXACT(metadata!F32,"missing: not collected"),EXACT(metadata!F32,"missing: not provided"))),AND(IF(metadata!F32="",FALSE,TRUE),OR(EXACT(metadata!F32,"TRUE"),EXACT(metadata!F32,"FALSE"))))</f>
        <v>0</v>
      </c>
      <c r="AR32" t="b">
        <f>OR(AND(IF(metadata!G32="",FALSE,TRUE),OR(EXACT(metadata!G32,"missing: not collected"),EXACT(metadata!G32,"missing: not provided"),EXACT(metadata!G32,"missing: restricted access"))),AND(IF(metadata!G32="",FALSE,ISNUMBER(VALUE(metadata!G32))),metadata!G32&gt;=-413))</f>
        <v>0</v>
      </c>
      <c r="AS32" t="b">
        <f>AND(IF(metadata!H32="",FALSE,TRUE),EXACT(metadata!H32,"meters"))</f>
        <v>0</v>
      </c>
      <c r="AT32" t="b">
        <f>AND(IF(metadata!I32="",FALSE,TRUE),OR(EXACT(metadata!I32,"Host-associated"),EXACT(metadata!I32,"Free-living")))</f>
        <v>0</v>
      </c>
      <c r="AU32" t="b">
        <f>AND(IF(metadata!J32="",FALSE,TRUE),OR(EXACT(metadata!J32,"Animal"),EXACT(metadata!J32,"Fungus"),EXACT(metadata!J32,"Plant"),EXACT(metadata!J32,"Saline"),EXACT(metadata!J32,"Non-saline")))</f>
        <v>0</v>
      </c>
      <c r="AV32" t="b">
        <f>AND(IF(metadata!K32="",FALSE,TRUE),OR(EXACT(metadata!K32,"Plant secretion"),EXACT(metadata!K32,"Plant rhizosphere"),EXACT(metadata!K32,"Plant surface"),EXACT(metadata!K32,"Plant corpus"),EXACT(metadata!K32,"Fungus surface"),EXACT(metadata!K32,"Fungus corpus"),EXACT(metadata!K32,"Animal surface"),EXACT(metadata!K32,"Animal proximal gut"),EXACT(metadata!K32,"Animal corpus"),EXACT(metadata!K32,"Animal distal gut"),EXACT(metadata!K32,"Animal secretion"),EXACT(metadata!K32,"Sub-surface (non-saline)"),EXACT(metadata!K32,"Surface (non-saline)"),EXACT(metadata!K32,"Water (non-saline)"),EXACT(metadata!K32,"Soil (non-saline)"),EXACT(metadata!K32,"Aerosol (non-saline)"),EXACT(metadata!K32,"Sediment (non-saline)"),EXACT(metadata!K32,"Surface (saline)"),EXACT(metadata!K32,"Water (saline)"),EXACT(metadata!K32,"Hypersaline (saline)"),EXACT(metadata!K32,"Aerosol (saline)"),EXACT(metadata!K32,"Sediment (saline)")))</f>
        <v>0</v>
      </c>
      <c r="AW32" t="b">
        <f>IF(metadata!L32="",FALSE,TRUE)</f>
        <v>0</v>
      </c>
      <c r="AX32" t="b">
        <f>IF(metadata!M32="",FALSE,TRUE)</f>
        <v>0</v>
      </c>
      <c r="AY32" t="b">
        <f>IF(metadata!N32="",FALSE,TRUE)</f>
        <v>0</v>
      </c>
      <c r="AZ32" t="b">
        <f>OR(AND(IF(metadata!O32="",FALSE,TRUE),OR(EXACT(metadata!O32,"missing: not collected"),EXACT(metadata!O32,"missing: not provided"),EXACT(metadata!O32,"missing: restricted access"))),AND(IF(metadata!O32="",FALSE,TRUE),OR(EXACT(metadata!O32,"air"),EXACT(metadata!O32,"built environment"),EXACT(metadata!O32,"host-associated"),EXACT(metadata!O32,"human-associated"),EXACT(metadata!O32,"human-skin"),EXACT(metadata!O32,"human-oral"),EXACT(metadata!O32,"human-gut"),EXACT(metadata!O32,"human-vaginal"),EXACT(metadata!O32,"microbial mat/biofilm"),EXACT(metadata!O32,"misc environment"),EXACT(metadata!O32,"plant-associated"),EXACT(metadata!O32,"sediment"),EXACT(metadata!O32,"soil"),EXACT(metadata!O32,"wastewater/sludge"),EXACT(metadata!O32,"water"))))</f>
        <v>0</v>
      </c>
      <c r="BA32" t="b">
        <f>IF(metadata!P32="",FALSE,TRUE)</f>
        <v>0</v>
      </c>
      <c r="BB32" t="b">
        <f>IF(metadata!Q32="",FALSE,TRUE)</f>
        <v>0</v>
      </c>
      <c r="BC32" t="b">
        <f>OR(AND(IF(metadata!R32="",FALSE,TRUE),OR(EXACT(metadata!R32,"missing: not collected"),EXACT(metadata!R32,"missing: not provided"),EXACT(metadata!R32,"missing: restricted access"))),AND(IF(metadata!R32="",FALSE,ISNUMBER(VALUE(metadata!R32))),metadata!R32&gt;=-90,metadata!R32&lt;=90))</f>
        <v>0</v>
      </c>
      <c r="BD32" t="b">
        <f>AND(IF(metadata!S32="",FALSE,TRUE),EXACT(metadata!S32,"Decimal degrees"))</f>
        <v>0</v>
      </c>
      <c r="BE32" t="b">
        <f>OR(AND(IF(metadata!T32="",FALSE,TRUE),OR(EXACT(metadata!T32,"missing: not collected"),EXACT(metadata!T32,"missing: not provided"),EXACT(metadata!T32,"missing: restricted access"))),AND(IF(metadata!T32="",FALSE,ISNUMBER(VALUE(metadata!T32))),metadata!T32&gt;=-180,metadata!T32&lt;=180))</f>
        <v>0</v>
      </c>
      <c r="BF32" t="b">
        <f>AND(IF(metadata!U32="",FALSE,TRUE),EXACT(metadata!U32,"Decimal degrees"))</f>
        <v>0</v>
      </c>
      <c r="BG32" t="b">
        <f>IF(metadata!V32="",FALSE,TRUE)</f>
        <v>0</v>
      </c>
      <c r="BH32" t="b">
        <f>OR(AND(IF(metadata!W32="",FALSE,TRUE),OR(EXACT(metadata!W32,"missing: not collected"),EXACT(metadata!W32,"missing: not provided"),EXACT(metadata!W32,"missing: restricted access"))),AND(IF(metadata!W32="",FALSE,TRUE),OR(EXACT(metadata!W32,"TRUE"),EXACT(metadata!W32,"FALSE"))))</f>
        <v>0</v>
      </c>
      <c r="BI32" t="b">
        <f>AND(IF(metadata!X32="",FALSE,TRUE),EXACT(metadata!X32,"other"))</f>
        <v>0</v>
      </c>
      <c r="BJ32" t="b">
        <f>IF(metadata!Y32="",FALSE,TRUE)</f>
        <v>0</v>
      </c>
      <c r="BK32" t="b">
        <f>OR(AND(IF(metadata!Z32="",FALSE,TRUE),OR(EXACT(metadata!Z32,"missing: not collected"),EXACT(metadata!Z32,"missing: not provided"))),AND(IF(metadata!Z32="",FALSE,IF(ISERROR(INT(metadata!Z32)),FALSE,INT(metadata!Z32)=metadata!Z32)),metadata!Z32&gt;0))</f>
        <v>0</v>
      </c>
      <c r="BL32" t="b">
        <f>AND(IF(metadata!AA32="",FALSE,TRUE),EXACT(metadata!AA32,"Not applicable"))</f>
        <v>0</v>
      </c>
      <c r="BM32" t="b">
        <f>IF(metadata!AB32="",FALSE,TRUE)</f>
        <v>0</v>
      </c>
    </row>
    <row r="33" spans="1:65" x14ac:dyDescent="0.2">
      <c r="A33" s="5" t="str">
        <f ca="1">IF(B33=" "," ",HYPERLINK(CONCATENATE("#metadata!",ADDRESS(INDEX($AH$2:$AH$1001,MATCH(ROWS($AF$2:AF33),$AF$2:$AF$1001,0),0),1)),INDEX($AK$2:$AK$1001,MATCH(ROWS($AF$2:AF33),$AF$2:$AF$1001,0),0)))</f>
        <v xml:space="preserve"> </v>
      </c>
      <c r="B33" s="4" t="str">
        <f ca="1">IF(OR(INDEX($AG$2:$AG$1001,MATCH(ROWS($AF$2:AF33),$AF$2:$AF$1001,0),1)&gt;=100000,INDEX($AM$1005:$BM$1005,1,MATCH(COLUMNS($AM$1006:AM1006),$AM$1006:$BM$1006,0))&gt;=100000), " ",IF(INDEX($AM$2:$BM$1001,MATCH(ROWS($AF$2:AF33),$AF$2:$AF$1001,0),MATCH(COLUMNS($AM$1006:AM1006),$AM$1006:$BM$1006,0)), HYPERLINK("#",""), HYPERLINK(CONCATENATE("#metadata!", ADDRESS(INDEX($AH$2:$AH$1001,MATCH(ROWS($AF$2:AF33),$AF$2:$AF$1001,0),0), INDEX($AM$1004:$BM$1004,1,MATCH(COLUMNS($AM$1006:AM1006),$AM$1006:$BM$1006,0)))),"Fix")))</f>
        <v xml:space="preserve"> </v>
      </c>
      <c r="C33" s="4" t="str">
        <f ca="1">IF(OR(INDEX($AG$2:$AG$1001,MATCH(ROWS($AF$2:AF33),$AF$2:$AF$1001,0),1)&gt;=100000,INDEX($AM$1005:$BM$1005,1,MATCH(COLUMNS($AM$1006:AN1006),$AM$1006:$BM$1006,0))&gt;=100000), " ",IF(INDEX($AM$2:$BM$1001,MATCH(ROWS($AF$2:AF33),$AF$2:$AF$1001,0),MATCH(COLUMNS($AM$1006:AN1006),$AM$1006:$BM$1006,0)), HYPERLINK("#",""), HYPERLINK(CONCATENATE("#metadata!", ADDRESS(INDEX($AH$2:$AH$1001,MATCH(ROWS($AF$2:AF33),$AF$2:$AF$1001,0),0), INDEX($AM$1004:$BM$1004,1,MATCH(COLUMNS($AM$1006:AN1006),$AM$1006:$BM$1006,0)))),"Fix")))</f>
        <v xml:space="preserve"> </v>
      </c>
      <c r="D33" s="4" t="str">
        <f ca="1">IF(OR(INDEX($AG$2:$AG$1001,MATCH(ROWS($AF$2:AF33),$AF$2:$AF$1001,0),1)&gt;=100000,INDEX($AM$1005:$BM$1005,1,MATCH(COLUMNS($AM$1006:AO1006),$AM$1006:$BM$1006,0))&gt;=100000), " ",IF(INDEX($AM$2:$BM$1001,MATCH(ROWS($AF$2:AF33),$AF$2:$AF$1001,0),MATCH(COLUMNS($AM$1006:AO1006),$AM$1006:$BM$1006,0)), HYPERLINK("#",""), HYPERLINK(CONCATENATE("#metadata!", ADDRESS(INDEX($AH$2:$AH$1001,MATCH(ROWS($AF$2:AF33),$AF$2:$AF$1001,0),0), INDEX($AM$1004:$BM$1004,1,MATCH(COLUMNS($AM$1006:AO1006),$AM$1006:$BM$1006,0)))),"Fix")))</f>
        <v xml:space="preserve"> </v>
      </c>
      <c r="E33" s="4" t="str">
        <f ca="1">IF(OR(INDEX($AG$2:$AG$1001,MATCH(ROWS($AF$2:AF33),$AF$2:$AF$1001,0),1)&gt;=100000,INDEX($AM$1005:$BM$1005,1,MATCH(COLUMNS($AM$1006:AP1006),$AM$1006:$BM$1006,0))&gt;=100000), " ",IF(INDEX($AM$2:$BM$1001,MATCH(ROWS($AF$2:AF33),$AF$2:$AF$1001,0),MATCH(COLUMNS($AM$1006:AP1006),$AM$1006:$BM$1006,0)), HYPERLINK("#",""), HYPERLINK(CONCATENATE("#metadata!", ADDRESS(INDEX($AH$2:$AH$1001,MATCH(ROWS($AF$2:AF33),$AF$2:$AF$1001,0),0), INDEX($AM$1004:$BM$1004,1,MATCH(COLUMNS($AM$1006:AP1006),$AM$1006:$BM$1006,0)))),"Fix")))</f>
        <v xml:space="preserve"> </v>
      </c>
      <c r="F33" s="4" t="str">
        <f ca="1">IF(OR(INDEX($AG$2:$AG$1001,MATCH(ROWS($AF$2:AF33),$AF$2:$AF$1001,0),1)&gt;=100000,INDEX($AM$1005:$BM$1005,1,MATCH(COLUMNS($AM$1006:AQ1006),$AM$1006:$BM$1006,0))&gt;=100000), " ",IF(INDEX($AM$2:$BM$1001,MATCH(ROWS($AF$2:AF33),$AF$2:$AF$1001,0),MATCH(COLUMNS($AM$1006:AQ1006),$AM$1006:$BM$1006,0)), HYPERLINK("#",""), HYPERLINK(CONCATENATE("#metadata!", ADDRESS(INDEX($AH$2:$AH$1001,MATCH(ROWS($AF$2:AF33),$AF$2:$AF$1001,0),0), INDEX($AM$1004:$BM$1004,1,MATCH(COLUMNS($AM$1006:AQ1006),$AM$1006:$BM$1006,0)))),"Fix")))</f>
        <v xml:space="preserve"> </v>
      </c>
      <c r="G33" s="4" t="str">
        <f ca="1">IF(OR(INDEX($AG$2:$AG$1001,MATCH(ROWS($AF$2:AF33),$AF$2:$AF$1001,0),1)&gt;=100000,INDEX($AM$1005:$BM$1005,1,MATCH(COLUMNS($AM$1006:AR1006),$AM$1006:$BM$1006,0))&gt;=100000), " ",IF(INDEX($AM$2:$BM$1001,MATCH(ROWS($AF$2:AF33),$AF$2:$AF$1001,0),MATCH(COLUMNS($AM$1006:AR1006),$AM$1006:$BM$1006,0)), HYPERLINK("#",""), HYPERLINK(CONCATENATE("#metadata!", ADDRESS(INDEX($AH$2:$AH$1001,MATCH(ROWS($AF$2:AF33),$AF$2:$AF$1001,0),0), INDEX($AM$1004:$BM$1004,1,MATCH(COLUMNS($AM$1006:AR1006),$AM$1006:$BM$1006,0)))),"Fix")))</f>
        <v xml:space="preserve"> </v>
      </c>
      <c r="H33" s="4" t="str">
        <f ca="1">IF(OR(INDEX($AG$2:$AG$1001,MATCH(ROWS($AF$2:AF33),$AF$2:$AF$1001,0),1)&gt;=100000,INDEX($AM$1005:$BM$1005,1,MATCH(COLUMNS($AM$1006:AS1006),$AM$1006:$BM$1006,0))&gt;=100000), " ",IF(INDEX($AM$2:$BM$1001,MATCH(ROWS($AF$2:AF33),$AF$2:$AF$1001,0),MATCH(COLUMNS($AM$1006:AS1006),$AM$1006:$BM$1006,0)), HYPERLINK("#",""), HYPERLINK(CONCATENATE("#metadata!", ADDRESS(INDEX($AH$2:$AH$1001,MATCH(ROWS($AF$2:AF33),$AF$2:$AF$1001,0),0), INDEX($AM$1004:$BM$1004,1,MATCH(COLUMNS($AM$1006:AS1006),$AM$1006:$BM$1006,0)))),"Fix")))</f>
        <v xml:space="preserve"> </v>
      </c>
      <c r="I33" s="4" t="str">
        <f ca="1">IF(OR(INDEX($AG$2:$AG$1001,MATCH(ROWS($AF$2:AF33),$AF$2:$AF$1001,0),1)&gt;=100000,INDEX($AM$1005:$BM$1005,1,MATCH(COLUMNS($AM$1006:AT1006),$AM$1006:$BM$1006,0))&gt;=100000), " ",IF(INDEX($AM$2:$BM$1001,MATCH(ROWS($AF$2:AF33),$AF$2:$AF$1001,0),MATCH(COLUMNS($AM$1006:AT1006),$AM$1006:$BM$1006,0)), HYPERLINK("#",""), HYPERLINK(CONCATENATE("#metadata!", ADDRESS(INDEX($AH$2:$AH$1001,MATCH(ROWS($AF$2:AF33),$AF$2:$AF$1001,0),0), INDEX($AM$1004:$BM$1004,1,MATCH(COLUMNS($AM$1006:AT1006),$AM$1006:$BM$1006,0)))),"Fix")))</f>
        <v xml:space="preserve"> </v>
      </c>
      <c r="J33" s="4" t="str">
        <f ca="1">IF(OR(INDEX($AG$2:$AG$1001,MATCH(ROWS($AF$2:AF33),$AF$2:$AF$1001,0),1)&gt;=100000,INDEX($AM$1005:$BM$1005,1,MATCH(COLUMNS($AM$1006:AU1006),$AM$1006:$BM$1006,0))&gt;=100000), " ",IF(INDEX($AM$2:$BM$1001,MATCH(ROWS($AF$2:AF33),$AF$2:$AF$1001,0),MATCH(COLUMNS($AM$1006:AU1006),$AM$1006:$BM$1006,0)), HYPERLINK("#",""), HYPERLINK(CONCATENATE("#metadata!", ADDRESS(INDEX($AH$2:$AH$1001,MATCH(ROWS($AF$2:AF33),$AF$2:$AF$1001,0),0), INDEX($AM$1004:$BM$1004,1,MATCH(COLUMNS($AM$1006:AU1006),$AM$1006:$BM$1006,0)))),"Fix")))</f>
        <v xml:space="preserve"> </v>
      </c>
      <c r="K33" s="4" t="str">
        <f ca="1">IF(OR(INDEX($AG$2:$AG$1001,MATCH(ROWS($AF$2:AF33),$AF$2:$AF$1001,0),1)&gt;=100000,INDEX($AM$1005:$BM$1005,1,MATCH(COLUMNS($AM$1006:AV1006),$AM$1006:$BM$1006,0))&gt;=100000), " ",IF(INDEX($AM$2:$BM$1001,MATCH(ROWS($AF$2:AF33),$AF$2:$AF$1001,0),MATCH(COLUMNS($AM$1006:AV1006),$AM$1006:$BM$1006,0)), HYPERLINK("#",""), HYPERLINK(CONCATENATE("#metadata!", ADDRESS(INDEX($AH$2:$AH$1001,MATCH(ROWS($AF$2:AF33),$AF$2:$AF$1001,0),0), INDEX($AM$1004:$BM$1004,1,MATCH(COLUMNS($AM$1006:AV1006),$AM$1006:$BM$1006,0)))),"Fix")))</f>
        <v xml:space="preserve"> </v>
      </c>
      <c r="L33" s="4" t="str">
        <f ca="1">IF(OR(INDEX($AG$2:$AG$1001,MATCH(ROWS($AF$2:AF33),$AF$2:$AF$1001,0),1)&gt;=100000,INDEX($AM$1005:$BM$1005,1,MATCH(COLUMNS($AM$1006:AW1006),$AM$1006:$BM$1006,0))&gt;=100000), " ",IF(INDEX($AM$2:$BM$1001,MATCH(ROWS($AF$2:AF33),$AF$2:$AF$1001,0),MATCH(COLUMNS($AM$1006:AW1006),$AM$1006:$BM$1006,0)), HYPERLINK("#",""), HYPERLINK(CONCATENATE("#metadata!", ADDRESS(INDEX($AH$2:$AH$1001,MATCH(ROWS($AF$2:AF33),$AF$2:$AF$1001,0),0), INDEX($AM$1004:$BM$1004,1,MATCH(COLUMNS($AM$1006:AW1006),$AM$1006:$BM$1006,0)))),"Fix")))</f>
        <v xml:space="preserve"> </v>
      </c>
      <c r="M33" s="4" t="str">
        <f ca="1">IF(OR(INDEX($AG$2:$AG$1001,MATCH(ROWS($AF$2:AF33),$AF$2:$AF$1001,0),1)&gt;=100000,INDEX($AM$1005:$BM$1005,1,MATCH(COLUMNS($AM$1006:AX1006),$AM$1006:$BM$1006,0))&gt;=100000), " ",IF(INDEX($AM$2:$BM$1001,MATCH(ROWS($AF$2:AF33),$AF$2:$AF$1001,0),MATCH(COLUMNS($AM$1006:AX1006),$AM$1006:$BM$1006,0)), HYPERLINK("#",""), HYPERLINK(CONCATENATE("#metadata!", ADDRESS(INDEX($AH$2:$AH$1001,MATCH(ROWS($AF$2:AF33),$AF$2:$AF$1001,0),0), INDEX($AM$1004:$BM$1004,1,MATCH(COLUMNS($AM$1006:AX1006),$AM$1006:$BM$1006,0)))),"Fix")))</f>
        <v xml:space="preserve"> </v>
      </c>
      <c r="N33" s="4" t="str">
        <f ca="1">IF(OR(INDEX($AG$2:$AG$1001,MATCH(ROWS($AF$2:AF33),$AF$2:$AF$1001,0),1)&gt;=100000,INDEX($AM$1005:$BM$1005,1,MATCH(COLUMNS($AM$1006:AY1006),$AM$1006:$BM$1006,0))&gt;=100000), " ",IF(INDEX($AM$2:$BM$1001,MATCH(ROWS($AF$2:AF33),$AF$2:$AF$1001,0),MATCH(COLUMNS($AM$1006:AY1006),$AM$1006:$BM$1006,0)), HYPERLINK("#",""), HYPERLINK(CONCATENATE("#metadata!", ADDRESS(INDEX($AH$2:$AH$1001,MATCH(ROWS($AF$2:AF33),$AF$2:$AF$1001,0),0), INDEX($AM$1004:$BM$1004,1,MATCH(COLUMNS($AM$1006:AY1006),$AM$1006:$BM$1006,0)))),"Fix")))</f>
        <v xml:space="preserve"> </v>
      </c>
      <c r="O33" s="4" t="str">
        <f ca="1">IF(OR(INDEX($AG$2:$AG$1001,MATCH(ROWS($AF$2:AF33),$AF$2:$AF$1001,0),1)&gt;=100000,INDEX($AM$1005:$BM$1005,1,MATCH(COLUMNS($AM$1006:AZ1006),$AM$1006:$BM$1006,0))&gt;=100000), " ",IF(INDEX($AM$2:$BM$1001,MATCH(ROWS($AF$2:AF33),$AF$2:$AF$1001,0),MATCH(COLUMNS($AM$1006:AZ1006),$AM$1006:$BM$1006,0)), HYPERLINK("#",""), HYPERLINK(CONCATENATE("#metadata!", ADDRESS(INDEX($AH$2:$AH$1001,MATCH(ROWS($AF$2:AF33),$AF$2:$AF$1001,0),0), INDEX($AM$1004:$BM$1004,1,MATCH(COLUMNS($AM$1006:AZ1006),$AM$1006:$BM$1006,0)))),"Fix")))</f>
        <v xml:space="preserve"> </v>
      </c>
      <c r="P33" s="4" t="str">
        <f ca="1">IF(OR(INDEX($AG$2:$AG$1001,MATCH(ROWS($AF$2:AF33),$AF$2:$AF$1001,0),1)&gt;=100000,INDEX($AM$1005:$BM$1005,1,MATCH(COLUMNS($AM$1006:BA1006),$AM$1006:$BM$1006,0))&gt;=100000), " ",IF(INDEX($AM$2:$BM$1001,MATCH(ROWS($AF$2:AF33),$AF$2:$AF$1001,0),MATCH(COLUMNS($AM$1006:BA1006),$AM$1006:$BM$1006,0)), HYPERLINK("#",""), HYPERLINK(CONCATENATE("#metadata!", ADDRESS(INDEX($AH$2:$AH$1001,MATCH(ROWS($AF$2:AF33),$AF$2:$AF$1001,0),0), INDEX($AM$1004:$BM$1004,1,MATCH(COLUMNS($AM$1006:BA1006),$AM$1006:$BM$1006,0)))),"Fix")))</f>
        <v xml:space="preserve"> </v>
      </c>
      <c r="Q33" s="4" t="str">
        <f ca="1">IF(OR(INDEX($AG$2:$AG$1001,MATCH(ROWS($AF$2:AF33),$AF$2:$AF$1001,0),1)&gt;=100000,INDEX($AM$1005:$BM$1005,1,MATCH(COLUMNS($AM$1006:BB1006),$AM$1006:$BM$1006,0))&gt;=100000), " ",IF(INDEX($AM$2:$BM$1001,MATCH(ROWS($AF$2:AF33),$AF$2:$AF$1001,0),MATCH(COLUMNS($AM$1006:BB1006),$AM$1006:$BM$1006,0)), HYPERLINK("#",""), HYPERLINK(CONCATENATE("#metadata!", ADDRESS(INDEX($AH$2:$AH$1001,MATCH(ROWS($AF$2:AF33),$AF$2:$AF$1001,0),0), INDEX($AM$1004:$BM$1004,1,MATCH(COLUMNS($AM$1006:BB1006),$AM$1006:$BM$1006,0)))),"Fix")))</f>
        <v xml:space="preserve"> </v>
      </c>
      <c r="R33" s="4" t="str">
        <f ca="1">IF(OR(INDEX($AG$2:$AG$1001,MATCH(ROWS($AF$2:AF33),$AF$2:$AF$1001,0),1)&gt;=100000,INDEX($AM$1005:$BM$1005,1,MATCH(COLUMNS($AM$1006:BC1006),$AM$1006:$BM$1006,0))&gt;=100000), " ",IF(INDEX($AM$2:$BM$1001,MATCH(ROWS($AF$2:AF33),$AF$2:$AF$1001,0),MATCH(COLUMNS($AM$1006:BC1006),$AM$1006:$BM$1006,0)), HYPERLINK("#",""), HYPERLINK(CONCATENATE("#metadata!", ADDRESS(INDEX($AH$2:$AH$1001,MATCH(ROWS($AF$2:AF33),$AF$2:$AF$1001,0),0), INDEX($AM$1004:$BM$1004,1,MATCH(COLUMNS($AM$1006:BC1006),$AM$1006:$BM$1006,0)))),"Fix")))</f>
        <v xml:space="preserve"> </v>
      </c>
      <c r="S33" s="4" t="str">
        <f ca="1">IF(OR(INDEX($AG$2:$AG$1001,MATCH(ROWS($AF$2:AF33),$AF$2:$AF$1001,0),1)&gt;=100000,INDEX($AM$1005:$BM$1005,1,MATCH(COLUMNS($AM$1006:BD1006),$AM$1006:$BM$1006,0))&gt;=100000), " ",IF(INDEX($AM$2:$BM$1001,MATCH(ROWS($AF$2:AF33),$AF$2:$AF$1001,0),MATCH(COLUMNS($AM$1006:BD1006),$AM$1006:$BM$1006,0)), HYPERLINK("#",""), HYPERLINK(CONCATENATE("#metadata!", ADDRESS(INDEX($AH$2:$AH$1001,MATCH(ROWS($AF$2:AF33),$AF$2:$AF$1001,0),0), INDEX($AM$1004:$BM$1004,1,MATCH(COLUMNS($AM$1006:BD1006),$AM$1006:$BM$1006,0)))),"Fix")))</f>
        <v xml:space="preserve"> </v>
      </c>
      <c r="T33" s="4" t="str">
        <f ca="1">IF(OR(INDEX($AG$2:$AG$1001,MATCH(ROWS($AF$2:AF33),$AF$2:$AF$1001,0),1)&gt;=100000,INDEX($AM$1005:$BM$1005,1,MATCH(COLUMNS($AM$1006:BE1006),$AM$1006:$BM$1006,0))&gt;=100000), " ",IF(INDEX($AM$2:$BM$1001,MATCH(ROWS($AF$2:AF33),$AF$2:$AF$1001,0),MATCH(COLUMNS($AM$1006:BE1006),$AM$1006:$BM$1006,0)), HYPERLINK("#",""), HYPERLINK(CONCATENATE("#metadata!", ADDRESS(INDEX($AH$2:$AH$1001,MATCH(ROWS($AF$2:AF33),$AF$2:$AF$1001,0),0), INDEX($AM$1004:$BM$1004,1,MATCH(COLUMNS($AM$1006:BE1006),$AM$1006:$BM$1006,0)))),"Fix")))</f>
        <v xml:space="preserve"> </v>
      </c>
      <c r="U33" s="4" t="str">
        <f ca="1">IF(OR(INDEX($AG$2:$AG$1001,MATCH(ROWS($AF$2:AF33),$AF$2:$AF$1001,0),1)&gt;=100000,INDEX($AM$1005:$BM$1005,1,MATCH(COLUMNS($AM$1006:BF1006),$AM$1006:$BM$1006,0))&gt;=100000), " ",IF(INDEX($AM$2:$BM$1001,MATCH(ROWS($AF$2:AF33),$AF$2:$AF$1001,0),MATCH(COLUMNS($AM$1006:BF1006),$AM$1006:$BM$1006,0)), HYPERLINK("#",""), HYPERLINK(CONCATENATE("#metadata!", ADDRESS(INDEX($AH$2:$AH$1001,MATCH(ROWS($AF$2:AF33),$AF$2:$AF$1001,0),0), INDEX($AM$1004:$BM$1004,1,MATCH(COLUMNS($AM$1006:BF1006),$AM$1006:$BM$1006,0)))),"Fix")))</f>
        <v xml:space="preserve"> </v>
      </c>
      <c r="V33" s="4" t="str">
        <f ca="1">IF(OR(INDEX($AG$2:$AG$1001,MATCH(ROWS($AF$2:AF33),$AF$2:$AF$1001,0),1)&gt;=100000,INDEX($AM$1005:$BM$1005,1,MATCH(COLUMNS($AM$1006:BG1006),$AM$1006:$BM$1006,0))&gt;=100000), " ",IF(INDEX($AM$2:$BM$1001,MATCH(ROWS($AF$2:AF33),$AF$2:$AF$1001,0),MATCH(COLUMNS($AM$1006:BG1006),$AM$1006:$BM$1006,0)), HYPERLINK("#",""), HYPERLINK(CONCATENATE("#metadata!", ADDRESS(INDEX($AH$2:$AH$1001,MATCH(ROWS($AF$2:AF33),$AF$2:$AF$1001,0),0), INDEX($AM$1004:$BM$1004,1,MATCH(COLUMNS($AM$1006:BG1006),$AM$1006:$BM$1006,0)))),"Fix")))</f>
        <v xml:space="preserve"> </v>
      </c>
      <c r="W33" s="4" t="str">
        <f ca="1">IF(OR(INDEX($AG$2:$AG$1001,MATCH(ROWS($AF$2:AF33),$AF$2:$AF$1001,0),1)&gt;=100000,INDEX($AM$1005:$BM$1005,1,MATCH(COLUMNS($AM$1006:BH1006),$AM$1006:$BM$1006,0))&gt;=100000), " ",IF(INDEX($AM$2:$BM$1001,MATCH(ROWS($AF$2:AF33),$AF$2:$AF$1001,0),MATCH(COLUMNS($AM$1006:BH1006),$AM$1006:$BM$1006,0)), HYPERLINK("#",""), HYPERLINK(CONCATENATE("#metadata!", ADDRESS(INDEX($AH$2:$AH$1001,MATCH(ROWS($AF$2:AF33),$AF$2:$AF$1001,0),0), INDEX($AM$1004:$BM$1004,1,MATCH(COLUMNS($AM$1006:BH1006),$AM$1006:$BM$1006,0)))),"Fix")))</f>
        <v xml:space="preserve"> </v>
      </c>
      <c r="X33" s="4" t="str">
        <f ca="1">IF(OR(INDEX($AG$2:$AG$1001,MATCH(ROWS($AF$2:AF33),$AF$2:$AF$1001,0),1)&gt;=100000,INDEX($AM$1005:$BM$1005,1,MATCH(COLUMNS($AM$1006:BI1006),$AM$1006:$BM$1006,0))&gt;=100000), " ",IF(INDEX($AM$2:$BM$1001,MATCH(ROWS($AF$2:AF33),$AF$2:$AF$1001,0),MATCH(COLUMNS($AM$1006:BI1006),$AM$1006:$BM$1006,0)), HYPERLINK("#",""), HYPERLINK(CONCATENATE("#metadata!", ADDRESS(INDEX($AH$2:$AH$1001,MATCH(ROWS($AF$2:AF33),$AF$2:$AF$1001,0),0), INDEX($AM$1004:$BM$1004,1,MATCH(COLUMNS($AM$1006:BI1006),$AM$1006:$BM$1006,0)))),"Fix")))</f>
        <v xml:space="preserve"> </v>
      </c>
      <c r="Y33" s="4" t="str">
        <f ca="1">IF(OR(INDEX($AG$2:$AG$1001,MATCH(ROWS($AF$2:AF33),$AF$2:$AF$1001,0),1)&gt;=100000,INDEX($AM$1005:$BM$1005,1,MATCH(COLUMNS($AM$1006:BJ1006),$AM$1006:$BM$1006,0))&gt;=100000), " ",IF(INDEX($AM$2:$BM$1001,MATCH(ROWS($AF$2:AF33),$AF$2:$AF$1001,0),MATCH(COLUMNS($AM$1006:BJ1006),$AM$1006:$BM$1006,0)), HYPERLINK("#",""), HYPERLINK(CONCATENATE("#metadata!", ADDRESS(INDEX($AH$2:$AH$1001,MATCH(ROWS($AF$2:AF33),$AF$2:$AF$1001,0),0), INDEX($AM$1004:$BM$1004,1,MATCH(COLUMNS($AM$1006:BJ1006),$AM$1006:$BM$1006,0)))),"Fix")))</f>
        <v xml:space="preserve"> </v>
      </c>
      <c r="Z33" s="4" t="str">
        <f ca="1">IF(OR(INDEX($AG$2:$AG$1001,MATCH(ROWS($AF$2:AF33),$AF$2:$AF$1001,0),1)&gt;=100000,INDEX($AM$1005:$BM$1005,1,MATCH(COLUMNS($AM$1006:BK1006),$AM$1006:$BM$1006,0))&gt;=100000), " ",IF(INDEX($AM$2:$BM$1001,MATCH(ROWS($AF$2:AF33),$AF$2:$AF$1001,0),MATCH(COLUMNS($AM$1006:BK1006),$AM$1006:$BM$1006,0)), HYPERLINK("#",""), HYPERLINK(CONCATENATE("#metadata!", ADDRESS(INDEX($AH$2:$AH$1001,MATCH(ROWS($AF$2:AF33),$AF$2:$AF$1001,0),0), INDEX($AM$1004:$BM$1004,1,MATCH(COLUMNS($AM$1006:BK1006),$AM$1006:$BM$1006,0)))),"Fix")))</f>
        <v xml:space="preserve"> </v>
      </c>
      <c r="AA33" s="4" t="str">
        <f ca="1">IF(OR(INDEX($AG$2:$AG$1001,MATCH(ROWS($AF$2:AF33),$AF$2:$AF$1001,0),1)&gt;=100000,INDEX($AM$1005:$BM$1005,1,MATCH(COLUMNS($AM$1006:BL1006),$AM$1006:$BM$1006,0))&gt;=100000), " ",IF(INDEX($AM$2:$BM$1001,MATCH(ROWS($AF$2:AF33),$AF$2:$AF$1001,0),MATCH(COLUMNS($AM$1006:BL1006),$AM$1006:$BM$1006,0)), HYPERLINK("#",""), HYPERLINK(CONCATENATE("#metadata!", ADDRESS(INDEX($AH$2:$AH$1001,MATCH(ROWS($AF$2:AF33),$AF$2:$AF$1001,0),0), INDEX($AM$1004:$BM$1004,1,MATCH(COLUMNS($AM$1006:BL1006),$AM$1006:$BM$1006,0)))),"Fix")))</f>
        <v xml:space="preserve"> </v>
      </c>
      <c r="AB33" s="4" t="str">
        <f ca="1">IF(OR(INDEX($AG$2:$AG$1001,MATCH(ROWS($AF$2:AF33),$AF$2:$AF$1001,0),1)&gt;=100000,INDEX($AM$1005:$BM$1005,1,MATCH(COLUMNS($AM$1006:BM1006),$AM$1006:$BM$1006,0))&gt;=100000), " ",IF(INDEX($AM$2:$BM$1001,MATCH(ROWS($AF$2:AF33),$AF$2:$AF$1001,0),MATCH(COLUMNS($AM$1006:BM1006),$AM$1006:$BM$1006,0)), HYPERLINK("#",""), HYPERLINK(CONCATENATE("#metadata!", ADDRESS(INDEX($AH$2:$AH$1001,MATCH(ROWS($AF$2:AF33),$AF$2:$AF$1001,0),0), INDEX($AM$1004:$BM$1004,1,MATCH(COLUMNS($AM$1006:BM1006),$AM$1006:$BM$1006,0)))),"Fix")))</f>
        <v xml:space="preserve"> </v>
      </c>
      <c r="AF33">
        <v>32</v>
      </c>
      <c r="AG33">
        <v>100033</v>
      </c>
      <c r="AH33">
        <v>33</v>
      </c>
      <c r="AI33" t="b">
        <f t="shared" si="0"/>
        <v>1</v>
      </c>
      <c r="AJ33" t="b">
        <f>COUNTBLANK(metadata!B33:AB33)=COLUMNS(metadata!B33:AB33)</f>
        <v>1</v>
      </c>
      <c r="AK33" t="str">
        <v/>
      </c>
      <c r="AM33" t="b">
        <f ca="1">AND(IF(metadata!B33="",FALSE,TRUE),COUNTIF(metadata!B:B, metadata!B33) = 1,NOT(ISERROR(SUMPRODUCT(SEARCH(MID(metadata!B33,ROW(INDIRECT("1:"&amp;LEN(metadata!B33))), 1),"0123456789abcdefghijklmnopqrstuvwxyzABCDEFGHIJKLMNOPQRSTUVWXYZ.")))))</f>
        <v>0</v>
      </c>
      <c r="AN33" t="b">
        <f ca="1">OR(AND(IF(metadata!C33="",FALSE,TRUE),OR(EXACT(metadata!C33,"missing: not collected"),EXACT(metadata!C33,"missing: not provided"),EXACT(metadata!C33,"missing: restricted access"))),AND(IF(metadata!C33="",FALSE,TRUE),AND(AND(IFERROR(INT(LEFT(metadata!C33,4))&gt;1900,FALSE),IFERROR(INT(LEFT(metadata!C33,4))&lt;=YEAR(NOW()),FALSE)), OR(MID(metadata!C33,5,1)="", AND(AND(MID(metadata!C33,5,1)="-",IFERROR(INT(MID(metadata!C33,6,1))&gt;=0,FALSE),IFERROR(INT(MID(metadata!C33,6,1))&lt;=1,FALSE),NOT(MID(metadata!C33,7,1)=""),IFERROR(INT(MID(metadata!C33,6,2))&gt;=1,FALSE),IFERROR(INT(MID(metadata!C33,6,2))&lt;=12,FALSE)), OR(MID(metadata!C33,8,1)="", AND(AND(MID(metadata!C33,8,1)="-",IFERROR(INT(MID(metadata!C33,9,1))&gt;=0,FALSE),IFERROR(INT(MID(metadata!C33,9,1))&lt;=3,FALSE),NOT(MID(metadata!C33,10,1)=""),IFERROR(INT(MID(metadata!C33,9,2))&gt;=1,FALSE),IFERROR(INT(MID(metadata!C33,9,2))&lt;=31,FALSE)), OR(MID(metadata!C33,11,1)="", AND(AND(MID(metadata!C33,11,1)=" ",IFERROR(INT(MID(metadata!C33,12,1))&gt;=0,FALSE),IFERROR(INT(MID(metadata!C33,12,1))&lt;=2,FALSE),NOT(MID(metadata!C33,13,1)=""),IFERROR(INT(MID(metadata!C33,12,2))&gt;=0,FALSE),IFERROR(INT(MID(metadata!C33,12,2))&lt;=23,FALSE)), OR(MID(metadata!C33,14,1)="", AND(AND(MID(metadata!C33,14,1)=":",IFERROR(INT(MID(metadata!C33,15,1))&gt;=0,FALSE),IFERROR(INT(MID(metadata!C33,15,1))&lt;=5,FALSE),NOT(MID(metadata!C33,16,1)=""),IFERROR(INT(MID(metadata!C33,15,2))&gt;=0,FALSE),IFERROR(INT(MID(metadata!C33,15,2))&lt;=59,FALSE)), OR(MID(metadata!C33,17,1)="", AND(AND(MID(metadata!C33,17,1)=":",IFERROR(INT(MID(metadata!C33,18,1))&gt;=0,FALSE),IFERROR(INT(MID(metadata!C33,18,1))&lt;=5,FALSE),NOT(MID(metadata!C33,19,1)=""),IFERROR(INT(MID(metadata!C33,18,2))&gt;=0,FALSE),IFERROR(INT(MID(metadata!C33,18,2))&lt;=59,FALSE)), LEN(metadata!C33)&lt;=19)))))))))))))</f>
        <v>0</v>
      </c>
      <c r="AO33" t="b">
        <f>AND(IF(metadata!D33="",FALSE,TRUE),EXACT(metadata!D33,"Not applicable"))</f>
        <v>0</v>
      </c>
      <c r="AP33" t="b">
        <f>IF(metadata!E33="",FALSE,TRUE)</f>
        <v>0</v>
      </c>
      <c r="AQ33" t="b">
        <f>OR(AND(IF(metadata!F33="",FALSE,TRUE),OR(EXACT(metadata!F33,"missing: not collected"),EXACT(metadata!F33,"missing: not provided"))),AND(IF(metadata!F33="",FALSE,TRUE),OR(EXACT(metadata!F33,"TRUE"),EXACT(metadata!F33,"FALSE"))))</f>
        <v>0</v>
      </c>
      <c r="AR33" t="b">
        <f>OR(AND(IF(metadata!G33="",FALSE,TRUE),OR(EXACT(metadata!G33,"missing: not collected"),EXACT(metadata!G33,"missing: not provided"),EXACT(metadata!G33,"missing: restricted access"))),AND(IF(metadata!G33="",FALSE,ISNUMBER(VALUE(metadata!G33))),metadata!G33&gt;=-413))</f>
        <v>0</v>
      </c>
      <c r="AS33" t="b">
        <f>AND(IF(metadata!H33="",FALSE,TRUE),EXACT(metadata!H33,"meters"))</f>
        <v>0</v>
      </c>
      <c r="AT33" t="b">
        <f>AND(IF(metadata!I33="",FALSE,TRUE),OR(EXACT(metadata!I33,"Host-associated"),EXACT(metadata!I33,"Free-living")))</f>
        <v>0</v>
      </c>
      <c r="AU33" t="b">
        <f>AND(IF(metadata!J33="",FALSE,TRUE),OR(EXACT(metadata!J33,"Animal"),EXACT(metadata!J33,"Fungus"),EXACT(metadata!J33,"Plant"),EXACT(metadata!J33,"Saline"),EXACT(metadata!J33,"Non-saline")))</f>
        <v>0</v>
      </c>
      <c r="AV33" t="b">
        <f>AND(IF(metadata!K33="",FALSE,TRUE),OR(EXACT(metadata!K33,"Plant secretion"),EXACT(metadata!K33,"Plant rhizosphere"),EXACT(metadata!K33,"Plant surface"),EXACT(metadata!K33,"Plant corpus"),EXACT(metadata!K33,"Fungus surface"),EXACT(metadata!K33,"Fungus corpus"),EXACT(metadata!K33,"Animal surface"),EXACT(metadata!K33,"Animal proximal gut"),EXACT(metadata!K33,"Animal corpus"),EXACT(metadata!K33,"Animal distal gut"),EXACT(metadata!K33,"Animal secretion"),EXACT(metadata!K33,"Sub-surface (non-saline)"),EXACT(metadata!K33,"Surface (non-saline)"),EXACT(metadata!K33,"Water (non-saline)"),EXACT(metadata!K33,"Soil (non-saline)"),EXACT(metadata!K33,"Aerosol (non-saline)"),EXACT(metadata!K33,"Sediment (non-saline)"),EXACT(metadata!K33,"Surface (saline)"),EXACT(metadata!K33,"Water (saline)"),EXACT(metadata!K33,"Hypersaline (saline)"),EXACT(metadata!K33,"Aerosol (saline)"),EXACT(metadata!K33,"Sediment (saline)")))</f>
        <v>0</v>
      </c>
      <c r="AW33" t="b">
        <f>IF(metadata!L33="",FALSE,TRUE)</f>
        <v>0</v>
      </c>
      <c r="AX33" t="b">
        <f>IF(metadata!M33="",FALSE,TRUE)</f>
        <v>0</v>
      </c>
      <c r="AY33" t="b">
        <f>IF(metadata!N33="",FALSE,TRUE)</f>
        <v>0</v>
      </c>
      <c r="AZ33" t="b">
        <f>OR(AND(IF(metadata!O33="",FALSE,TRUE),OR(EXACT(metadata!O33,"missing: not collected"),EXACT(metadata!O33,"missing: not provided"),EXACT(metadata!O33,"missing: restricted access"))),AND(IF(metadata!O33="",FALSE,TRUE),OR(EXACT(metadata!O33,"air"),EXACT(metadata!O33,"built environment"),EXACT(metadata!O33,"host-associated"),EXACT(metadata!O33,"human-associated"),EXACT(metadata!O33,"human-skin"),EXACT(metadata!O33,"human-oral"),EXACT(metadata!O33,"human-gut"),EXACT(metadata!O33,"human-vaginal"),EXACT(metadata!O33,"microbial mat/biofilm"),EXACT(metadata!O33,"misc environment"),EXACT(metadata!O33,"plant-associated"),EXACT(metadata!O33,"sediment"),EXACT(metadata!O33,"soil"),EXACT(metadata!O33,"wastewater/sludge"),EXACT(metadata!O33,"water"))))</f>
        <v>0</v>
      </c>
      <c r="BA33" t="b">
        <f>IF(metadata!P33="",FALSE,TRUE)</f>
        <v>0</v>
      </c>
      <c r="BB33" t="b">
        <f>IF(metadata!Q33="",FALSE,TRUE)</f>
        <v>0</v>
      </c>
      <c r="BC33" t="b">
        <f>OR(AND(IF(metadata!R33="",FALSE,TRUE),OR(EXACT(metadata!R33,"missing: not collected"),EXACT(metadata!R33,"missing: not provided"),EXACT(metadata!R33,"missing: restricted access"))),AND(IF(metadata!R33="",FALSE,ISNUMBER(VALUE(metadata!R33))),metadata!R33&gt;=-90,metadata!R33&lt;=90))</f>
        <v>0</v>
      </c>
      <c r="BD33" t="b">
        <f>AND(IF(metadata!S33="",FALSE,TRUE),EXACT(metadata!S33,"Decimal degrees"))</f>
        <v>0</v>
      </c>
      <c r="BE33" t="b">
        <f>OR(AND(IF(metadata!T33="",FALSE,TRUE),OR(EXACT(metadata!T33,"missing: not collected"),EXACT(metadata!T33,"missing: not provided"),EXACT(metadata!T33,"missing: restricted access"))),AND(IF(metadata!T33="",FALSE,ISNUMBER(VALUE(metadata!T33))),metadata!T33&gt;=-180,metadata!T33&lt;=180))</f>
        <v>0</v>
      </c>
      <c r="BF33" t="b">
        <f>AND(IF(metadata!U33="",FALSE,TRUE),EXACT(metadata!U33,"Decimal degrees"))</f>
        <v>0</v>
      </c>
      <c r="BG33" t="b">
        <f>IF(metadata!V33="",FALSE,TRUE)</f>
        <v>0</v>
      </c>
      <c r="BH33" t="b">
        <f>OR(AND(IF(metadata!W33="",FALSE,TRUE),OR(EXACT(metadata!W33,"missing: not collected"),EXACT(metadata!W33,"missing: not provided"),EXACT(metadata!W33,"missing: restricted access"))),AND(IF(metadata!W33="",FALSE,TRUE),OR(EXACT(metadata!W33,"TRUE"),EXACT(metadata!W33,"FALSE"))))</f>
        <v>0</v>
      </c>
      <c r="BI33" t="b">
        <f>AND(IF(metadata!X33="",FALSE,TRUE),EXACT(metadata!X33,"other"))</f>
        <v>0</v>
      </c>
      <c r="BJ33" t="b">
        <f>IF(metadata!Y33="",FALSE,TRUE)</f>
        <v>0</v>
      </c>
      <c r="BK33" t="b">
        <f>OR(AND(IF(metadata!Z33="",FALSE,TRUE),OR(EXACT(metadata!Z33,"missing: not collected"),EXACT(metadata!Z33,"missing: not provided"))),AND(IF(metadata!Z33="",FALSE,IF(ISERROR(INT(metadata!Z33)),FALSE,INT(metadata!Z33)=metadata!Z33)),metadata!Z33&gt;0))</f>
        <v>0</v>
      </c>
      <c r="BL33" t="b">
        <f>AND(IF(metadata!AA33="",FALSE,TRUE),EXACT(metadata!AA33,"Not applicable"))</f>
        <v>0</v>
      </c>
      <c r="BM33" t="b">
        <f>IF(metadata!AB33="",FALSE,TRUE)</f>
        <v>0</v>
      </c>
    </row>
    <row r="34" spans="1:65" x14ac:dyDescent="0.2">
      <c r="A34" s="5" t="str">
        <f ca="1">IF(B34=" "," ",HYPERLINK(CONCATENATE("#metadata!",ADDRESS(INDEX($AH$2:$AH$1001,MATCH(ROWS($AF$2:AF34),$AF$2:$AF$1001,0),0),1)),INDEX($AK$2:$AK$1001,MATCH(ROWS($AF$2:AF34),$AF$2:$AF$1001,0),0)))</f>
        <v xml:space="preserve"> </v>
      </c>
      <c r="B34" s="4" t="str">
        <f ca="1">IF(OR(INDEX($AG$2:$AG$1001,MATCH(ROWS($AF$2:AF34),$AF$2:$AF$1001,0),1)&gt;=100000,INDEX($AM$1005:$BM$1005,1,MATCH(COLUMNS($AM$1006:AM1006),$AM$1006:$BM$1006,0))&gt;=100000), " ",IF(INDEX($AM$2:$BM$1001,MATCH(ROWS($AF$2:AF34),$AF$2:$AF$1001,0),MATCH(COLUMNS($AM$1006:AM1006),$AM$1006:$BM$1006,0)), HYPERLINK("#",""), HYPERLINK(CONCATENATE("#metadata!", ADDRESS(INDEX($AH$2:$AH$1001,MATCH(ROWS($AF$2:AF34),$AF$2:$AF$1001,0),0), INDEX($AM$1004:$BM$1004,1,MATCH(COLUMNS($AM$1006:AM1006),$AM$1006:$BM$1006,0)))),"Fix")))</f>
        <v xml:space="preserve"> </v>
      </c>
      <c r="C34" s="4" t="str">
        <f ca="1">IF(OR(INDEX($AG$2:$AG$1001,MATCH(ROWS($AF$2:AF34),$AF$2:$AF$1001,0),1)&gt;=100000,INDEX($AM$1005:$BM$1005,1,MATCH(COLUMNS($AM$1006:AN1006),$AM$1006:$BM$1006,0))&gt;=100000), " ",IF(INDEX($AM$2:$BM$1001,MATCH(ROWS($AF$2:AF34),$AF$2:$AF$1001,0),MATCH(COLUMNS($AM$1006:AN1006),$AM$1006:$BM$1006,0)), HYPERLINK("#",""), HYPERLINK(CONCATENATE("#metadata!", ADDRESS(INDEX($AH$2:$AH$1001,MATCH(ROWS($AF$2:AF34),$AF$2:$AF$1001,0),0), INDEX($AM$1004:$BM$1004,1,MATCH(COLUMNS($AM$1006:AN1006),$AM$1006:$BM$1006,0)))),"Fix")))</f>
        <v xml:space="preserve"> </v>
      </c>
      <c r="D34" s="4" t="str">
        <f ca="1">IF(OR(INDEX($AG$2:$AG$1001,MATCH(ROWS($AF$2:AF34),$AF$2:$AF$1001,0),1)&gt;=100000,INDEX($AM$1005:$BM$1005,1,MATCH(COLUMNS($AM$1006:AO1006),$AM$1006:$BM$1006,0))&gt;=100000), " ",IF(INDEX($AM$2:$BM$1001,MATCH(ROWS($AF$2:AF34),$AF$2:$AF$1001,0),MATCH(COLUMNS($AM$1006:AO1006),$AM$1006:$BM$1006,0)), HYPERLINK("#",""), HYPERLINK(CONCATENATE("#metadata!", ADDRESS(INDEX($AH$2:$AH$1001,MATCH(ROWS($AF$2:AF34),$AF$2:$AF$1001,0),0), INDEX($AM$1004:$BM$1004,1,MATCH(COLUMNS($AM$1006:AO1006),$AM$1006:$BM$1006,0)))),"Fix")))</f>
        <v xml:space="preserve"> </v>
      </c>
      <c r="E34" s="4" t="str">
        <f ca="1">IF(OR(INDEX($AG$2:$AG$1001,MATCH(ROWS($AF$2:AF34),$AF$2:$AF$1001,0),1)&gt;=100000,INDEX($AM$1005:$BM$1005,1,MATCH(COLUMNS($AM$1006:AP1006),$AM$1006:$BM$1006,0))&gt;=100000), " ",IF(INDEX($AM$2:$BM$1001,MATCH(ROWS($AF$2:AF34),$AF$2:$AF$1001,0),MATCH(COLUMNS($AM$1006:AP1006),$AM$1006:$BM$1006,0)), HYPERLINK("#",""), HYPERLINK(CONCATENATE("#metadata!", ADDRESS(INDEX($AH$2:$AH$1001,MATCH(ROWS($AF$2:AF34),$AF$2:$AF$1001,0),0), INDEX($AM$1004:$BM$1004,1,MATCH(COLUMNS($AM$1006:AP1006),$AM$1006:$BM$1006,0)))),"Fix")))</f>
        <v xml:space="preserve"> </v>
      </c>
      <c r="F34" s="4" t="str">
        <f ca="1">IF(OR(INDEX($AG$2:$AG$1001,MATCH(ROWS($AF$2:AF34),$AF$2:$AF$1001,0),1)&gt;=100000,INDEX($AM$1005:$BM$1005,1,MATCH(COLUMNS($AM$1006:AQ1006),$AM$1006:$BM$1006,0))&gt;=100000), " ",IF(INDEX($AM$2:$BM$1001,MATCH(ROWS($AF$2:AF34),$AF$2:$AF$1001,0),MATCH(COLUMNS($AM$1006:AQ1006),$AM$1006:$BM$1006,0)), HYPERLINK("#",""), HYPERLINK(CONCATENATE("#metadata!", ADDRESS(INDEX($AH$2:$AH$1001,MATCH(ROWS($AF$2:AF34),$AF$2:$AF$1001,0),0), INDEX($AM$1004:$BM$1004,1,MATCH(COLUMNS($AM$1006:AQ1006),$AM$1006:$BM$1006,0)))),"Fix")))</f>
        <v xml:space="preserve"> </v>
      </c>
      <c r="G34" s="4" t="str">
        <f ca="1">IF(OR(INDEX($AG$2:$AG$1001,MATCH(ROWS($AF$2:AF34),$AF$2:$AF$1001,0),1)&gt;=100000,INDEX($AM$1005:$BM$1005,1,MATCH(COLUMNS($AM$1006:AR1006),$AM$1006:$BM$1006,0))&gt;=100000), " ",IF(INDEX($AM$2:$BM$1001,MATCH(ROWS($AF$2:AF34),$AF$2:$AF$1001,0),MATCH(COLUMNS($AM$1006:AR1006),$AM$1006:$BM$1006,0)), HYPERLINK("#",""), HYPERLINK(CONCATENATE("#metadata!", ADDRESS(INDEX($AH$2:$AH$1001,MATCH(ROWS($AF$2:AF34),$AF$2:$AF$1001,0),0), INDEX($AM$1004:$BM$1004,1,MATCH(COLUMNS($AM$1006:AR1006),$AM$1006:$BM$1006,0)))),"Fix")))</f>
        <v xml:space="preserve"> </v>
      </c>
      <c r="H34" s="4" t="str">
        <f ca="1">IF(OR(INDEX($AG$2:$AG$1001,MATCH(ROWS($AF$2:AF34),$AF$2:$AF$1001,0),1)&gt;=100000,INDEX($AM$1005:$BM$1005,1,MATCH(COLUMNS($AM$1006:AS1006),$AM$1006:$BM$1006,0))&gt;=100000), " ",IF(INDEX($AM$2:$BM$1001,MATCH(ROWS($AF$2:AF34),$AF$2:$AF$1001,0),MATCH(COLUMNS($AM$1006:AS1006),$AM$1006:$BM$1006,0)), HYPERLINK("#",""), HYPERLINK(CONCATENATE("#metadata!", ADDRESS(INDEX($AH$2:$AH$1001,MATCH(ROWS($AF$2:AF34),$AF$2:$AF$1001,0),0), INDEX($AM$1004:$BM$1004,1,MATCH(COLUMNS($AM$1006:AS1006),$AM$1006:$BM$1006,0)))),"Fix")))</f>
        <v xml:space="preserve"> </v>
      </c>
      <c r="I34" s="4" t="str">
        <f ca="1">IF(OR(INDEX($AG$2:$AG$1001,MATCH(ROWS($AF$2:AF34),$AF$2:$AF$1001,0),1)&gt;=100000,INDEX($AM$1005:$BM$1005,1,MATCH(COLUMNS($AM$1006:AT1006),$AM$1006:$BM$1006,0))&gt;=100000), " ",IF(INDEX($AM$2:$BM$1001,MATCH(ROWS($AF$2:AF34),$AF$2:$AF$1001,0),MATCH(COLUMNS($AM$1006:AT1006),$AM$1006:$BM$1006,0)), HYPERLINK("#",""), HYPERLINK(CONCATENATE("#metadata!", ADDRESS(INDEX($AH$2:$AH$1001,MATCH(ROWS($AF$2:AF34),$AF$2:$AF$1001,0),0), INDEX($AM$1004:$BM$1004,1,MATCH(COLUMNS($AM$1006:AT1006),$AM$1006:$BM$1006,0)))),"Fix")))</f>
        <v xml:space="preserve"> </v>
      </c>
      <c r="J34" s="4" t="str">
        <f ca="1">IF(OR(INDEX($AG$2:$AG$1001,MATCH(ROWS($AF$2:AF34),$AF$2:$AF$1001,0),1)&gt;=100000,INDEX($AM$1005:$BM$1005,1,MATCH(COLUMNS($AM$1006:AU1006),$AM$1006:$BM$1006,0))&gt;=100000), " ",IF(INDEX($AM$2:$BM$1001,MATCH(ROWS($AF$2:AF34),$AF$2:$AF$1001,0),MATCH(COLUMNS($AM$1006:AU1006),$AM$1006:$BM$1006,0)), HYPERLINK("#",""), HYPERLINK(CONCATENATE("#metadata!", ADDRESS(INDEX($AH$2:$AH$1001,MATCH(ROWS($AF$2:AF34),$AF$2:$AF$1001,0),0), INDEX($AM$1004:$BM$1004,1,MATCH(COLUMNS($AM$1006:AU1006),$AM$1006:$BM$1006,0)))),"Fix")))</f>
        <v xml:space="preserve"> </v>
      </c>
      <c r="K34" s="4" t="str">
        <f ca="1">IF(OR(INDEX($AG$2:$AG$1001,MATCH(ROWS($AF$2:AF34),$AF$2:$AF$1001,0),1)&gt;=100000,INDEX($AM$1005:$BM$1005,1,MATCH(COLUMNS($AM$1006:AV1006),$AM$1006:$BM$1006,0))&gt;=100000), " ",IF(INDEX($AM$2:$BM$1001,MATCH(ROWS($AF$2:AF34),$AF$2:$AF$1001,0),MATCH(COLUMNS($AM$1006:AV1006),$AM$1006:$BM$1006,0)), HYPERLINK("#",""), HYPERLINK(CONCATENATE("#metadata!", ADDRESS(INDEX($AH$2:$AH$1001,MATCH(ROWS($AF$2:AF34),$AF$2:$AF$1001,0),0), INDEX($AM$1004:$BM$1004,1,MATCH(COLUMNS($AM$1006:AV1006),$AM$1006:$BM$1006,0)))),"Fix")))</f>
        <v xml:space="preserve"> </v>
      </c>
      <c r="L34" s="4" t="str">
        <f ca="1">IF(OR(INDEX($AG$2:$AG$1001,MATCH(ROWS($AF$2:AF34),$AF$2:$AF$1001,0),1)&gt;=100000,INDEX($AM$1005:$BM$1005,1,MATCH(COLUMNS($AM$1006:AW1006),$AM$1006:$BM$1006,0))&gt;=100000), " ",IF(INDEX($AM$2:$BM$1001,MATCH(ROWS($AF$2:AF34),$AF$2:$AF$1001,0),MATCH(COLUMNS($AM$1006:AW1006),$AM$1006:$BM$1006,0)), HYPERLINK("#",""), HYPERLINK(CONCATENATE("#metadata!", ADDRESS(INDEX($AH$2:$AH$1001,MATCH(ROWS($AF$2:AF34),$AF$2:$AF$1001,0),0), INDEX($AM$1004:$BM$1004,1,MATCH(COLUMNS($AM$1006:AW1006),$AM$1006:$BM$1006,0)))),"Fix")))</f>
        <v xml:space="preserve"> </v>
      </c>
      <c r="M34" s="4" t="str">
        <f ca="1">IF(OR(INDEX($AG$2:$AG$1001,MATCH(ROWS($AF$2:AF34),$AF$2:$AF$1001,0),1)&gt;=100000,INDEX($AM$1005:$BM$1005,1,MATCH(COLUMNS($AM$1006:AX1006),$AM$1006:$BM$1006,0))&gt;=100000), " ",IF(INDEX($AM$2:$BM$1001,MATCH(ROWS($AF$2:AF34),$AF$2:$AF$1001,0),MATCH(COLUMNS($AM$1006:AX1006),$AM$1006:$BM$1006,0)), HYPERLINK("#",""), HYPERLINK(CONCATENATE("#metadata!", ADDRESS(INDEX($AH$2:$AH$1001,MATCH(ROWS($AF$2:AF34),$AF$2:$AF$1001,0),0), INDEX($AM$1004:$BM$1004,1,MATCH(COLUMNS($AM$1006:AX1006),$AM$1006:$BM$1006,0)))),"Fix")))</f>
        <v xml:space="preserve"> </v>
      </c>
      <c r="N34" s="4" t="str">
        <f ca="1">IF(OR(INDEX($AG$2:$AG$1001,MATCH(ROWS($AF$2:AF34),$AF$2:$AF$1001,0),1)&gt;=100000,INDEX($AM$1005:$BM$1005,1,MATCH(COLUMNS($AM$1006:AY1006),$AM$1006:$BM$1006,0))&gt;=100000), " ",IF(INDEX($AM$2:$BM$1001,MATCH(ROWS($AF$2:AF34),$AF$2:$AF$1001,0),MATCH(COLUMNS($AM$1006:AY1006),$AM$1006:$BM$1006,0)), HYPERLINK("#",""), HYPERLINK(CONCATENATE("#metadata!", ADDRESS(INDEX($AH$2:$AH$1001,MATCH(ROWS($AF$2:AF34),$AF$2:$AF$1001,0),0), INDEX($AM$1004:$BM$1004,1,MATCH(COLUMNS($AM$1006:AY1006),$AM$1006:$BM$1006,0)))),"Fix")))</f>
        <v xml:space="preserve"> </v>
      </c>
      <c r="O34" s="4" t="str">
        <f ca="1">IF(OR(INDEX($AG$2:$AG$1001,MATCH(ROWS($AF$2:AF34),$AF$2:$AF$1001,0),1)&gt;=100000,INDEX($AM$1005:$BM$1005,1,MATCH(COLUMNS($AM$1006:AZ1006),$AM$1006:$BM$1006,0))&gt;=100000), " ",IF(INDEX($AM$2:$BM$1001,MATCH(ROWS($AF$2:AF34),$AF$2:$AF$1001,0),MATCH(COLUMNS($AM$1006:AZ1006),$AM$1006:$BM$1006,0)), HYPERLINK("#",""), HYPERLINK(CONCATENATE("#metadata!", ADDRESS(INDEX($AH$2:$AH$1001,MATCH(ROWS($AF$2:AF34),$AF$2:$AF$1001,0),0), INDEX($AM$1004:$BM$1004,1,MATCH(COLUMNS($AM$1006:AZ1006),$AM$1006:$BM$1006,0)))),"Fix")))</f>
        <v xml:space="preserve"> </v>
      </c>
      <c r="P34" s="4" t="str">
        <f ca="1">IF(OR(INDEX($AG$2:$AG$1001,MATCH(ROWS($AF$2:AF34),$AF$2:$AF$1001,0),1)&gt;=100000,INDEX($AM$1005:$BM$1005,1,MATCH(COLUMNS($AM$1006:BA1006),$AM$1006:$BM$1006,0))&gt;=100000), " ",IF(INDEX($AM$2:$BM$1001,MATCH(ROWS($AF$2:AF34),$AF$2:$AF$1001,0),MATCH(COLUMNS($AM$1006:BA1006),$AM$1006:$BM$1006,0)), HYPERLINK("#",""), HYPERLINK(CONCATENATE("#metadata!", ADDRESS(INDEX($AH$2:$AH$1001,MATCH(ROWS($AF$2:AF34),$AF$2:$AF$1001,0),0), INDEX($AM$1004:$BM$1004,1,MATCH(COLUMNS($AM$1006:BA1006),$AM$1006:$BM$1006,0)))),"Fix")))</f>
        <v xml:space="preserve"> </v>
      </c>
      <c r="Q34" s="4" t="str">
        <f ca="1">IF(OR(INDEX($AG$2:$AG$1001,MATCH(ROWS($AF$2:AF34),$AF$2:$AF$1001,0),1)&gt;=100000,INDEX($AM$1005:$BM$1005,1,MATCH(COLUMNS($AM$1006:BB1006),$AM$1006:$BM$1006,0))&gt;=100000), " ",IF(INDEX($AM$2:$BM$1001,MATCH(ROWS($AF$2:AF34),$AF$2:$AF$1001,0),MATCH(COLUMNS($AM$1006:BB1006),$AM$1006:$BM$1006,0)), HYPERLINK("#",""), HYPERLINK(CONCATENATE("#metadata!", ADDRESS(INDEX($AH$2:$AH$1001,MATCH(ROWS($AF$2:AF34),$AF$2:$AF$1001,0),0), INDEX($AM$1004:$BM$1004,1,MATCH(COLUMNS($AM$1006:BB1006),$AM$1006:$BM$1006,0)))),"Fix")))</f>
        <v xml:space="preserve"> </v>
      </c>
      <c r="R34" s="4" t="str">
        <f ca="1">IF(OR(INDEX($AG$2:$AG$1001,MATCH(ROWS($AF$2:AF34),$AF$2:$AF$1001,0),1)&gt;=100000,INDEX($AM$1005:$BM$1005,1,MATCH(COLUMNS($AM$1006:BC1006),$AM$1006:$BM$1006,0))&gt;=100000), " ",IF(INDEX($AM$2:$BM$1001,MATCH(ROWS($AF$2:AF34),$AF$2:$AF$1001,0),MATCH(COLUMNS($AM$1006:BC1006),$AM$1006:$BM$1006,0)), HYPERLINK("#",""), HYPERLINK(CONCATENATE("#metadata!", ADDRESS(INDEX($AH$2:$AH$1001,MATCH(ROWS($AF$2:AF34),$AF$2:$AF$1001,0),0), INDEX($AM$1004:$BM$1004,1,MATCH(COLUMNS($AM$1006:BC1006),$AM$1006:$BM$1006,0)))),"Fix")))</f>
        <v xml:space="preserve"> </v>
      </c>
      <c r="S34" s="4" t="str">
        <f ca="1">IF(OR(INDEX($AG$2:$AG$1001,MATCH(ROWS($AF$2:AF34),$AF$2:$AF$1001,0),1)&gt;=100000,INDEX($AM$1005:$BM$1005,1,MATCH(COLUMNS($AM$1006:BD1006),$AM$1006:$BM$1006,0))&gt;=100000), " ",IF(INDEX($AM$2:$BM$1001,MATCH(ROWS($AF$2:AF34),$AF$2:$AF$1001,0),MATCH(COLUMNS($AM$1006:BD1006),$AM$1006:$BM$1006,0)), HYPERLINK("#",""), HYPERLINK(CONCATENATE("#metadata!", ADDRESS(INDEX($AH$2:$AH$1001,MATCH(ROWS($AF$2:AF34),$AF$2:$AF$1001,0),0), INDEX($AM$1004:$BM$1004,1,MATCH(COLUMNS($AM$1006:BD1006),$AM$1006:$BM$1006,0)))),"Fix")))</f>
        <v xml:space="preserve"> </v>
      </c>
      <c r="T34" s="4" t="str">
        <f ca="1">IF(OR(INDEX($AG$2:$AG$1001,MATCH(ROWS($AF$2:AF34),$AF$2:$AF$1001,0),1)&gt;=100000,INDEX($AM$1005:$BM$1005,1,MATCH(COLUMNS($AM$1006:BE1006),$AM$1006:$BM$1006,0))&gt;=100000), " ",IF(INDEX($AM$2:$BM$1001,MATCH(ROWS($AF$2:AF34),$AF$2:$AF$1001,0),MATCH(COLUMNS($AM$1006:BE1006),$AM$1006:$BM$1006,0)), HYPERLINK("#",""), HYPERLINK(CONCATENATE("#metadata!", ADDRESS(INDEX($AH$2:$AH$1001,MATCH(ROWS($AF$2:AF34),$AF$2:$AF$1001,0),0), INDEX($AM$1004:$BM$1004,1,MATCH(COLUMNS($AM$1006:BE1006),$AM$1006:$BM$1006,0)))),"Fix")))</f>
        <v xml:space="preserve"> </v>
      </c>
      <c r="U34" s="4" t="str">
        <f ca="1">IF(OR(INDEX($AG$2:$AG$1001,MATCH(ROWS($AF$2:AF34),$AF$2:$AF$1001,0),1)&gt;=100000,INDEX($AM$1005:$BM$1005,1,MATCH(COLUMNS($AM$1006:BF1006),$AM$1006:$BM$1006,0))&gt;=100000), " ",IF(INDEX($AM$2:$BM$1001,MATCH(ROWS($AF$2:AF34),$AF$2:$AF$1001,0),MATCH(COLUMNS($AM$1006:BF1006),$AM$1006:$BM$1006,0)), HYPERLINK("#",""), HYPERLINK(CONCATENATE("#metadata!", ADDRESS(INDEX($AH$2:$AH$1001,MATCH(ROWS($AF$2:AF34),$AF$2:$AF$1001,0),0), INDEX($AM$1004:$BM$1004,1,MATCH(COLUMNS($AM$1006:BF1006),$AM$1006:$BM$1006,0)))),"Fix")))</f>
        <v xml:space="preserve"> </v>
      </c>
      <c r="V34" s="4" t="str">
        <f ca="1">IF(OR(INDEX($AG$2:$AG$1001,MATCH(ROWS($AF$2:AF34),$AF$2:$AF$1001,0),1)&gt;=100000,INDEX($AM$1005:$BM$1005,1,MATCH(COLUMNS($AM$1006:BG1006),$AM$1006:$BM$1006,0))&gt;=100000), " ",IF(INDEX($AM$2:$BM$1001,MATCH(ROWS($AF$2:AF34),$AF$2:$AF$1001,0),MATCH(COLUMNS($AM$1006:BG1006),$AM$1006:$BM$1006,0)), HYPERLINK("#",""), HYPERLINK(CONCATENATE("#metadata!", ADDRESS(INDEX($AH$2:$AH$1001,MATCH(ROWS($AF$2:AF34),$AF$2:$AF$1001,0),0), INDEX($AM$1004:$BM$1004,1,MATCH(COLUMNS($AM$1006:BG1006),$AM$1006:$BM$1006,0)))),"Fix")))</f>
        <v xml:space="preserve"> </v>
      </c>
      <c r="W34" s="4" t="str">
        <f ca="1">IF(OR(INDEX($AG$2:$AG$1001,MATCH(ROWS($AF$2:AF34),$AF$2:$AF$1001,0),1)&gt;=100000,INDEX($AM$1005:$BM$1005,1,MATCH(COLUMNS($AM$1006:BH1006),$AM$1006:$BM$1006,0))&gt;=100000), " ",IF(INDEX($AM$2:$BM$1001,MATCH(ROWS($AF$2:AF34),$AF$2:$AF$1001,0),MATCH(COLUMNS($AM$1006:BH1006),$AM$1006:$BM$1006,0)), HYPERLINK("#",""), HYPERLINK(CONCATENATE("#metadata!", ADDRESS(INDEX($AH$2:$AH$1001,MATCH(ROWS($AF$2:AF34),$AF$2:$AF$1001,0),0), INDEX($AM$1004:$BM$1004,1,MATCH(COLUMNS($AM$1006:BH1006),$AM$1006:$BM$1006,0)))),"Fix")))</f>
        <v xml:space="preserve"> </v>
      </c>
      <c r="X34" s="4" t="str">
        <f ca="1">IF(OR(INDEX($AG$2:$AG$1001,MATCH(ROWS($AF$2:AF34),$AF$2:$AF$1001,0),1)&gt;=100000,INDEX($AM$1005:$BM$1005,1,MATCH(COLUMNS($AM$1006:BI1006),$AM$1006:$BM$1006,0))&gt;=100000), " ",IF(INDEX($AM$2:$BM$1001,MATCH(ROWS($AF$2:AF34),$AF$2:$AF$1001,0),MATCH(COLUMNS($AM$1006:BI1006),$AM$1006:$BM$1006,0)), HYPERLINK("#",""), HYPERLINK(CONCATENATE("#metadata!", ADDRESS(INDEX($AH$2:$AH$1001,MATCH(ROWS($AF$2:AF34),$AF$2:$AF$1001,0),0), INDEX($AM$1004:$BM$1004,1,MATCH(COLUMNS($AM$1006:BI1006),$AM$1006:$BM$1006,0)))),"Fix")))</f>
        <v xml:space="preserve"> </v>
      </c>
      <c r="Y34" s="4" t="str">
        <f ca="1">IF(OR(INDEX($AG$2:$AG$1001,MATCH(ROWS($AF$2:AF34),$AF$2:$AF$1001,0),1)&gt;=100000,INDEX($AM$1005:$BM$1005,1,MATCH(COLUMNS($AM$1006:BJ1006),$AM$1006:$BM$1006,0))&gt;=100000), " ",IF(INDEX($AM$2:$BM$1001,MATCH(ROWS($AF$2:AF34),$AF$2:$AF$1001,0),MATCH(COLUMNS($AM$1006:BJ1006),$AM$1006:$BM$1006,0)), HYPERLINK("#",""), HYPERLINK(CONCATENATE("#metadata!", ADDRESS(INDEX($AH$2:$AH$1001,MATCH(ROWS($AF$2:AF34),$AF$2:$AF$1001,0),0), INDEX($AM$1004:$BM$1004,1,MATCH(COLUMNS($AM$1006:BJ1006),$AM$1006:$BM$1006,0)))),"Fix")))</f>
        <v xml:space="preserve"> </v>
      </c>
      <c r="Z34" s="4" t="str">
        <f ca="1">IF(OR(INDEX($AG$2:$AG$1001,MATCH(ROWS($AF$2:AF34),$AF$2:$AF$1001,0),1)&gt;=100000,INDEX($AM$1005:$BM$1005,1,MATCH(COLUMNS($AM$1006:BK1006),$AM$1006:$BM$1006,0))&gt;=100000), " ",IF(INDEX($AM$2:$BM$1001,MATCH(ROWS($AF$2:AF34),$AF$2:$AF$1001,0),MATCH(COLUMNS($AM$1006:BK1006),$AM$1006:$BM$1006,0)), HYPERLINK("#",""), HYPERLINK(CONCATENATE("#metadata!", ADDRESS(INDEX($AH$2:$AH$1001,MATCH(ROWS($AF$2:AF34),$AF$2:$AF$1001,0),0), INDEX($AM$1004:$BM$1004,1,MATCH(COLUMNS($AM$1006:BK1006),$AM$1006:$BM$1006,0)))),"Fix")))</f>
        <v xml:space="preserve"> </v>
      </c>
      <c r="AA34" s="4" t="str">
        <f ca="1">IF(OR(INDEX($AG$2:$AG$1001,MATCH(ROWS($AF$2:AF34),$AF$2:$AF$1001,0),1)&gt;=100000,INDEX($AM$1005:$BM$1005,1,MATCH(COLUMNS($AM$1006:BL1006),$AM$1006:$BM$1006,0))&gt;=100000), " ",IF(INDEX($AM$2:$BM$1001,MATCH(ROWS($AF$2:AF34),$AF$2:$AF$1001,0),MATCH(COLUMNS($AM$1006:BL1006),$AM$1006:$BM$1006,0)), HYPERLINK("#",""), HYPERLINK(CONCATENATE("#metadata!", ADDRESS(INDEX($AH$2:$AH$1001,MATCH(ROWS($AF$2:AF34),$AF$2:$AF$1001,0),0), INDEX($AM$1004:$BM$1004,1,MATCH(COLUMNS($AM$1006:BL1006),$AM$1006:$BM$1006,0)))),"Fix")))</f>
        <v xml:space="preserve"> </v>
      </c>
      <c r="AB34" s="4" t="str">
        <f ca="1">IF(OR(INDEX($AG$2:$AG$1001,MATCH(ROWS($AF$2:AF34),$AF$2:$AF$1001,0),1)&gt;=100000,INDEX($AM$1005:$BM$1005,1,MATCH(COLUMNS($AM$1006:BM1006),$AM$1006:$BM$1006,0))&gt;=100000), " ",IF(INDEX($AM$2:$BM$1001,MATCH(ROWS($AF$2:AF34),$AF$2:$AF$1001,0),MATCH(COLUMNS($AM$1006:BM1006),$AM$1006:$BM$1006,0)), HYPERLINK("#",""), HYPERLINK(CONCATENATE("#metadata!", ADDRESS(INDEX($AH$2:$AH$1001,MATCH(ROWS($AF$2:AF34),$AF$2:$AF$1001,0),0), INDEX($AM$1004:$BM$1004,1,MATCH(COLUMNS($AM$1006:BM1006),$AM$1006:$BM$1006,0)))),"Fix")))</f>
        <v xml:space="preserve"> </v>
      </c>
      <c r="AF34">
        <v>33</v>
      </c>
      <c r="AG34">
        <v>100034</v>
      </c>
      <c r="AH34">
        <v>34</v>
      </c>
      <c r="AI34" t="b">
        <f t="shared" si="0"/>
        <v>1</v>
      </c>
      <c r="AJ34" t="b">
        <f>COUNTBLANK(metadata!B34:AB34)=COLUMNS(metadata!B34:AB34)</f>
        <v>1</v>
      </c>
      <c r="AK34" t="str">
        <v/>
      </c>
      <c r="AM34" t="b">
        <f ca="1">AND(IF(metadata!B34="",FALSE,TRUE),COUNTIF(metadata!B:B, metadata!B34) = 1,NOT(ISERROR(SUMPRODUCT(SEARCH(MID(metadata!B34,ROW(INDIRECT("1:"&amp;LEN(metadata!B34))), 1),"0123456789abcdefghijklmnopqrstuvwxyzABCDEFGHIJKLMNOPQRSTUVWXYZ.")))))</f>
        <v>0</v>
      </c>
      <c r="AN34" t="b">
        <f ca="1">OR(AND(IF(metadata!C34="",FALSE,TRUE),OR(EXACT(metadata!C34,"missing: not collected"),EXACT(metadata!C34,"missing: not provided"),EXACT(metadata!C34,"missing: restricted access"))),AND(IF(metadata!C34="",FALSE,TRUE),AND(AND(IFERROR(INT(LEFT(metadata!C34,4))&gt;1900,FALSE),IFERROR(INT(LEFT(metadata!C34,4))&lt;=YEAR(NOW()),FALSE)), OR(MID(metadata!C34,5,1)="", AND(AND(MID(metadata!C34,5,1)="-",IFERROR(INT(MID(metadata!C34,6,1))&gt;=0,FALSE),IFERROR(INT(MID(metadata!C34,6,1))&lt;=1,FALSE),NOT(MID(metadata!C34,7,1)=""),IFERROR(INT(MID(metadata!C34,6,2))&gt;=1,FALSE),IFERROR(INT(MID(metadata!C34,6,2))&lt;=12,FALSE)), OR(MID(metadata!C34,8,1)="", AND(AND(MID(metadata!C34,8,1)="-",IFERROR(INT(MID(metadata!C34,9,1))&gt;=0,FALSE),IFERROR(INT(MID(metadata!C34,9,1))&lt;=3,FALSE),NOT(MID(metadata!C34,10,1)=""),IFERROR(INT(MID(metadata!C34,9,2))&gt;=1,FALSE),IFERROR(INT(MID(metadata!C34,9,2))&lt;=31,FALSE)), OR(MID(metadata!C34,11,1)="", AND(AND(MID(metadata!C34,11,1)=" ",IFERROR(INT(MID(metadata!C34,12,1))&gt;=0,FALSE),IFERROR(INT(MID(metadata!C34,12,1))&lt;=2,FALSE),NOT(MID(metadata!C34,13,1)=""),IFERROR(INT(MID(metadata!C34,12,2))&gt;=0,FALSE),IFERROR(INT(MID(metadata!C34,12,2))&lt;=23,FALSE)), OR(MID(metadata!C34,14,1)="", AND(AND(MID(metadata!C34,14,1)=":",IFERROR(INT(MID(metadata!C34,15,1))&gt;=0,FALSE),IFERROR(INT(MID(metadata!C34,15,1))&lt;=5,FALSE),NOT(MID(metadata!C34,16,1)=""),IFERROR(INT(MID(metadata!C34,15,2))&gt;=0,FALSE),IFERROR(INT(MID(metadata!C34,15,2))&lt;=59,FALSE)), OR(MID(metadata!C34,17,1)="", AND(AND(MID(metadata!C34,17,1)=":",IFERROR(INT(MID(metadata!C34,18,1))&gt;=0,FALSE),IFERROR(INT(MID(metadata!C34,18,1))&lt;=5,FALSE),NOT(MID(metadata!C34,19,1)=""),IFERROR(INT(MID(metadata!C34,18,2))&gt;=0,FALSE),IFERROR(INT(MID(metadata!C34,18,2))&lt;=59,FALSE)), LEN(metadata!C34)&lt;=19)))))))))))))</f>
        <v>0</v>
      </c>
      <c r="AO34" t="b">
        <f>AND(IF(metadata!D34="",FALSE,TRUE),EXACT(metadata!D34,"Not applicable"))</f>
        <v>0</v>
      </c>
      <c r="AP34" t="b">
        <f>IF(metadata!E34="",FALSE,TRUE)</f>
        <v>0</v>
      </c>
      <c r="AQ34" t="b">
        <f>OR(AND(IF(metadata!F34="",FALSE,TRUE),OR(EXACT(metadata!F34,"missing: not collected"),EXACT(metadata!F34,"missing: not provided"))),AND(IF(metadata!F34="",FALSE,TRUE),OR(EXACT(metadata!F34,"TRUE"),EXACT(metadata!F34,"FALSE"))))</f>
        <v>0</v>
      </c>
      <c r="AR34" t="b">
        <f>OR(AND(IF(metadata!G34="",FALSE,TRUE),OR(EXACT(metadata!G34,"missing: not collected"),EXACT(metadata!G34,"missing: not provided"),EXACT(metadata!G34,"missing: restricted access"))),AND(IF(metadata!G34="",FALSE,ISNUMBER(VALUE(metadata!G34))),metadata!G34&gt;=-413))</f>
        <v>0</v>
      </c>
      <c r="AS34" t="b">
        <f>AND(IF(metadata!H34="",FALSE,TRUE),EXACT(metadata!H34,"meters"))</f>
        <v>0</v>
      </c>
      <c r="AT34" t="b">
        <f>AND(IF(metadata!I34="",FALSE,TRUE),OR(EXACT(metadata!I34,"Host-associated"),EXACT(metadata!I34,"Free-living")))</f>
        <v>0</v>
      </c>
      <c r="AU34" t="b">
        <f>AND(IF(metadata!J34="",FALSE,TRUE),OR(EXACT(metadata!J34,"Animal"),EXACT(metadata!J34,"Fungus"),EXACT(metadata!J34,"Plant"),EXACT(metadata!J34,"Saline"),EXACT(metadata!J34,"Non-saline")))</f>
        <v>0</v>
      </c>
      <c r="AV34" t="b">
        <f>AND(IF(metadata!K34="",FALSE,TRUE),OR(EXACT(metadata!K34,"Plant secretion"),EXACT(metadata!K34,"Plant rhizosphere"),EXACT(metadata!K34,"Plant surface"),EXACT(metadata!K34,"Plant corpus"),EXACT(metadata!K34,"Fungus surface"),EXACT(metadata!K34,"Fungus corpus"),EXACT(metadata!K34,"Animal surface"),EXACT(metadata!K34,"Animal proximal gut"),EXACT(metadata!K34,"Animal corpus"),EXACT(metadata!K34,"Animal distal gut"),EXACT(metadata!K34,"Animal secretion"),EXACT(metadata!K34,"Sub-surface (non-saline)"),EXACT(metadata!K34,"Surface (non-saline)"),EXACT(metadata!K34,"Water (non-saline)"),EXACT(metadata!K34,"Soil (non-saline)"),EXACT(metadata!K34,"Aerosol (non-saline)"),EXACT(metadata!K34,"Sediment (non-saline)"),EXACT(metadata!K34,"Surface (saline)"),EXACT(metadata!K34,"Water (saline)"),EXACT(metadata!K34,"Hypersaline (saline)"),EXACT(metadata!K34,"Aerosol (saline)"),EXACT(metadata!K34,"Sediment (saline)")))</f>
        <v>0</v>
      </c>
      <c r="AW34" t="b">
        <f>IF(metadata!L34="",FALSE,TRUE)</f>
        <v>0</v>
      </c>
      <c r="AX34" t="b">
        <f>IF(metadata!M34="",FALSE,TRUE)</f>
        <v>0</v>
      </c>
      <c r="AY34" t="b">
        <f>IF(metadata!N34="",FALSE,TRUE)</f>
        <v>0</v>
      </c>
      <c r="AZ34" t="b">
        <f>OR(AND(IF(metadata!O34="",FALSE,TRUE),OR(EXACT(metadata!O34,"missing: not collected"),EXACT(metadata!O34,"missing: not provided"),EXACT(metadata!O34,"missing: restricted access"))),AND(IF(metadata!O34="",FALSE,TRUE),OR(EXACT(metadata!O34,"air"),EXACT(metadata!O34,"built environment"),EXACT(metadata!O34,"host-associated"),EXACT(metadata!O34,"human-associated"),EXACT(metadata!O34,"human-skin"),EXACT(metadata!O34,"human-oral"),EXACT(metadata!O34,"human-gut"),EXACT(metadata!O34,"human-vaginal"),EXACT(metadata!O34,"microbial mat/biofilm"),EXACT(metadata!O34,"misc environment"),EXACT(metadata!O34,"plant-associated"),EXACT(metadata!O34,"sediment"),EXACT(metadata!O34,"soil"),EXACT(metadata!O34,"wastewater/sludge"),EXACT(metadata!O34,"water"))))</f>
        <v>0</v>
      </c>
      <c r="BA34" t="b">
        <f>IF(metadata!P34="",FALSE,TRUE)</f>
        <v>0</v>
      </c>
      <c r="BB34" t="b">
        <f>IF(metadata!Q34="",FALSE,TRUE)</f>
        <v>0</v>
      </c>
      <c r="BC34" t="b">
        <f>OR(AND(IF(metadata!R34="",FALSE,TRUE),OR(EXACT(metadata!R34,"missing: not collected"),EXACT(metadata!R34,"missing: not provided"),EXACT(metadata!R34,"missing: restricted access"))),AND(IF(metadata!R34="",FALSE,ISNUMBER(VALUE(metadata!R34))),metadata!R34&gt;=-90,metadata!R34&lt;=90))</f>
        <v>0</v>
      </c>
      <c r="BD34" t="b">
        <f>AND(IF(metadata!S34="",FALSE,TRUE),EXACT(metadata!S34,"Decimal degrees"))</f>
        <v>0</v>
      </c>
      <c r="BE34" t="b">
        <f>OR(AND(IF(metadata!T34="",FALSE,TRUE),OR(EXACT(metadata!T34,"missing: not collected"),EXACT(metadata!T34,"missing: not provided"),EXACT(metadata!T34,"missing: restricted access"))),AND(IF(metadata!T34="",FALSE,ISNUMBER(VALUE(metadata!T34))),metadata!T34&gt;=-180,metadata!T34&lt;=180))</f>
        <v>0</v>
      </c>
      <c r="BF34" t="b">
        <f>AND(IF(metadata!U34="",FALSE,TRUE),EXACT(metadata!U34,"Decimal degrees"))</f>
        <v>0</v>
      </c>
      <c r="BG34" t="b">
        <f>IF(metadata!V34="",FALSE,TRUE)</f>
        <v>0</v>
      </c>
      <c r="BH34" t="b">
        <f>OR(AND(IF(metadata!W34="",FALSE,TRUE),OR(EXACT(metadata!W34,"missing: not collected"),EXACT(metadata!W34,"missing: not provided"),EXACT(metadata!W34,"missing: restricted access"))),AND(IF(metadata!W34="",FALSE,TRUE),OR(EXACT(metadata!W34,"TRUE"),EXACT(metadata!W34,"FALSE"))))</f>
        <v>0</v>
      </c>
      <c r="BI34" t="b">
        <f>AND(IF(metadata!X34="",FALSE,TRUE),EXACT(metadata!X34,"other"))</f>
        <v>0</v>
      </c>
      <c r="BJ34" t="b">
        <f>IF(metadata!Y34="",FALSE,TRUE)</f>
        <v>0</v>
      </c>
      <c r="BK34" t="b">
        <f>OR(AND(IF(metadata!Z34="",FALSE,TRUE),OR(EXACT(metadata!Z34,"missing: not collected"),EXACT(metadata!Z34,"missing: not provided"))),AND(IF(metadata!Z34="",FALSE,IF(ISERROR(INT(metadata!Z34)),FALSE,INT(metadata!Z34)=metadata!Z34)),metadata!Z34&gt;0))</f>
        <v>0</v>
      </c>
      <c r="BL34" t="b">
        <f>AND(IF(metadata!AA34="",FALSE,TRUE),EXACT(metadata!AA34,"Not applicable"))</f>
        <v>0</v>
      </c>
      <c r="BM34" t="b">
        <f>IF(metadata!AB34="",FALSE,TRUE)</f>
        <v>0</v>
      </c>
    </row>
    <row r="35" spans="1:65" x14ac:dyDescent="0.2">
      <c r="A35" s="5" t="str">
        <f ca="1">IF(B35=" "," ",HYPERLINK(CONCATENATE("#metadata!",ADDRESS(INDEX($AH$2:$AH$1001,MATCH(ROWS($AF$2:AF35),$AF$2:$AF$1001,0),0),1)),INDEX($AK$2:$AK$1001,MATCH(ROWS($AF$2:AF35),$AF$2:$AF$1001,0),0)))</f>
        <v xml:space="preserve"> </v>
      </c>
      <c r="B35" s="4" t="str">
        <f ca="1">IF(OR(INDEX($AG$2:$AG$1001,MATCH(ROWS($AF$2:AF35),$AF$2:$AF$1001,0),1)&gt;=100000,INDEX($AM$1005:$BM$1005,1,MATCH(COLUMNS($AM$1006:AM1006),$AM$1006:$BM$1006,0))&gt;=100000), " ",IF(INDEX($AM$2:$BM$1001,MATCH(ROWS($AF$2:AF35),$AF$2:$AF$1001,0),MATCH(COLUMNS($AM$1006:AM1006),$AM$1006:$BM$1006,0)), HYPERLINK("#",""), HYPERLINK(CONCATENATE("#metadata!", ADDRESS(INDEX($AH$2:$AH$1001,MATCH(ROWS($AF$2:AF35),$AF$2:$AF$1001,0),0), INDEX($AM$1004:$BM$1004,1,MATCH(COLUMNS($AM$1006:AM1006),$AM$1006:$BM$1006,0)))),"Fix")))</f>
        <v xml:space="preserve"> </v>
      </c>
      <c r="C35" s="4" t="str">
        <f ca="1">IF(OR(INDEX($AG$2:$AG$1001,MATCH(ROWS($AF$2:AF35),$AF$2:$AF$1001,0),1)&gt;=100000,INDEX($AM$1005:$BM$1005,1,MATCH(COLUMNS($AM$1006:AN1006),$AM$1006:$BM$1006,0))&gt;=100000), " ",IF(INDEX($AM$2:$BM$1001,MATCH(ROWS($AF$2:AF35),$AF$2:$AF$1001,0),MATCH(COLUMNS($AM$1006:AN1006),$AM$1006:$BM$1006,0)), HYPERLINK("#",""), HYPERLINK(CONCATENATE("#metadata!", ADDRESS(INDEX($AH$2:$AH$1001,MATCH(ROWS($AF$2:AF35),$AF$2:$AF$1001,0),0), INDEX($AM$1004:$BM$1004,1,MATCH(COLUMNS($AM$1006:AN1006),$AM$1006:$BM$1006,0)))),"Fix")))</f>
        <v xml:space="preserve"> </v>
      </c>
      <c r="D35" s="4" t="str">
        <f ca="1">IF(OR(INDEX($AG$2:$AG$1001,MATCH(ROWS($AF$2:AF35),$AF$2:$AF$1001,0),1)&gt;=100000,INDEX($AM$1005:$BM$1005,1,MATCH(COLUMNS($AM$1006:AO1006),$AM$1006:$BM$1006,0))&gt;=100000), " ",IF(INDEX($AM$2:$BM$1001,MATCH(ROWS($AF$2:AF35),$AF$2:$AF$1001,0),MATCH(COLUMNS($AM$1006:AO1006),$AM$1006:$BM$1006,0)), HYPERLINK("#",""), HYPERLINK(CONCATENATE("#metadata!", ADDRESS(INDEX($AH$2:$AH$1001,MATCH(ROWS($AF$2:AF35),$AF$2:$AF$1001,0),0), INDEX($AM$1004:$BM$1004,1,MATCH(COLUMNS($AM$1006:AO1006),$AM$1006:$BM$1006,0)))),"Fix")))</f>
        <v xml:space="preserve"> </v>
      </c>
      <c r="E35" s="4" t="str">
        <f ca="1">IF(OR(INDEX($AG$2:$AG$1001,MATCH(ROWS($AF$2:AF35),$AF$2:$AF$1001,0),1)&gt;=100000,INDEX($AM$1005:$BM$1005,1,MATCH(COLUMNS($AM$1006:AP1006),$AM$1006:$BM$1006,0))&gt;=100000), " ",IF(INDEX($AM$2:$BM$1001,MATCH(ROWS($AF$2:AF35),$AF$2:$AF$1001,0),MATCH(COLUMNS($AM$1006:AP1006),$AM$1006:$BM$1006,0)), HYPERLINK("#",""), HYPERLINK(CONCATENATE("#metadata!", ADDRESS(INDEX($AH$2:$AH$1001,MATCH(ROWS($AF$2:AF35),$AF$2:$AF$1001,0),0), INDEX($AM$1004:$BM$1004,1,MATCH(COLUMNS($AM$1006:AP1006),$AM$1006:$BM$1006,0)))),"Fix")))</f>
        <v xml:space="preserve"> </v>
      </c>
      <c r="F35" s="4" t="str">
        <f ca="1">IF(OR(INDEX($AG$2:$AG$1001,MATCH(ROWS($AF$2:AF35),$AF$2:$AF$1001,0),1)&gt;=100000,INDEX($AM$1005:$BM$1005,1,MATCH(COLUMNS($AM$1006:AQ1006),$AM$1006:$BM$1006,0))&gt;=100000), " ",IF(INDEX($AM$2:$BM$1001,MATCH(ROWS($AF$2:AF35),$AF$2:$AF$1001,0),MATCH(COLUMNS($AM$1006:AQ1006),$AM$1006:$BM$1006,0)), HYPERLINK("#",""), HYPERLINK(CONCATENATE("#metadata!", ADDRESS(INDEX($AH$2:$AH$1001,MATCH(ROWS($AF$2:AF35),$AF$2:$AF$1001,0),0), INDEX($AM$1004:$BM$1004,1,MATCH(COLUMNS($AM$1006:AQ1006),$AM$1006:$BM$1006,0)))),"Fix")))</f>
        <v xml:space="preserve"> </v>
      </c>
      <c r="G35" s="4" t="str">
        <f ca="1">IF(OR(INDEX($AG$2:$AG$1001,MATCH(ROWS($AF$2:AF35),$AF$2:$AF$1001,0),1)&gt;=100000,INDEX($AM$1005:$BM$1005,1,MATCH(COLUMNS($AM$1006:AR1006),$AM$1006:$BM$1006,0))&gt;=100000), " ",IF(INDEX($AM$2:$BM$1001,MATCH(ROWS($AF$2:AF35),$AF$2:$AF$1001,0),MATCH(COLUMNS($AM$1006:AR1006),$AM$1006:$BM$1006,0)), HYPERLINK("#",""), HYPERLINK(CONCATENATE("#metadata!", ADDRESS(INDEX($AH$2:$AH$1001,MATCH(ROWS($AF$2:AF35),$AF$2:$AF$1001,0),0), INDEX($AM$1004:$BM$1004,1,MATCH(COLUMNS($AM$1006:AR1006),$AM$1006:$BM$1006,0)))),"Fix")))</f>
        <v xml:space="preserve"> </v>
      </c>
      <c r="H35" s="4" t="str">
        <f ca="1">IF(OR(INDEX($AG$2:$AG$1001,MATCH(ROWS($AF$2:AF35),$AF$2:$AF$1001,0),1)&gt;=100000,INDEX($AM$1005:$BM$1005,1,MATCH(COLUMNS($AM$1006:AS1006),$AM$1006:$BM$1006,0))&gt;=100000), " ",IF(INDEX($AM$2:$BM$1001,MATCH(ROWS($AF$2:AF35),$AF$2:$AF$1001,0),MATCH(COLUMNS($AM$1006:AS1006),$AM$1006:$BM$1006,0)), HYPERLINK("#",""), HYPERLINK(CONCATENATE("#metadata!", ADDRESS(INDEX($AH$2:$AH$1001,MATCH(ROWS($AF$2:AF35),$AF$2:$AF$1001,0),0), INDEX($AM$1004:$BM$1004,1,MATCH(COLUMNS($AM$1006:AS1006),$AM$1006:$BM$1006,0)))),"Fix")))</f>
        <v xml:space="preserve"> </v>
      </c>
      <c r="I35" s="4" t="str">
        <f ca="1">IF(OR(INDEX($AG$2:$AG$1001,MATCH(ROWS($AF$2:AF35),$AF$2:$AF$1001,0),1)&gt;=100000,INDEX($AM$1005:$BM$1005,1,MATCH(COLUMNS($AM$1006:AT1006),$AM$1006:$BM$1006,0))&gt;=100000), " ",IF(INDEX($AM$2:$BM$1001,MATCH(ROWS($AF$2:AF35),$AF$2:$AF$1001,0),MATCH(COLUMNS($AM$1006:AT1006),$AM$1006:$BM$1006,0)), HYPERLINK("#",""), HYPERLINK(CONCATENATE("#metadata!", ADDRESS(INDEX($AH$2:$AH$1001,MATCH(ROWS($AF$2:AF35),$AF$2:$AF$1001,0),0), INDEX($AM$1004:$BM$1004,1,MATCH(COLUMNS($AM$1006:AT1006),$AM$1006:$BM$1006,0)))),"Fix")))</f>
        <v xml:space="preserve"> </v>
      </c>
      <c r="J35" s="4" t="str">
        <f ca="1">IF(OR(INDEX($AG$2:$AG$1001,MATCH(ROWS($AF$2:AF35),$AF$2:$AF$1001,0),1)&gt;=100000,INDEX($AM$1005:$BM$1005,1,MATCH(COLUMNS($AM$1006:AU1006),$AM$1006:$BM$1006,0))&gt;=100000), " ",IF(INDEX($AM$2:$BM$1001,MATCH(ROWS($AF$2:AF35),$AF$2:$AF$1001,0),MATCH(COLUMNS($AM$1006:AU1006),$AM$1006:$BM$1006,0)), HYPERLINK("#",""), HYPERLINK(CONCATENATE("#metadata!", ADDRESS(INDEX($AH$2:$AH$1001,MATCH(ROWS($AF$2:AF35),$AF$2:$AF$1001,0),0), INDEX($AM$1004:$BM$1004,1,MATCH(COLUMNS($AM$1006:AU1006),$AM$1006:$BM$1006,0)))),"Fix")))</f>
        <v xml:space="preserve"> </v>
      </c>
      <c r="K35" s="4" t="str">
        <f ca="1">IF(OR(INDEX($AG$2:$AG$1001,MATCH(ROWS($AF$2:AF35),$AF$2:$AF$1001,0),1)&gt;=100000,INDEX($AM$1005:$BM$1005,1,MATCH(COLUMNS($AM$1006:AV1006),$AM$1006:$BM$1006,0))&gt;=100000), " ",IF(INDEX($AM$2:$BM$1001,MATCH(ROWS($AF$2:AF35),$AF$2:$AF$1001,0),MATCH(COLUMNS($AM$1006:AV1006),$AM$1006:$BM$1006,0)), HYPERLINK("#",""), HYPERLINK(CONCATENATE("#metadata!", ADDRESS(INDEX($AH$2:$AH$1001,MATCH(ROWS($AF$2:AF35),$AF$2:$AF$1001,0),0), INDEX($AM$1004:$BM$1004,1,MATCH(COLUMNS($AM$1006:AV1006),$AM$1006:$BM$1006,0)))),"Fix")))</f>
        <v xml:space="preserve"> </v>
      </c>
      <c r="L35" s="4" t="str">
        <f ca="1">IF(OR(INDEX($AG$2:$AG$1001,MATCH(ROWS($AF$2:AF35),$AF$2:$AF$1001,0),1)&gt;=100000,INDEX($AM$1005:$BM$1005,1,MATCH(COLUMNS($AM$1006:AW1006),$AM$1006:$BM$1006,0))&gt;=100000), " ",IF(INDEX($AM$2:$BM$1001,MATCH(ROWS($AF$2:AF35),$AF$2:$AF$1001,0),MATCH(COLUMNS($AM$1006:AW1006),$AM$1006:$BM$1006,0)), HYPERLINK("#",""), HYPERLINK(CONCATENATE("#metadata!", ADDRESS(INDEX($AH$2:$AH$1001,MATCH(ROWS($AF$2:AF35),$AF$2:$AF$1001,0),0), INDEX($AM$1004:$BM$1004,1,MATCH(COLUMNS($AM$1006:AW1006),$AM$1006:$BM$1006,0)))),"Fix")))</f>
        <v xml:space="preserve"> </v>
      </c>
      <c r="M35" s="4" t="str">
        <f ca="1">IF(OR(INDEX($AG$2:$AG$1001,MATCH(ROWS($AF$2:AF35),$AF$2:$AF$1001,0),1)&gt;=100000,INDEX($AM$1005:$BM$1005,1,MATCH(COLUMNS($AM$1006:AX1006),$AM$1006:$BM$1006,0))&gt;=100000), " ",IF(INDEX($AM$2:$BM$1001,MATCH(ROWS($AF$2:AF35),$AF$2:$AF$1001,0),MATCH(COLUMNS($AM$1006:AX1006),$AM$1006:$BM$1006,0)), HYPERLINK("#",""), HYPERLINK(CONCATENATE("#metadata!", ADDRESS(INDEX($AH$2:$AH$1001,MATCH(ROWS($AF$2:AF35),$AF$2:$AF$1001,0),0), INDEX($AM$1004:$BM$1004,1,MATCH(COLUMNS($AM$1006:AX1006),$AM$1006:$BM$1006,0)))),"Fix")))</f>
        <v xml:space="preserve"> </v>
      </c>
      <c r="N35" s="4" t="str">
        <f ca="1">IF(OR(INDEX($AG$2:$AG$1001,MATCH(ROWS($AF$2:AF35),$AF$2:$AF$1001,0),1)&gt;=100000,INDEX($AM$1005:$BM$1005,1,MATCH(COLUMNS($AM$1006:AY1006),$AM$1006:$BM$1006,0))&gt;=100000), " ",IF(INDEX($AM$2:$BM$1001,MATCH(ROWS($AF$2:AF35),$AF$2:$AF$1001,0),MATCH(COLUMNS($AM$1006:AY1006),$AM$1006:$BM$1006,0)), HYPERLINK("#",""), HYPERLINK(CONCATENATE("#metadata!", ADDRESS(INDEX($AH$2:$AH$1001,MATCH(ROWS($AF$2:AF35),$AF$2:$AF$1001,0),0), INDEX($AM$1004:$BM$1004,1,MATCH(COLUMNS($AM$1006:AY1006),$AM$1006:$BM$1006,0)))),"Fix")))</f>
        <v xml:space="preserve"> </v>
      </c>
      <c r="O35" s="4" t="str">
        <f ca="1">IF(OR(INDEX($AG$2:$AG$1001,MATCH(ROWS($AF$2:AF35),$AF$2:$AF$1001,0),1)&gt;=100000,INDEX($AM$1005:$BM$1005,1,MATCH(COLUMNS($AM$1006:AZ1006),$AM$1006:$BM$1006,0))&gt;=100000), " ",IF(INDEX($AM$2:$BM$1001,MATCH(ROWS($AF$2:AF35),$AF$2:$AF$1001,0),MATCH(COLUMNS($AM$1006:AZ1006),$AM$1006:$BM$1006,0)), HYPERLINK("#",""), HYPERLINK(CONCATENATE("#metadata!", ADDRESS(INDEX($AH$2:$AH$1001,MATCH(ROWS($AF$2:AF35),$AF$2:$AF$1001,0),0), INDEX($AM$1004:$BM$1004,1,MATCH(COLUMNS($AM$1006:AZ1006),$AM$1006:$BM$1006,0)))),"Fix")))</f>
        <v xml:space="preserve"> </v>
      </c>
      <c r="P35" s="4" t="str">
        <f ca="1">IF(OR(INDEX($AG$2:$AG$1001,MATCH(ROWS($AF$2:AF35),$AF$2:$AF$1001,0),1)&gt;=100000,INDEX($AM$1005:$BM$1005,1,MATCH(COLUMNS($AM$1006:BA1006),$AM$1006:$BM$1006,0))&gt;=100000), " ",IF(INDEX($AM$2:$BM$1001,MATCH(ROWS($AF$2:AF35),$AF$2:$AF$1001,0),MATCH(COLUMNS($AM$1006:BA1006),$AM$1006:$BM$1006,0)), HYPERLINK("#",""), HYPERLINK(CONCATENATE("#metadata!", ADDRESS(INDEX($AH$2:$AH$1001,MATCH(ROWS($AF$2:AF35),$AF$2:$AF$1001,0),0), INDEX($AM$1004:$BM$1004,1,MATCH(COLUMNS($AM$1006:BA1006),$AM$1006:$BM$1006,0)))),"Fix")))</f>
        <v xml:space="preserve"> </v>
      </c>
      <c r="Q35" s="4" t="str">
        <f ca="1">IF(OR(INDEX($AG$2:$AG$1001,MATCH(ROWS($AF$2:AF35),$AF$2:$AF$1001,0),1)&gt;=100000,INDEX($AM$1005:$BM$1005,1,MATCH(COLUMNS($AM$1006:BB1006),$AM$1006:$BM$1006,0))&gt;=100000), " ",IF(INDEX($AM$2:$BM$1001,MATCH(ROWS($AF$2:AF35),$AF$2:$AF$1001,0),MATCH(COLUMNS($AM$1006:BB1006),$AM$1006:$BM$1006,0)), HYPERLINK("#",""), HYPERLINK(CONCATENATE("#metadata!", ADDRESS(INDEX($AH$2:$AH$1001,MATCH(ROWS($AF$2:AF35),$AF$2:$AF$1001,0),0), INDEX($AM$1004:$BM$1004,1,MATCH(COLUMNS($AM$1006:BB1006),$AM$1006:$BM$1006,0)))),"Fix")))</f>
        <v xml:space="preserve"> </v>
      </c>
      <c r="R35" s="4" t="str">
        <f ca="1">IF(OR(INDEX($AG$2:$AG$1001,MATCH(ROWS($AF$2:AF35),$AF$2:$AF$1001,0),1)&gt;=100000,INDEX($AM$1005:$BM$1005,1,MATCH(COLUMNS($AM$1006:BC1006),$AM$1006:$BM$1006,0))&gt;=100000), " ",IF(INDEX($AM$2:$BM$1001,MATCH(ROWS($AF$2:AF35),$AF$2:$AF$1001,0),MATCH(COLUMNS($AM$1006:BC1006),$AM$1006:$BM$1006,0)), HYPERLINK("#",""), HYPERLINK(CONCATENATE("#metadata!", ADDRESS(INDEX($AH$2:$AH$1001,MATCH(ROWS($AF$2:AF35),$AF$2:$AF$1001,0),0), INDEX($AM$1004:$BM$1004,1,MATCH(COLUMNS($AM$1006:BC1006),$AM$1006:$BM$1006,0)))),"Fix")))</f>
        <v xml:space="preserve"> </v>
      </c>
      <c r="S35" s="4" t="str">
        <f ca="1">IF(OR(INDEX($AG$2:$AG$1001,MATCH(ROWS($AF$2:AF35),$AF$2:$AF$1001,0),1)&gt;=100000,INDEX($AM$1005:$BM$1005,1,MATCH(COLUMNS($AM$1006:BD1006),$AM$1006:$BM$1006,0))&gt;=100000), " ",IF(INDEX($AM$2:$BM$1001,MATCH(ROWS($AF$2:AF35),$AF$2:$AF$1001,0),MATCH(COLUMNS($AM$1006:BD1006),$AM$1006:$BM$1006,0)), HYPERLINK("#",""), HYPERLINK(CONCATENATE("#metadata!", ADDRESS(INDEX($AH$2:$AH$1001,MATCH(ROWS($AF$2:AF35),$AF$2:$AF$1001,0),0), INDEX($AM$1004:$BM$1004,1,MATCH(COLUMNS($AM$1006:BD1006),$AM$1006:$BM$1006,0)))),"Fix")))</f>
        <v xml:space="preserve"> </v>
      </c>
      <c r="T35" s="4" t="str">
        <f ca="1">IF(OR(INDEX($AG$2:$AG$1001,MATCH(ROWS($AF$2:AF35),$AF$2:$AF$1001,0),1)&gt;=100000,INDEX($AM$1005:$BM$1005,1,MATCH(COLUMNS($AM$1006:BE1006),$AM$1006:$BM$1006,0))&gt;=100000), " ",IF(INDEX($AM$2:$BM$1001,MATCH(ROWS($AF$2:AF35),$AF$2:$AF$1001,0),MATCH(COLUMNS($AM$1006:BE1006),$AM$1006:$BM$1006,0)), HYPERLINK("#",""), HYPERLINK(CONCATENATE("#metadata!", ADDRESS(INDEX($AH$2:$AH$1001,MATCH(ROWS($AF$2:AF35),$AF$2:$AF$1001,0),0), INDEX($AM$1004:$BM$1004,1,MATCH(COLUMNS($AM$1006:BE1006),$AM$1006:$BM$1006,0)))),"Fix")))</f>
        <v xml:space="preserve"> </v>
      </c>
      <c r="U35" s="4" t="str">
        <f ca="1">IF(OR(INDEX($AG$2:$AG$1001,MATCH(ROWS($AF$2:AF35),$AF$2:$AF$1001,0),1)&gt;=100000,INDEX($AM$1005:$BM$1005,1,MATCH(COLUMNS($AM$1006:BF1006),$AM$1006:$BM$1006,0))&gt;=100000), " ",IF(INDEX($AM$2:$BM$1001,MATCH(ROWS($AF$2:AF35),$AF$2:$AF$1001,0),MATCH(COLUMNS($AM$1006:BF1006),$AM$1006:$BM$1006,0)), HYPERLINK("#",""), HYPERLINK(CONCATENATE("#metadata!", ADDRESS(INDEX($AH$2:$AH$1001,MATCH(ROWS($AF$2:AF35),$AF$2:$AF$1001,0),0), INDEX($AM$1004:$BM$1004,1,MATCH(COLUMNS($AM$1006:BF1006),$AM$1006:$BM$1006,0)))),"Fix")))</f>
        <v xml:space="preserve"> </v>
      </c>
      <c r="V35" s="4" t="str">
        <f ca="1">IF(OR(INDEX($AG$2:$AG$1001,MATCH(ROWS($AF$2:AF35),$AF$2:$AF$1001,0),1)&gt;=100000,INDEX($AM$1005:$BM$1005,1,MATCH(COLUMNS($AM$1006:BG1006),$AM$1006:$BM$1006,0))&gt;=100000), " ",IF(INDEX($AM$2:$BM$1001,MATCH(ROWS($AF$2:AF35),$AF$2:$AF$1001,0),MATCH(COLUMNS($AM$1006:BG1006),$AM$1006:$BM$1006,0)), HYPERLINK("#",""), HYPERLINK(CONCATENATE("#metadata!", ADDRESS(INDEX($AH$2:$AH$1001,MATCH(ROWS($AF$2:AF35),$AF$2:$AF$1001,0),0), INDEX($AM$1004:$BM$1004,1,MATCH(COLUMNS($AM$1006:BG1006),$AM$1006:$BM$1006,0)))),"Fix")))</f>
        <v xml:space="preserve"> </v>
      </c>
      <c r="W35" s="4" t="str">
        <f ca="1">IF(OR(INDEX($AG$2:$AG$1001,MATCH(ROWS($AF$2:AF35),$AF$2:$AF$1001,0),1)&gt;=100000,INDEX($AM$1005:$BM$1005,1,MATCH(COLUMNS($AM$1006:BH1006),$AM$1006:$BM$1006,0))&gt;=100000), " ",IF(INDEX($AM$2:$BM$1001,MATCH(ROWS($AF$2:AF35),$AF$2:$AF$1001,0),MATCH(COLUMNS($AM$1006:BH1006),$AM$1006:$BM$1006,0)), HYPERLINK("#",""), HYPERLINK(CONCATENATE("#metadata!", ADDRESS(INDEX($AH$2:$AH$1001,MATCH(ROWS($AF$2:AF35),$AF$2:$AF$1001,0),0), INDEX($AM$1004:$BM$1004,1,MATCH(COLUMNS($AM$1006:BH1006),$AM$1006:$BM$1006,0)))),"Fix")))</f>
        <v xml:space="preserve"> </v>
      </c>
      <c r="X35" s="4" t="str">
        <f ca="1">IF(OR(INDEX($AG$2:$AG$1001,MATCH(ROWS($AF$2:AF35),$AF$2:$AF$1001,0),1)&gt;=100000,INDEX($AM$1005:$BM$1005,1,MATCH(COLUMNS($AM$1006:BI1006),$AM$1006:$BM$1006,0))&gt;=100000), " ",IF(INDEX($AM$2:$BM$1001,MATCH(ROWS($AF$2:AF35),$AF$2:$AF$1001,0),MATCH(COLUMNS($AM$1006:BI1006),$AM$1006:$BM$1006,0)), HYPERLINK("#",""), HYPERLINK(CONCATENATE("#metadata!", ADDRESS(INDEX($AH$2:$AH$1001,MATCH(ROWS($AF$2:AF35),$AF$2:$AF$1001,0),0), INDEX($AM$1004:$BM$1004,1,MATCH(COLUMNS($AM$1006:BI1006),$AM$1006:$BM$1006,0)))),"Fix")))</f>
        <v xml:space="preserve"> </v>
      </c>
      <c r="Y35" s="4" t="str">
        <f ca="1">IF(OR(INDEX($AG$2:$AG$1001,MATCH(ROWS($AF$2:AF35),$AF$2:$AF$1001,0),1)&gt;=100000,INDEX($AM$1005:$BM$1005,1,MATCH(COLUMNS($AM$1006:BJ1006),$AM$1006:$BM$1006,0))&gt;=100000), " ",IF(INDEX($AM$2:$BM$1001,MATCH(ROWS($AF$2:AF35),$AF$2:$AF$1001,0),MATCH(COLUMNS($AM$1006:BJ1006),$AM$1006:$BM$1006,0)), HYPERLINK("#",""), HYPERLINK(CONCATENATE("#metadata!", ADDRESS(INDEX($AH$2:$AH$1001,MATCH(ROWS($AF$2:AF35),$AF$2:$AF$1001,0),0), INDEX($AM$1004:$BM$1004,1,MATCH(COLUMNS($AM$1006:BJ1006),$AM$1006:$BM$1006,0)))),"Fix")))</f>
        <v xml:space="preserve"> </v>
      </c>
      <c r="Z35" s="4" t="str">
        <f ca="1">IF(OR(INDEX($AG$2:$AG$1001,MATCH(ROWS($AF$2:AF35),$AF$2:$AF$1001,0),1)&gt;=100000,INDEX($AM$1005:$BM$1005,1,MATCH(COLUMNS($AM$1006:BK1006),$AM$1006:$BM$1006,0))&gt;=100000), " ",IF(INDEX($AM$2:$BM$1001,MATCH(ROWS($AF$2:AF35),$AF$2:$AF$1001,0),MATCH(COLUMNS($AM$1006:BK1006),$AM$1006:$BM$1006,0)), HYPERLINK("#",""), HYPERLINK(CONCATENATE("#metadata!", ADDRESS(INDEX($AH$2:$AH$1001,MATCH(ROWS($AF$2:AF35),$AF$2:$AF$1001,0),0), INDEX($AM$1004:$BM$1004,1,MATCH(COLUMNS($AM$1006:BK1006),$AM$1006:$BM$1006,0)))),"Fix")))</f>
        <v xml:space="preserve"> </v>
      </c>
      <c r="AA35" s="4" t="str">
        <f ca="1">IF(OR(INDEX($AG$2:$AG$1001,MATCH(ROWS($AF$2:AF35),$AF$2:$AF$1001,0),1)&gt;=100000,INDEX($AM$1005:$BM$1005,1,MATCH(COLUMNS($AM$1006:BL1006),$AM$1006:$BM$1006,0))&gt;=100000), " ",IF(INDEX($AM$2:$BM$1001,MATCH(ROWS($AF$2:AF35),$AF$2:$AF$1001,0),MATCH(COLUMNS($AM$1006:BL1006),$AM$1006:$BM$1006,0)), HYPERLINK("#",""), HYPERLINK(CONCATENATE("#metadata!", ADDRESS(INDEX($AH$2:$AH$1001,MATCH(ROWS($AF$2:AF35),$AF$2:$AF$1001,0),0), INDEX($AM$1004:$BM$1004,1,MATCH(COLUMNS($AM$1006:BL1006),$AM$1006:$BM$1006,0)))),"Fix")))</f>
        <v xml:space="preserve"> </v>
      </c>
      <c r="AB35" s="4" t="str">
        <f ca="1">IF(OR(INDEX($AG$2:$AG$1001,MATCH(ROWS($AF$2:AF35),$AF$2:$AF$1001,0),1)&gt;=100000,INDEX($AM$1005:$BM$1005,1,MATCH(COLUMNS($AM$1006:BM1006),$AM$1006:$BM$1006,0))&gt;=100000), " ",IF(INDEX($AM$2:$BM$1001,MATCH(ROWS($AF$2:AF35),$AF$2:$AF$1001,0),MATCH(COLUMNS($AM$1006:BM1006),$AM$1006:$BM$1006,0)), HYPERLINK("#",""), HYPERLINK(CONCATENATE("#metadata!", ADDRESS(INDEX($AH$2:$AH$1001,MATCH(ROWS($AF$2:AF35),$AF$2:$AF$1001,0),0), INDEX($AM$1004:$BM$1004,1,MATCH(COLUMNS($AM$1006:BM1006),$AM$1006:$BM$1006,0)))),"Fix")))</f>
        <v xml:space="preserve"> </v>
      </c>
      <c r="AF35">
        <v>34</v>
      </c>
      <c r="AG35">
        <v>100035</v>
      </c>
      <c r="AH35">
        <v>35</v>
      </c>
      <c r="AI35" t="b">
        <f t="shared" si="0"/>
        <v>1</v>
      </c>
      <c r="AJ35" t="b">
        <f>COUNTBLANK(metadata!B35:AB35)=COLUMNS(metadata!B35:AB35)</f>
        <v>1</v>
      </c>
      <c r="AK35" t="str">
        <v/>
      </c>
      <c r="AM35" t="b">
        <f ca="1">AND(IF(metadata!B35="",FALSE,TRUE),COUNTIF(metadata!B:B, metadata!B35) = 1,NOT(ISERROR(SUMPRODUCT(SEARCH(MID(metadata!B35,ROW(INDIRECT("1:"&amp;LEN(metadata!B35))), 1),"0123456789abcdefghijklmnopqrstuvwxyzABCDEFGHIJKLMNOPQRSTUVWXYZ.")))))</f>
        <v>0</v>
      </c>
      <c r="AN35" t="b">
        <f ca="1">OR(AND(IF(metadata!C35="",FALSE,TRUE),OR(EXACT(metadata!C35,"missing: not collected"),EXACT(metadata!C35,"missing: not provided"),EXACT(metadata!C35,"missing: restricted access"))),AND(IF(metadata!C35="",FALSE,TRUE),AND(AND(IFERROR(INT(LEFT(metadata!C35,4))&gt;1900,FALSE),IFERROR(INT(LEFT(metadata!C35,4))&lt;=YEAR(NOW()),FALSE)), OR(MID(metadata!C35,5,1)="", AND(AND(MID(metadata!C35,5,1)="-",IFERROR(INT(MID(metadata!C35,6,1))&gt;=0,FALSE),IFERROR(INT(MID(metadata!C35,6,1))&lt;=1,FALSE),NOT(MID(metadata!C35,7,1)=""),IFERROR(INT(MID(metadata!C35,6,2))&gt;=1,FALSE),IFERROR(INT(MID(metadata!C35,6,2))&lt;=12,FALSE)), OR(MID(metadata!C35,8,1)="", AND(AND(MID(metadata!C35,8,1)="-",IFERROR(INT(MID(metadata!C35,9,1))&gt;=0,FALSE),IFERROR(INT(MID(metadata!C35,9,1))&lt;=3,FALSE),NOT(MID(metadata!C35,10,1)=""),IFERROR(INT(MID(metadata!C35,9,2))&gt;=1,FALSE),IFERROR(INT(MID(metadata!C35,9,2))&lt;=31,FALSE)), OR(MID(metadata!C35,11,1)="", AND(AND(MID(metadata!C35,11,1)=" ",IFERROR(INT(MID(metadata!C35,12,1))&gt;=0,FALSE),IFERROR(INT(MID(metadata!C35,12,1))&lt;=2,FALSE),NOT(MID(metadata!C35,13,1)=""),IFERROR(INT(MID(metadata!C35,12,2))&gt;=0,FALSE),IFERROR(INT(MID(metadata!C35,12,2))&lt;=23,FALSE)), OR(MID(metadata!C35,14,1)="", AND(AND(MID(metadata!C35,14,1)=":",IFERROR(INT(MID(metadata!C35,15,1))&gt;=0,FALSE),IFERROR(INT(MID(metadata!C35,15,1))&lt;=5,FALSE),NOT(MID(metadata!C35,16,1)=""),IFERROR(INT(MID(metadata!C35,15,2))&gt;=0,FALSE),IFERROR(INT(MID(metadata!C35,15,2))&lt;=59,FALSE)), OR(MID(metadata!C35,17,1)="", AND(AND(MID(metadata!C35,17,1)=":",IFERROR(INT(MID(metadata!C35,18,1))&gt;=0,FALSE),IFERROR(INT(MID(metadata!C35,18,1))&lt;=5,FALSE),NOT(MID(metadata!C35,19,1)=""),IFERROR(INT(MID(metadata!C35,18,2))&gt;=0,FALSE),IFERROR(INT(MID(metadata!C35,18,2))&lt;=59,FALSE)), LEN(metadata!C35)&lt;=19)))))))))))))</f>
        <v>0</v>
      </c>
      <c r="AO35" t="b">
        <f>AND(IF(metadata!D35="",FALSE,TRUE),EXACT(metadata!D35,"Not applicable"))</f>
        <v>0</v>
      </c>
      <c r="AP35" t="b">
        <f>IF(metadata!E35="",FALSE,TRUE)</f>
        <v>0</v>
      </c>
      <c r="AQ35" t="b">
        <f>OR(AND(IF(metadata!F35="",FALSE,TRUE),OR(EXACT(metadata!F35,"missing: not collected"),EXACT(metadata!F35,"missing: not provided"))),AND(IF(metadata!F35="",FALSE,TRUE),OR(EXACT(metadata!F35,"TRUE"),EXACT(metadata!F35,"FALSE"))))</f>
        <v>0</v>
      </c>
      <c r="AR35" t="b">
        <f>OR(AND(IF(metadata!G35="",FALSE,TRUE),OR(EXACT(metadata!G35,"missing: not collected"),EXACT(metadata!G35,"missing: not provided"),EXACT(metadata!G35,"missing: restricted access"))),AND(IF(metadata!G35="",FALSE,ISNUMBER(VALUE(metadata!G35))),metadata!G35&gt;=-413))</f>
        <v>0</v>
      </c>
      <c r="AS35" t="b">
        <f>AND(IF(metadata!H35="",FALSE,TRUE),EXACT(metadata!H35,"meters"))</f>
        <v>0</v>
      </c>
      <c r="AT35" t="b">
        <f>AND(IF(metadata!I35="",FALSE,TRUE),OR(EXACT(metadata!I35,"Host-associated"),EXACT(metadata!I35,"Free-living")))</f>
        <v>0</v>
      </c>
      <c r="AU35" t="b">
        <f>AND(IF(metadata!J35="",FALSE,TRUE),OR(EXACT(metadata!J35,"Animal"),EXACT(metadata!J35,"Fungus"),EXACT(metadata!J35,"Plant"),EXACT(metadata!J35,"Saline"),EXACT(metadata!J35,"Non-saline")))</f>
        <v>0</v>
      </c>
      <c r="AV35" t="b">
        <f>AND(IF(metadata!K35="",FALSE,TRUE),OR(EXACT(metadata!K35,"Plant secretion"),EXACT(metadata!K35,"Plant rhizosphere"),EXACT(metadata!K35,"Plant surface"),EXACT(metadata!K35,"Plant corpus"),EXACT(metadata!K35,"Fungus surface"),EXACT(metadata!K35,"Fungus corpus"),EXACT(metadata!K35,"Animal surface"),EXACT(metadata!K35,"Animal proximal gut"),EXACT(metadata!K35,"Animal corpus"),EXACT(metadata!K35,"Animal distal gut"),EXACT(metadata!K35,"Animal secretion"),EXACT(metadata!K35,"Sub-surface (non-saline)"),EXACT(metadata!K35,"Surface (non-saline)"),EXACT(metadata!K35,"Water (non-saline)"),EXACT(metadata!K35,"Soil (non-saline)"),EXACT(metadata!K35,"Aerosol (non-saline)"),EXACT(metadata!K35,"Sediment (non-saline)"),EXACT(metadata!K35,"Surface (saline)"),EXACT(metadata!K35,"Water (saline)"),EXACT(metadata!K35,"Hypersaline (saline)"),EXACT(metadata!K35,"Aerosol (saline)"),EXACT(metadata!K35,"Sediment (saline)")))</f>
        <v>0</v>
      </c>
      <c r="AW35" t="b">
        <f>IF(metadata!L35="",FALSE,TRUE)</f>
        <v>0</v>
      </c>
      <c r="AX35" t="b">
        <f>IF(metadata!M35="",FALSE,TRUE)</f>
        <v>0</v>
      </c>
      <c r="AY35" t="b">
        <f>IF(metadata!N35="",FALSE,TRUE)</f>
        <v>0</v>
      </c>
      <c r="AZ35" t="b">
        <f>OR(AND(IF(metadata!O35="",FALSE,TRUE),OR(EXACT(metadata!O35,"missing: not collected"),EXACT(metadata!O35,"missing: not provided"),EXACT(metadata!O35,"missing: restricted access"))),AND(IF(metadata!O35="",FALSE,TRUE),OR(EXACT(metadata!O35,"air"),EXACT(metadata!O35,"built environment"),EXACT(metadata!O35,"host-associated"),EXACT(metadata!O35,"human-associated"),EXACT(metadata!O35,"human-skin"),EXACT(metadata!O35,"human-oral"),EXACT(metadata!O35,"human-gut"),EXACT(metadata!O35,"human-vaginal"),EXACT(metadata!O35,"microbial mat/biofilm"),EXACT(metadata!O35,"misc environment"),EXACT(metadata!O35,"plant-associated"),EXACT(metadata!O35,"sediment"),EXACT(metadata!O35,"soil"),EXACT(metadata!O35,"wastewater/sludge"),EXACT(metadata!O35,"water"))))</f>
        <v>0</v>
      </c>
      <c r="BA35" t="b">
        <f>IF(metadata!P35="",FALSE,TRUE)</f>
        <v>0</v>
      </c>
      <c r="BB35" t="b">
        <f>IF(metadata!Q35="",FALSE,TRUE)</f>
        <v>0</v>
      </c>
      <c r="BC35" t="b">
        <f>OR(AND(IF(metadata!R35="",FALSE,TRUE),OR(EXACT(metadata!R35,"missing: not collected"),EXACT(metadata!R35,"missing: not provided"),EXACT(metadata!R35,"missing: restricted access"))),AND(IF(metadata!R35="",FALSE,ISNUMBER(VALUE(metadata!R35))),metadata!R35&gt;=-90,metadata!R35&lt;=90))</f>
        <v>0</v>
      </c>
      <c r="BD35" t="b">
        <f>AND(IF(metadata!S35="",FALSE,TRUE),EXACT(metadata!S35,"Decimal degrees"))</f>
        <v>0</v>
      </c>
      <c r="BE35" t="b">
        <f>OR(AND(IF(metadata!T35="",FALSE,TRUE),OR(EXACT(metadata!T35,"missing: not collected"),EXACT(metadata!T35,"missing: not provided"),EXACT(metadata!T35,"missing: restricted access"))),AND(IF(metadata!T35="",FALSE,ISNUMBER(VALUE(metadata!T35))),metadata!T35&gt;=-180,metadata!T35&lt;=180))</f>
        <v>0</v>
      </c>
      <c r="BF35" t="b">
        <f>AND(IF(metadata!U35="",FALSE,TRUE),EXACT(metadata!U35,"Decimal degrees"))</f>
        <v>0</v>
      </c>
      <c r="BG35" t="b">
        <f>IF(metadata!V35="",FALSE,TRUE)</f>
        <v>0</v>
      </c>
      <c r="BH35" t="b">
        <f>OR(AND(IF(metadata!W35="",FALSE,TRUE),OR(EXACT(metadata!W35,"missing: not collected"),EXACT(metadata!W35,"missing: not provided"),EXACT(metadata!W35,"missing: restricted access"))),AND(IF(metadata!W35="",FALSE,TRUE),OR(EXACT(metadata!W35,"TRUE"),EXACT(metadata!W35,"FALSE"))))</f>
        <v>0</v>
      </c>
      <c r="BI35" t="b">
        <f>AND(IF(metadata!X35="",FALSE,TRUE),EXACT(metadata!X35,"other"))</f>
        <v>0</v>
      </c>
      <c r="BJ35" t="b">
        <f>IF(metadata!Y35="",FALSE,TRUE)</f>
        <v>0</v>
      </c>
      <c r="BK35" t="b">
        <f>OR(AND(IF(metadata!Z35="",FALSE,TRUE),OR(EXACT(metadata!Z35,"missing: not collected"),EXACT(metadata!Z35,"missing: not provided"))),AND(IF(metadata!Z35="",FALSE,IF(ISERROR(INT(metadata!Z35)),FALSE,INT(metadata!Z35)=metadata!Z35)),metadata!Z35&gt;0))</f>
        <v>0</v>
      </c>
      <c r="BL35" t="b">
        <f>AND(IF(metadata!AA35="",FALSE,TRUE),EXACT(metadata!AA35,"Not applicable"))</f>
        <v>0</v>
      </c>
      <c r="BM35" t="b">
        <f>IF(metadata!AB35="",FALSE,TRUE)</f>
        <v>0</v>
      </c>
    </row>
    <row r="36" spans="1:65" x14ac:dyDescent="0.2">
      <c r="A36" s="5" t="str">
        <f ca="1">IF(B36=" "," ",HYPERLINK(CONCATENATE("#metadata!",ADDRESS(INDEX($AH$2:$AH$1001,MATCH(ROWS($AF$2:AF36),$AF$2:$AF$1001,0),0),1)),INDEX($AK$2:$AK$1001,MATCH(ROWS($AF$2:AF36),$AF$2:$AF$1001,0),0)))</f>
        <v xml:space="preserve"> </v>
      </c>
      <c r="B36" s="4" t="str">
        <f ca="1">IF(OR(INDEX($AG$2:$AG$1001,MATCH(ROWS($AF$2:AF36),$AF$2:$AF$1001,0),1)&gt;=100000,INDEX($AM$1005:$BM$1005,1,MATCH(COLUMNS($AM$1006:AM1006),$AM$1006:$BM$1006,0))&gt;=100000), " ",IF(INDEX($AM$2:$BM$1001,MATCH(ROWS($AF$2:AF36),$AF$2:$AF$1001,0),MATCH(COLUMNS($AM$1006:AM1006),$AM$1006:$BM$1006,0)), HYPERLINK("#",""), HYPERLINK(CONCATENATE("#metadata!", ADDRESS(INDEX($AH$2:$AH$1001,MATCH(ROWS($AF$2:AF36),$AF$2:$AF$1001,0),0), INDEX($AM$1004:$BM$1004,1,MATCH(COLUMNS($AM$1006:AM1006),$AM$1006:$BM$1006,0)))),"Fix")))</f>
        <v xml:space="preserve"> </v>
      </c>
      <c r="C36" s="4" t="str">
        <f ca="1">IF(OR(INDEX($AG$2:$AG$1001,MATCH(ROWS($AF$2:AF36),$AF$2:$AF$1001,0),1)&gt;=100000,INDEX($AM$1005:$BM$1005,1,MATCH(COLUMNS($AM$1006:AN1006),$AM$1006:$BM$1006,0))&gt;=100000), " ",IF(INDEX($AM$2:$BM$1001,MATCH(ROWS($AF$2:AF36),$AF$2:$AF$1001,0),MATCH(COLUMNS($AM$1006:AN1006),$AM$1006:$BM$1006,0)), HYPERLINK("#",""), HYPERLINK(CONCATENATE("#metadata!", ADDRESS(INDEX($AH$2:$AH$1001,MATCH(ROWS($AF$2:AF36),$AF$2:$AF$1001,0),0), INDEX($AM$1004:$BM$1004,1,MATCH(COLUMNS($AM$1006:AN1006),$AM$1006:$BM$1006,0)))),"Fix")))</f>
        <v xml:space="preserve"> </v>
      </c>
      <c r="D36" s="4" t="str">
        <f ca="1">IF(OR(INDEX($AG$2:$AG$1001,MATCH(ROWS($AF$2:AF36),$AF$2:$AF$1001,0),1)&gt;=100000,INDEX($AM$1005:$BM$1005,1,MATCH(COLUMNS($AM$1006:AO1006),$AM$1006:$BM$1006,0))&gt;=100000), " ",IF(INDEX($AM$2:$BM$1001,MATCH(ROWS($AF$2:AF36),$AF$2:$AF$1001,0),MATCH(COLUMNS($AM$1006:AO1006),$AM$1006:$BM$1006,0)), HYPERLINK("#",""), HYPERLINK(CONCATENATE("#metadata!", ADDRESS(INDEX($AH$2:$AH$1001,MATCH(ROWS($AF$2:AF36),$AF$2:$AF$1001,0),0), INDEX($AM$1004:$BM$1004,1,MATCH(COLUMNS($AM$1006:AO1006),$AM$1006:$BM$1006,0)))),"Fix")))</f>
        <v xml:space="preserve"> </v>
      </c>
      <c r="E36" s="4" t="str">
        <f ca="1">IF(OR(INDEX($AG$2:$AG$1001,MATCH(ROWS($AF$2:AF36),$AF$2:$AF$1001,0),1)&gt;=100000,INDEX($AM$1005:$BM$1005,1,MATCH(COLUMNS($AM$1006:AP1006),$AM$1006:$BM$1006,0))&gt;=100000), " ",IF(INDEX($AM$2:$BM$1001,MATCH(ROWS($AF$2:AF36),$AF$2:$AF$1001,0),MATCH(COLUMNS($AM$1006:AP1006),$AM$1006:$BM$1006,0)), HYPERLINK("#",""), HYPERLINK(CONCATENATE("#metadata!", ADDRESS(INDEX($AH$2:$AH$1001,MATCH(ROWS($AF$2:AF36),$AF$2:$AF$1001,0),0), INDEX($AM$1004:$BM$1004,1,MATCH(COLUMNS($AM$1006:AP1006),$AM$1006:$BM$1006,0)))),"Fix")))</f>
        <v xml:space="preserve"> </v>
      </c>
      <c r="F36" s="4" t="str">
        <f ca="1">IF(OR(INDEX($AG$2:$AG$1001,MATCH(ROWS($AF$2:AF36),$AF$2:$AF$1001,0),1)&gt;=100000,INDEX($AM$1005:$BM$1005,1,MATCH(COLUMNS($AM$1006:AQ1006),$AM$1006:$BM$1006,0))&gt;=100000), " ",IF(INDEX($AM$2:$BM$1001,MATCH(ROWS($AF$2:AF36),$AF$2:$AF$1001,0),MATCH(COLUMNS($AM$1006:AQ1006),$AM$1006:$BM$1006,0)), HYPERLINK("#",""), HYPERLINK(CONCATENATE("#metadata!", ADDRESS(INDEX($AH$2:$AH$1001,MATCH(ROWS($AF$2:AF36),$AF$2:$AF$1001,0),0), INDEX($AM$1004:$BM$1004,1,MATCH(COLUMNS($AM$1006:AQ1006),$AM$1006:$BM$1006,0)))),"Fix")))</f>
        <v xml:space="preserve"> </v>
      </c>
      <c r="G36" s="4" t="str">
        <f ca="1">IF(OR(INDEX($AG$2:$AG$1001,MATCH(ROWS($AF$2:AF36),$AF$2:$AF$1001,0),1)&gt;=100000,INDEX($AM$1005:$BM$1005,1,MATCH(COLUMNS($AM$1006:AR1006),$AM$1006:$BM$1006,0))&gt;=100000), " ",IF(INDEX($AM$2:$BM$1001,MATCH(ROWS($AF$2:AF36),$AF$2:$AF$1001,0),MATCH(COLUMNS($AM$1006:AR1006),$AM$1006:$BM$1006,0)), HYPERLINK("#",""), HYPERLINK(CONCATENATE("#metadata!", ADDRESS(INDEX($AH$2:$AH$1001,MATCH(ROWS($AF$2:AF36),$AF$2:$AF$1001,0),0), INDEX($AM$1004:$BM$1004,1,MATCH(COLUMNS($AM$1006:AR1006),$AM$1006:$BM$1006,0)))),"Fix")))</f>
        <v xml:space="preserve"> </v>
      </c>
      <c r="H36" s="4" t="str">
        <f ca="1">IF(OR(INDEX($AG$2:$AG$1001,MATCH(ROWS($AF$2:AF36),$AF$2:$AF$1001,0),1)&gt;=100000,INDEX($AM$1005:$BM$1005,1,MATCH(COLUMNS($AM$1006:AS1006),$AM$1006:$BM$1006,0))&gt;=100000), " ",IF(INDEX($AM$2:$BM$1001,MATCH(ROWS($AF$2:AF36),$AF$2:$AF$1001,0),MATCH(COLUMNS($AM$1006:AS1006),$AM$1006:$BM$1006,0)), HYPERLINK("#",""), HYPERLINK(CONCATENATE("#metadata!", ADDRESS(INDEX($AH$2:$AH$1001,MATCH(ROWS($AF$2:AF36),$AF$2:$AF$1001,0),0), INDEX($AM$1004:$BM$1004,1,MATCH(COLUMNS($AM$1006:AS1006),$AM$1006:$BM$1006,0)))),"Fix")))</f>
        <v xml:space="preserve"> </v>
      </c>
      <c r="I36" s="4" t="str">
        <f ca="1">IF(OR(INDEX($AG$2:$AG$1001,MATCH(ROWS($AF$2:AF36),$AF$2:$AF$1001,0),1)&gt;=100000,INDEX($AM$1005:$BM$1005,1,MATCH(COLUMNS($AM$1006:AT1006),$AM$1006:$BM$1006,0))&gt;=100000), " ",IF(INDEX($AM$2:$BM$1001,MATCH(ROWS($AF$2:AF36),$AF$2:$AF$1001,0),MATCH(COLUMNS($AM$1006:AT1006),$AM$1006:$BM$1006,0)), HYPERLINK("#",""), HYPERLINK(CONCATENATE("#metadata!", ADDRESS(INDEX($AH$2:$AH$1001,MATCH(ROWS($AF$2:AF36),$AF$2:$AF$1001,0),0), INDEX($AM$1004:$BM$1004,1,MATCH(COLUMNS($AM$1006:AT1006),$AM$1006:$BM$1006,0)))),"Fix")))</f>
        <v xml:space="preserve"> </v>
      </c>
      <c r="J36" s="4" t="str">
        <f ca="1">IF(OR(INDEX($AG$2:$AG$1001,MATCH(ROWS($AF$2:AF36),$AF$2:$AF$1001,0),1)&gt;=100000,INDEX($AM$1005:$BM$1005,1,MATCH(COLUMNS($AM$1006:AU1006),$AM$1006:$BM$1006,0))&gt;=100000), " ",IF(INDEX($AM$2:$BM$1001,MATCH(ROWS($AF$2:AF36),$AF$2:$AF$1001,0),MATCH(COLUMNS($AM$1006:AU1006),$AM$1006:$BM$1006,0)), HYPERLINK("#",""), HYPERLINK(CONCATENATE("#metadata!", ADDRESS(INDEX($AH$2:$AH$1001,MATCH(ROWS($AF$2:AF36),$AF$2:$AF$1001,0),0), INDEX($AM$1004:$BM$1004,1,MATCH(COLUMNS($AM$1006:AU1006),$AM$1006:$BM$1006,0)))),"Fix")))</f>
        <v xml:space="preserve"> </v>
      </c>
      <c r="K36" s="4" t="str">
        <f ca="1">IF(OR(INDEX($AG$2:$AG$1001,MATCH(ROWS($AF$2:AF36),$AF$2:$AF$1001,0),1)&gt;=100000,INDEX($AM$1005:$BM$1005,1,MATCH(COLUMNS($AM$1006:AV1006),$AM$1006:$BM$1006,0))&gt;=100000), " ",IF(INDEX($AM$2:$BM$1001,MATCH(ROWS($AF$2:AF36),$AF$2:$AF$1001,0),MATCH(COLUMNS($AM$1006:AV1006),$AM$1006:$BM$1006,0)), HYPERLINK("#",""), HYPERLINK(CONCATENATE("#metadata!", ADDRESS(INDEX($AH$2:$AH$1001,MATCH(ROWS($AF$2:AF36),$AF$2:$AF$1001,0),0), INDEX($AM$1004:$BM$1004,1,MATCH(COLUMNS($AM$1006:AV1006),$AM$1006:$BM$1006,0)))),"Fix")))</f>
        <v xml:space="preserve"> </v>
      </c>
      <c r="L36" s="4" t="str">
        <f ca="1">IF(OR(INDEX($AG$2:$AG$1001,MATCH(ROWS($AF$2:AF36),$AF$2:$AF$1001,0),1)&gt;=100000,INDEX($AM$1005:$BM$1005,1,MATCH(COLUMNS($AM$1006:AW1006),$AM$1006:$BM$1006,0))&gt;=100000), " ",IF(INDEX($AM$2:$BM$1001,MATCH(ROWS($AF$2:AF36),$AF$2:$AF$1001,0),MATCH(COLUMNS($AM$1006:AW1006),$AM$1006:$BM$1006,0)), HYPERLINK("#",""), HYPERLINK(CONCATENATE("#metadata!", ADDRESS(INDEX($AH$2:$AH$1001,MATCH(ROWS($AF$2:AF36),$AF$2:$AF$1001,0),0), INDEX($AM$1004:$BM$1004,1,MATCH(COLUMNS($AM$1006:AW1006),$AM$1006:$BM$1006,0)))),"Fix")))</f>
        <v xml:space="preserve"> </v>
      </c>
      <c r="M36" s="4" t="str">
        <f ca="1">IF(OR(INDEX($AG$2:$AG$1001,MATCH(ROWS($AF$2:AF36),$AF$2:$AF$1001,0),1)&gt;=100000,INDEX($AM$1005:$BM$1005,1,MATCH(COLUMNS($AM$1006:AX1006),$AM$1006:$BM$1006,0))&gt;=100000), " ",IF(INDEX($AM$2:$BM$1001,MATCH(ROWS($AF$2:AF36),$AF$2:$AF$1001,0),MATCH(COLUMNS($AM$1006:AX1006),$AM$1006:$BM$1006,0)), HYPERLINK("#",""), HYPERLINK(CONCATENATE("#metadata!", ADDRESS(INDEX($AH$2:$AH$1001,MATCH(ROWS($AF$2:AF36),$AF$2:$AF$1001,0),0), INDEX($AM$1004:$BM$1004,1,MATCH(COLUMNS($AM$1006:AX1006),$AM$1006:$BM$1006,0)))),"Fix")))</f>
        <v xml:space="preserve"> </v>
      </c>
      <c r="N36" s="4" t="str">
        <f ca="1">IF(OR(INDEX($AG$2:$AG$1001,MATCH(ROWS($AF$2:AF36),$AF$2:$AF$1001,0),1)&gt;=100000,INDEX($AM$1005:$BM$1005,1,MATCH(COLUMNS($AM$1006:AY1006),$AM$1006:$BM$1006,0))&gt;=100000), " ",IF(INDEX($AM$2:$BM$1001,MATCH(ROWS($AF$2:AF36),$AF$2:$AF$1001,0),MATCH(COLUMNS($AM$1006:AY1006),$AM$1006:$BM$1006,0)), HYPERLINK("#",""), HYPERLINK(CONCATENATE("#metadata!", ADDRESS(INDEX($AH$2:$AH$1001,MATCH(ROWS($AF$2:AF36),$AF$2:$AF$1001,0),0), INDEX($AM$1004:$BM$1004,1,MATCH(COLUMNS($AM$1006:AY1006),$AM$1006:$BM$1006,0)))),"Fix")))</f>
        <v xml:space="preserve"> </v>
      </c>
      <c r="O36" s="4" t="str">
        <f ca="1">IF(OR(INDEX($AG$2:$AG$1001,MATCH(ROWS($AF$2:AF36),$AF$2:$AF$1001,0),1)&gt;=100000,INDEX($AM$1005:$BM$1005,1,MATCH(COLUMNS($AM$1006:AZ1006),$AM$1006:$BM$1006,0))&gt;=100000), " ",IF(INDEX($AM$2:$BM$1001,MATCH(ROWS($AF$2:AF36),$AF$2:$AF$1001,0),MATCH(COLUMNS($AM$1006:AZ1006),$AM$1006:$BM$1006,0)), HYPERLINK("#",""), HYPERLINK(CONCATENATE("#metadata!", ADDRESS(INDEX($AH$2:$AH$1001,MATCH(ROWS($AF$2:AF36),$AF$2:$AF$1001,0),0), INDEX($AM$1004:$BM$1004,1,MATCH(COLUMNS($AM$1006:AZ1006),$AM$1006:$BM$1006,0)))),"Fix")))</f>
        <v xml:space="preserve"> </v>
      </c>
      <c r="P36" s="4" t="str">
        <f ca="1">IF(OR(INDEX($AG$2:$AG$1001,MATCH(ROWS($AF$2:AF36),$AF$2:$AF$1001,0),1)&gt;=100000,INDEX($AM$1005:$BM$1005,1,MATCH(COLUMNS($AM$1006:BA1006),$AM$1006:$BM$1006,0))&gt;=100000), " ",IF(INDEX($AM$2:$BM$1001,MATCH(ROWS($AF$2:AF36),$AF$2:$AF$1001,0),MATCH(COLUMNS($AM$1006:BA1006),$AM$1006:$BM$1006,0)), HYPERLINK("#",""), HYPERLINK(CONCATENATE("#metadata!", ADDRESS(INDEX($AH$2:$AH$1001,MATCH(ROWS($AF$2:AF36),$AF$2:$AF$1001,0),0), INDEX($AM$1004:$BM$1004,1,MATCH(COLUMNS($AM$1006:BA1006),$AM$1006:$BM$1006,0)))),"Fix")))</f>
        <v xml:space="preserve"> </v>
      </c>
      <c r="Q36" s="4" t="str">
        <f ca="1">IF(OR(INDEX($AG$2:$AG$1001,MATCH(ROWS($AF$2:AF36),$AF$2:$AF$1001,0),1)&gt;=100000,INDEX($AM$1005:$BM$1005,1,MATCH(COLUMNS($AM$1006:BB1006),$AM$1006:$BM$1006,0))&gt;=100000), " ",IF(INDEX($AM$2:$BM$1001,MATCH(ROWS($AF$2:AF36),$AF$2:$AF$1001,0),MATCH(COLUMNS($AM$1006:BB1006),$AM$1006:$BM$1006,0)), HYPERLINK("#",""), HYPERLINK(CONCATENATE("#metadata!", ADDRESS(INDEX($AH$2:$AH$1001,MATCH(ROWS($AF$2:AF36),$AF$2:$AF$1001,0),0), INDEX($AM$1004:$BM$1004,1,MATCH(COLUMNS($AM$1006:BB1006),$AM$1006:$BM$1006,0)))),"Fix")))</f>
        <v xml:space="preserve"> </v>
      </c>
      <c r="R36" s="4" t="str">
        <f ca="1">IF(OR(INDEX($AG$2:$AG$1001,MATCH(ROWS($AF$2:AF36),$AF$2:$AF$1001,0),1)&gt;=100000,INDEX($AM$1005:$BM$1005,1,MATCH(COLUMNS($AM$1006:BC1006),$AM$1006:$BM$1006,0))&gt;=100000), " ",IF(INDEX($AM$2:$BM$1001,MATCH(ROWS($AF$2:AF36),$AF$2:$AF$1001,0),MATCH(COLUMNS($AM$1006:BC1006),$AM$1006:$BM$1006,0)), HYPERLINK("#",""), HYPERLINK(CONCATENATE("#metadata!", ADDRESS(INDEX($AH$2:$AH$1001,MATCH(ROWS($AF$2:AF36),$AF$2:$AF$1001,0),0), INDEX($AM$1004:$BM$1004,1,MATCH(COLUMNS($AM$1006:BC1006),$AM$1006:$BM$1006,0)))),"Fix")))</f>
        <v xml:space="preserve"> </v>
      </c>
      <c r="S36" s="4" t="str">
        <f ca="1">IF(OR(INDEX($AG$2:$AG$1001,MATCH(ROWS($AF$2:AF36),$AF$2:$AF$1001,0),1)&gt;=100000,INDEX($AM$1005:$BM$1005,1,MATCH(COLUMNS($AM$1006:BD1006),$AM$1006:$BM$1006,0))&gt;=100000), " ",IF(INDEX($AM$2:$BM$1001,MATCH(ROWS($AF$2:AF36),$AF$2:$AF$1001,0),MATCH(COLUMNS($AM$1006:BD1006),$AM$1006:$BM$1006,0)), HYPERLINK("#",""), HYPERLINK(CONCATENATE("#metadata!", ADDRESS(INDEX($AH$2:$AH$1001,MATCH(ROWS($AF$2:AF36),$AF$2:$AF$1001,0),0), INDEX($AM$1004:$BM$1004,1,MATCH(COLUMNS($AM$1006:BD1006),$AM$1006:$BM$1006,0)))),"Fix")))</f>
        <v xml:space="preserve"> </v>
      </c>
      <c r="T36" s="4" t="str">
        <f ca="1">IF(OR(INDEX($AG$2:$AG$1001,MATCH(ROWS($AF$2:AF36),$AF$2:$AF$1001,0),1)&gt;=100000,INDEX($AM$1005:$BM$1005,1,MATCH(COLUMNS($AM$1006:BE1006),$AM$1006:$BM$1006,0))&gt;=100000), " ",IF(INDEX($AM$2:$BM$1001,MATCH(ROWS($AF$2:AF36),$AF$2:$AF$1001,0),MATCH(COLUMNS($AM$1006:BE1006),$AM$1006:$BM$1006,0)), HYPERLINK("#",""), HYPERLINK(CONCATENATE("#metadata!", ADDRESS(INDEX($AH$2:$AH$1001,MATCH(ROWS($AF$2:AF36),$AF$2:$AF$1001,0),0), INDEX($AM$1004:$BM$1004,1,MATCH(COLUMNS($AM$1006:BE1006),$AM$1006:$BM$1006,0)))),"Fix")))</f>
        <v xml:space="preserve"> </v>
      </c>
      <c r="U36" s="4" t="str">
        <f ca="1">IF(OR(INDEX($AG$2:$AG$1001,MATCH(ROWS($AF$2:AF36),$AF$2:$AF$1001,0),1)&gt;=100000,INDEX($AM$1005:$BM$1005,1,MATCH(COLUMNS($AM$1006:BF1006),$AM$1006:$BM$1006,0))&gt;=100000), " ",IF(INDEX($AM$2:$BM$1001,MATCH(ROWS($AF$2:AF36),$AF$2:$AF$1001,0),MATCH(COLUMNS($AM$1006:BF1006),$AM$1006:$BM$1006,0)), HYPERLINK("#",""), HYPERLINK(CONCATENATE("#metadata!", ADDRESS(INDEX($AH$2:$AH$1001,MATCH(ROWS($AF$2:AF36),$AF$2:$AF$1001,0),0), INDEX($AM$1004:$BM$1004,1,MATCH(COLUMNS($AM$1006:BF1006),$AM$1006:$BM$1006,0)))),"Fix")))</f>
        <v xml:space="preserve"> </v>
      </c>
      <c r="V36" s="4" t="str">
        <f ca="1">IF(OR(INDEX($AG$2:$AG$1001,MATCH(ROWS($AF$2:AF36),$AF$2:$AF$1001,0),1)&gt;=100000,INDEX($AM$1005:$BM$1005,1,MATCH(COLUMNS($AM$1006:BG1006),$AM$1006:$BM$1006,0))&gt;=100000), " ",IF(INDEX($AM$2:$BM$1001,MATCH(ROWS($AF$2:AF36),$AF$2:$AF$1001,0),MATCH(COLUMNS($AM$1006:BG1006),$AM$1006:$BM$1006,0)), HYPERLINK("#",""), HYPERLINK(CONCATENATE("#metadata!", ADDRESS(INDEX($AH$2:$AH$1001,MATCH(ROWS($AF$2:AF36),$AF$2:$AF$1001,0),0), INDEX($AM$1004:$BM$1004,1,MATCH(COLUMNS($AM$1006:BG1006),$AM$1006:$BM$1006,0)))),"Fix")))</f>
        <v xml:space="preserve"> </v>
      </c>
      <c r="W36" s="4" t="str">
        <f ca="1">IF(OR(INDEX($AG$2:$AG$1001,MATCH(ROWS($AF$2:AF36),$AF$2:$AF$1001,0),1)&gt;=100000,INDEX($AM$1005:$BM$1005,1,MATCH(COLUMNS($AM$1006:BH1006),$AM$1006:$BM$1006,0))&gt;=100000), " ",IF(INDEX($AM$2:$BM$1001,MATCH(ROWS($AF$2:AF36),$AF$2:$AF$1001,0),MATCH(COLUMNS($AM$1006:BH1006),$AM$1006:$BM$1006,0)), HYPERLINK("#",""), HYPERLINK(CONCATENATE("#metadata!", ADDRESS(INDEX($AH$2:$AH$1001,MATCH(ROWS($AF$2:AF36),$AF$2:$AF$1001,0),0), INDEX($AM$1004:$BM$1004,1,MATCH(COLUMNS($AM$1006:BH1006),$AM$1006:$BM$1006,0)))),"Fix")))</f>
        <v xml:space="preserve"> </v>
      </c>
      <c r="X36" s="4" t="str">
        <f ca="1">IF(OR(INDEX($AG$2:$AG$1001,MATCH(ROWS($AF$2:AF36),$AF$2:$AF$1001,0),1)&gt;=100000,INDEX($AM$1005:$BM$1005,1,MATCH(COLUMNS($AM$1006:BI1006),$AM$1006:$BM$1006,0))&gt;=100000), " ",IF(INDEX($AM$2:$BM$1001,MATCH(ROWS($AF$2:AF36),$AF$2:$AF$1001,0),MATCH(COLUMNS($AM$1006:BI1006),$AM$1006:$BM$1006,0)), HYPERLINK("#",""), HYPERLINK(CONCATENATE("#metadata!", ADDRESS(INDEX($AH$2:$AH$1001,MATCH(ROWS($AF$2:AF36),$AF$2:$AF$1001,0),0), INDEX($AM$1004:$BM$1004,1,MATCH(COLUMNS($AM$1006:BI1006),$AM$1006:$BM$1006,0)))),"Fix")))</f>
        <v xml:space="preserve"> </v>
      </c>
      <c r="Y36" s="4" t="str">
        <f ca="1">IF(OR(INDEX($AG$2:$AG$1001,MATCH(ROWS($AF$2:AF36),$AF$2:$AF$1001,0),1)&gt;=100000,INDEX($AM$1005:$BM$1005,1,MATCH(COLUMNS($AM$1006:BJ1006),$AM$1006:$BM$1006,0))&gt;=100000), " ",IF(INDEX($AM$2:$BM$1001,MATCH(ROWS($AF$2:AF36),$AF$2:$AF$1001,0),MATCH(COLUMNS($AM$1006:BJ1006),$AM$1006:$BM$1006,0)), HYPERLINK("#",""), HYPERLINK(CONCATENATE("#metadata!", ADDRESS(INDEX($AH$2:$AH$1001,MATCH(ROWS($AF$2:AF36),$AF$2:$AF$1001,0),0), INDEX($AM$1004:$BM$1004,1,MATCH(COLUMNS($AM$1006:BJ1006),$AM$1006:$BM$1006,0)))),"Fix")))</f>
        <v xml:space="preserve"> </v>
      </c>
      <c r="Z36" s="4" t="str">
        <f ca="1">IF(OR(INDEX($AG$2:$AG$1001,MATCH(ROWS($AF$2:AF36),$AF$2:$AF$1001,0),1)&gt;=100000,INDEX($AM$1005:$BM$1005,1,MATCH(COLUMNS($AM$1006:BK1006),$AM$1006:$BM$1006,0))&gt;=100000), " ",IF(INDEX($AM$2:$BM$1001,MATCH(ROWS($AF$2:AF36),$AF$2:$AF$1001,0),MATCH(COLUMNS($AM$1006:BK1006),$AM$1006:$BM$1006,0)), HYPERLINK("#",""), HYPERLINK(CONCATENATE("#metadata!", ADDRESS(INDEX($AH$2:$AH$1001,MATCH(ROWS($AF$2:AF36),$AF$2:$AF$1001,0),0), INDEX($AM$1004:$BM$1004,1,MATCH(COLUMNS($AM$1006:BK1006),$AM$1006:$BM$1006,0)))),"Fix")))</f>
        <v xml:space="preserve"> </v>
      </c>
      <c r="AA36" s="4" t="str">
        <f ca="1">IF(OR(INDEX($AG$2:$AG$1001,MATCH(ROWS($AF$2:AF36),$AF$2:$AF$1001,0),1)&gt;=100000,INDEX($AM$1005:$BM$1005,1,MATCH(COLUMNS($AM$1006:BL1006),$AM$1006:$BM$1006,0))&gt;=100000), " ",IF(INDEX($AM$2:$BM$1001,MATCH(ROWS($AF$2:AF36),$AF$2:$AF$1001,0),MATCH(COLUMNS($AM$1006:BL1006),$AM$1006:$BM$1006,0)), HYPERLINK("#",""), HYPERLINK(CONCATENATE("#metadata!", ADDRESS(INDEX($AH$2:$AH$1001,MATCH(ROWS($AF$2:AF36),$AF$2:$AF$1001,0),0), INDEX($AM$1004:$BM$1004,1,MATCH(COLUMNS($AM$1006:BL1006),$AM$1006:$BM$1006,0)))),"Fix")))</f>
        <v xml:space="preserve"> </v>
      </c>
      <c r="AB36" s="4" t="str">
        <f ca="1">IF(OR(INDEX($AG$2:$AG$1001,MATCH(ROWS($AF$2:AF36),$AF$2:$AF$1001,0),1)&gt;=100000,INDEX($AM$1005:$BM$1005,1,MATCH(COLUMNS($AM$1006:BM1006),$AM$1006:$BM$1006,0))&gt;=100000), " ",IF(INDEX($AM$2:$BM$1001,MATCH(ROWS($AF$2:AF36),$AF$2:$AF$1001,0),MATCH(COLUMNS($AM$1006:BM1006),$AM$1006:$BM$1006,0)), HYPERLINK("#",""), HYPERLINK(CONCATENATE("#metadata!", ADDRESS(INDEX($AH$2:$AH$1001,MATCH(ROWS($AF$2:AF36),$AF$2:$AF$1001,0),0), INDEX($AM$1004:$BM$1004,1,MATCH(COLUMNS($AM$1006:BM1006),$AM$1006:$BM$1006,0)))),"Fix")))</f>
        <v xml:space="preserve"> </v>
      </c>
      <c r="AF36">
        <v>35</v>
      </c>
      <c r="AG36">
        <v>100036</v>
      </c>
      <c r="AH36">
        <v>36</v>
      </c>
      <c r="AI36" t="b">
        <f t="shared" si="0"/>
        <v>1</v>
      </c>
      <c r="AJ36" t="b">
        <f>COUNTBLANK(metadata!B36:AB36)=COLUMNS(metadata!B36:AB36)</f>
        <v>1</v>
      </c>
      <c r="AK36" t="str">
        <v/>
      </c>
      <c r="AM36" t="b">
        <f ca="1">AND(IF(metadata!B36="",FALSE,TRUE),COUNTIF(metadata!B:B, metadata!B36) = 1,NOT(ISERROR(SUMPRODUCT(SEARCH(MID(metadata!B36,ROW(INDIRECT("1:"&amp;LEN(metadata!B36))), 1),"0123456789abcdefghijklmnopqrstuvwxyzABCDEFGHIJKLMNOPQRSTUVWXYZ.")))))</f>
        <v>0</v>
      </c>
      <c r="AN36" t="b">
        <f ca="1">OR(AND(IF(metadata!C36="",FALSE,TRUE),OR(EXACT(metadata!C36,"missing: not collected"),EXACT(metadata!C36,"missing: not provided"),EXACT(metadata!C36,"missing: restricted access"))),AND(IF(metadata!C36="",FALSE,TRUE),AND(AND(IFERROR(INT(LEFT(metadata!C36,4))&gt;1900,FALSE),IFERROR(INT(LEFT(metadata!C36,4))&lt;=YEAR(NOW()),FALSE)), OR(MID(metadata!C36,5,1)="", AND(AND(MID(metadata!C36,5,1)="-",IFERROR(INT(MID(metadata!C36,6,1))&gt;=0,FALSE),IFERROR(INT(MID(metadata!C36,6,1))&lt;=1,FALSE),NOT(MID(metadata!C36,7,1)=""),IFERROR(INT(MID(metadata!C36,6,2))&gt;=1,FALSE),IFERROR(INT(MID(metadata!C36,6,2))&lt;=12,FALSE)), OR(MID(metadata!C36,8,1)="", AND(AND(MID(metadata!C36,8,1)="-",IFERROR(INT(MID(metadata!C36,9,1))&gt;=0,FALSE),IFERROR(INT(MID(metadata!C36,9,1))&lt;=3,FALSE),NOT(MID(metadata!C36,10,1)=""),IFERROR(INT(MID(metadata!C36,9,2))&gt;=1,FALSE),IFERROR(INT(MID(metadata!C36,9,2))&lt;=31,FALSE)), OR(MID(metadata!C36,11,1)="", AND(AND(MID(metadata!C36,11,1)=" ",IFERROR(INT(MID(metadata!C36,12,1))&gt;=0,FALSE),IFERROR(INT(MID(metadata!C36,12,1))&lt;=2,FALSE),NOT(MID(metadata!C36,13,1)=""),IFERROR(INT(MID(metadata!C36,12,2))&gt;=0,FALSE),IFERROR(INT(MID(metadata!C36,12,2))&lt;=23,FALSE)), OR(MID(metadata!C36,14,1)="", AND(AND(MID(metadata!C36,14,1)=":",IFERROR(INT(MID(metadata!C36,15,1))&gt;=0,FALSE),IFERROR(INT(MID(metadata!C36,15,1))&lt;=5,FALSE),NOT(MID(metadata!C36,16,1)=""),IFERROR(INT(MID(metadata!C36,15,2))&gt;=0,FALSE),IFERROR(INT(MID(metadata!C36,15,2))&lt;=59,FALSE)), OR(MID(metadata!C36,17,1)="", AND(AND(MID(metadata!C36,17,1)=":",IFERROR(INT(MID(metadata!C36,18,1))&gt;=0,FALSE),IFERROR(INT(MID(metadata!C36,18,1))&lt;=5,FALSE),NOT(MID(metadata!C36,19,1)=""),IFERROR(INT(MID(metadata!C36,18,2))&gt;=0,FALSE),IFERROR(INT(MID(metadata!C36,18,2))&lt;=59,FALSE)), LEN(metadata!C36)&lt;=19)))))))))))))</f>
        <v>0</v>
      </c>
      <c r="AO36" t="b">
        <f>AND(IF(metadata!D36="",FALSE,TRUE),EXACT(metadata!D36,"Not applicable"))</f>
        <v>0</v>
      </c>
      <c r="AP36" t="b">
        <f>IF(metadata!E36="",FALSE,TRUE)</f>
        <v>0</v>
      </c>
      <c r="AQ36" t="b">
        <f>OR(AND(IF(metadata!F36="",FALSE,TRUE),OR(EXACT(metadata!F36,"missing: not collected"),EXACT(metadata!F36,"missing: not provided"))),AND(IF(metadata!F36="",FALSE,TRUE),OR(EXACT(metadata!F36,"TRUE"),EXACT(metadata!F36,"FALSE"))))</f>
        <v>0</v>
      </c>
      <c r="AR36" t="b">
        <f>OR(AND(IF(metadata!G36="",FALSE,TRUE),OR(EXACT(metadata!G36,"missing: not collected"),EXACT(metadata!G36,"missing: not provided"),EXACT(metadata!G36,"missing: restricted access"))),AND(IF(metadata!G36="",FALSE,ISNUMBER(VALUE(metadata!G36))),metadata!G36&gt;=-413))</f>
        <v>0</v>
      </c>
      <c r="AS36" t="b">
        <f>AND(IF(metadata!H36="",FALSE,TRUE),EXACT(metadata!H36,"meters"))</f>
        <v>0</v>
      </c>
      <c r="AT36" t="b">
        <f>AND(IF(metadata!I36="",FALSE,TRUE),OR(EXACT(metadata!I36,"Host-associated"),EXACT(metadata!I36,"Free-living")))</f>
        <v>0</v>
      </c>
      <c r="AU36" t="b">
        <f>AND(IF(metadata!J36="",FALSE,TRUE),OR(EXACT(metadata!J36,"Animal"),EXACT(metadata!J36,"Fungus"),EXACT(metadata!J36,"Plant"),EXACT(metadata!J36,"Saline"),EXACT(metadata!J36,"Non-saline")))</f>
        <v>0</v>
      </c>
      <c r="AV36" t="b">
        <f>AND(IF(metadata!K36="",FALSE,TRUE),OR(EXACT(metadata!K36,"Plant secretion"),EXACT(metadata!K36,"Plant rhizosphere"),EXACT(metadata!K36,"Plant surface"),EXACT(metadata!K36,"Plant corpus"),EXACT(metadata!K36,"Fungus surface"),EXACT(metadata!K36,"Fungus corpus"),EXACT(metadata!K36,"Animal surface"),EXACT(metadata!K36,"Animal proximal gut"),EXACT(metadata!K36,"Animal corpus"),EXACT(metadata!K36,"Animal distal gut"),EXACT(metadata!K36,"Animal secretion"),EXACT(metadata!K36,"Sub-surface (non-saline)"),EXACT(metadata!K36,"Surface (non-saline)"),EXACT(metadata!K36,"Water (non-saline)"),EXACT(metadata!K36,"Soil (non-saline)"),EXACT(metadata!K36,"Aerosol (non-saline)"),EXACT(metadata!K36,"Sediment (non-saline)"),EXACT(metadata!K36,"Surface (saline)"),EXACT(metadata!K36,"Water (saline)"),EXACT(metadata!K36,"Hypersaline (saline)"),EXACT(metadata!K36,"Aerosol (saline)"),EXACT(metadata!K36,"Sediment (saline)")))</f>
        <v>0</v>
      </c>
      <c r="AW36" t="b">
        <f>IF(metadata!L36="",FALSE,TRUE)</f>
        <v>0</v>
      </c>
      <c r="AX36" t="b">
        <f>IF(metadata!M36="",FALSE,TRUE)</f>
        <v>0</v>
      </c>
      <c r="AY36" t="b">
        <f>IF(metadata!N36="",FALSE,TRUE)</f>
        <v>0</v>
      </c>
      <c r="AZ36" t="b">
        <f>OR(AND(IF(metadata!O36="",FALSE,TRUE),OR(EXACT(metadata!O36,"missing: not collected"),EXACT(metadata!O36,"missing: not provided"),EXACT(metadata!O36,"missing: restricted access"))),AND(IF(metadata!O36="",FALSE,TRUE),OR(EXACT(metadata!O36,"air"),EXACT(metadata!O36,"built environment"),EXACT(metadata!O36,"host-associated"),EXACT(metadata!O36,"human-associated"),EXACT(metadata!O36,"human-skin"),EXACT(metadata!O36,"human-oral"),EXACT(metadata!O36,"human-gut"),EXACT(metadata!O36,"human-vaginal"),EXACT(metadata!O36,"microbial mat/biofilm"),EXACT(metadata!O36,"misc environment"),EXACT(metadata!O36,"plant-associated"),EXACT(metadata!O36,"sediment"),EXACT(metadata!O36,"soil"),EXACT(metadata!O36,"wastewater/sludge"),EXACT(metadata!O36,"water"))))</f>
        <v>0</v>
      </c>
      <c r="BA36" t="b">
        <f>IF(metadata!P36="",FALSE,TRUE)</f>
        <v>0</v>
      </c>
      <c r="BB36" t="b">
        <f>IF(metadata!Q36="",FALSE,TRUE)</f>
        <v>0</v>
      </c>
      <c r="BC36" t="b">
        <f>OR(AND(IF(metadata!R36="",FALSE,TRUE),OR(EXACT(metadata!R36,"missing: not collected"),EXACT(metadata!R36,"missing: not provided"),EXACT(metadata!R36,"missing: restricted access"))),AND(IF(metadata!R36="",FALSE,ISNUMBER(VALUE(metadata!R36))),metadata!R36&gt;=-90,metadata!R36&lt;=90))</f>
        <v>0</v>
      </c>
      <c r="BD36" t="b">
        <f>AND(IF(metadata!S36="",FALSE,TRUE),EXACT(metadata!S36,"Decimal degrees"))</f>
        <v>0</v>
      </c>
      <c r="BE36" t="b">
        <f>OR(AND(IF(metadata!T36="",FALSE,TRUE),OR(EXACT(metadata!T36,"missing: not collected"),EXACT(metadata!T36,"missing: not provided"),EXACT(metadata!T36,"missing: restricted access"))),AND(IF(metadata!T36="",FALSE,ISNUMBER(VALUE(metadata!T36))),metadata!T36&gt;=-180,metadata!T36&lt;=180))</f>
        <v>0</v>
      </c>
      <c r="BF36" t="b">
        <f>AND(IF(metadata!U36="",FALSE,TRUE),EXACT(metadata!U36,"Decimal degrees"))</f>
        <v>0</v>
      </c>
      <c r="BG36" t="b">
        <f>IF(metadata!V36="",FALSE,TRUE)</f>
        <v>0</v>
      </c>
      <c r="BH36" t="b">
        <f>OR(AND(IF(metadata!W36="",FALSE,TRUE),OR(EXACT(metadata!W36,"missing: not collected"),EXACT(metadata!W36,"missing: not provided"),EXACT(metadata!W36,"missing: restricted access"))),AND(IF(metadata!W36="",FALSE,TRUE),OR(EXACT(metadata!W36,"TRUE"),EXACT(metadata!W36,"FALSE"))))</f>
        <v>0</v>
      </c>
      <c r="BI36" t="b">
        <f>AND(IF(metadata!X36="",FALSE,TRUE),EXACT(metadata!X36,"other"))</f>
        <v>0</v>
      </c>
      <c r="BJ36" t="b">
        <f>IF(metadata!Y36="",FALSE,TRUE)</f>
        <v>0</v>
      </c>
      <c r="BK36" t="b">
        <f>OR(AND(IF(metadata!Z36="",FALSE,TRUE),OR(EXACT(metadata!Z36,"missing: not collected"),EXACT(metadata!Z36,"missing: not provided"))),AND(IF(metadata!Z36="",FALSE,IF(ISERROR(INT(metadata!Z36)),FALSE,INT(metadata!Z36)=metadata!Z36)),metadata!Z36&gt;0))</f>
        <v>0</v>
      </c>
      <c r="BL36" t="b">
        <f>AND(IF(metadata!AA36="",FALSE,TRUE),EXACT(metadata!AA36,"Not applicable"))</f>
        <v>0</v>
      </c>
      <c r="BM36" t="b">
        <f>IF(metadata!AB36="",FALSE,TRUE)</f>
        <v>0</v>
      </c>
    </row>
    <row r="37" spans="1:65" x14ac:dyDescent="0.2">
      <c r="A37" s="5" t="str">
        <f ca="1">IF(B37=" "," ",HYPERLINK(CONCATENATE("#metadata!",ADDRESS(INDEX($AH$2:$AH$1001,MATCH(ROWS($AF$2:AF37),$AF$2:$AF$1001,0),0),1)),INDEX($AK$2:$AK$1001,MATCH(ROWS($AF$2:AF37),$AF$2:$AF$1001,0),0)))</f>
        <v xml:space="preserve"> </v>
      </c>
      <c r="B37" s="4" t="str">
        <f ca="1">IF(OR(INDEX($AG$2:$AG$1001,MATCH(ROWS($AF$2:AF37),$AF$2:$AF$1001,0),1)&gt;=100000,INDEX($AM$1005:$BM$1005,1,MATCH(COLUMNS($AM$1006:AM1006),$AM$1006:$BM$1006,0))&gt;=100000), " ",IF(INDEX($AM$2:$BM$1001,MATCH(ROWS($AF$2:AF37),$AF$2:$AF$1001,0),MATCH(COLUMNS($AM$1006:AM1006),$AM$1006:$BM$1006,0)), HYPERLINK("#",""), HYPERLINK(CONCATENATE("#metadata!", ADDRESS(INDEX($AH$2:$AH$1001,MATCH(ROWS($AF$2:AF37),$AF$2:$AF$1001,0),0), INDEX($AM$1004:$BM$1004,1,MATCH(COLUMNS($AM$1006:AM1006),$AM$1006:$BM$1006,0)))),"Fix")))</f>
        <v xml:space="preserve"> </v>
      </c>
      <c r="C37" s="4" t="str">
        <f ca="1">IF(OR(INDEX($AG$2:$AG$1001,MATCH(ROWS($AF$2:AF37),$AF$2:$AF$1001,0),1)&gt;=100000,INDEX($AM$1005:$BM$1005,1,MATCH(COLUMNS($AM$1006:AN1006),$AM$1006:$BM$1006,0))&gt;=100000), " ",IF(INDEX($AM$2:$BM$1001,MATCH(ROWS($AF$2:AF37),$AF$2:$AF$1001,0),MATCH(COLUMNS($AM$1006:AN1006),$AM$1006:$BM$1006,0)), HYPERLINK("#",""), HYPERLINK(CONCATENATE("#metadata!", ADDRESS(INDEX($AH$2:$AH$1001,MATCH(ROWS($AF$2:AF37),$AF$2:$AF$1001,0),0), INDEX($AM$1004:$BM$1004,1,MATCH(COLUMNS($AM$1006:AN1006),$AM$1006:$BM$1006,0)))),"Fix")))</f>
        <v xml:space="preserve"> </v>
      </c>
      <c r="D37" s="4" t="str">
        <f ca="1">IF(OR(INDEX($AG$2:$AG$1001,MATCH(ROWS($AF$2:AF37),$AF$2:$AF$1001,0),1)&gt;=100000,INDEX($AM$1005:$BM$1005,1,MATCH(COLUMNS($AM$1006:AO1006),$AM$1006:$BM$1006,0))&gt;=100000), " ",IF(INDEX($AM$2:$BM$1001,MATCH(ROWS($AF$2:AF37),$AF$2:$AF$1001,0),MATCH(COLUMNS($AM$1006:AO1006),$AM$1006:$BM$1006,0)), HYPERLINK("#",""), HYPERLINK(CONCATENATE("#metadata!", ADDRESS(INDEX($AH$2:$AH$1001,MATCH(ROWS($AF$2:AF37),$AF$2:$AF$1001,0),0), INDEX($AM$1004:$BM$1004,1,MATCH(COLUMNS($AM$1006:AO1006),$AM$1006:$BM$1006,0)))),"Fix")))</f>
        <v xml:space="preserve"> </v>
      </c>
      <c r="E37" s="4" t="str">
        <f ca="1">IF(OR(INDEX($AG$2:$AG$1001,MATCH(ROWS($AF$2:AF37),$AF$2:$AF$1001,0),1)&gt;=100000,INDEX($AM$1005:$BM$1005,1,MATCH(COLUMNS($AM$1006:AP1006),$AM$1006:$BM$1006,0))&gt;=100000), " ",IF(INDEX($AM$2:$BM$1001,MATCH(ROWS($AF$2:AF37),$AF$2:$AF$1001,0),MATCH(COLUMNS($AM$1006:AP1006),$AM$1006:$BM$1006,0)), HYPERLINK("#",""), HYPERLINK(CONCATENATE("#metadata!", ADDRESS(INDEX($AH$2:$AH$1001,MATCH(ROWS($AF$2:AF37),$AF$2:$AF$1001,0),0), INDEX($AM$1004:$BM$1004,1,MATCH(COLUMNS($AM$1006:AP1006),$AM$1006:$BM$1006,0)))),"Fix")))</f>
        <v xml:space="preserve"> </v>
      </c>
      <c r="F37" s="4" t="str">
        <f ca="1">IF(OR(INDEX($AG$2:$AG$1001,MATCH(ROWS($AF$2:AF37),$AF$2:$AF$1001,0),1)&gt;=100000,INDEX($AM$1005:$BM$1005,1,MATCH(COLUMNS($AM$1006:AQ1006),$AM$1006:$BM$1006,0))&gt;=100000), " ",IF(INDEX($AM$2:$BM$1001,MATCH(ROWS($AF$2:AF37),$AF$2:$AF$1001,0),MATCH(COLUMNS($AM$1006:AQ1006),$AM$1006:$BM$1006,0)), HYPERLINK("#",""), HYPERLINK(CONCATENATE("#metadata!", ADDRESS(INDEX($AH$2:$AH$1001,MATCH(ROWS($AF$2:AF37),$AF$2:$AF$1001,0),0), INDEX($AM$1004:$BM$1004,1,MATCH(COLUMNS($AM$1006:AQ1006),$AM$1006:$BM$1006,0)))),"Fix")))</f>
        <v xml:space="preserve"> </v>
      </c>
      <c r="G37" s="4" t="str">
        <f ca="1">IF(OR(INDEX($AG$2:$AG$1001,MATCH(ROWS($AF$2:AF37),$AF$2:$AF$1001,0),1)&gt;=100000,INDEX($AM$1005:$BM$1005,1,MATCH(COLUMNS($AM$1006:AR1006),$AM$1006:$BM$1006,0))&gt;=100000), " ",IF(INDEX($AM$2:$BM$1001,MATCH(ROWS($AF$2:AF37),$AF$2:$AF$1001,0),MATCH(COLUMNS($AM$1006:AR1006),$AM$1006:$BM$1006,0)), HYPERLINK("#",""), HYPERLINK(CONCATENATE("#metadata!", ADDRESS(INDEX($AH$2:$AH$1001,MATCH(ROWS($AF$2:AF37),$AF$2:$AF$1001,0),0), INDEX($AM$1004:$BM$1004,1,MATCH(COLUMNS($AM$1006:AR1006),$AM$1006:$BM$1006,0)))),"Fix")))</f>
        <v xml:space="preserve"> </v>
      </c>
      <c r="H37" s="4" t="str">
        <f ca="1">IF(OR(INDEX($AG$2:$AG$1001,MATCH(ROWS($AF$2:AF37),$AF$2:$AF$1001,0),1)&gt;=100000,INDEX($AM$1005:$BM$1005,1,MATCH(COLUMNS($AM$1006:AS1006),$AM$1006:$BM$1006,0))&gt;=100000), " ",IF(INDEX($AM$2:$BM$1001,MATCH(ROWS($AF$2:AF37),$AF$2:$AF$1001,0),MATCH(COLUMNS($AM$1006:AS1006),$AM$1006:$BM$1006,0)), HYPERLINK("#",""), HYPERLINK(CONCATENATE("#metadata!", ADDRESS(INDEX($AH$2:$AH$1001,MATCH(ROWS($AF$2:AF37),$AF$2:$AF$1001,0),0), INDEX($AM$1004:$BM$1004,1,MATCH(COLUMNS($AM$1006:AS1006),$AM$1006:$BM$1006,0)))),"Fix")))</f>
        <v xml:space="preserve"> </v>
      </c>
      <c r="I37" s="4" t="str">
        <f ca="1">IF(OR(INDEX($AG$2:$AG$1001,MATCH(ROWS($AF$2:AF37),$AF$2:$AF$1001,0),1)&gt;=100000,INDEX($AM$1005:$BM$1005,1,MATCH(COLUMNS($AM$1006:AT1006),$AM$1006:$BM$1006,0))&gt;=100000), " ",IF(INDEX($AM$2:$BM$1001,MATCH(ROWS($AF$2:AF37),$AF$2:$AF$1001,0),MATCH(COLUMNS($AM$1006:AT1006),$AM$1006:$BM$1006,0)), HYPERLINK("#",""), HYPERLINK(CONCATENATE("#metadata!", ADDRESS(INDEX($AH$2:$AH$1001,MATCH(ROWS($AF$2:AF37),$AF$2:$AF$1001,0),0), INDEX($AM$1004:$BM$1004,1,MATCH(COLUMNS($AM$1006:AT1006),$AM$1006:$BM$1006,0)))),"Fix")))</f>
        <v xml:space="preserve"> </v>
      </c>
      <c r="J37" s="4" t="str">
        <f ca="1">IF(OR(INDEX($AG$2:$AG$1001,MATCH(ROWS($AF$2:AF37),$AF$2:$AF$1001,0),1)&gt;=100000,INDEX($AM$1005:$BM$1005,1,MATCH(COLUMNS($AM$1006:AU1006),$AM$1006:$BM$1006,0))&gt;=100000), " ",IF(INDEX($AM$2:$BM$1001,MATCH(ROWS($AF$2:AF37),$AF$2:$AF$1001,0),MATCH(COLUMNS($AM$1006:AU1006),$AM$1006:$BM$1006,0)), HYPERLINK("#",""), HYPERLINK(CONCATENATE("#metadata!", ADDRESS(INDEX($AH$2:$AH$1001,MATCH(ROWS($AF$2:AF37),$AF$2:$AF$1001,0),0), INDEX($AM$1004:$BM$1004,1,MATCH(COLUMNS($AM$1006:AU1006),$AM$1006:$BM$1006,0)))),"Fix")))</f>
        <v xml:space="preserve"> </v>
      </c>
      <c r="K37" s="4" t="str">
        <f ca="1">IF(OR(INDEX($AG$2:$AG$1001,MATCH(ROWS($AF$2:AF37),$AF$2:$AF$1001,0),1)&gt;=100000,INDEX($AM$1005:$BM$1005,1,MATCH(COLUMNS($AM$1006:AV1006),$AM$1006:$BM$1006,0))&gt;=100000), " ",IF(INDEX($AM$2:$BM$1001,MATCH(ROWS($AF$2:AF37),$AF$2:$AF$1001,0),MATCH(COLUMNS($AM$1006:AV1006),$AM$1006:$BM$1006,0)), HYPERLINK("#",""), HYPERLINK(CONCATENATE("#metadata!", ADDRESS(INDEX($AH$2:$AH$1001,MATCH(ROWS($AF$2:AF37),$AF$2:$AF$1001,0),0), INDEX($AM$1004:$BM$1004,1,MATCH(COLUMNS($AM$1006:AV1006),$AM$1006:$BM$1006,0)))),"Fix")))</f>
        <v xml:space="preserve"> </v>
      </c>
      <c r="L37" s="4" t="str">
        <f ca="1">IF(OR(INDEX($AG$2:$AG$1001,MATCH(ROWS($AF$2:AF37),$AF$2:$AF$1001,0),1)&gt;=100000,INDEX($AM$1005:$BM$1005,1,MATCH(COLUMNS($AM$1006:AW1006),$AM$1006:$BM$1006,0))&gt;=100000), " ",IF(INDEX($AM$2:$BM$1001,MATCH(ROWS($AF$2:AF37),$AF$2:$AF$1001,0),MATCH(COLUMNS($AM$1006:AW1006),$AM$1006:$BM$1006,0)), HYPERLINK("#",""), HYPERLINK(CONCATENATE("#metadata!", ADDRESS(INDEX($AH$2:$AH$1001,MATCH(ROWS($AF$2:AF37),$AF$2:$AF$1001,0),0), INDEX($AM$1004:$BM$1004,1,MATCH(COLUMNS($AM$1006:AW1006),$AM$1006:$BM$1006,0)))),"Fix")))</f>
        <v xml:space="preserve"> </v>
      </c>
      <c r="M37" s="4" t="str">
        <f ca="1">IF(OR(INDEX($AG$2:$AG$1001,MATCH(ROWS($AF$2:AF37),$AF$2:$AF$1001,0),1)&gt;=100000,INDEX($AM$1005:$BM$1005,1,MATCH(COLUMNS($AM$1006:AX1006),$AM$1006:$BM$1006,0))&gt;=100000), " ",IF(INDEX($AM$2:$BM$1001,MATCH(ROWS($AF$2:AF37),$AF$2:$AF$1001,0),MATCH(COLUMNS($AM$1006:AX1006),$AM$1006:$BM$1006,0)), HYPERLINK("#",""), HYPERLINK(CONCATENATE("#metadata!", ADDRESS(INDEX($AH$2:$AH$1001,MATCH(ROWS($AF$2:AF37),$AF$2:$AF$1001,0),0), INDEX($AM$1004:$BM$1004,1,MATCH(COLUMNS($AM$1006:AX1006),$AM$1006:$BM$1006,0)))),"Fix")))</f>
        <v xml:space="preserve"> </v>
      </c>
      <c r="N37" s="4" t="str">
        <f ca="1">IF(OR(INDEX($AG$2:$AG$1001,MATCH(ROWS($AF$2:AF37),$AF$2:$AF$1001,0),1)&gt;=100000,INDEX($AM$1005:$BM$1005,1,MATCH(COLUMNS($AM$1006:AY1006),$AM$1006:$BM$1006,0))&gt;=100000), " ",IF(INDEX($AM$2:$BM$1001,MATCH(ROWS($AF$2:AF37),$AF$2:$AF$1001,0),MATCH(COLUMNS($AM$1006:AY1006),$AM$1006:$BM$1006,0)), HYPERLINK("#",""), HYPERLINK(CONCATENATE("#metadata!", ADDRESS(INDEX($AH$2:$AH$1001,MATCH(ROWS($AF$2:AF37),$AF$2:$AF$1001,0),0), INDEX($AM$1004:$BM$1004,1,MATCH(COLUMNS($AM$1006:AY1006),$AM$1006:$BM$1006,0)))),"Fix")))</f>
        <v xml:space="preserve"> </v>
      </c>
      <c r="O37" s="4" t="str">
        <f ca="1">IF(OR(INDEX($AG$2:$AG$1001,MATCH(ROWS($AF$2:AF37),$AF$2:$AF$1001,0),1)&gt;=100000,INDEX($AM$1005:$BM$1005,1,MATCH(COLUMNS($AM$1006:AZ1006),$AM$1006:$BM$1006,0))&gt;=100000), " ",IF(INDEX($AM$2:$BM$1001,MATCH(ROWS($AF$2:AF37),$AF$2:$AF$1001,0),MATCH(COLUMNS($AM$1006:AZ1006),$AM$1006:$BM$1006,0)), HYPERLINK("#",""), HYPERLINK(CONCATENATE("#metadata!", ADDRESS(INDEX($AH$2:$AH$1001,MATCH(ROWS($AF$2:AF37),$AF$2:$AF$1001,0),0), INDEX($AM$1004:$BM$1004,1,MATCH(COLUMNS($AM$1006:AZ1006),$AM$1006:$BM$1006,0)))),"Fix")))</f>
        <v xml:space="preserve"> </v>
      </c>
      <c r="P37" s="4" t="str">
        <f ca="1">IF(OR(INDEX($AG$2:$AG$1001,MATCH(ROWS($AF$2:AF37),$AF$2:$AF$1001,0),1)&gt;=100000,INDEX($AM$1005:$BM$1005,1,MATCH(COLUMNS($AM$1006:BA1006),$AM$1006:$BM$1006,0))&gt;=100000), " ",IF(INDEX($AM$2:$BM$1001,MATCH(ROWS($AF$2:AF37),$AF$2:$AF$1001,0),MATCH(COLUMNS($AM$1006:BA1006),$AM$1006:$BM$1006,0)), HYPERLINK("#",""), HYPERLINK(CONCATENATE("#metadata!", ADDRESS(INDEX($AH$2:$AH$1001,MATCH(ROWS($AF$2:AF37),$AF$2:$AF$1001,0),0), INDEX($AM$1004:$BM$1004,1,MATCH(COLUMNS($AM$1006:BA1006),$AM$1006:$BM$1006,0)))),"Fix")))</f>
        <v xml:space="preserve"> </v>
      </c>
      <c r="Q37" s="4" t="str">
        <f ca="1">IF(OR(INDEX($AG$2:$AG$1001,MATCH(ROWS($AF$2:AF37),$AF$2:$AF$1001,0),1)&gt;=100000,INDEX($AM$1005:$BM$1005,1,MATCH(COLUMNS($AM$1006:BB1006),$AM$1006:$BM$1006,0))&gt;=100000), " ",IF(INDEX($AM$2:$BM$1001,MATCH(ROWS($AF$2:AF37),$AF$2:$AF$1001,0),MATCH(COLUMNS($AM$1006:BB1006),$AM$1006:$BM$1006,0)), HYPERLINK("#",""), HYPERLINK(CONCATENATE("#metadata!", ADDRESS(INDEX($AH$2:$AH$1001,MATCH(ROWS($AF$2:AF37),$AF$2:$AF$1001,0),0), INDEX($AM$1004:$BM$1004,1,MATCH(COLUMNS($AM$1006:BB1006),$AM$1006:$BM$1006,0)))),"Fix")))</f>
        <v xml:space="preserve"> </v>
      </c>
      <c r="R37" s="4" t="str">
        <f ca="1">IF(OR(INDEX($AG$2:$AG$1001,MATCH(ROWS($AF$2:AF37),$AF$2:$AF$1001,0),1)&gt;=100000,INDEX($AM$1005:$BM$1005,1,MATCH(COLUMNS($AM$1006:BC1006),$AM$1006:$BM$1006,0))&gt;=100000), " ",IF(INDEX($AM$2:$BM$1001,MATCH(ROWS($AF$2:AF37),$AF$2:$AF$1001,0),MATCH(COLUMNS($AM$1006:BC1006),$AM$1006:$BM$1006,0)), HYPERLINK("#",""), HYPERLINK(CONCATENATE("#metadata!", ADDRESS(INDEX($AH$2:$AH$1001,MATCH(ROWS($AF$2:AF37),$AF$2:$AF$1001,0),0), INDEX($AM$1004:$BM$1004,1,MATCH(COLUMNS($AM$1006:BC1006),$AM$1006:$BM$1006,0)))),"Fix")))</f>
        <v xml:space="preserve"> </v>
      </c>
      <c r="S37" s="4" t="str">
        <f ca="1">IF(OR(INDEX($AG$2:$AG$1001,MATCH(ROWS($AF$2:AF37),$AF$2:$AF$1001,0),1)&gt;=100000,INDEX($AM$1005:$BM$1005,1,MATCH(COLUMNS($AM$1006:BD1006),$AM$1006:$BM$1006,0))&gt;=100000), " ",IF(INDEX($AM$2:$BM$1001,MATCH(ROWS($AF$2:AF37),$AF$2:$AF$1001,0),MATCH(COLUMNS($AM$1006:BD1006),$AM$1006:$BM$1006,0)), HYPERLINK("#",""), HYPERLINK(CONCATENATE("#metadata!", ADDRESS(INDEX($AH$2:$AH$1001,MATCH(ROWS($AF$2:AF37),$AF$2:$AF$1001,0),0), INDEX($AM$1004:$BM$1004,1,MATCH(COLUMNS($AM$1006:BD1006),$AM$1006:$BM$1006,0)))),"Fix")))</f>
        <v xml:space="preserve"> </v>
      </c>
      <c r="T37" s="4" t="str">
        <f ca="1">IF(OR(INDEX($AG$2:$AG$1001,MATCH(ROWS($AF$2:AF37),$AF$2:$AF$1001,0),1)&gt;=100000,INDEX($AM$1005:$BM$1005,1,MATCH(COLUMNS($AM$1006:BE1006),$AM$1006:$BM$1006,0))&gt;=100000), " ",IF(INDEX($AM$2:$BM$1001,MATCH(ROWS($AF$2:AF37),$AF$2:$AF$1001,0),MATCH(COLUMNS($AM$1006:BE1006),$AM$1006:$BM$1006,0)), HYPERLINK("#",""), HYPERLINK(CONCATENATE("#metadata!", ADDRESS(INDEX($AH$2:$AH$1001,MATCH(ROWS($AF$2:AF37),$AF$2:$AF$1001,0),0), INDEX($AM$1004:$BM$1004,1,MATCH(COLUMNS($AM$1006:BE1006),$AM$1006:$BM$1006,0)))),"Fix")))</f>
        <v xml:space="preserve"> </v>
      </c>
      <c r="U37" s="4" t="str">
        <f ca="1">IF(OR(INDEX($AG$2:$AG$1001,MATCH(ROWS($AF$2:AF37),$AF$2:$AF$1001,0),1)&gt;=100000,INDEX($AM$1005:$BM$1005,1,MATCH(COLUMNS($AM$1006:BF1006),$AM$1006:$BM$1006,0))&gt;=100000), " ",IF(INDEX($AM$2:$BM$1001,MATCH(ROWS($AF$2:AF37),$AF$2:$AF$1001,0),MATCH(COLUMNS($AM$1006:BF1006),$AM$1006:$BM$1006,0)), HYPERLINK("#",""), HYPERLINK(CONCATENATE("#metadata!", ADDRESS(INDEX($AH$2:$AH$1001,MATCH(ROWS($AF$2:AF37),$AF$2:$AF$1001,0),0), INDEX($AM$1004:$BM$1004,1,MATCH(COLUMNS($AM$1006:BF1006),$AM$1006:$BM$1006,0)))),"Fix")))</f>
        <v xml:space="preserve"> </v>
      </c>
      <c r="V37" s="4" t="str">
        <f ca="1">IF(OR(INDEX($AG$2:$AG$1001,MATCH(ROWS($AF$2:AF37),$AF$2:$AF$1001,0),1)&gt;=100000,INDEX($AM$1005:$BM$1005,1,MATCH(COLUMNS($AM$1006:BG1006),$AM$1006:$BM$1006,0))&gt;=100000), " ",IF(INDEX($AM$2:$BM$1001,MATCH(ROWS($AF$2:AF37),$AF$2:$AF$1001,0),MATCH(COLUMNS($AM$1006:BG1006),$AM$1006:$BM$1006,0)), HYPERLINK("#",""), HYPERLINK(CONCATENATE("#metadata!", ADDRESS(INDEX($AH$2:$AH$1001,MATCH(ROWS($AF$2:AF37),$AF$2:$AF$1001,0),0), INDEX($AM$1004:$BM$1004,1,MATCH(COLUMNS($AM$1006:BG1006),$AM$1006:$BM$1006,0)))),"Fix")))</f>
        <v xml:space="preserve"> </v>
      </c>
      <c r="W37" s="4" t="str">
        <f ca="1">IF(OR(INDEX($AG$2:$AG$1001,MATCH(ROWS($AF$2:AF37),$AF$2:$AF$1001,0),1)&gt;=100000,INDEX($AM$1005:$BM$1005,1,MATCH(COLUMNS($AM$1006:BH1006),$AM$1006:$BM$1006,0))&gt;=100000), " ",IF(INDEX($AM$2:$BM$1001,MATCH(ROWS($AF$2:AF37),$AF$2:$AF$1001,0),MATCH(COLUMNS($AM$1006:BH1006),$AM$1006:$BM$1006,0)), HYPERLINK("#",""), HYPERLINK(CONCATENATE("#metadata!", ADDRESS(INDEX($AH$2:$AH$1001,MATCH(ROWS($AF$2:AF37),$AF$2:$AF$1001,0),0), INDEX($AM$1004:$BM$1004,1,MATCH(COLUMNS($AM$1006:BH1006),$AM$1006:$BM$1006,0)))),"Fix")))</f>
        <v xml:space="preserve"> </v>
      </c>
      <c r="X37" s="4" t="str">
        <f ca="1">IF(OR(INDEX($AG$2:$AG$1001,MATCH(ROWS($AF$2:AF37),$AF$2:$AF$1001,0),1)&gt;=100000,INDEX($AM$1005:$BM$1005,1,MATCH(COLUMNS($AM$1006:BI1006),$AM$1006:$BM$1006,0))&gt;=100000), " ",IF(INDEX($AM$2:$BM$1001,MATCH(ROWS($AF$2:AF37),$AF$2:$AF$1001,0),MATCH(COLUMNS($AM$1006:BI1006),$AM$1006:$BM$1006,0)), HYPERLINK("#",""), HYPERLINK(CONCATENATE("#metadata!", ADDRESS(INDEX($AH$2:$AH$1001,MATCH(ROWS($AF$2:AF37),$AF$2:$AF$1001,0),0), INDEX($AM$1004:$BM$1004,1,MATCH(COLUMNS($AM$1006:BI1006),$AM$1006:$BM$1006,0)))),"Fix")))</f>
        <v xml:space="preserve"> </v>
      </c>
      <c r="Y37" s="4" t="str">
        <f ca="1">IF(OR(INDEX($AG$2:$AG$1001,MATCH(ROWS($AF$2:AF37),$AF$2:$AF$1001,0),1)&gt;=100000,INDEX($AM$1005:$BM$1005,1,MATCH(COLUMNS($AM$1006:BJ1006),$AM$1006:$BM$1006,0))&gt;=100000), " ",IF(INDEX($AM$2:$BM$1001,MATCH(ROWS($AF$2:AF37),$AF$2:$AF$1001,0),MATCH(COLUMNS($AM$1006:BJ1006),$AM$1006:$BM$1006,0)), HYPERLINK("#",""), HYPERLINK(CONCATENATE("#metadata!", ADDRESS(INDEX($AH$2:$AH$1001,MATCH(ROWS($AF$2:AF37),$AF$2:$AF$1001,0),0), INDEX($AM$1004:$BM$1004,1,MATCH(COLUMNS($AM$1006:BJ1006),$AM$1006:$BM$1006,0)))),"Fix")))</f>
        <v xml:space="preserve"> </v>
      </c>
      <c r="Z37" s="4" t="str">
        <f ca="1">IF(OR(INDEX($AG$2:$AG$1001,MATCH(ROWS($AF$2:AF37),$AF$2:$AF$1001,0),1)&gt;=100000,INDEX($AM$1005:$BM$1005,1,MATCH(COLUMNS($AM$1006:BK1006),$AM$1006:$BM$1006,0))&gt;=100000), " ",IF(INDEX($AM$2:$BM$1001,MATCH(ROWS($AF$2:AF37),$AF$2:$AF$1001,0),MATCH(COLUMNS($AM$1006:BK1006),$AM$1006:$BM$1006,0)), HYPERLINK("#",""), HYPERLINK(CONCATENATE("#metadata!", ADDRESS(INDEX($AH$2:$AH$1001,MATCH(ROWS($AF$2:AF37),$AF$2:$AF$1001,0),0), INDEX($AM$1004:$BM$1004,1,MATCH(COLUMNS($AM$1006:BK1006),$AM$1006:$BM$1006,0)))),"Fix")))</f>
        <v xml:space="preserve"> </v>
      </c>
      <c r="AA37" s="4" t="str">
        <f ca="1">IF(OR(INDEX($AG$2:$AG$1001,MATCH(ROWS($AF$2:AF37),$AF$2:$AF$1001,0),1)&gt;=100000,INDEX($AM$1005:$BM$1005,1,MATCH(COLUMNS($AM$1006:BL1006),$AM$1006:$BM$1006,0))&gt;=100000), " ",IF(INDEX($AM$2:$BM$1001,MATCH(ROWS($AF$2:AF37),$AF$2:$AF$1001,0),MATCH(COLUMNS($AM$1006:BL1006),$AM$1006:$BM$1006,0)), HYPERLINK("#",""), HYPERLINK(CONCATENATE("#metadata!", ADDRESS(INDEX($AH$2:$AH$1001,MATCH(ROWS($AF$2:AF37),$AF$2:$AF$1001,0),0), INDEX($AM$1004:$BM$1004,1,MATCH(COLUMNS($AM$1006:BL1006),$AM$1006:$BM$1006,0)))),"Fix")))</f>
        <v xml:space="preserve"> </v>
      </c>
      <c r="AB37" s="4" t="str">
        <f ca="1">IF(OR(INDEX($AG$2:$AG$1001,MATCH(ROWS($AF$2:AF37),$AF$2:$AF$1001,0),1)&gt;=100000,INDEX($AM$1005:$BM$1005,1,MATCH(COLUMNS($AM$1006:BM1006),$AM$1006:$BM$1006,0))&gt;=100000), " ",IF(INDEX($AM$2:$BM$1001,MATCH(ROWS($AF$2:AF37),$AF$2:$AF$1001,0),MATCH(COLUMNS($AM$1006:BM1006),$AM$1006:$BM$1006,0)), HYPERLINK("#",""), HYPERLINK(CONCATENATE("#metadata!", ADDRESS(INDEX($AH$2:$AH$1001,MATCH(ROWS($AF$2:AF37),$AF$2:$AF$1001,0),0), INDEX($AM$1004:$BM$1004,1,MATCH(COLUMNS($AM$1006:BM1006),$AM$1006:$BM$1006,0)))),"Fix")))</f>
        <v xml:space="preserve"> </v>
      </c>
      <c r="AF37">
        <v>36</v>
      </c>
      <c r="AG37">
        <v>100037</v>
      </c>
      <c r="AH37">
        <v>37</v>
      </c>
      <c r="AI37" t="b">
        <f t="shared" si="0"/>
        <v>1</v>
      </c>
      <c r="AJ37" t="b">
        <f>COUNTBLANK(metadata!B37:AB37)=COLUMNS(metadata!B37:AB37)</f>
        <v>1</v>
      </c>
      <c r="AK37" t="str">
        <v/>
      </c>
      <c r="AM37" t="b">
        <f ca="1">AND(IF(metadata!B37="",FALSE,TRUE),COUNTIF(metadata!B:B, metadata!B37) = 1,NOT(ISERROR(SUMPRODUCT(SEARCH(MID(metadata!B37,ROW(INDIRECT("1:"&amp;LEN(metadata!B37))), 1),"0123456789abcdefghijklmnopqrstuvwxyzABCDEFGHIJKLMNOPQRSTUVWXYZ.")))))</f>
        <v>0</v>
      </c>
      <c r="AN37" t="b">
        <f ca="1">OR(AND(IF(metadata!C37="",FALSE,TRUE),OR(EXACT(metadata!C37,"missing: not collected"),EXACT(metadata!C37,"missing: not provided"),EXACT(metadata!C37,"missing: restricted access"))),AND(IF(metadata!C37="",FALSE,TRUE),AND(AND(IFERROR(INT(LEFT(metadata!C37,4))&gt;1900,FALSE),IFERROR(INT(LEFT(metadata!C37,4))&lt;=YEAR(NOW()),FALSE)), OR(MID(metadata!C37,5,1)="", AND(AND(MID(metadata!C37,5,1)="-",IFERROR(INT(MID(metadata!C37,6,1))&gt;=0,FALSE),IFERROR(INT(MID(metadata!C37,6,1))&lt;=1,FALSE),NOT(MID(metadata!C37,7,1)=""),IFERROR(INT(MID(metadata!C37,6,2))&gt;=1,FALSE),IFERROR(INT(MID(metadata!C37,6,2))&lt;=12,FALSE)), OR(MID(metadata!C37,8,1)="", AND(AND(MID(metadata!C37,8,1)="-",IFERROR(INT(MID(metadata!C37,9,1))&gt;=0,FALSE),IFERROR(INT(MID(metadata!C37,9,1))&lt;=3,FALSE),NOT(MID(metadata!C37,10,1)=""),IFERROR(INT(MID(metadata!C37,9,2))&gt;=1,FALSE),IFERROR(INT(MID(metadata!C37,9,2))&lt;=31,FALSE)), OR(MID(metadata!C37,11,1)="", AND(AND(MID(metadata!C37,11,1)=" ",IFERROR(INT(MID(metadata!C37,12,1))&gt;=0,FALSE),IFERROR(INT(MID(metadata!C37,12,1))&lt;=2,FALSE),NOT(MID(metadata!C37,13,1)=""),IFERROR(INT(MID(metadata!C37,12,2))&gt;=0,FALSE),IFERROR(INT(MID(metadata!C37,12,2))&lt;=23,FALSE)), OR(MID(metadata!C37,14,1)="", AND(AND(MID(metadata!C37,14,1)=":",IFERROR(INT(MID(metadata!C37,15,1))&gt;=0,FALSE),IFERROR(INT(MID(metadata!C37,15,1))&lt;=5,FALSE),NOT(MID(metadata!C37,16,1)=""),IFERROR(INT(MID(metadata!C37,15,2))&gt;=0,FALSE),IFERROR(INT(MID(metadata!C37,15,2))&lt;=59,FALSE)), OR(MID(metadata!C37,17,1)="", AND(AND(MID(metadata!C37,17,1)=":",IFERROR(INT(MID(metadata!C37,18,1))&gt;=0,FALSE),IFERROR(INT(MID(metadata!C37,18,1))&lt;=5,FALSE),NOT(MID(metadata!C37,19,1)=""),IFERROR(INT(MID(metadata!C37,18,2))&gt;=0,FALSE),IFERROR(INT(MID(metadata!C37,18,2))&lt;=59,FALSE)), LEN(metadata!C37)&lt;=19)))))))))))))</f>
        <v>0</v>
      </c>
      <c r="AO37" t="b">
        <f>AND(IF(metadata!D37="",FALSE,TRUE),EXACT(metadata!D37,"Not applicable"))</f>
        <v>0</v>
      </c>
      <c r="AP37" t="b">
        <f>IF(metadata!E37="",FALSE,TRUE)</f>
        <v>0</v>
      </c>
      <c r="AQ37" t="b">
        <f>OR(AND(IF(metadata!F37="",FALSE,TRUE),OR(EXACT(metadata!F37,"missing: not collected"),EXACT(metadata!F37,"missing: not provided"))),AND(IF(metadata!F37="",FALSE,TRUE),OR(EXACT(metadata!F37,"TRUE"),EXACT(metadata!F37,"FALSE"))))</f>
        <v>0</v>
      </c>
      <c r="AR37" t="b">
        <f>OR(AND(IF(metadata!G37="",FALSE,TRUE),OR(EXACT(metadata!G37,"missing: not collected"),EXACT(metadata!G37,"missing: not provided"),EXACT(metadata!G37,"missing: restricted access"))),AND(IF(metadata!G37="",FALSE,ISNUMBER(VALUE(metadata!G37))),metadata!G37&gt;=-413))</f>
        <v>0</v>
      </c>
      <c r="AS37" t="b">
        <f>AND(IF(metadata!H37="",FALSE,TRUE),EXACT(metadata!H37,"meters"))</f>
        <v>0</v>
      </c>
      <c r="AT37" t="b">
        <f>AND(IF(metadata!I37="",FALSE,TRUE),OR(EXACT(metadata!I37,"Host-associated"),EXACT(metadata!I37,"Free-living")))</f>
        <v>0</v>
      </c>
      <c r="AU37" t="b">
        <f>AND(IF(metadata!J37="",FALSE,TRUE),OR(EXACT(metadata!J37,"Animal"),EXACT(metadata!J37,"Fungus"),EXACT(metadata!J37,"Plant"),EXACT(metadata!J37,"Saline"),EXACT(metadata!J37,"Non-saline")))</f>
        <v>0</v>
      </c>
      <c r="AV37" t="b">
        <f>AND(IF(metadata!K37="",FALSE,TRUE),OR(EXACT(metadata!K37,"Plant secretion"),EXACT(metadata!K37,"Plant rhizosphere"),EXACT(metadata!K37,"Plant surface"),EXACT(metadata!K37,"Plant corpus"),EXACT(metadata!K37,"Fungus surface"),EXACT(metadata!K37,"Fungus corpus"),EXACT(metadata!K37,"Animal surface"),EXACT(metadata!K37,"Animal proximal gut"),EXACT(metadata!K37,"Animal corpus"),EXACT(metadata!K37,"Animal distal gut"),EXACT(metadata!K37,"Animal secretion"),EXACT(metadata!K37,"Sub-surface (non-saline)"),EXACT(metadata!K37,"Surface (non-saline)"),EXACT(metadata!K37,"Water (non-saline)"),EXACT(metadata!K37,"Soil (non-saline)"),EXACT(metadata!K37,"Aerosol (non-saline)"),EXACT(metadata!K37,"Sediment (non-saline)"),EXACT(metadata!K37,"Surface (saline)"),EXACT(metadata!K37,"Water (saline)"),EXACT(metadata!K37,"Hypersaline (saline)"),EXACT(metadata!K37,"Aerosol (saline)"),EXACT(metadata!K37,"Sediment (saline)")))</f>
        <v>0</v>
      </c>
      <c r="AW37" t="b">
        <f>IF(metadata!L37="",FALSE,TRUE)</f>
        <v>0</v>
      </c>
      <c r="AX37" t="b">
        <f>IF(metadata!M37="",FALSE,TRUE)</f>
        <v>0</v>
      </c>
      <c r="AY37" t="b">
        <f>IF(metadata!N37="",FALSE,TRUE)</f>
        <v>0</v>
      </c>
      <c r="AZ37" t="b">
        <f>OR(AND(IF(metadata!O37="",FALSE,TRUE),OR(EXACT(metadata!O37,"missing: not collected"),EXACT(metadata!O37,"missing: not provided"),EXACT(metadata!O37,"missing: restricted access"))),AND(IF(metadata!O37="",FALSE,TRUE),OR(EXACT(metadata!O37,"air"),EXACT(metadata!O37,"built environment"),EXACT(metadata!O37,"host-associated"),EXACT(metadata!O37,"human-associated"),EXACT(metadata!O37,"human-skin"),EXACT(metadata!O37,"human-oral"),EXACT(metadata!O37,"human-gut"),EXACT(metadata!O37,"human-vaginal"),EXACT(metadata!O37,"microbial mat/biofilm"),EXACT(metadata!O37,"misc environment"),EXACT(metadata!O37,"plant-associated"),EXACT(metadata!O37,"sediment"),EXACT(metadata!O37,"soil"),EXACT(metadata!O37,"wastewater/sludge"),EXACT(metadata!O37,"water"))))</f>
        <v>0</v>
      </c>
      <c r="BA37" t="b">
        <f>IF(metadata!P37="",FALSE,TRUE)</f>
        <v>0</v>
      </c>
      <c r="BB37" t="b">
        <f>IF(metadata!Q37="",FALSE,TRUE)</f>
        <v>0</v>
      </c>
      <c r="BC37" t="b">
        <f>OR(AND(IF(metadata!R37="",FALSE,TRUE),OR(EXACT(metadata!R37,"missing: not collected"),EXACT(metadata!R37,"missing: not provided"),EXACT(metadata!R37,"missing: restricted access"))),AND(IF(metadata!R37="",FALSE,ISNUMBER(VALUE(metadata!R37))),metadata!R37&gt;=-90,metadata!R37&lt;=90))</f>
        <v>0</v>
      </c>
      <c r="BD37" t="b">
        <f>AND(IF(metadata!S37="",FALSE,TRUE),EXACT(metadata!S37,"Decimal degrees"))</f>
        <v>0</v>
      </c>
      <c r="BE37" t="b">
        <f>OR(AND(IF(metadata!T37="",FALSE,TRUE),OR(EXACT(metadata!T37,"missing: not collected"),EXACT(metadata!T37,"missing: not provided"),EXACT(metadata!T37,"missing: restricted access"))),AND(IF(metadata!T37="",FALSE,ISNUMBER(VALUE(metadata!T37))),metadata!T37&gt;=-180,metadata!T37&lt;=180))</f>
        <v>0</v>
      </c>
      <c r="BF37" t="b">
        <f>AND(IF(metadata!U37="",FALSE,TRUE),EXACT(metadata!U37,"Decimal degrees"))</f>
        <v>0</v>
      </c>
      <c r="BG37" t="b">
        <f>IF(metadata!V37="",FALSE,TRUE)</f>
        <v>0</v>
      </c>
      <c r="BH37" t="b">
        <f>OR(AND(IF(metadata!W37="",FALSE,TRUE),OR(EXACT(metadata!W37,"missing: not collected"),EXACT(metadata!W37,"missing: not provided"),EXACT(metadata!W37,"missing: restricted access"))),AND(IF(metadata!W37="",FALSE,TRUE),OR(EXACT(metadata!W37,"TRUE"),EXACT(metadata!W37,"FALSE"))))</f>
        <v>0</v>
      </c>
      <c r="BI37" t="b">
        <f>AND(IF(metadata!X37="",FALSE,TRUE),EXACT(metadata!X37,"other"))</f>
        <v>0</v>
      </c>
      <c r="BJ37" t="b">
        <f>IF(metadata!Y37="",FALSE,TRUE)</f>
        <v>0</v>
      </c>
      <c r="BK37" t="b">
        <f>OR(AND(IF(metadata!Z37="",FALSE,TRUE),OR(EXACT(metadata!Z37,"missing: not collected"),EXACT(metadata!Z37,"missing: not provided"))),AND(IF(metadata!Z37="",FALSE,IF(ISERROR(INT(metadata!Z37)),FALSE,INT(metadata!Z37)=metadata!Z37)),metadata!Z37&gt;0))</f>
        <v>0</v>
      </c>
      <c r="BL37" t="b">
        <f>AND(IF(metadata!AA37="",FALSE,TRUE),EXACT(metadata!AA37,"Not applicable"))</f>
        <v>0</v>
      </c>
      <c r="BM37" t="b">
        <f>IF(metadata!AB37="",FALSE,TRUE)</f>
        <v>0</v>
      </c>
    </row>
    <row r="38" spans="1:65" x14ac:dyDescent="0.2">
      <c r="A38" s="5" t="str">
        <f ca="1">IF(B38=" "," ",HYPERLINK(CONCATENATE("#metadata!",ADDRESS(INDEX($AH$2:$AH$1001,MATCH(ROWS($AF$2:AF38),$AF$2:$AF$1001,0),0),1)),INDEX($AK$2:$AK$1001,MATCH(ROWS($AF$2:AF38),$AF$2:$AF$1001,0),0)))</f>
        <v xml:space="preserve"> </v>
      </c>
      <c r="B38" s="4" t="str">
        <f ca="1">IF(OR(INDEX($AG$2:$AG$1001,MATCH(ROWS($AF$2:AF38),$AF$2:$AF$1001,0),1)&gt;=100000,INDEX($AM$1005:$BM$1005,1,MATCH(COLUMNS($AM$1006:AM1006),$AM$1006:$BM$1006,0))&gt;=100000), " ",IF(INDEX($AM$2:$BM$1001,MATCH(ROWS($AF$2:AF38),$AF$2:$AF$1001,0),MATCH(COLUMNS($AM$1006:AM1006),$AM$1006:$BM$1006,0)), HYPERLINK("#",""), HYPERLINK(CONCATENATE("#metadata!", ADDRESS(INDEX($AH$2:$AH$1001,MATCH(ROWS($AF$2:AF38),$AF$2:$AF$1001,0),0), INDEX($AM$1004:$BM$1004,1,MATCH(COLUMNS($AM$1006:AM1006),$AM$1006:$BM$1006,0)))),"Fix")))</f>
        <v xml:space="preserve"> </v>
      </c>
      <c r="C38" s="4" t="str">
        <f ca="1">IF(OR(INDEX($AG$2:$AG$1001,MATCH(ROWS($AF$2:AF38),$AF$2:$AF$1001,0),1)&gt;=100000,INDEX($AM$1005:$BM$1005,1,MATCH(COLUMNS($AM$1006:AN1006),$AM$1006:$BM$1006,0))&gt;=100000), " ",IF(INDEX($AM$2:$BM$1001,MATCH(ROWS($AF$2:AF38),$AF$2:$AF$1001,0),MATCH(COLUMNS($AM$1006:AN1006),$AM$1006:$BM$1006,0)), HYPERLINK("#",""), HYPERLINK(CONCATENATE("#metadata!", ADDRESS(INDEX($AH$2:$AH$1001,MATCH(ROWS($AF$2:AF38),$AF$2:$AF$1001,0),0), INDEX($AM$1004:$BM$1004,1,MATCH(COLUMNS($AM$1006:AN1006),$AM$1006:$BM$1006,0)))),"Fix")))</f>
        <v xml:space="preserve"> </v>
      </c>
      <c r="D38" s="4" t="str">
        <f ca="1">IF(OR(INDEX($AG$2:$AG$1001,MATCH(ROWS($AF$2:AF38),$AF$2:$AF$1001,0),1)&gt;=100000,INDEX($AM$1005:$BM$1005,1,MATCH(COLUMNS($AM$1006:AO1006),$AM$1006:$BM$1006,0))&gt;=100000), " ",IF(INDEX($AM$2:$BM$1001,MATCH(ROWS($AF$2:AF38),$AF$2:$AF$1001,0),MATCH(COLUMNS($AM$1006:AO1006),$AM$1006:$BM$1006,0)), HYPERLINK("#",""), HYPERLINK(CONCATENATE("#metadata!", ADDRESS(INDEX($AH$2:$AH$1001,MATCH(ROWS($AF$2:AF38),$AF$2:$AF$1001,0),0), INDEX($AM$1004:$BM$1004,1,MATCH(COLUMNS($AM$1006:AO1006),$AM$1006:$BM$1006,0)))),"Fix")))</f>
        <v xml:space="preserve"> </v>
      </c>
      <c r="E38" s="4" t="str">
        <f ca="1">IF(OR(INDEX($AG$2:$AG$1001,MATCH(ROWS($AF$2:AF38),$AF$2:$AF$1001,0),1)&gt;=100000,INDEX($AM$1005:$BM$1005,1,MATCH(COLUMNS($AM$1006:AP1006),$AM$1006:$BM$1006,0))&gt;=100000), " ",IF(INDEX($AM$2:$BM$1001,MATCH(ROWS($AF$2:AF38),$AF$2:$AF$1001,0),MATCH(COLUMNS($AM$1006:AP1006),$AM$1006:$BM$1006,0)), HYPERLINK("#",""), HYPERLINK(CONCATENATE("#metadata!", ADDRESS(INDEX($AH$2:$AH$1001,MATCH(ROWS($AF$2:AF38),$AF$2:$AF$1001,0),0), INDEX($AM$1004:$BM$1004,1,MATCH(COLUMNS($AM$1006:AP1006),$AM$1006:$BM$1006,0)))),"Fix")))</f>
        <v xml:space="preserve"> </v>
      </c>
      <c r="F38" s="4" t="str">
        <f ca="1">IF(OR(INDEX($AG$2:$AG$1001,MATCH(ROWS($AF$2:AF38),$AF$2:$AF$1001,0),1)&gt;=100000,INDEX($AM$1005:$BM$1005,1,MATCH(COLUMNS($AM$1006:AQ1006),$AM$1006:$BM$1006,0))&gt;=100000), " ",IF(INDEX($AM$2:$BM$1001,MATCH(ROWS($AF$2:AF38),$AF$2:$AF$1001,0),MATCH(COLUMNS($AM$1006:AQ1006),$AM$1006:$BM$1006,0)), HYPERLINK("#",""), HYPERLINK(CONCATENATE("#metadata!", ADDRESS(INDEX($AH$2:$AH$1001,MATCH(ROWS($AF$2:AF38),$AF$2:$AF$1001,0),0), INDEX($AM$1004:$BM$1004,1,MATCH(COLUMNS($AM$1006:AQ1006),$AM$1006:$BM$1006,0)))),"Fix")))</f>
        <v xml:space="preserve"> </v>
      </c>
      <c r="G38" s="4" t="str">
        <f ca="1">IF(OR(INDEX($AG$2:$AG$1001,MATCH(ROWS($AF$2:AF38),$AF$2:$AF$1001,0),1)&gt;=100000,INDEX($AM$1005:$BM$1005,1,MATCH(COLUMNS($AM$1006:AR1006),$AM$1006:$BM$1006,0))&gt;=100000), " ",IF(INDEX($AM$2:$BM$1001,MATCH(ROWS($AF$2:AF38),$AF$2:$AF$1001,0),MATCH(COLUMNS($AM$1006:AR1006),$AM$1006:$BM$1006,0)), HYPERLINK("#",""), HYPERLINK(CONCATENATE("#metadata!", ADDRESS(INDEX($AH$2:$AH$1001,MATCH(ROWS($AF$2:AF38),$AF$2:$AF$1001,0),0), INDEX($AM$1004:$BM$1004,1,MATCH(COLUMNS($AM$1006:AR1006),$AM$1006:$BM$1006,0)))),"Fix")))</f>
        <v xml:space="preserve"> </v>
      </c>
      <c r="H38" s="4" t="str">
        <f ca="1">IF(OR(INDEX($AG$2:$AG$1001,MATCH(ROWS($AF$2:AF38),$AF$2:$AF$1001,0),1)&gt;=100000,INDEX($AM$1005:$BM$1005,1,MATCH(COLUMNS($AM$1006:AS1006),$AM$1006:$BM$1006,0))&gt;=100000), " ",IF(INDEX($AM$2:$BM$1001,MATCH(ROWS($AF$2:AF38),$AF$2:$AF$1001,0),MATCH(COLUMNS($AM$1006:AS1006),$AM$1006:$BM$1006,0)), HYPERLINK("#",""), HYPERLINK(CONCATENATE("#metadata!", ADDRESS(INDEX($AH$2:$AH$1001,MATCH(ROWS($AF$2:AF38),$AF$2:$AF$1001,0),0), INDEX($AM$1004:$BM$1004,1,MATCH(COLUMNS($AM$1006:AS1006),$AM$1006:$BM$1006,0)))),"Fix")))</f>
        <v xml:space="preserve"> </v>
      </c>
      <c r="I38" s="4" t="str">
        <f ca="1">IF(OR(INDEX($AG$2:$AG$1001,MATCH(ROWS($AF$2:AF38),$AF$2:$AF$1001,0),1)&gt;=100000,INDEX($AM$1005:$BM$1005,1,MATCH(COLUMNS($AM$1006:AT1006),$AM$1006:$BM$1006,0))&gt;=100000), " ",IF(INDEX($AM$2:$BM$1001,MATCH(ROWS($AF$2:AF38),$AF$2:$AF$1001,0),MATCH(COLUMNS($AM$1006:AT1006),$AM$1006:$BM$1006,0)), HYPERLINK("#",""), HYPERLINK(CONCATENATE("#metadata!", ADDRESS(INDEX($AH$2:$AH$1001,MATCH(ROWS($AF$2:AF38),$AF$2:$AF$1001,0),0), INDEX($AM$1004:$BM$1004,1,MATCH(COLUMNS($AM$1006:AT1006),$AM$1006:$BM$1006,0)))),"Fix")))</f>
        <v xml:space="preserve"> </v>
      </c>
      <c r="J38" s="4" t="str">
        <f ca="1">IF(OR(INDEX($AG$2:$AG$1001,MATCH(ROWS($AF$2:AF38),$AF$2:$AF$1001,0),1)&gt;=100000,INDEX($AM$1005:$BM$1005,1,MATCH(COLUMNS($AM$1006:AU1006),$AM$1006:$BM$1006,0))&gt;=100000), " ",IF(INDEX($AM$2:$BM$1001,MATCH(ROWS($AF$2:AF38),$AF$2:$AF$1001,0),MATCH(COLUMNS($AM$1006:AU1006),$AM$1006:$BM$1006,0)), HYPERLINK("#",""), HYPERLINK(CONCATENATE("#metadata!", ADDRESS(INDEX($AH$2:$AH$1001,MATCH(ROWS($AF$2:AF38),$AF$2:$AF$1001,0),0), INDEX($AM$1004:$BM$1004,1,MATCH(COLUMNS($AM$1006:AU1006),$AM$1006:$BM$1006,0)))),"Fix")))</f>
        <v xml:space="preserve"> </v>
      </c>
      <c r="K38" s="4" t="str">
        <f ca="1">IF(OR(INDEX($AG$2:$AG$1001,MATCH(ROWS($AF$2:AF38),$AF$2:$AF$1001,0),1)&gt;=100000,INDEX($AM$1005:$BM$1005,1,MATCH(COLUMNS($AM$1006:AV1006),$AM$1006:$BM$1006,0))&gt;=100000), " ",IF(INDEX($AM$2:$BM$1001,MATCH(ROWS($AF$2:AF38),$AF$2:$AF$1001,0),MATCH(COLUMNS($AM$1006:AV1006),$AM$1006:$BM$1006,0)), HYPERLINK("#",""), HYPERLINK(CONCATENATE("#metadata!", ADDRESS(INDEX($AH$2:$AH$1001,MATCH(ROWS($AF$2:AF38),$AF$2:$AF$1001,0),0), INDEX($AM$1004:$BM$1004,1,MATCH(COLUMNS($AM$1006:AV1006),$AM$1006:$BM$1006,0)))),"Fix")))</f>
        <v xml:space="preserve"> </v>
      </c>
      <c r="L38" s="4" t="str">
        <f ca="1">IF(OR(INDEX($AG$2:$AG$1001,MATCH(ROWS($AF$2:AF38),$AF$2:$AF$1001,0),1)&gt;=100000,INDEX($AM$1005:$BM$1005,1,MATCH(COLUMNS($AM$1006:AW1006),$AM$1006:$BM$1006,0))&gt;=100000), " ",IF(INDEX($AM$2:$BM$1001,MATCH(ROWS($AF$2:AF38),$AF$2:$AF$1001,0),MATCH(COLUMNS($AM$1006:AW1006),$AM$1006:$BM$1006,0)), HYPERLINK("#",""), HYPERLINK(CONCATENATE("#metadata!", ADDRESS(INDEX($AH$2:$AH$1001,MATCH(ROWS($AF$2:AF38),$AF$2:$AF$1001,0),0), INDEX($AM$1004:$BM$1004,1,MATCH(COLUMNS($AM$1006:AW1006),$AM$1006:$BM$1006,0)))),"Fix")))</f>
        <v xml:space="preserve"> </v>
      </c>
      <c r="M38" s="4" t="str">
        <f ca="1">IF(OR(INDEX($AG$2:$AG$1001,MATCH(ROWS($AF$2:AF38),$AF$2:$AF$1001,0),1)&gt;=100000,INDEX($AM$1005:$BM$1005,1,MATCH(COLUMNS($AM$1006:AX1006),$AM$1006:$BM$1006,0))&gt;=100000), " ",IF(INDEX($AM$2:$BM$1001,MATCH(ROWS($AF$2:AF38),$AF$2:$AF$1001,0),MATCH(COLUMNS($AM$1006:AX1006),$AM$1006:$BM$1006,0)), HYPERLINK("#",""), HYPERLINK(CONCATENATE("#metadata!", ADDRESS(INDEX($AH$2:$AH$1001,MATCH(ROWS($AF$2:AF38),$AF$2:$AF$1001,0),0), INDEX($AM$1004:$BM$1004,1,MATCH(COLUMNS($AM$1006:AX1006),$AM$1006:$BM$1006,0)))),"Fix")))</f>
        <v xml:space="preserve"> </v>
      </c>
      <c r="N38" s="4" t="str">
        <f ca="1">IF(OR(INDEX($AG$2:$AG$1001,MATCH(ROWS($AF$2:AF38),$AF$2:$AF$1001,0),1)&gt;=100000,INDEX($AM$1005:$BM$1005,1,MATCH(COLUMNS($AM$1006:AY1006),$AM$1006:$BM$1006,0))&gt;=100000), " ",IF(INDEX($AM$2:$BM$1001,MATCH(ROWS($AF$2:AF38),$AF$2:$AF$1001,0),MATCH(COLUMNS($AM$1006:AY1006),$AM$1006:$BM$1006,0)), HYPERLINK("#",""), HYPERLINK(CONCATENATE("#metadata!", ADDRESS(INDEX($AH$2:$AH$1001,MATCH(ROWS($AF$2:AF38),$AF$2:$AF$1001,0),0), INDEX($AM$1004:$BM$1004,1,MATCH(COLUMNS($AM$1006:AY1006),$AM$1006:$BM$1006,0)))),"Fix")))</f>
        <v xml:space="preserve"> </v>
      </c>
      <c r="O38" s="4" t="str">
        <f ca="1">IF(OR(INDEX($AG$2:$AG$1001,MATCH(ROWS($AF$2:AF38),$AF$2:$AF$1001,0),1)&gt;=100000,INDEX($AM$1005:$BM$1005,1,MATCH(COLUMNS($AM$1006:AZ1006),$AM$1006:$BM$1006,0))&gt;=100000), " ",IF(INDEX($AM$2:$BM$1001,MATCH(ROWS($AF$2:AF38),$AF$2:$AF$1001,0),MATCH(COLUMNS($AM$1006:AZ1006),$AM$1006:$BM$1006,0)), HYPERLINK("#",""), HYPERLINK(CONCATENATE("#metadata!", ADDRESS(INDEX($AH$2:$AH$1001,MATCH(ROWS($AF$2:AF38),$AF$2:$AF$1001,0),0), INDEX($AM$1004:$BM$1004,1,MATCH(COLUMNS($AM$1006:AZ1006),$AM$1006:$BM$1006,0)))),"Fix")))</f>
        <v xml:space="preserve"> </v>
      </c>
      <c r="P38" s="4" t="str">
        <f ca="1">IF(OR(INDEX($AG$2:$AG$1001,MATCH(ROWS($AF$2:AF38),$AF$2:$AF$1001,0),1)&gt;=100000,INDEX($AM$1005:$BM$1005,1,MATCH(COLUMNS($AM$1006:BA1006),$AM$1006:$BM$1006,0))&gt;=100000), " ",IF(INDEX($AM$2:$BM$1001,MATCH(ROWS($AF$2:AF38),$AF$2:$AF$1001,0),MATCH(COLUMNS($AM$1006:BA1006),$AM$1006:$BM$1006,0)), HYPERLINK("#",""), HYPERLINK(CONCATENATE("#metadata!", ADDRESS(INDEX($AH$2:$AH$1001,MATCH(ROWS($AF$2:AF38),$AF$2:$AF$1001,0),0), INDEX($AM$1004:$BM$1004,1,MATCH(COLUMNS($AM$1006:BA1006),$AM$1006:$BM$1006,0)))),"Fix")))</f>
        <v xml:space="preserve"> </v>
      </c>
      <c r="Q38" s="4" t="str">
        <f ca="1">IF(OR(INDEX($AG$2:$AG$1001,MATCH(ROWS($AF$2:AF38),$AF$2:$AF$1001,0),1)&gt;=100000,INDEX($AM$1005:$BM$1005,1,MATCH(COLUMNS($AM$1006:BB1006),$AM$1006:$BM$1006,0))&gt;=100000), " ",IF(INDEX($AM$2:$BM$1001,MATCH(ROWS($AF$2:AF38),$AF$2:$AF$1001,0),MATCH(COLUMNS($AM$1006:BB1006),$AM$1006:$BM$1006,0)), HYPERLINK("#",""), HYPERLINK(CONCATENATE("#metadata!", ADDRESS(INDEX($AH$2:$AH$1001,MATCH(ROWS($AF$2:AF38),$AF$2:$AF$1001,0),0), INDEX($AM$1004:$BM$1004,1,MATCH(COLUMNS($AM$1006:BB1006),$AM$1006:$BM$1006,0)))),"Fix")))</f>
        <v xml:space="preserve"> </v>
      </c>
      <c r="R38" s="4" t="str">
        <f ca="1">IF(OR(INDEX($AG$2:$AG$1001,MATCH(ROWS($AF$2:AF38),$AF$2:$AF$1001,0),1)&gt;=100000,INDEX($AM$1005:$BM$1005,1,MATCH(COLUMNS($AM$1006:BC1006),$AM$1006:$BM$1006,0))&gt;=100000), " ",IF(INDEX($AM$2:$BM$1001,MATCH(ROWS($AF$2:AF38),$AF$2:$AF$1001,0),MATCH(COLUMNS($AM$1006:BC1006),$AM$1006:$BM$1006,0)), HYPERLINK("#",""), HYPERLINK(CONCATENATE("#metadata!", ADDRESS(INDEX($AH$2:$AH$1001,MATCH(ROWS($AF$2:AF38),$AF$2:$AF$1001,0),0), INDEX($AM$1004:$BM$1004,1,MATCH(COLUMNS($AM$1006:BC1006),$AM$1006:$BM$1006,0)))),"Fix")))</f>
        <v xml:space="preserve"> </v>
      </c>
      <c r="S38" s="4" t="str">
        <f ca="1">IF(OR(INDEX($AG$2:$AG$1001,MATCH(ROWS($AF$2:AF38),$AF$2:$AF$1001,0),1)&gt;=100000,INDEX($AM$1005:$BM$1005,1,MATCH(COLUMNS($AM$1006:BD1006),$AM$1006:$BM$1006,0))&gt;=100000), " ",IF(INDEX($AM$2:$BM$1001,MATCH(ROWS($AF$2:AF38),$AF$2:$AF$1001,0),MATCH(COLUMNS($AM$1006:BD1006),$AM$1006:$BM$1006,0)), HYPERLINK("#",""), HYPERLINK(CONCATENATE("#metadata!", ADDRESS(INDEX($AH$2:$AH$1001,MATCH(ROWS($AF$2:AF38),$AF$2:$AF$1001,0),0), INDEX($AM$1004:$BM$1004,1,MATCH(COLUMNS($AM$1006:BD1006),$AM$1006:$BM$1006,0)))),"Fix")))</f>
        <v xml:space="preserve"> </v>
      </c>
      <c r="T38" s="4" t="str">
        <f ca="1">IF(OR(INDEX($AG$2:$AG$1001,MATCH(ROWS($AF$2:AF38),$AF$2:$AF$1001,0),1)&gt;=100000,INDEX($AM$1005:$BM$1005,1,MATCH(COLUMNS($AM$1006:BE1006),$AM$1006:$BM$1006,0))&gt;=100000), " ",IF(INDEX($AM$2:$BM$1001,MATCH(ROWS($AF$2:AF38),$AF$2:$AF$1001,0),MATCH(COLUMNS($AM$1006:BE1006),$AM$1006:$BM$1006,0)), HYPERLINK("#",""), HYPERLINK(CONCATENATE("#metadata!", ADDRESS(INDEX($AH$2:$AH$1001,MATCH(ROWS($AF$2:AF38),$AF$2:$AF$1001,0),0), INDEX($AM$1004:$BM$1004,1,MATCH(COLUMNS($AM$1006:BE1006),$AM$1006:$BM$1006,0)))),"Fix")))</f>
        <v xml:space="preserve"> </v>
      </c>
      <c r="U38" s="4" t="str">
        <f ca="1">IF(OR(INDEX($AG$2:$AG$1001,MATCH(ROWS($AF$2:AF38),$AF$2:$AF$1001,0),1)&gt;=100000,INDEX($AM$1005:$BM$1005,1,MATCH(COLUMNS($AM$1006:BF1006),$AM$1006:$BM$1006,0))&gt;=100000), " ",IF(INDEX($AM$2:$BM$1001,MATCH(ROWS($AF$2:AF38),$AF$2:$AF$1001,0),MATCH(COLUMNS($AM$1006:BF1006),$AM$1006:$BM$1006,0)), HYPERLINK("#",""), HYPERLINK(CONCATENATE("#metadata!", ADDRESS(INDEX($AH$2:$AH$1001,MATCH(ROWS($AF$2:AF38),$AF$2:$AF$1001,0),0), INDEX($AM$1004:$BM$1004,1,MATCH(COLUMNS($AM$1006:BF1006),$AM$1006:$BM$1006,0)))),"Fix")))</f>
        <v xml:space="preserve"> </v>
      </c>
      <c r="V38" s="4" t="str">
        <f ca="1">IF(OR(INDEX($AG$2:$AG$1001,MATCH(ROWS($AF$2:AF38),$AF$2:$AF$1001,0),1)&gt;=100000,INDEX($AM$1005:$BM$1005,1,MATCH(COLUMNS($AM$1006:BG1006),$AM$1006:$BM$1006,0))&gt;=100000), " ",IF(INDEX($AM$2:$BM$1001,MATCH(ROWS($AF$2:AF38),$AF$2:$AF$1001,0),MATCH(COLUMNS($AM$1006:BG1006),$AM$1006:$BM$1006,0)), HYPERLINK("#",""), HYPERLINK(CONCATENATE("#metadata!", ADDRESS(INDEX($AH$2:$AH$1001,MATCH(ROWS($AF$2:AF38),$AF$2:$AF$1001,0),0), INDEX($AM$1004:$BM$1004,1,MATCH(COLUMNS($AM$1006:BG1006),$AM$1006:$BM$1006,0)))),"Fix")))</f>
        <v xml:space="preserve"> </v>
      </c>
      <c r="W38" s="4" t="str">
        <f ca="1">IF(OR(INDEX($AG$2:$AG$1001,MATCH(ROWS($AF$2:AF38),$AF$2:$AF$1001,0),1)&gt;=100000,INDEX($AM$1005:$BM$1005,1,MATCH(COLUMNS($AM$1006:BH1006),$AM$1006:$BM$1006,0))&gt;=100000), " ",IF(INDEX($AM$2:$BM$1001,MATCH(ROWS($AF$2:AF38),$AF$2:$AF$1001,0),MATCH(COLUMNS($AM$1006:BH1006),$AM$1006:$BM$1006,0)), HYPERLINK("#",""), HYPERLINK(CONCATENATE("#metadata!", ADDRESS(INDEX($AH$2:$AH$1001,MATCH(ROWS($AF$2:AF38),$AF$2:$AF$1001,0),0), INDEX($AM$1004:$BM$1004,1,MATCH(COLUMNS($AM$1006:BH1006),$AM$1006:$BM$1006,0)))),"Fix")))</f>
        <v xml:space="preserve"> </v>
      </c>
      <c r="X38" s="4" t="str">
        <f ca="1">IF(OR(INDEX($AG$2:$AG$1001,MATCH(ROWS($AF$2:AF38),$AF$2:$AF$1001,0),1)&gt;=100000,INDEX($AM$1005:$BM$1005,1,MATCH(COLUMNS($AM$1006:BI1006),$AM$1006:$BM$1006,0))&gt;=100000), " ",IF(INDEX($AM$2:$BM$1001,MATCH(ROWS($AF$2:AF38),$AF$2:$AF$1001,0),MATCH(COLUMNS($AM$1006:BI1006),$AM$1006:$BM$1006,0)), HYPERLINK("#",""), HYPERLINK(CONCATENATE("#metadata!", ADDRESS(INDEX($AH$2:$AH$1001,MATCH(ROWS($AF$2:AF38),$AF$2:$AF$1001,0),0), INDEX($AM$1004:$BM$1004,1,MATCH(COLUMNS($AM$1006:BI1006),$AM$1006:$BM$1006,0)))),"Fix")))</f>
        <v xml:space="preserve"> </v>
      </c>
      <c r="Y38" s="4" t="str">
        <f ca="1">IF(OR(INDEX($AG$2:$AG$1001,MATCH(ROWS($AF$2:AF38),$AF$2:$AF$1001,0),1)&gt;=100000,INDEX($AM$1005:$BM$1005,1,MATCH(COLUMNS($AM$1006:BJ1006),$AM$1006:$BM$1006,0))&gt;=100000), " ",IF(INDEX($AM$2:$BM$1001,MATCH(ROWS($AF$2:AF38),$AF$2:$AF$1001,0),MATCH(COLUMNS($AM$1006:BJ1006),$AM$1006:$BM$1006,0)), HYPERLINK("#",""), HYPERLINK(CONCATENATE("#metadata!", ADDRESS(INDEX($AH$2:$AH$1001,MATCH(ROWS($AF$2:AF38),$AF$2:$AF$1001,0),0), INDEX($AM$1004:$BM$1004,1,MATCH(COLUMNS($AM$1006:BJ1006),$AM$1006:$BM$1006,0)))),"Fix")))</f>
        <v xml:space="preserve"> </v>
      </c>
      <c r="Z38" s="4" t="str">
        <f ca="1">IF(OR(INDEX($AG$2:$AG$1001,MATCH(ROWS($AF$2:AF38),$AF$2:$AF$1001,0),1)&gt;=100000,INDEX($AM$1005:$BM$1005,1,MATCH(COLUMNS($AM$1006:BK1006),$AM$1006:$BM$1006,0))&gt;=100000), " ",IF(INDEX($AM$2:$BM$1001,MATCH(ROWS($AF$2:AF38),$AF$2:$AF$1001,0),MATCH(COLUMNS($AM$1006:BK1006),$AM$1006:$BM$1006,0)), HYPERLINK("#",""), HYPERLINK(CONCATENATE("#metadata!", ADDRESS(INDEX($AH$2:$AH$1001,MATCH(ROWS($AF$2:AF38),$AF$2:$AF$1001,0),0), INDEX($AM$1004:$BM$1004,1,MATCH(COLUMNS($AM$1006:BK1006),$AM$1006:$BM$1006,0)))),"Fix")))</f>
        <v xml:space="preserve"> </v>
      </c>
      <c r="AA38" s="4" t="str">
        <f ca="1">IF(OR(INDEX($AG$2:$AG$1001,MATCH(ROWS($AF$2:AF38),$AF$2:$AF$1001,0),1)&gt;=100000,INDEX($AM$1005:$BM$1005,1,MATCH(COLUMNS($AM$1006:BL1006),$AM$1006:$BM$1006,0))&gt;=100000), " ",IF(INDEX($AM$2:$BM$1001,MATCH(ROWS($AF$2:AF38),$AF$2:$AF$1001,0),MATCH(COLUMNS($AM$1006:BL1006),$AM$1006:$BM$1006,0)), HYPERLINK("#",""), HYPERLINK(CONCATENATE("#metadata!", ADDRESS(INDEX($AH$2:$AH$1001,MATCH(ROWS($AF$2:AF38),$AF$2:$AF$1001,0),0), INDEX($AM$1004:$BM$1004,1,MATCH(COLUMNS($AM$1006:BL1006),$AM$1006:$BM$1006,0)))),"Fix")))</f>
        <v xml:space="preserve"> </v>
      </c>
      <c r="AB38" s="4" t="str">
        <f ca="1">IF(OR(INDEX($AG$2:$AG$1001,MATCH(ROWS($AF$2:AF38),$AF$2:$AF$1001,0),1)&gt;=100000,INDEX($AM$1005:$BM$1005,1,MATCH(COLUMNS($AM$1006:BM1006),$AM$1006:$BM$1006,0))&gt;=100000), " ",IF(INDEX($AM$2:$BM$1001,MATCH(ROWS($AF$2:AF38),$AF$2:$AF$1001,0),MATCH(COLUMNS($AM$1006:BM1006),$AM$1006:$BM$1006,0)), HYPERLINK("#",""), HYPERLINK(CONCATENATE("#metadata!", ADDRESS(INDEX($AH$2:$AH$1001,MATCH(ROWS($AF$2:AF38),$AF$2:$AF$1001,0),0), INDEX($AM$1004:$BM$1004,1,MATCH(COLUMNS($AM$1006:BM1006),$AM$1006:$BM$1006,0)))),"Fix")))</f>
        <v xml:space="preserve"> </v>
      </c>
      <c r="AF38">
        <v>37</v>
      </c>
      <c r="AG38">
        <v>100038</v>
      </c>
      <c r="AH38">
        <v>38</v>
      </c>
      <c r="AI38" t="b">
        <f t="shared" si="0"/>
        <v>1</v>
      </c>
      <c r="AJ38" t="b">
        <f>COUNTBLANK(metadata!B38:AB38)=COLUMNS(metadata!B38:AB38)</f>
        <v>1</v>
      </c>
      <c r="AK38" t="str">
        <v/>
      </c>
      <c r="AM38" t="b">
        <f ca="1">AND(IF(metadata!B38="",FALSE,TRUE),COUNTIF(metadata!B:B, metadata!B38) = 1,NOT(ISERROR(SUMPRODUCT(SEARCH(MID(metadata!B38,ROW(INDIRECT("1:"&amp;LEN(metadata!B38))), 1),"0123456789abcdefghijklmnopqrstuvwxyzABCDEFGHIJKLMNOPQRSTUVWXYZ.")))))</f>
        <v>0</v>
      </c>
      <c r="AN38" t="b">
        <f ca="1">OR(AND(IF(metadata!C38="",FALSE,TRUE),OR(EXACT(metadata!C38,"missing: not collected"),EXACT(metadata!C38,"missing: not provided"),EXACT(metadata!C38,"missing: restricted access"))),AND(IF(metadata!C38="",FALSE,TRUE),AND(AND(IFERROR(INT(LEFT(metadata!C38,4))&gt;1900,FALSE),IFERROR(INT(LEFT(metadata!C38,4))&lt;=YEAR(NOW()),FALSE)), OR(MID(metadata!C38,5,1)="", AND(AND(MID(metadata!C38,5,1)="-",IFERROR(INT(MID(metadata!C38,6,1))&gt;=0,FALSE),IFERROR(INT(MID(metadata!C38,6,1))&lt;=1,FALSE),NOT(MID(metadata!C38,7,1)=""),IFERROR(INT(MID(metadata!C38,6,2))&gt;=1,FALSE),IFERROR(INT(MID(metadata!C38,6,2))&lt;=12,FALSE)), OR(MID(metadata!C38,8,1)="", AND(AND(MID(metadata!C38,8,1)="-",IFERROR(INT(MID(metadata!C38,9,1))&gt;=0,FALSE),IFERROR(INT(MID(metadata!C38,9,1))&lt;=3,FALSE),NOT(MID(metadata!C38,10,1)=""),IFERROR(INT(MID(metadata!C38,9,2))&gt;=1,FALSE),IFERROR(INT(MID(metadata!C38,9,2))&lt;=31,FALSE)), OR(MID(metadata!C38,11,1)="", AND(AND(MID(metadata!C38,11,1)=" ",IFERROR(INT(MID(metadata!C38,12,1))&gt;=0,FALSE),IFERROR(INT(MID(metadata!C38,12,1))&lt;=2,FALSE),NOT(MID(metadata!C38,13,1)=""),IFERROR(INT(MID(metadata!C38,12,2))&gt;=0,FALSE),IFERROR(INT(MID(metadata!C38,12,2))&lt;=23,FALSE)), OR(MID(metadata!C38,14,1)="", AND(AND(MID(metadata!C38,14,1)=":",IFERROR(INT(MID(metadata!C38,15,1))&gt;=0,FALSE),IFERROR(INT(MID(metadata!C38,15,1))&lt;=5,FALSE),NOT(MID(metadata!C38,16,1)=""),IFERROR(INT(MID(metadata!C38,15,2))&gt;=0,FALSE),IFERROR(INT(MID(metadata!C38,15,2))&lt;=59,FALSE)), OR(MID(metadata!C38,17,1)="", AND(AND(MID(metadata!C38,17,1)=":",IFERROR(INT(MID(metadata!C38,18,1))&gt;=0,FALSE),IFERROR(INT(MID(metadata!C38,18,1))&lt;=5,FALSE),NOT(MID(metadata!C38,19,1)=""),IFERROR(INT(MID(metadata!C38,18,2))&gt;=0,FALSE),IFERROR(INT(MID(metadata!C38,18,2))&lt;=59,FALSE)), LEN(metadata!C38)&lt;=19)))))))))))))</f>
        <v>0</v>
      </c>
      <c r="AO38" t="b">
        <f>AND(IF(metadata!D38="",FALSE,TRUE),EXACT(metadata!D38,"Not applicable"))</f>
        <v>0</v>
      </c>
      <c r="AP38" t="b">
        <f>IF(metadata!E38="",FALSE,TRUE)</f>
        <v>0</v>
      </c>
      <c r="AQ38" t="b">
        <f>OR(AND(IF(metadata!F38="",FALSE,TRUE),OR(EXACT(metadata!F38,"missing: not collected"),EXACT(metadata!F38,"missing: not provided"))),AND(IF(metadata!F38="",FALSE,TRUE),OR(EXACT(metadata!F38,"TRUE"),EXACT(metadata!F38,"FALSE"))))</f>
        <v>0</v>
      </c>
      <c r="AR38" t="b">
        <f>OR(AND(IF(metadata!G38="",FALSE,TRUE),OR(EXACT(metadata!G38,"missing: not collected"),EXACT(metadata!G38,"missing: not provided"),EXACT(metadata!G38,"missing: restricted access"))),AND(IF(metadata!G38="",FALSE,ISNUMBER(VALUE(metadata!G38))),metadata!G38&gt;=-413))</f>
        <v>0</v>
      </c>
      <c r="AS38" t="b">
        <f>AND(IF(metadata!H38="",FALSE,TRUE),EXACT(metadata!H38,"meters"))</f>
        <v>0</v>
      </c>
      <c r="AT38" t="b">
        <f>AND(IF(metadata!I38="",FALSE,TRUE),OR(EXACT(metadata!I38,"Host-associated"),EXACT(metadata!I38,"Free-living")))</f>
        <v>0</v>
      </c>
      <c r="AU38" t="b">
        <f>AND(IF(metadata!J38="",FALSE,TRUE),OR(EXACT(metadata!J38,"Animal"),EXACT(metadata!J38,"Fungus"),EXACT(metadata!J38,"Plant"),EXACT(metadata!J38,"Saline"),EXACT(metadata!J38,"Non-saline")))</f>
        <v>0</v>
      </c>
      <c r="AV38" t="b">
        <f>AND(IF(metadata!K38="",FALSE,TRUE),OR(EXACT(metadata!K38,"Plant secretion"),EXACT(metadata!K38,"Plant rhizosphere"),EXACT(metadata!K38,"Plant surface"),EXACT(metadata!K38,"Plant corpus"),EXACT(metadata!K38,"Fungus surface"),EXACT(metadata!K38,"Fungus corpus"),EXACT(metadata!K38,"Animal surface"),EXACT(metadata!K38,"Animal proximal gut"),EXACT(metadata!K38,"Animal corpus"),EXACT(metadata!K38,"Animal distal gut"),EXACT(metadata!K38,"Animal secretion"),EXACT(metadata!K38,"Sub-surface (non-saline)"),EXACT(metadata!K38,"Surface (non-saline)"),EXACT(metadata!K38,"Water (non-saline)"),EXACT(metadata!K38,"Soil (non-saline)"),EXACT(metadata!K38,"Aerosol (non-saline)"),EXACT(metadata!K38,"Sediment (non-saline)"),EXACT(metadata!K38,"Surface (saline)"),EXACT(metadata!K38,"Water (saline)"),EXACT(metadata!K38,"Hypersaline (saline)"),EXACT(metadata!K38,"Aerosol (saline)"),EXACT(metadata!K38,"Sediment (saline)")))</f>
        <v>0</v>
      </c>
      <c r="AW38" t="b">
        <f>IF(metadata!L38="",FALSE,TRUE)</f>
        <v>0</v>
      </c>
      <c r="AX38" t="b">
        <f>IF(metadata!M38="",FALSE,TRUE)</f>
        <v>0</v>
      </c>
      <c r="AY38" t="b">
        <f>IF(metadata!N38="",FALSE,TRUE)</f>
        <v>0</v>
      </c>
      <c r="AZ38" t="b">
        <f>OR(AND(IF(metadata!O38="",FALSE,TRUE),OR(EXACT(metadata!O38,"missing: not collected"),EXACT(metadata!O38,"missing: not provided"),EXACT(metadata!O38,"missing: restricted access"))),AND(IF(metadata!O38="",FALSE,TRUE),OR(EXACT(metadata!O38,"air"),EXACT(metadata!O38,"built environment"),EXACT(metadata!O38,"host-associated"),EXACT(metadata!O38,"human-associated"),EXACT(metadata!O38,"human-skin"),EXACT(metadata!O38,"human-oral"),EXACT(metadata!O38,"human-gut"),EXACT(metadata!O38,"human-vaginal"),EXACT(metadata!O38,"microbial mat/biofilm"),EXACT(metadata!O38,"misc environment"),EXACT(metadata!O38,"plant-associated"),EXACT(metadata!O38,"sediment"),EXACT(metadata!O38,"soil"),EXACT(metadata!O38,"wastewater/sludge"),EXACT(metadata!O38,"water"))))</f>
        <v>0</v>
      </c>
      <c r="BA38" t="b">
        <f>IF(metadata!P38="",FALSE,TRUE)</f>
        <v>0</v>
      </c>
      <c r="BB38" t="b">
        <f>IF(metadata!Q38="",FALSE,TRUE)</f>
        <v>0</v>
      </c>
      <c r="BC38" t="b">
        <f>OR(AND(IF(metadata!R38="",FALSE,TRUE),OR(EXACT(metadata!R38,"missing: not collected"),EXACT(metadata!R38,"missing: not provided"),EXACT(metadata!R38,"missing: restricted access"))),AND(IF(metadata!R38="",FALSE,ISNUMBER(VALUE(metadata!R38))),metadata!R38&gt;=-90,metadata!R38&lt;=90))</f>
        <v>0</v>
      </c>
      <c r="BD38" t="b">
        <f>AND(IF(metadata!S38="",FALSE,TRUE),EXACT(metadata!S38,"Decimal degrees"))</f>
        <v>0</v>
      </c>
      <c r="BE38" t="b">
        <f>OR(AND(IF(metadata!T38="",FALSE,TRUE),OR(EXACT(metadata!T38,"missing: not collected"),EXACT(metadata!T38,"missing: not provided"),EXACT(metadata!T38,"missing: restricted access"))),AND(IF(metadata!T38="",FALSE,ISNUMBER(VALUE(metadata!T38))),metadata!T38&gt;=-180,metadata!T38&lt;=180))</f>
        <v>0</v>
      </c>
      <c r="BF38" t="b">
        <f>AND(IF(metadata!U38="",FALSE,TRUE),EXACT(metadata!U38,"Decimal degrees"))</f>
        <v>0</v>
      </c>
      <c r="BG38" t="b">
        <f>IF(metadata!V38="",FALSE,TRUE)</f>
        <v>0</v>
      </c>
      <c r="BH38" t="b">
        <f>OR(AND(IF(metadata!W38="",FALSE,TRUE),OR(EXACT(metadata!W38,"missing: not collected"),EXACT(metadata!W38,"missing: not provided"),EXACT(metadata!W38,"missing: restricted access"))),AND(IF(metadata!W38="",FALSE,TRUE),OR(EXACT(metadata!W38,"TRUE"),EXACT(metadata!W38,"FALSE"))))</f>
        <v>0</v>
      </c>
      <c r="BI38" t="b">
        <f>AND(IF(metadata!X38="",FALSE,TRUE),EXACT(metadata!X38,"other"))</f>
        <v>0</v>
      </c>
      <c r="BJ38" t="b">
        <f>IF(metadata!Y38="",FALSE,TRUE)</f>
        <v>0</v>
      </c>
      <c r="BK38" t="b">
        <f>OR(AND(IF(metadata!Z38="",FALSE,TRUE),OR(EXACT(metadata!Z38,"missing: not collected"),EXACT(metadata!Z38,"missing: not provided"))),AND(IF(metadata!Z38="",FALSE,IF(ISERROR(INT(metadata!Z38)),FALSE,INT(metadata!Z38)=metadata!Z38)),metadata!Z38&gt;0))</f>
        <v>0</v>
      </c>
      <c r="BL38" t="b">
        <f>AND(IF(metadata!AA38="",FALSE,TRUE),EXACT(metadata!AA38,"Not applicable"))</f>
        <v>0</v>
      </c>
      <c r="BM38" t="b">
        <f>IF(metadata!AB38="",FALSE,TRUE)</f>
        <v>0</v>
      </c>
    </row>
    <row r="39" spans="1:65" x14ac:dyDescent="0.2">
      <c r="A39" s="5" t="str">
        <f ca="1">IF(B39=" "," ",HYPERLINK(CONCATENATE("#metadata!",ADDRESS(INDEX($AH$2:$AH$1001,MATCH(ROWS($AF$2:AF39),$AF$2:$AF$1001,0),0),1)),INDEX($AK$2:$AK$1001,MATCH(ROWS($AF$2:AF39),$AF$2:$AF$1001,0),0)))</f>
        <v xml:space="preserve"> </v>
      </c>
      <c r="B39" s="4" t="str">
        <f ca="1">IF(OR(INDEX($AG$2:$AG$1001,MATCH(ROWS($AF$2:AF39),$AF$2:$AF$1001,0),1)&gt;=100000,INDEX($AM$1005:$BM$1005,1,MATCH(COLUMNS($AM$1006:AM1006),$AM$1006:$BM$1006,0))&gt;=100000), " ",IF(INDEX($AM$2:$BM$1001,MATCH(ROWS($AF$2:AF39),$AF$2:$AF$1001,0),MATCH(COLUMNS($AM$1006:AM1006),$AM$1006:$BM$1006,0)), HYPERLINK("#",""), HYPERLINK(CONCATENATE("#metadata!", ADDRESS(INDEX($AH$2:$AH$1001,MATCH(ROWS($AF$2:AF39),$AF$2:$AF$1001,0),0), INDEX($AM$1004:$BM$1004,1,MATCH(COLUMNS($AM$1006:AM1006),$AM$1006:$BM$1006,0)))),"Fix")))</f>
        <v xml:space="preserve"> </v>
      </c>
      <c r="C39" s="4" t="str">
        <f ca="1">IF(OR(INDEX($AG$2:$AG$1001,MATCH(ROWS($AF$2:AF39),$AF$2:$AF$1001,0),1)&gt;=100000,INDEX($AM$1005:$BM$1005,1,MATCH(COLUMNS($AM$1006:AN1006),$AM$1006:$BM$1006,0))&gt;=100000), " ",IF(INDEX($AM$2:$BM$1001,MATCH(ROWS($AF$2:AF39),$AF$2:$AF$1001,0),MATCH(COLUMNS($AM$1006:AN1006),$AM$1006:$BM$1006,0)), HYPERLINK("#",""), HYPERLINK(CONCATENATE("#metadata!", ADDRESS(INDEX($AH$2:$AH$1001,MATCH(ROWS($AF$2:AF39),$AF$2:$AF$1001,0),0), INDEX($AM$1004:$BM$1004,1,MATCH(COLUMNS($AM$1006:AN1006),$AM$1006:$BM$1006,0)))),"Fix")))</f>
        <v xml:space="preserve"> </v>
      </c>
      <c r="D39" s="4" t="str">
        <f ca="1">IF(OR(INDEX($AG$2:$AG$1001,MATCH(ROWS($AF$2:AF39),$AF$2:$AF$1001,0),1)&gt;=100000,INDEX($AM$1005:$BM$1005,1,MATCH(COLUMNS($AM$1006:AO1006),$AM$1006:$BM$1006,0))&gt;=100000), " ",IF(INDEX($AM$2:$BM$1001,MATCH(ROWS($AF$2:AF39),$AF$2:$AF$1001,0),MATCH(COLUMNS($AM$1006:AO1006),$AM$1006:$BM$1006,0)), HYPERLINK("#",""), HYPERLINK(CONCATENATE("#metadata!", ADDRESS(INDEX($AH$2:$AH$1001,MATCH(ROWS($AF$2:AF39),$AF$2:$AF$1001,0),0), INDEX($AM$1004:$BM$1004,1,MATCH(COLUMNS($AM$1006:AO1006),$AM$1006:$BM$1006,0)))),"Fix")))</f>
        <v xml:space="preserve"> </v>
      </c>
      <c r="E39" s="4" t="str">
        <f ca="1">IF(OR(INDEX($AG$2:$AG$1001,MATCH(ROWS($AF$2:AF39),$AF$2:$AF$1001,0),1)&gt;=100000,INDEX($AM$1005:$BM$1005,1,MATCH(COLUMNS($AM$1006:AP1006),$AM$1006:$BM$1006,0))&gt;=100000), " ",IF(INDEX($AM$2:$BM$1001,MATCH(ROWS($AF$2:AF39),$AF$2:$AF$1001,0),MATCH(COLUMNS($AM$1006:AP1006),$AM$1006:$BM$1006,0)), HYPERLINK("#",""), HYPERLINK(CONCATENATE("#metadata!", ADDRESS(INDEX($AH$2:$AH$1001,MATCH(ROWS($AF$2:AF39),$AF$2:$AF$1001,0),0), INDEX($AM$1004:$BM$1004,1,MATCH(COLUMNS($AM$1006:AP1006),$AM$1006:$BM$1006,0)))),"Fix")))</f>
        <v xml:space="preserve"> </v>
      </c>
      <c r="F39" s="4" t="str">
        <f ca="1">IF(OR(INDEX($AG$2:$AG$1001,MATCH(ROWS($AF$2:AF39),$AF$2:$AF$1001,0),1)&gt;=100000,INDEX($AM$1005:$BM$1005,1,MATCH(COLUMNS($AM$1006:AQ1006),$AM$1006:$BM$1006,0))&gt;=100000), " ",IF(INDEX($AM$2:$BM$1001,MATCH(ROWS($AF$2:AF39),$AF$2:$AF$1001,0),MATCH(COLUMNS($AM$1006:AQ1006),$AM$1006:$BM$1006,0)), HYPERLINK("#",""), HYPERLINK(CONCATENATE("#metadata!", ADDRESS(INDEX($AH$2:$AH$1001,MATCH(ROWS($AF$2:AF39),$AF$2:$AF$1001,0),0), INDEX($AM$1004:$BM$1004,1,MATCH(COLUMNS($AM$1006:AQ1006),$AM$1006:$BM$1006,0)))),"Fix")))</f>
        <v xml:space="preserve"> </v>
      </c>
      <c r="G39" s="4" t="str">
        <f ca="1">IF(OR(INDEX($AG$2:$AG$1001,MATCH(ROWS($AF$2:AF39),$AF$2:$AF$1001,0),1)&gt;=100000,INDEX($AM$1005:$BM$1005,1,MATCH(COLUMNS($AM$1006:AR1006),$AM$1006:$BM$1006,0))&gt;=100000), " ",IF(INDEX($AM$2:$BM$1001,MATCH(ROWS($AF$2:AF39),$AF$2:$AF$1001,0),MATCH(COLUMNS($AM$1006:AR1006),$AM$1006:$BM$1006,0)), HYPERLINK("#",""), HYPERLINK(CONCATENATE("#metadata!", ADDRESS(INDEX($AH$2:$AH$1001,MATCH(ROWS($AF$2:AF39),$AF$2:$AF$1001,0),0), INDEX($AM$1004:$BM$1004,1,MATCH(COLUMNS($AM$1006:AR1006),$AM$1006:$BM$1006,0)))),"Fix")))</f>
        <v xml:space="preserve"> </v>
      </c>
      <c r="H39" s="4" t="str">
        <f ca="1">IF(OR(INDEX($AG$2:$AG$1001,MATCH(ROWS($AF$2:AF39),$AF$2:$AF$1001,0),1)&gt;=100000,INDEX($AM$1005:$BM$1005,1,MATCH(COLUMNS($AM$1006:AS1006),$AM$1006:$BM$1006,0))&gt;=100000), " ",IF(INDEX($AM$2:$BM$1001,MATCH(ROWS($AF$2:AF39),$AF$2:$AF$1001,0),MATCH(COLUMNS($AM$1006:AS1006),$AM$1006:$BM$1006,0)), HYPERLINK("#",""), HYPERLINK(CONCATENATE("#metadata!", ADDRESS(INDEX($AH$2:$AH$1001,MATCH(ROWS($AF$2:AF39),$AF$2:$AF$1001,0),0), INDEX($AM$1004:$BM$1004,1,MATCH(COLUMNS($AM$1006:AS1006),$AM$1006:$BM$1006,0)))),"Fix")))</f>
        <v xml:space="preserve"> </v>
      </c>
      <c r="I39" s="4" t="str">
        <f ca="1">IF(OR(INDEX($AG$2:$AG$1001,MATCH(ROWS($AF$2:AF39),$AF$2:$AF$1001,0),1)&gt;=100000,INDEX($AM$1005:$BM$1005,1,MATCH(COLUMNS($AM$1006:AT1006),$AM$1006:$BM$1006,0))&gt;=100000), " ",IF(INDEX($AM$2:$BM$1001,MATCH(ROWS($AF$2:AF39),$AF$2:$AF$1001,0),MATCH(COLUMNS($AM$1006:AT1006),$AM$1006:$BM$1006,0)), HYPERLINK("#",""), HYPERLINK(CONCATENATE("#metadata!", ADDRESS(INDEX($AH$2:$AH$1001,MATCH(ROWS($AF$2:AF39),$AF$2:$AF$1001,0),0), INDEX($AM$1004:$BM$1004,1,MATCH(COLUMNS($AM$1006:AT1006),$AM$1006:$BM$1006,0)))),"Fix")))</f>
        <v xml:space="preserve"> </v>
      </c>
      <c r="J39" s="4" t="str">
        <f ca="1">IF(OR(INDEX($AG$2:$AG$1001,MATCH(ROWS($AF$2:AF39),$AF$2:$AF$1001,0),1)&gt;=100000,INDEX($AM$1005:$BM$1005,1,MATCH(COLUMNS($AM$1006:AU1006),$AM$1006:$BM$1006,0))&gt;=100000), " ",IF(INDEX($AM$2:$BM$1001,MATCH(ROWS($AF$2:AF39),$AF$2:$AF$1001,0),MATCH(COLUMNS($AM$1006:AU1006),$AM$1006:$BM$1006,0)), HYPERLINK("#",""), HYPERLINK(CONCATENATE("#metadata!", ADDRESS(INDEX($AH$2:$AH$1001,MATCH(ROWS($AF$2:AF39),$AF$2:$AF$1001,0),0), INDEX($AM$1004:$BM$1004,1,MATCH(COLUMNS($AM$1006:AU1006),$AM$1006:$BM$1006,0)))),"Fix")))</f>
        <v xml:space="preserve"> </v>
      </c>
      <c r="K39" s="4" t="str">
        <f ca="1">IF(OR(INDEX($AG$2:$AG$1001,MATCH(ROWS($AF$2:AF39),$AF$2:$AF$1001,0),1)&gt;=100000,INDEX($AM$1005:$BM$1005,1,MATCH(COLUMNS($AM$1006:AV1006),$AM$1006:$BM$1006,0))&gt;=100000), " ",IF(INDEX($AM$2:$BM$1001,MATCH(ROWS($AF$2:AF39),$AF$2:$AF$1001,0),MATCH(COLUMNS($AM$1006:AV1006),$AM$1006:$BM$1006,0)), HYPERLINK("#",""), HYPERLINK(CONCATENATE("#metadata!", ADDRESS(INDEX($AH$2:$AH$1001,MATCH(ROWS($AF$2:AF39),$AF$2:$AF$1001,0),0), INDEX($AM$1004:$BM$1004,1,MATCH(COLUMNS($AM$1006:AV1006),$AM$1006:$BM$1006,0)))),"Fix")))</f>
        <v xml:space="preserve"> </v>
      </c>
      <c r="L39" s="4" t="str">
        <f ca="1">IF(OR(INDEX($AG$2:$AG$1001,MATCH(ROWS($AF$2:AF39),$AF$2:$AF$1001,0),1)&gt;=100000,INDEX($AM$1005:$BM$1005,1,MATCH(COLUMNS($AM$1006:AW1006),$AM$1006:$BM$1006,0))&gt;=100000), " ",IF(INDEX($AM$2:$BM$1001,MATCH(ROWS($AF$2:AF39),$AF$2:$AF$1001,0),MATCH(COLUMNS($AM$1006:AW1006),$AM$1006:$BM$1006,0)), HYPERLINK("#",""), HYPERLINK(CONCATENATE("#metadata!", ADDRESS(INDEX($AH$2:$AH$1001,MATCH(ROWS($AF$2:AF39),$AF$2:$AF$1001,0),0), INDEX($AM$1004:$BM$1004,1,MATCH(COLUMNS($AM$1006:AW1006),$AM$1006:$BM$1006,0)))),"Fix")))</f>
        <v xml:space="preserve"> </v>
      </c>
      <c r="M39" s="4" t="str">
        <f ca="1">IF(OR(INDEX($AG$2:$AG$1001,MATCH(ROWS($AF$2:AF39),$AF$2:$AF$1001,0),1)&gt;=100000,INDEX($AM$1005:$BM$1005,1,MATCH(COLUMNS($AM$1006:AX1006),$AM$1006:$BM$1006,0))&gt;=100000), " ",IF(INDEX($AM$2:$BM$1001,MATCH(ROWS($AF$2:AF39),$AF$2:$AF$1001,0),MATCH(COLUMNS($AM$1006:AX1006),$AM$1006:$BM$1006,0)), HYPERLINK("#",""), HYPERLINK(CONCATENATE("#metadata!", ADDRESS(INDEX($AH$2:$AH$1001,MATCH(ROWS($AF$2:AF39),$AF$2:$AF$1001,0),0), INDEX($AM$1004:$BM$1004,1,MATCH(COLUMNS($AM$1006:AX1006),$AM$1006:$BM$1006,0)))),"Fix")))</f>
        <v xml:space="preserve"> </v>
      </c>
      <c r="N39" s="4" t="str">
        <f ca="1">IF(OR(INDEX($AG$2:$AG$1001,MATCH(ROWS($AF$2:AF39),$AF$2:$AF$1001,0),1)&gt;=100000,INDEX($AM$1005:$BM$1005,1,MATCH(COLUMNS($AM$1006:AY1006),$AM$1006:$BM$1006,0))&gt;=100000), " ",IF(INDEX($AM$2:$BM$1001,MATCH(ROWS($AF$2:AF39),$AF$2:$AF$1001,0),MATCH(COLUMNS($AM$1006:AY1006),$AM$1006:$BM$1006,0)), HYPERLINK("#",""), HYPERLINK(CONCATENATE("#metadata!", ADDRESS(INDEX($AH$2:$AH$1001,MATCH(ROWS($AF$2:AF39),$AF$2:$AF$1001,0),0), INDEX($AM$1004:$BM$1004,1,MATCH(COLUMNS($AM$1006:AY1006),$AM$1006:$BM$1006,0)))),"Fix")))</f>
        <v xml:space="preserve"> </v>
      </c>
      <c r="O39" s="4" t="str">
        <f ca="1">IF(OR(INDEX($AG$2:$AG$1001,MATCH(ROWS($AF$2:AF39),$AF$2:$AF$1001,0),1)&gt;=100000,INDEX($AM$1005:$BM$1005,1,MATCH(COLUMNS($AM$1006:AZ1006),$AM$1006:$BM$1006,0))&gt;=100000), " ",IF(INDEX($AM$2:$BM$1001,MATCH(ROWS($AF$2:AF39),$AF$2:$AF$1001,0),MATCH(COLUMNS($AM$1006:AZ1006),$AM$1006:$BM$1006,0)), HYPERLINK("#",""), HYPERLINK(CONCATENATE("#metadata!", ADDRESS(INDEX($AH$2:$AH$1001,MATCH(ROWS($AF$2:AF39),$AF$2:$AF$1001,0),0), INDEX($AM$1004:$BM$1004,1,MATCH(COLUMNS($AM$1006:AZ1006),$AM$1006:$BM$1006,0)))),"Fix")))</f>
        <v xml:space="preserve"> </v>
      </c>
      <c r="P39" s="4" t="str">
        <f ca="1">IF(OR(INDEX($AG$2:$AG$1001,MATCH(ROWS($AF$2:AF39),$AF$2:$AF$1001,0),1)&gt;=100000,INDEX($AM$1005:$BM$1005,1,MATCH(COLUMNS($AM$1006:BA1006),$AM$1006:$BM$1006,0))&gt;=100000), " ",IF(INDEX($AM$2:$BM$1001,MATCH(ROWS($AF$2:AF39),$AF$2:$AF$1001,0),MATCH(COLUMNS($AM$1006:BA1006),$AM$1006:$BM$1006,0)), HYPERLINK("#",""), HYPERLINK(CONCATENATE("#metadata!", ADDRESS(INDEX($AH$2:$AH$1001,MATCH(ROWS($AF$2:AF39),$AF$2:$AF$1001,0),0), INDEX($AM$1004:$BM$1004,1,MATCH(COLUMNS($AM$1006:BA1006),$AM$1006:$BM$1006,0)))),"Fix")))</f>
        <v xml:space="preserve"> </v>
      </c>
      <c r="Q39" s="4" t="str">
        <f ca="1">IF(OR(INDEX($AG$2:$AG$1001,MATCH(ROWS($AF$2:AF39),$AF$2:$AF$1001,0),1)&gt;=100000,INDEX($AM$1005:$BM$1005,1,MATCH(COLUMNS($AM$1006:BB1006),$AM$1006:$BM$1006,0))&gt;=100000), " ",IF(INDEX($AM$2:$BM$1001,MATCH(ROWS($AF$2:AF39),$AF$2:$AF$1001,0),MATCH(COLUMNS($AM$1006:BB1006),$AM$1006:$BM$1006,0)), HYPERLINK("#",""), HYPERLINK(CONCATENATE("#metadata!", ADDRESS(INDEX($AH$2:$AH$1001,MATCH(ROWS($AF$2:AF39),$AF$2:$AF$1001,0),0), INDEX($AM$1004:$BM$1004,1,MATCH(COLUMNS($AM$1006:BB1006),$AM$1006:$BM$1006,0)))),"Fix")))</f>
        <v xml:space="preserve"> </v>
      </c>
      <c r="R39" s="4" t="str">
        <f ca="1">IF(OR(INDEX($AG$2:$AG$1001,MATCH(ROWS($AF$2:AF39),$AF$2:$AF$1001,0),1)&gt;=100000,INDEX($AM$1005:$BM$1005,1,MATCH(COLUMNS($AM$1006:BC1006),$AM$1006:$BM$1006,0))&gt;=100000), " ",IF(INDEX($AM$2:$BM$1001,MATCH(ROWS($AF$2:AF39),$AF$2:$AF$1001,0),MATCH(COLUMNS($AM$1006:BC1006),$AM$1006:$BM$1006,0)), HYPERLINK("#",""), HYPERLINK(CONCATENATE("#metadata!", ADDRESS(INDEX($AH$2:$AH$1001,MATCH(ROWS($AF$2:AF39),$AF$2:$AF$1001,0),0), INDEX($AM$1004:$BM$1004,1,MATCH(COLUMNS($AM$1006:BC1006),$AM$1006:$BM$1006,0)))),"Fix")))</f>
        <v xml:space="preserve"> </v>
      </c>
      <c r="S39" s="4" t="str">
        <f ca="1">IF(OR(INDEX($AG$2:$AG$1001,MATCH(ROWS($AF$2:AF39),$AF$2:$AF$1001,0),1)&gt;=100000,INDEX($AM$1005:$BM$1005,1,MATCH(COLUMNS($AM$1006:BD1006),$AM$1006:$BM$1006,0))&gt;=100000), " ",IF(INDEX($AM$2:$BM$1001,MATCH(ROWS($AF$2:AF39),$AF$2:$AF$1001,0),MATCH(COLUMNS($AM$1006:BD1006),$AM$1006:$BM$1006,0)), HYPERLINK("#",""), HYPERLINK(CONCATENATE("#metadata!", ADDRESS(INDEX($AH$2:$AH$1001,MATCH(ROWS($AF$2:AF39),$AF$2:$AF$1001,0),0), INDEX($AM$1004:$BM$1004,1,MATCH(COLUMNS($AM$1006:BD1006),$AM$1006:$BM$1006,0)))),"Fix")))</f>
        <v xml:space="preserve"> </v>
      </c>
      <c r="T39" s="4" t="str">
        <f ca="1">IF(OR(INDEX($AG$2:$AG$1001,MATCH(ROWS($AF$2:AF39),$AF$2:$AF$1001,0),1)&gt;=100000,INDEX($AM$1005:$BM$1005,1,MATCH(COLUMNS($AM$1006:BE1006),$AM$1006:$BM$1006,0))&gt;=100000), " ",IF(INDEX($AM$2:$BM$1001,MATCH(ROWS($AF$2:AF39),$AF$2:$AF$1001,0),MATCH(COLUMNS($AM$1006:BE1006),$AM$1006:$BM$1006,0)), HYPERLINK("#",""), HYPERLINK(CONCATENATE("#metadata!", ADDRESS(INDEX($AH$2:$AH$1001,MATCH(ROWS($AF$2:AF39),$AF$2:$AF$1001,0),0), INDEX($AM$1004:$BM$1004,1,MATCH(COLUMNS($AM$1006:BE1006),$AM$1006:$BM$1006,0)))),"Fix")))</f>
        <v xml:space="preserve"> </v>
      </c>
      <c r="U39" s="4" t="str">
        <f ca="1">IF(OR(INDEX($AG$2:$AG$1001,MATCH(ROWS($AF$2:AF39),$AF$2:$AF$1001,0),1)&gt;=100000,INDEX($AM$1005:$BM$1005,1,MATCH(COLUMNS($AM$1006:BF1006),$AM$1006:$BM$1006,0))&gt;=100000), " ",IF(INDEX($AM$2:$BM$1001,MATCH(ROWS($AF$2:AF39),$AF$2:$AF$1001,0),MATCH(COLUMNS($AM$1006:BF1006),$AM$1006:$BM$1006,0)), HYPERLINK("#",""), HYPERLINK(CONCATENATE("#metadata!", ADDRESS(INDEX($AH$2:$AH$1001,MATCH(ROWS($AF$2:AF39),$AF$2:$AF$1001,0),0), INDEX($AM$1004:$BM$1004,1,MATCH(COLUMNS($AM$1006:BF1006),$AM$1006:$BM$1006,0)))),"Fix")))</f>
        <v xml:space="preserve"> </v>
      </c>
      <c r="V39" s="4" t="str">
        <f ca="1">IF(OR(INDEX($AG$2:$AG$1001,MATCH(ROWS($AF$2:AF39),$AF$2:$AF$1001,0),1)&gt;=100000,INDEX($AM$1005:$BM$1005,1,MATCH(COLUMNS($AM$1006:BG1006),$AM$1006:$BM$1006,0))&gt;=100000), " ",IF(INDEX($AM$2:$BM$1001,MATCH(ROWS($AF$2:AF39),$AF$2:$AF$1001,0),MATCH(COLUMNS($AM$1006:BG1006),$AM$1006:$BM$1006,0)), HYPERLINK("#",""), HYPERLINK(CONCATENATE("#metadata!", ADDRESS(INDEX($AH$2:$AH$1001,MATCH(ROWS($AF$2:AF39),$AF$2:$AF$1001,0),0), INDEX($AM$1004:$BM$1004,1,MATCH(COLUMNS($AM$1006:BG1006),$AM$1006:$BM$1006,0)))),"Fix")))</f>
        <v xml:space="preserve"> </v>
      </c>
      <c r="W39" s="4" t="str">
        <f ca="1">IF(OR(INDEX($AG$2:$AG$1001,MATCH(ROWS($AF$2:AF39),$AF$2:$AF$1001,0),1)&gt;=100000,INDEX($AM$1005:$BM$1005,1,MATCH(COLUMNS($AM$1006:BH1006),$AM$1006:$BM$1006,0))&gt;=100000), " ",IF(INDEX($AM$2:$BM$1001,MATCH(ROWS($AF$2:AF39),$AF$2:$AF$1001,0),MATCH(COLUMNS($AM$1006:BH1006),$AM$1006:$BM$1006,0)), HYPERLINK("#",""), HYPERLINK(CONCATENATE("#metadata!", ADDRESS(INDEX($AH$2:$AH$1001,MATCH(ROWS($AF$2:AF39),$AF$2:$AF$1001,0),0), INDEX($AM$1004:$BM$1004,1,MATCH(COLUMNS($AM$1006:BH1006),$AM$1006:$BM$1006,0)))),"Fix")))</f>
        <v xml:space="preserve"> </v>
      </c>
      <c r="X39" s="4" t="str">
        <f ca="1">IF(OR(INDEX($AG$2:$AG$1001,MATCH(ROWS($AF$2:AF39),$AF$2:$AF$1001,0),1)&gt;=100000,INDEX($AM$1005:$BM$1005,1,MATCH(COLUMNS($AM$1006:BI1006),$AM$1006:$BM$1006,0))&gt;=100000), " ",IF(INDEX($AM$2:$BM$1001,MATCH(ROWS($AF$2:AF39),$AF$2:$AF$1001,0),MATCH(COLUMNS($AM$1006:BI1006),$AM$1006:$BM$1006,0)), HYPERLINK("#",""), HYPERLINK(CONCATENATE("#metadata!", ADDRESS(INDEX($AH$2:$AH$1001,MATCH(ROWS($AF$2:AF39),$AF$2:$AF$1001,0),0), INDEX($AM$1004:$BM$1004,1,MATCH(COLUMNS($AM$1006:BI1006),$AM$1006:$BM$1006,0)))),"Fix")))</f>
        <v xml:space="preserve"> </v>
      </c>
      <c r="Y39" s="4" t="str">
        <f ca="1">IF(OR(INDEX($AG$2:$AG$1001,MATCH(ROWS($AF$2:AF39),$AF$2:$AF$1001,0),1)&gt;=100000,INDEX($AM$1005:$BM$1005,1,MATCH(COLUMNS($AM$1006:BJ1006),$AM$1006:$BM$1006,0))&gt;=100000), " ",IF(INDEX($AM$2:$BM$1001,MATCH(ROWS($AF$2:AF39),$AF$2:$AF$1001,0),MATCH(COLUMNS($AM$1006:BJ1006),$AM$1006:$BM$1006,0)), HYPERLINK("#",""), HYPERLINK(CONCATENATE("#metadata!", ADDRESS(INDEX($AH$2:$AH$1001,MATCH(ROWS($AF$2:AF39),$AF$2:$AF$1001,0),0), INDEX($AM$1004:$BM$1004,1,MATCH(COLUMNS($AM$1006:BJ1006),$AM$1006:$BM$1006,0)))),"Fix")))</f>
        <v xml:space="preserve"> </v>
      </c>
      <c r="Z39" s="4" t="str">
        <f ca="1">IF(OR(INDEX($AG$2:$AG$1001,MATCH(ROWS($AF$2:AF39),$AF$2:$AF$1001,0),1)&gt;=100000,INDEX($AM$1005:$BM$1005,1,MATCH(COLUMNS($AM$1006:BK1006),$AM$1006:$BM$1006,0))&gt;=100000), " ",IF(INDEX($AM$2:$BM$1001,MATCH(ROWS($AF$2:AF39),$AF$2:$AF$1001,0),MATCH(COLUMNS($AM$1006:BK1006),$AM$1006:$BM$1006,0)), HYPERLINK("#",""), HYPERLINK(CONCATENATE("#metadata!", ADDRESS(INDEX($AH$2:$AH$1001,MATCH(ROWS($AF$2:AF39),$AF$2:$AF$1001,0),0), INDEX($AM$1004:$BM$1004,1,MATCH(COLUMNS($AM$1006:BK1006),$AM$1006:$BM$1006,0)))),"Fix")))</f>
        <v xml:space="preserve"> </v>
      </c>
      <c r="AA39" s="4" t="str">
        <f ca="1">IF(OR(INDEX($AG$2:$AG$1001,MATCH(ROWS($AF$2:AF39),$AF$2:$AF$1001,0),1)&gt;=100000,INDEX($AM$1005:$BM$1005,1,MATCH(COLUMNS($AM$1006:BL1006),$AM$1006:$BM$1006,0))&gt;=100000), " ",IF(INDEX($AM$2:$BM$1001,MATCH(ROWS($AF$2:AF39),$AF$2:$AF$1001,0),MATCH(COLUMNS($AM$1006:BL1006),$AM$1006:$BM$1006,0)), HYPERLINK("#",""), HYPERLINK(CONCATENATE("#metadata!", ADDRESS(INDEX($AH$2:$AH$1001,MATCH(ROWS($AF$2:AF39),$AF$2:$AF$1001,0),0), INDEX($AM$1004:$BM$1004,1,MATCH(COLUMNS($AM$1006:BL1006),$AM$1006:$BM$1006,0)))),"Fix")))</f>
        <v xml:space="preserve"> </v>
      </c>
      <c r="AB39" s="4" t="str">
        <f ca="1">IF(OR(INDEX($AG$2:$AG$1001,MATCH(ROWS($AF$2:AF39),$AF$2:$AF$1001,0),1)&gt;=100000,INDEX($AM$1005:$BM$1005,1,MATCH(COLUMNS($AM$1006:BM1006),$AM$1006:$BM$1006,0))&gt;=100000), " ",IF(INDEX($AM$2:$BM$1001,MATCH(ROWS($AF$2:AF39),$AF$2:$AF$1001,0),MATCH(COLUMNS($AM$1006:BM1006),$AM$1006:$BM$1006,0)), HYPERLINK("#",""), HYPERLINK(CONCATENATE("#metadata!", ADDRESS(INDEX($AH$2:$AH$1001,MATCH(ROWS($AF$2:AF39),$AF$2:$AF$1001,0),0), INDEX($AM$1004:$BM$1004,1,MATCH(COLUMNS($AM$1006:BM1006),$AM$1006:$BM$1006,0)))),"Fix")))</f>
        <v xml:space="preserve"> </v>
      </c>
      <c r="AF39">
        <v>38</v>
      </c>
      <c r="AG39">
        <v>100039</v>
      </c>
      <c r="AH39">
        <v>39</v>
      </c>
      <c r="AI39" t="b">
        <f t="shared" si="0"/>
        <v>1</v>
      </c>
      <c r="AJ39" t="b">
        <f>COUNTBLANK(metadata!B39:AB39)=COLUMNS(metadata!B39:AB39)</f>
        <v>1</v>
      </c>
      <c r="AK39" t="str">
        <v/>
      </c>
      <c r="AM39" t="b">
        <f ca="1">AND(IF(metadata!B39="",FALSE,TRUE),COUNTIF(metadata!B:B, metadata!B39) = 1,NOT(ISERROR(SUMPRODUCT(SEARCH(MID(metadata!B39,ROW(INDIRECT("1:"&amp;LEN(metadata!B39))), 1),"0123456789abcdefghijklmnopqrstuvwxyzABCDEFGHIJKLMNOPQRSTUVWXYZ.")))))</f>
        <v>0</v>
      </c>
      <c r="AN39" t="b">
        <f ca="1">OR(AND(IF(metadata!C39="",FALSE,TRUE),OR(EXACT(metadata!C39,"missing: not collected"),EXACT(metadata!C39,"missing: not provided"),EXACT(metadata!C39,"missing: restricted access"))),AND(IF(metadata!C39="",FALSE,TRUE),AND(AND(IFERROR(INT(LEFT(metadata!C39,4))&gt;1900,FALSE),IFERROR(INT(LEFT(metadata!C39,4))&lt;=YEAR(NOW()),FALSE)), OR(MID(metadata!C39,5,1)="", AND(AND(MID(metadata!C39,5,1)="-",IFERROR(INT(MID(metadata!C39,6,1))&gt;=0,FALSE),IFERROR(INT(MID(metadata!C39,6,1))&lt;=1,FALSE),NOT(MID(metadata!C39,7,1)=""),IFERROR(INT(MID(metadata!C39,6,2))&gt;=1,FALSE),IFERROR(INT(MID(metadata!C39,6,2))&lt;=12,FALSE)), OR(MID(metadata!C39,8,1)="", AND(AND(MID(metadata!C39,8,1)="-",IFERROR(INT(MID(metadata!C39,9,1))&gt;=0,FALSE),IFERROR(INT(MID(metadata!C39,9,1))&lt;=3,FALSE),NOT(MID(metadata!C39,10,1)=""),IFERROR(INT(MID(metadata!C39,9,2))&gt;=1,FALSE),IFERROR(INT(MID(metadata!C39,9,2))&lt;=31,FALSE)), OR(MID(metadata!C39,11,1)="", AND(AND(MID(metadata!C39,11,1)=" ",IFERROR(INT(MID(metadata!C39,12,1))&gt;=0,FALSE),IFERROR(INT(MID(metadata!C39,12,1))&lt;=2,FALSE),NOT(MID(metadata!C39,13,1)=""),IFERROR(INT(MID(metadata!C39,12,2))&gt;=0,FALSE),IFERROR(INT(MID(metadata!C39,12,2))&lt;=23,FALSE)), OR(MID(metadata!C39,14,1)="", AND(AND(MID(metadata!C39,14,1)=":",IFERROR(INT(MID(metadata!C39,15,1))&gt;=0,FALSE),IFERROR(INT(MID(metadata!C39,15,1))&lt;=5,FALSE),NOT(MID(metadata!C39,16,1)=""),IFERROR(INT(MID(metadata!C39,15,2))&gt;=0,FALSE),IFERROR(INT(MID(metadata!C39,15,2))&lt;=59,FALSE)), OR(MID(metadata!C39,17,1)="", AND(AND(MID(metadata!C39,17,1)=":",IFERROR(INT(MID(metadata!C39,18,1))&gt;=0,FALSE),IFERROR(INT(MID(metadata!C39,18,1))&lt;=5,FALSE),NOT(MID(metadata!C39,19,1)=""),IFERROR(INT(MID(metadata!C39,18,2))&gt;=0,FALSE),IFERROR(INT(MID(metadata!C39,18,2))&lt;=59,FALSE)), LEN(metadata!C39)&lt;=19)))))))))))))</f>
        <v>0</v>
      </c>
      <c r="AO39" t="b">
        <f>AND(IF(metadata!D39="",FALSE,TRUE),EXACT(metadata!D39,"Not applicable"))</f>
        <v>0</v>
      </c>
      <c r="AP39" t="b">
        <f>IF(metadata!E39="",FALSE,TRUE)</f>
        <v>0</v>
      </c>
      <c r="AQ39" t="b">
        <f>OR(AND(IF(metadata!F39="",FALSE,TRUE),OR(EXACT(metadata!F39,"missing: not collected"),EXACT(metadata!F39,"missing: not provided"))),AND(IF(metadata!F39="",FALSE,TRUE),OR(EXACT(metadata!F39,"TRUE"),EXACT(metadata!F39,"FALSE"))))</f>
        <v>0</v>
      </c>
      <c r="AR39" t="b">
        <f>OR(AND(IF(metadata!G39="",FALSE,TRUE),OR(EXACT(metadata!G39,"missing: not collected"),EXACT(metadata!G39,"missing: not provided"),EXACT(metadata!G39,"missing: restricted access"))),AND(IF(metadata!G39="",FALSE,ISNUMBER(VALUE(metadata!G39))),metadata!G39&gt;=-413))</f>
        <v>0</v>
      </c>
      <c r="AS39" t="b">
        <f>AND(IF(metadata!H39="",FALSE,TRUE),EXACT(metadata!H39,"meters"))</f>
        <v>0</v>
      </c>
      <c r="AT39" t="b">
        <f>AND(IF(metadata!I39="",FALSE,TRUE),OR(EXACT(metadata!I39,"Host-associated"),EXACT(metadata!I39,"Free-living")))</f>
        <v>0</v>
      </c>
      <c r="AU39" t="b">
        <f>AND(IF(metadata!J39="",FALSE,TRUE),OR(EXACT(metadata!J39,"Animal"),EXACT(metadata!J39,"Fungus"),EXACT(metadata!J39,"Plant"),EXACT(metadata!J39,"Saline"),EXACT(metadata!J39,"Non-saline")))</f>
        <v>0</v>
      </c>
      <c r="AV39" t="b">
        <f>AND(IF(metadata!K39="",FALSE,TRUE),OR(EXACT(metadata!K39,"Plant secretion"),EXACT(metadata!K39,"Plant rhizosphere"),EXACT(metadata!K39,"Plant surface"),EXACT(metadata!K39,"Plant corpus"),EXACT(metadata!K39,"Fungus surface"),EXACT(metadata!K39,"Fungus corpus"),EXACT(metadata!K39,"Animal surface"),EXACT(metadata!K39,"Animal proximal gut"),EXACT(metadata!K39,"Animal corpus"),EXACT(metadata!K39,"Animal distal gut"),EXACT(metadata!K39,"Animal secretion"),EXACT(metadata!K39,"Sub-surface (non-saline)"),EXACT(metadata!K39,"Surface (non-saline)"),EXACT(metadata!K39,"Water (non-saline)"),EXACT(metadata!K39,"Soil (non-saline)"),EXACT(metadata!K39,"Aerosol (non-saline)"),EXACT(metadata!K39,"Sediment (non-saline)"),EXACT(metadata!K39,"Surface (saline)"),EXACT(metadata!K39,"Water (saline)"),EXACT(metadata!K39,"Hypersaline (saline)"),EXACT(metadata!K39,"Aerosol (saline)"),EXACT(metadata!K39,"Sediment (saline)")))</f>
        <v>0</v>
      </c>
      <c r="AW39" t="b">
        <f>IF(metadata!L39="",FALSE,TRUE)</f>
        <v>0</v>
      </c>
      <c r="AX39" t="b">
        <f>IF(metadata!M39="",FALSE,TRUE)</f>
        <v>0</v>
      </c>
      <c r="AY39" t="b">
        <f>IF(metadata!N39="",FALSE,TRUE)</f>
        <v>0</v>
      </c>
      <c r="AZ39" t="b">
        <f>OR(AND(IF(metadata!O39="",FALSE,TRUE),OR(EXACT(metadata!O39,"missing: not collected"),EXACT(metadata!O39,"missing: not provided"),EXACT(metadata!O39,"missing: restricted access"))),AND(IF(metadata!O39="",FALSE,TRUE),OR(EXACT(metadata!O39,"air"),EXACT(metadata!O39,"built environment"),EXACT(metadata!O39,"host-associated"),EXACT(metadata!O39,"human-associated"),EXACT(metadata!O39,"human-skin"),EXACT(metadata!O39,"human-oral"),EXACT(metadata!O39,"human-gut"),EXACT(metadata!O39,"human-vaginal"),EXACT(metadata!O39,"microbial mat/biofilm"),EXACT(metadata!O39,"misc environment"),EXACT(metadata!O39,"plant-associated"),EXACT(metadata!O39,"sediment"),EXACT(metadata!O39,"soil"),EXACT(metadata!O39,"wastewater/sludge"),EXACT(metadata!O39,"water"))))</f>
        <v>0</v>
      </c>
      <c r="BA39" t="b">
        <f>IF(metadata!P39="",FALSE,TRUE)</f>
        <v>0</v>
      </c>
      <c r="BB39" t="b">
        <f>IF(metadata!Q39="",FALSE,TRUE)</f>
        <v>0</v>
      </c>
      <c r="BC39" t="b">
        <f>OR(AND(IF(metadata!R39="",FALSE,TRUE),OR(EXACT(metadata!R39,"missing: not collected"),EXACT(metadata!R39,"missing: not provided"),EXACT(metadata!R39,"missing: restricted access"))),AND(IF(metadata!R39="",FALSE,ISNUMBER(VALUE(metadata!R39))),metadata!R39&gt;=-90,metadata!R39&lt;=90))</f>
        <v>0</v>
      </c>
      <c r="BD39" t="b">
        <f>AND(IF(metadata!S39="",FALSE,TRUE),EXACT(metadata!S39,"Decimal degrees"))</f>
        <v>0</v>
      </c>
      <c r="BE39" t="b">
        <f>OR(AND(IF(metadata!T39="",FALSE,TRUE),OR(EXACT(metadata!T39,"missing: not collected"),EXACT(metadata!T39,"missing: not provided"),EXACT(metadata!T39,"missing: restricted access"))),AND(IF(metadata!T39="",FALSE,ISNUMBER(VALUE(metadata!T39))),metadata!T39&gt;=-180,metadata!T39&lt;=180))</f>
        <v>0</v>
      </c>
      <c r="BF39" t="b">
        <f>AND(IF(metadata!U39="",FALSE,TRUE),EXACT(metadata!U39,"Decimal degrees"))</f>
        <v>0</v>
      </c>
      <c r="BG39" t="b">
        <f>IF(metadata!V39="",FALSE,TRUE)</f>
        <v>0</v>
      </c>
      <c r="BH39" t="b">
        <f>OR(AND(IF(metadata!W39="",FALSE,TRUE),OR(EXACT(metadata!W39,"missing: not collected"),EXACT(metadata!W39,"missing: not provided"),EXACT(metadata!W39,"missing: restricted access"))),AND(IF(metadata!W39="",FALSE,TRUE),OR(EXACT(metadata!W39,"TRUE"),EXACT(metadata!W39,"FALSE"))))</f>
        <v>0</v>
      </c>
      <c r="BI39" t="b">
        <f>AND(IF(metadata!X39="",FALSE,TRUE),EXACT(metadata!X39,"other"))</f>
        <v>0</v>
      </c>
      <c r="BJ39" t="b">
        <f>IF(metadata!Y39="",FALSE,TRUE)</f>
        <v>0</v>
      </c>
      <c r="BK39" t="b">
        <f>OR(AND(IF(metadata!Z39="",FALSE,TRUE),OR(EXACT(metadata!Z39,"missing: not collected"),EXACT(metadata!Z39,"missing: not provided"))),AND(IF(metadata!Z39="",FALSE,IF(ISERROR(INT(metadata!Z39)),FALSE,INT(metadata!Z39)=metadata!Z39)),metadata!Z39&gt;0))</f>
        <v>0</v>
      </c>
      <c r="BL39" t="b">
        <f>AND(IF(metadata!AA39="",FALSE,TRUE),EXACT(metadata!AA39,"Not applicable"))</f>
        <v>0</v>
      </c>
      <c r="BM39" t="b">
        <f>IF(metadata!AB39="",FALSE,TRUE)</f>
        <v>0</v>
      </c>
    </row>
    <row r="40" spans="1:65" x14ac:dyDescent="0.2">
      <c r="A40" s="5" t="str">
        <f ca="1">IF(B40=" "," ",HYPERLINK(CONCATENATE("#metadata!",ADDRESS(INDEX($AH$2:$AH$1001,MATCH(ROWS($AF$2:AF40),$AF$2:$AF$1001,0),0),1)),INDEX($AK$2:$AK$1001,MATCH(ROWS($AF$2:AF40),$AF$2:$AF$1001,0),0)))</f>
        <v xml:space="preserve"> </v>
      </c>
      <c r="B40" s="4" t="str">
        <f ca="1">IF(OR(INDEX($AG$2:$AG$1001,MATCH(ROWS($AF$2:AF40),$AF$2:$AF$1001,0),1)&gt;=100000,INDEX($AM$1005:$BM$1005,1,MATCH(COLUMNS($AM$1006:AM1006),$AM$1006:$BM$1006,0))&gt;=100000), " ",IF(INDEX($AM$2:$BM$1001,MATCH(ROWS($AF$2:AF40),$AF$2:$AF$1001,0),MATCH(COLUMNS($AM$1006:AM1006),$AM$1006:$BM$1006,0)), HYPERLINK("#",""), HYPERLINK(CONCATENATE("#metadata!", ADDRESS(INDEX($AH$2:$AH$1001,MATCH(ROWS($AF$2:AF40),$AF$2:$AF$1001,0),0), INDEX($AM$1004:$BM$1004,1,MATCH(COLUMNS($AM$1006:AM1006),$AM$1006:$BM$1006,0)))),"Fix")))</f>
        <v xml:space="preserve"> </v>
      </c>
      <c r="C40" s="4" t="str">
        <f ca="1">IF(OR(INDEX($AG$2:$AG$1001,MATCH(ROWS($AF$2:AF40),$AF$2:$AF$1001,0),1)&gt;=100000,INDEX($AM$1005:$BM$1005,1,MATCH(COLUMNS($AM$1006:AN1006),$AM$1006:$BM$1006,0))&gt;=100000), " ",IF(INDEX($AM$2:$BM$1001,MATCH(ROWS($AF$2:AF40),$AF$2:$AF$1001,0),MATCH(COLUMNS($AM$1006:AN1006),$AM$1006:$BM$1006,0)), HYPERLINK("#",""), HYPERLINK(CONCATENATE("#metadata!", ADDRESS(INDEX($AH$2:$AH$1001,MATCH(ROWS($AF$2:AF40),$AF$2:$AF$1001,0),0), INDEX($AM$1004:$BM$1004,1,MATCH(COLUMNS($AM$1006:AN1006),$AM$1006:$BM$1006,0)))),"Fix")))</f>
        <v xml:space="preserve"> </v>
      </c>
      <c r="D40" s="4" t="str">
        <f ca="1">IF(OR(INDEX($AG$2:$AG$1001,MATCH(ROWS($AF$2:AF40),$AF$2:$AF$1001,0),1)&gt;=100000,INDEX($AM$1005:$BM$1005,1,MATCH(COLUMNS($AM$1006:AO1006),$AM$1006:$BM$1006,0))&gt;=100000), " ",IF(INDEX($AM$2:$BM$1001,MATCH(ROWS($AF$2:AF40),$AF$2:$AF$1001,0),MATCH(COLUMNS($AM$1006:AO1006),$AM$1006:$BM$1006,0)), HYPERLINK("#",""), HYPERLINK(CONCATENATE("#metadata!", ADDRESS(INDEX($AH$2:$AH$1001,MATCH(ROWS($AF$2:AF40),$AF$2:$AF$1001,0),0), INDEX($AM$1004:$BM$1004,1,MATCH(COLUMNS($AM$1006:AO1006),$AM$1006:$BM$1006,0)))),"Fix")))</f>
        <v xml:space="preserve"> </v>
      </c>
      <c r="E40" s="4" t="str">
        <f ca="1">IF(OR(INDEX($AG$2:$AG$1001,MATCH(ROWS($AF$2:AF40),$AF$2:$AF$1001,0),1)&gt;=100000,INDEX($AM$1005:$BM$1005,1,MATCH(COLUMNS($AM$1006:AP1006),$AM$1006:$BM$1006,0))&gt;=100000), " ",IF(INDEX($AM$2:$BM$1001,MATCH(ROWS($AF$2:AF40),$AF$2:$AF$1001,0),MATCH(COLUMNS($AM$1006:AP1006),$AM$1006:$BM$1006,0)), HYPERLINK("#",""), HYPERLINK(CONCATENATE("#metadata!", ADDRESS(INDEX($AH$2:$AH$1001,MATCH(ROWS($AF$2:AF40),$AF$2:$AF$1001,0),0), INDEX($AM$1004:$BM$1004,1,MATCH(COLUMNS($AM$1006:AP1006),$AM$1006:$BM$1006,0)))),"Fix")))</f>
        <v xml:space="preserve"> </v>
      </c>
      <c r="F40" s="4" t="str">
        <f ca="1">IF(OR(INDEX($AG$2:$AG$1001,MATCH(ROWS($AF$2:AF40),$AF$2:$AF$1001,0),1)&gt;=100000,INDEX($AM$1005:$BM$1005,1,MATCH(COLUMNS($AM$1006:AQ1006),$AM$1006:$BM$1006,0))&gt;=100000), " ",IF(INDEX($AM$2:$BM$1001,MATCH(ROWS($AF$2:AF40),$AF$2:$AF$1001,0),MATCH(COLUMNS($AM$1006:AQ1006),$AM$1006:$BM$1006,0)), HYPERLINK("#",""), HYPERLINK(CONCATENATE("#metadata!", ADDRESS(INDEX($AH$2:$AH$1001,MATCH(ROWS($AF$2:AF40),$AF$2:$AF$1001,0),0), INDEX($AM$1004:$BM$1004,1,MATCH(COLUMNS($AM$1006:AQ1006),$AM$1006:$BM$1006,0)))),"Fix")))</f>
        <v xml:space="preserve"> </v>
      </c>
      <c r="G40" s="4" t="str">
        <f ca="1">IF(OR(INDEX($AG$2:$AG$1001,MATCH(ROWS($AF$2:AF40),$AF$2:$AF$1001,0),1)&gt;=100000,INDEX($AM$1005:$BM$1005,1,MATCH(COLUMNS($AM$1006:AR1006),$AM$1006:$BM$1006,0))&gt;=100000), " ",IF(INDEX($AM$2:$BM$1001,MATCH(ROWS($AF$2:AF40),$AF$2:$AF$1001,0),MATCH(COLUMNS($AM$1006:AR1006),$AM$1006:$BM$1006,0)), HYPERLINK("#",""), HYPERLINK(CONCATENATE("#metadata!", ADDRESS(INDEX($AH$2:$AH$1001,MATCH(ROWS($AF$2:AF40),$AF$2:$AF$1001,0),0), INDEX($AM$1004:$BM$1004,1,MATCH(COLUMNS($AM$1006:AR1006),$AM$1006:$BM$1006,0)))),"Fix")))</f>
        <v xml:space="preserve"> </v>
      </c>
      <c r="H40" s="4" t="str">
        <f ca="1">IF(OR(INDEX($AG$2:$AG$1001,MATCH(ROWS($AF$2:AF40),$AF$2:$AF$1001,0),1)&gt;=100000,INDEX($AM$1005:$BM$1005,1,MATCH(COLUMNS($AM$1006:AS1006),$AM$1006:$BM$1006,0))&gt;=100000), " ",IF(INDEX($AM$2:$BM$1001,MATCH(ROWS($AF$2:AF40),$AF$2:$AF$1001,0),MATCH(COLUMNS($AM$1006:AS1006),$AM$1006:$BM$1006,0)), HYPERLINK("#",""), HYPERLINK(CONCATENATE("#metadata!", ADDRESS(INDEX($AH$2:$AH$1001,MATCH(ROWS($AF$2:AF40),$AF$2:$AF$1001,0),0), INDEX($AM$1004:$BM$1004,1,MATCH(COLUMNS($AM$1006:AS1006),$AM$1006:$BM$1006,0)))),"Fix")))</f>
        <v xml:space="preserve"> </v>
      </c>
      <c r="I40" s="4" t="str">
        <f ca="1">IF(OR(INDEX($AG$2:$AG$1001,MATCH(ROWS($AF$2:AF40),$AF$2:$AF$1001,0),1)&gt;=100000,INDEX($AM$1005:$BM$1005,1,MATCH(COLUMNS($AM$1006:AT1006),$AM$1006:$BM$1006,0))&gt;=100000), " ",IF(INDEX($AM$2:$BM$1001,MATCH(ROWS($AF$2:AF40),$AF$2:$AF$1001,0),MATCH(COLUMNS($AM$1006:AT1006),$AM$1006:$BM$1006,0)), HYPERLINK("#",""), HYPERLINK(CONCATENATE("#metadata!", ADDRESS(INDEX($AH$2:$AH$1001,MATCH(ROWS($AF$2:AF40),$AF$2:$AF$1001,0),0), INDEX($AM$1004:$BM$1004,1,MATCH(COLUMNS($AM$1006:AT1006),$AM$1006:$BM$1006,0)))),"Fix")))</f>
        <v xml:space="preserve"> </v>
      </c>
      <c r="J40" s="4" t="str">
        <f ca="1">IF(OR(INDEX($AG$2:$AG$1001,MATCH(ROWS($AF$2:AF40),$AF$2:$AF$1001,0),1)&gt;=100000,INDEX($AM$1005:$BM$1005,1,MATCH(COLUMNS($AM$1006:AU1006),$AM$1006:$BM$1006,0))&gt;=100000), " ",IF(INDEX($AM$2:$BM$1001,MATCH(ROWS($AF$2:AF40),$AF$2:$AF$1001,0),MATCH(COLUMNS($AM$1006:AU1006),$AM$1006:$BM$1006,0)), HYPERLINK("#",""), HYPERLINK(CONCATENATE("#metadata!", ADDRESS(INDEX($AH$2:$AH$1001,MATCH(ROWS($AF$2:AF40),$AF$2:$AF$1001,0),0), INDEX($AM$1004:$BM$1004,1,MATCH(COLUMNS($AM$1006:AU1006),$AM$1006:$BM$1006,0)))),"Fix")))</f>
        <v xml:space="preserve"> </v>
      </c>
      <c r="K40" s="4" t="str">
        <f ca="1">IF(OR(INDEX($AG$2:$AG$1001,MATCH(ROWS($AF$2:AF40),$AF$2:$AF$1001,0),1)&gt;=100000,INDEX($AM$1005:$BM$1005,1,MATCH(COLUMNS($AM$1006:AV1006),$AM$1006:$BM$1006,0))&gt;=100000), " ",IF(INDEX($AM$2:$BM$1001,MATCH(ROWS($AF$2:AF40),$AF$2:$AF$1001,0),MATCH(COLUMNS($AM$1006:AV1006),$AM$1006:$BM$1006,0)), HYPERLINK("#",""), HYPERLINK(CONCATENATE("#metadata!", ADDRESS(INDEX($AH$2:$AH$1001,MATCH(ROWS($AF$2:AF40),$AF$2:$AF$1001,0),0), INDEX($AM$1004:$BM$1004,1,MATCH(COLUMNS($AM$1006:AV1006),$AM$1006:$BM$1006,0)))),"Fix")))</f>
        <v xml:space="preserve"> </v>
      </c>
      <c r="L40" s="4" t="str">
        <f ca="1">IF(OR(INDEX($AG$2:$AG$1001,MATCH(ROWS($AF$2:AF40),$AF$2:$AF$1001,0),1)&gt;=100000,INDEX($AM$1005:$BM$1005,1,MATCH(COLUMNS($AM$1006:AW1006),$AM$1006:$BM$1006,0))&gt;=100000), " ",IF(INDEX($AM$2:$BM$1001,MATCH(ROWS($AF$2:AF40),$AF$2:$AF$1001,0),MATCH(COLUMNS($AM$1006:AW1006),$AM$1006:$BM$1006,0)), HYPERLINK("#",""), HYPERLINK(CONCATENATE("#metadata!", ADDRESS(INDEX($AH$2:$AH$1001,MATCH(ROWS($AF$2:AF40),$AF$2:$AF$1001,0),0), INDEX($AM$1004:$BM$1004,1,MATCH(COLUMNS($AM$1006:AW1006),$AM$1006:$BM$1006,0)))),"Fix")))</f>
        <v xml:space="preserve"> </v>
      </c>
      <c r="M40" s="4" t="str">
        <f ca="1">IF(OR(INDEX($AG$2:$AG$1001,MATCH(ROWS($AF$2:AF40),$AF$2:$AF$1001,0),1)&gt;=100000,INDEX($AM$1005:$BM$1005,1,MATCH(COLUMNS($AM$1006:AX1006),$AM$1006:$BM$1006,0))&gt;=100000), " ",IF(INDEX($AM$2:$BM$1001,MATCH(ROWS($AF$2:AF40),$AF$2:$AF$1001,0),MATCH(COLUMNS($AM$1006:AX1006),$AM$1006:$BM$1006,0)), HYPERLINK("#",""), HYPERLINK(CONCATENATE("#metadata!", ADDRESS(INDEX($AH$2:$AH$1001,MATCH(ROWS($AF$2:AF40),$AF$2:$AF$1001,0),0), INDEX($AM$1004:$BM$1004,1,MATCH(COLUMNS($AM$1006:AX1006),$AM$1006:$BM$1006,0)))),"Fix")))</f>
        <v xml:space="preserve"> </v>
      </c>
      <c r="N40" s="4" t="str">
        <f ca="1">IF(OR(INDEX($AG$2:$AG$1001,MATCH(ROWS($AF$2:AF40),$AF$2:$AF$1001,0),1)&gt;=100000,INDEX($AM$1005:$BM$1005,1,MATCH(COLUMNS($AM$1006:AY1006),$AM$1006:$BM$1006,0))&gt;=100000), " ",IF(INDEX($AM$2:$BM$1001,MATCH(ROWS($AF$2:AF40),$AF$2:$AF$1001,0),MATCH(COLUMNS($AM$1006:AY1006),$AM$1006:$BM$1006,0)), HYPERLINK("#",""), HYPERLINK(CONCATENATE("#metadata!", ADDRESS(INDEX($AH$2:$AH$1001,MATCH(ROWS($AF$2:AF40),$AF$2:$AF$1001,0),0), INDEX($AM$1004:$BM$1004,1,MATCH(COLUMNS($AM$1006:AY1006),$AM$1006:$BM$1006,0)))),"Fix")))</f>
        <v xml:space="preserve"> </v>
      </c>
      <c r="O40" s="4" t="str">
        <f ca="1">IF(OR(INDEX($AG$2:$AG$1001,MATCH(ROWS($AF$2:AF40),$AF$2:$AF$1001,0),1)&gt;=100000,INDEX($AM$1005:$BM$1005,1,MATCH(COLUMNS($AM$1006:AZ1006),$AM$1006:$BM$1006,0))&gt;=100000), " ",IF(INDEX($AM$2:$BM$1001,MATCH(ROWS($AF$2:AF40),$AF$2:$AF$1001,0),MATCH(COLUMNS($AM$1006:AZ1006),$AM$1006:$BM$1006,0)), HYPERLINK("#",""), HYPERLINK(CONCATENATE("#metadata!", ADDRESS(INDEX($AH$2:$AH$1001,MATCH(ROWS($AF$2:AF40),$AF$2:$AF$1001,0),0), INDEX($AM$1004:$BM$1004,1,MATCH(COLUMNS($AM$1006:AZ1006),$AM$1006:$BM$1006,0)))),"Fix")))</f>
        <v xml:space="preserve"> </v>
      </c>
      <c r="P40" s="4" t="str">
        <f ca="1">IF(OR(INDEX($AG$2:$AG$1001,MATCH(ROWS($AF$2:AF40),$AF$2:$AF$1001,0),1)&gt;=100000,INDEX($AM$1005:$BM$1005,1,MATCH(COLUMNS($AM$1006:BA1006),$AM$1006:$BM$1006,0))&gt;=100000), " ",IF(INDEX($AM$2:$BM$1001,MATCH(ROWS($AF$2:AF40),$AF$2:$AF$1001,0),MATCH(COLUMNS($AM$1006:BA1006),$AM$1006:$BM$1006,0)), HYPERLINK("#",""), HYPERLINK(CONCATENATE("#metadata!", ADDRESS(INDEX($AH$2:$AH$1001,MATCH(ROWS($AF$2:AF40),$AF$2:$AF$1001,0),0), INDEX($AM$1004:$BM$1004,1,MATCH(COLUMNS($AM$1006:BA1006),$AM$1006:$BM$1006,0)))),"Fix")))</f>
        <v xml:space="preserve"> </v>
      </c>
      <c r="Q40" s="4" t="str">
        <f ca="1">IF(OR(INDEX($AG$2:$AG$1001,MATCH(ROWS($AF$2:AF40),$AF$2:$AF$1001,0),1)&gt;=100000,INDEX($AM$1005:$BM$1005,1,MATCH(COLUMNS($AM$1006:BB1006),$AM$1006:$BM$1006,0))&gt;=100000), " ",IF(INDEX($AM$2:$BM$1001,MATCH(ROWS($AF$2:AF40),$AF$2:$AF$1001,0),MATCH(COLUMNS($AM$1006:BB1006),$AM$1006:$BM$1006,0)), HYPERLINK("#",""), HYPERLINK(CONCATENATE("#metadata!", ADDRESS(INDEX($AH$2:$AH$1001,MATCH(ROWS($AF$2:AF40),$AF$2:$AF$1001,0),0), INDEX($AM$1004:$BM$1004,1,MATCH(COLUMNS($AM$1006:BB1006),$AM$1006:$BM$1006,0)))),"Fix")))</f>
        <v xml:space="preserve"> </v>
      </c>
      <c r="R40" s="4" t="str">
        <f ca="1">IF(OR(INDEX($AG$2:$AG$1001,MATCH(ROWS($AF$2:AF40),$AF$2:$AF$1001,0),1)&gt;=100000,INDEX($AM$1005:$BM$1005,1,MATCH(COLUMNS($AM$1006:BC1006),$AM$1006:$BM$1006,0))&gt;=100000), " ",IF(INDEX($AM$2:$BM$1001,MATCH(ROWS($AF$2:AF40),$AF$2:$AF$1001,0),MATCH(COLUMNS($AM$1006:BC1006),$AM$1006:$BM$1006,0)), HYPERLINK("#",""), HYPERLINK(CONCATENATE("#metadata!", ADDRESS(INDEX($AH$2:$AH$1001,MATCH(ROWS($AF$2:AF40),$AF$2:$AF$1001,0),0), INDEX($AM$1004:$BM$1004,1,MATCH(COLUMNS($AM$1006:BC1006),$AM$1006:$BM$1006,0)))),"Fix")))</f>
        <v xml:space="preserve"> </v>
      </c>
      <c r="S40" s="4" t="str">
        <f ca="1">IF(OR(INDEX($AG$2:$AG$1001,MATCH(ROWS($AF$2:AF40),$AF$2:$AF$1001,0),1)&gt;=100000,INDEX($AM$1005:$BM$1005,1,MATCH(COLUMNS($AM$1006:BD1006),$AM$1006:$BM$1006,0))&gt;=100000), " ",IF(INDEX($AM$2:$BM$1001,MATCH(ROWS($AF$2:AF40),$AF$2:$AF$1001,0),MATCH(COLUMNS($AM$1006:BD1006),$AM$1006:$BM$1006,0)), HYPERLINK("#",""), HYPERLINK(CONCATENATE("#metadata!", ADDRESS(INDEX($AH$2:$AH$1001,MATCH(ROWS($AF$2:AF40),$AF$2:$AF$1001,0),0), INDEX($AM$1004:$BM$1004,1,MATCH(COLUMNS($AM$1006:BD1006),$AM$1006:$BM$1006,0)))),"Fix")))</f>
        <v xml:space="preserve"> </v>
      </c>
      <c r="T40" s="4" t="str">
        <f ca="1">IF(OR(INDEX($AG$2:$AG$1001,MATCH(ROWS($AF$2:AF40),$AF$2:$AF$1001,0),1)&gt;=100000,INDEX($AM$1005:$BM$1005,1,MATCH(COLUMNS($AM$1006:BE1006),$AM$1006:$BM$1006,0))&gt;=100000), " ",IF(INDEX($AM$2:$BM$1001,MATCH(ROWS($AF$2:AF40),$AF$2:$AF$1001,0),MATCH(COLUMNS($AM$1006:BE1006),$AM$1006:$BM$1006,0)), HYPERLINK("#",""), HYPERLINK(CONCATENATE("#metadata!", ADDRESS(INDEX($AH$2:$AH$1001,MATCH(ROWS($AF$2:AF40),$AF$2:$AF$1001,0),0), INDEX($AM$1004:$BM$1004,1,MATCH(COLUMNS($AM$1006:BE1006),$AM$1006:$BM$1006,0)))),"Fix")))</f>
        <v xml:space="preserve"> </v>
      </c>
      <c r="U40" s="4" t="str">
        <f ca="1">IF(OR(INDEX($AG$2:$AG$1001,MATCH(ROWS($AF$2:AF40),$AF$2:$AF$1001,0),1)&gt;=100000,INDEX($AM$1005:$BM$1005,1,MATCH(COLUMNS($AM$1006:BF1006),$AM$1006:$BM$1006,0))&gt;=100000), " ",IF(INDEX($AM$2:$BM$1001,MATCH(ROWS($AF$2:AF40),$AF$2:$AF$1001,0),MATCH(COLUMNS($AM$1006:BF1006),$AM$1006:$BM$1006,0)), HYPERLINK("#",""), HYPERLINK(CONCATENATE("#metadata!", ADDRESS(INDEX($AH$2:$AH$1001,MATCH(ROWS($AF$2:AF40),$AF$2:$AF$1001,0),0), INDEX($AM$1004:$BM$1004,1,MATCH(COLUMNS($AM$1006:BF1006),$AM$1006:$BM$1006,0)))),"Fix")))</f>
        <v xml:space="preserve"> </v>
      </c>
      <c r="V40" s="4" t="str">
        <f ca="1">IF(OR(INDEX($AG$2:$AG$1001,MATCH(ROWS($AF$2:AF40),$AF$2:$AF$1001,0),1)&gt;=100000,INDEX($AM$1005:$BM$1005,1,MATCH(COLUMNS($AM$1006:BG1006),$AM$1006:$BM$1006,0))&gt;=100000), " ",IF(INDEX($AM$2:$BM$1001,MATCH(ROWS($AF$2:AF40),$AF$2:$AF$1001,0),MATCH(COLUMNS($AM$1006:BG1006),$AM$1006:$BM$1006,0)), HYPERLINK("#",""), HYPERLINK(CONCATENATE("#metadata!", ADDRESS(INDEX($AH$2:$AH$1001,MATCH(ROWS($AF$2:AF40),$AF$2:$AF$1001,0),0), INDEX($AM$1004:$BM$1004,1,MATCH(COLUMNS($AM$1006:BG1006),$AM$1006:$BM$1006,0)))),"Fix")))</f>
        <v xml:space="preserve"> </v>
      </c>
      <c r="W40" s="4" t="str">
        <f ca="1">IF(OR(INDEX($AG$2:$AG$1001,MATCH(ROWS($AF$2:AF40),$AF$2:$AF$1001,0),1)&gt;=100000,INDEX($AM$1005:$BM$1005,1,MATCH(COLUMNS($AM$1006:BH1006),$AM$1006:$BM$1006,0))&gt;=100000), " ",IF(INDEX($AM$2:$BM$1001,MATCH(ROWS($AF$2:AF40),$AF$2:$AF$1001,0),MATCH(COLUMNS($AM$1006:BH1006),$AM$1006:$BM$1006,0)), HYPERLINK("#",""), HYPERLINK(CONCATENATE("#metadata!", ADDRESS(INDEX($AH$2:$AH$1001,MATCH(ROWS($AF$2:AF40),$AF$2:$AF$1001,0),0), INDEX($AM$1004:$BM$1004,1,MATCH(COLUMNS($AM$1006:BH1006),$AM$1006:$BM$1006,0)))),"Fix")))</f>
        <v xml:space="preserve"> </v>
      </c>
      <c r="X40" s="4" t="str">
        <f ca="1">IF(OR(INDEX($AG$2:$AG$1001,MATCH(ROWS($AF$2:AF40),$AF$2:$AF$1001,0),1)&gt;=100000,INDEX($AM$1005:$BM$1005,1,MATCH(COLUMNS($AM$1006:BI1006),$AM$1006:$BM$1006,0))&gt;=100000), " ",IF(INDEX($AM$2:$BM$1001,MATCH(ROWS($AF$2:AF40),$AF$2:$AF$1001,0),MATCH(COLUMNS($AM$1006:BI1006),$AM$1006:$BM$1006,0)), HYPERLINK("#",""), HYPERLINK(CONCATENATE("#metadata!", ADDRESS(INDEX($AH$2:$AH$1001,MATCH(ROWS($AF$2:AF40),$AF$2:$AF$1001,0),0), INDEX($AM$1004:$BM$1004,1,MATCH(COLUMNS($AM$1006:BI1006),$AM$1006:$BM$1006,0)))),"Fix")))</f>
        <v xml:space="preserve"> </v>
      </c>
      <c r="Y40" s="4" t="str">
        <f ca="1">IF(OR(INDEX($AG$2:$AG$1001,MATCH(ROWS($AF$2:AF40),$AF$2:$AF$1001,0),1)&gt;=100000,INDEX($AM$1005:$BM$1005,1,MATCH(COLUMNS($AM$1006:BJ1006),$AM$1006:$BM$1006,0))&gt;=100000), " ",IF(INDEX($AM$2:$BM$1001,MATCH(ROWS($AF$2:AF40),$AF$2:$AF$1001,0),MATCH(COLUMNS($AM$1006:BJ1006),$AM$1006:$BM$1006,0)), HYPERLINK("#",""), HYPERLINK(CONCATENATE("#metadata!", ADDRESS(INDEX($AH$2:$AH$1001,MATCH(ROWS($AF$2:AF40),$AF$2:$AF$1001,0),0), INDEX($AM$1004:$BM$1004,1,MATCH(COLUMNS($AM$1006:BJ1006),$AM$1006:$BM$1006,0)))),"Fix")))</f>
        <v xml:space="preserve"> </v>
      </c>
      <c r="Z40" s="4" t="str">
        <f ca="1">IF(OR(INDEX($AG$2:$AG$1001,MATCH(ROWS($AF$2:AF40),$AF$2:$AF$1001,0),1)&gt;=100000,INDEX($AM$1005:$BM$1005,1,MATCH(COLUMNS($AM$1006:BK1006),$AM$1006:$BM$1006,0))&gt;=100000), " ",IF(INDEX($AM$2:$BM$1001,MATCH(ROWS($AF$2:AF40),$AF$2:$AF$1001,0),MATCH(COLUMNS($AM$1006:BK1006),$AM$1006:$BM$1006,0)), HYPERLINK("#",""), HYPERLINK(CONCATENATE("#metadata!", ADDRESS(INDEX($AH$2:$AH$1001,MATCH(ROWS($AF$2:AF40),$AF$2:$AF$1001,0),0), INDEX($AM$1004:$BM$1004,1,MATCH(COLUMNS($AM$1006:BK1006),$AM$1006:$BM$1006,0)))),"Fix")))</f>
        <v xml:space="preserve"> </v>
      </c>
      <c r="AA40" s="4" t="str">
        <f ca="1">IF(OR(INDEX($AG$2:$AG$1001,MATCH(ROWS($AF$2:AF40),$AF$2:$AF$1001,0),1)&gt;=100000,INDEX($AM$1005:$BM$1005,1,MATCH(COLUMNS($AM$1006:BL1006),$AM$1006:$BM$1006,0))&gt;=100000), " ",IF(INDEX($AM$2:$BM$1001,MATCH(ROWS($AF$2:AF40),$AF$2:$AF$1001,0),MATCH(COLUMNS($AM$1006:BL1006),$AM$1006:$BM$1006,0)), HYPERLINK("#",""), HYPERLINK(CONCATENATE("#metadata!", ADDRESS(INDEX($AH$2:$AH$1001,MATCH(ROWS($AF$2:AF40),$AF$2:$AF$1001,0),0), INDEX($AM$1004:$BM$1004,1,MATCH(COLUMNS($AM$1006:BL1006),$AM$1006:$BM$1006,0)))),"Fix")))</f>
        <v xml:space="preserve"> </v>
      </c>
      <c r="AB40" s="4" t="str">
        <f ca="1">IF(OR(INDEX($AG$2:$AG$1001,MATCH(ROWS($AF$2:AF40),$AF$2:$AF$1001,0),1)&gt;=100000,INDEX($AM$1005:$BM$1005,1,MATCH(COLUMNS($AM$1006:BM1006),$AM$1006:$BM$1006,0))&gt;=100000), " ",IF(INDEX($AM$2:$BM$1001,MATCH(ROWS($AF$2:AF40),$AF$2:$AF$1001,0),MATCH(COLUMNS($AM$1006:BM1006),$AM$1006:$BM$1006,0)), HYPERLINK("#",""), HYPERLINK(CONCATENATE("#metadata!", ADDRESS(INDEX($AH$2:$AH$1001,MATCH(ROWS($AF$2:AF40),$AF$2:$AF$1001,0),0), INDEX($AM$1004:$BM$1004,1,MATCH(COLUMNS($AM$1006:BM1006),$AM$1006:$BM$1006,0)))),"Fix")))</f>
        <v xml:space="preserve"> </v>
      </c>
      <c r="AF40">
        <v>39</v>
      </c>
      <c r="AG40">
        <v>100040</v>
      </c>
      <c r="AH40">
        <v>40</v>
      </c>
      <c r="AI40" t="b">
        <f t="shared" si="0"/>
        <v>1</v>
      </c>
      <c r="AJ40" t="b">
        <f>COUNTBLANK(metadata!B40:AB40)=COLUMNS(metadata!B40:AB40)</f>
        <v>1</v>
      </c>
      <c r="AK40" t="str">
        <v/>
      </c>
      <c r="AM40" t="b">
        <f ca="1">AND(IF(metadata!B40="",FALSE,TRUE),COUNTIF(metadata!B:B, metadata!B40) = 1,NOT(ISERROR(SUMPRODUCT(SEARCH(MID(metadata!B40,ROW(INDIRECT("1:"&amp;LEN(metadata!B40))), 1),"0123456789abcdefghijklmnopqrstuvwxyzABCDEFGHIJKLMNOPQRSTUVWXYZ.")))))</f>
        <v>0</v>
      </c>
      <c r="AN40" t="b">
        <f ca="1">OR(AND(IF(metadata!C40="",FALSE,TRUE),OR(EXACT(metadata!C40,"missing: not collected"),EXACT(metadata!C40,"missing: not provided"),EXACT(metadata!C40,"missing: restricted access"))),AND(IF(metadata!C40="",FALSE,TRUE),AND(AND(IFERROR(INT(LEFT(metadata!C40,4))&gt;1900,FALSE),IFERROR(INT(LEFT(metadata!C40,4))&lt;=YEAR(NOW()),FALSE)), OR(MID(metadata!C40,5,1)="", AND(AND(MID(metadata!C40,5,1)="-",IFERROR(INT(MID(metadata!C40,6,1))&gt;=0,FALSE),IFERROR(INT(MID(metadata!C40,6,1))&lt;=1,FALSE),NOT(MID(metadata!C40,7,1)=""),IFERROR(INT(MID(metadata!C40,6,2))&gt;=1,FALSE),IFERROR(INT(MID(metadata!C40,6,2))&lt;=12,FALSE)), OR(MID(metadata!C40,8,1)="", AND(AND(MID(metadata!C40,8,1)="-",IFERROR(INT(MID(metadata!C40,9,1))&gt;=0,FALSE),IFERROR(INT(MID(metadata!C40,9,1))&lt;=3,FALSE),NOT(MID(metadata!C40,10,1)=""),IFERROR(INT(MID(metadata!C40,9,2))&gt;=1,FALSE),IFERROR(INT(MID(metadata!C40,9,2))&lt;=31,FALSE)), OR(MID(metadata!C40,11,1)="", AND(AND(MID(metadata!C40,11,1)=" ",IFERROR(INT(MID(metadata!C40,12,1))&gt;=0,FALSE),IFERROR(INT(MID(metadata!C40,12,1))&lt;=2,FALSE),NOT(MID(metadata!C40,13,1)=""),IFERROR(INT(MID(metadata!C40,12,2))&gt;=0,FALSE),IFERROR(INT(MID(metadata!C40,12,2))&lt;=23,FALSE)), OR(MID(metadata!C40,14,1)="", AND(AND(MID(metadata!C40,14,1)=":",IFERROR(INT(MID(metadata!C40,15,1))&gt;=0,FALSE),IFERROR(INT(MID(metadata!C40,15,1))&lt;=5,FALSE),NOT(MID(metadata!C40,16,1)=""),IFERROR(INT(MID(metadata!C40,15,2))&gt;=0,FALSE),IFERROR(INT(MID(metadata!C40,15,2))&lt;=59,FALSE)), OR(MID(metadata!C40,17,1)="", AND(AND(MID(metadata!C40,17,1)=":",IFERROR(INT(MID(metadata!C40,18,1))&gt;=0,FALSE),IFERROR(INT(MID(metadata!C40,18,1))&lt;=5,FALSE),NOT(MID(metadata!C40,19,1)=""),IFERROR(INT(MID(metadata!C40,18,2))&gt;=0,FALSE),IFERROR(INT(MID(metadata!C40,18,2))&lt;=59,FALSE)), LEN(metadata!C40)&lt;=19)))))))))))))</f>
        <v>0</v>
      </c>
      <c r="AO40" t="b">
        <f>AND(IF(metadata!D40="",FALSE,TRUE),EXACT(metadata!D40,"Not applicable"))</f>
        <v>0</v>
      </c>
      <c r="AP40" t="b">
        <f>IF(metadata!E40="",FALSE,TRUE)</f>
        <v>0</v>
      </c>
      <c r="AQ40" t="b">
        <f>OR(AND(IF(metadata!F40="",FALSE,TRUE),OR(EXACT(metadata!F40,"missing: not collected"),EXACT(metadata!F40,"missing: not provided"))),AND(IF(metadata!F40="",FALSE,TRUE),OR(EXACT(metadata!F40,"TRUE"),EXACT(metadata!F40,"FALSE"))))</f>
        <v>0</v>
      </c>
      <c r="AR40" t="b">
        <f>OR(AND(IF(metadata!G40="",FALSE,TRUE),OR(EXACT(metadata!G40,"missing: not collected"),EXACT(metadata!G40,"missing: not provided"),EXACT(metadata!G40,"missing: restricted access"))),AND(IF(metadata!G40="",FALSE,ISNUMBER(VALUE(metadata!G40))),metadata!G40&gt;=-413))</f>
        <v>0</v>
      </c>
      <c r="AS40" t="b">
        <f>AND(IF(metadata!H40="",FALSE,TRUE),EXACT(metadata!H40,"meters"))</f>
        <v>0</v>
      </c>
      <c r="AT40" t="b">
        <f>AND(IF(metadata!I40="",FALSE,TRUE),OR(EXACT(metadata!I40,"Host-associated"),EXACT(metadata!I40,"Free-living")))</f>
        <v>0</v>
      </c>
      <c r="AU40" t="b">
        <f>AND(IF(metadata!J40="",FALSE,TRUE),OR(EXACT(metadata!J40,"Animal"),EXACT(metadata!J40,"Fungus"),EXACT(metadata!J40,"Plant"),EXACT(metadata!J40,"Saline"),EXACT(metadata!J40,"Non-saline")))</f>
        <v>0</v>
      </c>
      <c r="AV40" t="b">
        <f>AND(IF(metadata!K40="",FALSE,TRUE),OR(EXACT(metadata!K40,"Plant secretion"),EXACT(metadata!K40,"Plant rhizosphere"),EXACT(metadata!K40,"Plant surface"),EXACT(metadata!K40,"Plant corpus"),EXACT(metadata!K40,"Fungus surface"),EXACT(metadata!K40,"Fungus corpus"),EXACT(metadata!K40,"Animal surface"),EXACT(metadata!K40,"Animal proximal gut"),EXACT(metadata!K40,"Animal corpus"),EXACT(metadata!K40,"Animal distal gut"),EXACT(metadata!K40,"Animal secretion"),EXACT(metadata!K40,"Sub-surface (non-saline)"),EXACT(metadata!K40,"Surface (non-saline)"),EXACT(metadata!K40,"Water (non-saline)"),EXACT(metadata!K40,"Soil (non-saline)"),EXACT(metadata!K40,"Aerosol (non-saline)"),EXACT(metadata!K40,"Sediment (non-saline)"),EXACT(metadata!K40,"Surface (saline)"),EXACT(metadata!K40,"Water (saline)"),EXACT(metadata!K40,"Hypersaline (saline)"),EXACT(metadata!K40,"Aerosol (saline)"),EXACT(metadata!K40,"Sediment (saline)")))</f>
        <v>0</v>
      </c>
      <c r="AW40" t="b">
        <f>IF(metadata!L40="",FALSE,TRUE)</f>
        <v>0</v>
      </c>
      <c r="AX40" t="b">
        <f>IF(metadata!M40="",FALSE,TRUE)</f>
        <v>0</v>
      </c>
      <c r="AY40" t="b">
        <f>IF(metadata!N40="",FALSE,TRUE)</f>
        <v>0</v>
      </c>
      <c r="AZ40" t="b">
        <f>OR(AND(IF(metadata!O40="",FALSE,TRUE),OR(EXACT(metadata!O40,"missing: not collected"),EXACT(metadata!O40,"missing: not provided"),EXACT(metadata!O40,"missing: restricted access"))),AND(IF(metadata!O40="",FALSE,TRUE),OR(EXACT(metadata!O40,"air"),EXACT(metadata!O40,"built environment"),EXACT(metadata!O40,"host-associated"),EXACT(metadata!O40,"human-associated"),EXACT(metadata!O40,"human-skin"),EXACT(metadata!O40,"human-oral"),EXACT(metadata!O40,"human-gut"),EXACT(metadata!O40,"human-vaginal"),EXACT(metadata!O40,"microbial mat/biofilm"),EXACT(metadata!O40,"misc environment"),EXACT(metadata!O40,"plant-associated"),EXACT(metadata!O40,"sediment"),EXACT(metadata!O40,"soil"),EXACT(metadata!O40,"wastewater/sludge"),EXACT(metadata!O40,"water"))))</f>
        <v>0</v>
      </c>
      <c r="BA40" t="b">
        <f>IF(metadata!P40="",FALSE,TRUE)</f>
        <v>0</v>
      </c>
      <c r="BB40" t="b">
        <f>IF(metadata!Q40="",FALSE,TRUE)</f>
        <v>0</v>
      </c>
      <c r="BC40" t="b">
        <f>OR(AND(IF(metadata!R40="",FALSE,TRUE),OR(EXACT(metadata!R40,"missing: not collected"),EXACT(metadata!R40,"missing: not provided"),EXACT(metadata!R40,"missing: restricted access"))),AND(IF(metadata!R40="",FALSE,ISNUMBER(VALUE(metadata!R40))),metadata!R40&gt;=-90,metadata!R40&lt;=90))</f>
        <v>0</v>
      </c>
      <c r="BD40" t="b">
        <f>AND(IF(metadata!S40="",FALSE,TRUE),EXACT(metadata!S40,"Decimal degrees"))</f>
        <v>0</v>
      </c>
      <c r="BE40" t="b">
        <f>OR(AND(IF(metadata!T40="",FALSE,TRUE),OR(EXACT(metadata!T40,"missing: not collected"),EXACT(metadata!T40,"missing: not provided"),EXACT(metadata!T40,"missing: restricted access"))),AND(IF(metadata!T40="",FALSE,ISNUMBER(VALUE(metadata!T40))),metadata!T40&gt;=-180,metadata!T40&lt;=180))</f>
        <v>0</v>
      </c>
      <c r="BF40" t="b">
        <f>AND(IF(metadata!U40="",FALSE,TRUE),EXACT(metadata!U40,"Decimal degrees"))</f>
        <v>0</v>
      </c>
      <c r="BG40" t="b">
        <f>IF(metadata!V40="",FALSE,TRUE)</f>
        <v>0</v>
      </c>
      <c r="BH40" t="b">
        <f>OR(AND(IF(metadata!W40="",FALSE,TRUE),OR(EXACT(metadata!W40,"missing: not collected"),EXACT(metadata!W40,"missing: not provided"),EXACT(metadata!W40,"missing: restricted access"))),AND(IF(metadata!W40="",FALSE,TRUE),OR(EXACT(metadata!W40,"TRUE"),EXACT(metadata!W40,"FALSE"))))</f>
        <v>0</v>
      </c>
      <c r="BI40" t="b">
        <f>AND(IF(metadata!X40="",FALSE,TRUE),EXACT(metadata!X40,"other"))</f>
        <v>0</v>
      </c>
      <c r="BJ40" t="b">
        <f>IF(metadata!Y40="",FALSE,TRUE)</f>
        <v>0</v>
      </c>
      <c r="BK40" t="b">
        <f>OR(AND(IF(metadata!Z40="",FALSE,TRUE),OR(EXACT(metadata!Z40,"missing: not collected"),EXACT(metadata!Z40,"missing: not provided"))),AND(IF(metadata!Z40="",FALSE,IF(ISERROR(INT(metadata!Z40)),FALSE,INT(metadata!Z40)=metadata!Z40)),metadata!Z40&gt;0))</f>
        <v>0</v>
      </c>
      <c r="BL40" t="b">
        <f>AND(IF(metadata!AA40="",FALSE,TRUE),EXACT(metadata!AA40,"Not applicable"))</f>
        <v>0</v>
      </c>
      <c r="BM40" t="b">
        <f>IF(metadata!AB40="",FALSE,TRUE)</f>
        <v>0</v>
      </c>
    </row>
    <row r="41" spans="1:65" x14ac:dyDescent="0.2">
      <c r="A41" s="5" t="str">
        <f ca="1">IF(B41=" "," ",HYPERLINK(CONCATENATE("#metadata!",ADDRESS(INDEX($AH$2:$AH$1001,MATCH(ROWS($AF$2:AF41),$AF$2:$AF$1001,0),0),1)),INDEX($AK$2:$AK$1001,MATCH(ROWS($AF$2:AF41),$AF$2:$AF$1001,0),0)))</f>
        <v xml:space="preserve"> </v>
      </c>
      <c r="B41" s="4" t="str">
        <f ca="1">IF(OR(INDEX($AG$2:$AG$1001,MATCH(ROWS($AF$2:AF41),$AF$2:$AF$1001,0),1)&gt;=100000,INDEX($AM$1005:$BM$1005,1,MATCH(COLUMNS($AM$1006:AM1006),$AM$1006:$BM$1006,0))&gt;=100000), " ",IF(INDEX($AM$2:$BM$1001,MATCH(ROWS($AF$2:AF41),$AF$2:$AF$1001,0),MATCH(COLUMNS($AM$1006:AM1006),$AM$1006:$BM$1006,0)), HYPERLINK("#",""), HYPERLINK(CONCATENATE("#metadata!", ADDRESS(INDEX($AH$2:$AH$1001,MATCH(ROWS($AF$2:AF41),$AF$2:$AF$1001,0),0), INDEX($AM$1004:$BM$1004,1,MATCH(COLUMNS($AM$1006:AM1006),$AM$1006:$BM$1006,0)))),"Fix")))</f>
        <v xml:space="preserve"> </v>
      </c>
      <c r="C41" s="4" t="str">
        <f ca="1">IF(OR(INDEX($AG$2:$AG$1001,MATCH(ROWS($AF$2:AF41),$AF$2:$AF$1001,0),1)&gt;=100000,INDEX($AM$1005:$BM$1005,1,MATCH(COLUMNS($AM$1006:AN1006),$AM$1006:$BM$1006,0))&gt;=100000), " ",IF(INDEX($AM$2:$BM$1001,MATCH(ROWS($AF$2:AF41),$AF$2:$AF$1001,0),MATCH(COLUMNS($AM$1006:AN1006),$AM$1006:$BM$1006,0)), HYPERLINK("#",""), HYPERLINK(CONCATENATE("#metadata!", ADDRESS(INDEX($AH$2:$AH$1001,MATCH(ROWS($AF$2:AF41),$AF$2:$AF$1001,0),0), INDEX($AM$1004:$BM$1004,1,MATCH(COLUMNS($AM$1006:AN1006),$AM$1006:$BM$1006,0)))),"Fix")))</f>
        <v xml:space="preserve"> </v>
      </c>
      <c r="D41" s="4" t="str">
        <f ca="1">IF(OR(INDEX($AG$2:$AG$1001,MATCH(ROWS($AF$2:AF41),$AF$2:$AF$1001,0),1)&gt;=100000,INDEX($AM$1005:$BM$1005,1,MATCH(COLUMNS($AM$1006:AO1006),$AM$1006:$BM$1006,0))&gt;=100000), " ",IF(INDEX($AM$2:$BM$1001,MATCH(ROWS($AF$2:AF41),$AF$2:$AF$1001,0),MATCH(COLUMNS($AM$1006:AO1006),$AM$1006:$BM$1006,0)), HYPERLINK("#",""), HYPERLINK(CONCATENATE("#metadata!", ADDRESS(INDEX($AH$2:$AH$1001,MATCH(ROWS($AF$2:AF41),$AF$2:$AF$1001,0),0), INDEX($AM$1004:$BM$1004,1,MATCH(COLUMNS($AM$1006:AO1006),$AM$1006:$BM$1006,0)))),"Fix")))</f>
        <v xml:space="preserve"> </v>
      </c>
      <c r="E41" s="4" t="str">
        <f ca="1">IF(OR(INDEX($AG$2:$AG$1001,MATCH(ROWS($AF$2:AF41),$AF$2:$AF$1001,0),1)&gt;=100000,INDEX($AM$1005:$BM$1005,1,MATCH(COLUMNS($AM$1006:AP1006),$AM$1006:$BM$1006,0))&gt;=100000), " ",IF(INDEX($AM$2:$BM$1001,MATCH(ROWS($AF$2:AF41),$AF$2:$AF$1001,0),MATCH(COLUMNS($AM$1006:AP1006),$AM$1006:$BM$1006,0)), HYPERLINK("#",""), HYPERLINK(CONCATENATE("#metadata!", ADDRESS(INDEX($AH$2:$AH$1001,MATCH(ROWS($AF$2:AF41),$AF$2:$AF$1001,0),0), INDEX($AM$1004:$BM$1004,1,MATCH(COLUMNS($AM$1006:AP1006),$AM$1006:$BM$1006,0)))),"Fix")))</f>
        <v xml:space="preserve"> </v>
      </c>
      <c r="F41" s="4" t="str">
        <f ca="1">IF(OR(INDEX($AG$2:$AG$1001,MATCH(ROWS($AF$2:AF41),$AF$2:$AF$1001,0),1)&gt;=100000,INDEX($AM$1005:$BM$1005,1,MATCH(COLUMNS($AM$1006:AQ1006),$AM$1006:$BM$1006,0))&gt;=100000), " ",IF(INDEX($AM$2:$BM$1001,MATCH(ROWS($AF$2:AF41),$AF$2:$AF$1001,0),MATCH(COLUMNS($AM$1006:AQ1006),$AM$1006:$BM$1006,0)), HYPERLINK("#",""), HYPERLINK(CONCATENATE("#metadata!", ADDRESS(INDEX($AH$2:$AH$1001,MATCH(ROWS($AF$2:AF41),$AF$2:$AF$1001,0),0), INDEX($AM$1004:$BM$1004,1,MATCH(COLUMNS($AM$1006:AQ1006),$AM$1006:$BM$1006,0)))),"Fix")))</f>
        <v xml:space="preserve"> </v>
      </c>
      <c r="G41" s="4" t="str">
        <f ca="1">IF(OR(INDEX($AG$2:$AG$1001,MATCH(ROWS($AF$2:AF41),$AF$2:$AF$1001,0),1)&gt;=100000,INDEX($AM$1005:$BM$1005,1,MATCH(COLUMNS($AM$1006:AR1006),$AM$1006:$BM$1006,0))&gt;=100000), " ",IF(INDEX($AM$2:$BM$1001,MATCH(ROWS($AF$2:AF41),$AF$2:$AF$1001,0),MATCH(COLUMNS($AM$1006:AR1006),$AM$1006:$BM$1006,0)), HYPERLINK("#",""), HYPERLINK(CONCATENATE("#metadata!", ADDRESS(INDEX($AH$2:$AH$1001,MATCH(ROWS($AF$2:AF41),$AF$2:$AF$1001,0),0), INDEX($AM$1004:$BM$1004,1,MATCH(COLUMNS($AM$1006:AR1006),$AM$1006:$BM$1006,0)))),"Fix")))</f>
        <v xml:space="preserve"> </v>
      </c>
      <c r="H41" s="4" t="str">
        <f ca="1">IF(OR(INDEX($AG$2:$AG$1001,MATCH(ROWS($AF$2:AF41),$AF$2:$AF$1001,0),1)&gt;=100000,INDEX($AM$1005:$BM$1005,1,MATCH(COLUMNS($AM$1006:AS1006),$AM$1006:$BM$1006,0))&gt;=100000), " ",IF(INDEX($AM$2:$BM$1001,MATCH(ROWS($AF$2:AF41),$AF$2:$AF$1001,0),MATCH(COLUMNS($AM$1006:AS1006),$AM$1006:$BM$1006,0)), HYPERLINK("#",""), HYPERLINK(CONCATENATE("#metadata!", ADDRESS(INDEX($AH$2:$AH$1001,MATCH(ROWS($AF$2:AF41),$AF$2:$AF$1001,0),0), INDEX($AM$1004:$BM$1004,1,MATCH(COLUMNS($AM$1006:AS1006),$AM$1006:$BM$1006,0)))),"Fix")))</f>
        <v xml:space="preserve"> </v>
      </c>
      <c r="I41" s="4" t="str">
        <f ca="1">IF(OR(INDEX($AG$2:$AG$1001,MATCH(ROWS($AF$2:AF41),$AF$2:$AF$1001,0),1)&gt;=100000,INDEX($AM$1005:$BM$1005,1,MATCH(COLUMNS($AM$1006:AT1006),$AM$1006:$BM$1006,0))&gt;=100000), " ",IF(INDEX($AM$2:$BM$1001,MATCH(ROWS($AF$2:AF41),$AF$2:$AF$1001,0),MATCH(COLUMNS($AM$1006:AT1006),$AM$1006:$BM$1006,0)), HYPERLINK("#",""), HYPERLINK(CONCATENATE("#metadata!", ADDRESS(INDEX($AH$2:$AH$1001,MATCH(ROWS($AF$2:AF41),$AF$2:$AF$1001,0),0), INDEX($AM$1004:$BM$1004,1,MATCH(COLUMNS($AM$1006:AT1006),$AM$1006:$BM$1006,0)))),"Fix")))</f>
        <v xml:space="preserve"> </v>
      </c>
      <c r="J41" s="4" t="str">
        <f ca="1">IF(OR(INDEX($AG$2:$AG$1001,MATCH(ROWS($AF$2:AF41),$AF$2:$AF$1001,0),1)&gt;=100000,INDEX($AM$1005:$BM$1005,1,MATCH(COLUMNS($AM$1006:AU1006),$AM$1006:$BM$1006,0))&gt;=100000), " ",IF(INDEX($AM$2:$BM$1001,MATCH(ROWS($AF$2:AF41),$AF$2:$AF$1001,0),MATCH(COLUMNS($AM$1006:AU1006),$AM$1006:$BM$1006,0)), HYPERLINK("#",""), HYPERLINK(CONCATENATE("#metadata!", ADDRESS(INDEX($AH$2:$AH$1001,MATCH(ROWS($AF$2:AF41),$AF$2:$AF$1001,0),0), INDEX($AM$1004:$BM$1004,1,MATCH(COLUMNS($AM$1006:AU1006),$AM$1006:$BM$1006,0)))),"Fix")))</f>
        <v xml:space="preserve"> </v>
      </c>
      <c r="K41" s="4" t="str">
        <f ca="1">IF(OR(INDEX($AG$2:$AG$1001,MATCH(ROWS($AF$2:AF41),$AF$2:$AF$1001,0),1)&gt;=100000,INDEX($AM$1005:$BM$1005,1,MATCH(COLUMNS($AM$1006:AV1006),$AM$1006:$BM$1006,0))&gt;=100000), " ",IF(INDEX($AM$2:$BM$1001,MATCH(ROWS($AF$2:AF41),$AF$2:$AF$1001,0),MATCH(COLUMNS($AM$1006:AV1006),$AM$1006:$BM$1006,0)), HYPERLINK("#",""), HYPERLINK(CONCATENATE("#metadata!", ADDRESS(INDEX($AH$2:$AH$1001,MATCH(ROWS($AF$2:AF41),$AF$2:$AF$1001,0),0), INDEX($AM$1004:$BM$1004,1,MATCH(COLUMNS($AM$1006:AV1006),$AM$1006:$BM$1006,0)))),"Fix")))</f>
        <v xml:space="preserve"> </v>
      </c>
      <c r="L41" s="4" t="str">
        <f ca="1">IF(OR(INDEX($AG$2:$AG$1001,MATCH(ROWS($AF$2:AF41),$AF$2:$AF$1001,0),1)&gt;=100000,INDEX($AM$1005:$BM$1005,1,MATCH(COLUMNS($AM$1006:AW1006),$AM$1006:$BM$1006,0))&gt;=100000), " ",IF(INDEX($AM$2:$BM$1001,MATCH(ROWS($AF$2:AF41),$AF$2:$AF$1001,0),MATCH(COLUMNS($AM$1006:AW1006),$AM$1006:$BM$1006,0)), HYPERLINK("#",""), HYPERLINK(CONCATENATE("#metadata!", ADDRESS(INDEX($AH$2:$AH$1001,MATCH(ROWS($AF$2:AF41),$AF$2:$AF$1001,0),0), INDEX($AM$1004:$BM$1004,1,MATCH(COLUMNS($AM$1006:AW1006),$AM$1006:$BM$1006,0)))),"Fix")))</f>
        <v xml:space="preserve"> </v>
      </c>
      <c r="M41" s="4" t="str">
        <f ca="1">IF(OR(INDEX($AG$2:$AG$1001,MATCH(ROWS($AF$2:AF41),$AF$2:$AF$1001,0),1)&gt;=100000,INDEX($AM$1005:$BM$1005,1,MATCH(COLUMNS($AM$1006:AX1006),$AM$1006:$BM$1006,0))&gt;=100000), " ",IF(INDEX($AM$2:$BM$1001,MATCH(ROWS($AF$2:AF41),$AF$2:$AF$1001,0),MATCH(COLUMNS($AM$1006:AX1006),$AM$1006:$BM$1006,0)), HYPERLINK("#",""), HYPERLINK(CONCATENATE("#metadata!", ADDRESS(INDEX($AH$2:$AH$1001,MATCH(ROWS($AF$2:AF41),$AF$2:$AF$1001,0),0), INDEX($AM$1004:$BM$1004,1,MATCH(COLUMNS($AM$1006:AX1006),$AM$1006:$BM$1006,0)))),"Fix")))</f>
        <v xml:space="preserve"> </v>
      </c>
      <c r="N41" s="4" t="str">
        <f ca="1">IF(OR(INDEX($AG$2:$AG$1001,MATCH(ROWS($AF$2:AF41),$AF$2:$AF$1001,0),1)&gt;=100000,INDEX($AM$1005:$BM$1005,1,MATCH(COLUMNS($AM$1006:AY1006),$AM$1006:$BM$1006,0))&gt;=100000), " ",IF(INDEX($AM$2:$BM$1001,MATCH(ROWS($AF$2:AF41),$AF$2:$AF$1001,0),MATCH(COLUMNS($AM$1006:AY1006),$AM$1006:$BM$1006,0)), HYPERLINK("#",""), HYPERLINK(CONCATENATE("#metadata!", ADDRESS(INDEX($AH$2:$AH$1001,MATCH(ROWS($AF$2:AF41),$AF$2:$AF$1001,0),0), INDEX($AM$1004:$BM$1004,1,MATCH(COLUMNS($AM$1006:AY1006),$AM$1006:$BM$1006,0)))),"Fix")))</f>
        <v xml:space="preserve"> </v>
      </c>
      <c r="O41" s="4" t="str">
        <f ca="1">IF(OR(INDEX($AG$2:$AG$1001,MATCH(ROWS($AF$2:AF41),$AF$2:$AF$1001,0),1)&gt;=100000,INDEX($AM$1005:$BM$1005,1,MATCH(COLUMNS($AM$1006:AZ1006),$AM$1006:$BM$1006,0))&gt;=100000), " ",IF(INDEX($AM$2:$BM$1001,MATCH(ROWS($AF$2:AF41),$AF$2:$AF$1001,0),MATCH(COLUMNS($AM$1006:AZ1006),$AM$1006:$BM$1006,0)), HYPERLINK("#",""), HYPERLINK(CONCATENATE("#metadata!", ADDRESS(INDEX($AH$2:$AH$1001,MATCH(ROWS($AF$2:AF41),$AF$2:$AF$1001,0),0), INDEX($AM$1004:$BM$1004,1,MATCH(COLUMNS($AM$1006:AZ1006),$AM$1006:$BM$1006,0)))),"Fix")))</f>
        <v xml:space="preserve"> </v>
      </c>
      <c r="P41" s="4" t="str">
        <f ca="1">IF(OR(INDEX($AG$2:$AG$1001,MATCH(ROWS($AF$2:AF41),$AF$2:$AF$1001,0),1)&gt;=100000,INDEX($AM$1005:$BM$1005,1,MATCH(COLUMNS($AM$1006:BA1006),$AM$1006:$BM$1006,0))&gt;=100000), " ",IF(INDEX($AM$2:$BM$1001,MATCH(ROWS($AF$2:AF41),$AF$2:$AF$1001,0),MATCH(COLUMNS($AM$1006:BA1006),$AM$1006:$BM$1006,0)), HYPERLINK("#",""), HYPERLINK(CONCATENATE("#metadata!", ADDRESS(INDEX($AH$2:$AH$1001,MATCH(ROWS($AF$2:AF41),$AF$2:$AF$1001,0),0), INDEX($AM$1004:$BM$1004,1,MATCH(COLUMNS($AM$1006:BA1006),$AM$1006:$BM$1006,0)))),"Fix")))</f>
        <v xml:space="preserve"> </v>
      </c>
      <c r="Q41" s="4" t="str">
        <f ca="1">IF(OR(INDEX($AG$2:$AG$1001,MATCH(ROWS($AF$2:AF41),$AF$2:$AF$1001,0),1)&gt;=100000,INDEX($AM$1005:$BM$1005,1,MATCH(COLUMNS($AM$1006:BB1006),$AM$1006:$BM$1006,0))&gt;=100000), " ",IF(INDEX($AM$2:$BM$1001,MATCH(ROWS($AF$2:AF41),$AF$2:$AF$1001,0),MATCH(COLUMNS($AM$1006:BB1006),$AM$1006:$BM$1006,0)), HYPERLINK("#",""), HYPERLINK(CONCATENATE("#metadata!", ADDRESS(INDEX($AH$2:$AH$1001,MATCH(ROWS($AF$2:AF41),$AF$2:$AF$1001,0),0), INDEX($AM$1004:$BM$1004,1,MATCH(COLUMNS($AM$1006:BB1006),$AM$1006:$BM$1006,0)))),"Fix")))</f>
        <v xml:space="preserve"> </v>
      </c>
      <c r="R41" s="4" t="str">
        <f ca="1">IF(OR(INDEX($AG$2:$AG$1001,MATCH(ROWS($AF$2:AF41),$AF$2:$AF$1001,0),1)&gt;=100000,INDEX($AM$1005:$BM$1005,1,MATCH(COLUMNS($AM$1006:BC1006),$AM$1006:$BM$1006,0))&gt;=100000), " ",IF(INDEX($AM$2:$BM$1001,MATCH(ROWS($AF$2:AF41),$AF$2:$AF$1001,0),MATCH(COLUMNS($AM$1006:BC1006),$AM$1006:$BM$1006,0)), HYPERLINK("#",""), HYPERLINK(CONCATENATE("#metadata!", ADDRESS(INDEX($AH$2:$AH$1001,MATCH(ROWS($AF$2:AF41),$AF$2:$AF$1001,0),0), INDEX($AM$1004:$BM$1004,1,MATCH(COLUMNS($AM$1006:BC1006),$AM$1006:$BM$1006,0)))),"Fix")))</f>
        <v xml:space="preserve"> </v>
      </c>
      <c r="S41" s="4" t="str">
        <f ca="1">IF(OR(INDEX($AG$2:$AG$1001,MATCH(ROWS($AF$2:AF41),$AF$2:$AF$1001,0),1)&gt;=100000,INDEX($AM$1005:$BM$1005,1,MATCH(COLUMNS($AM$1006:BD1006),$AM$1006:$BM$1006,0))&gt;=100000), " ",IF(INDEX($AM$2:$BM$1001,MATCH(ROWS($AF$2:AF41),$AF$2:$AF$1001,0),MATCH(COLUMNS($AM$1006:BD1006),$AM$1006:$BM$1006,0)), HYPERLINK("#",""), HYPERLINK(CONCATENATE("#metadata!", ADDRESS(INDEX($AH$2:$AH$1001,MATCH(ROWS($AF$2:AF41),$AF$2:$AF$1001,0),0), INDEX($AM$1004:$BM$1004,1,MATCH(COLUMNS($AM$1006:BD1006),$AM$1006:$BM$1006,0)))),"Fix")))</f>
        <v xml:space="preserve"> </v>
      </c>
      <c r="T41" s="4" t="str">
        <f ca="1">IF(OR(INDEX($AG$2:$AG$1001,MATCH(ROWS($AF$2:AF41),$AF$2:$AF$1001,0),1)&gt;=100000,INDEX($AM$1005:$BM$1005,1,MATCH(COLUMNS($AM$1006:BE1006),$AM$1006:$BM$1006,0))&gt;=100000), " ",IF(INDEX($AM$2:$BM$1001,MATCH(ROWS($AF$2:AF41),$AF$2:$AF$1001,0),MATCH(COLUMNS($AM$1006:BE1006),$AM$1006:$BM$1006,0)), HYPERLINK("#",""), HYPERLINK(CONCATENATE("#metadata!", ADDRESS(INDEX($AH$2:$AH$1001,MATCH(ROWS($AF$2:AF41),$AF$2:$AF$1001,0),0), INDEX($AM$1004:$BM$1004,1,MATCH(COLUMNS($AM$1006:BE1006),$AM$1006:$BM$1006,0)))),"Fix")))</f>
        <v xml:space="preserve"> </v>
      </c>
      <c r="U41" s="4" t="str">
        <f ca="1">IF(OR(INDEX($AG$2:$AG$1001,MATCH(ROWS($AF$2:AF41),$AF$2:$AF$1001,0),1)&gt;=100000,INDEX($AM$1005:$BM$1005,1,MATCH(COLUMNS($AM$1006:BF1006),$AM$1006:$BM$1006,0))&gt;=100000), " ",IF(INDEX($AM$2:$BM$1001,MATCH(ROWS($AF$2:AF41),$AF$2:$AF$1001,0),MATCH(COLUMNS($AM$1006:BF1006),$AM$1006:$BM$1006,0)), HYPERLINK("#",""), HYPERLINK(CONCATENATE("#metadata!", ADDRESS(INDEX($AH$2:$AH$1001,MATCH(ROWS($AF$2:AF41),$AF$2:$AF$1001,0),0), INDEX($AM$1004:$BM$1004,1,MATCH(COLUMNS($AM$1006:BF1006),$AM$1006:$BM$1006,0)))),"Fix")))</f>
        <v xml:space="preserve"> </v>
      </c>
      <c r="V41" s="4" t="str">
        <f ca="1">IF(OR(INDEX($AG$2:$AG$1001,MATCH(ROWS($AF$2:AF41),$AF$2:$AF$1001,0),1)&gt;=100000,INDEX($AM$1005:$BM$1005,1,MATCH(COLUMNS($AM$1006:BG1006),$AM$1006:$BM$1006,0))&gt;=100000), " ",IF(INDEX($AM$2:$BM$1001,MATCH(ROWS($AF$2:AF41),$AF$2:$AF$1001,0),MATCH(COLUMNS($AM$1006:BG1006),$AM$1006:$BM$1006,0)), HYPERLINK("#",""), HYPERLINK(CONCATENATE("#metadata!", ADDRESS(INDEX($AH$2:$AH$1001,MATCH(ROWS($AF$2:AF41),$AF$2:$AF$1001,0),0), INDEX($AM$1004:$BM$1004,1,MATCH(COLUMNS($AM$1006:BG1006),$AM$1006:$BM$1006,0)))),"Fix")))</f>
        <v xml:space="preserve"> </v>
      </c>
      <c r="W41" s="4" t="str">
        <f ca="1">IF(OR(INDEX($AG$2:$AG$1001,MATCH(ROWS($AF$2:AF41),$AF$2:$AF$1001,0),1)&gt;=100000,INDEX($AM$1005:$BM$1005,1,MATCH(COLUMNS($AM$1006:BH1006),$AM$1006:$BM$1006,0))&gt;=100000), " ",IF(INDEX($AM$2:$BM$1001,MATCH(ROWS($AF$2:AF41),$AF$2:$AF$1001,0),MATCH(COLUMNS($AM$1006:BH1006),$AM$1006:$BM$1006,0)), HYPERLINK("#",""), HYPERLINK(CONCATENATE("#metadata!", ADDRESS(INDEX($AH$2:$AH$1001,MATCH(ROWS($AF$2:AF41),$AF$2:$AF$1001,0),0), INDEX($AM$1004:$BM$1004,1,MATCH(COLUMNS($AM$1006:BH1006),$AM$1006:$BM$1006,0)))),"Fix")))</f>
        <v xml:space="preserve"> </v>
      </c>
      <c r="X41" s="4" t="str">
        <f ca="1">IF(OR(INDEX($AG$2:$AG$1001,MATCH(ROWS($AF$2:AF41),$AF$2:$AF$1001,0),1)&gt;=100000,INDEX($AM$1005:$BM$1005,1,MATCH(COLUMNS($AM$1006:BI1006),$AM$1006:$BM$1006,0))&gt;=100000), " ",IF(INDEX($AM$2:$BM$1001,MATCH(ROWS($AF$2:AF41),$AF$2:$AF$1001,0),MATCH(COLUMNS($AM$1006:BI1006),$AM$1006:$BM$1006,0)), HYPERLINK("#",""), HYPERLINK(CONCATENATE("#metadata!", ADDRESS(INDEX($AH$2:$AH$1001,MATCH(ROWS($AF$2:AF41),$AF$2:$AF$1001,0),0), INDEX($AM$1004:$BM$1004,1,MATCH(COLUMNS($AM$1006:BI1006),$AM$1006:$BM$1006,0)))),"Fix")))</f>
        <v xml:space="preserve"> </v>
      </c>
      <c r="Y41" s="4" t="str">
        <f ca="1">IF(OR(INDEX($AG$2:$AG$1001,MATCH(ROWS($AF$2:AF41),$AF$2:$AF$1001,0),1)&gt;=100000,INDEX($AM$1005:$BM$1005,1,MATCH(COLUMNS($AM$1006:BJ1006),$AM$1006:$BM$1006,0))&gt;=100000), " ",IF(INDEX($AM$2:$BM$1001,MATCH(ROWS($AF$2:AF41),$AF$2:$AF$1001,0),MATCH(COLUMNS($AM$1006:BJ1006),$AM$1006:$BM$1006,0)), HYPERLINK("#",""), HYPERLINK(CONCATENATE("#metadata!", ADDRESS(INDEX($AH$2:$AH$1001,MATCH(ROWS($AF$2:AF41),$AF$2:$AF$1001,0),0), INDEX($AM$1004:$BM$1004,1,MATCH(COLUMNS($AM$1006:BJ1006),$AM$1006:$BM$1006,0)))),"Fix")))</f>
        <v xml:space="preserve"> </v>
      </c>
      <c r="Z41" s="4" t="str">
        <f ca="1">IF(OR(INDEX($AG$2:$AG$1001,MATCH(ROWS($AF$2:AF41),$AF$2:$AF$1001,0),1)&gt;=100000,INDEX($AM$1005:$BM$1005,1,MATCH(COLUMNS($AM$1006:BK1006),$AM$1006:$BM$1006,0))&gt;=100000), " ",IF(INDEX($AM$2:$BM$1001,MATCH(ROWS($AF$2:AF41),$AF$2:$AF$1001,0),MATCH(COLUMNS($AM$1006:BK1006),$AM$1006:$BM$1006,0)), HYPERLINK("#",""), HYPERLINK(CONCATENATE("#metadata!", ADDRESS(INDEX($AH$2:$AH$1001,MATCH(ROWS($AF$2:AF41),$AF$2:$AF$1001,0),0), INDEX($AM$1004:$BM$1004,1,MATCH(COLUMNS($AM$1006:BK1006),$AM$1006:$BM$1006,0)))),"Fix")))</f>
        <v xml:space="preserve"> </v>
      </c>
      <c r="AA41" s="4" t="str">
        <f ca="1">IF(OR(INDEX($AG$2:$AG$1001,MATCH(ROWS($AF$2:AF41),$AF$2:$AF$1001,0),1)&gt;=100000,INDEX($AM$1005:$BM$1005,1,MATCH(COLUMNS($AM$1006:BL1006),$AM$1006:$BM$1006,0))&gt;=100000), " ",IF(INDEX($AM$2:$BM$1001,MATCH(ROWS($AF$2:AF41),$AF$2:$AF$1001,0),MATCH(COLUMNS($AM$1006:BL1006),$AM$1006:$BM$1006,0)), HYPERLINK("#",""), HYPERLINK(CONCATENATE("#metadata!", ADDRESS(INDEX($AH$2:$AH$1001,MATCH(ROWS($AF$2:AF41),$AF$2:$AF$1001,0),0), INDEX($AM$1004:$BM$1004,1,MATCH(COLUMNS($AM$1006:BL1006),$AM$1006:$BM$1006,0)))),"Fix")))</f>
        <v xml:space="preserve"> </v>
      </c>
      <c r="AB41" s="4" t="str">
        <f ca="1">IF(OR(INDEX($AG$2:$AG$1001,MATCH(ROWS($AF$2:AF41),$AF$2:$AF$1001,0),1)&gt;=100000,INDEX($AM$1005:$BM$1005,1,MATCH(COLUMNS($AM$1006:BM1006),$AM$1006:$BM$1006,0))&gt;=100000), " ",IF(INDEX($AM$2:$BM$1001,MATCH(ROWS($AF$2:AF41),$AF$2:$AF$1001,0),MATCH(COLUMNS($AM$1006:BM1006),$AM$1006:$BM$1006,0)), HYPERLINK("#",""), HYPERLINK(CONCATENATE("#metadata!", ADDRESS(INDEX($AH$2:$AH$1001,MATCH(ROWS($AF$2:AF41),$AF$2:$AF$1001,0),0), INDEX($AM$1004:$BM$1004,1,MATCH(COLUMNS($AM$1006:BM1006),$AM$1006:$BM$1006,0)))),"Fix")))</f>
        <v xml:space="preserve"> </v>
      </c>
      <c r="AF41">
        <v>40</v>
      </c>
      <c r="AG41">
        <v>100041</v>
      </c>
      <c r="AH41">
        <v>41</v>
      </c>
      <c r="AI41" t="b">
        <f t="shared" si="0"/>
        <v>1</v>
      </c>
      <c r="AJ41" t="b">
        <f>COUNTBLANK(metadata!B41:AB41)=COLUMNS(metadata!B41:AB41)</f>
        <v>1</v>
      </c>
      <c r="AK41" t="str">
        <v/>
      </c>
      <c r="AM41" t="b">
        <f ca="1">AND(IF(metadata!B41="",FALSE,TRUE),COUNTIF(metadata!B:B, metadata!B41) = 1,NOT(ISERROR(SUMPRODUCT(SEARCH(MID(metadata!B41,ROW(INDIRECT("1:"&amp;LEN(metadata!B41))), 1),"0123456789abcdefghijklmnopqrstuvwxyzABCDEFGHIJKLMNOPQRSTUVWXYZ.")))))</f>
        <v>0</v>
      </c>
      <c r="AN41" t="b">
        <f ca="1">OR(AND(IF(metadata!C41="",FALSE,TRUE),OR(EXACT(metadata!C41,"missing: not collected"),EXACT(metadata!C41,"missing: not provided"),EXACT(metadata!C41,"missing: restricted access"))),AND(IF(metadata!C41="",FALSE,TRUE),AND(AND(IFERROR(INT(LEFT(metadata!C41,4))&gt;1900,FALSE),IFERROR(INT(LEFT(metadata!C41,4))&lt;=YEAR(NOW()),FALSE)), OR(MID(metadata!C41,5,1)="", AND(AND(MID(metadata!C41,5,1)="-",IFERROR(INT(MID(metadata!C41,6,1))&gt;=0,FALSE),IFERROR(INT(MID(metadata!C41,6,1))&lt;=1,FALSE),NOT(MID(metadata!C41,7,1)=""),IFERROR(INT(MID(metadata!C41,6,2))&gt;=1,FALSE),IFERROR(INT(MID(metadata!C41,6,2))&lt;=12,FALSE)), OR(MID(metadata!C41,8,1)="", AND(AND(MID(metadata!C41,8,1)="-",IFERROR(INT(MID(metadata!C41,9,1))&gt;=0,FALSE),IFERROR(INT(MID(metadata!C41,9,1))&lt;=3,FALSE),NOT(MID(metadata!C41,10,1)=""),IFERROR(INT(MID(metadata!C41,9,2))&gt;=1,FALSE),IFERROR(INT(MID(metadata!C41,9,2))&lt;=31,FALSE)), OR(MID(metadata!C41,11,1)="", AND(AND(MID(metadata!C41,11,1)=" ",IFERROR(INT(MID(metadata!C41,12,1))&gt;=0,FALSE),IFERROR(INT(MID(metadata!C41,12,1))&lt;=2,FALSE),NOT(MID(metadata!C41,13,1)=""),IFERROR(INT(MID(metadata!C41,12,2))&gt;=0,FALSE),IFERROR(INT(MID(metadata!C41,12,2))&lt;=23,FALSE)), OR(MID(metadata!C41,14,1)="", AND(AND(MID(metadata!C41,14,1)=":",IFERROR(INT(MID(metadata!C41,15,1))&gt;=0,FALSE),IFERROR(INT(MID(metadata!C41,15,1))&lt;=5,FALSE),NOT(MID(metadata!C41,16,1)=""),IFERROR(INT(MID(metadata!C41,15,2))&gt;=0,FALSE),IFERROR(INT(MID(metadata!C41,15,2))&lt;=59,FALSE)), OR(MID(metadata!C41,17,1)="", AND(AND(MID(metadata!C41,17,1)=":",IFERROR(INT(MID(metadata!C41,18,1))&gt;=0,FALSE),IFERROR(INT(MID(metadata!C41,18,1))&lt;=5,FALSE),NOT(MID(metadata!C41,19,1)=""),IFERROR(INT(MID(metadata!C41,18,2))&gt;=0,FALSE),IFERROR(INT(MID(metadata!C41,18,2))&lt;=59,FALSE)), LEN(metadata!C41)&lt;=19)))))))))))))</f>
        <v>0</v>
      </c>
      <c r="AO41" t="b">
        <f>AND(IF(metadata!D41="",FALSE,TRUE),EXACT(metadata!D41,"Not applicable"))</f>
        <v>0</v>
      </c>
      <c r="AP41" t="b">
        <f>IF(metadata!E41="",FALSE,TRUE)</f>
        <v>0</v>
      </c>
      <c r="AQ41" t="b">
        <f>OR(AND(IF(metadata!F41="",FALSE,TRUE),OR(EXACT(metadata!F41,"missing: not collected"),EXACT(metadata!F41,"missing: not provided"))),AND(IF(metadata!F41="",FALSE,TRUE),OR(EXACT(metadata!F41,"TRUE"),EXACT(metadata!F41,"FALSE"))))</f>
        <v>0</v>
      </c>
      <c r="AR41" t="b">
        <f>OR(AND(IF(metadata!G41="",FALSE,TRUE),OR(EXACT(metadata!G41,"missing: not collected"),EXACT(metadata!G41,"missing: not provided"),EXACT(metadata!G41,"missing: restricted access"))),AND(IF(metadata!G41="",FALSE,ISNUMBER(VALUE(metadata!G41))),metadata!G41&gt;=-413))</f>
        <v>0</v>
      </c>
      <c r="AS41" t="b">
        <f>AND(IF(metadata!H41="",FALSE,TRUE),EXACT(metadata!H41,"meters"))</f>
        <v>0</v>
      </c>
      <c r="AT41" t="b">
        <f>AND(IF(metadata!I41="",FALSE,TRUE),OR(EXACT(metadata!I41,"Host-associated"),EXACT(metadata!I41,"Free-living")))</f>
        <v>0</v>
      </c>
      <c r="AU41" t="b">
        <f>AND(IF(metadata!J41="",FALSE,TRUE),OR(EXACT(metadata!J41,"Animal"),EXACT(metadata!J41,"Fungus"),EXACT(metadata!J41,"Plant"),EXACT(metadata!J41,"Saline"),EXACT(metadata!J41,"Non-saline")))</f>
        <v>0</v>
      </c>
      <c r="AV41" t="b">
        <f>AND(IF(metadata!K41="",FALSE,TRUE),OR(EXACT(metadata!K41,"Plant secretion"),EXACT(metadata!K41,"Plant rhizosphere"),EXACT(metadata!K41,"Plant surface"),EXACT(metadata!K41,"Plant corpus"),EXACT(metadata!K41,"Fungus surface"),EXACT(metadata!K41,"Fungus corpus"),EXACT(metadata!K41,"Animal surface"),EXACT(metadata!K41,"Animal proximal gut"),EXACT(metadata!K41,"Animal corpus"),EXACT(metadata!K41,"Animal distal gut"),EXACT(metadata!K41,"Animal secretion"),EXACT(metadata!K41,"Sub-surface (non-saline)"),EXACT(metadata!K41,"Surface (non-saline)"),EXACT(metadata!K41,"Water (non-saline)"),EXACT(metadata!K41,"Soil (non-saline)"),EXACT(metadata!K41,"Aerosol (non-saline)"),EXACT(metadata!K41,"Sediment (non-saline)"),EXACT(metadata!K41,"Surface (saline)"),EXACT(metadata!K41,"Water (saline)"),EXACT(metadata!K41,"Hypersaline (saline)"),EXACT(metadata!K41,"Aerosol (saline)"),EXACT(metadata!K41,"Sediment (saline)")))</f>
        <v>0</v>
      </c>
      <c r="AW41" t="b">
        <f>IF(metadata!L41="",FALSE,TRUE)</f>
        <v>0</v>
      </c>
      <c r="AX41" t="b">
        <f>IF(metadata!M41="",FALSE,TRUE)</f>
        <v>0</v>
      </c>
      <c r="AY41" t="b">
        <f>IF(metadata!N41="",FALSE,TRUE)</f>
        <v>0</v>
      </c>
      <c r="AZ41" t="b">
        <f>OR(AND(IF(metadata!O41="",FALSE,TRUE),OR(EXACT(metadata!O41,"missing: not collected"),EXACT(metadata!O41,"missing: not provided"),EXACT(metadata!O41,"missing: restricted access"))),AND(IF(metadata!O41="",FALSE,TRUE),OR(EXACT(metadata!O41,"air"),EXACT(metadata!O41,"built environment"),EXACT(metadata!O41,"host-associated"),EXACT(metadata!O41,"human-associated"),EXACT(metadata!O41,"human-skin"),EXACT(metadata!O41,"human-oral"),EXACT(metadata!O41,"human-gut"),EXACT(metadata!O41,"human-vaginal"),EXACT(metadata!O41,"microbial mat/biofilm"),EXACT(metadata!O41,"misc environment"),EXACT(metadata!O41,"plant-associated"),EXACT(metadata!O41,"sediment"),EXACT(metadata!O41,"soil"),EXACT(metadata!O41,"wastewater/sludge"),EXACT(metadata!O41,"water"))))</f>
        <v>0</v>
      </c>
      <c r="BA41" t="b">
        <f>IF(metadata!P41="",FALSE,TRUE)</f>
        <v>0</v>
      </c>
      <c r="BB41" t="b">
        <f>IF(metadata!Q41="",FALSE,TRUE)</f>
        <v>0</v>
      </c>
      <c r="BC41" t="b">
        <f>OR(AND(IF(metadata!R41="",FALSE,TRUE),OR(EXACT(metadata!R41,"missing: not collected"),EXACT(metadata!R41,"missing: not provided"),EXACT(metadata!R41,"missing: restricted access"))),AND(IF(metadata!R41="",FALSE,ISNUMBER(VALUE(metadata!R41))),metadata!R41&gt;=-90,metadata!R41&lt;=90))</f>
        <v>0</v>
      </c>
      <c r="BD41" t="b">
        <f>AND(IF(metadata!S41="",FALSE,TRUE),EXACT(metadata!S41,"Decimal degrees"))</f>
        <v>0</v>
      </c>
      <c r="BE41" t="b">
        <f>OR(AND(IF(metadata!T41="",FALSE,TRUE),OR(EXACT(metadata!T41,"missing: not collected"),EXACT(metadata!T41,"missing: not provided"),EXACT(metadata!T41,"missing: restricted access"))),AND(IF(metadata!T41="",FALSE,ISNUMBER(VALUE(metadata!T41))),metadata!T41&gt;=-180,metadata!T41&lt;=180))</f>
        <v>0</v>
      </c>
      <c r="BF41" t="b">
        <f>AND(IF(metadata!U41="",FALSE,TRUE),EXACT(metadata!U41,"Decimal degrees"))</f>
        <v>0</v>
      </c>
      <c r="BG41" t="b">
        <f>IF(metadata!V41="",FALSE,TRUE)</f>
        <v>0</v>
      </c>
      <c r="BH41" t="b">
        <f>OR(AND(IF(metadata!W41="",FALSE,TRUE),OR(EXACT(metadata!W41,"missing: not collected"),EXACT(metadata!W41,"missing: not provided"),EXACT(metadata!W41,"missing: restricted access"))),AND(IF(metadata!W41="",FALSE,TRUE),OR(EXACT(metadata!W41,"TRUE"),EXACT(metadata!W41,"FALSE"))))</f>
        <v>0</v>
      </c>
      <c r="BI41" t="b">
        <f>AND(IF(metadata!X41="",FALSE,TRUE),EXACT(metadata!X41,"other"))</f>
        <v>0</v>
      </c>
      <c r="BJ41" t="b">
        <f>IF(metadata!Y41="",FALSE,TRUE)</f>
        <v>0</v>
      </c>
      <c r="BK41" t="b">
        <f>OR(AND(IF(metadata!Z41="",FALSE,TRUE),OR(EXACT(metadata!Z41,"missing: not collected"),EXACT(metadata!Z41,"missing: not provided"))),AND(IF(metadata!Z41="",FALSE,IF(ISERROR(INT(metadata!Z41)),FALSE,INT(metadata!Z41)=metadata!Z41)),metadata!Z41&gt;0))</f>
        <v>0</v>
      </c>
      <c r="BL41" t="b">
        <f>AND(IF(metadata!AA41="",FALSE,TRUE),EXACT(metadata!AA41,"Not applicable"))</f>
        <v>0</v>
      </c>
      <c r="BM41" t="b">
        <f>IF(metadata!AB41="",FALSE,TRUE)</f>
        <v>0</v>
      </c>
    </row>
    <row r="42" spans="1:65" x14ac:dyDescent="0.2">
      <c r="A42" s="5" t="str">
        <f ca="1">IF(B42=" "," ",HYPERLINK(CONCATENATE("#metadata!",ADDRESS(INDEX($AH$2:$AH$1001,MATCH(ROWS($AF$2:AF42),$AF$2:$AF$1001,0),0),1)),INDEX($AK$2:$AK$1001,MATCH(ROWS($AF$2:AF42),$AF$2:$AF$1001,0),0)))</f>
        <v xml:space="preserve"> </v>
      </c>
      <c r="B42" s="4" t="str">
        <f ca="1">IF(OR(INDEX($AG$2:$AG$1001,MATCH(ROWS($AF$2:AF42),$AF$2:$AF$1001,0),1)&gt;=100000,INDEX($AM$1005:$BM$1005,1,MATCH(COLUMNS($AM$1006:AM1006),$AM$1006:$BM$1006,0))&gt;=100000), " ",IF(INDEX($AM$2:$BM$1001,MATCH(ROWS($AF$2:AF42),$AF$2:$AF$1001,0),MATCH(COLUMNS($AM$1006:AM1006),$AM$1006:$BM$1006,0)), HYPERLINK("#",""), HYPERLINK(CONCATENATE("#metadata!", ADDRESS(INDEX($AH$2:$AH$1001,MATCH(ROWS($AF$2:AF42),$AF$2:$AF$1001,0),0), INDEX($AM$1004:$BM$1004,1,MATCH(COLUMNS($AM$1006:AM1006),$AM$1006:$BM$1006,0)))),"Fix")))</f>
        <v xml:space="preserve"> </v>
      </c>
      <c r="C42" s="4" t="str">
        <f ca="1">IF(OR(INDEX($AG$2:$AG$1001,MATCH(ROWS($AF$2:AF42),$AF$2:$AF$1001,0),1)&gt;=100000,INDEX($AM$1005:$BM$1005,1,MATCH(COLUMNS($AM$1006:AN1006),$AM$1006:$BM$1006,0))&gt;=100000), " ",IF(INDEX($AM$2:$BM$1001,MATCH(ROWS($AF$2:AF42),$AF$2:$AF$1001,0),MATCH(COLUMNS($AM$1006:AN1006),$AM$1006:$BM$1006,0)), HYPERLINK("#",""), HYPERLINK(CONCATENATE("#metadata!", ADDRESS(INDEX($AH$2:$AH$1001,MATCH(ROWS($AF$2:AF42),$AF$2:$AF$1001,0),0), INDEX($AM$1004:$BM$1004,1,MATCH(COLUMNS($AM$1006:AN1006),$AM$1006:$BM$1006,0)))),"Fix")))</f>
        <v xml:space="preserve"> </v>
      </c>
      <c r="D42" s="4" t="str">
        <f ca="1">IF(OR(INDEX($AG$2:$AG$1001,MATCH(ROWS($AF$2:AF42),$AF$2:$AF$1001,0),1)&gt;=100000,INDEX($AM$1005:$BM$1005,1,MATCH(COLUMNS($AM$1006:AO1006),$AM$1006:$BM$1006,0))&gt;=100000), " ",IF(INDEX($AM$2:$BM$1001,MATCH(ROWS($AF$2:AF42),$AF$2:$AF$1001,0),MATCH(COLUMNS($AM$1006:AO1006),$AM$1006:$BM$1006,0)), HYPERLINK("#",""), HYPERLINK(CONCATENATE("#metadata!", ADDRESS(INDEX($AH$2:$AH$1001,MATCH(ROWS($AF$2:AF42),$AF$2:$AF$1001,0),0), INDEX($AM$1004:$BM$1004,1,MATCH(COLUMNS($AM$1006:AO1006),$AM$1006:$BM$1006,0)))),"Fix")))</f>
        <v xml:space="preserve"> </v>
      </c>
      <c r="E42" s="4" t="str">
        <f ca="1">IF(OR(INDEX($AG$2:$AG$1001,MATCH(ROWS($AF$2:AF42),$AF$2:$AF$1001,0),1)&gt;=100000,INDEX($AM$1005:$BM$1005,1,MATCH(COLUMNS($AM$1006:AP1006),$AM$1006:$BM$1006,0))&gt;=100000), " ",IF(INDEX($AM$2:$BM$1001,MATCH(ROWS($AF$2:AF42),$AF$2:$AF$1001,0),MATCH(COLUMNS($AM$1006:AP1006),$AM$1006:$BM$1006,0)), HYPERLINK("#",""), HYPERLINK(CONCATENATE("#metadata!", ADDRESS(INDEX($AH$2:$AH$1001,MATCH(ROWS($AF$2:AF42),$AF$2:$AF$1001,0),0), INDEX($AM$1004:$BM$1004,1,MATCH(COLUMNS($AM$1006:AP1006),$AM$1006:$BM$1006,0)))),"Fix")))</f>
        <v xml:space="preserve"> </v>
      </c>
      <c r="F42" s="4" t="str">
        <f ca="1">IF(OR(INDEX($AG$2:$AG$1001,MATCH(ROWS($AF$2:AF42),$AF$2:$AF$1001,0),1)&gt;=100000,INDEX($AM$1005:$BM$1005,1,MATCH(COLUMNS($AM$1006:AQ1006),$AM$1006:$BM$1006,0))&gt;=100000), " ",IF(INDEX($AM$2:$BM$1001,MATCH(ROWS($AF$2:AF42),$AF$2:$AF$1001,0),MATCH(COLUMNS($AM$1006:AQ1006),$AM$1006:$BM$1006,0)), HYPERLINK("#",""), HYPERLINK(CONCATENATE("#metadata!", ADDRESS(INDEX($AH$2:$AH$1001,MATCH(ROWS($AF$2:AF42),$AF$2:$AF$1001,0),0), INDEX($AM$1004:$BM$1004,1,MATCH(COLUMNS($AM$1006:AQ1006),$AM$1006:$BM$1006,0)))),"Fix")))</f>
        <v xml:space="preserve"> </v>
      </c>
      <c r="G42" s="4" t="str">
        <f ca="1">IF(OR(INDEX($AG$2:$AG$1001,MATCH(ROWS($AF$2:AF42),$AF$2:$AF$1001,0),1)&gt;=100000,INDEX($AM$1005:$BM$1005,1,MATCH(COLUMNS($AM$1006:AR1006),$AM$1006:$BM$1006,0))&gt;=100000), " ",IF(INDEX($AM$2:$BM$1001,MATCH(ROWS($AF$2:AF42),$AF$2:$AF$1001,0),MATCH(COLUMNS($AM$1006:AR1006),$AM$1006:$BM$1006,0)), HYPERLINK("#",""), HYPERLINK(CONCATENATE("#metadata!", ADDRESS(INDEX($AH$2:$AH$1001,MATCH(ROWS($AF$2:AF42),$AF$2:$AF$1001,0),0), INDEX($AM$1004:$BM$1004,1,MATCH(COLUMNS($AM$1006:AR1006),$AM$1006:$BM$1006,0)))),"Fix")))</f>
        <v xml:space="preserve"> </v>
      </c>
      <c r="H42" s="4" t="str">
        <f ca="1">IF(OR(INDEX($AG$2:$AG$1001,MATCH(ROWS($AF$2:AF42),$AF$2:$AF$1001,0),1)&gt;=100000,INDEX($AM$1005:$BM$1005,1,MATCH(COLUMNS($AM$1006:AS1006),$AM$1006:$BM$1006,0))&gt;=100000), " ",IF(INDEX($AM$2:$BM$1001,MATCH(ROWS($AF$2:AF42),$AF$2:$AF$1001,0),MATCH(COLUMNS($AM$1006:AS1006),$AM$1006:$BM$1006,0)), HYPERLINK("#",""), HYPERLINK(CONCATENATE("#metadata!", ADDRESS(INDEX($AH$2:$AH$1001,MATCH(ROWS($AF$2:AF42),$AF$2:$AF$1001,0),0), INDEX($AM$1004:$BM$1004,1,MATCH(COLUMNS($AM$1006:AS1006),$AM$1006:$BM$1006,0)))),"Fix")))</f>
        <v xml:space="preserve"> </v>
      </c>
      <c r="I42" s="4" t="str">
        <f ca="1">IF(OR(INDEX($AG$2:$AG$1001,MATCH(ROWS($AF$2:AF42),$AF$2:$AF$1001,0),1)&gt;=100000,INDEX($AM$1005:$BM$1005,1,MATCH(COLUMNS($AM$1006:AT1006),$AM$1006:$BM$1006,0))&gt;=100000), " ",IF(INDEX($AM$2:$BM$1001,MATCH(ROWS($AF$2:AF42),$AF$2:$AF$1001,0),MATCH(COLUMNS($AM$1006:AT1006),$AM$1006:$BM$1006,0)), HYPERLINK("#",""), HYPERLINK(CONCATENATE("#metadata!", ADDRESS(INDEX($AH$2:$AH$1001,MATCH(ROWS($AF$2:AF42),$AF$2:$AF$1001,0),0), INDEX($AM$1004:$BM$1004,1,MATCH(COLUMNS($AM$1006:AT1006),$AM$1006:$BM$1006,0)))),"Fix")))</f>
        <v xml:space="preserve"> </v>
      </c>
      <c r="J42" s="4" t="str">
        <f ca="1">IF(OR(INDEX($AG$2:$AG$1001,MATCH(ROWS($AF$2:AF42),$AF$2:$AF$1001,0),1)&gt;=100000,INDEX($AM$1005:$BM$1005,1,MATCH(COLUMNS($AM$1006:AU1006),$AM$1006:$BM$1006,0))&gt;=100000), " ",IF(INDEX($AM$2:$BM$1001,MATCH(ROWS($AF$2:AF42),$AF$2:$AF$1001,0),MATCH(COLUMNS($AM$1006:AU1006),$AM$1006:$BM$1006,0)), HYPERLINK("#",""), HYPERLINK(CONCATENATE("#metadata!", ADDRESS(INDEX($AH$2:$AH$1001,MATCH(ROWS($AF$2:AF42),$AF$2:$AF$1001,0),0), INDEX($AM$1004:$BM$1004,1,MATCH(COLUMNS($AM$1006:AU1006),$AM$1006:$BM$1006,0)))),"Fix")))</f>
        <v xml:space="preserve"> </v>
      </c>
      <c r="K42" s="4" t="str">
        <f ca="1">IF(OR(INDEX($AG$2:$AG$1001,MATCH(ROWS($AF$2:AF42),$AF$2:$AF$1001,0),1)&gt;=100000,INDEX($AM$1005:$BM$1005,1,MATCH(COLUMNS($AM$1006:AV1006),$AM$1006:$BM$1006,0))&gt;=100000), " ",IF(INDEX($AM$2:$BM$1001,MATCH(ROWS($AF$2:AF42),$AF$2:$AF$1001,0),MATCH(COLUMNS($AM$1006:AV1006),$AM$1006:$BM$1006,0)), HYPERLINK("#",""), HYPERLINK(CONCATENATE("#metadata!", ADDRESS(INDEX($AH$2:$AH$1001,MATCH(ROWS($AF$2:AF42),$AF$2:$AF$1001,0),0), INDEX($AM$1004:$BM$1004,1,MATCH(COLUMNS($AM$1006:AV1006),$AM$1006:$BM$1006,0)))),"Fix")))</f>
        <v xml:space="preserve"> </v>
      </c>
      <c r="L42" s="4" t="str">
        <f ca="1">IF(OR(INDEX($AG$2:$AG$1001,MATCH(ROWS($AF$2:AF42),$AF$2:$AF$1001,0),1)&gt;=100000,INDEX($AM$1005:$BM$1005,1,MATCH(COLUMNS($AM$1006:AW1006),$AM$1006:$BM$1006,0))&gt;=100000), " ",IF(INDEX($AM$2:$BM$1001,MATCH(ROWS($AF$2:AF42),$AF$2:$AF$1001,0),MATCH(COLUMNS($AM$1006:AW1006),$AM$1006:$BM$1006,0)), HYPERLINK("#",""), HYPERLINK(CONCATENATE("#metadata!", ADDRESS(INDEX($AH$2:$AH$1001,MATCH(ROWS($AF$2:AF42),$AF$2:$AF$1001,0),0), INDEX($AM$1004:$BM$1004,1,MATCH(COLUMNS($AM$1006:AW1006),$AM$1006:$BM$1006,0)))),"Fix")))</f>
        <v xml:space="preserve"> </v>
      </c>
      <c r="M42" s="4" t="str">
        <f ca="1">IF(OR(INDEX($AG$2:$AG$1001,MATCH(ROWS($AF$2:AF42),$AF$2:$AF$1001,0),1)&gt;=100000,INDEX($AM$1005:$BM$1005,1,MATCH(COLUMNS($AM$1006:AX1006),$AM$1006:$BM$1006,0))&gt;=100000), " ",IF(INDEX($AM$2:$BM$1001,MATCH(ROWS($AF$2:AF42),$AF$2:$AF$1001,0),MATCH(COLUMNS($AM$1006:AX1006),$AM$1006:$BM$1006,0)), HYPERLINK("#",""), HYPERLINK(CONCATENATE("#metadata!", ADDRESS(INDEX($AH$2:$AH$1001,MATCH(ROWS($AF$2:AF42),$AF$2:$AF$1001,0),0), INDEX($AM$1004:$BM$1004,1,MATCH(COLUMNS($AM$1006:AX1006),$AM$1006:$BM$1006,0)))),"Fix")))</f>
        <v xml:space="preserve"> </v>
      </c>
      <c r="N42" s="4" t="str">
        <f ca="1">IF(OR(INDEX($AG$2:$AG$1001,MATCH(ROWS($AF$2:AF42),$AF$2:$AF$1001,0),1)&gt;=100000,INDEX($AM$1005:$BM$1005,1,MATCH(COLUMNS($AM$1006:AY1006),$AM$1006:$BM$1006,0))&gt;=100000), " ",IF(INDEX($AM$2:$BM$1001,MATCH(ROWS($AF$2:AF42),$AF$2:$AF$1001,0),MATCH(COLUMNS($AM$1006:AY1006),$AM$1006:$BM$1006,0)), HYPERLINK("#",""), HYPERLINK(CONCATENATE("#metadata!", ADDRESS(INDEX($AH$2:$AH$1001,MATCH(ROWS($AF$2:AF42),$AF$2:$AF$1001,0),0), INDEX($AM$1004:$BM$1004,1,MATCH(COLUMNS($AM$1006:AY1006),$AM$1006:$BM$1006,0)))),"Fix")))</f>
        <v xml:space="preserve"> </v>
      </c>
      <c r="O42" s="4" t="str">
        <f ca="1">IF(OR(INDEX($AG$2:$AG$1001,MATCH(ROWS($AF$2:AF42),$AF$2:$AF$1001,0),1)&gt;=100000,INDEX($AM$1005:$BM$1005,1,MATCH(COLUMNS($AM$1006:AZ1006),$AM$1006:$BM$1006,0))&gt;=100000), " ",IF(INDEX($AM$2:$BM$1001,MATCH(ROWS($AF$2:AF42),$AF$2:$AF$1001,0),MATCH(COLUMNS($AM$1006:AZ1006),$AM$1006:$BM$1006,0)), HYPERLINK("#",""), HYPERLINK(CONCATENATE("#metadata!", ADDRESS(INDEX($AH$2:$AH$1001,MATCH(ROWS($AF$2:AF42),$AF$2:$AF$1001,0),0), INDEX($AM$1004:$BM$1004,1,MATCH(COLUMNS($AM$1006:AZ1006),$AM$1006:$BM$1006,0)))),"Fix")))</f>
        <v xml:space="preserve"> </v>
      </c>
      <c r="P42" s="4" t="str">
        <f ca="1">IF(OR(INDEX($AG$2:$AG$1001,MATCH(ROWS($AF$2:AF42),$AF$2:$AF$1001,0),1)&gt;=100000,INDEX($AM$1005:$BM$1005,1,MATCH(COLUMNS($AM$1006:BA1006),$AM$1006:$BM$1006,0))&gt;=100000), " ",IF(INDEX($AM$2:$BM$1001,MATCH(ROWS($AF$2:AF42),$AF$2:$AF$1001,0),MATCH(COLUMNS($AM$1006:BA1006),$AM$1006:$BM$1006,0)), HYPERLINK("#",""), HYPERLINK(CONCATENATE("#metadata!", ADDRESS(INDEX($AH$2:$AH$1001,MATCH(ROWS($AF$2:AF42),$AF$2:$AF$1001,0),0), INDEX($AM$1004:$BM$1004,1,MATCH(COLUMNS($AM$1006:BA1006),$AM$1006:$BM$1006,0)))),"Fix")))</f>
        <v xml:space="preserve"> </v>
      </c>
      <c r="Q42" s="4" t="str">
        <f ca="1">IF(OR(INDEX($AG$2:$AG$1001,MATCH(ROWS($AF$2:AF42),$AF$2:$AF$1001,0),1)&gt;=100000,INDEX($AM$1005:$BM$1005,1,MATCH(COLUMNS($AM$1006:BB1006),$AM$1006:$BM$1006,0))&gt;=100000), " ",IF(INDEX($AM$2:$BM$1001,MATCH(ROWS($AF$2:AF42),$AF$2:$AF$1001,0),MATCH(COLUMNS($AM$1006:BB1006),$AM$1006:$BM$1006,0)), HYPERLINK("#",""), HYPERLINK(CONCATENATE("#metadata!", ADDRESS(INDEX($AH$2:$AH$1001,MATCH(ROWS($AF$2:AF42),$AF$2:$AF$1001,0),0), INDEX($AM$1004:$BM$1004,1,MATCH(COLUMNS($AM$1006:BB1006),$AM$1006:$BM$1006,0)))),"Fix")))</f>
        <v xml:space="preserve"> </v>
      </c>
      <c r="R42" s="4" t="str">
        <f ca="1">IF(OR(INDEX($AG$2:$AG$1001,MATCH(ROWS($AF$2:AF42),$AF$2:$AF$1001,0),1)&gt;=100000,INDEX($AM$1005:$BM$1005,1,MATCH(COLUMNS($AM$1006:BC1006),$AM$1006:$BM$1006,0))&gt;=100000), " ",IF(INDEX($AM$2:$BM$1001,MATCH(ROWS($AF$2:AF42),$AF$2:$AF$1001,0),MATCH(COLUMNS($AM$1006:BC1006),$AM$1006:$BM$1006,0)), HYPERLINK("#",""), HYPERLINK(CONCATENATE("#metadata!", ADDRESS(INDEX($AH$2:$AH$1001,MATCH(ROWS($AF$2:AF42),$AF$2:$AF$1001,0),0), INDEX($AM$1004:$BM$1004,1,MATCH(COLUMNS($AM$1006:BC1006),$AM$1006:$BM$1006,0)))),"Fix")))</f>
        <v xml:space="preserve"> </v>
      </c>
      <c r="S42" s="4" t="str">
        <f ca="1">IF(OR(INDEX($AG$2:$AG$1001,MATCH(ROWS($AF$2:AF42),$AF$2:$AF$1001,0),1)&gt;=100000,INDEX($AM$1005:$BM$1005,1,MATCH(COLUMNS($AM$1006:BD1006),$AM$1006:$BM$1006,0))&gt;=100000), " ",IF(INDEX($AM$2:$BM$1001,MATCH(ROWS($AF$2:AF42),$AF$2:$AF$1001,0),MATCH(COLUMNS($AM$1006:BD1006),$AM$1006:$BM$1006,0)), HYPERLINK("#",""), HYPERLINK(CONCATENATE("#metadata!", ADDRESS(INDEX($AH$2:$AH$1001,MATCH(ROWS($AF$2:AF42),$AF$2:$AF$1001,0),0), INDEX($AM$1004:$BM$1004,1,MATCH(COLUMNS($AM$1006:BD1006),$AM$1006:$BM$1006,0)))),"Fix")))</f>
        <v xml:space="preserve"> </v>
      </c>
      <c r="T42" s="4" t="str">
        <f ca="1">IF(OR(INDEX($AG$2:$AG$1001,MATCH(ROWS($AF$2:AF42),$AF$2:$AF$1001,0),1)&gt;=100000,INDEX($AM$1005:$BM$1005,1,MATCH(COLUMNS($AM$1006:BE1006),$AM$1006:$BM$1006,0))&gt;=100000), " ",IF(INDEX($AM$2:$BM$1001,MATCH(ROWS($AF$2:AF42),$AF$2:$AF$1001,0),MATCH(COLUMNS($AM$1006:BE1006),$AM$1006:$BM$1006,0)), HYPERLINK("#",""), HYPERLINK(CONCATENATE("#metadata!", ADDRESS(INDEX($AH$2:$AH$1001,MATCH(ROWS($AF$2:AF42),$AF$2:$AF$1001,0),0), INDEX($AM$1004:$BM$1004,1,MATCH(COLUMNS($AM$1006:BE1006),$AM$1006:$BM$1006,0)))),"Fix")))</f>
        <v xml:space="preserve"> </v>
      </c>
      <c r="U42" s="4" t="str">
        <f ca="1">IF(OR(INDEX($AG$2:$AG$1001,MATCH(ROWS($AF$2:AF42),$AF$2:$AF$1001,0),1)&gt;=100000,INDEX($AM$1005:$BM$1005,1,MATCH(COLUMNS($AM$1006:BF1006),$AM$1006:$BM$1006,0))&gt;=100000), " ",IF(INDEX($AM$2:$BM$1001,MATCH(ROWS($AF$2:AF42),$AF$2:$AF$1001,0),MATCH(COLUMNS($AM$1006:BF1006),$AM$1006:$BM$1006,0)), HYPERLINK("#",""), HYPERLINK(CONCATENATE("#metadata!", ADDRESS(INDEX($AH$2:$AH$1001,MATCH(ROWS($AF$2:AF42),$AF$2:$AF$1001,0),0), INDEX($AM$1004:$BM$1004,1,MATCH(COLUMNS($AM$1006:BF1006),$AM$1006:$BM$1006,0)))),"Fix")))</f>
        <v xml:space="preserve"> </v>
      </c>
      <c r="V42" s="4" t="str">
        <f ca="1">IF(OR(INDEX($AG$2:$AG$1001,MATCH(ROWS($AF$2:AF42),$AF$2:$AF$1001,0),1)&gt;=100000,INDEX($AM$1005:$BM$1005,1,MATCH(COLUMNS($AM$1006:BG1006),$AM$1006:$BM$1006,0))&gt;=100000), " ",IF(INDEX($AM$2:$BM$1001,MATCH(ROWS($AF$2:AF42),$AF$2:$AF$1001,0),MATCH(COLUMNS($AM$1006:BG1006),$AM$1006:$BM$1006,0)), HYPERLINK("#",""), HYPERLINK(CONCATENATE("#metadata!", ADDRESS(INDEX($AH$2:$AH$1001,MATCH(ROWS($AF$2:AF42),$AF$2:$AF$1001,0),0), INDEX($AM$1004:$BM$1004,1,MATCH(COLUMNS($AM$1006:BG1006),$AM$1006:$BM$1006,0)))),"Fix")))</f>
        <v xml:space="preserve"> </v>
      </c>
      <c r="W42" s="4" t="str">
        <f ca="1">IF(OR(INDEX($AG$2:$AG$1001,MATCH(ROWS($AF$2:AF42),$AF$2:$AF$1001,0),1)&gt;=100000,INDEX($AM$1005:$BM$1005,1,MATCH(COLUMNS($AM$1006:BH1006),$AM$1006:$BM$1006,0))&gt;=100000), " ",IF(INDEX($AM$2:$BM$1001,MATCH(ROWS($AF$2:AF42),$AF$2:$AF$1001,0),MATCH(COLUMNS($AM$1006:BH1006),$AM$1006:$BM$1006,0)), HYPERLINK("#",""), HYPERLINK(CONCATENATE("#metadata!", ADDRESS(INDEX($AH$2:$AH$1001,MATCH(ROWS($AF$2:AF42),$AF$2:$AF$1001,0),0), INDEX($AM$1004:$BM$1004,1,MATCH(COLUMNS($AM$1006:BH1006),$AM$1006:$BM$1006,0)))),"Fix")))</f>
        <v xml:space="preserve"> </v>
      </c>
      <c r="X42" s="4" t="str">
        <f ca="1">IF(OR(INDEX($AG$2:$AG$1001,MATCH(ROWS($AF$2:AF42),$AF$2:$AF$1001,0),1)&gt;=100000,INDEX($AM$1005:$BM$1005,1,MATCH(COLUMNS($AM$1006:BI1006),$AM$1006:$BM$1006,0))&gt;=100000), " ",IF(INDEX($AM$2:$BM$1001,MATCH(ROWS($AF$2:AF42),$AF$2:$AF$1001,0),MATCH(COLUMNS($AM$1006:BI1006),$AM$1006:$BM$1006,0)), HYPERLINK("#",""), HYPERLINK(CONCATENATE("#metadata!", ADDRESS(INDEX($AH$2:$AH$1001,MATCH(ROWS($AF$2:AF42),$AF$2:$AF$1001,0),0), INDEX($AM$1004:$BM$1004,1,MATCH(COLUMNS($AM$1006:BI1006),$AM$1006:$BM$1006,0)))),"Fix")))</f>
        <v xml:space="preserve"> </v>
      </c>
      <c r="Y42" s="4" t="str">
        <f ca="1">IF(OR(INDEX($AG$2:$AG$1001,MATCH(ROWS($AF$2:AF42),$AF$2:$AF$1001,0),1)&gt;=100000,INDEX($AM$1005:$BM$1005,1,MATCH(COLUMNS($AM$1006:BJ1006),$AM$1006:$BM$1006,0))&gt;=100000), " ",IF(INDEX($AM$2:$BM$1001,MATCH(ROWS($AF$2:AF42),$AF$2:$AF$1001,0),MATCH(COLUMNS($AM$1006:BJ1006),$AM$1006:$BM$1006,0)), HYPERLINK("#",""), HYPERLINK(CONCATENATE("#metadata!", ADDRESS(INDEX($AH$2:$AH$1001,MATCH(ROWS($AF$2:AF42),$AF$2:$AF$1001,0),0), INDEX($AM$1004:$BM$1004,1,MATCH(COLUMNS($AM$1006:BJ1006),$AM$1006:$BM$1006,0)))),"Fix")))</f>
        <v xml:space="preserve"> </v>
      </c>
      <c r="Z42" s="4" t="str">
        <f ca="1">IF(OR(INDEX($AG$2:$AG$1001,MATCH(ROWS($AF$2:AF42),$AF$2:$AF$1001,0),1)&gt;=100000,INDEX($AM$1005:$BM$1005,1,MATCH(COLUMNS($AM$1006:BK1006),$AM$1006:$BM$1006,0))&gt;=100000), " ",IF(INDEX($AM$2:$BM$1001,MATCH(ROWS($AF$2:AF42),$AF$2:$AF$1001,0),MATCH(COLUMNS($AM$1006:BK1006),$AM$1006:$BM$1006,0)), HYPERLINK("#",""), HYPERLINK(CONCATENATE("#metadata!", ADDRESS(INDEX($AH$2:$AH$1001,MATCH(ROWS($AF$2:AF42),$AF$2:$AF$1001,0),0), INDEX($AM$1004:$BM$1004,1,MATCH(COLUMNS($AM$1006:BK1006),$AM$1006:$BM$1006,0)))),"Fix")))</f>
        <v xml:space="preserve"> </v>
      </c>
      <c r="AA42" s="4" t="str">
        <f ca="1">IF(OR(INDEX($AG$2:$AG$1001,MATCH(ROWS($AF$2:AF42),$AF$2:$AF$1001,0),1)&gt;=100000,INDEX($AM$1005:$BM$1005,1,MATCH(COLUMNS($AM$1006:BL1006),$AM$1006:$BM$1006,0))&gt;=100000), " ",IF(INDEX($AM$2:$BM$1001,MATCH(ROWS($AF$2:AF42),$AF$2:$AF$1001,0),MATCH(COLUMNS($AM$1006:BL1006),$AM$1006:$BM$1006,0)), HYPERLINK("#",""), HYPERLINK(CONCATENATE("#metadata!", ADDRESS(INDEX($AH$2:$AH$1001,MATCH(ROWS($AF$2:AF42),$AF$2:$AF$1001,0),0), INDEX($AM$1004:$BM$1004,1,MATCH(COLUMNS($AM$1006:BL1006),$AM$1006:$BM$1006,0)))),"Fix")))</f>
        <v xml:space="preserve"> </v>
      </c>
      <c r="AB42" s="4" t="str">
        <f ca="1">IF(OR(INDEX($AG$2:$AG$1001,MATCH(ROWS($AF$2:AF42),$AF$2:$AF$1001,0),1)&gt;=100000,INDEX($AM$1005:$BM$1005,1,MATCH(COLUMNS($AM$1006:BM1006),$AM$1006:$BM$1006,0))&gt;=100000), " ",IF(INDEX($AM$2:$BM$1001,MATCH(ROWS($AF$2:AF42),$AF$2:$AF$1001,0),MATCH(COLUMNS($AM$1006:BM1006),$AM$1006:$BM$1006,0)), HYPERLINK("#",""), HYPERLINK(CONCATENATE("#metadata!", ADDRESS(INDEX($AH$2:$AH$1001,MATCH(ROWS($AF$2:AF42),$AF$2:$AF$1001,0),0), INDEX($AM$1004:$BM$1004,1,MATCH(COLUMNS($AM$1006:BM1006),$AM$1006:$BM$1006,0)))),"Fix")))</f>
        <v xml:space="preserve"> </v>
      </c>
      <c r="AF42">
        <v>41</v>
      </c>
      <c r="AG42">
        <v>100042</v>
      </c>
      <c r="AH42">
        <v>42</v>
      </c>
      <c r="AI42" t="b">
        <f t="shared" si="0"/>
        <v>1</v>
      </c>
      <c r="AJ42" t="b">
        <f>COUNTBLANK(metadata!B42:AB42)=COLUMNS(metadata!B42:AB42)</f>
        <v>1</v>
      </c>
      <c r="AK42" t="str">
        <v/>
      </c>
      <c r="AM42" t="b">
        <f ca="1">AND(IF(metadata!B42="",FALSE,TRUE),COUNTIF(metadata!B:B, metadata!B42) = 1,NOT(ISERROR(SUMPRODUCT(SEARCH(MID(metadata!B42,ROW(INDIRECT("1:"&amp;LEN(metadata!B42))), 1),"0123456789abcdefghijklmnopqrstuvwxyzABCDEFGHIJKLMNOPQRSTUVWXYZ.")))))</f>
        <v>0</v>
      </c>
      <c r="AN42" t="b">
        <f ca="1">OR(AND(IF(metadata!C42="",FALSE,TRUE),OR(EXACT(metadata!C42,"missing: not collected"),EXACT(metadata!C42,"missing: not provided"),EXACT(metadata!C42,"missing: restricted access"))),AND(IF(metadata!C42="",FALSE,TRUE),AND(AND(IFERROR(INT(LEFT(metadata!C42,4))&gt;1900,FALSE),IFERROR(INT(LEFT(metadata!C42,4))&lt;=YEAR(NOW()),FALSE)), OR(MID(metadata!C42,5,1)="", AND(AND(MID(metadata!C42,5,1)="-",IFERROR(INT(MID(metadata!C42,6,1))&gt;=0,FALSE),IFERROR(INT(MID(metadata!C42,6,1))&lt;=1,FALSE),NOT(MID(metadata!C42,7,1)=""),IFERROR(INT(MID(metadata!C42,6,2))&gt;=1,FALSE),IFERROR(INT(MID(metadata!C42,6,2))&lt;=12,FALSE)), OR(MID(metadata!C42,8,1)="", AND(AND(MID(metadata!C42,8,1)="-",IFERROR(INT(MID(metadata!C42,9,1))&gt;=0,FALSE),IFERROR(INT(MID(metadata!C42,9,1))&lt;=3,FALSE),NOT(MID(metadata!C42,10,1)=""),IFERROR(INT(MID(metadata!C42,9,2))&gt;=1,FALSE),IFERROR(INT(MID(metadata!C42,9,2))&lt;=31,FALSE)), OR(MID(metadata!C42,11,1)="", AND(AND(MID(metadata!C42,11,1)=" ",IFERROR(INT(MID(metadata!C42,12,1))&gt;=0,FALSE),IFERROR(INT(MID(metadata!C42,12,1))&lt;=2,FALSE),NOT(MID(metadata!C42,13,1)=""),IFERROR(INT(MID(metadata!C42,12,2))&gt;=0,FALSE),IFERROR(INT(MID(metadata!C42,12,2))&lt;=23,FALSE)), OR(MID(metadata!C42,14,1)="", AND(AND(MID(metadata!C42,14,1)=":",IFERROR(INT(MID(metadata!C42,15,1))&gt;=0,FALSE),IFERROR(INT(MID(metadata!C42,15,1))&lt;=5,FALSE),NOT(MID(metadata!C42,16,1)=""),IFERROR(INT(MID(metadata!C42,15,2))&gt;=0,FALSE),IFERROR(INT(MID(metadata!C42,15,2))&lt;=59,FALSE)), OR(MID(metadata!C42,17,1)="", AND(AND(MID(metadata!C42,17,1)=":",IFERROR(INT(MID(metadata!C42,18,1))&gt;=0,FALSE),IFERROR(INT(MID(metadata!C42,18,1))&lt;=5,FALSE),NOT(MID(metadata!C42,19,1)=""),IFERROR(INT(MID(metadata!C42,18,2))&gt;=0,FALSE),IFERROR(INT(MID(metadata!C42,18,2))&lt;=59,FALSE)), LEN(metadata!C42)&lt;=19)))))))))))))</f>
        <v>0</v>
      </c>
      <c r="AO42" t="b">
        <f>AND(IF(metadata!D42="",FALSE,TRUE),EXACT(metadata!D42,"Not applicable"))</f>
        <v>0</v>
      </c>
      <c r="AP42" t="b">
        <f>IF(metadata!E42="",FALSE,TRUE)</f>
        <v>0</v>
      </c>
      <c r="AQ42" t="b">
        <f>OR(AND(IF(metadata!F42="",FALSE,TRUE),OR(EXACT(metadata!F42,"missing: not collected"),EXACT(metadata!F42,"missing: not provided"))),AND(IF(metadata!F42="",FALSE,TRUE),OR(EXACT(metadata!F42,"TRUE"),EXACT(metadata!F42,"FALSE"))))</f>
        <v>0</v>
      </c>
      <c r="AR42" t="b">
        <f>OR(AND(IF(metadata!G42="",FALSE,TRUE),OR(EXACT(metadata!G42,"missing: not collected"),EXACT(metadata!G42,"missing: not provided"),EXACT(metadata!G42,"missing: restricted access"))),AND(IF(metadata!G42="",FALSE,ISNUMBER(VALUE(metadata!G42))),metadata!G42&gt;=-413))</f>
        <v>0</v>
      </c>
      <c r="AS42" t="b">
        <f>AND(IF(metadata!H42="",FALSE,TRUE),EXACT(metadata!H42,"meters"))</f>
        <v>0</v>
      </c>
      <c r="AT42" t="b">
        <f>AND(IF(metadata!I42="",FALSE,TRUE),OR(EXACT(metadata!I42,"Host-associated"),EXACT(metadata!I42,"Free-living")))</f>
        <v>0</v>
      </c>
      <c r="AU42" t="b">
        <f>AND(IF(metadata!J42="",FALSE,TRUE),OR(EXACT(metadata!J42,"Animal"),EXACT(metadata!J42,"Fungus"),EXACT(metadata!J42,"Plant"),EXACT(metadata!J42,"Saline"),EXACT(metadata!J42,"Non-saline")))</f>
        <v>0</v>
      </c>
      <c r="AV42" t="b">
        <f>AND(IF(metadata!K42="",FALSE,TRUE),OR(EXACT(metadata!K42,"Plant secretion"),EXACT(metadata!K42,"Plant rhizosphere"),EXACT(metadata!K42,"Plant surface"),EXACT(metadata!K42,"Plant corpus"),EXACT(metadata!K42,"Fungus surface"),EXACT(metadata!K42,"Fungus corpus"),EXACT(metadata!K42,"Animal surface"),EXACT(metadata!K42,"Animal proximal gut"),EXACT(metadata!K42,"Animal corpus"),EXACT(metadata!K42,"Animal distal gut"),EXACT(metadata!K42,"Animal secretion"),EXACT(metadata!K42,"Sub-surface (non-saline)"),EXACT(metadata!K42,"Surface (non-saline)"),EXACT(metadata!K42,"Water (non-saline)"),EXACT(metadata!K42,"Soil (non-saline)"),EXACT(metadata!K42,"Aerosol (non-saline)"),EXACT(metadata!K42,"Sediment (non-saline)"),EXACT(metadata!K42,"Surface (saline)"),EXACT(metadata!K42,"Water (saline)"),EXACT(metadata!K42,"Hypersaline (saline)"),EXACT(metadata!K42,"Aerosol (saline)"),EXACT(metadata!K42,"Sediment (saline)")))</f>
        <v>0</v>
      </c>
      <c r="AW42" t="b">
        <f>IF(metadata!L42="",FALSE,TRUE)</f>
        <v>0</v>
      </c>
      <c r="AX42" t="b">
        <f>IF(metadata!M42="",FALSE,TRUE)</f>
        <v>0</v>
      </c>
      <c r="AY42" t="b">
        <f>IF(metadata!N42="",FALSE,TRUE)</f>
        <v>0</v>
      </c>
      <c r="AZ42" t="b">
        <f>OR(AND(IF(metadata!O42="",FALSE,TRUE),OR(EXACT(metadata!O42,"missing: not collected"),EXACT(metadata!O42,"missing: not provided"),EXACT(metadata!O42,"missing: restricted access"))),AND(IF(metadata!O42="",FALSE,TRUE),OR(EXACT(metadata!O42,"air"),EXACT(metadata!O42,"built environment"),EXACT(metadata!O42,"host-associated"),EXACT(metadata!O42,"human-associated"),EXACT(metadata!O42,"human-skin"),EXACT(metadata!O42,"human-oral"),EXACT(metadata!O42,"human-gut"),EXACT(metadata!O42,"human-vaginal"),EXACT(metadata!O42,"microbial mat/biofilm"),EXACT(metadata!O42,"misc environment"),EXACT(metadata!O42,"plant-associated"),EXACT(metadata!O42,"sediment"),EXACT(metadata!O42,"soil"),EXACT(metadata!O42,"wastewater/sludge"),EXACT(metadata!O42,"water"))))</f>
        <v>0</v>
      </c>
      <c r="BA42" t="b">
        <f>IF(metadata!P42="",FALSE,TRUE)</f>
        <v>0</v>
      </c>
      <c r="BB42" t="b">
        <f>IF(metadata!Q42="",FALSE,TRUE)</f>
        <v>0</v>
      </c>
      <c r="BC42" t="b">
        <f>OR(AND(IF(metadata!R42="",FALSE,TRUE),OR(EXACT(metadata!R42,"missing: not collected"),EXACT(metadata!R42,"missing: not provided"),EXACT(metadata!R42,"missing: restricted access"))),AND(IF(metadata!R42="",FALSE,ISNUMBER(VALUE(metadata!R42))),metadata!R42&gt;=-90,metadata!R42&lt;=90))</f>
        <v>0</v>
      </c>
      <c r="BD42" t="b">
        <f>AND(IF(metadata!S42="",FALSE,TRUE),EXACT(metadata!S42,"Decimal degrees"))</f>
        <v>0</v>
      </c>
      <c r="BE42" t="b">
        <f>OR(AND(IF(metadata!T42="",FALSE,TRUE),OR(EXACT(metadata!T42,"missing: not collected"),EXACT(metadata!T42,"missing: not provided"),EXACT(metadata!T42,"missing: restricted access"))),AND(IF(metadata!T42="",FALSE,ISNUMBER(VALUE(metadata!T42))),metadata!T42&gt;=-180,metadata!T42&lt;=180))</f>
        <v>0</v>
      </c>
      <c r="BF42" t="b">
        <f>AND(IF(metadata!U42="",FALSE,TRUE),EXACT(metadata!U42,"Decimal degrees"))</f>
        <v>0</v>
      </c>
      <c r="BG42" t="b">
        <f>IF(metadata!V42="",FALSE,TRUE)</f>
        <v>0</v>
      </c>
      <c r="BH42" t="b">
        <f>OR(AND(IF(metadata!W42="",FALSE,TRUE),OR(EXACT(metadata!W42,"missing: not collected"),EXACT(metadata!W42,"missing: not provided"),EXACT(metadata!W42,"missing: restricted access"))),AND(IF(metadata!W42="",FALSE,TRUE),OR(EXACT(metadata!W42,"TRUE"),EXACT(metadata!W42,"FALSE"))))</f>
        <v>0</v>
      </c>
      <c r="BI42" t="b">
        <f>AND(IF(metadata!X42="",FALSE,TRUE),EXACT(metadata!X42,"other"))</f>
        <v>0</v>
      </c>
      <c r="BJ42" t="b">
        <f>IF(metadata!Y42="",FALSE,TRUE)</f>
        <v>0</v>
      </c>
      <c r="BK42" t="b">
        <f>OR(AND(IF(metadata!Z42="",FALSE,TRUE),OR(EXACT(metadata!Z42,"missing: not collected"),EXACT(metadata!Z42,"missing: not provided"))),AND(IF(metadata!Z42="",FALSE,IF(ISERROR(INT(metadata!Z42)),FALSE,INT(metadata!Z42)=metadata!Z42)),metadata!Z42&gt;0))</f>
        <v>0</v>
      </c>
      <c r="BL42" t="b">
        <f>AND(IF(metadata!AA42="",FALSE,TRUE),EXACT(metadata!AA42,"Not applicable"))</f>
        <v>0</v>
      </c>
      <c r="BM42" t="b">
        <f>IF(metadata!AB42="",FALSE,TRUE)</f>
        <v>0</v>
      </c>
    </row>
    <row r="43" spans="1:65" x14ac:dyDescent="0.2">
      <c r="A43" s="5" t="str">
        <f ca="1">IF(B43=" "," ",HYPERLINK(CONCATENATE("#metadata!",ADDRESS(INDEX($AH$2:$AH$1001,MATCH(ROWS($AF$2:AF43),$AF$2:$AF$1001,0),0),1)),INDEX($AK$2:$AK$1001,MATCH(ROWS($AF$2:AF43),$AF$2:$AF$1001,0),0)))</f>
        <v xml:space="preserve"> </v>
      </c>
      <c r="B43" s="4" t="str">
        <f ca="1">IF(OR(INDEX($AG$2:$AG$1001,MATCH(ROWS($AF$2:AF43),$AF$2:$AF$1001,0),1)&gt;=100000,INDEX($AM$1005:$BM$1005,1,MATCH(COLUMNS($AM$1006:AM1006),$AM$1006:$BM$1006,0))&gt;=100000), " ",IF(INDEX($AM$2:$BM$1001,MATCH(ROWS($AF$2:AF43),$AF$2:$AF$1001,0),MATCH(COLUMNS($AM$1006:AM1006),$AM$1006:$BM$1006,0)), HYPERLINK("#",""), HYPERLINK(CONCATENATE("#metadata!", ADDRESS(INDEX($AH$2:$AH$1001,MATCH(ROWS($AF$2:AF43),$AF$2:$AF$1001,0),0), INDEX($AM$1004:$BM$1004,1,MATCH(COLUMNS($AM$1006:AM1006),$AM$1006:$BM$1006,0)))),"Fix")))</f>
        <v xml:space="preserve"> </v>
      </c>
      <c r="C43" s="4" t="str">
        <f ca="1">IF(OR(INDEX($AG$2:$AG$1001,MATCH(ROWS($AF$2:AF43),$AF$2:$AF$1001,0),1)&gt;=100000,INDEX($AM$1005:$BM$1005,1,MATCH(COLUMNS($AM$1006:AN1006),$AM$1006:$BM$1006,0))&gt;=100000), " ",IF(INDEX($AM$2:$BM$1001,MATCH(ROWS($AF$2:AF43),$AF$2:$AF$1001,0),MATCH(COLUMNS($AM$1006:AN1006),$AM$1006:$BM$1006,0)), HYPERLINK("#",""), HYPERLINK(CONCATENATE("#metadata!", ADDRESS(INDEX($AH$2:$AH$1001,MATCH(ROWS($AF$2:AF43),$AF$2:$AF$1001,0),0), INDEX($AM$1004:$BM$1004,1,MATCH(COLUMNS($AM$1006:AN1006),$AM$1006:$BM$1006,0)))),"Fix")))</f>
        <v xml:space="preserve"> </v>
      </c>
      <c r="D43" s="4" t="str">
        <f ca="1">IF(OR(INDEX($AG$2:$AG$1001,MATCH(ROWS($AF$2:AF43),$AF$2:$AF$1001,0),1)&gt;=100000,INDEX($AM$1005:$BM$1005,1,MATCH(COLUMNS($AM$1006:AO1006),$AM$1006:$BM$1006,0))&gt;=100000), " ",IF(INDEX($AM$2:$BM$1001,MATCH(ROWS($AF$2:AF43),$AF$2:$AF$1001,0),MATCH(COLUMNS($AM$1006:AO1006),$AM$1006:$BM$1006,0)), HYPERLINK("#",""), HYPERLINK(CONCATENATE("#metadata!", ADDRESS(INDEX($AH$2:$AH$1001,MATCH(ROWS($AF$2:AF43),$AF$2:$AF$1001,0),0), INDEX($AM$1004:$BM$1004,1,MATCH(COLUMNS($AM$1006:AO1006),$AM$1006:$BM$1006,0)))),"Fix")))</f>
        <v xml:space="preserve"> </v>
      </c>
      <c r="E43" s="4" t="str">
        <f ca="1">IF(OR(INDEX($AG$2:$AG$1001,MATCH(ROWS($AF$2:AF43),$AF$2:$AF$1001,0),1)&gt;=100000,INDEX($AM$1005:$BM$1005,1,MATCH(COLUMNS($AM$1006:AP1006),$AM$1006:$BM$1006,0))&gt;=100000), " ",IF(INDEX($AM$2:$BM$1001,MATCH(ROWS($AF$2:AF43),$AF$2:$AF$1001,0),MATCH(COLUMNS($AM$1006:AP1006),$AM$1006:$BM$1006,0)), HYPERLINK("#",""), HYPERLINK(CONCATENATE("#metadata!", ADDRESS(INDEX($AH$2:$AH$1001,MATCH(ROWS($AF$2:AF43),$AF$2:$AF$1001,0),0), INDEX($AM$1004:$BM$1004,1,MATCH(COLUMNS($AM$1006:AP1006),$AM$1006:$BM$1006,0)))),"Fix")))</f>
        <v xml:space="preserve"> </v>
      </c>
      <c r="F43" s="4" t="str">
        <f ca="1">IF(OR(INDEX($AG$2:$AG$1001,MATCH(ROWS($AF$2:AF43),$AF$2:$AF$1001,0),1)&gt;=100000,INDEX($AM$1005:$BM$1005,1,MATCH(COLUMNS($AM$1006:AQ1006),$AM$1006:$BM$1006,0))&gt;=100000), " ",IF(INDEX($AM$2:$BM$1001,MATCH(ROWS($AF$2:AF43),$AF$2:$AF$1001,0),MATCH(COLUMNS($AM$1006:AQ1006),$AM$1006:$BM$1006,0)), HYPERLINK("#",""), HYPERLINK(CONCATENATE("#metadata!", ADDRESS(INDEX($AH$2:$AH$1001,MATCH(ROWS($AF$2:AF43),$AF$2:$AF$1001,0),0), INDEX($AM$1004:$BM$1004,1,MATCH(COLUMNS($AM$1006:AQ1006),$AM$1006:$BM$1006,0)))),"Fix")))</f>
        <v xml:space="preserve"> </v>
      </c>
      <c r="G43" s="4" t="str">
        <f ca="1">IF(OR(INDEX($AG$2:$AG$1001,MATCH(ROWS($AF$2:AF43),$AF$2:$AF$1001,0),1)&gt;=100000,INDEX($AM$1005:$BM$1005,1,MATCH(COLUMNS($AM$1006:AR1006),$AM$1006:$BM$1006,0))&gt;=100000), " ",IF(INDEX($AM$2:$BM$1001,MATCH(ROWS($AF$2:AF43),$AF$2:$AF$1001,0),MATCH(COLUMNS($AM$1006:AR1006),$AM$1006:$BM$1006,0)), HYPERLINK("#",""), HYPERLINK(CONCATENATE("#metadata!", ADDRESS(INDEX($AH$2:$AH$1001,MATCH(ROWS($AF$2:AF43),$AF$2:$AF$1001,0),0), INDEX($AM$1004:$BM$1004,1,MATCH(COLUMNS($AM$1006:AR1006),$AM$1006:$BM$1006,0)))),"Fix")))</f>
        <v xml:space="preserve"> </v>
      </c>
      <c r="H43" s="4" t="str">
        <f ca="1">IF(OR(INDEX($AG$2:$AG$1001,MATCH(ROWS($AF$2:AF43),$AF$2:$AF$1001,0),1)&gt;=100000,INDEX($AM$1005:$BM$1005,1,MATCH(COLUMNS($AM$1006:AS1006),$AM$1006:$BM$1006,0))&gt;=100000), " ",IF(INDEX($AM$2:$BM$1001,MATCH(ROWS($AF$2:AF43),$AF$2:$AF$1001,0),MATCH(COLUMNS($AM$1006:AS1006),$AM$1006:$BM$1006,0)), HYPERLINK("#",""), HYPERLINK(CONCATENATE("#metadata!", ADDRESS(INDEX($AH$2:$AH$1001,MATCH(ROWS($AF$2:AF43),$AF$2:$AF$1001,0),0), INDEX($AM$1004:$BM$1004,1,MATCH(COLUMNS($AM$1006:AS1006),$AM$1006:$BM$1006,0)))),"Fix")))</f>
        <v xml:space="preserve"> </v>
      </c>
      <c r="I43" s="4" t="str">
        <f ca="1">IF(OR(INDEX($AG$2:$AG$1001,MATCH(ROWS($AF$2:AF43),$AF$2:$AF$1001,0),1)&gt;=100000,INDEX($AM$1005:$BM$1005,1,MATCH(COLUMNS($AM$1006:AT1006),$AM$1006:$BM$1006,0))&gt;=100000), " ",IF(INDEX($AM$2:$BM$1001,MATCH(ROWS($AF$2:AF43),$AF$2:$AF$1001,0),MATCH(COLUMNS($AM$1006:AT1006),$AM$1006:$BM$1006,0)), HYPERLINK("#",""), HYPERLINK(CONCATENATE("#metadata!", ADDRESS(INDEX($AH$2:$AH$1001,MATCH(ROWS($AF$2:AF43),$AF$2:$AF$1001,0),0), INDEX($AM$1004:$BM$1004,1,MATCH(COLUMNS($AM$1006:AT1006),$AM$1006:$BM$1006,0)))),"Fix")))</f>
        <v xml:space="preserve"> </v>
      </c>
      <c r="J43" s="4" t="str">
        <f ca="1">IF(OR(INDEX($AG$2:$AG$1001,MATCH(ROWS($AF$2:AF43),$AF$2:$AF$1001,0),1)&gt;=100000,INDEX($AM$1005:$BM$1005,1,MATCH(COLUMNS($AM$1006:AU1006),$AM$1006:$BM$1006,0))&gt;=100000), " ",IF(INDEX($AM$2:$BM$1001,MATCH(ROWS($AF$2:AF43),$AF$2:$AF$1001,0),MATCH(COLUMNS($AM$1006:AU1006),$AM$1006:$BM$1006,0)), HYPERLINK("#",""), HYPERLINK(CONCATENATE("#metadata!", ADDRESS(INDEX($AH$2:$AH$1001,MATCH(ROWS($AF$2:AF43),$AF$2:$AF$1001,0),0), INDEX($AM$1004:$BM$1004,1,MATCH(COLUMNS($AM$1006:AU1006),$AM$1006:$BM$1006,0)))),"Fix")))</f>
        <v xml:space="preserve"> </v>
      </c>
      <c r="K43" s="4" t="str">
        <f ca="1">IF(OR(INDEX($AG$2:$AG$1001,MATCH(ROWS($AF$2:AF43),$AF$2:$AF$1001,0),1)&gt;=100000,INDEX($AM$1005:$BM$1005,1,MATCH(COLUMNS($AM$1006:AV1006),$AM$1006:$BM$1006,0))&gt;=100000), " ",IF(INDEX($AM$2:$BM$1001,MATCH(ROWS($AF$2:AF43),$AF$2:$AF$1001,0),MATCH(COLUMNS($AM$1006:AV1006),$AM$1006:$BM$1006,0)), HYPERLINK("#",""), HYPERLINK(CONCATENATE("#metadata!", ADDRESS(INDEX($AH$2:$AH$1001,MATCH(ROWS($AF$2:AF43),$AF$2:$AF$1001,0),0), INDEX($AM$1004:$BM$1004,1,MATCH(COLUMNS($AM$1006:AV1006),$AM$1006:$BM$1006,0)))),"Fix")))</f>
        <v xml:space="preserve"> </v>
      </c>
      <c r="L43" s="4" t="str">
        <f ca="1">IF(OR(INDEX($AG$2:$AG$1001,MATCH(ROWS($AF$2:AF43),$AF$2:$AF$1001,0),1)&gt;=100000,INDEX($AM$1005:$BM$1005,1,MATCH(COLUMNS($AM$1006:AW1006),$AM$1006:$BM$1006,0))&gt;=100000), " ",IF(INDEX($AM$2:$BM$1001,MATCH(ROWS($AF$2:AF43),$AF$2:$AF$1001,0),MATCH(COLUMNS($AM$1006:AW1006),$AM$1006:$BM$1006,0)), HYPERLINK("#",""), HYPERLINK(CONCATENATE("#metadata!", ADDRESS(INDEX($AH$2:$AH$1001,MATCH(ROWS($AF$2:AF43),$AF$2:$AF$1001,0),0), INDEX($AM$1004:$BM$1004,1,MATCH(COLUMNS($AM$1006:AW1006),$AM$1006:$BM$1006,0)))),"Fix")))</f>
        <v xml:space="preserve"> </v>
      </c>
      <c r="M43" s="4" t="str">
        <f ca="1">IF(OR(INDEX($AG$2:$AG$1001,MATCH(ROWS($AF$2:AF43),$AF$2:$AF$1001,0),1)&gt;=100000,INDEX($AM$1005:$BM$1005,1,MATCH(COLUMNS($AM$1006:AX1006),$AM$1006:$BM$1006,0))&gt;=100000), " ",IF(INDEX($AM$2:$BM$1001,MATCH(ROWS($AF$2:AF43),$AF$2:$AF$1001,0),MATCH(COLUMNS($AM$1006:AX1006),$AM$1006:$BM$1006,0)), HYPERLINK("#",""), HYPERLINK(CONCATENATE("#metadata!", ADDRESS(INDEX($AH$2:$AH$1001,MATCH(ROWS($AF$2:AF43),$AF$2:$AF$1001,0),0), INDEX($AM$1004:$BM$1004,1,MATCH(COLUMNS($AM$1006:AX1006),$AM$1006:$BM$1006,0)))),"Fix")))</f>
        <v xml:space="preserve"> </v>
      </c>
      <c r="N43" s="4" t="str">
        <f ca="1">IF(OR(INDEX($AG$2:$AG$1001,MATCH(ROWS($AF$2:AF43),$AF$2:$AF$1001,0),1)&gt;=100000,INDEX($AM$1005:$BM$1005,1,MATCH(COLUMNS($AM$1006:AY1006),$AM$1006:$BM$1006,0))&gt;=100000), " ",IF(INDEX($AM$2:$BM$1001,MATCH(ROWS($AF$2:AF43),$AF$2:$AF$1001,0),MATCH(COLUMNS($AM$1006:AY1006),$AM$1006:$BM$1006,0)), HYPERLINK("#",""), HYPERLINK(CONCATENATE("#metadata!", ADDRESS(INDEX($AH$2:$AH$1001,MATCH(ROWS($AF$2:AF43),$AF$2:$AF$1001,0),0), INDEX($AM$1004:$BM$1004,1,MATCH(COLUMNS($AM$1006:AY1006),$AM$1006:$BM$1006,0)))),"Fix")))</f>
        <v xml:space="preserve"> </v>
      </c>
      <c r="O43" s="4" t="str">
        <f ca="1">IF(OR(INDEX($AG$2:$AG$1001,MATCH(ROWS($AF$2:AF43),$AF$2:$AF$1001,0),1)&gt;=100000,INDEX($AM$1005:$BM$1005,1,MATCH(COLUMNS($AM$1006:AZ1006),$AM$1006:$BM$1006,0))&gt;=100000), " ",IF(INDEX($AM$2:$BM$1001,MATCH(ROWS($AF$2:AF43),$AF$2:$AF$1001,0),MATCH(COLUMNS($AM$1006:AZ1006),$AM$1006:$BM$1006,0)), HYPERLINK("#",""), HYPERLINK(CONCATENATE("#metadata!", ADDRESS(INDEX($AH$2:$AH$1001,MATCH(ROWS($AF$2:AF43),$AF$2:$AF$1001,0),0), INDEX($AM$1004:$BM$1004,1,MATCH(COLUMNS($AM$1006:AZ1006),$AM$1006:$BM$1006,0)))),"Fix")))</f>
        <v xml:space="preserve"> </v>
      </c>
      <c r="P43" s="4" t="str">
        <f ca="1">IF(OR(INDEX($AG$2:$AG$1001,MATCH(ROWS($AF$2:AF43),$AF$2:$AF$1001,0),1)&gt;=100000,INDEX($AM$1005:$BM$1005,1,MATCH(COLUMNS($AM$1006:BA1006),$AM$1006:$BM$1006,0))&gt;=100000), " ",IF(INDEX($AM$2:$BM$1001,MATCH(ROWS($AF$2:AF43),$AF$2:$AF$1001,0),MATCH(COLUMNS($AM$1006:BA1006),$AM$1006:$BM$1006,0)), HYPERLINK("#",""), HYPERLINK(CONCATENATE("#metadata!", ADDRESS(INDEX($AH$2:$AH$1001,MATCH(ROWS($AF$2:AF43),$AF$2:$AF$1001,0),0), INDEX($AM$1004:$BM$1004,1,MATCH(COLUMNS($AM$1006:BA1006),$AM$1006:$BM$1006,0)))),"Fix")))</f>
        <v xml:space="preserve"> </v>
      </c>
      <c r="Q43" s="4" t="str">
        <f ca="1">IF(OR(INDEX($AG$2:$AG$1001,MATCH(ROWS($AF$2:AF43),$AF$2:$AF$1001,0),1)&gt;=100000,INDEX($AM$1005:$BM$1005,1,MATCH(COLUMNS($AM$1006:BB1006),$AM$1006:$BM$1006,0))&gt;=100000), " ",IF(INDEX($AM$2:$BM$1001,MATCH(ROWS($AF$2:AF43),$AF$2:$AF$1001,0),MATCH(COLUMNS($AM$1006:BB1006),$AM$1006:$BM$1006,0)), HYPERLINK("#",""), HYPERLINK(CONCATENATE("#metadata!", ADDRESS(INDEX($AH$2:$AH$1001,MATCH(ROWS($AF$2:AF43),$AF$2:$AF$1001,0),0), INDEX($AM$1004:$BM$1004,1,MATCH(COLUMNS($AM$1006:BB1006),$AM$1006:$BM$1006,0)))),"Fix")))</f>
        <v xml:space="preserve"> </v>
      </c>
      <c r="R43" s="4" t="str">
        <f ca="1">IF(OR(INDEX($AG$2:$AG$1001,MATCH(ROWS($AF$2:AF43),$AF$2:$AF$1001,0),1)&gt;=100000,INDEX($AM$1005:$BM$1005,1,MATCH(COLUMNS($AM$1006:BC1006),$AM$1006:$BM$1006,0))&gt;=100000), " ",IF(INDEX($AM$2:$BM$1001,MATCH(ROWS($AF$2:AF43),$AF$2:$AF$1001,0),MATCH(COLUMNS($AM$1006:BC1006),$AM$1006:$BM$1006,0)), HYPERLINK("#",""), HYPERLINK(CONCATENATE("#metadata!", ADDRESS(INDEX($AH$2:$AH$1001,MATCH(ROWS($AF$2:AF43),$AF$2:$AF$1001,0),0), INDEX($AM$1004:$BM$1004,1,MATCH(COLUMNS($AM$1006:BC1006),$AM$1006:$BM$1006,0)))),"Fix")))</f>
        <v xml:space="preserve"> </v>
      </c>
      <c r="S43" s="4" t="str">
        <f ca="1">IF(OR(INDEX($AG$2:$AG$1001,MATCH(ROWS($AF$2:AF43),$AF$2:$AF$1001,0),1)&gt;=100000,INDEX($AM$1005:$BM$1005,1,MATCH(COLUMNS($AM$1006:BD1006),$AM$1006:$BM$1006,0))&gt;=100000), " ",IF(INDEX($AM$2:$BM$1001,MATCH(ROWS($AF$2:AF43),$AF$2:$AF$1001,0),MATCH(COLUMNS($AM$1006:BD1006),$AM$1006:$BM$1006,0)), HYPERLINK("#",""), HYPERLINK(CONCATENATE("#metadata!", ADDRESS(INDEX($AH$2:$AH$1001,MATCH(ROWS($AF$2:AF43),$AF$2:$AF$1001,0),0), INDEX($AM$1004:$BM$1004,1,MATCH(COLUMNS($AM$1006:BD1006),$AM$1006:$BM$1006,0)))),"Fix")))</f>
        <v xml:space="preserve"> </v>
      </c>
      <c r="T43" s="4" t="str">
        <f ca="1">IF(OR(INDEX($AG$2:$AG$1001,MATCH(ROWS($AF$2:AF43),$AF$2:$AF$1001,0),1)&gt;=100000,INDEX($AM$1005:$BM$1005,1,MATCH(COLUMNS($AM$1006:BE1006),$AM$1006:$BM$1006,0))&gt;=100000), " ",IF(INDEX($AM$2:$BM$1001,MATCH(ROWS($AF$2:AF43),$AF$2:$AF$1001,0),MATCH(COLUMNS($AM$1006:BE1006),$AM$1006:$BM$1006,0)), HYPERLINK("#",""), HYPERLINK(CONCATENATE("#metadata!", ADDRESS(INDEX($AH$2:$AH$1001,MATCH(ROWS($AF$2:AF43),$AF$2:$AF$1001,0),0), INDEX($AM$1004:$BM$1004,1,MATCH(COLUMNS($AM$1006:BE1006),$AM$1006:$BM$1006,0)))),"Fix")))</f>
        <v xml:space="preserve"> </v>
      </c>
      <c r="U43" s="4" t="str">
        <f ca="1">IF(OR(INDEX($AG$2:$AG$1001,MATCH(ROWS($AF$2:AF43),$AF$2:$AF$1001,0),1)&gt;=100000,INDEX($AM$1005:$BM$1005,1,MATCH(COLUMNS($AM$1006:BF1006),$AM$1006:$BM$1006,0))&gt;=100000), " ",IF(INDEX($AM$2:$BM$1001,MATCH(ROWS($AF$2:AF43),$AF$2:$AF$1001,0),MATCH(COLUMNS($AM$1006:BF1006),$AM$1006:$BM$1006,0)), HYPERLINK("#",""), HYPERLINK(CONCATENATE("#metadata!", ADDRESS(INDEX($AH$2:$AH$1001,MATCH(ROWS($AF$2:AF43),$AF$2:$AF$1001,0),0), INDEX($AM$1004:$BM$1004,1,MATCH(COLUMNS($AM$1006:BF1006),$AM$1006:$BM$1006,0)))),"Fix")))</f>
        <v xml:space="preserve"> </v>
      </c>
      <c r="V43" s="4" t="str">
        <f ca="1">IF(OR(INDEX($AG$2:$AG$1001,MATCH(ROWS($AF$2:AF43),$AF$2:$AF$1001,0),1)&gt;=100000,INDEX($AM$1005:$BM$1005,1,MATCH(COLUMNS($AM$1006:BG1006),$AM$1006:$BM$1006,0))&gt;=100000), " ",IF(INDEX($AM$2:$BM$1001,MATCH(ROWS($AF$2:AF43),$AF$2:$AF$1001,0),MATCH(COLUMNS($AM$1006:BG1006),$AM$1006:$BM$1006,0)), HYPERLINK("#",""), HYPERLINK(CONCATENATE("#metadata!", ADDRESS(INDEX($AH$2:$AH$1001,MATCH(ROWS($AF$2:AF43),$AF$2:$AF$1001,0),0), INDEX($AM$1004:$BM$1004,1,MATCH(COLUMNS($AM$1006:BG1006),$AM$1006:$BM$1006,0)))),"Fix")))</f>
        <v xml:space="preserve"> </v>
      </c>
      <c r="W43" s="4" t="str">
        <f ca="1">IF(OR(INDEX($AG$2:$AG$1001,MATCH(ROWS($AF$2:AF43),$AF$2:$AF$1001,0),1)&gt;=100000,INDEX($AM$1005:$BM$1005,1,MATCH(COLUMNS($AM$1006:BH1006),$AM$1006:$BM$1006,0))&gt;=100000), " ",IF(INDEX($AM$2:$BM$1001,MATCH(ROWS($AF$2:AF43),$AF$2:$AF$1001,0),MATCH(COLUMNS($AM$1006:BH1006),$AM$1006:$BM$1006,0)), HYPERLINK("#",""), HYPERLINK(CONCATENATE("#metadata!", ADDRESS(INDEX($AH$2:$AH$1001,MATCH(ROWS($AF$2:AF43),$AF$2:$AF$1001,0),0), INDEX($AM$1004:$BM$1004,1,MATCH(COLUMNS($AM$1006:BH1006),$AM$1006:$BM$1006,0)))),"Fix")))</f>
        <v xml:space="preserve"> </v>
      </c>
      <c r="X43" s="4" t="str">
        <f ca="1">IF(OR(INDEX($AG$2:$AG$1001,MATCH(ROWS($AF$2:AF43),$AF$2:$AF$1001,0),1)&gt;=100000,INDEX($AM$1005:$BM$1005,1,MATCH(COLUMNS($AM$1006:BI1006),$AM$1006:$BM$1006,0))&gt;=100000), " ",IF(INDEX($AM$2:$BM$1001,MATCH(ROWS($AF$2:AF43),$AF$2:$AF$1001,0),MATCH(COLUMNS($AM$1006:BI1006),$AM$1006:$BM$1006,0)), HYPERLINK("#",""), HYPERLINK(CONCATENATE("#metadata!", ADDRESS(INDEX($AH$2:$AH$1001,MATCH(ROWS($AF$2:AF43),$AF$2:$AF$1001,0),0), INDEX($AM$1004:$BM$1004,1,MATCH(COLUMNS($AM$1006:BI1006),$AM$1006:$BM$1006,0)))),"Fix")))</f>
        <v xml:space="preserve"> </v>
      </c>
      <c r="Y43" s="4" t="str">
        <f ca="1">IF(OR(INDEX($AG$2:$AG$1001,MATCH(ROWS($AF$2:AF43),$AF$2:$AF$1001,0),1)&gt;=100000,INDEX($AM$1005:$BM$1005,1,MATCH(COLUMNS($AM$1006:BJ1006),$AM$1006:$BM$1006,0))&gt;=100000), " ",IF(INDEX($AM$2:$BM$1001,MATCH(ROWS($AF$2:AF43),$AF$2:$AF$1001,0),MATCH(COLUMNS($AM$1006:BJ1006),$AM$1006:$BM$1006,0)), HYPERLINK("#",""), HYPERLINK(CONCATENATE("#metadata!", ADDRESS(INDEX($AH$2:$AH$1001,MATCH(ROWS($AF$2:AF43),$AF$2:$AF$1001,0),0), INDEX($AM$1004:$BM$1004,1,MATCH(COLUMNS($AM$1006:BJ1006),$AM$1006:$BM$1006,0)))),"Fix")))</f>
        <v xml:space="preserve"> </v>
      </c>
      <c r="Z43" s="4" t="str">
        <f ca="1">IF(OR(INDEX($AG$2:$AG$1001,MATCH(ROWS($AF$2:AF43),$AF$2:$AF$1001,0),1)&gt;=100000,INDEX($AM$1005:$BM$1005,1,MATCH(COLUMNS($AM$1006:BK1006),$AM$1006:$BM$1006,0))&gt;=100000), " ",IF(INDEX($AM$2:$BM$1001,MATCH(ROWS($AF$2:AF43),$AF$2:$AF$1001,0),MATCH(COLUMNS($AM$1006:BK1006),$AM$1006:$BM$1006,0)), HYPERLINK("#",""), HYPERLINK(CONCATENATE("#metadata!", ADDRESS(INDEX($AH$2:$AH$1001,MATCH(ROWS($AF$2:AF43),$AF$2:$AF$1001,0),0), INDEX($AM$1004:$BM$1004,1,MATCH(COLUMNS($AM$1006:BK1006),$AM$1006:$BM$1006,0)))),"Fix")))</f>
        <v xml:space="preserve"> </v>
      </c>
      <c r="AA43" s="4" t="str">
        <f ca="1">IF(OR(INDEX($AG$2:$AG$1001,MATCH(ROWS($AF$2:AF43),$AF$2:$AF$1001,0),1)&gt;=100000,INDEX($AM$1005:$BM$1005,1,MATCH(COLUMNS($AM$1006:BL1006),$AM$1006:$BM$1006,0))&gt;=100000), " ",IF(INDEX($AM$2:$BM$1001,MATCH(ROWS($AF$2:AF43),$AF$2:$AF$1001,0),MATCH(COLUMNS($AM$1006:BL1006),$AM$1006:$BM$1006,0)), HYPERLINK("#",""), HYPERLINK(CONCATENATE("#metadata!", ADDRESS(INDEX($AH$2:$AH$1001,MATCH(ROWS($AF$2:AF43),$AF$2:$AF$1001,0),0), INDEX($AM$1004:$BM$1004,1,MATCH(COLUMNS($AM$1006:BL1006),$AM$1006:$BM$1006,0)))),"Fix")))</f>
        <v xml:space="preserve"> </v>
      </c>
      <c r="AB43" s="4" t="str">
        <f ca="1">IF(OR(INDEX($AG$2:$AG$1001,MATCH(ROWS($AF$2:AF43),$AF$2:$AF$1001,0),1)&gt;=100000,INDEX($AM$1005:$BM$1005,1,MATCH(COLUMNS($AM$1006:BM1006),$AM$1006:$BM$1006,0))&gt;=100000), " ",IF(INDEX($AM$2:$BM$1001,MATCH(ROWS($AF$2:AF43),$AF$2:$AF$1001,0),MATCH(COLUMNS($AM$1006:BM1006),$AM$1006:$BM$1006,0)), HYPERLINK("#",""), HYPERLINK(CONCATENATE("#metadata!", ADDRESS(INDEX($AH$2:$AH$1001,MATCH(ROWS($AF$2:AF43),$AF$2:$AF$1001,0),0), INDEX($AM$1004:$BM$1004,1,MATCH(COLUMNS($AM$1006:BM1006),$AM$1006:$BM$1006,0)))),"Fix")))</f>
        <v xml:space="preserve"> </v>
      </c>
      <c r="AF43">
        <v>42</v>
      </c>
      <c r="AG43">
        <v>100043</v>
      </c>
      <c r="AH43">
        <v>43</v>
      </c>
      <c r="AI43" t="b">
        <f t="shared" si="0"/>
        <v>1</v>
      </c>
      <c r="AJ43" t="b">
        <f>COUNTBLANK(metadata!B43:AB43)=COLUMNS(metadata!B43:AB43)</f>
        <v>1</v>
      </c>
      <c r="AK43" t="str">
        <v/>
      </c>
      <c r="AM43" t="b">
        <f ca="1">AND(IF(metadata!B43="",FALSE,TRUE),COUNTIF(metadata!B:B, metadata!B43) = 1,NOT(ISERROR(SUMPRODUCT(SEARCH(MID(metadata!B43,ROW(INDIRECT("1:"&amp;LEN(metadata!B43))), 1),"0123456789abcdefghijklmnopqrstuvwxyzABCDEFGHIJKLMNOPQRSTUVWXYZ.")))))</f>
        <v>0</v>
      </c>
      <c r="AN43" t="b">
        <f ca="1">OR(AND(IF(metadata!C43="",FALSE,TRUE),OR(EXACT(metadata!C43,"missing: not collected"),EXACT(metadata!C43,"missing: not provided"),EXACT(metadata!C43,"missing: restricted access"))),AND(IF(metadata!C43="",FALSE,TRUE),AND(AND(IFERROR(INT(LEFT(metadata!C43,4))&gt;1900,FALSE),IFERROR(INT(LEFT(metadata!C43,4))&lt;=YEAR(NOW()),FALSE)), OR(MID(metadata!C43,5,1)="", AND(AND(MID(metadata!C43,5,1)="-",IFERROR(INT(MID(metadata!C43,6,1))&gt;=0,FALSE),IFERROR(INT(MID(metadata!C43,6,1))&lt;=1,FALSE),NOT(MID(metadata!C43,7,1)=""),IFERROR(INT(MID(metadata!C43,6,2))&gt;=1,FALSE),IFERROR(INT(MID(metadata!C43,6,2))&lt;=12,FALSE)), OR(MID(metadata!C43,8,1)="", AND(AND(MID(metadata!C43,8,1)="-",IFERROR(INT(MID(metadata!C43,9,1))&gt;=0,FALSE),IFERROR(INT(MID(metadata!C43,9,1))&lt;=3,FALSE),NOT(MID(metadata!C43,10,1)=""),IFERROR(INT(MID(metadata!C43,9,2))&gt;=1,FALSE),IFERROR(INT(MID(metadata!C43,9,2))&lt;=31,FALSE)), OR(MID(metadata!C43,11,1)="", AND(AND(MID(metadata!C43,11,1)=" ",IFERROR(INT(MID(metadata!C43,12,1))&gt;=0,FALSE),IFERROR(INT(MID(metadata!C43,12,1))&lt;=2,FALSE),NOT(MID(metadata!C43,13,1)=""),IFERROR(INT(MID(metadata!C43,12,2))&gt;=0,FALSE),IFERROR(INT(MID(metadata!C43,12,2))&lt;=23,FALSE)), OR(MID(metadata!C43,14,1)="", AND(AND(MID(metadata!C43,14,1)=":",IFERROR(INT(MID(metadata!C43,15,1))&gt;=0,FALSE),IFERROR(INT(MID(metadata!C43,15,1))&lt;=5,FALSE),NOT(MID(metadata!C43,16,1)=""),IFERROR(INT(MID(metadata!C43,15,2))&gt;=0,FALSE),IFERROR(INT(MID(metadata!C43,15,2))&lt;=59,FALSE)), OR(MID(metadata!C43,17,1)="", AND(AND(MID(metadata!C43,17,1)=":",IFERROR(INT(MID(metadata!C43,18,1))&gt;=0,FALSE),IFERROR(INT(MID(metadata!C43,18,1))&lt;=5,FALSE),NOT(MID(metadata!C43,19,1)=""),IFERROR(INT(MID(metadata!C43,18,2))&gt;=0,FALSE),IFERROR(INT(MID(metadata!C43,18,2))&lt;=59,FALSE)), LEN(metadata!C43)&lt;=19)))))))))))))</f>
        <v>0</v>
      </c>
      <c r="AO43" t="b">
        <f>AND(IF(metadata!D43="",FALSE,TRUE),EXACT(metadata!D43,"Not applicable"))</f>
        <v>0</v>
      </c>
      <c r="AP43" t="b">
        <f>IF(metadata!E43="",FALSE,TRUE)</f>
        <v>0</v>
      </c>
      <c r="AQ43" t="b">
        <f>OR(AND(IF(metadata!F43="",FALSE,TRUE),OR(EXACT(metadata!F43,"missing: not collected"),EXACT(metadata!F43,"missing: not provided"))),AND(IF(metadata!F43="",FALSE,TRUE),OR(EXACT(metadata!F43,"TRUE"),EXACT(metadata!F43,"FALSE"))))</f>
        <v>0</v>
      </c>
      <c r="AR43" t="b">
        <f>OR(AND(IF(metadata!G43="",FALSE,TRUE),OR(EXACT(metadata!G43,"missing: not collected"),EXACT(metadata!G43,"missing: not provided"),EXACT(metadata!G43,"missing: restricted access"))),AND(IF(metadata!G43="",FALSE,ISNUMBER(VALUE(metadata!G43))),metadata!G43&gt;=-413))</f>
        <v>0</v>
      </c>
      <c r="AS43" t="b">
        <f>AND(IF(metadata!H43="",FALSE,TRUE),EXACT(metadata!H43,"meters"))</f>
        <v>0</v>
      </c>
      <c r="AT43" t="b">
        <f>AND(IF(metadata!I43="",FALSE,TRUE),OR(EXACT(metadata!I43,"Host-associated"),EXACT(metadata!I43,"Free-living")))</f>
        <v>0</v>
      </c>
      <c r="AU43" t="b">
        <f>AND(IF(metadata!J43="",FALSE,TRUE),OR(EXACT(metadata!J43,"Animal"),EXACT(metadata!J43,"Fungus"),EXACT(metadata!J43,"Plant"),EXACT(metadata!J43,"Saline"),EXACT(metadata!J43,"Non-saline")))</f>
        <v>0</v>
      </c>
      <c r="AV43" t="b">
        <f>AND(IF(metadata!K43="",FALSE,TRUE),OR(EXACT(metadata!K43,"Plant secretion"),EXACT(metadata!K43,"Plant rhizosphere"),EXACT(metadata!K43,"Plant surface"),EXACT(metadata!K43,"Plant corpus"),EXACT(metadata!K43,"Fungus surface"),EXACT(metadata!K43,"Fungus corpus"),EXACT(metadata!K43,"Animal surface"),EXACT(metadata!K43,"Animal proximal gut"),EXACT(metadata!K43,"Animal corpus"),EXACT(metadata!K43,"Animal distal gut"),EXACT(metadata!K43,"Animal secretion"),EXACT(metadata!K43,"Sub-surface (non-saline)"),EXACT(metadata!K43,"Surface (non-saline)"),EXACT(metadata!K43,"Water (non-saline)"),EXACT(metadata!K43,"Soil (non-saline)"),EXACT(metadata!K43,"Aerosol (non-saline)"),EXACT(metadata!K43,"Sediment (non-saline)"),EXACT(metadata!K43,"Surface (saline)"),EXACT(metadata!K43,"Water (saline)"),EXACT(metadata!K43,"Hypersaline (saline)"),EXACT(metadata!K43,"Aerosol (saline)"),EXACT(metadata!K43,"Sediment (saline)")))</f>
        <v>0</v>
      </c>
      <c r="AW43" t="b">
        <f>IF(metadata!L43="",FALSE,TRUE)</f>
        <v>0</v>
      </c>
      <c r="AX43" t="b">
        <f>IF(metadata!M43="",FALSE,TRUE)</f>
        <v>0</v>
      </c>
      <c r="AY43" t="b">
        <f>IF(metadata!N43="",FALSE,TRUE)</f>
        <v>0</v>
      </c>
      <c r="AZ43" t="b">
        <f>OR(AND(IF(metadata!O43="",FALSE,TRUE),OR(EXACT(metadata!O43,"missing: not collected"),EXACT(metadata!O43,"missing: not provided"),EXACT(metadata!O43,"missing: restricted access"))),AND(IF(metadata!O43="",FALSE,TRUE),OR(EXACT(metadata!O43,"air"),EXACT(metadata!O43,"built environment"),EXACT(metadata!O43,"host-associated"),EXACT(metadata!O43,"human-associated"),EXACT(metadata!O43,"human-skin"),EXACT(metadata!O43,"human-oral"),EXACT(metadata!O43,"human-gut"),EXACT(metadata!O43,"human-vaginal"),EXACT(metadata!O43,"microbial mat/biofilm"),EXACT(metadata!O43,"misc environment"),EXACT(metadata!O43,"plant-associated"),EXACT(metadata!O43,"sediment"),EXACT(metadata!O43,"soil"),EXACT(metadata!O43,"wastewater/sludge"),EXACT(metadata!O43,"water"))))</f>
        <v>0</v>
      </c>
      <c r="BA43" t="b">
        <f>IF(metadata!P43="",FALSE,TRUE)</f>
        <v>0</v>
      </c>
      <c r="BB43" t="b">
        <f>IF(metadata!Q43="",FALSE,TRUE)</f>
        <v>0</v>
      </c>
      <c r="BC43" t="b">
        <f>OR(AND(IF(metadata!R43="",FALSE,TRUE),OR(EXACT(metadata!R43,"missing: not collected"),EXACT(metadata!R43,"missing: not provided"),EXACT(metadata!R43,"missing: restricted access"))),AND(IF(metadata!R43="",FALSE,ISNUMBER(VALUE(metadata!R43))),metadata!R43&gt;=-90,metadata!R43&lt;=90))</f>
        <v>0</v>
      </c>
      <c r="BD43" t="b">
        <f>AND(IF(metadata!S43="",FALSE,TRUE),EXACT(metadata!S43,"Decimal degrees"))</f>
        <v>0</v>
      </c>
      <c r="BE43" t="b">
        <f>OR(AND(IF(metadata!T43="",FALSE,TRUE),OR(EXACT(metadata!T43,"missing: not collected"),EXACT(metadata!T43,"missing: not provided"),EXACT(metadata!T43,"missing: restricted access"))),AND(IF(metadata!T43="",FALSE,ISNUMBER(VALUE(metadata!T43))),metadata!T43&gt;=-180,metadata!T43&lt;=180))</f>
        <v>0</v>
      </c>
      <c r="BF43" t="b">
        <f>AND(IF(metadata!U43="",FALSE,TRUE),EXACT(metadata!U43,"Decimal degrees"))</f>
        <v>0</v>
      </c>
      <c r="BG43" t="b">
        <f>IF(metadata!V43="",FALSE,TRUE)</f>
        <v>0</v>
      </c>
      <c r="BH43" t="b">
        <f>OR(AND(IF(metadata!W43="",FALSE,TRUE),OR(EXACT(metadata!W43,"missing: not collected"),EXACT(metadata!W43,"missing: not provided"),EXACT(metadata!W43,"missing: restricted access"))),AND(IF(metadata!W43="",FALSE,TRUE),OR(EXACT(metadata!W43,"TRUE"),EXACT(metadata!W43,"FALSE"))))</f>
        <v>0</v>
      </c>
      <c r="BI43" t="b">
        <f>AND(IF(metadata!X43="",FALSE,TRUE),EXACT(metadata!X43,"other"))</f>
        <v>0</v>
      </c>
      <c r="BJ43" t="b">
        <f>IF(metadata!Y43="",FALSE,TRUE)</f>
        <v>0</v>
      </c>
      <c r="BK43" t="b">
        <f>OR(AND(IF(metadata!Z43="",FALSE,TRUE),OR(EXACT(metadata!Z43,"missing: not collected"),EXACT(metadata!Z43,"missing: not provided"))),AND(IF(metadata!Z43="",FALSE,IF(ISERROR(INT(metadata!Z43)),FALSE,INT(metadata!Z43)=metadata!Z43)),metadata!Z43&gt;0))</f>
        <v>0</v>
      </c>
      <c r="BL43" t="b">
        <f>AND(IF(metadata!AA43="",FALSE,TRUE),EXACT(metadata!AA43,"Not applicable"))</f>
        <v>0</v>
      </c>
      <c r="BM43" t="b">
        <f>IF(metadata!AB43="",FALSE,TRUE)</f>
        <v>0</v>
      </c>
    </row>
    <row r="44" spans="1:65" x14ac:dyDescent="0.2">
      <c r="A44" s="5" t="str">
        <f ca="1">IF(B44=" "," ",HYPERLINK(CONCATENATE("#metadata!",ADDRESS(INDEX($AH$2:$AH$1001,MATCH(ROWS($AF$2:AF44),$AF$2:$AF$1001,0),0),1)),INDEX($AK$2:$AK$1001,MATCH(ROWS($AF$2:AF44),$AF$2:$AF$1001,0),0)))</f>
        <v xml:space="preserve"> </v>
      </c>
      <c r="B44" s="4" t="str">
        <f ca="1">IF(OR(INDEX($AG$2:$AG$1001,MATCH(ROWS($AF$2:AF44),$AF$2:$AF$1001,0),1)&gt;=100000,INDEX($AM$1005:$BM$1005,1,MATCH(COLUMNS($AM$1006:AM1006),$AM$1006:$BM$1006,0))&gt;=100000), " ",IF(INDEX($AM$2:$BM$1001,MATCH(ROWS($AF$2:AF44),$AF$2:$AF$1001,0),MATCH(COLUMNS($AM$1006:AM1006),$AM$1006:$BM$1006,0)), HYPERLINK("#",""), HYPERLINK(CONCATENATE("#metadata!", ADDRESS(INDEX($AH$2:$AH$1001,MATCH(ROWS($AF$2:AF44),$AF$2:$AF$1001,0),0), INDEX($AM$1004:$BM$1004,1,MATCH(COLUMNS($AM$1006:AM1006),$AM$1006:$BM$1006,0)))),"Fix")))</f>
        <v xml:space="preserve"> </v>
      </c>
      <c r="C44" s="4" t="str">
        <f ca="1">IF(OR(INDEX($AG$2:$AG$1001,MATCH(ROWS($AF$2:AF44),$AF$2:$AF$1001,0),1)&gt;=100000,INDEX($AM$1005:$BM$1005,1,MATCH(COLUMNS($AM$1006:AN1006),$AM$1006:$BM$1006,0))&gt;=100000), " ",IF(INDEX($AM$2:$BM$1001,MATCH(ROWS($AF$2:AF44),$AF$2:$AF$1001,0),MATCH(COLUMNS($AM$1006:AN1006),$AM$1006:$BM$1006,0)), HYPERLINK("#",""), HYPERLINK(CONCATENATE("#metadata!", ADDRESS(INDEX($AH$2:$AH$1001,MATCH(ROWS($AF$2:AF44),$AF$2:$AF$1001,0),0), INDEX($AM$1004:$BM$1004,1,MATCH(COLUMNS($AM$1006:AN1006),$AM$1006:$BM$1006,0)))),"Fix")))</f>
        <v xml:space="preserve"> </v>
      </c>
      <c r="D44" s="4" t="str">
        <f ca="1">IF(OR(INDEX($AG$2:$AG$1001,MATCH(ROWS($AF$2:AF44),$AF$2:$AF$1001,0),1)&gt;=100000,INDEX($AM$1005:$BM$1005,1,MATCH(COLUMNS($AM$1006:AO1006),$AM$1006:$BM$1006,0))&gt;=100000), " ",IF(INDEX($AM$2:$BM$1001,MATCH(ROWS($AF$2:AF44),$AF$2:$AF$1001,0),MATCH(COLUMNS($AM$1006:AO1006),$AM$1006:$BM$1006,0)), HYPERLINK("#",""), HYPERLINK(CONCATENATE("#metadata!", ADDRESS(INDEX($AH$2:$AH$1001,MATCH(ROWS($AF$2:AF44),$AF$2:$AF$1001,0),0), INDEX($AM$1004:$BM$1004,1,MATCH(COLUMNS($AM$1006:AO1006),$AM$1006:$BM$1006,0)))),"Fix")))</f>
        <v xml:space="preserve"> </v>
      </c>
      <c r="E44" s="4" t="str">
        <f ca="1">IF(OR(INDEX($AG$2:$AG$1001,MATCH(ROWS($AF$2:AF44),$AF$2:$AF$1001,0),1)&gt;=100000,INDEX($AM$1005:$BM$1005,1,MATCH(COLUMNS($AM$1006:AP1006),$AM$1006:$BM$1006,0))&gt;=100000), " ",IF(INDEX($AM$2:$BM$1001,MATCH(ROWS($AF$2:AF44),$AF$2:$AF$1001,0),MATCH(COLUMNS($AM$1006:AP1006),$AM$1006:$BM$1006,0)), HYPERLINK("#",""), HYPERLINK(CONCATENATE("#metadata!", ADDRESS(INDEX($AH$2:$AH$1001,MATCH(ROWS($AF$2:AF44),$AF$2:$AF$1001,0),0), INDEX($AM$1004:$BM$1004,1,MATCH(COLUMNS($AM$1006:AP1006),$AM$1006:$BM$1006,0)))),"Fix")))</f>
        <v xml:space="preserve"> </v>
      </c>
      <c r="F44" s="4" t="str">
        <f ca="1">IF(OR(INDEX($AG$2:$AG$1001,MATCH(ROWS($AF$2:AF44),$AF$2:$AF$1001,0),1)&gt;=100000,INDEX($AM$1005:$BM$1005,1,MATCH(COLUMNS($AM$1006:AQ1006),$AM$1006:$BM$1006,0))&gt;=100000), " ",IF(INDEX($AM$2:$BM$1001,MATCH(ROWS($AF$2:AF44),$AF$2:$AF$1001,0),MATCH(COLUMNS($AM$1006:AQ1006),$AM$1006:$BM$1006,0)), HYPERLINK("#",""), HYPERLINK(CONCATENATE("#metadata!", ADDRESS(INDEX($AH$2:$AH$1001,MATCH(ROWS($AF$2:AF44),$AF$2:$AF$1001,0),0), INDEX($AM$1004:$BM$1004,1,MATCH(COLUMNS($AM$1006:AQ1006),$AM$1006:$BM$1006,0)))),"Fix")))</f>
        <v xml:space="preserve"> </v>
      </c>
      <c r="G44" s="4" t="str">
        <f ca="1">IF(OR(INDEX($AG$2:$AG$1001,MATCH(ROWS($AF$2:AF44),$AF$2:$AF$1001,0),1)&gt;=100000,INDEX($AM$1005:$BM$1005,1,MATCH(COLUMNS($AM$1006:AR1006),$AM$1006:$BM$1006,0))&gt;=100000), " ",IF(INDEX($AM$2:$BM$1001,MATCH(ROWS($AF$2:AF44),$AF$2:$AF$1001,0),MATCH(COLUMNS($AM$1006:AR1006),$AM$1006:$BM$1006,0)), HYPERLINK("#",""), HYPERLINK(CONCATENATE("#metadata!", ADDRESS(INDEX($AH$2:$AH$1001,MATCH(ROWS($AF$2:AF44),$AF$2:$AF$1001,0),0), INDEX($AM$1004:$BM$1004,1,MATCH(COLUMNS($AM$1006:AR1006),$AM$1006:$BM$1006,0)))),"Fix")))</f>
        <v xml:space="preserve"> </v>
      </c>
      <c r="H44" s="4" t="str">
        <f ca="1">IF(OR(INDEX($AG$2:$AG$1001,MATCH(ROWS($AF$2:AF44),$AF$2:$AF$1001,0),1)&gt;=100000,INDEX($AM$1005:$BM$1005,1,MATCH(COLUMNS($AM$1006:AS1006),$AM$1006:$BM$1006,0))&gt;=100000), " ",IF(INDEX($AM$2:$BM$1001,MATCH(ROWS($AF$2:AF44),$AF$2:$AF$1001,0),MATCH(COLUMNS($AM$1006:AS1006),$AM$1006:$BM$1006,0)), HYPERLINK("#",""), HYPERLINK(CONCATENATE("#metadata!", ADDRESS(INDEX($AH$2:$AH$1001,MATCH(ROWS($AF$2:AF44),$AF$2:$AF$1001,0),0), INDEX($AM$1004:$BM$1004,1,MATCH(COLUMNS($AM$1006:AS1006),$AM$1006:$BM$1006,0)))),"Fix")))</f>
        <v xml:space="preserve"> </v>
      </c>
      <c r="I44" s="4" t="str">
        <f ca="1">IF(OR(INDEX($AG$2:$AG$1001,MATCH(ROWS($AF$2:AF44),$AF$2:$AF$1001,0),1)&gt;=100000,INDEX($AM$1005:$BM$1005,1,MATCH(COLUMNS($AM$1006:AT1006),$AM$1006:$BM$1006,0))&gt;=100000), " ",IF(INDEX($AM$2:$BM$1001,MATCH(ROWS($AF$2:AF44),$AF$2:$AF$1001,0),MATCH(COLUMNS($AM$1006:AT1006),$AM$1006:$BM$1006,0)), HYPERLINK("#",""), HYPERLINK(CONCATENATE("#metadata!", ADDRESS(INDEX($AH$2:$AH$1001,MATCH(ROWS($AF$2:AF44),$AF$2:$AF$1001,0),0), INDEX($AM$1004:$BM$1004,1,MATCH(COLUMNS($AM$1006:AT1006),$AM$1006:$BM$1006,0)))),"Fix")))</f>
        <v xml:space="preserve"> </v>
      </c>
      <c r="J44" s="4" t="str">
        <f ca="1">IF(OR(INDEX($AG$2:$AG$1001,MATCH(ROWS($AF$2:AF44),$AF$2:$AF$1001,0),1)&gt;=100000,INDEX($AM$1005:$BM$1005,1,MATCH(COLUMNS($AM$1006:AU1006),$AM$1006:$BM$1006,0))&gt;=100000), " ",IF(INDEX($AM$2:$BM$1001,MATCH(ROWS($AF$2:AF44),$AF$2:$AF$1001,0),MATCH(COLUMNS($AM$1006:AU1006),$AM$1006:$BM$1006,0)), HYPERLINK("#",""), HYPERLINK(CONCATENATE("#metadata!", ADDRESS(INDEX($AH$2:$AH$1001,MATCH(ROWS($AF$2:AF44),$AF$2:$AF$1001,0),0), INDEX($AM$1004:$BM$1004,1,MATCH(COLUMNS($AM$1006:AU1006),$AM$1006:$BM$1006,0)))),"Fix")))</f>
        <v xml:space="preserve"> </v>
      </c>
      <c r="K44" s="4" t="str">
        <f ca="1">IF(OR(INDEX($AG$2:$AG$1001,MATCH(ROWS($AF$2:AF44),$AF$2:$AF$1001,0),1)&gt;=100000,INDEX($AM$1005:$BM$1005,1,MATCH(COLUMNS($AM$1006:AV1006),$AM$1006:$BM$1006,0))&gt;=100000), " ",IF(INDEX($AM$2:$BM$1001,MATCH(ROWS($AF$2:AF44),$AF$2:$AF$1001,0),MATCH(COLUMNS($AM$1006:AV1006),$AM$1006:$BM$1006,0)), HYPERLINK("#",""), HYPERLINK(CONCATENATE("#metadata!", ADDRESS(INDEX($AH$2:$AH$1001,MATCH(ROWS($AF$2:AF44),$AF$2:$AF$1001,0),0), INDEX($AM$1004:$BM$1004,1,MATCH(COLUMNS($AM$1006:AV1006),$AM$1006:$BM$1006,0)))),"Fix")))</f>
        <v xml:space="preserve"> </v>
      </c>
      <c r="L44" s="4" t="str">
        <f ca="1">IF(OR(INDEX($AG$2:$AG$1001,MATCH(ROWS($AF$2:AF44),$AF$2:$AF$1001,0),1)&gt;=100000,INDEX($AM$1005:$BM$1005,1,MATCH(COLUMNS($AM$1006:AW1006),$AM$1006:$BM$1006,0))&gt;=100000), " ",IF(INDEX($AM$2:$BM$1001,MATCH(ROWS($AF$2:AF44),$AF$2:$AF$1001,0),MATCH(COLUMNS($AM$1006:AW1006),$AM$1006:$BM$1006,0)), HYPERLINK("#",""), HYPERLINK(CONCATENATE("#metadata!", ADDRESS(INDEX($AH$2:$AH$1001,MATCH(ROWS($AF$2:AF44),$AF$2:$AF$1001,0),0), INDEX($AM$1004:$BM$1004,1,MATCH(COLUMNS($AM$1006:AW1006),$AM$1006:$BM$1006,0)))),"Fix")))</f>
        <v xml:space="preserve"> </v>
      </c>
      <c r="M44" s="4" t="str">
        <f ca="1">IF(OR(INDEX($AG$2:$AG$1001,MATCH(ROWS($AF$2:AF44),$AF$2:$AF$1001,0),1)&gt;=100000,INDEX($AM$1005:$BM$1005,1,MATCH(COLUMNS($AM$1006:AX1006),$AM$1006:$BM$1006,0))&gt;=100000), " ",IF(INDEX($AM$2:$BM$1001,MATCH(ROWS($AF$2:AF44),$AF$2:$AF$1001,0),MATCH(COLUMNS($AM$1006:AX1006),$AM$1006:$BM$1006,0)), HYPERLINK("#",""), HYPERLINK(CONCATENATE("#metadata!", ADDRESS(INDEX($AH$2:$AH$1001,MATCH(ROWS($AF$2:AF44),$AF$2:$AF$1001,0),0), INDEX($AM$1004:$BM$1004,1,MATCH(COLUMNS($AM$1006:AX1006),$AM$1006:$BM$1006,0)))),"Fix")))</f>
        <v xml:space="preserve"> </v>
      </c>
      <c r="N44" s="4" t="str">
        <f ca="1">IF(OR(INDEX($AG$2:$AG$1001,MATCH(ROWS($AF$2:AF44),$AF$2:$AF$1001,0),1)&gt;=100000,INDEX($AM$1005:$BM$1005,1,MATCH(COLUMNS($AM$1006:AY1006),$AM$1006:$BM$1006,0))&gt;=100000), " ",IF(INDEX($AM$2:$BM$1001,MATCH(ROWS($AF$2:AF44),$AF$2:$AF$1001,0),MATCH(COLUMNS($AM$1006:AY1006),$AM$1006:$BM$1006,0)), HYPERLINK("#",""), HYPERLINK(CONCATENATE("#metadata!", ADDRESS(INDEX($AH$2:$AH$1001,MATCH(ROWS($AF$2:AF44),$AF$2:$AF$1001,0),0), INDEX($AM$1004:$BM$1004,1,MATCH(COLUMNS($AM$1006:AY1006),$AM$1006:$BM$1006,0)))),"Fix")))</f>
        <v xml:space="preserve"> </v>
      </c>
      <c r="O44" s="4" t="str">
        <f ca="1">IF(OR(INDEX($AG$2:$AG$1001,MATCH(ROWS($AF$2:AF44),$AF$2:$AF$1001,0),1)&gt;=100000,INDEX($AM$1005:$BM$1005,1,MATCH(COLUMNS($AM$1006:AZ1006),$AM$1006:$BM$1006,0))&gt;=100000), " ",IF(INDEX($AM$2:$BM$1001,MATCH(ROWS($AF$2:AF44),$AF$2:$AF$1001,0),MATCH(COLUMNS($AM$1006:AZ1006),$AM$1006:$BM$1006,0)), HYPERLINK("#",""), HYPERLINK(CONCATENATE("#metadata!", ADDRESS(INDEX($AH$2:$AH$1001,MATCH(ROWS($AF$2:AF44),$AF$2:$AF$1001,0),0), INDEX($AM$1004:$BM$1004,1,MATCH(COLUMNS($AM$1006:AZ1006),$AM$1006:$BM$1006,0)))),"Fix")))</f>
        <v xml:space="preserve"> </v>
      </c>
      <c r="P44" s="4" t="str">
        <f ca="1">IF(OR(INDEX($AG$2:$AG$1001,MATCH(ROWS($AF$2:AF44),$AF$2:$AF$1001,0),1)&gt;=100000,INDEX($AM$1005:$BM$1005,1,MATCH(COLUMNS($AM$1006:BA1006),$AM$1006:$BM$1006,0))&gt;=100000), " ",IF(INDEX($AM$2:$BM$1001,MATCH(ROWS($AF$2:AF44),$AF$2:$AF$1001,0),MATCH(COLUMNS($AM$1006:BA1006),$AM$1006:$BM$1006,0)), HYPERLINK("#",""), HYPERLINK(CONCATENATE("#metadata!", ADDRESS(INDEX($AH$2:$AH$1001,MATCH(ROWS($AF$2:AF44),$AF$2:$AF$1001,0),0), INDEX($AM$1004:$BM$1004,1,MATCH(COLUMNS($AM$1006:BA1006),$AM$1006:$BM$1006,0)))),"Fix")))</f>
        <v xml:space="preserve"> </v>
      </c>
      <c r="Q44" s="4" t="str">
        <f ca="1">IF(OR(INDEX($AG$2:$AG$1001,MATCH(ROWS($AF$2:AF44),$AF$2:$AF$1001,0),1)&gt;=100000,INDEX($AM$1005:$BM$1005,1,MATCH(COLUMNS($AM$1006:BB1006),$AM$1006:$BM$1006,0))&gt;=100000), " ",IF(INDEX($AM$2:$BM$1001,MATCH(ROWS($AF$2:AF44),$AF$2:$AF$1001,0),MATCH(COLUMNS($AM$1006:BB1006),$AM$1006:$BM$1006,0)), HYPERLINK("#",""), HYPERLINK(CONCATENATE("#metadata!", ADDRESS(INDEX($AH$2:$AH$1001,MATCH(ROWS($AF$2:AF44),$AF$2:$AF$1001,0),0), INDEX($AM$1004:$BM$1004,1,MATCH(COLUMNS($AM$1006:BB1006),$AM$1006:$BM$1006,0)))),"Fix")))</f>
        <v xml:space="preserve"> </v>
      </c>
      <c r="R44" s="4" t="str">
        <f ca="1">IF(OR(INDEX($AG$2:$AG$1001,MATCH(ROWS($AF$2:AF44),$AF$2:$AF$1001,0),1)&gt;=100000,INDEX($AM$1005:$BM$1005,1,MATCH(COLUMNS($AM$1006:BC1006),$AM$1006:$BM$1006,0))&gt;=100000), " ",IF(INDEX($AM$2:$BM$1001,MATCH(ROWS($AF$2:AF44),$AF$2:$AF$1001,0),MATCH(COLUMNS($AM$1006:BC1006),$AM$1006:$BM$1006,0)), HYPERLINK("#",""), HYPERLINK(CONCATENATE("#metadata!", ADDRESS(INDEX($AH$2:$AH$1001,MATCH(ROWS($AF$2:AF44),$AF$2:$AF$1001,0),0), INDEX($AM$1004:$BM$1004,1,MATCH(COLUMNS($AM$1006:BC1006),$AM$1006:$BM$1006,0)))),"Fix")))</f>
        <v xml:space="preserve"> </v>
      </c>
      <c r="S44" s="4" t="str">
        <f ca="1">IF(OR(INDEX($AG$2:$AG$1001,MATCH(ROWS($AF$2:AF44),$AF$2:$AF$1001,0),1)&gt;=100000,INDEX($AM$1005:$BM$1005,1,MATCH(COLUMNS($AM$1006:BD1006),$AM$1006:$BM$1006,0))&gt;=100000), " ",IF(INDEX($AM$2:$BM$1001,MATCH(ROWS($AF$2:AF44),$AF$2:$AF$1001,0),MATCH(COLUMNS($AM$1006:BD1006),$AM$1006:$BM$1006,0)), HYPERLINK("#",""), HYPERLINK(CONCATENATE("#metadata!", ADDRESS(INDEX($AH$2:$AH$1001,MATCH(ROWS($AF$2:AF44),$AF$2:$AF$1001,0),0), INDEX($AM$1004:$BM$1004,1,MATCH(COLUMNS($AM$1006:BD1006),$AM$1006:$BM$1006,0)))),"Fix")))</f>
        <v xml:space="preserve"> </v>
      </c>
      <c r="T44" s="4" t="str">
        <f ca="1">IF(OR(INDEX($AG$2:$AG$1001,MATCH(ROWS($AF$2:AF44),$AF$2:$AF$1001,0),1)&gt;=100000,INDEX($AM$1005:$BM$1005,1,MATCH(COLUMNS($AM$1006:BE1006),$AM$1006:$BM$1006,0))&gt;=100000), " ",IF(INDEX($AM$2:$BM$1001,MATCH(ROWS($AF$2:AF44),$AF$2:$AF$1001,0),MATCH(COLUMNS($AM$1006:BE1006),$AM$1006:$BM$1006,0)), HYPERLINK("#",""), HYPERLINK(CONCATENATE("#metadata!", ADDRESS(INDEX($AH$2:$AH$1001,MATCH(ROWS($AF$2:AF44),$AF$2:$AF$1001,0),0), INDEX($AM$1004:$BM$1004,1,MATCH(COLUMNS($AM$1006:BE1006),$AM$1006:$BM$1006,0)))),"Fix")))</f>
        <v xml:space="preserve"> </v>
      </c>
      <c r="U44" s="4" t="str">
        <f ca="1">IF(OR(INDEX($AG$2:$AG$1001,MATCH(ROWS($AF$2:AF44),$AF$2:$AF$1001,0),1)&gt;=100000,INDEX($AM$1005:$BM$1005,1,MATCH(COLUMNS($AM$1006:BF1006),$AM$1006:$BM$1006,0))&gt;=100000), " ",IF(INDEX($AM$2:$BM$1001,MATCH(ROWS($AF$2:AF44),$AF$2:$AF$1001,0),MATCH(COLUMNS($AM$1006:BF1006),$AM$1006:$BM$1006,0)), HYPERLINK("#",""), HYPERLINK(CONCATENATE("#metadata!", ADDRESS(INDEX($AH$2:$AH$1001,MATCH(ROWS($AF$2:AF44),$AF$2:$AF$1001,0),0), INDEX($AM$1004:$BM$1004,1,MATCH(COLUMNS($AM$1006:BF1006),$AM$1006:$BM$1006,0)))),"Fix")))</f>
        <v xml:space="preserve"> </v>
      </c>
      <c r="V44" s="4" t="str">
        <f ca="1">IF(OR(INDEX($AG$2:$AG$1001,MATCH(ROWS($AF$2:AF44),$AF$2:$AF$1001,0),1)&gt;=100000,INDEX($AM$1005:$BM$1005,1,MATCH(COLUMNS($AM$1006:BG1006),$AM$1006:$BM$1006,0))&gt;=100000), " ",IF(INDEX($AM$2:$BM$1001,MATCH(ROWS($AF$2:AF44),$AF$2:$AF$1001,0),MATCH(COLUMNS($AM$1006:BG1006),$AM$1006:$BM$1006,0)), HYPERLINK("#",""), HYPERLINK(CONCATENATE("#metadata!", ADDRESS(INDEX($AH$2:$AH$1001,MATCH(ROWS($AF$2:AF44),$AF$2:$AF$1001,0),0), INDEX($AM$1004:$BM$1004,1,MATCH(COLUMNS($AM$1006:BG1006),$AM$1006:$BM$1006,0)))),"Fix")))</f>
        <v xml:space="preserve"> </v>
      </c>
      <c r="W44" s="4" t="str">
        <f ca="1">IF(OR(INDEX($AG$2:$AG$1001,MATCH(ROWS($AF$2:AF44),$AF$2:$AF$1001,0),1)&gt;=100000,INDEX($AM$1005:$BM$1005,1,MATCH(COLUMNS($AM$1006:BH1006),$AM$1006:$BM$1006,0))&gt;=100000), " ",IF(INDEX($AM$2:$BM$1001,MATCH(ROWS($AF$2:AF44),$AF$2:$AF$1001,0),MATCH(COLUMNS($AM$1006:BH1006),$AM$1006:$BM$1006,0)), HYPERLINK("#",""), HYPERLINK(CONCATENATE("#metadata!", ADDRESS(INDEX($AH$2:$AH$1001,MATCH(ROWS($AF$2:AF44),$AF$2:$AF$1001,0),0), INDEX($AM$1004:$BM$1004,1,MATCH(COLUMNS($AM$1006:BH1006),$AM$1006:$BM$1006,0)))),"Fix")))</f>
        <v xml:space="preserve"> </v>
      </c>
      <c r="X44" s="4" t="str">
        <f ca="1">IF(OR(INDEX($AG$2:$AG$1001,MATCH(ROWS($AF$2:AF44),$AF$2:$AF$1001,0),1)&gt;=100000,INDEX($AM$1005:$BM$1005,1,MATCH(COLUMNS($AM$1006:BI1006),$AM$1006:$BM$1006,0))&gt;=100000), " ",IF(INDEX($AM$2:$BM$1001,MATCH(ROWS($AF$2:AF44),$AF$2:$AF$1001,0),MATCH(COLUMNS($AM$1006:BI1006),$AM$1006:$BM$1006,0)), HYPERLINK("#",""), HYPERLINK(CONCATENATE("#metadata!", ADDRESS(INDEX($AH$2:$AH$1001,MATCH(ROWS($AF$2:AF44),$AF$2:$AF$1001,0),0), INDEX($AM$1004:$BM$1004,1,MATCH(COLUMNS($AM$1006:BI1006),$AM$1006:$BM$1006,0)))),"Fix")))</f>
        <v xml:space="preserve"> </v>
      </c>
      <c r="Y44" s="4" t="str">
        <f ca="1">IF(OR(INDEX($AG$2:$AG$1001,MATCH(ROWS($AF$2:AF44),$AF$2:$AF$1001,0),1)&gt;=100000,INDEX($AM$1005:$BM$1005,1,MATCH(COLUMNS($AM$1006:BJ1006),$AM$1006:$BM$1006,0))&gt;=100000), " ",IF(INDEX($AM$2:$BM$1001,MATCH(ROWS($AF$2:AF44),$AF$2:$AF$1001,0),MATCH(COLUMNS($AM$1006:BJ1006),$AM$1006:$BM$1006,0)), HYPERLINK("#",""), HYPERLINK(CONCATENATE("#metadata!", ADDRESS(INDEX($AH$2:$AH$1001,MATCH(ROWS($AF$2:AF44),$AF$2:$AF$1001,0),0), INDEX($AM$1004:$BM$1004,1,MATCH(COLUMNS($AM$1006:BJ1006),$AM$1006:$BM$1006,0)))),"Fix")))</f>
        <v xml:space="preserve"> </v>
      </c>
      <c r="Z44" s="4" t="str">
        <f ca="1">IF(OR(INDEX($AG$2:$AG$1001,MATCH(ROWS($AF$2:AF44),$AF$2:$AF$1001,0),1)&gt;=100000,INDEX($AM$1005:$BM$1005,1,MATCH(COLUMNS($AM$1006:BK1006),$AM$1006:$BM$1006,0))&gt;=100000), " ",IF(INDEX($AM$2:$BM$1001,MATCH(ROWS($AF$2:AF44),$AF$2:$AF$1001,0),MATCH(COLUMNS($AM$1006:BK1006),$AM$1006:$BM$1006,0)), HYPERLINK("#",""), HYPERLINK(CONCATENATE("#metadata!", ADDRESS(INDEX($AH$2:$AH$1001,MATCH(ROWS($AF$2:AF44),$AF$2:$AF$1001,0),0), INDEX($AM$1004:$BM$1004,1,MATCH(COLUMNS($AM$1006:BK1006),$AM$1006:$BM$1006,0)))),"Fix")))</f>
        <v xml:space="preserve"> </v>
      </c>
      <c r="AA44" s="4" t="str">
        <f ca="1">IF(OR(INDEX($AG$2:$AG$1001,MATCH(ROWS($AF$2:AF44),$AF$2:$AF$1001,0),1)&gt;=100000,INDEX($AM$1005:$BM$1005,1,MATCH(COLUMNS($AM$1006:BL1006),$AM$1006:$BM$1006,0))&gt;=100000), " ",IF(INDEX($AM$2:$BM$1001,MATCH(ROWS($AF$2:AF44),$AF$2:$AF$1001,0),MATCH(COLUMNS($AM$1006:BL1006),$AM$1006:$BM$1006,0)), HYPERLINK("#",""), HYPERLINK(CONCATENATE("#metadata!", ADDRESS(INDEX($AH$2:$AH$1001,MATCH(ROWS($AF$2:AF44),$AF$2:$AF$1001,0),0), INDEX($AM$1004:$BM$1004,1,MATCH(COLUMNS($AM$1006:BL1006),$AM$1006:$BM$1006,0)))),"Fix")))</f>
        <v xml:space="preserve"> </v>
      </c>
      <c r="AB44" s="4" t="str">
        <f ca="1">IF(OR(INDEX($AG$2:$AG$1001,MATCH(ROWS($AF$2:AF44),$AF$2:$AF$1001,0),1)&gt;=100000,INDEX($AM$1005:$BM$1005,1,MATCH(COLUMNS($AM$1006:BM1006),$AM$1006:$BM$1006,0))&gt;=100000), " ",IF(INDEX($AM$2:$BM$1001,MATCH(ROWS($AF$2:AF44),$AF$2:$AF$1001,0),MATCH(COLUMNS($AM$1006:BM1006),$AM$1006:$BM$1006,0)), HYPERLINK("#",""), HYPERLINK(CONCATENATE("#metadata!", ADDRESS(INDEX($AH$2:$AH$1001,MATCH(ROWS($AF$2:AF44),$AF$2:$AF$1001,0),0), INDEX($AM$1004:$BM$1004,1,MATCH(COLUMNS($AM$1006:BM1006),$AM$1006:$BM$1006,0)))),"Fix")))</f>
        <v xml:space="preserve"> </v>
      </c>
      <c r="AF44">
        <v>43</v>
      </c>
      <c r="AG44">
        <v>100044</v>
      </c>
      <c r="AH44">
        <v>44</v>
      </c>
      <c r="AI44" t="b">
        <f t="shared" si="0"/>
        <v>1</v>
      </c>
      <c r="AJ44" t="b">
        <f>COUNTBLANK(metadata!B44:AB44)=COLUMNS(metadata!B44:AB44)</f>
        <v>1</v>
      </c>
      <c r="AK44" t="str">
        <v/>
      </c>
      <c r="AM44" t="b">
        <f ca="1">AND(IF(metadata!B44="",FALSE,TRUE),COUNTIF(metadata!B:B, metadata!B44) = 1,NOT(ISERROR(SUMPRODUCT(SEARCH(MID(metadata!B44,ROW(INDIRECT("1:"&amp;LEN(metadata!B44))), 1),"0123456789abcdefghijklmnopqrstuvwxyzABCDEFGHIJKLMNOPQRSTUVWXYZ.")))))</f>
        <v>0</v>
      </c>
      <c r="AN44" t="b">
        <f ca="1">OR(AND(IF(metadata!C44="",FALSE,TRUE),OR(EXACT(metadata!C44,"missing: not collected"),EXACT(metadata!C44,"missing: not provided"),EXACT(metadata!C44,"missing: restricted access"))),AND(IF(metadata!C44="",FALSE,TRUE),AND(AND(IFERROR(INT(LEFT(metadata!C44,4))&gt;1900,FALSE),IFERROR(INT(LEFT(metadata!C44,4))&lt;=YEAR(NOW()),FALSE)), OR(MID(metadata!C44,5,1)="", AND(AND(MID(metadata!C44,5,1)="-",IFERROR(INT(MID(metadata!C44,6,1))&gt;=0,FALSE),IFERROR(INT(MID(metadata!C44,6,1))&lt;=1,FALSE),NOT(MID(metadata!C44,7,1)=""),IFERROR(INT(MID(metadata!C44,6,2))&gt;=1,FALSE),IFERROR(INT(MID(metadata!C44,6,2))&lt;=12,FALSE)), OR(MID(metadata!C44,8,1)="", AND(AND(MID(metadata!C44,8,1)="-",IFERROR(INT(MID(metadata!C44,9,1))&gt;=0,FALSE),IFERROR(INT(MID(metadata!C44,9,1))&lt;=3,FALSE),NOT(MID(metadata!C44,10,1)=""),IFERROR(INT(MID(metadata!C44,9,2))&gt;=1,FALSE),IFERROR(INT(MID(metadata!C44,9,2))&lt;=31,FALSE)), OR(MID(metadata!C44,11,1)="", AND(AND(MID(metadata!C44,11,1)=" ",IFERROR(INT(MID(metadata!C44,12,1))&gt;=0,FALSE),IFERROR(INT(MID(metadata!C44,12,1))&lt;=2,FALSE),NOT(MID(metadata!C44,13,1)=""),IFERROR(INT(MID(metadata!C44,12,2))&gt;=0,FALSE),IFERROR(INT(MID(metadata!C44,12,2))&lt;=23,FALSE)), OR(MID(metadata!C44,14,1)="", AND(AND(MID(metadata!C44,14,1)=":",IFERROR(INT(MID(metadata!C44,15,1))&gt;=0,FALSE),IFERROR(INT(MID(metadata!C44,15,1))&lt;=5,FALSE),NOT(MID(metadata!C44,16,1)=""),IFERROR(INT(MID(metadata!C44,15,2))&gt;=0,FALSE),IFERROR(INT(MID(metadata!C44,15,2))&lt;=59,FALSE)), OR(MID(metadata!C44,17,1)="", AND(AND(MID(metadata!C44,17,1)=":",IFERROR(INT(MID(metadata!C44,18,1))&gt;=0,FALSE),IFERROR(INT(MID(metadata!C44,18,1))&lt;=5,FALSE),NOT(MID(metadata!C44,19,1)=""),IFERROR(INT(MID(metadata!C44,18,2))&gt;=0,FALSE),IFERROR(INT(MID(metadata!C44,18,2))&lt;=59,FALSE)), LEN(metadata!C44)&lt;=19)))))))))))))</f>
        <v>0</v>
      </c>
      <c r="AO44" t="b">
        <f>AND(IF(metadata!D44="",FALSE,TRUE),EXACT(metadata!D44,"Not applicable"))</f>
        <v>0</v>
      </c>
      <c r="AP44" t="b">
        <f>IF(metadata!E44="",FALSE,TRUE)</f>
        <v>0</v>
      </c>
      <c r="AQ44" t="b">
        <f>OR(AND(IF(metadata!F44="",FALSE,TRUE),OR(EXACT(metadata!F44,"missing: not collected"),EXACT(metadata!F44,"missing: not provided"))),AND(IF(metadata!F44="",FALSE,TRUE),OR(EXACT(metadata!F44,"TRUE"),EXACT(metadata!F44,"FALSE"))))</f>
        <v>0</v>
      </c>
      <c r="AR44" t="b">
        <f>OR(AND(IF(metadata!G44="",FALSE,TRUE),OR(EXACT(metadata!G44,"missing: not collected"),EXACT(metadata!G44,"missing: not provided"),EXACT(metadata!G44,"missing: restricted access"))),AND(IF(metadata!G44="",FALSE,ISNUMBER(VALUE(metadata!G44))),metadata!G44&gt;=-413))</f>
        <v>0</v>
      </c>
      <c r="AS44" t="b">
        <f>AND(IF(metadata!H44="",FALSE,TRUE),EXACT(metadata!H44,"meters"))</f>
        <v>0</v>
      </c>
      <c r="AT44" t="b">
        <f>AND(IF(metadata!I44="",FALSE,TRUE),OR(EXACT(metadata!I44,"Host-associated"),EXACT(metadata!I44,"Free-living")))</f>
        <v>0</v>
      </c>
      <c r="AU44" t="b">
        <f>AND(IF(metadata!J44="",FALSE,TRUE),OR(EXACT(metadata!J44,"Animal"),EXACT(metadata!J44,"Fungus"),EXACT(metadata!J44,"Plant"),EXACT(metadata!J44,"Saline"),EXACT(metadata!J44,"Non-saline")))</f>
        <v>0</v>
      </c>
      <c r="AV44" t="b">
        <f>AND(IF(metadata!K44="",FALSE,TRUE),OR(EXACT(metadata!K44,"Plant secretion"),EXACT(metadata!K44,"Plant rhizosphere"),EXACT(metadata!K44,"Plant surface"),EXACT(metadata!K44,"Plant corpus"),EXACT(metadata!K44,"Fungus surface"),EXACT(metadata!K44,"Fungus corpus"),EXACT(metadata!K44,"Animal surface"),EXACT(metadata!K44,"Animal proximal gut"),EXACT(metadata!K44,"Animal corpus"),EXACT(metadata!K44,"Animal distal gut"),EXACT(metadata!K44,"Animal secretion"),EXACT(metadata!K44,"Sub-surface (non-saline)"),EXACT(metadata!K44,"Surface (non-saline)"),EXACT(metadata!K44,"Water (non-saline)"),EXACT(metadata!K44,"Soil (non-saline)"),EXACT(metadata!K44,"Aerosol (non-saline)"),EXACT(metadata!K44,"Sediment (non-saline)"),EXACT(metadata!K44,"Surface (saline)"),EXACT(metadata!K44,"Water (saline)"),EXACT(metadata!K44,"Hypersaline (saline)"),EXACT(metadata!K44,"Aerosol (saline)"),EXACT(metadata!K44,"Sediment (saline)")))</f>
        <v>0</v>
      </c>
      <c r="AW44" t="b">
        <f>IF(metadata!L44="",FALSE,TRUE)</f>
        <v>0</v>
      </c>
      <c r="AX44" t="b">
        <f>IF(metadata!M44="",FALSE,TRUE)</f>
        <v>0</v>
      </c>
      <c r="AY44" t="b">
        <f>IF(metadata!N44="",FALSE,TRUE)</f>
        <v>0</v>
      </c>
      <c r="AZ44" t="b">
        <f>OR(AND(IF(metadata!O44="",FALSE,TRUE),OR(EXACT(metadata!O44,"missing: not collected"),EXACT(metadata!O44,"missing: not provided"),EXACT(metadata!O44,"missing: restricted access"))),AND(IF(metadata!O44="",FALSE,TRUE),OR(EXACT(metadata!O44,"air"),EXACT(metadata!O44,"built environment"),EXACT(metadata!O44,"host-associated"),EXACT(metadata!O44,"human-associated"),EXACT(metadata!O44,"human-skin"),EXACT(metadata!O44,"human-oral"),EXACT(metadata!O44,"human-gut"),EXACT(metadata!O44,"human-vaginal"),EXACT(metadata!O44,"microbial mat/biofilm"),EXACT(metadata!O44,"misc environment"),EXACT(metadata!O44,"plant-associated"),EXACT(metadata!O44,"sediment"),EXACT(metadata!O44,"soil"),EXACT(metadata!O44,"wastewater/sludge"),EXACT(metadata!O44,"water"))))</f>
        <v>0</v>
      </c>
      <c r="BA44" t="b">
        <f>IF(metadata!P44="",FALSE,TRUE)</f>
        <v>0</v>
      </c>
      <c r="BB44" t="b">
        <f>IF(metadata!Q44="",FALSE,TRUE)</f>
        <v>0</v>
      </c>
      <c r="BC44" t="b">
        <f>OR(AND(IF(metadata!R44="",FALSE,TRUE),OR(EXACT(metadata!R44,"missing: not collected"),EXACT(metadata!R44,"missing: not provided"),EXACT(metadata!R44,"missing: restricted access"))),AND(IF(metadata!R44="",FALSE,ISNUMBER(VALUE(metadata!R44))),metadata!R44&gt;=-90,metadata!R44&lt;=90))</f>
        <v>0</v>
      </c>
      <c r="BD44" t="b">
        <f>AND(IF(metadata!S44="",FALSE,TRUE),EXACT(metadata!S44,"Decimal degrees"))</f>
        <v>0</v>
      </c>
      <c r="BE44" t="b">
        <f>OR(AND(IF(metadata!T44="",FALSE,TRUE),OR(EXACT(metadata!T44,"missing: not collected"),EXACT(metadata!T44,"missing: not provided"),EXACT(metadata!T44,"missing: restricted access"))),AND(IF(metadata!T44="",FALSE,ISNUMBER(VALUE(metadata!T44))),metadata!T44&gt;=-180,metadata!T44&lt;=180))</f>
        <v>0</v>
      </c>
      <c r="BF44" t="b">
        <f>AND(IF(metadata!U44="",FALSE,TRUE),EXACT(metadata!U44,"Decimal degrees"))</f>
        <v>0</v>
      </c>
      <c r="BG44" t="b">
        <f>IF(metadata!V44="",FALSE,TRUE)</f>
        <v>0</v>
      </c>
      <c r="BH44" t="b">
        <f>OR(AND(IF(metadata!W44="",FALSE,TRUE),OR(EXACT(metadata!W44,"missing: not collected"),EXACT(metadata!W44,"missing: not provided"),EXACT(metadata!W44,"missing: restricted access"))),AND(IF(metadata!W44="",FALSE,TRUE),OR(EXACT(metadata!W44,"TRUE"),EXACT(metadata!W44,"FALSE"))))</f>
        <v>0</v>
      </c>
      <c r="BI44" t="b">
        <f>AND(IF(metadata!X44="",FALSE,TRUE),EXACT(metadata!X44,"other"))</f>
        <v>0</v>
      </c>
      <c r="BJ44" t="b">
        <f>IF(metadata!Y44="",FALSE,TRUE)</f>
        <v>0</v>
      </c>
      <c r="BK44" t="b">
        <f>OR(AND(IF(metadata!Z44="",FALSE,TRUE),OR(EXACT(metadata!Z44,"missing: not collected"),EXACT(metadata!Z44,"missing: not provided"))),AND(IF(metadata!Z44="",FALSE,IF(ISERROR(INT(metadata!Z44)),FALSE,INT(metadata!Z44)=metadata!Z44)),metadata!Z44&gt;0))</f>
        <v>0</v>
      </c>
      <c r="BL44" t="b">
        <f>AND(IF(metadata!AA44="",FALSE,TRUE),EXACT(metadata!AA44,"Not applicable"))</f>
        <v>0</v>
      </c>
      <c r="BM44" t="b">
        <f>IF(metadata!AB44="",FALSE,TRUE)</f>
        <v>0</v>
      </c>
    </row>
    <row r="45" spans="1:65" x14ac:dyDescent="0.2">
      <c r="A45" s="5" t="str">
        <f ca="1">IF(B45=" "," ",HYPERLINK(CONCATENATE("#metadata!",ADDRESS(INDEX($AH$2:$AH$1001,MATCH(ROWS($AF$2:AF45),$AF$2:$AF$1001,0),0),1)),INDEX($AK$2:$AK$1001,MATCH(ROWS($AF$2:AF45),$AF$2:$AF$1001,0),0)))</f>
        <v xml:space="preserve"> </v>
      </c>
      <c r="B45" s="4" t="str">
        <f ca="1">IF(OR(INDEX($AG$2:$AG$1001,MATCH(ROWS($AF$2:AF45),$AF$2:$AF$1001,0),1)&gt;=100000,INDEX($AM$1005:$BM$1005,1,MATCH(COLUMNS($AM$1006:AM1006),$AM$1006:$BM$1006,0))&gt;=100000), " ",IF(INDEX($AM$2:$BM$1001,MATCH(ROWS($AF$2:AF45),$AF$2:$AF$1001,0),MATCH(COLUMNS($AM$1006:AM1006),$AM$1006:$BM$1006,0)), HYPERLINK("#",""), HYPERLINK(CONCATENATE("#metadata!", ADDRESS(INDEX($AH$2:$AH$1001,MATCH(ROWS($AF$2:AF45),$AF$2:$AF$1001,0),0), INDEX($AM$1004:$BM$1004,1,MATCH(COLUMNS($AM$1006:AM1006),$AM$1006:$BM$1006,0)))),"Fix")))</f>
        <v xml:space="preserve"> </v>
      </c>
      <c r="C45" s="4" t="str">
        <f ca="1">IF(OR(INDEX($AG$2:$AG$1001,MATCH(ROWS($AF$2:AF45),$AF$2:$AF$1001,0),1)&gt;=100000,INDEX($AM$1005:$BM$1005,1,MATCH(COLUMNS($AM$1006:AN1006),$AM$1006:$BM$1006,0))&gt;=100000), " ",IF(INDEX($AM$2:$BM$1001,MATCH(ROWS($AF$2:AF45),$AF$2:$AF$1001,0),MATCH(COLUMNS($AM$1006:AN1006),$AM$1006:$BM$1006,0)), HYPERLINK("#",""), HYPERLINK(CONCATENATE("#metadata!", ADDRESS(INDEX($AH$2:$AH$1001,MATCH(ROWS($AF$2:AF45),$AF$2:$AF$1001,0),0), INDEX($AM$1004:$BM$1004,1,MATCH(COLUMNS($AM$1006:AN1006),$AM$1006:$BM$1006,0)))),"Fix")))</f>
        <v xml:space="preserve"> </v>
      </c>
      <c r="D45" s="4" t="str">
        <f ca="1">IF(OR(INDEX($AG$2:$AG$1001,MATCH(ROWS($AF$2:AF45),$AF$2:$AF$1001,0),1)&gt;=100000,INDEX($AM$1005:$BM$1005,1,MATCH(COLUMNS($AM$1006:AO1006),$AM$1006:$BM$1006,0))&gt;=100000), " ",IF(INDEX($AM$2:$BM$1001,MATCH(ROWS($AF$2:AF45),$AF$2:$AF$1001,0),MATCH(COLUMNS($AM$1006:AO1006),$AM$1006:$BM$1006,0)), HYPERLINK("#",""), HYPERLINK(CONCATENATE("#metadata!", ADDRESS(INDEX($AH$2:$AH$1001,MATCH(ROWS($AF$2:AF45),$AF$2:$AF$1001,0),0), INDEX($AM$1004:$BM$1004,1,MATCH(COLUMNS($AM$1006:AO1006),$AM$1006:$BM$1006,0)))),"Fix")))</f>
        <v xml:space="preserve"> </v>
      </c>
      <c r="E45" s="4" t="str">
        <f ca="1">IF(OR(INDEX($AG$2:$AG$1001,MATCH(ROWS($AF$2:AF45),$AF$2:$AF$1001,0),1)&gt;=100000,INDEX($AM$1005:$BM$1005,1,MATCH(COLUMNS($AM$1006:AP1006),$AM$1006:$BM$1006,0))&gt;=100000), " ",IF(INDEX($AM$2:$BM$1001,MATCH(ROWS($AF$2:AF45),$AF$2:$AF$1001,0),MATCH(COLUMNS($AM$1006:AP1006),$AM$1006:$BM$1006,0)), HYPERLINK("#",""), HYPERLINK(CONCATENATE("#metadata!", ADDRESS(INDEX($AH$2:$AH$1001,MATCH(ROWS($AF$2:AF45),$AF$2:$AF$1001,0),0), INDEX($AM$1004:$BM$1004,1,MATCH(COLUMNS($AM$1006:AP1006),$AM$1006:$BM$1006,0)))),"Fix")))</f>
        <v xml:space="preserve"> </v>
      </c>
      <c r="F45" s="4" t="str">
        <f ca="1">IF(OR(INDEX($AG$2:$AG$1001,MATCH(ROWS($AF$2:AF45),$AF$2:$AF$1001,0),1)&gt;=100000,INDEX($AM$1005:$BM$1005,1,MATCH(COLUMNS($AM$1006:AQ1006),$AM$1006:$BM$1006,0))&gt;=100000), " ",IF(INDEX($AM$2:$BM$1001,MATCH(ROWS($AF$2:AF45),$AF$2:$AF$1001,0),MATCH(COLUMNS($AM$1006:AQ1006),$AM$1006:$BM$1006,0)), HYPERLINK("#",""), HYPERLINK(CONCATENATE("#metadata!", ADDRESS(INDEX($AH$2:$AH$1001,MATCH(ROWS($AF$2:AF45),$AF$2:$AF$1001,0),0), INDEX($AM$1004:$BM$1004,1,MATCH(COLUMNS($AM$1006:AQ1006),$AM$1006:$BM$1006,0)))),"Fix")))</f>
        <v xml:space="preserve"> </v>
      </c>
      <c r="G45" s="4" t="str">
        <f ca="1">IF(OR(INDEX($AG$2:$AG$1001,MATCH(ROWS($AF$2:AF45),$AF$2:$AF$1001,0),1)&gt;=100000,INDEX($AM$1005:$BM$1005,1,MATCH(COLUMNS($AM$1006:AR1006),$AM$1006:$BM$1006,0))&gt;=100000), " ",IF(INDEX($AM$2:$BM$1001,MATCH(ROWS($AF$2:AF45),$AF$2:$AF$1001,0),MATCH(COLUMNS($AM$1006:AR1006),$AM$1006:$BM$1006,0)), HYPERLINK("#",""), HYPERLINK(CONCATENATE("#metadata!", ADDRESS(INDEX($AH$2:$AH$1001,MATCH(ROWS($AF$2:AF45),$AF$2:$AF$1001,0),0), INDEX($AM$1004:$BM$1004,1,MATCH(COLUMNS($AM$1006:AR1006),$AM$1006:$BM$1006,0)))),"Fix")))</f>
        <v xml:space="preserve"> </v>
      </c>
      <c r="H45" s="4" t="str">
        <f ca="1">IF(OR(INDEX($AG$2:$AG$1001,MATCH(ROWS($AF$2:AF45),$AF$2:$AF$1001,0),1)&gt;=100000,INDEX($AM$1005:$BM$1005,1,MATCH(COLUMNS($AM$1006:AS1006),$AM$1006:$BM$1006,0))&gt;=100000), " ",IF(INDEX($AM$2:$BM$1001,MATCH(ROWS($AF$2:AF45),$AF$2:$AF$1001,0),MATCH(COLUMNS($AM$1006:AS1006),$AM$1006:$BM$1006,0)), HYPERLINK("#",""), HYPERLINK(CONCATENATE("#metadata!", ADDRESS(INDEX($AH$2:$AH$1001,MATCH(ROWS($AF$2:AF45),$AF$2:$AF$1001,0),0), INDEX($AM$1004:$BM$1004,1,MATCH(COLUMNS($AM$1006:AS1006),$AM$1006:$BM$1006,0)))),"Fix")))</f>
        <v xml:space="preserve"> </v>
      </c>
      <c r="I45" s="4" t="str">
        <f ca="1">IF(OR(INDEX($AG$2:$AG$1001,MATCH(ROWS($AF$2:AF45),$AF$2:$AF$1001,0),1)&gt;=100000,INDEX($AM$1005:$BM$1005,1,MATCH(COLUMNS($AM$1006:AT1006),$AM$1006:$BM$1006,0))&gt;=100000), " ",IF(INDEX($AM$2:$BM$1001,MATCH(ROWS($AF$2:AF45),$AF$2:$AF$1001,0),MATCH(COLUMNS($AM$1006:AT1006),$AM$1006:$BM$1006,0)), HYPERLINK("#",""), HYPERLINK(CONCATENATE("#metadata!", ADDRESS(INDEX($AH$2:$AH$1001,MATCH(ROWS($AF$2:AF45),$AF$2:$AF$1001,0),0), INDEX($AM$1004:$BM$1004,1,MATCH(COLUMNS($AM$1006:AT1006),$AM$1006:$BM$1006,0)))),"Fix")))</f>
        <v xml:space="preserve"> </v>
      </c>
      <c r="J45" s="4" t="str">
        <f ca="1">IF(OR(INDEX($AG$2:$AG$1001,MATCH(ROWS($AF$2:AF45),$AF$2:$AF$1001,0),1)&gt;=100000,INDEX($AM$1005:$BM$1005,1,MATCH(COLUMNS($AM$1006:AU1006),$AM$1006:$BM$1006,0))&gt;=100000), " ",IF(INDEX($AM$2:$BM$1001,MATCH(ROWS($AF$2:AF45),$AF$2:$AF$1001,0),MATCH(COLUMNS($AM$1006:AU1006),$AM$1006:$BM$1006,0)), HYPERLINK("#",""), HYPERLINK(CONCATENATE("#metadata!", ADDRESS(INDEX($AH$2:$AH$1001,MATCH(ROWS($AF$2:AF45),$AF$2:$AF$1001,0),0), INDEX($AM$1004:$BM$1004,1,MATCH(COLUMNS($AM$1006:AU1006),$AM$1006:$BM$1006,0)))),"Fix")))</f>
        <v xml:space="preserve"> </v>
      </c>
      <c r="K45" s="4" t="str">
        <f ca="1">IF(OR(INDEX($AG$2:$AG$1001,MATCH(ROWS($AF$2:AF45),$AF$2:$AF$1001,0),1)&gt;=100000,INDEX($AM$1005:$BM$1005,1,MATCH(COLUMNS($AM$1006:AV1006),$AM$1006:$BM$1006,0))&gt;=100000), " ",IF(INDEX($AM$2:$BM$1001,MATCH(ROWS($AF$2:AF45),$AF$2:$AF$1001,0),MATCH(COLUMNS($AM$1006:AV1006),$AM$1006:$BM$1006,0)), HYPERLINK("#",""), HYPERLINK(CONCATENATE("#metadata!", ADDRESS(INDEX($AH$2:$AH$1001,MATCH(ROWS($AF$2:AF45),$AF$2:$AF$1001,0),0), INDEX($AM$1004:$BM$1004,1,MATCH(COLUMNS($AM$1006:AV1006),$AM$1006:$BM$1006,0)))),"Fix")))</f>
        <v xml:space="preserve"> </v>
      </c>
      <c r="L45" s="4" t="str">
        <f ca="1">IF(OR(INDEX($AG$2:$AG$1001,MATCH(ROWS($AF$2:AF45),$AF$2:$AF$1001,0),1)&gt;=100000,INDEX($AM$1005:$BM$1005,1,MATCH(COLUMNS($AM$1006:AW1006),$AM$1006:$BM$1006,0))&gt;=100000), " ",IF(INDEX($AM$2:$BM$1001,MATCH(ROWS($AF$2:AF45),$AF$2:$AF$1001,0),MATCH(COLUMNS($AM$1006:AW1006),$AM$1006:$BM$1006,0)), HYPERLINK("#",""), HYPERLINK(CONCATENATE("#metadata!", ADDRESS(INDEX($AH$2:$AH$1001,MATCH(ROWS($AF$2:AF45),$AF$2:$AF$1001,0),0), INDEX($AM$1004:$BM$1004,1,MATCH(COLUMNS($AM$1006:AW1006),$AM$1006:$BM$1006,0)))),"Fix")))</f>
        <v xml:space="preserve"> </v>
      </c>
      <c r="M45" s="4" t="str">
        <f ca="1">IF(OR(INDEX($AG$2:$AG$1001,MATCH(ROWS($AF$2:AF45),$AF$2:$AF$1001,0),1)&gt;=100000,INDEX($AM$1005:$BM$1005,1,MATCH(COLUMNS($AM$1006:AX1006),$AM$1006:$BM$1006,0))&gt;=100000), " ",IF(INDEX($AM$2:$BM$1001,MATCH(ROWS($AF$2:AF45),$AF$2:$AF$1001,0),MATCH(COLUMNS($AM$1006:AX1006),$AM$1006:$BM$1006,0)), HYPERLINK("#",""), HYPERLINK(CONCATENATE("#metadata!", ADDRESS(INDEX($AH$2:$AH$1001,MATCH(ROWS($AF$2:AF45),$AF$2:$AF$1001,0),0), INDEX($AM$1004:$BM$1004,1,MATCH(COLUMNS($AM$1006:AX1006),$AM$1006:$BM$1006,0)))),"Fix")))</f>
        <v xml:space="preserve"> </v>
      </c>
      <c r="N45" s="4" t="str">
        <f ca="1">IF(OR(INDEX($AG$2:$AG$1001,MATCH(ROWS($AF$2:AF45),$AF$2:$AF$1001,0),1)&gt;=100000,INDEX($AM$1005:$BM$1005,1,MATCH(COLUMNS($AM$1006:AY1006),$AM$1006:$BM$1006,0))&gt;=100000), " ",IF(INDEX($AM$2:$BM$1001,MATCH(ROWS($AF$2:AF45),$AF$2:$AF$1001,0),MATCH(COLUMNS($AM$1006:AY1006),$AM$1006:$BM$1006,0)), HYPERLINK("#",""), HYPERLINK(CONCATENATE("#metadata!", ADDRESS(INDEX($AH$2:$AH$1001,MATCH(ROWS($AF$2:AF45),$AF$2:$AF$1001,0),0), INDEX($AM$1004:$BM$1004,1,MATCH(COLUMNS($AM$1006:AY1006),$AM$1006:$BM$1006,0)))),"Fix")))</f>
        <v xml:space="preserve"> </v>
      </c>
      <c r="O45" s="4" t="str">
        <f ca="1">IF(OR(INDEX($AG$2:$AG$1001,MATCH(ROWS($AF$2:AF45),$AF$2:$AF$1001,0),1)&gt;=100000,INDEX($AM$1005:$BM$1005,1,MATCH(COLUMNS($AM$1006:AZ1006),$AM$1006:$BM$1006,0))&gt;=100000), " ",IF(INDEX($AM$2:$BM$1001,MATCH(ROWS($AF$2:AF45),$AF$2:$AF$1001,0),MATCH(COLUMNS($AM$1006:AZ1006),$AM$1006:$BM$1006,0)), HYPERLINK("#",""), HYPERLINK(CONCATENATE("#metadata!", ADDRESS(INDEX($AH$2:$AH$1001,MATCH(ROWS($AF$2:AF45),$AF$2:$AF$1001,0),0), INDEX($AM$1004:$BM$1004,1,MATCH(COLUMNS($AM$1006:AZ1006),$AM$1006:$BM$1006,0)))),"Fix")))</f>
        <v xml:space="preserve"> </v>
      </c>
      <c r="P45" s="4" t="str">
        <f ca="1">IF(OR(INDEX($AG$2:$AG$1001,MATCH(ROWS($AF$2:AF45),$AF$2:$AF$1001,0),1)&gt;=100000,INDEX($AM$1005:$BM$1005,1,MATCH(COLUMNS($AM$1006:BA1006),$AM$1006:$BM$1006,0))&gt;=100000), " ",IF(INDEX($AM$2:$BM$1001,MATCH(ROWS($AF$2:AF45),$AF$2:$AF$1001,0),MATCH(COLUMNS($AM$1006:BA1006),$AM$1006:$BM$1006,0)), HYPERLINK("#",""), HYPERLINK(CONCATENATE("#metadata!", ADDRESS(INDEX($AH$2:$AH$1001,MATCH(ROWS($AF$2:AF45),$AF$2:$AF$1001,0),0), INDEX($AM$1004:$BM$1004,1,MATCH(COLUMNS($AM$1006:BA1006),$AM$1006:$BM$1006,0)))),"Fix")))</f>
        <v xml:space="preserve"> </v>
      </c>
      <c r="Q45" s="4" t="str">
        <f ca="1">IF(OR(INDEX($AG$2:$AG$1001,MATCH(ROWS($AF$2:AF45),$AF$2:$AF$1001,0),1)&gt;=100000,INDEX($AM$1005:$BM$1005,1,MATCH(COLUMNS($AM$1006:BB1006),$AM$1006:$BM$1006,0))&gt;=100000), " ",IF(INDEX($AM$2:$BM$1001,MATCH(ROWS($AF$2:AF45),$AF$2:$AF$1001,0),MATCH(COLUMNS($AM$1006:BB1006),$AM$1006:$BM$1006,0)), HYPERLINK("#",""), HYPERLINK(CONCATENATE("#metadata!", ADDRESS(INDEX($AH$2:$AH$1001,MATCH(ROWS($AF$2:AF45),$AF$2:$AF$1001,0),0), INDEX($AM$1004:$BM$1004,1,MATCH(COLUMNS($AM$1006:BB1006),$AM$1006:$BM$1006,0)))),"Fix")))</f>
        <v xml:space="preserve"> </v>
      </c>
      <c r="R45" s="4" t="str">
        <f ca="1">IF(OR(INDEX($AG$2:$AG$1001,MATCH(ROWS($AF$2:AF45),$AF$2:$AF$1001,0),1)&gt;=100000,INDEX($AM$1005:$BM$1005,1,MATCH(COLUMNS($AM$1006:BC1006),$AM$1006:$BM$1006,0))&gt;=100000), " ",IF(INDEX($AM$2:$BM$1001,MATCH(ROWS($AF$2:AF45),$AF$2:$AF$1001,0),MATCH(COLUMNS($AM$1006:BC1006),$AM$1006:$BM$1006,0)), HYPERLINK("#",""), HYPERLINK(CONCATENATE("#metadata!", ADDRESS(INDEX($AH$2:$AH$1001,MATCH(ROWS($AF$2:AF45),$AF$2:$AF$1001,0),0), INDEX($AM$1004:$BM$1004,1,MATCH(COLUMNS($AM$1006:BC1006),$AM$1006:$BM$1006,0)))),"Fix")))</f>
        <v xml:space="preserve"> </v>
      </c>
      <c r="S45" s="4" t="str">
        <f ca="1">IF(OR(INDEX($AG$2:$AG$1001,MATCH(ROWS($AF$2:AF45),$AF$2:$AF$1001,0),1)&gt;=100000,INDEX($AM$1005:$BM$1005,1,MATCH(COLUMNS($AM$1006:BD1006),$AM$1006:$BM$1006,0))&gt;=100000), " ",IF(INDEX($AM$2:$BM$1001,MATCH(ROWS($AF$2:AF45),$AF$2:$AF$1001,0),MATCH(COLUMNS($AM$1006:BD1006),$AM$1006:$BM$1006,0)), HYPERLINK("#",""), HYPERLINK(CONCATENATE("#metadata!", ADDRESS(INDEX($AH$2:$AH$1001,MATCH(ROWS($AF$2:AF45),$AF$2:$AF$1001,0),0), INDEX($AM$1004:$BM$1004,1,MATCH(COLUMNS($AM$1006:BD1006),$AM$1006:$BM$1006,0)))),"Fix")))</f>
        <v xml:space="preserve"> </v>
      </c>
      <c r="T45" s="4" t="str">
        <f ca="1">IF(OR(INDEX($AG$2:$AG$1001,MATCH(ROWS($AF$2:AF45),$AF$2:$AF$1001,0),1)&gt;=100000,INDEX($AM$1005:$BM$1005,1,MATCH(COLUMNS($AM$1006:BE1006),$AM$1006:$BM$1006,0))&gt;=100000), " ",IF(INDEX($AM$2:$BM$1001,MATCH(ROWS($AF$2:AF45),$AF$2:$AF$1001,0),MATCH(COLUMNS($AM$1006:BE1006),$AM$1006:$BM$1006,0)), HYPERLINK("#",""), HYPERLINK(CONCATENATE("#metadata!", ADDRESS(INDEX($AH$2:$AH$1001,MATCH(ROWS($AF$2:AF45),$AF$2:$AF$1001,0),0), INDEX($AM$1004:$BM$1004,1,MATCH(COLUMNS($AM$1006:BE1006),$AM$1006:$BM$1006,0)))),"Fix")))</f>
        <v xml:space="preserve"> </v>
      </c>
      <c r="U45" s="4" t="str">
        <f ca="1">IF(OR(INDEX($AG$2:$AG$1001,MATCH(ROWS($AF$2:AF45),$AF$2:$AF$1001,0),1)&gt;=100000,INDEX($AM$1005:$BM$1005,1,MATCH(COLUMNS($AM$1006:BF1006),$AM$1006:$BM$1006,0))&gt;=100000), " ",IF(INDEX($AM$2:$BM$1001,MATCH(ROWS($AF$2:AF45),$AF$2:$AF$1001,0),MATCH(COLUMNS($AM$1006:BF1006),$AM$1006:$BM$1006,0)), HYPERLINK("#",""), HYPERLINK(CONCATENATE("#metadata!", ADDRESS(INDEX($AH$2:$AH$1001,MATCH(ROWS($AF$2:AF45),$AF$2:$AF$1001,0),0), INDEX($AM$1004:$BM$1004,1,MATCH(COLUMNS($AM$1006:BF1006),$AM$1006:$BM$1006,0)))),"Fix")))</f>
        <v xml:space="preserve"> </v>
      </c>
      <c r="V45" s="4" t="str">
        <f ca="1">IF(OR(INDEX($AG$2:$AG$1001,MATCH(ROWS($AF$2:AF45),$AF$2:$AF$1001,0),1)&gt;=100000,INDEX($AM$1005:$BM$1005,1,MATCH(COLUMNS($AM$1006:BG1006),$AM$1006:$BM$1006,0))&gt;=100000), " ",IF(INDEX($AM$2:$BM$1001,MATCH(ROWS($AF$2:AF45),$AF$2:$AF$1001,0),MATCH(COLUMNS($AM$1006:BG1006),$AM$1006:$BM$1006,0)), HYPERLINK("#",""), HYPERLINK(CONCATENATE("#metadata!", ADDRESS(INDEX($AH$2:$AH$1001,MATCH(ROWS($AF$2:AF45),$AF$2:$AF$1001,0),0), INDEX($AM$1004:$BM$1004,1,MATCH(COLUMNS($AM$1006:BG1006),$AM$1006:$BM$1006,0)))),"Fix")))</f>
        <v xml:space="preserve"> </v>
      </c>
      <c r="W45" s="4" t="str">
        <f ca="1">IF(OR(INDEX($AG$2:$AG$1001,MATCH(ROWS($AF$2:AF45),$AF$2:$AF$1001,0),1)&gt;=100000,INDEX($AM$1005:$BM$1005,1,MATCH(COLUMNS($AM$1006:BH1006),$AM$1006:$BM$1006,0))&gt;=100000), " ",IF(INDEX($AM$2:$BM$1001,MATCH(ROWS($AF$2:AF45),$AF$2:$AF$1001,0),MATCH(COLUMNS($AM$1006:BH1006),$AM$1006:$BM$1006,0)), HYPERLINK("#",""), HYPERLINK(CONCATENATE("#metadata!", ADDRESS(INDEX($AH$2:$AH$1001,MATCH(ROWS($AF$2:AF45),$AF$2:$AF$1001,0),0), INDEX($AM$1004:$BM$1004,1,MATCH(COLUMNS($AM$1006:BH1006),$AM$1006:$BM$1006,0)))),"Fix")))</f>
        <v xml:space="preserve"> </v>
      </c>
      <c r="X45" s="4" t="str">
        <f ca="1">IF(OR(INDEX($AG$2:$AG$1001,MATCH(ROWS($AF$2:AF45),$AF$2:$AF$1001,0),1)&gt;=100000,INDEX($AM$1005:$BM$1005,1,MATCH(COLUMNS($AM$1006:BI1006),$AM$1006:$BM$1006,0))&gt;=100000), " ",IF(INDEX($AM$2:$BM$1001,MATCH(ROWS($AF$2:AF45),$AF$2:$AF$1001,0),MATCH(COLUMNS($AM$1006:BI1006),$AM$1006:$BM$1006,0)), HYPERLINK("#",""), HYPERLINK(CONCATENATE("#metadata!", ADDRESS(INDEX($AH$2:$AH$1001,MATCH(ROWS($AF$2:AF45),$AF$2:$AF$1001,0),0), INDEX($AM$1004:$BM$1004,1,MATCH(COLUMNS($AM$1006:BI1006),$AM$1006:$BM$1006,0)))),"Fix")))</f>
        <v xml:space="preserve"> </v>
      </c>
      <c r="Y45" s="4" t="str">
        <f ca="1">IF(OR(INDEX($AG$2:$AG$1001,MATCH(ROWS($AF$2:AF45),$AF$2:$AF$1001,0),1)&gt;=100000,INDEX($AM$1005:$BM$1005,1,MATCH(COLUMNS($AM$1006:BJ1006),$AM$1006:$BM$1006,0))&gt;=100000), " ",IF(INDEX($AM$2:$BM$1001,MATCH(ROWS($AF$2:AF45),$AF$2:$AF$1001,0),MATCH(COLUMNS($AM$1006:BJ1006),$AM$1006:$BM$1006,0)), HYPERLINK("#",""), HYPERLINK(CONCATENATE("#metadata!", ADDRESS(INDEX($AH$2:$AH$1001,MATCH(ROWS($AF$2:AF45),$AF$2:$AF$1001,0),0), INDEX($AM$1004:$BM$1004,1,MATCH(COLUMNS($AM$1006:BJ1006),$AM$1006:$BM$1006,0)))),"Fix")))</f>
        <v xml:space="preserve"> </v>
      </c>
      <c r="Z45" s="4" t="str">
        <f ca="1">IF(OR(INDEX($AG$2:$AG$1001,MATCH(ROWS($AF$2:AF45),$AF$2:$AF$1001,0),1)&gt;=100000,INDEX($AM$1005:$BM$1005,1,MATCH(COLUMNS($AM$1006:BK1006),$AM$1006:$BM$1006,0))&gt;=100000), " ",IF(INDEX($AM$2:$BM$1001,MATCH(ROWS($AF$2:AF45),$AF$2:$AF$1001,0),MATCH(COLUMNS($AM$1006:BK1006),$AM$1006:$BM$1006,0)), HYPERLINK("#",""), HYPERLINK(CONCATENATE("#metadata!", ADDRESS(INDEX($AH$2:$AH$1001,MATCH(ROWS($AF$2:AF45),$AF$2:$AF$1001,0),0), INDEX($AM$1004:$BM$1004,1,MATCH(COLUMNS($AM$1006:BK1006),$AM$1006:$BM$1006,0)))),"Fix")))</f>
        <v xml:space="preserve"> </v>
      </c>
      <c r="AA45" s="4" t="str">
        <f ca="1">IF(OR(INDEX($AG$2:$AG$1001,MATCH(ROWS($AF$2:AF45),$AF$2:$AF$1001,0),1)&gt;=100000,INDEX($AM$1005:$BM$1005,1,MATCH(COLUMNS($AM$1006:BL1006),$AM$1006:$BM$1006,0))&gt;=100000), " ",IF(INDEX($AM$2:$BM$1001,MATCH(ROWS($AF$2:AF45),$AF$2:$AF$1001,0),MATCH(COLUMNS($AM$1006:BL1006),$AM$1006:$BM$1006,0)), HYPERLINK("#",""), HYPERLINK(CONCATENATE("#metadata!", ADDRESS(INDEX($AH$2:$AH$1001,MATCH(ROWS($AF$2:AF45),$AF$2:$AF$1001,0),0), INDEX($AM$1004:$BM$1004,1,MATCH(COLUMNS($AM$1006:BL1006),$AM$1006:$BM$1006,0)))),"Fix")))</f>
        <v xml:space="preserve"> </v>
      </c>
      <c r="AB45" s="4" t="str">
        <f ca="1">IF(OR(INDEX($AG$2:$AG$1001,MATCH(ROWS($AF$2:AF45),$AF$2:$AF$1001,0),1)&gt;=100000,INDEX($AM$1005:$BM$1005,1,MATCH(COLUMNS($AM$1006:BM1006),$AM$1006:$BM$1006,0))&gt;=100000), " ",IF(INDEX($AM$2:$BM$1001,MATCH(ROWS($AF$2:AF45),$AF$2:$AF$1001,0),MATCH(COLUMNS($AM$1006:BM1006),$AM$1006:$BM$1006,0)), HYPERLINK("#",""), HYPERLINK(CONCATENATE("#metadata!", ADDRESS(INDEX($AH$2:$AH$1001,MATCH(ROWS($AF$2:AF45),$AF$2:$AF$1001,0),0), INDEX($AM$1004:$BM$1004,1,MATCH(COLUMNS($AM$1006:BM1006),$AM$1006:$BM$1006,0)))),"Fix")))</f>
        <v xml:space="preserve"> </v>
      </c>
      <c r="AF45">
        <v>44</v>
      </c>
      <c r="AG45">
        <v>100045</v>
      </c>
      <c r="AH45">
        <v>45</v>
      </c>
      <c r="AI45" t="b">
        <f t="shared" si="0"/>
        <v>1</v>
      </c>
      <c r="AJ45" t="b">
        <f>COUNTBLANK(metadata!B45:AB45)=COLUMNS(metadata!B45:AB45)</f>
        <v>1</v>
      </c>
      <c r="AK45" t="str">
        <v/>
      </c>
      <c r="AM45" t="b">
        <f ca="1">AND(IF(metadata!B45="",FALSE,TRUE),COUNTIF(metadata!B:B, metadata!B45) = 1,NOT(ISERROR(SUMPRODUCT(SEARCH(MID(metadata!B45,ROW(INDIRECT("1:"&amp;LEN(metadata!B45))), 1),"0123456789abcdefghijklmnopqrstuvwxyzABCDEFGHIJKLMNOPQRSTUVWXYZ.")))))</f>
        <v>0</v>
      </c>
      <c r="AN45" t="b">
        <f ca="1">OR(AND(IF(metadata!C45="",FALSE,TRUE),OR(EXACT(metadata!C45,"missing: not collected"),EXACT(metadata!C45,"missing: not provided"),EXACT(metadata!C45,"missing: restricted access"))),AND(IF(metadata!C45="",FALSE,TRUE),AND(AND(IFERROR(INT(LEFT(metadata!C45,4))&gt;1900,FALSE),IFERROR(INT(LEFT(metadata!C45,4))&lt;=YEAR(NOW()),FALSE)), OR(MID(metadata!C45,5,1)="", AND(AND(MID(metadata!C45,5,1)="-",IFERROR(INT(MID(metadata!C45,6,1))&gt;=0,FALSE),IFERROR(INT(MID(metadata!C45,6,1))&lt;=1,FALSE),NOT(MID(metadata!C45,7,1)=""),IFERROR(INT(MID(metadata!C45,6,2))&gt;=1,FALSE),IFERROR(INT(MID(metadata!C45,6,2))&lt;=12,FALSE)), OR(MID(metadata!C45,8,1)="", AND(AND(MID(metadata!C45,8,1)="-",IFERROR(INT(MID(metadata!C45,9,1))&gt;=0,FALSE),IFERROR(INT(MID(metadata!C45,9,1))&lt;=3,FALSE),NOT(MID(metadata!C45,10,1)=""),IFERROR(INT(MID(metadata!C45,9,2))&gt;=1,FALSE),IFERROR(INT(MID(metadata!C45,9,2))&lt;=31,FALSE)), OR(MID(metadata!C45,11,1)="", AND(AND(MID(metadata!C45,11,1)=" ",IFERROR(INT(MID(metadata!C45,12,1))&gt;=0,FALSE),IFERROR(INT(MID(metadata!C45,12,1))&lt;=2,FALSE),NOT(MID(metadata!C45,13,1)=""),IFERROR(INT(MID(metadata!C45,12,2))&gt;=0,FALSE),IFERROR(INT(MID(metadata!C45,12,2))&lt;=23,FALSE)), OR(MID(metadata!C45,14,1)="", AND(AND(MID(metadata!C45,14,1)=":",IFERROR(INT(MID(metadata!C45,15,1))&gt;=0,FALSE),IFERROR(INT(MID(metadata!C45,15,1))&lt;=5,FALSE),NOT(MID(metadata!C45,16,1)=""),IFERROR(INT(MID(metadata!C45,15,2))&gt;=0,FALSE),IFERROR(INT(MID(metadata!C45,15,2))&lt;=59,FALSE)), OR(MID(metadata!C45,17,1)="", AND(AND(MID(metadata!C45,17,1)=":",IFERROR(INT(MID(metadata!C45,18,1))&gt;=0,FALSE),IFERROR(INT(MID(metadata!C45,18,1))&lt;=5,FALSE),NOT(MID(metadata!C45,19,1)=""),IFERROR(INT(MID(metadata!C45,18,2))&gt;=0,FALSE),IFERROR(INT(MID(metadata!C45,18,2))&lt;=59,FALSE)), LEN(metadata!C45)&lt;=19)))))))))))))</f>
        <v>0</v>
      </c>
      <c r="AO45" t="b">
        <f>AND(IF(metadata!D45="",FALSE,TRUE),EXACT(metadata!D45,"Not applicable"))</f>
        <v>0</v>
      </c>
      <c r="AP45" t="b">
        <f>IF(metadata!E45="",FALSE,TRUE)</f>
        <v>0</v>
      </c>
      <c r="AQ45" t="b">
        <f>OR(AND(IF(metadata!F45="",FALSE,TRUE),OR(EXACT(metadata!F45,"missing: not collected"),EXACT(metadata!F45,"missing: not provided"))),AND(IF(metadata!F45="",FALSE,TRUE),OR(EXACT(metadata!F45,"TRUE"),EXACT(metadata!F45,"FALSE"))))</f>
        <v>0</v>
      </c>
      <c r="AR45" t="b">
        <f>OR(AND(IF(metadata!G45="",FALSE,TRUE),OR(EXACT(metadata!G45,"missing: not collected"),EXACT(metadata!G45,"missing: not provided"),EXACT(metadata!G45,"missing: restricted access"))),AND(IF(metadata!G45="",FALSE,ISNUMBER(VALUE(metadata!G45))),metadata!G45&gt;=-413))</f>
        <v>0</v>
      </c>
      <c r="AS45" t="b">
        <f>AND(IF(metadata!H45="",FALSE,TRUE),EXACT(metadata!H45,"meters"))</f>
        <v>0</v>
      </c>
      <c r="AT45" t="b">
        <f>AND(IF(metadata!I45="",FALSE,TRUE),OR(EXACT(metadata!I45,"Host-associated"),EXACT(metadata!I45,"Free-living")))</f>
        <v>0</v>
      </c>
      <c r="AU45" t="b">
        <f>AND(IF(metadata!J45="",FALSE,TRUE),OR(EXACT(metadata!J45,"Animal"),EXACT(metadata!J45,"Fungus"),EXACT(metadata!J45,"Plant"),EXACT(metadata!J45,"Saline"),EXACT(metadata!J45,"Non-saline")))</f>
        <v>0</v>
      </c>
      <c r="AV45" t="b">
        <f>AND(IF(metadata!K45="",FALSE,TRUE),OR(EXACT(metadata!K45,"Plant secretion"),EXACT(metadata!K45,"Plant rhizosphere"),EXACT(metadata!K45,"Plant surface"),EXACT(metadata!K45,"Plant corpus"),EXACT(metadata!K45,"Fungus surface"),EXACT(metadata!K45,"Fungus corpus"),EXACT(metadata!K45,"Animal surface"),EXACT(metadata!K45,"Animal proximal gut"),EXACT(metadata!K45,"Animal corpus"),EXACT(metadata!K45,"Animal distal gut"),EXACT(metadata!K45,"Animal secretion"),EXACT(metadata!K45,"Sub-surface (non-saline)"),EXACT(metadata!K45,"Surface (non-saline)"),EXACT(metadata!K45,"Water (non-saline)"),EXACT(metadata!K45,"Soil (non-saline)"),EXACT(metadata!K45,"Aerosol (non-saline)"),EXACT(metadata!K45,"Sediment (non-saline)"),EXACT(metadata!K45,"Surface (saline)"),EXACT(metadata!K45,"Water (saline)"),EXACT(metadata!K45,"Hypersaline (saline)"),EXACT(metadata!K45,"Aerosol (saline)"),EXACT(metadata!K45,"Sediment (saline)")))</f>
        <v>0</v>
      </c>
      <c r="AW45" t="b">
        <f>IF(metadata!L45="",FALSE,TRUE)</f>
        <v>0</v>
      </c>
      <c r="AX45" t="b">
        <f>IF(metadata!M45="",FALSE,TRUE)</f>
        <v>0</v>
      </c>
      <c r="AY45" t="b">
        <f>IF(metadata!N45="",FALSE,TRUE)</f>
        <v>0</v>
      </c>
      <c r="AZ45" t="b">
        <f>OR(AND(IF(metadata!O45="",FALSE,TRUE),OR(EXACT(metadata!O45,"missing: not collected"),EXACT(metadata!O45,"missing: not provided"),EXACT(metadata!O45,"missing: restricted access"))),AND(IF(metadata!O45="",FALSE,TRUE),OR(EXACT(metadata!O45,"air"),EXACT(metadata!O45,"built environment"),EXACT(metadata!O45,"host-associated"),EXACT(metadata!O45,"human-associated"),EXACT(metadata!O45,"human-skin"),EXACT(metadata!O45,"human-oral"),EXACT(metadata!O45,"human-gut"),EXACT(metadata!O45,"human-vaginal"),EXACT(metadata!O45,"microbial mat/biofilm"),EXACT(metadata!O45,"misc environment"),EXACT(metadata!O45,"plant-associated"),EXACT(metadata!O45,"sediment"),EXACT(metadata!O45,"soil"),EXACT(metadata!O45,"wastewater/sludge"),EXACT(metadata!O45,"water"))))</f>
        <v>0</v>
      </c>
      <c r="BA45" t="b">
        <f>IF(metadata!P45="",FALSE,TRUE)</f>
        <v>0</v>
      </c>
      <c r="BB45" t="b">
        <f>IF(metadata!Q45="",FALSE,TRUE)</f>
        <v>0</v>
      </c>
      <c r="BC45" t="b">
        <f>OR(AND(IF(metadata!R45="",FALSE,TRUE),OR(EXACT(metadata!R45,"missing: not collected"),EXACT(metadata!R45,"missing: not provided"),EXACT(metadata!R45,"missing: restricted access"))),AND(IF(metadata!R45="",FALSE,ISNUMBER(VALUE(metadata!R45))),metadata!R45&gt;=-90,metadata!R45&lt;=90))</f>
        <v>0</v>
      </c>
      <c r="BD45" t="b">
        <f>AND(IF(metadata!S45="",FALSE,TRUE),EXACT(metadata!S45,"Decimal degrees"))</f>
        <v>0</v>
      </c>
      <c r="BE45" t="b">
        <f>OR(AND(IF(metadata!T45="",FALSE,TRUE),OR(EXACT(metadata!T45,"missing: not collected"),EXACT(metadata!T45,"missing: not provided"),EXACT(metadata!T45,"missing: restricted access"))),AND(IF(metadata!T45="",FALSE,ISNUMBER(VALUE(metadata!T45))),metadata!T45&gt;=-180,metadata!T45&lt;=180))</f>
        <v>0</v>
      </c>
      <c r="BF45" t="b">
        <f>AND(IF(metadata!U45="",FALSE,TRUE),EXACT(metadata!U45,"Decimal degrees"))</f>
        <v>0</v>
      </c>
      <c r="BG45" t="b">
        <f>IF(metadata!V45="",FALSE,TRUE)</f>
        <v>0</v>
      </c>
      <c r="BH45" t="b">
        <f>OR(AND(IF(metadata!W45="",FALSE,TRUE),OR(EXACT(metadata!W45,"missing: not collected"),EXACT(metadata!W45,"missing: not provided"),EXACT(metadata!W45,"missing: restricted access"))),AND(IF(metadata!W45="",FALSE,TRUE),OR(EXACT(metadata!W45,"TRUE"),EXACT(metadata!W45,"FALSE"))))</f>
        <v>0</v>
      </c>
      <c r="BI45" t="b">
        <f>AND(IF(metadata!X45="",FALSE,TRUE),EXACT(metadata!X45,"other"))</f>
        <v>0</v>
      </c>
      <c r="BJ45" t="b">
        <f>IF(metadata!Y45="",FALSE,TRUE)</f>
        <v>0</v>
      </c>
      <c r="BK45" t="b">
        <f>OR(AND(IF(metadata!Z45="",FALSE,TRUE),OR(EXACT(metadata!Z45,"missing: not collected"),EXACT(metadata!Z45,"missing: not provided"))),AND(IF(metadata!Z45="",FALSE,IF(ISERROR(INT(metadata!Z45)),FALSE,INT(metadata!Z45)=metadata!Z45)),metadata!Z45&gt;0))</f>
        <v>0</v>
      </c>
      <c r="BL45" t="b">
        <f>AND(IF(metadata!AA45="",FALSE,TRUE),EXACT(metadata!AA45,"Not applicable"))</f>
        <v>0</v>
      </c>
      <c r="BM45" t="b">
        <f>IF(metadata!AB45="",FALSE,TRUE)</f>
        <v>0</v>
      </c>
    </row>
    <row r="46" spans="1:65" x14ac:dyDescent="0.2">
      <c r="A46" s="5" t="str">
        <f ca="1">IF(B46=" "," ",HYPERLINK(CONCATENATE("#metadata!",ADDRESS(INDEX($AH$2:$AH$1001,MATCH(ROWS($AF$2:AF46),$AF$2:$AF$1001,0),0),1)),INDEX($AK$2:$AK$1001,MATCH(ROWS($AF$2:AF46),$AF$2:$AF$1001,0),0)))</f>
        <v xml:space="preserve"> </v>
      </c>
      <c r="B46" s="4" t="str">
        <f ca="1">IF(OR(INDEX($AG$2:$AG$1001,MATCH(ROWS($AF$2:AF46),$AF$2:$AF$1001,0),1)&gt;=100000,INDEX($AM$1005:$BM$1005,1,MATCH(COLUMNS($AM$1006:AM1006),$AM$1006:$BM$1006,0))&gt;=100000), " ",IF(INDEX($AM$2:$BM$1001,MATCH(ROWS($AF$2:AF46),$AF$2:$AF$1001,0),MATCH(COLUMNS($AM$1006:AM1006),$AM$1006:$BM$1006,0)), HYPERLINK("#",""), HYPERLINK(CONCATENATE("#metadata!", ADDRESS(INDEX($AH$2:$AH$1001,MATCH(ROWS($AF$2:AF46),$AF$2:$AF$1001,0),0), INDEX($AM$1004:$BM$1004,1,MATCH(COLUMNS($AM$1006:AM1006),$AM$1006:$BM$1006,0)))),"Fix")))</f>
        <v xml:space="preserve"> </v>
      </c>
      <c r="C46" s="4" t="str">
        <f ca="1">IF(OR(INDEX($AG$2:$AG$1001,MATCH(ROWS($AF$2:AF46),$AF$2:$AF$1001,0),1)&gt;=100000,INDEX($AM$1005:$BM$1005,1,MATCH(COLUMNS($AM$1006:AN1006),$AM$1006:$BM$1006,0))&gt;=100000), " ",IF(INDEX($AM$2:$BM$1001,MATCH(ROWS($AF$2:AF46),$AF$2:$AF$1001,0),MATCH(COLUMNS($AM$1006:AN1006),$AM$1006:$BM$1006,0)), HYPERLINK("#",""), HYPERLINK(CONCATENATE("#metadata!", ADDRESS(INDEX($AH$2:$AH$1001,MATCH(ROWS($AF$2:AF46),$AF$2:$AF$1001,0),0), INDEX($AM$1004:$BM$1004,1,MATCH(COLUMNS($AM$1006:AN1006),$AM$1006:$BM$1006,0)))),"Fix")))</f>
        <v xml:space="preserve"> </v>
      </c>
      <c r="D46" s="4" t="str">
        <f ca="1">IF(OR(INDEX($AG$2:$AG$1001,MATCH(ROWS($AF$2:AF46),$AF$2:$AF$1001,0),1)&gt;=100000,INDEX($AM$1005:$BM$1005,1,MATCH(COLUMNS($AM$1006:AO1006),$AM$1006:$BM$1006,0))&gt;=100000), " ",IF(INDEX($AM$2:$BM$1001,MATCH(ROWS($AF$2:AF46),$AF$2:$AF$1001,0),MATCH(COLUMNS($AM$1006:AO1006),$AM$1006:$BM$1006,0)), HYPERLINK("#",""), HYPERLINK(CONCATENATE("#metadata!", ADDRESS(INDEX($AH$2:$AH$1001,MATCH(ROWS($AF$2:AF46),$AF$2:$AF$1001,0),0), INDEX($AM$1004:$BM$1004,1,MATCH(COLUMNS($AM$1006:AO1006),$AM$1006:$BM$1006,0)))),"Fix")))</f>
        <v xml:space="preserve"> </v>
      </c>
      <c r="E46" s="4" t="str">
        <f ca="1">IF(OR(INDEX($AG$2:$AG$1001,MATCH(ROWS($AF$2:AF46),$AF$2:$AF$1001,0),1)&gt;=100000,INDEX($AM$1005:$BM$1005,1,MATCH(COLUMNS($AM$1006:AP1006),$AM$1006:$BM$1006,0))&gt;=100000), " ",IF(INDEX($AM$2:$BM$1001,MATCH(ROWS($AF$2:AF46),$AF$2:$AF$1001,0),MATCH(COLUMNS($AM$1006:AP1006),$AM$1006:$BM$1006,0)), HYPERLINK("#",""), HYPERLINK(CONCATENATE("#metadata!", ADDRESS(INDEX($AH$2:$AH$1001,MATCH(ROWS($AF$2:AF46),$AF$2:$AF$1001,0),0), INDEX($AM$1004:$BM$1004,1,MATCH(COLUMNS($AM$1006:AP1006),$AM$1006:$BM$1006,0)))),"Fix")))</f>
        <v xml:space="preserve"> </v>
      </c>
      <c r="F46" s="4" t="str">
        <f ca="1">IF(OR(INDEX($AG$2:$AG$1001,MATCH(ROWS($AF$2:AF46),$AF$2:$AF$1001,0),1)&gt;=100000,INDEX($AM$1005:$BM$1005,1,MATCH(COLUMNS($AM$1006:AQ1006),$AM$1006:$BM$1006,0))&gt;=100000), " ",IF(INDEX($AM$2:$BM$1001,MATCH(ROWS($AF$2:AF46),$AF$2:$AF$1001,0),MATCH(COLUMNS($AM$1006:AQ1006),$AM$1006:$BM$1006,0)), HYPERLINK("#",""), HYPERLINK(CONCATENATE("#metadata!", ADDRESS(INDEX($AH$2:$AH$1001,MATCH(ROWS($AF$2:AF46),$AF$2:$AF$1001,0),0), INDEX($AM$1004:$BM$1004,1,MATCH(COLUMNS($AM$1006:AQ1006),$AM$1006:$BM$1006,0)))),"Fix")))</f>
        <v xml:space="preserve"> </v>
      </c>
      <c r="G46" s="4" t="str">
        <f ca="1">IF(OR(INDEX($AG$2:$AG$1001,MATCH(ROWS($AF$2:AF46),$AF$2:$AF$1001,0),1)&gt;=100000,INDEX($AM$1005:$BM$1005,1,MATCH(COLUMNS($AM$1006:AR1006),$AM$1006:$BM$1006,0))&gt;=100000), " ",IF(INDEX($AM$2:$BM$1001,MATCH(ROWS($AF$2:AF46),$AF$2:$AF$1001,0),MATCH(COLUMNS($AM$1006:AR1006),$AM$1006:$BM$1006,0)), HYPERLINK("#",""), HYPERLINK(CONCATENATE("#metadata!", ADDRESS(INDEX($AH$2:$AH$1001,MATCH(ROWS($AF$2:AF46),$AF$2:$AF$1001,0),0), INDEX($AM$1004:$BM$1004,1,MATCH(COLUMNS($AM$1006:AR1006),$AM$1006:$BM$1006,0)))),"Fix")))</f>
        <v xml:space="preserve"> </v>
      </c>
      <c r="H46" s="4" t="str">
        <f ca="1">IF(OR(INDEX($AG$2:$AG$1001,MATCH(ROWS($AF$2:AF46),$AF$2:$AF$1001,0),1)&gt;=100000,INDEX($AM$1005:$BM$1005,1,MATCH(COLUMNS($AM$1006:AS1006),$AM$1006:$BM$1006,0))&gt;=100000), " ",IF(INDEX($AM$2:$BM$1001,MATCH(ROWS($AF$2:AF46),$AF$2:$AF$1001,0),MATCH(COLUMNS($AM$1006:AS1006),$AM$1006:$BM$1006,0)), HYPERLINK("#",""), HYPERLINK(CONCATENATE("#metadata!", ADDRESS(INDEX($AH$2:$AH$1001,MATCH(ROWS($AF$2:AF46),$AF$2:$AF$1001,0),0), INDEX($AM$1004:$BM$1004,1,MATCH(COLUMNS($AM$1006:AS1006),$AM$1006:$BM$1006,0)))),"Fix")))</f>
        <v xml:space="preserve"> </v>
      </c>
      <c r="I46" s="4" t="str">
        <f ca="1">IF(OR(INDEX($AG$2:$AG$1001,MATCH(ROWS($AF$2:AF46),$AF$2:$AF$1001,0),1)&gt;=100000,INDEX($AM$1005:$BM$1005,1,MATCH(COLUMNS($AM$1006:AT1006),$AM$1006:$BM$1006,0))&gt;=100000), " ",IF(INDEX($AM$2:$BM$1001,MATCH(ROWS($AF$2:AF46),$AF$2:$AF$1001,0),MATCH(COLUMNS($AM$1006:AT1006),$AM$1006:$BM$1006,0)), HYPERLINK("#",""), HYPERLINK(CONCATENATE("#metadata!", ADDRESS(INDEX($AH$2:$AH$1001,MATCH(ROWS($AF$2:AF46),$AF$2:$AF$1001,0),0), INDEX($AM$1004:$BM$1004,1,MATCH(COLUMNS($AM$1006:AT1006),$AM$1006:$BM$1006,0)))),"Fix")))</f>
        <v xml:space="preserve"> </v>
      </c>
      <c r="J46" s="4" t="str">
        <f ca="1">IF(OR(INDEX($AG$2:$AG$1001,MATCH(ROWS($AF$2:AF46),$AF$2:$AF$1001,0),1)&gt;=100000,INDEX($AM$1005:$BM$1005,1,MATCH(COLUMNS($AM$1006:AU1006),$AM$1006:$BM$1006,0))&gt;=100000), " ",IF(INDEX($AM$2:$BM$1001,MATCH(ROWS($AF$2:AF46),$AF$2:$AF$1001,0),MATCH(COLUMNS($AM$1006:AU1006),$AM$1006:$BM$1006,0)), HYPERLINK("#",""), HYPERLINK(CONCATENATE("#metadata!", ADDRESS(INDEX($AH$2:$AH$1001,MATCH(ROWS($AF$2:AF46),$AF$2:$AF$1001,0),0), INDEX($AM$1004:$BM$1004,1,MATCH(COLUMNS($AM$1006:AU1006),$AM$1006:$BM$1006,0)))),"Fix")))</f>
        <v xml:space="preserve"> </v>
      </c>
      <c r="K46" s="4" t="str">
        <f ca="1">IF(OR(INDEX($AG$2:$AG$1001,MATCH(ROWS($AF$2:AF46),$AF$2:$AF$1001,0),1)&gt;=100000,INDEX($AM$1005:$BM$1005,1,MATCH(COLUMNS($AM$1006:AV1006),$AM$1006:$BM$1006,0))&gt;=100000), " ",IF(INDEX($AM$2:$BM$1001,MATCH(ROWS($AF$2:AF46),$AF$2:$AF$1001,0),MATCH(COLUMNS($AM$1006:AV1006),$AM$1006:$BM$1006,0)), HYPERLINK("#",""), HYPERLINK(CONCATENATE("#metadata!", ADDRESS(INDEX($AH$2:$AH$1001,MATCH(ROWS($AF$2:AF46),$AF$2:$AF$1001,0),0), INDEX($AM$1004:$BM$1004,1,MATCH(COLUMNS($AM$1006:AV1006),$AM$1006:$BM$1006,0)))),"Fix")))</f>
        <v xml:space="preserve"> </v>
      </c>
      <c r="L46" s="4" t="str">
        <f ca="1">IF(OR(INDEX($AG$2:$AG$1001,MATCH(ROWS($AF$2:AF46),$AF$2:$AF$1001,0),1)&gt;=100000,INDEX($AM$1005:$BM$1005,1,MATCH(COLUMNS($AM$1006:AW1006),$AM$1006:$BM$1006,0))&gt;=100000), " ",IF(INDEX($AM$2:$BM$1001,MATCH(ROWS($AF$2:AF46),$AF$2:$AF$1001,0),MATCH(COLUMNS($AM$1006:AW1006),$AM$1006:$BM$1006,0)), HYPERLINK("#",""), HYPERLINK(CONCATENATE("#metadata!", ADDRESS(INDEX($AH$2:$AH$1001,MATCH(ROWS($AF$2:AF46),$AF$2:$AF$1001,0),0), INDEX($AM$1004:$BM$1004,1,MATCH(COLUMNS($AM$1006:AW1006),$AM$1006:$BM$1006,0)))),"Fix")))</f>
        <v xml:space="preserve"> </v>
      </c>
      <c r="M46" s="4" t="str">
        <f ca="1">IF(OR(INDEX($AG$2:$AG$1001,MATCH(ROWS($AF$2:AF46),$AF$2:$AF$1001,0),1)&gt;=100000,INDEX($AM$1005:$BM$1005,1,MATCH(COLUMNS($AM$1006:AX1006),$AM$1006:$BM$1006,0))&gt;=100000), " ",IF(INDEX($AM$2:$BM$1001,MATCH(ROWS($AF$2:AF46),$AF$2:$AF$1001,0),MATCH(COLUMNS($AM$1006:AX1006),$AM$1006:$BM$1006,0)), HYPERLINK("#",""), HYPERLINK(CONCATENATE("#metadata!", ADDRESS(INDEX($AH$2:$AH$1001,MATCH(ROWS($AF$2:AF46),$AF$2:$AF$1001,0),0), INDEX($AM$1004:$BM$1004,1,MATCH(COLUMNS($AM$1006:AX1006),$AM$1006:$BM$1006,0)))),"Fix")))</f>
        <v xml:space="preserve"> </v>
      </c>
      <c r="N46" s="4" t="str">
        <f ca="1">IF(OR(INDEX($AG$2:$AG$1001,MATCH(ROWS($AF$2:AF46),$AF$2:$AF$1001,0),1)&gt;=100000,INDEX($AM$1005:$BM$1005,1,MATCH(COLUMNS($AM$1006:AY1006),$AM$1006:$BM$1006,0))&gt;=100000), " ",IF(INDEX($AM$2:$BM$1001,MATCH(ROWS($AF$2:AF46),$AF$2:$AF$1001,0),MATCH(COLUMNS($AM$1006:AY1006),$AM$1006:$BM$1006,0)), HYPERLINK("#",""), HYPERLINK(CONCATENATE("#metadata!", ADDRESS(INDEX($AH$2:$AH$1001,MATCH(ROWS($AF$2:AF46),$AF$2:$AF$1001,0),0), INDEX($AM$1004:$BM$1004,1,MATCH(COLUMNS($AM$1006:AY1006),$AM$1006:$BM$1006,0)))),"Fix")))</f>
        <v xml:space="preserve"> </v>
      </c>
      <c r="O46" s="4" t="str">
        <f ca="1">IF(OR(INDEX($AG$2:$AG$1001,MATCH(ROWS($AF$2:AF46),$AF$2:$AF$1001,0),1)&gt;=100000,INDEX($AM$1005:$BM$1005,1,MATCH(COLUMNS($AM$1006:AZ1006),$AM$1006:$BM$1006,0))&gt;=100000), " ",IF(INDEX($AM$2:$BM$1001,MATCH(ROWS($AF$2:AF46),$AF$2:$AF$1001,0),MATCH(COLUMNS($AM$1006:AZ1006),$AM$1006:$BM$1006,0)), HYPERLINK("#",""), HYPERLINK(CONCATENATE("#metadata!", ADDRESS(INDEX($AH$2:$AH$1001,MATCH(ROWS($AF$2:AF46),$AF$2:$AF$1001,0),0), INDEX($AM$1004:$BM$1004,1,MATCH(COLUMNS($AM$1006:AZ1006),$AM$1006:$BM$1006,0)))),"Fix")))</f>
        <v xml:space="preserve"> </v>
      </c>
      <c r="P46" s="4" t="str">
        <f ca="1">IF(OR(INDEX($AG$2:$AG$1001,MATCH(ROWS($AF$2:AF46),$AF$2:$AF$1001,0),1)&gt;=100000,INDEX($AM$1005:$BM$1005,1,MATCH(COLUMNS($AM$1006:BA1006),$AM$1006:$BM$1006,0))&gt;=100000), " ",IF(INDEX($AM$2:$BM$1001,MATCH(ROWS($AF$2:AF46),$AF$2:$AF$1001,0),MATCH(COLUMNS($AM$1006:BA1006),$AM$1006:$BM$1006,0)), HYPERLINK("#",""), HYPERLINK(CONCATENATE("#metadata!", ADDRESS(INDEX($AH$2:$AH$1001,MATCH(ROWS($AF$2:AF46),$AF$2:$AF$1001,0),0), INDEX($AM$1004:$BM$1004,1,MATCH(COLUMNS($AM$1006:BA1006),$AM$1006:$BM$1006,0)))),"Fix")))</f>
        <v xml:space="preserve"> </v>
      </c>
      <c r="Q46" s="4" t="str">
        <f ca="1">IF(OR(INDEX($AG$2:$AG$1001,MATCH(ROWS($AF$2:AF46),$AF$2:$AF$1001,0),1)&gt;=100000,INDEX($AM$1005:$BM$1005,1,MATCH(COLUMNS($AM$1006:BB1006),$AM$1006:$BM$1006,0))&gt;=100000), " ",IF(INDEX($AM$2:$BM$1001,MATCH(ROWS($AF$2:AF46),$AF$2:$AF$1001,0),MATCH(COLUMNS($AM$1006:BB1006),$AM$1006:$BM$1006,0)), HYPERLINK("#",""), HYPERLINK(CONCATENATE("#metadata!", ADDRESS(INDEX($AH$2:$AH$1001,MATCH(ROWS($AF$2:AF46),$AF$2:$AF$1001,0),0), INDEX($AM$1004:$BM$1004,1,MATCH(COLUMNS($AM$1006:BB1006),$AM$1006:$BM$1006,0)))),"Fix")))</f>
        <v xml:space="preserve"> </v>
      </c>
      <c r="R46" s="4" t="str">
        <f ca="1">IF(OR(INDEX($AG$2:$AG$1001,MATCH(ROWS($AF$2:AF46),$AF$2:$AF$1001,0),1)&gt;=100000,INDEX($AM$1005:$BM$1005,1,MATCH(COLUMNS($AM$1006:BC1006),$AM$1006:$BM$1006,0))&gt;=100000), " ",IF(INDEX($AM$2:$BM$1001,MATCH(ROWS($AF$2:AF46),$AF$2:$AF$1001,0),MATCH(COLUMNS($AM$1006:BC1006),$AM$1006:$BM$1006,0)), HYPERLINK("#",""), HYPERLINK(CONCATENATE("#metadata!", ADDRESS(INDEX($AH$2:$AH$1001,MATCH(ROWS($AF$2:AF46),$AF$2:$AF$1001,0),0), INDEX($AM$1004:$BM$1004,1,MATCH(COLUMNS($AM$1006:BC1006),$AM$1006:$BM$1006,0)))),"Fix")))</f>
        <v xml:space="preserve"> </v>
      </c>
      <c r="S46" s="4" t="str">
        <f ca="1">IF(OR(INDEX($AG$2:$AG$1001,MATCH(ROWS($AF$2:AF46),$AF$2:$AF$1001,0),1)&gt;=100000,INDEX($AM$1005:$BM$1005,1,MATCH(COLUMNS($AM$1006:BD1006),$AM$1006:$BM$1006,0))&gt;=100000), " ",IF(INDEX($AM$2:$BM$1001,MATCH(ROWS($AF$2:AF46),$AF$2:$AF$1001,0),MATCH(COLUMNS($AM$1006:BD1006),$AM$1006:$BM$1006,0)), HYPERLINK("#",""), HYPERLINK(CONCATENATE("#metadata!", ADDRESS(INDEX($AH$2:$AH$1001,MATCH(ROWS($AF$2:AF46),$AF$2:$AF$1001,0),0), INDEX($AM$1004:$BM$1004,1,MATCH(COLUMNS($AM$1006:BD1006),$AM$1006:$BM$1006,0)))),"Fix")))</f>
        <v xml:space="preserve"> </v>
      </c>
      <c r="T46" s="4" t="str">
        <f ca="1">IF(OR(INDEX($AG$2:$AG$1001,MATCH(ROWS($AF$2:AF46),$AF$2:$AF$1001,0),1)&gt;=100000,INDEX($AM$1005:$BM$1005,1,MATCH(COLUMNS($AM$1006:BE1006),$AM$1006:$BM$1006,0))&gt;=100000), " ",IF(INDEX($AM$2:$BM$1001,MATCH(ROWS($AF$2:AF46),$AF$2:$AF$1001,0),MATCH(COLUMNS($AM$1006:BE1006),$AM$1006:$BM$1006,0)), HYPERLINK("#",""), HYPERLINK(CONCATENATE("#metadata!", ADDRESS(INDEX($AH$2:$AH$1001,MATCH(ROWS($AF$2:AF46),$AF$2:$AF$1001,0),0), INDEX($AM$1004:$BM$1004,1,MATCH(COLUMNS($AM$1006:BE1006),$AM$1006:$BM$1006,0)))),"Fix")))</f>
        <v xml:space="preserve"> </v>
      </c>
      <c r="U46" s="4" t="str">
        <f ca="1">IF(OR(INDEX($AG$2:$AG$1001,MATCH(ROWS($AF$2:AF46),$AF$2:$AF$1001,0),1)&gt;=100000,INDEX($AM$1005:$BM$1005,1,MATCH(COLUMNS($AM$1006:BF1006),$AM$1006:$BM$1006,0))&gt;=100000), " ",IF(INDEX($AM$2:$BM$1001,MATCH(ROWS($AF$2:AF46),$AF$2:$AF$1001,0),MATCH(COLUMNS($AM$1006:BF1006),$AM$1006:$BM$1006,0)), HYPERLINK("#",""), HYPERLINK(CONCATENATE("#metadata!", ADDRESS(INDEX($AH$2:$AH$1001,MATCH(ROWS($AF$2:AF46),$AF$2:$AF$1001,0),0), INDEX($AM$1004:$BM$1004,1,MATCH(COLUMNS($AM$1006:BF1006),$AM$1006:$BM$1006,0)))),"Fix")))</f>
        <v xml:space="preserve"> </v>
      </c>
      <c r="V46" s="4" t="str">
        <f ca="1">IF(OR(INDEX($AG$2:$AG$1001,MATCH(ROWS($AF$2:AF46),$AF$2:$AF$1001,0),1)&gt;=100000,INDEX($AM$1005:$BM$1005,1,MATCH(COLUMNS($AM$1006:BG1006),$AM$1006:$BM$1006,0))&gt;=100000), " ",IF(INDEX($AM$2:$BM$1001,MATCH(ROWS($AF$2:AF46),$AF$2:$AF$1001,0),MATCH(COLUMNS($AM$1006:BG1006),$AM$1006:$BM$1006,0)), HYPERLINK("#",""), HYPERLINK(CONCATENATE("#metadata!", ADDRESS(INDEX($AH$2:$AH$1001,MATCH(ROWS($AF$2:AF46),$AF$2:$AF$1001,0),0), INDEX($AM$1004:$BM$1004,1,MATCH(COLUMNS($AM$1006:BG1006),$AM$1006:$BM$1006,0)))),"Fix")))</f>
        <v xml:space="preserve"> </v>
      </c>
      <c r="W46" s="4" t="str">
        <f ca="1">IF(OR(INDEX($AG$2:$AG$1001,MATCH(ROWS($AF$2:AF46),$AF$2:$AF$1001,0),1)&gt;=100000,INDEX($AM$1005:$BM$1005,1,MATCH(COLUMNS($AM$1006:BH1006),$AM$1006:$BM$1006,0))&gt;=100000), " ",IF(INDEX($AM$2:$BM$1001,MATCH(ROWS($AF$2:AF46),$AF$2:$AF$1001,0),MATCH(COLUMNS($AM$1006:BH1006),$AM$1006:$BM$1006,0)), HYPERLINK("#",""), HYPERLINK(CONCATENATE("#metadata!", ADDRESS(INDEX($AH$2:$AH$1001,MATCH(ROWS($AF$2:AF46),$AF$2:$AF$1001,0),0), INDEX($AM$1004:$BM$1004,1,MATCH(COLUMNS($AM$1006:BH1006),$AM$1006:$BM$1006,0)))),"Fix")))</f>
        <v xml:space="preserve"> </v>
      </c>
      <c r="X46" s="4" t="str">
        <f ca="1">IF(OR(INDEX($AG$2:$AG$1001,MATCH(ROWS($AF$2:AF46),$AF$2:$AF$1001,0),1)&gt;=100000,INDEX($AM$1005:$BM$1005,1,MATCH(COLUMNS($AM$1006:BI1006),$AM$1006:$BM$1006,0))&gt;=100000), " ",IF(INDEX($AM$2:$BM$1001,MATCH(ROWS($AF$2:AF46),$AF$2:$AF$1001,0),MATCH(COLUMNS($AM$1006:BI1006),$AM$1006:$BM$1006,0)), HYPERLINK("#",""), HYPERLINK(CONCATENATE("#metadata!", ADDRESS(INDEX($AH$2:$AH$1001,MATCH(ROWS($AF$2:AF46),$AF$2:$AF$1001,0),0), INDEX($AM$1004:$BM$1004,1,MATCH(COLUMNS($AM$1006:BI1006),$AM$1006:$BM$1006,0)))),"Fix")))</f>
        <v xml:space="preserve"> </v>
      </c>
      <c r="Y46" s="4" t="str">
        <f ca="1">IF(OR(INDEX($AG$2:$AG$1001,MATCH(ROWS($AF$2:AF46),$AF$2:$AF$1001,0),1)&gt;=100000,INDEX($AM$1005:$BM$1005,1,MATCH(COLUMNS($AM$1006:BJ1006),$AM$1006:$BM$1006,0))&gt;=100000), " ",IF(INDEX($AM$2:$BM$1001,MATCH(ROWS($AF$2:AF46),$AF$2:$AF$1001,0),MATCH(COLUMNS($AM$1006:BJ1006),$AM$1006:$BM$1006,0)), HYPERLINK("#",""), HYPERLINK(CONCATENATE("#metadata!", ADDRESS(INDEX($AH$2:$AH$1001,MATCH(ROWS($AF$2:AF46),$AF$2:$AF$1001,0),0), INDEX($AM$1004:$BM$1004,1,MATCH(COLUMNS($AM$1006:BJ1006),$AM$1006:$BM$1006,0)))),"Fix")))</f>
        <v xml:space="preserve"> </v>
      </c>
      <c r="Z46" s="4" t="str">
        <f ca="1">IF(OR(INDEX($AG$2:$AG$1001,MATCH(ROWS($AF$2:AF46),$AF$2:$AF$1001,0),1)&gt;=100000,INDEX($AM$1005:$BM$1005,1,MATCH(COLUMNS($AM$1006:BK1006),$AM$1006:$BM$1006,0))&gt;=100000), " ",IF(INDEX($AM$2:$BM$1001,MATCH(ROWS($AF$2:AF46),$AF$2:$AF$1001,0),MATCH(COLUMNS($AM$1006:BK1006),$AM$1006:$BM$1006,0)), HYPERLINK("#",""), HYPERLINK(CONCATENATE("#metadata!", ADDRESS(INDEX($AH$2:$AH$1001,MATCH(ROWS($AF$2:AF46),$AF$2:$AF$1001,0),0), INDEX($AM$1004:$BM$1004,1,MATCH(COLUMNS($AM$1006:BK1006),$AM$1006:$BM$1006,0)))),"Fix")))</f>
        <v xml:space="preserve"> </v>
      </c>
      <c r="AA46" s="4" t="str">
        <f ca="1">IF(OR(INDEX($AG$2:$AG$1001,MATCH(ROWS($AF$2:AF46),$AF$2:$AF$1001,0),1)&gt;=100000,INDEX($AM$1005:$BM$1005,1,MATCH(COLUMNS($AM$1006:BL1006),$AM$1006:$BM$1006,0))&gt;=100000), " ",IF(INDEX($AM$2:$BM$1001,MATCH(ROWS($AF$2:AF46),$AF$2:$AF$1001,0),MATCH(COLUMNS($AM$1006:BL1006),$AM$1006:$BM$1006,0)), HYPERLINK("#",""), HYPERLINK(CONCATENATE("#metadata!", ADDRESS(INDEX($AH$2:$AH$1001,MATCH(ROWS($AF$2:AF46),$AF$2:$AF$1001,0),0), INDEX($AM$1004:$BM$1004,1,MATCH(COLUMNS($AM$1006:BL1006),$AM$1006:$BM$1006,0)))),"Fix")))</f>
        <v xml:space="preserve"> </v>
      </c>
      <c r="AB46" s="4" t="str">
        <f ca="1">IF(OR(INDEX($AG$2:$AG$1001,MATCH(ROWS($AF$2:AF46),$AF$2:$AF$1001,0),1)&gt;=100000,INDEX($AM$1005:$BM$1005,1,MATCH(COLUMNS($AM$1006:BM1006),$AM$1006:$BM$1006,0))&gt;=100000), " ",IF(INDEX($AM$2:$BM$1001,MATCH(ROWS($AF$2:AF46),$AF$2:$AF$1001,0),MATCH(COLUMNS($AM$1006:BM1006),$AM$1006:$BM$1006,0)), HYPERLINK("#",""), HYPERLINK(CONCATENATE("#metadata!", ADDRESS(INDEX($AH$2:$AH$1001,MATCH(ROWS($AF$2:AF46),$AF$2:$AF$1001,0),0), INDEX($AM$1004:$BM$1004,1,MATCH(COLUMNS($AM$1006:BM1006),$AM$1006:$BM$1006,0)))),"Fix")))</f>
        <v xml:space="preserve"> </v>
      </c>
      <c r="AF46">
        <v>45</v>
      </c>
      <c r="AG46">
        <v>100046</v>
      </c>
      <c r="AH46">
        <v>46</v>
      </c>
      <c r="AI46" t="b">
        <f t="shared" si="0"/>
        <v>1</v>
      </c>
      <c r="AJ46" t="b">
        <f>COUNTBLANK(metadata!B46:AB46)=COLUMNS(metadata!B46:AB46)</f>
        <v>1</v>
      </c>
      <c r="AK46" t="str">
        <v/>
      </c>
      <c r="AM46" t="b">
        <f ca="1">AND(IF(metadata!B46="",FALSE,TRUE),COUNTIF(metadata!B:B, metadata!B46) = 1,NOT(ISERROR(SUMPRODUCT(SEARCH(MID(metadata!B46,ROW(INDIRECT("1:"&amp;LEN(metadata!B46))), 1),"0123456789abcdefghijklmnopqrstuvwxyzABCDEFGHIJKLMNOPQRSTUVWXYZ.")))))</f>
        <v>0</v>
      </c>
      <c r="AN46" t="b">
        <f ca="1">OR(AND(IF(metadata!C46="",FALSE,TRUE),OR(EXACT(metadata!C46,"missing: not collected"),EXACT(metadata!C46,"missing: not provided"),EXACT(metadata!C46,"missing: restricted access"))),AND(IF(metadata!C46="",FALSE,TRUE),AND(AND(IFERROR(INT(LEFT(metadata!C46,4))&gt;1900,FALSE),IFERROR(INT(LEFT(metadata!C46,4))&lt;=YEAR(NOW()),FALSE)), OR(MID(metadata!C46,5,1)="", AND(AND(MID(metadata!C46,5,1)="-",IFERROR(INT(MID(metadata!C46,6,1))&gt;=0,FALSE),IFERROR(INT(MID(metadata!C46,6,1))&lt;=1,FALSE),NOT(MID(metadata!C46,7,1)=""),IFERROR(INT(MID(metadata!C46,6,2))&gt;=1,FALSE),IFERROR(INT(MID(metadata!C46,6,2))&lt;=12,FALSE)), OR(MID(metadata!C46,8,1)="", AND(AND(MID(metadata!C46,8,1)="-",IFERROR(INT(MID(metadata!C46,9,1))&gt;=0,FALSE),IFERROR(INT(MID(metadata!C46,9,1))&lt;=3,FALSE),NOT(MID(metadata!C46,10,1)=""),IFERROR(INT(MID(metadata!C46,9,2))&gt;=1,FALSE),IFERROR(INT(MID(metadata!C46,9,2))&lt;=31,FALSE)), OR(MID(metadata!C46,11,1)="", AND(AND(MID(metadata!C46,11,1)=" ",IFERROR(INT(MID(metadata!C46,12,1))&gt;=0,FALSE),IFERROR(INT(MID(metadata!C46,12,1))&lt;=2,FALSE),NOT(MID(metadata!C46,13,1)=""),IFERROR(INT(MID(metadata!C46,12,2))&gt;=0,FALSE),IFERROR(INT(MID(metadata!C46,12,2))&lt;=23,FALSE)), OR(MID(metadata!C46,14,1)="", AND(AND(MID(metadata!C46,14,1)=":",IFERROR(INT(MID(metadata!C46,15,1))&gt;=0,FALSE),IFERROR(INT(MID(metadata!C46,15,1))&lt;=5,FALSE),NOT(MID(metadata!C46,16,1)=""),IFERROR(INT(MID(metadata!C46,15,2))&gt;=0,FALSE),IFERROR(INT(MID(metadata!C46,15,2))&lt;=59,FALSE)), OR(MID(metadata!C46,17,1)="", AND(AND(MID(metadata!C46,17,1)=":",IFERROR(INT(MID(metadata!C46,18,1))&gt;=0,FALSE),IFERROR(INT(MID(metadata!C46,18,1))&lt;=5,FALSE),NOT(MID(metadata!C46,19,1)=""),IFERROR(INT(MID(metadata!C46,18,2))&gt;=0,FALSE),IFERROR(INT(MID(metadata!C46,18,2))&lt;=59,FALSE)), LEN(metadata!C46)&lt;=19)))))))))))))</f>
        <v>0</v>
      </c>
      <c r="AO46" t="b">
        <f>AND(IF(metadata!D46="",FALSE,TRUE),EXACT(metadata!D46,"Not applicable"))</f>
        <v>0</v>
      </c>
      <c r="AP46" t="b">
        <f>IF(metadata!E46="",FALSE,TRUE)</f>
        <v>0</v>
      </c>
      <c r="AQ46" t="b">
        <f>OR(AND(IF(metadata!F46="",FALSE,TRUE),OR(EXACT(metadata!F46,"missing: not collected"),EXACT(metadata!F46,"missing: not provided"))),AND(IF(metadata!F46="",FALSE,TRUE),OR(EXACT(metadata!F46,"TRUE"),EXACT(metadata!F46,"FALSE"))))</f>
        <v>0</v>
      </c>
      <c r="AR46" t="b">
        <f>OR(AND(IF(metadata!G46="",FALSE,TRUE),OR(EXACT(metadata!G46,"missing: not collected"),EXACT(metadata!G46,"missing: not provided"),EXACT(metadata!G46,"missing: restricted access"))),AND(IF(metadata!G46="",FALSE,ISNUMBER(VALUE(metadata!G46))),metadata!G46&gt;=-413))</f>
        <v>0</v>
      </c>
      <c r="AS46" t="b">
        <f>AND(IF(metadata!H46="",FALSE,TRUE),EXACT(metadata!H46,"meters"))</f>
        <v>0</v>
      </c>
      <c r="AT46" t="b">
        <f>AND(IF(metadata!I46="",FALSE,TRUE),OR(EXACT(metadata!I46,"Host-associated"),EXACT(metadata!I46,"Free-living")))</f>
        <v>0</v>
      </c>
      <c r="AU46" t="b">
        <f>AND(IF(metadata!J46="",FALSE,TRUE),OR(EXACT(metadata!J46,"Animal"),EXACT(metadata!J46,"Fungus"),EXACT(metadata!J46,"Plant"),EXACT(metadata!J46,"Saline"),EXACT(metadata!J46,"Non-saline")))</f>
        <v>0</v>
      </c>
      <c r="AV46" t="b">
        <f>AND(IF(metadata!K46="",FALSE,TRUE),OR(EXACT(metadata!K46,"Plant secretion"),EXACT(metadata!K46,"Plant rhizosphere"),EXACT(metadata!K46,"Plant surface"),EXACT(metadata!K46,"Plant corpus"),EXACT(metadata!K46,"Fungus surface"),EXACT(metadata!K46,"Fungus corpus"),EXACT(metadata!K46,"Animal surface"),EXACT(metadata!K46,"Animal proximal gut"),EXACT(metadata!K46,"Animal corpus"),EXACT(metadata!K46,"Animal distal gut"),EXACT(metadata!K46,"Animal secretion"),EXACT(metadata!K46,"Sub-surface (non-saline)"),EXACT(metadata!K46,"Surface (non-saline)"),EXACT(metadata!K46,"Water (non-saline)"),EXACT(metadata!K46,"Soil (non-saline)"),EXACT(metadata!K46,"Aerosol (non-saline)"),EXACT(metadata!K46,"Sediment (non-saline)"),EXACT(metadata!K46,"Surface (saline)"),EXACT(metadata!K46,"Water (saline)"),EXACT(metadata!K46,"Hypersaline (saline)"),EXACT(metadata!K46,"Aerosol (saline)"),EXACT(metadata!K46,"Sediment (saline)")))</f>
        <v>0</v>
      </c>
      <c r="AW46" t="b">
        <f>IF(metadata!L46="",FALSE,TRUE)</f>
        <v>0</v>
      </c>
      <c r="AX46" t="b">
        <f>IF(metadata!M46="",FALSE,TRUE)</f>
        <v>0</v>
      </c>
      <c r="AY46" t="b">
        <f>IF(metadata!N46="",FALSE,TRUE)</f>
        <v>0</v>
      </c>
      <c r="AZ46" t="b">
        <f>OR(AND(IF(metadata!O46="",FALSE,TRUE),OR(EXACT(metadata!O46,"missing: not collected"),EXACT(metadata!O46,"missing: not provided"),EXACT(metadata!O46,"missing: restricted access"))),AND(IF(metadata!O46="",FALSE,TRUE),OR(EXACT(metadata!O46,"air"),EXACT(metadata!O46,"built environment"),EXACT(metadata!O46,"host-associated"),EXACT(metadata!O46,"human-associated"),EXACT(metadata!O46,"human-skin"),EXACT(metadata!O46,"human-oral"),EXACT(metadata!O46,"human-gut"),EXACT(metadata!O46,"human-vaginal"),EXACT(metadata!O46,"microbial mat/biofilm"),EXACT(metadata!O46,"misc environment"),EXACT(metadata!O46,"plant-associated"),EXACT(metadata!O46,"sediment"),EXACT(metadata!O46,"soil"),EXACT(metadata!O46,"wastewater/sludge"),EXACT(metadata!O46,"water"))))</f>
        <v>0</v>
      </c>
      <c r="BA46" t="b">
        <f>IF(metadata!P46="",FALSE,TRUE)</f>
        <v>0</v>
      </c>
      <c r="BB46" t="b">
        <f>IF(metadata!Q46="",FALSE,TRUE)</f>
        <v>0</v>
      </c>
      <c r="BC46" t="b">
        <f>OR(AND(IF(metadata!R46="",FALSE,TRUE),OR(EXACT(metadata!R46,"missing: not collected"),EXACT(metadata!R46,"missing: not provided"),EXACT(metadata!R46,"missing: restricted access"))),AND(IF(metadata!R46="",FALSE,ISNUMBER(VALUE(metadata!R46))),metadata!R46&gt;=-90,metadata!R46&lt;=90))</f>
        <v>0</v>
      </c>
      <c r="BD46" t="b">
        <f>AND(IF(metadata!S46="",FALSE,TRUE),EXACT(metadata!S46,"Decimal degrees"))</f>
        <v>0</v>
      </c>
      <c r="BE46" t="b">
        <f>OR(AND(IF(metadata!T46="",FALSE,TRUE),OR(EXACT(metadata!T46,"missing: not collected"),EXACT(metadata!T46,"missing: not provided"),EXACT(metadata!T46,"missing: restricted access"))),AND(IF(metadata!T46="",FALSE,ISNUMBER(VALUE(metadata!T46))),metadata!T46&gt;=-180,metadata!T46&lt;=180))</f>
        <v>0</v>
      </c>
      <c r="BF46" t="b">
        <f>AND(IF(metadata!U46="",FALSE,TRUE),EXACT(metadata!U46,"Decimal degrees"))</f>
        <v>0</v>
      </c>
      <c r="BG46" t="b">
        <f>IF(metadata!V46="",FALSE,TRUE)</f>
        <v>0</v>
      </c>
      <c r="BH46" t="b">
        <f>OR(AND(IF(metadata!W46="",FALSE,TRUE),OR(EXACT(metadata!W46,"missing: not collected"),EXACT(metadata!W46,"missing: not provided"),EXACT(metadata!W46,"missing: restricted access"))),AND(IF(metadata!W46="",FALSE,TRUE),OR(EXACT(metadata!W46,"TRUE"),EXACT(metadata!W46,"FALSE"))))</f>
        <v>0</v>
      </c>
      <c r="BI46" t="b">
        <f>AND(IF(metadata!X46="",FALSE,TRUE),EXACT(metadata!X46,"other"))</f>
        <v>0</v>
      </c>
      <c r="BJ46" t="b">
        <f>IF(metadata!Y46="",FALSE,TRUE)</f>
        <v>0</v>
      </c>
      <c r="BK46" t="b">
        <f>OR(AND(IF(metadata!Z46="",FALSE,TRUE),OR(EXACT(metadata!Z46,"missing: not collected"),EXACT(metadata!Z46,"missing: not provided"))),AND(IF(metadata!Z46="",FALSE,IF(ISERROR(INT(metadata!Z46)),FALSE,INT(metadata!Z46)=metadata!Z46)),metadata!Z46&gt;0))</f>
        <v>0</v>
      </c>
      <c r="BL46" t="b">
        <f>AND(IF(metadata!AA46="",FALSE,TRUE),EXACT(metadata!AA46,"Not applicable"))</f>
        <v>0</v>
      </c>
      <c r="BM46" t="b">
        <f>IF(metadata!AB46="",FALSE,TRUE)</f>
        <v>0</v>
      </c>
    </row>
    <row r="47" spans="1:65" x14ac:dyDescent="0.2">
      <c r="A47" s="5" t="str">
        <f ca="1">IF(B47=" "," ",HYPERLINK(CONCATENATE("#metadata!",ADDRESS(INDEX($AH$2:$AH$1001,MATCH(ROWS($AF$2:AF47),$AF$2:$AF$1001,0),0),1)),INDEX($AK$2:$AK$1001,MATCH(ROWS($AF$2:AF47),$AF$2:$AF$1001,0),0)))</f>
        <v xml:space="preserve"> </v>
      </c>
      <c r="B47" s="4" t="str">
        <f ca="1">IF(OR(INDEX($AG$2:$AG$1001,MATCH(ROWS($AF$2:AF47),$AF$2:$AF$1001,0),1)&gt;=100000,INDEX($AM$1005:$BM$1005,1,MATCH(COLUMNS($AM$1006:AM1006),$AM$1006:$BM$1006,0))&gt;=100000), " ",IF(INDEX($AM$2:$BM$1001,MATCH(ROWS($AF$2:AF47),$AF$2:$AF$1001,0),MATCH(COLUMNS($AM$1006:AM1006),$AM$1006:$BM$1006,0)), HYPERLINK("#",""), HYPERLINK(CONCATENATE("#metadata!", ADDRESS(INDEX($AH$2:$AH$1001,MATCH(ROWS($AF$2:AF47),$AF$2:$AF$1001,0),0), INDEX($AM$1004:$BM$1004,1,MATCH(COLUMNS($AM$1006:AM1006),$AM$1006:$BM$1006,0)))),"Fix")))</f>
        <v xml:space="preserve"> </v>
      </c>
      <c r="C47" s="4" t="str">
        <f ca="1">IF(OR(INDEX($AG$2:$AG$1001,MATCH(ROWS($AF$2:AF47),$AF$2:$AF$1001,0),1)&gt;=100000,INDEX($AM$1005:$BM$1005,1,MATCH(COLUMNS($AM$1006:AN1006),$AM$1006:$BM$1006,0))&gt;=100000), " ",IF(INDEX($AM$2:$BM$1001,MATCH(ROWS($AF$2:AF47),$AF$2:$AF$1001,0),MATCH(COLUMNS($AM$1006:AN1006),$AM$1006:$BM$1006,0)), HYPERLINK("#",""), HYPERLINK(CONCATENATE("#metadata!", ADDRESS(INDEX($AH$2:$AH$1001,MATCH(ROWS($AF$2:AF47),$AF$2:$AF$1001,0),0), INDEX($AM$1004:$BM$1004,1,MATCH(COLUMNS($AM$1006:AN1006),$AM$1006:$BM$1006,0)))),"Fix")))</f>
        <v xml:space="preserve"> </v>
      </c>
      <c r="D47" s="4" t="str">
        <f ca="1">IF(OR(INDEX($AG$2:$AG$1001,MATCH(ROWS($AF$2:AF47),$AF$2:$AF$1001,0),1)&gt;=100000,INDEX($AM$1005:$BM$1005,1,MATCH(COLUMNS($AM$1006:AO1006),$AM$1006:$BM$1006,0))&gt;=100000), " ",IF(INDEX($AM$2:$BM$1001,MATCH(ROWS($AF$2:AF47),$AF$2:$AF$1001,0),MATCH(COLUMNS($AM$1006:AO1006),$AM$1006:$BM$1006,0)), HYPERLINK("#",""), HYPERLINK(CONCATENATE("#metadata!", ADDRESS(INDEX($AH$2:$AH$1001,MATCH(ROWS($AF$2:AF47),$AF$2:$AF$1001,0),0), INDEX($AM$1004:$BM$1004,1,MATCH(COLUMNS($AM$1006:AO1006),$AM$1006:$BM$1006,0)))),"Fix")))</f>
        <v xml:space="preserve"> </v>
      </c>
      <c r="E47" s="4" t="str">
        <f ca="1">IF(OR(INDEX($AG$2:$AG$1001,MATCH(ROWS($AF$2:AF47),$AF$2:$AF$1001,0),1)&gt;=100000,INDEX($AM$1005:$BM$1005,1,MATCH(COLUMNS($AM$1006:AP1006),$AM$1006:$BM$1006,0))&gt;=100000), " ",IF(INDEX($AM$2:$BM$1001,MATCH(ROWS($AF$2:AF47),$AF$2:$AF$1001,0),MATCH(COLUMNS($AM$1006:AP1006),$AM$1006:$BM$1006,0)), HYPERLINK("#",""), HYPERLINK(CONCATENATE("#metadata!", ADDRESS(INDEX($AH$2:$AH$1001,MATCH(ROWS($AF$2:AF47),$AF$2:$AF$1001,0),0), INDEX($AM$1004:$BM$1004,1,MATCH(COLUMNS($AM$1006:AP1006),$AM$1006:$BM$1006,0)))),"Fix")))</f>
        <v xml:space="preserve"> </v>
      </c>
      <c r="F47" s="4" t="str">
        <f ca="1">IF(OR(INDEX($AG$2:$AG$1001,MATCH(ROWS($AF$2:AF47),$AF$2:$AF$1001,0),1)&gt;=100000,INDEX($AM$1005:$BM$1005,1,MATCH(COLUMNS($AM$1006:AQ1006),$AM$1006:$BM$1006,0))&gt;=100000), " ",IF(INDEX($AM$2:$BM$1001,MATCH(ROWS($AF$2:AF47),$AF$2:$AF$1001,0),MATCH(COLUMNS($AM$1006:AQ1006),$AM$1006:$BM$1006,0)), HYPERLINK("#",""), HYPERLINK(CONCATENATE("#metadata!", ADDRESS(INDEX($AH$2:$AH$1001,MATCH(ROWS($AF$2:AF47),$AF$2:$AF$1001,0),0), INDEX($AM$1004:$BM$1004,1,MATCH(COLUMNS($AM$1006:AQ1006),$AM$1006:$BM$1006,0)))),"Fix")))</f>
        <v xml:space="preserve"> </v>
      </c>
      <c r="G47" s="4" t="str">
        <f ca="1">IF(OR(INDEX($AG$2:$AG$1001,MATCH(ROWS($AF$2:AF47),$AF$2:$AF$1001,0),1)&gt;=100000,INDEX($AM$1005:$BM$1005,1,MATCH(COLUMNS($AM$1006:AR1006),$AM$1006:$BM$1006,0))&gt;=100000), " ",IF(INDEX($AM$2:$BM$1001,MATCH(ROWS($AF$2:AF47),$AF$2:$AF$1001,0),MATCH(COLUMNS($AM$1006:AR1006),$AM$1006:$BM$1006,0)), HYPERLINK("#",""), HYPERLINK(CONCATENATE("#metadata!", ADDRESS(INDEX($AH$2:$AH$1001,MATCH(ROWS($AF$2:AF47),$AF$2:$AF$1001,0),0), INDEX($AM$1004:$BM$1004,1,MATCH(COLUMNS($AM$1006:AR1006),$AM$1006:$BM$1006,0)))),"Fix")))</f>
        <v xml:space="preserve"> </v>
      </c>
      <c r="H47" s="4" t="str">
        <f ca="1">IF(OR(INDEX($AG$2:$AG$1001,MATCH(ROWS($AF$2:AF47),$AF$2:$AF$1001,0),1)&gt;=100000,INDEX($AM$1005:$BM$1005,1,MATCH(COLUMNS($AM$1006:AS1006),$AM$1006:$BM$1006,0))&gt;=100000), " ",IF(INDEX($AM$2:$BM$1001,MATCH(ROWS($AF$2:AF47),$AF$2:$AF$1001,0),MATCH(COLUMNS($AM$1006:AS1006),$AM$1006:$BM$1006,0)), HYPERLINK("#",""), HYPERLINK(CONCATENATE("#metadata!", ADDRESS(INDEX($AH$2:$AH$1001,MATCH(ROWS($AF$2:AF47),$AF$2:$AF$1001,0),0), INDEX($AM$1004:$BM$1004,1,MATCH(COLUMNS($AM$1006:AS1006),$AM$1006:$BM$1006,0)))),"Fix")))</f>
        <v xml:space="preserve"> </v>
      </c>
      <c r="I47" s="4" t="str">
        <f ca="1">IF(OR(INDEX($AG$2:$AG$1001,MATCH(ROWS($AF$2:AF47),$AF$2:$AF$1001,0),1)&gt;=100000,INDEX($AM$1005:$BM$1005,1,MATCH(COLUMNS($AM$1006:AT1006),$AM$1006:$BM$1006,0))&gt;=100000), " ",IF(INDEX($AM$2:$BM$1001,MATCH(ROWS($AF$2:AF47),$AF$2:$AF$1001,0),MATCH(COLUMNS($AM$1006:AT1006),$AM$1006:$BM$1006,0)), HYPERLINK("#",""), HYPERLINK(CONCATENATE("#metadata!", ADDRESS(INDEX($AH$2:$AH$1001,MATCH(ROWS($AF$2:AF47),$AF$2:$AF$1001,0),0), INDEX($AM$1004:$BM$1004,1,MATCH(COLUMNS($AM$1006:AT1006),$AM$1006:$BM$1006,0)))),"Fix")))</f>
        <v xml:space="preserve"> </v>
      </c>
      <c r="J47" s="4" t="str">
        <f ca="1">IF(OR(INDEX($AG$2:$AG$1001,MATCH(ROWS($AF$2:AF47),$AF$2:$AF$1001,0),1)&gt;=100000,INDEX($AM$1005:$BM$1005,1,MATCH(COLUMNS($AM$1006:AU1006),$AM$1006:$BM$1006,0))&gt;=100000), " ",IF(INDEX($AM$2:$BM$1001,MATCH(ROWS($AF$2:AF47),$AF$2:$AF$1001,0),MATCH(COLUMNS($AM$1006:AU1006),$AM$1006:$BM$1006,0)), HYPERLINK("#",""), HYPERLINK(CONCATENATE("#metadata!", ADDRESS(INDEX($AH$2:$AH$1001,MATCH(ROWS($AF$2:AF47),$AF$2:$AF$1001,0),0), INDEX($AM$1004:$BM$1004,1,MATCH(COLUMNS($AM$1006:AU1006),$AM$1006:$BM$1006,0)))),"Fix")))</f>
        <v xml:space="preserve"> </v>
      </c>
      <c r="K47" s="4" t="str">
        <f ca="1">IF(OR(INDEX($AG$2:$AG$1001,MATCH(ROWS($AF$2:AF47),$AF$2:$AF$1001,0),1)&gt;=100000,INDEX($AM$1005:$BM$1005,1,MATCH(COLUMNS($AM$1006:AV1006),$AM$1006:$BM$1006,0))&gt;=100000), " ",IF(INDEX($AM$2:$BM$1001,MATCH(ROWS($AF$2:AF47),$AF$2:$AF$1001,0),MATCH(COLUMNS($AM$1006:AV1006),$AM$1006:$BM$1006,0)), HYPERLINK("#",""), HYPERLINK(CONCATENATE("#metadata!", ADDRESS(INDEX($AH$2:$AH$1001,MATCH(ROWS($AF$2:AF47),$AF$2:$AF$1001,0),0), INDEX($AM$1004:$BM$1004,1,MATCH(COLUMNS($AM$1006:AV1006),$AM$1006:$BM$1006,0)))),"Fix")))</f>
        <v xml:space="preserve"> </v>
      </c>
      <c r="L47" s="4" t="str">
        <f ca="1">IF(OR(INDEX($AG$2:$AG$1001,MATCH(ROWS($AF$2:AF47),$AF$2:$AF$1001,0),1)&gt;=100000,INDEX($AM$1005:$BM$1005,1,MATCH(COLUMNS($AM$1006:AW1006),$AM$1006:$BM$1006,0))&gt;=100000), " ",IF(INDEX($AM$2:$BM$1001,MATCH(ROWS($AF$2:AF47),$AF$2:$AF$1001,0),MATCH(COLUMNS($AM$1006:AW1006),$AM$1006:$BM$1006,0)), HYPERLINK("#",""), HYPERLINK(CONCATENATE("#metadata!", ADDRESS(INDEX($AH$2:$AH$1001,MATCH(ROWS($AF$2:AF47),$AF$2:$AF$1001,0),0), INDEX($AM$1004:$BM$1004,1,MATCH(COLUMNS($AM$1006:AW1006),$AM$1006:$BM$1006,0)))),"Fix")))</f>
        <v xml:space="preserve"> </v>
      </c>
      <c r="M47" s="4" t="str">
        <f ca="1">IF(OR(INDEX($AG$2:$AG$1001,MATCH(ROWS($AF$2:AF47),$AF$2:$AF$1001,0),1)&gt;=100000,INDEX($AM$1005:$BM$1005,1,MATCH(COLUMNS($AM$1006:AX1006),$AM$1006:$BM$1006,0))&gt;=100000), " ",IF(INDEX($AM$2:$BM$1001,MATCH(ROWS($AF$2:AF47),$AF$2:$AF$1001,0),MATCH(COLUMNS($AM$1006:AX1006),$AM$1006:$BM$1006,0)), HYPERLINK("#",""), HYPERLINK(CONCATENATE("#metadata!", ADDRESS(INDEX($AH$2:$AH$1001,MATCH(ROWS($AF$2:AF47),$AF$2:$AF$1001,0),0), INDEX($AM$1004:$BM$1004,1,MATCH(COLUMNS($AM$1006:AX1006),$AM$1006:$BM$1006,0)))),"Fix")))</f>
        <v xml:space="preserve"> </v>
      </c>
      <c r="N47" s="4" t="str">
        <f ca="1">IF(OR(INDEX($AG$2:$AG$1001,MATCH(ROWS($AF$2:AF47),$AF$2:$AF$1001,0),1)&gt;=100000,INDEX($AM$1005:$BM$1005,1,MATCH(COLUMNS($AM$1006:AY1006),$AM$1006:$BM$1006,0))&gt;=100000), " ",IF(INDEX($AM$2:$BM$1001,MATCH(ROWS($AF$2:AF47),$AF$2:$AF$1001,0),MATCH(COLUMNS($AM$1006:AY1006),$AM$1006:$BM$1006,0)), HYPERLINK("#",""), HYPERLINK(CONCATENATE("#metadata!", ADDRESS(INDEX($AH$2:$AH$1001,MATCH(ROWS($AF$2:AF47),$AF$2:$AF$1001,0),0), INDEX($AM$1004:$BM$1004,1,MATCH(COLUMNS($AM$1006:AY1006),$AM$1006:$BM$1006,0)))),"Fix")))</f>
        <v xml:space="preserve"> </v>
      </c>
      <c r="O47" s="4" t="str">
        <f ca="1">IF(OR(INDEX($AG$2:$AG$1001,MATCH(ROWS($AF$2:AF47),$AF$2:$AF$1001,0),1)&gt;=100000,INDEX($AM$1005:$BM$1005,1,MATCH(COLUMNS($AM$1006:AZ1006),$AM$1006:$BM$1006,0))&gt;=100000), " ",IF(INDEX($AM$2:$BM$1001,MATCH(ROWS($AF$2:AF47),$AF$2:$AF$1001,0),MATCH(COLUMNS($AM$1006:AZ1006),$AM$1006:$BM$1006,0)), HYPERLINK("#",""), HYPERLINK(CONCATENATE("#metadata!", ADDRESS(INDEX($AH$2:$AH$1001,MATCH(ROWS($AF$2:AF47),$AF$2:$AF$1001,0),0), INDEX($AM$1004:$BM$1004,1,MATCH(COLUMNS($AM$1006:AZ1006),$AM$1006:$BM$1006,0)))),"Fix")))</f>
        <v xml:space="preserve"> </v>
      </c>
      <c r="P47" s="4" t="str">
        <f ca="1">IF(OR(INDEX($AG$2:$AG$1001,MATCH(ROWS($AF$2:AF47),$AF$2:$AF$1001,0),1)&gt;=100000,INDEX($AM$1005:$BM$1005,1,MATCH(COLUMNS($AM$1006:BA1006),$AM$1006:$BM$1006,0))&gt;=100000), " ",IF(INDEX($AM$2:$BM$1001,MATCH(ROWS($AF$2:AF47),$AF$2:$AF$1001,0),MATCH(COLUMNS($AM$1006:BA1006),$AM$1006:$BM$1006,0)), HYPERLINK("#",""), HYPERLINK(CONCATENATE("#metadata!", ADDRESS(INDEX($AH$2:$AH$1001,MATCH(ROWS($AF$2:AF47),$AF$2:$AF$1001,0),0), INDEX($AM$1004:$BM$1004,1,MATCH(COLUMNS($AM$1006:BA1006),$AM$1006:$BM$1006,0)))),"Fix")))</f>
        <v xml:space="preserve"> </v>
      </c>
      <c r="Q47" s="4" t="str">
        <f ca="1">IF(OR(INDEX($AG$2:$AG$1001,MATCH(ROWS($AF$2:AF47),$AF$2:$AF$1001,0),1)&gt;=100000,INDEX($AM$1005:$BM$1005,1,MATCH(COLUMNS($AM$1006:BB1006),$AM$1006:$BM$1006,0))&gt;=100000), " ",IF(INDEX($AM$2:$BM$1001,MATCH(ROWS($AF$2:AF47),$AF$2:$AF$1001,0),MATCH(COLUMNS($AM$1006:BB1006),$AM$1006:$BM$1006,0)), HYPERLINK("#",""), HYPERLINK(CONCATENATE("#metadata!", ADDRESS(INDEX($AH$2:$AH$1001,MATCH(ROWS($AF$2:AF47),$AF$2:$AF$1001,0),0), INDEX($AM$1004:$BM$1004,1,MATCH(COLUMNS($AM$1006:BB1006),$AM$1006:$BM$1006,0)))),"Fix")))</f>
        <v xml:space="preserve"> </v>
      </c>
      <c r="R47" s="4" t="str">
        <f ca="1">IF(OR(INDEX($AG$2:$AG$1001,MATCH(ROWS($AF$2:AF47),$AF$2:$AF$1001,0),1)&gt;=100000,INDEX($AM$1005:$BM$1005,1,MATCH(COLUMNS($AM$1006:BC1006),$AM$1006:$BM$1006,0))&gt;=100000), " ",IF(INDEX($AM$2:$BM$1001,MATCH(ROWS($AF$2:AF47),$AF$2:$AF$1001,0),MATCH(COLUMNS($AM$1006:BC1006),$AM$1006:$BM$1006,0)), HYPERLINK("#",""), HYPERLINK(CONCATENATE("#metadata!", ADDRESS(INDEX($AH$2:$AH$1001,MATCH(ROWS($AF$2:AF47),$AF$2:$AF$1001,0),0), INDEX($AM$1004:$BM$1004,1,MATCH(COLUMNS($AM$1006:BC1006),$AM$1006:$BM$1006,0)))),"Fix")))</f>
        <v xml:space="preserve"> </v>
      </c>
      <c r="S47" s="4" t="str">
        <f ca="1">IF(OR(INDEX($AG$2:$AG$1001,MATCH(ROWS($AF$2:AF47),$AF$2:$AF$1001,0),1)&gt;=100000,INDEX($AM$1005:$BM$1005,1,MATCH(COLUMNS($AM$1006:BD1006),$AM$1006:$BM$1006,0))&gt;=100000), " ",IF(INDEX($AM$2:$BM$1001,MATCH(ROWS($AF$2:AF47),$AF$2:$AF$1001,0),MATCH(COLUMNS($AM$1006:BD1006),$AM$1006:$BM$1006,0)), HYPERLINK("#",""), HYPERLINK(CONCATENATE("#metadata!", ADDRESS(INDEX($AH$2:$AH$1001,MATCH(ROWS($AF$2:AF47),$AF$2:$AF$1001,0),0), INDEX($AM$1004:$BM$1004,1,MATCH(COLUMNS($AM$1006:BD1006),$AM$1006:$BM$1006,0)))),"Fix")))</f>
        <v xml:space="preserve"> </v>
      </c>
      <c r="T47" s="4" t="str">
        <f ca="1">IF(OR(INDEX($AG$2:$AG$1001,MATCH(ROWS($AF$2:AF47),$AF$2:$AF$1001,0),1)&gt;=100000,INDEX($AM$1005:$BM$1005,1,MATCH(COLUMNS($AM$1006:BE1006),$AM$1006:$BM$1006,0))&gt;=100000), " ",IF(INDEX($AM$2:$BM$1001,MATCH(ROWS($AF$2:AF47),$AF$2:$AF$1001,0),MATCH(COLUMNS($AM$1006:BE1006),$AM$1006:$BM$1006,0)), HYPERLINK("#",""), HYPERLINK(CONCATENATE("#metadata!", ADDRESS(INDEX($AH$2:$AH$1001,MATCH(ROWS($AF$2:AF47),$AF$2:$AF$1001,0),0), INDEX($AM$1004:$BM$1004,1,MATCH(COLUMNS($AM$1006:BE1006),$AM$1006:$BM$1006,0)))),"Fix")))</f>
        <v xml:space="preserve"> </v>
      </c>
      <c r="U47" s="4" t="str">
        <f ca="1">IF(OR(INDEX($AG$2:$AG$1001,MATCH(ROWS($AF$2:AF47),$AF$2:$AF$1001,0),1)&gt;=100000,INDEX($AM$1005:$BM$1005,1,MATCH(COLUMNS($AM$1006:BF1006),$AM$1006:$BM$1006,0))&gt;=100000), " ",IF(INDEX($AM$2:$BM$1001,MATCH(ROWS($AF$2:AF47),$AF$2:$AF$1001,0),MATCH(COLUMNS($AM$1006:BF1006),$AM$1006:$BM$1006,0)), HYPERLINK("#",""), HYPERLINK(CONCATENATE("#metadata!", ADDRESS(INDEX($AH$2:$AH$1001,MATCH(ROWS($AF$2:AF47),$AF$2:$AF$1001,0),0), INDEX($AM$1004:$BM$1004,1,MATCH(COLUMNS($AM$1006:BF1006),$AM$1006:$BM$1006,0)))),"Fix")))</f>
        <v xml:space="preserve"> </v>
      </c>
      <c r="V47" s="4" t="str">
        <f ca="1">IF(OR(INDEX($AG$2:$AG$1001,MATCH(ROWS($AF$2:AF47),$AF$2:$AF$1001,0),1)&gt;=100000,INDEX($AM$1005:$BM$1005,1,MATCH(COLUMNS($AM$1006:BG1006),$AM$1006:$BM$1006,0))&gt;=100000), " ",IF(INDEX($AM$2:$BM$1001,MATCH(ROWS($AF$2:AF47),$AF$2:$AF$1001,0),MATCH(COLUMNS($AM$1006:BG1006),$AM$1006:$BM$1006,0)), HYPERLINK("#",""), HYPERLINK(CONCATENATE("#metadata!", ADDRESS(INDEX($AH$2:$AH$1001,MATCH(ROWS($AF$2:AF47),$AF$2:$AF$1001,0),0), INDEX($AM$1004:$BM$1004,1,MATCH(COLUMNS($AM$1006:BG1006),$AM$1006:$BM$1006,0)))),"Fix")))</f>
        <v xml:space="preserve"> </v>
      </c>
      <c r="W47" s="4" t="str">
        <f ca="1">IF(OR(INDEX($AG$2:$AG$1001,MATCH(ROWS($AF$2:AF47),$AF$2:$AF$1001,0),1)&gt;=100000,INDEX($AM$1005:$BM$1005,1,MATCH(COLUMNS($AM$1006:BH1006),$AM$1006:$BM$1006,0))&gt;=100000), " ",IF(INDEX($AM$2:$BM$1001,MATCH(ROWS($AF$2:AF47),$AF$2:$AF$1001,0),MATCH(COLUMNS($AM$1006:BH1006),$AM$1006:$BM$1006,0)), HYPERLINK("#",""), HYPERLINK(CONCATENATE("#metadata!", ADDRESS(INDEX($AH$2:$AH$1001,MATCH(ROWS($AF$2:AF47),$AF$2:$AF$1001,0),0), INDEX($AM$1004:$BM$1004,1,MATCH(COLUMNS($AM$1006:BH1006),$AM$1006:$BM$1006,0)))),"Fix")))</f>
        <v xml:space="preserve"> </v>
      </c>
      <c r="X47" s="4" t="str">
        <f ca="1">IF(OR(INDEX($AG$2:$AG$1001,MATCH(ROWS($AF$2:AF47),$AF$2:$AF$1001,0),1)&gt;=100000,INDEX($AM$1005:$BM$1005,1,MATCH(COLUMNS($AM$1006:BI1006),$AM$1006:$BM$1006,0))&gt;=100000), " ",IF(INDEX($AM$2:$BM$1001,MATCH(ROWS($AF$2:AF47),$AF$2:$AF$1001,0),MATCH(COLUMNS($AM$1006:BI1006),$AM$1006:$BM$1006,0)), HYPERLINK("#",""), HYPERLINK(CONCATENATE("#metadata!", ADDRESS(INDEX($AH$2:$AH$1001,MATCH(ROWS($AF$2:AF47),$AF$2:$AF$1001,0),0), INDEX($AM$1004:$BM$1004,1,MATCH(COLUMNS($AM$1006:BI1006),$AM$1006:$BM$1006,0)))),"Fix")))</f>
        <v xml:space="preserve"> </v>
      </c>
      <c r="Y47" s="4" t="str">
        <f ca="1">IF(OR(INDEX($AG$2:$AG$1001,MATCH(ROWS($AF$2:AF47),$AF$2:$AF$1001,0),1)&gt;=100000,INDEX($AM$1005:$BM$1005,1,MATCH(COLUMNS($AM$1006:BJ1006),$AM$1006:$BM$1006,0))&gt;=100000), " ",IF(INDEX($AM$2:$BM$1001,MATCH(ROWS($AF$2:AF47),$AF$2:$AF$1001,0),MATCH(COLUMNS($AM$1006:BJ1006),$AM$1006:$BM$1006,0)), HYPERLINK("#",""), HYPERLINK(CONCATENATE("#metadata!", ADDRESS(INDEX($AH$2:$AH$1001,MATCH(ROWS($AF$2:AF47),$AF$2:$AF$1001,0),0), INDEX($AM$1004:$BM$1004,1,MATCH(COLUMNS($AM$1006:BJ1006),$AM$1006:$BM$1006,0)))),"Fix")))</f>
        <v xml:space="preserve"> </v>
      </c>
      <c r="Z47" s="4" t="str">
        <f ca="1">IF(OR(INDEX($AG$2:$AG$1001,MATCH(ROWS($AF$2:AF47),$AF$2:$AF$1001,0),1)&gt;=100000,INDEX($AM$1005:$BM$1005,1,MATCH(COLUMNS($AM$1006:BK1006),$AM$1006:$BM$1006,0))&gt;=100000), " ",IF(INDEX($AM$2:$BM$1001,MATCH(ROWS($AF$2:AF47),$AF$2:$AF$1001,0),MATCH(COLUMNS($AM$1006:BK1006),$AM$1006:$BM$1006,0)), HYPERLINK("#",""), HYPERLINK(CONCATENATE("#metadata!", ADDRESS(INDEX($AH$2:$AH$1001,MATCH(ROWS($AF$2:AF47),$AF$2:$AF$1001,0),0), INDEX($AM$1004:$BM$1004,1,MATCH(COLUMNS($AM$1006:BK1006),$AM$1006:$BM$1006,0)))),"Fix")))</f>
        <v xml:space="preserve"> </v>
      </c>
      <c r="AA47" s="4" t="str">
        <f ca="1">IF(OR(INDEX($AG$2:$AG$1001,MATCH(ROWS($AF$2:AF47),$AF$2:$AF$1001,0),1)&gt;=100000,INDEX($AM$1005:$BM$1005,1,MATCH(COLUMNS($AM$1006:BL1006),$AM$1006:$BM$1006,0))&gt;=100000), " ",IF(INDEX($AM$2:$BM$1001,MATCH(ROWS($AF$2:AF47),$AF$2:$AF$1001,0),MATCH(COLUMNS($AM$1006:BL1006),$AM$1006:$BM$1006,0)), HYPERLINK("#",""), HYPERLINK(CONCATENATE("#metadata!", ADDRESS(INDEX($AH$2:$AH$1001,MATCH(ROWS($AF$2:AF47),$AF$2:$AF$1001,0),0), INDEX($AM$1004:$BM$1004,1,MATCH(COLUMNS($AM$1006:BL1006),$AM$1006:$BM$1006,0)))),"Fix")))</f>
        <v xml:space="preserve"> </v>
      </c>
      <c r="AB47" s="4" t="str">
        <f ca="1">IF(OR(INDEX($AG$2:$AG$1001,MATCH(ROWS($AF$2:AF47),$AF$2:$AF$1001,0),1)&gt;=100000,INDEX($AM$1005:$BM$1005,1,MATCH(COLUMNS($AM$1006:BM1006),$AM$1006:$BM$1006,0))&gt;=100000), " ",IF(INDEX($AM$2:$BM$1001,MATCH(ROWS($AF$2:AF47),$AF$2:$AF$1001,0),MATCH(COLUMNS($AM$1006:BM1006),$AM$1006:$BM$1006,0)), HYPERLINK("#",""), HYPERLINK(CONCATENATE("#metadata!", ADDRESS(INDEX($AH$2:$AH$1001,MATCH(ROWS($AF$2:AF47),$AF$2:$AF$1001,0),0), INDEX($AM$1004:$BM$1004,1,MATCH(COLUMNS($AM$1006:BM1006),$AM$1006:$BM$1006,0)))),"Fix")))</f>
        <v xml:space="preserve"> </v>
      </c>
      <c r="AF47">
        <v>46</v>
      </c>
      <c r="AG47">
        <v>100047</v>
      </c>
      <c r="AH47">
        <v>47</v>
      </c>
      <c r="AI47" t="b">
        <f t="shared" si="0"/>
        <v>1</v>
      </c>
      <c r="AJ47" t="b">
        <f>COUNTBLANK(metadata!B47:AB47)=COLUMNS(metadata!B47:AB47)</f>
        <v>1</v>
      </c>
      <c r="AK47" t="str">
        <v/>
      </c>
      <c r="AM47" t="b">
        <f ca="1">AND(IF(metadata!B47="",FALSE,TRUE),COUNTIF(metadata!B:B, metadata!B47) = 1,NOT(ISERROR(SUMPRODUCT(SEARCH(MID(metadata!B47,ROW(INDIRECT("1:"&amp;LEN(metadata!B47))), 1),"0123456789abcdefghijklmnopqrstuvwxyzABCDEFGHIJKLMNOPQRSTUVWXYZ.")))))</f>
        <v>0</v>
      </c>
      <c r="AN47" t="b">
        <f ca="1">OR(AND(IF(metadata!C47="",FALSE,TRUE),OR(EXACT(metadata!C47,"missing: not collected"),EXACT(metadata!C47,"missing: not provided"),EXACT(metadata!C47,"missing: restricted access"))),AND(IF(metadata!C47="",FALSE,TRUE),AND(AND(IFERROR(INT(LEFT(metadata!C47,4))&gt;1900,FALSE),IFERROR(INT(LEFT(metadata!C47,4))&lt;=YEAR(NOW()),FALSE)), OR(MID(metadata!C47,5,1)="", AND(AND(MID(metadata!C47,5,1)="-",IFERROR(INT(MID(metadata!C47,6,1))&gt;=0,FALSE),IFERROR(INT(MID(metadata!C47,6,1))&lt;=1,FALSE),NOT(MID(metadata!C47,7,1)=""),IFERROR(INT(MID(metadata!C47,6,2))&gt;=1,FALSE),IFERROR(INT(MID(metadata!C47,6,2))&lt;=12,FALSE)), OR(MID(metadata!C47,8,1)="", AND(AND(MID(metadata!C47,8,1)="-",IFERROR(INT(MID(metadata!C47,9,1))&gt;=0,FALSE),IFERROR(INT(MID(metadata!C47,9,1))&lt;=3,FALSE),NOT(MID(metadata!C47,10,1)=""),IFERROR(INT(MID(metadata!C47,9,2))&gt;=1,FALSE),IFERROR(INT(MID(metadata!C47,9,2))&lt;=31,FALSE)), OR(MID(metadata!C47,11,1)="", AND(AND(MID(metadata!C47,11,1)=" ",IFERROR(INT(MID(metadata!C47,12,1))&gt;=0,FALSE),IFERROR(INT(MID(metadata!C47,12,1))&lt;=2,FALSE),NOT(MID(metadata!C47,13,1)=""),IFERROR(INT(MID(metadata!C47,12,2))&gt;=0,FALSE),IFERROR(INT(MID(metadata!C47,12,2))&lt;=23,FALSE)), OR(MID(metadata!C47,14,1)="", AND(AND(MID(metadata!C47,14,1)=":",IFERROR(INT(MID(metadata!C47,15,1))&gt;=0,FALSE),IFERROR(INT(MID(metadata!C47,15,1))&lt;=5,FALSE),NOT(MID(metadata!C47,16,1)=""),IFERROR(INT(MID(metadata!C47,15,2))&gt;=0,FALSE),IFERROR(INT(MID(metadata!C47,15,2))&lt;=59,FALSE)), OR(MID(metadata!C47,17,1)="", AND(AND(MID(metadata!C47,17,1)=":",IFERROR(INT(MID(metadata!C47,18,1))&gt;=0,FALSE),IFERROR(INT(MID(metadata!C47,18,1))&lt;=5,FALSE),NOT(MID(metadata!C47,19,1)=""),IFERROR(INT(MID(metadata!C47,18,2))&gt;=0,FALSE),IFERROR(INT(MID(metadata!C47,18,2))&lt;=59,FALSE)), LEN(metadata!C47)&lt;=19)))))))))))))</f>
        <v>0</v>
      </c>
      <c r="AO47" t="b">
        <f>AND(IF(metadata!D47="",FALSE,TRUE),EXACT(metadata!D47,"Not applicable"))</f>
        <v>0</v>
      </c>
      <c r="AP47" t="b">
        <f>IF(metadata!E47="",FALSE,TRUE)</f>
        <v>0</v>
      </c>
      <c r="AQ47" t="b">
        <f>OR(AND(IF(metadata!F47="",FALSE,TRUE),OR(EXACT(metadata!F47,"missing: not collected"),EXACT(metadata!F47,"missing: not provided"))),AND(IF(metadata!F47="",FALSE,TRUE),OR(EXACT(metadata!F47,"TRUE"),EXACT(metadata!F47,"FALSE"))))</f>
        <v>0</v>
      </c>
      <c r="AR47" t="b">
        <f>OR(AND(IF(metadata!G47="",FALSE,TRUE),OR(EXACT(metadata!G47,"missing: not collected"),EXACT(metadata!G47,"missing: not provided"),EXACT(metadata!G47,"missing: restricted access"))),AND(IF(metadata!G47="",FALSE,ISNUMBER(VALUE(metadata!G47))),metadata!G47&gt;=-413))</f>
        <v>0</v>
      </c>
      <c r="AS47" t="b">
        <f>AND(IF(metadata!H47="",FALSE,TRUE),EXACT(metadata!H47,"meters"))</f>
        <v>0</v>
      </c>
      <c r="AT47" t="b">
        <f>AND(IF(metadata!I47="",FALSE,TRUE),OR(EXACT(metadata!I47,"Host-associated"),EXACT(metadata!I47,"Free-living")))</f>
        <v>0</v>
      </c>
      <c r="AU47" t="b">
        <f>AND(IF(metadata!J47="",FALSE,TRUE),OR(EXACT(metadata!J47,"Animal"),EXACT(metadata!J47,"Fungus"),EXACT(metadata!J47,"Plant"),EXACT(metadata!J47,"Saline"),EXACT(metadata!J47,"Non-saline")))</f>
        <v>0</v>
      </c>
      <c r="AV47" t="b">
        <f>AND(IF(metadata!K47="",FALSE,TRUE),OR(EXACT(metadata!K47,"Plant secretion"),EXACT(metadata!K47,"Plant rhizosphere"),EXACT(metadata!K47,"Plant surface"),EXACT(metadata!K47,"Plant corpus"),EXACT(metadata!K47,"Fungus surface"),EXACT(metadata!K47,"Fungus corpus"),EXACT(metadata!K47,"Animal surface"),EXACT(metadata!K47,"Animal proximal gut"),EXACT(metadata!K47,"Animal corpus"),EXACT(metadata!K47,"Animal distal gut"),EXACT(metadata!K47,"Animal secretion"),EXACT(metadata!K47,"Sub-surface (non-saline)"),EXACT(metadata!K47,"Surface (non-saline)"),EXACT(metadata!K47,"Water (non-saline)"),EXACT(metadata!K47,"Soil (non-saline)"),EXACT(metadata!K47,"Aerosol (non-saline)"),EXACT(metadata!K47,"Sediment (non-saline)"),EXACT(metadata!K47,"Surface (saline)"),EXACT(metadata!K47,"Water (saline)"),EXACT(metadata!K47,"Hypersaline (saline)"),EXACT(metadata!K47,"Aerosol (saline)"),EXACT(metadata!K47,"Sediment (saline)")))</f>
        <v>0</v>
      </c>
      <c r="AW47" t="b">
        <f>IF(metadata!L47="",FALSE,TRUE)</f>
        <v>0</v>
      </c>
      <c r="AX47" t="b">
        <f>IF(metadata!M47="",FALSE,TRUE)</f>
        <v>0</v>
      </c>
      <c r="AY47" t="b">
        <f>IF(metadata!N47="",FALSE,TRUE)</f>
        <v>0</v>
      </c>
      <c r="AZ47" t="b">
        <f>OR(AND(IF(metadata!O47="",FALSE,TRUE),OR(EXACT(metadata!O47,"missing: not collected"),EXACT(metadata!O47,"missing: not provided"),EXACT(metadata!O47,"missing: restricted access"))),AND(IF(metadata!O47="",FALSE,TRUE),OR(EXACT(metadata!O47,"air"),EXACT(metadata!O47,"built environment"),EXACT(metadata!O47,"host-associated"),EXACT(metadata!O47,"human-associated"),EXACT(metadata!O47,"human-skin"),EXACT(metadata!O47,"human-oral"),EXACT(metadata!O47,"human-gut"),EXACT(metadata!O47,"human-vaginal"),EXACT(metadata!O47,"microbial mat/biofilm"),EXACT(metadata!O47,"misc environment"),EXACT(metadata!O47,"plant-associated"),EXACT(metadata!O47,"sediment"),EXACT(metadata!O47,"soil"),EXACT(metadata!O47,"wastewater/sludge"),EXACT(metadata!O47,"water"))))</f>
        <v>0</v>
      </c>
      <c r="BA47" t="b">
        <f>IF(metadata!P47="",FALSE,TRUE)</f>
        <v>0</v>
      </c>
      <c r="BB47" t="b">
        <f>IF(metadata!Q47="",FALSE,TRUE)</f>
        <v>0</v>
      </c>
      <c r="BC47" t="b">
        <f>OR(AND(IF(metadata!R47="",FALSE,TRUE),OR(EXACT(metadata!R47,"missing: not collected"),EXACT(metadata!R47,"missing: not provided"),EXACT(metadata!R47,"missing: restricted access"))),AND(IF(metadata!R47="",FALSE,ISNUMBER(VALUE(metadata!R47))),metadata!R47&gt;=-90,metadata!R47&lt;=90))</f>
        <v>0</v>
      </c>
      <c r="BD47" t="b">
        <f>AND(IF(metadata!S47="",FALSE,TRUE),EXACT(metadata!S47,"Decimal degrees"))</f>
        <v>0</v>
      </c>
      <c r="BE47" t="b">
        <f>OR(AND(IF(metadata!T47="",FALSE,TRUE),OR(EXACT(metadata!T47,"missing: not collected"),EXACT(metadata!T47,"missing: not provided"),EXACT(metadata!T47,"missing: restricted access"))),AND(IF(metadata!T47="",FALSE,ISNUMBER(VALUE(metadata!T47))),metadata!T47&gt;=-180,metadata!T47&lt;=180))</f>
        <v>0</v>
      </c>
      <c r="BF47" t="b">
        <f>AND(IF(metadata!U47="",FALSE,TRUE),EXACT(metadata!U47,"Decimal degrees"))</f>
        <v>0</v>
      </c>
      <c r="BG47" t="b">
        <f>IF(metadata!V47="",FALSE,TRUE)</f>
        <v>0</v>
      </c>
      <c r="BH47" t="b">
        <f>OR(AND(IF(metadata!W47="",FALSE,TRUE),OR(EXACT(metadata!W47,"missing: not collected"),EXACT(metadata!W47,"missing: not provided"),EXACT(metadata!W47,"missing: restricted access"))),AND(IF(metadata!W47="",FALSE,TRUE),OR(EXACT(metadata!W47,"TRUE"),EXACT(metadata!W47,"FALSE"))))</f>
        <v>0</v>
      </c>
      <c r="BI47" t="b">
        <f>AND(IF(metadata!X47="",FALSE,TRUE),EXACT(metadata!X47,"other"))</f>
        <v>0</v>
      </c>
      <c r="BJ47" t="b">
        <f>IF(metadata!Y47="",FALSE,TRUE)</f>
        <v>0</v>
      </c>
      <c r="BK47" t="b">
        <f>OR(AND(IF(metadata!Z47="",FALSE,TRUE),OR(EXACT(metadata!Z47,"missing: not collected"),EXACT(metadata!Z47,"missing: not provided"))),AND(IF(metadata!Z47="",FALSE,IF(ISERROR(INT(metadata!Z47)),FALSE,INT(metadata!Z47)=metadata!Z47)),metadata!Z47&gt;0))</f>
        <v>0</v>
      </c>
      <c r="BL47" t="b">
        <f>AND(IF(metadata!AA47="",FALSE,TRUE),EXACT(metadata!AA47,"Not applicable"))</f>
        <v>0</v>
      </c>
      <c r="BM47" t="b">
        <f>IF(metadata!AB47="",FALSE,TRUE)</f>
        <v>0</v>
      </c>
    </row>
    <row r="48" spans="1:65" x14ac:dyDescent="0.2">
      <c r="A48" s="5" t="str">
        <f ca="1">IF(B48=" "," ",HYPERLINK(CONCATENATE("#metadata!",ADDRESS(INDEX($AH$2:$AH$1001,MATCH(ROWS($AF$2:AF48),$AF$2:$AF$1001,0),0),1)),INDEX($AK$2:$AK$1001,MATCH(ROWS($AF$2:AF48),$AF$2:$AF$1001,0),0)))</f>
        <v xml:space="preserve"> </v>
      </c>
      <c r="B48" s="4" t="str">
        <f ca="1">IF(OR(INDEX($AG$2:$AG$1001,MATCH(ROWS($AF$2:AF48),$AF$2:$AF$1001,0),1)&gt;=100000,INDEX($AM$1005:$BM$1005,1,MATCH(COLUMNS($AM$1006:AM1006),$AM$1006:$BM$1006,0))&gt;=100000), " ",IF(INDEX($AM$2:$BM$1001,MATCH(ROWS($AF$2:AF48),$AF$2:$AF$1001,0),MATCH(COLUMNS($AM$1006:AM1006),$AM$1006:$BM$1006,0)), HYPERLINK("#",""), HYPERLINK(CONCATENATE("#metadata!", ADDRESS(INDEX($AH$2:$AH$1001,MATCH(ROWS($AF$2:AF48),$AF$2:$AF$1001,0),0), INDEX($AM$1004:$BM$1004,1,MATCH(COLUMNS($AM$1006:AM1006),$AM$1006:$BM$1006,0)))),"Fix")))</f>
        <v xml:space="preserve"> </v>
      </c>
      <c r="C48" s="4" t="str">
        <f ca="1">IF(OR(INDEX($AG$2:$AG$1001,MATCH(ROWS($AF$2:AF48),$AF$2:$AF$1001,0),1)&gt;=100000,INDEX($AM$1005:$BM$1005,1,MATCH(COLUMNS($AM$1006:AN1006),$AM$1006:$BM$1006,0))&gt;=100000), " ",IF(INDEX($AM$2:$BM$1001,MATCH(ROWS($AF$2:AF48),$AF$2:$AF$1001,0),MATCH(COLUMNS($AM$1006:AN1006),$AM$1006:$BM$1006,0)), HYPERLINK("#",""), HYPERLINK(CONCATENATE("#metadata!", ADDRESS(INDEX($AH$2:$AH$1001,MATCH(ROWS($AF$2:AF48),$AF$2:$AF$1001,0),0), INDEX($AM$1004:$BM$1004,1,MATCH(COLUMNS($AM$1006:AN1006),$AM$1006:$BM$1006,0)))),"Fix")))</f>
        <v xml:space="preserve"> </v>
      </c>
      <c r="D48" s="4" t="str">
        <f ca="1">IF(OR(INDEX($AG$2:$AG$1001,MATCH(ROWS($AF$2:AF48),$AF$2:$AF$1001,0),1)&gt;=100000,INDEX($AM$1005:$BM$1005,1,MATCH(COLUMNS($AM$1006:AO1006),$AM$1006:$BM$1006,0))&gt;=100000), " ",IF(INDEX($AM$2:$BM$1001,MATCH(ROWS($AF$2:AF48),$AF$2:$AF$1001,0),MATCH(COLUMNS($AM$1006:AO1006),$AM$1006:$BM$1006,0)), HYPERLINK("#",""), HYPERLINK(CONCATENATE("#metadata!", ADDRESS(INDEX($AH$2:$AH$1001,MATCH(ROWS($AF$2:AF48),$AF$2:$AF$1001,0),0), INDEX($AM$1004:$BM$1004,1,MATCH(COLUMNS($AM$1006:AO1006),$AM$1006:$BM$1006,0)))),"Fix")))</f>
        <v xml:space="preserve"> </v>
      </c>
      <c r="E48" s="4" t="str">
        <f ca="1">IF(OR(INDEX($AG$2:$AG$1001,MATCH(ROWS($AF$2:AF48),$AF$2:$AF$1001,0),1)&gt;=100000,INDEX($AM$1005:$BM$1005,1,MATCH(COLUMNS($AM$1006:AP1006),$AM$1006:$BM$1006,0))&gt;=100000), " ",IF(INDEX($AM$2:$BM$1001,MATCH(ROWS($AF$2:AF48),$AF$2:$AF$1001,0),MATCH(COLUMNS($AM$1006:AP1006),$AM$1006:$BM$1006,0)), HYPERLINK("#",""), HYPERLINK(CONCATENATE("#metadata!", ADDRESS(INDEX($AH$2:$AH$1001,MATCH(ROWS($AF$2:AF48),$AF$2:$AF$1001,0),0), INDEX($AM$1004:$BM$1004,1,MATCH(COLUMNS($AM$1006:AP1006),$AM$1006:$BM$1006,0)))),"Fix")))</f>
        <v xml:space="preserve"> </v>
      </c>
      <c r="F48" s="4" t="str">
        <f ca="1">IF(OR(INDEX($AG$2:$AG$1001,MATCH(ROWS($AF$2:AF48),$AF$2:$AF$1001,0),1)&gt;=100000,INDEX($AM$1005:$BM$1005,1,MATCH(COLUMNS($AM$1006:AQ1006),$AM$1006:$BM$1006,0))&gt;=100000), " ",IF(INDEX($AM$2:$BM$1001,MATCH(ROWS($AF$2:AF48),$AF$2:$AF$1001,0),MATCH(COLUMNS($AM$1006:AQ1006),$AM$1006:$BM$1006,0)), HYPERLINK("#",""), HYPERLINK(CONCATENATE("#metadata!", ADDRESS(INDEX($AH$2:$AH$1001,MATCH(ROWS($AF$2:AF48),$AF$2:$AF$1001,0),0), INDEX($AM$1004:$BM$1004,1,MATCH(COLUMNS($AM$1006:AQ1006),$AM$1006:$BM$1006,0)))),"Fix")))</f>
        <v xml:space="preserve"> </v>
      </c>
      <c r="G48" s="4" t="str">
        <f ca="1">IF(OR(INDEX($AG$2:$AG$1001,MATCH(ROWS($AF$2:AF48),$AF$2:$AF$1001,0),1)&gt;=100000,INDEX($AM$1005:$BM$1005,1,MATCH(COLUMNS($AM$1006:AR1006),$AM$1006:$BM$1006,0))&gt;=100000), " ",IF(INDEX($AM$2:$BM$1001,MATCH(ROWS($AF$2:AF48),$AF$2:$AF$1001,0),MATCH(COLUMNS($AM$1006:AR1006),$AM$1006:$BM$1006,0)), HYPERLINK("#",""), HYPERLINK(CONCATENATE("#metadata!", ADDRESS(INDEX($AH$2:$AH$1001,MATCH(ROWS($AF$2:AF48),$AF$2:$AF$1001,0),0), INDEX($AM$1004:$BM$1004,1,MATCH(COLUMNS($AM$1006:AR1006),$AM$1006:$BM$1006,0)))),"Fix")))</f>
        <v xml:space="preserve"> </v>
      </c>
      <c r="H48" s="4" t="str">
        <f ca="1">IF(OR(INDEX($AG$2:$AG$1001,MATCH(ROWS($AF$2:AF48),$AF$2:$AF$1001,0),1)&gt;=100000,INDEX($AM$1005:$BM$1005,1,MATCH(COLUMNS($AM$1006:AS1006),$AM$1006:$BM$1006,0))&gt;=100000), " ",IF(INDEX($AM$2:$BM$1001,MATCH(ROWS($AF$2:AF48),$AF$2:$AF$1001,0),MATCH(COLUMNS($AM$1006:AS1006),$AM$1006:$BM$1006,0)), HYPERLINK("#",""), HYPERLINK(CONCATENATE("#metadata!", ADDRESS(INDEX($AH$2:$AH$1001,MATCH(ROWS($AF$2:AF48),$AF$2:$AF$1001,0),0), INDEX($AM$1004:$BM$1004,1,MATCH(COLUMNS($AM$1006:AS1006),$AM$1006:$BM$1006,0)))),"Fix")))</f>
        <v xml:space="preserve"> </v>
      </c>
      <c r="I48" s="4" t="str">
        <f ca="1">IF(OR(INDEX($AG$2:$AG$1001,MATCH(ROWS($AF$2:AF48),$AF$2:$AF$1001,0),1)&gt;=100000,INDEX($AM$1005:$BM$1005,1,MATCH(COLUMNS($AM$1006:AT1006),$AM$1006:$BM$1006,0))&gt;=100000), " ",IF(INDEX($AM$2:$BM$1001,MATCH(ROWS($AF$2:AF48),$AF$2:$AF$1001,0),MATCH(COLUMNS($AM$1006:AT1006),$AM$1006:$BM$1006,0)), HYPERLINK("#",""), HYPERLINK(CONCATENATE("#metadata!", ADDRESS(INDEX($AH$2:$AH$1001,MATCH(ROWS($AF$2:AF48),$AF$2:$AF$1001,0),0), INDEX($AM$1004:$BM$1004,1,MATCH(COLUMNS($AM$1006:AT1006),$AM$1006:$BM$1006,0)))),"Fix")))</f>
        <v xml:space="preserve"> </v>
      </c>
      <c r="J48" s="4" t="str">
        <f ca="1">IF(OR(INDEX($AG$2:$AG$1001,MATCH(ROWS($AF$2:AF48),$AF$2:$AF$1001,0),1)&gt;=100000,INDEX($AM$1005:$BM$1005,1,MATCH(COLUMNS($AM$1006:AU1006),$AM$1006:$BM$1006,0))&gt;=100000), " ",IF(INDEX($AM$2:$BM$1001,MATCH(ROWS($AF$2:AF48),$AF$2:$AF$1001,0),MATCH(COLUMNS($AM$1006:AU1006),$AM$1006:$BM$1006,0)), HYPERLINK("#",""), HYPERLINK(CONCATENATE("#metadata!", ADDRESS(INDEX($AH$2:$AH$1001,MATCH(ROWS($AF$2:AF48),$AF$2:$AF$1001,0),0), INDEX($AM$1004:$BM$1004,1,MATCH(COLUMNS($AM$1006:AU1006),$AM$1006:$BM$1006,0)))),"Fix")))</f>
        <v xml:space="preserve"> </v>
      </c>
      <c r="K48" s="4" t="str">
        <f ca="1">IF(OR(INDEX($AG$2:$AG$1001,MATCH(ROWS($AF$2:AF48),$AF$2:$AF$1001,0),1)&gt;=100000,INDEX($AM$1005:$BM$1005,1,MATCH(COLUMNS($AM$1006:AV1006),$AM$1006:$BM$1006,0))&gt;=100000), " ",IF(INDEX($AM$2:$BM$1001,MATCH(ROWS($AF$2:AF48),$AF$2:$AF$1001,0),MATCH(COLUMNS($AM$1006:AV1006),$AM$1006:$BM$1006,0)), HYPERLINK("#",""), HYPERLINK(CONCATENATE("#metadata!", ADDRESS(INDEX($AH$2:$AH$1001,MATCH(ROWS($AF$2:AF48),$AF$2:$AF$1001,0),0), INDEX($AM$1004:$BM$1004,1,MATCH(COLUMNS($AM$1006:AV1006),$AM$1006:$BM$1006,0)))),"Fix")))</f>
        <v xml:space="preserve"> </v>
      </c>
      <c r="L48" s="4" t="str">
        <f ca="1">IF(OR(INDEX($AG$2:$AG$1001,MATCH(ROWS($AF$2:AF48),$AF$2:$AF$1001,0),1)&gt;=100000,INDEX($AM$1005:$BM$1005,1,MATCH(COLUMNS($AM$1006:AW1006),$AM$1006:$BM$1006,0))&gt;=100000), " ",IF(INDEX($AM$2:$BM$1001,MATCH(ROWS($AF$2:AF48),$AF$2:$AF$1001,0),MATCH(COLUMNS($AM$1006:AW1006),$AM$1006:$BM$1006,0)), HYPERLINK("#",""), HYPERLINK(CONCATENATE("#metadata!", ADDRESS(INDEX($AH$2:$AH$1001,MATCH(ROWS($AF$2:AF48),$AF$2:$AF$1001,0),0), INDEX($AM$1004:$BM$1004,1,MATCH(COLUMNS($AM$1006:AW1006),$AM$1006:$BM$1006,0)))),"Fix")))</f>
        <v xml:space="preserve"> </v>
      </c>
      <c r="M48" s="4" t="str">
        <f ca="1">IF(OR(INDEX($AG$2:$AG$1001,MATCH(ROWS($AF$2:AF48),$AF$2:$AF$1001,0),1)&gt;=100000,INDEX($AM$1005:$BM$1005,1,MATCH(COLUMNS($AM$1006:AX1006),$AM$1006:$BM$1006,0))&gt;=100000), " ",IF(INDEX($AM$2:$BM$1001,MATCH(ROWS($AF$2:AF48),$AF$2:$AF$1001,0),MATCH(COLUMNS($AM$1006:AX1006),$AM$1006:$BM$1006,0)), HYPERLINK("#",""), HYPERLINK(CONCATENATE("#metadata!", ADDRESS(INDEX($AH$2:$AH$1001,MATCH(ROWS($AF$2:AF48),$AF$2:$AF$1001,0),0), INDEX($AM$1004:$BM$1004,1,MATCH(COLUMNS($AM$1006:AX1006),$AM$1006:$BM$1006,0)))),"Fix")))</f>
        <v xml:space="preserve"> </v>
      </c>
      <c r="N48" s="4" t="str">
        <f ca="1">IF(OR(INDEX($AG$2:$AG$1001,MATCH(ROWS($AF$2:AF48),$AF$2:$AF$1001,0),1)&gt;=100000,INDEX($AM$1005:$BM$1005,1,MATCH(COLUMNS($AM$1006:AY1006),$AM$1006:$BM$1006,0))&gt;=100000), " ",IF(INDEX($AM$2:$BM$1001,MATCH(ROWS($AF$2:AF48),$AF$2:$AF$1001,0),MATCH(COLUMNS($AM$1006:AY1006),$AM$1006:$BM$1006,0)), HYPERLINK("#",""), HYPERLINK(CONCATENATE("#metadata!", ADDRESS(INDEX($AH$2:$AH$1001,MATCH(ROWS($AF$2:AF48),$AF$2:$AF$1001,0),0), INDEX($AM$1004:$BM$1004,1,MATCH(COLUMNS($AM$1006:AY1006),$AM$1006:$BM$1006,0)))),"Fix")))</f>
        <v xml:space="preserve"> </v>
      </c>
      <c r="O48" s="4" t="str">
        <f ca="1">IF(OR(INDEX($AG$2:$AG$1001,MATCH(ROWS($AF$2:AF48),$AF$2:$AF$1001,0),1)&gt;=100000,INDEX($AM$1005:$BM$1005,1,MATCH(COLUMNS($AM$1006:AZ1006),$AM$1006:$BM$1006,0))&gt;=100000), " ",IF(INDEX($AM$2:$BM$1001,MATCH(ROWS($AF$2:AF48),$AF$2:$AF$1001,0),MATCH(COLUMNS($AM$1006:AZ1006),$AM$1006:$BM$1006,0)), HYPERLINK("#",""), HYPERLINK(CONCATENATE("#metadata!", ADDRESS(INDEX($AH$2:$AH$1001,MATCH(ROWS($AF$2:AF48),$AF$2:$AF$1001,0),0), INDEX($AM$1004:$BM$1004,1,MATCH(COLUMNS($AM$1006:AZ1006),$AM$1006:$BM$1006,0)))),"Fix")))</f>
        <v xml:space="preserve"> </v>
      </c>
      <c r="P48" s="4" t="str">
        <f ca="1">IF(OR(INDEX($AG$2:$AG$1001,MATCH(ROWS($AF$2:AF48),$AF$2:$AF$1001,0),1)&gt;=100000,INDEX($AM$1005:$BM$1005,1,MATCH(COLUMNS($AM$1006:BA1006),$AM$1006:$BM$1006,0))&gt;=100000), " ",IF(INDEX($AM$2:$BM$1001,MATCH(ROWS($AF$2:AF48),$AF$2:$AF$1001,0),MATCH(COLUMNS($AM$1006:BA1006),$AM$1006:$BM$1006,0)), HYPERLINK("#",""), HYPERLINK(CONCATENATE("#metadata!", ADDRESS(INDEX($AH$2:$AH$1001,MATCH(ROWS($AF$2:AF48),$AF$2:$AF$1001,0),0), INDEX($AM$1004:$BM$1004,1,MATCH(COLUMNS($AM$1006:BA1006),$AM$1006:$BM$1006,0)))),"Fix")))</f>
        <v xml:space="preserve"> </v>
      </c>
      <c r="Q48" s="4" t="str">
        <f ca="1">IF(OR(INDEX($AG$2:$AG$1001,MATCH(ROWS($AF$2:AF48),$AF$2:$AF$1001,0),1)&gt;=100000,INDEX($AM$1005:$BM$1005,1,MATCH(COLUMNS($AM$1006:BB1006),$AM$1006:$BM$1006,0))&gt;=100000), " ",IF(INDEX($AM$2:$BM$1001,MATCH(ROWS($AF$2:AF48),$AF$2:$AF$1001,0),MATCH(COLUMNS($AM$1006:BB1006),$AM$1006:$BM$1006,0)), HYPERLINK("#",""), HYPERLINK(CONCATENATE("#metadata!", ADDRESS(INDEX($AH$2:$AH$1001,MATCH(ROWS($AF$2:AF48),$AF$2:$AF$1001,0),0), INDEX($AM$1004:$BM$1004,1,MATCH(COLUMNS($AM$1006:BB1006),$AM$1006:$BM$1006,0)))),"Fix")))</f>
        <v xml:space="preserve"> </v>
      </c>
      <c r="R48" s="4" t="str">
        <f ca="1">IF(OR(INDEX($AG$2:$AG$1001,MATCH(ROWS($AF$2:AF48),$AF$2:$AF$1001,0),1)&gt;=100000,INDEX($AM$1005:$BM$1005,1,MATCH(COLUMNS($AM$1006:BC1006),$AM$1006:$BM$1006,0))&gt;=100000), " ",IF(INDEX($AM$2:$BM$1001,MATCH(ROWS($AF$2:AF48),$AF$2:$AF$1001,0),MATCH(COLUMNS($AM$1006:BC1006),$AM$1006:$BM$1006,0)), HYPERLINK("#",""), HYPERLINK(CONCATENATE("#metadata!", ADDRESS(INDEX($AH$2:$AH$1001,MATCH(ROWS($AF$2:AF48),$AF$2:$AF$1001,0),0), INDEX($AM$1004:$BM$1004,1,MATCH(COLUMNS($AM$1006:BC1006),$AM$1006:$BM$1006,0)))),"Fix")))</f>
        <v xml:space="preserve"> </v>
      </c>
      <c r="S48" s="4" t="str">
        <f ca="1">IF(OR(INDEX($AG$2:$AG$1001,MATCH(ROWS($AF$2:AF48),$AF$2:$AF$1001,0),1)&gt;=100000,INDEX($AM$1005:$BM$1005,1,MATCH(COLUMNS($AM$1006:BD1006),$AM$1006:$BM$1006,0))&gt;=100000), " ",IF(INDEX($AM$2:$BM$1001,MATCH(ROWS($AF$2:AF48),$AF$2:$AF$1001,0),MATCH(COLUMNS($AM$1006:BD1006),$AM$1006:$BM$1006,0)), HYPERLINK("#",""), HYPERLINK(CONCATENATE("#metadata!", ADDRESS(INDEX($AH$2:$AH$1001,MATCH(ROWS($AF$2:AF48),$AF$2:$AF$1001,0),0), INDEX($AM$1004:$BM$1004,1,MATCH(COLUMNS($AM$1006:BD1006),$AM$1006:$BM$1006,0)))),"Fix")))</f>
        <v xml:space="preserve"> </v>
      </c>
      <c r="T48" s="4" t="str">
        <f ca="1">IF(OR(INDEX($AG$2:$AG$1001,MATCH(ROWS($AF$2:AF48),$AF$2:$AF$1001,0),1)&gt;=100000,INDEX($AM$1005:$BM$1005,1,MATCH(COLUMNS($AM$1006:BE1006),$AM$1006:$BM$1006,0))&gt;=100000), " ",IF(INDEX($AM$2:$BM$1001,MATCH(ROWS($AF$2:AF48),$AF$2:$AF$1001,0),MATCH(COLUMNS($AM$1006:BE1006),$AM$1006:$BM$1006,0)), HYPERLINK("#",""), HYPERLINK(CONCATENATE("#metadata!", ADDRESS(INDEX($AH$2:$AH$1001,MATCH(ROWS($AF$2:AF48),$AF$2:$AF$1001,0),0), INDEX($AM$1004:$BM$1004,1,MATCH(COLUMNS($AM$1006:BE1006),$AM$1006:$BM$1006,0)))),"Fix")))</f>
        <v xml:space="preserve"> </v>
      </c>
      <c r="U48" s="4" t="str">
        <f ca="1">IF(OR(INDEX($AG$2:$AG$1001,MATCH(ROWS($AF$2:AF48),$AF$2:$AF$1001,0),1)&gt;=100000,INDEX($AM$1005:$BM$1005,1,MATCH(COLUMNS($AM$1006:BF1006),$AM$1006:$BM$1006,0))&gt;=100000), " ",IF(INDEX($AM$2:$BM$1001,MATCH(ROWS($AF$2:AF48),$AF$2:$AF$1001,0),MATCH(COLUMNS($AM$1006:BF1006),$AM$1006:$BM$1006,0)), HYPERLINK("#",""), HYPERLINK(CONCATENATE("#metadata!", ADDRESS(INDEX($AH$2:$AH$1001,MATCH(ROWS($AF$2:AF48),$AF$2:$AF$1001,0),0), INDEX($AM$1004:$BM$1004,1,MATCH(COLUMNS($AM$1006:BF1006),$AM$1006:$BM$1006,0)))),"Fix")))</f>
        <v xml:space="preserve"> </v>
      </c>
      <c r="V48" s="4" t="str">
        <f ca="1">IF(OR(INDEX($AG$2:$AG$1001,MATCH(ROWS($AF$2:AF48),$AF$2:$AF$1001,0),1)&gt;=100000,INDEX($AM$1005:$BM$1005,1,MATCH(COLUMNS($AM$1006:BG1006),$AM$1006:$BM$1006,0))&gt;=100000), " ",IF(INDEX($AM$2:$BM$1001,MATCH(ROWS($AF$2:AF48),$AF$2:$AF$1001,0),MATCH(COLUMNS($AM$1006:BG1006),$AM$1006:$BM$1006,0)), HYPERLINK("#",""), HYPERLINK(CONCATENATE("#metadata!", ADDRESS(INDEX($AH$2:$AH$1001,MATCH(ROWS($AF$2:AF48),$AF$2:$AF$1001,0),0), INDEX($AM$1004:$BM$1004,1,MATCH(COLUMNS($AM$1006:BG1006),$AM$1006:$BM$1006,0)))),"Fix")))</f>
        <v xml:space="preserve"> </v>
      </c>
      <c r="W48" s="4" t="str">
        <f ca="1">IF(OR(INDEX($AG$2:$AG$1001,MATCH(ROWS($AF$2:AF48),$AF$2:$AF$1001,0),1)&gt;=100000,INDEX($AM$1005:$BM$1005,1,MATCH(COLUMNS($AM$1006:BH1006),$AM$1006:$BM$1006,0))&gt;=100000), " ",IF(INDEX($AM$2:$BM$1001,MATCH(ROWS($AF$2:AF48),$AF$2:$AF$1001,0),MATCH(COLUMNS($AM$1006:BH1006),$AM$1006:$BM$1006,0)), HYPERLINK("#",""), HYPERLINK(CONCATENATE("#metadata!", ADDRESS(INDEX($AH$2:$AH$1001,MATCH(ROWS($AF$2:AF48),$AF$2:$AF$1001,0),0), INDEX($AM$1004:$BM$1004,1,MATCH(COLUMNS($AM$1006:BH1006),$AM$1006:$BM$1006,0)))),"Fix")))</f>
        <v xml:space="preserve"> </v>
      </c>
      <c r="X48" s="4" t="str">
        <f ca="1">IF(OR(INDEX($AG$2:$AG$1001,MATCH(ROWS($AF$2:AF48),$AF$2:$AF$1001,0),1)&gt;=100000,INDEX($AM$1005:$BM$1005,1,MATCH(COLUMNS($AM$1006:BI1006),$AM$1006:$BM$1006,0))&gt;=100000), " ",IF(INDEX($AM$2:$BM$1001,MATCH(ROWS($AF$2:AF48),$AF$2:$AF$1001,0),MATCH(COLUMNS($AM$1006:BI1006),$AM$1006:$BM$1006,0)), HYPERLINK("#",""), HYPERLINK(CONCATENATE("#metadata!", ADDRESS(INDEX($AH$2:$AH$1001,MATCH(ROWS($AF$2:AF48),$AF$2:$AF$1001,0),0), INDEX($AM$1004:$BM$1004,1,MATCH(COLUMNS($AM$1006:BI1006),$AM$1006:$BM$1006,0)))),"Fix")))</f>
        <v xml:space="preserve"> </v>
      </c>
      <c r="Y48" s="4" t="str">
        <f ca="1">IF(OR(INDEX($AG$2:$AG$1001,MATCH(ROWS($AF$2:AF48),$AF$2:$AF$1001,0),1)&gt;=100000,INDEX($AM$1005:$BM$1005,1,MATCH(COLUMNS($AM$1006:BJ1006),$AM$1006:$BM$1006,0))&gt;=100000), " ",IF(INDEX($AM$2:$BM$1001,MATCH(ROWS($AF$2:AF48),$AF$2:$AF$1001,0),MATCH(COLUMNS($AM$1006:BJ1006),$AM$1006:$BM$1006,0)), HYPERLINK("#",""), HYPERLINK(CONCATENATE("#metadata!", ADDRESS(INDEX($AH$2:$AH$1001,MATCH(ROWS($AF$2:AF48),$AF$2:$AF$1001,0),0), INDEX($AM$1004:$BM$1004,1,MATCH(COLUMNS($AM$1006:BJ1006),$AM$1006:$BM$1006,0)))),"Fix")))</f>
        <v xml:space="preserve"> </v>
      </c>
      <c r="Z48" s="4" t="str">
        <f ca="1">IF(OR(INDEX($AG$2:$AG$1001,MATCH(ROWS($AF$2:AF48),$AF$2:$AF$1001,0),1)&gt;=100000,INDEX($AM$1005:$BM$1005,1,MATCH(COLUMNS($AM$1006:BK1006),$AM$1006:$BM$1006,0))&gt;=100000), " ",IF(INDEX($AM$2:$BM$1001,MATCH(ROWS($AF$2:AF48),$AF$2:$AF$1001,0),MATCH(COLUMNS($AM$1006:BK1006),$AM$1006:$BM$1006,0)), HYPERLINK("#",""), HYPERLINK(CONCATENATE("#metadata!", ADDRESS(INDEX($AH$2:$AH$1001,MATCH(ROWS($AF$2:AF48),$AF$2:$AF$1001,0),0), INDEX($AM$1004:$BM$1004,1,MATCH(COLUMNS($AM$1006:BK1006),$AM$1006:$BM$1006,0)))),"Fix")))</f>
        <v xml:space="preserve"> </v>
      </c>
      <c r="AA48" s="4" t="str">
        <f ca="1">IF(OR(INDEX($AG$2:$AG$1001,MATCH(ROWS($AF$2:AF48),$AF$2:$AF$1001,0),1)&gt;=100000,INDEX($AM$1005:$BM$1005,1,MATCH(COLUMNS($AM$1006:BL1006),$AM$1006:$BM$1006,0))&gt;=100000), " ",IF(INDEX($AM$2:$BM$1001,MATCH(ROWS($AF$2:AF48),$AF$2:$AF$1001,0),MATCH(COLUMNS($AM$1006:BL1006),$AM$1006:$BM$1006,0)), HYPERLINK("#",""), HYPERLINK(CONCATENATE("#metadata!", ADDRESS(INDEX($AH$2:$AH$1001,MATCH(ROWS($AF$2:AF48),$AF$2:$AF$1001,0),0), INDEX($AM$1004:$BM$1004,1,MATCH(COLUMNS($AM$1006:BL1006),$AM$1006:$BM$1006,0)))),"Fix")))</f>
        <v xml:space="preserve"> </v>
      </c>
      <c r="AB48" s="4" t="str">
        <f ca="1">IF(OR(INDEX($AG$2:$AG$1001,MATCH(ROWS($AF$2:AF48),$AF$2:$AF$1001,0),1)&gt;=100000,INDEX($AM$1005:$BM$1005,1,MATCH(COLUMNS($AM$1006:BM1006),$AM$1006:$BM$1006,0))&gt;=100000), " ",IF(INDEX($AM$2:$BM$1001,MATCH(ROWS($AF$2:AF48),$AF$2:$AF$1001,0),MATCH(COLUMNS($AM$1006:BM1006),$AM$1006:$BM$1006,0)), HYPERLINK("#",""), HYPERLINK(CONCATENATE("#metadata!", ADDRESS(INDEX($AH$2:$AH$1001,MATCH(ROWS($AF$2:AF48),$AF$2:$AF$1001,0),0), INDEX($AM$1004:$BM$1004,1,MATCH(COLUMNS($AM$1006:BM1006),$AM$1006:$BM$1006,0)))),"Fix")))</f>
        <v xml:space="preserve"> </v>
      </c>
      <c r="AF48">
        <v>47</v>
      </c>
      <c r="AG48">
        <v>100048</v>
      </c>
      <c r="AH48">
        <v>48</v>
      </c>
      <c r="AI48" t="b">
        <f t="shared" si="0"/>
        <v>1</v>
      </c>
      <c r="AJ48" t="b">
        <f>COUNTBLANK(metadata!B48:AB48)=COLUMNS(metadata!B48:AB48)</f>
        <v>1</v>
      </c>
      <c r="AK48" t="str">
        <v/>
      </c>
      <c r="AM48" t="b">
        <f ca="1">AND(IF(metadata!B48="",FALSE,TRUE),COUNTIF(metadata!B:B, metadata!B48) = 1,NOT(ISERROR(SUMPRODUCT(SEARCH(MID(metadata!B48,ROW(INDIRECT("1:"&amp;LEN(metadata!B48))), 1),"0123456789abcdefghijklmnopqrstuvwxyzABCDEFGHIJKLMNOPQRSTUVWXYZ.")))))</f>
        <v>0</v>
      </c>
      <c r="AN48" t="b">
        <f ca="1">OR(AND(IF(metadata!C48="",FALSE,TRUE),OR(EXACT(metadata!C48,"missing: not collected"),EXACT(metadata!C48,"missing: not provided"),EXACT(metadata!C48,"missing: restricted access"))),AND(IF(metadata!C48="",FALSE,TRUE),AND(AND(IFERROR(INT(LEFT(metadata!C48,4))&gt;1900,FALSE),IFERROR(INT(LEFT(metadata!C48,4))&lt;=YEAR(NOW()),FALSE)), OR(MID(metadata!C48,5,1)="", AND(AND(MID(metadata!C48,5,1)="-",IFERROR(INT(MID(metadata!C48,6,1))&gt;=0,FALSE),IFERROR(INT(MID(metadata!C48,6,1))&lt;=1,FALSE),NOT(MID(metadata!C48,7,1)=""),IFERROR(INT(MID(metadata!C48,6,2))&gt;=1,FALSE),IFERROR(INT(MID(metadata!C48,6,2))&lt;=12,FALSE)), OR(MID(metadata!C48,8,1)="", AND(AND(MID(metadata!C48,8,1)="-",IFERROR(INT(MID(metadata!C48,9,1))&gt;=0,FALSE),IFERROR(INT(MID(metadata!C48,9,1))&lt;=3,FALSE),NOT(MID(metadata!C48,10,1)=""),IFERROR(INT(MID(metadata!C48,9,2))&gt;=1,FALSE),IFERROR(INT(MID(metadata!C48,9,2))&lt;=31,FALSE)), OR(MID(metadata!C48,11,1)="", AND(AND(MID(metadata!C48,11,1)=" ",IFERROR(INT(MID(metadata!C48,12,1))&gt;=0,FALSE),IFERROR(INT(MID(metadata!C48,12,1))&lt;=2,FALSE),NOT(MID(metadata!C48,13,1)=""),IFERROR(INT(MID(metadata!C48,12,2))&gt;=0,FALSE),IFERROR(INT(MID(metadata!C48,12,2))&lt;=23,FALSE)), OR(MID(metadata!C48,14,1)="", AND(AND(MID(metadata!C48,14,1)=":",IFERROR(INT(MID(metadata!C48,15,1))&gt;=0,FALSE),IFERROR(INT(MID(metadata!C48,15,1))&lt;=5,FALSE),NOT(MID(metadata!C48,16,1)=""),IFERROR(INT(MID(metadata!C48,15,2))&gt;=0,FALSE),IFERROR(INT(MID(metadata!C48,15,2))&lt;=59,FALSE)), OR(MID(metadata!C48,17,1)="", AND(AND(MID(metadata!C48,17,1)=":",IFERROR(INT(MID(metadata!C48,18,1))&gt;=0,FALSE),IFERROR(INT(MID(metadata!C48,18,1))&lt;=5,FALSE),NOT(MID(metadata!C48,19,1)=""),IFERROR(INT(MID(metadata!C48,18,2))&gt;=0,FALSE),IFERROR(INT(MID(metadata!C48,18,2))&lt;=59,FALSE)), LEN(metadata!C48)&lt;=19)))))))))))))</f>
        <v>0</v>
      </c>
      <c r="AO48" t="b">
        <f>AND(IF(metadata!D48="",FALSE,TRUE),EXACT(metadata!D48,"Not applicable"))</f>
        <v>0</v>
      </c>
      <c r="AP48" t="b">
        <f>IF(metadata!E48="",FALSE,TRUE)</f>
        <v>0</v>
      </c>
      <c r="AQ48" t="b">
        <f>OR(AND(IF(metadata!F48="",FALSE,TRUE),OR(EXACT(metadata!F48,"missing: not collected"),EXACT(metadata!F48,"missing: not provided"))),AND(IF(metadata!F48="",FALSE,TRUE),OR(EXACT(metadata!F48,"TRUE"),EXACT(metadata!F48,"FALSE"))))</f>
        <v>0</v>
      </c>
      <c r="AR48" t="b">
        <f>OR(AND(IF(metadata!G48="",FALSE,TRUE),OR(EXACT(metadata!G48,"missing: not collected"),EXACT(metadata!G48,"missing: not provided"),EXACT(metadata!G48,"missing: restricted access"))),AND(IF(metadata!G48="",FALSE,ISNUMBER(VALUE(metadata!G48))),metadata!G48&gt;=-413))</f>
        <v>0</v>
      </c>
      <c r="AS48" t="b">
        <f>AND(IF(metadata!H48="",FALSE,TRUE),EXACT(metadata!H48,"meters"))</f>
        <v>0</v>
      </c>
      <c r="AT48" t="b">
        <f>AND(IF(metadata!I48="",FALSE,TRUE),OR(EXACT(metadata!I48,"Host-associated"),EXACT(metadata!I48,"Free-living")))</f>
        <v>0</v>
      </c>
      <c r="AU48" t="b">
        <f>AND(IF(metadata!J48="",FALSE,TRUE),OR(EXACT(metadata!J48,"Animal"),EXACT(metadata!J48,"Fungus"),EXACT(metadata!J48,"Plant"),EXACT(metadata!J48,"Saline"),EXACT(metadata!J48,"Non-saline")))</f>
        <v>0</v>
      </c>
      <c r="AV48" t="b">
        <f>AND(IF(metadata!K48="",FALSE,TRUE),OR(EXACT(metadata!K48,"Plant secretion"),EXACT(metadata!K48,"Plant rhizosphere"),EXACT(metadata!K48,"Plant surface"),EXACT(metadata!K48,"Plant corpus"),EXACT(metadata!K48,"Fungus surface"),EXACT(metadata!K48,"Fungus corpus"),EXACT(metadata!K48,"Animal surface"),EXACT(metadata!K48,"Animal proximal gut"),EXACT(metadata!K48,"Animal corpus"),EXACT(metadata!K48,"Animal distal gut"),EXACT(metadata!K48,"Animal secretion"),EXACT(metadata!K48,"Sub-surface (non-saline)"),EXACT(metadata!K48,"Surface (non-saline)"),EXACT(metadata!K48,"Water (non-saline)"),EXACT(metadata!K48,"Soil (non-saline)"),EXACT(metadata!K48,"Aerosol (non-saline)"),EXACT(metadata!K48,"Sediment (non-saline)"),EXACT(metadata!K48,"Surface (saline)"),EXACT(metadata!K48,"Water (saline)"),EXACT(metadata!K48,"Hypersaline (saline)"),EXACT(metadata!K48,"Aerosol (saline)"),EXACT(metadata!K48,"Sediment (saline)")))</f>
        <v>0</v>
      </c>
      <c r="AW48" t="b">
        <f>IF(metadata!L48="",FALSE,TRUE)</f>
        <v>0</v>
      </c>
      <c r="AX48" t="b">
        <f>IF(metadata!M48="",FALSE,TRUE)</f>
        <v>0</v>
      </c>
      <c r="AY48" t="b">
        <f>IF(metadata!N48="",FALSE,TRUE)</f>
        <v>0</v>
      </c>
      <c r="AZ48" t="b">
        <f>OR(AND(IF(metadata!O48="",FALSE,TRUE),OR(EXACT(metadata!O48,"missing: not collected"),EXACT(metadata!O48,"missing: not provided"),EXACT(metadata!O48,"missing: restricted access"))),AND(IF(metadata!O48="",FALSE,TRUE),OR(EXACT(metadata!O48,"air"),EXACT(metadata!O48,"built environment"),EXACT(metadata!O48,"host-associated"),EXACT(metadata!O48,"human-associated"),EXACT(metadata!O48,"human-skin"),EXACT(metadata!O48,"human-oral"),EXACT(metadata!O48,"human-gut"),EXACT(metadata!O48,"human-vaginal"),EXACT(metadata!O48,"microbial mat/biofilm"),EXACT(metadata!O48,"misc environment"),EXACT(metadata!O48,"plant-associated"),EXACT(metadata!O48,"sediment"),EXACT(metadata!O48,"soil"),EXACT(metadata!O48,"wastewater/sludge"),EXACT(metadata!O48,"water"))))</f>
        <v>0</v>
      </c>
      <c r="BA48" t="b">
        <f>IF(metadata!P48="",FALSE,TRUE)</f>
        <v>0</v>
      </c>
      <c r="BB48" t="b">
        <f>IF(metadata!Q48="",FALSE,TRUE)</f>
        <v>0</v>
      </c>
      <c r="BC48" t="b">
        <f>OR(AND(IF(metadata!R48="",FALSE,TRUE),OR(EXACT(metadata!R48,"missing: not collected"),EXACT(metadata!R48,"missing: not provided"),EXACT(metadata!R48,"missing: restricted access"))),AND(IF(metadata!R48="",FALSE,ISNUMBER(VALUE(metadata!R48))),metadata!R48&gt;=-90,metadata!R48&lt;=90))</f>
        <v>0</v>
      </c>
      <c r="BD48" t="b">
        <f>AND(IF(metadata!S48="",FALSE,TRUE),EXACT(metadata!S48,"Decimal degrees"))</f>
        <v>0</v>
      </c>
      <c r="BE48" t="b">
        <f>OR(AND(IF(metadata!T48="",FALSE,TRUE),OR(EXACT(metadata!T48,"missing: not collected"),EXACT(metadata!T48,"missing: not provided"),EXACT(metadata!T48,"missing: restricted access"))),AND(IF(metadata!T48="",FALSE,ISNUMBER(VALUE(metadata!T48))),metadata!T48&gt;=-180,metadata!T48&lt;=180))</f>
        <v>0</v>
      </c>
      <c r="BF48" t="b">
        <f>AND(IF(metadata!U48="",FALSE,TRUE),EXACT(metadata!U48,"Decimal degrees"))</f>
        <v>0</v>
      </c>
      <c r="BG48" t="b">
        <f>IF(metadata!V48="",FALSE,TRUE)</f>
        <v>0</v>
      </c>
      <c r="BH48" t="b">
        <f>OR(AND(IF(metadata!W48="",FALSE,TRUE),OR(EXACT(metadata!W48,"missing: not collected"),EXACT(metadata!W48,"missing: not provided"),EXACT(metadata!W48,"missing: restricted access"))),AND(IF(metadata!W48="",FALSE,TRUE),OR(EXACT(metadata!W48,"TRUE"),EXACT(metadata!W48,"FALSE"))))</f>
        <v>0</v>
      </c>
      <c r="BI48" t="b">
        <f>AND(IF(metadata!X48="",FALSE,TRUE),EXACT(metadata!X48,"other"))</f>
        <v>0</v>
      </c>
      <c r="BJ48" t="b">
        <f>IF(metadata!Y48="",FALSE,TRUE)</f>
        <v>0</v>
      </c>
      <c r="BK48" t="b">
        <f>OR(AND(IF(metadata!Z48="",FALSE,TRUE),OR(EXACT(metadata!Z48,"missing: not collected"),EXACT(metadata!Z48,"missing: not provided"))),AND(IF(metadata!Z48="",FALSE,IF(ISERROR(INT(metadata!Z48)),FALSE,INT(metadata!Z48)=metadata!Z48)),metadata!Z48&gt;0))</f>
        <v>0</v>
      </c>
      <c r="BL48" t="b">
        <f>AND(IF(metadata!AA48="",FALSE,TRUE),EXACT(metadata!AA48,"Not applicable"))</f>
        <v>0</v>
      </c>
      <c r="BM48" t="b">
        <f>IF(metadata!AB48="",FALSE,TRUE)</f>
        <v>0</v>
      </c>
    </row>
    <row r="49" spans="1:65" x14ac:dyDescent="0.2">
      <c r="A49" s="5" t="str">
        <f ca="1">IF(B49=" "," ",HYPERLINK(CONCATENATE("#metadata!",ADDRESS(INDEX($AH$2:$AH$1001,MATCH(ROWS($AF$2:AF49),$AF$2:$AF$1001,0),0),1)),INDEX($AK$2:$AK$1001,MATCH(ROWS($AF$2:AF49),$AF$2:$AF$1001,0),0)))</f>
        <v xml:space="preserve"> </v>
      </c>
      <c r="B49" s="4" t="str">
        <f ca="1">IF(OR(INDEX($AG$2:$AG$1001,MATCH(ROWS($AF$2:AF49),$AF$2:$AF$1001,0),1)&gt;=100000,INDEX($AM$1005:$BM$1005,1,MATCH(COLUMNS($AM$1006:AM1006),$AM$1006:$BM$1006,0))&gt;=100000), " ",IF(INDEX($AM$2:$BM$1001,MATCH(ROWS($AF$2:AF49),$AF$2:$AF$1001,0),MATCH(COLUMNS($AM$1006:AM1006),$AM$1006:$BM$1006,0)), HYPERLINK("#",""), HYPERLINK(CONCATENATE("#metadata!", ADDRESS(INDEX($AH$2:$AH$1001,MATCH(ROWS($AF$2:AF49),$AF$2:$AF$1001,0),0), INDEX($AM$1004:$BM$1004,1,MATCH(COLUMNS($AM$1006:AM1006),$AM$1006:$BM$1006,0)))),"Fix")))</f>
        <v xml:space="preserve"> </v>
      </c>
      <c r="C49" s="4" t="str">
        <f ca="1">IF(OR(INDEX($AG$2:$AG$1001,MATCH(ROWS($AF$2:AF49),$AF$2:$AF$1001,0),1)&gt;=100000,INDEX($AM$1005:$BM$1005,1,MATCH(COLUMNS($AM$1006:AN1006),$AM$1006:$BM$1006,0))&gt;=100000), " ",IF(INDEX($AM$2:$BM$1001,MATCH(ROWS($AF$2:AF49),$AF$2:$AF$1001,0),MATCH(COLUMNS($AM$1006:AN1006),$AM$1006:$BM$1006,0)), HYPERLINK("#",""), HYPERLINK(CONCATENATE("#metadata!", ADDRESS(INDEX($AH$2:$AH$1001,MATCH(ROWS($AF$2:AF49),$AF$2:$AF$1001,0),0), INDEX($AM$1004:$BM$1004,1,MATCH(COLUMNS($AM$1006:AN1006),$AM$1006:$BM$1006,0)))),"Fix")))</f>
        <v xml:space="preserve"> </v>
      </c>
      <c r="D49" s="4" t="str">
        <f ca="1">IF(OR(INDEX($AG$2:$AG$1001,MATCH(ROWS($AF$2:AF49),$AF$2:$AF$1001,0),1)&gt;=100000,INDEX($AM$1005:$BM$1005,1,MATCH(COLUMNS($AM$1006:AO1006),$AM$1006:$BM$1006,0))&gt;=100000), " ",IF(INDEX($AM$2:$BM$1001,MATCH(ROWS($AF$2:AF49),$AF$2:$AF$1001,0),MATCH(COLUMNS($AM$1006:AO1006),$AM$1006:$BM$1006,0)), HYPERLINK("#",""), HYPERLINK(CONCATENATE("#metadata!", ADDRESS(INDEX($AH$2:$AH$1001,MATCH(ROWS($AF$2:AF49),$AF$2:$AF$1001,0),0), INDEX($AM$1004:$BM$1004,1,MATCH(COLUMNS($AM$1006:AO1006),$AM$1006:$BM$1006,0)))),"Fix")))</f>
        <v xml:space="preserve"> </v>
      </c>
      <c r="E49" s="4" t="str">
        <f ca="1">IF(OR(INDEX($AG$2:$AG$1001,MATCH(ROWS($AF$2:AF49),$AF$2:$AF$1001,0),1)&gt;=100000,INDEX($AM$1005:$BM$1005,1,MATCH(COLUMNS($AM$1006:AP1006),$AM$1006:$BM$1006,0))&gt;=100000), " ",IF(INDEX($AM$2:$BM$1001,MATCH(ROWS($AF$2:AF49),$AF$2:$AF$1001,0),MATCH(COLUMNS($AM$1006:AP1006),$AM$1006:$BM$1006,0)), HYPERLINK("#",""), HYPERLINK(CONCATENATE("#metadata!", ADDRESS(INDEX($AH$2:$AH$1001,MATCH(ROWS($AF$2:AF49),$AF$2:$AF$1001,0),0), INDEX($AM$1004:$BM$1004,1,MATCH(COLUMNS($AM$1006:AP1006),$AM$1006:$BM$1006,0)))),"Fix")))</f>
        <v xml:space="preserve"> </v>
      </c>
      <c r="F49" s="4" t="str">
        <f ca="1">IF(OR(INDEX($AG$2:$AG$1001,MATCH(ROWS($AF$2:AF49),$AF$2:$AF$1001,0),1)&gt;=100000,INDEX($AM$1005:$BM$1005,1,MATCH(COLUMNS($AM$1006:AQ1006),$AM$1006:$BM$1006,0))&gt;=100000), " ",IF(INDEX($AM$2:$BM$1001,MATCH(ROWS($AF$2:AF49),$AF$2:$AF$1001,0),MATCH(COLUMNS($AM$1006:AQ1006),$AM$1006:$BM$1006,0)), HYPERLINK("#",""), HYPERLINK(CONCATENATE("#metadata!", ADDRESS(INDEX($AH$2:$AH$1001,MATCH(ROWS($AF$2:AF49),$AF$2:$AF$1001,0),0), INDEX($AM$1004:$BM$1004,1,MATCH(COLUMNS($AM$1006:AQ1006),$AM$1006:$BM$1006,0)))),"Fix")))</f>
        <v xml:space="preserve"> </v>
      </c>
      <c r="G49" s="4" t="str">
        <f ca="1">IF(OR(INDEX($AG$2:$AG$1001,MATCH(ROWS($AF$2:AF49),$AF$2:$AF$1001,0),1)&gt;=100000,INDEX($AM$1005:$BM$1005,1,MATCH(COLUMNS($AM$1006:AR1006),$AM$1006:$BM$1006,0))&gt;=100000), " ",IF(INDEX($AM$2:$BM$1001,MATCH(ROWS($AF$2:AF49),$AF$2:$AF$1001,0),MATCH(COLUMNS($AM$1006:AR1006),$AM$1006:$BM$1006,0)), HYPERLINK("#",""), HYPERLINK(CONCATENATE("#metadata!", ADDRESS(INDEX($AH$2:$AH$1001,MATCH(ROWS($AF$2:AF49),$AF$2:$AF$1001,0),0), INDEX($AM$1004:$BM$1004,1,MATCH(COLUMNS($AM$1006:AR1006),$AM$1006:$BM$1006,0)))),"Fix")))</f>
        <v xml:space="preserve"> </v>
      </c>
      <c r="H49" s="4" t="str">
        <f ca="1">IF(OR(INDEX($AG$2:$AG$1001,MATCH(ROWS($AF$2:AF49),$AF$2:$AF$1001,0),1)&gt;=100000,INDEX($AM$1005:$BM$1005,1,MATCH(COLUMNS($AM$1006:AS1006),$AM$1006:$BM$1006,0))&gt;=100000), " ",IF(INDEX($AM$2:$BM$1001,MATCH(ROWS($AF$2:AF49),$AF$2:$AF$1001,0),MATCH(COLUMNS($AM$1006:AS1006),$AM$1006:$BM$1006,0)), HYPERLINK("#",""), HYPERLINK(CONCATENATE("#metadata!", ADDRESS(INDEX($AH$2:$AH$1001,MATCH(ROWS($AF$2:AF49),$AF$2:$AF$1001,0),0), INDEX($AM$1004:$BM$1004,1,MATCH(COLUMNS($AM$1006:AS1006),$AM$1006:$BM$1006,0)))),"Fix")))</f>
        <v xml:space="preserve"> </v>
      </c>
      <c r="I49" s="4" t="str">
        <f ca="1">IF(OR(INDEX($AG$2:$AG$1001,MATCH(ROWS($AF$2:AF49),$AF$2:$AF$1001,0),1)&gt;=100000,INDEX($AM$1005:$BM$1005,1,MATCH(COLUMNS($AM$1006:AT1006),$AM$1006:$BM$1006,0))&gt;=100000), " ",IF(INDEX($AM$2:$BM$1001,MATCH(ROWS($AF$2:AF49),$AF$2:$AF$1001,0),MATCH(COLUMNS($AM$1006:AT1006),$AM$1006:$BM$1006,0)), HYPERLINK("#",""), HYPERLINK(CONCATENATE("#metadata!", ADDRESS(INDEX($AH$2:$AH$1001,MATCH(ROWS($AF$2:AF49),$AF$2:$AF$1001,0),0), INDEX($AM$1004:$BM$1004,1,MATCH(COLUMNS($AM$1006:AT1006),$AM$1006:$BM$1006,0)))),"Fix")))</f>
        <v xml:space="preserve"> </v>
      </c>
      <c r="J49" s="4" t="str">
        <f ca="1">IF(OR(INDEX($AG$2:$AG$1001,MATCH(ROWS($AF$2:AF49),$AF$2:$AF$1001,0),1)&gt;=100000,INDEX($AM$1005:$BM$1005,1,MATCH(COLUMNS($AM$1006:AU1006),$AM$1006:$BM$1006,0))&gt;=100000), " ",IF(INDEX($AM$2:$BM$1001,MATCH(ROWS($AF$2:AF49),$AF$2:$AF$1001,0),MATCH(COLUMNS($AM$1006:AU1006),$AM$1006:$BM$1006,0)), HYPERLINK("#",""), HYPERLINK(CONCATENATE("#metadata!", ADDRESS(INDEX($AH$2:$AH$1001,MATCH(ROWS($AF$2:AF49),$AF$2:$AF$1001,0),0), INDEX($AM$1004:$BM$1004,1,MATCH(COLUMNS($AM$1006:AU1006),$AM$1006:$BM$1006,0)))),"Fix")))</f>
        <v xml:space="preserve"> </v>
      </c>
      <c r="K49" s="4" t="str">
        <f ca="1">IF(OR(INDEX($AG$2:$AG$1001,MATCH(ROWS($AF$2:AF49),$AF$2:$AF$1001,0),1)&gt;=100000,INDEX($AM$1005:$BM$1005,1,MATCH(COLUMNS($AM$1006:AV1006),$AM$1006:$BM$1006,0))&gt;=100000), " ",IF(INDEX($AM$2:$BM$1001,MATCH(ROWS($AF$2:AF49),$AF$2:$AF$1001,0),MATCH(COLUMNS($AM$1006:AV1006),$AM$1006:$BM$1006,0)), HYPERLINK("#",""), HYPERLINK(CONCATENATE("#metadata!", ADDRESS(INDEX($AH$2:$AH$1001,MATCH(ROWS($AF$2:AF49),$AF$2:$AF$1001,0),0), INDEX($AM$1004:$BM$1004,1,MATCH(COLUMNS($AM$1006:AV1006),$AM$1006:$BM$1006,0)))),"Fix")))</f>
        <v xml:space="preserve"> </v>
      </c>
      <c r="L49" s="4" t="str">
        <f ca="1">IF(OR(INDEX($AG$2:$AG$1001,MATCH(ROWS($AF$2:AF49),$AF$2:$AF$1001,0),1)&gt;=100000,INDEX($AM$1005:$BM$1005,1,MATCH(COLUMNS($AM$1006:AW1006),$AM$1006:$BM$1006,0))&gt;=100000), " ",IF(INDEX($AM$2:$BM$1001,MATCH(ROWS($AF$2:AF49),$AF$2:$AF$1001,0),MATCH(COLUMNS($AM$1006:AW1006),$AM$1006:$BM$1006,0)), HYPERLINK("#",""), HYPERLINK(CONCATENATE("#metadata!", ADDRESS(INDEX($AH$2:$AH$1001,MATCH(ROWS($AF$2:AF49),$AF$2:$AF$1001,0),0), INDEX($AM$1004:$BM$1004,1,MATCH(COLUMNS($AM$1006:AW1006),$AM$1006:$BM$1006,0)))),"Fix")))</f>
        <v xml:space="preserve"> </v>
      </c>
      <c r="M49" s="4" t="str">
        <f ca="1">IF(OR(INDEX($AG$2:$AG$1001,MATCH(ROWS($AF$2:AF49),$AF$2:$AF$1001,0),1)&gt;=100000,INDEX($AM$1005:$BM$1005,1,MATCH(COLUMNS($AM$1006:AX1006),$AM$1006:$BM$1006,0))&gt;=100000), " ",IF(INDEX($AM$2:$BM$1001,MATCH(ROWS($AF$2:AF49),$AF$2:$AF$1001,0),MATCH(COLUMNS($AM$1006:AX1006),$AM$1006:$BM$1006,0)), HYPERLINK("#",""), HYPERLINK(CONCATENATE("#metadata!", ADDRESS(INDEX($AH$2:$AH$1001,MATCH(ROWS($AF$2:AF49),$AF$2:$AF$1001,0),0), INDEX($AM$1004:$BM$1004,1,MATCH(COLUMNS($AM$1006:AX1006),$AM$1006:$BM$1006,0)))),"Fix")))</f>
        <v xml:space="preserve"> </v>
      </c>
      <c r="N49" s="4" t="str">
        <f ca="1">IF(OR(INDEX($AG$2:$AG$1001,MATCH(ROWS($AF$2:AF49),$AF$2:$AF$1001,0),1)&gt;=100000,INDEX($AM$1005:$BM$1005,1,MATCH(COLUMNS($AM$1006:AY1006),$AM$1006:$BM$1006,0))&gt;=100000), " ",IF(INDEX($AM$2:$BM$1001,MATCH(ROWS($AF$2:AF49),$AF$2:$AF$1001,0),MATCH(COLUMNS($AM$1006:AY1006),$AM$1006:$BM$1006,0)), HYPERLINK("#",""), HYPERLINK(CONCATENATE("#metadata!", ADDRESS(INDEX($AH$2:$AH$1001,MATCH(ROWS($AF$2:AF49),$AF$2:$AF$1001,0),0), INDEX($AM$1004:$BM$1004,1,MATCH(COLUMNS($AM$1006:AY1006),$AM$1006:$BM$1006,0)))),"Fix")))</f>
        <v xml:space="preserve"> </v>
      </c>
      <c r="O49" s="4" t="str">
        <f ca="1">IF(OR(INDEX($AG$2:$AG$1001,MATCH(ROWS($AF$2:AF49),$AF$2:$AF$1001,0),1)&gt;=100000,INDEX($AM$1005:$BM$1005,1,MATCH(COLUMNS($AM$1006:AZ1006),$AM$1006:$BM$1006,0))&gt;=100000), " ",IF(INDEX($AM$2:$BM$1001,MATCH(ROWS($AF$2:AF49),$AF$2:$AF$1001,0),MATCH(COLUMNS($AM$1006:AZ1006),$AM$1006:$BM$1006,0)), HYPERLINK("#",""), HYPERLINK(CONCATENATE("#metadata!", ADDRESS(INDEX($AH$2:$AH$1001,MATCH(ROWS($AF$2:AF49),$AF$2:$AF$1001,0),0), INDEX($AM$1004:$BM$1004,1,MATCH(COLUMNS($AM$1006:AZ1006),$AM$1006:$BM$1006,0)))),"Fix")))</f>
        <v xml:space="preserve"> </v>
      </c>
      <c r="P49" s="4" t="str">
        <f ca="1">IF(OR(INDEX($AG$2:$AG$1001,MATCH(ROWS($AF$2:AF49),$AF$2:$AF$1001,0),1)&gt;=100000,INDEX($AM$1005:$BM$1005,1,MATCH(COLUMNS($AM$1006:BA1006),$AM$1006:$BM$1006,0))&gt;=100000), " ",IF(INDEX($AM$2:$BM$1001,MATCH(ROWS($AF$2:AF49),$AF$2:$AF$1001,0),MATCH(COLUMNS($AM$1006:BA1006),$AM$1006:$BM$1006,0)), HYPERLINK("#",""), HYPERLINK(CONCATENATE("#metadata!", ADDRESS(INDEX($AH$2:$AH$1001,MATCH(ROWS($AF$2:AF49),$AF$2:$AF$1001,0),0), INDEX($AM$1004:$BM$1004,1,MATCH(COLUMNS($AM$1006:BA1006),$AM$1006:$BM$1006,0)))),"Fix")))</f>
        <v xml:space="preserve"> </v>
      </c>
      <c r="Q49" s="4" t="str">
        <f ca="1">IF(OR(INDEX($AG$2:$AG$1001,MATCH(ROWS($AF$2:AF49),$AF$2:$AF$1001,0),1)&gt;=100000,INDEX($AM$1005:$BM$1005,1,MATCH(COLUMNS($AM$1006:BB1006),$AM$1006:$BM$1006,0))&gt;=100000), " ",IF(INDEX($AM$2:$BM$1001,MATCH(ROWS($AF$2:AF49),$AF$2:$AF$1001,0),MATCH(COLUMNS($AM$1006:BB1006),$AM$1006:$BM$1006,0)), HYPERLINK("#",""), HYPERLINK(CONCATENATE("#metadata!", ADDRESS(INDEX($AH$2:$AH$1001,MATCH(ROWS($AF$2:AF49),$AF$2:$AF$1001,0),0), INDEX($AM$1004:$BM$1004,1,MATCH(COLUMNS($AM$1006:BB1006),$AM$1006:$BM$1006,0)))),"Fix")))</f>
        <v xml:space="preserve"> </v>
      </c>
      <c r="R49" s="4" t="str">
        <f ca="1">IF(OR(INDEX($AG$2:$AG$1001,MATCH(ROWS($AF$2:AF49),$AF$2:$AF$1001,0),1)&gt;=100000,INDEX($AM$1005:$BM$1005,1,MATCH(COLUMNS($AM$1006:BC1006),$AM$1006:$BM$1006,0))&gt;=100000), " ",IF(INDEX($AM$2:$BM$1001,MATCH(ROWS($AF$2:AF49),$AF$2:$AF$1001,0),MATCH(COLUMNS($AM$1006:BC1006),$AM$1006:$BM$1006,0)), HYPERLINK("#",""), HYPERLINK(CONCATENATE("#metadata!", ADDRESS(INDEX($AH$2:$AH$1001,MATCH(ROWS($AF$2:AF49),$AF$2:$AF$1001,0),0), INDEX($AM$1004:$BM$1004,1,MATCH(COLUMNS($AM$1006:BC1006),$AM$1006:$BM$1006,0)))),"Fix")))</f>
        <v xml:space="preserve"> </v>
      </c>
      <c r="S49" s="4" t="str">
        <f ca="1">IF(OR(INDEX($AG$2:$AG$1001,MATCH(ROWS($AF$2:AF49),$AF$2:$AF$1001,0),1)&gt;=100000,INDEX($AM$1005:$BM$1005,1,MATCH(COLUMNS($AM$1006:BD1006),$AM$1006:$BM$1006,0))&gt;=100000), " ",IF(INDEX($AM$2:$BM$1001,MATCH(ROWS($AF$2:AF49),$AF$2:$AF$1001,0),MATCH(COLUMNS($AM$1006:BD1006),$AM$1006:$BM$1006,0)), HYPERLINK("#",""), HYPERLINK(CONCATENATE("#metadata!", ADDRESS(INDEX($AH$2:$AH$1001,MATCH(ROWS($AF$2:AF49),$AF$2:$AF$1001,0),0), INDEX($AM$1004:$BM$1004,1,MATCH(COLUMNS($AM$1006:BD1006),$AM$1006:$BM$1006,0)))),"Fix")))</f>
        <v xml:space="preserve"> </v>
      </c>
      <c r="T49" s="4" t="str">
        <f ca="1">IF(OR(INDEX($AG$2:$AG$1001,MATCH(ROWS($AF$2:AF49),$AF$2:$AF$1001,0),1)&gt;=100000,INDEX($AM$1005:$BM$1005,1,MATCH(COLUMNS($AM$1006:BE1006),$AM$1006:$BM$1006,0))&gt;=100000), " ",IF(INDEX($AM$2:$BM$1001,MATCH(ROWS($AF$2:AF49),$AF$2:$AF$1001,0),MATCH(COLUMNS($AM$1006:BE1006),$AM$1006:$BM$1006,0)), HYPERLINK("#",""), HYPERLINK(CONCATENATE("#metadata!", ADDRESS(INDEX($AH$2:$AH$1001,MATCH(ROWS($AF$2:AF49),$AF$2:$AF$1001,0),0), INDEX($AM$1004:$BM$1004,1,MATCH(COLUMNS($AM$1006:BE1006),$AM$1006:$BM$1006,0)))),"Fix")))</f>
        <v xml:space="preserve"> </v>
      </c>
      <c r="U49" s="4" t="str">
        <f ca="1">IF(OR(INDEX($AG$2:$AG$1001,MATCH(ROWS($AF$2:AF49),$AF$2:$AF$1001,0),1)&gt;=100000,INDEX($AM$1005:$BM$1005,1,MATCH(COLUMNS($AM$1006:BF1006),$AM$1006:$BM$1006,0))&gt;=100000), " ",IF(INDEX($AM$2:$BM$1001,MATCH(ROWS($AF$2:AF49),$AF$2:$AF$1001,0),MATCH(COLUMNS($AM$1006:BF1006),$AM$1006:$BM$1006,0)), HYPERLINK("#",""), HYPERLINK(CONCATENATE("#metadata!", ADDRESS(INDEX($AH$2:$AH$1001,MATCH(ROWS($AF$2:AF49),$AF$2:$AF$1001,0),0), INDEX($AM$1004:$BM$1004,1,MATCH(COLUMNS($AM$1006:BF1006),$AM$1006:$BM$1006,0)))),"Fix")))</f>
        <v xml:space="preserve"> </v>
      </c>
      <c r="V49" s="4" t="str">
        <f ca="1">IF(OR(INDEX($AG$2:$AG$1001,MATCH(ROWS($AF$2:AF49),$AF$2:$AF$1001,0),1)&gt;=100000,INDEX($AM$1005:$BM$1005,1,MATCH(COLUMNS($AM$1006:BG1006),$AM$1006:$BM$1006,0))&gt;=100000), " ",IF(INDEX($AM$2:$BM$1001,MATCH(ROWS($AF$2:AF49),$AF$2:$AF$1001,0),MATCH(COLUMNS($AM$1006:BG1006),$AM$1006:$BM$1006,0)), HYPERLINK("#",""), HYPERLINK(CONCATENATE("#metadata!", ADDRESS(INDEX($AH$2:$AH$1001,MATCH(ROWS($AF$2:AF49),$AF$2:$AF$1001,0),0), INDEX($AM$1004:$BM$1004,1,MATCH(COLUMNS($AM$1006:BG1006),$AM$1006:$BM$1006,0)))),"Fix")))</f>
        <v xml:space="preserve"> </v>
      </c>
      <c r="W49" s="4" t="str">
        <f ca="1">IF(OR(INDEX($AG$2:$AG$1001,MATCH(ROWS($AF$2:AF49),$AF$2:$AF$1001,0),1)&gt;=100000,INDEX($AM$1005:$BM$1005,1,MATCH(COLUMNS($AM$1006:BH1006),$AM$1006:$BM$1006,0))&gt;=100000), " ",IF(INDEX($AM$2:$BM$1001,MATCH(ROWS($AF$2:AF49),$AF$2:$AF$1001,0),MATCH(COLUMNS($AM$1006:BH1006),$AM$1006:$BM$1006,0)), HYPERLINK("#",""), HYPERLINK(CONCATENATE("#metadata!", ADDRESS(INDEX($AH$2:$AH$1001,MATCH(ROWS($AF$2:AF49),$AF$2:$AF$1001,0),0), INDEX($AM$1004:$BM$1004,1,MATCH(COLUMNS($AM$1006:BH1006),$AM$1006:$BM$1006,0)))),"Fix")))</f>
        <v xml:space="preserve"> </v>
      </c>
      <c r="X49" s="4" t="str">
        <f ca="1">IF(OR(INDEX($AG$2:$AG$1001,MATCH(ROWS($AF$2:AF49),$AF$2:$AF$1001,0),1)&gt;=100000,INDEX($AM$1005:$BM$1005,1,MATCH(COLUMNS($AM$1006:BI1006),$AM$1006:$BM$1006,0))&gt;=100000), " ",IF(INDEX($AM$2:$BM$1001,MATCH(ROWS($AF$2:AF49),$AF$2:$AF$1001,0),MATCH(COLUMNS($AM$1006:BI1006),$AM$1006:$BM$1006,0)), HYPERLINK("#",""), HYPERLINK(CONCATENATE("#metadata!", ADDRESS(INDEX($AH$2:$AH$1001,MATCH(ROWS($AF$2:AF49),$AF$2:$AF$1001,0),0), INDEX($AM$1004:$BM$1004,1,MATCH(COLUMNS($AM$1006:BI1006),$AM$1006:$BM$1006,0)))),"Fix")))</f>
        <v xml:space="preserve"> </v>
      </c>
      <c r="Y49" s="4" t="str">
        <f ca="1">IF(OR(INDEX($AG$2:$AG$1001,MATCH(ROWS($AF$2:AF49),$AF$2:$AF$1001,0),1)&gt;=100000,INDEX($AM$1005:$BM$1005,1,MATCH(COLUMNS($AM$1006:BJ1006),$AM$1006:$BM$1006,0))&gt;=100000), " ",IF(INDEX($AM$2:$BM$1001,MATCH(ROWS($AF$2:AF49),$AF$2:$AF$1001,0),MATCH(COLUMNS($AM$1006:BJ1006),$AM$1006:$BM$1006,0)), HYPERLINK("#",""), HYPERLINK(CONCATENATE("#metadata!", ADDRESS(INDEX($AH$2:$AH$1001,MATCH(ROWS($AF$2:AF49),$AF$2:$AF$1001,0),0), INDEX($AM$1004:$BM$1004,1,MATCH(COLUMNS($AM$1006:BJ1006),$AM$1006:$BM$1006,0)))),"Fix")))</f>
        <v xml:space="preserve"> </v>
      </c>
      <c r="Z49" s="4" t="str">
        <f ca="1">IF(OR(INDEX($AG$2:$AG$1001,MATCH(ROWS($AF$2:AF49),$AF$2:$AF$1001,0),1)&gt;=100000,INDEX($AM$1005:$BM$1005,1,MATCH(COLUMNS($AM$1006:BK1006),$AM$1006:$BM$1006,0))&gt;=100000), " ",IF(INDEX($AM$2:$BM$1001,MATCH(ROWS($AF$2:AF49),$AF$2:$AF$1001,0),MATCH(COLUMNS($AM$1006:BK1006),$AM$1006:$BM$1006,0)), HYPERLINK("#",""), HYPERLINK(CONCATENATE("#metadata!", ADDRESS(INDEX($AH$2:$AH$1001,MATCH(ROWS($AF$2:AF49),$AF$2:$AF$1001,0),0), INDEX($AM$1004:$BM$1004,1,MATCH(COLUMNS($AM$1006:BK1006),$AM$1006:$BM$1006,0)))),"Fix")))</f>
        <v xml:space="preserve"> </v>
      </c>
      <c r="AA49" s="4" t="str">
        <f ca="1">IF(OR(INDEX($AG$2:$AG$1001,MATCH(ROWS($AF$2:AF49),$AF$2:$AF$1001,0),1)&gt;=100000,INDEX($AM$1005:$BM$1005,1,MATCH(COLUMNS($AM$1006:BL1006),$AM$1006:$BM$1006,0))&gt;=100000), " ",IF(INDEX($AM$2:$BM$1001,MATCH(ROWS($AF$2:AF49),$AF$2:$AF$1001,0),MATCH(COLUMNS($AM$1006:BL1006),$AM$1006:$BM$1006,0)), HYPERLINK("#",""), HYPERLINK(CONCATENATE("#metadata!", ADDRESS(INDEX($AH$2:$AH$1001,MATCH(ROWS($AF$2:AF49),$AF$2:$AF$1001,0),0), INDEX($AM$1004:$BM$1004,1,MATCH(COLUMNS($AM$1006:BL1006),$AM$1006:$BM$1006,0)))),"Fix")))</f>
        <v xml:space="preserve"> </v>
      </c>
      <c r="AB49" s="4" t="str">
        <f ca="1">IF(OR(INDEX($AG$2:$AG$1001,MATCH(ROWS($AF$2:AF49),$AF$2:$AF$1001,0),1)&gt;=100000,INDEX($AM$1005:$BM$1005,1,MATCH(COLUMNS($AM$1006:BM1006),$AM$1006:$BM$1006,0))&gt;=100000), " ",IF(INDEX($AM$2:$BM$1001,MATCH(ROWS($AF$2:AF49),$AF$2:$AF$1001,0),MATCH(COLUMNS($AM$1006:BM1006),$AM$1006:$BM$1006,0)), HYPERLINK("#",""), HYPERLINK(CONCATENATE("#metadata!", ADDRESS(INDEX($AH$2:$AH$1001,MATCH(ROWS($AF$2:AF49),$AF$2:$AF$1001,0),0), INDEX($AM$1004:$BM$1004,1,MATCH(COLUMNS($AM$1006:BM1006),$AM$1006:$BM$1006,0)))),"Fix")))</f>
        <v xml:space="preserve"> </v>
      </c>
      <c r="AF49">
        <v>48</v>
      </c>
      <c r="AG49">
        <v>100049</v>
      </c>
      <c r="AH49">
        <v>49</v>
      </c>
      <c r="AI49" t="b">
        <f t="shared" si="0"/>
        <v>1</v>
      </c>
      <c r="AJ49" t="b">
        <f>COUNTBLANK(metadata!B49:AB49)=COLUMNS(metadata!B49:AB49)</f>
        <v>1</v>
      </c>
      <c r="AK49" t="str">
        <v/>
      </c>
      <c r="AM49" t="b">
        <f ca="1">AND(IF(metadata!B49="",FALSE,TRUE),COUNTIF(metadata!B:B, metadata!B49) = 1,NOT(ISERROR(SUMPRODUCT(SEARCH(MID(metadata!B49,ROW(INDIRECT("1:"&amp;LEN(metadata!B49))), 1),"0123456789abcdefghijklmnopqrstuvwxyzABCDEFGHIJKLMNOPQRSTUVWXYZ.")))))</f>
        <v>0</v>
      </c>
      <c r="AN49" t="b">
        <f ca="1">OR(AND(IF(metadata!C49="",FALSE,TRUE),OR(EXACT(metadata!C49,"missing: not collected"),EXACT(metadata!C49,"missing: not provided"),EXACT(metadata!C49,"missing: restricted access"))),AND(IF(metadata!C49="",FALSE,TRUE),AND(AND(IFERROR(INT(LEFT(metadata!C49,4))&gt;1900,FALSE),IFERROR(INT(LEFT(metadata!C49,4))&lt;=YEAR(NOW()),FALSE)), OR(MID(metadata!C49,5,1)="", AND(AND(MID(metadata!C49,5,1)="-",IFERROR(INT(MID(metadata!C49,6,1))&gt;=0,FALSE),IFERROR(INT(MID(metadata!C49,6,1))&lt;=1,FALSE),NOT(MID(metadata!C49,7,1)=""),IFERROR(INT(MID(metadata!C49,6,2))&gt;=1,FALSE),IFERROR(INT(MID(metadata!C49,6,2))&lt;=12,FALSE)), OR(MID(metadata!C49,8,1)="", AND(AND(MID(metadata!C49,8,1)="-",IFERROR(INT(MID(metadata!C49,9,1))&gt;=0,FALSE),IFERROR(INT(MID(metadata!C49,9,1))&lt;=3,FALSE),NOT(MID(metadata!C49,10,1)=""),IFERROR(INT(MID(metadata!C49,9,2))&gt;=1,FALSE),IFERROR(INT(MID(metadata!C49,9,2))&lt;=31,FALSE)), OR(MID(metadata!C49,11,1)="", AND(AND(MID(metadata!C49,11,1)=" ",IFERROR(INT(MID(metadata!C49,12,1))&gt;=0,FALSE),IFERROR(INT(MID(metadata!C49,12,1))&lt;=2,FALSE),NOT(MID(metadata!C49,13,1)=""),IFERROR(INT(MID(metadata!C49,12,2))&gt;=0,FALSE),IFERROR(INT(MID(metadata!C49,12,2))&lt;=23,FALSE)), OR(MID(metadata!C49,14,1)="", AND(AND(MID(metadata!C49,14,1)=":",IFERROR(INT(MID(metadata!C49,15,1))&gt;=0,FALSE),IFERROR(INT(MID(metadata!C49,15,1))&lt;=5,FALSE),NOT(MID(metadata!C49,16,1)=""),IFERROR(INT(MID(metadata!C49,15,2))&gt;=0,FALSE),IFERROR(INT(MID(metadata!C49,15,2))&lt;=59,FALSE)), OR(MID(metadata!C49,17,1)="", AND(AND(MID(metadata!C49,17,1)=":",IFERROR(INT(MID(metadata!C49,18,1))&gt;=0,FALSE),IFERROR(INT(MID(metadata!C49,18,1))&lt;=5,FALSE),NOT(MID(metadata!C49,19,1)=""),IFERROR(INT(MID(metadata!C49,18,2))&gt;=0,FALSE),IFERROR(INT(MID(metadata!C49,18,2))&lt;=59,FALSE)), LEN(metadata!C49)&lt;=19)))))))))))))</f>
        <v>0</v>
      </c>
      <c r="AO49" t="b">
        <f>AND(IF(metadata!D49="",FALSE,TRUE),EXACT(metadata!D49,"Not applicable"))</f>
        <v>0</v>
      </c>
      <c r="AP49" t="b">
        <f>IF(metadata!E49="",FALSE,TRUE)</f>
        <v>0</v>
      </c>
      <c r="AQ49" t="b">
        <f>OR(AND(IF(metadata!F49="",FALSE,TRUE),OR(EXACT(metadata!F49,"missing: not collected"),EXACT(metadata!F49,"missing: not provided"))),AND(IF(metadata!F49="",FALSE,TRUE),OR(EXACT(metadata!F49,"TRUE"),EXACT(metadata!F49,"FALSE"))))</f>
        <v>0</v>
      </c>
      <c r="AR49" t="b">
        <f>OR(AND(IF(metadata!G49="",FALSE,TRUE),OR(EXACT(metadata!G49,"missing: not collected"),EXACT(metadata!G49,"missing: not provided"),EXACT(metadata!G49,"missing: restricted access"))),AND(IF(metadata!G49="",FALSE,ISNUMBER(VALUE(metadata!G49))),metadata!G49&gt;=-413))</f>
        <v>0</v>
      </c>
      <c r="AS49" t="b">
        <f>AND(IF(metadata!H49="",FALSE,TRUE),EXACT(metadata!H49,"meters"))</f>
        <v>0</v>
      </c>
      <c r="AT49" t="b">
        <f>AND(IF(metadata!I49="",FALSE,TRUE),OR(EXACT(metadata!I49,"Host-associated"),EXACT(metadata!I49,"Free-living")))</f>
        <v>0</v>
      </c>
      <c r="AU49" t="b">
        <f>AND(IF(metadata!J49="",FALSE,TRUE),OR(EXACT(metadata!J49,"Animal"),EXACT(metadata!J49,"Fungus"),EXACT(metadata!J49,"Plant"),EXACT(metadata!J49,"Saline"),EXACT(metadata!J49,"Non-saline")))</f>
        <v>0</v>
      </c>
      <c r="AV49" t="b">
        <f>AND(IF(metadata!K49="",FALSE,TRUE),OR(EXACT(metadata!K49,"Plant secretion"),EXACT(metadata!K49,"Plant rhizosphere"),EXACT(metadata!K49,"Plant surface"),EXACT(metadata!K49,"Plant corpus"),EXACT(metadata!K49,"Fungus surface"),EXACT(metadata!K49,"Fungus corpus"),EXACT(metadata!K49,"Animal surface"),EXACT(metadata!K49,"Animal proximal gut"),EXACT(metadata!K49,"Animal corpus"),EXACT(metadata!K49,"Animal distal gut"),EXACT(metadata!K49,"Animal secretion"),EXACT(metadata!K49,"Sub-surface (non-saline)"),EXACT(metadata!K49,"Surface (non-saline)"),EXACT(metadata!K49,"Water (non-saline)"),EXACT(metadata!K49,"Soil (non-saline)"),EXACT(metadata!K49,"Aerosol (non-saline)"),EXACT(metadata!K49,"Sediment (non-saline)"),EXACT(metadata!K49,"Surface (saline)"),EXACT(metadata!K49,"Water (saline)"),EXACT(metadata!K49,"Hypersaline (saline)"),EXACT(metadata!K49,"Aerosol (saline)"),EXACT(metadata!K49,"Sediment (saline)")))</f>
        <v>0</v>
      </c>
      <c r="AW49" t="b">
        <f>IF(metadata!L49="",FALSE,TRUE)</f>
        <v>0</v>
      </c>
      <c r="AX49" t="b">
        <f>IF(metadata!M49="",FALSE,TRUE)</f>
        <v>0</v>
      </c>
      <c r="AY49" t="b">
        <f>IF(metadata!N49="",FALSE,TRUE)</f>
        <v>0</v>
      </c>
      <c r="AZ49" t="b">
        <f>OR(AND(IF(metadata!O49="",FALSE,TRUE),OR(EXACT(metadata!O49,"missing: not collected"),EXACT(metadata!O49,"missing: not provided"),EXACT(metadata!O49,"missing: restricted access"))),AND(IF(metadata!O49="",FALSE,TRUE),OR(EXACT(metadata!O49,"air"),EXACT(metadata!O49,"built environment"),EXACT(metadata!O49,"host-associated"),EXACT(metadata!O49,"human-associated"),EXACT(metadata!O49,"human-skin"),EXACT(metadata!O49,"human-oral"),EXACT(metadata!O49,"human-gut"),EXACT(metadata!O49,"human-vaginal"),EXACT(metadata!O49,"microbial mat/biofilm"),EXACT(metadata!O49,"misc environment"),EXACT(metadata!O49,"plant-associated"),EXACT(metadata!O49,"sediment"),EXACT(metadata!O49,"soil"),EXACT(metadata!O49,"wastewater/sludge"),EXACT(metadata!O49,"water"))))</f>
        <v>0</v>
      </c>
      <c r="BA49" t="b">
        <f>IF(metadata!P49="",FALSE,TRUE)</f>
        <v>0</v>
      </c>
      <c r="BB49" t="b">
        <f>IF(metadata!Q49="",FALSE,TRUE)</f>
        <v>0</v>
      </c>
      <c r="BC49" t="b">
        <f>OR(AND(IF(metadata!R49="",FALSE,TRUE),OR(EXACT(metadata!R49,"missing: not collected"),EXACT(metadata!R49,"missing: not provided"),EXACT(metadata!R49,"missing: restricted access"))),AND(IF(metadata!R49="",FALSE,ISNUMBER(VALUE(metadata!R49))),metadata!R49&gt;=-90,metadata!R49&lt;=90))</f>
        <v>0</v>
      </c>
      <c r="BD49" t="b">
        <f>AND(IF(metadata!S49="",FALSE,TRUE),EXACT(metadata!S49,"Decimal degrees"))</f>
        <v>0</v>
      </c>
      <c r="BE49" t="b">
        <f>OR(AND(IF(metadata!T49="",FALSE,TRUE),OR(EXACT(metadata!T49,"missing: not collected"),EXACT(metadata!T49,"missing: not provided"),EXACT(metadata!T49,"missing: restricted access"))),AND(IF(metadata!T49="",FALSE,ISNUMBER(VALUE(metadata!T49))),metadata!T49&gt;=-180,metadata!T49&lt;=180))</f>
        <v>0</v>
      </c>
      <c r="BF49" t="b">
        <f>AND(IF(metadata!U49="",FALSE,TRUE),EXACT(metadata!U49,"Decimal degrees"))</f>
        <v>0</v>
      </c>
      <c r="BG49" t="b">
        <f>IF(metadata!V49="",FALSE,TRUE)</f>
        <v>0</v>
      </c>
      <c r="BH49" t="b">
        <f>OR(AND(IF(metadata!W49="",FALSE,TRUE),OR(EXACT(metadata!W49,"missing: not collected"),EXACT(metadata!W49,"missing: not provided"),EXACT(metadata!W49,"missing: restricted access"))),AND(IF(metadata!W49="",FALSE,TRUE),OR(EXACT(metadata!W49,"TRUE"),EXACT(metadata!W49,"FALSE"))))</f>
        <v>0</v>
      </c>
      <c r="BI49" t="b">
        <f>AND(IF(metadata!X49="",FALSE,TRUE),EXACT(metadata!X49,"other"))</f>
        <v>0</v>
      </c>
      <c r="BJ49" t="b">
        <f>IF(metadata!Y49="",FALSE,TRUE)</f>
        <v>0</v>
      </c>
      <c r="BK49" t="b">
        <f>OR(AND(IF(metadata!Z49="",FALSE,TRUE),OR(EXACT(metadata!Z49,"missing: not collected"),EXACT(metadata!Z49,"missing: not provided"))),AND(IF(metadata!Z49="",FALSE,IF(ISERROR(INT(metadata!Z49)),FALSE,INT(metadata!Z49)=metadata!Z49)),metadata!Z49&gt;0))</f>
        <v>0</v>
      </c>
      <c r="BL49" t="b">
        <f>AND(IF(metadata!AA49="",FALSE,TRUE),EXACT(metadata!AA49,"Not applicable"))</f>
        <v>0</v>
      </c>
      <c r="BM49" t="b">
        <f>IF(metadata!AB49="",FALSE,TRUE)</f>
        <v>0</v>
      </c>
    </row>
    <row r="50" spans="1:65" x14ac:dyDescent="0.2">
      <c r="A50" s="5" t="str">
        <f ca="1">IF(B50=" "," ",HYPERLINK(CONCATENATE("#metadata!",ADDRESS(INDEX($AH$2:$AH$1001,MATCH(ROWS($AF$2:AF50),$AF$2:$AF$1001,0),0),1)),INDEX($AK$2:$AK$1001,MATCH(ROWS($AF$2:AF50),$AF$2:$AF$1001,0),0)))</f>
        <v xml:space="preserve"> </v>
      </c>
      <c r="B50" s="4" t="str">
        <f ca="1">IF(OR(INDEX($AG$2:$AG$1001,MATCH(ROWS($AF$2:AF50),$AF$2:$AF$1001,0),1)&gt;=100000,INDEX($AM$1005:$BM$1005,1,MATCH(COLUMNS($AM$1006:AM1006),$AM$1006:$BM$1006,0))&gt;=100000), " ",IF(INDEX($AM$2:$BM$1001,MATCH(ROWS($AF$2:AF50),$AF$2:$AF$1001,0),MATCH(COLUMNS($AM$1006:AM1006),$AM$1006:$BM$1006,0)), HYPERLINK("#",""), HYPERLINK(CONCATENATE("#metadata!", ADDRESS(INDEX($AH$2:$AH$1001,MATCH(ROWS($AF$2:AF50),$AF$2:$AF$1001,0),0), INDEX($AM$1004:$BM$1004,1,MATCH(COLUMNS($AM$1006:AM1006),$AM$1006:$BM$1006,0)))),"Fix")))</f>
        <v xml:space="preserve"> </v>
      </c>
      <c r="C50" s="4" t="str">
        <f ca="1">IF(OR(INDEX($AG$2:$AG$1001,MATCH(ROWS($AF$2:AF50),$AF$2:$AF$1001,0),1)&gt;=100000,INDEX($AM$1005:$BM$1005,1,MATCH(COLUMNS($AM$1006:AN1006),$AM$1006:$BM$1006,0))&gt;=100000), " ",IF(INDEX($AM$2:$BM$1001,MATCH(ROWS($AF$2:AF50),$AF$2:$AF$1001,0),MATCH(COLUMNS($AM$1006:AN1006),$AM$1006:$BM$1006,0)), HYPERLINK("#",""), HYPERLINK(CONCATENATE("#metadata!", ADDRESS(INDEX($AH$2:$AH$1001,MATCH(ROWS($AF$2:AF50),$AF$2:$AF$1001,0),0), INDEX($AM$1004:$BM$1004,1,MATCH(COLUMNS($AM$1006:AN1006),$AM$1006:$BM$1006,0)))),"Fix")))</f>
        <v xml:space="preserve"> </v>
      </c>
      <c r="D50" s="4" t="str">
        <f ca="1">IF(OR(INDEX($AG$2:$AG$1001,MATCH(ROWS($AF$2:AF50),$AF$2:$AF$1001,0),1)&gt;=100000,INDEX($AM$1005:$BM$1005,1,MATCH(COLUMNS($AM$1006:AO1006),$AM$1006:$BM$1006,0))&gt;=100000), " ",IF(INDEX($AM$2:$BM$1001,MATCH(ROWS($AF$2:AF50),$AF$2:$AF$1001,0),MATCH(COLUMNS($AM$1006:AO1006),$AM$1006:$BM$1006,0)), HYPERLINK("#",""), HYPERLINK(CONCATENATE("#metadata!", ADDRESS(INDEX($AH$2:$AH$1001,MATCH(ROWS($AF$2:AF50),$AF$2:$AF$1001,0),0), INDEX($AM$1004:$BM$1004,1,MATCH(COLUMNS($AM$1006:AO1006),$AM$1006:$BM$1006,0)))),"Fix")))</f>
        <v xml:space="preserve"> </v>
      </c>
      <c r="E50" s="4" t="str">
        <f ca="1">IF(OR(INDEX($AG$2:$AG$1001,MATCH(ROWS($AF$2:AF50),$AF$2:$AF$1001,0),1)&gt;=100000,INDEX($AM$1005:$BM$1005,1,MATCH(COLUMNS($AM$1006:AP1006),$AM$1006:$BM$1006,0))&gt;=100000), " ",IF(INDEX($AM$2:$BM$1001,MATCH(ROWS($AF$2:AF50),$AF$2:$AF$1001,0),MATCH(COLUMNS($AM$1006:AP1006),$AM$1006:$BM$1006,0)), HYPERLINK("#",""), HYPERLINK(CONCATENATE("#metadata!", ADDRESS(INDEX($AH$2:$AH$1001,MATCH(ROWS($AF$2:AF50),$AF$2:$AF$1001,0),0), INDEX($AM$1004:$BM$1004,1,MATCH(COLUMNS($AM$1006:AP1006),$AM$1006:$BM$1006,0)))),"Fix")))</f>
        <v xml:space="preserve"> </v>
      </c>
      <c r="F50" s="4" t="str">
        <f ca="1">IF(OR(INDEX($AG$2:$AG$1001,MATCH(ROWS($AF$2:AF50),$AF$2:$AF$1001,0),1)&gt;=100000,INDEX($AM$1005:$BM$1005,1,MATCH(COLUMNS($AM$1006:AQ1006),$AM$1006:$BM$1006,0))&gt;=100000), " ",IF(INDEX($AM$2:$BM$1001,MATCH(ROWS($AF$2:AF50),$AF$2:$AF$1001,0),MATCH(COLUMNS($AM$1006:AQ1006),$AM$1006:$BM$1006,0)), HYPERLINK("#",""), HYPERLINK(CONCATENATE("#metadata!", ADDRESS(INDEX($AH$2:$AH$1001,MATCH(ROWS($AF$2:AF50),$AF$2:$AF$1001,0),0), INDEX($AM$1004:$BM$1004,1,MATCH(COLUMNS($AM$1006:AQ1006),$AM$1006:$BM$1006,0)))),"Fix")))</f>
        <v xml:space="preserve"> </v>
      </c>
      <c r="G50" s="4" t="str">
        <f ca="1">IF(OR(INDEX($AG$2:$AG$1001,MATCH(ROWS($AF$2:AF50),$AF$2:$AF$1001,0),1)&gt;=100000,INDEX($AM$1005:$BM$1005,1,MATCH(COLUMNS($AM$1006:AR1006),$AM$1006:$BM$1006,0))&gt;=100000), " ",IF(INDEX($AM$2:$BM$1001,MATCH(ROWS($AF$2:AF50),$AF$2:$AF$1001,0),MATCH(COLUMNS($AM$1006:AR1006),$AM$1006:$BM$1006,0)), HYPERLINK("#",""), HYPERLINK(CONCATENATE("#metadata!", ADDRESS(INDEX($AH$2:$AH$1001,MATCH(ROWS($AF$2:AF50),$AF$2:$AF$1001,0),0), INDEX($AM$1004:$BM$1004,1,MATCH(COLUMNS($AM$1006:AR1006),$AM$1006:$BM$1006,0)))),"Fix")))</f>
        <v xml:space="preserve"> </v>
      </c>
      <c r="H50" s="4" t="str">
        <f ca="1">IF(OR(INDEX($AG$2:$AG$1001,MATCH(ROWS($AF$2:AF50),$AF$2:$AF$1001,0),1)&gt;=100000,INDEX($AM$1005:$BM$1005,1,MATCH(COLUMNS($AM$1006:AS1006),$AM$1006:$BM$1006,0))&gt;=100000), " ",IF(INDEX($AM$2:$BM$1001,MATCH(ROWS($AF$2:AF50),$AF$2:$AF$1001,0),MATCH(COLUMNS($AM$1006:AS1006),$AM$1006:$BM$1006,0)), HYPERLINK("#",""), HYPERLINK(CONCATENATE("#metadata!", ADDRESS(INDEX($AH$2:$AH$1001,MATCH(ROWS($AF$2:AF50),$AF$2:$AF$1001,0),0), INDEX($AM$1004:$BM$1004,1,MATCH(COLUMNS($AM$1006:AS1006),$AM$1006:$BM$1006,0)))),"Fix")))</f>
        <v xml:space="preserve"> </v>
      </c>
      <c r="I50" s="4" t="str">
        <f ca="1">IF(OR(INDEX($AG$2:$AG$1001,MATCH(ROWS($AF$2:AF50),$AF$2:$AF$1001,0),1)&gt;=100000,INDEX($AM$1005:$BM$1005,1,MATCH(COLUMNS($AM$1006:AT1006),$AM$1006:$BM$1006,0))&gt;=100000), " ",IF(INDEX($AM$2:$BM$1001,MATCH(ROWS($AF$2:AF50),$AF$2:$AF$1001,0),MATCH(COLUMNS($AM$1006:AT1006),$AM$1006:$BM$1006,0)), HYPERLINK("#",""), HYPERLINK(CONCATENATE("#metadata!", ADDRESS(INDEX($AH$2:$AH$1001,MATCH(ROWS($AF$2:AF50),$AF$2:$AF$1001,0),0), INDEX($AM$1004:$BM$1004,1,MATCH(COLUMNS($AM$1006:AT1006),$AM$1006:$BM$1006,0)))),"Fix")))</f>
        <v xml:space="preserve"> </v>
      </c>
      <c r="J50" s="4" t="str">
        <f ca="1">IF(OR(INDEX($AG$2:$AG$1001,MATCH(ROWS($AF$2:AF50),$AF$2:$AF$1001,0),1)&gt;=100000,INDEX($AM$1005:$BM$1005,1,MATCH(COLUMNS($AM$1006:AU1006),$AM$1006:$BM$1006,0))&gt;=100000), " ",IF(INDEX($AM$2:$BM$1001,MATCH(ROWS($AF$2:AF50),$AF$2:$AF$1001,0),MATCH(COLUMNS($AM$1006:AU1006),$AM$1006:$BM$1006,0)), HYPERLINK("#",""), HYPERLINK(CONCATENATE("#metadata!", ADDRESS(INDEX($AH$2:$AH$1001,MATCH(ROWS($AF$2:AF50),$AF$2:$AF$1001,0),0), INDEX($AM$1004:$BM$1004,1,MATCH(COLUMNS($AM$1006:AU1006),$AM$1006:$BM$1006,0)))),"Fix")))</f>
        <v xml:space="preserve"> </v>
      </c>
      <c r="K50" s="4" t="str">
        <f ca="1">IF(OR(INDEX($AG$2:$AG$1001,MATCH(ROWS($AF$2:AF50),$AF$2:$AF$1001,0),1)&gt;=100000,INDEX($AM$1005:$BM$1005,1,MATCH(COLUMNS($AM$1006:AV1006),$AM$1006:$BM$1006,0))&gt;=100000), " ",IF(INDEX($AM$2:$BM$1001,MATCH(ROWS($AF$2:AF50),$AF$2:$AF$1001,0),MATCH(COLUMNS($AM$1006:AV1006),$AM$1006:$BM$1006,0)), HYPERLINK("#",""), HYPERLINK(CONCATENATE("#metadata!", ADDRESS(INDEX($AH$2:$AH$1001,MATCH(ROWS($AF$2:AF50),$AF$2:$AF$1001,0),0), INDEX($AM$1004:$BM$1004,1,MATCH(COLUMNS($AM$1006:AV1006),$AM$1006:$BM$1006,0)))),"Fix")))</f>
        <v xml:space="preserve"> </v>
      </c>
      <c r="L50" s="4" t="str">
        <f ca="1">IF(OR(INDEX($AG$2:$AG$1001,MATCH(ROWS($AF$2:AF50),$AF$2:$AF$1001,0),1)&gt;=100000,INDEX($AM$1005:$BM$1005,1,MATCH(COLUMNS($AM$1006:AW1006),$AM$1006:$BM$1006,0))&gt;=100000), " ",IF(INDEX($AM$2:$BM$1001,MATCH(ROWS($AF$2:AF50),$AF$2:$AF$1001,0),MATCH(COLUMNS($AM$1006:AW1006),$AM$1006:$BM$1006,0)), HYPERLINK("#",""), HYPERLINK(CONCATENATE("#metadata!", ADDRESS(INDEX($AH$2:$AH$1001,MATCH(ROWS($AF$2:AF50),$AF$2:$AF$1001,0),0), INDEX($AM$1004:$BM$1004,1,MATCH(COLUMNS($AM$1006:AW1006),$AM$1006:$BM$1006,0)))),"Fix")))</f>
        <v xml:space="preserve"> </v>
      </c>
      <c r="M50" s="4" t="str">
        <f ca="1">IF(OR(INDEX($AG$2:$AG$1001,MATCH(ROWS($AF$2:AF50),$AF$2:$AF$1001,0),1)&gt;=100000,INDEX($AM$1005:$BM$1005,1,MATCH(COLUMNS($AM$1006:AX1006),$AM$1006:$BM$1006,0))&gt;=100000), " ",IF(INDEX($AM$2:$BM$1001,MATCH(ROWS($AF$2:AF50),$AF$2:$AF$1001,0),MATCH(COLUMNS($AM$1006:AX1006),$AM$1006:$BM$1006,0)), HYPERLINK("#",""), HYPERLINK(CONCATENATE("#metadata!", ADDRESS(INDEX($AH$2:$AH$1001,MATCH(ROWS($AF$2:AF50),$AF$2:$AF$1001,0),0), INDEX($AM$1004:$BM$1004,1,MATCH(COLUMNS($AM$1006:AX1006),$AM$1006:$BM$1006,0)))),"Fix")))</f>
        <v xml:space="preserve"> </v>
      </c>
      <c r="N50" s="4" t="str">
        <f ca="1">IF(OR(INDEX($AG$2:$AG$1001,MATCH(ROWS($AF$2:AF50),$AF$2:$AF$1001,0),1)&gt;=100000,INDEX($AM$1005:$BM$1005,1,MATCH(COLUMNS($AM$1006:AY1006),$AM$1006:$BM$1006,0))&gt;=100000), " ",IF(INDEX($AM$2:$BM$1001,MATCH(ROWS($AF$2:AF50),$AF$2:$AF$1001,0),MATCH(COLUMNS($AM$1006:AY1006),$AM$1006:$BM$1006,0)), HYPERLINK("#",""), HYPERLINK(CONCATENATE("#metadata!", ADDRESS(INDEX($AH$2:$AH$1001,MATCH(ROWS($AF$2:AF50),$AF$2:$AF$1001,0),0), INDEX($AM$1004:$BM$1004,1,MATCH(COLUMNS($AM$1006:AY1006),$AM$1006:$BM$1006,0)))),"Fix")))</f>
        <v xml:space="preserve"> </v>
      </c>
      <c r="O50" s="4" t="str">
        <f ca="1">IF(OR(INDEX($AG$2:$AG$1001,MATCH(ROWS($AF$2:AF50),$AF$2:$AF$1001,0),1)&gt;=100000,INDEX($AM$1005:$BM$1005,1,MATCH(COLUMNS($AM$1006:AZ1006),$AM$1006:$BM$1006,0))&gt;=100000), " ",IF(INDEX($AM$2:$BM$1001,MATCH(ROWS($AF$2:AF50),$AF$2:$AF$1001,0),MATCH(COLUMNS($AM$1006:AZ1006),$AM$1006:$BM$1006,0)), HYPERLINK("#",""), HYPERLINK(CONCATENATE("#metadata!", ADDRESS(INDEX($AH$2:$AH$1001,MATCH(ROWS($AF$2:AF50),$AF$2:$AF$1001,0),0), INDEX($AM$1004:$BM$1004,1,MATCH(COLUMNS($AM$1006:AZ1006),$AM$1006:$BM$1006,0)))),"Fix")))</f>
        <v xml:space="preserve"> </v>
      </c>
      <c r="P50" s="4" t="str">
        <f ca="1">IF(OR(INDEX($AG$2:$AG$1001,MATCH(ROWS($AF$2:AF50),$AF$2:$AF$1001,0),1)&gt;=100000,INDEX($AM$1005:$BM$1005,1,MATCH(COLUMNS($AM$1006:BA1006),$AM$1006:$BM$1006,0))&gt;=100000), " ",IF(INDEX($AM$2:$BM$1001,MATCH(ROWS($AF$2:AF50),$AF$2:$AF$1001,0),MATCH(COLUMNS($AM$1006:BA1006),$AM$1006:$BM$1006,0)), HYPERLINK("#",""), HYPERLINK(CONCATENATE("#metadata!", ADDRESS(INDEX($AH$2:$AH$1001,MATCH(ROWS($AF$2:AF50),$AF$2:$AF$1001,0),0), INDEX($AM$1004:$BM$1004,1,MATCH(COLUMNS($AM$1006:BA1006),$AM$1006:$BM$1006,0)))),"Fix")))</f>
        <v xml:space="preserve"> </v>
      </c>
      <c r="Q50" s="4" t="str">
        <f ca="1">IF(OR(INDEX($AG$2:$AG$1001,MATCH(ROWS($AF$2:AF50),$AF$2:$AF$1001,0),1)&gt;=100000,INDEX($AM$1005:$BM$1005,1,MATCH(COLUMNS($AM$1006:BB1006),$AM$1006:$BM$1006,0))&gt;=100000), " ",IF(INDEX($AM$2:$BM$1001,MATCH(ROWS($AF$2:AF50),$AF$2:$AF$1001,0),MATCH(COLUMNS($AM$1006:BB1006),$AM$1006:$BM$1006,0)), HYPERLINK("#",""), HYPERLINK(CONCATENATE("#metadata!", ADDRESS(INDEX($AH$2:$AH$1001,MATCH(ROWS($AF$2:AF50),$AF$2:$AF$1001,0),0), INDEX($AM$1004:$BM$1004,1,MATCH(COLUMNS($AM$1006:BB1006),$AM$1006:$BM$1006,0)))),"Fix")))</f>
        <v xml:space="preserve"> </v>
      </c>
      <c r="R50" s="4" t="str">
        <f ca="1">IF(OR(INDEX($AG$2:$AG$1001,MATCH(ROWS($AF$2:AF50),$AF$2:$AF$1001,0),1)&gt;=100000,INDEX($AM$1005:$BM$1005,1,MATCH(COLUMNS($AM$1006:BC1006),$AM$1006:$BM$1006,0))&gt;=100000), " ",IF(INDEX($AM$2:$BM$1001,MATCH(ROWS($AF$2:AF50),$AF$2:$AF$1001,0),MATCH(COLUMNS($AM$1006:BC1006),$AM$1006:$BM$1006,0)), HYPERLINK("#",""), HYPERLINK(CONCATENATE("#metadata!", ADDRESS(INDEX($AH$2:$AH$1001,MATCH(ROWS($AF$2:AF50),$AF$2:$AF$1001,0),0), INDEX($AM$1004:$BM$1004,1,MATCH(COLUMNS($AM$1006:BC1006),$AM$1006:$BM$1006,0)))),"Fix")))</f>
        <v xml:space="preserve"> </v>
      </c>
      <c r="S50" s="4" t="str">
        <f ca="1">IF(OR(INDEX($AG$2:$AG$1001,MATCH(ROWS($AF$2:AF50),$AF$2:$AF$1001,0),1)&gt;=100000,INDEX($AM$1005:$BM$1005,1,MATCH(COLUMNS($AM$1006:BD1006),$AM$1006:$BM$1006,0))&gt;=100000), " ",IF(INDEX($AM$2:$BM$1001,MATCH(ROWS($AF$2:AF50),$AF$2:$AF$1001,0),MATCH(COLUMNS($AM$1006:BD1006),$AM$1006:$BM$1006,0)), HYPERLINK("#",""), HYPERLINK(CONCATENATE("#metadata!", ADDRESS(INDEX($AH$2:$AH$1001,MATCH(ROWS($AF$2:AF50),$AF$2:$AF$1001,0),0), INDEX($AM$1004:$BM$1004,1,MATCH(COLUMNS($AM$1006:BD1006),$AM$1006:$BM$1006,0)))),"Fix")))</f>
        <v xml:space="preserve"> </v>
      </c>
      <c r="T50" s="4" t="str">
        <f ca="1">IF(OR(INDEX($AG$2:$AG$1001,MATCH(ROWS($AF$2:AF50),$AF$2:$AF$1001,0),1)&gt;=100000,INDEX($AM$1005:$BM$1005,1,MATCH(COLUMNS($AM$1006:BE1006),$AM$1006:$BM$1006,0))&gt;=100000), " ",IF(INDEX($AM$2:$BM$1001,MATCH(ROWS($AF$2:AF50),$AF$2:$AF$1001,0),MATCH(COLUMNS($AM$1006:BE1006),$AM$1006:$BM$1006,0)), HYPERLINK("#",""), HYPERLINK(CONCATENATE("#metadata!", ADDRESS(INDEX($AH$2:$AH$1001,MATCH(ROWS($AF$2:AF50),$AF$2:$AF$1001,0),0), INDEX($AM$1004:$BM$1004,1,MATCH(COLUMNS($AM$1006:BE1006),$AM$1006:$BM$1006,0)))),"Fix")))</f>
        <v xml:space="preserve"> </v>
      </c>
      <c r="U50" s="4" t="str">
        <f ca="1">IF(OR(INDEX($AG$2:$AG$1001,MATCH(ROWS($AF$2:AF50),$AF$2:$AF$1001,0),1)&gt;=100000,INDEX($AM$1005:$BM$1005,1,MATCH(COLUMNS($AM$1006:BF1006),$AM$1006:$BM$1006,0))&gt;=100000), " ",IF(INDEX($AM$2:$BM$1001,MATCH(ROWS($AF$2:AF50),$AF$2:$AF$1001,0),MATCH(COLUMNS($AM$1006:BF1006),$AM$1006:$BM$1006,0)), HYPERLINK("#",""), HYPERLINK(CONCATENATE("#metadata!", ADDRESS(INDEX($AH$2:$AH$1001,MATCH(ROWS($AF$2:AF50),$AF$2:$AF$1001,0),0), INDEX($AM$1004:$BM$1004,1,MATCH(COLUMNS($AM$1006:BF1006),$AM$1006:$BM$1006,0)))),"Fix")))</f>
        <v xml:space="preserve"> </v>
      </c>
      <c r="V50" s="4" t="str">
        <f ca="1">IF(OR(INDEX($AG$2:$AG$1001,MATCH(ROWS($AF$2:AF50),$AF$2:$AF$1001,0),1)&gt;=100000,INDEX($AM$1005:$BM$1005,1,MATCH(COLUMNS($AM$1006:BG1006),$AM$1006:$BM$1006,0))&gt;=100000), " ",IF(INDEX($AM$2:$BM$1001,MATCH(ROWS($AF$2:AF50),$AF$2:$AF$1001,0),MATCH(COLUMNS($AM$1006:BG1006),$AM$1006:$BM$1006,0)), HYPERLINK("#",""), HYPERLINK(CONCATENATE("#metadata!", ADDRESS(INDEX($AH$2:$AH$1001,MATCH(ROWS($AF$2:AF50),$AF$2:$AF$1001,0),0), INDEX($AM$1004:$BM$1004,1,MATCH(COLUMNS($AM$1006:BG1006),$AM$1006:$BM$1006,0)))),"Fix")))</f>
        <v xml:space="preserve"> </v>
      </c>
      <c r="W50" s="4" t="str">
        <f ca="1">IF(OR(INDEX($AG$2:$AG$1001,MATCH(ROWS($AF$2:AF50),$AF$2:$AF$1001,0),1)&gt;=100000,INDEX($AM$1005:$BM$1005,1,MATCH(COLUMNS($AM$1006:BH1006),$AM$1006:$BM$1006,0))&gt;=100000), " ",IF(INDEX($AM$2:$BM$1001,MATCH(ROWS($AF$2:AF50),$AF$2:$AF$1001,0),MATCH(COLUMNS($AM$1006:BH1006),$AM$1006:$BM$1006,0)), HYPERLINK("#",""), HYPERLINK(CONCATENATE("#metadata!", ADDRESS(INDEX($AH$2:$AH$1001,MATCH(ROWS($AF$2:AF50),$AF$2:$AF$1001,0),0), INDEX($AM$1004:$BM$1004,1,MATCH(COLUMNS($AM$1006:BH1006),$AM$1006:$BM$1006,0)))),"Fix")))</f>
        <v xml:space="preserve"> </v>
      </c>
      <c r="X50" s="4" t="str">
        <f ca="1">IF(OR(INDEX($AG$2:$AG$1001,MATCH(ROWS($AF$2:AF50),$AF$2:$AF$1001,0),1)&gt;=100000,INDEX($AM$1005:$BM$1005,1,MATCH(COLUMNS($AM$1006:BI1006),$AM$1006:$BM$1006,0))&gt;=100000), " ",IF(INDEX($AM$2:$BM$1001,MATCH(ROWS($AF$2:AF50),$AF$2:$AF$1001,0),MATCH(COLUMNS($AM$1006:BI1006),$AM$1006:$BM$1006,0)), HYPERLINK("#",""), HYPERLINK(CONCATENATE("#metadata!", ADDRESS(INDEX($AH$2:$AH$1001,MATCH(ROWS($AF$2:AF50),$AF$2:$AF$1001,0),0), INDEX($AM$1004:$BM$1004,1,MATCH(COLUMNS($AM$1006:BI1006),$AM$1006:$BM$1006,0)))),"Fix")))</f>
        <v xml:space="preserve"> </v>
      </c>
      <c r="Y50" s="4" t="str">
        <f ca="1">IF(OR(INDEX($AG$2:$AG$1001,MATCH(ROWS($AF$2:AF50),$AF$2:$AF$1001,0),1)&gt;=100000,INDEX($AM$1005:$BM$1005,1,MATCH(COLUMNS($AM$1006:BJ1006),$AM$1006:$BM$1006,0))&gt;=100000), " ",IF(INDEX($AM$2:$BM$1001,MATCH(ROWS($AF$2:AF50),$AF$2:$AF$1001,0),MATCH(COLUMNS($AM$1006:BJ1006),$AM$1006:$BM$1006,0)), HYPERLINK("#",""), HYPERLINK(CONCATENATE("#metadata!", ADDRESS(INDEX($AH$2:$AH$1001,MATCH(ROWS($AF$2:AF50),$AF$2:$AF$1001,0),0), INDEX($AM$1004:$BM$1004,1,MATCH(COLUMNS($AM$1006:BJ1006),$AM$1006:$BM$1006,0)))),"Fix")))</f>
        <v xml:space="preserve"> </v>
      </c>
      <c r="Z50" s="4" t="str">
        <f ca="1">IF(OR(INDEX($AG$2:$AG$1001,MATCH(ROWS($AF$2:AF50),$AF$2:$AF$1001,0),1)&gt;=100000,INDEX($AM$1005:$BM$1005,1,MATCH(COLUMNS($AM$1006:BK1006),$AM$1006:$BM$1006,0))&gt;=100000), " ",IF(INDEX($AM$2:$BM$1001,MATCH(ROWS($AF$2:AF50),$AF$2:$AF$1001,0),MATCH(COLUMNS($AM$1006:BK1006),$AM$1006:$BM$1006,0)), HYPERLINK("#",""), HYPERLINK(CONCATENATE("#metadata!", ADDRESS(INDEX($AH$2:$AH$1001,MATCH(ROWS($AF$2:AF50),$AF$2:$AF$1001,0),0), INDEX($AM$1004:$BM$1004,1,MATCH(COLUMNS($AM$1006:BK1006),$AM$1006:$BM$1006,0)))),"Fix")))</f>
        <v xml:space="preserve"> </v>
      </c>
      <c r="AA50" s="4" t="str">
        <f ca="1">IF(OR(INDEX($AG$2:$AG$1001,MATCH(ROWS($AF$2:AF50),$AF$2:$AF$1001,0),1)&gt;=100000,INDEX($AM$1005:$BM$1005,1,MATCH(COLUMNS($AM$1006:BL1006),$AM$1006:$BM$1006,0))&gt;=100000), " ",IF(INDEX($AM$2:$BM$1001,MATCH(ROWS($AF$2:AF50),$AF$2:$AF$1001,0),MATCH(COLUMNS($AM$1006:BL1006),$AM$1006:$BM$1006,0)), HYPERLINK("#",""), HYPERLINK(CONCATENATE("#metadata!", ADDRESS(INDEX($AH$2:$AH$1001,MATCH(ROWS($AF$2:AF50),$AF$2:$AF$1001,0),0), INDEX($AM$1004:$BM$1004,1,MATCH(COLUMNS($AM$1006:BL1006),$AM$1006:$BM$1006,0)))),"Fix")))</f>
        <v xml:space="preserve"> </v>
      </c>
      <c r="AB50" s="4" t="str">
        <f ca="1">IF(OR(INDEX($AG$2:$AG$1001,MATCH(ROWS($AF$2:AF50),$AF$2:$AF$1001,0),1)&gt;=100000,INDEX($AM$1005:$BM$1005,1,MATCH(COLUMNS($AM$1006:BM1006),$AM$1006:$BM$1006,0))&gt;=100000), " ",IF(INDEX($AM$2:$BM$1001,MATCH(ROWS($AF$2:AF50),$AF$2:$AF$1001,0),MATCH(COLUMNS($AM$1006:BM1006),$AM$1006:$BM$1006,0)), HYPERLINK("#",""), HYPERLINK(CONCATENATE("#metadata!", ADDRESS(INDEX($AH$2:$AH$1001,MATCH(ROWS($AF$2:AF50),$AF$2:$AF$1001,0),0), INDEX($AM$1004:$BM$1004,1,MATCH(COLUMNS($AM$1006:BM1006),$AM$1006:$BM$1006,0)))),"Fix")))</f>
        <v xml:space="preserve"> </v>
      </c>
      <c r="AF50">
        <v>49</v>
      </c>
      <c r="AG50">
        <v>100050</v>
      </c>
      <c r="AH50">
        <v>50</v>
      </c>
      <c r="AI50" t="b">
        <f t="shared" si="0"/>
        <v>1</v>
      </c>
      <c r="AJ50" t="b">
        <f>COUNTBLANK(metadata!B50:AB50)=COLUMNS(metadata!B50:AB50)</f>
        <v>1</v>
      </c>
      <c r="AK50" t="str">
        <v/>
      </c>
      <c r="AM50" t="b">
        <f ca="1">AND(IF(metadata!B50="",FALSE,TRUE),COUNTIF(metadata!B:B, metadata!B50) = 1,NOT(ISERROR(SUMPRODUCT(SEARCH(MID(metadata!B50,ROW(INDIRECT("1:"&amp;LEN(metadata!B50))), 1),"0123456789abcdefghijklmnopqrstuvwxyzABCDEFGHIJKLMNOPQRSTUVWXYZ.")))))</f>
        <v>0</v>
      </c>
      <c r="AN50" t="b">
        <f ca="1">OR(AND(IF(metadata!C50="",FALSE,TRUE),OR(EXACT(metadata!C50,"missing: not collected"),EXACT(metadata!C50,"missing: not provided"),EXACT(metadata!C50,"missing: restricted access"))),AND(IF(metadata!C50="",FALSE,TRUE),AND(AND(IFERROR(INT(LEFT(metadata!C50,4))&gt;1900,FALSE),IFERROR(INT(LEFT(metadata!C50,4))&lt;=YEAR(NOW()),FALSE)), OR(MID(metadata!C50,5,1)="", AND(AND(MID(metadata!C50,5,1)="-",IFERROR(INT(MID(metadata!C50,6,1))&gt;=0,FALSE),IFERROR(INT(MID(metadata!C50,6,1))&lt;=1,FALSE),NOT(MID(metadata!C50,7,1)=""),IFERROR(INT(MID(metadata!C50,6,2))&gt;=1,FALSE),IFERROR(INT(MID(metadata!C50,6,2))&lt;=12,FALSE)), OR(MID(metadata!C50,8,1)="", AND(AND(MID(metadata!C50,8,1)="-",IFERROR(INT(MID(metadata!C50,9,1))&gt;=0,FALSE),IFERROR(INT(MID(metadata!C50,9,1))&lt;=3,FALSE),NOT(MID(metadata!C50,10,1)=""),IFERROR(INT(MID(metadata!C50,9,2))&gt;=1,FALSE),IFERROR(INT(MID(metadata!C50,9,2))&lt;=31,FALSE)), OR(MID(metadata!C50,11,1)="", AND(AND(MID(metadata!C50,11,1)=" ",IFERROR(INT(MID(metadata!C50,12,1))&gt;=0,FALSE),IFERROR(INT(MID(metadata!C50,12,1))&lt;=2,FALSE),NOT(MID(metadata!C50,13,1)=""),IFERROR(INT(MID(metadata!C50,12,2))&gt;=0,FALSE),IFERROR(INT(MID(metadata!C50,12,2))&lt;=23,FALSE)), OR(MID(metadata!C50,14,1)="", AND(AND(MID(metadata!C50,14,1)=":",IFERROR(INT(MID(metadata!C50,15,1))&gt;=0,FALSE),IFERROR(INT(MID(metadata!C50,15,1))&lt;=5,FALSE),NOT(MID(metadata!C50,16,1)=""),IFERROR(INT(MID(metadata!C50,15,2))&gt;=0,FALSE),IFERROR(INT(MID(metadata!C50,15,2))&lt;=59,FALSE)), OR(MID(metadata!C50,17,1)="", AND(AND(MID(metadata!C50,17,1)=":",IFERROR(INT(MID(metadata!C50,18,1))&gt;=0,FALSE),IFERROR(INT(MID(metadata!C50,18,1))&lt;=5,FALSE),NOT(MID(metadata!C50,19,1)=""),IFERROR(INT(MID(metadata!C50,18,2))&gt;=0,FALSE),IFERROR(INT(MID(metadata!C50,18,2))&lt;=59,FALSE)), LEN(metadata!C50)&lt;=19)))))))))))))</f>
        <v>0</v>
      </c>
      <c r="AO50" t="b">
        <f>AND(IF(metadata!D50="",FALSE,TRUE),EXACT(metadata!D50,"Not applicable"))</f>
        <v>0</v>
      </c>
      <c r="AP50" t="b">
        <f>IF(metadata!E50="",FALSE,TRUE)</f>
        <v>0</v>
      </c>
      <c r="AQ50" t="b">
        <f>OR(AND(IF(metadata!F50="",FALSE,TRUE),OR(EXACT(metadata!F50,"missing: not collected"),EXACT(metadata!F50,"missing: not provided"))),AND(IF(metadata!F50="",FALSE,TRUE),OR(EXACT(metadata!F50,"TRUE"),EXACT(metadata!F50,"FALSE"))))</f>
        <v>0</v>
      </c>
      <c r="AR50" t="b">
        <f>OR(AND(IF(metadata!G50="",FALSE,TRUE),OR(EXACT(metadata!G50,"missing: not collected"),EXACT(metadata!G50,"missing: not provided"),EXACT(metadata!G50,"missing: restricted access"))),AND(IF(metadata!G50="",FALSE,ISNUMBER(VALUE(metadata!G50))),metadata!G50&gt;=-413))</f>
        <v>0</v>
      </c>
      <c r="AS50" t="b">
        <f>AND(IF(metadata!H50="",FALSE,TRUE),EXACT(metadata!H50,"meters"))</f>
        <v>0</v>
      </c>
      <c r="AT50" t="b">
        <f>AND(IF(metadata!I50="",FALSE,TRUE),OR(EXACT(metadata!I50,"Host-associated"),EXACT(metadata!I50,"Free-living")))</f>
        <v>0</v>
      </c>
      <c r="AU50" t="b">
        <f>AND(IF(metadata!J50="",FALSE,TRUE),OR(EXACT(metadata!J50,"Animal"),EXACT(metadata!J50,"Fungus"),EXACT(metadata!J50,"Plant"),EXACT(metadata!J50,"Saline"),EXACT(metadata!J50,"Non-saline")))</f>
        <v>0</v>
      </c>
      <c r="AV50" t="b">
        <f>AND(IF(metadata!K50="",FALSE,TRUE),OR(EXACT(metadata!K50,"Plant secretion"),EXACT(metadata!K50,"Plant rhizosphere"),EXACT(metadata!K50,"Plant surface"),EXACT(metadata!K50,"Plant corpus"),EXACT(metadata!K50,"Fungus surface"),EXACT(metadata!K50,"Fungus corpus"),EXACT(metadata!K50,"Animal surface"),EXACT(metadata!K50,"Animal proximal gut"),EXACT(metadata!K50,"Animal corpus"),EXACT(metadata!K50,"Animal distal gut"),EXACT(metadata!K50,"Animal secretion"),EXACT(metadata!K50,"Sub-surface (non-saline)"),EXACT(metadata!K50,"Surface (non-saline)"),EXACT(metadata!K50,"Water (non-saline)"),EXACT(metadata!K50,"Soil (non-saline)"),EXACT(metadata!K50,"Aerosol (non-saline)"),EXACT(metadata!K50,"Sediment (non-saline)"),EXACT(metadata!K50,"Surface (saline)"),EXACT(metadata!K50,"Water (saline)"),EXACT(metadata!K50,"Hypersaline (saline)"),EXACT(metadata!K50,"Aerosol (saline)"),EXACT(metadata!K50,"Sediment (saline)")))</f>
        <v>0</v>
      </c>
      <c r="AW50" t="b">
        <f>IF(metadata!L50="",FALSE,TRUE)</f>
        <v>0</v>
      </c>
      <c r="AX50" t="b">
        <f>IF(metadata!M50="",FALSE,TRUE)</f>
        <v>0</v>
      </c>
      <c r="AY50" t="b">
        <f>IF(metadata!N50="",FALSE,TRUE)</f>
        <v>0</v>
      </c>
      <c r="AZ50" t="b">
        <f>OR(AND(IF(metadata!O50="",FALSE,TRUE),OR(EXACT(metadata!O50,"missing: not collected"),EXACT(metadata!O50,"missing: not provided"),EXACT(metadata!O50,"missing: restricted access"))),AND(IF(metadata!O50="",FALSE,TRUE),OR(EXACT(metadata!O50,"air"),EXACT(metadata!O50,"built environment"),EXACT(metadata!O50,"host-associated"),EXACT(metadata!O50,"human-associated"),EXACT(metadata!O50,"human-skin"),EXACT(metadata!O50,"human-oral"),EXACT(metadata!O50,"human-gut"),EXACT(metadata!O50,"human-vaginal"),EXACT(metadata!O50,"microbial mat/biofilm"),EXACT(metadata!O50,"misc environment"),EXACT(metadata!O50,"plant-associated"),EXACT(metadata!O50,"sediment"),EXACT(metadata!O50,"soil"),EXACT(metadata!O50,"wastewater/sludge"),EXACT(metadata!O50,"water"))))</f>
        <v>0</v>
      </c>
      <c r="BA50" t="b">
        <f>IF(metadata!P50="",FALSE,TRUE)</f>
        <v>0</v>
      </c>
      <c r="BB50" t="b">
        <f>IF(metadata!Q50="",FALSE,TRUE)</f>
        <v>0</v>
      </c>
      <c r="BC50" t="b">
        <f>OR(AND(IF(metadata!R50="",FALSE,TRUE),OR(EXACT(metadata!R50,"missing: not collected"),EXACT(metadata!R50,"missing: not provided"),EXACT(metadata!R50,"missing: restricted access"))),AND(IF(metadata!R50="",FALSE,ISNUMBER(VALUE(metadata!R50))),metadata!R50&gt;=-90,metadata!R50&lt;=90))</f>
        <v>0</v>
      </c>
      <c r="BD50" t="b">
        <f>AND(IF(metadata!S50="",FALSE,TRUE),EXACT(metadata!S50,"Decimal degrees"))</f>
        <v>0</v>
      </c>
      <c r="BE50" t="b">
        <f>OR(AND(IF(metadata!T50="",FALSE,TRUE),OR(EXACT(metadata!T50,"missing: not collected"),EXACT(metadata!T50,"missing: not provided"),EXACT(metadata!T50,"missing: restricted access"))),AND(IF(metadata!T50="",FALSE,ISNUMBER(VALUE(metadata!T50))),metadata!T50&gt;=-180,metadata!T50&lt;=180))</f>
        <v>0</v>
      </c>
      <c r="BF50" t="b">
        <f>AND(IF(metadata!U50="",FALSE,TRUE),EXACT(metadata!U50,"Decimal degrees"))</f>
        <v>0</v>
      </c>
      <c r="BG50" t="b">
        <f>IF(metadata!V50="",FALSE,TRUE)</f>
        <v>0</v>
      </c>
      <c r="BH50" t="b">
        <f>OR(AND(IF(metadata!W50="",FALSE,TRUE),OR(EXACT(metadata!W50,"missing: not collected"),EXACT(metadata!W50,"missing: not provided"),EXACT(metadata!W50,"missing: restricted access"))),AND(IF(metadata!W50="",FALSE,TRUE),OR(EXACT(metadata!W50,"TRUE"),EXACT(metadata!W50,"FALSE"))))</f>
        <v>0</v>
      </c>
      <c r="BI50" t="b">
        <f>AND(IF(metadata!X50="",FALSE,TRUE),EXACT(metadata!X50,"other"))</f>
        <v>0</v>
      </c>
      <c r="BJ50" t="b">
        <f>IF(metadata!Y50="",FALSE,TRUE)</f>
        <v>0</v>
      </c>
      <c r="BK50" t="b">
        <f>OR(AND(IF(metadata!Z50="",FALSE,TRUE),OR(EXACT(metadata!Z50,"missing: not collected"),EXACT(metadata!Z50,"missing: not provided"))),AND(IF(metadata!Z50="",FALSE,IF(ISERROR(INT(metadata!Z50)),FALSE,INT(metadata!Z50)=metadata!Z50)),metadata!Z50&gt;0))</f>
        <v>0</v>
      </c>
      <c r="BL50" t="b">
        <f>AND(IF(metadata!AA50="",FALSE,TRUE),EXACT(metadata!AA50,"Not applicable"))</f>
        <v>0</v>
      </c>
      <c r="BM50" t="b">
        <f>IF(metadata!AB50="",FALSE,TRUE)</f>
        <v>0</v>
      </c>
    </row>
    <row r="51" spans="1:65" x14ac:dyDescent="0.2">
      <c r="A51" s="5" t="str">
        <f ca="1">IF(B51=" "," ",HYPERLINK(CONCATENATE("#metadata!",ADDRESS(INDEX($AH$2:$AH$1001,MATCH(ROWS($AF$2:AF51),$AF$2:$AF$1001,0),0),1)),INDEX($AK$2:$AK$1001,MATCH(ROWS($AF$2:AF51),$AF$2:$AF$1001,0),0)))</f>
        <v xml:space="preserve"> </v>
      </c>
      <c r="B51" s="4" t="str">
        <f ca="1">IF(OR(INDEX($AG$2:$AG$1001,MATCH(ROWS($AF$2:AF51),$AF$2:$AF$1001,0),1)&gt;=100000,INDEX($AM$1005:$BM$1005,1,MATCH(COLUMNS($AM$1006:AM1006),$AM$1006:$BM$1006,0))&gt;=100000), " ",IF(INDEX($AM$2:$BM$1001,MATCH(ROWS($AF$2:AF51),$AF$2:$AF$1001,0),MATCH(COLUMNS($AM$1006:AM1006),$AM$1006:$BM$1006,0)), HYPERLINK("#",""), HYPERLINK(CONCATENATE("#metadata!", ADDRESS(INDEX($AH$2:$AH$1001,MATCH(ROWS($AF$2:AF51),$AF$2:$AF$1001,0),0), INDEX($AM$1004:$BM$1004,1,MATCH(COLUMNS($AM$1006:AM1006),$AM$1006:$BM$1006,0)))),"Fix")))</f>
        <v xml:space="preserve"> </v>
      </c>
      <c r="C51" s="4" t="str">
        <f ca="1">IF(OR(INDEX($AG$2:$AG$1001,MATCH(ROWS($AF$2:AF51),$AF$2:$AF$1001,0),1)&gt;=100000,INDEX($AM$1005:$BM$1005,1,MATCH(COLUMNS($AM$1006:AN1006),$AM$1006:$BM$1006,0))&gt;=100000), " ",IF(INDEX($AM$2:$BM$1001,MATCH(ROWS($AF$2:AF51),$AF$2:$AF$1001,0),MATCH(COLUMNS($AM$1006:AN1006),$AM$1006:$BM$1006,0)), HYPERLINK("#",""), HYPERLINK(CONCATENATE("#metadata!", ADDRESS(INDEX($AH$2:$AH$1001,MATCH(ROWS($AF$2:AF51),$AF$2:$AF$1001,0),0), INDEX($AM$1004:$BM$1004,1,MATCH(COLUMNS($AM$1006:AN1006),$AM$1006:$BM$1006,0)))),"Fix")))</f>
        <v xml:space="preserve"> </v>
      </c>
      <c r="D51" s="4" t="str">
        <f ca="1">IF(OR(INDEX($AG$2:$AG$1001,MATCH(ROWS($AF$2:AF51),$AF$2:$AF$1001,0),1)&gt;=100000,INDEX($AM$1005:$BM$1005,1,MATCH(COLUMNS($AM$1006:AO1006),$AM$1006:$BM$1006,0))&gt;=100000), " ",IF(INDEX($AM$2:$BM$1001,MATCH(ROWS($AF$2:AF51),$AF$2:$AF$1001,0),MATCH(COLUMNS($AM$1006:AO1006),$AM$1006:$BM$1006,0)), HYPERLINK("#",""), HYPERLINK(CONCATENATE("#metadata!", ADDRESS(INDEX($AH$2:$AH$1001,MATCH(ROWS($AF$2:AF51),$AF$2:$AF$1001,0),0), INDEX($AM$1004:$BM$1004,1,MATCH(COLUMNS($AM$1006:AO1006),$AM$1006:$BM$1006,0)))),"Fix")))</f>
        <v xml:space="preserve"> </v>
      </c>
      <c r="E51" s="4" t="str">
        <f ca="1">IF(OR(INDEX($AG$2:$AG$1001,MATCH(ROWS($AF$2:AF51),$AF$2:$AF$1001,0),1)&gt;=100000,INDEX($AM$1005:$BM$1005,1,MATCH(COLUMNS($AM$1006:AP1006),$AM$1006:$BM$1006,0))&gt;=100000), " ",IF(INDEX($AM$2:$BM$1001,MATCH(ROWS($AF$2:AF51),$AF$2:$AF$1001,0),MATCH(COLUMNS($AM$1006:AP1006),$AM$1006:$BM$1006,0)), HYPERLINK("#",""), HYPERLINK(CONCATENATE("#metadata!", ADDRESS(INDEX($AH$2:$AH$1001,MATCH(ROWS($AF$2:AF51),$AF$2:$AF$1001,0),0), INDEX($AM$1004:$BM$1004,1,MATCH(COLUMNS($AM$1006:AP1006),$AM$1006:$BM$1006,0)))),"Fix")))</f>
        <v xml:space="preserve"> </v>
      </c>
      <c r="F51" s="4" t="str">
        <f ca="1">IF(OR(INDEX($AG$2:$AG$1001,MATCH(ROWS($AF$2:AF51),$AF$2:$AF$1001,0),1)&gt;=100000,INDEX($AM$1005:$BM$1005,1,MATCH(COLUMNS($AM$1006:AQ1006),$AM$1006:$BM$1006,0))&gt;=100000), " ",IF(INDEX($AM$2:$BM$1001,MATCH(ROWS($AF$2:AF51),$AF$2:$AF$1001,0),MATCH(COLUMNS($AM$1006:AQ1006),$AM$1006:$BM$1006,0)), HYPERLINK("#",""), HYPERLINK(CONCATENATE("#metadata!", ADDRESS(INDEX($AH$2:$AH$1001,MATCH(ROWS($AF$2:AF51),$AF$2:$AF$1001,0),0), INDEX($AM$1004:$BM$1004,1,MATCH(COLUMNS($AM$1006:AQ1006),$AM$1006:$BM$1006,0)))),"Fix")))</f>
        <v xml:space="preserve"> </v>
      </c>
      <c r="G51" s="4" t="str">
        <f ca="1">IF(OR(INDEX($AG$2:$AG$1001,MATCH(ROWS($AF$2:AF51),$AF$2:$AF$1001,0),1)&gt;=100000,INDEX($AM$1005:$BM$1005,1,MATCH(COLUMNS($AM$1006:AR1006),$AM$1006:$BM$1006,0))&gt;=100000), " ",IF(INDEX($AM$2:$BM$1001,MATCH(ROWS($AF$2:AF51),$AF$2:$AF$1001,0),MATCH(COLUMNS($AM$1006:AR1006),$AM$1006:$BM$1006,0)), HYPERLINK("#",""), HYPERLINK(CONCATENATE("#metadata!", ADDRESS(INDEX($AH$2:$AH$1001,MATCH(ROWS($AF$2:AF51),$AF$2:$AF$1001,0),0), INDEX($AM$1004:$BM$1004,1,MATCH(COLUMNS($AM$1006:AR1006),$AM$1006:$BM$1006,0)))),"Fix")))</f>
        <v xml:space="preserve"> </v>
      </c>
      <c r="H51" s="4" t="str">
        <f ca="1">IF(OR(INDEX($AG$2:$AG$1001,MATCH(ROWS($AF$2:AF51),$AF$2:$AF$1001,0),1)&gt;=100000,INDEX($AM$1005:$BM$1005,1,MATCH(COLUMNS($AM$1006:AS1006),$AM$1006:$BM$1006,0))&gt;=100000), " ",IF(INDEX($AM$2:$BM$1001,MATCH(ROWS($AF$2:AF51),$AF$2:$AF$1001,0),MATCH(COLUMNS($AM$1006:AS1006),$AM$1006:$BM$1006,0)), HYPERLINK("#",""), HYPERLINK(CONCATENATE("#metadata!", ADDRESS(INDEX($AH$2:$AH$1001,MATCH(ROWS($AF$2:AF51),$AF$2:$AF$1001,0),0), INDEX($AM$1004:$BM$1004,1,MATCH(COLUMNS($AM$1006:AS1006),$AM$1006:$BM$1006,0)))),"Fix")))</f>
        <v xml:space="preserve"> </v>
      </c>
      <c r="I51" s="4" t="str">
        <f ca="1">IF(OR(INDEX($AG$2:$AG$1001,MATCH(ROWS($AF$2:AF51),$AF$2:$AF$1001,0),1)&gt;=100000,INDEX($AM$1005:$BM$1005,1,MATCH(COLUMNS($AM$1006:AT1006),$AM$1006:$BM$1006,0))&gt;=100000), " ",IF(INDEX($AM$2:$BM$1001,MATCH(ROWS($AF$2:AF51),$AF$2:$AF$1001,0),MATCH(COLUMNS($AM$1006:AT1006),$AM$1006:$BM$1006,0)), HYPERLINK("#",""), HYPERLINK(CONCATENATE("#metadata!", ADDRESS(INDEX($AH$2:$AH$1001,MATCH(ROWS($AF$2:AF51),$AF$2:$AF$1001,0),0), INDEX($AM$1004:$BM$1004,1,MATCH(COLUMNS($AM$1006:AT1006),$AM$1006:$BM$1006,0)))),"Fix")))</f>
        <v xml:space="preserve"> </v>
      </c>
      <c r="J51" s="4" t="str">
        <f ca="1">IF(OR(INDEX($AG$2:$AG$1001,MATCH(ROWS($AF$2:AF51),$AF$2:$AF$1001,0),1)&gt;=100000,INDEX($AM$1005:$BM$1005,1,MATCH(COLUMNS($AM$1006:AU1006),$AM$1006:$BM$1006,0))&gt;=100000), " ",IF(INDEX($AM$2:$BM$1001,MATCH(ROWS($AF$2:AF51),$AF$2:$AF$1001,0),MATCH(COLUMNS($AM$1006:AU1006),$AM$1006:$BM$1006,0)), HYPERLINK("#",""), HYPERLINK(CONCATENATE("#metadata!", ADDRESS(INDEX($AH$2:$AH$1001,MATCH(ROWS($AF$2:AF51),$AF$2:$AF$1001,0),0), INDEX($AM$1004:$BM$1004,1,MATCH(COLUMNS($AM$1006:AU1006),$AM$1006:$BM$1006,0)))),"Fix")))</f>
        <v xml:space="preserve"> </v>
      </c>
      <c r="K51" s="4" t="str">
        <f ca="1">IF(OR(INDEX($AG$2:$AG$1001,MATCH(ROWS($AF$2:AF51),$AF$2:$AF$1001,0),1)&gt;=100000,INDEX($AM$1005:$BM$1005,1,MATCH(COLUMNS($AM$1006:AV1006),$AM$1006:$BM$1006,0))&gt;=100000), " ",IF(INDEX($AM$2:$BM$1001,MATCH(ROWS($AF$2:AF51),$AF$2:$AF$1001,0),MATCH(COLUMNS($AM$1006:AV1006),$AM$1006:$BM$1006,0)), HYPERLINK("#",""), HYPERLINK(CONCATENATE("#metadata!", ADDRESS(INDEX($AH$2:$AH$1001,MATCH(ROWS($AF$2:AF51),$AF$2:$AF$1001,0),0), INDEX($AM$1004:$BM$1004,1,MATCH(COLUMNS($AM$1006:AV1006),$AM$1006:$BM$1006,0)))),"Fix")))</f>
        <v xml:space="preserve"> </v>
      </c>
      <c r="L51" s="4" t="str">
        <f ca="1">IF(OR(INDEX($AG$2:$AG$1001,MATCH(ROWS($AF$2:AF51),$AF$2:$AF$1001,0),1)&gt;=100000,INDEX($AM$1005:$BM$1005,1,MATCH(COLUMNS($AM$1006:AW1006),$AM$1006:$BM$1006,0))&gt;=100000), " ",IF(INDEX($AM$2:$BM$1001,MATCH(ROWS($AF$2:AF51),$AF$2:$AF$1001,0),MATCH(COLUMNS($AM$1006:AW1006),$AM$1006:$BM$1006,0)), HYPERLINK("#",""), HYPERLINK(CONCATENATE("#metadata!", ADDRESS(INDEX($AH$2:$AH$1001,MATCH(ROWS($AF$2:AF51),$AF$2:$AF$1001,0),0), INDEX($AM$1004:$BM$1004,1,MATCH(COLUMNS($AM$1006:AW1006),$AM$1006:$BM$1006,0)))),"Fix")))</f>
        <v xml:space="preserve"> </v>
      </c>
      <c r="M51" s="4" t="str">
        <f ca="1">IF(OR(INDEX($AG$2:$AG$1001,MATCH(ROWS($AF$2:AF51),$AF$2:$AF$1001,0),1)&gt;=100000,INDEX($AM$1005:$BM$1005,1,MATCH(COLUMNS($AM$1006:AX1006),$AM$1006:$BM$1006,0))&gt;=100000), " ",IF(INDEX($AM$2:$BM$1001,MATCH(ROWS($AF$2:AF51),$AF$2:$AF$1001,0),MATCH(COLUMNS($AM$1006:AX1006),$AM$1006:$BM$1006,0)), HYPERLINK("#",""), HYPERLINK(CONCATENATE("#metadata!", ADDRESS(INDEX($AH$2:$AH$1001,MATCH(ROWS($AF$2:AF51),$AF$2:$AF$1001,0),0), INDEX($AM$1004:$BM$1004,1,MATCH(COLUMNS($AM$1006:AX1006),$AM$1006:$BM$1006,0)))),"Fix")))</f>
        <v xml:space="preserve"> </v>
      </c>
      <c r="N51" s="4" t="str">
        <f ca="1">IF(OR(INDEX($AG$2:$AG$1001,MATCH(ROWS($AF$2:AF51),$AF$2:$AF$1001,0),1)&gt;=100000,INDEX($AM$1005:$BM$1005,1,MATCH(COLUMNS($AM$1006:AY1006),$AM$1006:$BM$1006,0))&gt;=100000), " ",IF(INDEX($AM$2:$BM$1001,MATCH(ROWS($AF$2:AF51),$AF$2:$AF$1001,0),MATCH(COLUMNS($AM$1006:AY1006),$AM$1006:$BM$1006,0)), HYPERLINK("#",""), HYPERLINK(CONCATENATE("#metadata!", ADDRESS(INDEX($AH$2:$AH$1001,MATCH(ROWS($AF$2:AF51),$AF$2:$AF$1001,0),0), INDEX($AM$1004:$BM$1004,1,MATCH(COLUMNS($AM$1006:AY1006),$AM$1006:$BM$1006,0)))),"Fix")))</f>
        <v xml:space="preserve"> </v>
      </c>
      <c r="O51" s="4" t="str">
        <f ca="1">IF(OR(INDEX($AG$2:$AG$1001,MATCH(ROWS($AF$2:AF51),$AF$2:$AF$1001,0),1)&gt;=100000,INDEX($AM$1005:$BM$1005,1,MATCH(COLUMNS($AM$1006:AZ1006),$AM$1006:$BM$1006,0))&gt;=100000), " ",IF(INDEX($AM$2:$BM$1001,MATCH(ROWS($AF$2:AF51),$AF$2:$AF$1001,0),MATCH(COLUMNS($AM$1006:AZ1006),$AM$1006:$BM$1006,0)), HYPERLINK("#",""), HYPERLINK(CONCATENATE("#metadata!", ADDRESS(INDEX($AH$2:$AH$1001,MATCH(ROWS($AF$2:AF51),$AF$2:$AF$1001,0),0), INDEX($AM$1004:$BM$1004,1,MATCH(COLUMNS($AM$1006:AZ1006),$AM$1006:$BM$1006,0)))),"Fix")))</f>
        <v xml:space="preserve"> </v>
      </c>
      <c r="P51" s="4" t="str">
        <f ca="1">IF(OR(INDEX($AG$2:$AG$1001,MATCH(ROWS($AF$2:AF51),$AF$2:$AF$1001,0),1)&gt;=100000,INDEX($AM$1005:$BM$1005,1,MATCH(COLUMNS($AM$1006:BA1006),$AM$1006:$BM$1006,0))&gt;=100000), " ",IF(INDEX($AM$2:$BM$1001,MATCH(ROWS($AF$2:AF51),$AF$2:$AF$1001,0),MATCH(COLUMNS($AM$1006:BA1006),$AM$1006:$BM$1006,0)), HYPERLINK("#",""), HYPERLINK(CONCATENATE("#metadata!", ADDRESS(INDEX($AH$2:$AH$1001,MATCH(ROWS($AF$2:AF51),$AF$2:$AF$1001,0),0), INDEX($AM$1004:$BM$1004,1,MATCH(COLUMNS($AM$1006:BA1006),$AM$1006:$BM$1006,0)))),"Fix")))</f>
        <v xml:space="preserve"> </v>
      </c>
      <c r="Q51" s="4" t="str">
        <f ca="1">IF(OR(INDEX($AG$2:$AG$1001,MATCH(ROWS($AF$2:AF51),$AF$2:$AF$1001,0),1)&gt;=100000,INDEX($AM$1005:$BM$1005,1,MATCH(COLUMNS($AM$1006:BB1006),$AM$1006:$BM$1006,0))&gt;=100000), " ",IF(INDEX($AM$2:$BM$1001,MATCH(ROWS($AF$2:AF51),$AF$2:$AF$1001,0),MATCH(COLUMNS($AM$1006:BB1006),$AM$1006:$BM$1006,0)), HYPERLINK("#",""), HYPERLINK(CONCATENATE("#metadata!", ADDRESS(INDEX($AH$2:$AH$1001,MATCH(ROWS($AF$2:AF51),$AF$2:$AF$1001,0),0), INDEX($AM$1004:$BM$1004,1,MATCH(COLUMNS($AM$1006:BB1006),$AM$1006:$BM$1006,0)))),"Fix")))</f>
        <v xml:space="preserve"> </v>
      </c>
      <c r="R51" s="4" t="str">
        <f ca="1">IF(OR(INDEX($AG$2:$AG$1001,MATCH(ROWS($AF$2:AF51),$AF$2:$AF$1001,0),1)&gt;=100000,INDEX($AM$1005:$BM$1005,1,MATCH(COLUMNS($AM$1006:BC1006),$AM$1006:$BM$1006,0))&gt;=100000), " ",IF(INDEX($AM$2:$BM$1001,MATCH(ROWS($AF$2:AF51),$AF$2:$AF$1001,0),MATCH(COLUMNS($AM$1006:BC1006),$AM$1006:$BM$1006,0)), HYPERLINK("#",""), HYPERLINK(CONCATENATE("#metadata!", ADDRESS(INDEX($AH$2:$AH$1001,MATCH(ROWS($AF$2:AF51),$AF$2:$AF$1001,0),0), INDEX($AM$1004:$BM$1004,1,MATCH(COLUMNS($AM$1006:BC1006),$AM$1006:$BM$1006,0)))),"Fix")))</f>
        <v xml:space="preserve"> </v>
      </c>
      <c r="S51" s="4" t="str">
        <f ca="1">IF(OR(INDEX($AG$2:$AG$1001,MATCH(ROWS($AF$2:AF51),$AF$2:$AF$1001,0),1)&gt;=100000,INDEX($AM$1005:$BM$1005,1,MATCH(COLUMNS($AM$1006:BD1006),$AM$1006:$BM$1006,0))&gt;=100000), " ",IF(INDEX($AM$2:$BM$1001,MATCH(ROWS($AF$2:AF51),$AF$2:$AF$1001,0),MATCH(COLUMNS($AM$1006:BD1006),$AM$1006:$BM$1006,0)), HYPERLINK("#",""), HYPERLINK(CONCATENATE("#metadata!", ADDRESS(INDEX($AH$2:$AH$1001,MATCH(ROWS($AF$2:AF51),$AF$2:$AF$1001,0),0), INDEX($AM$1004:$BM$1004,1,MATCH(COLUMNS($AM$1006:BD1006),$AM$1006:$BM$1006,0)))),"Fix")))</f>
        <v xml:space="preserve"> </v>
      </c>
      <c r="T51" s="4" t="str">
        <f ca="1">IF(OR(INDEX($AG$2:$AG$1001,MATCH(ROWS($AF$2:AF51),$AF$2:$AF$1001,0),1)&gt;=100000,INDEX($AM$1005:$BM$1005,1,MATCH(COLUMNS($AM$1006:BE1006),$AM$1006:$BM$1006,0))&gt;=100000), " ",IF(INDEX($AM$2:$BM$1001,MATCH(ROWS($AF$2:AF51),$AF$2:$AF$1001,0),MATCH(COLUMNS($AM$1006:BE1006),$AM$1006:$BM$1006,0)), HYPERLINK("#",""), HYPERLINK(CONCATENATE("#metadata!", ADDRESS(INDEX($AH$2:$AH$1001,MATCH(ROWS($AF$2:AF51),$AF$2:$AF$1001,0),0), INDEX($AM$1004:$BM$1004,1,MATCH(COLUMNS($AM$1006:BE1006),$AM$1006:$BM$1006,0)))),"Fix")))</f>
        <v xml:space="preserve"> </v>
      </c>
      <c r="U51" s="4" t="str">
        <f ca="1">IF(OR(INDEX($AG$2:$AG$1001,MATCH(ROWS($AF$2:AF51),$AF$2:$AF$1001,0),1)&gt;=100000,INDEX($AM$1005:$BM$1005,1,MATCH(COLUMNS($AM$1006:BF1006),$AM$1006:$BM$1006,0))&gt;=100000), " ",IF(INDEX($AM$2:$BM$1001,MATCH(ROWS($AF$2:AF51),$AF$2:$AF$1001,0),MATCH(COLUMNS($AM$1006:BF1006),$AM$1006:$BM$1006,0)), HYPERLINK("#",""), HYPERLINK(CONCATENATE("#metadata!", ADDRESS(INDEX($AH$2:$AH$1001,MATCH(ROWS($AF$2:AF51),$AF$2:$AF$1001,0),0), INDEX($AM$1004:$BM$1004,1,MATCH(COLUMNS($AM$1006:BF1006),$AM$1006:$BM$1006,0)))),"Fix")))</f>
        <v xml:space="preserve"> </v>
      </c>
      <c r="V51" s="4" t="str">
        <f ca="1">IF(OR(INDEX($AG$2:$AG$1001,MATCH(ROWS($AF$2:AF51),$AF$2:$AF$1001,0),1)&gt;=100000,INDEX($AM$1005:$BM$1005,1,MATCH(COLUMNS($AM$1006:BG1006),$AM$1006:$BM$1006,0))&gt;=100000), " ",IF(INDEX($AM$2:$BM$1001,MATCH(ROWS($AF$2:AF51),$AF$2:$AF$1001,0),MATCH(COLUMNS($AM$1006:BG1006),$AM$1006:$BM$1006,0)), HYPERLINK("#",""), HYPERLINK(CONCATENATE("#metadata!", ADDRESS(INDEX($AH$2:$AH$1001,MATCH(ROWS($AF$2:AF51),$AF$2:$AF$1001,0),0), INDEX($AM$1004:$BM$1004,1,MATCH(COLUMNS($AM$1006:BG1006),$AM$1006:$BM$1006,0)))),"Fix")))</f>
        <v xml:space="preserve"> </v>
      </c>
      <c r="W51" s="4" t="str">
        <f ca="1">IF(OR(INDEX($AG$2:$AG$1001,MATCH(ROWS($AF$2:AF51),$AF$2:$AF$1001,0),1)&gt;=100000,INDEX($AM$1005:$BM$1005,1,MATCH(COLUMNS($AM$1006:BH1006),$AM$1006:$BM$1006,0))&gt;=100000), " ",IF(INDEX($AM$2:$BM$1001,MATCH(ROWS($AF$2:AF51),$AF$2:$AF$1001,0),MATCH(COLUMNS($AM$1006:BH1006),$AM$1006:$BM$1006,0)), HYPERLINK("#",""), HYPERLINK(CONCATENATE("#metadata!", ADDRESS(INDEX($AH$2:$AH$1001,MATCH(ROWS($AF$2:AF51),$AF$2:$AF$1001,0),0), INDEX($AM$1004:$BM$1004,1,MATCH(COLUMNS($AM$1006:BH1006),$AM$1006:$BM$1006,0)))),"Fix")))</f>
        <v xml:space="preserve"> </v>
      </c>
      <c r="X51" s="4" t="str">
        <f ca="1">IF(OR(INDEX($AG$2:$AG$1001,MATCH(ROWS($AF$2:AF51),$AF$2:$AF$1001,0),1)&gt;=100000,INDEX($AM$1005:$BM$1005,1,MATCH(COLUMNS($AM$1006:BI1006),$AM$1006:$BM$1006,0))&gt;=100000), " ",IF(INDEX($AM$2:$BM$1001,MATCH(ROWS($AF$2:AF51),$AF$2:$AF$1001,0),MATCH(COLUMNS($AM$1006:BI1006),$AM$1006:$BM$1006,0)), HYPERLINK("#",""), HYPERLINK(CONCATENATE("#metadata!", ADDRESS(INDEX($AH$2:$AH$1001,MATCH(ROWS($AF$2:AF51),$AF$2:$AF$1001,0),0), INDEX($AM$1004:$BM$1004,1,MATCH(COLUMNS($AM$1006:BI1006),$AM$1006:$BM$1006,0)))),"Fix")))</f>
        <v xml:space="preserve"> </v>
      </c>
      <c r="Y51" s="4" t="str">
        <f ca="1">IF(OR(INDEX($AG$2:$AG$1001,MATCH(ROWS($AF$2:AF51),$AF$2:$AF$1001,0),1)&gt;=100000,INDEX($AM$1005:$BM$1005,1,MATCH(COLUMNS($AM$1006:BJ1006),$AM$1006:$BM$1006,0))&gt;=100000), " ",IF(INDEX($AM$2:$BM$1001,MATCH(ROWS($AF$2:AF51),$AF$2:$AF$1001,0),MATCH(COLUMNS($AM$1006:BJ1006),$AM$1006:$BM$1006,0)), HYPERLINK("#",""), HYPERLINK(CONCATENATE("#metadata!", ADDRESS(INDEX($AH$2:$AH$1001,MATCH(ROWS($AF$2:AF51),$AF$2:$AF$1001,0),0), INDEX($AM$1004:$BM$1004,1,MATCH(COLUMNS($AM$1006:BJ1006),$AM$1006:$BM$1006,0)))),"Fix")))</f>
        <v xml:space="preserve"> </v>
      </c>
      <c r="Z51" s="4" t="str">
        <f ca="1">IF(OR(INDEX($AG$2:$AG$1001,MATCH(ROWS($AF$2:AF51),$AF$2:$AF$1001,0),1)&gt;=100000,INDEX($AM$1005:$BM$1005,1,MATCH(COLUMNS($AM$1006:BK1006),$AM$1006:$BM$1006,0))&gt;=100000), " ",IF(INDEX($AM$2:$BM$1001,MATCH(ROWS($AF$2:AF51),$AF$2:$AF$1001,0),MATCH(COLUMNS($AM$1006:BK1006),$AM$1006:$BM$1006,0)), HYPERLINK("#",""), HYPERLINK(CONCATENATE("#metadata!", ADDRESS(INDEX($AH$2:$AH$1001,MATCH(ROWS($AF$2:AF51),$AF$2:$AF$1001,0),0), INDEX($AM$1004:$BM$1004,1,MATCH(COLUMNS($AM$1006:BK1006),$AM$1006:$BM$1006,0)))),"Fix")))</f>
        <v xml:space="preserve"> </v>
      </c>
      <c r="AA51" s="4" t="str">
        <f ca="1">IF(OR(INDEX($AG$2:$AG$1001,MATCH(ROWS($AF$2:AF51),$AF$2:$AF$1001,0),1)&gt;=100000,INDEX($AM$1005:$BM$1005,1,MATCH(COLUMNS($AM$1006:BL1006),$AM$1006:$BM$1006,0))&gt;=100000), " ",IF(INDEX($AM$2:$BM$1001,MATCH(ROWS($AF$2:AF51),$AF$2:$AF$1001,0),MATCH(COLUMNS($AM$1006:BL1006),$AM$1006:$BM$1006,0)), HYPERLINK("#",""), HYPERLINK(CONCATENATE("#metadata!", ADDRESS(INDEX($AH$2:$AH$1001,MATCH(ROWS($AF$2:AF51),$AF$2:$AF$1001,0),0), INDEX($AM$1004:$BM$1004,1,MATCH(COLUMNS($AM$1006:BL1006),$AM$1006:$BM$1006,0)))),"Fix")))</f>
        <v xml:space="preserve"> </v>
      </c>
      <c r="AB51" s="4" t="str">
        <f ca="1">IF(OR(INDEX($AG$2:$AG$1001,MATCH(ROWS($AF$2:AF51),$AF$2:$AF$1001,0),1)&gt;=100000,INDEX($AM$1005:$BM$1005,1,MATCH(COLUMNS($AM$1006:BM1006),$AM$1006:$BM$1006,0))&gt;=100000), " ",IF(INDEX($AM$2:$BM$1001,MATCH(ROWS($AF$2:AF51),$AF$2:$AF$1001,0),MATCH(COLUMNS($AM$1006:BM1006),$AM$1006:$BM$1006,0)), HYPERLINK("#",""), HYPERLINK(CONCATENATE("#metadata!", ADDRESS(INDEX($AH$2:$AH$1001,MATCH(ROWS($AF$2:AF51),$AF$2:$AF$1001,0),0), INDEX($AM$1004:$BM$1004,1,MATCH(COLUMNS($AM$1006:BM1006),$AM$1006:$BM$1006,0)))),"Fix")))</f>
        <v xml:space="preserve"> </v>
      </c>
      <c r="AF51">
        <v>50</v>
      </c>
      <c r="AG51">
        <v>100051</v>
      </c>
      <c r="AH51">
        <v>51</v>
      </c>
      <c r="AI51" t="b">
        <f t="shared" si="0"/>
        <v>1</v>
      </c>
      <c r="AJ51" t="b">
        <f>COUNTBLANK(metadata!B51:AB51)=COLUMNS(metadata!B51:AB51)</f>
        <v>1</v>
      </c>
      <c r="AK51" t="str">
        <v/>
      </c>
      <c r="AM51" t="b">
        <f ca="1">AND(IF(metadata!B51="",FALSE,TRUE),COUNTIF(metadata!B:B, metadata!B51) = 1,NOT(ISERROR(SUMPRODUCT(SEARCH(MID(metadata!B51,ROW(INDIRECT("1:"&amp;LEN(metadata!B51))), 1),"0123456789abcdefghijklmnopqrstuvwxyzABCDEFGHIJKLMNOPQRSTUVWXYZ.")))))</f>
        <v>0</v>
      </c>
      <c r="AN51" t="b">
        <f ca="1">OR(AND(IF(metadata!C51="",FALSE,TRUE),OR(EXACT(metadata!C51,"missing: not collected"),EXACT(metadata!C51,"missing: not provided"),EXACT(metadata!C51,"missing: restricted access"))),AND(IF(metadata!C51="",FALSE,TRUE),AND(AND(IFERROR(INT(LEFT(metadata!C51,4))&gt;1900,FALSE),IFERROR(INT(LEFT(metadata!C51,4))&lt;=YEAR(NOW()),FALSE)), OR(MID(metadata!C51,5,1)="", AND(AND(MID(metadata!C51,5,1)="-",IFERROR(INT(MID(metadata!C51,6,1))&gt;=0,FALSE),IFERROR(INT(MID(metadata!C51,6,1))&lt;=1,FALSE),NOT(MID(metadata!C51,7,1)=""),IFERROR(INT(MID(metadata!C51,6,2))&gt;=1,FALSE),IFERROR(INT(MID(metadata!C51,6,2))&lt;=12,FALSE)), OR(MID(metadata!C51,8,1)="", AND(AND(MID(metadata!C51,8,1)="-",IFERROR(INT(MID(metadata!C51,9,1))&gt;=0,FALSE),IFERROR(INT(MID(metadata!C51,9,1))&lt;=3,FALSE),NOT(MID(metadata!C51,10,1)=""),IFERROR(INT(MID(metadata!C51,9,2))&gt;=1,FALSE),IFERROR(INT(MID(metadata!C51,9,2))&lt;=31,FALSE)), OR(MID(metadata!C51,11,1)="", AND(AND(MID(metadata!C51,11,1)=" ",IFERROR(INT(MID(metadata!C51,12,1))&gt;=0,FALSE),IFERROR(INT(MID(metadata!C51,12,1))&lt;=2,FALSE),NOT(MID(metadata!C51,13,1)=""),IFERROR(INT(MID(metadata!C51,12,2))&gt;=0,FALSE),IFERROR(INT(MID(metadata!C51,12,2))&lt;=23,FALSE)), OR(MID(metadata!C51,14,1)="", AND(AND(MID(metadata!C51,14,1)=":",IFERROR(INT(MID(metadata!C51,15,1))&gt;=0,FALSE),IFERROR(INT(MID(metadata!C51,15,1))&lt;=5,FALSE),NOT(MID(metadata!C51,16,1)=""),IFERROR(INT(MID(metadata!C51,15,2))&gt;=0,FALSE),IFERROR(INT(MID(metadata!C51,15,2))&lt;=59,FALSE)), OR(MID(metadata!C51,17,1)="", AND(AND(MID(metadata!C51,17,1)=":",IFERROR(INT(MID(metadata!C51,18,1))&gt;=0,FALSE),IFERROR(INT(MID(metadata!C51,18,1))&lt;=5,FALSE),NOT(MID(metadata!C51,19,1)=""),IFERROR(INT(MID(metadata!C51,18,2))&gt;=0,FALSE),IFERROR(INT(MID(metadata!C51,18,2))&lt;=59,FALSE)), LEN(metadata!C51)&lt;=19)))))))))))))</f>
        <v>0</v>
      </c>
      <c r="AO51" t="b">
        <f>AND(IF(metadata!D51="",FALSE,TRUE),EXACT(metadata!D51,"Not applicable"))</f>
        <v>0</v>
      </c>
      <c r="AP51" t="b">
        <f>IF(metadata!E51="",FALSE,TRUE)</f>
        <v>0</v>
      </c>
      <c r="AQ51" t="b">
        <f>OR(AND(IF(metadata!F51="",FALSE,TRUE),OR(EXACT(metadata!F51,"missing: not collected"),EXACT(metadata!F51,"missing: not provided"))),AND(IF(metadata!F51="",FALSE,TRUE),OR(EXACT(metadata!F51,"TRUE"),EXACT(metadata!F51,"FALSE"))))</f>
        <v>0</v>
      </c>
      <c r="AR51" t="b">
        <f>OR(AND(IF(metadata!G51="",FALSE,TRUE),OR(EXACT(metadata!G51,"missing: not collected"),EXACT(metadata!G51,"missing: not provided"),EXACT(metadata!G51,"missing: restricted access"))),AND(IF(metadata!G51="",FALSE,ISNUMBER(VALUE(metadata!G51))),metadata!G51&gt;=-413))</f>
        <v>0</v>
      </c>
      <c r="AS51" t="b">
        <f>AND(IF(metadata!H51="",FALSE,TRUE),EXACT(metadata!H51,"meters"))</f>
        <v>0</v>
      </c>
      <c r="AT51" t="b">
        <f>AND(IF(metadata!I51="",FALSE,TRUE),OR(EXACT(metadata!I51,"Host-associated"),EXACT(metadata!I51,"Free-living")))</f>
        <v>0</v>
      </c>
      <c r="AU51" t="b">
        <f>AND(IF(metadata!J51="",FALSE,TRUE),OR(EXACT(metadata!J51,"Animal"),EXACT(metadata!J51,"Fungus"),EXACT(metadata!J51,"Plant"),EXACT(metadata!J51,"Saline"),EXACT(metadata!J51,"Non-saline")))</f>
        <v>0</v>
      </c>
      <c r="AV51" t="b">
        <f>AND(IF(metadata!K51="",FALSE,TRUE),OR(EXACT(metadata!K51,"Plant secretion"),EXACT(metadata!K51,"Plant rhizosphere"),EXACT(metadata!K51,"Plant surface"),EXACT(metadata!K51,"Plant corpus"),EXACT(metadata!K51,"Fungus surface"),EXACT(metadata!K51,"Fungus corpus"),EXACT(metadata!K51,"Animal surface"),EXACT(metadata!K51,"Animal proximal gut"),EXACT(metadata!K51,"Animal corpus"),EXACT(metadata!K51,"Animal distal gut"),EXACT(metadata!K51,"Animal secretion"),EXACT(metadata!K51,"Sub-surface (non-saline)"),EXACT(metadata!K51,"Surface (non-saline)"),EXACT(metadata!K51,"Water (non-saline)"),EXACT(metadata!K51,"Soil (non-saline)"),EXACT(metadata!K51,"Aerosol (non-saline)"),EXACT(metadata!K51,"Sediment (non-saline)"),EXACT(metadata!K51,"Surface (saline)"),EXACT(metadata!K51,"Water (saline)"),EXACT(metadata!K51,"Hypersaline (saline)"),EXACT(metadata!K51,"Aerosol (saline)"),EXACT(metadata!K51,"Sediment (saline)")))</f>
        <v>0</v>
      </c>
      <c r="AW51" t="b">
        <f>IF(metadata!L51="",FALSE,TRUE)</f>
        <v>0</v>
      </c>
      <c r="AX51" t="b">
        <f>IF(metadata!M51="",FALSE,TRUE)</f>
        <v>0</v>
      </c>
      <c r="AY51" t="b">
        <f>IF(metadata!N51="",FALSE,TRUE)</f>
        <v>0</v>
      </c>
      <c r="AZ51" t="b">
        <f>OR(AND(IF(metadata!O51="",FALSE,TRUE),OR(EXACT(metadata!O51,"missing: not collected"),EXACT(metadata!O51,"missing: not provided"),EXACT(metadata!O51,"missing: restricted access"))),AND(IF(metadata!O51="",FALSE,TRUE),OR(EXACT(metadata!O51,"air"),EXACT(metadata!O51,"built environment"),EXACT(metadata!O51,"host-associated"),EXACT(metadata!O51,"human-associated"),EXACT(metadata!O51,"human-skin"),EXACT(metadata!O51,"human-oral"),EXACT(metadata!O51,"human-gut"),EXACT(metadata!O51,"human-vaginal"),EXACT(metadata!O51,"microbial mat/biofilm"),EXACT(metadata!O51,"misc environment"),EXACT(metadata!O51,"plant-associated"),EXACT(metadata!O51,"sediment"),EXACT(metadata!O51,"soil"),EXACT(metadata!O51,"wastewater/sludge"),EXACT(metadata!O51,"water"))))</f>
        <v>0</v>
      </c>
      <c r="BA51" t="b">
        <f>IF(metadata!P51="",FALSE,TRUE)</f>
        <v>0</v>
      </c>
      <c r="BB51" t="b">
        <f>IF(metadata!Q51="",FALSE,TRUE)</f>
        <v>0</v>
      </c>
      <c r="BC51" t="b">
        <f>OR(AND(IF(metadata!R51="",FALSE,TRUE),OR(EXACT(metadata!R51,"missing: not collected"),EXACT(metadata!R51,"missing: not provided"),EXACT(metadata!R51,"missing: restricted access"))),AND(IF(metadata!R51="",FALSE,ISNUMBER(VALUE(metadata!R51))),metadata!R51&gt;=-90,metadata!R51&lt;=90))</f>
        <v>0</v>
      </c>
      <c r="BD51" t="b">
        <f>AND(IF(metadata!S51="",FALSE,TRUE),EXACT(metadata!S51,"Decimal degrees"))</f>
        <v>0</v>
      </c>
      <c r="BE51" t="b">
        <f>OR(AND(IF(metadata!T51="",FALSE,TRUE),OR(EXACT(metadata!T51,"missing: not collected"),EXACT(metadata!T51,"missing: not provided"),EXACT(metadata!T51,"missing: restricted access"))),AND(IF(metadata!T51="",FALSE,ISNUMBER(VALUE(metadata!T51))),metadata!T51&gt;=-180,metadata!T51&lt;=180))</f>
        <v>0</v>
      </c>
      <c r="BF51" t="b">
        <f>AND(IF(metadata!U51="",FALSE,TRUE),EXACT(metadata!U51,"Decimal degrees"))</f>
        <v>0</v>
      </c>
      <c r="BG51" t="b">
        <f>IF(metadata!V51="",FALSE,TRUE)</f>
        <v>0</v>
      </c>
      <c r="BH51" t="b">
        <f>OR(AND(IF(metadata!W51="",FALSE,TRUE),OR(EXACT(metadata!W51,"missing: not collected"),EXACT(metadata!W51,"missing: not provided"),EXACT(metadata!W51,"missing: restricted access"))),AND(IF(metadata!W51="",FALSE,TRUE),OR(EXACT(metadata!W51,"TRUE"),EXACT(metadata!W51,"FALSE"))))</f>
        <v>0</v>
      </c>
      <c r="BI51" t="b">
        <f>AND(IF(metadata!X51="",FALSE,TRUE),EXACT(metadata!X51,"other"))</f>
        <v>0</v>
      </c>
      <c r="BJ51" t="b">
        <f>IF(metadata!Y51="",FALSE,TRUE)</f>
        <v>0</v>
      </c>
      <c r="BK51" t="b">
        <f>OR(AND(IF(metadata!Z51="",FALSE,TRUE),OR(EXACT(metadata!Z51,"missing: not collected"),EXACT(metadata!Z51,"missing: not provided"))),AND(IF(metadata!Z51="",FALSE,IF(ISERROR(INT(metadata!Z51)),FALSE,INT(metadata!Z51)=metadata!Z51)),metadata!Z51&gt;0))</f>
        <v>0</v>
      </c>
      <c r="BL51" t="b">
        <f>AND(IF(metadata!AA51="",FALSE,TRUE),EXACT(metadata!AA51,"Not applicable"))</f>
        <v>0</v>
      </c>
      <c r="BM51" t="b">
        <f>IF(metadata!AB51="",FALSE,TRUE)</f>
        <v>0</v>
      </c>
    </row>
    <row r="52" spans="1:65" x14ac:dyDescent="0.2">
      <c r="A52" s="5" t="str">
        <f ca="1">IF(B52=" "," ",HYPERLINK(CONCATENATE("#metadata!",ADDRESS(INDEX($AH$2:$AH$1001,MATCH(ROWS($AF$2:AF52),$AF$2:$AF$1001,0),0),1)),INDEX($AK$2:$AK$1001,MATCH(ROWS($AF$2:AF52),$AF$2:$AF$1001,0),0)))</f>
        <v xml:space="preserve"> </v>
      </c>
      <c r="B52" s="4" t="str">
        <f ca="1">IF(OR(INDEX($AG$2:$AG$1001,MATCH(ROWS($AF$2:AF52),$AF$2:$AF$1001,0),1)&gt;=100000,INDEX($AM$1005:$BM$1005,1,MATCH(COLUMNS($AM$1006:AM1006),$AM$1006:$BM$1006,0))&gt;=100000), " ",IF(INDEX($AM$2:$BM$1001,MATCH(ROWS($AF$2:AF52),$AF$2:$AF$1001,0),MATCH(COLUMNS($AM$1006:AM1006),$AM$1006:$BM$1006,0)), HYPERLINK("#",""), HYPERLINK(CONCATENATE("#metadata!", ADDRESS(INDEX($AH$2:$AH$1001,MATCH(ROWS($AF$2:AF52),$AF$2:$AF$1001,0),0), INDEX($AM$1004:$BM$1004,1,MATCH(COLUMNS($AM$1006:AM1006),$AM$1006:$BM$1006,0)))),"Fix")))</f>
        <v xml:space="preserve"> </v>
      </c>
      <c r="C52" s="4" t="str">
        <f ca="1">IF(OR(INDEX($AG$2:$AG$1001,MATCH(ROWS($AF$2:AF52),$AF$2:$AF$1001,0),1)&gt;=100000,INDEX($AM$1005:$BM$1005,1,MATCH(COLUMNS($AM$1006:AN1006),$AM$1006:$BM$1006,0))&gt;=100000), " ",IF(INDEX($AM$2:$BM$1001,MATCH(ROWS($AF$2:AF52),$AF$2:$AF$1001,0),MATCH(COLUMNS($AM$1006:AN1006),$AM$1006:$BM$1006,0)), HYPERLINK("#",""), HYPERLINK(CONCATENATE("#metadata!", ADDRESS(INDEX($AH$2:$AH$1001,MATCH(ROWS($AF$2:AF52),$AF$2:$AF$1001,0),0), INDEX($AM$1004:$BM$1004,1,MATCH(COLUMNS($AM$1006:AN1006),$AM$1006:$BM$1006,0)))),"Fix")))</f>
        <v xml:space="preserve"> </v>
      </c>
      <c r="D52" s="4" t="str">
        <f ca="1">IF(OR(INDEX($AG$2:$AG$1001,MATCH(ROWS($AF$2:AF52),$AF$2:$AF$1001,0),1)&gt;=100000,INDEX($AM$1005:$BM$1005,1,MATCH(COLUMNS($AM$1006:AO1006),$AM$1006:$BM$1006,0))&gt;=100000), " ",IF(INDEX($AM$2:$BM$1001,MATCH(ROWS($AF$2:AF52),$AF$2:$AF$1001,0),MATCH(COLUMNS($AM$1006:AO1006),$AM$1006:$BM$1006,0)), HYPERLINK("#",""), HYPERLINK(CONCATENATE("#metadata!", ADDRESS(INDEX($AH$2:$AH$1001,MATCH(ROWS($AF$2:AF52),$AF$2:$AF$1001,0),0), INDEX($AM$1004:$BM$1004,1,MATCH(COLUMNS($AM$1006:AO1006),$AM$1006:$BM$1006,0)))),"Fix")))</f>
        <v xml:space="preserve"> </v>
      </c>
      <c r="E52" s="4" t="str">
        <f ca="1">IF(OR(INDEX($AG$2:$AG$1001,MATCH(ROWS($AF$2:AF52),$AF$2:$AF$1001,0),1)&gt;=100000,INDEX($AM$1005:$BM$1005,1,MATCH(COLUMNS($AM$1006:AP1006),$AM$1006:$BM$1006,0))&gt;=100000), " ",IF(INDEX($AM$2:$BM$1001,MATCH(ROWS($AF$2:AF52),$AF$2:$AF$1001,0),MATCH(COLUMNS($AM$1006:AP1006),$AM$1006:$BM$1006,0)), HYPERLINK("#",""), HYPERLINK(CONCATENATE("#metadata!", ADDRESS(INDEX($AH$2:$AH$1001,MATCH(ROWS($AF$2:AF52),$AF$2:$AF$1001,0),0), INDEX($AM$1004:$BM$1004,1,MATCH(COLUMNS($AM$1006:AP1006),$AM$1006:$BM$1006,0)))),"Fix")))</f>
        <v xml:space="preserve"> </v>
      </c>
      <c r="F52" s="4" t="str">
        <f ca="1">IF(OR(INDEX($AG$2:$AG$1001,MATCH(ROWS($AF$2:AF52),$AF$2:$AF$1001,0),1)&gt;=100000,INDEX($AM$1005:$BM$1005,1,MATCH(COLUMNS($AM$1006:AQ1006),$AM$1006:$BM$1006,0))&gt;=100000), " ",IF(INDEX($AM$2:$BM$1001,MATCH(ROWS($AF$2:AF52),$AF$2:$AF$1001,0),MATCH(COLUMNS($AM$1006:AQ1006),$AM$1006:$BM$1006,0)), HYPERLINK("#",""), HYPERLINK(CONCATENATE("#metadata!", ADDRESS(INDEX($AH$2:$AH$1001,MATCH(ROWS($AF$2:AF52),$AF$2:$AF$1001,0),0), INDEX($AM$1004:$BM$1004,1,MATCH(COLUMNS($AM$1006:AQ1006),$AM$1006:$BM$1006,0)))),"Fix")))</f>
        <v xml:space="preserve"> </v>
      </c>
      <c r="G52" s="4" t="str">
        <f ca="1">IF(OR(INDEX($AG$2:$AG$1001,MATCH(ROWS($AF$2:AF52),$AF$2:$AF$1001,0),1)&gt;=100000,INDEX($AM$1005:$BM$1005,1,MATCH(COLUMNS($AM$1006:AR1006),$AM$1006:$BM$1006,0))&gt;=100000), " ",IF(INDEX($AM$2:$BM$1001,MATCH(ROWS($AF$2:AF52),$AF$2:$AF$1001,0),MATCH(COLUMNS($AM$1006:AR1006),$AM$1006:$BM$1006,0)), HYPERLINK("#",""), HYPERLINK(CONCATENATE("#metadata!", ADDRESS(INDEX($AH$2:$AH$1001,MATCH(ROWS($AF$2:AF52),$AF$2:$AF$1001,0),0), INDEX($AM$1004:$BM$1004,1,MATCH(COLUMNS($AM$1006:AR1006),$AM$1006:$BM$1006,0)))),"Fix")))</f>
        <v xml:space="preserve"> </v>
      </c>
      <c r="H52" s="4" t="str">
        <f ca="1">IF(OR(INDEX($AG$2:$AG$1001,MATCH(ROWS($AF$2:AF52),$AF$2:$AF$1001,0),1)&gt;=100000,INDEX($AM$1005:$BM$1005,1,MATCH(COLUMNS($AM$1006:AS1006),$AM$1006:$BM$1006,0))&gt;=100000), " ",IF(INDEX($AM$2:$BM$1001,MATCH(ROWS($AF$2:AF52),$AF$2:$AF$1001,0),MATCH(COLUMNS($AM$1006:AS1006),$AM$1006:$BM$1006,0)), HYPERLINK("#",""), HYPERLINK(CONCATENATE("#metadata!", ADDRESS(INDEX($AH$2:$AH$1001,MATCH(ROWS($AF$2:AF52),$AF$2:$AF$1001,0),0), INDEX($AM$1004:$BM$1004,1,MATCH(COLUMNS($AM$1006:AS1006),$AM$1006:$BM$1006,0)))),"Fix")))</f>
        <v xml:space="preserve"> </v>
      </c>
      <c r="I52" s="4" t="str">
        <f ca="1">IF(OR(INDEX($AG$2:$AG$1001,MATCH(ROWS($AF$2:AF52),$AF$2:$AF$1001,0),1)&gt;=100000,INDEX($AM$1005:$BM$1005,1,MATCH(COLUMNS($AM$1006:AT1006),$AM$1006:$BM$1006,0))&gt;=100000), " ",IF(INDEX($AM$2:$BM$1001,MATCH(ROWS($AF$2:AF52),$AF$2:$AF$1001,0),MATCH(COLUMNS($AM$1006:AT1006),$AM$1006:$BM$1006,0)), HYPERLINK("#",""), HYPERLINK(CONCATENATE("#metadata!", ADDRESS(INDEX($AH$2:$AH$1001,MATCH(ROWS($AF$2:AF52),$AF$2:$AF$1001,0),0), INDEX($AM$1004:$BM$1004,1,MATCH(COLUMNS($AM$1006:AT1006),$AM$1006:$BM$1006,0)))),"Fix")))</f>
        <v xml:space="preserve"> </v>
      </c>
      <c r="J52" s="4" t="str">
        <f ca="1">IF(OR(INDEX($AG$2:$AG$1001,MATCH(ROWS($AF$2:AF52),$AF$2:$AF$1001,0),1)&gt;=100000,INDEX($AM$1005:$BM$1005,1,MATCH(COLUMNS($AM$1006:AU1006),$AM$1006:$BM$1006,0))&gt;=100000), " ",IF(INDEX($AM$2:$BM$1001,MATCH(ROWS($AF$2:AF52),$AF$2:$AF$1001,0),MATCH(COLUMNS($AM$1006:AU1006),$AM$1006:$BM$1006,0)), HYPERLINK("#",""), HYPERLINK(CONCATENATE("#metadata!", ADDRESS(INDEX($AH$2:$AH$1001,MATCH(ROWS($AF$2:AF52),$AF$2:$AF$1001,0),0), INDEX($AM$1004:$BM$1004,1,MATCH(COLUMNS($AM$1006:AU1006),$AM$1006:$BM$1006,0)))),"Fix")))</f>
        <v xml:space="preserve"> </v>
      </c>
      <c r="K52" s="4" t="str">
        <f ca="1">IF(OR(INDEX($AG$2:$AG$1001,MATCH(ROWS($AF$2:AF52),$AF$2:$AF$1001,0),1)&gt;=100000,INDEX($AM$1005:$BM$1005,1,MATCH(COLUMNS($AM$1006:AV1006),$AM$1006:$BM$1006,0))&gt;=100000), " ",IF(INDEX($AM$2:$BM$1001,MATCH(ROWS($AF$2:AF52),$AF$2:$AF$1001,0),MATCH(COLUMNS($AM$1006:AV1006),$AM$1006:$BM$1006,0)), HYPERLINK("#",""), HYPERLINK(CONCATENATE("#metadata!", ADDRESS(INDEX($AH$2:$AH$1001,MATCH(ROWS($AF$2:AF52),$AF$2:$AF$1001,0),0), INDEX($AM$1004:$BM$1004,1,MATCH(COLUMNS($AM$1006:AV1006),$AM$1006:$BM$1006,0)))),"Fix")))</f>
        <v xml:space="preserve"> </v>
      </c>
      <c r="L52" s="4" t="str">
        <f ca="1">IF(OR(INDEX($AG$2:$AG$1001,MATCH(ROWS($AF$2:AF52),$AF$2:$AF$1001,0),1)&gt;=100000,INDEX($AM$1005:$BM$1005,1,MATCH(COLUMNS($AM$1006:AW1006),$AM$1006:$BM$1006,0))&gt;=100000), " ",IF(INDEX($AM$2:$BM$1001,MATCH(ROWS($AF$2:AF52),$AF$2:$AF$1001,0),MATCH(COLUMNS($AM$1006:AW1006),$AM$1006:$BM$1006,0)), HYPERLINK("#",""), HYPERLINK(CONCATENATE("#metadata!", ADDRESS(INDEX($AH$2:$AH$1001,MATCH(ROWS($AF$2:AF52),$AF$2:$AF$1001,0),0), INDEX($AM$1004:$BM$1004,1,MATCH(COLUMNS($AM$1006:AW1006),$AM$1006:$BM$1006,0)))),"Fix")))</f>
        <v xml:space="preserve"> </v>
      </c>
      <c r="M52" s="4" t="str">
        <f ca="1">IF(OR(INDEX($AG$2:$AG$1001,MATCH(ROWS($AF$2:AF52),$AF$2:$AF$1001,0),1)&gt;=100000,INDEX($AM$1005:$BM$1005,1,MATCH(COLUMNS($AM$1006:AX1006),$AM$1006:$BM$1006,0))&gt;=100000), " ",IF(INDEX($AM$2:$BM$1001,MATCH(ROWS($AF$2:AF52),$AF$2:$AF$1001,0),MATCH(COLUMNS($AM$1006:AX1006),$AM$1006:$BM$1006,0)), HYPERLINK("#",""), HYPERLINK(CONCATENATE("#metadata!", ADDRESS(INDEX($AH$2:$AH$1001,MATCH(ROWS($AF$2:AF52),$AF$2:$AF$1001,0),0), INDEX($AM$1004:$BM$1004,1,MATCH(COLUMNS($AM$1006:AX1006),$AM$1006:$BM$1006,0)))),"Fix")))</f>
        <v xml:space="preserve"> </v>
      </c>
      <c r="N52" s="4" t="str">
        <f ca="1">IF(OR(INDEX($AG$2:$AG$1001,MATCH(ROWS($AF$2:AF52),$AF$2:$AF$1001,0),1)&gt;=100000,INDEX($AM$1005:$BM$1005,1,MATCH(COLUMNS($AM$1006:AY1006),$AM$1006:$BM$1006,0))&gt;=100000), " ",IF(INDEX($AM$2:$BM$1001,MATCH(ROWS($AF$2:AF52),$AF$2:$AF$1001,0),MATCH(COLUMNS($AM$1006:AY1006),$AM$1006:$BM$1006,0)), HYPERLINK("#",""), HYPERLINK(CONCATENATE("#metadata!", ADDRESS(INDEX($AH$2:$AH$1001,MATCH(ROWS($AF$2:AF52),$AF$2:$AF$1001,0),0), INDEX($AM$1004:$BM$1004,1,MATCH(COLUMNS($AM$1006:AY1006),$AM$1006:$BM$1006,0)))),"Fix")))</f>
        <v xml:space="preserve"> </v>
      </c>
      <c r="O52" s="4" t="str">
        <f ca="1">IF(OR(INDEX($AG$2:$AG$1001,MATCH(ROWS($AF$2:AF52),$AF$2:$AF$1001,0),1)&gt;=100000,INDEX($AM$1005:$BM$1005,1,MATCH(COLUMNS($AM$1006:AZ1006),$AM$1006:$BM$1006,0))&gt;=100000), " ",IF(INDEX($AM$2:$BM$1001,MATCH(ROWS($AF$2:AF52),$AF$2:$AF$1001,0),MATCH(COLUMNS($AM$1006:AZ1006),$AM$1006:$BM$1006,0)), HYPERLINK("#",""), HYPERLINK(CONCATENATE("#metadata!", ADDRESS(INDEX($AH$2:$AH$1001,MATCH(ROWS($AF$2:AF52),$AF$2:$AF$1001,0),0), INDEX($AM$1004:$BM$1004,1,MATCH(COLUMNS($AM$1006:AZ1006),$AM$1006:$BM$1006,0)))),"Fix")))</f>
        <v xml:space="preserve"> </v>
      </c>
      <c r="P52" s="4" t="str">
        <f ca="1">IF(OR(INDEX($AG$2:$AG$1001,MATCH(ROWS($AF$2:AF52),$AF$2:$AF$1001,0),1)&gt;=100000,INDEX($AM$1005:$BM$1005,1,MATCH(COLUMNS($AM$1006:BA1006),$AM$1006:$BM$1006,0))&gt;=100000), " ",IF(INDEX($AM$2:$BM$1001,MATCH(ROWS($AF$2:AF52),$AF$2:$AF$1001,0),MATCH(COLUMNS($AM$1006:BA1006),$AM$1006:$BM$1006,0)), HYPERLINK("#",""), HYPERLINK(CONCATENATE("#metadata!", ADDRESS(INDEX($AH$2:$AH$1001,MATCH(ROWS($AF$2:AF52),$AF$2:$AF$1001,0),0), INDEX($AM$1004:$BM$1004,1,MATCH(COLUMNS($AM$1006:BA1006),$AM$1006:$BM$1006,0)))),"Fix")))</f>
        <v xml:space="preserve"> </v>
      </c>
      <c r="Q52" s="4" t="str">
        <f ca="1">IF(OR(INDEX($AG$2:$AG$1001,MATCH(ROWS($AF$2:AF52),$AF$2:$AF$1001,0),1)&gt;=100000,INDEX($AM$1005:$BM$1005,1,MATCH(COLUMNS($AM$1006:BB1006),$AM$1006:$BM$1006,0))&gt;=100000), " ",IF(INDEX($AM$2:$BM$1001,MATCH(ROWS($AF$2:AF52),$AF$2:$AF$1001,0),MATCH(COLUMNS($AM$1006:BB1006),$AM$1006:$BM$1006,0)), HYPERLINK("#",""), HYPERLINK(CONCATENATE("#metadata!", ADDRESS(INDEX($AH$2:$AH$1001,MATCH(ROWS($AF$2:AF52),$AF$2:$AF$1001,0),0), INDEX($AM$1004:$BM$1004,1,MATCH(COLUMNS($AM$1006:BB1006),$AM$1006:$BM$1006,0)))),"Fix")))</f>
        <v xml:space="preserve"> </v>
      </c>
      <c r="R52" s="4" t="str">
        <f ca="1">IF(OR(INDEX($AG$2:$AG$1001,MATCH(ROWS($AF$2:AF52),$AF$2:$AF$1001,0),1)&gt;=100000,INDEX($AM$1005:$BM$1005,1,MATCH(COLUMNS($AM$1006:BC1006),$AM$1006:$BM$1006,0))&gt;=100000), " ",IF(INDEX($AM$2:$BM$1001,MATCH(ROWS($AF$2:AF52),$AF$2:$AF$1001,0),MATCH(COLUMNS($AM$1006:BC1006),$AM$1006:$BM$1006,0)), HYPERLINK("#",""), HYPERLINK(CONCATENATE("#metadata!", ADDRESS(INDEX($AH$2:$AH$1001,MATCH(ROWS($AF$2:AF52),$AF$2:$AF$1001,0),0), INDEX($AM$1004:$BM$1004,1,MATCH(COLUMNS($AM$1006:BC1006),$AM$1006:$BM$1006,0)))),"Fix")))</f>
        <v xml:space="preserve"> </v>
      </c>
      <c r="S52" s="4" t="str">
        <f ca="1">IF(OR(INDEX($AG$2:$AG$1001,MATCH(ROWS($AF$2:AF52),$AF$2:$AF$1001,0),1)&gt;=100000,INDEX($AM$1005:$BM$1005,1,MATCH(COLUMNS($AM$1006:BD1006),$AM$1006:$BM$1006,0))&gt;=100000), " ",IF(INDEX($AM$2:$BM$1001,MATCH(ROWS($AF$2:AF52),$AF$2:$AF$1001,0),MATCH(COLUMNS($AM$1006:BD1006),$AM$1006:$BM$1006,0)), HYPERLINK("#",""), HYPERLINK(CONCATENATE("#metadata!", ADDRESS(INDEX($AH$2:$AH$1001,MATCH(ROWS($AF$2:AF52),$AF$2:$AF$1001,0),0), INDEX($AM$1004:$BM$1004,1,MATCH(COLUMNS($AM$1006:BD1006),$AM$1006:$BM$1006,0)))),"Fix")))</f>
        <v xml:space="preserve"> </v>
      </c>
      <c r="T52" s="4" t="str">
        <f ca="1">IF(OR(INDEX($AG$2:$AG$1001,MATCH(ROWS($AF$2:AF52),$AF$2:$AF$1001,0),1)&gt;=100000,INDEX($AM$1005:$BM$1005,1,MATCH(COLUMNS($AM$1006:BE1006),$AM$1006:$BM$1006,0))&gt;=100000), " ",IF(INDEX($AM$2:$BM$1001,MATCH(ROWS($AF$2:AF52),$AF$2:$AF$1001,0),MATCH(COLUMNS($AM$1006:BE1006),$AM$1006:$BM$1006,0)), HYPERLINK("#",""), HYPERLINK(CONCATENATE("#metadata!", ADDRESS(INDEX($AH$2:$AH$1001,MATCH(ROWS($AF$2:AF52),$AF$2:$AF$1001,0),0), INDEX($AM$1004:$BM$1004,1,MATCH(COLUMNS($AM$1006:BE1006),$AM$1006:$BM$1006,0)))),"Fix")))</f>
        <v xml:space="preserve"> </v>
      </c>
      <c r="U52" s="4" t="str">
        <f ca="1">IF(OR(INDEX($AG$2:$AG$1001,MATCH(ROWS($AF$2:AF52),$AF$2:$AF$1001,0),1)&gt;=100000,INDEX($AM$1005:$BM$1005,1,MATCH(COLUMNS($AM$1006:BF1006),$AM$1006:$BM$1006,0))&gt;=100000), " ",IF(INDEX($AM$2:$BM$1001,MATCH(ROWS($AF$2:AF52),$AF$2:$AF$1001,0),MATCH(COLUMNS($AM$1006:BF1006),$AM$1006:$BM$1006,0)), HYPERLINK("#",""), HYPERLINK(CONCATENATE("#metadata!", ADDRESS(INDEX($AH$2:$AH$1001,MATCH(ROWS($AF$2:AF52),$AF$2:$AF$1001,0),0), INDEX($AM$1004:$BM$1004,1,MATCH(COLUMNS($AM$1006:BF1006),$AM$1006:$BM$1006,0)))),"Fix")))</f>
        <v xml:space="preserve"> </v>
      </c>
      <c r="V52" s="4" t="str">
        <f ca="1">IF(OR(INDEX($AG$2:$AG$1001,MATCH(ROWS($AF$2:AF52),$AF$2:$AF$1001,0),1)&gt;=100000,INDEX($AM$1005:$BM$1005,1,MATCH(COLUMNS($AM$1006:BG1006),$AM$1006:$BM$1006,0))&gt;=100000), " ",IF(INDEX($AM$2:$BM$1001,MATCH(ROWS($AF$2:AF52),$AF$2:$AF$1001,0),MATCH(COLUMNS($AM$1006:BG1006),$AM$1006:$BM$1006,0)), HYPERLINK("#",""), HYPERLINK(CONCATENATE("#metadata!", ADDRESS(INDEX($AH$2:$AH$1001,MATCH(ROWS($AF$2:AF52),$AF$2:$AF$1001,0),0), INDEX($AM$1004:$BM$1004,1,MATCH(COLUMNS($AM$1006:BG1006),$AM$1006:$BM$1006,0)))),"Fix")))</f>
        <v xml:space="preserve"> </v>
      </c>
      <c r="W52" s="4" t="str">
        <f ca="1">IF(OR(INDEX($AG$2:$AG$1001,MATCH(ROWS($AF$2:AF52),$AF$2:$AF$1001,0),1)&gt;=100000,INDEX($AM$1005:$BM$1005,1,MATCH(COLUMNS($AM$1006:BH1006),$AM$1006:$BM$1006,0))&gt;=100000), " ",IF(INDEX($AM$2:$BM$1001,MATCH(ROWS($AF$2:AF52),$AF$2:$AF$1001,0),MATCH(COLUMNS($AM$1006:BH1006),$AM$1006:$BM$1006,0)), HYPERLINK("#",""), HYPERLINK(CONCATENATE("#metadata!", ADDRESS(INDEX($AH$2:$AH$1001,MATCH(ROWS($AF$2:AF52),$AF$2:$AF$1001,0),0), INDEX($AM$1004:$BM$1004,1,MATCH(COLUMNS($AM$1006:BH1006),$AM$1006:$BM$1006,0)))),"Fix")))</f>
        <v xml:space="preserve"> </v>
      </c>
      <c r="X52" s="4" t="str">
        <f ca="1">IF(OR(INDEX($AG$2:$AG$1001,MATCH(ROWS($AF$2:AF52),$AF$2:$AF$1001,0),1)&gt;=100000,INDEX($AM$1005:$BM$1005,1,MATCH(COLUMNS($AM$1006:BI1006),$AM$1006:$BM$1006,0))&gt;=100000), " ",IF(INDEX($AM$2:$BM$1001,MATCH(ROWS($AF$2:AF52),$AF$2:$AF$1001,0),MATCH(COLUMNS($AM$1006:BI1006),$AM$1006:$BM$1006,0)), HYPERLINK("#",""), HYPERLINK(CONCATENATE("#metadata!", ADDRESS(INDEX($AH$2:$AH$1001,MATCH(ROWS($AF$2:AF52),$AF$2:$AF$1001,0),0), INDEX($AM$1004:$BM$1004,1,MATCH(COLUMNS($AM$1006:BI1006),$AM$1006:$BM$1006,0)))),"Fix")))</f>
        <v xml:space="preserve"> </v>
      </c>
      <c r="Y52" s="4" t="str">
        <f ca="1">IF(OR(INDEX($AG$2:$AG$1001,MATCH(ROWS($AF$2:AF52),$AF$2:$AF$1001,0),1)&gt;=100000,INDEX($AM$1005:$BM$1005,1,MATCH(COLUMNS($AM$1006:BJ1006),$AM$1006:$BM$1006,0))&gt;=100000), " ",IF(INDEX($AM$2:$BM$1001,MATCH(ROWS($AF$2:AF52),$AF$2:$AF$1001,0),MATCH(COLUMNS($AM$1006:BJ1006),$AM$1006:$BM$1006,0)), HYPERLINK("#",""), HYPERLINK(CONCATENATE("#metadata!", ADDRESS(INDEX($AH$2:$AH$1001,MATCH(ROWS($AF$2:AF52),$AF$2:$AF$1001,0),0), INDEX($AM$1004:$BM$1004,1,MATCH(COLUMNS($AM$1006:BJ1006),$AM$1006:$BM$1006,0)))),"Fix")))</f>
        <v xml:space="preserve"> </v>
      </c>
      <c r="Z52" s="4" t="str">
        <f ca="1">IF(OR(INDEX($AG$2:$AG$1001,MATCH(ROWS($AF$2:AF52),$AF$2:$AF$1001,0),1)&gt;=100000,INDEX($AM$1005:$BM$1005,1,MATCH(COLUMNS($AM$1006:BK1006),$AM$1006:$BM$1006,0))&gt;=100000), " ",IF(INDEX($AM$2:$BM$1001,MATCH(ROWS($AF$2:AF52),$AF$2:$AF$1001,0),MATCH(COLUMNS($AM$1006:BK1006),$AM$1006:$BM$1006,0)), HYPERLINK("#",""), HYPERLINK(CONCATENATE("#metadata!", ADDRESS(INDEX($AH$2:$AH$1001,MATCH(ROWS($AF$2:AF52),$AF$2:$AF$1001,0),0), INDEX($AM$1004:$BM$1004,1,MATCH(COLUMNS($AM$1006:BK1006),$AM$1006:$BM$1006,0)))),"Fix")))</f>
        <v xml:space="preserve"> </v>
      </c>
      <c r="AA52" s="4" t="str">
        <f ca="1">IF(OR(INDEX($AG$2:$AG$1001,MATCH(ROWS($AF$2:AF52),$AF$2:$AF$1001,0),1)&gt;=100000,INDEX($AM$1005:$BM$1005,1,MATCH(COLUMNS($AM$1006:BL1006),$AM$1006:$BM$1006,0))&gt;=100000), " ",IF(INDEX($AM$2:$BM$1001,MATCH(ROWS($AF$2:AF52),$AF$2:$AF$1001,0),MATCH(COLUMNS($AM$1006:BL1006),$AM$1006:$BM$1006,0)), HYPERLINK("#",""), HYPERLINK(CONCATENATE("#metadata!", ADDRESS(INDEX($AH$2:$AH$1001,MATCH(ROWS($AF$2:AF52),$AF$2:$AF$1001,0),0), INDEX($AM$1004:$BM$1004,1,MATCH(COLUMNS($AM$1006:BL1006),$AM$1006:$BM$1006,0)))),"Fix")))</f>
        <v xml:space="preserve"> </v>
      </c>
      <c r="AB52" s="4" t="str">
        <f ca="1">IF(OR(INDEX($AG$2:$AG$1001,MATCH(ROWS($AF$2:AF52),$AF$2:$AF$1001,0),1)&gt;=100000,INDEX($AM$1005:$BM$1005,1,MATCH(COLUMNS($AM$1006:BM1006),$AM$1006:$BM$1006,0))&gt;=100000), " ",IF(INDEX($AM$2:$BM$1001,MATCH(ROWS($AF$2:AF52),$AF$2:$AF$1001,0),MATCH(COLUMNS($AM$1006:BM1006),$AM$1006:$BM$1006,0)), HYPERLINK("#",""), HYPERLINK(CONCATENATE("#metadata!", ADDRESS(INDEX($AH$2:$AH$1001,MATCH(ROWS($AF$2:AF52),$AF$2:$AF$1001,0),0), INDEX($AM$1004:$BM$1004,1,MATCH(COLUMNS($AM$1006:BM1006),$AM$1006:$BM$1006,0)))),"Fix")))</f>
        <v xml:space="preserve"> </v>
      </c>
      <c r="AF52">
        <v>51</v>
      </c>
      <c r="AG52">
        <v>100052</v>
      </c>
      <c r="AH52">
        <v>52</v>
      </c>
      <c r="AI52" t="b">
        <f t="shared" si="0"/>
        <v>1</v>
      </c>
      <c r="AJ52" t="b">
        <f>COUNTBLANK(metadata!B52:AB52)=COLUMNS(metadata!B52:AB52)</f>
        <v>1</v>
      </c>
      <c r="AK52" t="str">
        <v/>
      </c>
      <c r="AM52" t="b">
        <f ca="1">AND(IF(metadata!B52="",FALSE,TRUE),COUNTIF(metadata!B:B, metadata!B52) = 1,NOT(ISERROR(SUMPRODUCT(SEARCH(MID(metadata!B52,ROW(INDIRECT("1:"&amp;LEN(metadata!B52))), 1),"0123456789abcdefghijklmnopqrstuvwxyzABCDEFGHIJKLMNOPQRSTUVWXYZ.")))))</f>
        <v>0</v>
      </c>
      <c r="AN52" t="b">
        <f ca="1">OR(AND(IF(metadata!C52="",FALSE,TRUE),OR(EXACT(metadata!C52,"missing: not collected"),EXACT(metadata!C52,"missing: not provided"),EXACT(metadata!C52,"missing: restricted access"))),AND(IF(metadata!C52="",FALSE,TRUE),AND(AND(IFERROR(INT(LEFT(metadata!C52,4))&gt;1900,FALSE),IFERROR(INT(LEFT(metadata!C52,4))&lt;=YEAR(NOW()),FALSE)), OR(MID(metadata!C52,5,1)="", AND(AND(MID(metadata!C52,5,1)="-",IFERROR(INT(MID(metadata!C52,6,1))&gt;=0,FALSE),IFERROR(INT(MID(metadata!C52,6,1))&lt;=1,FALSE),NOT(MID(metadata!C52,7,1)=""),IFERROR(INT(MID(metadata!C52,6,2))&gt;=1,FALSE),IFERROR(INT(MID(metadata!C52,6,2))&lt;=12,FALSE)), OR(MID(metadata!C52,8,1)="", AND(AND(MID(metadata!C52,8,1)="-",IFERROR(INT(MID(metadata!C52,9,1))&gt;=0,FALSE),IFERROR(INT(MID(metadata!C52,9,1))&lt;=3,FALSE),NOT(MID(metadata!C52,10,1)=""),IFERROR(INT(MID(metadata!C52,9,2))&gt;=1,FALSE),IFERROR(INT(MID(metadata!C52,9,2))&lt;=31,FALSE)), OR(MID(metadata!C52,11,1)="", AND(AND(MID(metadata!C52,11,1)=" ",IFERROR(INT(MID(metadata!C52,12,1))&gt;=0,FALSE),IFERROR(INT(MID(metadata!C52,12,1))&lt;=2,FALSE),NOT(MID(metadata!C52,13,1)=""),IFERROR(INT(MID(metadata!C52,12,2))&gt;=0,FALSE),IFERROR(INT(MID(metadata!C52,12,2))&lt;=23,FALSE)), OR(MID(metadata!C52,14,1)="", AND(AND(MID(metadata!C52,14,1)=":",IFERROR(INT(MID(metadata!C52,15,1))&gt;=0,FALSE),IFERROR(INT(MID(metadata!C52,15,1))&lt;=5,FALSE),NOT(MID(metadata!C52,16,1)=""),IFERROR(INT(MID(metadata!C52,15,2))&gt;=0,FALSE),IFERROR(INT(MID(metadata!C52,15,2))&lt;=59,FALSE)), OR(MID(metadata!C52,17,1)="", AND(AND(MID(metadata!C52,17,1)=":",IFERROR(INT(MID(metadata!C52,18,1))&gt;=0,FALSE),IFERROR(INT(MID(metadata!C52,18,1))&lt;=5,FALSE),NOT(MID(metadata!C52,19,1)=""),IFERROR(INT(MID(metadata!C52,18,2))&gt;=0,FALSE),IFERROR(INT(MID(metadata!C52,18,2))&lt;=59,FALSE)), LEN(metadata!C52)&lt;=19)))))))))))))</f>
        <v>0</v>
      </c>
      <c r="AO52" t="b">
        <f>AND(IF(metadata!D52="",FALSE,TRUE),EXACT(metadata!D52,"Not applicable"))</f>
        <v>0</v>
      </c>
      <c r="AP52" t="b">
        <f>IF(metadata!E52="",FALSE,TRUE)</f>
        <v>0</v>
      </c>
      <c r="AQ52" t="b">
        <f>OR(AND(IF(metadata!F52="",FALSE,TRUE),OR(EXACT(metadata!F52,"missing: not collected"),EXACT(metadata!F52,"missing: not provided"))),AND(IF(metadata!F52="",FALSE,TRUE),OR(EXACT(metadata!F52,"TRUE"),EXACT(metadata!F52,"FALSE"))))</f>
        <v>0</v>
      </c>
      <c r="AR52" t="b">
        <f>OR(AND(IF(metadata!G52="",FALSE,TRUE),OR(EXACT(metadata!G52,"missing: not collected"),EXACT(metadata!G52,"missing: not provided"),EXACT(metadata!G52,"missing: restricted access"))),AND(IF(metadata!G52="",FALSE,ISNUMBER(VALUE(metadata!G52))),metadata!G52&gt;=-413))</f>
        <v>0</v>
      </c>
      <c r="AS52" t="b">
        <f>AND(IF(metadata!H52="",FALSE,TRUE),EXACT(metadata!H52,"meters"))</f>
        <v>0</v>
      </c>
      <c r="AT52" t="b">
        <f>AND(IF(metadata!I52="",FALSE,TRUE),OR(EXACT(metadata!I52,"Host-associated"),EXACT(metadata!I52,"Free-living")))</f>
        <v>0</v>
      </c>
      <c r="AU52" t="b">
        <f>AND(IF(metadata!J52="",FALSE,TRUE),OR(EXACT(metadata!J52,"Animal"),EXACT(metadata!J52,"Fungus"),EXACT(metadata!J52,"Plant"),EXACT(metadata!J52,"Saline"),EXACT(metadata!J52,"Non-saline")))</f>
        <v>0</v>
      </c>
      <c r="AV52" t="b">
        <f>AND(IF(metadata!K52="",FALSE,TRUE),OR(EXACT(metadata!K52,"Plant secretion"),EXACT(metadata!K52,"Plant rhizosphere"),EXACT(metadata!K52,"Plant surface"),EXACT(metadata!K52,"Plant corpus"),EXACT(metadata!K52,"Fungus surface"),EXACT(metadata!K52,"Fungus corpus"),EXACT(metadata!K52,"Animal surface"),EXACT(metadata!K52,"Animal proximal gut"),EXACT(metadata!K52,"Animal corpus"),EXACT(metadata!K52,"Animal distal gut"),EXACT(metadata!K52,"Animal secretion"),EXACT(metadata!K52,"Sub-surface (non-saline)"),EXACT(metadata!K52,"Surface (non-saline)"),EXACT(metadata!K52,"Water (non-saline)"),EXACT(metadata!K52,"Soil (non-saline)"),EXACT(metadata!K52,"Aerosol (non-saline)"),EXACT(metadata!K52,"Sediment (non-saline)"),EXACT(metadata!K52,"Surface (saline)"),EXACT(metadata!K52,"Water (saline)"),EXACT(metadata!K52,"Hypersaline (saline)"),EXACT(metadata!K52,"Aerosol (saline)"),EXACT(metadata!K52,"Sediment (saline)")))</f>
        <v>0</v>
      </c>
      <c r="AW52" t="b">
        <f>IF(metadata!L52="",FALSE,TRUE)</f>
        <v>0</v>
      </c>
      <c r="AX52" t="b">
        <f>IF(metadata!M52="",FALSE,TRUE)</f>
        <v>0</v>
      </c>
      <c r="AY52" t="b">
        <f>IF(metadata!N52="",FALSE,TRUE)</f>
        <v>0</v>
      </c>
      <c r="AZ52" t="b">
        <f>OR(AND(IF(metadata!O52="",FALSE,TRUE),OR(EXACT(metadata!O52,"missing: not collected"),EXACT(metadata!O52,"missing: not provided"),EXACT(metadata!O52,"missing: restricted access"))),AND(IF(metadata!O52="",FALSE,TRUE),OR(EXACT(metadata!O52,"air"),EXACT(metadata!O52,"built environment"),EXACT(metadata!O52,"host-associated"),EXACT(metadata!O52,"human-associated"),EXACT(metadata!O52,"human-skin"),EXACT(metadata!O52,"human-oral"),EXACT(metadata!O52,"human-gut"),EXACT(metadata!O52,"human-vaginal"),EXACT(metadata!O52,"microbial mat/biofilm"),EXACT(metadata!O52,"misc environment"),EXACT(metadata!O52,"plant-associated"),EXACT(metadata!O52,"sediment"),EXACT(metadata!O52,"soil"),EXACT(metadata!O52,"wastewater/sludge"),EXACT(metadata!O52,"water"))))</f>
        <v>0</v>
      </c>
      <c r="BA52" t="b">
        <f>IF(metadata!P52="",FALSE,TRUE)</f>
        <v>0</v>
      </c>
      <c r="BB52" t="b">
        <f>IF(metadata!Q52="",FALSE,TRUE)</f>
        <v>0</v>
      </c>
      <c r="BC52" t="b">
        <f>OR(AND(IF(metadata!R52="",FALSE,TRUE),OR(EXACT(metadata!R52,"missing: not collected"),EXACT(metadata!R52,"missing: not provided"),EXACT(metadata!R52,"missing: restricted access"))),AND(IF(metadata!R52="",FALSE,ISNUMBER(VALUE(metadata!R52))),metadata!R52&gt;=-90,metadata!R52&lt;=90))</f>
        <v>0</v>
      </c>
      <c r="BD52" t="b">
        <f>AND(IF(metadata!S52="",FALSE,TRUE),EXACT(metadata!S52,"Decimal degrees"))</f>
        <v>0</v>
      </c>
      <c r="BE52" t="b">
        <f>OR(AND(IF(metadata!T52="",FALSE,TRUE),OR(EXACT(metadata!T52,"missing: not collected"),EXACT(metadata!T52,"missing: not provided"),EXACT(metadata!T52,"missing: restricted access"))),AND(IF(metadata!T52="",FALSE,ISNUMBER(VALUE(metadata!T52))),metadata!T52&gt;=-180,metadata!T52&lt;=180))</f>
        <v>0</v>
      </c>
      <c r="BF52" t="b">
        <f>AND(IF(metadata!U52="",FALSE,TRUE),EXACT(metadata!U52,"Decimal degrees"))</f>
        <v>0</v>
      </c>
      <c r="BG52" t="b">
        <f>IF(metadata!V52="",FALSE,TRUE)</f>
        <v>0</v>
      </c>
      <c r="BH52" t="b">
        <f>OR(AND(IF(metadata!W52="",FALSE,TRUE),OR(EXACT(metadata!W52,"missing: not collected"),EXACT(metadata!W52,"missing: not provided"),EXACT(metadata!W52,"missing: restricted access"))),AND(IF(metadata!W52="",FALSE,TRUE),OR(EXACT(metadata!W52,"TRUE"),EXACT(metadata!W52,"FALSE"))))</f>
        <v>0</v>
      </c>
      <c r="BI52" t="b">
        <f>AND(IF(metadata!X52="",FALSE,TRUE),EXACT(metadata!X52,"other"))</f>
        <v>0</v>
      </c>
      <c r="BJ52" t="b">
        <f>IF(metadata!Y52="",FALSE,TRUE)</f>
        <v>0</v>
      </c>
      <c r="BK52" t="b">
        <f>OR(AND(IF(metadata!Z52="",FALSE,TRUE),OR(EXACT(metadata!Z52,"missing: not collected"),EXACT(metadata!Z52,"missing: not provided"))),AND(IF(metadata!Z52="",FALSE,IF(ISERROR(INT(metadata!Z52)),FALSE,INT(metadata!Z52)=metadata!Z52)),metadata!Z52&gt;0))</f>
        <v>0</v>
      </c>
      <c r="BL52" t="b">
        <f>AND(IF(metadata!AA52="",FALSE,TRUE),EXACT(metadata!AA52,"Not applicable"))</f>
        <v>0</v>
      </c>
      <c r="BM52" t="b">
        <f>IF(metadata!AB52="",FALSE,TRUE)</f>
        <v>0</v>
      </c>
    </row>
    <row r="53" spans="1:65" x14ac:dyDescent="0.2">
      <c r="A53" s="5" t="str">
        <f ca="1">IF(B53=" "," ",HYPERLINK(CONCATENATE("#metadata!",ADDRESS(INDEX($AH$2:$AH$1001,MATCH(ROWS($AF$2:AF53),$AF$2:$AF$1001,0),0),1)),INDEX($AK$2:$AK$1001,MATCH(ROWS($AF$2:AF53),$AF$2:$AF$1001,0),0)))</f>
        <v xml:space="preserve"> </v>
      </c>
      <c r="B53" s="4" t="str">
        <f ca="1">IF(OR(INDEX($AG$2:$AG$1001,MATCH(ROWS($AF$2:AF53),$AF$2:$AF$1001,0),1)&gt;=100000,INDEX($AM$1005:$BM$1005,1,MATCH(COLUMNS($AM$1006:AM1006),$AM$1006:$BM$1006,0))&gt;=100000), " ",IF(INDEX($AM$2:$BM$1001,MATCH(ROWS($AF$2:AF53),$AF$2:$AF$1001,0),MATCH(COLUMNS($AM$1006:AM1006),$AM$1006:$BM$1006,0)), HYPERLINK("#",""), HYPERLINK(CONCATENATE("#metadata!", ADDRESS(INDEX($AH$2:$AH$1001,MATCH(ROWS($AF$2:AF53),$AF$2:$AF$1001,0),0), INDEX($AM$1004:$BM$1004,1,MATCH(COLUMNS($AM$1006:AM1006),$AM$1006:$BM$1006,0)))),"Fix")))</f>
        <v xml:space="preserve"> </v>
      </c>
      <c r="C53" s="4" t="str">
        <f ca="1">IF(OR(INDEX($AG$2:$AG$1001,MATCH(ROWS($AF$2:AF53),$AF$2:$AF$1001,0),1)&gt;=100000,INDEX($AM$1005:$BM$1005,1,MATCH(COLUMNS($AM$1006:AN1006),$AM$1006:$BM$1006,0))&gt;=100000), " ",IF(INDEX($AM$2:$BM$1001,MATCH(ROWS($AF$2:AF53),$AF$2:$AF$1001,0),MATCH(COLUMNS($AM$1006:AN1006),$AM$1006:$BM$1006,0)), HYPERLINK("#",""), HYPERLINK(CONCATENATE("#metadata!", ADDRESS(INDEX($AH$2:$AH$1001,MATCH(ROWS($AF$2:AF53),$AF$2:$AF$1001,0),0), INDEX($AM$1004:$BM$1004,1,MATCH(COLUMNS($AM$1006:AN1006),$AM$1006:$BM$1006,0)))),"Fix")))</f>
        <v xml:space="preserve"> </v>
      </c>
      <c r="D53" s="4" t="str">
        <f ca="1">IF(OR(INDEX($AG$2:$AG$1001,MATCH(ROWS($AF$2:AF53),$AF$2:$AF$1001,0),1)&gt;=100000,INDEX($AM$1005:$BM$1005,1,MATCH(COLUMNS($AM$1006:AO1006),$AM$1006:$BM$1006,0))&gt;=100000), " ",IF(INDEX($AM$2:$BM$1001,MATCH(ROWS($AF$2:AF53),$AF$2:$AF$1001,0),MATCH(COLUMNS($AM$1006:AO1006),$AM$1006:$BM$1006,0)), HYPERLINK("#",""), HYPERLINK(CONCATENATE("#metadata!", ADDRESS(INDEX($AH$2:$AH$1001,MATCH(ROWS($AF$2:AF53),$AF$2:$AF$1001,0),0), INDEX($AM$1004:$BM$1004,1,MATCH(COLUMNS($AM$1006:AO1006),$AM$1006:$BM$1006,0)))),"Fix")))</f>
        <v xml:space="preserve"> </v>
      </c>
      <c r="E53" s="4" t="str">
        <f ca="1">IF(OR(INDEX($AG$2:$AG$1001,MATCH(ROWS($AF$2:AF53),$AF$2:$AF$1001,0),1)&gt;=100000,INDEX($AM$1005:$BM$1005,1,MATCH(COLUMNS($AM$1006:AP1006),$AM$1006:$BM$1006,0))&gt;=100000), " ",IF(INDEX($AM$2:$BM$1001,MATCH(ROWS($AF$2:AF53),$AF$2:$AF$1001,0),MATCH(COLUMNS($AM$1006:AP1006),$AM$1006:$BM$1006,0)), HYPERLINK("#",""), HYPERLINK(CONCATENATE("#metadata!", ADDRESS(INDEX($AH$2:$AH$1001,MATCH(ROWS($AF$2:AF53),$AF$2:$AF$1001,0),0), INDEX($AM$1004:$BM$1004,1,MATCH(COLUMNS($AM$1006:AP1006),$AM$1006:$BM$1006,0)))),"Fix")))</f>
        <v xml:space="preserve"> </v>
      </c>
      <c r="F53" s="4" t="str">
        <f ca="1">IF(OR(INDEX($AG$2:$AG$1001,MATCH(ROWS($AF$2:AF53),$AF$2:$AF$1001,0),1)&gt;=100000,INDEX($AM$1005:$BM$1005,1,MATCH(COLUMNS($AM$1006:AQ1006),$AM$1006:$BM$1006,0))&gt;=100000), " ",IF(INDEX($AM$2:$BM$1001,MATCH(ROWS($AF$2:AF53),$AF$2:$AF$1001,0),MATCH(COLUMNS($AM$1006:AQ1006),$AM$1006:$BM$1006,0)), HYPERLINK("#",""), HYPERLINK(CONCATENATE("#metadata!", ADDRESS(INDEX($AH$2:$AH$1001,MATCH(ROWS($AF$2:AF53),$AF$2:$AF$1001,0),0), INDEX($AM$1004:$BM$1004,1,MATCH(COLUMNS($AM$1006:AQ1006),$AM$1006:$BM$1006,0)))),"Fix")))</f>
        <v xml:space="preserve"> </v>
      </c>
      <c r="G53" s="4" t="str">
        <f ca="1">IF(OR(INDEX($AG$2:$AG$1001,MATCH(ROWS($AF$2:AF53),$AF$2:$AF$1001,0),1)&gt;=100000,INDEX($AM$1005:$BM$1005,1,MATCH(COLUMNS($AM$1006:AR1006),$AM$1006:$BM$1006,0))&gt;=100000), " ",IF(INDEX($AM$2:$BM$1001,MATCH(ROWS($AF$2:AF53),$AF$2:$AF$1001,0),MATCH(COLUMNS($AM$1006:AR1006),$AM$1006:$BM$1006,0)), HYPERLINK("#",""), HYPERLINK(CONCATENATE("#metadata!", ADDRESS(INDEX($AH$2:$AH$1001,MATCH(ROWS($AF$2:AF53),$AF$2:$AF$1001,0),0), INDEX($AM$1004:$BM$1004,1,MATCH(COLUMNS($AM$1006:AR1006),$AM$1006:$BM$1006,0)))),"Fix")))</f>
        <v xml:space="preserve"> </v>
      </c>
      <c r="H53" s="4" t="str">
        <f ca="1">IF(OR(INDEX($AG$2:$AG$1001,MATCH(ROWS($AF$2:AF53),$AF$2:$AF$1001,0),1)&gt;=100000,INDEX($AM$1005:$BM$1005,1,MATCH(COLUMNS($AM$1006:AS1006),$AM$1006:$BM$1006,0))&gt;=100000), " ",IF(INDEX($AM$2:$BM$1001,MATCH(ROWS($AF$2:AF53),$AF$2:$AF$1001,0),MATCH(COLUMNS($AM$1006:AS1006),$AM$1006:$BM$1006,0)), HYPERLINK("#",""), HYPERLINK(CONCATENATE("#metadata!", ADDRESS(INDEX($AH$2:$AH$1001,MATCH(ROWS($AF$2:AF53),$AF$2:$AF$1001,0),0), INDEX($AM$1004:$BM$1004,1,MATCH(COLUMNS($AM$1006:AS1006),$AM$1006:$BM$1006,0)))),"Fix")))</f>
        <v xml:space="preserve"> </v>
      </c>
      <c r="I53" s="4" t="str">
        <f ca="1">IF(OR(INDEX($AG$2:$AG$1001,MATCH(ROWS($AF$2:AF53),$AF$2:$AF$1001,0),1)&gt;=100000,INDEX($AM$1005:$BM$1005,1,MATCH(COLUMNS($AM$1006:AT1006),$AM$1006:$BM$1006,0))&gt;=100000), " ",IF(INDEX($AM$2:$BM$1001,MATCH(ROWS($AF$2:AF53),$AF$2:$AF$1001,0),MATCH(COLUMNS($AM$1006:AT1006),$AM$1006:$BM$1006,0)), HYPERLINK("#",""), HYPERLINK(CONCATENATE("#metadata!", ADDRESS(INDEX($AH$2:$AH$1001,MATCH(ROWS($AF$2:AF53),$AF$2:$AF$1001,0),0), INDEX($AM$1004:$BM$1004,1,MATCH(COLUMNS($AM$1006:AT1006),$AM$1006:$BM$1006,0)))),"Fix")))</f>
        <v xml:space="preserve"> </v>
      </c>
      <c r="J53" s="4" t="str">
        <f ca="1">IF(OR(INDEX($AG$2:$AG$1001,MATCH(ROWS($AF$2:AF53),$AF$2:$AF$1001,0),1)&gt;=100000,INDEX($AM$1005:$BM$1005,1,MATCH(COLUMNS($AM$1006:AU1006),$AM$1006:$BM$1006,0))&gt;=100000), " ",IF(INDEX($AM$2:$BM$1001,MATCH(ROWS($AF$2:AF53),$AF$2:$AF$1001,0),MATCH(COLUMNS($AM$1006:AU1006),$AM$1006:$BM$1006,0)), HYPERLINK("#",""), HYPERLINK(CONCATENATE("#metadata!", ADDRESS(INDEX($AH$2:$AH$1001,MATCH(ROWS($AF$2:AF53),$AF$2:$AF$1001,0),0), INDEX($AM$1004:$BM$1004,1,MATCH(COLUMNS($AM$1006:AU1006),$AM$1006:$BM$1006,0)))),"Fix")))</f>
        <v xml:space="preserve"> </v>
      </c>
      <c r="K53" s="4" t="str">
        <f ca="1">IF(OR(INDEX($AG$2:$AG$1001,MATCH(ROWS($AF$2:AF53),$AF$2:$AF$1001,0),1)&gt;=100000,INDEX($AM$1005:$BM$1005,1,MATCH(COLUMNS($AM$1006:AV1006),$AM$1006:$BM$1006,0))&gt;=100000), " ",IF(INDEX($AM$2:$BM$1001,MATCH(ROWS($AF$2:AF53),$AF$2:$AF$1001,0),MATCH(COLUMNS($AM$1006:AV1006),$AM$1006:$BM$1006,0)), HYPERLINK("#",""), HYPERLINK(CONCATENATE("#metadata!", ADDRESS(INDEX($AH$2:$AH$1001,MATCH(ROWS($AF$2:AF53),$AF$2:$AF$1001,0),0), INDEX($AM$1004:$BM$1004,1,MATCH(COLUMNS($AM$1006:AV1006),$AM$1006:$BM$1006,0)))),"Fix")))</f>
        <v xml:space="preserve"> </v>
      </c>
      <c r="L53" s="4" t="str">
        <f ca="1">IF(OR(INDEX($AG$2:$AG$1001,MATCH(ROWS($AF$2:AF53),$AF$2:$AF$1001,0),1)&gt;=100000,INDEX($AM$1005:$BM$1005,1,MATCH(COLUMNS($AM$1006:AW1006),$AM$1006:$BM$1006,0))&gt;=100000), " ",IF(INDEX($AM$2:$BM$1001,MATCH(ROWS($AF$2:AF53),$AF$2:$AF$1001,0),MATCH(COLUMNS($AM$1006:AW1006),$AM$1006:$BM$1006,0)), HYPERLINK("#",""), HYPERLINK(CONCATENATE("#metadata!", ADDRESS(INDEX($AH$2:$AH$1001,MATCH(ROWS($AF$2:AF53),$AF$2:$AF$1001,0),0), INDEX($AM$1004:$BM$1004,1,MATCH(COLUMNS($AM$1006:AW1006),$AM$1006:$BM$1006,0)))),"Fix")))</f>
        <v xml:space="preserve"> </v>
      </c>
      <c r="M53" s="4" t="str">
        <f ca="1">IF(OR(INDEX($AG$2:$AG$1001,MATCH(ROWS($AF$2:AF53),$AF$2:$AF$1001,0),1)&gt;=100000,INDEX($AM$1005:$BM$1005,1,MATCH(COLUMNS($AM$1006:AX1006),$AM$1006:$BM$1006,0))&gt;=100000), " ",IF(INDEX($AM$2:$BM$1001,MATCH(ROWS($AF$2:AF53),$AF$2:$AF$1001,0),MATCH(COLUMNS($AM$1006:AX1006),$AM$1006:$BM$1006,0)), HYPERLINK("#",""), HYPERLINK(CONCATENATE("#metadata!", ADDRESS(INDEX($AH$2:$AH$1001,MATCH(ROWS($AF$2:AF53),$AF$2:$AF$1001,0),0), INDEX($AM$1004:$BM$1004,1,MATCH(COLUMNS($AM$1006:AX1006),$AM$1006:$BM$1006,0)))),"Fix")))</f>
        <v xml:space="preserve"> </v>
      </c>
      <c r="N53" s="4" t="str">
        <f ca="1">IF(OR(INDEX($AG$2:$AG$1001,MATCH(ROWS($AF$2:AF53),$AF$2:$AF$1001,0),1)&gt;=100000,INDEX($AM$1005:$BM$1005,1,MATCH(COLUMNS($AM$1006:AY1006),$AM$1006:$BM$1006,0))&gt;=100000), " ",IF(INDEX($AM$2:$BM$1001,MATCH(ROWS($AF$2:AF53),$AF$2:$AF$1001,0),MATCH(COLUMNS($AM$1006:AY1006),$AM$1006:$BM$1006,0)), HYPERLINK("#",""), HYPERLINK(CONCATENATE("#metadata!", ADDRESS(INDEX($AH$2:$AH$1001,MATCH(ROWS($AF$2:AF53),$AF$2:$AF$1001,0),0), INDEX($AM$1004:$BM$1004,1,MATCH(COLUMNS($AM$1006:AY1006),$AM$1006:$BM$1006,0)))),"Fix")))</f>
        <v xml:space="preserve"> </v>
      </c>
      <c r="O53" s="4" t="str">
        <f ca="1">IF(OR(INDEX($AG$2:$AG$1001,MATCH(ROWS($AF$2:AF53),$AF$2:$AF$1001,0),1)&gt;=100000,INDEX($AM$1005:$BM$1005,1,MATCH(COLUMNS($AM$1006:AZ1006),$AM$1006:$BM$1006,0))&gt;=100000), " ",IF(INDEX($AM$2:$BM$1001,MATCH(ROWS($AF$2:AF53),$AF$2:$AF$1001,0),MATCH(COLUMNS($AM$1006:AZ1006),$AM$1006:$BM$1006,0)), HYPERLINK("#",""), HYPERLINK(CONCATENATE("#metadata!", ADDRESS(INDEX($AH$2:$AH$1001,MATCH(ROWS($AF$2:AF53),$AF$2:$AF$1001,0),0), INDEX($AM$1004:$BM$1004,1,MATCH(COLUMNS($AM$1006:AZ1006),$AM$1006:$BM$1006,0)))),"Fix")))</f>
        <v xml:space="preserve"> </v>
      </c>
      <c r="P53" s="4" t="str">
        <f ca="1">IF(OR(INDEX($AG$2:$AG$1001,MATCH(ROWS($AF$2:AF53),$AF$2:$AF$1001,0),1)&gt;=100000,INDEX($AM$1005:$BM$1005,1,MATCH(COLUMNS($AM$1006:BA1006),$AM$1006:$BM$1006,0))&gt;=100000), " ",IF(INDEX($AM$2:$BM$1001,MATCH(ROWS($AF$2:AF53),$AF$2:$AF$1001,0),MATCH(COLUMNS($AM$1006:BA1006),$AM$1006:$BM$1006,0)), HYPERLINK("#",""), HYPERLINK(CONCATENATE("#metadata!", ADDRESS(INDEX($AH$2:$AH$1001,MATCH(ROWS($AF$2:AF53),$AF$2:$AF$1001,0),0), INDEX($AM$1004:$BM$1004,1,MATCH(COLUMNS($AM$1006:BA1006),$AM$1006:$BM$1006,0)))),"Fix")))</f>
        <v xml:space="preserve"> </v>
      </c>
      <c r="Q53" s="4" t="str">
        <f ca="1">IF(OR(INDEX($AG$2:$AG$1001,MATCH(ROWS($AF$2:AF53),$AF$2:$AF$1001,0),1)&gt;=100000,INDEX($AM$1005:$BM$1005,1,MATCH(COLUMNS($AM$1006:BB1006),$AM$1006:$BM$1006,0))&gt;=100000), " ",IF(INDEX($AM$2:$BM$1001,MATCH(ROWS($AF$2:AF53),$AF$2:$AF$1001,0),MATCH(COLUMNS($AM$1006:BB1006),$AM$1006:$BM$1006,0)), HYPERLINK("#",""), HYPERLINK(CONCATENATE("#metadata!", ADDRESS(INDEX($AH$2:$AH$1001,MATCH(ROWS($AF$2:AF53),$AF$2:$AF$1001,0),0), INDEX($AM$1004:$BM$1004,1,MATCH(COLUMNS($AM$1006:BB1006),$AM$1006:$BM$1006,0)))),"Fix")))</f>
        <v xml:space="preserve"> </v>
      </c>
      <c r="R53" s="4" t="str">
        <f ca="1">IF(OR(INDEX($AG$2:$AG$1001,MATCH(ROWS($AF$2:AF53),$AF$2:$AF$1001,0),1)&gt;=100000,INDEX($AM$1005:$BM$1005,1,MATCH(COLUMNS($AM$1006:BC1006),$AM$1006:$BM$1006,0))&gt;=100000), " ",IF(INDEX($AM$2:$BM$1001,MATCH(ROWS($AF$2:AF53),$AF$2:$AF$1001,0),MATCH(COLUMNS($AM$1006:BC1006),$AM$1006:$BM$1006,0)), HYPERLINK("#",""), HYPERLINK(CONCATENATE("#metadata!", ADDRESS(INDEX($AH$2:$AH$1001,MATCH(ROWS($AF$2:AF53),$AF$2:$AF$1001,0),0), INDEX($AM$1004:$BM$1004,1,MATCH(COLUMNS($AM$1006:BC1006),$AM$1006:$BM$1006,0)))),"Fix")))</f>
        <v xml:space="preserve"> </v>
      </c>
      <c r="S53" s="4" t="str">
        <f ca="1">IF(OR(INDEX($AG$2:$AG$1001,MATCH(ROWS($AF$2:AF53),$AF$2:$AF$1001,0),1)&gt;=100000,INDEX($AM$1005:$BM$1005,1,MATCH(COLUMNS($AM$1006:BD1006),$AM$1006:$BM$1006,0))&gt;=100000), " ",IF(INDEX($AM$2:$BM$1001,MATCH(ROWS($AF$2:AF53),$AF$2:$AF$1001,0),MATCH(COLUMNS($AM$1006:BD1006),$AM$1006:$BM$1006,0)), HYPERLINK("#",""), HYPERLINK(CONCATENATE("#metadata!", ADDRESS(INDEX($AH$2:$AH$1001,MATCH(ROWS($AF$2:AF53),$AF$2:$AF$1001,0),0), INDEX($AM$1004:$BM$1004,1,MATCH(COLUMNS($AM$1006:BD1006),$AM$1006:$BM$1006,0)))),"Fix")))</f>
        <v xml:space="preserve"> </v>
      </c>
      <c r="T53" s="4" t="str">
        <f ca="1">IF(OR(INDEX($AG$2:$AG$1001,MATCH(ROWS($AF$2:AF53),$AF$2:$AF$1001,0),1)&gt;=100000,INDEX($AM$1005:$BM$1005,1,MATCH(COLUMNS($AM$1006:BE1006),$AM$1006:$BM$1006,0))&gt;=100000), " ",IF(INDEX($AM$2:$BM$1001,MATCH(ROWS($AF$2:AF53),$AF$2:$AF$1001,0),MATCH(COLUMNS($AM$1006:BE1006),$AM$1006:$BM$1006,0)), HYPERLINK("#",""), HYPERLINK(CONCATENATE("#metadata!", ADDRESS(INDEX($AH$2:$AH$1001,MATCH(ROWS($AF$2:AF53),$AF$2:$AF$1001,0),0), INDEX($AM$1004:$BM$1004,1,MATCH(COLUMNS($AM$1006:BE1006),$AM$1006:$BM$1006,0)))),"Fix")))</f>
        <v xml:space="preserve"> </v>
      </c>
      <c r="U53" s="4" t="str">
        <f ca="1">IF(OR(INDEX($AG$2:$AG$1001,MATCH(ROWS($AF$2:AF53),$AF$2:$AF$1001,0),1)&gt;=100000,INDEX($AM$1005:$BM$1005,1,MATCH(COLUMNS($AM$1006:BF1006),$AM$1006:$BM$1006,0))&gt;=100000), " ",IF(INDEX($AM$2:$BM$1001,MATCH(ROWS($AF$2:AF53),$AF$2:$AF$1001,0),MATCH(COLUMNS($AM$1006:BF1006),$AM$1006:$BM$1006,0)), HYPERLINK("#",""), HYPERLINK(CONCATENATE("#metadata!", ADDRESS(INDEX($AH$2:$AH$1001,MATCH(ROWS($AF$2:AF53),$AF$2:$AF$1001,0),0), INDEX($AM$1004:$BM$1004,1,MATCH(COLUMNS($AM$1006:BF1006),$AM$1006:$BM$1006,0)))),"Fix")))</f>
        <v xml:space="preserve"> </v>
      </c>
      <c r="V53" s="4" t="str">
        <f ca="1">IF(OR(INDEX($AG$2:$AG$1001,MATCH(ROWS($AF$2:AF53),$AF$2:$AF$1001,0),1)&gt;=100000,INDEX($AM$1005:$BM$1005,1,MATCH(COLUMNS($AM$1006:BG1006),$AM$1006:$BM$1006,0))&gt;=100000), " ",IF(INDEX($AM$2:$BM$1001,MATCH(ROWS($AF$2:AF53),$AF$2:$AF$1001,0),MATCH(COLUMNS($AM$1006:BG1006),$AM$1006:$BM$1006,0)), HYPERLINK("#",""), HYPERLINK(CONCATENATE("#metadata!", ADDRESS(INDEX($AH$2:$AH$1001,MATCH(ROWS($AF$2:AF53),$AF$2:$AF$1001,0),0), INDEX($AM$1004:$BM$1004,1,MATCH(COLUMNS($AM$1006:BG1006),$AM$1006:$BM$1006,0)))),"Fix")))</f>
        <v xml:space="preserve"> </v>
      </c>
      <c r="W53" s="4" t="str">
        <f ca="1">IF(OR(INDEX($AG$2:$AG$1001,MATCH(ROWS($AF$2:AF53),$AF$2:$AF$1001,0),1)&gt;=100000,INDEX($AM$1005:$BM$1005,1,MATCH(COLUMNS($AM$1006:BH1006),$AM$1006:$BM$1006,0))&gt;=100000), " ",IF(INDEX($AM$2:$BM$1001,MATCH(ROWS($AF$2:AF53),$AF$2:$AF$1001,0),MATCH(COLUMNS($AM$1006:BH1006),$AM$1006:$BM$1006,0)), HYPERLINK("#",""), HYPERLINK(CONCATENATE("#metadata!", ADDRESS(INDEX($AH$2:$AH$1001,MATCH(ROWS($AF$2:AF53),$AF$2:$AF$1001,0),0), INDEX($AM$1004:$BM$1004,1,MATCH(COLUMNS($AM$1006:BH1006),$AM$1006:$BM$1006,0)))),"Fix")))</f>
        <v xml:space="preserve"> </v>
      </c>
      <c r="X53" s="4" t="str">
        <f ca="1">IF(OR(INDEX($AG$2:$AG$1001,MATCH(ROWS($AF$2:AF53),$AF$2:$AF$1001,0),1)&gt;=100000,INDEX($AM$1005:$BM$1005,1,MATCH(COLUMNS($AM$1006:BI1006),$AM$1006:$BM$1006,0))&gt;=100000), " ",IF(INDEX($AM$2:$BM$1001,MATCH(ROWS($AF$2:AF53),$AF$2:$AF$1001,0),MATCH(COLUMNS($AM$1006:BI1006),$AM$1006:$BM$1006,0)), HYPERLINK("#",""), HYPERLINK(CONCATENATE("#metadata!", ADDRESS(INDEX($AH$2:$AH$1001,MATCH(ROWS($AF$2:AF53),$AF$2:$AF$1001,0),0), INDEX($AM$1004:$BM$1004,1,MATCH(COLUMNS($AM$1006:BI1006),$AM$1006:$BM$1006,0)))),"Fix")))</f>
        <v xml:space="preserve"> </v>
      </c>
      <c r="Y53" s="4" t="str">
        <f ca="1">IF(OR(INDEX($AG$2:$AG$1001,MATCH(ROWS($AF$2:AF53),$AF$2:$AF$1001,0),1)&gt;=100000,INDEX($AM$1005:$BM$1005,1,MATCH(COLUMNS($AM$1006:BJ1006),$AM$1006:$BM$1006,0))&gt;=100000), " ",IF(INDEX($AM$2:$BM$1001,MATCH(ROWS($AF$2:AF53),$AF$2:$AF$1001,0),MATCH(COLUMNS($AM$1006:BJ1006),$AM$1006:$BM$1006,0)), HYPERLINK("#",""), HYPERLINK(CONCATENATE("#metadata!", ADDRESS(INDEX($AH$2:$AH$1001,MATCH(ROWS($AF$2:AF53),$AF$2:$AF$1001,0),0), INDEX($AM$1004:$BM$1004,1,MATCH(COLUMNS($AM$1006:BJ1006),$AM$1006:$BM$1006,0)))),"Fix")))</f>
        <v xml:space="preserve"> </v>
      </c>
      <c r="Z53" s="4" t="str">
        <f ca="1">IF(OR(INDEX($AG$2:$AG$1001,MATCH(ROWS($AF$2:AF53),$AF$2:$AF$1001,0),1)&gt;=100000,INDEX($AM$1005:$BM$1005,1,MATCH(COLUMNS($AM$1006:BK1006),$AM$1006:$BM$1006,0))&gt;=100000), " ",IF(INDEX($AM$2:$BM$1001,MATCH(ROWS($AF$2:AF53),$AF$2:$AF$1001,0),MATCH(COLUMNS($AM$1006:BK1006),$AM$1006:$BM$1006,0)), HYPERLINK("#",""), HYPERLINK(CONCATENATE("#metadata!", ADDRESS(INDEX($AH$2:$AH$1001,MATCH(ROWS($AF$2:AF53),$AF$2:$AF$1001,0),0), INDEX($AM$1004:$BM$1004,1,MATCH(COLUMNS($AM$1006:BK1006),$AM$1006:$BM$1006,0)))),"Fix")))</f>
        <v xml:space="preserve"> </v>
      </c>
      <c r="AA53" s="4" t="str">
        <f ca="1">IF(OR(INDEX($AG$2:$AG$1001,MATCH(ROWS($AF$2:AF53),$AF$2:$AF$1001,0),1)&gt;=100000,INDEX($AM$1005:$BM$1005,1,MATCH(COLUMNS($AM$1006:BL1006),$AM$1006:$BM$1006,0))&gt;=100000), " ",IF(INDEX($AM$2:$BM$1001,MATCH(ROWS($AF$2:AF53),$AF$2:$AF$1001,0),MATCH(COLUMNS($AM$1006:BL1006),$AM$1006:$BM$1006,0)), HYPERLINK("#",""), HYPERLINK(CONCATENATE("#metadata!", ADDRESS(INDEX($AH$2:$AH$1001,MATCH(ROWS($AF$2:AF53),$AF$2:$AF$1001,0),0), INDEX($AM$1004:$BM$1004,1,MATCH(COLUMNS($AM$1006:BL1006),$AM$1006:$BM$1006,0)))),"Fix")))</f>
        <v xml:space="preserve"> </v>
      </c>
      <c r="AB53" s="4" t="str">
        <f ca="1">IF(OR(INDEX($AG$2:$AG$1001,MATCH(ROWS($AF$2:AF53),$AF$2:$AF$1001,0),1)&gt;=100000,INDEX($AM$1005:$BM$1005,1,MATCH(COLUMNS($AM$1006:BM1006),$AM$1006:$BM$1006,0))&gt;=100000), " ",IF(INDEX($AM$2:$BM$1001,MATCH(ROWS($AF$2:AF53),$AF$2:$AF$1001,0),MATCH(COLUMNS($AM$1006:BM1006),$AM$1006:$BM$1006,0)), HYPERLINK("#",""), HYPERLINK(CONCATENATE("#metadata!", ADDRESS(INDEX($AH$2:$AH$1001,MATCH(ROWS($AF$2:AF53),$AF$2:$AF$1001,0),0), INDEX($AM$1004:$BM$1004,1,MATCH(COLUMNS($AM$1006:BM1006),$AM$1006:$BM$1006,0)))),"Fix")))</f>
        <v xml:space="preserve"> </v>
      </c>
      <c r="AF53">
        <v>52</v>
      </c>
      <c r="AG53">
        <v>100053</v>
      </c>
      <c r="AH53">
        <v>53</v>
      </c>
      <c r="AI53" t="b">
        <f t="shared" si="0"/>
        <v>1</v>
      </c>
      <c r="AJ53" t="b">
        <f>COUNTBLANK(metadata!B53:AB53)=COLUMNS(metadata!B53:AB53)</f>
        <v>1</v>
      </c>
      <c r="AK53" t="str">
        <v/>
      </c>
      <c r="AM53" t="b">
        <f ca="1">AND(IF(metadata!B53="",FALSE,TRUE),COUNTIF(metadata!B:B, metadata!B53) = 1,NOT(ISERROR(SUMPRODUCT(SEARCH(MID(metadata!B53,ROW(INDIRECT("1:"&amp;LEN(metadata!B53))), 1),"0123456789abcdefghijklmnopqrstuvwxyzABCDEFGHIJKLMNOPQRSTUVWXYZ.")))))</f>
        <v>0</v>
      </c>
      <c r="AN53" t="b">
        <f ca="1">OR(AND(IF(metadata!C53="",FALSE,TRUE),OR(EXACT(metadata!C53,"missing: not collected"),EXACT(metadata!C53,"missing: not provided"),EXACT(metadata!C53,"missing: restricted access"))),AND(IF(metadata!C53="",FALSE,TRUE),AND(AND(IFERROR(INT(LEFT(metadata!C53,4))&gt;1900,FALSE),IFERROR(INT(LEFT(metadata!C53,4))&lt;=YEAR(NOW()),FALSE)), OR(MID(metadata!C53,5,1)="", AND(AND(MID(metadata!C53,5,1)="-",IFERROR(INT(MID(metadata!C53,6,1))&gt;=0,FALSE),IFERROR(INT(MID(metadata!C53,6,1))&lt;=1,FALSE),NOT(MID(metadata!C53,7,1)=""),IFERROR(INT(MID(metadata!C53,6,2))&gt;=1,FALSE),IFERROR(INT(MID(metadata!C53,6,2))&lt;=12,FALSE)), OR(MID(metadata!C53,8,1)="", AND(AND(MID(metadata!C53,8,1)="-",IFERROR(INT(MID(metadata!C53,9,1))&gt;=0,FALSE),IFERROR(INT(MID(metadata!C53,9,1))&lt;=3,FALSE),NOT(MID(metadata!C53,10,1)=""),IFERROR(INT(MID(metadata!C53,9,2))&gt;=1,FALSE),IFERROR(INT(MID(metadata!C53,9,2))&lt;=31,FALSE)), OR(MID(metadata!C53,11,1)="", AND(AND(MID(metadata!C53,11,1)=" ",IFERROR(INT(MID(metadata!C53,12,1))&gt;=0,FALSE),IFERROR(INT(MID(metadata!C53,12,1))&lt;=2,FALSE),NOT(MID(metadata!C53,13,1)=""),IFERROR(INT(MID(metadata!C53,12,2))&gt;=0,FALSE),IFERROR(INT(MID(metadata!C53,12,2))&lt;=23,FALSE)), OR(MID(metadata!C53,14,1)="", AND(AND(MID(metadata!C53,14,1)=":",IFERROR(INT(MID(metadata!C53,15,1))&gt;=0,FALSE),IFERROR(INT(MID(metadata!C53,15,1))&lt;=5,FALSE),NOT(MID(metadata!C53,16,1)=""),IFERROR(INT(MID(metadata!C53,15,2))&gt;=0,FALSE),IFERROR(INT(MID(metadata!C53,15,2))&lt;=59,FALSE)), OR(MID(metadata!C53,17,1)="", AND(AND(MID(metadata!C53,17,1)=":",IFERROR(INT(MID(metadata!C53,18,1))&gt;=0,FALSE),IFERROR(INT(MID(metadata!C53,18,1))&lt;=5,FALSE),NOT(MID(metadata!C53,19,1)=""),IFERROR(INT(MID(metadata!C53,18,2))&gt;=0,FALSE),IFERROR(INT(MID(metadata!C53,18,2))&lt;=59,FALSE)), LEN(metadata!C53)&lt;=19)))))))))))))</f>
        <v>0</v>
      </c>
      <c r="AO53" t="b">
        <f>AND(IF(metadata!D53="",FALSE,TRUE),EXACT(metadata!D53,"Not applicable"))</f>
        <v>0</v>
      </c>
      <c r="AP53" t="b">
        <f>IF(metadata!E53="",FALSE,TRUE)</f>
        <v>0</v>
      </c>
      <c r="AQ53" t="b">
        <f>OR(AND(IF(metadata!F53="",FALSE,TRUE),OR(EXACT(metadata!F53,"missing: not collected"),EXACT(metadata!F53,"missing: not provided"))),AND(IF(metadata!F53="",FALSE,TRUE),OR(EXACT(metadata!F53,"TRUE"),EXACT(metadata!F53,"FALSE"))))</f>
        <v>0</v>
      </c>
      <c r="AR53" t="b">
        <f>OR(AND(IF(metadata!G53="",FALSE,TRUE),OR(EXACT(metadata!G53,"missing: not collected"),EXACT(metadata!G53,"missing: not provided"),EXACT(metadata!G53,"missing: restricted access"))),AND(IF(metadata!G53="",FALSE,ISNUMBER(VALUE(metadata!G53))),metadata!G53&gt;=-413))</f>
        <v>0</v>
      </c>
      <c r="AS53" t="b">
        <f>AND(IF(metadata!H53="",FALSE,TRUE),EXACT(metadata!H53,"meters"))</f>
        <v>0</v>
      </c>
      <c r="AT53" t="b">
        <f>AND(IF(metadata!I53="",FALSE,TRUE),OR(EXACT(metadata!I53,"Host-associated"),EXACT(metadata!I53,"Free-living")))</f>
        <v>0</v>
      </c>
      <c r="AU53" t="b">
        <f>AND(IF(metadata!J53="",FALSE,TRUE),OR(EXACT(metadata!J53,"Animal"),EXACT(metadata!J53,"Fungus"),EXACT(metadata!J53,"Plant"),EXACT(metadata!J53,"Saline"),EXACT(metadata!J53,"Non-saline")))</f>
        <v>0</v>
      </c>
      <c r="AV53" t="b">
        <f>AND(IF(metadata!K53="",FALSE,TRUE),OR(EXACT(metadata!K53,"Plant secretion"),EXACT(metadata!K53,"Plant rhizosphere"),EXACT(metadata!K53,"Plant surface"),EXACT(metadata!K53,"Plant corpus"),EXACT(metadata!K53,"Fungus surface"),EXACT(metadata!K53,"Fungus corpus"),EXACT(metadata!K53,"Animal surface"),EXACT(metadata!K53,"Animal proximal gut"),EXACT(metadata!K53,"Animal corpus"),EXACT(metadata!K53,"Animal distal gut"),EXACT(metadata!K53,"Animal secretion"),EXACT(metadata!K53,"Sub-surface (non-saline)"),EXACT(metadata!K53,"Surface (non-saline)"),EXACT(metadata!K53,"Water (non-saline)"),EXACT(metadata!K53,"Soil (non-saline)"),EXACT(metadata!K53,"Aerosol (non-saline)"),EXACT(metadata!K53,"Sediment (non-saline)"),EXACT(metadata!K53,"Surface (saline)"),EXACT(metadata!K53,"Water (saline)"),EXACT(metadata!K53,"Hypersaline (saline)"),EXACT(metadata!K53,"Aerosol (saline)"),EXACT(metadata!K53,"Sediment (saline)")))</f>
        <v>0</v>
      </c>
      <c r="AW53" t="b">
        <f>IF(metadata!L53="",FALSE,TRUE)</f>
        <v>0</v>
      </c>
      <c r="AX53" t="b">
        <f>IF(metadata!M53="",FALSE,TRUE)</f>
        <v>0</v>
      </c>
      <c r="AY53" t="b">
        <f>IF(metadata!N53="",FALSE,TRUE)</f>
        <v>0</v>
      </c>
      <c r="AZ53" t="b">
        <f>OR(AND(IF(metadata!O53="",FALSE,TRUE),OR(EXACT(metadata!O53,"missing: not collected"),EXACT(metadata!O53,"missing: not provided"),EXACT(metadata!O53,"missing: restricted access"))),AND(IF(metadata!O53="",FALSE,TRUE),OR(EXACT(metadata!O53,"air"),EXACT(metadata!O53,"built environment"),EXACT(metadata!O53,"host-associated"),EXACT(metadata!O53,"human-associated"),EXACT(metadata!O53,"human-skin"),EXACT(metadata!O53,"human-oral"),EXACT(metadata!O53,"human-gut"),EXACT(metadata!O53,"human-vaginal"),EXACT(metadata!O53,"microbial mat/biofilm"),EXACT(metadata!O53,"misc environment"),EXACT(metadata!O53,"plant-associated"),EXACT(metadata!O53,"sediment"),EXACT(metadata!O53,"soil"),EXACT(metadata!O53,"wastewater/sludge"),EXACT(metadata!O53,"water"))))</f>
        <v>0</v>
      </c>
      <c r="BA53" t="b">
        <f>IF(metadata!P53="",FALSE,TRUE)</f>
        <v>0</v>
      </c>
      <c r="BB53" t="b">
        <f>IF(metadata!Q53="",FALSE,TRUE)</f>
        <v>0</v>
      </c>
      <c r="BC53" t="b">
        <f>OR(AND(IF(metadata!R53="",FALSE,TRUE),OR(EXACT(metadata!R53,"missing: not collected"),EXACT(metadata!R53,"missing: not provided"),EXACT(metadata!R53,"missing: restricted access"))),AND(IF(metadata!R53="",FALSE,ISNUMBER(VALUE(metadata!R53))),metadata!R53&gt;=-90,metadata!R53&lt;=90))</f>
        <v>0</v>
      </c>
      <c r="BD53" t="b">
        <f>AND(IF(metadata!S53="",FALSE,TRUE),EXACT(metadata!S53,"Decimal degrees"))</f>
        <v>0</v>
      </c>
      <c r="BE53" t="b">
        <f>OR(AND(IF(metadata!T53="",FALSE,TRUE),OR(EXACT(metadata!T53,"missing: not collected"),EXACT(metadata!T53,"missing: not provided"),EXACT(metadata!T53,"missing: restricted access"))),AND(IF(metadata!T53="",FALSE,ISNUMBER(VALUE(metadata!T53))),metadata!T53&gt;=-180,metadata!T53&lt;=180))</f>
        <v>0</v>
      </c>
      <c r="BF53" t="b">
        <f>AND(IF(metadata!U53="",FALSE,TRUE),EXACT(metadata!U53,"Decimal degrees"))</f>
        <v>0</v>
      </c>
      <c r="BG53" t="b">
        <f>IF(metadata!V53="",FALSE,TRUE)</f>
        <v>0</v>
      </c>
      <c r="BH53" t="b">
        <f>OR(AND(IF(metadata!W53="",FALSE,TRUE),OR(EXACT(metadata!W53,"missing: not collected"),EXACT(metadata!W53,"missing: not provided"),EXACT(metadata!W53,"missing: restricted access"))),AND(IF(metadata!W53="",FALSE,TRUE),OR(EXACT(metadata!W53,"TRUE"),EXACT(metadata!W53,"FALSE"))))</f>
        <v>0</v>
      </c>
      <c r="BI53" t="b">
        <f>AND(IF(metadata!X53="",FALSE,TRUE),EXACT(metadata!X53,"other"))</f>
        <v>0</v>
      </c>
      <c r="BJ53" t="b">
        <f>IF(metadata!Y53="",FALSE,TRUE)</f>
        <v>0</v>
      </c>
      <c r="BK53" t="b">
        <f>OR(AND(IF(metadata!Z53="",FALSE,TRUE),OR(EXACT(metadata!Z53,"missing: not collected"),EXACT(metadata!Z53,"missing: not provided"))),AND(IF(metadata!Z53="",FALSE,IF(ISERROR(INT(metadata!Z53)),FALSE,INT(metadata!Z53)=metadata!Z53)),metadata!Z53&gt;0))</f>
        <v>0</v>
      </c>
      <c r="BL53" t="b">
        <f>AND(IF(metadata!AA53="",FALSE,TRUE),EXACT(metadata!AA53,"Not applicable"))</f>
        <v>0</v>
      </c>
      <c r="BM53" t="b">
        <f>IF(metadata!AB53="",FALSE,TRUE)</f>
        <v>0</v>
      </c>
    </row>
    <row r="54" spans="1:65" x14ac:dyDescent="0.2">
      <c r="A54" s="5" t="str">
        <f ca="1">IF(B54=" "," ",HYPERLINK(CONCATENATE("#metadata!",ADDRESS(INDEX($AH$2:$AH$1001,MATCH(ROWS($AF$2:AF54),$AF$2:$AF$1001,0),0),1)),INDEX($AK$2:$AK$1001,MATCH(ROWS($AF$2:AF54),$AF$2:$AF$1001,0),0)))</f>
        <v xml:space="preserve"> </v>
      </c>
      <c r="B54" s="4" t="str">
        <f ca="1">IF(OR(INDEX($AG$2:$AG$1001,MATCH(ROWS($AF$2:AF54),$AF$2:$AF$1001,0),1)&gt;=100000,INDEX($AM$1005:$BM$1005,1,MATCH(COLUMNS($AM$1006:AM1006),$AM$1006:$BM$1006,0))&gt;=100000), " ",IF(INDEX($AM$2:$BM$1001,MATCH(ROWS($AF$2:AF54),$AF$2:$AF$1001,0),MATCH(COLUMNS($AM$1006:AM1006),$AM$1006:$BM$1006,0)), HYPERLINK("#",""), HYPERLINK(CONCATENATE("#metadata!", ADDRESS(INDEX($AH$2:$AH$1001,MATCH(ROWS($AF$2:AF54),$AF$2:$AF$1001,0),0), INDEX($AM$1004:$BM$1004,1,MATCH(COLUMNS($AM$1006:AM1006),$AM$1006:$BM$1006,0)))),"Fix")))</f>
        <v xml:space="preserve"> </v>
      </c>
      <c r="C54" s="4" t="str">
        <f ca="1">IF(OR(INDEX($AG$2:$AG$1001,MATCH(ROWS($AF$2:AF54),$AF$2:$AF$1001,0),1)&gt;=100000,INDEX($AM$1005:$BM$1005,1,MATCH(COLUMNS($AM$1006:AN1006),$AM$1006:$BM$1006,0))&gt;=100000), " ",IF(INDEX($AM$2:$BM$1001,MATCH(ROWS($AF$2:AF54),$AF$2:$AF$1001,0),MATCH(COLUMNS($AM$1006:AN1006),$AM$1006:$BM$1006,0)), HYPERLINK("#",""), HYPERLINK(CONCATENATE("#metadata!", ADDRESS(INDEX($AH$2:$AH$1001,MATCH(ROWS($AF$2:AF54),$AF$2:$AF$1001,0),0), INDEX($AM$1004:$BM$1004,1,MATCH(COLUMNS($AM$1006:AN1006),$AM$1006:$BM$1006,0)))),"Fix")))</f>
        <v xml:space="preserve"> </v>
      </c>
      <c r="D54" s="4" t="str">
        <f ca="1">IF(OR(INDEX($AG$2:$AG$1001,MATCH(ROWS($AF$2:AF54),$AF$2:$AF$1001,0),1)&gt;=100000,INDEX($AM$1005:$BM$1005,1,MATCH(COLUMNS($AM$1006:AO1006),$AM$1006:$BM$1006,0))&gt;=100000), " ",IF(INDEX($AM$2:$BM$1001,MATCH(ROWS($AF$2:AF54),$AF$2:$AF$1001,0),MATCH(COLUMNS($AM$1006:AO1006),$AM$1006:$BM$1006,0)), HYPERLINK("#",""), HYPERLINK(CONCATENATE("#metadata!", ADDRESS(INDEX($AH$2:$AH$1001,MATCH(ROWS($AF$2:AF54),$AF$2:$AF$1001,0),0), INDEX($AM$1004:$BM$1004,1,MATCH(COLUMNS($AM$1006:AO1006),$AM$1006:$BM$1006,0)))),"Fix")))</f>
        <v xml:space="preserve"> </v>
      </c>
      <c r="E54" s="4" t="str">
        <f ca="1">IF(OR(INDEX($AG$2:$AG$1001,MATCH(ROWS($AF$2:AF54),$AF$2:$AF$1001,0),1)&gt;=100000,INDEX($AM$1005:$BM$1005,1,MATCH(COLUMNS($AM$1006:AP1006),$AM$1006:$BM$1006,0))&gt;=100000), " ",IF(INDEX($AM$2:$BM$1001,MATCH(ROWS($AF$2:AF54),$AF$2:$AF$1001,0),MATCH(COLUMNS($AM$1006:AP1006),$AM$1006:$BM$1006,0)), HYPERLINK("#",""), HYPERLINK(CONCATENATE("#metadata!", ADDRESS(INDEX($AH$2:$AH$1001,MATCH(ROWS($AF$2:AF54),$AF$2:$AF$1001,0),0), INDEX($AM$1004:$BM$1004,1,MATCH(COLUMNS($AM$1006:AP1006),$AM$1006:$BM$1006,0)))),"Fix")))</f>
        <v xml:space="preserve"> </v>
      </c>
      <c r="F54" s="4" t="str">
        <f ca="1">IF(OR(INDEX($AG$2:$AG$1001,MATCH(ROWS($AF$2:AF54),$AF$2:$AF$1001,0),1)&gt;=100000,INDEX($AM$1005:$BM$1005,1,MATCH(COLUMNS($AM$1006:AQ1006),$AM$1006:$BM$1006,0))&gt;=100000), " ",IF(INDEX($AM$2:$BM$1001,MATCH(ROWS($AF$2:AF54),$AF$2:$AF$1001,0),MATCH(COLUMNS($AM$1006:AQ1006),$AM$1006:$BM$1006,0)), HYPERLINK("#",""), HYPERLINK(CONCATENATE("#metadata!", ADDRESS(INDEX($AH$2:$AH$1001,MATCH(ROWS($AF$2:AF54),$AF$2:$AF$1001,0),0), INDEX($AM$1004:$BM$1004,1,MATCH(COLUMNS($AM$1006:AQ1006),$AM$1006:$BM$1006,0)))),"Fix")))</f>
        <v xml:space="preserve"> </v>
      </c>
      <c r="G54" s="4" t="str">
        <f ca="1">IF(OR(INDEX($AG$2:$AG$1001,MATCH(ROWS($AF$2:AF54),$AF$2:$AF$1001,0),1)&gt;=100000,INDEX($AM$1005:$BM$1005,1,MATCH(COLUMNS($AM$1006:AR1006),$AM$1006:$BM$1006,0))&gt;=100000), " ",IF(INDEX($AM$2:$BM$1001,MATCH(ROWS($AF$2:AF54),$AF$2:$AF$1001,0),MATCH(COLUMNS($AM$1006:AR1006),$AM$1006:$BM$1006,0)), HYPERLINK("#",""), HYPERLINK(CONCATENATE("#metadata!", ADDRESS(INDEX($AH$2:$AH$1001,MATCH(ROWS($AF$2:AF54),$AF$2:$AF$1001,0),0), INDEX($AM$1004:$BM$1004,1,MATCH(COLUMNS($AM$1006:AR1006),$AM$1006:$BM$1006,0)))),"Fix")))</f>
        <v xml:space="preserve"> </v>
      </c>
      <c r="H54" s="4" t="str">
        <f ca="1">IF(OR(INDEX($AG$2:$AG$1001,MATCH(ROWS($AF$2:AF54),$AF$2:$AF$1001,0),1)&gt;=100000,INDEX($AM$1005:$BM$1005,1,MATCH(COLUMNS($AM$1006:AS1006),$AM$1006:$BM$1006,0))&gt;=100000), " ",IF(INDEX($AM$2:$BM$1001,MATCH(ROWS($AF$2:AF54),$AF$2:$AF$1001,0),MATCH(COLUMNS($AM$1006:AS1006),$AM$1006:$BM$1006,0)), HYPERLINK("#",""), HYPERLINK(CONCATENATE("#metadata!", ADDRESS(INDEX($AH$2:$AH$1001,MATCH(ROWS($AF$2:AF54),$AF$2:$AF$1001,0),0), INDEX($AM$1004:$BM$1004,1,MATCH(COLUMNS($AM$1006:AS1006),$AM$1006:$BM$1006,0)))),"Fix")))</f>
        <v xml:space="preserve"> </v>
      </c>
      <c r="I54" s="4" t="str">
        <f ca="1">IF(OR(INDEX($AG$2:$AG$1001,MATCH(ROWS($AF$2:AF54),$AF$2:$AF$1001,0),1)&gt;=100000,INDEX($AM$1005:$BM$1005,1,MATCH(COLUMNS($AM$1006:AT1006),$AM$1006:$BM$1006,0))&gt;=100000), " ",IF(INDEX($AM$2:$BM$1001,MATCH(ROWS($AF$2:AF54),$AF$2:$AF$1001,0),MATCH(COLUMNS($AM$1006:AT1006),$AM$1006:$BM$1006,0)), HYPERLINK("#",""), HYPERLINK(CONCATENATE("#metadata!", ADDRESS(INDEX($AH$2:$AH$1001,MATCH(ROWS($AF$2:AF54),$AF$2:$AF$1001,0),0), INDEX($AM$1004:$BM$1004,1,MATCH(COLUMNS($AM$1006:AT1006),$AM$1006:$BM$1006,0)))),"Fix")))</f>
        <v xml:space="preserve"> </v>
      </c>
      <c r="J54" s="4" t="str">
        <f ca="1">IF(OR(INDEX($AG$2:$AG$1001,MATCH(ROWS($AF$2:AF54),$AF$2:$AF$1001,0),1)&gt;=100000,INDEX($AM$1005:$BM$1005,1,MATCH(COLUMNS($AM$1006:AU1006),$AM$1006:$BM$1006,0))&gt;=100000), " ",IF(INDEX($AM$2:$BM$1001,MATCH(ROWS($AF$2:AF54),$AF$2:$AF$1001,0),MATCH(COLUMNS($AM$1006:AU1006),$AM$1006:$BM$1006,0)), HYPERLINK("#",""), HYPERLINK(CONCATENATE("#metadata!", ADDRESS(INDEX($AH$2:$AH$1001,MATCH(ROWS($AF$2:AF54),$AF$2:$AF$1001,0),0), INDEX($AM$1004:$BM$1004,1,MATCH(COLUMNS($AM$1006:AU1006),$AM$1006:$BM$1006,0)))),"Fix")))</f>
        <v xml:space="preserve"> </v>
      </c>
      <c r="K54" s="4" t="str">
        <f ca="1">IF(OR(INDEX($AG$2:$AG$1001,MATCH(ROWS($AF$2:AF54),$AF$2:$AF$1001,0),1)&gt;=100000,INDEX($AM$1005:$BM$1005,1,MATCH(COLUMNS($AM$1006:AV1006),$AM$1006:$BM$1006,0))&gt;=100000), " ",IF(INDEX($AM$2:$BM$1001,MATCH(ROWS($AF$2:AF54),$AF$2:$AF$1001,0),MATCH(COLUMNS($AM$1006:AV1006),$AM$1006:$BM$1006,0)), HYPERLINK("#",""), HYPERLINK(CONCATENATE("#metadata!", ADDRESS(INDEX($AH$2:$AH$1001,MATCH(ROWS($AF$2:AF54),$AF$2:$AF$1001,0),0), INDEX($AM$1004:$BM$1004,1,MATCH(COLUMNS($AM$1006:AV1006),$AM$1006:$BM$1006,0)))),"Fix")))</f>
        <v xml:space="preserve"> </v>
      </c>
      <c r="L54" s="4" t="str">
        <f ca="1">IF(OR(INDEX($AG$2:$AG$1001,MATCH(ROWS($AF$2:AF54),$AF$2:$AF$1001,0),1)&gt;=100000,INDEX($AM$1005:$BM$1005,1,MATCH(COLUMNS($AM$1006:AW1006),$AM$1006:$BM$1006,0))&gt;=100000), " ",IF(INDEX($AM$2:$BM$1001,MATCH(ROWS($AF$2:AF54),$AF$2:$AF$1001,0),MATCH(COLUMNS($AM$1006:AW1006),$AM$1006:$BM$1006,0)), HYPERLINK("#",""), HYPERLINK(CONCATENATE("#metadata!", ADDRESS(INDEX($AH$2:$AH$1001,MATCH(ROWS($AF$2:AF54),$AF$2:$AF$1001,0),0), INDEX($AM$1004:$BM$1004,1,MATCH(COLUMNS($AM$1006:AW1006),$AM$1006:$BM$1006,0)))),"Fix")))</f>
        <v xml:space="preserve"> </v>
      </c>
      <c r="M54" s="4" t="str">
        <f ca="1">IF(OR(INDEX($AG$2:$AG$1001,MATCH(ROWS($AF$2:AF54),$AF$2:$AF$1001,0),1)&gt;=100000,INDEX($AM$1005:$BM$1005,1,MATCH(COLUMNS($AM$1006:AX1006),$AM$1006:$BM$1006,0))&gt;=100000), " ",IF(INDEX($AM$2:$BM$1001,MATCH(ROWS($AF$2:AF54),$AF$2:$AF$1001,0),MATCH(COLUMNS($AM$1006:AX1006),$AM$1006:$BM$1006,0)), HYPERLINK("#",""), HYPERLINK(CONCATENATE("#metadata!", ADDRESS(INDEX($AH$2:$AH$1001,MATCH(ROWS($AF$2:AF54),$AF$2:$AF$1001,0),0), INDEX($AM$1004:$BM$1004,1,MATCH(COLUMNS($AM$1006:AX1006),$AM$1006:$BM$1006,0)))),"Fix")))</f>
        <v xml:space="preserve"> </v>
      </c>
      <c r="N54" s="4" t="str">
        <f ca="1">IF(OR(INDEX($AG$2:$AG$1001,MATCH(ROWS($AF$2:AF54),$AF$2:$AF$1001,0),1)&gt;=100000,INDEX($AM$1005:$BM$1005,1,MATCH(COLUMNS($AM$1006:AY1006),$AM$1006:$BM$1006,0))&gt;=100000), " ",IF(INDEX($AM$2:$BM$1001,MATCH(ROWS($AF$2:AF54),$AF$2:$AF$1001,0),MATCH(COLUMNS($AM$1006:AY1006),$AM$1006:$BM$1006,0)), HYPERLINK("#",""), HYPERLINK(CONCATENATE("#metadata!", ADDRESS(INDEX($AH$2:$AH$1001,MATCH(ROWS($AF$2:AF54),$AF$2:$AF$1001,0),0), INDEX($AM$1004:$BM$1004,1,MATCH(COLUMNS($AM$1006:AY1006),$AM$1006:$BM$1006,0)))),"Fix")))</f>
        <v xml:space="preserve"> </v>
      </c>
      <c r="O54" s="4" t="str">
        <f ca="1">IF(OR(INDEX($AG$2:$AG$1001,MATCH(ROWS($AF$2:AF54),$AF$2:$AF$1001,0),1)&gt;=100000,INDEX($AM$1005:$BM$1005,1,MATCH(COLUMNS($AM$1006:AZ1006),$AM$1006:$BM$1006,0))&gt;=100000), " ",IF(INDEX($AM$2:$BM$1001,MATCH(ROWS($AF$2:AF54),$AF$2:$AF$1001,0),MATCH(COLUMNS($AM$1006:AZ1006),$AM$1006:$BM$1006,0)), HYPERLINK("#",""), HYPERLINK(CONCATENATE("#metadata!", ADDRESS(INDEX($AH$2:$AH$1001,MATCH(ROWS($AF$2:AF54),$AF$2:$AF$1001,0),0), INDEX($AM$1004:$BM$1004,1,MATCH(COLUMNS($AM$1006:AZ1006),$AM$1006:$BM$1006,0)))),"Fix")))</f>
        <v xml:space="preserve"> </v>
      </c>
      <c r="P54" s="4" t="str">
        <f ca="1">IF(OR(INDEX($AG$2:$AG$1001,MATCH(ROWS($AF$2:AF54),$AF$2:$AF$1001,0),1)&gt;=100000,INDEX($AM$1005:$BM$1005,1,MATCH(COLUMNS($AM$1006:BA1006),$AM$1006:$BM$1006,0))&gt;=100000), " ",IF(INDEX($AM$2:$BM$1001,MATCH(ROWS($AF$2:AF54),$AF$2:$AF$1001,0),MATCH(COLUMNS($AM$1006:BA1006),$AM$1006:$BM$1006,0)), HYPERLINK("#",""), HYPERLINK(CONCATENATE("#metadata!", ADDRESS(INDEX($AH$2:$AH$1001,MATCH(ROWS($AF$2:AF54),$AF$2:$AF$1001,0),0), INDEX($AM$1004:$BM$1004,1,MATCH(COLUMNS($AM$1006:BA1006),$AM$1006:$BM$1006,0)))),"Fix")))</f>
        <v xml:space="preserve"> </v>
      </c>
      <c r="Q54" s="4" t="str">
        <f ca="1">IF(OR(INDEX($AG$2:$AG$1001,MATCH(ROWS($AF$2:AF54),$AF$2:$AF$1001,0),1)&gt;=100000,INDEX($AM$1005:$BM$1005,1,MATCH(COLUMNS($AM$1006:BB1006),$AM$1006:$BM$1006,0))&gt;=100000), " ",IF(INDEX($AM$2:$BM$1001,MATCH(ROWS($AF$2:AF54),$AF$2:$AF$1001,0),MATCH(COLUMNS($AM$1006:BB1006),$AM$1006:$BM$1006,0)), HYPERLINK("#",""), HYPERLINK(CONCATENATE("#metadata!", ADDRESS(INDEX($AH$2:$AH$1001,MATCH(ROWS($AF$2:AF54),$AF$2:$AF$1001,0),0), INDEX($AM$1004:$BM$1004,1,MATCH(COLUMNS($AM$1006:BB1006),$AM$1006:$BM$1006,0)))),"Fix")))</f>
        <v xml:space="preserve"> </v>
      </c>
      <c r="R54" s="4" t="str">
        <f ca="1">IF(OR(INDEX($AG$2:$AG$1001,MATCH(ROWS($AF$2:AF54),$AF$2:$AF$1001,0),1)&gt;=100000,INDEX($AM$1005:$BM$1005,1,MATCH(COLUMNS($AM$1006:BC1006),$AM$1006:$BM$1006,0))&gt;=100000), " ",IF(INDEX($AM$2:$BM$1001,MATCH(ROWS($AF$2:AF54),$AF$2:$AF$1001,0),MATCH(COLUMNS($AM$1006:BC1006),$AM$1006:$BM$1006,0)), HYPERLINK("#",""), HYPERLINK(CONCATENATE("#metadata!", ADDRESS(INDEX($AH$2:$AH$1001,MATCH(ROWS($AF$2:AF54),$AF$2:$AF$1001,0),0), INDEX($AM$1004:$BM$1004,1,MATCH(COLUMNS($AM$1006:BC1006),$AM$1006:$BM$1006,0)))),"Fix")))</f>
        <v xml:space="preserve"> </v>
      </c>
      <c r="S54" s="4" t="str">
        <f ca="1">IF(OR(INDEX($AG$2:$AG$1001,MATCH(ROWS($AF$2:AF54),$AF$2:$AF$1001,0),1)&gt;=100000,INDEX($AM$1005:$BM$1005,1,MATCH(COLUMNS($AM$1006:BD1006),$AM$1006:$BM$1006,0))&gt;=100000), " ",IF(INDEX($AM$2:$BM$1001,MATCH(ROWS($AF$2:AF54),$AF$2:$AF$1001,0),MATCH(COLUMNS($AM$1006:BD1006),$AM$1006:$BM$1006,0)), HYPERLINK("#",""), HYPERLINK(CONCATENATE("#metadata!", ADDRESS(INDEX($AH$2:$AH$1001,MATCH(ROWS($AF$2:AF54),$AF$2:$AF$1001,0),0), INDEX($AM$1004:$BM$1004,1,MATCH(COLUMNS($AM$1006:BD1006),$AM$1006:$BM$1006,0)))),"Fix")))</f>
        <v xml:space="preserve"> </v>
      </c>
      <c r="T54" s="4" t="str">
        <f ca="1">IF(OR(INDEX($AG$2:$AG$1001,MATCH(ROWS($AF$2:AF54),$AF$2:$AF$1001,0),1)&gt;=100000,INDEX($AM$1005:$BM$1005,1,MATCH(COLUMNS($AM$1006:BE1006),$AM$1006:$BM$1006,0))&gt;=100000), " ",IF(INDEX($AM$2:$BM$1001,MATCH(ROWS($AF$2:AF54),$AF$2:$AF$1001,0),MATCH(COLUMNS($AM$1006:BE1006),$AM$1006:$BM$1006,0)), HYPERLINK("#",""), HYPERLINK(CONCATENATE("#metadata!", ADDRESS(INDEX($AH$2:$AH$1001,MATCH(ROWS($AF$2:AF54),$AF$2:$AF$1001,0),0), INDEX($AM$1004:$BM$1004,1,MATCH(COLUMNS($AM$1006:BE1006),$AM$1006:$BM$1006,0)))),"Fix")))</f>
        <v xml:space="preserve"> </v>
      </c>
      <c r="U54" s="4" t="str">
        <f ca="1">IF(OR(INDEX($AG$2:$AG$1001,MATCH(ROWS($AF$2:AF54),$AF$2:$AF$1001,0),1)&gt;=100000,INDEX($AM$1005:$BM$1005,1,MATCH(COLUMNS($AM$1006:BF1006),$AM$1006:$BM$1006,0))&gt;=100000), " ",IF(INDEX($AM$2:$BM$1001,MATCH(ROWS($AF$2:AF54),$AF$2:$AF$1001,0),MATCH(COLUMNS($AM$1006:BF1006),$AM$1006:$BM$1006,0)), HYPERLINK("#",""), HYPERLINK(CONCATENATE("#metadata!", ADDRESS(INDEX($AH$2:$AH$1001,MATCH(ROWS($AF$2:AF54),$AF$2:$AF$1001,0),0), INDEX($AM$1004:$BM$1004,1,MATCH(COLUMNS($AM$1006:BF1006),$AM$1006:$BM$1006,0)))),"Fix")))</f>
        <v xml:space="preserve"> </v>
      </c>
      <c r="V54" s="4" t="str">
        <f ca="1">IF(OR(INDEX($AG$2:$AG$1001,MATCH(ROWS($AF$2:AF54),$AF$2:$AF$1001,0),1)&gt;=100000,INDEX($AM$1005:$BM$1005,1,MATCH(COLUMNS($AM$1006:BG1006),$AM$1006:$BM$1006,0))&gt;=100000), " ",IF(INDEX($AM$2:$BM$1001,MATCH(ROWS($AF$2:AF54),$AF$2:$AF$1001,0),MATCH(COLUMNS($AM$1006:BG1006),$AM$1006:$BM$1006,0)), HYPERLINK("#",""), HYPERLINK(CONCATENATE("#metadata!", ADDRESS(INDEX($AH$2:$AH$1001,MATCH(ROWS($AF$2:AF54),$AF$2:$AF$1001,0),0), INDEX($AM$1004:$BM$1004,1,MATCH(COLUMNS($AM$1006:BG1006),$AM$1006:$BM$1006,0)))),"Fix")))</f>
        <v xml:space="preserve"> </v>
      </c>
      <c r="W54" s="4" t="str">
        <f ca="1">IF(OR(INDEX($AG$2:$AG$1001,MATCH(ROWS($AF$2:AF54),$AF$2:$AF$1001,0),1)&gt;=100000,INDEX($AM$1005:$BM$1005,1,MATCH(COLUMNS($AM$1006:BH1006),$AM$1006:$BM$1006,0))&gt;=100000), " ",IF(INDEX($AM$2:$BM$1001,MATCH(ROWS($AF$2:AF54),$AF$2:$AF$1001,0),MATCH(COLUMNS($AM$1006:BH1006),$AM$1006:$BM$1006,0)), HYPERLINK("#",""), HYPERLINK(CONCATENATE("#metadata!", ADDRESS(INDEX($AH$2:$AH$1001,MATCH(ROWS($AF$2:AF54),$AF$2:$AF$1001,0),0), INDEX($AM$1004:$BM$1004,1,MATCH(COLUMNS($AM$1006:BH1006),$AM$1006:$BM$1006,0)))),"Fix")))</f>
        <v xml:space="preserve"> </v>
      </c>
      <c r="X54" s="4" t="str">
        <f ca="1">IF(OR(INDEX($AG$2:$AG$1001,MATCH(ROWS($AF$2:AF54),$AF$2:$AF$1001,0),1)&gt;=100000,INDEX($AM$1005:$BM$1005,1,MATCH(COLUMNS($AM$1006:BI1006),$AM$1006:$BM$1006,0))&gt;=100000), " ",IF(INDEX($AM$2:$BM$1001,MATCH(ROWS($AF$2:AF54),$AF$2:$AF$1001,0),MATCH(COLUMNS($AM$1006:BI1006),$AM$1006:$BM$1006,0)), HYPERLINK("#",""), HYPERLINK(CONCATENATE("#metadata!", ADDRESS(INDEX($AH$2:$AH$1001,MATCH(ROWS($AF$2:AF54),$AF$2:$AF$1001,0),0), INDEX($AM$1004:$BM$1004,1,MATCH(COLUMNS($AM$1006:BI1006),$AM$1006:$BM$1006,0)))),"Fix")))</f>
        <v xml:space="preserve"> </v>
      </c>
      <c r="Y54" s="4" t="str">
        <f ca="1">IF(OR(INDEX($AG$2:$AG$1001,MATCH(ROWS($AF$2:AF54),$AF$2:$AF$1001,0),1)&gt;=100000,INDEX($AM$1005:$BM$1005,1,MATCH(COLUMNS($AM$1006:BJ1006),$AM$1006:$BM$1006,0))&gt;=100000), " ",IF(INDEX($AM$2:$BM$1001,MATCH(ROWS($AF$2:AF54),$AF$2:$AF$1001,0),MATCH(COLUMNS($AM$1006:BJ1006),$AM$1006:$BM$1006,0)), HYPERLINK("#",""), HYPERLINK(CONCATENATE("#metadata!", ADDRESS(INDEX($AH$2:$AH$1001,MATCH(ROWS($AF$2:AF54),$AF$2:$AF$1001,0),0), INDEX($AM$1004:$BM$1004,1,MATCH(COLUMNS($AM$1006:BJ1006),$AM$1006:$BM$1006,0)))),"Fix")))</f>
        <v xml:space="preserve"> </v>
      </c>
      <c r="Z54" s="4" t="str">
        <f ca="1">IF(OR(INDEX($AG$2:$AG$1001,MATCH(ROWS($AF$2:AF54),$AF$2:$AF$1001,0),1)&gt;=100000,INDEX($AM$1005:$BM$1005,1,MATCH(COLUMNS($AM$1006:BK1006),$AM$1006:$BM$1006,0))&gt;=100000), " ",IF(INDEX($AM$2:$BM$1001,MATCH(ROWS($AF$2:AF54),$AF$2:$AF$1001,0),MATCH(COLUMNS($AM$1006:BK1006),$AM$1006:$BM$1006,0)), HYPERLINK("#",""), HYPERLINK(CONCATENATE("#metadata!", ADDRESS(INDEX($AH$2:$AH$1001,MATCH(ROWS($AF$2:AF54),$AF$2:$AF$1001,0),0), INDEX($AM$1004:$BM$1004,1,MATCH(COLUMNS($AM$1006:BK1006),$AM$1006:$BM$1006,0)))),"Fix")))</f>
        <v xml:space="preserve"> </v>
      </c>
      <c r="AA54" s="4" t="str">
        <f ca="1">IF(OR(INDEX($AG$2:$AG$1001,MATCH(ROWS($AF$2:AF54),$AF$2:$AF$1001,0),1)&gt;=100000,INDEX($AM$1005:$BM$1005,1,MATCH(COLUMNS($AM$1006:BL1006),$AM$1006:$BM$1006,0))&gt;=100000), " ",IF(INDEX($AM$2:$BM$1001,MATCH(ROWS($AF$2:AF54),$AF$2:$AF$1001,0),MATCH(COLUMNS($AM$1006:BL1006),$AM$1006:$BM$1006,0)), HYPERLINK("#",""), HYPERLINK(CONCATENATE("#metadata!", ADDRESS(INDEX($AH$2:$AH$1001,MATCH(ROWS($AF$2:AF54),$AF$2:$AF$1001,0),0), INDEX($AM$1004:$BM$1004,1,MATCH(COLUMNS($AM$1006:BL1006),$AM$1006:$BM$1006,0)))),"Fix")))</f>
        <v xml:space="preserve"> </v>
      </c>
      <c r="AB54" s="4" t="str">
        <f ca="1">IF(OR(INDEX($AG$2:$AG$1001,MATCH(ROWS($AF$2:AF54),$AF$2:$AF$1001,0),1)&gt;=100000,INDEX($AM$1005:$BM$1005,1,MATCH(COLUMNS($AM$1006:BM1006),$AM$1006:$BM$1006,0))&gt;=100000), " ",IF(INDEX($AM$2:$BM$1001,MATCH(ROWS($AF$2:AF54),$AF$2:$AF$1001,0),MATCH(COLUMNS($AM$1006:BM1006),$AM$1006:$BM$1006,0)), HYPERLINK("#",""), HYPERLINK(CONCATENATE("#metadata!", ADDRESS(INDEX($AH$2:$AH$1001,MATCH(ROWS($AF$2:AF54),$AF$2:$AF$1001,0),0), INDEX($AM$1004:$BM$1004,1,MATCH(COLUMNS($AM$1006:BM1006),$AM$1006:$BM$1006,0)))),"Fix")))</f>
        <v xml:space="preserve"> </v>
      </c>
      <c r="AF54">
        <v>53</v>
      </c>
      <c r="AG54">
        <v>100054</v>
      </c>
      <c r="AH54">
        <v>54</v>
      </c>
      <c r="AI54" t="b">
        <f t="shared" si="0"/>
        <v>1</v>
      </c>
      <c r="AJ54" t="b">
        <f>COUNTBLANK(metadata!B54:AB54)=COLUMNS(metadata!B54:AB54)</f>
        <v>1</v>
      </c>
      <c r="AK54" t="str">
        <v/>
      </c>
      <c r="AM54" t="b">
        <f ca="1">AND(IF(metadata!B54="",FALSE,TRUE),COUNTIF(metadata!B:B, metadata!B54) = 1,NOT(ISERROR(SUMPRODUCT(SEARCH(MID(metadata!B54,ROW(INDIRECT("1:"&amp;LEN(metadata!B54))), 1),"0123456789abcdefghijklmnopqrstuvwxyzABCDEFGHIJKLMNOPQRSTUVWXYZ.")))))</f>
        <v>0</v>
      </c>
      <c r="AN54" t="b">
        <f ca="1">OR(AND(IF(metadata!C54="",FALSE,TRUE),OR(EXACT(metadata!C54,"missing: not collected"),EXACT(metadata!C54,"missing: not provided"),EXACT(metadata!C54,"missing: restricted access"))),AND(IF(metadata!C54="",FALSE,TRUE),AND(AND(IFERROR(INT(LEFT(metadata!C54,4))&gt;1900,FALSE),IFERROR(INT(LEFT(metadata!C54,4))&lt;=YEAR(NOW()),FALSE)), OR(MID(metadata!C54,5,1)="", AND(AND(MID(metadata!C54,5,1)="-",IFERROR(INT(MID(metadata!C54,6,1))&gt;=0,FALSE),IFERROR(INT(MID(metadata!C54,6,1))&lt;=1,FALSE),NOT(MID(metadata!C54,7,1)=""),IFERROR(INT(MID(metadata!C54,6,2))&gt;=1,FALSE),IFERROR(INT(MID(metadata!C54,6,2))&lt;=12,FALSE)), OR(MID(metadata!C54,8,1)="", AND(AND(MID(metadata!C54,8,1)="-",IFERROR(INT(MID(metadata!C54,9,1))&gt;=0,FALSE),IFERROR(INT(MID(metadata!C54,9,1))&lt;=3,FALSE),NOT(MID(metadata!C54,10,1)=""),IFERROR(INT(MID(metadata!C54,9,2))&gt;=1,FALSE),IFERROR(INT(MID(metadata!C54,9,2))&lt;=31,FALSE)), OR(MID(metadata!C54,11,1)="", AND(AND(MID(metadata!C54,11,1)=" ",IFERROR(INT(MID(metadata!C54,12,1))&gt;=0,FALSE),IFERROR(INT(MID(metadata!C54,12,1))&lt;=2,FALSE),NOT(MID(metadata!C54,13,1)=""),IFERROR(INT(MID(metadata!C54,12,2))&gt;=0,FALSE),IFERROR(INT(MID(metadata!C54,12,2))&lt;=23,FALSE)), OR(MID(metadata!C54,14,1)="", AND(AND(MID(metadata!C54,14,1)=":",IFERROR(INT(MID(metadata!C54,15,1))&gt;=0,FALSE),IFERROR(INT(MID(metadata!C54,15,1))&lt;=5,FALSE),NOT(MID(metadata!C54,16,1)=""),IFERROR(INT(MID(metadata!C54,15,2))&gt;=0,FALSE),IFERROR(INT(MID(metadata!C54,15,2))&lt;=59,FALSE)), OR(MID(metadata!C54,17,1)="", AND(AND(MID(metadata!C54,17,1)=":",IFERROR(INT(MID(metadata!C54,18,1))&gt;=0,FALSE),IFERROR(INT(MID(metadata!C54,18,1))&lt;=5,FALSE),NOT(MID(metadata!C54,19,1)=""),IFERROR(INT(MID(metadata!C54,18,2))&gt;=0,FALSE),IFERROR(INT(MID(metadata!C54,18,2))&lt;=59,FALSE)), LEN(metadata!C54)&lt;=19)))))))))))))</f>
        <v>0</v>
      </c>
      <c r="AO54" t="b">
        <f>AND(IF(metadata!D54="",FALSE,TRUE),EXACT(metadata!D54,"Not applicable"))</f>
        <v>0</v>
      </c>
      <c r="AP54" t="b">
        <f>IF(metadata!E54="",FALSE,TRUE)</f>
        <v>0</v>
      </c>
      <c r="AQ54" t="b">
        <f>OR(AND(IF(metadata!F54="",FALSE,TRUE),OR(EXACT(metadata!F54,"missing: not collected"),EXACT(metadata!F54,"missing: not provided"))),AND(IF(metadata!F54="",FALSE,TRUE),OR(EXACT(metadata!F54,"TRUE"),EXACT(metadata!F54,"FALSE"))))</f>
        <v>0</v>
      </c>
      <c r="AR54" t="b">
        <f>OR(AND(IF(metadata!G54="",FALSE,TRUE),OR(EXACT(metadata!G54,"missing: not collected"),EXACT(metadata!G54,"missing: not provided"),EXACT(metadata!G54,"missing: restricted access"))),AND(IF(metadata!G54="",FALSE,ISNUMBER(VALUE(metadata!G54))),metadata!G54&gt;=-413))</f>
        <v>0</v>
      </c>
      <c r="AS54" t="b">
        <f>AND(IF(metadata!H54="",FALSE,TRUE),EXACT(metadata!H54,"meters"))</f>
        <v>0</v>
      </c>
      <c r="AT54" t="b">
        <f>AND(IF(metadata!I54="",FALSE,TRUE),OR(EXACT(metadata!I54,"Host-associated"),EXACT(metadata!I54,"Free-living")))</f>
        <v>0</v>
      </c>
      <c r="AU54" t="b">
        <f>AND(IF(metadata!J54="",FALSE,TRUE),OR(EXACT(metadata!J54,"Animal"),EXACT(metadata!J54,"Fungus"),EXACT(metadata!J54,"Plant"),EXACT(metadata!J54,"Saline"),EXACT(metadata!J54,"Non-saline")))</f>
        <v>0</v>
      </c>
      <c r="AV54" t="b">
        <f>AND(IF(metadata!K54="",FALSE,TRUE),OR(EXACT(metadata!K54,"Plant secretion"),EXACT(metadata!K54,"Plant rhizosphere"),EXACT(metadata!K54,"Plant surface"),EXACT(metadata!K54,"Plant corpus"),EXACT(metadata!K54,"Fungus surface"),EXACT(metadata!K54,"Fungus corpus"),EXACT(metadata!K54,"Animal surface"),EXACT(metadata!K54,"Animal proximal gut"),EXACT(metadata!K54,"Animal corpus"),EXACT(metadata!K54,"Animal distal gut"),EXACT(metadata!K54,"Animal secretion"),EXACT(metadata!K54,"Sub-surface (non-saline)"),EXACT(metadata!K54,"Surface (non-saline)"),EXACT(metadata!K54,"Water (non-saline)"),EXACT(metadata!K54,"Soil (non-saline)"),EXACT(metadata!K54,"Aerosol (non-saline)"),EXACT(metadata!K54,"Sediment (non-saline)"),EXACT(metadata!K54,"Surface (saline)"),EXACT(metadata!K54,"Water (saline)"),EXACT(metadata!K54,"Hypersaline (saline)"),EXACT(metadata!K54,"Aerosol (saline)"),EXACT(metadata!K54,"Sediment (saline)")))</f>
        <v>0</v>
      </c>
      <c r="AW54" t="b">
        <f>IF(metadata!L54="",FALSE,TRUE)</f>
        <v>0</v>
      </c>
      <c r="AX54" t="b">
        <f>IF(metadata!M54="",FALSE,TRUE)</f>
        <v>0</v>
      </c>
      <c r="AY54" t="b">
        <f>IF(metadata!N54="",FALSE,TRUE)</f>
        <v>0</v>
      </c>
      <c r="AZ54" t="b">
        <f>OR(AND(IF(metadata!O54="",FALSE,TRUE),OR(EXACT(metadata!O54,"missing: not collected"),EXACT(metadata!O54,"missing: not provided"),EXACT(metadata!O54,"missing: restricted access"))),AND(IF(metadata!O54="",FALSE,TRUE),OR(EXACT(metadata!O54,"air"),EXACT(metadata!O54,"built environment"),EXACT(metadata!O54,"host-associated"),EXACT(metadata!O54,"human-associated"),EXACT(metadata!O54,"human-skin"),EXACT(metadata!O54,"human-oral"),EXACT(metadata!O54,"human-gut"),EXACT(metadata!O54,"human-vaginal"),EXACT(metadata!O54,"microbial mat/biofilm"),EXACT(metadata!O54,"misc environment"),EXACT(metadata!O54,"plant-associated"),EXACT(metadata!O54,"sediment"),EXACT(metadata!O54,"soil"),EXACT(metadata!O54,"wastewater/sludge"),EXACT(metadata!O54,"water"))))</f>
        <v>0</v>
      </c>
      <c r="BA54" t="b">
        <f>IF(metadata!P54="",FALSE,TRUE)</f>
        <v>0</v>
      </c>
      <c r="BB54" t="b">
        <f>IF(metadata!Q54="",FALSE,TRUE)</f>
        <v>0</v>
      </c>
      <c r="BC54" t="b">
        <f>OR(AND(IF(metadata!R54="",FALSE,TRUE),OR(EXACT(metadata!R54,"missing: not collected"),EXACT(metadata!R54,"missing: not provided"),EXACT(metadata!R54,"missing: restricted access"))),AND(IF(metadata!R54="",FALSE,ISNUMBER(VALUE(metadata!R54))),metadata!R54&gt;=-90,metadata!R54&lt;=90))</f>
        <v>0</v>
      </c>
      <c r="BD54" t="b">
        <f>AND(IF(metadata!S54="",FALSE,TRUE),EXACT(metadata!S54,"Decimal degrees"))</f>
        <v>0</v>
      </c>
      <c r="BE54" t="b">
        <f>OR(AND(IF(metadata!T54="",FALSE,TRUE),OR(EXACT(metadata!T54,"missing: not collected"),EXACT(metadata!T54,"missing: not provided"),EXACT(metadata!T54,"missing: restricted access"))),AND(IF(metadata!T54="",FALSE,ISNUMBER(VALUE(metadata!T54))),metadata!T54&gt;=-180,metadata!T54&lt;=180))</f>
        <v>0</v>
      </c>
      <c r="BF54" t="b">
        <f>AND(IF(metadata!U54="",FALSE,TRUE),EXACT(metadata!U54,"Decimal degrees"))</f>
        <v>0</v>
      </c>
      <c r="BG54" t="b">
        <f>IF(metadata!V54="",FALSE,TRUE)</f>
        <v>0</v>
      </c>
      <c r="BH54" t="b">
        <f>OR(AND(IF(metadata!W54="",FALSE,TRUE),OR(EXACT(metadata!W54,"missing: not collected"),EXACT(metadata!W54,"missing: not provided"),EXACT(metadata!W54,"missing: restricted access"))),AND(IF(metadata!W54="",FALSE,TRUE),OR(EXACT(metadata!W54,"TRUE"),EXACT(metadata!W54,"FALSE"))))</f>
        <v>0</v>
      </c>
      <c r="BI54" t="b">
        <f>AND(IF(metadata!X54="",FALSE,TRUE),EXACT(metadata!X54,"other"))</f>
        <v>0</v>
      </c>
      <c r="BJ54" t="b">
        <f>IF(metadata!Y54="",FALSE,TRUE)</f>
        <v>0</v>
      </c>
      <c r="BK54" t="b">
        <f>OR(AND(IF(metadata!Z54="",FALSE,TRUE),OR(EXACT(metadata!Z54,"missing: not collected"),EXACT(metadata!Z54,"missing: not provided"))),AND(IF(metadata!Z54="",FALSE,IF(ISERROR(INT(metadata!Z54)),FALSE,INT(metadata!Z54)=metadata!Z54)),metadata!Z54&gt;0))</f>
        <v>0</v>
      </c>
      <c r="BL54" t="b">
        <f>AND(IF(metadata!AA54="",FALSE,TRUE),EXACT(metadata!AA54,"Not applicable"))</f>
        <v>0</v>
      </c>
      <c r="BM54" t="b">
        <f>IF(metadata!AB54="",FALSE,TRUE)</f>
        <v>0</v>
      </c>
    </row>
    <row r="55" spans="1:65" x14ac:dyDescent="0.2">
      <c r="A55" s="5" t="str">
        <f ca="1">IF(B55=" "," ",HYPERLINK(CONCATENATE("#metadata!",ADDRESS(INDEX($AH$2:$AH$1001,MATCH(ROWS($AF$2:AF55),$AF$2:$AF$1001,0),0),1)),INDEX($AK$2:$AK$1001,MATCH(ROWS($AF$2:AF55),$AF$2:$AF$1001,0),0)))</f>
        <v xml:space="preserve"> </v>
      </c>
      <c r="B55" s="4" t="str">
        <f ca="1">IF(OR(INDEX($AG$2:$AG$1001,MATCH(ROWS($AF$2:AF55),$AF$2:$AF$1001,0),1)&gt;=100000,INDEX($AM$1005:$BM$1005,1,MATCH(COLUMNS($AM$1006:AM1006),$AM$1006:$BM$1006,0))&gt;=100000), " ",IF(INDEX($AM$2:$BM$1001,MATCH(ROWS($AF$2:AF55),$AF$2:$AF$1001,0),MATCH(COLUMNS($AM$1006:AM1006),$AM$1006:$BM$1006,0)), HYPERLINK("#",""), HYPERLINK(CONCATENATE("#metadata!", ADDRESS(INDEX($AH$2:$AH$1001,MATCH(ROWS($AF$2:AF55),$AF$2:$AF$1001,0),0), INDEX($AM$1004:$BM$1004,1,MATCH(COLUMNS($AM$1006:AM1006),$AM$1006:$BM$1006,0)))),"Fix")))</f>
        <v xml:space="preserve"> </v>
      </c>
      <c r="C55" s="4" t="str">
        <f ca="1">IF(OR(INDEX($AG$2:$AG$1001,MATCH(ROWS($AF$2:AF55),$AF$2:$AF$1001,0),1)&gt;=100000,INDEX($AM$1005:$BM$1005,1,MATCH(COLUMNS($AM$1006:AN1006),$AM$1006:$BM$1006,0))&gt;=100000), " ",IF(INDEX($AM$2:$BM$1001,MATCH(ROWS($AF$2:AF55),$AF$2:$AF$1001,0),MATCH(COLUMNS($AM$1006:AN1006),$AM$1006:$BM$1006,0)), HYPERLINK("#",""), HYPERLINK(CONCATENATE("#metadata!", ADDRESS(INDEX($AH$2:$AH$1001,MATCH(ROWS($AF$2:AF55),$AF$2:$AF$1001,0),0), INDEX($AM$1004:$BM$1004,1,MATCH(COLUMNS($AM$1006:AN1006),$AM$1006:$BM$1006,0)))),"Fix")))</f>
        <v xml:space="preserve"> </v>
      </c>
      <c r="D55" s="4" t="str">
        <f ca="1">IF(OR(INDEX($AG$2:$AG$1001,MATCH(ROWS($AF$2:AF55),$AF$2:$AF$1001,0),1)&gt;=100000,INDEX($AM$1005:$BM$1005,1,MATCH(COLUMNS($AM$1006:AO1006),$AM$1006:$BM$1006,0))&gt;=100000), " ",IF(INDEX($AM$2:$BM$1001,MATCH(ROWS($AF$2:AF55),$AF$2:$AF$1001,0),MATCH(COLUMNS($AM$1006:AO1006),$AM$1006:$BM$1006,0)), HYPERLINK("#",""), HYPERLINK(CONCATENATE("#metadata!", ADDRESS(INDEX($AH$2:$AH$1001,MATCH(ROWS($AF$2:AF55),$AF$2:$AF$1001,0),0), INDEX($AM$1004:$BM$1004,1,MATCH(COLUMNS($AM$1006:AO1006),$AM$1006:$BM$1006,0)))),"Fix")))</f>
        <v xml:space="preserve"> </v>
      </c>
      <c r="E55" s="4" t="str">
        <f ca="1">IF(OR(INDEX($AG$2:$AG$1001,MATCH(ROWS($AF$2:AF55),$AF$2:$AF$1001,0),1)&gt;=100000,INDEX($AM$1005:$BM$1005,1,MATCH(COLUMNS($AM$1006:AP1006),$AM$1006:$BM$1006,0))&gt;=100000), " ",IF(INDEX($AM$2:$BM$1001,MATCH(ROWS($AF$2:AF55),$AF$2:$AF$1001,0),MATCH(COLUMNS($AM$1006:AP1006),$AM$1006:$BM$1006,0)), HYPERLINK("#",""), HYPERLINK(CONCATENATE("#metadata!", ADDRESS(INDEX($AH$2:$AH$1001,MATCH(ROWS($AF$2:AF55),$AF$2:$AF$1001,0),0), INDEX($AM$1004:$BM$1004,1,MATCH(COLUMNS($AM$1006:AP1006),$AM$1006:$BM$1006,0)))),"Fix")))</f>
        <v xml:space="preserve"> </v>
      </c>
      <c r="F55" s="4" t="str">
        <f ca="1">IF(OR(INDEX($AG$2:$AG$1001,MATCH(ROWS($AF$2:AF55),$AF$2:$AF$1001,0),1)&gt;=100000,INDEX($AM$1005:$BM$1005,1,MATCH(COLUMNS($AM$1006:AQ1006),$AM$1006:$BM$1006,0))&gt;=100000), " ",IF(INDEX($AM$2:$BM$1001,MATCH(ROWS($AF$2:AF55),$AF$2:$AF$1001,0),MATCH(COLUMNS($AM$1006:AQ1006),$AM$1006:$BM$1006,0)), HYPERLINK("#",""), HYPERLINK(CONCATENATE("#metadata!", ADDRESS(INDEX($AH$2:$AH$1001,MATCH(ROWS($AF$2:AF55),$AF$2:$AF$1001,0),0), INDEX($AM$1004:$BM$1004,1,MATCH(COLUMNS($AM$1006:AQ1006),$AM$1006:$BM$1006,0)))),"Fix")))</f>
        <v xml:space="preserve"> </v>
      </c>
      <c r="G55" s="4" t="str">
        <f ca="1">IF(OR(INDEX($AG$2:$AG$1001,MATCH(ROWS($AF$2:AF55),$AF$2:$AF$1001,0),1)&gt;=100000,INDEX($AM$1005:$BM$1005,1,MATCH(COLUMNS($AM$1006:AR1006),$AM$1006:$BM$1006,0))&gt;=100000), " ",IF(INDEX($AM$2:$BM$1001,MATCH(ROWS($AF$2:AF55),$AF$2:$AF$1001,0),MATCH(COLUMNS($AM$1006:AR1006),$AM$1006:$BM$1006,0)), HYPERLINK("#",""), HYPERLINK(CONCATENATE("#metadata!", ADDRESS(INDEX($AH$2:$AH$1001,MATCH(ROWS($AF$2:AF55),$AF$2:$AF$1001,0),0), INDEX($AM$1004:$BM$1004,1,MATCH(COLUMNS($AM$1006:AR1006),$AM$1006:$BM$1006,0)))),"Fix")))</f>
        <v xml:space="preserve"> </v>
      </c>
      <c r="H55" s="4" t="str">
        <f ca="1">IF(OR(INDEX($AG$2:$AG$1001,MATCH(ROWS($AF$2:AF55),$AF$2:$AF$1001,0),1)&gt;=100000,INDEX($AM$1005:$BM$1005,1,MATCH(COLUMNS($AM$1006:AS1006),$AM$1006:$BM$1006,0))&gt;=100000), " ",IF(INDEX($AM$2:$BM$1001,MATCH(ROWS($AF$2:AF55),$AF$2:$AF$1001,0),MATCH(COLUMNS($AM$1006:AS1006),$AM$1006:$BM$1006,0)), HYPERLINK("#",""), HYPERLINK(CONCATENATE("#metadata!", ADDRESS(INDEX($AH$2:$AH$1001,MATCH(ROWS($AF$2:AF55),$AF$2:$AF$1001,0),0), INDEX($AM$1004:$BM$1004,1,MATCH(COLUMNS($AM$1006:AS1006),$AM$1006:$BM$1006,0)))),"Fix")))</f>
        <v xml:space="preserve"> </v>
      </c>
      <c r="I55" s="4" t="str">
        <f ca="1">IF(OR(INDEX($AG$2:$AG$1001,MATCH(ROWS($AF$2:AF55),$AF$2:$AF$1001,0),1)&gt;=100000,INDEX($AM$1005:$BM$1005,1,MATCH(COLUMNS($AM$1006:AT1006),$AM$1006:$BM$1006,0))&gt;=100000), " ",IF(INDEX($AM$2:$BM$1001,MATCH(ROWS($AF$2:AF55),$AF$2:$AF$1001,0),MATCH(COLUMNS($AM$1006:AT1006),$AM$1006:$BM$1006,0)), HYPERLINK("#",""), HYPERLINK(CONCATENATE("#metadata!", ADDRESS(INDEX($AH$2:$AH$1001,MATCH(ROWS($AF$2:AF55),$AF$2:$AF$1001,0),0), INDEX($AM$1004:$BM$1004,1,MATCH(COLUMNS($AM$1006:AT1006),$AM$1006:$BM$1006,0)))),"Fix")))</f>
        <v xml:space="preserve"> </v>
      </c>
      <c r="J55" s="4" t="str">
        <f ca="1">IF(OR(INDEX($AG$2:$AG$1001,MATCH(ROWS($AF$2:AF55),$AF$2:$AF$1001,0),1)&gt;=100000,INDEX($AM$1005:$BM$1005,1,MATCH(COLUMNS($AM$1006:AU1006),$AM$1006:$BM$1006,0))&gt;=100000), " ",IF(INDEX($AM$2:$BM$1001,MATCH(ROWS($AF$2:AF55),$AF$2:$AF$1001,0),MATCH(COLUMNS($AM$1006:AU1006),$AM$1006:$BM$1006,0)), HYPERLINK("#",""), HYPERLINK(CONCATENATE("#metadata!", ADDRESS(INDEX($AH$2:$AH$1001,MATCH(ROWS($AF$2:AF55),$AF$2:$AF$1001,0),0), INDEX($AM$1004:$BM$1004,1,MATCH(COLUMNS($AM$1006:AU1006),$AM$1006:$BM$1006,0)))),"Fix")))</f>
        <v xml:space="preserve"> </v>
      </c>
      <c r="K55" s="4" t="str">
        <f ca="1">IF(OR(INDEX($AG$2:$AG$1001,MATCH(ROWS($AF$2:AF55),$AF$2:$AF$1001,0),1)&gt;=100000,INDEX($AM$1005:$BM$1005,1,MATCH(COLUMNS($AM$1006:AV1006),$AM$1006:$BM$1006,0))&gt;=100000), " ",IF(INDEX($AM$2:$BM$1001,MATCH(ROWS($AF$2:AF55),$AF$2:$AF$1001,0),MATCH(COLUMNS($AM$1006:AV1006),$AM$1006:$BM$1006,0)), HYPERLINK("#",""), HYPERLINK(CONCATENATE("#metadata!", ADDRESS(INDEX($AH$2:$AH$1001,MATCH(ROWS($AF$2:AF55),$AF$2:$AF$1001,0),0), INDEX($AM$1004:$BM$1004,1,MATCH(COLUMNS($AM$1006:AV1006),$AM$1006:$BM$1006,0)))),"Fix")))</f>
        <v xml:space="preserve"> </v>
      </c>
      <c r="L55" s="4" t="str">
        <f ca="1">IF(OR(INDEX($AG$2:$AG$1001,MATCH(ROWS($AF$2:AF55),$AF$2:$AF$1001,0),1)&gt;=100000,INDEX($AM$1005:$BM$1005,1,MATCH(COLUMNS($AM$1006:AW1006),$AM$1006:$BM$1006,0))&gt;=100000), " ",IF(INDEX($AM$2:$BM$1001,MATCH(ROWS($AF$2:AF55),$AF$2:$AF$1001,0),MATCH(COLUMNS($AM$1006:AW1006),$AM$1006:$BM$1006,0)), HYPERLINK("#",""), HYPERLINK(CONCATENATE("#metadata!", ADDRESS(INDEX($AH$2:$AH$1001,MATCH(ROWS($AF$2:AF55),$AF$2:$AF$1001,0),0), INDEX($AM$1004:$BM$1004,1,MATCH(COLUMNS($AM$1006:AW1006),$AM$1006:$BM$1006,0)))),"Fix")))</f>
        <v xml:space="preserve"> </v>
      </c>
      <c r="M55" s="4" t="str">
        <f ca="1">IF(OR(INDEX($AG$2:$AG$1001,MATCH(ROWS($AF$2:AF55),$AF$2:$AF$1001,0),1)&gt;=100000,INDEX($AM$1005:$BM$1005,1,MATCH(COLUMNS($AM$1006:AX1006),$AM$1006:$BM$1006,0))&gt;=100000), " ",IF(INDEX($AM$2:$BM$1001,MATCH(ROWS($AF$2:AF55),$AF$2:$AF$1001,0),MATCH(COLUMNS($AM$1006:AX1006),$AM$1006:$BM$1006,0)), HYPERLINK("#",""), HYPERLINK(CONCATENATE("#metadata!", ADDRESS(INDEX($AH$2:$AH$1001,MATCH(ROWS($AF$2:AF55),$AF$2:$AF$1001,0),0), INDEX($AM$1004:$BM$1004,1,MATCH(COLUMNS($AM$1006:AX1006),$AM$1006:$BM$1006,0)))),"Fix")))</f>
        <v xml:space="preserve"> </v>
      </c>
      <c r="N55" s="4" t="str">
        <f ca="1">IF(OR(INDEX($AG$2:$AG$1001,MATCH(ROWS($AF$2:AF55),$AF$2:$AF$1001,0),1)&gt;=100000,INDEX($AM$1005:$BM$1005,1,MATCH(COLUMNS($AM$1006:AY1006),$AM$1006:$BM$1006,0))&gt;=100000), " ",IF(INDEX($AM$2:$BM$1001,MATCH(ROWS($AF$2:AF55),$AF$2:$AF$1001,0),MATCH(COLUMNS($AM$1006:AY1006),$AM$1006:$BM$1006,0)), HYPERLINK("#",""), HYPERLINK(CONCATENATE("#metadata!", ADDRESS(INDEX($AH$2:$AH$1001,MATCH(ROWS($AF$2:AF55),$AF$2:$AF$1001,0),0), INDEX($AM$1004:$BM$1004,1,MATCH(COLUMNS($AM$1006:AY1006),$AM$1006:$BM$1006,0)))),"Fix")))</f>
        <v xml:space="preserve"> </v>
      </c>
      <c r="O55" s="4" t="str">
        <f ca="1">IF(OR(INDEX($AG$2:$AG$1001,MATCH(ROWS($AF$2:AF55),$AF$2:$AF$1001,0),1)&gt;=100000,INDEX($AM$1005:$BM$1005,1,MATCH(COLUMNS($AM$1006:AZ1006),$AM$1006:$BM$1006,0))&gt;=100000), " ",IF(INDEX($AM$2:$BM$1001,MATCH(ROWS($AF$2:AF55),$AF$2:$AF$1001,0),MATCH(COLUMNS($AM$1006:AZ1006),$AM$1006:$BM$1006,0)), HYPERLINK("#",""), HYPERLINK(CONCATENATE("#metadata!", ADDRESS(INDEX($AH$2:$AH$1001,MATCH(ROWS($AF$2:AF55),$AF$2:$AF$1001,0),0), INDEX($AM$1004:$BM$1004,1,MATCH(COLUMNS($AM$1006:AZ1006),$AM$1006:$BM$1006,0)))),"Fix")))</f>
        <v xml:space="preserve"> </v>
      </c>
      <c r="P55" s="4" t="str">
        <f ca="1">IF(OR(INDEX($AG$2:$AG$1001,MATCH(ROWS($AF$2:AF55),$AF$2:$AF$1001,0),1)&gt;=100000,INDEX($AM$1005:$BM$1005,1,MATCH(COLUMNS($AM$1006:BA1006),$AM$1006:$BM$1006,0))&gt;=100000), " ",IF(INDEX($AM$2:$BM$1001,MATCH(ROWS($AF$2:AF55),$AF$2:$AF$1001,0),MATCH(COLUMNS($AM$1006:BA1006),$AM$1006:$BM$1006,0)), HYPERLINK("#",""), HYPERLINK(CONCATENATE("#metadata!", ADDRESS(INDEX($AH$2:$AH$1001,MATCH(ROWS($AF$2:AF55),$AF$2:$AF$1001,0),0), INDEX($AM$1004:$BM$1004,1,MATCH(COLUMNS($AM$1006:BA1006),$AM$1006:$BM$1006,0)))),"Fix")))</f>
        <v xml:space="preserve"> </v>
      </c>
      <c r="Q55" s="4" t="str">
        <f ca="1">IF(OR(INDEX($AG$2:$AG$1001,MATCH(ROWS($AF$2:AF55),$AF$2:$AF$1001,0),1)&gt;=100000,INDEX($AM$1005:$BM$1005,1,MATCH(COLUMNS($AM$1006:BB1006),$AM$1006:$BM$1006,0))&gt;=100000), " ",IF(INDEX($AM$2:$BM$1001,MATCH(ROWS($AF$2:AF55),$AF$2:$AF$1001,0),MATCH(COLUMNS($AM$1006:BB1006),$AM$1006:$BM$1006,0)), HYPERLINK("#",""), HYPERLINK(CONCATENATE("#metadata!", ADDRESS(INDEX($AH$2:$AH$1001,MATCH(ROWS($AF$2:AF55),$AF$2:$AF$1001,0),0), INDEX($AM$1004:$BM$1004,1,MATCH(COLUMNS($AM$1006:BB1006),$AM$1006:$BM$1006,0)))),"Fix")))</f>
        <v xml:space="preserve"> </v>
      </c>
      <c r="R55" s="4" t="str">
        <f ca="1">IF(OR(INDEX($AG$2:$AG$1001,MATCH(ROWS($AF$2:AF55),$AF$2:$AF$1001,0),1)&gt;=100000,INDEX($AM$1005:$BM$1005,1,MATCH(COLUMNS($AM$1006:BC1006),$AM$1006:$BM$1006,0))&gt;=100000), " ",IF(INDEX($AM$2:$BM$1001,MATCH(ROWS($AF$2:AF55),$AF$2:$AF$1001,0),MATCH(COLUMNS($AM$1006:BC1006),$AM$1006:$BM$1006,0)), HYPERLINK("#",""), HYPERLINK(CONCATENATE("#metadata!", ADDRESS(INDEX($AH$2:$AH$1001,MATCH(ROWS($AF$2:AF55),$AF$2:$AF$1001,0),0), INDEX($AM$1004:$BM$1004,1,MATCH(COLUMNS($AM$1006:BC1006),$AM$1006:$BM$1006,0)))),"Fix")))</f>
        <v xml:space="preserve"> </v>
      </c>
      <c r="S55" s="4" t="str">
        <f ca="1">IF(OR(INDEX($AG$2:$AG$1001,MATCH(ROWS($AF$2:AF55),$AF$2:$AF$1001,0),1)&gt;=100000,INDEX($AM$1005:$BM$1005,1,MATCH(COLUMNS($AM$1006:BD1006),$AM$1006:$BM$1006,0))&gt;=100000), " ",IF(INDEX($AM$2:$BM$1001,MATCH(ROWS($AF$2:AF55),$AF$2:$AF$1001,0),MATCH(COLUMNS($AM$1006:BD1006),$AM$1006:$BM$1006,0)), HYPERLINK("#",""), HYPERLINK(CONCATENATE("#metadata!", ADDRESS(INDEX($AH$2:$AH$1001,MATCH(ROWS($AF$2:AF55),$AF$2:$AF$1001,0),0), INDEX($AM$1004:$BM$1004,1,MATCH(COLUMNS($AM$1006:BD1006),$AM$1006:$BM$1006,0)))),"Fix")))</f>
        <v xml:space="preserve"> </v>
      </c>
      <c r="T55" s="4" t="str">
        <f ca="1">IF(OR(INDEX($AG$2:$AG$1001,MATCH(ROWS($AF$2:AF55),$AF$2:$AF$1001,0),1)&gt;=100000,INDEX($AM$1005:$BM$1005,1,MATCH(COLUMNS($AM$1006:BE1006),$AM$1006:$BM$1006,0))&gt;=100000), " ",IF(INDEX($AM$2:$BM$1001,MATCH(ROWS($AF$2:AF55),$AF$2:$AF$1001,0),MATCH(COLUMNS($AM$1006:BE1006),$AM$1006:$BM$1006,0)), HYPERLINK("#",""), HYPERLINK(CONCATENATE("#metadata!", ADDRESS(INDEX($AH$2:$AH$1001,MATCH(ROWS($AF$2:AF55),$AF$2:$AF$1001,0),0), INDEX($AM$1004:$BM$1004,1,MATCH(COLUMNS($AM$1006:BE1006),$AM$1006:$BM$1006,0)))),"Fix")))</f>
        <v xml:space="preserve"> </v>
      </c>
      <c r="U55" s="4" t="str">
        <f ca="1">IF(OR(INDEX($AG$2:$AG$1001,MATCH(ROWS($AF$2:AF55),$AF$2:$AF$1001,0),1)&gt;=100000,INDEX($AM$1005:$BM$1005,1,MATCH(COLUMNS($AM$1006:BF1006),$AM$1006:$BM$1006,0))&gt;=100000), " ",IF(INDEX($AM$2:$BM$1001,MATCH(ROWS($AF$2:AF55),$AF$2:$AF$1001,0),MATCH(COLUMNS($AM$1006:BF1006),$AM$1006:$BM$1006,0)), HYPERLINK("#",""), HYPERLINK(CONCATENATE("#metadata!", ADDRESS(INDEX($AH$2:$AH$1001,MATCH(ROWS($AF$2:AF55),$AF$2:$AF$1001,0),0), INDEX($AM$1004:$BM$1004,1,MATCH(COLUMNS($AM$1006:BF1006),$AM$1006:$BM$1006,0)))),"Fix")))</f>
        <v xml:space="preserve"> </v>
      </c>
      <c r="V55" s="4" t="str">
        <f ca="1">IF(OR(INDEX($AG$2:$AG$1001,MATCH(ROWS($AF$2:AF55),$AF$2:$AF$1001,0),1)&gt;=100000,INDEX($AM$1005:$BM$1005,1,MATCH(COLUMNS($AM$1006:BG1006),$AM$1006:$BM$1006,0))&gt;=100000), " ",IF(INDEX($AM$2:$BM$1001,MATCH(ROWS($AF$2:AF55),$AF$2:$AF$1001,0),MATCH(COLUMNS($AM$1006:BG1006),$AM$1006:$BM$1006,0)), HYPERLINK("#",""), HYPERLINK(CONCATENATE("#metadata!", ADDRESS(INDEX($AH$2:$AH$1001,MATCH(ROWS($AF$2:AF55),$AF$2:$AF$1001,0),0), INDEX($AM$1004:$BM$1004,1,MATCH(COLUMNS($AM$1006:BG1006),$AM$1006:$BM$1006,0)))),"Fix")))</f>
        <v xml:space="preserve"> </v>
      </c>
      <c r="W55" s="4" t="str">
        <f ca="1">IF(OR(INDEX($AG$2:$AG$1001,MATCH(ROWS($AF$2:AF55),$AF$2:$AF$1001,0),1)&gt;=100000,INDEX($AM$1005:$BM$1005,1,MATCH(COLUMNS($AM$1006:BH1006),$AM$1006:$BM$1006,0))&gt;=100000), " ",IF(INDEX($AM$2:$BM$1001,MATCH(ROWS($AF$2:AF55),$AF$2:$AF$1001,0),MATCH(COLUMNS($AM$1006:BH1006),$AM$1006:$BM$1006,0)), HYPERLINK("#",""), HYPERLINK(CONCATENATE("#metadata!", ADDRESS(INDEX($AH$2:$AH$1001,MATCH(ROWS($AF$2:AF55),$AF$2:$AF$1001,0),0), INDEX($AM$1004:$BM$1004,1,MATCH(COLUMNS($AM$1006:BH1006),$AM$1006:$BM$1006,0)))),"Fix")))</f>
        <v xml:space="preserve"> </v>
      </c>
      <c r="X55" s="4" t="str">
        <f ca="1">IF(OR(INDEX($AG$2:$AG$1001,MATCH(ROWS($AF$2:AF55),$AF$2:$AF$1001,0),1)&gt;=100000,INDEX($AM$1005:$BM$1005,1,MATCH(COLUMNS($AM$1006:BI1006),$AM$1006:$BM$1006,0))&gt;=100000), " ",IF(INDEX($AM$2:$BM$1001,MATCH(ROWS($AF$2:AF55),$AF$2:$AF$1001,0),MATCH(COLUMNS($AM$1006:BI1006),$AM$1006:$BM$1006,0)), HYPERLINK("#",""), HYPERLINK(CONCATENATE("#metadata!", ADDRESS(INDEX($AH$2:$AH$1001,MATCH(ROWS($AF$2:AF55),$AF$2:$AF$1001,0),0), INDEX($AM$1004:$BM$1004,1,MATCH(COLUMNS($AM$1006:BI1006),$AM$1006:$BM$1006,0)))),"Fix")))</f>
        <v xml:space="preserve"> </v>
      </c>
      <c r="Y55" s="4" t="str">
        <f ca="1">IF(OR(INDEX($AG$2:$AG$1001,MATCH(ROWS($AF$2:AF55),$AF$2:$AF$1001,0),1)&gt;=100000,INDEX($AM$1005:$BM$1005,1,MATCH(COLUMNS($AM$1006:BJ1006),$AM$1006:$BM$1006,0))&gt;=100000), " ",IF(INDEX($AM$2:$BM$1001,MATCH(ROWS($AF$2:AF55),$AF$2:$AF$1001,0),MATCH(COLUMNS($AM$1006:BJ1006),$AM$1006:$BM$1006,0)), HYPERLINK("#",""), HYPERLINK(CONCATENATE("#metadata!", ADDRESS(INDEX($AH$2:$AH$1001,MATCH(ROWS($AF$2:AF55),$AF$2:$AF$1001,0),0), INDEX($AM$1004:$BM$1004,1,MATCH(COLUMNS($AM$1006:BJ1006),$AM$1006:$BM$1006,0)))),"Fix")))</f>
        <v xml:space="preserve"> </v>
      </c>
      <c r="Z55" s="4" t="str">
        <f ca="1">IF(OR(INDEX($AG$2:$AG$1001,MATCH(ROWS($AF$2:AF55),$AF$2:$AF$1001,0),1)&gt;=100000,INDEX($AM$1005:$BM$1005,1,MATCH(COLUMNS($AM$1006:BK1006),$AM$1006:$BM$1006,0))&gt;=100000), " ",IF(INDEX($AM$2:$BM$1001,MATCH(ROWS($AF$2:AF55),$AF$2:$AF$1001,0),MATCH(COLUMNS($AM$1006:BK1006),$AM$1006:$BM$1006,0)), HYPERLINK("#",""), HYPERLINK(CONCATENATE("#metadata!", ADDRESS(INDEX($AH$2:$AH$1001,MATCH(ROWS($AF$2:AF55),$AF$2:$AF$1001,0),0), INDEX($AM$1004:$BM$1004,1,MATCH(COLUMNS($AM$1006:BK1006),$AM$1006:$BM$1006,0)))),"Fix")))</f>
        <v xml:space="preserve"> </v>
      </c>
      <c r="AA55" s="4" t="str">
        <f ca="1">IF(OR(INDEX($AG$2:$AG$1001,MATCH(ROWS($AF$2:AF55),$AF$2:$AF$1001,0),1)&gt;=100000,INDEX($AM$1005:$BM$1005,1,MATCH(COLUMNS($AM$1006:BL1006),$AM$1006:$BM$1006,0))&gt;=100000), " ",IF(INDEX($AM$2:$BM$1001,MATCH(ROWS($AF$2:AF55),$AF$2:$AF$1001,0),MATCH(COLUMNS($AM$1006:BL1006),$AM$1006:$BM$1006,0)), HYPERLINK("#",""), HYPERLINK(CONCATENATE("#metadata!", ADDRESS(INDEX($AH$2:$AH$1001,MATCH(ROWS($AF$2:AF55),$AF$2:$AF$1001,0),0), INDEX($AM$1004:$BM$1004,1,MATCH(COLUMNS($AM$1006:BL1006),$AM$1006:$BM$1006,0)))),"Fix")))</f>
        <v xml:space="preserve"> </v>
      </c>
      <c r="AB55" s="4" t="str">
        <f ca="1">IF(OR(INDEX($AG$2:$AG$1001,MATCH(ROWS($AF$2:AF55),$AF$2:$AF$1001,0),1)&gt;=100000,INDEX($AM$1005:$BM$1005,1,MATCH(COLUMNS($AM$1006:BM1006),$AM$1006:$BM$1006,0))&gt;=100000), " ",IF(INDEX($AM$2:$BM$1001,MATCH(ROWS($AF$2:AF55),$AF$2:$AF$1001,0),MATCH(COLUMNS($AM$1006:BM1006),$AM$1006:$BM$1006,0)), HYPERLINK("#",""), HYPERLINK(CONCATENATE("#metadata!", ADDRESS(INDEX($AH$2:$AH$1001,MATCH(ROWS($AF$2:AF55),$AF$2:$AF$1001,0),0), INDEX($AM$1004:$BM$1004,1,MATCH(COLUMNS($AM$1006:BM1006),$AM$1006:$BM$1006,0)))),"Fix")))</f>
        <v xml:space="preserve"> </v>
      </c>
      <c r="AF55">
        <v>54</v>
      </c>
      <c r="AG55">
        <v>100055</v>
      </c>
      <c r="AH55">
        <v>55</v>
      </c>
      <c r="AI55" t="b">
        <f t="shared" si="0"/>
        <v>1</v>
      </c>
      <c r="AJ55" t="b">
        <f>COUNTBLANK(metadata!B55:AB55)=COLUMNS(metadata!B55:AB55)</f>
        <v>1</v>
      </c>
      <c r="AK55" t="str">
        <v/>
      </c>
      <c r="AM55" t="b">
        <f ca="1">AND(IF(metadata!B55="",FALSE,TRUE),COUNTIF(metadata!B:B, metadata!B55) = 1,NOT(ISERROR(SUMPRODUCT(SEARCH(MID(metadata!B55,ROW(INDIRECT("1:"&amp;LEN(metadata!B55))), 1),"0123456789abcdefghijklmnopqrstuvwxyzABCDEFGHIJKLMNOPQRSTUVWXYZ.")))))</f>
        <v>0</v>
      </c>
      <c r="AN55" t="b">
        <f ca="1">OR(AND(IF(metadata!C55="",FALSE,TRUE),OR(EXACT(metadata!C55,"missing: not collected"),EXACT(metadata!C55,"missing: not provided"),EXACT(metadata!C55,"missing: restricted access"))),AND(IF(metadata!C55="",FALSE,TRUE),AND(AND(IFERROR(INT(LEFT(metadata!C55,4))&gt;1900,FALSE),IFERROR(INT(LEFT(metadata!C55,4))&lt;=YEAR(NOW()),FALSE)), OR(MID(metadata!C55,5,1)="", AND(AND(MID(metadata!C55,5,1)="-",IFERROR(INT(MID(metadata!C55,6,1))&gt;=0,FALSE),IFERROR(INT(MID(metadata!C55,6,1))&lt;=1,FALSE),NOT(MID(metadata!C55,7,1)=""),IFERROR(INT(MID(metadata!C55,6,2))&gt;=1,FALSE),IFERROR(INT(MID(metadata!C55,6,2))&lt;=12,FALSE)), OR(MID(metadata!C55,8,1)="", AND(AND(MID(metadata!C55,8,1)="-",IFERROR(INT(MID(metadata!C55,9,1))&gt;=0,FALSE),IFERROR(INT(MID(metadata!C55,9,1))&lt;=3,FALSE),NOT(MID(metadata!C55,10,1)=""),IFERROR(INT(MID(metadata!C55,9,2))&gt;=1,FALSE),IFERROR(INT(MID(metadata!C55,9,2))&lt;=31,FALSE)), OR(MID(metadata!C55,11,1)="", AND(AND(MID(metadata!C55,11,1)=" ",IFERROR(INT(MID(metadata!C55,12,1))&gt;=0,FALSE),IFERROR(INT(MID(metadata!C55,12,1))&lt;=2,FALSE),NOT(MID(metadata!C55,13,1)=""),IFERROR(INT(MID(metadata!C55,12,2))&gt;=0,FALSE),IFERROR(INT(MID(metadata!C55,12,2))&lt;=23,FALSE)), OR(MID(metadata!C55,14,1)="", AND(AND(MID(metadata!C55,14,1)=":",IFERROR(INT(MID(metadata!C55,15,1))&gt;=0,FALSE),IFERROR(INT(MID(metadata!C55,15,1))&lt;=5,FALSE),NOT(MID(metadata!C55,16,1)=""),IFERROR(INT(MID(metadata!C55,15,2))&gt;=0,FALSE),IFERROR(INT(MID(metadata!C55,15,2))&lt;=59,FALSE)), OR(MID(metadata!C55,17,1)="", AND(AND(MID(metadata!C55,17,1)=":",IFERROR(INT(MID(metadata!C55,18,1))&gt;=0,FALSE),IFERROR(INT(MID(metadata!C55,18,1))&lt;=5,FALSE),NOT(MID(metadata!C55,19,1)=""),IFERROR(INT(MID(metadata!C55,18,2))&gt;=0,FALSE),IFERROR(INT(MID(metadata!C55,18,2))&lt;=59,FALSE)), LEN(metadata!C55)&lt;=19)))))))))))))</f>
        <v>0</v>
      </c>
      <c r="AO55" t="b">
        <f>AND(IF(metadata!D55="",FALSE,TRUE),EXACT(metadata!D55,"Not applicable"))</f>
        <v>0</v>
      </c>
      <c r="AP55" t="b">
        <f>IF(metadata!E55="",FALSE,TRUE)</f>
        <v>0</v>
      </c>
      <c r="AQ55" t="b">
        <f>OR(AND(IF(metadata!F55="",FALSE,TRUE),OR(EXACT(metadata!F55,"missing: not collected"),EXACT(metadata!F55,"missing: not provided"))),AND(IF(metadata!F55="",FALSE,TRUE),OR(EXACT(metadata!F55,"TRUE"),EXACT(metadata!F55,"FALSE"))))</f>
        <v>0</v>
      </c>
      <c r="AR55" t="b">
        <f>OR(AND(IF(metadata!G55="",FALSE,TRUE),OR(EXACT(metadata!G55,"missing: not collected"),EXACT(metadata!G55,"missing: not provided"),EXACT(metadata!G55,"missing: restricted access"))),AND(IF(metadata!G55="",FALSE,ISNUMBER(VALUE(metadata!G55))),metadata!G55&gt;=-413))</f>
        <v>0</v>
      </c>
      <c r="AS55" t="b">
        <f>AND(IF(metadata!H55="",FALSE,TRUE),EXACT(metadata!H55,"meters"))</f>
        <v>0</v>
      </c>
      <c r="AT55" t="b">
        <f>AND(IF(metadata!I55="",FALSE,TRUE),OR(EXACT(metadata!I55,"Host-associated"),EXACT(metadata!I55,"Free-living")))</f>
        <v>0</v>
      </c>
      <c r="AU55" t="b">
        <f>AND(IF(metadata!J55="",FALSE,TRUE),OR(EXACT(metadata!J55,"Animal"),EXACT(metadata!J55,"Fungus"),EXACT(metadata!J55,"Plant"),EXACT(metadata!J55,"Saline"),EXACT(metadata!J55,"Non-saline")))</f>
        <v>0</v>
      </c>
      <c r="AV55" t="b">
        <f>AND(IF(metadata!K55="",FALSE,TRUE),OR(EXACT(metadata!K55,"Plant secretion"),EXACT(metadata!K55,"Plant rhizosphere"),EXACT(metadata!K55,"Plant surface"),EXACT(metadata!K55,"Plant corpus"),EXACT(metadata!K55,"Fungus surface"),EXACT(metadata!K55,"Fungus corpus"),EXACT(metadata!K55,"Animal surface"),EXACT(metadata!K55,"Animal proximal gut"),EXACT(metadata!K55,"Animal corpus"),EXACT(metadata!K55,"Animal distal gut"),EXACT(metadata!K55,"Animal secretion"),EXACT(metadata!K55,"Sub-surface (non-saline)"),EXACT(metadata!K55,"Surface (non-saline)"),EXACT(metadata!K55,"Water (non-saline)"),EXACT(metadata!K55,"Soil (non-saline)"),EXACT(metadata!K55,"Aerosol (non-saline)"),EXACT(metadata!K55,"Sediment (non-saline)"),EXACT(metadata!K55,"Surface (saline)"),EXACT(metadata!K55,"Water (saline)"),EXACT(metadata!K55,"Hypersaline (saline)"),EXACT(metadata!K55,"Aerosol (saline)"),EXACT(metadata!K55,"Sediment (saline)")))</f>
        <v>0</v>
      </c>
      <c r="AW55" t="b">
        <f>IF(metadata!L55="",FALSE,TRUE)</f>
        <v>0</v>
      </c>
      <c r="AX55" t="b">
        <f>IF(metadata!M55="",FALSE,TRUE)</f>
        <v>0</v>
      </c>
      <c r="AY55" t="b">
        <f>IF(metadata!N55="",FALSE,TRUE)</f>
        <v>0</v>
      </c>
      <c r="AZ55" t="b">
        <f>OR(AND(IF(metadata!O55="",FALSE,TRUE),OR(EXACT(metadata!O55,"missing: not collected"),EXACT(metadata!O55,"missing: not provided"),EXACT(metadata!O55,"missing: restricted access"))),AND(IF(metadata!O55="",FALSE,TRUE),OR(EXACT(metadata!O55,"air"),EXACT(metadata!O55,"built environment"),EXACT(metadata!O55,"host-associated"),EXACT(metadata!O55,"human-associated"),EXACT(metadata!O55,"human-skin"),EXACT(metadata!O55,"human-oral"),EXACT(metadata!O55,"human-gut"),EXACT(metadata!O55,"human-vaginal"),EXACT(metadata!O55,"microbial mat/biofilm"),EXACT(metadata!O55,"misc environment"),EXACT(metadata!O55,"plant-associated"),EXACT(metadata!O55,"sediment"),EXACT(metadata!O55,"soil"),EXACT(metadata!O55,"wastewater/sludge"),EXACT(metadata!O55,"water"))))</f>
        <v>0</v>
      </c>
      <c r="BA55" t="b">
        <f>IF(metadata!P55="",FALSE,TRUE)</f>
        <v>0</v>
      </c>
      <c r="BB55" t="b">
        <f>IF(metadata!Q55="",FALSE,TRUE)</f>
        <v>0</v>
      </c>
      <c r="BC55" t="b">
        <f>OR(AND(IF(metadata!R55="",FALSE,TRUE),OR(EXACT(metadata!R55,"missing: not collected"),EXACT(metadata!R55,"missing: not provided"),EXACT(metadata!R55,"missing: restricted access"))),AND(IF(metadata!R55="",FALSE,ISNUMBER(VALUE(metadata!R55))),metadata!R55&gt;=-90,metadata!R55&lt;=90))</f>
        <v>0</v>
      </c>
      <c r="BD55" t="b">
        <f>AND(IF(metadata!S55="",FALSE,TRUE),EXACT(metadata!S55,"Decimal degrees"))</f>
        <v>0</v>
      </c>
      <c r="BE55" t="b">
        <f>OR(AND(IF(metadata!T55="",FALSE,TRUE),OR(EXACT(metadata!T55,"missing: not collected"),EXACT(metadata!T55,"missing: not provided"),EXACT(metadata!T55,"missing: restricted access"))),AND(IF(metadata!T55="",FALSE,ISNUMBER(VALUE(metadata!T55))),metadata!T55&gt;=-180,metadata!T55&lt;=180))</f>
        <v>0</v>
      </c>
      <c r="BF55" t="b">
        <f>AND(IF(metadata!U55="",FALSE,TRUE),EXACT(metadata!U55,"Decimal degrees"))</f>
        <v>0</v>
      </c>
      <c r="BG55" t="b">
        <f>IF(metadata!V55="",FALSE,TRUE)</f>
        <v>0</v>
      </c>
      <c r="BH55" t="b">
        <f>OR(AND(IF(metadata!W55="",FALSE,TRUE),OR(EXACT(metadata!W55,"missing: not collected"),EXACT(metadata!W55,"missing: not provided"),EXACT(metadata!W55,"missing: restricted access"))),AND(IF(metadata!W55="",FALSE,TRUE),OR(EXACT(metadata!W55,"TRUE"),EXACT(metadata!W55,"FALSE"))))</f>
        <v>0</v>
      </c>
      <c r="BI55" t="b">
        <f>AND(IF(metadata!X55="",FALSE,TRUE),EXACT(metadata!X55,"other"))</f>
        <v>0</v>
      </c>
      <c r="BJ55" t="b">
        <f>IF(metadata!Y55="",FALSE,TRUE)</f>
        <v>0</v>
      </c>
      <c r="BK55" t="b">
        <f>OR(AND(IF(metadata!Z55="",FALSE,TRUE),OR(EXACT(metadata!Z55,"missing: not collected"),EXACT(metadata!Z55,"missing: not provided"))),AND(IF(metadata!Z55="",FALSE,IF(ISERROR(INT(metadata!Z55)),FALSE,INT(metadata!Z55)=metadata!Z55)),metadata!Z55&gt;0))</f>
        <v>0</v>
      </c>
      <c r="BL55" t="b">
        <f>AND(IF(metadata!AA55="",FALSE,TRUE),EXACT(metadata!AA55,"Not applicable"))</f>
        <v>0</v>
      </c>
      <c r="BM55" t="b">
        <f>IF(metadata!AB55="",FALSE,TRUE)</f>
        <v>0</v>
      </c>
    </row>
    <row r="56" spans="1:65" x14ac:dyDescent="0.2">
      <c r="A56" s="5" t="str">
        <f ca="1">IF(B56=" "," ",HYPERLINK(CONCATENATE("#metadata!",ADDRESS(INDEX($AH$2:$AH$1001,MATCH(ROWS($AF$2:AF56),$AF$2:$AF$1001,0),0),1)),INDEX($AK$2:$AK$1001,MATCH(ROWS($AF$2:AF56),$AF$2:$AF$1001,0),0)))</f>
        <v xml:space="preserve"> </v>
      </c>
      <c r="B56" s="4" t="str">
        <f ca="1">IF(OR(INDEX($AG$2:$AG$1001,MATCH(ROWS($AF$2:AF56),$AF$2:$AF$1001,0),1)&gt;=100000,INDEX($AM$1005:$BM$1005,1,MATCH(COLUMNS($AM$1006:AM1006),$AM$1006:$BM$1006,0))&gt;=100000), " ",IF(INDEX($AM$2:$BM$1001,MATCH(ROWS($AF$2:AF56),$AF$2:$AF$1001,0),MATCH(COLUMNS($AM$1006:AM1006),$AM$1006:$BM$1006,0)), HYPERLINK("#",""), HYPERLINK(CONCATENATE("#metadata!", ADDRESS(INDEX($AH$2:$AH$1001,MATCH(ROWS($AF$2:AF56),$AF$2:$AF$1001,0),0), INDEX($AM$1004:$BM$1004,1,MATCH(COLUMNS($AM$1006:AM1006),$AM$1006:$BM$1006,0)))),"Fix")))</f>
        <v xml:space="preserve"> </v>
      </c>
      <c r="C56" s="4" t="str">
        <f ca="1">IF(OR(INDEX($AG$2:$AG$1001,MATCH(ROWS($AF$2:AF56),$AF$2:$AF$1001,0),1)&gt;=100000,INDEX($AM$1005:$BM$1005,1,MATCH(COLUMNS($AM$1006:AN1006),$AM$1006:$BM$1006,0))&gt;=100000), " ",IF(INDEX($AM$2:$BM$1001,MATCH(ROWS($AF$2:AF56),$AF$2:$AF$1001,0),MATCH(COLUMNS($AM$1006:AN1006),$AM$1006:$BM$1006,0)), HYPERLINK("#",""), HYPERLINK(CONCATENATE("#metadata!", ADDRESS(INDEX($AH$2:$AH$1001,MATCH(ROWS($AF$2:AF56),$AF$2:$AF$1001,0),0), INDEX($AM$1004:$BM$1004,1,MATCH(COLUMNS($AM$1006:AN1006),$AM$1006:$BM$1006,0)))),"Fix")))</f>
        <v xml:space="preserve"> </v>
      </c>
      <c r="D56" s="4" t="str">
        <f ca="1">IF(OR(INDEX($AG$2:$AG$1001,MATCH(ROWS($AF$2:AF56),$AF$2:$AF$1001,0),1)&gt;=100000,INDEX($AM$1005:$BM$1005,1,MATCH(COLUMNS($AM$1006:AO1006),$AM$1006:$BM$1006,0))&gt;=100000), " ",IF(INDEX($AM$2:$BM$1001,MATCH(ROWS($AF$2:AF56),$AF$2:$AF$1001,0),MATCH(COLUMNS($AM$1006:AO1006),$AM$1006:$BM$1006,0)), HYPERLINK("#",""), HYPERLINK(CONCATENATE("#metadata!", ADDRESS(INDEX($AH$2:$AH$1001,MATCH(ROWS($AF$2:AF56),$AF$2:$AF$1001,0),0), INDEX($AM$1004:$BM$1004,1,MATCH(COLUMNS($AM$1006:AO1006),$AM$1006:$BM$1006,0)))),"Fix")))</f>
        <v xml:space="preserve"> </v>
      </c>
      <c r="E56" s="4" t="str">
        <f ca="1">IF(OR(INDEX($AG$2:$AG$1001,MATCH(ROWS($AF$2:AF56),$AF$2:$AF$1001,0),1)&gt;=100000,INDEX($AM$1005:$BM$1005,1,MATCH(COLUMNS($AM$1006:AP1006),$AM$1006:$BM$1006,0))&gt;=100000), " ",IF(INDEX($AM$2:$BM$1001,MATCH(ROWS($AF$2:AF56),$AF$2:$AF$1001,0),MATCH(COLUMNS($AM$1006:AP1006),$AM$1006:$BM$1006,0)), HYPERLINK("#",""), HYPERLINK(CONCATENATE("#metadata!", ADDRESS(INDEX($AH$2:$AH$1001,MATCH(ROWS($AF$2:AF56),$AF$2:$AF$1001,0),0), INDEX($AM$1004:$BM$1004,1,MATCH(COLUMNS($AM$1006:AP1006),$AM$1006:$BM$1006,0)))),"Fix")))</f>
        <v xml:space="preserve"> </v>
      </c>
      <c r="F56" s="4" t="str">
        <f ca="1">IF(OR(INDEX($AG$2:$AG$1001,MATCH(ROWS($AF$2:AF56),$AF$2:$AF$1001,0),1)&gt;=100000,INDEX($AM$1005:$BM$1005,1,MATCH(COLUMNS($AM$1006:AQ1006),$AM$1006:$BM$1006,0))&gt;=100000), " ",IF(INDEX($AM$2:$BM$1001,MATCH(ROWS($AF$2:AF56),$AF$2:$AF$1001,0),MATCH(COLUMNS($AM$1006:AQ1006),$AM$1006:$BM$1006,0)), HYPERLINK("#",""), HYPERLINK(CONCATENATE("#metadata!", ADDRESS(INDEX($AH$2:$AH$1001,MATCH(ROWS($AF$2:AF56),$AF$2:$AF$1001,0),0), INDEX($AM$1004:$BM$1004,1,MATCH(COLUMNS($AM$1006:AQ1006),$AM$1006:$BM$1006,0)))),"Fix")))</f>
        <v xml:space="preserve"> </v>
      </c>
      <c r="G56" s="4" t="str">
        <f ca="1">IF(OR(INDEX($AG$2:$AG$1001,MATCH(ROWS($AF$2:AF56),$AF$2:$AF$1001,0),1)&gt;=100000,INDEX($AM$1005:$BM$1005,1,MATCH(COLUMNS($AM$1006:AR1006),$AM$1006:$BM$1006,0))&gt;=100000), " ",IF(INDEX($AM$2:$BM$1001,MATCH(ROWS($AF$2:AF56),$AF$2:$AF$1001,0),MATCH(COLUMNS($AM$1006:AR1006),$AM$1006:$BM$1006,0)), HYPERLINK("#",""), HYPERLINK(CONCATENATE("#metadata!", ADDRESS(INDEX($AH$2:$AH$1001,MATCH(ROWS($AF$2:AF56),$AF$2:$AF$1001,0),0), INDEX($AM$1004:$BM$1004,1,MATCH(COLUMNS($AM$1006:AR1006),$AM$1006:$BM$1006,0)))),"Fix")))</f>
        <v xml:space="preserve"> </v>
      </c>
      <c r="H56" s="4" t="str">
        <f ca="1">IF(OR(INDEX($AG$2:$AG$1001,MATCH(ROWS($AF$2:AF56),$AF$2:$AF$1001,0),1)&gt;=100000,INDEX($AM$1005:$BM$1005,1,MATCH(COLUMNS($AM$1006:AS1006),$AM$1006:$BM$1006,0))&gt;=100000), " ",IF(INDEX($AM$2:$BM$1001,MATCH(ROWS($AF$2:AF56),$AF$2:$AF$1001,0),MATCH(COLUMNS($AM$1006:AS1006),$AM$1006:$BM$1006,0)), HYPERLINK("#",""), HYPERLINK(CONCATENATE("#metadata!", ADDRESS(INDEX($AH$2:$AH$1001,MATCH(ROWS($AF$2:AF56),$AF$2:$AF$1001,0),0), INDEX($AM$1004:$BM$1004,1,MATCH(COLUMNS($AM$1006:AS1006),$AM$1006:$BM$1006,0)))),"Fix")))</f>
        <v xml:space="preserve"> </v>
      </c>
      <c r="I56" s="4" t="str">
        <f ca="1">IF(OR(INDEX($AG$2:$AG$1001,MATCH(ROWS($AF$2:AF56),$AF$2:$AF$1001,0),1)&gt;=100000,INDEX($AM$1005:$BM$1005,1,MATCH(COLUMNS($AM$1006:AT1006),$AM$1006:$BM$1006,0))&gt;=100000), " ",IF(INDEX($AM$2:$BM$1001,MATCH(ROWS($AF$2:AF56),$AF$2:$AF$1001,0),MATCH(COLUMNS($AM$1006:AT1006),$AM$1006:$BM$1006,0)), HYPERLINK("#",""), HYPERLINK(CONCATENATE("#metadata!", ADDRESS(INDEX($AH$2:$AH$1001,MATCH(ROWS($AF$2:AF56),$AF$2:$AF$1001,0),0), INDEX($AM$1004:$BM$1004,1,MATCH(COLUMNS($AM$1006:AT1006),$AM$1006:$BM$1006,0)))),"Fix")))</f>
        <v xml:space="preserve"> </v>
      </c>
      <c r="J56" s="4" t="str">
        <f ca="1">IF(OR(INDEX($AG$2:$AG$1001,MATCH(ROWS($AF$2:AF56),$AF$2:$AF$1001,0),1)&gt;=100000,INDEX($AM$1005:$BM$1005,1,MATCH(COLUMNS($AM$1006:AU1006),$AM$1006:$BM$1006,0))&gt;=100000), " ",IF(INDEX($AM$2:$BM$1001,MATCH(ROWS($AF$2:AF56),$AF$2:$AF$1001,0),MATCH(COLUMNS($AM$1006:AU1006),$AM$1006:$BM$1006,0)), HYPERLINK("#",""), HYPERLINK(CONCATENATE("#metadata!", ADDRESS(INDEX($AH$2:$AH$1001,MATCH(ROWS($AF$2:AF56),$AF$2:$AF$1001,0),0), INDEX($AM$1004:$BM$1004,1,MATCH(COLUMNS($AM$1006:AU1006),$AM$1006:$BM$1006,0)))),"Fix")))</f>
        <v xml:space="preserve"> </v>
      </c>
      <c r="K56" s="4" t="str">
        <f ca="1">IF(OR(INDEX($AG$2:$AG$1001,MATCH(ROWS($AF$2:AF56),$AF$2:$AF$1001,0),1)&gt;=100000,INDEX($AM$1005:$BM$1005,1,MATCH(COLUMNS($AM$1006:AV1006),$AM$1006:$BM$1006,0))&gt;=100000), " ",IF(INDEX($AM$2:$BM$1001,MATCH(ROWS($AF$2:AF56),$AF$2:$AF$1001,0),MATCH(COLUMNS($AM$1006:AV1006),$AM$1006:$BM$1006,0)), HYPERLINK("#",""), HYPERLINK(CONCATENATE("#metadata!", ADDRESS(INDEX($AH$2:$AH$1001,MATCH(ROWS($AF$2:AF56),$AF$2:$AF$1001,0),0), INDEX($AM$1004:$BM$1004,1,MATCH(COLUMNS($AM$1006:AV1006),$AM$1006:$BM$1006,0)))),"Fix")))</f>
        <v xml:space="preserve"> </v>
      </c>
      <c r="L56" s="4" t="str">
        <f ca="1">IF(OR(INDEX($AG$2:$AG$1001,MATCH(ROWS($AF$2:AF56),$AF$2:$AF$1001,0),1)&gt;=100000,INDEX($AM$1005:$BM$1005,1,MATCH(COLUMNS($AM$1006:AW1006),$AM$1006:$BM$1006,0))&gt;=100000), " ",IF(INDEX($AM$2:$BM$1001,MATCH(ROWS($AF$2:AF56),$AF$2:$AF$1001,0),MATCH(COLUMNS($AM$1006:AW1006),$AM$1006:$BM$1006,0)), HYPERLINK("#",""), HYPERLINK(CONCATENATE("#metadata!", ADDRESS(INDEX($AH$2:$AH$1001,MATCH(ROWS($AF$2:AF56),$AF$2:$AF$1001,0),0), INDEX($AM$1004:$BM$1004,1,MATCH(COLUMNS($AM$1006:AW1006),$AM$1006:$BM$1006,0)))),"Fix")))</f>
        <v xml:space="preserve"> </v>
      </c>
      <c r="M56" s="4" t="str">
        <f ca="1">IF(OR(INDEX($AG$2:$AG$1001,MATCH(ROWS($AF$2:AF56),$AF$2:$AF$1001,0),1)&gt;=100000,INDEX($AM$1005:$BM$1005,1,MATCH(COLUMNS($AM$1006:AX1006),$AM$1006:$BM$1006,0))&gt;=100000), " ",IF(INDEX($AM$2:$BM$1001,MATCH(ROWS($AF$2:AF56),$AF$2:$AF$1001,0),MATCH(COLUMNS($AM$1006:AX1006),$AM$1006:$BM$1006,0)), HYPERLINK("#",""), HYPERLINK(CONCATENATE("#metadata!", ADDRESS(INDEX($AH$2:$AH$1001,MATCH(ROWS($AF$2:AF56),$AF$2:$AF$1001,0),0), INDEX($AM$1004:$BM$1004,1,MATCH(COLUMNS($AM$1006:AX1006),$AM$1006:$BM$1006,0)))),"Fix")))</f>
        <v xml:space="preserve"> </v>
      </c>
      <c r="N56" s="4" t="str">
        <f ca="1">IF(OR(INDEX($AG$2:$AG$1001,MATCH(ROWS($AF$2:AF56),$AF$2:$AF$1001,0),1)&gt;=100000,INDEX($AM$1005:$BM$1005,1,MATCH(COLUMNS($AM$1006:AY1006),$AM$1006:$BM$1006,0))&gt;=100000), " ",IF(INDEX($AM$2:$BM$1001,MATCH(ROWS($AF$2:AF56),$AF$2:$AF$1001,0),MATCH(COLUMNS($AM$1006:AY1006),$AM$1006:$BM$1006,0)), HYPERLINK("#",""), HYPERLINK(CONCATENATE("#metadata!", ADDRESS(INDEX($AH$2:$AH$1001,MATCH(ROWS($AF$2:AF56),$AF$2:$AF$1001,0),0), INDEX($AM$1004:$BM$1004,1,MATCH(COLUMNS($AM$1006:AY1006),$AM$1006:$BM$1006,0)))),"Fix")))</f>
        <v xml:space="preserve"> </v>
      </c>
      <c r="O56" s="4" t="str">
        <f ca="1">IF(OR(INDEX($AG$2:$AG$1001,MATCH(ROWS($AF$2:AF56),$AF$2:$AF$1001,0),1)&gt;=100000,INDEX($AM$1005:$BM$1005,1,MATCH(COLUMNS($AM$1006:AZ1006),$AM$1006:$BM$1006,0))&gt;=100000), " ",IF(INDEX($AM$2:$BM$1001,MATCH(ROWS($AF$2:AF56),$AF$2:$AF$1001,0),MATCH(COLUMNS($AM$1006:AZ1006),$AM$1006:$BM$1006,0)), HYPERLINK("#",""), HYPERLINK(CONCATENATE("#metadata!", ADDRESS(INDEX($AH$2:$AH$1001,MATCH(ROWS($AF$2:AF56),$AF$2:$AF$1001,0),0), INDEX($AM$1004:$BM$1004,1,MATCH(COLUMNS($AM$1006:AZ1006),$AM$1006:$BM$1006,0)))),"Fix")))</f>
        <v xml:space="preserve"> </v>
      </c>
      <c r="P56" s="4" t="str">
        <f ca="1">IF(OR(INDEX($AG$2:$AG$1001,MATCH(ROWS($AF$2:AF56),$AF$2:$AF$1001,0),1)&gt;=100000,INDEX($AM$1005:$BM$1005,1,MATCH(COLUMNS($AM$1006:BA1006),$AM$1006:$BM$1006,0))&gt;=100000), " ",IF(INDEX($AM$2:$BM$1001,MATCH(ROWS($AF$2:AF56),$AF$2:$AF$1001,0),MATCH(COLUMNS($AM$1006:BA1006),$AM$1006:$BM$1006,0)), HYPERLINK("#",""), HYPERLINK(CONCATENATE("#metadata!", ADDRESS(INDEX($AH$2:$AH$1001,MATCH(ROWS($AF$2:AF56),$AF$2:$AF$1001,0),0), INDEX($AM$1004:$BM$1004,1,MATCH(COLUMNS($AM$1006:BA1006),$AM$1006:$BM$1006,0)))),"Fix")))</f>
        <v xml:space="preserve"> </v>
      </c>
      <c r="Q56" s="4" t="str">
        <f ca="1">IF(OR(INDEX($AG$2:$AG$1001,MATCH(ROWS($AF$2:AF56),$AF$2:$AF$1001,0),1)&gt;=100000,INDEX($AM$1005:$BM$1005,1,MATCH(COLUMNS($AM$1006:BB1006),$AM$1006:$BM$1006,0))&gt;=100000), " ",IF(INDEX($AM$2:$BM$1001,MATCH(ROWS($AF$2:AF56),$AF$2:$AF$1001,0),MATCH(COLUMNS($AM$1006:BB1006),$AM$1006:$BM$1006,0)), HYPERLINK("#",""), HYPERLINK(CONCATENATE("#metadata!", ADDRESS(INDEX($AH$2:$AH$1001,MATCH(ROWS($AF$2:AF56),$AF$2:$AF$1001,0),0), INDEX($AM$1004:$BM$1004,1,MATCH(COLUMNS($AM$1006:BB1006),$AM$1006:$BM$1006,0)))),"Fix")))</f>
        <v xml:space="preserve"> </v>
      </c>
      <c r="R56" s="4" t="str">
        <f ca="1">IF(OR(INDEX($AG$2:$AG$1001,MATCH(ROWS($AF$2:AF56),$AF$2:$AF$1001,0),1)&gt;=100000,INDEX($AM$1005:$BM$1005,1,MATCH(COLUMNS($AM$1006:BC1006),$AM$1006:$BM$1006,0))&gt;=100000), " ",IF(INDEX($AM$2:$BM$1001,MATCH(ROWS($AF$2:AF56),$AF$2:$AF$1001,0),MATCH(COLUMNS($AM$1006:BC1006),$AM$1006:$BM$1006,0)), HYPERLINK("#",""), HYPERLINK(CONCATENATE("#metadata!", ADDRESS(INDEX($AH$2:$AH$1001,MATCH(ROWS($AF$2:AF56),$AF$2:$AF$1001,0),0), INDEX($AM$1004:$BM$1004,1,MATCH(COLUMNS($AM$1006:BC1006),$AM$1006:$BM$1006,0)))),"Fix")))</f>
        <v xml:space="preserve"> </v>
      </c>
      <c r="S56" s="4" t="str">
        <f ca="1">IF(OR(INDEX($AG$2:$AG$1001,MATCH(ROWS($AF$2:AF56),$AF$2:$AF$1001,0),1)&gt;=100000,INDEX($AM$1005:$BM$1005,1,MATCH(COLUMNS($AM$1006:BD1006),$AM$1006:$BM$1006,0))&gt;=100000), " ",IF(INDEX($AM$2:$BM$1001,MATCH(ROWS($AF$2:AF56),$AF$2:$AF$1001,0),MATCH(COLUMNS($AM$1006:BD1006),$AM$1006:$BM$1006,0)), HYPERLINK("#",""), HYPERLINK(CONCATENATE("#metadata!", ADDRESS(INDEX($AH$2:$AH$1001,MATCH(ROWS($AF$2:AF56),$AF$2:$AF$1001,0),0), INDEX($AM$1004:$BM$1004,1,MATCH(COLUMNS($AM$1006:BD1006),$AM$1006:$BM$1006,0)))),"Fix")))</f>
        <v xml:space="preserve"> </v>
      </c>
      <c r="T56" s="4" t="str">
        <f ca="1">IF(OR(INDEX($AG$2:$AG$1001,MATCH(ROWS($AF$2:AF56),$AF$2:$AF$1001,0),1)&gt;=100000,INDEX($AM$1005:$BM$1005,1,MATCH(COLUMNS($AM$1006:BE1006),$AM$1006:$BM$1006,0))&gt;=100000), " ",IF(INDEX($AM$2:$BM$1001,MATCH(ROWS($AF$2:AF56),$AF$2:$AF$1001,0),MATCH(COLUMNS($AM$1006:BE1006),$AM$1006:$BM$1006,0)), HYPERLINK("#",""), HYPERLINK(CONCATENATE("#metadata!", ADDRESS(INDEX($AH$2:$AH$1001,MATCH(ROWS($AF$2:AF56),$AF$2:$AF$1001,0),0), INDEX($AM$1004:$BM$1004,1,MATCH(COLUMNS($AM$1006:BE1006),$AM$1006:$BM$1006,0)))),"Fix")))</f>
        <v xml:space="preserve"> </v>
      </c>
      <c r="U56" s="4" t="str">
        <f ca="1">IF(OR(INDEX($AG$2:$AG$1001,MATCH(ROWS($AF$2:AF56),$AF$2:$AF$1001,0),1)&gt;=100000,INDEX($AM$1005:$BM$1005,1,MATCH(COLUMNS($AM$1006:BF1006),$AM$1006:$BM$1006,0))&gt;=100000), " ",IF(INDEX($AM$2:$BM$1001,MATCH(ROWS($AF$2:AF56),$AF$2:$AF$1001,0),MATCH(COLUMNS($AM$1006:BF1006),$AM$1006:$BM$1006,0)), HYPERLINK("#",""), HYPERLINK(CONCATENATE("#metadata!", ADDRESS(INDEX($AH$2:$AH$1001,MATCH(ROWS($AF$2:AF56),$AF$2:$AF$1001,0),0), INDEX($AM$1004:$BM$1004,1,MATCH(COLUMNS($AM$1006:BF1006),$AM$1006:$BM$1006,0)))),"Fix")))</f>
        <v xml:space="preserve"> </v>
      </c>
      <c r="V56" s="4" t="str">
        <f ca="1">IF(OR(INDEX($AG$2:$AG$1001,MATCH(ROWS($AF$2:AF56),$AF$2:$AF$1001,0),1)&gt;=100000,INDEX($AM$1005:$BM$1005,1,MATCH(COLUMNS($AM$1006:BG1006),$AM$1006:$BM$1006,0))&gt;=100000), " ",IF(INDEX($AM$2:$BM$1001,MATCH(ROWS($AF$2:AF56),$AF$2:$AF$1001,0),MATCH(COLUMNS($AM$1006:BG1006),$AM$1006:$BM$1006,0)), HYPERLINK("#",""), HYPERLINK(CONCATENATE("#metadata!", ADDRESS(INDEX($AH$2:$AH$1001,MATCH(ROWS($AF$2:AF56),$AF$2:$AF$1001,0),0), INDEX($AM$1004:$BM$1004,1,MATCH(COLUMNS($AM$1006:BG1006),$AM$1006:$BM$1006,0)))),"Fix")))</f>
        <v xml:space="preserve"> </v>
      </c>
      <c r="W56" s="4" t="str">
        <f ca="1">IF(OR(INDEX($AG$2:$AG$1001,MATCH(ROWS($AF$2:AF56),$AF$2:$AF$1001,0),1)&gt;=100000,INDEX($AM$1005:$BM$1005,1,MATCH(COLUMNS($AM$1006:BH1006),$AM$1006:$BM$1006,0))&gt;=100000), " ",IF(INDEX($AM$2:$BM$1001,MATCH(ROWS($AF$2:AF56),$AF$2:$AF$1001,0),MATCH(COLUMNS($AM$1006:BH1006),$AM$1006:$BM$1006,0)), HYPERLINK("#",""), HYPERLINK(CONCATENATE("#metadata!", ADDRESS(INDEX($AH$2:$AH$1001,MATCH(ROWS($AF$2:AF56),$AF$2:$AF$1001,0),0), INDEX($AM$1004:$BM$1004,1,MATCH(COLUMNS($AM$1006:BH1006),$AM$1006:$BM$1006,0)))),"Fix")))</f>
        <v xml:space="preserve"> </v>
      </c>
      <c r="X56" s="4" t="str">
        <f ca="1">IF(OR(INDEX($AG$2:$AG$1001,MATCH(ROWS($AF$2:AF56),$AF$2:$AF$1001,0),1)&gt;=100000,INDEX($AM$1005:$BM$1005,1,MATCH(COLUMNS($AM$1006:BI1006),$AM$1006:$BM$1006,0))&gt;=100000), " ",IF(INDEX($AM$2:$BM$1001,MATCH(ROWS($AF$2:AF56),$AF$2:$AF$1001,0),MATCH(COLUMNS($AM$1006:BI1006),$AM$1006:$BM$1006,0)), HYPERLINK("#",""), HYPERLINK(CONCATENATE("#metadata!", ADDRESS(INDEX($AH$2:$AH$1001,MATCH(ROWS($AF$2:AF56),$AF$2:$AF$1001,0),0), INDEX($AM$1004:$BM$1004,1,MATCH(COLUMNS($AM$1006:BI1006),$AM$1006:$BM$1006,0)))),"Fix")))</f>
        <v xml:space="preserve"> </v>
      </c>
      <c r="Y56" s="4" t="str">
        <f ca="1">IF(OR(INDEX($AG$2:$AG$1001,MATCH(ROWS($AF$2:AF56),$AF$2:$AF$1001,0),1)&gt;=100000,INDEX($AM$1005:$BM$1005,1,MATCH(COLUMNS($AM$1006:BJ1006),$AM$1006:$BM$1006,0))&gt;=100000), " ",IF(INDEX($AM$2:$BM$1001,MATCH(ROWS($AF$2:AF56),$AF$2:$AF$1001,0),MATCH(COLUMNS($AM$1006:BJ1006),$AM$1006:$BM$1006,0)), HYPERLINK("#",""), HYPERLINK(CONCATENATE("#metadata!", ADDRESS(INDEX($AH$2:$AH$1001,MATCH(ROWS($AF$2:AF56),$AF$2:$AF$1001,0),0), INDEX($AM$1004:$BM$1004,1,MATCH(COLUMNS($AM$1006:BJ1006),$AM$1006:$BM$1006,0)))),"Fix")))</f>
        <v xml:space="preserve"> </v>
      </c>
      <c r="Z56" s="4" t="str">
        <f ca="1">IF(OR(INDEX($AG$2:$AG$1001,MATCH(ROWS($AF$2:AF56),$AF$2:$AF$1001,0),1)&gt;=100000,INDEX($AM$1005:$BM$1005,1,MATCH(COLUMNS($AM$1006:BK1006),$AM$1006:$BM$1006,0))&gt;=100000), " ",IF(INDEX($AM$2:$BM$1001,MATCH(ROWS($AF$2:AF56),$AF$2:$AF$1001,0),MATCH(COLUMNS($AM$1006:BK1006),$AM$1006:$BM$1006,0)), HYPERLINK("#",""), HYPERLINK(CONCATENATE("#metadata!", ADDRESS(INDEX($AH$2:$AH$1001,MATCH(ROWS($AF$2:AF56),$AF$2:$AF$1001,0),0), INDEX($AM$1004:$BM$1004,1,MATCH(COLUMNS($AM$1006:BK1006),$AM$1006:$BM$1006,0)))),"Fix")))</f>
        <v xml:space="preserve"> </v>
      </c>
      <c r="AA56" s="4" t="str">
        <f ca="1">IF(OR(INDEX($AG$2:$AG$1001,MATCH(ROWS($AF$2:AF56),$AF$2:$AF$1001,0),1)&gt;=100000,INDEX($AM$1005:$BM$1005,1,MATCH(COLUMNS($AM$1006:BL1006),$AM$1006:$BM$1006,0))&gt;=100000), " ",IF(INDEX($AM$2:$BM$1001,MATCH(ROWS($AF$2:AF56),$AF$2:$AF$1001,0),MATCH(COLUMNS($AM$1006:BL1006),$AM$1006:$BM$1006,0)), HYPERLINK("#",""), HYPERLINK(CONCATENATE("#metadata!", ADDRESS(INDEX($AH$2:$AH$1001,MATCH(ROWS($AF$2:AF56),$AF$2:$AF$1001,0),0), INDEX($AM$1004:$BM$1004,1,MATCH(COLUMNS($AM$1006:BL1006),$AM$1006:$BM$1006,0)))),"Fix")))</f>
        <v xml:space="preserve"> </v>
      </c>
      <c r="AB56" s="4" t="str">
        <f ca="1">IF(OR(INDEX($AG$2:$AG$1001,MATCH(ROWS($AF$2:AF56),$AF$2:$AF$1001,0),1)&gt;=100000,INDEX($AM$1005:$BM$1005,1,MATCH(COLUMNS($AM$1006:BM1006),$AM$1006:$BM$1006,0))&gt;=100000), " ",IF(INDEX($AM$2:$BM$1001,MATCH(ROWS($AF$2:AF56),$AF$2:$AF$1001,0),MATCH(COLUMNS($AM$1006:BM1006),$AM$1006:$BM$1006,0)), HYPERLINK("#",""), HYPERLINK(CONCATENATE("#metadata!", ADDRESS(INDEX($AH$2:$AH$1001,MATCH(ROWS($AF$2:AF56),$AF$2:$AF$1001,0),0), INDEX($AM$1004:$BM$1004,1,MATCH(COLUMNS($AM$1006:BM1006),$AM$1006:$BM$1006,0)))),"Fix")))</f>
        <v xml:space="preserve"> </v>
      </c>
      <c r="AF56">
        <v>55</v>
      </c>
      <c r="AG56">
        <v>100056</v>
      </c>
      <c r="AH56">
        <v>56</v>
      </c>
      <c r="AI56" t="b">
        <f t="shared" si="0"/>
        <v>1</v>
      </c>
      <c r="AJ56" t="b">
        <f>COUNTBLANK(metadata!B56:AB56)=COLUMNS(metadata!B56:AB56)</f>
        <v>1</v>
      </c>
      <c r="AK56" t="str">
        <v/>
      </c>
      <c r="AM56" t="b">
        <f ca="1">AND(IF(metadata!B56="",FALSE,TRUE),COUNTIF(metadata!B:B, metadata!B56) = 1,NOT(ISERROR(SUMPRODUCT(SEARCH(MID(metadata!B56,ROW(INDIRECT("1:"&amp;LEN(metadata!B56))), 1),"0123456789abcdefghijklmnopqrstuvwxyzABCDEFGHIJKLMNOPQRSTUVWXYZ.")))))</f>
        <v>0</v>
      </c>
      <c r="AN56" t="b">
        <f ca="1">OR(AND(IF(metadata!C56="",FALSE,TRUE),OR(EXACT(metadata!C56,"missing: not collected"),EXACT(metadata!C56,"missing: not provided"),EXACT(metadata!C56,"missing: restricted access"))),AND(IF(metadata!C56="",FALSE,TRUE),AND(AND(IFERROR(INT(LEFT(metadata!C56,4))&gt;1900,FALSE),IFERROR(INT(LEFT(metadata!C56,4))&lt;=YEAR(NOW()),FALSE)), OR(MID(metadata!C56,5,1)="", AND(AND(MID(metadata!C56,5,1)="-",IFERROR(INT(MID(metadata!C56,6,1))&gt;=0,FALSE),IFERROR(INT(MID(metadata!C56,6,1))&lt;=1,FALSE),NOT(MID(metadata!C56,7,1)=""),IFERROR(INT(MID(metadata!C56,6,2))&gt;=1,FALSE),IFERROR(INT(MID(metadata!C56,6,2))&lt;=12,FALSE)), OR(MID(metadata!C56,8,1)="", AND(AND(MID(metadata!C56,8,1)="-",IFERROR(INT(MID(metadata!C56,9,1))&gt;=0,FALSE),IFERROR(INT(MID(metadata!C56,9,1))&lt;=3,FALSE),NOT(MID(metadata!C56,10,1)=""),IFERROR(INT(MID(metadata!C56,9,2))&gt;=1,FALSE),IFERROR(INT(MID(metadata!C56,9,2))&lt;=31,FALSE)), OR(MID(metadata!C56,11,1)="", AND(AND(MID(metadata!C56,11,1)=" ",IFERROR(INT(MID(metadata!C56,12,1))&gt;=0,FALSE),IFERROR(INT(MID(metadata!C56,12,1))&lt;=2,FALSE),NOT(MID(metadata!C56,13,1)=""),IFERROR(INT(MID(metadata!C56,12,2))&gt;=0,FALSE),IFERROR(INT(MID(metadata!C56,12,2))&lt;=23,FALSE)), OR(MID(metadata!C56,14,1)="", AND(AND(MID(metadata!C56,14,1)=":",IFERROR(INT(MID(metadata!C56,15,1))&gt;=0,FALSE),IFERROR(INT(MID(metadata!C56,15,1))&lt;=5,FALSE),NOT(MID(metadata!C56,16,1)=""),IFERROR(INT(MID(metadata!C56,15,2))&gt;=0,FALSE),IFERROR(INT(MID(metadata!C56,15,2))&lt;=59,FALSE)), OR(MID(metadata!C56,17,1)="", AND(AND(MID(metadata!C56,17,1)=":",IFERROR(INT(MID(metadata!C56,18,1))&gt;=0,FALSE),IFERROR(INT(MID(metadata!C56,18,1))&lt;=5,FALSE),NOT(MID(metadata!C56,19,1)=""),IFERROR(INT(MID(metadata!C56,18,2))&gt;=0,FALSE),IFERROR(INT(MID(metadata!C56,18,2))&lt;=59,FALSE)), LEN(metadata!C56)&lt;=19)))))))))))))</f>
        <v>0</v>
      </c>
      <c r="AO56" t="b">
        <f>AND(IF(metadata!D56="",FALSE,TRUE),EXACT(metadata!D56,"Not applicable"))</f>
        <v>0</v>
      </c>
      <c r="AP56" t="b">
        <f>IF(metadata!E56="",FALSE,TRUE)</f>
        <v>0</v>
      </c>
      <c r="AQ56" t="b">
        <f>OR(AND(IF(metadata!F56="",FALSE,TRUE),OR(EXACT(metadata!F56,"missing: not collected"),EXACT(metadata!F56,"missing: not provided"))),AND(IF(metadata!F56="",FALSE,TRUE),OR(EXACT(metadata!F56,"TRUE"),EXACT(metadata!F56,"FALSE"))))</f>
        <v>0</v>
      </c>
      <c r="AR56" t="b">
        <f>OR(AND(IF(metadata!G56="",FALSE,TRUE),OR(EXACT(metadata!G56,"missing: not collected"),EXACT(metadata!G56,"missing: not provided"),EXACT(metadata!G56,"missing: restricted access"))),AND(IF(metadata!G56="",FALSE,ISNUMBER(VALUE(metadata!G56))),metadata!G56&gt;=-413))</f>
        <v>0</v>
      </c>
      <c r="AS56" t="b">
        <f>AND(IF(metadata!H56="",FALSE,TRUE),EXACT(metadata!H56,"meters"))</f>
        <v>0</v>
      </c>
      <c r="AT56" t="b">
        <f>AND(IF(metadata!I56="",FALSE,TRUE),OR(EXACT(metadata!I56,"Host-associated"),EXACT(metadata!I56,"Free-living")))</f>
        <v>0</v>
      </c>
      <c r="AU56" t="b">
        <f>AND(IF(metadata!J56="",FALSE,TRUE),OR(EXACT(metadata!J56,"Animal"),EXACT(metadata!J56,"Fungus"),EXACT(metadata!J56,"Plant"),EXACT(metadata!J56,"Saline"),EXACT(metadata!J56,"Non-saline")))</f>
        <v>0</v>
      </c>
      <c r="AV56" t="b">
        <f>AND(IF(metadata!K56="",FALSE,TRUE),OR(EXACT(metadata!K56,"Plant secretion"),EXACT(metadata!K56,"Plant rhizosphere"),EXACT(metadata!K56,"Plant surface"),EXACT(metadata!K56,"Plant corpus"),EXACT(metadata!K56,"Fungus surface"),EXACT(metadata!K56,"Fungus corpus"),EXACT(metadata!K56,"Animal surface"),EXACT(metadata!K56,"Animal proximal gut"),EXACT(metadata!K56,"Animal corpus"),EXACT(metadata!K56,"Animal distal gut"),EXACT(metadata!K56,"Animal secretion"),EXACT(metadata!K56,"Sub-surface (non-saline)"),EXACT(metadata!K56,"Surface (non-saline)"),EXACT(metadata!K56,"Water (non-saline)"),EXACT(metadata!K56,"Soil (non-saline)"),EXACT(metadata!K56,"Aerosol (non-saline)"),EXACT(metadata!K56,"Sediment (non-saline)"),EXACT(metadata!K56,"Surface (saline)"),EXACT(metadata!K56,"Water (saline)"),EXACT(metadata!K56,"Hypersaline (saline)"),EXACT(metadata!K56,"Aerosol (saline)"),EXACT(metadata!K56,"Sediment (saline)")))</f>
        <v>0</v>
      </c>
      <c r="AW56" t="b">
        <f>IF(metadata!L56="",FALSE,TRUE)</f>
        <v>0</v>
      </c>
      <c r="AX56" t="b">
        <f>IF(metadata!M56="",FALSE,TRUE)</f>
        <v>0</v>
      </c>
      <c r="AY56" t="b">
        <f>IF(metadata!N56="",FALSE,TRUE)</f>
        <v>0</v>
      </c>
      <c r="AZ56" t="b">
        <f>OR(AND(IF(metadata!O56="",FALSE,TRUE),OR(EXACT(metadata!O56,"missing: not collected"),EXACT(metadata!O56,"missing: not provided"),EXACT(metadata!O56,"missing: restricted access"))),AND(IF(metadata!O56="",FALSE,TRUE),OR(EXACT(metadata!O56,"air"),EXACT(metadata!O56,"built environment"),EXACT(metadata!O56,"host-associated"),EXACT(metadata!O56,"human-associated"),EXACT(metadata!O56,"human-skin"),EXACT(metadata!O56,"human-oral"),EXACT(metadata!O56,"human-gut"),EXACT(metadata!O56,"human-vaginal"),EXACT(metadata!O56,"microbial mat/biofilm"),EXACT(metadata!O56,"misc environment"),EXACT(metadata!O56,"plant-associated"),EXACT(metadata!O56,"sediment"),EXACT(metadata!O56,"soil"),EXACT(metadata!O56,"wastewater/sludge"),EXACT(metadata!O56,"water"))))</f>
        <v>0</v>
      </c>
      <c r="BA56" t="b">
        <f>IF(metadata!P56="",FALSE,TRUE)</f>
        <v>0</v>
      </c>
      <c r="BB56" t="b">
        <f>IF(metadata!Q56="",FALSE,TRUE)</f>
        <v>0</v>
      </c>
      <c r="BC56" t="b">
        <f>OR(AND(IF(metadata!R56="",FALSE,TRUE),OR(EXACT(metadata!R56,"missing: not collected"),EXACT(metadata!R56,"missing: not provided"),EXACT(metadata!R56,"missing: restricted access"))),AND(IF(metadata!R56="",FALSE,ISNUMBER(VALUE(metadata!R56))),metadata!R56&gt;=-90,metadata!R56&lt;=90))</f>
        <v>0</v>
      </c>
      <c r="BD56" t="b">
        <f>AND(IF(metadata!S56="",FALSE,TRUE),EXACT(metadata!S56,"Decimal degrees"))</f>
        <v>0</v>
      </c>
      <c r="BE56" t="b">
        <f>OR(AND(IF(metadata!T56="",FALSE,TRUE),OR(EXACT(metadata!T56,"missing: not collected"),EXACT(metadata!T56,"missing: not provided"),EXACT(metadata!T56,"missing: restricted access"))),AND(IF(metadata!T56="",FALSE,ISNUMBER(VALUE(metadata!T56))),metadata!T56&gt;=-180,metadata!T56&lt;=180))</f>
        <v>0</v>
      </c>
      <c r="BF56" t="b">
        <f>AND(IF(metadata!U56="",FALSE,TRUE),EXACT(metadata!U56,"Decimal degrees"))</f>
        <v>0</v>
      </c>
      <c r="BG56" t="b">
        <f>IF(metadata!V56="",FALSE,TRUE)</f>
        <v>0</v>
      </c>
      <c r="BH56" t="b">
        <f>OR(AND(IF(metadata!W56="",FALSE,TRUE),OR(EXACT(metadata!W56,"missing: not collected"),EXACT(metadata!W56,"missing: not provided"),EXACT(metadata!W56,"missing: restricted access"))),AND(IF(metadata!W56="",FALSE,TRUE),OR(EXACT(metadata!W56,"TRUE"),EXACT(metadata!W56,"FALSE"))))</f>
        <v>0</v>
      </c>
      <c r="BI56" t="b">
        <f>AND(IF(metadata!X56="",FALSE,TRUE),EXACT(metadata!X56,"other"))</f>
        <v>0</v>
      </c>
      <c r="BJ56" t="b">
        <f>IF(metadata!Y56="",FALSE,TRUE)</f>
        <v>0</v>
      </c>
      <c r="BK56" t="b">
        <f>OR(AND(IF(metadata!Z56="",FALSE,TRUE),OR(EXACT(metadata!Z56,"missing: not collected"),EXACT(metadata!Z56,"missing: not provided"))),AND(IF(metadata!Z56="",FALSE,IF(ISERROR(INT(metadata!Z56)),FALSE,INT(metadata!Z56)=metadata!Z56)),metadata!Z56&gt;0))</f>
        <v>0</v>
      </c>
      <c r="BL56" t="b">
        <f>AND(IF(metadata!AA56="",FALSE,TRUE),EXACT(metadata!AA56,"Not applicable"))</f>
        <v>0</v>
      </c>
      <c r="BM56" t="b">
        <f>IF(metadata!AB56="",FALSE,TRUE)</f>
        <v>0</v>
      </c>
    </row>
    <row r="57" spans="1:65" x14ac:dyDescent="0.2">
      <c r="A57" s="5" t="str">
        <f ca="1">IF(B57=" "," ",HYPERLINK(CONCATENATE("#metadata!",ADDRESS(INDEX($AH$2:$AH$1001,MATCH(ROWS($AF$2:AF57),$AF$2:$AF$1001,0),0),1)),INDEX($AK$2:$AK$1001,MATCH(ROWS($AF$2:AF57),$AF$2:$AF$1001,0),0)))</f>
        <v xml:space="preserve"> </v>
      </c>
      <c r="B57" s="4" t="str">
        <f ca="1">IF(OR(INDEX($AG$2:$AG$1001,MATCH(ROWS($AF$2:AF57),$AF$2:$AF$1001,0),1)&gt;=100000,INDEX($AM$1005:$BM$1005,1,MATCH(COLUMNS($AM$1006:AM1006),$AM$1006:$BM$1006,0))&gt;=100000), " ",IF(INDEX($AM$2:$BM$1001,MATCH(ROWS($AF$2:AF57),$AF$2:$AF$1001,0),MATCH(COLUMNS($AM$1006:AM1006),$AM$1006:$BM$1006,0)), HYPERLINK("#",""), HYPERLINK(CONCATENATE("#metadata!", ADDRESS(INDEX($AH$2:$AH$1001,MATCH(ROWS($AF$2:AF57),$AF$2:$AF$1001,0),0), INDEX($AM$1004:$BM$1004,1,MATCH(COLUMNS($AM$1006:AM1006),$AM$1006:$BM$1006,0)))),"Fix")))</f>
        <v xml:space="preserve"> </v>
      </c>
      <c r="C57" s="4" t="str">
        <f ca="1">IF(OR(INDEX($AG$2:$AG$1001,MATCH(ROWS($AF$2:AF57),$AF$2:$AF$1001,0),1)&gt;=100000,INDEX($AM$1005:$BM$1005,1,MATCH(COLUMNS($AM$1006:AN1006),$AM$1006:$BM$1006,0))&gt;=100000), " ",IF(INDEX($AM$2:$BM$1001,MATCH(ROWS($AF$2:AF57),$AF$2:$AF$1001,0),MATCH(COLUMNS($AM$1006:AN1006),$AM$1006:$BM$1006,0)), HYPERLINK("#",""), HYPERLINK(CONCATENATE("#metadata!", ADDRESS(INDEX($AH$2:$AH$1001,MATCH(ROWS($AF$2:AF57),$AF$2:$AF$1001,0),0), INDEX($AM$1004:$BM$1004,1,MATCH(COLUMNS($AM$1006:AN1006),$AM$1006:$BM$1006,0)))),"Fix")))</f>
        <v xml:space="preserve"> </v>
      </c>
      <c r="D57" s="4" t="str">
        <f ca="1">IF(OR(INDEX($AG$2:$AG$1001,MATCH(ROWS($AF$2:AF57),$AF$2:$AF$1001,0),1)&gt;=100000,INDEX($AM$1005:$BM$1005,1,MATCH(COLUMNS($AM$1006:AO1006),$AM$1006:$BM$1006,0))&gt;=100000), " ",IF(INDEX($AM$2:$BM$1001,MATCH(ROWS($AF$2:AF57),$AF$2:$AF$1001,0),MATCH(COLUMNS($AM$1006:AO1006),$AM$1006:$BM$1006,0)), HYPERLINK("#",""), HYPERLINK(CONCATENATE("#metadata!", ADDRESS(INDEX($AH$2:$AH$1001,MATCH(ROWS($AF$2:AF57),$AF$2:$AF$1001,0),0), INDEX($AM$1004:$BM$1004,1,MATCH(COLUMNS($AM$1006:AO1006),$AM$1006:$BM$1006,0)))),"Fix")))</f>
        <v xml:space="preserve"> </v>
      </c>
      <c r="E57" s="4" t="str">
        <f ca="1">IF(OR(INDEX($AG$2:$AG$1001,MATCH(ROWS($AF$2:AF57),$AF$2:$AF$1001,0),1)&gt;=100000,INDEX($AM$1005:$BM$1005,1,MATCH(COLUMNS($AM$1006:AP1006),$AM$1006:$BM$1006,0))&gt;=100000), " ",IF(INDEX($AM$2:$BM$1001,MATCH(ROWS($AF$2:AF57),$AF$2:$AF$1001,0),MATCH(COLUMNS($AM$1006:AP1006),$AM$1006:$BM$1006,0)), HYPERLINK("#",""), HYPERLINK(CONCATENATE("#metadata!", ADDRESS(INDEX($AH$2:$AH$1001,MATCH(ROWS($AF$2:AF57),$AF$2:$AF$1001,0),0), INDEX($AM$1004:$BM$1004,1,MATCH(COLUMNS($AM$1006:AP1006),$AM$1006:$BM$1006,0)))),"Fix")))</f>
        <v xml:space="preserve"> </v>
      </c>
      <c r="F57" s="4" t="str">
        <f ca="1">IF(OR(INDEX($AG$2:$AG$1001,MATCH(ROWS($AF$2:AF57),$AF$2:$AF$1001,0),1)&gt;=100000,INDEX($AM$1005:$BM$1005,1,MATCH(COLUMNS($AM$1006:AQ1006),$AM$1006:$BM$1006,0))&gt;=100000), " ",IF(INDEX($AM$2:$BM$1001,MATCH(ROWS($AF$2:AF57),$AF$2:$AF$1001,0),MATCH(COLUMNS($AM$1006:AQ1006),$AM$1006:$BM$1006,0)), HYPERLINK("#",""), HYPERLINK(CONCATENATE("#metadata!", ADDRESS(INDEX($AH$2:$AH$1001,MATCH(ROWS($AF$2:AF57),$AF$2:$AF$1001,0),0), INDEX($AM$1004:$BM$1004,1,MATCH(COLUMNS($AM$1006:AQ1006),$AM$1006:$BM$1006,0)))),"Fix")))</f>
        <v xml:space="preserve"> </v>
      </c>
      <c r="G57" s="4" t="str">
        <f ca="1">IF(OR(INDEX($AG$2:$AG$1001,MATCH(ROWS($AF$2:AF57),$AF$2:$AF$1001,0),1)&gt;=100000,INDEX($AM$1005:$BM$1005,1,MATCH(COLUMNS($AM$1006:AR1006),$AM$1006:$BM$1006,0))&gt;=100000), " ",IF(INDEX($AM$2:$BM$1001,MATCH(ROWS($AF$2:AF57),$AF$2:$AF$1001,0),MATCH(COLUMNS($AM$1006:AR1006),$AM$1006:$BM$1006,0)), HYPERLINK("#",""), HYPERLINK(CONCATENATE("#metadata!", ADDRESS(INDEX($AH$2:$AH$1001,MATCH(ROWS($AF$2:AF57),$AF$2:$AF$1001,0),0), INDEX($AM$1004:$BM$1004,1,MATCH(COLUMNS($AM$1006:AR1006),$AM$1006:$BM$1006,0)))),"Fix")))</f>
        <v xml:space="preserve"> </v>
      </c>
      <c r="H57" s="4" t="str">
        <f ca="1">IF(OR(INDEX($AG$2:$AG$1001,MATCH(ROWS($AF$2:AF57),$AF$2:$AF$1001,0),1)&gt;=100000,INDEX($AM$1005:$BM$1005,1,MATCH(COLUMNS($AM$1006:AS1006),$AM$1006:$BM$1006,0))&gt;=100000), " ",IF(INDEX($AM$2:$BM$1001,MATCH(ROWS($AF$2:AF57),$AF$2:$AF$1001,0),MATCH(COLUMNS($AM$1006:AS1006),$AM$1006:$BM$1006,0)), HYPERLINK("#",""), HYPERLINK(CONCATENATE("#metadata!", ADDRESS(INDEX($AH$2:$AH$1001,MATCH(ROWS($AF$2:AF57),$AF$2:$AF$1001,0),0), INDEX($AM$1004:$BM$1004,1,MATCH(COLUMNS($AM$1006:AS1006),$AM$1006:$BM$1006,0)))),"Fix")))</f>
        <v xml:space="preserve"> </v>
      </c>
      <c r="I57" s="4" t="str">
        <f ca="1">IF(OR(INDEX($AG$2:$AG$1001,MATCH(ROWS($AF$2:AF57),$AF$2:$AF$1001,0),1)&gt;=100000,INDEX($AM$1005:$BM$1005,1,MATCH(COLUMNS($AM$1006:AT1006),$AM$1006:$BM$1006,0))&gt;=100000), " ",IF(INDEX($AM$2:$BM$1001,MATCH(ROWS($AF$2:AF57),$AF$2:$AF$1001,0),MATCH(COLUMNS($AM$1006:AT1006),$AM$1006:$BM$1006,0)), HYPERLINK("#",""), HYPERLINK(CONCATENATE("#metadata!", ADDRESS(INDEX($AH$2:$AH$1001,MATCH(ROWS($AF$2:AF57),$AF$2:$AF$1001,0),0), INDEX($AM$1004:$BM$1004,1,MATCH(COLUMNS($AM$1006:AT1006),$AM$1006:$BM$1006,0)))),"Fix")))</f>
        <v xml:space="preserve"> </v>
      </c>
      <c r="J57" s="4" t="str">
        <f ca="1">IF(OR(INDEX($AG$2:$AG$1001,MATCH(ROWS($AF$2:AF57),$AF$2:$AF$1001,0),1)&gt;=100000,INDEX($AM$1005:$BM$1005,1,MATCH(COLUMNS($AM$1006:AU1006),$AM$1006:$BM$1006,0))&gt;=100000), " ",IF(INDEX($AM$2:$BM$1001,MATCH(ROWS($AF$2:AF57),$AF$2:$AF$1001,0),MATCH(COLUMNS($AM$1006:AU1006),$AM$1006:$BM$1006,0)), HYPERLINK("#",""), HYPERLINK(CONCATENATE("#metadata!", ADDRESS(INDEX($AH$2:$AH$1001,MATCH(ROWS($AF$2:AF57),$AF$2:$AF$1001,0),0), INDEX($AM$1004:$BM$1004,1,MATCH(COLUMNS($AM$1006:AU1006),$AM$1006:$BM$1006,0)))),"Fix")))</f>
        <v xml:space="preserve"> </v>
      </c>
      <c r="K57" s="4" t="str">
        <f ca="1">IF(OR(INDEX($AG$2:$AG$1001,MATCH(ROWS($AF$2:AF57),$AF$2:$AF$1001,0),1)&gt;=100000,INDEX($AM$1005:$BM$1005,1,MATCH(COLUMNS($AM$1006:AV1006),$AM$1006:$BM$1006,0))&gt;=100000), " ",IF(INDEX($AM$2:$BM$1001,MATCH(ROWS($AF$2:AF57),$AF$2:$AF$1001,0),MATCH(COLUMNS($AM$1006:AV1006),$AM$1006:$BM$1006,0)), HYPERLINK("#",""), HYPERLINK(CONCATENATE("#metadata!", ADDRESS(INDEX($AH$2:$AH$1001,MATCH(ROWS($AF$2:AF57),$AF$2:$AF$1001,0),0), INDEX($AM$1004:$BM$1004,1,MATCH(COLUMNS($AM$1006:AV1006),$AM$1006:$BM$1006,0)))),"Fix")))</f>
        <v xml:space="preserve"> </v>
      </c>
      <c r="L57" s="4" t="str">
        <f ca="1">IF(OR(INDEX($AG$2:$AG$1001,MATCH(ROWS($AF$2:AF57),$AF$2:$AF$1001,0),1)&gt;=100000,INDEX($AM$1005:$BM$1005,1,MATCH(COLUMNS($AM$1006:AW1006),$AM$1006:$BM$1006,0))&gt;=100000), " ",IF(INDEX($AM$2:$BM$1001,MATCH(ROWS($AF$2:AF57),$AF$2:$AF$1001,0),MATCH(COLUMNS($AM$1006:AW1006),$AM$1006:$BM$1006,0)), HYPERLINK("#",""), HYPERLINK(CONCATENATE("#metadata!", ADDRESS(INDEX($AH$2:$AH$1001,MATCH(ROWS($AF$2:AF57),$AF$2:$AF$1001,0),0), INDEX($AM$1004:$BM$1004,1,MATCH(COLUMNS($AM$1006:AW1006),$AM$1006:$BM$1006,0)))),"Fix")))</f>
        <v xml:space="preserve"> </v>
      </c>
      <c r="M57" s="4" t="str">
        <f ca="1">IF(OR(INDEX($AG$2:$AG$1001,MATCH(ROWS($AF$2:AF57),$AF$2:$AF$1001,0),1)&gt;=100000,INDEX($AM$1005:$BM$1005,1,MATCH(COLUMNS($AM$1006:AX1006),$AM$1006:$BM$1006,0))&gt;=100000), " ",IF(INDEX($AM$2:$BM$1001,MATCH(ROWS($AF$2:AF57),$AF$2:$AF$1001,0),MATCH(COLUMNS($AM$1006:AX1006),$AM$1006:$BM$1006,0)), HYPERLINK("#",""), HYPERLINK(CONCATENATE("#metadata!", ADDRESS(INDEX($AH$2:$AH$1001,MATCH(ROWS($AF$2:AF57),$AF$2:$AF$1001,0),0), INDEX($AM$1004:$BM$1004,1,MATCH(COLUMNS($AM$1006:AX1006),$AM$1006:$BM$1006,0)))),"Fix")))</f>
        <v xml:space="preserve"> </v>
      </c>
      <c r="N57" s="4" t="str">
        <f ca="1">IF(OR(INDEX($AG$2:$AG$1001,MATCH(ROWS($AF$2:AF57),$AF$2:$AF$1001,0),1)&gt;=100000,INDEX($AM$1005:$BM$1005,1,MATCH(COLUMNS($AM$1006:AY1006),$AM$1006:$BM$1006,0))&gt;=100000), " ",IF(INDEX($AM$2:$BM$1001,MATCH(ROWS($AF$2:AF57),$AF$2:$AF$1001,0),MATCH(COLUMNS($AM$1006:AY1006),$AM$1006:$BM$1006,0)), HYPERLINK("#",""), HYPERLINK(CONCATENATE("#metadata!", ADDRESS(INDEX($AH$2:$AH$1001,MATCH(ROWS($AF$2:AF57),$AF$2:$AF$1001,0),0), INDEX($AM$1004:$BM$1004,1,MATCH(COLUMNS($AM$1006:AY1006),$AM$1006:$BM$1006,0)))),"Fix")))</f>
        <v xml:space="preserve"> </v>
      </c>
      <c r="O57" s="4" t="str">
        <f ca="1">IF(OR(INDEX($AG$2:$AG$1001,MATCH(ROWS($AF$2:AF57),$AF$2:$AF$1001,0),1)&gt;=100000,INDEX($AM$1005:$BM$1005,1,MATCH(COLUMNS($AM$1006:AZ1006),$AM$1006:$BM$1006,0))&gt;=100000), " ",IF(INDEX($AM$2:$BM$1001,MATCH(ROWS($AF$2:AF57),$AF$2:$AF$1001,0),MATCH(COLUMNS($AM$1006:AZ1006),$AM$1006:$BM$1006,0)), HYPERLINK("#",""), HYPERLINK(CONCATENATE("#metadata!", ADDRESS(INDEX($AH$2:$AH$1001,MATCH(ROWS($AF$2:AF57),$AF$2:$AF$1001,0),0), INDEX($AM$1004:$BM$1004,1,MATCH(COLUMNS($AM$1006:AZ1006),$AM$1006:$BM$1006,0)))),"Fix")))</f>
        <v xml:space="preserve"> </v>
      </c>
      <c r="P57" s="4" t="str">
        <f ca="1">IF(OR(INDEX($AG$2:$AG$1001,MATCH(ROWS($AF$2:AF57),$AF$2:$AF$1001,0),1)&gt;=100000,INDEX($AM$1005:$BM$1005,1,MATCH(COLUMNS($AM$1006:BA1006),$AM$1006:$BM$1006,0))&gt;=100000), " ",IF(INDEX($AM$2:$BM$1001,MATCH(ROWS($AF$2:AF57),$AF$2:$AF$1001,0),MATCH(COLUMNS($AM$1006:BA1006),$AM$1006:$BM$1006,0)), HYPERLINK("#",""), HYPERLINK(CONCATENATE("#metadata!", ADDRESS(INDEX($AH$2:$AH$1001,MATCH(ROWS($AF$2:AF57),$AF$2:$AF$1001,0),0), INDEX($AM$1004:$BM$1004,1,MATCH(COLUMNS($AM$1006:BA1006),$AM$1006:$BM$1006,0)))),"Fix")))</f>
        <v xml:space="preserve"> </v>
      </c>
      <c r="Q57" s="4" t="str">
        <f ca="1">IF(OR(INDEX($AG$2:$AG$1001,MATCH(ROWS($AF$2:AF57),$AF$2:$AF$1001,0),1)&gt;=100000,INDEX($AM$1005:$BM$1005,1,MATCH(COLUMNS($AM$1006:BB1006),$AM$1006:$BM$1006,0))&gt;=100000), " ",IF(INDEX($AM$2:$BM$1001,MATCH(ROWS($AF$2:AF57),$AF$2:$AF$1001,0),MATCH(COLUMNS($AM$1006:BB1006),$AM$1006:$BM$1006,0)), HYPERLINK("#",""), HYPERLINK(CONCATENATE("#metadata!", ADDRESS(INDEX($AH$2:$AH$1001,MATCH(ROWS($AF$2:AF57),$AF$2:$AF$1001,0),0), INDEX($AM$1004:$BM$1004,1,MATCH(COLUMNS($AM$1006:BB1006),$AM$1006:$BM$1006,0)))),"Fix")))</f>
        <v xml:space="preserve"> </v>
      </c>
      <c r="R57" s="4" t="str">
        <f ca="1">IF(OR(INDEX($AG$2:$AG$1001,MATCH(ROWS($AF$2:AF57),$AF$2:$AF$1001,0),1)&gt;=100000,INDEX($AM$1005:$BM$1005,1,MATCH(COLUMNS($AM$1006:BC1006),$AM$1006:$BM$1006,0))&gt;=100000), " ",IF(INDEX($AM$2:$BM$1001,MATCH(ROWS($AF$2:AF57),$AF$2:$AF$1001,0),MATCH(COLUMNS($AM$1006:BC1006),$AM$1006:$BM$1006,0)), HYPERLINK("#",""), HYPERLINK(CONCATENATE("#metadata!", ADDRESS(INDEX($AH$2:$AH$1001,MATCH(ROWS($AF$2:AF57),$AF$2:$AF$1001,0),0), INDEX($AM$1004:$BM$1004,1,MATCH(COLUMNS($AM$1006:BC1006),$AM$1006:$BM$1006,0)))),"Fix")))</f>
        <v xml:space="preserve"> </v>
      </c>
      <c r="S57" s="4" t="str">
        <f ca="1">IF(OR(INDEX($AG$2:$AG$1001,MATCH(ROWS($AF$2:AF57),$AF$2:$AF$1001,0),1)&gt;=100000,INDEX($AM$1005:$BM$1005,1,MATCH(COLUMNS($AM$1006:BD1006),$AM$1006:$BM$1006,0))&gt;=100000), " ",IF(INDEX($AM$2:$BM$1001,MATCH(ROWS($AF$2:AF57),$AF$2:$AF$1001,0),MATCH(COLUMNS($AM$1006:BD1006),$AM$1006:$BM$1006,0)), HYPERLINK("#",""), HYPERLINK(CONCATENATE("#metadata!", ADDRESS(INDEX($AH$2:$AH$1001,MATCH(ROWS($AF$2:AF57),$AF$2:$AF$1001,0),0), INDEX($AM$1004:$BM$1004,1,MATCH(COLUMNS($AM$1006:BD1006),$AM$1006:$BM$1006,0)))),"Fix")))</f>
        <v xml:space="preserve"> </v>
      </c>
      <c r="T57" s="4" t="str">
        <f ca="1">IF(OR(INDEX($AG$2:$AG$1001,MATCH(ROWS($AF$2:AF57),$AF$2:$AF$1001,0),1)&gt;=100000,INDEX($AM$1005:$BM$1005,1,MATCH(COLUMNS($AM$1006:BE1006),$AM$1006:$BM$1006,0))&gt;=100000), " ",IF(INDEX($AM$2:$BM$1001,MATCH(ROWS($AF$2:AF57),$AF$2:$AF$1001,0),MATCH(COLUMNS($AM$1006:BE1006),$AM$1006:$BM$1006,0)), HYPERLINK("#",""), HYPERLINK(CONCATENATE("#metadata!", ADDRESS(INDEX($AH$2:$AH$1001,MATCH(ROWS($AF$2:AF57),$AF$2:$AF$1001,0),0), INDEX($AM$1004:$BM$1004,1,MATCH(COLUMNS($AM$1006:BE1006),$AM$1006:$BM$1006,0)))),"Fix")))</f>
        <v xml:space="preserve"> </v>
      </c>
      <c r="U57" s="4" t="str">
        <f ca="1">IF(OR(INDEX($AG$2:$AG$1001,MATCH(ROWS($AF$2:AF57),$AF$2:$AF$1001,0),1)&gt;=100000,INDEX($AM$1005:$BM$1005,1,MATCH(COLUMNS($AM$1006:BF1006),$AM$1006:$BM$1006,0))&gt;=100000), " ",IF(INDEX($AM$2:$BM$1001,MATCH(ROWS($AF$2:AF57),$AF$2:$AF$1001,0),MATCH(COLUMNS($AM$1006:BF1006),$AM$1006:$BM$1006,0)), HYPERLINK("#",""), HYPERLINK(CONCATENATE("#metadata!", ADDRESS(INDEX($AH$2:$AH$1001,MATCH(ROWS($AF$2:AF57),$AF$2:$AF$1001,0),0), INDEX($AM$1004:$BM$1004,1,MATCH(COLUMNS($AM$1006:BF1006),$AM$1006:$BM$1006,0)))),"Fix")))</f>
        <v xml:space="preserve"> </v>
      </c>
      <c r="V57" s="4" t="str">
        <f ca="1">IF(OR(INDEX($AG$2:$AG$1001,MATCH(ROWS($AF$2:AF57),$AF$2:$AF$1001,0),1)&gt;=100000,INDEX($AM$1005:$BM$1005,1,MATCH(COLUMNS($AM$1006:BG1006),$AM$1006:$BM$1006,0))&gt;=100000), " ",IF(INDEX($AM$2:$BM$1001,MATCH(ROWS($AF$2:AF57),$AF$2:$AF$1001,0),MATCH(COLUMNS($AM$1006:BG1006),$AM$1006:$BM$1006,0)), HYPERLINK("#",""), HYPERLINK(CONCATENATE("#metadata!", ADDRESS(INDEX($AH$2:$AH$1001,MATCH(ROWS($AF$2:AF57),$AF$2:$AF$1001,0),0), INDEX($AM$1004:$BM$1004,1,MATCH(COLUMNS($AM$1006:BG1006),$AM$1006:$BM$1006,0)))),"Fix")))</f>
        <v xml:space="preserve"> </v>
      </c>
      <c r="W57" s="4" t="str">
        <f ca="1">IF(OR(INDEX($AG$2:$AG$1001,MATCH(ROWS($AF$2:AF57),$AF$2:$AF$1001,0),1)&gt;=100000,INDEX($AM$1005:$BM$1005,1,MATCH(COLUMNS($AM$1006:BH1006),$AM$1006:$BM$1006,0))&gt;=100000), " ",IF(INDEX($AM$2:$BM$1001,MATCH(ROWS($AF$2:AF57),$AF$2:$AF$1001,0),MATCH(COLUMNS($AM$1006:BH1006),$AM$1006:$BM$1006,0)), HYPERLINK("#",""), HYPERLINK(CONCATENATE("#metadata!", ADDRESS(INDEX($AH$2:$AH$1001,MATCH(ROWS($AF$2:AF57),$AF$2:$AF$1001,0),0), INDEX($AM$1004:$BM$1004,1,MATCH(COLUMNS($AM$1006:BH1006),$AM$1006:$BM$1006,0)))),"Fix")))</f>
        <v xml:space="preserve"> </v>
      </c>
      <c r="X57" s="4" t="str">
        <f ca="1">IF(OR(INDEX($AG$2:$AG$1001,MATCH(ROWS($AF$2:AF57),$AF$2:$AF$1001,0),1)&gt;=100000,INDEX($AM$1005:$BM$1005,1,MATCH(COLUMNS($AM$1006:BI1006),$AM$1006:$BM$1006,0))&gt;=100000), " ",IF(INDEX($AM$2:$BM$1001,MATCH(ROWS($AF$2:AF57),$AF$2:$AF$1001,0),MATCH(COLUMNS($AM$1006:BI1006),$AM$1006:$BM$1006,0)), HYPERLINK("#",""), HYPERLINK(CONCATENATE("#metadata!", ADDRESS(INDEX($AH$2:$AH$1001,MATCH(ROWS($AF$2:AF57),$AF$2:$AF$1001,0),0), INDEX($AM$1004:$BM$1004,1,MATCH(COLUMNS($AM$1006:BI1006),$AM$1006:$BM$1006,0)))),"Fix")))</f>
        <v xml:space="preserve"> </v>
      </c>
      <c r="Y57" s="4" t="str">
        <f ca="1">IF(OR(INDEX($AG$2:$AG$1001,MATCH(ROWS($AF$2:AF57),$AF$2:$AF$1001,0),1)&gt;=100000,INDEX($AM$1005:$BM$1005,1,MATCH(COLUMNS($AM$1006:BJ1006),$AM$1006:$BM$1006,0))&gt;=100000), " ",IF(INDEX($AM$2:$BM$1001,MATCH(ROWS($AF$2:AF57),$AF$2:$AF$1001,0),MATCH(COLUMNS($AM$1006:BJ1006),$AM$1006:$BM$1006,0)), HYPERLINK("#",""), HYPERLINK(CONCATENATE("#metadata!", ADDRESS(INDEX($AH$2:$AH$1001,MATCH(ROWS($AF$2:AF57),$AF$2:$AF$1001,0),0), INDEX($AM$1004:$BM$1004,1,MATCH(COLUMNS($AM$1006:BJ1006),$AM$1006:$BM$1006,0)))),"Fix")))</f>
        <v xml:space="preserve"> </v>
      </c>
      <c r="Z57" s="4" t="str">
        <f ca="1">IF(OR(INDEX($AG$2:$AG$1001,MATCH(ROWS($AF$2:AF57),$AF$2:$AF$1001,0),1)&gt;=100000,INDEX($AM$1005:$BM$1005,1,MATCH(COLUMNS($AM$1006:BK1006),$AM$1006:$BM$1006,0))&gt;=100000), " ",IF(INDEX($AM$2:$BM$1001,MATCH(ROWS($AF$2:AF57),$AF$2:$AF$1001,0),MATCH(COLUMNS($AM$1006:BK1006),$AM$1006:$BM$1006,0)), HYPERLINK("#",""), HYPERLINK(CONCATENATE("#metadata!", ADDRESS(INDEX($AH$2:$AH$1001,MATCH(ROWS($AF$2:AF57),$AF$2:$AF$1001,0),0), INDEX($AM$1004:$BM$1004,1,MATCH(COLUMNS($AM$1006:BK1006),$AM$1006:$BM$1006,0)))),"Fix")))</f>
        <v xml:space="preserve"> </v>
      </c>
      <c r="AA57" s="4" t="str">
        <f ca="1">IF(OR(INDEX($AG$2:$AG$1001,MATCH(ROWS($AF$2:AF57),$AF$2:$AF$1001,0),1)&gt;=100000,INDEX($AM$1005:$BM$1005,1,MATCH(COLUMNS($AM$1006:BL1006),$AM$1006:$BM$1006,0))&gt;=100000), " ",IF(INDEX($AM$2:$BM$1001,MATCH(ROWS($AF$2:AF57),$AF$2:$AF$1001,0),MATCH(COLUMNS($AM$1006:BL1006),$AM$1006:$BM$1006,0)), HYPERLINK("#",""), HYPERLINK(CONCATENATE("#metadata!", ADDRESS(INDEX($AH$2:$AH$1001,MATCH(ROWS($AF$2:AF57),$AF$2:$AF$1001,0),0), INDEX($AM$1004:$BM$1004,1,MATCH(COLUMNS($AM$1006:BL1006),$AM$1006:$BM$1006,0)))),"Fix")))</f>
        <v xml:space="preserve"> </v>
      </c>
      <c r="AB57" s="4" t="str">
        <f ca="1">IF(OR(INDEX($AG$2:$AG$1001,MATCH(ROWS($AF$2:AF57),$AF$2:$AF$1001,0),1)&gt;=100000,INDEX($AM$1005:$BM$1005,1,MATCH(COLUMNS($AM$1006:BM1006),$AM$1006:$BM$1006,0))&gt;=100000), " ",IF(INDEX($AM$2:$BM$1001,MATCH(ROWS($AF$2:AF57),$AF$2:$AF$1001,0),MATCH(COLUMNS($AM$1006:BM1006),$AM$1006:$BM$1006,0)), HYPERLINK("#",""), HYPERLINK(CONCATENATE("#metadata!", ADDRESS(INDEX($AH$2:$AH$1001,MATCH(ROWS($AF$2:AF57),$AF$2:$AF$1001,0),0), INDEX($AM$1004:$BM$1004,1,MATCH(COLUMNS($AM$1006:BM1006),$AM$1006:$BM$1006,0)))),"Fix")))</f>
        <v xml:space="preserve"> </v>
      </c>
      <c r="AF57">
        <v>56</v>
      </c>
      <c r="AG57">
        <v>100057</v>
      </c>
      <c r="AH57">
        <v>57</v>
      </c>
      <c r="AI57" t="b">
        <f t="shared" si="0"/>
        <v>1</v>
      </c>
      <c r="AJ57" t="b">
        <f>COUNTBLANK(metadata!B57:AB57)=COLUMNS(metadata!B57:AB57)</f>
        <v>1</v>
      </c>
      <c r="AK57" t="str">
        <v/>
      </c>
      <c r="AM57" t="b">
        <f ca="1">AND(IF(metadata!B57="",FALSE,TRUE),COUNTIF(metadata!B:B, metadata!B57) = 1,NOT(ISERROR(SUMPRODUCT(SEARCH(MID(metadata!B57,ROW(INDIRECT("1:"&amp;LEN(metadata!B57))), 1),"0123456789abcdefghijklmnopqrstuvwxyzABCDEFGHIJKLMNOPQRSTUVWXYZ.")))))</f>
        <v>0</v>
      </c>
      <c r="AN57" t="b">
        <f ca="1">OR(AND(IF(metadata!C57="",FALSE,TRUE),OR(EXACT(metadata!C57,"missing: not collected"),EXACT(metadata!C57,"missing: not provided"),EXACT(metadata!C57,"missing: restricted access"))),AND(IF(metadata!C57="",FALSE,TRUE),AND(AND(IFERROR(INT(LEFT(metadata!C57,4))&gt;1900,FALSE),IFERROR(INT(LEFT(metadata!C57,4))&lt;=YEAR(NOW()),FALSE)), OR(MID(metadata!C57,5,1)="", AND(AND(MID(metadata!C57,5,1)="-",IFERROR(INT(MID(metadata!C57,6,1))&gt;=0,FALSE),IFERROR(INT(MID(metadata!C57,6,1))&lt;=1,FALSE),NOT(MID(metadata!C57,7,1)=""),IFERROR(INT(MID(metadata!C57,6,2))&gt;=1,FALSE),IFERROR(INT(MID(metadata!C57,6,2))&lt;=12,FALSE)), OR(MID(metadata!C57,8,1)="", AND(AND(MID(metadata!C57,8,1)="-",IFERROR(INT(MID(metadata!C57,9,1))&gt;=0,FALSE),IFERROR(INT(MID(metadata!C57,9,1))&lt;=3,FALSE),NOT(MID(metadata!C57,10,1)=""),IFERROR(INT(MID(metadata!C57,9,2))&gt;=1,FALSE),IFERROR(INT(MID(metadata!C57,9,2))&lt;=31,FALSE)), OR(MID(metadata!C57,11,1)="", AND(AND(MID(metadata!C57,11,1)=" ",IFERROR(INT(MID(metadata!C57,12,1))&gt;=0,FALSE),IFERROR(INT(MID(metadata!C57,12,1))&lt;=2,FALSE),NOT(MID(metadata!C57,13,1)=""),IFERROR(INT(MID(metadata!C57,12,2))&gt;=0,FALSE),IFERROR(INT(MID(metadata!C57,12,2))&lt;=23,FALSE)), OR(MID(metadata!C57,14,1)="", AND(AND(MID(metadata!C57,14,1)=":",IFERROR(INT(MID(metadata!C57,15,1))&gt;=0,FALSE),IFERROR(INT(MID(metadata!C57,15,1))&lt;=5,FALSE),NOT(MID(metadata!C57,16,1)=""),IFERROR(INT(MID(metadata!C57,15,2))&gt;=0,FALSE),IFERROR(INT(MID(metadata!C57,15,2))&lt;=59,FALSE)), OR(MID(metadata!C57,17,1)="", AND(AND(MID(metadata!C57,17,1)=":",IFERROR(INT(MID(metadata!C57,18,1))&gt;=0,FALSE),IFERROR(INT(MID(metadata!C57,18,1))&lt;=5,FALSE),NOT(MID(metadata!C57,19,1)=""),IFERROR(INT(MID(metadata!C57,18,2))&gt;=0,FALSE),IFERROR(INT(MID(metadata!C57,18,2))&lt;=59,FALSE)), LEN(metadata!C57)&lt;=19)))))))))))))</f>
        <v>0</v>
      </c>
      <c r="AO57" t="b">
        <f>AND(IF(metadata!D57="",FALSE,TRUE),EXACT(metadata!D57,"Not applicable"))</f>
        <v>0</v>
      </c>
      <c r="AP57" t="b">
        <f>IF(metadata!E57="",FALSE,TRUE)</f>
        <v>0</v>
      </c>
      <c r="AQ57" t="b">
        <f>OR(AND(IF(metadata!F57="",FALSE,TRUE),OR(EXACT(metadata!F57,"missing: not collected"),EXACT(metadata!F57,"missing: not provided"))),AND(IF(metadata!F57="",FALSE,TRUE),OR(EXACT(metadata!F57,"TRUE"),EXACT(metadata!F57,"FALSE"))))</f>
        <v>0</v>
      </c>
      <c r="AR57" t="b">
        <f>OR(AND(IF(metadata!G57="",FALSE,TRUE),OR(EXACT(metadata!G57,"missing: not collected"),EXACT(metadata!G57,"missing: not provided"),EXACT(metadata!G57,"missing: restricted access"))),AND(IF(metadata!G57="",FALSE,ISNUMBER(VALUE(metadata!G57))),metadata!G57&gt;=-413))</f>
        <v>0</v>
      </c>
      <c r="AS57" t="b">
        <f>AND(IF(metadata!H57="",FALSE,TRUE),EXACT(metadata!H57,"meters"))</f>
        <v>0</v>
      </c>
      <c r="AT57" t="b">
        <f>AND(IF(metadata!I57="",FALSE,TRUE),OR(EXACT(metadata!I57,"Host-associated"),EXACT(metadata!I57,"Free-living")))</f>
        <v>0</v>
      </c>
      <c r="AU57" t="b">
        <f>AND(IF(metadata!J57="",FALSE,TRUE),OR(EXACT(metadata!J57,"Animal"),EXACT(metadata!J57,"Fungus"),EXACT(metadata!J57,"Plant"),EXACT(metadata!J57,"Saline"),EXACT(metadata!J57,"Non-saline")))</f>
        <v>0</v>
      </c>
      <c r="AV57" t="b">
        <f>AND(IF(metadata!K57="",FALSE,TRUE),OR(EXACT(metadata!K57,"Plant secretion"),EXACT(metadata!K57,"Plant rhizosphere"),EXACT(metadata!K57,"Plant surface"),EXACT(metadata!K57,"Plant corpus"),EXACT(metadata!K57,"Fungus surface"),EXACT(metadata!K57,"Fungus corpus"),EXACT(metadata!K57,"Animal surface"),EXACT(metadata!K57,"Animal proximal gut"),EXACT(metadata!K57,"Animal corpus"),EXACT(metadata!K57,"Animal distal gut"),EXACT(metadata!K57,"Animal secretion"),EXACT(metadata!K57,"Sub-surface (non-saline)"),EXACT(metadata!K57,"Surface (non-saline)"),EXACT(metadata!K57,"Water (non-saline)"),EXACT(metadata!K57,"Soil (non-saline)"),EXACT(metadata!K57,"Aerosol (non-saline)"),EXACT(metadata!K57,"Sediment (non-saline)"),EXACT(metadata!K57,"Surface (saline)"),EXACT(metadata!K57,"Water (saline)"),EXACT(metadata!K57,"Hypersaline (saline)"),EXACT(metadata!K57,"Aerosol (saline)"),EXACT(metadata!K57,"Sediment (saline)")))</f>
        <v>0</v>
      </c>
      <c r="AW57" t="b">
        <f>IF(metadata!L57="",FALSE,TRUE)</f>
        <v>0</v>
      </c>
      <c r="AX57" t="b">
        <f>IF(metadata!M57="",FALSE,TRUE)</f>
        <v>0</v>
      </c>
      <c r="AY57" t="b">
        <f>IF(metadata!N57="",FALSE,TRUE)</f>
        <v>0</v>
      </c>
      <c r="AZ57" t="b">
        <f>OR(AND(IF(metadata!O57="",FALSE,TRUE),OR(EXACT(metadata!O57,"missing: not collected"),EXACT(metadata!O57,"missing: not provided"),EXACT(metadata!O57,"missing: restricted access"))),AND(IF(metadata!O57="",FALSE,TRUE),OR(EXACT(metadata!O57,"air"),EXACT(metadata!O57,"built environment"),EXACT(metadata!O57,"host-associated"),EXACT(metadata!O57,"human-associated"),EXACT(metadata!O57,"human-skin"),EXACT(metadata!O57,"human-oral"),EXACT(metadata!O57,"human-gut"),EXACT(metadata!O57,"human-vaginal"),EXACT(metadata!O57,"microbial mat/biofilm"),EXACT(metadata!O57,"misc environment"),EXACT(metadata!O57,"plant-associated"),EXACT(metadata!O57,"sediment"),EXACT(metadata!O57,"soil"),EXACT(metadata!O57,"wastewater/sludge"),EXACT(metadata!O57,"water"))))</f>
        <v>0</v>
      </c>
      <c r="BA57" t="b">
        <f>IF(metadata!P57="",FALSE,TRUE)</f>
        <v>0</v>
      </c>
      <c r="BB57" t="b">
        <f>IF(metadata!Q57="",FALSE,TRUE)</f>
        <v>0</v>
      </c>
      <c r="BC57" t="b">
        <f>OR(AND(IF(metadata!R57="",FALSE,TRUE),OR(EXACT(metadata!R57,"missing: not collected"),EXACT(metadata!R57,"missing: not provided"),EXACT(metadata!R57,"missing: restricted access"))),AND(IF(metadata!R57="",FALSE,ISNUMBER(VALUE(metadata!R57))),metadata!R57&gt;=-90,metadata!R57&lt;=90))</f>
        <v>0</v>
      </c>
      <c r="BD57" t="b">
        <f>AND(IF(metadata!S57="",FALSE,TRUE),EXACT(metadata!S57,"Decimal degrees"))</f>
        <v>0</v>
      </c>
      <c r="BE57" t="b">
        <f>OR(AND(IF(metadata!T57="",FALSE,TRUE),OR(EXACT(metadata!T57,"missing: not collected"),EXACT(metadata!T57,"missing: not provided"),EXACT(metadata!T57,"missing: restricted access"))),AND(IF(metadata!T57="",FALSE,ISNUMBER(VALUE(metadata!T57))),metadata!T57&gt;=-180,metadata!T57&lt;=180))</f>
        <v>0</v>
      </c>
      <c r="BF57" t="b">
        <f>AND(IF(metadata!U57="",FALSE,TRUE),EXACT(metadata!U57,"Decimal degrees"))</f>
        <v>0</v>
      </c>
      <c r="BG57" t="b">
        <f>IF(metadata!V57="",FALSE,TRUE)</f>
        <v>0</v>
      </c>
      <c r="BH57" t="b">
        <f>OR(AND(IF(metadata!W57="",FALSE,TRUE),OR(EXACT(metadata!W57,"missing: not collected"),EXACT(metadata!W57,"missing: not provided"),EXACT(metadata!W57,"missing: restricted access"))),AND(IF(metadata!W57="",FALSE,TRUE),OR(EXACT(metadata!W57,"TRUE"),EXACT(metadata!W57,"FALSE"))))</f>
        <v>0</v>
      </c>
      <c r="BI57" t="b">
        <f>AND(IF(metadata!X57="",FALSE,TRUE),EXACT(metadata!X57,"other"))</f>
        <v>0</v>
      </c>
      <c r="BJ57" t="b">
        <f>IF(metadata!Y57="",FALSE,TRUE)</f>
        <v>0</v>
      </c>
      <c r="BK57" t="b">
        <f>OR(AND(IF(metadata!Z57="",FALSE,TRUE),OR(EXACT(metadata!Z57,"missing: not collected"),EXACT(metadata!Z57,"missing: not provided"))),AND(IF(metadata!Z57="",FALSE,IF(ISERROR(INT(metadata!Z57)),FALSE,INT(metadata!Z57)=metadata!Z57)),metadata!Z57&gt;0))</f>
        <v>0</v>
      </c>
      <c r="BL57" t="b">
        <f>AND(IF(metadata!AA57="",FALSE,TRUE),EXACT(metadata!AA57,"Not applicable"))</f>
        <v>0</v>
      </c>
      <c r="BM57" t="b">
        <f>IF(metadata!AB57="",FALSE,TRUE)</f>
        <v>0</v>
      </c>
    </row>
    <row r="58" spans="1:65" x14ac:dyDescent="0.2">
      <c r="A58" s="5" t="str">
        <f ca="1">IF(B58=" "," ",HYPERLINK(CONCATENATE("#metadata!",ADDRESS(INDEX($AH$2:$AH$1001,MATCH(ROWS($AF$2:AF58),$AF$2:$AF$1001,0),0),1)),INDEX($AK$2:$AK$1001,MATCH(ROWS($AF$2:AF58),$AF$2:$AF$1001,0),0)))</f>
        <v xml:space="preserve"> </v>
      </c>
      <c r="B58" s="4" t="str">
        <f ca="1">IF(OR(INDEX($AG$2:$AG$1001,MATCH(ROWS($AF$2:AF58),$AF$2:$AF$1001,0),1)&gt;=100000,INDEX($AM$1005:$BM$1005,1,MATCH(COLUMNS($AM$1006:AM1006),$AM$1006:$BM$1006,0))&gt;=100000), " ",IF(INDEX($AM$2:$BM$1001,MATCH(ROWS($AF$2:AF58),$AF$2:$AF$1001,0),MATCH(COLUMNS($AM$1006:AM1006),$AM$1006:$BM$1006,0)), HYPERLINK("#",""), HYPERLINK(CONCATENATE("#metadata!", ADDRESS(INDEX($AH$2:$AH$1001,MATCH(ROWS($AF$2:AF58),$AF$2:$AF$1001,0),0), INDEX($AM$1004:$BM$1004,1,MATCH(COLUMNS($AM$1006:AM1006),$AM$1006:$BM$1006,0)))),"Fix")))</f>
        <v xml:space="preserve"> </v>
      </c>
      <c r="C58" s="4" t="str">
        <f ca="1">IF(OR(INDEX($AG$2:$AG$1001,MATCH(ROWS($AF$2:AF58),$AF$2:$AF$1001,0),1)&gt;=100000,INDEX($AM$1005:$BM$1005,1,MATCH(COLUMNS($AM$1006:AN1006),$AM$1006:$BM$1006,0))&gt;=100000), " ",IF(INDEX($AM$2:$BM$1001,MATCH(ROWS($AF$2:AF58),$AF$2:$AF$1001,0),MATCH(COLUMNS($AM$1006:AN1006),$AM$1006:$BM$1006,0)), HYPERLINK("#",""), HYPERLINK(CONCATENATE("#metadata!", ADDRESS(INDEX($AH$2:$AH$1001,MATCH(ROWS($AF$2:AF58),$AF$2:$AF$1001,0),0), INDEX($AM$1004:$BM$1004,1,MATCH(COLUMNS($AM$1006:AN1006),$AM$1006:$BM$1006,0)))),"Fix")))</f>
        <v xml:space="preserve"> </v>
      </c>
      <c r="D58" s="4" t="str">
        <f ca="1">IF(OR(INDEX($AG$2:$AG$1001,MATCH(ROWS($AF$2:AF58),$AF$2:$AF$1001,0),1)&gt;=100000,INDEX($AM$1005:$BM$1005,1,MATCH(COLUMNS($AM$1006:AO1006),$AM$1006:$BM$1006,0))&gt;=100000), " ",IF(INDEX($AM$2:$BM$1001,MATCH(ROWS($AF$2:AF58),$AF$2:$AF$1001,0),MATCH(COLUMNS($AM$1006:AO1006),$AM$1006:$BM$1006,0)), HYPERLINK("#",""), HYPERLINK(CONCATENATE("#metadata!", ADDRESS(INDEX($AH$2:$AH$1001,MATCH(ROWS($AF$2:AF58),$AF$2:$AF$1001,0),0), INDEX($AM$1004:$BM$1004,1,MATCH(COLUMNS($AM$1006:AO1006),$AM$1006:$BM$1006,0)))),"Fix")))</f>
        <v xml:space="preserve"> </v>
      </c>
      <c r="E58" s="4" t="str">
        <f ca="1">IF(OR(INDEX($AG$2:$AG$1001,MATCH(ROWS($AF$2:AF58),$AF$2:$AF$1001,0),1)&gt;=100000,INDEX($AM$1005:$BM$1005,1,MATCH(COLUMNS($AM$1006:AP1006),$AM$1006:$BM$1006,0))&gt;=100000), " ",IF(INDEX($AM$2:$BM$1001,MATCH(ROWS($AF$2:AF58),$AF$2:$AF$1001,0),MATCH(COLUMNS($AM$1006:AP1006),$AM$1006:$BM$1006,0)), HYPERLINK("#",""), HYPERLINK(CONCATENATE("#metadata!", ADDRESS(INDEX($AH$2:$AH$1001,MATCH(ROWS($AF$2:AF58),$AF$2:$AF$1001,0),0), INDEX($AM$1004:$BM$1004,1,MATCH(COLUMNS($AM$1006:AP1006),$AM$1006:$BM$1006,0)))),"Fix")))</f>
        <v xml:space="preserve"> </v>
      </c>
      <c r="F58" s="4" t="str">
        <f ca="1">IF(OR(INDEX($AG$2:$AG$1001,MATCH(ROWS($AF$2:AF58),$AF$2:$AF$1001,0),1)&gt;=100000,INDEX($AM$1005:$BM$1005,1,MATCH(COLUMNS($AM$1006:AQ1006),$AM$1006:$BM$1006,0))&gt;=100000), " ",IF(INDEX($AM$2:$BM$1001,MATCH(ROWS($AF$2:AF58),$AF$2:$AF$1001,0),MATCH(COLUMNS($AM$1006:AQ1006),$AM$1006:$BM$1006,0)), HYPERLINK("#",""), HYPERLINK(CONCATENATE("#metadata!", ADDRESS(INDEX($AH$2:$AH$1001,MATCH(ROWS($AF$2:AF58),$AF$2:$AF$1001,0),0), INDEX($AM$1004:$BM$1004,1,MATCH(COLUMNS($AM$1006:AQ1006),$AM$1006:$BM$1006,0)))),"Fix")))</f>
        <v xml:space="preserve"> </v>
      </c>
      <c r="G58" s="4" t="str">
        <f ca="1">IF(OR(INDEX($AG$2:$AG$1001,MATCH(ROWS($AF$2:AF58),$AF$2:$AF$1001,0),1)&gt;=100000,INDEX($AM$1005:$BM$1005,1,MATCH(COLUMNS($AM$1006:AR1006),$AM$1006:$BM$1006,0))&gt;=100000), " ",IF(INDEX($AM$2:$BM$1001,MATCH(ROWS($AF$2:AF58),$AF$2:$AF$1001,0),MATCH(COLUMNS($AM$1006:AR1006),$AM$1006:$BM$1006,0)), HYPERLINK("#",""), HYPERLINK(CONCATENATE("#metadata!", ADDRESS(INDEX($AH$2:$AH$1001,MATCH(ROWS($AF$2:AF58),$AF$2:$AF$1001,0),0), INDEX($AM$1004:$BM$1004,1,MATCH(COLUMNS($AM$1006:AR1006),$AM$1006:$BM$1006,0)))),"Fix")))</f>
        <v xml:space="preserve"> </v>
      </c>
      <c r="H58" s="4" t="str">
        <f ca="1">IF(OR(INDEX($AG$2:$AG$1001,MATCH(ROWS($AF$2:AF58),$AF$2:$AF$1001,0),1)&gt;=100000,INDEX($AM$1005:$BM$1005,1,MATCH(COLUMNS($AM$1006:AS1006),$AM$1006:$BM$1006,0))&gt;=100000), " ",IF(INDEX($AM$2:$BM$1001,MATCH(ROWS($AF$2:AF58),$AF$2:$AF$1001,0),MATCH(COLUMNS($AM$1006:AS1006),$AM$1006:$BM$1006,0)), HYPERLINK("#",""), HYPERLINK(CONCATENATE("#metadata!", ADDRESS(INDEX($AH$2:$AH$1001,MATCH(ROWS($AF$2:AF58),$AF$2:$AF$1001,0),0), INDEX($AM$1004:$BM$1004,1,MATCH(COLUMNS($AM$1006:AS1006),$AM$1006:$BM$1006,0)))),"Fix")))</f>
        <v xml:space="preserve"> </v>
      </c>
      <c r="I58" s="4" t="str">
        <f ca="1">IF(OR(INDEX($AG$2:$AG$1001,MATCH(ROWS($AF$2:AF58),$AF$2:$AF$1001,0),1)&gt;=100000,INDEX($AM$1005:$BM$1005,1,MATCH(COLUMNS($AM$1006:AT1006),$AM$1006:$BM$1006,0))&gt;=100000), " ",IF(INDEX($AM$2:$BM$1001,MATCH(ROWS($AF$2:AF58),$AF$2:$AF$1001,0),MATCH(COLUMNS($AM$1006:AT1006),$AM$1006:$BM$1006,0)), HYPERLINK("#",""), HYPERLINK(CONCATENATE("#metadata!", ADDRESS(INDEX($AH$2:$AH$1001,MATCH(ROWS($AF$2:AF58),$AF$2:$AF$1001,0),0), INDEX($AM$1004:$BM$1004,1,MATCH(COLUMNS($AM$1006:AT1006),$AM$1006:$BM$1006,0)))),"Fix")))</f>
        <v xml:space="preserve"> </v>
      </c>
      <c r="J58" s="4" t="str">
        <f ca="1">IF(OR(INDEX($AG$2:$AG$1001,MATCH(ROWS($AF$2:AF58),$AF$2:$AF$1001,0),1)&gt;=100000,INDEX($AM$1005:$BM$1005,1,MATCH(COLUMNS($AM$1006:AU1006),$AM$1006:$BM$1006,0))&gt;=100000), " ",IF(INDEX($AM$2:$BM$1001,MATCH(ROWS($AF$2:AF58),$AF$2:$AF$1001,0),MATCH(COLUMNS($AM$1006:AU1006),$AM$1006:$BM$1006,0)), HYPERLINK("#",""), HYPERLINK(CONCATENATE("#metadata!", ADDRESS(INDEX($AH$2:$AH$1001,MATCH(ROWS($AF$2:AF58),$AF$2:$AF$1001,0),0), INDEX($AM$1004:$BM$1004,1,MATCH(COLUMNS($AM$1006:AU1006),$AM$1006:$BM$1006,0)))),"Fix")))</f>
        <v xml:space="preserve"> </v>
      </c>
      <c r="K58" s="4" t="str">
        <f ca="1">IF(OR(INDEX($AG$2:$AG$1001,MATCH(ROWS($AF$2:AF58),$AF$2:$AF$1001,0),1)&gt;=100000,INDEX($AM$1005:$BM$1005,1,MATCH(COLUMNS($AM$1006:AV1006),$AM$1006:$BM$1006,0))&gt;=100000), " ",IF(INDEX($AM$2:$BM$1001,MATCH(ROWS($AF$2:AF58),$AF$2:$AF$1001,0),MATCH(COLUMNS($AM$1006:AV1006),$AM$1006:$BM$1006,0)), HYPERLINK("#",""), HYPERLINK(CONCATENATE("#metadata!", ADDRESS(INDEX($AH$2:$AH$1001,MATCH(ROWS($AF$2:AF58),$AF$2:$AF$1001,0),0), INDEX($AM$1004:$BM$1004,1,MATCH(COLUMNS($AM$1006:AV1006),$AM$1006:$BM$1006,0)))),"Fix")))</f>
        <v xml:space="preserve"> </v>
      </c>
      <c r="L58" s="4" t="str">
        <f ca="1">IF(OR(INDEX($AG$2:$AG$1001,MATCH(ROWS($AF$2:AF58),$AF$2:$AF$1001,0),1)&gt;=100000,INDEX($AM$1005:$BM$1005,1,MATCH(COLUMNS($AM$1006:AW1006),$AM$1006:$BM$1006,0))&gt;=100000), " ",IF(INDEX($AM$2:$BM$1001,MATCH(ROWS($AF$2:AF58),$AF$2:$AF$1001,0),MATCH(COLUMNS($AM$1006:AW1006),$AM$1006:$BM$1006,0)), HYPERLINK("#",""), HYPERLINK(CONCATENATE("#metadata!", ADDRESS(INDEX($AH$2:$AH$1001,MATCH(ROWS($AF$2:AF58),$AF$2:$AF$1001,0),0), INDEX($AM$1004:$BM$1004,1,MATCH(COLUMNS($AM$1006:AW1006),$AM$1006:$BM$1006,0)))),"Fix")))</f>
        <v xml:space="preserve"> </v>
      </c>
      <c r="M58" s="4" t="str">
        <f ca="1">IF(OR(INDEX($AG$2:$AG$1001,MATCH(ROWS($AF$2:AF58),$AF$2:$AF$1001,0),1)&gt;=100000,INDEX($AM$1005:$BM$1005,1,MATCH(COLUMNS($AM$1006:AX1006),$AM$1006:$BM$1006,0))&gt;=100000), " ",IF(INDEX($AM$2:$BM$1001,MATCH(ROWS($AF$2:AF58),$AF$2:$AF$1001,0),MATCH(COLUMNS($AM$1006:AX1006),$AM$1006:$BM$1006,0)), HYPERLINK("#",""), HYPERLINK(CONCATENATE("#metadata!", ADDRESS(INDEX($AH$2:$AH$1001,MATCH(ROWS($AF$2:AF58),$AF$2:$AF$1001,0),0), INDEX($AM$1004:$BM$1004,1,MATCH(COLUMNS($AM$1006:AX1006),$AM$1006:$BM$1006,0)))),"Fix")))</f>
        <v xml:space="preserve"> </v>
      </c>
      <c r="N58" s="4" t="str">
        <f ca="1">IF(OR(INDEX($AG$2:$AG$1001,MATCH(ROWS($AF$2:AF58),$AF$2:$AF$1001,0),1)&gt;=100000,INDEX($AM$1005:$BM$1005,1,MATCH(COLUMNS($AM$1006:AY1006),$AM$1006:$BM$1006,0))&gt;=100000), " ",IF(INDEX($AM$2:$BM$1001,MATCH(ROWS($AF$2:AF58),$AF$2:$AF$1001,0),MATCH(COLUMNS($AM$1006:AY1006),$AM$1006:$BM$1006,0)), HYPERLINK("#",""), HYPERLINK(CONCATENATE("#metadata!", ADDRESS(INDEX($AH$2:$AH$1001,MATCH(ROWS($AF$2:AF58),$AF$2:$AF$1001,0),0), INDEX($AM$1004:$BM$1004,1,MATCH(COLUMNS($AM$1006:AY1006),$AM$1006:$BM$1006,0)))),"Fix")))</f>
        <v xml:space="preserve"> </v>
      </c>
      <c r="O58" s="4" t="str">
        <f ca="1">IF(OR(INDEX($AG$2:$AG$1001,MATCH(ROWS($AF$2:AF58),$AF$2:$AF$1001,0),1)&gt;=100000,INDEX($AM$1005:$BM$1005,1,MATCH(COLUMNS($AM$1006:AZ1006),$AM$1006:$BM$1006,0))&gt;=100000), " ",IF(INDEX($AM$2:$BM$1001,MATCH(ROWS($AF$2:AF58),$AF$2:$AF$1001,0),MATCH(COLUMNS($AM$1006:AZ1006),$AM$1006:$BM$1006,0)), HYPERLINK("#",""), HYPERLINK(CONCATENATE("#metadata!", ADDRESS(INDEX($AH$2:$AH$1001,MATCH(ROWS($AF$2:AF58),$AF$2:$AF$1001,0),0), INDEX($AM$1004:$BM$1004,1,MATCH(COLUMNS($AM$1006:AZ1006),$AM$1006:$BM$1006,0)))),"Fix")))</f>
        <v xml:space="preserve"> </v>
      </c>
      <c r="P58" s="4" t="str">
        <f ca="1">IF(OR(INDEX($AG$2:$AG$1001,MATCH(ROWS($AF$2:AF58),$AF$2:$AF$1001,0),1)&gt;=100000,INDEX($AM$1005:$BM$1005,1,MATCH(COLUMNS($AM$1006:BA1006),$AM$1006:$BM$1006,0))&gt;=100000), " ",IF(INDEX($AM$2:$BM$1001,MATCH(ROWS($AF$2:AF58),$AF$2:$AF$1001,0),MATCH(COLUMNS($AM$1006:BA1006),$AM$1006:$BM$1006,0)), HYPERLINK("#",""), HYPERLINK(CONCATENATE("#metadata!", ADDRESS(INDEX($AH$2:$AH$1001,MATCH(ROWS($AF$2:AF58),$AF$2:$AF$1001,0),0), INDEX($AM$1004:$BM$1004,1,MATCH(COLUMNS($AM$1006:BA1006),$AM$1006:$BM$1006,0)))),"Fix")))</f>
        <v xml:space="preserve"> </v>
      </c>
      <c r="Q58" s="4" t="str">
        <f ca="1">IF(OR(INDEX($AG$2:$AG$1001,MATCH(ROWS($AF$2:AF58),$AF$2:$AF$1001,0),1)&gt;=100000,INDEX($AM$1005:$BM$1005,1,MATCH(COLUMNS($AM$1006:BB1006),$AM$1006:$BM$1006,0))&gt;=100000), " ",IF(INDEX($AM$2:$BM$1001,MATCH(ROWS($AF$2:AF58),$AF$2:$AF$1001,0),MATCH(COLUMNS($AM$1006:BB1006),$AM$1006:$BM$1006,0)), HYPERLINK("#",""), HYPERLINK(CONCATENATE("#metadata!", ADDRESS(INDEX($AH$2:$AH$1001,MATCH(ROWS($AF$2:AF58),$AF$2:$AF$1001,0),0), INDEX($AM$1004:$BM$1004,1,MATCH(COLUMNS($AM$1006:BB1006),$AM$1006:$BM$1006,0)))),"Fix")))</f>
        <v xml:space="preserve"> </v>
      </c>
      <c r="R58" s="4" t="str">
        <f ca="1">IF(OR(INDEX($AG$2:$AG$1001,MATCH(ROWS($AF$2:AF58),$AF$2:$AF$1001,0),1)&gt;=100000,INDEX($AM$1005:$BM$1005,1,MATCH(COLUMNS($AM$1006:BC1006),$AM$1006:$BM$1006,0))&gt;=100000), " ",IF(INDEX($AM$2:$BM$1001,MATCH(ROWS($AF$2:AF58),$AF$2:$AF$1001,0),MATCH(COLUMNS($AM$1006:BC1006),$AM$1006:$BM$1006,0)), HYPERLINK("#",""), HYPERLINK(CONCATENATE("#metadata!", ADDRESS(INDEX($AH$2:$AH$1001,MATCH(ROWS($AF$2:AF58),$AF$2:$AF$1001,0),0), INDEX($AM$1004:$BM$1004,1,MATCH(COLUMNS($AM$1006:BC1006),$AM$1006:$BM$1006,0)))),"Fix")))</f>
        <v xml:space="preserve"> </v>
      </c>
      <c r="S58" s="4" t="str">
        <f ca="1">IF(OR(INDEX($AG$2:$AG$1001,MATCH(ROWS($AF$2:AF58),$AF$2:$AF$1001,0),1)&gt;=100000,INDEX($AM$1005:$BM$1005,1,MATCH(COLUMNS($AM$1006:BD1006),$AM$1006:$BM$1006,0))&gt;=100000), " ",IF(INDEX($AM$2:$BM$1001,MATCH(ROWS($AF$2:AF58),$AF$2:$AF$1001,0),MATCH(COLUMNS($AM$1006:BD1006),$AM$1006:$BM$1006,0)), HYPERLINK("#",""), HYPERLINK(CONCATENATE("#metadata!", ADDRESS(INDEX($AH$2:$AH$1001,MATCH(ROWS($AF$2:AF58),$AF$2:$AF$1001,0),0), INDEX($AM$1004:$BM$1004,1,MATCH(COLUMNS($AM$1006:BD1006),$AM$1006:$BM$1006,0)))),"Fix")))</f>
        <v xml:space="preserve"> </v>
      </c>
      <c r="T58" s="4" t="str">
        <f ca="1">IF(OR(INDEX($AG$2:$AG$1001,MATCH(ROWS($AF$2:AF58),$AF$2:$AF$1001,0),1)&gt;=100000,INDEX($AM$1005:$BM$1005,1,MATCH(COLUMNS($AM$1006:BE1006),$AM$1006:$BM$1006,0))&gt;=100000), " ",IF(INDEX($AM$2:$BM$1001,MATCH(ROWS($AF$2:AF58),$AF$2:$AF$1001,0),MATCH(COLUMNS($AM$1006:BE1006),$AM$1006:$BM$1006,0)), HYPERLINK("#",""), HYPERLINK(CONCATENATE("#metadata!", ADDRESS(INDEX($AH$2:$AH$1001,MATCH(ROWS($AF$2:AF58),$AF$2:$AF$1001,0),0), INDEX($AM$1004:$BM$1004,1,MATCH(COLUMNS($AM$1006:BE1006),$AM$1006:$BM$1006,0)))),"Fix")))</f>
        <v xml:space="preserve"> </v>
      </c>
      <c r="U58" s="4" t="str">
        <f ca="1">IF(OR(INDEX($AG$2:$AG$1001,MATCH(ROWS($AF$2:AF58),$AF$2:$AF$1001,0),1)&gt;=100000,INDEX($AM$1005:$BM$1005,1,MATCH(COLUMNS($AM$1006:BF1006),$AM$1006:$BM$1006,0))&gt;=100000), " ",IF(INDEX($AM$2:$BM$1001,MATCH(ROWS($AF$2:AF58),$AF$2:$AF$1001,0),MATCH(COLUMNS($AM$1006:BF1006),$AM$1006:$BM$1006,0)), HYPERLINK("#",""), HYPERLINK(CONCATENATE("#metadata!", ADDRESS(INDEX($AH$2:$AH$1001,MATCH(ROWS($AF$2:AF58),$AF$2:$AF$1001,0),0), INDEX($AM$1004:$BM$1004,1,MATCH(COLUMNS($AM$1006:BF1006),$AM$1006:$BM$1006,0)))),"Fix")))</f>
        <v xml:space="preserve"> </v>
      </c>
      <c r="V58" s="4" t="str">
        <f ca="1">IF(OR(INDEX($AG$2:$AG$1001,MATCH(ROWS($AF$2:AF58),$AF$2:$AF$1001,0),1)&gt;=100000,INDEX($AM$1005:$BM$1005,1,MATCH(COLUMNS($AM$1006:BG1006),$AM$1006:$BM$1006,0))&gt;=100000), " ",IF(INDEX($AM$2:$BM$1001,MATCH(ROWS($AF$2:AF58),$AF$2:$AF$1001,0),MATCH(COLUMNS($AM$1006:BG1006),$AM$1006:$BM$1006,0)), HYPERLINK("#",""), HYPERLINK(CONCATENATE("#metadata!", ADDRESS(INDEX($AH$2:$AH$1001,MATCH(ROWS($AF$2:AF58),$AF$2:$AF$1001,0),0), INDEX($AM$1004:$BM$1004,1,MATCH(COLUMNS($AM$1006:BG1006),$AM$1006:$BM$1006,0)))),"Fix")))</f>
        <v xml:space="preserve"> </v>
      </c>
      <c r="W58" s="4" t="str">
        <f ca="1">IF(OR(INDEX($AG$2:$AG$1001,MATCH(ROWS($AF$2:AF58),$AF$2:$AF$1001,0),1)&gt;=100000,INDEX($AM$1005:$BM$1005,1,MATCH(COLUMNS($AM$1006:BH1006),$AM$1006:$BM$1006,0))&gt;=100000), " ",IF(INDEX($AM$2:$BM$1001,MATCH(ROWS($AF$2:AF58),$AF$2:$AF$1001,0),MATCH(COLUMNS($AM$1006:BH1006),$AM$1006:$BM$1006,0)), HYPERLINK("#",""), HYPERLINK(CONCATENATE("#metadata!", ADDRESS(INDEX($AH$2:$AH$1001,MATCH(ROWS($AF$2:AF58),$AF$2:$AF$1001,0),0), INDEX($AM$1004:$BM$1004,1,MATCH(COLUMNS($AM$1006:BH1006),$AM$1006:$BM$1006,0)))),"Fix")))</f>
        <v xml:space="preserve"> </v>
      </c>
      <c r="X58" s="4" t="str">
        <f ca="1">IF(OR(INDEX($AG$2:$AG$1001,MATCH(ROWS($AF$2:AF58),$AF$2:$AF$1001,0),1)&gt;=100000,INDEX($AM$1005:$BM$1005,1,MATCH(COLUMNS($AM$1006:BI1006),$AM$1006:$BM$1006,0))&gt;=100000), " ",IF(INDEX($AM$2:$BM$1001,MATCH(ROWS($AF$2:AF58),$AF$2:$AF$1001,0),MATCH(COLUMNS($AM$1006:BI1006),$AM$1006:$BM$1006,0)), HYPERLINK("#",""), HYPERLINK(CONCATENATE("#metadata!", ADDRESS(INDEX($AH$2:$AH$1001,MATCH(ROWS($AF$2:AF58),$AF$2:$AF$1001,0),0), INDEX($AM$1004:$BM$1004,1,MATCH(COLUMNS($AM$1006:BI1006),$AM$1006:$BM$1006,0)))),"Fix")))</f>
        <v xml:space="preserve"> </v>
      </c>
      <c r="Y58" s="4" t="str">
        <f ca="1">IF(OR(INDEX($AG$2:$AG$1001,MATCH(ROWS($AF$2:AF58),$AF$2:$AF$1001,0),1)&gt;=100000,INDEX($AM$1005:$BM$1005,1,MATCH(COLUMNS($AM$1006:BJ1006),$AM$1006:$BM$1006,0))&gt;=100000), " ",IF(INDEX($AM$2:$BM$1001,MATCH(ROWS($AF$2:AF58),$AF$2:$AF$1001,0),MATCH(COLUMNS($AM$1006:BJ1006),$AM$1006:$BM$1006,0)), HYPERLINK("#",""), HYPERLINK(CONCATENATE("#metadata!", ADDRESS(INDEX($AH$2:$AH$1001,MATCH(ROWS($AF$2:AF58),$AF$2:$AF$1001,0),0), INDEX($AM$1004:$BM$1004,1,MATCH(COLUMNS($AM$1006:BJ1006),$AM$1006:$BM$1006,0)))),"Fix")))</f>
        <v xml:space="preserve"> </v>
      </c>
      <c r="Z58" s="4" t="str">
        <f ca="1">IF(OR(INDEX($AG$2:$AG$1001,MATCH(ROWS($AF$2:AF58),$AF$2:$AF$1001,0),1)&gt;=100000,INDEX($AM$1005:$BM$1005,1,MATCH(COLUMNS($AM$1006:BK1006),$AM$1006:$BM$1006,0))&gt;=100000), " ",IF(INDEX($AM$2:$BM$1001,MATCH(ROWS($AF$2:AF58),$AF$2:$AF$1001,0),MATCH(COLUMNS($AM$1006:BK1006),$AM$1006:$BM$1006,0)), HYPERLINK("#",""), HYPERLINK(CONCATENATE("#metadata!", ADDRESS(INDEX($AH$2:$AH$1001,MATCH(ROWS($AF$2:AF58),$AF$2:$AF$1001,0),0), INDEX($AM$1004:$BM$1004,1,MATCH(COLUMNS($AM$1006:BK1006),$AM$1006:$BM$1006,0)))),"Fix")))</f>
        <v xml:space="preserve"> </v>
      </c>
      <c r="AA58" s="4" t="str">
        <f ca="1">IF(OR(INDEX($AG$2:$AG$1001,MATCH(ROWS($AF$2:AF58),$AF$2:$AF$1001,0),1)&gt;=100000,INDEX($AM$1005:$BM$1005,1,MATCH(COLUMNS($AM$1006:BL1006),$AM$1006:$BM$1006,0))&gt;=100000), " ",IF(INDEX($AM$2:$BM$1001,MATCH(ROWS($AF$2:AF58),$AF$2:$AF$1001,0),MATCH(COLUMNS($AM$1006:BL1006),$AM$1006:$BM$1006,0)), HYPERLINK("#",""), HYPERLINK(CONCATENATE("#metadata!", ADDRESS(INDEX($AH$2:$AH$1001,MATCH(ROWS($AF$2:AF58),$AF$2:$AF$1001,0),0), INDEX($AM$1004:$BM$1004,1,MATCH(COLUMNS($AM$1006:BL1006),$AM$1006:$BM$1006,0)))),"Fix")))</f>
        <v xml:space="preserve"> </v>
      </c>
      <c r="AB58" s="4" t="str">
        <f ca="1">IF(OR(INDEX($AG$2:$AG$1001,MATCH(ROWS($AF$2:AF58),$AF$2:$AF$1001,0),1)&gt;=100000,INDEX($AM$1005:$BM$1005,1,MATCH(COLUMNS($AM$1006:BM1006),$AM$1006:$BM$1006,0))&gt;=100000), " ",IF(INDEX($AM$2:$BM$1001,MATCH(ROWS($AF$2:AF58),$AF$2:$AF$1001,0),MATCH(COLUMNS($AM$1006:BM1006),$AM$1006:$BM$1006,0)), HYPERLINK("#",""), HYPERLINK(CONCATENATE("#metadata!", ADDRESS(INDEX($AH$2:$AH$1001,MATCH(ROWS($AF$2:AF58),$AF$2:$AF$1001,0),0), INDEX($AM$1004:$BM$1004,1,MATCH(COLUMNS($AM$1006:BM1006),$AM$1006:$BM$1006,0)))),"Fix")))</f>
        <v xml:space="preserve"> </v>
      </c>
      <c r="AF58">
        <v>57</v>
      </c>
      <c r="AG58">
        <v>100058</v>
      </c>
      <c r="AH58">
        <v>58</v>
      </c>
      <c r="AI58" t="b">
        <f t="shared" si="0"/>
        <v>1</v>
      </c>
      <c r="AJ58" t="b">
        <f>COUNTBLANK(metadata!B58:AB58)=COLUMNS(metadata!B58:AB58)</f>
        <v>1</v>
      </c>
      <c r="AK58" t="str">
        <v/>
      </c>
      <c r="AM58" t="b">
        <f ca="1">AND(IF(metadata!B58="",FALSE,TRUE),COUNTIF(metadata!B:B, metadata!B58) = 1,NOT(ISERROR(SUMPRODUCT(SEARCH(MID(metadata!B58,ROW(INDIRECT("1:"&amp;LEN(metadata!B58))), 1),"0123456789abcdefghijklmnopqrstuvwxyzABCDEFGHIJKLMNOPQRSTUVWXYZ.")))))</f>
        <v>0</v>
      </c>
      <c r="AN58" t="b">
        <f ca="1">OR(AND(IF(metadata!C58="",FALSE,TRUE),OR(EXACT(metadata!C58,"missing: not collected"),EXACT(metadata!C58,"missing: not provided"),EXACT(metadata!C58,"missing: restricted access"))),AND(IF(metadata!C58="",FALSE,TRUE),AND(AND(IFERROR(INT(LEFT(metadata!C58,4))&gt;1900,FALSE),IFERROR(INT(LEFT(metadata!C58,4))&lt;=YEAR(NOW()),FALSE)), OR(MID(metadata!C58,5,1)="", AND(AND(MID(metadata!C58,5,1)="-",IFERROR(INT(MID(metadata!C58,6,1))&gt;=0,FALSE),IFERROR(INT(MID(metadata!C58,6,1))&lt;=1,FALSE),NOT(MID(metadata!C58,7,1)=""),IFERROR(INT(MID(metadata!C58,6,2))&gt;=1,FALSE),IFERROR(INT(MID(metadata!C58,6,2))&lt;=12,FALSE)), OR(MID(metadata!C58,8,1)="", AND(AND(MID(metadata!C58,8,1)="-",IFERROR(INT(MID(metadata!C58,9,1))&gt;=0,FALSE),IFERROR(INT(MID(metadata!C58,9,1))&lt;=3,FALSE),NOT(MID(metadata!C58,10,1)=""),IFERROR(INT(MID(metadata!C58,9,2))&gt;=1,FALSE),IFERROR(INT(MID(metadata!C58,9,2))&lt;=31,FALSE)), OR(MID(metadata!C58,11,1)="", AND(AND(MID(metadata!C58,11,1)=" ",IFERROR(INT(MID(metadata!C58,12,1))&gt;=0,FALSE),IFERROR(INT(MID(metadata!C58,12,1))&lt;=2,FALSE),NOT(MID(metadata!C58,13,1)=""),IFERROR(INT(MID(metadata!C58,12,2))&gt;=0,FALSE),IFERROR(INT(MID(metadata!C58,12,2))&lt;=23,FALSE)), OR(MID(metadata!C58,14,1)="", AND(AND(MID(metadata!C58,14,1)=":",IFERROR(INT(MID(metadata!C58,15,1))&gt;=0,FALSE),IFERROR(INT(MID(metadata!C58,15,1))&lt;=5,FALSE),NOT(MID(metadata!C58,16,1)=""),IFERROR(INT(MID(metadata!C58,15,2))&gt;=0,FALSE),IFERROR(INT(MID(metadata!C58,15,2))&lt;=59,FALSE)), OR(MID(metadata!C58,17,1)="", AND(AND(MID(metadata!C58,17,1)=":",IFERROR(INT(MID(metadata!C58,18,1))&gt;=0,FALSE),IFERROR(INT(MID(metadata!C58,18,1))&lt;=5,FALSE),NOT(MID(metadata!C58,19,1)=""),IFERROR(INT(MID(metadata!C58,18,2))&gt;=0,FALSE),IFERROR(INT(MID(metadata!C58,18,2))&lt;=59,FALSE)), LEN(metadata!C58)&lt;=19)))))))))))))</f>
        <v>0</v>
      </c>
      <c r="AO58" t="b">
        <f>AND(IF(metadata!D58="",FALSE,TRUE),EXACT(metadata!D58,"Not applicable"))</f>
        <v>0</v>
      </c>
      <c r="AP58" t="b">
        <f>IF(metadata!E58="",FALSE,TRUE)</f>
        <v>0</v>
      </c>
      <c r="AQ58" t="b">
        <f>OR(AND(IF(metadata!F58="",FALSE,TRUE),OR(EXACT(metadata!F58,"missing: not collected"),EXACT(metadata!F58,"missing: not provided"))),AND(IF(metadata!F58="",FALSE,TRUE),OR(EXACT(metadata!F58,"TRUE"),EXACT(metadata!F58,"FALSE"))))</f>
        <v>0</v>
      </c>
      <c r="AR58" t="b">
        <f>OR(AND(IF(metadata!G58="",FALSE,TRUE),OR(EXACT(metadata!G58,"missing: not collected"),EXACT(metadata!G58,"missing: not provided"),EXACT(metadata!G58,"missing: restricted access"))),AND(IF(metadata!G58="",FALSE,ISNUMBER(VALUE(metadata!G58))),metadata!G58&gt;=-413))</f>
        <v>0</v>
      </c>
      <c r="AS58" t="b">
        <f>AND(IF(metadata!H58="",FALSE,TRUE),EXACT(metadata!H58,"meters"))</f>
        <v>0</v>
      </c>
      <c r="AT58" t="b">
        <f>AND(IF(metadata!I58="",FALSE,TRUE),OR(EXACT(metadata!I58,"Host-associated"),EXACT(metadata!I58,"Free-living")))</f>
        <v>0</v>
      </c>
      <c r="AU58" t="b">
        <f>AND(IF(metadata!J58="",FALSE,TRUE),OR(EXACT(metadata!J58,"Animal"),EXACT(metadata!J58,"Fungus"),EXACT(metadata!J58,"Plant"),EXACT(metadata!J58,"Saline"),EXACT(metadata!J58,"Non-saline")))</f>
        <v>0</v>
      </c>
      <c r="AV58" t="b">
        <f>AND(IF(metadata!K58="",FALSE,TRUE),OR(EXACT(metadata!K58,"Plant secretion"),EXACT(metadata!K58,"Plant rhizosphere"),EXACT(metadata!K58,"Plant surface"),EXACT(metadata!K58,"Plant corpus"),EXACT(metadata!K58,"Fungus surface"),EXACT(metadata!K58,"Fungus corpus"),EXACT(metadata!K58,"Animal surface"),EXACT(metadata!K58,"Animal proximal gut"),EXACT(metadata!K58,"Animal corpus"),EXACT(metadata!K58,"Animal distal gut"),EXACT(metadata!K58,"Animal secretion"),EXACT(metadata!K58,"Sub-surface (non-saline)"),EXACT(metadata!K58,"Surface (non-saline)"),EXACT(metadata!K58,"Water (non-saline)"),EXACT(metadata!K58,"Soil (non-saline)"),EXACT(metadata!K58,"Aerosol (non-saline)"),EXACT(metadata!K58,"Sediment (non-saline)"),EXACT(metadata!K58,"Surface (saline)"),EXACT(metadata!K58,"Water (saline)"),EXACT(metadata!K58,"Hypersaline (saline)"),EXACT(metadata!K58,"Aerosol (saline)"),EXACT(metadata!K58,"Sediment (saline)")))</f>
        <v>0</v>
      </c>
      <c r="AW58" t="b">
        <f>IF(metadata!L58="",FALSE,TRUE)</f>
        <v>0</v>
      </c>
      <c r="AX58" t="b">
        <f>IF(metadata!M58="",FALSE,TRUE)</f>
        <v>0</v>
      </c>
      <c r="AY58" t="b">
        <f>IF(metadata!N58="",FALSE,TRUE)</f>
        <v>0</v>
      </c>
      <c r="AZ58" t="b">
        <f>OR(AND(IF(metadata!O58="",FALSE,TRUE),OR(EXACT(metadata!O58,"missing: not collected"),EXACT(metadata!O58,"missing: not provided"),EXACT(metadata!O58,"missing: restricted access"))),AND(IF(metadata!O58="",FALSE,TRUE),OR(EXACT(metadata!O58,"air"),EXACT(metadata!O58,"built environment"),EXACT(metadata!O58,"host-associated"),EXACT(metadata!O58,"human-associated"),EXACT(metadata!O58,"human-skin"),EXACT(metadata!O58,"human-oral"),EXACT(metadata!O58,"human-gut"),EXACT(metadata!O58,"human-vaginal"),EXACT(metadata!O58,"microbial mat/biofilm"),EXACT(metadata!O58,"misc environment"),EXACT(metadata!O58,"plant-associated"),EXACT(metadata!O58,"sediment"),EXACT(metadata!O58,"soil"),EXACT(metadata!O58,"wastewater/sludge"),EXACT(metadata!O58,"water"))))</f>
        <v>0</v>
      </c>
      <c r="BA58" t="b">
        <f>IF(metadata!P58="",FALSE,TRUE)</f>
        <v>0</v>
      </c>
      <c r="BB58" t="b">
        <f>IF(metadata!Q58="",FALSE,TRUE)</f>
        <v>0</v>
      </c>
      <c r="BC58" t="b">
        <f>OR(AND(IF(metadata!R58="",FALSE,TRUE),OR(EXACT(metadata!R58,"missing: not collected"),EXACT(metadata!R58,"missing: not provided"),EXACT(metadata!R58,"missing: restricted access"))),AND(IF(metadata!R58="",FALSE,ISNUMBER(VALUE(metadata!R58))),metadata!R58&gt;=-90,metadata!R58&lt;=90))</f>
        <v>0</v>
      </c>
      <c r="BD58" t="b">
        <f>AND(IF(metadata!S58="",FALSE,TRUE),EXACT(metadata!S58,"Decimal degrees"))</f>
        <v>0</v>
      </c>
      <c r="BE58" t="b">
        <f>OR(AND(IF(metadata!T58="",FALSE,TRUE),OR(EXACT(metadata!T58,"missing: not collected"),EXACT(metadata!T58,"missing: not provided"),EXACT(metadata!T58,"missing: restricted access"))),AND(IF(metadata!T58="",FALSE,ISNUMBER(VALUE(metadata!T58))),metadata!T58&gt;=-180,metadata!T58&lt;=180))</f>
        <v>0</v>
      </c>
      <c r="BF58" t="b">
        <f>AND(IF(metadata!U58="",FALSE,TRUE),EXACT(metadata!U58,"Decimal degrees"))</f>
        <v>0</v>
      </c>
      <c r="BG58" t="b">
        <f>IF(metadata!V58="",FALSE,TRUE)</f>
        <v>0</v>
      </c>
      <c r="BH58" t="b">
        <f>OR(AND(IF(metadata!W58="",FALSE,TRUE),OR(EXACT(metadata!W58,"missing: not collected"),EXACT(metadata!W58,"missing: not provided"),EXACT(metadata!W58,"missing: restricted access"))),AND(IF(metadata!W58="",FALSE,TRUE),OR(EXACT(metadata!W58,"TRUE"),EXACT(metadata!W58,"FALSE"))))</f>
        <v>0</v>
      </c>
      <c r="BI58" t="b">
        <f>AND(IF(metadata!X58="",FALSE,TRUE),EXACT(metadata!X58,"other"))</f>
        <v>0</v>
      </c>
      <c r="BJ58" t="b">
        <f>IF(metadata!Y58="",FALSE,TRUE)</f>
        <v>0</v>
      </c>
      <c r="BK58" t="b">
        <f>OR(AND(IF(metadata!Z58="",FALSE,TRUE),OR(EXACT(metadata!Z58,"missing: not collected"),EXACT(metadata!Z58,"missing: not provided"))),AND(IF(metadata!Z58="",FALSE,IF(ISERROR(INT(metadata!Z58)),FALSE,INT(metadata!Z58)=metadata!Z58)),metadata!Z58&gt;0))</f>
        <v>0</v>
      </c>
      <c r="BL58" t="b">
        <f>AND(IF(metadata!AA58="",FALSE,TRUE),EXACT(metadata!AA58,"Not applicable"))</f>
        <v>0</v>
      </c>
      <c r="BM58" t="b">
        <f>IF(metadata!AB58="",FALSE,TRUE)</f>
        <v>0</v>
      </c>
    </row>
    <row r="59" spans="1:65" x14ac:dyDescent="0.2">
      <c r="A59" s="5" t="str">
        <f ca="1">IF(B59=" "," ",HYPERLINK(CONCATENATE("#metadata!",ADDRESS(INDEX($AH$2:$AH$1001,MATCH(ROWS($AF$2:AF59),$AF$2:$AF$1001,0),0),1)),INDEX($AK$2:$AK$1001,MATCH(ROWS($AF$2:AF59),$AF$2:$AF$1001,0),0)))</f>
        <v xml:space="preserve"> </v>
      </c>
      <c r="B59" s="4" t="str">
        <f ca="1">IF(OR(INDEX($AG$2:$AG$1001,MATCH(ROWS($AF$2:AF59),$AF$2:$AF$1001,0),1)&gt;=100000,INDEX($AM$1005:$BM$1005,1,MATCH(COLUMNS($AM$1006:AM1006),$AM$1006:$BM$1006,0))&gt;=100000), " ",IF(INDEX($AM$2:$BM$1001,MATCH(ROWS($AF$2:AF59),$AF$2:$AF$1001,0),MATCH(COLUMNS($AM$1006:AM1006),$AM$1006:$BM$1006,0)), HYPERLINK("#",""), HYPERLINK(CONCATENATE("#metadata!", ADDRESS(INDEX($AH$2:$AH$1001,MATCH(ROWS($AF$2:AF59),$AF$2:$AF$1001,0),0), INDEX($AM$1004:$BM$1004,1,MATCH(COLUMNS($AM$1006:AM1006),$AM$1006:$BM$1006,0)))),"Fix")))</f>
        <v xml:space="preserve"> </v>
      </c>
      <c r="C59" s="4" t="str">
        <f ca="1">IF(OR(INDEX($AG$2:$AG$1001,MATCH(ROWS($AF$2:AF59),$AF$2:$AF$1001,0),1)&gt;=100000,INDEX($AM$1005:$BM$1005,1,MATCH(COLUMNS($AM$1006:AN1006),$AM$1006:$BM$1006,0))&gt;=100000), " ",IF(INDEX($AM$2:$BM$1001,MATCH(ROWS($AF$2:AF59),$AF$2:$AF$1001,0),MATCH(COLUMNS($AM$1006:AN1006),$AM$1006:$BM$1006,0)), HYPERLINK("#",""), HYPERLINK(CONCATENATE("#metadata!", ADDRESS(INDEX($AH$2:$AH$1001,MATCH(ROWS($AF$2:AF59),$AF$2:$AF$1001,0),0), INDEX($AM$1004:$BM$1004,1,MATCH(COLUMNS($AM$1006:AN1006),$AM$1006:$BM$1006,0)))),"Fix")))</f>
        <v xml:space="preserve"> </v>
      </c>
      <c r="D59" s="4" t="str">
        <f ca="1">IF(OR(INDEX($AG$2:$AG$1001,MATCH(ROWS($AF$2:AF59),$AF$2:$AF$1001,0),1)&gt;=100000,INDEX($AM$1005:$BM$1005,1,MATCH(COLUMNS($AM$1006:AO1006),$AM$1006:$BM$1006,0))&gt;=100000), " ",IF(INDEX($AM$2:$BM$1001,MATCH(ROWS($AF$2:AF59),$AF$2:$AF$1001,0),MATCH(COLUMNS($AM$1006:AO1006),$AM$1006:$BM$1006,0)), HYPERLINK("#",""), HYPERLINK(CONCATENATE("#metadata!", ADDRESS(INDEX($AH$2:$AH$1001,MATCH(ROWS($AF$2:AF59),$AF$2:$AF$1001,0),0), INDEX($AM$1004:$BM$1004,1,MATCH(COLUMNS($AM$1006:AO1006),$AM$1006:$BM$1006,0)))),"Fix")))</f>
        <v xml:space="preserve"> </v>
      </c>
      <c r="E59" s="4" t="str">
        <f ca="1">IF(OR(INDEX($AG$2:$AG$1001,MATCH(ROWS($AF$2:AF59),$AF$2:$AF$1001,0),1)&gt;=100000,INDEX($AM$1005:$BM$1005,1,MATCH(COLUMNS($AM$1006:AP1006),$AM$1006:$BM$1006,0))&gt;=100000), " ",IF(INDEX($AM$2:$BM$1001,MATCH(ROWS($AF$2:AF59),$AF$2:$AF$1001,0),MATCH(COLUMNS($AM$1006:AP1006),$AM$1006:$BM$1006,0)), HYPERLINK("#",""), HYPERLINK(CONCATENATE("#metadata!", ADDRESS(INDEX($AH$2:$AH$1001,MATCH(ROWS($AF$2:AF59),$AF$2:$AF$1001,0),0), INDEX($AM$1004:$BM$1004,1,MATCH(COLUMNS($AM$1006:AP1006),$AM$1006:$BM$1006,0)))),"Fix")))</f>
        <v xml:space="preserve"> </v>
      </c>
      <c r="F59" s="4" t="str">
        <f ca="1">IF(OR(INDEX($AG$2:$AG$1001,MATCH(ROWS($AF$2:AF59),$AF$2:$AF$1001,0),1)&gt;=100000,INDEX($AM$1005:$BM$1005,1,MATCH(COLUMNS($AM$1006:AQ1006),$AM$1006:$BM$1006,0))&gt;=100000), " ",IF(INDEX($AM$2:$BM$1001,MATCH(ROWS($AF$2:AF59),$AF$2:$AF$1001,0),MATCH(COLUMNS($AM$1006:AQ1006),$AM$1006:$BM$1006,0)), HYPERLINK("#",""), HYPERLINK(CONCATENATE("#metadata!", ADDRESS(INDEX($AH$2:$AH$1001,MATCH(ROWS($AF$2:AF59),$AF$2:$AF$1001,0),0), INDEX($AM$1004:$BM$1004,1,MATCH(COLUMNS($AM$1006:AQ1006),$AM$1006:$BM$1006,0)))),"Fix")))</f>
        <v xml:space="preserve"> </v>
      </c>
      <c r="G59" s="4" t="str">
        <f ca="1">IF(OR(INDEX($AG$2:$AG$1001,MATCH(ROWS($AF$2:AF59),$AF$2:$AF$1001,0),1)&gt;=100000,INDEX($AM$1005:$BM$1005,1,MATCH(COLUMNS($AM$1006:AR1006),$AM$1006:$BM$1006,0))&gt;=100000), " ",IF(INDEX($AM$2:$BM$1001,MATCH(ROWS($AF$2:AF59),$AF$2:$AF$1001,0),MATCH(COLUMNS($AM$1006:AR1006),$AM$1006:$BM$1006,0)), HYPERLINK("#",""), HYPERLINK(CONCATENATE("#metadata!", ADDRESS(INDEX($AH$2:$AH$1001,MATCH(ROWS($AF$2:AF59),$AF$2:$AF$1001,0),0), INDEX($AM$1004:$BM$1004,1,MATCH(COLUMNS($AM$1006:AR1006),$AM$1006:$BM$1006,0)))),"Fix")))</f>
        <v xml:space="preserve"> </v>
      </c>
      <c r="H59" s="4" t="str">
        <f ca="1">IF(OR(INDEX($AG$2:$AG$1001,MATCH(ROWS($AF$2:AF59),$AF$2:$AF$1001,0),1)&gt;=100000,INDEX($AM$1005:$BM$1005,1,MATCH(COLUMNS($AM$1006:AS1006),$AM$1006:$BM$1006,0))&gt;=100000), " ",IF(INDEX($AM$2:$BM$1001,MATCH(ROWS($AF$2:AF59),$AF$2:$AF$1001,0),MATCH(COLUMNS($AM$1006:AS1006),$AM$1006:$BM$1006,0)), HYPERLINK("#",""), HYPERLINK(CONCATENATE("#metadata!", ADDRESS(INDEX($AH$2:$AH$1001,MATCH(ROWS($AF$2:AF59),$AF$2:$AF$1001,0),0), INDEX($AM$1004:$BM$1004,1,MATCH(COLUMNS($AM$1006:AS1006),$AM$1006:$BM$1006,0)))),"Fix")))</f>
        <v xml:space="preserve"> </v>
      </c>
      <c r="I59" s="4" t="str">
        <f ca="1">IF(OR(INDEX($AG$2:$AG$1001,MATCH(ROWS($AF$2:AF59),$AF$2:$AF$1001,0),1)&gt;=100000,INDEX($AM$1005:$BM$1005,1,MATCH(COLUMNS($AM$1006:AT1006),$AM$1006:$BM$1006,0))&gt;=100000), " ",IF(INDEX($AM$2:$BM$1001,MATCH(ROWS($AF$2:AF59),$AF$2:$AF$1001,0),MATCH(COLUMNS($AM$1006:AT1006),$AM$1006:$BM$1006,0)), HYPERLINK("#",""), HYPERLINK(CONCATENATE("#metadata!", ADDRESS(INDEX($AH$2:$AH$1001,MATCH(ROWS($AF$2:AF59),$AF$2:$AF$1001,0),0), INDEX($AM$1004:$BM$1004,1,MATCH(COLUMNS($AM$1006:AT1006),$AM$1006:$BM$1006,0)))),"Fix")))</f>
        <v xml:space="preserve"> </v>
      </c>
      <c r="J59" s="4" t="str">
        <f ca="1">IF(OR(INDEX($AG$2:$AG$1001,MATCH(ROWS($AF$2:AF59),$AF$2:$AF$1001,0),1)&gt;=100000,INDEX($AM$1005:$BM$1005,1,MATCH(COLUMNS($AM$1006:AU1006),$AM$1006:$BM$1006,0))&gt;=100000), " ",IF(INDEX($AM$2:$BM$1001,MATCH(ROWS($AF$2:AF59),$AF$2:$AF$1001,0),MATCH(COLUMNS($AM$1006:AU1006),$AM$1006:$BM$1006,0)), HYPERLINK("#",""), HYPERLINK(CONCATENATE("#metadata!", ADDRESS(INDEX($AH$2:$AH$1001,MATCH(ROWS($AF$2:AF59),$AF$2:$AF$1001,0),0), INDEX($AM$1004:$BM$1004,1,MATCH(COLUMNS($AM$1006:AU1006),$AM$1006:$BM$1006,0)))),"Fix")))</f>
        <v xml:space="preserve"> </v>
      </c>
      <c r="K59" s="4" t="str">
        <f ca="1">IF(OR(INDEX($AG$2:$AG$1001,MATCH(ROWS($AF$2:AF59),$AF$2:$AF$1001,0),1)&gt;=100000,INDEX($AM$1005:$BM$1005,1,MATCH(COLUMNS($AM$1006:AV1006),$AM$1006:$BM$1006,0))&gt;=100000), " ",IF(INDEX($AM$2:$BM$1001,MATCH(ROWS($AF$2:AF59),$AF$2:$AF$1001,0),MATCH(COLUMNS($AM$1006:AV1006),$AM$1006:$BM$1006,0)), HYPERLINK("#",""), HYPERLINK(CONCATENATE("#metadata!", ADDRESS(INDEX($AH$2:$AH$1001,MATCH(ROWS($AF$2:AF59),$AF$2:$AF$1001,0),0), INDEX($AM$1004:$BM$1004,1,MATCH(COLUMNS($AM$1006:AV1006),$AM$1006:$BM$1006,0)))),"Fix")))</f>
        <v xml:space="preserve"> </v>
      </c>
      <c r="L59" s="4" t="str">
        <f ca="1">IF(OR(INDEX($AG$2:$AG$1001,MATCH(ROWS($AF$2:AF59),$AF$2:$AF$1001,0),1)&gt;=100000,INDEX($AM$1005:$BM$1005,1,MATCH(COLUMNS($AM$1006:AW1006),$AM$1006:$BM$1006,0))&gt;=100000), " ",IF(INDEX($AM$2:$BM$1001,MATCH(ROWS($AF$2:AF59),$AF$2:$AF$1001,0),MATCH(COLUMNS($AM$1006:AW1006),$AM$1006:$BM$1006,0)), HYPERLINK("#",""), HYPERLINK(CONCATENATE("#metadata!", ADDRESS(INDEX($AH$2:$AH$1001,MATCH(ROWS($AF$2:AF59),$AF$2:$AF$1001,0),0), INDEX($AM$1004:$BM$1004,1,MATCH(COLUMNS($AM$1006:AW1006),$AM$1006:$BM$1006,0)))),"Fix")))</f>
        <v xml:space="preserve"> </v>
      </c>
      <c r="M59" s="4" t="str">
        <f ca="1">IF(OR(INDEX($AG$2:$AG$1001,MATCH(ROWS($AF$2:AF59),$AF$2:$AF$1001,0),1)&gt;=100000,INDEX($AM$1005:$BM$1005,1,MATCH(COLUMNS($AM$1006:AX1006),$AM$1006:$BM$1006,0))&gt;=100000), " ",IF(INDEX($AM$2:$BM$1001,MATCH(ROWS($AF$2:AF59),$AF$2:$AF$1001,0),MATCH(COLUMNS($AM$1006:AX1006),$AM$1006:$BM$1006,0)), HYPERLINK("#",""), HYPERLINK(CONCATENATE("#metadata!", ADDRESS(INDEX($AH$2:$AH$1001,MATCH(ROWS($AF$2:AF59),$AF$2:$AF$1001,0),0), INDEX($AM$1004:$BM$1004,1,MATCH(COLUMNS($AM$1006:AX1006),$AM$1006:$BM$1006,0)))),"Fix")))</f>
        <v xml:space="preserve"> </v>
      </c>
      <c r="N59" s="4" t="str">
        <f ca="1">IF(OR(INDEX($AG$2:$AG$1001,MATCH(ROWS($AF$2:AF59),$AF$2:$AF$1001,0),1)&gt;=100000,INDEX($AM$1005:$BM$1005,1,MATCH(COLUMNS($AM$1006:AY1006),$AM$1006:$BM$1006,0))&gt;=100000), " ",IF(INDEX($AM$2:$BM$1001,MATCH(ROWS($AF$2:AF59),$AF$2:$AF$1001,0),MATCH(COLUMNS($AM$1006:AY1006),$AM$1006:$BM$1006,0)), HYPERLINK("#",""), HYPERLINK(CONCATENATE("#metadata!", ADDRESS(INDEX($AH$2:$AH$1001,MATCH(ROWS($AF$2:AF59),$AF$2:$AF$1001,0),0), INDEX($AM$1004:$BM$1004,1,MATCH(COLUMNS($AM$1006:AY1006),$AM$1006:$BM$1006,0)))),"Fix")))</f>
        <v xml:space="preserve"> </v>
      </c>
      <c r="O59" s="4" t="str">
        <f ca="1">IF(OR(INDEX($AG$2:$AG$1001,MATCH(ROWS($AF$2:AF59),$AF$2:$AF$1001,0),1)&gt;=100000,INDEX($AM$1005:$BM$1005,1,MATCH(COLUMNS($AM$1006:AZ1006),$AM$1006:$BM$1006,0))&gt;=100000), " ",IF(INDEX($AM$2:$BM$1001,MATCH(ROWS($AF$2:AF59),$AF$2:$AF$1001,0),MATCH(COLUMNS($AM$1006:AZ1006),$AM$1006:$BM$1006,0)), HYPERLINK("#",""), HYPERLINK(CONCATENATE("#metadata!", ADDRESS(INDEX($AH$2:$AH$1001,MATCH(ROWS($AF$2:AF59),$AF$2:$AF$1001,0),0), INDEX($AM$1004:$BM$1004,1,MATCH(COLUMNS($AM$1006:AZ1006),$AM$1006:$BM$1006,0)))),"Fix")))</f>
        <v xml:space="preserve"> </v>
      </c>
      <c r="P59" s="4" t="str">
        <f ca="1">IF(OR(INDEX($AG$2:$AG$1001,MATCH(ROWS($AF$2:AF59),$AF$2:$AF$1001,0),1)&gt;=100000,INDEX($AM$1005:$BM$1005,1,MATCH(COLUMNS($AM$1006:BA1006),$AM$1006:$BM$1006,0))&gt;=100000), " ",IF(INDEX($AM$2:$BM$1001,MATCH(ROWS($AF$2:AF59),$AF$2:$AF$1001,0),MATCH(COLUMNS($AM$1006:BA1006),$AM$1006:$BM$1006,0)), HYPERLINK("#",""), HYPERLINK(CONCATENATE("#metadata!", ADDRESS(INDEX($AH$2:$AH$1001,MATCH(ROWS($AF$2:AF59),$AF$2:$AF$1001,0),0), INDEX($AM$1004:$BM$1004,1,MATCH(COLUMNS($AM$1006:BA1006),$AM$1006:$BM$1006,0)))),"Fix")))</f>
        <v xml:space="preserve"> </v>
      </c>
      <c r="Q59" s="4" t="str">
        <f ca="1">IF(OR(INDEX($AG$2:$AG$1001,MATCH(ROWS($AF$2:AF59),$AF$2:$AF$1001,0),1)&gt;=100000,INDEX($AM$1005:$BM$1005,1,MATCH(COLUMNS($AM$1006:BB1006),$AM$1006:$BM$1006,0))&gt;=100000), " ",IF(INDEX($AM$2:$BM$1001,MATCH(ROWS($AF$2:AF59),$AF$2:$AF$1001,0),MATCH(COLUMNS($AM$1006:BB1006),$AM$1006:$BM$1006,0)), HYPERLINK("#",""), HYPERLINK(CONCATENATE("#metadata!", ADDRESS(INDEX($AH$2:$AH$1001,MATCH(ROWS($AF$2:AF59),$AF$2:$AF$1001,0),0), INDEX($AM$1004:$BM$1004,1,MATCH(COLUMNS($AM$1006:BB1006),$AM$1006:$BM$1006,0)))),"Fix")))</f>
        <v xml:space="preserve"> </v>
      </c>
      <c r="R59" s="4" t="str">
        <f ca="1">IF(OR(INDEX($AG$2:$AG$1001,MATCH(ROWS($AF$2:AF59),$AF$2:$AF$1001,0),1)&gt;=100000,INDEX($AM$1005:$BM$1005,1,MATCH(COLUMNS($AM$1006:BC1006),$AM$1006:$BM$1006,0))&gt;=100000), " ",IF(INDEX($AM$2:$BM$1001,MATCH(ROWS($AF$2:AF59),$AF$2:$AF$1001,0),MATCH(COLUMNS($AM$1006:BC1006),$AM$1006:$BM$1006,0)), HYPERLINK("#",""), HYPERLINK(CONCATENATE("#metadata!", ADDRESS(INDEX($AH$2:$AH$1001,MATCH(ROWS($AF$2:AF59),$AF$2:$AF$1001,0),0), INDEX($AM$1004:$BM$1004,1,MATCH(COLUMNS($AM$1006:BC1006),$AM$1006:$BM$1006,0)))),"Fix")))</f>
        <v xml:space="preserve"> </v>
      </c>
      <c r="S59" s="4" t="str">
        <f ca="1">IF(OR(INDEX($AG$2:$AG$1001,MATCH(ROWS($AF$2:AF59),$AF$2:$AF$1001,0),1)&gt;=100000,INDEX($AM$1005:$BM$1005,1,MATCH(COLUMNS($AM$1006:BD1006),$AM$1006:$BM$1006,0))&gt;=100000), " ",IF(INDEX($AM$2:$BM$1001,MATCH(ROWS($AF$2:AF59),$AF$2:$AF$1001,0),MATCH(COLUMNS($AM$1006:BD1006),$AM$1006:$BM$1006,0)), HYPERLINK("#",""), HYPERLINK(CONCATENATE("#metadata!", ADDRESS(INDEX($AH$2:$AH$1001,MATCH(ROWS($AF$2:AF59),$AF$2:$AF$1001,0),0), INDEX($AM$1004:$BM$1004,1,MATCH(COLUMNS($AM$1006:BD1006),$AM$1006:$BM$1006,0)))),"Fix")))</f>
        <v xml:space="preserve"> </v>
      </c>
      <c r="T59" s="4" t="str">
        <f ca="1">IF(OR(INDEX($AG$2:$AG$1001,MATCH(ROWS($AF$2:AF59),$AF$2:$AF$1001,0),1)&gt;=100000,INDEX($AM$1005:$BM$1005,1,MATCH(COLUMNS($AM$1006:BE1006),$AM$1006:$BM$1006,0))&gt;=100000), " ",IF(INDEX($AM$2:$BM$1001,MATCH(ROWS($AF$2:AF59),$AF$2:$AF$1001,0),MATCH(COLUMNS($AM$1006:BE1006),$AM$1006:$BM$1006,0)), HYPERLINK("#",""), HYPERLINK(CONCATENATE("#metadata!", ADDRESS(INDEX($AH$2:$AH$1001,MATCH(ROWS($AF$2:AF59),$AF$2:$AF$1001,0),0), INDEX($AM$1004:$BM$1004,1,MATCH(COLUMNS($AM$1006:BE1006),$AM$1006:$BM$1006,0)))),"Fix")))</f>
        <v xml:space="preserve"> </v>
      </c>
      <c r="U59" s="4" t="str">
        <f ca="1">IF(OR(INDEX($AG$2:$AG$1001,MATCH(ROWS($AF$2:AF59),$AF$2:$AF$1001,0),1)&gt;=100000,INDEX($AM$1005:$BM$1005,1,MATCH(COLUMNS($AM$1006:BF1006),$AM$1006:$BM$1006,0))&gt;=100000), " ",IF(INDEX($AM$2:$BM$1001,MATCH(ROWS($AF$2:AF59),$AF$2:$AF$1001,0),MATCH(COLUMNS($AM$1006:BF1006),$AM$1006:$BM$1006,0)), HYPERLINK("#",""), HYPERLINK(CONCATENATE("#metadata!", ADDRESS(INDEX($AH$2:$AH$1001,MATCH(ROWS($AF$2:AF59),$AF$2:$AF$1001,0),0), INDEX($AM$1004:$BM$1004,1,MATCH(COLUMNS($AM$1006:BF1006),$AM$1006:$BM$1006,0)))),"Fix")))</f>
        <v xml:space="preserve"> </v>
      </c>
      <c r="V59" s="4" t="str">
        <f ca="1">IF(OR(INDEX($AG$2:$AG$1001,MATCH(ROWS($AF$2:AF59),$AF$2:$AF$1001,0),1)&gt;=100000,INDEX($AM$1005:$BM$1005,1,MATCH(COLUMNS($AM$1006:BG1006),$AM$1006:$BM$1006,0))&gt;=100000), " ",IF(INDEX($AM$2:$BM$1001,MATCH(ROWS($AF$2:AF59),$AF$2:$AF$1001,0),MATCH(COLUMNS($AM$1006:BG1006),$AM$1006:$BM$1006,0)), HYPERLINK("#",""), HYPERLINK(CONCATENATE("#metadata!", ADDRESS(INDEX($AH$2:$AH$1001,MATCH(ROWS($AF$2:AF59),$AF$2:$AF$1001,0),0), INDEX($AM$1004:$BM$1004,1,MATCH(COLUMNS($AM$1006:BG1006),$AM$1006:$BM$1006,0)))),"Fix")))</f>
        <v xml:space="preserve"> </v>
      </c>
      <c r="W59" s="4" t="str">
        <f ca="1">IF(OR(INDEX($AG$2:$AG$1001,MATCH(ROWS($AF$2:AF59),$AF$2:$AF$1001,0),1)&gt;=100000,INDEX($AM$1005:$BM$1005,1,MATCH(COLUMNS($AM$1006:BH1006),$AM$1006:$BM$1006,0))&gt;=100000), " ",IF(INDEX($AM$2:$BM$1001,MATCH(ROWS($AF$2:AF59),$AF$2:$AF$1001,0),MATCH(COLUMNS($AM$1006:BH1006),$AM$1006:$BM$1006,0)), HYPERLINK("#",""), HYPERLINK(CONCATENATE("#metadata!", ADDRESS(INDEX($AH$2:$AH$1001,MATCH(ROWS($AF$2:AF59),$AF$2:$AF$1001,0),0), INDEX($AM$1004:$BM$1004,1,MATCH(COLUMNS($AM$1006:BH1006),$AM$1006:$BM$1006,0)))),"Fix")))</f>
        <v xml:space="preserve"> </v>
      </c>
      <c r="X59" s="4" t="str">
        <f ca="1">IF(OR(INDEX($AG$2:$AG$1001,MATCH(ROWS($AF$2:AF59),$AF$2:$AF$1001,0),1)&gt;=100000,INDEX($AM$1005:$BM$1005,1,MATCH(COLUMNS($AM$1006:BI1006),$AM$1006:$BM$1006,0))&gt;=100000), " ",IF(INDEX($AM$2:$BM$1001,MATCH(ROWS($AF$2:AF59),$AF$2:$AF$1001,0),MATCH(COLUMNS($AM$1006:BI1006),$AM$1006:$BM$1006,0)), HYPERLINK("#",""), HYPERLINK(CONCATENATE("#metadata!", ADDRESS(INDEX($AH$2:$AH$1001,MATCH(ROWS($AF$2:AF59),$AF$2:$AF$1001,0),0), INDEX($AM$1004:$BM$1004,1,MATCH(COLUMNS($AM$1006:BI1006),$AM$1006:$BM$1006,0)))),"Fix")))</f>
        <v xml:space="preserve"> </v>
      </c>
      <c r="Y59" s="4" t="str">
        <f ca="1">IF(OR(INDEX($AG$2:$AG$1001,MATCH(ROWS($AF$2:AF59),$AF$2:$AF$1001,0),1)&gt;=100000,INDEX($AM$1005:$BM$1005,1,MATCH(COLUMNS($AM$1006:BJ1006),$AM$1006:$BM$1006,0))&gt;=100000), " ",IF(INDEX($AM$2:$BM$1001,MATCH(ROWS($AF$2:AF59),$AF$2:$AF$1001,0),MATCH(COLUMNS($AM$1006:BJ1006),$AM$1006:$BM$1006,0)), HYPERLINK("#",""), HYPERLINK(CONCATENATE("#metadata!", ADDRESS(INDEX($AH$2:$AH$1001,MATCH(ROWS($AF$2:AF59),$AF$2:$AF$1001,0),0), INDEX($AM$1004:$BM$1004,1,MATCH(COLUMNS($AM$1006:BJ1006),$AM$1006:$BM$1006,0)))),"Fix")))</f>
        <v xml:space="preserve"> </v>
      </c>
      <c r="Z59" s="4" t="str">
        <f ca="1">IF(OR(INDEX($AG$2:$AG$1001,MATCH(ROWS($AF$2:AF59),$AF$2:$AF$1001,0),1)&gt;=100000,INDEX($AM$1005:$BM$1005,1,MATCH(COLUMNS($AM$1006:BK1006),$AM$1006:$BM$1006,0))&gt;=100000), " ",IF(INDEX($AM$2:$BM$1001,MATCH(ROWS($AF$2:AF59),$AF$2:$AF$1001,0),MATCH(COLUMNS($AM$1006:BK1006),$AM$1006:$BM$1006,0)), HYPERLINK("#",""), HYPERLINK(CONCATENATE("#metadata!", ADDRESS(INDEX($AH$2:$AH$1001,MATCH(ROWS($AF$2:AF59),$AF$2:$AF$1001,0),0), INDEX($AM$1004:$BM$1004,1,MATCH(COLUMNS($AM$1006:BK1006),$AM$1006:$BM$1006,0)))),"Fix")))</f>
        <v xml:space="preserve"> </v>
      </c>
      <c r="AA59" s="4" t="str">
        <f ca="1">IF(OR(INDEX($AG$2:$AG$1001,MATCH(ROWS($AF$2:AF59),$AF$2:$AF$1001,0),1)&gt;=100000,INDEX($AM$1005:$BM$1005,1,MATCH(COLUMNS($AM$1006:BL1006),$AM$1006:$BM$1006,0))&gt;=100000), " ",IF(INDEX($AM$2:$BM$1001,MATCH(ROWS($AF$2:AF59),$AF$2:$AF$1001,0),MATCH(COLUMNS($AM$1006:BL1006),$AM$1006:$BM$1006,0)), HYPERLINK("#",""), HYPERLINK(CONCATENATE("#metadata!", ADDRESS(INDEX($AH$2:$AH$1001,MATCH(ROWS($AF$2:AF59),$AF$2:$AF$1001,0),0), INDEX($AM$1004:$BM$1004,1,MATCH(COLUMNS($AM$1006:BL1006),$AM$1006:$BM$1006,0)))),"Fix")))</f>
        <v xml:space="preserve"> </v>
      </c>
      <c r="AB59" s="4" t="str">
        <f ca="1">IF(OR(INDEX($AG$2:$AG$1001,MATCH(ROWS($AF$2:AF59),$AF$2:$AF$1001,0),1)&gt;=100000,INDEX($AM$1005:$BM$1005,1,MATCH(COLUMNS($AM$1006:BM1006),$AM$1006:$BM$1006,0))&gt;=100000), " ",IF(INDEX($AM$2:$BM$1001,MATCH(ROWS($AF$2:AF59),$AF$2:$AF$1001,0),MATCH(COLUMNS($AM$1006:BM1006),$AM$1006:$BM$1006,0)), HYPERLINK("#",""), HYPERLINK(CONCATENATE("#metadata!", ADDRESS(INDEX($AH$2:$AH$1001,MATCH(ROWS($AF$2:AF59),$AF$2:$AF$1001,0),0), INDEX($AM$1004:$BM$1004,1,MATCH(COLUMNS($AM$1006:BM1006),$AM$1006:$BM$1006,0)))),"Fix")))</f>
        <v xml:space="preserve"> </v>
      </c>
      <c r="AF59">
        <v>58</v>
      </c>
      <c r="AG59">
        <v>100059</v>
      </c>
      <c r="AH59">
        <v>59</v>
      </c>
      <c r="AI59" t="b">
        <f t="shared" si="0"/>
        <v>1</v>
      </c>
      <c r="AJ59" t="b">
        <f>COUNTBLANK(metadata!B59:AB59)=COLUMNS(metadata!B59:AB59)</f>
        <v>1</v>
      </c>
      <c r="AK59" t="str">
        <v/>
      </c>
      <c r="AM59" t="b">
        <f ca="1">AND(IF(metadata!B59="",FALSE,TRUE),COUNTIF(metadata!B:B, metadata!B59) = 1,NOT(ISERROR(SUMPRODUCT(SEARCH(MID(metadata!B59,ROW(INDIRECT("1:"&amp;LEN(metadata!B59))), 1),"0123456789abcdefghijklmnopqrstuvwxyzABCDEFGHIJKLMNOPQRSTUVWXYZ.")))))</f>
        <v>0</v>
      </c>
      <c r="AN59" t="b">
        <f ca="1">OR(AND(IF(metadata!C59="",FALSE,TRUE),OR(EXACT(metadata!C59,"missing: not collected"),EXACT(metadata!C59,"missing: not provided"),EXACT(metadata!C59,"missing: restricted access"))),AND(IF(metadata!C59="",FALSE,TRUE),AND(AND(IFERROR(INT(LEFT(metadata!C59,4))&gt;1900,FALSE),IFERROR(INT(LEFT(metadata!C59,4))&lt;=YEAR(NOW()),FALSE)), OR(MID(metadata!C59,5,1)="", AND(AND(MID(metadata!C59,5,1)="-",IFERROR(INT(MID(metadata!C59,6,1))&gt;=0,FALSE),IFERROR(INT(MID(metadata!C59,6,1))&lt;=1,FALSE),NOT(MID(metadata!C59,7,1)=""),IFERROR(INT(MID(metadata!C59,6,2))&gt;=1,FALSE),IFERROR(INT(MID(metadata!C59,6,2))&lt;=12,FALSE)), OR(MID(metadata!C59,8,1)="", AND(AND(MID(metadata!C59,8,1)="-",IFERROR(INT(MID(metadata!C59,9,1))&gt;=0,FALSE),IFERROR(INT(MID(metadata!C59,9,1))&lt;=3,FALSE),NOT(MID(metadata!C59,10,1)=""),IFERROR(INT(MID(metadata!C59,9,2))&gt;=1,FALSE),IFERROR(INT(MID(metadata!C59,9,2))&lt;=31,FALSE)), OR(MID(metadata!C59,11,1)="", AND(AND(MID(metadata!C59,11,1)=" ",IFERROR(INT(MID(metadata!C59,12,1))&gt;=0,FALSE),IFERROR(INT(MID(metadata!C59,12,1))&lt;=2,FALSE),NOT(MID(metadata!C59,13,1)=""),IFERROR(INT(MID(metadata!C59,12,2))&gt;=0,FALSE),IFERROR(INT(MID(metadata!C59,12,2))&lt;=23,FALSE)), OR(MID(metadata!C59,14,1)="", AND(AND(MID(metadata!C59,14,1)=":",IFERROR(INT(MID(metadata!C59,15,1))&gt;=0,FALSE),IFERROR(INT(MID(metadata!C59,15,1))&lt;=5,FALSE),NOT(MID(metadata!C59,16,1)=""),IFERROR(INT(MID(metadata!C59,15,2))&gt;=0,FALSE),IFERROR(INT(MID(metadata!C59,15,2))&lt;=59,FALSE)), OR(MID(metadata!C59,17,1)="", AND(AND(MID(metadata!C59,17,1)=":",IFERROR(INT(MID(metadata!C59,18,1))&gt;=0,FALSE),IFERROR(INT(MID(metadata!C59,18,1))&lt;=5,FALSE),NOT(MID(metadata!C59,19,1)=""),IFERROR(INT(MID(metadata!C59,18,2))&gt;=0,FALSE),IFERROR(INT(MID(metadata!C59,18,2))&lt;=59,FALSE)), LEN(metadata!C59)&lt;=19)))))))))))))</f>
        <v>0</v>
      </c>
      <c r="AO59" t="b">
        <f>AND(IF(metadata!D59="",FALSE,TRUE),EXACT(metadata!D59,"Not applicable"))</f>
        <v>0</v>
      </c>
      <c r="AP59" t="b">
        <f>IF(metadata!E59="",FALSE,TRUE)</f>
        <v>0</v>
      </c>
      <c r="AQ59" t="b">
        <f>OR(AND(IF(metadata!F59="",FALSE,TRUE),OR(EXACT(metadata!F59,"missing: not collected"),EXACT(metadata!F59,"missing: not provided"))),AND(IF(metadata!F59="",FALSE,TRUE),OR(EXACT(metadata!F59,"TRUE"),EXACT(metadata!F59,"FALSE"))))</f>
        <v>0</v>
      </c>
      <c r="AR59" t="b">
        <f>OR(AND(IF(metadata!G59="",FALSE,TRUE),OR(EXACT(metadata!G59,"missing: not collected"),EXACT(metadata!G59,"missing: not provided"),EXACT(metadata!G59,"missing: restricted access"))),AND(IF(metadata!G59="",FALSE,ISNUMBER(VALUE(metadata!G59))),metadata!G59&gt;=-413))</f>
        <v>0</v>
      </c>
      <c r="AS59" t="b">
        <f>AND(IF(metadata!H59="",FALSE,TRUE),EXACT(metadata!H59,"meters"))</f>
        <v>0</v>
      </c>
      <c r="AT59" t="b">
        <f>AND(IF(metadata!I59="",FALSE,TRUE),OR(EXACT(metadata!I59,"Host-associated"),EXACT(metadata!I59,"Free-living")))</f>
        <v>0</v>
      </c>
      <c r="AU59" t="b">
        <f>AND(IF(metadata!J59="",FALSE,TRUE),OR(EXACT(metadata!J59,"Animal"),EXACT(metadata!J59,"Fungus"),EXACT(metadata!J59,"Plant"),EXACT(metadata!J59,"Saline"),EXACT(metadata!J59,"Non-saline")))</f>
        <v>0</v>
      </c>
      <c r="AV59" t="b">
        <f>AND(IF(metadata!K59="",FALSE,TRUE),OR(EXACT(metadata!K59,"Plant secretion"),EXACT(metadata!K59,"Plant rhizosphere"),EXACT(metadata!K59,"Plant surface"),EXACT(metadata!K59,"Plant corpus"),EXACT(metadata!K59,"Fungus surface"),EXACT(metadata!K59,"Fungus corpus"),EXACT(metadata!K59,"Animal surface"),EXACT(metadata!K59,"Animal proximal gut"),EXACT(metadata!K59,"Animal corpus"),EXACT(metadata!K59,"Animal distal gut"),EXACT(metadata!K59,"Animal secretion"),EXACT(metadata!K59,"Sub-surface (non-saline)"),EXACT(metadata!K59,"Surface (non-saline)"),EXACT(metadata!K59,"Water (non-saline)"),EXACT(metadata!K59,"Soil (non-saline)"),EXACT(metadata!K59,"Aerosol (non-saline)"),EXACT(metadata!K59,"Sediment (non-saline)"),EXACT(metadata!K59,"Surface (saline)"),EXACT(metadata!K59,"Water (saline)"),EXACT(metadata!K59,"Hypersaline (saline)"),EXACT(metadata!K59,"Aerosol (saline)"),EXACT(metadata!K59,"Sediment (saline)")))</f>
        <v>0</v>
      </c>
      <c r="AW59" t="b">
        <f>IF(metadata!L59="",FALSE,TRUE)</f>
        <v>0</v>
      </c>
      <c r="AX59" t="b">
        <f>IF(metadata!M59="",FALSE,TRUE)</f>
        <v>0</v>
      </c>
      <c r="AY59" t="b">
        <f>IF(metadata!N59="",FALSE,TRUE)</f>
        <v>0</v>
      </c>
      <c r="AZ59" t="b">
        <f>OR(AND(IF(metadata!O59="",FALSE,TRUE),OR(EXACT(metadata!O59,"missing: not collected"),EXACT(metadata!O59,"missing: not provided"),EXACT(metadata!O59,"missing: restricted access"))),AND(IF(metadata!O59="",FALSE,TRUE),OR(EXACT(metadata!O59,"air"),EXACT(metadata!O59,"built environment"),EXACT(metadata!O59,"host-associated"),EXACT(metadata!O59,"human-associated"),EXACT(metadata!O59,"human-skin"),EXACT(metadata!O59,"human-oral"),EXACT(metadata!O59,"human-gut"),EXACT(metadata!O59,"human-vaginal"),EXACT(metadata!O59,"microbial mat/biofilm"),EXACT(metadata!O59,"misc environment"),EXACT(metadata!O59,"plant-associated"),EXACT(metadata!O59,"sediment"),EXACT(metadata!O59,"soil"),EXACT(metadata!O59,"wastewater/sludge"),EXACT(metadata!O59,"water"))))</f>
        <v>0</v>
      </c>
      <c r="BA59" t="b">
        <f>IF(metadata!P59="",FALSE,TRUE)</f>
        <v>0</v>
      </c>
      <c r="BB59" t="b">
        <f>IF(metadata!Q59="",FALSE,TRUE)</f>
        <v>0</v>
      </c>
      <c r="BC59" t="b">
        <f>OR(AND(IF(metadata!R59="",FALSE,TRUE),OR(EXACT(metadata!R59,"missing: not collected"),EXACT(metadata!R59,"missing: not provided"),EXACT(metadata!R59,"missing: restricted access"))),AND(IF(metadata!R59="",FALSE,ISNUMBER(VALUE(metadata!R59))),metadata!R59&gt;=-90,metadata!R59&lt;=90))</f>
        <v>0</v>
      </c>
      <c r="BD59" t="b">
        <f>AND(IF(metadata!S59="",FALSE,TRUE),EXACT(metadata!S59,"Decimal degrees"))</f>
        <v>0</v>
      </c>
      <c r="BE59" t="b">
        <f>OR(AND(IF(metadata!T59="",FALSE,TRUE),OR(EXACT(metadata!T59,"missing: not collected"),EXACT(metadata!T59,"missing: not provided"),EXACT(metadata!T59,"missing: restricted access"))),AND(IF(metadata!T59="",FALSE,ISNUMBER(VALUE(metadata!T59))),metadata!T59&gt;=-180,metadata!T59&lt;=180))</f>
        <v>0</v>
      </c>
      <c r="BF59" t="b">
        <f>AND(IF(metadata!U59="",FALSE,TRUE),EXACT(metadata!U59,"Decimal degrees"))</f>
        <v>0</v>
      </c>
      <c r="BG59" t="b">
        <f>IF(metadata!V59="",FALSE,TRUE)</f>
        <v>0</v>
      </c>
      <c r="BH59" t="b">
        <f>OR(AND(IF(metadata!W59="",FALSE,TRUE),OR(EXACT(metadata!W59,"missing: not collected"),EXACT(metadata!W59,"missing: not provided"),EXACT(metadata!W59,"missing: restricted access"))),AND(IF(metadata!W59="",FALSE,TRUE),OR(EXACT(metadata!W59,"TRUE"),EXACT(metadata!W59,"FALSE"))))</f>
        <v>0</v>
      </c>
      <c r="BI59" t="b">
        <f>AND(IF(metadata!X59="",FALSE,TRUE),EXACT(metadata!X59,"other"))</f>
        <v>0</v>
      </c>
      <c r="BJ59" t="b">
        <f>IF(metadata!Y59="",FALSE,TRUE)</f>
        <v>0</v>
      </c>
      <c r="BK59" t="b">
        <f>OR(AND(IF(metadata!Z59="",FALSE,TRUE),OR(EXACT(metadata!Z59,"missing: not collected"),EXACT(metadata!Z59,"missing: not provided"))),AND(IF(metadata!Z59="",FALSE,IF(ISERROR(INT(metadata!Z59)),FALSE,INT(metadata!Z59)=metadata!Z59)),metadata!Z59&gt;0))</f>
        <v>0</v>
      </c>
      <c r="BL59" t="b">
        <f>AND(IF(metadata!AA59="",FALSE,TRUE),EXACT(metadata!AA59,"Not applicable"))</f>
        <v>0</v>
      </c>
      <c r="BM59" t="b">
        <f>IF(metadata!AB59="",FALSE,TRUE)</f>
        <v>0</v>
      </c>
    </row>
    <row r="60" spans="1:65" x14ac:dyDescent="0.2">
      <c r="A60" s="5" t="str">
        <f ca="1">IF(B60=" "," ",HYPERLINK(CONCATENATE("#metadata!",ADDRESS(INDEX($AH$2:$AH$1001,MATCH(ROWS($AF$2:AF60),$AF$2:$AF$1001,0),0),1)),INDEX($AK$2:$AK$1001,MATCH(ROWS($AF$2:AF60),$AF$2:$AF$1001,0),0)))</f>
        <v xml:space="preserve"> </v>
      </c>
      <c r="B60" s="4" t="str">
        <f ca="1">IF(OR(INDEX($AG$2:$AG$1001,MATCH(ROWS($AF$2:AF60),$AF$2:$AF$1001,0),1)&gt;=100000,INDEX($AM$1005:$BM$1005,1,MATCH(COLUMNS($AM$1006:AM1006),$AM$1006:$BM$1006,0))&gt;=100000), " ",IF(INDEX($AM$2:$BM$1001,MATCH(ROWS($AF$2:AF60),$AF$2:$AF$1001,0),MATCH(COLUMNS($AM$1006:AM1006),$AM$1006:$BM$1006,0)), HYPERLINK("#",""), HYPERLINK(CONCATENATE("#metadata!", ADDRESS(INDEX($AH$2:$AH$1001,MATCH(ROWS($AF$2:AF60),$AF$2:$AF$1001,0),0), INDEX($AM$1004:$BM$1004,1,MATCH(COLUMNS($AM$1006:AM1006),$AM$1006:$BM$1006,0)))),"Fix")))</f>
        <v xml:space="preserve"> </v>
      </c>
      <c r="C60" s="4" t="str">
        <f ca="1">IF(OR(INDEX($AG$2:$AG$1001,MATCH(ROWS($AF$2:AF60),$AF$2:$AF$1001,0),1)&gt;=100000,INDEX($AM$1005:$BM$1005,1,MATCH(COLUMNS($AM$1006:AN1006),$AM$1006:$BM$1006,0))&gt;=100000), " ",IF(INDEX($AM$2:$BM$1001,MATCH(ROWS($AF$2:AF60),$AF$2:$AF$1001,0),MATCH(COLUMNS($AM$1006:AN1006),$AM$1006:$BM$1006,0)), HYPERLINK("#",""), HYPERLINK(CONCATENATE("#metadata!", ADDRESS(INDEX($AH$2:$AH$1001,MATCH(ROWS($AF$2:AF60),$AF$2:$AF$1001,0),0), INDEX($AM$1004:$BM$1004,1,MATCH(COLUMNS($AM$1006:AN1006),$AM$1006:$BM$1006,0)))),"Fix")))</f>
        <v xml:space="preserve"> </v>
      </c>
      <c r="D60" s="4" t="str">
        <f ca="1">IF(OR(INDEX($AG$2:$AG$1001,MATCH(ROWS($AF$2:AF60),$AF$2:$AF$1001,0),1)&gt;=100000,INDEX($AM$1005:$BM$1005,1,MATCH(COLUMNS($AM$1006:AO1006),$AM$1006:$BM$1006,0))&gt;=100000), " ",IF(INDEX($AM$2:$BM$1001,MATCH(ROWS($AF$2:AF60),$AF$2:$AF$1001,0),MATCH(COLUMNS($AM$1006:AO1006),$AM$1006:$BM$1006,0)), HYPERLINK("#",""), HYPERLINK(CONCATENATE("#metadata!", ADDRESS(INDEX($AH$2:$AH$1001,MATCH(ROWS($AF$2:AF60),$AF$2:$AF$1001,0),0), INDEX($AM$1004:$BM$1004,1,MATCH(COLUMNS($AM$1006:AO1006),$AM$1006:$BM$1006,0)))),"Fix")))</f>
        <v xml:space="preserve"> </v>
      </c>
      <c r="E60" s="4" t="str">
        <f ca="1">IF(OR(INDEX($AG$2:$AG$1001,MATCH(ROWS($AF$2:AF60),$AF$2:$AF$1001,0),1)&gt;=100000,INDEX($AM$1005:$BM$1005,1,MATCH(COLUMNS($AM$1006:AP1006),$AM$1006:$BM$1006,0))&gt;=100000), " ",IF(INDEX($AM$2:$BM$1001,MATCH(ROWS($AF$2:AF60),$AF$2:$AF$1001,0),MATCH(COLUMNS($AM$1006:AP1006),$AM$1006:$BM$1006,0)), HYPERLINK("#",""), HYPERLINK(CONCATENATE("#metadata!", ADDRESS(INDEX($AH$2:$AH$1001,MATCH(ROWS($AF$2:AF60),$AF$2:$AF$1001,0),0), INDEX($AM$1004:$BM$1004,1,MATCH(COLUMNS($AM$1006:AP1006),$AM$1006:$BM$1006,0)))),"Fix")))</f>
        <v xml:space="preserve"> </v>
      </c>
      <c r="F60" s="4" t="str">
        <f ca="1">IF(OR(INDEX($AG$2:$AG$1001,MATCH(ROWS($AF$2:AF60),$AF$2:$AF$1001,0),1)&gt;=100000,INDEX($AM$1005:$BM$1005,1,MATCH(COLUMNS($AM$1006:AQ1006),$AM$1006:$BM$1006,0))&gt;=100000), " ",IF(INDEX($AM$2:$BM$1001,MATCH(ROWS($AF$2:AF60),$AF$2:$AF$1001,0),MATCH(COLUMNS($AM$1006:AQ1006),$AM$1006:$BM$1006,0)), HYPERLINK("#",""), HYPERLINK(CONCATENATE("#metadata!", ADDRESS(INDEX($AH$2:$AH$1001,MATCH(ROWS($AF$2:AF60),$AF$2:$AF$1001,0),0), INDEX($AM$1004:$BM$1004,1,MATCH(COLUMNS($AM$1006:AQ1006),$AM$1006:$BM$1006,0)))),"Fix")))</f>
        <v xml:space="preserve"> </v>
      </c>
      <c r="G60" s="4" t="str">
        <f ca="1">IF(OR(INDEX($AG$2:$AG$1001,MATCH(ROWS($AF$2:AF60),$AF$2:$AF$1001,0),1)&gt;=100000,INDEX($AM$1005:$BM$1005,1,MATCH(COLUMNS($AM$1006:AR1006),$AM$1006:$BM$1006,0))&gt;=100000), " ",IF(INDEX($AM$2:$BM$1001,MATCH(ROWS($AF$2:AF60),$AF$2:$AF$1001,0),MATCH(COLUMNS($AM$1006:AR1006),$AM$1006:$BM$1006,0)), HYPERLINK("#",""), HYPERLINK(CONCATENATE("#metadata!", ADDRESS(INDEX($AH$2:$AH$1001,MATCH(ROWS($AF$2:AF60),$AF$2:$AF$1001,0),0), INDEX($AM$1004:$BM$1004,1,MATCH(COLUMNS($AM$1006:AR1006),$AM$1006:$BM$1006,0)))),"Fix")))</f>
        <v xml:space="preserve"> </v>
      </c>
      <c r="H60" s="4" t="str">
        <f ca="1">IF(OR(INDEX($AG$2:$AG$1001,MATCH(ROWS($AF$2:AF60),$AF$2:$AF$1001,0),1)&gt;=100000,INDEX($AM$1005:$BM$1005,1,MATCH(COLUMNS($AM$1006:AS1006),$AM$1006:$BM$1006,0))&gt;=100000), " ",IF(INDEX($AM$2:$BM$1001,MATCH(ROWS($AF$2:AF60),$AF$2:$AF$1001,0),MATCH(COLUMNS($AM$1006:AS1006),$AM$1006:$BM$1006,0)), HYPERLINK("#",""), HYPERLINK(CONCATENATE("#metadata!", ADDRESS(INDEX($AH$2:$AH$1001,MATCH(ROWS($AF$2:AF60),$AF$2:$AF$1001,0),0), INDEX($AM$1004:$BM$1004,1,MATCH(COLUMNS($AM$1006:AS1006),$AM$1006:$BM$1006,0)))),"Fix")))</f>
        <v xml:space="preserve"> </v>
      </c>
      <c r="I60" s="4" t="str">
        <f ca="1">IF(OR(INDEX($AG$2:$AG$1001,MATCH(ROWS($AF$2:AF60),$AF$2:$AF$1001,0),1)&gt;=100000,INDEX($AM$1005:$BM$1005,1,MATCH(COLUMNS($AM$1006:AT1006),$AM$1006:$BM$1006,0))&gt;=100000), " ",IF(INDEX($AM$2:$BM$1001,MATCH(ROWS($AF$2:AF60),$AF$2:$AF$1001,0),MATCH(COLUMNS($AM$1006:AT1006),$AM$1006:$BM$1006,0)), HYPERLINK("#",""), HYPERLINK(CONCATENATE("#metadata!", ADDRESS(INDEX($AH$2:$AH$1001,MATCH(ROWS($AF$2:AF60),$AF$2:$AF$1001,0),0), INDEX($AM$1004:$BM$1004,1,MATCH(COLUMNS($AM$1006:AT1006),$AM$1006:$BM$1006,0)))),"Fix")))</f>
        <v xml:space="preserve"> </v>
      </c>
      <c r="J60" s="4" t="str">
        <f ca="1">IF(OR(INDEX($AG$2:$AG$1001,MATCH(ROWS($AF$2:AF60),$AF$2:$AF$1001,0),1)&gt;=100000,INDEX($AM$1005:$BM$1005,1,MATCH(COLUMNS($AM$1006:AU1006),$AM$1006:$BM$1006,0))&gt;=100000), " ",IF(INDEX($AM$2:$BM$1001,MATCH(ROWS($AF$2:AF60),$AF$2:$AF$1001,0),MATCH(COLUMNS($AM$1006:AU1006),$AM$1006:$BM$1006,0)), HYPERLINK("#",""), HYPERLINK(CONCATENATE("#metadata!", ADDRESS(INDEX($AH$2:$AH$1001,MATCH(ROWS($AF$2:AF60),$AF$2:$AF$1001,0),0), INDEX($AM$1004:$BM$1004,1,MATCH(COLUMNS($AM$1006:AU1006),$AM$1006:$BM$1006,0)))),"Fix")))</f>
        <v xml:space="preserve"> </v>
      </c>
      <c r="K60" s="4" t="str">
        <f ca="1">IF(OR(INDEX($AG$2:$AG$1001,MATCH(ROWS($AF$2:AF60),$AF$2:$AF$1001,0),1)&gt;=100000,INDEX($AM$1005:$BM$1005,1,MATCH(COLUMNS($AM$1006:AV1006),$AM$1006:$BM$1006,0))&gt;=100000), " ",IF(INDEX($AM$2:$BM$1001,MATCH(ROWS($AF$2:AF60),$AF$2:$AF$1001,0),MATCH(COLUMNS($AM$1006:AV1006),$AM$1006:$BM$1006,0)), HYPERLINK("#",""), HYPERLINK(CONCATENATE("#metadata!", ADDRESS(INDEX($AH$2:$AH$1001,MATCH(ROWS($AF$2:AF60),$AF$2:$AF$1001,0),0), INDEX($AM$1004:$BM$1004,1,MATCH(COLUMNS($AM$1006:AV1006),$AM$1006:$BM$1006,0)))),"Fix")))</f>
        <v xml:space="preserve"> </v>
      </c>
      <c r="L60" s="4" t="str">
        <f ca="1">IF(OR(INDEX($AG$2:$AG$1001,MATCH(ROWS($AF$2:AF60),$AF$2:$AF$1001,0),1)&gt;=100000,INDEX($AM$1005:$BM$1005,1,MATCH(COLUMNS($AM$1006:AW1006),$AM$1006:$BM$1006,0))&gt;=100000), " ",IF(INDEX($AM$2:$BM$1001,MATCH(ROWS($AF$2:AF60),$AF$2:$AF$1001,0),MATCH(COLUMNS($AM$1006:AW1006),$AM$1006:$BM$1006,0)), HYPERLINK("#",""), HYPERLINK(CONCATENATE("#metadata!", ADDRESS(INDEX($AH$2:$AH$1001,MATCH(ROWS($AF$2:AF60),$AF$2:$AF$1001,0),0), INDEX($AM$1004:$BM$1004,1,MATCH(COLUMNS($AM$1006:AW1006),$AM$1006:$BM$1006,0)))),"Fix")))</f>
        <v xml:space="preserve"> </v>
      </c>
      <c r="M60" s="4" t="str">
        <f ca="1">IF(OR(INDEX($AG$2:$AG$1001,MATCH(ROWS($AF$2:AF60),$AF$2:$AF$1001,0),1)&gt;=100000,INDEX($AM$1005:$BM$1005,1,MATCH(COLUMNS($AM$1006:AX1006),$AM$1006:$BM$1006,0))&gt;=100000), " ",IF(INDEX($AM$2:$BM$1001,MATCH(ROWS($AF$2:AF60),$AF$2:$AF$1001,0),MATCH(COLUMNS($AM$1006:AX1006),$AM$1006:$BM$1006,0)), HYPERLINK("#",""), HYPERLINK(CONCATENATE("#metadata!", ADDRESS(INDEX($AH$2:$AH$1001,MATCH(ROWS($AF$2:AF60),$AF$2:$AF$1001,0),0), INDEX($AM$1004:$BM$1004,1,MATCH(COLUMNS($AM$1006:AX1006),$AM$1006:$BM$1006,0)))),"Fix")))</f>
        <v xml:space="preserve"> </v>
      </c>
      <c r="N60" s="4" t="str">
        <f ca="1">IF(OR(INDEX($AG$2:$AG$1001,MATCH(ROWS($AF$2:AF60),$AF$2:$AF$1001,0),1)&gt;=100000,INDEX($AM$1005:$BM$1005,1,MATCH(COLUMNS($AM$1006:AY1006),$AM$1006:$BM$1006,0))&gt;=100000), " ",IF(INDEX($AM$2:$BM$1001,MATCH(ROWS($AF$2:AF60),$AF$2:$AF$1001,0),MATCH(COLUMNS($AM$1006:AY1006),$AM$1006:$BM$1006,0)), HYPERLINK("#",""), HYPERLINK(CONCATENATE("#metadata!", ADDRESS(INDEX($AH$2:$AH$1001,MATCH(ROWS($AF$2:AF60),$AF$2:$AF$1001,0),0), INDEX($AM$1004:$BM$1004,1,MATCH(COLUMNS($AM$1006:AY1006),$AM$1006:$BM$1006,0)))),"Fix")))</f>
        <v xml:space="preserve"> </v>
      </c>
      <c r="O60" s="4" t="str">
        <f ca="1">IF(OR(INDEX($AG$2:$AG$1001,MATCH(ROWS($AF$2:AF60),$AF$2:$AF$1001,0),1)&gt;=100000,INDEX($AM$1005:$BM$1005,1,MATCH(COLUMNS($AM$1006:AZ1006),$AM$1006:$BM$1006,0))&gt;=100000), " ",IF(INDEX($AM$2:$BM$1001,MATCH(ROWS($AF$2:AF60),$AF$2:$AF$1001,0),MATCH(COLUMNS($AM$1006:AZ1006),$AM$1006:$BM$1006,0)), HYPERLINK("#",""), HYPERLINK(CONCATENATE("#metadata!", ADDRESS(INDEX($AH$2:$AH$1001,MATCH(ROWS($AF$2:AF60),$AF$2:$AF$1001,0),0), INDEX($AM$1004:$BM$1004,1,MATCH(COLUMNS($AM$1006:AZ1006),$AM$1006:$BM$1006,0)))),"Fix")))</f>
        <v xml:space="preserve"> </v>
      </c>
      <c r="P60" s="4" t="str">
        <f ca="1">IF(OR(INDEX($AG$2:$AG$1001,MATCH(ROWS($AF$2:AF60),$AF$2:$AF$1001,0),1)&gt;=100000,INDEX($AM$1005:$BM$1005,1,MATCH(COLUMNS($AM$1006:BA1006),$AM$1006:$BM$1006,0))&gt;=100000), " ",IF(INDEX($AM$2:$BM$1001,MATCH(ROWS($AF$2:AF60),$AF$2:$AF$1001,0),MATCH(COLUMNS($AM$1006:BA1006),$AM$1006:$BM$1006,0)), HYPERLINK("#",""), HYPERLINK(CONCATENATE("#metadata!", ADDRESS(INDEX($AH$2:$AH$1001,MATCH(ROWS($AF$2:AF60),$AF$2:$AF$1001,0),0), INDEX($AM$1004:$BM$1004,1,MATCH(COLUMNS($AM$1006:BA1006),$AM$1006:$BM$1006,0)))),"Fix")))</f>
        <v xml:space="preserve"> </v>
      </c>
      <c r="Q60" s="4" t="str">
        <f ca="1">IF(OR(INDEX($AG$2:$AG$1001,MATCH(ROWS($AF$2:AF60),$AF$2:$AF$1001,0),1)&gt;=100000,INDEX($AM$1005:$BM$1005,1,MATCH(COLUMNS($AM$1006:BB1006),$AM$1006:$BM$1006,0))&gt;=100000), " ",IF(INDEX($AM$2:$BM$1001,MATCH(ROWS($AF$2:AF60),$AF$2:$AF$1001,0),MATCH(COLUMNS($AM$1006:BB1006),$AM$1006:$BM$1006,0)), HYPERLINK("#",""), HYPERLINK(CONCATENATE("#metadata!", ADDRESS(INDEX($AH$2:$AH$1001,MATCH(ROWS($AF$2:AF60),$AF$2:$AF$1001,0),0), INDEX($AM$1004:$BM$1004,1,MATCH(COLUMNS($AM$1006:BB1006),$AM$1006:$BM$1006,0)))),"Fix")))</f>
        <v xml:space="preserve"> </v>
      </c>
      <c r="R60" s="4" t="str">
        <f ca="1">IF(OR(INDEX($AG$2:$AG$1001,MATCH(ROWS($AF$2:AF60),$AF$2:$AF$1001,0),1)&gt;=100000,INDEX($AM$1005:$BM$1005,1,MATCH(COLUMNS($AM$1006:BC1006),$AM$1006:$BM$1006,0))&gt;=100000), " ",IF(INDEX($AM$2:$BM$1001,MATCH(ROWS($AF$2:AF60),$AF$2:$AF$1001,0),MATCH(COLUMNS($AM$1006:BC1006),$AM$1006:$BM$1006,0)), HYPERLINK("#",""), HYPERLINK(CONCATENATE("#metadata!", ADDRESS(INDEX($AH$2:$AH$1001,MATCH(ROWS($AF$2:AF60),$AF$2:$AF$1001,0),0), INDEX($AM$1004:$BM$1004,1,MATCH(COLUMNS($AM$1006:BC1006),$AM$1006:$BM$1006,0)))),"Fix")))</f>
        <v xml:space="preserve"> </v>
      </c>
      <c r="S60" s="4" t="str">
        <f ca="1">IF(OR(INDEX($AG$2:$AG$1001,MATCH(ROWS($AF$2:AF60),$AF$2:$AF$1001,0),1)&gt;=100000,INDEX($AM$1005:$BM$1005,1,MATCH(COLUMNS($AM$1006:BD1006),$AM$1006:$BM$1006,0))&gt;=100000), " ",IF(INDEX($AM$2:$BM$1001,MATCH(ROWS($AF$2:AF60),$AF$2:$AF$1001,0),MATCH(COLUMNS($AM$1006:BD1006),$AM$1006:$BM$1006,0)), HYPERLINK("#",""), HYPERLINK(CONCATENATE("#metadata!", ADDRESS(INDEX($AH$2:$AH$1001,MATCH(ROWS($AF$2:AF60),$AF$2:$AF$1001,0),0), INDEX($AM$1004:$BM$1004,1,MATCH(COLUMNS($AM$1006:BD1006),$AM$1006:$BM$1006,0)))),"Fix")))</f>
        <v xml:space="preserve"> </v>
      </c>
      <c r="T60" s="4" t="str">
        <f ca="1">IF(OR(INDEX($AG$2:$AG$1001,MATCH(ROWS($AF$2:AF60),$AF$2:$AF$1001,0),1)&gt;=100000,INDEX($AM$1005:$BM$1005,1,MATCH(COLUMNS($AM$1006:BE1006),$AM$1006:$BM$1006,0))&gt;=100000), " ",IF(INDEX($AM$2:$BM$1001,MATCH(ROWS($AF$2:AF60),$AF$2:$AF$1001,0),MATCH(COLUMNS($AM$1006:BE1006),$AM$1006:$BM$1006,0)), HYPERLINK("#",""), HYPERLINK(CONCATENATE("#metadata!", ADDRESS(INDEX($AH$2:$AH$1001,MATCH(ROWS($AF$2:AF60),$AF$2:$AF$1001,0),0), INDEX($AM$1004:$BM$1004,1,MATCH(COLUMNS($AM$1006:BE1006),$AM$1006:$BM$1006,0)))),"Fix")))</f>
        <v xml:space="preserve"> </v>
      </c>
      <c r="U60" s="4" t="str">
        <f ca="1">IF(OR(INDEX($AG$2:$AG$1001,MATCH(ROWS($AF$2:AF60),$AF$2:$AF$1001,0),1)&gt;=100000,INDEX($AM$1005:$BM$1005,1,MATCH(COLUMNS($AM$1006:BF1006),$AM$1006:$BM$1006,0))&gt;=100000), " ",IF(INDEX($AM$2:$BM$1001,MATCH(ROWS($AF$2:AF60),$AF$2:$AF$1001,0),MATCH(COLUMNS($AM$1006:BF1006),$AM$1006:$BM$1006,0)), HYPERLINK("#",""), HYPERLINK(CONCATENATE("#metadata!", ADDRESS(INDEX($AH$2:$AH$1001,MATCH(ROWS($AF$2:AF60),$AF$2:$AF$1001,0),0), INDEX($AM$1004:$BM$1004,1,MATCH(COLUMNS($AM$1006:BF1006),$AM$1006:$BM$1006,0)))),"Fix")))</f>
        <v xml:space="preserve"> </v>
      </c>
      <c r="V60" s="4" t="str">
        <f ca="1">IF(OR(INDEX($AG$2:$AG$1001,MATCH(ROWS($AF$2:AF60),$AF$2:$AF$1001,0),1)&gt;=100000,INDEX($AM$1005:$BM$1005,1,MATCH(COLUMNS($AM$1006:BG1006),$AM$1006:$BM$1006,0))&gt;=100000), " ",IF(INDEX($AM$2:$BM$1001,MATCH(ROWS($AF$2:AF60),$AF$2:$AF$1001,0),MATCH(COLUMNS($AM$1006:BG1006),$AM$1006:$BM$1006,0)), HYPERLINK("#",""), HYPERLINK(CONCATENATE("#metadata!", ADDRESS(INDEX($AH$2:$AH$1001,MATCH(ROWS($AF$2:AF60),$AF$2:$AF$1001,0),0), INDEX($AM$1004:$BM$1004,1,MATCH(COLUMNS($AM$1006:BG1006),$AM$1006:$BM$1006,0)))),"Fix")))</f>
        <v xml:space="preserve"> </v>
      </c>
      <c r="W60" s="4" t="str">
        <f ca="1">IF(OR(INDEX($AG$2:$AG$1001,MATCH(ROWS($AF$2:AF60),$AF$2:$AF$1001,0),1)&gt;=100000,INDEX($AM$1005:$BM$1005,1,MATCH(COLUMNS($AM$1006:BH1006),$AM$1006:$BM$1006,0))&gt;=100000), " ",IF(INDEX($AM$2:$BM$1001,MATCH(ROWS($AF$2:AF60),$AF$2:$AF$1001,0),MATCH(COLUMNS($AM$1006:BH1006),$AM$1006:$BM$1006,0)), HYPERLINK("#",""), HYPERLINK(CONCATENATE("#metadata!", ADDRESS(INDEX($AH$2:$AH$1001,MATCH(ROWS($AF$2:AF60),$AF$2:$AF$1001,0),0), INDEX($AM$1004:$BM$1004,1,MATCH(COLUMNS($AM$1006:BH1006),$AM$1006:$BM$1006,0)))),"Fix")))</f>
        <v xml:space="preserve"> </v>
      </c>
      <c r="X60" s="4" t="str">
        <f ca="1">IF(OR(INDEX($AG$2:$AG$1001,MATCH(ROWS($AF$2:AF60),$AF$2:$AF$1001,0),1)&gt;=100000,INDEX($AM$1005:$BM$1005,1,MATCH(COLUMNS($AM$1006:BI1006),$AM$1006:$BM$1006,0))&gt;=100000), " ",IF(INDEX($AM$2:$BM$1001,MATCH(ROWS($AF$2:AF60),$AF$2:$AF$1001,0),MATCH(COLUMNS($AM$1006:BI1006),$AM$1006:$BM$1006,0)), HYPERLINK("#",""), HYPERLINK(CONCATENATE("#metadata!", ADDRESS(INDEX($AH$2:$AH$1001,MATCH(ROWS($AF$2:AF60),$AF$2:$AF$1001,0),0), INDEX($AM$1004:$BM$1004,1,MATCH(COLUMNS($AM$1006:BI1006),$AM$1006:$BM$1006,0)))),"Fix")))</f>
        <v xml:space="preserve"> </v>
      </c>
      <c r="Y60" s="4" t="str">
        <f ca="1">IF(OR(INDEX($AG$2:$AG$1001,MATCH(ROWS($AF$2:AF60),$AF$2:$AF$1001,0),1)&gt;=100000,INDEX($AM$1005:$BM$1005,1,MATCH(COLUMNS($AM$1006:BJ1006),$AM$1006:$BM$1006,0))&gt;=100000), " ",IF(INDEX($AM$2:$BM$1001,MATCH(ROWS($AF$2:AF60),$AF$2:$AF$1001,0),MATCH(COLUMNS($AM$1006:BJ1006),$AM$1006:$BM$1006,0)), HYPERLINK("#",""), HYPERLINK(CONCATENATE("#metadata!", ADDRESS(INDEX($AH$2:$AH$1001,MATCH(ROWS($AF$2:AF60),$AF$2:$AF$1001,0),0), INDEX($AM$1004:$BM$1004,1,MATCH(COLUMNS($AM$1006:BJ1006),$AM$1006:$BM$1006,0)))),"Fix")))</f>
        <v xml:space="preserve"> </v>
      </c>
      <c r="Z60" s="4" t="str">
        <f ca="1">IF(OR(INDEX($AG$2:$AG$1001,MATCH(ROWS($AF$2:AF60),$AF$2:$AF$1001,0),1)&gt;=100000,INDEX($AM$1005:$BM$1005,1,MATCH(COLUMNS($AM$1006:BK1006),$AM$1006:$BM$1006,0))&gt;=100000), " ",IF(INDEX($AM$2:$BM$1001,MATCH(ROWS($AF$2:AF60),$AF$2:$AF$1001,0),MATCH(COLUMNS($AM$1006:BK1006),$AM$1006:$BM$1006,0)), HYPERLINK("#",""), HYPERLINK(CONCATENATE("#metadata!", ADDRESS(INDEX($AH$2:$AH$1001,MATCH(ROWS($AF$2:AF60),$AF$2:$AF$1001,0),0), INDEX($AM$1004:$BM$1004,1,MATCH(COLUMNS($AM$1006:BK1006),$AM$1006:$BM$1006,0)))),"Fix")))</f>
        <v xml:space="preserve"> </v>
      </c>
      <c r="AA60" s="4" t="str">
        <f ca="1">IF(OR(INDEX($AG$2:$AG$1001,MATCH(ROWS($AF$2:AF60),$AF$2:$AF$1001,0),1)&gt;=100000,INDEX($AM$1005:$BM$1005,1,MATCH(COLUMNS($AM$1006:BL1006),$AM$1006:$BM$1006,0))&gt;=100000), " ",IF(INDEX($AM$2:$BM$1001,MATCH(ROWS($AF$2:AF60),$AF$2:$AF$1001,0),MATCH(COLUMNS($AM$1006:BL1006),$AM$1006:$BM$1006,0)), HYPERLINK("#",""), HYPERLINK(CONCATENATE("#metadata!", ADDRESS(INDEX($AH$2:$AH$1001,MATCH(ROWS($AF$2:AF60),$AF$2:$AF$1001,0),0), INDEX($AM$1004:$BM$1004,1,MATCH(COLUMNS($AM$1006:BL1006),$AM$1006:$BM$1006,0)))),"Fix")))</f>
        <v xml:space="preserve"> </v>
      </c>
      <c r="AB60" s="4" t="str">
        <f ca="1">IF(OR(INDEX($AG$2:$AG$1001,MATCH(ROWS($AF$2:AF60),$AF$2:$AF$1001,0),1)&gt;=100000,INDEX($AM$1005:$BM$1005,1,MATCH(COLUMNS($AM$1006:BM1006),$AM$1006:$BM$1006,0))&gt;=100000), " ",IF(INDEX($AM$2:$BM$1001,MATCH(ROWS($AF$2:AF60),$AF$2:$AF$1001,0),MATCH(COLUMNS($AM$1006:BM1006),$AM$1006:$BM$1006,0)), HYPERLINK("#",""), HYPERLINK(CONCATENATE("#metadata!", ADDRESS(INDEX($AH$2:$AH$1001,MATCH(ROWS($AF$2:AF60),$AF$2:$AF$1001,0),0), INDEX($AM$1004:$BM$1004,1,MATCH(COLUMNS($AM$1006:BM1006),$AM$1006:$BM$1006,0)))),"Fix")))</f>
        <v xml:space="preserve"> </v>
      </c>
      <c r="AF60">
        <v>59</v>
      </c>
      <c r="AG60">
        <v>100060</v>
      </c>
      <c r="AH60">
        <v>60</v>
      </c>
      <c r="AI60" t="b">
        <f t="shared" si="0"/>
        <v>1</v>
      </c>
      <c r="AJ60" t="b">
        <f>COUNTBLANK(metadata!B60:AB60)=COLUMNS(metadata!B60:AB60)</f>
        <v>1</v>
      </c>
      <c r="AK60" t="str">
        <v/>
      </c>
      <c r="AM60" t="b">
        <f ca="1">AND(IF(metadata!B60="",FALSE,TRUE),COUNTIF(metadata!B:B, metadata!B60) = 1,NOT(ISERROR(SUMPRODUCT(SEARCH(MID(metadata!B60,ROW(INDIRECT("1:"&amp;LEN(metadata!B60))), 1),"0123456789abcdefghijklmnopqrstuvwxyzABCDEFGHIJKLMNOPQRSTUVWXYZ.")))))</f>
        <v>0</v>
      </c>
      <c r="AN60" t="b">
        <f ca="1">OR(AND(IF(metadata!C60="",FALSE,TRUE),OR(EXACT(metadata!C60,"missing: not collected"),EXACT(metadata!C60,"missing: not provided"),EXACT(metadata!C60,"missing: restricted access"))),AND(IF(metadata!C60="",FALSE,TRUE),AND(AND(IFERROR(INT(LEFT(metadata!C60,4))&gt;1900,FALSE),IFERROR(INT(LEFT(metadata!C60,4))&lt;=YEAR(NOW()),FALSE)), OR(MID(metadata!C60,5,1)="", AND(AND(MID(metadata!C60,5,1)="-",IFERROR(INT(MID(metadata!C60,6,1))&gt;=0,FALSE),IFERROR(INT(MID(metadata!C60,6,1))&lt;=1,FALSE),NOT(MID(metadata!C60,7,1)=""),IFERROR(INT(MID(metadata!C60,6,2))&gt;=1,FALSE),IFERROR(INT(MID(metadata!C60,6,2))&lt;=12,FALSE)), OR(MID(metadata!C60,8,1)="", AND(AND(MID(metadata!C60,8,1)="-",IFERROR(INT(MID(metadata!C60,9,1))&gt;=0,FALSE),IFERROR(INT(MID(metadata!C60,9,1))&lt;=3,FALSE),NOT(MID(metadata!C60,10,1)=""),IFERROR(INT(MID(metadata!C60,9,2))&gt;=1,FALSE),IFERROR(INT(MID(metadata!C60,9,2))&lt;=31,FALSE)), OR(MID(metadata!C60,11,1)="", AND(AND(MID(metadata!C60,11,1)=" ",IFERROR(INT(MID(metadata!C60,12,1))&gt;=0,FALSE),IFERROR(INT(MID(metadata!C60,12,1))&lt;=2,FALSE),NOT(MID(metadata!C60,13,1)=""),IFERROR(INT(MID(metadata!C60,12,2))&gt;=0,FALSE),IFERROR(INT(MID(metadata!C60,12,2))&lt;=23,FALSE)), OR(MID(metadata!C60,14,1)="", AND(AND(MID(metadata!C60,14,1)=":",IFERROR(INT(MID(metadata!C60,15,1))&gt;=0,FALSE),IFERROR(INT(MID(metadata!C60,15,1))&lt;=5,FALSE),NOT(MID(metadata!C60,16,1)=""),IFERROR(INT(MID(metadata!C60,15,2))&gt;=0,FALSE),IFERROR(INT(MID(metadata!C60,15,2))&lt;=59,FALSE)), OR(MID(metadata!C60,17,1)="", AND(AND(MID(metadata!C60,17,1)=":",IFERROR(INT(MID(metadata!C60,18,1))&gt;=0,FALSE),IFERROR(INT(MID(metadata!C60,18,1))&lt;=5,FALSE),NOT(MID(metadata!C60,19,1)=""),IFERROR(INT(MID(metadata!C60,18,2))&gt;=0,FALSE),IFERROR(INT(MID(metadata!C60,18,2))&lt;=59,FALSE)), LEN(metadata!C60)&lt;=19)))))))))))))</f>
        <v>0</v>
      </c>
      <c r="AO60" t="b">
        <f>AND(IF(metadata!D60="",FALSE,TRUE),EXACT(metadata!D60,"Not applicable"))</f>
        <v>0</v>
      </c>
      <c r="AP60" t="b">
        <f>IF(metadata!E60="",FALSE,TRUE)</f>
        <v>0</v>
      </c>
      <c r="AQ60" t="b">
        <f>OR(AND(IF(metadata!F60="",FALSE,TRUE),OR(EXACT(metadata!F60,"missing: not collected"),EXACT(metadata!F60,"missing: not provided"))),AND(IF(metadata!F60="",FALSE,TRUE),OR(EXACT(metadata!F60,"TRUE"),EXACT(metadata!F60,"FALSE"))))</f>
        <v>0</v>
      </c>
      <c r="AR60" t="b">
        <f>OR(AND(IF(metadata!G60="",FALSE,TRUE),OR(EXACT(metadata!G60,"missing: not collected"),EXACT(metadata!G60,"missing: not provided"),EXACT(metadata!G60,"missing: restricted access"))),AND(IF(metadata!G60="",FALSE,ISNUMBER(VALUE(metadata!G60))),metadata!G60&gt;=-413))</f>
        <v>0</v>
      </c>
      <c r="AS60" t="b">
        <f>AND(IF(metadata!H60="",FALSE,TRUE),EXACT(metadata!H60,"meters"))</f>
        <v>0</v>
      </c>
      <c r="AT60" t="b">
        <f>AND(IF(metadata!I60="",FALSE,TRUE),OR(EXACT(metadata!I60,"Host-associated"),EXACT(metadata!I60,"Free-living")))</f>
        <v>0</v>
      </c>
      <c r="AU60" t="b">
        <f>AND(IF(metadata!J60="",FALSE,TRUE),OR(EXACT(metadata!J60,"Animal"),EXACT(metadata!J60,"Fungus"),EXACT(metadata!J60,"Plant"),EXACT(metadata!J60,"Saline"),EXACT(metadata!J60,"Non-saline")))</f>
        <v>0</v>
      </c>
      <c r="AV60" t="b">
        <f>AND(IF(metadata!K60="",FALSE,TRUE),OR(EXACT(metadata!K60,"Plant secretion"),EXACT(metadata!K60,"Plant rhizosphere"),EXACT(metadata!K60,"Plant surface"),EXACT(metadata!K60,"Plant corpus"),EXACT(metadata!K60,"Fungus surface"),EXACT(metadata!K60,"Fungus corpus"),EXACT(metadata!K60,"Animal surface"),EXACT(metadata!K60,"Animal proximal gut"),EXACT(metadata!K60,"Animal corpus"),EXACT(metadata!K60,"Animal distal gut"),EXACT(metadata!K60,"Animal secretion"),EXACT(metadata!K60,"Sub-surface (non-saline)"),EXACT(metadata!K60,"Surface (non-saline)"),EXACT(metadata!K60,"Water (non-saline)"),EXACT(metadata!K60,"Soil (non-saline)"),EXACT(metadata!K60,"Aerosol (non-saline)"),EXACT(metadata!K60,"Sediment (non-saline)"),EXACT(metadata!K60,"Surface (saline)"),EXACT(metadata!K60,"Water (saline)"),EXACT(metadata!K60,"Hypersaline (saline)"),EXACT(metadata!K60,"Aerosol (saline)"),EXACT(metadata!K60,"Sediment (saline)")))</f>
        <v>0</v>
      </c>
      <c r="AW60" t="b">
        <f>IF(metadata!L60="",FALSE,TRUE)</f>
        <v>0</v>
      </c>
      <c r="AX60" t="b">
        <f>IF(metadata!M60="",FALSE,TRUE)</f>
        <v>0</v>
      </c>
      <c r="AY60" t="b">
        <f>IF(metadata!N60="",FALSE,TRUE)</f>
        <v>0</v>
      </c>
      <c r="AZ60" t="b">
        <f>OR(AND(IF(metadata!O60="",FALSE,TRUE),OR(EXACT(metadata!O60,"missing: not collected"),EXACT(metadata!O60,"missing: not provided"),EXACT(metadata!O60,"missing: restricted access"))),AND(IF(metadata!O60="",FALSE,TRUE),OR(EXACT(metadata!O60,"air"),EXACT(metadata!O60,"built environment"),EXACT(metadata!O60,"host-associated"),EXACT(metadata!O60,"human-associated"),EXACT(metadata!O60,"human-skin"),EXACT(metadata!O60,"human-oral"),EXACT(metadata!O60,"human-gut"),EXACT(metadata!O60,"human-vaginal"),EXACT(metadata!O60,"microbial mat/biofilm"),EXACT(metadata!O60,"misc environment"),EXACT(metadata!O60,"plant-associated"),EXACT(metadata!O60,"sediment"),EXACT(metadata!O60,"soil"),EXACT(metadata!O60,"wastewater/sludge"),EXACT(metadata!O60,"water"))))</f>
        <v>0</v>
      </c>
      <c r="BA60" t="b">
        <f>IF(metadata!P60="",FALSE,TRUE)</f>
        <v>0</v>
      </c>
      <c r="BB60" t="b">
        <f>IF(metadata!Q60="",FALSE,TRUE)</f>
        <v>0</v>
      </c>
      <c r="BC60" t="b">
        <f>OR(AND(IF(metadata!R60="",FALSE,TRUE),OR(EXACT(metadata!R60,"missing: not collected"),EXACT(metadata!R60,"missing: not provided"),EXACT(metadata!R60,"missing: restricted access"))),AND(IF(metadata!R60="",FALSE,ISNUMBER(VALUE(metadata!R60))),metadata!R60&gt;=-90,metadata!R60&lt;=90))</f>
        <v>0</v>
      </c>
      <c r="BD60" t="b">
        <f>AND(IF(metadata!S60="",FALSE,TRUE),EXACT(metadata!S60,"Decimal degrees"))</f>
        <v>0</v>
      </c>
      <c r="BE60" t="b">
        <f>OR(AND(IF(metadata!T60="",FALSE,TRUE),OR(EXACT(metadata!T60,"missing: not collected"),EXACT(metadata!T60,"missing: not provided"),EXACT(metadata!T60,"missing: restricted access"))),AND(IF(metadata!T60="",FALSE,ISNUMBER(VALUE(metadata!T60))),metadata!T60&gt;=-180,metadata!T60&lt;=180))</f>
        <v>0</v>
      </c>
      <c r="BF60" t="b">
        <f>AND(IF(metadata!U60="",FALSE,TRUE),EXACT(metadata!U60,"Decimal degrees"))</f>
        <v>0</v>
      </c>
      <c r="BG60" t="b">
        <f>IF(metadata!V60="",FALSE,TRUE)</f>
        <v>0</v>
      </c>
      <c r="BH60" t="b">
        <f>OR(AND(IF(metadata!W60="",FALSE,TRUE),OR(EXACT(metadata!W60,"missing: not collected"),EXACT(metadata!W60,"missing: not provided"),EXACT(metadata!W60,"missing: restricted access"))),AND(IF(metadata!W60="",FALSE,TRUE),OR(EXACT(metadata!W60,"TRUE"),EXACT(metadata!W60,"FALSE"))))</f>
        <v>0</v>
      </c>
      <c r="BI60" t="b">
        <f>AND(IF(metadata!X60="",FALSE,TRUE),EXACT(metadata!X60,"other"))</f>
        <v>0</v>
      </c>
      <c r="BJ60" t="b">
        <f>IF(metadata!Y60="",FALSE,TRUE)</f>
        <v>0</v>
      </c>
      <c r="BK60" t="b">
        <f>OR(AND(IF(metadata!Z60="",FALSE,TRUE),OR(EXACT(metadata!Z60,"missing: not collected"),EXACT(metadata!Z60,"missing: not provided"))),AND(IF(metadata!Z60="",FALSE,IF(ISERROR(INT(metadata!Z60)),FALSE,INT(metadata!Z60)=metadata!Z60)),metadata!Z60&gt;0))</f>
        <v>0</v>
      </c>
      <c r="BL60" t="b">
        <f>AND(IF(metadata!AA60="",FALSE,TRUE),EXACT(metadata!AA60,"Not applicable"))</f>
        <v>0</v>
      </c>
      <c r="BM60" t="b">
        <f>IF(metadata!AB60="",FALSE,TRUE)</f>
        <v>0</v>
      </c>
    </row>
    <row r="61" spans="1:65" x14ac:dyDescent="0.2">
      <c r="A61" s="5" t="str">
        <f ca="1">IF(B61=" "," ",HYPERLINK(CONCATENATE("#metadata!",ADDRESS(INDEX($AH$2:$AH$1001,MATCH(ROWS($AF$2:AF61),$AF$2:$AF$1001,0),0),1)),INDEX($AK$2:$AK$1001,MATCH(ROWS($AF$2:AF61),$AF$2:$AF$1001,0),0)))</f>
        <v xml:space="preserve"> </v>
      </c>
      <c r="B61" s="4" t="str">
        <f ca="1">IF(OR(INDEX($AG$2:$AG$1001,MATCH(ROWS($AF$2:AF61),$AF$2:$AF$1001,0),1)&gt;=100000,INDEX($AM$1005:$BM$1005,1,MATCH(COLUMNS($AM$1006:AM1006),$AM$1006:$BM$1006,0))&gt;=100000), " ",IF(INDEX($AM$2:$BM$1001,MATCH(ROWS($AF$2:AF61),$AF$2:$AF$1001,0),MATCH(COLUMNS($AM$1006:AM1006),$AM$1006:$BM$1006,0)), HYPERLINK("#",""), HYPERLINK(CONCATENATE("#metadata!", ADDRESS(INDEX($AH$2:$AH$1001,MATCH(ROWS($AF$2:AF61),$AF$2:$AF$1001,0),0), INDEX($AM$1004:$BM$1004,1,MATCH(COLUMNS($AM$1006:AM1006),$AM$1006:$BM$1006,0)))),"Fix")))</f>
        <v xml:space="preserve"> </v>
      </c>
      <c r="C61" s="4" t="str">
        <f ca="1">IF(OR(INDEX($AG$2:$AG$1001,MATCH(ROWS($AF$2:AF61),$AF$2:$AF$1001,0),1)&gt;=100000,INDEX($AM$1005:$BM$1005,1,MATCH(COLUMNS($AM$1006:AN1006),$AM$1006:$BM$1006,0))&gt;=100000), " ",IF(INDEX($AM$2:$BM$1001,MATCH(ROWS($AF$2:AF61),$AF$2:$AF$1001,0),MATCH(COLUMNS($AM$1006:AN1006),$AM$1006:$BM$1006,0)), HYPERLINK("#",""), HYPERLINK(CONCATENATE("#metadata!", ADDRESS(INDEX($AH$2:$AH$1001,MATCH(ROWS($AF$2:AF61),$AF$2:$AF$1001,0),0), INDEX($AM$1004:$BM$1004,1,MATCH(COLUMNS($AM$1006:AN1006),$AM$1006:$BM$1006,0)))),"Fix")))</f>
        <v xml:space="preserve"> </v>
      </c>
      <c r="D61" s="4" t="str">
        <f ca="1">IF(OR(INDEX($AG$2:$AG$1001,MATCH(ROWS($AF$2:AF61),$AF$2:$AF$1001,0),1)&gt;=100000,INDEX($AM$1005:$BM$1005,1,MATCH(COLUMNS($AM$1006:AO1006),$AM$1006:$BM$1006,0))&gt;=100000), " ",IF(INDEX($AM$2:$BM$1001,MATCH(ROWS($AF$2:AF61),$AF$2:$AF$1001,0),MATCH(COLUMNS($AM$1006:AO1006),$AM$1006:$BM$1006,0)), HYPERLINK("#",""), HYPERLINK(CONCATENATE("#metadata!", ADDRESS(INDEX($AH$2:$AH$1001,MATCH(ROWS($AF$2:AF61),$AF$2:$AF$1001,0),0), INDEX($AM$1004:$BM$1004,1,MATCH(COLUMNS($AM$1006:AO1006),$AM$1006:$BM$1006,0)))),"Fix")))</f>
        <v xml:space="preserve"> </v>
      </c>
      <c r="E61" s="4" t="str">
        <f ca="1">IF(OR(INDEX($AG$2:$AG$1001,MATCH(ROWS($AF$2:AF61),$AF$2:$AF$1001,0),1)&gt;=100000,INDEX($AM$1005:$BM$1005,1,MATCH(COLUMNS($AM$1006:AP1006),$AM$1006:$BM$1006,0))&gt;=100000), " ",IF(INDEX($AM$2:$BM$1001,MATCH(ROWS($AF$2:AF61),$AF$2:$AF$1001,0),MATCH(COLUMNS($AM$1006:AP1006),$AM$1006:$BM$1006,0)), HYPERLINK("#",""), HYPERLINK(CONCATENATE("#metadata!", ADDRESS(INDEX($AH$2:$AH$1001,MATCH(ROWS($AF$2:AF61),$AF$2:$AF$1001,0),0), INDEX($AM$1004:$BM$1004,1,MATCH(COLUMNS($AM$1006:AP1006),$AM$1006:$BM$1006,0)))),"Fix")))</f>
        <v xml:space="preserve"> </v>
      </c>
      <c r="F61" s="4" t="str">
        <f ca="1">IF(OR(INDEX($AG$2:$AG$1001,MATCH(ROWS($AF$2:AF61),$AF$2:$AF$1001,0),1)&gt;=100000,INDEX($AM$1005:$BM$1005,1,MATCH(COLUMNS($AM$1006:AQ1006),$AM$1006:$BM$1006,0))&gt;=100000), " ",IF(INDEX($AM$2:$BM$1001,MATCH(ROWS($AF$2:AF61),$AF$2:$AF$1001,0),MATCH(COLUMNS($AM$1006:AQ1006),$AM$1006:$BM$1006,0)), HYPERLINK("#",""), HYPERLINK(CONCATENATE("#metadata!", ADDRESS(INDEX($AH$2:$AH$1001,MATCH(ROWS($AF$2:AF61),$AF$2:$AF$1001,0),0), INDEX($AM$1004:$BM$1004,1,MATCH(COLUMNS($AM$1006:AQ1006),$AM$1006:$BM$1006,0)))),"Fix")))</f>
        <v xml:space="preserve"> </v>
      </c>
      <c r="G61" s="4" t="str">
        <f ca="1">IF(OR(INDEX($AG$2:$AG$1001,MATCH(ROWS($AF$2:AF61),$AF$2:$AF$1001,0),1)&gt;=100000,INDEX($AM$1005:$BM$1005,1,MATCH(COLUMNS($AM$1006:AR1006),$AM$1006:$BM$1006,0))&gt;=100000), " ",IF(INDEX($AM$2:$BM$1001,MATCH(ROWS($AF$2:AF61),$AF$2:$AF$1001,0),MATCH(COLUMNS($AM$1006:AR1006),$AM$1006:$BM$1006,0)), HYPERLINK("#",""), HYPERLINK(CONCATENATE("#metadata!", ADDRESS(INDEX($AH$2:$AH$1001,MATCH(ROWS($AF$2:AF61),$AF$2:$AF$1001,0),0), INDEX($AM$1004:$BM$1004,1,MATCH(COLUMNS($AM$1006:AR1006),$AM$1006:$BM$1006,0)))),"Fix")))</f>
        <v xml:space="preserve"> </v>
      </c>
      <c r="H61" s="4" t="str">
        <f ca="1">IF(OR(INDEX($AG$2:$AG$1001,MATCH(ROWS($AF$2:AF61),$AF$2:$AF$1001,0),1)&gt;=100000,INDEX($AM$1005:$BM$1005,1,MATCH(COLUMNS($AM$1006:AS1006),$AM$1006:$BM$1006,0))&gt;=100000), " ",IF(INDEX($AM$2:$BM$1001,MATCH(ROWS($AF$2:AF61),$AF$2:$AF$1001,0),MATCH(COLUMNS($AM$1006:AS1006),$AM$1006:$BM$1006,0)), HYPERLINK("#",""), HYPERLINK(CONCATENATE("#metadata!", ADDRESS(INDEX($AH$2:$AH$1001,MATCH(ROWS($AF$2:AF61),$AF$2:$AF$1001,0),0), INDEX($AM$1004:$BM$1004,1,MATCH(COLUMNS($AM$1006:AS1006),$AM$1006:$BM$1006,0)))),"Fix")))</f>
        <v xml:space="preserve"> </v>
      </c>
      <c r="I61" s="4" t="str">
        <f ca="1">IF(OR(INDEX($AG$2:$AG$1001,MATCH(ROWS($AF$2:AF61),$AF$2:$AF$1001,0),1)&gt;=100000,INDEX($AM$1005:$BM$1005,1,MATCH(COLUMNS($AM$1006:AT1006),$AM$1006:$BM$1006,0))&gt;=100000), " ",IF(INDEX($AM$2:$BM$1001,MATCH(ROWS($AF$2:AF61),$AF$2:$AF$1001,0),MATCH(COLUMNS($AM$1006:AT1006),$AM$1006:$BM$1006,0)), HYPERLINK("#",""), HYPERLINK(CONCATENATE("#metadata!", ADDRESS(INDEX($AH$2:$AH$1001,MATCH(ROWS($AF$2:AF61),$AF$2:$AF$1001,0),0), INDEX($AM$1004:$BM$1004,1,MATCH(COLUMNS($AM$1006:AT1006),$AM$1006:$BM$1006,0)))),"Fix")))</f>
        <v xml:space="preserve"> </v>
      </c>
      <c r="J61" s="4" t="str">
        <f ca="1">IF(OR(INDEX($AG$2:$AG$1001,MATCH(ROWS($AF$2:AF61),$AF$2:$AF$1001,0),1)&gt;=100000,INDEX($AM$1005:$BM$1005,1,MATCH(COLUMNS($AM$1006:AU1006),$AM$1006:$BM$1006,0))&gt;=100000), " ",IF(INDEX($AM$2:$BM$1001,MATCH(ROWS($AF$2:AF61),$AF$2:$AF$1001,0),MATCH(COLUMNS($AM$1006:AU1006),$AM$1006:$BM$1006,0)), HYPERLINK("#",""), HYPERLINK(CONCATENATE("#metadata!", ADDRESS(INDEX($AH$2:$AH$1001,MATCH(ROWS($AF$2:AF61),$AF$2:$AF$1001,0),0), INDEX($AM$1004:$BM$1004,1,MATCH(COLUMNS($AM$1006:AU1006),$AM$1006:$BM$1006,0)))),"Fix")))</f>
        <v xml:space="preserve"> </v>
      </c>
      <c r="K61" s="4" t="str">
        <f ca="1">IF(OR(INDEX($AG$2:$AG$1001,MATCH(ROWS($AF$2:AF61),$AF$2:$AF$1001,0),1)&gt;=100000,INDEX($AM$1005:$BM$1005,1,MATCH(COLUMNS($AM$1006:AV1006),$AM$1006:$BM$1006,0))&gt;=100000), " ",IF(INDEX($AM$2:$BM$1001,MATCH(ROWS($AF$2:AF61),$AF$2:$AF$1001,0),MATCH(COLUMNS($AM$1006:AV1006),$AM$1006:$BM$1006,0)), HYPERLINK("#",""), HYPERLINK(CONCATENATE("#metadata!", ADDRESS(INDEX($AH$2:$AH$1001,MATCH(ROWS($AF$2:AF61),$AF$2:$AF$1001,0),0), INDEX($AM$1004:$BM$1004,1,MATCH(COLUMNS($AM$1006:AV1006),$AM$1006:$BM$1006,0)))),"Fix")))</f>
        <v xml:space="preserve"> </v>
      </c>
      <c r="L61" s="4" t="str">
        <f ca="1">IF(OR(INDEX($AG$2:$AG$1001,MATCH(ROWS($AF$2:AF61),$AF$2:$AF$1001,0),1)&gt;=100000,INDEX($AM$1005:$BM$1005,1,MATCH(COLUMNS($AM$1006:AW1006),$AM$1006:$BM$1006,0))&gt;=100000), " ",IF(INDEX($AM$2:$BM$1001,MATCH(ROWS($AF$2:AF61),$AF$2:$AF$1001,0),MATCH(COLUMNS($AM$1006:AW1006),$AM$1006:$BM$1006,0)), HYPERLINK("#",""), HYPERLINK(CONCATENATE("#metadata!", ADDRESS(INDEX($AH$2:$AH$1001,MATCH(ROWS($AF$2:AF61),$AF$2:$AF$1001,0),0), INDEX($AM$1004:$BM$1004,1,MATCH(COLUMNS($AM$1006:AW1006),$AM$1006:$BM$1006,0)))),"Fix")))</f>
        <v xml:space="preserve"> </v>
      </c>
      <c r="M61" s="4" t="str">
        <f ca="1">IF(OR(INDEX($AG$2:$AG$1001,MATCH(ROWS($AF$2:AF61),$AF$2:$AF$1001,0),1)&gt;=100000,INDEX($AM$1005:$BM$1005,1,MATCH(COLUMNS($AM$1006:AX1006),$AM$1006:$BM$1006,0))&gt;=100000), " ",IF(INDEX($AM$2:$BM$1001,MATCH(ROWS($AF$2:AF61),$AF$2:$AF$1001,0),MATCH(COLUMNS($AM$1006:AX1006),$AM$1006:$BM$1006,0)), HYPERLINK("#",""), HYPERLINK(CONCATENATE("#metadata!", ADDRESS(INDEX($AH$2:$AH$1001,MATCH(ROWS($AF$2:AF61),$AF$2:$AF$1001,0),0), INDEX($AM$1004:$BM$1004,1,MATCH(COLUMNS($AM$1006:AX1006),$AM$1006:$BM$1006,0)))),"Fix")))</f>
        <v xml:space="preserve"> </v>
      </c>
      <c r="N61" s="4" t="str">
        <f ca="1">IF(OR(INDEX($AG$2:$AG$1001,MATCH(ROWS($AF$2:AF61),$AF$2:$AF$1001,0),1)&gt;=100000,INDEX($AM$1005:$BM$1005,1,MATCH(COLUMNS($AM$1006:AY1006),$AM$1006:$BM$1006,0))&gt;=100000), " ",IF(INDEX($AM$2:$BM$1001,MATCH(ROWS($AF$2:AF61),$AF$2:$AF$1001,0),MATCH(COLUMNS($AM$1006:AY1006),$AM$1006:$BM$1006,0)), HYPERLINK("#",""), HYPERLINK(CONCATENATE("#metadata!", ADDRESS(INDEX($AH$2:$AH$1001,MATCH(ROWS($AF$2:AF61),$AF$2:$AF$1001,0),0), INDEX($AM$1004:$BM$1004,1,MATCH(COLUMNS($AM$1006:AY1006),$AM$1006:$BM$1006,0)))),"Fix")))</f>
        <v xml:space="preserve"> </v>
      </c>
      <c r="O61" s="4" t="str">
        <f ca="1">IF(OR(INDEX($AG$2:$AG$1001,MATCH(ROWS($AF$2:AF61),$AF$2:$AF$1001,0),1)&gt;=100000,INDEX($AM$1005:$BM$1005,1,MATCH(COLUMNS($AM$1006:AZ1006),$AM$1006:$BM$1006,0))&gt;=100000), " ",IF(INDEX($AM$2:$BM$1001,MATCH(ROWS($AF$2:AF61),$AF$2:$AF$1001,0),MATCH(COLUMNS($AM$1006:AZ1006),$AM$1006:$BM$1006,0)), HYPERLINK("#",""), HYPERLINK(CONCATENATE("#metadata!", ADDRESS(INDEX($AH$2:$AH$1001,MATCH(ROWS($AF$2:AF61),$AF$2:$AF$1001,0),0), INDEX($AM$1004:$BM$1004,1,MATCH(COLUMNS($AM$1006:AZ1006),$AM$1006:$BM$1006,0)))),"Fix")))</f>
        <v xml:space="preserve"> </v>
      </c>
      <c r="P61" s="4" t="str">
        <f ca="1">IF(OR(INDEX($AG$2:$AG$1001,MATCH(ROWS($AF$2:AF61),$AF$2:$AF$1001,0),1)&gt;=100000,INDEX($AM$1005:$BM$1005,1,MATCH(COLUMNS($AM$1006:BA1006),$AM$1006:$BM$1006,0))&gt;=100000), " ",IF(INDEX($AM$2:$BM$1001,MATCH(ROWS($AF$2:AF61),$AF$2:$AF$1001,0),MATCH(COLUMNS($AM$1006:BA1006),$AM$1006:$BM$1006,0)), HYPERLINK("#",""), HYPERLINK(CONCATENATE("#metadata!", ADDRESS(INDEX($AH$2:$AH$1001,MATCH(ROWS($AF$2:AF61),$AF$2:$AF$1001,0),0), INDEX($AM$1004:$BM$1004,1,MATCH(COLUMNS($AM$1006:BA1006),$AM$1006:$BM$1006,0)))),"Fix")))</f>
        <v xml:space="preserve"> </v>
      </c>
      <c r="Q61" s="4" t="str">
        <f ca="1">IF(OR(INDEX($AG$2:$AG$1001,MATCH(ROWS($AF$2:AF61),$AF$2:$AF$1001,0),1)&gt;=100000,INDEX($AM$1005:$BM$1005,1,MATCH(COLUMNS($AM$1006:BB1006),$AM$1006:$BM$1006,0))&gt;=100000), " ",IF(INDEX($AM$2:$BM$1001,MATCH(ROWS($AF$2:AF61),$AF$2:$AF$1001,0),MATCH(COLUMNS($AM$1006:BB1006),$AM$1006:$BM$1006,0)), HYPERLINK("#",""), HYPERLINK(CONCATENATE("#metadata!", ADDRESS(INDEX($AH$2:$AH$1001,MATCH(ROWS($AF$2:AF61),$AF$2:$AF$1001,0),0), INDEX($AM$1004:$BM$1004,1,MATCH(COLUMNS($AM$1006:BB1006),$AM$1006:$BM$1006,0)))),"Fix")))</f>
        <v xml:space="preserve"> </v>
      </c>
      <c r="R61" s="4" t="str">
        <f ca="1">IF(OR(INDEX($AG$2:$AG$1001,MATCH(ROWS($AF$2:AF61),$AF$2:$AF$1001,0),1)&gt;=100000,INDEX($AM$1005:$BM$1005,1,MATCH(COLUMNS($AM$1006:BC1006),$AM$1006:$BM$1006,0))&gt;=100000), " ",IF(INDEX($AM$2:$BM$1001,MATCH(ROWS($AF$2:AF61),$AF$2:$AF$1001,0),MATCH(COLUMNS($AM$1006:BC1006),$AM$1006:$BM$1006,0)), HYPERLINK("#",""), HYPERLINK(CONCATENATE("#metadata!", ADDRESS(INDEX($AH$2:$AH$1001,MATCH(ROWS($AF$2:AF61),$AF$2:$AF$1001,0),0), INDEX($AM$1004:$BM$1004,1,MATCH(COLUMNS($AM$1006:BC1006),$AM$1006:$BM$1006,0)))),"Fix")))</f>
        <v xml:space="preserve"> </v>
      </c>
      <c r="S61" s="4" t="str">
        <f ca="1">IF(OR(INDEX($AG$2:$AG$1001,MATCH(ROWS($AF$2:AF61),$AF$2:$AF$1001,0),1)&gt;=100000,INDEX($AM$1005:$BM$1005,1,MATCH(COLUMNS($AM$1006:BD1006),$AM$1006:$BM$1006,0))&gt;=100000), " ",IF(INDEX($AM$2:$BM$1001,MATCH(ROWS($AF$2:AF61),$AF$2:$AF$1001,0),MATCH(COLUMNS($AM$1006:BD1006),$AM$1006:$BM$1006,0)), HYPERLINK("#",""), HYPERLINK(CONCATENATE("#metadata!", ADDRESS(INDEX($AH$2:$AH$1001,MATCH(ROWS($AF$2:AF61),$AF$2:$AF$1001,0),0), INDEX($AM$1004:$BM$1004,1,MATCH(COLUMNS($AM$1006:BD1006),$AM$1006:$BM$1006,0)))),"Fix")))</f>
        <v xml:space="preserve"> </v>
      </c>
      <c r="T61" s="4" t="str">
        <f ca="1">IF(OR(INDEX($AG$2:$AG$1001,MATCH(ROWS($AF$2:AF61),$AF$2:$AF$1001,0),1)&gt;=100000,INDEX($AM$1005:$BM$1005,1,MATCH(COLUMNS($AM$1006:BE1006),$AM$1006:$BM$1006,0))&gt;=100000), " ",IF(INDEX($AM$2:$BM$1001,MATCH(ROWS($AF$2:AF61),$AF$2:$AF$1001,0),MATCH(COLUMNS($AM$1006:BE1006),$AM$1006:$BM$1006,0)), HYPERLINK("#",""), HYPERLINK(CONCATENATE("#metadata!", ADDRESS(INDEX($AH$2:$AH$1001,MATCH(ROWS($AF$2:AF61),$AF$2:$AF$1001,0),0), INDEX($AM$1004:$BM$1004,1,MATCH(COLUMNS($AM$1006:BE1006),$AM$1006:$BM$1006,0)))),"Fix")))</f>
        <v xml:space="preserve"> </v>
      </c>
      <c r="U61" s="4" t="str">
        <f ca="1">IF(OR(INDEX($AG$2:$AG$1001,MATCH(ROWS($AF$2:AF61),$AF$2:$AF$1001,0),1)&gt;=100000,INDEX($AM$1005:$BM$1005,1,MATCH(COLUMNS($AM$1006:BF1006),$AM$1006:$BM$1006,0))&gt;=100000), " ",IF(INDEX($AM$2:$BM$1001,MATCH(ROWS($AF$2:AF61),$AF$2:$AF$1001,0),MATCH(COLUMNS($AM$1006:BF1006),$AM$1006:$BM$1006,0)), HYPERLINK("#",""), HYPERLINK(CONCATENATE("#metadata!", ADDRESS(INDEX($AH$2:$AH$1001,MATCH(ROWS($AF$2:AF61),$AF$2:$AF$1001,0),0), INDEX($AM$1004:$BM$1004,1,MATCH(COLUMNS($AM$1006:BF1006),$AM$1006:$BM$1006,0)))),"Fix")))</f>
        <v xml:space="preserve"> </v>
      </c>
      <c r="V61" s="4" t="str">
        <f ca="1">IF(OR(INDEX($AG$2:$AG$1001,MATCH(ROWS($AF$2:AF61),$AF$2:$AF$1001,0),1)&gt;=100000,INDEX($AM$1005:$BM$1005,1,MATCH(COLUMNS($AM$1006:BG1006),$AM$1006:$BM$1006,0))&gt;=100000), " ",IF(INDEX($AM$2:$BM$1001,MATCH(ROWS($AF$2:AF61),$AF$2:$AF$1001,0),MATCH(COLUMNS($AM$1006:BG1006),$AM$1006:$BM$1006,0)), HYPERLINK("#",""), HYPERLINK(CONCATENATE("#metadata!", ADDRESS(INDEX($AH$2:$AH$1001,MATCH(ROWS($AF$2:AF61),$AF$2:$AF$1001,0),0), INDEX($AM$1004:$BM$1004,1,MATCH(COLUMNS($AM$1006:BG1006),$AM$1006:$BM$1006,0)))),"Fix")))</f>
        <v xml:space="preserve"> </v>
      </c>
      <c r="W61" s="4" t="str">
        <f ca="1">IF(OR(INDEX($AG$2:$AG$1001,MATCH(ROWS($AF$2:AF61),$AF$2:$AF$1001,0),1)&gt;=100000,INDEX($AM$1005:$BM$1005,1,MATCH(COLUMNS($AM$1006:BH1006),$AM$1006:$BM$1006,0))&gt;=100000), " ",IF(INDEX($AM$2:$BM$1001,MATCH(ROWS($AF$2:AF61),$AF$2:$AF$1001,0),MATCH(COLUMNS($AM$1006:BH1006),$AM$1006:$BM$1006,0)), HYPERLINK("#",""), HYPERLINK(CONCATENATE("#metadata!", ADDRESS(INDEX($AH$2:$AH$1001,MATCH(ROWS($AF$2:AF61),$AF$2:$AF$1001,0),0), INDEX($AM$1004:$BM$1004,1,MATCH(COLUMNS($AM$1006:BH1006),$AM$1006:$BM$1006,0)))),"Fix")))</f>
        <v xml:space="preserve"> </v>
      </c>
      <c r="X61" s="4" t="str">
        <f ca="1">IF(OR(INDEX($AG$2:$AG$1001,MATCH(ROWS($AF$2:AF61),$AF$2:$AF$1001,0),1)&gt;=100000,INDEX($AM$1005:$BM$1005,1,MATCH(COLUMNS($AM$1006:BI1006),$AM$1006:$BM$1006,0))&gt;=100000), " ",IF(INDEX($AM$2:$BM$1001,MATCH(ROWS($AF$2:AF61),$AF$2:$AF$1001,0),MATCH(COLUMNS($AM$1006:BI1006),$AM$1006:$BM$1006,0)), HYPERLINK("#",""), HYPERLINK(CONCATENATE("#metadata!", ADDRESS(INDEX($AH$2:$AH$1001,MATCH(ROWS($AF$2:AF61),$AF$2:$AF$1001,0),0), INDEX($AM$1004:$BM$1004,1,MATCH(COLUMNS($AM$1006:BI1006),$AM$1006:$BM$1006,0)))),"Fix")))</f>
        <v xml:space="preserve"> </v>
      </c>
      <c r="Y61" s="4" t="str">
        <f ca="1">IF(OR(INDEX($AG$2:$AG$1001,MATCH(ROWS($AF$2:AF61),$AF$2:$AF$1001,0),1)&gt;=100000,INDEX($AM$1005:$BM$1005,1,MATCH(COLUMNS($AM$1006:BJ1006),$AM$1006:$BM$1006,0))&gt;=100000), " ",IF(INDEX($AM$2:$BM$1001,MATCH(ROWS($AF$2:AF61),$AF$2:$AF$1001,0),MATCH(COLUMNS($AM$1006:BJ1006),$AM$1006:$BM$1006,0)), HYPERLINK("#",""), HYPERLINK(CONCATENATE("#metadata!", ADDRESS(INDEX($AH$2:$AH$1001,MATCH(ROWS($AF$2:AF61),$AF$2:$AF$1001,0),0), INDEX($AM$1004:$BM$1004,1,MATCH(COLUMNS($AM$1006:BJ1006),$AM$1006:$BM$1006,0)))),"Fix")))</f>
        <v xml:space="preserve"> </v>
      </c>
      <c r="Z61" s="4" t="str">
        <f ca="1">IF(OR(INDEX($AG$2:$AG$1001,MATCH(ROWS($AF$2:AF61),$AF$2:$AF$1001,0),1)&gt;=100000,INDEX($AM$1005:$BM$1005,1,MATCH(COLUMNS($AM$1006:BK1006),$AM$1006:$BM$1006,0))&gt;=100000), " ",IF(INDEX($AM$2:$BM$1001,MATCH(ROWS($AF$2:AF61),$AF$2:$AF$1001,0),MATCH(COLUMNS($AM$1006:BK1006),$AM$1006:$BM$1006,0)), HYPERLINK("#",""), HYPERLINK(CONCATENATE("#metadata!", ADDRESS(INDEX($AH$2:$AH$1001,MATCH(ROWS($AF$2:AF61),$AF$2:$AF$1001,0),0), INDEX($AM$1004:$BM$1004,1,MATCH(COLUMNS($AM$1006:BK1006),$AM$1006:$BM$1006,0)))),"Fix")))</f>
        <v xml:space="preserve"> </v>
      </c>
      <c r="AA61" s="4" t="str">
        <f ca="1">IF(OR(INDEX($AG$2:$AG$1001,MATCH(ROWS($AF$2:AF61),$AF$2:$AF$1001,0),1)&gt;=100000,INDEX($AM$1005:$BM$1005,1,MATCH(COLUMNS($AM$1006:BL1006),$AM$1006:$BM$1006,0))&gt;=100000), " ",IF(INDEX($AM$2:$BM$1001,MATCH(ROWS($AF$2:AF61),$AF$2:$AF$1001,0),MATCH(COLUMNS($AM$1006:BL1006),$AM$1006:$BM$1006,0)), HYPERLINK("#",""), HYPERLINK(CONCATENATE("#metadata!", ADDRESS(INDEX($AH$2:$AH$1001,MATCH(ROWS($AF$2:AF61),$AF$2:$AF$1001,0),0), INDEX($AM$1004:$BM$1004,1,MATCH(COLUMNS($AM$1006:BL1006),$AM$1006:$BM$1006,0)))),"Fix")))</f>
        <v xml:space="preserve"> </v>
      </c>
      <c r="AB61" s="4" t="str">
        <f ca="1">IF(OR(INDEX($AG$2:$AG$1001,MATCH(ROWS($AF$2:AF61),$AF$2:$AF$1001,0),1)&gt;=100000,INDEX($AM$1005:$BM$1005,1,MATCH(COLUMNS($AM$1006:BM1006),$AM$1006:$BM$1006,0))&gt;=100000), " ",IF(INDEX($AM$2:$BM$1001,MATCH(ROWS($AF$2:AF61),$AF$2:$AF$1001,0),MATCH(COLUMNS($AM$1006:BM1006),$AM$1006:$BM$1006,0)), HYPERLINK("#",""), HYPERLINK(CONCATENATE("#metadata!", ADDRESS(INDEX($AH$2:$AH$1001,MATCH(ROWS($AF$2:AF61),$AF$2:$AF$1001,0),0), INDEX($AM$1004:$BM$1004,1,MATCH(COLUMNS($AM$1006:BM1006),$AM$1006:$BM$1006,0)))),"Fix")))</f>
        <v xml:space="preserve"> </v>
      </c>
      <c r="AF61">
        <v>60</v>
      </c>
      <c r="AG61">
        <v>100061</v>
      </c>
      <c r="AH61">
        <v>61</v>
      </c>
      <c r="AI61" t="b">
        <f t="shared" si="0"/>
        <v>1</v>
      </c>
      <c r="AJ61" t="b">
        <f>COUNTBLANK(metadata!B61:AB61)=COLUMNS(metadata!B61:AB61)</f>
        <v>1</v>
      </c>
      <c r="AK61" t="str">
        <v/>
      </c>
      <c r="AM61" t="b">
        <f ca="1">AND(IF(metadata!B61="",FALSE,TRUE),COUNTIF(metadata!B:B, metadata!B61) = 1,NOT(ISERROR(SUMPRODUCT(SEARCH(MID(metadata!B61,ROW(INDIRECT("1:"&amp;LEN(metadata!B61))), 1),"0123456789abcdefghijklmnopqrstuvwxyzABCDEFGHIJKLMNOPQRSTUVWXYZ.")))))</f>
        <v>0</v>
      </c>
      <c r="AN61" t="b">
        <f ca="1">OR(AND(IF(metadata!C61="",FALSE,TRUE),OR(EXACT(metadata!C61,"missing: not collected"),EXACT(metadata!C61,"missing: not provided"),EXACT(metadata!C61,"missing: restricted access"))),AND(IF(metadata!C61="",FALSE,TRUE),AND(AND(IFERROR(INT(LEFT(metadata!C61,4))&gt;1900,FALSE),IFERROR(INT(LEFT(metadata!C61,4))&lt;=YEAR(NOW()),FALSE)), OR(MID(metadata!C61,5,1)="", AND(AND(MID(metadata!C61,5,1)="-",IFERROR(INT(MID(metadata!C61,6,1))&gt;=0,FALSE),IFERROR(INT(MID(metadata!C61,6,1))&lt;=1,FALSE),NOT(MID(metadata!C61,7,1)=""),IFERROR(INT(MID(metadata!C61,6,2))&gt;=1,FALSE),IFERROR(INT(MID(metadata!C61,6,2))&lt;=12,FALSE)), OR(MID(metadata!C61,8,1)="", AND(AND(MID(metadata!C61,8,1)="-",IFERROR(INT(MID(metadata!C61,9,1))&gt;=0,FALSE),IFERROR(INT(MID(metadata!C61,9,1))&lt;=3,FALSE),NOT(MID(metadata!C61,10,1)=""),IFERROR(INT(MID(metadata!C61,9,2))&gt;=1,FALSE),IFERROR(INT(MID(metadata!C61,9,2))&lt;=31,FALSE)), OR(MID(metadata!C61,11,1)="", AND(AND(MID(metadata!C61,11,1)=" ",IFERROR(INT(MID(metadata!C61,12,1))&gt;=0,FALSE),IFERROR(INT(MID(metadata!C61,12,1))&lt;=2,FALSE),NOT(MID(metadata!C61,13,1)=""),IFERROR(INT(MID(metadata!C61,12,2))&gt;=0,FALSE),IFERROR(INT(MID(metadata!C61,12,2))&lt;=23,FALSE)), OR(MID(metadata!C61,14,1)="", AND(AND(MID(metadata!C61,14,1)=":",IFERROR(INT(MID(metadata!C61,15,1))&gt;=0,FALSE),IFERROR(INT(MID(metadata!C61,15,1))&lt;=5,FALSE),NOT(MID(metadata!C61,16,1)=""),IFERROR(INT(MID(metadata!C61,15,2))&gt;=0,FALSE),IFERROR(INT(MID(metadata!C61,15,2))&lt;=59,FALSE)), OR(MID(metadata!C61,17,1)="", AND(AND(MID(metadata!C61,17,1)=":",IFERROR(INT(MID(metadata!C61,18,1))&gt;=0,FALSE),IFERROR(INT(MID(metadata!C61,18,1))&lt;=5,FALSE),NOT(MID(metadata!C61,19,1)=""),IFERROR(INT(MID(metadata!C61,18,2))&gt;=0,FALSE),IFERROR(INT(MID(metadata!C61,18,2))&lt;=59,FALSE)), LEN(metadata!C61)&lt;=19)))))))))))))</f>
        <v>0</v>
      </c>
      <c r="AO61" t="b">
        <f>AND(IF(metadata!D61="",FALSE,TRUE),EXACT(metadata!D61,"Not applicable"))</f>
        <v>0</v>
      </c>
      <c r="AP61" t="b">
        <f>IF(metadata!E61="",FALSE,TRUE)</f>
        <v>0</v>
      </c>
      <c r="AQ61" t="b">
        <f>OR(AND(IF(metadata!F61="",FALSE,TRUE),OR(EXACT(metadata!F61,"missing: not collected"),EXACT(metadata!F61,"missing: not provided"))),AND(IF(metadata!F61="",FALSE,TRUE),OR(EXACT(metadata!F61,"TRUE"),EXACT(metadata!F61,"FALSE"))))</f>
        <v>0</v>
      </c>
      <c r="AR61" t="b">
        <f>OR(AND(IF(metadata!G61="",FALSE,TRUE),OR(EXACT(metadata!G61,"missing: not collected"),EXACT(metadata!G61,"missing: not provided"),EXACT(metadata!G61,"missing: restricted access"))),AND(IF(metadata!G61="",FALSE,ISNUMBER(VALUE(metadata!G61))),metadata!G61&gt;=-413))</f>
        <v>0</v>
      </c>
      <c r="AS61" t="b">
        <f>AND(IF(metadata!H61="",FALSE,TRUE),EXACT(metadata!H61,"meters"))</f>
        <v>0</v>
      </c>
      <c r="AT61" t="b">
        <f>AND(IF(metadata!I61="",FALSE,TRUE),OR(EXACT(metadata!I61,"Host-associated"),EXACT(metadata!I61,"Free-living")))</f>
        <v>0</v>
      </c>
      <c r="AU61" t="b">
        <f>AND(IF(metadata!J61="",FALSE,TRUE),OR(EXACT(metadata!J61,"Animal"),EXACT(metadata!J61,"Fungus"),EXACT(metadata!J61,"Plant"),EXACT(metadata!J61,"Saline"),EXACT(metadata!J61,"Non-saline")))</f>
        <v>0</v>
      </c>
      <c r="AV61" t="b">
        <f>AND(IF(metadata!K61="",FALSE,TRUE),OR(EXACT(metadata!K61,"Plant secretion"),EXACT(metadata!K61,"Plant rhizosphere"),EXACT(metadata!K61,"Plant surface"),EXACT(metadata!K61,"Plant corpus"),EXACT(metadata!K61,"Fungus surface"),EXACT(metadata!K61,"Fungus corpus"),EXACT(metadata!K61,"Animal surface"),EXACT(metadata!K61,"Animal proximal gut"),EXACT(metadata!K61,"Animal corpus"),EXACT(metadata!K61,"Animal distal gut"),EXACT(metadata!K61,"Animal secretion"),EXACT(metadata!K61,"Sub-surface (non-saline)"),EXACT(metadata!K61,"Surface (non-saline)"),EXACT(metadata!K61,"Water (non-saline)"),EXACT(metadata!K61,"Soil (non-saline)"),EXACT(metadata!K61,"Aerosol (non-saline)"),EXACT(metadata!K61,"Sediment (non-saline)"),EXACT(metadata!K61,"Surface (saline)"),EXACT(metadata!K61,"Water (saline)"),EXACT(metadata!K61,"Hypersaline (saline)"),EXACT(metadata!K61,"Aerosol (saline)"),EXACT(metadata!K61,"Sediment (saline)")))</f>
        <v>0</v>
      </c>
      <c r="AW61" t="b">
        <f>IF(metadata!L61="",FALSE,TRUE)</f>
        <v>0</v>
      </c>
      <c r="AX61" t="b">
        <f>IF(metadata!M61="",FALSE,TRUE)</f>
        <v>0</v>
      </c>
      <c r="AY61" t="b">
        <f>IF(metadata!N61="",FALSE,TRUE)</f>
        <v>0</v>
      </c>
      <c r="AZ61" t="b">
        <f>OR(AND(IF(metadata!O61="",FALSE,TRUE),OR(EXACT(metadata!O61,"missing: not collected"),EXACT(metadata!O61,"missing: not provided"),EXACT(metadata!O61,"missing: restricted access"))),AND(IF(metadata!O61="",FALSE,TRUE),OR(EXACT(metadata!O61,"air"),EXACT(metadata!O61,"built environment"),EXACT(metadata!O61,"host-associated"),EXACT(metadata!O61,"human-associated"),EXACT(metadata!O61,"human-skin"),EXACT(metadata!O61,"human-oral"),EXACT(metadata!O61,"human-gut"),EXACT(metadata!O61,"human-vaginal"),EXACT(metadata!O61,"microbial mat/biofilm"),EXACT(metadata!O61,"misc environment"),EXACT(metadata!O61,"plant-associated"),EXACT(metadata!O61,"sediment"),EXACT(metadata!O61,"soil"),EXACT(metadata!O61,"wastewater/sludge"),EXACT(metadata!O61,"water"))))</f>
        <v>0</v>
      </c>
      <c r="BA61" t="b">
        <f>IF(metadata!P61="",FALSE,TRUE)</f>
        <v>0</v>
      </c>
      <c r="BB61" t="b">
        <f>IF(metadata!Q61="",FALSE,TRUE)</f>
        <v>0</v>
      </c>
      <c r="BC61" t="b">
        <f>OR(AND(IF(metadata!R61="",FALSE,TRUE),OR(EXACT(metadata!R61,"missing: not collected"),EXACT(metadata!R61,"missing: not provided"),EXACT(metadata!R61,"missing: restricted access"))),AND(IF(metadata!R61="",FALSE,ISNUMBER(VALUE(metadata!R61))),metadata!R61&gt;=-90,metadata!R61&lt;=90))</f>
        <v>0</v>
      </c>
      <c r="BD61" t="b">
        <f>AND(IF(metadata!S61="",FALSE,TRUE),EXACT(metadata!S61,"Decimal degrees"))</f>
        <v>0</v>
      </c>
      <c r="BE61" t="b">
        <f>OR(AND(IF(metadata!T61="",FALSE,TRUE),OR(EXACT(metadata!T61,"missing: not collected"),EXACT(metadata!T61,"missing: not provided"),EXACT(metadata!T61,"missing: restricted access"))),AND(IF(metadata!T61="",FALSE,ISNUMBER(VALUE(metadata!T61))),metadata!T61&gt;=-180,metadata!T61&lt;=180))</f>
        <v>0</v>
      </c>
      <c r="BF61" t="b">
        <f>AND(IF(metadata!U61="",FALSE,TRUE),EXACT(metadata!U61,"Decimal degrees"))</f>
        <v>0</v>
      </c>
      <c r="BG61" t="b">
        <f>IF(metadata!V61="",FALSE,TRUE)</f>
        <v>0</v>
      </c>
      <c r="BH61" t="b">
        <f>OR(AND(IF(metadata!W61="",FALSE,TRUE),OR(EXACT(metadata!W61,"missing: not collected"),EXACT(metadata!W61,"missing: not provided"),EXACT(metadata!W61,"missing: restricted access"))),AND(IF(metadata!W61="",FALSE,TRUE),OR(EXACT(metadata!W61,"TRUE"),EXACT(metadata!W61,"FALSE"))))</f>
        <v>0</v>
      </c>
      <c r="BI61" t="b">
        <f>AND(IF(metadata!X61="",FALSE,TRUE),EXACT(metadata!X61,"other"))</f>
        <v>0</v>
      </c>
      <c r="BJ61" t="b">
        <f>IF(metadata!Y61="",FALSE,TRUE)</f>
        <v>0</v>
      </c>
      <c r="BK61" t="b">
        <f>OR(AND(IF(metadata!Z61="",FALSE,TRUE),OR(EXACT(metadata!Z61,"missing: not collected"),EXACT(metadata!Z61,"missing: not provided"))),AND(IF(metadata!Z61="",FALSE,IF(ISERROR(INT(metadata!Z61)),FALSE,INT(metadata!Z61)=metadata!Z61)),metadata!Z61&gt;0))</f>
        <v>0</v>
      </c>
      <c r="BL61" t="b">
        <f>AND(IF(metadata!AA61="",FALSE,TRUE),EXACT(metadata!AA61,"Not applicable"))</f>
        <v>0</v>
      </c>
      <c r="BM61" t="b">
        <f>IF(metadata!AB61="",FALSE,TRUE)</f>
        <v>0</v>
      </c>
    </row>
    <row r="62" spans="1:65" x14ac:dyDescent="0.2">
      <c r="A62" s="5" t="str">
        <f ca="1">IF(B62=" "," ",HYPERLINK(CONCATENATE("#metadata!",ADDRESS(INDEX($AH$2:$AH$1001,MATCH(ROWS($AF$2:AF62),$AF$2:$AF$1001,0),0),1)),INDEX($AK$2:$AK$1001,MATCH(ROWS($AF$2:AF62),$AF$2:$AF$1001,0),0)))</f>
        <v xml:space="preserve"> </v>
      </c>
      <c r="B62" s="4" t="str">
        <f ca="1">IF(OR(INDEX($AG$2:$AG$1001,MATCH(ROWS($AF$2:AF62),$AF$2:$AF$1001,0),1)&gt;=100000,INDEX($AM$1005:$BM$1005,1,MATCH(COLUMNS($AM$1006:AM1006),$AM$1006:$BM$1006,0))&gt;=100000), " ",IF(INDEX($AM$2:$BM$1001,MATCH(ROWS($AF$2:AF62),$AF$2:$AF$1001,0),MATCH(COLUMNS($AM$1006:AM1006),$AM$1006:$BM$1006,0)), HYPERLINK("#",""), HYPERLINK(CONCATENATE("#metadata!", ADDRESS(INDEX($AH$2:$AH$1001,MATCH(ROWS($AF$2:AF62),$AF$2:$AF$1001,0),0), INDEX($AM$1004:$BM$1004,1,MATCH(COLUMNS($AM$1006:AM1006),$AM$1006:$BM$1006,0)))),"Fix")))</f>
        <v xml:space="preserve"> </v>
      </c>
      <c r="C62" s="4" t="str">
        <f ca="1">IF(OR(INDEX($AG$2:$AG$1001,MATCH(ROWS($AF$2:AF62),$AF$2:$AF$1001,0),1)&gt;=100000,INDEX($AM$1005:$BM$1005,1,MATCH(COLUMNS($AM$1006:AN1006),$AM$1006:$BM$1006,0))&gt;=100000), " ",IF(INDEX($AM$2:$BM$1001,MATCH(ROWS($AF$2:AF62),$AF$2:$AF$1001,0),MATCH(COLUMNS($AM$1006:AN1006),$AM$1006:$BM$1006,0)), HYPERLINK("#",""), HYPERLINK(CONCATENATE("#metadata!", ADDRESS(INDEX($AH$2:$AH$1001,MATCH(ROWS($AF$2:AF62),$AF$2:$AF$1001,0),0), INDEX($AM$1004:$BM$1004,1,MATCH(COLUMNS($AM$1006:AN1006),$AM$1006:$BM$1006,0)))),"Fix")))</f>
        <v xml:space="preserve"> </v>
      </c>
      <c r="D62" s="4" t="str">
        <f ca="1">IF(OR(INDEX($AG$2:$AG$1001,MATCH(ROWS($AF$2:AF62),$AF$2:$AF$1001,0),1)&gt;=100000,INDEX($AM$1005:$BM$1005,1,MATCH(COLUMNS($AM$1006:AO1006),$AM$1006:$BM$1006,0))&gt;=100000), " ",IF(INDEX($AM$2:$BM$1001,MATCH(ROWS($AF$2:AF62),$AF$2:$AF$1001,0),MATCH(COLUMNS($AM$1006:AO1006),$AM$1006:$BM$1006,0)), HYPERLINK("#",""), HYPERLINK(CONCATENATE("#metadata!", ADDRESS(INDEX($AH$2:$AH$1001,MATCH(ROWS($AF$2:AF62),$AF$2:$AF$1001,0),0), INDEX($AM$1004:$BM$1004,1,MATCH(COLUMNS($AM$1006:AO1006),$AM$1006:$BM$1006,0)))),"Fix")))</f>
        <v xml:space="preserve"> </v>
      </c>
      <c r="E62" s="4" t="str">
        <f ca="1">IF(OR(INDEX($AG$2:$AG$1001,MATCH(ROWS($AF$2:AF62),$AF$2:$AF$1001,0),1)&gt;=100000,INDEX($AM$1005:$BM$1005,1,MATCH(COLUMNS($AM$1006:AP1006),$AM$1006:$BM$1006,0))&gt;=100000), " ",IF(INDEX($AM$2:$BM$1001,MATCH(ROWS($AF$2:AF62),$AF$2:$AF$1001,0),MATCH(COLUMNS($AM$1006:AP1006),$AM$1006:$BM$1006,0)), HYPERLINK("#",""), HYPERLINK(CONCATENATE("#metadata!", ADDRESS(INDEX($AH$2:$AH$1001,MATCH(ROWS($AF$2:AF62),$AF$2:$AF$1001,0),0), INDEX($AM$1004:$BM$1004,1,MATCH(COLUMNS($AM$1006:AP1006),$AM$1006:$BM$1006,0)))),"Fix")))</f>
        <v xml:space="preserve"> </v>
      </c>
      <c r="F62" s="4" t="str">
        <f ca="1">IF(OR(INDEX($AG$2:$AG$1001,MATCH(ROWS($AF$2:AF62),$AF$2:$AF$1001,0),1)&gt;=100000,INDEX($AM$1005:$BM$1005,1,MATCH(COLUMNS($AM$1006:AQ1006),$AM$1006:$BM$1006,0))&gt;=100000), " ",IF(INDEX($AM$2:$BM$1001,MATCH(ROWS($AF$2:AF62),$AF$2:$AF$1001,0),MATCH(COLUMNS($AM$1006:AQ1006),$AM$1006:$BM$1006,0)), HYPERLINK("#",""), HYPERLINK(CONCATENATE("#metadata!", ADDRESS(INDEX($AH$2:$AH$1001,MATCH(ROWS($AF$2:AF62),$AF$2:$AF$1001,0),0), INDEX($AM$1004:$BM$1004,1,MATCH(COLUMNS($AM$1006:AQ1006),$AM$1006:$BM$1006,0)))),"Fix")))</f>
        <v xml:space="preserve"> </v>
      </c>
      <c r="G62" s="4" t="str">
        <f ca="1">IF(OR(INDEX($AG$2:$AG$1001,MATCH(ROWS($AF$2:AF62),$AF$2:$AF$1001,0),1)&gt;=100000,INDEX($AM$1005:$BM$1005,1,MATCH(COLUMNS($AM$1006:AR1006),$AM$1006:$BM$1006,0))&gt;=100000), " ",IF(INDEX($AM$2:$BM$1001,MATCH(ROWS($AF$2:AF62),$AF$2:$AF$1001,0),MATCH(COLUMNS($AM$1006:AR1006),$AM$1006:$BM$1006,0)), HYPERLINK("#",""), HYPERLINK(CONCATENATE("#metadata!", ADDRESS(INDEX($AH$2:$AH$1001,MATCH(ROWS($AF$2:AF62),$AF$2:$AF$1001,0),0), INDEX($AM$1004:$BM$1004,1,MATCH(COLUMNS($AM$1006:AR1006),$AM$1006:$BM$1006,0)))),"Fix")))</f>
        <v xml:space="preserve"> </v>
      </c>
      <c r="H62" s="4" t="str">
        <f ca="1">IF(OR(INDEX($AG$2:$AG$1001,MATCH(ROWS($AF$2:AF62),$AF$2:$AF$1001,0),1)&gt;=100000,INDEX($AM$1005:$BM$1005,1,MATCH(COLUMNS($AM$1006:AS1006),$AM$1006:$BM$1006,0))&gt;=100000), " ",IF(INDEX($AM$2:$BM$1001,MATCH(ROWS($AF$2:AF62),$AF$2:$AF$1001,0),MATCH(COLUMNS($AM$1006:AS1006),$AM$1006:$BM$1006,0)), HYPERLINK("#",""), HYPERLINK(CONCATENATE("#metadata!", ADDRESS(INDEX($AH$2:$AH$1001,MATCH(ROWS($AF$2:AF62),$AF$2:$AF$1001,0),0), INDEX($AM$1004:$BM$1004,1,MATCH(COLUMNS($AM$1006:AS1006),$AM$1006:$BM$1006,0)))),"Fix")))</f>
        <v xml:space="preserve"> </v>
      </c>
      <c r="I62" s="4" t="str">
        <f ca="1">IF(OR(INDEX($AG$2:$AG$1001,MATCH(ROWS($AF$2:AF62),$AF$2:$AF$1001,0),1)&gt;=100000,INDEX($AM$1005:$BM$1005,1,MATCH(COLUMNS($AM$1006:AT1006),$AM$1006:$BM$1006,0))&gt;=100000), " ",IF(INDEX($AM$2:$BM$1001,MATCH(ROWS($AF$2:AF62),$AF$2:$AF$1001,0),MATCH(COLUMNS($AM$1006:AT1006),$AM$1006:$BM$1006,0)), HYPERLINK("#",""), HYPERLINK(CONCATENATE("#metadata!", ADDRESS(INDEX($AH$2:$AH$1001,MATCH(ROWS($AF$2:AF62),$AF$2:$AF$1001,0),0), INDEX($AM$1004:$BM$1004,1,MATCH(COLUMNS($AM$1006:AT1006),$AM$1006:$BM$1006,0)))),"Fix")))</f>
        <v xml:space="preserve"> </v>
      </c>
      <c r="J62" s="4" t="str">
        <f ca="1">IF(OR(INDEX($AG$2:$AG$1001,MATCH(ROWS($AF$2:AF62),$AF$2:$AF$1001,0),1)&gt;=100000,INDEX($AM$1005:$BM$1005,1,MATCH(COLUMNS($AM$1006:AU1006),$AM$1006:$BM$1006,0))&gt;=100000), " ",IF(INDEX($AM$2:$BM$1001,MATCH(ROWS($AF$2:AF62),$AF$2:$AF$1001,0),MATCH(COLUMNS($AM$1006:AU1006),$AM$1006:$BM$1006,0)), HYPERLINK("#",""), HYPERLINK(CONCATENATE("#metadata!", ADDRESS(INDEX($AH$2:$AH$1001,MATCH(ROWS($AF$2:AF62),$AF$2:$AF$1001,0),0), INDEX($AM$1004:$BM$1004,1,MATCH(COLUMNS($AM$1006:AU1006),$AM$1006:$BM$1006,0)))),"Fix")))</f>
        <v xml:space="preserve"> </v>
      </c>
      <c r="K62" s="4" t="str">
        <f ca="1">IF(OR(INDEX($AG$2:$AG$1001,MATCH(ROWS($AF$2:AF62),$AF$2:$AF$1001,0),1)&gt;=100000,INDEX($AM$1005:$BM$1005,1,MATCH(COLUMNS($AM$1006:AV1006),$AM$1006:$BM$1006,0))&gt;=100000), " ",IF(INDEX($AM$2:$BM$1001,MATCH(ROWS($AF$2:AF62),$AF$2:$AF$1001,0),MATCH(COLUMNS($AM$1006:AV1006),$AM$1006:$BM$1006,0)), HYPERLINK("#",""), HYPERLINK(CONCATENATE("#metadata!", ADDRESS(INDEX($AH$2:$AH$1001,MATCH(ROWS($AF$2:AF62),$AF$2:$AF$1001,0),0), INDEX($AM$1004:$BM$1004,1,MATCH(COLUMNS($AM$1006:AV1006),$AM$1006:$BM$1006,0)))),"Fix")))</f>
        <v xml:space="preserve"> </v>
      </c>
      <c r="L62" s="4" t="str">
        <f ca="1">IF(OR(INDEX($AG$2:$AG$1001,MATCH(ROWS($AF$2:AF62),$AF$2:$AF$1001,0),1)&gt;=100000,INDEX($AM$1005:$BM$1005,1,MATCH(COLUMNS($AM$1006:AW1006),$AM$1006:$BM$1006,0))&gt;=100000), " ",IF(INDEX($AM$2:$BM$1001,MATCH(ROWS($AF$2:AF62),$AF$2:$AF$1001,0),MATCH(COLUMNS($AM$1006:AW1006),$AM$1006:$BM$1006,0)), HYPERLINK("#",""), HYPERLINK(CONCATENATE("#metadata!", ADDRESS(INDEX($AH$2:$AH$1001,MATCH(ROWS($AF$2:AF62),$AF$2:$AF$1001,0),0), INDEX($AM$1004:$BM$1004,1,MATCH(COLUMNS($AM$1006:AW1006),$AM$1006:$BM$1006,0)))),"Fix")))</f>
        <v xml:space="preserve"> </v>
      </c>
      <c r="M62" s="4" t="str">
        <f ca="1">IF(OR(INDEX($AG$2:$AG$1001,MATCH(ROWS($AF$2:AF62),$AF$2:$AF$1001,0),1)&gt;=100000,INDEX($AM$1005:$BM$1005,1,MATCH(COLUMNS($AM$1006:AX1006),$AM$1006:$BM$1006,0))&gt;=100000), " ",IF(INDEX($AM$2:$BM$1001,MATCH(ROWS($AF$2:AF62),$AF$2:$AF$1001,0),MATCH(COLUMNS($AM$1006:AX1006),$AM$1006:$BM$1006,0)), HYPERLINK("#",""), HYPERLINK(CONCATENATE("#metadata!", ADDRESS(INDEX($AH$2:$AH$1001,MATCH(ROWS($AF$2:AF62),$AF$2:$AF$1001,0),0), INDEX($AM$1004:$BM$1004,1,MATCH(COLUMNS($AM$1006:AX1006),$AM$1006:$BM$1006,0)))),"Fix")))</f>
        <v xml:space="preserve"> </v>
      </c>
      <c r="N62" s="4" t="str">
        <f ca="1">IF(OR(INDEX($AG$2:$AG$1001,MATCH(ROWS($AF$2:AF62),$AF$2:$AF$1001,0),1)&gt;=100000,INDEX($AM$1005:$BM$1005,1,MATCH(COLUMNS($AM$1006:AY1006),$AM$1006:$BM$1006,0))&gt;=100000), " ",IF(INDEX($AM$2:$BM$1001,MATCH(ROWS($AF$2:AF62),$AF$2:$AF$1001,0),MATCH(COLUMNS($AM$1006:AY1006),$AM$1006:$BM$1006,0)), HYPERLINK("#",""), HYPERLINK(CONCATENATE("#metadata!", ADDRESS(INDEX($AH$2:$AH$1001,MATCH(ROWS($AF$2:AF62),$AF$2:$AF$1001,0),0), INDEX($AM$1004:$BM$1004,1,MATCH(COLUMNS($AM$1006:AY1006),$AM$1006:$BM$1006,0)))),"Fix")))</f>
        <v xml:space="preserve"> </v>
      </c>
      <c r="O62" s="4" t="str">
        <f ca="1">IF(OR(INDEX($AG$2:$AG$1001,MATCH(ROWS($AF$2:AF62),$AF$2:$AF$1001,0),1)&gt;=100000,INDEX($AM$1005:$BM$1005,1,MATCH(COLUMNS($AM$1006:AZ1006),$AM$1006:$BM$1006,0))&gt;=100000), " ",IF(INDEX($AM$2:$BM$1001,MATCH(ROWS($AF$2:AF62),$AF$2:$AF$1001,0),MATCH(COLUMNS($AM$1006:AZ1006),$AM$1006:$BM$1006,0)), HYPERLINK("#",""), HYPERLINK(CONCATENATE("#metadata!", ADDRESS(INDEX($AH$2:$AH$1001,MATCH(ROWS($AF$2:AF62),$AF$2:$AF$1001,0),0), INDEX($AM$1004:$BM$1004,1,MATCH(COLUMNS($AM$1006:AZ1006),$AM$1006:$BM$1006,0)))),"Fix")))</f>
        <v xml:space="preserve"> </v>
      </c>
      <c r="P62" s="4" t="str">
        <f ca="1">IF(OR(INDEX($AG$2:$AG$1001,MATCH(ROWS($AF$2:AF62),$AF$2:$AF$1001,0),1)&gt;=100000,INDEX($AM$1005:$BM$1005,1,MATCH(COLUMNS($AM$1006:BA1006),$AM$1006:$BM$1006,0))&gt;=100000), " ",IF(INDEX($AM$2:$BM$1001,MATCH(ROWS($AF$2:AF62),$AF$2:$AF$1001,0),MATCH(COLUMNS($AM$1006:BA1006),$AM$1006:$BM$1006,0)), HYPERLINK("#",""), HYPERLINK(CONCATENATE("#metadata!", ADDRESS(INDEX($AH$2:$AH$1001,MATCH(ROWS($AF$2:AF62),$AF$2:$AF$1001,0),0), INDEX($AM$1004:$BM$1004,1,MATCH(COLUMNS($AM$1006:BA1006),$AM$1006:$BM$1006,0)))),"Fix")))</f>
        <v xml:space="preserve"> </v>
      </c>
      <c r="Q62" s="4" t="str">
        <f ca="1">IF(OR(INDEX($AG$2:$AG$1001,MATCH(ROWS($AF$2:AF62),$AF$2:$AF$1001,0),1)&gt;=100000,INDEX($AM$1005:$BM$1005,1,MATCH(COLUMNS($AM$1006:BB1006),$AM$1006:$BM$1006,0))&gt;=100000), " ",IF(INDEX($AM$2:$BM$1001,MATCH(ROWS($AF$2:AF62),$AF$2:$AF$1001,0),MATCH(COLUMNS($AM$1006:BB1006),$AM$1006:$BM$1006,0)), HYPERLINK("#",""), HYPERLINK(CONCATENATE("#metadata!", ADDRESS(INDEX($AH$2:$AH$1001,MATCH(ROWS($AF$2:AF62),$AF$2:$AF$1001,0),0), INDEX($AM$1004:$BM$1004,1,MATCH(COLUMNS($AM$1006:BB1006),$AM$1006:$BM$1006,0)))),"Fix")))</f>
        <v xml:space="preserve"> </v>
      </c>
      <c r="R62" s="4" t="str">
        <f ca="1">IF(OR(INDEX($AG$2:$AG$1001,MATCH(ROWS($AF$2:AF62),$AF$2:$AF$1001,0),1)&gt;=100000,INDEX($AM$1005:$BM$1005,1,MATCH(COLUMNS($AM$1006:BC1006),$AM$1006:$BM$1006,0))&gt;=100000), " ",IF(INDEX($AM$2:$BM$1001,MATCH(ROWS($AF$2:AF62),$AF$2:$AF$1001,0),MATCH(COLUMNS($AM$1006:BC1006),$AM$1006:$BM$1006,0)), HYPERLINK("#",""), HYPERLINK(CONCATENATE("#metadata!", ADDRESS(INDEX($AH$2:$AH$1001,MATCH(ROWS($AF$2:AF62),$AF$2:$AF$1001,0),0), INDEX($AM$1004:$BM$1004,1,MATCH(COLUMNS($AM$1006:BC1006),$AM$1006:$BM$1006,0)))),"Fix")))</f>
        <v xml:space="preserve"> </v>
      </c>
      <c r="S62" s="4" t="str">
        <f ca="1">IF(OR(INDEX($AG$2:$AG$1001,MATCH(ROWS($AF$2:AF62),$AF$2:$AF$1001,0),1)&gt;=100000,INDEX($AM$1005:$BM$1005,1,MATCH(COLUMNS($AM$1006:BD1006),$AM$1006:$BM$1006,0))&gt;=100000), " ",IF(INDEX($AM$2:$BM$1001,MATCH(ROWS($AF$2:AF62),$AF$2:$AF$1001,0),MATCH(COLUMNS($AM$1006:BD1006),$AM$1006:$BM$1006,0)), HYPERLINK("#",""), HYPERLINK(CONCATENATE("#metadata!", ADDRESS(INDEX($AH$2:$AH$1001,MATCH(ROWS($AF$2:AF62),$AF$2:$AF$1001,0),0), INDEX($AM$1004:$BM$1004,1,MATCH(COLUMNS($AM$1006:BD1006),$AM$1006:$BM$1006,0)))),"Fix")))</f>
        <v xml:space="preserve"> </v>
      </c>
      <c r="T62" s="4" t="str">
        <f ca="1">IF(OR(INDEX($AG$2:$AG$1001,MATCH(ROWS($AF$2:AF62),$AF$2:$AF$1001,0),1)&gt;=100000,INDEX($AM$1005:$BM$1005,1,MATCH(COLUMNS($AM$1006:BE1006),$AM$1006:$BM$1006,0))&gt;=100000), " ",IF(INDEX($AM$2:$BM$1001,MATCH(ROWS($AF$2:AF62),$AF$2:$AF$1001,0),MATCH(COLUMNS($AM$1006:BE1006),$AM$1006:$BM$1006,0)), HYPERLINK("#",""), HYPERLINK(CONCATENATE("#metadata!", ADDRESS(INDEX($AH$2:$AH$1001,MATCH(ROWS($AF$2:AF62),$AF$2:$AF$1001,0),0), INDEX($AM$1004:$BM$1004,1,MATCH(COLUMNS($AM$1006:BE1006),$AM$1006:$BM$1006,0)))),"Fix")))</f>
        <v xml:space="preserve"> </v>
      </c>
      <c r="U62" s="4" t="str">
        <f ca="1">IF(OR(INDEX($AG$2:$AG$1001,MATCH(ROWS($AF$2:AF62),$AF$2:$AF$1001,0),1)&gt;=100000,INDEX($AM$1005:$BM$1005,1,MATCH(COLUMNS($AM$1006:BF1006),$AM$1006:$BM$1006,0))&gt;=100000), " ",IF(INDEX($AM$2:$BM$1001,MATCH(ROWS($AF$2:AF62),$AF$2:$AF$1001,0),MATCH(COLUMNS($AM$1006:BF1006),$AM$1006:$BM$1006,0)), HYPERLINK("#",""), HYPERLINK(CONCATENATE("#metadata!", ADDRESS(INDEX($AH$2:$AH$1001,MATCH(ROWS($AF$2:AF62),$AF$2:$AF$1001,0),0), INDEX($AM$1004:$BM$1004,1,MATCH(COLUMNS($AM$1006:BF1006),$AM$1006:$BM$1006,0)))),"Fix")))</f>
        <v xml:space="preserve"> </v>
      </c>
      <c r="V62" s="4" t="str">
        <f ca="1">IF(OR(INDEX($AG$2:$AG$1001,MATCH(ROWS($AF$2:AF62),$AF$2:$AF$1001,0),1)&gt;=100000,INDEX($AM$1005:$BM$1005,1,MATCH(COLUMNS($AM$1006:BG1006),$AM$1006:$BM$1006,0))&gt;=100000), " ",IF(INDEX($AM$2:$BM$1001,MATCH(ROWS($AF$2:AF62),$AF$2:$AF$1001,0),MATCH(COLUMNS($AM$1006:BG1006),$AM$1006:$BM$1006,0)), HYPERLINK("#",""), HYPERLINK(CONCATENATE("#metadata!", ADDRESS(INDEX($AH$2:$AH$1001,MATCH(ROWS($AF$2:AF62),$AF$2:$AF$1001,0),0), INDEX($AM$1004:$BM$1004,1,MATCH(COLUMNS($AM$1006:BG1006),$AM$1006:$BM$1006,0)))),"Fix")))</f>
        <v xml:space="preserve"> </v>
      </c>
      <c r="W62" s="4" t="str">
        <f ca="1">IF(OR(INDEX($AG$2:$AG$1001,MATCH(ROWS($AF$2:AF62),$AF$2:$AF$1001,0),1)&gt;=100000,INDEX($AM$1005:$BM$1005,1,MATCH(COLUMNS($AM$1006:BH1006),$AM$1006:$BM$1006,0))&gt;=100000), " ",IF(INDEX($AM$2:$BM$1001,MATCH(ROWS($AF$2:AF62),$AF$2:$AF$1001,0),MATCH(COLUMNS($AM$1006:BH1006),$AM$1006:$BM$1006,0)), HYPERLINK("#",""), HYPERLINK(CONCATENATE("#metadata!", ADDRESS(INDEX($AH$2:$AH$1001,MATCH(ROWS($AF$2:AF62),$AF$2:$AF$1001,0),0), INDEX($AM$1004:$BM$1004,1,MATCH(COLUMNS($AM$1006:BH1006),$AM$1006:$BM$1006,0)))),"Fix")))</f>
        <v xml:space="preserve"> </v>
      </c>
      <c r="X62" s="4" t="str">
        <f ca="1">IF(OR(INDEX($AG$2:$AG$1001,MATCH(ROWS($AF$2:AF62),$AF$2:$AF$1001,0),1)&gt;=100000,INDEX($AM$1005:$BM$1005,1,MATCH(COLUMNS($AM$1006:BI1006),$AM$1006:$BM$1006,0))&gt;=100000), " ",IF(INDEX($AM$2:$BM$1001,MATCH(ROWS($AF$2:AF62),$AF$2:$AF$1001,0),MATCH(COLUMNS($AM$1006:BI1006),$AM$1006:$BM$1006,0)), HYPERLINK("#",""), HYPERLINK(CONCATENATE("#metadata!", ADDRESS(INDEX($AH$2:$AH$1001,MATCH(ROWS($AF$2:AF62),$AF$2:$AF$1001,0),0), INDEX($AM$1004:$BM$1004,1,MATCH(COLUMNS($AM$1006:BI1006),$AM$1006:$BM$1006,0)))),"Fix")))</f>
        <v xml:space="preserve"> </v>
      </c>
      <c r="Y62" s="4" t="str">
        <f ca="1">IF(OR(INDEX($AG$2:$AG$1001,MATCH(ROWS($AF$2:AF62),$AF$2:$AF$1001,0),1)&gt;=100000,INDEX($AM$1005:$BM$1005,1,MATCH(COLUMNS($AM$1006:BJ1006),$AM$1006:$BM$1006,0))&gt;=100000), " ",IF(INDEX($AM$2:$BM$1001,MATCH(ROWS($AF$2:AF62),$AF$2:$AF$1001,0),MATCH(COLUMNS($AM$1006:BJ1006),$AM$1006:$BM$1006,0)), HYPERLINK("#",""), HYPERLINK(CONCATENATE("#metadata!", ADDRESS(INDEX($AH$2:$AH$1001,MATCH(ROWS($AF$2:AF62),$AF$2:$AF$1001,0),0), INDEX($AM$1004:$BM$1004,1,MATCH(COLUMNS($AM$1006:BJ1006),$AM$1006:$BM$1006,0)))),"Fix")))</f>
        <v xml:space="preserve"> </v>
      </c>
      <c r="Z62" s="4" t="str">
        <f ca="1">IF(OR(INDEX($AG$2:$AG$1001,MATCH(ROWS($AF$2:AF62),$AF$2:$AF$1001,0),1)&gt;=100000,INDEX($AM$1005:$BM$1005,1,MATCH(COLUMNS($AM$1006:BK1006),$AM$1006:$BM$1006,0))&gt;=100000), " ",IF(INDEX($AM$2:$BM$1001,MATCH(ROWS($AF$2:AF62),$AF$2:$AF$1001,0),MATCH(COLUMNS($AM$1006:BK1006),$AM$1006:$BM$1006,0)), HYPERLINK("#",""), HYPERLINK(CONCATENATE("#metadata!", ADDRESS(INDEX($AH$2:$AH$1001,MATCH(ROWS($AF$2:AF62),$AF$2:$AF$1001,0),0), INDEX($AM$1004:$BM$1004,1,MATCH(COLUMNS($AM$1006:BK1006),$AM$1006:$BM$1006,0)))),"Fix")))</f>
        <v xml:space="preserve"> </v>
      </c>
      <c r="AA62" s="4" t="str">
        <f ca="1">IF(OR(INDEX($AG$2:$AG$1001,MATCH(ROWS($AF$2:AF62),$AF$2:$AF$1001,0),1)&gt;=100000,INDEX($AM$1005:$BM$1005,1,MATCH(COLUMNS($AM$1006:BL1006),$AM$1006:$BM$1006,0))&gt;=100000), " ",IF(INDEX($AM$2:$BM$1001,MATCH(ROWS($AF$2:AF62),$AF$2:$AF$1001,0),MATCH(COLUMNS($AM$1006:BL1006),$AM$1006:$BM$1006,0)), HYPERLINK("#",""), HYPERLINK(CONCATENATE("#metadata!", ADDRESS(INDEX($AH$2:$AH$1001,MATCH(ROWS($AF$2:AF62),$AF$2:$AF$1001,0),0), INDEX($AM$1004:$BM$1004,1,MATCH(COLUMNS($AM$1006:BL1006),$AM$1006:$BM$1006,0)))),"Fix")))</f>
        <v xml:space="preserve"> </v>
      </c>
      <c r="AB62" s="4" t="str">
        <f ca="1">IF(OR(INDEX($AG$2:$AG$1001,MATCH(ROWS($AF$2:AF62),$AF$2:$AF$1001,0),1)&gt;=100000,INDEX($AM$1005:$BM$1005,1,MATCH(COLUMNS($AM$1006:BM1006),$AM$1006:$BM$1006,0))&gt;=100000), " ",IF(INDEX($AM$2:$BM$1001,MATCH(ROWS($AF$2:AF62),$AF$2:$AF$1001,0),MATCH(COLUMNS($AM$1006:BM1006),$AM$1006:$BM$1006,0)), HYPERLINK("#",""), HYPERLINK(CONCATENATE("#metadata!", ADDRESS(INDEX($AH$2:$AH$1001,MATCH(ROWS($AF$2:AF62),$AF$2:$AF$1001,0),0), INDEX($AM$1004:$BM$1004,1,MATCH(COLUMNS($AM$1006:BM1006),$AM$1006:$BM$1006,0)))),"Fix")))</f>
        <v xml:space="preserve"> </v>
      </c>
      <c r="AF62">
        <v>61</v>
      </c>
      <c r="AG62">
        <v>100062</v>
      </c>
      <c r="AH62">
        <v>62</v>
      </c>
      <c r="AI62" t="b">
        <f t="shared" si="0"/>
        <v>1</v>
      </c>
      <c r="AJ62" t="b">
        <f>COUNTBLANK(metadata!B62:AB62)=COLUMNS(metadata!B62:AB62)</f>
        <v>1</v>
      </c>
      <c r="AK62" t="str">
        <v/>
      </c>
      <c r="AM62" t="b">
        <f ca="1">AND(IF(metadata!B62="",FALSE,TRUE),COUNTIF(metadata!B:B, metadata!B62) = 1,NOT(ISERROR(SUMPRODUCT(SEARCH(MID(metadata!B62,ROW(INDIRECT("1:"&amp;LEN(metadata!B62))), 1),"0123456789abcdefghijklmnopqrstuvwxyzABCDEFGHIJKLMNOPQRSTUVWXYZ.")))))</f>
        <v>0</v>
      </c>
      <c r="AN62" t="b">
        <f ca="1">OR(AND(IF(metadata!C62="",FALSE,TRUE),OR(EXACT(metadata!C62,"missing: not collected"),EXACT(metadata!C62,"missing: not provided"),EXACT(metadata!C62,"missing: restricted access"))),AND(IF(metadata!C62="",FALSE,TRUE),AND(AND(IFERROR(INT(LEFT(metadata!C62,4))&gt;1900,FALSE),IFERROR(INT(LEFT(metadata!C62,4))&lt;=YEAR(NOW()),FALSE)), OR(MID(metadata!C62,5,1)="", AND(AND(MID(metadata!C62,5,1)="-",IFERROR(INT(MID(metadata!C62,6,1))&gt;=0,FALSE),IFERROR(INT(MID(metadata!C62,6,1))&lt;=1,FALSE),NOT(MID(metadata!C62,7,1)=""),IFERROR(INT(MID(metadata!C62,6,2))&gt;=1,FALSE),IFERROR(INT(MID(metadata!C62,6,2))&lt;=12,FALSE)), OR(MID(metadata!C62,8,1)="", AND(AND(MID(metadata!C62,8,1)="-",IFERROR(INT(MID(metadata!C62,9,1))&gt;=0,FALSE),IFERROR(INT(MID(metadata!C62,9,1))&lt;=3,FALSE),NOT(MID(metadata!C62,10,1)=""),IFERROR(INT(MID(metadata!C62,9,2))&gt;=1,FALSE),IFERROR(INT(MID(metadata!C62,9,2))&lt;=31,FALSE)), OR(MID(metadata!C62,11,1)="", AND(AND(MID(metadata!C62,11,1)=" ",IFERROR(INT(MID(metadata!C62,12,1))&gt;=0,FALSE),IFERROR(INT(MID(metadata!C62,12,1))&lt;=2,FALSE),NOT(MID(metadata!C62,13,1)=""),IFERROR(INT(MID(metadata!C62,12,2))&gt;=0,FALSE),IFERROR(INT(MID(metadata!C62,12,2))&lt;=23,FALSE)), OR(MID(metadata!C62,14,1)="", AND(AND(MID(metadata!C62,14,1)=":",IFERROR(INT(MID(metadata!C62,15,1))&gt;=0,FALSE),IFERROR(INT(MID(metadata!C62,15,1))&lt;=5,FALSE),NOT(MID(metadata!C62,16,1)=""),IFERROR(INT(MID(metadata!C62,15,2))&gt;=0,FALSE),IFERROR(INT(MID(metadata!C62,15,2))&lt;=59,FALSE)), OR(MID(metadata!C62,17,1)="", AND(AND(MID(metadata!C62,17,1)=":",IFERROR(INT(MID(metadata!C62,18,1))&gt;=0,FALSE),IFERROR(INT(MID(metadata!C62,18,1))&lt;=5,FALSE),NOT(MID(metadata!C62,19,1)=""),IFERROR(INT(MID(metadata!C62,18,2))&gt;=0,FALSE),IFERROR(INT(MID(metadata!C62,18,2))&lt;=59,FALSE)), LEN(metadata!C62)&lt;=19)))))))))))))</f>
        <v>0</v>
      </c>
      <c r="AO62" t="b">
        <f>AND(IF(metadata!D62="",FALSE,TRUE),EXACT(metadata!D62,"Not applicable"))</f>
        <v>0</v>
      </c>
      <c r="AP62" t="b">
        <f>IF(metadata!E62="",FALSE,TRUE)</f>
        <v>0</v>
      </c>
      <c r="AQ62" t="b">
        <f>OR(AND(IF(metadata!F62="",FALSE,TRUE),OR(EXACT(metadata!F62,"missing: not collected"),EXACT(metadata!F62,"missing: not provided"))),AND(IF(metadata!F62="",FALSE,TRUE),OR(EXACT(metadata!F62,"TRUE"),EXACT(metadata!F62,"FALSE"))))</f>
        <v>0</v>
      </c>
      <c r="AR62" t="b">
        <f>OR(AND(IF(metadata!G62="",FALSE,TRUE),OR(EXACT(metadata!G62,"missing: not collected"),EXACT(metadata!G62,"missing: not provided"),EXACT(metadata!G62,"missing: restricted access"))),AND(IF(metadata!G62="",FALSE,ISNUMBER(VALUE(metadata!G62))),metadata!G62&gt;=-413))</f>
        <v>0</v>
      </c>
      <c r="AS62" t="b">
        <f>AND(IF(metadata!H62="",FALSE,TRUE),EXACT(metadata!H62,"meters"))</f>
        <v>0</v>
      </c>
      <c r="AT62" t="b">
        <f>AND(IF(metadata!I62="",FALSE,TRUE),OR(EXACT(metadata!I62,"Host-associated"),EXACT(metadata!I62,"Free-living")))</f>
        <v>0</v>
      </c>
      <c r="AU62" t="b">
        <f>AND(IF(metadata!J62="",FALSE,TRUE),OR(EXACT(metadata!J62,"Animal"),EXACT(metadata!J62,"Fungus"),EXACT(metadata!J62,"Plant"),EXACT(metadata!J62,"Saline"),EXACT(metadata!J62,"Non-saline")))</f>
        <v>0</v>
      </c>
      <c r="AV62" t="b">
        <f>AND(IF(metadata!K62="",FALSE,TRUE),OR(EXACT(metadata!K62,"Plant secretion"),EXACT(metadata!K62,"Plant rhizosphere"),EXACT(metadata!K62,"Plant surface"),EXACT(metadata!K62,"Plant corpus"),EXACT(metadata!K62,"Fungus surface"),EXACT(metadata!K62,"Fungus corpus"),EXACT(metadata!K62,"Animal surface"),EXACT(metadata!K62,"Animal proximal gut"),EXACT(metadata!K62,"Animal corpus"),EXACT(metadata!K62,"Animal distal gut"),EXACT(metadata!K62,"Animal secretion"),EXACT(metadata!K62,"Sub-surface (non-saline)"),EXACT(metadata!K62,"Surface (non-saline)"),EXACT(metadata!K62,"Water (non-saline)"),EXACT(metadata!K62,"Soil (non-saline)"),EXACT(metadata!K62,"Aerosol (non-saline)"),EXACT(metadata!K62,"Sediment (non-saline)"),EXACT(metadata!K62,"Surface (saline)"),EXACT(metadata!K62,"Water (saline)"),EXACT(metadata!K62,"Hypersaline (saline)"),EXACT(metadata!K62,"Aerosol (saline)"),EXACT(metadata!K62,"Sediment (saline)")))</f>
        <v>0</v>
      </c>
      <c r="AW62" t="b">
        <f>IF(metadata!L62="",FALSE,TRUE)</f>
        <v>0</v>
      </c>
      <c r="AX62" t="b">
        <f>IF(metadata!M62="",FALSE,TRUE)</f>
        <v>0</v>
      </c>
      <c r="AY62" t="b">
        <f>IF(metadata!N62="",FALSE,TRUE)</f>
        <v>0</v>
      </c>
      <c r="AZ62" t="b">
        <f>OR(AND(IF(metadata!O62="",FALSE,TRUE),OR(EXACT(metadata!O62,"missing: not collected"),EXACT(metadata!O62,"missing: not provided"),EXACT(metadata!O62,"missing: restricted access"))),AND(IF(metadata!O62="",FALSE,TRUE),OR(EXACT(metadata!O62,"air"),EXACT(metadata!O62,"built environment"),EXACT(metadata!O62,"host-associated"),EXACT(metadata!O62,"human-associated"),EXACT(metadata!O62,"human-skin"),EXACT(metadata!O62,"human-oral"),EXACT(metadata!O62,"human-gut"),EXACT(metadata!O62,"human-vaginal"),EXACT(metadata!O62,"microbial mat/biofilm"),EXACT(metadata!O62,"misc environment"),EXACT(metadata!O62,"plant-associated"),EXACT(metadata!O62,"sediment"),EXACT(metadata!O62,"soil"),EXACT(metadata!O62,"wastewater/sludge"),EXACT(metadata!O62,"water"))))</f>
        <v>0</v>
      </c>
      <c r="BA62" t="b">
        <f>IF(metadata!P62="",FALSE,TRUE)</f>
        <v>0</v>
      </c>
      <c r="BB62" t="b">
        <f>IF(metadata!Q62="",FALSE,TRUE)</f>
        <v>0</v>
      </c>
      <c r="BC62" t="b">
        <f>OR(AND(IF(metadata!R62="",FALSE,TRUE),OR(EXACT(metadata!R62,"missing: not collected"),EXACT(metadata!R62,"missing: not provided"),EXACT(metadata!R62,"missing: restricted access"))),AND(IF(metadata!R62="",FALSE,ISNUMBER(VALUE(metadata!R62))),metadata!R62&gt;=-90,metadata!R62&lt;=90))</f>
        <v>0</v>
      </c>
      <c r="BD62" t="b">
        <f>AND(IF(metadata!S62="",FALSE,TRUE),EXACT(metadata!S62,"Decimal degrees"))</f>
        <v>0</v>
      </c>
      <c r="BE62" t="b">
        <f>OR(AND(IF(metadata!T62="",FALSE,TRUE),OR(EXACT(metadata!T62,"missing: not collected"),EXACT(metadata!T62,"missing: not provided"),EXACT(metadata!T62,"missing: restricted access"))),AND(IF(metadata!T62="",FALSE,ISNUMBER(VALUE(metadata!T62))),metadata!T62&gt;=-180,metadata!T62&lt;=180))</f>
        <v>0</v>
      </c>
      <c r="BF62" t="b">
        <f>AND(IF(metadata!U62="",FALSE,TRUE),EXACT(metadata!U62,"Decimal degrees"))</f>
        <v>0</v>
      </c>
      <c r="BG62" t="b">
        <f>IF(metadata!V62="",FALSE,TRUE)</f>
        <v>0</v>
      </c>
      <c r="BH62" t="b">
        <f>OR(AND(IF(metadata!W62="",FALSE,TRUE),OR(EXACT(metadata!W62,"missing: not collected"),EXACT(metadata!W62,"missing: not provided"),EXACT(metadata!W62,"missing: restricted access"))),AND(IF(metadata!W62="",FALSE,TRUE),OR(EXACT(metadata!W62,"TRUE"),EXACT(metadata!W62,"FALSE"))))</f>
        <v>0</v>
      </c>
      <c r="BI62" t="b">
        <f>AND(IF(metadata!X62="",FALSE,TRUE),EXACT(metadata!X62,"other"))</f>
        <v>0</v>
      </c>
      <c r="BJ62" t="b">
        <f>IF(metadata!Y62="",FALSE,TRUE)</f>
        <v>0</v>
      </c>
      <c r="BK62" t="b">
        <f>OR(AND(IF(metadata!Z62="",FALSE,TRUE),OR(EXACT(metadata!Z62,"missing: not collected"),EXACT(metadata!Z62,"missing: not provided"))),AND(IF(metadata!Z62="",FALSE,IF(ISERROR(INT(metadata!Z62)),FALSE,INT(metadata!Z62)=metadata!Z62)),metadata!Z62&gt;0))</f>
        <v>0</v>
      </c>
      <c r="BL62" t="b">
        <f>AND(IF(metadata!AA62="",FALSE,TRUE),EXACT(metadata!AA62,"Not applicable"))</f>
        <v>0</v>
      </c>
      <c r="BM62" t="b">
        <f>IF(metadata!AB62="",FALSE,TRUE)</f>
        <v>0</v>
      </c>
    </row>
    <row r="63" spans="1:65" x14ac:dyDescent="0.2">
      <c r="A63" s="5" t="str">
        <f ca="1">IF(B63=" "," ",HYPERLINK(CONCATENATE("#metadata!",ADDRESS(INDEX($AH$2:$AH$1001,MATCH(ROWS($AF$2:AF63),$AF$2:$AF$1001,0),0),1)),INDEX($AK$2:$AK$1001,MATCH(ROWS($AF$2:AF63),$AF$2:$AF$1001,0),0)))</f>
        <v xml:space="preserve"> </v>
      </c>
      <c r="B63" s="4" t="str">
        <f ca="1">IF(OR(INDEX($AG$2:$AG$1001,MATCH(ROWS($AF$2:AF63),$AF$2:$AF$1001,0),1)&gt;=100000,INDEX($AM$1005:$BM$1005,1,MATCH(COLUMNS($AM$1006:AM1006),$AM$1006:$BM$1006,0))&gt;=100000), " ",IF(INDEX($AM$2:$BM$1001,MATCH(ROWS($AF$2:AF63),$AF$2:$AF$1001,0),MATCH(COLUMNS($AM$1006:AM1006),$AM$1006:$BM$1006,0)), HYPERLINK("#",""), HYPERLINK(CONCATENATE("#metadata!", ADDRESS(INDEX($AH$2:$AH$1001,MATCH(ROWS($AF$2:AF63),$AF$2:$AF$1001,0),0), INDEX($AM$1004:$BM$1004,1,MATCH(COLUMNS($AM$1006:AM1006),$AM$1006:$BM$1006,0)))),"Fix")))</f>
        <v xml:space="preserve"> </v>
      </c>
      <c r="C63" s="4" t="str">
        <f ca="1">IF(OR(INDEX($AG$2:$AG$1001,MATCH(ROWS($AF$2:AF63),$AF$2:$AF$1001,0),1)&gt;=100000,INDEX($AM$1005:$BM$1005,1,MATCH(COLUMNS($AM$1006:AN1006),$AM$1006:$BM$1006,0))&gt;=100000), " ",IF(INDEX($AM$2:$BM$1001,MATCH(ROWS($AF$2:AF63),$AF$2:$AF$1001,0),MATCH(COLUMNS($AM$1006:AN1006),$AM$1006:$BM$1006,0)), HYPERLINK("#",""), HYPERLINK(CONCATENATE("#metadata!", ADDRESS(INDEX($AH$2:$AH$1001,MATCH(ROWS($AF$2:AF63),$AF$2:$AF$1001,0),0), INDEX($AM$1004:$BM$1004,1,MATCH(COLUMNS($AM$1006:AN1006),$AM$1006:$BM$1006,0)))),"Fix")))</f>
        <v xml:space="preserve"> </v>
      </c>
      <c r="D63" s="4" t="str">
        <f ca="1">IF(OR(INDEX($AG$2:$AG$1001,MATCH(ROWS($AF$2:AF63),$AF$2:$AF$1001,0),1)&gt;=100000,INDEX($AM$1005:$BM$1005,1,MATCH(COLUMNS($AM$1006:AO1006),$AM$1006:$BM$1006,0))&gt;=100000), " ",IF(INDEX($AM$2:$BM$1001,MATCH(ROWS($AF$2:AF63),$AF$2:$AF$1001,0),MATCH(COLUMNS($AM$1006:AO1006),$AM$1006:$BM$1006,0)), HYPERLINK("#",""), HYPERLINK(CONCATENATE("#metadata!", ADDRESS(INDEX($AH$2:$AH$1001,MATCH(ROWS($AF$2:AF63),$AF$2:$AF$1001,0),0), INDEX($AM$1004:$BM$1004,1,MATCH(COLUMNS($AM$1006:AO1006),$AM$1006:$BM$1006,0)))),"Fix")))</f>
        <v xml:space="preserve"> </v>
      </c>
      <c r="E63" s="4" t="str">
        <f ca="1">IF(OR(INDEX($AG$2:$AG$1001,MATCH(ROWS($AF$2:AF63),$AF$2:$AF$1001,0),1)&gt;=100000,INDEX($AM$1005:$BM$1005,1,MATCH(COLUMNS($AM$1006:AP1006),$AM$1006:$BM$1006,0))&gt;=100000), " ",IF(INDEX($AM$2:$BM$1001,MATCH(ROWS($AF$2:AF63),$AF$2:$AF$1001,0),MATCH(COLUMNS($AM$1006:AP1006),$AM$1006:$BM$1006,0)), HYPERLINK("#",""), HYPERLINK(CONCATENATE("#metadata!", ADDRESS(INDEX($AH$2:$AH$1001,MATCH(ROWS($AF$2:AF63),$AF$2:$AF$1001,0),0), INDEX($AM$1004:$BM$1004,1,MATCH(COLUMNS($AM$1006:AP1006),$AM$1006:$BM$1006,0)))),"Fix")))</f>
        <v xml:space="preserve"> </v>
      </c>
      <c r="F63" s="4" t="str">
        <f ca="1">IF(OR(INDEX($AG$2:$AG$1001,MATCH(ROWS($AF$2:AF63),$AF$2:$AF$1001,0),1)&gt;=100000,INDEX($AM$1005:$BM$1005,1,MATCH(COLUMNS($AM$1006:AQ1006),$AM$1006:$BM$1006,0))&gt;=100000), " ",IF(INDEX($AM$2:$BM$1001,MATCH(ROWS($AF$2:AF63),$AF$2:$AF$1001,0),MATCH(COLUMNS($AM$1006:AQ1006),$AM$1006:$BM$1006,0)), HYPERLINK("#",""), HYPERLINK(CONCATENATE("#metadata!", ADDRESS(INDEX($AH$2:$AH$1001,MATCH(ROWS($AF$2:AF63),$AF$2:$AF$1001,0),0), INDEX($AM$1004:$BM$1004,1,MATCH(COLUMNS($AM$1006:AQ1006),$AM$1006:$BM$1006,0)))),"Fix")))</f>
        <v xml:space="preserve"> </v>
      </c>
      <c r="G63" s="4" t="str">
        <f ca="1">IF(OR(INDEX($AG$2:$AG$1001,MATCH(ROWS($AF$2:AF63),$AF$2:$AF$1001,0),1)&gt;=100000,INDEX($AM$1005:$BM$1005,1,MATCH(COLUMNS($AM$1006:AR1006),$AM$1006:$BM$1006,0))&gt;=100000), " ",IF(INDEX($AM$2:$BM$1001,MATCH(ROWS($AF$2:AF63),$AF$2:$AF$1001,0),MATCH(COLUMNS($AM$1006:AR1006),$AM$1006:$BM$1006,0)), HYPERLINK("#",""), HYPERLINK(CONCATENATE("#metadata!", ADDRESS(INDEX($AH$2:$AH$1001,MATCH(ROWS($AF$2:AF63),$AF$2:$AF$1001,0),0), INDEX($AM$1004:$BM$1004,1,MATCH(COLUMNS($AM$1006:AR1006),$AM$1006:$BM$1006,0)))),"Fix")))</f>
        <v xml:space="preserve"> </v>
      </c>
      <c r="H63" s="4" t="str">
        <f ca="1">IF(OR(INDEX($AG$2:$AG$1001,MATCH(ROWS($AF$2:AF63),$AF$2:$AF$1001,0),1)&gt;=100000,INDEX($AM$1005:$BM$1005,1,MATCH(COLUMNS($AM$1006:AS1006),$AM$1006:$BM$1006,0))&gt;=100000), " ",IF(INDEX($AM$2:$BM$1001,MATCH(ROWS($AF$2:AF63),$AF$2:$AF$1001,0),MATCH(COLUMNS($AM$1006:AS1006),$AM$1006:$BM$1006,0)), HYPERLINK("#",""), HYPERLINK(CONCATENATE("#metadata!", ADDRESS(INDEX($AH$2:$AH$1001,MATCH(ROWS($AF$2:AF63),$AF$2:$AF$1001,0),0), INDEX($AM$1004:$BM$1004,1,MATCH(COLUMNS($AM$1006:AS1006),$AM$1006:$BM$1006,0)))),"Fix")))</f>
        <v xml:space="preserve"> </v>
      </c>
      <c r="I63" s="4" t="str">
        <f ca="1">IF(OR(INDEX($AG$2:$AG$1001,MATCH(ROWS($AF$2:AF63),$AF$2:$AF$1001,0),1)&gt;=100000,INDEX($AM$1005:$BM$1005,1,MATCH(COLUMNS($AM$1006:AT1006),$AM$1006:$BM$1006,0))&gt;=100000), " ",IF(INDEX($AM$2:$BM$1001,MATCH(ROWS($AF$2:AF63),$AF$2:$AF$1001,0),MATCH(COLUMNS($AM$1006:AT1006),$AM$1006:$BM$1006,0)), HYPERLINK("#",""), HYPERLINK(CONCATENATE("#metadata!", ADDRESS(INDEX($AH$2:$AH$1001,MATCH(ROWS($AF$2:AF63),$AF$2:$AF$1001,0),0), INDEX($AM$1004:$BM$1004,1,MATCH(COLUMNS($AM$1006:AT1006),$AM$1006:$BM$1006,0)))),"Fix")))</f>
        <v xml:space="preserve"> </v>
      </c>
      <c r="J63" s="4" t="str">
        <f ca="1">IF(OR(INDEX($AG$2:$AG$1001,MATCH(ROWS($AF$2:AF63),$AF$2:$AF$1001,0),1)&gt;=100000,INDEX($AM$1005:$BM$1005,1,MATCH(COLUMNS($AM$1006:AU1006),$AM$1006:$BM$1006,0))&gt;=100000), " ",IF(INDEX($AM$2:$BM$1001,MATCH(ROWS($AF$2:AF63),$AF$2:$AF$1001,0),MATCH(COLUMNS($AM$1006:AU1006),$AM$1006:$BM$1006,0)), HYPERLINK("#",""), HYPERLINK(CONCATENATE("#metadata!", ADDRESS(INDEX($AH$2:$AH$1001,MATCH(ROWS($AF$2:AF63),$AF$2:$AF$1001,0),0), INDEX($AM$1004:$BM$1004,1,MATCH(COLUMNS($AM$1006:AU1006),$AM$1006:$BM$1006,0)))),"Fix")))</f>
        <v xml:space="preserve"> </v>
      </c>
      <c r="K63" s="4" t="str">
        <f ca="1">IF(OR(INDEX($AG$2:$AG$1001,MATCH(ROWS($AF$2:AF63),$AF$2:$AF$1001,0),1)&gt;=100000,INDEX($AM$1005:$BM$1005,1,MATCH(COLUMNS($AM$1006:AV1006),$AM$1006:$BM$1006,0))&gt;=100000), " ",IF(INDEX($AM$2:$BM$1001,MATCH(ROWS($AF$2:AF63),$AF$2:$AF$1001,0),MATCH(COLUMNS($AM$1006:AV1006),$AM$1006:$BM$1006,0)), HYPERLINK("#",""), HYPERLINK(CONCATENATE("#metadata!", ADDRESS(INDEX($AH$2:$AH$1001,MATCH(ROWS($AF$2:AF63),$AF$2:$AF$1001,0),0), INDEX($AM$1004:$BM$1004,1,MATCH(COLUMNS($AM$1006:AV1006),$AM$1006:$BM$1006,0)))),"Fix")))</f>
        <v xml:space="preserve"> </v>
      </c>
      <c r="L63" s="4" t="str">
        <f ca="1">IF(OR(INDEX($AG$2:$AG$1001,MATCH(ROWS($AF$2:AF63),$AF$2:$AF$1001,0),1)&gt;=100000,INDEX($AM$1005:$BM$1005,1,MATCH(COLUMNS($AM$1006:AW1006),$AM$1006:$BM$1006,0))&gt;=100000), " ",IF(INDEX($AM$2:$BM$1001,MATCH(ROWS($AF$2:AF63),$AF$2:$AF$1001,0),MATCH(COLUMNS($AM$1006:AW1006),$AM$1006:$BM$1006,0)), HYPERLINK("#",""), HYPERLINK(CONCATENATE("#metadata!", ADDRESS(INDEX($AH$2:$AH$1001,MATCH(ROWS($AF$2:AF63),$AF$2:$AF$1001,0),0), INDEX($AM$1004:$BM$1004,1,MATCH(COLUMNS($AM$1006:AW1006),$AM$1006:$BM$1006,0)))),"Fix")))</f>
        <v xml:space="preserve"> </v>
      </c>
      <c r="M63" s="4" t="str">
        <f ca="1">IF(OR(INDEX($AG$2:$AG$1001,MATCH(ROWS($AF$2:AF63),$AF$2:$AF$1001,0),1)&gt;=100000,INDEX($AM$1005:$BM$1005,1,MATCH(COLUMNS($AM$1006:AX1006),$AM$1006:$BM$1006,0))&gt;=100000), " ",IF(INDEX($AM$2:$BM$1001,MATCH(ROWS($AF$2:AF63),$AF$2:$AF$1001,0),MATCH(COLUMNS($AM$1006:AX1006),$AM$1006:$BM$1006,0)), HYPERLINK("#",""), HYPERLINK(CONCATENATE("#metadata!", ADDRESS(INDEX($AH$2:$AH$1001,MATCH(ROWS($AF$2:AF63),$AF$2:$AF$1001,0),0), INDEX($AM$1004:$BM$1004,1,MATCH(COLUMNS($AM$1006:AX1006),$AM$1006:$BM$1006,0)))),"Fix")))</f>
        <v xml:space="preserve"> </v>
      </c>
      <c r="N63" s="4" t="str">
        <f ca="1">IF(OR(INDEX($AG$2:$AG$1001,MATCH(ROWS($AF$2:AF63),$AF$2:$AF$1001,0),1)&gt;=100000,INDEX($AM$1005:$BM$1005,1,MATCH(COLUMNS($AM$1006:AY1006),$AM$1006:$BM$1006,0))&gt;=100000), " ",IF(INDEX($AM$2:$BM$1001,MATCH(ROWS($AF$2:AF63),$AF$2:$AF$1001,0),MATCH(COLUMNS($AM$1006:AY1006),$AM$1006:$BM$1006,0)), HYPERLINK("#",""), HYPERLINK(CONCATENATE("#metadata!", ADDRESS(INDEX($AH$2:$AH$1001,MATCH(ROWS($AF$2:AF63),$AF$2:$AF$1001,0),0), INDEX($AM$1004:$BM$1004,1,MATCH(COLUMNS($AM$1006:AY1006),$AM$1006:$BM$1006,0)))),"Fix")))</f>
        <v xml:space="preserve"> </v>
      </c>
      <c r="O63" s="4" t="str">
        <f ca="1">IF(OR(INDEX($AG$2:$AG$1001,MATCH(ROWS($AF$2:AF63),$AF$2:$AF$1001,0),1)&gt;=100000,INDEX($AM$1005:$BM$1005,1,MATCH(COLUMNS($AM$1006:AZ1006),$AM$1006:$BM$1006,0))&gt;=100000), " ",IF(INDEX($AM$2:$BM$1001,MATCH(ROWS($AF$2:AF63),$AF$2:$AF$1001,0),MATCH(COLUMNS($AM$1006:AZ1006),$AM$1006:$BM$1006,0)), HYPERLINK("#",""), HYPERLINK(CONCATENATE("#metadata!", ADDRESS(INDEX($AH$2:$AH$1001,MATCH(ROWS($AF$2:AF63),$AF$2:$AF$1001,0),0), INDEX($AM$1004:$BM$1004,1,MATCH(COLUMNS($AM$1006:AZ1006),$AM$1006:$BM$1006,0)))),"Fix")))</f>
        <v xml:space="preserve"> </v>
      </c>
      <c r="P63" s="4" t="str">
        <f ca="1">IF(OR(INDEX($AG$2:$AG$1001,MATCH(ROWS($AF$2:AF63),$AF$2:$AF$1001,0),1)&gt;=100000,INDEX($AM$1005:$BM$1005,1,MATCH(COLUMNS($AM$1006:BA1006),$AM$1006:$BM$1006,0))&gt;=100000), " ",IF(INDEX($AM$2:$BM$1001,MATCH(ROWS($AF$2:AF63),$AF$2:$AF$1001,0),MATCH(COLUMNS($AM$1006:BA1006),$AM$1006:$BM$1006,0)), HYPERLINK("#",""), HYPERLINK(CONCATENATE("#metadata!", ADDRESS(INDEX($AH$2:$AH$1001,MATCH(ROWS($AF$2:AF63),$AF$2:$AF$1001,0),0), INDEX($AM$1004:$BM$1004,1,MATCH(COLUMNS($AM$1006:BA1006),$AM$1006:$BM$1006,0)))),"Fix")))</f>
        <v xml:space="preserve"> </v>
      </c>
      <c r="Q63" s="4" t="str">
        <f ca="1">IF(OR(INDEX($AG$2:$AG$1001,MATCH(ROWS($AF$2:AF63),$AF$2:$AF$1001,0),1)&gt;=100000,INDEX($AM$1005:$BM$1005,1,MATCH(COLUMNS($AM$1006:BB1006),$AM$1006:$BM$1006,0))&gt;=100000), " ",IF(INDEX($AM$2:$BM$1001,MATCH(ROWS($AF$2:AF63),$AF$2:$AF$1001,0),MATCH(COLUMNS($AM$1006:BB1006),$AM$1006:$BM$1006,0)), HYPERLINK("#",""), HYPERLINK(CONCATENATE("#metadata!", ADDRESS(INDEX($AH$2:$AH$1001,MATCH(ROWS($AF$2:AF63),$AF$2:$AF$1001,0),0), INDEX($AM$1004:$BM$1004,1,MATCH(COLUMNS($AM$1006:BB1006),$AM$1006:$BM$1006,0)))),"Fix")))</f>
        <v xml:space="preserve"> </v>
      </c>
      <c r="R63" s="4" t="str">
        <f ca="1">IF(OR(INDEX($AG$2:$AG$1001,MATCH(ROWS($AF$2:AF63),$AF$2:$AF$1001,0),1)&gt;=100000,INDEX($AM$1005:$BM$1005,1,MATCH(COLUMNS($AM$1006:BC1006),$AM$1006:$BM$1006,0))&gt;=100000), " ",IF(INDEX($AM$2:$BM$1001,MATCH(ROWS($AF$2:AF63),$AF$2:$AF$1001,0),MATCH(COLUMNS($AM$1006:BC1006),$AM$1006:$BM$1006,0)), HYPERLINK("#",""), HYPERLINK(CONCATENATE("#metadata!", ADDRESS(INDEX($AH$2:$AH$1001,MATCH(ROWS($AF$2:AF63),$AF$2:$AF$1001,0),0), INDEX($AM$1004:$BM$1004,1,MATCH(COLUMNS($AM$1006:BC1006),$AM$1006:$BM$1006,0)))),"Fix")))</f>
        <v xml:space="preserve"> </v>
      </c>
      <c r="S63" s="4" t="str">
        <f ca="1">IF(OR(INDEX($AG$2:$AG$1001,MATCH(ROWS($AF$2:AF63),$AF$2:$AF$1001,0),1)&gt;=100000,INDEX($AM$1005:$BM$1005,1,MATCH(COLUMNS($AM$1006:BD1006),$AM$1006:$BM$1006,0))&gt;=100000), " ",IF(INDEX($AM$2:$BM$1001,MATCH(ROWS($AF$2:AF63),$AF$2:$AF$1001,0),MATCH(COLUMNS($AM$1006:BD1006),$AM$1006:$BM$1006,0)), HYPERLINK("#",""), HYPERLINK(CONCATENATE("#metadata!", ADDRESS(INDEX($AH$2:$AH$1001,MATCH(ROWS($AF$2:AF63),$AF$2:$AF$1001,0),0), INDEX($AM$1004:$BM$1004,1,MATCH(COLUMNS($AM$1006:BD1006),$AM$1006:$BM$1006,0)))),"Fix")))</f>
        <v xml:space="preserve"> </v>
      </c>
      <c r="T63" s="4" t="str">
        <f ca="1">IF(OR(INDEX($AG$2:$AG$1001,MATCH(ROWS($AF$2:AF63),$AF$2:$AF$1001,0),1)&gt;=100000,INDEX($AM$1005:$BM$1005,1,MATCH(COLUMNS($AM$1006:BE1006),$AM$1006:$BM$1006,0))&gt;=100000), " ",IF(INDEX($AM$2:$BM$1001,MATCH(ROWS($AF$2:AF63),$AF$2:$AF$1001,0),MATCH(COLUMNS($AM$1006:BE1006),$AM$1006:$BM$1006,0)), HYPERLINK("#",""), HYPERLINK(CONCATENATE("#metadata!", ADDRESS(INDEX($AH$2:$AH$1001,MATCH(ROWS($AF$2:AF63),$AF$2:$AF$1001,0),0), INDEX($AM$1004:$BM$1004,1,MATCH(COLUMNS($AM$1006:BE1006),$AM$1006:$BM$1006,0)))),"Fix")))</f>
        <v xml:space="preserve"> </v>
      </c>
      <c r="U63" s="4" t="str">
        <f ca="1">IF(OR(INDEX($AG$2:$AG$1001,MATCH(ROWS($AF$2:AF63),$AF$2:$AF$1001,0),1)&gt;=100000,INDEX($AM$1005:$BM$1005,1,MATCH(COLUMNS($AM$1006:BF1006),$AM$1006:$BM$1006,0))&gt;=100000), " ",IF(INDEX($AM$2:$BM$1001,MATCH(ROWS($AF$2:AF63),$AF$2:$AF$1001,0),MATCH(COLUMNS($AM$1006:BF1006),$AM$1006:$BM$1006,0)), HYPERLINK("#",""), HYPERLINK(CONCATENATE("#metadata!", ADDRESS(INDEX($AH$2:$AH$1001,MATCH(ROWS($AF$2:AF63),$AF$2:$AF$1001,0),0), INDEX($AM$1004:$BM$1004,1,MATCH(COLUMNS($AM$1006:BF1006),$AM$1006:$BM$1006,0)))),"Fix")))</f>
        <v xml:space="preserve"> </v>
      </c>
      <c r="V63" s="4" t="str">
        <f ca="1">IF(OR(INDEX($AG$2:$AG$1001,MATCH(ROWS($AF$2:AF63),$AF$2:$AF$1001,0),1)&gt;=100000,INDEX($AM$1005:$BM$1005,1,MATCH(COLUMNS($AM$1006:BG1006),$AM$1006:$BM$1006,0))&gt;=100000), " ",IF(INDEX($AM$2:$BM$1001,MATCH(ROWS($AF$2:AF63),$AF$2:$AF$1001,0),MATCH(COLUMNS($AM$1006:BG1006),$AM$1006:$BM$1006,0)), HYPERLINK("#",""), HYPERLINK(CONCATENATE("#metadata!", ADDRESS(INDEX($AH$2:$AH$1001,MATCH(ROWS($AF$2:AF63),$AF$2:$AF$1001,0),0), INDEX($AM$1004:$BM$1004,1,MATCH(COLUMNS($AM$1006:BG1006),$AM$1006:$BM$1006,0)))),"Fix")))</f>
        <v xml:space="preserve"> </v>
      </c>
      <c r="W63" s="4" t="str">
        <f ca="1">IF(OR(INDEX($AG$2:$AG$1001,MATCH(ROWS($AF$2:AF63),$AF$2:$AF$1001,0),1)&gt;=100000,INDEX($AM$1005:$BM$1005,1,MATCH(COLUMNS($AM$1006:BH1006),$AM$1006:$BM$1006,0))&gt;=100000), " ",IF(INDEX($AM$2:$BM$1001,MATCH(ROWS($AF$2:AF63),$AF$2:$AF$1001,0),MATCH(COLUMNS($AM$1006:BH1006),$AM$1006:$BM$1006,0)), HYPERLINK("#",""), HYPERLINK(CONCATENATE("#metadata!", ADDRESS(INDEX($AH$2:$AH$1001,MATCH(ROWS($AF$2:AF63),$AF$2:$AF$1001,0),0), INDEX($AM$1004:$BM$1004,1,MATCH(COLUMNS($AM$1006:BH1006),$AM$1006:$BM$1006,0)))),"Fix")))</f>
        <v xml:space="preserve"> </v>
      </c>
      <c r="X63" s="4" t="str">
        <f ca="1">IF(OR(INDEX($AG$2:$AG$1001,MATCH(ROWS($AF$2:AF63),$AF$2:$AF$1001,0),1)&gt;=100000,INDEX($AM$1005:$BM$1005,1,MATCH(COLUMNS($AM$1006:BI1006),$AM$1006:$BM$1006,0))&gt;=100000), " ",IF(INDEX($AM$2:$BM$1001,MATCH(ROWS($AF$2:AF63),$AF$2:$AF$1001,0),MATCH(COLUMNS($AM$1006:BI1006),$AM$1006:$BM$1006,0)), HYPERLINK("#",""), HYPERLINK(CONCATENATE("#metadata!", ADDRESS(INDEX($AH$2:$AH$1001,MATCH(ROWS($AF$2:AF63),$AF$2:$AF$1001,0),0), INDEX($AM$1004:$BM$1004,1,MATCH(COLUMNS($AM$1006:BI1006),$AM$1006:$BM$1006,0)))),"Fix")))</f>
        <v xml:space="preserve"> </v>
      </c>
      <c r="Y63" s="4" t="str">
        <f ca="1">IF(OR(INDEX($AG$2:$AG$1001,MATCH(ROWS($AF$2:AF63),$AF$2:$AF$1001,0),1)&gt;=100000,INDEX($AM$1005:$BM$1005,1,MATCH(COLUMNS($AM$1006:BJ1006),$AM$1006:$BM$1006,0))&gt;=100000), " ",IF(INDEX($AM$2:$BM$1001,MATCH(ROWS($AF$2:AF63),$AF$2:$AF$1001,0),MATCH(COLUMNS($AM$1006:BJ1006),$AM$1006:$BM$1006,0)), HYPERLINK("#",""), HYPERLINK(CONCATENATE("#metadata!", ADDRESS(INDEX($AH$2:$AH$1001,MATCH(ROWS($AF$2:AF63),$AF$2:$AF$1001,0),0), INDEX($AM$1004:$BM$1004,1,MATCH(COLUMNS($AM$1006:BJ1006),$AM$1006:$BM$1006,0)))),"Fix")))</f>
        <v xml:space="preserve"> </v>
      </c>
      <c r="Z63" s="4" t="str">
        <f ca="1">IF(OR(INDEX($AG$2:$AG$1001,MATCH(ROWS($AF$2:AF63),$AF$2:$AF$1001,0),1)&gt;=100000,INDEX($AM$1005:$BM$1005,1,MATCH(COLUMNS($AM$1006:BK1006),$AM$1006:$BM$1006,0))&gt;=100000), " ",IF(INDEX($AM$2:$BM$1001,MATCH(ROWS($AF$2:AF63),$AF$2:$AF$1001,0),MATCH(COLUMNS($AM$1006:BK1006),$AM$1006:$BM$1006,0)), HYPERLINK("#",""), HYPERLINK(CONCATENATE("#metadata!", ADDRESS(INDEX($AH$2:$AH$1001,MATCH(ROWS($AF$2:AF63),$AF$2:$AF$1001,0),0), INDEX($AM$1004:$BM$1004,1,MATCH(COLUMNS($AM$1006:BK1006),$AM$1006:$BM$1006,0)))),"Fix")))</f>
        <v xml:space="preserve"> </v>
      </c>
      <c r="AA63" s="4" t="str">
        <f ca="1">IF(OR(INDEX($AG$2:$AG$1001,MATCH(ROWS($AF$2:AF63),$AF$2:$AF$1001,0),1)&gt;=100000,INDEX($AM$1005:$BM$1005,1,MATCH(COLUMNS($AM$1006:BL1006),$AM$1006:$BM$1006,0))&gt;=100000), " ",IF(INDEX($AM$2:$BM$1001,MATCH(ROWS($AF$2:AF63),$AF$2:$AF$1001,0),MATCH(COLUMNS($AM$1006:BL1006),$AM$1006:$BM$1006,0)), HYPERLINK("#",""), HYPERLINK(CONCATENATE("#metadata!", ADDRESS(INDEX($AH$2:$AH$1001,MATCH(ROWS($AF$2:AF63),$AF$2:$AF$1001,0),0), INDEX($AM$1004:$BM$1004,1,MATCH(COLUMNS($AM$1006:BL1006),$AM$1006:$BM$1006,0)))),"Fix")))</f>
        <v xml:space="preserve"> </v>
      </c>
      <c r="AB63" s="4" t="str">
        <f ca="1">IF(OR(INDEX($AG$2:$AG$1001,MATCH(ROWS($AF$2:AF63),$AF$2:$AF$1001,0),1)&gt;=100000,INDEX($AM$1005:$BM$1005,1,MATCH(COLUMNS($AM$1006:BM1006),$AM$1006:$BM$1006,0))&gt;=100000), " ",IF(INDEX($AM$2:$BM$1001,MATCH(ROWS($AF$2:AF63),$AF$2:$AF$1001,0),MATCH(COLUMNS($AM$1006:BM1006),$AM$1006:$BM$1006,0)), HYPERLINK("#",""), HYPERLINK(CONCATENATE("#metadata!", ADDRESS(INDEX($AH$2:$AH$1001,MATCH(ROWS($AF$2:AF63),$AF$2:$AF$1001,0),0), INDEX($AM$1004:$BM$1004,1,MATCH(COLUMNS($AM$1006:BM1006),$AM$1006:$BM$1006,0)))),"Fix")))</f>
        <v xml:space="preserve"> </v>
      </c>
      <c r="AF63">
        <v>62</v>
      </c>
      <c r="AG63">
        <v>100063</v>
      </c>
      <c r="AH63">
        <v>63</v>
      </c>
      <c r="AI63" t="b">
        <f t="shared" si="0"/>
        <v>1</v>
      </c>
      <c r="AJ63" t="b">
        <f>COUNTBLANK(metadata!B63:AB63)=COLUMNS(metadata!B63:AB63)</f>
        <v>1</v>
      </c>
      <c r="AK63" t="str">
        <v/>
      </c>
      <c r="AM63" t="b">
        <f ca="1">AND(IF(metadata!B63="",FALSE,TRUE),COUNTIF(metadata!B:B, metadata!B63) = 1,NOT(ISERROR(SUMPRODUCT(SEARCH(MID(metadata!B63,ROW(INDIRECT("1:"&amp;LEN(metadata!B63))), 1),"0123456789abcdefghijklmnopqrstuvwxyzABCDEFGHIJKLMNOPQRSTUVWXYZ.")))))</f>
        <v>0</v>
      </c>
      <c r="AN63" t="b">
        <f ca="1">OR(AND(IF(metadata!C63="",FALSE,TRUE),OR(EXACT(metadata!C63,"missing: not collected"),EXACT(metadata!C63,"missing: not provided"),EXACT(metadata!C63,"missing: restricted access"))),AND(IF(metadata!C63="",FALSE,TRUE),AND(AND(IFERROR(INT(LEFT(metadata!C63,4))&gt;1900,FALSE),IFERROR(INT(LEFT(metadata!C63,4))&lt;=YEAR(NOW()),FALSE)), OR(MID(metadata!C63,5,1)="", AND(AND(MID(metadata!C63,5,1)="-",IFERROR(INT(MID(metadata!C63,6,1))&gt;=0,FALSE),IFERROR(INT(MID(metadata!C63,6,1))&lt;=1,FALSE),NOT(MID(metadata!C63,7,1)=""),IFERROR(INT(MID(metadata!C63,6,2))&gt;=1,FALSE),IFERROR(INT(MID(metadata!C63,6,2))&lt;=12,FALSE)), OR(MID(metadata!C63,8,1)="", AND(AND(MID(metadata!C63,8,1)="-",IFERROR(INT(MID(metadata!C63,9,1))&gt;=0,FALSE),IFERROR(INT(MID(metadata!C63,9,1))&lt;=3,FALSE),NOT(MID(metadata!C63,10,1)=""),IFERROR(INT(MID(metadata!C63,9,2))&gt;=1,FALSE),IFERROR(INT(MID(metadata!C63,9,2))&lt;=31,FALSE)), OR(MID(metadata!C63,11,1)="", AND(AND(MID(metadata!C63,11,1)=" ",IFERROR(INT(MID(metadata!C63,12,1))&gt;=0,FALSE),IFERROR(INT(MID(metadata!C63,12,1))&lt;=2,FALSE),NOT(MID(metadata!C63,13,1)=""),IFERROR(INT(MID(metadata!C63,12,2))&gt;=0,FALSE),IFERROR(INT(MID(metadata!C63,12,2))&lt;=23,FALSE)), OR(MID(metadata!C63,14,1)="", AND(AND(MID(metadata!C63,14,1)=":",IFERROR(INT(MID(metadata!C63,15,1))&gt;=0,FALSE),IFERROR(INT(MID(metadata!C63,15,1))&lt;=5,FALSE),NOT(MID(metadata!C63,16,1)=""),IFERROR(INT(MID(metadata!C63,15,2))&gt;=0,FALSE),IFERROR(INT(MID(metadata!C63,15,2))&lt;=59,FALSE)), OR(MID(metadata!C63,17,1)="", AND(AND(MID(metadata!C63,17,1)=":",IFERROR(INT(MID(metadata!C63,18,1))&gt;=0,FALSE),IFERROR(INT(MID(metadata!C63,18,1))&lt;=5,FALSE),NOT(MID(metadata!C63,19,1)=""),IFERROR(INT(MID(metadata!C63,18,2))&gt;=0,FALSE),IFERROR(INT(MID(metadata!C63,18,2))&lt;=59,FALSE)), LEN(metadata!C63)&lt;=19)))))))))))))</f>
        <v>0</v>
      </c>
      <c r="AO63" t="b">
        <f>AND(IF(metadata!D63="",FALSE,TRUE),EXACT(metadata!D63,"Not applicable"))</f>
        <v>0</v>
      </c>
      <c r="AP63" t="b">
        <f>IF(metadata!E63="",FALSE,TRUE)</f>
        <v>0</v>
      </c>
      <c r="AQ63" t="b">
        <f>OR(AND(IF(metadata!F63="",FALSE,TRUE),OR(EXACT(metadata!F63,"missing: not collected"),EXACT(metadata!F63,"missing: not provided"))),AND(IF(metadata!F63="",FALSE,TRUE),OR(EXACT(metadata!F63,"TRUE"),EXACT(metadata!F63,"FALSE"))))</f>
        <v>0</v>
      </c>
      <c r="AR63" t="b">
        <f>OR(AND(IF(metadata!G63="",FALSE,TRUE),OR(EXACT(metadata!G63,"missing: not collected"),EXACT(metadata!G63,"missing: not provided"),EXACT(metadata!G63,"missing: restricted access"))),AND(IF(metadata!G63="",FALSE,ISNUMBER(VALUE(metadata!G63))),metadata!G63&gt;=-413))</f>
        <v>0</v>
      </c>
      <c r="AS63" t="b">
        <f>AND(IF(metadata!H63="",FALSE,TRUE),EXACT(metadata!H63,"meters"))</f>
        <v>0</v>
      </c>
      <c r="AT63" t="b">
        <f>AND(IF(metadata!I63="",FALSE,TRUE),OR(EXACT(metadata!I63,"Host-associated"),EXACT(metadata!I63,"Free-living")))</f>
        <v>0</v>
      </c>
      <c r="AU63" t="b">
        <f>AND(IF(metadata!J63="",FALSE,TRUE),OR(EXACT(metadata!J63,"Animal"),EXACT(metadata!J63,"Fungus"),EXACT(metadata!J63,"Plant"),EXACT(metadata!J63,"Saline"),EXACT(metadata!J63,"Non-saline")))</f>
        <v>0</v>
      </c>
      <c r="AV63" t="b">
        <f>AND(IF(metadata!K63="",FALSE,TRUE),OR(EXACT(metadata!K63,"Plant secretion"),EXACT(metadata!K63,"Plant rhizosphere"),EXACT(metadata!K63,"Plant surface"),EXACT(metadata!K63,"Plant corpus"),EXACT(metadata!K63,"Fungus surface"),EXACT(metadata!K63,"Fungus corpus"),EXACT(metadata!K63,"Animal surface"),EXACT(metadata!K63,"Animal proximal gut"),EXACT(metadata!K63,"Animal corpus"),EXACT(metadata!K63,"Animal distal gut"),EXACT(metadata!K63,"Animal secretion"),EXACT(metadata!K63,"Sub-surface (non-saline)"),EXACT(metadata!K63,"Surface (non-saline)"),EXACT(metadata!K63,"Water (non-saline)"),EXACT(metadata!K63,"Soil (non-saline)"),EXACT(metadata!K63,"Aerosol (non-saline)"),EXACT(metadata!K63,"Sediment (non-saline)"),EXACT(metadata!K63,"Surface (saline)"),EXACT(metadata!K63,"Water (saline)"),EXACT(metadata!K63,"Hypersaline (saline)"),EXACT(metadata!K63,"Aerosol (saline)"),EXACT(metadata!K63,"Sediment (saline)")))</f>
        <v>0</v>
      </c>
      <c r="AW63" t="b">
        <f>IF(metadata!L63="",FALSE,TRUE)</f>
        <v>0</v>
      </c>
      <c r="AX63" t="b">
        <f>IF(metadata!M63="",FALSE,TRUE)</f>
        <v>0</v>
      </c>
      <c r="AY63" t="b">
        <f>IF(metadata!N63="",FALSE,TRUE)</f>
        <v>0</v>
      </c>
      <c r="AZ63" t="b">
        <f>OR(AND(IF(metadata!O63="",FALSE,TRUE),OR(EXACT(metadata!O63,"missing: not collected"),EXACT(metadata!O63,"missing: not provided"),EXACT(metadata!O63,"missing: restricted access"))),AND(IF(metadata!O63="",FALSE,TRUE),OR(EXACT(metadata!O63,"air"),EXACT(metadata!O63,"built environment"),EXACT(metadata!O63,"host-associated"),EXACT(metadata!O63,"human-associated"),EXACT(metadata!O63,"human-skin"),EXACT(metadata!O63,"human-oral"),EXACT(metadata!O63,"human-gut"),EXACT(metadata!O63,"human-vaginal"),EXACT(metadata!O63,"microbial mat/biofilm"),EXACT(metadata!O63,"misc environment"),EXACT(metadata!O63,"plant-associated"),EXACT(metadata!O63,"sediment"),EXACT(metadata!O63,"soil"),EXACT(metadata!O63,"wastewater/sludge"),EXACT(metadata!O63,"water"))))</f>
        <v>0</v>
      </c>
      <c r="BA63" t="b">
        <f>IF(metadata!P63="",FALSE,TRUE)</f>
        <v>0</v>
      </c>
      <c r="BB63" t="b">
        <f>IF(metadata!Q63="",FALSE,TRUE)</f>
        <v>0</v>
      </c>
      <c r="BC63" t="b">
        <f>OR(AND(IF(metadata!R63="",FALSE,TRUE),OR(EXACT(metadata!R63,"missing: not collected"),EXACT(metadata!R63,"missing: not provided"),EXACT(metadata!R63,"missing: restricted access"))),AND(IF(metadata!R63="",FALSE,ISNUMBER(VALUE(metadata!R63))),metadata!R63&gt;=-90,metadata!R63&lt;=90))</f>
        <v>0</v>
      </c>
      <c r="BD63" t="b">
        <f>AND(IF(metadata!S63="",FALSE,TRUE),EXACT(metadata!S63,"Decimal degrees"))</f>
        <v>0</v>
      </c>
      <c r="BE63" t="b">
        <f>OR(AND(IF(metadata!T63="",FALSE,TRUE),OR(EXACT(metadata!T63,"missing: not collected"),EXACT(metadata!T63,"missing: not provided"),EXACT(metadata!T63,"missing: restricted access"))),AND(IF(metadata!T63="",FALSE,ISNUMBER(VALUE(metadata!T63))),metadata!T63&gt;=-180,metadata!T63&lt;=180))</f>
        <v>0</v>
      </c>
      <c r="BF63" t="b">
        <f>AND(IF(metadata!U63="",FALSE,TRUE),EXACT(metadata!U63,"Decimal degrees"))</f>
        <v>0</v>
      </c>
      <c r="BG63" t="b">
        <f>IF(metadata!V63="",FALSE,TRUE)</f>
        <v>0</v>
      </c>
      <c r="BH63" t="b">
        <f>OR(AND(IF(metadata!W63="",FALSE,TRUE),OR(EXACT(metadata!W63,"missing: not collected"),EXACT(metadata!W63,"missing: not provided"),EXACT(metadata!W63,"missing: restricted access"))),AND(IF(metadata!W63="",FALSE,TRUE),OR(EXACT(metadata!W63,"TRUE"),EXACT(metadata!W63,"FALSE"))))</f>
        <v>0</v>
      </c>
      <c r="BI63" t="b">
        <f>AND(IF(metadata!X63="",FALSE,TRUE),EXACT(metadata!X63,"other"))</f>
        <v>0</v>
      </c>
      <c r="BJ63" t="b">
        <f>IF(metadata!Y63="",FALSE,TRUE)</f>
        <v>0</v>
      </c>
      <c r="BK63" t="b">
        <f>OR(AND(IF(metadata!Z63="",FALSE,TRUE),OR(EXACT(metadata!Z63,"missing: not collected"),EXACT(metadata!Z63,"missing: not provided"))),AND(IF(metadata!Z63="",FALSE,IF(ISERROR(INT(metadata!Z63)),FALSE,INT(metadata!Z63)=metadata!Z63)),metadata!Z63&gt;0))</f>
        <v>0</v>
      </c>
      <c r="BL63" t="b">
        <f>AND(IF(metadata!AA63="",FALSE,TRUE),EXACT(metadata!AA63,"Not applicable"))</f>
        <v>0</v>
      </c>
      <c r="BM63" t="b">
        <f>IF(metadata!AB63="",FALSE,TRUE)</f>
        <v>0</v>
      </c>
    </row>
    <row r="64" spans="1:65" x14ac:dyDescent="0.2">
      <c r="A64" s="5" t="str">
        <f ca="1">IF(B64=" "," ",HYPERLINK(CONCATENATE("#metadata!",ADDRESS(INDEX($AH$2:$AH$1001,MATCH(ROWS($AF$2:AF64),$AF$2:$AF$1001,0),0),1)),INDEX($AK$2:$AK$1001,MATCH(ROWS($AF$2:AF64),$AF$2:$AF$1001,0),0)))</f>
        <v xml:space="preserve"> </v>
      </c>
      <c r="B64" s="4" t="str">
        <f ca="1">IF(OR(INDEX($AG$2:$AG$1001,MATCH(ROWS($AF$2:AF64),$AF$2:$AF$1001,0),1)&gt;=100000,INDEX($AM$1005:$BM$1005,1,MATCH(COLUMNS($AM$1006:AM1006),$AM$1006:$BM$1006,0))&gt;=100000), " ",IF(INDEX($AM$2:$BM$1001,MATCH(ROWS($AF$2:AF64),$AF$2:$AF$1001,0),MATCH(COLUMNS($AM$1006:AM1006),$AM$1006:$BM$1006,0)), HYPERLINK("#",""), HYPERLINK(CONCATENATE("#metadata!", ADDRESS(INDEX($AH$2:$AH$1001,MATCH(ROWS($AF$2:AF64),$AF$2:$AF$1001,0),0), INDEX($AM$1004:$BM$1004,1,MATCH(COLUMNS($AM$1006:AM1006),$AM$1006:$BM$1006,0)))),"Fix")))</f>
        <v xml:space="preserve"> </v>
      </c>
      <c r="C64" s="4" t="str">
        <f ca="1">IF(OR(INDEX($AG$2:$AG$1001,MATCH(ROWS($AF$2:AF64),$AF$2:$AF$1001,0),1)&gt;=100000,INDEX($AM$1005:$BM$1005,1,MATCH(COLUMNS($AM$1006:AN1006),$AM$1006:$BM$1006,0))&gt;=100000), " ",IF(INDEX($AM$2:$BM$1001,MATCH(ROWS($AF$2:AF64),$AF$2:$AF$1001,0),MATCH(COLUMNS($AM$1006:AN1006),$AM$1006:$BM$1006,0)), HYPERLINK("#",""), HYPERLINK(CONCATENATE("#metadata!", ADDRESS(INDEX($AH$2:$AH$1001,MATCH(ROWS($AF$2:AF64),$AF$2:$AF$1001,0),0), INDEX($AM$1004:$BM$1004,1,MATCH(COLUMNS($AM$1006:AN1006),$AM$1006:$BM$1006,0)))),"Fix")))</f>
        <v xml:space="preserve"> </v>
      </c>
      <c r="D64" s="4" t="str">
        <f ca="1">IF(OR(INDEX($AG$2:$AG$1001,MATCH(ROWS($AF$2:AF64),$AF$2:$AF$1001,0),1)&gt;=100000,INDEX($AM$1005:$BM$1005,1,MATCH(COLUMNS($AM$1006:AO1006),$AM$1006:$BM$1006,0))&gt;=100000), " ",IF(INDEX($AM$2:$BM$1001,MATCH(ROWS($AF$2:AF64),$AF$2:$AF$1001,0),MATCH(COLUMNS($AM$1006:AO1006),$AM$1006:$BM$1006,0)), HYPERLINK("#",""), HYPERLINK(CONCATENATE("#metadata!", ADDRESS(INDEX($AH$2:$AH$1001,MATCH(ROWS($AF$2:AF64),$AF$2:$AF$1001,0),0), INDEX($AM$1004:$BM$1004,1,MATCH(COLUMNS($AM$1006:AO1006),$AM$1006:$BM$1006,0)))),"Fix")))</f>
        <v xml:space="preserve"> </v>
      </c>
      <c r="E64" s="4" t="str">
        <f ca="1">IF(OR(INDEX($AG$2:$AG$1001,MATCH(ROWS($AF$2:AF64),$AF$2:$AF$1001,0),1)&gt;=100000,INDEX($AM$1005:$BM$1005,1,MATCH(COLUMNS($AM$1006:AP1006),$AM$1006:$BM$1006,0))&gt;=100000), " ",IF(INDEX($AM$2:$BM$1001,MATCH(ROWS($AF$2:AF64),$AF$2:$AF$1001,0),MATCH(COLUMNS($AM$1006:AP1006),$AM$1006:$BM$1006,0)), HYPERLINK("#",""), HYPERLINK(CONCATENATE("#metadata!", ADDRESS(INDEX($AH$2:$AH$1001,MATCH(ROWS($AF$2:AF64),$AF$2:$AF$1001,0),0), INDEX($AM$1004:$BM$1004,1,MATCH(COLUMNS($AM$1006:AP1006),$AM$1006:$BM$1006,0)))),"Fix")))</f>
        <v xml:space="preserve"> </v>
      </c>
      <c r="F64" s="4" t="str">
        <f ca="1">IF(OR(INDEX($AG$2:$AG$1001,MATCH(ROWS($AF$2:AF64),$AF$2:$AF$1001,0),1)&gt;=100000,INDEX($AM$1005:$BM$1005,1,MATCH(COLUMNS($AM$1006:AQ1006),$AM$1006:$BM$1006,0))&gt;=100000), " ",IF(INDEX($AM$2:$BM$1001,MATCH(ROWS($AF$2:AF64),$AF$2:$AF$1001,0),MATCH(COLUMNS($AM$1006:AQ1006),$AM$1006:$BM$1006,0)), HYPERLINK("#",""), HYPERLINK(CONCATENATE("#metadata!", ADDRESS(INDEX($AH$2:$AH$1001,MATCH(ROWS($AF$2:AF64),$AF$2:$AF$1001,0),0), INDEX($AM$1004:$BM$1004,1,MATCH(COLUMNS($AM$1006:AQ1006),$AM$1006:$BM$1006,0)))),"Fix")))</f>
        <v xml:space="preserve"> </v>
      </c>
      <c r="G64" s="4" t="str">
        <f ca="1">IF(OR(INDEX($AG$2:$AG$1001,MATCH(ROWS($AF$2:AF64),$AF$2:$AF$1001,0),1)&gt;=100000,INDEX($AM$1005:$BM$1005,1,MATCH(COLUMNS($AM$1006:AR1006),$AM$1006:$BM$1006,0))&gt;=100000), " ",IF(INDEX($AM$2:$BM$1001,MATCH(ROWS($AF$2:AF64),$AF$2:$AF$1001,0),MATCH(COLUMNS($AM$1006:AR1006),$AM$1006:$BM$1006,0)), HYPERLINK("#",""), HYPERLINK(CONCATENATE("#metadata!", ADDRESS(INDEX($AH$2:$AH$1001,MATCH(ROWS($AF$2:AF64),$AF$2:$AF$1001,0),0), INDEX($AM$1004:$BM$1004,1,MATCH(COLUMNS($AM$1006:AR1006),$AM$1006:$BM$1006,0)))),"Fix")))</f>
        <v xml:space="preserve"> </v>
      </c>
      <c r="H64" s="4" t="str">
        <f ca="1">IF(OR(INDEX($AG$2:$AG$1001,MATCH(ROWS($AF$2:AF64),$AF$2:$AF$1001,0),1)&gt;=100000,INDEX($AM$1005:$BM$1005,1,MATCH(COLUMNS($AM$1006:AS1006),$AM$1006:$BM$1006,0))&gt;=100000), " ",IF(INDEX($AM$2:$BM$1001,MATCH(ROWS($AF$2:AF64),$AF$2:$AF$1001,0),MATCH(COLUMNS($AM$1006:AS1006),$AM$1006:$BM$1006,0)), HYPERLINK("#",""), HYPERLINK(CONCATENATE("#metadata!", ADDRESS(INDEX($AH$2:$AH$1001,MATCH(ROWS($AF$2:AF64),$AF$2:$AF$1001,0),0), INDEX($AM$1004:$BM$1004,1,MATCH(COLUMNS($AM$1006:AS1006),$AM$1006:$BM$1006,0)))),"Fix")))</f>
        <v xml:space="preserve"> </v>
      </c>
      <c r="I64" s="4" t="str">
        <f ca="1">IF(OR(INDEX($AG$2:$AG$1001,MATCH(ROWS($AF$2:AF64),$AF$2:$AF$1001,0),1)&gt;=100000,INDEX($AM$1005:$BM$1005,1,MATCH(COLUMNS($AM$1006:AT1006),$AM$1006:$BM$1006,0))&gt;=100000), " ",IF(INDEX($AM$2:$BM$1001,MATCH(ROWS($AF$2:AF64),$AF$2:$AF$1001,0),MATCH(COLUMNS($AM$1006:AT1006),$AM$1006:$BM$1006,0)), HYPERLINK("#",""), HYPERLINK(CONCATENATE("#metadata!", ADDRESS(INDEX($AH$2:$AH$1001,MATCH(ROWS($AF$2:AF64),$AF$2:$AF$1001,0),0), INDEX($AM$1004:$BM$1004,1,MATCH(COLUMNS($AM$1006:AT1006),$AM$1006:$BM$1006,0)))),"Fix")))</f>
        <v xml:space="preserve"> </v>
      </c>
      <c r="J64" s="4" t="str">
        <f ca="1">IF(OR(INDEX($AG$2:$AG$1001,MATCH(ROWS($AF$2:AF64),$AF$2:$AF$1001,0),1)&gt;=100000,INDEX($AM$1005:$BM$1005,1,MATCH(COLUMNS($AM$1006:AU1006),$AM$1006:$BM$1006,0))&gt;=100000), " ",IF(INDEX($AM$2:$BM$1001,MATCH(ROWS($AF$2:AF64),$AF$2:$AF$1001,0),MATCH(COLUMNS($AM$1006:AU1006),$AM$1006:$BM$1006,0)), HYPERLINK("#",""), HYPERLINK(CONCATENATE("#metadata!", ADDRESS(INDEX($AH$2:$AH$1001,MATCH(ROWS($AF$2:AF64),$AF$2:$AF$1001,0),0), INDEX($AM$1004:$BM$1004,1,MATCH(COLUMNS($AM$1006:AU1006),$AM$1006:$BM$1006,0)))),"Fix")))</f>
        <v xml:space="preserve"> </v>
      </c>
      <c r="K64" s="4" t="str">
        <f ca="1">IF(OR(INDEX($AG$2:$AG$1001,MATCH(ROWS($AF$2:AF64),$AF$2:$AF$1001,0),1)&gt;=100000,INDEX($AM$1005:$BM$1005,1,MATCH(COLUMNS($AM$1006:AV1006),$AM$1006:$BM$1006,0))&gt;=100000), " ",IF(INDEX($AM$2:$BM$1001,MATCH(ROWS($AF$2:AF64),$AF$2:$AF$1001,0),MATCH(COLUMNS($AM$1006:AV1006),$AM$1006:$BM$1006,0)), HYPERLINK("#",""), HYPERLINK(CONCATENATE("#metadata!", ADDRESS(INDEX($AH$2:$AH$1001,MATCH(ROWS($AF$2:AF64),$AF$2:$AF$1001,0),0), INDEX($AM$1004:$BM$1004,1,MATCH(COLUMNS($AM$1006:AV1006),$AM$1006:$BM$1006,0)))),"Fix")))</f>
        <v xml:space="preserve"> </v>
      </c>
      <c r="L64" s="4" t="str">
        <f ca="1">IF(OR(INDEX($AG$2:$AG$1001,MATCH(ROWS($AF$2:AF64),$AF$2:$AF$1001,0),1)&gt;=100000,INDEX($AM$1005:$BM$1005,1,MATCH(COLUMNS($AM$1006:AW1006),$AM$1006:$BM$1006,0))&gt;=100000), " ",IF(INDEX($AM$2:$BM$1001,MATCH(ROWS($AF$2:AF64),$AF$2:$AF$1001,0),MATCH(COLUMNS($AM$1006:AW1006),$AM$1006:$BM$1006,0)), HYPERLINK("#",""), HYPERLINK(CONCATENATE("#metadata!", ADDRESS(INDEX($AH$2:$AH$1001,MATCH(ROWS($AF$2:AF64),$AF$2:$AF$1001,0),0), INDEX($AM$1004:$BM$1004,1,MATCH(COLUMNS($AM$1006:AW1006),$AM$1006:$BM$1006,0)))),"Fix")))</f>
        <v xml:space="preserve"> </v>
      </c>
      <c r="M64" s="4" t="str">
        <f ca="1">IF(OR(INDEX($AG$2:$AG$1001,MATCH(ROWS($AF$2:AF64),$AF$2:$AF$1001,0),1)&gt;=100000,INDEX($AM$1005:$BM$1005,1,MATCH(COLUMNS($AM$1006:AX1006),$AM$1006:$BM$1006,0))&gt;=100000), " ",IF(INDEX($AM$2:$BM$1001,MATCH(ROWS($AF$2:AF64),$AF$2:$AF$1001,0),MATCH(COLUMNS($AM$1006:AX1006),$AM$1006:$BM$1006,0)), HYPERLINK("#",""), HYPERLINK(CONCATENATE("#metadata!", ADDRESS(INDEX($AH$2:$AH$1001,MATCH(ROWS($AF$2:AF64),$AF$2:$AF$1001,0),0), INDEX($AM$1004:$BM$1004,1,MATCH(COLUMNS($AM$1006:AX1006),$AM$1006:$BM$1006,0)))),"Fix")))</f>
        <v xml:space="preserve"> </v>
      </c>
      <c r="N64" s="4" t="str">
        <f ca="1">IF(OR(INDEX($AG$2:$AG$1001,MATCH(ROWS($AF$2:AF64),$AF$2:$AF$1001,0),1)&gt;=100000,INDEX($AM$1005:$BM$1005,1,MATCH(COLUMNS($AM$1006:AY1006),$AM$1006:$BM$1006,0))&gt;=100000), " ",IF(INDEX($AM$2:$BM$1001,MATCH(ROWS($AF$2:AF64),$AF$2:$AF$1001,0),MATCH(COLUMNS($AM$1006:AY1006),$AM$1006:$BM$1006,0)), HYPERLINK("#",""), HYPERLINK(CONCATENATE("#metadata!", ADDRESS(INDEX($AH$2:$AH$1001,MATCH(ROWS($AF$2:AF64),$AF$2:$AF$1001,0),0), INDEX($AM$1004:$BM$1004,1,MATCH(COLUMNS($AM$1006:AY1006),$AM$1006:$BM$1006,0)))),"Fix")))</f>
        <v xml:space="preserve"> </v>
      </c>
      <c r="O64" s="4" t="str">
        <f ca="1">IF(OR(INDEX($AG$2:$AG$1001,MATCH(ROWS($AF$2:AF64),$AF$2:$AF$1001,0),1)&gt;=100000,INDEX($AM$1005:$BM$1005,1,MATCH(COLUMNS($AM$1006:AZ1006),$AM$1006:$BM$1006,0))&gt;=100000), " ",IF(INDEX($AM$2:$BM$1001,MATCH(ROWS($AF$2:AF64),$AF$2:$AF$1001,0),MATCH(COLUMNS($AM$1006:AZ1006),$AM$1006:$BM$1006,0)), HYPERLINK("#",""), HYPERLINK(CONCATENATE("#metadata!", ADDRESS(INDEX($AH$2:$AH$1001,MATCH(ROWS($AF$2:AF64),$AF$2:$AF$1001,0),0), INDEX($AM$1004:$BM$1004,1,MATCH(COLUMNS($AM$1006:AZ1006),$AM$1006:$BM$1006,0)))),"Fix")))</f>
        <v xml:space="preserve"> </v>
      </c>
      <c r="P64" s="4" t="str">
        <f ca="1">IF(OR(INDEX($AG$2:$AG$1001,MATCH(ROWS($AF$2:AF64),$AF$2:$AF$1001,0),1)&gt;=100000,INDEX($AM$1005:$BM$1005,1,MATCH(COLUMNS($AM$1006:BA1006),$AM$1006:$BM$1006,0))&gt;=100000), " ",IF(INDEX($AM$2:$BM$1001,MATCH(ROWS($AF$2:AF64),$AF$2:$AF$1001,0),MATCH(COLUMNS($AM$1006:BA1006),$AM$1006:$BM$1006,0)), HYPERLINK("#",""), HYPERLINK(CONCATENATE("#metadata!", ADDRESS(INDEX($AH$2:$AH$1001,MATCH(ROWS($AF$2:AF64),$AF$2:$AF$1001,0),0), INDEX($AM$1004:$BM$1004,1,MATCH(COLUMNS($AM$1006:BA1006),$AM$1006:$BM$1006,0)))),"Fix")))</f>
        <v xml:space="preserve"> </v>
      </c>
      <c r="Q64" s="4" t="str">
        <f ca="1">IF(OR(INDEX($AG$2:$AG$1001,MATCH(ROWS($AF$2:AF64),$AF$2:$AF$1001,0),1)&gt;=100000,INDEX($AM$1005:$BM$1005,1,MATCH(COLUMNS($AM$1006:BB1006),$AM$1006:$BM$1006,0))&gt;=100000), " ",IF(INDEX($AM$2:$BM$1001,MATCH(ROWS($AF$2:AF64),$AF$2:$AF$1001,0),MATCH(COLUMNS($AM$1006:BB1006),$AM$1006:$BM$1006,0)), HYPERLINK("#",""), HYPERLINK(CONCATENATE("#metadata!", ADDRESS(INDEX($AH$2:$AH$1001,MATCH(ROWS($AF$2:AF64),$AF$2:$AF$1001,0),0), INDEX($AM$1004:$BM$1004,1,MATCH(COLUMNS($AM$1006:BB1006),$AM$1006:$BM$1006,0)))),"Fix")))</f>
        <v xml:space="preserve"> </v>
      </c>
      <c r="R64" s="4" t="str">
        <f ca="1">IF(OR(INDEX($AG$2:$AG$1001,MATCH(ROWS($AF$2:AF64),$AF$2:$AF$1001,0),1)&gt;=100000,INDEX($AM$1005:$BM$1005,1,MATCH(COLUMNS($AM$1006:BC1006),$AM$1006:$BM$1006,0))&gt;=100000), " ",IF(INDEX($AM$2:$BM$1001,MATCH(ROWS($AF$2:AF64),$AF$2:$AF$1001,0),MATCH(COLUMNS($AM$1006:BC1006),$AM$1006:$BM$1006,0)), HYPERLINK("#",""), HYPERLINK(CONCATENATE("#metadata!", ADDRESS(INDEX($AH$2:$AH$1001,MATCH(ROWS($AF$2:AF64),$AF$2:$AF$1001,0),0), INDEX($AM$1004:$BM$1004,1,MATCH(COLUMNS($AM$1006:BC1006),$AM$1006:$BM$1006,0)))),"Fix")))</f>
        <v xml:space="preserve"> </v>
      </c>
      <c r="S64" s="4" t="str">
        <f ca="1">IF(OR(INDEX($AG$2:$AG$1001,MATCH(ROWS($AF$2:AF64),$AF$2:$AF$1001,0),1)&gt;=100000,INDEX($AM$1005:$BM$1005,1,MATCH(COLUMNS($AM$1006:BD1006),$AM$1006:$BM$1006,0))&gt;=100000), " ",IF(INDEX($AM$2:$BM$1001,MATCH(ROWS($AF$2:AF64),$AF$2:$AF$1001,0),MATCH(COLUMNS($AM$1006:BD1006),$AM$1006:$BM$1006,0)), HYPERLINK("#",""), HYPERLINK(CONCATENATE("#metadata!", ADDRESS(INDEX($AH$2:$AH$1001,MATCH(ROWS($AF$2:AF64),$AF$2:$AF$1001,0),0), INDEX($AM$1004:$BM$1004,1,MATCH(COLUMNS($AM$1006:BD1006),$AM$1006:$BM$1006,0)))),"Fix")))</f>
        <v xml:space="preserve"> </v>
      </c>
      <c r="T64" s="4" t="str">
        <f ca="1">IF(OR(INDEX($AG$2:$AG$1001,MATCH(ROWS($AF$2:AF64),$AF$2:$AF$1001,0),1)&gt;=100000,INDEX($AM$1005:$BM$1005,1,MATCH(COLUMNS($AM$1006:BE1006),$AM$1006:$BM$1006,0))&gt;=100000), " ",IF(INDEX($AM$2:$BM$1001,MATCH(ROWS($AF$2:AF64),$AF$2:$AF$1001,0),MATCH(COLUMNS($AM$1006:BE1006),$AM$1006:$BM$1006,0)), HYPERLINK("#",""), HYPERLINK(CONCATENATE("#metadata!", ADDRESS(INDEX($AH$2:$AH$1001,MATCH(ROWS($AF$2:AF64),$AF$2:$AF$1001,0),0), INDEX($AM$1004:$BM$1004,1,MATCH(COLUMNS($AM$1006:BE1006),$AM$1006:$BM$1006,0)))),"Fix")))</f>
        <v xml:space="preserve"> </v>
      </c>
      <c r="U64" s="4" t="str">
        <f ca="1">IF(OR(INDEX($AG$2:$AG$1001,MATCH(ROWS($AF$2:AF64),$AF$2:$AF$1001,0),1)&gt;=100000,INDEX($AM$1005:$BM$1005,1,MATCH(COLUMNS($AM$1006:BF1006),$AM$1006:$BM$1006,0))&gt;=100000), " ",IF(INDEX($AM$2:$BM$1001,MATCH(ROWS($AF$2:AF64),$AF$2:$AF$1001,0),MATCH(COLUMNS($AM$1006:BF1006),$AM$1006:$BM$1006,0)), HYPERLINK("#",""), HYPERLINK(CONCATENATE("#metadata!", ADDRESS(INDEX($AH$2:$AH$1001,MATCH(ROWS($AF$2:AF64),$AF$2:$AF$1001,0),0), INDEX($AM$1004:$BM$1004,1,MATCH(COLUMNS($AM$1006:BF1006),$AM$1006:$BM$1006,0)))),"Fix")))</f>
        <v xml:space="preserve"> </v>
      </c>
      <c r="V64" s="4" t="str">
        <f ca="1">IF(OR(INDEX($AG$2:$AG$1001,MATCH(ROWS($AF$2:AF64),$AF$2:$AF$1001,0),1)&gt;=100000,INDEX($AM$1005:$BM$1005,1,MATCH(COLUMNS($AM$1006:BG1006),$AM$1006:$BM$1006,0))&gt;=100000), " ",IF(INDEX($AM$2:$BM$1001,MATCH(ROWS($AF$2:AF64),$AF$2:$AF$1001,0),MATCH(COLUMNS($AM$1006:BG1006),$AM$1006:$BM$1006,0)), HYPERLINK("#",""), HYPERLINK(CONCATENATE("#metadata!", ADDRESS(INDEX($AH$2:$AH$1001,MATCH(ROWS($AF$2:AF64),$AF$2:$AF$1001,0),0), INDEX($AM$1004:$BM$1004,1,MATCH(COLUMNS($AM$1006:BG1006),$AM$1006:$BM$1006,0)))),"Fix")))</f>
        <v xml:space="preserve"> </v>
      </c>
      <c r="W64" s="4" t="str">
        <f ca="1">IF(OR(INDEX($AG$2:$AG$1001,MATCH(ROWS($AF$2:AF64),$AF$2:$AF$1001,0),1)&gt;=100000,INDEX($AM$1005:$BM$1005,1,MATCH(COLUMNS($AM$1006:BH1006),$AM$1006:$BM$1006,0))&gt;=100000), " ",IF(INDEX($AM$2:$BM$1001,MATCH(ROWS($AF$2:AF64),$AF$2:$AF$1001,0),MATCH(COLUMNS($AM$1006:BH1006),$AM$1006:$BM$1006,0)), HYPERLINK("#",""), HYPERLINK(CONCATENATE("#metadata!", ADDRESS(INDEX($AH$2:$AH$1001,MATCH(ROWS($AF$2:AF64),$AF$2:$AF$1001,0),0), INDEX($AM$1004:$BM$1004,1,MATCH(COLUMNS($AM$1006:BH1006),$AM$1006:$BM$1006,0)))),"Fix")))</f>
        <v xml:space="preserve"> </v>
      </c>
      <c r="X64" s="4" t="str">
        <f ca="1">IF(OR(INDEX($AG$2:$AG$1001,MATCH(ROWS($AF$2:AF64),$AF$2:$AF$1001,0),1)&gt;=100000,INDEX($AM$1005:$BM$1005,1,MATCH(COLUMNS($AM$1006:BI1006),$AM$1006:$BM$1006,0))&gt;=100000), " ",IF(INDEX($AM$2:$BM$1001,MATCH(ROWS($AF$2:AF64),$AF$2:$AF$1001,0),MATCH(COLUMNS($AM$1006:BI1006),$AM$1006:$BM$1006,0)), HYPERLINK("#",""), HYPERLINK(CONCATENATE("#metadata!", ADDRESS(INDEX($AH$2:$AH$1001,MATCH(ROWS($AF$2:AF64),$AF$2:$AF$1001,0),0), INDEX($AM$1004:$BM$1004,1,MATCH(COLUMNS($AM$1006:BI1006),$AM$1006:$BM$1006,0)))),"Fix")))</f>
        <v xml:space="preserve"> </v>
      </c>
      <c r="Y64" s="4" t="str">
        <f ca="1">IF(OR(INDEX($AG$2:$AG$1001,MATCH(ROWS($AF$2:AF64),$AF$2:$AF$1001,0),1)&gt;=100000,INDEX($AM$1005:$BM$1005,1,MATCH(COLUMNS($AM$1006:BJ1006),$AM$1006:$BM$1006,0))&gt;=100000), " ",IF(INDEX($AM$2:$BM$1001,MATCH(ROWS($AF$2:AF64),$AF$2:$AF$1001,0),MATCH(COLUMNS($AM$1006:BJ1006),$AM$1006:$BM$1006,0)), HYPERLINK("#",""), HYPERLINK(CONCATENATE("#metadata!", ADDRESS(INDEX($AH$2:$AH$1001,MATCH(ROWS($AF$2:AF64),$AF$2:$AF$1001,0),0), INDEX($AM$1004:$BM$1004,1,MATCH(COLUMNS($AM$1006:BJ1006),$AM$1006:$BM$1006,0)))),"Fix")))</f>
        <v xml:space="preserve"> </v>
      </c>
      <c r="Z64" s="4" t="str">
        <f ca="1">IF(OR(INDEX($AG$2:$AG$1001,MATCH(ROWS($AF$2:AF64),$AF$2:$AF$1001,0),1)&gt;=100000,INDEX($AM$1005:$BM$1005,1,MATCH(COLUMNS($AM$1006:BK1006),$AM$1006:$BM$1006,0))&gt;=100000), " ",IF(INDEX($AM$2:$BM$1001,MATCH(ROWS($AF$2:AF64),$AF$2:$AF$1001,0),MATCH(COLUMNS($AM$1006:BK1006),$AM$1006:$BM$1006,0)), HYPERLINK("#",""), HYPERLINK(CONCATENATE("#metadata!", ADDRESS(INDEX($AH$2:$AH$1001,MATCH(ROWS($AF$2:AF64),$AF$2:$AF$1001,0),0), INDEX($AM$1004:$BM$1004,1,MATCH(COLUMNS($AM$1006:BK1006),$AM$1006:$BM$1006,0)))),"Fix")))</f>
        <v xml:space="preserve"> </v>
      </c>
      <c r="AA64" s="4" t="str">
        <f ca="1">IF(OR(INDEX($AG$2:$AG$1001,MATCH(ROWS($AF$2:AF64),$AF$2:$AF$1001,0),1)&gt;=100000,INDEX($AM$1005:$BM$1005,1,MATCH(COLUMNS($AM$1006:BL1006),$AM$1006:$BM$1006,0))&gt;=100000), " ",IF(INDEX($AM$2:$BM$1001,MATCH(ROWS($AF$2:AF64),$AF$2:$AF$1001,0),MATCH(COLUMNS($AM$1006:BL1006),$AM$1006:$BM$1006,0)), HYPERLINK("#",""), HYPERLINK(CONCATENATE("#metadata!", ADDRESS(INDEX($AH$2:$AH$1001,MATCH(ROWS($AF$2:AF64),$AF$2:$AF$1001,0),0), INDEX($AM$1004:$BM$1004,1,MATCH(COLUMNS($AM$1006:BL1006),$AM$1006:$BM$1006,0)))),"Fix")))</f>
        <v xml:space="preserve"> </v>
      </c>
      <c r="AB64" s="4" t="str">
        <f ca="1">IF(OR(INDEX($AG$2:$AG$1001,MATCH(ROWS($AF$2:AF64),$AF$2:$AF$1001,0),1)&gt;=100000,INDEX($AM$1005:$BM$1005,1,MATCH(COLUMNS($AM$1006:BM1006),$AM$1006:$BM$1006,0))&gt;=100000), " ",IF(INDEX($AM$2:$BM$1001,MATCH(ROWS($AF$2:AF64),$AF$2:$AF$1001,0),MATCH(COLUMNS($AM$1006:BM1006),$AM$1006:$BM$1006,0)), HYPERLINK("#",""), HYPERLINK(CONCATENATE("#metadata!", ADDRESS(INDEX($AH$2:$AH$1001,MATCH(ROWS($AF$2:AF64),$AF$2:$AF$1001,0),0), INDEX($AM$1004:$BM$1004,1,MATCH(COLUMNS($AM$1006:BM1006),$AM$1006:$BM$1006,0)))),"Fix")))</f>
        <v xml:space="preserve"> </v>
      </c>
      <c r="AF64">
        <v>63</v>
      </c>
      <c r="AG64">
        <v>100064</v>
      </c>
      <c r="AH64">
        <v>64</v>
      </c>
      <c r="AI64" t="b">
        <f t="shared" si="0"/>
        <v>1</v>
      </c>
      <c r="AJ64" t="b">
        <f>COUNTBLANK(metadata!B64:AB64)=COLUMNS(metadata!B64:AB64)</f>
        <v>1</v>
      </c>
      <c r="AK64" t="str">
        <v/>
      </c>
      <c r="AM64" t="b">
        <f ca="1">AND(IF(metadata!B64="",FALSE,TRUE),COUNTIF(metadata!B:B, metadata!B64) = 1,NOT(ISERROR(SUMPRODUCT(SEARCH(MID(metadata!B64,ROW(INDIRECT("1:"&amp;LEN(metadata!B64))), 1),"0123456789abcdefghijklmnopqrstuvwxyzABCDEFGHIJKLMNOPQRSTUVWXYZ.")))))</f>
        <v>0</v>
      </c>
      <c r="AN64" t="b">
        <f ca="1">OR(AND(IF(metadata!C64="",FALSE,TRUE),OR(EXACT(metadata!C64,"missing: not collected"),EXACT(metadata!C64,"missing: not provided"),EXACT(metadata!C64,"missing: restricted access"))),AND(IF(metadata!C64="",FALSE,TRUE),AND(AND(IFERROR(INT(LEFT(metadata!C64,4))&gt;1900,FALSE),IFERROR(INT(LEFT(metadata!C64,4))&lt;=YEAR(NOW()),FALSE)), OR(MID(metadata!C64,5,1)="", AND(AND(MID(metadata!C64,5,1)="-",IFERROR(INT(MID(metadata!C64,6,1))&gt;=0,FALSE),IFERROR(INT(MID(metadata!C64,6,1))&lt;=1,FALSE),NOT(MID(metadata!C64,7,1)=""),IFERROR(INT(MID(metadata!C64,6,2))&gt;=1,FALSE),IFERROR(INT(MID(metadata!C64,6,2))&lt;=12,FALSE)), OR(MID(metadata!C64,8,1)="", AND(AND(MID(metadata!C64,8,1)="-",IFERROR(INT(MID(metadata!C64,9,1))&gt;=0,FALSE),IFERROR(INT(MID(metadata!C64,9,1))&lt;=3,FALSE),NOT(MID(metadata!C64,10,1)=""),IFERROR(INT(MID(metadata!C64,9,2))&gt;=1,FALSE),IFERROR(INT(MID(metadata!C64,9,2))&lt;=31,FALSE)), OR(MID(metadata!C64,11,1)="", AND(AND(MID(metadata!C64,11,1)=" ",IFERROR(INT(MID(metadata!C64,12,1))&gt;=0,FALSE),IFERROR(INT(MID(metadata!C64,12,1))&lt;=2,FALSE),NOT(MID(metadata!C64,13,1)=""),IFERROR(INT(MID(metadata!C64,12,2))&gt;=0,FALSE),IFERROR(INT(MID(metadata!C64,12,2))&lt;=23,FALSE)), OR(MID(metadata!C64,14,1)="", AND(AND(MID(metadata!C64,14,1)=":",IFERROR(INT(MID(metadata!C64,15,1))&gt;=0,FALSE),IFERROR(INT(MID(metadata!C64,15,1))&lt;=5,FALSE),NOT(MID(metadata!C64,16,1)=""),IFERROR(INT(MID(metadata!C64,15,2))&gt;=0,FALSE),IFERROR(INT(MID(metadata!C64,15,2))&lt;=59,FALSE)), OR(MID(metadata!C64,17,1)="", AND(AND(MID(metadata!C64,17,1)=":",IFERROR(INT(MID(metadata!C64,18,1))&gt;=0,FALSE),IFERROR(INT(MID(metadata!C64,18,1))&lt;=5,FALSE),NOT(MID(metadata!C64,19,1)=""),IFERROR(INT(MID(metadata!C64,18,2))&gt;=0,FALSE),IFERROR(INT(MID(metadata!C64,18,2))&lt;=59,FALSE)), LEN(metadata!C64)&lt;=19)))))))))))))</f>
        <v>0</v>
      </c>
      <c r="AO64" t="b">
        <f>AND(IF(metadata!D64="",FALSE,TRUE),EXACT(metadata!D64,"Not applicable"))</f>
        <v>0</v>
      </c>
      <c r="AP64" t="b">
        <f>IF(metadata!E64="",FALSE,TRUE)</f>
        <v>0</v>
      </c>
      <c r="AQ64" t="b">
        <f>OR(AND(IF(metadata!F64="",FALSE,TRUE),OR(EXACT(metadata!F64,"missing: not collected"),EXACT(metadata!F64,"missing: not provided"))),AND(IF(metadata!F64="",FALSE,TRUE),OR(EXACT(metadata!F64,"TRUE"),EXACT(metadata!F64,"FALSE"))))</f>
        <v>0</v>
      </c>
      <c r="AR64" t="b">
        <f>OR(AND(IF(metadata!G64="",FALSE,TRUE),OR(EXACT(metadata!G64,"missing: not collected"),EXACT(metadata!G64,"missing: not provided"),EXACT(metadata!G64,"missing: restricted access"))),AND(IF(metadata!G64="",FALSE,ISNUMBER(VALUE(metadata!G64))),metadata!G64&gt;=-413))</f>
        <v>0</v>
      </c>
      <c r="AS64" t="b">
        <f>AND(IF(metadata!H64="",FALSE,TRUE),EXACT(metadata!H64,"meters"))</f>
        <v>0</v>
      </c>
      <c r="AT64" t="b">
        <f>AND(IF(metadata!I64="",FALSE,TRUE),OR(EXACT(metadata!I64,"Host-associated"),EXACT(metadata!I64,"Free-living")))</f>
        <v>0</v>
      </c>
      <c r="AU64" t="b">
        <f>AND(IF(metadata!J64="",FALSE,TRUE),OR(EXACT(metadata!J64,"Animal"),EXACT(metadata!J64,"Fungus"),EXACT(metadata!J64,"Plant"),EXACT(metadata!J64,"Saline"),EXACT(metadata!J64,"Non-saline")))</f>
        <v>0</v>
      </c>
      <c r="AV64" t="b">
        <f>AND(IF(metadata!K64="",FALSE,TRUE),OR(EXACT(metadata!K64,"Plant secretion"),EXACT(metadata!K64,"Plant rhizosphere"),EXACT(metadata!K64,"Plant surface"),EXACT(metadata!K64,"Plant corpus"),EXACT(metadata!K64,"Fungus surface"),EXACT(metadata!K64,"Fungus corpus"),EXACT(metadata!K64,"Animal surface"),EXACT(metadata!K64,"Animal proximal gut"),EXACT(metadata!K64,"Animal corpus"),EXACT(metadata!K64,"Animal distal gut"),EXACT(metadata!K64,"Animal secretion"),EXACT(metadata!K64,"Sub-surface (non-saline)"),EXACT(metadata!K64,"Surface (non-saline)"),EXACT(metadata!K64,"Water (non-saline)"),EXACT(metadata!K64,"Soil (non-saline)"),EXACT(metadata!K64,"Aerosol (non-saline)"),EXACT(metadata!K64,"Sediment (non-saline)"),EXACT(metadata!K64,"Surface (saline)"),EXACT(metadata!K64,"Water (saline)"),EXACT(metadata!K64,"Hypersaline (saline)"),EXACT(metadata!K64,"Aerosol (saline)"),EXACT(metadata!K64,"Sediment (saline)")))</f>
        <v>0</v>
      </c>
      <c r="AW64" t="b">
        <f>IF(metadata!L64="",FALSE,TRUE)</f>
        <v>0</v>
      </c>
      <c r="AX64" t="b">
        <f>IF(metadata!M64="",FALSE,TRUE)</f>
        <v>0</v>
      </c>
      <c r="AY64" t="b">
        <f>IF(metadata!N64="",FALSE,TRUE)</f>
        <v>0</v>
      </c>
      <c r="AZ64" t="b">
        <f>OR(AND(IF(metadata!O64="",FALSE,TRUE),OR(EXACT(metadata!O64,"missing: not collected"),EXACT(metadata!O64,"missing: not provided"),EXACT(metadata!O64,"missing: restricted access"))),AND(IF(metadata!O64="",FALSE,TRUE),OR(EXACT(metadata!O64,"air"),EXACT(metadata!O64,"built environment"),EXACT(metadata!O64,"host-associated"),EXACT(metadata!O64,"human-associated"),EXACT(metadata!O64,"human-skin"),EXACT(metadata!O64,"human-oral"),EXACT(metadata!O64,"human-gut"),EXACT(metadata!O64,"human-vaginal"),EXACT(metadata!O64,"microbial mat/biofilm"),EXACT(metadata!O64,"misc environment"),EXACT(metadata!O64,"plant-associated"),EXACT(metadata!O64,"sediment"),EXACT(metadata!O64,"soil"),EXACT(metadata!O64,"wastewater/sludge"),EXACT(metadata!O64,"water"))))</f>
        <v>0</v>
      </c>
      <c r="BA64" t="b">
        <f>IF(metadata!P64="",FALSE,TRUE)</f>
        <v>0</v>
      </c>
      <c r="BB64" t="b">
        <f>IF(metadata!Q64="",FALSE,TRUE)</f>
        <v>0</v>
      </c>
      <c r="BC64" t="b">
        <f>OR(AND(IF(metadata!R64="",FALSE,TRUE),OR(EXACT(metadata!R64,"missing: not collected"),EXACT(metadata!R64,"missing: not provided"),EXACT(metadata!R64,"missing: restricted access"))),AND(IF(metadata!R64="",FALSE,ISNUMBER(VALUE(metadata!R64))),metadata!R64&gt;=-90,metadata!R64&lt;=90))</f>
        <v>0</v>
      </c>
      <c r="BD64" t="b">
        <f>AND(IF(metadata!S64="",FALSE,TRUE),EXACT(metadata!S64,"Decimal degrees"))</f>
        <v>0</v>
      </c>
      <c r="BE64" t="b">
        <f>OR(AND(IF(metadata!T64="",FALSE,TRUE),OR(EXACT(metadata!T64,"missing: not collected"),EXACT(metadata!T64,"missing: not provided"),EXACT(metadata!T64,"missing: restricted access"))),AND(IF(metadata!T64="",FALSE,ISNUMBER(VALUE(metadata!T64))),metadata!T64&gt;=-180,metadata!T64&lt;=180))</f>
        <v>0</v>
      </c>
      <c r="BF64" t="b">
        <f>AND(IF(metadata!U64="",FALSE,TRUE),EXACT(metadata!U64,"Decimal degrees"))</f>
        <v>0</v>
      </c>
      <c r="BG64" t="b">
        <f>IF(metadata!V64="",FALSE,TRUE)</f>
        <v>0</v>
      </c>
      <c r="BH64" t="b">
        <f>OR(AND(IF(metadata!W64="",FALSE,TRUE),OR(EXACT(metadata!W64,"missing: not collected"),EXACT(metadata!W64,"missing: not provided"),EXACT(metadata!W64,"missing: restricted access"))),AND(IF(metadata!W64="",FALSE,TRUE),OR(EXACT(metadata!W64,"TRUE"),EXACT(metadata!W64,"FALSE"))))</f>
        <v>0</v>
      </c>
      <c r="BI64" t="b">
        <f>AND(IF(metadata!X64="",FALSE,TRUE),EXACT(metadata!X64,"other"))</f>
        <v>0</v>
      </c>
      <c r="BJ64" t="b">
        <f>IF(metadata!Y64="",FALSE,TRUE)</f>
        <v>0</v>
      </c>
      <c r="BK64" t="b">
        <f>OR(AND(IF(metadata!Z64="",FALSE,TRUE),OR(EXACT(metadata!Z64,"missing: not collected"),EXACT(metadata!Z64,"missing: not provided"))),AND(IF(metadata!Z64="",FALSE,IF(ISERROR(INT(metadata!Z64)),FALSE,INT(metadata!Z64)=metadata!Z64)),metadata!Z64&gt;0))</f>
        <v>0</v>
      </c>
      <c r="BL64" t="b">
        <f>AND(IF(metadata!AA64="",FALSE,TRUE),EXACT(metadata!AA64,"Not applicable"))</f>
        <v>0</v>
      </c>
      <c r="BM64" t="b">
        <f>IF(metadata!AB64="",FALSE,TRUE)</f>
        <v>0</v>
      </c>
    </row>
    <row r="65" spans="1:65" x14ac:dyDescent="0.2">
      <c r="A65" s="5" t="str">
        <f ca="1">IF(B65=" "," ",HYPERLINK(CONCATENATE("#metadata!",ADDRESS(INDEX($AH$2:$AH$1001,MATCH(ROWS($AF$2:AF65),$AF$2:$AF$1001,0),0),1)),INDEX($AK$2:$AK$1001,MATCH(ROWS($AF$2:AF65),$AF$2:$AF$1001,0),0)))</f>
        <v xml:space="preserve"> </v>
      </c>
      <c r="B65" s="4" t="str">
        <f ca="1">IF(OR(INDEX($AG$2:$AG$1001,MATCH(ROWS($AF$2:AF65),$AF$2:$AF$1001,0),1)&gt;=100000,INDEX($AM$1005:$BM$1005,1,MATCH(COLUMNS($AM$1006:AM1006),$AM$1006:$BM$1006,0))&gt;=100000), " ",IF(INDEX($AM$2:$BM$1001,MATCH(ROWS($AF$2:AF65),$AF$2:$AF$1001,0),MATCH(COLUMNS($AM$1006:AM1006),$AM$1006:$BM$1006,0)), HYPERLINK("#",""), HYPERLINK(CONCATENATE("#metadata!", ADDRESS(INDEX($AH$2:$AH$1001,MATCH(ROWS($AF$2:AF65),$AF$2:$AF$1001,0),0), INDEX($AM$1004:$BM$1004,1,MATCH(COLUMNS($AM$1006:AM1006),$AM$1006:$BM$1006,0)))),"Fix")))</f>
        <v xml:space="preserve"> </v>
      </c>
      <c r="C65" s="4" t="str">
        <f ca="1">IF(OR(INDEX($AG$2:$AG$1001,MATCH(ROWS($AF$2:AF65),$AF$2:$AF$1001,0),1)&gt;=100000,INDEX($AM$1005:$BM$1005,1,MATCH(COLUMNS($AM$1006:AN1006),$AM$1006:$BM$1006,0))&gt;=100000), " ",IF(INDEX($AM$2:$BM$1001,MATCH(ROWS($AF$2:AF65),$AF$2:$AF$1001,0),MATCH(COLUMNS($AM$1006:AN1006),$AM$1006:$BM$1006,0)), HYPERLINK("#",""), HYPERLINK(CONCATENATE("#metadata!", ADDRESS(INDEX($AH$2:$AH$1001,MATCH(ROWS($AF$2:AF65),$AF$2:$AF$1001,0),0), INDEX($AM$1004:$BM$1004,1,MATCH(COLUMNS($AM$1006:AN1006),$AM$1006:$BM$1006,0)))),"Fix")))</f>
        <v xml:space="preserve"> </v>
      </c>
      <c r="D65" s="4" t="str">
        <f ca="1">IF(OR(INDEX($AG$2:$AG$1001,MATCH(ROWS($AF$2:AF65),$AF$2:$AF$1001,0),1)&gt;=100000,INDEX($AM$1005:$BM$1005,1,MATCH(COLUMNS($AM$1006:AO1006),$AM$1006:$BM$1006,0))&gt;=100000), " ",IF(INDEX($AM$2:$BM$1001,MATCH(ROWS($AF$2:AF65),$AF$2:$AF$1001,0),MATCH(COLUMNS($AM$1006:AO1006),$AM$1006:$BM$1006,0)), HYPERLINK("#",""), HYPERLINK(CONCATENATE("#metadata!", ADDRESS(INDEX($AH$2:$AH$1001,MATCH(ROWS($AF$2:AF65),$AF$2:$AF$1001,0),0), INDEX($AM$1004:$BM$1004,1,MATCH(COLUMNS($AM$1006:AO1006),$AM$1006:$BM$1006,0)))),"Fix")))</f>
        <v xml:space="preserve"> </v>
      </c>
      <c r="E65" s="4" t="str">
        <f ca="1">IF(OR(INDEX($AG$2:$AG$1001,MATCH(ROWS($AF$2:AF65),$AF$2:$AF$1001,0),1)&gt;=100000,INDEX($AM$1005:$BM$1005,1,MATCH(COLUMNS($AM$1006:AP1006),$AM$1006:$BM$1006,0))&gt;=100000), " ",IF(INDEX($AM$2:$BM$1001,MATCH(ROWS($AF$2:AF65),$AF$2:$AF$1001,0),MATCH(COLUMNS($AM$1006:AP1006),$AM$1006:$BM$1006,0)), HYPERLINK("#",""), HYPERLINK(CONCATENATE("#metadata!", ADDRESS(INDEX($AH$2:$AH$1001,MATCH(ROWS($AF$2:AF65),$AF$2:$AF$1001,0),0), INDEX($AM$1004:$BM$1004,1,MATCH(COLUMNS($AM$1006:AP1006),$AM$1006:$BM$1006,0)))),"Fix")))</f>
        <v xml:space="preserve"> </v>
      </c>
      <c r="F65" s="4" t="str">
        <f ca="1">IF(OR(INDEX($AG$2:$AG$1001,MATCH(ROWS($AF$2:AF65),$AF$2:$AF$1001,0),1)&gt;=100000,INDEX($AM$1005:$BM$1005,1,MATCH(COLUMNS($AM$1006:AQ1006),$AM$1006:$BM$1006,0))&gt;=100000), " ",IF(INDEX($AM$2:$BM$1001,MATCH(ROWS($AF$2:AF65),$AF$2:$AF$1001,0),MATCH(COLUMNS($AM$1006:AQ1006),$AM$1006:$BM$1006,0)), HYPERLINK("#",""), HYPERLINK(CONCATENATE("#metadata!", ADDRESS(INDEX($AH$2:$AH$1001,MATCH(ROWS($AF$2:AF65),$AF$2:$AF$1001,0),0), INDEX($AM$1004:$BM$1004,1,MATCH(COLUMNS($AM$1006:AQ1006),$AM$1006:$BM$1006,0)))),"Fix")))</f>
        <v xml:space="preserve"> </v>
      </c>
      <c r="G65" s="4" t="str">
        <f ca="1">IF(OR(INDEX($AG$2:$AG$1001,MATCH(ROWS($AF$2:AF65),$AF$2:$AF$1001,0),1)&gt;=100000,INDEX($AM$1005:$BM$1005,1,MATCH(COLUMNS($AM$1006:AR1006),$AM$1006:$BM$1006,0))&gt;=100000), " ",IF(INDEX($AM$2:$BM$1001,MATCH(ROWS($AF$2:AF65),$AF$2:$AF$1001,0),MATCH(COLUMNS($AM$1006:AR1006),$AM$1006:$BM$1006,0)), HYPERLINK("#",""), HYPERLINK(CONCATENATE("#metadata!", ADDRESS(INDEX($AH$2:$AH$1001,MATCH(ROWS($AF$2:AF65),$AF$2:$AF$1001,0),0), INDEX($AM$1004:$BM$1004,1,MATCH(COLUMNS($AM$1006:AR1006),$AM$1006:$BM$1006,0)))),"Fix")))</f>
        <v xml:space="preserve"> </v>
      </c>
      <c r="H65" s="4" t="str">
        <f ca="1">IF(OR(INDEX($AG$2:$AG$1001,MATCH(ROWS($AF$2:AF65),$AF$2:$AF$1001,0),1)&gt;=100000,INDEX($AM$1005:$BM$1005,1,MATCH(COLUMNS($AM$1006:AS1006),$AM$1006:$BM$1006,0))&gt;=100000), " ",IF(INDEX($AM$2:$BM$1001,MATCH(ROWS($AF$2:AF65),$AF$2:$AF$1001,0),MATCH(COLUMNS($AM$1006:AS1006),$AM$1006:$BM$1006,0)), HYPERLINK("#",""), HYPERLINK(CONCATENATE("#metadata!", ADDRESS(INDEX($AH$2:$AH$1001,MATCH(ROWS($AF$2:AF65),$AF$2:$AF$1001,0),0), INDEX($AM$1004:$BM$1004,1,MATCH(COLUMNS($AM$1006:AS1006),$AM$1006:$BM$1006,0)))),"Fix")))</f>
        <v xml:space="preserve"> </v>
      </c>
      <c r="I65" s="4" t="str">
        <f ca="1">IF(OR(INDEX($AG$2:$AG$1001,MATCH(ROWS($AF$2:AF65),$AF$2:$AF$1001,0),1)&gt;=100000,INDEX($AM$1005:$BM$1005,1,MATCH(COLUMNS($AM$1006:AT1006),$AM$1006:$BM$1006,0))&gt;=100000), " ",IF(INDEX($AM$2:$BM$1001,MATCH(ROWS($AF$2:AF65),$AF$2:$AF$1001,0),MATCH(COLUMNS($AM$1006:AT1006),$AM$1006:$BM$1006,0)), HYPERLINK("#",""), HYPERLINK(CONCATENATE("#metadata!", ADDRESS(INDEX($AH$2:$AH$1001,MATCH(ROWS($AF$2:AF65),$AF$2:$AF$1001,0),0), INDEX($AM$1004:$BM$1004,1,MATCH(COLUMNS($AM$1006:AT1006),$AM$1006:$BM$1006,0)))),"Fix")))</f>
        <v xml:space="preserve"> </v>
      </c>
      <c r="J65" s="4" t="str">
        <f ca="1">IF(OR(INDEX($AG$2:$AG$1001,MATCH(ROWS($AF$2:AF65),$AF$2:$AF$1001,0),1)&gt;=100000,INDEX($AM$1005:$BM$1005,1,MATCH(COLUMNS($AM$1006:AU1006),$AM$1006:$BM$1006,0))&gt;=100000), " ",IF(INDEX($AM$2:$BM$1001,MATCH(ROWS($AF$2:AF65),$AF$2:$AF$1001,0),MATCH(COLUMNS($AM$1006:AU1006),$AM$1006:$BM$1006,0)), HYPERLINK("#",""), HYPERLINK(CONCATENATE("#metadata!", ADDRESS(INDEX($AH$2:$AH$1001,MATCH(ROWS($AF$2:AF65),$AF$2:$AF$1001,0),0), INDEX($AM$1004:$BM$1004,1,MATCH(COLUMNS($AM$1006:AU1006),$AM$1006:$BM$1006,0)))),"Fix")))</f>
        <v xml:space="preserve"> </v>
      </c>
      <c r="K65" s="4" t="str">
        <f ca="1">IF(OR(INDEX($AG$2:$AG$1001,MATCH(ROWS($AF$2:AF65),$AF$2:$AF$1001,0),1)&gt;=100000,INDEX($AM$1005:$BM$1005,1,MATCH(COLUMNS($AM$1006:AV1006),$AM$1006:$BM$1006,0))&gt;=100000), " ",IF(INDEX($AM$2:$BM$1001,MATCH(ROWS($AF$2:AF65),$AF$2:$AF$1001,0),MATCH(COLUMNS($AM$1006:AV1006),$AM$1006:$BM$1006,0)), HYPERLINK("#",""), HYPERLINK(CONCATENATE("#metadata!", ADDRESS(INDEX($AH$2:$AH$1001,MATCH(ROWS($AF$2:AF65),$AF$2:$AF$1001,0),0), INDEX($AM$1004:$BM$1004,1,MATCH(COLUMNS($AM$1006:AV1006),$AM$1006:$BM$1006,0)))),"Fix")))</f>
        <v xml:space="preserve"> </v>
      </c>
      <c r="L65" s="4" t="str">
        <f ca="1">IF(OR(INDEX($AG$2:$AG$1001,MATCH(ROWS($AF$2:AF65),$AF$2:$AF$1001,0),1)&gt;=100000,INDEX($AM$1005:$BM$1005,1,MATCH(COLUMNS($AM$1006:AW1006),$AM$1006:$BM$1006,0))&gt;=100000), " ",IF(INDEX($AM$2:$BM$1001,MATCH(ROWS($AF$2:AF65),$AF$2:$AF$1001,0),MATCH(COLUMNS($AM$1006:AW1006),$AM$1006:$BM$1006,0)), HYPERLINK("#",""), HYPERLINK(CONCATENATE("#metadata!", ADDRESS(INDEX($AH$2:$AH$1001,MATCH(ROWS($AF$2:AF65),$AF$2:$AF$1001,0),0), INDEX($AM$1004:$BM$1004,1,MATCH(COLUMNS($AM$1006:AW1006),$AM$1006:$BM$1006,0)))),"Fix")))</f>
        <v xml:space="preserve"> </v>
      </c>
      <c r="M65" s="4" t="str">
        <f ca="1">IF(OR(INDEX($AG$2:$AG$1001,MATCH(ROWS($AF$2:AF65),$AF$2:$AF$1001,0),1)&gt;=100000,INDEX($AM$1005:$BM$1005,1,MATCH(COLUMNS($AM$1006:AX1006),$AM$1006:$BM$1006,0))&gt;=100000), " ",IF(INDEX($AM$2:$BM$1001,MATCH(ROWS($AF$2:AF65),$AF$2:$AF$1001,0),MATCH(COLUMNS($AM$1006:AX1006),$AM$1006:$BM$1006,0)), HYPERLINK("#",""), HYPERLINK(CONCATENATE("#metadata!", ADDRESS(INDEX($AH$2:$AH$1001,MATCH(ROWS($AF$2:AF65),$AF$2:$AF$1001,0),0), INDEX($AM$1004:$BM$1004,1,MATCH(COLUMNS($AM$1006:AX1006),$AM$1006:$BM$1006,0)))),"Fix")))</f>
        <v xml:space="preserve"> </v>
      </c>
      <c r="N65" s="4" t="str">
        <f ca="1">IF(OR(INDEX($AG$2:$AG$1001,MATCH(ROWS($AF$2:AF65),$AF$2:$AF$1001,0),1)&gt;=100000,INDEX($AM$1005:$BM$1005,1,MATCH(COLUMNS($AM$1006:AY1006),$AM$1006:$BM$1006,0))&gt;=100000), " ",IF(INDEX($AM$2:$BM$1001,MATCH(ROWS($AF$2:AF65),$AF$2:$AF$1001,0),MATCH(COLUMNS($AM$1006:AY1006),$AM$1006:$BM$1006,0)), HYPERLINK("#",""), HYPERLINK(CONCATENATE("#metadata!", ADDRESS(INDEX($AH$2:$AH$1001,MATCH(ROWS($AF$2:AF65),$AF$2:$AF$1001,0),0), INDEX($AM$1004:$BM$1004,1,MATCH(COLUMNS($AM$1006:AY1006),$AM$1006:$BM$1006,0)))),"Fix")))</f>
        <v xml:space="preserve"> </v>
      </c>
      <c r="O65" s="4" t="str">
        <f ca="1">IF(OR(INDEX($AG$2:$AG$1001,MATCH(ROWS($AF$2:AF65),$AF$2:$AF$1001,0),1)&gt;=100000,INDEX($AM$1005:$BM$1005,1,MATCH(COLUMNS($AM$1006:AZ1006),$AM$1006:$BM$1006,0))&gt;=100000), " ",IF(INDEX($AM$2:$BM$1001,MATCH(ROWS($AF$2:AF65),$AF$2:$AF$1001,0),MATCH(COLUMNS($AM$1006:AZ1006),$AM$1006:$BM$1006,0)), HYPERLINK("#",""), HYPERLINK(CONCATENATE("#metadata!", ADDRESS(INDEX($AH$2:$AH$1001,MATCH(ROWS($AF$2:AF65),$AF$2:$AF$1001,0),0), INDEX($AM$1004:$BM$1004,1,MATCH(COLUMNS($AM$1006:AZ1006),$AM$1006:$BM$1006,0)))),"Fix")))</f>
        <v xml:space="preserve"> </v>
      </c>
      <c r="P65" s="4" t="str">
        <f ca="1">IF(OR(INDEX($AG$2:$AG$1001,MATCH(ROWS($AF$2:AF65),$AF$2:$AF$1001,0),1)&gt;=100000,INDEX($AM$1005:$BM$1005,1,MATCH(COLUMNS($AM$1006:BA1006),$AM$1006:$BM$1006,0))&gt;=100000), " ",IF(INDEX($AM$2:$BM$1001,MATCH(ROWS($AF$2:AF65),$AF$2:$AF$1001,0),MATCH(COLUMNS($AM$1006:BA1006),$AM$1006:$BM$1006,0)), HYPERLINK("#",""), HYPERLINK(CONCATENATE("#metadata!", ADDRESS(INDEX($AH$2:$AH$1001,MATCH(ROWS($AF$2:AF65),$AF$2:$AF$1001,0),0), INDEX($AM$1004:$BM$1004,1,MATCH(COLUMNS($AM$1006:BA1006),$AM$1006:$BM$1006,0)))),"Fix")))</f>
        <v xml:space="preserve"> </v>
      </c>
      <c r="Q65" s="4" t="str">
        <f ca="1">IF(OR(INDEX($AG$2:$AG$1001,MATCH(ROWS($AF$2:AF65),$AF$2:$AF$1001,0),1)&gt;=100000,INDEX($AM$1005:$BM$1005,1,MATCH(COLUMNS($AM$1006:BB1006),$AM$1006:$BM$1006,0))&gt;=100000), " ",IF(INDEX($AM$2:$BM$1001,MATCH(ROWS($AF$2:AF65),$AF$2:$AF$1001,0),MATCH(COLUMNS($AM$1006:BB1006),$AM$1006:$BM$1006,0)), HYPERLINK("#",""), HYPERLINK(CONCATENATE("#metadata!", ADDRESS(INDEX($AH$2:$AH$1001,MATCH(ROWS($AF$2:AF65),$AF$2:$AF$1001,0),0), INDEX($AM$1004:$BM$1004,1,MATCH(COLUMNS($AM$1006:BB1006),$AM$1006:$BM$1006,0)))),"Fix")))</f>
        <v xml:space="preserve"> </v>
      </c>
      <c r="R65" s="4" t="str">
        <f ca="1">IF(OR(INDEX($AG$2:$AG$1001,MATCH(ROWS($AF$2:AF65),$AF$2:$AF$1001,0),1)&gt;=100000,INDEX($AM$1005:$BM$1005,1,MATCH(COLUMNS($AM$1006:BC1006),$AM$1006:$BM$1006,0))&gt;=100000), " ",IF(INDEX($AM$2:$BM$1001,MATCH(ROWS($AF$2:AF65),$AF$2:$AF$1001,0),MATCH(COLUMNS($AM$1006:BC1006),$AM$1006:$BM$1006,0)), HYPERLINK("#",""), HYPERLINK(CONCATENATE("#metadata!", ADDRESS(INDEX($AH$2:$AH$1001,MATCH(ROWS($AF$2:AF65),$AF$2:$AF$1001,0),0), INDEX($AM$1004:$BM$1004,1,MATCH(COLUMNS($AM$1006:BC1006),$AM$1006:$BM$1006,0)))),"Fix")))</f>
        <v xml:space="preserve"> </v>
      </c>
      <c r="S65" s="4" t="str">
        <f ca="1">IF(OR(INDEX($AG$2:$AG$1001,MATCH(ROWS($AF$2:AF65),$AF$2:$AF$1001,0),1)&gt;=100000,INDEX($AM$1005:$BM$1005,1,MATCH(COLUMNS($AM$1006:BD1006),$AM$1006:$BM$1006,0))&gt;=100000), " ",IF(INDEX($AM$2:$BM$1001,MATCH(ROWS($AF$2:AF65),$AF$2:$AF$1001,0),MATCH(COLUMNS($AM$1006:BD1006),$AM$1006:$BM$1006,0)), HYPERLINK("#",""), HYPERLINK(CONCATENATE("#metadata!", ADDRESS(INDEX($AH$2:$AH$1001,MATCH(ROWS($AF$2:AF65),$AF$2:$AF$1001,0),0), INDEX($AM$1004:$BM$1004,1,MATCH(COLUMNS($AM$1006:BD1006),$AM$1006:$BM$1006,0)))),"Fix")))</f>
        <v xml:space="preserve"> </v>
      </c>
      <c r="T65" s="4" t="str">
        <f ca="1">IF(OR(INDEX($AG$2:$AG$1001,MATCH(ROWS($AF$2:AF65),$AF$2:$AF$1001,0),1)&gt;=100000,INDEX($AM$1005:$BM$1005,1,MATCH(COLUMNS($AM$1006:BE1006),$AM$1006:$BM$1006,0))&gt;=100000), " ",IF(INDEX($AM$2:$BM$1001,MATCH(ROWS($AF$2:AF65),$AF$2:$AF$1001,0),MATCH(COLUMNS($AM$1006:BE1006),$AM$1006:$BM$1006,0)), HYPERLINK("#",""), HYPERLINK(CONCATENATE("#metadata!", ADDRESS(INDEX($AH$2:$AH$1001,MATCH(ROWS($AF$2:AF65),$AF$2:$AF$1001,0),0), INDEX($AM$1004:$BM$1004,1,MATCH(COLUMNS($AM$1006:BE1006),$AM$1006:$BM$1006,0)))),"Fix")))</f>
        <v xml:space="preserve"> </v>
      </c>
      <c r="U65" s="4" t="str">
        <f ca="1">IF(OR(INDEX($AG$2:$AG$1001,MATCH(ROWS($AF$2:AF65),$AF$2:$AF$1001,0),1)&gt;=100000,INDEX($AM$1005:$BM$1005,1,MATCH(COLUMNS($AM$1006:BF1006),$AM$1006:$BM$1006,0))&gt;=100000), " ",IF(INDEX($AM$2:$BM$1001,MATCH(ROWS($AF$2:AF65),$AF$2:$AF$1001,0),MATCH(COLUMNS($AM$1006:BF1006),$AM$1006:$BM$1006,0)), HYPERLINK("#",""), HYPERLINK(CONCATENATE("#metadata!", ADDRESS(INDEX($AH$2:$AH$1001,MATCH(ROWS($AF$2:AF65),$AF$2:$AF$1001,0),0), INDEX($AM$1004:$BM$1004,1,MATCH(COLUMNS($AM$1006:BF1006),$AM$1006:$BM$1006,0)))),"Fix")))</f>
        <v xml:space="preserve"> </v>
      </c>
      <c r="V65" s="4" t="str">
        <f ca="1">IF(OR(INDEX($AG$2:$AG$1001,MATCH(ROWS($AF$2:AF65),$AF$2:$AF$1001,0),1)&gt;=100000,INDEX($AM$1005:$BM$1005,1,MATCH(COLUMNS($AM$1006:BG1006),$AM$1006:$BM$1006,0))&gt;=100000), " ",IF(INDEX($AM$2:$BM$1001,MATCH(ROWS($AF$2:AF65),$AF$2:$AF$1001,0),MATCH(COLUMNS($AM$1006:BG1006),$AM$1006:$BM$1006,0)), HYPERLINK("#",""), HYPERLINK(CONCATENATE("#metadata!", ADDRESS(INDEX($AH$2:$AH$1001,MATCH(ROWS($AF$2:AF65),$AF$2:$AF$1001,0),0), INDEX($AM$1004:$BM$1004,1,MATCH(COLUMNS($AM$1006:BG1006),$AM$1006:$BM$1006,0)))),"Fix")))</f>
        <v xml:space="preserve"> </v>
      </c>
      <c r="W65" s="4" t="str">
        <f ca="1">IF(OR(INDEX($AG$2:$AG$1001,MATCH(ROWS($AF$2:AF65),$AF$2:$AF$1001,0),1)&gt;=100000,INDEX($AM$1005:$BM$1005,1,MATCH(COLUMNS($AM$1006:BH1006),$AM$1006:$BM$1006,0))&gt;=100000), " ",IF(INDEX($AM$2:$BM$1001,MATCH(ROWS($AF$2:AF65),$AF$2:$AF$1001,0),MATCH(COLUMNS($AM$1006:BH1006),$AM$1006:$BM$1006,0)), HYPERLINK("#",""), HYPERLINK(CONCATENATE("#metadata!", ADDRESS(INDEX($AH$2:$AH$1001,MATCH(ROWS($AF$2:AF65),$AF$2:$AF$1001,0),0), INDEX($AM$1004:$BM$1004,1,MATCH(COLUMNS($AM$1006:BH1006),$AM$1006:$BM$1006,0)))),"Fix")))</f>
        <v xml:space="preserve"> </v>
      </c>
      <c r="X65" s="4" t="str">
        <f ca="1">IF(OR(INDEX($AG$2:$AG$1001,MATCH(ROWS($AF$2:AF65),$AF$2:$AF$1001,0),1)&gt;=100000,INDEX($AM$1005:$BM$1005,1,MATCH(COLUMNS($AM$1006:BI1006),$AM$1006:$BM$1006,0))&gt;=100000), " ",IF(INDEX($AM$2:$BM$1001,MATCH(ROWS($AF$2:AF65),$AF$2:$AF$1001,0),MATCH(COLUMNS($AM$1006:BI1006),$AM$1006:$BM$1006,0)), HYPERLINK("#",""), HYPERLINK(CONCATENATE("#metadata!", ADDRESS(INDEX($AH$2:$AH$1001,MATCH(ROWS($AF$2:AF65),$AF$2:$AF$1001,0),0), INDEX($AM$1004:$BM$1004,1,MATCH(COLUMNS($AM$1006:BI1006),$AM$1006:$BM$1006,0)))),"Fix")))</f>
        <v xml:space="preserve"> </v>
      </c>
      <c r="Y65" s="4" t="str">
        <f ca="1">IF(OR(INDEX($AG$2:$AG$1001,MATCH(ROWS($AF$2:AF65),$AF$2:$AF$1001,0),1)&gt;=100000,INDEX($AM$1005:$BM$1005,1,MATCH(COLUMNS($AM$1006:BJ1006),$AM$1006:$BM$1006,0))&gt;=100000), " ",IF(INDEX($AM$2:$BM$1001,MATCH(ROWS($AF$2:AF65),$AF$2:$AF$1001,0),MATCH(COLUMNS($AM$1006:BJ1006),$AM$1006:$BM$1006,0)), HYPERLINK("#",""), HYPERLINK(CONCATENATE("#metadata!", ADDRESS(INDEX($AH$2:$AH$1001,MATCH(ROWS($AF$2:AF65),$AF$2:$AF$1001,0),0), INDEX($AM$1004:$BM$1004,1,MATCH(COLUMNS($AM$1006:BJ1006),$AM$1006:$BM$1006,0)))),"Fix")))</f>
        <v xml:space="preserve"> </v>
      </c>
      <c r="Z65" s="4" t="str">
        <f ca="1">IF(OR(INDEX($AG$2:$AG$1001,MATCH(ROWS($AF$2:AF65),$AF$2:$AF$1001,0),1)&gt;=100000,INDEX($AM$1005:$BM$1005,1,MATCH(COLUMNS($AM$1006:BK1006),$AM$1006:$BM$1006,0))&gt;=100000), " ",IF(INDEX($AM$2:$BM$1001,MATCH(ROWS($AF$2:AF65),$AF$2:$AF$1001,0),MATCH(COLUMNS($AM$1006:BK1006),$AM$1006:$BM$1006,0)), HYPERLINK("#",""), HYPERLINK(CONCATENATE("#metadata!", ADDRESS(INDEX($AH$2:$AH$1001,MATCH(ROWS($AF$2:AF65),$AF$2:$AF$1001,0),0), INDEX($AM$1004:$BM$1004,1,MATCH(COLUMNS($AM$1006:BK1006),$AM$1006:$BM$1006,0)))),"Fix")))</f>
        <v xml:space="preserve"> </v>
      </c>
      <c r="AA65" s="4" t="str">
        <f ca="1">IF(OR(INDEX($AG$2:$AG$1001,MATCH(ROWS($AF$2:AF65),$AF$2:$AF$1001,0),1)&gt;=100000,INDEX($AM$1005:$BM$1005,1,MATCH(COLUMNS($AM$1006:BL1006),$AM$1006:$BM$1006,0))&gt;=100000), " ",IF(INDEX($AM$2:$BM$1001,MATCH(ROWS($AF$2:AF65),$AF$2:$AF$1001,0),MATCH(COLUMNS($AM$1006:BL1006),$AM$1006:$BM$1006,0)), HYPERLINK("#",""), HYPERLINK(CONCATENATE("#metadata!", ADDRESS(INDEX($AH$2:$AH$1001,MATCH(ROWS($AF$2:AF65),$AF$2:$AF$1001,0),0), INDEX($AM$1004:$BM$1004,1,MATCH(COLUMNS($AM$1006:BL1006),$AM$1006:$BM$1006,0)))),"Fix")))</f>
        <v xml:space="preserve"> </v>
      </c>
      <c r="AB65" s="4" t="str">
        <f ca="1">IF(OR(INDEX($AG$2:$AG$1001,MATCH(ROWS($AF$2:AF65),$AF$2:$AF$1001,0),1)&gt;=100000,INDEX($AM$1005:$BM$1005,1,MATCH(COLUMNS($AM$1006:BM1006),$AM$1006:$BM$1006,0))&gt;=100000), " ",IF(INDEX($AM$2:$BM$1001,MATCH(ROWS($AF$2:AF65),$AF$2:$AF$1001,0),MATCH(COLUMNS($AM$1006:BM1006),$AM$1006:$BM$1006,0)), HYPERLINK("#",""), HYPERLINK(CONCATENATE("#metadata!", ADDRESS(INDEX($AH$2:$AH$1001,MATCH(ROWS($AF$2:AF65),$AF$2:$AF$1001,0),0), INDEX($AM$1004:$BM$1004,1,MATCH(COLUMNS($AM$1006:BM1006),$AM$1006:$BM$1006,0)))),"Fix")))</f>
        <v xml:space="preserve"> </v>
      </c>
      <c r="AF65">
        <v>64</v>
      </c>
      <c r="AG65">
        <v>100065</v>
      </c>
      <c r="AH65">
        <v>65</v>
      </c>
      <c r="AI65" t="b">
        <f t="shared" si="0"/>
        <v>1</v>
      </c>
      <c r="AJ65" t="b">
        <f>COUNTBLANK(metadata!B65:AB65)=COLUMNS(metadata!B65:AB65)</f>
        <v>1</v>
      </c>
      <c r="AK65" t="str">
        <v/>
      </c>
      <c r="AM65" t="b">
        <f ca="1">AND(IF(metadata!B65="",FALSE,TRUE),COUNTIF(metadata!B:B, metadata!B65) = 1,NOT(ISERROR(SUMPRODUCT(SEARCH(MID(metadata!B65,ROW(INDIRECT("1:"&amp;LEN(metadata!B65))), 1),"0123456789abcdefghijklmnopqrstuvwxyzABCDEFGHIJKLMNOPQRSTUVWXYZ.")))))</f>
        <v>0</v>
      </c>
      <c r="AN65" t="b">
        <f ca="1">OR(AND(IF(metadata!C65="",FALSE,TRUE),OR(EXACT(metadata!C65,"missing: not collected"),EXACT(metadata!C65,"missing: not provided"),EXACT(metadata!C65,"missing: restricted access"))),AND(IF(metadata!C65="",FALSE,TRUE),AND(AND(IFERROR(INT(LEFT(metadata!C65,4))&gt;1900,FALSE),IFERROR(INT(LEFT(metadata!C65,4))&lt;=YEAR(NOW()),FALSE)), OR(MID(metadata!C65,5,1)="", AND(AND(MID(metadata!C65,5,1)="-",IFERROR(INT(MID(metadata!C65,6,1))&gt;=0,FALSE),IFERROR(INT(MID(metadata!C65,6,1))&lt;=1,FALSE),NOT(MID(metadata!C65,7,1)=""),IFERROR(INT(MID(metadata!C65,6,2))&gt;=1,FALSE),IFERROR(INT(MID(metadata!C65,6,2))&lt;=12,FALSE)), OR(MID(metadata!C65,8,1)="", AND(AND(MID(metadata!C65,8,1)="-",IFERROR(INT(MID(metadata!C65,9,1))&gt;=0,FALSE),IFERROR(INT(MID(metadata!C65,9,1))&lt;=3,FALSE),NOT(MID(metadata!C65,10,1)=""),IFERROR(INT(MID(metadata!C65,9,2))&gt;=1,FALSE),IFERROR(INT(MID(metadata!C65,9,2))&lt;=31,FALSE)), OR(MID(metadata!C65,11,1)="", AND(AND(MID(metadata!C65,11,1)=" ",IFERROR(INT(MID(metadata!C65,12,1))&gt;=0,FALSE),IFERROR(INT(MID(metadata!C65,12,1))&lt;=2,FALSE),NOT(MID(metadata!C65,13,1)=""),IFERROR(INT(MID(metadata!C65,12,2))&gt;=0,FALSE),IFERROR(INT(MID(metadata!C65,12,2))&lt;=23,FALSE)), OR(MID(metadata!C65,14,1)="", AND(AND(MID(metadata!C65,14,1)=":",IFERROR(INT(MID(metadata!C65,15,1))&gt;=0,FALSE),IFERROR(INT(MID(metadata!C65,15,1))&lt;=5,FALSE),NOT(MID(metadata!C65,16,1)=""),IFERROR(INT(MID(metadata!C65,15,2))&gt;=0,FALSE),IFERROR(INT(MID(metadata!C65,15,2))&lt;=59,FALSE)), OR(MID(metadata!C65,17,1)="", AND(AND(MID(metadata!C65,17,1)=":",IFERROR(INT(MID(metadata!C65,18,1))&gt;=0,FALSE),IFERROR(INT(MID(metadata!C65,18,1))&lt;=5,FALSE),NOT(MID(metadata!C65,19,1)=""),IFERROR(INT(MID(metadata!C65,18,2))&gt;=0,FALSE),IFERROR(INT(MID(metadata!C65,18,2))&lt;=59,FALSE)), LEN(metadata!C65)&lt;=19)))))))))))))</f>
        <v>0</v>
      </c>
      <c r="AO65" t="b">
        <f>AND(IF(metadata!D65="",FALSE,TRUE),EXACT(metadata!D65,"Not applicable"))</f>
        <v>0</v>
      </c>
      <c r="AP65" t="b">
        <f>IF(metadata!E65="",FALSE,TRUE)</f>
        <v>0</v>
      </c>
      <c r="AQ65" t="b">
        <f>OR(AND(IF(metadata!F65="",FALSE,TRUE),OR(EXACT(metadata!F65,"missing: not collected"),EXACT(metadata!F65,"missing: not provided"))),AND(IF(metadata!F65="",FALSE,TRUE),OR(EXACT(metadata!F65,"TRUE"),EXACT(metadata!F65,"FALSE"))))</f>
        <v>0</v>
      </c>
      <c r="AR65" t="b">
        <f>OR(AND(IF(metadata!G65="",FALSE,TRUE),OR(EXACT(metadata!G65,"missing: not collected"),EXACT(metadata!G65,"missing: not provided"),EXACT(metadata!G65,"missing: restricted access"))),AND(IF(metadata!G65="",FALSE,ISNUMBER(VALUE(metadata!G65))),metadata!G65&gt;=-413))</f>
        <v>0</v>
      </c>
      <c r="AS65" t="b">
        <f>AND(IF(metadata!H65="",FALSE,TRUE),EXACT(metadata!H65,"meters"))</f>
        <v>0</v>
      </c>
      <c r="AT65" t="b">
        <f>AND(IF(metadata!I65="",FALSE,TRUE),OR(EXACT(metadata!I65,"Host-associated"),EXACT(metadata!I65,"Free-living")))</f>
        <v>0</v>
      </c>
      <c r="AU65" t="b">
        <f>AND(IF(metadata!J65="",FALSE,TRUE),OR(EXACT(metadata!J65,"Animal"),EXACT(metadata!J65,"Fungus"),EXACT(metadata!J65,"Plant"),EXACT(metadata!J65,"Saline"),EXACT(metadata!J65,"Non-saline")))</f>
        <v>0</v>
      </c>
      <c r="AV65" t="b">
        <f>AND(IF(metadata!K65="",FALSE,TRUE),OR(EXACT(metadata!K65,"Plant secretion"),EXACT(metadata!K65,"Plant rhizosphere"),EXACT(metadata!K65,"Plant surface"),EXACT(metadata!K65,"Plant corpus"),EXACT(metadata!K65,"Fungus surface"),EXACT(metadata!K65,"Fungus corpus"),EXACT(metadata!K65,"Animal surface"),EXACT(metadata!K65,"Animal proximal gut"),EXACT(metadata!K65,"Animal corpus"),EXACT(metadata!K65,"Animal distal gut"),EXACT(metadata!K65,"Animal secretion"),EXACT(metadata!K65,"Sub-surface (non-saline)"),EXACT(metadata!K65,"Surface (non-saline)"),EXACT(metadata!K65,"Water (non-saline)"),EXACT(metadata!K65,"Soil (non-saline)"),EXACT(metadata!K65,"Aerosol (non-saline)"),EXACT(metadata!K65,"Sediment (non-saline)"),EXACT(metadata!K65,"Surface (saline)"),EXACT(metadata!K65,"Water (saline)"),EXACT(metadata!K65,"Hypersaline (saline)"),EXACT(metadata!K65,"Aerosol (saline)"),EXACT(metadata!K65,"Sediment (saline)")))</f>
        <v>0</v>
      </c>
      <c r="AW65" t="b">
        <f>IF(metadata!L65="",FALSE,TRUE)</f>
        <v>0</v>
      </c>
      <c r="AX65" t="b">
        <f>IF(metadata!M65="",FALSE,TRUE)</f>
        <v>0</v>
      </c>
      <c r="AY65" t="b">
        <f>IF(metadata!N65="",FALSE,TRUE)</f>
        <v>0</v>
      </c>
      <c r="AZ65" t="b">
        <f>OR(AND(IF(metadata!O65="",FALSE,TRUE),OR(EXACT(metadata!O65,"missing: not collected"),EXACT(metadata!O65,"missing: not provided"),EXACT(metadata!O65,"missing: restricted access"))),AND(IF(metadata!O65="",FALSE,TRUE),OR(EXACT(metadata!O65,"air"),EXACT(metadata!O65,"built environment"),EXACT(metadata!O65,"host-associated"),EXACT(metadata!O65,"human-associated"),EXACT(metadata!O65,"human-skin"),EXACT(metadata!O65,"human-oral"),EXACT(metadata!O65,"human-gut"),EXACT(metadata!O65,"human-vaginal"),EXACT(metadata!O65,"microbial mat/biofilm"),EXACT(metadata!O65,"misc environment"),EXACT(metadata!O65,"plant-associated"),EXACT(metadata!O65,"sediment"),EXACT(metadata!O65,"soil"),EXACT(metadata!O65,"wastewater/sludge"),EXACT(metadata!O65,"water"))))</f>
        <v>0</v>
      </c>
      <c r="BA65" t="b">
        <f>IF(metadata!P65="",FALSE,TRUE)</f>
        <v>0</v>
      </c>
      <c r="BB65" t="b">
        <f>IF(metadata!Q65="",FALSE,TRUE)</f>
        <v>0</v>
      </c>
      <c r="BC65" t="b">
        <f>OR(AND(IF(metadata!R65="",FALSE,TRUE),OR(EXACT(metadata!R65,"missing: not collected"),EXACT(metadata!R65,"missing: not provided"),EXACT(metadata!R65,"missing: restricted access"))),AND(IF(metadata!R65="",FALSE,ISNUMBER(VALUE(metadata!R65))),metadata!R65&gt;=-90,metadata!R65&lt;=90))</f>
        <v>0</v>
      </c>
      <c r="BD65" t="b">
        <f>AND(IF(metadata!S65="",FALSE,TRUE),EXACT(metadata!S65,"Decimal degrees"))</f>
        <v>0</v>
      </c>
      <c r="BE65" t="b">
        <f>OR(AND(IF(metadata!T65="",FALSE,TRUE),OR(EXACT(metadata!T65,"missing: not collected"),EXACT(metadata!T65,"missing: not provided"),EXACT(metadata!T65,"missing: restricted access"))),AND(IF(metadata!T65="",FALSE,ISNUMBER(VALUE(metadata!T65))),metadata!T65&gt;=-180,metadata!T65&lt;=180))</f>
        <v>0</v>
      </c>
      <c r="BF65" t="b">
        <f>AND(IF(metadata!U65="",FALSE,TRUE),EXACT(metadata!U65,"Decimal degrees"))</f>
        <v>0</v>
      </c>
      <c r="BG65" t="b">
        <f>IF(metadata!V65="",FALSE,TRUE)</f>
        <v>0</v>
      </c>
      <c r="BH65" t="b">
        <f>OR(AND(IF(metadata!W65="",FALSE,TRUE),OR(EXACT(metadata!W65,"missing: not collected"),EXACT(metadata!W65,"missing: not provided"),EXACT(metadata!W65,"missing: restricted access"))),AND(IF(metadata!W65="",FALSE,TRUE),OR(EXACT(metadata!W65,"TRUE"),EXACT(metadata!W65,"FALSE"))))</f>
        <v>0</v>
      </c>
      <c r="BI65" t="b">
        <f>AND(IF(metadata!X65="",FALSE,TRUE),EXACT(metadata!X65,"other"))</f>
        <v>0</v>
      </c>
      <c r="BJ65" t="b">
        <f>IF(metadata!Y65="",FALSE,TRUE)</f>
        <v>0</v>
      </c>
      <c r="BK65" t="b">
        <f>OR(AND(IF(metadata!Z65="",FALSE,TRUE),OR(EXACT(metadata!Z65,"missing: not collected"),EXACT(metadata!Z65,"missing: not provided"))),AND(IF(metadata!Z65="",FALSE,IF(ISERROR(INT(metadata!Z65)),FALSE,INT(metadata!Z65)=metadata!Z65)),metadata!Z65&gt;0))</f>
        <v>0</v>
      </c>
      <c r="BL65" t="b">
        <f>AND(IF(metadata!AA65="",FALSE,TRUE),EXACT(metadata!AA65,"Not applicable"))</f>
        <v>0</v>
      </c>
      <c r="BM65" t="b">
        <f>IF(metadata!AB65="",FALSE,TRUE)</f>
        <v>0</v>
      </c>
    </row>
    <row r="66" spans="1:65" x14ac:dyDescent="0.2">
      <c r="A66" s="5" t="str">
        <f ca="1">IF(B66=" "," ",HYPERLINK(CONCATENATE("#metadata!",ADDRESS(INDEX($AH$2:$AH$1001,MATCH(ROWS($AF$2:AF66),$AF$2:$AF$1001,0),0),1)),INDEX($AK$2:$AK$1001,MATCH(ROWS($AF$2:AF66),$AF$2:$AF$1001,0),0)))</f>
        <v xml:space="preserve"> </v>
      </c>
      <c r="B66" s="4" t="str">
        <f ca="1">IF(OR(INDEX($AG$2:$AG$1001,MATCH(ROWS($AF$2:AF66),$AF$2:$AF$1001,0),1)&gt;=100000,INDEX($AM$1005:$BM$1005,1,MATCH(COLUMNS($AM$1006:AM1006),$AM$1006:$BM$1006,0))&gt;=100000), " ",IF(INDEX($AM$2:$BM$1001,MATCH(ROWS($AF$2:AF66),$AF$2:$AF$1001,0),MATCH(COLUMNS($AM$1006:AM1006),$AM$1006:$BM$1006,0)), HYPERLINK("#",""), HYPERLINK(CONCATENATE("#metadata!", ADDRESS(INDEX($AH$2:$AH$1001,MATCH(ROWS($AF$2:AF66),$AF$2:$AF$1001,0),0), INDEX($AM$1004:$BM$1004,1,MATCH(COLUMNS($AM$1006:AM1006),$AM$1006:$BM$1006,0)))),"Fix")))</f>
        <v xml:space="preserve"> </v>
      </c>
      <c r="C66" s="4" t="str">
        <f ca="1">IF(OR(INDEX($AG$2:$AG$1001,MATCH(ROWS($AF$2:AF66),$AF$2:$AF$1001,0),1)&gt;=100000,INDEX($AM$1005:$BM$1005,1,MATCH(COLUMNS($AM$1006:AN1006),$AM$1006:$BM$1006,0))&gt;=100000), " ",IF(INDEX($AM$2:$BM$1001,MATCH(ROWS($AF$2:AF66),$AF$2:$AF$1001,0),MATCH(COLUMNS($AM$1006:AN1006),$AM$1006:$BM$1006,0)), HYPERLINK("#",""), HYPERLINK(CONCATENATE("#metadata!", ADDRESS(INDEX($AH$2:$AH$1001,MATCH(ROWS($AF$2:AF66),$AF$2:$AF$1001,0),0), INDEX($AM$1004:$BM$1004,1,MATCH(COLUMNS($AM$1006:AN1006),$AM$1006:$BM$1006,0)))),"Fix")))</f>
        <v xml:space="preserve"> </v>
      </c>
      <c r="D66" s="4" t="str">
        <f ca="1">IF(OR(INDEX($AG$2:$AG$1001,MATCH(ROWS($AF$2:AF66),$AF$2:$AF$1001,0),1)&gt;=100000,INDEX($AM$1005:$BM$1005,1,MATCH(COLUMNS($AM$1006:AO1006),$AM$1006:$BM$1006,0))&gt;=100000), " ",IF(INDEX($AM$2:$BM$1001,MATCH(ROWS($AF$2:AF66),$AF$2:$AF$1001,0),MATCH(COLUMNS($AM$1006:AO1006),$AM$1006:$BM$1006,0)), HYPERLINK("#",""), HYPERLINK(CONCATENATE("#metadata!", ADDRESS(INDEX($AH$2:$AH$1001,MATCH(ROWS($AF$2:AF66),$AF$2:$AF$1001,0),0), INDEX($AM$1004:$BM$1004,1,MATCH(COLUMNS($AM$1006:AO1006),$AM$1006:$BM$1006,0)))),"Fix")))</f>
        <v xml:space="preserve"> </v>
      </c>
      <c r="E66" s="4" t="str">
        <f ca="1">IF(OR(INDEX($AG$2:$AG$1001,MATCH(ROWS($AF$2:AF66),$AF$2:$AF$1001,0),1)&gt;=100000,INDEX($AM$1005:$BM$1005,1,MATCH(COLUMNS($AM$1006:AP1006),$AM$1006:$BM$1006,0))&gt;=100000), " ",IF(INDEX($AM$2:$BM$1001,MATCH(ROWS($AF$2:AF66),$AF$2:$AF$1001,0),MATCH(COLUMNS($AM$1006:AP1006),$AM$1006:$BM$1006,0)), HYPERLINK("#",""), HYPERLINK(CONCATENATE("#metadata!", ADDRESS(INDEX($AH$2:$AH$1001,MATCH(ROWS($AF$2:AF66),$AF$2:$AF$1001,0),0), INDEX($AM$1004:$BM$1004,1,MATCH(COLUMNS($AM$1006:AP1006),$AM$1006:$BM$1006,0)))),"Fix")))</f>
        <v xml:space="preserve"> </v>
      </c>
      <c r="F66" s="4" t="str">
        <f ca="1">IF(OR(INDEX($AG$2:$AG$1001,MATCH(ROWS($AF$2:AF66),$AF$2:$AF$1001,0),1)&gt;=100000,INDEX($AM$1005:$BM$1005,1,MATCH(COLUMNS($AM$1006:AQ1006),$AM$1006:$BM$1006,0))&gt;=100000), " ",IF(INDEX($AM$2:$BM$1001,MATCH(ROWS($AF$2:AF66),$AF$2:$AF$1001,0),MATCH(COLUMNS($AM$1006:AQ1006),$AM$1006:$BM$1006,0)), HYPERLINK("#",""), HYPERLINK(CONCATENATE("#metadata!", ADDRESS(INDEX($AH$2:$AH$1001,MATCH(ROWS($AF$2:AF66),$AF$2:$AF$1001,0),0), INDEX($AM$1004:$BM$1004,1,MATCH(COLUMNS($AM$1006:AQ1006),$AM$1006:$BM$1006,0)))),"Fix")))</f>
        <v xml:space="preserve"> </v>
      </c>
      <c r="G66" s="4" t="str">
        <f ca="1">IF(OR(INDEX($AG$2:$AG$1001,MATCH(ROWS($AF$2:AF66),$AF$2:$AF$1001,0),1)&gt;=100000,INDEX($AM$1005:$BM$1005,1,MATCH(COLUMNS($AM$1006:AR1006),$AM$1006:$BM$1006,0))&gt;=100000), " ",IF(INDEX($AM$2:$BM$1001,MATCH(ROWS($AF$2:AF66),$AF$2:$AF$1001,0),MATCH(COLUMNS($AM$1006:AR1006),$AM$1006:$BM$1006,0)), HYPERLINK("#",""), HYPERLINK(CONCATENATE("#metadata!", ADDRESS(INDEX($AH$2:$AH$1001,MATCH(ROWS($AF$2:AF66),$AF$2:$AF$1001,0),0), INDEX($AM$1004:$BM$1004,1,MATCH(COLUMNS($AM$1006:AR1006),$AM$1006:$BM$1006,0)))),"Fix")))</f>
        <v xml:space="preserve"> </v>
      </c>
      <c r="H66" s="4" t="str">
        <f ca="1">IF(OR(INDEX($AG$2:$AG$1001,MATCH(ROWS($AF$2:AF66),$AF$2:$AF$1001,0),1)&gt;=100000,INDEX($AM$1005:$BM$1005,1,MATCH(COLUMNS($AM$1006:AS1006),$AM$1006:$BM$1006,0))&gt;=100000), " ",IF(INDEX($AM$2:$BM$1001,MATCH(ROWS($AF$2:AF66),$AF$2:$AF$1001,0),MATCH(COLUMNS($AM$1006:AS1006),$AM$1006:$BM$1006,0)), HYPERLINK("#",""), HYPERLINK(CONCATENATE("#metadata!", ADDRESS(INDEX($AH$2:$AH$1001,MATCH(ROWS($AF$2:AF66),$AF$2:$AF$1001,0),0), INDEX($AM$1004:$BM$1004,1,MATCH(COLUMNS($AM$1006:AS1006),$AM$1006:$BM$1006,0)))),"Fix")))</f>
        <v xml:space="preserve"> </v>
      </c>
      <c r="I66" s="4" t="str">
        <f ca="1">IF(OR(INDEX($AG$2:$AG$1001,MATCH(ROWS($AF$2:AF66),$AF$2:$AF$1001,0),1)&gt;=100000,INDEX($AM$1005:$BM$1005,1,MATCH(COLUMNS($AM$1006:AT1006),$AM$1006:$BM$1006,0))&gt;=100000), " ",IF(INDEX($AM$2:$BM$1001,MATCH(ROWS($AF$2:AF66),$AF$2:$AF$1001,0),MATCH(COLUMNS($AM$1006:AT1006),$AM$1006:$BM$1006,0)), HYPERLINK("#",""), HYPERLINK(CONCATENATE("#metadata!", ADDRESS(INDEX($AH$2:$AH$1001,MATCH(ROWS($AF$2:AF66),$AF$2:$AF$1001,0),0), INDEX($AM$1004:$BM$1004,1,MATCH(COLUMNS($AM$1006:AT1006),$AM$1006:$BM$1006,0)))),"Fix")))</f>
        <v xml:space="preserve"> </v>
      </c>
      <c r="J66" s="4" t="str">
        <f ca="1">IF(OR(INDEX($AG$2:$AG$1001,MATCH(ROWS($AF$2:AF66),$AF$2:$AF$1001,0),1)&gt;=100000,INDEX($AM$1005:$BM$1005,1,MATCH(COLUMNS($AM$1006:AU1006),$AM$1006:$BM$1006,0))&gt;=100000), " ",IF(INDEX($AM$2:$BM$1001,MATCH(ROWS($AF$2:AF66),$AF$2:$AF$1001,0),MATCH(COLUMNS($AM$1006:AU1006),$AM$1006:$BM$1006,0)), HYPERLINK("#",""), HYPERLINK(CONCATENATE("#metadata!", ADDRESS(INDEX($AH$2:$AH$1001,MATCH(ROWS($AF$2:AF66),$AF$2:$AF$1001,0),0), INDEX($AM$1004:$BM$1004,1,MATCH(COLUMNS($AM$1006:AU1006),$AM$1006:$BM$1006,0)))),"Fix")))</f>
        <v xml:space="preserve"> </v>
      </c>
      <c r="K66" s="4" t="str">
        <f ca="1">IF(OR(INDEX($AG$2:$AG$1001,MATCH(ROWS($AF$2:AF66),$AF$2:$AF$1001,0),1)&gt;=100000,INDEX($AM$1005:$BM$1005,1,MATCH(COLUMNS($AM$1006:AV1006),$AM$1006:$BM$1006,0))&gt;=100000), " ",IF(INDEX($AM$2:$BM$1001,MATCH(ROWS($AF$2:AF66),$AF$2:$AF$1001,0),MATCH(COLUMNS($AM$1006:AV1006),$AM$1006:$BM$1006,0)), HYPERLINK("#",""), HYPERLINK(CONCATENATE("#metadata!", ADDRESS(INDEX($AH$2:$AH$1001,MATCH(ROWS($AF$2:AF66),$AF$2:$AF$1001,0),0), INDEX($AM$1004:$BM$1004,1,MATCH(COLUMNS($AM$1006:AV1006),$AM$1006:$BM$1006,0)))),"Fix")))</f>
        <v xml:space="preserve"> </v>
      </c>
      <c r="L66" s="4" t="str">
        <f ca="1">IF(OR(INDEX($AG$2:$AG$1001,MATCH(ROWS($AF$2:AF66),$AF$2:$AF$1001,0),1)&gt;=100000,INDEX($AM$1005:$BM$1005,1,MATCH(COLUMNS($AM$1006:AW1006),$AM$1006:$BM$1006,0))&gt;=100000), " ",IF(INDEX($AM$2:$BM$1001,MATCH(ROWS($AF$2:AF66),$AF$2:$AF$1001,0),MATCH(COLUMNS($AM$1006:AW1006),$AM$1006:$BM$1006,0)), HYPERLINK("#",""), HYPERLINK(CONCATENATE("#metadata!", ADDRESS(INDEX($AH$2:$AH$1001,MATCH(ROWS($AF$2:AF66),$AF$2:$AF$1001,0),0), INDEX($AM$1004:$BM$1004,1,MATCH(COLUMNS($AM$1006:AW1006),$AM$1006:$BM$1006,0)))),"Fix")))</f>
        <v xml:space="preserve"> </v>
      </c>
      <c r="M66" s="4" t="str">
        <f ca="1">IF(OR(INDEX($AG$2:$AG$1001,MATCH(ROWS($AF$2:AF66),$AF$2:$AF$1001,0),1)&gt;=100000,INDEX($AM$1005:$BM$1005,1,MATCH(COLUMNS($AM$1006:AX1006),$AM$1006:$BM$1006,0))&gt;=100000), " ",IF(INDEX($AM$2:$BM$1001,MATCH(ROWS($AF$2:AF66),$AF$2:$AF$1001,0),MATCH(COLUMNS($AM$1006:AX1006),$AM$1006:$BM$1006,0)), HYPERLINK("#",""), HYPERLINK(CONCATENATE("#metadata!", ADDRESS(INDEX($AH$2:$AH$1001,MATCH(ROWS($AF$2:AF66),$AF$2:$AF$1001,0),0), INDEX($AM$1004:$BM$1004,1,MATCH(COLUMNS($AM$1006:AX1006),$AM$1006:$BM$1006,0)))),"Fix")))</f>
        <v xml:space="preserve"> </v>
      </c>
      <c r="N66" s="4" t="str">
        <f ca="1">IF(OR(INDEX($AG$2:$AG$1001,MATCH(ROWS($AF$2:AF66),$AF$2:$AF$1001,0),1)&gt;=100000,INDEX($AM$1005:$BM$1005,1,MATCH(COLUMNS($AM$1006:AY1006),$AM$1006:$BM$1006,0))&gt;=100000), " ",IF(INDEX($AM$2:$BM$1001,MATCH(ROWS($AF$2:AF66),$AF$2:$AF$1001,0),MATCH(COLUMNS($AM$1006:AY1006),$AM$1006:$BM$1006,0)), HYPERLINK("#",""), HYPERLINK(CONCATENATE("#metadata!", ADDRESS(INDEX($AH$2:$AH$1001,MATCH(ROWS($AF$2:AF66),$AF$2:$AF$1001,0),0), INDEX($AM$1004:$BM$1004,1,MATCH(COLUMNS($AM$1006:AY1006),$AM$1006:$BM$1006,0)))),"Fix")))</f>
        <v xml:space="preserve"> </v>
      </c>
      <c r="O66" s="4" t="str">
        <f ca="1">IF(OR(INDEX($AG$2:$AG$1001,MATCH(ROWS($AF$2:AF66),$AF$2:$AF$1001,0),1)&gt;=100000,INDEX($AM$1005:$BM$1005,1,MATCH(COLUMNS($AM$1006:AZ1006),$AM$1006:$BM$1006,0))&gt;=100000), " ",IF(INDEX($AM$2:$BM$1001,MATCH(ROWS($AF$2:AF66),$AF$2:$AF$1001,0),MATCH(COLUMNS($AM$1006:AZ1006),$AM$1006:$BM$1006,0)), HYPERLINK("#",""), HYPERLINK(CONCATENATE("#metadata!", ADDRESS(INDEX($AH$2:$AH$1001,MATCH(ROWS($AF$2:AF66),$AF$2:$AF$1001,0),0), INDEX($AM$1004:$BM$1004,1,MATCH(COLUMNS($AM$1006:AZ1006),$AM$1006:$BM$1006,0)))),"Fix")))</f>
        <v xml:space="preserve"> </v>
      </c>
      <c r="P66" s="4" t="str">
        <f ca="1">IF(OR(INDEX($AG$2:$AG$1001,MATCH(ROWS($AF$2:AF66),$AF$2:$AF$1001,0),1)&gt;=100000,INDEX($AM$1005:$BM$1005,1,MATCH(COLUMNS($AM$1006:BA1006),$AM$1006:$BM$1006,0))&gt;=100000), " ",IF(INDEX($AM$2:$BM$1001,MATCH(ROWS($AF$2:AF66),$AF$2:$AF$1001,0),MATCH(COLUMNS($AM$1006:BA1006),$AM$1006:$BM$1006,0)), HYPERLINK("#",""), HYPERLINK(CONCATENATE("#metadata!", ADDRESS(INDEX($AH$2:$AH$1001,MATCH(ROWS($AF$2:AF66),$AF$2:$AF$1001,0),0), INDEX($AM$1004:$BM$1004,1,MATCH(COLUMNS($AM$1006:BA1006),$AM$1006:$BM$1006,0)))),"Fix")))</f>
        <v xml:space="preserve"> </v>
      </c>
      <c r="Q66" s="4" t="str">
        <f ca="1">IF(OR(INDEX($AG$2:$AG$1001,MATCH(ROWS($AF$2:AF66),$AF$2:$AF$1001,0),1)&gt;=100000,INDEX($AM$1005:$BM$1005,1,MATCH(COLUMNS($AM$1006:BB1006),$AM$1006:$BM$1006,0))&gt;=100000), " ",IF(INDEX($AM$2:$BM$1001,MATCH(ROWS($AF$2:AF66),$AF$2:$AF$1001,0),MATCH(COLUMNS($AM$1006:BB1006),$AM$1006:$BM$1006,0)), HYPERLINK("#",""), HYPERLINK(CONCATENATE("#metadata!", ADDRESS(INDEX($AH$2:$AH$1001,MATCH(ROWS($AF$2:AF66),$AF$2:$AF$1001,0),0), INDEX($AM$1004:$BM$1004,1,MATCH(COLUMNS($AM$1006:BB1006),$AM$1006:$BM$1006,0)))),"Fix")))</f>
        <v xml:space="preserve"> </v>
      </c>
      <c r="R66" s="4" t="str">
        <f ca="1">IF(OR(INDEX($AG$2:$AG$1001,MATCH(ROWS($AF$2:AF66),$AF$2:$AF$1001,0),1)&gt;=100000,INDEX($AM$1005:$BM$1005,1,MATCH(COLUMNS($AM$1006:BC1006),$AM$1006:$BM$1006,0))&gt;=100000), " ",IF(INDEX($AM$2:$BM$1001,MATCH(ROWS($AF$2:AF66),$AF$2:$AF$1001,0),MATCH(COLUMNS($AM$1006:BC1006),$AM$1006:$BM$1006,0)), HYPERLINK("#",""), HYPERLINK(CONCATENATE("#metadata!", ADDRESS(INDEX($AH$2:$AH$1001,MATCH(ROWS($AF$2:AF66),$AF$2:$AF$1001,0),0), INDEX($AM$1004:$BM$1004,1,MATCH(COLUMNS($AM$1006:BC1006),$AM$1006:$BM$1006,0)))),"Fix")))</f>
        <v xml:space="preserve"> </v>
      </c>
      <c r="S66" s="4" t="str">
        <f ca="1">IF(OR(INDEX($AG$2:$AG$1001,MATCH(ROWS($AF$2:AF66),$AF$2:$AF$1001,0),1)&gt;=100000,INDEX($AM$1005:$BM$1005,1,MATCH(COLUMNS($AM$1006:BD1006),$AM$1006:$BM$1006,0))&gt;=100000), " ",IF(INDEX($AM$2:$BM$1001,MATCH(ROWS($AF$2:AF66),$AF$2:$AF$1001,0),MATCH(COLUMNS($AM$1006:BD1006),$AM$1006:$BM$1006,0)), HYPERLINK("#",""), HYPERLINK(CONCATENATE("#metadata!", ADDRESS(INDEX($AH$2:$AH$1001,MATCH(ROWS($AF$2:AF66),$AF$2:$AF$1001,0),0), INDEX($AM$1004:$BM$1004,1,MATCH(COLUMNS($AM$1006:BD1006),$AM$1006:$BM$1006,0)))),"Fix")))</f>
        <v xml:space="preserve"> </v>
      </c>
      <c r="T66" s="4" t="str">
        <f ca="1">IF(OR(INDEX($AG$2:$AG$1001,MATCH(ROWS($AF$2:AF66),$AF$2:$AF$1001,0),1)&gt;=100000,INDEX($AM$1005:$BM$1005,1,MATCH(COLUMNS($AM$1006:BE1006),$AM$1006:$BM$1006,0))&gt;=100000), " ",IF(INDEX($AM$2:$BM$1001,MATCH(ROWS($AF$2:AF66),$AF$2:$AF$1001,0),MATCH(COLUMNS($AM$1006:BE1006),$AM$1006:$BM$1006,0)), HYPERLINK("#",""), HYPERLINK(CONCATENATE("#metadata!", ADDRESS(INDEX($AH$2:$AH$1001,MATCH(ROWS($AF$2:AF66),$AF$2:$AF$1001,0),0), INDEX($AM$1004:$BM$1004,1,MATCH(COLUMNS($AM$1006:BE1006),$AM$1006:$BM$1006,0)))),"Fix")))</f>
        <v xml:space="preserve"> </v>
      </c>
      <c r="U66" s="4" t="str">
        <f ca="1">IF(OR(INDEX($AG$2:$AG$1001,MATCH(ROWS($AF$2:AF66),$AF$2:$AF$1001,0),1)&gt;=100000,INDEX($AM$1005:$BM$1005,1,MATCH(COLUMNS($AM$1006:BF1006),$AM$1006:$BM$1006,0))&gt;=100000), " ",IF(INDEX($AM$2:$BM$1001,MATCH(ROWS($AF$2:AF66),$AF$2:$AF$1001,0),MATCH(COLUMNS($AM$1006:BF1006),$AM$1006:$BM$1006,0)), HYPERLINK("#",""), HYPERLINK(CONCATENATE("#metadata!", ADDRESS(INDEX($AH$2:$AH$1001,MATCH(ROWS($AF$2:AF66),$AF$2:$AF$1001,0),0), INDEX($AM$1004:$BM$1004,1,MATCH(COLUMNS($AM$1006:BF1006),$AM$1006:$BM$1006,0)))),"Fix")))</f>
        <v xml:space="preserve"> </v>
      </c>
      <c r="V66" s="4" t="str">
        <f ca="1">IF(OR(INDEX($AG$2:$AG$1001,MATCH(ROWS($AF$2:AF66),$AF$2:$AF$1001,0),1)&gt;=100000,INDEX($AM$1005:$BM$1005,1,MATCH(COLUMNS($AM$1006:BG1006),$AM$1006:$BM$1006,0))&gt;=100000), " ",IF(INDEX($AM$2:$BM$1001,MATCH(ROWS($AF$2:AF66),$AF$2:$AF$1001,0),MATCH(COLUMNS($AM$1006:BG1006),$AM$1006:$BM$1006,0)), HYPERLINK("#",""), HYPERLINK(CONCATENATE("#metadata!", ADDRESS(INDEX($AH$2:$AH$1001,MATCH(ROWS($AF$2:AF66),$AF$2:$AF$1001,0),0), INDEX($AM$1004:$BM$1004,1,MATCH(COLUMNS($AM$1006:BG1006),$AM$1006:$BM$1006,0)))),"Fix")))</f>
        <v xml:space="preserve"> </v>
      </c>
      <c r="W66" s="4" t="str">
        <f ca="1">IF(OR(INDEX($AG$2:$AG$1001,MATCH(ROWS($AF$2:AF66),$AF$2:$AF$1001,0),1)&gt;=100000,INDEX($AM$1005:$BM$1005,1,MATCH(COLUMNS($AM$1006:BH1006),$AM$1006:$BM$1006,0))&gt;=100000), " ",IF(INDEX($AM$2:$BM$1001,MATCH(ROWS($AF$2:AF66),$AF$2:$AF$1001,0),MATCH(COLUMNS($AM$1006:BH1006),$AM$1006:$BM$1006,0)), HYPERLINK("#",""), HYPERLINK(CONCATENATE("#metadata!", ADDRESS(INDEX($AH$2:$AH$1001,MATCH(ROWS($AF$2:AF66),$AF$2:$AF$1001,0),0), INDEX($AM$1004:$BM$1004,1,MATCH(COLUMNS($AM$1006:BH1006),$AM$1006:$BM$1006,0)))),"Fix")))</f>
        <v xml:space="preserve"> </v>
      </c>
      <c r="X66" s="4" t="str">
        <f ca="1">IF(OR(INDEX($AG$2:$AG$1001,MATCH(ROWS($AF$2:AF66),$AF$2:$AF$1001,0),1)&gt;=100000,INDEX($AM$1005:$BM$1005,1,MATCH(COLUMNS($AM$1006:BI1006),$AM$1006:$BM$1006,0))&gt;=100000), " ",IF(INDEX($AM$2:$BM$1001,MATCH(ROWS($AF$2:AF66),$AF$2:$AF$1001,0),MATCH(COLUMNS($AM$1006:BI1006),$AM$1006:$BM$1006,0)), HYPERLINK("#",""), HYPERLINK(CONCATENATE("#metadata!", ADDRESS(INDEX($AH$2:$AH$1001,MATCH(ROWS($AF$2:AF66),$AF$2:$AF$1001,0),0), INDEX($AM$1004:$BM$1004,1,MATCH(COLUMNS($AM$1006:BI1006),$AM$1006:$BM$1006,0)))),"Fix")))</f>
        <v xml:space="preserve"> </v>
      </c>
      <c r="Y66" s="4" t="str">
        <f ca="1">IF(OR(INDEX($AG$2:$AG$1001,MATCH(ROWS($AF$2:AF66),$AF$2:$AF$1001,0),1)&gt;=100000,INDEX($AM$1005:$BM$1005,1,MATCH(COLUMNS($AM$1006:BJ1006),$AM$1006:$BM$1006,0))&gt;=100000), " ",IF(INDEX($AM$2:$BM$1001,MATCH(ROWS($AF$2:AF66),$AF$2:$AF$1001,0),MATCH(COLUMNS($AM$1006:BJ1006),$AM$1006:$BM$1006,0)), HYPERLINK("#",""), HYPERLINK(CONCATENATE("#metadata!", ADDRESS(INDEX($AH$2:$AH$1001,MATCH(ROWS($AF$2:AF66),$AF$2:$AF$1001,0),0), INDEX($AM$1004:$BM$1004,1,MATCH(COLUMNS($AM$1006:BJ1006),$AM$1006:$BM$1006,0)))),"Fix")))</f>
        <v xml:space="preserve"> </v>
      </c>
      <c r="Z66" s="4" t="str">
        <f ca="1">IF(OR(INDEX($AG$2:$AG$1001,MATCH(ROWS($AF$2:AF66),$AF$2:$AF$1001,0),1)&gt;=100000,INDEX($AM$1005:$BM$1005,1,MATCH(COLUMNS($AM$1006:BK1006),$AM$1006:$BM$1006,0))&gt;=100000), " ",IF(INDEX($AM$2:$BM$1001,MATCH(ROWS($AF$2:AF66),$AF$2:$AF$1001,0),MATCH(COLUMNS($AM$1006:BK1006),$AM$1006:$BM$1006,0)), HYPERLINK("#",""), HYPERLINK(CONCATENATE("#metadata!", ADDRESS(INDEX($AH$2:$AH$1001,MATCH(ROWS($AF$2:AF66),$AF$2:$AF$1001,0),0), INDEX($AM$1004:$BM$1004,1,MATCH(COLUMNS($AM$1006:BK1006),$AM$1006:$BM$1006,0)))),"Fix")))</f>
        <v xml:space="preserve"> </v>
      </c>
      <c r="AA66" s="4" t="str">
        <f ca="1">IF(OR(INDEX($AG$2:$AG$1001,MATCH(ROWS($AF$2:AF66),$AF$2:$AF$1001,0),1)&gt;=100000,INDEX($AM$1005:$BM$1005,1,MATCH(COLUMNS($AM$1006:BL1006),$AM$1006:$BM$1006,0))&gt;=100000), " ",IF(INDEX($AM$2:$BM$1001,MATCH(ROWS($AF$2:AF66),$AF$2:$AF$1001,0),MATCH(COLUMNS($AM$1006:BL1006),$AM$1006:$BM$1006,0)), HYPERLINK("#",""), HYPERLINK(CONCATENATE("#metadata!", ADDRESS(INDEX($AH$2:$AH$1001,MATCH(ROWS($AF$2:AF66),$AF$2:$AF$1001,0),0), INDEX($AM$1004:$BM$1004,1,MATCH(COLUMNS($AM$1006:BL1006),$AM$1006:$BM$1006,0)))),"Fix")))</f>
        <v xml:space="preserve"> </v>
      </c>
      <c r="AB66" s="4" t="str">
        <f ca="1">IF(OR(INDEX($AG$2:$AG$1001,MATCH(ROWS($AF$2:AF66),$AF$2:$AF$1001,0),1)&gt;=100000,INDEX($AM$1005:$BM$1005,1,MATCH(COLUMNS($AM$1006:BM1006),$AM$1006:$BM$1006,0))&gt;=100000), " ",IF(INDEX($AM$2:$BM$1001,MATCH(ROWS($AF$2:AF66),$AF$2:$AF$1001,0),MATCH(COLUMNS($AM$1006:BM1006),$AM$1006:$BM$1006,0)), HYPERLINK("#",""), HYPERLINK(CONCATENATE("#metadata!", ADDRESS(INDEX($AH$2:$AH$1001,MATCH(ROWS($AF$2:AF66),$AF$2:$AF$1001,0),0), INDEX($AM$1004:$BM$1004,1,MATCH(COLUMNS($AM$1006:BM1006),$AM$1006:$BM$1006,0)))),"Fix")))</f>
        <v xml:space="preserve"> </v>
      </c>
      <c r="AF66">
        <v>65</v>
      </c>
      <c r="AG66">
        <v>100066</v>
      </c>
      <c r="AH66">
        <v>66</v>
      </c>
      <c r="AI66" t="b">
        <f t="shared" ref="AI66:AI129" si="1">IF(AJ66,TRUE,AND(AM66:BM66))</f>
        <v>1</v>
      </c>
      <c r="AJ66" t="b">
        <f>COUNTBLANK(metadata!B66:AB66)=COLUMNS(metadata!B66:AB66)</f>
        <v>1</v>
      </c>
      <c r="AK66" t="str">
        <v/>
      </c>
      <c r="AM66" t="b">
        <f ca="1">AND(IF(metadata!B66="",FALSE,TRUE),COUNTIF(metadata!B:B, metadata!B66) = 1,NOT(ISERROR(SUMPRODUCT(SEARCH(MID(metadata!B66,ROW(INDIRECT("1:"&amp;LEN(metadata!B66))), 1),"0123456789abcdefghijklmnopqrstuvwxyzABCDEFGHIJKLMNOPQRSTUVWXYZ.")))))</f>
        <v>0</v>
      </c>
      <c r="AN66" t="b">
        <f ca="1">OR(AND(IF(metadata!C66="",FALSE,TRUE),OR(EXACT(metadata!C66,"missing: not collected"),EXACT(metadata!C66,"missing: not provided"),EXACT(metadata!C66,"missing: restricted access"))),AND(IF(metadata!C66="",FALSE,TRUE),AND(AND(IFERROR(INT(LEFT(metadata!C66,4))&gt;1900,FALSE),IFERROR(INT(LEFT(metadata!C66,4))&lt;=YEAR(NOW()),FALSE)), OR(MID(metadata!C66,5,1)="", AND(AND(MID(metadata!C66,5,1)="-",IFERROR(INT(MID(metadata!C66,6,1))&gt;=0,FALSE),IFERROR(INT(MID(metadata!C66,6,1))&lt;=1,FALSE),NOT(MID(metadata!C66,7,1)=""),IFERROR(INT(MID(metadata!C66,6,2))&gt;=1,FALSE),IFERROR(INT(MID(metadata!C66,6,2))&lt;=12,FALSE)), OR(MID(metadata!C66,8,1)="", AND(AND(MID(metadata!C66,8,1)="-",IFERROR(INT(MID(metadata!C66,9,1))&gt;=0,FALSE),IFERROR(INT(MID(metadata!C66,9,1))&lt;=3,FALSE),NOT(MID(metadata!C66,10,1)=""),IFERROR(INT(MID(metadata!C66,9,2))&gt;=1,FALSE),IFERROR(INT(MID(metadata!C66,9,2))&lt;=31,FALSE)), OR(MID(metadata!C66,11,1)="", AND(AND(MID(metadata!C66,11,1)=" ",IFERROR(INT(MID(metadata!C66,12,1))&gt;=0,FALSE),IFERROR(INT(MID(metadata!C66,12,1))&lt;=2,FALSE),NOT(MID(metadata!C66,13,1)=""),IFERROR(INT(MID(metadata!C66,12,2))&gt;=0,FALSE),IFERROR(INT(MID(metadata!C66,12,2))&lt;=23,FALSE)), OR(MID(metadata!C66,14,1)="", AND(AND(MID(metadata!C66,14,1)=":",IFERROR(INT(MID(metadata!C66,15,1))&gt;=0,FALSE),IFERROR(INT(MID(metadata!C66,15,1))&lt;=5,FALSE),NOT(MID(metadata!C66,16,1)=""),IFERROR(INT(MID(metadata!C66,15,2))&gt;=0,FALSE),IFERROR(INT(MID(metadata!C66,15,2))&lt;=59,FALSE)), OR(MID(metadata!C66,17,1)="", AND(AND(MID(metadata!C66,17,1)=":",IFERROR(INT(MID(metadata!C66,18,1))&gt;=0,FALSE),IFERROR(INT(MID(metadata!C66,18,1))&lt;=5,FALSE),NOT(MID(metadata!C66,19,1)=""),IFERROR(INT(MID(metadata!C66,18,2))&gt;=0,FALSE),IFERROR(INT(MID(metadata!C66,18,2))&lt;=59,FALSE)), LEN(metadata!C66)&lt;=19)))))))))))))</f>
        <v>0</v>
      </c>
      <c r="AO66" t="b">
        <f>AND(IF(metadata!D66="",FALSE,TRUE),EXACT(metadata!D66,"Not applicable"))</f>
        <v>0</v>
      </c>
      <c r="AP66" t="b">
        <f>IF(metadata!E66="",FALSE,TRUE)</f>
        <v>0</v>
      </c>
      <c r="AQ66" t="b">
        <f>OR(AND(IF(metadata!F66="",FALSE,TRUE),OR(EXACT(metadata!F66,"missing: not collected"),EXACT(metadata!F66,"missing: not provided"))),AND(IF(metadata!F66="",FALSE,TRUE),OR(EXACT(metadata!F66,"TRUE"),EXACT(metadata!F66,"FALSE"))))</f>
        <v>0</v>
      </c>
      <c r="AR66" t="b">
        <f>OR(AND(IF(metadata!G66="",FALSE,TRUE),OR(EXACT(metadata!G66,"missing: not collected"),EXACT(metadata!G66,"missing: not provided"),EXACT(metadata!G66,"missing: restricted access"))),AND(IF(metadata!G66="",FALSE,ISNUMBER(VALUE(metadata!G66))),metadata!G66&gt;=-413))</f>
        <v>0</v>
      </c>
      <c r="AS66" t="b">
        <f>AND(IF(metadata!H66="",FALSE,TRUE),EXACT(metadata!H66,"meters"))</f>
        <v>0</v>
      </c>
      <c r="AT66" t="b">
        <f>AND(IF(metadata!I66="",FALSE,TRUE),OR(EXACT(metadata!I66,"Host-associated"),EXACT(metadata!I66,"Free-living")))</f>
        <v>0</v>
      </c>
      <c r="AU66" t="b">
        <f>AND(IF(metadata!J66="",FALSE,TRUE),OR(EXACT(metadata!J66,"Animal"),EXACT(metadata!J66,"Fungus"),EXACT(metadata!J66,"Plant"),EXACT(metadata!J66,"Saline"),EXACT(metadata!J66,"Non-saline")))</f>
        <v>0</v>
      </c>
      <c r="AV66" t="b">
        <f>AND(IF(metadata!K66="",FALSE,TRUE),OR(EXACT(metadata!K66,"Plant secretion"),EXACT(metadata!K66,"Plant rhizosphere"),EXACT(metadata!K66,"Plant surface"),EXACT(metadata!K66,"Plant corpus"),EXACT(metadata!K66,"Fungus surface"),EXACT(metadata!K66,"Fungus corpus"),EXACT(metadata!K66,"Animal surface"),EXACT(metadata!K66,"Animal proximal gut"),EXACT(metadata!K66,"Animal corpus"),EXACT(metadata!K66,"Animal distal gut"),EXACT(metadata!K66,"Animal secretion"),EXACT(metadata!K66,"Sub-surface (non-saline)"),EXACT(metadata!K66,"Surface (non-saline)"),EXACT(metadata!K66,"Water (non-saline)"),EXACT(metadata!K66,"Soil (non-saline)"),EXACT(metadata!K66,"Aerosol (non-saline)"),EXACT(metadata!K66,"Sediment (non-saline)"),EXACT(metadata!K66,"Surface (saline)"),EXACT(metadata!K66,"Water (saline)"),EXACT(metadata!K66,"Hypersaline (saline)"),EXACT(metadata!K66,"Aerosol (saline)"),EXACT(metadata!K66,"Sediment (saline)")))</f>
        <v>0</v>
      </c>
      <c r="AW66" t="b">
        <f>IF(metadata!L66="",FALSE,TRUE)</f>
        <v>0</v>
      </c>
      <c r="AX66" t="b">
        <f>IF(metadata!M66="",FALSE,TRUE)</f>
        <v>0</v>
      </c>
      <c r="AY66" t="b">
        <f>IF(metadata!N66="",FALSE,TRUE)</f>
        <v>0</v>
      </c>
      <c r="AZ66" t="b">
        <f>OR(AND(IF(metadata!O66="",FALSE,TRUE),OR(EXACT(metadata!O66,"missing: not collected"),EXACT(metadata!O66,"missing: not provided"),EXACT(metadata!O66,"missing: restricted access"))),AND(IF(metadata!O66="",FALSE,TRUE),OR(EXACT(metadata!O66,"air"),EXACT(metadata!O66,"built environment"),EXACT(metadata!O66,"host-associated"),EXACT(metadata!O66,"human-associated"),EXACT(metadata!O66,"human-skin"),EXACT(metadata!O66,"human-oral"),EXACT(metadata!O66,"human-gut"),EXACT(metadata!O66,"human-vaginal"),EXACT(metadata!O66,"microbial mat/biofilm"),EXACT(metadata!O66,"misc environment"),EXACT(metadata!O66,"plant-associated"),EXACT(metadata!O66,"sediment"),EXACT(metadata!O66,"soil"),EXACT(metadata!O66,"wastewater/sludge"),EXACT(metadata!O66,"water"))))</f>
        <v>0</v>
      </c>
      <c r="BA66" t="b">
        <f>IF(metadata!P66="",FALSE,TRUE)</f>
        <v>0</v>
      </c>
      <c r="BB66" t="b">
        <f>IF(metadata!Q66="",FALSE,TRUE)</f>
        <v>0</v>
      </c>
      <c r="BC66" t="b">
        <f>OR(AND(IF(metadata!R66="",FALSE,TRUE),OR(EXACT(metadata!R66,"missing: not collected"),EXACT(metadata!R66,"missing: not provided"),EXACT(metadata!R66,"missing: restricted access"))),AND(IF(metadata!R66="",FALSE,ISNUMBER(VALUE(metadata!R66))),metadata!R66&gt;=-90,metadata!R66&lt;=90))</f>
        <v>0</v>
      </c>
      <c r="BD66" t="b">
        <f>AND(IF(metadata!S66="",FALSE,TRUE),EXACT(metadata!S66,"Decimal degrees"))</f>
        <v>0</v>
      </c>
      <c r="BE66" t="b">
        <f>OR(AND(IF(metadata!T66="",FALSE,TRUE),OR(EXACT(metadata!T66,"missing: not collected"),EXACT(metadata!T66,"missing: not provided"),EXACT(metadata!T66,"missing: restricted access"))),AND(IF(metadata!T66="",FALSE,ISNUMBER(VALUE(metadata!T66))),metadata!T66&gt;=-180,metadata!T66&lt;=180))</f>
        <v>0</v>
      </c>
      <c r="BF66" t="b">
        <f>AND(IF(metadata!U66="",FALSE,TRUE),EXACT(metadata!U66,"Decimal degrees"))</f>
        <v>0</v>
      </c>
      <c r="BG66" t="b">
        <f>IF(metadata!V66="",FALSE,TRUE)</f>
        <v>0</v>
      </c>
      <c r="BH66" t="b">
        <f>OR(AND(IF(metadata!W66="",FALSE,TRUE),OR(EXACT(metadata!W66,"missing: not collected"),EXACT(metadata!W66,"missing: not provided"),EXACT(metadata!W66,"missing: restricted access"))),AND(IF(metadata!W66="",FALSE,TRUE),OR(EXACT(metadata!W66,"TRUE"),EXACT(metadata!W66,"FALSE"))))</f>
        <v>0</v>
      </c>
      <c r="BI66" t="b">
        <f>AND(IF(metadata!X66="",FALSE,TRUE),EXACT(metadata!X66,"other"))</f>
        <v>0</v>
      </c>
      <c r="BJ66" t="b">
        <f>IF(metadata!Y66="",FALSE,TRUE)</f>
        <v>0</v>
      </c>
      <c r="BK66" t="b">
        <f>OR(AND(IF(metadata!Z66="",FALSE,TRUE),OR(EXACT(metadata!Z66,"missing: not collected"),EXACT(metadata!Z66,"missing: not provided"))),AND(IF(metadata!Z66="",FALSE,IF(ISERROR(INT(metadata!Z66)),FALSE,INT(metadata!Z66)=metadata!Z66)),metadata!Z66&gt;0))</f>
        <v>0</v>
      </c>
      <c r="BL66" t="b">
        <f>AND(IF(metadata!AA66="",FALSE,TRUE),EXACT(metadata!AA66,"Not applicable"))</f>
        <v>0</v>
      </c>
      <c r="BM66" t="b">
        <f>IF(metadata!AB66="",FALSE,TRUE)</f>
        <v>0</v>
      </c>
    </row>
    <row r="67" spans="1:65" x14ac:dyDescent="0.2">
      <c r="A67" s="5" t="str">
        <f ca="1">IF(B67=" "," ",HYPERLINK(CONCATENATE("#metadata!",ADDRESS(INDEX($AH$2:$AH$1001,MATCH(ROWS($AF$2:AF67),$AF$2:$AF$1001,0),0),1)),INDEX($AK$2:$AK$1001,MATCH(ROWS($AF$2:AF67),$AF$2:$AF$1001,0),0)))</f>
        <v xml:space="preserve"> </v>
      </c>
      <c r="B67" s="4" t="str">
        <f ca="1">IF(OR(INDEX($AG$2:$AG$1001,MATCH(ROWS($AF$2:AF67),$AF$2:$AF$1001,0),1)&gt;=100000,INDEX($AM$1005:$BM$1005,1,MATCH(COLUMNS($AM$1006:AM1006),$AM$1006:$BM$1006,0))&gt;=100000), " ",IF(INDEX($AM$2:$BM$1001,MATCH(ROWS($AF$2:AF67),$AF$2:$AF$1001,0),MATCH(COLUMNS($AM$1006:AM1006),$AM$1006:$BM$1006,0)), HYPERLINK("#",""), HYPERLINK(CONCATENATE("#metadata!", ADDRESS(INDEX($AH$2:$AH$1001,MATCH(ROWS($AF$2:AF67),$AF$2:$AF$1001,0),0), INDEX($AM$1004:$BM$1004,1,MATCH(COLUMNS($AM$1006:AM1006),$AM$1006:$BM$1006,0)))),"Fix")))</f>
        <v xml:space="preserve"> </v>
      </c>
      <c r="C67" s="4" t="str">
        <f ca="1">IF(OR(INDEX($AG$2:$AG$1001,MATCH(ROWS($AF$2:AF67),$AF$2:$AF$1001,0),1)&gt;=100000,INDEX($AM$1005:$BM$1005,1,MATCH(COLUMNS($AM$1006:AN1006),$AM$1006:$BM$1006,0))&gt;=100000), " ",IF(INDEX($AM$2:$BM$1001,MATCH(ROWS($AF$2:AF67),$AF$2:$AF$1001,0),MATCH(COLUMNS($AM$1006:AN1006),$AM$1006:$BM$1006,0)), HYPERLINK("#",""), HYPERLINK(CONCATENATE("#metadata!", ADDRESS(INDEX($AH$2:$AH$1001,MATCH(ROWS($AF$2:AF67),$AF$2:$AF$1001,0),0), INDEX($AM$1004:$BM$1004,1,MATCH(COLUMNS($AM$1006:AN1006),$AM$1006:$BM$1006,0)))),"Fix")))</f>
        <v xml:space="preserve"> </v>
      </c>
      <c r="D67" s="4" t="str">
        <f ca="1">IF(OR(INDEX($AG$2:$AG$1001,MATCH(ROWS($AF$2:AF67),$AF$2:$AF$1001,0),1)&gt;=100000,INDEX($AM$1005:$BM$1005,1,MATCH(COLUMNS($AM$1006:AO1006),$AM$1006:$BM$1006,0))&gt;=100000), " ",IF(INDEX($AM$2:$BM$1001,MATCH(ROWS($AF$2:AF67),$AF$2:$AF$1001,0),MATCH(COLUMNS($AM$1006:AO1006),$AM$1006:$BM$1006,0)), HYPERLINK("#",""), HYPERLINK(CONCATENATE("#metadata!", ADDRESS(INDEX($AH$2:$AH$1001,MATCH(ROWS($AF$2:AF67),$AF$2:$AF$1001,0),0), INDEX($AM$1004:$BM$1004,1,MATCH(COLUMNS($AM$1006:AO1006),$AM$1006:$BM$1006,0)))),"Fix")))</f>
        <v xml:space="preserve"> </v>
      </c>
      <c r="E67" s="4" t="str">
        <f ca="1">IF(OR(INDEX($AG$2:$AG$1001,MATCH(ROWS($AF$2:AF67),$AF$2:$AF$1001,0),1)&gt;=100000,INDEX($AM$1005:$BM$1005,1,MATCH(COLUMNS($AM$1006:AP1006),$AM$1006:$BM$1006,0))&gt;=100000), " ",IF(INDEX($AM$2:$BM$1001,MATCH(ROWS($AF$2:AF67),$AF$2:$AF$1001,0),MATCH(COLUMNS($AM$1006:AP1006),$AM$1006:$BM$1006,0)), HYPERLINK("#",""), HYPERLINK(CONCATENATE("#metadata!", ADDRESS(INDEX($AH$2:$AH$1001,MATCH(ROWS($AF$2:AF67),$AF$2:$AF$1001,0),0), INDEX($AM$1004:$BM$1004,1,MATCH(COLUMNS($AM$1006:AP1006),$AM$1006:$BM$1006,0)))),"Fix")))</f>
        <v xml:space="preserve"> </v>
      </c>
      <c r="F67" s="4" t="str">
        <f ca="1">IF(OR(INDEX($AG$2:$AG$1001,MATCH(ROWS($AF$2:AF67),$AF$2:$AF$1001,0),1)&gt;=100000,INDEX($AM$1005:$BM$1005,1,MATCH(COLUMNS($AM$1006:AQ1006),$AM$1006:$BM$1006,0))&gt;=100000), " ",IF(INDEX($AM$2:$BM$1001,MATCH(ROWS($AF$2:AF67),$AF$2:$AF$1001,0),MATCH(COLUMNS($AM$1006:AQ1006),$AM$1006:$BM$1006,0)), HYPERLINK("#",""), HYPERLINK(CONCATENATE("#metadata!", ADDRESS(INDEX($AH$2:$AH$1001,MATCH(ROWS($AF$2:AF67),$AF$2:$AF$1001,0),0), INDEX($AM$1004:$BM$1004,1,MATCH(COLUMNS($AM$1006:AQ1006),$AM$1006:$BM$1006,0)))),"Fix")))</f>
        <v xml:space="preserve"> </v>
      </c>
      <c r="G67" s="4" t="str">
        <f ca="1">IF(OR(INDEX($AG$2:$AG$1001,MATCH(ROWS($AF$2:AF67),$AF$2:$AF$1001,0),1)&gt;=100000,INDEX($AM$1005:$BM$1005,1,MATCH(COLUMNS($AM$1006:AR1006),$AM$1006:$BM$1006,0))&gt;=100000), " ",IF(INDEX($AM$2:$BM$1001,MATCH(ROWS($AF$2:AF67),$AF$2:$AF$1001,0),MATCH(COLUMNS($AM$1006:AR1006),$AM$1006:$BM$1006,0)), HYPERLINK("#",""), HYPERLINK(CONCATENATE("#metadata!", ADDRESS(INDEX($AH$2:$AH$1001,MATCH(ROWS($AF$2:AF67),$AF$2:$AF$1001,0),0), INDEX($AM$1004:$BM$1004,1,MATCH(COLUMNS($AM$1006:AR1006),$AM$1006:$BM$1006,0)))),"Fix")))</f>
        <v xml:space="preserve"> </v>
      </c>
      <c r="H67" s="4" t="str">
        <f ca="1">IF(OR(INDEX($AG$2:$AG$1001,MATCH(ROWS($AF$2:AF67),$AF$2:$AF$1001,0),1)&gt;=100000,INDEX($AM$1005:$BM$1005,1,MATCH(COLUMNS($AM$1006:AS1006),$AM$1006:$BM$1006,0))&gt;=100000), " ",IF(INDEX($AM$2:$BM$1001,MATCH(ROWS($AF$2:AF67),$AF$2:$AF$1001,0),MATCH(COLUMNS($AM$1006:AS1006),$AM$1006:$BM$1006,0)), HYPERLINK("#",""), HYPERLINK(CONCATENATE("#metadata!", ADDRESS(INDEX($AH$2:$AH$1001,MATCH(ROWS($AF$2:AF67),$AF$2:$AF$1001,0),0), INDEX($AM$1004:$BM$1004,1,MATCH(COLUMNS($AM$1006:AS1006),$AM$1006:$BM$1006,0)))),"Fix")))</f>
        <v xml:space="preserve"> </v>
      </c>
      <c r="I67" s="4" t="str">
        <f ca="1">IF(OR(INDEX($AG$2:$AG$1001,MATCH(ROWS($AF$2:AF67),$AF$2:$AF$1001,0),1)&gt;=100000,INDEX($AM$1005:$BM$1005,1,MATCH(COLUMNS($AM$1006:AT1006),$AM$1006:$BM$1006,0))&gt;=100000), " ",IF(INDEX($AM$2:$BM$1001,MATCH(ROWS($AF$2:AF67),$AF$2:$AF$1001,0),MATCH(COLUMNS($AM$1006:AT1006),$AM$1006:$BM$1006,0)), HYPERLINK("#",""), HYPERLINK(CONCATENATE("#metadata!", ADDRESS(INDEX($AH$2:$AH$1001,MATCH(ROWS($AF$2:AF67),$AF$2:$AF$1001,0),0), INDEX($AM$1004:$BM$1004,1,MATCH(COLUMNS($AM$1006:AT1006),$AM$1006:$BM$1006,0)))),"Fix")))</f>
        <v xml:space="preserve"> </v>
      </c>
      <c r="J67" s="4" t="str">
        <f ca="1">IF(OR(INDEX($AG$2:$AG$1001,MATCH(ROWS($AF$2:AF67),$AF$2:$AF$1001,0),1)&gt;=100000,INDEX($AM$1005:$BM$1005,1,MATCH(COLUMNS($AM$1006:AU1006),$AM$1006:$BM$1006,0))&gt;=100000), " ",IF(INDEX($AM$2:$BM$1001,MATCH(ROWS($AF$2:AF67),$AF$2:$AF$1001,0),MATCH(COLUMNS($AM$1006:AU1006),$AM$1006:$BM$1006,0)), HYPERLINK("#",""), HYPERLINK(CONCATENATE("#metadata!", ADDRESS(INDEX($AH$2:$AH$1001,MATCH(ROWS($AF$2:AF67),$AF$2:$AF$1001,0),0), INDEX($AM$1004:$BM$1004,1,MATCH(COLUMNS($AM$1006:AU1006),$AM$1006:$BM$1006,0)))),"Fix")))</f>
        <v xml:space="preserve"> </v>
      </c>
      <c r="K67" s="4" t="str">
        <f ca="1">IF(OR(INDEX($AG$2:$AG$1001,MATCH(ROWS($AF$2:AF67),$AF$2:$AF$1001,0),1)&gt;=100000,INDEX($AM$1005:$BM$1005,1,MATCH(COLUMNS($AM$1006:AV1006),$AM$1006:$BM$1006,0))&gt;=100000), " ",IF(INDEX($AM$2:$BM$1001,MATCH(ROWS($AF$2:AF67),$AF$2:$AF$1001,0),MATCH(COLUMNS($AM$1006:AV1006),$AM$1006:$BM$1006,0)), HYPERLINK("#",""), HYPERLINK(CONCATENATE("#metadata!", ADDRESS(INDEX($AH$2:$AH$1001,MATCH(ROWS($AF$2:AF67),$AF$2:$AF$1001,0),0), INDEX($AM$1004:$BM$1004,1,MATCH(COLUMNS($AM$1006:AV1006),$AM$1006:$BM$1006,0)))),"Fix")))</f>
        <v xml:space="preserve"> </v>
      </c>
      <c r="L67" s="4" t="str">
        <f ca="1">IF(OR(INDEX($AG$2:$AG$1001,MATCH(ROWS($AF$2:AF67),$AF$2:$AF$1001,0),1)&gt;=100000,INDEX($AM$1005:$BM$1005,1,MATCH(COLUMNS($AM$1006:AW1006),$AM$1006:$BM$1006,0))&gt;=100000), " ",IF(INDEX($AM$2:$BM$1001,MATCH(ROWS($AF$2:AF67),$AF$2:$AF$1001,0),MATCH(COLUMNS($AM$1006:AW1006),$AM$1006:$BM$1006,0)), HYPERLINK("#",""), HYPERLINK(CONCATENATE("#metadata!", ADDRESS(INDEX($AH$2:$AH$1001,MATCH(ROWS($AF$2:AF67),$AF$2:$AF$1001,0),0), INDEX($AM$1004:$BM$1004,1,MATCH(COLUMNS($AM$1006:AW1006),$AM$1006:$BM$1006,0)))),"Fix")))</f>
        <v xml:space="preserve"> </v>
      </c>
      <c r="M67" s="4" t="str">
        <f ca="1">IF(OR(INDEX($AG$2:$AG$1001,MATCH(ROWS($AF$2:AF67),$AF$2:$AF$1001,0),1)&gt;=100000,INDEX($AM$1005:$BM$1005,1,MATCH(COLUMNS($AM$1006:AX1006),$AM$1006:$BM$1006,0))&gt;=100000), " ",IF(INDEX($AM$2:$BM$1001,MATCH(ROWS($AF$2:AF67),$AF$2:$AF$1001,0),MATCH(COLUMNS($AM$1006:AX1006),$AM$1006:$BM$1006,0)), HYPERLINK("#",""), HYPERLINK(CONCATENATE("#metadata!", ADDRESS(INDEX($AH$2:$AH$1001,MATCH(ROWS($AF$2:AF67),$AF$2:$AF$1001,0),0), INDEX($AM$1004:$BM$1004,1,MATCH(COLUMNS($AM$1006:AX1006),$AM$1006:$BM$1006,0)))),"Fix")))</f>
        <v xml:space="preserve"> </v>
      </c>
      <c r="N67" s="4" t="str">
        <f ca="1">IF(OR(INDEX($AG$2:$AG$1001,MATCH(ROWS($AF$2:AF67),$AF$2:$AF$1001,0),1)&gt;=100000,INDEX($AM$1005:$BM$1005,1,MATCH(COLUMNS($AM$1006:AY1006),$AM$1006:$BM$1006,0))&gt;=100000), " ",IF(INDEX($AM$2:$BM$1001,MATCH(ROWS($AF$2:AF67),$AF$2:$AF$1001,0),MATCH(COLUMNS($AM$1006:AY1006),$AM$1006:$BM$1006,0)), HYPERLINK("#",""), HYPERLINK(CONCATENATE("#metadata!", ADDRESS(INDEX($AH$2:$AH$1001,MATCH(ROWS($AF$2:AF67),$AF$2:$AF$1001,0),0), INDEX($AM$1004:$BM$1004,1,MATCH(COLUMNS($AM$1006:AY1006),$AM$1006:$BM$1006,0)))),"Fix")))</f>
        <v xml:space="preserve"> </v>
      </c>
      <c r="O67" s="4" t="str">
        <f ca="1">IF(OR(INDEX($AG$2:$AG$1001,MATCH(ROWS($AF$2:AF67),$AF$2:$AF$1001,0),1)&gt;=100000,INDEX($AM$1005:$BM$1005,1,MATCH(COLUMNS($AM$1006:AZ1006),$AM$1006:$BM$1006,0))&gt;=100000), " ",IF(INDEX($AM$2:$BM$1001,MATCH(ROWS($AF$2:AF67),$AF$2:$AF$1001,0),MATCH(COLUMNS($AM$1006:AZ1006),$AM$1006:$BM$1006,0)), HYPERLINK("#",""), HYPERLINK(CONCATENATE("#metadata!", ADDRESS(INDEX($AH$2:$AH$1001,MATCH(ROWS($AF$2:AF67),$AF$2:$AF$1001,0),0), INDEX($AM$1004:$BM$1004,1,MATCH(COLUMNS($AM$1006:AZ1006),$AM$1006:$BM$1006,0)))),"Fix")))</f>
        <v xml:space="preserve"> </v>
      </c>
      <c r="P67" s="4" t="str">
        <f ca="1">IF(OR(INDEX($AG$2:$AG$1001,MATCH(ROWS($AF$2:AF67),$AF$2:$AF$1001,0),1)&gt;=100000,INDEX($AM$1005:$BM$1005,1,MATCH(COLUMNS($AM$1006:BA1006),$AM$1006:$BM$1006,0))&gt;=100000), " ",IF(INDEX($AM$2:$BM$1001,MATCH(ROWS($AF$2:AF67),$AF$2:$AF$1001,0),MATCH(COLUMNS($AM$1006:BA1006),$AM$1006:$BM$1006,0)), HYPERLINK("#",""), HYPERLINK(CONCATENATE("#metadata!", ADDRESS(INDEX($AH$2:$AH$1001,MATCH(ROWS($AF$2:AF67),$AF$2:$AF$1001,0),0), INDEX($AM$1004:$BM$1004,1,MATCH(COLUMNS($AM$1006:BA1006),$AM$1006:$BM$1006,0)))),"Fix")))</f>
        <v xml:space="preserve"> </v>
      </c>
      <c r="Q67" s="4" t="str">
        <f ca="1">IF(OR(INDEX($AG$2:$AG$1001,MATCH(ROWS($AF$2:AF67),$AF$2:$AF$1001,0),1)&gt;=100000,INDEX($AM$1005:$BM$1005,1,MATCH(COLUMNS($AM$1006:BB1006),$AM$1006:$BM$1006,0))&gt;=100000), " ",IF(INDEX($AM$2:$BM$1001,MATCH(ROWS($AF$2:AF67),$AF$2:$AF$1001,0),MATCH(COLUMNS($AM$1006:BB1006),$AM$1006:$BM$1006,0)), HYPERLINK("#",""), HYPERLINK(CONCATENATE("#metadata!", ADDRESS(INDEX($AH$2:$AH$1001,MATCH(ROWS($AF$2:AF67),$AF$2:$AF$1001,0),0), INDEX($AM$1004:$BM$1004,1,MATCH(COLUMNS($AM$1006:BB1006),$AM$1006:$BM$1006,0)))),"Fix")))</f>
        <v xml:space="preserve"> </v>
      </c>
      <c r="R67" s="4" t="str">
        <f ca="1">IF(OR(INDEX($AG$2:$AG$1001,MATCH(ROWS($AF$2:AF67),$AF$2:$AF$1001,0),1)&gt;=100000,INDEX($AM$1005:$BM$1005,1,MATCH(COLUMNS($AM$1006:BC1006),$AM$1006:$BM$1006,0))&gt;=100000), " ",IF(INDEX($AM$2:$BM$1001,MATCH(ROWS($AF$2:AF67),$AF$2:$AF$1001,0),MATCH(COLUMNS($AM$1006:BC1006),$AM$1006:$BM$1006,0)), HYPERLINK("#",""), HYPERLINK(CONCATENATE("#metadata!", ADDRESS(INDEX($AH$2:$AH$1001,MATCH(ROWS($AF$2:AF67),$AF$2:$AF$1001,0),0), INDEX($AM$1004:$BM$1004,1,MATCH(COLUMNS($AM$1006:BC1006),$AM$1006:$BM$1006,0)))),"Fix")))</f>
        <v xml:space="preserve"> </v>
      </c>
      <c r="S67" s="4" t="str">
        <f ca="1">IF(OR(INDEX($AG$2:$AG$1001,MATCH(ROWS($AF$2:AF67),$AF$2:$AF$1001,0),1)&gt;=100000,INDEX($AM$1005:$BM$1005,1,MATCH(COLUMNS($AM$1006:BD1006),$AM$1006:$BM$1006,0))&gt;=100000), " ",IF(INDEX($AM$2:$BM$1001,MATCH(ROWS($AF$2:AF67),$AF$2:$AF$1001,0),MATCH(COLUMNS($AM$1006:BD1006),$AM$1006:$BM$1006,0)), HYPERLINK("#",""), HYPERLINK(CONCATENATE("#metadata!", ADDRESS(INDEX($AH$2:$AH$1001,MATCH(ROWS($AF$2:AF67),$AF$2:$AF$1001,0),0), INDEX($AM$1004:$BM$1004,1,MATCH(COLUMNS($AM$1006:BD1006),$AM$1006:$BM$1006,0)))),"Fix")))</f>
        <v xml:space="preserve"> </v>
      </c>
      <c r="T67" s="4" t="str">
        <f ca="1">IF(OR(INDEX($AG$2:$AG$1001,MATCH(ROWS($AF$2:AF67),$AF$2:$AF$1001,0),1)&gt;=100000,INDEX($AM$1005:$BM$1005,1,MATCH(COLUMNS($AM$1006:BE1006),$AM$1006:$BM$1006,0))&gt;=100000), " ",IF(INDEX($AM$2:$BM$1001,MATCH(ROWS($AF$2:AF67),$AF$2:$AF$1001,0),MATCH(COLUMNS($AM$1006:BE1006),$AM$1006:$BM$1006,0)), HYPERLINK("#",""), HYPERLINK(CONCATENATE("#metadata!", ADDRESS(INDEX($AH$2:$AH$1001,MATCH(ROWS($AF$2:AF67),$AF$2:$AF$1001,0),0), INDEX($AM$1004:$BM$1004,1,MATCH(COLUMNS($AM$1006:BE1006),$AM$1006:$BM$1006,0)))),"Fix")))</f>
        <v xml:space="preserve"> </v>
      </c>
      <c r="U67" s="4" t="str">
        <f ca="1">IF(OR(INDEX($AG$2:$AG$1001,MATCH(ROWS($AF$2:AF67),$AF$2:$AF$1001,0),1)&gt;=100000,INDEX($AM$1005:$BM$1005,1,MATCH(COLUMNS($AM$1006:BF1006),$AM$1006:$BM$1006,0))&gt;=100000), " ",IF(INDEX($AM$2:$BM$1001,MATCH(ROWS($AF$2:AF67),$AF$2:$AF$1001,0),MATCH(COLUMNS($AM$1006:BF1006),$AM$1006:$BM$1006,0)), HYPERLINK("#",""), HYPERLINK(CONCATENATE("#metadata!", ADDRESS(INDEX($AH$2:$AH$1001,MATCH(ROWS($AF$2:AF67),$AF$2:$AF$1001,0),0), INDEX($AM$1004:$BM$1004,1,MATCH(COLUMNS($AM$1006:BF1006),$AM$1006:$BM$1006,0)))),"Fix")))</f>
        <v xml:space="preserve"> </v>
      </c>
      <c r="V67" s="4" t="str">
        <f ca="1">IF(OR(INDEX($AG$2:$AG$1001,MATCH(ROWS($AF$2:AF67),$AF$2:$AF$1001,0),1)&gt;=100000,INDEX($AM$1005:$BM$1005,1,MATCH(COLUMNS($AM$1006:BG1006),$AM$1006:$BM$1006,0))&gt;=100000), " ",IF(INDEX($AM$2:$BM$1001,MATCH(ROWS($AF$2:AF67),$AF$2:$AF$1001,0),MATCH(COLUMNS($AM$1006:BG1006),$AM$1006:$BM$1006,0)), HYPERLINK("#",""), HYPERLINK(CONCATENATE("#metadata!", ADDRESS(INDEX($AH$2:$AH$1001,MATCH(ROWS($AF$2:AF67),$AF$2:$AF$1001,0),0), INDEX($AM$1004:$BM$1004,1,MATCH(COLUMNS($AM$1006:BG1006),$AM$1006:$BM$1006,0)))),"Fix")))</f>
        <v xml:space="preserve"> </v>
      </c>
      <c r="W67" s="4" t="str">
        <f ca="1">IF(OR(INDEX($AG$2:$AG$1001,MATCH(ROWS($AF$2:AF67),$AF$2:$AF$1001,0),1)&gt;=100000,INDEX($AM$1005:$BM$1005,1,MATCH(COLUMNS($AM$1006:BH1006),$AM$1006:$BM$1006,0))&gt;=100000), " ",IF(INDEX($AM$2:$BM$1001,MATCH(ROWS($AF$2:AF67),$AF$2:$AF$1001,0),MATCH(COLUMNS($AM$1006:BH1006),$AM$1006:$BM$1006,0)), HYPERLINK("#",""), HYPERLINK(CONCATENATE("#metadata!", ADDRESS(INDEX($AH$2:$AH$1001,MATCH(ROWS($AF$2:AF67),$AF$2:$AF$1001,0),0), INDEX($AM$1004:$BM$1004,1,MATCH(COLUMNS($AM$1006:BH1006),$AM$1006:$BM$1006,0)))),"Fix")))</f>
        <v xml:space="preserve"> </v>
      </c>
      <c r="X67" s="4" t="str">
        <f ca="1">IF(OR(INDEX($AG$2:$AG$1001,MATCH(ROWS($AF$2:AF67),$AF$2:$AF$1001,0),1)&gt;=100000,INDEX($AM$1005:$BM$1005,1,MATCH(COLUMNS($AM$1006:BI1006),$AM$1006:$BM$1006,0))&gt;=100000), " ",IF(INDEX($AM$2:$BM$1001,MATCH(ROWS($AF$2:AF67),$AF$2:$AF$1001,0),MATCH(COLUMNS($AM$1006:BI1006),$AM$1006:$BM$1006,0)), HYPERLINK("#",""), HYPERLINK(CONCATENATE("#metadata!", ADDRESS(INDEX($AH$2:$AH$1001,MATCH(ROWS($AF$2:AF67),$AF$2:$AF$1001,0),0), INDEX($AM$1004:$BM$1004,1,MATCH(COLUMNS($AM$1006:BI1006),$AM$1006:$BM$1006,0)))),"Fix")))</f>
        <v xml:space="preserve"> </v>
      </c>
      <c r="Y67" s="4" t="str">
        <f ca="1">IF(OR(INDEX($AG$2:$AG$1001,MATCH(ROWS($AF$2:AF67),$AF$2:$AF$1001,0),1)&gt;=100000,INDEX($AM$1005:$BM$1005,1,MATCH(COLUMNS($AM$1006:BJ1006),$AM$1006:$BM$1006,0))&gt;=100000), " ",IF(INDEX($AM$2:$BM$1001,MATCH(ROWS($AF$2:AF67),$AF$2:$AF$1001,0),MATCH(COLUMNS($AM$1006:BJ1006),$AM$1006:$BM$1006,0)), HYPERLINK("#",""), HYPERLINK(CONCATENATE("#metadata!", ADDRESS(INDEX($AH$2:$AH$1001,MATCH(ROWS($AF$2:AF67),$AF$2:$AF$1001,0),0), INDEX($AM$1004:$BM$1004,1,MATCH(COLUMNS($AM$1006:BJ1006),$AM$1006:$BM$1006,0)))),"Fix")))</f>
        <v xml:space="preserve"> </v>
      </c>
      <c r="Z67" s="4" t="str">
        <f ca="1">IF(OR(INDEX($AG$2:$AG$1001,MATCH(ROWS($AF$2:AF67),$AF$2:$AF$1001,0),1)&gt;=100000,INDEX($AM$1005:$BM$1005,1,MATCH(COLUMNS($AM$1006:BK1006),$AM$1006:$BM$1006,0))&gt;=100000), " ",IF(INDEX($AM$2:$BM$1001,MATCH(ROWS($AF$2:AF67),$AF$2:$AF$1001,0),MATCH(COLUMNS($AM$1006:BK1006),$AM$1006:$BM$1006,0)), HYPERLINK("#",""), HYPERLINK(CONCATENATE("#metadata!", ADDRESS(INDEX($AH$2:$AH$1001,MATCH(ROWS($AF$2:AF67),$AF$2:$AF$1001,0),0), INDEX($AM$1004:$BM$1004,1,MATCH(COLUMNS($AM$1006:BK1006),$AM$1006:$BM$1006,0)))),"Fix")))</f>
        <v xml:space="preserve"> </v>
      </c>
      <c r="AA67" s="4" t="str">
        <f ca="1">IF(OR(INDEX($AG$2:$AG$1001,MATCH(ROWS($AF$2:AF67),$AF$2:$AF$1001,0),1)&gt;=100000,INDEX($AM$1005:$BM$1005,1,MATCH(COLUMNS($AM$1006:BL1006),$AM$1006:$BM$1006,0))&gt;=100000), " ",IF(INDEX($AM$2:$BM$1001,MATCH(ROWS($AF$2:AF67),$AF$2:$AF$1001,0),MATCH(COLUMNS($AM$1006:BL1006),$AM$1006:$BM$1006,0)), HYPERLINK("#",""), HYPERLINK(CONCATENATE("#metadata!", ADDRESS(INDEX($AH$2:$AH$1001,MATCH(ROWS($AF$2:AF67),$AF$2:$AF$1001,0),0), INDEX($AM$1004:$BM$1004,1,MATCH(COLUMNS($AM$1006:BL1006),$AM$1006:$BM$1006,0)))),"Fix")))</f>
        <v xml:space="preserve"> </v>
      </c>
      <c r="AB67" s="4" t="str">
        <f ca="1">IF(OR(INDEX($AG$2:$AG$1001,MATCH(ROWS($AF$2:AF67),$AF$2:$AF$1001,0),1)&gt;=100000,INDEX($AM$1005:$BM$1005,1,MATCH(COLUMNS($AM$1006:BM1006),$AM$1006:$BM$1006,0))&gt;=100000), " ",IF(INDEX($AM$2:$BM$1001,MATCH(ROWS($AF$2:AF67),$AF$2:$AF$1001,0),MATCH(COLUMNS($AM$1006:BM1006),$AM$1006:$BM$1006,0)), HYPERLINK("#",""), HYPERLINK(CONCATENATE("#metadata!", ADDRESS(INDEX($AH$2:$AH$1001,MATCH(ROWS($AF$2:AF67),$AF$2:$AF$1001,0),0), INDEX($AM$1004:$BM$1004,1,MATCH(COLUMNS($AM$1006:BM1006),$AM$1006:$BM$1006,0)))),"Fix")))</f>
        <v xml:space="preserve"> </v>
      </c>
      <c r="AF67">
        <v>66</v>
      </c>
      <c r="AG67">
        <v>100067</v>
      </c>
      <c r="AH67">
        <v>67</v>
      </c>
      <c r="AI67" t="b">
        <f t="shared" si="1"/>
        <v>1</v>
      </c>
      <c r="AJ67" t="b">
        <f>COUNTBLANK(metadata!B67:AB67)=COLUMNS(metadata!B67:AB67)</f>
        <v>1</v>
      </c>
      <c r="AK67" t="str">
        <v/>
      </c>
      <c r="AM67" t="b">
        <f ca="1">AND(IF(metadata!B67="",FALSE,TRUE),COUNTIF(metadata!B:B, metadata!B67) = 1,NOT(ISERROR(SUMPRODUCT(SEARCH(MID(metadata!B67,ROW(INDIRECT("1:"&amp;LEN(metadata!B67))), 1),"0123456789abcdefghijklmnopqrstuvwxyzABCDEFGHIJKLMNOPQRSTUVWXYZ.")))))</f>
        <v>0</v>
      </c>
      <c r="AN67" t="b">
        <f ca="1">OR(AND(IF(metadata!C67="",FALSE,TRUE),OR(EXACT(metadata!C67,"missing: not collected"),EXACT(metadata!C67,"missing: not provided"),EXACT(metadata!C67,"missing: restricted access"))),AND(IF(metadata!C67="",FALSE,TRUE),AND(AND(IFERROR(INT(LEFT(metadata!C67,4))&gt;1900,FALSE),IFERROR(INT(LEFT(metadata!C67,4))&lt;=YEAR(NOW()),FALSE)), OR(MID(metadata!C67,5,1)="", AND(AND(MID(metadata!C67,5,1)="-",IFERROR(INT(MID(metadata!C67,6,1))&gt;=0,FALSE),IFERROR(INT(MID(metadata!C67,6,1))&lt;=1,FALSE),NOT(MID(metadata!C67,7,1)=""),IFERROR(INT(MID(metadata!C67,6,2))&gt;=1,FALSE),IFERROR(INT(MID(metadata!C67,6,2))&lt;=12,FALSE)), OR(MID(metadata!C67,8,1)="", AND(AND(MID(metadata!C67,8,1)="-",IFERROR(INT(MID(metadata!C67,9,1))&gt;=0,FALSE),IFERROR(INT(MID(metadata!C67,9,1))&lt;=3,FALSE),NOT(MID(metadata!C67,10,1)=""),IFERROR(INT(MID(metadata!C67,9,2))&gt;=1,FALSE),IFERROR(INT(MID(metadata!C67,9,2))&lt;=31,FALSE)), OR(MID(metadata!C67,11,1)="", AND(AND(MID(metadata!C67,11,1)=" ",IFERROR(INT(MID(metadata!C67,12,1))&gt;=0,FALSE),IFERROR(INT(MID(metadata!C67,12,1))&lt;=2,FALSE),NOT(MID(metadata!C67,13,1)=""),IFERROR(INT(MID(metadata!C67,12,2))&gt;=0,FALSE),IFERROR(INT(MID(metadata!C67,12,2))&lt;=23,FALSE)), OR(MID(metadata!C67,14,1)="", AND(AND(MID(metadata!C67,14,1)=":",IFERROR(INT(MID(metadata!C67,15,1))&gt;=0,FALSE),IFERROR(INT(MID(metadata!C67,15,1))&lt;=5,FALSE),NOT(MID(metadata!C67,16,1)=""),IFERROR(INT(MID(metadata!C67,15,2))&gt;=0,FALSE),IFERROR(INT(MID(metadata!C67,15,2))&lt;=59,FALSE)), OR(MID(metadata!C67,17,1)="", AND(AND(MID(metadata!C67,17,1)=":",IFERROR(INT(MID(metadata!C67,18,1))&gt;=0,FALSE),IFERROR(INT(MID(metadata!C67,18,1))&lt;=5,FALSE),NOT(MID(metadata!C67,19,1)=""),IFERROR(INT(MID(metadata!C67,18,2))&gt;=0,FALSE),IFERROR(INT(MID(metadata!C67,18,2))&lt;=59,FALSE)), LEN(metadata!C67)&lt;=19)))))))))))))</f>
        <v>0</v>
      </c>
      <c r="AO67" t="b">
        <f>AND(IF(metadata!D67="",FALSE,TRUE),EXACT(metadata!D67,"Not applicable"))</f>
        <v>0</v>
      </c>
      <c r="AP67" t="b">
        <f>IF(metadata!E67="",FALSE,TRUE)</f>
        <v>0</v>
      </c>
      <c r="AQ67" t="b">
        <f>OR(AND(IF(metadata!F67="",FALSE,TRUE),OR(EXACT(metadata!F67,"missing: not collected"),EXACT(metadata!F67,"missing: not provided"))),AND(IF(metadata!F67="",FALSE,TRUE),OR(EXACT(metadata!F67,"TRUE"),EXACT(metadata!F67,"FALSE"))))</f>
        <v>0</v>
      </c>
      <c r="AR67" t="b">
        <f>OR(AND(IF(metadata!G67="",FALSE,TRUE),OR(EXACT(metadata!G67,"missing: not collected"),EXACT(metadata!G67,"missing: not provided"),EXACT(metadata!G67,"missing: restricted access"))),AND(IF(metadata!G67="",FALSE,ISNUMBER(VALUE(metadata!G67))),metadata!G67&gt;=-413))</f>
        <v>0</v>
      </c>
      <c r="AS67" t="b">
        <f>AND(IF(metadata!H67="",FALSE,TRUE),EXACT(metadata!H67,"meters"))</f>
        <v>0</v>
      </c>
      <c r="AT67" t="b">
        <f>AND(IF(metadata!I67="",FALSE,TRUE),OR(EXACT(metadata!I67,"Host-associated"),EXACT(metadata!I67,"Free-living")))</f>
        <v>0</v>
      </c>
      <c r="AU67" t="b">
        <f>AND(IF(metadata!J67="",FALSE,TRUE),OR(EXACT(metadata!J67,"Animal"),EXACT(metadata!J67,"Fungus"),EXACT(metadata!J67,"Plant"),EXACT(metadata!J67,"Saline"),EXACT(metadata!J67,"Non-saline")))</f>
        <v>0</v>
      </c>
      <c r="AV67" t="b">
        <f>AND(IF(metadata!K67="",FALSE,TRUE),OR(EXACT(metadata!K67,"Plant secretion"),EXACT(metadata!K67,"Plant rhizosphere"),EXACT(metadata!K67,"Plant surface"),EXACT(metadata!K67,"Plant corpus"),EXACT(metadata!K67,"Fungus surface"),EXACT(metadata!K67,"Fungus corpus"),EXACT(metadata!K67,"Animal surface"),EXACT(metadata!K67,"Animal proximal gut"),EXACT(metadata!K67,"Animal corpus"),EXACT(metadata!K67,"Animal distal gut"),EXACT(metadata!K67,"Animal secretion"),EXACT(metadata!K67,"Sub-surface (non-saline)"),EXACT(metadata!K67,"Surface (non-saline)"),EXACT(metadata!K67,"Water (non-saline)"),EXACT(metadata!K67,"Soil (non-saline)"),EXACT(metadata!K67,"Aerosol (non-saline)"),EXACT(metadata!K67,"Sediment (non-saline)"),EXACT(metadata!K67,"Surface (saline)"),EXACT(metadata!K67,"Water (saline)"),EXACT(metadata!K67,"Hypersaline (saline)"),EXACT(metadata!K67,"Aerosol (saline)"),EXACT(metadata!K67,"Sediment (saline)")))</f>
        <v>0</v>
      </c>
      <c r="AW67" t="b">
        <f>IF(metadata!L67="",FALSE,TRUE)</f>
        <v>0</v>
      </c>
      <c r="AX67" t="b">
        <f>IF(metadata!M67="",FALSE,TRUE)</f>
        <v>0</v>
      </c>
      <c r="AY67" t="b">
        <f>IF(metadata!N67="",FALSE,TRUE)</f>
        <v>0</v>
      </c>
      <c r="AZ67" t="b">
        <f>OR(AND(IF(metadata!O67="",FALSE,TRUE),OR(EXACT(metadata!O67,"missing: not collected"),EXACT(metadata!O67,"missing: not provided"),EXACT(metadata!O67,"missing: restricted access"))),AND(IF(metadata!O67="",FALSE,TRUE),OR(EXACT(metadata!O67,"air"),EXACT(metadata!O67,"built environment"),EXACT(metadata!O67,"host-associated"),EXACT(metadata!O67,"human-associated"),EXACT(metadata!O67,"human-skin"),EXACT(metadata!O67,"human-oral"),EXACT(metadata!O67,"human-gut"),EXACT(metadata!O67,"human-vaginal"),EXACT(metadata!O67,"microbial mat/biofilm"),EXACT(metadata!O67,"misc environment"),EXACT(metadata!O67,"plant-associated"),EXACT(metadata!O67,"sediment"),EXACT(metadata!O67,"soil"),EXACT(metadata!O67,"wastewater/sludge"),EXACT(metadata!O67,"water"))))</f>
        <v>0</v>
      </c>
      <c r="BA67" t="b">
        <f>IF(metadata!P67="",FALSE,TRUE)</f>
        <v>0</v>
      </c>
      <c r="BB67" t="b">
        <f>IF(metadata!Q67="",FALSE,TRUE)</f>
        <v>0</v>
      </c>
      <c r="BC67" t="b">
        <f>OR(AND(IF(metadata!R67="",FALSE,TRUE),OR(EXACT(metadata!R67,"missing: not collected"),EXACT(metadata!R67,"missing: not provided"),EXACT(metadata!R67,"missing: restricted access"))),AND(IF(metadata!R67="",FALSE,ISNUMBER(VALUE(metadata!R67))),metadata!R67&gt;=-90,metadata!R67&lt;=90))</f>
        <v>0</v>
      </c>
      <c r="BD67" t="b">
        <f>AND(IF(metadata!S67="",FALSE,TRUE),EXACT(metadata!S67,"Decimal degrees"))</f>
        <v>0</v>
      </c>
      <c r="BE67" t="b">
        <f>OR(AND(IF(metadata!T67="",FALSE,TRUE),OR(EXACT(metadata!T67,"missing: not collected"),EXACT(metadata!T67,"missing: not provided"),EXACT(metadata!T67,"missing: restricted access"))),AND(IF(metadata!T67="",FALSE,ISNUMBER(VALUE(metadata!T67))),metadata!T67&gt;=-180,metadata!T67&lt;=180))</f>
        <v>0</v>
      </c>
      <c r="BF67" t="b">
        <f>AND(IF(metadata!U67="",FALSE,TRUE),EXACT(metadata!U67,"Decimal degrees"))</f>
        <v>0</v>
      </c>
      <c r="BG67" t="b">
        <f>IF(metadata!V67="",FALSE,TRUE)</f>
        <v>0</v>
      </c>
      <c r="BH67" t="b">
        <f>OR(AND(IF(metadata!W67="",FALSE,TRUE),OR(EXACT(metadata!W67,"missing: not collected"),EXACT(metadata!W67,"missing: not provided"),EXACT(metadata!W67,"missing: restricted access"))),AND(IF(metadata!W67="",FALSE,TRUE),OR(EXACT(metadata!W67,"TRUE"),EXACT(metadata!W67,"FALSE"))))</f>
        <v>0</v>
      </c>
      <c r="BI67" t="b">
        <f>AND(IF(metadata!X67="",FALSE,TRUE),EXACT(metadata!X67,"other"))</f>
        <v>0</v>
      </c>
      <c r="BJ67" t="b">
        <f>IF(metadata!Y67="",FALSE,TRUE)</f>
        <v>0</v>
      </c>
      <c r="BK67" t="b">
        <f>OR(AND(IF(metadata!Z67="",FALSE,TRUE),OR(EXACT(metadata!Z67,"missing: not collected"),EXACT(metadata!Z67,"missing: not provided"))),AND(IF(metadata!Z67="",FALSE,IF(ISERROR(INT(metadata!Z67)),FALSE,INT(metadata!Z67)=metadata!Z67)),metadata!Z67&gt;0))</f>
        <v>0</v>
      </c>
      <c r="BL67" t="b">
        <f>AND(IF(metadata!AA67="",FALSE,TRUE),EXACT(metadata!AA67,"Not applicable"))</f>
        <v>0</v>
      </c>
      <c r="BM67" t="b">
        <f>IF(metadata!AB67="",FALSE,TRUE)</f>
        <v>0</v>
      </c>
    </row>
    <row r="68" spans="1:65" x14ac:dyDescent="0.2">
      <c r="A68" s="5" t="str">
        <f ca="1">IF(B68=" "," ",HYPERLINK(CONCATENATE("#metadata!",ADDRESS(INDEX($AH$2:$AH$1001,MATCH(ROWS($AF$2:AF68),$AF$2:$AF$1001,0),0),1)),INDEX($AK$2:$AK$1001,MATCH(ROWS($AF$2:AF68),$AF$2:$AF$1001,0),0)))</f>
        <v xml:space="preserve"> </v>
      </c>
      <c r="B68" s="4" t="str">
        <f ca="1">IF(OR(INDEX($AG$2:$AG$1001,MATCH(ROWS($AF$2:AF68),$AF$2:$AF$1001,0),1)&gt;=100000,INDEX($AM$1005:$BM$1005,1,MATCH(COLUMNS($AM$1006:AM1006),$AM$1006:$BM$1006,0))&gt;=100000), " ",IF(INDEX($AM$2:$BM$1001,MATCH(ROWS($AF$2:AF68),$AF$2:$AF$1001,0),MATCH(COLUMNS($AM$1006:AM1006),$AM$1006:$BM$1006,0)), HYPERLINK("#",""), HYPERLINK(CONCATENATE("#metadata!", ADDRESS(INDEX($AH$2:$AH$1001,MATCH(ROWS($AF$2:AF68),$AF$2:$AF$1001,0),0), INDEX($AM$1004:$BM$1004,1,MATCH(COLUMNS($AM$1006:AM1006),$AM$1006:$BM$1006,0)))),"Fix")))</f>
        <v xml:space="preserve"> </v>
      </c>
      <c r="C68" s="4" t="str">
        <f ca="1">IF(OR(INDEX($AG$2:$AG$1001,MATCH(ROWS($AF$2:AF68),$AF$2:$AF$1001,0),1)&gt;=100000,INDEX($AM$1005:$BM$1005,1,MATCH(COLUMNS($AM$1006:AN1006),$AM$1006:$BM$1006,0))&gt;=100000), " ",IF(INDEX($AM$2:$BM$1001,MATCH(ROWS($AF$2:AF68),$AF$2:$AF$1001,0),MATCH(COLUMNS($AM$1006:AN1006),$AM$1006:$BM$1006,0)), HYPERLINK("#",""), HYPERLINK(CONCATENATE("#metadata!", ADDRESS(INDEX($AH$2:$AH$1001,MATCH(ROWS($AF$2:AF68),$AF$2:$AF$1001,0),0), INDEX($AM$1004:$BM$1004,1,MATCH(COLUMNS($AM$1006:AN1006),$AM$1006:$BM$1006,0)))),"Fix")))</f>
        <v xml:space="preserve"> </v>
      </c>
      <c r="D68" s="4" t="str">
        <f ca="1">IF(OR(INDEX($AG$2:$AG$1001,MATCH(ROWS($AF$2:AF68),$AF$2:$AF$1001,0),1)&gt;=100000,INDEX($AM$1005:$BM$1005,1,MATCH(COLUMNS($AM$1006:AO1006),$AM$1006:$BM$1006,0))&gt;=100000), " ",IF(INDEX($AM$2:$BM$1001,MATCH(ROWS($AF$2:AF68),$AF$2:$AF$1001,0),MATCH(COLUMNS($AM$1006:AO1006),$AM$1006:$BM$1006,0)), HYPERLINK("#",""), HYPERLINK(CONCATENATE("#metadata!", ADDRESS(INDEX($AH$2:$AH$1001,MATCH(ROWS($AF$2:AF68),$AF$2:$AF$1001,0),0), INDEX($AM$1004:$BM$1004,1,MATCH(COLUMNS($AM$1006:AO1006),$AM$1006:$BM$1006,0)))),"Fix")))</f>
        <v xml:space="preserve"> </v>
      </c>
      <c r="E68" s="4" t="str">
        <f ca="1">IF(OR(INDEX($AG$2:$AG$1001,MATCH(ROWS($AF$2:AF68),$AF$2:$AF$1001,0),1)&gt;=100000,INDEX($AM$1005:$BM$1005,1,MATCH(COLUMNS($AM$1006:AP1006),$AM$1006:$BM$1006,0))&gt;=100000), " ",IF(INDEX($AM$2:$BM$1001,MATCH(ROWS($AF$2:AF68),$AF$2:$AF$1001,0),MATCH(COLUMNS($AM$1006:AP1006),$AM$1006:$BM$1006,0)), HYPERLINK("#",""), HYPERLINK(CONCATENATE("#metadata!", ADDRESS(INDEX($AH$2:$AH$1001,MATCH(ROWS($AF$2:AF68),$AF$2:$AF$1001,0),0), INDEX($AM$1004:$BM$1004,1,MATCH(COLUMNS($AM$1006:AP1006),$AM$1006:$BM$1006,0)))),"Fix")))</f>
        <v xml:space="preserve"> </v>
      </c>
      <c r="F68" s="4" t="str">
        <f ca="1">IF(OR(INDEX($AG$2:$AG$1001,MATCH(ROWS($AF$2:AF68),$AF$2:$AF$1001,0),1)&gt;=100000,INDEX($AM$1005:$BM$1005,1,MATCH(COLUMNS($AM$1006:AQ1006),$AM$1006:$BM$1006,0))&gt;=100000), " ",IF(INDEX($AM$2:$BM$1001,MATCH(ROWS($AF$2:AF68),$AF$2:$AF$1001,0),MATCH(COLUMNS($AM$1006:AQ1006),$AM$1006:$BM$1006,0)), HYPERLINK("#",""), HYPERLINK(CONCATENATE("#metadata!", ADDRESS(INDEX($AH$2:$AH$1001,MATCH(ROWS($AF$2:AF68),$AF$2:$AF$1001,0),0), INDEX($AM$1004:$BM$1004,1,MATCH(COLUMNS($AM$1006:AQ1006),$AM$1006:$BM$1006,0)))),"Fix")))</f>
        <v xml:space="preserve"> </v>
      </c>
      <c r="G68" s="4" t="str">
        <f ca="1">IF(OR(INDEX($AG$2:$AG$1001,MATCH(ROWS($AF$2:AF68),$AF$2:$AF$1001,0),1)&gt;=100000,INDEX($AM$1005:$BM$1005,1,MATCH(COLUMNS($AM$1006:AR1006),$AM$1006:$BM$1006,0))&gt;=100000), " ",IF(INDEX($AM$2:$BM$1001,MATCH(ROWS($AF$2:AF68),$AF$2:$AF$1001,0),MATCH(COLUMNS($AM$1006:AR1006),$AM$1006:$BM$1006,0)), HYPERLINK("#",""), HYPERLINK(CONCATENATE("#metadata!", ADDRESS(INDEX($AH$2:$AH$1001,MATCH(ROWS($AF$2:AF68),$AF$2:$AF$1001,0),0), INDEX($AM$1004:$BM$1004,1,MATCH(COLUMNS($AM$1006:AR1006),$AM$1006:$BM$1006,0)))),"Fix")))</f>
        <v xml:space="preserve"> </v>
      </c>
      <c r="H68" s="4" t="str">
        <f ca="1">IF(OR(INDEX($AG$2:$AG$1001,MATCH(ROWS($AF$2:AF68),$AF$2:$AF$1001,0),1)&gt;=100000,INDEX($AM$1005:$BM$1005,1,MATCH(COLUMNS($AM$1006:AS1006),$AM$1006:$BM$1006,0))&gt;=100000), " ",IF(INDEX($AM$2:$BM$1001,MATCH(ROWS($AF$2:AF68),$AF$2:$AF$1001,0),MATCH(COLUMNS($AM$1006:AS1006),$AM$1006:$BM$1006,0)), HYPERLINK("#",""), HYPERLINK(CONCATENATE("#metadata!", ADDRESS(INDEX($AH$2:$AH$1001,MATCH(ROWS($AF$2:AF68),$AF$2:$AF$1001,0),0), INDEX($AM$1004:$BM$1004,1,MATCH(COLUMNS($AM$1006:AS1006),$AM$1006:$BM$1006,0)))),"Fix")))</f>
        <v xml:space="preserve"> </v>
      </c>
      <c r="I68" s="4" t="str">
        <f ca="1">IF(OR(INDEX($AG$2:$AG$1001,MATCH(ROWS($AF$2:AF68),$AF$2:$AF$1001,0),1)&gt;=100000,INDEX($AM$1005:$BM$1005,1,MATCH(COLUMNS($AM$1006:AT1006),$AM$1006:$BM$1006,0))&gt;=100000), " ",IF(INDEX($AM$2:$BM$1001,MATCH(ROWS($AF$2:AF68),$AF$2:$AF$1001,0),MATCH(COLUMNS($AM$1006:AT1006),$AM$1006:$BM$1006,0)), HYPERLINK("#",""), HYPERLINK(CONCATENATE("#metadata!", ADDRESS(INDEX($AH$2:$AH$1001,MATCH(ROWS($AF$2:AF68),$AF$2:$AF$1001,0),0), INDEX($AM$1004:$BM$1004,1,MATCH(COLUMNS($AM$1006:AT1006),$AM$1006:$BM$1006,0)))),"Fix")))</f>
        <v xml:space="preserve"> </v>
      </c>
      <c r="J68" s="4" t="str">
        <f ca="1">IF(OR(INDEX($AG$2:$AG$1001,MATCH(ROWS($AF$2:AF68),$AF$2:$AF$1001,0),1)&gt;=100000,INDEX($AM$1005:$BM$1005,1,MATCH(COLUMNS($AM$1006:AU1006),$AM$1006:$BM$1006,0))&gt;=100000), " ",IF(INDEX($AM$2:$BM$1001,MATCH(ROWS($AF$2:AF68),$AF$2:$AF$1001,0),MATCH(COLUMNS($AM$1006:AU1006),$AM$1006:$BM$1006,0)), HYPERLINK("#",""), HYPERLINK(CONCATENATE("#metadata!", ADDRESS(INDEX($AH$2:$AH$1001,MATCH(ROWS($AF$2:AF68),$AF$2:$AF$1001,0),0), INDEX($AM$1004:$BM$1004,1,MATCH(COLUMNS($AM$1006:AU1006),$AM$1006:$BM$1006,0)))),"Fix")))</f>
        <v xml:space="preserve"> </v>
      </c>
      <c r="K68" s="4" t="str">
        <f ca="1">IF(OR(INDEX($AG$2:$AG$1001,MATCH(ROWS($AF$2:AF68),$AF$2:$AF$1001,0),1)&gt;=100000,INDEX($AM$1005:$BM$1005,1,MATCH(COLUMNS($AM$1006:AV1006),$AM$1006:$BM$1006,0))&gt;=100000), " ",IF(INDEX($AM$2:$BM$1001,MATCH(ROWS($AF$2:AF68),$AF$2:$AF$1001,0),MATCH(COLUMNS($AM$1006:AV1006),$AM$1006:$BM$1006,0)), HYPERLINK("#",""), HYPERLINK(CONCATENATE("#metadata!", ADDRESS(INDEX($AH$2:$AH$1001,MATCH(ROWS($AF$2:AF68),$AF$2:$AF$1001,0),0), INDEX($AM$1004:$BM$1004,1,MATCH(COLUMNS($AM$1006:AV1006),$AM$1006:$BM$1006,0)))),"Fix")))</f>
        <v xml:space="preserve"> </v>
      </c>
      <c r="L68" s="4" t="str">
        <f ca="1">IF(OR(INDEX($AG$2:$AG$1001,MATCH(ROWS($AF$2:AF68),$AF$2:$AF$1001,0),1)&gt;=100000,INDEX($AM$1005:$BM$1005,1,MATCH(COLUMNS($AM$1006:AW1006),$AM$1006:$BM$1006,0))&gt;=100000), " ",IF(INDEX($AM$2:$BM$1001,MATCH(ROWS($AF$2:AF68),$AF$2:$AF$1001,0),MATCH(COLUMNS($AM$1006:AW1006),$AM$1006:$BM$1006,0)), HYPERLINK("#",""), HYPERLINK(CONCATENATE("#metadata!", ADDRESS(INDEX($AH$2:$AH$1001,MATCH(ROWS($AF$2:AF68),$AF$2:$AF$1001,0),0), INDEX($AM$1004:$BM$1004,1,MATCH(COLUMNS($AM$1006:AW1006),$AM$1006:$BM$1006,0)))),"Fix")))</f>
        <v xml:space="preserve"> </v>
      </c>
      <c r="M68" s="4" t="str">
        <f ca="1">IF(OR(INDEX($AG$2:$AG$1001,MATCH(ROWS($AF$2:AF68),$AF$2:$AF$1001,0),1)&gt;=100000,INDEX($AM$1005:$BM$1005,1,MATCH(COLUMNS($AM$1006:AX1006),$AM$1006:$BM$1006,0))&gt;=100000), " ",IF(INDEX($AM$2:$BM$1001,MATCH(ROWS($AF$2:AF68),$AF$2:$AF$1001,0),MATCH(COLUMNS($AM$1006:AX1006),$AM$1006:$BM$1006,0)), HYPERLINK("#",""), HYPERLINK(CONCATENATE("#metadata!", ADDRESS(INDEX($AH$2:$AH$1001,MATCH(ROWS($AF$2:AF68),$AF$2:$AF$1001,0),0), INDEX($AM$1004:$BM$1004,1,MATCH(COLUMNS($AM$1006:AX1006),$AM$1006:$BM$1006,0)))),"Fix")))</f>
        <v xml:space="preserve"> </v>
      </c>
      <c r="N68" s="4" t="str">
        <f ca="1">IF(OR(INDEX($AG$2:$AG$1001,MATCH(ROWS($AF$2:AF68),$AF$2:$AF$1001,0),1)&gt;=100000,INDEX($AM$1005:$BM$1005,1,MATCH(COLUMNS($AM$1006:AY1006),$AM$1006:$BM$1006,0))&gt;=100000), " ",IF(INDEX($AM$2:$BM$1001,MATCH(ROWS($AF$2:AF68),$AF$2:$AF$1001,0),MATCH(COLUMNS($AM$1006:AY1006),$AM$1006:$BM$1006,0)), HYPERLINK("#",""), HYPERLINK(CONCATENATE("#metadata!", ADDRESS(INDEX($AH$2:$AH$1001,MATCH(ROWS($AF$2:AF68),$AF$2:$AF$1001,0),0), INDEX($AM$1004:$BM$1004,1,MATCH(COLUMNS($AM$1006:AY1006),$AM$1006:$BM$1006,0)))),"Fix")))</f>
        <v xml:space="preserve"> </v>
      </c>
      <c r="O68" s="4" t="str">
        <f ca="1">IF(OR(INDEX($AG$2:$AG$1001,MATCH(ROWS($AF$2:AF68),$AF$2:$AF$1001,0),1)&gt;=100000,INDEX($AM$1005:$BM$1005,1,MATCH(COLUMNS($AM$1006:AZ1006),$AM$1006:$BM$1006,0))&gt;=100000), " ",IF(INDEX($AM$2:$BM$1001,MATCH(ROWS($AF$2:AF68),$AF$2:$AF$1001,0),MATCH(COLUMNS($AM$1006:AZ1006),$AM$1006:$BM$1006,0)), HYPERLINK("#",""), HYPERLINK(CONCATENATE("#metadata!", ADDRESS(INDEX($AH$2:$AH$1001,MATCH(ROWS($AF$2:AF68),$AF$2:$AF$1001,0),0), INDEX($AM$1004:$BM$1004,1,MATCH(COLUMNS($AM$1006:AZ1006),$AM$1006:$BM$1006,0)))),"Fix")))</f>
        <v xml:space="preserve"> </v>
      </c>
      <c r="P68" s="4" t="str">
        <f ca="1">IF(OR(INDEX($AG$2:$AG$1001,MATCH(ROWS($AF$2:AF68),$AF$2:$AF$1001,0),1)&gt;=100000,INDEX($AM$1005:$BM$1005,1,MATCH(COLUMNS($AM$1006:BA1006),$AM$1006:$BM$1006,0))&gt;=100000), " ",IF(INDEX($AM$2:$BM$1001,MATCH(ROWS($AF$2:AF68),$AF$2:$AF$1001,0),MATCH(COLUMNS($AM$1006:BA1006),$AM$1006:$BM$1006,0)), HYPERLINK("#",""), HYPERLINK(CONCATENATE("#metadata!", ADDRESS(INDEX($AH$2:$AH$1001,MATCH(ROWS($AF$2:AF68),$AF$2:$AF$1001,0),0), INDEX($AM$1004:$BM$1004,1,MATCH(COLUMNS($AM$1006:BA1006),$AM$1006:$BM$1006,0)))),"Fix")))</f>
        <v xml:space="preserve"> </v>
      </c>
      <c r="Q68" s="4" t="str">
        <f ca="1">IF(OR(INDEX($AG$2:$AG$1001,MATCH(ROWS($AF$2:AF68),$AF$2:$AF$1001,0),1)&gt;=100000,INDEX($AM$1005:$BM$1005,1,MATCH(COLUMNS($AM$1006:BB1006),$AM$1006:$BM$1006,0))&gt;=100000), " ",IF(INDEX($AM$2:$BM$1001,MATCH(ROWS($AF$2:AF68),$AF$2:$AF$1001,0),MATCH(COLUMNS($AM$1006:BB1006),$AM$1006:$BM$1006,0)), HYPERLINK("#",""), HYPERLINK(CONCATENATE("#metadata!", ADDRESS(INDEX($AH$2:$AH$1001,MATCH(ROWS($AF$2:AF68),$AF$2:$AF$1001,0),0), INDEX($AM$1004:$BM$1004,1,MATCH(COLUMNS($AM$1006:BB1006),$AM$1006:$BM$1006,0)))),"Fix")))</f>
        <v xml:space="preserve"> </v>
      </c>
      <c r="R68" s="4" t="str">
        <f ca="1">IF(OR(INDEX($AG$2:$AG$1001,MATCH(ROWS($AF$2:AF68),$AF$2:$AF$1001,0),1)&gt;=100000,INDEX($AM$1005:$BM$1005,1,MATCH(COLUMNS($AM$1006:BC1006),$AM$1006:$BM$1006,0))&gt;=100000), " ",IF(INDEX($AM$2:$BM$1001,MATCH(ROWS($AF$2:AF68),$AF$2:$AF$1001,0),MATCH(COLUMNS($AM$1006:BC1006),$AM$1006:$BM$1006,0)), HYPERLINK("#",""), HYPERLINK(CONCATENATE("#metadata!", ADDRESS(INDEX($AH$2:$AH$1001,MATCH(ROWS($AF$2:AF68),$AF$2:$AF$1001,0),0), INDEX($AM$1004:$BM$1004,1,MATCH(COLUMNS($AM$1006:BC1006),$AM$1006:$BM$1006,0)))),"Fix")))</f>
        <v xml:space="preserve"> </v>
      </c>
      <c r="S68" s="4" t="str">
        <f ca="1">IF(OR(INDEX($AG$2:$AG$1001,MATCH(ROWS($AF$2:AF68),$AF$2:$AF$1001,0),1)&gt;=100000,INDEX($AM$1005:$BM$1005,1,MATCH(COLUMNS($AM$1006:BD1006),$AM$1006:$BM$1006,0))&gt;=100000), " ",IF(INDEX($AM$2:$BM$1001,MATCH(ROWS($AF$2:AF68),$AF$2:$AF$1001,0),MATCH(COLUMNS($AM$1006:BD1006),$AM$1006:$BM$1006,0)), HYPERLINK("#",""), HYPERLINK(CONCATENATE("#metadata!", ADDRESS(INDEX($AH$2:$AH$1001,MATCH(ROWS($AF$2:AF68),$AF$2:$AF$1001,0),0), INDEX($AM$1004:$BM$1004,1,MATCH(COLUMNS($AM$1006:BD1006),$AM$1006:$BM$1006,0)))),"Fix")))</f>
        <v xml:space="preserve"> </v>
      </c>
      <c r="T68" s="4" t="str">
        <f ca="1">IF(OR(INDEX($AG$2:$AG$1001,MATCH(ROWS($AF$2:AF68),$AF$2:$AF$1001,0),1)&gt;=100000,INDEX($AM$1005:$BM$1005,1,MATCH(COLUMNS($AM$1006:BE1006),$AM$1006:$BM$1006,0))&gt;=100000), " ",IF(INDEX($AM$2:$BM$1001,MATCH(ROWS($AF$2:AF68),$AF$2:$AF$1001,0),MATCH(COLUMNS($AM$1006:BE1006),$AM$1006:$BM$1006,0)), HYPERLINK("#",""), HYPERLINK(CONCATENATE("#metadata!", ADDRESS(INDEX($AH$2:$AH$1001,MATCH(ROWS($AF$2:AF68),$AF$2:$AF$1001,0),0), INDEX($AM$1004:$BM$1004,1,MATCH(COLUMNS($AM$1006:BE1006),$AM$1006:$BM$1006,0)))),"Fix")))</f>
        <v xml:space="preserve"> </v>
      </c>
      <c r="U68" s="4" t="str">
        <f ca="1">IF(OR(INDEX($AG$2:$AG$1001,MATCH(ROWS($AF$2:AF68),$AF$2:$AF$1001,0),1)&gt;=100000,INDEX($AM$1005:$BM$1005,1,MATCH(COLUMNS($AM$1006:BF1006),$AM$1006:$BM$1006,0))&gt;=100000), " ",IF(INDEX($AM$2:$BM$1001,MATCH(ROWS($AF$2:AF68),$AF$2:$AF$1001,0),MATCH(COLUMNS($AM$1006:BF1006),$AM$1006:$BM$1006,0)), HYPERLINK("#",""), HYPERLINK(CONCATENATE("#metadata!", ADDRESS(INDEX($AH$2:$AH$1001,MATCH(ROWS($AF$2:AF68),$AF$2:$AF$1001,0),0), INDEX($AM$1004:$BM$1004,1,MATCH(COLUMNS($AM$1006:BF1006),$AM$1006:$BM$1006,0)))),"Fix")))</f>
        <v xml:space="preserve"> </v>
      </c>
      <c r="V68" s="4" t="str">
        <f ca="1">IF(OR(INDEX($AG$2:$AG$1001,MATCH(ROWS($AF$2:AF68),$AF$2:$AF$1001,0),1)&gt;=100000,INDEX($AM$1005:$BM$1005,1,MATCH(COLUMNS($AM$1006:BG1006),$AM$1006:$BM$1006,0))&gt;=100000), " ",IF(INDEX($AM$2:$BM$1001,MATCH(ROWS($AF$2:AF68),$AF$2:$AF$1001,0),MATCH(COLUMNS($AM$1006:BG1006),$AM$1006:$BM$1006,0)), HYPERLINK("#",""), HYPERLINK(CONCATENATE("#metadata!", ADDRESS(INDEX($AH$2:$AH$1001,MATCH(ROWS($AF$2:AF68),$AF$2:$AF$1001,0),0), INDEX($AM$1004:$BM$1004,1,MATCH(COLUMNS($AM$1006:BG1006),$AM$1006:$BM$1006,0)))),"Fix")))</f>
        <v xml:space="preserve"> </v>
      </c>
      <c r="W68" s="4" t="str">
        <f ca="1">IF(OR(INDEX($AG$2:$AG$1001,MATCH(ROWS($AF$2:AF68),$AF$2:$AF$1001,0),1)&gt;=100000,INDEX($AM$1005:$BM$1005,1,MATCH(COLUMNS($AM$1006:BH1006),$AM$1006:$BM$1006,0))&gt;=100000), " ",IF(INDEX($AM$2:$BM$1001,MATCH(ROWS($AF$2:AF68),$AF$2:$AF$1001,0),MATCH(COLUMNS($AM$1006:BH1006),$AM$1006:$BM$1006,0)), HYPERLINK("#",""), HYPERLINK(CONCATENATE("#metadata!", ADDRESS(INDEX($AH$2:$AH$1001,MATCH(ROWS($AF$2:AF68),$AF$2:$AF$1001,0),0), INDEX($AM$1004:$BM$1004,1,MATCH(COLUMNS($AM$1006:BH1006),$AM$1006:$BM$1006,0)))),"Fix")))</f>
        <v xml:space="preserve"> </v>
      </c>
      <c r="X68" s="4" t="str">
        <f ca="1">IF(OR(INDEX($AG$2:$AG$1001,MATCH(ROWS($AF$2:AF68),$AF$2:$AF$1001,0),1)&gt;=100000,INDEX($AM$1005:$BM$1005,1,MATCH(COLUMNS($AM$1006:BI1006),$AM$1006:$BM$1006,0))&gt;=100000), " ",IF(INDEX($AM$2:$BM$1001,MATCH(ROWS($AF$2:AF68),$AF$2:$AF$1001,0),MATCH(COLUMNS($AM$1006:BI1006),$AM$1006:$BM$1006,0)), HYPERLINK("#",""), HYPERLINK(CONCATENATE("#metadata!", ADDRESS(INDEX($AH$2:$AH$1001,MATCH(ROWS($AF$2:AF68),$AF$2:$AF$1001,0),0), INDEX($AM$1004:$BM$1004,1,MATCH(COLUMNS($AM$1006:BI1006),$AM$1006:$BM$1006,0)))),"Fix")))</f>
        <v xml:space="preserve"> </v>
      </c>
      <c r="Y68" s="4" t="str">
        <f ca="1">IF(OR(INDEX($AG$2:$AG$1001,MATCH(ROWS($AF$2:AF68),$AF$2:$AF$1001,0),1)&gt;=100000,INDEX($AM$1005:$BM$1005,1,MATCH(COLUMNS($AM$1006:BJ1006),$AM$1006:$BM$1006,0))&gt;=100000), " ",IF(INDEX($AM$2:$BM$1001,MATCH(ROWS($AF$2:AF68),$AF$2:$AF$1001,0),MATCH(COLUMNS($AM$1006:BJ1006),$AM$1006:$BM$1006,0)), HYPERLINK("#",""), HYPERLINK(CONCATENATE("#metadata!", ADDRESS(INDEX($AH$2:$AH$1001,MATCH(ROWS($AF$2:AF68),$AF$2:$AF$1001,0),0), INDEX($AM$1004:$BM$1004,1,MATCH(COLUMNS($AM$1006:BJ1006),$AM$1006:$BM$1006,0)))),"Fix")))</f>
        <v xml:space="preserve"> </v>
      </c>
      <c r="Z68" s="4" t="str">
        <f ca="1">IF(OR(INDEX($AG$2:$AG$1001,MATCH(ROWS($AF$2:AF68),$AF$2:$AF$1001,0),1)&gt;=100000,INDEX($AM$1005:$BM$1005,1,MATCH(COLUMNS($AM$1006:BK1006),$AM$1006:$BM$1006,0))&gt;=100000), " ",IF(INDEX($AM$2:$BM$1001,MATCH(ROWS($AF$2:AF68),$AF$2:$AF$1001,0),MATCH(COLUMNS($AM$1006:BK1006),$AM$1006:$BM$1006,0)), HYPERLINK("#",""), HYPERLINK(CONCATENATE("#metadata!", ADDRESS(INDEX($AH$2:$AH$1001,MATCH(ROWS($AF$2:AF68),$AF$2:$AF$1001,0),0), INDEX($AM$1004:$BM$1004,1,MATCH(COLUMNS($AM$1006:BK1006),$AM$1006:$BM$1006,0)))),"Fix")))</f>
        <v xml:space="preserve"> </v>
      </c>
      <c r="AA68" s="4" t="str">
        <f ca="1">IF(OR(INDEX($AG$2:$AG$1001,MATCH(ROWS($AF$2:AF68),$AF$2:$AF$1001,0),1)&gt;=100000,INDEX($AM$1005:$BM$1005,1,MATCH(COLUMNS($AM$1006:BL1006),$AM$1006:$BM$1006,0))&gt;=100000), " ",IF(INDEX($AM$2:$BM$1001,MATCH(ROWS($AF$2:AF68),$AF$2:$AF$1001,0),MATCH(COLUMNS($AM$1006:BL1006),$AM$1006:$BM$1006,0)), HYPERLINK("#",""), HYPERLINK(CONCATENATE("#metadata!", ADDRESS(INDEX($AH$2:$AH$1001,MATCH(ROWS($AF$2:AF68),$AF$2:$AF$1001,0),0), INDEX($AM$1004:$BM$1004,1,MATCH(COLUMNS($AM$1006:BL1006),$AM$1006:$BM$1006,0)))),"Fix")))</f>
        <v xml:space="preserve"> </v>
      </c>
      <c r="AB68" s="4" t="str">
        <f ca="1">IF(OR(INDEX($AG$2:$AG$1001,MATCH(ROWS($AF$2:AF68),$AF$2:$AF$1001,0),1)&gt;=100000,INDEX($AM$1005:$BM$1005,1,MATCH(COLUMNS($AM$1006:BM1006),$AM$1006:$BM$1006,0))&gt;=100000), " ",IF(INDEX($AM$2:$BM$1001,MATCH(ROWS($AF$2:AF68),$AF$2:$AF$1001,0),MATCH(COLUMNS($AM$1006:BM1006),$AM$1006:$BM$1006,0)), HYPERLINK("#",""), HYPERLINK(CONCATENATE("#metadata!", ADDRESS(INDEX($AH$2:$AH$1001,MATCH(ROWS($AF$2:AF68),$AF$2:$AF$1001,0),0), INDEX($AM$1004:$BM$1004,1,MATCH(COLUMNS($AM$1006:BM1006),$AM$1006:$BM$1006,0)))),"Fix")))</f>
        <v xml:space="preserve"> </v>
      </c>
      <c r="AF68">
        <v>67</v>
      </c>
      <c r="AG68">
        <v>100068</v>
      </c>
      <c r="AH68">
        <v>68</v>
      </c>
      <c r="AI68" t="b">
        <f t="shared" si="1"/>
        <v>1</v>
      </c>
      <c r="AJ68" t="b">
        <f>COUNTBLANK(metadata!B68:AB68)=COLUMNS(metadata!B68:AB68)</f>
        <v>1</v>
      </c>
      <c r="AK68" t="str">
        <v/>
      </c>
      <c r="AM68" t="b">
        <f ca="1">AND(IF(metadata!B68="",FALSE,TRUE),COUNTIF(metadata!B:B, metadata!B68) = 1,NOT(ISERROR(SUMPRODUCT(SEARCH(MID(metadata!B68,ROW(INDIRECT("1:"&amp;LEN(metadata!B68))), 1),"0123456789abcdefghijklmnopqrstuvwxyzABCDEFGHIJKLMNOPQRSTUVWXYZ.")))))</f>
        <v>0</v>
      </c>
      <c r="AN68" t="b">
        <f ca="1">OR(AND(IF(metadata!C68="",FALSE,TRUE),OR(EXACT(metadata!C68,"missing: not collected"),EXACT(metadata!C68,"missing: not provided"),EXACT(metadata!C68,"missing: restricted access"))),AND(IF(metadata!C68="",FALSE,TRUE),AND(AND(IFERROR(INT(LEFT(metadata!C68,4))&gt;1900,FALSE),IFERROR(INT(LEFT(metadata!C68,4))&lt;=YEAR(NOW()),FALSE)), OR(MID(metadata!C68,5,1)="", AND(AND(MID(metadata!C68,5,1)="-",IFERROR(INT(MID(metadata!C68,6,1))&gt;=0,FALSE),IFERROR(INT(MID(metadata!C68,6,1))&lt;=1,FALSE),NOT(MID(metadata!C68,7,1)=""),IFERROR(INT(MID(metadata!C68,6,2))&gt;=1,FALSE),IFERROR(INT(MID(metadata!C68,6,2))&lt;=12,FALSE)), OR(MID(metadata!C68,8,1)="", AND(AND(MID(metadata!C68,8,1)="-",IFERROR(INT(MID(metadata!C68,9,1))&gt;=0,FALSE),IFERROR(INT(MID(metadata!C68,9,1))&lt;=3,FALSE),NOT(MID(metadata!C68,10,1)=""),IFERROR(INT(MID(metadata!C68,9,2))&gt;=1,FALSE),IFERROR(INT(MID(metadata!C68,9,2))&lt;=31,FALSE)), OR(MID(metadata!C68,11,1)="", AND(AND(MID(metadata!C68,11,1)=" ",IFERROR(INT(MID(metadata!C68,12,1))&gt;=0,FALSE),IFERROR(INT(MID(metadata!C68,12,1))&lt;=2,FALSE),NOT(MID(metadata!C68,13,1)=""),IFERROR(INT(MID(metadata!C68,12,2))&gt;=0,FALSE),IFERROR(INT(MID(metadata!C68,12,2))&lt;=23,FALSE)), OR(MID(metadata!C68,14,1)="", AND(AND(MID(metadata!C68,14,1)=":",IFERROR(INT(MID(metadata!C68,15,1))&gt;=0,FALSE),IFERROR(INT(MID(metadata!C68,15,1))&lt;=5,FALSE),NOT(MID(metadata!C68,16,1)=""),IFERROR(INT(MID(metadata!C68,15,2))&gt;=0,FALSE),IFERROR(INT(MID(metadata!C68,15,2))&lt;=59,FALSE)), OR(MID(metadata!C68,17,1)="", AND(AND(MID(metadata!C68,17,1)=":",IFERROR(INT(MID(metadata!C68,18,1))&gt;=0,FALSE),IFERROR(INT(MID(metadata!C68,18,1))&lt;=5,FALSE),NOT(MID(metadata!C68,19,1)=""),IFERROR(INT(MID(metadata!C68,18,2))&gt;=0,FALSE),IFERROR(INT(MID(metadata!C68,18,2))&lt;=59,FALSE)), LEN(metadata!C68)&lt;=19)))))))))))))</f>
        <v>0</v>
      </c>
      <c r="AO68" t="b">
        <f>AND(IF(metadata!D68="",FALSE,TRUE),EXACT(metadata!D68,"Not applicable"))</f>
        <v>0</v>
      </c>
      <c r="AP68" t="b">
        <f>IF(metadata!E68="",FALSE,TRUE)</f>
        <v>0</v>
      </c>
      <c r="AQ68" t="b">
        <f>OR(AND(IF(metadata!F68="",FALSE,TRUE),OR(EXACT(metadata!F68,"missing: not collected"),EXACT(metadata!F68,"missing: not provided"))),AND(IF(metadata!F68="",FALSE,TRUE),OR(EXACT(metadata!F68,"TRUE"),EXACT(metadata!F68,"FALSE"))))</f>
        <v>0</v>
      </c>
      <c r="AR68" t="b">
        <f>OR(AND(IF(metadata!G68="",FALSE,TRUE),OR(EXACT(metadata!G68,"missing: not collected"),EXACT(metadata!G68,"missing: not provided"),EXACT(metadata!G68,"missing: restricted access"))),AND(IF(metadata!G68="",FALSE,ISNUMBER(VALUE(metadata!G68))),metadata!G68&gt;=-413))</f>
        <v>0</v>
      </c>
      <c r="AS68" t="b">
        <f>AND(IF(metadata!H68="",FALSE,TRUE),EXACT(metadata!H68,"meters"))</f>
        <v>0</v>
      </c>
      <c r="AT68" t="b">
        <f>AND(IF(metadata!I68="",FALSE,TRUE),OR(EXACT(metadata!I68,"Host-associated"),EXACT(metadata!I68,"Free-living")))</f>
        <v>0</v>
      </c>
      <c r="AU68" t="b">
        <f>AND(IF(metadata!J68="",FALSE,TRUE),OR(EXACT(metadata!J68,"Animal"),EXACT(metadata!J68,"Fungus"),EXACT(metadata!J68,"Plant"),EXACT(metadata!J68,"Saline"),EXACT(metadata!J68,"Non-saline")))</f>
        <v>0</v>
      </c>
      <c r="AV68" t="b">
        <f>AND(IF(metadata!K68="",FALSE,TRUE),OR(EXACT(metadata!K68,"Plant secretion"),EXACT(metadata!K68,"Plant rhizosphere"),EXACT(metadata!K68,"Plant surface"),EXACT(metadata!K68,"Plant corpus"),EXACT(metadata!K68,"Fungus surface"),EXACT(metadata!K68,"Fungus corpus"),EXACT(metadata!K68,"Animal surface"),EXACT(metadata!K68,"Animal proximal gut"),EXACT(metadata!K68,"Animal corpus"),EXACT(metadata!K68,"Animal distal gut"),EXACT(metadata!K68,"Animal secretion"),EXACT(metadata!K68,"Sub-surface (non-saline)"),EXACT(metadata!K68,"Surface (non-saline)"),EXACT(metadata!K68,"Water (non-saline)"),EXACT(metadata!K68,"Soil (non-saline)"),EXACT(metadata!K68,"Aerosol (non-saline)"),EXACT(metadata!K68,"Sediment (non-saline)"),EXACT(metadata!K68,"Surface (saline)"),EXACT(metadata!K68,"Water (saline)"),EXACT(metadata!K68,"Hypersaline (saline)"),EXACT(metadata!K68,"Aerosol (saline)"),EXACT(metadata!K68,"Sediment (saline)")))</f>
        <v>0</v>
      </c>
      <c r="AW68" t="b">
        <f>IF(metadata!L68="",FALSE,TRUE)</f>
        <v>0</v>
      </c>
      <c r="AX68" t="b">
        <f>IF(metadata!M68="",FALSE,TRUE)</f>
        <v>0</v>
      </c>
      <c r="AY68" t="b">
        <f>IF(metadata!N68="",FALSE,TRUE)</f>
        <v>0</v>
      </c>
      <c r="AZ68" t="b">
        <f>OR(AND(IF(metadata!O68="",FALSE,TRUE),OR(EXACT(metadata!O68,"missing: not collected"),EXACT(metadata!O68,"missing: not provided"),EXACT(metadata!O68,"missing: restricted access"))),AND(IF(metadata!O68="",FALSE,TRUE),OR(EXACT(metadata!O68,"air"),EXACT(metadata!O68,"built environment"),EXACT(metadata!O68,"host-associated"),EXACT(metadata!O68,"human-associated"),EXACT(metadata!O68,"human-skin"),EXACT(metadata!O68,"human-oral"),EXACT(metadata!O68,"human-gut"),EXACT(metadata!O68,"human-vaginal"),EXACT(metadata!O68,"microbial mat/biofilm"),EXACT(metadata!O68,"misc environment"),EXACT(metadata!O68,"plant-associated"),EXACT(metadata!O68,"sediment"),EXACT(metadata!O68,"soil"),EXACT(metadata!O68,"wastewater/sludge"),EXACT(metadata!O68,"water"))))</f>
        <v>0</v>
      </c>
      <c r="BA68" t="b">
        <f>IF(metadata!P68="",FALSE,TRUE)</f>
        <v>0</v>
      </c>
      <c r="BB68" t="b">
        <f>IF(metadata!Q68="",FALSE,TRUE)</f>
        <v>0</v>
      </c>
      <c r="BC68" t="b">
        <f>OR(AND(IF(metadata!R68="",FALSE,TRUE),OR(EXACT(metadata!R68,"missing: not collected"),EXACT(metadata!R68,"missing: not provided"),EXACT(metadata!R68,"missing: restricted access"))),AND(IF(metadata!R68="",FALSE,ISNUMBER(VALUE(metadata!R68))),metadata!R68&gt;=-90,metadata!R68&lt;=90))</f>
        <v>0</v>
      </c>
      <c r="BD68" t="b">
        <f>AND(IF(metadata!S68="",FALSE,TRUE),EXACT(metadata!S68,"Decimal degrees"))</f>
        <v>0</v>
      </c>
      <c r="BE68" t="b">
        <f>OR(AND(IF(metadata!T68="",FALSE,TRUE),OR(EXACT(metadata!T68,"missing: not collected"),EXACT(metadata!T68,"missing: not provided"),EXACT(metadata!T68,"missing: restricted access"))),AND(IF(metadata!T68="",FALSE,ISNUMBER(VALUE(metadata!T68))),metadata!T68&gt;=-180,metadata!T68&lt;=180))</f>
        <v>0</v>
      </c>
      <c r="BF68" t="b">
        <f>AND(IF(metadata!U68="",FALSE,TRUE),EXACT(metadata!U68,"Decimal degrees"))</f>
        <v>0</v>
      </c>
      <c r="BG68" t="b">
        <f>IF(metadata!V68="",FALSE,TRUE)</f>
        <v>0</v>
      </c>
      <c r="BH68" t="b">
        <f>OR(AND(IF(metadata!W68="",FALSE,TRUE),OR(EXACT(metadata!W68,"missing: not collected"),EXACT(metadata!W68,"missing: not provided"),EXACT(metadata!W68,"missing: restricted access"))),AND(IF(metadata!W68="",FALSE,TRUE),OR(EXACT(metadata!W68,"TRUE"),EXACT(metadata!W68,"FALSE"))))</f>
        <v>0</v>
      </c>
      <c r="BI68" t="b">
        <f>AND(IF(metadata!X68="",FALSE,TRUE),EXACT(metadata!X68,"other"))</f>
        <v>0</v>
      </c>
      <c r="BJ68" t="b">
        <f>IF(metadata!Y68="",FALSE,TRUE)</f>
        <v>0</v>
      </c>
      <c r="BK68" t="b">
        <f>OR(AND(IF(metadata!Z68="",FALSE,TRUE),OR(EXACT(metadata!Z68,"missing: not collected"),EXACT(metadata!Z68,"missing: not provided"))),AND(IF(metadata!Z68="",FALSE,IF(ISERROR(INT(metadata!Z68)),FALSE,INT(metadata!Z68)=metadata!Z68)),metadata!Z68&gt;0))</f>
        <v>0</v>
      </c>
      <c r="BL68" t="b">
        <f>AND(IF(metadata!AA68="",FALSE,TRUE),EXACT(metadata!AA68,"Not applicable"))</f>
        <v>0</v>
      </c>
      <c r="BM68" t="b">
        <f>IF(metadata!AB68="",FALSE,TRUE)</f>
        <v>0</v>
      </c>
    </row>
    <row r="69" spans="1:65" x14ac:dyDescent="0.2">
      <c r="A69" s="5" t="str">
        <f ca="1">IF(B69=" "," ",HYPERLINK(CONCATENATE("#metadata!",ADDRESS(INDEX($AH$2:$AH$1001,MATCH(ROWS($AF$2:AF69),$AF$2:$AF$1001,0),0),1)),INDEX($AK$2:$AK$1001,MATCH(ROWS($AF$2:AF69),$AF$2:$AF$1001,0),0)))</f>
        <v xml:space="preserve"> </v>
      </c>
      <c r="B69" s="4" t="str">
        <f ca="1">IF(OR(INDEX($AG$2:$AG$1001,MATCH(ROWS($AF$2:AF69),$AF$2:$AF$1001,0),1)&gt;=100000,INDEX($AM$1005:$BM$1005,1,MATCH(COLUMNS($AM$1006:AM1006),$AM$1006:$BM$1006,0))&gt;=100000), " ",IF(INDEX($AM$2:$BM$1001,MATCH(ROWS($AF$2:AF69),$AF$2:$AF$1001,0),MATCH(COLUMNS($AM$1006:AM1006),$AM$1006:$BM$1006,0)), HYPERLINK("#",""), HYPERLINK(CONCATENATE("#metadata!", ADDRESS(INDEX($AH$2:$AH$1001,MATCH(ROWS($AF$2:AF69),$AF$2:$AF$1001,0),0), INDEX($AM$1004:$BM$1004,1,MATCH(COLUMNS($AM$1006:AM1006),$AM$1006:$BM$1006,0)))),"Fix")))</f>
        <v xml:space="preserve"> </v>
      </c>
      <c r="C69" s="4" t="str">
        <f ca="1">IF(OR(INDEX($AG$2:$AG$1001,MATCH(ROWS($AF$2:AF69),$AF$2:$AF$1001,0),1)&gt;=100000,INDEX($AM$1005:$BM$1005,1,MATCH(COLUMNS($AM$1006:AN1006),$AM$1006:$BM$1006,0))&gt;=100000), " ",IF(INDEX($AM$2:$BM$1001,MATCH(ROWS($AF$2:AF69),$AF$2:$AF$1001,0),MATCH(COLUMNS($AM$1006:AN1006),$AM$1006:$BM$1006,0)), HYPERLINK("#",""), HYPERLINK(CONCATENATE("#metadata!", ADDRESS(INDEX($AH$2:$AH$1001,MATCH(ROWS($AF$2:AF69),$AF$2:$AF$1001,0),0), INDEX($AM$1004:$BM$1004,1,MATCH(COLUMNS($AM$1006:AN1006),$AM$1006:$BM$1006,0)))),"Fix")))</f>
        <v xml:space="preserve"> </v>
      </c>
      <c r="D69" s="4" t="str">
        <f ca="1">IF(OR(INDEX($AG$2:$AG$1001,MATCH(ROWS($AF$2:AF69),$AF$2:$AF$1001,0),1)&gt;=100000,INDEX($AM$1005:$BM$1005,1,MATCH(COLUMNS($AM$1006:AO1006),$AM$1006:$BM$1006,0))&gt;=100000), " ",IF(INDEX($AM$2:$BM$1001,MATCH(ROWS($AF$2:AF69),$AF$2:$AF$1001,0),MATCH(COLUMNS($AM$1006:AO1006),$AM$1006:$BM$1006,0)), HYPERLINK("#",""), HYPERLINK(CONCATENATE("#metadata!", ADDRESS(INDEX($AH$2:$AH$1001,MATCH(ROWS($AF$2:AF69),$AF$2:$AF$1001,0),0), INDEX($AM$1004:$BM$1004,1,MATCH(COLUMNS($AM$1006:AO1006),$AM$1006:$BM$1006,0)))),"Fix")))</f>
        <v xml:space="preserve"> </v>
      </c>
      <c r="E69" s="4" t="str">
        <f ca="1">IF(OR(INDEX($AG$2:$AG$1001,MATCH(ROWS($AF$2:AF69),$AF$2:$AF$1001,0),1)&gt;=100000,INDEX($AM$1005:$BM$1005,1,MATCH(COLUMNS($AM$1006:AP1006),$AM$1006:$BM$1006,0))&gt;=100000), " ",IF(INDEX($AM$2:$BM$1001,MATCH(ROWS($AF$2:AF69),$AF$2:$AF$1001,0),MATCH(COLUMNS($AM$1006:AP1006),$AM$1006:$BM$1006,0)), HYPERLINK("#",""), HYPERLINK(CONCATENATE("#metadata!", ADDRESS(INDEX($AH$2:$AH$1001,MATCH(ROWS($AF$2:AF69),$AF$2:$AF$1001,0),0), INDEX($AM$1004:$BM$1004,1,MATCH(COLUMNS($AM$1006:AP1006),$AM$1006:$BM$1006,0)))),"Fix")))</f>
        <v xml:space="preserve"> </v>
      </c>
      <c r="F69" s="4" t="str">
        <f ca="1">IF(OR(INDEX($AG$2:$AG$1001,MATCH(ROWS($AF$2:AF69),$AF$2:$AF$1001,0),1)&gt;=100000,INDEX($AM$1005:$BM$1005,1,MATCH(COLUMNS($AM$1006:AQ1006),$AM$1006:$BM$1006,0))&gt;=100000), " ",IF(INDEX($AM$2:$BM$1001,MATCH(ROWS($AF$2:AF69),$AF$2:$AF$1001,0),MATCH(COLUMNS($AM$1006:AQ1006),$AM$1006:$BM$1006,0)), HYPERLINK("#",""), HYPERLINK(CONCATENATE("#metadata!", ADDRESS(INDEX($AH$2:$AH$1001,MATCH(ROWS($AF$2:AF69),$AF$2:$AF$1001,0),0), INDEX($AM$1004:$BM$1004,1,MATCH(COLUMNS($AM$1006:AQ1006),$AM$1006:$BM$1006,0)))),"Fix")))</f>
        <v xml:space="preserve"> </v>
      </c>
      <c r="G69" s="4" t="str">
        <f ca="1">IF(OR(INDEX($AG$2:$AG$1001,MATCH(ROWS($AF$2:AF69),$AF$2:$AF$1001,0),1)&gt;=100000,INDEX($AM$1005:$BM$1005,1,MATCH(COLUMNS($AM$1006:AR1006),$AM$1006:$BM$1006,0))&gt;=100000), " ",IF(INDEX($AM$2:$BM$1001,MATCH(ROWS($AF$2:AF69),$AF$2:$AF$1001,0),MATCH(COLUMNS($AM$1006:AR1006),$AM$1006:$BM$1006,0)), HYPERLINK("#",""), HYPERLINK(CONCATENATE("#metadata!", ADDRESS(INDEX($AH$2:$AH$1001,MATCH(ROWS($AF$2:AF69),$AF$2:$AF$1001,0),0), INDEX($AM$1004:$BM$1004,1,MATCH(COLUMNS($AM$1006:AR1006),$AM$1006:$BM$1006,0)))),"Fix")))</f>
        <v xml:space="preserve"> </v>
      </c>
      <c r="H69" s="4" t="str">
        <f ca="1">IF(OR(INDEX($AG$2:$AG$1001,MATCH(ROWS($AF$2:AF69),$AF$2:$AF$1001,0),1)&gt;=100000,INDEX($AM$1005:$BM$1005,1,MATCH(COLUMNS($AM$1006:AS1006),$AM$1006:$BM$1006,0))&gt;=100000), " ",IF(INDEX($AM$2:$BM$1001,MATCH(ROWS($AF$2:AF69),$AF$2:$AF$1001,0),MATCH(COLUMNS($AM$1006:AS1006),$AM$1006:$BM$1006,0)), HYPERLINK("#",""), HYPERLINK(CONCATENATE("#metadata!", ADDRESS(INDEX($AH$2:$AH$1001,MATCH(ROWS($AF$2:AF69),$AF$2:$AF$1001,0),0), INDEX($AM$1004:$BM$1004,1,MATCH(COLUMNS($AM$1006:AS1006),$AM$1006:$BM$1006,0)))),"Fix")))</f>
        <v xml:space="preserve"> </v>
      </c>
      <c r="I69" s="4" t="str">
        <f ca="1">IF(OR(INDEX($AG$2:$AG$1001,MATCH(ROWS($AF$2:AF69),$AF$2:$AF$1001,0),1)&gt;=100000,INDEX($AM$1005:$BM$1005,1,MATCH(COLUMNS($AM$1006:AT1006),$AM$1006:$BM$1006,0))&gt;=100000), " ",IF(INDEX($AM$2:$BM$1001,MATCH(ROWS($AF$2:AF69),$AF$2:$AF$1001,0),MATCH(COLUMNS($AM$1006:AT1006),$AM$1006:$BM$1006,0)), HYPERLINK("#",""), HYPERLINK(CONCATENATE("#metadata!", ADDRESS(INDEX($AH$2:$AH$1001,MATCH(ROWS($AF$2:AF69),$AF$2:$AF$1001,0),0), INDEX($AM$1004:$BM$1004,1,MATCH(COLUMNS($AM$1006:AT1006),$AM$1006:$BM$1006,0)))),"Fix")))</f>
        <v xml:space="preserve"> </v>
      </c>
      <c r="J69" s="4" t="str">
        <f ca="1">IF(OR(INDEX($AG$2:$AG$1001,MATCH(ROWS($AF$2:AF69),$AF$2:$AF$1001,0),1)&gt;=100000,INDEX($AM$1005:$BM$1005,1,MATCH(COLUMNS($AM$1006:AU1006),$AM$1006:$BM$1006,0))&gt;=100000), " ",IF(INDEX($AM$2:$BM$1001,MATCH(ROWS($AF$2:AF69),$AF$2:$AF$1001,0),MATCH(COLUMNS($AM$1006:AU1006),$AM$1006:$BM$1006,0)), HYPERLINK("#",""), HYPERLINK(CONCATENATE("#metadata!", ADDRESS(INDEX($AH$2:$AH$1001,MATCH(ROWS($AF$2:AF69),$AF$2:$AF$1001,0),0), INDEX($AM$1004:$BM$1004,1,MATCH(COLUMNS($AM$1006:AU1006),$AM$1006:$BM$1006,0)))),"Fix")))</f>
        <v xml:space="preserve"> </v>
      </c>
      <c r="K69" s="4" t="str">
        <f ca="1">IF(OR(INDEX($AG$2:$AG$1001,MATCH(ROWS($AF$2:AF69),$AF$2:$AF$1001,0),1)&gt;=100000,INDEX($AM$1005:$BM$1005,1,MATCH(COLUMNS($AM$1006:AV1006),$AM$1006:$BM$1006,0))&gt;=100000), " ",IF(INDEX($AM$2:$BM$1001,MATCH(ROWS($AF$2:AF69),$AF$2:$AF$1001,0),MATCH(COLUMNS($AM$1006:AV1006),$AM$1006:$BM$1006,0)), HYPERLINK("#",""), HYPERLINK(CONCATENATE("#metadata!", ADDRESS(INDEX($AH$2:$AH$1001,MATCH(ROWS($AF$2:AF69),$AF$2:$AF$1001,0),0), INDEX($AM$1004:$BM$1004,1,MATCH(COLUMNS($AM$1006:AV1006),$AM$1006:$BM$1006,0)))),"Fix")))</f>
        <v xml:space="preserve"> </v>
      </c>
      <c r="L69" s="4" t="str">
        <f ca="1">IF(OR(INDEX($AG$2:$AG$1001,MATCH(ROWS($AF$2:AF69),$AF$2:$AF$1001,0),1)&gt;=100000,INDEX($AM$1005:$BM$1005,1,MATCH(COLUMNS($AM$1006:AW1006),$AM$1006:$BM$1006,0))&gt;=100000), " ",IF(INDEX($AM$2:$BM$1001,MATCH(ROWS($AF$2:AF69),$AF$2:$AF$1001,0),MATCH(COLUMNS($AM$1006:AW1006),$AM$1006:$BM$1006,0)), HYPERLINK("#",""), HYPERLINK(CONCATENATE("#metadata!", ADDRESS(INDEX($AH$2:$AH$1001,MATCH(ROWS($AF$2:AF69),$AF$2:$AF$1001,0),0), INDEX($AM$1004:$BM$1004,1,MATCH(COLUMNS($AM$1006:AW1006),$AM$1006:$BM$1006,0)))),"Fix")))</f>
        <v xml:space="preserve"> </v>
      </c>
      <c r="M69" s="4" t="str">
        <f ca="1">IF(OR(INDEX($AG$2:$AG$1001,MATCH(ROWS($AF$2:AF69),$AF$2:$AF$1001,0),1)&gt;=100000,INDEX($AM$1005:$BM$1005,1,MATCH(COLUMNS($AM$1006:AX1006),$AM$1006:$BM$1006,0))&gt;=100000), " ",IF(INDEX($AM$2:$BM$1001,MATCH(ROWS($AF$2:AF69),$AF$2:$AF$1001,0),MATCH(COLUMNS($AM$1006:AX1006),$AM$1006:$BM$1006,0)), HYPERLINK("#",""), HYPERLINK(CONCATENATE("#metadata!", ADDRESS(INDEX($AH$2:$AH$1001,MATCH(ROWS($AF$2:AF69),$AF$2:$AF$1001,0),0), INDEX($AM$1004:$BM$1004,1,MATCH(COLUMNS($AM$1006:AX1006),$AM$1006:$BM$1006,0)))),"Fix")))</f>
        <v xml:space="preserve"> </v>
      </c>
      <c r="N69" s="4" t="str">
        <f ca="1">IF(OR(INDEX($AG$2:$AG$1001,MATCH(ROWS($AF$2:AF69),$AF$2:$AF$1001,0),1)&gt;=100000,INDEX($AM$1005:$BM$1005,1,MATCH(COLUMNS($AM$1006:AY1006),$AM$1006:$BM$1006,0))&gt;=100000), " ",IF(INDEX($AM$2:$BM$1001,MATCH(ROWS($AF$2:AF69),$AF$2:$AF$1001,0),MATCH(COLUMNS($AM$1006:AY1006),$AM$1006:$BM$1006,0)), HYPERLINK("#",""), HYPERLINK(CONCATENATE("#metadata!", ADDRESS(INDEX($AH$2:$AH$1001,MATCH(ROWS($AF$2:AF69),$AF$2:$AF$1001,0),0), INDEX($AM$1004:$BM$1004,1,MATCH(COLUMNS($AM$1006:AY1006),$AM$1006:$BM$1006,0)))),"Fix")))</f>
        <v xml:space="preserve"> </v>
      </c>
      <c r="O69" s="4" t="str">
        <f ca="1">IF(OR(INDEX($AG$2:$AG$1001,MATCH(ROWS($AF$2:AF69),$AF$2:$AF$1001,0),1)&gt;=100000,INDEX($AM$1005:$BM$1005,1,MATCH(COLUMNS($AM$1006:AZ1006),$AM$1006:$BM$1006,0))&gt;=100000), " ",IF(INDEX($AM$2:$BM$1001,MATCH(ROWS($AF$2:AF69),$AF$2:$AF$1001,0),MATCH(COLUMNS($AM$1006:AZ1006),$AM$1006:$BM$1006,0)), HYPERLINK("#",""), HYPERLINK(CONCATENATE("#metadata!", ADDRESS(INDEX($AH$2:$AH$1001,MATCH(ROWS($AF$2:AF69),$AF$2:$AF$1001,0),0), INDEX($AM$1004:$BM$1004,1,MATCH(COLUMNS($AM$1006:AZ1006),$AM$1006:$BM$1006,0)))),"Fix")))</f>
        <v xml:space="preserve"> </v>
      </c>
      <c r="P69" s="4" t="str">
        <f ca="1">IF(OR(INDEX($AG$2:$AG$1001,MATCH(ROWS($AF$2:AF69),$AF$2:$AF$1001,0),1)&gt;=100000,INDEX($AM$1005:$BM$1005,1,MATCH(COLUMNS($AM$1006:BA1006),$AM$1006:$BM$1006,0))&gt;=100000), " ",IF(INDEX($AM$2:$BM$1001,MATCH(ROWS($AF$2:AF69),$AF$2:$AF$1001,0),MATCH(COLUMNS($AM$1006:BA1006),$AM$1006:$BM$1006,0)), HYPERLINK("#",""), HYPERLINK(CONCATENATE("#metadata!", ADDRESS(INDEX($AH$2:$AH$1001,MATCH(ROWS($AF$2:AF69),$AF$2:$AF$1001,0),0), INDEX($AM$1004:$BM$1004,1,MATCH(COLUMNS($AM$1006:BA1006),$AM$1006:$BM$1006,0)))),"Fix")))</f>
        <v xml:space="preserve"> </v>
      </c>
      <c r="Q69" s="4" t="str">
        <f ca="1">IF(OR(INDEX($AG$2:$AG$1001,MATCH(ROWS($AF$2:AF69),$AF$2:$AF$1001,0),1)&gt;=100000,INDEX($AM$1005:$BM$1005,1,MATCH(COLUMNS($AM$1006:BB1006),$AM$1006:$BM$1006,0))&gt;=100000), " ",IF(INDEX($AM$2:$BM$1001,MATCH(ROWS($AF$2:AF69),$AF$2:$AF$1001,0),MATCH(COLUMNS($AM$1006:BB1006),$AM$1006:$BM$1006,0)), HYPERLINK("#",""), HYPERLINK(CONCATENATE("#metadata!", ADDRESS(INDEX($AH$2:$AH$1001,MATCH(ROWS($AF$2:AF69),$AF$2:$AF$1001,0),0), INDEX($AM$1004:$BM$1004,1,MATCH(COLUMNS($AM$1006:BB1006),$AM$1006:$BM$1006,0)))),"Fix")))</f>
        <v xml:space="preserve"> </v>
      </c>
      <c r="R69" s="4" t="str">
        <f ca="1">IF(OR(INDEX($AG$2:$AG$1001,MATCH(ROWS($AF$2:AF69),$AF$2:$AF$1001,0),1)&gt;=100000,INDEX($AM$1005:$BM$1005,1,MATCH(COLUMNS($AM$1006:BC1006),$AM$1006:$BM$1006,0))&gt;=100000), " ",IF(INDEX($AM$2:$BM$1001,MATCH(ROWS($AF$2:AF69),$AF$2:$AF$1001,0),MATCH(COLUMNS($AM$1006:BC1006),$AM$1006:$BM$1006,0)), HYPERLINK("#",""), HYPERLINK(CONCATENATE("#metadata!", ADDRESS(INDEX($AH$2:$AH$1001,MATCH(ROWS($AF$2:AF69),$AF$2:$AF$1001,0),0), INDEX($AM$1004:$BM$1004,1,MATCH(COLUMNS($AM$1006:BC1006),$AM$1006:$BM$1006,0)))),"Fix")))</f>
        <v xml:space="preserve"> </v>
      </c>
      <c r="S69" s="4" t="str">
        <f ca="1">IF(OR(INDEX($AG$2:$AG$1001,MATCH(ROWS($AF$2:AF69),$AF$2:$AF$1001,0),1)&gt;=100000,INDEX($AM$1005:$BM$1005,1,MATCH(COLUMNS($AM$1006:BD1006),$AM$1006:$BM$1006,0))&gt;=100000), " ",IF(INDEX($AM$2:$BM$1001,MATCH(ROWS($AF$2:AF69),$AF$2:$AF$1001,0),MATCH(COLUMNS($AM$1006:BD1006),$AM$1006:$BM$1006,0)), HYPERLINK("#",""), HYPERLINK(CONCATENATE("#metadata!", ADDRESS(INDEX($AH$2:$AH$1001,MATCH(ROWS($AF$2:AF69),$AF$2:$AF$1001,0),0), INDEX($AM$1004:$BM$1004,1,MATCH(COLUMNS($AM$1006:BD1006),$AM$1006:$BM$1006,0)))),"Fix")))</f>
        <v xml:space="preserve"> </v>
      </c>
      <c r="T69" s="4" t="str">
        <f ca="1">IF(OR(INDEX($AG$2:$AG$1001,MATCH(ROWS($AF$2:AF69),$AF$2:$AF$1001,0),1)&gt;=100000,INDEX($AM$1005:$BM$1005,1,MATCH(COLUMNS($AM$1006:BE1006),$AM$1006:$BM$1006,0))&gt;=100000), " ",IF(INDEX($AM$2:$BM$1001,MATCH(ROWS($AF$2:AF69),$AF$2:$AF$1001,0),MATCH(COLUMNS($AM$1006:BE1006),$AM$1006:$BM$1006,0)), HYPERLINK("#",""), HYPERLINK(CONCATENATE("#metadata!", ADDRESS(INDEX($AH$2:$AH$1001,MATCH(ROWS($AF$2:AF69),$AF$2:$AF$1001,0),0), INDEX($AM$1004:$BM$1004,1,MATCH(COLUMNS($AM$1006:BE1006),$AM$1006:$BM$1006,0)))),"Fix")))</f>
        <v xml:space="preserve"> </v>
      </c>
      <c r="U69" s="4" t="str">
        <f ca="1">IF(OR(INDEX($AG$2:$AG$1001,MATCH(ROWS($AF$2:AF69),$AF$2:$AF$1001,0),1)&gt;=100000,INDEX($AM$1005:$BM$1005,1,MATCH(COLUMNS($AM$1006:BF1006),$AM$1006:$BM$1006,0))&gt;=100000), " ",IF(INDEX($AM$2:$BM$1001,MATCH(ROWS($AF$2:AF69),$AF$2:$AF$1001,0),MATCH(COLUMNS($AM$1006:BF1006),$AM$1006:$BM$1006,0)), HYPERLINK("#",""), HYPERLINK(CONCATENATE("#metadata!", ADDRESS(INDEX($AH$2:$AH$1001,MATCH(ROWS($AF$2:AF69),$AF$2:$AF$1001,0),0), INDEX($AM$1004:$BM$1004,1,MATCH(COLUMNS($AM$1006:BF1006),$AM$1006:$BM$1006,0)))),"Fix")))</f>
        <v xml:space="preserve"> </v>
      </c>
      <c r="V69" s="4" t="str">
        <f ca="1">IF(OR(INDEX($AG$2:$AG$1001,MATCH(ROWS($AF$2:AF69),$AF$2:$AF$1001,0),1)&gt;=100000,INDEX($AM$1005:$BM$1005,1,MATCH(COLUMNS($AM$1006:BG1006),$AM$1006:$BM$1006,0))&gt;=100000), " ",IF(INDEX($AM$2:$BM$1001,MATCH(ROWS($AF$2:AF69),$AF$2:$AF$1001,0),MATCH(COLUMNS($AM$1006:BG1006),$AM$1006:$BM$1006,0)), HYPERLINK("#",""), HYPERLINK(CONCATENATE("#metadata!", ADDRESS(INDEX($AH$2:$AH$1001,MATCH(ROWS($AF$2:AF69),$AF$2:$AF$1001,0),0), INDEX($AM$1004:$BM$1004,1,MATCH(COLUMNS($AM$1006:BG1006),$AM$1006:$BM$1006,0)))),"Fix")))</f>
        <v xml:space="preserve"> </v>
      </c>
      <c r="W69" s="4" t="str">
        <f ca="1">IF(OR(INDEX($AG$2:$AG$1001,MATCH(ROWS($AF$2:AF69),$AF$2:$AF$1001,0),1)&gt;=100000,INDEX($AM$1005:$BM$1005,1,MATCH(COLUMNS($AM$1006:BH1006),$AM$1006:$BM$1006,0))&gt;=100000), " ",IF(INDEX($AM$2:$BM$1001,MATCH(ROWS($AF$2:AF69),$AF$2:$AF$1001,0),MATCH(COLUMNS($AM$1006:BH1006),$AM$1006:$BM$1006,0)), HYPERLINK("#",""), HYPERLINK(CONCATENATE("#metadata!", ADDRESS(INDEX($AH$2:$AH$1001,MATCH(ROWS($AF$2:AF69),$AF$2:$AF$1001,0),0), INDEX($AM$1004:$BM$1004,1,MATCH(COLUMNS($AM$1006:BH1006),$AM$1006:$BM$1006,0)))),"Fix")))</f>
        <v xml:space="preserve"> </v>
      </c>
      <c r="X69" s="4" t="str">
        <f ca="1">IF(OR(INDEX($AG$2:$AG$1001,MATCH(ROWS($AF$2:AF69),$AF$2:$AF$1001,0),1)&gt;=100000,INDEX($AM$1005:$BM$1005,1,MATCH(COLUMNS($AM$1006:BI1006),$AM$1006:$BM$1006,0))&gt;=100000), " ",IF(INDEX($AM$2:$BM$1001,MATCH(ROWS($AF$2:AF69),$AF$2:$AF$1001,0),MATCH(COLUMNS($AM$1006:BI1006),$AM$1006:$BM$1006,0)), HYPERLINK("#",""), HYPERLINK(CONCATENATE("#metadata!", ADDRESS(INDEX($AH$2:$AH$1001,MATCH(ROWS($AF$2:AF69),$AF$2:$AF$1001,0),0), INDEX($AM$1004:$BM$1004,1,MATCH(COLUMNS($AM$1006:BI1006),$AM$1006:$BM$1006,0)))),"Fix")))</f>
        <v xml:space="preserve"> </v>
      </c>
      <c r="Y69" s="4" t="str">
        <f ca="1">IF(OR(INDEX($AG$2:$AG$1001,MATCH(ROWS($AF$2:AF69),$AF$2:$AF$1001,0),1)&gt;=100000,INDEX($AM$1005:$BM$1005,1,MATCH(COLUMNS($AM$1006:BJ1006),$AM$1006:$BM$1006,0))&gt;=100000), " ",IF(INDEX($AM$2:$BM$1001,MATCH(ROWS($AF$2:AF69),$AF$2:$AF$1001,0),MATCH(COLUMNS($AM$1006:BJ1006),$AM$1006:$BM$1006,0)), HYPERLINK("#",""), HYPERLINK(CONCATENATE("#metadata!", ADDRESS(INDEX($AH$2:$AH$1001,MATCH(ROWS($AF$2:AF69),$AF$2:$AF$1001,0),0), INDEX($AM$1004:$BM$1004,1,MATCH(COLUMNS($AM$1006:BJ1006),$AM$1006:$BM$1006,0)))),"Fix")))</f>
        <v xml:space="preserve"> </v>
      </c>
      <c r="Z69" s="4" t="str">
        <f ca="1">IF(OR(INDEX($AG$2:$AG$1001,MATCH(ROWS($AF$2:AF69),$AF$2:$AF$1001,0),1)&gt;=100000,INDEX($AM$1005:$BM$1005,1,MATCH(COLUMNS($AM$1006:BK1006),$AM$1006:$BM$1006,0))&gt;=100000), " ",IF(INDEX($AM$2:$BM$1001,MATCH(ROWS($AF$2:AF69),$AF$2:$AF$1001,0),MATCH(COLUMNS($AM$1006:BK1006),$AM$1006:$BM$1006,0)), HYPERLINK("#",""), HYPERLINK(CONCATENATE("#metadata!", ADDRESS(INDEX($AH$2:$AH$1001,MATCH(ROWS($AF$2:AF69),$AF$2:$AF$1001,0),0), INDEX($AM$1004:$BM$1004,1,MATCH(COLUMNS($AM$1006:BK1006),$AM$1006:$BM$1006,0)))),"Fix")))</f>
        <v xml:space="preserve"> </v>
      </c>
      <c r="AA69" s="4" t="str">
        <f ca="1">IF(OR(INDEX($AG$2:$AG$1001,MATCH(ROWS($AF$2:AF69),$AF$2:$AF$1001,0),1)&gt;=100000,INDEX($AM$1005:$BM$1005,1,MATCH(COLUMNS($AM$1006:BL1006),$AM$1006:$BM$1006,0))&gt;=100000), " ",IF(INDEX($AM$2:$BM$1001,MATCH(ROWS($AF$2:AF69),$AF$2:$AF$1001,0),MATCH(COLUMNS($AM$1006:BL1006),$AM$1006:$BM$1006,0)), HYPERLINK("#",""), HYPERLINK(CONCATENATE("#metadata!", ADDRESS(INDEX($AH$2:$AH$1001,MATCH(ROWS($AF$2:AF69),$AF$2:$AF$1001,0),0), INDEX($AM$1004:$BM$1004,1,MATCH(COLUMNS($AM$1006:BL1006),$AM$1006:$BM$1006,0)))),"Fix")))</f>
        <v xml:space="preserve"> </v>
      </c>
      <c r="AB69" s="4" t="str">
        <f ca="1">IF(OR(INDEX($AG$2:$AG$1001,MATCH(ROWS($AF$2:AF69),$AF$2:$AF$1001,0),1)&gt;=100000,INDEX($AM$1005:$BM$1005,1,MATCH(COLUMNS($AM$1006:BM1006),$AM$1006:$BM$1006,0))&gt;=100000), " ",IF(INDEX($AM$2:$BM$1001,MATCH(ROWS($AF$2:AF69),$AF$2:$AF$1001,0),MATCH(COLUMNS($AM$1006:BM1006),$AM$1006:$BM$1006,0)), HYPERLINK("#",""), HYPERLINK(CONCATENATE("#metadata!", ADDRESS(INDEX($AH$2:$AH$1001,MATCH(ROWS($AF$2:AF69),$AF$2:$AF$1001,0),0), INDEX($AM$1004:$BM$1004,1,MATCH(COLUMNS($AM$1006:BM1006),$AM$1006:$BM$1006,0)))),"Fix")))</f>
        <v xml:space="preserve"> </v>
      </c>
      <c r="AF69">
        <v>68</v>
      </c>
      <c r="AG69">
        <v>100069</v>
      </c>
      <c r="AH69">
        <v>69</v>
      </c>
      <c r="AI69" t="b">
        <f t="shared" si="1"/>
        <v>1</v>
      </c>
      <c r="AJ69" t="b">
        <f>COUNTBLANK(metadata!B69:AB69)=COLUMNS(metadata!B69:AB69)</f>
        <v>1</v>
      </c>
      <c r="AK69" t="str">
        <v/>
      </c>
      <c r="AM69" t="b">
        <f ca="1">AND(IF(metadata!B69="",FALSE,TRUE),COUNTIF(metadata!B:B, metadata!B69) = 1,NOT(ISERROR(SUMPRODUCT(SEARCH(MID(metadata!B69,ROW(INDIRECT("1:"&amp;LEN(metadata!B69))), 1),"0123456789abcdefghijklmnopqrstuvwxyzABCDEFGHIJKLMNOPQRSTUVWXYZ.")))))</f>
        <v>0</v>
      </c>
      <c r="AN69" t="b">
        <f ca="1">OR(AND(IF(metadata!C69="",FALSE,TRUE),OR(EXACT(metadata!C69,"missing: not collected"),EXACT(metadata!C69,"missing: not provided"),EXACT(metadata!C69,"missing: restricted access"))),AND(IF(metadata!C69="",FALSE,TRUE),AND(AND(IFERROR(INT(LEFT(metadata!C69,4))&gt;1900,FALSE),IFERROR(INT(LEFT(metadata!C69,4))&lt;=YEAR(NOW()),FALSE)), OR(MID(metadata!C69,5,1)="", AND(AND(MID(metadata!C69,5,1)="-",IFERROR(INT(MID(metadata!C69,6,1))&gt;=0,FALSE),IFERROR(INT(MID(metadata!C69,6,1))&lt;=1,FALSE),NOT(MID(metadata!C69,7,1)=""),IFERROR(INT(MID(metadata!C69,6,2))&gt;=1,FALSE),IFERROR(INT(MID(metadata!C69,6,2))&lt;=12,FALSE)), OR(MID(metadata!C69,8,1)="", AND(AND(MID(metadata!C69,8,1)="-",IFERROR(INT(MID(metadata!C69,9,1))&gt;=0,FALSE),IFERROR(INT(MID(metadata!C69,9,1))&lt;=3,FALSE),NOT(MID(metadata!C69,10,1)=""),IFERROR(INT(MID(metadata!C69,9,2))&gt;=1,FALSE),IFERROR(INT(MID(metadata!C69,9,2))&lt;=31,FALSE)), OR(MID(metadata!C69,11,1)="", AND(AND(MID(metadata!C69,11,1)=" ",IFERROR(INT(MID(metadata!C69,12,1))&gt;=0,FALSE),IFERROR(INT(MID(metadata!C69,12,1))&lt;=2,FALSE),NOT(MID(metadata!C69,13,1)=""),IFERROR(INT(MID(metadata!C69,12,2))&gt;=0,FALSE),IFERROR(INT(MID(metadata!C69,12,2))&lt;=23,FALSE)), OR(MID(metadata!C69,14,1)="", AND(AND(MID(metadata!C69,14,1)=":",IFERROR(INT(MID(metadata!C69,15,1))&gt;=0,FALSE),IFERROR(INT(MID(metadata!C69,15,1))&lt;=5,FALSE),NOT(MID(metadata!C69,16,1)=""),IFERROR(INT(MID(metadata!C69,15,2))&gt;=0,FALSE),IFERROR(INT(MID(metadata!C69,15,2))&lt;=59,FALSE)), OR(MID(metadata!C69,17,1)="", AND(AND(MID(metadata!C69,17,1)=":",IFERROR(INT(MID(metadata!C69,18,1))&gt;=0,FALSE),IFERROR(INT(MID(metadata!C69,18,1))&lt;=5,FALSE),NOT(MID(metadata!C69,19,1)=""),IFERROR(INT(MID(metadata!C69,18,2))&gt;=0,FALSE),IFERROR(INT(MID(metadata!C69,18,2))&lt;=59,FALSE)), LEN(metadata!C69)&lt;=19)))))))))))))</f>
        <v>0</v>
      </c>
      <c r="AO69" t="b">
        <f>AND(IF(metadata!D69="",FALSE,TRUE),EXACT(metadata!D69,"Not applicable"))</f>
        <v>0</v>
      </c>
      <c r="AP69" t="b">
        <f>IF(metadata!E69="",FALSE,TRUE)</f>
        <v>0</v>
      </c>
      <c r="AQ69" t="b">
        <f>OR(AND(IF(metadata!F69="",FALSE,TRUE),OR(EXACT(metadata!F69,"missing: not collected"),EXACT(metadata!F69,"missing: not provided"))),AND(IF(metadata!F69="",FALSE,TRUE),OR(EXACT(metadata!F69,"TRUE"),EXACT(metadata!F69,"FALSE"))))</f>
        <v>0</v>
      </c>
      <c r="AR69" t="b">
        <f>OR(AND(IF(metadata!G69="",FALSE,TRUE),OR(EXACT(metadata!G69,"missing: not collected"),EXACT(metadata!G69,"missing: not provided"),EXACT(metadata!G69,"missing: restricted access"))),AND(IF(metadata!G69="",FALSE,ISNUMBER(VALUE(metadata!G69))),metadata!G69&gt;=-413))</f>
        <v>0</v>
      </c>
      <c r="AS69" t="b">
        <f>AND(IF(metadata!H69="",FALSE,TRUE),EXACT(metadata!H69,"meters"))</f>
        <v>0</v>
      </c>
      <c r="AT69" t="b">
        <f>AND(IF(metadata!I69="",FALSE,TRUE),OR(EXACT(metadata!I69,"Host-associated"),EXACT(metadata!I69,"Free-living")))</f>
        <v>0</v>
      </c>
      <c r="AU69" t="b">
        <f>AND(IF(metadata!J69="",FALSE,TRUE),OR(EXACT(metadata!J69,"Animal"),EXACT(metadata!J69,"Fungus"),EXACT(metadata!J69,"Plant"),EXACT(metadata!J69,"Saline"),EXACT(metadata!J69,"Non-saline")))</f>
        <v>0</v>
      </c>
      <c r="AV69" t="b">
        <f>AND(IF(metadata!K69="",FALSE,TRUE),OR(EXACT(metadata!K69,"Plant secretion"),EXACT(metadata!K69,"Plant rhizosphere"),EXACT(metadata!K69,"Plant surface"),EXACT(metadata!K69,"Plant corpus"),EXACT(metadata!K69,"Fungus surface"),EXACT(metadata!K69,"Fungus corpus"),EXACT(metadata!K69,"Animal surface"),EXACT(metadata!K69,"Animal proximal gut"),EXACT(metadata!K69,"Animal corpus"),EXACT(metadata!K69,"Animal distal gut"),EXACT(metadata!K69,"Animal secretion"),EXACT(metadata!K69,"Sub-surface (non-saline)"),EXACT(metadata!K69,"Surface (non-saline)"),EXACT(metadata!K69,"Water (non-saline)"),EXACT(metadata!K69,"Soil (non-saline)"),EXACT(metadata!K69,"Aerosol (non-saline)"),EXACT(metadata!K69,"Sediment (non-saline)"),EXACT(metadata!K69,"Surface (saline)"),EXACT(metadata!K69,"Water (saline)"),EXACT(metadata!K69,"Hypersaline (saline)"),EXACT(metadata!K69,"Aerosol (saline)"),EXACT(metadata!K69,"Sediment (saline)")))</f>
        <v>0</v>
      </c>
      <c r="AW69" t="b">
        <f>IF(metadata!L69="",FALSE,TRUE)</f>
        <v>0</v>
      </c>
      <c r="AX69" t="b">
        <f>IF(metadata!M69="",FALSE,TRUE)</f>
        <v>0</v>
      </c>
      <c r="AY69" t="b">
        <f>IF(metadata!N69="",FALSE,TRUE)</f>
        <v>0</v>
      </c>
      <c r="AZ69" t="b">
        <f>OR(AND(IF(metadata!O69="",FALSE,TRUE),OR(EXACT(metadata!O69,"missing: not collected"),EXACT(metadata!O69,"missing: not provided"),EXACT(metadata!O69,"missing: restricted access"))),AND(IF(metadata!O69="",FALSE,TRUE),OR(EXACT(metadata!O69,"air"),EXACT(metadata!O69,"built environment"),EXACT(metadata!O69,"host-associated"),EXACT(metadata!O69,"human-associated"),EXACT(metadata!O69,"human-skin"),EXACT(metadata!O69,"human-oral"),EXACT(metadata!O69,"human-gut"),EXACT(metadata!O69,"human-vaginal"),EXACT(metadata!O69,"microbial mat/biofilm"),EXACT(metadata!O69,"misc environment"),EXACT(metadata!O69,"plant-associated"),EXACT(metadata!O69,"sediment"),EXACT(metadata!O69,"soil"),EXACT(metadata!O69,"wastewater/sludge"),EXACT(metadata!O69,"water"))))</f>
        <v>0</v>
      </c>
      <c r="BA69" t="b">
        <f>IF(metadata!P69="",FALSE,TRUE)</f>
        <v>0</v>
      </c>
      <c r="BB69" t="b">
        <f>IF(metadata!Q69="",FALSE,TRUE)</f>
        <v>0</v>
      </c>
      <c r="BC69" t="b">
        <f>OR(AND(IF(metadata!R69="",FALSE,TRUE),OR(EXACT(metadata!R69,"missing: not collected"),EXACT(metadata!R69,"missing: not provided"),EXACT(metadata!R69,"missing: restricted access"))),AND(IF(metadata!R69="",FALSE,ISNUMBER(VALUE(metadata!R69))),metadata!R69&gt;=-90,metadata!R69&lt;=90))</f>
        <v>0</v>
      </c>
      <c r="BD69" t="b">
        <f>AND(IF(metadata!S69="",FALSE,TRUE),EXACT(metadata!S69,"Decimal degrees"))</f>
        <v>0</v>
      </c>
      <c r="BE69" t="b">
        <f>OR(AND(IF(metadata!T69="",FALSE,TRUE),OR(EXACT(metadata!T69,"missing: not collected"),EXACT(metadata!T69,"missing: not provided"),EXACT(metadata!T69,"missing: restricted access"))),AND(IF(metadata!T69="",FALSE,ISNUMBER(VALUE(metadata!T69))),metadata!T69&gt;=-180,metadata!T69&lt;=180))</f>
        <v>0</v>
      </c>
      <c r="BF69" t="b">
        <f>AND(IF(metadata!U69="",FALSE,TRUE),EXACT(metadata!U69,"Decimal degrees"))</f>
        <v>0</v>
      </c>
      <c r="BG69" t="b">
        <f>IF(metadata!V69="",FALSE,TRUE)</f>
        <v>0</v>
      </c>
      <c r="BH69" t="b">
        <f>OR(AND(IF(metadata!W69="",FALSE,TRUE),OR(EXACT(metadata!W69,"missing: not collected"),EXACT(metadata!W69,"missing: not provided"),EXACT(metadata!W69,"missing: restricted access"))),AND(IF(metadata!W69="",FALSE,TRUE),OR(EXACT(metadata!W69,"TRUE"),EXACT(metadata!W69,"FALSE"))))</f>
        <v>0</v>
      </c>
      <c r="BI69" t="b">
        <f>AND(IF(metadata!X69="",FALSE,TRUE),EXACT(metadata!X69,"other"))</f>
        <v>0</v>
      </c>
      <c r="BJ69" t="b">
        <f>IF(metadata!Y69="",FALSE,TRUE)</f>
        <v>0</v>
      </c>
      <c r="BK69" t="b">
        <f>OR(AND(IF(metadata!Z69="",FALSE,TRUE),OR(EXACT(metadata!Z69,"missing: not collected"),EXACT(metadata!Z69,"missing: not provided"))),AND(IF(metadata!Z69="",FALSE,IF(ISERROR(INT(metadata!Z69)),FALSE,INT(metadata!Z69)=metadata!Z69)),metadata!Z69&gt;0))</f>
        <v>0</v>
      </c>
      <c r="BL69" t="b">
        <f>AND(IF(metadata!AA69="",FALSE,TRUE),EXACT(metadata!AA69,"Not applicable"))</f>
        <v>0</v>
      </c>
      <c r="BM69" t="b">
        <f>IF(metadata!AB69="",FALSE,TRUE)</f>
        <v>0</v>
      </c>
    </row>
    <row r="70" spans="1:65" x14ac:dyDescent="0.2">
      <c r="A70" s="5" t="str">
        <f ca="1">IF(B70=" "," ",HYPERLINK(CONCATENATE("#metadata!",ADDRESS(INDEX($AH$2:$AH$1001,MATCH(ROWS($AF$2:AF70),$AF$2:$AF$1001,0),0),1)),INDEX($AK$2:$AK$1001,MATCH(ROWS($AF$2:AF70),$AF$2:$AF$1001,0),0)))</f>
        <v xml:space="preserve"> </v>
      </c>
      <c r="B70" s="4" t="str">
        <f ca="1">IF(OR(INDEX($AG$2:$AG$1001,MATCH(ROWS($AF$2:AF70),$AF$2:$AF$1001,0),1)&gt;=100000,INDEX($AM$1005:$BM$1005,1,MATCH(COLUMNS($AM$1006:AM1006),$AM$1006:$BM$1006,0))&gt;=100000), " ",IF(INDEX($AM$2:$BM$1001,MATCH(ROWS($AF$2:AF70),$AF$2:$AF$1001,0),MATCH(COLUMNS($AM$1006:AM1006),$AM$1006:$BM$1006,0)), HYPERLINK("#",""), HYPERLINK(CONCATENATE("#metadata!", ADDRESS(INDEX($AH$2:$AH$1001,MATCH(ROWS($AF$2:AF70),$AF$2:$AF$1001,0),0), INDEX($AM$1004:$BM$1004,1,MATCH(COLUMNS($AM$1006:AM1006),$AM$1006:$BM$1006,0)))),"Fix")))</f>
        <v xml:space="preserve"> </v>
      </c>
      <c r="C70" s="4" t="str">
        <f ca="1">IF(OR(INDEX($AG$2:$AG$1001,MATCH(ROWS($AF$2:AF70),$AF$2:$AF$1001,0),1)&gt;=100000,INDEX($AM$1005:$BM$1005,1,MATCH(COLUMNS($AM$1006:AN1006),$AM$1006:$BM$1006,0))&gt;=100000), " ",IF(INDEX($AM$2:$BM$1001,MATCH(ROWS($AF$2:AF70),$AF$2:$AF$1001,0),MATCH(COLUMNS($AM$1006:AN1006),$AM$1006:$BM$1006,0)), HYPERLINK("#",""), HYPERLINK(CONCATENATE("#metadata!", ADDRESS(INDEX($AH$2:$AH$1001,MATCH(ROWS($AF$2:AF70),$AF$2:$AF$1001,0),0), INDEX($AM$1004:$BM$1004,1,MATCH(COLUMNS($AM$1006:AN1006),$AM$1006:$BM$1006,0)))),"Fix")))</f>
        <v xml:space="preserve"> </v>
      </c>
      <c r="D70" s="4" t="str">
        <f ca="1">IF(OR(INDEX($AG$2:$AG$1001,MATCH(ROWS($AF$2:AF70),$AF$2:$AF$1001,0),1)&gt;=100000,INDEX($AM$1005:$BM$1005,1,MATCH(COLUMNS($AM$1006:AO1006),$AM$1006:$BM$1006,0))&gt;=100000), " ",IF(INDEX($AM$2:$BM$1001,MATCH(ROWS($AF$2:AF70),$AF$2:$AF$1001,0),MATCH(COLUMNS($AM$1006:AO1006),$AM$1006:$BM$1006,0)), HYPERLINK("#",""), HYPERLINK(CONCATENATE("#metadata!", ADDRESS(INDEX($AH$2:$AH$1001,MATCH(ROWS($AF$2:AF70),$AF$2:$AF$1001,0),0), INDEX($AM$1004:$BM$1004,1,MATCH(COLUMNS($AM$1006:AO1006),$AM$1006:$BM$1006,0)))),"Fix")))</f>
        <v xml:space="preserve"> </v>
      </c>
      <c r="E70" s="4" t="str">
        <f ca="1">IF(OR(INDEX($AG$2:$AG$1001,MATCH(ROWS($AF$2:AF70),$AF$2:$AF$1001,0),1)&gt;=100000,INDEX($AM$1005:$BM$1005,1,MATCH(COLUMNS($AM$1006:AP1006),$AM$1006:$BM$1006,0))&gt;=100000), " ",IF(INDEX($AM$2:$BM$1001,MATCH(ROWS($AF$2:AF70),$AF$2:$AF$1001,0),MATCH(COLUMNS($AM$1006:AP1006),$AM$1006:$BM$1006,0)), HYPERLINK("#",""), HYPERLINK(CONCATENATE("#metadata!", ADDRESS(INDEX($AH$2:$AH$1001,MATCH(ROWS($AF$2:AF70),$AF$2:$AF$1001,0),0), INDEX($AM$1004:$BM$1004,1,MATCH(COLUMNS($AM$1006:AP1006),$AM$1006:$BM$1006,0)))),"Fix")))</f>
        <v xml:space="preserve"> </v>
      </c>
      <c r="F70" s="4" t="str">
        <f ca="1">IF(OR(INDEX($AG$2:$AG$1001,MATCH(ROWS($AF$2:AF70),$AF$2:$AF$1001,0),1)&gt;=100000,INDEX($AM$1005:$BM$1005,1,MATCH(COLUMNS($AM$1006:AQ1006),$AM$1006:$BM$1006,0))&gt;=100000), " ",IF(INDEX($AM$2:$BM$1001,MATCH(ROWS($AF$2:AF70),$AF$2:$AF$1001,0),MATCH(COLUMNS($AM$1006:AQ1006),$AM$1006:$BM$1006,0)), HYPERLINK("#",""), HYPERLINK(CONCATENATE("#metadata!", ADDRESS(INDEX($AH$2:$AH$1001,MATCH(ROWS($AF$2:AF70),$AF$2:$AF$1001,0),0), INDEX($AM$1004:$BM$1004,1,MATCH(COLUMNS($AM$1006:AQ1006),$AM$1006:$BM$1006,0)))),"Fix")))</f>
        <v xml:space="preserve"> </v>
      </c>
      <c r="G70" s="4" t="str">
        <f ca="1">IF(OR(INDEX($AG$2:$AG$1001,MATCH(ROWS($AF$2:AF70),$AF$2:$AF$1001,0),1)&gt;=100000,INDEX($AM$1005:$BM$1005,1,MATCH(COLUMNS($AM$1006:AR1006),$AM$1006:$BM$1006,0))&gt;=100000), " ",IF(INDEX($AM$2:$BM$1001,MATCH(ROWS($AF$2:AF70),$AF$2:$AF$1001,0),MATCH(COLUMNS($AM$1006:AR1006),$AM$1006:$BM$1006,0)), HYPERLINK("#",""), HYPERLINK(CONCATENATE("#metadata!", ADDRESS(INDEX($AH$2:$AH$1001,MATCH(ROWS($AF$2:AF70),$AF$2:$AF$1001,0),0), INDEX($AM$1004:$BM$1004,1,MATCH(COLUMNS($AM$1006:AR1006),$AM$1006:$BM$1006,0)))),"Fix")))</f>
        <v xml:space="preserve"> </v>
      </c>
      <c r="H70" s="4" t="str">
        <f ca="1">IF(OR(INDEX($AG$2:$AG$1001,MATCH(ROWS($AF$2:AF70),$AF$2:$AF$1001,0),1)&gt;=100000,INDEX($AM$1005:$BM$1005,1,MATCH(COLUMNS($AM$1006:AS1006),$AM$1006:$BM$1006,0))&gt;=100000), " ",IF(INDEX($AM$2:$BM$1001,MATCH(ROWS($AF$2:AF70),$AF$2:$AF$1001,0),MATCH(COLUMNS($AM$1006:AS1006),$AM$1006:$BM$1006,0)), HYPERLINK("#",""), HYPERLINK(CONCATENATE("#metadata!", ADDRESS(INDEX($AH$2:$AH$1001,MATCH(ROWS($AF$2:AF70),$AF$2:$AF$1001,0),0), INDEX($AM$1004:$BM$1004,1,MATCH(COLUMNS($AM$1006:AS1006),$AM$1006:$BM$1006,0)))),"Fix")))</f>
        <v xml:space="preserve"> </v>
      </c>
      <c r="I70" s="4" t="str">
        <f ca="1">IF(OR(INDEX($AG$2:$AG$1001,MATCH(ROWS($AF$2:AF70),$AF$2:$AF$1001,0),1)&gt;=100000,INDEX($AM$1005:$BM$1005,1,MATCH(COLUMNS($AM$1006:AT1006),$AM$1006:$BM$1006,0))&gt;=100000), " ",IF(INDEX($AM$2:$BM$1001,MATCH(ROWS($AF$2:AF70),$AF$2:$AF$1001,0),MATCH(COLUMNS($AM$1006:AT1006),$AM$1006:$BM$1006,0)), HYPERLINK("#",""), HYPERLINK(CONCATENATE("#metadata!", ADDRESS(INDEX($AH$2:$AH$1001,MATCH(ROWS($AF$2:AF70),$AF$2:$AF$1001,0),0), INDEX($AM$1004:$BM$1004,1,MATCH(COLUMNS($AM$1006:AT1006),$AM$1006:$BM$1006,0)))),"Fix")))</f>
        <v xml:space="preserve"> </v>
      </c>
      <c r="J70" s="4" t="str">
        <f ca="1">IF(OR(INDEX($AG$2:$AG$1001,MATCH(ROWS($AF$2:AF70),$AF$2:$AF$1001,0),1)&gt;=100000,INDEX($AM$1005:$BM$1005,1,MATCH(COLUMNS($AM$1006:AU1006),$AM$1006:$BM$1006,0))&gt;=100000), " ",IF(INDEX($AM$2:$BM$1001,MATCH(ROWS($AF$2:AF70),$AF$2:$AF$1001,0),MATCH(COLUMNS($AM$1006:AU1006),$AM$1006:$BM$1006,0)), HYPERLINK("#",""), HYPERLINK(CONCATENATE("#metadata!", ADDRESS(INDEX($AH$2:$AH$1001,MATCH(ROWS($AF$2:AF70),$AF$2:$AF$1001,0),0), INDEX($AM$1004:$BM$1004,1,MATCH(COLUMNS($AM$1006:AU1006),$AM$1006:$BM$1006,0)))),"Fix")))</f>
        <v xml:space="preserve"> </v>
      </c>
      <c r="K70" s="4" t="str">
        <f ca="1">IF(OR(INDEX($AG$2:$AG$1001,MATCH(ROWS($AF$2:AF70),$AF$2:$AF$1001,0),1)&gt;=100000,INDEX($AM$1005:$BM$1005,1,MATCH(COLUMNS($AM$1006:AV1006),$AM$1006:$BM$1006,0))&gt;=100000), " ",IF(INDEX($AM$2:$BM$1001,MATCH(ROWS($AF$2:AF70),$AF$2:$AF$1001,0),MATCH(COLUMNS($AM$1006:AV1006),$AM$1006:$BM$1006,0)), HYPERLINK("#",""), HYPERLINK(CONCATENATE("#metadata!", ADDRESS(INDEX($AH$2:$AH$1001,MATCH(ROWS($AF$2:AF70),$AF$2:$AF$1001,0),0), INDEX($AM$1004:$BM$1004,1,MATCH(COLUMNS($AM$1006:AV1006),$AM$1006:$BM$1006,0)))),"Fix")))</f>
        <v xml:space="preserve"> </v>
      </c>
      <c r="L70" s="4" t="str">
        <f ca="1">IF(OR(INDEX($AG$2:$AG$1001,MATCH(ROWS($AF$2:AF70),$AF$2:$AF$1001,0),1)&gt;=100000,INDEX($AM$1005:$BM$1005,1,MATCH(COLUMNS($AM$1006:AW1006),$AM$1006:$BM$1006,0))&gt;=100000), " ",IF(INDEX($AM$2:$BM$1001,MATCH(ROWS($AF$2:AF70),$AF$2:$AF$1001,0),MATCH(COLUMNS($AM$1006:AW1006),$AM$1006:$BM$1006,0)), HYPERLINK("#",""), HYPERLINK(CONCATENATE("#metadata!", ADDRESS(INDEX($AH$2:$AH$1001,MATCH(ROWS($AF$2:AF70),$AF$2:$AF$1001,0),0), INDEX($AM$1004:$BM$1004,1,MATCH(COLUMNS($AM$1006:AW1006),$AM$1006:$BM$1006,0)))),"Fix")))</f>
        <v xml:space="preserve"> </v>
      </c>
      <c r="M70" s="4" t="str">
        <f ca="1">IF(OR(INDEX($AG$2:$AG$1001,MATCH(ROWS($AF$2:AF70),$AF$2:$AF$1001,0),1)&gt;=100000,INDEX($AM$1005:$BM$1005,1,MATCH(COLUMNS($AM$1006:AX1006),$AM$1006:$BM$1006,0))&gt;=100000), " ",IF(INDEX($AM$2:$BM$1001,MATCH(ROWS($AF$2:AF70),$AF$2:$AF$1001,0),MATCH(COLUMNS($AM$1006:AX1006),$AM$1006:$BM$1006,0)), HYPERLINK("#",""), HYPERLINK(CONCATENATE("#metadata!", ADDRESS(INDEX($AH$2:$AH$1001,MATCH(ROWS($AF$2:AF70),$AF$2:$AF$1001,0),0), INDEX($AM$1004:$BM$1004,1,MATCH(COLUMNS($AM$1006:AX1006),$AM$1006:$BM$1006,0)))),"Fix")))</f>
        <v xml:space="preserve"> </v>
      </c>
      <c r="N70" s="4" t="str">
        <f ca="1">IF(OR(INDEX($AG$2:$AG$1001,MATCH(ROWS($AF$2:AF70),$AF$2:$AF$1001,0),1)&gt;=100000,INDEX($AM$1005:$BM$1005,1,MATCH(COLUMNS($AM$1006:AY1006),$AM$1006:$BM$1006,0))&gt;=100000), " ",IF(INDEX($AM$2:$BM$1001,MATCH(ROWS($AF$2:AF70),$AF$2:$AF$1001,0),MATCH(COLUMNS($AM$1006:AY1006),$AM$1006:$BM$1006,0)), HYPERLINK("#",""), HYPERLINK(CONCATENATE("#metadata!", ADDRESS(INDEX($AH$2:$AH$1001,MATCH(ROWS($AF$2:AF70),$AF$2:$AF$1001,0),0), INDEX($AM$1004:$BM$1004,1,MATCH(COLUMNS($AM$1006:AY1006),$AM$1006:$BM$1006,0)))),"Fix")))</f>
        <v xml:space="preserve"> </v>
      </c>
      <c r="O70" s="4" t="str">
        <f ca="1">IF(OR(INDEX($AG$2:$AG$1001,MATCH(ROWS($AF$2:AF70),$AF$2:$AF$1001,0),1)&gt;=100000,INDEX($AM$1005:$BM$1005,1,MATCH(COLUMNS($AM$1006:AZ1006),$AM$1006:$BM$1006,0))&gt;=100000), " ",IF(INDEX($AM$2:$BM$1001,MATCH(ROWS($AF$2:AF70),$AF$2:$AF$1001,0),MATCH(COLUMNS($AM$1006:AZ1006),$AM$1006:$BM$1006,0)), HYPERLINK("#",""), HYPERLINK(CONCATENATE("#metadata!", ADDRESS(INDEX($AH$2:$AH$1001,MATCH(ROWS($AF$2:AF70),$AF$2:$AF$1001,0),0), INDEX($AM$1004:$BM$1004,1,MATCH(COLUMNS($AM$1006:AZ1006),$AM$1006:$BM$1006,0)))),"Fix")))</f>
        <v xml:space="preserve"> </v>
      </c>
      <c r="P70" s="4" t="str">
        <f ca="1">IF(OR(INDEX($AG$2:$AG$1001,MATCH(ROWS($AF$2:AF70),$AF$2:$AF$1001,0),1)&gt;=100000,INDEX($AM$1005:$BM$1005,1,MATCH(COLUMNS($AM$1006:BA1006),$AM$1006:$BM$1006,0))&gt;=100000), " ",IF(INDEX($AM$2:$BM$1001,MATCH(ROWS($AF$2:AF70),$AF$2:$AF$1001,0),MATCH(COLUMNS($AM$1006:BA1006),$AM$1006:$BM$1006,0)), HYPERLINK("#",""), HYPERLINK(CONCATENATE("#metadata!", ADDRESS(INDEX($AH$2:$AH$1001,MATCH(ROWS($AF$2:AF70),$AF$2:$AF$1001,0),0), INDEX($AM$1004:$BM$1004,1,MATCH(COLUMNS($AM$1006:BA1006),$AM$1006:$BM$1006,0)))),"Fix")))</f>
        <v xml:space="preserve"> </v>
      </c>
      <c r="Q70" s="4" t="str">
        <f ca="1">IF(OR(INDEX($AG$2:$AG$1001,MATCH(ROWS($AF$2:AF70),$AF$2:$AF$1001,0),1)&gt;=100000,INDEX($AM$1005:$BM$1005,1,MATCH(COLUMNS($AM$1006:BB1006),$AM$1006:$BM$1006,0))&gt;=100000), " ",IF(INDEX($AM$2:$BM$1001,MATCH(ROWS($AF$2:AF70),$AF$2:$AF$1001,0),MATCH(COLUMNS($AM$1006:BB1006),$AM$1006:$BM$1006,0)), HYPERLINK("#",""), HYPERLINK(CONCATENATE("#metadata!", ADDRESS(INDEX($AH$2:$AH$1001,MATCH(ROWS($AF$2:AF70),$AF$2:$AF$1001,0),0), INDEX($AM$1004:$BM$1004,1,MATCH(COLUMNS($AM$1006:BB1006),$AM$1006:$BM$1006,0)))),"Fix")))</f>
        <v xml:space="preserve"> </v>
      </c>
      <c r="R70" s="4" t="str">
        <f ca="1">IF(OR(INDEX($AG$2:$AG$1001,MATCH(ROWS($AF$2:AF70),$AF$2:$AF$1001,0),1)&gt;=100000,INDEX($AM$1005:$BM$1005,1,MATCH(COLUMNS($AM$1006:BC1006),$AM$1006:$BM$1006,0))&gt;=100000), " ",IF(INDEX($AM$2:$BM$1001,MATCH(ROWS($AF$2:AF70),$AF$2:$AF$1001,0),MATCH(COLUMNS($AM$1006:BC1006),$AM$1006:$BM$1006,0)), HYPERLINK("#",""), HYPERLINK(CONCATENATE("#metadata!", ADDRESS(INDEX($AH$2:$AH$1001,MATCH(ROWS($AF$2:AF70),$AF$2:$AF$1001,0),0), INDEX($AM$1004:$BM$1004,1,MATCH(COLUMNS($AM$1006:BC1006),$AM$1006:$BM$1006,0)))),"Fix")))</f>
        <v xml:space="preserve"> </v>
      </c>
      <c r="S70" s="4" t="str">
        <f ca="1">IF(OR(INDEX($AG$2:$AG$1001,MATCH(ROWS($AF$2:AF70),$AF$2:$AF$1001,0),1)&gt;=100000,INDEX($AM$1005:$BM$1005,1,MATCH(COLUMNS($AM$1006:BD1006),$AM$1006:$BM$1006,0))&gt;=100000), " ",IF(INDEX($AM$2:$BM$1001,MATCH(ROWS($AF$2:AF70),$AF$2:$AF$1001,0),MATCH(COLUMNS($AM$1006:BD1006),$AM$1006:$BM$1006,0)), HYPERLINK("#",""), HYPERLINK(CONCATENATE("#metadata!", ADDRESS(INDEX($AH$2:$AH$1001,MATCH(ROWS($AF$2:AF70),$AF$2:$AF$1001,0),0), INDEX($AM$1004:$BM$1004,1,MATCH(COLUMNS($AM$1006:BD1006),$AM$1006:$BM$1006,0)))),"Fix")))</f>
        <v xml:space="preserve"> </v>
      </c>
      <c r="T70" s="4" t="str">
        <f ca="1">IF(OR(INDEX($AG$2:$AG$1001,MATCH(ROWS($AF$2:AF70),$AF$2:$AF$1001,0),1)&gt;=100000,INDEX($AM$1005:$BM$1005,1,MATCH(COLUMNS($AM$1006:BE1006),$AM$1006:$BM$1006,0))&gt;=100000), " ",IF(INDEX($AM$2:$BM$1001,MATCH(ROWS($AF$2:AF70),$AF$2:$AF$1001,0),MATCH(COLUMNS($AM$1006:BE1006),$AM$1006:$BM$1006,0)), HYPERLINK("#",""), HYPERLINK(CONCATENATE("#metadata!", ADDRESS(INDEX($AH$2:$AH$1001,MATCH(ROWS($AF$2:AF70),$AF$2:$AF$1001,0),0), INDEX($AM$1004:$BM$1004,1,MATCH(COLUMNS($AM$1006:BE1006),$AM$1006:$BM$1006,0)))),"Fix")))</f>
        <v xml:space="preserve"> </v>
      </c>
      <c r="U70" s="4" t="str">
        <f ca="1">IF(OR(INDEX($AG$2:$AG$1001,MATCH(ROWS($AF$2:AF70),$AF$2:$AF$1001,0),1)&gt;=100000,INDEX($AM$1005:$BM$1005,1,MATCH(COLUMNS($AM$1006:BF1006),$AM$1006:$BM$1006,0))&gt;=100000), " ",IF(INDEX($AM$2:$BM$1001,MATCH(ROWS($AF$2:AF70),$AF$2:$AF$1001,0),MATCH(COLUMNS($AM$1006:BF1006),$AM$1006:$BM$1006,0)), HYPERLINK("#",""), HYPERLINK(CONCATENATE("#metadata!", ADDRESS(INDEX($AH$2:$AH$1001,MATCH(ROWS($AF$2:AF70),$AF$2:$AF$1001,0),0), INDEX($AM$1004:$BM$1004,1,MATCH(COLUMNS($AM$1006:BF1006),$AM$1006:$BM$1006,0)))),"Fix")))</f>
        <v xml:space="preserve"> </v>
      </c>
      <c r="V70" s="4" t="str">
        <f ca="1">IF(OR(INDEX($AG$2:$AG$1001,MATCH(ROWS($AF$2:AF70),$AF$2:$AF$1001,0),1)&gt;=100000,INDEX($AM$1005:$BM$1005,1,MATCH(COLUMNS($AM$1006:BG1006),$AM$1006:$BM$1006,0))&gt;=100000), " ",IF(INDEX($AM$2:$BM$1001,MATCH(ROWS($AF$2:AF70),$AF$2:$AF$1001,0),MATCH(COLUMNS($AM$1006:BG1006),$AM$1006:$BM$1006,0)), HYPERLINK("#",""), HYPERLINK(CONCATENATE("#metadata!", ADDRESS(INDEX($AH$2:$AH$1001,MATCH(ROWS($AF$2:AF70),$AF$2:$AF$1001,0),0), INDEX($AM$1004:$BM$1004,1,MATCH(COLUMNS($AM$1006:BG1006),$AM$1006:$BM$1006,0)))),"Fix")))</f>
        <v xml:space="preserve"> </v>
      </c>
      <c r="W70" s="4" t="str">
        <f ca="1">IF(OR(INDEX($AG$2:$AG$1001,MATCH(ROWS($AF$2:AF70),$AF$2:$AF$1001,0),1)&gt;=100000,INDEX($AM$1005:$BM$1005,1,MATCH(COLUMNS($AM$1006:BH1006),$AM$1006:$BM$1006,0))&gt;=100000), " ",IF(INDEX($AM$2:$BM$1001,MATCH(ROWS($AF$2:AF70),$AF$2:$AF$1001,0),MATCH(COLUMNS($AM$1006:BH1006),$AM$1006:$BM$1006,0)), HYPERLINK("#",""), HYPERLINK(CONCATENATE("#metadata!", ADDRESS(INDEX($AH$2:$AH$1001,MATCH(ROWS($AF$2:AF70),$AF$2:$AF$1001,0),0), INDEX($AM$1004:$BM$1004,1,MATCH(COLUMNS($AM$1006:BH1006),$AM$1006:$BM$1006,0)))),"Fix")))</f>
        <v xml:space="preserve"> </v>
      </c>
      <c r="X70" s="4" t="str">
        <f ca="1">IF(OR(INDEX($AG$2:$AG$1001,MATCH(ROWS($AF$2:AF70),$AF$2:$AF$1001,0),1)&gt;=100000,INDEX($AM$1005:$BM$1005,1,MATCH(COLUMNS($AM$1006:BI1006),$AM$1006:$BM$1006,0))&gt;=100000), " ",IF(INDEX($AM$2:$BM$1001,MATCH(ROWS($AF$2:AF70),$AF$2:$AF$1001,0),MATCH(COLUMNS($AM$1006:BI1006),$AM$1006:$BM$1006,0)), HYPERLINK("#",""), HYPERLINK(CONCATENATE("#metadata!", ADDRESS(INDEX($AH$2:$AH$1001,MATCH(ROWS($AF$2:AF70),$AF$2:$AF$1001,0),0), INDEX($AM$1004:$BM$1004,1,MATCH(COLUMNS($AM$1006:BI1006),$AM$1006:$BM$1006,0)))),"Fix")))</f>
        <v xml:space="preserve"> </v>
      </c>
      <c r="Y70" s="4" t="str">
        <f ca="1">IF(OR(INDEX($AG$2:$AG$1001,MATCH(ROWS($AF$2:AF70),$AF$2:$AF$1001,0),1)&gt;=100000,INDEX($AM$1005:$BM$1005,1,MATCH(COLUMNS($AM$1006:BJ1006),$AM$1006:$BM$1006,0))&gt;=100000), " ",IF(INDEX($AM$2:$BM$1001,MATCH(ROWS($AF$2:AF70),$AF$2:$AF$1001,0),MATCH(COLUMNS($AM$1006:BJ1006),$AM$1006:$BM$1006,0)), HYPERLINK("#",""), HYPERLINK(CONCATENATE("#metadata!", ADDRESS(INDEX($AH$2:$AH$1001,MATCH(ROWS($AF$2:AF70),$AF$2:$AF$1001,0),0), INDEX($AM$1004:$BM$1004,1,MATCH(COLUMNS($AM$1006:BJ1006),$AM$1006:$BM$1006,0)))),"Fix")))</f>
        <v xml:space="preserve"> </v>
      </c>
      <c r="Z70" s="4" t="str">
        <f ca="1">IF(OR(INDEX($AG$2:$AG$1001,MATCH(ROWS($AF$2:AF70),$AF$2:$AF$1001,0),1)&gt;=100000,INDEX($AM$1005:$BM$1005,1,MATCH(COLUMNS($AM$1006:BK1006),$AM$1006:$BM$1006,0))&gt;=100000), " ",IF(INDEX($AM$2:$BM$1001,MATCH(ROWS($AF$2:AF70),$AF$2:$AF$1001,0),MATCH(COLUMNS($AM$1006:BK1006),$AM$1006:$BM$1006,0)), HYPERLINK("#",""), HYPERLINK(CONCATENATE("#metadata!", ADDRESS(INDEX($AH$2:$AH$1001,MATCH(ROWS($AF$2:AF70),$AF$2:$AF$1001,0),0), INDEX($AM$1004:$BM$1004,1,MATCH(COLUMNS($AM$1006:BK1006),$AM$1006:$BM$1006,0)))),"Fix")))</f>
        <v xml:space="preserve"> </v>
      </c>
      <c r="AA70" s="4" t="str">
        <f ca="1">IF(OR(INDEX($AG$2:$AG$1001,MATCH(ROWS($AF$2:AF70),$AF$2:$AF$1001,0),1)&gt;=100000,INDEX($AM$1005:$BM$1005,1,MATCH(COLUMNS($AM$1006:BL1006),$AM$1006:$BM$1006,0))&gt;=100000), " ",IF(INDEX($AM$2:$BM$1001,MATCH(ROWS($AF$2:AF70),$AF$2:$AF$1001,0),MATCH(COLUMNS($AM$1006:BL1006),$AM$1006:$BM$1006,0)), HYPERLINK("#",""), HYPERLINK(CONCATENATE("#metadata!", ADDRESS(INDEX($AH$2:$AH$1001,MATCH(ROWS($AF$2:AF70),$AF$2:$AF$1001,0),0), INDEX($AM$1004:$BM$1004,1,MATCH(COLUMNS($AM$1006:BL1006),$AM$1006:$BM$1006,0)))),"Fix")))</f>
        <v xml:space="preserve"> </v>
      </c>
      <c r="AB70" s="4" t="str">
        <f ca="1">IF(OR(INDEX($AG$2:$AG$1001,MATCH(ROWS($AF$2:AF70),$AF$2:$AF$1001,0),1)&gt;=100000,INDEX($AM$1005:$BM$1005,1,MATCH(COLUMNS($AM$1006:BM1006),$AM$1006:$BM$1006,0))&gt;=100000), " ",IF(INDEX($AM$2:$BM$1001,MATCH(ROWS($AF$2:AF70),$AF$2:$AF$1001,0),MATCH(COLUMNS($AM$1006:BM1006),$AM$1006:$BM$1006,0)), HYPERLINK("#",""), HYPERLINK(CONCATENATE("#metadata!", ADDRESS(INDEX($AH$2:$AH$1001,MATCH(ROWS($AF$2:AF70),$AF$2:$AF$1001,0),0), INDEX($AM$1004:$BM$1004,1,MATCH(COLUMNS($AM$1006:BM1006),$AM$1006:$BM$1006,0)))),"Fix")))</f>
        <v xml:space="preserve"> </v>
      </c>
      <c r="AF70">
        <v>69</v>
      </c>
      <c r="AG70">
        <v>100070</v>
      </c>
      <c r="AH70">
        <v>70</v>
      </c>
      <c r="AI70" t="b">
        <f t="shared" si="1"/>
        <v>1</v>
      </c>
      <c r="AJ70" t="b">
        <f>COUNTBLANK(metadata!B70:AB70)=COLUMNS(metadata!B70:AB70)</f>
        <v>1</v>
      </c>
      <c r="AK70" t="str">
        <v/>
      </c>
      <c r="AM70" t="b">
        <f ca="1">AND(IF(metadata!B70="",FALSE,TRUE),COUNTIF(metadata!B:B, metadata!B70) = 1,NOT(ISERROR(SUMPRODUCT(SEARCH(MID(metadata!B70,ROW(INDIRECT("1:"&amp;LEN(metadata!B70))), 1),"0123456789abcdefghijklmnopqrstuvwxyzABCDEFGHIJKLMNOPQRSTUVWXYZ.")))))</f>
        <v>0</v>
      </c>
      <c r="AN70" t="b">
        <f ca="1">OR(AND(IF(metadata!C70="",FALSE,TRUE),OR(EXACT(metadata!C70,"missing: not collected"),EXACT(metadata!C70,"missing: not provided"),EXACT(metadata!C70,"missing: restricted access"))),AND(IF(metadata!C70="",FALSE,TRUE),AND(AND(IFERROR(INT(LEFT(metadata!C70,4))&gt;1900,FALSE),IFERROR(INT(LEFT(metadata!C70,4))&lt;=YEAR(NOW()),FALSE)), OR(MID(metadata!C70,5,1)="", AND(AND(MID(metadata!C70,5,1)="-",IFERROR(INT(MID(metadata!C70,6,1))&gt;=0,FALSE),IFERROR(INT(MID(metadata!C70,6,1))&lt;=1,FALSE),NOT(MID(metadata!C70,7,1)=""),IFERROR(INT(MID(metadata!C70,6,2))&gt;=1,FALSE),IFERROR(INT(MID(metadata!C70,6,2))&lt;=12,FALSE)), OR(MID(metadata!C70,8,1)="", AND(AND(MID(metadata!C70,8,1)="-",IFERROR(INT(MID(metadata!C70,9,1))&gt;=0,FALSE),IFERROR(INT(MID(metadata!C70,9,1))&lt;=3,FALSE),NOT(MID(metadata!C70,10,1)=""),IFERROR(INT(MID(metadata!C70,9,2))&gt;=1,FALSE),IFERROR(INT(MID(metadata!C70,9,2))&lt;=31,FALSE)), OR(MID(metadata!C70,11,1)="", AND(AND(MID(metadata!C70,11,1)=" ",IFERROR(INT(MID(metadata!C70,12,1))&gt;=0,FALSE),IFERROR(INT(MID(metadata!C70,12,1))&lt;=2,FALSE),NOT(MID(metadata!C70,13,1)=""),IFERROR(INT(MID(metadata!C70,12,2))&gt;=0,FALSE),IFERROR(INT(MID(metadata!C70,12,2))&lt;=23,FALSE)), OR(MID(metadata!C70,14,1)="", AND(AND(MID(metadata!C70,14,1)=":",IFERROR(INT(MID(metadata!C70,15,1))&gt;=0,FALSE),IFERROR(INT(MID(metadata!C70,15,1))&lt;=5,FALSE),NOT(MID(metadata!C70,16,1)=""),IFERROR(INT(MID(metadata!C70,15,2))&gt;=0,FALSE),IFERROR(INT(MID(metadata!C70,15,2))&lt;=59,FALSE)), OR(MID(metadata!C70,17,1)="", AND(AND(MID(metadata!C70,17,1)=":",IFERROR(INT(MID(metadata!C70,18,1))&gt;=0,FALSE),IFERROR(INT(MID(metadata!C70,18,1))&lt;=5,FALSE),NOT(MID(metadata!C70,19,1)=""),IFERROR(INT(MID(metadata!C70,18,2))&gt;=0,FALSE),IFERROR(INT(MID(metadata!C70,18,2))&lt;=59,FALSE)), LEN(metadata!C70)&lt;=19)))))))))))))</f>
        <v>0</v>
      </c>
      <c r="AO70" t="b">
        <f>AND(IF(metadata!D70="",FALSE,TRUE),EXACT(metadata!D70,"Not applicable"))</f>
        <v>0</v>
      </c>
      <c r="AP70" t="b">
        <f>IF(metadata!E70="",FALSE,TRUE)</f>
        <v>0</v>
      </c>
      <c r="AQ70" t="b">
        <f>OR(AND(IF(metadata!F70="",FALSE,TRUE),OR(EXACT(metadata!F70,"missing: not collected"),EXACT(metadata!F70,"missing: not provided"))),AND(IF(metadata!F70="",FALSE,TRUE),OR(EXACT(metadata!F70,"TRUE"),EXACT(metadata!F70,"FALSE"))))</f>
        <v>0</v>
      </c>
      <c r="AR70" t="b">
        <f>OR(AND(IF(metadata!G70="",FALSE,TRUE),OR(EXACT(metadata!G70,"missing: not collected"),EXACT(metadata!G70,"missing: not provided"),EXACT(metadata!G70,"missing: restricted access"))),AND(IF(metadata!G70="",FALSE,ISNUMBER(VALUE(metadata!G70))),metadata!G70&gt;=-413))</f>
        <v>0</v>
      </c>
      <c r="AS70" t="b">
        <f>AND(IF(metadata!H70="",FALSE,TRUE),EXACT(metadata!H70,"meters"))</f>
        <v>0</v>
      </c>
      <c r="AT70" t="b">
        <f>AND(IF(metadata!I70="",FALSE,TRUE),OR(EXACT(metadata!I70,"Host-associated"),EXACT(metadata!I70,"Free-living")))</f>
        <v>0</v>
      </c>
      <c r="AU70" t="b">
        <f>AND(IF(metadata!J70="",FALSE,TRUE),OR(EXACT(metadata!J70,"Animal"),EXACT(metadata!J70,"Fungus"),EXACT(metadata!J70,"Plant"),EXACT(metadata!J70,"Saline"),EXACT(metadata!J70,"Non-saline")))</f>
        <v>0</v>
      </c>
      <c r="AV70" t="b">
        <f>AND(IF(metadata!K70="",FALSE,TRUE),OR(EXACT(metadata!K70,"Plant secretion"),EXACT(metadata!K70,"Plant rhizosphere"),EXACT(metadata!K70,"Plant surface"),EXACT(metadata!K70,"Plant corpus"),EXACT(metadata!K70,"Fungus surface"),EXACT(metadata!K70,"Fungus corpus"),EXACT(metadata!K70,"Animal surface"),EXACT(metadata!K70,"Animal proximal gut"),EXACT(metadata!K70,"Animal corpus"),EXACT(metadata!K70,"Animal distal gut"),EXACT(metadata!K70,"Animal secretion"),EXACT(metadata!K70,"Sub-surface (non-saline)"),EXACT(metadata!K70,"Surface (non-saline)"),EXACT(metadata!K70,"Water (non-saline)"),EXACT(metadata!K70,"Soil (non-saline)"),EXACT(metadata!K70,"Aerosol (non-saline)"),EXACT(metadata!K70,"Sediment (non-saline)"),EXACT(metadata!K70,"Surface (saline)"),EXACT(metadata!K70,"Water (saline)"),EXACT(metadata!K70,"Hypersaline (saline)"),EXACT(metadata!K70,"Aerosol (saline)"),EXACT(metadata!K70,"Sediment (saline)")))</f>
        <v>0</v>
      </c>
      <c r="AW70" t="b">
        <f>IF(metadata!L70="",FALSE,TRUE)</f>
        <v>0</v>
      </c>
      <c r="AX70" t="b">
        <f>IF(metadata!M70="",FALSE,TRUE)</f>
        <v>0</v>
      </c>
      <c r="AY70" t="b">
        <f>IF(metadata!N70="",FALSE,TRUE)</f>
        <v>0</v>
      </c>
      <c r="AZ70" t="b">
        <f>OR(AND(IF(metadata!O70="",FALSE,TRUE),OR(EXACT(metadata!O70,"missing: not collected"),EXACT(metadata!O70,"missing: not provided"),EXACT(metadata!O70,"missing: restricted access"))),AND(IF(metadata!O70="",FALSE,TRUE),OR(EXACT(metadata!O70,"air"),EXACT(metadata!O70,"built environment"),EXACT(metadata!O70,"host-associated"),EXACT(metadata!O70,"human-associated"),EXACT(metadata!O70,"human-skin"),EXACT(metadata!O70,"human-oral"),EXACT(metadata!O70,"human-gut"),EXACT(metadata!O70,"human-vaginal"),EXACT(metadata!O70,"microbial mat/biofilm"),EXACT(metadata!O70,"misc environment"),EXACT(metadata!O70,"plant-associated"),EXACT(metadata!O70,"sediment"),EXACT(metadata!O70,"soil"),EXACT(metadata!O70,"wastewater/sludge"),EXACT(metadata!O70,"water"))))</f>
        <v>0</v>
      </c>
      <c r="BA70" t="b">
        <f>IF(metadata!P70="",FALSE,TRUE)</f>
        <v>0</v>
      </c>
      <c r="BB70" t="b">
        <f>IF(metadata!Q70="",FALSE,TRUE)</f>
        <v>0</v>
      </c>
      <c r="BC70" t="b">
        <f>OR(AND(IF(metadata!R70="",FALSE,TRUE),OR(EXACT(metadata!R70,"missing: not collected"),EXACT(metadata!R70,"missing: not provided"),EXACT(metadata!R70,"missing: restricted access"))),AND(IF(metadata!R70="",FALSE,ISNUMBER(VALUE(metadata!R70))),metadata!R70&gt;=-90,metadata!R70&lt;=90))</f>
        <v>0</v>
      </c>
      <c r="BD70" t="b">
        <f>AND(IF(metadata!S70="",FALSE,TRUE),EXACT(metadata!S70,"Decimal degrees"))</f>
        <v>0</v>
      </c>
      <c r="BE70" t="b">
        <f>OR(AND(IF(metadata!T70="",FALSE,TRUE),OR(EXACT(metadata!T70,"missing: not collected"),EXACT(metadata!T70,"missing: not provided"),EXACT(metadata!T70,"missing: restricted access"))),AND(IF(metadata!T70="",FALSE,ISNUMBER(VALUE(metadata!T70))),metadata!T70&gt;=-180,metadata!T70&lt;=180))</f>
        <v>0</v>
      </c>
      <c r="BF70" t="b">
        <f>AND(IF(metadata!U70="",FALSE,TRUE),EXACT(metadata!U70,"Decimal degrees"))</f>
        <v>0</v>
      </c>
      <c r="BG70" t="b">
        <f>IF(metadata!V70="",FALSE,TRUE)</f>
        <v>0</v>
      </c>
      <c r="BH70" t="b">
        <f>OR(AND(IF(metadata!W70="",FALSE,TRUE),OR(EXACT(metadata!W70,"missing: not collected"),EXACT(metadata!W70,"missing: not provided"),EXACT(metadata!W70,"missing: restricted access"))),AND(IF(metadata!W70="",FALSE,TRUE),OR(EXACT(metadata!W70,"TRUE"),EXACT(metadata!W70,"FALSE"))))</f>
        <v>0</v>
      </c>
      <c r="BI70" t="b">
        <f>AND(IF(metadata!X70="",FALSE,TRUE),EXACT(metadata!X70,"other"))</f>
        <v>0</v>
      </c>
      <c r="BJ70" t="b">
        <f>IF(metadata!Y70="",FALSE,TRUE)</f>
        <v>0</v>
      </c>
      <c r="BK70" t="b">
        <f>OR(AND(IF(metadata!Z70="",FALSE,TRUE),OR(EXACT(metadata!Z70,"missing: not collected"),EXACT(metadata!Z70,"missing: not provided"))),AND(IF(metadata!Z70="",FALSE,IF(ISERROR(INT(metadata!Z70)),FALSE,INT(metadata!Z70)=metadata!Z70)),metadata!Z70&gt;0))</f>
        <v>0</v>
      </c>
      <c r="BL70" t="b">
        <f>AND(IF(metadata!AA70="",FALSE,TRUE),EXACT(metadata!AA70,"Not applicable"))</f>
        <v>0</v>
      </c>
      <c r="BM70" t="b">
        <f>IF(metadata!AB70="",FALSE,TRUE)</f>
        <v>0</v>
      </c>
    </row>
    <row r="71" spans="1:65" x14ac:dyDescent="0.2">
      <c r="A71" s="5" t="str">
        <f ca="1">IF(B71=" "," ",HYPERLINK(CONCATENATE("#metadata!",ADDRESS(INDEX($AH$2:$AH$1001,MATCH(ROWS($AF$2:AF71),$AF$2:$AF$1001,0),0),1)),INDEX($AK$2:$AK$1001,MATCH(ROWS($AF$2:AF71),$AF$2:$AF$1001,0),0)))</f>
        <v xml:space="preserve"> </v>
      </c>
      <c r="B71" s="4" t="str">
        <f ca="1">IF(OR(INDEX($AG$2:$AG$1001,MATCH(ROWS($AF$2:AF71),$AF$2:$AF$1001,0),1)&gt;=100000,INDEX($AM$1005:$BM$1005,1,MATCH(COLUMNS($AM$1006:AM1006),$AM$1006:$BM$1006,0))&gt;=100000), " ",IF(INDEX($AM$2:$BM$1001,MATCH(ROWS($AF$2:AF71),$AF$2:$AF$1001,0),MATCH(COLUMNS($AM$1006:AM1006),$AM$1006:$BM$1006,0)), HYPERLINK("#",""), HYPERLINK(CONCATENATE("#metadata!", ADDRESS(INDEX($AH$2:$AH$1001,MATCH(ROWS($AF$2:AF71),$AF$2:$AF$1001,0),0), INDEX($AM$1004:$BM$1004,1,MATCH(COLUMNS($AM$1006:AM1006),$AM$1006:$BM$1006,0)))),"Fix")))</f>
        <v xml:space="preserve"> </v>
      </c>
      <c r="C71" s="4" t="str">
        <f ca="1">IF(OR(INDEX($AG$2:$AG$1001,MATCH(ROWS($AF$2:AF71),$AF$2:$AF$1001,0),1)&gt;=100000,INDEX($AM$1005:$BM$1005,1,MATCH(COLUMNS($AM$1006:AN1006),$AM$1006:$BM$1006,0))&gt;=100000), " ",IF(INDEX($AM$2:$BM$1001,MATCH(ROWS($AF$2:AF71),$AF$2:$AF$1001,0),MATCH(COLUMNS($AM$1006:AN1006),$AM$1006:$BM$1006,0)), HYPERLINK("#",""), HYPERLINK(CONCATENATE("#metadata!", ADDRESS(INDEX($AH$2:$AH$1001,MATCH(ROWS($AF$2:AF71),$AF$2:$AF$1001,0),0), INDEX($AM$1004:$BM$1004,1,MATCH(COLUMNS($AM$1006:AN1006),$AM$1006:$BM$1006,0)))),"Fix")))</f>
        <v xml:space="preserve"> </v>
      </c>
      <c r="D71" s="4" t="str">
        <f ca="1">IF(OR(INDEX($AG$2:$AG$1001,MATCH(ROWS($AF$2:AF71),$AF$2:$AF$1001,0),1)&gt;=100000,INDEX($AM$1005:$BM$1005,1,MATCH(COLUMNS($AM$1006:AO1006),$AM$1006:$BM$1006,0))&gt;=100000), " ",IF(INDEX($AM$2:$BM$1001,MATCH(ROWS($AF$2:AF71),$AF$2:$AF$1001,0),MATCH(COLUMNS($AM$1006:AO1006),$AM$1006:$BM$1006,0)), HYPERLINK("#",""), HYPERLINK(CONCATENATE("#metadata!", ADDRESS(INDEX($AH$2:$AH$1001,MATCH(ROWS($AF$2:AF71),$AF$2:$AF$1001,0),0), INDEX($AM$1004:$BM$1004,1,MATCH(COLUMNS($AM$1006:AO1006),$AM$1006:$BM$1006,0)))),"Fix")))</f>
        <v xml:space="preserve"> </v>
      </c>
      <c r="E71" s="4" t="str">
        <f ca="1">IF(OR(INDEX($AG$2:$AG$1001,MATCH(ROWS($AF$2:AF71),$AF$2:$AF$1001,0),1)&gt;=100000,INDEX($AM$1005:$BM$1005,1,MATCH(COLUMNS($AM$1006:AP1006),$AM$1006:$BM$1006,0))&gt;=100000), " ",IF(INDEX($AM$2:$BM$1001,MATCH(ROWS($AF$2:AF71),$AF$2:$AF$1001,0),MATCH(COLUMNS($AM$1006:AP1006),$AM$1006:$BM$1006,0)), HYPERLINK("#",""), HYPERLINK(CONCATENATE("#metadata!", ADDRESS(INDEX($AH$2:$AH$1001,MATCH(ROWS($AF$2:AF71),$AF$2:$AF$1001,0),0), INDEX($AM$1004:$BM$1004,1,MATCH(COLUMNS($AM$1006:AP1006),$AM$1006:$BM$1006,0)))),"Fix")))</f>
        <v xml:space="preserve"> </v>
      </c>
      <c r="F71" s="4" t="str">
        <f ca="1">IF(OR(INDEX($AG$2:$AG$1001,MATCH(ROWS($AF$2:AF71),$AF$2:$AF$1001,0),1)&gt;=100000,INDEX($AM$1005:$BM$1005,1,MATCH(COLUMNS($AM$1006:AQ1006),$AM$1006:$BM$1006,0))&gt;=100000), " ",IF(INDEX($AM$2:$BM$1001,MATCH(ROWS($AF$2:AF71),$AF$2:$AF$1001,0),MATCH(COLUMNS($AM$1006:AQ1006),$AM$1006:$BM$1006,0)), HYPERLINK("#",""), HYPERLINK(CONCATENATE("#metadata!", ADDRESS(INDEX($AH$2:$AH$1001,MATCH(ROWS($AF$2:AF71),$AF$2:$AF$1001,0),0), INDEX($AM$1004:$BM$1004,1,MATCH(COLUMNS($AM$1006:AQ1006),$AM$1006:$BM$1006,0)))),"Fix")))</f>
        <v xml:space="preserve"> </v>
      </c>
      <c r="G71" s="4" t="str">
        <f ca="1">IF(OR(INDEX($AG$2:$AG$1001,MATCH(ROWS($AF$2:AF71),$AF$2:$AF$1001,0),1)&gt;=100000,INDEX($AM$1005:$BM$1005,1,MATCH(COLUMNS($AM$1006:AR1006),$AM$1006:$BM$1006,0))&gt;=100000), " ",IF(INDEX($AM$2:$BM$1001,MATCH(ROWS($AF$2:AF71),$AF$2:$AF$1001,0),MATCH(COLUMNS($AM$1006:AR1006),$AM$1006:$BM$1006,0)), HYPERLINK("#",""), HYPERLINK(CONCATENATE("#metadata!", ADDRESS(INDEX($AH$2:$AH$1001,MATCH(ROWS($AF$2:AF71),$AF$2:$AF$1001,0),0), INDEX($AM$1004:$BM$1004,1,MATCH(COLUMNS($AM$1006:AR1006),$AM$1006:$BM$1006,0)))),"Fix")))</f>
        <v xml:space="preserve"> </v>
      </c>
      <c r="H71" s="4" t="str">
        <f ca="1">IF(OR(INDEX($AG$2:$AG$1001,MATCH(ROWS($AF$2:AF71),$AF$2:$AF$1001,0),1)&gt;=100000,INDEX($AM$1005:$BM$1005,1,MATCH(COLUMNS($AM$1006:AS1006),$AM$1006:$BM$1006,0))&gt;=100000), " ",IF(INDEX($AM$2:$BM$1001,MATCH(ROWS($AF$2:AF71),$AF$2:$AF$1001,0),MATCH(COLUMNS($AM$1006:AS1006),$AM$1006:$BM$1006,0)), HYPERLINK("#",""), HYPERLINK(CONCATENATE("#metadata!", ADDRESS(INDEX($AH$2:$AH$1001,MATCH(ROWS($AF$2:AF71),$AF$2:$AF$1001,0),0), INDEX($AM$1004:$BM$1004,1,MATCH(COLUMNS($AM$1006:AS1006),$AM$1006:$BM$1006,0)))),"Fix")))</f>
        <v xml:space="preserve"> </v>
      </c>
      <c r="I71" s="4" t="str">
        <f ca="1">IF(OR(INDEX($AG$2:$AG$1001,MATCH(ROWS($AF$2:AF71),$AF$2:$AF$1001,0),1)&gt;=100000,INDEX($AM$1005:$BM$1005,1,MATCH(COLUMNS($AM$1006:AT1006),$AM$1006:$BM$1006,0))&gt;=100000), " ",IF(INDEX($AM$2:$BM$1001,MATCH(ROWS($AF$2:AF71),$AF$2:$AF$1001,0),MATCH(COLUMNS($AM$1006:AT1006),$AM$1006:$BM$1006,0)), HYPERLINK("#",""), HYPERLINK(CONCATENATE("#metadata!", ADDRESS(INDEX($AH$2:$AH$1001,MATCH(ROWS($AF$2:AF71),$AF$2:$AF$1001,0),0), INDEX($AM$1004:$BM$1004,1,MATCH(COLUMNS($AM$1006:AT1006),$AM$1006:$BM$1006,0)))),"Fix")))</f>
        <v xml:space="preserve"> </v>
      </c>
      <c r="J71" s="4" t="str">
        <f ca="1">IF(OR(INDEX($AG$2:$AG$1001,MATCH(ROWS($AF$2:AF71),$AF$2:$AF$1001,0),1)&gt;=100000,INDEX($AM$1005:$BM$1005,1,MATCH(COLUMNS($AM$1006:AU1006),$AM$1006:$BM$1006,0))&gt;=100000), " ",IF(INDEX($AM$2:$BM$1001,MATCH(ROWS($AF$2:AF71),$AF$2:$AF$1001,0),MATCH(COLUMNS($AM$1006:AU1006),$AM$1006:$BM$1006,0)), HYPERLINK("#",""), HYPERLINK(CONCATENATE("#metadata!", ADDRESS(INDEX($AH$2:$AH$1001,MATCH(ROWS($AF$2:AF71),$AF$2:$AF$1001,0),0), INDEX($AM$1004:$BM$1004,1,MATCH(COLUMNS($AM$1006:AU1006),$AM$1006:$BM$1006,0)))),"Fix")))</f>
        <v xml:space="preserve"> </v>
      </c>
      <c r="K71" s="4" t="str">
        <f ca="1">IF(OR(INDEX($AG$2:$AG$1001,MATCH(ROWS($AF$2:AF71),$AF$2:$AF$1001,0),1)&gt;=100000,INDEX($AM$1005:$BM$1005,1,MATCH(COLUMNS($AM$1006:AV1006),$AM$1006:$BM$1006,0))&gt;=100000), " ",IF(INDEX($AM$2:$BM$1001,MATCH(ROWS($AF$2:AF71),$AF$2:$AF$1001,0),MATCH(COLUMNS($AM$1006:AV1006),$AM$1006:$BM$1006,0)), HYPERLINK("#",""), HYPERLINK(CONCATENATE("#metadata!", ADDRESS(INDEX($AH$2:$AH$1001,MATCH(ROWS($AF$2:AF71),$AF$2:$AF$1001,0),0), INDEX($AM$1004:$BM$1004,1,MATCH(COLUMNS($AM$1006:AV1006),$AM$1006:$BM$1006,0)))),"Fix")))</f>
        <v xml:space="preserve"> </v>
      </c>
      <c r="L71" s="4" t="str">
        <f ca="1">IF(OR(INDEX($AG$2:$AG$1001,MATCH(ROWS($AF$2:AF71),$AF$2:$AF$1001,0),1)&gt;=100000,INDEX($AM$1005:$BM$1005,1,MATCH(COLUMNS($AM$1006:AW1006),$AM$1006:$BM$1006,0))&gt;=100000), " ",IF(INDEX($AM$2:$BM$1001,MATCH(ROWS($AF$2:AF71),$AF$2:$AF$1001,0),MATCH(COLUMNS($AM$1006:AW1006),$AM$1006:$BM$1006,0)), HYPERLINK("#",""), HYPERLINK(CONCATENATE("#metadata!", ADDRESS(INDEX($AH$2:$AH$1001,MATCH(ROWS($AF$2:AF71),$AF$2:$AF$1001,0),0), INDEX($AM$1004:$BM$1004,1,MATCH(COLUMNS($AM$1006:AW1006),$AM$1006:$BM$1006,0)))),"Fix")))</f>
        <v xml:space="preserve"> </v>
      </c>
      <c r="M71" s="4" t="str">
        <f ca="1">IF(OR(INDEX($AG$2:$AG$1001,MATCH(ROWS($AF$2:AF71),$AF$2:$AF$1001,0),1)&gt;=100000,INDEX($AM$1005:$BM$1005,1,MATCH(COLUMNS($AM$1006:AX1006),$AM$1006:$BM$1006,0))&gt;=100000), " ",IF(INDEX($AM$2:$BM$1001,MATCH(ROWS($AF$2:AF71),$AF$2:$AF$1001,0),MATCH(COLUMNS($AM$1006:AX1006),$AM$1006:$BM$1006,0)), HYPERLINK("#",""), HYPERLINK(CONCATENATE("#metadata!", ADDRESS(INDEX($AH$2:$AH$1001,MATCH(ROWS($AF$2:AF71),$AF$2:$AF$1001,0),0), INDEX($AM$1004:$BM$1004,1,MATCH(COLUMNS($AM$1006:AX1006),$AM$1006:$BM$1006,0)))),"Fix")))</f>
        <v xml:space="preserve"> </v>
      </c>
      <c r="N71" s="4" t="str">
        <f ca="1">IF(OR(INDEX($AG$2:$AG$1001,MATCH(ROWS($AF$2:AF71),$AF$2:$AF$1001,0),1)&gt;=100000,INDEX($AM$1005:$BM$1005,1,MATCH(COLUMNS($AM$1006:AY1006),$AM$1006:$BM$1006,0))&gt;=100000), " ",IF(INDEX($AM$2:$BM$1001,MATCH(ROWS($AF$2:AF71),$AF$2:$AF$1001,0),MATCH(COLUMNS($AM$1006:AY1006),$AM$1006:$BM$1006,0)), HYPERLINK("#",""), HYPERLINK(CONCATENATE("#metadata!", ADDRESS(INDEX($AH$2:$AH$1001,MATCH(ROWS($AF$2:AF71),$AF$2:$AF$1001,0),0), INDEX($AM$1004:$BM$1004,1,MATCH(COLUMNS($AM$1006:AY1006),$AM$1006:$BM$1006,0)))),"Fix")))</f>
        <v xml:space="preserve"> </v>
      </c>
      <c r="O71" s="4" t="str">
        <f ca="1">IF(OR(INDEX($AG$2:$AG$1001,MATCH(ROWS($AF$2:AF71),$AF$2:$AF$1001,0),1)&gt;=100000,INDEX($AM$1005:$BM$1005,1,MATCH(COLUMNS($AM$1006:AZ1006),$AM$1006:$BM$1006,0))&gt;=100000), " ",IF(INDEX($AM$2:$BM$1001,MATCH(ROWS($AF$2:AF71),$AF$2:$AF$1001,0),MATCH(COLUMNS($AM$1006:AZ1006),$AM$1006:$BM$1006,0)), HYPERLINK("#",""), HYPERLINK(CONCATENATE("#metadata!", ADDRESS(INDEX($AH$2:$AH$1001,MATCH(ROWS($AF$2:AF71),$AF$2:$AF$1001,0),0), INDEX($AM$1004:$BM$1004,1,MATCH(COLUMNS($AM$1006:AZ1006),$AM$1006:$BM$1006,0)))),"Fix")))</f>
        <v xml:space="preserve"> </v>
      </c>
      <c r="P71" s="4" t="str">
        <f ca="1">IF(OR(INDEX($AG$2:$AG$1001,MATCH(ROWS($AF$2:AF71),$AF$2:$AF$1001,0),1)&gt;=100000,INDEX($AM$1005:$BM$1005,1,MATCH(COLUMNS($AM$1006:BA1006),$AM$1006:$BM$1006,0))&gt;=100000), " ",IF(INDEX($AM$2:$BM$1001,MATCH(ROWS($AF$2:AF71),$AF$2:$AF$1001,0),MATCH(COLUMNS($AM$1006:BA1006),$AM$1006:$BM$1006,0)), HYPERLINK("#",""), HYPERLINK(CONCATENATE("#metadata!", ADDRESS(INDEX($AH$2:$AH$1001,MATCH(ROWS($AF$2:AF71),$AF$2:$AF$1001,0),0), INDEX($AM$1004:$BM$1004,1,MATCH(COLUMNS($AM$1006:BA1006),$AM$1006:$BM$1006,0)))),"Fix")))</f>
        <v xml:space="preserve"> </v>
      </c>
      <c r="Q71" s="4" t="str">
        <f ca="1">IF(OR(INDEX($AG$2:$AG$1001,MATCH(ROWS($AF$2:AF71),$AF$2:$AF$1001,0),1)&gt;=100000,INDEX($AM$1005:$BM$1005,1,MATCH(COLUMNS($AM$1006:BB1006),$AM$1006:$BM$1006,0))&gt;=100000), " ",IF(INDEX($AM$2:$BM$1001,MATCH(ROWS($AF$2:AF71),$AF$2:$AF$1001,0),MATCH(COLUMNS($AM$1006:BB1006),$AM$1006:$BM$1006,0)), HYPERLINK("#",""), HYPERLINK(CONCATENATE("#metadata!", ADDRESS(INDEX($AH$2:$AH$1001,MATCH(ROWS($AF$2:AF71),$AF$2:$AF$1001,0),0), INDEX($AM$1004:$BM$1004,1,MATCH(COLUMNS($AM$1006:BB1006),$AM$1006:$BM$1006,0)))),"Fix")))</f>
        <v xml:space="preserve"> </v>
      </c>
      <c r="R71" s="4" t="str">
        <f ca="1">IF(OR(INDEX($AG$2:$AG$1001,MATCH(ROWS($AF$2:AF71),$AF$2:$AF$1001,0),1)&gt;=100000,INDEX($AM$1005:$BM$1005,1,MATCH(COLUMNS($AM$1006:BC1006),$AM$1006:$BM$1006,0))&gt;=100000), " ",IF(INDEX($AM$2:$BM$1001,MATCH(ROWS($AF$2:AF71),$AF$2:$AF$1001,0),MATCH(COLUMNS($AM$1006:BC1006),$AM$1006:$BM$1006,0)), HYPERLINK("#",""), HYPERLINK(CONCATENATE("#metadata!", ADDRESS(INDEX($AH$2:$AH$1001,MATCH(ROWS($AF$2:AF71),$AF$2:$AF$1001,0),0), INDEX($AM$1004:$BM$1004,1,MATCH(COLUMNS($AM$1006:BC1006),$AM$1006:$BM$1006,0)))),"Fix")))</f>
        <v xml:space="preserve"> </v>
      </c>
      <c r="S71" s="4" t="str">
        <f ca="1">IF(OR(INDEX($AG$2:$AG$1001,MATCH(ROWS($AF$2:AF71),$AF$2:$AF$1001,0),1)&gt;=100000,INDEX($AM$1005:$BM$1005,1,MATCH(COLUMNS($AM$1006:BD1006),$AM$1006:$BM$1006,0))&gt;=100000), " ",IF(INDEX($AM$2:$BM$1001,MATCH(ROWS($AF$2:AF71),$AF$2:$AF$1001,0),MATCH(COLUMNS($AM$1006:BD1006),$AM$1006:$BM$1006,0)), HYPERLINK("#",""), HYPERLINK(CONCATENATE("#metadata!", ADDRESS(INDEX($AH$2:$AH$1001,MATCH(ROWS($AF$2:AF71),$AF$2:$AF$1001,0),0), INDEX($AM$1004:$BM$1004,1,MATCH(COLUMNS($AM$1006:BD1006),$AM$1006:$BM$1006,0)))),"Fix")))</f>
        <v xml:space="preserve"> </v>
      </c>
      <c r="T71" s="4" t="str">
        <f ca="1">IF(OR(INDEX($AG$2:$AG$1001,MATCH(ROWS($AF$2:AF71),$AF$2:$AF$1001,0),1)&gt;=100000,INDEX($AM$1005:$BM$1005,1,MATCH(COLUMNS($AM$1006:BE1006),$AM$1006:$BM$1006,0))&gt;=100000), " ",IF(INDEX($AM$2:$BM$1001,MATCH(ROWS($AF$2:AF71),$AF$2:$AF$1001,0),MATCH(COLUMNS($AM$1006:BE1006),$AM$1006:$BM$1006,0)), HYPERLINK("#",""), HYPERLINK(CONCATENATE("#metadata!", ADDRESS(INDEX($AH$2:$AH$1001,MATCH(ROWS($AF$2:AF71),$AF$2:$AF$1001,0),0), INDEX($AM$1004:$BM$1004,1,MATCH(COLUMNS($AM$1006:BE1006),$AM$1006:$BM$1006,0)))),"Fix")))</f>
        <v xml:space="preserve"> </v>
      </c>
      <c r="U71" s="4" t="str">
        <f ca="1">IF(OR(INDEX($AG$2:$AG$1001,MATCH(ROWS($AF$2:AF71),$AF$2:$AF$1001,0),1)&gt;=100000,INDEX($AM$1005:$BM$1005,1,MATCH(COLUMNS($AM$1006:BF1006),$AM$1006:$BM$1006,0))&gt;=100000), " ",IF(INDEX($AM$2:$BM$1001,MATCH(ROWS($AF$2:AF71),$AF$2:$AF$1001,0),MATCH(COLUMNS($AM$1006:BF1006),$AM$1006:$BM$1006,0)), HYPERLINK("#",""), HYPERLINK(CONCATENATE("#metadata!", ADDRESS(INDEX($AH$2:$AH$1001,MATCH(ROWS($AF$2:AF71),$AF$2:$AF$1001,0),0), INDEX($AM$1004:$BM$1004,1,MATCH(COLUMNS($AM$1006:BF1006),$AM$1006:$BM$1006,0)))),"Fix")))</f>
        <v xml:space="preserve"> </v>
      </c>
      <c r="V71" s="4" t="str">
        <f ca="1">IF(OR(INDEX($AG$2:$AG$1001,MATCH(ROWS($AF$2:AF71),$AF$2:$AF$1001,0),1)&gt;=100000,INDEX($AM$1005:$BM$1005,1,MATCH(COLUMNS($AM$1006:BG1006),$AM$1006:$BM$1006,0))&gt;=100000), " ",IF(INDEX($AM$2:$BM$1001,MATCH(ROWS($AF$2:AF71),$AF$2:$AF$1001,0),MATCH(COLUMNS($AM$1006:BG1006),$AM$1006:$BM$1006,0)), HYPERLINK("#",""), HYPERLINK(CONCATENATE("#metadata!", ADDRESS(INDEX($AH$2:$AH$1001,MATCH(ROWS($AF$2:AF71),$AF$2:$AF$1001,0),0), INDEX($AM$1004:$BM$1004,1,MATCH(COLUMNS($AM$1006:BG1006),$AM$1006:$BM$1006,0)))),"Fix")))</f>
        <v xml:space="preserve"> </v>
      </c>
      <c r="W71" s="4" t="str">
        <f ca="1">IF(OR(INDEX($AG$2:$AG$1001,MATCH(ROWS($AF$2:AF71),$AF$2:$AF$1001,0),1)&gt;=100000,INDEX($AM$1005:$BM$1005,1,MATCH(COLUMNS($AM$1006:BH1006),$AM$1006:$BM$1006,0))&gt;=100000), " ",IF(INDEX($AM$2:$BM$1001,MATCH(ROWS($AF$2:AF71),$AF$2:$AF$1001,0),MATCH(COLUMNS($AM$1006:BH1006),$AM$1006:$BM$1006,0)), HYPERLINK("#",""), HYPERLINK(CONCATENATE("#metadata!", ADDRESS(INDEX($AH$2:$AH$1001,MATCH(ROWS($AF$2:AF71),$AF$2:$AF$1001,0),0), INDEX($AM$1004:$BM$1004,1,MATCH(COLUMNS($AM$1006:BH1006),$AM$1006:$BM$1006,0)))),"Fix")))</f>
        <v xml:space="preserve"> </v>
      </c>
      <c r="X71" s="4" t="str">
        <f ca="1">IF(OR(INDEX($AG$2:$AG$1001,MATCH(ROWS($AF$2:AF71),$AF$2:$AF$1001,0),1)&gt;=100000,INDEX($AM$1005:$BM$1005,1,MATCH(COLUMNS($AM$1006:BI1006),$AM$1006:$BM$1006,0))&gt;=100000), " ",IF(INDEX($AM$2:$BM$1001,MATCH(ROWS($AF$2:AF71),$AF$2:$AF$1001,0),MATCH(COLUMNS($AM$1006:BI1006),$AM$1006:$BM$1006,0)), HYPERLINK("#",""), HYPERLINK(CONCATENATE("#metadata!", ADDRESS(INDEX($AH$2:$AH$1001,MATCH(ROWS($AF$2:AF71),$AF$2:$AF$1001,0),0), INDEX($AM$1004:$BM$1004,1,MATCH(COLUMNS($AM$1006:BI1006),$AM$1006:$BM$1006,0)))),"Fix")))</f>
        <v xml:space="preserve"> </v>
      </c>
      <c r="Y71" s="4" t="str">
        <f ca="1">IF(OR(INDEX($AG$2:$AG$1001,MATCH(ROWS($AF$2:AF71),$AF$2:$AF$1001,0),1)&gt;=100000,INDEX($AM$1005:$BM$1005,1,MATCH(COLUMNS($AM$1006:BJ1006),$AM$1006:$BM$1006,0))&gt;=100000), " ",IF(INDEX($AM$2:$BM$1001,MATCH(ROWS($AF$2:AF71),$AF$2:$AF$1001,0),MATCH(COLUMNS($AM$1006:BJ1006),$AM$1006:$BM$1006,0)), HYPERLINK("#",""), HYPERLINK(CONCATENATE("#metadata!", ADDRESS(INDEX($AH$2:$AH$1001,MATCH(ROWS($AF$2:AF71),$AF$2:$AF$1001,0),0), INDEX($AM$1004:$BM$1004,1,MATCH(COLUMNS($AM$1006:BJ1006),$AM$1006:$BM$1006,0)))),"Fix")))</f>
        <v xml:space="preserve"> </v>
      </c>
      <c r="Z71" s="4" t="str">
        <f ca="1">IF(OR(INDEX($AG$2:$AG$1001,MATCH(ROWS($AF$2:AF71),$AF$2:$AF$1001,0),1)&gt;=100000,INDEX($AM$1005:$BM$1005,1,MATCH(COLUMNS($AM$1006:BK1006),$AM$1006:$BM$1006,0))&gt;=100000), " ",IF(INDEX($AM$2:$BM$1001,MATCH(ROWS($AF$2:AF71),$AF$2:$AF$1001,0),MATCH(COLUMNS($AM$1006:BK1006),$AM$1006:$BM$1006,0)), HYPERLINK("#",""), HYPERLINK(CONCATENATE("#metadata!", ADDRESS(INDEX($AH$2:$AH$1001,MATCH(ROWS($AF$2:AF71),$AF$2:$AF$1001,0),0), INDEX($AM$1004:$BM$1004,1,MATCH(COLUMNS($AM$1006:BK1006),$AM$1006:$BM$1006,0)))),"Fix")))</f>
        <v xml:space="preserve"> </v>
      </c>
      <c r="AA71" s="4" t="str">
        <f ca="1">IF(OR(INDEX($AG$2:$AG$1001,MATCH(ROWS($AF$2:AF71),$AF$2:$AF$1001,0),1)&gt;=100000,INDEX($AM$1005:$BM$1005,1,MATCH(COLUMNS($AM$1006:BL1006),$AM$1006:$BM$1006,0))&gt;=100000), " ",IF(INDEX($AM$2:$BM$1001,MATCH(ROWS($AF$2:AF71),$AF$2:$AF$1001,0),MATCH(COLUMNS($AM$1006:BL1006),$AM$1006:$BM$1006,0)), HYPERLINK("#",""), HYPERLINK(CONCATENATE("#metadata!", ADDRESS(INDEX($AH$2:$AH$1001,MATCH(ROWS($AF$2:AF71),$AF$2:$AF$1001,0),0), INDEX($AM$1004:$BM$1004,1,MATCH(COLUMNS($AM$1006:BL1006),$AM$1006:$BM$1006,0)))),"Fix")))</f>
        <v xml:space="preserve"> </v>
      </c>
      <c r="AB71" s="4" t="str">
        <f ca="1">IF(OR(INDEX($AG$2:$AG$1001,MATCH(ROWS($AF$2:AF71),$AF$2:$AF$1001,0),1)&gt;=100000,INDEX($AM$1005:$BM$1005,1,MATCH(COLUMNS($AM$1006:BM1006),$AM$1006:$BM$1006,0))&gt;=100000), " ",IF(INDEX($AM$2:$BM$1001,MATCH(ROWS($AF$2:AF71),$AF$2:$AF$1001,0),MATCH(COLUMNS($AM$1006:BM1006),$AM$1006:$BM$1006,0)), HYPERLINK("#",""), HYPERLINK(CONCATENATE("#metadata!", ADDRESS(INDEX($AH$2:$AH$1001,MATCH(ROWS($AF$2:AF71),$AF$2:$AF$1001,0),0), INDEX($AM$1004:$BM$1004,1,MATCH(COLUMNS($AM$1006:BM1006),$AM$1006:$BM$1006,0)))),"Fix")))</f>
        <v xml:space="preserve"> </v>
      </c>
      <c r="AF71">
        <v>70</v>
      </c>
      <c r="AG71">
        <v>100071</v>
      </c>
      <c r="AH71">
        <v>71</v>
      </c>
      <c r="AI71" t="b">
        <f t="shared" si="1"/>
        <v>1</v>
      </c>
      <c r="AJ71" t="b">
        <f>COUNTBLANK(metadata!B71:AB71)=COLUMNS(metadata!B71:AB71)</f>
        <v>1</v>
      </c>
      <c r="AK71" t="str">
        <v/>
      </c>
      <c r="AM71" t="b">
        <f ca="1">AND(IF(metadata!B71="",FALSE,TRUE),COUNTIF(metadata!B:B, metadata!B71) = 1,NOT(ISERROR(SUMPRODUCT(SEARCH(MID(metadata!B71,ROW(INDIRECT("1:"&amp;LEN(metadata!B71))), 1),"0123456789abcdefghijklmnopqrstuvwxyzABCDEFGHIJKLMNOPQRSTUVWXYZ.")))))</f>
        <v>0</v>
      </c>
      <c r="AN71" t="b">
        <f ca="1">OR(AND(IF(metadata!C71="",FALSE,TRUE),OR(EXACT(metadata!C71,"missing: not collected"),EXACT(metadata!C71,"missing: not provided"),EXACT(metadata!C71,"missing: restricted access"))),AND(IF(metadata!C71="",FALSE,TRUE),AND(AND(IFERROR(INT(LEFT(metadata!C71,4))&gt;1900,FALSE),IFERROR(INT(LEFT(metadata!C71,4))&lt;=YEAR(NOW()),FALSE)), OR(MID(metadata!C71,5,1)="", AND(AND(MID(metadata!C71,5,1)="-",IFERROR(INT(MID(metadata!C71,6,1))&gt;=0,FALSE),IFERROR(INT(MID(metadata!C71,6,1))&lt;=1,FALSE),NOT(MID(metadata!C71,7,1)=""),IFERROR(INT(MID(metadata!C71,6,2))&gt;=1,FALSE),IFERROR(INT(MID(metadata!C71,6,2))&lt;=12,FALSE)), OR(MID(metadata!C71,8,1)="", AND(AND(MID(metadata!C71,8,1)="-",IFERROR(INT(MID(metadata!C71,9,1))&gt;=0,FALSE),IFERROR(INT(MID(metadata!C71,9,1))&lt;=3,FALSE),NOT(MID(metadata!C71,10,1)=""),IFERROR(INT(MID(metadata!C71,9,2))&gt;=1,FALSE),IFERROR(INT(MID(metadata!C71,9,2))&lt;=31,FALSE)), OR(MID(metadata!C71,11,1)="", AND(AND(MID(metadata!C71,11,1)=" ",IFERROR(INT(MID(metadata!C71,12,1))&gt;=0,FALSE),IFERROR(INT(MID(metadata!C71,12,1))&lt;=2,FALSE),NOT(MID(metadata!C71,13,1)=""),IFERROR(INT(MID(metadata!C71,12,2))&gt;=0,FALSE),IFERROR(INT(MID(metadata!C71,12,2))&lt;=23,FALSE)), OR(MID(metadata!C71,14,1)="", AND(AND(MID(metadata!C71,14,1)=":",IFERROR(INT(MID(metadata!C71,15,1))&gt;=0,FALSE),IFERROR(INT(MID(metadata!C71,15,1))&lt;=5,FALSE),NOT(MID(metadata!C71,16,1)=""),IFERROR(INT(MID(metadata!C71,15,2))&gt;=0,FALSE),IFERROR(INT(MID(metadata!C71,15,2))&lt;=59,FALSE)), OR(MID(metadata!C71,17,1)="", AND(AND(MID(metadata!C71,17,1)=":",IFERROR(INT(MID(metadata!C71,18,1))&gt;=0,FALSE),IFERROR(INT(MID(metadata!C71,18,1))&lt;=5,FALSE),NOT(MID(metadata!C71,19,1)=""),IFERROR(INT(MID(metadata!C71,18,2))&gt;=0,FALSE),IFERROR(INT(MID(metadata!C71,18,2))&lt;=59,FALSE)), LEN(metadata!C71)&lt;=19)))))))))))))</f>
        <v>0</v>
      </c>
      <c r="AO71" t="b">
        <f>AND(IF(metadata!D71="",FALSE,TRUE),EXACT(metadata!D71,"Not applicable"))</f>
        <v>0</v>
      </c>
      <c r="AP71" t="b">
        <f>IF(metadata!E71="",FALSE,TRUE)</f>
        <v>0</v>
      </c>
      <c r="AQ71" t="b">
        <f>OR(AND(IF(metadata!F71="",FALSE,TRUE),OR(EXACT(metadata!F71,"missing: not collected"),EXACT(metadata!F71,"missing: not provided"))),AND(IF(metadata!F71="",FALSE,TRUE),OR(EXACT(metadata!F71,"TRUE"),EXACT(metadata!F71,"FALSE"))))</f>
        <v>0</v>
      </c>
      <c r="AR71" t="b">
        <f>OR(AND(IF(metadata!G71="",FALSE,TRUE),OR(EXACT(metadata!G71,"missing: not collected"),EXACT(metadata!G71,"missing: not provided"),EXACT(metadata!G71,"missing: restricted access"))),AND(IF(metadata!G71="",FALSE,ISNUMBER(VALUE(metadata!G71))),metadata!G71&gt;=-413))</f>
        <v>0</v>
      </c>
      <c r="AS71" t="b">
        <f>AND(IF(metadata!H71="",FALSE,TRUE),EXACT(metadata!H71,"meters"))</f>
        <v>0</v>
      </c>
      <c r="AT71" t="b">
        <f>AND(IF(metadata!I71="",FALSE,TRUE),OR(EXACT(metadata!I71,"Host-associated"),EXACT(metadata!I71,"Free-living")))</f>
        <v>0</v>
      </c>
      <c r="AU71" t="b">
        <f>AND(IF(metadata!J71="",FALSE,TRUE),OR(EXACT(metadata!J71,"Animal"),EXACT(metadata!J71,"Fungus"),EXACT(metadata!J71,"Plant"),EXACT(metadata!J71,"Saline"),EXACT(metadata!J71,"Non-saline")))</f>
        <v>0</v>
      </c>
      <c r="AV71" t="b">
        <f>AND(IF(metadata!K71="",FALSE,TRUE),OR(EXACT(metadata!K71,"Plant secretion"),EXACT(metadata!K71,"Plant rhizosphere"),EXACT(metadata!K71,"Plant surface"),EXACT(metadata!K71,"Plant corpus"),EXACT(metadata!K71,"Fungus surface"),EXACT(metadata!K71,"Fungus corpus"),EXACT(metadata!K71,"Animal surface"),EXACT(metadata!K71,"Animal proximal gut"),EXACT(metadata!K71,"Animal corpus"),EXACT(metadata!K71,"Animal distal gut"),EXACT(metadata!K71,"Animal secretion"),EXACT(metadata!K71,"Sub-surface (non-saline)"),EXACT(metadata!K71,"Surface (non-saline)"),EXACT(metadata!K71,"Water (non-saline)"),EXACT(metadata!K71,"Soil (non-saline)"),EXACT(metadata!K71,"Aerosol (non-saline)"),EXACT(metadata!K71,"Sediment (non-saline)"),EXACT(metadata!K71,"Surface (saline)"),EXACT(metadata!K71,"Water (saline)"),EXACT(metadata!K71,"Hypersaline (saline)"),EXACT(metadata!K71,"Aerosol (saline)"),EXACT(metadata!K71,"Sediment (saline)")))</f>
        <v>0</v>
      </c>
      <c r="AW71" t="b">
        <f>IF(metadata!L71="",FALSE,TRUE)</f>
        <v>0</v>
      </c>
      <c r="AX71" t="b">
        <f>IF(metadata!M71="",FALSE,TRUE)</f>
        <v>0</v>
      </c>
      <c r="AY71" t="b">
        <f>IF(metadata!N71="",FALSE,TRUE)</f>
        <v>0</v>
      </c>
      <c r="AZ71" t="b">
        <f>OR(AND(IF(metadata!O71="",FALSE,TRUE),OR(EXACT(metadata!O71,"missing: not collected"),EXACT(metadata!O71,"missing: not provided"),EXACT(metadata!O71,"missing: restricted access"))),AND(IF(metadata!O71="",FALSE,TRUE),OR(EXACT(metadata!O71,"air"),EXACT(metadata!O71,"built environment"),EXACT(metadata!O71,"host-associated"),EXACT(metadata!O71,"human-associated"),EXACT(metadata!O71,"human-skin"),EXACT(metadata!O71,"human-oral"),EXACT(metadata!O71,"human-gut"),EXACT(metadata!O71,"human-vaginal"),EXACT(metadata!O71,"microbial mat/biofilm"),EXACT(metadata!O71,"misc environment"),EXACT(metadata!O71,"plant-associated"),EXACT(metadata!O71,"sediment"),EXACT(metadata!O71,"soil"),EXACT(metadata!O71,"wastewater/sludge"),EXACT(metadata!O71,"water"))))</f>
        <v>0</v>
      </c>
      <c r="BA71" t="b">
        <f>IF(metadata!P71="",FALSE,TRUE)</f>
        <v>0</v>
      </c>
      <c r="BB71" t="b">
        <f>IF(metadata!Q71="",FALSE,TRUE)</f>
        <v>0</v>
      </c>
      <c r="BC71" t="b">
        <f>OR(AND(IF(metadata!R71="",FALSE,TRUE),OR(EXACT(metadata!R71,"missing: not collected"),EXACT(metadata!R71,"missing: not provided"),EXACT(metadata!R71,"missing: restricted access"))),AND(IF(metadata!R71="",FALSE,ISNUMBER(VALUE(metadata!R71))),metadata!R71&gt;=-90,metadata!R71&lt;=90))</f>
        <v>0</v>
      </c>
      <c r="BD71" t="b">
        <f>AND(IF(metadata!S71="",FALSE,TRUE),EXACT(metadata!S71,"Decimal degrees"))</f>
        <v>0</v>
      </c>
      <c r="BE71" t="b">
        <f>OR(AND(IF(metadata!T71="",FALSE,TRUE),OR(EXACT(metadata!T71,"missing: not collected"),EXACT(metadata!T71,"missing: not provided"),EXACT(metadata!T71,"missing: restricted access"))),AND(IF(metadata!T71="",FALSE,ISNUMBER(VALUE(metadata!T71))),metadata!T71&gt;=-180,metadata!T71&lt;=180))</f>
        <v>0</v>
      </c>
      <c r="BF71" t="b">
        <f>AND(IF(metadata!U71="",FALSE,TRUE),EXACT(metadata!U71,"Decimal degrees"))</f>
        <v>0</v>
      </c>
      <c r="BG71" t="b">
        <f>IF(metadata!V71="",FALSE,TRUE)</f>
        <v>0</v>
      </c>
      <c r="BH71" t="b">
        <f>OR(AND(IF(metadata!W71="",FALSE,TRUE),OR(EXACT(metadata!W71,"missing: not collected"),EXACT(metadata!W71,"missing: not provided"),EXACT(metadata!W71,"missing: restricted access"))),AND(IF(metadata!W71="",FALSE,TRUE),OR(EXACT(metadata!W71,"TRUE"),EXACT(metadata!W71,"FALSE"))))</f>
        <v>0</v>
      </c>
      <c r="BI71" t="b">
        <f>AND(IF(metadata!X71="",FALSE,TRUE),EXACT(metadata!X71,"other"))</f>
        <v>0</v>
      </c>
      <c r="BJ71" t="b">
        <f>IF(metadata!Y71="",FALSE,TRUE)</f>
        <v>0</v>
      </c>
      <c r="BK71" t="b">
        <f>OR(AND(IF(metadata!Z71="",FALSE,TRUE),OR(EXACT(metadata!Z71,"missing: not collected"),EXACT(metadata!Z71,"missing: not provided"))),AND(IF(metadata!Z71="",FALSE,IF(ISERROR(INT(metadata!Z71)),FALSE,INT(metadata!Z71)=metadata!Z71)),metadata!Z71&gt;0))</f>
        <v>0</v>
      </c>
      <c r="BL71" t="b">
        <f>AND(IF(metadata!AA71="",FALSE,TRUE),EXACT(metadata!AA71,"Not applicable"))</f>
        <v>0</v>
      </c>
      <c r="BM71" t="b">
        <f>IF(metadata!AB71="",FALSE,TRUE)</f>
        <v>0</v>
      </c>
    </row>
    <row r="72" spans="1:65" x14ac:dyDescent="0.2">
      <c r="A72" s="5" t="str">
        <f ca="1">IF(B72=" "," ",HYPERLINK(CONCATENATE("#metadata!",ADDRESS(INDEX($AH$2:$AH$1001,MATCH(ROWS($AF$2:AF72),$AF$2:$AF$1001,0),0),1)),INDEX($AK$2:$AK$1001,MATCH(ROWS($AF$2:AF72),$AF$2:$AF$1001,0),0)))</f>
        <v xml:space="preserve"> </v>
      </c>
      <c r="B72" s="4" t="str">
        <f ca="1">IF(OR(INDEX($AG$2:$AG$1001,MATCH(ROWS($AF$2:AF72),$AF$2:$AF$1001,0),1)&gt;=100000,INDEX($AM$1005:$BM$1005,1,MATCH(COLUMNS($AM$1006:AM1006),$AM$1006:$BM$1006,0))&gt;=100000), " ",IF(INDEX($AM$2:$BM$1001,MATCH(ROWS($AF$2:AF72),$AF$2:$AF$1001,0),MATCH(COLUMNS($AM$1006:AM1006),$AM$1006:$BM$1006,0)), HYPERLINK("#",""), HYPERLINK(CONCATENATE("#metadata!", ADDRESS(INDEX($AH$2:$AH$1001,MATCH(ROWS($AF$2:AF72),$AF$2:$AF$1001,0),0), INDEX($AM$1004:$BM$1004,1,MATCH(COLUMNS($AM$1006:AM1006),$AM$1006:$BM$1006,0)))),"Fix")))</f>
        <v xml:space="preserve"> </v>
      </c>
      <c r="C72" s="4" t="str">
        <f ca="1">IF(OR(INDEX($AG$2:$AG$1001,MATCH(ROWS($AF$2:AF72),$AF$2:$AF$1001,0),1)&gt;=100000,INDEX($AM$1005:$BM$1005,1,MATCH(COLUMNS($AM$1006:AN1006),$AM$1006:$BM$1006,0))&gt;=100000), " ",IF(INDEX($AM$2:$BM$1001,MATCH(ROWS($AF$2:AF72),$AF$2:$AF$1001,0),MATCH(COLUMNS($AM$1006:AN1006),$AM$1006:$BM$1006,0)), HYPERLINK("#",""), HYPERLINK(CONCATENATE("#metadata!", ADDRESS(INDEX($AH$2:$AH$1001,MATCH(ROWS($AF$2:AF72),$AF$2:$AF$1001,0),0), INDEX($AM$1004:$BM$1004,1,MATCH(COLUMNS($AM$1006:AN1006),$AM$1006:$BM$1006,0)))),"Fix")))</f>
        <v xml:space="preserve"> </v>
      </c>
      <c r="D72" s="4" t="str">
        <f ca="1">IF(OR(INDEX($AG$2:$AG$1001,MATCH(ROWS($AF$2:AF72),$AF$2:$AF$1001,0),1)&gt;=100000,INDEX($AM$1005:$BM$1005,1,MATCH(COLUMNS($AM$1006:AO1006),$AM$1006:$BM$1006,0))&gt;=100000), " ",IF(INDEX($AM$2:$BM$1001,MATCH(ROWS($AF$2:AF72),$AF$2:$AF$1001,0),MATCH(COLUMNS($AM$1006:AO1006),$AM$1006:$BM$1006,0)), HYPERLINK("#",""), HYPERLINK(CONCATENATE("#metadata!", ADDRESS(INDEX($AH$2:$AH$1001,MATCH(ROWS($AF$2:AF72),$AF$2:$AF$1001,0),0), INDEX($AM$1004:$BM$1004,1,MATCH(COLUMNS($AM$1006:AO1006),$AM$1006:$BM$1006,0)))),"Fix")))</f>
        <v xml:space="preserve"> </v>
      </c>
      <c r="E72" s="4" t="str">
        <f ca="1">IF(OR(INDEX($AG$2:$AG$1001,MATCH(ROWS($AF$2:AF72),$AF$2:$AF$1001,0),1)&gt;=100000,INDEX($AM$1005:$BM$1005,1,MATCH(COLUMNS($AM$1006:AP1006),$AM$1006:$BM$1006,0))&gt;=100000), " ",IF(INDEX($AM$2:$BM$1001,MATCH(ROWS($AF$2:AF72),$AF$2:$AF$1001,0),MATCH(COLUMNS($AM$1006:AP1006),$AM$1006:$BM$1006,0)), HYPERLINK("#",""), HYPERLINK(CONCATENATE("#metadata!", ADDRESS(INDEX($AH$2:$AH$1001,MATCH(ROWS($AF$2:AF72),$AF$2:$AF$1001,0),0), INDEX($AM$1004:$BM$1004,1,MATCH(COLUMNS($AM$1006:AP1006),$AM$1006:$BM$1006,0)))),"Fix")))</f>
        <v xml:space="preserve"> </v>
      </c>
      <c r="F72" s="4" t="str">
        <f ca="1">IF(OR(INDEX($AG$2:$AG$1001,MATCH(ROWS($AF$2:AF72),$AF$2:$AF$1001,0),1)&gt;=100000,INDEX($AM$1005:$BM$1005,1,MATCH(COLUMNS($AM$1006:AQ1006),$AM$1006:$BM$1006,0))&gt;=100000), " ",IF(INDEX($AM$2:$BM$1001,MATCH(ROWS($AF$2:AF72),$AF$2:$AF$1001,0),MATCH(COLUMNS($AM$1006:AQ1006),$AM$1006:$BM$1006,0)), HYPERLINK("#",""), HYPERLINK(CONCATENATE("#metadata!", ADDRESS(INDEX($AH$2:$AH$1001,MATCH(ROWS($AF$2:AF72),$AF$2:$AF$1001,0),0), INDEX($AM$1004:$BM$1004,1,MATCH(COLUMNS($AM$1006:AQ1006),$AM$1006:$BM$1006,0)))),"Fix")))</f>
        <v xml:space="preserve"> </v>
      </c>
      <c r="G72" s="4" t="str">
        <f ca="1">IF(OR(INDEX($AG$2:$AG$1001,MATCH(ROWS($AF$2:AF72),$AF$2:$AF$1001,0),1)&gt;=100000,INDEX($AM$1005:$BM$1005,1,MATCH(COLUMNS($AM$1006:AR1006),$AM$1006:$BM$1006,0))&gt;=100000), " ",IF(INDEX($AM$2:$BM$1001,MATCH(ROWS($AF$2:AF72),$AF$2:$AF$1001,0),MATCH(COLUMNS($AM$1006:AR1006),$AM$1006:$BM$1006,0)), HYPERLINK("#",""), HYPERLINK(CONCATENATE("#metadata!", ADDRESS(INDEX($AH$2:$AH$1001,MATCH(ROWS($AF$2:AF72),$AF$2:$AF$1001,0),0), INDEX($AM$1004:$BM$1004,1,MATCH(COLUMNS($AM$1006:AR1006),$AM$1006:$BM$1006,0)))),"Fix")))</f>
        <v xml:space="preserve"> </v>
      </c>
      <c r="H72" s="4" t="str">
        <f ca="1">IF(OR(INDEX($AG$2:$AG$1001,MATCH(ROWS($AF$2:AF72),$AF$2:$AF$1001,0),1)&gt;=100000,INDEX($AM$1005:$BM$1005,1,MATCH(COLUMNS($AM$1006:AS1006),$AM$1006:$BM$1006,0))&gt;=100000), " ",IF(INDEX($AM$2:$BM$1001,MATCH(ROWS($AF$2:AF72),$AF$2:$AF$1001,0),MATCH(COLUMNS($AM$1006:AS1006),$AM$1006:$BM$1006,0)), HYPERLINK("#",""), HYPERLINK(CONCATENATE("#metadata!", ADDRESS(INDEX($AH$2:$AH$1001,MATCH(ROWS($AF$2:AF72),$AF$2:$AF$1001,0),0), INDEX($AM$1004:$BM$1004,1,MATCH(COLUMNS($AM$1006:AS1006),$AM$1006:$BM$1006,0)))),"Fix")))</f>
        <v xml:space="preserve"> </v>
      </c>
      <c r="I72" s="4" t="str">
        <f ca="1">IF(OR(INDEX($AG$2:$AG$1001,MATCH(ROWS($AF$2:AF72),$AF$2:$AF$1001,0),1)&gt;=100000,INDEX($AM$1005:$BM$1005,1,MATCH(COLUMNS($AM$1006:AT1006),$AM$1006:$BM$1006,0))&gt;=100000), " ",IF(INDEX($AM$2:$BM$1001,MATCH(ROWS($AF$2:AF72),$AF$2:$AF$1001,0),MATCH(COLUMNS($AM$1006:AT1006),$AM$1006:$BM$1006,0)), HYPERLINK("#",""), HYPERLINK(CONCATENATE("#metadata!", ADDRESS(INDEX($AH$2:$AH$1001,MATCH(ROWS($AF$2:AF72),$AF$2:$AF$1001,0),0), INDEX($AM$1004:$BM$1004,1,MATCH(COLUMNS($AM$1006:AT1006),$AM$1006:$BM$1006,0)))),"Fix")))</f>
        <v xml:space="preserve"> </v>
      </c>
      <c r="J72" s="4" t="str">
        <f ca="1">IF(OR(INDEX($AG$2:$AG$1001,MATCH(ROWS($AF$2:AF72),$AF$2:$AF$1001,0),1)&gt;=100000,INDEX($AM$1005:$BM$1005,1,MATCH(COLUMNS($AM$1006:AU1006),$AM$1006:$BM$1006,0))&gt;=100000), " ",IF(INDEX($AM$2:$BM$1001,MATCH(ROWS($AF$2:AF72),$AF$2:$AF$1001,0),MATCH(COLUMNS($AM$1006:AU1006),$AM$1006:$BM$1006,0)), HYPERLINK("#",""), HYPERLINK(CONCATENATE("#metadata!", ADDRESS(INDEX($AH$2:$AH$1001,MATCH(ROWS($AF$2:AF72),$AF$2:$AF$1001,0),0), INDEX($AM$1004:$BM$1004,1,MATCH(COLUMNS($AM$1006:AU1006),$AM$1006:$BM$1006,0)))),"Fix")))</f>
        <v xml:space="preserve"> </v>
      </c>
      <c r="K72" s="4" t="str">
        <f ca="1">IF(OR(INDEX($AG$2:$AG$1001,MATCH(ROWS($AF$2:AF72),$AF$2:$AF$1001,0),1)&gt;=100000,INDEX($AM$1005:$BM$1005,1,MATCH(COLUMNS($AM$1006:AV1006),$AM$1006:$BM$1006,0))&gt;=100000), " ",IF(INDEX($AM$2:$BM$1001,MATCH(ROWS($AF$2:AF72),$AF$2:$AF$1001,0),MATCH(COLUMNS($AM$1006:AV1006),$AM$1006:$BM$1006,0)), HYPERLINK("#",""), HYPERLINK(CONCATENATE("#metadata!", ADDRESS(INDEX($AH$2:$AH$1001,MATCH(ROWS($AF$2:AF72),$AF$2:$AF$1001,0),0), INDEX($AM$1004:$BM$1004,1,MATCH(COLUMNS($AM$1006:AV1006),$AM$1006:$BM$1006,0)))),"Fix")))</f>
        <v xml:space="preserve"> </v>
      </c>
      <c r="L72" s="4" t="str">
        <f ca="1">IF(OR(INDEX($AG$2:$AG$1001,MATCH(ROWS($AF$2:AF72),$AF$2:$AF$1001,0),1)&gt;=100000,INDEX($AM$1005:$BM$1005,1,MATCH(COLUMNS($AM$1006:AW1006),$AM$1006:$BM$1006,0))&gt;=100000), " ",IF(INDEX($AM$2:$BM$1001,MATCH(ROWS($AF$2:AF72),$AF$2:$AF$1001,0),MATCH(COLUMNS($AM$1006:AW1006),$AM$1006:$BM$1006,0)), HYPERLINK("#",""), HYPERLINK(CONCATENATE("#metadata!", ADDRESS(INDEX($AH$2:$AH$1001,MATCH(ROWS($AF$2:AF72),$AF$2:$AF$1001,0),0), INDEX($AM$1004:$BM$1004,1,MATCH(COLUMNS($AM$1006:AW1006),$AM$1006:$BM$1006,0)))),"Fix")))</f>
        <v xml:space="preserve"> </v>
      </c>
      <c r="M72" s="4" t="str">
        <f ca="1">IF(OR(INDEX($AG$2:$AG$1001,MATCH(ROWS($AF$2:AF72),$AF$2:$AF$1001,0),1)&gt;=100000,INDEX($AM$1005:$BM$1005,1,MATCH(COLUMNS($AM$1006:AX1006),$AM$1006:$BM$1006,0))&gt;=100000), " ",IF(INDEX($AM$2:$BM$1001,MATCH(ROWS($AF$2:AF72),$AF$2:$AF$1001,0),MATCH(COLUMNS($AM$1006:AX1006),$AM$1006:$BM$1006,0)), HYPERLINK("#",""), HYPERLINK(CONCATENATE("#metadata!", ADDRESS(INDEX($AH$2:$AH$1001,MATCH(ROWS($AF$2:AF72),$AF$2:$AF$1001,0),0), INDEX($AM$1004:$BM$1004,1,MATCH(COLUMNS($AM$1006:AX1006),$AM$1006:$BM$1006,0)))),"Fix")))</f>
        <v xml:space="preserve"> </v>
      </c>
      <c r="N72" s="4" t="str">
        <f ca="1">IF(OR(INDEX($AG$2:$AG$1001,MATCH(ROWS($AF$2:AF72),$AF$2:$AF$1001,0),1)&gt;=100000,INDEX($AM$1005:$BM$1005,1,MATCH(COLUMNS($AM$1006:AY1006),$AM$1006:$BM$1006,0))&gt;=100000), " ",IF(INDEX($AM$2:$BM$1001,MATCH(ROWS($AF$2:AF72),$AF$2:$AF$1001,0),MATCH(COLUMNS($AM$1006:AY1006),$AM$1006:$BM$1006,0)), HYPERLINK("#",""), HYPERLINK(CONCATENATE("#metadata!", ADDRESS(INDEX($AH$2:$AH$1001,MATCH(ROWS($AF$2:AF72),$AF$2:$AF$1001,0),0), INDEX($AM$1004:$BM$1004,1,MATCH(COLUMNS($AM$1006:AY1006),$AM$1006:$BM$1006,0)))),"Fix")))</f>
        <v xml:space="preserve"> </v>
      </c>
      <c r="O72" s="4" t="str">
        <f ca="1">IF(OR(INDEX($AG$2:$AG$1001,MATCH(ROWS($AF$2:AF72),$AF$2:$AF$1001,0),1)&gt;=100000,INDEX($AM$1005:$BM$1005,1,MATCH(COLUMNS($AM$1006:AZ1006),$AM$1006:$BM$1006,0))&gt;=100000), " ",IF(INDEX($AM$2:$BM$1001,MATCH(ROWS($AF$2:AF72),$AF$2:$AF$1001,0),MATCH(COLUMNS($AM$1006:AZ1006),$AM$1006:$BM$1006,0)), HYPERLINK("#",""), HYPERLINK(CONCATENATE("#metadata!", ADDRESS(INDEX($AH$2:$AH$1001,MATCH(ROWS($AF$2:AF72),$AF$2:$AF$1001,0),0), INDEX($AM$1004:$BM$1004,1,MATCH(COLUMNS($AM$1006:AZ1006),$AM$1006:$BM$1006,0)))),"Fix")))</f>
        <v xml:space="preserve"> </v>
      </c>
      <c r="P72" s="4" t="str">
        <f ca="1">IF(OR(INDEX($AG$2:$AG$1001,MATCH(ROWS($AF$2:AF72),$AF$2:$AF$1001,0),1)&gt;=100000,INDEX($AM$1005:$BM$1005,1,MATCH(COLUMNS($AM$1006:BA1006),$AM$1006:$BM$1006,0))&gt;=100000), " ",IF(INDEX($AM$2:$BM$1001,MATCH(ROWS($AF$2:AF72),$AF$2:$AF$1001,0),MATCH(COLUMNS($AM$1006:BA1006),$AM$1006:$BM$1006,0)), HYPERLINK("#",""), HYPERLINK(CONCATENATE("#metadata!", ADDRESS(INDEX($AH$2:$AH$1001,MATCH(ROWS($AF$2:AF72),$AF$2:$AF$1001,0),0), INDEX($AM$1004:$BM$1004,1,MATCH(COLUMNS($AM$1006:BA1006),$AM$1006:$BM$1006,0)))),"Fix")))</f>
        <v xml:space="preserve"> </v>
      </c>
      <c r="Q72" s="4" t="str">
        <f ca="1">IF(OR(INDEX($AG$2:$AG$1001,MATCH(ROWS($AF$2:AF72),$AF$2:$AF$1001,0),1)&gt;=100000,INDEX($AM$1005:$BM$1005,1,MATCH(COLUMNS($AM$1006:BB1006),$AM$1006:$BM$1006,0))&gt;=100000), " ",IF(INDEX($AM$2:$BM$1001,MATCH(ROWS($AF$2:AF72),$AF$2:$AF$1001,0),MATCH(COLUMNS($AM$1006:BB1006),$AM$1006:$BM$1006,0)), HYPERLINK("#",""), HYPERLINK(CONCATENATE("#metadata!", ADDRESS(INDEX($AH$2:$AH$1001,MATCH(ROWS($AF$2:AF72),$AF$2:$AF$1001,0),0), INDEX($AM$1004:$BM$1004,1,MATCH(COLUMNS($AM$1006:BB1006),$AM$1006:$BM$1006,0)))),"Fix")))</f>
        <v xml:space="preserve"> </v>
      </c>
      <c r="R72" s="4" t="str">
        <f ca="1">IF(OR(INDEX($AG$2:$AG$1001,MATCH(ROWS($AF$2:AF72),$AF$2:$AF$1001,0),1)&gt;=100000,INDEX($AM$1005:$BM$1005,1,MATCH(COLUMNS($AM$1006:BC1006),$AM$1006:$BM$1006,0))&gt;=100000), " ",IF(INDEX($AM$2:$BM$1001,MATCH(ROWS($AF$2:AF72),$AF$2:$AF$1001,0),MATCH(COLUMNS($AM$1006:BC1006),$AM$1006:$BM$1006,0)), HYPERLINK("#",""), HYPERLINK(CONCATENATE("#metadata!", ADDRESS(INDEX($AH$2:$AH$1001,MATCH(ROWS($AF$2:AF72),$AF$2:$AF$1001,0),0), INDEX($AM$1004:$BM$1004,1,MATCH(COLUMNS($AM$1006:BC1006),$AM$1006:$BM$1006,0)))),"Fix")))</f>
        <v xml:space="preserve"> </v>
      </c>
      <c r="S72" s="4" t="str">
        <f ca="1">IF(OR(INDEX($AG$2:$AG$1001,MATCH(ROWS($AF$2:AF72),$AF$2:$AF$1001,0),1)&gt;=100000,INDEX($AM$1005:$BM$1005,1,MATCH(COLUMNS($AM$1006:BD1006),$AM$1006:$BM$1006,0))&gt;=100000), " ",IF(INDEX($AM$2:$BM$1001,MATCH(ROWS($AF$2:AF72),$AF$2:$AF$1001,0),MATCH(COLUMNS($AM$1006:BD1006),$AM$1006:$BM$1006,0)), HYPERLINK("#",""), HYPERLINK(CONCATENATE("#metadata!", ADDRESS(INDEX($AH$2:$AH$1001,MATCH(ROWS($AF$2:AF72),$AF$2:$AF$1001,0),0), INDEX($AM$1004:$BM$1004,1,MATCH(COLUMNS($AM$1006:BD1006),$AM$1006:$BM$1006,0)))),"Fix")))</f>
        <v xml:space="preserve"> </v>
      </c>
      <c r="T72" s="4" t="str">
        <f ca="1">IF(OR(INDEX($AG$2:$AG$1001,MATCH(ROWS($AF$2:AF72),$AF$2:$AF$1001,0),1)&gt;=100000,INDEX($AM$1005:$BM$1005,1,MATCH(COLUMNS($AM$1006:BE1006),$AM$1006:$BM$1006,0))&gt;=100000), " ",IF(INDEX($AM$2:$BM$1001,MATCH(ROWS($AF$2:AF72),$AF$2:$AF$1001,0),MATCH(COLUMNS($AM$1006:BE1006),$AM$1006:$BM$1006,0)), HYPERLINK("#",""), HYPERLINK(CONCATENATE("#metadata!", ADDRESS(INDEX($AH$2:$AH$1001,MATCH(ROWS($AF$2:AF72),$AF$2:$AF$1001,0),0), INDEX($AM$1004:$BM$1004,1,MATCH(COLUMNS($AM$1006:BE1006),$AM$1006:$BM$1006,0)))),"Fix")))</f>
        <v xml:space="preserve"> </v>
      </c>
      <c r="U72" s="4" t="str">
        <f ca="1">IF(OR(INDEX($AG$2:$AG$1001,MATCH(ROWS($AF$2:AF72),$AF$2:$AF$1001,0),1)&gt;=100000,INDEX($AM$1005:$BM$1005,1,MATCH(COLUMNS($AM$1006:BF1006),$AM$1006:$BM$1006,0))&gt;=100000), " ",IF(INDEX($AM$2:$BM$1001,MATCH(ROWS($AF$2:AF72),$AF$2:$AF$1001,0),MATCH(COLUMNS($AM$1006:BF1006),$AM$1006:$BM$1006,0)), HYPERLINK("#",""), HYPERLINK(CONCATENATE("#metadata!", ADDRESS(INDEX($AH$2:$AH$1001,MATCH(ROWS($AF$2:AF72),$AF$2:$AF$1001,0),0), INDEX($AM$1004:$BM$1004,1,MATCH(COLUMNS($AM$1006:BF1006),$AM$1006:$BM$1006,0)))),"Fix")))</f>
        <v xml:space="preserve"> </v>
      </c>
      <c r="V72" s="4" t="str">
        <f ca="1">IF(OR(INDEX($AG$2:$AG$1001,MATCH(ROWS($AF$2:AF72),$AF$2:$AF$1001,0),1)&gt;=100000,INDEX($AM$1005:$BM$1005,1,MATCH(COLUMNS($AM$1006:BG1006),$AM$1006:$BM$1006,0))&gt;=100000), " ",IF(INDEX($AM$2:$BM$1001,MATCH(ROWS($AF$2:AF72),$AF$2:$AF$1001,0),MATCH(COLUMNS($AM$1006:BG1006),$AM$1006:$BM$1006,0)), HYPERLINK("#",""), HYPERLINK(CONCATENATE("#metadata!", ADDRESS(INDEX($AH$2:$AH$1001,MATCH(ROWS($AF$2:AF72),$AF$2:$AF$1001,0),0), INDEX($AM$1004:$BM$1004,1,MATCH(COLUMNS($AM$1006:BG1006),$AM$1006:$BM$1006,0)))),"Fix")))</f>
        <v xml:space="preserve"> </v>
      </c>
      <c r="W72" s="4" t="str">
        <f ca="1">IF(OR(INDEX($AG$2:$AG$1001,MATCH(ROWS($AF$2:AF72),$AF$2:$AF$1001,0),1)&gt;=100000,INDEX($AM$1005:$BM$1005,1,MATCH(COLUMNS($AM$1006:BH1006),$AM$1006:$BM$1006,0))&gt;=100000), " ",IF(INDEX($AM$2:$BM$1001,MATCH(ROWS($AF$2:AF72),$AF$2:$AF$1001,0),MATCH(COLUMNS($AM$1006:BH1006),$AM$1006:$BM$1006,0)), HYPERLINK("#",""), HYPERLINK(CONCATENATE("#metadata!", ADDRESS(INDEX($AH$2:$AH$1001,MATCH(ROWS($AF$2:AF72),$AF$2:$AF$1001,0),0), INDEX($AM$1004:$BM$1004,1,MATCH(COLUMNS($AM$1006:BH1006),$AM$1006:$BM$1006,0)))),"Fix")))</f>
        <v xml:space="preserve"> </v>
      </c>
      <c r="X72" s="4" t="str">
        <f ca="1">IF(OR(INDEX($AG$2:$AG$1001,MATCH(ROWS($AF$2:AF72),$AF$2:$AF$1001,0),1)&gt;=100000,INDEX($AM$1005:$BM$1005,1,MATCH(COLUMNS($AM$1006:BI1006),$AM$1006:$BM$1006,0))&gt;=100000), " ",IF(INDEX($AM$2:$BM$1001,MATCH(ROWS($AF$2:AF72),$AF$2:$AF$1001,0),MATCH(COLUMNS($AM$1006:BI1006),$AM$1006:$BM$1006,0)), HYPERLINK("#",""), HYPERLINK(CONCATENATE("#metadata!", ADDRESS(INDEX($AH$2:$AH$1001,MATCH(ROWS($AF$2:AF72),$AF$2:$AF$1001,0),0), INDEX($AM$1004:$BM$1004,1,MATCH(COLUMNS($AM$1006:BI1006),$AM$1006:$BM$1006,0)))),"Fix")))</f>
        <v xml:space="preserve"> </v>
      </c>
      <c r="Y72" s="4" t="str">
        <f ca="1">IF(OR(INDEX($AG$2:$AG$1001,MATCH(ROWS($AF$2:AF72),$AF$2:$AF$1001,0),1)&gt;=100000,INDEX($AM$1005:$BM$1005,1,MATCH(COLUMNS($AM$1006:BJ1006),$AM$1006:$BM$1006,0))&gt;=100000), " ",IF(INDEX($AM$2:$BM$1001,MATCH(ROWS($AF$2:AF72),$AF$2:$AF$1001,0),MATCH(COLUMNS($AM$1006:BJ1006),$AM$1006:$BM$1006,0)), HYPERLINK("#",""), HYPERLINK(CONCATENATE("#metadata!", ADDRESS(INDEX($AH$2:$AH$1001,MATCH(ROWS($AF$2:AF72),$AF$2:$AF$1001,0),0), INDEX($AM$1004:$BM$1004,1,MATCH(COLUMNS($AM$1006:BJ1006),$AM$1006:$BM$1006,0)))),"Fix")))</f>
        <v xml:space="preserve"> </v>
      </c>
      <c r="Z72" s="4" t="str">
        <f ca="1">IF(OR(INDEX($AG$2:$AG$1001,MATCH(ROWS($AF$2:AF72),$AF$2:$AF$1001,0),1)&gt;=100000,INDEX($AM$1005:$BM$1005,1,MATCH(COLUMNS($AM$1006:BK1006),$AM$1006:$BM$1006,0))&gt;=100000), " ",IF(INDEX($AM$2:$BM$1001,MATCH(ROWS($AF$2:AF72),$AF$2:$AF$1001,0),MATCH(COLUMNS($AM$1006:BK1006),$AM$1006:$BM$1006,0)), HYPERLINK("#",""), HYPERLINK(CONCATENATE("#metadata!", ADDRESS(INDEX($AH$2:$AH$1001,MATCH(ROWS($AF$2:AF72),$AF$2:$AF$1001,0),0), INDEX($AM$1004:$BM$1004,1,MATCH(COLUMNS($AM$1006:BK1006),$AM$1006:$BM$1006,0)))),"Fix")))</f>
        <v xml:space="preserve"> </v>
      </c>
      <c r="AA72" s="4" t="str">
        <f ca="1">IF(OR(INDEX($AG$2:$AG$1001,MATCH(ROWS($AF$2:AF72),$AF$2:$AF$1001,0),1)&gt;=100000,INDEX($AM$1005:$BM$1005,1,MATCH(COLUMNS($AM$1006:BL1006),$AM$1006:$BM$1006,0))&gt;=100000), " ",IF(INDEX($AM$2:$BM$1001,MATCH(ROWS($AF$2:AF72),$AF$2:$AF$1001,0),MATCH(COLUMNS($AM$1006:BL1006),$AM$1006:$BM$1006,0)), HYPERLINK("#",""), HYPERLINK(CONCATENATE("#metadata!", ADDRESS(INDEX($AH$2:$AH$1001,MATCH(ROWS($AF$2:AF72),$AF$2:$AF$1001,0),0), INDEX($AM$1004:$BM$1004,1,MATCH(COLUMNS($AM$1006:BL1006),$AM$1006:$BM$1006,0)))),"Fix")))</f>
        <v xml:space="preserve"> </v>
      </c>
      <c r="AB72" s="4" t="str">
        <f ca="1">IF(OR(INDEX($AG$2:$AG$1001,MATCH(ROWS($AF$2:AF72),$AF$2:$AF$1001,0),1)&gt;=100000,INDEX($AM$1005:$BM$1005,1,MATCH(COLUMNS($AM$1006:BM1006),$AM$1006:$BM$1006,0))&gt;=100000), " ",IF(INDEX($AM$2:$BM$1001,MATCH(ROWS($AF$2:AF72),$AF$2:$AF$1001,0),MATCH(COLUMNS($AM$1006:BM1006),$AM$1006:$BM$1006,0)), HYPERLINK("#",""), HYPERLINK(CONCATENATE("#metadata!", ADDRESS(INDEX($AH$2:$AH$1001,MATCH(ROWS($AF$2:AF72),$AF$2:$AF$1001,0),0), INDEX($AM$1004:$BM$1004,1,MATCH(COLUMNS($AM$1006:BM1006),$AM$1006:$BM$1006,0)))),"Fix")))</f>
        <v xml:space="preserve"> </v>
      </c>
      <c r="AF72">
        <v>71</v>
      </c>
      <c r="AG72">
        <v>100072</v>
      </c>
      <c r="AH72">
        <v>72</v>
      </c>
      <c r="AI72" t="b">
        <f t="shared" si="1"/>
        <v>1</v>
      </c>
      <c r="AJ72" t="b">
        <f>COUNTBLANK(metadata!B72:AB72)=COLUMNS(metadata!B72:AB72)</f>
        <v>1</v>
      </c>
      <c r="AK72" t="str">
        <v/>
      </c>
      <c r="AM72" t="b">
        <f ca="1">AND(IF(metadata!B72="",FALSE,TRUE),COUNTIF(metadata!B:B, metadata!B72) = 1,NOT(ISERROR(SUMPRODUCT(SEARCH(MID(metadata!B72,ROW(INDIRECT("1:"&amp;LEN(metadata!B72))), 1),"0123456789abcdefghijklmnopqrstuvwxyzABCDEFGHIJKLMNOPQRSTUVWXYZ.")))))</f>
        <v>0</v>
      </c>
      <c r="AN72" t="b">
        <f ca="1">OR(AND(IF(metadata!C72="",FALSE,TRUE),OR(EXACT(metadata!C72,"missing: not collected"),EXACT(metadata!C72,"missing: not provided"),EXACT(metadata!C72,"missing: restricted access"))),AND(IF(metadata!C72="",FALSE,TRUE),AND(AND(IFERROR(INT(LEFT(metadata!C72,4))&gt;1900,FALSE),IFERROR(INT(LEFT(metadata!C72,4))&lt;=YEAR(NOW()),FALSE)), OR(MID(metadata!C72,5,1)="", AND(AND(MID(metadata!C72,5,1)="-",IFERROR(INT(MID(metadata!C72,6,1))&gt;=0,FALSE),IFERROR(INT(MID(metadata!C72,6,1))&lt;=1,FALSE),NOT(MID(metadata!C72,7,1)=""),IFERROR(INT(MID(metadata!C72,6,2))&gt;=1,FALSE),IFERROR(INT(MID(metadata!C72,6,2))&lt;=12,FALSE)), OR(MID(metadata!C72,8,1)="", AND(AND(MID(metadata!C72,8,1)="-",IFERROR(INT(MID(metadata!C72,9,1))&gt;=0,FALSE),IFERROR(INT(MID(metadata!C72,9,1))&lt;=3,FALSE),NOT(MID(metadata!C72,10,1)=""),IFERROR(INT(MID(metadata!C72,9,2))&gt;=1,FALSE),IFERROR(INT(MID(metadata!C72,9,2))&lt;=31,FALSE)), OR(MID(metadata!C72,11,1)="", AND(AND(MID(metadata!C72,11,1)=" ",IFERROR(INT(MID(metadata!C72,12,1))&gt;=0,FALSE),IFERROR(INT(MID(metadata!C72,12,1))&lt;=2,FALSE),NOT(MID(metadata!C72,13,1)=""),IFERROR(INT(MID(metadata!C72,12,2))&gt;=0,FALSE),IFERROR(INT(MID(metadata!C72,12,2))&lt;=23,FALSE)), OR(MID(metadata!C72,14,1)="", AND(AND(MID(metadata!C72,14,1)=":",IFERROR(INT(MID(metadata!C72,15,1))&gt;=0,FALSE),IFERROR(INT(MID(metadata!C72,15,1))&lt;=5,FALSE),NOT(MID(metadata!C72,16,1)=""),IFERROR(INT(MID(metadata!C72,15,2))&gt;=0,FALSE),IFERROR(INT(MID(metadata!C72,15,2))&lt;=59,FALSE)), OR(MID(metadata!C72,17,1)="", AND(AND(MID(metadata!C72,17,1)=":",IFERROR(INT(MID(metadata!C72,18,1))&gt;=0,FALSE),IFERROR(INT(MID(metadata!C72,18,1))&lt;=5,FALSE),NOT(MID(metadata!C72,19,1)=""),IFERROR(INT(MID(metadata!C72,18,2))&gt;=0,FALSE),IFERROR(INT(MID(metadata!C72,18,2))&lt;=59,FALSE)), LEN(metadata!C72)&lt;=19)))))))))))))</f>
        <v>0</v>
      </c>
      <c r="AO72" t="b">
        <f>AND(IF(metadata!D72="",FALSE,TRUE),EXACT(metadata!D72,"Not applicable"))</f>
        <v>0</v>
      </c>
      <c r="AP72" t="b">
        <f>IF(metadata!E72="",FALSE,TRUE)</f>
        <v>0</v>
      </c>
      <c r="AQ72" t="b">
        <f>OR(AND(IF(metadata!F72="",FALSE,TRUE),OR(EXACT(metadata!F72,"missing: not collected"),EXACT(metadata!F72,"missing: not provided"))),AND(IF(metadata!F72="",FALSE,TRUE),OR(EXACT(metadata!F72,"TRUE"),EXACT(metadata!F72,"FALSE"))))</f>
        <v>0</v>
      </c>
      <c r="AR72" t="b">
        <f>OR(AND(IF(metadata!G72="",FALSE,TRUE),OR(EXACT(metadata!G72,"missing: not collected"),EXACT(metadata!G72,"missing: not provided"),EXACT(metadata!G72,"missing: restricted access"))),AND(IF(metadata!G72="",FALSE,ISNUMBER(VALUE(metadata!G72))),metadata!G72&gt;=-413))</f>
        <v>0</v>
      </c>
      <c r="AS72" t="b">
        <f>AND(IF(metadata!H72="",FALSE,TRUE),EXACT(metadata!H72,"meters"))</f>
        <v>0</v>
      </c>
      <c r="AT72" t="b">
        <f>AND(IF(metadata!I72="",FALSE,TRUE),OR(EXACT(metadata!I72,"Host-associated"),EXACT(metadata!I72,"Free-living")))</f>
        <v>0</v>
      </c>
      <c r="AU72" t="b">
        <f>AND(IF(metadata!J72="",FALSE,TRUE),OR(EXACT(metadata!J72,"Animal"),EXACT(metadata!J72,"Fungus"),EXACT(metadata!J72,"Plant"),EXACT(metadata!J72,"Saline"),EXACT(metadata!J72,"Non-saline")))</f>
        <v>0</v>
      </c>
      <c r="AV72" t="b">
        <f>AND(IF(metadata!K72="",FALSE,TRUE),OR(EXACT(metadata!K72,"Plant secretion"),EXACT(metadata!K72,"Plant rhizosphere"),EXACT(metadata!K72,"Plant surface"),EXACT(metadata!K72,"Plant corpus"),EXACT(metadata!K72,"Fungus surface"),EXACT(metadata!K72,"Fungus corpus"),EXACT(metadata!K72,"Animal surface"),EXACT(metadata!K72,"Animal proximal gut"),EXACT(metadata!K72,"Animal corpus"),EXACT(metadata!K72,"Animal distal gut"),EXACT(metadata!K72,"Animal secretion"),EXACT(metadata!K72,"Sub-surface (non-saline)"),EXACT(metadata!K72,"Surface (non-saline)"),EXACT(metadata!K72,"Water (non-saline)"),EXACT(metadata!K72,"Soil (non-saline)"),EXACT(metadata!K72,"Aerosol (non-saline)"),EXACT(metadata!K72,"Sediment (non-saline)"),EXACT(metadata!K72,"Surface (saline)"),EXACT(metadata!K72,"Water (saline)"),EXACT(metadata!K72,"Hypersaline (saline)"),EXACT(metadata!K72,"Aerosol (saline)"),EXACT(metadata!K72,"Sediment (saline)")))</f>
        <v>0</v>
      </c>
      <c r="AW72" t="b">
        <f>IF(metadata!L72="",FALSE,TRUE)</f>
        <v>0</v>
      </c>
      <c r="AX72" t="b">
        <f>IF(metadata!M72="",FALSE,TRUE)</f>
        <v>0</v>
      </c>
      <c r="AY72" t="b">
        <f>IF(metadata!N72="",FALSE,TRUE)</f>
        <v>0</v>
      </c>
      <c r="AZ72" t="b">
        <f>OR(AND(IF(metadata!O72="",FALSE,TRUE),OR(EXACT(metadata!O72,"missing: not collected"),EXACT(metadata!O72,"missing: not provided"),EXACT(metadata!O72,"missing: restricted access"))),AND(IF(metadata!O72="",FALSE,TRUE),OR(EXACT(metadata!O72,"air"),EXACT(metadata!O72,"built environment"),EXACT(metadata!O72,"host-associated"),EXACT(metadata!O72,"human-associated"),EXACT(metadata!O72,"human-skin"),EXACT(metadata!O72,"human-oral"),EXACT(metadata!O72,"human-gut"),EXACT(metadata!O72,"human-vaginal"),EXACT(metadata!O72,"microbial mat/biofilm"),EXACT(metadata!O72,"misc environment"),EXACT(metadata!O72,"plant-associated"),EXACT(metadata!O72,"sediment"),EXACT(metadata!O72,"soil"),EXACT(metadata!O72,"wastewater/sludge"),EXACT(metadata!O72,"water"))))</f>
        <v>0</v>
      </c>
      <c r="BA72" t="b">
        <f>IF(metadata!P72="",FALSE,TRUE)</f>
        <v>0</v>
      </c>
      <c r="BB72" t="b">
        <f>IF(metadata!Q72="",FALSE,TRUE)</f>
        <v>0</v>
      </c>
      <c r="BC72" t="b">
        <f>OR(AND(IF(metadata!R72="",FALSE,TRUE),OR(EXACT(metadata!R72,"missing: not collected"),EXACT(metadata!R72,"missing: not provided"),EXACT(metadata!R72,"missing: restricted access"))),AND(IF(metadata!R72="",FALSE,ISNUMBER(VALUE(metadata!R72))),metadata!R72&gt;=-90,metadata!R72&lt;=90))</f>
        <v>0</v>
      </c>
      <c r="BD72" t="b">
        <f>AND(IF(metadata!S72="",FALSE,TRUE),EXACT(metadata!S72,"Decimal degrees"))</f>
        <v>0</v>
      </c>
      <c r="BE72" t="b">
        <f>OR(AND(IF(metadata!T72="",FALSE,TRUE),OR(EXACT(metadata!T72,"missing: not collected"),EXACT(metadata!T72,"missing: not provided"),EXACT(metadata!T72,"missing: restricted access"))),AND(IF(metadata!T72="",FALSE,ISNUMBER(VALUE(metadata!T72))),metadata!T72&gt;=-180,metadata!T72&lt;=180))</f>
        <v>0</v>
      </c>
      <c r="BF72" t="b">
        <f>AND(IF(metadata!U72="",FALSE,TRUE),EXACT(metadata!U72,"Decimal degrees"))</f>
        <v>0</v>
      </c>
      <c r="BG72" t="b">
        <f>IF(metadata!V72="",FALSE,TRUE)</f>
        <v>0</v>
      </c>
      <c r="BH72" t="b">
        <f>OR(AND(IF(metadata!W72="",FALSE,TRUE),OR(EXACT(metadata!W72,"missing: not collected"),EXACT(metadata!W72,"missing: not provided"),EXACT(metadata!W72,"missing: restricted access"))),AND(IF(metadata!W72="",FALSE,TRUE),OR(EXACT(metadata!W72,"TRUE"),EXACT(metadata!W72,"FALSE"))))</f>
        <v>0</v>
      </c>
      <c r="BI72" t="b">
        <f>AND(IF(metadata!X72="",FALSE,TRUE),EXACT(metadata!X72,"other"))</f>
        <v>0</v>
      </c>
      <c r="BJ72" t="b">
        <f>IF(metadata!Y72="",FALSE,TRUE)</f>
        <v>0</v>
      </c>
      <c r="BK72" t="b">
        <f>OR(AND(IF(metadata!Z72="",FALSE,TRUE),OR(EXACT(metadata!Z72,"missing: not collected"),EXACT(metadata!Z72,"missing: not provided"))),AND(IF(metadata!Z72="",FALSE,IF(ISERROR(INT(metadata!Z72)),FALSE,INT(metadata!Z72)=metadata!Z72)),metadata!Z72&gt;0))</f>
        <v>0</v>
      </c>
      <c r="BL72" t="b">
        <f>AND(IF(metadata!AA72="",FALSE,TRUE),EXACT(metadata!AA72,"Not applicable"))</f>
        <v>0</v>
      </c>
      <c r="BM72" t="b">
        <f>IF(metadata!AB72="",FALSE,TRUE)</f>
        <v>0</v>
      </c>
    </row>
    <row r="73" spans="1:65" x14ac:dyDescent="0.2">
      <c r="A73" s="5" t="str">
        <f ca="1">IF(B73=" "," ",HYPERLINK(CONCATENATE("#metadata!",ADDRESS(INDEX($AH$2:$AH$1001,MATCH(ROWS($AF$2:AF73),$AF$2:$AF$1001,0),0),1)),INDEX($AK$2:$AK$1001,MATCH(ROWS($AF$2:AF73),$AF$2:$AF$1001,0),0)))</f>
        <v xml:space="preserve"> </v>
      </c>
      <c r="B73" s="4" t="str">
        <f ca="1">IF(OR(INDEX($AG$2:$AG$1001,MATCH(ROWS($AF$2:AF73),$AF$2:$AF$1001,0),1)&gt;=100000,INDEX($AM$1005:$BM$1005,1,MATCH(COLUMNS($AM$1006:AM1006),$AM$1006:$BM$1006,0))&gt;=100000), " ",IF(INDEX($AM$2:$BM$1001,MATCH(ROWS($AF$2:AF73),$AF$2:$AF$1001,0),MATCH(COLUMNS($AM$1006:AM1006),$AM$1006:$BM$1006,0)), HYPERLINK("#",""), HYPERLINK(CONCATENATE("#metadata!", ADDRESS(INDEX($AH$2:$AH$1001,MATCH(ROWS($AF$2:AF73),$AF$2:$AF$1001,0),0), INDEX($AM$1004:$BM$1004,1,MATCH(COLUMNS($AM$1006:AM1006),$AM$1006:$BM$1006,0)))),"Fix")))</f>
        <v xml:space="preserve"> </v>
      </c>
      <c r="C73" s="4" t="str">
        <f ca="1">IF(OR(INDEX($AG$2:$AG$1001,MATCH(ROWS($AF$2:AF73),$AF$2:$AF$1001,0),1)&gt;=100000,INDEX($AM$1005:$BM$1005,1,MATCH(COLUMNS($AM$1006:AN1006),$AM$1006:$BM$1006,0))&gt;=100000), " ",IF(INDEX($AM$2:$BM$1001,MATCH(ROWS($AF$2:AF73),$AF$2:$AF$1001,0),MATCH(COLUMNS($AM$1006:AN1006),$AM$1006:$BM$1006,0)), HYPERLINK("#",""), HYPERLINK(CONCATENATE("#metadata!", ADDRESS(INDEX($AH$2:$AH$1001,MATCH(ROWS($AF$2:AF73),$AF$2:$AF$1001,0),0), INDEX($AM$1004:$BM$1004,1,MATCH(COLUMNS($AM$1006:AN1006),$AM$1006:$BM$1006,0)))),"Fix")))</f>
        <v xml:space="preserve"> </v>
      </c>
      <c r="D73" s="4" t="str">
        <f ca="1">IF(OR(INDEX($AG$2:$AG$1001,MATCH(ROWS($AF$2:AF73),$AF$2:$AF$1001,0),1)&gt;=100000,INDEX($AM$1005:$BM$1005,1,MATCH(COLUMNS($AM$1006:AO1006),$AM$1006:$BM$1006,0))&gt;=100000), " ",IF(INDEX($AM$2:$BM$1001,MATCH(ROWS($AF$2:AF73),$AF$2:$AF$1001,0),MATCH(COLUMNS($AM$1006:AO1006),$AM$1006:$BM$1006,0)), HYPERLINK("#",""), HYPERLINK(CONCATENATE("#metadata!", ADDRESS(INDEX($AH$2:$AH$1001,MATCH(ROWS($AF$2:AF73),$AF$2:$AF$1001,0),0), INDEX($AM$1004:$BM$1004,1,MATCH(COLUMNS($AM$1006:AO1006),$AM$1006:$BM$1006,0)))),"Fix")))</f>
        <v xml:space="preserve"> </v>
      </c>
      <c r="E73" s="4" t="str">
        <f ca="1">IF(OR(INDEX($AG$2:$AG$1001,MATCH(ROWS($AF$2:AF73),$AF$2:$AF$1001,0),1)&gt;=100000,INDEX($AM$1005:$BM$1005,1,MATCH(COLUMNS($AM$1006:AP1006),$AM$1006:$BM$1006,0))&gt;=100000), " ",IF(INDEX($AM$2:$BM$1001,MATCH(ROWS($AF$2:AF73),$AF$2:$AF$1001,0),MATCH(COLUMNS($AM$1006:AP1006),$AM$1006:$BM$1006,0)), HYPERLINK("#",""), HYPERLINK(CONCATENATE("#metadata!", ADDRESS(INDEX($AH$2:$AH$1001,MATCH(ROWS($AF$2:AF73),$AF$2:$AF$1001,0),0), INDEX($AM$1004:$BM$1004,1,MATCH(COLUMNS($AM$1006:AP1006),$AM$1006:$BM$1006,0)))),"Fix")))</f>
        <v xml:space="preserve"> </v>
      </c>
      <c r="F73" s="4" t="str">
        <f ca="1">IF(OR(INDEX($AG$2:$AG$1001,MATCH(ROWS($AF$2:AF73),$AF$2:$AF$1001,0),1)&gt;=100000,INDEX($AM$1005:$BM$1005,1,MATCH(COLUMNS($AM$1006:AQ1006),$AM$1006:$BM$1006,0))&gt;=100000), " ",IF(INDEX($AM$2:$BM$1001,MATCH(ROWS($AF$2:AF73),$AF$2:$AF$1001,0),MATCH(COLUMNS($AM$1006:AQ1006),$AM$1006:$BM$1006,0)), HYPERLINK("#",""), HYPERLINK(CONCATENATE("#metadata!", ADDRESS(INDEX($AH$2:$AH$1001,MATCH(ROWS($AF$2:AF73),$AF$2:$AF$1001,0),0), INDEX($AM$1004:$BM$1004,1,MATCH(COLUMNS($AM$1006:AQ1006),$AM$1006:$BM$1006,0)))),"Fix")))</f>
        <v xml:space="preserve"> </v>
      </c>
      <c r="G73" s="4" t="str">
        <f ca="1">IF(OR(INDEX($AG$2:$AG$1001,MATCH(ROWS($AF$2:AF73),$AF$2:$AF$1001,0),1)&gt;=100000,INDEX($AM$1005:$BM$1005,1,MATCH(COLUMNS($AM$1006:AR1006),$AM$1006:$BM$1006,0))&gt;=100000), " ",IF(INDEX($AM$2:$BM$1001,MATCH(ROWS($AF$2:AF73),$AF$2:$AF$1001,0),MATCH(COLUMNS($AM$1006:AR1006),$AM$1006:$BM$1006,0)), HYPERLINK("#",""), HYPERLINK(CONCATENATE("#metadata!", ADDRESS(INDEX($AH$2:$AH$1001,MATCH(ROWS($AF$2:AF73),$AF$2:$AF$1001,0),0), INDEX($AM$1004:$BM$1004,1,MATCH(COLUMNS($AM$1006:AR1006),$AM$1006:$BM$1006,0)))),"Fix")))</f>
        <v xml:space="preserve"> </v>
      </c>
      <c r="H73" s="4" t="str">
        <f ca="1">IF(OR(INDEX($AG$2:$AG$1001,MATCH(ROWS($AF$2:AF73),$AF$2:$AF$1001,0),1)&gt;=100000,INDEX($AM$1005:$BM$1005,1,MATCH(COLUMNS($AM$1006:AS1006),$AM$1006:$BM$1006,0))&gt;=100000), " ",IF(INDEX($AM$2:$BM$1001,MATCH(ROWS($AF$2:AF73),$AF$2:$AF$1001,0),MATCH(COLUMNS($AM$1006:AS1006),$AM$1006:$BM$1006,0)), HYPERLINK("#",""), HYPERLINK(CONCATENATE("#metadata!", ADDRESS(INDEX($AH$2:$AH$1001,MATCH(ROWS($AF$2:AF73),$AF$2:$AF$1001,0),0), INDEX($AM$1004:$BM$1004,1,MATCH(COLUMNS($AM$1006:AS1006),$AM$1006:$BM$1006,0)))),"Fix")))</f>
        <v xml:space="preserve"> </v>
      </c>
      <c r="I73" s="4" t="str">
        <f ca="1">IF(OR(INDEX($AG$2:$AG$1001,MATCH(ROWS($AF$2:AF73),$AF$2:$AF$1001,0),1)&gt;=100000,INDEX($AM$1005:$BM$1005,1,MATCH(COLUMNS($AM$1006:AT1006),$AM$1006:$BM$1006,0))&gt;=100000), " ",IF(INDEX($AM$2:$BM$1001,MATCH(ROWS($AF$2:AF73),$AF$2:$AF$1001,0),MATCH(COLUMNS($AM$1006:AT1006),$AM$1006:$BM$1006,0)), HYPERLINK("#",""), HYPERLINK(CONCATENATE("#metadata!", ADDRESS(INDEX($AH$2:$AH$1001,MATCH(ROWS($AF$2:AF73),$AF$2:$AF$1001,0),0), INDEX($AM$1004:$BM$1004,1,MATCH(COLUMNS($AM$1006:AT1006),$AM$1006:$BM$1006,0)))),"Fix")))</f>
        <v xml:space="preserve"> </v>
      </c>
      <c r="J73" s="4" t="str">
        <f ca="1">IF(OR(INDEX($AG$2:$AG$1001,MATCH(ROWS($AF$2:AF73),$AF$2:$AF$1001,0),1)&gt;=100000,INDEX($AM$1005:$BM$1005,1,MATCH(COLUMNS($AM$1006:AU1006),$AM$1006:$BM$1006,0))&gt;=100000), " ",IF(INDEX($AM$2:$BM$1001,MATCH(ROWS($AF$2:AF73),$AF$2:$AF$1001,0),MATCH(COLUMNS($AM$1006:AU1006),$AM$1006:$BM$1006,0)), HYPERLINK("#",""), HYPERLINK(CONCATENATE("#metadata!", ADDRESS(INDEX($AH$2:$AH$1001,MATCH(ROWS($AF$2:AF73),$AF$2:$AF$1001,0),0), INDEX($AM$1004:$BM$1004,1,MATCH(COLUMNS($AM$1006:AU1006),$AM$1006:$BM$1006,0)))),"Fix")))</f>
        <v xml:space="preserve"> </v>
      </c>
      <c r="K73" s="4" t="str">
        <f ca="1">IF(OR(INDEX($AG$2:$AG$1001,MATCH(ROWS($AF$2:AF73),$AF$2:$AF$1001,0),1)&gt;=100000,INDEX($AM$1005:$BM$1005,1,MATCH(COLUMNS($AM$1006:AV1006),$AM$1006:$BM$1006,0))&gt;=100000), " ",IF(INDEX($AM$2:$BM$1001,MATCH(ROWS($AF$2:AF73),$AF$2:$AF$1001,0),MATCH(COLUMNS($AM$1006:AV1006),$AM$1006:$BM$1006,0)), HYPERLINK("#",""), HYPERLINK(CONCATENATE("#metadata!", ADDRESS(INDEX($AH$2:$AH$1001,MATCH(ROWS($AF$2:AF73),$AF$2:$AF$1001,0),0), INDEX($AM$1004:$BM$1004,1,MATCH(COLUMNS($AM$1006:AV1006),$AM$1006:$BM$1006,0)))),"Fix")))</f>
        <v xml:space="preserve"> </v>
      </c>
      <c r="L73" s="4" t="str">
        <f ca="1">IF(OR(INDEX($AG$2:$AG$1001,MATCH(ROWS($AF$2:AF73),$AF$2:$AF$1001,0),1)&gt;=100000,INDEX($AM$1005:$BM$1005,1,MATCH(COLUMNS($AM$1006:AW1006),$AM$1006:$BM$1006,0))&gt;=100000), " ",IF(INDEX($AM$2:$BM$1001,MATCH(ROWS($AF$2:AF73),$AF$2:$AF$1001,0),MATCH(COLUMNS($AM$1006:AW1006),$AM$1006:$BM$1006,0)), HYPERLINK("#",""), HYPERLINK(CONCATENATE("#metadata!", ADDRESS(INDEX($AH$2:$AH$1001,MATCH(ROWS($AF$2:AF73),$AF$2:$AF$1001,0),0), INDEX($AM$1004:$BM$1004,1,MATCH(COLUMNS($AM$1006:AW1006),$AM$1006:$BM$1006,0)))),"Fix")))</f>
        <v xml:space="preserve"> </v>
      </c>
      <c r="M73" s="4" t="str">
        <f ca="1">IF(OR(INDEX($AG$2:$AG$1001,MATCH(ROWS($AF$2:AF73),$AF$2:$AF$1001,0),1)&gt;=100000,INDEX($AM$1005:$BM$1005,1,MATCH(COLUMNS($AM$1006:AX1006),$AM$1006:$BM$1006,0))&gt;=100000), " ",IF(INDEX($AM$2:$BM$1001,MATCH(ROWS($AF$2:AF73),$AF$2:$AF$1001,0),MATCH(COLUMNS($AM$1006:AX1006),$AM$1006:$BM$1006,0)), HYPERLINK("#",""), HYPERLINK(CONCATENATE("#metadata!", ADDRESS(INDEX($AH$2:$AH$1001,MATCH(ROWS($AF$2:AF73),$AF$2:$AF$1001,0),0), INDEX($AM$1004:$BM$1004,1,MATCH(COLUMNS($AM$1006:AX1006),$AM$1006:$BM$1006,0)))),"Fix")))</f>
        <v xml:space="preserve"> </v>
      </c>
      <c r="N73" s="4" t="str">
        <f ca="1">IF(OR(INDEX($AG$2:$AG$1001,MATCH(ROWS($AF$2:AF73),$AF$2:$AF$1001,0),1)&gt;=100000,INDEX($AM$1005:$BM$1005,1,MATCH(COLUMNS($AM$1006:AY1006),$AM$1006:$BM$1006,0))&gt;=100000), " ",IF(INDEX($AM$2:$BM$1001,MATCH(ROWS($AF$2:AF73),$AF$2:$AF$1001,0),MATCH(COLUMNS($AM$1006:AY1006),$AM$1006:$BM$1006,0)), HYPERLINK("#",""), HYPERLINK(CONCATENATE("#metadata!", ADDRESS(INDEX($AH$2:$AH$1001,MATCH(ROWS($AF$2:AF73),$AF$2:$AF$1001,0),0), INDEX($AM$1004:$BM$1004,1,MATCH(COLUMNS($AM$1006:AY1006),$AM$1006:$BM$1006,0)))),"Fix")))</f>
        <v xml:space="preserve"> </v>
      </c>
      <c r="O73" s="4" t="str">
        <f ca="1">IF(OR(INDEX($AG$2:$AG$1001,MATCH(ROWS($AF$2:AF73),$AF$2:$AF$1001,0),1)&gt;=100000,INDEX($AM$1005:$BM$1005,1,MATCH(COLUMNS($AM$1006:AZ1006),$AM$1006:$BM$1006,0))&gt;=100000), " ",IF(INDEX($AM$2:$BM$1001,MATCH(ROWS($AF$2:AF73),$AF$2:$AF$1001,0),MATCH(COLUMNS($AM$1006:AZ1006),$AM$1006:$BM$1006,0)), HYPERLINK("#",""), HYPERLINK(CONCATENATE("#metadata!", ADDRESS(INDEX($AH$2:$AH$1001,MATCH(ROWS($AF$2:AF73),$AF$2:$AF$1001,0),0), INDEX($AM$1004:$BM$1004,1,MATCH(COLUMNS($AM$1006:AZ1006),$AM$1006:$BM$1006,0)))),"Fix")))</f>
        <v xml:space="preserve"> </v>
      </c>
      <c r="P73" s="4" t="str">
        <f ca="1">IF(OR(INDEX($AG$2:$AG$1001,MATCH(ROWS($AF$2:AF73),$AF$2:$AF$1001,0),1)&gt;=100000,INDEX($AM$1005:$BM$1005,1,MATCH(COLUMNS($AM$1006:BA1006),$AM$1006:$BM$1006,0))&gt;=100000), " ",IF(INDEX($AM$2:$BM$1001,MATCH(ROWS($AF$2:AF73),$AF$2:$AF$1001,0),MATCH(COLUMNS($AM$1006:BA1006),$AM$1006:$BM$1006,0)), HYPERLINK("#",""), HYPERLINK(CONCATENATE("#metadata!", ADDRESS(INDEX($AH$2:$AH$1001,MATCH(ROWS($AF$2:AF73),$AF$2:$AF$1001,0),0), INDEX($AM$1004:$BM$1004,1,MATCH(COLUMNS($AM$1006:BA1006),$AM$1006:$BM$1006,0)))),"Fix")))</f>
        <v xml:space="preserve"> </v>
      </c>
      <c r="Q73" s="4" t="str">
        <f ca="1">IF(OR(INDEX($AG$2:$AG$1001,MATCH(ROWS($AF$2:AF73),$AF$2:$AF$1001,0),1)&gt;=100000,INDEX($AM$1005:$BM$1005,1,MATCH(COLUMNS($AM$1006:BB1006),$AM$1006:$BM$1006,0))&gt;=100000), " ",IF(INDEX($AM$2:$BM$1001,MATCH(ROWS($AF$2:AF73),$AF$2:$AF$1001,0),MATCH(COLUMNS($AM$1006:BB1006),$AM$1006:$BM$1006,0)), HYPERLINK("#",""), HYPERLINK(CONCATENATE("#metadata!", ADDRESS(INDEX($AH$2:$AH$1001,MATCH(ROWS($AF$2:AF73),$AF$2:$AF$1001,0),0), INDEX($AM$1004:$BM$1004,1,MATCH(COLUMNS($AM$1006:BB1006),$AM$1006:$BM$1006,0)))),"Fix")))</f>
        <v xml:space="preserve"> </v>
      </c>
      <c r="R73" s="4" t="str">
        <f ca="1">IF(OR(INDEX($AG$2:$AG$1001,MATCH(ROWS($AF$2:AF73),$AF$2:$AF$1001,0),1)&gt;=100000,INDEX($AM$1005:$BM$1005,1,MATCH(COLUMNS($AM$1006:BC1006),$AM$1006:$BM$1006,0))&gt;=100000), " ",IF(INDEX($AM$2:$BM$1001,MATCH(ROWS($AF$2:AF73),$AF$2:$AF$1001,0),MATCH(COLUMNS($AM$1006:BC1006),$AM$1006:$BM$1006,0)), HYPERLINK("#",""), HYPERLINK(CONCATENATE("#metadata!", ADDRESS(INDEX($AH$2:$AH$1001,MATCH(ROWS($AF$2:AF73),$AF$2:$AF$1001,0),0), INDEX($AM$1004:$BM$1004,1,MATCH(COLUMNS($AM$1006:BC1006),$AM$1006:$BM$1006,0)))),"Fix")))</f>
        <v xml:space="preserve"> </v>
      </c>
      <c r="S73" s="4" t="str">
        <f ca="1">IF(OR(INDEX($AG$2:$AG$1001,MATCH(ROWS($AF$2:AF73),$AF$2:$AF$1001,0),1)&gt;=100000,INDEX($AM$1005:$BM$1005,1,MATCH(COLUMNS($AM$1006:BD1006),$AM$1006:$BM$1006,0))&gt;=100000), " ",IF(INDEX($AM$2:$BM$1001,MATCH(ROWS($AF$2:AF73),$AF$2:$AF$1001,0),MATCH(COLUMNS($AM$1006:BD1006),$AM$1006:$BM$1006,0)), HYPERLINK("#",""), HYPERLINK(CONCATENATE("#metadata!", ADDRESS(INDEX($AH$2:$AH$1001,MATCH(ROWS($AF$2:AF73),$AF$2:$AF$1001,0),0), INDEX($AM$1004:$BM$1004,1,MATCH(COLUMNS($AM$1006:BD1006),$AM$1006:$BM$1006,0)))),"Fix")))</f>
        <v xml:space="preserve"> </v>
      </c>
      <c r="T73" s="4" t="str">
        <f ca="1">IF(OR(INDEX($AG$2:$AG$1001,MATCH(ROWS($AF$2:AF73),$AF$2:$AF$1001,0),1)&gt;=100000,INDEX($AM$1005:$BM$1005,1,MATCH(COLUMNS($AM$1006:BE1006),$AM$1006:$BM$1006,0))&gt;=100000), " ",IF(INDEX($AM$2:$BM$1001,MATCH(ROWS($AF$2:AF73),$AF$2:$AF$1001,0),MATCH(COLUMNS($AM$1006:BE1006),$AM$1006:$BM$1006,0)), HYPERLINK("#",""), HYPERLINK(CONCATENATE("#metadata!", ADDRESS(INDEX($AH$2:$AH$1001,MATCH(ROWS($AF$2:AF73),$AF$2:$AF$1001,0),0), INDEX($AM$1004:$BM$1004,1,MATCH(COLUMNS($AM$1006:BE1006),$AM$1006:$BM$1006,0)))),"Fix")))</f>
        <v xml:space="preserve"> </v>
      </c>
      <c r="U73" s="4" t="str">
        <f ca="1">IF(OR(INDEX($AG$2:$AG$1001,MATCH(ROWS($AF$2:AF73),$AF$2:$AF$1001,0),1)&gt;=100000,INDEX($AM$1005:$BM$1005,1,MATCH(COLUMNS($AM$1006:BF1006),$AM$1006:$BM$1006,0))&gt;=100000), " ",IF(INDEX($AM$2:$BM$1001,MATCH(ROWS($AF$2:AF73),$AF$2:$AF$1001,0),MATCH(COLUMNS($AM$1006:BF1006),$AM$1006:$BM$1006,0)), HYPERLINK("#",""), HYPERLINK(CONCATENATE("#metadata!", ADDRESS(INDEX($AH$2:$AH$1001,MATCH(ROWS($AF$2:AF73),$AF$2:$AF$1001,0),0), INDEX($AM$1004:$BM$1004,1,MATCH(COLUMNS($AM$1006:BF1006),$AM$1006:$BM$1006,0)))),"Fix")))</f>
        <v xml:space="preserve"> </v>
      </c>
      <c r="V73" s="4" t="str">
        <f ca="1">IF(OR(INDEX($AG$2:$AG$1001,MATCH(ROWS($AF$2:AF73),$AF$2:$AF$1001,0),1)&gt;=100000,INDEX($AM$1005:$BM$1005,1,MATCH(COLUMNS($AM$1006:BG1006),$AM$1006:$BM$1006,0))&gt;=100000), " ",IF(INDEX($AM$2:$BM$1001,MATCH(ROWS($AF$2:AF73),$AF$2:$AF$1001,0),MATCH(COLUMNS($AM$1006:BG1006),$AM$1006:$BM$1006,0)), HYPERLINK("#",""), HYPERLINK(CONCATENATE("#metadata!", ADDRESS(INDEX($AH$2:$AH$1001,MATCH(ROWS($AF$2:AF73),$AF$2:$AF$1001,0),0), INDEX($AM$1004:$BM$1004,1,MATCH(COLUMNS($AM$1006:BG1006),$AM$1006:$BM$1006,0)))),"Fix")))</f>
        <v xml:space="preserve"> </v>
      </c>
      <c r="W73" s="4" t="str">
        <f ca="1">IF(OR(INDEX($AG$2:$AG$1001,MATCH(ROWS($AF$2:AF73),$AF$2:$AF$1001,0),1)&gt;=100000,INDEX($AM$1005:$BM$1005,1,MATCH(COLUMNS($AM$1006:BH1006),$AM$1006:$BM$1006,0))&gt;=100000), " ",IF(INDEX($AM$2:$BM$1001,MATCH(ROWS($AF$2:AF73),$AF$2:$AF$1001,0),MATCH(COLUMNS($AM$1006:BH1006),$AM$1006:$BM$1006,0)), HYPERLINK("#",""), HYPERLINK(CONCATENATE("#metadata!", ADDRESS(INDEX($AH$2:$AH$1001,MATCH(ROWS($AF$2:AF73),$AF$2:$AF$1001,0),0), INDEX($AM$1004:$BM$1004,1,MATCH(COLUMNS($AM$1006:BH1006),$AM$1006:$BM$1006,0)))),"Fix")))</f>
        <v xml:space="preserve"> </v>
      </c>
      <c r="X73" s="4" t="str">
        <f ca="1">IF(OR(INDEX($AG$2:$AG$1001,MATCH(ROWS($AF$2:AF73),$AF$2:$AF$1001,0),1)&gt;=100000,INDEX($AM$1005:$BM$1005,1,MATCH(COLUMNS($AM$1006:BI1006),$AM$1006:$BM$1006,0))&gt;=100000), " ",IF(INDEX($AM$2:$BM$1001,MATCH(ROWS($AF$2:AF73),$AF$2:$AF$1001,0),MATCH(COLUMNS($AM$1006:BI1006),$AM$1006:$BM$1006,0)), HYPERLINK("#",""), HYPERLINK(CONCATENATE("#metadata!", ADDRESS(INDEX($AH$2:$AH$1001,MATCH(ROWS($AF$2:AF73),$AF$2:$AF$1001,0),0), INDEX($AM$1004:$BM$1004,1,MATCH(COLUMNS($AM$1006:BI1006),$AM$1006:$BM$1006,0)))),"Fix")))</f>
        <v xml:space="preserve"> </v>
      </c>
      <c r="Y73" s="4" t="str">
        <f ca="1">IF(OR(INDEX($AG$2:$AG$1001,MATCH(ROWS($AF$2:AF73),$AF$2:$AF$1001,0),1)&gt;=100000,INDEX($AM$1005:$BM$1005,1,MATCH(COLUMNS($AM$1006:BJ1006),$AM$1006:$BM$1006,0))&gt;=100000), " ",IF(INDEX($AM$2:$BM$1001,MATCH(ROWS($AF$2:AF73),$AF$2:$AF$1001,0),MATCH(COLUMNS($AM$1006:BJ1006),$AM$1006:$BM$1006,0)), HYPERLINK("#",""), HYPERLINK(CONCATENATE("#metadata!", ADDRESS(INDEX($AH$2:$AH$1001,MATCH(ROWS($AF$2:AF73),$AF$2:$AF$1001,0),0), INDEX($AM$1004:$BM$1004,1,MATCH(COLUMNS($AM$1006:BJ1006),$AM$1006:$BM$1006,0)))),"Fix")))</f>
        <v xml:space="preserve"> </v>
      </c>
      <c r="Z73" s="4" t="str">
        <f ca="1">IF(OR(INDEX($AG$2:$AG$1001,MATCH(ROWS($AF$2:AF73),$AF$2:$AF$1001,0),1)&gt;=100000,INDEX($AM$1005:$BM$1005,1,MATCH(COLUMNS($AM$1006:BK1006),$AM$1006:$BM$1006,0))&gt;=100000), " ",IF(INDEX($AM$2:$BM$1001,MATCH(ROWS($AF$2:AF73),$AF$2:$AF$1001,0),MATCH(COLUMNS($AM$1006:BK1006),$AM$1006:$BM$1006,0)), HYPERLINK("#",""), HYPERLINK(CONCATENATE("#metadata!", ADDRESS(INDEX($AH$2:$AH$1001,MATCH(ROWS($AF$2:AF73),$AF$2:$AF$1001,0),0), INDEX($AM$1004:$BM$1004,1,MATCH(COLUMNS($AM$1006:BK1006),$AM$1006:$BM$1006,0)))),"Fix")))</f>
        <v xml:space="preserve"> </v>
      </c>
      <c r="AA73" s="4" t="str">
        <f ca="1">IF(OR(INDEX($AG$2:$AG$1001,MATCH(ROWS($AF$2:AF73),$AF$2:$AF$1001,0),1)&gt;=100000,INDEX($AM$1005:$BM$1005,1,MATCH(COLUMNS($AM$1006:BL1006),$AM$1006:$BM$1006,0))&gt;=100000), " ",IF(INDEX($AM$2:$BM$1001,MATCH(ROWS($AF$2:AF73),$AF$2:$AF$1001,0),MATCH(COLUMNS($AM$1006:BL1006),$AM$1006:$BM$1006,0)), HYPERLINK("#",""), HYPERLINK(CONCATENATE("#metadata!", ADDRESS(INDEX($AH$2:$AH$1001,MATCH(ROWS($AF$2:AF73),$AF$2:$AF$1001,0),0), INDEX($AM$1004:$BM$1004,1,MATCH(COLUMNS($AM$1006:BL1006),$AM$1006:$BM$1006,0)))),"Fix")))</f>
        <v xml:space="preserve"> </v>
      </c>
      <c r="AB73" s="4" t="str">
        <f ca="1">IF(OR(INDEX($AG$2:$AG$1001,MATCH(ROWS($AF$2:AF73),$AF$2:$AF$1001,0),1)&gt;=100000,INDEX($AM$1005:$BM$1005,1,MATCH(COLUMNS($AM$1006:BM1006),$AM$1006:$BM$1006,0))&gt;=100000), " ",IF(INDEX($AM$2:$BM$1001,MATCH(ROWS($AF$2:AF73),$AF$2:$AF$1001,0),MATCH(COLUMNS($AM$1006:BM1006),$AM$1006:$BM$1006,0)), HYPERLINK("#",""), HYPERLINK(CONCATENATE("#metadata!", ADDRESS(INDEX($AH$2:$AH$1001,MATCH(ROWS($AF$2:AF73),$AF$2:$AF$1001,0),0), INDEX($AM$1004:$BM$1004,1,MATCH(COLUMNS($AM$1006:BM1006),$AM$1006:$BM$1006,0)))),"Fix")))</f>
        <v xml:space="preserve"> </v>
      </c>
      <c r="AF73">
        <v>72</v>
      </c>
      <c r="AG73">
        <v>100073</v>
      </c>
      <c r="AH73">
        <v>73</v>
      </c>
      <c r="AI73" t="b">
        <f t="shared" si="1"/>
        <v>1</v>
      </c>
      <c r="AJ73" t="b">
        <f>COUNTBLANK(metadata!B73:AB73)=COLUMNS(metadata!B73:AB73)</f>
        <v>1</v>
      </c>
      <c r="AK73" t="str">
        <v/>
      </c>
      <c r="AM73" t="b">
        <f ca="1">AND(IF(metadata!B73="",FALSE,TRUE),COUNTIF(metadata!B:B, metadata!B73) = 1,NOT(ISERROR(SUMPRODUCT(SEARCH(MID(metadata!B73,ROW(INDIRECT("1:"&amp;LEN(metadata!B73))), 1),"0123456789abcdefghijklmnopqrstuvwxyzABCDEFGHIJKLMNOPQRSTUVWXYZ.")))))</f>
        <v>0</v>
      </c>
      <c r="AN73" t="b">
        <f ca="1">OR(AND(IF(metadata!C73="",FALSE,TRUE),OR(EXACT(metadata!C73,"missing: not collected"),EXACT(metadata!C73,"missing: not provided"),EXACT(metadata!C73,"missing: restricted access"))),AND(IF(metadata!C73="",FALSE,TRUE),AND(AND(IFERROR(INT(LEFT(metadata!C73,4))&gt;1900,FALSE),IFERROR(INT(LEFT(metadata!C73,4))&lt;=YEAR(NOW()),FALSE)), OR(MID(metadata!C73,5,1)="", AND(AND(MID(metadata!C73,5,1)="-",IFERROR(INT(MID(metadata!C73,6,1))&gt;=0,FALSE),IFERROR(INT(MID(metadata!C73,6,1))&lt;=1,FALSE),NOT(MID(metadata!C73,7,1)=""),IFERROR(INT(MID(metadata!C73,6,2))&gt;=1,FALSE),IFERROR(INT(MID(metadata!C73,6,2))&lt;=12,FALSE)), OR(MID(metadata!C73,8,1)="", AND(AND(MID(metadata!C73,8,1)="-",IFERROR(INT(MID(metadata!C73,9,1))&gt;=0,FALSE),IFERROR(INT(MID(metadata!C73,9,1))&lt;=3,FALSE),NOT(MID(metadata!C73,10,1)=""),IFERROR(INT(MID(metadata!C73,9,2))&gt;=1,FALSE),IFERROR(INT(MID(metadata!C73,9,2))&lt;=31,FALSE)), OR(MID(metadata!C73,11,1)="", AND(AND(MID(metadata!C73,11,1)=" ",IFERROR(INT(MID(metadata!C73,12,1))&gt;=0,FALSE),IFERROR(INT(MID(metadata!C73,12,1))&lt;=2,FALSE),NOT(MID(metadata!C73,13,1)=""),IFERROR(INT(MID(metadata!C73,12,2))&gt;=0,FALSE),IFERROR(INT(MID(metadata!C73,12,2))&lt;=23,FALSE)), OR(MID(metadata!C73,14,1)="", AND(AND(MID(metadata!C73,14,1)=":",IFERROR(INT(MID(metadata!C73,15,1))&gt;=0,FALSE),IFERROR(INT(MID(metadata!C73,15,1))&lt;=5,FALSE),NOT(MID(metadata!C73,16,1)=""),IFERROR(INT(MID(metadata!C73,15,2))&gt;=0,FALSE),IFERROR(INT(MID(metadata!C73,15,2))&lt;=59,FALSE)), OR(MID(metadata!C73,17,1)="", AND(AND(MID(metadata!C73,17,1)=":",IFERROR(INT(MID(metadata!C73,18,1))&gt;=0,FALSE),IFERROR(INT(MID(metadata!C73,18,1))&lt;=5,FALSE),NOT(MID(metadata!C73,19,1)=""),IFERROR(INT(MID(metadata!C73,18,2))&gt;=0,FALSE),IFERROR(INT(MID(metadata!C73,18,2))&lt;=59,FALSE)), LEN(metadata!C73)&lt;=19)))))))))))))</f>
        <v>0</v>
      </c>
      <c r="AO73" t="b">
        <f>AND(IF(metadata!D73="",FALSE,TRUE),EXACT(metadata!D73,"Not applicable"))</f>
        <v>0</v>
      </c>
      <c r="AP73" t="b">
        <f>IF(metadata!E73="",FALSE,TRUE)</f>
        <v>0</v>
      </c>
      <c r="AQ73" t="b">
        <f>OR(AND(IF(metadata!F73="",FALSE,TRUE),OR(EXACT(metadata!F73,"missing: not collected"),EXACT(metadata!F73,"missing: not provided"))),AND(IF(metadata!F73="",FALSE,TRUE),OR(EXACT(metadata!F73,"TRUE"),EXACT(metadata!F73,"FALSE"))))</f>
        <v>0</v>
      </c>
      <c r="AR73" t="b">
        <f>OR(AND(IF(metadata!G73="",FALSE,TRUE),OR(EXACT(metadata!G73,"missing: not collected"),EXACT(metadata!G73,"missing: not provided"),EXACT(metadata!G73,"missing: restricted access"))),AND(IF(metadata!G73="",FALSE,ISNUMBER(VALUE(metadata!G73))),metadata!G73&gt;=-413))</f>
        <v>0</v>
      </c>
      <c r="AS73" t="b">
        <f>AND(IF(metadata!H73="",FALSE,TRUE),EXACT(metadata!H73,"meters"))</f>
        <v>0</v>
      </c>
      <c r="AT73" t="b">
        <f>AND(IF(metadata!I73="",FALSE,TRUE),OR(EXACT(metadata!I73,"Host-associated"),EXACT(metadata!I73,"Free-living")))</f>
        <v>0</v>
      </c>
      <c r="AU73" t="b">
        <f>AND(IF(metadata!J73="",FALSE,TRUE),OR(EXACT(metadata!J73,"Animal"),EXACT(metadata!J73,"Fungus"),EXACT(metadata!J73,"Plant"),EXACT(metadata!J73,"Saline"),EXACT(metadata!J73,"Non-saline")))</f>
        <v>0</v>
      </c>
      <c r="AV73" t="b">
        <f>AND(IF(metadata!K73="",FALSE,TRUE),OR(EXACT(metadata!K73,"Plant secretion"),EXACT(metadata!K73,"Plant rhizosphere"),EXACT(metadata!K73,"Plant surface"),EXACT(metadata!K73,"Plant corpus"),EXACT(metadata!K73,"Fungus surface"),EXACT(metadata!K73,"Fungus corpus"),EXACT(metadata!K73,"Animal surface"),EXACT(metadata!K73,"Animal proximal gut"),EXACT(metadata!K73,"Animal corpus"),EXACT(metadata!K73,"Animal distal gut"),EXACT(metadata!K73,"Animal secretion"),EXACT(metadata!K73,"Sub-surface (non-saline)"),EXACT(metadata!K73,"Surface (non-saline)"),EXACT(metadata!K73,"Water (non-saline)"),EXACT(metadata!K73,"Soil (non-saline)"),EXACT(metadata!K73,"Aerosol (non-saline)"),EXACT(metadata!K73,"Sediment (non-saline)"),EXACT(metadata!K73,"Surface (saline)"),EXACT(metadata!K73,"Water (saline)"),EXACT(metadata!K73,"Hypersaline (saline)"),EXACT(metadata!K73,"Aerosol (saline)"),EXACT(metadata!K73,"Sediment (saline)")))</f>
        <v>0</v>
      </c>
      <c r="AW73" t="b">
        <f>IF(metadata!L73="",FALSE,TRUE)</f>
        <v>0</v>
      </c>
      <c r="AX73" t="b">
        <f>IF(metadata!M73="",FALSE,TRUE)</f>
        <v>0</v>
      </c>
      <c r="AY73" t="b">
        <f>IF(metadata!N73="",FALSE,TRUE)</f>
        <v>0</v>
      </c>
      <c r="AZ73" t="b">
        <f>OR(AND(IF(metadata!O73="",FALSE,TRUE),OR(EXACT(metadata!O73,"missing: not collected"),EXACT(metadata!O73,"missing: not provided"),EXACT(metadata!O73,"missing: restricted access"))),AND(IF(metadata!O73="",FALSE,TRUE),OR(EXACT(metadata!O73,"air"),EXACT(metadata!O73,"built environment"),EXACT(metadata!O73,"host-associated"),EXACT(metadata!O73,"human-associated"),EXACT(metadata!O73,"human-skin"),EXACT(metadata!O73,"human-oral"),EXACT(metadata!O73,"human-gut"),EXACT(metadata!O73,"human-vaginal"),EXACT(metadata!O73,"microbial mat/biofilm"),EXACT(metadata!O73,"misc environment"),EXACT(metadata!O73,"plant-associated"),EXACT(metadata!O73,"sediment"),EXACT(metadata!O73,"soil"),EXACT(metadata!O73,"wastewater/sludge"),EXACT(metadata!O73,"water"))))</f>
        <v>0</v>
      </c>
      <c r="BA73" t="b">
        <f>IF(metadata!P73="",FALSE,TRUE)</f>
        <v>0</v>
      </c>
      <c r="BB73" t="b">
        <f>IF(metadata!Q73="",FALSE,TRUE)</f>
        <v>0</v>
      </c>
      <c r="BC73" t="b">
        <f>OR(AND(IF(metadata!R73="",FALSE,TRUE),OR(EXACT(metadata!R73,"missing: not collected"),EXACT(metadata!R73,"missing: not provided"),EXACT(metadata!R73,"missing: restricted access"))),AND(IF(metadata!R73="",FALSE,ISNUMBER(VALUE(metadata!R73))),metadata!R73&gt;=-90,metadata!R73&lt;=90))</f>
        <v>0</v>
      </c>
      <c r="BD73" t="b">
        <f>AND(IF(metadata!S73="",FALSE,TRUE),EXACT(metadata!S73,"Decimal degrees"))</f>
        <v>0</v>
      </c>
      <c r="BE73" t="b">
        <f>OR(AND(IF(metadata!T73="",FALSE,TRUE),OR(EXACT(metadata!T73,"missing: not collected"),EXACT(metadata!T73,"missing: not provided"),EXACT(metadata!T73,"missing: restricted access"))),AND(IF(metadata!T73="",FALSE,ISNUMBER(VALUE(metadata!T73))),metadata!T73&gt;=-180,metadata!T73&lt;=180))</f>
        <v>0</v>
      </c>
      <c r="BF73" t="b">
        <f>AND(IF(metadata!U73="",FALSE,TRUE),EXACT(metadata!U73,"Decimal degrees"))</f>
        <v>0</v>
      </c>
      <c r="BG73" t="b">
        <f>IF(metadata!V73="",FALSE,TRUE)</f>
        <v>0</v>
      </c>
      <c r="BH73" t="b">
        <f>OR(AND(IF(metadata!W73="",FALSE,TRUE),OR(EXACT(metadata!W73,"missing: not collected"),EXACT(metadata!W73,"missing: not provided"),EXACT(metadata!W73,"missing: restricted access"))),AND(IF(metadata!W73="",FALSE,TRUE),OR(EXACT(metadata!W73,"TRUE"),EXACT(metadata!W73,"FALSE"))))</f>
        <v>0</v>
      </c>
      <c r="BI73" t="b">
        <f>AND(IF(metadata!X73="",FALSE,TRUE),EXACT(metadata!X73,"other"))</f>
        <v>0</v>
      </c>
      <c r="BJ73" t="b">
        <f>IF(metadata!Y73="",FALSE,TRUE)</f>
        <v>0</v>
      </c>
      <c r="BK73" t="b">
        <f>OR(AND(IF(metadata!Z73="",FALSE,TRUE),OR(EXACT(metadata!Z73,"missing: not collected"),EXACT(metadata!Z73,"missing: not provided"))),AND(IF(metadata!Z73="",FALSE,IF(ISERROR(INT(metadata!Z73)),FALSE,INT(metadata!Z73)=metadata!Z73)),metadata!Z73&gt;0))</f>
        <v>0</v>
      </c>
      <c r="BL73" t="b">
        <f>AND(IF(metadata!AA73="",FALSE,TRUE),EXACT(metadata!AA73,"Not applicable"))</f>
        <v>0</v>
      </c>
      <c r="BM73" t="b">
        <f>IF(metadata!AB73="",FALSE,TRUE)</f>
        <v>0</v>
      </c>
    </row>
    <row r="74" spans="1:65" x14ac:dyDescent="0.2">
      <c r="A74" s="5" t="str">
        <f ca="1">IF(B74=" "," ",HYPERLINK(CONCATENATE("#metadata!",ADDRESS(INDEX($AH$2:$AH$1001,MATCH(ROWS($AF$2:AF74),$AF$2:$AF$1001,0),0),1)),INDEX($AK$2:$AK$1001,MATCH(ROWS($AF$2:AF74),$AF$2:$AF$1001,0),0)))</f>
        <v xml:space="preserve"> </v>
      </c>
      <c r="B74" s="4" t="str">
        <f ca="1">IF(OR(INDEX($AG$2:$AG$1001,MATCH(ROWS($AF$2:AF74),$AF$2:$AF$1001,0),1)&gt;=100000,INDEX($AM$1005:$BM$1005,1,MATCH(COLUMNS($AM$1006:AM1006),$AM$1006:$BM$1006,0))&gt;=100000), " ",IF(INDEX($AM$2:$BM$1001,MATCH(ROWS($AF$2:AF74),$AF$2:$AF$1001,0),MATCH(COLUMNS($AM$1006:AM1006),$AM$1006:$BM$1006,0)), HYPERLINK("#",""), HYPERLINK(CONCATENATE("#metadata!", ADDRESS(INDEX($AH$2:$AH$1001,MATCH(ROWS($AF$2:AF74),$AF$2:$AF$1001,0),0), INDEX($AM$1004:$BM$1004,1,MATCH(COLUMNS($AM$1006:AM1006),$AM$1006:$BM$1006,0)))),"Fix")))</f>
        <v xml:space="preserve"> </v>
      </c>
      <c r="C74" s="4" t="str">
        <f ca="1">IF(OR(INDEX($AG$2:$AG$1001,MATCH(ROWS($AF$2:AF74),$AF$2:$AF$1001,0),1)&gt;=100000,INDEX($AM$1005:$BM$1005,1,MATCH(COLUMNS($AM$1006:AN1006),$AM$1006:$BM$1006,0))&gt;=100000), " ",IF(INDEX($AM$2:$BM$1001,MATCH(ROWS($AF$2:AF74),$AF$2:$AF$1001,0),MATCH(COLUMNS($AM$1006:AN1006),$AM$1006:$BM$1006,0)), HYPERLINK("#",""), HYPERLINK(CONCATENATE("#metadata!", ADDRESS(INDEX($AH$2:$AH$1001,MATCH(ROWS($AF$2:AF74),$AF$2:$AF$1001,0),0), INDEX($AM$1004:$BM$1004,1,MATCH(COLUMNS($AM$1006:AN1006),$AM$1006:$BM$1006,0)))),"Fix")))</f>
        <v xml:space="preserve"> </v>
      </c>
      <c r="D74" s="4" t="str">
        <f ca="1">IF(OR(INDEX($AG$2:$AG$1001,MATCH(ROWS($AF$2:AF74),$AF$2:$AF$1001,0),1)&gt;=100000,INDEX($AM$1005:$BM$1005,1,MATCH(COLUMNS($AM$1006:AO1006),$AM$1006:$BM$1006,0))&gt;=100000), " ",IF(INDEX($AM$2:$BM$1001,MATCH(ROWS($AF$2:AF74),$AF$2:$AF$1001,0),MATCH(COLUMNS($AM$1006:AO1006),$AM$1006:$BM$1006,0)), HYPERLINK("#",""), HYPERLINK(CONCATENATE("#metadata!", ADDRESS(INDEX($AH$2:$AH$1001,MATCH(ROWS($AF$2:AF74),$AF$2:$AF$1001,0),0), INDEX($AM$1004:$BM$1004,1,MATCH(COLUMNS($AM$1006:AO1006),$AM$1006:$BM$1006,0)))),"Fix")))</f>
        <v xml:space="preserve"> </v>
      </c>
      <c r="E74" s="4" t="str">
        <f ca="1">IF(OR(INDEX($AG$2:$AG$1001,MATCH(ROWS($AF$2:AF74),$AF$2:$AF$1001,0),1)&gt;=100000,INDEX($AM$1005:$BM$1005,1,MATCH(COLUMNS($AM$1006:AP1006),$AM$1006:$BM$1006,0))&gt;=100000), " ",IF(INDEX($AM$2:$BM$1001,MATCH(ROWS($AF$2:AF74),$AF$2:$AF$1001,0),MATCH(COLUMNS($AM$1006:AP1006),$AM$1006:$BM$1006,0)), HYPERLINK("#",""), HYPERLINK(CONCATENATE("#metadata!", ADDRESS(INDEX($AH$2:$AH$1001,MATCH(ROWS($AF$2:AF74),$AF$2:$AF$1001,0),0), INDEX($AM$1004:$BM$1004,1,MATCH(COLUMNS($AM$1006:AP1006),$AM$1006:$BM$1006,0)))),"Fix")))</f>
        <v xml:space="preserve"> </v>
      </c>
      <c r="F74" s="4" t="str">
        <f ca="1">IF(OR(INDEX($AG$2:$AG$1001,MATCH(ROWS($AF$2:AF74),$AF$2:$AF$1001,0),1)&gt;=100000,INDEX($AM$1005:$BM$1005,1,MATCH(COLUMNS($AM$1006:AQ1006),$AM$1006:$BM$1006,0))&gt;=100000), " ",IF(INDEX($AM$2:$BM$1001,MATCH(ROWS($AF$2:AF74),$AF$2:$AF$1001,0),MATCH(COLUMNS($AM$1006:AQ1006),$AM$1006:$BM$1006,0)), HYPERLINK("#",""), HYPERLINK(CONCATENATE("#metadata!", ADDRESS(INDEX($AH$2:$AH$1001,MATCH(ROWS($AF$2:AF74),$AF$2:$AF$1001,0),0), INDEX($AM$1004:$BM$1004,1,MATCH(COLUMNS($AM$1006:AQ1006),$AM$1006:$BM$1006,0)))),"Fix")))</f>
        <v xml:space="preserve"> </v>
      </c>
      <c r="G74" s="4" t="str">
        <f ca="1">IF(OR(INDEX($AG$2:$AG$1001,MATCH(ROWS($AF$2:AF74),$AF$2:$AF$1001,0),1)&gt;=100000,INDEX($AM$1005:$BM$1005,1,MATCH(COLUMNS($AM$1006:AR1006),$AM$1006:$BM$1006,0))&gt;=100000), " ",IF(INDEX($AM$2:$BM$1001,MATCH(ROWS($AF$2:AF74),$AF$2:$AF$1001,0),MATCH(COLUMNS($AM$1006:AR1006),$AM$1006:$BM$1006,0)), HYPERLINK("#",""), HYPERLINK(CONCATENATE("#metadata!", ADDRESS(INDEX($AH$2:$AH$1001,MATCH(ROWS($AF$2:AF74),$AF$2:$AF$1001,0),0), INDEX($AM$1004:$BM$1004,1,MATCH(COLUMNS($AM$1006:AR1006),$AM$1006:$BM$1006,0)))),"Fix")))</f>
        <v xml:space="preserve"> </v>
      </c>
      <c r="H74" s="4" t="str">
        <f ca="1">IF(OR(INDEX($AG$2:$AG$1001,MATCH(ROWS($AF$2:AF74),$AF$2:$AF$1001,0),1)&gt;=100000,INDEX($AM$1005:$BM$1005,1,MATCH(COLUMNS($AM$1006:AS1006),$AM$1006:$BM$1006,0))&gt;=100000), " ",IF(INDEX($AM$2:$BM$1001,MATCH(ROWS($AF$2:AF74),$AF$2:$AF$1001,0),MATCH(COLUMNS($AM$1006:AS1006),$AM$1006:$BM$1006,0)), HYPERLINK("#",""), HYPERLINK(CONCATENATE("#metadata!", ADDRESS(INDEX($AH$2:$AH$1001,MATCH(ROWS($AF$2:AF74),$AF$2:$AF$1001,0),0), INDEX($AM$1004:$BM$1004,1,MATCH(COLUMNS($AM$1006:AS1006),$AM$1006:$BM$1006,0)))),"Fix")))</f>
        <v xml:space="preserve"> </v>
      </c>
      <c r="I74" s="4" t="str">
        <f ca="1">IF(OR(INDEX($AG$2:$AG$1001,MATCH(ROWS($AF$2:AF74),$AF$2:$AF$1001,0),1)&gt;=100000,INDEX($AM$1005:$BM$1005,1,MATCH(COLUMNS($AM$1006:AT1006),$AM$1006:$BM$1006,0))&gt;=100000), " ",IF(INDEX($AM$2:$BM$1001,MATCH(ROWS($AF$2:AF74),$AF$2:$AF$1001,0),MATCH(COLUMNS($AM$1006:AT1006),$AM$1006:$BM$1006,0)), HYPERLINK("#",""), HYPERLINK(CONCATENATE("#metadata!", ADDRESS(INDEX($AH$2:$AH$1001,MATCH(ROWS($AF$2:AF74),$AF$2:$AF$1001,0),0), INDEX($AM$1004:$BM$1004,1,MATCH(COLUMNS($AM$1006:AT1006),$AM$1006:$BM$1006,0)))),"Fix")))</f>
        <v xml:space="preserve"> </v>
      </c>
      <c r="J74" s="4" t="str">
        <f ca="1">IF(OR(INDEX($AG$2:$AG$1001,MATCH(ROWS($AF$2:AF74),$AF$2:$AF$1001,0),1)&gt;=100000,INDEX($AM$1005:$BM$1005,1,MATCH(COLUMNS($AM$1006:AU1006),$AM$1006:$BM$1006,0))&gt;=100000), " ",IF(INDEX($AM$2:$BM$1001,MATCH(ROWS($AF$2:AF74),$AF$2:$AF$1001,0),MATCH(COLUMNS($AM$1006:AU1006),$AM$1006:$BM$1006,0)), HYPERLINK("#",""), HYPERLINK(CONCATENATE("#metadata!", ADDRESS(INDEX($AH$2:$AH$1001,MATCH(ROWS($AF$2:AF74),$AF$2:$AF$1001,0),0), INDEX($AM$1004:$BM$1004,1,MATCH(COLUMNS($AM$1006:AU1006),$AM$1006:$BM$1006,0)))),"Fix")))</f>
        <v xml:space="preserve"> </v>
      </c>
      <c r="K74" s="4" t="str">
        <f ca="1">IF(OR(INDEX($AG$2:$AG$1001,MATCH(ROWS($AF$2:AF74),$AF$2:$AF$1001,0),1)&gt;=100000,INDEX($AM$1005:$BM$1005,1,MATCH(COLUMNS($AM$1006:AV1006),$AM$1006:$BM$1006,0))&gt;=100000), " ",IF(INDEX($AM$2:$BM$1001,MATCH(ROWS($AF$2:AF74),$AF$2:$AF$1001,0),MATCH(COLUMNS($AM$1006:AV1006),$AM$1006:$BM$1006,0)), HYPERLINK("#",""), HYPERLINK(CONCATENATE("#metadata!", ADDRESS(INDEX($AH$2:$AH$1001,MATCH(ROWS($AF$2:AF74),$AF$2:$AF$1001,0),0), INDEX($AM$1004:$BM$1004,1,MATCH(COLUMNS($AM$1006:AV1006),$AM$1006:$BM$1006,0)))),"Fix")))</f>
        <v xml:space="preserve"> </v>
      </c>
      <c r="L74" s="4" t="str">
        <f ca="1">IF(OR(INDEX($AG$2:$AG$1001,MATCH(ROWS($AF$2:AF74),$AF$2:$AF$1001,0),1)&gt;=100000,INDEX($AM$1005:$BM$1005,1,MATCH(COLUMNS($AM$1006:AW1006),$AM$1006:$BM$1006,0))&gt;=100000), " ",IF(INDEX($AM$2:$BM$1001,MATCH(ROWS($AF$2:AF74),$AF$2:$AF$1001,0),MATCH(COLUMNS($AM$1006:AW1006),$AM$1006:$BM$1006,0)), HYPERLINK("#",""), HYPERLINK(CONCATENATE("#metadata!", ADDRESS(INDEX($AH$2:$AH$1001,MATCH(ROWS($AF$2:AF74),$AF$2:$AF$1001,0),0), INDEX($AM$1004:$BM$1004,1,MATCH(COLUMNS($AM$1006:AW1006),$AM$1006:$BM$1006,0)))),"Fix")))</f>
        <v xml:space="preserve"> </v>
      </c>
      <c r="M74" s="4" t="str">
        <f ca="1">IF(OR(INDEX($AG$2:$AG$1001,MATCH(ROWS($AF$2:AF74),$AF$2:$AF$1001,0),1)&gt;=100000,INDEX($AM$1005:$BM$1005,1,MATCH(COLUMNS($AM$1006:AX1006),$AM$1006:$BM$1006,0))&gt;=100000), " ",IF(INDEX($AM$2:$BM$1001,MATCH(ROWS($AF$2:AF74),$AF$2:$AF$1001,0),MATCH(COLUMNS($AM$1006:AX1006),$AM$1006:$BM$1006,0)), HYPERLINK("#",""), HYPERLINK(CONCATENATE("#metadata!", ADDRESS(INDEX($AH$2:$AH$1001,MATCH(ROWS($AF$2:AF74),$AF$2:$AF$1001,0),0), INDEX($AM$1004:$BM$1004,1,MATCH(COLUMNS($AM$1006:AX1006),$AM$1006:$BM$1006,0)))),"Fix")))</f>
        <v xml:space="preserve"> </v>
      </c>
      <c r="N74" s="4" t="str">
        <f ca="1">IF(OR(INDEX($AG$2:$AG$1001,MATCH(ROWS($AF$2:AF74),$AF$2:$AF$1001,0),1)&gt;=100000,INDEX($AM$1005:$BM$1005,1,MATCH(COLUMNS($AM$1006:AY1006),$AM$1006:$BM$1006,0))&gt;=100000), " ",IF(INDEX($AM$2:$BM$1001,MATCH(ROWS($AF$2:AF74),$AF$2:$AF$1001,0),MATCH(COLUMNS($AM$1006:AY1006),$AM$1006:$BM$1006,0)), HYPERLINK("#",""), HYPERLINK(CONCATENATE("#metadata!", ADDRESS(INDEX($AH$2:$AH$1001,MATCH(ROWS($AF$2:AF74),$AF$2:$AF$1001,0),0), INDEX($AM$1004:$BM$1004,1,MATCH(COLUMNS($AM$1006:AY1006),$AM$1006:$BM$1006,0)))),"Fix")))</f>
        <v xml:space="preserve"> </v>
      </c>
      <c r="O74" s="4" t="str">
        <f ca="1">IF(OR(INDEX($AG$2:$AG$1001,MATCH(ROWS($AF$2:AF74),$AF$2:$AF$1001,0),1)&gt;=100000,INDEX($AM$1005:$BM$1005,1,MATCH(COLUMNS($AM$1006:AZ1006),$AM$1006:$BM$1006,0))&gt;=100000), " ",IF(INDEX($AM$2:$BM$1001,MATCH(ROWS($AF$2:AF74),$AF$2:$AF$1001,0),MATCH(COLUMNS($AM$1006:AZ1006),$AM$1006:$BM$1006,0)), HYPERLINK("#",""), HYPERLINK(CONCATENATE("#metadata!", ADDRESS(INDEX($AH$2:$AH$1001,MATCH(ROWS($AF$2:AF74),$AF$2:$AF$1001,0),0), INDEX($AM$1004:$BM$1004,1,MATCH(COLUMNS($AM$1006:AZ1006),$AM$1006:$BM$1006,0)))),"Fix")))</f>
        <v xml:space="preserve"> </v>
      </c>
      <c r="P74" s="4" t="str">
        <f ca="1">IF(OR(INDEX($AG$2:$AG$1001,MATCH(ROWS($AF$2:AF74),$AF$2:$AF$1001,0),1)&gt;=100000,INDEX($AM$1005:$BM$1005,1,MATCH(COLUMNS($AM$1006:BA1006),$AM$1006:$BM$1006,0))&gt;=100000), " ",IF(INDEX($AM$2:$BM$1001,MATCH(ROWS($AF$2:AF74),$AF$2:$AF$1001,0),MATCH(COLUMNS($AM$1006:BA1006),$AM$1006:$BM$1006,0)), HYPERLINK("#",""), HYPERLINK(CONCATENATE("#metadata!", ADDRESS(INDEX($AH$2:$AH$1001,MATCH(ROWS($AF$2:AF74),$AF$2:$AF$1001,0),0), INDEX($AM$1004:$BM$1004,1,MATCH(COLUMNS($AM$1006:BA1006),$AM$1006:$BM$1006,0)))),"Fix")))</f>
        <v xml:space="preserve"> </v>
      </c>
      <c r="Q74" s="4" t="str">
        <f ca="1">IF(OR(INDEX($AG$2:$AG$1001,MATCH(ROWS($AF$2:AF74),$AF$2:$AF$1001,0),1)&gt;=100000,INDEX($AM$1005:$BM$1005,1,MATCH(COLUMNS($AM$1006:BB1006),$AM$1006:$BM$1006,0))&gt;=100000), " ",IF(INDEX($AM$2:$BM$1001,MATCH(ROWS($AF$2:AF74),$AF$2:$AF$1001,0),MATCH(COLUMNS($AM$1006:BB1006),$AM$1006:$BM$1006,0)), HYPERLINK("#",""), HYPERLINK(CONCATENATE("#metadata!", ADDRESS(INDEX($AH$2:$AH$1001,MATCH(ROWS($AF$2:AF74),$AF$2:$AF$1001,0),0), INDEX($AM$1004:$BM$1004,1,MATCH(COLUMNS($AM$1006:BB1006),$AM$1006:$BM$1006,0)))),"Fix")))</f>
        <v xml:space="preserve"> </v>
      </c>
      <c r="R74" s="4" t="str">
        <f ca="1">IF(OR(INDEX($AG$2:$AG$1001,MATCH(ROWS($AF$2:AF74),$AF$2:$AF$1001,0),1)&gt;=100000,INDEX($AM$1005:$BM$1005,1,MATCH(COLUMNS($AM$1006:BC1006),$AM$1006:$BM$1006,0))&gt;=100000), " ",IF(INDEX($AM$2:$BM$1001,MATCH(ROWS($AF$2:AF74),$AF$2:$AF$1001,0),MATCH(COLUMNS($AM$1006:BC1006),$AM$1006:$BM$1006,0)), HYPERLINK("#",""), HYPERLINK(CONCATENATE("#metadata!", ADDRESS(INDEX($AH$2:$AH$1001,MATCH(ROWS($AF$2:AF74),$AF$2:$AF$1001,0),0), INDEX($AM$1004:$BM$1004,1,MATCH(COLUMNS($AM$1006:BC1006),$AM$1006:$BM$1006,0)))),"Fix")))</f>
        <v xml:space="preserve"> </v>
      </c>
      <c r="S74" s="4" t="str">
        <f ca="1">IF(OR(INDEX($AG$2:$AG$1001,MATCH(ROWS($AF$2:AF74),$AF$2:$AF$1001,0),1)&gt;=100000,INDEX($AM$1005:$BM$1005,1,MATCH(COLUMNS($AM$1006:BD1006),$AM$1006:$BM$1006,0))&gt;=100000), " ",IF(INDEX($AM$2:$BM$1001,MATCH(ROWS($AF$2:AF74),$AF$2:$AF$1001,0),MATCH(COLUMNS($AM$1006:BD1006),$AM$1006:$BM$1006,0)), HYPERLINK("#",""), HYPERLINK(CONCATENATE("#metadata!", ADDRESS(INDEX($AH$2:$AH$1001,MATCH(ROWS($AF$2:AF74),$AF$2:$AF$1001,0),0), INDEX($AM$1004:$BM$1004,1,MATCH(COLUMNS($AM$1006:BD1006),$AM$1006:$BM$1006,0)))),"Fix")))</f>
        <v xml:space="preserve"> </v>
      </c>
      <c r="T74" s="4" t="str">
        <f ca="1">IF(OR(INDEX($AG$2:$AG$1001,MATCH(ROWS($AF$2:AF74),$AF$2:$AF$1001,0),1)&gt;=100000,INDEX($AM$1005:$BM$1005,1,MATCH(COLUMNS($AM$1006:BE1006),$AM$1006:$BM$1006,0))&gt;=100000), " ",IF(INDEX($AM$2:$BM$1001,MATCH(ROWS($AF$2:AF74),$AF$2:$AF$1001,0),MATCH(COLUMNS($AM$1006:BE1006),$AM$1006:$BM$1006,0)), HYPERLINK("#",""), HYPERLINK(CONCATENATE("#metadata!", ADDRESS(INDEX($AH$2:$AH$1001,MATCH(ROWS($AF$2:AF74),$AF$2:$AF$1001,0),0), INDEX($AM$1004:$BM$1004,1,MATCH(COLUMNS($AM$1006:BE1006),$AM$1006:$BM$1006,0)))),"Fix")))</f>
        <v xml:space="preserve"> </v>
      </c>
      <c r="U74" s="4" t="str">
        <f ca="1">IF(OR(INDEX($AG$2:$AG$1001,MATCH(ROWS($AF$2:AF74),$AF$2:$AF$1001,0),1)&gt;=100000,INDEX($AM$1005:$BM$1005,1,MATCH(COLUMNS($AM$1006:BF1006),$AM$1006:$BM$1006,0))&gt;=100000), " ",IF(INDEX($AM$2:$BM$1001,MATCH(ROWS($AF$2:AF74),$AF$2:$AF$1001,0),MATCH(COLUMNS($AM$1006:BF1006),$AM$1006:$BM$1006,0)), HYPERLINK("#",""), HYPERLINK(CONCATENATE("#metadata!", ADDRESS(INDEX($AH$2:$AH$1001,MATCH(ROWS($AF$2:AF74),$AF$2:$AF$1001,0),0), INDEX($AM$1004:$BM$1004,1,MATCH(COLUMNS($AM$1006:BF1006),$AM$1006:$BM$1006,0)))),"Fix")))</f>
        <v xml:space="preserve"> </v>
      </c>
      <c r="V74" s="4" t="str">
        <f ca="1">IF(OR(INDEX($AG$2:$AG$1001,MATCH(ROWS($AF$2:AF74),$AF$2:$AF$1001,0),1)&gt;=100000,INDEX($AM$1005:$BM$1005,1,MATCH(COLUMNS($AM$1006:BG1006),$AM$1006:$BM$1006,0))&gt;=100000), " ",IF(INDEX($AM$2:$BM$1001,MATCH(ROWS($AF$2:AF74),$AF$2:$AF$1001,0),MATCH(COLUMNS($AM$1006:BG1006),$AM$1006:$BM$1006,0)), HYPERLINK("#",""), HYPERLINK(CONCATENATE("#metadata!", ADDRESS(INDEX($AH$2:$AH$1001,MATCH(ROWS($AF$2:AF74),$AF$2:$AF$1001,0),0), INDEX($AM$1004:$BM$1004,1,MATCH(COLUMNS($AM$1006:BG1006),$AM$1006:$BM$1006,0)))),"Fix")))</f>
        <v xml:space="preserve"> </v>
      </c>
      <c r="W74" s="4" t="str">
        <f ca="1">IF(OR(INDEX($AG$2:$AG$1001,MATCH(ROWS($AF$2:AF74),$AF$2:$AF$1001,0),1)&gt;=100000,INDEX($AM$1005:$BM$1005,1,MATCH(COLUMNS($AM$1006:BH1006),$AM$1006:$BM$1006,0))&gt;=100000), " ",IF(INDEX($AM$2:$BM$1001,MATCH(ROWS($AF$2:AF74),$AF$2:$AF$1001,0),MATCH(COLUMNS($AM$1006:BH1006),$AM$1006:$BM$1006,0)), HYPERLINK("#",""), HYPERLINK(CONCATENATE("#metadata!", ADDRESS(INDEX($AH$2:$AH$1001,MATCH(ROWS($AF$2:AF74),$AF$2:$AF$1001,0),0), INDEX($AM$1004:$BM$1004,1,MATCH(COLUMNS($AM$1006:BH1006),$AM$1006:$BM$1006,0)))),"Fix")))</f>
        <v xml:space="preserve"> </v>
      </c>
      <c r="X74" s="4" t="str">
        <f ca="1">IF(OR(INDEX($AG$2:$AG$1001,MATCH(ROWS($AF$2:AF74),$AF$2:$AF$1001,0),1)&gt;=100000,INDEX($AM$1005:$BM$1005,1,MATCH(COLUMNS($AM$1006:BI1006),$AM$1006:$BM$1006,0))&gt;=100000), " ",IF(INDEX($AM$2:$BM$1001,MATCH(ROWS($AF$2:AF74),$AF$2:$AF$1001,0),MATCH(COLUMNS($AM$1006:BI1006),$AM$1006:$BM$1006,0)), HYPERLINK("#",""), HYPERLINK(CONCATENATE("#metadata!", ADDRESS(INDEX($AH$2:$AH$1001,MATCH(ROWS($AF$2:AF74),$AF$2:$AF$1001,0),0), INDEX($AM$1004:$BM$1004,1,MATCH(COLUMNS($AM$1006:BI1006),$AM$1006:$BM$1006,0)))),"Fix")))</f>
        <v xml:space="preserve"> </v>
      </c>
      <c r="Y74" s="4" t="str">
        <f ca="1">IF(OR(INDEX($AG$2:$AG$1001,MATCH(ROWS($AF$2:AF74),$AF$2:$AF$1001,0),1)&gt;=100000,INDEX($AM$1005:$BM$1005,1,MATCH(COLUMNS($AM$1006:BJ1006),$AM$1006:$BM$1006,0))&gt;=100000), " ",IF(INDEX($AM$2:$BM$1001,MATCH(ROWS($AF$2:AF74),$AF$2:$AF$1001,0),MATCH(COLUMNS($AM$1006:BJ1006),$AM$1006:$BM$1006,0)), HYPERLINK("#",""), HYPERLINK(CONCATENATE("#metadata!", ADDRESS(INDEX($AH$2:$AH$1001,MATCH(ROWS($AF$2:AF74),$AF$2:$AF$1001,0),0), INDEX($AM$1004:$BM$1004,1,MATCH(COLUMNS($AM$1006:BJ1006),$AM$1006:$BM$1006,0)))),"Fix")))</f>
        <v xml:space="preserve"> </v>
      </c>
      <c r="Z74" s="4" t="str">
        <f ca="1">IF(OR(INDEX($AG$2:$AG$1001,MATCH(ROWS($AF$2:AF74),$AF$2:$AF$1001,0),1)&gt;=100000,INDEX($AM$1005:$BM$1005,1,MATCH(COLUMNS($AM$1006:BK1006),$AM$1006:$BM$1006,0))&gt;=100000), " ",IF(INDEX($AM$2:$BM$1001,MATCH(ROWS($AF$2:AF74),$AF$2:$AF$1001,0),MATCH(COLUMNS($AM$1006:BK1006),$AM$1006:$BM$1006,0)), HYPERLINK("#",""), HYPERLINK(CONCATENATE("#metadata!", ADDRESS(INDEX($AH$2:$AH$1001,MATCH(ROWS($AF$2:AF74),$AF$2:$AF$1001,0),0), INDEX($AM$1004:$BM$1004,1,MATCH(COLUMNS($AM$1006:BK1006),$AM$1006:$BM$1006,0)))),"Fix")))</f>
        <v xml:space="preserve"> </v>
      </c>
      <c r="AA74" s="4" t="str">
        <f ca="1">IF(OR(INDEX($AG$2:$AG$1001,MATCH(ROWS($AF$2:AF74),$AF$2:$AF$1001,0),1)&gt;=100000,INDEX($AM$1005:$BM$1005,1,MATCH(COLUMNS($AM$1006:BL1006),$AM$1006:$BM$1006,0))&gt;=100000), " ",IF(INDEX($AM$2:$BM$1001,MATCH(ROWS($AF$2:AF74),$AF$2:$AF$1001,0),MATCH(COLUMNS($AM$1006:BL1006),$AM$1006:$BM$1006,0)), HYPERLINK("#",""), HYPERLINK(CONCATENATE("#metadata!", ADDRESS(INDEX($AH$2:$AH$1001,MATCH(ROWS($AF$2:AF74),$AF$2:$AF$1001,0),0), INDEX($AM$1004:$BM$1004,1,MATCH(COLUMNS($AM$1006:BL1006),$AM$1006:$BM$1006,0)))),"Fix")))</f>
        <v xml:space="preserve"> </v>
      </c>
      <c r="AB74" s="4" t="str">
        <f ca="1">IF(OR(INDEX($AG$2:$AG$1001,MATCH(ROWS($AF$2:AF74),$AF$2:$AF$1001,0),1)&gt;=100000,INDEX($AM$1005:$BM$1005,1,MATCH(COLUMNS($AM$1006:BM1006),$AM$1006:$BM$1006,0))&gt;=100000), " ",IF(INDEX($AM$2:$BM$1001,MATCH(ROWS($AF$2:AF74),$AF$2:$AF$1001,0),MATCH(COLUMNS($AM$1006:BM1006),$AM$1006:$BM$1006,0)), HYPERLINK("#",""), HYPERLINK(CONCATENATE("#metadata!", ADDRESS(INDEX($AH$2:$AH$1001,MATCH(ROWS($AF$2:AF74),$AF$2:$AF$1001,0),0), INDEX($AM$1004:$BM$1004,1,MATCH(COLUMNS($AM$1006:BM1006),$AM$1006:$BM$1006,0)))),"Fix")))</f>
        <v xml:space="preserve"> </v>
      </c>
      <c r="AF74">
        <v>73</v>
      </c>
      <c r="AG74">
        <v>100074</v>
      </c>
      <c r="AH74">
        <v>74</v>
      </c>
      <c r="AI74" t="b">
        <f t="shared" si="1"/>
        <v>1</v>
      </c>
      <c r="AJ74" t="b">
        <f>COUNTBLANK(metadata!B74:AB74)=COLUMNS(metadata!B74:AB74)</f>
        <v>1</v>
      </c>
      <c r="AK74" t="str">
        <v/>
      </c>
      <c r="AM74" t="b">
        <f ca="1">AND(IF(metadata!B74="",FALSE,TRUE),COUNTIF(metadata!B:B, metadata!B74) = 1,NOT(ISERROR(SUMPRODUCT(SEARCH(MID(metadata!B74,ROW(INDIRECT("1:"&amp;LEN(metadata!B74))), 1),"0123456789abcdefghijklmnopqrstuvwxyzABCDEFGHIJKLMNOPQRSTUVWXYZ.")))))</f>
        <v>0</v>
      </c>
      <c r="AN74" t="b">
        <f ca="1">OR(AND(IF(metadata!C74="",FALSE,TRUE),OR(EXACT(metadata!C74,"missing: not collected"),EXACT(metadata!C74,"missing: not provided"),EXACT(metadata!C74,"missing: restricted access"))),AND(IF(metadata!C74="",FALSE,TRUE),AND(AND(IFERROR(INT(LEFT(metadata!C74,4))&gt;1900,FALSE),IFERROR(INT(LEFT(metadata!C74,4))&lt;=YEAR(NOW()),FALSE)), OR(MID(metadata!C74,5,1)="", AND(AND(MID(metadata!C74,5,1)="-",IFERROR(INT(MID(metadata!C74,6,1))&gt;=0,FALSE),IFERROR(INT(MID(metadata!C74,6,1))&lt;=1,FALSE),NOT(MID(metadata!C74,7,1)=""),IFERROR(INT(MID(metadata!C74,6,2))&gt;=1,FALSE),IFERROR(INT(MID(metadata!C74,6,2))&lt;=12,FALSE)), OR(MID(metadata!C74,8,1)="", AND(AND(MID(metadata!C74,8,1)="-",IFERROR(INT(MID(metadata!C74,9,1))&gt;=0,FALSE),IFERROR(INT(MID(metadata!C74,9,1))&lt;=3,FALSE),NOT(MID(metadata!C74,10,1)=""),IFERROR(INT(MID(metadata!C74,9,2))&gt;=1,FALSE),IFERROR(INT(MID(metadata!C74,9,2))&lt;=31,FALSE)), OR(MID(metadata!C74,11,1)="", AND(AND(MID(metadata!C74,11,1)=" ",IFERROR(INT(MID(metadata!C74,12,1))&gt;=0,FALSE),IFERROR(INT(MID(metadata!C74,12,1))&lt;=2,FALSE),NOT(MID(metadata!C74,13,1)=""),IFERROR(INT(MID(metadata!C74,12,2))&gt;=0,FALSE),IFERROR(INT(MID(metadata!C74,12,2))&lt;=23,FALSE)), OR(MID(metadata!C74,14,1)="", AND(AND(MID(metadata!C74,14,1)=":",IFERROR(INT(MID(metadata!C74,15,1))&gt;=0,FALSE),IFERROR(INT(MID(metadata!C74,15,1))&lt;=5,FALSE),NOT(MID(metadata!C74,16,1)=""),IFERROR(INT(MID(metadata!C74,15,2))&gt;=0,FALSE),IFERROR(INT(MID(metadata!C74,15,2))&lt;=59,FALSE)), OR(MID(metadata!C74,17,1)="", AND(AND(MID(metadata!C74,17,1)=":",IFERROR(INT(MID(metadata!C74,18,1))&gt;=0,FALSE),IFERROR(INT(MID(metadata!C74,18,1))&lt;=5,FALSE),NOT(MID(metadata!C74,19,1)=""),IFERROR(INT(MID(metadata!C74,18,2))&gt;=0,FALSE),IFERROR(INT(MID(metadata!C74,18,2))&lt;=59,FALSE)), LEN(metadata!C74)&lt;=19)))))))))))))</f>
        <v>0</v>
      </c>
      <c r="AO74" t="b">
        <f>AND(IF(metadata!D74="",FALSE,TRUE),EXACT(metadata!D74,"Not applicable"))</f>
        <v>0</v>
      </c>
      <c r="AP74" t="b">
        <f>IF(metadata!E74="",FALSE,TRUE)</f>
        <v>0</v>
      </c>
      <c r="AQ74" t="b">
        <f>OR(AND(IF(metadata!F74="",FALSE,TRUE),OR(EXACT(metadata!F74,"missing: not collected"),EXACT(metadata!F74,"missing: not provided"))),AND(IF(metadata!F74="",FALSE,TRUE),OR(EXACT(metadata!F74,"TRUE"),EXACT(metadata!F74,"FALSE"))))</f>
        <v>0</v>
      </c>
      <c r="AR74" t="b">
        <f>OR(AND(IF(metadata!G74="",FALSE,TRUE),OR(EXACT(metadata!G74,"missing: not collected"),EXACT(metadata!G74,"missing: not provided"),EXACT(metadata!G74,"missing: restricted access"))),AND(IF(metadata!G74="",FALSE,ISNUMBER(VALUE(metadata!G74))),metadata!G74&gt;=-413))</f>
        <v>0</v>
      </c>
      <c r="AS74" t="b">
        <f>AND(IF(metadata!H74="",FALSE,TRUE),EXACT(metadata!H74,"meters"))</f>
        <v>0</v>
      </c>
      <c r="AT74" t="b">
        <f>AND(IF(metadata!I74="",FALSE,TRUE),OR(EXACT(metadata!I74,"Host-associated"),EXACT(metadata!I74,"Free-living")))</f>
        <v>0</v>
      </c>
      <c r="AU74" t="b">
        <f>AND(IF(metadata!J74="",FALSE,TRUE),OR(EXACT(metadata!J74,"Animal"),EXACT(metadata!J74,"Fungus"),EXACT(metadata!J74,"Plant"),EXACT(metadata!J74,"Saline"),EXACT(metadata!J74,"Non-saline")))</f>
        <v>0</v>
      </c>
      <c r="AV74" t="b">
        <f>AND(IF(metadata!K74="",FALSE,TRUE),OR(EXACT(metadata!K74,"Plant secretion"),EXACT(metadata!K74,"Plant rhizosphere"),EXACT(metadata!K74,"Plant surface"),EXACT(metadata!K74,"Plant corpus"),EXACT(metadata!K74,"Fungus surface"),EXACT(metadata!K74,"Fungus corpus"),EXACT(metadata!K74,"Animal surface"),EXACT(metadata!K74,"Animal proximal gut"),EXACT(metadata!K74,"Animal corpus"),EXACT(metadata!K74,"Animal distal gut"),EXACT(metadata!K74,"Animal secretion"),EXACT(metadata!K74,"Sub-surface (non-saline)"),EXACT(metadata!K74,"Surface (non-saline)"),EXACT(metadata!K74,"Water (non-saline)"),EXACT(metadata!K74,"Soil (non-saline)"),EXACT(metadata!K74,"Aerosol (non-saline)"),EXACT(metadata!K74,"Sediment (non-saline)"),EXACT(metadata!K74,"Surface (saline)"),EXACT(metadata!K74,"Water (saline)"),EXACT(metadata!K74,"Hypersaline (saline)"),EXACT(metadata!K74,"Aerosol (saline)"),EXACT(metadata!K74,"Sediment (saline)")))</f>
        <v>0</v>
      </c>
      <c r="AW74" t="b">
        <f>IF(metadata!L74="",FALSE,TRUE)</f>
        <v>0</v>
      </c>
      <c r="AX74" t="b">
        <f>IF(metadata!M74="",FALSE,TRUE)</f>
        <v>0</v>
      </c>
      <c r="AY74" t="b">
        <f>IF(metadata!N74="",FALSE,TRUE)</f>
        <v>0</v>
      </c>
      <c r="AZ74" t="b">
        <f>OR(AND(IF(metadata!O74="",FALSE,TRUE),OR(EXACT(metadata!O74,"missing: not collected"),EXACT(metadata!O74,"missing: not provided"),EXACT(metadata!O74,"missing: restricted access"))),AND(IF(metadata!O74="",FALSE,TRUE),OR(EXACT(metadata!O74,"air"),EXACT(metadata!O74,"built environment"),EXACT(metadata!O74,"host-associated"),EXACT(metadata!O74,"human-associated"),EXACT(metadata!O74,"human-skin"),EXACT(metadata!O74,"human-oral"),EXACT(metadata!O74,"human-gut"),EXACT(metadata!O74,"human-vaginal"),EXACT(metadata!O74,"microbial mat/biofilm"),EXACT(metadata!O74,"misc environment"),EXACT(metadata!O74,"plant-associated"),EXACT(metadata!O74,"sediment"),EXACT(metadata!O74,"soil"),EXACT(metadata!O74,"wastewater/sludge"),EXACT(metadata!O74,"water"))))</f>
        <v>0</v>
      </c>
      <c r="BA74" t="b">
        <f>IF(metadata!P74="",FALSE,TRUE)</f>
        <v>0</v>
      </c>
      <c r="BB74" t="b">
        <f>IF(metadata!Q74="",FALSE,TRUE)</f>
        <v>0</v>
      </c>
      <c r="BC74" t="b">
        <f>OR(AND(IF(metadata!R74="",FALSE,TRUE),OR(EXACT(metadata!R74,"missing: not collected"),EXACT(metadata!R74,"missing: not provided"),EXACT(metadata!R74,"missing: restricted access"))),AND(IF(metadata!R74="",FALSE,ISNUMBER(VALUE(metadata!R74))),metadata!R74&gt;=-90,metadata!R74&lt;=90))</f>
        <v>0</v>
      </c>
      <c r="BD74" t="b">
        <f>AND(IF(metadata!S74="",FALSE,TRUE),EXACT(metadata!S74,"Decimal degrees"))</f>
        <v>0</v>
      </c>
      <c r="BE74" t="b">
        <f>OR(AND(IF(metadata!T74="",FALSE,TRUE),OR(EXACT(metadata!T74,"missing: not collected"),EXACT(metadata!T74,"missing: not provided"),EXACT(metadata!T74,"missing: restricted access"))),AND(IF(metadata!T74="",FALSE,ISNUMBER(VALUE(metadata!T74))),metadata!T74&gt;=-180,metadata!T74&lt;=180))</f>
        <v>0</v>
      </c>
      <c r="BF74" t="b">
        <f>AND(IF(metadata!U74="",FALSE,TRUE),EXACT(metadata!U74,"Decimal degrees"))</f>
        <v>0</v>
      </c>
      <c r="BG74" t="b">
        <f>IF(metadata!V74="",FALSE,TRUE)</f>
        <v>0</v>
      </c>
      <c r="BH74" t="b">
        <f>OR(AND(IF(metadata!W74="",FALSE,TRUE),OR(EXACT(metadata!W74,"missing: not collected"),EXACT(metadata!W74,"missing: not provided"),EXACT(metadata!W74,"missing: restricted access"))),AND(IF(metadata!W74="",FALSE,TRUE),OR(EXACT(metadata!W74,"TRUE"),EXACT(metadata!W74,"FALSE"))))</f>
        <v>0</v>
      </c>
      <c r="BI74" t="b">
        <f>AND(IF(metadata!X74="",FALSE,TRUE),EXACT(metadata!X74,"other"))</f>
        <v>0</v>
      </c>
      <c r="BJ74" t="b">
        <f>IF(metadata!Y74="",FALSE,TRUE)</f>
        <v>0</v>
      </c>
      <c r="BK74" t="b">
        <f>OR(AND(IF(metadata!Z74="",FALSE,TRUE),OR(EXACT(metadata!Z74,"missing: not collected"),EXACT(metadata!Z74,"missing: not provided"))),AND(IF(metadata!Z74="",FALSE,IF(ISERROR(INT(metadata!Z74)),FALSE,INT(metadata!Z74)=metadata!Z74)),metadata!Z74&gt;0))</f>
        <v>0</v>
      </c>
      <c r="BL74" t="b">
        <f>AND(IF(metadata!AA74="",FALSE,TRUE),EXACT(metadata!AA74,"Not applicable"))</f>
        <v>0</v>
      </c>
      <c r="BM74" t="b">
        <f>IF(metadata!AB74="",FALSE,TRUE)</f>
        <v>0</v>
      </c>
    </row>
    <row r="75" spans="1:65" x14ac:dyDescent="0.2">
      <c r="A75" s="5" t="str">
        <f ca="1">IF(B75=" "," ",HYPERLINK(CONCATENATE("#metadata!",ADDRESS(INDEX($AH$2:$AH$1001,MATCH(ROWS($AF$2:AF75),$AF$2:$AF$1001,0),0),1)),INDEX($AK$2:$AK$1001,MATCH(ROWS($AF$2:AF75),$AF$2:$AF$1001,0),0)))</f>
        <v xml:space="preserve"> </v>
      </c>
      <c r="B75" s="4" t="str">
        <f ca="1">IF(OR(INDEX($AG$2:$AG$1001,MATCH(ROWS($AF$2:AF75),$AF$2:$AF$1001,0),1)&gt;=100000,INDEX($AM$1005:$BM$1005,1,MATCH(COLUMNS($AM$1006:AM1006),$AM$1006:$BM$1006,0))&gt;=100000), " ",IF(INDEX($AM$2:$BM$1001,MATCH(ROWS($AF$2:AF75),$AF$2:$AF$1001,0),MATCH(COLUMNS($AM$1006:AM1006),$AM$1006:$BM$1006,0)), HYPERLINK("#",""), HYPERLINK(CONCATENATE("#metadata!", ADDRESS(INDEX($AH$2:$AH$1001,MATCH(ROWS($AF$2:AF75),$AF$2:$AF$1001,0),0), INDEX($AM$1004:$BM$1004,1,MATCH(COLUMNS($AM$1006:AM1006),$AM$1006:$BM$1006,0)))),"Fix")))</f>
        <v xml:space="preserve"> </v>
      </c>
      <c r="C75" s="4" t="str">
        <f ca="1">IF(OR(INDEX($AG$2:$AG$1001,MATCH(ROWS($AF$2:AF75),$AF$2:$AF$1001,0),1)&gt;=100000,INDEX($AM$1005:$BM$1005,1,MATCH(COLUMNS($AM$1006:AN1006),$AM$1006:$BM$1006,0))&gt;=100000), " ",IF(INDEX($AM$2:$BM$1001,MATCH(ROWS($AF$2:AF75),$AF$2:$AF$1001,0),MATCH(COLUMNS($AM$1006:AN1006),$AM$1006:$BM$1006,0)), HYPERLINK("#",""), HYPERLINK(CONCATENATE("#metadata!", ADDRESS(INDEX($AH$2:$AH$1001,MATCH(ROWS($AF$2:AF75),$AF$2:$AF$1001,0),0), INDEX($AM$1004:$BM$1004,1,MATCH(COLUMNS($AM$1006:AN1006),$AM$1006:$BM$1006,0)))),"Fix")))</f>
        <v xml:space="preserve"> </v>
      </c>
      <c r="D75" s="4" t="str">
        <f ca="1">IF(OR(INDEX($AG$2:$AG$1001,MATCH(ROWS($AF$2:AF75),$AF$2:$AF$1001,0),1)&gt;=100000,INDEX($AM$1005:$BM$1005,1,MATCH(COLUMNS($AM$1006:AO1006),$AM$1006:$BM$1006,0))&gt;=100000), " ",IF(INDEX($AM$2:$BM$1001,MATCH(ROWS($AF$2:AF75),$AF$2:$AF$1001,0),MATCH(COLUMNS($AM$1006:AO1006),$AM$1006:$BM$1006,0)), HYPERLINK("#",""), HYPERLINK(CONCATENATE("#metadata!", ADDRESS(INDEX($AH$2:$AH$1001,MATCH(ROWS($AF$2:AF75),$AF$2:$AF$1001,0),0), INDEX($AM$1004:$BM$1004,1,MATCH(COLUMNS($AM$1006:AO1006),$AM$1006:$BM$1006,0)))),"Fix")))</f>
        <v xml:space="preserve"> </v>
      </c>
      <c r="E75" s="4" t="str">
        <f ca="1">IF(OR(INDEX($AG$2:$AG$1001,MATCH(ROWS($AF$2:AF75),$AF$2:$AF$1001,0),1)&gt;=100000,INDEX($AM$1005:$BM$1005,1,MATCH(COLUMNS($AM$1006:AP1006),$AM$1006:$BM$1006,0))&gt;=100000), " ",IF(INDEX($AM$2:$BM$1001,MATCH(ROWS($AF$2:AF75),$AF$2:$AF$1001,0),MATCH(COLUMNS($AM$1006:AP1006),$AM$1006:$BM$1006,0)), HYPERLINK("#",""), HYPERLINK(CONCATENATE("#metadata!", ADDRESS(INDEX($AH$2:$AH$1001,MATCH(ROWS($AF$2:AF75),$AF$2:$AF$1001,0),0), INDEX($AM$1004:$BM$1004,1,MATCH(COLUMNS($AM$1006:AP1006),$AM$1006:$BM$1006,0)))),"Fix")))</f>
        <v xml:space="preserve"> </v>
      </c>
      <c r="F75" s="4" t="str">
        <f ca="1">IF(OR(INDEX($AG$2:$AG$1001,MATCH(ROWS($AF$2:AF75),$AF$2:$AF$1001,0),1)&gt;=100000,INDEX($AM$1005:$BM$1005,1,MATCH(COLUMNS($AM$1006:AQ1006),$AM$1006:$BM$1006,0))&gt;=100000), " ",IF(INDEX($AM$2:$BM$1001,MATCH(ROWS($AF$2:AF75),$AF$2:$AF$1001,0),MATCH(COLUMNS($AM$1006:AQ1006),$AM$1006:$BM$1006,0)), HYPERLINK("#",""), HYPERLINK(CONCATENATE("#metadata!", ADDRESS(INDEX($AH$2:$AH$1001,MATCH(ROWS($AF$2:AF75),$AF$2:$AF$1001,0),0), INDEX($AM$1004:$BM$1004,1,MATCH(COLUMNS($AM$1006:AQ1006),$AM$1006:$BM$1006,0)))),"Fix")))</f>
        <v xml:space="preserve"> </v>
      </c>
      <c r="G75" s="4" t="str">
        <f ca="1">IF(OR(INDEX($AG$2:$AG$1001,MATCH(ROWS($AF$2:AF75),$AF$2:$AF$1001,0),1)&gt;=100000,INDEX($AM$1005:$BM$1005,1,MATCH(COLUMNS($AM$1006:AR1006),$AM$1006:$BM$1006,0))&gt;=100000), " ",IF(INDEX($AM$2:$BM$1001,MATCH(ROWS($AF$2:AF75),$AF$2:$AF$1001,0),MATCH(COLUMNS($AM$1006:AR1006),$AM$1006:$BM$1006,0)), HYPERLINK("#",""), HYPERLINK(CONCATENATE("#metadata!", ADDRESS(INDEX($AH$2:$AH$1001,MATCH(ROWS($AF$2:AF75),$AF$2:$AF$1001,0),0), INDEX($AM$1004:$BM$1004,1,MATCH(COLUMNS($AM$1006:AR1006),$AM$1006:$BM$1006,0)))),"Fix")))</f>
        <v xml:space="preserve"> </v>
      </c>
      <c r="H75" s="4" t="str">
        <f ca="1">IF(OR(INDEX($AG$2:$AG$1001,MATCH(ROWS($AF$2:AF75),$AF$2:$AF$1001,0),1)&gt;=100000,INDEX($AM$1005:$BM$1005,1,MATCH(COLUMNS($AM$1006:AS1006),$AM$1006:$BM$1006,0))&gt;=100000), " ",IF(INDEX($AM$2:$BM$1001,MATCH(ROWS($AF$2:AF75),$AF$2:$AF$1001,0),MATCH(COLUMNS($AM$1006:AS1006),$AM$1006:$BM$1006,0)), HYPERLINK("#",""), HYPERLINK(CONCATENATE("#metadata!", ADDRESS(INDEX($AH$2:$AH$1001,MATCH(ROWS($AF$2:AF75),$AF$2:$AF$1001,0),0), INDEX($AM$1004:$BM$1004,1,MATCH(COLUMNS($AM$1006:AS1006),$AM$1006:$BM$1006,0)))),"Fix")))</f>
        <v xml:space="preserve"> </v>
      </c>
      <c r="I75" s="4" t="str">
        <f ca="1">IF(OR(INDEX($AG$2:$AG$1001,MATCH(ROWS($AF$2:AF75),$AF$2:$AF$1001,0),1)&gt;=100000,INDEX($AM$1005:$BM$1005,1,MATCH(COLUMNS($AM$1006:AT1006),$AM$1006:$BM$1006,0))&gt;=100000), " ",IF(INDEX($AM$2:$BM$1001,MATCH(ROWS($AF$2:AF75),$AF$2:$AF$1001,0),MATCH(COLUMNS($AM$1006:AT1006),$AM$1006:$BM$1006,0)), HYPERLINK("#",""), HYPERLINK(CONCATENATE("#metadata!", ADDRESS(INDEX($AH$2:$AH$1001,MATCH(ROWS($AF$2:AF75),$AF$2:$AF$1001,0),0), INDEX($AM$1004:$BM$1004,1,MATCH(COLUMNS($AM$1006:AT1006),$AM$1006:$BM$1006,0)))),"Fix")))</f>
        <v xml:space="preserve"> </v>
      </c>
      <c r="J75" s="4" t="str">
        <f ca="1">IF(OR(INDEX($AG$2:$AG$1001,MATCH(ROWS($AF$2:AF75),$AF$2:$AF$1001,0),1)&gt;=100000,INDEX($AM$1005:$BM$1005,1,MATCH(COLUMNS($AM$1006:AU1006),$AM$1006:$BM$1006,0))&gt;=100000), " ",IF(INDEX($AM$2:$BM$1001,MATCH(ROWS($AF$2:AF75),$AF$2:$AF$1001,0),MATCH(COLUMNS($AM$1006:AU1006),$AM$1006:$BM$1006,0)), HYPERLINK("#",""), HYPERLINK(CONCATENATE("#metadata!", ADDRESS(INDEX($AH$2:$AH$1001,MATCH(ROWS($AF$2:AF75),$AF$2:$AF$1001,0),0), INDEX($AM$1004:$BM$1004,1,MATCH(COLUMNS($AM$1006:AU1006),$AM$1006:$BM$1006,0)))),"Fix")))</f>
        <v xml:space="preserve"> </v>
      </c>
      <c r="K75" s="4" t="str">
        <f ca="1">IF(OR(INDEX($AG$2:$AG$1001,MATCH(ROWS($AF$2:AF75),$AF$2:$AF$1001,0),1)&gt;=100000,INDEX($AM$1005:$BM$1005,1,MATCH(COLUMNS($AM$1006:AV1006),$AM$1006:$BM$1006,0))&gt;=100000), " ",IF(INDEX($AM$2:$BM$1001,MATCH(ROWS($AF$2:AF75),$AF$2:$AF$1001,0),MATCH(COLUMNS($AM$1006:AV1006),$AM$1006:$BM$1006,0)), HYPERLINK("#",""), HYPERLINK(CONCATENATE("#metadata!", ADDRESS(INDEX($AH$2:$AH$1001,MATCH(ROWS($AF$2:AF75),$AF$2:$AF$1001,0),0), INDEX($AM$1004:$BM$1004,1,MATCH(COLUMNS($AM$1006:AV1006),$AM$1006:$BM$1006,0)))),"Fix")))</f>
        <v xml:space="preserve"> </v>
      </c>
      <c r="L75" s="4" t="str">
        <f ca="1">IF(OR(INDEX($AG$2:$AG$1001,MATCH(ROWS($AF$2:AF75),$AF$2:$AF$1001,0),1)&gt;=100000,INDEX($AM$1005:$BM$1005,1,MATCH(COLUMNS($AM$1006:AW1006),$AM$1006:$BM$1006,0))&gt;=100000), " ",IF(INDEX($AM$2:$BM$1001,MATCH(ROWS($AF$2:AF75),$AF$2:$AF$1001,0),MATCH(COLUMNS($AM$1006:AW1006),$AM$1006:$BM$1006,0)), HYPERLINK("#",""), HYPERLINK(CONCATENATE("#metadata!", ADDRESS(INDEX($AH$2:$AH$1001,MATCH(ROWS($AF$2:AF75),$AF$2:$AF$1001,0),0), INDEX($AM$1004:$BM$1004,1,MATCH(COLUMNS($AM$1006:AW1006),$AM$1006:$BM$1006,0)))),"Fix")))</f>
        <v xml:space="preserve"> </v>
      </c>
      <c r="M75" s="4" t="str">
        <f ca="1">IF(OR(INDEX($AG$2:$AG$1001,MATCH(ROWS($AF$2:AF75),$AF$2:$AF$1001,0),1)&gt;=100000,INDEX($AM$1005:$BM$1005,1,MATCH(COLUMNS($AM$1006:AX1006),$AM$1006:$BM$1006,0))&gt;=100000), " ",IF(INDEX($AM$2:$BM$1001,MATCH(ROWS($AF$2:AF75),$AF$2:$AF$1001,0),MATCH(COLUMNS($AM$1006:AX1006),$AM$1006:$BM$1006,0)), HYPERLINK("#",""), HYPERLINK(CONCATENATE("#metadata!", ADDRESS(INDEX($AH$2:$AH$1001,MATCH(ROWS($AF$2:AF75),$AF$2:$AF$1001,0),0), INDEX($AM$1004:$BM$1004,1,MATCH(COLUMNS($AM$1006:AX1006),$AM$1006:$BM$1006,0)))),"Fix")))</f>
        <v xml:space="preserve"> </v>
      </c>
      <c r="N75" s="4" t="str">
        <f ca="1">IF(OR(INDEX($AG$2:$AG$1001,MATCH(ROWS($AF$2:AF75),$AF$2:$AF$1001,0),1)&gt;=100000,INDEX($AM$1005:$BM$1005,1,MATCH(COLUMNS($AM$1006:AY1006),$AM$1006:$BM$1006,0))&gt;=100000), " ",IF(INDEX($AM$2:$BM$1001,MATCH(ROWS($AF$2:AF75),$AF$2:$AF$1001,0),MATCH(COLUMNS($AM$1006:AY1006),$AM$1006:$BM$1006,0)), HYPERLINK("#",""), HYPERLINK(CONCATENATE("#metadata!", ADDRESS(INDEX($AH$2:$AH$1001,MATCH(ROWS($AF$2:AF75),$AF$2:$AF$1001,0),0), INDEX($AM$1004:$BM$1004,1,MATCH(COLUMNS($AM$1006:AY1006),$AM$1006:$BM$1006,0)))),"Fix")))</f>
        <v xml:space="preserve"> </v>
      </c>
      <c r="O75" s="4" t="str">
        <f ca="1">IF(OR(INDEX($AG$2:$AG$1001,MATCH(ROWS($AF$2:AF75),$AF$2:$AF$1001,0),1)&gt;=100000,INDEX($AM$1005:$BM$1005,1,MATCH(COLUMNS($AM$1006:AZ1006),$AM$1006:$BM$1006,0))&gt;=100000), " ",IF(INDEX($AM$2:$BM$1001,MATCH(ROWS($AF$2:AF75),$AF$2:$AF$1001,0),MATCH(COLUMNS($AM$1006:AZ1006),$AM$1006:$BM$1006,0)), HYPERLINK("#",""), HYPERLINK(CONCATENATE("#metadata!", ADDRESS(INDEX($AH$2:$AH$1001,MATCH(ROWS($AF$2:AF75),$AF$2:$AF$1001,0),0), INDEX($AM$1004:$BM$1004,1,MATCH(COLUMNS($AM$1006:AZ1006),$AM$1006:$BM$1006,0)))),"Fix")))</f>
        <v xml:space="preserve"> </v>
      </c>
      <c r="P75" s="4" t="str">
        <f ca="1">IF(OR(INDEX($AG$2:$AG$1001,MATCH(ROWS($AF$2:AF75),$AF$2:$AF$1001,0),1)&gt;=100000,INDEX($AM$1005:$BM$1005,1,MATCH(COLUMNS($AM$1006:BA1006),$AM$1006:$BM$1006,0))&gt;=100000), " ",IF(INDEX($AM$2:$BM$1001,MATCH(ROWS($AF$2:AF75),$AF$2:$AF$1001,0),MATCH(COLUMNS($AM$1006:BA1006),$AM$1006:$BM$1006,0)), HYPERLINK("#",""), HYPERLINK(CONCATENATE("#metadata!", ADDRESS(INDEX($AH$2:$AH$1001,MATCH(ROWS($AF$2:AF75),$AF$2:$AF$1001,0),0), INDEX($AM$1004:$BM$1004,1,MATCH(COLUMNS($AM$1006:BA1006),$AM$1006:$BM$1006,0)))),"Fix")))</f>
        <v xml:space="preserve"> </v>
      </c>
      <c r="Q75" s="4" t="str">
        <f ca="1">IF(OR(INDEX($AG$2:$AG$1001,MATCH(ROWS($AF$2:AF75),$AF$2:$AF$1001,0),1)&gt;=100000,INDEX($AM$1005:$BM$1005,1,MATCH(COLUMNS($AM$1006:BB1006),$AM$1006:$BM$1006,0))&gt;=100000), " ",IF(INDEX($AM$2:$BM$1001,MATCH(ROWS($AF$2:AF75),$AF$2:$AF$1001,0),MATCH(COLUMNS($AM$1006:BB1006),$AM$1006:$BM$1006,0)), HYPERLINK("#",""), HYPERLINK(CONCATENATE("#metadata!", ADDRESS(INDEX($AH$2:$AH$1001,MATCH(ROWS($AF$2:AF75),$AF$2:$AF$1001,0),0), INDEX($AM$1004:$BM$1004,1,MATCH(COLUMNS($AM$1006:BB1006),$AM$1006:$BM$1006,0)))),"Fix")))</f>
        <v xml:space="preserve"> </v>
      </c>
      <c r="R75" s="4" t="str">
        <f ca="1">IF(OR(INDEX($AG$2:$AG$1001,MATCH(ROWS($AF$2:AF75),$AF$2:$AF$1001,0),1)&gt;=100000,INDEX($AM$1005:$BM$1005,1,MATCH(COLUMNS($AM$1006:BC1006),$AM$1006:$BM$1006,0))&gt;=100000), " ",IF(INDEX($AM$2:$BM$1001,MATCH(ROWS($AF$2:AF75),$AF$2:$AF$1001,0),MATCH(COLUMNS($AM$1006:BC1006),$AM$1006:$BM$1006,0)), HYPERLINK("#",""), HYPERLINK(CONCATENATE("#metadata!", ADDRESS(INDEX($AH$2:$AH$1001,MATCH(ROWS($AF$2:AF75),$AF$2:$AF$1001,0),0), INDEX($AM$1004:$BM$1004,1,MATCH(COLUMNS($AM$1006:BC1006),$AM$1006:$BM$1006,0)))),"Fix")))</f>
        <v xml:space="preserve"> </v>
      </c>
      <c r="S75" s="4" t="str">
        <f ca="1">IF(OR(INDEX($AG$2:$AG$1001,MATCH(ROWS($AF$2:AF75),$AF$2:$AF$1001,0),1)&gt;=100000,INDEX($AM$1005:$BM$1005,1,MATCH(COLUMNS($AM$1006:BD1006),$AM$1006:$BM$1006,0))&gt;=100000), " ",IF(INDEX($AM$2:$BM$1001,MATCH(ROWS($AF$2:AF75),$AF$2:$AF$1001,0),MATCH(COLUMNS($AM$1006:BD1006),$AM$1006:$BM$1006,0)), HYPERLINK("#",""), HYPERLINK(CONCATENATE("#metadata!", ADDRESS(INDEX($AH$2:$AH$1001,MATCH(ROWS($AF$2:AF75),$AF$2:$AF$1001,0),0), INDEX($AM$1004:$BM$1004,1,MATCH(COLUMNS($AM$1006:BD1006),$AM$1006:$BM$1006,0)))),"Fix")))</f>
        <v xml:space="preserve"> </v>
      </c>
      <c r="T75" s="4" t="str">
        <f ca="1">IF(OR(INDEX($AG$2:$AG$1001,MATCH(ROWS($AF$2:AF75),$AF$2:$AF$1001,0),1)&gt;=100000,INDEX($AM$1005:$BM$1005,1,MATCH(COLUMNS($AM$1006:BE1006),$AM$1006:$BM$1006,0))&gt;=100000), " ",IF(INDEX($AM$2:$BM$1001,MATCH(ROWS($AF$2:AF75),$AF$2:$AF$1001,0),MATCH(COLUMNS($AM$1006:BE1006),$AM$1006:$BM$1006,0)), HYPERLINK("#",""), HYPERLINK(CONCATENATE("#metadata!", ADDRESS(INDEX($AH$2:$AH$1001,MATCH(ROWS($AF$2:AF75),$AF$2:$AF$1001,0),0), INDEX($AM$1004:$BM$1004,1,MATCH(COLUMNS($AM$1006:BE1006),$AM$1006:$BM$1006,0)))),"Fix")))</f>
        <v xml:space="preserve"> </v>
      </c>
      <c r="U75" s="4" t="str">
        <f ca="1">IF(OR(INDEX($AG$2:$AG$1001,MATCH(ROWS($AF$2:AF75),$AF$2:$AF$1001,0),1)&gt;=100000,INDEX($AM$1005:$BM$1005,1,MATCH(COLUMNS($AM$1006:BF1006),$AM$1006:$BM$1006,0))&gt;=100000), " ",IF(INDEX($AM$2:$BM$1001,MATCH(ROWS($AF$2:AF75),$AF$2:$AF$1001,0),MATCH(COLUMNS($AM$1006:BF1006),$AM$1006:$BM$1006,0)), HYPERLINK("#",""), HYPERLINK(CONCATENATE("#metadata!", ADDRESS(INDEX($AH$2:$AH$1001,MATCH(ROWS($AF$2:AF75),$AF$2:$AF$1001,0),0), INDEX($AM$1004:$BM$1004,1,MATCH(COLUMNS($AM$1006:BF1006),$AM$1006:$BM$1006,0)))),"Fix")))</f>
        <v xml:space="preserve"> </v>
      </c>
      <c r="V75" s="4" t="str">
        <f ca="1">IF(OR(INDEX($AG$2:$AG$1001,MATCH(ROWS($AF$2:AF75),$AF$2:$AF$1001,0),1)&gt;=100000,INDEX($AM$1005:$BM$1005,1,MATCH(COLUMNS($AM$1006:BG1006),$AM$1006:$BM$1006,0))&gt;=100000), " ",IF(INDEX($AM$2:$BM$1001,MATCH(ROWS($AF$2:AF75),$AF$2:$AF$1001,0),MATCH(COLUMNS($AM$1006:BG1006),$AM$1006:$BM$1006,0)), HYPERLINK("#",""), HYPERLINK(CONCATENATE("#metadata!", ADDRESS(INDEX($AH$2:$AH$1001,MATCH(ROWS($AF$2:AF75),$AF$2:$AF$1001,0),0), INDEX($AM$1004:$BM$1004,1,MATCH(COLUMNS($AM$1006:BG1006),$AM$1006:$BM$1006,0)))),"Fix")))</f>
        <v xml:space="preserve"> </v>
      </c>
      <c r="W75" s="4" t="str">
        <f ca="1">IF(OR(INDEX($AG$2:$AG$1001,MATCH(ROWS($AF$2:AF75),$AF$2:$AF$1001,0),1)&gt;=100000,INDEX($AM$1005:$BM$1005,1,MATCH(COLUMNS($AM$1006:BH1006),$AM$1006:$BM$1006,0))&gt;=100000), " ",IF(INDEX($AM$2:$BM$1001,MATCH(ROWS($AF$2:AF75),$AF$2:$AF$1001,0),MATCH(COLUMNS($AM$1006:BH1006),$AM$1006:$BM$1006,0)), HYPERLINK("#",""), HYPERLINK(CONCATENATE("#metadata!", ADDRESS(INDEX($AH$2:$AH$1001,MATCH(ROWS($AF$2:AF75),$AF$2:$AF$1001,0),0), INDEX($AM$1004:$BM$1004,1,MATCH(COLUMNS($AM$1006:BH1006),$AM$1006:$BM$1006,0)))),"Fix")))</f>
        <v xml:space="preserve"> </v>
      </c>
      <c r="X75" s="4" t="str">
        <f ca="1">IF(OR(INDEX($AG$2:$AG$1001,MATCH(ROWS($AF$2:AF75),$AF$2:$AF$1001,0),1)&gt;=100000,INDEX($AM$1005:$BM$1005,1,MATCH(COLUMNS($AM$1006:BI1006),$AM$1006:$BM$1006,0))&gt;=100000), " ",IF(INDEX($AM$2:$BM$1001,MATCH(ROWS($AF$2:AF75),$AF$2:$AF$1001,0),MATCH(COLUMNS($AM$1006:BI1006),$AM$1006:$BM$1006,0)), HYPERLINK("#",""), HYPERLINK(CONCATENATE("#metadata!", ADDRESS(INDEX($AH$2:$AH$1001,MATCH(ROWS($AF$2:AF75),$AF$2:$AF$1001,0),0), INDEX($AM$1004:$BM$1004,1,MATCH(COLUMNS($AM$1006:BI1006),$AM$1006:$BM$1006,0)))),"Fix")))</f>
        <v xml:space="preserve"> </v>
      </c>
      <c r="Y75" s="4" t="str">
        <f ca="1">IF(OR(INDEX($AG$2:$AG$1001,MATCH(ROWS($AF$2:AF75),$AF$2:$AF$1001,0),1)&gt;=100000,INDEX($AM$1005:$BM$1005,1,MATCH(COLUMNS($AM$1006:BJ1006),$AM$1006:$BM$1006,0))&gt;=100000), " ",IF(INDEX($AM$2:$BM$1001,MATCH(ROWS($AF$2:AF75),$AF$2:$AF$1001,0),MATCH(COLUMNS($AM$1006:BJ1006),$AM$1006:$BM$1006,0)), HYPERLINK("#",""), HYPERLINK(CONCATENATE("#metadata!", ADDRESS(INDEX($AH$2:$AH$1001,MATCH(ROWS($AF$2:AF75),$AF$2:$AF$1001,0),0), INDEX($AM$1004:$BM$1004,1,MATCH(COLUMNS($AM$1006:BJ1006),$AM$1006:$BM$1006,0)))),"Fix")))</f>
        <v xml:space="preserve"> </v>
      </c>
      <c r="Z75" s="4" t="str">
        <f ca="1">IF(OR(INDEX($AG$2:$AG$1001,MATCH(ROWS($AF$2:AF75),$AF$2:$AF$1001,0),1)&gt;=100000,INDEX($AM$1005:$BM$1005,1,MATCH(COLUMNS($AM$1006:BK1006),$AM$1006:$BM$1006,0))&gt;=100000), " ",IF(INDEX($AM$2:$BM$1001,MATCH(ROWS($AF$2:AF75),$AF$2:$AF$1001,0),MATCH(COLUMNS($AM$1006:BK1006),$AM$1006:$BM$1006,0)), HYPERLINK("#",""), HYPERLINK(CONCATENATE("#metadata!", ADDRESS(INDEX($AH$2:$AH$1001,MATCH(ROWS($AF$2:AF75),$AF$2:$AF$1001,0),0), INDEX($AM$1004:$BM$1004,1,MATCH(COLUMNS($AM$1006:BK1006),$AM$1006:$BM$1006,0)))),"Fix")))</f>
        <v xml:space="preserve"> </v>
      </c>
      <c r="AA75" s="4" t="str">
        <f ca="1">IF(OR(INDEX($AG$2:$AG$1001,MATCH(ROWS($AF$2:AF75),$AF$2:$AF$1001,0),1)&gt;=100000,INDEX($AM$1005:$BM$1005,1,MATCH(COLUMNS($AM$1006:BL1006),$AM$1006:$BM$1006,0))&gt;=100000), " ",IF(INDEX($AM$2:$BM$1001,MATCH(ROWS($AF$2:AF75),$AF$2:$AF$1001,0),MATCH(COLUMNS($AM$1006:BL1006),$AM$1006:$BM$1006,0)), HYPERLINK("#",""), HYPERLINK(CONCATENATE("#metadata!", ADDRESS(INDEX($AH$2:$AH$1001,MATCH(ROWS($AF$2:AF75),$AF$2:$AF$1001,0),0), INDEX($AM$1004:$BM$1004,1,MATCH(COLUMNS($AM$1006:BL1006),$AM$1006:$BM$1006,0)))),"Fix")))</f>
        <v xml:space="preserve"> </v>
      </c>
      <c r="AB75" s="4" t="str">
        <f ca="1">IF(OR(INDEX($AG$2:$AG$1001,MATCH(ROWS($AF$2:AF75),$AF$2:$AF$1001,0),1)&gt;=100000,INDEX($AM$1005:$BM$1005,1,MATCH(COLUMNS($AM$1006:BM1006),$AM$1006:$BM$1006,0))&gt;=100000), " ",IF(INDEX($AM$2:$BM$1001,MATCH(ROWS($AF$2:AF75),$AF$2:$AF$1001,0),MATCH(COLUMNS($AM$1006:BM1006),$AM$1006:$BM$1006,0)), HYPERLINK("#",""), HYPERLINK(CONCATENATE("#metadata!", ADDRESS(INDEX($AH$2:$AH$1001,MATCH(ROWS($AF$2:AF75),$AF$2:$AF$1001,0),0), INDEX($AM$1004:$BM$1004,1,MATCH(COLUMNS($AM$1006:BM1006),$AM$1006:$BM$1006,0)))),"Fix")))</f>
        <v xml:space="preserve"> </v>
      </c>
      <c r="AF75">
        <v>74</v>
      </c>
      <c r="AG75">
        <v>100075</v>
      </c>
      <c r="AH75">
        <v>75</v>
      </c>
      <c r="AI75" t="b">
        <f t="shared" si="1"/>
        <v>1</v>
      </c>
      <c r="AJ75" t="b">
        <f>COUNTBLANK(metadata!B75:AB75)=COLUMNS(metadata!B75:AB75)</f>
        <v>1</v>
      </c>
      <c r="AK75" t="str">
        <v/>
      </c>
      <c r="AM75" t="b">
        <f ca="1">AND(IF(metadata!B75="",FALSE,TRUE),COUNTIF(metadata!B:B, metadata!B75) = 1,NOT(ISERROR(SUMPRODUCT(SEARCH(MID(metadata!B75,ROW(INDIRECT("1:"&amp;LEN(metadata!B75))), 1),"0123456789abcdefghijklmnopqrstuvwxyzABCDEFGHIJKLMNOPQRSTUVWXYZ.")))))</f>
        <v>0</v>
      </c>
      <c r="AN75" t="b">
        <f ca="1">OR(AND(IF(metadata!C75="",FALSE,TRUE),OR(EXACT(metadata!C75,"missing: not collected"),EXACT(metadata!C75,"missing: not provided"),EXACT(metadata!C75,"missing: restricted access"))),AND(IF(metadata!C75="",FALSE,TRUE),AND(AND(IFERROR(INT(LEFT(metadata!C75,4))&gt;1900,FALSE),IFERROR(INT(LEFT(metadata!C75,4))&lt;=YEAR(NOW()),FALSE)), OR(MID(metadata!C75,5,1)="", AND(AND(MID(metadata!C75,5,1)="-",IFERROR(INT(MID(metadata!C75,6,1))&gt;=0,FALSE),IFERROR(INT(MID(metadata!C75,6,1))&lt;=1,FALSE),NOT(MID(metadata!C75,7,1)=""),IFERROR(INT(MID(metadata!C75,6,2))&gt;=1,FALSE),IFERROR(INT(MID(metadata!C75,6,2))&lt;=12,FALSE)), OR(MID(metadata!C75,8,1)="", AND(AND(MID(metadata!C75,8,1)="-",IFERROR(INT(MID(metadata!C75,9,1))&gt;=0,FALSE),IFERROR(INT(MID(metadata!C75,9,1))&lt;=3,FALSE),NOT(MID(metadata!C75,10,1)=""),IFERROR(INT(MID(metadata!C75,9,2))&gt;=1,FALSE),IFERROR(INT(MID(metadata!C75,9,2))&lt;=31,FALSE)), OR(MID(metadata!C75,11,1)="", AND(AND(MID(metadata!C75,11,1)=" ",IFERROR(INT(MID(metadata!C75,12,1))&gt;=0,FALSE),IFERROR(INT(MID(metadata!C75,12,1))&lt;=2,FALSE),NOT(MID(metadata!C75,13,1)=""),IFERROR(INT(MID(metadata!C75,12,2))&gt;=0,FALSE),IFERROR(INT(MID(metadata!C75,12,2))&lt;=23,FALSE)), OR(MID(metadata!C75,14,1)="", AND(AND(MID(metadata!C75,14,1)=":",IFERROR(INT(MID(metadata!C75,15,1))&gt;=0,FALSE),IFERROR(INT(MID(metadata!C75,15,1))&lt;=5,FALSE),NOT(MID(metadata!C75,16,1)=""),IFERROR(INT(MID(metadata!C75,15,2))&gt;=0,FALSE),IFERROR(INT(MID(metadata!C75,15,2))&lt;=59,FALSE)), OR(MID(metadata!C75,17,1)="", AND(AND(MID(metadata!C75,17,1)=":",IFERROR(INT(MID(metadata!C75,18,1))&gt;=0,FALSE),IFERROR(INT(MID(metadata!C75,18,1))&lt;=5,FALSE),NOT(MID(metadata!C75,19,1)=""),IFERROR(INT(MID(metadata!C75,18,2))&gt;=0,FALSE),IFERROR(INT(MID(metadata!C75,18,2))&lt;=59,FALSE)), LEN(metadata!C75)&lt;=19)))))))))))))</f>
        <v>0</v>
      </c>
      <c r="AO75" t="b">
        <f>AND(IF(metadata!D75="",FALSE,TRUE),EXACT(metadata!D75,"Not applicable"))</f>
        <v>0</v>
      </c>
      <c r="AP75" t="b">
        <f>IF(metadata!E75="",FALSE,TRUE)</f>
        <v>0</v>
      </c>
      <c r="AQ75" t="b">
        <f>OR(AND(IF(metadata!F75="",FALSE,TRUE),OR(EXACT(metadata!F75,"missing: not collected"),EXACT(metadata!F75,"missing: not provided"))),AND(IF(metadata!F75="",FALSE,TRUE),OR(EXACT(metadata!F75,"TRUE"),EXACT(metadata!F75,"FALSE"))))</f>
        <v>0</v>
      </c>
      <c r="AR75" t="b">
        <f>OR(AND(IF(metadata!G75="",FALSE,TRUE),OR(EXACT(metadata!G75,"missing: not collected"),EXACT(metadata!G75,"missing: not provided"),EXACT(metadata!G75,"missing: restricted access"))),AND(IF(metadata!G75="",FALSE,ISNUMBER(VALUE(metadata!G75))),metadata!G75&gt;=-413))</f>
        <v>0</v>
      </c>
      <c r="AS75" t="b">
        <f>AND(IF(metadata!H75="",FALSE,TRUE),EXACT(metadata!H75,"meters"))</f>
        <v>0</v>
      </c>
      <c r="AT75" t="b">
        <f>AND(IF(metadata!I75="",FALSE,TRUE),OR(EXACT(metadata!I75,"Host-associated"),EXACT(metadata!I75,"Free-living")))</f>
        <v>0</v>
      </c>
      <c r="AU75" t="b">
        <f>AND(IF(metadata!J75="",FALSE,TRUE),OR(EXACT(metadata!J75,"Animal"),EXACT(metadata!J75,"Fungus"),EXACT(metadata!J75,"Plant"),EXACT(metadata!J75,"Saline"),EXACT(metadata!J75,"Non-saline")))</f>
        <v>0</v>
      </c>
      <c r="AV75" t="b">
        <f>AND(IF(metadata!K75="",FALSE,TRUE),OR(EXACT(metadata!K75,"Plant secretion"),EXACT(metadata!K75,"Plant rhizosphere"),EXACT(metadata!K75,"Plant surface"),EXACT(metadata!K75,"Plant corpus"),EXACT(metadata!K75,"Fungus surface"),EXACT(metadata!K75,"Fungus corpus"),EXACT(metadata!K75,"Animal surface"),EXACT(metadata!K75,"Animal proximal gut"),EXACT(metadata!K75,"Animal corpus"),EXACT(metadata!K75,"Animal distal gut"),EXACT(metadata!K75,"Animal secretion"),EXACT(metadata!K75,"Sub-surface (non-saline)"),EXACT(metadata!K75,"Surface (non-saline)"),EXACT(metadata!K75,"Water (non-saline)"),EXACT(metadata!K75,"Soil (non-saline)"),EXACT(metadata!K75,"Aerosol (non-saline)"),EXACT(metadata!K75,"Sediment (non-saline)"),EXACT(metadata!K75,"Surface (saline)"),EXACT(metadata!K75,"Water (saline)"),EXACT(metadata!K75,"Hypersaline (saline)"),EXACT(metadata!K75,"Aerosol (saline)"),EXACT(metadata!K75,"Sediment (saline)")))</f>
        <v>0</v>
      </c>
      <c r="AW75" t="b">
        <f>IF(metadata!L75="",FALSE,TRUE)</f>
        <v>0</v>
      </c>
      <c r="AX75" t="b">
        <f>IF(metadata!M75="",FALSE,TRUE)</f>
        <v>0</v>
      </c>
      <c r="AY75" t="b">
        <f>IF(metadata!N75="",FALSE,TRUE)</f>
        <v>0</v>
      </c>
      <c r="AZ75" t="b">
        <f>OR(AND(IF(metadata!O75="",FALSE,TRUE),OR(EXACT(metadata!O75,"missing: not collected"),EXACT(metadata!O75,"missing: not provided"),EXACT(metadata!O75,"missing: restricted access"))),AND(IF(metadata!O75="",FALSE,TRUE),OR(EXACT(metadata!O75,"air"),EXACT(metadata!O75,"built environment"),EXACT(metadata!O75,"host-associated"),EXACT(metadata!O75,"human-associated"),EXACT(metadata!O75,"human-skin"),EXACT(metadata!O75,"human-oral"),EXACT(metadata!O75,"human-gut"),EXACT(metadata!O75,"human-vaginal"),EXACT(metadata!O75,"microbial mat/biofilm"),EXACT(metadata!O75,"misc environment"),EXACT(metadata!O75,"plant-associated"),EXACT(metadata!O75,"sediment"),EXACT(metadata!O75,"soil"),EXACT(metadata!O75,"wastewater/sludge"),EXACT(metadata!O75,"water"))))</f>
        <v>0</v>
      </c>
      <c r="BA75" t="b">
        <f>IF(metadata!P75="",FALSE,TRUE)</f>
        <v>0</v>
      </c>
      <c r="BB75" t="b">
        <f>IF(metadata!Q75="",FALSE,TRUE)</f>
        <v>0</v>
      </c>
      <c r="BC75" t="b">
        <f>OR(AND(IF(metadata!R75="",FALSE,TRUE),OR(EXACT(metadata!R75,"missing: not collected"),EXACT(metadata!R75,"missing: not provided"),EXACT(metadata!R75,"missing: restricted access"))),AND(IF(metadata!R75="",FALSE,ISNUMBER(VALUE(metadata!R75))),metadata!R75&gt;=-90,metadata!R75&lt;=90))</f>
        <v>0</v>
      </c>
      <c r="BD75" t="b">
        <f>AND(IF(metadata!S75="",FALSE,TRUE),EXACT(metadata!S75,"Decimal degrees"))</f>
        <v>0</v>
      </c>
      <c r="BE75" t="b">
        <f>OR(AND(IF(metadata!T75="",FALSE,TRUE),OR(EXACT(metadata!T75,"missing: not collected"),EXACT(metadata!T75,"missing: not provided"),EXACT(metadata!T75,"missing: restricted access"))),AND(IF(metadata!T75="",FALSE,ISNUMBER(VALUE(metadata!T75))),metadata!T75&gt;=-180,metadata!T75&lt;=180))</f>
        <v>0</v>
      </c>
      <c r="BF75" t="b">
        <f>AND(IF(metadata!U75="",FALSE,TRUE),EXACT(metadata!U75,"Decimal degrees"))</f>
        <v>0</v>
      </c>
      <c r="BG75" t="b">
        <f>IF(metadata!V75="",FALSE,TRUE)</f>
        <v>0</v>
      </c>
      <c r="BH75" t="b">
        <f>OR(AND(IF(metadata!W75="",FALSE,TRUE),OR(EXACT(metadata!W75,"missing: not collected"),EXACT(metadata!W75,"missing: not provided"),EXACT(metadata!W75,"missing: restricted access"))),AND(IF(metadata!W75="",FALSE,TRUE),OR(EXACT(metadata!W75,"TRUE"),EXACT(metadata!W75,"FALSE"))))</f>
        <v>0</v>
      </c>
      <c r="BI75" t="b">
        <f>AND(IF(metadata!X75="",FALSE,TRUE),EXACT(metadata!X75,"other"))</f>
        <v>0</v>
      </c>
      <c r="BJ75" t="b">
        <f>IF(metadata!Y75="",FALSE,TRUE)</f>
        <v>0</v>
      </c>
      <c r="BK75" t="b">
        <f>OR(AND(IF(metadata!Z75="",FALSE,TRUE),OR(EXACT(metadata!Z75,"missing: not collected"),EXACT(metadata!Z75,"missing: not provided"))),AND(IF(metadata!Z75="",FALSE,IF(ISERROR(INT(metadata!Z75)),FALSE,INT(metadata!Z75)=metadata!Z75)),metadata!Z75&gt;0))</f>
        <v>0</v>
      </c>
      <c r="BL75" t="b">
        <f>AND(IF(metadata!AA75="",FALSE,TRUE),EXACT(metadata!AA75,"Not applicable"))</f>
        <v>0</v>
      </c>
      <c r="BM75" t="b">
        <f>IF(metadata!AB75="",FALSE,TRUE)</f>
        <v>0</v>
      </c>
    </row>
    <row r="76" spans="1:65" x14ac:dyDescent="0.2">
      <c r="A76" s="5" t="str">
        <f ca="1">IF(B76=" "," ",HYPERLINK(CONCATENATE("#metadata!",ADDRESS(INDEX($AH$2:$AH$1001,MATCH(ROWS($AF$2:AF76),$AF$2:$AF$1001,0),0),1)),INDEX($AK$2:$AK$1001,MATCH(ROWS($AF$2:AF76),$AF$2:$AF$1001,0),0)))</f>
        <v xml:space="preserve"> </v>
      </c>
      <c r="B76" s="4" t="str">
        <f ca="1">IF(OR(INDEX($AG$2:$AG$1001,MATCH(ROWS($AF$2:AF76),$AF$2:$AF$1001,0),1)&gt;=100000,INDEX($AM$1005:$BM$1005,1,MATCH(COLUMNS($AM$1006:AM1006),$AM$1006:$BM$1006,0))&gt;=100000), " ",IF(INDEX($AM$2:$BM$1001,MATCH(ROWS($AF$2:AF76),$AF$2:$AF$1001,0),MATCH(COLUMNS($AM$1006:AM1006),$AM$1006:$BM$1006,0)), HYPERLINK("#",""), HYPERLINK(CONCATENATE("#metadata!", ADDRESS(INDEX($AH$2:$AH$1001,MATCH(ROWS($AF$2:AF76),$AF$2:$AF$1001,0),0), INDEX($AM$1004:$BM$1004,1,MATCH(COLUMNS($AM$1006:AM1006),$AM$1006:$BM$1006,0)))),"Fix")))</f>
        <v xml:space="preserve"> </v>
      </c>
      <c r="C76" s="4" t="str">
        <f ca="1">IF(OR(INDEX($AG$2:$AG$1001,MATCH(ROWS($AF$2:AF76),$AF$2:$AF$1001,0),1)&gt;=100000,INDEX($AM$1005:$BM$1005,1,MATCH(COLUMNS($AM$1006:AN1006),$AM$1006:$BM$1006,0))&gt;=100000), " ",IF(INDEX($AM$2:$BM$1001,MATCH(ROWS($AF$2:AF76),$AF$2:$AF$1001,0),MATCH(COLUMNS($AM$1006:AN1006),$AM$1006:$BM$1006,0)), HYPERLINK("#",""), HYPERLINK(CONCATENATE("#metadata!", ADDRESS(INDEX($AH$2:$AH$1001,MATCH(ROWS($AF$2:AF76),$AF$2:$AF$1001,0),0), INDEX($AM$1004:$BM$1004,1,MATCH(COLUMNS($AM$1006:AN1006),$AM$1006:$BM$1006,0)))),"Fix")))</f>
        <v xml:space="preserve"> </v>
      </c>
      <c r="D76" s="4" t="str">
        <f ca="1">IF(OR(INDEX($AG$2:$AG$1001,MATCH(ROWS($AF$2:AF76),$AF$2:$AF$1001,0),1)&gt;=100000,INDEX($AM$1005:$BM$1005,1,MATCH(COLUMNS($AM$1006:AO1006),$AM$1006:$BM$1006,0))&gt;=100000), " ",IF(INDEX($AM$2:$BM$1001,MATCH(ROWS($AF$2:AF76),$AF$2:$AF$1001,0),MATCH(COLUMNS($AM$1006:AO1006),$AM$1006:$BM$1006,0)), HYPERLINK("#",""), HYPERLINK(CONCATENATE("#metadata!", ADDRESS(INDEX($AH$2:$AH$1001,MATCH(ROWS($AF$2:AF76),$AF$2:$AF$1001,0),0), INDEX($AM$1004:$BM$1004,1,MATCH(COLUMNS($AM$1006:AO1006),$AM$1006:$BM$1006,0)))),"Fix")))</f>
        <v xml:space="preserve"> </v>
      </c>
      <c r="E76" s="4" t="str">
        <f ca="1">IF(OR(INDEX($AG$2:$AG$1001,MATCH(ROWS($AF$2:AF76),$AF$2:$AF$1001,0),1)&gt;=100000,INDEX($AM$1005:$BM$1005,1,MATCH(COLUMNS($AM$1006:AP1006),$AM$1006:$BM$1006,0))&gt;=100000), " ",IF(INDEX($AM$2:$BM$1001,MATCH(ROWS($AF$2:AF76),$AF$2:$AF$1001,0),MATCH(COLUMNS($AM$1006:AP1006),$AM$1006:$BM$1006,0)), HYPERLINK("#",""), HYPERLINK(CONCATENATE("#metadata!", ADDRESS(INDEX($AH$2:$AH$1001,MATCH(ROWS($AF$2:AF76),$AF$2:$AF$1001,0),0), INDEX($AM$1004:$BM$1004,1,MATCH(COLUMNS($AM$1006:AP1006),$AM$1006:$BM$1006,0)))),"Fix")))</f>
        <v xml:space="preserve"> </v>
      </c>
      <c r="F76" s="4" t="str">
        <f ca="1">IF(OR(INDEX($AG$2:$AG$1001,MATCH(ROWS($AF$2:AF76),$AF$2:$AF$1001,0),1)&gt;=100000,INDEX($AM$1005:$BM$1005,1,MATCH(COLUMNS($AM$1006:AQ1006),$AM$1006:$BM$1006,0))&gt;=100000), " ",IF(INDEX($AM$2:$BM$1001,MATCH(ROWS($AF$2:AF76),$AF$2:$AF$1001,0),MATCH(COLUMNS($AM$1006:AQ1006),$AM$1006:$BM$1006,0)), HYPERLINK("#",""), HYPERLINK(CONCATENATE("#metadata!", ADDRESS(INDEX($AH$2:$AH$1001,MATCH(ROWS($AF$2:AF76),$AF$2:$AF$1001,0),0), INDEX($AM$1004:$BM$1004,1,MATCH(COLUMNS($AM$1006:AQ1006),$AM$1006:$BM$1006,0)))),"Fix")))</f>
        <v xml:space="preserve"> </v>
      </c>
      <c r="G76" s="4" t="str">
        <f ca="1">IF(OR(INDEX($AG$2:$AG$1001,MATCH(ROWS($AF$2:AF76),$AF$2:$AF$1001,0),1)&gt;=100000,INDEX($AM$1005:$BM$1005,1,MATCH(COLUMNS($AM$1006:AR1006),$AM$1006:$BM$1006,0))&gt;=100000), " ",IF(INDEX($AM$2:$BM$1001,MATCH(ROWS($AF$2:AF76),$AF$2:$AF$1001,0),MATCH(COLUMNS($AM$1006:AR1006),$AM$1006:$BM$1006,0)), HYPERLINK("#",""), HYPERLINK(CONCATENATE("#metadata!", ADDRESS(INDEX($AH$2:$AH$1001,MATCH(ROWS($AF$2:AF76),$AF$2:$AF$1001,0),0), INDEX($AM$1004:$BM$1004,1,MATCH(COLUMNS($AM$1006:AR1006),$AM$1006:$BM$1006,0)))),"Fix")))</f>
        <v xml:space="preserve"> </v>
      </c>
      <c r="H76" s="4" t="str">
        <f ca="1">IF(OR(INDEX($AG$2:$AG$1001,MATCH(ROWS($AF$2:AF76),$AF$2:$AF$1001,0),1)&gt;=100000,INDEX($AM$1005:$BM$1005,1,MATCH(COLUMNS($AM$1006:AS1006),$AM$1006:$BM$1006,0))&gt;=100000), " ",IF(INDEX($AM$2:$BM$1001,MATCH(ROWS($AF$2:AF76),$AF$2:$AF$1001,0),MATCH(COLUMNS($AM$1006:AS1006),$AM$1006:$BM$1006,0)), HYPERLINK("#",""), HYPERLINK(CONCATENATE("#metadata!", ADDRESS(INDEX($AH$2:$AH$1001,MATCH(ROWS($AF$2:AF76),$AF$2:$AF$1001,0),0), INDEX($AM$1004:$BM$1004,1,MATCH(COLUMNS($AM$1006:AS1006),$AM$1006:$BM$1006,0)))),"Fix")))</f>
        <v xml:space="preserve"> </v>
      </c>
      <c r="I76" s="4" t="str">
        <f ca="1">IF(OR(INDEX($AG$2:$AG$1001,MATCH(ROWS($AF$2:AF76),$AF$2:$AF$1001,0),1)&gt;=100000,INDEX($AM$1005:$BM$1005,1,MATCH(COLUMNS($AM$1006:AT1006),$AM$1006:$BM$1006,0))&gt;=100000), " ",IF(INDEX($AM$2:$BM$1001,MATCH(ROWS($AF$2:AF76),$AF$2:$AF$1001,0),MATCH(COLUMNS($AM$1006:AT1006),$AM$1006:$BM$1006,0)), HYPERLINK("#",""), HYPERLINK(CONCATENATE("#metadata!", ADDRESS(INDEX($AH$2:$AH$1001,MATCH(ROWS($AF$2:AF76),$AF$2:$AF$1001,0),0), INDEX($AM$1004:$BM$1004,1,MATCH(COLUMNS($AM$1006:AT1006),$AM$1006:$BM$1006,0)))),"Fix")))</f>
        <v xml:space="preserve"> </v>
      </c>
      <c r="J76" s="4" t="str">
        <f ca="1">IF(OR(INDEX($AG$2:$AG$1001,MATCH(ROWS($AF$2:AF76),$AF$2:$AF$1001,0),1)&gt;=100000,INDEX($AM$1005:$BM$1005,1,MATCH(COLUMNS($AM$1006:AU1006),$AM$1006:$BM$1006,0))&gt;=100000), " ",IF(INDEX($AM$2:$BM$1001,MATCH(ROWS($AF$2:AF76),$AF$2:$AF$1001,0),MATCH(COLUMNS($AM$1006:AU1006),$AM$1006:$BM$1006,0)), HYPERLINK("#",""), HYPERLINK(CONCATENATE("#metadata!", ADDRESS(INDEX($AH$2:$AH$1001,MATCH(ROWS($AF$2:AF76),$AF$2:$AF$1001,0),0), INDEX($AM$1004:$BM$1004,1,MATCH(COLUMNS($AM$1006:AU1006),$AM$1006:$BM$1006,0)))),"Fix")))</f>
        <v xml:space="preserve"> </v>
      </c>
      <c r="K76" s="4" t="str">
        <f ca="1">IF(OR(INDEX($AG$2:$AG$1001,MATCH(ROWS($AF$2:AF76),$AF$2:$AF$1001,0),1)&gt;=100000,INDEX($AM$1005:$BM$1005,1,MATCH(COLUMNS($AM$1006:AV1006),$AM$1006:$BM$1006,0))&gt;=100000), " ",IF(INDEX($AM$2:$BM$1001,MATCH(ROWS($AF$2:AF76),$AF$2:$AF$1001,0),MATCH(COLUMNS($AM$1006:AV1006),$AM$1006:$BM$1006,0)), HYPERLINK("#",""), HYPERLINK(CONCATENATE("#metadata!", ADDRESS(INDEX($AH$2:$AH$1001,MATCH(ROWS($AF$2:AF76),$AF$2:$AF$1001,0),0), INDEX($AM$1004:$BM$1004,1,MATCH(COLUMNS($AM$1006:AV1006),$AM$1006:$BM$1006,0)))),"Fix")))</f>
        <v xml:space="preserve"> </v>
      </c>
      <c r="L76" s="4" t="str">
        <f ca="1">IF(OR(INDEX($AG$2:$AG$1001,MATCH(ROWS($AF$2:AF76),$AF$2:$AF$1001,0),1)&gt;=100000,INDEX($AM$1005:$BM$1005,1,MATCH(COLUMNS($AM$1006:AW1006),$AM$1006:$BM$1006,0))&gt;=100000), " ",IF(INDEX($AM$2:$BM$1001,MATCH(ROWS($AF$2:AF76),$AF$2:$AF$1001,0),MATCH(COLUMNS($AM$1006:AW1006),$AM$1006:$BM$1006,0)), HYPERLINK("#",""), HYPERLINK(CONCATENATE("#metadata!", ADDRESS(INDEX($AH$2:$AH$1001,MATCH(ROWS($AF$2:AF76),$AF$2:$AF$1001,0),0), INDEX($AM$1004:$BM$1004,1,MATCH(COLUMNS($AM$1006:AW1006),$AM$1006:$BM$1006,0)))),"Fix")))</f>
        <v xml:space="preserve"> </v>
      </c>
      <c r="M76" s="4" t="str">
        <f ca="1">IF(OR(INDEX($AG$2:$AG$1001,MATCH(ROWS($AF$2:AF76),$AF$2:$AF$1001,0),1)&gt;=100000,INDEX($AM$1005:$BM$1005,1,MATCH(COLUMNS($AM$1006:AX1006),$AM$1006:$BM$1006,0))&gt;=100000), " ",IF(INDEX($AM$2:$BM$1001,MATCH(ROWS($AF$2:AF76),$AF$2:$AF$1001,0),MATCH(COLUMNS($AM$1006:AX1006),$AM$1006:$BM$1006,0)), HYPERLINK("#",""), HYPERLINK(CONCATENATE("#metadata!", ADDRESS(INDEX($AH$2:$AH$1001,MATCH(ROWS($AF$2:AF76),$AF$2:$AF$1001,0),0), INDEX($AM$1004:$BM$1004,1,MATCH(COLUMNS($AM$1006:AX1006),$AM$1006:$BM$1006,0)))),"Fix")))</f>
        <v xml:space="preserve"> </v>
      </c>
      <c r="N76" s="4" t="str">
        <f ca="1">IF(OR(INDEX($AG$2:$AG$1001,MATCH(ROWS($AF$2:AF76),$AF$2:$AF$1001,0),1)&gt;=100000,INDEX($AM$1005:$BM$1005,1,MATCH(COLUMNS($AM$1006:AY1006),$AM$1006:$BM$1006,0))&gt;=100000), " ",IF(INDEX($AM$2:$BM$1001,MATCH(ROWS($AF$2:AF76),$AF$2:$AF$1001,0),MATCH(COLUMNS($AM$1006:AY1006),$AM$1006:$BM$1006,0)), HYPERLINK("#",""), HYPERLINK(CONCATENATE("#metadata!", ADDRESS(INDEX($AH$2:$AH$1001,MATCH(ROWS($AF$2:AF76),$AF$2:$AF$1001,0),0), INDEX($AM$1004:$BM$1004,1,MATCH(COLUMNS($AM$1006:AY1006),$AM$1006:$BM$1006,0)))),"Fix")))</f>
        <v xml:space="preserve"> </v>
      </c>
      <c r="O76" s="4" t="str">
        <f ca="1">IF(OR(INDEX($AG$2:$AG$1001,MATCH(ROWS($AF$2:AF76),$AF$2:$AF$1001,0),1)&gt;=100000,INDEX($AM$1005:$BM$1005,1,MATCH(COLUMNS($AM$1006:AZ1006),$AM$1006:$BM$1006,0))&gt;=100000), " ",IF(INDEX($AM$2:$BM$1001,MATCH(ROWS($AF$2:AF76),$AF$2:$AF$1001,0),MATCH(COLUMNS($AM$1006:AZ1006),$AM$1006:$BM$1006,0)), HYPERLINK("#",""), HYPERLINK(CONCATENATE("#metadata!", ADDRESS(INDEX($AH$2:$AH$1001,MATCH(ROWS($AF$2:AF76),$AF$2:$AF$1001,0),0), INDEX($AM$1004:$BM$1004,1,MATCH(COLUMNS($AM$1006:AZ1006),$AM$1006:$BM$1006,0)))),"Fix")))</f>
        <v xml:space="preserve"> </v>
      </c>
      <c r="P76" s="4" t="str">
        <f ca="1">IF(OR(INDEX($AG$2:$AG$1001,MATCH(ROWS($AF$2:AF76),$AF$2:$AF$1001,0),1)&gt;=100000,INDEX($AM$1005:$BM$1005,1,MATCH(COLUMNS($AM$1006:BA1006),$AM$1006:$BM$1006,0))&gt;=100000), " ",IF(INDEX($AM$2:$BM$1001,MATCH(ROWS($AF$2:AF76),$AF$2:$AF$1001,0),MATCH(COLUMNS($AM$1006:BA1006),$AM$1006:$BM$1006,0)), HYPERLINK("#",""), HYPERLINK(CONCATENATE("#metadata!", ADDRESS(INDEX($AH$2:$AH$1001,MATCH(ROWS($AF$2:AF76),$AF$2:$AF$1001,0),0), INDEX($AM$1004:$BM$1004,1,MATCH(COLUMNS($AM$1006:BA1006),$AM$1006:$BM$1006,0)))),"Fix")))</f>
        <v xml:space="preserve"> </v>
      </c>
      <c r="Q76" s="4" t="str">
        <f ca="1">IF(OR(INDEX($AG$2:$AG$1001,MATCH(ROWS($AF$2:AF76),$AF$2:$AF$1001,0),1)&gt;=100000,INDEX($AM$1005:$BM$1005,1,MATCH(COLUMNS($AM$1006:BB1006),$AM$1006:$BM$1006,0))&gt;=100000), " ",IF(INDEX($AM$2:$BM$1001,MATCH(ROWS($AF$2:AF76),$AF$2:$AF$1001,0),MATCH(COLUMNS($AM$1006:BB1006),$AM$1006:$BM$1006,0)), HYPERLINK("#",""), HYPERLINK(CONCATENATE("#metadata!", ADDRESS(INDEX($AH$2:$AH$1001,MATCH(ROWS($AF$2:AF76),$AF$2:$AF$1001,0),0), INDEX($AM$1004:$BM$1004,1,MATCH(COLUMNS($AM$1006:BB1006),$AM$1006:$BM$1006,0)))),"Fix")))</f>
        <v xml:space="preserve"> </v>
      </c>
      <c r="R76" s="4" t="str">
        <f ca="1">IF(OR(INDEX($AG$2:$AG$1001,MATCH(ROWS($AF$2:AF76),$AF$2:$AF$1001,0),1)&gt;=100000,INDEX($AM$1005:$BM$1005,1,MATCH(COLUMNS($AM$1006:BC1006),$AM$1006:$BM$1006,0))&gt;=100000), " ",IF(INDEX($AM$2:$BM$1001,MATCH(ROWS($AF$2:AF76),$AF$2:$AF$1001,0),MATCH(COLUMNS($AM$1006:BC1006),$AM$1006:$BM$1006,0)), HYPERLINK("#",""), HYPERLINK(CONCATENATE("#metadata!", ADDRESS(INDEX($AH$2:$AH$1001,MATCH(ROWS($AF$2:AF76),$AF$2:$AF$1001,0),0), INDEX($AM$1004:$BM$1004,1,MATCH(COLUMNS($AM$1006:BC1006),$AM$1006:$BM$1006,0)))),"Fix")))</f>
        <v xml:space="preserve"> </v>
      </c>
      <c r="S76" s="4" t="str">
        <f ca="1">IF(OR(INDEX($AG$2:$AG$1001,MATCH(ROWS($AF$2:AF76),$AF$2:$AF$1001,0),1)&gt;=100000,INDEX($AM$1005:$BM$1005,1,MATCH(COLUMNS($AM$1006:BD1006),$AM$1006:$BM$1006,0))&gt;=100000), " ",IF(INDEX($AM$2:$BM$1001,MATCH(ROWS($AF$2:AF76),$AF$2:$AF$1001,0),MATCH(COLUMNS($AM$1006:BD1006),$AM$1006:$BM$1006,0)), HYPERLINK("#",""), HYPERLINK(CONCATENATE("#metadata!", ADDRESS(INDEX($AH$2:$AH$1001,MATCH(ROWS($AF$2:AF76),$AF$2:$AF$1001,0),0), INDEX($AM$1004:$BM$1004,1,MATCH(COLUMNS($AM$1006:BD1006),$AM$1006:$BM$1006,0)))),"Fix")))</f>
        <v xml:space="preserve"> </v>
      </c>
      <c r="T76" s="4" t="str">
        <f ca="1">IF(OR(INDEX($AG$2:$AG$1001,MATCH(ROWS($AF$2:AF76),$AF$2:$AF$1001,0),1)&gt;=100000,INDEX($AM$1005:$BM$1005,1,MATCH(COLUMNS($AM$1006:BE1006),$AM$1006:$BM$1006,0))&gt;=100000), " ",IF(INDEX($AM$2:$BM$1001,MATCH(ROWS($AF$2:AF76),$AF$2:$AF$1001,0),MATCH(COLUMNS($AM$1006:BE1006),$AM$1006:$BM$1006,0)), HYPERLINK("#",""), HYPERLINK(CONCATENATE("#metadata!", ADDRESS(INDEX($AH$2:$AH$1001,MATCH(ROWS($AF$2:AF76),$AF$2:$AF$1001,0),0), INDEX($AM$1004:$BM$1004,1,MATCH(COLUMNS($AM$1006:BE1006),$AM$1006:$BM$1006,0)))),"Fix")))</f>
        <v xml:space="preserve"> </v>
      </c>
      <c r="U76" s="4" t="str">
        <f ca="1">IF(OR(INDEX($AG$2:$AG$1001,MATCH(ROWS($AF$2:AF76),$AF$2:$AF$1001,0),1)&gt;=100000,INDEX($AM$1005:$BM$1005,1,MATCH(COLUMNS($AM$1006:BF1006),$AM$1006:$BM$1006,0))&gt;=100000), " ",IF(INDEX($AM$2:$BM$1001,MATCH(ROWS($AF$2:AF76),$AF$2:$AF$1001,0),MATCH(COLUMNS($AM$1006:BF1006),$AM$1006:$BM$1006,0)), HYPERLINK("#",""), HYPERLINK(CONCATENATE("#metadata!", ADDRESS(INDEX($AH$2:$AH$1001,MATCH(ROWS($AF$2:AF76),$AF$2:$AF$1001,0),0), INDEX($AM$1004:$BM$1004,1,MATCH(COLUMNS($AM$1006:BF1006),$AM$1006:$BM$1006,0)))),"Fix")))</f>
        <v xml:space="preserve"> </v>
      </c>
      <c r="V76" s="4" t="str">
        <f ca="1">IF(OR(INDEX($AG$2:$AG$1001,MATCH(ROWS($AF$2:AF76),$AF$2:$AF$1001,0),1)&gt;=100000,INDEX($AM$1005:$BM$1005,1,MATCH(COLUMNS($AM$1006:BG1006),$AM$1006:$BM$1006,0))&gt;=100000), " ",IF(INDEX($AM$2:$BM$1001,MATCH(ROWS($AF$2:AF76),$AF$2:$AF$1001,0),MATCH(COLUMNS($AM$1006:BG1006),$AM$1006:$BM$1006,0)), HYPERLINK("#",""), HYPERLINK(CONCATENATE("#metadata!", ADDRESS(INDEX($AH$2:$AH$1001,MATCH(ROWS($AF$2:AF76),$AF$2:$AF$1001,0),0), INDEX($AM$1004:$BM$1004,1,MATCH(COLUMNS($AM$1006:BG1006),$AM$1006:$BM$1006,0)))),"Fix")))</f>
        <v xml:space="preserve"> </v>
      </c>
      <c r="W76" s="4" t="str">
        <f ca="1">IF(OR(INDEX($AG$2:$AG$1001,MATCH(ROWS($AF$2:AF76),$AF$2:$AF$1001,0),1)&gt;=100000,INDEX($AM$1005:$BM$1005,1,MATCH(COLUMNS($AM$1006:BH1006),$AM$1006:$BM$1006,0))&gt;=100000), " ",IF(INDEX($AM$2:$BM$1001,MATCH(ROWS($AF$2:AF76),$AF$2:$AF$1001,0),MATCH(COLUMNS($AM$1006:BH1006),$AM$1006:$BM$1006,0)), HYPERLINK("#",""), HYPERLINK(CONCATENATE("#metadata!", ADDRESS(INDEX($AH$2:$AH$1001,MATCH(ROWS($AF$2:AF76),$AF$2:$AF$1001,0),0), INDEX($AM$1004:$BM$1004,1,MATCH(COLUMNS($AM$1006:BH1006),$AM$1006:$BM$1006,0)))),"Fix")))</f>
        <v xml:space="preserve"> </v>
      </c>
      <c r="X76" s="4" t="str">
        <f ca="1">IF(OR(INDEX($AG$2:$AG$1001,MATCH(ROWS($AF$2:AF76),$AF$2:$AF$1001,0),1)&gt;=100000,INDEX($AM$1005:$BM$1005,1,MATCH(COLUMNS($AM$1006:BI1006),$AM$1006:$BM$1006,0))&gt;=100000), " ",IF(INDEX($AM$2:$BM$1001,MATCH(ROWS($AF$2:AF76),$AF$2:$AF$1001,0),MATCH(COLUMNS($AM$1006:BI1006),$AM$1006:$BM$1006,0)), HYPERLINK("#",""), HYPERLINK(CONCATENATE("#metadata!", ADDRESS(INDEX($AH$2:$AH$1001,MATCH(ROWS($AF$2:AF76),$AF$2:$AF$1001,0),0), INDEX($AM$1004:$BM$1004,1,MATCH(COLUMNS($AM$1006:BI1006),$AM$1006:$BM$1006,0)))),"Fix")))</f>
        <v xml:space="preserve"> </v>
      </c>
      <c r="Y76" s="4" t="str">
        <f ca="1">IF(OR(INDEX($AG$2:$AG$1001,MATCH(ROWS($AF$2:AF76),$AF$2:$AF$1001,0),1)&gt;=100000,INDEX($AM$1005:$BM$1005,1,MATCH(COLUMNS($AM$1006:BJ1006),$AM$1006:$BM$1006,0))&gt;=100000), " ",IF(INDEX($AM$2:$BM$1001,MATCH(ROWS($AF$2:AF76),$AF$2:$AF$1001,0),MATCH(COLUMNS($AM$1006:BJ1006),$AM$1006:$BM$1006,0)), HYPERLINK("#",""), HYPERLINK(CONCATENATE("#metadata!", ADDRESS(INDEX($AH$2:$AH$1001,MATCH(ROWS($AF$2:AF76),$AF$2:$AF$1001,0),0), INDEX($AM$1004:$BM$1004,1,MATCH(COLUMNS($AM$1006:BJ1006),$AM$1006:$BM$1006,0)))),"Fix")))</f>
        <v xml:space="preserve"> </v>
      </c>
      <c r="Z76" s="4" t="str">
        <f ca="1">IF(OR(INDEX($AG$2:$AG$1001,MATCH(ROWS($AF$2:AF76),$AF$2:$AF$1001,0),1)&gt;=100000,INDEX($AM$1005:$BM$1005,1,MATCH(COLUMNS($AM$1006:BK1006),$AM$1006:$BM$1006,0))&gt;=100000), " ",IF(INDEX($AM$2:$BM$1001,MATCH(ROWS($AF$2:AF76),$AF$2:$AF$1001,0),MATCH(COLUMNS($AM$1006:BK1006),$AM$1006:$BM$1006,0)), HYPERLINK("#",""), HYPERLINK(CONCATENATE("#metadata!", ADDRESS(INDEX($AH$2:$AH$1001,MATCH(ROWS($AF$2:AF76),$AF$2:$AF$1001,0),0), INDEX($AM$1004:$BM$1004,1,MATCH(COLUMNS($AM$1006:BK1006),$AM$1006:$BM$1006,0)))),"Fix")))</f>
        <v xml:space="preserve"> </v>
      </c>
      <c r="AA76" s="4" t="str">
        <f ca="1">IF(OR(INDEX($AG$2:$AG$1001,MATCH(ROWS($AF$2:AF76),$AF$2:$AF$1001,0),1)&gt;=100000,INDEX($AM$1005:$BM$1005,1,MATCH(COLUMNS($AM$1006:BL1006),$AM$1006:$BM$1006,0))&gt;=100000), " ",IF(INDEX($AM$2:$BM$1001,MATCH(ROWS($AF$2:AF76),$AF$2:$AF$1001,0),MATCH(COLUMNS($AM$1006:BL1006),$AM$1006:$BM$1006,0)), HYPERLINK("#",""), HYPERLINK(CONCATENATE("#metadata!", ADDRESS(INDEX($AH$2:$AH$1001,MATCH(ROWS($AF$2:AF76),$AF$2:$AF$1001,0),0), INDEX($AM$1004:$BM$1004,1,MATCH(COLUMNS($AM$1006:BL1006),$AM$1006:$BM$1006,0)))),"Fix")))</f>
        <v xml:space="preserve"> </v>
      </c>
      <c r="AB76" s="4" t="str">
        <f ca="1">IF(OR(INDEX($AG$2:$AG$1001,MATCH(ROWS($AF$2:AF76),$AF$2:$AF$1001,0),1)&gt;=100000,INDEX($AM$1005:$BM$1005,1,MATCH(COLUMNS($AM$1006:BM1006),$AM$1006:$BM$1006,0))&gt;=100000), " ",IF(INDEX($AM$2:$BM$1001,MATCH(ROWS($AF$2:AF76),$AF$2:$AF$1001,0),MATCH(COLUMNS($AM$1006:BM1006),$AM$1006:$BM$1006,0)), HYPERLINK("#",""), HYPERLINK(CONCATENATE("#metadata!", ADDRESS(INDEX($AH$2:$AH$1001,MATCH(ROWS($AF$2:AF76),$AF$2:$AF$1001,0),0), INDEX($AM$1004:$BM$1004,1,MATCH(COLUMNS($AM$1006:BM1006),$AM$1006:$BM$1006,0)))),"Fix")))</f>
        <v xml:space="preserve"> </v>
      </c>
      <c r="AF76">
        <v>75</v>
      </c>
      <c r="AG76">
        <v>100076</v>
      </c>
      <c r="AH76">
        <v>76</v>
      </c>
      <c r="AI76" t="b">
        <f t="shared" si="1"/>
        <v>1</v>
      </c>
      <c r="AJ76" t="b">
        <f>COUNTBLANK(metadata!B76:AB76)=COLUMNS(metadata!B76:AB76)</f>
        <v>1</v>
      </c>
      <c r="AK76" t="str">
        <v/>
      </c>
      <c r="AM76" t="b">
        <f ca="1">AND(IF(metadata!B76="",FALSE,TRUE),COUNTIF(metadata!B:B, metadata!B76) = 1,NOT(ISERROR(SUMPRODUCT(SEARCH(MID(metadata!B76,ROW(INDIRECT("1:"&amp;LEN(metadata!B76))), 1),"0123456789abcdefghijklmnopqrstuvwxyzABCDEFGHIJKLMNOPQRSTUVWXYZ.")))))</f>
        <v>0</v>
      </c>
      <c r="AN76" t="b">
        <f ca="1">OR(AND(IF(metadata!C76="",FALSE,TRUE),OR(EXACT(metadata!C76,"missing: not collected"),EXACT(metadata!C76,"missing: not provided"),EXACT(metadata!C76,"missing: restricted access"))),AND(IF(metadata!C76="",FALSE,TRUE),AND(AND(IFERROR(INT(LEFT(metadata!C76,4))&gt;1900,FALSE),IFERROR(INT(LEFT(metadata!C76,4))&lt;=YEAR(NOW()),FALSE)), OR(MID(metadata!C76,5,1)="", AND(AND(MID(metadata!C76,5,1)="-",IFERROR(INT(MID(metadata!C76,6,1))&gt;=0,FALSE),IFERROR(INT(MID(metadata!C76,6,1))&lt;=1,FALSE),NOT(MID(metadata!C76,7,1)=""),IFERROR(INT(MID(metadata!C76,6,2))&gt;=1,FALSE),IFERROR(INT(MID(metadata!C76,6,2))&lt;=12,FALSE)), OR(MID(metadata!C76,8,1)="", AND(AND(MID(metadata!C76,8,1)="-",IFERROR(INT(MID(metadata!C76,9,1))&gt;=0,FALSE),IFERROR(INT(MID(metadata!C76,9,1))&lt;=3,FALSE),NOT(MID(metadata!C76,10,1)=""),IFERROR(INT(MID(metadata!C76,9,2))&gt;=1,FALSE),IFERROR(INT(MID(metadata!C76,9,2))&lt;=31,FALSE)), OR(MID(metadata!C76,11,1)="", AND(AND(MID(metadata!C76,11,1)=" ",IFERROR(INT(MID(metadata!C76,12,1))&gt;=0,FALSE),IFERROR(INT(MID(metadata!C76,12,1))&lt;=2,FALSE),NOT(MID(metadata!C76,13,1)=""),IFERROR(INT(MID(metadata!C76,12,2))&gt;=0,FALSE),IFERROR(INT(MID(metadata!C76,12,2))&lt;=23,FALSE)), OR(MID(metadata!C76,14,1)="", AND(AND(MID(metadata!C76,14,1)=":",IFERROR(INT(MID(metadata!C76,15,1))&gt;=0,FALSE),IFERROR(INT(MID(metadata!C76,15,1))&lt;=5,FALSE),NOT(MID(metadata!C76,16,1)=""),IFERROR(INT(MID(metadata!C76,15,2))&gt;=0,FALSE),IFERROR(INT(MID(metadata!C76,15,2))&lt;=59,FALSE)), OR(MID(metadata!C76,17,1)="", AND(AND(MID(metadata!C76,17,1)=":",IFERROR(INT(MID(metadata!C76,18,1))&gt;=0,FALSE),IFERROR(INT(MID(metadata!C76,18,1))&lt;=5,FALSE),NOT(MID(metadata!C76,19,1)=""),IFERROR(INT(MID(metadata!C76,18,2))&gt;=0,FALSE),IFERROR(INT(MID(metadata!C76,18,2))&lt;=59,FALSE)), LEN(metadata!C76)&lt;=19)))))))))))))</f>
        <v>0</v>
      </c>
      <c r="AO76" t="b">
        <f>AND(IF(metadata!D76="",FALSE,TRUE),EXACT(metadata!D76,"Not applicable"))</f>
        <v>0</v>
      </c>
      <c r="AP76" t="b">
        <f>IF(metadata!E76="",FALSE,TRUE)</f>
        <v>0</v>
      </c>
      <c r="AQ76" t="b">
        <f>OR(AND(IF(metadata!F76="",FALSE,TRUE),OR(EXACT(metadata!F76,"missing: not collected"),EXACT(metadata!F76,"missing: not provided"))),AND(IF(metadata!F76="",FALSE,TRUE),OR(EXACT(metadata!F76,"TRUE"),EXACT(metadata!F76,"FALSE"))))</f>
        <v>0</v>
      </c>
      <c r="AR76" t="b">
        <f>OR(AND(IF(metadata!G76="",FALSE,TRUE),OR(EXACT(metadata!G76,"missing: not collected"),EXACT(metadata!G76,"missing: not provided"),EXACT(metadata!G76,"missing: restricted access"))),AND(IF(metadata!G76="",FALSE,ISNUMBER(VALUE(metadata!G76))),metadata!G76&gt;=-413))</f>
        <v>0</v>
      </c>
      <c r="AS76" t="b">
        <f>AND(IF(metadata!H76="",FALSE,TRUE),EXACT(metadata!H76,"meters"))</f>
        <v>0</v>
      </c>
      <c r="AT76" t="b">
        <f>AND(IF(metadata!I76="",FALSE,TRUE),OR(EXACT(metadata!I76,"Host-associated"),EXACT(metadata!I76,"Free-living")))</f>
        <v>0</v>
      </c>
      <c r="AU76" t="b">
        <f>AND(IF(metadata!J76="",FALSE,TRUE),OR(EXACT(metadata!J76,"Animal"),EXACT(metadata!J76,"Fungus"),EXACT(metadata!J76,"Plant"),EXACT(metadata!J76,"Saline"),EXACT(metadata!J76,"Non-saline")))</f>
        <v>0</v>
      </c>
      <c r="AV76" t="b">
        <f>AND(IF(metadata!K76="",FALSE,TRUE),OR(EXACT(metadata!K76,"Plant secretion"),EXACT(metadata!K76,"Plant rhizosphere"),EXACT(metadata!K76,"Plant surface"),EXACT(metadata!K76,"Plant corpus"),EXACT(metadata!K76,"Fungus surface"),EXACT(metadata!K76,"Fungus corpus"),EXACT(metadata!K76,"Animal surface"),EXACT(metadata!K76,"Animal proximal gut"),EXACT(metadata!K76,"Animal corpus"),EXACT(metadata!K76,"Animal distal gut"),EXACT(metadata!K76,"Animal secretion"),EXACT(metadata!K76,"Sub-surface (non-saline)"),EXACT(metadata!K76,"Surface (non-saline)"),EXACT(metadata!K76,"Water (non-saline)"),EXACT(metadata!K76,"Soil (non-saline)"),EXACT(metadata!K76,"Aerosol (non-saline)"),EXACT(metadata!K76,"Sediment (non-saline)"),EXACT(metadata!K76,"Surface (saline)"),EXACT(metadata!K76,"Water (saline)"),EXACT(metadata!K76,"Hypersaline (saline)"),EXACT(metadata!K76,"Aerosol (saline)"),EXACT(metadata!K76,"Sediment (saline)")))</f>
        <v>0</v>
      </c>
      <c r="AW76" t="b">
        <f>IF(metadata!L76="",FALSE,TRUE)</f>
        <v>0</v>
      </c>
      <c r="AX76" t="b">
        <f>IF(metadata!M76="",FALSE,TRUE)</f>
        <v>0</v>
      </c>
      <c r="AY76" t="b">
        <f>IF(metadata!N76="",FALSE,TRUE)</f>
        <v>0</v>
      </c>
      <c r="AZ76" t="b">
        <f>OR(AND(IF(metadata!O76="",FALSE,TRUE),OR(EXACT(metadata!O76,"missing: not collected"),EXACT(metadata!O76,"missing: not provided"),EXACT(metadata!O76,"missing: restricted access"))),AND(IF(metadata!O76="",FALSE,TRUE),OR(EXACT(metadata!O76,"air"),EXACT(metadata!O76,"built environment"),EXACT(metadata!O76,"host-associated"),EXACT(metadata!O76,"human-associated"),EXACT(metadata!O76,"human-skin"),EXACT(metadata!O76,"human-oral"),EXACT(metadata!O76,"human-gut"),EXACT(metadata!O76,"human-vaginal"),EXACT(metadata!O76,"microbial mat/biofilm"),EXACT(metadata!O76,"misc environment"),EXACT(metadata!O76,"plant-associated"),EXACT(metadata!O76,"sediment"),EXACT(metadata!O76,"soil"),EXACT(metadata!O76,"wastewater/sludge"),EXACT(metadata!O76,"water"))))</f>
        <v>0</v>
      </c>
      <c r="BA76" t="b">
        <f>IF(metadata!P76="",FALSE,TRUE)</f>
        <v>0</v>
      </c>
      <c r="BB76" t="b">
        <f>IF(metadata!Q76="",FALSE,TRUE)</f>
        <v>0</v>
      </c>
      <c r="BC76" t="b">
        <f>OR(AND(IF(metadata!R76="",FALSE,TRUE),OR(EXACT(metadata!R76,"missing: not collected"),EXACT(metadata!R76,"missing: not provided"),EXACT(metadata!R76,"missing: restricted access"))),AND(IF(metadata!R76="",FALSE,ISNUMBER(VALUE(metadata!R76))),metadata!R76&gt;=-90,metadata!R76&lt;=90))</f>
        <v>0</v>
      </c>
      <c r="BD76" t="b">
        <f>AND(IF(metadata!S76="",FALSE,TRUE),EXACT(metadata!S76,"Decimal degrees"))</f>
        <v>0</v>
      </c>
      <c r="BE76" t="b">
        <f>OR(AND(IF(metadata!T76="",FALSE,TRUE),OR(EXACT(metadata!T76,"missing: not collected"),EXACT(metadata!T76,"missing: not provided"),EXACT(metadata!T76,"missing: restricted access"))),AND(IF(metadata!T76="",FALSE,ISNUMBER(VALUE(metadata!T76))),metadata!T76&gt;=-180,metadata!T76&lt;=180))</f>
        <v>0</v>
      </c>
      <c r="BF76" t="b">
        <f>AND(IF(metadata!U76="",FALSE,TRUE),EXACT(metadata!U76,"Decimal degrees"))</f>
        <v>0</v>
      </c>
      <c r="BG76" t="b">
        <f>IF(metadata!V76="",FALSE,TRUE)</f>
        <v>0</v>
      </c>
      <c r="BH76" t="b">
        <f>OR(AND(IF(metadata!W76="",FALSE,TRUE),OR(EXACT(metadata!W76,"missing: not collected"),EXACT(metadata!W76,"missing: not provided"),EXACT(metadata!W76,"missing: restricted access"))),AND(IF(metadata!W76="",FALSE,TRUE),OR(EXACT(metadata!W76,"TRUE"),EXACT(metadata!W76,"FALSE"))))</f>
        <v>0</v>
      </c>
      <c r="BI76" t="b">
        <f>AND(IF(metadata!X76="",FALSE,TRUE),EXACT(metadata!X76,"other"))</f>
        <v>0</v>
      </c>
      <c r="BJ76" t="b">
        <f>IF(metadata!Y76="",FALSE,TRUE)</f>
        <v>0</v>
      </c>
      <c r="BK76" t="b">
        <f>OR(AND(IF(metadata!Z76="",FALSE,TRUE),OR(EXACT(metadata!Z76,"missing: not collected"),EXACT(metadata!Z76,"missing: not provided"))),AND(IF(metadata!Z76="",FALSE,IF(ISERROR(INT(metadata!Z76)),FALSE,INT(metadata!Z76)=metadata!Z76)),metadata!Z76&gt;0))</f>
        <v>0</v>
      </c>
      <c r="BL76" t="b">
        <f>AND(IF(metadata!AA76="",FALSE,TRUE),EXACT(metadata!AA76,"Not applicable"))</f>
        <v>0</v>
      </c>
      <c r="BM76" t="b">
        <f>IF(metadata!AB76="",FALSE,TRUE)</f>
        <v>0</v>
      </c>
    </row>
    <row r="77" spans="1:65" x14ac:dyDescent="0.2">
      <c r="A77" s="5" t="str">
        <f ca="1">IF(B77=" "," ",HYPERLINK(CONCATENATE("#metadata!",ADDRESS(INDEX($AH$2:$AH$1001,MATCH(ROWS($AF$2:AF77),$AF$2:$AF$1001,0),0),1)),INDEX($AK$2:$AK$1001,MATCH(ROWS($AF$2:AF77),$AF$2:$AF$1001,0),0)))</f>
        <v xml:space="preserve"> </v>
      </c>
      <c r="B77" s="4" t="str">
        <f ca="1">IF(OR(INDEX($AG$2:$AG$1001,MATCH(ROWS($AF$2:AF77),$AF$2:$AF$1001,0),1)&gt;=100000,INDEX($AM$1005:$BM$1005,1,MATCH(COLUMNS($AM$1006:AM1006),$AM$1006:$BM$1006,0))&gt;=100000), " ",IF(INDEX($AM$2:$BM$1001,MATCH(ROWS($AF$2:AF77),$AF$2:$AF$1001,0),MATCH(COLUMNS($AM$1006:AM1006),$AM$1006:$BM$1006,0)), HYPERLINK("#",""), HYPERLINK(CONCATENATE("#metadata!", ADDRESS(INDEX($AH$2:$AH$1001,MATCH(ROWS($AF$2:AF77),$AF$2:$AF$1001,0),0), INDEX($AM$1004:$BM$1004,1,MATCH(COLUMNS($AM$1006:AM1006),$AM$1006:$BM$1006,0)))),"Fix")))</f>
        <v xml:space="preserve"> </v>
      </c>
      <c r="C77" s="4" t="str">
        <f ca="1">IF(OR(INDEX($AG$2:$AG$1001,MATCH(ROWS($AF$2:AF77),$AF$2:$AF$1001,0),1)&gt;=100000,INDEX($AM$1005:$BM$1005,1,MATCH(COLUMNS($AM$1006:AN1006),$AM$1006:$BM$1006,0))&gt;=100000), " ",IF(INDEX($AM$2:$BM$1001,MATCH(ROWS($AF$2:AF77),$AF$2:$AF$1001,0),MATCH(COLUMNS($AM$1006:AN1006),$AM$1006:$BM$1006,0)), HYPERLINK("#",""), HYPERLINK(CONCATENATE("#metadata!", ADDRESS(INDEX($AH$2:$AH$1001,MATCH(ROWS($AF$2:AF77),$AF$2:$AF$1001,0),0), INDEX($AM$1004:$BM$1004,1,MATCH(COLUMNS($AM$1006:AN1006),$AM$1006:$BM$1006,0)))),"Fix")))</f>
        <v xml:space="preserve"> </v>
      </c>
      <c r="D77" s="4" t="str">
        <f ca="1">IF(OR(INDEX($AG$2:$AG$1001,MATCH(ROWS($AF$2:AF77),$AF$2:$AF$1001,0),1)&gt;=100000,INDEX($AM$1005:$BM$1005,1,MATCH(COLUMNS($AM$1006:AO1006),$AM$1006:$BM$1006,0))&gt;=100000), " ",IF(INDEX($AM$2:$BM$1001,MATCH(ROWS($AF$2:AF77),$AF$2:$AF$1001,0),MATCH(COLUMNS($AM$1006:AO1006),$AM$1006:$BM$1006,0)), HYPERLINK("#",""), HYPERLINK(CONCATENATE("#metadata!", ADDRESS(INDEX($AH$2:$AH$1001,MATCH(ROWS($AF$2:AF77),$AF$2:$AF$1001,0),0), INDEX($AM$1004:$BM$1004,1,MATCH(COLUMNS($AM$1006:AO1006),$AM$1006:$BM$1006,0)))),"Fix")))</f>
        <v xml:space="preserve"> </v>
      </c>
      <c r="E77" s="4" t="str">
        <f ca="1">IF(OR(INDEX($AG$2:$AG$1001,MATCH(ROWS($AF$2:AF77),$AF$2:$AF$1001,0),1)&gt;=100000,INDEX($AM$1005:$BM$1005,1,MATCH(COLUMNS($AM$1006:AP1006),$AM$1006:$BM$1006,0))&gt;=100000), " ",IF(INDEX($AM$2:$BM$1001,MATCH(ROWS($AF$2:AF77),$AF$2:$AF$1001,0),MATCH(COLUMNS($AM$1006:AP1006),$AM$1006:$BM$1006,0)), HYPERLINK("#",""), HYPERLINK(CONCATENATE("#metadata!", ADDRESS(INDEX($AH$2:$AH$1001,MATCH(ROWS($AF$2:AF77),$AF$2:$AF$1001,0),0), INDEX($AM$1004:$BM$1004,1,MATCH(COLUMNS($AM$1006:AP1006),$AM$1006:$BM$1006,0)))),"Fix")))</f>
        <v xml:space="preserve"> </v>
      </c>
      <c r="F77" s="4" t="str">
        <f ca="1">IF(OR(INDEX($AG$2:$AG$1001,MATCH(ROWS($AF$2:AF77),$AF$2:$AF$1001,0),1)&gt;=100000,INDEX($AM$1005:$BM$1005,1,MATCH(COLUMNS($AM$1006:AQ1006),$AM$1006:$BM$1006,0))&gt;=100000), " ",IF(INDEX($AM$2:$BM$1001,MATCH(ROWS($AF$2:AF77),$AF$2:$AF$1001,0),MATCH(COLUMNS($AM$1006:AQ1006),$AM$1006:$BM$1006,0)), HYPERLINK("#",""), HYPERLINK(CONCATENATE("#metadata!", ADDRESS(INDEX($AH$2:$AH$1001,MATCH(ROWS($AF$2:AF77),$AF$2:$AF$1001,0),0), INDEX($AM$1004:$BM$1004,1,MATCH(COLUMNS($AM$1006:AQ1006),$AM$1006:$BM$1006,0)))),"Fix")))</f>
        <v xml:space="preserve"> </v>
      </c>
      <c r="G77" s="4" t="str">
        <f ca="1">IF(OR(INDEX($AG$2:$AG$1001,MATCH(ROWS($AF$2:AF77),$AF$2:$AF$1001,0),1)&gt;=100000,INDEX($AM$1005:$BM$1005,1,MATCH(COLUMNS($AM$1006:AR1006),$AM$1006:$BM$1006,0))&gt;=100000), " ",IF(INDEX($AM$2:$BM$1001,MATCH(ROWS($AF$2:AF77),$AF$2:$AF$1001,0),MATCH(COLUMNS($AM$1006:AR1006),$AM$1006:$BM$1006,0)), HYPERLINK("#",""), HYPERLINK(CONCATENATE("#metadata!", ADDRESS(INDEX($AH$2:$AH$1001,MATCH(ROWS($AF$2:AF77),$AF$2:$AF$1001,0),0), INDEX($AM$1004:$BM$1004,1,MATCH(COLUMNS($AM$1006:AR1006),$AM$1006:$BM$1006,0)))),"Fix")))</f>
        <v xml:space="preserve"> </v>
      </c>
      <c r="H77" s="4" t="str">
        <f ca="1">IF(OR(INDEX($AG$2:$AG$1001,MATCH(ROWS($AF$2:AF77),$AF$2:$AF$1001,0),1)&gt;=100000,INDEX($AM$1005:$BM$1005,1,MATCH(COLUMNS($AM$1006:AS1006),$AM$1006:$BM$1006,0))&gt;=100000), " ",IF(INDEX($AM$2:$BM$1001,MATCH(ROWS($AF$2:AF77),$AF$2:$AF$1001,0),MATCH(COLUMNS($AM$1006:AS1006),$AM$1006:$BM$1006,0)), HYPERLINK("#",""), HYPERLINK(CONCATENATE("#metadata!", ADDRESS(INDEX($AH$2:$AH$1001,MATCH(ROWS($AF$2:AF77),$AF$2:$AF$1001,0),0), INDEX($AM$1004:$BM$1004,1,MATCH(COLUMNS($AM$1006:AS1006),$AM$1006:$BM$1006,0)))),"Fix")))</f>
        <v xml:space="preserve"> </v>
      </c>
      <c r="I77" s="4" t="str">
        <f ca="1">IF(OR(INDEX($AG$2:$AG$1001,MATCH(ROWS($AF$2:AF77),$AF$2:$AF$1001,0),1)&gt;=100000,INDEX($AM$1005:$BM$1005,1,MATCH(COLUMNS($AM$1006:AT1006),$AM$1006:$BM$1006,0))&gt;=100000), " ",IF(INDEX($AM$2:$BM$1001,MATCH(ROWS($AF$2:AF77),$AF$2:$AF$1001,0),MATCH(COLUMNS($AM$1006:AT1006),$AM$1006:$BM$1006,0)), HYPERLINK("#",""), HYPERLINK(CONCATENATE("#metadata!", ADDRESS(INDEX($AH$2:$AH$1001,MATCH(ROWS($AF$2:AF77),$AF$2:$AF$1001,0),0), INDEX($AM$1004:$BM$1004,1,MATCH(COLUMNS($AM$1006:AT1006),$AM$1006:$BM$1006,0)))),"Fix")))</f>
        <v xml:space="preserve"> </v>
      </c>
      <c r="J77" s="4" t="str">
        <f ca="1">IF(OR(INDEX($AG$2:$AG$1001,MATCH(ROWS($AF$2:AF77),$AF$2:$AF$1001,0),1)&gt;=100000,INDEX($AM$1005:$BM$1005,1,MATCH(COLUMNS($AM$1006:AU1006),$AM$1006:$BM$1006,0))&gt;=100000), " ",IF(INDEX($AM$2:$BM$1001,MATCH(ROWS($AF$2:AF77),$AF$2:$AF$1001,0),MATCH(COLUMNS($AM$1006:AU1006),$AM$1006:$BM$1006,0)), HYPERLINK("#",""), HYPERLINK(CONCATENATE("#metadata!", ADDRESS(INDEX($AH$2:$AH$1001,MATCH(ROWS($AF$2:AF77),$AF$2:$AF$1001,0),0), INDEX($AM$1004:$BM$1004,1,MATCH(COLUMNS($AM$1006:AU1006),$AM$1006:$BM$1006,0)))),"Fix")))</f>
        <v xml:space="preserve"> </v>
      </c>
      <c r="K77" s="4" t="str">
        <f ca="1">IF(OR(INDEX($AG$2:$AG$1001,MATCH(ROWS($AF$2:AF77),$AF$2:$AF$1001,0),1)&gt;=100000,INDEX($AM$1005:$BM$1005,1,MATCH(COLUMNS($AM$1006:AV1006),$AM$1006:$BM$1006,0))&gt;=100000), " ",IF(INDEX($AM$2:$BM$1001,MATCH(ROWS($AF$2:AF77),$AF$2:$AF$1001,0),MATCH(COLUMNS($AM$1006:AV1006),$AM$1006:$BM$1006,0)), HYPERLINK("#",""), HYPERLINK(CONCATENATE("#metadata!", ADDRESS(INDEX($AH$2:$AH$1001,MATCH(ROWS($AF$2:AF77),$AF$2:$AF$1001,0),0), INDEX($AM$1004:$BM$1004,1,MATCH(COLUMNS($AM$1006:AV1006),$AM$1006:$BM$1006,0)))),"Fix")))</f>
        <v xml:space="preserve"> </v>
      </c>
      <c r="L77" s="4" t="str">
        <f ca="1">IF(OR(INDEX($AG$2:$AG$1001,MATCH(ROWS($AF$2:AF77),$AF$2:$AF$1001,0),1)&gt;=100000,INDEX($AM$1005:$BM$1005,1,MATCH(COLUMNS($AM$1006:AW1006),$AM$1006:$BM$1006,0))&gt;=100000), " ",IF(INDEX($AM$2:$BM$1001,MATCH(ROWS($AF$2:AF77),$AF$2:$AF$1001,0),MATCH(COLUMNS($AM$1006:AW1006),$AM$1006:$BM$1006,0)), HYPERLINK("#",""), HYPERLINK(CONCATENATE("#metadata!", ADDRESS(INDEX($AH$2:$AH$1001,MATCH(ROWS($AF$2:AF77),$AF$2:$AF$1001,0),0), INDEX($AM$1004:$BM$1004,1,MATCH(COLUMNS($AM$1006:AW1006),$AM$1006:$BM$1006,0)))),"Fix")))</f>
        <v xml:space="preserve"> </v>
      </c>
      <c r="M77" s="4" t="str">
        <f ca="1">IF(OR(INDEX($AG$2:$AG$1001,MATCH(ROWS($AF$2:AF77),$AF$2:$AF$1001,0),1)&gt;=100000,INDEX($AM$1005:$BM$1005,1,MATCH(COLUMNS($AM$1006:AX1006),$AM$1006:$BM$1006,0))&gt;=100000), " ",IF(INDEX($AM$2:$BM$1001,MATCH(ROWS($AF$2:AF77),$AF$2:$AF$1001,0),MATCH(COLUMNS($AM$1006:AX1006),$AM$1006:$BM$1006,0)), HYPERLINK("#",""), HYPERLINK(CONCATENATE("#metadata!", ADDRESS(INDEX($AH$2:$AH$1001,MATCH(ROWS($AF$2:AF77),$AF$2:$AF$1001,0),0), INDEX($AM$1004:$BM$1004,1,MATCH(COLUMNS($AM$1006:AX1006),$AM$1006:$BM$1006,0)))),"Fix")))</f>
        <v xml:space="preserve"> </v>
      </c>
      <c r="N77" s="4" t="str">
        <f ca="1">IF(OR(INDEX($AG$2:$AG$1001,MATCH(ROWS($AF$2:AF77),$AF$2:$AF$1001,0),1)&gt;=100000,INDEX($AM$1005:$BM$1005,1,MATCH(COLUMNS($AM$1006:AY1006),$AM$1006:$BM$1006,0))&gt;=100000), " ",IF(INDEX($AM$2:$BM$1001,MATCH(ROWS($AF$2:AF77),$AF$2:$AF$1001,0),MATCH(COLUMNS($AM$1006:AY1006),$AM$1006:$BM$1006,0)), HYPERLINK("#",""), HYPERLINK(CONCATENATE("#metadata!", ADDRESS(INDEX($AH$2:$AH$1001,MATCH(ROWS($AF$2:AF77),$AF$2:$AF$1001,0),0), INDEX($AM$1004:$BM$1004,1,MATCH(COLUMNS($AM$1006:AY1006),$AM$1006:$BM$1006,0)))),"Fix")))</f>
        <v xml:space="preserve"> </v>
      </c>
      <c r="O77" s="4" t="str">
        <f ca="1">IF(OR(INDEX($AG$2:$AG$1001,MATCH(ROWS($AF$2:AF77),$AF$2:$AF$1001,0),1)&gt;=100000,INDEX($AM$1005:$BM$1005,1,MATCH(COLUMNS($AM$1006:AZ1006),$AM$1006:$BM$1006,0))&gt;=100000), " ",IF(INDEX($AM$2:$BM$1001,MATCH(ROWS($AF$2:AF77),$AF$2:$AF$1001,0),MATCH(COLUMNS($AM$1006:AZ1006),$AM$1006:$BM$1006,0)), HYPERLINK("#",""), HYPERLINK(CONCATENATE("#metadata!", ADDRESS(INDEX($AH$2:$AH$1001,MATCH(ROWS($AF$2:AF77),$AF$2:$AF$1001,0),0), INDEX($AM$1004:$BM$1004,1,MATCH(COLUMNS($AM$1006:AZ1006),$AM$1006:$BM$1006,0)))),"Fix")))</f>
        <v xml:space="preserve"> </v>
      </c>
      <c r="P77" s="4" t="str">
        <f ca="1">IF(OR(INDEX($AG$2:$AG$1001,MATCH(ROWS($AF$2:AF77),$AF$2:$AF$1001,0),1)&gt;=100000,INDEX($AM$1005:$BM$1005,1,MATCH(COLUMNS($AM$1006:BA1006),$AM$1006:$BM$1006,0))&gt;=100000), " ",IF(INDEX($AM$2:$BM$1001,MATCH(ROWS($AF$2:AF77),$AF$2:$AF$1001,0),MATCH(COLUMNS($AM$1006:BA1006),$AM$1006:$BM$1006,0)), HYPERLINK("#",""), HYPERLINK(CONCATENATE("#metadata!", ADDRESS(INDEX($AH$2:$AH$1001,MATCH(ROWS($AF$2:AF77),$AF$2:$AF$1001,0),0), INDEX($AM$1004:$BM$1004,1,MATCH(COLUMNS($AM$1006:BA1006),$AM$1006:$BM$1006,0)))),"Fix")))</f>
        <v xml:space="preserve"> </v>
      </c>
      <c r="Q77" s="4" t="str">
        <f ca="1">IF(OR(INDEX($AG$2:$AG$1001,MATCH(ROWS($AF$2:AF77),$AF$2:$AF$1001,0),1)&gt;=100000,INDEX($AM$1005:$BM$1005,1,MATCH(COLUMNS($AM$1006:BB1006),$AM$1006:$BM$1006,0))&gt;=100000), " ",IF(INDEX($AM$2:$BM$1001,MATCH(ROWS($AF$2:AF77),$AF$2:$AF$1001,0),MATCH(COLUMNS($AM$1006:BB1006),$AM$1006:$BM$1006,0)), HYPERLINK("#",""), HYPERLINK(CONCATENATE("#metadata!", ADDRESS(INDEX($AH$2:$AH$1001,MATCH(ROWS($AF$2:AF77),$AF$2:$AF$1001,0),0), INDEX($AM$1004:$BM$1004,1,MATCH(COLUMNS($AM$1006:BB1006),$AM$1006:$BM$1006,0)))),"Fix")))</f>
        <v xml:space="preserve"> </v>
      </c>
      <c r="R77" s="4" t="str">
        <f ca="1">IF(OR(INDEX($AG$2:$AG$1001,MATCH(ROWS($AF$2:AF77),$AF$2:$AF$1001,0),1)&gt;=100000,INDEX($AM$1005:$BM$1005,1,MATCH(COLUMNS($AM$1006:BC1006),$AM$1006:$BM$1006,0))&gt;=100000), " ",IF(INDEX($AM$2:$BM$1001,MATCH(ROWS($AF$2:AF77),$AF$2:$AF$1001,0),MATCH(COLUMNS($AM$1006:BC1006),$AM$1006:$BM$1006,0)), HYPERLINK("#",""), HYPERLINK(CONCATENATE("#metadata!", ADDRESS(INDEX($AH$2:$AH$1001,MATCH(ROWS($AF$2:AF77),$AF$2:$AF$1001,0),0), INDEX($AM$1004:$BM$1004,1,MATCH(COLUMNS($AM$1006:BC1006),$AM$1006:$BM$1006,0)))),"Fix")))</f>
        <v xml:space="preserve"> </v>
      </c>
      <c r="S77" s="4" t="str">
        <f ca="1">IF(OR(INDEX($AG$2:$AG$1001,MATCH(ROWS($AF$2:AF77),$AF$2:$AF$1001,0),1)&gt;=100000,INDEX($AM$1005:$BM$1005,1,MATCH(COLUMNS($AM$1006:BD1006),$AM$1006:$BM$1006,0))&gt;=100000), " ",IF(INDEX($AM$2:$BM$1001,MATCH(ROWS($AF$2:AF77),$AF$2:$AF$1001,0),MATCH(COLUMNS($AM$1006:BD1006),$AM$1006:$BM$1006,0)), HYPERLINK("#",""), HYPERLINK(CONCATENATE("#metadata!", ADDRESS(INDEX($AH$2:$AH$1001,MATCH(ROWS($AF$2:AF77),$AF$2:$AF$1001,0),0), INDEX($AM$1004:$BM$1004,1,MATCH(COLUMNS($AM$1006:BD1006),$AM$1006:$BM$1006,0)))),"Fix")))</f>
        <v xml:space="preserve"> </v>
      </c>
      <c r="T77" s="4" t="str">
        <f ca="1">IF(OR(INDEX($AG$2:$AG$1001,MATCH(ROWS($AF$2:AF77),$AF$2:$AF$1001,0),1)&gt;=100000,INDEX($AM$1005:$BM$1005,1,MATCH(COLUMNS($AM$1006:BE1006),$AM$1006:$BM$1006,0))&gt;=100000), " ",IF(INDEX($AM$2:$BM$1001,MATCH(ROWS($AF$2:AF77),$AF$2:$AF$1001,0),MATCH(COLUMNS($AM$1006:BE1006),$AM$1006:$BM$1006,0)), HYPERLINK("#",""), HYPERLINK(CONCATENATE("#metadata!", ADDRESS(INDEX($AH$2:$AH$1001,MATCH(ROWS($AF$2:AF77),$AF$2:$AF$1001,0),0), INDEX($AM$1004:$BM$1004,1,MATCH(COLUMNS($AM$1006:BE1006),$AM$1006:$BM$1006,0)))),"Fix")))</f>
        <v xml:space="preserve"> </v>
      </c>
      <c r="U77" s="4" t="str">
        <f ca="1">IF(OR(INDEX($AG$2:$AG$1001,MATCH(ROWS($AF$2:AF77),$AF$2:$AF$1001,0),1)&gt;=100000,INDEX($AM$1005:$BM$1005,1,MATCH(COLUMNS($AM$1006:BF1006),$AM$1006:$BM$1006,0))&gt;=100000), " ",IF(INDEX($AM$2:$BM$1001,MATCH(ROWS($AF$2:AF77),$AF$2:$AF$1001,0),MATCH(COLUMNS($AM$1006:BF1006),$AM$1006:$BM$1006,0)), HYPERLINK("#",""), HYPERLINK(CONCATENATE("#metadata!", ADDRESS(INDEX($AH$2:$AH$1001,MATCH(ROWS($AF$2:AF77),$AF$2:$AF$1001,0),0), INDEX($AM$1004:$BM$1004,1,MATCH(COLUMNS($AM$1006:BF1006),$AM$1006:$BM$1006,0)))),"Fix")))</f>
        <v xml:space="preserve"> </v>
      </c>
      <c r="V77" s="4" t="str">
        <f ca="1">IF(OR(INDEX($AG$2:$AG$1001,MATCH(ROWS($AF$2:AF77),$AF$2:$AF$1001,0),1)&gt;=100000,INDEX($AM$1005:$BM$1005,1,MATCH(COLUMNS($AM$1006:BG1006),$AM$1006:$BM$1006,0))&gt;=100000), " ",IF(INDEX($AM$2:$BM$1001,MATCH(ROWS($AF$2:AF77),$AF$2:$AF$1001,0),MATCH(COLUMNS($AM$1006:BG1006),$AM$1006:$BM$1006,0)), HYPERLINK("#",""), HYPERLINK(CONCATENATE("#metadata!", ADDRESS(INDEX($AH$2:$AH$1001,MATCH(ROWS($AF$2:AF77),$AF$2:$AF$1001,0),0), INDEX($AM$1004:$BM$1004,1,MATCH(COLUMNS($AM$1006:BG1006),$AM$1006:$BM$1006,0)))),"Fix")))</f>
        <v xml:space="preserve"> </v>
      </c>
      <c r="W77" s="4" t="str">
        <f ca="1">IF(OR(INDEX($AG$2:$AG$1001,MATCH(ROWS($AF$2:AF77),$AF$2:$AF$1001,0),1)&gt;=100000,INDEX($AM$1005:$BM$1005,1,MATCH(COLUMNS($AM$1006:BH1006),$AM$1006:$BM$1006,0))&gt;=100000), " ",IF(INDEX($AM$2:$BM$1001,MATCH(ROWS($AF$2:AF77),$AF$2:$AF$1001,0),MATCH(COLUMNS($AM$1006:BH1006),$AM$1006:$BM$1006,0)), HYPERLINK("#",""), HYPERLINK(CONCATENATE("#metadata!", ADDRESS(INDEX($AH$2:$AH$1001,MATCH(ROWS($AF$2:AF77),$AF$2:$AF$1001,0),0), INDEX($AM$1004:$BM$1004,1,MATCH(COLUMNS($AM$1006:BH1006),$AM$1006:$BM$1006,0)))),"Fix")))</f>
        <v xml:space="preserve"> </v>
      </c>
      <c r="X77" s="4" t="str">
        <f ca="1">IF(OR(INDEX($AG$2:$AG$1001,MATCH(ROWS($AF$2:AF77),$AF$2:$AF$1001,0),1)&gt;=100000,INDEX($AM$1005:$BM$1005,1,MATCH(COLUMNS($AM$1006:BI1006),$AM$1006:$BM$1006,0))&gt;=100000), " ",IF(INDEX($AM$2:$BM$1001,MATCH(ROWS($AF$2:AF77),$AF$2:$AF$1001,0),MATCH(COLUMNS($AM$1006:BI1006),$AM$1006:$BM$1006,0)), HYPERLINK("#",""), HYPERLINK(CONCATENATE("#metadata!", ADDRESS(INDEX($AH$2:$AH$1001,MATCH(ROWS($AF$2:AF77),$AF$2:$AF$1001,0),0), INDEX($AM$1004:$BM$1004,1,MATCH(COLUMNS($AM$1006:BI1006),$AM$1006:$BM$1006,0)))),"Fix")))</f>
        <v xml:space="preserve"> </v>
      </c>
      <c r="Y77" s="4" t="str">
        <f ca="1">IF(OR(INDEX($AG$2:$AG$1001,MATCH(ROWS($AF$2:AF77),$AF$2:$AF$1001,0),1)&gt;=100000,INDEX($AM$1005:$BM$1005,1,MATCH(COLUMNS($AM$1006:BJ1006),$AM$1006:$BM$1006,0))&gt;=100000), " ",IF(INDEX($AM$2:$BM$1001,MATCH(ROWS($AF$2:AF77),$AF$2:$AF$1001,0),MATCH(COLUMNS($AM$1006:BJ1006),$AM$1006:$BM$1006,0)), HYPERLINK("#",""), HYPERLINK(CONCATENATE("#metadata!", ADDRESS(INDEX($AH$2:$AH$1001,MATCH(ROWS($AF$2:AF77),$AF$2:$AF$1001,0),0), INDEX($AM$1004:$BM$1004,1,MATCH(COLUMNS($AM$1006:BJ1006),$AM$1006:$BM$1006,0)))),"Fix")))</f>
        <v xml:space="preserve"> </v>
      </c>
      <c r="Z77" s="4" t="str">
        <f ca="1">IF(OR(INDEX($AG$2:$AG$1001,MATCH(ROWS($AF$2:AF77),$AF$2:$AF$1001,0),1)&gt;=100000,INDEX($AM$1005:$BM$1005,1,MATCH(COLUMNS($AM$1006:BK1006),$AM$1006:$BM$1006,0))&gt;=100000), " ",IF(INDEX($AM$2:$BM$1001,MATCH(ROWS($AF$2:AF77),$AF$2:$AF$1001,0),MATCH(COLUMNS($AM$1006:BK1006),$AM$1006:$BM$1006,0)), HYPERLINK("#",""), HYPERLINK(CONCATENATE("#metadata!", ADDRESS(INDEX($AH$2:$AH$1001,MATCH(ROWS($AF$2:AF77),$AF$2:$AF$1001,0),0), INDEX($AM$1004:$BM$1004,1,MATCH(COLUMNS($AM$1006:BK1006),$AM$1006:$BM$1006,0)))),"Fix")))</f>
        <v xml:space="preserve"> </v>
      </c>
      <c r="AA77" s="4" t="str">
        <f ca="1">IF(OR(INDEX($AG$2:$AG$1001,MATCH(ROWS($AF$2:AF77),$AF$2:$AF$1001,0),1)&gt;=100000,INDEX($AM$1005:$BM$1005,1,MATCH(COLUMNS($AM$1006:BL1006),$AM$1006:$BM$1006,0))&gt;=100000), " ",IF(INDEX($AM$2:$BM$1001,MATCH(ROWS($AF$2:AF77),$AF$2:$AF$1001,0),MATCH(COLUMNS($AM$1006:BL1006),$AM$1006:$BM$1006,0)), HYPERLINK("#",""), HYPERLINK(CONCATENATE("#metadata!", ADDRESS(INDEX($AH$2:$AH$1001,MATCH(ROWS($AF$2:AF77),$AF$2:$AF$1001,0),0), INDEX($AM$1004:$BM$1004,1,MATCH(COLUMNS($AM$1006:BL1006),$AM$1006:$BM$1006,0)))),"Fix")))</f>
        <v xml:space="preserve"> </v>
      </c>
      <c r="AB77" s="4" t="str">
        <f ca="1">IF(OR(INDEX($AG$2:$AG$1001,MATCH(ROWS($AF$2:AF77),$AF$2:$AF$1001,0),1)&gt;=100000,INDEX($AM$1005:$BM$1005,1,MATCH(COLUMNS($AM$1006:BM1006),$AM$1006:$BM$1006,0))&gt;=100000), " ",IF(INDEX($AM$2:$BM$1001,MATCH(ROWS($AF$2:AF77),$AF$2:$AF$1001,0),MATCH(COLUMNS($AM$1006:BM1006),$AM$1006:$BM$1006,0)), HYPERLINK("#",""), HYPERLINK(CONCATENATE("#metadata!", ADDRESS(INDEX($AH$2:$AH$1001,MATCH(ROWS($AF$2:AF77),$AF$2:$AF$1001,0),0), INDEX($AM$1004:$BM$1004,1,MATCH(COLUMNS($AM$1006:BM1006),$AM$1006:$BM$1006,0)))),"Fix")))</f>
        <v xml:space="preserve"> </v>
      </c>
      <c r="AF77">
        <v>76</v>
      </c>
      <c r="AG77">
        <v>100077</v>
      </c>
      <c r="AH77">
        <v>77</v>
      </c>
      <c r="AI77" t="b">
        <f t="shared" si="1"/>
        <v>1</v>
      </c>
      <c r="AJ77" t="b">
        <f>COUNTBLANK(metadata!B77:AB77)=COLUMNS(metadata!B77:AB77)</f>
        <v>1</v>
      </c>
      <c r="AK77" t="str">
        <v/>
      </c>
      <c r="AM77" t="b">
        <f ca="1">AND(IF(metadata!B77="",FALSE,TRUE),COUNTIF(metadata!B:B, metadata!B77) = 1,NOT(ISERROR(SUMPRODUCT(SEARCH(MID(metadata!B77,ROW(INDIRECT("1:"&amp;LEN(metadata!B77))), 1),"0123456789abcdefghijklmnopqrstuvwxyzABCDEFGHIJKLMNOPQRSTUVWXYZ.")))))</f>
        <v>0</v>
      </c>
      <c r="AN77" t="b">
        <f ca="1">OR(AND(IF(metadata!C77="",FALSE,TRUE),OR(EXACT(metadata!C77,"missing: not collected"),EXACT(metadata!C77,"missing: not provided"),EXACT(metadata!C77,"missing: restricted access"))),AND(IF(metadata!C77="",FALSE,TRUE),AND(AND(IFERROR(INT(LEFT(metadata!C77,4))&gt;1900,FALSE),IFERROR(INT(LEFT(metadata!C77,4))&lt;=YEAR(NOW()),FALSE)), OR(MID(metadata!C77,5,1)="", AND(AND(MID(metadata!C77,5,1)="-",IFERROR(INT(MID(metadata!C77,6,1))&gt;=0,FALSE),IFERROR(INT(MID(metadata!C77,6,1))&lt;=1,FALSE),NOT(MID(metadata!C77,7,1)=""),IFERROR(INT(MID(metadata!C77,6,2))&gt;=1,FALSE),IFERROR(INT(MID(metadata!C77,6,2))&lt;=12,FALSE)), OR(MID(metadata!C77,8,1)="", AND(AND(MID(metadata!C77,8,1)="-",IFERROR(INT(MID(metadata!C77,9,1))&gt;=0,FALSE),IFERROR(INT(MID(metadata!C77,9,1))&lt;=3,FALSE),NOT(MID(metadata!C77,10,1)=""),IFERROR(INT(MID(metadata!C77,9,2))&gt;=1,FALSE),IFERROR(INT(MID(metadata!C77,9,2))&lt;=31,FALSE)), OR(MID(metadata!C77,11,1)="", AND(AND(MID(metadata!C77,11,1)=" ",IFERROR(INT(MID(metadata!C77,12,1))&gt;=0,FALSE),IFERROR(INT(MID(metadata!C77,12,1))&lt;=2,FALSE),NOT(MID(metadata!C77,13,1)=""),IFERROR(INT(MID(metadata!C77,12,2))&gt;=0,FALSE),IFERROR(INT(MID(metadata!C77,12,2))&lt;=23,FALSE)), OR(MID(metadata!C77,14,1)="", AND(AND(MID(metadata!C77,14,1)=":",IFERROR(INT(MID(metadata!C77,15,1))&gt;=0,FALSE),IFERROR(INT(MID(metadata!C77,15,1))&lt;=5,FALSE),NOT(MID(metadata!C77,16,1)=""),IFERROR(INT(MID(metadata!C77,15,2))&gt;=0,FALSE),IFERROR(INT(MID(metadata!C77,15,2))&lt;=59,FALSE)), OR(MID(metadata!C77,17,1)="", AND(AND(MID(metadata!C77,17,1)=":",IFERROR(INT(MID(metadata!C77,18,1))&gt;=0,FALSE),IFERROR(INT(MID(metadata!C77,18,1))&lt;=5,FALSE),NOT(MID(metadata!C77,19,1)=""),IFERROR(INT(MID(metadata!C77,18,2))&gt;=0,FALSE),IFERROR(INT(MID(metadata!C77,18,2))&lt;=59,FALSE)), LEN(metadata!C77)&lt;=19)))))))))))))</f>
        <v>0</v>
      </c>
      <c r="AO77" t="b">
        <f>AND(IF(metadata!D77="",FALSE,TRUE),EXACT(metadata!D77,"Not applicable"))</f>
        <v>0</v>
      </c>
      <c r="AP77" t="b">
        <f>IF(metadata!E77="",FALSE,TRUE)</f>
        <v>0</v>
      </c>
      <c r="AQ77" t="b">
        <f>OR(AND(IF(metadata!F77="",FALSE,TRUE),OR(EXACT(metadata!F77,"missing: not collected"),EXACT(metadata!F77,"missing: not provided"))),AND(IF(metadata!F77="",FALSE,TRUE),OR(EXACT(metadata!F77,"TRUE"),EXACT(metadata!F77,"FALSE"))))</f>
        <v>0</v>
      </c>
      <c r="AR77" t="b">
        <f>OR(AND(IF(metadata!G77="",FALSE,TRUE),OR(EXACT(metadata!G77,"missing: not collected"),EXACT(metadata!G77,"missing: not provided"),EXACT(metadata!G77,"missing: restricted access"))),AND(IF(metadata!G77="",FALSE,ISNUMBER(VALUE(metadata!G77))),metadata!G77&gt;=-413))</f>
        <v>0</v>
      </c>
      <c r="AS77" t="b">
        <f>AND(IF(metadata!H77="",FALSE,TRUE),EXACT(metadata!H77,"meters"))</f>
        <v>0</v>
      </c>
      <c r="AT77" t="b">
        <f>AND(IF(metadata!I77="",FALSE,TRUE),OR(EXACT(metadata!I77,"Host-associated"),EXACT(metadata!I77,"Free-living")))</f>
        <v>0</v>
      </c>
      <c r="AU77" t="b">
        <f>AND(IF(metadata!J77="",FALSE,TRUE),OR(EXACT(metadata!J77,"Animal"),EXACT(metadata!J77,"Fungus"),EXACT(metadata!J77,"Plant"),EXACT(metadata!J77,"Saline"),EXACT(metadata!J77,"Non-saline")))</f>
        <v>0</v>
      </c>
      <c r="AV77" t="b">
        <f>AND(IF(metadata!K77="",FALSE,TRUE),OR(EXACT(metadata!K77,"Plant secretion"),EXACT(metadata!K77,"Plant rhizosphere"),EXACT(metadata!K77,"Plant surface"),EXACT(metadata!K77,"Plant corpus"),EXACT(metadata!K77,"Fungus surface"),EXACT(metadata!K77,"Fungus corpus"),EXACT(metadata!K77,"Animal surface"),EXACT(metadata!K77,"Animal proximal gut"),EXACT(metadata!K77,"Animal corpus"),EXACT(metadata!K77,"Animal distal gut"),EXACT(metadata!K77,"Animal secretion"),EXACT(metadata!K77,"Sub-surface (non-saline)"),EXACT(metadata!K77,"Surface (non-saline)"),EXACT(metadata!K77,"Water (non-saline)"),EXACT(metadata!K77,"Soil (non-saline)"),EXACT(metadata!K77,"Aerosol (non-saline)"),EXACT(metadata!K77,"Sediment (non-saline)"),EXACT(metadata!K77,"Surface (saline)"),EXACT(metadata!K77,"Water (saline)"),EXACT(metadata!K77,"Hypersaline (saline)"),EXACT(metadata!K77,"Aerosol (saline)"),EXACT(metadata!K77,"Sediment (saline)")))</f>
        <v>0</v>
      </c>
      <c r="AW77" t="b">
        <f>IF(metadata!L77="",FALSE,TRUE)</f>
        <v>0</v>
      </c>
      <c r="AX77" t="b">
        <f>IF(metadata!M77="",FALSE,TRUE)</f>
        <v>0</v>
      </c>
      <c r="AY77" t="b">
        <f>IF(metadata!N77="",FALSE,TRUE)</f>
        <v>0</v>
      </c>
      <c r="AZ77" t="b">
        <f>OR(AND(IF(metadata!O77="",FALSE,TRUE),OR(EXACT(metadata!O77,"missing: not collected"),EXACT(metadata!O77,"missing: not provided"),EXACT(metadata!O77,"missing: restricted access"))),AND(IF(metadata!O77="",FALSE,TRUE),OR(EXACT(metadata!O77,"air"),EXACT(metadata!O77,"built environment"),EXACT(metadata!O77,"host-associated"),EXACT(metadata!O77,"human-associated"),EXACT(metadata!O77,"human-skin"),EXACT(metadata!O77,"human-oral"),EXACT(metadata!O77,"human-gut"),EXACT(metadata!O77,"human-vaginal"),EXACT(metadata!O77,"microbial mat/biofilm"),EXACT(metadata!O77,"misc environment"),EXACT(metadata!O77,"plant-associated"),EXACT(metadata!O77,"sediment"),EXACT(metadata!O77,"soil"),EXACT(metadata!O77,"wastewater/sludge"),EXACT(metadata!O77,"water"))))</f>
        <v>0</v>
      </c>
      <c r="BA77" t="b">
        <f>IF(metadata!P77="",FALSE,TRUE)</f>
        <v>0</v>
      </c>
      <c r="BB77" t="b">
        <f>IF(metadata!Q77="",FALSE,TRUE)</f>
        <v>0</v>
      </c>
      <c r="BC77" t="b">
        <f>OR(AND(IF(metadata!R77="",FALSE,TRUE),OR(EXACT(metadata!R77,"missing: not collected"),EXACT(metadata!R77,"missing: not provided"),EXACT(metadata!R77,"missing: restricted access"))),AND(IF(metadata!R77="",FALSE,ISNUMBER(VALUE(metadata!R77))),metadata!R77&gt;=-90,metadata!R77&lt;=90))</f>
        <v>0</v>
      </c>
      <c r="BD77" t="b">
        <f>AND(IF(metadata!S77="",FALSE,TRUE),EXACT(metadata!S77,"Decimal degrees"))</f>
        <v>0</v>
      </c>
      <c r="BE77" t="b">
        <f>OR(AND(IF(metadata!T77="",FALSE,TRUE),OR(EXACT(metadata!T77,"missing: not collected"),EXACT(metadata!T77,"missing: not provided"),EXACT(metadata!T77,"missing: restricted access"))),AND(IF(metadata!T77="",FALSE,ISNUMBER(VALUE(metadata!T77))),metadata!T77&gt;=-180,metadata!T77&lt;=180))</f>
        <v>0</v>
      </c>
      <c r="BF77" t="b">
        <f>AND(IF(metadata!U77="",FALSE,TRUE),EXACT(metadata!U77,"Decimal degrees"))</f>
        <v>0</v>
      </c>
      <c r="BG77" t="b">
        <f>IF(metadata!V77="",FALSE,TRUE)</f>
        <v>0</v>
      </c>
      <c r="BH77" t="b">
        <f>OR(AND(IF(metadata!W77="",FALSE,TRUE),OR(EXACT(metadata!W77,"missing: not collected"),EXACT(metadata!W77,"missing: not provided"),EXACT(metadata!W77,"missing: restricted access"))),AND(IF(metadata!W77="",FALSE,TRUE),OR(EXACT(metadata!W77,"TRUE"),EXACT(metadata!W77,"FALSE"))))</f>
        <v>0</v>
      </c>
      <c r="BI77" t="b">
        <f>AND(IF(metadata!X77="",FALSE,TRUE),EXACT(metadata!X77,"other"))</f>
        <v>0</v>
      </c>
      <c r="BJ77" t="b">
        <f>IF(metadata!Y77="",FALSE,TRUE)</f>
        <v>0</v>
      </c>
      <c r="BK77" t="b">
        <f>OR(AND(IF(metadata!Z77="",FALSE,TRUE),OR(EXACT(metadata!Z77,"missing: not collected"),EXACT(metadata!Z77,"missing: not provided"))),AND(IF(metadata!Z77="",FALSE,IF(ISERROR(INT(metadata!Z77)),FALSE,INT(metadata!Z77)=metadata!Z77)),metadata!Z77&gt;0))</f>
        <v>0</v>
      </c>
      <c r="BL77" t="b">
        <f>AND(IF(metadata!AA77="",FALSE,TRUE),EXACT(metadata!AA77,"Not applicable"))</f>
        <v>0</v>
      </c>
      <c r="BM77" t="b">
        <f>IF(metadata!AB77="",FALSE,TRUE)</f>
        <v>0</v>
      </c>
    </row>
    <row r="78" spans="1:65" x14ac:dyDescent="0.2">
      <c r="A78" s="5" t="str">
        <f ca="1">IF(B78=" "," ",HYPERLINK(CONCATENATE("#metadata!",ADDRESS(INDEX($AH$2:$AH$1001,MATCH(ROWS($AF$2:AF78),$AF$2:$AF$1001,0),0),1)),INDEX($AK$2:$AK$1001,MATCH(ROWS($AF$2:AF78),$AF$2:$AF$1001,0),0)))</f>
        <v xml:space="preserve"> </v>
      </c>
      <c r="B78" s="4" t="str">
        <f ca="1">IF(OR(INDEX($AG$2:$AG$1001,MATCH(ROWS($AF$2:AF78),$AF$2:$AF$1001,0),1)&gt;=100000,INDEX($AM$1005:$BM$1005,1,MATCH(COLUMNS($AM$1006:AM1006),$AM$1006:$BM$1006,0))&gt;=100000), " ",IF(INDEX($AM$2:$BM$1001,MATCH(ROWS($AF$2:AF78),$AF$2:$AF$1001,0),MATCH(COLUMNS($AM$1006:AM1006),$AM$1006:$BM$1006,0)), HYPERLINK("#",""), HYPERLINK(CONCATENATE("#metadata!", ADDRESS(INDEX($AH$2:$AH$1001,MATCH(ROWS($AF$2:AF78),$AF$2:$AF$1001,0),0), INDEX($AM$1004:$BM$1004,1,MATCH(COLUMNS($AM$1006:AM1006),$AM$1006:$BM$1006,0)))),"Fix")))</f>
        <v xml:space="preserve"> </v>
      </c>
      <c r="C78" s="4" t="str">
        <f ca="1">IF(OR(INDEX($AG$2:$AG$1001,MATCH(ROWS($AF$2:AF78),$AF$2:$AF$1001,0),1)&gt;=100000,INDEX($AM$1005:$BM$1005,1,MATCH(COLUMNS($AM$1006:AN1006),$AM$1006:$BM$1006,0))&gt;=100000), " ",IF(INDEX($AM$2:$BM$1001,MATCH(ROWS($AF$2:AF78),$AF$2:$AF$1001,0),MATCH(COLUMNS($AM$1006:AN1006),$AM$1006:$BM$1006,0)), HYPERLINK("#",""), HYPERLINK(CONCATENATE("#metadata!", ADDRESS(INDEX($AH$2:$AH$1001,MATCH(ROWS($AF$2:AF78),$AF$2:$AF$1001,0),0), INDEX($AM$1004:$BM$1004,1,MATCH(COLUMNS($AM$1006:AN1006),$AM$1006:$BM$1006,0)))),"Fix")))</f>
        <v xml:space="preserve"> </v>
      </c>
      <c r="D78" s="4" t="str">
        <f ca="1">IF(OR(INDEX($AG$2:$AG$1001,MATCH(ROWS($AF$2:AF78),$AF$2:$AF$1001,0),1)&gt;=100000,INDEX($AM$1005:$BM$1005,1,MATCH(COLUMNS($AM$1006:AO1006),$AM$1006:$BM$1006,0))&gt;=100000), " ",IF(INDEX($AM$2:$BM$1001,MATCH(ROWS($AF$2:AF78),$AF$2:$AF$1001,0),MATCH(COLUMNS($AM$1006:AO1006),$AM$1006:$BM$1006,0)), HYPERLINK("#",""), HYPERLINK(CONCATENATE("#metadata!", ADDRESS(INDEX($AH$2:$AH$1001,MATCH(ROWS($AF$2:AF78),$AF$2:$AF$1001,0),0), INDEX($AM$1004:$BM$1004,1,MATCH(COLUMNS($AM$1006:AO1006),$AM$1006:$BM$1006,0)))),"Fix")))</f>
        <v xml:space="preserve"> </v>
      </c>
      <c r="E78" s="4" t="str">
        <f ca="1">IF(OR(INDEX($AG$2:$AG$1001,MATCH(ROWS($AF$2:AF78),$AF$2:$AF$1001,0),1)&gt;=100000,INDEX($AM$1005:$BM$1005,1,MATCH(COLUMNS($AM$1006:AP1006),$AM$1006:$BM$1006,0))&gt;=100000), " ",IF(INDEX($AM$2:$BM$1001,MATCH(ROWS($AF$2:AF78),$AF$2:$AF$1001,0),MATCH(COLUMNS($AM$1006:AP1006),$AM$1006:$BM$1006,0)), HYPERLINK("#",""), HYPERLINK(CONCATENATE("#metadata!", ADDRESS(INDEX($AH$2:$AH$1001,MATCH(ROWS($AF$2:AF78),$AF$2:$AF$1001,0),0), INDEX($AM$1004:$BM$1004,1,MATCH(COLUMNS($AM$1006:AP1006),$AM$1006:$BM$1006,0)))),"Fix")))</f>
        <v xml:space="preserve"> </v>
      </c>
      <c r="F78" s="4" t="str">
        <f ca="1">IF(OR(INDEX($AG$2:$AG$1001,MATCH(ROWS($AF$2:AF78),$AF$2:$AF$1001,0),1)&gt;=100000,INDEX($AM$1005:$BM$1005,1,MATCH(COLUMNS($AM$1006:AQ1006),$AM$1006:$BM$1006,0))&gt;=100000), " ",IF(INDEX($AM$2:$BM$1001,MATCH(ROWS($AF$2:AF78),$AF$2:$AF$1001,0),MATCH(COLUMNS($AM$1006:AQ1006),$AM$1006:$BM$1006,0)), HYPERLINK("#",""), HYPERLINK(CONCATENATE("#metadata!", ADDRESS(INDEX($AH$2:$AH$1001,MATCH(ROWS($AF$2:AF78),$AF$2:$AF$1001,0),0), INDEX($AM$1004:$BM$1004,1,MATCH(COLUMNS($AM$1006:AQ1006),$AM$1006:$BM$1006,0)))),"Fix")))</f>
        <v xml:space="preserve"> </v>
      </c>
      <c r="G78" s="4" t="str">
        <f ca="1">IF(OR(INDEX($AG$2:$AG$1001,MATCH(ROWS($AF$2:AF78),$AF$2:$AF$1001,0),1)&gt;=100000,INDEX($AM$1005:$BM$1005,1,MATCH(COLUMNS($AM$1006:AR1006),$AM$1006:$BM$1006,0))&gt;=100000), " ",IF(INDEX($AM$2:$BM$1001,MATCH(ROWS($AF$2:AF78),$AF$2:$AF$1001,0),MATCH(COLUMNS($AM$1006:AR1006),$AM$1006:$BM$1006,0)), HYPERLINK("#",""), HYPERLINK(CONCATENATE("#metadata!", ADDRESS(INDEX($AH$2:$AH$1001,MATCH(ROWS($AF$2:AF78),$AF$2:$AF$1001,0),0), INDEX($AM$1004:$BM$1004,1,MATCH(COLUMNS($AM$1006:AR1006),$AM$1006:$BM$1006,0)))),"Fix")))</f>
        <v xml:space="preserve"> </v>
      </c>
      <c r="H78" s="4" t="str">
        <f ca="1">IF(OR(INDEX($AG$2:$AG$1001,MATCH(ROWS($AF$2:AF78),$AF$2:$AF$1001,0),1)&gt;=100000,INDEX($AM$1005:$BM$1005,1,MATCH(COLUMNS($AM$1006:AS1006),$AM$1006:$BM$1006,0))&gt;=100000), " ",IF(INDEX($AM$2:$BM$1001,MATCH(ROWS($AF$2:AF78),$AF$2:$AF$1001,0),MATCH(COLUMNS($AM$1006:AS1006),$AM$1006:$BM$1006,0)), HYPERLINK("#",""), HYPERLINK(CONCATENATE("#metadata!", ADDRESS(INDEX($AH$2:$AH$1001,MATCH(ROWS($AF$2:AF78),$AF$2:$AF$1001,0),0), INDEX($AM$1004:$BM$1004,1,MATCH(COLUMNS($AM$1006:AS1006),$AM$1006:$BM$1006,0)))),"Fix")))</f>
        <v xml:space="preserve"> </v>
      </c>
      <c r="I78" s="4" t="str">
        <f ca="1">IF(OR(INDEX($AG$2:$AG$1001,MATCH(ROWS($AF$2:AF78),$AF$2:$AF$1001,0),1)&gt;=100000,INDEX($AM$1005:$BM$1005,1,MATCH(COLUMNS($AM$1006:AT1006),$AM$1006:$BM$1006,0))&gt;=100000), " ",IF(INDEX($AM$2:$BM$1001,MATCH(ROWS($AF$2:AF78),$AF$2:$AF$1001,0),MATCH(COLUMNS($AM$1006:AT1006),$AM$1006:$BM$1006,0)), HYPERLINK("#",""), HYPERLINK(CONCATENATE("#metadata!", ADDRESS(INDEX($AH$2:$AH$1001,MATCH(ROWS($AF$2:AF78),$AF$2:$AF$1001,0),0), INDEX($AM$1004:$BM$1004,1,MATCH(COLUMNS($AM$1006:AT1006),$AM$1006:$BM$1006,0)))),"Fix")))</f>
        <v xml:space="preserve"> </v>
      </c>
      <c r="J78" s="4" t="str">
        <f ca="1">IF(OR(INDEX($AG$2:$AG$1001,MATCH(ROWS($AF$2:AF78),$AF$2:$AF$1001,0),1)&gt;=100000,INDEX($AM$1005:$BM$1005,1,MATCH(COLUMNS($AM$1006:AU1006),$AM$1006:$BM$1006,0))&gt;=100000), " ",IF(INDEX($AM$2:$BM$1001,MATCH(ROWS($AF$2:AF78),$AF$2:$AF$1001,0),MATCH(COLUMNS($AM$1006:AU1006),$AM$1006:$BM$1006,0)), HYPERLINK("#",""), HYPERLINK(CONCATENATE("#metadata!", ADDRESS(INDEX($AH$2:$AH$1001,MATCH(ROWS($AF$2:AF78),$AF$2:$AF$1001,0),0), INDEX($AM$1004:$BM$1004,1,MATCH(COLUMNS($AM$1006:AU1006),$AM$1006:$BM$1006,0)))),"Fix")))</f>
        <v xml:space="preserve"> </v>
      </c>
      <c r="K78" s="4" t="str">
        <f ca="1">IF(OR(INDEX($AG$2:$AG$1001,MATCH(ROWS($AF$2:AF78),$AF$2:$AF$1001,0),1)&gt;=100000,INDEX($AM$1005:$BM$1005,1,MATCH(COLUMNS($AM$1006:AV1006),$AM$1006:$BM$1006,0))&gt;=100000), " ",IF(INDEX($AM$2:$BM$1001,MATCH(ROWS($AF$2:AF78),$AF$2:$AF$1001,0),MATCH(COLUMNS($AM$1006:AV1006),$AM$1006:$BM$1006,0)), HYPERLINK("#",""), HYPERLINK(CONCATENATE("#metadata!", ADDRESS(INDEX($AH$2:$AH$1001,MATCH(ROWS($AF$2:AF78),$AF$2:$AF$1001,0),0), INDEX($AM$1004:$BM$1004,1,MATCH(COLUMNS($AM$1006:AV1006),$AM$1006:$BM$1006,0)))),"Fix")))</f>
        <v xml:space="preserve"> </v>
      </c>
      <c r="L78" s="4" t="str">
        <f ca="1">IF(OR(INDEX($AG$2:$AG$1001,MATCH(ROWS($AF$2:AF78),$AF$2:$AF$1001,0),1)&gt;=100000,INDEX($AM$1005:$BM$1005,1,MATCH(COLUMNS($AM$1006:AW1006),$AM$1006:$BM$1006,0))&gt;=100000), " ",IF(INDEX($AM$2:$BM$1001,MATCH(ROWS($AF$2:AF78),$AF$2:$AF$1001,0),MATCH(COLUMNS($AM$1006:AW1006),$AM$1006:$BM$1006,0)), HYPERLINK("#",""), HYPERLINK(CONCATENATE("#metadata!", ADDRESS(INDEX($AH$2:$AH$1001,MATCH(ROWS($AF$2:AF78),$AF$2:$AF$1001,0),0), INDEX($AM$1004:$BM$1004,1,MATCH(COLUMNS($AM$1006:AW1006),$AM$1006:$BM$1006,0)))),"Fix")))</f>
        <v xml:space="preserve"> </v>
      </c>
      <c r="M78" s="4" t="str">
        <f ca="1">IF(OR(INDEX($AG$2:$AG$1001,MATCH(ROWS($AF$2:AF78),$AF$2:$AF$1001,0),1)&gt;=100000,INDEX($AM$1005:$BM$1005,1,MATCH(COLUMNS($AM$1006:AX1006),$AM$1006:$BM$1006,0))&gt;=100000), " ",IF(INDEX($AM$2:$BM$1001,MATCH(ROWS($AF$2:AF78),$AF$2:$AF$1001,0),MATCH(COLUMNS($AM$1006:AX1006),$AM$1006:$BM$1006,0)), HYPERLINK("#",""), HYPERLINK(CONCATENATE("#metadata!", ADDRESS(INDEX($AH$2:$AH$1001,MATCH(ROWS($AF$2:AF78),$AF$2:$AF$1001,0),0), INDEX($AM$1004:$BM$1004,1,MATCH(COLUMNS($AM$1006:AX1006),$AM$1006:$BM$1006,0)))),"Fix")))</f>
        <v xml:space="preserve"> </v>
      </c>
      <c r="N78" s="4" t="str">
        <f ca="1">IF(OR(INDEX($AG$2:$AG$1001,MATCH(ROWS($AF$2:AF78),$AF$2:$AF$1001,0),1)&gt;=100000,INDEX($AM$1005:$BM$1005,1,MATCH(COLUMNS($AM$1006:AY1006),$AM$1006:$BM$1006,0))&gt;=100000), " ",IF(INDEX($AM$2:$BM$1001,MATCH(ROWS($AF$2:AF78),$AF$2:$AF$1001,0),MATCH(COLUMNS($AM$1006:AY1006),$AM$1006:$BM$1006,0)), HYPERLINK("#",""), HYPERLINK(CONCATENATE("#metadata!", ADDRESS(INDEX($AH$2:$AH$1001,MATCH(ROWS($AF$2:AF78),$AF$2:$AF$1001,0),0), INDEX($AM$1004:$BM$1004,1,MATCH(COLUMNS($AM$1006:AY1006),$AM$1006:$BM$1006,0)))),"Fix")))</f>
        <v xml:space="preserve"> </v>
      </c>
      <c r="O78" s="4" t="str">
        <f ca="1">IF(OR(INDEX($AG$2:$AG$1001,MATCH(ROWS($AF$2:AF78),$AF$2:$AF$1001,0),1)&gt;=100000,INDEX($AM$1005:$BM$1005,1,MATCH(COLUMNS($AM$1006:AZ1006),$AM$1006:$BM$1006,0))&gt;=100000), " ",IF(INDEX($AM$2:$BM$1001,MATCH(ROWS($AF$2:AF78),$AF$2:$AF$1001,0),MATCH(COLUMNS($AM$1006:AZ1006),$AM$1006:$BM$1006,0)), HYPERLINK("#",""), HYPERLINK(CONCATENATE("#metadata!", ADDRESS(INDEX($AH$2:$AH$1001,MATCH(ROWS($AF$2:AF78),$AF$2:$AF$1001,0),0), INDEX($AM$1004:$BM$1004,1,MATCH(COLUMNS($AM$1006:AZ1006),$AM$1006:$BM$1006,0)))),"Fix")))</f>
        <v xml:space="preserve"> </v>
      </c>
      <c r="P78" s="4" t="str">
        <f ca="1">IF(OR(INDEX($AG$2:$AG$1001,MATCH(ROWS($AF$2:AF78),$AF$2:$AF$1001,0),1)&gt;=100000,INDEX($AM$1005:$BM$1005,1,MATCH(COLUMNS($AM$1006:BA1006),$AM$1006:$BM$1006,0))&gt;=100000), " ",IF(INDEX($AM$2:$BM$1001,MATCH(ROWS($AF$2:AF78),$AF$2:$AF$1001,0),MATCH(COLUMNS($AM$1006:BA1006),$AM$1006:$BM$1006,0)), HYPERLINK("#",""), HYPERLINK(CONCATENATE("#metadata!", ADDRESS(INDEX($AH$2:$AH$1001,MATCH(ROWS($AF$2:AF78),$AF$2:$AF$1001,0),0), INDEX($AM$1004:$BM$1004,1,MATCH(COLUMNS($AM$1006:BA1006),$AM$1006:$BM$1006,0)))),"Fix")))</f>
        <v xml:space="preserve"> </v>
      </c>
      <c r="Q78" s="4" t="str">
        <f ca="1">IF(OR(INDEX($AG$2:$AG$1001,MATCH(ROWS($AF$2:AF78),$AF$2:$AF$1001,0),1)&gt;=100000,INDEX($AM$1005:$BM$1005,1,MATCH(COLUMNS($AM$1006:BB1006),$AM$1006:$BM$1006,0))&gt;=100000), " ",IF(INDEX($AM$2:$BM$1001,MATCH(ROWS($AF$2:AF78),$AF$2:$AF$1001,0),MATCH(COLUMNS($AM$1006:BB1006),$AM$1006:$BM$1006,0)), HYPERLINK("#",""), HYPERLINK(CONCATENATE("#metadata!", ADDRESS(INDEX($AH$2:$AH$1001,MATCH(ROWS($AF$2:AF78),$AF$2:$AF$1001,0),0), INDEX($AM$1004:$BM$1004,1,MATCH(COLUMNS($AM$1006:BB1006),$AM$1006:$BM$1006,0)))),"Fix")))</f>
        <v xml:space="preserve"> </v>
      </c>
      <c r="R78" s="4" t="str">
        <f ca="1">IF(OR(INDEX($AG$2:$AG$1001,MATCH(ROWS($AF$2:AF78),$AF$2:$AF$1001,0),1)&gt;=100000,INDEX($AM$1005:$BM$1005,1,MATCH(COLUMNS($AM$1006:BC1006),$AM$1006:$BM$1006,0))&gt;=100000), " ",IF(INDEX($AM$2:$BM$1001,MATCH(ROWS($AF$2:AF78),$AF$2:$AF$1001,0),MATCH(COLUMNS($AM$1006:BC1006),$AM$1006:$BM$1006,0)), HYPERLINK("#",""), HYPERLINK(CONCATENATE("#metadata!", ADDRESS(INDEX($AH$2:$AH$1001,MATCH(ROWS($AF$2:AF78),$AF$2:$AF$1001,0),0), INDEX($AM$1004:$BM$1004,1,MATCH(COLUMNS($AM$1006:BC1006),$AM$1006:$BM$1006,0)))),"Fix")))</f>
        <v xml:space="preserve"> </v>
      </c>
      <c r="S78" s="4" t="str">
        <f ca="1">IF(OR(INDEX($AG$2:$AG$1001,MATCH(ROWS($AF$2:AF78),$AF$2:$AF$1001,0),1)&gt;=100000,INDEX($AM$1005:$BM$1005,1,MATCH(COLUMNS($AM$1006:BD1006),$AM$1006:$BM$1006,0))&gt;=100000), " ",IF(INDEX($AM$2:$BM$1001,MATCH(ROWS($AF$2:AF78),$AF$2:$AF$1001,0),MATCH(COLUMNS($AM$1006:BD1006),$AM$1006:$BM$1006,0)), HYPERLINK("#",""), HYPERLINK(CONCATENATE("#metadata!", ADDRESS(INDEX($AH$2:$AH$1001,MATCH(ROWS($AF$2:AF78),$AF$2:$AF$1001,0),0), INDEX($AM$1004:$BM$1004,1,MATCH(COLUMNS($AM$1006:BD1006),$AM$1006:$BM$1006,0)))),"Fix")))</f>
        <v xml:space="preserve"> </v>
      </c>
      <c r="T78" s="4" t="str">
        <f ca="1">IF(OR(INDEX($AG$2:$AG$1001,MATCH(ROWS($AF$2:AF78),$AF$2:$AF$1001,0),1)&gt;=100000,INDEX($AM$1005:$BM$1005,1,MATCH(COLUMNS($AM$1006:BE1006),$AM$1006:$BM$1006,0))&gt;=100000), " ",IF(INDEX($AM$2:$BM$1001,MATCH(ROWS($AF$2:AF78),$AF$2:$AF$1001,0),MATCH(COLUMNS($AM$1006:BE1006),$AM$1006:$BM$1006,0)), HYPERLINK("#",""), HYPERLINK(CONCATENATE("#metadata!", ADDRESS(INDEX($AH$2:$AH$1001,MATCH(ROWS($AF$2:AF78),$AF$2:$AF$1001,0),0), INDEX($AM$1004:$BM$1004,1,MATCH(COLUMNS($AM$1006:BE1006),$AM$1006:$BM$1006,0)))),"Fix")))</f>
        <v xml:space="preserve"> </v>
      </c>
      <c r="U78" s="4" t="str">
        <f ca="1">IF(OR(INDEX($AG$2:$AG$1001,MATCH(ROWS($AF$2:AF78),$AF$2:$AF$1001,0),1)&gt;=100000,INDEX($AM$1005:$BM$1005,1,MATCH(COLUMNS($AM$1006:BF1006),$AM$1006:$BM$1006,0))&gt;=100000), " ",IF(INDEX($AM$2:$BM$1001,MATCH(ROWS($AF$2:AF78),$AF$2:$AF$1001,0),MATCH(COLUMNS($AM$1006:BF1006),$AM$1006:$BM$1006,0)), HYPERLINK("#",""), HYPERLINK(CONCATENATE("#metadata!", ADDRESS(INDEX($AH$2:$AH$1001,MATCH(ROWS($AF$2:AF78),$AF$2:$AF$1001,0),0), INDEX($AM$1004:$BM$1004,1,MATCH(COLUMNS($AM$1006:BF1006),$AM$1006:$BM$1006,0)))),"Fix")))</f>
        <v xml:space="preserve"> </v>
      </c>
      <c r="V78" s="4" t="str">
        <f ca="1">IF(OR(INDEX($AG$2:$AG$1001,MATCH(ROWS($AF$2:AF78),$AF$2:$AF$1001,0),1)&gt;=100000,INDEX($AM$1005:$BM$1005,1,MATCH(COLUMNS($AM$1006:BG1006),$AM$1006:$BM$1006,0))&gt;=100000), " ",IF(INDEX($AM$2:$BM$1001,MATCH(ROWS($AF$2:AF78),$AF$2:$AF$1001,0),MATCH(COLUMNS($AM$1006:BG1006),$AM$1006:$BM$1006,0)), HYPERLINK("#",""), HYPERLINK(CONCATENATE("#metadata!", ADDRESS(INDEX($AH$2:$AH$1001,MATCH(ROWS($AF$2:AF78),$AF$2:$AF$1001,0),0), INDEX($AM$1004:$BM$1004,1,MATCH(COLUMNS($AM$1006:BG1006),$AM$1006:$BM$1006,0)))),"Fix")))</f>
        <v xml:space="preserve"> </v>
      </c>
      <c r="W78" s="4" t="str">
        <f ca="1">IF(OR(INDEX($AG$2:$AG$1001,MATCH(ROWS($AF$2:AF78),$AF$2:$AF$1001,0),1)&gt;=100000,INDEX($AM$1005:$BM$1005,1,MATCH(COLUMNS($AM$1006:BH1006),$AM$1006:$BM$1006,0))&gt;=100000), " ",IF(INDEX($AM$2:$BM$1001,MATCH(ROWS($AF$2:AF78),$AF$2:$AF$1001,0),MATCH(COLUMNS($AM$1006:BH1006),$AM$1006:$BM$1006,0)), HYPERLINK("#",""), HYPERLINK(CONCATENATE("#metadata!", ADDRESS(INDEX($AH$2:$AH$1001,MATCH(ROWS($AF$2:AF78),$AF$2:$AF$1001,0),0), INDEX($AM$1004:$BM$1004,1,MATCH(COLUMNS($AM$1006:BH1006),$AM$1006:$BM$1006,0)))),"Fix")))</f>
        <v xml:space="preserve"> </v>
      </c>
      <c r="X78" s="4" t="str">
        <f ca="1">IF(OR(INDEX($AG$2:$AG$1001,MATCH(ROWS($AF$2:AF78),$AF$2:$AF$1001,0),1)&gt;=100000,INDEX($AM$1005:$BM$1005,1,MATCH(COLUMNS($AM$1006:BI1006),$AM$1006:$BM$1006,0))&gt;=100000), " ",IF(INDEX($AM$2:$BM$1001,MATCH(ROWS($AF$2:AF78),$AF$2:$AF$1001,0),MATCH(COLUMNS($AM$1006:BI1006),$AM$1006:$BM$1006,0)), HYPERLINK("#",""), HYPERLINK(CONCATENATE("#metadata!", ADDRESS(INDEX($AH$2:$AH$1001,MATCH(ROWS($AF$2:AF78),$AF$2:$AF$1001,0),0), INDEX($AM$1004:$BM$1004,1,MATCH(COLUMNS($AM$1006:BI1006),$AM$1006:$BM$1006,0)))),"Fix")))</f>
        <v xml:space="preserve"> </v>
      </c>
      <c r="Y78" s="4" t="str">
        <f ca="1">IF(OR(INDEX($AG$2:$AG$1001,MATCH(ROWS($AF$2:AF78),$AF$2:$AF$1001,0),1)&gt;=100000,INDEX($AM$1005:$BM$1005,1,MATCH(COLUMNS($AM$1006:BJ1006),$AM$1006:$BM$1006,0))&gt;=100000), " ",IF(INDEX($AM$2:$BM$1001,MATCH(ROWS($AF$2:AF78),$AF$2:$AF$1001,0),MATCH(COLUMNS($AM$1006:BJ1006),$AM$1006:$BM$1006,0)), HYPERLINK("#",""), HYPERLINK(CONCATENATE("#metadata!", ADDRESS(INDEX($AH$2:$AH$1001,MATCH(ROWS($AF$2:AF78),$AF$2:$AF$1001,0),0), INDEX($AM$1004:$BM$1004,1,MATCH(COLUMNS($AM$1006:BJ1006),$AM$1006:$BM$1006,0)))),"Fix")))</f>
        <v xml:space="preserve"> </v>
      </c>
      <c r="Z78" s="4" t="str">
        <f ca="1">IF(OR(INDEX($AG$2:$AG$1001,MATCH(ROWS($AF$2:AF78),$AF$2:$AF$1001,0),1)&gt;=100000,INDEX($AM$1005:$BM$1005,1,MATCH(COLUMNS($AM$1006:BK1006),$AM$1006:$BM$1006,0))&gt;=100000), " ",IF(INDEX($AM$2:$BM$1001,MATCH(ROWS($AF$2:AF78),$AF$2:$AF$1001,0),MATCH(COLUMNS($AM$1006:BK1006),$AM$1006:$BM$1006,0)), HYPERLINK("#",""), HYPERLINK(CONCATENATE("#metadata!", ADDRESS(INDEX($AH$2:$AH$1001,MATCH(ROWS($AF$2:AF78),$AF$2:$AF$1001,0),0), INDEX($AM$1004:$BM$1004,1,MATCH(COLUMNS($AM$1006:BK1006),$AM$1006:$BM$1006,0)))),"Fix")))</f>
        <v xml:space="preserve"> </v>
      </c>
      <c r="AA78" s="4" t="str">
        <f ca="1">IF(OR(INDEX($AG$2:$AG$1001,MATCH(ROWS($AF$2:AF78),$AF$2:$AF$1001,0),1)&gt;=100000,INDEX($AM$1005:$BM$1005,1,MATCH(COLUMNS($AM$1006:BL1006),$AM$1006:$BM$1006,0))&gt;=100000), " ",IF(INDEX($AM$2:$BM$1001,MATCH(ROWS($AF$2:AF78),$AF$2:$AF$1001,0),MATCH(COLUMNS($AM$1006:BL1006),$AM$1006:$BM$1006,0)), HYPERLINK("#",""), HYPERLINK(CONCATENATE("#metadata!", ADDRESS(INDEX($AH$2:$AH$1001,MATCH(ROWS($AF$2:AF78),$AF$2:$AF$1001,0),0), INDEX($AM$1004:$BM$1004,1,MATCH(COLUMNS($AM$1006:BL1006),$AM$1006:$BM$1006,0)))),"Fix")))</f>
        <v xml:space="preserve"> </v>
      </c>
      <c r="AB78" s="4" t="str">
        <f ca="1">IF(OR(INDEX($AG$2:$AG$1001,MATCH(ROWS($AF$2:AF78),$AF$2:$AF$1001,0),1)&gt;=100000,INDEX($AM$1005:$BM$1005,1,MATCH(COLUMNS($AM$1006:BM1006),$AM$1006:$BM$1006,0))&gt;=100000), " ",IF(INDEX($AM$2:$BM$1001,MATCH(ROWS($AF$2:AF78),$AF$2:$AF$1001,0),MATCH(COLUMNS($AM$1006:BM1006),$AM$1006:$BM$1006,0)), HYPERLINK("#",""), HYPERLINK(CONCATENATE("#metadata!", ADDRESS(INDEX($AH$2:$AH$1001,MATCH(ROWS($AF$2:AF78),$AF$2:$AF$1001,0),0), INDEX($AM$1004:$BM$1004,1,MATCH(COLUMNS($AM$1006:BM1006),$AM$1006:$BM$1006,0)))),"Fix")))</f>
        <v xml:space="preserve"> </v>
      </c>
      <c r="AF78">
        <v>77</v>
      </c>
      <c r="AG78">
        <v>100078</v>
      </c>
      <c r="AH78">
        <v>78</v>
      </c>
      <c r="AI78" t="b">
        <f t="shared" si="1"/>
        <v>1</v>
      </c>
      <c r="AJ78" t="b">
        <f>COUNTBLANK(metadata!B78:AB78)=COLUMNS(metadata!B78:AB78)</f>
        <v>1</v>
      </c>
      <c r="AK78" t="str">
        <v/>
      </c>
      <c r="AM78" t="b">
        <f ca="1">AND(IF(metadata!B78="",FALSE,TRUE),COUNTIF(metadata!B:B, metadata!B78) = 1,NOT(ISERROR(SUMPRODUCT(SEARCH(MID(metadata!B78,ROW(INDIRECT("1:"&amp;LEN(metadata!B78))), 1),"0123456789abcdefghijklmnopqrstuvwxyzABCDEFGHIJKLMNOPQRSTUVWXYZ.")))))</f>
        <v>0</v>
      </c>
      <c r="AN78" t="b">
        <f ca="1">OR(AND(IF(metadata!C78="",FALSE,TRUE),OR(EXACT(metadata!C78,"missing: not collected"),EXACT(metadata!C78,"missing: not provided"),EXACT(metadata!C78,"missing: restricted access"))),AND(IF(metadata!C78="",FALSE,TRUE),AND(AND(IFERROR(INT(LEFT(metadata!C78,4))&gt;1900,FALSE),IFERROR(INT(LEFT(metadata!C78,4))&lt;=YEAR(NOW()),FALSE)), OR(MID(metadata!C78,5,1)="", AND(AND(MID(metadata!C78,5,1)="-",IFERROR(INT(MID(metadata!C78,6,1))&gt;=0,FALSE),IFERROR(INT(MID(metadata!C78,6,1))&lt;=1,FALSE),NOT(MID(metadata!C78,7,1)=""),IFERROR(INT(MID(metadata!C78,6,2))&gt;=1,FALSE),IFERROR(INT(MID(metadata!C78,6,2))&lt;=12,FALSE)), OR(MID(metadata!C78,8,1)="", AND(AND(MID(metadata!C78,8,1)="-",IFERROR(INT(MID(metadata!C78,9,1))&gt;=0,FALSE),IFERROR(INT(MID(metadata!C78,9,1))&lt;=3,FALSE),NOT(MID(metadata!C78,10,1)=""),IFERROR(INT(MID(metadata!C78,9,2))&gt;=1,FALSE),IFERROR(INT(MID(metadata!C78,9,2))&lt;=31,FALSE)), OR(MID(metadata!C78,11,1)="", AND(AND(MID(metadata!C78,11,1)=" ",IFERROR(INT(MID(metadata!C78,12,1))&gt;=0,FALSE),IFERROR(INT(MID(metadata!C78,12,1))&lt;=2,FALSE),NOT(MID(metadata!C78,13,1)=""),IFERROR(INT(MID(metadata!C78,12,2))&gt;=0,FALSE),IFERROR(INT(MID(metadata!C78,12,2))&lt;=23,FALSE)), OR(MID(metadata!C78,14,1)="", AND(AND(MID(metadata!C78,14,1)=":",IFERROR(INT(MID(metadata!C78,15,1))&gt;=0,FALSE),IFERROR(INT(MID(metadata!C78,15,1))&lt;=5,FALSE),NOT(MID(metadata!C78,16,1)=""),IFERROR(INT(MID(metadata!C78,15,2))&gt;=0,FALSE),IFERROR(INT(MID(metadata!C78,15,2))&lt;=59,FALSE)), OR(MID(metadata!C78,17,1)="", AND(AND(MID(metadata!C78,17,1)=":",IFERROR(INT(MID(metadata!C78,18,1))&gt;=0,FALSE),IFERROR(INT(MID(metadata!C78,18,1))&lt;=5,FALSE),NOT(MID(metadata!C78,19,1)=""),IFERROR(INT(MID(metadata!C78,18,2))&gt;=0,FALSE),IFERROR(INT(MID(metadata!C78,18,2))&lt;=59,FALSE)), LEN(metadata!C78)&lt;=19)))))))))))))</f>
        <v>0</v>
      </c>
      <c r="AO78" t="b">
        <f>AND(IF(metadata!D78="",FALSE,TRUE),EXACT(metadata!D78,"Not applicable"))</f>
        <v>0</v>
      </c>
      <c r="AP78" t="b">
        <f>IF(metadata!E78="",FALSE,TRUE)</f>
        <v>0</v>
      </c>
      <c r="AQ78" t="b">
        <f>OR(AND(IF(metadata!F78="",FALSE,TRUE),OR(EXACT(metadata!F78,"missing: not collected"),EXACT(metadata!F78,"missing: not provided"))),AND(IF(metadata!F78="",FALSE,TRUE),OR(EXACT(metadata!F78,"TRUE"),EXACT(metadata!F78,"FALSE"))))</f>
        <v>0</v>
      </c>
      <c r="AR78" t="b">
        <f>OR(AND(IF(metadata!G78="",FALSE,TRUE),OR(EXACT(metadata!G78,"missing: not collected"),EXACT(metadata!G78,"missing: not provided"),EXACT(metadata!G78,"missing: restricted access"))),AND(IF(metadata!G78="",FALSE,ISNUMBER(VALUE(metadata!G78))),metadata!G78&gt;=-413))</f>
        <v>0</v>
      </c>
      <c r="AS78" t="b">
        <f>AND(IF(metadata!H78="",FALSE,TRUE),EXACT(metadata!H78,"meters"))</f>
        <v>0</v>
      </c>
      <c r="AT78" t="b">
        <f>AND(IF(metadata!I78="",FALSE,TRUE),OR(EXACT(metadata!I78,"Host-associated"),EXACT(metadata!I78,"Free-living")))</f>
        <v>0</v>
      </c>
      <c r="AU78" t="b">
        <f>AND(IF(metadata!J78="",FALSE,TRUE),OR(EXACT(metadata!J78,"Animal"),EXACT(metadata!J78,"Fungus"),EXACT(metadata!J78,"Plant"),EXACT(metadata!J78,"Saline"),EXACT(metadata!J78,"Non-saline")))</f>
        <v>0</v>
      </c>
      <c r="AV78" t="b">
        <f>AND(IF(metadata!K78="",FALSE,TRUE),OR(EXACT(metadata!K78,"Plant secretion"),EXACT(metadata!K78,"Plant rhizosphere"),EXACT(metadata!K78,"Plant surface"),EXACT(metadata!K78,"Plant corpus"),EXACT(metadata!K78,"Fungus surface"),EXACT(metadata!K78,"Fungus corpus"),EXACT(metadata!K78,"Animal surface"),EXACT(metadata!K78,"Animal proximal gut"),EXACT(metadata!K78,"Animal corpus"),EXACT(metadata!K78,"Animal distal gut"),EXACT(metadata!K78,"Animal secretion"),EXACT(metadata!K78,"Sub-surface (non-saline)"),EXACT(metadata!K78,"Surface (non-saline)"),EXACT(metadata!K78,"Water (non-saline)"),EXACT(metadata!K78,"Soil (non-saline)"),EXACT(metadata!K78,"Aerosol (non-saline)"),EXACT(metadata!K78,"Sediment (non-saline)"),EXACT(metadata!K78,"Surface (saline)"),EXACT(metadata!K78,"Water (saline)"),EXACT(metadata!K78,"Hypersaline (saline)"),EXACT(metadata!K78,"Aerosol (saline)"),EXACT(metadata!K78,"Sediment (saline)")))</f>
        <v>0</v>
      </c>
      <c r="AW78" t="b">
        <f>IF(metadata!L78="",FALSE,TRUE)</f>
        <v>0</v>
      </c>
      <c r="AX78" t="b">
        <f>IF(metadata!M78="",FALSE,TRUE)</f>
        <v>0</v>
      </c>
      <c r="AY78" t="b">
        <f>IF(metadata!N78="",FALSE,TRUE)</f>
        <v>0</v>
      </c>
      <c r="AZ78" t="b">
        <f>OR(AND(IF(metadata!O78="",FALSE,TRUE),OR(EXACT(metadata!O78,"missing: not collected"),EXACT(metadata!O78,"missing: not provided"),EXACT(metadata!O78,"missing: restricted access"))),AND(IF(metadata!O78="",FALSE,TRUE),OR(EXACT(metadata!O78,"air"),EXACT(metadata!O78,"built environment"),EXACT(metadata!O78,"host-associated"),EXACT(metadata!O78,"human-associated"),EXACT(metadata!O78,"human-skin"),EXACT(metadata!O78,"human-oral"),EXACT(metadata!O78,"human-gut"),EXACT(metadata!O78,"human-vaginal"),EXACT(metadata!O78,"microbial mat/biofilm"),EXACT(metadata!O78,"misc environment"),EXACT(metadata!O78,"plant-associated"),EXACT(metadata!O78,"sediment"),EXACT(metadata!O78,"soil"),EXACT(metadata!O78,"wastewater/sludge"),EXACT(metadata!O78,"water"))))</f>
        <v>0</v>
      </c>
      <c r="BA78" t="b">
        <f>IF(metadata!P78="",FALSE,TRUE)</f>
        <v>0</v>
      </c>
      <c r="BB78" t="b">
        <f>IF(metadata!Q78="",FALSE,TRUE)</f>
        <v>0</v>
      </c>
      <c r="BC78" t="b">
        <f>OR(AND(IF(metadata!R78="",FALSE,TRUE),OR(EXACT(metadata!R78,"missing: not collected"),EXACT(metadata!R78,"missing: not provided"),EXACT(metadata!R78,"missing: restricted access"))),AND(IF(metadata!R78="",FALSE,ISNUMBER(VALUE(metadata!R78))),metadata!R78&gt;=-90,metadata!R78&lt;=90))</f>
        <v>0</v>
      </c>
      <c r="BD78" t="b">
        <f>AND(IF(metadata!S78="",FALSE,TRUE),EXACT(metadata!S78,"Decimal degrees"))</f>
        <v>0</v>
      </c>
      <c r="BE78" t="b">
        <f>OR(AND(IF(metadata!T78="",FALSE,TRUE),OR(EXACT(metadata!T78,"missing: not collected"),EXACT(metadata!T78,"missing: not provided"),EXACT(metadata!T78,"missing: restricted access"))),AND(IF(metadata!T78="",FALSE,ISNUMBER(VALUE(metadata!T78))),metadata!T78&gt;=-180,metadata!T78&lt;=180))</f>
        <v>0</v>
      </c>
      <c r="BF78" t="b">
        <f>AND(IF(metadata!U78="",FALSE,TRUE),EXACT(metadata!U78,"Decimal degrees"))</f>
        <v>0</v>
      </c>
      <c r="BG78" t="b">
        <f>IF(metadata!V78="",FALSE,TRUE)</f>
        <v>0</v>
      </c>
      <c r="BH78" t="b">
        <f>OR(AND(IF(metadata!W78="",FALSE,TRUE),OR(EXACT(metadata!W78,"missing: not collected"),EXACT(metadata!W78,"missing: not provided"),EXACT(metadata!W78,"missing: restricted access"))),AND(IF(metadata!W78="",FALSE,TRUE),OR(EXACT(metadata!W78,"TRUE"),EXACT(metadata!W78,"FALSE"))))</f>
        <v>0</v>
      </c>
      <c r="BI78" t="b">
        <f>AND(IF(metadata!X78="",FALSE,TRUE),EXACT(metadata!X78,"other"))</f>
        <v>0</v>
      </c>
      <c r="BJ78" t="b">
        <f>IF(metadata!Y78="",FALSE,TRUE)</f>
        <v>0</v>
      </c>
      <c r="BK78" t="b">
        <f>OR(AND(IF(metadata!Z78="",FALSE,TRUE),OR(EXACT(metadata!Z78,"missing: not collected"),EXACT(metadata!Z78,"missing: not provided"))),AND(IF(metadata!Z78="",FALSE,IF(ISERROR(INT(metadata!Z78)),FALSE,INT(metadata!Z78)=metadata!Z78)),metadata!Z78&gt;0))</f>
        <v>0</v>
      </c>
      <c r="BL78" t="b">
        <f>AND(IF(metadata!AA78="",FALSE,TRUE),EXACT(metadata!AA78,"Not applicable"))</f>
        <v>0</v>
      </c>
      <c r="BM78" t="b">
        <f>IF(metadata!AB78="",FALSE,TRUE)</f>
        <v>0</v>
      </c>
    </row>
    <row r="79" spans="1:65" x14ac:dyDescent="0.2">
      <c r="A79" s="5" t="str">
        <f ca="1">IF(B79=" "," ",HYPERLINK(CONCATENATE("#metadata!",ADDRESS(INDEX($AH$2:$AH$1001,MATCH(ROWS($AF$2:AF79),$AF$2:$AF$1001,0),0),1)),INDEX($AK$2:$AK$1001,MATCH(ROWS($AF$2:AF79),$AF$2:$AF$1001,0),0)))</f>
        <v xml:space="preserve"> </v>
      </c>
      <c r="B79" s="4" t="str">
        <f ca="1">IF(OR(INDEX($AG$2:$AG$1001,MATCH(ROWS($AF$2:AF79),$AF$2:$AF$1001,0),1)&gt;=100000,INDEX($AM$1005:$BM$1005,1,MATCH(COLUMNS($AM$1006:AM1006),$AM$1006:$BM$1006,0))&gt;=100000), " ",IF(INDEX($AM$2:$BM$1001,MATCH(ROWS($AF$2:AF79),$AF$2:$AF$1001,0),MATCH(COLUMNS($AM$1006:AM1006),$AM$1006:$BM$1006,0)), HYPERLINK("#",""), HYPERLINK(CONCATENATE("#metadata!", ADDRESS(INDEX($AH$2:$AH$1001,MATCH(ROWS($AF$2:AF79),$AF$2:$AF$1001,0),0), INDEX($AM$1004:$BM$1004,1,MATCH(COLUMNS($AM$1006:AM1006),$AM$1006:$BM$1006,0)))),"Fix")))</f>
        <v xml:space="preserve"> </v>
      </c>
      <c r="C79" s="4" t="str">
        <f ca="1">IF(OR(INDEX($AG$2:$AG$1001,MATCH(ROWS($AF$2:AF79),$AF$2:$AF$1001,0),1)&gt;=100000,INDEX($AM$1005:$BM$1005,1,MATCH(COLUMNS($AM$1006:AN1006),$AM$1006:$BM$1006,0))&gt;=100000), " ",IF(INDEX($AM$2:$BM$1001,MATCH(ROWS($AF$2:AF79),$AF$2:$AF$1001,0),MATCH(COLUMNS($AM$1006:AN1006),$AM$1006:$BM$1006,0)), HYPERLINK("#",""), HYPERLINK(CONCATENATE("#metadata!", ADDRESS(INDEX($AH$2:$AH$1001,MATCH(ROWS($AF$2:AF79),$AF$2:$AF$1001,0),0), INDEX($AM$1004:$BM$1004,1,MATCH(COLUMNS($AM$1006:AN1006),$AM$1006:$BM$1006,0)))),"Fix")))</f>
        <v xml:space="preserve"> </v>
      </c>
      <c r="D79" s="4" t="str">
        <f ca="1">IF(OR(INDEX($AG$2:$AG$1001,MATCH(ROWS($AF$2:AF79),$AF$2:$AF$1001,0),1)&gt;=100000,INDEX($AM$1005:$BM$1005,1,MATCH(COLUMNS($AM$1006:AO1006),$AM$1006:$BM$1006,0))&gt;=100000), " ",IF(INDEX($AM$2:$BM$1001,MATCH(ROWS($AF$2:AF79),$AF$2:$AF$1001,0),MATCH(COLUMNS($AM$1006:AO1006),$AM$1006:$BM$1006,0)), HYPERLINK("#",""), HYPERLINK(CONCATENATE("#metadata!", ADDRESS(INDEX($AH$2:$AH$1001,MATCH(ROWS($AF$2:AF79),$AF$2:$AF$1001,0),0), INDEX($AM$1004:$BM$1004,1,MATCH(COLUMNS($AM$1006:AO1006),$AM$1006:$BM$1006,0)))),"Fix")))</f>
        <v xml:space="preserve"> </v>
      </c>
      <c r="E79" s="4" t="str">
        <f ca="1">IF(OR(INDEX($AG$2:$AG$1001,MATCH(ROWS($AF$2:AF79),$AF$2:$AF$1001,0),1)&gt;=100000,INDEX($AM$1005:$BM$1005,1,MATCH(COLUMNS($AM$1006:AP1006),$AM$1006:$BM$1006,0))&gt;=100000), " ",IF(INDEX($AM$2:$BM$1001,MATCH(ROWS($AF$2:AF79),$AF$2:$AF$1001,0),MATCH(COLUMNS($AM$1006:AP1006),$AM$1006:$BM$1006,0)), HYPERLINK("#",""), HYPERLINK(CONCATENATE("#metadata!", ADDRESS(INDEX($AH$2:$AH$1001,MATCH(ROWS($AF$2:AF79),$AF$2:$AF$1001,0),0), INDEX($AM$1004:$BM$1004,1,MATCH(COLUMNS($AM$1006:AP1006),$AM$1006:$BM$1006,0)))),"Fix")))</f>
        <v xml:space="preserve"> </v>
      </c>
      <c r="F79" s="4" t="str">
        <f ca="1">IF(OR(INDEX($AG$2:$AG$1001,MATCH(ROWS($AF$2:AF79),$AF$2:$AF$1001,0),1)&gt;=100000,INDEX($AM$1005:$BM$1005,1,MATCH(COLUMNS($AM$1006:AQ1006),$AM$1006:$BM$1006,0))&gt;=100000), " ",IF(INDEX($AM$2:$BM$1001,MATCH(ROWS($AF$2:AF79),$AF$2:$AF$1001,0),MATCH(COLUMNS($AM$1006:AQ1006),$AM$1006:$BM$1006,0)), HYPERLINK("#",""), HYPERLINK(CONCATENATE("#metadata!", ADDRESS(INDEX($AH$2:$AH$1001,MATCH(ROWS($AF$2:AF79),$AF$2:$AF$1001,0),0), INDEX($AM$1004:$BM$1004,1,MATCH(COLUMNS($AM$1006:AQ1006),$AM$1006:$BM$1006,0)))),"Fix")))</f>
        <v xml:space="preserve"> </v>
      </c>
      <c r="G79" s="4" t="str">
        <f ca="1">IF(OR(INDEX($AG$2:$AG$1001,MATCH(ROWS($AF$2:AF79),$AF$2:$AF$1001,0),1)&gt;=100000,INDEX($AM$1005:$BM$1005,1,MATCH(COLUMNS($AM$1006:AR1006),$AM$1006:$BM$1006,0))&gt;=100000), " ",IF(INDEX($AM$2:$BM$1001,MATCH(ROWS($AF$2:AF79),$AF$2:$AF$1001,0),MATCH(COLUMNS($AM$1006:AR1006),$AM$1006:$BM$1006,0)), HYPERLINK("#",""), HYPERLINK(CONCATENATE("#metadata!", ADDRESS(INDEX($AH$2:$AH$1001,MATCH(ROWS($AF$2:AF79),$AF$2:$AF$1001,0),0), INDEX($AM$1004:$BM$1004,1,MATCH(COLUMNS($AM$1006:AR1006),$AM$1006:$BM$1006,0)))),"Fix")))</f>
        <v xml:space="preserve"> </v>
      </c>
      <c r="H79" s="4" t="str">
        <f ca="1">IF(OR(INDEX($AG$2:$AG$1001,MATCH(ROWS($AF$2:AF79),$AF$2:$AF$1001,0),1)&gt;=100000,INDEX($AM$1005:$BM$1005,1,MATCH(COLUMNS($AM$1006:AS1006),$AM$1006:$BM$1006,0))&gt;=100000), " ",IF(INDEX($AM$2:$BM$1001,MATCH(ROWS($AF$2:AF79),$AF$2:$AF$1001,0),MATCH(COLUMNS($AM$1006:AS1006),$AM$1006:$BM$1006,0)), HYPERLINK("#",""), HYPERLINK(CONCATENATE("#metadata!", ADDRESS(INDEX($AH$2:$AH$1001,MATCH(ROWS($AF$2:AF79),$AF$2:$AF$1001,0),0), INDEX($AM$1004:$BM$1004,1,MATCH(COLUMNS($AM$1006:AS1006),$AM$1006:$BM$1006,0)))),"Fix")))</f>
        <v xml:space="preserve"> </v>
      </c>
      <c r="I79" s="4" t="str">
        <f ca="1">IF(OR(INDEX($AG$2:$AG$1001,MATCH(ROWS($AF$2:AF79),$AF$2:$AF$1001,0),1)&gt;=100000,INDEX($AM$1005:$BM$1005,1,MATCH(COLUMNS($AM$1006:AT1006),$AM$1006:$BM$1006,0))&gt;=100000), " ",IF(INDEX($AM$2:$BM$1001,MATCH(ROWS($AF$2:AF79),$AF$2:$AF$1001,0),MATCH(COLUMNS($AM$1006:AT1006),$AM$1006:$BM$1006,0)), HYPERLINK("#",""), HYPERLINK(CONCATENATE("#metadata!", ADDRESS(INDEX($AH$2:$AH$1001,MATCH(ROWS($AF$2:AF79),$AF$2:$AF$1001,0),0), INDEX($AM$1004:$BM$1004,1,MATCH(COLUMNS($AM$1006:AT1006),$AM$1006:$BM$1006,0)))),"Fix")))</f>
        <v xml:space="preserve"> </v>
      </c>
      <c r="J79" s="4" t="str">
        <f ca="1">IF(OR(INDEX($AG$2:$AG$1001,MATCH(ROWS($AF$2:AF79),$AF$2:$AF$1001,0),1)&gt;=100000,INDEX($AM$1005:$BM$1005,1,MATCH(COLUMNS($AM$1006:AU1006),$AM$1006:$BM$1006,0))&gt;=100000), " ",IF(INDEX($AM$2:$BM$1001,MATCH(ROWS($AF$2:AF79),$AF$2:$AF$1001,0),MATCH(COLUMNS($AM$1006:AU1006),$AM$1006:$BM$1006,0)), HYPERLINK("#",""), HYPERLINK(CONCATENATE("#metadata!", ADDRESS(INDEX($AH$2:$AH$1001,MATCH(ROWS($AF$2:AF79),$AF$2:$AF$1001,0),0), INDEX($AM$1004:$BM$1004,1,MATCH(COLUMNS($AM$1006:AU1006),$AM$1006:$BM$1006,0)))),"Fix")))</f>
        <v xml:space="preserve"> </v>
      </c>
      <c r="K79" s="4" t="str">
        <f ca="1">IF(OR(INDEX($AG$2:$AG$1001,MATCH(ROWS($AF$2:AF79),$AF$2:$AF$1001,0),1)&gt;=100000,INDEX($AM$1005:$BM$1005,1,MATCH(COLUMNS($AM$1006:AV1006),$AM$1006:$BM$1006,0))&gt;=100000), " ",IF(INDEX($AM$2:$BM$1001,MATCH(ROWS($AF$2:AF79),$AF$2:$AF$1001,0),MATCH(COLUMNS($AM$1006:AV1006),$AM$1006:$BM$1006,0)), HYPERLINK("#",""), HYPERLINK(CONCATENATE("#metadata!", ADDRESS(INDEX($AH$2:$AH$1001,MATCH(ROWS($AF$2:AF79),$AF$2:$AF$1001,0),0), INDEX($AM$1004:$BM$1004,1,MATCH(COLUMNS($AM$1006:AV1006),$AM$1006:$BM$1006,0)))),"Fix")))</f>
        <v xml:space="preserve"> </v>
      </c>
      <c r="L79" s="4" t="str">
        <f ca="1">IF(OR(INDEX($AG$2:$AG$1001,MATCH(ROWS($AF$2:AF79),$AF$2:$AF$1001,0),1)&gt;=100000,INDEX($AM$1005:$BM$1005,1,MATCH(COLUMNS($AM$1006:AW1006),$AM$1006:$BM$1006,0))&gt;=100000), " ",IF(INDEX($AM$2:$BM$1001,MATCH(ROWS($AF$2:AF79),$AF$2:$AF$1001,0),MATCH(COLUMNS($AM$1006:AW1006),$AM$1006:$BM$1006,0)), HYPERLINK("#",""), HYPERLINK(CONCATENATE("#metadata!", ADDRESS(INDEX($AH$2:$AH$1001,MATCH(ROWS($AF$2:AF79),$AF$2:$AF$1001,0),0), INDEX($AM$1004:$BM$1004,1,MATCH(COLUMNS($AM$1006:AW1006),$AM$1006:$BM$1006,0)))),"Fix")))</f>
        <v xml:space="preserve"> </v>
      </c>
      <c r="M79" s="4" t="str">
        <f ca="1">IF(OR(INDEX($AG$2:$AG$1001,MATCH(ROWS($AF$2:AF79),$AF$2:$AF$1001,0),1)&gt;=100000,INDEX($AM$1005:$BM$1005,1,MATCH(COLUMNS($AM$1006:AX1006),$AM$1006:$BM$1006,0))&gt;=100000), " ",IF(INDEX($AM$2:$BM$1001,MATCH(ROWS($AF$2:AF79),$AF$2:$AF$1001,0),MATCH(COLUMNS($AM$1006:AX1006),$AM$1006:$BM$1006,0)), HYPERLINK("#",""), HYPERLINK(CONCATENATE("#metadata!", ADDRESS(INDEX($AH$2:$AH$1001,MATCH(ROWS($AF$2:AF79),$AF$2:$AF$1001,0),0), INDEX($AM$1004:$BM$1004,1,MATCH(COLUMNS($AM$1006:AX1006),$AM$1006:$BM$1006,0)))),"Fix")))</f>
        <v xml:space="preserve"> </v>
      </c>
      <c r="N79" s="4" t="str">
        <f ca="1">IF(OR(INDEX($AG$2:$AG$1001,MATCH(ROWS($AF$2:AF79),$AF$2:$AF$1001,0),1)&gt;=100000,INDEX($AM$1005:$BM$1005,1,MATCH(COLUMNS($AM$1006:AY1006),$AM$1006:$BM$1006,0))&gt;=100000), " ",IF(INDEX($AM$2:$BM$1001,MATCH(ROWS($AF$2:AF79),$AF$2:$AF$1001,0),MATCH(COLUMNS($AM$1006:AY1006),$AM$1006:$BM$1006,0)), HYPERLINK("#",""), HYPERLINK(CONCATENATE("#metadata!", ADDRESS(INDEX($AH$2:$AH$1001,MATCH(ROWS($AF$2:AF79),$AF$2:$AF$1001,0),0), INDEX($AM$1004:$BM$1004,1,MATCH(COLUMNS($AM$1006:AY1006),$AM$1006:$BM$1006,0)))),"Fix")))</f>
        <v xml:space="preserve"> </v>
      </c>
      <c r="O79" s="4" t="str">
        <f ca="1">IF(OR(INDEX($AG$2:$AG$1001,MATCH(ROWS($AF$2:AF79),$AF$2:$AF$1001,0),1)&gt;=100000,INDEX($AM$1005:$BM$1005,1,MATCH(COLUMNS($AM$1006:AZ1006),$AM$1006:$BM$1006,0))&gt;=100000), " ",IF(INDEX($AM$2:$BM$1001,MATCH(ROWS($AF$2:AF79),$AF$2:$AF$1001,0),MATCH(COLUMNS($AM$1006:AZ1006),$AM$1006:$BM$1006,0)), HYPERLINK("#",""), HYPERLINK(CONCATENATE("#metadata!", ADDRESS(INDEX($AH$2:$AH$1001,MATCH(ROWS($AF$2:AF79),$AF$2:$AF$1001,0),0), INDEX($AM$1004:$BM$1004,1,MATCH(COLUMNS($AM$1006:AZ1006),$AM$1006:$BM$1006,0)))),"Fix")))</f>
        <v xml:space="preserve"> </v>
      </c>
      <c r="P79" s="4" t="str">
        <f ca="1">IF(OR(INDEX($AG$2:$AG$1001,MATCH(ROWS($AF$2:AF79),$AF$2:$AF$1001,0),1)&gt;=100000,INDEX($AM$1005:$BM$1005,1,MATCH(COLUMNS($AM$1006:BA1006),$AM$1006:$BM$1006,0))&gt;=100000), " ",IF(INDEX($AM$2:$BM$1001,MATCH(ROWS($AF$2:AF79),$AF$2:$AF$1001,0),MATCH(COLUMNS($AM$1006:BA1006),$AM$1006:$BM$1006,0)), HYPERLINK("#",""), HYPERLINK(CONCATENATE("#metadata!", ADDRESS(INDEX($AH$2:$AH$1001,MATCH(ROWS($AF$2:AF79),$AF$2:$AF$1001,0),0), INDEX($AM$1004:$BM$1004,1,MATCH(COLUMNS($AM$1006:BA1006),$AM$1006:$BM$1006,0)))),"Fix")))</f>
        <v xml:space="preserve"> </v>
      </c>
      <c r="Q79" s="4" t="str">
        <f ca="1">IF(OR(INDEX($AG$2:$AG$1001,MATCH(ROWS($AF$2:AF79),$AF$2:$AF$1001,0),1)&gt;=100000,INDEX($AM$1005:$BM$1005,1,MATCH(COLUMNS($AM$1006:BB1006),$AM$1006:$BM$1006,0))&gt;=100000), " ",IF(INDEX($AM$2:$BM$1001,MATCH(ROWS($AF$2:AF79),$AF$2:$AF$1001,0),MATCH(COLUMNS($AM$1006:BB1006),$AM$1006:$BM$1006,0)), HYPERLINK("#",""), HYPERLINK(CONCATENATE("#metadata!", ADDRESS(INDEX($AH$2:$AH$1001,MATCH(ROWS($AF$2:AF79),$AF$2:$AF$1001,0),0), INDEX($AM$1004:$BM$1004,1,MATCH(COLUMNS($AM$1006:BB1006),$AM$1006:$BM$1006,0)))),"Fix")))</f>
        <v xml:space="preserve"> </v>
      </c>
      <c r="R79" s="4" t="str">
        <f ca="1">IF(OR(INDEX($AG$2:$AG$1001,MATCH(ROWS($AF$2:AF79),$AF$2:$AF$1001,0),1)&gt;=100000,INDEX($AM$1005:$BM$1005,1,MATCH(COLUMNS($AM$1006:BC1006),$AM$1006:$BM$1006,0))&gt;=100000), " ",IF(INDEX($AM$2:$BM$1001,MATCH(ROWS($AF$2:AF79),$AF$2:$AF$1001,0),MATCH(COLUMNS($AM$1006:BC1006),$AM$1006:$BM$1006,0)), HYPERLINK("#",""), HYPERLINK(CONCATENATE("#metadata!", ADDRESS(INDEX($AH$2:$AH$1001,MATCH(ROWS($AF$2:AF79),$AF$2:$AF$1001,0),0), INDEX($AM$1004:$BM$1004,1,MATCH(COLUMNS($AM$1006:BC1006),$AM$1006:$BM$1006,0)))),"Fix")))</f>
        <v xml:space="preserve"> </v>
      </c>
      <c r="S79" s="4" t="str">
        <f ca="1">IF(OR(INDEX($AG$2:$AG$1001,MATCH(ROWS($AF$2:AF79),$AF$2:$AF$1001,0),1)&gt;=100000,INDEX($AM$1005:$BM$1005,1,MATCH(COLUMNS($AM$1006:BD1006),$AM$1006:$BM$1006,0))&gt;=100000), " ",IF(INDEX($AM$2:$BM$1001,MATCH(ROWS($AF$2:AF79),$AF$2:$AF$1001,0),MATCH(COLUMNS($AM$1006:BD1006),$AM$1006:$BM$1006,0)), HYPERLINK("#",""), HYPERLINK(CONCATENATE("#metadata!", ADDRESS(INDEX($AH$2:$AH$1001,MATCH(ROWS($AF$2:AF79),$AF$2:$AF$1001,0),0), INDEX($AM$1004:$BM$1004,1,MATCH(COLUMNS($AM$1006:BD1006),$AM$1006:$BM$1006,0)))),"Fix")))</f>
        <v xml:space="preserve"> </v>
      </c>
      <c r="T79" s="4" t="str">
        <f ca="1">IF(OR(INDEX($AG$2:$AG$1001,MATCH(ROWS($AF$2:AF79),$AF$2:$AF$1001,0),1)&gt;=100000,INDEX($AM$1005:$BM$1005,1,MATCH(COLUMNS($AM$1006:BE1006),$AM$1006:$BM$1006,0))&gt;=100000), " ",IF(INDEX($AM$2:$BM$1001,MATCH(ROWS($AF$2:AF79),$AF$2:$AF$1001,0),MATCH(COLUMNS($AM$1006:BE1006),$AM$1006:$BM$1006,0)), HYPERLINK("#",""), HYPERLINK(CONCATENATE("#metadata!", ADDRESS(INDEX($AH$2:$AH$1001,MATCH(ROWS($AF$2:AF79),$AF$2:$AF$1001,0),0), INDEX($AM$1004:$BM$1004,1,MATCH(COLUMNS($AM$1006:BE1006),$AM$1006:$BM$1006,0)))),"Fix")))</f>
        <v xml:space="preserve"> </v>
      </c>
      <c r="U79" s="4" t="str">
        <f ca="1">IF(OR(INDEX($AG$2:$AG$1001,MATCH(ROWS($AF$2:AF79),$AF$2:$AF$1001,0),1)&gt;=100000,INDEX($AM$1005:$BM$1005,1,MATCH(COLUMNS($AM$1006:BF1006),$AM$1006:$BM$1006,0))&gt;=100000), " ",IF(INDEX($AM$2:$BM$1001,MATCH(ROWS($AF$2:AF79),$AF$2:$AF$1001,0),MATCH(COLUMNS($AM$1006:BF1006),$AM$1006:$BM$1006,0)), HYPERLINK("#",""), HYPERLINK(CONCATENATE("#metadata!", ADDRESS(INDEX($AH$2:$AH$1001,MATCH(ROWS($AF$2:AF79),$AF$2:$AF$1001,0),0), INDEX($AM$1004:$BM$1004,1,MATCH(COLUMNS($AM$1006:BF1006),$AM$1006:$BM$1006,0)))),"Fix")))</f>
        <v xml:space="preserve"> </v>
      </c>
      <c r="V79" s="4" t="str">
        <f ca="1">IF(OR(INDEX($AG$2:$AG$1001,MATCH(ROWS($AF$2:AF79),$AF$2:$AF$1001,0),1)&gt;=100000,INDEX($AM$1005:$BM$1005,1,MATCH(COLUMNS($AM$1006:BG1006),$AM$1006:$BM$1006,0))&gt;=100000), " ",IF(INDEX($AM$2:$BM$1001,MATCH(ROWS($AF$2:AF79),$AF$2:$AF$1001,0),MATCH(COLUMNS($AM$1006:BG1006),$AM$1006:$BM$1006,0)), HYPERLINK("#",""), HYPERLINK(CONCATENATE("#metadata!", ADDRESS(INDEX($AH$2:$AH$1001,MATCH(ROWS($AF$2:AF79),$AF$2:$AF$1001,0),0), INDEX($AM$1004:$BM$1004,1,MATCH(COLUMNS($AM$1006:BG1006),$AM$1006:$BM$1006,0)))),"Fix")))</f>
        <v xml:space="preserve"> </v>
      </c>
      <c r="W79" s="4" t="str">
        <f ca="1">IF(OR(INDEX($AG$2:$AG$1001,MATCH(ROWS($AF$2:AF79),$AF$2:$AF$1001,0),1)&gt;=100000,INDEX($AM$1005:$BM$1005,1,MATCH(COLUMNS($AM$1006:BH1006),$AM$1006:$BM$1006,0))&gt;=100000), " ",IF(INDEX($AM$2:$BM$1001,MATCH(ROWS($AF$2:AF79),$AF$2:$AF$1001,0),MATCH(COLUMNS($AM$1006:BH1006),$AM$1006:$BM$1006,0)), HYPERLINK("#",""), HYPERLINK(CONCATENATE("#metadata!", ADDRESS(INDEX($AH$2:$AH$1001,MATCH(ROWS($AF$2:AF79),$AF$2:$AF$1001,0),0), INDEX($AM$1004:$BM$1004,1,MATCH(COLUMNS($AM$1006:BH1006),$AM$1006:$BM$1006,0)))),"Fix")))</f>
        <v xml:space="preserve"> </v>
      </c>
      <c r="X79" s="4" t="str">
        <f ca="1">IF(OR(INDEX($AG$2:$AG$1001,MATCH(ROWS($AF$2:AF79),$AF$2:$AF$1001,0),1)&gt;=100000,INDEX($AM$1005:$BM$1005,1,MATCH(COLUMNS($AM$1006:BI1006),$AM$1006:$BM$1006,0))&gt;=100000), " ",IF(INDEX($AM$2:$BM$1001,MATCH(ROWS($AF$2:AF79),$AF$2:$AF$1001,0),MATCH(COLUMNS($AM$1006:BI1006),$AM$1006:$BM$1006,0)), HYPERLINK("#",""), HYPERLINK(CONCATENATE("#metadata!", ADDRESS(INDEX($AH$2:$AH$1001,MATCH(ROWS($AF$2:AF79),$AF$2:$AF$1001,0),0), INDEX($AM$1004:$BM$1004,1,MATCH(COLUMNS($AM$1006:BI1006),$AM$1006:$BM$1006,0)))),"Fix")))</f>
        <v xml:space="preserve"> </v>
      </c>
      <c r="Y79" s="4" t="str">
        <f ca="1">IF(OR(INDEX($AG$2:$AG$1001,MATCH(ROWS($AF$2:AF79),$AF$2:$AF$1001,0),1)&gt;=100000,INDEX($AM$1005:$BM$1005,1,MATCH(COLUMNS($AM$1006:BJ1006),$AM$1006:$BM$1006,0))&gt;=100000), " ",IF(INDEX($AM$2:$BM$1001,MATCH(ROWS($AF$2:AF79),$AF$2:$AF$1001,0),MATCH(COLUMNS($AM$1006:BJ1006),$AM$1006:$BM$1006,0)), HYPERLINK("#",""), HYPERLINK(CONCATENATE("#metadata!", ADDRESS(INDEX($AH$2:$AH$1001,MATCH(ROWS($AF$2:AF79),$AF$2:$AF$1001,0),0), INDEX($AM$1004:$BM$1004,1,MATCH(COLUMNS($AM$1006:BJ1006),$AM$1006:$BM$1006,0)))),"Fix")))</f>
        <v xml:space="preserve"> </v>
      </c>
      <c r="Z79" s="4" t="str">
        <f ca="1">IF(OR(INDEX($AG$2:$AG$1001,MATCH(ROWS($AF$2:AF79),$AF$2:$AF$1001,0),1)&gt;=100000,INDEX($AM$1005:$BM$1005,1,MATCH(COLUMNS($AM$1006:BK1006),$AM$1006:$BM$1006,0))&gt;=100000), " ",IF(INDEX($AM$2:$BM$1001,MATCH(ROWS($AF$2:AF79),$AF$2:$AF$1001,0),MATCH(COLUMNS($AM$1006:BK1006),$AM$1006:$BM$1006,0)), HYPERLINK("#",""), HYPERLINK(CONCATENATE("#metadata!", ADDRESS(INDEX($AH$2:$AH$1001,MATCH(ROWS($AF$2:AF79),$AF$2:$AF$1001,0),0), INDEX($AM$1004:$BM$1004,1,MATCH(COLUMNS($AM$1006:BK1006),$AM$1006:$BM$1006,0)))),"Fix")))</f>
        <v xml:space="preserve"> </v>
      </c>
      <c r="AA79" s="4" t="str">
        <f ca="1">IF(OR(INDEX($AG$2:$AG$1001,MATCH(ROWS($AF$2:AF79),$AF$2:$AF$1001,0),1)&gt;=100000,INDEX($AM$1005:$BM$1005,1,MATCH(COLUMNS($AM$1006:BL1006),$AM$1006:$BM$1006,0))&gt;=100000), " ",IF(INDEX($AM$2:$BM$1001,MATCH(ROWS($AF$2:AF79),$AF$2:$AF$1001,0),MATCH(COLUMNS($AM$1006:BL1006),$AM$1006:$BM$1006,0)), HYPERLINK("#",""), HYPERLINK(CONCATENATE("#metadata!", ADDRESS(INDEX($AH$2:$AH$1001,MATCH(ROWS($AF$2:AF79),$AF$2:$AF$1001,0),0), INDEX($AM$1004:$BM$1004,1,MATCH(COLUMNS($AM$1006:BL1006),$AM$1006:$BM$1006,0)))),"Fix")))</f>
        <v xml:space="preserve"> </v>
      </c>
      <c r="AB79" s="4" t="str">
        <f ca="1">IF(OR(INDEX($AG$2:$AG$1001,MATCH(ROWS($AF$2:AF79),$AF$2:$AF$1001,0),1)&gt;=100000,INDEX($AM$1005:$BM$1005,1,MATCH(COLUMNS($AM$1006:BM1006),$AM$1006:$BM$1006,0))&gt;=100000), " ",IF(INDEX($AM$2:$BM$1001,MATCH(ROWS($AF$2:AF79),$AF$2:$AF$1001,0),MATCH(COLUMNS($AM$1006:BM1006),$AM$1006:$BM$1006,0)), HYPERLINK("#",""), HYPERLINK(CONCATENATE("#metadata!", ADDRESS(INDEX($AH$2:$AH$1001,MATCH(ROWS($AF$2:AF79),$AF$2:$AF$1001,0),0), INDEX($AM$1004:$BM$1004,1,MATCH(COLUMNS($AM$1006:BM1006),$AM$1006:$BM$1006,0)))),"Fix")))</f>
        <v xml:space="preserve"> </v>
      </c>
      <c r="AF79">
        <v>78</v>
      </c>
      <c r="AG79">
        <v>100079</v>
      </c>
      <c r="AH79">
        <v>79</v>
      </c>
      <c r="AI79" t="b">
        <f t="shared" si="1"/>
        <v>1</v>
      </c>
      <c r="AJ79" t="b">
        <f>COUNTBLANK(metadata!B79:AB79)=COLUMNS(metadata!B79:AB79)</f>
        <v>1</v>
      </c>
      <c r="AK79" t="str">
        <v/>
      </c>
      <c r="AM79" t="b">
        <f ca="1">AND(IF(metadata!B79="",FALSE,TRUE),COUNTIF(metadata!B:B, metadata!B79) = 1,NOT(ISERROR(SUMPRODUCT(SEARCH(MID(metadata!B79,ROW(INDIRECT("1:"&amp;LEN(metadata!B79))), 1),"0123456789abcdefghijklmnopqrstuvwxyzABCDEFGHIJKLMNOPQRSTUVWXYZ.")))))</f>
        <v>0</v>
      </c>
      <c r="AN79" t="b">
        <f ca="1">OR(AND(IF(metadata!C79="",FALSE,TRUE),OR(EXACT(metadata!C79,"missing: not collected"),EXACT(metadata!C79,"missing: not provided"),EXACT(metadata!C79,"missing: restricted access"))),AND(IF(metadata!C79="",FALSE,TRUE),AND(AND(IFERROR(INT(LEFT(metadata!C79,4))&gt;1900,FALSE),IFERROR(INT(LEFT(metadata!C79,4))&lt;=YEAR(NOW()),FALSE)), OR(MID(metadata!C79,5,1)="", AND(AND(MID(metadata!C79,5,1)="-",IFERROR(INT(MID(metadata!C79,6,1))&gt;=0,FALSE),IFERROR(INT(MID(metadata!C79,6,1))&lt;=1,FALSE),NOT(MID(metadata!C79,7,1)=""),IFERROR(INT(MID(metadata!C79,6,2))&gt;=1,FALSE),IFERROR(INT(MID(metadata!C79,6,2))&lt;=12,FALSE)), OR(MID(metadata!C79,8,1)="", AND(AND(MID(metadata!C79,8,1)="-",IFERROR(INT(MID(metadata!C79,9,1))&gt;=0,FALSE),IFERROR(INT(MID(metadata!C79,9,1))&lt;=3,FALSE),NOT(MID(metadata!C79,10,1)=""),IFERROR(INT(MID(metadata!C79,9,2))&gt;=1,FALSE),IFERROR(INT(MID(metadata!C79,9,2))&lt;=31,FALSE)), OR(MID(metadata!C79,11,1)="", AND(AND(MID(metadata!C79,11,1)=" ",IFERROR(INT(MID(metadata!C79,12,1))&gt;=0,FALSE),IFERROR(INT(MID(metadata!C79,12,1))&lt;=2,FALSE),NOT(MID(metadata!C79,13,1)=""),IFERROR(INT(MID(metadata!C79,12,2))&gt;=0,FALSE),IFERROR(INT(MID(metadata!C79,12,2))&lt;=23,FALSE)), OR(MID(metadata!C79,14,1)="", AND(AND(MID(metadata!C79,14,1)=":",IFERROR(INT(MID(metadata!C79,15,1))&gt;=0,FALSE),IFERROR(INT(MID(metadata!C79,15,1))&lt;=5,FALSE),NOT(MID(metadata!C79,16,1)=""),IFERROR(INT(MID(metadata!C79,15,2))&gt;=0,FALSE),IFERROR(INT(MID(metadata!C79,15,2))&lt;=59,FALSE)), OR(MID(metadata!C79,17,1)="", AND(AND(MID(metadata!C79,17,1)=":",IFERROR(INT(MID(metadata!C79,18,1))&gt;=0,FALSE),IFERROR(INT(MID(metadata!C79,18,1))&lt;=5,FALSE),NOT(MID(metadata!C79,19,1)=""),IFERROR(INT(MID(metadata!C79,18,2))&gt;=0,FALSE),IFERROR(INT(MID(metadata!C79,18,2))&lt;=59,FALSE)), LEN(metadata!C79)&lt;=19)))))))))))))</f>
        <v>0</v>
      </c>
      <c r="AO79" t="b">
        <f>AND(IF(metadata!D79="",FALSE,TRUE),EXACT(metadata!D79,"Not applicable"))</f>
        <v>0</v>
      </c>
      <c r="AP79" t="b">
        <f>IF(metadata!E79="",FALSE,TRUE)</f>
        <v>0</v>
      </c>
      <c r="AQ79" t="b">
        <f>OR(AND(IF(metadata!F79="",FALSE,TRUE),OR(EXACT(metadata!F79,"missing: not collected"),EXACT(metadata!F79,"missing: not provided"))),AND(IF(metadata!F79="",FALSE,TRUE),OR(EXACT(metadata!F79,"TRUE"),EXACT(metadata!F79,"FALSE"))))</f>
        <v>0</v>
      </c>
      <c r="AR79" t="b">
        <f>OR(AND(IF(metadata!G79="",FALSE,TRUE),OR(EXACT(metadata!G79,"missing: not collected"),EXACT(metadata!G79,"missing: not provided"),EXACT(metadata!G79,"missing: restricted access"))),AND(IF(metadata!G79="",FALSE,ISNUMBER(VALUE(metadata!G79))),metadata!G79&gt;=-413))</f>
        <v>0</v>
      </c>
      <c r="AS79" t="b">
        <f>AND(IF(metadata!H79="",FALSE,TRUE),EXACT(metadata!H79,"meters"))</f>
        <v>0</v>
      </c>
      <c r="AT79" t="b">
        <f>AND(IF(metadata!I79="",FALSE,TRUE),OR(EXACT(metadata!I79,"Host-associated"),EXACT(metadata!I79,"Free-living")))</f>
        <v>0</v>
      </c>
      <c r="AU79" t="b">
        <f>AND(IF(metadata!J79="",FALSE,TRUE),OR(EXACT(metadata!J79,"Animal"),EXACT(metadata!J79,"Fungus"),EXACT(metadata!J79,"Plant"),EXACT(metadata!J79,"Saline"),EXACT(metadata!J79,"Non-saline")))</f>
        <v>0</v>
      </c>
      <c r="AV79" t="b">
        <f>AND(IF(metadata!K79="",FALSE,TRUE),OR(EXACT(metadata!K79,"Plant secretion"),EXACT(metadata!K79,"Plant rhizosphere"),EXACT(metadata!K79,"Plant surface"),EXACT(metadata!K79,"Plant corpus"),EXACT(metadata!K79,"Fungus surface"),EXACT(metadata!K79,"Fungus corpus"),EXACT(metadata!K79,"Animal surface"),EXACT(metadata!K79,"Animal proximal gut"),EXACT(metadata!K79,"Animal corpus"),EXACT(metadata!K79,"Animal distal gut"),EXACT(metadata!K79,"Animal secretion"),EXACT(metadata!K79,"Sub-surface (non-saline)"),EXACT(metadata!K79,"Surface (non-saline)"),EXACT(metadata!K79,"Water (non-saline)"),EXACT(metadata!K79,"Soil (non-saline)"),EXACT(metadata!K79,"Aerosol (non-saline)"),EXACT(metadata!K79,"Sediment (non-saline)"),EXACT(metadata!K79,"Surface (saline)"),EXACT(metadata!K79,"Water (saline)"),EXACT(metadata!K79,"Hypersaline (saline)"),EXACT(metadata!K79,"Aerosol (saline)"),EXACT(metadata!K79,"Sediment (saline)")))</f>
        <v>0</v>
      </c>
      <c r="AW79" t="b">
        <f>IF(metadata!L79="",FALSE,TRUE)</f>
        <v>0</v>
      </c>
      <c r="AX79" t="b">
        <f>IF(metadata!M79="",FALSE,TRUE)</f>
        <v>0</v>
      </c>
      <c r="AY79" t="b">
        <f>IF(metadata!N79="",FALSE,TRUE)</f>
        <v>0</v>
      </c>
      <c r="AZ79" t="b">
        <f>OR(AND(IF(metadata!O79="",FALSE,TRUE),OR(EXACT(metadata!O79,"missing: not collected"),EXACT(metadata!O79,"missing: not provided"),EXACT(metadata!O79,"missing: restricted access"))),AND(IF(metadata!O79="",FALSE,TRUE),OR(EXACT(metadata!O79,"air"),EXACT(metadata!O79,"built environment"),EXACT(metadata!O79,"host-associated"),EXACT(metadata!O79,"human-associated"),EXACT(metadata!O79,"human-skin"),EXACT(metadata!O79,"human-oral"),EXACT(metadata!O79,"human-gut"),EXACT(metadata!O79,"human-vaginal"),EXACT(metadata!O79,"microbial mat/biofilm"),EXACT(metadata!O79,"misc environment"),EXACT(metadata!O79,"plant-associated"),EXACT(metadata!O79,"sediment"),EXACT(metadata!O79,"soil"),EXACT(metadata!O79,"wastewater/sludge"),EXACT(metadata!O79,"water"))))</f>
        <v>0</v>
      </c>
      <c r="BA79" t="b">
        <f>IF(metadata!P79="",FALSE,TRUE)</f>
        <v>0</v>
      </c>
      <c r="BB79" t="b">
        <f>IF(metadata!Q79="",FALSE,TRUE)</f>
        <v>0</v>
      </c>
      <c r="BC79" t="b">
        <f>OR(AND(IF(metadata!R79="",FALSE,TRUE),OR(EXACT(metadata!R79,"missing: not collected"),EXACT(metadata!R79,"missing: not provided"),EXACT(metadata!R79,"missing: restricted access"))),AND(IF(metadata!R79="",FALSE,ISNUMBER(VALUE(metadata!R79))),metadata!R79&gt;=-90,metadata!R79&lt;=90))</f>
        <v>0</v>
      </c>
      <c r="BD79" t="b">
        <f>AND(IF(metadata!S79="",FALSE,TRUE),EXACT(metadata!S79,"Decimal degrees"))</f>
        <v>0</v>
      </c>
      <c r="BE79" t="b">
        <f>OR(AND(IF(metadata!T79="",FALSE,TRUE),OR(EXACT(metadata!T79,"missing: not collected"),EXACT(metadata!T79,"missing: not provided"),EXACT(metadata!T79,"missing: restricted access"))),AND(IF(metadata!T79="",FALSE,ISNUMBER(VALUE(metadata!T79))),metadata!T79&gt;=-180,metadata!T79&lt;=180))</f>
        <v>0</v>
      </c>
      <c r="BF79" t="b">
        <f>AND(IF(metadata!U79="",FALSE,TRUE),EXACT(metadata!U79,"Decimal degrees"))</f>
        <v>0</v>
      </c>
      <c r="BG79" t="b">
        <f>IF(metadata!V79="",FALSE,TRUE)</f>
        <v>0</v>
      </c>
      <c r="BH79" t="b">
        <f>OR(AND(IF(metadata!W79="",FALSE,TRUE),OR(EXACT(metadata!W79,"missing: not collected"),EXACT(metadata!W79,"missing: not provided"),EXACT(metadata!W79,"missing: restricted access"))),AND(IF(metadata!W79="",FALSE,TRUE),OR(EXACT(metadata!W79,"TRUE"),EXACT(metadata!W79,"FALSE"))))</f>
        <v>0</v>
      </c>
      <c r="BI79" t="b">
        <f>AND(IF(metadata!X79="",FALSE,TRUE),EXACT(metadata!X79,"other"))</f>
        <v>0</v>
      </c>
      <c r="BJ79" t="b">
        <f>IF(metadata!Y79="",FALSE,TRUE)</f>
        <v>0</v>
      </c>
      <c r="BK79" t="b">
        <f>OR(AND(IF(metadata!Z79="",FALSE,TRUE),OR(EXACT(metadata!Z79,"missing: not collected"),EXACT(metadata!Z79,"missing: not provided"))),AND(IF(metadata!Z79="",FALSE,IF(ISERROR(INT(metadata!Z79)),FALSE,INT(metadata!Z79)=metadata!Z79)),metadata!Z79&gt;0))</f>
        <v>0</v>
      </c>
      <c r="BL79" t="b">
        <f>AND(IF(metadata!AA79="",FALSE,TRUE),EXACT(metadata!AA79,"Not applicable"))</f>
        <v>0</v>
      </c>
      <c r="BM79" t="b">
        <f>IF(metadata!AB79="",FALSE,TRUE)</f>
        <v>0</v>
      </c>
    </row>
    <row r="80" spans="1:65" x14ac:dyDescent="0.2">
      <c r="A80" s="5" t="str">
        <f ca="1">IF(B80=" "," ",HYPERLINK(CONCATENATE("#metadata!",ADDRESS(INDEX($AH$2:$AH$1001,MATCH(ROWS($AF$2:AF80),$AF$2:$AF$1001,0),0),1)),INDEX($AK$2:$AK$1001,MATCH(ROWS($AF$2:AF80),$AF$2:$AF$1001,0),0)))</f>
        <v xml:space="preserve"> </v>
      </c>
      <c r="B80" s="4" t="str">
        <f ca="1">IF(OR(INDEX($AG$2:$AG$1001,MATCH(ROWS($AF$2:AF80),$AF$2:$AF$1001,0),1)&gt;=100000,INDEX($AM$1005:$BM$1005,1,MATCH(COLUMNS($AM$1006:AM1006),$AM$1006:$BM$1006,0))&gt;=100000), " ",IF(INDEX($AM$2:$BM$1001,MATCH(ROWS($AF$2:AF80),$AF$2:$AF$1001,0),MATCH(COLUMNS($AM$1006:AM1006),$AM$1006:$BM$1006,0)), HYPERLINK("#",""), HYPERLINK(CONCATENATE("#metadata!", ADDRESS(INDEX($AH$2:$AH$1001,MATCH(ROWS($AF$2:AF80),$AF$2:$AF$1001,0),0), INDEX($AM$1004:$BM$1004,1,MATCH(COLUMNS($AM$1006:AM1006),$AM$1006:$BM$1006,0)))),"Fix")))</f>
        <v xml:space="preserve"> </v>
      </c>
      <c r="C80" s="4" t="str">
        <f ca="1">IF(OR(INDEX($AG$2:$AG$1001,MATCH(ROWS($AF$2:AF80),$AF$2:$AF$1001,0),1)&gt;=100000,INDEX($AM$1005:$BM$1005,1,MATCH(COLUMNS($AM$1006:AN1006),$AM$1006:$BM$1006,0))&gt;=100000), " ",IF(INDEX($AM$2:$BM$1001,MATCH(ROWS($AF$2:AF80),$AF$2:$AF$1001,0),MATCH(COLUMNS($AM$1006:AN1006),$AM$1006:$BM$1006,0)), HYPERLINK("#",""), HYPERLINK(CONCATENATE("#metadata!", ADDRESS(INDEX($AH$2:$AH$1001,MATCH(ROWS($AF$2:AF80),$AF$2:$AF$1001,0),0), INDEX($AM$1004:$BM$1004,1,MATCH(COLUMNS($AM$1006:AN1006),$AM$1006:$BM$1006,0)))),"Fix")))</f>
        <v xml:space="preserve"> </v>
      </c>
      <c r="D80" s="4" t="str">
        <f ca="1">IF(OR(INDEX($AG$2:$AG$1001,MATCH(ROWS($AF$2:AF80),$AF$2:$AF$1001,0),1)&gt;=100000,INDEX($AM$1005:$BM$1005,1,MATCH(COLUMNS($AM$1006:AO1006),$AM$1006:$BM$1006,0))&gt;=100000), " ",IF(INDEX($AM$2:$BM$1001,MATCH(ROWS($AF$2:AF80),$AF$2:$AF$1001,0),MATCH(COLUMNS($AM$1006:AO1006),$AM$1006:$BM$1006,0)), HYPERLINK("#",""), HYPERLINK(CONCATENATE("#metadata!", ADDRESS(INDEX($AH$2:$AH$1001,MATCH(ROWS($AF$2:AF80),$AF$2:$AF$1001,0),0), INDEX($AM$1004:$BM$1004,1,MATCH(COLUMNS($AM$1006:AO1006),$AM$1006:$BM$1006,0)))),"Fix")))</f>
        <v xml:space="preserve"> </v>
      </c>
      <c r="E80" s="4" t="str">
        <f ca="1">IF(OR(INDEX($AG$2:$AG$1001,MATCH(ROWS($AF$2:AF80),$AF$2:$AF$1001,0),1)&gt;=100000,INDEX($AM$1005:$BM$1005,1,MATCH(COLUMNS($AM$1006:AP1006),$AM$1006:$BM$1006,0))&gt;=100000), " ",IF(INDEX($AM$2:$BM$1001,MATCH(ROWS($AF$2:AF80),$AF$2:$AF$1001,0),MATCH(COLUMNS($AM$1006:AP1006),$AM$1006:$BM$1006,0)), HYPERLINK("#",""), HYPERLINK(CONCATENATE("#metadata!", ADDRESS(INDEX($AH$2:$AH$1001,MATCH(ROWS($AF$2:AF80),$AF$2:$AF$1001,0),0), INDEX($AM$1004:$BM$1004,1,MATCH(COLUMNS($AM$1006:AP1006),$AM$1006:$BM$1006,0)))),"Fix")))</f>
        <v xml:space="preserve"> </v>
      </c>
      <c r="F80" s="4" t="str">
        <f ca="1">IF(OR(INDEX($AG$2:$AG$1001,MATCH(ROWS($AF$2:AF80),$AF$2:$AF$1001,0),1)&gt;=100000,INDEX($AM$1005:$BM$1005,1,MATCH(COLUMNS($AM$1006:AQ1006),$AM$1006:$BM$1006,0))&gt;=100000), " ",IF(INDEX($AM$2:$BM$1001,MATCH(ROWS($AF$2:AF80),$AF$2:$AF$1001,0),MATCH(COLUMNS($AM$1006:AQ1006),$AM$1006:$BM$1006,0)), HYPERLINK("#",""), HYPERLINK(CONCATENATE("#metadata!", ADDRESS(INDEX($AH$2:$AH$1001,MATCH(ROWS($AF$2:AF80),$AF$2:$AF$1001,0),0), INDEX($AM$1004:$BM$1004,1,MATCH(COLUMNS($AM$1006:AQ1006),$AM$1006:$BM$1006,0)))),"Fix")))</f>
        <v xml:space="preserve"> </v>
      </c>
      <c r="G80" s="4" t="str">
        <f ca="1">IF(OR(INDEX($AG$2:$AG$1001,MATCH(ROWS($AF$2:AF80),$AF$2:$AF$1001,0),1)&gt;=100000,INDEX($AM$1005:$BM$1005,1,MATCH(COLUMNS($AM$1006:AR1006),$AM$1006:$BM$1006,0))&gt;=100000), " ",IF(INDEX($AM$2:$BM$1001,MATCH(ROWS($AF$2:AF80),$AF$2:$AF$1001,0),MATCH(COLUMNS($AM$1006:AR1006),$AM$1006:$BM$1006,0)), HYPERLINK("#",""), HYPERLINK(CONCATENATE("#metadata!", ADDRESS(INDEX($AH$2:$AH$1001,MATCH(ROWS($AF$2:AF80),$AF$2:$AF$1001,0),0), INDEX($AM$1004:$BM$1004,1,MATCH(COLUMNS($AM$1006:AR1006),$AM$1006:$BM$1006,0)))),"Fix")))</f>
        <v xml:space="preserve"> </v>
      </c>
      <c r="H80" s="4" t="str">
        <f ca="1">IF(OR(INDEX($AG$2:$AG$1001,MATCH(ROWS($AF$2:AF80),$AF$2:$AF$1001,0),1)&gt;=100000,INDEX($AM$1005:$BM$1005,1,MATCH(COLUMNS($AM$1006:AS1006),$AM$1006:$BM$1006,0))&gt;=100000), " ",IF(INDEX($AM$2:$BM$1001,MATCH(ROWS($AF$2:AF80),$AF$2:$AF$1001,0),MATCH(COLUMNS($AM$1006:AS1006),$AM$1006:$BM$1006,0)), HYPERLINK("#",""), HYPERLINK(CONCATENATE("#metadata!", ADDRESS(INDEX($AH$2:$AH$1001,MATCH(ROWS($AF$2:AF80),$AF$2:$AF$1001,0),0), INDEX($AM$1004:$BM$1004,1,MATCH(COLUMNS($AM$1006:AS1006),$AM$1006:$BM$1006,0)))),"Fix")))</f>
        <v xml:space="preserve"> </v>
      </c>
      <c r="I80" s="4" t="str">
        <f ca="1">IF(OR(INDEX($AG$2:$AG$1001,MATCH(ROWS($AF$2:AF80),$AF$2:$AF$1001,0),1)&gt;=100000,INDEX($AM$1005:$BM$1005,1,MATCH(COLUMNS($AM$1006:AT1006),$AM$1006:$BM$1006,0))&gt;=100000), " ",IF(INDEX($AM$2:$BM$1001,MATCH(ROWS($AF$2:AF80),$AF$2:$AF$1001,0),MATCH(COLUMNS($AM$1006:AT1006),$AM$1006:$BM$1006,0)), HYPERLINK("#",""), HYPERLINK(CONCATENATE("#metadata!", ADDRESS(INDEX($AH$2:$AH$1001,MATCH(ROWS($AF$2:AF80),$AF$2:$AF$1001,0),0), INDEX($AM$1004:$BM$1004,1,MATCH(COLUMNS($AM$1006:AT1006),$AM$1006:$BM$1006,0)))),"Fix")))</f>
        <v xml:space="preserve"> </v>
      </c>
      <c r="J80" s="4" t="str">
        <f ca="1">IF(OR(INDEX($AG$2:$AG$1001,MATCH(ROWS($AF$2:AF80),$AF$2:$AF$1001,0),1)&gt;=100000,INDEX($AM$1005:$BM$1005,1,MATCH(COLUMNS($AM$1006:AU1006),$AM$1006:$BM$1006,0))&gt;=100000), " ",IF(INDEX($AM$2:$BM$1001,MATCH(ROWS($AF$2:AF80),$AF$2:$AF$1001,0),MATCH(COLUMNS($AM$1006:AU1006),$AM$1006:$BM$1006,0)), HYPERLINK("#",""), HYPERLINK(CONCATENATE("#metadata!", ADDRESS(INDEX($AH$2:$AH$1001,MATCH(ROWS($AF$2:AF80),$AF$2:$AF$1001,0),0), INDEX($AM$1004:$BM$1004,1,MATCH(COLUMNS($AM$1006:AU1006),$AM$1006:$BM$1006,0)))),"Fix")))</f>
        <v xml:space="preserve"> </v>
      </c>
      <c r="K80" s="4" t="str">
        <f ca="1">IF(OR(INDEX($AG$2:$AG$1001,MATCH(ROWS($AF$2:AF80),$AF$2:$AF$1001,0),1)&gt;=100000,INDEX($AM$1005:$BM$1005,1,MATCH(COLUMNS($AM$1006:AV1006),$AM$1006:$BM$1006,0))&gt;=100000), " ",IF(INDEX($AM$2:$BM$1001,MATCH(ROWS($AF$2:AF80),$AF$2:$AF$1001,0),MATCH(COLUMNS($AM$1006:AV1006),$AM$1006:$BM$1006,0)), HYPERLINK("#",""), HYPERLINK(CONCATENATE("#metadata!", ADDRESS(INDEX($AH$2:$AH$1001,MATCH(ROWS($AF$2:AF80),$AF$2:$AF$1001,0),0), INDEX($AM$1004:$BM$1004,1,MATCH(COLUMNS($AM$1006:AV1006),$AM$1006:$BM$1006,0)))),"Fix")))</f>
        <v xml:space="preserve"> </v>
      </c>
      <c r="L80" s="4" t="str">
        <f ca="1">IF(OR(INDEX($AG$2:$AG$1001,MATCH(ROWS($AF$2:AF80),$AF$2:$AF$1001,0),1)&gt;=100000,INDEX($AM$1005:$BM$1005,1,MATCH(COLUMNS($AM$1006:AW1006),$AM$1006:$BM$1006,0))&gt;=100000), " ",IF(INDEX($AM$2:$BM$1001,MATCH(ROWS($AF$2:AF80),$AF$2:$AF$1001,0),MATCH(COLUMNS($AM$1006:AW1006),$AM$1006:$BM$1006,0)), HYPERLINK("#",""), HYPERLINK(CONCATENATE("#metadata!", ADDRESS(INDEX($AH$2:$AH$1001,MATCH(ROWS($AF$2:AF80),$AF$2:$AF$1001,0),0), INDEX($AM$1004:$BM$1004,1,MATCH(COLUMNS($AM$1006:AW1006),$AM$1006:$BM$1006,0)))),"Fix")))</f>
        <v xml:space="preserve"> </v>
      </c>
      <c r="M80" s="4" t="str">
        <f ca="1">IF(OR(INDEX($AG$2:$AG$1001,MATCH(ROWS($AF$2:AF80),$AF$2:$AF$1001,0),1)&gt;=100000,INDEX($AM$1005:$BM$1005,1,MATCH(COLUMNS($AM$1006:AX1006),$AM$1006:$BM$1006,0))&gt;=100000), " ",IF(INDEX($AM$2:$BM$1001,MATCH(ROWS($AF$2:AF80),$AF$2:$AF$1001,0),MATCH(COLUMNS($AM$1006:AX1006),$AM$1006:$BM$1006,0)), HYPERLINK("#",""), HYPERLINK(CONCATENATE("#metadata!", ADDRESS(INDEX($AH$2:$AH$1001,MATCH(ROWS($AF$2:AF80),$AF$2:$AF$1001,0),0), INDEX($AM$1004:$BM$1004,1,MATCH(COLUMNS($AM$1006:AX1006),$AM$1006:$BM$1006,0)))),"Fix")))</f>
        <v xml:space="preserve"> </v>
      </c>
      <c r="N80" s="4" t="str">
        <f ca="1">IF(OR(INDEX($AG$2:$AG$1001,MATCH(ROWS($AF$2:AF80),$AF$2:$AF$1001,0),1)&gt;=100000,INDEX($AM$1005:$BM$1005,1,MATCH(COLUMNS($AM$1006:AY1006),$AM$1006:$BM$1006,0))&gt;=100000), " ",IF(INDEX($AM$2:$BM$1001,MATCH(ROWS($AF$2:AF80),$AF$2:$AF$1001,0),MATCH(COLUMNS($AM$1006:AY1006),$AM$1006:$BM$1006,0)), HYPERLINK("#",""), HYPERLINK(CONCATENATE("#metadata!", ADDRESS(INDEX($AH$2:$AH$1001,MATCH(ROWS($AF$2:AF80),$AF$2:$AF$1001,0),0), INDEX($AM$1004:$BM$1004,1,MATCH(COLUMNS($AM$1006:AY1006),$AM$1006:$BM$1006,0)))),"Fix")))</f>
        <v xml:space="preserve"> </v>
      </c>
      <c r="O80" s="4" t="str">
        <f ca="1">IF(OR(INDEX($AG$2:$AG$1001,MATCH(ROWS($AF$2:AF80),$AF$2:$AF$1001,0),1)&gt;=100000,INDEX($AM$1005:$BM$1005,1,MATCH(COLUMNS($AM$1006:AZ1006),$AM$1006:$BM$1006,0))&gt;=100000), " ",IF(INDEX($AM$2:$BM$1001,MATCH(ROWS($AF$2:AF80),$AF$2:$AF$1001,0),MATCH(COLUMNS($AM$1006:AZ1006),$AM$1006:$BM$1006,0)), HYPERLINK("#",""), HYPERLINK(CONCATENATE("#metadata!", ADDRESS(INDEX($AH$2:$AH$1001,MATCH(ROWS($AF$2:AF80),$AF$2:$AF$1001,0),0), INDEX($AM$1004:$BM$1004,1,MATCH(COLUMNS($AM$1006:AZ1006),$AM$1006:$BM$1006,0)))),"Fix")))</f>
        <v xml:space="preserve"> </v>
      </c>
      <c r="P80" s="4" t="str">
        <f ca="1">IF(OR(INDEX($AG$2:$AG$1001,MATCH(ROWS($AF$2:AF80),$AF$2:$AF$1001,0),1)&gt;=100000,INDEX($AM$1005:$BM$1005,1,MATCH(COLUMNS($AM$1006:BA1006),$AM$1006:$BM$1006,0))&gt;=100000), " ",IF(INDEX($AM$2:$BM$1001,MATCH(ROWS($AF$2:AF80),$AF$2:$AF$1001,0),MATCH(COLUMNS($AM$1006:BA1006),$AM$1006:$BM$1006,0)), HYPERLINK("#",""), HYPERLINK(CONCATENATE("#metadata!", ADDRESS(INDEX($AH$2:$AH$1001,MATCH(ROWS($AF$2:AF80),$AF$2:$AF$1001,0),0), INDEX($AM$1004:$BM$1004,1,MATCH(COLUMNS($AM$1006:BA1006),$AM$1006:$BM$1006,0)))),"Fix")))</f>
        <v xml:space="preserve"> </v>
      </c>
      <c r="Q80" s="4" t="str">
        <f ca="1">IF(OR(INDEX($AG$2:$AG$1001,MATCH(ROWS($AF$2:AF80),$AF$2:$AF$1001,0),1)&gt;=100000,INDEX($AM$1005:$BM$1005,1,MATCH(COLUMNS($AM$1006:BB1006),$AM$1006:$BM$1006,0))&gt;=100000), " ",IF(INDEX($AM$2:$BM$1001,MATCH(ROWS($AF$2:AF80),$AF$2:$AF$1001,0),MATCH(COLUMNS($AM$1006:BB1006),$AM$1006:$BM$1006,0)), HYPERLINK("#",""), HYPERLINK(CONCATENATE("#metadata!", ADDRESS(INDEX($AH$2:$AH$1001,MATCH(ROWS($AF$2:AF80),$AF$2:$AF$1001,0),0), INDEX($AM$1004:$BM$1004,1,MATCH(COLUMNS($AM$1006:BB1006),$AM$1006:$BM$1006,0)))),"Fix")))</f>
        <v xml:space="preserve"> </v>
      </c>
      <c r="R80" s="4" t="str">
        <f ca="1">IF(OR(INDEX($AG$2:$AG$1001,MATCH(ROWS($AF$2:AF80),$AF$2:$AF$1001,0),1)&gt;=100000,INDEX($AM$1005:$BM$1005,1,MATCH(COLUMNS($AM$1006:BC1006),$AM$1006:$BM$1006,0))&gt;=100000), " ",IF(INDEX($AM$2:$BM$1001,MATCH(ROWS($AF$2:AF80),$AF$2:$AF$1001,0),MATCH(COLUMNS($AM$1006:BC1006),$AM$1006:$BM$1006,0)), HYPERLINK("#",""), HYPERLINK(CONCATENATE("#metadata!", ADDRESS(INDEX($AH$2:$AH$1001,MATCH(ROWS($AF$2:AF80),$AF$2:$AF$1001,0),0), INDEX($AM$1004:$BM$1004,1,MATCH(COLUMNS($AM$1006:BC1006),$AM$1006:$BM$1006,0)))),"Fix")))</f>
        <v xml:space="preserve"> </v>
      </c>
      <c r="S80" s="4" t="str">
        <f ca="1">IF(OR(INDEX($AG$2:$AG$1001,MATCH(ROWS($AF$2:AF80),$AF$2:$AF$1001,0),1)&gt;=100000,INDEX($AM$1005:$BM$1005,1,MATCH(COLUMNS($AM$1006:BD1006),$AM$1006:$BM$1006,0))&gt;=100000), " ",IF(INDEX($AM$2:$BM$1001,MATCH(ROWS($AF$2:AF80),$AF$2:$AF$1001,0),MATCH(COLUMNS($AM$1006:BD1006),$AM$1006:$BM$1006,0)), HYPERLINK("#",""), HYPERLINK(CONCATENATE("#metadata!", ADDRESS(INDEX($AH$2:$AH$1001,MATCH(ROWS($AF$2:AF80),$AF$2:$AF$1001,0),0), INDEX($AM$1004:$BM$1004,1,MATCH(COLUMNS($AM$1006:BD1006),$AM$1006:$BM$1006,0)))),"Fix")))</f>
        <v xml:space="preserve"> </v>
      </c>
      <c r="T80" s="4" t="str">
        <f ca="1">IF(OR(INDEX($AG$2:$AG$1001,MATCH(ROWS($AF$2:AF80),$AF$2:$AF$1001,0),1)&gt;=100000,INDEX($AM$1005:$BM$1005,1,MATCH(COLUMNS($AM$1006:BE1006),$AM$1006:$BM$1006,0))&gt;=100000), " ",IF(INDEX($AM$2:$BM$1001,MATCH(ROWS($AF$2:AF80),$AF$2:$AF$1001,0),MATCH(COLUMNS($AM$1006:BE1006),$AM$1006:$BM$1006,0)), HYPERLINK("#",""), HYPERLINK(CONCATENATE("#metadata!", ADDRESS(INDEX($AH$2:$AH$1001,MATCH(ROWS($AF$2:AF80),$AF$2:$AF$1001,0),0), INDEX($AM$1004:$BM$1004,1,MATCH(COLUMNS($AM$1006:BE1006),$AM$1006:$BM$1006,0)))),"Fix")))</f>
        <v xml:space="preserve"> </v>
      </c>
      <c r="U80" s="4" t="str">
        <f ca="1">IF(OR(INDEX($AG$2:$AG$1001,MATCH(ROWS($AF$2:AF80),$AF$2:$AF$1001,0),1)&gt;=100000,INDEX($AM$1005:$BM$1005,1,MATCH(COLUMNS($AM$1006:BF1006),$AM$1006:$BM$1006,0))&gt;=100000), " ",IF(INDEX($AM$2:$BM$1001,MATCH(ROWS($AF$2:AF80),$AF$2:$AF$1001,0),MATCH(COLUMNS($AM$1006:BF1006),$AM$1006:$BM$1006,0)), HYPERLINK("#",""), HYPERLINK(CONCATENATE("#metadata!", ADDRESS(INDEX($AH$2:$AH$1001,MATCH(ROWS($AF$2:AF80),$AF$2:$AF$1001,0),0), INDEX($AM$1004:$BM$1004,1,MATCH(COLUMNS($AM$1006:BF1006),$AM$1006:$BM$1006,0)))),"Fix")))</f>
        <v xml:space="preserve"> </v>
      </c>
      <c r="V80" s="4" t="str">
        <f ca="1">IF(OR(INDEX($AG$2:$AG$1001,MATCH(ROWS($AF$2:AF80),$AF$2:$AF$1001,0),1)&gt;=100000,INDEX($AM$1005:$BM$1005,1,MATCH(COLUMNS($AM$1006:BG1006),$AM$1006:$BM$1006,0))&gt;=100000), " ",IF(INDEX($AM$2:$BM$1001,MATCH(ROWS($AF$2:AF80),$AF$2:$AF$1001,0),MATCH(COLUMNS($AM$1006:BG1006),$AM$1006:$BM$1006,0)), HYPERLINK("#",""), HYPERLINK(CONCATENATE("#metadata!", ADDRESS(INDEX($AH$2:$AH$1001,MATCH(ROWS($AF$2:AF80),$AF$2:$AF$1001,0),0), INDEX($AM$1004:$BM$1004,1,MATCH(COLUMNS($AM$1006:BG1006),$AM$1006:$BM$1006,0)))),"Fix")))</f>
        <v xml:space="preserve"> </v>
      </c>
      <c r="W80" s="4" t="str">
        <f ca="1">IF(OR(INDEX($AG$2:$AG$1001,MATCH(ROWS($AF$2:AF80),$AF$2:$AF$1001,0),1)&gt;=100000,INDEX($AM$1005:$BM$1005,1,MATCH(COLUMNS($AM$1006:BH1006),$AM$1006:$BM$1006,0))&gt;=100000), " ",IF(INDEX($AM$2:$BM$1001,MATCH(ROWS($AF$2:AF80),$AF$2:$AF$1001,0),MATCH(COLUMNS($AM$1006:BH1006),$AM$1006:$BM$1006,0)), HYPERLINK("#",""), HYPERLINK(CONCATENATE("#metadata!", ADDRESS(INDEX($AH$2:$AH$1001,MATCH(ROWS($AF$2:AF80),$AF$2:$AF$1001,0),0), INDEX($AM$1004:$BM$1004,1,MATCH(COLUMNS($AM$1006:BH1006),$AM$1006:$BM$1006,0)))),"Fix")))</f>
        <v xml:space="preserve"> </v>
      </c>
      <c r="X80" s="4" t="str">
        <f ca="1">IF(OR(INDEX($AG$2:$AG$1001,MATCH(ROWS($AF$2:AF80),$AF$2:$AF$1001,0),1)&gt;=100000,INDEX($AM$1005:$BM$1005,1,MATCH(COLUMNS($AM$1006:BI1006),$AM$1006:$BM$1006,0))&gt;=100000), " ",IF(INDEX($AM$2:$BM$1001,MATCH(ROWS($AF$2:AF80),$AF$2:$AF$1001,0),MATCH(COLUMNS($AM$1006:BI1006),$AM$1006:$BM$1006,0)), HYPERLINK("#",""), HYPERLINK(CONCATENATE("#metadata!", ADDRESS(INDEX($AH$2:$AH$1001,MATCH(ROWS($AF$2:AF80),$AF$2:$AF$1001,0),0), INDEX($AM$1004:$BM$1004,1,MATCH(COLUMNS($AM$1006:BI1006),$AM$1006:$BM$1006,0)))),"Fix")))</f>
        <v xml:space="preserve"> </v>
      </c>
      <c r="Y80" s="4" t="str">
        <f ca="1">IF(OR(INDEX($AG$2:$AG$1001,MATCH(ROWS($AF$2:AF80),$AF$2:$AF$1001,0),1)&gt;=100000,INDEX($AM$1005:$BM$1005,1,MATCH(COLUMNS($AM$1006:BJ1006),$AM$1006:$BM$1006,0))&gt;=100000), " ",IF(INDEX($AM$2:$BM$1001,MATCH(ROWS($AF$2:AF80),$AF$2:$AF$1001,0),MATCH(COLUMNS($AM$1006:BJ1006),$AM$1006:$BM$1006,0)), HYPERLINK("#",""), HYPERLINK(CONCATENATE("#metadata!", ADDRESS(INDEX($AH$2:$AH$1001,MATCH(ROWS($AF$2:AF80),$AF$2:$AF$1001,0),0), INDEX($AM$1004:$BM$1004,1,MATCH(COLUMNS($AM$1006:BJ1006),$AM$1006:$BM$1006,0)))),"Fix")))</f>
        <v xml:space="preserve"> </v>
      </c>
      <c r="Z80" s="4" t="str">
        <f ca="1">IF(OR(INDEX($AG$2:$AG$1001,MATCH(ROWS($AF$2:AF80),$AF$2:$AF$1001,0),1)&gt;=100000,INDEX($AM$1005:$BM$1005,1,MATCH(COLUMNS($AM$1006:BK1006),$AM$1006:$BM$1006,0))&gt;=100000), " ",IF(INDEX($AM$2:$BM$1001,MATCH(ROWS($AF$2:AF80),$AF$2:$AF$1001,0),MATCH(COLUMNS($AM$1006:BK1006),$AM$1006:$BM$1006,0)), HYPERLINK("#",""), HYPERLINK(CONCATENATE("#metadata!", ADDRESS(INDEX($AH$2:$AH$1001,MATCH(ROWS($AF$2:AF80),$AF$2:$AF$1001,0),0), INDEX($AM$1004:$BM$1004,1,MATCH(COLUMNS($AM$1006:BK1006),$AM$1006:$BM$1006,0)))),"Fix")))</f>
        <v xml:space="preserve"> </v>
      </c>
      <c r="AA80" s="4" t="str">
        <f ca="1">IF(OR(INDEX($AG$2:$AG$1001,MATCH(ROWS($AF$2:AF80),$AF$2:$AF$1001,0),1)&gt;=100000,INDEX($AM$1005:$BM$1005,1,MATCH(COLUMNS($AM$1006:BL1006),$AM$1006:$BM$1006,0))&gt;=100000), " ",IF(INDEX($AM$2:$BM$1001,MATCH(ROWS($AF$2:AF80),$AF$2:$AF$1001,0),MATCH(COLUMNS($AM$1006:BL1006),$AM$1006:$BM$1006,0)), HYPERLINK("#",""), HYPERLINK(CONCATENATE("#metadata!", ADDRESS(INDEX($AH$2:$AH$1001,MATCH(ROWS($AF$2:AF80),$AF$2:$AF$1001,0),0), INDEX($AM$1004:$BM$1004,1,MATCH(COLUMNS($AM$1006:BL1006),$AM$1006:$BM$1006,0)))),"Fix")))</f>
        <v xml:space="preserve"> </v>
      </c>
      <c r="AB80" s="4" t="str">
        <f ca="1">IF(OR(INDEX($AG$2:$AG$1001,MATCH(ROWS($AF$2:AF80),$AF$2:$AF$1001,0),1)&gt;=100000,INDEX($AM$1005:$BM$1005,1,MATCH(COLUMNS($AM$1006:BM1006),$AM$1006:$BM$1006,0))&gt;=100000), " ",IF(INDEX($AM$2:$BM$1001,MATCH(ROWS($AF$2:AF80),$AF$2:$AF$1001,0),MATCH(COLUMNS($AM$1006:BM1006),$AM$1006:$BM$1006,0)), HYPERLINK("#",""), HYPERLINK(CONCATENATE("#metadata!", ADDRESS(INDEX($AH$2:$AH$1001,MATCH(ROWS($AF$2:AF80),$AF$2:$AF$1001,0),0), INDEX($AM$1004:$BM$1004,1,MATCH(COLUMNS($AM$1006:BM1006),$AM$1006:$BM$1006,0)))),"Fix")))</f>
        <v xml:space="preserve"> </v>
      </c>
      <c r="AF80">
        <v>79</v>
      </c>
      <c r="AG80">
        <v>100080</v>
      </c>
      <c r="AH80">
        <v>80</v>
      </c>
      <c r="AI80" t="b">
        <f t="shared" si="1"/>
        <v>1</v>
      </c>
      <c r="AJ80" t="b">
        <f>COUNTBLANK(metadata!B80:AB80)=COLUMNS(metadata!B80:AB80)</f>
        <v>1</v>
      </c>
      <c r="AK80" t="str">
        <v/>
      </c>
      <c r="AM80" t="b">
        <f ca="1">AND(IF(metadata!B80="",FALSE,TRUE),COUNTIF(metadata!B:B, metadata!B80) = 1,NOT(ISERROR(SUMPRODUCT(SEARCH(MID(metadata!B80,ROW(INDIRECT("1:"&amp;LEN(metadata!B80))), 1),"0123456789abcdefghijklmnopqrstuvwxyzABCDEFGHIJKLMNOPQRSTUVWXYZ.")))))</f>
        <v>0</v>
      </c>
      <c r="AN80" t="b">
        <f ca="1">OR(AND(IF(metadata!C80="",FALSE,TRUE),OR(EXACT(metadata!C80,"missing: not collected"),EXACT(metadata!C80,"missing: not provided"),EXACT(metadata!C80,"missing: restricted access"))),AND(IF(metadata!C80="",FALSE,TRUE),AND(AND(IFERROR(INT(LEFT(metadata!C80,4))&gt;1900,FALSE),IFERROR(INT(LEFT(metadata!C80,4))&lt;=YEAR(NOW()),FALSE)), OR(MID(metadata!C80,5,1)="", AND(AND(MID(metadata!C80,5,1)="-",IFERROR(INT(MID(metadata!C80,6,1))&gt;=0,FALSE),IFERROR(INT(MID(metadata!C80,6,1))&lt;=1,FALSE),NOT(MID(metadata!C80,7,1)=""),IFERROR(INT(MID(metadata!C80,6,2))&gt;=1,FALSE),IFERROR(INT(MID(metadata!C80,6,2))&lt;=12,FALSE)), OR(MID(metadata!C80,8,1)="", AND(AND(MID(metadata!C80,8,1)="-",IFERROR(INT(MID(metadata!C80,9,1))&gt;=0,FALSE),IFERROR(INT(MID(metadata!C80,9,1))&lt;=3,FALSE),NOT(MID(metadata!C80,10,1)=""),IFERROR(INT(MID(metadata!C80,9,2))&gt;=1,FALSE),IFERROR(INT(MID(metadata!C80,9,2))&lt;=31,FALSE)), OR(MID(metadata!C80,11,1)="", AND(AND(MID(metadata!C80,11,1)=" ",IFERROR(INT(MID(metadata!C80,12,1))&gt;=0,FALSE),IFERROR(INT(MID(metadata!C80,12,1))&lt;=2,FALSE),NOT(MID(metadata!C80,13,1)=""),IFERROR(INT(MID(metadata!C80,12,2))&gt;=0,FALSE),IFERROR(INT(MID(metadata!C80,12,2))&lt;=23,FALSE)), OR(MID(metadata!C80,14,1)="", AND(AND(MID(metadata!C80,14,1)=":",IFERROR(INT(MID(metadata!C80,15,1))&gt;=0,FALSE),IFERROR(INT(MID(metadata!C80,15,1))&lt;=5,FALSE),NOT(MID(metadata!C80,16,1)=""),IFERROR(INT(MID(metadata!C80,15,2))&gt;=0,FALSE),IFERROR(INT(MID(metadata!C80,15,2))&lt;=59,FALSE)), OR(MID(metadata!C80,17,1)="", AND(AND(MID(metadata!C80,17,1)=":",IFERROR(INT(MID(metadata!C80,18,1))&gt;=0,FALSE),IFERROR(INT(MID(metadata!C80,18,1))&lt;=5,FALSE),NOT(MID(metadata!C80,19,1)=""),IFERROR(INT(MID(metadata!C80,18,2))&gt;=0,FALSE),IFERROR(INT(MID(metadata!C80,18,2))&lt;=59,FALSE)), LEN(metadata!C80)&lt;=19)))))))))))))</f>
        <v>0</v>
      </c>
      <c r="AO80" t="b">
        <f>AND(IF(metadata!D80="",FALSE,TRUE),EXACT(metadata!D80,"Not applicable"))</f>
        <v>0</v>
      </c>
      <c r="AP80" t="b">
        <f>IF(metadata!E80="",FALSE,TRUE)</f>
        <v>0</v>
      </c>
      <c r="AQ80" t="b">
        <f>OR(AND(IF(metadata!F80="",FALSE,TRUE),OR(EXACT(metadata!F80,"missing: not collected"),EXACT(metadata!F80,"missing: not provided"))),AND(IF(metadata!F80="",FALSE,TRUE),OR(EXACT(metadata!F80,"TRUE"),EXACT(metadata!F80,"FALSE"))))</f>
        <v>0</v>
      </c>
      <c r="AR80" t="b">
        <f>OR(AND(IF(metadata!G80="",FALSE,TRUE),OR(EXACT(metadata!G80,"missing: not collected"),EXACT(metadata!G80,"missing: not provided"),EXACT(metadata!G80,"missing: restricted access"))),AND(IF(metadata!G80="",FALSE,ISNUMBER(VALUE(metadata!G80))),metadata!G80&gt;=-413))</f>
        <v>0</v>
      </c>
      <c r="AS80" t="b">
        <f>AND(IF(metadata!H80="",FALSE,TRUE),EXACT(metadata!H80,"meters"))</f>
        <v>0</v>
      </c>
      <c r="AT80" t="b">
        <f>AND(IF(metadata!I80="",FALSE,TRUE),OR(EXACT(metadata!I80,"Host-associated"),EXACT(metadata!I80,"Free-living")))</f>
        <v>0</v>
      </c>
      <c r="AU80" t="b">
        <f>AND(IF(metadata!J80="",FALSE,TRUE),OR(EXACT(metadata!J80,"Animal"),EXACT(metadata!J80,"Fungus"),EXACT(metadata!J80,"Plant"),EXACT(metadata!J80,"Saline"),EXACT(metadata!J80,"Non-saline")))</f>
        <v>0</v>
      </c>
      <c r="AV80" t="b">
        <f>AND(IF(metadata!K80="",FALSE,TRUE),OR(EXACT(metadata!K80,"Plant secretion"),EXACT(metadata!K80,"Plant rhizosphere"),EXACT(metadata!K80,"Plant surface"),EXACT(metadata!K80,"Plant corpus"),EXACT(metadata!K80,"Fungus surface"),EXACT(metadata!K80,"Fungus corpus"),EXACT(metadata!K80,"Animal surface"),EXACT(metadata!K80,"Animal proximal gut"),EXACT(metadata!K80,"Animal corpus"),EXACT(metadata!K80,"Animal distal gut"),EXACT(metadata!K80,"Animal secretion"),EXACT(metadata!K80,"Sub-surface (non-saline)"),EXACT(metadata!K80,"Surface (non-saline)"),EXACT(metadata!K80,"Water (non-saline)"),EXACT(metadata!K80,"Soil (non-saline)"),EXACT(metadata!K80,"Aerosol (non-saline)"),EXACT(metadata!K80,"Sediment (non-saline)"),EXACT(metadata!K80,"Surface (saline)"),EXACT(metadata!K80,"Water (saline)"),EXACT(metadata!K80,"Hypersaline (saline)"),EXACT(metadata!K80,"Aerosol (saline)"),EXACT(metadata!K80,"Sediment (saline)")))</f>
        <v>0</v>
      </c>
      <c r="AW80" t="b">
        <f>IF(metadata!L80="",FALSE,TRUE)</f>
        <v>0</v>
      </c>
      <c r="AX80" t="b">
        <f>IF(metadata!M80="",FALSE,TRUE)</f>
        <v>0</v>
      </c>
      <c r="AY80" t="b">
        <f>IF(metadata!N80="",FALSE,TRUE)</f>
        <v>0</v>
      </c>
      <c r="AZ80" t="b">
        <f>OR(AND(IF(metadata!O80="",FALSE,TRUE),OR(EXACT(metadata!O80,"missing: not collected"),EXACT(metadata!O80,"missing: not provided"),EXACT(metadata!O80,"missing: restricted access"))),AND(IF(metadata!O80="",FALSE,TRUE),OR(EXACT(metadata!O80,"air"),EXACT(metadata!O80,"built environment"),EXACT(metadata!O80,"host-associated"),EXACT(metadata!O80,"human-associated"),EXACT(metadata!O80,"human-skin"),EXACT(metadata!O80,"human-oral"),EXACT(metadata!O80,"human-gut"),EXACT(metadata!O80,"human-vaginal"),EXACT(metadata!O80,"microbial mat/biofilm"),EXACT(metadata!O80,"misc environment"),EXACT(metadata!O80,"plant-associated"),EXACT(metadata!O80,"sediment"),EXACT(metadata!O80,"soil"),EXACT(metadata!O80,"wastewater/sludge"),EXACT(metadata!O80,"water"))))</f>
        <v>0</v>
      </c>
      <c r="BA80" t="b">
        <f>IF(metadata!P80="",FALSE,TRUE)</f>
        <v>0</v>
      </c>
      <c r="BB80" t="b">
        <f>IF(metadata!Q80="",FALSE,TRUE)</f>
        <v>0</v>
      </c>
      <c r="BC80" t="b">
        <f>OR(AND(IF(metadata!R80="",FALSE,TRUE),OR(EXACT(metadata!R80,"missing: not collected"),EXACT(metadata!R80,"missing: not provided"),EXACT(metadata!R80,"missing: restricted access"))),AND(IF(metadata!R80="",FALSE,ISNUMBER(VALUE(metadata!R80))),metadata!R80&gt;=-90,metadata!R80&lt;=90))</f>
        <v>0</v>
      </c>
      <c r="BD80" t="b">
        <f>AND(IF(metadata!S80="",FALSE,TRUE),EXACT(metadata!S80,"Decimal degrees"))</f>
        <v>0</v>
      </c>
      <c r="BE80" t="b">
        <f>OR(AND(IF(metadata!T80="",FALSE,TRUE),OR(EXACT(metadata!T80,"missing: not collected"),EXACT(metadata!T80,"missing: not provided"),EXACT(metadata!T80,"missing: restricted access"))),AND(IF(metadata!T80="",FALSE,ISNUMBER(VALUE(metadata!T80))),metadata!T80&gt;=-180,metadata!T80&lt;=180))</f>
        <v>0</v>
      </c>
      <c r="BF80" t="b">
        <f>AND(IF(metadata!U80="",FALSE,TRUE),EXACT(metadata!U80,"Decimal degrees"))</f>
        <v>0</v>
      </c>
      <c r="BG80" t="b">
        <f>IF(metadata!V80="",FALSE,TRUE)</f>
        <v>0</v>
      </c>
      <c r="BH80" t="b">
        <f>OR(AND(IF(metadata!W80="",FALSE,TRUE),OR(EXACT(metadata!W80,"missing: not collected"),EXACT(metadata!W80,"missing: not provided"),EXACT(metadata!W80,"missing: restricted access"))),AND(IF(metadata!W80="",FALSE,TRUE),OR(EXACT(metadata!W80,"TRUE"),EXACT(metadata!W80,"FALSE"))))</f>
        <v>0</v>
      </c>
      <c r="BI80" t="b">
        <f>AND(IF(metadata!X80="",FALSE,TRUE),EXACT(metadata!X80,"other"))</f>
        <v>0</v>
      </c>
      <c r="BJ80" t="b">
        <f>IF(metadata!Y80="",FALSE,TRUE)</f>
        <v>0</v>
      </c>
      <c r="BK80" t="b">
        <f>OR(AND(IF(metadata!Z80="",FALSE,TRUE),OR(EXACT(metadata!Z80,"missing: not collected"),EXACT(metadata!Z80,"missing: not provided"))),AND(IF(metadata!Z80="",FALSE,IF(ISERROR(INT(metadata!Z80)),FALSE,INT(metadata!Z80)=metadata!Z80)),metadata!Z80&gt;0))</f>
        <v>0</v>
      </c>
      <c r="BL80" t="b">
        <f>AND(IF(metadata!AA80="",FALSE,TRUE),EXACT(metadata!AA80,"Not applicable"))</f>
        <v>0</v>
      </c>
      <c r="BM80" t="b">
        <f>IF(metadata!AB80="",FALSE,TRUE)</f>
        <v>0</v>
      </c>
    </row>
    <row r="81" spans="1:65" x14ac:dyDescent="0.2">
      <c r="A81" s="5" t="str">
        <f ca="1">IF(B81=" "," ",HYPERLINK(CONCATENATE("#metadata!",ADDRESS(INDEX($AH$2:$AH$1001,MATCH(ROWS($AF$2:AF81),$AF$2:$AF$1001,0),0),1)),INDEX($AK$2:$AK$1001,MATCH(ROWS($AF$2:AF81),$AF$2:$AF$1001,0),0)))</f>
        <v xml:space="preserve"> </v>
      </c>
      <c r="B81" s="4" t="str">
        <f ca="1">IF(OR(INDEX($AG$2:$AG$1001,MATCH(ROWS($AF$2:AF81),$AF$2:$AF$1001,0),1)&gt;=100000,INDEX($AM$1005:$BM$1005,1,MATCH(COLUMNS($AM$1006:AM1006),$AM$1006:$BM$1006,0))&gt;=100000), " ",IF(INDEX($AM$2:$BM$1001,MATCH(ROWS($AF$2:AF81),$AF$2:$AF$1001,0),MATCH(COLUMNS($AM$1006:AM1006),$AM$1006:$BM$1006,0)), HYPERLINK("#",""), HYPERLINK(CONCATENATE("#metadata!", ADDRESS(INDEX($AH$2:$AH$1001,MATCH(ROWS($AF$2:AF81),$AF$2:$AF$1001,0),0), INDEX($AM$1004:$BM$1004,1,MATCH(COLUMNS($AM$1006:AM1006),$AM$1006:$BM$1006,0)))),"Fix")))</f>
        <v xml:space="preserve"> </v>
      </c>
      <c r="C81" s="4" t="str">
        <f ca="1">IF(OR(INDEX($AG$2:$AG$1001,MATCH(ROWS($AF$2:AF81),$AF$2:$AF$1001,0),1)&gt;=100000,INDEX($AM$1005:$BM$1005,1,MATCH(COLUMNS($AM$1006:AN1006),$AM$1006:$BM$1006,0))&gt;=100000), " ",IF(INDEX($AM$2:$BM$1001,MATCH(ROWS($AF$2:AF81),$AF$2:$AF$1001,0),MATCH(COLUMNS($AM$1006:AN1006),$AM$1006:$BM$1006,0)), HYPERLINK("#",""), HYPERLINK(CONCATENATE("#metadata!", ADDRESS(INDEX($AH$2:$AH$1001,MATCH(ROWS($AF$2:AF81),$AF$2:$AF$1001,0),0), INDEX($AM$1004:$BM$1004,1,MATCH(COLUMNS($AM$1006:AN1006),$AM$1006:$BM$1006,0)))),"Fix")))</f>
        <v xml:space="preserve"> </v>
      </c>
      <c r="D81" s="4" t="str">
        <f ca="1">IF(OR(INDEX($AG$2:$AG$1001,MATCH(ROWS($AF$2:AF81),$AF$2:$AF$1001,0),1)&gt;=100000,INDEX($AM$1005:$BM$1005,1,MATCH(COLUMNS($AM$1006:AO1006),$AM$1006:$BM$1006,0))&gt;=100000), " ",IF(INDEX($AM$2:$BM$1001,MATCH(ROWS($AF$2:AF81),$AF$2:$AF$1001,0),MATCH(COLUMNS($AM$1006:AO1006),$AM$1006:$BM$1006,0)), HYPERLINK("#",""), HYPERLINK(CONCATENATE("#metadata!", ADDRESS(INDEX($AH$2:$AH$1001,MATCH(ROWS($AF$2:AF81),$AF$2:$AF$1001,0),0), INDEX($AM$1004:$BM$1004,1,MATCH(COLUMNS($AM$1006:AO1006),$AM$1006:$BM$1006,0)))),"Fix")))</f>
        <v xml:space="preserve"> </v>
      </c>
      <c r="E81" s="4" t="str">
        <f ca="1">IF(OR(INDEX($AG$2:$AG$1001,MATCH(ROWS($AF$2:AF81),$AF$2:$AF$1001,0),1)&gt;=100000,INDEX($AM$1005:$BM$1005,1,MATCH(COLUMNS($AM$1006:AP1006),$AM$1006:$BM$1006,0))&gt;=100000), " ",IF(INDEX($AM$2:$BM$1001,MATCH(ROWS($AF$2:AF81),$AF$2:$AF$1001,0),MATCH(COLUMNS($AM$1006:AP1006),$AM$1006:$BM$1006,0)), HYPERLINK("#",""), HYPERLINK(CONCATENATE("#metadata!", ADDRESS(INDEX($AH$2:$AH$1001,MATCH(ROWS($AF$2:AF81),$AF$2:$AF$1001,0),0), INDEX($AM$1004:$BM$1004,1,MATCH(COLUMNS($AM$1006:AP1006),$AM$1006:$BM$1006,0)))),"Fix")))</f>
        <v xml:space="preserve"> </v>
      </c>
      <c r="F81" s="4" t="str">
        <f ca="1">IF(OR(INDEX($AG$2:$AG$1001,MATCH(ROWS($AF$2:AF81),$AF$2:$AF$1001,0),1)&gt;=100000,INDEX($AM$1005:$BM$1005,1,MATCH(COLUMNS($AM$1006:AQ1006),$AM$1006:$BM$1006,0))&gt;=100000), " ",IF(INDEX($AM$2:$BM$1001,MATCH(ROWS($AF$2:AF81),$AF$2:$AF$1001,0),MATCH(COLUMNS($AM$1006:AQ1006),$AM$1006:$BM$1006,0)), HYPERLINK("#",""), HYPERLINK(CONCATENATE("#metadata!", ADDRESS(INDEX($AH$2:$AH$1001,MATCH(ROWS($AF$2:AF81),$AF$2:$AF$1001,0),0), INDEX($AM$1004:$BM$1004,1,MATCH(COLUMNS($AM$1006:AQ1006),$AM$1006:$BM$1006,0)))),"Fix")))</f>
        <v xml:space="preserve"> </v>
      </c>
      <c r="G81" s="4" t="str">
        <f ca="1">IF(OR(INDEX($AG$2:$AG$1001,MATCH(ROWS($AF$2:AF81),$AF$2:$AF$1001,0),1)&gt;=100000,INDEX($AM$1005:$BM$1005,1,MATCH(COLUMNS($AM$1006:AR1006),$AM$1006:$BM$1006,0))&gt;=100000), " ",IF(INDEX($AM$2:$BM$1001,MATCH(ROWS($AF$2:AF81),$AF$2:$AF$1001,0),MATCH(COLUMNS($AM$1006:AR1006),$AM$1006:$BM$1006,0)), HYPERLINK("#",""), HYPERLINK(CONCATENATE("#metadata!", ADDRESS(INDEX($AH$2:$AH$1001,MATCH(ROWS($AF$2:AF81),$AF$2:$AF$1001,0),0), INDEX($AM$1004:$BM$1004,1,MATCH(COLUMNS($AM$1006:AR1006),$AM$1006:$BM$1006,0)))),"Fix")))</f>
        <v xml:space="preserve"> </v>
      </c>
      <c r="H81" s="4" t="str">
        <f ca="1">IF(OR(INDEX($AG$2:$AG$1001,MATCH(ROWS($AF$2:AF81),$AF$2:$AF$1001,0),1)&gt;=100000,INDEX($AM$1005:$BM$1005,1,MATCH(COLUMNS($AM$1006:AS1006),$AM$1006:$BM$1006,0))&gt;=100000), " ",IF(INDEX($AM$2:$BM$1001,MATCH(ROWS($AF$2:AF81),$AF$2:$AF$1001,0),MATCH(COLUMNS($AM$1006:AS1006),$AM$1006:$BM$1006,0)), HYPERLINK("#",""), HYPERLINK(CONCATENATE("#metadata!", ADDRESS(INDEX($AH$2:$AH$1001,MATCH(ROWS($AF$2:AF81),$AF$2:$AF$1001,0),0), INDEX($AM$1004:$BM$1004,1,MATCH(COLUMNS($AM$1006:AS1006),$AM$1006:$BM$1006,0)))),"Fix")))</f>
        <v xml:space="preserve"> </v>
      </c>
      <c r="I81" s="4" t="str">
        <f ca="1">IF(OR(INDEX($AG$2:$AG$1001,MATCH(ROWS($AF$2:AF81),$AF$2:$AF$1001,0),1)&gt;=100000,INDEX($AM$1005:$BM$1005,1,MATCH(COLUMNS($AM$1006:AT1006),$AM$1006:$BM$1006,0))&gt;=100000), " ",IF(INDEX($AM$2:$BM$1001,MATCH(ROWS($AF$2:AF81),$AF$2:$AF$1001,0),MATCH(COLUMNS($AM$1006:AT1006),$AM$1006:$BM$1006,0)), HYPERLINK("#",""), HYPERLINK(CONCATENATE("#metadata!", ADDRESS(INDEX($AH$2:$AH$1001,MATCH(ROWS($AF$2:AF81),$AF$2:$AF$1001,0),0), INDEX($AM$1004:$BM$1004,1,MATCH(COLUMNS($AM$1006:AT1006),$AM$1006:$BM$1006,0)))),"Fix")))</f>
        <v xml:space="preserve"> </v>
      </c>
      <c r="J81" s="4" t="str">
        <f ca="1">IF(OR(INDEX($AG$2:$AG$1001,MATCH(ROWS($AF$2:AF81),$AF$2:$AF$1001,0),1)&gt;=100000,INDEX($AM$1005:$BM$1005,1,MATCH(COLUMNS($AM$1006:AU1006),$AM$1006:$BM$1006,0))&gt;=100000), " ",IF(INDEX($AM$2:$BM$1001,MATCH(ROWS($AF$2:AF81),$AF$2:$AF$1001,0),MATCH(COLUMNS($AM$1006:AU1006),$AM$1006:$BM$1006,0)), HYPERLINK("#",""), HYPERLINK(CONCATENATE("#metadata!", ADDRESS(INDEX($AH$2:$AH$1001,MATCH(ROWS($AF$2:AF81),$AF$2:$AF$1001,0),0), INDEX($AM$1004:$BM$1004,1,MATCH(COLUMNS($AM$1006:AU1006),$AM$1006:$BM$1006,0)))),"Fix")))</f>
        <v xml:space="preserve"> </v>
      </c>
      <c r="K81" s="4" t="str">
        <f ca="1">IF(OR(INDEX($AG$2:$AG$1001,MATCH(ROWS($AF$2:AF81),$AF$2:$AF$1001,0),1)&gt;=100000,INDEX($AM$1005:$BM$1005,1,MATCH(COLUMNS($AM$1006:AV1006),$AM$1006:$BM$1006,0))&gt;=100000), " ",IF(INDEX($AM$2:$BM$1001,MATCH(ROWS($AF$2:AF81),$AF$2:$AF$1001,0),MATCH(COLUMNS($AM$1006:AV1006),$AM$1006:$BM$1006,0)), HYPERLINK("#",""), HYPERLINK(CONCATENATE("#metadata!", ADDRESS(INDEX($AH$2:$AH$1001,MATCH(ROWS($AF$2:AF81),$AF$2:$AF$1001,0),0), INDEX($AM$1004:$BM$1004,1,MATCH(COLUMNS($AM$1006:AV1006),$AM$1006:$BM$1006,0)))),"Fix")))</f>
        <v xml:space="preserve"> </v>
      </c>
      <c r="L81" s="4" t="str">
        <f ca="1">IF(OR(INDEX($AG$2:$AG$1001,MATCH(ROWS($AF$2:AF81),$AF$2:$AF$1001,0),1)&gt;=100000,INDEX($AM$1005:$BM$1005,1,MATCH(COLUMNS($AM$1006:AW1006),$AM$1006:$BM$1006,0))&gt;=100000), " ",IF(INDEX($AM$2:$BM$1001,MATCH(ROWS($AF$2:AF81),$AF$2:$AF$1001,0),MATCH(COLUMNS($AM$1006:AW1006),$AM$1006:$BM$1006,0)), HYPERLINK("#",""), HYPERLINK(CONCATENATE("#metadata!", ADDRESS(INDEX($AH$2:$AH$1001,MATCH(ROWS($AF$2:AF81),$AF$2:$AF$1001,0),0), INDEX($AM$1004:$BM$1004,1,MATCH(COLUMNS($AM$1006:AW1006),$AM$1006:$BM$1006,0)))),"Fix")))</f>
        <v xml:space="preserve"> </v>
      </c>
      <c r="M81" s="4" t="str">
        <f ca="1">IF(OR(INDEX($AG$2:$AG$1001,MATCH(ROWS($AF$2:AF81),$AF$2:$AF$1001,0),1)&gt;=100000,INDEX($AM$1005:$BM$1005,1,MATCH(COLUMNS($AM$1006:AX1006),$AM$1006:$BM$1006,0))&gt;=100000), " ",IF(INDEX($AM$2:$BM$1001,MATCH(ROWS($AF$2:AF81),$AF$2:$AF$1001,0),MATCH(COLUMNS($AM$1006:AX1006),$AM$1006:$BM$1006,0)), HYPERLINK("#",""), HYPERLINK(CONCATENATE("#metadata!", ADDRESS(INDEX($AH$2:$AH$1001,MATCH(ROWS($AF$2:AF81),$AF$2:$AF$1001,0),0), INDEX($AM$1004:$BM$1004,1,MATCH(COLUMNS($AM$1006:AX1006),$AM$1006:$BM$1006,0)))),"Fix")))</f>
        <v xml:space="preserve"> </v>
      </c>
      <c r="N81" s="4" t="str">
        <f ca="1">IF(OR(INDEX($AG$2:$AG$1001,MATCH(ROWS($AF$2:AF81),$AF$2:$AF$1001,0),1)&gt;=100000,INDEX($AM$1005:$BM$1005,1,MATCH(COLUMNS($AM$1006:AY1006),$AM$1006:$BM$1006,0))&gt;=100000), " ",IF(INDEX($AM$2:$BM$1001,MATCH(ROWS($AF$2:AF81),$AF$2:$AF$1001,0),MATCH(COLUMNS($AM$1006:AY1006),$AM$1006:$BM$1006,0)), HYPERLINK("#",""), HYPERLINK(CONCATENATE("#metadata!", ADDRESS(INDEX($AH$2:$AH$1001,MATCH(ROWS($AF$2:AF81),$AF$2:$AF$1001,0),0), INDEX($AM$1004:$BM$1004,1,MATCH(COLUMNS($AM$1006:AY1006),$AM$1006:$BM$1006,0)))),"Fix")))</f>
        <v xml:space="preserve"> </v>
      </c>
      <c r="O81" s="4" t="str">
        <f ca="1">IF(OR(INDEX($AG$2:$AG$1001,MATCH(ROWS($AF$2:AF81),$AF$2:$AF$1001,0),1)&gt;=100000,INDEX($AM$1005:$BM$1005,1,MATCH(COLUMNS($AM$1006:AZ1006),$AM$1006:$BM$1006,0))&gt;=100000), " ",IF(INDEX($AM$2:$BM$1001,MATCH(ROWS($AF$2:AF81),$AF$2:$AF$1001,0),MATCH(COLUMNS($AM$1006:AZ1006),$AM$1006:$BM$1006,0)), HYPERLINK("#",""), HYPERLINK(CONCATENATE("#metadata!", ADDRESS(INDEX($AH$2:$AH$1001,MATCH(ROWS($AF$2:AF81),$AF$2:$AF$1001,0),0), INDEX($AM$1004:$BM$1004,1,MATCH(COLUMNS($AM$1006:AZ1006),$AM$1006:$BM$1006,0)))),"Fix")))</f>
        <v xml:space="preserve"> </v>
      </c>
      <c r="P81" s="4" t="str">
        <f ca="1">IF(OR(INDEX($AG$2:$AG$1001,MATCH(ROWS($AF$2:AF81),$AF$2:$AF$1001,0),1)&gt;=100000,INDEX($AM$1005:$BM$1005,1,MATCH(COLUMNS($AM$1006:BA1006),$AM$1006:$BM$1006,0))&gt;=100000), " ",IF(INDEX($AM$2:$BM$1001,MATCH(ROWS($AF$2:AF81),$AF$2:$AF$1001,0),MATCH(COLUMNS($AM$1006:BA1006),$AM$1006:$BM$1006,0)), HYPERLINK("#",""), HYPERLINK(CONCATENATE("#metadata!", ADDRESS(INDEX($AH$2:$AH$1001,MATCH(ROWS($AF$2:AF81),$AF$2:$AF$1001,0),0), INDEX($AM$1004:$BM$1004,1,MATCH(COLUMNS($AM$1006:BA1006),$AM$1006:$BM$1006,0)))),"Fix")))</f>
        <v xml:space="preserve"> </v>
      </c>
      <c r="Q81" s="4" t="str">
        <f ca="1">IF(OR(INDEX($AG$2:$AG$1001,MATCH(ROWS($AF$2:AF81),$AF$2:$AF$1001,0),1)&gt;=100000,INDEX($AM$1005:$BM$1005,1,MATCH(COLUMNS($AM$1006:BB1006),$AM$1006:$BM$1006,0))&gt;=100000), " ",IF(INDEX($AM$2:$BM$1001,MATCH(ROWS($AF$2:AF81),$AF$2:$AF$1001,0),MATCH(COLUMNS($AM$1006:BB1006),$AM$1006:$BM$1006,0)), HYPERLINK("#",""), HYPERLINK(CONCATENATE("#metadata!", ADDRESS(INDEX($AH$2:$AH$1001,MATCH(ROWS($AF$2:AF81),$AF$2:$AF$1001,0),0), INDEX($AM$1004:$BM$1004,1,MATCH(COLUMNS($AM$1006:BB1006),$AM$1006:$BM$1006,0)))),"Fix")))</f>
        <v xml:space="preserve"> </v>
      </c>
      <c r="R81" s="4" t="str">
        <f ca="1">IF(OR(INDEX($AG$2:$AG$1001,MATCH(ROWS($AF$2:AF81),$AF$2:$AF$1001,0),1)&gt;=100000,INDEX($AM$1005:$BM$1005,1,MATCH(COLUMNS($AM$1006:BC1006),$AM$1006:$BM$1006,0))&gt;=100000), " ",IF(INDEX($AM$2:$BM$1001,MATCH(ROWS($AF$2:AF81),$AF$2:$AF$1001,0),MATCH(COLUMNS($AM$1006:BC1006),$AM$1006:$BM$1006,0)), HYPERLINK("#",""), HYPERLINK(CONCATENATE("#metadata!", ADDRESS(INDEX($AH$2:$AH$1001,MATCH(ROWS($AF$2:AF81),$AF$2:$AF$1001,0),0), INDEX($AM$1004:$BM$1004,1,MATCH(COLUMNS($AM$1006:BC1006),$AM$1006:$BM$1006,0)))),"Fix")))</f>
        <v xml:space="preserve"> </v>
      </c>
      <c r="S81" s="4" t="str">
        <f ca="1">IF(OR(INDEX($AG$2:$AG$1001,MATCH(ROWS($AF$2:AF81),$AF$2:$AF$1001,0),1)&gt;=100000,INDEX($AM$1005:$BM$1005,1,MATCH(COLUMNS($AM$1006:BD1006),$AM$1006:$BM$1006,0))&gt;=100000), " ",IF(INDEX($AM$2:$BM$1001,MATCH(ROWS($AF$2:AF81),$AF$2:$AF$1001,0),MATCH(COLUMNS($AM$1006:BD1006),$AM$1006:$BM$1006,0)), HYPERLINK("#",""), HYPERLINK(CONCATENATE("#metadata!", ADDRESS(INDEX($AH$2:$AH$1001,MATCH(ROWS($AF$2:AF81),$AF$2:$AF$1001,0),0), INDEX($AM$1004:$BM$1004,1,MATCH(COLUMNS($AM$1006:BD1006),$AM$1006:$BM$1006,0)))),"Fix")))</f>
        <v xml:space="preserve"> </v>
      </c>
      <c r="T81" s="4" t="str">
        <f ca="1">IF(OR(INDEX($AG$2:$AG$1001,MATCH(ROWS($AF$2:AF81),$AF$2:$AF$1001,0),1)&gt;=100000,INDEX($AM$1005:$BM$1005,1,MATCH(COLUMNS($AM$1006:BE1006),$AM$1006:$BM$1006,0))&gt;=100000), " ",IF(INDEX($AM$2:$BM$1001,MATCH(ROWS($AF$2:AF81),$AF$2:$AF$1001,0),MATCH(COLUMNS($AM$1006:BE1006),$AM$1006:$BM$1006,0)), HYPERLINK("#",""), HYPERLINK(CONCATENATE("#metadata!", ADDRESS(INDEX($AH$2:$AH$1001,MATCH(ROWS($AF$2:AF81),$AF$2:$AF$1001,0),0), INDEX($AM$1004:$BM$1004,1,MATCH(COLUMNS($AM$1006:BE1006),$AM$1006:$BM$1006,0)))),"Fix")))</f>
        <v xml:space="preserve"> </v>
      </c>
      <c r="U81" s="4" t="str">
        <f ca="1">IF(OR(INDEX($AG$2:$AG$1001,MATCH(ROWS($AF$2:AF81),$AF$2:$AF$1001,0),1)&gt;=100000,INDEX($AM$1005:$BM$1005,1,MATCH(COLUMNS($AM$1006:BF1006),$AM$1006:$BM$1006,0))&gt;=100000), " ",IF(INDEX($AM$2:$BM$1001,MATCH(ROWS($AF$2:AF81),$AF$2:$AF$1001,0),MATCH(COLUMNS($AM$1006:BF1006),$AM$1006:$BM$1006,0)), HYPERLINK("#",""), HYPERLINK(CONCATENATE("#metadata!", ADDRESS(INDEX($AH$2:$AH$1001,MATCH(ROWS($AF$2:AF81),$AF$2:$AF$1001,0),0), INDEX($AM$1004:$BM$1004,1,MATCH(COLUMNS($AM$1006:BF1006),$AM$1006:$BM$1006,0)))),"Fix")))</f>
        <v xml:space="preserve"> </v>
      </c>
      <c r="V81" s="4" t="str">
        <f ca="1">IF(OR(INDEX($AG$2:$AG$1001,MATCH(ROWS($AF$2:AF81),$AF$2:$AF$1001,0),1)&gt;=100000,INDEX($AM$1005:$BM$1005,1,MATCH(COLUMNS($AM$1006:BG1006),$AM$1006:$BM$1006,0))&gt;=100000), " ",IF(INDEX($AM$2:$BM$1001,MATCH(ROWS($AF$2:AF81),$AF$2:$AF$1001,0),MATCH(COLUMNS($AM$1006:BG1006),$AM$1006:$BM$1006,0)), HYPERLINK("#",""), HYPERLINK(CONCATENATE("#metadata!", ADDRESS(INDEX($AH$2:$AH$1001,MATCH(ROWS($AF$2:AF81),$AF$2:$AF$1001,0),0), INDEX($AM$1004:$BM$1004,1,MATCH(COLUMNS($AM$1006:BG1006),$AM$1006:$BM$1006,0)))),"Fix")))</f>
        <v xml:space="preserve"> </v>
      </c>
      <c r="W81" s="4" t="str">
        <f ca="1">IF(OR(INDEX($AG$2:$AG$1001,MATCH(ROWS($AF$2:AF81),$AF$2:$AF$1001,0),1)&gt;=100000,INDEX($AM$1005:$BM$1005,1,MATCH(COLUMNS($AM$1006:BH1006),$AM$1006:$BM$1006,0))&gt;=100000), " ",IF(INDEX($AM$2:$BM$1001,MATCH(ROWS($AF$2:AF81),$AF$2:$AF$1001,0),MATCH(COLUMNS($AM$1006:BH1006),$AM$1006:$BM$1006,0)), HYPERLINK("#",""), HYPERLINK(CONCATENATE("#metadata!", ADDRESS(INDEX($AH$2:$AH$1001,MATCH(ROWS($AF$2:AF81),$AF$2:$AF$1001,0),0), INDEX($AM$1004:$BM$1004,1,MATCH(COLUMNS($AM$1006:BH1006),$AM$1006:$BM$1006,0)))),"Fix")))</f>
        <v xml:space="preserve"> </v>
      </c>
      <c r="X81" s="4" t="str">
        <f ca="1">IF(OR(INDEX($AG$2:$AG$1001,MATCH(ROWS($AF$2:AF81),$AF$2:$AF$1001,0),1)&gt;=100000,INDEX($AM$1005:$BM$1005,1,MATCH(COLUMNS($AM$1006:BI1006),$AM$1006:$BM$1006,0))&gt;=100000), " ",IF(INDEX($AM$2:$BM$1001,MATCH(ROWS($AF$2:AF81),$AF$2:$AF$1001,0),MATCH(COLUMNS($AM$1006:BI1006),$AM$1006:$BM$1006,0)), HYPERLINK("#",""), HYPERLINK(CONCATENATE("#metadata!", ADDRESS(INDEX($AH$2:$AH$1001,MATCH(ROWS($AF$2:AF81),$AF$2:$AF$1001,0),0), INDEX($AM$1004:$BM$1004,1,MATCH(COLUMNS($AM$1006:BI1006),$AM$1006:$BM$1006,0)))),"Fix")))</f>
        <v xml:space="preserve"> </v>
      </c>
      <c r="Y81" s="4" t="str">
        <f ca="1">IF(OR(INDEX($AG$2:$AG$1001,MATCH(ROWS($AF$2:AF81),$AF$2:$AF$1001,0),1)&gt;=100000,INDEX($AM$1005:$BM$1005,1,MATCH(COLUMNS($AM$1006:BJ1006),$AM$1006:$BM$1006,0))&gt;=100000), " ",IF(INDEX($AM$2:$BM$1001,MATCH(ROWS($AF$2:AF81),$AF$2:$AF$1001,0),MATCH(COLUMNS($AM$1006:BJ1006),$AM$1006:$BM$1006,0)), HYPERLINK("#",""), HYPERLINK(CONCATENATE("#metadata!", ADDRESS(INDEX($AH$2:$AH$1001,MATCH(ROWS($AF$2:AF81),$AF$2:$AF$1001,0),0), INDEX($AM$1004:$BM$1004,1,MATCH(COLUMNS($AM$1006:BJ1006),$AM$1006:$BM$1006,0)))),"Fix")))</f>
        <v xml:space="preserve"> </v>
      </c>
      <c r="Z81" s="4" t="str">
        <f ca="1">IF(OR(INDEX($AG$2:$AG$1001,MATCH(ROWS($AF$2:AF81),$AF$2:$AF$1001,0),1)&gt;=100000,INDEX($AM$1005:$BM$1005,1,MATCH(COLUMNS($AM$1006:BK1006),$AM$1006:$BM$1006,0))&gt;=100000), " ",IF(INDEX($AM$2:$BM$1001,MATCH(ROWS($AF$2:AF81),$AF$2:$AF$1001,0),MATCH(COLUMNS($AM$1006:BK1006),$AM$1006:$BM$1006,0)), HYPERLINK("#",""), HYPERLINK(CONCATENATE("#metadata!", ADDRESS(INDEX($AH$2:$AH$1001,MATCH(ROWS($AF$2:AF81),$AF$2:$AF$1001,0),0), INDEX($AM$1004:$BM$1004,1,MATCH(COLUMNS($AM$1006:BK1006),$AM$1006:$BM$1006,0)))),"Fix")))</f>
        <v xml:space="preserve"> </v>
      </c>
      <c r="AA81" s="4" t="str">
        <f ca="1">IF(OR(INDEX($AG$2:$AG$1001,MATCH(ROWS($AF$2:AF81),$AF$2:$AF$1001,0),1)&gt;=100000,INDEX($AM$1005:$BM$1005,1,MATCH(COLUMNS($AM$1006:BL1006),$AM$1006:$BM$1006,0))&gt;=100000), " ",IF(INDEX($AM$2:$BM$1001,MATCH(ROWS($AF$2:AF81),$AF$2:$AF$1001,0),MATCH(COLUMNS($AM$1006:BL1006),$AM$1006:$BM$1006,0)), HYPERLINK("#",""), HYPERLINK(CONCATENATE("#metadata!", ADDRESS(INDEX($AH$2:$AH$1001,MATCH(ROWS($AF$2:AF81),$AF$2:$AF$1001,0),0), INDEX($AM$1004:$BM$1004,1,MATCH(COLUMNS($AM$1006:BL1006),$AM$1006:$BM$1006,0)))),"Fix")))</f>
        <v xml:space="preserve"> </v>
      </c>
      <c r="AB81" s="4" t="str">
        <f ca="1">IF(OR(INDEX($AG$2:$AG$1001,MATCH(ROWS($AF$2:AF81),$AF$2:$AF$1001,0),1)&gt;=100000,INDEX($AM$1005:$BM$1005,1,MATCH(COLUMNS($AM$1006:BM1006),$AM$1006:$BM$1006,0))&gt;=100000), " ",IF(INDEX($AM$2:$BM$1001,MATCH(ROWS($AF$2:AF81),$AF$2:$AF$1001,0),MATCH(COLUMNS($AM$1006:BM1006),$AM$1006:$BM$1006,0)), HYPERLINK("#",""), HYPERLINK(CONCATENATE("#metadata!", ADDRESS(INDEX($AH$2:$AH$1001,MATCH(ROWS($AF$2:AF81),$AF$2:$AF$1001,0),0), INDEX($AM$1004:$BM$1004,1,MATCH(COLUMNS($AM$1006:BM1006),$AM$1006:$BM$1006,0)))),"Fix")))</f>
        <v xml:space="preserve"> </v>
      </c>
      <c r="AF81">
        <v>80</v>
      </c>
      <c r="AG81">
        <v>100081</v>
      </c>
      <c r="AH81">
        <v>81</v>
      </c>
      <c r="AI81" t="b">
        <f t="shared" si="1"/>
        <v>1</v>
      </c>
      <c r="AJ81" t="b">
        <f>COUNTBLANK(metadata!B81:AB81)=COLUMNS(metadata!B81:AB81)</f>
        <v>1</v>
      </c>
      <c r="AK81" t="str">
        <v/>
      </c>
      <c r="AM81" t="b">
        <f ca="1">AND(IF(metadata!B81="",FALSE,TRUE),COUNTIF(metadata!B:B, metadata!B81) = 1,NOT(ISERROR(SUMPRODUCT(SEARCH(MID(metadata!B81,ROW(INDIRECT("1:"&amp;LEN(metadata!B81))), 1),"0123456789abcdefghijklmnopqrstuvwxyzABCDEFGHIJKLMNOPQRSTUVWXYZ.")))))</f>
        <v>0</v>
      </c>
      <c r="AN81" t="b">
        <f ca="1">OR(AND(IF(metadata!C81="",FALSE,TRUE),OR(EXACT(metadata!C81,"missing: not collected"),EXACT(metadata!C81,"missing: not provided"),EXACT(metadata!C81,"missing: restricted access"))),AND(IF(metadata!C81="",FALSE,TRUE),AND(AND(IFERROR(INT(LEFT(metadata!C81,4))&gt;1900,FALSE),IFERROR(INT(LEFT(metadata!C81,4))&lt;=YEAR(NOW()),FALSE)), OR(MID(metadata!C81,5,1)="", AND(AND(MID(metadata!C81,5,1)="-",IFERROR(INT(MID(metadata!C81,6,1))&gt;=0,FALSE),IFERROR(INT(MID(metadata!C81,6,1))&lt;=1,FALSE),NOT(MID(metadata!C81,7,1)=""),IFERROR(INT(MID(metadata!C81,6,2))&gt;=1,FALSE),IFERROR(INT(MID(metadata!C81,6,2))&lt;=12,FALSE)), OR(MID(metadata!C81,8,1)="", AND(AND(MID(metadata!C81,8,1)="-",IFERROR(INT(MID(metadata!C81,9,1))&gt;=0,FALSE),IFERROR(INT(MID(metadata!C81,9,1))&lt;=3,FALSE),NOT(MID(metadata!C81,10,1)=""),IFERROR(INT(MID(metadata!C81,9,2))&gt;=1,FALSE),IFERROR(INT(MID(metadata!C81,9,2))&lt;=31,FALSE)), OR(MID(metadata!C81,11,1)="", AND(AND(MID(metadata!C81,11,1)=" ",IFERROR(INT(MID(metadata!C81,12,1))&gt;=0,FALSE),IFERROR(INT(MID(metadata!C81,12,1))&lt;=2,FALSE),NOT(MID(metadata!C81,13,1)=""),IFERROR(INT(MID(metadata!C81,12,2))&gt;=0,FALSE),IFERROR(INT(MID(metadata!C81,12,2))&lt;=23,FALSE)), OR(MID(metadata!C81,14,1)="", AND(AND(MID(metadata!C81,14,1)=":",IFERROR(INT(MID(metadata!C81,15,1))&gt;=0,FALSE),IFERROR(INT(MID(metadata!C81,15,1))&lt;=5,FALSE),NOT(MID(metadata!C81,16,1)=""),IFERROR(INT(MID(metadata!C81,15,2))&gt;=0,FALSE),IFERROR(INT(MID(metadata!C81,15,2))&lt;=59,FALSE)), OR(MID(metadata!C81,17,1)="", AND(AND(MID(metadata!C81,17,1)=":",IFERROR(INT(MID(metadata!C81,18,1))&gt;=0,FALSE),IFERROR(INT(MID(metadata!C81,18,1))&lt;=5,FALSE),NOT(MID(metadata!C81,19,1)=""),IFERROR(INT(MID(metadata!C81,18,2))&gt;=0,FALSE),IFERROR(INT(MID(metadata!C81,18,2))&lt;=59,FALSE)), LEN(metadata!C81)&lt;=19)))))))))))))</f>
        <v>0</v>
      </c>
      <c r="AO81" t="b">
        <f>AND(IF(metadata!D81="",FALSE,TRUE),EXACT(metadata!D81,"Not applicable"))</f>
        <v>0</v>
      </c>
      <c r="AP81" t="b">
        <f>IF(metadata!E81="",FALSE,TRUE)</f>
        <v>0</v>
      </c>
      <c r="AQ81" t="b">
        <f>OR(AND(IF(metadata!F81="",FALSE,TRUE),OR(EXACT(metadata!F81,"missing: not collected"),EXACT(metadata!F81,"missing: not provided"))),AND(IF(metadata!F81="",FALSE,TRUE),OR(EXACT(metadata!F81,"TRUE"),EXACT(metadata!F81,"FALSE"))))</f>
        <v>0</v>
      </c>
      <c r="AR81" t="b">
        <f>OR(AND(IF(metadata!G81="",FALSE,TRUE),OR(EXACT(metadata!G81,"missing: not collected"),EXACT(metadata!G81,"missing: not provided"),EXACT(metadata!G81,"missing: restricted access"))),AND(IF(metadata!G81="",FALSE,ISNUMBER(VALUE(metadata!G81))),metadata!G81&gt;=-413))</f>
        <v>0</v>
      </c>
      <c r="AS81" t="b">
        <f>AND(IF(metadata!H81="",FALSE,TRUE),EXACT(metadata!H81,"meters"))</f>
        <v>0</v>
      </c>
      <c r="AT81" t="b">
        <f>AND(IF(metadata!I81="",FALSE,TRUE),OR(EXACT(metadata!I81,"Host-associated"),EXACT(metadata!I81,"Free-living")))</f>
        <v>0</v>
      </c>
      <c r="AU81" t="b">
        <f>AND(IF(metadata!J81="",FALSE,TRUE),OR(EXACT(metadata!J81,"Animal"),EXACT(metadata!J81,"Fungus"),EXACT(metadata!J81,"Plant"),EXACT(metadata!J81,"Saline"),EXACT(metadata!J81,"Non-saline")))</f>
        <v>0</v>
      </c>
      <c r="AV81" t="b">
        <f>AND(IF(metadata!K81="",FALSE,TRUE),OR(EXACT(metadata!K81,"Plant secretion"),EXACT(metadata!K81,"Plant rhizosphere"),EXACT(metadata!K81,"Plant surface"),EXACT(metadata!K81,"Plant corpus"),EXACT(metadata!K81,"Fungus surface"),EXACT(metadata!K81,"Fungus corpus"),EXACT(metadata!K81,"Animal surface"),EXACT(metadata!K81,"Animal proximal gut"),EXACT(metadata!K81,"Animal corpus"),EXACT(metadata!K81,"Animal distal gut"),EXACT(metadata!K81,"Animal secretion"),EXACT(metadata!K81,"Sub-surface (non-saline)"),EXACT(metadata!K81,"Surface (non-saline)"),EXACT(metadata!K81,"Water (non-saline)"),EXACT(metadata!K81,"Soil (non-saline)"),EXACT(metadata!K81,"Aerosol (non-saline)"),EXACT(metadata!K81,"Sediment (non-saline)"),EXACT(metadata!K81,"Surface (saline)"),EXACT(metadata!K81,"Water (saline)"),EXACT(metadata!K81,"Hypersaline (saline)"),EXACT(metadata!K81,"Aerosol (saline)"),EXACT(metadata!K81,"Sediment (saline)")))</f>
        <v>0</v>
      </c>
      <c r="AW81" t="b">
        <f>IF(metadata!L81="",FALSE,TRUE)</f>
        <v>0</v>
      </c>
      <c r="AX81" t="b">
        <f>IF(metadata!M81="",FALSE,TRUE)</f>
        <v>0</v>
      </c>
      <c r="AY81" t="b">
        <f>IF(metadata!N81="",FALSE,TRUE)</f>
        <v>0</v>
      </c>
      <c r="AZ81" t="b">
        <f>OR(AND(IF(metadata!O81="",FALSE,TRUE),OR(EXACT(metadata!O81,"missing: not collected"),EXACT(metadata!O81,"missing: not provided"),EXACT(metadata!O81,"missing: restricted access"))),AND(IF(metadata!O81="",FALSE,TRUE),OR(EXACT(metadata!O81,"air"),EXACT(metadata!O81,"built environment"),EXACT(metadata!O81,"host-associated"),EXACT(metadata!O81,"human-associated"),EXACT(metadata!O81,"human-skin"),EXACT(metadata!O81,"human-oral"),EXACT(metadata!O81,"human-gut"),EXACT(metadata!O81,"human-vaginal"),EXACT(metadata!O81,"microbial mat/biofilm"),EXACT(metadata!O81,"misc environment"),EXACT(metadata!O81,"plant-associated"),EXACT(metadata!O81,"sediment"),EXACT(metadata!O81,"soil"),EXACT(metadata!O81,"wastewater/sludge"),EXACT(metadata!O81,"water"))))</f>
        <v>0</v>
      </c>
      <c r="BA81" t="b">
        <f>IF(metadata!P81="",FALSE,TRUE)</f>
        <v>0</v>
      </c>
      <c r="BB81" t="b">
        <f>IF(metadata!Q81="",FALSE,TRUE)</f>
        <v>0</v>
      </c>
      <c r="BC81" t="b">
        <f>OR(AND(IF(metadata!R81="",FALSE,TRUE),OR(EXACT(metadata!R81,"missing: not collected"),EXACT(metadata!R81,"missing: not provided"),EXACT(metadata!R81,"missing: restricted access"))),AND(IF(metadata!R81="",FALSE,ISNUMBER(VALUE(metadata!R81))),metadata!R81&gt;=-90,metadata!R81&lt;=90))</f>
        <v>0</v>
      </c>
      <c r="BD81" t="b">
        <f>AND(IF(metadata!S81="",FALSE,TRUE),EXACT(metadata!S81,"Decimal degrees"))</f>
        <v>0</v>
      </c>
      <c r="BE81" t="b">
        <f>OR(AND(IF(metadata!T81="",FALSE,TRUE),OR(EXACT(metadata!T81,"missing: not collected"),EXACT(metadata!T81,"missing: not provided"),EXACT(metadata!T81,"missing: restricted access"))),AND(IF(metadata!T81="",FALSE,ISNUMBER(VALUE(metadata!T81))),metadata!T81&gt;=-180,metadata!T81&lt;=180))</f>
        <v>0</v>
      </c>
      <c r="BF81" t="b">
        <f>AND(IF(metadata!U81="",FALSE,TRUE),EXACT(metadata!U81,"Decimal degrees"))</f>
        <v>0</v>
      </c>
      <c r="BG81" t="b">
        <f>IF(metadata!V81="",FALSE,TRUE)</f>
        <v>0</v>
      </c>
      <c r="BH81" t="b">
        <f>OR(AND(IF(metadata!W81="",FALSE,TRUE),OR(EXACT(metadata!W81,"missing: not collected"),EXACT(metadata!W81,"missing: not provided"),EXACT(metadata!W81,"missing: restricted access"))),AND(IF(metadata!W81="",FALSE,TRUE),OR(EXACT(metadata!W81,"TRUE"),EXACT(metadata!W81,"FALSE"))))</f>
        <v>0</v>
      </c>
      <c r="BI81" t="b">
        <f>AND(IF(metadata!X81="",FALSE,TRUE),EXACT(metadata!X81,"other"))</f>
        <v>0</v>
      </c>
      <c r="BJ81" t="b">
        <f>IF(metadata!Y81="",FALSE,TRUE)</f>
        <v>0</v>
      </c>
      <c r="BK81" t="b">
        <f>OR(AND(IF(metadata!Z81="",FALSE,TRUE),OR(EXACT(metadata!Z81,"missing: not collected"),EXACT(metadata!Z81,"missing: not provided"))),AND(IF(metadata!Z81="",FALSE,IF(ISERROR(INT(metadata!Z81)),FALSE,INT(metadata!Z81)=metadata!Z81)),metadata!Z81&gt;0))</f>
        <v>0</v>
      </c>
      <c r="BL81" t="b">
        <f>AND(IF(metadata!AA81="",FALSE,TRUE),EXACT(metadata!AA81,"Not applicable"))</f>
        <v>0</v>
      </c>
      <c r="BM81" t="b">
        <f>IF(metadata!AB81="",FALSE,TRUE)</f>
        <v>0</v>
      </c>
    </row>
    <row r="82" spans="1:65" x14ac:dyDescent="0.2">
      <c r="A82" s="5" t="str">
        <f ca="1">IF(B82=" "," ",HYPERLINK(CONCATENATE("#metadata!",ADDRESS(INDEX($AH$2:$AH$1001,MATCH(ROWS($AF$2:AF82),$AF$2:$AF$1001,0),0),1)),INDEX($AK$2:$AK$1001,MATCH(ROWS($AF$2:AF82),$AF$2:$AF$1001,0),0)))</f>
        <v xml:space="preserve"> </v>
      </c>
      <c r="B82" s="4" t="str">
        <f ca="1">IF(OR(INDEX($AG$2:$AG$1001,MATCH(ROWS($AF$2:AF82),$AF$2:$AF$1001,0),1)&gt;=100000,INDEX($AM$1005:$BM$1005,1,MATCH(COLUMNS($AM$1006:AM1006),$AM$1006:$BM$1006,0))&gt;=100000), " ",IF(INDEX($AM$2:$BM$1001,MATCH(ROWS($AF$2:AF82),$AF$2:$AF$1001,0),MATCH(COLUMNS($AM$1006:AM1006),$AM$1006:$BM$1006,0)), HYPERLINK("#",""), HYPERLINK(CONCATENATE("#metadata!", ADDRESS(INDEX($AH$2:$AH$1001,MATCH(ROWS($AF$2:AF82),$AF$2:$AF$1001,0),0), INDEX($AM$1004:$BM$1004,1,MATCH(COLUMNS($AM$1006:AM1006),$AM$1006:$BM$1006,0)))),"Fix")))</f>
        <v xml:space="preserve"> </v>
      </c>
      <c r="C82" s="4" t="str">
        <f ca="1">IF(OR(INDEX($AG$2:$AG$1001,MATCH(ROWS($AF$2:AF82),$AF$2:$AF$1001,0),1)&gt;=100000,INDEX($AM$1005:$BM$1005,1,MATCH(COLUMNS($AM$1006:AN1006),$AM$1006:$BM$1006,0))&gt;=100000), " ",IF(INDEX($AM$2:$BM$1001,MATCH(ROWS($AF$2:AF82),$AF$2:$AF$1001,0),MATCH(COLUMNS($AM$1006:AN1006),$AM$1006:$BM$1006,0)), HYPERLINK("#",""), HYPERLINK(CONCATENATE("#metadata!", ADDRESS(INDEX($AH$2:$AH$1001,MATCH(ROWS($AF$2:AF82),$AF$2:$AF$1001,0),0), INDEX($AM$1004:$BM$1004,1,MATCH(COLUMNS($AM$1006:AN1006),$AM$1006:$BM$1006,0)))),"Fix")))</f>
        <v xml:space="preserve"> </v>
      </c>
      <c r="D82" s="4" t="str">
        <f ca="1">IF(OR(INDEX($AG$2:$AG$1001,MATCH(ROWS($AF$2:AF82),$AF$2:$AF$1001,0),1)&gt;=100000,INDEX($AM$1005:$BM$1005,1,MATCH(COLUMNS($AM$1006:AO1006),$AM$1006:$BM$1006,0))&gt;=100000), " ",IF(INDEX($AM$2:$BM$1001,MATCH(ROWS($AF$2:AF82),$AF$2:$AF$1001,0),MATCH(COLUMNS($AM$1006:AO1006),$AM$1006:$BM$1006,0)), HYPERLINK("#",""), HYPERLINK(CONCATENATE("#metadata!", ADDRESS(INDEX($AH$2:$AH$1001,MATCH(ROWS($AF$2:AF82),$AF$2:$AF$1001,0),0), INDEX($AM$1004:$BM$1004,1,MATCH(COLUMNS($AM$1006:AO1006),$AM$1006:$BM$1006,0)))),"Fix")))</f>
        <v xml:space="preserve"> </v>
      </c>
      <c r="E82" s="4" t="str">
        <f ca="1">IF(OR(INDEX($AG$2:$AG$1001,MATCH(ROWS($AF$2:AF82),$AF$2:$AF$1001,0),1)&gt;=100000,INDEX($AM$1005:$BM$1005,1,MATCH(COLUMNS($AM$1006:AP1006),$AM$1006:$BM$1006,0))&gt;=100000), " ",IF(INDEX($AM$2:$BM$1001,MATCH(ROWS($AF$2:AF82),$AF$2:$AF$1001,0),MATCH(COLUMNS($AM$1006:AP1006),$AM$1006:$BM$1006,0)), HYPERLINK("#",""), HYPERLINK(CONCATENATE("#metadata!", ADDRESS(INDEX($AH$2:$AH$1001,MATCH(ROWS($AF$2:AF82),$AF$2:$AF$1001,0),0), INDEX($AM$1004:$BM$1004,1,MATCH(COLUMNS($AM$1006:AP1006),$AM$1006:$BM$1006,0)))),"Fix")))</f>
        <v xml:space="preserve"> </v>
      </c>
      <c r="F82" s="4" t="str">
        <f ca="1">IF(OR(INDEX($AG$2:$AG$1001,MATCH(ROWS($AF$2:AF82),$AF$2:$AF$1001,0),1)&gt;=100000,INDEX($AM$1005:$BM$1005,1,MATCH(COLUMNS($AM$1006:AQ1006),$AM$1006:$BM$1006,0))&gt;=100000), " ",IF(INDEX($AM$2:$BM$1001,MATCH(ROWS($AF$2:AF82),$AF$2:$AF$1001,0),MATCH(COLUMNS($AM$1006:AQ1006),$AM$1006:$BM$1006,0)), HYPERLINK("#",""), HYPERLINK(CONCATENATE("#metadata!", ADDRESS(INDEX($AH$2:$AH$1001,MATCH(ROWS($AF$2:AF82),$AF$2:$AF$1001,0),0), INDEX($AM$1004:$BM$1004,1,MATCH(COLUMNS($AM$1006:AQ1006),$AM$1006:$BM$1006,0)))),"Fix")))</f>
        <v xml:space="preserve"> </v>
      </c>
      <c r="G82" s="4" t="str">
        <f ca="1">IF(OR(INDEX($AG$2:$AG$1001,MATCH(ROWS($AF$2:AF82),$AF$2:$AF$1001,0),1)&gt;=100000,INDEX($AM$1005:$BM$1005,1,MATCH(COLUMNS($AM$1006:AR1006),$AM$1006:$BM$1006,0))&gt;=100000), " ",IF(INDEX($AM$2:$BM$1001,MATCH(ROWS($AF$2:AF82),$AF$2:$AF$1001,0),MATCH(COLUMNS($AM$1006:AR1006),$AM$1006:$BM$1006,0)), HYPERLINK("#",""), HYPERLINK(CONCATENATE("#metadata!", ADDRESS(INDEX($AH$2:$AH$1001,MATCH(ROWS($AF$2:AF82),$AF$2:$AF$1001,0),0), INDEX($AM$1004:$BM$1004,1,MATCH(COLUMNS($AM$1006:AR1006),$AM$1006:$BM$1006,0)))),"Fix")))</f>
        <v xml:space="preserve"> </v>
      </c>
      <c r="H82" s="4" t="str">
        <f ca="1">IF(OR(INDEX($AG$2:$AG$1001,MATCH(ROWS($AF$2:AF82),$AF$2:$AF$1001,0),1)&gt;=100000,INDEX($AM$1005:$BM$1005,1,MATCH(COLUMNS($AM$1006:AS1006),$AM$1006:$BM$1006,0))&gt;=100000), " ",IF(INDEX($AM$2:$BM$1001,MATCH(ROWS($AF$2:AF82),$AF$2:$AF$1001,0),MATCH(COLUMNS($AM$1006:AS1006),$AM$1006:$BM$1006,0)), HYPERLINK("#",""), HYPERLINK(CONCATENATE("#metadata!", ADDRESS(INDEX($AH$2:$AH$1001,MATCH(ROWS($AF$2:AF82),$AF$2:$AF$1001,0),0), INDEX($AM$1004:$BM$1004,1,MATCH(COLUMNS($AM$1006:AS1006),$AM$1006:$BM$1006,0)))),"Fix")))</f>
        <v xml:space="preserve"> </v>
      </c>
      <c r="I82" s="4" t="str">
        <f ca="1">IF(OR(INDEX($AG$2:$AG$1001,MATCH(ROWS($AF$2:AF82),$AF$2:$AF$1001,0),1)&gt;=100000,INDEX($AM$1005:$BM$1005,1,MATCH(COLUMNS($AM$1006:AT1006),$AM$1006:$BM$1006,0))&gt;=100000), " ",IF(INDEX($AM$2:$BM$1001,MATCH(ROWS($AF$2:AF82),$AF$2:$AF$1001,0),MATCH(COLUMNS($AM$1006:AT1006),$AM$1006:$BM$1006,0)), HYPERLINK("#",""), HYPERLINK(CONCATENATE("#metadata!", ADDRESS(INDEX($AH$2:$AH$1001,MATCH(ROWS($AF$2:AF82),$AF$2:$AF$1001,0),0), INDEX($AM$1004:$BM$1004,1,MATCH(COLUMNS($AM$1006:AT1006),$AM$1006:$BM$1006,0)))),"Fix")))</f>
        <v xml:space="preserve"> </v>
      </c>
      <c r="J82" s="4" t="str">
        <f ca="1">IF(OR(INDEX($AG$2:$AG$1001,MATCH(ROWS($AF$2:AF82),$AF$2:$AF$1001,0),1)&gt;=100000,INDEX($AM$1005:$BM$1005,1,MATCH(COLUMNS($AM$1006:AU1006),$AM$1006:$BM$1006,0))&gt;=100000), " ",IF(INDEX($AM$2:$BM$1001,MATCH(ROWS($AF$2:AF82),$AF$2:$AF$1001,0),MATCH(COLUMNS($AM$1006:AU1006),$AM$1006:$BM$1006,0)), HYPERLINK("#",""), HYPERLINK(CONCATENATE("#metadata!", ADDRESS(INDEX($AH$2:$AH$1001,MATCH(ROWS($AF$2:AF82),$AF$2:$AF$1001,0),0), INDEX($AM$1004:$BM$1004,1,MATCH(COLUMNS($AM$1006:AU1006),$AM$1006:$BM$1006,0)))),"Fix")))</f>
        <v xml:space="preserve"> </v>
      </c>
      <c r="K82" s="4" t="str">
        <f ca="1">IF(OR(INDEX($AG$2:$AG$1001,MATCH(ROWS($AF$2:AF82),$AF$2:$AF$1001,0),1)&gt;=100000,INDEX($AM$1005:$BM$1005,1,MATCH(COLUMNS($AM$1006:AV1006),$AM$1006:$BM$1006,0))&gt;=100000), " ",IF(INDEX($AM$2:$BM$1001,MATCH(ROWS($AF$2:AF82),$AF$2:$AF$1001,0),MATCH(COLUMNS($AM$1006:AV1006),$AM$1006:$BM$1006,0)), HYPERLINK("#",""), HYPERLINK(CONCATENATE("#metadata!", ADDRESS(INDEX($AH$2:$AH$1001,MATCH(ROWS($AF$2:AF82),$AF$2:$AF$1001,0),0), INDEX($AM$1004:$BM$1004,1,MATCH(COLUMNS($AM$1006:AV1006),$AM$1006:$BM$1006,0)))),"Fix")))</f>
        <v xml:space="preserve"> </v>
      </c>
      <c r="L82" s="4" t="str">
        <f ca="1">IF(OR(INDEX($AG$2:$AG$1001,MATCH(ROWS($AF$2:AF82),$AF$2:$AF$1001,0),1)&gt;=100000,INDEX($AM$1005:$BM$1005,1,MATCH(COLUMNS($AM$1006:AW1006),$AM$1006:$BM$1006,0))&gt;=100000), " ",IF(INDEX($AM$2:$BM$1001,MATCH(ROWS($AF$2:AF82),$AF$2:$AF$1001,0),MATCH(COLUMNS($AM$1006:AW1006),$AM$1006:$BM$1006,0)), HYPERLINK("#",""), HYPERLINK(CONCATENATE("#metadata!", ADDRESS(INDEX($AH$2:$AH$1001,MATCH(ROWS($AF$2:AF82),$AF$2:$AF$1001,0),0), INDEX($AM$1004:$BM$1004,1,MATCH(COLUMNS($AM$1006:AW1006),$AM$1006:$BM$1006,0)))),"Fix")))</f>
        <v xml:space="preserve"> </v>
      </c>
      <c r="M82" s="4" t="str">
        <f ca="1">IF(OR(INDEX($AG$2:$AG$1001,MATCH(ROWS($AF$2:AF82),$AF$2:$AF$1001,0),1)&gt;=100000,INDEX($AM$1005:$BM$1005,1,MATCH(COLUMNS($AM$1006:AX1006),$AM$1006:$BM$1006,0))&gt;=100000), " ",IF(INDEX($AM$2:$BM$1001,MATCH(ROWS($AF$2:AF82),$AF$2:$AF$1001,0),MATCH(COLUMNS($AM$1006:AX1006),$AM$1006:$BM$1006,0)), HYPERLINK("#",""), HYPERLINK(CONCATENATE("#metadata!", ADDRESS(INDEX($AH$2:$AH$1001,MATCH(ROWS($AF$2:AF82),$AF$2:$AF$1001,0),0), INDEX($AM$1004:$BM$1004,1,MATCH(COLUMNS($AM$1006:AX1006),$AM$1006:$BM$1006,0)))),"Fix")))</f>
        <v xml:space="preserve"> </v>
      </c>
      <c r="N82" s="4" t="str">
        <f ca="1">IF(OR(INDEX($AG$2:$AG$1001,MATCH(ROWS($AF$2:AF82),$AF$2:$AF$1001,0),1)&gt;=100000,INDEX($AM$1005:$BM$1005,1,MATCH(COLUMNS($AM$1006:AY1006),$AM$1006:$BM$1006,0))&gt;=100000), " ",IF(INDEX($AM$2:$BM$1001,MATCH(ROWS($AF$2:AF82),$AF$2:$AF$1001,0),MATCH(COLUMNS($AM$1006:AY1006),$AM$1006:$BM$1006,0)), HYPERLINK("#",""), HYPERLINK(CONCATENATE("#metadata!", ADDRESS(INDEX($AH$2:$AH$1001,MATCH(ROWS($AF$2:AF82),$AF$2:$AF$1001,0),0), INDEX($AM$1004:$BM$1004,1,MATCH(COLUMNS($AM$1006:AY1006),$AM$1006:$BM$1006,0)))),"Fix")))</f>
        <v xml:space="preserve"> </v>
      </c>
      <c r="O82" s="4" t="str">
        <f ca="1">IF(OR(INDEX($AG$2:$AG$1001,MATCH(ROWS($AF$2:AF82),$AF$2:$AF$1001,0),1)&gt;=100000,INDEX($AM$1005:$BM$1005,1,MATCH(COLUMNS($AM$1006:AZ1006),$AM$1006:$BM$1006,0))&gt;=100000), " ",IF(INDEX($AM$2:$BM$1001,MATCH(ROWS($AF$2:AF82),$AF$2:$AF$1001,0),MATCH(COLUMNS($AM$1006:AZ1006),$AM$1006:$BM$1006,0)), HYPERLINK("#",""), HYPERLINK(CONCATENATE("#metadata!", ADDRESS(INDEX($AH$2:$AH$1001,MATCH(ROWS($AF$2:AF82),$AF$2:$AF$1001,0),0), INDEX($AM$1004:$BM$1004,1,MATCH(COLUMNS($AM$1006:AZ1006),$AM$1006:$BM$1006,0)))),"Fix")))</f>
        <v xml:space="preserve"> </v>
      </c>
      <c r="P82" s="4" t="str">
        <f ca="1">IF(OR(INDEX($AG$2:$AG$1001,MATCH(ROWS($AF$2:AF82),$AF$2:$AF$1001,0),1)&gt;=100000,INDEX($AM$1005:$BM$1005,1,MATCH(COLUMNS($AM$1006:BA1006),$AM$1006:$BM$1006,0))&gt;=100000), " ",IF(INDEX($AM$2:$BM$1001,MATCH(ROWS($AF$2:AF82),$AF$2:$AF$1001,0),MATCH(COLUMNS($AM$1006:BA1006),$AM$1006:$BM$1006,0)), HYPERLINK("#",""), HYPERLINK(CONCATENATE("#metadata!", ADDRESS(INDEX($AH$2:$AH$1001,MATCH(ROWS($AF$2:AF82),$AF$2:$AF$1001,0),0), INDEX($AM$1004:$BM$1004,1,MATCH(COLUMNS($AM$1006:BA1006),$AM$1006:$BM$1006,0)))),"Fix")))</f>
        <v xml:space="preserve"> </v>
      </c>
      <c r="Q82" s="4" t="str">
        <f ca="1">IF(OR(INDEX($AG$2:$AG$1001,MATCH(ROWS($AF$2:AF82),$AF$2:$AF$1001,0),1)&gt;=100000,INDEX($AM$1005:$BM$1005,1,MATCH(COLUMNS($AM$1006:BB1006),$AM$1006:$BM$1006,0))&gt;=100000), " ",IF(INDEX($AM$2:$BM$1001,MATCH(ROWS($AF$2:AF82),$AF$2:$AF$1001,0),MATCH(COLUMNS($AM$1006:BB1006),$AM$1006:$BM$1006,0)), HYPERLINK("#",""), HYPERLINK(CONCATENATE("#metadata!", ADDRESS(INDEX($AH$2:$AH$1001,MATCH(ROWS($AF$2:AF82),$AF$2:$AF$1001,0),0), INDEX($AM$1004:$BM$1004,1,MATCH(COLUMNS($AM$1006:BB1006),$AM$1006:$BM$1006,0)))),"Fix")))</f>
        <v xml:space="preserve"> </v>
      </c>
      <c r="R82" s="4" t="str">
        <f ca="1">IF(OR(INDEX($AG$2:$AG$1001,MATCH(ROWS($AF$2:AF82),$AF$2:$AF$1001,0),1)&gt;=100000,INDEX($AM$1005:$BM$1005,1,MATCH(COLUMNS($AM$1006:BC1006),$AM$1006:$BM$1006,0))&gt;=100000), " ",IF(INDEX($AM$2:$BM$1001,MATCH(ROWS($AF$2:AF82),$AF$2:$AF$1001,0),MATCH(COLUMNS($AM$1006:BC1006),$AM$1006:$BM$1006,0)), HYPERLINK("#",""), HYPERLINK(CONCATENATE("#metadata!", ADDRESS(INDEX($AH$2:$AH$1001,MATCH(ROWS($AF$2:AF82),$AF$2:$AF$1001,0),0), INDEX($AM$1004:$BM$1004,1,MATCH(COLUMNS($AM$1006:BC1006),$AM$1006:$BM$1006,0)))),"Fix")))</f>
        <v xml:space="preserve"> </v>
      </c>
      <c r="S82" s="4" t="str">
        <f ca="1">IF(OR(INDEX($AG$2:$AG$1001,MATCH(ROWS($AF$2:AF82),$AF$2:$AF$1001,0),1)&gt;=100000,INDEX($AM$1005:$BM$1005,1,MATCH(COLUMNS($AM$1006:BD1006),$AM$1006:$BM$1006,0))&gt;=100000), " ",IF(INDEX($AM$2:$BM$1001,MATCH(ROWS($AF$2:AF82),$AF$2:$AF$1001,0),MATCH(COLUMNS($AM$1006:BD1006),$AM$1006:$BM$1006,0)), HYPERLINK("#",""), HYPERLINK(CONCATENATE("#metadata!", ADDRESS(INDEX($AH$2:$AH$1001,MATCH(ROWS($AF$2:AF82),$AF$2:$AF$1001,0),0), INDEX($AM$1004:$BM$1004,1,MATCH(COLUMNS($AM$1006:BD1006),$AM$1006:$BM$1006,0)))),"Fix")))</f>
        <v xml:space="preserve"> </v>
      </c>
      <c r="T82" s="4" t="str">
        <f ca="1">IF(OR(INDEX($AG$2:$AG$1001,MATCH(ROWS($AF$2:AF82),$AF$2:$AF$1001,0),1)&gt;=100000,INDEX($AM$1005:$BM$1005,1,MATCH(COLUMNS($AM$1006:BE1006),$AM$1006:$BM$1006,0))&gt;=100000), " ",IF(INDEX($AM$2:$BM$1001,MATCH(ROWS($AF$2:AF82),$AF$2:$AF$1001,0),MATCH(COLUMNS($AM$1006:BE1006),$AM$1006:$BM$1006,0)), HYPERLINK("#",""), HYPERLINK(CONCATENATE("#metadata!", ADDRESS(INDEX($AH$2:$AH$1001,MATCH(ROWS($AF$2:AF82),$AF$2:$AF$1001,0),0), INDEX($AM$1004:$BM$1004,1,MATCH(COLUMNS($AM$1006:BE1006),$AM$1006:$BM$1006,0)))),"Fix")))</f>
        <v xml:space="preserve"> </v>
      </c>
      <c r="U82" s="4" t="str">
        <f ca="1">IF(OR(INDEX($AG$2:$AG$1001,MATCH(ROWS($AF$2:AF82),$AF$2:$AF$1001,0),1)&gt;=100000,INDEX($AM$1005:$BM$1005,1,MATCH(COLUMNS($AM$1006:BF1006),$AM$1006:$BM$1006,0))&gt;=100000), " ",IF(INDEX($AM$2:$BM$1001,MATCH(ROWS($AF$2:AF82),$AF$2:$AF$1001,0),MATCH(COLUMNS($AM$1006:BF1006),$AM$1006:$BM$1006,0)), HYPERLINK("#",""), HYPERLINK(CONCATENATE("#metadata!", ADDRESS(INDEX($AH$2:$AH$1001,MATCH(ROWS($AF$2:AF82),$AF$2:$AF$1001,0),0), INDEX($AM$1004:$BM$1004,1,MATCH(COLUMNS($AM$1006:BF1006),$AM$1006:$BM$1006,0)))),"Fix")))</f>
        <v xml:space="preserve"> </v>
      </c>
      <c r="V82" s="4" t="str">
        <f ca="1">IF(OR(INDEX($AG$2:$AG$1001,MATCH(ROWS($AF$2:AF82),$AF$2:$AF$1001,0),1)&gt;=100000,INDEX($AM$1005:$BM$1005,1,MATCH(COLUMNS($AM$1006:BG1006),$AM$1006:$BM$1006,0))&gt;=100000), " ",IF(INDEX($AM$2:$BM$1001,MATCH(ROWS($AF$2:AF82),$AF$2:$AF$1001,0),MATCH(COLUMNS($AM$1006:BG1006),$AM$1006:$BM$1006,0)), HYPERLINK("#",""), HYPERLINK(CONCATENATE("#metadata!", ADDRESS(INDEX($AH$2:$AH$1001,MATCH(ROWS($AF$2:AF82),$AF$2:$AF$1001,0),0), INDEX($AM$1004:$BM$1004,1,MATCH(COLUMNS($AM$1006:BG1006),$AM$1006:$BM$1006,0)))),"Fix")))</f>
        <v xml:space="preserve"> </v>
      </c>
      <c r="W82" s="4" t="str">
        <f ca="1">IF(OR(INDEX($AG$2:$AG$1001,MATCH(ROWS($AF$2:AF82),$AF$2:$AF$1001,0),1)&gt;=100000,INDEX($AM$1005:$BM$1005,1,MATCH(COLUMNS($AM$1006:BH1006),$AM$1006:$BM$1006,0))&gt;=100000), " ",IF(INDEX($AM$2:$BM$1001,MATCH(ROWS($AF$2:AF82),$AF$2:$AF$1001,0),MATCH(COLUMNS($AM$1006:BH1006),$AM$1006:$BM$1006,0)), HYPERLINK("#",""), HYPERLINK(CONCATENATE("#metadata!", ADDRESS(INDEX($AH$2:$AH$1001,MATCH(ROWS($AF$2:AF82),$AF$2:$AF$1001,0),0), INDEX($AM$1004:$BM$1004,1,MATCH(COLUMNS($AM$1006:BH1006),$AM$1006:$BM$1006,0)))),"Fix")))</f>
        <v xml:space="preserve"> </v>
      </c>
      <c r="X82" s="4" t="str">
        <f ca="1">IF(OR(INDEX($AG$2:$AG$1001,MATCH(ROWS($AF$2:AF82),$AF$2:$AF$1001,0),1)&gt;=100000,INDEX($AM$1005:$BM$1005,1,MATCH(COLUMNS($AM$1006:BI1006),$AM$1006:$BM$1006,0))&gt;=100000), " ",IF(INDEX($AM$2:$BM$1001,MATCH(ROWS($AF$2:AF82),$AF$2:$AF$1001,0),MATCH(COLUMNS($AM$1006:BI1006),$AM$1006:$BM$1006,0)), HYPERLINK("#",""), HYPERLINK(CONCATENATE("#metadata!", ADDRESS(INDEX($AH$2:$AH$1001,MATCH(ROWS($AF$2:AF82),$AF$2:$AF$1001,0),0), INDEX($AM$1004:$BM$1004,1,MATCH(COLUMNS($AM$1006:BI1006),$AM$1006:$BM$1006,0)))),"Fix")))</f>
        <v xml:space="preserve"> </v>
      </c>
      <c r="Y82" s="4" t="str">
        <f ca="1">IF(OR(INDEX($AG$2:$AG$1001,MATCH(ROWS($AF$2:AF82),$AF$2:$AF$1001,0),1)&gt;=100000,INDEX($AM$1005:$BM$1005,1,MATCH(COLUMNS($AM$1006:BJ1006),$AM$1006:$BM$1006,0))&gt;=100000), " ",IF(INDEX($AM$2:$BM$1001,MATCH(ROWS($AF$2:AF82),$AF$2:$AF$1001,0),MATCH(COLUMNS($AM$1006:BJ1006),$AM$1006:$BM$1006,0)), HYPERLINK("#",""), HYPERLINK(CONCATENATE("#metadata!", ADDRESS(INDEX($AH$2:$AH$1001,MATCH(ROWS($AF$2:AF82),$AF$2:$AF$1001,0),0), INDEX($AM$1004:$BM$1004,1,MATCH(COLUMNS($AM$1006:BJ1006),$AM$1006:$BM$1006,0)))),"Fix")))</f>
        <v xml:space="preserve"> </v>
      </c>
      <c r="Z82" s="4" t="str">
        <f ca="1">IF(OR(INDEX($AG$2:$AG$1001,MATCH(ROWS($AF$2:AF82),$AF$2:$AF$1001,0),1)&gt;=100000,INDEX($AM$1005:$BM$1005,1,MATCH(COLUMNS($AM$1006:BK1006),$AM$1006:$BM$1006,0))&gt;=100000), " ",IF(INDEX($AM$2:$BM$1001,MATCH(ROWS($AF$2:AF82),$AF$2:$AF$1001,0),MATCH(COLUMNS($AM$1006:BK1006),$AM$1006:$BM$1006,0)), HYPERLINK("#",""), HYPERLINK(CONCATENATE("#metadata!", ADDRESS(INDEX($AH$2:$AH$1001,MATCH(ROWS($AF$2:AF82),$AF$2:$AF$1001,0),0), INDEX($AM$1004:$BM$1004,1,MATCH(COLUMNS($AM$1006:BK1006),$AM$1006:$BM$1006,0)))),"Fix")))</f>
        <v xml:space="preserve"> </v>
      </c>
      <c r="AA82" s="4" t="str">
        <f ca="1">IF(OR(INDEX($AG$2:$AG$1001,MATCH(ROWS($AF$2:AF82),$AF$2:$AF$1001,0),1)&gt;=100000,INDEX($AM$1005:$BM$1005,1,MATCH(COLUMNS($AM$1006:BL1006),$AM$1006:$BM$1006,0))&gt;=100000), " ",IF(INDEX($AM$2:$BM$1001,MATCH(ROWS($AF$2:AF82),$AF$2:$AF$1001,0),MATCH(COLUMNS($AM$1006:BL1006),$AM$1006:$BM$1006,0)), HYPERLINK("#",""), HYPERLINK(CONCATENATE("#metadata!", ADDRESS(INDEX($AH$2:$AH$1001,MATCH(ROWS($AF$2:AF82),$AF$2:$AF$1001,0),0), INDEX($AM$1004:$BM$1004,1,MATCH(COLUMNS($AM$1006:BL1006),$AM$1006:$BM$1006,0)))),"Fix")))</f>
        <v xml:space="preserve"> </v>
      </c>
      <c r="AB82" s="4" t="str">
        <f ca="1">IF(OR(INDEX($AG$2:$AG$1001,MATCH(ROWS($AF$2:AF82),$AF$2:$AF$1001,0),1)&gt;=100000,INDEX($AM$1005:$BM$1005,1,MATCH(COLUMNS($AM$1006:BM1006),$AM$1006:$BM$1006,0))&gt;=100000), " ",IF(INDEX($AM$2:$BM$1001,MATCH(ROWS($AF$2:AF82),$AF$2:$AF$1001,0),MATCH(COLUMNS($AM$1006:BM1006),$AM$1006:$BM$1006,0)), HYPERLINK("#",""), HYPERLINK(CONCATENATE("#metadata!", ADDRESS(INDEX($AH$2:$AH$1001,MATCH(ROWS($AF$2:AF82),$AF$2:$AF$1001,0),0), INDEX($AM$1004:$BM$1004,1,MATCH(COLUMNS($AM$1006:BM1006),$AM$1006:$BM$1006,0)))),"Fix")))</f>
        <v xml:space="preserve"> </v>
      </c>
      <c r="AF82">
        <v>81</v>
      </c>
      <c r="AG82">
        <v>100082</v>
      </c>
      <c r="AH82">
        <v>82</v>
      </c>
      <c r="AI82" t="b">
        <f t="shared" si="1"/>
        <v>1</v>
      </c>
      <c r="AJ82" t="b">
        <f>COUNTBLANK(metadata!B82:AB82)=COLUMNS(metadata!B82:AB82)</f>
        <v>1</v>
      </c>
      <c r="AK82" t="str">
        <v/>
      </c>
      <c r="AM82" t="b">
        <f ca="1">AND(IF(metadata!B82="",FALSE,TRUE),COUNTIF(metadata!B:B, metadata!B82) = 1,NOT(ISERROR(SUMPRODUCT(SEARCH(MID(metadata!B82,ROW(INDIRECT("1:"&amp;LEN(metadata!B82))), 1),"0123456789abcdefghijklmnopqrstuvwxyzABCDEFGHIJKLMNOPQRSTUVWXYZ.")))))</f>
        <v>0</v>
      </c>
      <c r="AN82" t="b">
        <f ca="1">OR(AND(IF(metadata!C82="",FALSE,TRUE),OR(EXACT(metadata!C82,"missing: not collected"),EXACT(metadata!C82,"missing: not provided"),EXACT(metadata!C82,"missing: restricted access"))),AND(IF(metadata!C82="",FALSE,TRUE),AND(AND(IFERROR(INT(LEFT(metadata!C82,4))&gt;1900,FALSE),IFERROR(INT(LEFT(metadata!C82,4))&lt;=YEAR(NOW()),FALSE)), OR(MID(metadata!C82,5,1)="", AND(AND(MID(metadata!C82,5,1)="-",IFERROR(INT(MID(metadata!C82,6,1))&gt;=0,FALSE),IFERROR(INT(MID(metadata!C82,6,1))&lt;=1,FALSE),NOT(MID(metadata!C82,7,1)=""),IFERROR(INT(MID(metadata!C82,6,2))&gt;=1,FALSE),IFERROR(INT(MID(metadata!C82,6,2))&lt;=12,FALSE)), OR(MID(metadata!C82,8,1)="", AND(AND(MID(metadata!C82,8,1)="-",IFERROR(INT(MID(metadata!C82,9,1))&gt;=0,FALSE),IFERROR(INT(MID(metadata!C82,9,1))&lt;=3,FALSE),NOT(MID(metadata!C82,10,1)=""),IFERROR(INT(MID(metadata!C82,9,2))&gt;=1,FALSE),IFERROR(INT(MID(metadata!C82,9,2))&lt;=31,FALSE)), OR(MID(metadata!C82,11,1)="", AND(AND(MID(metadata!C82,11,1)=" ",IFERROR(INT(MID(metadata!C82,12,1))&gt;=0,FALSE),IFERROR(INT(MID(metadata!C82,12,1))&lt;=2,FALSE),NOT(MID(metadata!C82,13,1)=""),IFERROR(INT(MID(metadata!C82,12,2))&gt;=0,FALSE),IFERROR(INT(MID(metadata!C82,12,2))&lt;=23,FALSE)), OR(MID(metadata!C82,14,1)="", AND(AND(MID(metadata!C82,14,1)=":",IFERROR(INT(MID(metadata!C82,15,1))&gt;=0,FALSE),IFERROR(INT(MID(metadata!C82,15,1))&lt;=5,FALSE),NOT(MID(metadata!C82,16,1)=""),IFERROR(INT(MID(metadata!C82,15,2))&gt;=0,FALSE),IFERROR(INT(MID(metadata!C82,15,2))&lt;=59,FALSE)), OR(MID(metadata!C82,17,1)="", AND(AND(MID(metadata!C82,17,1)=":",IFERROR(INT(MID(metadata!C82,18,1))&gt;=0,FALSE),IFERROR(INT(MID(metadata!C82,18,1))&lt;=5,FALSE),NOT(MID(metadata!C82,19,1)=""),IFERROR(INT(MID(metadata!C82,18,2))&gt;=0,FALSE),IFERROR(INT(MID(metadata!C82,18,2))&lt;=59,FALSE)), LEN(metadata!C82)&lt;=19)))))))))))))</f>
        <v>0</v>
      </c>
      <c r="AO82" t="b">
        <f>AND(IF(metadata!D82="",FALSE,TRUE),EXACT(metadata!D82,"Not applicable"))</f>
        <v>0</v>
      </c>
      <c r="AP82" t="b">
        <f>IF(metadata!E82="",FALSE,TRUE)</f>
        <v>0</v>
      </c>
      <c r="AQ82" t="b">
        <f>OR(AND(IF(metadata!F82="",FALSE,TRUE),OR(EXACT(metadata!F82,"missing: not collected"),EXACT(metadata!F82,"missing: not provided"))),AND(IF(metadata!F82="",FALSE,TRUE),OR(EXACT(metadata!F82,"TRUE"),EXACT(metadata!F82,"FALSE"))))</f>
        <v>0</v>
      </c>
      <c r="AR82" t="b">
        <f>OR(AND(IF(metadata!G82="",FALSE,TRUE),OR(EXACT(metadata!G82,"missing: not collected"),EXACT(metadata!G82,"missing: not provided"),EXACT(metadata!G82,"missing: restricted access"))),AND(IF(metadata!G82="",FALSE,ISNUMBER(VALUE(metadata!G82))),metadata!G82&gt;=-413))</f>
        <v>0</v>
      </c>
      <c r="AS82" t="b">
        <f>AND(IF(metadata!H82="",FALSE,TRUE),EXACT(metadata!H82,"meters"))</f>
        <v>0</v>
      </c>
      <c r="AT82" t="b">
        <f>AND(IF(metadata!I82="",FALSE,TRUE),OR(EXACT(metadata!I82,"Host-associated"),EXACT(metadata!I82,"Free-living")))</f>
        <v>0</v>
      </c>
      <c r="AU82" t="b">
        <f>AND(IF(metadata!J82="",FALSE,TRUE),OR(EXACT(metadata!J82,"Animal"),EXACT(metadata!J82,"Fungus"),EXACT(metadata!J82,"Plant"),EXACT(metadata!J82,"Saline"),EXACT(metadata!J82,"Non-saline")))</f>
        <v>0</v>
      </c>
      <c r="AV82" t="b">
        <f>AND(IF(metadata!K82="",FALSE,TRUE),OR(EXACT(metadata!K82,"Plant secretion"),EXACT(metadata!K82,"Plant rhizosphere"),EXACT(metadata!K82,"Plant surface"),EXACT(metadata!K82,"Plant corpus"),EXACT(metadata!K82,"Fungus surface"),EXACT(metadata!K82,"Fungus corpus"),EXACT(metadata!K82,"Animal surface"),EXACT(metadata!K82,"Animal proximal gut"),EXACT(metadata!K82,"Animal corpus"),EXACT(metadata!K82,"Animal distal gut"),EXACT(metadata!K82,"Animal secretion"),EXACT(metadata!K82,"Sub-surface (non-saline)"),EXACT(metadata!K82,"Surface (non-saline)"),EXACT(metadata!K82,"Water (non-saline)"),EXACT(metadata!K82,"Soil (non-saline)"),EXACT(metadata!K82,"Aerosol (non-saline)"),EXACT(metadata!K82,"Sediment (non-saline)"),EXACT(metadata!K82,"Surface (saline)"),EXACT(metadata!K82,"Water (saline)"),EXACT(metadata!K82,"Hypersaline (saline)"),EXACT(metadata!K82,"Aerosol (saline)"),EXACT(metadata!K82,"Sediment (saline)")))</f>
        <v>0</v>
      </c>
      <c r="AW82" t="b">
        <f>IF(metadata!L82="",FALSE,TRUE)</f>
        <v>0</v>
      </c>
      <c r="AX82" t="b">
        <f>IF(metadata!M82="",FALSE,TRUE)</f>
        <v>0</v>
      </c>
      <c r="AY82" t="b">
        <f>IF(metadata!N82="",FALSE,TRUE)</f>
        <v>0</v>
      </c>
      <c r="AZ82" t="b">
        <f>OR(AND(IF(metadata!O82="",FALSE,TRUE),OR(EXACT(metadata!O82,"missing: not collected"),EXACT(metadata!O82,"missing: not provided"),EXACT(metadata!O82,"missing: restricted access"))),AND(IF(metadata!O82="",FALSE,TRUE),OR(EXACT(metadata!O82,"air"),EXACT(metadata!O82,"built environment"),EXACT(metadata!O82,"host-associated"),EXACT(metadata!O82,"human-associated"),EXACT(metadata!O82,"human-skin"),EXACT(metadata!O82,"human-oral"),EXACT(metadata!O82,"human-gut"),EXACT(metadata!O82,"human-vaginal"),EXACT(metadata!O82,"microbial mat/biofilm"),EXACT(metadata!O82,"misc environment"),EXACT(metadata!O82,"plant-associated"),EXACT(metadata!O82,"sediment"),EXACT(metadata!O82,"soil"),EXACT(metadata!O82,"wastewater/sludge"),EXACT(metadata!O82,"water"))))</f>
        <v>0</v>
      </c>
      <c r="BA82" t="b">
        <f>IF(metadata!P82="",FALSE,TRUE)</f>
        <v>0</v>
      </c>
      <c r="BB82" t="b">
        <f>IF(metadata!Q82="",FALSE,TRUE)</f>
        <v>0</v>
      </c>
      <c r="BC82" t="b">
        <f>OR(AND(IF(metadata!R82="",FALSE,TRUE),OR(EXACT(metadata!R82,"missing: not collected"),EXACT(metadata!R82,"missing: not provided"),EXACT(metadata!R82,"missing: restricted access"))),AND(IF(metadata!R82="",FALSE,ISNUMBER(VALUE(metadata!R82))),metadata!R82&gt;=-90,metadata!R82&lt;=90))</f>
        <v>0</v>
      </c>
      <c r="BD82" t="b">
        <f>AND(IF(metadata!S82="",FALSE,TRUE),EXACT(metadata!S82,"Decimal degrees"))</f>
        <v>0</v>
      </c>
      <c r="BE82" t="b">
        <f>OR(AND(IF(metadata!T82="",FALSE,TRUE),OR(EXACT(metadata!T82,"missing: not collected"),EXACT(metadata!T82,"missing: not provided"),EXACT(metadata!T82,"missing: restricted access"))),AND(IF(metadata!T82="",FALSE,ISNUMBER(VALUE(metadata!T82))),metadata!T82&gt;=-180,metadata!T82&lt;=180))</f>
        <v>0</v>
      </c>
      <c r="BF82" t="b">
        <f>AND(IF(metadata!U82="",FALSE,TRUE),EXACT(metadata!U82,"Decimal degrees"))</f>
        <v>0</v>
      </c>
      <c r="BG82" t="b">
        <f>IF(metadata!V82="",FALSE,TRUE)</f>
        <v>0</v>
      </c>
      <c r="BH82" t="b">
        <f>OR(AND(IF(metadata!W82="",FALSE,TRUE),OR(EXACT(metadata!W82,"missing: not collected"),EXACT(metadata!W82,"missing: not provided"),EXACT(metadata!W82,"missing: restricted access"))),AND(IF(metadata!W82="",FALSE,TRUE),OR(EXACT(metadata!W82,"TRUE"),EXACT(metadata!W82,"FALSE"))))</f>
        <v>0</v>
      </c>
      <c r="BI82" t="b">
        <f>AND(IF(metadata!X82="",FALSE,TRUE),EXACT(metadata!X82,"other"))</f>
        <v>0</v>
      </c>
      <c r="BJ82" t="b">
        <f>IF(metadata!Y82="",FALSE,TRUE)</f>
        <v>0</v>
      </c>
      <c r="BK82" t="b">
        <f>OR(AND(IF(metadata!Z82="",FALSE,TRUE),OR(EXACT(metadata!Z82,"missing: not collected"),EXACT(metadata!Z82,"missing: not provided"))),AND(IF(metadata!Z82="",FALSE,IF(ISERROR(INT(metadata!Z82)),FALSE,INT(metadata!Z82)=metadata!Z82)),metadata!Z82&gt;0))</f>
        <v>0</v>
      </c>
      <c r="BL82" t="b">
        <f>AND(IF(metadata!AA82="",FALSE,TRUE),EXACT(metadata!AA82,"Not applicable"))</f>
        <v>0</v>
      </c>
      <c r="BM82" t="b">
        <f>IF(metadata!AB82="",FALSE,TRUE)</f>
        <v>0</v>
      </c>
    </row>
    <row r="83" spans="1:65" x14ac:dyDescent="0.2">
      <c r="A83" s="5" t="str">
        <f ca="1">IF(B83=" "," ",HYPERLINK(CONCATENATE("#metadata!",ADDRESS(INDEX($AH$2:$AH$1001,MATCH(ROWS($AF$2:AF83),$AF$2:$AF$1001,0),0),1)),INDEX($AK$2:$AK$1001,MATCH(ROWS($AF$2:AF83),$AF$2:$AF$1001,0),0)))</f>
        <v xml:space="preserve"> </v>
      </c>
      <c r="B83" s="4" t="str">
        <f ca="1">IF(OR(INDEX($AG$2:$AG$1001,MATCH(ROWS($AF$2:AF83),$AF$2:$AF$1001,0),1)&gt;=100000,INDEX($AM$1005:$BM$1005,1,MATCH(COLUMNS($AM$1006:AM1006),$AM$1006:$BM$1006,0))&gt;=100000), " ",IF(INDEX($AM$2:$BM$1001,MATCH(ROWS($AF$2:AF83),$AF$2:$AF$1001,0),MATCH(COLUMNS($AM$1006:AM1006),$AM$1006:$BM$1006,0)), HYPERLINK("#",""), HYPERLINK(CONCATENATE("#metadata!", ADDRESS(INDEX($AH$2:$AH$1001,MATCH(ROWS($AF$2:AF83),$AF$2:$AF$1001,0),0), INDEX($AM$1004:$BM$1004,1,MATCH(COLUMNS($AM$1006:AM1006),$AM$1006:$BM$1006,0)))),"Fix")))</f>
        <v xml:space="preserve"> </v>
      </c>
      <c r="C83" s="4" t="str">
        <f ca="1">IF(OR(INDEX($AG$2:$AG$1001,MATCH(ROWS($AF$2:AF83),$AF$2:$AF$1001,0),1)&gt;=100000,INDEX($AM$1005:$BM$1005,1,MATCH(COLUMNS($AM$1006:AN1006),$AM$1006:$BM$1006,0))&gt;=100000), " ",IF(INDEX($AM$2:$BM$1001,MATCH(ROWS($AF$2:AF83),$AF$2:$AF$1001,0),MATCH(COLUMNS($AM$1006:AN1006),$AM$1006:$BM$1006,0)), HYPERLINK("#",""), HYPERLINK(CONCATENATE("#metadata!", ADDRESS(INDEX($AH$2:$AH$1001,MATCH(ROWS($AF$2:AF83),$AF$2:$AF$1001,0),0), INDEX($AM$1004:$BM$1004,1,MATCH(COLUMNS($AM$1006:AN1006),$AM$1006:$BM$1006,0)))),"Fix")))</f>
        <v xml:space="preserve"> </v>
      </c>
      <c r="D83" s="4" t="str">
        <f ca="1">IF(OR(INDEX($AG$2:$AG$1001,MATCH(ROWS($AF$2:AF83),$AF$2:$AF$1001,0),1)&gt;=100000,INDEX($AM$1005:$BM$1005,1,MATCH(COLUMNS($AM$1006:AO1006),$AM$1006:$BM$1006,0))&gt;=100000), " ",IF(INDEX($AM$2:$BM$1001,MATCH(ROWS($AF$2:AF83),$AF$2:$AF$1001,0),MATCH(COLUMNS($AM$1006:AO1006),$AM$1006:$BM$1006,0)), HYPERLINK("#",""), HYPERLINK(CONCATENATE("#metadata!", ADDRESS(INDEX($AH$2:$AH$1001,MATCH(ROWS($AF$2:AF83),$AF$2:$AF$1001,0),0), INDEX($AM$1004:$BM$1004,1,MATCH(COLUMNS($AM$1006:AO1006),$AM$1006:$BM$1006,0)))),"Fix")))</f>
        <v xml:space="preserve"> </v>
      </c>
      <c r="E83" s="4" t="str">
        <f ca="1">IF(OR(INDEX($AG$2:$AG$1001,MATCH(ROWS($AF$2:AF83),$AF$2:$AF$1001,0),1)&gt;=100000,INDEX($AM$1005:$BM$1005,1,MATCH(COLUMNS($AM$1006:AP1006),$AM$1006:$BM$1006,0))&gt;=100000), " ",IF(INDEX($AM$2:$BM$1001,MATCH(ROWS($AF$2:AF83),$AF$2:$AF$1001,0),MATCH(COLUMNS($AM$1006:AP1006),$AM$1006:$BM$1006,0)), HYPERLINK("#",""), HYPERLINK(CONCATENATE("#metadata!", ADDRESS(INDEX($AH$2:$AH$1001,MATCH(ROWS($AF$2:AF83),$AF$2:$AF$1001,0),0), INDEX($AM$1004:$BM$1004,1,MATCH(COLUMNS($AM$1006:AP1006),$AM$1006:$BM$1006,0)))),"Fix")))</f>
        <v xml:space="preserve"> </v>
      </c>
      <c r="F83" s="4" t="str">
        <f ca="1">IF(OR(INDEX($AG$2:$AG$1001,MATCH(ROWS($AF$2:AF83),$AF$2:$AF$1001,0),1)&gt;=100000,INDEX($AM$1005:$BM$1005,1,MATCH(COLUMNS($AM$1006:AQ1006),$AM$1006:$BM$1006,0))&gt;=100000), " ",IF(INDEX($AM$2:$BM$1001,MATCH(ROWS($AF$2:AF83),$AF$2:$AF$1001,0),MATCH(COLUMNS($AM$1006:AQ1006),$AM$1006:$BM$1006,0)), HYPERLINK("#",""), HYPERLINK(CONCATENATE("#metadata!", ADDRESS(INDEX($AH$2:$AH$1001,MATCH(ROWS($AF$2:AF83),$AF$2:$AF$1001,0),0), INDEX($AM$1004:$BM$1004,1,MATCH(COLUMNS($AM$1006:AQ1006),$AM$1006:$BM$1006,0)))),"Fix")))</f>
        <v xml:space="preserve"> </v>
      </c>
      <c r="G83" s="4" t="str">
        <f ca="1">IF(OR(INDEX($AG$2:$AG$1001,MATCH(ROWS($AF$2:AF83),$AF$2:$AF$1001,0),1)&gt;=100000,INDEX($AM$1005:$BM$1005,1,MATCH(COLUMNS($AM$1006:AR1006),$AM$1006:$BM$1006,0))&gt;=100000), " ",IF(INDEX($AM$2:$BM$1001,MATCH(ROWS($AF$2:AF83),$AF$2:$AF$1001,0),MATCH(COLUMNS($AM$1006:AR1006),$AM$1006:$BM$1006,0)), HYPERLINK("#",""), HYPERLINK(CONCATENATE("#metadata!", ADDRESS(INDEX($AH$2:$AH$1001,MATCH(ROWS($AF$2:AF83),$AF$2:$AF$1001,0),0), INDEX($AM$1004:$BM$1004,1,MATCH(COLUMNS($AM$1006:AR1006),$AM$1006:$BM$1006,0)))),"Fix")))</f>
        <v xml:space="preserve"> </v>
      </c>
      <c r="H83" s="4" t="str">
        <f ca="1">IF(OR(INDEX($AG$2:$AG$1001,MATCH(ROWS($AF$2:AF83),$AF$2:$AF$1001,0),1)&gt;=100000,INDEX($AM$1005:$BM$1005,1,MATCH(COLUMNS($AM$1006:AS1006),$AM$1006:$BM$1006,0))&gt;=100000), " ",IF(INDEX($AM$2:$BM$1001,MATCH(ROWS($AF$2:AF83),$AF$2:$AF$1001,0),MATCH(COLUMNS($AM$1006:AS1006),$AM$1006:$BM$1006,0)), HYPERLINK("#",""), HYPERLINK(CONCATENATE("#metadata!", ADDRESS(INDEX($AH$2:$AH$1001,MATCH(ROWS($AF$2:AF83),$AF$2:$AF$1001,0),0), INDEX($AM$1004:$BM$1004,1,MATCH(COLUMNS($AM$1006:AS1006),$AM$1006:$BM$1006,0)))),"Fix")))</f>
        <v xml:space="preserve"> </v>
      </c>
      <c r="I83" s="4" t="str">
        <f ca="1">IF(OR(INDEX($AG$2:$AG$1001,MATCH(ROWS($AF$2:AF83),$AF$2:$AF$1001,0),1)&gt;=100000,INDEX($AM$1005:$BM$1005,1,MATCH(COLUMNS($AM$1006:AT1006),$AM$1006:$BM$1006,0))&gt;=100000), " ",IF(INDEX($AM$2:$BM$1001,MATCH(ROWS($AF$2:AF83),$AF$2:$AF$1001,0),MATCH(COLUMNS($AM$1006:AT1006),$AM$1006:$BM$1006,0)), HYPERLINK("#",""), HYPERLINK(CONCATENATE("#metadata!", ADDRESS(INDEX($AH$2:$AH$1001,MATCH(ROWS($AF$2:AF83),$AF$2:$AF$1001,0),0), INDEX($AM$1004:$BM$1004,1,MATCH(COLUMNS($AM$1006:AT1006),$AM$1006:$BM$1006,0)))),"Fix")))</f>
        <v xml:space="preserve"> </v>
      </c>
      <c r="J83" s="4" t="str">
        <f ca="1">IF(OR(INDEX($AG$2:$AG$1001,MATCH(ROWS($AF$2:AF83),$AF$2:$AF$1001,0),1)&gt;=100000,INDEX($AM$1005:$BM$1005,1,MATCH(COLUMNS($AM$1006:AU1006),$AM$1006:$BM$1006,0))&gt;=100000), " ",IF(INDEX($AM$2:$BM$1001,MATCH(ROWS($AF$2:AF83),$AF$2:$AF$1001,0),MATCH(COLUMNS($AM$1006:AU1006),$AM$1006:$BM$1006,0)), HYPERLINK("#",""), HYPERLINK(CONCATENATE("#metadata!", ADDRESS(INDEX($AH$2:$AH$1001,MATCH(ROWS($AF$2:AF83),$AF$2:$AF$1001,0),0), INDEX($AM$1004:$BM$1004,1,MATCH(COLUMNS($AM$1006:AU1006),$AM$1006:$BM$1006,0)))),"Fix")))</f>
        <v xml:space="preserve"> </v>
      </c>
      <c r="K83" s="4" t="str">
        <f ca="1">IF(OR(INDEX($AG$2:$AG$1001,MATCH(ROWS($AF$2:AF83),$AF$2:$AF$1001,0),1)&gt;=100000,INDEX($AM$1005:$BM$1005,1,MATCH(COLUMNS($AM$1006:AV1006),$AM$1006:$BM$1006,0))&gt;=100000), " ",IF(INDEX($AM$2:$BM$1001,MATCH(ROWS($AF$2:AF83),$AF$2:$AF$1001,0),MATCH(COLUMNS($AM$1006:AV1006),$AM$1006:$BM$1006,0)), HYPERLINK("#",""), HYPERLINK(CONCATENATE("#metadata!", ADDRESS(INDEX($AH$2:$AH$1001,MATCH(ROWS($AF$2:AF83),$AF$2:$AF$1001,0),0), INDEX($AM$1004:$BM$1004,1,MATCH(COLUMNS($AM$1006:AV1006),$AM$1006:$BM$1006,0)))),"Fix")))</f>
        <v xml:space="preserve"> </v>
      </c>
      <c r="L83" s="4" t="str">
        <f ca="1">IF(OR(INDEX($AG$2:$AG$1001,MATCH(ROWS($AF$2:AF83),$AF$2:$AF$1001,0),1)&gt;=100000,INDEX($AM$1005:$BM$1005,1,MATCH(COLUMNS($AM$1006:AW1006),$AM$1006:$BM$1006,0))&gt;=100000), " ",IF(INDEX($AM$2:$BM$1001,MATCH(ROWS($AF$2:AF83),$AF$2:$AF$1001,0),MATCH(COLUMNS($AM$1006:AW1006),$AM$1006:$BM$1006,0)), HYPERLINK("#",""), HYPERLINK(CONCATENATE("#metadata!", ADDRESS(INDEX($AH$2:$AH$1001,MATCH(ROWS($AF$2:AF83),$AF$2:$AF$1001,0),0), INDEX($AM$1004:$BM$1004,1,MATCH(COLUMNS($AM$1006:AW1006),$AM$1006:$BM$1006,0)))),"Fix")))</f>
        <v xml:space="preserve"> </v>
      </c>
      <c r="M83" s="4" t="str">
        <f ca="1">IF(OR(INDEX($AG$2:$AG$1001,MATCH(ROWS($AF$2:AF83),$AF$2:$AF$1001,0),1)&gt;=100000,INDEX($AM$1005:$BM$1005,1,MATCH(COLUMNS($AM$1006:AX1006),$AM$1006:$BM$1006,0))&gt;=100000), " ",IF(INDEX($AM$2:$BM$1001,MATCH(ROWS($AF$2:AF83),$AF$2:$AF$1001,0),MATCH(COLUMNS($AM$1006:AX1006),$AM$1006:$BM$1006,0)), HYPERLINK("#",""), HYPERLINK(CONCATENATE("#metadata!", ADDRESS(INDEX($AH$2:$AH$1001,MATCH(ROWS($AF$2:AF83),$AF$2:$AF$1001,0),0), INDEX($AM$1004:$BM$1004,1,MATCH(COLUMNS($AM$1006:AX1006),$AM$1006:$BM$1006,0)))),"Fix")))</f>
        <v xml:space="preserve"> </v>
      </c>
      <c r="N83" s="4" t="str">
        <f ca="1">IF(OR(INDEX($AG$2:$AG$1001,MATCH(ROWS($AF$2:AF83),$AF$2:$AF$1001,0),1)&gt;=100000,INDEX($AM$1005:$BM$1005,1,MATCH(COLUMNS($AM$1006:AY1006),$AM$1006:$BM$1006,0))&gt;=100000), " ",IF(INDEX($AM$2:$BM$1001,MATCH(ROWS($AF$2:AF83),$AF$2:$AF$1001,0),MATCH(COLUMNS($AM$1006:AY1006),$AM$1006:$BM$1006,0)), HYPERLINK("#",""), HYPERLINK(CONCATENATE("#metadata!", ADDRESS(INDEX($AH$2:$AH$1001,MATCH(ROWS($AF$2:AF83),$AF$2:$AF$1001,0),0), INDEX($AM$1004:$BM$1004,1,MATCH(COLUMNS($AM$1006:AY1006),$AM$1006:$BM$1006,0)))),"Fix")))</f>
        <v xml:space="preserve"> </v>
      </c>
      <c r="O83" s="4" t="str">
        <f ca="1">IF(OR(INDEX($AG$2:$AG$1001,MATCH(ROWS($AF$2:AF83),$AF$2:$AF$1001,0),1)&gt;=100000,INDEX($AM$1005:$BM$1005,1,MATCH(COLUMNS($AM$1006:AZ1006),$AM$1006:$BM$1006,0))&gt;=100000), " ",IF(INDEX($AM$2:$BM$1001,MATCH(ROWS($AF$2:AF83),$AF$2:$AF$1001,0),MATCH(COLUMNS($AM$1006:AZ1006),$AM$1006:$BM$1006,0)), HYPERLINK("#",""), HYPERLINK(CONCATENATE("#metadata!", ADDRESS(INDEX($AH$2:$AH$1001,MATCH(ROWS($AF$2:AF83),$AF$2:$AF$1001,0),0), INDEX($AM$1004:$BM$1004,1,MATCH(COLUMNS($AM$1006:AZ1006),$AM$1006:$BM$1006,0)))),"Fix")))</f>
        <v xml:space="preserve"> </v>
      </c>
      <c r="P83" s="4" t="str">
        <f ca="1">IF(OR(INDEX($AG$2:$AG$1001,MATCH(ROWS($AF$2:AF83),$AF$2:$AF$1001,0),1)&gt;=100000,INDEX($AM$1005:$BM$1005,1,MATCH(COLUMNS($AM$1006:BA1006),$AM$1006:$BM$1006,0))&gt;=100000), " ",IF(INDEX($AM$2:$BM$1001,MATCH(ROWS($AF$2:AF83),$AF$2:$AF$1001,0),MATCH(COLUMNS($AM$1006:BA1006),$AM$1006:$BM$1006,0)), HYPERLINK("#",""), HYPERLINK(CONCATENATE("#metadata!", ADDRESS(INDEX($AH$2:$AH$1001,MATCH(ROWS($AF$2:AF83),$AF$2:$AF$1001,0),0), INDEX($AM$1004:$BM$1004,1,MATCH(COLUMNS($AM$1006:BA1006),$AM$1006:$BM$1006,0)))),"Fix")))</f>
        <v xml:space="preserve"> </v>
      </c>
      <c r="Q83" s="4" t="str">
        <f ca="1">IF(OR(INDEX($AG$2:$AG$1001,MATCH(ROWS($AF$2:AF83),$AF$2:$AF$1001,0),1)&gt;=100000,INDEX($AM$1005:$BM$1005,1,MATCH(COLUMNS($AM$1006:BB1006),$AM$1006:$BM$1006,0))&gt;=100000), " ",IF(INDEX($AM$2:$BM$1001,MATCH(ROWS($AF$2:AF83),$AF$2:$AF$1001,0),MATCH(COLUMNS($AM$1006:BB1006),$AM$1006:$BM$1006,0)), HYPERLINK("#",""), HYPERLINK(CONCATENATE("#metadata!", ADDRESS(INDEX($AH$2:$AH$1001,MATCH(ROWS($AF$2:AF83),$AF$2:$AF$1001,0),0), INDEX($AM$1004:$BM$1004,1,MATCH(COLUMNS($AM$1006:BB1006),$AM$1006:$BM$1006,0)))),"Fix")))</f>
        <v xml:space="preserve"> </v>
      </c>
      <c r="R83" s="4" t="str">
        <f ca="1">IF(OR(INDEX($AG$2:$AG$1001,MATCH(ROWS($AF$2:AF83),$AF$2:$AF$1001,0),1)&gt;=100000,INDEX($AM$1005:$BM$1005,1,MATCH(COLUMNS($AM$1006:BC1006),$AM$1006:$BM$1006,0))&gt;=100000), " ",IF(INDEX($AM$2:$BM$1001,MATCH(ROWS($AF$2:AF83),$AF$2:$AF$1001,0),MATCH(COLUMNS($AM$1006:BC1006),$AM$1006:$BM$1006,0)), HYPERLINK("#",""), HYPERLINK(CONCATENATE("#metadata!", ADDRESS(INDEX($AH$2:$AH$1001,MATCH(ROWS($AF$2:AF83),$AF$2:$AF$1001,0),0), INDEX($AM$1004:$BM$1004,1,MATCH(COLUMNS($AM$1006:BC1006),$AM$1006:$BM$1006,0)))),"Fix")))</f>
        <v xml:space="preserve"> </v>
      </c>
      <c r="S83" s="4" t="str">
        <f ca="1">IF(OR(INDEX($AG$2:$AG$1001,MATCH(ROWS($AF$2:AF83),$AF$2:$AF$1001,0),1)&gt;=100000,INDEX($AM$1005:$BM$1005,1,MATCH(COLUMNS($AM$1006:BD1006),$AM$1006:$BM$1006,0))&gt;=100000), " ",IF(INDEX($AM$2:$BM$1001,MATCH(ROWS($AF$2:AF83),$AF$2:$AF$1001,0),MATCH(COLUMNS($AM$1006:BD1006),$AM$1006:$BM$1006,0)), HYPERLINK("#",""), HYPERLINK(CONCATENATE("#metadata!", ADDRESS(INDEX($AH$2:$AH$1001,MATCH(ROWS($AF$2:AF83),$AF$2:$AF$1001,0),0), INDEX($AM$1004:$BM$1004,1,MATCH(COLUMNS($AM$1006:BD1006),$AM$1006:$BM$1006,0)))),"Fix")))</f>
        <v xml:space="preserve"> </v>
      </c>
      <c r="T83" s="4" t="str">
        <f ca="1">IF(OR(INDEX($AG$2:$AG$1001,MATCH(ROWS($AF$2:AF83),$AF$2:$AF$1001,0),1)&gt;=100000,INDEX($AM$1005:$BM$1005,1,MATCH(COLUMNS($AM$1006:BE1006),$AM$1006:$BM$1006,0))&gt;=100000), " ",IF(INDEX($AM$2:$BM$1001,MATCH(ROWS($AF$2:AF83),$AF$2:$AF$1001,0),MATCH(COLUMNS($AM$1006:BE1006),$AM$1006:$BM$1006,0)), HYPERLINK("#",""), HYPERLINK(CONCATENATE("#metadata!", ADDRESS(INDEX($AH$2:$AH$1001,MATCH(ROWS($AF$2:AF83),$AF$2:$AF$1001,0),0), INDEX($AM$1004:$BM$1004,1,MATCH(COLUMNS($AM$1006:BE1006),$AM$1006:$BM$1006,0)))),"Fix")))</f>
        <v xml:space="preserve"> </v>
      </c>
      <c r="U83" s="4" t="str">
        <f ca="1">IF(OR(INDEX($AG$2:$AG$1001,MATCH(ROWS($AF$2:AF83),$AF$2:$AF$1001,0),1)&gt;=100000,INDEX($AM$1005:$BM$1005,1,MATCH(COLUMNS($AM$1006:BF1006),$AM$1006:$BM$1006,0))&gt;=100000), " ",IF(INDEX($AM$2:$BM$1001,MATCH(ROWS($AF$2:AF83),$AF$2:$AF$1001,0),MATCH(COLUMNS($AM$1006:BF1006),$AM$1006:$BM$1006,0)), HYPERLINK("#",""), HYPERLINK(CONCATENATE("#metadata!", ADDRESS(INDEX($AH$2:$AH$1001,MATCH(ROWS($AF$2:AF83),$AF$2:$AF$1001,0),0), INDEX($AM$1004:$BM$1004,1,MATCH(COLUMNS($AM$1006:BF1006),$AM$1006:$BM$1006,0)))),"Fix")))</f>
        <v xml:space="preserve"> </v>
      </c>
      <c r="V83" s="4" t="str">
        <f ca="1">IF(OR(INDEX($AG$2:$AG$1001,MATCH(ROWS($AF$2:AF83),$AF$2:$AF$1001,0),1)&gt;=100000,INDEX($AM$1005:$BM$1005,1,MATCH(COLUMNS($AM$1006:BG1006),$AM$1006:$BM$1006,0))&gt;=100000), " ",IF(INDEX($AM$2:$BM$1001,MATCH(ROWS($AF$2:AF83),$AF$2:$AF$1001,0),MATCH(COLUMNS($AM$1006:BG1006),$AM$1006:$BM$1006,0)), HYPERLINK("#",""), HYPERLINK(CONCATENATE("#metadata!", ADDRESS(INDEX($AH$2:$AH$1001,MATCH(ROWS($AF$2:AF83),$AF$2:$AF$1001,0),0), INDEX($AM$1004:$BM$1004,1,MATCH(COLUMNS($AM$1006:BG1006),$AM$1006:$BM$1006,0)))),"Fix")))</f>
        <v xml:space="preserve"> </v>
      </c>
      <c r="W83" s="4" t="str">
        <f ca="1">IF(OR(INDEX($AG$2:$AG$1001,MATCH(ROWS($AF$2:AF83),$AF$2:$AF$1001,0),1)&gt;=100000,INDEX($AM$1005:$BM$1005,1,MATCH(COLUMNS($AM$1006:BH1006),$AM$1006:$BM$1006,0))&gt;=100000), " ",IF(INDEX($AM$2:$BM$1001,MATCH(ROWS($AF$2:AF83),$AF$2:$AF$1001,0),MATCH(COLUMNS($AM$1006:BH1006),$AM$1006:$BM$1006,0)), HYPERLINK("#",""), HYPERLINK(CONCATENATE("#metadata!", ADDRESS(INDEX($AH$2:$AH$1001,MATCH(ROWS($AF$2:AF83),$AF$2:$AF$1001,0),0), INDEX($AM$1004:$BM$1004,1,MATCH(COLUMNS($AM$1006:BH1006),$AM$1006:$BM$1006,0)))),"Fix")))</f>
        <v xml:space="preserve"> </v>
      </c>
      <c r="X83" s="4" t="str">
        <f ca="1">IF(OR(INDEX($AG$2:$AG$1001,MATCH(ROWS($AF$2:AF83),$AF$2:$AF$1001,0),1)&gt;=100000,INDEX($AM$1005:$BM$1005,1,MATCH(COLUMNS($AM$1006:BI1006),$AM$1006:$BM$1006,0))&gt;=100000), " ",IF(INDEX($AM$2:$BM$1001,MATCH(ROWS($AF$2:AF83),$AF$2:$AF$1001,0),MATCH(COLUMNS($AM$1006:BI1006),$AM$1006:$BM$1006,0)), HYPERLINK("#",""), HYPERLINK(CONCATENATE("#metadata!", ADDRESS(INDEX($AH$2:$AH$1001,MATCH(ROWS($AF$2:AF83),$AF$2:$AF$1001,0),0), INDEX($AM$1004:$BM$1004,1,MATCH(COLUMNS($AM$1006:BI1006),$AM$1006:$BM$1006,0)))),"Fix")))</f>
        <v xml:space="preserve"> </v>
      </c>
      <c r="Y83" s="4" t="str">
        <f ca="1">IF(OR(INDEX($AG$2:$AG$1001,MATCH(ROWS($AF$2:AF83),$AF$2:$AF$1001,0),1)&gt;=100000,INDEX($AM$1005:$BM$1005,1,MATCH(COLUMNS($AM$1006:BJ1006),$AM$1006:$BM$1006,0))&gt;=100000), " ",IF(INDEX($AM$2:$BM$1001,MATCH(ROWS($AF$2:AF83),$AF$2:$AF$1001,0),MATCH(COLUMNS($AM$1006:BJ1006),$AM$1006:$BM$1006,0)), HYPERLINK("#",""), HYPERLINK(CONCATENATE("#metadata!", ADDRESS(INDEX($AH$2:$AH$1001,MATCH(ROWS($AF$2:AF83),$AF$2:$AF$1001,0),0), INDEX($AM$1004:$BM$1004,1,MATCH(COLUMNS($AM$1006:BJ1006),$AM$1006:$BM$1006,0)))),"Fix")))</f>
        <v xml:space="preserve"> </v>
      </c>
      <c r="Z83" s="4" t="str">
        <f ca="1">IF(OR(INDEX($AG$2:$AG$1001,MATCH(ROWS($AF$2:AF83),$AF$2:$AF$1001,0),1)&gt;=100000,INDEX($AM$1005:$BM$1005,1,MATCH(COLUMNS($AM$1006:BK1006),$AM$1006:$BM$1006,0))&gt;=100000), " ",IF(INDEX($AM$2:$BM$1001,MATCH(ROWS($AF$2:AF83),$AF$2:$AF$1001,0),MATCH(COLUMNS($AM$1006:BK1006),$AM$1006:$BM$1006,0)), HYPERLINK("#",""), HYPERLINK(CONCATENATE("#metadata!", ADDRESS(INDEX($AH$2:$AH$1001,MATCH(ROWS($AF$2:AF83),$AF$2:$AF$1001,0),0), INDEX($AM$1004:$BM$1004,1,MATCH(COLUMNS($AM$1006:BK1006),$AM$1006:$BM$1006,0)))),"Fix")))</f>
        <v xml:space="preserve"> </v>
      </c>
      <c r="AA83" s="4" t="str">
        <f ca="1">IF(OR(INDEX($AG$2:$AG$1001,MATCH(ROWS($AF$2:AF83),$AF$2:$AF$1001,0),1)&gt;=100000,INDEX($AM$1005:$BM$1005,1,MATCH(COLUMNS($AM$1006:BL1006),$AM$1006:$BM$1006,0))&gt;=100000), " ",IF(INDEX($AM$2:$BM$1001,MATCH(ROWS($AF$2:AF83),$AF$2:$AF$1001,0),MATCH(COLUMNS($AM$1006:BL1006),$AM$1006:$BM$1006,0)), HYPERLINK("#",""), HYPERLINK(CONCATENATE("#metadata!", ADDRESS(INDEX($AH$2:$AH$1001,MATCH(ROWS($AF$2:AF83),$AF$2:$AF$1001,0),0), INDEX($AM$1004:$BM$1004,1,MATCH(COLUMNS($AM$1006:BL1006),$AM$1006:$BM$1006,0)))),"Fix")))</f>
        <v xml:space="preserve"> </v>
      </c>
      <c r="AB83" s="4" t="str">
        <f ca="1">IF(OR(INDEX($AG$2:$AG$1001,MATCH(ROWS($AF$2:AF83),$AF$2:$AF$1001,0),1)&gt;=100000,INDEX($AM$1005:$BM$1005,1,MATCH(COLUMNS($AM$1006:BM1006),$AM$1006:$BM$1006,0))&gt;=100000), " ",IF(INDEX($AM$2:$BM$1001,MATCH(ROWS($AF$2:AF83),$AF$2:$AF$1001,0),MATCH(COLUMNS($AM$1006:BM1006),$AM$1006:$BM$1006,0)), HYPERLINK("#",""), HYPERLINK(CONCATENATE("#metadata!", ADDRESS(INDEX($AH$2:$AH$1001,MATCH(ROWS($AF$2:AF83),$AF$2:$AF$1001,0),0), INDEX($AM$1004:$BM$1004,1,MATCH(COLUMNS($AM$1006:BM1006),$AM$1006:$BM$1006,0)))),"Fix")))</f>
        <v xml:space="preserve"> </v>
      </c>
      <c r="AF83">
        <v>82</v>
      </c>
      <c r="AG83">
        <v>100083</v>
      </c>
      <c r="AH83">
        <v>83</v>
      </c>
      <c r="AI83" t="b">
        <f t="shared" si="1"/>
        <v>1</v>
      </c>
      <c r="AJ83" t="b">
        <f>COUNTBLANK(metadata!B83:AB83)=COLUMNS(metadata!B83:AB83)</f>
        <v>1</v>
      </c>
      <c r="AK83" t="str">
        <v/>
      </c>
      <c r="AM83" t="b">
        <f ca="1">AND(IF(metadata!B83="",FALSE,TRUE),COUNTIF(metadata!B:B, metadata!B83) = 1,NOT(ISERROR(SUMPRODUCT(SEARCH(MID(metadata!B83,ROW(INDIRECT("1:"&amp;LEN(metadata!B83))), 1),"0123456789abcdefghijklmnopqrstuvwxyzABCDEFGHIJKLMNOPQRSTUVWXYZ.")))))</f>
        <v>0</v>
      </c>
      <c r="AN83" t="b">
        <f ca="1">OR(AND(IF(metadata!C83="",FALSE,TRUE),OR(EXACT(metadata!C83,"missing: not collected"),EXACT(metadata!C83,"missing: not provided"),EXACT(metadata!C83,"missing: restricted access"))),AND(IF(metadata!C83="",FALSE,TRUE),AND(AND(IFERROR(INT(LEFT(metadata!C83,4))&gt;1900,FALSE),IFERROR(INT(LEFT(metadata!C83,4))&lt;=YEAR(NOW()),FALSE)), OR(MID(metadata!C83,5,1)="", AND(AND(MID(metadata!C83,5,1)="-",IFERROR(INT(MID(metadata!C83,6,1))&gt;=0,FALSE),IFERROR(INT(MID(metadata!C83,6,1))&lt;=1,FALSE),NOT(MID(metadata!C83,7,1)=""),IFERROR(INT(MID(metadata!C83,6,2))&gt;=1,FALSE),IFERROR(INT(MID(metadata!C83,6,2))&lt;=12,FALSE)), OR(MID(metadata!C83,8,1)="", AND(AND(MID(metadata!C83,8,1)="-",IFERROR(INT(MID(metadata!C83,9,1))&gt;=0,FALSE),IFERROR(INT(MID(metadata!C83,9,1))&lt;=3,FALSE),NOT(MID(metadata!C83,10,1)=""),IFERROR(INT(MID(metadata!C83,9,2))&gt;=1,FALSE),IFERROR(INT(MID(metadata!C83,9,2))&lt;=31,FALSE)), OR(MID(metadata!C83,11,1)="", AND(AND(MID(metadata!C83,11,1)=" ",IFERROR(INT(MID(metadata!C83,12,1))&gt;=0,FALSE),IFERROR(INT(MID(metadata!C83,12,1))&lt;=2,FALSE),NOT(MID(metadata!C83,13,1)=""),IFERROR(INT(MID(metadata!C83,12,2))&gt;=0,FALSE),IFERROR(INT(MID(metadata!C83,12,2))&lt;=23,FALSE)), OR(MID(metadata!C83,14,1)="", AND(AND(MID(metadata!C83,14,1)=":",IFERROR(INT(MID(metadata!C83,15,1))&gt;=0,FALSE),IFERROR(INT(MID(metadata!C83,15,1))&lt;=5,FALSE),NOT(MID(metadata!C83,16,1)=""),IFERROR(INT(MID(metadata!C83,15,2))&gt;=0,FALSE),IFERROR(INT(MID(metadata!C83,15,2))&lt;=59,FALSE)), OR(MID(metadata!C83,17,1)="", AND(AND(MID(metadata!C83,17,1)=":",IFERROR(INT(MID(metadata!C83,18,1))&gt;=0,FALSE),IFERROR(INT(MID(metadata!C83,18,1))&lt;=5,FALSE),NOT(MID(metadata!C83,19,1)=""),IFERROR(INT(MID(metadata!C83,18,2))&gt;=0,FALSE),IFERROR(INT(MID(metadata!C83,18,2))&lt;=59,FALSE)), LEN(metadata!C83)&lt;=19)))))))))))))</f>
        <v>0</v>
      </c>
      <c r="AO83" t="b">
        <f>AND(IF(metadata!D83="",FALSE,TRUE),EXACT(metadata!D83,"Not applicable"))</f>
        <v>0</v>
      </c>
      <c r="AP83" t="b">
        <f>IF(metadata!E83="",FALSE,TRUE)</f>
        <v>0</v>
      </c>
      <c r="AQ83" t="b">
        <f>OR(AND(IF(metadata!F83="",FALSE,TRUE),OR(EXACT(metadata!F83,"missing: not collected"),EXACT(metadata!F83,"missing: not provided"))),AND(IF(metadata!F83="",FALSE,TRUE),OR(EXACT(metadata!F83,"TRUE"),EXACT(metadata!F83,"FALSE"))))</f>
        <v>0</v>
      </c>
      <c r="AR83" t="b">
        <f>OR(AND(IF(metadata!G83="",FALSE,TRUE),OR(EXACT(metadata!G83,"missing: not collected"),EXACT(metadata!G83,"missing: not provided"),EXACT(metadata!G83,"missing: restricted access"))),AND(IF(metadata!G83="",FALSE,ISNUMBER(VALUE(metadata!G83))),metadata!G83&gt;=-413))</f>
        <v>0</v>
      </c>
      <c r="AS83" t="b">
        <f>AND(IF(metadata!H83="",FALSE,TRUE),EXACT(metadata!H83,"meters"))</f>
        <v>0</v>
      </c>
      <c r="AT83" t="b">
        <f>AND(IF(metadata!I83="",FALSE,TRUE),OR(EXACT(metadata!I83,"Host-associated"),EXACT(metadata!I83,"Free-living")))</f>
        <v>0</v>
      </c>
      <c r="AU83" t="b">
        <f>AND(IF(metadata!J83="",FALSE,TRUE),OR(EXACT(metadata!J83,"Animal"),EXACT(metadata!J83,"Fungus"),EXACT(metadata!J83,"Plant"),EXACT(metadata!J83,"Saline"),EXACT(metadata!J83,"Non-saline")))</f>
        <v>0</v>
      </c>
      <c r="AV83" t="b">
        <f>AND(IF(metadata!K83="",FALSE,TRUE),OR(EXACT(metadata!K83,"Plant secretion"),EXACT(metadata!K83,"Plant rhizosphere"),EXACT(metadata!K83,"Plant surface"),EXACT(metadata!K83,"Plant corpus"),EXACT(metadata!K83,"Fungus surface"),EXACT(metadata!K83,"Fungus corpus"),EXACT(metadata!K83,"Animal surface"),EXACT(metadata!K83,"Animal proximal gut"),EXACT(metadata!K83,"Animal corpus"),EXACT(metadata!K83,"Animal distal gut"),EXACT(metadata!K83,"Animal secretion"),EXACT(metadata!K83,"Sub-surface (non-saline)"),EXACT(metadata!K83,"Surface (non-saline)"),EXACT(metadata!K83,"Water (non-saline)"),EXACT(metadata!K83,"Soil (non-saline)"),EXACT(metadata!K83,"Aerosol (non-saline)"),EXACT(metadata!K83,"Sediment (non-saline)"),EXACT(metadata!K83,"Surface (saline)"),EXACT(metadata!K83,"Water (saline)"),EXACT(metadata!K83,"Hypersaline (saline)"),EXACT(metadata!K83,"Aerosol (saline)"),EXACT(metadata!K83,"Sediment (saline)")))</f>
        <v>0</v>
      </c>
      <c r="AW83" t="b">
        <f>IF(metadata!L83="",FALSE,TRUE)</f>
        <v>0</v>
      </c>
      <c r="AX83" t="b">
        <f>IF(metadata!M83="",FALSE,TRUE)</f>
        <v>0</v>
      </c>
      <c r="AY83" t="b">
        <f>IF(metadata!N83="",FALSE,TRUE)</f>
        <v>0</v>
      </c>
      <c r="AZ83" t="b">
        <f>OR(AND(IF(metadata!O83="",FALSE,TRUE),OR(EXACT(metadata!O83,"missing: not collected"),EXACT(metadata!O83,"missing: not provided"),EXACT(metadata!O83,"missing: restricted access"))),AND(IF(metadata!O83="",FALSE,TRUE),OR(EXACT(metadata!O83,"air"),EXACT(metadata!O83,"built environment"),EXACT(metadata!O83,"host-associated"),EXACT(metadata!O83,"human-associated"),EXACT(metadata!O83,"human-skin"),EXACT(metadata!O83,"human-oral"),EXACT(metadata!O83,"human-gut"),EXACT(metadata!O83,"human-vaginal"),EXACT(metadata!O83,"microbial mat/biofilm"),EXACT(metadata!O83,"misc environment"),EXACT(metadata!O83,"plant-associated"),EXACT(metadata!O83,"sediment"),EXACT(metadata!O83,"soil"),EXACT(metadata!O83,"wastewater/sludge"),EXACT(metadata!O83,"water"))))</f>
        <v>0</v>
      </c>
      <c r="BA83" t="b">
        <f>IF(metadata!P83="",FALSE,TRUE)</f>
        <v>0</v>
      </c>
      <c r="BB83" t="b">
        <f>IF(metadata!Q83="",FALSE,TRUE)</f>
        <v>0</v>
      </c>
      <c r="BC83" t="b">
        <f>OR(AND(IF(metadata!R83="",FALSE,TRUE),OR(EXACT(metadata!R83,"missing: not collected"),EXACT(metadata!R83,"missing: not provided"),EXACT(metadata!R83,"missing: restricted access"))),AND(IF(metadata!R83="",FALSE,ISNUMBER(VALUE(metadata!R83))),metadata!R83&gt;=-90,metadata!R83&lt;=90))</f>
        <v>0</v>
      </c>
      <c r="BD83" t="b">
        <f>AND(IF(metadata!S83="",FALSE,TRUE),EXACT(metadata!S83,"Decimal degrees"))</f>
        <v>0</v>
      </c>
      <c r="BE83" t="b">
        <f>OR(AND(IF(metadata!T83="",FALSE,TRUE),OR(EXACT(metadata!T83,"missing: not collected"),EXACT(metadata!T83,"missing: not provided"),EXACT(metadata!T83,"missing: restricted access"))),AND(IF(metadata!T83="",FALSE,ISNUMBER(VALUE(metadata!T83))),metadata!T83&gt;=-180,metadata!T83&lt;=180))</f>
        <v>0</v>
      </c>
      <c r="BF83" t="b">
        <f>AND(IF(metadata!U83="",FALSE,TRUE),EXACT(metadata!U83,"Decimal degrees"))</f>
        <v>0</v>
      </c>
      <c r="BG83" t="b">
        <f>IF(metadata!V83="",FALSE,TRUE)</f>
        <v>0</v>
      </c>
      <c r="BH83" t="b">
        <f>OR(AND(IF(metadata!W83="",FALSE,TRUE),OR(EXACT(metadata!W83,"missing: not collected"),EXACT(metadata!W83,"missing: not provided"),EXACT(metadata!W83,"missing: restricted access"))),AND(IF(metadata!W83="",FALSE,TRUE),OR(EXACT(metadata!W83,"TRUE"),EXACT(metadata!W83,"FALSE"))))</f>
        <v>0</v>
      </c>
      <c r="BI83" t="b">
        <f>AND(IF(metadata!X83="",FALSE,TRUE),EXACT(metadata!X83,"other"))</f>
        <v>0</v>
      </c>
      <c r="BJ83" t="b">
        <f>IF(metadata!Y83="",FALSE,TRUE)</f>
        <v>0</v>
      </c>
      <c r="BK83" t="b">
        <f>OR(AND(IF(metadata!Z83="",FALSE,TRUE),OR(EXACT(metadata!Z83,"missing: not collected"),EXACT(metadata!Z83,"missing: not provided"))),AND(IF(metadata!Z83="",FALSE,IF(ISERROR(INT(metadata!Z83)),FALSE,INT(metadata!Z83)=metadata!Z83)),metadata!Z83&gt;0))</f>
        <v>0</v>
      </c>
      <c r="BL83" t="b">
        <f>AND(IF(metadata!AA83="",FALSE,TRUE),EXACT(metadata!AA83,"Not applicable"))</f>
        <v>0</v>
      </c>
      <c r="BM83" t="b">
        <f>IF(metadata!AB83="",FALSE,TRUE)</f>
        <v>0</v>
      </c>
    </row>
    <row r="84" spans="1:65" x14ac:dyDescent="0.2">
      <c r="A84" s="5" t="str">
        <f ca="1">IF(B84=" "," ",HYPERLINK(CONCATENATE("#metadata!",ADDRESS(INDEX($AH$2:$AH$1001,MATCH(ROWS($AF$2:AF84),$AF$2:$AF$1001,0),0),1)),INDEX($AK$2:$AK$1001,MATCH(ROWS($AF$2:AF84),$AF$2:$AF$1001,0),0)))</f>
        <v xml:space="preserve"> </v>
      </c>
      <c r="B84" s="4" t="str">
        <f ca="1">IF(OR(INDEX($AG$2:$AG$1001,MATCH(ROWS($AF$2:AF84),$AF$2:$AF$1001,0),1)&gt;=100000,INDEX($AM$1005:$BM$1005,1,MATCH(COLUMNS($AM$1006:AM1006),$AM$1006:$BM$1006,0))&gt;=100000), " ",IF(INDEX($AM$2:$BM$1001,MATCH(ROWS($AF$2:AF84),$AF$2:$AF$1001,0),MATCH(COLUMNS($AM$1006:AM1006),$AM$1006:$BM$1006,0)), HYPERLINK("#",""), HYPERLINK(CONCATENATE("#metadata!", ADDRESS(INDEX($AH$2:$AH$1001,MATCH(ROWS($AF$2:AF84),$AF$2:$AF$1001,0),0), INDEX($AM$1004:$BM$1004,1,MATCH(COLUMNS($AM$1006:AM1006),$AM$1006:$BM$1006,0)))),"Fix")))</f>
        <v xml:space="preserve"> </v>
      </c>
      <c r="C84" s="4" t="str">
        <f ca="1">IF(OR(INDEX($AG$2:$AG$1001,MATCH(ROWS($AF$2:AF84),$AF$2:$AF$1001,0),1)&gt;=100000,INDEX($AM$1005:$BM$1005,1,MATCH(COLUMNS($AM$1006:AN1006),$AM$1006:$BM$1006,0))&gt;=100000), " ",IF(INDEX($AM$2:$BM$1001,MATCH(ROWS($AF$2:AF84),$AF$2:$AF$1001,0),MATCH(COLUMNS($AM$1006:AN1006),$AM$1006:$BM$1006,0)), HYPERLINK("#",""), HYPERLINK(CONCATENATE("#metadata!", ADDRESS(INDEX($AH$2:$AH$1001,MATCH(ROWS($AF$2:AF84),$AF$2:$AF$1001,0),0), INDEX($AM$1004:$BM$1004,1,MATCH(COLUMNS($AM$1006:AN1006),$AM$1006:$BM$1006,0)))),"Fix")))</f>
        <v xml:space="preserve"> </v>
      </c>
      <c r="D84" s="4" t="str">
        <f ca="1">IF(OR(INDEX($AG$2:$AG$1001,MATCH(ROWS($AF$2:AF84),$AF$2:$AF$1001,0),1)&gt;=100000,INDEX($AM$1005:$BM$1005,1,MATCH(COLUMNS($AM$1006:AO1006),$AM$1006:$BM$1006,0))&gt;=100000), " ",IF(INDEX($AM$2:$BM$1001,MATCH(ROWS($AF$2:AF84),$AF$2:$AF$1001,0),MATCH(COLUMNS($AM$1006:AO1006),$AM$1006:$BM$1006,0)), HYPERLINK("#",""), HYPERLINK(CONCATENATE("#metadata!", ADDRESS(INDEX($AH$2:$AH$1001,MATCH(ROWS($AF$2:AF84),$AF$2:$AF$1001,0),0), INDEX($AM$1004:$BM$1004,1,MATCH(COLUMNS($AM$1006:AO1006),$AM$1006:$BM$1006,0)))),"Fix")))</f>
        <v xml:space="preserve"> </v>
      </c>
      <c r="E84" s="4" t="str">
        <f ca="1">IF(OR(INDEX($AG$2:$AG$1001,MATCH(ROWS($AF$2:AF84),$AF$2:$AF$1001,0),1)&gt;=100000,INDEX($AM$1005:$BM$1005,1,MATCH(COLUMNS($AM$1006:AP1006),$AM$1006:$BM$1006,0))&gt;=100000), " ",IF(INDEX($AM$2:$BM$1001,MATCH(ROWS($AF$2:AF84),$AF$2:$AF$1001,0),MATCH(COLUMNS($AM$1006:AP1006),$AM$1006:$BM$1006,0)), HYPERLINK("#",""), HYPERLINK(CONCATENATE("#metadata!", ADDRESS(INDEX($AH$2:$AH$1001,MATCH(ROWS($AF$2:AF84),$AF$2:$AF$1001,0),0), INDEX($AM$1004:$BM$1004,1,MATCH(COLUMNS($AM$1006:AP1006),$AM$1006:$BM$1006,0)))),"Fix")))</f>
        <v xml:space="preserve"> </v>
      </c>
      <c r="F84" s="4" t="str">
        <f ca="1">IF(OR(INDEX($AG$2:$AG$1001,MATCH(ROWS($AF$2:AF84),$AF$2:$AF$1001,0),1)&gt;=100000,INDEX($AM$1005:$BM$1005,1,MATCH(COLUMNS($AM$1006:AQ1006),$AM$1006:$BM$1006,0))&gt;=100000), " ",IF(INDEX($AM$2:$BM$1001,MATCH(ROWS($AF$2:AF84),$AF$2:$AF$1001,0),MATCH(COLUMNS($AM$1006:AQ1006),$AM$1006:$BM$1006,0)), HYPERLINK("#",""), HYPERLINK(CONCATENATE("#metadata!", ADDRESS(INDEX($AH$2:$AH$1001,MATCH(ROWS($AF$2:AF84),$AF$2:$AF$1001,0),0), INDEX($AM$1004:$BM$1004,1,MATCH(COLUMNS($AM$1006:AQ1006),$AM$1006:$BM$1006,0)))),"Fix")))</f>
        <v xml:space="preserve"> </v>
      </c>
      <c r="G84" s="4" t="str">
        <f ca="1">IF(OR(INDEX($AG$2:$AG$1001,MATCH(ROWS($AF$2:AF84),$AF$2:$AF$1001,0),1)&gt;=100000,INDEX($AM$1005:$BM$1005,1,MATCH(COLUMNS($AM$1006:AR1006),$AM$1006:$BM$1006,0))&gt;=100000), " ",IF(INDEX($AM$2:$BM$1001,MATCH(ROWS($AF$2:AF84),$AF$2:$AF$1001,0),MATCH(COLUMNS($AM$1006:AR1006),$AM$1006:$BM$1006,0)), HYPERLINK("#",""), HYPERLINK(CONCATENATE("#metadata!", ADDRESS(INDEX($AH$2:$AH$1001,MATCH(ROWS($AF$2:AF84),$AF$2:$AF$1001,0),0), INDEX($AM$1004:$BM$1004,1,MATCH(COLUMNS($AM$1006:AR1006),$AM$1006:$BM$1006,0)))),"Fix")))</f>
        <v xml:space="preserve"> </v>
      </c>
      <c r="H84" s="4" t="str">
        <f ca="1">IF(OR(INDEX($AG$2:$AG$1001,MATCH(ROWS($AF$2:AF84),$AF$2:$AF$1001,0),1)&gt;=100000,INDEX($AM$1005:$BM$1005,1,MATCH(COLUMNS($AM$1006:AS1006),$AM$1006:$BM$1006,0))&gt;=100000), " ",IF(INDEX($AM$2:$BM$1001,MATCH(ROWS($AF$2:AF84),$AF$2:$AF$1001,0),MATCH(COLUMNS($AM$1006:AS1006),$AM$1006:$BM$1006,0)), HYPERLINK("#",""), HYPERLINK(CONCATENATE("#metadata!", ADDRESS(INDEX($AH$2:$AH$1001,MATCH(ROWS($AF$2:AF84),$AF$2:$AF$1001,0),0), INDEX($AM$1004:$BM$1004,1,MATCH(COLUMNS($AM$1006:AS1006),$AM$1006:$BM$1006,0)))),"Fix")))</f>
        <v xml:space="preserve"> </v>
      </c>
      <c r="I84" s="4" t="str">
        <f ca="1">IF(OR(INDEX($AG$2:$AG$1001,MATCH(ROWS($AF$2:AF84),$AF$2:$AF$1001,0),1)&gt;=100000,INDEX($AM$1005:$BM$1005,1,MATCH(COLUMNS($AM$1006:AT1006),$AM$1006:$BM$1006,0))&gt;=100000), " ",IF(INDEX($AM$2:$BM$1001,MATCH(ROWS($AF$2:AF84),$AF$2:$AF$1001,0),MATCH(COLUMNS($AM$1006:AT1006),$AM$1006:$BM$1006,0)), HYPERLINK("#",""), HYPERLINK(CONCATENATE("#metadata!", ADDRESS(INDEX($AH$2:$AH$1001,MATCH(ROWS($AF$2:AF84),$AF$2:$AF$1001,0),0), INDEX($AM$1004:$BM$1004,1,MATCH(COLUMNS($AM$1006:AT1006),$AM$1006:$BM$1006,0)))),"Fix")))</f>
        <v xml:space="preserve"> </v>
      </c>
      <c r="J84" s="4" t="str">
        <f ca="1">IF(OR(INDEX($AG$2:$AG$1001,MATCH(ROWS($AF$2:AF84),$AF$2:$AF$1001,0),1)&gt;=100000,INDEX($AM$1005:$BM$1005,1,MATCH(COLUMNS($AM$1006:AU1006),$AM$1006:$BM$1006,0))&gt;=100000), " ",IF(INDEX($AM$2:$BM$1001,MATCH(ROWS($AF$2:AF84),$AF$2:$AF$1001,0),MATCH(COLUMNS($AM$1006:AU1006),$AM$1006:$BM$1006,0)), HYPERLINK("#",""), HYPERLINK(CONCATENATE("#metadata!", ADDRESS(INDEX($AH$2:$AH$1001,MATCH(ROWS($AF$2:AF84),$AF$2:$AF$1001,0),0), INDEX($AM$1004:$BM$1004,1,MATCH(COLUMNS($AM$1006:AU1006),$AM$1006:$BM$1006,0)))),"Fix")))</f>
        <v xml:space="preserve"> </v>
      </c>
      <c r="K84" s="4" t="str">
        <f ca="1">IF(OR(INDEX($AG$2:$AG$1001,MATCH(ROWS($AF$2:AF84),$AF$2:$AF$1001,0),1)&gt;=100000,INDEX($AM$1005:$BM$1005,1,MATCH(COLUMNS($AM$1006:AV1006),$AM$1006:$BM$1006,0))&gt;=100000), " ",IF(INDEX($AM$2:$BM$1001,MATCH(ROWS($AF$2:AF84),$AF$2:$AF$1001,0),MATCH(COLUMNS($AM$1006:AV1006),$AM$1006:$BM$1006,0)), HYPERLINK("#",""), HYPERLINK(CONCATENATE("#metadata!", ADDRESS(INDEX($AH$2:$AH$1001,MATCH(ROWS($AF$2:AF84),$AF$2:$AF$1001,0),0), INDEX($AM$1004:$BM$1004,1,MATCH(COLUMNS($AM$1006:AV1006),$AM$1006:$BM$1006,0)))),"Fix")))</f>
        <v xml:space="preserve"> </v>
      </c>
      <c r="L84" s="4" t="str">
        <f ca="1">IF(OR(INDEX($AG$2:$AG$1001,MATCH(ROWS($AF$2:AF84),$AF$2:$AF$1001,0),1)&gt;=100000,INDEX($AM$1005:$BM$1005,1,MATCH(COLUMNS($AM$1006:AW1006),$AM$1006:$BM$1006,0))&gt;=100000), " ",IF(INDEX($AM$2:$BM$1001,MATCH(ROWS($AF$2:AF84),$AF$2:$AF$1001,0),MATCH(COLUMNS($AM$1006:AW1006),$AM$1006:$BM$1006,0)), HYPERLINK("#",""), HYPERLINK(CONCATENATE("#metadata!", ADDRESS(INDEX($AH$2:$AH$1001,MATCH(ROWS($AF$2:AF84),$AF$2:$AF$1001,0),0), INDEX($AM$1004:$BM$1004,1,MATCH(COLUMNS($AM$1006:AW1006),$AM$1006:$BM$1006,0)))),"Fix")))</f>
        <v xml:space="preserve"> </v>
      </c>
      <c r="M84" s="4" t="str">
        <f ca="1">IF(OR(INDEX($AG$2:$AG$1001,MATCH(ROWS($AF$2:AF84),$AF$2:$AF$1001,0),1)&gt;=100000,INDEX($AM$1005:$BM$1005,1,MATCH(COLUMNS($AM$1006:AX1006),$AM$1006:$BM$1006,0))&gt;=100000), " ",IF(INDEX($AM$2:$BM$1001,MATCH(ROWS($AF$2:AF84),$AF$2:$AF$1001,0),MATCH(COLUMNS($AM$1006:AX1006),$AM$1006:$BM$1006,0)), HYPERLINK("#",""), HYPERLINK(CONCATENATE("#metadata!", ADDRESS(INDEX($AH$2:$AH$1001,MATCH(ROWS($AF$2:AF84),$AF$2:$AF$1001,0),0), INDEX($AM$1004:$BM$1004,1,MATCH(COLUMNS($AM$1006:AX1006),$AM$1006:$BM$1006,0)))),"Fix")))</f>
        <v xml:space="preserve"> </v>
      </c>
      <c r="N84" s="4" t="str">
        <f ca="1">IF(OR(INDEX($AG$2:$AG$1001,MATCH(ROWS($AF$2:AF84),$AF$2:$AF$1001,0),1)&gt;=100000,INDEX($AM$1005:$BM$1005,1,MATCH(COLUMNS($AM$1006:AY1006),$AM$1006:$BM$1006,0))&gt;=100000), " ",IF(INDEX($AM$2:$BM$1001,MATCH(ROWS($AF$2:AF84),$AF$2:$AF$1001,0),MATCH(COLUMNS($AM$1006:AY1006),$AM$1006:$BM$1006,0)), HYPERLINK("#",""), HYPERLINK(CONCATENATE("#metadata!", ADDRESS(INDEX($AH$2:$AH$1001,MATCH(ROWS($AF$2:AF84),$AF$2:$AF$1001,0),0), INDEX($AM$1004:$BM$1004,1,MATCH(COLUMNS($AM$1006:AY1006),$AM$1006:$BM$1006,0)))),"Fix")))</f>
        <v xml:space="preserve"> </v>
      </c>
      <c r="O84" s="4" t="str">
        <f ca="1">IF(OR(INDEX($AG$2:$AG$1001,MATCH(ROWS($AF$2:AF84),$AF$2:$AF$1001,0),1)&gt;=100000,INDEX($AM$1005:$BM$1005,1,MATCH(COLUMNS($AM$1006:AZ1006),$AM$1006:$BM$1006,0))&gt;=100000), " ",IF(INDEX($AM$2:$BM$1001,MATCH(ROWS($AF$2:AF84),$AF$2:$AF$1001,0),MATCH(COLUMNS($AM$1006:AZ1006),$AM$1006:$BM$1006,0)), HYPERLINK("#",""), HYPERLINK(CONCATENATE("#metadata!", ADDRESS(INDEX($AH$2:$AH$1001,MATCH(ROWS($AF$2:AF84),$AF$2:$AF$1001,0),0), INDEX($AM$1004:$BM$1004,1,MATCH(COLUMNS($AM$1006:AZ1006),$AM$1006:$BM$1006,0)))),"Fix")))</f>
        <v xml:space="preserve"> </v>
      </c>
      <c r="P84" s="4" t="str">
        <f ca="1">IF(OR(INDEX($AG$2:$AG$1001,MATCH(ROWS($AF$2:AF84),$AF$2:$AF$1001,0),1)&gt;=100000,INDEX($AM$1005:$BM$1005,1,MATCH(COLUMNS($AM$1006:BA1006),$AM$1006:$BM$1006,0))&gt;=100000), " ",IF(INDEX($AM$2:$BM$1001,MATCH(ROWS($AF$2:AF84),$AF$2:$AF$1001,0),MATCH(COLUMNS($AM$1006:BA1006),$AM$1006:$BM$1006,0)), HYPERLINK("#",""), HYPERLINK(CONCATENATE("#metadata!", ADDRESS(INDEX($AH$2:$AH$1001,MATCH(ROWS($AF$2:AF84),$AF$2:$AF$1001,0),0), INDEX($AM$1004:$BM$1004,1,MATCH(COLUMNS($AM$1006:BA1006),$AM$1006:$BM$1006,0)))),"Fix")))</f>
        <v xml:space="preserve"> </v>
      </c>
      <c r="Q84" s="4" t="str">
        <f ca="1">IF(OR(INDEX($AG$2:$AG$1001,MATCH(ROWS($AF$2:AF84),$AF$2:$AF$1001,0),1)&gt;=100000,INDEX($AM$1005:$BM$1005,1,MATCH(COLUMNS($AM$1006:BB1006),$AM$1006:$BM$1006,0))&gt;=100000), " ",IF(INDEX($AM$2:$BM$1001,MATCH(ROWS($AF$2:AF84),$AF$2:$AF$1001,0),MATCH(COLUMNS($AM$1006:BB1006),$AM$1006:$BM$1006,0)), HYPERLINK("#",""), HYPERLINK(CONCATENATE("#metadata!", ADDRESS(INDEX($AH$2:$AH$1001,MATCH(ROWS($AF$2:AF84),$AF$2:$AF$1001,0),0), INDEX($AM$1004:$BM$1004,1,MATCH(COLUMNS($AM$1006:BB1006),$AM$1006:$BM$1006,0)))),"Fix")))</f>
        <v xml:space="preserve"> </v>
      </c>
      <c r="R84" s="4" t="str">
        <f ca="1">IF(OR(INDEX($AG$2:$AG$1001,MATCH(ROWS($AF$2:AF84),$AF$2:$AF$1001,0),1)&gt;=100000,INDEX($AM$1005:$BM$1005,1,MATCH(COLUMNS($AM$1006:BC1006),$AM$1006:$BM$1006,0))&gt;=100000), " ",IF(INDEX($AM$2:$BM$1001,MATCH(ROWS($AF$2:AF84),$AF$2:$AF$1001,0),MATCH(COLUMNS($AM$1006:BC1006),$AM$1006:$BM$1006,0)), HYPERLINK("#",""), HYPERLINK(CONCATENATE("#metadata!", ADDRESS(INDEX($AH$2:$AH$1001,MATCH(ROWS($AF$2:AF84),$AF$2:$AF$1001,0),0), INDEX($AM$1004:$BM$1004,1,MATCH(COLUMNS($AM$1006:BC1006),$AM$1006:$BM$1006,0)))),"Fix")))</f>
        <v xml:space="preserve"> </v>
      </c>
      <c r="S84" s="4" t="str">
        <f ca="1">IF(OR(INDEX($AG$2:$AG$1001,MATCH(ROWS($AF$2:AF84),$AF$2:$AF$1001,0),1)&gt;=100000,INDEX($AM$1005:$BM$1005,1,MATCH(COLUMNS($AM$1006:BD1006),$AM$1006:$BM$1006,0))&gt;=100000), " ",IF(INDEX($AM$2:$BM$1001,MATCH(ROWS($AF$2:AF84),$AF$2:$AF$1001,0),MATCH(COLUMNS($AM$1006:BD1006),$AM$1006:$BM$1006,0)), HYPERLINK("#",""), HYPERLINK(CONCATENATE("#metadata!", ADDRESS(INDEX($AH$2:$AH$1001,MATCH(ROWS($AF$2:AF84),$AF$2:$AF$1001,0),0), INDEX($AM$1004:$BM$1004,1,MATCH(COLUMNS($AM$1006:BD1006),$AM$1006:$BM$1006,0)))),"Fix")))</f>
        <v xml:space="preserve"> </v>
      </c>
      <c r="T84" s="4" t="str">
        <f ca="1">IF(OR(INDEX($AG$2:$AG$1001,MATCH(ROWS($AF$2:AF84),$AF$2:$AF$1001,0),1)&gt;=100000,INDEX($AM$1005:$BM$1005,1,MATCH(COLUMNS($AM$1006:BE1006),$AM$1006:$BM$1006,0))&gt;=100000), " ",IF(INDEX($AM$2:$BM$1001,MATCH(ROWS($AF$2:AF84),$AF$2:$AF$1001,0),MATCH(COLUMNS($AM$1006:BE1006),$AM$1006:$BM$1006,0)), HYPERLINK("#",""), HYPERLINK(CONCATENATE("#metadata!", ADDRESS(INDEX($AH$2:$AH$1001,MATCH(ROWS($AF$2:AF84),$AF$2:$AF$1001,0),0), INDEX($AM$1004:$BM$1004,1,MATCH(COLUMNS($AM$1006:BE1006),$AM$1006:$BM$1006,0)))),"Fix")))</f>
        <v xml:space="preserve"> </v>
      </c>
      <c r="U84" s="4" t="str">
        <f ca="1">IF(OR(INDEX($AG$2:$AG$1001,MATCH(ROWS($AF$2:AF84),$AF$2:$AF$1001,0),1)&gt;=100000,INDEX($AM$1005:$BM$1005,1,MATCH(COLUMNS($AM$1006:BF1006),$AM$1006:$BM$1006,0))&gt;=100000), " ",IF(INDEX($AM$2:$BM$1001,MATCH(ROWS($AF$2:AF84),$AF$2:$AF$1001,0),MATCH(COLUMNS($AM$1006:BF1006),$AM$1006:$BM$1006,0)), HYPERLINK("#",""), HYPERLINK(CONCATENATE("#metadata!", ADDRESS(INDEX($AH$2:$AH$1001,MATCH(ROWS($AF$2:AF84),$AF$2:$AF$1001,0),0), INDEX($AM$1004:$BM$1004,1,MATCH(COLUMNS($AM$1006:BF1006),$AM$1006:$BM$1006,0)))),"Fix")))</f>
        <v xml:space="preserve"> </v>
      </c>
      <c r="V84" s="4" t="str">
        <f ca="1">IF(OR(INDEX($AG$2:$AG$1001,MATCH(ROWS($AF$2:AF84),$AF$2:$AF$1001,0),1)&gt;=100000,INDEX($AM$1005:$BM$1005,1,MATCH(COLUMNS($AM$1006:BG1006),$AM$1006:$BM$1006,0))&gt;=100000), " ",IF(INDEX($AM$2:$BM$1001,MATCH(ROWS($AF$2:AF84),$AF$2:$AF$1001,0),MATCH(COLUMNS($AM$1006:BG1006),$AM$1006:$BM$1006,0)), HYPERLINK("#",""), HYPERLINK(CONCATENATE("#metadata!", ADDRESS(INDEX($AH$2:$AH$1001,MATCH(ROWS($AF$2:AF84),$AF$2:$AF$1001,0),0), INDEX($AM$1004:$BM$1004,1,MATCH(COLUMNS($AM$1006:BG1006),$AM$1006:$BM$1006,0)))),"Fix")))</f>
        <v xml:space="preserve"> </v>
      </c>
      <c r="W84" s="4" t="str">
        <f ca="1">IF(OR(INDEX($AG$2:$AG$1001,MATCH(ROWS($AF$2:AF84),$AF$2:$AF$1001,0),1)&gt;=100000,INDEX($AM$1005:$BM$1005,1,MATCH(COLUMNS($AM$1006:BH1006),$AM$1006:$BM$1006,0))&gt;=100000), " ",IF(INDEX($AM$2:$BM$1001,MATCH(ROWS($AF$2:AF84),$AF$2:$AF$1001,0),MATCH(COLUMNS($AM$1006:BH1006),$AM$1006:$BM$1006,0)), HYPERLINK("#",""), HYPERLINK(CONCATENATE("#metadata!", ADDRESS(INDEX($AH$2:$AH$1001,MATCH(ROWS($AF$2:AF84),$AF$2:$AF$1001,0),0), INDEX($AM$1004:$BM$1004,1,MATCH(COLUMNS($AM$1006:BH1006),$AM$1006:$BM$1006,0)))),"Fix")))</f>
        <v xml:space="preserve"> </v>
      </c>
      <c r="X84" s="4" t="str">
        <f ca="1">IF(OR(INDEX($AG$2:$AG$1001,MATCH(ROWS($AF$2:AF84),$AF$2:$AF$1001,0),1)&gt;=100000,INDEX($AM$1005:$BM$1005,1,MATCH(COLUMNS($AM$1006:BI1006),$AM$1006:$BM$1006,0))&gt;=100000), " ",IF(INDEX($AM$2:$BM$1001,MATCH(ROWS($AF$2:AF84),$AF$2:$AF$1001,0),MATCH(COLUMNS($AM$1006:BI1006),$AM$1006:$BM$1006,0)), HYPERLINK("#",""), HYPERLINK(CONCATENATE("#metadata!", ADDRESS(INDEX($AH$2:$AH$1001,MATCH(ROWS($AF$2:AF84),$AF$2:$AF$1001,0),0), INDEX($AM$1004:$BM$1004,1,MATCH(COLUMNS($AM$1006:BI1006),$AM$1006:$BM$1006,0)))),"Fix")))</f>
        <v xml:space="preserve"> </v>
      </c>
      <c r="Y84" s="4" t="str">
        <f ca="1">IF(OR(INDEX($AG$2:$AG$1001,MATCH(ROWS($AF$2:AF84),$AF$2:$AF$1001,0),1)&gt;=100000,INDEX($AM$1005:$BM$1005,1,MATCH(COLUMNS($AM$1006:BJ1006),$AM$1006:$BM$1006,0))&gt;=100000), " ",IF(INDEX($AM$2:$BM$1001,MATCH(ROWS($AF$2:AF84),$AF$2:$AF$1001,0),MATCH(COLUMNS($AM$1006:BJ1006),$AM$1006:$BM$1006,0)), HYPERLINK("#",""), HYPERLINK(CONCATENATE("#metadata!", ADDRESS(INDEX($AH$2:$AH$1001,MATCH(ROWS($AF$2:AF84),$AF$2:$AF$1001,0),0), INDEX($AM$1004:$BM$1004,1,MATCH(COLUMNS($AM$1006:BJ1006),$AM$1006:$BM$1006,0)))),"Fix")))</f>
        <v xml:space="preserve"> </v>
      </c>
      <c r="Z84" s="4" t="str">
        <f ca="1">IF(OR(INDEX($AG$2:$AG$1001,MATCH(ROWS($AF$2:AF84),$AF$2:$AF$1001,0),1)&gt;=100000,INDEX($AM$1005:$BM$1005,1,MATCH(COLUMNS($AM$1006:BK1006),$AM$1006:$BM$1006,0))&gt;=100000), " ",IF(INDEX($AM$2:$BM$1001,MATCH(ROWS($AF$2:AF84),$AF$2:$AF$1001,0),MATCH(COLUMNS($AM$1006:BK1006),$AM$1006:$BM$1006,0)), HYPERLINK("#",""), HYPERLINK(CONCATENATE("#metadata!", ADDRESS(INDEX($AH$2:$AH$1001,MATCH(ROWS($AF$2:AF84),$AF$2:$AF$1001,0),0), INDEX($AM$1004:$BM$1004,1,MATCH(COLUMNS($AM$1006:BK1006),$AM$1006:$BM$1006,0)))),"Fix")))</f>
        <v xml:space="preserve"> </v>
      </c>
      <c r="AA84" s="4" t="str">
        <f ca="1">IF(OR(INDEX($AG$2:$AG$1001,MATCH(ROWS($AF$2:AF84),$AF$2:$AF$1001,0),1)&gt;=100000,INDEX($AM$1005:$BM$1005,1,MATCH(COLUMNS($AM$1006:BL1006),$AM$1006:$BM$1006,0))&gt;=100000), " ",IF(INDEX($AM$2:$BM$1001,MATCH(ROWS($AF$2:AF84),$AF$2:$AF$1001,0),MATCH(COLUMNS($AM$1006:BL1006),$AM$1006:$BM$1006,0)), HYPERLINK("#",""), HYPERLINK(CONCATENATE("#metadata!", ADDRESS(INDEX($AH$2:$AH$1001,MATCH(ROWS($AF$2:AF84),$AF$2:$AF$1001,0),0), INDEX($AM$1004:$BM$1004,1,MATCH(COLUMNS($AM$1006:BL1006),$AM$1006:$BM$1006,0)))),"Fix")))</f>
        <v xml:space="preserve"> </v>
      </c>
      <c r="AB84" s="4" t="str">
        <f ca="1">IF(OR(INDEX($AG$2:$AG$1001,MATCH(ROWS($AF$2:AF84),$AF$2:$AF$1001,0),1)&gt;=100000,INDEX($AM$1005:$BM$1005,1,MATCH(COLUMNS($AM$1006:BM1006),$AM$1006:$BM$1006,0))&gt;=100000), " ",IF(INDEX($AM$2:$BM$1001,MATCH(ROWS($AF$2:AF84),$AF$2:$AF$1001,0),MATCH(COLUMNS($AM$1006:BM1006),$AM$1006:$BM$1006,0)), HYPERLINK("#",""), HYPERLINK(CONCATENATE("#metadata!", ADDRESS(INDEX($AH$2:$AH$1001,MATCH(ROWS($AF$2:AF84),$AF$2:$AF$1001,0),0), INDEX($AM$1004:$BM$1004,1,MATCH(COLUMNS($AM$1006:BM1006),$AM$1006:$BM$1006,0)))),"Fix")))</f>
        <v xml:space="preserve"> </v>
      </c>
      <c r="AF84">
        <v>83</v>
      </c>
      <c r="AG84">
        <v>100084</v>
      </c>
      <c r="AH84">
        <v>84</v>
      </c>
      <c r="AI84" t="b">
        <f t="shared" si="1"/>
        <v>1</v>
      </c>
      <c r="AJ84" t="b">
        <f>COUNTBLANK(metadata!B84:AB84)=COLUMNS(metadata!B84:AB84)</f>
        <v>1</v>
      </c>
      <c r="AK84" t="str">
        <v/>
      </c>
      <c r="AM84" t="b">
        <f ca="1">AND(IF(metadata!B84="",FALSE,TRUE),COUNTIF(metadata!B:B, metadata!B84) = 1,NOT(ISERROR(SUMPRODUCT(SEARCH(MID(metadata!B84,ROW(INDIRECT("1:"&amp;LEN(metadata!B84))), 1),"0123456789abcdefghijklmnopqrstuvwxyzABCDEFGHIJKLMNOPQRSTUVWXYZ.")))))</f>
        <v>0</v>
      </c>
      <c r="AN84" t="b">
        <f ca="1">OR(AND(IF(metadata!C84="",FALSE,TRUE),OR(EXACT(metadata!C84,"missing: not collected"),EXACT(metadata!C84,"missing: not provided"),EXACT(metadata!C84,"missing: restricted access"))),AND(IF(metadata!C84="",FALSE,TRUE),AND(AND(IFERROR(INT(LEFT(metadata!C84,4))&gt;1900,FALSE),IFERROR(INT(LEFT(metadata!C84,4))&lt;=YEAR(NOW()),FALSE)), OR(MID(metadata!C84,5,1)="", AND(AND(MID(metadata!C84,5,1)="-",IFERROR(INT(MID(metadata!C84,6,1))&gt;=0,FALSE),IFERROR(INT(MID(metadata!C84,6,1))&lt;=1,FALSE),NOT(MID(metadata!C84,7,1)=""),IFERROR(INT(MID(metadata!C84,6,2))&gt;=1,FALSE),IFERROR(INT(MID(metadata!C84,6,2))&lt;=12,FALSE)), OR(MID(metadata!C84,8,1)="", AND(AND(MID(metadata!C84,8,1)="-",IFERROR(INT(MID(metadata!C84,9,1))&gt;=0,FALSE),IFERROR(INT(MID(metadata!C84,9,1))&lt;=3,FALSE),NOT(MID(metadata!C84,10,1)=""),IFERROR(INT(MID(metadata!C84,9,2))&gt;=1,FALSE),IFERROR(INT(MID(metadata!C84,9,2))&lt;=31,FALSE)), OR(MID(metadata!C84,11,1)="", AND(AND(MID(metadata!C84,11,1)=" ",IFERROR(INT(MID(metadata!C84,12,1))&gt;=0,FALSE),IFERROR(INT(MID(metadata!C84,12,1))&lt;=2,FALSE),NOT(MID(metadata!C84,13,1)=""),IFERROR(INT(MID(metadata!C84,12,2))&gt;=0,FALSE),IFERROR(INT(MID(metadata!C84,12,2))&lt;=23,FALSE)), OR(MID(metadata!C84,14,1)="", AND(AND(MID(metadata!C84,14,1)=":",IFERROR(INT(MID(metadata!C84,15,1))&gt;=0,FALSE),IFERROR(INT(MID(metadata!C84,15,1))&lt;=5,FALSE),NOT(MID(metadata!C84,16,1)=""),IFERROR(INT(MID(metadata!C84,15,2))&gt;=0,FALSE),IFERROR(INT(MID(metadata!C84,15,2))&lt;=59,FALSE)), OR(MID(metadata!C84,17,1)="", AND(AND(MID(metadata!C84,17,1)=":",IFERROR(INT(MID(metadata!C84,18,1))&gt;=0,FALSE),IFERROR(INT(MID(metadata!C84,18,1))&lt;=5,FALSE),NOT(MID(metadata!C84,19,1)=""),IFERROR(INT(MID(metadata!C84,18,2))&gt;=0,FALSE),IFERROR(INT(MID(metadata!C84,18,2))&lt;=59,FALSE)), LEN(metadata!C84)&lt;=19)))))))))))))</f>
        <v>0</v>
      </c>
      <c r="AO84" t="b">
        <f>AND(IF(metadata!D84="",FALSE,TRUE),EXACT(metadata!D84,"Not applicable"))</f>
        <v>0</v>
      </c>
      <c r="AP84" t="b">
        <f>IF(metadata!E84="",FALSE,TRUE)</f>
        <v>0</v>
      </c>
      <c r="AQ84" t="b">
        <f>OR(AND(IF(metadata!F84="",FALSE,TRUE),OR(EXACT(metadata!F84,"missing: not collected"),EXACT(metadata!F84,"missing: not provided"))),AND(IF(metadata!F84="",FALSE,TRUE),OR(EXACT(metadata!F84,"TRUE"),EXACT(metadata!F84,"FALSE"))))</f>
        <v>0</v>
      </c>
      <c r="AR84" t="b">
        <f>OR(AND(IF(metadata!G84="",FALSE,TRUE),OR(EXACT(metadata!G84,"missing: not collected"),EXACT(metadata!G84,"missing: not provided"),EXACT(metadata!G84,"missing: restricted access"))),AND(IF(metadata!G84="",FALSE,ISNUMBER(VALUE(metadata!G84))),metadata!G84&gt;=-413))</f>
        <v>0</v>
      </c>
      <c r="AS84" t="b">
        <f>AND(IF(metadata!H84="",FALSE,TRUE),EXACT(metadata!H84,"meters"))</f>
        <v>0</v>
      </c>
      <c r="AT84" t="b">
        <f>AND(IF(metadata!I84="",FALSE,TRUE),OR(EXACT(metadata!I84,"Host-associated"),EXACT(metadata!I84,"Free-living")))</f>
        <v>0</v>
      </c>
      <c r="AU84" t="b">
        <f>AND(IF(metadata!J84="",FALSE,TRUE),OR(EXACT(metadata!J84,"Animal"),EXACT(metadata!J84,"Fungus"),EXACT(metadata!J84,"Plant"),EXACT(metadata!J84,"Saline"),EXACT(metadata!J84,"Non-saline")))</f>
        <v>0</v>
      </c>
      <c r="AV84" t="b">
        <f>AND(IF(metadata!K84="",FALSE,TRUE),OR(EXACT(metadata!K84,"Plant secretion"),EXACT(metadata!K84,"Plant rhizosphere"),EXACT(metadata!K84,"Plant surface"),EXACT(metadata!K84,"Plant corpus"),EXACT(metadata!K84,"Fungus surface"),EXACT(metadata!K84,"Fungus corpus"),EXACT(metadata!K84,"Animal surface"),EXACT(metadata!K84,"Animal proximal gut"),EXACT(metadata!K84,"Animal corpus"),EXACT(metadata!K84,"Animal distal gut"),EXACT(metadata!K84,"Animal secretion"),EXACT(metadata!K84,"Sub-surface (non-saline)"),EXACT(metadata!K84,"Surface (non-saline)"),EXACT(metadata!K84,"Water (non-saline)"),EXACT(metadata!K84,"Soil (non-saline)"),EXACT(metadata!K84,"Aerosol (non-saline)"),EXACT(metadata!K84,"Sediment (non-saline)"),EXACT(metadata!K84,"Surface (saline)"),EXACT(metadata!K84,"Water (saline)"),EXACT(metadata!K84,"Hypersaline (saline)"),EXACT(metadata!K84,"Aerosol (saline)"),EXACT(metadata!K84,"Sediment (saline)")))</f>
        <v>0</v>
      </c>
      <c r="AW84" t="b">
        <f>IF(metadata!L84="",FALSE,TRUE)</f>
        <v>0</v>
      </c>
      <c r="AX84" t="b">
        <f>IF(metadata!M84="",FALSE,TRUE)</f>
        <v>0</v>
      </c>
      <c r="AY84" t="b">
        <f>IF(metadata!N84="",FALSE,TRUE)</f>
        <v>0</v>
      </c>
      <c r="AZ84" t="b">
        <f>OR(AND(IF(metadata!O84="",FALSE,TRUE),OR(EXACT(metadata!O84,"missing: not collected"),EXACT(metadata!O84,"missing: not provided"),EXACT(metadata!O84,"missing: restricted access"))),AND(IF(metadata!O84="",FALSE,TRUE),OR(EXACT(metadata!O84,"air"),EXACT(metadata!O84,"built environment"),EXACT(metadata!O84,"host-associated"),EXACT(metadata!O84,"human-associated"),EXACT(metadata!O84,"human-skin"),EXACT(metadata!O84,"human-oral"),EXACT(metadata!O84,"human-gut"),EXACT(metadata!O84,"human-vaginal"),EXACT(metadata!O84,"microbial mat/biofilm"),EXACT(metadata!O84,"misc environment"),EXACT(metadata!O84,"plant-associated"),EXACT(metadata!O84,"sediment"),EXACT(metadata!O84,"soil"),EXACT(metadata!O84,"wastewater/sludge"),EXACT(metadata!O84,"water"))))</f>
        <v>0</v>
      </c>
      <c r="BA84" t="b">
        <f>IF(metadata!P84="",FALSE,TRUE)</f>
        <v>0</v>
      </c>
      <c r="BB84" t="b">
        <f>IF(metadata!Q84="",FALSE,TRUE)</f>
        <v>0</v>
      </c>
      <c r="BC84" t="b">
        <f>OR(AND(IF(metadata!R84="",FALSE,TRUE),OR(EXACT(metadata!R84,"missing: not collected"),EXACT(metadata!R84,"missing: not provided"),EXACT(metadata!R84,"missing: restricted access"))),AND(IF(metadata!R84="",FALSE,ISNUMBER(VALUE(metadata!R84))),metadata!R84&gt;=-90,metadata!R84&lt;=90))</f>
        <v>0</v>
      </c>
      <c r="BD84" t="b">
        <f>AND(IF(metadata!S84="",FALSE,TRUE),EXACT(metadata!S84,"Decimal degrees"))</f>
        <v>0</v>
      </c>
      <c r="BE84" t="b">
        <f>OR(AND(IF(metadata!T84="",FALSE,TRUE),OR(EXACT(metadata!T84,"missing: not collected"),EXACT(metadata!T84,"missing: not provided"),EXACT(metadata!T84,"missing: restricted access"))),AND(IF(metadata!T84="",FALSE,ISNUMBER(VALUE(metadata!T84))),metadata!T84&gt;=-180,metadata!T84&lt;=180))</f>
        <v>0</v>
      </c>
      <c r="BF84" t="b">
        <f>AND(IF(metadata!U84="",FALSE,TRUE),EXACT(metadata!U84,"Decimal degrees"))</f>
        <v>0</v>
      </c>
      <c r="BG84" t="b">
        <f>IF(metadata!V84="",FALSE,TRUE)</f>
        <v>0</v>
      </c>
      <c r="BH84" t="b">
        <f>OR(AND(IF(metadata!W84="",FALSE,TRUE),OR(EXACT(metadata!W84,"missing: not collected"),EXACT(metadata!W84,"missing: not provided"),EXACT(metadata!W84,"missing: restricted access"))),AND(IF(metadata!W84="",FALSE,TRUE),OR(EXACT(metadata!W84,"TRUE"),EXACT(metadata!W84,"FALSE"))))</f>
        <v>0</v>
      </c>
      <c r="BI84" t="b">
        <f>AND(IF(metadata!X84="",FALSE,TRUE),EXACT(metadata!X84,"other"))</f>
        <v>0</v>
      </c>
      <c r="BJ84" t="b">
        <f>IF(metadata!Y84="",FALSE,TRUE)</f>
        <v>0</v>
      </c>
      <c r="BK84" t="b">
        <f>OR(AND(IF(metadata!Z84="",FALSE,TRUE),OR(EXACT(metadata!Z84,"missing: not collected"),EXACT(metadata!Z84,"missing: not provided"))),AND(IF(metadata!Z84="",FALSE,IF(ISERROR(INT(metadata!Z84)),FALSE,INT(metadata!Z84)=metadata!Z84)),metadata!Z84&gt;0))</f>
        <v>0</v>
      </c>
      <c r="BL84" t="b">
        <f>AND(IF(metadata!AA84="",FALSE,TRUE),EXACT(metadata!AA84,"Not applicable"))</f>
        <v>0</v>
      </c>
      <c r="BM84" t="b">
        <f>IF(metadata!AB84="",FALSE,TRUE)</f>
        <v>0</v>
      </c>
    </row>
    <row r="85" spans="1:65" x14ac:dyDescent="0.2">
      <c r="A85" s="5" t="str">
        <f ca="1">IF(B85=" "," ",HYPERLINK(CONCATENATE("#metadata!",ADDRESS(INDEX($AH$2:$AH$1001,MATCH(ROWS($AF$2:AF85),$AF$2:$AF$1001,0),0),1)),INDEX($AK$2:$AK$1001,MATCH(ROWS($AF$2:AF85),$AF$2:$AF$1001,0),0)))</f>
        <v xml:space="preserve"> </v>
      </c>
      <c r="B85" s="4" t="str">
        <f ca="1">IF(OR(INDEX($AG$2:$AG$1001,MATCH(ROWS($AF$2:AF85),$AF$2:$AF$1001,0),1)&gt;=100000,INDEX($AM$1005:$BM$1005,1,MATCH(COLUMNS($AM$1006:AM1006),$AM$1006:$BM$1006,0))&gt;=100000), " ",IF(INDEX($AM$2:$BM$1001,MATCH(ROWS($AF$2:AF85),$AF$2:$AF$1001,0),MATCH(COLUMNS($AM$1006:AM1006),$AM$1006:$BM$1006,0)), HYPERLINK("#",""), HYPERLINK(CONCATENATE("#metadata!", ADDRESS(INDEX($AH$2:$AH$1001,MATCH(ROWS($AF$2:AF85),$AF$2:$AF$1001,0),0), INDEX($AM$1004:$BM$1004,1,MATCH(COLUMNS($AM$1006:AM1006),$AM$1006:$BM$1006,0)))),"Fix")))</f>
        <v xml:space="preserve"> </v>
      </c>
      <c r="C85" s="4" t="str">
        <f ca="1">IF(OR(INDEX($AG$2:$AG$1001,MATCH(ROWS($AF$2:AF85),$AF$2:$AF$1001,0),1)&gt;=100000,INDEX($AM$1005:$BM$1005,1,MATCH(COLUMNS($AM$1006:AN1006),$AM$1006:$BM$1006,0))&gt;=100000), " ",IF(INDEX($AM$2:$BM$1001,MATCH(ROWS($AF$2:AF85),$AF$2:$AF$1001,0),MATCH(COLUMNS($AM$1006:AN1006),$AM$1006:$BM$1006,0)), HYPERLINK("#",""), HYPERLINK(CONCATENATE("#metadata!", ADDRESS(INDEX($AH$2:$AH$1001,MATCH(ROWS($AF$2:AF85),$AF$2:$AF$1001,0),0), INDEX($AM$1004:$BM$1004,1,MATCH(COLUMNS($AM$1006:AN1006),$AM$1006:$BM$1006,0)))),"Fix")))</f>
        <v xml:space="preserve"> </v>
      </c>
      <c r="D85" s="4" t="str">
        <f ca="1">IF(OR(INDEX($AG$2:$AG$1001,MATCH(ROWS($AF$2:AF85),$AF$2:$AF$1001,0),1)&gt;=100000,INDEX($AM$1005:$BM$1005,1,MATCH(COLUMNS($AM$1006:AO1006),$AM$1006:$BM$1006,0))&gt;=100000), " ",IF(INDEX($AM$2:$BM$1001,MATCH(ROWS($AF$2:AF85),$AF$2:$AF$1001,0),MATCH(COLUMNS($AM$1006:AO1006),$AM$1006:$BM$1006,0)), HYPERLINK("#",""), HYPERLINK(CONCATENATE("#metadata!", ADDRESS(INDEX($AH$2:$AH$1001,MATCH(ROWS($AF$2:AF85),$AF$2:$AF$1001,0),0), INDEX($AM$1004:$BM$1004,1,MATCH(COLUMNS($AM$1006:AO1006),$AM$1006:$BM$1006,0)))),"Fix")))</f>
        <v xml:space="preserve"> </v>
      </c>
      <c r="E85" s="4" t="str">
        <f ca="1">IF(OR(INDEX($AG$2:$AG$1001,MATCH(ROWS($AF$2:AF85),$AF$2:$AF$1001,0),1)&gt;=100000,INDEX($AM$1005:$BM$1005,1,MATCH(COLUMNS($AM$1006:AP1006),$AM$1006:$BM$1006,0))&gt;=100000), " ",IF(INDEX($AM$2:$BM$1001,MATCH(ROWS($AF$2:AF85),$AF$2:$AF$1001,0),MATCH(COLUMNS($AM$1006:AP1006),$AM$1006:$BM$1006,0)), HYPERLINK("#",""), HYPERLINK(CONCATENATE("#metadata!", ADDRESS(INDEX($AH$2:$AH$1001,MATCH(ROWS($AF$2:AF85),$AF$2:$AF$1001,0),0), INDEX($AM$1004:$BM$1004,1,MATCH(COLUMNS($AM$1006:AP1006),$AM$1006:$BM$1006,0)))),"Fix")))</f>
        <v xml:space="preserve"> </v>
      </c>
      <c r="F85" s="4" t="str">
        <f ca="1">IF(OR(INDEX($AG$2:$AG$1001,MATCH(ROWS($AF$2:AF85),$AF$2:$AF$1001,0),1)&gt;=100000,INDEX($AM$1005:$BM$1005,1,MATCH(COLUMNS($AM$1006:AQ1006),$AM$1006:$BM$1006,0))&gt;=100000), " ",IF(INDEX($AM$2:$BM$1001,MATCH(ROWS($AF$2:AF85),$AF$2:$AF$1001,0),MATCH(COLUMNS($AM$1006:AQ1006),$AM$1006:$BM$1006,0)), HYPERLINK("#",""), HYPERLINK(CONCATENATE("#metadata!", ADDRESS(INDEX($AH$2:$AH$1001,MATCH(ROWS($AF$2:AF85),$AF$2:$AF$1001,0),0), INDEX($AM$1004:$BM$1004,1,MATCH(COLUMNS($AM$1006:AQ1006),$AM$1006:$BM$1006,0)))),"Fix")))</f>
        <v xml:space="preserve"> </v>
      </c>
      <c r="G85" s="4" t="str">
        <f ca="1">IF(OR(INDEX($AG$2:$AG$1001,MATCH(ROWS($AF$2:AF85),$AF$2:$AF$1001,0),1)&gt;=100000,INDEX($AM$1005:$BM$1005,1,MATCH(COLUMNS($AM$1006:AR1006),$AM$1006:$BM$1006,0))&gt;=100000), " ",IF(INDEX($AM$2:$BM$1001,MATCH(ROWS($AF$2:AF85),$AF$2:$AF$1001,0),MATCH(COLUMNS($AM$1006:AR1006),$AM$1006:$BM$1006,0)), HYPERLINK("#",""), HYPERLINK(CONCATENATE("#metadata!", ADDRESS(INDEX($AH$2:$AH$1001,MATCH(ROWS($AF$2:AF85),$AF$2:$AF$1001,0),0), INDEX($AM$1004:$BM$1004,1,MATCH(COLUMNS($AM$1006:AR1006),$AM$1006:$BM$1006,0)))),"Fix")))</f>
        <v xml:space="preserve"> </v>
      </c>
      <c r="H85" s="4" t="str">
        <f ca="1">IF(OR(INDEX($AG$2:$AG$1001,MATCH(ROWS($AF$2:AF85),$AF$2:$AF$1001,0),1)&gt;=100000,INDEX($AM$1005:$BM$1005,1,MATCH(COLUMNS($AM$1006:AS1006),$AM$1006:$BM$1006,0))&gt;=100000), " ",IF(INDEX($AM$2:$BM$1001,MATCH(ROWS($AF$2:AF85),$AF$2:$AF$1001,0),MATCH(COLUMNS($AM$1006:AS1006),$AM$1006:$BM$1006,0)), HYPERLINK("#",""), HYPERLINK(CONCATENATE("#metadata!", ADDRESS(INDEX($AH$2:$AH$1001,MATCH(ROWS($AF$2:AF85),$AF$2:$AF$1001,0),0), INDEX($AM$1004:$BM$1004,1,MATCH(COLUMNS($AM$1006:AS1006),$AM$1006:$BM$1006,0)))),"Fix")))</f>
        <v xml:space="preserve"> </v>
      </c>
      <c r="I85" s="4" t="str">
        <f ca="1">IF(OR(INDEX($AG$2:$AG$1001,MATCH(ROWS($AF$2:AF85),$AF$2:$AF$1001,0),1)&gt;=100000,INDEX($AM$1005:$BM$1005,1,MATCH(COLUMNS($AM$1006:AT1006),$AM$1006:$BM$1006,0))&gt;=100000), " ",IF(INDEX($AM$2:$BM$1001,MATCH(ROWS($AF$2:AF85),$AF$2:$AF$1001,0),MATCH(COLUMNS($AM$1006:AT1006),$AM$1006:$BM$1006,0)), HYPERLINK("#",""), HYPERLINK(CONCATENATE("#metadata!", ADDRESS(INDEX($AH$2:$AH$1001,MATCH(ROWS($AF$2:AF85),$AF$2:$AF$1001,0),0), INDEX($AM$1004:$BM$1004,1,MATCH(COLUMNS($AM$1006:AT1006),$AM$1006:$BM$1006,0)))),"Fix")))</f>
        <v xml:space="preserve"> </v>
      </c>
      <c r="J85" s="4" t="str">
        <f ca="1">IF(OR(INDEX($AG$2:$AG$1001,MATCH(ROWS($AF$2:AF85),$AF$2:$AF$1001,0),1)&gt;=100000,INDEX($AM$1005:$BM$1005,1,MATCH(COLUMNS($AM$1006:AU1006),$AM$1006:$BM$1006,0))&gt;=100000), " ",IF(INDEX($AM$2:$BM$1001,MATCH(ROWS($AF$2:AF85),$AF$2:$AF$1001,0),MATCH(COLUMNS($AM$1006:AU1006),$AM$1006:$BM$1006,0)), HYPERLINK("#",""), HYPERLINK(CONCATENATE("#metadata!", ADDRESS(INDEX($AH$2:$AH$1001,MATCH(ROWS($AF$2:AF85),$AF$2:$AF$1001,0),0), INDEX($AM$1004:$BM$1004,1,MATCH(COLUMNS($AM$1006:AU1006),$AM$1006:$BM$1006,0)))),"Fix")))</f>
        <v xml:space="preserve"> </v>
      </c>
      <c r="K85" s="4" t="str">
        <f ca="1">IF(OR(INDEX($AG$2:$AG$1001,MATCH(ROWS($AF$2:AF85),$AF$2:$AF$1001,0),1)&gt;=100000,INDEX($AM$1005:$BM$1005,1,MATCH(COLUMNS($AM$1006:AV1006),$AM$1006:$BM$1006,0))&gt;=100000), " ",IF(INDEX($AM$2:$BM$1001,MATCH(ROWS($AF$2:AF85),$AF$2:$AF$1001,0),MATCH(COLUMNS($AM$1006:AV1006),$AM$1006:$BM$1006,0)), HYPERLINK("#",""), HYPERLINK(CONCATENATE("#metadata!", ADDRESS(INDEX($AH$2:$AH$1001,MATCH(ROWS($AF$2:AF85),$AF$2:$AF$1001,0),0), INDEX($AM$1004:$BM$1004,1,MATCH(COLUMNS($AM$1006:AV1006),$AM$1006:$BM$1006,0)))),"Fix")))</f>
        <v xml:space="preserve"> </v>
      </c>
      <c r="L85" s="4" t="str">
        <f ca="1">IF(OR(INDEX($AG$2:$AG$1001,MATCH(ROWS($AF$2:AF85),$AF$2:$AF$1001,0),1)&gt;=100000,INDEX($AM$1005:$BM$1005,1,MATCH(COLUMNS($AM$1006:AW1006),$AM$1006:$BM$1006,0))&gt;=100000), " ",IF(INDEX($AM$2:$BM$1001,MATCH(ROWS($AF$2:AF85),$AF$2:$AF$1001,0),MATCH(COLUMNS($AM$1006:AW1006),$AM$1006:$BM$1006,0)), HYPERLINK("#",""), HYPERLINK(CONCATENATE("#metadata!", ADDRESS(INDEX($AH$2:$AH$1001,MATCH(ROWS($AF$2:AF85),$AF$2:$AF$1001,0),0), INDEX($AM$1004:$BM$1004,1,MATCH(COLUMNS($AM$1006:AW1006),$AM$1006:$BM$1006,0)))),"Fix")))</f>
        <v xml:space="preserve"> </v>
      </c>
      <c r="M85" s="4" t="str">
        <f ca="1">IF(OR(INDEX($AG$2:$AG$1001,MATCH(ROWS($AF$2:AF85),$AF$2:$AF$1001,0),1)&gt;=100000,INDEX($AM$1005:$BM$1005,1,MATCH(COLUMNS($AM$1006:AX1006),$AM$1006:$BM$1006,0))&gt;=100000), " ",IF(INDEX($AM$2:$BM$1001,MATCH(ROWS($AF$2:AF85),$AF$2:$AF$1001,0),MATCH(COLUMNS($AM$1006:AX1006),$AM$1006:$BM$1006,0)), HYPERLINK("#",""), HYPERLINK(CONCATENATE("#metadata!", ADDRESS(INDEX($AH$2:$AH$1001,MATCH(ROWS($AF$2:AF85),$AF$2:$AF$1001,0),0), INDEX($AM$1004:$BM$1004,1,MATCH(COLUMNS($AM$1006:AX1006),$AM$1006:$BM$1006,0)))),"Fix")))</f>
        <v xml:space="preserve"> </v>
      </c>
      <c r="N85" s="4" t="str">
        <f ca="1">IF(OR(INDEX($AG$2:$AG$1001,MATCH(ROWS($AF$2:AF85),$AF$2:$AF$1001,0),1)&gt;=100000,INDEX($AM$1005:$BM$1005,1,MATCH(COLUMNS($AM$1006:AY1006),$AM$1006:$BM$1006,0))&gt;=100000), " ",IF(INDEX($AM$2:$BM$1001,MATCH(ROWS($AF$2:AF85),$AF$2:$AF$1001,0),MATCH(COLUMNS($AM$1006:AY1006),$AM$1006:$BM$1006,0)), HYPERLINK("#",""), HYPERLINK(CONCATENATE("#metadata!", ADDRESS(INDEX($AH$2:$AH$1001,MATCH(ROWS($AF$2:AF85),$AF$2:$AF$1001,0),0), INDEX($AM$1004:$BM$1004,1,MATCH(COLUMNS($AM$1006:AY1006),$AM$1006:$BM$1006,0)))),"Fix")))</f>
        <v xml:space="preserve"> </v>
      </c>
      <c r="O85" s="4" t="str">
        <f ca="1">IF(OR(INDEX($AG$2:$AG$1001,MATCH(ROWS($AF$2:AF85),$AF$2:$AF$1001,0),1)&gt;=100000,INDEX($AM$1005:$BM$1005,1,MATCH(COLUMNS($AM$1006:AZ1006),$AM$1006:$BM$1006,0))&gt;=100000), " ",IF(INDEX($AM$2:$BM$1001,MATCH(ROWS($AF$2:AF85),$AF$2:$AF$1001,0),MATCH(COLUMNS($AM$1006:AZ1006),$AM$1006:$BM$1006,0)), HYPERLINK("#",""), HYPERLINK(CONCATENATE("#metadata!", ADDRESS(INDEX($AH$2:$AH$1001,MATCH(ROWS($AF$2:AF85),$AF$2:$AF$1001,0),0), INDEX($AM$1004:$BM$1004,1,MATCH(COLUMNS($AM$1006:AZ1006),$AM$1006:$BM$1006,0)))),"Fix")))</f>
        <v xml:space="preserve"> </v>
      </c>
      <c r="P85" s="4" t="str">
        <f ca="1">IF(OR(INDEX($AG$2:$AG$1001,MATCH(ROWS($AF$2:AF85),$AF$2:$AF$1001,0),1)&gt;=100000,INDEX($AM$1005:$BM$1005,1,MATCH(COLUMNS($AM$1006:BA1006),$AM$1006:$BM$1006,0))&gt;=100000), " ",IF(INDEX($AM$2:$BM$1001,MATCH(ROWS($AF$2:AF85),$AF$2:$AF$1001,0),MATCH(COLUMNS($AM$1006:BA1006),$AM$1006:$BM$1006,0)), HYPERLINK("#",""), HYPERLINK(CONCATENATE("#metadata!", ADDRESS(INDEX($AH$2:$AH$1001,MATCH(ROWS($AF$2:AF85),$AF$2:$AF$1001,0),0), INDEX($AM$1004:$BM$1004,1,MATCH(COLUMNS($AM$1006:BA1006),$AM$1006:$BM$1006,0)))),"Fix")))</f>
        <v xml:space="preserve"> </v>
      </c>
      <c r="Q85" s="4" t="str">
        <f ca="1">IF(OR(INDEX($AG$2:$AG$1001,MATCH(ROWS($AF$2:AF85),$AF$2:$AF$1001,0),1)&gt;=100000,INDEX($AM$1005:$BM$1005,1,MATCH(COLUMNS($AM$1006:BB1006),$AM$1006:$BM$1006,0))&gt;=100000), " ",IF(INDEX($AM$2:$BM$1001,MATCH(ROWS($AF$2:AF85),$AF$2:$AF$1001,0),MATCH(COLUMNS($AM$1006:BB1006),$AM$1006:$BM$1006,0)), HYPERLINK("#",""), HYPERLINK(CONCATENATE("#metadata!", ADDRESS(INDEX($AH$2:$AH$1001,MATCH(ROWS($AF$2:AF85),$AF$2:$AF$1001,0),0), INDEX($AM$1004:$BM$1004,1,MATCH(COLUMNS($AM$1006:BB1006),$AM$1006:$BM$1006,0)))),"Fix")))</f>
        <v xml:space="preserve"> </v>
      </c>
      <c r="R85" s="4" t="str">
        <f ca="1">IF(OR(INDEX($AG$2:$AG$1001,MATCH(ROWS($AF$2:AF85),$AF$2:$AF$1001,0),1)&gt;=100000,INDEX($AM$1005:$BM$1005,1,MATCH(COLUMNS($AM$1006:BC1006),$AM$1006:$BM$1006,0))&gt;=100000), " ",IF(INDEX($AM$2:$BM$1001,MATCH(ROWS($AF$2:AF85),$AF$2:$AF$1001,0),MATCH(COLUMNS($AM$1006:BC1006),$AM$1006:$BM$1006,0)), HYPERLINK("#",""), HYPERLINK(CONCATENATE("#metadata!", ADDRESS(INDEX($AH$2:$AH$1001,MATCH(ROWS($AF$2:AF85),$AF$2:$AF$1001,0),0), INDEX($AM$1004:$BM$1004,1,MATCH(COLUMNS($AM$1006:BC1006),$AM$1006:$BM$1006,0)))),"Fix")))</f>
        <v xml:space="preserve"> </v>
      </c>
      <c r="S85" s="4" t="str">
        <f ca="1">IF(OR(INDEX($AG$2:$AG$1001,MATCH(ROWS($AF$2:AF85),$AF$2:$AF$1001,0),1)&gt;=100000,INDEX($AM$1005:$BM$1005,1,MATCH(COLUMNS($AM$1006:BD1006),$AM$1006:$BM$1006,0))&gt;=100000), " ",IF(INDEX($AM$2:$BM$1001,MATCH(ROWS($AF$2:AF85),$AF$2:$AF$1001,0),MATCH(COLUMNS($AM$1006:BD1006),$AM$1006:$BM$1006,0)), HYPERLINK("#",""), HYPERLINK(CONCATENATE("#metadata!", ADDRESS(INDEX($AH$2:$AH$1001,MATCH(ROWS($AF$2:AF85),$AF$2:$AF$1001,0),0), INDEX($AM$1004:$BM$1004,1,MATCH(COLUMNS($AM$1006:BD1006),$AM$1006:$BM$1006,0)))),"Fix")))</f>
        <v xml:space="preserve"> </v>
      </c>
      <c r="T85" s="4" t="str">
        <f ca="1">IF(OR(INDEX($AG$2:$AG$1001,MATCH(ROWS($AF$2:AF85),$AF$2:$AF$1001,0),1)&gt;=100000,INDEX($AM$1005:$BM$1005,1,MATCH(COLUMNS($AM$1006:BE1006),$AM$1006:$BM$1006,0))&gt;=100000), " ",IF(INDEX($AM$2:$BM$1001,MATCH(ROWS($AF$2:AF85),$AF$2:$AF$1001,0),MATCH(COLUMNS($AM$1006:BE1006),$AM$1006:$BM$1006,0)), HYPERLINK("#",""), HYPERLINK(CONCATENATE("#metadata!", ADDRESS(INDEX($AH$2:$AH$1001,MATCH(ROWS($AF$2:AF85),$AF$2:$AF$1001,0),0), INDEX($AM$1004:$BM$1004,1,MATCH(COLUMNS($AM$1006:BE1006),$AM$1006:$BM$1006,0)))),"Fix")))</f>
        <v xml:space="preserve"> </v>
      </c>
      <c r="U85" s="4" t="str">
        <f ca="1">IF(OR(INDEX($AG$2:$AG$1001,MATCH(ROWS($AF$2:AF85),$AF$2:$AF$1001,0),1)&gt;=100000,INDEX($AM$1005:$BM$1005,1,MATCH(COLUMNS($AM$1006:BF1006),$AM$1006:$BM$1006,0))&gt;=100000), " ",IF(INDEX($AM$2:$BM$1001,MATCH(ROWS($AF$2:AF85),$AF$2:$AF$1001,0),MATCH(COLUMNS($AM$1006:BF1006),$AM$1006:$BM$1006,0)), HYPERLINK("#",""), HYPERLINK(CONCATENATE("#metadata!", ADDRESS(INDEX($AH$2:$AH$1001,MATCH(ROWS($AF$2:AF85),$AF$2:$AF$1001,0),0), INDEX($AM$1004:$BM$1004,1,MATCH(COLUMNS($AM$1006:BF1006),$AM$1006:$BM$1006,0)))),"Fix")))</f>
        <v xml:space="preserve"> </v>
      </c>
      <c r="V85" s="4" t="str">
        <f ca="1">IF(OR(INDEX($AG$2:$AG$1001,MATCH(ROWS($AF$2:AF85),$AF$2:$AF$1001,0),1)&gt;=100000,INDEX($AM$1005:$BM$1005,1,MATCH(COLUMNS($AM$1006:BG1006),$AM$1006:$BM$1006,0))&gt;=100000), " ",IF(INDEX($AM$2:$BM$1001,MATCH(ROWS($AF$2:AF85),$AF$2:$AF$1001,0),MATCH(COLUMNS($AM$1006:BG1006),$AM$1006:$BM$1006,0)), HYPERLINK("#",""), HYPERLINK(CONCATENATE("#metadata!", ADDRESS(INDEX($AH$2:$AH$1001,MATCH(ROWS($AF$2:AF85),$AF$2:$AF$1001,0),0), INDEX($AM$1004:$BM$1004,1,MATCH(COLUMNS($AM$1006:BG1006),$AM$1006:$BM$1006,0)))),"Fix")))</f>
        <v xml:space="preserve"> </v>
      </c>
      <c r="W85" s="4" t="str">
        <f ca="1">IF(OR(INDEX($AG$2:$AG$1001,MATCH(ROWS($AF$2:AF85),$AF$2:$AF$1001,0),1)&gt;=100000,INDEX($AM$1005:$BM$1005,1,MATCH(COLUMNS($AM$1006:BH1006),$AM$1006:$BM$1006,0))&gt;=100000), " ",IF(INDEX($AM$2:$BM$1001,MATCH(ROWS($AF$2:AF85),$AF$2:$AF$1001,0),MATCH(COLUMNS($AM$1006:BH1006),$AM$1006:$BM$1006,0)), HYPERLINK("#",""), HYPERLINK(CONCATENATE("#metadata!", ADDRESS(INDEX($AH$2:$AH$1001,MATCH(ROWS($AF$2:AF85),$AF$2:$AF$1001,0),0), INDEX($AM$1004:$BM$1004,1,MATCH(COLUMNS($AM$1006:BH1006),$AM$1006:$BM$1006,0)))),"Fix")))</f>
        <v xml:space="preserve"> </v>
      </c>
      <c r="X85" s="4" t="str">
        <f ca="1">IF(OR(INDEX($AG$2:$AG$1001,MATCH(ROWS($AF$2:AF85),$AF$2:$AF$1001,0),1)&gt;=100000,INDEX($AM$1005:$BM$1005,1,MATCH(COLUMNS($AM$1006:BI1006),$AM$1006:$BM$1006,0))&gt;=100000), " ",IF(INDEX($AM$2:$BM$1001,MATCH(ROWS($AF$2:AF85),$AF$2:$AF$1001,0),MATCH(COLUMNS($AM$1006:BI1006),$AM$1006:$BM$1006,0)), HYPERLINK("#",""), HYPERLINK(CONCATENATE("#metadata!", ADDRESS(INDEX($AH$2:$AH$1001,MATCH(ROWS($AF$2:AF85),$AF$2:$AF$1001,0),0), INDEX($AM$1004:$BM$1004,1,MATCH(COLUMNS($AM$1006:BI1006),$AM$1006:$BM$1006,0)))),"Fix")))</f>
        <v xml:space="preserve"> </v>
      </c>
      <c r="Y85" s="4" t="str">
        <f ca="1">IF(OR(INDEX($AG$2:$AG$1001,MATCH(ROWS($AF$2:AF85),$AF$2:$AF$1001,0),1)&gt;=100000,INDEX($AM$1005:$BM$1005,1,MATCH(COLUMNS($AM$1006:BJ1006),$AM$1006:$BM$1006,0))&gt;=100000), " ",IF(INDEX($AM$2:$BM$1001,MATCH(ROWS($AF$2:AF85),$AF$2:$AF$1001,0),MATCH(COLUMNS($AM$1006:BJ1006),$AM$1006:$BM$1006,0)), HYPERLINK("#",""), HYPERLINK(CONCATENATE("#metadata!", ADDRESS(INDEX($AH$2:$AH$1001,MATCH(ROWS($AF$2:AF85),$AF$2:$AF$1001,0),0), INDEX($AM$1004:$BM$1004,1,MATCH(COLUMNS($AM$1006:BJ1006),$AM$1006:$BM$1006,0)))),"Fix")))</f>
        <v xml:space="preserve"> </v>
      </c>
      <c r="Z85" s="4" t="str">
        <f ca="1">IF(OR(INDEX($AG$2:$AG$1001,MATCH(ROWS($AF$2:AF85),$AF$2:$AF$1001,0),1)&gt;=100000,INDEX($AM$1005:$BM$1005,1,MATCH(COLUMNS($AM$1006:BK1006),$AM$1006:$BM$1006,0))&gt;=100000), " ",IF(INDEX($AM$2:$BM$1001,MATCH(ROWS($AF$2:AF85),$AF$2:$AF$1001,0),MATCH(COLUMNS($AM$1006:BK1006),$AM$1006:$BM$1006,0)), HYPERLINK("#",""), HYPERLINK(CONCATENATE("#metadata!", ADDRESS(INDEX($AH$2:$AH$1001,MATCH(ROWS($AF$2:AF85),$AF$2:$AF$1001,0),0), INDEX($AM$1004:$BM$1004,1,MATCH(COLUMNS($AM$1006:BK1006),$AM$1006:$BM$1006,0)))),"Fix")))</f>
        <v xml:space="preserve"> </v>
      </c>
      <c r="AA85" s="4" t="str">
        <f ca="1">IF(OR(INDEX($AG$2:$AG$1001,MATCH(ROWS($AF$2:AF85),$AF$2:$AF$1001,0),1)&gt;=100000,INDEX($AM$1005:$BM$1005,1,MATCH(COLUMNS($AM$1006:BL1006),$AM$1006:$BM$1006,0))&gt;=100000), " ",IF(INDEX($AM$2:$BM$1001,MATCH(ROWS($AF$2:AF85),$AF$2:$AF$1001,0),MATCH(COLUMNS($AM$1006:BL1006),$AM$1006:$BM$1006,0)), HYPERLINK("#",""), HYPERLINK(CONCATENATE("#metadata!", ADDRESS(INDEX($AH$2:$AH$1001,MATCH(ROWS($AF$2:AF85),$AF$2:$AF$1001,0),0), INDEX($AM$1004:$BM$1004,1,MATCH(COLUMNS($AM$1006:BL1006),$AM$1006:$BM$1006,0)))),"Fix")))</f>
        <v xml:space="preserve"> </v>
      </c>
      <c r="AB85" s="4" t="str">
        <f ca="1">IF(OR(INDEX($AG$2:$AG$1001,MATCH(ROWS($AF$2:AF85),$AF$2:$AF$1001,0),1)&gt;=100000,INDEX($AM$1005:$BM$1005,1,MATCH(COLUMNS($AM$1006:BM1006),$AM$1006:$BM$1006,0))&gt;=100000), " ",IF(INDEX($AM$2:$BM$1001,MATCH(ROWS($AF$2:AF85),$AF$2:$AF$1001,0),MATCH(COLUMNS($AM$1006:BM1006),$AM$1006:$BM$1006,0)), HYPERLINK("#",""), HYPERLINK(CONCATENATE("#metadata!", ADDRESS(INDEX($AH$2:$AH$1001,MATCH(ROWS($AF$2:AF85),$AF$2:$AF$1001,0),0), INDEX($AM$1004:$BM$1004,1,MATCH(COLUMNS($AM$1006:BM1006),$AM$1006:$BM$1006,0)))),"Fix")))</f>
        <v xml:space="preserve"> </v>
      </c>
      <c r="AF85">
        <v>84</v>
      </c>
      <c r="AG85">
        <v>100085</v>
      </c>
      <c r="AH85">
        <v>85</v>
      </c>
      <c r="AI85" t="b">
        <f t="shared" si="1"/>
        <v>1</v>
      </c>
      <c r="AJ85" t="b">
        <f>COUNTBLANK(metadata!B85:AB85)=COLUMNS(metadata!B85:AB85)</f>
        <v>1</v>
      </c>
      <c r="AK85" t="str">
        <v/>
      </c>
      <c r="AM85" t="b">
        <f ca="1">AND(IF(metadata!B85="",FALSE,TRUE),COUNTIF(metadata!B:B, metadata!B85) = 1,NOT(ISERROR(SUMPRODUCT(SEARCH(MID(metadata!B85,ROW(INDIRECT("1:"&amp;LEN(metadata!B85))), 1),"0123456789abcdefghijklmnopqrstuvwxyzABCDEFGHIJKLMNOPQRSTUVWXYZ.")))))</f>
        <v>0</v>
      </c>
      <c r="AN85" t="b">
        <f ca="1">OR(AND(IF(metadata!C85="",FALSE,TRUE),OR(EXACT(metadata!C85,"missing: not collected"),EXACT(metadata!C85,"missing: not provided"),EXACT(metadata!C85,"missing: restricted access"))),AND(IF(metadata!C85="",FALSE,TRUE),AND(AND(IFERROR(INT(LEFT(metadata!C85,4))&gt;1900,FALSE),IFERROR(INT(LEFT(metadata!C85,4))&lt;=YEAR(NOW()),FALSE)), OR(MID(metadata!C85,5,1)="", AND(AND(MID(metadata!C85,5,1)="-",IFERROR(INT(MID(metadata!C85,6,1))&gt;=0,FALSE),IFERROR(INT(MID(metadata!C85,6,1))&lt;=1,FALSE),NOT(MID(metadata!C85,7,1)=""),IFERROR(INT(MID(metadata!C85,6,2))&gt;=1,FALSE),IFERROR(INT(MID(metadata!C85,6,2))&lt;=12,FALSE)), OR(MID(metadata!C85,8,1)="", AND(AND(MID(metadata!C85,8,1)="-",IFERROR(INT(MID(metadata!C85,9,1))&gt;=0,FALSE),IFERROR(INT(MID(metadata!C85,9,1))&lt;=3,FALSE),NOT(MID(metadata!C85,10,1)=""),IFERROR(INT(MID(metadata!C85,9,2))&gt;=1,FALSE),IFERROR(INT(MID(metadata!C85,9,2))&lt;=31,FALSE)), OR(MID(metadata!C85,11,1)="", AND(AND(MID(metadata!C85,11,1)=" ",IFERROR(INT(MID(metadata!C85,12,1))&gt;=0,FALSE),IFERROR(INT(MID(metadata!C85,12,1))&lt;=2,FALSE),NOT(MID(metadata!C85,13,1)=""),IFERROR(INT(MID(metadata!C85,12,2))&gt;=0,FALSE),IFERROR(INT(MID(metadata!C85,12,2))&lt;=23,FALSE)), OR(MID(metadata!C85,14,1)="", AND(AND(MID(metadata!C85,14,1)=":",IFERROR(INT(MID(metadata!C85,15,1))&gt;=0,FALSE),IFERROR(INT(MID(metadata!C85,15,1))&lt;=5,FALSE),NOT(MID(metadata!C85,16,1)=""),IFERROR(INT(MID(metadata!C85,15,2))&gt;=0,FALSE),IFERROR(INT(MID(metadata!C85,15,2))&lt;=59,FALSE)), OR(MID(metadata!C85,17,1)="", AND(AND(MID(metadata!C85,17,1)=":",IFERROR(INT(MID(metadata!C85,18,1))&gt;=0,FALSE),IFERROR(INT(MID(metadata!C85,18,1))&lt;=5,FALSE),NOT(MID(metadata!C85,19,1)=""),IFERROR(INT(MID(metadata!C85,18,2))&gt;=0,FALSE),IFERROR(INT(MID(metadata!C85,18,2))&lt;=59,FALSE)), LEN(metadata!C85)&lt;=19)))))))))))))</f>
        <v>0</v>
      </c>
      <c r="AO85" t="b">
        <f>AND(IF(metadata!D85="",FALSE,TRUE),EXACT(metadata!D85,"Not applicable"))</f>
        <v>0</v>
      </c>
      <c r="AP85" t="b">
        <f>IF(metadata!E85="",FALSE,TRUE)</f>
        <v>0</v>
      </c>
      <c r="AQ85" t="b">
        <f>OR(AND(IF(metadata!F85="",FALSE,TRUE),OR(EXACT(metadata!F85,"missing: not collected"),EXACT(metadata!F85,"missing: not provided"))),AND(IF(metadata!F85="",FALSE,TRUE),OR(EXACT(metadata!F85,"TRUE"),EXACT(metadata!F85,"FALSE"))))</f>
        <v>0</v>
      </c>
      <c r="AR85" t="b">
        <f>OR(AND(IF(metadata!G85="",FALSE,TRUE),OR(EXACT(metadata!G85,"missing: not collected"),EXACT(metadata!G85,"missing: not provided"),EXACT(metadata!G85,"missing: restricted access"))),AND(IF(metadata!G85="",FALSE,ISNUMBER(VALUE(metadata!G85))),metadata!G85&gt;=-413))</f>
        <v>0</v>
      </c>
      <c r="AS85" t="b">
        <f>AND(IF(metadata!H85="",FALSE,TRUE),EXACT(metadata!H85,"meters"))</f>
        <v>0</v>
      </c>
      <c r="AT85" t="b">
        <f>AND(IF(metadata!I85="",FALSE,TRUE),OR(EXACT(metadata!I85,"Host-associated"),EXACT(metadata!I85,"Free-living")))</f>
        <v>0</v>
      </c>
      <c r="AU85" t="b">
        <f>AND(IF(metadata!J85="",FALSE,TRUE),OR(EXACT(metadata!J85,"Animal"),EXACT(metadata!J85,"Fungus"),EXACT(metadata!J85,"Plant"),EXACT(metadata!J85,"Saline"),EXACT(metadata!J85,"Non-saline")))</f>
        <v>0</v>
      </c>
      <c r="AV85" t="b">
        <f>AND(IF(metadata!K85="",FALSE,TRUE),OR(EXACT(metadata!K85,"Plant secretion"),EXACT(metadata!K85,"Plant rhizosphere"),EXACT(metadata!K85,"Plant surface"),EXACT(metadata!K85,"Plant corpus"),EXACT(metadata!K85,"Fungus surface"),EXACT(metadata!K85,"Fungus corpus"),EXACT(metadata!K85,"Animal surface"),EXACT(metadata!K85,"Animal proximal gut"),EXACT(metadata!K85,"Animal corpus"),EXACT(metadata!K85,"Animal distal gut"),EXACT(metadata!K85,"Animal secretion"),EXACT(metadata!K85,"Sub-surface (non-saline)"),EXACT(metadata!K85,"Surface (non-saline)"),EXACT(metadata!K85,"Water (non-saline)"),EXACT(metadata!K85,"Soil (non-saline)"),EXACT(metadata!K85,"Aerosol (non-saline)"),EXACT(metadata!K85,"Sediment (non-saline)"),EXACT(metadata!K85,"Surface (saline)"),EXACT(metadata!K85,"Water (saline)"),EXACT(metadata!K85,"Hypersaline (saline)"),EXACT(metadata!K85,"Aerosol (saline)"),EXACT(metadata!K85,"Sediment (saline)")))</f>
        <v>0</v>
      </c>
      <c r="AW85" t="b">
        <f>IF(metadata!L85="",FALSE,TRUE)</f>
        <v>0</v>
      </c>
      <c r="AX85" t="b">
        <f>IF(metadata!M85="",FALSE,TRUE)</f>
        <v>0</v>
      </c>
      <c r="AY85" t="b">
        <f>IF(metadata!N85="",FALSE,TRUE)</f>
        <v>0</v>
      </c>
      <c r="AZ85" t="b">
        <f>OR(AND(IF(metadata!O85="",FALSE,TRUE),OR(EXACT(metadata!O85,"missing: not collected"),EXACT(metadata!O85,"missing: not provided"),EXACT(metadata!O85,"missing: restricted access"))),AND(IF(metadata!O85="",FALSE,TRUE),OR(EXACT(metadata!O85,"air"),EXACT(metadata!O85,"built environment"),EXACT(metadata!O85,"host-associated"),EXACT(metadata!O85,"human-associated"),EXACT(metadata!O85,"human-skin"),EXACT(metadata!O85,"human-oral"),EXACT(metadata!O85,"human-gut"),EXACT(metadata!O85,"human-vaginal"),EXACT(metadata!O85,"microbial mat/biofilm"),EXACT(metadata!O85,"misc environment"),EXACT(metadata!O85,"plant-associated"),EXACT(metadata!O85,"sediment"),EXACT(metadata!O85,"soil"),EXACT(metadata!O85,"wastewater/sludge"),EXACT(metadata!O85,"water"))))</f>
        <v>0</v>
      </c>
      <c r="BA85" t="b">
        <f>IF(metadata!P85="",FALSE,TRUE)</f>
        <v>0</v>
      </c>
      <c r="BB85" t="b">
        <f>IF(metadata!Q85="",FALSE,TRUE)</f>
        <v>0</v>
      </c>
      <c r="BC85" t="b">
        <f>OR(AND(IF(metadata!R85="",FALSE,TRUE),OR(EXACT(metadata!R85,"missing: not collected"),EXACT(metadata!R85,"missing: not provided"),EXACT(metadata!R85,"missing: restricted access"))),AND(IF(metadata!R85="",FALSE,ISNUMBER(VALUE(metadata!R85))),metadata!R85&gt;=-90,metadata!R85&lt;=90))</f>
        <v>0</v>
      </c>
      <c r="BD85" t="b">
        <f>AND(IF(metadata!S85="",FALSE,TRUE),EXACT(metadata!S85,"Decimal degrees"))</f>
        <v>0</v>
      </c>
      <c r="BE85" t="b">
        <f>OR(AND(IF(metadata!T85="",FALSE,TRUE),OR(EXACT(metadata!T85,"missing: not collected"),EXACT(metadata!T85,"missing: not provided"),EXACT(metadata!T85,"missing: restricted access"))),AND(IF(metadata!T85="",FALSE,ISNUMBER(VALUE(metadata!T85))),metadata!T85&gt;=-180,metadata!T85&lt;=180))</f>
        <v>0</v>
      </c>
      <c r="BF85" t="b">
        <f>AND(IF(metadata!U85="",FALSE,TRUE),EXACT(metadata!U85,"Decimal degrees"))</f>
        <v>0</v>
      </c>
      <c r="BG85" t="b">
        <f>IF(metadata!V85="",FALSE,TRUE)</f>
        <v>0</v>
      </c>
      <c r="BH85" t="b">
        <f>OR(AND(IF(metadata!W85="",FALSE,TRUE),OR(EXACT(metadata!W85,"missing: not collected"),EXACT(metadata!W85,"missing: not provided"),EXACT(metadata!W85,"missing: restricted access"))),AND(IF(metadata!W85="",FALSE,TRUE),OR(EXACT(metadata!W85,"TRUE"),EXACT(metadata!W85,"FALSE"))))</f>
        <v>0</v>
      </c>
      <c r="BI85" t="b">
        <f>AND(IF(metadata!X85="",FALSE,TRUE),EXACT(metadata!X85,"other"))</f>
        <v>0</v>
      </c>
      <c r="BJ85" t="b">
        <f>IF(metadata!Y85="",FALSE,TRUE)</f>
        <v>0</v>
      </c>
      <c r="BK85" t="b">
        <f>OR(AND(IF(metadata!Z85="",FALSE,TRUE),OR(EXACT(metadata!Z85,"missing: not collected"),EXACT(metadata!Z85,"missing: not provided"))),AND(IF(metadata!Z85="",FALSE,IF(ISERROR(INT(metadata!Z85)),FALSE,INT(metadata!Z85)=metadata!Z85)),metadata!Z85&gt;0))</f>
        <v>0</v>
      </c>
      <c r="BL85" t="b">
        <f>AND(IF(metadata!AA85="",FALSE,TRUE),EXACT(metadata!AA85,"Not applicable"))</f>
        <v>0</v>
      </c>
      <c r="BM85" t="b">
        <f>IF(metadata!AB85="",FALSE,TRUE)</f>
        <v>0</v>
      </c>
    </row>
    <row r="86" spans="1:65" x14ac:dyDescent="0.2">
      <c r="A86" s="5" t="str">
        <f ca="1">IF(B86=" "," ",HYPERLINK(CONCATENATE("#metadata!",ADDRESS(INDEX($AH$2:$AH$1001,MATCH(ROWS($AF$2:AF86),$AF$2:$AF$1001,0),0),1)),INDEX($AK$2:$AK$1001,MATCH(ROWS($AF$2:AF86),$AF$2:$AF$1001,0),0)))</f>
        <v xml:space="preserve"> </v>
      </c>
      <c r="B86" s="4" t="str">
        <f ca="1">IF(OR(INDEX($AG$2:$AG$1001,MATCH(ROWS($AF$2:AF86),$AF$2:$AF$1001,0),1)&gt;=100000,INDEX($AM$1005:$BM$1005,1,MATCH(COLUMNS($AM$1006:AM1006),$AM$1006:$BM$1006,0))&gt;=100000), " ",IF(INDEX($AM$2:$BM$1001,MATCH(ROWS($AF$2:AF86),$AF$2:$AF$1001,0),MATCH(COLUMNS($AM$1006:AM1006),$AM$1006:$BM$1006,0)), HYPERLINK("#",""), HYPERLINK(CONCATENATE("#metadata!", ADDRESS(INDEX($AH$2:$AH$1001,MATCH(ROWS($AF$2:AF86),$AF$2:$AF$1001,0),0), INDEX($AM$1004:$BM$1004,1,MATCH(COLUMNS($AM$1006:AM1006),$AM$1006:$BM$1006,0)))),"Fix")))</f>
        <v xml:space="preserve"> </v>
      </c>
      <c r="C86" s="4" t="str">
        <f ca="1">IF(OR(INDEX($AG$2:$AG$1001,MATCH(ROWS($AF$2:AF86),$AF$2:$AF$1001,0),1)&gt;=100000,INDEX($AM$1005:$BM$1005,1,MATCH(COLUMNS($AM$1006:AN1006),$AM$1006:$BM$1006,0))&gt;=100000), " ",IF(INDEX($AM$2:$BM$1001,MATCH(ROWS($AF$2:AF86),$AF$2:$AF$1001,0),MATCH(COLUMNS($AM$1006:AN1006),$AM$1006:$BM$1006,0)), HYPERLINK("#",""), HYPERLINK(CONCATENATE("#metadata!", ADDRESS(INDEX($AH$2:$AH$1001,MATCH(ROWS($AF$2:AF86),$AF$2:$AF$1001,0),0), INDEX($AM$1004:$BM$1004,1,MATCH(COLUMNS($AM$1006:AN1006),$AM$1006:$BM$1006,0)))),"Fix")))</f>
        <v xml:space="preserve"> </v>
      </c>
      <c r="D86" s="4" t="str">
        <f ca="1">IF(OR(INDEX($AG$2:$AG$1001,MATCH(ROWS($AF$2:AF86),$AF$2:$AF$1001,0),1)&gt;=100000,INDEX($AM$1005:$BM$1005,1,MATCH(COLUMNS($AM$1006:AO1006),$AM$1006:$BM$1006,0))&gt;=100000), " ",IF(INDEX($AM$2:$BM$1001,MATCH(ROWS($AF$2:AF86),$AF$2:$AF$1001,0),MATCH(COLUMNS($AM$1006:AO1006),$AM$1006:$BM$1006,0)), HYPERLINK("#",""), HYPERLINK(CONCATENATE("#metadata!", ADDRESS(INDEX($AH$2:$AH$1001,MATCH(ROWS($AF$2:AF86),$AF$2:$AF$1001,0),0), INDEX($AM$1004:$BM$1004,1,MATCH(COLUMNS($AM$1006:AO1006),$AM$1006:$BM$1006,0)))),"Fix")))</f>
        <v xml:space="preserve"> </v>
      </c>
      <c r="E86" s="4" t="str">
        <f ca="1">IF(OR(INDEX($AG$2:$AG$1001,MATCH(ROWS($AF$2:AF86),$AF$2:$AF$1001,0),1)&gt;=100000,INDEX($AM$1005:$BM$1005,1,MATCH(COLUMNS($AM$1006:AP1006),$AM$1006:$BM$1006,0))&gt;=100000), " ",IF(INDEX($AM$2:$BM$1001,MATCH(ROWS($AF$2:AF86),$AF$2:$AF$1001,0),MATCH(COLUMNS($AM$1006:AP1006),$AM$1006:$BM$1006,0)), HYPERLINK("#",""), HYPERLINK(CONCATENATE("#metadata!", ADDRESS(INDEX($AH$2:$AH$1001,MATCH(ROWS($AF$2:AF86),$AF$2:$AF$1001,0),0), INDEX($AM$1004:$BM$1004,1,MATCH(COLUMNS($AM$1006:AP1006),$AM$1006:$BM$1006,0)))),"Fix")))</f>
        <v xml:space="preserve"> </v>
      </c>
      <c r="F86" s="4" t="str">
        <f ca="1">IF(OR(INDEX($AG$2:$AG$1001,MATCH(ROWS($AF$2:AF86),$AF$2:$AF$1001,0),1)&gt;=100000,INDEX($AM$1005:$BM$1005,1,MATCH(COLUMNS($AM$1006:AQ1006),$AM$1006:$BM$1006,0))&gt;=100000), " ",IF(INDEX($AM$2:$BM$1001,MATCH(ROWS($AF$2:AF86),$AF$2:$AF$1001,0),MATCH(COLUMNS($AM$1006:AQ1006),$AM$1006:$BM$1006,0)), HYPERLINK("#",""), HYPERLINK(CONCATENATE("#metadata!", ADDRESS(INDEX($AH$2:$AH$1001,MATCH(ROWS($AF$2:AF86),$AF$2:$AF$1001,0),0), INDEX($AM$1004:$BM$1004,1,MATCH(COLUMNS($AM$1006:AQ1006),$AM$1006:$BM$1006,0)))),"Fix")))</f>
        <v xml:space="preserve"> </v>
      </c>
      <c r="G86" s="4" t="str">
        <f ca="1">IF(OR(INDEX($AG$2:$AG$1001,MATCH(ROWS($AF$2:AF86),$AF$2:$AF$1001,0),1)&gt;=100000,INDEX($AM$1005:$BM$1005,1,MATCH(COLUMNS($AM$1006:AR1006),$AM$1006:$BM$1006,0))&gt;=100000), " ",IF(INDEX($AM$2:$BM$1001,MATCH(ROWS($AF$2:AF86),$AF$2:$AF$1001,0),MATCH(COLUMNS($AM$1006:AR1006),$AM$1006:$BM$1006,0)), HYPERLINK("#",""), HYPERLINK(CONCATENATE("#metadata!", ADDRESS(INDEX($AH$2:$AH$1001,MATCH(ROWS($AF$2:AF86),$AF$2:$AF$1001,0),0), INDEX($AM$1004:$BM$1004,1,MATCH(COLUMNS($AM$1006:AR1006),$AM$1006:$BM$1006,0)))),"Fix")))</f>
        <v xml:space="preserve"> </v>
      </c>
      <c r="H86" s="4" t="str">
        <f ca="1">IF(OR(INDEX($AG$2:$AG$1001,MATCH(ROWS($AF$2:AF86),$AF$2:$AF$1001,0),1)&gt;=100000,INDEX($AM$1005:$BM$1005,1,MATCH(COLUMNS($AM$1006:AS1006),$AM$1006:$BM$1006,0))&gt;=100000), " ",IF(INDEX($AM$2:$BM$1001,MATCH(ROWS($AF$2:AF86),$AF$2:$AF$1001,0),MATCH(COLUMNS($AM$1006:AS1006),$AM$1006:$BM$1006,0)), HYPERLINK("#",""), HYPERLINK(CONCATENATE("#metadata!", ADDRESS(INDEX($AH$2:$AH$1001,MATCH(ROWS($AF$2:AF86),$AF$2:$AF$1001,0),0), INDEX($AM$1004:$BM$1004,1,MATCH(COLUMNS($AM$1006:AS1006),$AM$1006:$BM$1006,0)))),"Fix")))</f>
        <v xml:space="preserve"> </v>
      </c>
      <c r="I86" s="4" t="str">
        <f ca="1">IF(OR(INDEX($AG$2:$AG$1001,MATCH(ROWS($AF$2:AF86),$AF$2:$AF$1001,0),1)&gt;=100000,INDEX($AM$1005:$BM$1005,1,MATCH(COLUMNS($AM$1006:AT1006),$AM$1006:$BM$1006,0))&gt;=100000), " ",IF(INDEX($AM$2:$BM$1001,MATCH(ROWS($AF$2:AF86),$AF$2:$AF$1001,0),MATCH(COLUMNS($AM$1006:AT1006),$AM$1006:$BM$1006,0)), HYPERLINK("#",""), HYPERLINK(CONCATENATE("#metadata!", ADDRESS(INDEX($AH$2:$AH$1001,MATCH(ROWS($AF$2:AF86),$AF$2:$AF$1001,0),0), INDEX($AM$1004:$BM$1004,1,MATCH(COLUMNS($AM$1006:AT1006),$AM$1006:$BM$1006,0)))),"Fix")))</f>
        <v xml:space="preserve"> </v>
      </c>
      <c r="J86" s="4" t="str">
        <f ca="1">IF(OR(INDEX($AG$2:$AG$1001,MATCH(ROWS($AF$2:AF86),$AF$2:$AF$1001,0),1)&gt;=100000,INDEX($AM$1005:$BM$1005,1,MATCH(COLUMNS($AM$1006:AU1006),$AM$1006:$BM$1006,0))&gt;=100000), " ",IF(INDEX($AM$2:$BM$1001,MATCH(ROWS($AF$2:AF86),$AF$2:$AF$1001,0),MATCH(COLUMNS($AM$1006:AU1006),$AM$1006:$BM$1006,0)), HYPERLINK("#",""), HYPERLINK(CONCATENATE("#metadata!", ADDRESS(INDEX($AH$2:$AH$1001,MATCH(ROWS($AF$2:AF86),$AF$2:$AF$1001,0),0), INDEX($AM$1004:$BM$1004,1,MATCH(COLUMNS($AM$1006:AU1006),$AM$1006:$BM$1006,0)))),"Fix")))</f>
        <v xml:space="preserve"> </v>
      </c>
      <c r="K86" s="4" t="str">
        <f ca="1">IF(OR(INDEX($AG$2:$AG$1001,MATCH(ROWS($AF$2:AF86),$AF$2:$AF$1001,0),1)&gt;=100000,INDEX($AM$1005:$BM$1005,1,MATCH(COLUMNS($AM$1006:AV1006),$AM$1006:$BM$1006,0))&gt;=100000), " ",IF(INDEX($AM$2:$BM$1001,MATCH(ROWS($AF$2:AF86),$AF$2:$AF$1001,0),MATCH(COLUMNS($AM$1006:AV1006),$AM$1006:$BM$1006,0)), HYPERLINK("#",""), HYPERLINK(CONCATENATE("#metadata!", ADDRESS(INDEX($AH$2:$AH$1001,MATCH(ROWS($AF$2:AF86),$AF$2:$AF$1001,0),0), INDEX($AM$1004:$BM$1004,1,MATCH(COLUMNS($AM$1006:AV1006),$AM$1006:$BM$1006,0)))),"Fix")))</f>
        <v xml:space="preserve"> </v>
      </c>
      <c r="L86" s="4" t="str">
        <f ca="1">IF(OR(INDEX($AG$2:$AG$1001,MATCH(ROWS($AF$2:AF86),$AF$2:$AF$1001,0),1)&gt;=100000,INDEX($AM$1005:$BM$1005,1,MATCH(COLUMNS($AM$1006:AW1006),$AM$1006:$BM$1006,0))&gt;=100000), " ",IF(INDEX($AM$2:$BM$1001,MATCH(ROWS($AF$2:AF86),$AF$2:$AF$1001,0),MATCH(COLUMNS($AM$1006:AW1006),$AM$1006:$BM$1006,0)), HYPERLINK("#",""), HYPERLINK(CONCATENATE("#metadata!", ADDRESS(INDEX($AH$2:$AH$1001,MATCH(ROWS($AF$2:AF86),$AF$2:$AF$1001,0),0), INDEX($AM$1004:$BM$1004,1,MATCH(COLUMNS($AM$1006:AW1006),$AM$1006:$BM$1006,0)))),"Fix")))</f>
        <v xml:space="preserve"> </v>
      </c>
      <c r="M86" s="4" t="str">
        <f ca="1">IF(OR(INDEX($AG$2:$AG$1001,MATCH(ROWS($AF$2:AF86),$AF$2:$AF$1001,0),1)&gt;=100000,INDEX($AM$1005:$BM$1005,1,MATCH(COLUMNS($AM$1006:AX1006),$AM$1006:$BM$1006,0))&gt;=100000), " ",IF(INDEX($AM$2:$BM$1001,MATCH(ROWS($AF$2:AF86),$AF$2:$AF$1001,0),MATCH(COLUMNS($AM$1006:AX1006),$AM$1006:$BM$1006,0)), HYPERLINK("#",""), HYPERLINK(CONCATENATE("#metadata!", ADDRESS(INDEX($AH$2:$AH$1001,MATCH(ROWS($AF$2:AF86),$AF$2:$AF$1001,0),0), INDEX($AM$1004:$BM$1004,1,MATCH(COLUMNS($AM$1006:AX1006),$AM$1006:$BM$1006,0)))),"Fix")))</f>
        <v xml:space="preserve"> </v>
      </c>
      <c r="N86" s="4" t="str">
        <f ca="1">IF(OR(INDEX($AG$2:$AG$1001,MATCH(ROWS($AF$2:AF86),$AF$2:$AF$1001,0),1)&gt;=100000,INDEX($AM$1005:$BM$1005,1,MATCH(COLUMNS($AM$1006:AY1006),$AM$1006:$BM$1006,0))&gt;=100000), " ",IF(INDEX($AM$2:$BM$1001,MATCH(ROWS($AF$2:AF86),$AF$2:$AF$1001,0),MATCH(COLUMNS($AM$1006:AY1006),$AM$1006:$BM$1006,0)), HYPERLINK("#",""), HYPERLINK(CONCATENATE("#metadata!", ADDRESS(INDEX($AH$2:$AH$1001,MATCH(ROWS($AF$2:AF86),$AF$2:$AF$1001,0),0), INDEX($AM$1004:$BM$1004,1,MATCH(COLUMNS($AM$1006:AY1006),$AM$1006:$BM$1006,0)))),"Fix")))</f>
        <v xml:space="preserve"> </v>
      </c>
      <c r="O86" s="4" t="str">
        <f ca="1">IF(OR(INDEX($AG$2:$AG$1001,MATCH(ROWS($AF$2:AF86),$AF$2:$AF$1001,0),1)&gt;=100000,INDEX($AM$1005:$BM$1005,1,MATCH(COLUMNS($AM$1006:AZ1006),$AM$1006:$BM$1006,0))&gt;=100000), " ",IF(INDEX($AM$2:$BM$1001,MATCH(ROWS($AF$2:AF86),$AF$2:$AF$1001,0),MATCH(COLUMNS($AM$1006:AZ1006),$AM$1006:$BM$1006,0)), HYPERLINK("#",""), HYPERLINK(CONCATENATE("#metadata!", ADDRESS(INDEX($AH$2:$AH$1001,MATCH(ROWS($AF$2:AF86),$AF$2:$AF$1001,0),0), INDEX($AM$1004:$BM$1004,1,MATCH(COLUMNS($AM$1006:AZ1006),$AM$1006:$BM$1006,0)))),"Fix")))</f>
        <v xml:space="preserve"> </v>
      </c>
      <c r="P86" s="4" t="str">
        <f ca="1">IF(OR(INDEX($AG$2:$AG$1001,MATCH(ROWS($AF$2:AF86),$AF$2:$AF$1001,0),1)&gt;=100000,INDEX($AM$1005:$BM$1005,1,MATCH(COLUMNS($AM$1006:BA1006),$AM$1006:$BM$1006,0))&gt;=100000), " ",IF(INDEX($AM$2:$BM$1001,MATCH(ROWS($AF$2:AF86),$AF$2:$AF$1001,0),MATCH(COLUMNS($AM$1006:BA1006),$AM$1006:$BM$1006,0)), HYPERLINK("#",""), HYPERLINK(CONCATENATE("#metadata!", ADDRESS(INDEX($AH$2:$AH$1001,MATCH(ROWS($AF$2:AF86),$AF$2:$AF$1001,0),0), INDEX($AM$1004:$BM$1004,1,MATCH(COLUMNS($AM$1006:BA1006),$AM$1006:$BM$1006,0)))),"Fix")))</f>
        <v xml:space="preserve"> </v>
      </c>
      <c r="Q86" s="4" t="str">
        <f ca="1">IF(OR(INDEX($AG$2:$AG$1001,MATCH(ROWS($AF$2:AF86),$AF$2:$AF$1001,0),1)&gt;=100000,INDEX($AM$1005:$BM$1005,1,MATCH(COLUMNS($AM$1006:BB1006),$AM$1006:$BM$1006,0))&gt;=100000), " ",IF(INDEX($AM$2:$BM$1001,MATCH(ROWS($AF$2:AF86),$AF$2:$AF$1001,0),MATCH(COLUMNS($AM$1006:BB1006),$AM$1006:$BM$1006,0)), HYPERLINK("#",""), HYPERLINK(CONCATENATE("#metadata!", ADDRESS(INDEX($AH$2:$AH$1001,MATCH(ROWS($AF$2:AF86),$AF$2:$AF$1001,0),0), INDEX($AM$1004:$BM$1004,1,MATCH(COLUMNS($AM$1006:BB1006),$AM$1006:$BM$1006,0)))),"Fix")))</f>
        <v xml:space="preserve"> </v>
      </c>
      <c r="R86" s="4" t="str">
        <f ca="1">IF(OR(INDEX($AG$2:$AG$1001,MATCH(ROWS($AF$2:AF86),$AF$2:$AF$1001,0),1)&gt;=100000,INDEX($AM$1005:$BM$1005,1,MATCH(COLUMNS($AM$1006:BC1006),$AM$1006:$BM$1006,0))&gt;=100000), " ",IF(INDEX($AM$2:$BM$1001,MATCH(ROWS($AF$2:AF86),$AF$2:$AF$1001,0),MATCH(COLUMNS($AM$1006:BC1006),$AM$1006:$BM$1006,0)), HYPERLINK("#",""), HYPERLINK(CONCATENATE("#metadata!", ADDRESS(INDEX($AH$2:$AH$1001,MATCH(ROWS($AF$2:AF86),$AF$2:$AF$1001,0),0), INDEX($AM$1004:$BM$1004,1,MATCH(COLUMNS($AM$1006:BC1006),$AM$1006:$BM$1006,0)))),"Fix")))</f>
        <v xml:space="preserve"> </v>
      </c>
      <c r="S86" s="4" t="str">
        <f ca="1">IF(OR(INDEX($AG$2:$AG$1001,MATCH(ROWS($AF$2:AF86),$AF$2:$AF$1001,0),1)&gt;=100000,INDEX($AM$1005:$BM$1005,1,MATCH(COLUMNS($AM$1006:BD1006),$AM$1006:$BM$1006,0))&gt;=100000), " ",IF(INDEX($AM$2:$BM$1001,MATCH(ROWS($AF$2:AF86),$AF$2:$AF$1001,0),MATCH(COLUMNS($AM$1006:BD1006),$AM$1006:$BM$1006,0)), HYPERLINK("#",""), HYPERLINK(CONCATENATE("#metadata!", ADDRESS(INDEX($AH$2:$AH$1001,MATCH(ROWS($AF$2:AF86),$AF$2:$AF$1001,0),0), INDEX($AM$1004:$BM$1004,1,MATCH(COLUMNS($AM$1006:BD1006),$AM$1006:$BM$1006,0)))),"Fix")))</f>
        <v xml:space="preserve"> </v>
      </c>
      <c r="T86" s="4" t="str">
        <f ca="1">IF(OR(INDEX($AG$2:$AG$1001,MATCH(ROWS($AF$2:AF86),$AF$2:$AF$1001,0),1)&gt;=100000,INDEX($AM$1005:$BM$1005,1,MATCH(COLUMNS($AM$1006:BE1006),$AM$1006:$BM$1006,0))&gt;=100000), " ",IF(INDEX($AM$2:$BM$1001,MATCH(ROWS($AF$2:AF86),$AF$2:$AF$1001,0),MATCH(COLUMNS($AM$1006:BE1006),$AM$1006:$BM$1006,0)), HYPERLINK("#",""), HYPERLINK(CONCATENATE("#metadata!", ADDRESS(INDEX($AH$2:$AH$1001,MATCH(ROWS($AF$2:AF86),$AF$2:$AF$1001,0),0), INDEX($AM$1004:$BM$1004,1,MATCH(COLUMNS($AM$1006:BE1006),$AM$1006:$BM$1006,0)))),"Fix")))</f>
        <v xml:space="preserve"> </v>
      </c>
      <c r="U86" s="4" t="str">
        <f ca="1">IF(OR(INDEX($AG$2:$AG$1001,MATCH(ROWS($AF$2:AF86),$AF$2:$AF$1001,0),1)&gt;=100000,INDEX($AM$1005:$BM$1005,1,MATCH(COLUMNS($AM$1006:BF1006),$AM$1006:$BM$1006,0))&gt;=100000), " ",IF(INDEX($AM$2:$BM$1001,MATCH(ROWS($AF$2:AF86),$AF$2:$AF$1001,0),MATCH(COLUMNS($AM$1006:BF1006),$AM$1006:$BM$1006,0)), HYPERLINK("#",""), HYPERLINK(CONCATENATE("#metadata!", ADDRESS(INDEX($AH$2:$AH$1001,MATCH(ROWS($AF$2:AF86),$AF$2:$AF$1001,0),0), INDEX($AM$1004:$BM$1004,1,MATCH(COLUMNS($AM$1006:BF1006),$AM$1006:$BM$1006,0)))),"Fix")))</f>
        <v xml:space="preserve"> </v>
      </c>
      <c r="V86" s="4" t="str">
        <f ca="1">IF(OR(INDEX($AG$2:$AG$1001,MATCH(ROWS($AF$2:AF86),$AF$2:$AF$1001,0),1)&gt;=100000,INDEX($AM$1005:$BM$1005,1,MATCH(COLUMNS($AM$1006:BG1006),$AM$1006:$BM$1006,0))&gt;=100000), " ",IF(INDEX($AM$2:$BM$1001,MATCH(ROWS($AF$2:AF86),$AF$2:$AF$1001,0),MATCH(COLUMNS($AM$1006:BG1006),$AM$1006:$BM$1006,0)), HYPERLINK("#",""), HYPERLINK(CONCATENATE("#metadata!", ADDRESS(INDEX($AH$2:$AH$1001,MATCH(ROWS($AF$2:AF86),$AF$2:$AF$1001,0),0), INDEX($AM$1004:$BM$1004,1,MATCH(COLUMNS($AM$1006:BG1006),$AM$1006:$BM$1006,0)))),"Fix")))</f>
        <v xml:space="preserve"> </v>
      </c>
      <c r="W86" s="4" t="str">
        <f ca="1">IF(OR(INDEX($AG$2:$AG$1001,MATCH(ROWS($AF$2:AF86),$AF$2:$AF$1001,0),1)&gt;=100000,INDEX($AM$1005:$BM$1005,1,MATCH(COLUMNS($AM$1006:BH1006),$AM$1006:$BM$1006,0))&gt;=100000), " ",IF(INDEX($AM$2:$BM$1001,MATCH(ROWS($AF$2:AF86),$AF$2:$AF$1001,0),MATCH(COLUMNS($AM$1006:BH1006),$AM$1006:$BM$1006,0)), HYPERLINK("#",""), HYPERLINK(CONCATENATE("#metadata!", ADDRESS(INDEX($AH$2:$AH$1001,MATCH(ROWS($AF$2:AF86),$AF$2:$AF$1001,0),0), INDEX($AM$1004:$BM$1004,1,MATCH(COLUMNS($AM$1006:BH1006),$AM$1006:$BM$1006,0)))),"Fix")))</f>
        <v xml:space="preserve"> </v>
      </c>
      <c r="X86" s="4" t="str">
        <f ca="1">IF(OR(INDEX($AG$2:$AG$1001,MATCH(ROWS($AF$2:AF86),$AF$2:$AF$1001,0),1)&gt;=100000,INDEX($AM$1005:$BM$1005,1,MATCH(COLUMNS($AM$1006:BI1006),$AM$1006:$BM$1006,0))&gt;=100000), " ",IF(INDEX($AM$2:$BM$1001,MATCH(ROWS($AF$2:AF86),$AF$2:$AF$1001,0),MATCH(COLUMNS($AM$1006:BI1006),$AM$1006:$BM$1006,0)), HYPERLINK("#",""), HYPERLINK(CONCATENATE("#metadata!", ADDRESS(INDEX($AH$2:$AH$1001,MATCH(ROWS($AF$2:AF86),$AF$2:$AF$1001,0),0), INDEX($AM$1004:$BM$1004,1,MATCH(COLUMNS($AM$1006:BI1006),$AM$1006:$BM$1006,0)))),"Fix")))</f>
        <v xml:space="preserve"> </v>
      </c>
      <c r="Y86" s="4" t="str">
        <f ca="1">IF(OR(INDEX($AG$2:$AG$1001,MATCH(ROWS($AF$2:AF86),$AF$2:$AF$1001,0),1)&gt;=100000,INDEX($AM$1005:$BM$1005,1,MATCH(COLUMNS($AM$1006:BJ1006),$AM$1006:$BM$1006,0))&gt;=100000), " ",IF(INDEX($AM$2:$BM$1001,MATCH(ROWS($AF$2:AF86),$AF$2:$AF$1001,0),MATCH(COLUMNS($AM$1006:BJ1006),$AM$1006:$BM$1006,0)), HYPERLINK("#",""), HYPERLINK(CONCATENATE("#metadata!", ADDRESS(INDEX($AH$2:$AH$1001,MATCH(ROWS($AF$2:AF86),$AF$2:$AF$1001,0),0), INDEX($AM$1004:$BM$1004,1,MATCH(COLUMNS($AM$1006:BJ1006),$AM$1006:$BM$1006,0)))),"Fix")))</f>
        <v xml:space="preserve"> </v>
      </c>
      <c r="Z86" s="4" t="str">
        <f ca="1">IF(OR(INDEX($AG$2:$AG$1001,MATCH(ROWS($AF$2:AF86),$AF$2:$AF$1001,0),1)&gt;=100000,INDEX($AM$1005:$BM$1005,1,MATCH(COLUMNS($AM$1006:BK1006),$AM$1006:$BM$1006,0))&gt;=100000), " ",IF(INDEX($AM$2:$BM$1001,MATCH(ROWS($AF$2:AF86),$AF$2:$AF$1001,0),MATCH(COLUMNS($AM$1006:BK1006),$AM$1006:$BM$1006,0)), HYPERLINK("#",""), HYPERLINK(CONCATENATE("#metadata!", ADDRESS(INDEX($AH$2:$AH$1001,MATCH(ROWS($AF$2:AF86),$AF$2:$AF$1001,0),0), INDEX($AM$1004:$BM$1004,1,MATCH(COLUMNS($AM$1006:BK1006),$AM$1006:$BM$1006,0)))),"Fix")))</f>
        <v xml:space="preserve"> </v>
      </c>
      <c r="AA86" s="4" t="str">
        <f ca="1">IF(OR(INDEX($AG$2:$AG$1001,MATCH(ROWS($AF$2:AF86),$AF$2:$AF$1001,0),1)&gt;=100000,INDEX($AM$1005:$BM$1005,1,MATCH(COLUMNS($AM$1006:BL1006),$AM$1006:$BM$1006,0))&gt;=100000), " ",IF(INDEX($AM$2:$BM$1001,MATCH(ROWS($AF$2:AF86),$AF$2:$AF$1001,0),MATCH(COLUMNS($AM$1006:BL1006),$AM$1006:$BM$1006,0)), HYPERLINK("#",""), HYPERLINK(CONCATENATE("#metadata!", ADDRESS(INDEX($AH$2:$AH$1001,MATCH(ROWS($AF$2:AF86),$AF$2:$AF$1001,0),0), INDEX($AM$1004:$BM$1004,1,MATCH(COLUMNS($AM$1006:BL1006),$AM$1006:$BM$1006,0)))),"Fix")))</f>
        <v xml:space="preserve"> </v>
      </c>
      <c r="AB86" s="4" t="str">
        <f ca="1">IF(OR(INDEX($AG$2:$AG$1001,MATCH(ROWS($AF$2:AF86),$AF$2:$AF$1001,0),1)&gt;=100000,INDEX($AM$1005:$BM$1005,1,MATCH(COLUMNS($AM$1006:BM1006),$AM$1006:$BM$1006,0))&gt;=100000), " ",IF(INDEX($AM$2:$BM$1001,MATCH(ROWS($AF$2:AF86),$AF$2:$AF$1001,0),MATCH(COLUMNS($AM$1006:BM1006),$AM$1006:$BM$1006,0)), HYPERLINK("#",""), HYPERLINK(CONCATENATE("#metadata!", ADDRESS(INDEX($AH$2:$AH$1001,MATCH(ROWS($AF$2:AF86),$AF$2:$AF$1001,0),0), INDEX($AM$1004:$BM$1004,1,MATCH(COLUMNS($AM$1006:BM1006),$AM$1006:$BM$1006,0)))),"Fix")))</f>
        <v xml:space="preserve"> </v>
      </c>
      <c r="AF86">
        <v>85</v>
      </c>
      <c r="AG86">
        <v>100086</v>
      </c>
      <c r="AH86">
        <v>86</v>
      </c>
      <c r="AI86" t="b">
        <f t="shared" si="1"/>
        <v>1</v>
      </c>
      <c r="AJ86" t="b">
        <f>COUNTBLANK(metadata!B86:AB86)=COLUMNS(metadata!B86:AB86)</f>
        <v>1</v>
      </c>
      <c r="AK86" t="str">
        <v/>
      </c>
      <c r="AM86" t="b">
        <f ca="1">AND(IF(metadata!B86="",FALSE,TRUE),COUNTIF(metadata!B:B, metadata!B86) = 1,NOT(ISERROR(SUMPRODUCT(SEARCH(MID(metadata!B86,ROW(INDIRECT("1:"&amp;LEN(metadata!B86))), 1),"0123456789abcdefghijklmnopqrstuvwxyzABCDEFGHIJKLMNOPQRSTUVWXYZ.")))))</f>
        <v>0</v>
      </c>
      <c r="AN86" t="b">
        <f ca="1">OR(AND(IF(metadata!C86="",FALSE,TRUE),OR(EXACT(metadata!C86,"missing: not collected"),EXACT(metadata!C86,"missing: not provided"),EXACT(metadata!C86,"missing: restricted access"))),AND(IF(metadata!C86="",FALSE,TRUE),AND(AND(IFERROR(INT(LEFT(metadata!C86,4))&gt;1900,FALSE),IFERROR(INT(LEFT(metadata!C86,4))&lt;=YEAR(NOW()),FALSE)), OR(MID(metadata!C86,5,1)="", AND(AND(MID(metadata!C86,5,1)="-",IFERROR(INT(MID(metadata!C86,6,1))&gt;=0,FALSE),IFERROR(INT(MID(metadata!C86,6,1))&lt;=1,FALSE),NOT(MID(metadata!C86,7,1)=""),IFERROR(INT(MID(metadata!C86,6,2))&gt;=1,FALSE),IFERROR(INT(MID(metadata!C86,6,2))&lt;=12,FALSE)), OR(MID(metadata!C86,8,1)="", AND(AND(MID(metadata!C86,8,1)="-",IFERROR(INT(MID(metadata!C86,9,1))&gt;=0,FALSE),IFERROR(INT(MID(metadata!C86,9,1))&lt;=3,FALSE),NOT(MID(metadata!C86,10,1)=""),IFERROR(INT(MID(metadata!C86,9,2))&gt;=1,FALSE),IFERROR(INT(MID(metadata!C86,9,2))&lt;=31,FALSE)), OR(MID(metadata!C86,11,1)="", AND(AND(MID(metadata!C86,11,1)=" ",IFERROR(INT(MID(metadata!C86,12,1))&gt;=0,FALSE),IFERROR(INT(MID(metadata!C86,12,1))&lt;=2,FALSE),NOT(MID(metadata!C86,13,1)=""),IFERROR(INT(MID(metadata!C86,12,2))&gt;=0,FALSE),IFERROR(INT(MID(metadata!C86,12,2))&lt;=23,FALSE)), OR(MID(metadata!C86,14,1)="", AND(AND(MID(metadata!C86,14,1)=":",IFERROR(INT(MID(metadata!C86,15,1))&gt;=0,FALSE),IFERROR(INT(MID(metadata!C86,15,1))&lt;=5,FALSE),NOT(MID(metadata!C86,16,1)=""),IFERROR(INT(MID(metadata!C86,15,2))&gt;=0,FALSE),IFERROR(INT(MID(metadata!C86,15,2))&lt;=59,FALSE)), OR(MID(metadata!C86,17,1)="", AND(AND(MID(metadata!C86,17,1)=":",IFERROR(INT(MID(metadata!C86,18,1))&gt;=0,FALSE),IFERROR(INT(MID(metadata!C86,18,1))&lt;=5,FALSE),NOT(MID(metadata!C86,19,1)=""),IFERROR(INT(MID(metadata!C86,18,2))&gt;=0,FALSE),IFERROR(INT(MID(metadata!C86,18,2))&lt;=59,FALSE)), LEN(metadata!C86)&lt;=19)))))))))))))</f>
        <v>0</v>
      </c>
      <c r="AO86" t="b">
        <f>AND(IF(metadata!D86="",FALSE,TRUE),EXACT(metadata!D86,"Not applicable"))</f>
        <v>0</v>
      </c>
      <c r="AP86" t="b">
        <f>IF(metadata!E86="",FALSE,TRUE)</f>
        <v>0</v>
      </c>
      <c r="AQ86" t="b">
        <f>OR(AND(IF(metadata!F86="",FALSE,TRUE),OR(EXACT(metadata!F86,"missing: not collected"),EXACT(metadata!F86,"missing: not provided"))),AND(IF(metadata!F86="",FALSE,TRUE),OR(EXACT(metadata!F86,"TRUE"),EXACT(metadata!F86,"FALSE"))))</f>
        <v>0</v>
      </c>
      <c r="AR86" t="b">
        <f>OR(AND(IF(metadata!G86="",FALSE,TRUE),OR(EXACT(metadata!G86,"missing: not collected"),EXACT(metadata!G86,"missing: not provided"),EXACT(metadata!G86,"missing: restricted access"))),AND(IF(metadata!G86="",FALSE,ISNUMBER(VALUE(metadata!G86))),metadata!G86&gt;=-413))</f>
        <v>0</v>
      </c>
      <c r="AS86" t="b">
        <f>AND(IF(metadata!H86="",FALSE,TRUE),EXACT(metadata!H86,"meters"))</f>
        <v>0</v>
      </c>
      <c r="AT86" t="b">
        <f>AND(IF(metadata!I86="",FALSE,TRUE),OR(EXACT(metadata!I86,"Host-associated"),EXACT(metadata!I86,"Free-living")))</f>
        <v>0</v>
      </c>
      <c r="AU86" t="b">
        <f>AND(IF(metadata!J86="",FALSE,TRUE),OR(EXACT(metadata!J86,"Animal"),EXACT(metadata!J86,"Fungus"),EXACT(metadata!J86,"Plant"),EXACT(metadata!J86,"Saline"),EXACT(metadata!J86,"Non-saline")))</f>
        <v>0</v>
      </c>
      <c r="AV86" t="b">
        <f>AND(IF(metadata!K86="",FALSE,TRUE),OR(EXACT(metadata!K86,"Plant secretion"),EXACT(metadata!K86,"Plant rhizosphere"),EXACT(metadata!K86,"Plant surface"),EXACT(metadata!K86,"Plant corpus"),EXACT(metadata!K86,"Fungus surface"),EXACT(metadata!K86,"Fungus corpus"),EXACT(metadata!K86,"Animal surface"),EXACT(metadata!K86,"Animal proximal gut"),EXACT(metadata!K86,"Animal corpus"),EXACT(metadata!K86,"Animal distal gut"),EXACT(metadata!K86,"Animal secretion"),EXACT(metadata!K86,"Sub-surface (non-saline)"),EXACT(metadata!K86,"Surface (non-saline)"),EXACT(metadata!K86,"Water (non-saline)"),EXACT(metadata!K86,"Soil (non-saline)"),EXACT(metadata!K86,"Aerosol (non-saline)"),EXACT(metadata!K86,"Sediment (non-saline)"),EXACT(metadata!K86,"Surface (saline)"),EXACT(metadata!K86,"Water (saline)"),EXACT(metadata!K86,"Hypersaline (saline)"),EXACT(metadata!K86,"Aerosol (saline)"),EXACT(metadata!K86,"Sediment (saline)")))</f>
        <v>0</v>
      </c>
      <c r="AW86" t="b">
        <f>IF(metadata!L86="",FALSE,TRUE)</f>
        <v>0</v>
      </c>
      <c r="AX86" t="b">
        <f>IF(metadata!M86="",FALSE,TRUE)</f>
        <v>0</v>
      </c>
      <c r="AY86" t="b">
        <f>IF(metadata!N86="",FALSE,TRUE)</f>
        <v>0</v>
      </c>
      <c r="AZ86" t="b">
        <f>OR(AND(IF(metadata!O86="",FALSE,TRUE),OR(EXACT(metadata!O86,"missing: not collected"),EXACT(metadata!O86,"missing: not provided"),EXACT(metadata!O86,"missing: restricted access"))),AND(IF(metadata!O86="",FALSE,TRUE),OR(EXACT(metadata!O86,"air"),EXACT(metadata!O86,"built environment"),EXACT(metadata!O86,"host-associated"),EXACT(metadata!O86,"human-associated"),EXACT(metadata!O86,"human-skin"),EXACT(metadata!O86,"human-oral"),EXACT(metadata!O86,"human-gut"),EXACT(metadata!O86,"human-vaginal"),EXACT(metadata!O86,"microbial mat/biofilm"),EXACT(metadata!O86,"misc environment"),EXACT(metadata!O86,"plant-associated"),EXACT(metadata!O86,"sediment"),EXACT(metadata!O86,"soil"),EXACT(metadata!O86,"wastewater/sludge"),EXACT(metadata!O86,"water"))))</f>
        <v>0</v>
      </c>
      <c r="BA86" t="b">
        <f>IF(metadata!P86="",FALSE,TRUE)</f>
        <v>0</v>
      </c>
      <c r="BB86" t="b">
        <f>IF(metadata!Q86="",FALSE,TRUE)</f>
        <v>0</v>
      </c>
      <c r="BC86" t="b">
        <f>OR(AND(IF(metadata!R86="",FALSE,TRUE),OR(EXACT(metadata!R86,"missing: not collected"),EXACT(metadata!R86,"missing: not provided"),EXACT(metadata!R86,"missing: restricted access"))),AND(IF(metadata!R86="",FALSE,ISNUMBER(VALUE(metadata!R86))),metadata!R86&gt;=-90,metadata!R86&lt;=90))</f>
        <v>0</v>
      </c>
      <c r="BD86" t="b">
        <f>AND(IF(metadata!S86="",FALSE,TRUE),EXACT(metadata!S86,"Decimal degrees"))</f>
        <v>0</v>
      </c>
      <c r="BE86" t="b">
        <f>OR(AND(IF(metadata!T86="",FALSE,TRUE),OR(EXACT(metadata!T86,"missing: not collected"),EXACT(metadata!T86,"missing: not provided"),EXACT(metadata!T86,"missing: restricted access"))),AND(IF(metadata!T86="",FALSE,ISNUMBER(VALUE(metadata!T86))),metadata!T86&gt;=-180,metadata!T86&lt;=180))</f>
        <v>0</v>
      </c>
      <c r="BF86" t="b">
        <f>AND(IF(metadata!U86="",FALSE,TRUE),EXACT(metadata!U86,"Decimal degrees"))</f>
        <v>0</v>
      </c>
      <c r="BG86" t="b">
        <f>IF(metadata!V86="",FALSE,TRUE)</f>
        <v>0</v>
      </c>
      <c r="BH86" t="b">
        <f>OR(AND(IF(metadata!W86="",FALSE,TRUE),OR(EXACT(metadata!W86,"missing: not collected"),EXACT(metadata!W86,"missing: not provided"),EXACT(metadata!W86,"missing: restricted access"))),AND(IF(metadata!W86="",FALSE,TRUE),OR(EXACT(metadata!W86,"TRUE"),EXACT(metadata!W86,"FALSE"))))</f>
        <v>0</v>
      </c>
      <c r="BI86" t="b">
        <f>AND(IF(metadata!X86="",FALSE,TRUE),EXACT(metadata!X86,"other"))</f>
        <v>0</v>
      </c>
      <c r="BJ86" t="b">
        <f>IF(metadata!Y86="",FALSE,TRUE)</f>
        <v>0</v>
      </c>
      <c r="BK86" t="b">
        <f>OR(AND(IF(metadata!Z86="",FALSE,TRUE),OR(EXACT(metadata!Z86,"missing: not collected"),EXACT(metadata!Z86,"missing: not provided"))),AND(IF(metadata!Z86="",FALSE,IF(ISERROR(INT(metadata!Z86)),FALSE,INT(metadata!Z86)=metadata!Z86)),metadata!Z86&gt;0))</f>
        <v>0</v>
      </c>
      <c r="BL86" t="b">
        <f>AND(IF(metadata!AA86="",FALSE,TRUE),EXACT(metadata!AA86,"Not applicable"))</f>
        <v>0</v>
      </c>
      <c r="BM86" t="b">
        <f>IF(metadata!AB86="",FALSE,TRUE)</f>
        <v>0</v>
      </c>
    </row>
    <row r="87" spans="1:65" x14ac:dyDescent="0.2">
      <c r="A87" s="5" t="str">
        <f ca="1">IF(B87=" "," ",HYPERLINK(CONCATENATE("#metadata!",ADDRESS(INDEX($AH$2:$AH$1001,MATCH(ROWS($AF$2:AF87),$AF$2:$AF$1001,0),0),1)),INDEX($AK$2:$AK$1001,MATCH(ROWS($AF$2:AF87),$AF$2:$AF$1001,0),0)))</f>
        <v xml:space="preserve"> </v>
      </c>
      <c r="B87" s="4" t="str">
        <f ca="1">IF(OR(INDEX($AG$2:$AG$1001,MATCH(ROWS($AF$2:AF87),$AF$2:$AF$1001,0),1)&gt;=100000,INDEX($AM$1005:$BM$1005,1,MATCH(COLUMNS($AM$1006:AM1006),$AM$1006:$BM$1006,0))&gt;=100000), " ",IF(INDEX($AM$2:$BM$1001,MATCH(ROWS($AF$2:AF87),$AF$2:$AF$1001,0),MATCH(COLUMNS($AM$1006:AM1006),$AM$1006:$BM$1006,0)), HYPERLINK("#",""), HYPERLINK(CONCATENATE("#metadata!", ADDRESS(INDEX($AH$2:$AH$1001,MATCH(ROWS($AF$2:AF87),$AF$2:$AF$1001,0),0), INDEX($AM$1004:$BM$1004,1,MATCH(COLUMNS($AM$1006:AM1006),$AM$1006:$BM$1006,0)))),"Fix")))</f>
        <v xml:space="preserve"> </v>
      </c>
      <c r="C87" s="4" t="str">
        <f ca="1">IF(OR(INDEX($AG$2:$AG$1001,MATCH(ROWS($AF$2:AF87),$AF$2:$AF$1001,0),1)&gt;=100000,INDEX($AM$1005:$BM$1005,1,MATCH(COLUMNS($AM$1006:AN1006),$AM$1006:$BM$1006,0))&gt;=100000), " ",IF(INDEX($AM$2:$BM$1001,MATCH(ROWS($AF$2:AF87),$AF$2:$AF$1001,0),MATCH(COLUMNS($AM$1006:AN1006),$AM$1006:$BM$1006,0)), HYPERLINK("#",""), HYPERLINK(CONCATENATE("#metadata!", ADDRESS(INDEX($AH$2:$AH$1001,MATCH(ROWS($AF$2:AF87),$AF$2:$AF$1001,0),0), INDEX($AM$1004:$BM$1004,1,MATCH(COLUMNS($AM$1006:AN1006),$AM$1006:$BM$1006,0)))),"Fix")))</f>
        <v xml:space="preserve"> </v>
      </c>
      <c r="D87" s="4" t="str">
        <f ca="1">IF(OR(INDEX($AG$2:$AG$1001,MATCH(ROWS($AF$2:AF87),$AF$2:$AF$1001,0),1)&gt;=100000,INDEX($AM$1005:$BM$1005,1,MATCH(COLUMNS($AM$1006:AO1006),$AM$1006:$BM$1006,0))&gt;=100000), " ",IF(INDEX($AM$2:$BM$1001,MATCH(ROWS($AF$2:AF87),$AF$2:$AF$1001,0),MATCH(COLUMNS($AM$1006:AO1006),$AM$1006:$BM$1006,0)), HYPERLINK("#",""), HYPERLINK(CONCATENATE("#metadata!", ADDRESS(INDEX($AH$2:$AH$1001,MATCH(ROWS($AF$2:AF87),$AF$2:$AF$1001,0),0), INDEX($AM$1004:$BM$1004,1,MATCH(COLUMNS($AM$1006:AO1006),$AM$1006:$BM$1006,0)))),"Fix")))</f>
        <v xml:space="preserve"> </v>
      </c>
      <c r="E87" s="4" t="str">
        <f ca="1">IF(OR(INDEX($AG$2:$AG$1001,MATCH(ROWS($AF$2:AF87),$AF$2:$AF$1001,0),1)&gt;=100000,INDEX($AM$1005:$BM$1005,1,MATCH(COLUMNS($AM$1006:AP1006),$AM$1006:$BM$1006,0))&gt;=100000), " ",IF(INDEX($AM$2:$BM$1001,MATCH(ROWS($AF$2:AF87),$AF$2:$AF$1001,0),MATCH(COLUMNS($AM$1006:AP1006),$AM$1006:$BM$1006,0)), HYPERLINK("#",""), HYPERLINK(CONCATENATE("#metadata!", ADDRESS(INDEX($AH$2:$AH$1001,MATCH(ROWS($AF$2:AF87),$AF$2:$AF$1001,0),0), INDEX($AM$1004:$BM$1004,1,MATCH(COLUMNS($AM$1006:AP1006),$AM$1006:$BM$1006,0)))),"Fix")))</f>
        <v xml:space="preserve"> </v>
      </c>
      <c r="F87" s="4" t="str">
        <f ca="1">IF(OR(INDEX($AG$2:$AG$1001,MATCH(ROWS($AF$2:AF87),$AF$2:$AF$1001,0),1)&gt;=100000,INDEX($AM$1005:$BM$1005,1,MATCH(COLUMNS($AM$1006:AQ1006),$AM$1006:$BM$1006,0))&gt;=100000), " ",IF(INDEX($AM$2:$BM$1001,MATCH(ROWS($AF$2:AF87),$AF$2:$AF$1001,0),MATCH(COLUMNS($AM$1006:AQ1006),$AM$1006:$BM$1006,0)), HYPERLINK("#",""), HYPERLINK(CONCATENATE("#metadata!", ADDRESS(INDEX($AH$2:$AH$1001,MATCH(ROWS($AF$2:AF87),$AF$2:$AF$1001,0),0), INDEX($AM$1004:$BM$1004,1,MATCH(COLUMNS($AM$1006:AQ1006),$AM$1006:$BM$1006,0)))),"Fix")))</f>
        <v xml:space="preserve"> </v>
      </c>
      <c r="G87" s="4" t="str">
        <f ca="1">IF(OR(INDEX($AG$2:$AG$1001,MATCH(ROWS($AF$2:AF87),$AF$2:$AF$1001,0),1)&gt;=100000,INDEX($AM$1005:$BM$1005,1,MATCH(COLUMNS($AM$1006:AR1006),$AM$1006:$BM$1006,0))&gt;=100000), " ",IF(INDEX($AM$2:$BM$1001,MATCH(ROWS($AF$2:AF87),$AF$2:$AF$1001,0),MATCH(COLUMNS($AM$1006:AR1006),$AM$1006:$BM$1006,0)), HYPERLINK("#",""), HYPERLINK(CONCATENATE("#metadata!", ADDRESS(INDEX($AH$2:$AH$1001,MATCH(ROWS($AF$2:AF87),$AF$2:$AF$1001,0),0), INDEX($AM$1004:$BM$1004,1,MATCH(COLUMNS($AM$1006:AR1006),$AM$1006:$BM$1006,0)))),"Fix")))</f>
        <v xml:space="preserve"> </v>
      </c>
      <c r="H87" s="4" t="str">
        <f ca="1">IF(OR(INDEX($AG$2:$AG$1001,MATCH(ROWS($AF$2:AF87),$AF$2:$AF$1001,0),1)&gt;=100000,INDEX($AM$1005:$BM$1005,1,MATCH(COLUMNS($AM$1006:AS1006),$AM$1006:$BM$1006,0))&gt;=100000), " ",IF(INDEX($AM$2:$BM$1001,MATCH(ROWS($AF$2:AF87),$AF$2:$AF$1001,0),MATCH(COLUMNS($AM$1006:AS1006),$AM$1006:$BM$1006,0)), HYPERLINK("#",""), HYPERLINK(CONCATENATE("#metadata!", ADDRESS(INDEX($AH$2:$AH$1001,MATCH(ROWS($AF$2:AF87),$AF$2:$AF$1001,0),0), INDEX($AM$1004:$BM$1004,1,MATCH(COLUMNS($AM$1006:AS1006),$AM$1006:$BM$1006,0)))),"Fix")))</f>
        <v xml:space="preserve"> </v>
      </c>
      <c r="I87" s="4" t="str">
        <f ca="1">IF(OR(INDEX($AG$2:$AG$1001,MATCH(ROWS($AF$2:AF87),$AF$2:$AF$1001,0),1)&gt;=100000,INDEX($AM$1005:$BM$1005,1,MATCH(COLUMNS($AM$1006:AT1006),$AM$1006:$BM$1006,0))&gt;=100000), " ",IF(INDEX($AM$2:$BM$1001,MATCH(ROWS($AF$2:AF87),$AF$2:$AF$1001,0),MATCH(COLUMNS($AM$1006:AT1006),$AM$1006:$BM$1006,0)), HYPERLINK("#",""), HYPERLINK(CONCATENATE("#metadata!", ADDRESS(INDEX($AH$2:$AH$1001,MATCH(ROWS($AF$2:AF87),$AF$2:$AF$1001,0),0), INDEX($AM$1004:$BM$1004,1,MATCH(COLUMNS($AM$1006:AT1006),$AM$1006:$BM$1006,0)))),"Fix")))</f>
        <v xml:space="preserve"> </v>
      </c>
      <c r="J87" s="4" t="str">
        <f ca="1">IF(OR(INDEX($AG$2:$AG$1001,MATCH(ROWS($AF$2:AF87),$AF$2:$AF$1001,0),1)&gt;=100000,INDEX($AM$1005:$BM$1005,1,MATCH(COLUMNS($AM$1006:AU1006),$AM$1006:$BM$1006,0))&gt;=100000), " ",IF(INDEX($AM$2:$BM$1001,MATCH(ROWS($AF$2:AF87),$AF$2:$AF$1001,0),MATCH(COLUMNS($AM$1006:AU1006),$AM$1006:$BM$1006,0)), HYPERLINK("#",""), HYPERLINK(CONCATENATE("#metadata!", ADDRESS(INDEX($AH$2:$AH$1001,MATCH(ROWS($AF$2:AF87),$AF$2:$AF$1001,0),0), INDEX($AM$1004:$BM$1004,1,MATCH(COLUMNS($AM$1006:AU1006),$AM$1006:$BM$1006,0)))),"Fix")))</f>
        <v xml:space="preserve"> </v>
      </c>
      <c r="K87" s="4" t="str">
        <f ca="1">IF(OR(INDEX($AG$2:$AG$1001,MATCH(ROWS($AF$2:AF87),$AF$2:$AF$1001,0),1)&gt;=100000,INDEX($AM$1005:$BM$1005,1,MATCH(COLUMNS($AM$1006:AV1006),$AM$1006:$BM$1006,0))&gt;=100000), " ",IF(INDEX($AM$2:$BM$1001,MATCH(ROWS($AF$2:AF87),$AF$2:$AF$1001,0),MATCH(COLUMNS($AM$1006:AV1006),$AM$1006:$BM$1006,0)), HYPERLINK("#",""), HYPERLINK(CONCATENATE("#metadata!", ADDRESS(INDEX($AH$2:$AH$1001,MATCH(ROWS($AF$2:AF87),$AF$2:$AF$1001,0),0), INDEX($AM$1004:$BM$1004,1,MATCH(COLUMNS($AM$1006:AV1006),$AM$1006:$BM$1006,0)))),"Fix")))</f>
        <v xml:space="preserve"> </v>
      </c>
      <c r="L87" s="4" t="str">
        <f ca="1">IF(OR(INDEX($AG$2:$AG$1001,MATCH(ROWS($AF$2:AF87),$AF$2:$AF$1001,0),1)&gt;=100000,INDEX($AM$1005:$BM$1005,1,MATCH(COLUMNS($AM$1006:AW1006),$AM$1006:$BM$1006,0))&gt;=100000), " ",IF(INDEX($AM$2:$BM$1001,MATCH(ROWS($AF$2:AF87),$AF$2:$AF$1001,0),MATCH(COLUMNS($AM$1006:AW1006),$AM$1006:$BM$1006,0)), HYPERLINK("#",""), HYPERLINK(CONCATENATE("#metadata!", ADDRESS(INDEX($AH$2:$AH$1001,MATCH(ROWS($AF$2:AF87),$AF$2:$AF$1001,0),0), INDEX($AM$1004:$BM$1004,1,MATCH(COLUMNS($AM$1006:AW1006),$AM$1006:$BM$1006,0)))),"Fix")))</f>
        <v xml:space="preserve"> </v>
      </c>
      <c r="M87" s="4" t="str">
        <f ca="1">IF(OR(INDEX($AG$2:$AG$1001,MATCH(ROWS($AF$2:AF87),$AF$2:$AF$1001,0),1)&gt;=100000,INDEX($AM$1005:$BM$1005,1,MATCH(COLUMNS($AM$1006:AX1006),$AM$1006:$BM$1006,0))&gt;=100000), " ",IF(INDEX($AM$2:$BM$1001,MATCH(ROWS($AF$2:AF87),$AF$2:$AF$1001,0),MATCH(COLUMNS($AM$1006:AX1006),$AM$1006:$BM$1006,0)), HYPERLINK("#",""), HYPERLINK(CONCATENATE("#metadata!", ADDRESS(INDEX($AH$2:$AH$1001,MATCH(ROWS($AF$2:AF87),$AF$2:$AF$1001,0),0), INDEX($AM$1004:$BM$1004,1,MATCH(COLUMNS($AM$1006:AX1006),$AM$1006:$BM$1006,0)))),"Fix")))</f>
        <v xml:space="preserve"> </v>
      </c>
      <c r="N87" s="4" t="str">
        <f ca="1">IF(OR(INDEX($AG$2:$AG$1001,MATCH(ROWS($AF$2:AF87),$AF$2:$AF$1001,0),1)&gt;=100000,INDEX($AM$1005:$BM$1005,1,MATCH(COLUMNS($AM$1006:AY1006),$AM$1006:$BM$1006,0))&gt;=100000), " ",IF(INDEX($AM$2:$BM$1001,MATCH(ROWS($AF$2:AF87),$AF$2:$AF$1001,0),MATCH(COLUMNS($AM$1006:AY1006),$AM$1006:$BM$1006,0)), HYPERLINK("#",""), HYPERLINK(CONCATENATE("#metadata!", ADDRESS(INDEX($AH$2:$AH$1001,MATCH(ROWS($AF$2:AF87),$AF$2:$AF$1001,0),0), INDEX($AM$1004:$BM$1004,1,MATCH(COLUMNS($AM$1006:AY1006),$AM$1006:$BM$1006,0)))),"Fix")))</f>
        <v xml:space="preserve"> </v>
      </c>
      <c r="O87" s="4" t="str">
        <f ca="1">IF(OR(INDEX($AG$2:$AG$1001,MATCH(ROWS($AF$2:AF87),$AF$2:$AF$1001,0),1)&gt;=100000,INDEX($AM$1005:$BM$1005,1,MATCH(COLUMNS($AM$1006:AZ1006),$AM$1006:$BM$1006,0))&gt;=100000), " ",IF(INDEX($AM$2:$BM$1001,MATCH(ROWS($AF$2:AF87),$AF$2:$AF$1001,0),MATCH(COLUMNS($AM$1006:AZ1006),$AM$1006:$BM$1006,0)), HYPERLINK("#",""), HYPERLINK(CONCATENATE("#metadata!", ADDRESS(INDEX($AH$2:$AH$1001,MATCH(ROWS($AF$2:AF87),$AF$2:$AF$1001,0),0), INDEX($AM$1004:$BM$1004,1,MATCH(COLUMNS($AM$1006:AZ1006),$AM$1006:$BM$1006,0)))),"Fix")))</f>
        <v xml:space="preserve"> </v>
      </c>
      <c r="P87" s="4" t="str">
        <f ca="1">IF(OR(INDEX($AG$2:$AG$1001,MATCH(ROWS($AF$2:AF87),$AF$2:$AF$1001,0),1)&gt;=100000,INDEX($AM$1005:$BM$1005,1,MATCH(COLUMNS($AM$1006:BA1006),$AM$1006:$BM$1006,0))&gt;=100000), " ",IF(INDEX($AM$2:$BM$1001,MATCH(ROWS($AF$2:AF87),$AF$2:$AF$1001,0),MATCH(COLUMNS($AM$1006:BA1006),$AM$1006:$BM$1006,0)), HYPERLINK("#",""), HYPERLINK(CONCATENATE("#metadata!", ADDRESS(INDEX($AH$2:$AH$1001,MATCH(ROWS($AF$2:AF87),$AF$2:$AF$1001,0),0), INDEX($AM$1004:$BM$1004,1,MATCH(COLUMNS($AM$1006:BA1006),$AM$1006:$BM$1006,0)))),"Fix")))</f>
        <v xml:space="preserve"> </v>
      </c>
      <c r="Q87" s="4" t="str">
        <f ca="1">IF(OR(INDEX($AG$2:$AG$1001,MATCH(ROWS($AF$2:AF87),$AF$2:$AF$1001,0),1)&gt;=100000,INDEX($AM$1005:$BM$1005,1,MATCH(COLUMNS($AM$1006:BB1006),$AM$1006:$BM$1006,0))&gt;=100000), " ",IF(INDEX($AM$2:$BM$1001,MATCH(ROWS($AF$2:AF87),$AF$2:$AF$1001,0),MATCH(COLUMNS($AM$1006:BB1006),$AM$1006:$BM$1006,0)), HYPERLINK("#",""), HYPERLINK(CONCATENATE("#metadata!", ADDRESS(INDEX($AH$2:$AH$1001,MATCH(ROWS($AF$2:AF87),$AF$2:$AF$1001,0),0), INDEX($AM$1004:$BM$1004,1,MATCH(COLUMNS($AM$1006:BB1006),$AM$1006:$BM$1006,0)))),"Fix")))</f>
        <v xml:space="preserve"> </v>
      </c>
      <c r="R87" s="4" t="str">
        <f ca="1">IF(OR(INDEX($AG$2:$AG$1001,MATCH(ROWS($AF$2:AF87),$AF$2:$AF$1001,0),1)&gt;=100000,INDEX($AM$1005:$BM$1005,1,MATCH(COLUMNS($AM$1006:BC1006),$AM$1006:$BM$1006,0))&gt;=100000), " ",IF(INDEX($AM$2:$BM$1001,MATCH(ROWS($AF$2:AF87),$AF$2:$AF$1001,0),MATCH(COLUMNS($AM$1006:BC1006),$AM$1006:$BM$1006,0)), HYPERLINK("#",""), HYPERLINK(CONCATENATE("#metadata!", ADDRESS(INDEX($AH$2:$AH$1001,MATCH(ROWS($AF$2:AF87),$AF$2:$AF$1001,0),0), INDEX($AM$1004:$BM$1004,1,MATCH(COLUMNS($AM$1006:BC1006),$AM$1006:$BM$1006,0)))),"Fix")))</f>
        <v xml:space="preserve"> </v>
      </c>
      <c r="S87" s="4" t="str">
        <f ca="1">IF(OR(INDEX($AG$2:$AG$1001,MATCH(ROWS($AF$2:AF87),$AF$2:$AF$1001,0),1)&gt;=100000,INDEX($AM$1005:$BM$1005,1,MATCH(COLUMNS($AM$1006:BD1006),$AM$1006:$BM$1006,0))&gt;=100000), " ",IF(INDEX($AM$2:$BM$1001,MATCH(ROWS($AF$2:AF87),$AF$2:$AF$1001,0),MATCH(COLUMNS($AM$1006:BD1006),$AM$1006:$BM$1006,0)), HYPERLINK("#",""), HYPERLINK(CONCATENATE("#metadata!", ADDRESS(INDEX($AH$2:$AH$1001,MATCH(ROWS($AF$2:AF87),$AF$2:$AF$1001,0),0), INDEX($AM$1004:$BM$1004,1,MATCH(COLUMNS($AM$1006:BD1006),$AM$1006:$BM$1006,0)))),"Fix")))</f>
        <v xml:space="preserve"> </v>
      </c>
      <c r="T87" s="4" t="str">
        <f ca="1">IF(OR(INDEX($AG$2:$AG$1001,MATCH(ROWS($AF$2:AF87),$AF$2:$AF$1001,0),1)&gt;=100000,INDEX($AM$1005:$BM$1005,1,MATCH(COLUMNS($AM$1006:BE1006),$AM$1006:$BM$1006,0))&gt;=100000), " ",IF(INDEX($AM$2:$BM$1001,MATCH(ROWS($AF$2:AF87),$AF$2:$AF$1001,0),MATCH(COLUMNS($AM$1006:BE1006),$AM$1006:$BM$1006,0)), HYPERLINK("#",""), HYPERLINK(CONCATENATE("#metadata!", ADDRESS(INDEX($AH$2:$AH$1001,MATCH(ROWS($AF$2:AF87),$AF$2:$AF$1001,0),0), INDEX($AM$1004:$BM$1004,1,MATCH(COLUMNS($AM$1006:BE1006),$AM$1006:$BM$1006,0)))),"Fix")))</f>
        <v xml:space="preserve"> </v>
      </c>
      <c r="U87" s="4" t="str">
        <f ca="1">IF(OR(INDEX($AG$2:$AG$1001,MATCH(ROWS($AF$2:AF87),$AF$2:$AF$1001,0),1)&gt;=100000,INDEX($AM$1005:$BM$1005,1,MATCH(COLUMNS($AM$1006:BF1006),$AM$1006:$BM$1006,0))&gt;=100000), " ",IF(INDEX($AM$2:$BM$1001,MATCH(ROWS($AF$2:AF87),$AF$2:$AF$1001,0),MATCH(COLUMNS($AM$1006:BF1006),$AM$1006:$BM$1006,0)), HYPERLINK("#",""), HYPERLINK(CONCATENATE("#metadata!", ADDRESS(INDEX($AH$2:$AH$1001,MATCH(ROWS($AF$2:AF87),$AF$2:$AF$1001,0),0), INDEX($AM$1004:$BM$1004,1,MATCH(COLUMNS($AM$1006:BF1006),$AM$1006:$BM$1006,0)))),"Fix")))</f>
        <v xml:space="preserve"> </v>
      </c>
      <c r="V87" s="4" t="str">
        <f ca="1">IF(OR(INDEX($AG$2:$AG$1001,MATCH(ROWS($AF$2:AF87),$AF$2:$AF$1001,0),1)&gt;=100000,INDEX($AM$1005:$BM$1005,1,MATCH(COLUMNS($AM$1006:BG1006),$AM$1006:$BM$1006,0))&gt;=100000), " ",IF(INDEX($AM$2:$BM$1001,MATCH(ROWS($AF$2:AF87),$AF$2:$AF$1001,0),MATCH(COLUMNS($AM$1006:BG1006),$AM$1006:$BM$1006,0)), HYPERLINK("#",""), HYPERLINK(CONCATENATE("#metadata!", ADDRESS(INDEX($AH$2:$AH$1001,MATCH(ROWS($AF$2:AF87),$AF$2:$AF$1001,0),0), INDEX($AM$1004:$BM$1004,1,MATCH(COLUMNS($AM$1006:BG1006),$AM$1006:$BM$1006,0)))),"Fix")))</f>
        <v xml:space="preserve"> </v>
      </c>
      <c r="W87" s="4" t="str">
        <f ca="1">IF(OR(INDEX($AG$2:$AG$1001,MATCH(ROWS($AF$2:AF87),$AF$2:$AF$1001,0),1)&gt;=100000,INDEX($AM$1005:$BM$1005,1,MATCH(COLUMNS($AM$1006:BH1006),$AM$1006:$BM$1006,0))&gt;=100000), " ",IF(INDEX($AM$2:$BM$1001,MATCH(ROWS($AF$2:AF87),$AF$2:$AF$1001,0),MATCH(COLUMNS($AM$1006:BH1006),$AM$1006:$BM$1006,0)), HYPERLINK("#",""), HYPERLINK(CONCATENATE("#metadata!", ADDRESS(INDEX($AH$2:$AH$1001,MATCH(ROWS($AF$2:AF87),$AF$2:$AF$1001,0),0), INDEX($AM$1004:$BM$1004,1,MATCH(COLUMNS($AM$1006:BH1006),$AM$1006:$BM$1006,0)))),"Fix")))</f>
        <v xml:space="preserve"> </v>
      </c>
      <c r="X87" s="4" t="str">
        <f ca="1">IF(OR(INDEX($AG$2:$AG$1001,MATCH(ROWS($AF$2:AF87),$AF$2:$AF$1001,0),1)&gt;=100000,INDEX($AM$1005:$BM$1005,1,MATCH(COLUMNS($AM$1006:BI1006),$AM$1006:$BM$1006,0))&gt;=100000), " ",IF(INDEX($AM$2:$BM$1001,MATCH(ROWS($AF$2:AF87),$AF$2:$AF$1001,0),MATCH(COLUMNS($AM$1006:BI1006),$AM$1006:$BM$1006,0)), HYPERLINK("#",""), HYPERLINK(CONCATENATE("#metadata!", ADDRESS(INDEX($AH$2:$AH$1001,MATCH(ROWS($AF$2:AF87),$AF$2:$AF$1001,0),0), INDEX($AM$1004:$BM$1004,1,MATCH(COLUMNS($AM$1006:BI1006),$AM$1006:$BM$1006,0)))),"Fix")))</f>
        <v xml:space="preserve"> </v>
      </c>
      <c r="Y87" s="4" t="str">
        <f ca="1">IF(OR(INDEX($AG$2:$AG$1001,MATCH(ROWS($AF$2:AF87),$AF$2:$AF$1001,0),1)&gt;=100000,INDEX($AM$1005:$BM$1005,1,MATCH(COLUMNS($AM$1006:BJ1006),$AM$1006:$BM$1006,0))&gt;=100000), " ",IF(INDEX($AM$2:$BM$1001,MATCH(ROWS($AF$2:AF87),$AF$2:$AF$1001,0),MATCH(COLUMNS($AM$1006:BJ1006),$AM$1006:$BM$1006,0)), HYPERLINK("#",""), HYPERLINK(CONCATENATE("#metadata!", ADDRESS(INDEX($AH$2:$AH$1001,MATCH(ROWS($AF$2:AF87),$AF$2:$AF$1001,0),0), INDEX($AM$1004:$BM$1004,1,MATCH(COLUMNS($AM$1006:BJ1006),$AM$1006:$BM$1006,0)))),"Fix")))</f>
        <v xml:space="preserve"> </v>
      </c>
      <c r="Z87" s="4" t="str">
        <f ca="1">IF(OR(INDEX($AG$2:$AG$1001,MATCH(ROWS($AF$2:AF87),$AF$2:$AF$1001,0),1)&gt;=100000,INDEX($AM$1005:$BM$1005,1,MATCH(COLUMNS($AM$1006:BK1006),$AM$1006:$BM$1006,0))&gt;=100000), " ",IF(INDEX($AM$2:$BM$1001,MATCH(ROWS($AF$2:AF87),$AF$2:$AF$1001,0),MATCH(COLUMNS($AM$1006:BK1006),$AM$1006:$BM$1006,0)), HYPERLINK("#",""), HYPERLINK(CONCATENATE("#metadata!", ADDRESS(INDEX($AH$2:$AH$1001,MATCH(ROWS($AF$2:AF87),$AF$2:$AF$1001,0),0), INDEX($AM$1004:$BM$1004,1,MATCH(COLUMNS($AM$1006:BK1006),$AM$1006:$BM$1006,0)))),"Fix")))</f>
        <v xml:space="preserve"> </v>
      </c>
      <c r="AA87" s="4" t="str">
        <f ca="1">IF(OR(INDEX($AG$2:$AG$1001,MATCH(ROWS($AF$2:AF87),$AF$2:$AF$1001,0),1)&gt;=100000,INDEX($AM$1005:$BM$1005,1,MATCH(COLUMNS($AM$1006:BL1006),$AM$1006:$BM$1006,0))&gt;=100000), " ",IF(INDEX($AM$2:$BM$1001,MATCH(ROWS($AF$2:AF87),$AF$2:$AF$1001,0),MATCH(COLUMNS($AM$1006:BL1006),$AM$1006:$BM$1006,0)), HYPERLINK("#",""), HYPERLINK(CONCATENATE("#metadata!", ADDRESS(INDEX($AH$2:$AH$1001,MATCH(ROWS($AF$2:AF87),$AF$2:$AF$1001,0),0), INDEX($AM$1004:$BM$1004,1,MATCH(COLUMNS($AM$1006:BL1006),$AM$1006:$BM$1006,0)))),"Fix")))</f>
        <v xml:space="preserve"> </v>
      </c>
      <c r="AB87" s="4" t="str">
        <f ca="1">IF(OR(INDEX($AG$2:$AG$1001,MATCH(ROWS($AF$2:AF87),$AF$2:$AF$1001,0),1)&gt;=100000,INDEX($AM$1005:$BM$1005,1,MATCH(COLUMNS($AM$1006:BM1006),$AM$1006:$BM$1006,0))&gt;=100000), " ",IF(INDEX($AM$2:$BM$1001,MATCH(ROWS($AF$2:AF87),$AF$2:$AF$1001,0),MATCH(COLUMNS($AM$1006:BM1006),$AM$1006:$BM$1006,0)), HYPERLINK("#",""), HYPERLINK(CONCATENATE("#metadata!", ADDRESS(INDEX($AH$2:$AH$1001,MATCH(ROWS($AF$2:AF87),$AF$2:$AF$1001,0),0), INDEX($AM$1004:$BM$1004,1,MATCH(COLUMNS($AM$1006:BM1006),$AM$1006:$BM$1006,0)))),"Fix")))</f>
        <v xml:space="preserve"> </v>
      </c>
      <c r="AF87">
        <v>86</v>
      </c>
      <c r="AG87">
        <v>100087</v>
      </c>
      <c r="AH87">
        <v>87</v>
      </c>
      <c r="AI87" t="b">
        <f t="shared" si="1"/>
        <v>1</v>
      </c>
      <c r="AJ87" t="b">
        <f>COUNTBLANK(metadata!B87:AB87)=COLUMNS(metadata!B87:AB87)</f>
        <v>1</v>
      </c>
      <c r="AK87" t="str">
        <v/>
      </c>
      <c r="AM87" t="b">
        <f ca="1">AND(IF(metadata!B87="",FALSE,TRUE),COUNTIF(metadata!B:B, metadata!B87) = 1,NOT(ISERROR(SUMPRODUCT(SEARCH(MID(metadata!B87,ROW(INDIRECT("1:"&amp;LEN(metadata!B87))), 1),"0123456789abcdefghijklmnopqrstuvwxyzABCDEFGHIJKLMNOPQRSTUVWXYZ.")))))</f>
        <v>0</v>
      </c>
      <c r="AN87" t="b">
        <f ca="1">OR(AND(IF(metadata!C87="",FALSE,TRUE),OR(EXACT(metadata!C87,"missing: not collected"),EXACT(metadata!C87,"missing: not provided"),EXACT(metadata!C87,"missing: restricted access"))),AND(IF(metadata!C87="",FALSE,TRUE),AND(AND(IFERROR(INT(LEFT(metadata!C87,4))&gt;1900,FALSE),IFERROR(INT(LEFT(metadata!C87,4))&lt;=YEAR(NOW()),FALSE)), OR(MID(metadata!C87,5,1)="", AND(AND(MID(metadata!C87,5,1)="-",IFERROR(INT(MID(metadata!C87,6,1))&gt;=0,FALSE),IFERROR(INT(MID(metadata!C87,6,1))&lt;=1,FALSE),NOT(MID(metadata!C87,7,1)=""),IFERROR(INT(MID(metadata!C87,6,2))&gt;=1,FALSE),IFERROR(INT(MID(metadata!C87,6,2))&lt;=12,FALSE)), OR(MID(metadata!C87,8,1)="", AND(AND(MID(metadata!C87,8,1)="-",IFERROR(INT(MID(metadata!C87,9,1))&gt;=0,FALSE),IFERROR(INT(MID(metadata!C87,9,1))&lt;=3,FALSE),NOT(MID(metadata!C87,10,1)=""),IFERROR(INT(MID(metadata!C87,9,2))&gt;=1,FALSE),IFERROR(INT(MID(metadata!C87,9,2))&lt;=31,FALSE)), OR(MID(metadata!C87,11,1)="", AND(AND(MID(metadata!C87,11,1)=" ",IFERROR(INT(MID(metadata!C87,12,1))&gt;=0,FALSE),IFERROR(INT(MID(metadata!C87,12,1))&lt;=2,FALSE),NOT(MID(metadata!C87,13,1)=""),IFERROR(INT(MID(metadata!C87,12,2))&gt;=0,FALSE),IFERROR(INT(MID(metadata!C87,12,2))&lt;=23,FALSE)), OR(MID(metadata!C87,14,1)="", AND(AND(MID(metadata!C87,14,1)=":",IFERROR(INT(MID(metadata!C87,15,1))&gt;=0,FALSE),IFERROR(INT(MID(metadata!C87,15,1))&lt;=5,FALSE),NOT(MID(metadata!C87,16,1)=""),IFERROR(INT(MID(metadata!C87,15,2))&gt;=0,FALSE),IFERROR(INT(MID(metadata!C87,15,2))&lt;=59,FALSE)), OR(MID(metadata!C87,17,1)="", AND(AND(MID(metadata!C87,17,1)=":",IFERROR(INT(MID(metadata!C87,18,1))&gt;=0,FALSE),IFERROR(INT(MID(metadata!C87,18,1))&lt;=5,FALSE),NOT(MID(metadata!C87,19,1)=""),IFERROR(INT(MID(metadata!C87,18,2))&gt;=0,FALSE),IFERROR(INT(MID(metadata!C87,18,2))&lt;=59,FALSE)), LEN(metadata!C87)&lt;=19)))))))))))))</f>
        <v>0</v>
      </c>
      <c r="AO87" t="b">
        <f>AND(IF(metadata!D87="",FALSE,TRUE),EXACT(metadata!D87,"Not applicable"))</f>
        <v>0</v>
      </c>
      <c r="AP87" t="b">
        <f>IF(metadata!E87="",FALSE,TRUE)</f>
        <v>0</v>
      </c>
      <c r="AQ87" t="b">
        <f>OR(AND(IF(metadata!F87="",FALSE,TRUE),OR(EXACT(metadata!F87,"missing: not collected"),EXACT(metadata!F87,"missing: not provided"))),AND(IF(metadata!F87="",FALSE,TRUE),OR(EXACT(metadata!F87,"TRUE"),EXACT(metadata!F87,"FALSE"))))</f>
        <v>0</v>
      </c>
      <c r="AR87" t="b">
        <f>OR(AND(IF(metadata!G87="",FALSE,TRUE),OR(EXACT(metadata!G87,"missing: not collected"),EXACT(metadata!G87,"missing: not provided"),EXACT(metadata!G87,"missing: restricted access"))),AND(IF(metadata!G87="",FALSE,ISNUMBER(VALUE(metadata!G87))),metadata!G87&gt;=-413))</f>
        <v>0</v>
      </c>
      <c r="AS87" t="b">
        <f>AND(IF(metadata!H87="",FALSE,TRUE),EXACT(metadata!H87,"meters"))</f>
        <v>0</v>
      </c>
      <c r="AT87" t="b">
        <f>AND(IF(metadata!I87="",FALSE,TRUE),OR(EXACT(metadata!I87,"Host-associated"),EXACT(metadata!I87,"Free-living")))</f>
        <v>0</v>
      </c>
      <c r="AU87" t="b">
        <f>AND(IF(metadata!J87="",FALSE,TRUE),OR(EXACT(metadata!J87,"Animal"),EXACT(metadata!J87,"Fungus"),EXACT(metadata!J87,"Plant"),EXACT(metadata!J87,"Saline"),EXACT(metadata!J87,"Non-saline")))</f>
        <v>0</v>
      </c>
      <c r="AV87" t="b">
        <f>AND(IF(metadata!K87="",FALSE,TRUE),OR(EXACT(metadata!K87,"Plant secretion"),EXACT(metadata!K87,"Plant rhizosphere"),EXACT(metadata!K87,"Plant surface"),EXACT(metadata!K87,"Plant corpus"),EXACT(metadata!K87,"Fungus surface"),EXACT(metadata!K87,"Fungus corpus"),EXACT(metadata!K87,"Animal surface"),EXACT(metadata!K87,"Animal proximal gut"),EXACT(metadata!K87,"Animal corpus"),EXACT(metadata!K87,"Animal distal gut"),EXACT(metadata!K87,"Animal secretion"),EXACT(metadata!K87,"Sub-surface (non-saline)"),EXACT(metadata!K87,"Surface (non-saline)"),EXACT(metadata!K87,"Water (non-saline)"),EXACT(metadata!K87,"Soil (non-saline)"),EXACT(metadata!K87,"Aerosol (non-saline)"),EXACT(metadata!K87,"Sediment (non-saline)"),EXACT(metadata!K87,"Surface (saline)"),EXACT(metadata!K87,"Water (saline)"),EXACT(metadata!K87,"Hypersaline (saline)"),EXACT(metadata!K87,"Aerosol (saline)"),EXACT(metadata!K87,"Sediment (saline)")))</f>
        <v>0</v>
      </c>
      <c r="AW87" t="b">
        <f>IF(metadata!L87="",FALSE,TRUE)</f>
        <v>0</v>
      </c>
      <c r="AX87" t="b">
        <f>IF(metadata!M87="",FALSE,TRUE)</f>
        <v>0</v>
      </c>
      <c r="AY87" t="b">
        <f>IF(metadata!N87="",FALSE,TRUE)</f>
        <v>0</v>
      </c>
      <c r="AZ87" t="b">
        <f>OR(AND(IF(metadata!O87="",FALSE,TRUE),OR(EXACT(metadata!O87,"missing: not collected"),EXACT(metadata!O87,"missing: not provided"),EXACT(metadata!O87,"missing: restricted access"))),AND(IF(metadata!O87="",FALSE,TRUE),OR(EXACT(metadata!O87,"air"),EXACT(metadata!O87,"built environment"),EXACT(metadata!O87,"host-associated"),EXACT(metadata!O87,"human-associated"),EXACT(metadata!O87,"human-skin"),EXACT(metadata!O87,"human-oral"),EXACT(metadata!O87,"human-gut"),EXACT(metadata!O87,"human-vaginal"),EXACT(metadata!O87,"microbial mat/biofilm"),EXACT(metadata!O87,"misc environment"),EXACT(metadata!O87,"plant-associated"),EXACT(metadata!O87,"sediment"),EXACT(metadata!O87,"soil"),EXACT(metadata!O87,"wastewater/sludge"),EXACT(metadata!O87,"water"))))</f>
        <v>0</v>
      </c>
      <c r="BA87" t="b">
        <f>IF(metadata!P87="",FALSE,TRUE)</f>
        <v>0</v>
      </c>
      <c r="BB87" t="b">
        <f>IF(metadata!Q87="",FALSE,TRUE)</f>
        <v>0</v>
      </c>
      <c r="BC87" t="b">
        <f>OR(AND(IF(metadata!R87="",FALSE,TRUE),OR(EXACT(metadata!R87,"missing: not collected"),EXACT(metadata!R87,"missing: not provided"),EXACT(metadata!R87,"missing: restricted access"))),AND(IF(metadata!R87="",FALSE,ISNUMBER(VALUE(metadata!R87))),metadata!R87&gt;=-90,metadata!R87&lt;=90))</f>
        <v>0</v>
      </c>
      <c r="BD87" t="b">
        <f>AND(IF(metadata!S87="",FALSE,TRUE),EXACT(metadata!S87,"Decimal degrees"))</f>
        <v>0</v>
      </c>
      <c r="BE87" t="b">
        <f>OR(AND(IF(metadata!T87="",FALSE,TRUE),OR(EXACT(metadata!T87,"missing: not collected"),EXACT(metadata!T87,"missing: not provided"),EXACT(metadata!T87,"missing: restricted access"))),AND(IF(metadata!T87="",FALSE,ISNUMBER(VALUE(metadata!T87))),metadata!T87&gt;=-180,metadata!T87&lt;=180))</f>
        <v>0</v>
      </c>
      <c r="BF87" t="b">
        <f>AND(IF(metadata!U87="",FALSE,TRUE),EXACT(metadata!U87,"Decimal degrees"))</f>
        <v>0</v>
      </c>
      <c r="BG87" t="b">
        <f>IF(metadata!V87="",FALSE,TRUE)</f>
        <v>0</v>
      </c>
      <c r="BH87" t="b">
        <f>OR(AND(IF(metadata!W87="",FALSE,TRUE),OR(EXACT(metadata!W87,"missing: not collected"),EXACT(metadata!W87,"missing: not provided"),EXACT(metadata!W87,"missing: restricted access"))),AND(IF(metadata!W87="",FALSE,TRUE),OR(EXACT(metadata!W87,"TRUE"),EXACT(metadata!W87,"FALSE"))))</f>
        <v>0</v>
      </c>
      <c r="BI87" t="b">
        <f>AND(IF(metadata!X87="",FALSE,TRUE),EXACT(metadata!X87,"other"))</f>
        <v>0</v>
      </c>
      <c r="BJ87" t="b">
        <f>IF(metadata!Y87="",FALSE,TRUE)</f>
        <v>0</v>
      </c>
      <c r="BK87" t="b">
        <f>OR(AND(IF(metadata!Z87="",FALSE,TRUE),OR(EXACT(metadata!Z87,"missing: not collected"),EXACT(metadata!Z87,"missing: not provided"))),AND(IF(metadata!Z87="",FALSE,IF(ISERROR(INT(metadata!Z87)),FALSE,INT(metadata!Z87)=metadata!Z87)),metadata!Z87&gt;0))</f>
        <v>0</v>
      </c>
      <c r="BL87" t="b">
        <f>AND(IF(metadata!AA87="",FALSE,TRUE),EXACT(metadata!AA87,"Not applicable"))</f>
        <v>0</v>
      </c>
      <c r="BM87" t="b">
        <f>IF(metadata!AB87="",FALSE,TRUE)</f>
        <v>0</v>
      </c>
    </row>
    <row r="88" spans="1:65" x14ac:dyDescent="0.2">
      <c r="A88" s="5" t="str">
        <f ca="1">IF(B88=" "," ",HYPERLINK(CONCATENATE("#metadata!",ADDRESS(INDEX($AH$2:$AH$1001,MATCH(ROWS($AF$2:AF88),$AF$2:$AF$1001,0),0),1)),INDEX($AK$2:$AK$1001,MATCH(ROWS($AF$2:AF88),$AF$2:$AF$1001,0),0)))</f>
        <v xml:space="preserve"> </v>
      </c>
      <c r="B88" s="4" t="str">
        <f ca="1">IF(OR(INDEX($AG$2:$AG$1001,MATCH(ROWS($AF$2:AF88),$AF$2:$AF$1001,0),1)&gt;=100000,INDEX($AM$1005:$BM$1005,1,MATCH(COLUMNS($AM$1006:AM1006),$AM$1006:$BM$1006,0))&gt;=100000), " ",IF(INDEX($AM$2:$BM$1001,MATCH(ROWS($AF$2:AF88),$AF$2:$AF$1001,0),MATCH(COLUMNS($AM$1006:AM1006),$AM$1006:$BM$1006,0)), HYPERLINK("#",""), HYPERLINK(CONCATENATE("#metadata!", ADDRESS(INDEX($AH$2:$AH$1001,MATCH(ROWS($AF$2:AF88),$AF$2:$AF$1001,0),0), INDEX($AM$1004:$BM$1004,1,MATCH(COLUMNS($AM$1006:AM1006),$AM$1006:$BM$1006,0)))),"Fix")))</f>
        <v xml:space="preserve"> </v>
      </c>
      <c r="C88" s="4" t="str">
        <f ca="1">IF(OR(INDEX($AG$2:$AG$1001,MATCH(ROWS($AF$2:AF88),$AF$2:$AF$1001,0),1)&gt;=100000,INDEX($AM$1005:$BM$1005,1,MATCH(COLUMNS($AM$1006:AN1006),$AM$1006:$BM$1006,0))&gt;=100000), " ",IF(INDEX($AM$2:$BM$1001,MATCH(ROWS($AF$2:AF88),$AF$2:$AF$1001,0),MATCH(COLUMNS($AM$1006:AN1006),$AM$1006:$BM$1006,0)), HYPERLINK("#",""), HYPERLINK(CONCATENATE("#metadata!", ADDRESS(INDEX($AH$2:$AH$1001,MATCH(ROWS($AF$2:AF88),$AF$2:$AF$1001,0),0), INDEX($AM$1004:$BM$1004,1,MATCH(COLUMNS($AM$1006:AN1006),$AM$1006:$BM$1006,0)))),"Fix")))</f>
        <v xml:space="preserve"> </v>
      </c>
      <c r="D88" s="4" t="str">
        <f ca="1">IF(OR(INDEX($AG$2:$AG$1001,MATCH(ROWS($AF$2:AF88),$AF$2:$AF$1001,0),1)&gt;=100000,INDEX($AM$1005:$BM$1005,1,MATCH(COLUMNS($AM$1006:AO1006),$AM$1006:$BM$1006,0))&gt;=100000), " ",IF(INDEX($AM$2:$BM$1001,MATCH(ROWS($AF$2:AF88),$AF$2:$AF$1001,0),MATCH(COLUMNS($AM$1006:AO1006),$AM$1006:$BM$1006,0)), HYPERLINK("#",""), HYPERLINK(CONCATENATE("#metadata!", ADDRESS(INDEX($AH$2:$AH$1001,MATCH(ROWS($AF$2:AF88),$AF$2:$AF$1001,0),0), INDEX($AM$1004:$BM$1004,1,MATCH(COLUMNS($AM$1006:AO1006),$AM$1006:$BM$1006,0)))),"Fix")))</f>
        <v xml:space="preserve"> </v>
      </c>
      <c r="E88" s="4" t="str">
        <f ca="1">IF(OR(INDEX($AG$2:$AG$1001,MATCH(ROWS($AF$2:AF88),$AF$2:$AF$1001,0),1)&gt;=100000,INDEX($AM$1005:$BM$1005,1,MATCH(COLUMNS($AM$1006:AP1006),$AM$1006:$BM$1006,0))&gt;=100000), " ",IF(INDEX($AM$2:$BM$1001,MATCH(ROWS($AF$2:AF88),$AF$2:$AF$1001,0),MATCH(COLUMNS($AM$1006:AP1006),$AM$1006:$BM$1006,0)), HYPERLINK("#",""), HYPERLINK(CONCATENATE("#metadata!", ADDRESS(INDEX($AH$2:$AH$1001,MATCH(ROWS($AF$2:AF88),$AF$2:$AF$1001,0),0), INDEX($AM$1004:$BM$1004,1,MATCH(COLUMNS($AM$1006:AP1006),$AM$1006:$BM$1006,0)))),"Fix")))</f>
        <v xml:space="preserve"> </v>
      </c>
      <c r="F88" s="4" t="str">
        <f ca="1">IF(OR(INDEX($AG$2:$AG$1001,MATCH(ROWS($AF$2:AF88),$AF$2:$AF$1001,0),1)&gt;=100000,INDEX($AM$1005:$BM$1005,1,MATCH(COLUMNS($AM$1006:AQ1006),$AM$1006:$BM$1006,0))&gt;=100000), " ",IF(INDEX($AM$2:$BM$1001,MATCH(ROWS($AF$2:AF88),$AF$2:$AF$1001,0),MATCH(COLUMNS($AM$1006:AQ1006),$AM$1006:$BM$1006,0)), HYPERLINK("#",""), HYPERLINK(CONCATENATE("#metadata!", ADDRESS(INDEX($AH$2:$AH$1001,MATCH(ROWS($AF$2:AF88),$AF$2:$AF$1001,0),0), INDEX($AM$1004:$BM$1004,1,MATCH(COLUMNS($AM$1006:AQ1006),$AM$1006:$BM$1006,0)))),"Fix")))</f>
        <v xml:space="preserve"> </v>
      </c>
      <c r="G88" s="4" t="str">
        <f ca="1">IF(OR(INDEX($AG$2:$AG$1001,MATCH(ROWS($AF$2:AF88),$AF$2:$AF$1001,0),1)&gt;=100000,INDEX($AM$1005:$BM$1005,1,MATCH(COLUMNS($AM$1006:AR1006),$AM$1006:$BM$1006,0))&gt;=100000), " ",IF(INDEX($AM$2:$BM$1001,MATCH(ROWS($AF$2:AF88),$AF$2:$AF$1001,0),MATCH(COLUMNS($AM$1006:AR1006),$AM$1006:$BM$1006,0)), HYPERLINK("#",""), HYPERLINK(CONCATENATE("#metadata!", ADDRESS(INDEX($AH$2:$AH$1001,MATCH(ROWS($AF$2:AF88),$AF$2:$AF$1001,0),0), INDEX($AM$1004:$BM$1004,1,MATCH(COLUMNS($AM$1006:AR1006),$AM$1006:$BM$1006,0)))),"Fix")))</f>
        <v xml:space="preserve"> </v>
      </c>
      <c r="H88" s="4" t="str">
        <f ca="1">IF(OR(INDEX($AG$2:$AG$1001,MATCH(ROWS($AF$2:AF88),$AF$2:$AF$1001,0),1)&gt;=100000,INDEX($AM$1005:$BM$1005,1,MATCH(COLUMNS($AM$1006:AS1006),$AM$1006:$BM$1006,0))&gt;=100000), " ",IF(INDEX($AM$2:$BM$1001,MATCH(ROWS($AF$2:AF88),$AF$2:$AF$1001,0),MATCH(COLUMNS($AM$1006:AS1006),$AM$1006:$BM$1006,0)), HYPERLINK("#",""), HYPERLINK(CONCATENATE("#metadata!", ADDRESS(INDEX($AH$2:$AH$1001,MATCH(ROWS($AF$2:AF88),$AF$2:$AF$1001,0),0), INDEX($AM$1004:$BM$1004,1,MATCH(COLUMNS($AM$1006:AS1006),$AM$1006:$BM$1006,0)))),"Fix")))</f>
        <v xml:space="preserve"> </v>
      </c>
      <c r="I88" s="4" t="str">
        <f ca="1">IF(OR(INDEX($AG$2:$AG$1001,MATCH(ROWS($AF$2:AF88),$AF$2:$AF$1001,0),1)&gt;=100000,INDEX($AM$1005:$BM$1005,1,MATCH(COLUMNS($AM$1006:AT1006),$AM$1006:$BM$1006,0))&gt;=100000), " ",IF(INDEX($AM$2:$BM$1001,MATCH(ROWS($AF$2:AF88),$AF$2:$AF$1001,0),MATCH(COLUMNS($AM$1006:AT1006),$AM$1006:$BM$1006,0)), HYPERLINK("#",""), HYPERLINK(CONCATENATE("#metadata!", ADDRESS(INDEX($AH$2:$AH$1001,MATCH(ROWS($AF$2:AF88),$AF$2:$AF$1001,0),0), INDEX($AM$1004:$BM$1004,1,MATCH(COLUMNS($AM$1006:AT1006),$AM$1006:$BM$1006,0)))),"Fix")))</f>
        <v xml:space="preserve"> </v>
      </c>
      <c r="J88" s="4" t="str">
        <f ca="1">IF(OR(INDEX($AG$2:$AG$1001,MATCH(ROWS($AF$2:AF88),$AF$2:$AF$1001,0),1)&gt;=100000,INDEX($AM$1005:$BM$1005,1,MATCH(COLUMNS($AM$1006:AU1006),$AM$1006:$BM$1006,0))&gt;=100000), " ",IF(INDEX($AM$2:$BM$1001,MATCH(ROWS($AF$2:AF88),$AF$2:$AF$1001,0),MATCH(COLUMNS($AM$1006:AU1006),$AM$1006:$BM$1006,0)), HYPERLINK("#",""), HYPERLINK(CONCATENATE("#metadata!", ADDRESS(INDEX($AH$2:$AH$1001,MATCH(ROWS($AF$2:AF88),$AF$2:$AF$1001,0),0), INDEX($AM$1004:$BM$1004,1,MATCH(COLUMNS($AM$1006:AU1006),$AM$1006:$BM$1006,0)))),"Fix")))</f>
        <v xml:space="preserve"> </v>
      </c>
      <c r="K88" s="4" t="str">
        <f ca="1">IF(OR(INDEX($AG$2:$AG$1001,MATCH(ROWS($AF$2:AF88),$AF$2:$AF$1001,0),1)&gt;=100000,INDEX($AM$1005:$BM$1005,1,MATCH(COLUMNS($AM$1006:AV1006),$AM$1006:$BM$1006,0))&gt;=100000), " ",IF(INDEX($AM$2:$BM$1001,MATCH(ROWS($AF$2:AF88),$AF$2:$AF$1001,0),MATCH(COLUMNS($AM$1006:AV1006),$AM$1006:$BM$1006,0)), HYPERLINK("#",""), HYPERLINK(CONCATENATE("#metadata!", ADDRESS(INDEX($AH$2:$AH$1001,MATCH(ROWS($AF$2:AF88),$AF$2:$AF$1001,0),0), INDEX($AM$1004:$BM$1004,1,MATCH(COLUMNS($AM$1006:AV1006),$AM$1006:$BM$1006,0)))),"Fix")))</f>
        <v xml:space="preserve"> </v>
      </c>
      <c r="L88" s="4" t="str">
        <f ca="1">IF(OR(INDEX($AG$2:$AG$1001,MATCH(ROWS($AF$2:AF88),$AF$2:$AF$1001,0),1)&gt;=100000,INDEX($AM$1005:$BM$1005,1,MATCH(COLUMNS($AM$1006:AW1006),$AM$1006:$BM$1006,0))&gt;=100000), " ",IF(INDEX($AM$2:$BM$1001,MATCH(ROWS($AF$2:AF88),$AF$2:$AF$1001,0),MATCH(COLUMNS($AM$1006:AW1006),$AM$1006:$BM$1006,0)), HYPERLINK("#",""), HYPERLINK(CONCATENATE("#metadata!", ADDRESS(INDEX($AH$2:$AH$1001,MATCH(ROWS($AF$2:AF88),$AF$2:$AF$1001,0),0), INDEX($AM$1004:$BM$1004,1,MATCH(COLUMNS($AM$1006:AW1006),$AM$1006:$BM$1006,0)))),"Fix")))</f>
        <v xml:space="preserve"> </v>
      </c>
      <c r="M88" s="4" t="str">
        <f ca="1">IF(OR(INDEX($AG$2:$AG$1001,MATCH(ROWS($AF$2:AF88),$AF$2:$AF$1001,0),1)&gt;=100000,INDEX($AM$1005:$BM$1005,1,MATCH(COLUMNS($AM$1006:AX1006),$AM$1006:$BM$1006,0))&gt;=100000), " ",IF(INDEX($AM$2:$BM$1001,MATCH(ROWS($AF$2:AF88),$AF$2:$AF$1001,0),MATCH(COLUMNS($AM$1006:AX1006),$AM$1006:$BM$1006,0)), HYPERLINK("#",""), HYPERLINK(CONCATENATE("#metadata!", ADDRESS(INDEX($AH$2:$AH$1001,MATCH(ROWS($AF$2:AF88),$AF$2:$AF$1001,0),0), INDEX($AM$1004:$BM$1004,1,MATCH(COLUMNS($AM$1006:AX1006),$AM$1006:$BM$1006,0)))),"Fix")))</f>
        <v xml:space="preserve"> </v>
      </c>
      <c r="N88" s="4" t="str">
        <f ca="1">IF(OR(INDEX($AG$2:$AG$1001,MATCH(ROWS($AF$2:AF88),$AF$2:$AF$1001,0),1)&gt;=100000,INDEX($AM$1005:$BM$1005,1,MATCH(COLUMNS($AM$1006:AY1006),$AM$1006:$BM$1006,0))&gt;=100000), " ",IF(INDEX($AM$2:$BM$1001,MATCH(ROWS($AF$2:AF88),$AF$2:$AF$1001,0),MATCH(COLUMNS($AM$1006:AY1006),$AM$1006:$BM$1006,0)), HYPERLINK("#",""), HYPERLINK(CONCATENATE("#metadata!", ADDRESS(INDEX($AH$2:$AH$1001,MATCH(ROWS($AF$2:AF88),$AF$2:$AF$1001,0),0), INDEX($AM$1004:$BM$1004,1,MATCH(COLUMNS($AM$1006:AY1006),$AM$1006:$BM$1006,0)))),"Fix")))</f>
        <v xml:space="preserve"> </v>
      </c>
      <c r="O88" s="4" t="str">
        <f ca="1">IF(OR(INDEX($AG$2:$AG$1001,MATCH(ROWS($AF$2:AF88),$AF$2:$AF$1001,0),1)&gt;=100000,INDEX($AM$1005:$BM$1005,1,MATCH(COLUMNS($AM$1006:AZ1006),$AM$1006:$BM$1006,0))&gt;=100000), " ",IF(INDEX($AM$2:$BM$1001,MATCH(ROWS($AF$2:AF88),$AF$2:$AF$1001,0),MATCH(COLUMNS($AM$1006:AZ1006),$AM$1006:$BM$1006,0)), HYPERLINK("#",""), HYPERLINK(CONCATENATE("#metadata!", ADDRESS(INDEX($AH$2:$AH$1001,MATCH(ROWS($AF$2:AF88),$AF$2:$AF$1001,0),0), INDEX($AM$1004:$BM$1004,1,MATCH(COLUMNS($AM$1006:AZ1006),$AM$1006:$BM$1006,0)))),"Fix")))</f>
        <v xml:space="preserve"> </v>
      </c>
      <c r="P88" s="4" t="str">
        <f ca="1">IF(OR(INDEX($AG$2:$AG$1001,MATCH(ROWS($AF$2:AF88),$AF$2:$AF$1001,0),1)&gt;=100000,INDEX($AM$1005:$BM$1005,1,MATCH(COLUMNS($AM$1006:BA1006),$AM$1006:$BM$1006,0))&gt;=100000), " ",IF(INDEX($AM$2:$BM$1001,MATCH(ROWS($AF$2:AF88),$AF$2:$AF$1001,0),MATCH(COLUMNS($AM$1006:BA1006),$AM$1006:$BM$1006,0)), HYPERLINK("#",""), HYPERLINK(CONCATENATE("#metadata!", ADDRESS(INDEX($AH$2:$AH$1001,MATCH(ROWS($AF$2:AF88),$AF$2:$AF$1001,0),0), INDEX($AM$1004:$BM$1004,1,MATCH(COLUMNS($AM$1006:BA1006),$AM$1006:$BM$1006,0)))),"Fix")))</f>
        <v xml:space="preserve"> </v>
      </c>
      <c r="Q88" s="4" t="str">
        <f ca="1">IF(OR(INDEX($AG$2:$AG$1001,MATCH(ROWS($AF$2:AF88),$AF$2:$AF$1001,0),1)&gt;=100000,INDEX($AM$1005:$BM$1005,1,MATCH(COLUMNS($AM$1006:BB1006),$AM$1006:$BM$1006,0))&gt;=100000), " ",IF(INDEX($AM$2:$BM$1001,MATCH(ROWS($AF$2:AF88),$AF$2:$AF$1001,0),MATCH(COLUMNS($AM$1006:BB1006),$AM$1006:$BM$1006,0)), HYPERLINK("#",""), HYPERLINK(CONCATENATE("#metadata!", ADDRESS(INDEX($AH$2:$AH$1001,MATCH(ROWS($AF$2:AF88),$AF$2:$AF$1001,0),0), INDEX($AM$1004:$BM$1004,1,MATCH(COLUMNS($AM$1006:BB1006),$AM$1006:$BM$1006,0)))),"Fix")))</f>
        <v xml:space="preserve"> </v>
      </c>
      <c r="R88" s="4" t="str">
        <f ca="1">IF(OR(INDEX($AG$2:$AG$1001,MATCH(ROWS($AF$2:AF88),$AF$2:$AF$1001,0),1)&gt;=100000,INDEX($AM$1005:$BM$1005,1,MATCH(COLUMNS($AM$1006:BC1006),$AM$1006:$BM$1006,0))&gt;=100000), " ",IF(INDEX($AM$2:$BM$1001,MATCH(ROWS($AF$2:AF88),$AF$2:$AF$1001,0),MATCH(COLUMNS($AM$1006:BC1006),$AM$1006:$BM$1006,0)), HYPERLINK("#",""), HYPERLINK(CONCATENATE("#metadata!", ADDRESS(INDEX($AH$2:$AH$1001,MATCH(ROWS($AF$2:AF88),$AF$2:$AF$1001,0),0), INDEX($AM$1004:$BM$1004,1,MATCH(COLUMNS($AM$1006:BC1006),$AM$1006:$BM$1006,0)))),"Fix")))</f>
        <v xml:space="preserve"> </v>
      </c>
      <c r="S88" s="4" t="str">
        <f ca="1">IF(OR(INDEX($AG$2:$AG$1001,MATCH(ROWS($AF$2:AF88),$AF$2:$AF$1001,0),1)&gt;=100000,INDEX($AM$1005:$BM$1005,1,MATCH(COLUMNS($AM$1006:BD1006),$AM$1006:$BM$1006,0))&gt;=100000), " ",IF(INDEX($AM$2:$BM$1001,MATCH(ROWS($AF$2:AF88),$AF$2:$AF$1001,0),MATCH(COLUMNS($AM$1006:BD1006),$AM$1006:$BM$1006,0)), HYPERLINK("#",""), HYPERLINK(CONCATENATE("#metadata!", ADDRESS(INDEX($AH$2:$AH$1001,MATCH(ROWS($AF$2:AF88),$AF$2:$AF$1001,0),0), INDEX($AM$1004:$BM$1004,1,MATCH(COLUMNS($AM$1006:BD1006),$AM$1006:$BM$1006,0)))),"Fix")))</f>
        <v xml:space="preserve"> </v>
      </c>
      <c r="T88" s="4" t="str">
        <f ca="1">IF(OR(INDEX($AG$2:$AG$1001,MATCH(ROWS($AF$2:AF88),$AF$2:$AF$1001,0),1)&gt;=100000,INDEX($AM$1005:$BM$1005,1,MATCH(COLUMNS($AM$1006:BE1006),$AM$1006:$BM$1006,0))&gt;=100000), " ",IF(INDEX($AM$2:$BM$1001,MATCH(ROWS($AF$2:AF88),$AF$2:$AF$1001,0),MATCH(COLUMNS($AM$1006:BE1006),$AM$1006:$BM$1006,0)), HYPERLINK("#",""), HYPERLINK(CONCATENATE("#metadata!", ADDRESS(INDEX($AH$2:$AH$1001,MATCH(ROWS($AF$2:AF88),$AF$2:$AF$1001,0),0), INDEX($AM$1004:$BM$1004,1,MATCH(COLUMNS($AM$1006:BE1006),$AM$1006:$BM$1006,0)))),"Fix")))</f>
        <v xml:space="preserve"> </v>
      </c>
      <c r="U88" s="4" t="str">
        <f ca="1">IF(OR(INDEX($AG$2:$AG$1001,MATCH(ROWS($AF$2:AF88),$AF$2:$AF$1001,0),1)&gt;=100000,INDEX($AM$1005:$BM$1005,1,MATCH(COLUMNS($AM$1006:BF1006),$AM$1006:$BM$1006,0))&gt;=100000), " ",IF(INDEX($AM$2:$BM$1001,MATCH(ROWS($AF$2:AF88),$AF$2:$AF$1001,0),MATCH(COLUMNS($AM$1006:BF1006),$AM$1006:$BM$1006,0)), HYPERLINK("#",""), HYPERLINK(CONCATENATE("#metadata!", ADDRESS(INDEX($AH$2:$AH$1001,MATCH(ROWS($AF$2:AF88),$AF$2:$AF$1001,0),0), INDEX($AM$1004:$BM$1004,1,MATCH(COLUMNS($AM$1006:BF1006),$AM$1006:$BM$1006,0)))),"Fix")))</f>
        <v xml:space="preserve"> </v>
      </c>
      <c r="V88" s="4" t="str">
        <f ca="1">IF(OR(INDEX($AG$2:$AG$1001,MATCH(ROWS($AF$2:AF88),$AF$2:$AF$1001,0),1)&gt;=100000,INDEX($AM$1005:$BM$1005,1,MATCH(COLUMNS($AM$1006:BG1006),$AM$1006:$BM$1006,0))&gt;=100000), " ",IF(INDEX($AM$2:$BM$1001,MATCH(ROWS($AF$2:AF88),$AF$2:$AF$1001,0),MATCH(COLUMNS($AM$1006:BG1006),$AM$1006:$BM$1006,0)), HYPERLINK("#",""), HYPERLINK(CONCATENATE("#metadata!", ADDRESS(INDEX($AH$2:$AH$1001,MATCH(ROWS($AF$2:AF88),$AF$2:$AF$1001,0),0), INDEX($AM$1004:$BM$1004,1,MATCH(COLUMNS($AM$1006:BG1006),$AM$1006:$BM$1006,0)))),"Fix")))</f>
        <v xml:space="preserve"> </v>
      </c>
      <c r="W88" s="4" t="str">
        <f ca="1">IF(OR(INDEX($AG$2:$AG$1001,MATCH(ROWS($AF$2:AF88),$AF$2:$AF$1001,0),1)&gt;=100000,INDEX($AM$1005:$BM$1005,1,MATCH(COLUMNS($AM$1006:BH1006),$AM$1006:$BM$1006,0))&gt;=100000), " ",IF(INDEX($AM$2:$BM$1001,MATCH(ROWS($AF$2:AF88),$AF$2:$AF$1001,0),MATCH(COLUMNS($AM$1006:BH1006),$AM$1006:$BM$1006,0)), HYPERLINK("#",""), HYPERLINK(CONCATENATE("#metadata!", ADDRESS(INDEX($AH$2:$AH$1001,MATCH(ROWS($AF$2:AF88),$AF$2:$AF$1001,0),0), INDEX($AM$1004:$BM$1004,1,MATCH(COLUMNS($AM$1006:BH1006),$AM$1006:$BM$1006,0)))),"Fix")))</f>
        <v xml:space="preserve"> </v>
      </c>
      <c r="X88" s="4" t="str">
        <f ca="1">IF(OR(INDEX($AG$2:$AG$1001,MATCH(ROWS($AF$2:AF88),$AF$2:$AF$1001,0),1)&gt;=100000,INDEX($AM$1005:$BM$1005,1,MATCH(COLUMNS($AM$1006:BI1006),$AM$1006:$BM$1006,0))&gt;=100000), " ",IF(INDEX($AM$2:$BM$1001,MATCH(ROWS($AF$2:AF88),$AF$2:$AF$1001,0),MATCH(COLUMNS($AM$1006:BI1006),$AM$1006:$BM$1006,0)), HYPERLINK("#",""), HYPERLINK(CONCATENATE("#metadata!", ADDRESS(INDEX($AH$2:$AH$1001,MATCH(ROWS($AF$2:AF88),$AF$2:$AF$1001,0),0), INDEX($AM$1004:$BM$1004,1,MATCH(COLUMNS($AM$1006:BI1006),$AM$1006:$BM$1006,0)))),"Fix")))</f>
        <v xml:space="preserve"> </v>
      </c>
      <c r="Y88" s="4" t="str">
        <f ca="1">IF(OR(INDEX($AG$2:$AG$1001,MATCH(ROWS($AF$2:AF88),$AF$2:$AF$1001,0),1)&gt;=100000,INDEX($AM$1005:$BM$1005,1,MATCH(COLUMNS($AM$1006:BJ1006),$AM$1006:$BM$1006,0))&gt;=100000), " ",IF(INDEX($AM$2:$BM$1001,MATCH(ROWS($AF$2:AF88),$AF$2:$AF$1001,0),MATCH(COLUMNS($AM$1006:BJ1006),$AM$1006:$BM$1006,0)), HYPERLINK("#",""), HYPERLINK(CONCATENATE("#metadata!", ADDRESS(INDEX($AH$2:$AH$1001,MATCH(ROWS($AF$2:AF88),$AF$2:$AF$1001,0),0), INDEX($AM$1004:$BM$1004,1,MATCH(COLUMNS($AM$1006:BJ1006),$AM$1006:$BM$1006,0)))),"Fix")))</f>
        <v xml:space="preserve"> </v>
      </c>
      <c r="Z88" s="4" t="str">
        <f ca="1">IF(OR(INDEX($AG$2:$AG$1001,MATCH(ROWS($AF$2:AF88),$AF$2:$AF$1001,0),1)&gt;=100000,INDEX($AM$1005:$BM$1005,1,MATCH(COLUMNS($AM$1006:BK1006),$AM$1006:$BM$1006,0))&gt;=100000), " ",IF(INDEX($AM$2:$BM$1001,MATCH(ROWS($AF$2:AF88),$AF$2:$AF$1001,0),MATCH(COLUMNS($AM$1006:BK1006),$AM$1006:$BM$1006,0)), HYPERLINK("#",""), HYPERLINK(CONCATENATE("#metadata!", ADDRESS(INDEX($AH$2:$AH$1001,MATCH(ROWS($AF$2:AF88),$AF$2:$AF$1001,0),0), INDEX($AM$1004:$BM$1004,1,MATCH(COLUMNS($AM$1006:BK1006),$AM$1006:$BM$1006,0)))),"Fix")))</f>
        <v xml:space="preserve"> </v>
      </c>
      <c r="AA88" s="4" t="str">
        <f ca="1">IF(OR(INDEX($AG$2:$AG$1001,MATCH(ROWS($AF$2:AF88),$AF$2:$AF$1001,0),1)&gt;=100000,INDEX($AM$1005:$BM$1005,1,MATCH(COLUMNS($AM$1006:BL1006),$AM$1006:$BM$1006,0))&gt;=100000), " ",IF(INDEX($AM$2:$BM$1001,MATCH(ROWS($AF$2:AF88),$AF$2:$AF$1001,0),MATCH(COLUMNS($AM$1006:BL1006),$AM$1006:$BM$1006,0)), HYPERLINK("#",""), HYPERLINK(CONCATENATE("#metadata!", ADDRESS(INDEX($AH$2:$AH$1001,MATCH(ROWS($AF$2:AF88),$AF$2:$AF$1001,0),0), INDEX($AM$1004:$BM$1004,1,MATCH(COLUMNS($AM$1006:BL1006),$AM$1006:$BM$1006,0)))),"Fix")))</f>
        <v xml:space="preserve"> </v>
      </c>
      <c r="AB88" s="4" t="str">
        <f ca="1">IF(OR(INDEX($AG$2:$AG$1001,MATCH(ROWS($AF$2:AF88),$AF$2:$AF$1001,0),1)&gt;=100000,INDEX($AM$1005:$BM$1005,1,MATCH(COLUMNS($AM$1006:BM1006),$AM$1006:$BM$1006,0))&gt;=100000), " ",IF(INDEX($AM$2:$BM$1001,MATCH(ROWS($AF$2:AF88),$AF$2:$AF$1001,0),MATCH(COLUMNS($AM$1006:BM1006),$AM$1006:$BM$1006,0)), HYPERLINK("#",""), HYPERLINK(CONCATENATE("#metadata!", ADDRESS(INDEX($AH$2:$AH$1001,MATCH(ROWS($AF$2:AF88),$AF$2:$AF$1001,0),0), INDEX($AM$1004:$BM$1004,1,MATCH(COLUMNS($AM$1006:BM1006),$AM$1006:$BM$1006,0)))),"Fix")))</f>
        <v xml:space="preserve"> </v>
      </c>
      <c r="AF88">
        <v>87</v>
      </c>
      <c r="AG88">
        <v>100088</v>
      </c>
      <c r="AH88">
        <v>88</v>
      </c>
      <c r="AI88" t="b">
        <f t="shared" si="1"/>
        <v>1</v>
      </c>
      <c r="AJ88" t="b">
        <f>COUNTBLANK(metadata!B88:AB88)=COLUMNS(metadata!B88:AB88)</f>
        <v>1</v>
      </c>
      <c r="AK88" t="str">
        <v/>
      </c>
      <c r="AM88" t="b">
        <f ca="1">AND(IF(metadata!B88="",FALSE,TRUE),COUNTIF(metadata!B:B, metadata!B88) = 1,NOT(ISERROR(SUMPRODUCT(SEARCH(MID(metadata!B88,ROW(INDIRECT("1:"&amp;LEN(metadata!B88))), 1),"0123456789abcdefghijklmnopqrstuvwxyzABCDEFGHIJKLMNOPQRSTUVWXYZ.")))))</f>
        <v>0</v>
      </c>
      <c r="AN88" t="b">
        <f ca="1">OR(AND(IF(metadata!C88="",FALSE,TRUE),OR(EXACT(metadata!C88,"missing: not collected"),EXACT(metadata!C88,"missing: not provided"),EXACT(metadata!C88,"missing: restricted access"))),AND(IF(metadata!C88="",FALSE,TRUE),AND(AND(IFERROR(INT(LEFT(metadata!C88,4))&gt;1900,FALSE),IFERROR(INT(LEFT(metadata!C88,4))&lt;=YEAR(NOW()),FALSE)), OR(MID(metadata!C88,5,1)="", AND(AND(MID(metadata!C88,5,1)="-",IFERROR(INT(MID(metadata!C88,6,1))&gt;=0,FALSE),IFERROR(INT(MID(metadata!C88,6,1))&lt;=1,FALSE),NOT(MID(metadata!C88,7,1)=""),IFERROR(INT(MID(metadata!C88,6,2))&gt;=1,FALSE),IFERROR(INT(MID(metadata!C88,6,2))&lt;=12,FALSE)), OR(MID(metadata!C88,8,1)="", AND(AND(MID(metadata!C88,8,1)="-",IFERROR(INT(MID(metadata!C88,9,1))&gt;=0,FALSE),IFERROR(INT(MID(metadata!C88,9,1))&lt;=3,FALSE),NOT(MID(metadata!C88,10,1)=""),IFERROR(INT(MID(metadata!C88,9,2))&gt;=1,FALSE),IFERROR(INT(MID(metadata!C88,9,2))&lt;=31,FALSE)), OR(MID(metadata!C88,11,1)="", AND(AND(MID(metadata!C88,11,1)=" ",IFERROR(INT(MID(metadata!C88,12,1))&gt;=0,FALSE),IFERROR(INT(MID(metadata!C88,12,1))&lt;=2,FALSE),NOT(MID(metadata!C88,13,1)=""),IFERROR(INT(MID(metadata!C88,12,2))&gt;=0,FALSE),IFERROR(INT(MID(metadata!C88,12,2))&lt;=23,FALSE)), OR(MID(metadata!C88,14,1)="", AND(AND(MID(metadata!C88,14,1)=":",IFERROR(INT(MID(metadata!C88,15,1))&gt;=0,FALSE),IFERROR(INT(MID(metadata!C88,15,1))&lt;=5,FALSE),NOT(MID(metadata!C88,16,1)=""),IFERROR(INT(MID(metadata!C88,15,2))&gt;=0,FALSE),IFERROR(INT(MID(metadata!C88,15,2))&lt;=59,FALSE)), OR(MID(metadata!C88,17,1)="", AND(AND(MID(metadata!C88,17,1)=":",IFERROR(INT(MID(metadata!C88,18,1))&gt;=0,FALSE),IFERROR(INT(MID(metadata!C88,18,1))&lt;=5,FALSE),NOT(MID(metadata!C88,19,1)=""),IFERROR(INT(MID(metadata!C88,18,2))&gt;=0,FALSE),IFERROR(INT(MID(metadata!C88,18,2))&lt;=59,FALSE)), LEN(metadata!C88)&lt;=19)))))))))))))</f>
        <v>0</v>
      </c>
      <c r="AO88" t="b">
        <f>AND(IF(metadata!D88="",FALSE,TRUE),EXACT(metadata!D88,"Not applicable"))</f>
        <v>0</v>
      </c>
      <c r="AP88" t="b">
        <f>IF(metadata!E88="",FALSE,TRUE)</f>
        <v>0</v>
      </c>
      <c r="AQ88" t="b">
        <f>OR(AND(IF(metadata!F88="",FALSE,TRUE),OR(EXACT(metadata!F88,"missing: not collected"),EXACT(metadata!F88,"missing: not provided"))),AND(IF(metadata!F88="",FALSE,TRUE),OR(EXACT(metadata!F88,"TRUE"),EXACT(metadata!F88,"FALSE"))))</f>
        <v>0</v>
      </c>
      <c r="AR88" t="b">
        <f>OR(AND(IF(metadata!G88="",FALSE,TRUE),OR(EXACT(metadata!G88,"missing: not collected"),EXACT(metadata!G88,"missing: not provided"),EXACT(metadata!G88,"missing: restricted access"))),AND(IF(metadata!G88="",FALSE,ISNUMBER(VALUE(metadata!G88))),metadata!G88&gt;=-413))</f>
        <v>0</v>
      </c>
      <c r="AS88" t="b">
        <f>AND(IF(metadata!H88="",FALSE,TRUE),EXACT(metadata!H88,"meters"))</f>
        <v>0</v>
      </c>
      <c r="AT88" t="b">
        <f>AND(IF(metadata!I88="",FALSE,TRUE),OR(EXACT(metadata!I88,"Host-associated"),EXACT(metadata!I88,"Free-living")))</f>
        <v>0</v>
      </c>
      <c r="AU88" t="b">
        <f>AND(IF(metadata!J88="",FALSE,TRUE),OR(EXACT(metadata!J88,"Animal"),EXACT(metadata!J88,"Fungus"),EXACT(metadata!J88,"Plant"),EXACT(metadata!J88,"Saline"),EXACT(metadata!J88,"Non-saline")))</f>
        <v>0</v>
      </c>
      <c r="AV88" t="b">
        <f>AND(IF(metadata!K88="",FALSE,TRUE),OR(EXACT(metadata!K88,"Plant secretion"),EXACT(metadata!K88,"Plant rhizosphere"),EXACT(metadata!K88,"Plant surface"),EXACT(metadata!K88,"Plant corpus"),EXACT(metadata!K88,"Fungus surface"),EXACT(metadata!K88,"Fungus corpus"),EXACT(metadata!K88,"Animal surface"),EXACT(metadata!K88,"Animal proximal gut"),EXACT(metadata!K88,"Animal corpus"),EXACT(metadata!K88,"Animal distal gut"),EXACT(metadata!K88,"Animal secretion"),EXACT(metadata!K88,"Sub-surface (non-saline)"),EXACT(metadata!K88,"Surface (non-saline)"),EXACT(metadata!K88,"Water (non-saline)"),EXACT(metadata!K88,"Soil (non-saline)"),EXACT(metadata!K88,"Aerosol (non-saline)"),EXACT(metadata!K88,"Sediment (non-saline)"),EXACT(metadata!K88,"Surface (saline)"),EXACT(metadata!K88,"Water (saline)"),EXACT(metadata!K88,"Hypersaline (saline)"),EXACT(metadata!K88,"Aerosol (saline)"),EXACT(metadata!K88,"Sediment (saline)")))</f>
        <v>0</v>
      </c>
      <c r="AW88" t="b">
        <f>IF(metadata!L88="",FALSE,TRUE)</f>
        <v>0</v>
      </c>
      <c r="AX88" t="b">
        <f>IF(metadata!M88="",FALSE,TRUE)</f>
        <v>0</v>
      </c>
      <c r="AY88" t="b">
        <f>IF(metadata!N88="",FALSE,TRUE)</f>
        <v>0</v>
      </c>
      <c r="AZ88" t="b">
        <f>OR(AND(IF(metadata!O88="",FALSE,TRUE),OR(EXACT(metadata!O88,"missing: not collected"),EXACT(metadata!O88,"missing: not provided"),EXACT(metadata!O88,"missing: restricted access"))),AND(IF(metadata!O88="",FALSE,TRUE),OR(EXACT(metadata!O88,"air"),EXACT(metadata!O88,"built environment"),EXACT(metadata!O88,"host-associated"),EXACT(metadata!O88,"human-associated"),EXACT(metadata!O88,"human-skin"),EXACT(metadata!O88,"human-oral"),EXACT(metadata!O88,"human-gut"),EXACT(metadata!O88,"human-vaginal"),EXACT(metadata!O88,"microbial mat/biofilm"),EXACT(metadata!O88,"misc environment"),EXACT(metadata!O88,"plant-associated"),EXACT(metadata!O88,"sediment"),EXACT(metadata!O88,"soil"),EXACT(metadata!O88,"wastewater/sludge"),EXACT(metadata!O88,"water"))))</f>
        <v>0</v>
      </c>
      <c r="BA88" t="b">
        <f>IF(metadata!P88="",FALSE,TRUE)</f>
        <v>0</v>
      </c>
      <c r="BB88" t="b">
        <f>IF(metadata!Q88="",FALSE,TRUE)</f>
        <v>0</v>
      </c>
      <c r="BC88" t="b">
        <f>OR(AND(IF(metadata!R88="",FALSE,TRUE),OR(EXACT(metadata!R88,"missing: not collected"),EXACT(metadata!R88,"missing: not provided"),EXACT(metadata!R88,"missing: restricted access"))),AND(IF(metadata!R88="",FALSE,ISNUMBER(VALUE(metadata!R88))),metadata!R88&gt;=-90,metadata!R88&lt;=90))</f>
        <v>0</v>
      </c>
      <c r="BD88" t="b">
        <f>AND(IF(metadata!S88="",FALSE,TRUE),EXACT(metadata!S88,"Decimal degrees"))</f>
        <v>0</v>
      </c>
      <c r="BE88" t="b">
        <f>OR(AND(IF(metadata!T88="",FALSE,TRUE),OR(EXACT(metadata!T88,"missing: not collected"),EXACT(metadata!T88,"missing: not provided"),EXACT(metadata!T88,"missing: restricted access"))),AND(IF(metadata!T88="",FALSE,ISNUMBER(VALUE(metadata!T88))),metadata!T88&gt;=-180,metadata!T88&lt;=180))</f>
        <v>0</v>
      </c>
      <c r="BF88" t="b">
        <f>AND(IF(metadata!U88="",FALSE,TRUE),EXACT(metadata!U88,"Decimal degrees"))</f>
        <v>0</v>
      </c>
      <c r="BG88" t="b">
        <f>IF(metadata!V88="",FALSE,TRUE)</f>
        <v>0</v>
      </c>
      <c r="BH88" t="b">
        <f>OR(AND(IF(metadata!W88="",FALSE,TRUE),OR(EXACT(metadata!W88,"missing: not collected"),EXACT(metadata!W88,"missing: not provided"),EXACT(metadata!W88,"missing: restricted access"))),AND(IF(metadata!W88="",FALSE,TRUE),OR(EXACT(metadata!W88,"TRUE"),EXACT(metadata!W88,"FALSE"))))</f>
        <v>0</v>
      </c>
      <c r="BI88" t="b">
        <f>AND(IF(metadata!X88="",FALSE,TRUE),EXACT(metadata!X88,"other"))</f>
        <v>0</v>
      </c>
      <c r="BJ88" t="b">
        <f>IF(metadata!Y88="",FALSE,TRUE)</f>
        <v>0</v>
      </c>
      <c r="BK88" t="b">
        <f>OR(AND(IF(metadata!Z88="",FALSE,TRUE),OR(EXACT(metadata!Z88,"missing: not collected"),EXACT(metadata!Z88,"missing: not provided"))),AND(IF(metadata!Z88="",FALSE,IF(ISERROR(INT(metadata!Z88)),FALSE,INT(metadata!Z88)=metadata!Z88)),metadata!Z88&gt;0))</f>
        <v>0</v>
      </c>
      <c r="BL88" t="b">
        <f>AND(IF(metadata!AA88="",FALSE,TRUE),EXACT(metadata!AA88,"Not applicable"))</f>
        <v>0</v>
      </c>
      <c r="BM88" t="b">
        <f>IF(metadata!AB88="",FALSE,TRUE)</f>
        <v>0</v>
      </c>
    </row>
    <row r="89" spans="1:65" x14ac:dyDescent="0.2">
      <c r="A89" s="5" t="str">
        <f ca="1">IF(B89=" "," ",HYPERLINK(CONCATENATE("#metadata!",ADDRESS(INDEX($AH$2:$AH$1001,MATCH(ROWS($AF$2:AF89),$AF$2:$AF$1001,0),0),1)),INDEX($AK$2:$AK$1001,MATCH(ROWS($AF$2:AF89),$AF$2:$AF$1001,0),0)))</f>
        <v xml:space="preserve"> </v>
      </c>
      <c r="B89" s="4" t="str">
        <f ca="1">IF(OR(INDEX($AG$2:$AG$1001,MATCH(ROWS($AF$2:AF89),$AF$2:$AF$1001,0),1)&gt;=100000,INDEX($AM$1005:$BM$1005,1,MATCH(COLUMNS($AM$1006:AM1006),$AM$1006:$BM$1006,0))&gt;=100000), " ",IF(INDEX($AM$2:$BM$1001,MATCH(ROWS($AF$2:AF89),$AF$2:$AF$1001,0),MATCH(COLUMNS($AM$1006:AM1006),$AM$1006:$BM$1006,0)), HYPERLINK("#",""), HYPERLINK(CONCATENATE("#metadata!", ADDRESS(INDEX($AH$2:$AH$1001,MATCH(ROWS($AF$2:AF89),$AF$2:$AF$1001,0),0), INDEX($AM$1004:$BM$1004,1,MATCH(COLUMNS($AM$1006:AM1006),$AM$1006:$BM$1006,0)))),"Fix")))</f>
        <v xml:space="preserve"> </v>
      </c>
      <c r="C89" s="4" t="str">
        <f ca="1">IF(OR(INDEX($AG$2:$AG$1001,MATCH(ROWS($AF$2:AF89),$AF$2:$AF$1001,0),1)&gt;=100000,INDEX($AM$1005:$BM$1005,1,MATCH(COLUMNS($AM$1006:AN1006),$AM$1006:$BM$1006,0))&gt;=100000), " ",IF(INDEX($AM$2:$BM$1001,MATCH(ROWS($AF$2:AF89),$AF$2:$AF$1001,0),MATCH(COLUMNS($AM$1006:AN1006),$AM$1006:$BM$1006,0)), HYPERLINK("#",""), HYPERLINK(CONCATENATE("#metadata!", ADDRESS(INDEX($AH$2:$AH$1001,MATCH(ROWS($AF$2:AF89),$AF$2:$AF$1001,0),0), INDEX($AM$1004:$BM$1004,1,MATCH(COLUMNS($AM$1006:AN1006),$AM$1006:$BM$1006,0)))),"Fix")))</f>
        <v xml:space="preserve"> </v>
      </c>
      <c r="D89" s="4" t="str">
        <f ca="1">IF(OR(INDEX($AG$2:$AG$1001,MATCH(ROWS($AF$2:AF89),$AF$2:$AF$1001,0),1)&gt;=100000,INDEX($AM$1005:$BM$1005,1,MATCH(COLUMNS($AM$1006:AO1006),$AM$1006:$BM$1006,0))&gt;=100000), " ",IF(INDEX($AM$2:$BM$1001,MATCH(ROWS($AF$2:AF89),$AF$2:$AF$1001,0),MATCH(COLUMNS($AM$1006:AO1006),$AM$1006:$BM$1006,0)), HYPERLINK("#",""), HYPERLINK(CONCATENATE("#metadata!", ADDRESS(INDEX($AH$2:$AH$1001,MATCH(ROWS($AF$2:AF89),$AF$2:$AF$1001,0),0), INDEX($AM$1004:$BM$1004,1,MATCH(COLUMNS($AM$1006:AO1006),$AM$1006:$BM$1006,0)))),"Fix")))</f>
        <v xml:space="preserve"> </v>
      </c>
      <c r="E89" s="4" t="str">
        <f ca="1">IF(OR(INDEX($AG$2:$AG$1001,MATCH(ROWS($AF$2:AF89),$AF$2:$AF$1001,0),1)&gt;=100000,INDEX($AM$1005:$BM$1005,1,MATCH(COLUMNS($AM$1006:AP1006),$AM$1006:$BM$1006,0))&gt;=100000), " ",IF(INDEX($AM$2:$BM$1001,MATCH(ROWS($AF$2:AF89),$AF$2:$AF$1001,0),MATCH(COLUMNS($AM$1006:AP1006),$AM$1006:$BM$1006,0)), HYPERLINK("#",""), HYPERLINK(CONCATENATE("#metadata!", ADDRESS(INDEX($AH$2:$AH$1001,MATCH(ROWS($AF$2:AF89),$AF$2:$AF$1001,0),0), INDEX($AM$1004:$BM$1004,1,MATCH(COLUMNS($AM$1006:AP1006),$AM$1006:$BM$1006,0)))),"Fix")))</f>
        <v xml:space="preserve"> </v>
      </c>
      <c r="F89" s="4" t="str">
        <f ca="1">IF(OR(INDEX($AG$2:$AG$1001,MATCH(ROWS($AF$2:AF89),$AF$2:$AF$1001,0),1)&gt;=100000,INDEX($AM$1005:$BM$1005,1,MATCH(COLUMNS($AM$1006:AQ1006),$AM$1006:$BM$1006,0))&gt;=100000), " ",IF(INDEX($AM$2:$BM$1001,MATCH(ROWS($AF$2:AF89),$AF$2:$AF$1001,0),MATCH(COLUMNS($AM$1006:AQ1006),$AM$1006:$BM$1006,0)), HYPERLINK("#",""), HYPERLINK(CONCATENATE("#metadata!", ADDRESS(INDEX($AH$2:$AH$1001,MATCH(ROWS($AF$2:AF89),$AF$2:$AF$1001,0),0), INDEX($AM$1004:$BM$1004,1,MATCH(COLUMNS($AM$1006:AQ1006),$AM$1006:$BM$1006,0)))),"Fix")))</f>
        <v xml:space="preserve"> </v>
      </c>
      <c r="G89" s="4" t="str">
        <f ca="1">IF(OR(INDEX($AG$2:$AG$1001,MATCH(ROWS($AF$2:AF89),$AF$2:$AF$1001,0),1)&gt;=100000,INDEX($AM$1005:$BM$1005,1,MATCH(COLUMNS($AM$1006:AR1006),$AM$1006:$BM$1006,0))&gt;=100000), " ",IF(INDEX($AM$2:$BM$1001,MATCH(ROWS($AF$2:AF89),$AF$2:$AF$1001,0),MATCH(COLUMNS($AM$1006:AR1006),$AM$1006:$BM$1006,0)), HYPERLINK("#",""), HYPERLINK(CONCATENATE("#metadata!", ADDRESS(INDEX($AH$2:$AH$1001,MATCH(ROWS($AF$2:AF89),$AF$2:$AF$1001,0),0), INDEX($AM$1004:$BM$1004,1,MATCH(COLUMNS($AM$1006:AR1006),$AM$1006:$BM$1006,0)))),"Fix")))</f>
        <v xml:space="preserve"> </v>
      </c>
      <c r="H89" s="4" t="str">
        <f ca="1">IF(OR(INDEX($AG$2:$AG$1001,MATCH(ROWS($AF$2:AF89),$AF$2:$AF$1001,0),1)&gt;=100000,INDEX($AM$1005:$BM$1005,1,MATCH(COLUMNS($AM$1006:AS1006),$AM$1006:$BM$1006,0))&gt;=100000), " ",IF(INDEX($AM$2:$BM$1001,MATCH(ROWS($AF$2:AF89),$AF$2:$AF$1001,0),MATCH(COLUMNS($AM$1006:AS1006),$AM$1006:$BM$1006,0)), HYPERLINK("#",""), HYPERLINK(CONCATENATE("#metadata!", ADDRESS(INDEX($AH$2:$AH$1001,MATCH(ROWS($AF$2:AF89),$AF$2:$AF$1001,0),0), INDEX($AM$1004:$BM$1004,1,MATCH(COLUMNS($AM$1006:AS1006),$AM$1006:$BM$1006,0)))),"Fix")))</f>
        <v xml:space="preserve"> </v>
      </c>
      <c r="I89" s="4" t="str">
        <f ca="1">IF(OR(INDEX($AG$2:$AG$1001,MATCH(ROWS($AF$2:AF89),$AF$2:$AF$1001,0),1)&gt;=100000,INDEX($AM$1005:$BM$1005,1,MATCH(COLUMNS($AM$1006:AT1006),$AM$1006:$BM$1006,0))&gt;=100000), " ",IF(INDEX($AM$2:$BM$1001,MATCH(ROWS($AF$2:AF89),$AF$2:$AF$1001,0),MATCH(COLUMNS($AM$1006:AT1006),$AM$1006:$BM$1006,0)), HYPERLINK("#",""), HYPERLINK(CONCATENATE("#metadata!", ADDRESS(INDEX($AH$2:$AH$1001,MATCH(ROWS($AF$2:AF89),$AF$2:$AF$1001,0),0), INDEX($AM$1004:$BM$1004,1,MATCH(COLUMNS($AM$1006:AT1006),$AM$1006:$BM$1006,0)))),"Fix")))</f>
        <v xml:space="preserve"> </v>
      </c>
      <c r="J89" s="4" t="str">
        <f ca="1">IF(OR(INDEX($AG$2:$AG$1001,MATCH(ROWS($AF$2:AF89),$AF$2:$AF$1001,0),1)&gt;=100000,INDEX($AM$1005:$BM$1005,1,MATCH(COLUMNS($AM$1006:AU1006),$AM$1006:$BM$1006,0))&gt;=100000), " ",IF(INDEX($AM$2:$BM$1001,MATCH(ROWS($AF$2:AF89),$AF$2:$AF$1001,0),MATCH(COLUMNS($AM$1006:AU1006),$AM$1006:$BM$1006,0)), HYPERLINK("#",""), HYPERLINK(CONCATENATE("#metadata!", ADDRESS(INDEX($AH$2:$AH$1001,MATCH(ROWS($AF$2:AF89),$AF$2:$AF$1001,0),0), INDEX($AM$1004:$BM$1004,1,MATCH(COLUMNS($AM$1006:AU1006),$AM$1006:$BM$1006,0)))),"Fix")))</f>
        <v xml:space="preserve"> </v>
      </c>
      <c r="K89" s="4" t="str">
        <f ca="1">IF(OR(INDEX($AG$2:$AG$1001,MATCH(ROWS($AF$2:AF89),$AF$2:$AF$1001,0),1)&gt;=100000,INDEX($AM$1005:$BM$1005,1,MATCH(COLUMNS($AM$1006:AV1006),$AM$1006:$BM$1006,0))&gt;=100000), " ",IF(INDEX($AM$2:$BM$1001,MATCH(ROWS($AF$2:AF89),$AF$2:$AF$1001,0),MATCH(COLUMNS($AM$1006:AV1006),$AM$1006:$BM$1006,0)), HYPERLINK("#",""), HYPERLINK(CONCATENATE("#metadata!", ADDRESS(INDEX($AH$2:$AH$1001,MATCH(ROWS($AF$2:AF89),$AF$2:$AF$1001,0),0), INDEX($AM$1004:$BM$1004,1,MATCH(COLUMNS($AM$1006:AV1006),$AM$1006:$BM$1006,0)))),"Fix")))</f>
        <v xml:space="preserve"> </v>
      </c>
      <c r="L89" s="4" t="str">
        <f ca="1">IF(OR(INDEX($AG$2:$AG$1001,MATCH(ROWS($AF$2:AF89),$AF$2:$AF$1001,0),1)&gt;=100000,INDEX($AM$1005:$BM$1005,1,MATCH(COLUMNS($AM$1006:AW1006),$AM$1006:$BM$1006,0))&gt;=100000), " ",IF(INDEX($AM$2:$BM$1001,MATCH(ROWS($AF$2:AF89),$AF$2:$AF$1001,0),MATCH(COLUMNS($AM$1006:AW1006),$AM$1006:$BM$1006,0)), HYPERLINK("#",""), HYPERLINK(CONCATENATE("#metadata!", ADDRESS(INDEX($AH$2:$AH$1001,MATCH(ROWS($AF$2:AF89),$AF$2:$AF$1001,0),0), INDEX($AM$1004:$BM$1004,1,MATCH(COLUMNS($AM$1006:AW1006),$AM$1006:$BM$1006,0)))),"Fix")))</f>
        <v xml:space="preserve"> </v>
      </c>
      <c r="M89" s="4" t="str">
        <f ca="1">IF(OR(INDEX($AG$2:$AG$1001,MATCH(ROWS($AF$2:AF89),$AF$2:$AF$1001,0),1)&gt;=100000,INDEX($AM$1005:$BM$1005,1,MATCH(COLUMNS($AM$1006:AX1006),$AM$1006:$BM$1006,0))&gt;=100000), " ",IF(INDEX($AM$2:$BM$1001,MATCH(ROWS($AF$2:AF89),$AF$2:$AF$1001,0),MATCH(COLUMNS($AM$1006:AX1006),$AM$1006:$BM$1006,0)), HYPERLINK("#",""), HYPERLINK(CONCATENATE("#metadata!", ADDRESS(INDEX($AH$2:$AH$1001,MATCH(ROWS($AF$2:AF89),$AF$2:$AF$1001,0),0), INDEX($AM$1004:$BM$1004,1,MATCH(COLUMNS($AM$1006:AX1006),$AM$1006:$BM$1006,0)))),"Fix")))</f>
        <v xml:space="preserve"> </v>
      </c>
      <c r="N89" s="4" t="str">
        <f ca="1">IF(OR(INDEX($AG$2:$AG$1001,MATCH(ROWS($AF$2:AF89),$AF$2:$AF$1001,0),1)&gt;=100000,INDEX($AM$1005:$BM$1005,1,MATCH(COLUMNS($AM$1006:AY1006),$AM$1006:$BM$1006,0))&gt;=100000), " ",IF(INDEX($AM$2:$BM$1001,MATCH(ROWS($AF$2:AF89),$AF$2:$AF$1001,0),MATCH(COLUMNS($AM$1006:AY1006),$AM$1006:$BM$1006,0)), HYPERLINK("#",""), HYPERLINK(CONCATENATE("#metadata!", ADDRESS(INDEX($AH$2:$AH$1001,MATCH(ROWS($AF$2:AF89),$AF$2:$AF$1001,0),0), INDEX($AM$1004:$BM$1004,1,MATCH(COLUMNS($AM$1006:AY1006),$AM$1006:$BM$1006,0)))),"Fix")))</f>
        <v xml:space="preserve"> </v>
      </c>
      <c r="O89" s="4" t="str">
        <f ca="1">IF(OR(INDEX($AG$2:$AG$1001,MATCH(ROWS($AF$2:AF89),$AF$2:$AF$1001,0),1)&gt;=100000,INDEX($AM$1005:$BM$1005,1,MATCH(COLUMNS($AM$1006:AZ1006),$AM$1006:$BM$1006,0))&gt;=100000), " ",IF(INDEX($AM$2:$BM$1001,MATCH(ROWS($AF$2:AF89),$AF$2:$AF$1001,0),MATCH(COLUMNS($AM$1006:AZ1006),$AM$1006:$BM$1006,0)), HYPERLINK("#",""), HYPERLINK(CONCATENATE("#metadata!", ADDRESS(INDEX($AH$2:$AH$1001,MATCH(ROWS($AF$2:AF89),$AF$2:$AF$1001,0),0), INDEX($AM$1004:$BM$1004,1,MATCH(COLUMNS($AM$1006:AZ1006),$AM$1006:$BM$1006,0)))),"Fix")))</f>
        <v xml:space="preserve"> </v>
      </c>
      <c r="P89" s="4" t="str">
        <f ca="1">IF(OR(INDEX($AG$2:$AG$1001,MATCH(ROWS($AF$2:AF89),$AF$2:$AF$1001,0),1)&gt;=100000,INDEX($AM$1005:$BM$1005,1,MATCH(COLUMNS($AM$1006:BA1006),$AM$1006:$BM$1006,0))&gt;=100000), " ",IF(INDEX($AM$2:$BM$1001,MATCH(ROWS($AF$2:AF89),$AF$2:$AF$1001,0),MATCH(COLUMNS($AM$1006:BA1006),$AM$1006:$BM$1006,0)), HYPERLINK("#",""), HYPERLINK(CONCATENATE("#metadata!", ADDRESS(INDEX($AH$2:$AH$1001,MATCH(ROWS($AF$2:AF89),$AF$2:$AF$1001,0),0), INDEX($AM$1004:$BM$1004,1,MATCH(COLUMNS($AM$1006:BA1006),$AM$1006:$BM$1006,0)))),"Fix")))</f>
        <v xml:space="preserve"> </v>
      </c>
      <c r="Q89" s="4" t="str">
        <f ca="1">IF(OR(INDEX($AG$2:$AG$1001,MATCH(ROWS($AF$2:AF89),$AF$2:$AF$1001,0),1)&gt;=100000,INDEX($AM$1005:$BM$1005,1,MATCH(COLUMNS($AM$1006:BB1006),$AM$1006:$BM$1006,0))&gt;=100000), " ",IF(INDEX($AM$2:$BM$1001,MATCH(ROWS($AF$2:AF89),$AF$2:$AF$1001,0),MATCH(COLUMNS($AM$1006:BB1006),$AM$1006:$BM$1006,0)), HYPERLINK("#",""), HYPERLINK(CONCATENATE("#metadata!", ADDRESS(INDEX($AH$2:$AH$1001,MATCH(ROWS($AF$2:AF89),$AF$2:$AF$1001,0),0), INDEX($AM$1004:$BM$1004,1,MATCH(COLUMNS($AM$1006:BB1006),$AM$1006:$BM$1006,0)))),"Fix")))</f>
        <v xml:space="preserve"> </v>
      </c>
      <c r="R89" s="4" t="str">
        <f ca="1">IF(OR(INDEX($AG$2:$AG$1001,MATCH(ROWS($AF$2:AF89),$AF$2:$AF$1001,0),1)&gt;=100000,INDEX($AM$1005:$BM$1005,1,MATCH(COLUMNS($AM$1006:BC1006),$AM$1006:$BM$1006,0))&gt;=100000), " ",IF(INDEX($AM$2:$BM$1001,MATCH(ROWS($AF$2:AF89),$AF$2:$AF$1001,0),MATCH(COLUMNS($AM$1006:BC1006),$AM$1006:$BM$1006,0)), HYPERLINK("#",""), HYPERLINK(CONCATENATE("#metadata!", ADDRESS(INDEX($AH$2:$AH$1001,MATCH(ROWS($AF$2:AF89),$AF$2:$AF$1001,0),0), INDEX($AM$1004:$BM$1004,1,MATCH(COLUMNS($AM$1006:BC1006),$AM$1006:$BM$1006,0)))),"Fix")))</f>
        <v xml:space="preserve"> </v>
      </c>
      <c r="S89" s="4" t="str">
        <f ca="1">IF(OR(INDEX($AG$2:$AG$1001,MATCH(ROWS($AF$2:AF89),$AF$2:$AF$1001,0),1)&gt;=100000,INDEX($AM$1005:$BM$1005,1,MATCH(COLUMNS($AM$1006:BD1006),$AM$1006:$BM$1006,0))&gt;=100000), " ",IF(INDEX($AM$2:$BM$1001,MATCH(ROWS($AF$2:AF89),$AF$2:$AF$1001,0),MATCH(COLUMNS($AM$1006:BD1006),$AM$1006:$BM$1006,0)), HYPERLINK("#",""), HYPERLINK(CONCATENATE("#metadata!", ADDRESS(INDEX($AH$2:$AH$1001,MATCH(ROWS($AF$2:AF89),$AF$2:$AF$1001,0),0), INDEX($AM$1004:$BM$1004,1,MATCH(COLUMNS($AM$1006:BD1006),$AM$1006:$BM$1006,0)))),"Fix")))</f>
        <v xml:space="preserve"> </v>
      </c>
      <c r="T89" s="4" t="str">
        <f ca="1">IF(OR(INDEX($AG$2:$AG$1001,MATCH(ROWS($AF$2:AF89),$AF$2:$AF$1001,0),1)&gt;=100000,INDEX($AM$1005:$BM$1005,1,MATCH(COLUMNS($AM$1006:BE1006),$AM$1006:$BM$1006,0))&gt;=100000), " ",IF(INDEX($AM$2:$BM$1001,MATCH(ROWS($AF$2:AF89),$AF$2:$AF$1001,0),MATCH(COLUMNS($AM$1006:BE1006),$AM$1006:$BM$1006,0)), HYPERLINK("#",""), HYPERLINK(CONCATENATE("#metadata!", ADDRESS(INDEX($AH$2:$AH$1001,MATCH(ROWS($AF$2:AF89),$AF$2:$AF$1001,0),0), INDEX($AM$1004:$BM$1004,1,MATCH(COLUMNS($AM$1006:BE1006),$AM$1006:$BM$1006,0)))),"Fix")))</f>
        <v xml:space="preserve"> </v>
      </c>
      <c r="U89" s="4" t="str">
        <f ca="1">IF(OR(INDEX($AG$2:$AG$1001,MATCH(ROWS($AF$2:AF89),$AF$2:$AF$1001,0),1)&gt;=100000,INDEX($AM$1005:$BM$1005,1,MATCH(COLUMNS($AM$1006:BF1006),$AM$1006:$BM$1006,0))&gt;=100000), " ",IF(INDEX($AM$2:$BM$1001,MATCH(ROWS($AF$2:AF89),$AF$2:$AF$1001,0),MATCH(COLUMNS($AM$1006:BF1006),$AM$1006:$BM$1006,0)), HYPERLINK("#",""), HYPERLINK(CONCATENATE("#metadata!", ADDRESS(INDEX($AH$2:$AH$1001,MATCH(ROWS($AF$2:AF89),$AF$2:$AF$1001,0),0), INDEX($AM$1004:$BM$1004,1,MATCH(COLUMNS($AM$1006:BF1006),$AM$1006:$BM$1006,0)))),"Fix")))</f>
        <v xml:space="preserve"> </v>
      </c>
      <c r="V89" s="4" t="str">
        <f ca="1">IF(OR(INDEX($AG$2:$AG$1001,MATCH(ROWS($AF$2:AF89),$AF$2:$AF$1001,0),1)&gt;=100000,INDEX($AM$1005:$BM$1005,1,MATCH(COLUMNS($AM$1006:BG1006),$AM$1006:$BM$1006,0))&gt;=100000), " ",IF(INDEX($AM$2:$BM$1001,MATCH(ROWS($AF$2:AF89),$AF$2:$AF$1001,0),MATCH(COLUMNS($AM$1006:BG1006),$AM$1006:$BM$1006,0)), HYPERLINK("#",""), HYPERLINK(CONCATENATE("#metadata!", ADDRESS(INDEX($AH$2:$AH$1001,MATCH(ROWS($AF$2:AF89),$AF$2:$AF$1001,0),0), INDEX($AM$1004:$BM$1004,1,MATCH(COLUMNS($AM$1006:BG1006),$AM$1006:$BM$1006,0)))),"Fix")))</f>
        <v xml:space="preserve"> </v>
      </c>
      <c r="W89" s="4" t="str">
        <f ca="1">IF(OR(INDEX($AG$2:$AG$1001,MATCH(ROWS($AF$2:AF89),$AF$2:$AF$1001,0),1)&gt;=100000,INDEX($AM$1005:$BM$1005,1,MATCH(COLUMNS($AM$1006:BH1006),$AM$1006:$BM$1006,0))&gt;=100000), " ",IF(INDEX($AM$2:$BM$1001,MATCH(ROWS($AF$2:AF89),$AF$2:$AF$1001,0),MATCH(COLUMNS($AM$1006:BH1006),$AM$1006:$BM$1006,0)), HYPERLINK("#",""), HYPERLINK(CONCATENATE("#metadata!", ADDRESS(INDEX($AH$2:$AH$1001,MATCH(ROWS($AF$2:AF89),$AF$2:$AF$1001,0),0), INDEX($AM$1004:$BM$1004,1,MATCH(COLUMNS($AM$1006:BH1006),$AM$1006:$BM$1006,0)))),"Fix")))</f>
        <v xml:space="preserve"> </v>
      </c>
      <c r="X89" s="4" t="str">
        <f ca="1">IF(OR(INDEX($AG$2:$AG$1001,MATCH(ROWS($AF$2:AF89),$AF$2:$AF$1001,0),1)&gt;=100000,INDEX($AM$1005:$BM$1005,1,MATCH(COLUMNS($AM$1006:BI1006),$AM$1006:$BM$1006,0))&gt;=100000), " ",IF(INDEX($AM$2:$BM$1001,MATCH(ROWS($AF$2:AF89),$AF$2:$AF$1001,0),MATCH(COLUMNS($AM$1006:BI1006),$AM$1006:$BM$1006,0)), HYPERLINK("#",""), HYPERLINK(CONCATENATE("#metadata!", ADDRESS(INDEX($AH$2:$AH$1001,MATCH(ROWS($AF$2:AF89),$AF$2:$AF$1001,0),0), INDEX($AM$1004:$BM$1004,1,MATCH(COLUMNS($AM$1006:BI1006),$AM$1006:$BM$1006,0)))),"Fix")))</f>
        <v xml:space="preserve"> </v>
      </c>
      <c r="Y89" s="4" t="str">
        <f ca="1">IF(OR(INDEX($AG$2:$AG$1001,MATCH(ROWS($AF$2:AF89),$AF$2:$AF$1001,0),1)&gt;=100000,INDEX($AM$1005:$BM$1005,1,MATCH(COLUMNS($AM$1006:BJ1006),$AM$1006:$BM$1006,0))&gt;=100000), " ",IF(INDEX($AM$2:$BM$1001,MATCH(ROWS($AF$2:AF89),$AF$2:$AF$1001,0),MATCH(COLUMNS($AM$1006:BJ1006),$AM$1006:$BM$1006,0)), HYPERLINK("#",""), HYPERLINK(CONCATENATE("#metadata!", ADDRESS(INDEX($AH$2:$AH$1001,MATCH(ROWS($AF$2:AF89),$AF$2:$AF$1001,0),0), INDEX($AM$1004:$BM$1004,1,MATCH(COLUMNS($AM$1006:BJ1006),$AM$1006:$BM$1006,0)))),"Fix")))</f>
        <v xml:space="preserve"> </v>
      </c>
      <c r="Z89" s="4" t="str">
        <f ca="1">IF(OR(INDEX($AG$2:$AG$1001,MATCH(ROWS($AF$2:AF89),$AF$2:$AF$1001,0),1)&gt;=100000,INDEX($AM$1005:$BM$1005,1,MATCH(COLUMNS($AM$1006:BK1006),$AM$1006:$BM$1006,0))&gt;=100000), " ",IF(INDEX($AM$2:$BM$1001,MATCH(ROWS($AF$2:AF89),$AF$2:$AF$1001,0),MATCH(COLUMNS($AM$1006:BK1006),$AM$1006:$BM$1006,0)), HYPERLINK("#",""), HYPERLINK(CONCATENATE("#metadata!", ADDRESS(INDEX($AH$2:$AH$1001,MATCH(ROWS($AF$2:AF89),$AF$2:$AF$1001,0),0), INDEX($AM$1004:$BM$1004,1,MATCH(COLUMNS($AM$1006:BK1006),$AM$1006:$BM$1006,0)))),"Fix")))</f>
        <v xml:space="preserve"> </v>
      </c>
      <c r="AA89" s="4" t="str">
        <f ca="1">IF(OR(INDEX($AG$2:$AG$1001,MATCH(ROWS($AF$2:AF89),$AF$2:$AF$1001,0),1)&gt;=100000,INDEX($AM$1005:$BM$1005,1,MATCH(COLUMNS($AM$1006:BL1006),$AM$1006:$BM$1006,0))&gt;=100000), " ",IF(INDEX($AM$2:$BM$1001,MATCH(ROWS($AF$2:AF89),$AF$2:$AF$1001,0),MATCH(COLUMNS($AM$1006:BL1006),$AM$1006:$BM$1006,0)), HYPERLINK("#",""), HYPERLINK(CONCATENATE("#metadata!", ADDRESS(INDEX($AH$2:$AH$1001,MATCH(ROWS($AF$2:AF89),$AF$2:$AF$1001,0),0), INDEX($AM$1004:$BM$1004,1,MATCH(COLUMNS($AM$1006:BL1006),$AM$1006:$BM$1006,0)))),"Fix")))</f>
        <v xml:space="preserve"> </v>
      </c>
      <c r="AB89" s="4" t="str">
        <f ca="1">IF(OR(INDEX($AG$2:$AG$1001,MATCH(ROWS($AF$2:AF89),$AF$2:$AF$1001,0),1)&gt;=100000,INDEX($AM$1005:$BM$1005,1,MATCH(COLUMNS($AM$1006:BM1006),$AM$1006:$BM$1006,0))&gt;=100000), " ",IF(INDEX($AM$2:$BM$1001,MATCH(ROWS($AF$2:AF89),$AF$2:$AF$1001,0),MATCH(COLUMNS($AM$1006:BM1006),$AM$1006:$BM$1006,0)), HYPERLINK("#",""), HYPERLINK(CONCATENATE("#metadata!", ADDRESS(INDEX($AH$2:$AH$1001,MATCH(ROWS($AF$2:AF89),$AF$2:$AF$1001,0),0), INDEX($AM$1004:$BM$1004,1,MATCH(COLUMNS($AM$1006:BM1006),$AM$1006:$BM$1006,0)))),"Fix")))</f>
        <v xml:space="preserve"> </v>
      </c>
      <c r="AF89">
        <v>88</v>
      </c>
      <c r="AG89">
        <v>100089</v>
      </c>
      <c r="AH89">
        <v>89</v>
      </c>
      <c r="AI89" t="b">
        <f t="shared" si="1"/>
        <v>1</v>
      </c>
      <c r="AJ89" t="b">
        <f>COUNTBLANK(metadata!B89:AB89)=COLUMNS(metadata!B89:AB89)</f>
        <v>1</v>
      </c>
      <c r="AK89" t="str">
        <v/>
      </c>
      <c r="AM89" t="b">
        <f ca="1">AND(IF(metadata!B89="",FALSE,TRUE),COUNTIF(metadata!B:B, metadata!B89) = 1,NOT(ISERROR(SUMPRODUCT(SEARCH(MID(metadata!B89,ROW(INDIRECT("1:"&amp;LEN(metadata!B89))), 1),"0123456789abcdefghijklmnopqrstuvwxyzABCDEFGHIJKLMNOPQRSTUVWXYZ.")))))</f>
        <v>0</v>
      </c>
      <c r="AN89" t="b">
        <f ca="1">OR(AND(IF(metadata!C89="",FALSE,TRUE),OR(EXACT(metadata!C89,"missing: not collected"),EXACT(metadata!C89,"missing: not provided"),EXACT(metadata!C89,"missing: restricted access"))),AND(IF(metadata!C89="",FALSE,TRUE),AND(AND(IFERROR(INT(LEFT(metadata!C89,4))&gt;1900,FALSE),IFERROR(INT(LEFT(metadata!C89,4))&lt;=YEAR(NOW()),FALSE)), OR(MID(metadata!C89,5,1)="", AND(AND(MID(metadata!C89,5,1)="-",IFERROR(INT(MID(metadata!C89,6,1))&gt;=0,FALSE),IFERROR(INT(MID(metadata!C89,6,1))&lt;=1,FALSE),NOT(MID(metadata!C89,7,1)=""),IFERROR(INT(MID(metadata!C89,6,2))&gt;=1,FALSE),IFERROR(INT(MID(metadata!C89,6,2))&lt;=12,FALSE)), OR(MID(metadata!C89,8,1)="", AND(AND(MID(metadata!C89,8,1)="-",IFERROR(INT(MID(metadata!C89,9,1))&gt;=0,FALSE),IFERROR(INT(MID(metadata!C89,9,1))&lt;=3,FALSE),NOT(MID(metadata!C89,10,1)=""),IFERROR(INT(MID(metadata!C89,9,2))&gt;=1,FALSE),IFERROR(INT(MID(metadata!C89,9,2))&lt;=31,FALSE)), OR(MID(metadata!C89,11,1)="", AND(AND(MID(metadata!C89,11,1)=" ",IFERROR(INT(MID(metadata!C89,12,1))&gt;=0,FALSE),IFERROR(INT(MID(metadata!C89,12,1))&lt;=2,FALSE),NOT(MID(metadata!C89,13,1)=""),IFERROR(INT(MID(metadata!C89,12,2))&gt;=0,FALSE),IFERROR(INT(MID(metadata!C89,12,2))&lt;=23,FALSE)), OR(MID(metadata!C89,14,1)="", AND(AND(MID(metadata!C89,14,1)=":",IFERROR(INT(MID(metadata!C89,15,1))&gt;=0,FALSE),IFERROR(INT(MID(metadata!C89,15,1))&lt;=5,FALSE),NOT(MID(metadata!C89,16,1)=""),IFERROR(INT(MID(metadata!C89,15,2))&gt;=0,FALSE),IFERROR(INT(MID(metadata!C89,15,2))&lt;=59,FALSE)), OR(MID(metadata!C89,17,1)="", AND(AND(MID(metadata!C89,17,1)=":",IFERROR(INT(MID(metadata!C89,18,1))&gt;=0,FALSE),IFERROR(INT(MID(metadata!C89,18,1))&lt;=5,FALSE),NOT(MID(metadata!C89,19,1)=""),IFERROR(INT(MID(metadata!C89,18,2))&gt;=0,FALSE),IFERROR(INT(MID(metadata!C89,18,2))&lt;=59,FALSE)), LEN(metadata!C89)&lt;=19)))))))))))))</f>
        <v>0</v>
      </c>
      <c r="AO89" t="b">
        <f>AND(IF(metadata!D89="",FALSE,TRUE),EXACT(metadata!D89,"Not applicable"))</f>
        <v>0</v>
      </c>
      <c r="AP89" t="b">
        <f>IF(metadata!E89="",FALSE,TRUE)</f>
        <v>0</v>
      </c>
      <c r="AQ89" t="b">
        <f>OR(AND(IF(metadata!F89="",FALSE,TRUE),OR(EXACT(metadata!F89,"missing: not collected"),EXACT(metadata!F89,"missing: not provided"))),AND(IF(metadata!F89="",FALSE,TRUE),OR(EXACT(metadata!F89,"TRUE"),EXACT(metadata!F89,"FALSE"))))</f>
        <v>0</v>
      </c>
      <c r="AR89" t="b">
        <f>OR(AND(IF(metadata!G89="",FALSE,TRUE),OR(EXACT(metadata!G89,"missing: not collected"),EXACT(metadata!G89,"missing: not provided"),EXACT(metadata!G89,"missing: restricted access"))),AND(IF(metadata!G89="",FALSE,ISNUMBER(VALUE(metadata!G89))),metadata!G89&gt;=-413))</f>
        <v>0</v>
      </c>
      <c r="AS89" t="b">
        <f>AND(IF(metadata!H89="",FALSE,TRUE),EXACT(metadata!H89,"meters"))</f>
        <v>0</v>
      </c>
      <c r="AT89" t="b">
        <f>AND(IF(metadata!I89="",FALSE,TRUE),OR(EXACT(metadata!I89,"Host-associated"),EXACT(metadata!I89,"Free-living")))</f>
        <v>0</v>
      </c>
      <c r="AU89" t="b">
        <f>AND(IF(metadata!J89="",FALSE,TRUE),OR(EXACT(metadata!J89,"Animal"),EXACT(metadata!J89,"Fungus"),EXACT(metadata!J89,"Plant"),EXACT(metadata!J89,"Saline"),EXACT(metadata!J89,"Non-saline")))</f>
        <v>0</v>
      </c>
      <c r="AV89" t="b">
        <f>AND(IF(metadata!K89="",FALSE,TRUE),OR(EXACT(metadata!K89,"Plant secretion"),EXACT(metadata!K89,"Plant rhizosphere"),EXACT(metadata!K89,"Plant surface"),EXACT(metadata!K89,"Plant corpus"),EXACT(metadata!K89,"Fungus surface"),EXACT(metadata!K89,"Fungus corpus"),EXACT(metadata!K89,"Animal surface"),EXACT(metadata!K89,"Animal proximal gut"),EXACT(metadata!K89,"Animal corpus"),EXACT(metadata!K89,"Animal distal gut"),EXACT(metadata!K89,"Animal secretion"),EXACT(metadata!K89,"Sub-surface (non-saline)"),EXACT(metadata!K89,"Surface (non-saline)"),EXACT(metadata!K89,"Water (non-saline)"),EXACT(metadata!K89,"Soil (non-saline)"),EXACT(metadata!K89,"Aerosol (non-saline)"),EXACT(metadata!K89,"Sediment (non-saline)"),EXACT(metadata!K89,"Surface (saline)"),EXACT(metadata!K89,"Water (saline)"),EXACT(metadata!K89,"Hypersaline (saline)"),EXACT(metadata!K89,"Aerosol (saline)"),EXACT(metadata!K89,"Sediment (saline)")))</f>
        <v>0</v>
      </c>
      <c r="AW89" t="b">
        <f>IF(metadata!L89="",FALSE,TRUE)</f>
        <v>0</v>
      </c>
      <c r="AX89" t="b">
        <f>IF(metadata!M89="",FALSE,TRUE)</f>
        <v>0</v>
      </c>
      <c r="AY89" t="b">
        <f>IF(metadata!N89="",FALSE,TRUE)</f>
        <v>0</v>
      </c>
      <c r="AZ89" t="b">
        <f>OR(AND(IF(metadata!O89="",FALSE,TRUE),OR(EXACT(metadata!O89,"missing: not collected"),EXACT(metadata!O89,"missing: not provided"),EXACT(metadata!O89,"missing: restricted access"))),AND(IF(metadata!O89="",FALSE,TRUE),OR(EXACT(metadata!O89,"air"),EXACT(metadata!O89,"built environment"),EXACT(metadata!O89,"host-associated"),EXACT(metadata!O89,"human-associated"),EXACT(metadata!O89,"human-skin"),EXACT(metadata!O89,"human-oral"),EXACT(metadata!O89,"human-gut"),EXACT(metadata!O89,"human-vaginal"),EXACT(metadata!O89,"microbial mat/biofilm"),EXACT(metadata!O89,"misc environment"),EXACT(metadata!O89,"plant-associated"),EXACT(metadata!O89,"sediment"),EXACT(metadata!O89,"soil"),EXACT(metadata!O89,"wastewater/sludge"),EXACT(metadata!O89,"water"))))</f>
        <v>0</v>
      </c>
      <c r="BA89" t="b">
        <f>IF(metadata!P89="",FALSE,TRUE)</f>
        <v>0</v>
      </c>
      <c r="BB89" t="b">
        <f>IF(metadata!Q89="",FALSE,TRUE)</f>
        <v>0</v>
      </c>
      <c r="BC89" t="b">
        <f>OR(AND(IF(metadata!R89="",FALSE,TRUE),OR(EXACT(metadata!R89,"missing: not collected"),EXACT(metadata!R89,"missing: not provided"),EXACT(metadata!R89,"missing: restricted access"))),AND(IF(metadata!R89="",FALSE,ISNUMBER(VALUE(metadata!R89))),metadata!R89&gt;=-90,metadata!R89&lt;=90))</f>
        <v>0</v>
      </c>
      <c r="BD89" t="b">
        <f>AND(IF(metadata!S89="",FALSE,TRUE),EXACT(metadata!S89,"Decimal degrees"))</f>
        <v>0</v>
      </c>
      <c r="BE89" t="b">
        <f>OR(AND(IF(metadata!T89="",FALSE,TRUE),OR(EXACT(metadata!T89,"missing: not collected"),EXACT(metadata!T89,"missing: not provided"),EXACT(metadata!T89,"missing: restricted access"))),AND(IF(metadata!T89="",FALSE,ISNUMBER(VALUE(metadata!T89))),metadata!T89&gt;=-180,metadata!T89&lt;=180))</f>
        <v>0</v>
      </c>
      <c r="BF89" t="b">
        <f>AND(IF(metadata!U89="",FALSE,TRUE),EXACT(metadata!U89,"Decimal degrees"))</f>
        <v>0</v>
      </c>
      <c r="BG89" t="b">
        <f>IF(metadata!V89="",FALSE,TRUE)</f>
        <v>0</v>
      </c>
      <c r="BH89" t="b">
        <f>OR(AND(IF(metadata!W89="",FALSE,TRUE),OR(EXACT(metadata!W89,"missing: not collected"),EXACT(metadata!W89,"missing: not provided"),EXACT(metadata!W89,"missing: restricted access"))),AND(IF(metadata!W89="",FALSE,TRUE),OR(EXACT(metadata!W89,"TRUE"),EXACT(metadata!W89,"FALSE"))))</f>
        <v>0</v>
      </c>
      <c r="BI89" t="b">
        <f>AND(IF(metadata!X89="",FALSE,TRUE),EXACT(metadata!X89,"other"))</f>
        <v>0</v>
      </c>
      <c r="BJ89" t="b">
        <f>IF(metadata!Y89="",FALSE,TRUE)</f>
        <v>0</v>
      </c>
      <c r="BK89" t="b">
        <f>OR(AND(IF(metadata!Z89="",FALSE,TRUE),OR(EXACT(metadata!Z89,"missing: not collected"),EXACT(metadata!Z89,"missing: not provided"))),AND(IF(metadata!Z89="",FALSE,IF(ISERROR(INT(metadata!Z89)),FALSE,INT(metadata!Z89)=metadata!Z89)),metadata!Z89&gt;0))</f>
        <v>0</v>
      </c>
      <c r="BL89" t="b">
        <f>AND(IF(metadata!AA89="",FALSE,TRUE),EXACT(metadata!AA89,"Not applicable"))</f>
        <v>0</v>
      </c>
      <c r="BM89" t="b">
        <f>IF(metadata!AB89="",FALSE,TRUE)</f>
        <v>0</v>
      </c>
    </row>
    <row r="90" spans="1:65" x14ac:dyDescent="0.2">
      <c r="A90" s="5" t="str">
        <f ca="1">IF(B90=" "," ",HYPERLINK(CONCATENATE("#metadata!",ADDRESS(INDEX($AH$2:$AH$1001,MATCH(ROWS($AF$2:AF90),$AF$2:$AF$1001,0),0),1)),INDEX($AK$2:$AK$1001,MATCH(ROWS($AF$2:AF90),$AF$2:$AF$1001,0),0)))</f>
        <v xml:space="preserve"> </v>
      </c>
      <c r="B90" s="4" t="str">
        <f ca="1">IF(OR(INDEX($AG$2:$AG$1001,MATCH(ROWS($AF$2:AF90),$AF$2:$AF$1001,0),1)&gt;=100000,INDEX($AM$1005:$BM$1005,1,MATCH(COLUMNS($AM$1006:AM1006),$AM$1006:$BM$1006,0))&gt;=100000), " ",IF(INDEX($AM$2:$BM$1001,MATCH(ROWS($AF$2:AF90),$AF$2:$AF$1001,0),MATCH(COLUMNS($AM$1006:AM1006),$AM$1006:$BM$1006,0)), HYPERLINK("#",""), HYPERLINK(CONCATENATE("#metadata!", ADDRESS(INDEX($AH$2:$AH$1001,MATCH(ROWS($AF$2:AF90),$AF$2:$AF$1001,0),0), INDEX($AM$1004:$BM$1004,1,MATCH(COLUMNS($AM$1006:AM1006),$AM$1006:$BM$1006,0)))),"Fix")))</f>
        <v xml:space="preserve"> </v>
      </c>
      <c r="C90" s="4" t="str">
        <f ca="1">IF(OR(INDEX($AG$2:$AG$1001,MATCH(ROWS($AF$2:AF90),$AF$2:$AF$1001,0),1)&gt;=100000,INDEX($AM$1005:$BM$1005,1,MATCH(COLUMNS($AM$1006:AN1006),$AM$1006:$BM$1006,0))&gt;=100000), " ",IF(INDEX($AM$2:$BM$1001,MATCH(ROWS($AF$2:AF90),$AF$2:$AF$1001,0),MATCH(COLUMNS($AM$1006:AN1006),$AM$1006:$BM$1006,0)), HYPERLINK("#",""), HYPERLINK(CONCATENATE("#metadata!", ADDRESS(INDEX($AH$2:$AH$1001,MATCH(ROWS($AF$2:AF90),$AF$2:$AF$1001,0),0), INDEX($AM$1004:$BM$1004,1,MATCH(COLUMNS($AM$1006:AN1006),$AM$1006:$BM$1006,0)))),"Fix")))</f>
        <v xml:space="preserve"> </v>
      </c>
      <c r="D90" s="4" t="str">
        <f ca="1">IF(OR(INDEX($AG$2:$AG$1001,MATCH(ROWS($AF$2:AF90),$AF$2:$AF$1001,0),1)&gt;=100000,INDEX($AM$1005:$BM$1005,1,MATCH(COLUMNS($AM$1006:AO1006),$AM$1006:$BM$1006,0))&gt;=100000), " ",IF(INDEX($AM$2:$BM$1001,MATCH(ROWS($AF$2:AF90),$AF$2:$AF$1001,0),MATCH(COLUMNS($AM$1006:AO1006),$AM$1006:$BM$1006,0)), HYPERLINK("#",""), HYPERLINK(CONCATENATE("#metadata!", ADDRESS(INDEX($AH$2:$AH$1001,MATCH(ROWS($AF$2:AF90),$AF$2:$AF$1001,0),0), INDEX($AM$1004:$BM$1004,1,MATCH(COLUMNS($AM$1006:AO1006),$AM$1006:$BM$1006,0)))),"Fix")))</f>
        <v xml:space="preserve"> </v>
      </c>
      <c r="E90" s="4" t="str">
        <f ca="1">IF(OR(INDEX($AG$2:$AG$1001,MATCH(ROWS($AF$2:AF90),$AF$2:$AF$1001,0),1)&gt;=100000,INDEX($AM$1005:$BM$1005,1,MATCH(COLUMNS($AM$1006:AP1006),$AM$1006:$BM$1006,0))&gt;=100000), " ",IF(INDEX($AM$2:$BM$1001,MATCH(ROWS($AF$2:AF90),$AF$2:$AF$1001,0),MATCH(COLUMNS($AM$1006:AP1006),$AM$1006:$BM$1006,0)), HYPERLINK("#",""), HYPERLINK(CONCATENATE("#metadata!", ADDRESS(INDEX($AH$2:$AH$1001,MATCH(ROWS($AF$2:AF90),$AF$2:$AF$1001,0),0), INDEX($AM$1004:$BM$1004,1,MATCH(COLUMNS($AM$1006:AP1006),$AM$1006:$BM$1006,0)))),"Fix")))</f>
        <v xml:space="preserve"> </v>
      </c>
      <c r="F90" s="4" t="str">
        <f ca="1">IF(OR(INDEX($AG$2:$AG$1001,MATCH(ROWS($AF$2:AF90),$AF$2:$AF$1001,0),1)&gt;=100000,INDEX($AM$1005:$BM$1005,1,MATCH(COLUMNS($AM$1006:AQ1006),$AM$1006:$BM$1006,0))&gt;=100000), " ",IF(INDEX($AM$2:$BM$1001,MATCH(ROWS($AF$2:AF90),$AF$2:$AF$1001,0),MATCH(COLUMNS($AM$1006:AQ1006),$AM$1006:$BM$1006,0)), HYPERLINK("#",""), HYPERLINK(CONCATENATE("#metadata!", ADDRESS(INDEX($AH$2:$AH$1001,MATCH(ROWS($AF$2:AF90),$AF$2:$AF$1001,0),0), INDEX($AM$1004:$BM$1004,1,MATCH(COLUMNS($AM$1006:AQ1006),$AM$1006:$BM$1006,0)))),"Fix")))</f>
        <v xml:space="preserve"> </v>
      </c>
      <c r="G90" s="4" t="str">
        <f ca="1">IF(OR(INDEX($AG$2:$AG$1001,MATCH(ROWS($AF$2:AF90),$AF$2:$AF$1001,0),1)&gt;=100000,INDEX($AM$1005:$BM$1005,1,MATCH(COLUMNS($AM$1006:AR1006),$AM$1006:$BM$1006,0))&gt;=100000), " ",IF(INDEX($AM$2:$BM$1001,MATCH(ROWS($AF$2:AF90),$AF$2:$AF$1001,0),MATCH(COLUMNS($AM$1006:AR1006),$AM$1006:$BM$1006,0)), HYPERLINK("#",""), HYPERLINK(CONCATENATE("#metadata!", ADDRESS(INDEX($AH$2:$AH$1001,MATCH(ROWS($AF$2:AF90),$AF$2:$AF$1001,0),0), INDEX($AM$1004:$BM$1004,1,MATCH(COLUMNS($AM$1006:AR1006),$AM$1006:$BM$1006,0)))),"Fix")))</f>
        <v xml:space="preserve"> </v>
      </c>
      <c r="H90" s="4" t="str">
        <f ca="1">IF(OR(INDEX($AG$2:$AG$1001,MATCH(ROWS($AF$2:AF90),$AF$2:$AF$1001,0),1)&gt;=100000,INDEX($AM$1005:$BM$1005,1,MATCH(COLUMNS($AM$1006:AS1006),$AM$1006:$BM$1006,0))&gt;=100000), " ",IF(INDEX($AM$2:$BM$1001,MATCH(ROWS($AF$2:AF90),$AF$2:$AF$1001,0),MATCH(COLUMNS($AM$1006:AS1006),$AM$1006:$BM$1006,0)), HYPERLINK("#",""), HYPERLINK(CONCATENATE("#metadata!", ADDRESS(INDEX($AH$2:$AH$1001,MATCH(ROWS($AF$2:AF90),$AF$2:$AF$1001,0),0), INDEX($AM$1004:$BM$1004,1,MATCH(COLUMNS($AM$1006:AS1006),$AM$1006:$BM$1006,0)))),"Fix")))</f>
        <v xml:space="preserve"> </v>
      </c>
      <c r="I90" s="4" t="str">
        <f ca="1">IF(OR(INDEX($AG$2:$AG$1001,MATCH(ROWS($AF$2:AF90),$AF$2:$AF$1001,0),1)&gt;=100000,INDEX($AM$1005:$BM$1005,1,MATCH(COLUMNS($AM$1006:AT1006),$AM$1006:$BM$1006,0))&gt;=100000), " ",IF(INDEX($AM$2:$BM$1001,MATCH(ROWS($AF$2:AF90),$AF$2:$AF$1001,0),MATCH(COLUMNS($AM$1006:AT1006),$AM$1006:$BM$1006,0)), HYPERLINK("#",""), HYPERLINK(CONCATENATE("#metadata!", ADDRESS(INDEX($AH$2:$AH$1001,MATCH(ROWS($AF$2:AF90),$AF$2:$AF$1001,0),0), INDEX($AM$1004:$BM$1004,1,MATCH(COLUMNS($AM$1006:AT1006),$AM$1006:$BM$1006,0)))),"Fix")))</f>
        <v xml:space="preserve"> </v>
      </c>
      <c r="J90" s="4" t="str">
        <f ca="1">IF(OR(INDEX($AG$2:$AG$1001,MATCH(ROWS($AF$2:AF90),$AF$2:$AF$1001,0),1)&gt;=100000,INDEX($AM$1005:$BM$1005,1,MATCH(COLUMNS($AM$1006:AU1006),$AM$1006:$BM$1006,0))&gt;=100000), " ",IF(INDEX($AM$2:$BM$1001,MATCH(ROWS($AF$2:AF90),$AF$2:$AF$1001,0),MATCH(COLUMNS($AM$1006:AU1006),$AM$1006:$BM$1006,0)), HYPERLINK("#",""), HYPERLINK(CONCATENATE("#metadata!", ADDRESS(INDEX($AH$2:$AH$1001,MATCH(ROWS($AF$2:AF90),$AF$2:$AF$1001,0),0), INDEX($AM$1004:$BM$1004,1,MATCH(COLUMNS($AM$1006:AU1006),$AM$1006:$BM$1006,0)))),"Fix")))</f>
        <v xml:space="preserve"> </v>
      </c>
      <c r="K90" s="4" t="str">
        <f ca="1">IF(OR(INDEX($AG$2:$AG$1001,MATCH(ROWS($AF$2:AF90),$AF$2:$AF$1001,0),1)&gt;=100000,INDEX($AM$1005:$BM$1005,1,MATCH(COLUMNS($AM$1006:AV1006),$AM$1006:$BM$1006,0))&gt;=100000), " ",IF(INDEX($AM$2:$BM$1001,MATCH(ROWS($AF$2:AF90),$AF$2:$AF$1001,0),MATCH(COLUMNS($AM$1006:AV1006),$AM$1006:$BM$1006,0)), HYPERLINK("#",""), HYPERLINK(CONCATENATE("#metadata!", ADDRESS(INDEX($AH$2:$AH$1001,MATCH(ROWS($AF$2:AF90),$AF$2:$AF$1001,0),0), INDEX($AM$1004:$BM$1004,1,MATCH(COLUMNS($AM$1006:AV1006),$AM$1006:$BM$1006,0)))),"Fix")))</f>
        <v xml:space="preserve"> </v>
      </c>
      <c r="L90" s="4" t="str">
        <f ca="1">IF(OR(INDEX($AG$2:$AG$1001,MATCH(ROWS($AF$2:AF90),$AF$2:$AF$1001,0),1)&gt;=100000,INDEX($AM$1005:$BM$1005,1,MATCH(COLUMNS($AM$1006:AW1006),$AM$1006:$BM$1006,0))&gt;=100000), " ",IF(INDEX($AM$2:$BM$1001,MATCH(ROWS($AF$2:AF90),$AF$2:$AF$1001,0),MATCH(COLUMNS($AM$1006:AW1006),$AM$1006:$BM$1006,0)), HYPERLINK("#",""), HYPERLINK(CONCATENATE("#metadata!", ADDRESS(INDEX($AH$2:$AH$1001,MATCH(ROWS($AF$2:AF90),$AF$2:$AF$1001,0),0), INDEX($AM$1004:$BM$1004,1,MATCH(COLUMNS($AM$1006:AW1006),$AM$1006:$BM$1006,0)))),"Fix")))</f>
        <v xml:space="preserve"> </v>
      </c>
      <c r="M90" s="4" t="str">
        <f ca="1">IF(OR(INDEX($AG$2:$AG$1001,MATCH(ROWS($AF$2:AF90),$AF$2:$AF$1001,0),1)&gt;=100000,INDEX($AM$1005:$BM$1005,1,MATCH(COLUMNS($AM$1006:AX1006),$AM$1006:$BM$1006,0))&gt;=100000), " ",IF(INDEX($AM$2:$BM$1001,MATCH(ROWS($AF$2:AF90),$AF$2:$AF$1001,0),MATCH(COLUMNS($AM$1006:AX1006),$AM$1006:$BM$1006,0)), HYPERLINK("#",""), HYPERLINK(CONCATENATE("#metadata!", ADDRESS(INDEX($AH$2:$AH$1001,MATCH(ROWS($AF$2:AF90),$AF$2:$AF$1001,0),0), INDEX($AM$1004:$BM$1004,1,MATCH(COLUMNS($AM$1006:AX1006),$AM$1006:$BM$1006,0)))),"Fix")))</f>
        <v xml:space="preserve"> </v>
      </c>
      <c r="N90" s="4" t="str">
        <f ca="1">IF(OR(INDEX($AG$2:$AG$1001,MATCH(ROWS($AF$2:AF90),$AF$2:$AF$1001,0),1)&gt;=100000,INDEX($AM$1005:$BM$1005,1,MATCH(COLUMNS($AM$1006:AY1006),$AM$1006:$BM$1006,0))&gt;=100000), " ",IF(INDEX($AM$2:$BM$1001,MATCH(ROWS($AF$2:AF90),$AF$2:$AF$1001,0),MATCH(COLUMNS($AM$1006:AY1006),$AM$1006:$BM$1006,0)), HYPERLINK("#",""), HYPERLINK(CONCATENATE("#metadata!", ADDRESS(INDEX($AH$2:$AH$1001,MATCH(ROWS($AF$2:AF90),$AF$2:$AF$1001,0),0), INDEX($AM$1004:$BM$1004,1,MATCH(COLUMNS($AM$1006:AY1006),$AM$1006:$BM$1006,0)))),"Fix")))</f>
        <v xml:space="preserve"> </v>
      </c>
      <c r="O90" s="4" t="str">
        <f ca="1">IF(OR(INDEX($AG$2:$AG$1001,MATCH(ROWS($AF$2:AF90),$AF$2:$AF$1001,0),1)&gt;=100000,INDEX($AM$1005:$BM$1005,1,MATCH(COLUMNS($AM$1006:AZ1006),$AM$1006:$BM$1006,0))&gt;=100000), " ",IF(INDEX($AM$2:$BM$1001,MATCH(ROWS($AF$2:AF90),$AF$2:$AF$1001,0),MATCH(COLUMNS($AM$1006:AZ1006),$AM$1006:$BM$1006,0)), HYPERLINK("#",""), HYPERLINK(CONCATENATE("#metadata!", ADDRESS(INDEX($AH$2:$AH$1001,MATCH(ROWS($AF$2:AF90),$AF$2:$AF$1001,0),0), INDEX($AM$1004:$BM$1004,1,MATCH(COLUMNS($AM$1006:AZ1006),$AM$1006:$BM$1006,0)))),"Fix")))</f>
        <v xml:space="preserve"> </v>
      </c>
      <c r="P90" s="4" t="str">
        <f ca="1">IF(OR(INDEX($AG$2:$AG$1001,MATCH(ROWS($AF$2:AF90),$AF$2:$AF$1001,0),1)&gt;=100000,INDEX($AM$1005:$BM$1005,1,MATCH(COLUMNS($AM$1006:BA1006),$AM$1006:$BM$1006,0))&gt;=100000), " ",IF(INDEX($AM$2:$BM$1001,MATCH(ROWS($AF$2:AF90),$AF$2:$AF$1001,0),MATCH(COLUMNS($AM$1006:BA1006),$AM$1006:$BM$1006,0)), HYPERLINK("#",""), HYPERLINK(CONCATENATE("#metadata!", ADDRESS(INDEX($AH$2:$AH$1001,MATCH(ROWS($AF$2:AF90),$AF$2:$AF$1001,0),0), INDEX($AM$1004:$BM$1004,1,MATCH(COLUMNS($AM$1006:BA1006),$AM$1006:$BM$1006,0)))),"Fix")))</f>
        <v xml:space="preserve"> </v>
      </c>
      <c r="Q90" s="4" t="str">
        <f ca="1">IF(OR(INDEX($AG$2:$AG$1001,MATCH(ROWS($AF$2:AF90),$AF$2:$AF$1001,0),1)&gt;=100000,INDEX($AM$1005:$BM$1005,1,MATCH(COLUMNS($AM$1006:BB1006),$AM$1006:$BM$1006,0))&gt;=100000), " ",IF(INDEX($AM$2:$BM$1001,MATCH(ROWS($AF$2:AF90),$AF$2:$AF$1001,0),MATCH(COLUMNS($AM$1006:BB1006),$AM$1006:$BM$1006,0)), HYPERLINK("#",""), HYPERLINK(CONCATENATE("#metadata!", ADDRESS(INDEX($AH$2:$AH$1001,MATCH(ROWS($AF$2:AF90),$AF$2:$AF$1001,0),0), INDEX($AM$1004:$BM$1004,1,MATCH(COLUMNS($AM$1006:BB1006),$AM$1006:$BM$1006,0)))),"Fix")))</f>
        <v xml:space="preserve"> </v>
      </c>
      <c r="R90" s="4" t="str">
        <f ca="1">IF(OR(INDEX($AG$2:$AG$1001,MATCH(ROWS($AF$2:AF90),$AF$2:$AF$1001,0),1)&gt;=100000,INDEX($AM$1005:$BM$1005,1,MATCH(COLUMNS($AM$1006:BC1006),$AM$1006:$BM$1006,0))&gt;=100000), " ",IF(INDEX($AM$2:$BM$1001,MATCH(ROWS($AF$2:AF90),$AF$2:$AF$1001,0),MATCH(COLUMNS($AM$1006:BC1006),$AM$1006:$BM$1006,0)), HYPERLINK("#",""), HYPERLINK(CONCATENATE("#metadata!", ADDRESS(INDEX($AH$2:$AH$1001,MATCH(ROWS($AF$2:AF90),$AF$2:$AF$1001,0),0), INDEX($AM$1004:$BM$1004,1,MATCH(COLUMNS($AM$1006:BC1006),$AM$1006:$BM$1006,0)))),"Fix")))</f>
        <v xml:space="preserve"> </v>
      </c>
      <c r="S90" s="4" t="str">
        <f ca="1">IF(OR(INDEX($AG$2:$AG$1001,MATCH(ROWS($AF$2:AF90),$AF$2:$AF$1001,0),1)&gt;=100000,INDEX($AM$1005:$BM$1005,1,MATCH(COLUMNS($AM$1006:BD1006),$AM$1006:$BM$1006,0))&gt;=100000), " ",IF(INDEX($AM$2:$BM$1001,MATCH(ROWS($AF$2:AF90),$AF$2:$AF$1001,0),MATCH(COLUMNS($AM$1006:BD1006),$AM$1006:$BM$1006,0)), HYPERLINK("#",""), HYPERLINK(CONCATENATE("#metadata!", ADDRESS(INDEX($AH$2:$AH$1001,MATCH(ROWS($AF$2:AF90),$AF$2:$AF$1001,0),0), INDEX($AM$1004:$BM$1004,1,MATCH(COLUMNS($AM$1006:BD1006),$AM$1006:$BM$1006,0)))),"Fix")))</f>
        <v xml:space="preserve"> </v>
      </c>
      <c r="T90" s="4" t="str">
        <f ca="1">IF(OR(INDEX($AG$2:$AG$1001,MATCH(ROWS($AF$2:AF90),$AF$2:$AF$1001,0),1)&gt;=100000,INDEX($AM$1005:$BM$1005,1,MATCH(COLUMNS($AM$1006:BE1006),$AM$1006:$BM$1006,0))&gt;=100000), " ",IF(INDEX($AM$2:$BM$1001,MATCH(ROWS($AF$2:AF90),$AF$2:$AF$1001,0),MATCH(COLUMNS($AM$1006:BE1006),$AM$1006:$BM$1006,0)), HYPERLINK("#",""), HYPERLINK(CONCATENATE("#metadata!", ADDRESS(INDEX($AH$2:$AH$1001,MATCH(ROWS($AF$2:AF90),$AF$2:$AF$1001,0),0), INDEX($AM$1004:$BM$1004,1,MATCH(COLUMNS($AM$1006:BE1006),$AM$1006:$BM$1006,0)))),"Fix")))</f>
        <v xml:space="preserve"> </v>
      </c>
      <c r="U90" s="4" t="str">
        <f ca="1">IF(OR(INDEX($AG$2:$AG$1001,MATCH(ROWS($AF$2:AF90),$AF$2:$AF$1001,0),1)&gt;=100000,INDEX($AM$1005:$BM$1005,1,MATCH(COLUMNS($AM$1006:BF1006),$AM$1006:$BM$1006,0))&gt;=100000), " ",IF(INDEX($AM$2:$BM$1001,MATCH(ROWS($AF$2:AF90),$AF$2:$AF$1001,0),MATCH(COLUMNS($AM$1006:BF1006),$AM$1006:$BM$1006,0)), HYPERLINK("#",""), HYPERLINK(CONCATENATE("#metadata!", ADDRESS(INDEX($AH$2:$AH$1001,MATCH(ROWS($AF$2:AF90),$AF$2:$AF$1001,0),0), INDEX($AM$1004:$BM$1004,1,MATCH(COLUMNS($AM$1006:BF1006),$AM$1006:$BM$1006,0)))),"Fix")))</f>
        <v xml:space="preserve"> </v>
      </c>
      <c r="V90" s="4" t="str">
        <f ca="1">IF(OR(INDEX($AG$2:$AG$1001,MATCH(ROWS($AF$2:AF90),$AF$2:$AF$1001,0),1)&gt;=100000,INDEX($AM$1005:$BM$1005,1,MATCH(COLUMNS($AM$1006:BG1006),$AM$1006:$BM$1006,0))&gt;=100000), " ",IF(INDEX($AM$2:$BM$1001,MATCH(ROWS($AF$2:AF90),$AF$2:$AF$1001,0),MATCH(COLUMNS($AM$1006:BG1006),$AM$1006:$BM$1006,0)), HYPERLINK("#",""), HYPERLINK(CONCATENATE("#metadata!", ADDRESS(INDEX($AH$2:$AH$1001,MATCH(ROWS($AF$2:AF90),$AF$2:$AF$1001,0),0), INDEX($AM$1004:$BM$1004,1,MATCH(COLUMNS($AM$1006:BG1006),$AM$1006:$BM$1006,0)))),"Fix")))</f>
        <v xml:space="preserve"> </v>
      </c>
      <c r="W90" s="4" t="str">
        <f ca="1">IF(OR(INDEX($AG$2:$AG$1001,MATCH(ROWS($AF$2:AF90),$AF$2:$AF$1001,0),1)&gt;=100000,INDEX($AM$1005:$BM$1005,1,MATCH(COLUMNS($AM$1006:BH1006),$AM$1006:$BM$1006,0))&gt;=100000), " ",IF(INDEX($AM$2:$BM$1001,MATCH(ROWS($AF$2:AF90),$AF$2:$AF$1001,0),MATCH(COLUMNS($AM$1006:BH1006),$AM$1006:$BM$1006,0)), HYPERLINK("#",""), HYPERLINK(CONCATENATE("#metadata!", ADDRESS(INDEX($AH$2:$AH$1001,MATCH(ROWS($AF$2:AF90),$AF$2:$AF$1001,0),0), INDEX($AM$1004:$BM$1004,1,MATCH(COLUMNS($AM$1006:BH1006),$AM$1006:$BM$1006,0)))),"Fix")))</f>
        <v xml:space="preserve"> </v>
      </c>
      <c r="X90" s="4" t="str">
        <f ca="1">IF(OR(INDEX($AG$2:$AG$1001,MATCH(ROWS($AF$2:AF90),$AF$2:$AF$1001,0),1)&gt;=100000,INDEX($AM$1005:$BM$1005,1,MATCH(COLUMNS($AM$1006:BI1006),$AM$1006:$BM$1006,0))&gt;=100000), " ",IF(INDEX($AM$2:$BM$1001,MATCH(ROWS($AF$2:AF90),$AF$2:$AF$1001,0),MATCH(COLUMNS($AM$1006:BI1006),$AM$1006:$BM$1006,0)), HYPERLINK("#",""), HYPERLINK(CONCATENATE("#metadata!", ADDRESS(INDEX($AH$2:$AH$1001,MATCH(ROWS($AF$2:AF90),$AF$2:$AF$1001,0),0), INDEX($AM$1004:$BM$1004,1,MATCH(COLUMNS($AM$1006:BI1006),$AM$1006:$BM$1006,0)))),"Fix")))</f>
        <v xml:space="preserve"> </v>
      </c>
      <c r="Y90" s="4" t="str">
        <f ca="1">IF(OR(INDEX($AG$2:$AG$1001,MATCH(ROWS($AF$2:AF90),$AF$2:$AF$1001,0),1)&gt;=100000,INDEX($AM$1005:$BM$1005,1,MATCH(COLUMNS($AM$1006:BJ1006),$AM$1006:$BM$1006,0))&gt;=100000), " ",IF(INDEX($AM$2:$BM$1001,MATCH(ROWS($AF$2:AF90),$AF$2:$AF$1001,0),MATCH(COLUMNS($AM$1006:BJ1006),$AM$1006:$BM$1006,0)), HYPERLINK("#",""), HYPERLINK(CONCATENATE("#metadata!", ADDRESS(INDEX($AH$2:$AH$1001,MATCH(ROWS($AF$2:AF90),$AF$2:$AF$1001,0),0), INDEX($AM$1004:$BM$1004,1,MATCH(COLUMNS($AM$1006:BJ1006),$AM$1006:$BM$1006,0)))),"Fix")))</f>
        <v xml:space="preserve"> </v>
      </c>
      <c r="Z90" s="4" t="str">
        <f ca="1">IF(OR(INDEX($AG$2:$AG$1001,MATCH(ROWS($AF$2:AF90),$AF$2:$AF$1001,0),1)&gt;=100000,INDEX($AM$1005:$BM$1005,1,MATCH(COLUMNS($AM$1006:BK1006),$AM$1006:$BM$1006,0))&gt;=100000), " ",IF(INDEX($AM$2:$BM$1001,MATCH(ROWS($AF$2:AF90),$AF$2:$AF$1001,0),MATCH(COLUMNS($AM$1006:BK1006),$AM$1006:$BM$1006,0)), HYPERLINK("#",""), HYPERLINK(CONCATENATE("#metadata!", ADDRESS(INDEX($AH$2:$AH$1001,MATCH(ROWS($AF$2:AF90),$AF$2:$AF$1001,0),0), INDEX($AM$1004:$BM$1004,1,MATCH(COLUMNS($AM$1006:BK1006),$AM$1006:$BM$1006,0)))),"Fix")))</f>
        <v xml:space="preserve"> </v>
      </c>
      <c r="AA90" s="4" t="str">
        <f ca="1">IF(OR(INDEX($AG$2:$AG$1001,MATCH(ROWS($AF$2:AF90),$AF$2:$AF$1001,0),1)&gt;=100000,INDEX($AM$1005:$BM$1005,1,MATCH(COLUMNS($AM$1006:BL1006),$AM$1006:$BM$1006,0))&gt;=100000), " ",IF(INDEX($AM$2:$BM$1001,MATCH(ROWS($AF$2:AF90),$AF$2:$AF$1001,0),MATCH(COLUMNS($AM$1006:BL1006),$AM$1006:$BM$1006,0)), HYPERLINK("#",""), HYPERLINK(CONCATENATE("#metadata!", ADDRESS(INDEX($AH$2:$AH$1001,MATCH(ROWS($AF$2:AF90),$AF$2:$AF$1001,0),0), INDEX($AM$1004:$BM$1004,1,MATCH(COLUMNS($AM$1006:BL1006),$AM$1006:$BM$1006,0)))),"Fix")))</f>
        <v xml:space="preserve"> </v>
      </c>
      <c r="AB90" s="4" t="str">
        <f ca="1">IF(OR(INDEX($AG$2:$AG$1001,MATCH(ROWS($AF$2:AF90),$AF$2:$AF$1001,0),1)&gt;=100000,INDEX($AM$1005:$BM$1005,1,MATCH(COLUMNS($AM$1006:BM1006),$AM$1006:$BM$1006,0))&gt;=100000), " ",IF(INDEX($AM$2:$BM$1001,MATCH(ROWS($AF$2:AF90),$AF$2:$AF$1001,0),MATCH(COLUMNS($AM$1006:BM1006),$AM$1006:$BM$1006,0)), HYPERLINK("#",""), HYPERLINK(CONCATENATE("#metadata!", ADDRESS(INDEX($AH$2:$AH$1001,MATCH(ROWS($AF$2:AF90),$AF$2:$AF$1001,0),0), INDEX($AM$1004:$BM$1004,1,MATCH(COLUMNS($AM$1006:BM1006),$AM$1006:$BM$1006,0)))),"Fix")))</f>
        <v xml:space="preserve"> </v>
      </c>
      <c r="AF90">
        <v>89</v>
      </c>
      <c r="AG90">
        <v>100090</v>
      </c>
      <c r="AH90">
        <v>90</v>
      </c>
      <c r="AI90" t="b">
        <f t="shared" si="1"/>
        <v>1</v>
      </c>
      <c r="AJ90" t="b">
        <f>COUNTBLANK(metadata!B90:AB90)=COLUMNS(metadata!B90:AB90)</f>
        <v>1</v>
      </c>
      <c r="AK90" t="str">
        <v/>
      </c>
      <c r="AM90" t="b">
        <f ca="1">AND(IF(metadata!B90="",FALSE,TRUE),COUNTIF(metadata!B:B, metadata!B90) = 1,NOT(ISERROR(SUMPRODUCT(SEARCH(MID(metadata!B90,ROW(INDIRECT("1:"&amp;LEN(metadata!B90))), 1),"0123456789abcdefghijklmnopqrstuvwxyzABCDEFGHIJKLMNOPQRSTUVWXYZ.")))))</f>
        <v>0</v>
      </c>
      <c r="AN90" t="b">
        <f ca="1">OR(AND(IF(metadata!C90="",FALSE,TRUE),OR(EXACT(metadata!C90,"missing: not collected"),EXACT(metadata!C90,"missing: not provided"),EXACT(metadata!C90,"missing: restricted access"))),AND(IF(metadata!C90="",FALSE,TRUE),AND(AND(IFERROR(INT(LEFT(metadata!C90,4))&gt;1900,FALSE),IFERROR(INT(LEFT(metadata!C90,4))&lt;=YEAR(NOW()),FALSE)), OR(MID(metadata!C90,5,1)="", AND(AND(MID(metadata!C90,5,1)="-",IFERROR(INT(MID(metadata!C90,6,1))&gt;=0,FALSE),IFERROR(INT(MID(metadata!C90,6,1))&lt;=1,FALSE),NOT(MID(metadata!C90,7,1)=""),IFERROR(INT(MID(metadata!C90,6,2))&gt;=1,FALSE),IFERROR(INT(MID(metadata!C90,6,2))&lt;=12,FALSE)), OR(MID(metadata!C90,8,1)="", AND(AND(MID(metadata!C90,8,1)="-",IFERROR(INT(MID(metadata!C90,9,1))&gt;=0,FALSE),IFERROR(INT(MID(metadata!C90,9,1))&lt;=3,FALSE),NOT(MID(metadata!C90,10,1)=""),IFERROR(INT(MID(metadata!C90,9,2))&gt;=1,FALSE),IFERROR(INT(MID(metadata!C90,9,2))&lt;=31,FALSE)), OR(MID(metadata!C90,11,1)="", AND(AND(MID(metadata!C90,11,1)=" ",IFERROR(INT(MID(metadata!C90,12,1))&gt;=0,FALSE),IFERROR(INT(MID(metadata!C90,12,1))&lt;=2,FALSE),NOT(MID(metadata!C90,13,1)=""),IFERROR(INT(MID(metadata!C90,12,2))&gt;=0,FALSE),IFERROR(INT(MID(metadata!C90,12,2))&lt;=23,FALSE)), OR(MID(metadata!C90,14,1)="", AND(AND(MID(metadata!C90,14,1)=":",IFERROR(INT(MID(metadata!C90,15,1))&gt;=0,FALSE),IFERROR(INT(MID(metadata!C90,15,1))&lt;=5,FALSE),NOT(MID(metadata!C90,16,1)=""),IFERROR(INT(MID(metadata!C90,15,2))&gt;=0,FALSE),IFERROR(INT(MID(metadata!C90,15,2))&lt;=59,FALSE)), OR(MID(metadata!C90,17,1)="", AND(AND(MID(metadata!C90,17,1)=":",IFERROR(INT(MID(metadata!C90,18,1))&gt;=0,FALSE),IFERROR(INT(MID(metadata!C90,18,1))&lt;=5,FALSE),NOT(MID(metadata!C90,19,1)=""),IFERROR(INT(MID(metadata!C90,18,2))&gt;=0,FALSE),IFERROR(INT(MID(metadata!C90,18,2))&lt;=59,FALSE)), LEN(metadata!C90)&lt;=19)))))))))))))</f>
        <v>0</v>
      </c>
      <c r="AO90" t="b">
        <f>AND(IF(metadata!D90="",FALSE,TRUE),EXACT(metadata!D90,"Not applicable"))</f>
        <v>0</v>
      </c>
      <c r="AP90" t="b">
        <f>IF(metadata!E90="",FALSE,TRUE)</f>
        <v>0</v>
      </c>
      <c r="AQ90" t="b">
        <f>OR(AND(IF(metadata!F90="",FALSE,TRUE),OR(EXACT(metadata!F90,"missing: not collected"),EXACT(metadata!F90,"missing: not provided"))),AND(IF(metadata!F90="",FALSE,TRUE),OR(EXACT(metadata!F90,"TRUE"),EXACT(metadata!F90,"FALSE"))))</f>
        <v>0</v>
      </c>
      <c r="AR90" t="b">
        <f>OR(AND(IF(metadata!G90="",FALSE,TRUE),OR(EXACT(metadata!G90,"missing: not collected"),EXACT(metadata!G90,"missing: not provided"),EXACT(metadata!G90,"missing: restricted access"))),AND(IF(metadata!G90="",FALSE,ISNUMBER(VALUE(metadata!G90))),metadata!G90&gt;=-413))</f>
        <v>0</v>
      </c>
      <c r="AS90" t="b">
        <f>AND(IF(metadata!H90="",FALSE,TRUE),EXACT(metadata!H90,"meters"))</f>
        <v>0</v>
      </c>
      <c r="AT90" t="b">
        <f>AND(IF(metadata!I90="",FALSE,TRUE),OR(EXACT(metadata!I90,"Host-associated"),EXACT(metadata!I90,"Free-living")))</f>
        <v>0</v>
      </c>
      <c r="AU90" t="b">
        <f>AND(IF(metadata!J90="",FALSE,TRUE),OR(EXACT(metadata!J90,"Animal"),EXACT(metadata!J90,"Fungus"),EXACT(metadata!J90,"Plant"),EXACT(metadata!J90,"Saline"),EXACT(metadata!J90,"Non-saline")))</f>
        <v>0</v>
      </c>
      <c r="AV90" t="b">
        <f>AND(IF(metadata!K90="",FALSE,TRUE),OR(EXACT(metadata!K90,"Plant secretion"),EXACT(metadata!K90,"Plant rhizosphere"),EXACT(metadata!K90,"Plant surface"),EXACT(metadata!K90,"Plant corpus"),EXACT(metadata!K90,"Fungus surface"),EXACT(metadata!K90,"Fungus corpus"),EXACT(metadata!K90,"Animal surface"),EXACT(metadata!K90,"Animal proximal gut"),EXACT(metadata!K90,"Animal corpus"),EXACT(metadata!K90,"Animal distal gut"),EXACT(metadata!K90,"Animal secretion"),EXACT(metadata!K90,"Sub-surface (non-saline)"),EXACT(metadata!K90,"Surface (non-saline)"),EXACT(metadata!K90,"Water (non-saline)"),EXACT(metadata!K90,"Soil (non-saline)"),EXACT(metadata!K90,"Aerosol (non-saline)"),EXACT(metadata!K90,"Sediment (non-saline)"),EXACT(metadata!K90,"Surface (saline)"),EXACT(metadata!K90,"Water (saline)"),EXACT(metadata!K90,"Hypersaline (saline)"),EXACT(metadata!K90,"Aerosol (saline)"),EXACT(metadata!K90,"Sediment (saline)")))</f>
        <v>0</v>
      </c>
      <c r="AW90" t="b">
        <f>IF(metadata!L90="",FALSE,TRUE)</f>
        <v>0</v>
      </c>
      <c r="AX90" t="b">
        <f>IF(metadata!M90="",FALSE,TRUE)</f>
        <v>0</v>
      </c>
      <c r="AY90" t="b">
        <f>IF(metadata!N90="",FALSE,TRUE)</f>
        <v>0</v>
      </c>
      <c r="AZ90" t="b">
        <f>OR(AND(IF(metadata!O90="",FALSE,TRUE),OR(EXACT(metadata!O90,"missing: not collected"),EXACT(metadata!O90,"missing: not provided"),EXACT(metadata!O90,"missing: restricted access"))),AND(IF(metadata!O90="",FALSE,TRUE),OR(EXACT(metadata!O90,"air"),EXACT(metadata!O90,"built environment"),EXACT(metadata!O90,"host-associated"),EXACT(metadata!O90,"human-associated"),EXACT(metadata!O90,"human-skin"),EXACT(metadata!O90,"human-oral"),EXACT(metadata!O90,"human-gut"),EXACT(metadata!O90,"human-vaginal"),EXACT(metadata!O90,"microbial mat/biofilm"),EXACT(metadata!O90,"misc environment"),EXACT(metadata!O90,"plant-associated"),EXACT(metadata!O90,"sediment"),EXACT(metadata!O90,"soil"),EXACT(metadata!O90,"wastewater/sludge"),EXACT(metadata!O90,"water"))))</f>
        <v>0</v>
      </c>
      <c r="BA90" t="b">
        <f>IF(metadata!P90="",FALSE,TRUE)</f>
        <v>0</v>
      </c>
      <c r="BB90" t="b">
        <f>IF(metadata!Q90="",FALSE,TRUE)</f>
        <v>0</v>
      </c>
      <c r="BC90" t="b">
        <f>OR(AND(IF(metadata!R90="",FALSE,TRUE),OR(EXACT(metadata!R90,"missing: not collected"),EXACT(metadata!R90,"missing: not provided"),EXACT(metadata!R90,"missing: restricted access"))),AND(IF(metadata!R90="",FALSE,ISNUMBER(VALUE(metadata!R90))),metadata!R90&gt;=-90,metadata!R90&lt;=90))</f>
        <v>0</v>
      </c>
      <c r="BD90" t="b">
        <f>AND(IF(metadata!S90="",FALSE,TRUE),EXACT(metadata!S90,"Decimal degrees"))</f>
        <v>0</v>
      </c>
      <c r="BE90" t="b">
        <f>OR(AND(IF(metadata!T90="",FALSE,TRUE),OR(EXACT(metadata!T90,"missing: not collected"),EXACT(metadata!T90,"missing: not provided"),EXACT(metadata!T90,"missing: restricted access"))),AND(IF(metadata!T90="",FALSE,ISNUMBER(VALUE(metadata!T90))),metadata!T90&gt;=-180,metadata!T90&lt;=180))</f>
        <v>0</v>
      </c>
      <c r="BF90" t="b">
        <f>AND(IF(metadata!U90="",FALSE,TRUE),EXACT(metadata!U90,"Decimal degrees"))</f>
        <v>0</v>
      </c>
      <c r="BG90" t="b">
        <f>IF(metadata!V90="",FALSE,TRUE)</f>
        <v>0</v>
      </c>
      <c r="BH90" t="b">
        <f>OR(AND(IF(metadata!W90="",FALSE,TRUE),OR(EXACT(metadata!W90,"missing: not collected"),EXACT(metadata!W90,"missing: not provided"),EXACT(metadata!W90,"missing: restricted access"))),AND(IF(metadata!W90="",FALSE,TRUE),OR(EXACT(metadata!W90,"TRUE"),EXACT(metadata!W90,"FALSE"))))</f>
        <v>0</v>
      </c>
      <c r="BI90" t="b">
        <f>AND(IF(metadata!X90="",FALSE,TRUE),EXACT(metadata!X90,"other"))</f>
        <v>0</v>
      </c>
      <c r="BJ90" t="b">
        <f>IF(metadata!Y90="",FALSE,TRUE)</f>
        <v>0</v>
      </c>
      <c r="BK90" t="b">
        <f>OR(AND(IF(metadata!Z90="",FALSE,TRUE),OR(EXACT(metadata!Z90,"missing: not collected"),EXACT(metadata!Z90,"missing: not provided"))),AND(IF(metadata!Z90="",FALSE,IF(ISERROR(INT(metadata!Z90)),FALSE,INT(metadata!Z90)=metadata!Z90)),metadata!Z90&gt;0))</f>
        <v>0</v>
      </c>
      <c r="BL90" t="b">
        <f>AND(IF(metadata!AA90="",FALSE,TRUE),EXACT(metadata!AA90,"Not applicable"))</f>
        <v>0</v>
      </c>
      <c r="BM90" t="b">
        <f>IF(metadata!AB90="",FALSE,TRUE)</f>
        <v>0</v>
      </c>
    </row>
    <row r="91" spans="1:65" x14ac:dyDescent="0.2">
      <c r="A91" s="5" t="str">
        <f ca="1">IF(B91=" "," ",HYPERLINK(CONCATENATE("#metadata!",ADDRESS(INDEX($AH$2:$AH$1001,MATCH(ROWS($AF$2:AF91),$AF$2:$AF$1001,0),0),1)),INDEX($AK$2:$AK$1001,MATCH(ROWS($AF$2:AF91),$AF$2:$AF$1001,0),0)))</f>
        <v xml:space="preserve"> </v>
      </c>
      <c r="B91" s="4" t="str">
        <f ca="1">IF(OR(INDEX($AG$2:$AG$1001,MATCH(ROWS($AF$2:AF91),$AF$2:$AF$1001,0),1)&gt;=100000,INDEX($AM$1005:$BM$1005,1,MATCH(COLUMNS($AM$1006:AM1006),$AM$1006:$BM$1006,0))&gt;=100000), " ",IF(INDEX($AM$2:$BM$1001,MATCH(ROWS($AF$2:AF91),$AF$2:$AF$1001,0),MATCH(COLUMNS($AM$1006:AM1006),$AM$1006:$BM$1006,0)), HYPERLINK("#",""), HYPERLINK(CONCATENATE("#metadata!", ADDRESS(INDEX($AH$2:$AH$1001,MATCH(ROWS($AF$2:AF91),$AF$2:$AF$1001,0),0), INDEX($AM$1004:$BM$1004,1,MATCH(COLUMNS($AM$1006:AM1006),$AM$1006:$BM$1006,0)))),"Fix")))</f>
        <v xml:space="preserve"> </v>
      </c>
      <c r="C91" s="4" t="str">
        <f ca="1">IF(OR(INDEX($AG$2:$AG$1001,MATCH(ROWS($AF$2:AF91),$AF$2:$AF$1001,0),1)&gt;=100000,INDEX($AM$1005:$BM$1005,1,MATCH(COLUMNS($AM$1006:AN1006),$AM$1006:$BM$1006,0))&gt;=100000), " ",IF(INDEX($AM$2:$BM$1001,MATCH(ROWS($AF$2:AF91),$AF$2:$AF$1001,0),MATCH(COLUMNS($AM$1006:AN1006),$AM$1006:$BM$1006,0)), HYPERLINK("#",""), HYPERLINK(CONCATENATE("#metadata!", ADDRESS(INDEX($AH$2:$AH$1001,MATCH(ROWS($AF$2:AF91),$AF$2:$AF$1001,0),0), INDEX($AM$1004:$BM$1004,1,MATCH(COLUMNS($AM$1006:AN1006),$AM$1006:$BM$1006,0)))),"Fix")))</f>
        <v xml:space="preserve"> </v>
      </c>
      <c r="D91" s="4" t="str">
        <f ca="1">IF(OR(INDEX($AG$2:$AG$1001,MATCH(ROWS($AF$2:AF91),$AF$2:$AF$1001,0),1)&gt;=100000,INDEX($AM$1005:$BM$1005,1,MATCH(COLUMNS($AM$1006:AO1006),$AM$1006:$BM$1006,0))&gt;=100000), " ",IF(INDEX($AM$2:$BM$1001,MATCH(ROWS($AF$2:AF91),$AF$2:$AF$1001,0),MATCH(COLUMNS($AM$1006:AO1006),$AM$1006:$BM$1006,0)), HYPERLINK("#",""), HYPERLINK(CONCATENATE("#metadata!", ADDRESS(INDEX($AH$2:$AH$1001,MATCH(ROWS($AF$2:AF91),$AF$2:$AF$1001,0),0), INDEX($AM$1004:$BM$1004,1,MATCH(COLUMNS($AM$1006:AO1006),$AM$1006:$BM$1006,0)))),"Fix")))</f>
        <v xml:space="preserve"> </v>
      </c>
      <c r="E91" s="4" t="str">
        <f ca="1">IF(OR(INDEX($AG$2:$AG$1001,MATCH(ROWS($AF$2:AF91),$AF$2:$AF$1001,0),1)&gt;=100000,INDEX($AM$1005:$BM$1005,1,MATCH(COLUMNS($AM$1006:AP1006),$AM$1006:$BM$1006,0))&gt;=100000), " ",IF(INDEX($AM$2:$BM$1001,MATCH(ROWS($AF$2:AF91),$AF$2:$AF$1001,0),MATCH(COLUMNS($AM$1006:AP1006),$AM$1006:$BM$1006,0)), HYPERLINK("#",""), HYPERLINK(CONCATENATE("#metadata!", ADDRESS(INDEX($AH$2:$AH$1001,MATCH(ROWS($AF$2:AF91),$AF$2:$AF$1001,0),0), INDEX($AM$1004:$BM$1004,1,MATCH(COLUMNS($AM$1006:AP1006),$AM$1006:$BM$1006,0)))),"Fix")))</f>
        <v xml:space="preserve"> </v>
      </c>
      <c r="F91" s="4" t="str">
        <f ca="1">IF(OR(INDEX($AG$2:$AG$1001,MATCH(ROWS($AF$2:AF91),$AF$2:$AF$1001,0),1)&gt;=100000,INDEX($AM$1005:$BM$1005,1,MATCH(COLUMNS($AM$1006:AQ1006),$AM$1006:$BM$1006,0))&gt;=100000), " ",IF(INDEX($AM$2:$BM$1001,MATCH(ROWS($AF$2:AF91),$AF$2:$AF$1001,0),MATCH(COLUMNS($AM$1006:AQ1006),$AM$1006:$BM$1006,0)), HYPERLINK("#",""), HYPERLINK(CONCATENATE("#metadata!", ADDRESS(INDEX($AH$2:$AH$1001,MATCH(ROWS($AF$2:AF91),$AF$2:$AF$1001,0),0), INDEX($AM$1004:$BM$1004,1,MATCH(COLUMNS($AM$1006:AQ1006),$AM$1006:$BM$1006,0)))),"Fix")))</f>
        <v xml:space="preserve"> </v>
      </c>
      <c r="G91" s="4" t="str">
        <f ca="1">IF(OR(INDEX($AG$2:$AG$1001,MATCH(ROWS($AF$2:AF91),$AF$2:$AF$1001,0),1)&gt;=100000,INDEX($AM$1005:$BM$1005,1,MATCH(COLUMNS($AM$1006:AR1006),$AM$1006:$BM$1006,0))&gt;=100000), " ",IF(INDEX($AM$2:$BM$1001,MATCH(ROWS($AF$2:AF91),$AF$2:$AF$1001,0),MATCH(COLUMNS($AM$1006:AR1006),$AM$1006:$BM$1006,0)), HYPERLINK("#",""), HYPERLINK(CONCATENATE("#metadata!", ADDRESS(INDEX($AH$2:$AH$1001,MATCH(ROWS($AF$2:AF91),$AF$2:$AF$1001,0),0), INDEX($AM$1004:$BM$1004,1,MATCH(COLUMNS($AM$1006:AR1006),$AM$1006:$BM$1006,0)))),"Fix")))</f>
        <v xml:space="preserve"> </v>
      </c>
      <c r="H91" s="4" t="str">
        <f ca="1">IF(OR(INDEX($AG$2:$AG$1001,MATCH(ROWS($AF$2:AF91),$AF$2:$AF$1001,0),1)&gt;=100000,INDEX($AM$1005:$BM$1005,1,MATCH(COLUMNS($AM$1006:AS1006),$AM$1006:$BM$1006,0))&gt;=100000), " ",IF(INDEX($AM$2:$BM$1001,MATCH(ROWS($AF$2:AF91),$AF$2:$AF$1001,0),MATCH(COLUMNS($AM$1006:AS1006),$AM$1006:$BM$1006,0)), HYPERLINK("#",""), HYPERLINK(CONCATENATE("#metadata!", ADDRESS(INDEX($AH$2:$AH$1001,MATCH(ROWS($AF$2:AF91),$AF$2:$AF$1001,0),0), INDEX($AM$1004:$BM$1004,1,MATCH(COLUMNS($AM$1006:AS1006),$AM$1006:$BM$1006,0)))),"Fix")))</f>
        <v xml:space="preserve"> </v>
      </c>
      <c r="I91" s="4" t="str">
        <f ca="1">IF(OR(INDEX($AG$2:$AG$1001,MATCH(ROWS($AF$2:AF91),$AF$2:$AF$1001,0),1)&gt;=100000,INDEX($AM$1005:$BM$1005,1,MATCH(COLUMNS($AM$1006:AT1006),$AM$1006:$BM$1006,0))&gt;=100000), " ",IF(INDEX($AM$2:$BM$1001,MATCH(ROWS($AF$2:AF91),$AF$2:$AF$1001,0),MATCH(COLUMNS($AM$1006:AT1006),$AM$1006:$BM$1006,0)), HYPERLINK("#",""), HYPERLINK(CONCATENATE("#metadata!", ADDRESS(INDEX($AH$2:$AH$1001,MATCH(ROWS($AF$2:AF91),$AF$2:$AF$1001,0),0), INDEX($AM$1004:$BM$1004,1,MATCH(COLUMNS($AM$1006:AT1006),$AM$1006:$BM$1006,0)))),"Fix")))</f>
        <v xml:space="preserve"> </v>
      </c>
      <c r="J91" s="4" t="str">
        <f ca="1">IF(OR(INDEX($AG$2:$AG$1001,MATCH(ROWS($AF$2:AF91),$AF$2:$AF$1001,0),1)&gt;=100000,INDEX($AM$1005:$BM$1005,1,MATCH(COLUMNS($AM$1006:AU1006),$AM$1006:$BM$1006,0))&gt;=100000), " ",IF(INDEX($AM$2:$BM$1001,MATCH(ROWS($AF$2:AF91),$AF$2:$AF$1001,0),MATCH(COLUMNS($AM$1006:AU1006),$AM$1006:$BM$1006,0)), HYPERLINK("#",""), HYPERLINK(CONCATENATE("#metadata!", ADDRESS(INDEX($AH$2:$AH$1001,MATCH(ROWS($AF$2:AF91),$AF$2:$AF$1001,0),0), INDEX($AM$1004:$BM$1004,1,MATCH(COLUMNS($AM$1006:AU1006),$AM$1006:$BM$1006,0)))),"Fix")))</f>
        <v xml:space="preserve"> </v>
      </c>
      <c r="K91" s="4" t="str">
        <f ca="1">IF(OR(INDEX($AG$2:$AG$1001,MATCH(ROWS($AF$2:AF91),$AF$2:$AF$1001,0),1)&gt;=100000,INDEX($AM$1005:$BM$1005,1,MATCH(COLUMNS($AM$1006:AV1006),$AM$1006:$BM$1006,0))&gt;=100000), " ",IF(INDEX($AM$2:$BM$1001,MATCH(ROWS($AF$2:AF91),$AF$2:$AF$1001,0),MATCH(COLUMNS($AM$1006:AV1006),$AM$1006:$BM$1006,0)), HYPERLINK("#",""), HYPERLINK(CONCATENATE("#metadata!", ADDRESS(INDEX($AH$2:$AH$1001,MATCH(ROWS($AF$2:AF91),$AF$2:$AF$1001,0),0), INDEX($AM$1004:$BM$1004,1,MATCH(COLUMNS($AM$1006:AV1006),$AM$1006:$BM$1006,0)))),"Fix")))</f>
        <v xml:space="preserve"> </v>
      </c>
      <c r="L91" s="4" t="str">
        <f ca="1">IF(OR(INDEX($AG$2:$AG$1001,MATCH(ROWS($AF$2:AF91),$AF$2:$AF$1001,0),1)&gt;=100000,INDEX($AM$1005:$BM$1005,1,MATCH(COLUMNS($AM$1006:AW1006),$AM$1006:$BM$1006,0))&gt;=100000), " ",IF(INDEX($AM$2:$BM$1001,MATCH(ROWS($AF$2:AF91),$AF$2:$AF$1001,0),MATCH(COLUMNS($AM$1006:AW1006),$AM$1006:$BM$1006,0)), HYPERLINK("#",""), HYPERLINK(CONCATENATE("#metadata!", ADDRESS(INDEX($AH$2:$AH$1001,MATCH(ROWS($AF$2:AF91),$AF$2:$AF$1001,0),0), INDEX($AM$1004:$BM$1004,1,MATCH(COLUMNS($AM$1006:AW1006),$AM$1006:$BM$1006,0)))),"Fix")))</f>
        <v xml:space="preserve"> </v>
      </c>
      <c r="M91" s="4" t="str">
        <f ca="1">IF(OR(INDEX($AG$2:$AG$1001,MATCH(ROWS($AF$2:AF91),$AF$2:$AF$1001,0),1)&gt;=100000,INDEX($AM$1005:$BM$1005,1,MATCH(COLUMNS($AM$1006:AX1006),$AM$1006:$BM$1006,0))&gt;=100000), " ",IF(INDEX($AM$2:$BM$1001,MATCH(ROWS($AF$2:AF91),$AF$2:$AF$1001,0),MATCH(COLUMNS($AM$1006:AX1006),$AM$1006:$BM$1006,0)), HYPERLINK("#",""), HYPERLINK(CONCATENATE("#metadata!", ADDRESS(INDEX($AH$2:$AH$1001,MATCH(ROWS($AF$2:AF91),$AF$2:$AF$1001,0),0), INDEX($AM$1004:$BM$1004,1,MATCH(COLUMNS($AM$1006:AX1006),$AM$1006:$BM$1006,0)))),"Fix")))</f>
        <v xml:space="preserve"> </v>
      </c>
      <c r="N91" s="4" t="str">
        <f ca="1">IF(OR(INDEX($AG$2:$AG$1001,MATCH(ROWS($AF$2:AF91),$AF$2:$AF$1001,0),1)&gt;=100000,INDEX($AM$1005:$BM$1005,1,MATCH(COLUMNS($AM$1006:AY1006),$AM$1006:$BM$1006,0))&gt;=100000), " ",IF(INDEX($AM$2:$BM$1001,MATCH(ROWS($AF$2:AF91),$AF$2:$AF$1001,0),MATCH(COLUMNS($AM$1006:AY1006),$AM$1006:$BM$1006,0)), HYPERLINK("#",""), HYPERLINK(CONCATENATE("#metadata!", ADDRESS(INDEX($AH$2:$AH$1001,MATCH(ROWS($AF$2:AF91),$AF$2:$AF$1001,0),0), INDEX($AM$1004:$BM$1004,1,MATCH(COLUMNS($AM$1006:AY1006),$AM$1006:$BM$1006,0)))),"Fix")))</f>
        <v xml:space="preserve"> </v>
      </c>
      <c r="O91" s="4" t="str">
        <f ca="1">IF(OR(INDEX($AG$2:$AG$1001,MATCH(ROWS($AF$2:AF91),$AF$2:$AF$1001,0),1)&gt;=100000,INDEX($AM$1005:$BM$1005,1,MATCH(COLUMNS($AM$1006:AZ1006),$AM$1006:$BM$1006,0))&gt;=100000), " ",IF(INDEX($AM$2:$BM$1001,MATCH(ROWS($AF$2:AF91),$AF$2:$AF$1001,0),MATCH(COLUMNS($AM$1006:AZ1006),$AM$1006:$BM$1006,0)), HYPERLINK("#",""), HYPERLINK(CONCATENATE("#metadata!", ADDRESS(INDEX($AH$2:$AH$1001,MATCH(ROWS($AF$2:AF91),$AF$2:$AF$1001,0),0), INDEX($AM$1004:$BM$1004,1,MATCH(COLUMNS($AM$1006:AZ1006),$AM$1006:$BM$1006,0)))),"Fix")))</f>
        <v xml:space="preserve"> </v>
      </c>
      <c r="P91" s="4" t="str">
        <f ca="1">IF(OR(INDEX($AG$2:$AG$1001,MATCH(ROWS($AF$2:AF91),$AF$2:$AF$1001,0),1)&gt;=100000,INDEX($AM$1005:$BM$1005,1,MATCH(COLUMNS($AM$1006:BA1006),$AM$1006:$BM$1006,0))&gt;=100000), " ",IF(INDEX($AM$2:$BM$1001,MATCH(ROWS($AF$2:AF91),$AF$2:$AF$1001,0),MATCH(COLUMNS($AM$1006:BA1006),$AM$1006:$BM$1006,0)), HYPERLINK("#",""), HYPERLINK(CONCATENATE("#metadata!", ADDRESS(INDEX($AH$2:$AH$1001,MATCH(ROWS($AF$2:AF91),$AF$2:$AF$1001,0),0), INDEX($AM$1004:$BM$1004,1,MATCH(COLUMNS($AM$1006:BA1006),$AM$1006:$BM$1006,0)))),"Fix")))</f>
        <v xml:space="preserve"> </v>
      </c>
      <c r="Q91" s="4" t="str">
        <f ca="1">IF(OR(INDEX($AG$2:$AG$1001,MATCH(ROWS($AF$2:AF91),$AF$2:$AF$1001,0),1)&gt;=100000,INDEX($AM$1005:$BM$1005,1,MATCH(COLUMNS($AM$1006:BB1006),$AM$1006:$BM$1006,0))&gt;=100000), " ",IF(INDEX($AM$2:$BM$1001,MATCH(ROWS($AF$2:AF91),$AF$2:$AF$1001,0),MATCH(COLUMNS($AM$1006:BB1006),$AM$1006:$BM$1006,0)), HYPERLINK("#",""), HYPERLINK(CONCATENATE("#metadata!", ADDRESS(INDEX($AH$2:$AH$1001,MATCH(ROWS($AF$2:AF91),$AF$2:$AF$1001,0),0), INDEX($AM$1004:$BM$1004,1,MATCH(COLUMNS($AM$1006:BB1006),$AM$1006:$BM$1006,0)))),"Fix")))</f>
        <v xml:space="preserve"> </v>
      </c>
      <c r="R91" s="4" t="str">
        <f ca="1">IF(OR(INDEX($AG$2:$AG$1001,MATCH(ROWS($AF$2:AF91),$AF$2:$AF$1001,0),1)&gt;=100000,INDEX($AM$1005:$BM$1005,1,MATCH(COLUMNS($AM$1006:BC1006),$AM$1006:$BM$1006,0))&gt;=100000), " ",IF(INDEX($AM$2:$BM$1001,MATCH(ROWS($AF$2:AF91),$AF$2:$AF$1001,0),MATCH(COLUMNS($AM$1006:BC1006),$AM$1006:$BM$1006,0)), HYPERLINK("#",""), HYPERLINK(CONCATENATE("#metadata!", ADDRESS(INDEX($AH$2:$AH$1001,MATCH(ROWS($AF$2:AF91),$AF$2:$AF$1001,0),0), INDEX($AM$1004:$BM$1004,1,MATCH(COLUMNS($AM$1006:BC1006),$AM$1006:$BM$1006,0)))),"Fix")))</f>
        <v xml:space="preserve"> </v>
      </c>
      <c r="S91" s="4" t="str">
        <f ca="1">IF(OR(INDEX($AG$2:$AG$1001,MATCH(ROWS($AF$2:AF91),$AF$2:$AF$1001,0),1)&gt;=100000,INDEX($AM$1005:$BM$1005,1,MATCH(COLUMNS($AM$1006:BD1006),$AM$1006:$BM$1006,0))&gt;=100000), " ",IF(INDEX($AM$2:$BM$1001,MATCH(ROWS($AF$2:AF91),$AF$2:$AF$1001,0),MATCH(COLUMNS($AM$1006:BD1006),$AM$1006:$BM$1006,0)), HYPERLINK("#",""), HYPERLINK(CONCATENATE("#metadata!", ADDRESS(INDEX($AH$2:$AH$1001,MATCH(ROWS($AF$2:AF91),$AF$2:$AF$1001,0),0), INDEX($AM$1004:$BM$1004,1,MATCH(COLUMNS($AM$1006:BD1006),$AM$1006:$BM$1006,0)))),"Fix")))</f>
        <v xml:space="preserve"> </v>
      </c>
      <c r="T91" s="4" t="str">
        <f ca="1">IF(OR(INDEX($AG$2:$AG$1001,MATCH(ROWS($AF$2:AF91),$AF$2:$AF$1001,0),1)&gt;=100000,INDEX($AM$1005:$BM$1005,1,MATCH(COLUMNS($AM$1006:BE1006),$AM$1006:$BM$1006,0))&gt;=100000), " ",IF(INDEX($AM$2:$BM$1001,MATCH(ROWS($AF$2:AF91),$AF$2:$AF$1001,0),MATCH(COLUMNS($AM$1006:BE1006),$AM$1006:$BM$1006,0)), HYPERLINK("#",""), HYPERLINK(CONCATENATE("#metadata!", ADDRESS(INDEX($AH$2:$AH$1001,MATCH(ROWS($AF$2:AF91),$AF$2:$AF$1001,0),0), INDEX($AM$1004:$BM$1004,1,MATCH(COLUMNS($AM$1006:BE1006),$AM$1006:$BM$1006,0)))),"Fix")))</f>
        <v xml:space="preserve"> </v>
      </c>
      <c r="U91" s="4" t="str">
        <f ca="1">IF(OR(INDEX($AG$2:$AG$1001,MATCH(ROWS($AF$2:AF91),$AF$2:$AF$1001,0),1)&gt;=100000,INDEX($AM$1005:$BM$1005,1,MATCH(COLUMNS($AM$1006:BF1006),$AM$1006:$BM$1006,0))&gt;=100000), " ",IF(INDEX($AM$2:$BM$1001,MATCH(ROWS($AF$2:AF91),$AF$2:$AF$1001,0),MATCH(COLUMNS($AM$1006:BF1006),$AM$1006:$BM$1006,0)), HYPERLINK("#",""), HYPERLINK(CONCATENATE("#metadata!", ADDRESS(INDEX($AH$2:$AH$1001,MATCH(ROWS($AF$2:AF91),$AF$2:$AF$1001,0),0), INDEX($AM$1004:$BM$1004,1,MATCH(COLUMNS($AM$1006:BF1006),$AM$1006:$BM$1006,0)))),"Fix")))</f>
        <v xml:space="preserve"> </v>
      </c>
      <c r="V91" s="4" t="str">
        <f ca="1">IF(OR(INDEX($AG$2:$AG$1001,MATCH(ROWS($AF$2:AF91),$AF$2:$AF$1001,0),1)&gt;=100000,INDEX($AM$1005:$BM$1005,1,MATCH(COLUMNS($AM$1006:BG1006),$AM$1006:$BM$1006,0))&gt;=100000), " ",IF(INDEX($AM$2:$BM$1001,MATCH(ROWS($AF$2:AF91),$AF$2:$AF$1001,0),MATCH(COLUMNS($AM$1006:BG1006),$AM$1006:$BM$1006,0)), HYPERLINK("#",""), HYPERLINK(CONCATENATE("#metadata!", ADDRESS(INDEX($AH$2:$AH$1001,MATCH(ROWS($AF$2:AF91),$AF$2:$AF$1001,0),0), INDEX($AM$1004:$BM$1004,1,MATCH(COLUMNS($AM$1006:BG1006),$AM$1006:$BM$1006,0)))),"Fix")))</f>
        <v xml:space="preserve"> </v>
      </c>
      <c r="W91" s="4" t="str">
        <f ca="1">IF(OR(INDEX($AG$2:$AG$1001,MATCH(ROWS($AF$2:AF91),$AF$2:$AF$1001,0),1)&gt;=100000,INDEX($AM$1005:$BM$1005,1,MATCH(COLUMNS($AM$1006:BH1006),$AM$1006:$BM$1006,0))&gt;=100000), " ",IF(INDEX($AM$2:$BM$1001,MATCH(ROWS($AF$2:AF91),$AF$2:$AF$1001,0),MATCH(COLUMNS($AM$1006:BH1006),$AM$1006:$BM$1006,0)), HYPERLINK("#",""), HYPERLINK(CONCATENATE("#metadata!", ADDRESS(INDEX($AH$2:$AH$1001,MATCH(ROWS($AF$2:AF91),$AF$2:$AF$1001,0),0), INDEX($AM$1004:$BM$1004,1,MATCH(COLUMNS($AM$1006:BH1006),$AM$1006:$BM$1006,0)))),"Fix")))</f>
        <v xml:space="preserve"> </v>
      </c>
      <c r="X91" s="4" t="str">
        <f ca="1">IF(OR(INDEX($AG$2:$AG$1001,MATCH(ROWS($AF$2:AF91),$AF$2:$AF$1001,0),1)&gt;=100000,INDEX($AM$1005:$BM$1005,1,MATCH(COLUMNS($AM$1006:BI1006),$AM$1006:$BM$1006,0))&gt;=100000), " ",IF(INDEX($AM$2:$BM$1001,MATCH(ROWS($AF$2:AF91),$AF$2:$AF$1001,0),MATCH(COLUMNS($AM$1006:BI1006),$AM$1006:$BM$1006,0)), HYPERLINK("#",""), HYPERLINK(CONCATENATE("#metadata!", ADDRESS(INDEX($AH$2:$AH$1001,MATCH(ROWS($AF$2:AF91),$AF$2:$AF$1001,0),0), INDEX($AM$1004:$BM$1004,1,MATCH(COLUMNS($AM$1006:BI1006),$AM$1006:$BM$1006,0)))),"Fix")))</f>
        <v xml:space="preserve"> </v>
      </c>
      <c r="Y91" s="4" t="str">
        <f ca="1">IF(OR(INDEX($AG$2:$AG$1001,MATCH(ROWS($AF$2:AF91),$AF$2:$AF$1001,0),1)&gt;=100000,INDEX($AM$1005:$BM$1005,1,MATCH(COLUMNS($AM$1006:BJ1006),$AM$1006:$BM$1006,0))&gt;=100000), " ",IF(INDEX($AM$2:$BM$1001,MATCH(ROWS($AF$2:AF91),$AF$2:$AF$1001,0),MATCH(COLUMNS($AM$1006:BJ1006),$AM$1006:$BM$1006,0)), HYPERLINK("#",""), HYPERLINK(CONCATENATE("#metadata!", ADDRESS(INDEX($AH$2:$AH$1001,MATCH(ROWS($AF$2:AF91),$AF$2:$AF$1001,0),0), INDEX($AM$1004:$BM$1004,1,MATCH(COLUMNS($AM$1006:BJ1006),$AM$1006:$BM$1006,0)))),"Fix")))</f>
        <v xml:space="preserve"> </v>
      </c>
      <c r="Z91" s="4" t="str">
        <f ca="1">IF(OR(INDEX($AG$2:$AG$1001,MATCH(ROWS($AF$2:AF91),$AF$2:$AF$1001,0),1)&gt;=100000,INDEX($AM$1005:$BM$1005,1,MATCH(COLUMNS($AM$1006:BK1006),$AM$1006:$BM$1006,0))&gt;=100000), " ",IF(INDEX($AM$2:$BM$1001,MATCH(ROWS($AF$2:AF91),$AF$2:$AF$1001,0),MATCH(COLUMNS($AM$1006:BK1006),$AM$1006:$BM$1006,0)), HYPERLINK("#",""), HYPERLINK(CONCATENATE("#metadata!", ADDRESS(INDEX($AH$2:$AH$1001,MATCH(ROWS($AF$2:AF91),$AF$2:$AF$1001,0),0), INDEX($AM$1004:$BM$1004,1,MATCH(COLUMNS($AM$1006:BK1006),$AM$1006:$BM$1006,0)))),"Fix")))</f>
        <v xml:space="preserve"> </v>
      </c>
      <c r="AA91" s="4" t="str">
        <f ca="1">IF(OR(INDEX($AG$2:$AG$1001,MATCH(ROWS($AF$2:AF91),$AF$2:$AF$1001,0),1)&gt;=100000,INDEX($AM$1005:$BM$1005,1,MATCH(COLUMNS($AM$1006:BL1006),$AM$1006:$BM$1006,0))&gt;=100000), " ",IF(INDEX($AM$2:$BM$1001,MATCH(ROWS($AF$2:AF91),$AF$2:$AF$1001,0),MATCH(COLUMNS($AM$1006:BL1006),$AM$1006:$BM$1006,0)), HYPERLINK("#",""), HYPERLINK(CONCATENATE("#metadata!", ADDRESS(INDEX($AH$2:$AH$1001,MATCH(ROWS($AF$2:AF91),$AF$2:$AF$1001,0),0), INDEX($AM$1004:$BM$1004,1,MATCH(COLUMNS($AM$1006:BL1006),$AM$1006:$BM$1006,0)))),"Fix")))</f>
        <v xml:space="preserve"> </v>
      </c>
      <c r="AB91" s="4" t="str">
        <f ca="1">IF(OR(INDEX($AG$2:$AG$1001,MATCH(ROWS($AF$2:AF91),$AF$2:$AF$1001,0),1)&gt;=100000,INDEX($AM$1005:$BM$1005,1,MATCH(COLUMNS($AM$1006:BM1006),$AM$1006:$BM$1006,0))&gt;=100000), " ",IF(INDEX($AM$2:$BM$1001,MATCH(ROWS($AF$2:AF91),$AF$2:$AF$1001,0),MATCH(COLUMNS($AM$1006:BM1006),$AM$1006:$BM$1006,0)), HYPERLINK("#",""), HYPERLINK(CONCATENATE("#metadata!", ADDRESS(INDEX($AH$2:$AH$1001,MATCH(ROWS($AF$2:AF91),$AF$2:$AF$1001,0),0), INDEX($AM$1004:$BM$1004,1,MATCH(COLUMNS($AM$1006:BM1006),$AM$1006:$BM$1006,0)))),"Fix")))</f>
        <v xml:space="preserve"> </v>
      </c>
      <c r="AF91">
        <v>90</v>
      </c>
      <c r="AG91">
        <v>100091</v>
      </c>
      <c r="AH91">
        <v>91</v>
      </c>
      <c r="AI91" t="b">
        <f t="shared" si="1"/>
        <v>1</v>
      </c>
      <c r="AJ91" t="b">
        <f>COUNTBLANK(metadata!B91:AB91)=COLUMNS(metadata!B91:AB91)</f>
        <v>1</v>
      </c>
      <c r="AK91" t="str">
        <v/>
      </c>
      <c r="AM91" t="b">
        <f ca="1">AND(IF(metadata!B91="",FALSE,TRUE),COUNTIF(metadata!B:B, metadata!B91) = 1,NOT(ISERROR(SUMPRODUCT(SEARCH(MID(metadata!B91,ROW(INDIRECT("1:"&amp;LEN(metadata!B91))), 1),"0123456789abcdefghijklmnopqrstuvwxyzABCDEFGHIJKLMNOPQRSTUVWXYZ.")))))</f>
        <v>0</v>
      </c>
      <c r="AN91" t="b">
        <f ca="1">OR(AND(IF(metadata!C91="",FALSE,TRUE),OR(EXACT(metadata!C91,"missing: not collected"),EXACT(metadata!C91,"missing: not provided"),EXACT(metadata!C91,"missing: restricted access"))),AND(IF(metadata!C91="",FALSE,TRUE),AND(AND(IFERROR(INT(LEFT(metadata!C91,4))&gt;1900,FALSE),IFERROR(INT(LEFT(metadata!C91,4))&lt;=YEAR(NOW()),FALSE)), OR(MID(metadata!C91,5,1)="", AND(AND(MID(metadata!C91,5,1)="-",IFERROR(INT(MID(metadata!C91,6,1))&gt;=0,FALSE),IFERROR(INT(MID(metadata!C91,6,1))&lt;=1,FALSE),NOT(MID(metadata!C91,7,1)=""),IFERROR(INT(MID(metadata!C91,6,2))&gt;=1,FALSE),IFERROR(INT(MID(metadata!C91,6,2))&lt;=12,FALSE)), OR(MID(metadata!C91,8,1)="", AND(AND(MID(metadata!C91,8,1)="-",IFERROR(INT(MID(metadata!C91,9,1))&gt;=0,FALSE),IFERROR(INT(MID(metadata!C91,9,1))&lt;=3,FALSE),NOT(MID(metadata!C91,10,1)=""),IFERROR(INT(MID(metadata!C91,9,2))&gt;=1,FALSE),IFERROR(INT(MID(metadata!C91,9,2))&lt;=31,FALSE)), OR(MID(metadata!C91,11,1)="", AND(AND(MID(metadata!C91,11,1)=" ",IFERROR(INT(MID(metadata!C91,12,1))&gt;=0,FALSE),IFERROR(INT(MID(metadata!C91,12,1))&lt;=2,FALSE),NOT(MID(metadata!C91,13,1)=""),IFERROR(INT(MID(metadata!C91,12,2))&gt;=0,FALSE),IFERROR(INT(MID(metadata!C91,12,2))&lt;=23,FALSE)), OR(MID(metadata!C91,14,1)="", AND(AND(MID(metadata!C91,14,1)=":",IFERROR(INT(MID(metadata!C91,15,1))&gt;=0,FALSE),IFERROR(INT(MID(metadata!C91,15,1))&lt;=5,FALSE),NOT(MID(metadata!C91,16,1)=""),IFERROR(INT(MID(metadata!C91,15,2))&gt;=0,FALSE),IFERROR(INT(MID(metadata!C91,15,2))&lt;=59,FALSE)), OR(MID(metadata!C91,17,1)="", AND(AND(MID(metadata!C91,17,1)=":",IFERROR(INT(MID(metadata!C91,18,1))&gt;=0,FALSE),IFERROR(INT(MID(metadata!C91,18,1))&lt;=5,FALSE),NOT(MID(metadata!C91,19,1)=""),IFERROR(INT(MID(metadata!C91,18,2))&gt;=0,FALSE),IFERROR(INT(MID(metadata!C91,18,2))&lt;=59,FALSE)), LEN(metadata!C91)&lt;=19)))))))))))))</f>
        <v>0</v>
      </c>
      <c r="AO91" t="b">
        <f>AND(IF(metadata!D91="",FALSE,TRUE),EXACT(metadata!D91,"Not applicable"))</f>
        <v>0</v>
      </c>
      <c r="AP91" t="b">
        <f>IF(metadata!E91="",FALSE,TRUE)</f>
        <v>0</v>
      </c>
      <c r="AQ91" t="b">
        <f>OR(AND(IF(metadata!F91="",FALSE,TRUE),OR(EXACT(metadata!F91,"missing: not collected"),EXACT(metadata!F91,"missing: not provided"))),AND(IF(metadata!F91="",FALSE,TRUE),OR(EXACT(metadata!F91,"TRUE"),EXACT(metadata!F91,"FALSE"))))</f>
        <v>0</v>
      </c>
      <c r="AR91" t="b">
        <f>OR(AND(IF(metadata!G91="",FALSE,TRUE),OR(EXACT(metadata!G91,"missing: not collected"),EXACT(metadata!G91,"missing: not provided"),EXACT(metadata!G91,"missing: restricted access"))),AND(IF(metadata!G91="",FALSE,ISNUMBER(VALUE(metadata!G91))),metadata!G91&gt;=-413))</f>
        <v>0</v>
      </c>
      <c r="AS91" t="b">
        <f>AND(IF(metadata!H91="",FALSE,TRUE),EXACT(metadata!H91,"meters"))</f>
        <v>0</v>
      </c>
      <c r="AT91" t="b">
        <f>AND(IF(metadata!I91="",FALSE,TRUE),OR(EXACT(metadata!I91,"Host-associated"),EXACT(metadata!I91,"Free-living")))</f>
        <v>0</v>
      </c>
      <c r="AU91" t="b">
        <f>AND(IF(metadata!J91="",FALSE,TRUE),OR(EXACT(metadata!J91,"Animal"),EXACT(metadata!J91,"Fungus"),EXACT(metadata!J91,"Plant"),EXACT(metadata!J91,"Saline"),EXACT(metadata!J91,"Non-saline")))</f>
        <v>0</v>
      </c>
      <c r="AV91" t="b">
        <f>AND(IF(metadata!K91="",FALSE,TRUE),OR(EXACT(metadata!K91,"Plant secretion"),EXACT(metadata!K91,"Plant rhizosphere"),EXACT(metadata!K91,"Plant surface"),EXACT(metadata!K91,"Plant corpus"),EXACT(metadata!K91,"Fungus surface"),EXACT(metadata!K91,"Fungus corpus"),EXACT(metadata!K91,"Animal surface"),EXACT(metadata!K91,"Animal proximal gut"),EXACT(metadata!K91,"Animal corpus"),EXACT(metadata!K91,"Animal distal gut"),EXACT(metadata!K91,"Animal secretion"),EXACT(metadata!K91,"Sub-surface (non-saline)"),EXACT(metadata!K91,"Surface (non-saline)"),EXACT(metadata!K91,"Water (non-saline)"),EXACT(metadata!K91,"Soil (non-saline)"),EXACT(metadata!K91,"Aerosol (non-saline)"),EXACT(metadata!K91,"Sediment (non-saline)"),EXACT(metadata!K91,"Surface (saline)"),EXACT(metadata!K91,"Water (saline)"),EXACT(metadata!K91,"Hypersaline (saline)"),EXACT(metadata!K91,"Aerosol (saline)"),EXACT(metadata!K91,"Sediment (saline)")))</f>
        <v>0</v>
      </c>
      <c r="AW91" t="b">
        <f>IF(metadata!L91="",FALSE,TRUE)</f>
        <v>0</v>
      </c>
      <c r="AX91" t="b">
        <f>IF(metadata!M91="",FALSE,TRUE)</f>
        <v>0</v>
      </c>
      <c r="AY91" t="b">
        <f>IF(metadata!N91="",FALSE,TRUE)</f>
        <v>0</v>
      </c>
      <c r="AZ91" t="b">
        <f>OR(AND(IF(metadata!O91="",FALSE,TRUE),OR(EXACT(metadata!O91,"missing: not collected"),EXACT(metadata!O91,"missing: not provided"),EXACT(metadata!O91,"missing: restricted access"))),AND(IF(metadata!O91="",FALSE,TRUE),OR(EXACT(metadata!O91,"air"),EXACT(metadata!O91,"built environment"),EXACT(metadata!O91,"host-associated"),EXACT(metadata!O91,"human-associated"),EXACT(metadata!O91,"human-skin"),EXACT(metadata!O91,"human-oral"),EXACT(metadata!O91,"human-gut"),EXACT(metadata!O91,"human-vaginal"),EXACT(metadata!O91,"microbial mat/biofilm"),EXACT(metadata!O91,"misc environment"),EXACT(metadata!O91,"plant-associated"),EXACT(metadata!O91,"sediment"),EXACT(metadata!O91,"soil"),EXACT(metadata!O91,"wastewater/sludge"),EXACT(metadata!O91,"water"))))</f>
        <v>0</v>
      </c>
      <c r="BA91" t="b">
        <f>IF(metadata!P91="",FALSE,TRUE)</f>
        <v>0</v>
      </c>
      <c r="BB91" t="b">
        <f>IF(metadata!Q91="",FALSE,TRUE)</f>
        <v>0</v>
      </c>
      <c r="BC91" t="b">
        <f>OR(AND(IF(metadata!R91="",FALSE,TRUE),OR(EXACT(metadata!R91,"missing: not collected"),EXACT(metadata!R91,"missing: not provided"),EXACT(metadata!R91,"missing: restricted access"))),AND(IF(metadata!R91="",FALSE,ISNUMBER(VALUE(metadata!R91))),metadata!R91&gt;=-90,metadata!R91&lt;=90))</f>
        <v>0</v>
      </c>
      <c r="BD91" t="b">
        <f>AND(IF(metadata!S91="",FALSE,TRUE),EXACT(metadata!S91,"Decimal degrees"))</f>
        <v>0</v>
      </c>
      <c r="BE91" t="b">
        <f>OR(AND(IF(metadata!T91="",FALSE,TRUE),OR(EXACT(metadata!T91,"missing: not collected"),EXACT(metadata!T91,"missing: not provided"),EXACT(metadata!T91,"missing: restricted access"))),AND(IF(metadata!T91="",FALSE,ISNUMBER(VALUE(metadata!T91))),metadata!T91&gt;=-180,metadata!T91&lt;=180))</f>
        <v>0</v>
      </c>
      <c r="BF91" t="b">
        <f>AND(IF(metadata!U91="",FALSE,TRUE),EXACT(metadata!U91,"Decimal degrees"))</f>
        <v>0</v>
      </c>
      <c r="BG91" t="b">
        <f>IF(metadata!V91="",FALSE,TRUE)</f>
        <v>0</v>
      </c>
      <c r="BH91" t="b">
        <f>OR(AND(IF(metadata!W91="",FALSE,TRUE),OR(EXACT(metadata!W91,"missing: not collected"),EXACT(metadata!W91,"missing: not provided"),EXACT(metadata!W91,"missing: restricted access"))),AND(IF(metadata!W91="",FALSE,TRUE),OR(EXACT(metadata!W91,"TRUE"),EXACT(metadata!W91,"FALSE"))))</f>
        <v>0</v>
      </c>
      <c r="BI91" t="b">
        <f>AND(IF(metadata!X91="",FALSE,TRUE),EXACT(metadata!X91,"other"))</f>
        <v>0</v>
      </c>
      <c r="BJ91" t="b">
        <f>IF(metadata!Y91="",FALSE,TRUE)</f>
        <v>0</v>
      </c>
      <c r="BK91" t="b">
        <f>OR(AND(IF(metadata!Z91="",FALSE,TRUE),OR(EXACT(metadata!Z91,"missing: not collected"),EXACT(metadata!Z91,"missing: not provided"))),AND(IF(metadata!Z91="",FALSE,IF(ISERROR(INT(metadata!Z91)),FALSE,INT(metadata!Z91)=metadata!Z91)),metadata!Z91&gt;0))</f>
        <v>0</v>
      </c>
      <c r="BL91" t="b">
        <f>AND(IF(metadata!AA91="",FALSE,TRUE),EXACT(metadata!AA91,"Not applicable"))</f>
        <v>0</v>
      </c>
      <c r="BM91" t="b">
        <f>IF(metadata!AB91="",FALSE,TRUE)</f>
        <v>0</v>
      </c>
    </row>
    <row r="92" spans="1:65" x14ac:dyDescent="0.2">
      <c r="A92" s="5" t="str">
        <f ca="1">IF(B92=" "," ",HYPERLINK(CONCATENATE("#metadata!",ADDRESS(INDEX($AH$2:$AH$1001,MATCH(ROWS($AF$2:AF92),$AF$2:$AF$1001,0),0),1)),INDEX($AK$2:$AK$1001,MATCH(ROWS($AF$2:AF92),$AF$2:$AF$1001,0),0)))</f>
        <v xml:space="preserve"> </v>
      </c>
      <c r="B92" s="4" t="str">
        <f ca="1">IF(OR(INDEX($AG$2:$AG$1001,MATCH(ROWS($AF$2:AF92),$AF$2:$AF$1001,0),1)&gt;=100000,INDEX($AM$1005:$BM$1005,1,MATCH(COLUMNS($AM$1006:AM1006),$AM$1006:$BM$1006,0))&gt;=100000), " ",IF(INDEX($AM$2:$BM$1001,MATCH(ROWS($AF$2:AF92),$AF$2:$AF$1001,0),MATCH(COLUMNS($AM$1006:AM1006),$AM$1006:$BM$1006,0)), HYPERLINK("#",""), HYPERLINK(CONCATENATE("#metadata!", ADDRESS(INDEX($AH$2:$AH$1001,MATCH(ROWS($AF$2:AF92),$AF$2:$AF$1001,0),0), INDEX($AM$1004:$BM$1004,1,MATCH(COLUMNS($AM$1006:AM1006),$AM$1006:$BM$1006,0)))),"Fix")))</f>
        <v xml:space="preserve"> </v>
      </c>
      <c r="C92" s="4" t="str">
        <f ca="1">IF(OR(INDEX($AG$2:$AG$1001,MATCH(ROWS($AF$2:AF92),$AF$2:$AF$1001,0),1)&gt;=100000,INDEX($AM$1005:$BM$1005,1,MATCH(COLUMNS($AM$1006:AN1006),$AM$1006:$BM$1006,0))&gt;=100000), " ",IF(INDEX($AM$2:$BM$1001,MATCH(ROWS($AF$2:AF92),$AF$2:$AF$1001,0),MATCH(COLUMNS($AM$1006:AN1006),$AM$1006:$BM$1006,0)), HYPERLINK("#",""), HYPERLINK(CONCATENATE("#metadata!", ADDRESS(INDEX($AH$2:$AH$1001,MATCH(ROWS($AF$2:AF92),$AF$2:$AF$1001,0),0), INDEX($AM$1004:$BM$1004,1,MATCH(COLUMNS($AM$1006:AN1006),$AM$1006:$BM$1006,0)))),"Fix")))</f>
        <v xml:space="preserve"> </v>
      </c>
      <c r="D92" s="4" t="str">
        <f ca="1">IF(OR(INDEX($AG$2:$AG$1001,MATCH(ROWS($AF$2:AF92),$AF$2:$AF$1001,0),1)&gt;=100000,INDEX($AM$1005:$BM$1005,1,MATCH(COLUMNS($AM$1006:AO1006),$AM$1006:$BM$1006,0))&gt;=100000), " ",IF(INDEX($AM$2:$BM$1001,MATCH(ROWS($AF$2:AF92),$AF$2:$AF$1001,0),MATCH(COLUMNS($AM$1006:AO1006),$AM$1006:$BM$1006,0)), HYPERLINK("#",""), HYPERLINK(CONCATENATE("#metadata!", ADDRESS(INDEX($AH$2:$AH$1001,MATCH(ROWS($AF$2:AF92),$AF$2:$AF$1001,0),0), INDEX($AM$1004:$BM$1004,1,MATCH(COLUMNS($AM$1006:AO1006),$AM$1006:$BM$1006,0)))),"Fix")))</f>
        <v xml:space="preserve"> </v>
      </c>
      <c r="E92" s="4" t="str">
        <f ca="1">IF(OR(INDEX($AG$2:$AG$1001,MATCH(ROWS($AF$2:AF92),$AF$2:$AF$1001,0),1)&gt;=100000,INDEX($AM$1005:$BM$1005,1,MATCH(COLUMNS($AM$1006:AP1006),$AM$1006:$BM$1006,0))&gt;=100000), " ",IF(INDEX($AM$2:$BM$1001,MATCH(ROWS($AF$2:AF92),$AF$2:$AF$1001,0),MATCH(COLUMNS($AM$1006:AP1006),$AM$1006:$BM$1006,0)), HYPERLINK("#",""), HYPERLINK(CONCATENATE("#metadata!", ADDRESS(INDEX($AH$2:$AH$1001,MATCH(ROWS($AF$2:AF92),$AF$2:$AF$1001,0),0), INDEX($AM$1004:$BM$1004,1,MATCH(COLUMNS($AM$1006:AP1006),$AM$1006:$BM$1006,0)))),"Fix")))</f>
        <v xml:space="preserve"> </v>
      </c>
      <c r="F92" s="4" t="str">
        <f ca="1">IF(OR(INDEX($AG$2:$AG$1001,MATCH(ROWS($AF$2:AF92),$AF$2:$AF$1001,0),1)&gt;=100000,INDEX($AM$1005:$BM$1005,1,MATCH(COLUMNS($AM$1006:AQ1006),$AM$1006:$BM$1006,0))&gt;=100000), " ",IF(INDEX($AM$2:$BM$1001,MATCH(ROWS($AF$2:AF92),$AF$2:$AF$1001,0),MATCH(COLUMNS($AM$1006:AQ1006),$AM$1006:$BM$1006,0)), HYPERLINK("#",""), HYPERLINK(CONCATENATE("#metadata!", ADDRESS(INDEX($AH$2:$AH$1001,MATCH(ROWS($AF$2:AF92),$AF$2:$AF$1001,0),0), INDEX($AM$1004:$BM$1004,1,MATCH(COLUMNS($AM$1006:AQ1006),$AM$1006:$BM$1006,0)))),"Fix")))</f>
        <v xml:space="preserve"> </v>
      </c>
      <c r="G92" s="4" t="str">
        <f ca="1">IF(OR(INDEX($AG$2:$AG$1001,MATCH(ROWS($AF$2:AF92),$AF$2:$AF$1001,0),1)&gt;=100000,INDEX($AM$1005:$BM$1005,1,MATCH(COLUMNS($AM$1006:AR1006),$AM$1006:$BM$1006,0))&gt;=100000), " ",IF(INDEX($AM$2:$BM$1001,MATCH(ROWS($AF$2:AF92),$AF$2:$AF$1001,0),MATCH(COLUMNS($AM$1006:AR1006),$AM$1006:$BM$1006,0)), HYPERLINK("#",""), HYPERLINK(CONCATENATE("#metadata!", ADDRESS(INDEX($AH$2:$AH$1001,MATCH(ROWS($AF$2:AF92),$AF$2:$AF$1001,0),0), INDEX($AM$1004:$BM$1004,1,MATCH(COLUMNS($AM$1006:AR1006),$AM$1006:$BM$1006,0)))),"Fix")))</f>
        <v xml:space="preserve"> </v>
      </c>
      <c r="H92" s="4" t="str">
        <f ca="1">IF(OR(INDEX($AG$2:$AG$1001,MATCH(ROWS($AF$2:AF92),$AF$2:$AF$1001,0),1)&gt;=100000,INDEX($AM$1005:$BM$1005,1,MATCH(COLUMNS($AM$1006:AS1006),$AM$1006:$BM$1006,0))&gt;=100000), " ",IF(INDEX($AM$2:$BM$1001,MATCH(ROWS($AF$2:AF92),$AF$2:$AF$1001,0),MATCH(COLUMNS($AM$1006:AS1006),$AM$1006:$BM$1006,0)), HYPERLINK("#",""), HYPERLINK(CONCATENATE("#metadata!", ADDRESS(INDEX($AH$2:$AH$1001,MATCH(ROWS($AF$2:AF92),$AF$2:$AF$1001,0),0), INDEX($AM$1004:$BM$1004,1,MATCH(COLUMNS($AM$1006:AS1006),$AM$1006:$BM$1006,0)))),"Fix")))</f>
        <v xml:space="preserve"> </v>
      </c>
      <c r="I92" s="4" t="str">
        <f ca="1">IF(OR(INDEX($AG$2:$AG$1001,MATCH(ROWS($AF$2:AF92),$AF$2:$AF$1001,0),1)&gt;=100000,INDEX($AM$1005:$BM$1005,1,MATCH(COLUMNS($AM$1006:AT1006),$AM$1006:$BM$1006,0))&gt;=100000), " ",IF(INDEX($AM$2:$BM$1001,MATCH(ROWS($AF$2:AF92),$AF$2:$AF$1001,0),MATCH(COLUMNS($AM$1006:AT1006),$AM$1006:$BM$1006,0)), HYPERLINK("#",""), HYPERLINK(CONCATENATE("#metadata!", ADDRESS(INDEX($AH$2:$AH$1001,MATCH(ROWS($AF$2:AF92),$AF$2:$AF$1001,0),0), INDEX($AM$1004:$BM$1004,1,MATCH(COLUMNS($AM$1006:AT1006),$AM$1006:$BM$1006,0)))),"Fix")))</f>
        <v xml:space="preserve"> </v>
      </c>
      <c r="J92" s="4" t="str">
        <f ca="1">IF(OR(INDEX($AG$2:$AG$1001,MATCH(ROWS($AF$2:AF92),$AF$2:$AF$1001,0),1)&gt;=100000,INDEX($AM$1005:$BM$1005,1,MATCH(COLUMNS($AM$1006:AU1006),$AM$1006:$BM$1006,0))&gt;=100000), " ",IF(INDEX($AM$2:$BM$1001,MATCH(ROWS($AF$2:AF92),$AF$2:$AF$1001,0),MATCH(COLUMNS($AM$1006:AU1006),$AM$1006:$BM$1006,0)), HYPERLINK("#",""), HYPERLINK(CONCATENATE("#metadata!", ADDRESS(INDEX($AH$2:$AH$1001,MATCH(ROWS($AF$2:AF92),$AF$2:$AF$1001,0),0), INDEX($AM$1004:$BM$1004,1,MATCH(COLUMNS($AM$1006:AU1006),$AM$1006:$BM$1006,0)))),"Fix")))</f>
        <v xml:space="preserve"> </v>
      </c>
      <c r="K92" s="4" t="str">
        <f ca="1">IF(OR(INDEX($AG$2:$AG$1001,MATCH(ROWS($AF$2:AF92),$AF$2:$AF$1001,0),1)&gt;=100000,INDEX($AM$1005:$BM$1005,1,MATCH(COLUMNS($AM$1006:AV1006),$AM$1006:$BM$1006,0))&gt;=100000), " ",IF(INDEX($AM$2:$BM$1001,MATCH(ROWS($AF$2:AF92),$AF$2:$AF$1001,0),MATCH(COLUMNS($AM$1006:AV1006),$AM$1006:$BM$1006,0)), HYPERLINK("#",""), HYPERLINK(CONCATENATE("#metadata!", ADDRESS(INDEX($AH$2:$AH$1001,MATCH(ROWS($AF$2:AF92),$AF$2:$AF$1001,0),0), INDEX($AM$1004:$BM$1004,1,MATCH(COLUMNS($AM$1006:AV1006),$AM$1006:$BM$1006,0)))),"Fix")))</f>
        <v xml:space="preserve"> </v>
      </c>
      <c r="L92" s="4" t="str">
        <f ca="1">IF(OR(INDEX($AG$2:$AG$1001,MATCH(ROWS($AF$2:AF92),$AF$2:$AF$1001,0),1)&gt;=100000,INDEX($AM$1005:$BM$1005,1,MATCH(COLUMNS($AM$1006:AW1006),$AM$1006:$BM$1006,0))&gt;=100000), " ",IF(INDEX($AM$2:$BM$1001,MATCH(ROWS($AF$2:AF92),$AF$2:$AF$1001,0),MATCH(COLUMNS($AM$1006:AW1006),$AM$1006:$BM$1006,0)), HYPERLINK("#",""), HYPERLINK(CONCATENATE("#metadata!", ADDRESS(INDEX($AH$2:$AH$1001,MATCH(ROWS($AF$2:AF92),$AF$2:$AF$1001,0),0), INDEX($AM$1004:$BM$1004,1,MATCH(COLUMNS($AM$1006:AW1006),$AM$1006:$BM$1006,0)))),"Fix")))</f>
        <v xml:space="preserve"> </v>
      </c>
      <c r="M92" s="4" t="str">
        <f ca="1">IF(OR(INDEX($AG$2:$AG$1001,MATCH(ROWS($AF$2:AF92),$AF$2:$AF$1001,0),1)&gt;=100000,INDEX($AM$1005:$BM$1005,1,MATCH(COLUMNS($AM$1006:AX1006),$AM$1006:$BM$1006,0))&gt;=100000), " ",IF(INDEX($AM$2:$BM$1001,MATCH(ROWS($AF$2:AF92),$AF$2:$AF$1001,0),MATCH(COLUMNS($AM$1006:AX1006),$AM$1006:$BM$1006,0)), HYPERLINK("#",""), HYPERLINK(CONCATENATE("#metadata!", ADDRESS(INDEX($AH$2:$AH$1001,MATCH(ROWS($AF$2:AF92),$AF$2:$AF$1001,0),0), INDEX($AM$1004:$BM$1004,1,MATCH(COLUMNS($AM$1006:AX1006),$AM$1006:$BM$1006,0)))),"Fix")))</f>
        <v xml:space="preserve"> </v>
      </c>
      <c r="N92" s="4" t="str">
        <f ca="1">IF(OR(INDEX($AG$2:$AG$1001,MATCH(ROWS($AF$2:AF92),$AF$2:$AF$1001,0),1)&gt;=100000,INDEX($AM$1005:$BM$1005,1,MATCH(COLUMNS($AM$1006:AY1006),$AM$1006:$BM$1006,0))&gt;=100000), " ",IF(INDEX($AM$2:$BM$1001,MATCH(ROWS($AF$2:AF92),$AF$2:$AF$1001,0),MATCH(COLUMNS($AM$1006:AY1006),$AM$1006:$BM$1006,0)), HYPERLINK("#",""), HYPERLINK(CONCATENATE("#metadata!", ADDRESS(INDEX($AH$2:$AH$1001,MATCH(ROWS($AF$2:AF92),$AF$2:$AF$1001,0),0), INDEX($AM$1004:$BM$1004,1,MATCH(COLUMNS($AM$1006:AY1006),$AM$1006:$BM$1006,0)))),"Fix")))</f>
        <v xml:space="preserve"> </v>
      </c>
      <c r="O92" s="4" t="str">
        <f ca="1">IF(OR(INDEX($AG$2:$AG$1001,MATCH(ROWS($AF$2:AF92),$AF$2:$AF$1001,0),1)&gt;=100000,INDEX($AM$1005:$BM$1005,1,MATCH(COLUMNS($AM$1006:AZ1006),$AM$1006:$BM$1006,0))&gt;=100000), " ",IF(INDEX($AM$2:$BM$1001,MATCH(ROWS($AF$2:AF92),$AF$2:$AF$1001,0),MATCH(COLUMNS($AM$1006:AZ1006),$AM$1006:$BM$1006,0)), HYPERLINK("#",""), HYPERLINK(CONCATENATE("#metadata!", ADDRESS(INDEX($AH$2:$AH$1001,MATCH(ROWS($AF$2:AF92),$AF$2:$AF$1001,0),0), INDEX($AM$1004:$BM$1004,1,MATCH(COLUMNS($AM$1006:AZ1006),$AM$1006:$BM$1006,0)))),"Fix")))</f>
        <v xml:space="preserve"> </v>
      </c>
      <c r="P92" s="4" t="str">
        <f ca="1">IF(OR(INDEX($AG$2:$AG$1001,MATCH(ROWS($AF$2:AF92),$AF$2:$AF$1001,0),1)&gt;=100000,INDEX($AM$1005:$BM$1005,1,MATCH(COLUMNS($AM$1006:BA1006),$AM$1006:$BM$1006,0))&gt;=100000), " ",IF(INDEX($AM$2:$BM$1001,MATCH(ROWS($AF$2:AF92),$AF$2:$AF$1001,0),MATCH(COLUMNS($AM$1006:BA1006),$AM$1006:$BM$1006,0)), HYPERLINK("#",""), HYPERLINK(CONCATENATE("#metadata!", ADDRESS(INDEX($AH$2:$AH$1001,MATCH(ROWS($AF$2:AF92),$AF$2:$AF$1001,0),0), INDEX($AM$1004:$BM$1004,1,MATCH(COLUMNS($AM$1006:BA1006),$AM$1006:$BM$1006,0)))),"Fix")))</f>
        <v xml:space="preserve"> </v>
      </c>
      <c r="Q92" s="4" t="str">
        <f ca="1">IF(OR(INDEX($AG$2:$AG$1001,MATCH(ROWS($AF$2:AF92),$AF$2:$AF$1001,0),1)&gt;=100000,INDEX($AM$1005:$BM$1005,1,MATCH(COLUMNS($AM$1006:BB1006),$AM$1006:$BM$1006,0))&gt;=100000), " ",IF(INDEX($AM$2:$BM$1001,MATCH(ROWS($AF$2:AF92),$AF$2:$AF$1001,0),MATCH(COLUMNS($AM$1006:BB1006),$AM$1006:$BM$1006,0)), HYPERLINK("#",""), HYPERLINK(CONCATENATE("#metadata!", ADDRESS(INDEX($AH$2:$AH$1001,MATCH(ROWS($AF$2:AF92),$AF$2:$AF$1001,0),0), INDEX($AM$1004:$BM$1004,1,MATCH(COLUMNS($AM$1006:BB1006),$AM$1006:$BM$1006,0)))),"Fix")))</f>
        <v xml:space="preserve"> </v>
      </c>
      <c r="R92" s="4" t="str">
        <f ca="1">IF(OR(INDEX($AG$2:$AG$1001,MATCH(ROWS($AF$2:AF92),$AF$2:$AF$1001,0),1)&gt;=100000,INDEX($AM$1005:$BM$1005,1,MATCH(COLUMNS($AM$1006:BC1006),$AM$1006:$BM$1006,0))&gt;=100000), " ",IF(INDEX($AM$2:$BM$1001,MATCH(ROWS($AF$2:AF92),$AF$2:$AF$1001,0),MATCH(COLUMNS($AM$1006:BC1006),$AM$1006:$BM$1006,0)), HYPERLINK("#",""), HYPERLINK(CONCATENATE("#metadata!", ADDRESS(INDEX($AH$2:$AH$1001,MATCH(ROWS($AF$2:AF92),$AF$2:$AF$1001,0),0), INDEX($AM$1004:$BM$1004,1,MATCH(COLUMNS($AM$1006:BC1006),$AM$1006:$BM$1006,0)))),"Fix")))</f>
        <v xml:space="preserve"> </v>
      </c>
      <c r="S92" s="4" t="str">
        <f ca="1">IF(OR(INDEX($AG$2:$AG$1001,MATCH(ROWS($AF$2:AF92),$AF$2:$AF$1001,0),1)&gt;=100000,INDEX($AM$1005:$BM$1005,1,MATCH(COLUMNS($AM$1006:BD1006),$AM$1006:$BM$1006,0))&gt;=100000), " ",IF(INDEX($AM$2:$BM$1001,MATCH(ROWS($AF$2:AF92),$AF$2:$AF$1001,0),MATCH(COLUMNS($AM$1006:BD1006),$AM$1006:$BM$1006,0)), HYPERLINK("#",""), HYPERLINK(CONCATENATE("#metadata!", ADDRESS(INDEX($AH$2:$AH$1001,MATCH(ROWS($AF$2:AF92),$AF$2:$AF$1001,0),0), INDEX($AM$1004:$BM$1004,1,MATCH(COLUMNS($AM$1006:BD1006),$AM$1006:$BM$1006,0)))),"Fix")))</f>
        <v xml:space="preserve"> </v>
      </c>
      <c r="T92" s="4" t="str">
        <f ca="1">IF(OR(INDEX($AG$2:$AG$1001,MATCH(ROWS($AF$2:AF92),$AF$2:$AF$1001,0),1)&gt;=100000,INDEX($AM$1005:$BM$1005,1,MATCH(COLUMNS($AM$1006:BE1006),$AM$1006:$BM$1006,0))&gt;=100000), " ",IF(INDEX($AM$2:$BM$1001,MATCH(ROWS($AF$2:AF92),$AF$2:$AF$1001,0),MATCH(COLUMNS($AM$1006:BE1006),$AM$1006:$BM$1006,0)), HYPERLINK("#",""), HYPERLINK(CONCATENATE("#metadata!", ADDRESS(INDEX($AH$2:$AH$1001,MATCH(ROWS($AF$2:AF92),$AF$2:$AF$1001,0),0), INDEX($AM$1004:$BM$1004,1,MATCH(COLUMNS($AM$1006:BE1006),$AM$1006:$BM$1006,0)))),"Fix")))</f>
        <v xml:space="preserve"> </v>
      </c>
      <c r="U92" s="4" t="str">
        <f ca="1">IF(OR(INDEX($AG$2:$AG$1001,MATCH(ROWS($AF$2:AF92),$AF$2:$AF$1001,0),1)&gt;=100000,INDEX($AM$1005:$BM$1005,1,MATCH(COLUMNS($AM$1006:BF1006),$AM$1006:$BM$1006,0))&gt;=100000), " ",IF(INDEX($AM$2:$BM$1001,MATCH(ROWS($AF$2:AF92),$AF$2:$AF$1001,0),MATCH(COLUMNS($AM$1006:BF1006),$AM$1006:$BM$1006,0)), HYPERLINK("#",""), HYPERLINK(CONCATENATE("#metadata!", ADDRESS(INDEX($AH$2:$AH$1001,MATCH(ROWS($AF$2:AF92),$AF$2:$AF$1001,0),0), INDEX($AM$1004:$BM$1004,1,MATCH(COLUMNS($AM$1006:BF1006),$AM$1006:$BM$1006,0)))),"Fix")))</f>
        <v xml:space="preserve"> </v>
      </c>
      <c r="V92" s="4" t="str">
        <f ca="1">IF(OR(INDEX($AG$2:$AG$1001,MATCH(ROWS($AF$2:AF92),$AF$2:$AF$1001,0),1)&gt;=100000,INDEX($AM$1005:$BM$1005,1,MATCH(COLUMNS($AM$1006:BG1006),$AM$1006:$BM$1006,0))&gt;=100000), " ",IF(INDEX($AM$2:$BM$1001,MATCH(ROWS($AF$2:AF92),$AF$2:$AF$1001,0),MATCH(COLUMNS($AM$1006:BG1006),$AM$1006:$BM$1006,0)), HYPERLINK("#",""), HYPERLINK(CONCATENATE("#metadata!", ADDRESS(INDEX($AH$2:$AH$1001,MATCH(ROWS($AF$2:AF92),$AF$2:$AF$1001,0),0), INDEX($AM$1004:$BM$1004,1,MATCH(COLUMNS($AM$1006:BG1006),$AM$1006:$BM$1006,0)))),"Fix")))</f>
        <v xml:space="preserve"> </v>
      </c>
      <c r="W92" s="4" t="str">
        <f ca="1">IF(OR(INDEX($AG$2:$AG$1001,MATCH(ROWS($AF$2:AF92),$AF$2:$AF$1001,0),1)&gt;=100000,INDEX($AM$1005:$BM$1005,1,MATCH(COLUMNS($AM$1006:BH1006),$AM$1006:$BM$1006,0))&gt;=100000), " ",IF(INDEX($AM$2:$BM$1001,MATCH(ROWS($AF$2:AF92),$AF$2:$AF$1001,0),MATCH(COLUMNS($AM$1006:BH1006),$AM$1006:$BM$1006,0)), HYPERLINK("#",""), HYPERLINK(CONCATENATE("#metadata!", ADDRESS(INDEX($AH$2:$AH$1001,MATCH(ROWS($AF$2:AF92),$AF$2:$AF$1001,0),0), INDEX($AM$1004:$BM$1004,1,MATCH(COLUMNS($AM$1006:BH1006),$AM$1006:$BM$1006,0)))),"Fix")))</f>
        <v xml:space="preserve"> </v>
      </c>
      <c r="X92" s="4" t="str">
        <f ca="1">IF(OR(INDEX($AG$2:$AG$1001,MATCH(ROWS($AF$2:AF92),$AF$2:$AF$1001,0),1)&gt;=100000,INDEX($AM$1005:$BM$1005,1,MATCH(COLUMNS($AM$1006:BI1006),$AM$1006:$BM$1006,0))&gt;=100000), " ",IF(INDEX($AM$2:$BM$1001,MATCH(ROWS($AF$2:AF92),$AF$2:$AF$1001,0),MATCH(COLUMNS($AM$1006:BI1006),$AM$1006:$BM$1006,0)), HYPERLINK("#",""), HYPERLINK(CONCATENATE("#metadata!", ADDRESS(INDEX($AH$2:$AH$1001,MATCH(ROWS($AF$2:AF92),$AF$2:$AF$1001,0),0), INDEX($AM$1004:$BM$1004,1,MATCH(COLUMNS($AM$1006:BI1006),$AM$1006:$BM$1006,0)))),"Fix")))</f>
        <v xml:space="preserve"> </v>
      </c>
      <c r="Y92" s="4" t="str">
        <f ca="1">IF(OR(INDEX($AG$2:$AG$1001,MATCH(ROWS($AF$2:AF92),$AF$2:$AF$1001,0),1)&gt;=100000,INDEX($AM$1005:$BM$1005,1,MATCH(COLUMNS($AM$1006:BJ1006),$AM$1006:$BM$1006,0))&gt;=100000), " ",IF(INDEX($AM$2:$BM$1001,MATCH(ROWS($AF$2:AF92),$AF$2:$AF$1001,0),MATCH(COLUMNS($AM$1006:BJ1006),$AM$1006:$BM$1006,0)), HYPERLINK("#",""), HYPERLINK(CONCATENATE("#metadata!", ADDRESS(INDEX($AH$2:$AH$1001,MATCH(ROWS($AF$2:AF92),$AF$2:$AF$1001,0),0), INDEX($AM$1004:$BM$1004,1,MATCH(COLUMNS($AM$1006:BJ1006),$AM$1006:$BM$1006,0)))),"Fix")))</f>
        <v xml:space="preserve"> </v>
      </c>
      <c r="Z92" s="4" t="str">
        <f ca="1">IF(OR(INDEX($AG$2:$AG$1001,MATCH(ROWS($AF$2:AF92),$AF$2:$AF$1001,0),1)&gt;=100000,INDEX($AM$1005:$BM$1005,1,MATCH(COLUMNS($AM$1006:BK1006),$AM$1006:$BM$1006,0))&gt;=100000), " ",IF(INDEX($AM$2:$BM$1001,MATCH(ROWS($AF$2:AF92),$AF$2:$AF$1001,0),MATCH(COLUMNS($AM$1006:BK1006),$AM$1006:$BM$1006,0)), HYPERLINK("#",""), HYPERLINK(CONCATENATE("#metadata!", ADDRESS(INDEX($AH$2:$AH$1001,MATCH(ROWS($AF$2:AF92),$AF$2:$AF$1001,0),0), INDEX($AM$1004:$BM$1004,1,MATCH(COLUMNS($AM$1006:BK1006),$AM$1006:$BM$1006,0)))),"Fix")))</f>
        <v xml:space="preserve"> </v>
      </c>
      <c r="AA92" s="4" t="str">
        <f ca="1">IF(OR(INDEX($AG$2:$AG$1001,MATCH(ROWS($AF$2:AF92),$AF$2:$AF$1001,0),1)&gt;=100000,INDEX($AM$1005:$BM$1005,1,MATCH(COLUMNS($AM$1006:BL1006),$AM$1006:$BM$1006,0))&gt;=100000), " ",IF(INDEX($AM$2:$BM$1001,MATCH(ROWS($AF$2:AF92),$AF$2:$AF$1001,0),MATCH(COLUMNS($AM$1006:BL1006),$AM$1006:$BM$1006,0)), HYPERLINK("#",""), HYPERLINK(CONCATENATE("#metadata!", ADDRESS(INDEX($AH$2:$AH$1001,MATCH(ROWS($AF$2:AF92),$AF$2:$AF$1001,0),0), INDEX($AM$1004:$BM$1004,1,MATCH(COLUMNS($AM$1006:BL1006),$AM$1006:$BM$1006,0)))),"Fix")))</f>
        <v xml:space="preserve"> </v>
      </c>
      <c r="AB92" s="4" t="str">
        <f ca="1">IF(OR(INDEX($AG$2:$AG$1001,MATCH(ROWS($AF$2:AF92),$AF$2:$AF$1001,0),1)&gt;=100000,INDEX($AM$1005:$BM$1005,1,MATCH(COLUMNS($AM$1006:BM1006),$AM$1006:$BM$1006,0))&gt;=100000), " ",IF(INDEX($AM$2:$BM$1001,MATCH(ROWS($AF$2:AF92),$AF$2:$AF$1001,0),MATCH(COLUMNS($AM$1006:BM1006),$AM$1006:$BM$1006,0)), HYPERLINK("#",""), HYPERLINK(CONCATENATE("#metadata!", ADDRESS(INDEX($AH$2:$AH$1001,MATCH(ROWS($AF$2:AF92),$AF$2:$AF$1001,0),0), INDEX($AM$1004:$BM$1004,1,MATCH(COLUMNS($AM$1006:BM1006),$AM$1006:$BM$1006,0)))),"Fix")))</f>
        <v xml:space="preserve"> </v>
      </c>
      <c r="AF92">
        <v>91</v>
      </c>
      <c r="AG92">
        <v>100092</v>
      </c>
      <c r="AH92">
        <v>92</v>
      </c>
      <c r="AI92" t="b">
        <f t="shared" si="1"/>
        <v>1</v>
      </c>
      <c r="AJ92" t="b">
        <f>COUNTBLANK(metadata!B92:AB92)=COLUMNS(metadata!B92:AB92)</f>
        <v>1</v>
      </c>
      <c r="AK92" t="str">
        <v/>
      </c>
      <c r="AM92" t="b">
        <f ca="1">AND(IF(metadata!B92="",FALSE,TRUE),COUNTIF(metadata!B:B, metadata!B92) = 1,NOT(ISERROR(SUMPRODUCT(SEARCH(MID(metadata!B92,ROW(INDIRECT("1:"&amp;LEN(metadata!B92))), 1),"0123456789abcdefghijklmnopqrstuvwxyzABCDEFGHIJKLMNOPQRSTUVWXYZ.")))))</f>
        <v>0</v>
      </c>
      <c r="AN92" t="b">
        <f ca="1">OR(AND(IF(metadata!C92="",FALSE,TRUE),OR(EXACT(metadata!C92,"missing: not collected"),EXACT(metadata!C92,"missing: not provided"),EXACT(metadata!C92,"missing: restricted access"))),AND(IF(metadata!C92="",FALSE,TRUE),AND(AND(IFERROR(INT(LEFT(metadata!C92,4))&gt;1900,FALSE),IFERROR(INT(LEFT(metadata!C92,4))&lt;=YEAR(NOW()),FALSE)), OR(MID(metadata!C92,5,1)="", AND(AND(MID(metadata!C92,5,1)="-",IFERROR(INT(MID(metadata!C92,6,1))&gt;=0,FALSE),IFERROR(INT(MID(metadata!C92,6,1))&lt;=1,FALSE),NOT(MID(metadata!C92,7,1)=""),IFERROR(INT(MID(metadata!C92,6,2))&gt;=1,FALSE),IFERROR(INT(MID(metadata!C92,6,2))&lt;=12,FALSE)), OR(MID(metadata!C92,8,1)="", AND(AND(MID(metadata!C92,8,1)="-",IFERROR(INT(MID(metadata!C92,9,1))&gt;=0,FALSE),IFERROR(INT(MID(metadata!C92,9,1))&lt;=3,FALSE),NOT(MID(metadata!C92,10,1)=""),IFERROR(INT(MID(metadata!C92,9,2))&gt;=1,FALSE),IFERROR(INT(MID(metadata!C92,9,2))&lt;=31,FALSE)), OR(MID(metadata!C92,11,1)="", AND(AND(MID(metadata!C92,11,1)=" ",IFERROR(INT(MID(metadata!C92,12,1))&gt;=0,FALSE),IFERROR(INT(MID(metadata!C92,12,1))&lt;=2,FALSE),NOT(MID(metadata!C92,13,1)=""),IFERROR(INT(MID(metadata!C92,12,2))&gt;=0,FALSE),IFERROR(INT(MID(metadata!C92,12,2))&lt;=23,FALSE)), OR(MID(metadata!C92,14,1)="", AND(AND(MID(metadata!C92,14,1)=":",IFERROR(INT(MID(metadata!C92,15,1))&gt;=0,FALSE),IFERROR(INT(MID(metadata!C92,15,1))&lt;=5,FALSE),NOT(MID(metadata!C92,16,1)=""),IFERROR(INT(MID(metadata!C92,15,2))&gt;=0,FALSE),IFERROR(INT(MID(metadata!C92,15,2))&lt;=59,FALSE)), OR(MID(metadata!C92,17,1)="", AND(AND(MID(metadata!C92,17,1)=":",IFERROR(INT(MID(metadata!C92,18,1))&gt;=0,FALSE),IFERROR(INT(MID(metadata!C92,18,1))&lt;=5,FALSE),NOT(MID(metadata!C92,19,1)=""),IFERROR(INT(MID(metadata!C92,18,2))&gt;=0,FALSE),IFERROR(INT(MID(metadata!C92,18,2))&lt;=59,FALSE)), LEN(metadata!C92)&lt;=19)))))))))))))</f>
        <v>0</v>
      </c>
      <c r="AO92" t="b">
        <f>AND(IF(metadata!D92="",FALSE,TRUE),EXACT(metadata!D92,"Not applicable"))</f>
        <v>0</v>
      </c>
      <c r="AP92" t="b">
        <f>IF(metadata!E92="",FALSE,TRUE)</f>
        <v>0</v>
      </c>
      <c r="AQ92" t="b">
        <f>OR(AND(IF(metadata!F92="",FALSE,TRUE),OR(EXACT(metadata!F92,"missing: not collected"),EXACT(metadata!F92,"missing: not provided"))),AND(IF(metadata!F92="",FALSE,TRUE),OR(EXACT(metadata!F92,"TRUE"),EXACT(metadata!F92,"FALSE"))))</f>
        <v>0</v>
      </c>
      <c r="AR92" t="b">
        <f>OR(AND(IF(metadata!G92="",FALSE,TRUE),OR(EXACT(metadata!G92,"missing: not collected"),EXACT(metadata!G92,"missing: not provided"),EXACT(metadata!G92,"missing: restricted access"))),AND(IF(metadata!G92="",FALSE,ISNUMBER(VALUE(metadata!G92))),metadata!G92&gt;=-413))</f>
        <v>0</v>
      </c>
      <c r="AS92" t="b">
        <f>AND(IF(metadata!H92="",FALSE,TRUE),EXACT(metadata!H92,"meters"))</f>
        <v>0</v>
      </c>
      <c r="AT92" t="b">
        <f>AND(IF(metadata!I92="",FALSE,TRUE),OR(EXACT(metadata!I92,"Host-associated"),EXACT(metadata!I92,"Free-living")))</f>
        <v>0</v>
      </c>
      <c r="AU92" t="b">
        <f>AND(IF(metadata!J92="",FALSE,TRUE),OR(EXACT(metadata!J92,"Animal"),EXACT(metadata!J92,"Fungus"),EXACT(metadata!J92,"Plant"),EXACT(metadata!J92,"Saline"),EXACT(metadata!J92,"Non-saline")))</f>
        <v>0</v>
      </c>
      <c r="AV92" t="b">
        <f>AND(IF(metadata!K92="",FALSE,TRUE),OR(EXACT(metadata!K92,"Plant secretion"),EXACT(metadata!K92,"Plant rhizosphere"),EXACT(metadata!K92,"Plant surface"),EXACT(metadata!K92,"Plant corpus"),EXACT(metadata!K92,"Fungus surface"),EXACT(metadata!K92,"Fungus corpus"),EXACT(metadata!K92,"Animal surface"),EXACT(metadata!K92,"Animal proximal gut"),EXACT(metadata!K92,"Animal corpus"),EXACT(metadata!K92,"Animal distal gut"),EXACT(metadata!K92,"Animal secretion"),EXACT(metadata!K92,"Sub-surface (non-saline)"),EXACT(metadata!K92,"Surface (non-saline)"),EXACT(metadata!K92,"Water (non-saline)"),EXACT(metadata!K92,"Soil (non-saline)"),EXACT(metadata!K92,"Aerosol (non-saline)"),EXACT(metadata!K92,"Sediment (non-saline)"),EXACT(metadata!K92,"Surface (saline)"),EXACT(metadata!K92,"Water (saline)"),EXACT(metadata!K92,"Hypersaline (saline)"),EXACT(metadata!K92,"Aerosol (saline)"),EXACT(metadata!K92,"Sediment (saline)")))</f>
        <v>0</v>
      </c>
      <c r="AW92" t="b">
        <f>IF(metadata!L92="",FALSE,TRUE)</f>
        <v>0</v>
      </c>
      <c r="AX92" t="b">
        <f>IF(metadata!M92="",FALSE,TRUE)</f>
        <v>0</v>
      </c>
      <c r="AY92" t="b">
        <f>IF(metadata!N92="",FALSE,TRUE)</f>
        <v>0</v>
      </c>
      <c r="AZ92" t="b">
        <f>OR(AND(IF(metadata!O92="",FALSE,TRUE),OR(EXACT(metadata!O92,"missing: not collected"),EXACT(metadata!O92,"missing: not provided"),EXACT(metadata!O92,"missing: restricted access"))),AND(IF(metadata!O92="",FALSE,TRUE),OR(EXACT(metadata!O92,"air"),EXACT(metadata!O92,"built environment"),EXACT(metadata!O92,"host-associated"),EXACT(metadata!O92,"human-associated"),EXACT(metadata!O92,"human-skin"),EXACT(metadata!O92,"human-oral"),EXACT(metadata!O92,"human-gut"),EXACT(metadata!O92,"human-vaginal"),EXACT(metadata!O92,"microbial mat/biofilm"),EXACT(metadata!O92,"misc environment"),EXACT(metadata!O92,"plant-associated"),EXACT(metadata!O92,"sediment"),EXACT(metadata!O92,"soil"),EXACT(metadata!O92,"wastewater/sludge"),EXACT(metadata!O92,"water"))))</f>
        <v>0</v>
      </c>
      <c r="BA92" t="b">
        <f>IF(metadata!P92="",FALSE,TRUE)</f>
        <v>0</v>
      </c>
      <c r="BB92" t="b">
        <f>IF(metadata!Q92="",FALSE,TRUE)</f>
        <v>0</v>
      </c>
      <c r="BC92" t="b">
        <f>OR(AND(IF(metadata!R92="",FALSE,TRUE),OR(EXACT(metadata!R92,"missing: not collected"),EXACT(metadata!R92,"missing: not provided"),EXACT(metadata!R92,"missing: restricted access"))),AND(IF(metadata!R92="",FALSE,ISNUMBER(VALUE(metadata!R92))),metadata!R92&gt;=-90,metadata!R92&lt;=90))</f>
        <v>0</v>
      </c>
      <c r="BD92" t="b">
        <f>AND(IF(metadata!S92="",FALSE,TRUE),EXACT(metadata!S92,"Decimal degrees"))</f>
        <v>0</v>
      </c>
      <c r="BE92" t="b">
        <f>OR(AND(IF(metadata!T92="",FALSE,TRUE),OR(EXACT(metadata!T92,"missing: not collected"),EXACT(metadata!T92,"missing: not provided"),EXACT(metadata!T92,"missing: restricted access"))),AND(IF(metadata!T92="",FALSE,ISNUMBER(VALUE(metadata!T92))),metadata!T92&gt;=-180,metadata!T92&lt;=180))</f>
        <v>0</v>
      </c>
      <c r="BF92" t="b">
        <f>AND(IF(metadata!U92="",FALSE,TRUE),EXACT(metadata!U92,"Decimal degrees"))</f>
        <v>0</v>
      </c>
      <c r="BG92" t="b">
        <f>IF(metadata!V92="",FALSE,TRUE)</f>
        <v>0</v>
      </c>
      <c r="BH92" t="b">
        <f>OR(AND(IF(metadata!W92="",FALSE,TRUE),OR(EXACT(metadata!W92,"missing: not collected"),EXACT(metadata!W92,"missing: not provided"),EXACT(metadata!W92,"missing: restricted access"))),AND(IF(metadata!W92="",FALSE,TRUE),OR(EXACT(metadata!W92,"TRUE"),EXACT(metadata!W92,"FALSE"))))</f>
        <v>0</v>
      </c>
      <c r="BI92" t="b">
        <f>AND(IF(metadata!X92="",FALSE,TRUE),EXACT(metadata!X92,"other"))</f>
        <v>0</v>
      </c>
      <c r="BJ92" t="b">
        <f>IF(metadata!Y92="",FALSE,TRUE)</f>
        <v>0</v>
      </c>
      <c r="BK92" t="b">
        <f>OR(AND(IF(metadata!Z92="",FALSE,TRUE),OR(EXACT(metadata!Z92,"missing: not collected"),EXACT(metadata!Z92,"missing: not provided"))),AND(IF(metadata!Z92="",FALSE,IF(ISERROR(INT(metadata!Z92)),FALSE,INT(metadata!Z92)=metadata!Z92)),metadata!Z92&gt;0))</f>
        <v>0</v>
      </c>
      <c r="BL92" t="b">
        <f>AND(IF(metadata!AA92="",FALSE,TRUE),EXACT(metadata!AA92,"Not applicable"))</f>
        <v>0</v>
      </c>
      <c r="BM92" t="b">
        <f>IF(metadata!AB92="",FALSE,TRUE)</f>
        <v>0</v>
      </c>
    </row>
    <row r="93" spans="1:65" x14ac:dyDescent="0.2">
      <c r="A93" s="5" t="str">
        <f ca="1">IF(B93=" "," ",HYPERLINK(CONCATENATE("#metadata!",ADDRESS(INDEX($AH$2:$AH$1001,MATCH(ROWS($AF$2:AF93),$AF$2:$AF$1001,0),0),1)),INDEX($AK$2:$AK$1001,MATCH(ROWS($AF$2:AF93),$AF$2:$AF$1001,0),0)))</f>
        <v xml:space="preserve"> </v>
      </c>
      <c r="B93" s="4" t="str">
        <f ca="1">IF(OR(INDEX($AG$2:$AG$1001,MATCH(ROWS($AF$2:AF93),$AF$2:$AF$1001,0),1)&gt;=100000,INDEX($AM$1005:$BM$1005,1,MATCH(COLUMNS($AM$1006:AM1006),$AM$1006:$BM$1006,0))&gt;=100000), " ",IF(INDEX($AM$2:$BM$1001,MATCH(ROWS($AF$2:AF93),$AF$2:$AF$1001,0),MATCH(COLUMNS($AM$1006:AM1006),$AM$1006:$BM$1006,0)), HYPERLINK("#",""), HYPERLINK(CONCATENATE("#metadata!", ADDRESS(INDEX($AH$2:$AH$1001,MATCH(ROWS($AF$2:AF93),$AF$2:$AF$1001,0),0), INDEX($AM$1004:$BM$1004,1,MATCH(COLUMNS($AM$1006:AM1006),$AM$1006:$BM$1006,0)))),"Fix")))</f>
        <v xml:space="preserve"> </v>
      </c>
      <c r="C93" s="4" t="str">
        <f ca="1">IF(OR(INDEX($AG$2:$AG$1001,MATCH(ROWS($AF$2:AF93),$AF$2:$AF$1001,0),1)&gt;=100000,INDEX($AM$1005:$BM$1005,1,MATCH(COLUMNS($AM$1006:AN1006),$AM$1006:$BM$1006,0))&gt;=100000), " ",IF(INDEX($AM$2:$BM$1001,MATCH(ROWS($AF$2:AF93),$AF$2:$AF$1001,0),MATCH(COLUMNS($AM$1006:AN1006),$AM$1006:$BM$1006,0)), HYPERLINK("#",""), HYPERLINK(CONCATENATE("#metadata!", ADDRESS(INDEX($AH$2:$AH$1001,MATCH(ROWS($AF$2:AF93),$AF$2:$AF$1001,0),0), INDEX($AM$1004:$BM$1004,1,MATCH(COLUMNS($AM$1006:AN1006),$AM$1006:$BM$1006,0)))),"Fix")))</f>
        <v xml:space="preserve"> </v>
      </c>
      <c r="D93" s="4" t="str">
        <f ca="1">IF(OR(INDEX($AG$2:$AG$1001,MATCH(ROWS($AF$2:AF93),$AF$2:$AF$1001,0),1)&gt;=100000,INDEX($AM$1005:$BM$1005,1,MATCH(COLUMNS($AM$1006:AO1006),$AM$1006:$BM$1006,0))&gt;=100000), " ",IF(INDEX($AM$2:$BM$1001,MATCH(ROWS($AF$2:AF93),$AF$2:$AF$1001,0),MATCH(COLUMNS($AM$1006:AO1006),$AM$1006:$BM$1006,0)), HYPERLINK("#",""), HYPERLINK(CONCATENATE("#metadata!", ADDRESS(INDEX($AH$2:$AH$1001,MATCH(ROWS($AF$2:AF93),$AF$2:$AF$1001,0),0), INDEX($AM$1004:$BM$1004,1,MATCH(COLUMNS($AM$1006:AO1006),$AM$1006:$BM$1006,0)))),"Fix")))</f>
        <v xml:space="preserve"> </v>
      </c>
      <c r="E93" s="4" t="str">
        <f ca="1">IF(OR(INDEX($AG$2:$AG$1001,MATCH(ROWS($AF$2:AF93),$AF$2:$AF$1001,0),1)&gt;=100000,INDEX($AM$1005:$BM$1005,1,MATCH(COLUMNS($AM$1006:AP1006),$AM$1006:$BM$1006,0))&gt;=100000), " ",IF(INDEX($AM$2:$BM$1001,MATCH(ROWS($AF$2:AF93),$AF$2:$AF$1001,0),MATCH(COLUMNS($AM$1006:AP1006),$AM$1006:$BM$1006,0)), HYPERLINK("#",""), HYPERLINK(CONCATENATE("#metadata!", ADDRESS(INDEX($AH$2:$AH$1001,MATCH(ROWS($AF$2:AF93),$AF$2:$AF$1001,0),0), INDEX($AM$1004:$BM$1004,1,MATCH(COLUMNS($AM$1006:AP1006),$AM$1006:$BM$1006,0)))),"Fix")))</f>
        <v xml:space="preserve"> </v>
      </c>
      <c r="F93" s="4" t="str">
        <f ca="1">IF(OR(INDEX($AG$2:$AG$1001,MATCH(ROWS($AF$2:AF93),$AF$2:$AF$1001,0),1)&gt;=100000,INDEX($AM$1005:$BM$1005,1,MATCH(COLUMNS($AM$1006:AQ1006),$AM$1006:$BM$1006,0))&gt;=100000), " ",IF(INDEX($AM$2:$BM$1001,MATCH(ROWS($AF$2:AF93),$AF$2:$AF$1001,0),MATCH(COLUMNS($AM$1006:AQ1006),$AM$1006:$BM$1006,0)), HYPERLINK("#",""), HYPERLINK(CONCATENATE("#metadata!", ADDRESS(INDEX($AH$2:$AH$1001,MATCH(ROWS($AF$2:AF93),$AF$2:$AF$1001,0),0), INDEX($AM$1004:$BM$1004,1,MATCH(COLUMNS($AM$1006:AQ1006),$AM$1006:$BM$1006,0)))),"Fix")))</f>
        <v xml:space="preserve"> </v>
      </c>
      <c r="G93" s="4" t="str">
        <f ca="1">IF(OR(INDEX($AG$2:$AG$1001,MATCH(ROWS($AF$2:AF93),$AF$2:$AF$1001,0),1)&gt;=100000,INDEX($AM$1005:$BM$1005,1,MATCH(COLUMNS($AM$1006:AR1006),$AM$1006:$BM$1006,0))&gt;=100000), " ",IF(INDEX($AM$2:$BM$1001,MATCH(ROWS($AF$2:AF93),$AF$2:$AF$1001,0),MATCH(COLUMNS($AM$1006:AR1006),$AM$1006:$BM$1006,0)), HYPERLINK("#",""), HYPERLINK(CONCATENATE("#metadata!", ADDRESS(INDEX($AH$2:$AH$1001,MATCH(ROWS($AF$2:AF93),$AF$2:$AF$1001,0),0), INDEX($AM$1004:$BM$1004,1,MATCH(COLUMNS($AM$1006:AR1006),$AM$1006:$BM$1006,0)))),"Fix")))</f>
        <v xml:space="preserve"> </v>
      </c>
      <c r="H93" s="4" t="str">
        <f ca="1">IF(OR(INDEX($AG$2:$AG$1001,MATCH(ROWS($AF$2:AF93),$AF$2:$AF$1001,0),1)&gt;=100000,INDEX($AM$1005:$BM$1005,1,MATCH(COLUMNS($AM$1006:AS1006),$AM$1006:$BM$1006,0))&gt;=100000), " ",IF(INDEX($AM$2:$BM$1001,MATCH(ROWS($AF$2:AF93),$AF$2:$AF$1001,0),MATCH(COLUMNS($AM$1006:AS1006),$AM$1006:$BM$1006,0)), HYPERLINK("#",""), HYPERLINK(CONCATENATE("#metadata!", ADDRESS(INDEX($AH$2:$AH$1001,MATCH(ROWS($AF$2:AF93),$AF$2:$AF$1001,0),0), INDEX($AM$1004:$BM$1004,1,MATCH(COLUMNS($AM$1006:AS1006),$AM$1006:$BM$1006,0)))),"Fix")))</f>
        <v xml:space="preserve"> </v>
      </c>
      <c r="I93" s="4" t="str">
        <f ca="1">IF(OR(INDEX($AG$2:$AG$1001,MATCH(ROWS($AF$2:AF93),$AF$2:$AF$1001,0),1)&gt;=100000,INDEX($AM$1005:$BM$1005,1,MATCH(COLUMNS($AM$1006:AT1006),$AM$1006:$BM$1006,0))&gt;=100000), " ",IF(INDEX($AM$2:$BM$1001,MATCH(ROWS($AF$2:AF93),$AF$2:$AF$1001,0),MATCH(COLUMNS($AM$1006:AT1006),$AM$1006:$BM$1006,0)), HYPERLINK("#",""), HYPERLINK(CONCATENATE("#metadata!", ADDRESS(INDEX($AH$2:$AH$1001,MATCH(ROWS($AF$2:AF93),$AF$2:$AF$1001,0),0), INDEX($AM$1004:$BM$1004,1,MATCH(COLUMNS($AM$1006:AT1006),$AM$1006:$BM$1006,0)))),"Fix")))</f>
        <v xml:space="preserve"> </v>
      </c>
      <c r="J93" s="4" t="str">
        <f ca="1">IF(OR(INDEX($AG$2:$AG$1001,MATCH(ROWS($AF$2:AF93),$AF$2:$AF$1001,0),1)&gt;=100000,INDEX($AM$1005:$BM$1005,1,MATCH(COLUMNS($AM$1006:AU1006),$AM$1006:$BM$1006,0))&gt;=100000), " ",IF(INDEX($AM$2:$BM$1001,MATCH(ROWS($AF$2:AF93),$AF$2:$AF$1001,0),MATCH(COLUMNS($AM$1006:AU1006),$AM$1006:$BM$1006,0)), HYPERLINK("#",""), HYPERLINK(CONCATENATE("#metadata!", ADDRESS(INDEX($AH$2:$AH$1001,MATCH(ROWS($AF$2:AF93),$AF$2:$AF$1001,0),0), INDEX($AM$1004:$BM$1004,1,MATCH(COLUMNS($AM$1006:AU1006),$AM$1006:$BM$1006,0)))),"Fix")))</f>
        <v xml:space="preserve"> </v>
      </c>
      <c r="K93" s="4" t="str">
        <f ca="1">IF(OR(INDEX($AG$2:$AG$1001,MATCH(ROWS($AF$2:AF93),$AF$2:$AF$1001,0),1)&gt;=100000,INDEX($AM$1005:$BM$1005,1,MATCH(COLUMNS($AM$1006:AV1006),$AM$1006:$BM$1006,0))&gt;=100000), " ",IF(INDEX($AM$2:$BM$1001,MATCH(ROWS($AF$2:AF93),$AF$2:$AF$1001,0),MATCH(COLUMNS($AM$1006:AV1006),$AM$1006:$BM$1006,0)), HYPERLINK("#",""), HYPERLINK(CONCATENATE("#metadata!", ADDRESS(INDEX($AH$2:$AH$1001,MATCH(ROWS($AF$2:AF93),$AF$2:$AF$1001,0),0), INDEX($AM$1004:$BM$1004,1,MATCH(COLUMNS($AM$1006:AV1006),$AM$1006:$BM$1006,0)))),"Fix")))</f>
        <v xml:space="preserve"> </v>
      </c>
      <c r="L93" s="4" t="str">
        <f ca="1">IF(OR(INDEX($AG$2:$AG$1001,MATCH(ROWS($AF$2:AF93),$AF$2:$AF$1001,0),1)&gt;=100000,INDEX($AM$1005:$BM$1005,1,MATCH(COLUMNS($AM$1006:AW1006),$AM$1006:$BM$1006,0))&gt;=100000), " ",IF(INDEX($AM$2:$BM$1001,MATCH(ROWS($AF$2:AF93),$AF$2:$AF$1001,0),MATCH(COLUMNS($AM$1006:AW1006),$AM$1006:$BM$1006,0)), HYPERLINK("#",""), HYPERLINK(CONCATENATE("#metadata!", ADDRESS(INDEX($AH$2:$AH$1001,MATCH(ROWS($AF$2:AF93),$AF$2:$AF$1001,0),0), INDEX($AM$1004:$BM$1004,1,MATCH(COLUMNS($AM$1006:AW1006),$AM$1006:$BM$1006,0)))),"Fix")))</f>
        <v xml:space="preserve"> </v>
      </c>
      <c r="M93" s="4" t="str">
        <f ca="1">IF(OR(INDEX($AG$2:$AG$1001,MATCH(ROWS($AF$2:AF93),$AF$2:$AF$1001,0),1)&gt;=100000,INDEX($AM$1005:$BM$1005,1,MATCH(COLUMNS($AM$1006:AX1006),$AM$1006:$BM$1006,0))&gt;=100000), " ",IF(INDEX($AM$2:$BM$1001,MATCH(ROWS($AF$2:AF93),$AF$2:$AF$1001,0),MATCH(COLUMNS($AM$1006:AX1006),$AM$1006:$BM$1006,0)), HYPERLINK("#",""), HYPERLINK(CONCATENATE("#metadata!", ADDRESS(INDEX($AH$2:$AH$1001,MATCH(ROWS($AF$2:AF93),$AF$2:$AF$1001,0),0), INDEX($AM$1004:$BM$1004,1,MATCH(COLUMNS($AM$1006:AX1006),$AM$1006:$BM$1006,0)))),"Fix")))</f>
        <v xml:space="preserve"> </v>
      </c>
      <c r="N93" s="4" t="str">
        <f ca="1">IF(OR(INDEX($AG$2:$AG$1001,MATCH(ROWS($AF$2:AF93),$AF$2:$AF$1001,0),1)&gt;=100000,INDEX($AM$1005:$BM$1005,1,MATCH(COLUMNS($AM$1006:AY1006),$AM$1006:$BM$1006,0))&gt;=100000), " ",IF(INDEX($AM$2:$BM$1001,MATCH(ROWS($AF$2:AF93),$AF$2:$AF$1001,0),MATCH(COLUMNS($AM$1006:AY1006),$AM$1006:$BM$1006,0)), HYPERLINK("#",""), HYPERLINK(CONCATENATE("#metadata!", ADDRESS(INDEX($AH$2:$AH$1001,MATCH(ROWS($AF$2:AF93),$AF$2:$AF$1001,0),0), INDEX($AM$1004:$BM$1004,1,MATCH(COLUMNS($AM$1006:AY1006),$AM$1006:$BM$1006,0)))),"Fix")))</f>
        <v xml:space="preserve"> </v>
      </c>
      <c r="O93" s="4" t="str">
        <f ca="1">IF(OR(INDEX($AG$2:$AG$1001,MATCH(ROWS($AF$2:AF93),$AF$2:$AF$1001,0),1)&gt;=100000,INDEX($AM$1005:$BM$1005,1,MATCH(COLUMNS($AM$1006:AZ1006),$AM$1006:$BM$1006,0))&gt;=100000), " ",IF(INDEX($AM$2:$BM$1001,MATCH(ROWS($AF$2:AF93),$AF$2:$AF$1001,0),MATCH(COLUMNS($AM$1006:AZ1006),$AM$1006:$BM$1006,0)), HYPERLINK("#",""), HYPERLINK(CONCATENATE("#metadata!", ADDRESS(INDEX($AH$2:$AH$1001,MATCH(ROWS($AF$2:AF93),$AF$2:$AF$1001,0),0), INDEX($AM$1004:$BM$1004,1,MATCH(COLUMNS($AM$1006:AZ1006),$AM$1006:$BM$1006,0)))),"Fix")))</f>
        <v xml:space="preserve"> </v>
      </c>
      <c r="P93" s="4" t="str">
        <f ca="1">IF(OR(INDEX($AG$2:$AG$1001,MATCH(ROWS($AF$2:AF93),$AF$2:$AF$1001,0),1)&gt;=100000,INDEX($AM$1005:$BM$1005,1,MATCH(COLUMNS($AM$1006:BA1006),$AM$1006:$BM$1006,0))&gt;=100000), " ",IF(INDEX($AM$2:$BM$1001,MATCH(ROWS($AF$2:AF93),$AF$2:$AF$1001,0),MATCH(COLUMNS($AM$1006:BA1006),$AM$1006:$BM$1006,0)), HYPERLINK("#",""), HYPERLINK(CONCATENATE("#metadata!", ADDRESS(INDEX($AH$2:$AH$1001,MATCH(ROWS($AF$2:AF93),$AF$2:$AF$1001,0),0), INDEX($AM$1004:$BM$1004,1,MATCH(COLUMNS($AM$1006:BA1006),$AM$1006:$BM$1006,0)))),"Fix")))</f>
        <v xml:space="preserve"> </v>
      </c>
      <c r="Q93" s="4" t="str">
        <f ca="1">IF(OR(INDEX($AG$2:$AG$1001,MATCH(ROWS($AF$2:AF93),$AF$2:$AF$1001,0),1)&gt;=100000,INDEX($AM$1005:$BM$1005,1,MATCH(COLUMNS($AM$1006:BB1006),$AM$1006:$BM$1006,0))&gt;=100000), " ",IF(INDEX($AM$2:$BM$1001,MATCH(ROWS($AF$2:AF93),$AF$2:$AF$1001,0),MATCH(COLUMNS($AM$1006:BB1006),$AM$1006:$BM$1006,0)), HYPERLINK("#",""), HYPERLINK(CONCATENATE("#metadata!", ADDRESS(INDEX($AH$2:$AH$1001,MATCH(ROWS($AF$2:AF93),$AF$2:$AF$1001,0),0), INDEX($AM$1004:$BM$1004,1,MATCH(COLUMNS($AM$1006:BB1006),$AM$1006:$BM$1006,0)))),"Fix")))</f>
        <v xml:space="preserve"> </v>
      </c>
      <c r="R93" s="4" t="str">
        <f ca="1">IF(OR(INDEX($AG$2:$AG$1001,MATCH(ROWS($AF$2:AF93),$AF$2:$AF$1001,0),1)&gt;=100000,INDEX($AM$1005:$BM$1005,1,MATCH(COLUMNS($AM$1006:BC1006),$AM$1006:$BM$1006,0))&gt;=100000), " ",IF(INDEX($AM$2:$BM$1001,MATCH(ROWS($AF$2:AF93),$AF$2:$AF$1001,0),MATCH(COLUMNS($AM$1006:BC1006),$AM$1006:$BM$1006,0)), HYPERLINK("#",""), HYPERLINK(CONCATENATE("#metadata!", ADDRESS(INDEX($AH$2:$AH$1001,MATCH(ROWS($AF$2:AF93),$AF$2:$AF$1001,0),0), INDEX($AM$1004:$BM$1004,1,MATCH(COLUMNS($AM$1006:BC1006),$AM$1006:$BM$1006,0)))),"Fix")))</f>
        <v xml:space="preserve"> </v>
      </c>
      <c r="S93" s="4" t="str">
        <f ca="1">IF(OR(INDEX($AG$2:$AG$1001,MATCH(ROWS($AF$2:AF93),$AF$2:$AF$1001,0),1)&gt;=100000,INDEX($AM$1005:$BM$1005,1,MATCH(COLUMNS($AM$1006:BD1006),$AM$1006:$BM$1006,0))&gt;=100000), " ",IF(INDEX($AM$2:$BM$1001,MATCH(ROWS($AF$2:AF93),$AF$2:$AF$1001,0),MATCH(COLUMNS($AM$1006:BD1006),$AM$1006:$BM$1006,0)), HYPERLINK("#",""), HYPERLINK(CONCATENATE("#metadata!", ADDRESS(INDEX($AH$2:$AH$1001,MATCH(ROWS($AF$2:AF93),$AF$2:$AF$1001,0),0), INDEX($AM$1004:$BM$1004,1,MATCH(COLUMNS($AM$1006:BD1006),$AM$1006:$BM$1006,0)))),"Fix")))</f>
        <v xml:space="preserve"> </v>
      </c>
      <c r="T93" s="4" t="str">
        <f ca="1">IF(OR(INDEX($AG$2:$AG$1001,MATCH(ROWS($AF$2:AF93),$AF$2:$AF$1001,0),1)&gt;=100000,INDEX($AM$1005:$BM$1005,1,MATCH(COLUMNS($AM$1006:BE1006),$AM$1006:$BM$1006,0))&gt;=100000), " ",IF(INDEX($AM$2:$BM$1001,MATCH(ROWS($AF$2:AF93),$AF$2:$AF$1001,0),MATCH(COLUMNS($AM$1006:BE1006),$AM$1006:$BM$1006,0)), HYPERLINK("#",""), HYPERLINK(CONCATENATE("#metadata!", ADDRESS(INDEX($AH$2:$AH$1001,MATCH(ROWS($AF$2:AF93),$AF$2:$AF$1001,0),0), INDEX($AM$1004:$BM$1004,1,MATCH(COLUMNS($AM$1006:BE1006),$AM$1006:$BM$1006,0)))),"Fix")))</f>
        <v xml:space="preserve"> </v>
      </c>
      <c r="U93" s="4" t="str">
        <f ca="1">IF(OR(INDEX($AG$2:$AG$1001,MATCH(ROWS($AF$2:AF93),$AF$2:$AF$1001,0),1)&gt;=100000,INDEX($AM$1005:$BM$1005,1,MATCH(COLUMNS($AM$1006:BF1006),$AM$1006:$BM$1006,0))&gt;=100000), " ",IF(INDEX($AM$2:$BM$1001,MATCH(ROWS($AF$2:AF93),$AF$2:$AF$1001,0),MATCH(COLUMNS($AM$1006:BF1006),$AM$1006:$BM$1006,0)), HYPERLINK("#",""), HYPERLINK(CONCATENATE("#metadata!", ADDRESS(INDEX($AH$2:$AH$1001,MATCH(ROWS($AF$2:AF93),$AF$2:$AF$1001,0),0), INDEX($AM$1004:$BM$1004,1,MATCH(COLUMNS($AM$1006:BF1006),$AM$1006:$BM$1006,0)))),"Fix")))</f>
        <v xml:space="preserve"> </v>
      </c>
      <c r="V93" s="4" t="str">
        <f ca="1">IF(OR(INDEX($AG$2:$AG$1001,MATCH(ROWS($AF$2:AF93),$AF$2:$AF$1001,0),1)&gt;=100000,INDEX($AM$1005:$BM$1005,1,MATCH(COLUMNS($AM$1006:BG1006),$AM$1006:$BM$1006,0))&gt;=100000), " ",IF(INDEX($AM$2:$BM$1001,MATCH(ROWS($AF$2:AF93),$AF$2:$AF$1001,0),MATCH(COLUMNS($AM$1006:BG1006),$AM$1006:$BM$1006,0)), HYPERLINK("#",""), HYPERLINK(CONCATENATE("#metadata!", ADDRESS(INDEX($AH$2:$AH$1001,MATCH(ROWS($AF$2:AF93),$AF$2:$AF$1001,0),0), INDEX($AM$1004:$BM$1004,1,MATCH(COLUMNS($AM$1006:BG1006),$AM$1006:$BM$1006,0)))),"Fix")))</f>
        <v xml:space="preserve"> </v>
      </c>
      <c r="W93" s="4" t="str">
        <f ca="1">IF(OR(INDEX($AG$2:$AG$1001,MATCH(ROWS($AF$2:AF93),$AF$2:$AF$1001,0),1)&gt;=100000,INDEX($AM$1005:$BM$1005,1,MATCH(COLUMNS($AM$1006:BH1006),$AM$1006:$BM$1006,0))&gt;=100000), " ",IF(INDEX($AM$2:$BM$1001,MATCH(ROWS($AF$2:AF93),$AF$2:$AF$1001,0),MATCH(COLUMNS($AM$1006:BH1006),$AM$1006:$BM$1006,0)), HYPERLINK("#",""), HYPERLINK(CONCATENATE("#metadata!", ADDRESS(INDEX($AH$2:$AH$1001,MATCH(ROWS($AF$2:AF93),$AF$2:$AF$1001,0),0), INDEX($AM$1004:$BM$1004,1,MATCH(COLUMNS($AM$1006:BH1006),$AM$1006:$BM$1006,0)))),"Fix")))</f>
        <v xml:space="preserve"> </v>
      </c>
      <c r="X93" s="4" t="str">
        <f ca="1">IF(OR(INDEX($AG$2:$AG$1001,MATCH(ROWS($AF$2:AF93),$AF$2:$AF$1001,0),1)&gt;=100000,INDEX($AM$1005:$BM$1005,1,MATCH(COLUMNS($AM$1006:BI1006),$AM$1006:$BM$1006,0))&gt;=100000), " ",IF(INDEX($AM$2:$BM$1001,MATCH(ROWS($AF$2:AF93),$AF$2:$AF$1001,0),MATCH(COLUMNS($AM$1006:BI1006),$AM$1006:$BM$1006,0)), HYPERLINK("#",""), HYPERLINK(CONCATENATE("#metadata!", ADDRESS(INDEX($AH$2:$AH$1001,MATCH(ROWS($AF$2:AF93),$AF$2:$AF$1001,0),0), INDEX($AM$1004:$BM$1004,1,MATCH(COLUMNS($AM$1006:BI1006),$AM$1006:$BM$1006,0)))),"Fix")))</f>
        <v xml:space="preserve"> </v>
      </c>
      <c r="Y93" s="4" t="str">
        <f ca="1">IF(OR(INDEX($AG$2:$AG$1001,MATCH(ROWS($AF$2:AF93),$AF$2:$AF$1001,0),1)&gt;=100000,INDEX($AM$1005:$BM$1005,1,MATCH(COLUMNS($AM$1006:BJ1006),$AM$1006:$BM$1006,0))&gt;=100000), " ",IF(INDEX($AM$2:$BM$1001,MATCH(ROWS($AF$2:AF93),$AF$2:$AF$1001,0),MATCH(COLUMNS($AM$1006:BJ1006),$AM$1006:$BM$1006,0)), HYPERLINK("#",""), HYPERLINK(CONCATENATE("#metadata!", ADDRESS(INDEX($AH$2:$AH$1001,MATCH(ROWS($AF$2:AF93),$AF$2:$AF$1001,0),0), INDEX($AM$1004:$BM$1004,1,MATCH(COLUMNS($AM$1006:BJ1006),$AM$1006:$BM$1006,0)))),"Fix")))</f>
        <v xml:space="preserve"> </v>
      </c>
      <c r="Z93" s="4" t="str">
        <f ca="1">IF(OR(INDEX($AG$2:$AG$1001,MATCH(ROWS($AF$2:AF93),$AF$2:$AF$1001,0),1)&gt;=100000,INDEX($AM$1005:$BM$1005,1,MATCH(COLUMNS($AM$1006:BK1006),$AM$1006:$BM$1006,0))&gt;=100000), " ",IF(INDEX($AM$2:$BM$1001,MATCH(ROWS($AF$2:AF93),$AF$2:$AF$1001,0),MATCH(COLUMNS($AM$1006:BK1006),$AM$1006:$BM$1006,0)), HYPERLINK("#",""), HYPERLINK(CONCATENATE("#metadata!", ADDRESS(INDEX($AH$2:$AH$1001,MATCH(ROWS($AF$2:AF93),$AF$2:$AF$1001,0),0), INDEX($AM$1004:$BM$1004,1,MATCH(COLUMNS($AM$1006:BK1006),$AM$1006:$BM$1006,0)))),"Fix")))</f>
        <v xml:space="preserve"> </v>
      </c>
      <c r="AA93" s="4" t="str">
        <f ca="1">IF(OR(INDEX($AG$2:$AG$1001,MATCH(ROWS($AF$2:AF93),$AF$2:$AF$1001,0),1)&gt;=100000,INDEX($AM$1005:$BM$1005,1,MATCH(COLUMNS($AM$1006:BL1006),$AM$1006:$BM$1006,0))&gt;=100000), " ",IF(INDEX($AM$2:$BM$1001,MATCH(ROWS($AF$2:AF93),$AF$2:$AF$1001,0),MATCH(COLUMNS($AM$1006:BL1006),$AM$1006:$BM$1006,0)), HYPERLINK("#",""), HYPERLINK(CONCATENATE("#metadata!", ADDRESS(INDEX($AH$2:$AH$1001,MATCH(ROWS($AF$2:AF93),$AF$2:$AF$1001,0),0), INDEX($AM$1004:$BM$1004,1,MATCH(COLUMNS($AM$1006:BL1006),$AM$1006:$BM$1006,0)))),"Fix")))</f>
        <v xml:space="preserve"> </v>
      </c>
      <c r="AB93" s="4" t="str">
        <f ca="1">IF(OR(INDEX($AG$2:$AG$1001,MATCH(ROWS($AF$2:AF93),$AF$2:$AF$1001,0),1)&gt;=100000,INDEX($AM$1005:$BM$1005,1,MATCH(COLUMNS($AM$1006:BM1006),$AM$1006:$BM$1006,0))&gt;=100000), " ",IF(INDEX($AM$2:$BM$1001,MATCH(ROWS($AF$2:AF93),$AF$2:$AF$1001,0),MATCH(COLUMNS($AM$1006:BM1006),$AM$1006:$BM$1006,0)), HYPERLINK("#",""), HYPERLINK(CONCATENATE("#metadata!", ADDRESS(INDEX($AH$2:$AH$1001,MATCH(ROWS($AF$2:AF93),$AF$2:$AF$1001,0),0), INDEX($AM$1004:$BM$1004,1,MATCH(COLUMNS($AM$1006:BM1006),$AM$1006:$BM$1006,0)))),"Fix")))</f>
        <v xml:space="preserve"> </v>
      </c>
      <c r="AF93">
        <v>92</v>
      </c>
      <c r="AG93">
        <v>100093</v>
      </c>
      <c r="AH93">
        <v>93</v>
      </c>
      <c r="AI93" t="b">
        <f t="shared" si="1"/>
        <v>1</v>
      </c>
      <c r="AJ93" t="b">
        <f>COUNTBLANK(metadata!B93:AB93)=COLUMNS(metadata!B93:AB93)</f>
        <v>1</v>
      </c>
      <c r="AK93" t="str">
        <v/>
      </c>
      <c r="AM93" t="b">
        <f ca="1">AND(IF(metadata!B93="",FALSE,TRUE),COUNTIF(metadata!B:B, metadata!B93) = 1,NOT(ISERROR(SUMPRODUCT(SEARCH(MID(metadata!B93,ROW(INDIRECT("1:"&amp;LEN(metadata!B93))), 1),"0123456789abcdefghijklmnopqrstuvwxyzABCDEFGHIJKLMNOPQRSTUVWXYZ.")))))</f>
        <v>0</v>
      </c>
      <c r="AN93" t="b">
        <f ca="1">OR(AND(IF(metadata!C93="",FALSE,TRUE),OR(EXACT(metadata!C93,"missing: not collected"),EXACT(metadata!C93,"missing: not provided"),EXACT(metadata!C93,"missing: restricted access"))),AND(IF(metadata!C93="",FALSE,TRUE),AND(AND(IFERROR(INT(LEFT(metadata!C93,4))&gt;1900,FALSE),IFERROR(INT(LEFT(metadata!C93,4))&lt;=YEAR(NOW()),FALSE)), OR(MID(metadata!C93,5,1)="", AND(AND(MID(metadata!C93,5,1)="-",IFERROR(INT(MID(metadata!C93,6,1))&gt;=0,FALSE),IFERROR(INT(MID(metadata!C93,6,1))&lt;=1,FALSE),NOT(MID(metadata!C93,7,1)=""),IFERROR(INT(MID(metadata!C93,6,2))&gt;=1,FALSE),IFERROR(INT(MID(metadata!C93,6,2))&lt;=12,FALSE)), OR(MID(metadata!C93,8,1)="", AND(AND(MID(metadata!C93,8,1)="-",IFERROR(INT(MID(metadata!C93,9,1))&gt;=0,FALSE),IFERROR(INT(MID(metadata!C93,9,1))&lt;=3,FALSE),NOT(MID(metadata!C93,10,1)=""),IFERROR(INT(MID(metadata!C93,9,2))&gt;=1,FALSE),IFERROR(INT(MID(metadata!C93,9,2))&lt;=31,FALSE)), OR(MID(metadata!C93,11,1)="", AND(AND(MID(metadata!C93,11,1)=" ",IFERROR(INT(MID(metadata!C93,12,1))&gt;=0,FALSE),IFERROR(INT(MID(metadata!C93,12,1))&lt;=2,FALSE),NOT(MID(metadata!C93,13,1)=""),IFERROR(INT(MID(metadata!C93,12,2))&gt;=0,FALSE),IFERROR(INT(MID(metadata!C93,12,2))&lt;=23,FALSE)), OR(MID(metadata!C93,14,1)="", AND(AND(MID(metadata!C93,14,1)=":",IFERROR(INT(MID(metadata!C93,15,1))&gt;=0,FALSE),IFERROR(INT(MID(metadata!C93,15,1))&lt;=5,FALSE),NOT(MID(metadata!C93,16,1)=""),IFERROR(INT(MID(metadata!C93,15,2))&gt;=0,FALSE),IFERROR(INT(MID(metadata!C93,15,2))&lt;=59,FALSE)), OR(MID(metadata!C93,17,1)="", AND(AND(MID(metadata!C93,17,1)=":",IFERROR(INT(MID(metadata!C93,18,1))&gt;=0,FALSE),IFERROR(INT(MID(metadata!C93,18,1))&lt;=5,FALSE),NOT(MID(metadata!C93,19,1)=""),IFERROR(INT(MID(metadata!C93,18,2))&gt;=0,FALSE),IFERROR(INT(MID(metadata!C93,18,2))&lt;=59,FALSE)), LEN(metadata!C93)&lt;=19)))))))))))))</f>
        <v>0</v>
      </c>
      <c r="AO93" t="b">
        <f>AND(IF(metadata!D93="",FALSE,TRUE),EXACT(metadata!D93,"Not applicable"))</f>
        <v>0</v>
      </c>
      <c r="AP93" t="b">
        <f>IF(metadata!E93="",FALSE,TRUE)</f>
        <v>0</v>
      </c>
      <c r="AQ93" t="b">
        <f>OR(AND(IF(metadata!F93="",FALSE,TRUE),OR(EXACT(metadata!F93,"missing: not collected"),EXACT(metadata!F93,"missing: not provided"))),AND(IF(metadata!F93="",FALSE,TRUE),OR(EXACT(metadata!F93,"TRUE"),EXACT(metadata!F93,"FALSE"))))</f>
        <v>0</v>
      </c>
      <c r="AR93" t="b">
        <f>OR(AND(IF(metadata!G93="",FALSE,TRUE),OR(EXACT(metadata!G93,"missing: not collected"),EXACT(metadata!G93,"missing: not provided"),EXACT(metadata!G93,"missing: restricted access"))),AND(IF(metadata!G93="",FALSE,ISNUMBER(VALUE(metadata!G93))),metadata!G93&gt;=-413))</f>
        <v>0</v>
      </c>
      <c r="AS93" t="b">
        <f>AND(IF(metadata!H93="",FALSE,TRUE),EXACT(metadata!H93,"meters"))</f>
        <v>0</v>
      </c>
      <c r="AT93" t="b">
        <f>AND(IF(metadata!I93="",FALSE,TRUE),OR(EXACT(metadata!I93,"Host-associated"),EXACT(metadata!I93,"Free-living")))</f>
        <v>0</v>
      </c>
      <c r="AU93" t="b">
        <f>AND(IF(metadata!J93="",FALSE,TRUE),OR(EXACT(metadata!J93,"Animal"),EXACT(metadata!J93,"Fungus"),EXACT(metadata!J93,"Plant"),EXACT(metadata!J93,"Saline"),EXACT(metadata!J93,"Non-saline")))</f>
        <v>0</v>
      </c>
      <c r="AV93" t="b">
        <f>AND(IF(metadata!K93="",FALSE,TRUE),OR(EXACT(metadata!K93,"Plant secretion"),EXACT(metadata!K93,"Plant rhizosphere"),EXACT(metadata!K93,"Plant surface"),EXACT(metadata!K93,"Plant corpus"),EXACT(metadata!K93,"Fungus surface"),EXACT(metadata!K93,"Fungus corpus"),EXACT(metadata!K93,"Animal surface"),EXACT(metadata!K93,"Animal proximal gut"),EXACT(metadata!K93,"Animal corpus"),EXACT(metadata!K93,"Animal distal gut"),EXACT(metadata!K93,"Animal secretion"),EXACT(metadata!K93,"Sub-surface (non-saline)"),EXACT(metadata!K93,"Surface (non-saline)"),EXACT(metadata!K93,"Water (non-saline)"),EXACT(metadata!K93,"Soil (non-saline)"),EXACT(metadata!K93,"Aerosol (non-saline)"),EXACT(metadata!K93,"Sediment (non-saline)"),EXACT(metadata!K93,"Surface (saline)"),EXACT(metadata!K93,"Water (saline)"),EXACT(metadata!K93,"Hypersaline (saline)"),EXACT(metadata!K93,"Aerosol (saline)"),EXACT(metadata!K93,"Sediment (saline)")))</f>
        <v>0</v>
      </c>
      <c r="AW93" t="b">
        <f>IF(metadata!L93="",FALSE,TRUE)</f>
        <v>0</v>
      </c>
      <c r="AX93" t="b">
        <f>IF(metadata!M93="",FALSE,TRUE)</f>
        <v>0</v>
      </c>
      <c r="AY93" t="b">
        <f>IF(metadata!N93="",FALSE,TRUE)</f>
        <v>0</v>
      </c>
      <c r="AZ93" t="b">
        <f>OR(AND(IF(metadata!O93="",FALSE,TRUE),OR(EXACT(metadata!O93,"missing: not collected"),EXACT(metadata!O93,"missing: not provided"),EXACT(metadata!O93,"missing: restricted access"))),AND(IF(metadata!O93="",FALSE,TRUE),OR(EXACT(metadata!O93,"air"),EXACT(metadata!O93,"built environment"),EXACT(metadata!O93,"host-associated"),EXACT(metadata!O93,"human-associated"),EXACT(metadata!O93,"human-skin"),EXACT(metadata!O93,"human-oral"),EXACT(metadata!O93,"human-gut"),EXACT(metadata!O93,"human-vaginal"),EXACT(metadata!O93,"microbial mat/biofilm"),EXACT(metadata!O93,"misc environment"),EXACT(metadata!O93,"plant-associated"),EXACT(metadata!O93,"sediment"),EXACT(metadata!O93,"soil"),EXACT(metadata!O93,"wastewater/sludge"),EXACT(metadata!O93,"water"))))</f>
        <v>0</v>
      </c>
      <c r="BA93" t="b">
        <f>IF(metadata!P93="",FALSE,TRUE)</f>
        <v>0</v>
      </c>
      <c r="BB93" t="b">
        <f>IF(metadata!Q93="",FALSE,TRUE)</f>
        <v>0</v>
      </c>
      <c r="BC93" t="b">
        <f>OR(AND(IF(metadata!R93="",FALSE,TRUE),OR(EXACT(metadata!R93,"missing: not collected"),EXACT(metadata!R93,"missing: not provided"),EXACT(metadata!R93,"missing: restricted access"))),AND(IF(metadata!R93="",FALSE,ISNUMBER(VALUE(metadata!R93))),metadata!R93&gt;=-90,metadata!R93&lt;=90))</f>
        <v>0</v>
      </c>
      <c r="BD93" t="b">
        <f>AND(IF(metadata!S93="",FALSE,TRUE),EXACT(metadata!S93,"Decimal degrees"))</f>
        <v>0</v>
      </c>
      <c r="BE93" t="b">
        <f>OR(AND(IF(metadata!T93="",FALSE,TRUE),OR(EXACT(metadata!T93,"missing: not collected"),EXACT(metadata!T93,"missing: not provided"),EXACT(metadata!T93,"missing: restricted access"))),AND(IF(metadata!T93="",FALSE,ISNUMBER(VALUE(metadata!T93))),metadata!T93&gt;=-180,metadata!T93&lt;=180))</f>
        <v>0</v>
      </c>
      <c r="BF93" t="b">
        <f>AND(IF(metadata!U93="",FALSE,TRUE),EXACT(metadata!U93,"Decimal degrees"))</f>
        <v>0</v>
      </c>
      <c r="BG93" t="b">
        <f>IF(metadata!V93="",FALSE,TRUE)</f>
        <v>0</v>
      </c>
      <c r="BH93" t="b">
        <f>OR(AND(IF(metadata!W93="",FALSE,TRUE),OR(EXACT(metadata!W93,"missing: not collected"),EXACT(metadata!W93,"missing: not provided"),EXACT(metadata!W93,"missing: restricted access"))),AND(IF(metadata!W93="",FALSE,TRUE),OR(EXACT(metadata!W93,"TRUE"),EXACT(metadata!W93,"FALSE"))))</f>
        <v>0</v>
      </c>
      <c r="BI93" t="b">
        <f>AND(IF(metadata!X93="",FALSE,TRUE),EXACT(metadata!X93,"other"))</f>
        <v>0</v>
      </c>
      <c r="BJ93" t="b">
        <f>IF(metadata!Y93="",FALSE,TRUE)</f>
        <v>0</v>
      </c>
      <c r="BK93" t="b">
        <f>OR(AND(IF(metadata!Z93="",FALSE,TRUE),OR(EXACT(metadata!Z93,"missing: not collected"),EXACT(metadata!Z93,"missing: not provided"))),AND(IF(metadata!Z93="",FALSE,IF(ISERROR(INT(metadata!Z93)),FALSE,INT(metadata!Z93)=metadata!Z93)),metadata!Z93&gt;0))</f>
        <v>0</v>
      </c>
      <c r="BL93" t="b">
        <f>AND(IF(metadata!AA93="",FALSE,TRUE),EXACT(metadata!AA93,"Not applicable"))</f>
        <v>0</v>
      </c>
      <c r="BM93" t="b">
        <f>IF(metadata!AB93="",FALSE,TRUE)</f>
        <v>0</v>
      </c>
    </row>
    <row r="94" spans="1:65" x14ac:dyDescent="0.2">
      <c r="A94" s="5" t="str">
        <f ca="1">IF(B94=" "," ",HYPERLINK(CONCATENATE("#metadata!",ADDRESS(INDEX($AH$2:$AH$1001,MATCH(ROWS($AF$2:AF94),$AF$2:$AF$1001,0),0),1)),INDEX($AK$2:$AK$1001,MATCH(ROWS($AF$2:AF94),$AF$2:$AF$1001,0),0)))</f>
        <v xml:space="preserve"> </v>
      </c>
      <c r="B94" s="4" t="str">
        <f ca="1">IF(OR(INDEX($AG$2:$AG$1001,MATCH(ROWS($AF$2:AF94),$AF$2:$AF$1001,0),1)&gt;=100000,INDEX($AM$1005:$BM$1005,1,MATCH(COLUMNS($AM$1006:AM1006),$AM$1006:$BM$1006,0))&gt;=100000), " ",IF(INDEX($AM$2:$BM$1001,MATCH(ROWS($AF$2:AF94),$AF$2:$AF$1001,0),MATCH(COLUMNS($AM$1006:AM1006),$AM$1006:$BM$1006,0)), HYPERLINK("#",""), HYPERLINK(CONCATENATE("#metadata!", ADDRESS(INDEX($AH$2:$AH$1001,MATCH(ROWS($AF$2:AF94),$AF$2:$AF$1001,0),0), INDEX($AM$1004:$BM$1004,1,MATCH(COLUMNS($AM$1006:AM1006),$AM$1006:$BM$1006,0)))),"Fix")))</f>
        <v xml:space="preserve"> </v>
      </c>
      <c r="C94" s="4" t="str">
        <f ca="1">IF(OR(INDEX($AG$2:$AG$1001,MATCH(ROWS($AF$2:AF94),$AF$2:$AF$1001,0),1)&gt;=100000,INDEX($AM$1005:$BM$1005,1,MATCH(COLUMNS($AM$1006:AN1006),$AM$1006:$BM$1006,0))&gt;=100000), " ",IF(INDEX($AM$2:$BM$1001,MATCH(ROWS($AF$2:AF94),$AF$2:$AF$1001,0),MATCH(COLUMNS($AM$1006:AN1006),$AM$1006:$BM$1006,0)), HYPERLINK("#",""), HYPERLINK(CONCATENATE("#metadata!", ADDRESS(INDEX($AH$2:$AH$1001,MATCH(ROWS($AF$2:AF94),$AF$2:$AF$1001,0),0), INDEX($AM$1004:$BM$1004,1,MATCH(COLUMNS($AM$1006:AN1006),$AM$1006:$BM$1006,0)))),"Fix")))</f>
        <v xml:space="preserve"> </v>
      </c>
      <c r="D94" s="4" t="str">
        <f ca="1">IF(OR(INDEX($AG$2:$AG$1001,MATCH(ROWS($AF$2:AF94),$AF$2:$AF$1001,0),1)&gt;=100000,INDEX($AM$1005:$BM$1005,1,MATCH(COLUMNS($AM$1006:AO1006),$AM$1006:$BM$1006,0))&gt;=100000), " ",IF(INDEX($AM$2:$BM$1001,MATCH(ROWS($AF$2:AF94),$AF$2:$AF$1001,0),MATCH(COLUMNS($AM$1006:AO1006),$AM$1006:$BM$1006,0)), HYPERLINK("#",""), HYPERLINK(CONCATENATE("#metadata!", ADDRESS(INDEX($AH$2:$AH$1001,MATCH(ROWS($AF$2:AF94),$AF$2:$AF$1001,0),0), INDEX($AM$1004:$BM$1004,1,MATCH(COLUMNS($AM$1006:AO1006),$AM$1006:$BM$1006,0)))),"Fix")))</f>
        <v xml:space="preserve"> </v>
      </c>
      <c r="E94" s="4" t="str">
        <f ca="1">IF(OR(INDEX($AG$2:$AG$1001,MATCH(ROWS($AF$2:AF94),$AF$2:$AF$1001,0),1)&gt;=100000,INDEX($AM$1005:$BM$1005,1,MATCH(COLUMNS($AM$1006:AP1006),$AM$1006:$BM$1006,0))&gt;=100000), " ",IF(INDEX($AM$2:$BM$1001,MATCH(ROWS($AF$2:AF94),$AF$2:$AF$1001,0),MATCH(COLUMNS($AM$1006:AP1006),$AM$1006:$BM$1006,0)), HYPERLINK("#",""), HYPERLINK(CONCATENATE("#metadata!", ADDRESS(INDEX($AH$2:$AH$1001,MATCH(ROWS($AF$2:AF94),$AF$2:$AF$1001,0),0), INDEX($AM$1004:$BM$1004,1,MATCH(COLUMNS($AM$1006:AP1006),$AM$1006:$BM$1006,0)))),"Fix")))</f>
        <v xml:space="preserve"> </v>
      </c>
      <c r="F94" s="4" t="str">
        <f ca="1">IF(OR(INDEX($AG$2:$AG$1001,MATCH(ROWS($AF$2:AF94),$AF$2:$AF$1001,0),1)&gt;=100000,INDEX($AM$1005:$BM$1005,1,MATCH(COLUMNS($AM$1006:AQ1006),$AM$1006:$BM$1006,0))&gt;=100000), " ",IF(INDEX($AM$2:$BM$1001,MATCH(ROWS($AF$2:AF94),$AF$2:$AF$1001,0),MATCH(COLUMNS($AM$1006:AQ1006),$AM$1006:$BM$1006,0)), HYPERLINK("#",""), HYPERLINK(CONCATENATE("#metadata!", ADDRESS(INDEX($AH$2:$AH$1001,MATCH(ROWS($AF$2:AF94),$AF$2:$AF$1001,0),0), INDEX($AM$1004:$BM$1004,1,MATCH(COLUMNS($AM$1006:AQ1006),$AM$1006:$BM$1006,0)))),"Fix")))</f>
        <v xml:space="preserve"> </v>
      </c>
      <c r="G94" s="4" t="str">
        <f ca="1">IF(OR(INDEX($AG$2:$AG$1001,MATCH(ROWS($AF$2:AF94),$AF$2:$AF$1001,0),1)&gt;=100000,INDEX($AM$1005:$BM$1005,1,MATCH(COLUMNS($AM$1006:AR1006),$AM$1006:$BM$1006,0))&gt;=100000), " ",IF(INDEX($AM$2:$BM$1001,MATCH(ROWS($AF$2:AF94),$AF$2:$AF$1001,0),MATCH(COLUMNS($AM$1006:AR1006),$AM$1006:$BM$1006,0)), HYPERLINK("#",""), HYPERLINK(CONCATENATE("#metadata!", ADDRESS(INDEX($AH$2:$AH$1001,MATCH(ROWS($AF$2:AF94),$AF$2:$AF$1001,0),0), INDEX($AM$1004:$BM$1004,1,MATCH(COLUMNS($AM$1006:AR1006),$AM$1006:$BM$1006,0)))),"Fix")))</f>
        <v xml:space="preserve"> </v>
      </c>
      <c r="H94" s="4" t="str">
        <f ca="1">IF(OR(INDEX($AG$2:$AG$1001,MATCH(ROWS($AF$2:AF94),$AF$2:$AF$1001,0),1)&gt;=100000,INDEX($AM$1005:$BM$1005,1,MATCH(COLUMNS($AM$1006:AS1006),$AM$1006:$BM$1006,0))&gt;=100000), " ",IF(INDEX($AM$2:$BM$1001,MATCH(ROWS($AF$2:AF94),$AF$2:$AF$1001,0),MATCH(COLUMNS($AM$1006:AS1006),$AM$1006:$BM$1006,0)), HYPERLINK("#",""), HYPERLINK(CONCATENATE("#metadata!", ADDRESS(INDEX($AH$2:$AH$1001,MATCH(ROWS($AF$2:AF94),$AF$2:$AF$1001,0),0), INDEX($AM$1004:$BM$1004,1,MATCH(COLUMNS($AM$1006:AS1006),$AM$1006:$BM$1006,0)))),"Fix")))</f>
        <v xml:space="preserve"> </v>
      </c>
      <c r="I94" s="4" t="str">
        <f ca="1">IF(OR(INDEX($AG$2:$AG$1001,MATCH(ROWS($AF$2:AF94),$AF$2:$AF$1001,0),1)&gt;=100000,INDEX($AM$1005:$BM$1005,1,MATCH(COLUMNS($AM$1006:AT1006),$AM$1006:$BM$1006,0))&gt;=100000), " ",IF(INDEX($AM$2:$BM$1001,MATCH(ROWS($AF$2:AF94),$AF$2:$AF$1001,0),MATCH(COLUMNS($AM$1006:AT1006),$AM$1006:$BM$1006,0)), HYPERLINK("#",""), HYPERLINK(CONCATENATE("#metadata!", ADDRESS(INDEX($AH$2:$AH$1001,MATCH(ROWS($AF$2:AF94),$AF$2:$AF$1001,0),0), INDEX($AM$1004:$BM$1004,1,MATCH(COLUMNS($AM$1006:AT1006),$AM$1006:$BM$1006,0)))),"Fix")))</f>
        <v xml:space="preserve"> </v>
      </c>
      <c r="J94" s="4" t="str">
        <f ca="1">IF(OR(INDEX($AG$2:$AG$1001,MATCH(ROWS($AF$2:AF94),$AF$2:$AF$1001,0),1)&gt;=100000,INDEX($AM$1005:$BM$1005,1,MATCH(COLUMNS($AM$1006:AU1006),$AM$1006:$BM$1006,0))&gt;=100000), " ",IF(INDEX($AM$2:$BM$1001,MATCH(ROWS($AF$2:AF94),$AF$2:$AF$1001,0),MATCH(COLUMNS($AM$1006:AU1006),$AM$1006:$BM$1006,0)), HYPERLINK("#",""), HYPERLINK(CONCATENATE("#metadata!", ADDRESS(INDEX($AH$2:$AH$1001,MATCH(ROWS($AF$2:AF94),$AF$2:$AF$1001,0),0), INDEX($AM$1004:$BM$1004,1,MATCH(COLUMNS($AM$1006:AU1006),$AM$1006:$BM$1006,0)))),"Fix")))</f>
        <v xml:space="preserve"> </v>
      </c>
      <c r="K94" s="4" t="str">
        <f ca="1">IF(OR(INDEX($AG$2:$AG$1001,MATCH(ROWS($AF$2:AF94),$AF$2:$AF$1001,0),1)&gt;=100000,INDEX($AM$1005:$BM$1005,1,MATCH(COLUMNS($AM$1006:AV1006),$AM$1006:$BM$1006,0))&gt;=100000), " ",IF(INDEX($AM$2:$BM$1001,MATCH(ROWS($AF$2:AF94),$AF$2:$AF$1001,0),MATCH(COLUMNS($AM$1006:AV1006),$AM$1006:$BM$1006,0)), HYPERLINK("#",""), HYPERLINK(CONCATENATE("#metadata!", ADDRESS(INDEX($AH$2:$AH$1001,MATCH(ROWS($AF$2:AF94),$AF$2:$AF$1001,0),0), INDEX($AM$1004:$BM$1004,1,MATCH(COLUMNS($AM$1006:AV1006),$AM$1006:$BM$1006,0)))),"Fix")))</f>
        <v xml:space="preserve"> </v>
      </c>
      <c r="L94" s="4" t="str">
        <f ca="1">IF(OR(INDEX($AG$2:$AG$1001,MATCH(ROWS($AF$2:AF94),$AF$2:$AF$1001,0),1)&gt;=100000,INDEX($AM$1005:$BM$1005,1,MATCH(COLUMNS($AM$1006:AW1006),$AM$1006:$BM$1006,0))&gt;=100000), " ",IF(INDEX($AM$2:$BM$1001,MATCH(ROWS($AF$2:AF94),$AF$2:$AF$1001,0),MATCH(COLUMNS($AM$1006:AW1006),$AM$1006:$BM$1006,0)), HYPERLINK("#",""), HYPERLINK(CONCATENATE("#metadata!", ADDRESS(INDEX($AH$2:$AH$1001,MATCH(ROWS($AF$2:AF94),$AF$2:$AF$1001,0),0), INDEX($AM$1004:$BM$1004,1,MATCH(COLUMNS($AM$1006:AW1006),$AM$1006:$BM$1006,0)))),"Fix")))</f>
        <v xml:space="preserve"> </v>
      </c>
      <c r="M94" s="4" t="str">
        <f ca="1">IF(OR(INDEX($AG$2:$AG$1001,MATCH(ROWS($AF$2:AF94),$AF$2:$AF$1001,0),1)&gt;=100000,INDEX($AM$1005:$BM$1005,1,MATCH(COLUMNS($AM$1006:AX1006),$AM$1006:$BM$1006,0))&gt;=100000), " ",IF(INDEX($AM$2:$BM$1001,MATCH(ROWS($AF$2:AF94),$AF$2:$AF$1001,0),MATCH(COLUMNS($AM$1006:AX1006),$AM$1006:$BM$1006,0)), HYPERLINK("#",""), HYPERLINK(CONCATENATE("#metadata!", ADDRESS(INDEX($AH$2:$AH$1001,MATCH(ROWS($AF$2:AF94),$AF$2:$AF$1001,0),0), INDEX($AM$1004:$BM$1004,1,MATCH(COLUMNS($AM$1006:AX1006),$AM$1006:$BM$1006,0)))),"Fix")))</f>
        <v xml:space="preserve"> </v>
      </c>
      <c r="N94" s="4" t="str">
        <f ca="1">IF(OR(INDEX($AG$2:$AG$1001,MATCH(ROWS($AF$2:AF94),$AF$2:$AF$1001,0),1)&gt;=100000,INDEX($AM$1005:$BM$1005,1,MATCH(COLUMNS($AM$1006:AY1006),$AM$1006:$BM$1006,0))&gt;=100000), " ",IF(INDEX($AM$2:$BM$1001,MATCH(ROWS($AF$2:AF94),$AF$2:$AF$1001,0),MATCH(COLUMNS($AM$1006:AY1006),$AM$1006:$BM$1006,0)), HYPERLINK("#",""), HYPERLINK(CONCATENATE("#metadata!", ADDRESS(INDEX($AH$2:$AH$1001,MATCH(ROWS($AF$2:AF94),$AF$2:$AF$1001,0),0), INDEX($AM$1004:$BM$1004,1,MATCH(COLUMNS($AM$1006:AY1006),$AM$1006:$BM$1006,0)))),"Fix")))</f>
        <v xml:space="preserve"> </v>
      </c>
      <c r="O94" s="4" t="str">
        <f ca="1">IF(OR(INDEX($AG$2:$AG$1001,MATCH(ROWS($AF$2:AF94),$AF$2:$AF$1001,0),1)&gt;=100000,INDEX($AM$1005:$BM$1005,1,MATCH(COLUMNS($AM$1006:AZ1006),$AM$1006:$BM$1006,0))&gt;=100000), " ",IF(INDEX($AM$2:$BM$1001,MATCH(ROWS($AF$2:AF94),$AF$2:$AF$1001,0),MATCH(COLUMNS($AM$1006:AZ1006),$AM$1006:$BM$1006,0)), HYPERLINK("#",""), HYPERLINK(CONCATENATE("#metadata!", ADDRESS(INDEX($AH$2:$AH$1001,MATCH(ROWS($AF$2:AF94),$AF$2:$AF$1001,0),0), INDEX($AM$1004:$BM$1004,1,MATCH(COLUMNS($AM$1006:AZ1006),$AM$1006:$BM$1006,0)))),"Fix")))</f>
        <v xml:space="preserve"> </v>
      </c>
      <c r="P94" s="4" t="str">
        <f ca="1">IF(OR(INDEX($AG$2:$AG$1001,MATCH(ROWS($AF$2:AF94),$AF$2:$AF$1001,0),1)&gt;=100000,INDEX($AM$1005:$BM$1005,1,MATCH(COLUMNS($AM$1006:BA1006),$AM$1006:$BM$1006,0))&gt;=100000), " ",IF(INDEX($AM$2:$BM$1001,MATCH(ROWS($AF$2:AF94),$AF$2:$AF$1001,0),MATCH(COLUMNS($AM$1006:BA1006),$AM$1006:$BM$1006,0)), HYPERLINK("#",""), HYPERLINK(CONCATENATE("#metadata!", ADDRESS(INDEX($AH$2:$AH$1001,MATCH(ROWS($AF$2:AF94),$AF$2:$AF$1001,0),0), INDEX($AM$1004:$BM$1004,1,MATCH(COLUMNS($AM$1006:BA1006),$AM$1006:$BM$1006,0)))),"Fix")))</f>
        <v xml:space="preserve"> </v>
      </c>
      <c r="Q94" s="4" t="str">
        <f ca="1">IF(OR(INDEX($AG$2:$AG$1001,MATCH(ROWS($AF$2:AF94),$AF$2:$AF$1001,0),1)&gt;=100000,INDEX($AM$1005:$BM$1005,1,MATCH(COLUMNS($AM$1006:BB1006),$AM$1006:$BM$1006,0))&gt;=100000), " ",IF(INDEX($AM$2:$BM$1001,MATCH(ROWS($AF$2:AF94),$AF$2:$AF$1001,0),MATCH(COLUMNS($AM$1006:BB1006),$AM$1006:$BM$1006,0)), HYPERLINK("#",""), HYPERLINK(CONCATENATE("#metadata!", ADDRESS(INDEX($AH$2:$AH$1001,MATCH(ROWS($AF$2:AF94),$AF$2:$AF$1001,0),0), INDEX($AM$1004:$BM$1004,1,MATCH(COLUMNS($AM$1006:BB1006),$AM$1006:$BM$1006,0)))),"Fix")))</f>
        <v xml:space="preserve"> </v>
      </c>
      <c r="R94" s="4" t="str">
        <f ca="1">IF(OR(INDEX($AG$2:$AG$1001,MATCH(ROWS($AF$2:AF94),$AF$2:$AF$1001,0),1)&gt;=100000,INDEX($AM$1005:$BM$1005,1,MATCH(COLUMNS($AM$1006:BC1006),$AM$1006:$BM$1006,0))&gt;=100000), " ",IF(INDEX($AM$2:$BM$1001,MATCH(ROWS($AF$2:AF94),$AF$2:$AF$1001,0),MATCH(COLUMNS($AM$1006:BC1006),$AM$1006:$BM$1006,0)), HYPERLINK("#",""), HYPERLINK(CONCATENATE("#metadata!", ADDRESS(INDEX($AH$2:$AH$1001,MATCH(ROWS($AF$2:AF94),$AF$2:$AF$1001,0),0), INDEX($AM$1004:$BM$1004,1,MATCH(COLUMNS($AM$1006:BC1006),$AM$1006:$BM$1006,0)))),"Fix")))</f>
        <v xml:space="preserve"> </v>
      </c>
      <c r="S94" s="4" t="str">
        <f ca="1">IF(OR(INDEX($AG$2:$AG$1001,MATCH(ROWS($AF$2:AF94),$AF$2:$AF$1001,0),1)&gt;=100000,INDEX($AM$1005:$BM$1005,1,MATCH(COLUMNS($AM$1006:BD1006),$AM$1006:$BM$1006,0))&gt;=100000), " ",IF(INDEX($AM$2:$BM$1001,MATCH(ROWS($AF$2:AF94),$AF$2:$AF$1001,0),MATCH(COLUMNS($AM$1006:BD1006),$AM$1006:$BM$1006,0)), HYPERLINK("#",""), HYPERLINK(CONCATENATE("#metadata!", ADDRESS(INDEX($AH$2:$AH$1001,MATCH(ROWS($AF$2:AF94),$AF$2:$AF$1001,0),0), INDEX($AM$1004:$BM$1004,1,MATCH(COLUMNS($AM$1006:BD1006),$AM$1006:$BM$1006,0)))),"Fix")))</f>
        <v xml:space="preserve"> </v>
      </c>
      <c r="T94" s="4" t="str">
        <f ca="1">IF(OR(INDEX($AG$2:$AG$1001,MATCH(ROWS($AF$2:AF94),$AF$2:$AF$1001,0),1)&gt;=100000,INDEX($AM$1005:$BM$1005,1,MATCH(COLUMNS($AM$1006:BE1006),$AM$1006:$BM$1006,0))&gt;=100000), " ",IF(INDEX($AM$2:$BM$1001,MATCH(ROWS($AF$2:AF94),$AF$2:$AF$1001,0),MATCH(COLUMNS($AM$1006:BE1006),$AM$1006:$BM$1006,0)), HYPERLINK("#",""), HYPERLINK(CONCATENATE("#metadata!", ADDRESS(INDEX($AH$2:$AH$1001,MATCH(ROWS($AF$2:AF94),$AF$2:$AF$1001,0),0), INDEX($AM$1004:$BM$1004,1,MATCH(COLUMNS($AM$1006:BE1006),$AM$1006:$BM$1006,0)))),"Fix")))</f>
        <v xml:space="preserve"> </v>
      </c>
      <c r="U94" s="4" t="str">
        <f ca="1">IF(OR(INDEX($AG$2:$AG$1001,MATCH(ROWS($AF$2:AF94),$AF$2:$AF$1001,0),1)&gt;=100000,INDEX($AM$1005:$BM$1005,1,MATCH(COLUMNS($AM$1006:BF1006),$AM$1006:$BM$1006,0))&gt;=100000), " ",IF(INDEX($AM$2:$BM$1001,MATCH(ROWS($AF$2:AF94),$AF$2:$AF$1001,0),MATCH(COLUMNS($AM$1006:BF1006),$AM$1006:$BM$1006,0)), HYPERLINK("#",""), HYPERLINK(CONCATENATE("#metadata!", ADDRESS(INDEX($AH$2:$AH$1001,MATCH(ROWS($AF$2:AF94),$AF$2:$AF$1001,0),0), INDEX($AM$1004:$BM$1004,1,MATCH(COLUMNS($AM$1006:BF1006),$AM$1006:$BM$1006,0)))),"Fix")))</f>
        <v xml:space="preserve"> </v>
      </c>
      <c r="V94" s="4" t="str">
        <f ca="1">IF(OR(INDEX($AG$2:$AG$1001,MATCH(ROWS($AF$2:AF94),$AF$2:$AF$1001,0),1)&gt;=100000,INDEX($AM$1005:$BM$1005,1,MATCH(COLUMNS($AM$1006:BG1006),$AM$1006:$BM$1006,0))&gt;=100000), " ",IF(INDEX($AM$2:$BM$1001,MATCH(ROWS($AF$2:AF94),$AF$2:$AF$1001,0),MATCH(COLUMNS($AM$1006:BG1006),$AM$1006:$BM$1006,0)), HYPERLINK("#",""), HYPERLINK(CONCATENATE("#metadata!", ADDRESS(INDEX($AH$2:$AH$1001,MATCH(ROWS($AF$2:AF94),$AF$2:$AF$1001,0),0), INDEX($AM$1004:$BM$1004,1,MATCH(COLUMNS($AM$1006:BG1006),$AM$1006:$BM$1006,0)))),"Fix")))</f>
        <v xml:space="preserve"> </v>
      </c>
      <c r="W94" s="4" t="str">
        <f ca="1">IF(OR(INDEX($AG$2:$AG$1001,MATCH(ROWS($AF$2:AF94),$AF$2:$AF$1001,0),1)&gt;=100000,INDEX($AM$1005:$BM$1005,1,MATCH(COLUMNS($AM$1006:BH1006),$AM$1006:$BM$1006,0))&gt;=100000), " ",IF(INDEX($AM$2:$BM$1001,MATCH(ROWS($AF$2:AF94),$AF$2:$AF$1001,0),MATCH(COLUMNS($AM$1006:BH1006),$AM$1006:$BM$1006,0)), HYPERLINK("#",""), HYPERLINK(CONCATENATE("#metadata!", ADDRESS(INDEX($AH$2:$AH$1001,MATCH(ROWS($AF$2:AF94),$AF$2:$AF$1001,0),0), INDEX($AM$1004:$BM$1004,1,MATCH(COLUMNS($AM$1006:BH1006),$AM$1006:$BM$1006,0)))),"Fix")))</f>
        <v xml:space="preserve"> </v>
      </c>
      <c r="X94" s="4" t="str">
        <f ca="1">IF(OR(INDEX($AG$2:$AG$1001,MATCH(ROWS($AF$2:AF94),$AF$2:$AF$1001,0),1)&gt;=100000,INDEX($AM$1005:$BM$1005,1,MATCH(COLUMNS($AM$1006:BI1006),$AM$1006:$BM$1006,0))&gt;=100000), " ",IF(INDEX($AM$2:$BM$1001,MATCH(ROWS($AF$2:AF94),$AF$2:$AF$1001,0),MATCH(COLUMNS($AM$1006:BI1006),$AM$1006:$BM$1006,0)), HYPERLINK("#",""), HYPERLINK(CONCATENATE("#metadata!", ADDRESS(INDEX($AH$2:$AH$1001,MATCH(ROWS($AF$2:AF94),$AF$2:$AF$1001,0),0), INDEX($AM$1004:$BM$1004,1,MATCH(COLUMNS($AM$1006:BI1006),$AM$1006:$BM$1006,0)))),"Fix")))</f>
        <v xml:space="preserve"> </v>
      </c>
      <c r="Y94" s="4" t="str">
        <f ca="1">IF(OR(INDEX($AG$2:$AG$1001,MATCH(ROWS($AF$2:AF94),$AF$2:$AF$1001,0),1)&gt;=100000,INDEX($AM$1005:$BM$1005,1,MATCH(COLUMNS($AM$1006:BJ1006),$AM$1006:$BM$1006,0))&gt;=100000), " ",IF(INDEX($AM$2:$BM$1001,MATCH(ROWS($AF$2:AF94),$AF$2:$AF$1001,0),MATCH(COLUMNS($AM$1006:BJ1006),$AM$1006:$BM$1006,0)), HYPERLINK("#",""), HYPERLINK(CONCATENATE("#metadata!", ADDRESS(INDEX($AH$2:$AH$1001,MATCH(ROWS($AF$2:AF94),$AF$2:$AF$1001,0),0), INDEX($AM$1004:$BM$1004,1,MATCH(COLUMNS($AM$1006:BJ1006),$AM$1006:$BM$1006,0)))),"Fix")))</f>
        <v xml:space="preserve"> </v>
      </c>
      <c r="Z94" s="4" t="str">
        <f ca="1">IF(OR(INDEX($AG$2:$AG$1001,MATCH(ROWS($AF$2:AF94),$AF$2:$AF$1001,0),1)&gt;=100000,INDEX($AM$1005:$BM$1005,1,MATCH(COLUMNS($AM$1006:BK1006),$AM$1006:$BM$1006,0))&gt;=100000), " ",IF(INDEX($AM$2:$BM$1001,MATCH(ROWS($AF$2:AF94),$AF$2:$AF$1001,0),MATCH(COLUMNS($AM$1006:BK1006),$AM$1006:$BM$1006,0)), HYPERLINK("#",""), HYPERLINK(CONCATENATE("#metadata!", ADDRESS(INDEX($AH$2:$AH$1001,MATCH(ROWS($AF$2:AF94),$AF$2:$AF$1001,0),0), INDEX($AM$1004:$BM$1004,1,MATCH(COLUMNS($AM$1006:BK1006),$AM$1006:$BM$1006,0)))),"Fix")))</f>
        <v xml:space="preserve"> </v>
      </c>
      <c r="AA94" s="4" t="str">
        <f ca="1">IF(OR(INDEX($AG$2:$AG$1001,MATCH(ROWS($AF$2:AF94),$AF$2:$AF$1001,0),1)&gt;=100000,INDEX($AM$1005:$BM$1005,1,MATCH(COLUMNS($AM$1006:BL1006),$AM$1006:$BM$1006,0))&gt;=100000), " ",IF(INDEX($AM$2:$BM$1001,MATCH(ROWS($AF$2:AF94),$AF$2:$AF$1001,0),MATCH(COLUMNS($AM$1006:BL1006),$AM$1006:$BM$1006,0)), HYPERLINK("#",""), HYPERLINK(CONCATENATE("#metadata!", ADDRESS(INDEX($AH$2:$AH$1001,MATCH(ROWS($AF$2:AF94),$AF$2:$AF$1001,0),0), INDEX($AM$1004:$BM$1004,1,MATCH(COLUMNS($AM$1006:BL1006),$AM$1006:$BM$1006,0)))),"Fix")))</f>
        <v xml:space="preserve"> </v>
      </c>
      <c r="AB94" s="4" t="str">
        <f ca="1">IF(OR(INDEX($AG$2:$AG$1001,MATCH(ROWS($AF$2:AF94),$AF$2:$AF$1001,0),1)&gt;=100000,INDEX($AM$1005:$BM$1005,1,MATCH(COLUMNS($AM$1006:BM1006),$AM$1006:$BM$1006,0))&gt;=100000), " ",IF(INDEX($AM$2:$BM$1001,MATCH(ROWS($AF$2:AF94),$AF$2:$AF$1001,0),MATCH(COLUMNS($AM$1006:BM1006),$AM$1006:$BM$1006,0)), HYPERLINK("#",""), HYPERLINK(CONCATENATE("#metadata!", ADDRESS(INDEX($AH$2:$AH$1001,MATCH(ROWS($AF$2:AF94),$AF$2:$AF$1001,0),0), INDEX($AM$1004:$BM$1004,1,MATCH(COLUMNS($AM$1006:BM1006),$AM$1006:$BM$1006,0)))),"Fix")))</f>
        <v xml:space="preserve"> </v>
      </c>
      <c r="AF94">
        <v>93</v>
      </c>
      <c r="AG94">
        <v>100094</v>
      </c>
      <c r="AH94">
        <v>94</v>
      </c>
      <c r="AI94" t="b">
        <f t="shared" si="1"/>
        <v>1</v>
      </c>
      <c r="AJ94" t="b">
        <f>COUNTBLANK(metadata!B94:AB94)=COLUMNS(metadata!B94:AB94)</f>
        <v>1</v>
      </c>
      <c r="AK94" t="str">
        <v/>
      </c>
      <c r="AM94" t="b">
        <f ca="1">AND(IF(metadata!B94="",FALSE,TRUE),COUNTIF(metadata!B:B, metadata!B94) = 1,NOT(ISERROR(SUMPRODUCT(SEARCH(MID(metadata!B94,ROW(INDIRECT("1:"&amp;LEN(metadata!B94))), 1),"0123456789abcdefghijklmnopqrstuvwxyzABCDEFGHIJKLMNOPQRSTUVWXYZ.")))))</f>
        <v>0</v>
      </c>
      <c r="AN94" t="b">
        <f ca="1">OR(AND(IF(metadata!C94="",FALSE,TRUE),OR(EXACT(metadata!C94,"missing: not collected"),EXACT(metadata!C94,"missing: not provided"),EXACT(metadata!C94,"missing: restricted access"))),AND(IF(metadata!C94="",FALSE,TRUE),AND(AND(IFERROR(INT(LEFT(metadata!C94,4))&gt;1900,FALSE),IFERROR(INT(LEFT(metadata!C94,4))&lt;=YEAR(NOW()),FALSE)), OR(MID(metadata!C94,5,1)="", AND(AND(MID(metadata!C94,5,1)="-",IFERROR(INT(MID(metadata!C94,6,1))&gt;=0,FALSE),IFERROR(INT(MID(metadata!C94,6,1))&lt;=1,FALSE),NOT(MID(metadata!C94,7,1)=""),IFERROR(INT(MID(metadata!C94,6,2))&gt;=1,FALSE),IFERROR(INT(MID(metadata!C94,6,2))&lt;=12,FALSE)), OR(MID(metadata!C94,8,1)="", AND(AND(MID(metadata!C94,8,1)="-",IFERROR(INT(MID(metadata!C94,9,1))&gt;=0,FALSE),IFERROR(INT(MID(metadata!C94,9,1))&lt;=3,FALSE),NOT(MID(metadata!C94,10,1)=""),IFERROR(INT(MID(metadata!C94,9,2))&gt;=1,FALSE),IFERROR(INT(MID(metadata!C94,9,2))&lt;=31,FALSE)), OR(MID(metadata!C94,11,1)="", AND(AND(MID(metadata!C94,11,1)=" ",IFERROR(INT(MID(metadata!C94,12,1))&gt;=0,FALSE),IFERROR(INT(MID(metadata!C94,12,1))&lt;=2,FALSE),NOT(MID(metadata!C94,13,1)=""),IFERROR(INT(MID(metadata!C94,12,2))&gt;=0,FALSE),IFERROR(INT(MID(metadata!C94,12,2))&lt;=23,FALSE)), OR(MID(metadata!C94,14,1)="", AND(AND(MID(metadata!C94,14,1)=":",IFERROR(INT(MID(metadata!C94,15,1))&gt;=0,FALSE),IFERROR(INT(MID(metadata!C94,15,1))&lt;=5,FALSE),NOT(MID(metadata!C94,16,1)=""),IFERROR(INT(MID(metadata!C94,15,2))&gt;=0,FALSE),IFERROR(INT(MID(metadata!C94,15,2))&lt;=59,FALSE)), OR(MID(metadata!C94,17,1)="", AND(AND(MID(metadata!C94,17,1)=":",IFERROR(INT(MID(metadata!C94,18,1))&gt;=0,FALSE),IFERROR(INT(MID(metadata!C94,18,1))&lt;=5,FALSE),NOT(MID(metadata!C94,19,1)=""),IFERROR(INT(MID(metadata!C94,18,2))&gt;=0,FALSE),IFERROR(INT(MID(metadata!C94,18,2))&lt;=59,FALSE)), LEN(metadata!C94)&lt;=19)))))))))))))</f>
        <v>0</v>
      </c>
      <c r="AO94" t="b">
        <f>AND(IF(metadata!D94="",FALSE,TRUE),EXACT(metadata!D94,"Not applicable"))</f>
        <v>0</v>
      </c>
      <c r="AP94" t="b">
        <f>IF(metadata!E94="",FALSE,TRUE)</f>
        <v>0</v>
      </c>
      <c r="AQ94" t="b">
        <f>OR(AND(IF(metadata!F94="",FALSE,TRUE),OR(EXACT(metadata!F94,"missing: not collected"),EXACT(metadata!F94,"missing: not provided"))),AND(IF(metadata!F94="",FALSE,TRUE),OR(EXACT(metadata!F94,"TRUE"),EXACT(metadata!F94,"FALSE"))))</f>
        <v>0</v>
      </c>
      <c r="AR94" t="b">
        <f>OR(AND(IF(metadata!G94="",FALSE,TRUE),OR(EXACT(metadata!G94,"missing: not collected"),EXACT(metadata!G94,"missing: not provided"),EXACT(metadata!G94,"missing: restricted access"))),AND(IF(metadata!G94="",FALSE,ISNUMBER(VALUE(metadata!G94))),metadata!G94&gt;=-413))</f>
        <v>0</v>
      </c>
      <c r="AS94" t="b">
        <f>AND(IF(metadata!H94="",FALSE,TRUE),EXACT(metadata!H94,"meters"))</f>
        <v>0</v>
      </c>
      <c r="AT94" t="b">
        <f>AND(IF(metadata!I94="",FALSE,TRUE),OR(EXACT(metadata!I94,"Host-associated"),EXACT(metadata!I94,"Free-living")))</f>
        <v>0</v>
      </c>
      <c r="AU94" t="b">
        <f>AND(IF(metadata!J94="",FALSE,TRUE),OR(EXACT(metadata!J94,"Animal"),EXACT(metadata!J94,"Fungus"),EXACT(metadata!J94,"Plant"),EXACT(metadata!J94,"Saline"),EXACT(metadata!J94,"Non-saline")))</f>
        <v>0</v>
      </c>
      <c r="AV94" t="b">
        <f>AND(IF(metadata!K94="",FALSE,TRUE),OR(EXACT(metadata!K94,"Plant secretion"),EXACT(metadata!K94,"Plant rhizosphere"),EXACT(metadata!K94,"Plant surface"),EXACT(metadata!K94,"Plant corpus"),EXACT(metadata!K94,"Fungus surface"),EXACT(metadata!K94,"Fungus corpus"),EXACT(metadata!K94,"Animal surface"),EXACT(metadata!K94,"Animal proximal gut"),EXACT(metadata!K94,"Animal corpus"),EXACT(metadata!K94,"Animal distal gut"),EXACT(metadata!K94,"Animal secretion"),EXACT(metadata!K94,"Sub-surface (non-saline)"),EXACT(metadata!K94,"Surface (non-saline)"),EXACT(metadata!K94,"Water (non-saline)"),EXACT(metadata!K94,"Soil (non-saline)"),EXACT(metadata!K94,"Aerosol (non-saline)"),EXACT(metadata!K94,"Sediment (non-saline)"),EXACT(metadata!K94,"Surface (saline)"),EXACT(metadata!K94,"Water (saline)"),EXACT(metadata!K94,"Hypersaline (saline)"),EXACT(metadata!K94,"Aerosol (saline)"),EXACT(metadata!K94,"Sediment (saline)")))</f>
        <v>0</v>
      </c>
      <c r="AW94" t="b">
        <f>IF(metadata!L94="",FALSE,TRUE)</f>
        <v>0</v>
      </c>
      <c r="AX94" t="b">
        <f>IF(metadata!M94="",FALSE,TRUE)</f>
        <v>0</v>
      </c>
      <c r="AY94" t="b">
        <f>IF(metadata!N94="",FALSE,TRUE)</f>
        <v>0</v>
      </c>
      <c r="AZ94" t="b">
        <f>OR(AND(IF(metadata!O94="",FALSE,TRUE),OR(EXACT(metadata!O94,"missing: not collected"),EXACT(metadata!O94,"missing: not provided"),EXACT(metadata!O94,"missing: restricted access"))),AND(IF(metadata!O94="",FALSE,TRUE),OR(EXACT(metadata!O94,"air"),EXACT(metadata!O94,"built environment"),EXACT(metadata!O94,"host-associated"),EXACT(metadata!O94,"human-associated"),EXACT(metadata!O94,"human-skin"),EXACT(metadata!O94,"human-oral"),EXACT(metadata!O94,"human-gut"),EXACT(metadata!O94,"human-vaginal"),EXACT(metadata!O94,"microbial mat/biofilm"),EXACT(metadata!O94,"misc environment"),EXACT(metadata!O94,"plant-associated"),EXACT(metadata!O94,"sediment"),EXACT(metadata!O94,"soil"),EXACT(metadata!O94,"wastewater/sludge"),EXACT(metadata!O94,"water"))))</f>
        <v>0</v>
      </c>
      <c r="BA94" t="b">
        <f>IF(metadata!P94="",FALSE,TRUE)</f>
        <v>0</v>
      </c>
      <c r="BB94" t="b">
        <f>IF(metadata!Q94="",FALSE,TRUE)</f>
        <v>0</v>
      </c>
      <c r="BC94" t="b">
        <f>OR(AND(IF(metadata!R94="",FALSE,TRUE),OR(EXACT(metadata!R94,"missing: not collected"),EXACT(metadata!R94,"missing: not provided"),EXACT(metadata!R94,"missing: restricted access"))),AND(IF(metadata!R94="",FALSE,ISNUMBER(VALUE(metadata!R94))),metadata!R94&gt;=-90,metadata!R94&lt;=90))</f>
        <v>0</v>
      </c>
      <c r="BD94" t="b">
        <f>AND(IF(metadata!S94="",FALSE,TRUE),EXACT(metadata!S94,"Decimal degrees"))</f>
        <v>0</v>
      </c>
      <c r="BE94" t="b">
        <f>OR(AND(IF(metadata!T94="",FALSE,TRUE),OR(EXACT(metadata!T94,"missing: not collected"),EXACT(metadata!T94,"missing: not provided"),EXACT(metadata!T94,"missing: restricted access"))),AND(IF(metadata!T94="",FALSE,ISNUMBER(VALUE(metadata!T94))),metadata!T94&gt;=-180,metadata!T94&lt;=180))</f>
        <v>0</v>
      </c>
      <c r="BF94" t="b">
        <f>AND(IF(metadata!U94="",FALSE,TRUE),EXACT(metadata!U94,"Decimal degrees"))</f>
        <v>0</v>
      </c>
      <c r="BG94" t="b">
        <f>IF(metadata!V94="",FALSE,TRUE)</f>
        <v>0</v>
      </c>
      <c r="BH94" t="b">
        <f>OR(AND(IF(metadata!W94="",FALSE,TRUE),OR(EXACT(metadata!W94,"missing: not collected"),EXACT(metadata!W94,"missing: not provided"),EXACT(metadata!W94,"missing: restricted access"))),AND(IF(metadata!W94="",FALSE,TRUE),OR(EXACT(metadata!W94,"TRUE"),EXACT(metadata!W94,"FALSE"))))</f>
        <v>0</v>
      </c>
      <c r="BI94" t="b">
        <f>AND(IF(metadata!X94="",FALSE,TRUE),EXACT(metadata!X94,"other"))</f>
        <v>0</v>
      </c>
      <c r="BJ94" t="b">
        <f>IF(metadata!Y94="",FALSE,TRUE)</f>
        <v>0</v>
      </c>
      <c r="BK94" t="b">
        <f>OR(AND(IF(metadata!Z94="",FALSE,TRUE),OR(EXACT(metadata!Z94,"missing: not collected"),EXACT(metadata!Z94,"missing: not provided"))),AND(IF(metadata!Z94="",FALSE,IF(ISERROR(INT(metadata!Z94)),FALSE,INT(metadata!Z94)=metadata!Z94)),metadata!Z94&gt;0))</f>
        <v>0</v>
      </c>
      <c r="BL94" t="b">
        <f>AND(IF(metadata!AA94="",FALSE,TRUE),EXACT(metadata!AA94,"Not applicable"))</f>
        <v>0</v>
      </c>
      <c r="BM94" t="b">
        <f>IF(metadata!AB94="",FALSE,TRUE)</f>
        <v>0</v>
      </c>
    </row>
    <row r="95" spans="1:65" x14ac:dyDescent="0.2">
      <c r="A95" s="5" t="str">
        <f ca="1">IF(B95=" "," ",HYPERLINK(CONCATENATE("#metadata!",ADDRESS(INDEX($AH$2:$AH$1001,MATCH(ROWS($AF$2:AF95),$AF$2:$AF$1001,0),0),1)),INDEX($AK$2:$AK$1001,MATCH(ROWS($AF$2:AF95),$AF$2:$AF$1001,0),0)))</f>
        <v xml:space="preserve"> </v>
      </c>
      <c r="B95" s="4" t="str">
        <f ca="1">IF(OR(INDEX($AG$2:$AG$1001,MATCH(ROWS($AF$2:AF95),$AF$2:$AF$1001,0),1)&gt;=100000,INDEX($AM$1005:$BM$1005,1,MATCH(COLUMNS($AM$1006:AM1006),$AM$1006:$BM$1006,0))&gt;=100000), " ",IF(INDEX($AM$2:$BM$1001,MATCH(ROWS($AF$2:AF95),$AF$2:$AF$1001,0),MATCH(COLUMNS($AM$1006:AM1006),$AM$1006:$BM$1006,0)), HYPERLINK("#",""), HYPERLINK(CONCATENATE("#metadata!", ADDRESS(INDEX($AH$2:$AH$1001,MATCH(ROWS($AF$2:AF95),$AF$2:$AF$1001,0),0), INDEX($AM$1004:$BM$1004,1,MATCH(COLUMNS($AM$1006:AM1006),$AM$1006:$BM$1006,0)))),"Fix")))</f>
        <v xml:space="preserve"> </v>
      </c>
      <c r="C95" s="4" t="str">
        <f ca="1">IF(OR(INDEX($AG$2:$AG$1001,MATCH(ROWS($AF$2:AF95),$AF$2:$AF$1001,0),1)&gt;=100000,INDEX($AM$1005:$BM$1005,1,MATCH(COLUMNS($AM$1006:AN1006),$AM$1006:$BM$1006,0))&gt;=100000), " ",IF(INDEX($AM$2:$BM$1001,MATCH(ROWS($AF$2:AF95),$AF$2:$AF$1001,0),MATCH(COLUMNS($AM$1006:AN1006),$AM$1006:$BM$1006,0)), HYPERLINK("#",""), HYPERLINK(CONCATENATE("#metadata!", ADDRESS(INDEX($AH$2:$AH$1001,MATCH(ROWS($AF$2:AF95),$AF$2:$AF$1001,0),0), INDEX($AM$1004:$BM$1004,1,MATCH(COLUMNS($AM$1006:AN1006),$AM$1006:$BM$1006,0)))),"Fix")))</f>
        <v xml:space="preserve"> </v>
      </c>
      <c r="D95" s="4" t="str">
        <f ca="1">IF(OR(INDEX($AG$2:$AG$1001,MATCH(ROWS($AF$2:AF95),$AF$2:$AF$1001,0),1)&gt;=100000,INDEX($AM$1005:$BM$1005,1,MATCH(COLUMNS($AM$1006:AO1006),$AM$1006:$BM$1006,0))&gt;=100000), " ",IF(INDEX($AM$2:$BM$1001,MATCH(ROWS($AF$2:AF95),$AF$2:$AF$1001,0),MATCH(COLUMNS($AM$1006:AO1006),$AM$1006:$BM$1006,0)), HYPERLINK("#",""), HYPERLINK(CONCATENATE("#metadata!", ADDRESS(INDEX($AH$2:$AH$1001,MATCH(ROWS($AF$2:AF95),$AF$2:$AF$1001,0),0), INDEX($AM$1004:$BM$1004,1,MATCH(COLUMNS($AM$1006:AO1006),$AM$1006:$BM$1006,0)))),"Fix")))</f>
        <v xml:space="preserve"> </v>
      </c>
      <c r="E95" s="4" t="str">
        <f ca="1">IF(OR(INDEX($AG$2:$AG$1001,MATCH(ROWS($AF$2:AF95),$AF$2:$AF$1001,0),1)&gt;=100000,INDEX($AM$1005:$BM$1005,1,MATCH(COLUMNS($AM$1006:AP1006),$AM$1006:$BM$1006,0))&gt;=100000), " ",IF(INDEX($AM$2:$BM$1001,MATCH(ROWS($AF$2:AF95),$AF$2:$AF$1001,0),MATCH(COLUMNS($AM$1006:AP1006),$AM$1006:$BM$1006,0)), HYPERLINK("#",""), HYPERLINK(CONCATENATE("#metadata!", ADDRESS(INDEX($AH$2:$AH$1001,MATCH(ROWS($AF$2:AF95),$AF$2:$AF$1001,0),0), INDEX($AM$1004:$BM$1004,1,MATCH(COLUMNS($AM$1006:AP1006),$AM$1006:$BM$1006,0)))),"Fix")))</f>
        <v xml:space="preserve"> </v>
      </c>
      <c r="F95" s="4" t="str">
        <f ca="1">IF(OR(INDEX($AG$2:$AG$1001,MATCH(ROWS($AF$2:AF95),$AF$2:$AF$1001,0),1)&gt;=100000,INDEX($AM$1005:$BM$1005,1,MATCH(COLUMNS($AM$1006:AQ1006),$AM$1006:$BM$1006,0))&gt;=100000), " ",IF(INDEX($AM$2:$BM$1001,MATCH(ROWS($AF$2:AF95),$AF$2:$AF$1001,0),MATCH(COLUMNS($AM$1006:AQ1006),$AM$1006:$BM$1006,0)), HYPERLINK("#",""), HYPERLINK(CONCATENATE("#metadata!", ADDRESS(INDEX($AH$2:$AH$1001,MATCH(ROWS($AF$2:AF95),$AF$2:$AF$1001,0),0), INDEX($AM$1004:$BM$1004,1,MATCH(COLUMNS($AM$1006:AQ1006),$AM$1006:$BM$1006,0)))),"Fix")))</f>
        <v xml:space="preserve"> </v>
      </c>
      <c r="G95" s="4" t="str">
        <f ca="1">IF(OR(INDEX($AG$2:$AG$1001,MATCH(ROWS($AF$2:AF95),$AF$2:$AF$1001,0),1)&gt;=100000,INDEX($AM$1005:$BM$1005,1,MATCH(COLUMNS($AM$1006:AR1006),$AM$1006:$BM$1006,0))&gt;=100000), " ",IF(INDEX($AM$2:$BM$1001,MATCH(ROWS($AF$2:AF95),$AF$2:$AF$1001,0),MATCH(COLUMNS($AM$1006:AR1006),$AM$1006:$BM$1006,0)), HYPERLINK("#",""), HYPERLINK(CONCATENATE("#metadata!", ADDRESS(INDEX($AH$2:$AH$1001,MATCH(ROWS($AF$2:AF95),$AF$2:$AF$1001,0),0), INDEX($AM$1004:$BM$1004,1,MATCH(COLUMNS($AM$1006:AR1006),$AM$1006:$BM$1006,0)))),"Fix")))</f>
        <v xml:space="preserve"> </v>
      </c>
      <c r="H95" s="4" t="str">
        <f ca="1">IF(OR(INDEX($AG$2:$AG$1001,MATCH(ROWS($AF$2:AF95),$AF$2:$AF$1001,0),1)&gt;=100000,INDEX($AM$1005:$BM$1005,1,MATCH(COLUMNS($AM$1006:AS1006),$AM$1006:$BM$1006,0))&gt;=100000), " ",IF(INDEX($AM$2:$BM$1001,MATCH(ROWS($AF$2:AF95),$AF$2:$AF$1001,0),MATCH(COLUMNS($AM$1006:AS1006),$AM$1006:$BM$1006,0)), HYPERLINK("#",""), HYPERLINK(CONCATENATE("#metadata!", ADDRESS(INDEX($AH$2:$AH$1001,MATCH(ROWS($AF$2:AF95),$AF$2:$AF$1001,0),0), INDEX($AM$1004:$BM$1004,1,MATCH(COLUMNS($AM$1006:AS1006),$AM$1006:$BM$1006,0)))),"Fix")))</f>
        <v xml:space="preserve"> </v>
      </c>
      <c r="I95" s="4" t="str">
        <f ca="1">IF(OR(INDEX($AG$2:$AG$1001,MATCH(ROWS($AF$2:AF95),$AF$2:$AF$1001,0),1)&gt;=100000,INDEX($AM$1005:$BM$1005,1,MATCH(COLUMNS($AM$1006:AT1006),$AM$1006:$BM$1006,0))&gt;=100000), " ",IF(INDEX($AM$2:$BM$1001,MATCH(ROWS($AF$2:AF95),$AF$2:$AF$1001,0),MATCH(COLUMNS($AM$1006:AT1006),$AM$1006:$BM$1006,0)), HYPERLINK("#",""), HYPERLINK(CONCATENATE("#metadata!", ADDRESS(INDEX($AH$2:$AH$1001,MATCH(ROWS($AF$2:AF95),$AF$2:$AF$1001,0),0), INDEX($AM$1004:$BM$1004,1,MATCH(COLUMNS($AM$1006:AT1006),$AM$1006:$BM$1006,0)))),"Fix")))</f>
        <v xml:space="preserve"> </v>
      </c>
      <c r="J95" s="4" t="str">
        <f ca="1">IF(OR(INDEX($AG$2:$AG$1001,MATCH(ROWS($AF$2:AF95),$AF$2:$AF$1001,0),1)&gt;=100000,INDEX($AM$1005:$BM$1005,1,MATCH(COLUMNS($AM$1006:AU1006),$AM$1006:$BM$1006,0))&gt;=100000), " ",IF(INDEX($AM$2:$BM$1001,MATCH(ROWS($AF$2:AF95),$AF$2:$AF$1001,0),MATCH(COLUMNS($AM$1006:AU1006),$AM$1006:$BM$1006,0)), HYPERLINK("#",""), HYPERLINK(CONCATENATE("#metadata!", ADDRESS(INDEX($AH$2:$AH$1001,MATCH(ROWS($AF$2:AF95),$AF$2:$AF$1001,0),0), INDEX($AM$1004:$BM$1004,1,MATCH(COLUMNS($AM$1006:AU1006),$AM$1006:$BM$1006,0)))),"Fix")))</f>
        <v xml:space="preserve"> </v>
      </c>
      <c r="K95" s="4" t="str">
        <f ca="1">IF(OR(INDEX($AG$2:$AG$1001,MATCH(ROWS($AF$2:AF95),$AF$2:$AF$1001,0),1)&gt;=100000,INDEX($AM$1005:$BM$1005,1,MATCH(COLUMNS($AM$1006:AV1006),$AM$1006:$BM$1006,0))&gt;=100000), " ",IF(INDEX($AM$2:$BM$1001,MATCH(ROWS($AF$2:AF95),$AF$2:$AF$1001,0),MATCH(COLUMNS($AM$1006:AV1006),$AM$1006:$BM$1006,0)), HYPERLINK("#",""), HYPERLINK(CONCATENATE("#metadata!", ADDRESS(INDEX($AH$2:$AH$1001,MATCH(ROWS($AF$2:AF95),$AF$2:$AF$1001,0),0), INDEX($AM$1004:$BM$1004,1,MATCH(COLUMNS($AM$1006:AV1006),$AM$1006:$BM$1006,0)))),"Fix")))</f>
        <v xml:space="preserve"> </v>
      </c>
      <c r="L95" s="4" t="str">
        <f ca="1">IF(OR(INDEX($AG$2:$AG$1001,MATCH(ROWS($AF$2:AF95),$AF$2:$AF$1001,0),1)&gt;=100000,INDEX($AM$1005:$BM$1005,1,MATCH(COLUMNS($AM$1006:AW1006),$AM$1006:$BM$1006,0))&gt;=100000), " ",IF(INDEX($AM$2:$BM$1001,MATCH(ROWS($AF$2:AF95),$AF$2:$AF$1001,0),MATCH(COLUMNS($AM$1006:AW1006),$AM$1006:$BM$1006,0)), HYPERLINK("#",""), HYPERLINK(CONCATENATE("#metadata!", ADDRESS(INDEX($AH$2:$AH$1001,MATCH(ROWS($AF$2:AF95),$AF$2:$AF$1001,0),0), INDEX($AM$1004:$BM$1004,1,MATCH(COLUMNS($AM$1006:AW1006),$AM$1006:$BM$1006,0)))),"Fix")))</f>
        <v xml:space="preserve"> </v>
      </c>
      <c r="M95" s="4" t="str">
        <f ca="1">IF(OR(INDEX($AG$2:$AG$1001,MATCH(ROWS($AF$2:AF95),$AF$2:$AF$1001,0),1)&gt;=100000,INDEX($AM$1005:$BM$1005,1,MATCH(COLUMNS($AM$1006:AX1006),$AM$1006:$BM$1006,0))&gt;=100000), " ",IF(INDEX($AM$2:$BM$1001,MATCH(ROWS($AF$2:AF95),$AF$2:$AF$1001,0),MATCH(COLUMNS($AM$1006:AX1006),$AM$1006:$BM$1006,0)), HYPERLINK("#",""), HYPERLINK(CONCATENATE("#metadata!", ADDRESS(INDEX($AH$2:$AH$1001,MATCH(ROWS($AF$2:AF95),$AF$2:$AF$1001,0),0), INDEX($AM$1004:$BM$1004,1,MATCH(COLUMNS($AM$1006:AX1006),$AM$1006:$BM$1006,0)))),"Fix")))</f>
        <v xml:space="preserve"> </v>
      </c>
      <c r="N95" s="4" t="str">
        <f ca="1">IF(OR(INDEX($AG$2:$AG$1001,MATCH(ROWS($AF$2:AF95),$AF$2:$AF$1001,0),1)&gt;=100000,INDEX($AM$1005:$BM$1005,1,MATCH(COLUMNS($AM$1006:AY1006),$AM$1006:$BM$1006,0))&gt;=100000), " ",IF(INDEX($AM$2:$BM$1001,MATCH(ROWS($AF$2:AF95),$AF$2:$AF$1001,0),MATCH(COLUMNS($AM$1006:AY1006),$AM$1006:$BM$1006,0)), HYPERLINK("#",""), HYPERLINK(CONCATENATE("#metadata!", ADDRESS(INDEX($AH$2:$AH$1001,MATCH(ROWS($AF$2:AF95),$AF$2:$AF$1001,0),0), INDEX($AM$1004:$BM$1004,1,MATCH(COLUMNS($AM$1006:AY1006),$AM$1006:$BM$1006,0)))),"Fix")))</f>
        <v xml:space="preserve"> </v>
      </c>
      <c r="O95" s="4" t="str">
        <f ca="1">IF(OR(INDEX($AG$2:$AG$1001,MATCH(ROWS($AF$2:AF95),$AF$2:$AF$1001,0),1)&gt;=100000,INDEX($AM$1005:$BM$1005,1,MATCH(COLUMNS($AM$1006:AZ1006),$AM$1006:$BM$1006,0))&gt;=100000), " ",IF(INDEX($AM$2:$BM$1001,MATCH(ROWS($AF$2:AF95),$AF$2:$AF$1001,0),MATCH(COLUMNS($AM$1006:AZ1006),$AM$1006:$BM$1006,0)), HYPERLINK("#",""), HYPERLINK(CONCATENATE("#metadata!", ADDRESS(INDEX($AH$2:$AH$1001,MATCH(ROWS($AF$2:AF95),$AF$2:$AF$1001,0),0), INDEX($AM$1004:$BM$1004,1,MATCH(COLUMNS($AM$1006:AZ1006),$AM$1006:$BM$1006,0)))),"Fix")))</f>
        <v xml:space="preserve"> </v>
      </c>
      <c r="P95" s="4" t="str">
        <f ca="1">IF(OR(INDEX($AG$2:$AG$1001,MATCH(ROWS($AF$2:AF95),$AF$2:$AF$1001,0),1)&gt;=100000,INDEX($AM$1005:$BM$1005,1,MATCH(COLUMNS($AM$1006:BA1006),$AM$1006:$BM$1006,0))&gt;=100000), " ",IF(INDEX($AM$2:$BM$1001,MATCH(ROWS($AF$2:AF95),$AF$2:$AF$1001,0),MATCH(COLUMNS($AM$1006:BA1006),$AM$1006:$BM$1006,0)), HYPERLINK("#",""), HYPERLINK(CONCATENATE("#metadata!", ADDRESS(INDEX($AH$2:$AH$1001,MATCH(ROWS($AF$2:AF95),$AF$2:$AF$1001,0),0), INDEX($AM$1004:$BM$1004,1,MATCH(COLUMNS($AM$1006:BA1006),$AM$1006:$BM$1006,0)))),"Fix")))</f>
        <v xml:space="preserve"> </v>
      </c>
      <c r="Q95" s="4" t="str">
        <f ca="1">IF(OR(INDEX($AG$2:$AG$1001,MATCH(ROWS($AF$2:AF95),$AF$2:$AF$1001,0),1)&gt;=100000,INDEX($AM$1005:$BM$1005,1,MATCH(COLUMNS($AM$1006:BB1006),$AM$1006:$BM$1006,0))&gt;=100000), " ",IF(INDEX($AM$2:$BM$1001,MATCH(ROWS($AF$2:AF95),$AF$2:$AF$1001,0),MATCH(COLUMNS($AM$1006:BB1006),$AM$1006:$BM$1006,0)), HYPERLINK("#",""), HYPERLINK(CONCATENATE("#metadata!", ADDRESS(INDEX($AH$2:$AH$1001,MATCH(ROWS($AF$2:AF95),$AF$2:$AF$1001,0),0), INDEX($AM$1004:$BM$1004,1,MATCH(COLUMNS($AM$1006:BB1006),$AM$1006:$BM$1006,0)))),"Fix")))</f>
        <v xml:space="preserve"> </v>
      </c>
      <c r="R95" s="4" t="str">
        <f ca="1">IF(OR(INDEX($AG$2:$AG$1001,MATCH(ROWS($AF$2:AF95),$AF$2:$AF$1001,0),1)&gt;=100000,INDEX($AM$1005:$BM$1005,1,MATCH(COLUMNS($AM$1006:BC1006),$AM$1006:$BM$1006,0))&gt;=100000), " ",IF(INDEX($AM$2:$BM$1001,MATCH(ROWS($AF$2:AF95),$AF$2:$AF$1001,0),MATCH(COLUMNS($AM$1006:BC1006),$AM$1006:$BM$1006,0)), HYPERLINK("#",""), HYPERLINK(CONCATENATE("#metadata!", ADDRESS(INDEX($AH$2:$AH$1001,MATCH(ROWS($AF$2:AF95),$AF$2:$AF$1001,0),0), INDEX($AM$1004:$BM$1004,1,MATCH(COLUMNS($AM$1006:BC1006),$AM$1006:$BM$1006,0)))),"Fix")))</f>
        <v xml:space="preserve"> </v>
      </c>
      <c r="S95" s="4" t="str">
        <f ca="1">IF(OR(INDEX($AG$2:$AG$1001,MATCH(ROWS($AF$2:AF95),$AF$2:$AF$1001,0),1)&gt;=100000,INDEX($AM$1005:$BM$1005,1,MATCH(COLUMNS($AM$1006:BD1006),$AM$1006:$BM$1006,0))&gt;=100000), " ",IF(INDEX($AM$2:$BM$1001,MATCH(ROWS($AF$2:AF95),$AF$2:$AF$1001,0),MATCH(COLUMNS($AM$1006:BD1006),$AM$1006:$BM$1006,0)), HYPERLINK("#",""), HYPERLINK(CONCATENATE("#metadata!", ADDRESS(INDEX($AH$2:$AH$1001,MATCH(ROWS($AF$2:AF95),$AF$2:$AF$1001,0),0), INDEX($AM$1004:$BM$1004,1,MATCH(COLUMNS($AM$1006:BD1006),$AM$1006:$BM$1006,0)))),"Fix")))</f>
        <v xml:space="preserve"> </v>
      </c>
      <c r="T95" s="4" t="str">
        <f ca="1">IF(OR(INDEX($AG$2:$AG$1001,MATCH(ROWS($AF$2:AF95),$AF$2:$AF$1001,0),1)&gt;=100000,INDEX($AM$1005:$BM$1005,1,MATCH(COLUMNS($AM$1006:BE1006),$AM$1006:$BM$1006,0))&gt;=100000), " ",IF(INDEX($AM$2:$BM$1001,MATCH(ROWS($AF$2:AF95),$AF$2:$AF$1001,0),MATCH(COLUMNS($AM$1006:BE1006),$AM$1006:$BM$1006,0)), HYPERLINK("#",""), HYPERLINK(CONCATENATE("#metadata!", ADDRESS(INDEX($AH$2:$AH$1001,MATCH(ROWS($AF$2:AF95),$AF$2:$AF$1001,0),0), INDEX($AM$1004:$BM$1004,1,MATCH(COLUMNS($AM$1006:BE1006),$AM$1006:$BM$1006,0)))),"Fix")))</f>
        <v xml:space="preserve"> </v>
      </c>
      <c r="U95" s="4" t="str">
        <f ca="1">IF(OR(INDEX($AG$2:$AG$1001,MATCH(ROWS($AF$2:AF95),$AF$2:$AF$1001,0),1)&gt;=100000,INDEX($AM$1005:$BM$1005,1,MATCH(COLUMNS($AM$1006:BF1006),$AM$1006:$BM$1006,0))&gt;=100000), " ",IF(INDEX($AM$2:$BM$1001,MATCH(ROWS($AF$2:AF95),$AF$2:$AF$1001,0),MATCH(COLUMNS($AM$1006:BF1006),$AM$1006:$BM$1006,0)), HYPERLINK("#",""), HYPERLINK(CONCATENATE("#metadata!", ADDRESS(INDEX($AH$2:$AH$1001,MATCH(ROWS($AF$2:AF95),$AF$2:$AF$1001,0),0), INDEX($AM$1004:$BM$1004,1,MATCH(COLUMNS($AM$1006:BF1006),$AM$1006:$BM$1006,0)))),"Fix")))</f>
        <v xml:space="preserve"> </v>
      </c>
      <c r="V95" s="4" t="str">
        <f ca="1">IF(OR(INDEX($AG$2:$AG$1001,MATCH(ROWS($AF$2:AF95),$AF$2:$AF$1001,0),1)&gt;=100000,INDEX($AM$1005:$BM$1005,1,MATCH(COLUMNS($AM$1006:BG1006),$AM$1006:$BM$1006,0))&gt;=100000), " ",IF(INDEX($AM$2:$BM$1001,MATCH(ROWS($AF$2:AF95),$AF$2:$AF$1001,0),MATCH(COLUMNS($AM$1006:BG1006),$AM$1006:$BM$1006,0)), HYPERLINK("#",""), HYPERLINK(CONCATENATE("#metadata!", ADDRESS(INDEX($AH$2:$AH$1001,MATCH(ROWS($AF$2:AF95),$AF$2:$AF$1001,0),0), INDEX($AM$1004:$BM$1004,1,MATCH(COLUMNS($AM$1006:BG1006),$AM$1006:$BM$1006,0)))),"Fix")))</f>
        <v xml:space="preserve"> </v>
      </c>
      <c r="W95" s="4" t="str">
        <f ca="1">IF(OR(INDEX($AG$2:$AG$1001,MATCH(ROWS($AF$2:AF95),$AF$2:$AF$1001,0),1)&gt;=100000,INDEX($AM$1005:$BM$1005,1,MATCH(COLUMNS($AM$1006:BH1006),$AM$1006:$BM$1006,0))&gt;=100000), " ",IF(INDEX($AM$2:$BM$1001,MATCH(ROWS($AF$2:AF95),$AF$2:$AF$1001,0),MATCH(COLUMNS($AM$1006:BH1006),$AM$1006:$BM$1006,0)), HYPERLINK("#",""), HYPERLINK(CONCATENATE("#metadata!", ADDRESS(INDEX($AH$2:$AH$1001,MATCH(ROWS($AF$2:AF95),$AF$2:$AF$1001,0),0), INDEX($AM$1004:$BM$1004,1,MATCH(COLUMNS($AM$1006:BH1006),$AM$1006:$BM$1006,0)))),"Fix")))</f>
        <v xml:space="preserve"> </v>
      </c>
      <c r="X95" s="4" t="str">
        <f ca="1">IF(OR(INDEX($AG$2:$AG$1001,MATCH(ROWS($AF$2:AF95),$AF$2:$AF$1001,0),1)&gt;=100000,INDEX($AM$1005:$BM$1005,1,MATCH(COLUMNS($AM$1006:BI1006),$AM$1006:$BM$1006,0))&gt;=100000), " ",IF(INDEX($AM$2:$BM$1001,MATCH(ROWS($AF$2:AF95),$AF$2:$AF$1001,0),MATCH(COLUMNS($AM$1006:BI1006),$AM$1006:$BM$1006,0)), HYPERLINK("#",""), HYPERLINK(CONCATENATE("#metadata!", ADDRESS(INDEX($AH$2:$AH$1001,MATCH(ROWS($AF$2:AF95),$AF$2:$AF$1001,0),0), INDEX($AM$1004:$BM$1004,1,MATCH(COLUMNS($AM$1006:BI1006),$AM$1006:$BM$1006,0)))),"Fix")))</f>
        <v xml:space="preserve"> </v>
      </c>
      <c r="Y95" s="4" t="str">
        <f ca="1">IF(OR(INDEX($AG$2:$AG$1001,MATCH(ROWS($AF$2:AF95),$AF$2:$AF$1001,0),1)&gt;=100000,INDEX($AM$1005:$BM$1005,1,MATCH(COLUMNS($AM$1006:BJ1006),$AM$1006:$BM$1006,0))&gt;=100000), " ",IF(INDEX($AM$2:$BM$1001,MATCH(ROWS($AF$2:AF95),$AF$2:$AF$1001,0),MATCH(COLUMNS($AM$1006:BJ1006),$AM$1006:$BM$1006,0)), HYPERLINK("#",""), HYPERLINK(CONCATENATE("#metadata!", ADDRESS(INDEX($AH$2:$AH$1001,MATCH(ROWS($AF$2:AF95),$AF$2:$AF$1001,0),0), INDEX($AM$1004:$BM$1004,1,MATCH(COLUMNS($AM$1006:BJ1006),$AM$1006:$BM$1006,0)))),"Fix")))</f>
        <v xml:space="preserve"> </v>
      </c>
      <c r="Z95" s="4" t="str">
        <f ca="1">IF(OR(INDEX($AG$2:$AG$1001,MATCH(ROWS($AF$2:AF95),$AF$2:$AF$1001,0),1)&gt;=100000,INDEX($AM$1005:$BM$1005,1,MATCH(COLUMNS($AM$1006:BK1006),$AM$1006:$BM$1006,0))&gt;=100000), " ",IF(INDEX($AM$2:$BM$1001,MATCH(ROWS($AF$2:AF95),$AF$2:$AF$1001,0),MATCH(COLUMNS($AM$1006:BK1006),$AM$1006:$BM$1006,0)), HYPERLINK("#",""), HYPERLINK(CONCATENATE("#metadata!", ADDRESS(INDEX($AH$2:$AH$1001,MATCH(ROWS($AF$2:AF95),$AF$2:$AF$1001,0),0), INDEX($AM$1004:$BM$1004,1,MATCH(COLUMNS($AM$1006:BK1006),$AM$1006:$BM$1006,0)))),"Fix")))</f>
        <v xml:space="preserve"> </v>
      </c>
      <c r="AA95" s="4" t="str">
        <f ca="1">IF(OR(INDEX($AG$2:$AG$1001,MATCH(ROWS($AF$2:AF95),$AF$2:$AF$1001,0),1)&gt;=100000,INDEX($AM$1005:$BM$1005,1,MATCH(COLUMNS($AM$1006:BL1006),$AM$1006:$BM$1006,0))&gt;=100000), " ",IF(INDEX($AM$2:$BM$1001,MATCH(ROWS($AF$2:AF95),$AF$2:$AF$1001,0),MATCH(COLUMNS($AM$1006:BL1006),$AM$1006:$BM$1006,0)), HYPERLINK("#",""), HYPERLINK(CONCATENATE("#metadata!", ADDRESS(INDEX($AH$2:$AH$1001,MATCH(ROWS($AF$2:AF95),$AF$2:$AF$1001,0),0), INDEX($AM$1004:$BM$1004,1,MATCH(COLUMNS($AM$1006:BL1006),$AM$1006:$BM$1006,0)))),"Fix")))</f>
        <v xml:space="preserve"> </v>
      </c>
      <c r="AB95" s="4" t="str">
        <f ca="1">IF(OR(INDEX($AG$2:$AG$1001,MATCH(ROWS($AF$2:AF95),$AF$2:$AF$1001,0),1)&gt;=100000,INDEX($AM$1005:$BM$1005,1,MATCH(COLUMNS($AM$1006:BM1006),$AM$1006:$BM$1006,0))&gt;=100000), " ",IF(INDEX($AM$2:$BM$1001,MATCH(ROWS($AF$2:AF95),$AF$2:$AF$1001,0),MATCH(COLUMNS($AM$1006:BM1006),$AM$1006:$BM$1006,0)), HYPERLINK("#",""), HYPERLINK(CONCATENATE("#metadata!", ADDRESS(INDEX($AH$2:$AH$1001,MATCH(ROWS($AF$2:AF95),$AF$2:$AF$1001,0),0), INDEX($AM$1004:$BM$1004,1,MATCH(COLUMNS($AM$1006:BM1006),$AM$1006:$BM$1006,0)))),"Fix")))</f>
        <v xml:space="preserve"> </v>
      </c>
      <c r="AF95">
        <v>94</v>
      </c>
      <c r="AG95">
        <v>100095</v>
      </c>
      <c r="AH95">
        <v>95</v>
      </c>
      <c r="AI95" t="b">
        <f t="shared" si="1"/>
        <v>1</v>
      </c>
      <c r="AJ95" t="b">
        <f>COUNTBLANK(metadata!B95:AB95)=COLUMNS(metadata!B95:AB95)</f>
        <v>1</v>
      </c>
      <c r="AK95" t="str">
        <v/>
      </c>
      <c r="AM95" t="b">
        <f ca="1">AND(IF(metadata!B95="",FALSE,TRUE),COUNTIF(metadata!B:B, metadata!B95) = 1,NOT(ISERROR(SUMPRODUCT(SEARCH(MID(metadata!B95,ROW(INDIRECT("1:"&amp;LEN(metadata!B95))), 1),"0123456789abcdefghijklmnopqrstuvwxyzABCDEFGHIJKLMNOPQRSTUVWXYZ.")))))</f>
        <v>0</v>
      </c>
      <c r="AN95" t="b">
        <f ca="1">OR(AND(IF(metadata!C95="",FALSE,TRUE),OR(EXACT(metadata!C95,"missing: not collected"),EXACT(metadata!C95,"missing: not provided"),EXACT(metadata!C95,"missing: restricted access"))),AND(IF(metadata!C95="",FALSE,TRUE),AND(AND(IFERROR(INT(LEFT(metadata!C95,4))&gt;1900,FALSE),IFERROR(INT(LEFT(metadata!C95,4))&lt;=YEAR(NOW()),FALSE)), OR(MID(metadata!C95,5,1)="", AND(AND(MID(metadata!C95,5,1)="-",IFERROR(INT(MID(metadata!C95,6,1))&gt;=0,FALSE),IFERROR(INT(MID(metadata!C95,6,1))&lt;=1,FALSE),NOT(MID(metadata!C95,7,1)=""),IFERROR(INT(MID(metadata!C95,6,2))&gt;=1,FALSE),IFERROR(INT(MID(metadata!C95,6,2))&lt;=12,FALSE)), OR(MID(metadata!C95,8,1)="", AND(AND(MID(metadata!C95,8,1)="-",IFERROR(INT(MID(metadata!C95,9,1))&gt;=0,FALSE),IFERROR(INT(MID(metadata!C95,9,1))&lt;=3,FALSE),NOT(MID(metadata!C95,10,1)=""),IFERROR(INT(MID(metadata!C95,9,2))&gt;=1,FALSE),IFERROR(INT(MID(metadata!C95,9,2))&lt;=31,FALSE)), OR(MID(metadata!C95,11,1)="", AND(AND(MID(metadata!C95,11,1)=" ",IFERROR(INT(MID(metadata!C95,12,1))&gt;=0,FALSE),IFERROR(INT(MID(metadata!C95,12,1))&lt;=2,FALSE),NOT(MID(metadata!C95,13,1)=""),IFERROR(INT(MID(metadata!C95,12,2))&gt;=0,FALSE),IFERROR(INT(MID(metadata!C95,12,2))&lt;=23,FALSE)), OR(MID(metadata!C95,14,1)="", AND(AND(MID(metadata!C95,14,1)=":",IFERROR(INT(MID(metadata!C95,15,1))&gt;=0,FALSE),IFERROR(INT(MID(metadata!C95,15,1))&lt;=5,FALSE),NOT(MID(metadata!C95,16,1)=""),IFERROR(INT(MID(metadata!C95,15,2))&gt;=0,FALSE),IFERROR(INT(MID(metadata!C95,15,2))&lt;=59,FALSE)), OR(MID(metadata!C95,17,1)="", AND(AND(MID(metadata!C95,17,1)=":",IFERROR(INT(MID(metadata!C95,18,1))&gt;=0,FALSE),IFERROR(INT(MID(metadata!C95,18,1))&lt;=5,FALSE),NOT(MID(metadata!C95,19,1)=""),IFERROR(INT(MID(metadata!C95,18,2))&gt;=0,FALSE),IFERROR(INT(MID(metadata!C95,18,2))&lt;=59,FALSE)), LEN(metadata!C95)&lt;=19)))))))))))))</f>
        <v>0</v>
      </c>
      <c r="AO95" t="b">
        <f>AND(IF(metadata!D95="",FALSE,TRUE),EXACT(metadata!D95,"Not applicable"))</f>
        <v>0</v>
      </c>
      <c r="AP95" t="b">
        <f>IF(metadata!E95="",FALSE,TRUE)</f>
        <v>0</v>
      </c>
      <c r="AQ95" t="b">
        <f>OR(AND(IF(metadata!F95="",FALSE,TRUE),OR(EXACT(metadata!F95,"missing: not collected"),EXACT(metadata!F95,"missing: not provided"))),AND(IF(metadata!F95="",FALSE,TRUE),OR(EXACT(metadata!F95,"TRUE"),EXACT(metadata!F95,"FALSE"))))</f>
        <v>0</v>
      </c>
      <c r="AR95" t="b">
        <f>OR(AND(IF(metadata!G95="",FALSE,TRUE),OR(EXACT(metadata!G95,"missing: not collected"),EXACT(metadata!G95,"missing: not provided"),EXACT(metadata!G95,"missing: restricted access"))),AND(IF(metadata!G95="",FALSE,ISNUMBER(VALUE(metadata!G95))),metadata!G95&gt;=-413))</f>
        <v>0</v>
      </c>
      <c r="AS95" t="b">
        <f>AND(IF(metadata!H95="",FALSE,TRUE),EXACT(metadata!H95,"meters"))</f>
        <v>0</v>
      </c>
      <c r="AT95" t="b">
        <f>AND(IF(metadata!I95="",FALSE,TRUE),OR(EXACT(metadata!I95,"Host-associated"),EXACT(metadata!I95,"Free-living")))</f>
        <v>0</v>
      </c>
      <c r="AU95" t="b">
        <f>AND(IF(metadata!J95="",FALSE,TRUE),OR(EXACT(metadata!J95,"Animal"),EXACT(metadata!J95,"Fungus"),EXACT(metadata!J95,"Plant"),EXACT(metadata!J95,"Saline"),EXACT(metadata!J95,"Non-saline")))</f>
        <v>0</v>
      </c>
      <c r="AV95" t="b">
        <f>AND(IF(metadata!K95="",FALSE,TRUE),OR(EXACT(metadata!K95,"Plant secretion"),EXACT(metadata!K95,"Plant rhizosphere"),EXACT(metadata!K95,"Plant surface"),EXACT(metadata!K95,"Plant corpus"),EXACT(metadata!K95,"Fungus surface"),EXACT(metadata!K95,"Fungus corpus"),EXACT(metadata!K95,"Animal surface"),EXACT(metadata!K95,"Animal proximal gut"),EXACT(metadata!K95,"Animal corpus"),EXACT(metadata!K95,"Animal distal gut"),EXACT(metadata!K95,"Animal secretion"),EXACT(metadata!K95,"Sub-surface (non-saline)"),EXACT(metadata!K95,"Surface (non-saline)"),EXACT(metadata!K95,"Water (non-saline)"),EXACT(metadata!K95,"Soil (non-saline)"),EXACT(metadata!K95,"Aerosol (non-saline)"),EXACT(metadata!K95,"Sediment (non-saline)"),EXACT(metadata!K95,"Surface (saline)"),EXACT(metadata!K95,"Water (saline)"),EXACT(metadata!K95,"Hypersaline (saline)"),EXACT(metadata!K95,"Aerosol (saline)"),EXACT(metadata!K95,"Sediment (saline)")))</f>
        <v>0</v>
      </c>
      <c r="AW95" t="b">
        <f>IF(metadata!L95="",FALSE,TRUE)</f>
        <v>0</v>
      </c>
      <c r="AX95" t="b">
        <f>IF(metadata!M95="",FALSE,TRUE)</f>
        <v>0</v>
      </c>
      <c r="AY95" t="b">
        <f>IF(metadata!N95="",FALSE,TRUE)</f>
        <v>0</v>
      </c>
      <c r="AZ95" t="b">
        <f>OR(AND(IF(metadata!O95="",FALSE,TRUE),OR(EXACT(metadata!O95,"missing: not collected"),EXACT(metadata!O95,"missing: not provided"),EXACT(metadata!O95,"missing: restricted access"))),AND(IF(metadata!O95="",FALSE,TRUE),OR(EXACT(metadata!O95,"air"),EXACT(metadata!O95,"built environment"),EXACT(metadata!O95,"host-associated"),EXACT(metadata!O95,"human-associated"),EXACT(metadata!O95,"human-skin"),EXACT(metadata!O95,"human-oral"),EXACT(metadata!O95,"human-gut"),EXACT(metadata!O95,"human-vaginal"),EXACT(metadata!O95,"microbial mat/biofilm"),EXACT(metadata!O95,"misc environment"),EXACT(metadata!O95,"plant-associated"),EXACT(metadata!O95,"sediment"),EXACT(metadata!O95,"soil"),EXACT(metadata!O95,"wastewater/sludge"),EXACT(metadata!O95,"water"))))</f>
        <v>0</v>
      </c>
      <c r="BA95" t="b">
        <f>IF(metadata!P95="",FALSE,TRUE)</f>
        <v>0</v>
      </c>
      <c r="BB95" t="b">
        <f>IF(metadata!Q95="",FALSE,TRUE)</f>
        <v>0</v>
      </c>
      <c r="BC95" t="b">
        <f>OR(AND(IF(metadata!R95="",FALSE,TRUE),OR(EXACT(metadata!R95,"missing: not collected"),EXACT(metadata!R95,"missing: not provided"),EXACT(metadata!R95,"missing: restricted access"))),AND(IF(metadata!R95="",FALSE,ISNUMBER(VALUE(metadata!R95))),metadata!R95&gt;=-90,metadata!R95&lt;=90))</f>
        <v>0</v>
      </c>
      <c r="BD95" t="b">
        <f>AND(IF(metadata!S95="",FALSE,TRUE),EXACT(metadata!S95,"Decimal degrees"))</f>
        <v>0</v>
      </c>
      <c r="BE95" t="b">
        <f>OR(AND(IF(metadata!T95="",FALSE,TRUE),OR(EXACT(metadata!T95,"missing: not collected"),EXACT(metadata!T95,"missing: not provided"),EXACT(metadata!T95,"missing: restricted access"))),AND(IF(metadata!T95="",FALSE,ISNUMBER(VALUE(metadata!T95))),metadata!T95&gt;=-180,metadata!T95&lt;=180))</f>
        <v>0</v>
      </c>
      <c r="BF95" t="b">
        <f>AND(IF(metadata!U95="",FALSE,TRUE),EXACT(metadata!U95,"Decimal degrees"))</f>
        <v>0</v>
      </c>
      <c r="BG95" t="b">
        <f>IF(metadata!V95="",FALSE,TRUE)</f>
        <v>0</v>
      </c>
      <c r="BH95" t="b">
        <f>OR(AND(IF(metadata!W95="",FALSE,TRUE),OR(EXACT(metadata!W95,"missing: not collected"),EXACT(metadata!W95,"missing: not provided"),EXACT(metadata!W95,"missing: restricted access"))),AND(IF(metadata!W95="",FALSE,TRUE),OR(EXACT(metadata!W95,"TRUE"),EXACT(metadata!W95,"FALSE"))))</f>
        <v>0</v>
      </c>
      <c r="BI95" t="b">
        <f>AND(IF(metadata!X95="",FALSE,TRUE),EXACT(metadata!X95,"other"))</f>
        <v>0</v>
      </c>
      <c r="BJ95" t="b">
        <f>IF(metadata!Y95="",FALSE,TRUE)</f>
        <v>0</v>
      </c>
      <c r="BK95" t="b">
        <f>OR(AND(IF(metadata!Z95="",FALSE,TRUE),OR(EXACT(metadata!Z95,"missing: not collected"),EXACT(metadata!Z95,"missing: not provided"))),AND(IF(metadata!Z95="",FALSE,IF(ISERROR(INT(metadata!Z95)),FALSE,INT(metadata!Z95)=metadata!Z95)),metadata!Z95&gt;0))</f>
        <v>0</v>
      </c>
      <c r="BL95" t="b">
        <f>AND(IF(metadata!AA95="",FALSE,TRUE),EXACT(metadata!AA95,"Not applicable"))</f>
        <v>0</v>
      </c>
      <c r="BM95" t="b">
        <f>IF(metadata!AB95="",FALSE,TRUE)</f>
        <v>0</v>
      </c>
    </row>
    <row r="96" spans="1:65" x14ac:dyDescent="0.2">
      <c r="A96" s="5" t="str">
        <f ca="1">IF(B96=" "," ",HYPERLINK(CONCATENATE("#metadata!",ADDRESS(INDEX($AH$2:$AH$1001,MATCH(ROWS($AF$2:AF96),$AF$2:$AF$1001,0),0),1)),INDEX($AK$2:$AK$1001,MATCH(ROWS($AF$2:AF96),$AF$2:$AF$1001,0),0)))</f>
        <v xml:space="preserve"> </v>
      </c>
      <c r="B96" s="4" t="str">
        <f ca="1">IF(OR(INDEX($AG$2:$AG$1001,MATCH(ROWS($AF$2:AF96),$AF$2:$AF$1001,0),1)&gt;=100000,INDEX($AM$1005:$BM$1005,1,MATCH(COLUMNS($AM$1006:AM1006),$AM$1006:$BM$1006,0))&gt;=100000), " ",IF(INDEX($AM$2:$BM$1001,MATCH(ROWS($AF$2:AF96),$AF$2:$AF$1001,0),MATCH(COLUMNS($AM$1006:AM1006),$AM$1006:$BM$1006,0)), HYPERLINK("#",""), HYPERLINK(CONCATENATE("#metadata!", ADDRESS(INDEX($AH$2:$AH$1001,MATCH(ROWS($AF$2:AF96),$AF$2:$AF$1001,0),0), INDEX($AM$1004:$BM$1004,1,MATCH(COLUMNS($AM$1006:AM1006),$AM$1006:$BM$1006,0)))),"Fix")))</f>
        <v xml:space="preserve"> </v>
      </c>
      <c r="C96" s="4" t="str">
        <f ca="1">IF(OR(INDEX($AG$2:$AG$1001,MATCH(ROWS($AF$2:AF96),$AF$2:$AF$1001,0),1)&gt;=100000,INDEX($AM$1005:$BM$1005,1,MATCH(COLUMNS($AM$1006:AN1006),$AM$1006:$BM$1006,0))&gt;=100000), " ",IF(INDEX($AM$2:$BM$1001,MATCH(ROWS($AF$2:AF96),$AF$2:$AF$1001,0),MATCH(COLUMNS($AM$1006:AN1006),$AM$1006:$BM$1006,0)), HYPERLINK("#",""), HYPERLINK(CONCATENATE("#metadata!", ADDRESS(INDEX($AH$2:$AH$1001,MATCH(ROWS($AF$2:AF96),$AF$2:$AF$1001,0),0), INDEX($AM$1004:$BM$1004,1,MATCH(COLUMNS($AM$1006:AN1006),$AM$1006:$BM$1006,0)))),"Fix")))</f>
        <v xml:space="preserve"> </v>
      </c>
      <c r="D96" s="4" t="str">
        <f ca="1">IF(OR(INDEX($AG$2:$AG$1001,MATCH(ROWS($AF$2:AF96),$AF$2:$AF$1001,0),1)&gt;=100000,INDEX($AM$1005:$BM$1005,1,MATCH(COLUMNS($AM$1006:AO1006),$AM$1006:$BM$1006,0))&gt;=100000), " ",IF(INDEX($AM$2:$BM$1001,MATCH(ROWS($AF$2:AF96),$AF$2:$AF$1001,0),MATCH(COLUMNS($AM$1006:AO1006),$AM$1006:$BM$1006,0)), HYPERLINK("#",""), HYPERLINK(CONCATENATE("#metadata!", ADDRESS(INDEX($AH$2:$AH$1001,MATCH(ROWS($AF$2:AF96),$AF$2:$AF$1001,0),0), INDEX($AM$1004:$BM$1004,1,MATCH(COLUMNS($AM$1006:AO1006),$AM$1006:$BM$1006,0)))),"Fix")))</f>
        <v xml:space="preserve"> </v>
      </c>
      <c r="E96" s="4" t="str">
        <f ca="1">IF(OR(INDEX($AG$2:$AG$1001,MATCH(ROWS($AF$2:AF96),$AF$2:$AF$1001,0),1)&gt;=100000,INDEX($AM$1005:$BM$1005,1,MATCH(COLUMNS($AM$1006:AP1006),$AM$1006:$BM$1006,0))&gt;=100000), " ",IF(INDEX($AM$2:$BM$1001,MATCH(ROWS($AF$2:AF96),$AF$2:$AF$1001,0),MATCH(COLUMNS($AM$1006:AP1006),$AM$1006:$BM$1006,0)), HYPERLINK("#",""), HYPERLINK(CONCATENATE("#metadata!", ADDRESS(INDEX($AH$2:$AH$1001,MATCH(ROWS($AF$2:AF96),$AF$2:$AF$1001,0),0), INDEX($AM$1004:$BM$1004,1,MATCH(COLUMNS($AM$1006:AP1006),$AM$1006:$BM$1006,0)))),"Fix")))</f>
        <v xml:space="preserve"> </v>
      </c>
      <c r="F96" s="4" t="str">
        <f ca="1">IF(OR(INDEX($AG$2:$AG$1001,MATCH(ROWS($AF$2:AF96),$AF$2:$AF$1001,0),1)&gt;=100000,INDEX($AM$1005:$BM$1005,1,MATCH(COLUMNS($AM$1006:AQ1006),$AM$1006:$BM$1006,0))&gt;=100000), " ",IF(INDEX($AM$2:$BM$1001,MATCH(ROWS($AF$2:AF96),$AF$2:$AF$1001,0),MATCH(COLUMNS($AM$1006:AQ1006),$AM$1006:$BM$1006,0)), HYPERLINK("#",""), HYPERLINK(CONCATENATE("#metadata!", ADDRESS(INDEX($AH$2:$AH$1001,MATCH(ROWS($AF$2:AF96),$AF$2:$AF$1001,0),0), INDEX($AM$1004:$BM$1004,1,MATCH(COLUMNS($AM$1006:AQ1006),$AM$1006:$BM$1006,0)))),"Fix")))</f>
        <v xml:space="preserve"> </v>
      </c>
      <c r="G96" s="4" t="str">
        <f ca="1">IF(OR(INDEX($AG$2:$AG$1001,MATCH(ROWS($AF$2:AF96),$AF$2:$AF$1001,0),1)&gt;=100000,INDEX($AM$1005:$BM$1005,1,MATCH(COLUMNS($AM$1006:AR1006),$AM$1006:$BM$1006,0))&gt;=100000), " ",IF(INDEX($AM$2:$BM$1001,MATCH(ROWS($AF$2:AF96),$AF$2:$AF$1001,0),MATCH(COLUMNS($AM$1006:AR1006),$AM$1006:$BM$1006,0)), HYPERLINK("#",""), HYPERLINK(CONCATENATE("#metadata!", ADDRESS(INDEX($AH$2:$AH$1001,MATCH(ROWS($AF$2:AF96),$AF$2:$AF$1001,0),0), INDEX($AM$1004:$BM$1004,1,MATCH(COLUMNS($AM$1006:AR1006),$AM$1006:$BM$1006,0)))),"Fix")))</f>
        <v xml:space="preserve"> </v>
      </c>
      <c r="H96" s="4" t="str">
        <f ca="1">IF(OR(INDEX($AG$2:$AG$1001,MATCH(ROWS($AF$2:AF96),$AF$2:$AF$1001,0),1)&gt;=100000,INDEX($AM$1005:$BM$1005,1,MATCH(COLUMNS($AM$1006:AS1006),$AM$1006:$BM$1006,0))&gt;=100000), " ",IF(INDEX($AM$2:$BM$1001,MATCH(ROWS($AF$2:AF96),$AF$2:$AF$1001,0),MATCH(COLUMNS($AM$1006:AS1006),$AM$1006:$BM$1006,0)), HYPERLINK("#",""), HYPERLINK(CONCATENATE("#metadata!", ADDRESS(INDEX($AH$2:$AH$1001,MATCH(ROWS($AF$2:AF96),$AF$2:$AF$1001,0),0), INDEX($AM$1004:$BM$1004,1,MATCH(COLUMNS($AM$1006:AS1006),$AM$1006:$BM$1006,0)))),"Fix")))</f>
        <v xml:space="preserve"> </v>
      </c>
      <c r="I96" s="4" t="str">
        <f ca="1">IF(OR(INDEX($AG$2:$AG$1001,MATCH(ROWS($AF$2:AF96),$AF$2:$AF$1001,0),1)&gt;=100000,INDEX($AM$1005:$BM$1005,1,MATCH(COLUMNS($AM$1006:AT1006),$AM$1006:$BM$1006,0))&gt;=100000), " ",IF(INDEX($AM$2:$BM$1001,MATCH(ROWS($AF$2:AF96),$AF$2:$AF$1001,0),MATCH(COLUMNS($AM$1006:AT1006),$AM$1006:$BM$1006,0)), HYPERLINK("#",""), HYPERLINK(CONCATENATE("#metadata!", ADDRESS(INDEX($AH$2:$AH$1001,MATCH(ROWS($AF$2:AF96),$AF$2:$AF$1001,0),0), INDEX($AM$1004:$BM$1004,1,MATCH(COLUMNS($AM$1006:AT1006),$AM$1006:$BM$1006,0)))),"Fix")))</f>
        <v xml:space="preserve"> </v>
      </c>
      <c r="J96" s="4" t="str">
        <f ca="1">IF(OR(INDEX($AG$2:$AG$1001,MATCH(ROWS($AF$2:AF96),$AF$2:$AF$1001,0),1)&gt;=100000,INDEX($AM$1005:$BM$1005,1,MATCH(COLUMNS($AM$1006:AU1006),$AM$1006:$BM$1006,0))&gt;=100000), " ",IF(INDEX($AM$2:$BM$1001,MATCH(ROWS($AF$2:AF96),$AF$2:$AF$1001,0),MATCH(COLUMNS($AM$1006:AU1006),$AM$1006:$BM$1006,0)), HYPERLINK("#",""), HYPERLINK(CONCATENATE("#metadata!", ADDRESS(INDEX($AH$2:$AH$1001,MATCH(ROWS($AF$2:AF96),$AF$2:$AF$1001,0),0), INDEX($AM$1004:$BM$1004,1,MATCH(COLUMNS($AM$1006:AU1006),$AM$1006:$BM$1006,0)))),"Fix")))</f>
        <v xml:space="preserve"> </v>
      </c>
      <c r="K96" s="4" t="str">
        <f ca="1">IF(OR(INDEX($AG$2:$AG$1001,MATCH(ROWS($AF$2:AF96),$AF$2:$AF$1001,0),1)&gt;=100000,INDEX($AM$1005:$BM$1005,1,MATCH(COLUMNS($AM$1006:AV1006),$AM$1006:$BM$1006,0))&gt;=100000), " ",IF(INDEX($AM$2:$BM$1001,MATCH(ROWS($AF$2:AF96),$AF$2:$AF$1001,0),MATCH(COLUMNS($AM$1006:AV1006),$AM$1006:$BM$1006,0)), HYPERLINK("#",""), HYPERLINK(CONCATENATE("#metadata!", ADDRESS(INDEX($AH$2:$AH$1001,MATCH(ROWS($AF$2:AF96),$AF$2:$AF$1001,0),0), INDEX($AM$1004:$BM$1004,1,MATCH(COLUMNS($AM$1006:AV1006),$AM$1006:$BM$1006,0)))),"Fix")))</f>
        <v xml:space="preserve"> </v>
      </c>
      <c r="L96" s="4" t="str">
        <f ca="1">IF(OR(INDEX($AG$2:$AG$1001,MATCH(ROWS($AF$2:AF96),$AF$2:$AF$1001,0),1)&gt;=100000,INDEX($AM$1005:$BM$1005,1,MATCH(COLUMNS($AM$1006:AW1006),$AM$1006:$BM$1006,0))&gt;=100000), " ",IF(INDEX($AM$2:$BM$1001,MATCH(ROWS($AF$2:AF96),$AF$2:$AF$1001,0),MATCH(COLUMNS($AM$1006:AW1006),$AM$1006:$BM$1006,0)), HYPERLINK("#",""), HYPERLINK(CONCATENATE("#metadata!", ADDRESS(INDEX($AH$2:$AH$1001,MATCH(ROWS($AF$2:AF96),$AF$2:$AF$1001,0),0), INDEX($AM$1004:$BM$1004,1,MATCH(COLUMNS($AM$1006:AW1006),$AM$1006:$BM$1006,0)))),"Fix")))</f>
        <v xml:space="preserve"> </v>
      </c>
      <c r="M96" s="4" t="str">
        <f ca="1">IF(OR(INDEX($AG$2:$AG$1001,MATCH(ROWS($AF$2:AF96),$AF$2:$AF$1001,0),1)&gt;=100000,INDEX($AM$1005:$BM$1005,1,MATCH(COLUMNS($AM$1006:AX1006),$AM$1006:$BM$1006,0))&gt;=100000), " ",IF(INDEX($AM$2:$BM$1001,MATCH(ROWS($AF$2:AF96),$AF$2:$AF$1001,0),MATCH(COLUMNS($AM$1006:AX1006),$AM$1006:$BM$1006,0)), HYPERLINK("#",""), HYPERLINK(CONCATENATE("#metadata!", ADDRESS(INDEX($AH$2:$AH$1001,MATCH(ROWS($AF$2:AF96),$AF$2:$AF$1001,0),0), INDEX($AM$1004:$BM$1004,1,MATCH(COLUMNS($AM$1006:AX1006),$AM$1006:$BM$1006,0)))),"Fix")))</f>
        <v xml:space="preserve"> </v>
      </c>
      <c r="N96" s="4" t="str">
        <f ca="1">IF(OR(INDEX($AG$2:$AG$1001,MATCH(ROWS($AF$2:AF96),$AF$2:$AF$1001,0),1)&gt;=100000,INDEX($AM$1005:$BM$1005,1,MATCH(COLUMNS($AM$1006:AY1006),$AM$1006:$BM$1006,0))&gt;=100000), " ",IF(INDEX($AM$2:$BM$1001,MATCH(ROWS($AF$2:AF96),$AF$2:$AF$1001,0),MATCH(COLUMNS($AM$1006:AY1006),$AM$1006:$BM$1006,0)), HYPERLINK("#",""), HYPERLINK(CONCATENATE("#metadata!", ADDRESS(INDEX($AH$2:$AH$1001,MATCH(ROWS($AF$2:AF96),$AF$2:$AF$1001,0),0), INDEX($AM$1004:$BM$1004,1,MATCH(COLUMNS($AM$1006:AY1006),$AM$1006:$BM$1006,0)))),"Fix")))</f>
        <v xml:space="preserve"> </v>
      </c>
      <c r="O96" s="4" t="str">
        <f ca="1">IF(OR(INDEX($AG$2:$AG$1001,MATCH(ROWS($AF$2:AF96),$AF$2:$AF$1001,0),1)&gt;=100000,INDEX($AM$1005:$BM$1005,1,MATCH(COLUMNS($AM$1006:AZ1006),$AM$1006:$BM$1006,0))&gt;=100000), " ",IF(INDEX($AM$2:$BM$1001,MATCH(ROWS($AF$2:AF96),$AF$2:$AF$1001,0),MATCH(COLUMNS($AM$1006:AZ1006),$AM$1006:$BM$1006,0)), HYPERLINK("#",""), HYPERLINK(CONCATENATE("#metadata!", ADDRESS(INDEX($AH$2:$AH$1001,MATCH(ROWS($AF$2:AF96),$AF$2:$AF$1001,0),0), INDEX($AM$1004:$BM$1004,1,MATCH(COLUMNS($AM$1006:AZ1006),$AM$1006:$BM$1006,0)))),"Fix")))</f>
        <v xml:space="preserve"> </v>
      </c>
      <c r="P96" s="4" t="str">
        <f ca="1">IF(OR(INDEX($AG$2:$AG$1001,MATCH(ROWS($AF$2:AF96),$AF$2:$AF$1001,0),1)&gt;=100000,INDEX($AM$1005:$BM$1005,1,MATCH(COLUMNS($AM$1006:BA1006),$AM$1006:$BM$1006,0))&gt;=100000), " ",IF(INDEX($AM$2:$BM$1001,MATCH(ROWS($AF$2:AF96),$AF$2:$AF$1001,0),MATCH(COLUMNS($AM$1006:BA1006),$AM$1006:$BM$1006,0)), HYPERLINK("#",""), HYPERLINK(CONCATENATE("#metadata!", ADDRESS(INDEX($AH$2:$AH$1001,MATCH(ROWS($AF$2:AF96),$AF$2:$AF$1001,0),0), INDEX($AM$1004:$BM$1004,1,MATCH(COLUMNS($AM$1006:BA1006),$AM$1006:$BM$1006,0)))),"Fix")))</f>
        <v xml:space="preserve"> </v>
      </c>
      <c r="Q96" s="4" t="str">
        <f ca="1">IF(OR(INDEX($AG$2:$AG$1001,MATCH(ROWS($AF$2:AF96),$AF$2:$AF$1001,0),1)&gt;=100000,INDEX($AM$1005:$BM$1005,1,MATCH(COLUMNS($AM$1006:BB1006),$AM$1006:$BM$1006,0))&gt;=100000), " ",IF(INDEX($AM$2:$BM$1001,MATCH(ROWS($AF$2:AF96),$AF$2:$AF$1001,0),MATCH(COLUMNS($AM$1006:BB1006),$AM$1006:$BM$1006,0)), HYPERLINK("#",""), HYPERLINK(CONCATENATE("#metadata!", ADDRESS(INDEX($AH$2:$AH$1001,MATCH(ROWS($AF$2:AF96),$AF$2:$AF$1001,0),0), INDEX($AM$1004:$BM$1004,1,MATCH(COLUMNS($AM$1006:BB1006),$AM$1006:$BM$1006,0)))),"Fix")))</f>
        <v xml:space="preserve"> </v>
      </c>
      <c r="R96" s="4" t="str">
        <f ca="1">IF(OR(INDEX($AG$2:$AG$1001,MATCH(ROWS($AF$2:AF96),$AF$2:$AF$1001,0),1)&gt;=100000,INDEX($AM$1005:$BM$1005,1,MATCH(COLUMNS($AM$1006:BC1006),$AM$1006:$BM$1006,0))&gt;=100000), " ",IF(INDEX($AM$2:$BM$1001,MATCH(ROWS($AF$2:AF96),$AF$2:$AF$1001,0),MATCH(COLUMNS($AM$1006:BC1006),$AM$1006:$BM$1006,0)), HYPERLINK("#",""), HYPERLINK(CONCATENATE("#metadata!", ADDRESS(INDEX($AH$2:$AH$1001,MATCH(ROWS($AF$2:AF96),$AF$2:$AF$1001,0),0), INDEX($AM$1004:$BM$1004,1,MATCH(COLUMNS($AM$1006:BC1006),$AM$1006:$BM$1006,0)))),"Fix")))</f>
        <v xml:space="preserve"> </v>
      </c>
      <c r="S96" s="4" t="str">
        <f ca="1">IF(OR(INDEX($AG$2:$AG$1001,MATCH(ROWS($AF$2:AF96),$AF$2:$AF$1001,0),1)&gt;=100000,INDEX($AM$1005:$BM$1005,1,MATCH(COLUMNS($AM$1006:BD1006),$AM$1006:$BM$1006,0))&gt;=100000), " ",IF(INDEX($AM$2:$BM$1001,MATCH(ROWS($AF$2:AF96),$AF$2:$AF$1001,0),MATCH(COLUMNS($AM$1006:BD1006),$AM$1006:$BM$1006,0)), HYPERLINK("#",""), HYPERLINK(CONCATENATE("#metadata!", ADDRESS(INDEX($AH$2:$AH$1001,MATCH(ROWS($AF$2:AF96),$AF$2:$AF$1001,0),0), INDEX($AM$1004:$BM$1004,1,MATCH(COLUMNS($AM$1006:BD1006),$AM$1006:$BM$1006,0)))),"Fix")))</f>
        <v xml:space="preserve"> </v>
      </c>
      <c r="T96" s="4" t="str">
        <f ca="1">IF(OR(INDEX($AG$2:$AG$1001,MATCH(ROWS($AF$2:AF96),$AF$2:$AF$1001,0),1)&gt;=100000,INDEX($AM$1005:$BM$1005,1,MATCH(COLUMNS($AM$1006:BE1006),$AM$1006:$BM$1006,0))&gt;=100000), " ",IF(INDEX($AM$2:$BM$1001,MATCH(ROWS($AF$2:AF96),$AF$2:$AF$1001,0),MATCH(COLUMNS($AM$1006:BE1006),$AM$1006:$BM$1006,0)), HYPERLINK("#",""), HYPERLINK(CONCATENATE("#metadata!", ADDRESS(INDEX($AH$2:$AH$1001,MATCH(ROWS($AF$2:AF96),$AF$2:$AF$1001,0),0), INDEX($AM$1004:$BM$1004,1,MATCH(COLUMNS($AM$1006:BE1006),$AM$1006:$BM$1006,0)))),"Fix")))</f>
        <v xml:space="preserve"> </v>
      </c>
      <c r="U96" s="4" t="str">
        <f ca="1">IF(OR(INDEX($AG$2:$AG$1001,MATCH(ROWS($AF$2:AF96),$AF$2:$AF$1001,0),1)&gt;=100000,INDEX($AM$1005:$BM$1005,1,MATCH(COLUMNS($AM$1006:BF1006),$AM$1006:$BM$1006,0))&gt;=100000), " ",IF(INDEX($AM$2:$BM$1001,MATCH(ROWS($AF$2:AF96),$AF$2:$AF$1001,0),MATCH(COLUMNS($AM$1006:BF1006),$AM$1006:$BM$1006,0)), HYPERLINK("#",""), HYPERLINK(CONCATENATE("#metadata!", ADDRESS(INDEX($AH$2:$AH$1001,MATCH(ROWS($AF$2:AF96),$AF$2:$AF$1001,0),0), INDEX($AM$1004:$BM$1004,1,MATCH(COLUMNS($AM$1006:BF1006),$AM$1006:$BM$1006,0)))),"Fix")))</f>
        <v xml:space="preserve"> </v>
      </c>
      <c r="V96" s="4" t="str">
        <f ca="1">IF(OR(INDEX($AG$2:$AG$1001,MATCH(ROWS($AF$2:AF96),$AF$2:$AF$1001,0),1)&gt;=100000,INDEX($AM$1005:$BM$1005,1,MATCH(COLUMNS($AM$1006:BG1006),$AM$1006:$BM$1006,0))&gt;=100000), " ",IF(INDEX($AM$2:$BM$1001,MATCH(ROWS($AF$2:AF96),$AF$2:$AF$1001,0),MATCH(COLUMNS($AM$1006:BG1006),$AM$1006:$BM$1006,0)), HYPERLINK("#",""), HYPERLINK(CONCATENATE("#metadata!", ADDRESS(INDEX($AH$2:$AH$1001,MATCH(ROWS($AF$2:AF96),$AF$2:$AF$1001,0),0), INDEX($AM$1004:$BM$1004,1,MATCH(COLUMNS($AM$1006:BG1006),$AM$1006:$BM$1006,0)))),"Fix")))</f>
        <v xml:space="preserve"> </v>
      </c>
      <c r="W96" s="4" t="str">
        <f ca="1">IF(OR(INDEX($AG$2:$AG$1001,MATCH(ROWS($AF$2:AF96),$AF$2:$AF$1001,0),1)&gt;=100000,INDEX($AM$1005:$BM$1005,1,MATCH(COLUMNS($AM$1006:BH1006),$AM$1006:$BM$1006,0))&gt;=100000), " ",IF(INDEX($AM$2:$BM$1001,MATCH(ROWS($AF$2:AF96),$AF$2:$AF$1001,0),MATCH(COLUMNS($AM$1006:BH1006),$AM$1006:$BM$1006,0)), HYPERLINK("#",""), HYPERLINK(CONCATENATE("#metadata!", ADDRESS(INDEX($AH$2:$AH$1001,MATCH(ROWS($AF$2:AF96),$AF$2:$AF$1001,0),0), INDEX($AM$1004:$BM$1004,1,MATCH(COLUMNS($AM$1006:BH1006),$AM$1006:$BM$1006,0)))),"Fix")))</f>
        <v xml:space="preserve"> </v>
      </c>
      <c r="X96" s="4" t="str">
        <f ca="1">IF(OR(INDEX($AG$2:$AG$1001,MATCH(ROWS($AF$2:AF96),$AF$2:$AF$1001,0),1)&gt;=100000,INDEX($AM$1005:$BM$1005,1,MATCH(COLUMNS($AM$1006:BI1006),$AM$1006:$BM$1006,0))&gt;=100000), " ",IF(INDEX($AM$2:$BM$1001,MATCH(ROWS($AF$2:AF96),$AF$2:$AF$1001,0),MATCH(COLUMNS($AM$1006:BI1006),$AM$1006:$BM$1006,0)), HYPERLINK("#",""), HYPERLINK(CONCATENATE("#metadata!", ADDRESS(INDEX($AH$2:$AH$1001,MATCH(ROWS($AF$2:AF96),$AF$2:$AF$1001,0),0), INDEX($AM$1004:$BM$1004,1,MATCH(COLUMNS($AM$1006:BI1006),$AM$1006:$BM$1006,0)))),"Fix")))</f>
        <v xml:space="preserve"> </v>
      </c>
      <c r="Y96" s="4" t="str">
        <f ca="1">IF(OR(INDEX($AG$2:$AG$1001,MATCH(ROWS($AF$2:AF96),$AF$2:$AF$1001,0),1)&gt;=100000,INDEX($AM$1005:$BM$1005,1,MATCH(COLUMNS($AM$1006:BJ1006),$AM$1006:$BM$1006,0))&gt;=100000), " ",IF(INDEX($AM$2:$BM$1001,MATCH(ROWS($AF$2:AF96),$AF$2:$AF$1001,0),MATCH(COLUMNS($AM$1006:BJ1006),$AM$1006:$BM$1006,0)), HYPERLINK("#",""), HYPERLINK(CONCATENATE("#metadata!", ADDRESS(INDEX($AH$2:$AH$1001,MATCH(ROWS($AF$2:AF96),$AF$2:$AF$1001,0),0), INDEX($AM$1004:$BM$1004,1,MATCH(COLUMNS($AM$1006:BJ1006),$AM$1006:$BM$1006,0)))),"Fix")))</f>
        <v xml:space="preserve"> </v>
      </c>
      <c r="Z96" s="4" t="str">
        <f ca="1">IF(OR(INDEX($AG$2:$AG$1001,MATCH(ROWS($AF$2:AF96),$AF$2:$AF$1001,0),1)&gt;=100000,INDEX($AM$1005:$BM$1005,1,MATCH(COLUMNS($AM$1006:BK1006),$AM$1006:$BM$1006,0))&gt;=100000), " ",IF(INDEX($AM$2:$BM$1001,MATCH(ROWS($AF$2:AF96),$AF$2:$AF$1001,0),MATCH(COLUMNS($AM$1006:BK1006),$AM$1006:$BM$1006,0)), HYPERLINK("#",""), HYPERLINK(CONCATENATE("#metadata!", ADDRESS(INDEX($AH$2:$AH$1001,MATCH(ROWS($AF$2:AF96),$AF$2:$AF$1001,0),0), INDEX($AM$1004:$BM$1004,1,MATCH(COLUMNS($AM$1006:BK1006),$AM$1006:$BM$1006,0)))),"Fix")))</f>
        <v xml:space="preserve"> </v>
      </c>
      <c r="AA96" s="4" t="str">
        <f ca="1">IF(OR(INDEX($AG$2:$AG$1001,MATCH(ROWS($AF$2:AF96),$AF$2:$AF$1001,0),1)&gt;=100000,INDEX($AM$1005:$BM$1005,1,MATCH(COLUMNS($AM$1006:BL1006),$AM$1006:$BM$1006,0))&gt;=100000), " ",IF(INDEX($AM$2:$BM$1001,MATCH(ROWS($AF$2:AF96),$AF$2:$AF$1001,0),MATCH(COLUMNS($AM$1006:BL1006),$AM$1006:$BM$1006,0)), HYPERLINK("#",""), HYPERLINK(CONCATENATE("#metadata!", ADDRESS(INDEX($AH$2:$AH$1001,MATCH(ROWS($AF$2:AF96),$AF$2:$AF$1001,0),0), INDEX($AM$1004:$BM$1004,1,MATCH(COLUMNS($AM$1006:BL1006),$AM$1006:$BM$1006,0)))),"Fix")))</f>
        <v xml:space="preserve"> </v>
      </c>
      <c r="AB96" s="4" t="str">
        <f ca="1">IF(OR(INDEX($AG$2:$AG$1001,MATCH(ROWS($AF$2:AF96),$AF$2:$AF$1001,0),1)&gt;=100000,INDEX($AM$1005:$BM$1005,1,MATCH(COLUMNS($AM$1006:BM1006),$AM$1006:$BM$1006,0))&gt;=100000), " ",IF(INDEX($AM$2:$BM$1001,MATCH(ROWS($AF$2:AF96),$AF$2:$AF$1001,0),MATCH(COLUMNS($AM$1006:BM1006),$AM$1006:$BM$1006,0)), HYPERLINK("#",""), HYPERLINK(CONCATENATE("#metadata!", ADDRESS(INDEX($AH$2:$AH$1001,MATCH(ROWS($AF$2:AF96),$AF$2:$AF$1001,0),0), INDEX($AM$1004:$BM$1004,1,MATCH(COLUMNS($AM$1006:BM1006),$AM$1006:$BM$1006,0)))),"Fix")))</f>
        <v xml:space="preserve"> </v>
      </c>
      <c r="AF96">
        <v>95</v>
      </c>
      <c r="AG96">
        <v>100096</v>
      </c>
      <c r="AH96">
        <v>96</v>
      </c>
      <c r="AI96" t="b">
        <f t="shared" si="1"/>
        <v>1</v>
      </c>
      <c r="AJ96" t="b">
        <f>COUNTBLANK(metadata!B96:AB96)=COLUMNS(metadata!B96:AB96)</f>
        <v>1</v>
      </c>
      <c r="AK96" t="str">
        <v/>
      </c>
      <c r="AM96" t="b">
        <f ca="1">AND(IF(metadata!B96="",FALSE,TRUE),COUNTIF(metadata!B:B, metadata!B96) = 1,NOT(ISERROR(SUMPRODUCT(SEARCH(MID(metadata!B96,ROW(INDIRECT("1:"&amp;LEN(metadata!B96))), 1),"0123456789abcdefghijklmnopqrstuvwxyzABCDEFGHIJKLMNOPQRSTUVWXYZ.")))))</f>
        <v>0</v>
      </c>
      <c r="AN96" t="b">
        <f ca="1">OR(AND(IF(metadata!C96="",FALSE,TRUE),OR(EXACT(metadata!C96,"missing: not collected"),EXACT(metadata!C96,"missing: not provided"),EXACT(metadata!C96,"missing: restricted access"))),AND(IF(metadata!C96="",FALSE,TRUE),AND(AND(IFERROR(INT(LEFT(metadata!C96,4))&gt;1900,FALSE),IFERROR(INT(LEFT(metadata!C96,4))&lt;=YEAR(NOW()),FALSE)), OR(MID(metadata!C96,5,1)="", AND(AND(MID(metadata!C96,5,1)="-",IFERROR(INT(MID(metadata!C96,6,1))&gt;=0,FALSE),IFERROR(INT(MID(metadata!C96,6,1))&lt;=1,FALSE),NOT(MID(metadata!C96,7,1)=""),IFERROR(INT(MID(metadata!C96,6,2))&gt;=1,FALSE),IFERROR(INT(MID(metadata!C96,6,2))&lt;=12,FALSE)), OR(MID(metadata!C96,8,1)="", AND(AND(MID(metadata!C96,8,1)="-",IFERROR(INT(MID(metadata!C96,9,1))&gt;=0,FALSE),IFERROR(INT(MID(metadata!C96,9,1))&lt;=3,FALSE),NOT(MID(metadata!C96,10,1)=""),IFERROR(INT(MID(metadata!C96,9,2))&gt;=1,FALSE),IFERROR(INT(MID(metadata!C96,9,2))&lt;=31,FALSE)), OR(MID(metadata!C96,11,1)="", AND(AND(MID(metadata!C96,11,1)=" ",IFERROR(INT(MID(metadata!C96,12,1))&gt;=0,FALSE),IFERROR(INT(MID(metadata!C96,12,1))&lt;=2,FALSE),NOT(MID(metadata!C96,13,1)=""),IFERROR(INT(MID(metadata!C96,12,2))&gt;=0,FALSE),IFERROR(INT(MID(metadata!C96,12,2))&lt;=23,FALSE)), OR(MID(metadata!C96,14,1)="", AND(AND(MID(metadata!C96,14,1)=":",IFERROR(INT(MID(metadata!C96,15,1))&gt;=0,FALSE),IFERROR(INT(MID(metadata!C96,15,1))&lt;=5,FALSE),NOT(MID(metadata!C96,16,1)=""),IFERROR(INT(MID(metadata!C96,15,2))&gt;=0,FALSE),IFERROR(INT(MID(metadata!C96,15,2))&lt;=59,FALSE)), OR(MID(metadata!C96,17,1)="", AND(AND(MID(metadata!C96,17,1)=":",IFERROR(INT(MID(metadata!C96,18,1))&gt;=0,FALSE),IFERROR(INT(MID(metadata!C96,18,1))&lt;=5,FALSE),NOT(MID(metadata!C96,19,1)=""),IFERROR(INT(MID(metadata!C96,18,2))&gt;=0,FALSE),IFERROR(INT(MID(metadata!C96,18,2))&lt;=59,FALSE)), LEN(metadata!C96)&lt;=19)))))))))))))</f>
        <v>0</v>
      </c>
      <c r="AO96" t="b">
        <f>AND(IF(metadata!D96="",FALSE,TRUE),EXACT(metadata!D96,"Not applicable"))</f>
        <v>0</v>
      </c>
      <c r="AP96" t="b">
        <f>IF(metadata!E96="",FALSE,TRUE)</f>
        <v>0</v>
      </c>
      <c r="AQ96" t="b">
        <f>OR(AND(IF(metadata!F96="",FALSE,TRUE),OR(EXACT(metadata!F96,"missing: not collected"),EXACT(metadata!F96,"missing: not provided"))),AND(IF(metadata!F96="",FALSE,TRUE),OR(EXACT(metadata!F96,"TRUE"),EXACT(metadata!F96,"FALSE"))))</f>
        <v>0</v>
      </c>
      <c r="AR96" t="b">
        <f>OR(AND(IF(metadata!G96="",FALSE,TRUE),OR(EXACT(metadata!G96,"missing: not collected"),EXACT(metadata!G96,"missing: not provided"),EXACT(metadata!G96,"missing: restricted access"))),AND(IF(metadata!G96="",FALSE,ISNUMBER(VALUE(metadata!G96))),metadata!G96&gt;=-413))</f>
        <v>0</v>
      </c>
      <c r="AS96" t="b">
        <f>AND(IF(metadata!H96="",FALSE,TRUE),EXACT(metadata!H96,"meters"))</f>
        <v>0</v>
      </c>
      <c r="AT96" t="b">
        <f>AND(IF(metadata!I96="",FALSE,TRUE),OR(EXACT(metadata!I96,"Host-associated"),EXACT(metadata!I96,"Free-living")))</f>
        <v>0</v>
      </c>
      <c r="AU96" t="b">
        <f>AND(IF(metadata!J96="",FALSE,TRUE),OR(EXACT(metadata!J96,"Animal"),EXACT(metadata!J96,"Fungus"),EXACT(metadata!J96,"Plant"),EXACT(metadata!J96,"Saline"),EXACT(metadata!J96,"Non-saline")))</f>
        <v>0</v>
      </c>
      <c r="AV96" t="b">
        <f>AND(IF(metadata!K96="",FALSE,TRUE),OR(EXACT(metadata!K96,"Plant secretion"),EXACT(metadata!K96,"Plant rhizosphere"),EXACT(metadata!K96,"Plant surface"),EXACT(metadata!K96,"Plant corpus"),EXACT(metadata!K96,"Fungus surface"),EXACT(metadata!K96,"Fungus corpus"),EXACT(metadata!K96,"Animal surface"),EXACT(metadata!K96,"Animal proximal gut"),EXACT(metadata!K96,"Animal corpus"),EXACT(metadata!K96,"Animal distal gut"),EXACT(metadata!K96,"Animal secretion"),EXACT(metadata!K96,"Sub-surface (non-saline)"),EXACT(metadata!K96,"Surface (non-saline)"),EXACT(metadata!K96,"Water (non-saline)"),EXACT(metadata!K96,"Soil (non-saline)"),EXACT(metadata!K96,"Aerosol (non-saline)"),EXACT(metadata!K96,"Sediment (non-saline)"),EXACT(metadata!K96,"Surface (saline)"),EXACT(metadata!K96,"Water (saline)"),EXACT(metadata!K96,"Hypersaline (saline)"),EXACT(metadata!K96,"Aerosol (saline)"),EXACT(metadata!K96,"Sediment (saline)")))</f>
        <v>0</v>
      </c>
      <c r="AW96" t="b">
        <f>IF(metadata!L96="",FALSE,TRUE)</f>
        <v>0</v>
      </c>
      <c r="AX96" t="b">
        <f>IF(metadata!M96="",FALSE,TRUE)</f>
        <v>0</v>
      </c>
      <c r="AY96" t="b">
        <f>IF(metadata!N96="",FALSE,TRUE)</f>
        <v>0</v>
      </c>
      <c r="AZ96" t="b">
        <f>OR(AND(IF(metadata!O96="",FALSE,TRUE),OR(EXACT(metadata!O96,"missing: not collected"),EXACT(metadata!O96,"missing: not provided"),EXACT(metadata!O96,"missing: restricted access"))),AND(IF(metadata!O96="",FALSE,TRUE),OR(EXACT(metadata!O96,"air"),EXACT(metadata!O96,"built environment"),EXACT(metadata!O96,"host-associated"),EXACT(metadata!O96,"human-associated"),EXACT(metadata!O96,"human-skin"),EXACT(metadata!O96,"human-oral"),EXACT(metadata!O96,"human-gut"),EXACT(metadata!O96,"human-vaginal"),EXACT(metadata!O96,"microbial mat/biofilm"),EXACT(metadata!O96,"misc environment"),EXACT(metadata!O96,"plant-associated"),EXACT(metadata!O96,"sediment"),EXACT(metadata!O96,"soil"),EXACT(metadata!O96,"wastewater/sludge"),EXACT(metadata!O96,"water"))))</f>
        <v>0</v>
      </c>
      <c r="BA96" t="b">
        <f>IF(metadata!P96="",FALSE,TRUE)</f>
        <v>0</v>
      </c>
      <c r="BB96" t="b">
        <f>IF(metadata!Q96="",FALSE,TRUE)</f>
        <v>0</v>
      </c>
      <c r="BC96" t="b">
        <f>OR(AND(IF(metadata!R96="",FALSE,TRUE),OR(EXACT(metadata!R96,"missing: not collected"),EXACT(metadata!R96,"missing: not provided"),EXACT(metadata!R96,"missing: restricted access"))),AND(IF(metadata!R96="",FALSE,ISNUMBER(VALUE(metadata!R96))),metadata!R96&gt;=-90,metadata!R96&lt;=90))</f>
        <v>0</v>
      </c>
      <c r="BD96" t="b">
        <f>AND(IF(metadata!S96="",FALSE,TRUE),EXACT(metadata!S96,"Decimal degrees"))</f>
        <v>0</v>
      </c>
      <c r="BE96" t="b">
        <f>OR(AND(IF(metadata!T96="",FALSE,TRUE),OR(EXACT(metadata!T96,"missing: not collected"),EXACT(metadata!T96,"missing: not provided"),EXACT(metadata!T96,"missing: restricted access"))),AND(IF(metadata!T96="",FALSE,ISNUMBER(VALUE(metadata!T96))),metadata!T96&gt;=-180,metadata!T96&lt;=180))</f>
        <v>0</v>
      </c>
      <c r="BF96" t="b">
        <f>AND(IF(metadata!U96="",FALSE,TRUE),EXACT(metadata!U96,"Decimal degrees"))</f>
        <v>0</v>
      </c>
      <c r="BG96" t="b">
        <f>IF(metadata!V96="",FALSE,TRUE)</f>
        <v>0</v>
      </c>
      <c r="BH96" t="b">
        <f>OR(AND(IF(metadata!W96="",FALSE,TRUE),OR(EXACT(metadata!W96,"missing: not collected"),EXACT(metadata!W96,"missing: not provided"),EXACT(metadata!W96,"missing: restricted access"))),AND(IF(metadata!W96="",FALSE,TRUE),OR(EXACT(metadata!W96,"TRUE"),EXACT(metadata!W96,"FALSE"))))</f>
        <v>0</v>
      </c>
      <c r="BI96" t="b">
        <f>AND(IF(metadata!X96="",FALSE,TRUE),EXACT(metadata!X96,"other"))</f>
        <v>0</v>
      </c>
      <c r="BJ96" t="b">
        <f>IF(metadata!Y96="",FALSE,TRUE)</f>
        <v>0</v>
      </c>
      <c r="BK96" t="b">
        <f>OR(AND(IF(metadata!Z96="",FALSE,TRUE),OR(EXACT(metadata!Z96,"missing: not collected"),EXACT(metadata!Z96,"missing: not provided"))),AND(IF(metadata!Z96="",FALSE,IF(ISERROR(INT(metadata!Z96)),FALSE,INT(metadata!Z96)=metadata!Z96)),metadata!Z96&gt;0))</f>
        <v>0</v>
      </c>
      <c r="BL96" t="b">
        <f>AND(IF(metadata!AA96="",FALSE,TRUE),EXACT(metadata!AA96,"Not applicable"))</f>
        <v>0</v>
      </c>
      <c r="BM96" t="b">
        <f>IF(metadata!AB96="",FALSE,TRUE)</f>
        <v>0</v>
      </c>
    </row>
    <row r="97" spans="1:65" x14ac:dyDescent="0.2">
      <c r="A97" s="5" t="str">
        <f ca="1">IF(B97=" "," ",HYPERLINK(CONCATENATE("#metadata!",ADDRESS(INDEX($AH$2:$AH$1001,MATCH(ROWS($AF$2:AF97),$AF$2:$AF$1001,0),0),1)),INDEX($AK$2:$AK$1001,MATCH(ROWS($AF$2:AF97),$AF$2:$AF$1001,0),0)))</f>
        <v xml:space="preserve"> </v>
      </c>
      <c r="B97" s="4" t="str">
        <f ca="1">IF(OR(INDEX($AG$2:$AG$1001,MATCH(ROWS($AF$2:AF97),$AF$2:$AF$1001,0),1)&gt;=100000,INDEX($AM$1005:$BM$1005,1,MATCH(COLUMNS($AM$1006:AM1006),$AM$1006:$BM$1006,0))&gt;=100000), " ",IF(INDEX($AM$2:$BM$1001,MATCH(ROWS($AF$2:AF97),$AF$2:$AF$1001,0),MATCH(COLUMNS($AM$1006:AM1006),$AM$1006:$BM$1006,0)), HYPERLINK("#",""), HYPERLINK(CONCATENATE("#metadata!", ADDRESS(INDEX($AH$2:$AH$1001,MATCH(ROWS($AF$2:AF97),$AF$2:$AF$1001,0),0), INDEX($AM$1004:$BM$1004,1,MATCH(COLUMNS($AM$1006:AM1006),$AM$1006:$BM$1006,0)))),"Fix")))</f>
        <v xml:space="preserve"> </v>
      </c>
      <c r="C97" s="4" t="str">
        <f ca="1">IF(OR(INDEX($AG$2:$AG$1001,MATCH(ROWS($AF$2:AF97),$AF$2:$AF$1001,0),1)&gt;=100000,INDEX($AM$1005:$BM$1005,1,MATCH(COLUMNS($AM$1006:AN1006),$AM$1006:$BM$1006,0))&gt;=100000), " ",IF(INDEX($AM$2:$BM$1001,MATCH(ROWS($AF$2:AF97),$AF$2:$AF$1001,0),MATCH(COLUMNS($AM$1006:AN1006),$AM$1006:$BM$1006,0)), HYPERLINK("#",""), HYPERLINK(CONCATENATE("#metadata!", ADDRESS(INDEX($AH$2:$AH$1001,MATCH(ROWS($AF$2:AF97),$AF$2:$AF$1001,0),0), INDEX($AM$1004:$BM$1004,1,MATCH(COLUMNS($AM$1006:AN1006),$AM$1006:$BM$1006,0)))),"Fix")))</f>
        <v xml:space="preserve"> </v>
      </c>
      <c r="D97" s="4" t="str">
        <f ca="1">IF(OR(INDEX($AG$2:$AG$1001,MATCH(ROWS($AF$2:AF97),$AF$2:$AF$1001,0),1)&gt;=100000,INDEX($AM$1005:$BM$1005,1,MATCH(COLUMNS($AM$1006:AO1006),$AM$1006:$BM$1006,0))&gt;=100000), " ",IF(INDEX($AM$2:$BM$1001,MATCH(ROWS($AF$2:AF97),$AF$2:$AF$1001,0),MATCH(COLUMNS($AM$1006:AO1006),$AM$1006:$BM$1006,0)), HYPERLINK("#",""), HYPERLINK(CONCATENATE("#metadata!", ADDRESS(INDEX($AH$2:$AH$1001,MATCH(ROWS($AF$2:AF97),$AF$2:$AF$1001,0),0), INDEX($AM$1004:$BM$1004,1,MATCH(COLUMNS($AM$1006:AO1006),$AM$1006:$BM$1006,0)))),"Fix")))</f>
        <v xml:space="preserve"> </v>
      </c>
      <c r="E97" s="4" t="str">
        <f ca="1">IF(OR(INDEX($AG$2:$AG$1001,MATCH(ROWS($AF$2:AF97),$AF$2:$AF$1001,0),1)&gt;=100000,INDEX($AM$1005:$BM$1005,1,MATCH(COLUMNS($AM$1006:AP1006),$AM$1006:$BM$1006,0))&gt;=100000), " ",IF(INDEX($AM$2:$BM$1001,MATCH(ROWS($AF$2:AF97),$AF$2:$AF$1001,0),MATCH(COLUMNS($AM$1006:AP1006),$AM$1006:$BM$1006,0)), HYPERLINK("#",""), HYPERLINK(CONCATENATE("#metadata!", ADDRESS(INDEX($AH$2:$AH$1001,MATCH(ROWS($AF$2:AF97),$AF$2:$AF$1001,0),0), INDEX($AM$1004:$BM$1004,1,MATCH(COLUMNS($AM$1006:AP1006),$AM$1006:$BM$1006,0)))),"Fix")))</f>
        <v xml:space="preserve"> </v>
      </c>
      <c r="F97" s="4" t="str">
        <f ca="1">IF(OR(INDEX($AG$2:$AG$1001,MATCH(ROWS($AF$2:AF97),$AF$2:$AF$1001,0),1)&gt;=100000,INDEX($AM$1005:$BM$1005,1,MATCH(COLUMNS($AM$1006:AQ1006),$AM$1006:$BM$1006,0))&gt;=100000), " ",IF(INDEX($AM$2:$BM$1001,MATCH(ROWS($AF$2:AF97),$AF$2:$AF$1001,0),MATCH(COLUMNS($AM$1006:AQ1006),$AM$1006:$BM$1006,0)), HYPERLINK("#",""), HYPERLINK(CONCATENATE("#metadata!", ADDRESS(INDEX($AH$2:$AH$1001,MATCH(ROWS($AF$2:AF97),$AF$2:$AF$1001,0),0), INDEX($AM$1004:$BM$1004,1,MATCH(COLUMNS($AM$1006:AQ1006),$AM$1006:$BM$1006,0)))),"Fix")))</f>
        <v xml:space="preserve"> </v>
      </c>
      <c r="G97" s="4" t="str">
        <f ca="1">IF(OR(INDEX($AG$2:$AG$1001,MATCH(ROWS($AF$2:AF97),$AF$2:$AF$1001,0),1)&gt;=100000,INDEX($AM$1005:$BM$1005,1,MATCH(COLUMNS($AM$1006:AR1006),$AM$1006:$BM$1006,0))&gt;=100000), " ",IF(INDEX($AM$2:$BM$1001,MATCH(ROWS($AF$2:AF97),$AF$2:$AF$1001,0),MATCH(COLUMNS($AM$1006:AR1006),$AM$1006:$BM$1006,0)), HYPERLINK("#",""), HYPERLINK(CONCATENATE("#metadata!", ADDRESS(INDEX($AH$2:$AH$1001,MATCH(ROWS($AF$2:AF97),$AF$2:$AF$1001,0),0), INDEX($AM$1004:$BM$1004,1,MATCH(COLUMNS($AM$1006:AR1006),$AM$1006:$BM$1006,0)))),"Fix")))</f>
        <v xml:space="preserve"> </v>
      </c>
      <c r="H97" s="4" t="str">
        <f ca="1">IF(OR(INDEX($AG$2:$AG$1001,MATCH(ROWS($AF$2:AF97),$AF$2:$AF$1001,0),1)&gt;=100000,INDEX($AM$1005:$BM$1005,1,MATCH(COLUMNS($AM$1006:AS1006),$AM$1006:$BM$1006,0))&gt;=100000), " ",IF(INDEX($AM$2:$BM$1001,MATCH(ROWS($AF$2:AF97),$AF$2:$AF$1001,0),MATCH(COLUMNS($AM$1006:AS1006),$AM$1006:$BM$1006,0)), HYPERLINK("#",""), HYPERLINK(CONCATENATE("#metadata!", ADDRESS(INDEX($AH$2:$AH$1001,MATCH(ROWS($AF$2:AF97),$AF$2:$AF$1001,0),0), INDEX($AM$1004:$BM$1004,1,MATCH(COLUMNS($AM$1006:AS1006),$AM$1006:$BM$1006,0)))),"Fix")))</f>
        <v xml:space="preserve"> </v>
      </c>
      <c r="I97" s="4" t="str">
        <f ca="1">IF(OR(INDEX($AG$2:$AG$1001,MATCH(ROWS($AF$2:AF97),$AF$2:$AF$1001,0),1)&gt;=100000,INDEX($AM$1005:$BM$1005,1,MATCH(COLUMNS($AM$1006:AT1006),$AM$1006:$BM$1006,0))&gt;=100000), " ",IF(INDEX($AM$2:$BM$1001,MATCH(ROWS($AF$2:AF97),$AF$2:$AF$1001,0),MATCH(COLUMNS($AM$1006:AT1006),$AM$1006:$BM$1006,0)), HYPERLINK("#",""), HYPERLINK(CONCATENATE("#metadata!", ADDRESS(INDEX($AH$2:$AH$1001,MATCH(ROWS($AF$2:AF97),$AF$2:$AF$1001,0),0), INDEX($AM$1004:$BM$1004,1,MATCH(COLUMNS($AM$1006:AT1006),$AM$1006:$BM$1006,0)))),"Fix")))</f>
        <v xml:space="preserve"> </v>
      </c>
      <c r="J97" s="4" t="str">
        <f ca="1">IF(OR(INDEX($AG$2:$AG$1001,MATCH(ROWS($AF$2:AF97),$AF$2:$AF$1001,0),1)&gt;=100000,INDEX($AM$1005:$BM$1005,1,MATCH(COLUMNS($AM$1006:AU1006),$AM$1006:$BM$1006,0))&gt;=100000), " ",IF(INDEX($AM$2:$BM$1001,MATCH(ROWS($AF$2:AF97),$AF$2:$AF$1001,0),MATCH(COLUMNS($AM$1006:AU1006),$AM$1006:$BM$1006,0)), HYPERLINK("#",""), HYPERLINK(CONCATENATE("#metadata!", ADDRESS(INDEX($AH$2:$AH$1001,MATCH(ROWS($AF$2:AF97),$AF$2:$AF$1001,0),0), INDEX($AM$1004:$BM$1004,1,MATCH(COLUMNS($AM$1006:AU1006),$AM$1006:$BM$1006,0)))),"Fix")))</f>
        <v xml:space="preserve"> </v>
      </c>
      <c r="K97" s="4" t="str">
        <f ca="1">IF(OR(INDEX($AG$2:$AG$1001,MATCH(ROWS($AF$2:AF97),$AF$2:$AF$1001,0),1)&gt;=100000,INDEX($AM$1005:$BM$1005,1,MATCH(COLUMNS($AM$1006:AV1006),$AM$1006:$BM$1006,0))&gt;=100000), " ",IF(INDEX($AM$2:$BM$1001,MATCH(ROWS($AF$2:AF97),$AF$2:$AF$1001,0),MATCH(COLUMNS($AM$1006:AV1006),$AM$1006:$BM$1006,0)), HYPERLINK("#",""), HYPERLINK(CONCATENATE("#metadata!", ADDRESS(INDEX($AH$2:$AH$1001,MATCH(ROWS($AF$2:AF97),$AF$2:$AF$1001,0),0), INDEX($AM$1004:$BM$1004,1,MATCH(COLUMNS($AM$1006:AV1006),$AM$1006:$BM$1006,0)))),"Fix")))</f>
        <v xml:space="preserve"> </v>
      </c>
      <c r="L97" s="4" t="str">
        <f ca="1">IF(OR(INDEX($AG$2:$AG$1001,MATCH(ROWS($AF$2:AF97),$AF$2:$AF$1001,0),1)&gt;=100000,INDEX($AM$1005:$BM$1005,1,MATCH(COLUMNS($AM$1006:AW1006),$AM$1006:$BM$1006,0))&gt;=100000), " ",IF(INDEX($AM$2:$BM$1001,MATCH(ROWS($AF$2:AF97),$AF$2:$AF$1001,0),MATCH(COLUMNS($AM$1006:AW1006),$AM$1006:$BM$1006,0)), HYPERLINK("#",""), HYPERLINK(CONCATENATE("#metadata!", ADDRESS(INDEX($AH$2:$AH$1001,MATCH(ROWS($AF$2:AF97),$AF$2:$AF$1001,0),0), INDEX($AM$1004:$BM$1004,1,MATCH(COLUMNS($AM$1006:AW1006),$AM$1006:$BM$1006,0)))),"Fix")))</f>
        <v xml:space="preserve"> </v>
      </c>
      <c r="M97" s="4" t="str">
        <f ca="1">IF(OR(INDEX($AG$2:$AG$1001,MATCH(ROWS($AF$2:AF97),$AF$2:$AF$1001,0),1)&gt;=100000,INDEX($AM$1005:$BM$1005,1,MATCH(COLUMNS($AM$1006:AX1006),$AM$1006:$BM$1006,0))&gt;=100000), " ",IF(INDEX($AM$2:$BM$1001,MATCH(ROWS($AF$2:AF97),$AF$2:$AF$1001,0),MATCH(COLUMNS($AM$1006:AX1006),$AM$1006:$BM$1006,0)), HYPERLINK("#",""), HYPERLINK(CONCATENATE("#metadata!", ADDRESS(INDEX($AH$2:$AH$1001,MATCH(ROWS($AF$2:AF97),$AF$2:$AF$1001,0),0), INDEX($AM$1004:$BM$1004,1,MATCH(COLUMNS($AM$1006:AX1006),$AM$1006:$BM$1006,0)))),"Fix")))</f>
        <v xml:space="preserve"> </v>
      </c>
      <c r="N97" s="4" t="str">
        <f ca="1">IF(OR(INDEX($AG$2:$AG$1001,MATCH(ROWS($AF$2:AF97),$AF$2:$AF$1001,0),1)&gt;=100000,INDEX($AM$1005:$BM$1005,1,MATCH(COLUMNS($AM$1006:AY1006),$AM$1006:$BM$1006,0))&gt;=100000), " ",IF(INDEX($AM$2:$BM$1001,MATCH(ROWS($AF$2:AF97),$AF$2:$AF$1001,0),MATCH(COLUMNS($AM$1006:AY1006),$AM$1006:$BM$1006,0)), HYPERLINK("#",""), HYPERLINK(CONCATENATE("#metadata!", ADDRESS(INDEX($AH$2:$AH$1001,MATCH(ROWS($AF$2:AF97),$AF$2:$AF$1001,0),0), INDEX($AM$1004:$BM$1004,1,MATCH(COLUMNS($AM$1006:AY1006),$AM$1006:$BM$1006,0)))),"Fix")))</f>
        <v xml:space="preserve"> </v>
      </c>
      <c r="O97" s="4" t="str">
        <f ca="1">IF(OR(INDEX($AG$2:$AG$1001,MATCH(ROWS($AF$2:AF97),$AF$2:$AF$1001,0),1)&gt;=100000,INDEX($AM$1005:$BM$1005,1,MATCH(COLUMNS($AM$1006:AZ1006),$AM$1006:$BM$1006,0))&gt;=100000), " ",IF(INDEX($AM$2:$BM$1001,MATCH(ROWS($AF$2:AF97),$AF$2:$AF$1001,0),MATCH(COLUMNS($AM$1006:AZ1006),$AM$1006:$BM$1006,0)), HYPERLINK("#",""), HYPERLINK(CONCATENATE("#metadata!", ADDRESS(INDEX($AH$2:$AH$1001,MATCH(ROWS($AF$2:AF97),$AF$2:$AF$1001,0),0), INDEX($AM$1004:$BM$1004,1,MATCH(COLUMNS($AM$1006:AZ1006),$AM$1006:$BM$1006,0)))),"Fix")))</f>
        <v xml:space="preserve"> </v>
      </c>
      <c r="P97" s="4" t="str">
        <f ca="1">IF(OR(INDEX($AG$2:$AG$1001,MATCH(ROWS($AF$2:AF97),$AF$2:$AF$1001,0),1)&gt;=100000,INDEX($AM$1005:$BM$1005,1,MATCH(COLUMNS($AM$1006:BA1006),$AM$1006:$BM$1006,0))&gt;=100000), " ",IF(INDEX($AM$2:$BM$1001,MATCH(ROWS($AF$2:AF97),$AF$2:$AF$1001,0),MATCH(COLUMNS($AM$1006:BA1006),$AM$1006:$BM$1006,0)), HYPERLINK("#",""), HYPERLINK(CONCATENATE("#metadata!", ADDRESS(INDEX($AH$2:$AH$1001,MATCH(ROWS($AF$2:AF97),$AF$2:$AF$1001,0),0), INDEX($AM$1004:$BM$1004,1,MATCH(COLUMNS($AM$1006:BA1006),$AM$1006:$BM$1006,0)))),"Fix")))</f>
        <v xml:space="preserve"> </v>
      </c>
      <c r="Q97" s="4" t="str">
        <f ca="1">IF(OR(INDEX($AG$2:$AG$1001,MATCH(ROWS($AF$2:AF97),$AF$2:$AF$1001,0),1)&gt;=100000,INDEX($AM$1005:$BM$1005,1,MATCH(COLUMNS($AM$1006:BB1006),$AM$1006:$BM$1006,0))&gt;=100000), " ",IF(INDEX($AM$2:$BM$1001,MATCH(ROWS($AF$2:AF97),$AF$2:$AF$1001,0),MATCH(COLUMNS($AM$1006:BB1006),$AM$1006:$BM$1006,0)), HYPERLINK("#",""), HYPERLINK(CONCATENATE("#metadata!", ADDRESS(INDEX($AH$2:$AH$1001,MATCH(ROWS($AF$2:AF97),$AF$2:$AF$1001,0),0), INDEX($AM$1004:$BM$1004,1,MATCH(COLUMNS($AM$1006:BB1006),$AM$1006:$BM$1006,0)))),"Fix")))</f>
        <v xml:space="preserve"> </v>
      </c>
      <c r="R97" s="4" t="str">
        <f ca="1">IF(OR(INDEX($AG$2:$AG$1001,MATCH(ROWS($AF$2:AF97),$AF$2:$AF$1001,0),1)&gt;=100000,INDEX($AM$1005:$BM$1005,1,MATCH(COLUMNS($AM$1006:BC1006),$AM$1006:$BM$1006,0))&gt;=100000), " ",IF(INDEX($AM$2:$BM$1001,MATCH(ROWS($AF$2:AF97),$AF$2:$AF$1001,0),MATCH(COLUMNS($AM$1006:BC1006),$AM$1006:$BM$1006,0)), HYPERLINK("#",""), HYPERLINK(CONCATENATE("#metadata!", ADDRESS(INDEX($AH$2:$AH$1001,MATCH(ROWS($AF$2:AF97),$AF$2:$AF$1001,0),0), INDEX($AM$1004:$BM$1004,1,MATCH(COLUMNS($AM$1006:BC1006),$AM$1006:$BM$1006,0)))),"Fix")))</f>
        <v xml:space="preserve"> </v>
      </c>
      <c r="S97" s="4" t="str">
        <f ca="1">IF(OR(INDEX($AG$2:$AG$1001,MATCH(ROWS($AF$2:AF97),$AF$2:$AF$1001,0),1)&gt;=100000,INDEX($AM$1005:$BM$1005,1,MATCH(COLUMNS($AM$1006:BD1006),$AM$1006:$BM$1006,0))&gt;=100000), " ",IF(INDEX($AM$2:$BM$1001,MATCH(ROWS($AF$2:AF97),$AF$2:$AF$1001,0),MATCH(COLUMNS($AM$1006:BD1006),$AM$1006:$BM$1006,0)), HYPERLINK("#",""), HYPERLINK(CONCATENATE("#metadata!", ADDRESS(INDEX($AH$2:$AH$1001,MATCH(ROWS($AF$2:AF97),$AF$2:$AF$1001,0),0), INDEX($AM$1004:$BM$1004,1,MATCH(COLUMNS($AM$1006:BD1006),$AM$1006:$BM$1006,0)))),"Fix")))</f>
        <v xml:space="preserve"> </v>
      </c>
      <c r="T97" s="4" t="str">
        <f ca="1">IF(OR(INDEX($AG$2:$AG$1001,MATCH(ROWS($AF$2:AF97),$AF$2:$AF$1001,0),1)&gt;=100000,INDEX($AM$1005:$BM$1005,1,MATCH(COLUMNS($AM$1006:BE1006),$AM$1006:$BM$1006,0))&gt;=100000), " ",IF(INDEX($AM$2:$BM$1001,MATCH(ROWS($AF$2:AF97),$AF$2:$AF$1001,0),MATCH(COLUMNS($AM$1006:BE1006),$AM$1006:$BM$1006,0)), HYPERLINK("#",""), HYPERLINK(CONCATENATE("#metadata!", ADDRESS(INDEX($AH$2:$AH$1001,MATCH(ROWS($AF$2:AF97),$AF$2:$AF$1001,0),0), INDEX($AM$1004:$BM$1004,1,MATCH(COLUMNS($AM$1006:BE1006),$AM$1006:$BM$1006,0)))),"Fix")))</f>
        <v xml:space="preserve"> </v>
      </c>
      <c r="U97" s="4" t="str">
        <f ca="1">IF(OR(INDEX($AG$2:$AG$1001,MATCH(ROWS($AF$2:AF97),$AF$2:$AF$1001,0),1)&gt;=100000,INDEX($AM$1005:$BM$1005,1,MATCH(COLUMNS($AM$1006:BF1006),$AM$1006:$BM$1006,0))&gt;=100000), " ",IF(INDEX($AM$2:$BM$1001,MATCH(ROWS($AF$2:AF97),$AF$2:$AF$1001,0),MATCH(COLUMNS($AM$1006:BF1006),$AM$1006:$BM$1006,0)), HYPERLINK("#",""), HYPERLINK(CONCATENATE("#metadata!", ADDRESS(INDEX($AH$2:$AH$1001,MATCH(ROWS($AF$2:AF97),$AF$2:$AF$1001,0),0), INDEX($AM$1004:$BM$1004,1,MATCH(COLUMNS($AM$1006:BF1006),$AM$1006:$BM$1006,0)))),"Fix")))</f>
        <v xml:space="preserve"> </v>
      </c>
      <c r="V97" s="4" t="str">
        <f ca="1">IF(OR(INDEX($AG$2:$AG$1001,MATCH(ROWS($AF$2:AF97),$AF$2:$AF$1001,0),1)&gt;=100000,INDEX($AM$1005:$BM$1005,1,MATCH(COLUMNS($AM$1006:BG1006),$AM$1006:$BM$1006,0))&gt;=100000), " ",IF(INDEX($AM$2:$BM$1001,MATCH(ROWS($AF$2:AF97),$AF$2:$AF$1001,0),MATCH(COLUMNS($AM$1006:BG1006),$AM$1006:$BM$1006,0)), HYPERLINK("#",""), HYPERLINK(CONCATENATE("#metadata!", ADDRESS(INDEX($AH$2:$AH$1001,MATCH(ROWS($AF$2:AF97),$AF$2:$AF$1001,0),0), INDEX($AM$1004:$BM$1004,1,MATCH(COLUMNS($AM$1006:BG1006),$AM$1006:$BM$1006,0)))),"Fix")))</f>
        <v xml:space="preserve"> </v>
      </c>
      <c r="W97" s="4" t="str">
        <f ca="1">IF(OR(INDEX($AG$2:$AG$1001,MATCH(ROWS($AF$2:AF97),$AF$2:$AF$1001,0),1)&gt;=100000,INDEX($AM$1005:$BM$1005,1,MATCH(COLUMNS($AM$1006:BH1006),$AM$1006:$BM$1006,0))&gt;=100000), " ",IF(INDEX($AM$2:$BM$1001,MATCH(ROWS($AF$2:AF97),$AF$2:$AF$1001,0),MATCH(COLUMNS($AM$1006:BH1006),$AM$1006:$BM$1006,0)), HYPERLINK("#",""), HYPERLINK(CONCATENATE("#metadata!", ADDRESS(INDEX($AH$2:$AH$1001,MATCH(ROWS($AF$2:AF97),$AF$2:$AF$1001,0),0), INDEX($AM$1004:$BM$1004,1,MATCH(COLUMNS($AM$1006:BH1006),$AM$1006:$BM$1006,0)))),"Fix")))</f>
        <v xml:space="preserve"> </v>
      </c>
      <c r="X97" s="4" t="str">
        <f ca="1">IF(OR(INDEX($AG$2:$AG$1001,MATCH(ROWS($AF$2:AF97),$AF$2:$AF$1001,0),1)&gt;=100000,INDEX($AM$1005:$BM$1005,1,MATCH(COLUMNS($AM$1006:BI1006),$AM$1006:$BM$1006,0))&gt;=100000), " ",IF(INDEX($AM$2:$BM$1001,MATCH(ROWS($AF$2:AF97),$AF$2:$AF$1001,0),MATCH(COLUMNS($AM$1006:BI1006),$AM$1006:$BM$1006,0)), HYPERLINK("#",""), HYPERLINK(CONCATENATE("#metadata!", ADDRESS(INDEX($AH$2:$AH$1001,MATCH(ROWS($AF$2:AF97),$AF$2:$AF$1001,0),0), INDEX($AM$1004:$BM$1004,1,MATCH(COLUMNS($AM$1006:BI1006),$AM$1006:$BM$1006,0)))),"Fix")))</f>
        <v xml:space="preserve"> </v>
      </c>
      <c r="Y97" s="4" t="str">
        <f ca="1">IF(OR(INDEX($AG$2:$AG$1001,MATCH(ROWS($AF$2:AF97),$AF$2:$AF$1001,0),1)&gt;=100000,INDEX($AM$1005:$BM$1005,1,MATCH(COLUMNS($AM$1006:BJ1006),$AM$1006:$BM$1006,0))&gt;=100000), " ",IF(INDEX($AM$2:$BM$1001,MATCH(ROWS($AF$2:AF97),$AF$2:$AF$1001,0),MATCH(COLUMNS($AM$1006:BJ1006),$AM$1006:$BM$1006,0)), HYPERLINK("#",""), HYPERLINK(CONCATENATE("#metadata!", ADDRESS(INDEX($AH$2:$AH$1001,MATCH(ROWS($AF$2:AF97),$AF$2:$AF$1001,0),0), INDEX($AM$1004:$BM$1004,1,MATCH(COLUMNS($AM$1006:BJ1006),$AM$1006:$BM$1006,0)))),"Fix")))</f>
        <v xml:space="preserve"> </v>
      </c>
      <c r="Z97" s="4" t="str">
        <f ca="1">IF(OR(INDEX($AG$2:$AG$1001,MATCH(ROWS($AF$2:AF97),$AF$2:$AF$1001,0),1)&gt;=100000,INDEX($AM$1005:$BM$1005,1,MATCH(COLUMNS($AM$1006:BK1006),$AM$1006:$BM$1006,0))&gt;=100000), " ",IF(INDEX($AM$2:$BM$1001,MATCH(ROWS($AF$2:AF97),$AF$2:$AF$1001,0),MATCH(COLUMNS($AM$1006:BK1006),$AM$1006:$BM$1006,0)), HYPERLINK("#",""), HYPERLINK(CONCATENATE("#metadata!", ADDRESS(INDEX($AH$2:$AH$1001,MATCH(ROWS($AF$2:AF97),$AF$2:$AF$1001,0),0), INDEX($AM$1004:$BM$1004,1,MATCH(COLUMNS($AM$1006:BK1006),$AM$1006:$BM$1006,0)))),"Fix")))</f>
        <v xml:space="preserve"> </v>
      </c>
      <c r="AA97" s="4" t="str">
        <f ca="1">IF(OR(INDEX($AG$2:$AG$1001,MATCH(ROWS($AF$2:AF97),$AF$2:$AF$1001,0),1)&gt;=100000,INDEX($AM$1005:$BM$1005,1,MATCH(COLUMNS($AM$1006:BL1006),$AM$1006:$BM$1006,0))&gt;=100000), " ",IF(INDEX($AM$2:$BM$1001,MATCH(ROWS($AF$2:AF97),$AF$2:$AF$1001,0),MATCH(COLUMNS($AM$1006:BL1006),$AM$1006:$BM$1006,0)), HYPERLINK("#",""), HYPERLINK(CONCATENATE("#metadata!", ADDRESS(INDEX($AH$2:$AH$1001,MATCH(ROWS($AF$2:AF97),$AF$2:$AF$1001,0),0), INDEX($AM$1004:$BM$1004,1,MATCH(COLUMNS($AM$1006:BL1006),$AM$1006:$BM$1006,0)))),"Fix")))</f>
        <v xml:space="preserve"> </v>
      </c>
      <c r="AB97" s="4" t="str">
        <f ca="1">IF(OR(INDEX($AG$2:$AG$1001,MATCH(ROWS($AF$2:AF97),$AF$2:$AF$1001,0),1)&gt;=100000,INDEX($AM$1005:$BM$1005,1,MATCH(COLUMNS($AM$1006:BM1006),$AM$1006:$BM$1006,0))&gt;=100000), " ",IF(INDEX($AM$2:$BM$1001,MATCH(ROWS($AF$2:AF97),$AF$2:$AF$1001,0),MATCH(COLUMNS($AM$1006:BM1006),$AM$1006:$BM$1006,0)), HYPERLINK("#",""), HYPERLINK(CONCATENATE("#metadata!", ADDRESS(INDEX($AH$2:$AH$1001,MATCH(ROWS($AF$2:AF97),$AF$2:$AF$1001,0),0), INDEX($AM$1004:$BM$1004,1,MATCH(COLUMNS($AM$1006:BM1006),$AM$1006:$BM$1006,0)))),"Fix")))</f>
        <v xml:space="preserve"> </v>
      </c>
      <c r="AF97">
        <v>96</v>
      </c>
      <c r="AG97">
        <v>100097</v>
      </c>
      <c r="AH97">
        <v>97</v>
      </c>
      <c r="AI97" t="b">
        <f t="shared" si="1"/>
        <v>1</v>
      </c>
      <c r="AJ97" t="b">
        <f>COUNTBLANK(metadata!B97:AB97)=COLUMNS(metadata!B97:AB97)</f>
        <v>1</v>
      </c>
      <c r="AK97" t="str">
        <v/>
      </c>
      <c r="AM97" t="b">
        <f ca="1">AND(IF(metadata!B97="",FALSE,TRUE),COUNTIF(metadata!B:B, metadata!B97) = 1,NOT(ISERROR(SUMPRODUCT(SEARCH(MID(metadata!B97,ROW(INDIRECT("1:"&amp;LEN(metadata!B97))), 1),"0123456789abcdefghijklmnopqrstuvwxyzABCDEFGHIJKLMNOPQRSTUVWXYZ.")))))</f>
        <v>0</v>
      </c>
      <c r="AN97" t="b">
        <f ca="1">OR(AND(IF(metadata!C97="",FALSE,TRUE),OR(EXACT(metadata!C97,"missing: not collected"),EXACT(metadata!C97,"missing: not provided"),EXACT(metadata!C97,"missing: restricted access"))),AND(IF(metadata!C97="",FALSE,TRUE),AND(AND(IFERROR(INT(LEFT(metadata!C97,4))&gt;1900,FALSE),IFERROR(INT(LEFT(metadata!C97,4))&lt;=YEAR(NOW()),FALSE)), OR(MID(metadata!C97,5,1)="", AND(AND(MID(metadata!C97,5,1)="-",IFERROR(INT(MID(metadata!C97,6,1))&gt;=0,FALSE),IFERROR(INT(MID(metadata!C97,6,1))&lt;=1,FALSE),NOT(MID(metadata!C97,7,1)=""),IFERROR(INT(MID(metadata!C97,6,2))&gt;=1,FALSE),IFERROR(INT(MID(metadata!C97,6,2))&lt;=12,FALSE)), OR(MID(metadata!C97,8,1)="", AND(AND(MID(metadata!C97,8,1)="-",IFERROR(INT(MID(metadata!C97,9,1))&gt;=0,FALSE),IFERROR(INT(MID(metadata!C97,9,1))&lt;=3,FALSE),NOT(MID(metadata!C97,10,1)=""),IFERROR(INT(MID(metadata!C97,9,2))&gt;=1,FALSE),IFERROR(INT(MID(metadata!C97,9,2))&lt;=31,FALSE)), OR(MID(metadata!C97,11,1)="", AND(AND(MID(metadata!C97,11,1)=" ",IFERROR(INT(MID(metadata!C97,12,1))&gt;=0,FALSE),IFERROR(INT(MID(metadata!C97,12,1))&lt;=2,FALSE),NOT(MID(metadata!C97,13,1)=""),IFERROR(INT(MID(metadata!C97,12,2))&gt;=0,FALSE),IFERROR(INT(MID(metadata!C97,12,2))&lt;=23,FALSE)), OR(MID(metadata!C97,14,1)="", AND(AND(MID(metadata!C97,14,1)=":",IFERROR(INT(MID(metadata!C97,15,1))&gt;=0,FALSE),IFERROR(INT(MID(metadata!C97,15,1))&lt;=5,FALSE),NOT(MID(metadata!C97,16,1)=""),IFERROR(INT(MID(metadata!C97,15,2))&gt;=0,FALSE),IFERROR(INT(MID(metadata!C97,15,2))&lt;=59,FALSE)), OR(MID(metadata!C97,17,1)="", AND(AND(MID(metadata!C97,17,1)=":",IFERROR(INT(MID(metadata!C97,18,1))&gt;=0,FALSE),IFERROR(INT(MID(metadata!C97,18,1))&lt;=5,FALSE),NOT(MID(metadata!C97,19,1)=""),IFERROR(INT(MID(metadata!C97,18,2))&gt;=0,FALSE),IFERROR(INT(MID(metadata!C97,18,2))&lt;=59,FALSE)), LEN(metadata!C97)&lt;=19)))))))))))))</f>
        <v>0</v>
      </c>
      <c r="AO97" t="b">
        <f>AND(IF(metadata!D97="",FALSE,TRUE),EXACT(metadata!D97,"Not applicable"))</f>
        <v>0</v>
      </c>
      <c r="AP97" t="b">
        <f>IF(metadata!E97="",FALSE,TRUE)</f>
        <v>0</v>
      </c>
      <c r="AQ97" t="b">
        <f>OR(AND(IF(metadata!F97="",FALSE,TRUE),OR(EXACT(metadata!F97,"missing: not collected"),EXACT(metadata!F97,"missing: not provided"))),AND(IF(metadata!F97="",FALSE,TRUE),OR(EXACT(metadata!F97,"TRUE"),EXACT(metadata!F97,"FALSE"))))</f>
        <v>0</v>
      </c>
      <c r="AR97" t="b">
        <f>OR(AND(IF(metadata!G97="",FALSE,TRUE),OR(EXACT(metadata!G97,"missing: not collected"),EXACT(metadata!G97,"missing: not provided"),EXACT(metadata!G97,"missing: restricted access"))),AND(IF(metadata!G97="",FALSE,ISNUMBER(VALUE(metadata!G97))),metadata!G97&gt;=-413))</f>
        <v>0</v>
      </c>
      <c r="AS97" t="b">
        <f>AND(IF(metadata!H97="",FALSE,TRUE),EXACT(metadata!H97,"meters"))</f>
        <v>0</v>
      </c>
      <c r="AT97" t="b">
        <f>AND(IF(metadata!I97="",FALSE,TRUE),OR(EXACT(metadata!I97,"Host-associated"),EXACT(metadata!I97,"Free-living")))</f>
        <v>0</v>
      </c>
      <c r="AU97" t="b">
        <f>AND(IF(metadata!J97="",FALSE,TRUE),OR(EXACT(metadata!J97,"Animal"),EXACT(metadata!J97,"Fungus"),EXACT(metadata!J97,"Plant"),EXACT(metadata!J97,"Saline"),EXACT(metadata!J97,"Non-saline")))</f>
        <v>0</v>
      </c>
      <c r="AV97" t="b">
        <f>AND(IF(metadata!K97="",FALSE,TRUE),OR(EXACT(metadata!K97,"Plant secretion"),EXACT(metadata!K97,"Plant rhizosphere"),EXACT(metadata!K97,"Plant surface"),EXACT(metadata!K97,"Plant corpus"),EXACT(metadata!K97,"Fungus surface"),EXACT(metadata!K97,"Fungus corpus"),EXACT(metadata!K97,"Animal surface"),EXACT(metadata!K97,"Animal proximal gut"),EXACT(metadata!K97,"Animal corpus"),EXACT(metadata!K97,"Animal distal gut"),EXACT(metadata!K97,"Animal secretion"),EXACT(metadata!K97,"Sub-surface (non-saline)"),EXACT(metadata!K97,"Surface (non-saline)"),EXACT(metadata!K97,"Water (non-saline)"),EXACT(metadata!K97,"Soil (non-saline)"),EXACT(metadata!K97,"Aerosol (non-saline)"),EXACT(metadata!K97,"Sediment (non-saline)"),EXACT(metadata!K97,"Surface (saline)"),EXACT(metadata!K97,"Water (saline)"),EXACT(metadata!K97,"Hypersaline (saline)"),EXACT(metadata!K97,"Aerosol (saline)"),EXACT(metadata!K97,"Sediment (saline)")))</f>
        <v>0</v>
      </c>
      <c r="AW97" t="b">
        <f>IF(metadata!L97="",FALSE,TRUE)</f>
        <v>0</v>
      </c>
      <c r="AX97" t="b">
        <f>IF(metadata!M97="",FALSE,TRUE)</f>
        <v>0</v>
      </c>
      <c r="AY97" t="b">
        <f>IF(metadata!N97="",FALSE,TRUE)</f>
        <v>0</v>
      </c>
      <c r="AZ97" t="b">
        <f>OR(AND(IF(metadata!O97="",FALSE,TRUE),OR(EXACT(metadata!O97,"missing: not collected"),EXACT(metadata!O97,"missing: not provided"),EXACT(metadata!O97,"missing: restricted access"))),AND(IF(metadata!O97="",FALSE,TRUE),OR(EXACT(metadata!O97,"air"),EXACT(metadata!O97,"built environment"),EXACT(metadata!O97,"host-associated"),EXACT(metadata!O97,"human-associated"),EXACT(metadata!O97,"human-skin"),EXACT(metadata!O97,"human-oral"),EXACT(metadata!O97,"human-gut"),EXACT(metadata!O97,"human-vaginal"),EXACT(metadata!O97,"microbial mat/biofilm"),EXACT(metadata!O97,"misc environment"),EXACT(metadata!O97,"plant-associated"),EXACT(metadata!O97,"sediment"),EXACT(metadata!O97,"soil"),EXACT(metadata!O97,"wastewater/sludge"),EXACT(metadata!O97,"water"))))</f>
        <v>0</v>
      </c>
      <c r="BA97" t="b">
        <f>IF(metadata!P97="",FALSE,TRUE)</f>
        <v>0</v>
      </c>
      <c r="BB97" t="b">
        <f>IF(metadata!Q97="",FALSE,TRUE)</f>
        <v>0</v>
      </c>
      <c r="BC97" t="b">
        <f>OR(AND(IF(metadata!R97="",FALSE,TRUE),OR(EXACT(metadata!R97,"missing: not collected"),EXACT(metadata!R97,"missing: not provided"),EXACT(metadata!R97,"missing: restricted access"))),AND(IF(metadata!R97="",FALSE,ISNUMBER(VALUE(metadata!R97))),metadata!R97&gt;=-90,metadata!R97&lt;=90))</f>
        <v>0</v>
      </c>
      <c r="BD97" t="b">
        <f>AND(IF(metadata!S97="",FALSE,TRUE),EXACT(metadata!S97,"Decimal degrees"))</f>
        <v>0</v>
      </c>
      <c r="BE97" t="b">
        <f>OR(AND(IF(metadata!T97="",FALSE,TRUE),OR(EXACT(metadata!T97,"missing: not collected"),EXACT(metadata!T97,"missing: not provided"),EXACT(metadata!T97,"missing: restricted access"))),AND(IF(metadata!T97="",FALSE,ISNUMBER(VALUE(metadata!T97))),metadata!T97&gt;=-180,metadata!T97&lt;=180))</f>
        <v>0</v>
      </c>
      <c r="BF97" t="b">
        <f>AND(IF(metadata!U97="",FALSE,TRUE),EXACT(metadata!U97,"Decimal degrees"))</f>
        <v>0</v>
      </c>
      <c r="BG97" t="b">
        <f>IF(metadata!V97="",FALSE,TRUE)</f>
        <v>0</v>
      </c>
      <c r="BH97" t="b">
        <f>OR(AND(IF(metadata!W97="",FALSE,TRUE),OR(EXACT(metadata!W97,"missing: not collected"),EXACT(metadata!W97,"missing: not provided"),EXACT(metadata!W97,"missing: restricted access"))),AND(IF(metadata!W97="",FALSE,TRUE),OR(EXACT(metadata!W97,"TRUE"),EXACT(metadata!W97,"FALSE"))))</f>
        <v>0</v>
      </c>
      <c r="BI97" t="b">
        <f>AND(IF(metadata!X97="",FALSE,TRUE),EXACT(metadata!X97,"other"))</f>
        <v>0</v>
      </c>
      <c r="BJ97" t="b">
        <f>IF(metadata!Y97="",FALSE,TRUE)</f>
        <v>0</v>
      </c>
      <c r="BK97" t="b">
        <f>OR(AND(IF(metadata!Z97="",FALSE,TRUE),OR(EXACT(metadata!Z97,"missing: not collected"),EXACT(metadata!Z97,"missing: not provided"))),AND(IF(metadata!Z97="",FALSE,IF(ISERROR(INT(metadata!Z97)),FALSE,INT(metadata!Z97)=metadata!Z97)),metadata!Z97&gt;0))</f>
        <v>0</v>
      </c>
      <c r="BL97" t="b">
        <f>AND(IF(metadata!AA97="",FALSE,TRUE),EXACT(metadata!AA97,"Not applicable"))</f>
        <v>0</v>
      </c>
      <c r="BM97" t="b">
        <f>IF(metadata!AB97="",FALSE,TRUE)</f>
        <v>0</v>
      </c>
    </row>
    <row r="98" spans="1:65" x14ac:dyDescent="0.2">
      <c r="A98" s="5" t="str">
        <f ca="1">IF(B98=" "," ",HYPERLINK(CONCATENATE("#metadata!",ADDRESS(INDEX($AH$2:$AH$1001,MATCH(ROWS($AF$2:AF98),$AF$2:$AF$1001,0),0),1)),INDEX($AK$2:$AK$1001,MATCH(ROWS($AF$2:AF98),$AF$2:$AF$1001,0),0)))</f>
        <v xml:space="preserve"> </v>
      </c>
      <c r="B98" s="4" t="str">
        <f ca="1">IF(OR(INDEX($AG$2:$AG$1001,MATCH(ROWS($AF$2:AF98),$AF$2:$AF$1001,0),1)&gt;=100000,INDEX($AM$1005:$BM$1005,1,MATCH(COLUMNS($AM$1006:AM1006),$AM$1006:$BM$1006,0))&gt;=100000), " ",IF(INDEX($AM$2:$BM$1001,MATCH(ROWS($AF$2:AF98),$AF$2:$AF$1001,0),MATCH(COLUMNS($AM$1006:AM1006),$AM$1006:$BM$1006,0)), HYPERLINK("#",""), HYPERLINK(CONCATENATE("#metadata!", ADDRESS(INDEX($AH$2:$AH$1001,MATCH(ROWS($AF$2:AF98),$AF$2:$AF$1001,0),0), INDEX($AM$1004:$BM$1004,1,MATCH(COLUMNS($AM$1006:AM1006),$AM$1006:$BM$1006,0)))),"Fix")))</f>
        <v xml:space="preserve"> </v>
      </c>
      <c r="C98" s="4" t="str">
        <f ca="1">IF(OR(INDEX($AG$2:$AG$1001,MATCH(ROWS($AF$2:AF98),$AF$2:$AF$1001,0),1)&gt;=100000,INDEX($AM$1005:$BM$1005,1,MATCH(COLUMNS($AM$1006:AN1006),$AM$1006:$BM$1006,0))&gt;=100000), " ",IF(INDEX($AM$2:$BM$1001,MATCH(ROWS($AF$2:AF98),$AF$2:$AF$1001,0),MATCH(COLUMNS($AM$1006:AN1006),$AM$1006:$BM$1006,0)), HYPERLINK("#",""), HYPERLINK(CONCATENATE("#metadata!", ADDRESS(INDEX($AH$2:$AH$1001,MATCH(ROWS($AF$2:AF98),$AF$2:$AF$1001,0),0), INDEX($AM$1004:$BM$1004,1,MATCH(COLUMNS($AM$1006:AN1006),$AM$1006:$BM$1006,0)))),"Fix")))</f>
        <v xml:space="preserve"> </v>
      </c>
      <c r="D98" s="4" t="str">
        <f ca="1">IF(OR(INDEX($AG$2:$AG$1001,MATCH(ROWS($AF$2:AF98),$AF$2:$AF$1001,0),1)&gt;=100000,INDEX($AM$1005:$BM$1005,1,MATCH(COLUMNS($AM$1006:AO1006),$AM$1006:$BM$1006,0))&gt;=100000), " ",IF(INDEX($AM$2:$BM$1001,MATCH(ROWS($AF$2:AF98),$AF$2:$AF$1001,0),MATCH(COLUMNS($AM$1006:AO1006),$AM$1006:$BM$1006,0)), HYPERLINK("#",""), HYPERLINK(CONCATENATE("#metadata!", ADDRESS(INDEX($AH$2:$AH$1001,MATCH(ROWS($AF$2:AF98),$AF$2:$AF$1001,0),0), INDEX($AM$1004:$BM$1004,1,MATCH(COLUMNS($AM$1006:AO1006),$AM$1006:$BM$1006,0)))),"Fix")))</f>
        <v xml:space="preserve"> </v>
      </c>
      <c r="E98" s="4" t="str">
        <f ca="1">IF(OR(INDEX($AG$2:$AG$1001,MATCH(ROWS($AF$2:AF98),$AF$2:$AF$1001,0),1)&gt;=100000,INDEX($AM$1005:$BM$1005,1,MATCH(COLUMNS($AM$1006:AP1006),$AM$1006:$BM$1006,0))&gt;=100000), " ",IF(INDEX($AM$2:$BM$1001,MATCH(ROWS($AF$2:AF98),$AF$2:$AF$1001,0),MATCH(COLUMNS($AM$1006:AP1006),$AM$1006:$BM$1006,0)), HYPERLINK("#",""), HYPERLINK(CONCATENATE("#metadata!", ADDRESS(INDEX($AH$2:$AH$1001,MATCH(ROWS($AF$2:AF98),$AF$2:$AF$1001,0),0), INDEX($AM$1004:$BM$1004,1,MATCH(COLUMNS($AM$1006:AP1006),$AM$1006:$BM$1006,0)))),"Fix")))</f>
        <v xml:space="preserve"> </v>
      </c>
      <c r="F98" s="4" t="str">
        <f ca="1">IF(OR(INDEX($AG$2:$AG$1001,MATCH(ROWS($AF$2:AF98),$AF$2:$AF$1001,0),1)&gt;=100000,INDEX($AM$1005:$BM$1005,1,MATCH(COLUMNS($AM$1006:AQ1006),$AM$1006:$BM$1006,0))&gt;=100000), " ",IF(INDEX($AM$2:$BM$1001,MATCH(ROWS($AF$2:AF98),$AF$2:$AF$1001,0),MATCH(COLUMNS($AM$1006:AQ1006),$AM$1006:$BM$1006,0)), HYPERLINK("#",""), HYPERLINK(CONCATENATE("#metadata!", ADDRESS(INDEX($AH$2:$AH$1001,MATCH(ROWS($AF$2:AF98),$AF$2:$AF$1001,0),0), INDEX($AM$1004:$BM$1004,1,MATCH(COLUMNS($AM$1006:AQ1006),$AM$1006:$BM$1006,0)))),"Fix")))</f>
        <v xml:space="preserve"> </v>
      </c>
      <c r="G98" s="4" t="str">
        <f ca="1">IF(OR(INDEX($AG$2:$AG$1001,MATCH(ROWS($AF$2:AF98),$AF$2:$AF$1001,0),1)&gt;=100000,INDEX($AM$1005:$BM$1005,1,MATCH(COLUMNS($AM$1006:AR1006),$AM$1006:$BM$1006,0))&gt;=100000), " ",IF(INDEX($AM$2:$BM$1001,MATCH(ROWS($AF$2:AF98),$AF$2:$AF$1001,0),MATCH(COLUMNS($AM$1006:AR1006),$AM$1006:$BM$1006,0)), HYPERLINK("#",""), HYPERLINK(CONCATENATE("#metadata!", ADDRESS(INDEX($AH$2:$AH$1001,MATCH(ROWS($AF$2:AF98),$AF$2:$AF$1001,0),0), INDEX($AM$1004:$BM$1004,1,MATCH(COLUMNS($AM$1006:AR1006),$AM$1006:$BM$1006,0)))),"Fix")))</f>
        <v xml:space="preserve"> </v>
      </c>
      <c r="H98" s="4" t="str">
        <f ca="1">IF(OR(INDEX($AG$2:$AG$1001,MATCH(ROWS($AF$2:AF98),$AF$2:$AF$1001,0),1)&gt;=100000,INDEX($AM$1005:$BM$1005,1,MATCH(COLUMNS($AM$1006:AS1006),$AM$1006:$BM$1006,0))&gt;=100000), " ",IF(INDEX($AM$2:$BM$1001,MATCH(ROWS($AF$2:AF98),$AF$2:$AF$1001,0),MATCH(COLUMNS($AM$1006:AS1006),$AM$1006:$BM$1006,0)), HYPERLINK("#",""), HYPERLINK(CONCATENATE("#metadata!", ADDRESS(INDEX($AH$2:$AH$1001,MATCH(ROWS($AF$2:AF98),$AF$2:$AF$1001,0),0), INDEX($AM$1004:$BM$1004,1,MATCH(COLUMNS($AM$1006:AS1006),$AM$1006:$BM$1006,0)))),"Fix")))</f>
        <v xml:space="preserve"> </v>
      </c>
      <c r="I98" s="4" t="str">
        <f ca="1">IF(OR(INDEX($AG$2:$AG$1001,MATCH(ROWS($AF$2:AF98),$AF$2:$AF$1001,0),1)&gt;=100000,INDEX($AM$1005:$BM$1005,1,MATCH(COLUMNS($AM$1006:AT1006),$AM$1006:$BM$1006,0))&gt;=100000), " ",IF(INDEX($AM$2:$BM$1001,MATCH(ROWS($AF$2:AF98),$AF$2:$AF$1001,0),MATCH(COLUMNS($AM$1006:AT1006),$AM$1006:$BM$1006,0)), HYPERLINK("#",""), HYPERLINK(CONCATENATE("#metadata!", ADDRESS(INDEX($AH$2:$AH$1001,MATCH(ROWS($AF$2:AF98),$AF$2:$AF$1001,0),0), INDEX($AM$1004:$BM$1004,1,MATCH(COLUMNS($AM$1006:AT1006),$AM$1006:$BM$1006,0)))),"Fix")))</f>
        <v xml:space="preserve"> </v>
      </c>
      <c r="J98" s="4" t="str">
        <f ca="1">IF(OR(INDEX($AG$2:$AG$1001,MATCH(ROWS($AF$2:AF98),$AF$2:$AF$1001,0),1)&gt;=100000,INDEX($AM$1005:$BM$1005,1,MATCH(COLUMNS($AM$1006:AU1006),$AM$1006:$BM$1006,0))&gt;=100000), " ",IF(INDEX($AM$2:$BM$1001,MATCH(ROWS($AF$2:AF98),$AF$2:$AF$1001,0),MATCH(COLUMNS($AM$1006:AU1006),$AM$1006:$BM$1006,0)), HYPERLINK("#",""), HYPERLINK(CONCATENATE("#metadata!", ADDRESS(INDEX($AH$2:$AH$1001,MATCH(ROWS($AF$2:AF98),$AF$2:$AF$1001,0),0), INDEX($AM$1004:$BM$1004,1,MATCH(COLUMNS($AM$1006:AU1006),$AM$1006:$BM$1006,0)))),"Fix")))</f>
        <v xml:space="preserve"> </v>
      </c>
      <c r="K98" s="4" t="str">
        <f ca="1">IF(OR(INDEX($AG$2:$AG$1001,MATCH(ROWS($AF$2:AF98),$AF$2:$AF$1001,0),1)&gt;=100000,INDEX($AM$1005:$BM$1005,1,MATCH(COLUMNS($AM$1006:AV1006),$AM$1006:$BM$1006,0))&gt;=100000), " ",IF(INDEX($AM$2:$BM$1001,MATCH(ROWS($AF$2:AF98),$AF$2:$AF$1001,0),MATCH(COLUMNS($AM$1006:AV1006),$AM$1006:$BM$1006,0)), HYPERLINK("#",""), HYPERLINK(CONCATENATE("#metadata!", ADDRESS(INDEX($AH$2:$AH$1001,MATCH(ROWS($AF$2:AF98),$AF$2:$AF$1001,0),0), INDEX($AM$1004:$BM$1004,1,MATCH(COLUMNS($AM$1006:AV1006),$AM$1006:$BM$1006,0)))),"Fix")))</f>
        <v xml:space="preserve"> </v>
      </c>
      <c r="L98" s="4" t="str">
        <f ca="1">IF(OR(INDEX($AG$2:$AG$1001,MATCH(ROWS($AF$2:AF98),$AF$2:$AF$1001,0),1)&gt;=100000,INDEX($AM$1005:$BM$1005,1,MATCH(COLUMNS($AM$1006:AW1006),$AM$1006:$BM$1006,0))&gt;=100000), " ",IF(INDEX($AM$2:$BM$1001,MATCH(ROWS($AF$2:AF98),$AF$2:$AF$1001,0),MATCH(COLUMNS($AM$1006:AW1006),$AM$1006:$BM$1006,0)), HYPERLINK("#",""), HYPERLINK(CONCATENATE("#metadata!", ADDRESS(INDEX($AH$2:$AH$1001,MATCH(ROWS($AF$2:AF98),$AF$2:$AF$1001,0),0), INDEX($AM$1004:$BM$1004,1,MATCH(COLUMNS($AM$1006:AW1006),$AM$1006:$BM$1006,0)))),"Fix")))</f>
        <v xml:space="preserve"> </v>
      </c>
      <c r="M98" s="4" t="str">
        <f ca="1">IF(OR(INDEX($AG$2:$AG$1001,MATCH(ROWS($AF$2:AF98),$AF$2:$AF$1001,0),1)&gt;=100000,INDEX($AM$1005:$BM$1005,1,MATCH(COLUMNS($AM$1006:AX1006),$AM$1006:$BM$1006,0))&gt;=100000), " ",IF(INDEX($AM$2:$BM$1001,MATCH(ROWS($AF$2:AF98),$AF$2:$AF$1001,0),MATCH(COLUMNS($AM$1006:AX1006),$AM$1006:$BM$1006,0)), HYPERLINK("#",""), HYPERLINK(CONCATENATE("#metadata!", ADDRESS(INDEX($AH$2:$AH$1001,MATCH(ROWS($AF$2:AF98),$AF$2:$AF$1001,0),0), INDEX($AM$1004:$BM$1004,1,MATCH(COLUMNS($AM$1006:AX1006),$AM$1006:$BM$1006,0)))),"Fix")))</f>
        <v xml:space="preserve"> </v>
      </c>
      <c r="N98" s="4" t="str">
        <f ca="1">IF(OR(INDEX($AG$2:$AG$1001,MATCH(ROWS($AF$2:AF98),$AF$2:$AF$1001,0),1)&gt;=100000,INDEX($AM$1005:$BM$1005,1,MATCH(COLUMNS($AM$1006:AY1006),$AM$1006:$BM$1006,0))&gt;=100000), " ",IF(INDEX($AM$2:$BM$1001,MATCH(ROWS($AF$2:AF98),$AF$2:$AF$1001,0),MATCH(COLUMNS($AM$1006:AY1006),$AM$1006:$BM$1006,0)), HYPERLINK("#",""), HYPERLINK(CONCATENATE("#metadata!", ADDRESS(INDEX($AH$2:$AH$1001,MATCH(ROWS($AF$2:AF98),$AF$2:$AF$1001,0),0), INDEX($AM$1004:$BM$1004,1,MATCH(COLUMNS($AM$1006:AY1006),$AM$1006:$BM$1006,0)))),"Fix")))</f>
        <v xml:space="preserve"> </v>
      </c>
      <c r="O98" s="4" t="str">
        <f ca="1">IF(OR(INDEX($AG$2:$AG$1001,MATCH(ROWS($AF$2:AF98),$AF$2:$AF$1001,0),1)&gt;=100000,INDEX($AM$1005:$BM$1005,1,MATCH(COLUMNS($AM$1006:AZ1006),$AM$1006:$BM$1006,0))&gt;=100000), " ",IF(INDEX($AM$2:$BM$1001,MATCH(ROWS($AF$2:AF98),$AF$2:$AF$1001,0),MATCH(COLUMNS($AM$1006:AZ1006),$AM$1006:$BM$1006,0)), HYPERLINK("#",""), HYPERLINK(CONCATENATE("#metadata!", ADDRESS(INDEX($AH$2:$AH$1001,MATCH(ROWS($AF$2:AF98),$AF$2:$AF$1001,0),0), INDEX($AM$1004:$BM$1004,1,MATCH(COLUMNS($AM$1006:AZ1006),$AM$1006:$BM$1006,0)))),"Fix")))</f>
        <v xml:space="preserve"> </v>
      </c>
      <c r="P98" s="4" t="str">
        <f ca="1">IF(OR(INDEX($AG$2:$AG$1001,MATCH(ROWS($AF$2:AF98),$AF$2:$AF$1001,0),1)&gt;=100000,INDEX($AM$1005:$BM$1005,1,MATCH(COLUMNS($AM$1006:BA1006),$AM$1006:$BM$1006,0))&gt;=100000), " ",IF(INDEX($AM$2:$BM$1001,MATCH(ROWS($AF$2:AF98),$AF$2:$AF$1001,0),MATCH(COLUMNS($AM$1006:BA1006),$AM$1006:$BM$1006,0)), HYPERLINK("#",""), HYPERLINK(CONCATENATE("#metadata!", ADDRESS(INDEX($AH$2:$AH$1001,MATCH(ROWS($AF$2:AF98),$AF$2:$AF$1001,0),0), INDEX($AM$1004:$BM$1004,1,MATCH(COLUMNS($AM$1006:BA1006),$AM$1006:$BM$1006,0)))),"Fix")))</f>
        <v xml:space="preserve"> </v>
      </c>
      <c r="Q98" s="4" t="str">
        <f ca="1">IF(OR(INDEX($AG$2:$AG$1001,MATCH(ROWS($AF$2:AF98),$AF$2:$AF$1001,0),1)&gt;=100000,INDEX($AM$1005:$BM$1005,1,MATCH(COLUMNS($AM$1006:BB1006),$AM$1006:$BM$1006,0))&gt;=100000), " ",IF(INDEX($AM$2:$BM$1001,MATCH(ROWS($AF$2:AF98),$AF$2:$AF$1001,0),MATCH(COLUMNS($AM$1006:BB1006),$AM$1006:$BM$1006,0)), HYPERLINK("#",""), HYPERLINK(CONCATENATE("#metadata!", ADDRESS(INDEX($AH$2:$AH$1001,MATCH(ROWS($AF$2:AF98),$AF$2:$AF$1001,0),0), INDEX($AM$1004:$BM$1004,1,MATCH(COLUMNS($AM$1006:BB1006),$AM$1006:$BM$1006,0)))),"Fix")))</f>
        <v xml:space="preserve"> </v>
      </c>
      <c r="R98" s="4" t="str">
        <f ca="1">IF(OR(INDEX($AG$2:$AG$1001,MATCH(ROWS($AF$2:AF98),$AF$2:$AF$1001,0),1)&gt;=100000,INDEX($AM$1005:$BM$1005,1,MATCH(COLUMNS($AM$1006:BC1006),$AM$1006:$BM$1006,0))&gt;=100000), " ",IF(INDEX($AM$2:$BM$1001,MATCH(ROWS($AF$2:AF98),$AF$2:$AF$1001,0),MATCH(COLUMNS($AM$1006:BC1006),$AM$1006:$BM$1006,0)), HYPERLINK("#",""), HYPERLINK(CONCATENATE("#metadata!", ADDRESS(INDEX($AH$2:$AH$1001,MATCH(ROWS($AF$2:AF98),$AF$2:$AF$1001,0),0), INDEX($AM$1004:$BM$1004,1,MATCH(COLUMNS($AM$1006:BC1006),$AM$1006:$BM$1006,0)))),"Fix")))</f>
        <v xml:space="preserve"> </v>
      </c>
      <c r="S98" s="4" t="str">
        <f ca="1">IF(OR(INDEX($AG$2:$AG$1001,MATCH(ROWS($AF$2:AF98),$AF$2:$AF$1001,0),1)&gt;=100000,INDEX($AM$1005:$BM$1005,1,MATCH(COLUMNS($AM$1006:BD1006),$AM$1006:$BM$1006,0))&gt;=100000), " ",IF(INDEX($AM$2:$BM$1001,MATCH(ROWS($AF$2:AF98),$AF$2:$AF$1001,0),MATCH(COLUMNS($AM$1006:BD1006),$AM$1006:$BM$1006,0)), HYPERLINK("#",""), HYPERLINK(CONCATENATE("#metadata!", ADDRESS(INDEX($AH$2:$AH$1001,MATCH(ROWS($AF$2:AF98),$AF$2:$AF$1001,0),0), INDEX($AM$1004:$BM$1004,1,MATCH(COLUMNS($AM$1006:BD1006),$AM$1006:$BM$1006,0)))),"Fix")))</f>
        <v xml:space="preserve"> </v>
      </c>
      <c r="T98" s="4" t="str">
        <f ca="1">IF(OR(INDEX($AG$2:$AG$1001,MATCH(ROWS($AF$2:AF98),$AF$2:$AF$1001,0),1)&gt;=100000,INDEX($AM$1005:$BM$1005,1,MATCH(COLUMNS($AM$1006:BE1006),$AM$1006:$BM$1006,0))&gt;=100000), " ",IF(INDEX($AM$2:$BM$1001,MATCH(ROWS($AF$2:AF98),$AF$2:$AF$1001,0),MATCH(COLUMNS($AM$1006:BE1006),$AM$1006:$BM$1006,0)), HYPERLINK("#",""), HYPERLINK(CONCATENATE("#metadata!", ADDRESS(INDEX($AH$2:$AH$1001,MATCH(ROWS($AF$2:AF98),$AF$2:$AF$1001,0),0), INDEX($AM$1004:$BM$1004,1,MATCH(COLUMNS($AM$1006:BE1006),$AM$1006:$BM$1006,0)))),"Fix")))</f>
        <v xml:space="preserve"> </v>
      </c>
      <c r="U98" s="4" t="str">
        <f ca="1">IF(OR(INDEX($AG$2:$AG$1001,MATCH(ROWS($AF$2:AF98),$AF$2:$AF$1001,0),1)&gt;=100000,INDEX($AM$1005:$BM$1005,1,MATCH(COLUMNS($AM$1006:BF1006),$AM$1006:$BM$1006,0))&gt;=100000), " ",IF(INDEX($AM$2:$BM$1001,MATCH(ROWS($AF$2:AF98),$AF$2:$AF$1001,0),MATCH(COLUMNS($AM$1006:BF1006),$AM$1006:$BM$1006,0)), HYPERLINK("#",""), HYPERLINK(CONCATENATE("#metadata!", ADDRESS(INDEX($AH$2:$AH$1001,MATCH(ROWS($AF$2:AF98),$AF$2:$AF$1001,0),0), INDEX($AM$1004:$BM$1004,1,MATCH(COLUMNS($AM$1006:BF1006),$AM$1006:$BM$1006,0)))),"Fix")))</f>
        <v xml:space="preserve"> </v>
      </c>
      <c r="V98" s="4" t="str">
        <f ca="1">IF(OR(INDEX($AG$2:$AG$1001,MATCH(ROWS($AF$2:AF98),$AF$2:$AF$1001,0),1)&gt;=100000,INDEX($AM$1005:$BM$1005,1,MATCH(COLUMNS($AM$1006:BG1006),$AM$1006:$BM$1006,0))&gt;=100000), " ",IF(INDEX($AM$2:$BM$1001,MATCH(ROWS($AF$2:AF98),$AF$2:$AF$1001,0),MATCH(COLUMNS($AM$1006:BG1006),$AM$1006:$BM$1006,0)), HYPERLINK("#",""), HYPERLINK(CONCATENATE("#metadata!", ADDRESS(INDEX($AH$2:$AH$1001,MATCH(ROWS($AF$2:AF98),$AF$2:$AF$1001,0),0), INDEX($AM$1004:$BM$1004,1,MATCH(COLUMNS($AM$1006:BG1006),$AM$1006:$BM$1006,0)))),"Fix")))</f>
        <v xml:space="preserve"> </v>
      </c>
      <c r="W98" s="4" t="str">
        <f ca="1">IF(OR(INDEX($AG$2:$AG$1001,MATCH(ROWS($AF$2:AF98),$AF$2:$AF$1001,0),1)&gt;=100000,INDEX($AM$1005:$BM$1005,1,MATCH(COLUMNS($AM$1006:BH1006),$AM$1006:$BM$1006,0))&gt;=100000), " ",IF(INDEX($AM$2:$BM$1001,MATCH(ROWS($AF$2:AF98),$AF$2:$AF$1001,0),MATCH(COLUMNS($AM$1006:BH1006),$AM$1006:$BM$1006,0)), HYPERLINK("#",""), HYPERLINK(CONCATENATE("#metadata!", ADDRESS(INDEX($AH$2:$AH$1001,MATCH(ROWS($AF$2:AF98),$AF$2:$AF$1001,0),0), INDEX($AM$1004:$BM$1004,1,MATCH(COLUMNS($AM$1006:BH1006),$AM$1006:$BM$1006,0)))),"Fix")))</f>
        <v xml:space="preserve"> </v>
      </c>
      <c r="X98" s="4" t="str">
        <f ca="1">IF(OR(INDEX($AG$2:$AG$1001,MATCH(ROWS($AF$2:AF98),$AF$2:$AF$1001,0),1)&gt;=100000,INDEX($AM$1005:$BM$1005,1,MATCH(COLUMNS($AM$1006:BI1006),$AM$1006:$BM$1006,0))&gt;=100000), " ",IF(INDEX($AM$2:$BM$1001,MATCH(ROWS($AF$2:AF98),$AF$2:$AF$1001,0),MATCH(COLUMNS($AM$1006:BI1006),$AM$1006:$BM$1006,0)), HYPERLINK("#",""), HYPERLINK(CONCATENATE("#metadata!", ADDRESS(INDEX($AH$2:$AH$1001,MATCH(ROWS($AF$2:AF98),$AF$2:$AF$1001,0),0), INDEX($AM$1004:$BM$1004,1,MATCH(COLUMNS($AM$1006:BI1006),$AM$1006:$BM$1006,0)))),"Fix")))</f>
        <v xml:space="preserve"> </v>
      </c>
      <c r="Y98" s="4" t="str">
        <f ca="1">IF(OR(INDEX($AG$2:$AG$1001,MATCH(ROWS($AF$2:AF98),$AF$2:$AF$1001,0),1)&gt;=100000,INDEX($AM$1005:$BM$1005,1,MATCH(COLUMNS($AM$1006:BJ1006),$AM$1006:$BM$1006,0))&gt;=100000), " ",IF(INDEX($AM$2:$BM$1001,MATCH(ROWS($AF$2:AF98),$AF$2:$AF$1001,0),MATCH(COLUMNS($AM$1006:BJ1006),$AM$1006:$BM$1006,0)), HYPERLINK("#",""), HYPERLINK(CONCATENATE("#metadata!", ADDRESS(INDEX($AH$2:$AH$1001,MATCH(ROWS($AF$2:AF98),$AF$2:$AF$1001,0),0), INDEX($AM$1004:$BM$1004,1,MATCH(COLUMNS($AM$1006:BJ1006),$AM$1006:$BM$1006,0)))),"Fix")))</f>
        <v xml:space="preserve"> </v>
      </c>
      <c r="Z98" s="4" t="str">
        <f ca="1">IF(OR(INDEX($AG$2:$AG$1001,MATCH(ROWS($AF$2:AF98),$AF$2:$AF$1001,0),1)&gt;=100000,INDEX($AM$1005:$BM$1005,1,MATCH(COLUMNS($AM$1006:BK1006),$AM$1006:$BM$1006,0))&gt;=100000), " ",IF(INDEX($AM$2:$BM$1001,MATCH(ROWS($AF$2:AF98),$AF$2:$AF$1001,0),MATCH(COLUMNS($AM$1006:BK1006),$AM$1006:$BM$1006,0)), HYPERLINK("#",""), HYPERLINK(CONCATENATE("#metadata!", ADDRESS(INDEX($AH$2:$AH$1001,MATCH(ROWS($AF$2:AF98),$AF$2:$AF$1001,0),0), INDEX($AM$1004:$BM$1004,1,MATCH(COLUMNS($AM$1006:BK1006),$AM$1006:$BM$1006,0)))),"Fix")))</f>
        <v xml:space="preserve"> </v>
      </c>
      <c r="AA98" s="4" t="str">
        <f ca="1">IF(OR(INDEX($AG$2:$AG$1001,MATCH(ROWS($AF$2:AF98),$AF$2:$AF$1001,0),1)&gt;=100000,INDEX($AM$1005:$BM$1005,1,MATCH(COLUMNS($AM$1006:BL1006),$AM$1006:$BM$1006,0))&gt;=100000), " ",IF(INDEX($AM$2:$BM$1001,MATCH(ROWS($AF$2:AF98),$AF$2:$AF$1001,0),MATCH(COLUMNS($AM$1006:BL1006),$AM$1006:$BM$1006,0)), HYPERLINK("#",""), HYPERLINK(CONCATENATE("#metadata!", ADDRESS(INDEX($AH$2:$AH$1001,MATCH(ROWS($AF$2:AF98),$AF$2:$AF$1001,0),0), INDEX($AM$1004:$BM$1004,1,MATCH(COLUMNS($AM$1006:BL1006),$AM$1006:$BM$1006,0)))),"Fix")))</f>
        <v xml:space="preserve"> </v>
      </c>
      <c r="AB98" s="4" t="str">
        <f ca="1">IF(OR(INDEX($AG$2:$AG$1001,MATCH(ROWS($AF$2:AF98),$AF$2:$AF$1001,0),1)&gt;=100000,INDEX($AM$1005:$BM$1005,1,MATCH(COLUMNS($AM$1006:BM1006),$AM$1006:$BM$1006,0))&gt;=100000), " ",IF(INDEX($AM$2:$BM$1001,MATCH(ROWS($AF$2:AF98),$AF$2:$AF$1001,0),MATCH(COLUMNS($AM$1006:BM1006),$AM$1006:$BM$1006,0)), HYPERLINK("#",""), HYPERLINK(CONCATENATE("#metadata!", ADDRESS(INDEX($AH$2:$AH$1001,MATCH(ROWS($AF$2:AF98),$AF$2:$AF$1001,0),0), INDEX($AM$1004:$BM$1004,1,MATCH(COLUMNS($AM$1006:BM1006),$AM$1006:$BM$1006,0)))),"Fix")))</f>
        <v xml:space="preserve"> </v>
      </c>
      <c r="AF98">
        <v>97</v>
      </c>
      <c r="AG98">
        <v>100098</v>
      </c>
      <c r="AH98">
        <v>98</v>
      </c>
      <c r="AI98" t="b">
        <f t="shared" si="1"/>
        <v>1</v>
      </c>
      <c r="AJ98" t="b">
        <f>COUNTBLANK(metadata!B98:AB98)=COLUMNS(metadata!B98:AB98)</f>
        <v>1</v>
      </c>
      <c r="AK98" t="str">
        <v/>
      </c>
      <c r="AM98" t="b">
        <f ca="1">AND(IF(metadata!B98="",FALSE,TRUE),COUNTIF(metadata!B:B, metadata!B98) = 1,NOT(ISERROR(SUMPRODUCT(SEARCH(MID(metadata!B98,ROW(INDIRECT("1:"&amp;LEN(metadata!B98))), 1),"0123456789abcdefghijklmnopqrstuvwxyzABCDEFGHIJKLMNOPQRSTUVWXYZ.")))))</f>
        <v>0</v>
      </c>
      <c r="AN98" t="b">
        <f ca="1">OR(AND(IF(metadata!C98="",FALSE,TRUE),OR(EXACT(metadata!C98,"missing: not collected"),EXACT(metadata!C98,"missing: not provided"),EXACT(metadata!C98,"missing: restricted access"))),AND(IF(metadata!C98="",FALSE,TRUE),AND(AND(IFERROR(INT(LEFT(metadata!C98,4))&gt;1900,FALSE),IFERROR(INT(LEFT(metadata!C98,4))&lt;=YEAR(NOW()),FALSE)), OR(MID(metadata!C98,5,1)="", AND(AND(MID(metadata!C98,5,1)="-",IFERROR(INT(MID(metadata!C98,6,1))&gt;=0,FALSE),IFERROR(INT(MID(metadata!C98,6,1))&lt;=1,FALSE),NOT(MID(metadata!C98,7,1)=""),IFERROR(INT(MID(metadata!C98,6,2))&gt;=1,FALSE),IFERROR(INT(MID(metadata!C98,6,2))&lt;=12,FALSE)), OR(MID(metadata!C98,8,1)="", AND(AND(MID(metadata!C98,8,1)="-",IFERROR(INT(MID(metadata!C98,9,1))&gt;=0,FALSE),IFERROR(INT(MID(metadata!C98,9,1))&lt;=3,FALSE),NOT(MID(metadata!C98,10,1)=""),IFERROR(INT(MID(metadata!C98,9,2))&gt;=1,FALSE),IFERROR(INT(MID(metadata!C98,9,2))&lt;=31,FALSE)), OR(MID(metadata!C98,11,1)="", AND(AND(MID(metadata!C98,11,1)=" ",IFERROR(INT(MID(metadata!C98,12,1))&gt;=0,FALSE),IFERROR(INT(MID(metadata!C98,12,1))&lt;=2,FALSE),NOT(MID(metadata!C98,13,1)=""),IFERROR(INT(MID(metadata!C98,12,2))&gt;=0,FALSE),IFERROR(INT(MID(metadata!C98,12,2))&lt;=23,FALSE)), OR(MID(metadata!C98,14,1)="", AND(AND(MID(metadata!C98,14,1)=":",IFERROR(INT(MID(metadata!C98,15,1))&gt;=0,FALSE),IFERROR(INT(MID(metadata!C98,15,1))&lt;=5,FALSE),NOT(MID(metadata!C98,16,1)=""),IFERROR(INT(MID(metadata!C98,15,2))&gt;=0,FALSE),IFERROR(INT(MID(metadata!C98,15,2))&lt;=59,FALSE)), OR(MID(metadata!C98,17,1)="", AND(AND(MID(metadata!C98,17,1)=":",IFERROR(INT(MID(metadata!C98,18,1))&gt;=0,FALSE),IFERROR(INT(MID(metadata!C98,18,1))&lt;=5,FALSE),NOT(MID(metadata!C98,19,1)=""),IFERROR(INT(MID(metadata!C98,18,2))&gt;=0,FALSE),IFERROR(INT(MID(metadata!C98,18,2))&lt;=59,FALSE)), LEN(metadata!C98)&lt;=19)))))))))))))</f>
        <v>0</v>
      </c>
      <c r="AO98" t="b">
        <f>AND(IF(metadata!D98="",FALSE,TRUE),EXACT(metadata!D98,"Not applicable"))</f>
        <v>0</v>
      </c>
      <c r="AP98" t="b">
        <f>IF(metadata!E98="",FALSE,TRUE)</f>
        <v>0</v>
      </c>
      <c r="AQ98" t="b">
        <f>OR(AND(IF(metadata!F98="",FALSE,TRUE),OR(EXACT(metadata!F98,"missing: not collected"),EXACT(metadata!F98,"missing: not provided"))),AND(IF(metadata!F98="",FALSE,TRUE),OR(EXACT(metadata!F98,"TRUE"),EXACT(metadata!F98,"FALSE"))))</f>
        <v>0</v>
      </c>
      <c r="AR98" t="b">
        <f>OR(AND(IF(metadata!G98="",FALSE,TRUE),OR(EXACT(metadata!G98,"missing: not collected"),EXACT(metadata!G98,"missing: not provided"),EXACT(metadata!G98,"missing: restricted access"))),AND(IF(metadata!G98="",FALSE,ISNUMBER(VALUE(metadata!G98))),metadata!G98&gt;=-413))</f>
        <v>0</v>
      </c>
      <c r="AS98" t="b">
        <f>AND(IF(metadata!H98="",FALSE,TRUE),EXACT(metadata!H98,"meters"))</f>
        <v>0</v>
      </c>
      <c r="AT98" t="b">
        <f>AND(IF(metadata!I98="",FALSE,TRUE),OR(EXACT(metadata!I98,"Host-associated"),EXACT(metadata!I98,"Free-living")))</f>
        <v>0</v>
      </c>
      <c r="AU98" t="b">
        <f>AND(IF(metadata!J98="",FALSE,TRUE),OR(EXACT(metadata!J98,"Animal"),EXACT(metadata!J98,"Fungus"),EXACT(metadata!J98,"Plant"),EXACT(metadata!J98,"Saline"),EXACT(metadata!J98,"Non-saline")))</f>
        <v>0</v>
      </c>
      <c r="AV98" t="b">
        <f>AND(IF(metadata!K98="",FALSE,TRUE),OR(EXACT(metadata!K98,"Plant secretion"),EXACT(metadata!K98,"Plant rhizosphere"),EXACT(metadata!K98,"Plant surface"),EXACT(metadata!K98,"Plant corpus"),EXACT(metadata!K98,"Fungus surface"),EXACT(metadata!K98,"Fungus corpus"),EXACT(metadata!K98,"Animal surface"),EXACT(metadata!K98,"Animal proximal gut"),EXACT(metadata!K98,"Animal corpus"),EXACT(metadata!K98,"Animal distal gut"),EXACT(metadata!K98,"Animal secretion"),EXACT(metadata!K98,"Sub-surface (non-saline)"),EXACT(metadata!K98,"Surface (non-saline)"),EXACT(metadata!K98,"Water (non-saline)"),EXACT(metadata!K98,"Soil (non-saline)"),EXACT(metadata!K98,"Aerosol (non-saline)"),EXACT(metadata!K98,"Sediment (non-saline)"),EXACT(metadata!K98,"Surface (saline)"),EXACT(metadata!K98,"Water (saline)"),EXACT(metadata!K98,"Hypersaline (saline)"),EXACT(metadata!K98,"Aerosol (saline)"),EXACT(metadata!K98,"Sediment (saline)")))</f>
        <v>0</v>
      </c>
      <c r="AW98" t="b">
        <f>IF(metadata!L98="",FALSE,TRUE)</f>
        <v>0</v>
      </c>
      <c r="AX98" t="b">
        <f>IF(metadata!M98="",FALSE,TRUE)</f>
        <v>0</v>
      </c>
      <c r="AY98" t="b">
        <f>IF(metadata!N98="",FALSE,TRUE)</f>
        <v>0</v>
      </c>
      <c r="AZ98" t="b">
        <f>OR(AND(IF(metadata!O98="",FALSE,TRUE),OR(EXACT(metadata!O98,"missing: not collected"),EXACT(metadata!O98,"missing: not provided"),EXACT(metadata!O98,"missing: restricted access"))),AND(IF(metadata!O98="",FALSE,TRUE),OR(EXACT(metadata!O98,"air"),EXACT(metadata!O98,"built environment"),EXACT(metadata!O98,"host-associated"),EXACT(metadata!O98,"human-associated"),EXACT(metadata!O98,"human-skin"),EXACT(metadata!O98,"human-oral"),EXACT(metadata!O98,"human-gut"),EXACT(metadata!O98,"human-vaginal"),EXACT(metadata!O98,"microbial mat/biofilm"),EXACT(metadata!O98,"misc environment"),EXACT(metadata!O98,"plant-associated"),EXACT(metadata!O98,"sediment"),EXACT(metadata!O98,"soil"),EXACT(metadata!O98,"wastewater/sludge"),EXACT(metadata!O98,"water"))))</f>
        <v>0</v>
      </c>
      <c r="BA98" t="b">
        <f>IF(metadata!P98="",FALSE,TRUE)</f>
        <v>0</v>
      </c>
      <c r="BB98" t="b">
        <f>IF(metadata!Q98="",FALSE,TRUE)</f>
        <v>0</v>
      </c>
      <c r="BC98" t="b">
        <f>OR(AND(IF(metadata!R98="",FALSE,TRUE),OR(EXACT(metadata!R98,"missing: not collected"),EXACT(metadata!R98,"missing: not provided"),EXACT(metadata!R98,"missing: restricted access"))),AND(IF(metadata!R98="",FALSE,ISNUMBER(VALUE(metadata!R98))),metadata!R98&gt;=-90,metadata!R98&lt;=90))</f>
        <v>0</v>
      </c>
      <c r="BD98" t="b">
        <f>AND(IF(metadata!S98="",FALSE,TRUE),EXACT(metadata!S98,"Decimal degrees"))</f>
        <v>0</v>
      </c>
      <c r="BE98" t="b">
        <f>OR(AND(IF(metadata!T98="",FALSE,TRUE),OR(EXACT(metadata!T98,"missing: not collected"),EXACT(metadata!T98,"missing: not provided"),EXACT(metadata!T98,"missing: restricted access"))),AND(IF(metadata!T98="",FALSE,ISNUMBER(VALUE(metadata!T98))),metadata!T98&gt;=-180,metadata!T98&lt;=180))</f>
        <v>0</v>
      </c>
      <c r="BF98" t="b">
        <f>AND(IF(metadata!U98="",FALSE,TRUE),EXACT(metadata!U98,"Decimal degrees"))</f>
        <v>0</v>
      </c>
      <c r="BG98" t="b">
        <f>IF(metadata!V98="",FALSE,TRUE)</f>
        <v>0</v>
      </c>
      <c r="BH98" t="b">
        <f>OR(AND(IF(metadata!W98="",FALSE,TRUE),OR(EXACT(metadata!W98,"missing: not collected"),EXACT(metadata!W98,"missing: not provided"),EXACT(metadata!W98,"missing: restricted access"))),AND(IF(metadata!W98="",FALSE,TRUE),OR(EXACT(metadata!W98,"TRUE"),EXACT(metadata!W98,"FALSE"))))</f>
        <v>0</v>
      </c>
      <c r="BI98" t="b">
        <f>AND(IF(metadata!X98="",FALSE,TRUE),EXACT(metadata!X98,"other"))</f>
        <v>0</v>
      </c>
      <c r="BJ98" t="b">
        <f>IF(metadata!Y98="",FALSE,TRUE)</f>
        <v>0</v>
      </c>
      <c r="BK98" t="b">
        <f>OR(AND(IF(metadata!Z98="",FALSE,TRUE),OR(EXACT(metadata!Z98,"missing: not collected"),EXACT(metadata!Z98,"missing: not provided"))),AND(IF(metadata!Z98="",FALSE,IF(ISERROR(INT(metadata!Z98)),FALSE,INT(metadata!Z98)=metadata!Z98)),metadata!Z98&gt;0))</f>
        <v>0</v>
      </c>
      <c r="BL98" t="b">
        <f>AND(IF(metadata!AA98="",FALSE,TRUE),EXACT(metadata!AA98,"Not applicable"))</f>
        <v>0</v>
      </c>
      <c r="BM98" t="b">
        <f>IF(metadata!AB98="",FALSE,TRUE)</f>
        <v>0</v>
      </c>
    </row>
    <row r="99" spans="1:65" x14ac:dyDescent="0.2">
      <c r="A99" s="5" t="str">
        <f ca="1">IF(B99=" "," ",HYPERLINK(CONCATENATE("#metadata!",ADDRESS(INDEX($AH$2:$AH$1001,MATCH(ROWS($AF$2:AF99),$AF$2:$AF$1001,0),0),1)),INDEX($AK$2:$AK$1001,MATCH(ROWS($AF$2:AF99),$AF$2:$AF$1001,0),0)))</f>
        <v xml:space="preserve"> </v>
      </c>
      <c r="B99" s="4" t="str">
        <f ca="1">IF(OR(INDEX($AG$2:$AG$1001,MATCH(ROWS($AF$2:AF99),$AF$2:$AF$1001,0),1)&gt;=100000,INDEX($AM$1005:$BM$1005,1,MATCH(COLUMNS($AM$1006:AM1006),$AM$1006:$BM$1006,0))&gt;=100000), " ",IF(INDEX($AM$2:$BM$1001,MATCH(ROWS($AF$2:AF99),$AF$2:$AF$1001,0),MATCH(COLUMNS($AM$1006:AM1006),$AM$1006:$BM$1006,0)), HYPERLINK("#",""), HYPERLINK(CONCATENATE("#metadata!", ADDRESS(INDEX($AH$2:$AH$1001,MATCH(ROWS($AF$2:AF99),$AF$2:$AF$1001,0),0), INDEX($AM$1004:$BM$1004,1,MATCH(COLUMNS($AM$1006:AM1006),$AM$1006:$BM$1006,0)))),"Fix")))</f>
        <v xml:space="preserve"> </v>
      </c>
      <c r="C99" s="4" t="str">
        <f ca="1">IF(OR(INDEX($AG$2:$AG$1001,MATCH(ROWS($AF$2:AF99),$AF$2:$AF$1001,0),1)&gt;=100000,INDEX($AM$1005:$BM$1005,1,MATCH(COLUMNS($AM$1006:AN1006),$AM$1006:$BM$1006,0))&gt;=100000), " ",IF(INDEX($AM$2:$BM$1001,MATCH(ROWS($AF$2:AF99),$AF$2:$AF$1001,0),MATCH(COLUMNS($AM$1006:AN1006),$AM$1006:$BM$1006,0)), HYPERLINK("#",""), HYPERLINK(CONCATENATE("#metadata!", ADDRESS(INDEX($AH$2:$AH$1001,MATCH(ROWS($AF$2:AF99),$AF$2:$AF$1001,0),0), INDEX($AM$1004:$BM$1004,1,MATCH(COLUMNS($AM$1006:AN1006),$AM$1006:$BM$1006,0)))),"Fix")))</f>
        <v xml:space="preserve"> </v>
      </c>
      <c r="D99" s="4" t="str">
        <f ca="1">IF(OR(INDEX($AG$2:$AG$1001,MATCH(ROWS($AF$2:AF99),$AF$2:$AF$1001,0),1)&gt;=100000,INDEX($AM$1005:$BM$1005,1,MATCH(COLUMNS($AM$1006:AO1006),$AM$1006:$BM$1006,0))&gt;=100000), " ",IF(INDEX($AM$2:$BM$1001,MATCH(ROWS($AF$2:AF99),$AF$2:$AF$1001,0),MATCH(COLUMNS($AM$1006:AO1006),$AM$1006:$BM$1006,0)), HYPERLINK("#",""), HYPERLINK(CONCATENATE("#metadata!", ADDRESS(INDEX($AH$2:$AH$1001,MATCH(ROWS($AF$2:AF99),$AF$2:$AF$1001,0),0), INDEX($AM$1004:$BM$1004,1,MATCH(COLUMNS($AM$1006:AO1006),$AM$1006:$BM$1006,0)))),"Fix")))</f>
        <v xml:space="preserve"> </v>
      </c>
      <c r="E99" s="4" t="str">
        <f ca="1">IF(OR(INDEX($AG$2:$AG$1001,MATCH(ROWS($AF$2:AF99),$AF$2:$AF$1001,0),1)&gt;=100000,INDEX($AM$1005:$BM$1005,1,MATCH(COLUMNS($AM$1006:AP1006),$AM$1006:$BM$1006,0))&gt;=100000), " ",IF(INDEX($AM$2:$BM$1001,MATCH(ROWS($AF$2:AF99),$AF$2:$AF$1001,0),MATCH(COLUMNS($AM$1006:AP1006),$AM$1006:$BM$1006,0)), HYPERLINK("#",""), HYPERLINK(CONCATENATE("#metadata!", ADDRESS(INDEX($AH$2:$AH$1001,MATCH(ROWS($AF$2:AF99),$AF$2:$AF$1001,0),0), INDEX($AM$1004:$BM$1004,1,MATCH(COLUMNS($AM$1006:AP1006),$AM$1006:$BM$1006,0)))),"Fix")))</f>
        <v xml:space="preserve"> </v>
      </c>
      <c r="F99" s="4" t="str">
        <f ca="1">IF(OR(INDEX($AG$2:$AG$1001,MATCH(ROWS($AF$2:AF99),$AF$2:$AF$1001,0),1)&gt;=100000,INDEX($AM$1005:$BM$1005,1,MATCH(COLUMNS($AM$1006:AQ1006),$AM$1006:$BM$1006,0))&gt;=100000), " ",IF(INDEX($AM$2:$BM$1001,MATCH(ROWS($AF$2:AF99),$AF$2:$AF$1001,0),MATCH(COLUMNS($AM$1006:AQ1006),$AM$1006:$BM$1006,0)), HYPERLINK("#",""), HYPERLINK(CONCATENATE("#metadata!", ADDRESS(INDEX($AH$2:$AH$1001,MATCH(ROWS($AF$2:AF99),$AF$2:$AF$1001,0),0), INDEX($AM$1004:$BM$1004,1,MATCH(COLUMNS($AM$1006:AQ1006),$AM$1006:$BM$1006,0)))),"Fix")))</f>
        <v xml:space="preserve"> </v>
      </c>
      <c r="G99" s="4" t="str">
        <f ca="1">IF(OR(INDEX($AG$2:$AG$1001,MATCH(ROWS($AF$2:AF99),$AF$2:$AF$1001,0),1)&gt;=100000,INDEX($AM$1005:$BM$1005,1,MATCH(COLUMNS($AM$1006:AR1006),$AM$1006:$BM$1006,0))&gt;=100000), " ",IF(INDEX($AM$2:$BM$1001,MATCH(ROWS($AF$2:AF99),$AF$2:$AF$1001,0),MATCH(COLUMNS($AM$1006:AR1006),$AM$1006:$BM$1006,0)), HYPERLINK("#",""), HYPERLINK(CONCATENATE("#metadata!", ADDRESS(INDEX($AH$2:$AH$1001,MATCH(ROWS($AF$2:AF99),$AF$2:$AF$1001,0),0), INDEX($AM$1004:$BM$1004,1,MATCH(COLUMNS($AM$1006:AR1006),$AM$1006:$BM$1006,0)))),"Fix")))</f>
        <v xml:space="preserve"> </v>
      </c>
      <c r="H99" s="4" t="str">
        <f ca="1">IF(OR(INDEX($AG$2:$AG$1001,MATCH(ROWS($AF$2:AF99),$AF$2:$AF$1001,0),1)&gt;=100000,INDEX($AM$1005:$BM$1005,1,MATCH(COLUMNS($AM$1006:AS1006),$AM$1006:$BM$1006,0))&gt;=100000), " ",IF(INDEX($AM$2:$BM$1001,MATCH(ROWS($AF$2:AF99),$AF$2:$AF$1001,0),MATCH(COLUMNS($AM$1006:AS1006),$AM$1006:$BM$1006,0)), HYPERLINK("#",""), HYPERLINK(CONCATENATE("#metadata!", ADDRESS(INDEX($AH$2:$AH$1001,MATCH(ROWS($AF$2:AF99),$AF$2:$AF$1001,0),0), INDEX($AM$1004:$BM$1004,1,MATCH(COLUMNS($AM$1006:AS1006),$AM$1006:$BM$1006,0)))),"Fix")))</f>
        <v xml:space="preserve"> </v>
      </c>
      <c r="I99" s="4" t="str">
        <f ca="1">IF(OR(INDEX($AG$2:$AG$1001,MATCH(ROWS($AF$2:AF99),$AF$2:$AF$1001,0),1)&gt;=100000,INDEX($AM$1005:$BM$1005,1,MATCH(COLUMNS($AM$1006:AT1006),$AM$1006:$BM$1006,0))&gt;=100000), " ",IF(INDEX($AM$2:$BM$1001,MATCH(ROWS($AF$2:AF99),$AF$2:$AF$1001,0),MATCH(COLUMNS($AM$1006:AT1006),$AM$1006:$BM$1006,0)), HYPERLINK("#",""), HYPERLINK(CONCATENATE("#metadata!", ADDRESS(INDEX($AH$2:$AH$1001,MATCH(ROWS($AF$2:AF99),$AF$2:$AF$1001,0),0), INDEX($AM$1004:$BM$1004,1,MATCH(COLUMNS($AM$1006:AT1006),$AM$1006:$BM$1006,0)))),"Fix")))</f>
        <v xml:space="preserve"> </v>
      </c>
      <c r="J99" s="4" t="str">
        <f ca="1">IF(OR(INDEX($AG$2:$AG$1001,MATCH(ROWS($AF$2:AF99),$AF$2:$AF$1001,0),1)&gt;=100000,INDEX($AM$1005:$BM$1005,1,MATCH(COLUMNS($AM$1006:AU1006),$AM$1006:$BM$1006,0))&gt;=100000), " ",IF(INDEX($AM$2:$BM$1001,MATCH(ROWS($AF$2:AF99),$AF$2:$AF$1001,0),MATCH(COLUMNS($AM$1006:AU1006),$AM$1006:$BM$1006,0)), HYPERLINK("#",""), HYPERLINK(CONCATENATE("#metadata!", ADDRESS(INDEX($AH$2:$AH$1001,MATCH(ROWS($AF$2:AF99),$AF$2:$AF$1001,0),0), INDEX($AM$1004:$BM$1004,1,MATCH(COLUMNS($AM$1006:AU1006),$AM$1006:$BM$1006,0)))),"Fix")))</f>
        <v xml:space="preserve"> </v>
      </c>
      <c r="K99" s="4" t="str">
        <f ca="1">IF(OR(INDEX($AG$2:$AG$1001,MATCH(ROWS($AF$2:AF99),$AF$2:$AF$1001,0),1)&gt;=100000,INDEX($AM$1005:$BM$1005,1,MATCH(COLUMNS($AM$1006:AV1006),$AM$1006:$BM$1006,0))&gt;=100000), " ",IF(INDEX($AM$2:$BM$1001,MATCH(ROWS($AF$2:AF99),$AF$2:$AF$1001,0),MATCH(COLUMNS($AM$1006:AV1006),$AM$1006:$BM$1006,0)), HYPERLINK("#",""), HYPERLINK(CONCATENATE("#metadata!", ADDRESS(INDEX($AH$2:$AH$1001,MATCH(ROWS($AF$2:AF99),$AF$2:$AF$1001,0),0), INDEX($AM$1004:$BM$1004,1,MATCH(COLUMNS($AM$1006:AV1006),$AM$1006:$BM$1006,0)))),"Fix")))</f>
        <v xml:space="preserve"> </v>
      </c>
      <c r="L99" s="4" t="str">
        <f ca="1">IF(OR(INDEX($AG$2:$AG$1001,MATCH(ROWS($AF$2:AF99),$AF$2:$AF$1001,0),1)&gt;=100000,INDEX($AM$1005:$BM$1005,1,MATCH(COLUMNS($AM$1006:AW1006),$AM$1006:$BM$1006,0))&gt;=100000), " ",IF(INDEX($AM$2:$BM$1001,MATCH(ROWS($AF$2:AF99),$AF$2:$AF$1001,0),MATCH(COLUMNS($AM$1006:AW1006),$AM$1006:$BM$1006,0)), HYPERLINK("#",""), HYPERLINK(CONCATENATE("#metadata!", ADDRESS(INDEX($AH$2:$AH$1001,MATCH(ROWS($AF$2:AF99),$AF$2:$AF$1001,0),0), INDEX($AM$1004:$BM$1004,1,MATCH(COLUMNS($AM$1006:AW1006),$AM$1006:$BM$1006,0)))),"Fix")))</f>
        <v xml:space="preserve"> </v>
      </c>
      <c r="M99" s="4" t="str">
        <f ca="1">IF(OR(INDEX($AG$2:$AG$1001,MATCH(ROWS($AF$2:AF99),$AF$2:$AF$1001,0),1)&gt;=100000,INDEX($AM$1005:$BM$1005,1,MATCH(COLUMNS($AM$1006:AX1006),$AM$1006:$BM$1006,0))&gt;=100000), " ",IF(INDEX($AM$2:$BM$1001,MATCH(ROWS($AF$2:AF99),$AF$2:$AF$1001,0),MATCH(COLUMNS($AM$1006:AX1006),$AM$1006:$BM$1006,0)), HYPERLINK("#",""), HYPERLINK(CONCATENATE("#metadata!", ADDRESS(INDEX($AH$2:$AH$1001,MATCH(ROWS($AF$2:AF99),$AF$2:$AF$1001,0),0), INDEX($AM$1004:$BM$1004,1,MATCH(COLUMNS($AM$1006:AX1006),$AM$1006:$BM$1006,0)))),"Fix")))</f>
        <v xml:space="preserve"> </v>
      </c>
      <c r="N99" s="4" t="str">
        <f ca="1">IF(OR(INDEX($AG$2:$AG$1001,MATCH(ROWS($AF$2:AF99),$AF$2:$AF$1001,0),1)&gt;=100000,INDEX($AM$1005:$BM$1005,1,MATCH(COLUMNS($AM$1006:AY1006),$AM$1006:$BM$1006,0))&gt;=100000), " ",IF(INDEX($AM$2:$BM$1001,MATCH(ROWS($AF$2:AF99),$AF$2:$AF$1001,0),MATCH(COLUMNS($AM$1006:AY1006),$AM$1006:$BM$1006,0)), HYPERLINK("#",""), HYPERLINK(CONCATENATE("#metadata!", ADDRESS(INDEX($AH$2:$AH$1001,MATCH(ROWS($AF$2:AF99),$AF$2:$AF$1001,0),0), INDEX($AM$1004:$BM$1004,1,MATCH(COLUMNS($AM$1006:AY1006),$AM$1006:$BM$1006,0)))),"Fix")))</f>
        <v xml:space="preserve"> </v>
      </c>
      <c r="O99" s="4" t="str">
        <f ca="1">IF(OR(INDEX($AG$2:$AG$1001,MATCH(ROWS($AF$2:AF99),$AF$2:$AF$1001,0),1)&gt;=100000,INDEX($AM$1005:$BM$1005,1,MATCH(COLUMNS($AM$1006:AZ1006),$AM$1006:$BM$1006,0))&gt;=100000), " ",IF(INDEX($AM$2:$BM$1001,MATCH(ROWS($AF$2:AF99),$AF$2:$AF$1001,0),MATCH(COLUMNS($AM$1006:AZ1006),$AM$1006:$BM$1006,0)), HYPERLINK("#",""), HYPERLINK(CONCATENATE("#metadata!", ADDRESS(INDEX($AH$2:$AH$1001,MATCH(ROWS($AF$2:AF99),$AF$2:$AF$1001,0),0), INDEX($AM$1004:$BM$1004,1,MATCH(COLUMNS($AM$1006:AZ1006),$AM$1006:$BM$1006,0)))),"Fix")))</f>
        <v xml:space="preserve"> </v>
      </c>
      <c r="P99" s="4" t="str">
        <f ca="1">IF(OR(INDEX($AG$2:$AG$1001,MATCH(ROWS($AF$2:AF99),$AF$2:$AF$1001,0),1)&gt;=100000,INDEX($AM$1005:$BM$1005,1,MATCH(COLUMNS($AM$1006:BA1006),$AM$1006:$BM$1006,0))&gt;=100000), " ",IF(INDEX($AM$2:$BM$1001,MATCH(ROWS($AF$2:AF99),$AF$2:$AF$1001,0),MATCH(COLUMNS($AM$1006:BA1006),$AM$1006:$BM$1006,0)), HYPERLINK("#",""), HYPERLINK(CONCATENATE("#metadata!", ADDRESS(INDEX($AH$2:$AH$1001,MATCH(ROWS($AF$2:AF99),$AF$2:$AF$1001,0),0), INDEX($AM$1004:$BM$1004,1,MATCH(COLUMNS($AM$1006:BA1006),$AM$1006:$BM$1006,0)))),"Fix")))</f>
        <v xml:space="preserve"> </v>
      </c>
      <c r="Q99" s="4" t="str">
        <f ca="1">IF(OR(INDEX($AG$2:$AG$1001,MATCH(ROWS($AF$2:AF99),$AF$2:$AF$1001,0),1)&gt;=100000,INDEX($AM$1005:$BM$1005,1,MATCH(COLUMNS($AM$1006:BB1006),$AM$1006:$BM$1006,0))&gt;=100000), " ",IF(INDEX($AM$2:$BM$1001,MATCH(ROWS($AF$2:AF99),$AF$2:$AF$1001,0),MATCH(COLUMNS($AM$1006:BB1006),$AM$1006:$BM$1006,0)), HYPERLINK("#",""), HYPERLINK(CONCATENATE("#metadata!", ADDRESS(INDEX($AH$2:$AH$1001,MATCH(ROWS($AF$2:AF99),$AF$2:$AF$1001,0),0), INDEX($AM$1004:$BM$1004,1,MATCH(COLUMNS($AM$1006:BB1006),$AM$1006:$BM$1006,0)))),"Fix")))</f>
        <v xml:space="preserve"> </v>
      </c>
      <c r="R99" s="4" t="str">
        <f ca="1">IF(OR(INDEX($AG$2:$AG$1001,MATCH(ROWS($AF$2:AF99),$AF$2:$AF$1001,0),1)&gt;=100000,INDEX($AM$1005:$BM$1005,1,MATCH(COLUMNS($AM$1006:BC1006),$AM$1006:$BM$1006,0))&gt;=100000), " ",IF(INDEX($AM$2:$BM$1001,MATCH(ROWS($AF$2:AF99),$AF$2:$AF$1001,0),MATCH(COLUMNS($AM$1006:BC1006),$AM$1006:$BM$1006,0)), HYPERLINK("#",""), HYPERLINK(CONCATENATE("#metadata!", ADDRESS(INDEX($AH$2:$AH$1001,MATCH(ROWS($AF$2:AF99),$AF$2:$AF$1001,0),0), INDEX($AM$1004:$BM$1004,1,MATCH(COLUMNS($AM$1006:BC1006),$AM$1006:$BM$1006,0)))),"Fix")))</f>
        <v xml:space="preserve"> </v>
      </c>
      <c r="S99" s="4" t="str">
        <f ca="1">IF(OR(INDEX($AG$2:$AG$1001,MATCH(ROWS($AF$2:AF99),$AF$2:$AF$1001,0),1)&gt;=100000,INDEX($AM$1005:$BM$1005,1,MATCH(COLUMNS($AM$1006:BD1006),$AM$1006:$BM$1006,0))&gt;=100000), " ",IF(INDEX($AM$2:$BM$1001,MATCH(ROWS($AF$2:AF99),$AF$2:$AF$1001,0),MATCH(COLUMNS($AM$1006:BD1006),$AM$1006:$BM$1006,0)), HYPERLINK("#",""), HYPERLINK(CONCATENATE("#metadata!", ADDRESS(INDEX($AH$2:$AH$1001,MATCH(ROWS($AF$2:AF99),$AF$2:$AF$1001,0),0), INDEX($AM$1004:$BM$1004,1,MATCH(COLUMNS($AM$1006:BD1006),$AM$1006:$BM$1006,0)))),"Fix")))</f>
        <v xml:space="preserve"> </v>
      </c>
      <c r="T99" s="4" t="str">
        <f ca="1">IF(OR(INDEX($AG$2:$AG$1001,MATCH(ROWS($AF$2:AF99),$AF$2:$AF$1001,0),1)&gt;=100000,INDEX($AM$1005:$BM$1005,1,MATCH(COLUMNS($AM$1006:BE1006),$AM$1006:$BM$1006,0))&gt;=100000), " ",IF(INDEX($AM$2:$BM$1001,MATCH(ROWS($AF$2:AF99),$AF$2:$AF$1001,0),MATCH(COLUMNS($AM$1006:BE1006),$AM$1006:$BM$1006,0)), HYPERLINK("#",""), HYPERLINK(CONCATENATE("#metadata!", ADDRESS(INDEX($AH$2:$AH$1001,MATCH(ROWS($AF$2:AF99),$AF$2:$AF$1001,0),0), INDEX($AM$1004:$BM$1004,1,MATCH(COLUMNS($AM$1006:BE1006),$AM$1006:$BM$1006,0)))),"Fix")))</f>
        <v xml:space="preserve"> </v>
      </c>
      <c r="U99" s="4" t="str">
        <f ca="1">IF(OR(INDEX($AG$2:$AG$1001,MATCH(ROWS($AF$2:AF99),$AF$2:$AF$1001,0),1)&gt;=100000,INDEX($AM$1005:$BM$1005,1,MATCH(COLUMNS($AM$1006:BF1006),$AM$1006:$BM$1006,0))&gt;=100000), " ",IF(INDEX($AM$2:$BM$1001,MATCH(ROWS($AF$2:AF99),$AF$2:$AF$1001,0),MATCH(COLUMNS($AM$1006:BF1006),$AM$1006:$BM$1006,0)), HYPERLINK("#",""), HYPERLINK(CONCATENATE("#metadata!", ADDRESS(INDEX($AH$2:$AH$1001,MATCH(ROWS($AF$2:AF99),$AF$2:$AF$1001,0),0), INDEX($AM$1004:$BM$1004,1,MATCH(COLUMNS($AM$1006:BF1006),$AM$1006:$BM$1006,0)))),"Fix")))</f>
        <v xml:space="preserve"> </v>
      </c>
      <c r="V99" s="4" t="str">
        <f ca="1">IF(OR(INDEX($AG$2:$AG$1001,MATCH(ROWS($AF$2:AF99),$AF$2:$AF$1001,0),1)&gt;=100000,INDEX($AM$1005:$BM$1005,1,MATCH(COLUMNS($AM$1006:BG1006),$AM$1006:$BM$1006,0))&gt;=100000), " ",IF(INDEX($AM$2:$BM$1001,MATCH(ROWS($AF$2:AF99),$AF$2:$AF$1001,0),MATCH(COLUMNS($AM$1006:BG1006),$AM$1006:$BM$1006,0)), HYPERLINK("#",""), HYPERLINK(CONCATENATE("#metadata!", ADDRESS(INDEX($AH$2:$AH$1001,MATCH(ROWS($AF$2:AF99),$AF$2:$AF$1001,0),0), INDEX($AM$1004:$BM$1004,1,MATCH(COLUMNS($AM$1006:BG1006),$AM$1006:$BM$1006,0)))),"Fix")))</f>
        <v xml:space="preserve"> </v>
      </c>
      <c r="W99" s="4" t="str">
        <f ca="1">IF(OR(INDEX($AG$2:$AG$1001,MATCH(ROWS($AF$2:AF99),$AF$2:$AF$1001,0),1)&gt;=100000,INDEX($AM$1005:$BM$1005,1,MATCH(COLUMNS($AM$1006:BH1006),$AM$1006:$BM$1006,0))&gt;=100000), " ",IF(INDEX($AM$2:$BM$1001,MATCH(ROWS($AF$2:AF99),$AF$2:$AF$1001,0),MATCH(COLUMNS($AM$1006:BH1006),$AM$1006:$BM$1006,0)), HYPERLINK("#",""), HYPERLINK(CONCATENATE("#metadata!", ADDRESS(INDEX($AH$2:$AH$1001,MATCH(ROWS($AF$2:AF99),$AF$2:$AF$1001,0),0), INDEX($AM$1004:$BM$1004,1,MATCH(COLUMNS($AM$1006:BH1006),$AM$1006:$BM$1006,0)))),"Fix")))</f>
        <v xml:space="preserve"> </v>
      </c>
      <c r="X99" s="4" t="str">
        <f ca="1">IF(OR(INDEX($AG$2:$AG$1001,MATCH(ROWS($AF$2:AF99),$AF$2:$AF$1001,0),1)&gt;=100000,INDEX($AM$1005:$BM$1005,1,MATCH(COLUMNS($AM$1006:BI1006),$AM$1006:$BM$1006,0))&gt;=100000), " ",IF(INDEX($AM$2:$BM$1001,MATCH(ROWS($AF$2:AF99),$AF$2:$AF$1001,0),MATCH(COLUMNS($AM$1006:BI1006),$AM$1006:$BM$1006,0)), HYPERLINK("#",""), HYPERLINK(CONCATENATE("#metadata!", ADDRESS(INDEX($AH$2:$AH$1001,MATCH(ROWS($AF$2:AF99),$AF$2:$AF$1001,0),0), INDEX($AM$1004:$BM$1004,1,MATCH(COLUMNS($AM$1006:BI1006),$AM$1006:$BM$1006,0)))),"Fix")))</f>
        <v xml:space="preserve"> </v>
      </c>
      <c r="Y99" s="4" t="str">
        <f ca="1">IF(OR(INDEX($AG$2:$AG$1001,MATCH(ROWS($AF$2:AF99),$AF$2:$AF$1001,0),1)&gt;=100000,INDEX($AM$1005:$BM$1005,1,MATCH(COLUMNS($AM$1006:BJ1006),$AM$1006:$BM$1006,0))&gt;=100000), " ",IF(INDEX($AM$2:$BM$1001,MATCH(ROWS($AF$2:AF99),$AF$2:$AF$1001,0),MATCH(COLUMNS($AM$1006:BJ1006),$AM$1006:$BM$1006,0)), HYPERLINK("#",""), HYPERLINK(CONCATENATE("#metadata!", ADDRESS(INDEX($AH$2:$AH$1001,MATCH(ROWS($AF$2:AF99),$AF$2:$AF$1001,0),0), INDEX($AM$1004:$BM$1004,1,MATCH(COLUMNS($AM$1006:BJ1006),$AM$1006:$BM$1006,0)))),"Fix")))</f>
        <v xml:space="preserve"> </v>
      </c>
      <c r="Z99" s="4" t="str">
        <f ca="1">IF(OR(INDEX($AG$2:$AG$1001,MATCH(ROWS($AF$2:AF99),$AF$2:$AF$1001,0),1)&gt;=100000,INDEX($AM$1005:$BM$1005,1,MATCH(COLUMNS($AM$1006:BK1006),$AM$1006:$BM$1006,0))&gt;=100000), " ",IF(INDEX($AM$2:$BM$1001,MATCH(ROWS($AF$2:AF99),$AF$2:$AF$1001,0),MATCH(COLUMNS($AM$1006:BK1006),$AM$1006:$BM$1006,0)), HYPERLINK("#",""), HYPERLINK(CONCATENATE("#metadata!", ADDRESS(INDEX($AH$2:$AH$1001,MATCH(ROWS($AF$2:AF99),$AF$2:$AF$1001,0),0), INDEX($AM$1004:$BM$1004,1,MATCH(COLUMNS($AM$1006:BK1006),$AM$1006:$BM$1006,0)))),"Fix")))</f>
        <v xml:space="preserve"> </v>
      </c>
      <c r="AA99" s="4" t="str">
        <f ca="1">IF(OR(INDEX($AG$2:$AG$1001,MATCH(ROWS($AF$2:AF99),$AF$2:$AF$1001,0),1)&gt;=100000,INDEX($AM$1005:$BM$1005,1,MATCH(COLUMNS($AM$1006:BL1006),$AM$1006:$BM$1006,0))&gt;=100000), " ",IF(INDEX($AM$2:$BM$1001,MATCH(ROWS($AF$2:AF99),$AF$2:$AF$1001,0),MATCH(COLUMNS($AM$1006:BL1006),$AM$1006:$BM$1006,0)), HYPERLINK("#",""), HYPERLINK(CONCATENATE("#metadata!", ADDRESS(INDEX($AH$2:$AH$1001,MATCH(ROWS($AF$2:AF99),$AF$2:$AF$1001,0),0), INDEX($AM$1004:$BM$1004,1,MATCH(COLUMNS($AM$1006:BL1006),$AM$1006:$BM$1006,0)))),"Fix")))</f>
        <v xml:space="preserve"> </v>
      </c>
      <c r="AB99" s="4" t="str">
        <f ca="1">IF(OR(INDEX($AG$2:$AG$1001,MATCH(ROWS($AF$2:AF99),$AF$2:$AF$1001,0),1)&gt;=100000,INDEX($AM$1005:$BM$1005,1,MATCH(COLUMNS($AM$1006:BM1006),$AM$1006:$BM$1006,0))&gt;=100000), " ",IF(INDEX($AM$2:$BM$1001,MATCH(ROWS($AF$2:AF99),$AF$2:$AF$1001,0),MATCH(COLUMNS($AM$1006:BM1006),$AM$1006:$BM$1006,0)), HYPERLINK("#",""), HYPERLINK(CONCATENATE("#metadata!", ADDRESS(INDEX($AH$2:$AH$1001,MATCH(ROWS($AF$2:AF99),$AF$2:$AF$1001,0),0), INDEX($AM$1004:$BM$1004,1,MATCH(COLUMNS($AM$1006:BM1006),$AM$1006:$BM$1006,0)))),"Fix")))</f>
        <v xml:space="preserve"> </v>
      </c>
      <c r="AF99">
        <v>98</v>
      </c>
      <c r="AG99">
        <v>100099</v>
      </c>
      <c r="AH99">
        <v>99</v>
      </c>
      <c r="AI99" t="b">
        <f t="shared" si="1"/>
        <v>1</v>
      </c>
      <c r="AJ99" t="b">
        <f>COUNTBLANK(metadata!B99:AB99)=COLUMNS(metadata!B99:AB99)</f>
        <v>1</v>
      </c>
      <c r="AK99" t="str">
        <v/>
      </c>
      <c r="AM99" t="b">
        <f ca="1">AND(IF(metadata!B99="",FALSE,TRUE),COUNTIF(metadata!B:B, metadata!B99) = 1,NOT(ISERROR(SUMPRODUCT(SEARCH(MID(metadata!B99,ROW(INDIRECT("1:"&amp;LEN(metadata!B99))), 1),"0123456789abcdefghijklmnopqrstuvwxyzABCDEFGHIJKLMNOPQRSTUVWXYZ.")))))</f>
        <v>0</v>
      </c>
      <c r="AN99" t="b">
        <f ca="1">OR(AND(IF(metadata!C99="",FALSE,TRUE),OR(EXACT(metadata!C99,"missing: not collected"),EXACT(metadata!C99,"missing: not provided"),EXACT(metadata!C99,"missing: restricted access"))),AND(IF(metadata!C99="",FALSE,TRUE),AND(AND(IFERROR(INT(LEFT(metadata!C99,4))&gt;1900,FALSE),IFERROR(INT(LEFT(metadata!C99,4))&lt;=YEAR(NOW()),FALSE)), OR(MID(metadata!C99,5,1)="", AND(AND(MID(metadata!C99,5,1)="-",IFERROR(INT(MID(metadata!C99,6,1))&gt;=0,FALSE),IFERROR(INT(MID(metadata!C99,6,1))&lt;=1,FALSE),NOT(MID(metadata!C99,7,1)=""),IFERROR(INT(MID(metadata!C99,6,2))&gt;=1,FALSE),IFERROR(INT(MID(metadata!C99,6,2))&lt;=12,FALSE)), OR(MID(metadata!C99,8,1)="", AND(AND(MID(metadata!C99,8,1)="-",IFERROR(INT(MID(metadata!C99,9,1))&gt;=0,FALSE),IFERROR(INT(MID(metadata!C99,9,1))&lt;=3,FALSE),NOT(MID(metadata!C99,10,1)=""),IFERROR(INT(MID(metadata!C99,9,2))&gt;=1,FALSE),IFERROR(INT(MID(metadata!C99,9,2))&lt;=31,FALSE)), OR(MID(metadata!C99,11,1)="", AND(AND(MID(metadata!C99,11,1)=" ",IFERROR(INT(MID(metadata!C99,12,1))&gt;=0,FALSE),IFERROR(INT(MID(metadata!C99,12,1))&lt;=2,FALSE),NOT(MID(metadata!C99,13,1)=""),IFERROR(INT(MID(metadata!C99,12,2))&gt;=0,FALSE),IFERROR(INT(MID(metadata!C99,12,2))&lt;=23,FALSE)), OR(MID(metadata!C99,14,1)="", AND(AND(MID(metadata!C99,14,1)=":",IFERROR(INT(MID(metadata!C99,15,1))&gt;=0,FALSE),IFERROR(INT(MID(metadata!C99,15,1))&lt;=5,FALSE),NOT(MID(metadata!C99,16,1)=""),IFERROR(INT(MID(metadata!C99,15,2))&gt;=0,FALSE),IFERROR(INT(MID(metadata!C99,15,2))&lt;=59,FALSE)), OR(MID(metadata!C99,17,1)="", AND(AND(MID(metadata!C99,17,1)=":",IFERROR(INT(MID(metadata!C99,18,1))&gt;=0,FALSE),IFERROR(INT(MID(metadata!C99,18,1))&lt;=5,FALSE),NOT(MID(metadata!C99,19,1)=""),IFERROR(INT(MID(metadata!C99,18,2))&gt;=0,FALSE),IFERROR(INT(MID(metadata!C99,18,2))&lt;=59,FALSE)), LEN(metadata!C99)&lt;=19)))))))))))))</f>
        <v>0</v>
      </c>
      <c r="AO99" t="b">
        <f>AND(IF(metadata!D99="",FALSE,TRUE),EXACT(metadata!D99,"Not applicable"))</f>
        <v>0</v>
      </c>
      <c r="AP99" t="b">
        <f>IF(metadata!E99="",FALSE,TRUE)</f>
        <v>0</v>
      </c>
      <c r="AQ99" t="b">
        <f>OR(AND(IF(metadata!F99="",FALSE,TRUE),OR(EXACT(metadata!F99,"missing: not collected"),EXACT(metadata!F99,"missing: not provided"))),AND(IF(metadata!F99="",FALSE,TRUE),OR(EXACT(metadata!F99,"TRUE"),EXACT(metadata!F99,"FALSE"))))</f>
        <v>0</v>
      </c>
      <c r="AR99" t="b">
        <f>OR(AND(IF(metadata!G99="",FALSE,TRUE),OR(EXACT(metadata!G99,"missing: not collected"),EXACT(metadata!G99,"missing: not provided"),EXACT(metadata!G99,"missing: restricted access"))),AND(IF(metadata!G99="",FALSE,ISNUMBER(VALUE(metadata!G99))),metadata!G99&gt;=-413))</f>
        <v>0</v>
      </c>
      <c r="AS99" t="b">
        <f>AND(IF(metadata!H99="",FALSE,TRUE),EXACT(metadata!H99,"meters"))</f>
        <v>0</v>
      </c>
      <c r="AT99" t="b">
        <f>AND(IF(metadata!I99="",FALSE,TRUE),OR(EXACT(metadata!I99,"Host-associated"),EXACT(metadata!I99,"Free-living")))</f>
        <v>0</v>
      </c>
      <c r="AU99" t="b">
        <f>AND(IF(metadata!J99="",FALSE,TRUE),OR(EXACT(metadata!J99,"Animal"),EXACT(metadata!J99,"Fungus"),EXACT(metadata!J99,"Plant"),EXACT(metadata!J99,"Saline"),EXACT(metadata!J99,"Non-saline")))</f>
        <v>0</v>
      </c>
      <c r="AV99" t="b">
        <f>AND(IF(metadata!K99="",FALSE,TRUE),OR(EXACT(metadata!K99,"Plant secretion"),EXACT(metadata!K99,"Plant rhizosphere"),EXACT(metadata!K99,"Plant surface"),EXACT(metadata!K99,"Plant corpus"),EXACT(metadata!K99,"Fungus surface"),EXACT(metadata!K99,"Fungus corpus"),EXACT(metadata!K99,"Animal surface"),EXACT(metadata!K99,"Animal proximal gut"),EXACT(metadata!K99,"Animal corpus"),EXACT(metadata!K99,"Animal distal gut"),EXACT(metadata!K99,"Animal secretion"),EXACT(metadata!K99,"Sub-surface (non-saline)"),EXACT(metadata!K99,"Surface (non-saline)"),EXACT(metadata!K99,"Water (non-saline)"),EXACT(metadata!K99,"Soil (non-saline)"),EXACT(metadata!K99,"Aerosol (non-saline)"),EXACT(metadata!K99,"Sediment (non-saline)"),EXACT(metadata!K99,"Surface (saline)"),EXACT(metadata!K99,"Water (saline)"),EXACT(metadata!K99,"Hypersaline (saline)"),EXACT(metadata!K99,"Aerosol (saline)"),EXACT(metadata!K99,"Sediment (saline)")))</f>
        <v>0</v>
      </c>
      <c r="AW99" t="b">
        <f>IF(metadata!L99="",FALSE,TRUE)</f>
        <v>0</v>
      </c>
      <c r="AX99" t="b">
        <f>IF(metadata!M99="",FALSE,TRUE)</f>
        <v>0</v>
      </c>
      <c r="AY99" t="b">
        <f>IF(metadata!N99="",FALSE,TRUE)</f>
        <v>0</v>
      </c>
      <c r="AZ99" t="b">
        <f>OR(AND(IF(metadata!O99="",FALSE,TRUE),OR(EXACT(metadata!O99,"missing: not collected"),EXACT(metadata!O99,"missing: not provided"),EXACT(metadata!O99,"missing: restricted access"))),AND(IF(metadata!O99="",FALSE,TRUE),OR(EXACT(metadata!O99,"air"),EXACT(metadata!O99,"built environment"),EXACT(metadata!O99,"host-associated"),EXACT(metadata!O99,"human-associated"),EXACT(metadata!O99,"human-skin"),EXACT(metadata!O99,"human-oral"),EXACT(metadata!O99,"human-gut"),EXACT(metadata!O99,"human-vaginal"),EXACT(metadata!O99,"microbial mat/biofilm"),EXACT(metadata!O99,"misc environment"),EXACT(metadata!O99,"plant-associated"),EXACT(metadata!O99,"sediment"),EXACT(metadata!O99,"soil"),EXACT(metadata!O99,"wastewater/sludge"),EXACT(metadata!O99,"water"))))</f>
        <v>0</v>
      </c>
      <c r="BA99" t="b">
        <f>IF(metadata!P99="",FALSE,TRUE)</f>
        <v>0</v>
      </c>
      <c r="BB99" t="b">
        <f>IF(metadata!Q99="",FALSE,TRUE)</f>
        <v>0</v>
      </c>
      <c r="BC99" t="b">
        <f>OR(AND(IF(metadata!R99="",FALSE,TRUE),OR(EXACT(metadata!R99,"missing: not collected"),EXACT(metadata!R99,"missing: not provided"),EXACT(metadata!R99,"missing: restricted access"))),AND(IF(metadata!R99="",FALSE,ISNUMBER(VALUE(metadata!R99))),metadata!R99&gt;=-90,metadata!R99&lt;=90))</f>
        <v>0</v>
      </c>
      <c r="BD99" t="b">
        <f>AND(IF(metadata!S99="",FALSE,TRUE),EXACT(metadata!S99,"Decimal degrees"))</f>
        <v>0</v>
      </c>
      <c r="BE99" t="b">
        <f>OR(AND(IF(metadata!T99="",FALSE,TRUE),OR(EXACT(metadata!T99,"missing: not collected"),EXACT(metadata!T99,"missing: not provided"),EXACT(metadata!T99,"missing: restricted access"))),AND(IF(metadata!T99="",FALSE,ISNUMBER(VALUE(metadata!T99))),metadata!T99&gt;=-180,metadata!T99&lt;=180))</f>
        <v>0</v>
      </c>
      <c r="BF99" t="b">
        <f>AND(IF(metadata!U99="",FALSE,TRUE),EXACT(metadata!U99,"Decimal degrees"))</f>
        <v>0</v>
      </c>
      <c r="BG99" t="b">
        <f>IF(metadata!V99="",FALSE,TRUE)</f>
        <v>0</v>
      </c>
      <c r="BH99" t="b">
        <f>OR(AND(IF(metadata!W99="",FALSE,TRUE),OR(EXACT(metadata!W99,"missing: not collected"),EXACT(metadata!W99,"missing: not provided"),EXACT(metadata!W99,"missing: restricted access"))),AND(IF(metadata!W99="",FALSE,TRUE),OR(EXACT(metadata!W99,"TRUE"),EXACT(metadata!W99,"FALSE"))))</f>
        <v>0</v>
      </c>
      <c r="BI99" t="b">
        <f>AND(IF(metadata!X99="",FALSE,TRUE),EXACT(metadata!X99,"other"))</f>
        <v>0</v>
      </c>
      <c r="BJ99" t="b">
        <f>IF(metadata!Y99="",FALSE,TRUE)</f>
        <v>0</v>
      </c>
      <c r="BK99" t="b">
        <f>OR(AND(IF(metadata!Z99="",FALSE,TRUE),OR(EXACT(metadata!Z99,"missing: not collected"),EXACT(metadata!Z99,"missing: not provided"))),AND(IF(metadata!Z99="",FALSE,IF(ISERROR(INT(metadata!Z99)),FALSE,INT(metadata!Z99)=metadata!Z99)),metadata!Z99&gt;0))</f>
        <v>0</v>
      </c>
      <c r="BL99" t="b">
        <f>AND(IF(metadata!AA99="",FALSE,TRUE),EXACT(metadata!AA99,"Not applicable"))</f>
        <v>0</v>
      </c>
      <c r="BM99" t="b">
        <f>IF(metadata!AB99="",FALSE,TRUE)</f>
        <v>0</v>
      </c>
    </row>
    <row r="100" spans="1:65" x14ac:dyDescent="0.2">
      <c r="A100" s="5" t="str">
        <f ca="1">IF(B100=" "," ",HYPERLINK(CONCATENATE("#metadata!",ADDRESS(INDEX($AH$2:$AH$1001,MATCH(ROWS($AF$2:AF100),$AF$2:$AF$1001,0),0),1)),INDEX($AK$2:$AK$1001,MATCH(ROWS($AF$2:AF100),$AF$2:$AF$1001,0),0)))</f>
        <v xml:space="preserve"> </v>
      </c>
      <c r="B100" s="4" t="str">
        <f ca="1">IF(OR(INDEX($AG$2:$AG$1001,MATCH(ROWS($AF$2:AF100),$AF$2:$AF$1001,0),1)&gt;=100000,INDEX($AM$1005:$BM$1005,1,MATCH(COLUMNS($AM$1006:AM1006),$AM$1006:$BM$1006,0))&gt;=100000), " ",IF(INDEX($AM$2:$BM$1001,MATCH(ROWS($AF$2:AF100),$AF$2:$AF$1001,0),MATCH(COLUMNS($AM$1006:AM1006),$AM$1006:$BM$1006,0)), HYPERLINK("#",""), HYPERLINK(CONCATENATE("#metadata!", ADDRESS(INDEX($AH$2:$AH$1001,MATCH(ROWS($AF$2:AF100),$AF$2:$AF$1001,0),0), INDEX($AM$1004:$BM$1004,1,MATCH(COLUMNS($AM$1006:AM1006),$AM$1006:$BM$1006,0)))),"Fix")))</f>
        <v xml:space="preserve"> </v>
      </c>
      <c r="C100" s="4" t="str">
        <f ca="1">IF(OR(INDEX($AG$2:$AG$1001,MATCH(ROWS($AF$2:AF100),$AF$2:$AF$1001,0),1)&gt;=100000,INDEX($AM$1005:$BM$1005,1,MATCH(COLUMNS($AM$1006:AN1006),$AM$1006:$BM$1006,0))&gt;=100000), " ",IF(INDEX($AM$2:$BM$1001,MATCH(ROWS($AF$2:AF100),$AF$2:$AF$1001,0),MATCH(COLUMNS($AM$1006:AN1006),$AM$1006:$BM$1006,0)), HYPERLINK("#",""), HYPERLINK(CONCATENATE("#metadata!", ADDRESS(INDEX($AH$2:$AH$1001,MATCH(ROWS($AF$2:AF100),$AF$2:$AF$1001,0),0), INDEX($AM$1004:$BM$1004,1,MATCH(COLUMNS($AM$1006:AN1006),$AM$1006:$BM$1006,0)))),"Fix")))</f>
        <v xml:space="preserve"> </v>
      </c>
      <c r="D100" s="4" t="str">
        <f ca="1">IF(OR(INDEX($AG$2:$AG$1001,MATCH(ROWS($AF$2:AF100),$AF$2:$AF$1001,0),1)&gt;=100000,INDEX($AM$1005:$BM$1005,1,MATCH(COLUMNS($AM$1006:AO1006),$AM$1006:$BM$1006,0))&gt;=100000), " ",IF(INDEX($AM$2:$BM$1001,MATCH(ROWS($AF$2:AF100),$AF$2:$AF$1001,0),MATCH(COLUMNS($AM$1006:AO1006),$AM$1006:$BM$1006,0)), HYPERLINK("#",""), HYPERLINK(CONCATENATE("#metadata!", ADDRESS(INDEX($AH$2:$AH$1001,MATCH(ROWS($AF$2:AF100),$AF$2:$AF$1001,0),0), INDEX($AM$1004:$BM$1004,1,MATCH(COLUMNS($AM$1006:AO1006),$AM$1006:$BM$1006,0)))),"Fix")))</f>
        <v xml:space="preserve"> </v>
      </c>
      <c r="E100" s="4" t="str">
        <f ca="1">IF(OR(INDEX($AG$2:$AG$1001,MATCH(ROWS($AF$2:AF100),$AF$2:$AF$1001,0),1)&gt;=100000,INDEX($AM$1005:$BM$1005,1,MATCH(COLUMNS($AM$1006:AP1006),$AM$1006:$BM$1006,0))&gt;=100000), " ",IF(INDEX($AM$2:$BM$1001,MATCH(ROWS($AF$2:AF100),$AF$2:$AF$1001,0),MATCH(COLUMNS($AM$1006:AP1006),$AM$1006:$BM$1006,0)), HYPERLINK("#",""), HYPERLINK(CONCATENATE("#metadata!", ADDRESS(INDEX($AH$2:$AH$1001,MATCH(ROWS($AF$2:AF100),$AF$2:$AF$1001,0),0), INDEX($AM$1004:$BM$1004,1,MATCH(COLUMNS($AM$1006:AP1006),$AM$1006:$BM$1006,0)))),"Fix")))</f>
        <v xml:space="preserve"> </v>
      </c>
      <c r="F100" s="4" t="str">
        <f ca="1">IF(OR(INDEX($AG$2:$AG$1001,MATCH(ROWS($AF$2:AF100),$AF$2:$AF$1001,0),1)&gt;=100000,INDEX($AM$1005:$BM$1005,1,MATCH(COLUMNS($AM$1006:AQ1006),$AM$1006:$BM$1006,0))&gt;=100000), " ",IF(INDEX($AM$2:$BM$1001,MATCH(ROWS($AF$2:AF100),$AF$2:$AF$1001,0),MATCH(COLUMNS($AM$1006:AQ1006),$AM$1006:$BM$1006,0)), HYPERLINK("#",""), HYPERLINK(CONCATENATE("#metadata!", ADDRESS(INDEX($AH$2:$AH$1001,MATCH(ROWS($AF$2:AF100),$AF$2:$AF$1001,0),0), INDEX($AM$1004:$BM$1004,1,MATCH(COLUMNS($AM$1006:AQ1006),$AM$1006:$BM$1006,0)))),"Fix")))</f>
        <v xml:space="preserve"> </v>
      </c>
      <c r="G100" s="4" t="str">
        <f ca="1">IF(OR(INDEX($AG$2:$AG$1001,MATCH(ROWS($AF$2:AF100),$AF$2:$AF$1001,0),1)&gt;=100000,INDEX($AM$1005:$BM$1005,1,MATCH(COLUMNS($AM$1006:AR1006),$AM$1006:$BM$1006,0))&gt;=100000), " ",IF(INDEX($AM$2:$BM$1001,MATCH(ROWS($AF$2:AF100),$AF$2:$AF$1001,0),MATCH(COLUMNS($AM$1006:AR1006),$AM$1006:$BM$1006,0)), HYPERLINK("#",""), HYPERLINK(CONCATENATE("#metadata!", ADDRESS(INDEX($AH$2:$AH$1001,MATCH(ROWS($AF$2:AF100),$AF$2:$AF$1001,0),0), INDEX($AM$1004:$BM$1004,1,MATCH(COLUMNS($AM$1006:AR1006),$AM$1006:$BM$1006,0)))),"Fix")))</f>
        <v xml:space="preserve"> </v>
      </c>
      <c r="H100" s="4" t="str">
        <f ca="1">IF(OR(INDEX($AG$2:$AG$1001,MATCH(ROWS($AF$2:AF100),$AF$2:$AF$1001,0),1)&gt;=100000,INDEX($AM$1005:$BM$1005,1,MATCH(COLUMNS($AM$1006:AS1006),$AM$1006:$BM$1006,0))&gt;=100000), " ",IF(INDEX($AM$2:$BM$1001,MATCH(ROWS($AF$2:AF100),$AF$2:$AF$1001,0),MATCH(COLUMNS($AM$1006:AS1006),$AM$1006:$BM$1006,0)), HYPERLINK("#",""), HYPERLINK(CONCATENATE("#metadata!", ADDRESS(INDEX($AH$2:$AH$1001,MATCH(ROWS($AF$2:AF100),$AF$2:$AF$1001,0),0), INDEX($AM$1004:$BM$1004,1,MATCH(COLUMNS($AM$1006:AS1006),$AM$1006:$BM$1006,0)))),"Fix")))</f>
        <v xml:space="preserve"> </v>
      </c>
      <c r="I100" s="4" t="str">
        <f ca="1">IF(OR(INDEX($AG$2:$AG$1001,MATCH(ROWS($AF$2:AF100),$AF$2:$AF$1001,0),1)&gt;=100000,INDEX($AM$1005:$BM$1005,1,MATCH(COLUMNS($AM$1006:AT1006),$AM$1006:$BM$1006,0))&gt;=100000), " ",IF(INDEX($AM$2:$BM$1001,MATCH(ROWS($AF$2:AF100),$AF$2:$AF$1001,0),MATCH(COLUMNS($AM$1006:AT1006),$AM$1006:$BM$1006,0)), HYPERLINK("#",""), HYPERLINK(CONCATENATE("#metadata!", ADDRESS(INDEX($AH$2:$AH$1001,MATCH(ROWS($AF$2:AF100),$AF$2:$AF$1001,0),0), INDEX($AM$1004:$BM$1004,1,MATCH(COLUMNS($AM$1006:AT1006),$AM$1006:$BM$1006,0)))),"Fix")))</f>
        <v xml:space="preserve"> </v>
      </c>
      <c r="J100" s="4" t="str">
        <f ca="1">IF(OR(INDEX($AG$2:$AG$1001,MATCH(ROWS($AF$2:AF100),$AF$2:$AF$1001,0),1)&gt;=100000,INDEX($AM$1005:$BM$1005,1,MATCH(COLUMNS($AM$1006:AU1006),$AM$1006:$BM$1006,0))&gt;=100000), " ",IF(INDEX($AM$2:$BM$1001,MATCH(ROWS($AF$2:AF100),$AF$2:$AF$1001,0),MATCH(COLUMNS($AM$1006:AU1006),$AM$1006:$BM$1006,0)), HYPERLINK("#",""), HYPERLINK(CONCATENATE("#metadata!", ADDRESS(INDEX($AH$2:$AH$1001,MATCH(ROWS($AF$2:AF100),$AF$2:$AF$1001,0),0), INDEX($AM$1004:$BM$1004,1,MATCH(COLUMNS($AM$1006:AU1006),$AM$1006:$BM$1006,0)))),"Fix")))</f>
        <v xml:space="preserve"> </v>
      </c>
      <c r="K100" s="4" t="str">
        <f ca="1">IF(OR(INDEX($AG$2:$AG$1001,MATCH(ROWS($AF$2:AF100),$AF$2:$AF$1001,0),1)&gt;=100000,INDEX($AM$1005:$BM$1005,1,MATCH(COLUMNS($AM$1006:AV1006),$AM$1006:$BM$1006,0))&gt;=100000), " ",IF(INDEX($AM$2:$BM$1001,MATCH(ROWS($AF$2:AF100),$AF$2:$AF$1001,0),MATCH(COLUMNS($AM$1006:AV1006),$AM$1006:$BM$1006,0)), HYPERLINK("#",""), HYPERLINK(CONCATENATE("#metadata!", ADDRESS(INDEX($AH$2:$AH$1001,MATCH(ROWS($AF$2:AF100),$AF$2:$AF$1001,0),0), INDEX($AM$1004:$BM$1004,1,MATCH(COLUMNS($AM$1006:AV1006),$AM$1006:$BM$1006,0)))),"Fix")))</f>
        <v xml:space="preserve"> </v>
      </c>
      <c r="L100" s="4" t="str">
        <f ca="1">IF(OR(INDEX($AG$2:$AG$1001,MATCH(ROWS($AF$2:AF100),$AF$2:$AF$1001,0),1)&gt;=100000,INDEX($AM$1005:$BM$1005,1,MATCH(COLUMNS($AM$1006:AW1006),$AM$1006:$BM$1006,0))&gt;=100000), " ",IF(INDEX($AM$2:$BM$1001,MATCH(ROWS($AF$2:AF100),$AF$2:$AF$1001,0),MATCH(COLUMNS($AM$1006:AW1006),$AM$1006:$BM$1006,0)), HYPERLINK("#",""), HYPERLINK(CONCATENATE("#metadata!", ADDRESS(INDEX($AH$2:$AH$1001,MATCH(ROWS($AF$2:AF100),$AF$2:$AF$1001,0),0), INDEX($AM$1004:$BM$1004,1,MATCH(COLUMNS($AM$1006:AW1006),$AM$1006:$BM$1006,0)))),"Fix")))</f>
        <v xml:space="preserve"> </v>
      </c>
      <c r="M100" s="4" t="str">
        <f ca="1">IF(OR(INDEX($AG$2:$AG$1001,MATCH(ROWS($AF$2:AF100),$AF$2:$AF$1001,0),1)&gt;=100000,INDEX($AM$1005:$BM$1005,1,MATCH(COLUMNS($AM$1006:AX1006),$AM$1006:$BM$1006,0))&gt;=100000), " ",IF(INDEX($AM$2:$BM$1001,MATCH(ROWS($AF$2:AF100),$AF$2:$AF$1001,0),MATCH(COLUMNS($AM$1006:AX1006),$AM$1006:$BM$1006,0)), HYPERLINK("#",""), HYPERLINK(CONCATENATE("#metadata!", ADDRESS(INDEX($AH$2:$AH$1001,MATCH(ROWS($AF$2:AF100),$AF$2:$AF$1001,0),0), INDEX($AM$1004:$BM$1004,1,MATCH(COLUMNS($AM$1006:AX1006),$AM$1006:$BM$1006,0)))),"Fix")))</f>
        <v xml:space="preserve"> </v>
      </c>
      <c r="N100" s="4" t="str">
        <f ca="1">IF(OR(INDEX($AG$2:$AG$1001,MATCH(ROWS($AF$2:AF100),$AF$2:$AF$1001,0),1)&gt;=100000,INDEX($AM$1005:$BM$1005,1,MATCH(COLUMNS($AM$1006:AY1006),$AM$1006:$BM$1006,0))&gt;=100000), " ",IF(INDEX($AM$2:$BM$1001,MATCH(ROWS($AF$2:AF100),$AF$2:$AF$1001,0),MATCH(COLUMNS($AM$1006:AY1006),$AM$1006:$BM$1006,0)), HYPERLINK("#",""), HYPERLINK(CONCATENATE("#metadata!", ADDRESS(INDEX($AH$2:$AH$1001,MATCH(ROWS($AF$2:AF100),$AF$2:$AF$1001,0),0), INDEX($AM$1004:$BM$1004,1,MATCH(COLUMNS($AM$1006:AY1006),$AM$1006:$BM$1006,0)))),"Fix")))</f>
        <v xml:space="preserve"> </v>
      </c>
      <c r="O100" s="4" t="str">
        <f ca="1">IF(OR(INDEX($AG$2:$AG$1001,MATCH(ROWS($AF$2:AF100),$AF$2:$AF$1001,0),1)&gt;=100000,INDEX($AM$1005:$BM$1005,1,MATCH(COLUMNS($AM$1006:AZ1006),$AM$1006:$BM$1006,0))&gt;=100000), " ",IF(INDEX($AM$2:$BM$1001,MATCH(ROWS($AF$2:AF100),$AF$2:$AF$1001,0),MATCH(COLUMNS($AM$1006:AZ1006),$AM$1006:$BM$1006,0)), HYPERLINK("#",""), HYPERLINK(CONCATENATE("#metadata!", ADDRESS(INDEX($AH$2:$AH$1001,MATCH(ROWS($AF$2:AF100),$AF$2:$AF$1001,0),0), INDEX($AM$1004:$BM$1004,1,MATCH(COLUMNS($AM$1006:AZ1006),$AM$1006:$BM$1006,0)))),"Fix")))</f>
        <v xml:space="preserve"> </v>
      </c>
      <c r="P100" s="4" t="str">
        <f ca="1">IF(OR(INDEX($AG$2:$AG$1001,MATCH(ROWS($AF$2:AF100),$AF$2:$AF$1001,0),1)&gt;=100000,INDEX($AM$1005:$BM$1005,1,MATCH(COLUMNS($AM$1006:BA1006),$AM$1006:$BM$1006,0))&gt;=100000), " ",IF(INDEX($AM$2:$BM$1001,MATCH(ROWS($AF$2:AF100),$AF$2:$AF$1001,0),MATCH(COLUMNS($AM$1006:BA1006),$AM$1006:$BM$1006,0)), HYPERLINK("#",""), HYPERLINK(CONCATENATE("#metadata!", ADDRESS(INDEX($AH$2:$AH$1001,MATCH(ROWS($AF$2:AF100),$AF$2:$AF$1001,0),0), INDEX($AM$1004:$BM$1004,1,MATCH(COLUMNS($AM$1006:BA1006),$AM$1006:$BM$1006,0)))),"Fix")))</f>
        <v xml:space="preserve"> </v>
      </c>
      <c r="Q100" s="4" t="str">
        <f ca="1">IF(OR(INDEX($AG$2:$AG$1001,MATCH(ROWS($AF$2:AF100),$AF$2:$AF$1001,0),1)&gt;=100000,INDEX($AM$1005:$BM$1005,1,MATCH(COLUMNS($AM$1006:BB1006),$AM$1006:$BM$1006,0))&gt;=100000), " ",IF(INDEX($AM$2:$BM$1001,MATCH(ROWS($AF$2:AF100),$AF$2:$AF$1001,0),MATCH(COLUMNS($AM$1006:BB1006),$AM$1006:$BM$1006,0)), HYPERLINK("#",""), HYPERLINK(CONCATENATE("#metadata!", ADDRESS(INDEX($AH$2:$AH$1001,MATCH(ROWS($AF$2:AF100),$AF$2:$AF$1001,0),0), INDEX($AM$1004:$BM$1004,1,MATCH(COLUMNS($AM$1006:BB1006),$AM$1006:$BM$1006,0)))),"Fix")))</f>
        <v xml:space="preserve"> </v>
      </c>
      <c r="R100" s="4" t="str">
        <f ca="1">IF(OR(INDEX($AG$2:$AG$1001,MATCH(ROWS($AF$2:AF100),$AF$2:$AF$1001,0),1)&gt;=100000,INDEX($AM$1005:$BM$1005,1,MATCH(COLUMNS($AM$1006:BC1006),$AM$1006:$BM$1006,0))&gt;=100000), " ",IF(INDEX($AM$2:$BM$1001,MATCH(ROWS($AF$2:AF100),$AF$2:$AF$1001,0),MATCH(COLUMNS($AM$1006:BC1006),$AM$1006:$BM$1006,0)), HYPERLINK("#",""), HYPERLINK(CONCATENATE("#metadata!", ADDRESS(INDEX($AH$2:$AH$1001,MATCH(ROWS($AF$2:AF100),$AF$2:$AF$1001,0),0), INDEX($AM$1004:$BM$1004,1,MATCH(COLUMNS($AM$1006:BC1006),$AM$1006:$BM$1006,0)))),"Fix")))</f>
        <v xml:space="preserve"> </v>
      </c>
      <c r="S100" s="4" t="str">
        <f ca="1">IF(OR(INDEX($AG$2:$AG$1001,MATCH(ROWS($AF$2:AF100),$AF$2:$AF$1001,0),1)&gt;=100000,INDEX($AM$1005:$BM$1005,1,MATCH(COLUMNS($AM$1006:BD1006),$AM$1006:$BM$1006,0))&gt;=100000), " ",IF(INDEX($AM$2:$BM$1001,MATCH(ROWS($AF$2:AF100),$AF$2:$AF$1001,0),MATCH(COLUMNS($AM$1006:BD1006),$AM$1006:$BM$1006,0)), HYPERLINK("#",""), HYPERLINK(CONCATENATE("#metadata!", ADDRESS(INDEX($AH$2:$AH$1001,MATCH(ROWS($AF$2:AF100),$AF$2:$AF$1001,0),0), INDEX($AM$1004:$BM$1004,1,MATCH(COLUMNS($AM$1006:BD1006),$AM$1006:$BM$1006,0)))),"Fix")))</f>
        <v xml:space="preserve"> </v>
      </c>
      <c r="T100" s="4" t="str">
        <f ca="1">IF(OR(INDEX($AG$2:$AG$1001,MATCH(ROWS($AF$2:AF100),$AF$2:$AF$1001,0),1)&gt;=100000,INDEX($AM$1005:$BM$1005,1,MATCH(COLUMNS($AM$1006:BE1006),$AM$1006:$BM$1006,0))&gt;=100000), " ",IF(INDEX($AM$2:$BM$1001,MATCH(ROWS($AF$2:AF100),$AF$2:$AF$1001,0),MATCH(COLUMNS($AM$1006:BE1006),$AM$1006:$BM$1006,0)), HYPERLINK("#",""), HYPERLINK(CONCATENATE("#metadata!", ADDRESS(INDEX($AH$2:$AH$1001,MATCH(ROWS($AF$2:AF100),$AF$2:$AF$1001,0),0), INDEX($AM$1004:$BM$1004,1,MATCH(COLUMNS($AM$1006:BE1006),$AM$1006:$BM$1006,0)))),"Fix")))</f>
        <v xml:space="preserve"> </v>
      </c>
      <c r="U100" s="4" t="str">
        <f ca="1">IF(OR(INDEX($AG$2:$AG$1001,MATCH(ROWS($AF$2:AF100),$AF$2:$AF$1001,0),1)&gt;=100000,INDEX($AM$1005:$BM$1005,1,MATCH(COLUMNS($AM$1006:BF1006),$AM$1006:$BM$1006,0))&gt;=100000), " ",IF(INDEX($AM$2:$BM$1001,MATCH(ROWS($AF$2:AF100),$AF$2:$AF$1001,0),MATCH(COLUMNS($AM$1006:BF1006),$AM$1006:$BM$1006,0)), HYPERLINK("#",""), HYPERLINK(CONCATENATE("#metadata!", ADDRESS(INDEX($AH$2:$AH$1001,MATCH(ROWS($AF$2:AF100),$AF$2:$AF$1001,0),0), INDEX($AM$1004:$BM$1004,1,MATCH(COLUMNS($AM$1006:BF1006),$AM$1006:$BM$1006,0)))),"Fix")))</f>
        <v xml:space="preserve"> </v>
      </c>
      <c r="V100" s="4" t="str">
        <f ca="1">IF(OR(INDEX($AG$2:$AG$1001,MATCH(ROWS($AF$2:AF100),$AF$2:$AF$1001,0),1)&gt;=100000,INDEX($AM$1005:$BM$1005,1,MATCH(COLUMNS($AM$1006:BG1006),$AM$1006:$BM$1006,0))&gt;=100000), " ",IF(INDEX($AM$2:$BM$1001,MATCH(ROWS($AF$2:AF100),$AF$2:$AF$1001,0),MATCH(COLUMNS($AM$1006:BG1006),$AM$1006:$BM$1006,0)), HYPERLINK("#",""), HYPERLINK(CONCATENATE("#metadata!", ADDRESS(INDEX($AH$2:$AH$1001,MATCH(ROWS($AF$2:AF100),$AF$2:$AF$1001,0),0), INDEX($AM$1004:$BM$1004,1,MATCH(COLUMNS($AM$1006:BG1006),$AM$1006:$BM$1006,0)))),"Fix")))</f>
        <v xml:space="preserve"> </v>
      </c>
      <c r="W100" s="4" t="str">
        <f ca="1">IF(OR(INDEX($AG$2:$AG$1001,MATCH(ROWS($AF$2:AF100),$AF$2:$AF$1001,0),1)&gt;=100000,INDEX($AM$1005:$BM$1005,1,MATCH(COLUMNS($AM$1006:BH1006),$AM$1006:$BM$1006,0))&gt;=100000), " ",IF(INDEX($AM$2:$BM$1001,MATCH(ROWS($AF$2:AF100),$AF$2:$AF$1001,0),MATCH(COLUMNS($AM$1006:BH1006),$AM$1006:$BM$1006,0)), HYPERLINK("#",""), HYPERLINK(CONCATENATE("#metadata!", ADDRESS(INDEX($AH$2:$AH$1001,MATCH(ROWS($AF$2:AF100),$AF$2:$AF$1001,0),0), INDEX($AM$1004:$BM$1004,1,MATCH(COLUMNS($AM$1006:BH1006),$AM$1006:$BM$1006,0)))),"Fix")))</f>
        <v xml:space="preserve"> </v>
      </c>
      <c r="X100" s="4" t="str">
        <f ca="1">IF(OR(INDEX($AG$2:$AG$1001,MATCH(ROWS($AF$2:AF100),$AF$2:$AF$1001,0),1)&gt;=100000,INDEX($AM$1005:$BM$1005,1,MATCH(COLUMNS($AM$1006:BI1006),$AM$1006:$BM$1006,0))&gt;=100000), " ",IF(INDEX($AM$2:$BM$1001,MATCH(ROWS($AF$2:AF100),$AF$2:$AF$1001,0),MATCH(COLUMNS($AM$1006:BI1006),$AM$1006:$BM$1006,0)), HYPERLINK("#",""), HYPERLINK(CONCATENATE("#metadata!", ADDRESS(INDEX($AH$2:$AH$1001,MATCH(ROWS($AF$2:AF100),$AF$2:$AF$1001,0),0), INDEX($AM$1004:$BM$1004,1,MATCH(COLUMNS($AM$1006:BI1006),$AM$1006:$BM$1006,0)))),"Fix")))</f>
        <v xml:space="preserve"> </v>
      </c>
      <c r="Y100" s="4" t="str">
        <f ca="1">IF(OR(INDEX($AG$2:$AG$1001,MATCH(ROWS($AF$2:AF100),$AF$2:$AF$1001,0),1)&gt;=100000,INDEX($AM$1005:$BM$1005,1,MATCH(COLUMNS($AM$1006:BJ1006),$AM$1006:$BM$1006,0))&gt;=100000), " ",IF(INDEX($AM$2:$BM$1001,MATCH(ROWS($AF$2:AF100),$AF$2:$AF$1001,0),MATCH(COLUMNS($AM$1006:BJ1006),$AM$1006:$BM$1006,0)), HYPERLINK("#",""), HYPERLINK(CONCATENATE("#metadata!", ADDRESS(INDEX($AH$2:$AH$1001,MATCH(ROWS($AF$2:AF100),$AF$2:$AF$1001,0),0), INDEX($AM$1004:$BM$1004,1,MATCH(COLUMNS($AM$1006:BJ1006),$AM$1006:$BM$1006,0)))),"Fix")))</f>
        <v xml:space="preserve"> </v>
      </c>
      <c r="Z100" s="4" t="str">
        <f ca="1">IF(OR(INDEX($AG$2:$AG$1001,MATCH(ROWS($AF$2:AF100),$AF$2:$AF$1001,0),1)&gt;=100000,INDEX($AM$1005:$BM$1005,1,MATCH(COLUMNS($AM$1006:BK1006),$AM$1006:$BM$1006,0))&gt;=100000), " ",IF(INDEX($AM$2:$BM$1001,MATCH(ROWS($AF$2:AF100),$AF$2:$AF$1001,0),MATCH(COLUMNS($AM$1006:BK1006),$AM$1006:$BM$1006,0)), HYPERLINK("#",""), HYPERLINK(CONCATENATE("#metadata!", ADDRESS(INDEX($AH$2:$AH$1001,MATCH(ROWS($AF$2:AF100),$AF$2:$AF$1001,0),0), INDEX($AM$1004:$BM$1004,1,MATCH(COLUMNS($AM$1006:BK1006),$AM$1006:$BM$1006,0)))),"Fix")))</f>
        <v xml:space="preserve"> </v>
      </c>
      <c r="AA100" s="4" t="str">
        <f ca="1">IF(OR(INDEX($AG$2:$AG$1001,MATCH(ROWS($AF$2:AF100),$AF$2:$AF$1001,0),1)&gt;=100000,INDEX($AM$1005:$BM$1005,1,MATCH(COLUMNS($AM$1006:BL1006),$AM$1006:$BM$1006,0))&gt;=100000), " ",IF(INDEX($AM$2:$BM$1001,MATCH(ROWS($AF$2:AF100),$AF$2:$AF$1001,0),MATCH(COLUMNS($AM$1006:BL1006),$AM$1006:$BM$1006,0)), HYPERLINK("#",""), HYPERLINK(CONCATENATE("#metadata!", ADDRESS(INDEX($AH$2:$AH$1001,MATCH(ROWS($AF$2:AF100),$AF$2:$AF$1001,0),0), INDEX($AM$1004:$BM$1004,1,MATCH(COLUMNS($AM$1006:BL1006),$AM$1006:$BM$1006,0)))),"Fix")))</f>
        <v xml:space="preserve"> </v>
      </c>
      <c r="AB100" s="4" t="str">
        <f ca="1">IF(OR(INDEX($AG$2:$AG$1001,MATCH(ROWS($AF$2:AF100),$AF$2:$AF$1001,0),1)&gt;=100000,INDEX($AM$1005:$BM$1005,1,MATCH(COLUMNS($AM$1006:BM1006),$AM$1006:$BM$1006,0))&gt;=100000), " ",IF(INDEX($AM$2:$BM$1001,MATCH(ROWS($AF$2:AF100),$AF$2:$AF$1001,0),MATCH(COLUMNS($AM$1006:BM1006),$AM$1006:$BM$1006,0)), HYPERLINK("#",""), HYPERLINK(CONCATENATE("#metadata!", ADDRESS(INDEX($AH$2:$AH$1001,MATCH(ROWS($AF$2:AF100),$AF$2:$AF$1001,0),0), INDEX($AM$1004:$BM$1004,1,MATCH(COLUMNS($AM$1006:BM1006),$AM$1006:$BM$1006,0)))),"Fix")))</f>
        <v xml:space="preserve"> </v>
      </c>
      <c r="AF100">
        <v>99</v>
      </c>
      <c r="AG100">
        <v>100100</v>
      </c>
      <c r="AH100">
        <v>100</v>
      </c>
      <c r="AI100" t="b">
        <f t="shared" si="1"/>
        <v>1</v>
      </c>
      <c r="AJ100" t="b">
        <f>COUNTBLANK(metadata!B100:AB100)=COLUMNS(metadata!B100:AB100)</f>
        <v>1</v>
      </c>
      <c r="AK100" t="str">
        <v/>
      </c>
      <c r="AM100" t="b">
        <f ca="1">AND(IF(metadata!B100="",FALSE,TRUE),COUNTIF(metadata!B:B, metadata!B100) = 1,NOT(ISERROR(SUMPRODUCT(SEARCH(MID(metadata!B100,ROW(INDIRECT("1:"&amp;LEN(metadata!B100))), 1),"0123456789abcdefghijklmnopqrstuvwxyzABCDEFGHIJKLMNOPQRSTUVWXYZ.")))))</f>
        <v>0</v>
      </c>
      <c r="AN100" t="b">
        <f ca="1">OR(AND(IF(metadata!C100="",FALSE,TRUE),OR(EXACT(metadata!C100,"missing: not collected"),EXACT(metadata!C100,"missing: not provided"),EXACT(metadata!C100,"missing: restricted access"))),AND(IF(metadata!C100="",FALSE,TRUE),AND(AND(IFERROR(INT(LEFT(metadata!C100,4))&gt;1900,FALSE),IFERROR(INT(LEFT(metadata!C100,4))&lt;=YEAR(NOW()),FALSE)), OR(MID(metadata!C100,5,1)="", AND(AND(MID(metadata!C100,5,1)="-",IFERROR(INT(MID(metadata!C100,6,1))&gt;=0,FALSE),IFERROR(INT(MID(metadata!C100,6,1))&lt;=1,FALSE),NOT(MID(metadata!C100,7,1)=""),IFERROR(INT(MID(metadata!C100,6,2))&gt;=1,FALSE),IFERROR(INT(MID(metadata!C100,6,2))&lt;=12,FALSE)), OR(MID(metadata!C100,8,1)="", AND(AND(MID(metadata!C100,8,1)="-",IFERROR(INT(MID(metadata!C100,9,1))&gt;=0,FALSE),IFERROR(INT(MID(metadata!C100,9,1))&lt;=3,FALSE),NOT(MID(metadata!C100,10,1)=""),IFERROR(INT(MID(metadata!C100,9,2))&gt;=1,FALSE),IFERROR(INT(MID(metadata!C100,9,2))&lt;=31,FALSE)), OR(MID(metadata!C100,11,1)="", AND(AND(MID(metadata!C100,11,1)=" ",IFERROR(INT(MID(metadata!C100,12,1))&gt;=0,FALSE),IFERROR(INT(MID(metadata!C100,12,1))&lt;=2,FALSE),NOT(MID(metadata!C100,13,1)=""),IFERROR(INT(MID(metadata!C100,12,2))&gt;=0,FALSE),IFERROR(INT(MID(metadata!C100,12,2))&lt;=23,FALSE)), OR(MID(metadata!C100,14,1)="", AND(AND(MID(metadata!C100,14,1)=":",IFERROR(INT(MID(metadata!C100,15,1))&gt;=0,FALSE),IFERROR(INT(MID(metadata!C100,15,1))&lt;=5,FALSE),NOT(MID(metadata!C100,16,1)=""),IFERROR(INT(MID(metadata!C100,15,2))&gt;=0,FALSE),IFERROR(INT(MID(metadata!C100,15,2))&lt;=59,FALSE)), OR(MID(metadata!C100,17,1)="", AND(AND(MID(metadata!C100,17,1)=":",IFERROR(INT(MID(metadata!C100,18,1))&gt;=0,FALSE),IFERROR(INT(MID(metadata!C100,18,1))&lt;=5,FALSE),NOT(MID(metadata!C100,19,1)=""),IFERROR(INT(MID(metadata!C100,18,2))&gt;=0,FALSE),IFERROR(INT(MID(metadata!C100,18,2))&lt;=59,FALSE)), LEN(metadata!C100)&lt;=19)))))))))))))</f>
        <v>0</v>
      </c>
      <c r="AO100" t="b">
        <f>AND(IF(metadata!D100="",FALSE,TRUE),EXACT(metadata!D100,"Not applicable"))</f>
        <v>0</v>
      </c>
      <c r="AP100" t="b">
        <f>IF(metadata!E100="",FALSE,TRUE)</f>
        <v>0</v>
      </c>
      <c r="AQ100" t="b">
        <f>OR(AND(IF(metadata!F100="",FALSE,TRUE),OR(EXACT(metadata!F100,"missing: not collected"),EXACT(metadata!F100,"missing: not provided"))),AND(IF(metadata!F100="",FALSE,TRUE),OR(EXACT(metadata!F100,"TRUE"),EXACT(metadata!F100,"FALSE"))))</f>
        <v>0</v>
      </c>
      <c r="AR100" t="b">
        <f>OR(AND(IF(metadata!G100="",FALSE,TRUE),OR(EXACT(metadata!G100,"missing: not collected"),EXACT(metadata!G100,"missing: not provided"),EXACT(metadata!G100,"missing: restricted access"))),AND(IF(metadata!G100="",FALSE,ISNUMBER(VALUE(metadata!G100))),metadata!G100&gt;=-413))</f>
        <v>0</v>
      </c>
      <c r="AS100" t="b">
        <f>AND(IF(metadata!H100="",FALSE,TRUE),EXACT(metadata!H100,"meters"))</f>
        <v>0</v>
      </c>
      <c r="AT100" t="b">
        <f>AND(IF(metadata!I100="",FALSE,TRUE),OR(EXACT(metadata!I100,"Host-associated"),EXACT(metadata!I100,"Free-living")))</f>
        <v>0</v>
      </c>
      <c r="AU100" t="b">
        <f>AND(IF(metadata!J100="",FALSE,TRUE),OR(EXACT(metadata!J100,"Animal"),EXACT(metadata!J100,"Fungus"),EXACT(metadata!J100,"Plant"),EXACT(metadata!J100,"Saline"),EXACT(metadata!J100,"Non-saline")))</f>
        <v>0</v>
      </c>
      <c r="AV100" t="b">
        <f>AND(IF(metadata!K100="",FALSE,TRUE),OR(EXACT(metadata!K100,"Plant secretion"),EXACT(metadata!K100,"Plant rhizosphere"),EXACT(metadata!K100,"Plant surface"),EXACT(metadata!K100,"Plant corpus"),EXACT(metadata!K100,"Fungus surface"),EXACT(metadata!K100,"Fungus corpus"),EXACT(metadata!K100,"Animal surface"),EXACT(metadata!K100,"Animal proximal gut"),EXACT(metadata!K100,"Animal corpus"),EXACT(metadata!K100,"Animal distal gut"),EXACT(metadata!K100,"Animal secretion"),EXACT(metadata!K100,"Sub-surface (non-saline)"),EXACT(metadata!K100,"Surface (non-saline)"),EXACT(metadata!K100,"Water (non-saline)"),EXACT(metadata!K100,"Soil (non-saline)"),EXACT(metadata!K100,"Aerosol (non-saline)"),EXACT(metadata!K100,"Sediment (non-saline)"),EXACT(metadata!K100,"Surface (saline)"),EXACT(metadata!K100,"Water (saline)"),EXACT(metadata!K100,"Hypersaline (saline)"),EXACT(metadata!K100,"Aerosol (saline)"),EXACT(metadata!K100,"Sediment (saline)")))</f>
        <v>0</v>
      </c>
      <c r="AW100" t="b">
        <f>IF(metadata!L100="",FALSE,TRUE)</f>
        <v>0</v>
      </c>
      <c r="AX100" t="b">
        <f>IF(metadata!M100="",FALSE,TRUE)</f>
        <v>0</v>
      </c>
      <c r="AY100" t="b">
        <f>IF(metadata!N100="",FALSE,TRUE)</f>
        <v>0</v>
      </c>
      <c r="AZ100" t="b">
        <f>OR(AND(IF(metadata!O100="",FALSE,TRUE),OR(EXACT(metadata!O100,"missing: not collected"),EXACT(metadata!O100,"missing: not provided"),EXACT(metadata!O100,"missing: restricted access"))),AND(IF(metadata!O100="",FALSE,TRUE),OR(EXACT(metadata!O100,"air"),EXACT(metadata!O100,"built environment"),EXACT(metadata!O100,"host-associated"),EXACT(metadata!O100,"human-associated"),EXACT(metadata!O100,"human-skin"),EXACT(metadata!O100,"human-oral"),EXACT(metadata!O100,"human-gut"),EXACT(metadata!O100,"human-vaginal"),EXACT(metadata!O100,"microbial mat/biofilm"),EXACT(metadata!O100,"misc environment"),EXACT(metadata!O100,"plant-associated"),EXACT(metadata!O100,"sediment"),EXACT(metadata!O100,"soil"),EXACT(metadata!O100,"wastewater/sludge"),EXACT(metadata!O100,"water"))))</f>
        <v>0</v>
      </c>
      <c r="BA100" t="b">
        <f>IF(metadata!P100="",FALSE,TRUE)</f>
        <v>0</v>
      </c>
      <c r="BB100" t="b">
        <f>IF(metadata!Q100="",FALSE,TRUE)</f>
        <v>0</v>
      </c>
      <c r="BC100" t="b">
        <f>OR(AND(IF(metadata!R100="",FALSE,TRUE),OR(EXACT(metadata!R100,"missing: not collected"),EXACT(metadata!R100,"missing: not provided"),EXACT(metadata!R100,"missing: restricted access"))),AND(IF(metadata!R100="",FALSE,ISNUMBER(VALUE(metadata!R100))),metadata!R100&gt;=-90,metadata!R100&lt;=90))</f>
        <v>0</v>
      </c>
      <c r="BD100" t="b">
        <f>AND(IF(metadata!S100="",FALSE,TRUE),EXACT(metadata!S100,"Decimal degrees"))</f>
        <v>0</v>
      </c>
      <c r="BE100" t="b">
        <f>OR(AND(IF(metadata!T100="",FALSE,TRUE),OR(EXACT(metadata!T100,"missing: not collected"),EXACT(metadata!T100,"missing: not provided"),EXACT(metadata!T100,"missing: restricted access"))),AND(IF(metadata!T100="",FALSE,ISNUMBER(VALUE(metadata!T100))),metadata!T100&gt;=-180,metadata!T100&lt;=180))</f>
        <v>0</v>
      </c>
      <c r="BF100" t="b">
        <f>AND(IF(metadata!U100="",FALSE,TRUE),EXACT(metadata!U100,"Decimal degrees"))</f>
        <v>0</v>
      </c>
      <c r="BG100" t="b">
        <f>IF(metadata!V100="",FALSE,TRUE)</f>
        <v>0</v>
      </c>
      <c r="BH100" t="b">
        <f>OR(AND(IF(metadata!W100="",FALSE,TRUE),OR(EXACT(metadata!W100,"missing: not collected"),EXACT(metadata!W100,"missing: not provided"),EXACT(metadata!W100,"missing: restricted access"))),AND(IF(metadata!W100="",FALSE,TRUE),OR(EXACT(metadata!W100,"TRUE"),EXACT(metadata!W100,"FALSE"))))</f>
        <v>0</v>
      </c>
      <c r="BI100" t="b">
        <f>AND(IF(metadata!X100="",FALSE,TRUE),EXACT(metadata!X100,"other"))</f>
        <v>0</v>
      </c>
      <c r="BJ100" t="b">
        <f>IF(metadata!Y100="",FALSE,TRUE)</f>
        <v>0</v>
      </c>
      <c r="BK100" t="b">
        <f>OR(AND(IF(metadata!Z100="",FALSE,TRUE),OR(EXACT(metadata!Z100,"missing: not collected"),EXACT(metadata!Z100,"missing: not provided"))),AND(IF(metadata!Z100="",FALSE,IF(ISERROR(INT(metadata!Z100)),FALSE,INT(metadata!Z100)=metadata!Z100)),metadata!Z100&gt;0))</f>
        <v>0</v>
      </c>
      <c r="BL100" t="b">
        <f>AND(IF(metadata!AA100="",FALSE,TRUE),EXACT(metadata!AA100,"Not applicable"))</f>
        <v>0</v>
      </c>
      <c r="BM100" t="b">
        <f>IF(metadata!AB100="",FALSE,TRUE)</f>
        <v>0</v>
      </c>
    </row>
    <row r="101" spans="1:65" x14ac:dyDescent="0.2">
      <c r="A101" s="5" t="str">
        <f ca="1">IF(B101=" "," ",HYPERLINK(CONCATENATE("#metadata!",ADDRESS(INDEX($AH$2:$AH$1001,MATCH(ROWS($AF$2:AF101),$AF$2:$AF$1001,0),0),1)),INDEX($AK$2:$AK$1001,MATCH(ROWS($AF$2:AF101),$AF$2:$AF$1001,0),0)))</f>
        <v xml:space="preserve"> </v>
      </c>
      <c r="B101" s="4" t="str">
        <f ca="1">IF(OR(INDEX($AG$2:$AG$1001,MATCH(ROWS($AF$2:AF101),$AF$2:$AF$1001,0),1)&gt;=100000,INDEX($AM$1005:$BM$1005,1,MATCH(COLUMNS($AM$1006:AM1006),$AM$1006:$BM$1006,0))&gt;=100000), " ",IF(INDEX($AM$2:$BM$1001,MATCH(ROWS($AF$2:AF101),$AF$2:$AF$1001,0),MATCH(COLUMNS($AM$1006:AM1006),$AM$1006:$BM$1006,0)), HYPERLINK("#",""), HYPERLINK(CONCATENATE("#metadata!", ADDRESS(INDEX($AH$2:$AH$1001,MATCH(ROWS($AF$2:AF101),$AF$2:$AF$1001,0),0), INDEX($AM$1004:$BM$1004,1,MATCH(COLUMNS($AM$1006:AM1006),$AM$1006:$BM$1006,0)))),"Fix")))</f>
        <v xml:space="preserve"> </v>
      </c>
      <c r="C101" s="4" t="str">
        <f ca="1">IF(OR(INDEX($AG$2:$AG$1001,MATCH(ROWS($AF$2:AF101),$AF$2:$AF$1001,0),1)&gt;=100000,INDEX($AM$1005:$BM$1005,1,MATCH(COLUMNS($AM$1006:AN1006),$AM$1006:$BM$1006,0))&gt;=100000), " ",IF(INDEX($AM$2:$BM$1001,MATCH(ROWS($AF$2:AF101),$AF$2:$AF$1001,0),MATCH(COLUMNS($AM$1006:AN1006),$AM$1006:$BM$1006,0)), HYPERLINK("#",""), HYPERLINK(CONCATENATE("#metadata!", ADDRESS(INDEX($AH$2:$AH$1001,MATCH(ROWS($AF$2:AF101),$AF$2:$AF$1001,0),0), INDEX($AM$1004:$BM$1004,1,MATCH(COLUMNS($AM$1006:AN1006),$AM$1006:$BM$1006,0)))),"Fix")))</f>
        <v xml:space="preserve"> </v>
      </c>
      <c r="D101" s="4" t="str">
        <f ca="1">IF(OR(INDEX($AG$2:$AG$1001,MATCH(ROWS($AF$2:AF101),$AF$2:$AF$1001,0),1)&gt;=100000,INDEX($AM$1005:$BM$1005,1,MATCH(COLUMNS($AM$1006:AO1006),$AM$1006:$BM$1006,0))&gt;=100000), " ",IF(INDEX($AM$2:$BM$1001,MATCH(ROWS($AF$2:AF101),$AF$2:$AF$1001,0),MATCH(COLUMNS($AM$1006:AO1006),$AM$1006:$BM$1006,0)), HYPERLINK("#",""), HYPERLINK(CONCATENATE("#metadata!", ADDRESS(INDEX($AH$2:$AH$1001,MATCH(ROWS($AF$2:AF101),$AF$2:$AF$1001,0),0), INDEX($AM$1004:$BM$1004,1,MATCH(COLUMNS($AM$1006:AO1006),$AM$1006:$BM$1006,0)))),"Fix")))</f>
        <v xml:space="preserve"> </v>
      </c>
      <c r="E101" s="4" t="str">
        <f ca="1">IF(OR(INDEX($AG$2:$AG$1001,MATCH(ROWS($AF$2:AF101),$AF$2:$AF$1001,0),1)&gt;=100000,INDEX($AM$1005:$BM$1005,1,MATCH(COLUMNS($AM$1006:AP1006),$AM$1006:$BM$1006,0))&gt;=100000), " ",IF(INDEX($AM$2:$BM$1001,MATCH(ROWS($AF$2:AF101),$AF$2:$AF$1001,0),MATCH(COLUMNS($AM$1006:AP1006),$AM$1006:$BM$1006,0)), HYPERLINK("#",""), HYPERLINK(CONCATENATE("#metadata!", ADDRESS(INDEX($AH$2:$AH$1001,MATCH(ROWS($AF$2:AF101),$AF$2:$AF$1001,0),0), INDEX($AM$1004:$BM$1004,1,MATCH(COLUMNS($AM$1006:AP1006),$AM$1006:$BM$1006,0)))),"Fix")))</f>
        <v xml:space="preserve"> </v>
      </c>
      <c r="F101" s="4" t="str">
        <f ca="1">IF(OR(INDEX($AG$2:$AG$1001,MATCH(ROWS($AF$2:AF101),$AF$2:$AF$1001,0),1)&gt;=100000,INDEX($AM$1005:$BM$1005,1,MATCH(COLUMNS($AM$1006:AQ1006),$AM$1006:$BM$1006,0))&gt;=100000), " ",IF(INDEX($AM$2:$BM$1001,MATCH(ROWS($AF$2:AF101),$AF$2:$AF$1001,0),MATCH(COLUMNS($AM$1006:AQ1006),$AM$1006:$BM$1006,0)), HYPERLINK("#",""), HYPERLINK(CONCATENATE("#metadata!", ADDRESS(INDEX($AH$2:$AH$1001,MATCH(ROWS($AF$2:AF101),$AF$2:$AF$1001,0),0), INDEX($AM$1004:$BM$1004,1,MATCH(COLUMNS($AM$1006:AQ1006),$AM$1006:$BM$1006,0)))),"Fix")))</f>
        <v xml:space="preserve"> </v>
      </c>
      <c r="G101" s="4" t="str">
        <f ca="1">IF(OR(INDEX($AG$2:$AG$1001,MATCH(ROWS($AF$2:AF101),$AF$2:$AF$1001,0),1)&gt;=100000,INDEX($AM$1005:$BM$1005,1,MATCH(COLUMNS($AM$1006:AR1006),$AM$1006:$BM$1006,0))&gt;=100000), " ",IF(INDEX($AM$2:$BM$1001,MATCH(ROWS($AF$2:AF101),$AF$2:$AF$1001,0),MATCH(COLUMNS($AM$1006:AR1006),$AM$1006:$BM$1006,0)), HYPERLINK("#",""), HYPERLINK(CONCATENATE("#metadata!", ADDRESS(INDEX($AH$2:$AH$1001,MATCH(ROWS($AF$2:AF101),$AF$2:$AF$1001,0),0), INDEX($AM$1004:$BM$1004,1,MATCH(COLUMNS($AM$1006:AR1006),$AM$1006:$BM$1006,0)))),"Fix")))</f>
        <v xml:space="preserve"> </v>
      </c>
      <c r="H101" s="4" t="str">
        <f ca="1">IF(OR(INDEX($AG$2:$AG$1001,MATCH(ROWS($AF$2:AF101),$AF$2:$AF$1001,0),1)&gt;=100000,INDEX($AM$1005:$BM$1005,1,MATCH(COLUMNS($AM$1006:AS1006),$AM$1006:$BM$1006,0))&gt;=100000), " ",IF(INDEX($AM$2:$BM$1001,MATCH(ROWS($AF$2:AF101),$AF$2:$AF$1001,0),MATCH(COLUMNS($AM$1006:AS1006),$AM$1006:$BM$1006,0)), HYPERLINK("#",""), HYPERLINK(CONCATENATE("#metadata!", ADDRESS(INDEX($AH$2:$AH$1001,MATCH(ROWS($AF$2:AF101),$AF$2:$AF$1001,0),0), INDEX($AM$1004:$BM$1004,1,MATCH(COLUMNS($AM$1006:AS1006),$AM$1006:$BM$1006,0)))),"Fix")))</f>
        <v xml:space="preserve"> </v>
      </c>
      <c r="I101" s="4" t="str">
        <f ca="1">IF(OR(INDEX($AG$2:$AG$1001,MATCH(ROWS($AF$2:AF101),$AF$2:$AF$1001,0),1)&gt;=100000,INDEX($AM$1005:$BM$1005,1,MATCH(COLUMNS($AM$1006:AT1006),$AM$1006:$BM$1006,0))&gt;=100000), " ",IF(INDEX($AM$2:$BM$1001,MATCH(ROWS($AF$2:AF101),$AF$2:$AF$1001,0),MATCH(COLUMNS($AM$1006:AT1006),$AM$1006:$BM$1006,0)), HYPERLINK("#",""), HYPERLINK(CONCATENATE("#metadata!", ADDRESS(INDEX($AH$2:$AH$1001,MATCH(ROWS($AF$2:AF101),$AF$2:$AF$1001,0),0), INDEX($AM$1004:$BM$1004,1,MATCH(COLUMNS($AM$1006:AT1006),$AM$1006:$BM$1006,0)))),"Fix")))</f>
        <v xml:space="preserve"> </v>
      </c>
      <c r="J101" s="4" t="str">
        <f ca="1">IF(OR(INDEX($AG$2:$AG$1001,MATCH(ROWS($AF$2:AF101),$AF$2:$AF$1001,0),1)&gt;=100000,INDEX($AM$1005:$BM$1005,1,MATCH(COLUMNS($AM$1006:AU1006),$AM$1006:$BM$1006,0))&gt;=100000), " ",IF(INDEX($AM$2:$BM$1001,MATCH(ROWS($AF$2:AF101),$AF$2:$AF$1001,0),MATCH(COLUMNS($AM$1006:AU1006),$AM$1006:$BM$1006,0)), HYPERLINK("#",""), HYPERLINK(CONCATENATE("#metadata!", ADDRESS(INDEX($AH$2:$AH$1001,MATCH(ROWS($AF$2:AF101),$AF$2:$AF$1001,0),0), INDEX($AM$1004:$BM$1004,1,MATCH(COLUMNS($AM$1006:AU1006),$AM$1006:$BM$1006,0)))),"Fix")))</f>
        <v xml:space="preserve"> </v>
      </c>
      <c r="K101" s="4" t="str">
        <f ca="1">IF(OR(INDEX($AG$2:$AG$1001,MATCH(ROWS($AF$2:AF101),$AF$2:$AF$1001,0),1)&gt;=100000,INDEX($AM$1005:$BM$1005,1,MATCH(COLUMNS($AM$1006:AV1006),$AM$1006:$BM$1006,0))&gt;=100000), " ",IF(INDEX($AM$2:$BM$1001,MATCH(ROWS($AF$2:AF101),$AF$2:$AF$1001,0),MATCH(COLUMNS($AM$1006:AV1006),$AM$1006:$BM$1006,0)), HYPERLINK("#",""), HYPERLINK(CONCATENATE("#metadata!", ADDRESS(INDEX($AH$2:$AH$1001,MATCH(ROWS($AF$2:AF101),$AF$2:$AF$1001,0),0), INDEX($AM$1004:$BM$1004,1,MATCH(COLUMNS($AM$1006:AV1006),$AM$1006:$BM$1006,0)))),"Fix")))</f>
        <v xml:space="preserve"> </v>
      </c>
      <c r="L101" s="4" t="str">
        <f ca="1">IF(OR(INDEX($AG$2:$AG$1001,MATCH(ROWS($AF$2:AF101),$AF$2:$AF$1001,0),1)&gt;=100000,INDEX($AM$1005:$BM$1005,1,MATCH(COLUMNS($AM$1006:AW1006),$AM$1006:$BM$1006,0))&gt;=100000), " ",IF(INDEX($AM$2:$BM$1001,MATCH(ROWS($AF$2:AF101),$AF$2:$AF$1001,0),MATCH(COLUMNS($AM$1006:AW1006),$AM$1006:$BM$1006,0)), HYPERLINK("#",""), HYPERLINK(CONCATENATE("#metadata!", ADDRESS(INDEX($AH$2:$AH$1001,MATCH(ROWS($AF$2:AF101),$AF$2:$AF$1001,0),0), INDEX($AM$1004:$BM$1004,1,MATCH(COLUMNS($AM$1006:AW1006),$AM$1006:$BM$1006,0)))),"Fix")))</f>
        <v xml:space="preserve"> </v>
      </c>
      <c r="M101" s="4" t="str">
        <f ca="1">IF(OR(INDEX($AG$2:$AG$1001,MATCH(ROWS($AF$2:AF101),$AF$2:$AF$1001,0),1)&gt;=100000,INDEX($AM$1005:$BM$1005,1,MATCH(COLUMNS($AM$1006:AX1006),$AM$1006:$BM$1006,0))&gt;=100000), " ",IF(INDEX($AM$2:$BM$1001,MATCH(ROWS($AF$2:AF101),$AF$2:$AF$1001,0),MATCH(COLUMNS($AM$1006:AX1006),$AM$1006:$BM$1006,0)), HYPERLINK("#",""), HYPERLINK(CONCATENATE("#metadata!", ADDRESS(INDEX($AH$2:$AH$1001,MATCH(ROWS($AF$2:AF101),$AF$2:$AF$1001,0),0), INDEX($AM$1004:$BM$1004,1,MATCH(COLUMNS($AM$1006:AX1006),$AM$1006:$BM$1006,0)))),"Fix")))</f>
        <v xml:space="preserve"> </v>
      </c>
      <c r="N101" s="4" t="str">
        <f ca="1">IF(OR(INDEX($AG$2:$AG$1001,MATCH(ROWS($AF$2:AF101),$AF$2:$AF$1001,0),1)&gt;=100000,INDEX($AM$1005:$BM$1005,1,MATCH(COLUMNS($AM$1006:AY1006),$AM$1006:$BM$1006,0))&gt;=100000), " ",IF(INDEX($AM$2:$BM$1001,MATCH(ROWS($AF$2:AF101),$AF$2:$AF$1001,0),MATCH(COLUMNS($AM$1006:AY1006),$AM$1006:$BM$1006,0)), HYPERLINK("#",""), HYPERLINK(CONCATENATE("#metadata!", ADDRESS(INDEX($AH$2:$AH$1001,MATCH(ROWS($AF$2:AF101),$AF$2:$AF$1001,0),0), INDEX($AM$1004:$BM$1004,1,MATCH(COLUMNS($AM$1006:AY1006),$AM$1006:$BM$1006,0)))),"Fix")))</f>
        <v xml:space="preserve"> </v>
      </c>
      <c r="O101" s="4" t="str">
        <f ca="1">IF(OR(INDEX($AG$2:$AG$1001,MATCH(ROWS($AF$2:AF101),$AF$2:$AF$1001,0),1)&gt;=100000,INDEX($AM$1005:$BM$1005,1,MATCH(COLUMNS($AM$1006:AZ1006),$AM$1006:$BM$1006,0))&gt;=100000), " ",IF(INDEX($AM$2:$BM$1001,MATCH(ROWS($AF$2:AF101),$AF$2:$AF$1001,0),MATCH(COLUMNS($AM$1006:AZ1006),$AM$1006:$BM$1006,0)), HYPERLINK("#",""), HYPERLINK(CONCATENATE("#metadata!", ADDRESS(INDEX($AH$2:$AH$1001,MATCH(ROWS($AF$2:AF101),$AF$2:$AF$1001,0),0), INDEX($AM$1004:$BM$1004,1,MATCH(COLUMNS($AM$1006:AZ1006),$AM$1006:$BM$1006,0)))),"Fix")))</f>
        <v xml:space="preserve"> </v>
      </c>
      <c r="P101" s="4" t="str">
        <f ca="1">IF(OR(INDEX($AG$2:$AG$1001,MATCH(ROWS($AF$2:AF101),$AF$2:$AF$1001,0),1)&gt;=100000,INDEX($AM$1005:$BM$1005,1,MATCH(COLUMNS($AM$1006:BA1006),$AM$1006:$BM$1006,0))&gt;=100000), " ",IF(INDEX($AM$2:$BM$1001,MATCH(ROWS($AF$2:AF101),$AF$2:$AF$1001,0),MATCH(COLUMNS($AM$1006:BA1006),$AM$1006:$BM$1006,0)), HYPERLINK("#",""), HYPERLINK(CONCATENATE("#metadata!", ADDRESS(INDEX($AH$2:$AH$1001,MATCH(ROWS($AF$2:AF101),$AF$2:$AF$1001,0),0), INDEX($AM$1004:$BM$1004,1,MATCH(COLUMNS($AM$1006:BA1006),$AM$1006:$BM$1006,0)))),"Fix")))</f>
        <v xml:space="preserve"> </v>
      </c>
      <c r="Q101" s="4" t="str">
        <f ca="1">IF(OR(INDEX($AG$2:$AG$1001,MATCH(ROWS($AF$2:AF101),$AF$2:$AF$1001,0),1)&gt;=100000,INDEX($AM$1005:$BM$1005,1,MATCH(COLUMNS($AM$1006:BB1006),$AM$1006:$BM$1006,0))&gt;=100000), " ",IF(INDEX($AM$2:$BM$1001,MATCH(ROWS($AF$2:AF101),$AF$2:$AF$1001,0),MATCH(COLUMNS($AM$1006:BB1006),$AM$1006:$BM$1006,0)), HYPERLINK("#",""), HYPERLINK(CONCATENATE("#metadata!", ADDRESS(INDEX($AH$2:$AH$1001,MATCH(ROWS($AF$2:AF101),$AF$2:$AF$1001,0),0), INDEX($AM$1004:$BM$1004,1,MATCH(COLUMNS($AM$1006:BB1006),$AM$1006:$BM$1006,0)))),"Fix")))</f>
        <v xml:space="preserve"> </v>
      </c>
      <c r="R101" s="4" t="str">
        <f ca="1">IF(OR(INDEX($AG$2:$AG$1001,MATCH(ROWS($AF$2:AF101),$AF$2:$AF$1001,0),1)&gt;=100000,INDEX($AM$1005:$BM$1005,1,MATCH(COLUMNS($AM$1006:BC1006),$AM$1006:$BM$1006,0))&gt;=100000), " ",IF(INDEX($AM$2:$BM$1001,MATCH(ROWS($AF$2:AF101),$AF$2:$AF$1001,0),MATCH(COLUMNS($AM$1006:BC1006),$AM$1006:$BM$1006,0)), HYPERLINK("#",""), HYPERLINK(CONCATENATE("#metadata!", ADDRESS(INDEX($AH$2:$AH$1001,MATCH(ROWS($AF$2:AF101),$AF$2:$AF$1001,0),0), INDEX($AM$1004:$BM$1004,1,MATCH(COLUMNS($AM$1006:BC1006),$AM$1006:$BM$1006,0)))),"Fix")))</f>
        <v xml:space="preserve"> </v>
      </c>
      <c r="S101" s="4" t="str">
        <f ca="1">IF(OR(INDEX($AG$2:$AG$1001,MATCH(ROWS($AF$2:AF101),$AF$2:$AF$1001,0),1)&gt;=100000,INDEX($AM$1005:$BM$1005,1,MATCH(COLUMNS($AM$1006:BD1006),$AM$1006:$BM$1006,0))&gt;=100000), " ",IF(INDEX($AM$2:$BM$1001,MATCH(ROWS($AF$2:AF101),$AF$2:$AF$1001,0),MATCH(COLUMNS($AM$1006:BD1006),$AM$1006:$BM$1006,0)), HYPERLINK("#",""), HYPERLINK(CONCATENATE("#metadata!", ADDRESS(INDEX($AH$2:$AH$1001,MATCH(ROWS($AF$2:AF101),$AF$2:$AF$1001,0),0), INDEX($AM$1004:$BM$1004,1,MATCH(COLUMNS($AM$1006:BD1006),$AM$1006:$BM$1006,0)))),"Fix")))</f>
        <v xml:space="preserve"> </v>
      </c>
      <c r="T101" s="4" t="str">
        <f ca="1">IF(OR(INDEX($AG$2:$AG$1001,MATCH(ROWS($AF$2:AF101),$AF$2:$AF$1001,0),1)&gt;=100000,INDEX($AM$1005:$BM$1005,1,MATCH(COLUMNS($AM$1006:BE1006),$AM$1006:$BM$1006,0))&gt;=100000), " ",IF(INDEX($AM$2:$BM$1001,MATCH(ROWS($AF$2:AF101),$AF$2:$AF$1001,0),MATCH(COLUMNS($AM$1006:BE1006),$AM$1006:$BM$1006,0)), HYPERLINK("#",""), HYPERLINK(CONCATENATE("#metadata!", ADDRESS(INDEX($AH$2:$AH$1001,MATCH(ROWS($AF$2:AF101),$AF$2:$AF$1001,0),0), INDEX($AM$1004:$BM$1004,1,MATCH(COLUMNS($AM$1006:BE1006),$AM$1006:$BM$1006,0)))),"Fix")))</f>
        <v xml:space="preserve"> </v>
      </c>
      <c r="U101" s="4" t="str">
        <f ca="1">IF(OR(INDEX($AG$2:$AG$1001,MATCH(ROWS($AF$2:AF101),$AF$2:$AF$1001,0),1)&gt;=100000,INDEX($AM$1005:$BM$1005,1,MATCH(COLUMNS($AM$1006:BF1006),$AM$1006:$BM$1006,0))&gt;=100000), " ",IF(INDEX($AM$2:$BM$1001,MATCH(ROWS($AF$2:AF101),$AF$2:$AF$1001,0),MATCH(COLUMNS($AM$1006:BF1006),$AM$1006:$BM$1006,0)), HYPERLINK("#",""), HYPERLINK(CONCATENATE("#metadata!", ADDRESS(INDEX($AH$2:$AH$1001,MATCH(ROWS($AF$2:AF101),$AF$2:$AF$1001,0),0), INDEX($AM$1004:$BM$1004,1,MATCH(COLUMNS($AM$1006:BF1006),$AM$1006:$BM$1006,0)))),"Fix")))</f>
        <v xml:space="preserve"> </v>
      </c>
      <c r="V101" s="4" t="str">
        <f ca="1">IF(OR(INDEX($AG$2:$AG$1001,MATCH(ROWS($AF$2:AF101),$AF$2:$AF$1001,0),1)&gt;=100000,INDEX($AM$1005:$BM$1005,1,MATCH(COLUMNS($AM$1006:BG1006),$AM$1006:$BM$1006,0))&gt;=100000), " ",IF(INDEX($AM$2:$BM$1001,MATCH(ROWS($AF$2:AF101),$AF$2:$AF$1001,0),MATCH(COLUMNS($AM$1006:BG1006),$AM$1006:$BM$1006,0)), HYPERLINK("#",""), HYPERLINK(CONCATENATE("#metadata!", ADDRESS(INDEX($AH$2:$AH$1001,MATCH(ROWS($AF$2:AF101),$AF$2:$AF$1001,0),0), INDEX($AM$1004:$BM$1004,1,MATCH(COLUMNS($AM$1006:BG1006),$AM$1006:$BM$1006,0)))),"Fix")))</f>
        <v xml:space="preserve"> </v>
      </c>
      <c r="W101" s="4" t="str">
        <f ca="1">IF(OR(INDEX($AG$2:$AG$1001,MATCH(ROWS($AF$2:AF101),$AF$2:$AF$1001,0),1)&gt;=100000,INDEX($AM$1005:$BM$1005,1,MATCH(COLUMNS($AM$1006:BH1006),$AM$1006:$BM$1006,0))&gt;=100000), " ",IF(INDEX($AM$2:$BM$1001,MATCH(ROWS($AF$2:AF101),$AF$2:$AF$1001,0),MATCH(COLUMNS($AM$1006:BH1006),$AM$1006:$BM$1006,0)), HYPERLINK("#",""), HYPERLINK(CONCATENATE("#metadata!", ADDRESS(INDEX($AH$2:$AH$1001,MATCH(ROWS($AF$2:AF101),$AF$2:$AF$1001,0),0), INDEX($AM$1004:$BM$1004,1,MATCH(COLUMNS($AM$1006:BH1006),$AM$1006:$BM$1006,0)))),"Fix")))</f>
        <v xml:space="preserve"> </v>
      </c>
      <c r="X101" s="4" t="str">
        <f ca="1">IF(OR(INDEX($AG$2:$AG$1001,MATCH(ROWS($AF$2:AF101),$AF$2:$AF$1001,0),1)&gt;=100000,INDEX($AM$1005:$BM$1005,1,MATCH(COLUMNS($AM$1006:BI1006),$AM$1006:$BM$1006,0))&gt;=100000), " ",IF(INDEX($AM$2:$BM$1001,MATCH(ROWS($AF$2:AF101),$AF$2:$AF$1001,0),MATCH(COLUMNS($AM$1006:BI1006),$AM$1006:$BM$1006,0)), HYPERLINK("#",""), HYPERLINK(CONCATENATE("#metadata!", ADDRESS(INDEX($AH$2:$AH$1001,MATCH(ROWS($AF$2:AF101),$AF$2:$AF$1001,0),0), INDEX($AM$1004:$BM$1004,1,MATCH(COLUMNS($AM$1006:BI1006),$AM$1006:$BM$1006,0)))),"Fix")))</f>
        <v xml:space="preserve"> </v>
      </c>
      <c r="Y101" s="4" t="str">
        <f ca="1">IF(OR(INDEX($AG$2:$AG$1001,MATCH(ROWS($AF$2:AF101),$AF$2:$AF$1001,0),1)&gt;=100000,INDEX($AM$1005:$BM$1005,1,MATCH(COLUMNS($AM$1006:BJ1006),$AM$1006:$BM$1006,0))&gt;=100000), " ",IF(INDEX($AM$2:$BM$1001,MATCH(ROWS($AF$2:AF101),$AF$2:$AF$1001,0),MATCH(COLUMNS($AM$1006:BJ1006),$AM$1006:$BM$1006,0)), HYPERLINK("#",""), HYPERLINK(CONCATENATE("#metadata!", ADDRESS(INDEX($AH$2:$AH$1001,MATCH(ROWS($AF$2:AF101),$AF$2:$AF$1001,0),0), INDEX($AM$1004:$BM$1004,1,MATCH(COLUMNS($AM$1006:BJ1006),$AM$1006:$BM$1006,0)))),"Fix")))</f>
        <v xml:space="preserve"> </v>
      </c>
      <c r="Z101" s="4" t="str">
        <f ca="1">IF(OR(INDEX($AG$2:$AG$1001,MATCH(ROWS($AF$2:AF101),$AF$2:$AF$1001,0),1)&gt;=100000,INDEX($AM$1005:$BM$1005,1,MATCH(COLUMNS($AM$1006:BK1006),$AM$1006:$BM$1006,0))&gt;=100000), " ",IF(INDEX($AM$2:$BM$1001,MATCH(ROWS($AF$2:AF101),$AF$2:$AF$1001,0),MATCH(COLUMNS($AM$1006:BK1006),$AM$1006:$BM$1006,0)), HYPERLINK("#",""), HYPERLINK(CONCATENATE("#metadata!", ADDRESS(INDEX($AH$2:$AH$1001,MATCH(ROWS($AF$2:AF101),$AF$2:$AF$1001,0),0), INDEX($AM$1004:$BM$1004,1,MATCH(COLUMNS($AM$1006:BK1006),$AM$1006:$BM$1006,0)))),"Fix")))</f>
        <v xml:space="preserve"> </v>
      </c>
      <c r="AA101" s="4" t="str">
        <f ca="1">IF(OR(INDEX($AG$2:$AG$1001,MATCH(ROWS($AF$2:AF101),$AF$2:$AF$1001,0),1)&gt;=100000,INDEX($AM$1005:$BM$1005,1,MATCH(COLUMNS($AM$1006:BL1006),$AM$1006:$BM$1006,0))&gt;=100000), " ",IF(INDEX($AM$2:$BM$1001,MATCH(ROWS($AF$2:AF101),$AF$2:$AF$1001,0),MATCH(COLUMNS($AM$1006:BL1006),$AM$1006:$BM$1006,0)), HYPERLINK("#",""), HYPERLINK(CONCATENATE("#metadata!", ADDRESS(INDEX($AH$2:$AH$1001,MATCH(ROWS($AF$2:AF101),$AF$2:$AF$1001,0),0), INDEX($AM$1004:$BM$1004,1,MATCH(COLUMNS($AM$1006:BL1006),$AM$1006:$BM$1006,0)))),"Fix")))</f>
        <v xml:space="preserve"> </v>
      </c>
      <c r="AB101" s="4" t="str">
        <f ca="1">IF(OR(INDEX($AG$2:$AG$1001,MATCH(ROWS($AF$2:AF101),$AF$2:$AF$1001,0),1)&gt;=100000,INDEX($AM$1005:$BM$1005,1,MATCH(COLUMNS($AM$1006:BM1006),$AM$1006:$BM$1006,0))&gt;=100000), " ",IF(INDEX($AM$2:$BM$1001,MATCH(ROWS($AF$2:AF101),$AF$2:$AF$1001,0),MATCH(COLUMNS($AM$1006:BM1006),$AM$1006:$BM$1006,0)), HYPERLINK("#",""), HYPERLINK(CONCATENATE("#metadata!", ADDRESS(INDEX($AH$2:$AH$1001,MATCH(ROWS($AF$2:AF101),$AF$2:$AF$1001,0),0), INDEX($AM$1004:$BM$1004,1,MATCH(COLUMNS($AM$1006:BM1006),$AM$1006:$BM$1006,0)))),"Fix")))</f>
        <v xml:space="preserve"> </v>
      </c>
      <c r="AF101">
        <v>100</v>
      </c>
      <c r="AG101">
        <v>100101</v>
      </c>
      <c r="AH101">
        <v>101</v>
      </c>
      <c r="AI101" t="b">
        <f t="shared" si="1"/>
        <v>1</v>
      </c>
      <c r="AJ101" t="b">
        <f>COUNTBLANK(metadata!B101:AB101)=COLUMNS(metadata!B101:AB101)</f>
        <v>1</v>
      </c>
      <c r="AK101" t="str">
        <v/>
      </c>
      <c r="AM101" t="b">
        <f ca="1">AND(IF(metadata!B101="",FALSE,TRUE),COUNTIF(metadata!B:B, metadata!B101) = 1,NOT(ISERROR(SUMPRODUCT(SEARCH(MID(metadata!B101,ROW(INDIRECT("1:"&amp;LEN(metadata!B101))), 1),"0123456789abcdefghijklmnopqrstuvwxyzABCDEFGHIJKLMNOPQRSTUVWXYZ.")))))</f>
        <v>0</v>
      </c>
      <c r="AN101" t="b">
        <f ca="1">OR(AND(IF(metadata!C101="",FALSE,TRUE),OR(EXACT(metadata!C101,"missing: not collected"),EXACT(metadata!C101,"missing: not provided"),EXACT(metadata!C101,"missing: restricted access"))),AND(IF(metadata!C101="",FALSE,TRUE),AND(AND(IFERROR(INT(LEFT(metadata!C101,4))&gt;1900,FALSE),IFERROR(INT(LEFT(metadata!C101,4))&lt;=YEAR(NOW()),FALSE)), OR(MID(metadata!C101,5,1)="", AND(AND(MID(metadata!C101,5,1)="-",IFERROR(INT(MID(metadata!C101,6,1))&gt;=0,FALSE),IFERROR(INT(MID(metadata!C101,6,1))&lt;=1,FALSE),NOT(MID(metadata!C101,7,1)=""),IFERROR(INT(MID(metadata!C101,6,2))&gt;=1,FALSE),IFERROR(INT(MID(metadata!C101,6,2))&lt;=12,FALSE)), OR(MID(metadata!C101,8,1)="", AND(AND(MID(metadata!C101,8,1)="-",IFERROR(INT(MID(metadata!C101,9,1))&gt;=0,FALSE),IFERROR(INT(MID(metadata!C101,9,1))&lt;=3,FALSE),NOT(MID(metadata!C101,10,1)=""),IFERROR(INT(MID(metadata!C101,9,2))&gt;=1,FALSE),IFERROR(INT(MID(metadata!C101,9,2))&lt;=31,FALSE)), OR(MID(metadata!C101,11,1)="", AND(AND(MID(metadata!C101,11,1)=" ",IFERROR(INT(MID(metadata!C101,12,1))&gt;=0,FALSE),IFERROR(INT(MID(metadata!C101,12,1))&lt;=2,FALSE),NOT(MID(metadata!C101,13,1)=""),IFERROR(INT(MID(metadata!C101,12,2))&gt;=0,FALSE),IFERROR(INT(MID(metadata!C101,12,2))&lt;=23,FALSE)), OR(MID(metadata!C101,14,1)="", AND(AND(MID(metadata!C101,14,1)=":",IFERROR(INT(MID(metadata!C101,15,1))&gt;=0,FALSE),IFERROR(INT(MID(metadata!C101,15,1))&lt;=5,FALSE),NOT(MID(metadata!C101,16,1)=""),IFERROR(INT(MID(metadata!C101,15,2))&gt;=0,FALSE),IFERROR(INT(MID(metadata!C101,15,2))&lt;=59,FALSE)), OR(MID(metadata!C101,17,1)="", AND(AND(MID(metadata!C101,17,1)=":",IFERROR(INT(MID(metadata!C101,18,1))&gt;=0,FALSE),IFERROR(INT(MID(metadata!C101,18,1))&lt;=5,FALSE),NOT(MID(metadata!C101,19,1)=""),IFERROR(INT(MID(metadata!C101,18,2))&gt;=0,FALSE),IFERROR(INT(MID(metadata!C101,18,2))&lt;=59,FALSE)), LEN(metadata!C101)&lt;=19)))))))))))))</f>
        <v>0</v>
      </c>
      <c r="AO101" t="b">
        <f>AND(IF(metadata!D101="",FALSE,TRUE),EXACT(metadata!D101,"Not applicable"))</f>
        <v>0</v>
      </c>
      <c r="AP101" t="b">
        <f>IF(metadata!E101="",FALSE,TRUE)</f>
        <v>0</v>
      </c>
      <c r="AQ101" t="b">
        <f>OR(AND(IF(metadata!F101="",FALSE,TRUE),OR(EXACT(metadata!F101,"missing: not collected"),EXACT(metadata!F101,"missing: not provided"))),AND(IF(metadata!F101="",FALSE,TRUE),OR(EXACT(metadata!F101,"TRUE"),EXACT(metadata!F101,"FALSE"))))</f>
        <v>0</v>
      </c>
      <c r="AR101" t="b">
        <f>OR(AND(IF(metadata!G101="",FALSE,TRUE),OR(EXACT(metadata!G101,"missing: not collected"),EXACT(metadata!G101,"missing: not provided"),EXACT(metadata!G101,"missing: restricted access"))),AND(IF(metadata!G101="",FALSE,ISNUMBER(VALUE(metadata!G101))),metadata!G101&gt;=-413))</f>
        <v>0</v>
      </c>
      <c r="AS101" t="b">
        <f>AND(IF(metadata!H101="",FALSE,TRUE),EXACT(metadata!H101,"meters"))</f>
        <v>0</v>
      </c>
      <c r="AT101" t="b">
        <f>AND(IF(metadata!I101="",FALSE,TRUE),OR(EXACT(metadata!I101,"Host-associated"),EXACT(metadata!I101,"Free-living")))</f>
        <v>0</v>
      </c>
      <c r="AU101" t="b">
        <f>AND(IF(metadata!J101="",FALSE,TRUE),OR(EXACT(metadata!J101,"Animal"),EXACT(metadata!J101,"Fungus"),EXACT(metadata!J101,"Plant"),EXACT(metadata!J101,"Saline"),EXACT(metadata!J101,"Non-saline")))</f>
        <v>0</v>
      </c>
      <c r="AV101" t="b">
        <f>AND(IF(metadata!K101="",FALSE,TRUE),OR(EXACT(metadata!K101,"Plant secretion"),EXACT(metadata!K101,"Plant rhizosphere"),EXACT(metadata!K101,"Plant surface"),EXACT(metadata!K101,"Plant corpus"),EXACT(metadata!K101,"Fungus surface"),EXACT(metadata!K101,"Fungus corpus"),EXACT(metadata!K101,"Animal surface"),EXACT(metadata!K101,"Animal proximal gut"),EXACT(metadata!K101,"Animal corpus"),EXACT(metadata!K101,"Animal distal gut"),EXACT(metadata!K101,"Animal secretion"),EXACT(metadata!K101,"Sub-surface (non-saline)"),EXACT(metadata!K101,"Surface (non-saline)"),EXACT(metadata!K101,"Water (non-saline)"),EXACT(metadata!K101,"Soil (non-saline)"),EXACT(metadata!K101,"Aerosol (non-saline)"),EXACT(metadata!K101,"Sediment (non-saline)"),EXACT(metadata!K101,"Surface (saline)"),EXACT(metadata!K101,"Water (saline)"),EXACT(metadata!K101,"Hypersaline (saline)"),EXACT(metadata!K101,"Aerosol (saline)"),EXACT(metadata!K101,"Sediment (saline)")))</f>
        <v>0</v>
      </c>
      <c r="AW101" t="b">
        <f>IF(metadata!L101="",FALSE,TRUE)</f>
        <v>0</v>
      </c>
      <c r="AX101" t="b">
        <f>IF(metadata!M101="",FALSE,TRUE)</f>
        <v>0</v>
      </c>
      <c r="AY101" t="b">
        <f>IF(metadata!N101="",FALSE,TRUE)</f>
        <v>0</v>
      </c>
      <c r="AZ101" t="b">
        <f>OR(AND(IF(metadata!O101="",FALSE,TRUE),OR(EXACT(metadata!O101,"missing: not collected"),EXACT(metadata!O101,"missing: not provided"),EXACT(metadata!O101,"missing: restricted access"))),AND(IF(metadata!O101="",FALSE,TRUE),OR(EXACT(metadata!O101,"air"),EXACT(metadata!O101,"built environment"),EXACT(metadata!O101,"host-associated"),EXACT(metadata!O101,"human-associated"),EXACT(metadata!O101,"human-skin"),EXACT(metadata!O101,"human-oral"),EXACT(metadata!O101,"human-gut"),EXACT(metadata!O101,"human-vaginal"),EXACT(metadata!O101,"microbial mat/biofilm"),EXACT(metadata!O101,"misc environment"),EXACT(metadata!O101,"plant-associated"),EXACT(metadata!O101,"sediment"),EXACT(metadata!O101,"soil"),EXACT(metadata!O101,"wastewater/sludge"),EXACT(metadata!O101,"water"))))</f>
        <v>0</v>
      </c>
      <c r="BA101" t="b">
        <f>IF(metadata!P101="",FALSE,TRUE)</f>
        <v>0</v>
      </c>
      <c r="BB101" t="b">
        <f>IF(metadata!Q101="",FALSE,TRUE)</f>
        <v>0</v>
      </c>
      <c r="BC101" t="b">
        <f>OR(AND(IF(metadata!R101="",FALSE,TRUE),OR(EXACT(metadata!R101,"missing: not collected"),EXACT(metadata!R101,"missing: not provided"),EXACT(metadata!R101,"missing: restricted access"))),AND(IF(metadata!R101="",FALSE,ISNUMBER(VALUE(metadata!R101))),metadata!R101&gt;=-90,metadata!R101&lt;=90))</f>
        <v>0</v>
      </c>
      <c r="BD101" t="b">
        <f>AND(IF(metadata!S101="",FALSE,TRUE),EXACT(metadata!S101,"Decimal degrees"))</f>
        <v>0</v>
      </c>
      <c r="BE101" t="b">
        <f>OR(AND(IF(metadata!T101="",FALSE,TRUE),OR(EXACT(metadata!T101,"missing: not collected"),EXACT(metadata!T101,"missing: not provided"),EXACT(metadata!T101,"missing: restricted access"))),AND(IF(metadata!T101="",FALSE,ISNUMBER(VALUE(metadata!T101))),metadata!T101&gt;=-180,metadata!T101&lt;=180))</f>
        <v>0</v>
      </c>
      <c r="BF101" t="b">
        <f>AND(IF(metadata!U101="",FALSE,TRUE),EXACT(metadata!U101,"Decimal degrees"))</f>
        <v>0</v>
      </c>
      <c r="BG101" t="b">
        <f>IF(metadata!V101="",FALSE,TRUE)</f>
        <v>0</v>
      </c>
      <c r="BH101" t="b">
        <f>OR(AND(IF(metadata!W101="",FALSE,TRUE),OR(EXACT(metadata!W101,"missing: not collected"),EXACT(metadata!W101,"missing: not provided"),EXACT(metadata!W101,"missing: restricted access"))),AND(IF(metadata!W101="",FALSE,TRUE),OR(EXACT(metadata!W101,"TRUE"),EXACT(metadata!W101,"FALSE"))))</f>
        <v>0</v>
      </c>
      <c r="BI101" t="b">
        <f>AND(IF(metadata!X101="",FALSE,TRUE),EXACT(metadata!X101,"other"))</f>
        <v>0</v>
      </c>
      <c r="BJ101" t="b">
        <f>IF(metadata!Y101="",FALSE,TRUE)</f>
        <v>0</v>
      </c>
      <c r="BK101" t="b">
        <f>OR(AND(IF(metadata!Z101="",FALSE,TRUE),OR(EXACT(metadata!Z101,"missing: not collected"),EXACT(metadata!Z101,"missing: not provided"))),AND(IF(metadata!Z101="",FALSE,IF(ISERROR(INT(metadata!Z101)),FALSE,INT(metadata!Z101)=metadata!Z101)),metadata!Z101&gt;0))</f>
        <v>0</v>
      </c>
      <c r="BL101" t="b">
        <f>AND(IF(metadata!AA101="",FALSE,TRUE),EXACT(metadata!AA101,"Not applicable"))</f>
        <v>0</v>
      </c>
      <c r="BM101" t="b">
        <f>IF(metadata!AB101="",FALSE,TRUE)</f>
        <v>0</v>
      </c>
    </row>
    <row r="102" spans="1:65" x14ac:dyDescent="0.2">
      <c r="A102" s="5" t="str">
        <f ca="1">IF(B102=" "," ",HYPERLINK(CONCATENATE("#metadata!",ADDRESS(INDEX($AH$2:$AH$1001,MATCH(ROWS($AF$2:AF102),$AF$2:$AF$1001,0),0),1)),INDEX($AK$2:$AK$1001,MATCH(ROWS($AF$2:AF102),$AF$2:$AF$1001,0),0)))</f>
        <v xml:space="preserve"> </v>
      </c>
      <c r="B102" s="4" t="str">
        <f ca="1">IF(OR(INDEX($AG$2:$AG$1001,MATCH(ROWS($AF$2:AF102),$AF$2:$AF$1001,0),1)&gt;=100000,INDEX($AM$1005:$BM$1005,1,MATCH(COLUMNS($AM$1006:AM1006),$AM$1006:$BM$1006,0))&gt;=100000), " ",IF(INDEX($AM$2:$BM$1001,MATCH(ROWS($AF$2:AF102),$AF$2:$AF$1001,0),MATCH(COLUMNS($AM$1006:AM1006),$AM$1006:$BM$1006,0)), HYPERLINK("#",""), HYPERLINK(CONCATENATE("#metadata!", ADDRESS(INDEX($AH$2:$AH$1001,MATCH(ROWS($AF$2:AF102),$AF$2:$AF$1001,0),0), INDEX($AM$1004:$BM$1004,1,MATCH(COLUMNS($AM$1006:AM1006),$AM$1006:$BM$1006,0)))),"Fix")))</f>
        <v xml:space="preserve"> </v>
      </c>
      <c r="C102" s="4" t="str">
        <f ca="1">IF(OR(INDEX($AG$2:$AG$1001,MATCH(ROWS($AF$2:AF102),$AF$2:$AF$1001,0),1)&gt;=100000,INDEX($AM$1005:$BM$1005,1,MATCH(COLUMNS($AM$1006:AN1006),$AM$1006:$BM$1006,0))&gt;=100000), " ",IF(INDEX($AM$2:$BM$1001,MATCH(ROWS($AF$2:AF102),$AF$2:$AF$1001,0),MATCH(COLUMNS($AM$1006:AN1006),$AM$1006:$BM$1006,0)), HYPERLINK("#",""), HYPERLINK(CONCATENATE("#metadata!", ADDRESS(INDEX($AH$2:$AH$1001,MATCH(ROWS($AF$2:AF102),$AF$2:$AF$1001,0),0), INDEX($AM$1004:$BM$1004,1,MATCH(COLUMNS($AM$1006:AN1006),$AM$1006:$BM$1006,0)))),"Fix")))</f>
        <v xml:space="preserve"> </v>
      </c>
      <c r="D102" s="4" t="str">
        <f ca="1">IF(OR(INDEX($AG$2:$AG$1001,MATCH(ROWS($AF$2:AF102),$AF$2:$AF$1001,0),1)&gt;=100000,INDEX($AM$1005:$BM$1005,1,MATCH(COLUMNS($AM$1006:AO1006),$AM$1006:$BM$1006,0))&gt;=100000), " ",IF(INDEX($AM$2:$BM$1001,MATCH(ROWS($AF$2:AF102),$AF$2:$AF$1001,0),MATCH(COLUMNS($AM$1006:AO1006),$AM$1006:$BM$1006,0)), HYPERLINK("#",""), HYPERLINK(CONCATENATE("#metadata!", ADDRESS(INDEX($AH$2:$AH$1001,MATCH(ROWS($AF$2:AF102),$AF$2:$AF$1001,0),0), INDEX($AM$1004:$BM$1004,1,MATCH(COLUMNS($AM$1006:AO1006),$AM$1006:$BM$1006,0)))),"Fix")))</f>
        <v xml:space="preserve"> </v>
      </c>
      <c r="E102" s="4" t="str">
        <f ca="1">IF(OR(INDEX($AG$2:$AG$1001,MATCH(ROWS($AF$2:AF102),$AF$2:$AF$1001,0),1)&gt;=100000,INDEX($AM$1005:$BM$1005,1,MATCH(COLUMNS($AM$1006:AP1006),$AM$1006:$BM$1006,0))&gt;=100000), " ",IF(INDEX($AM$2:$BM$1001,MATCH(ROWS($AF$2:AF102),$AF$2:$AF$1001,0),MATCH(COLUMNS($AM$1006:AP1006),$AM$1006:$BM$1006,0)), HYPERLINK("#",""), HYPERLINK(CONCATENATE("#metadata!", ADDRESS(INDEX($AH$2:$AH$1001,MATCH(ROWS($AF$2:AF102),$AF$2:$AF$1001,0),0), INDEX($AM$1004:$BM$1004,1,MATCH(COLUMNS($AM$1006:AP1006),$AM$1006:$BM$1006,0)))),"Fix")))</f>
        <v xml:space="preserve"> </v>
      </c>
      <c r="F102" s="4" t="str">
        <f ca="1">IF(OR(INDEX($AG$2:$AG$1001,MATCH(ROWS($AF$2:AF102),$AF$2:$AF$1001,0),1)&gt;=100000,INDEX($AM$1005:$BM$1005,1,MATCH(COLUMNS($AM$1006:AQ1006),$AM$1006:$BM$1006,0))&gt;=100000), " ",IF(INDEX($AM$2:$BM$1001,MATCH(ROWS($AF$2:AF102),$AF$2:$AF$1001,0),MATCH(COLUMNS($AM$1006:AQ1006),$AM$1006:$BM$1006,0)), HYPERLINK("#",""), HYPERLINK(CONCATENATE("#metadata!", ADDRESS(INDEX($AH$2:$AH$1001,MATCH(ROWS($AF$2:AF102),$AF$2:$AF$1001,0),0), INDEX($AM$1004:$BM$1004,1,MATCH(COLUMNS($AM$1006:AQ1006),$AM$1006:$BM$1006,0)))),"Fix")))</f>
        <v xml:space="preserve"> </v>
      </c>
      <c r="G102" s="4" t="str">
        <f ca="1">IF(OR(INDEX($AG$2:$AG$1001,MATCH(ROWS($AF$2:AF102),$AF$2:$AF$1001,0),1)&gt;=100000,INDEX($AM$1005:$BM$1005,1,MATCH(COLUMNS($AM$1006:AR1006),$AM$1006:$BM$1006,0))&gt;=100000), " ",IF(INDEX($AM$2:$BM$1001,MATCH(ROWS($AF$2:AF102),$AF$2:$AF$1001,0),MATCH(COLUMNS($AM$1006:AR1006),$AM$1006:$BM$1006,0)), HYPERLINK("#",""), HYPERLINK(CONCATENATE("#metadata!", ADDRESS(INDEX($AH$2:$AH$1001,MATCH(ROWS($AF$2:AF102),$AF$2:$AF$1001,0),0), INDEX($AM$1004:$BM$1004,1,MATCH(COLUMNS($AM$1006:AR1006),$AM$1006:$BM$1006,0)))),"Fix")))</f>
        <v xml:space="preserve"> </v>
      </c>
      <c r="H102" s="4" t="str">
        <f ca="1">IF(OR(INDEX($AG$2:$AG$1001,MATCH(ROWS($AF$2:AF102),$AF$2:$AF$1001,0),1)&gt;=100000,INDEX($AM$1005:$BM$1005,1,MATCH(COLUMNS($AM$1006:AS1006),$AM$1006:$BM$1006,0))&gt;=100000), " ",IF(INDEX($AM$2:$BM$1001,MATCH(ROWS($AF$2:AF102),$AF$2:$AF$1001,0),MATCH(COLUMNS($AM$1006:AS1006),$AM$1006:$BM$1006,0)), HYPERLINK("#",""), HYPERLINK(CONCATENATE("#metadata!", ADDRESS(INDEX($AH$2:$AH$1001,MATCH(ROWS($AF$2:AF102),$AF$2:$AF$1001,0),0), INDEX($AM$1004:$BM$1004,1,MATCH(COLUMNS($AM$1006:AS1006),$AM$1006:$BM$1006,0)))),"Fix")))</f>
        <v xml:space="preserve"> </v>
      </c>
      <c r="I102" s="4" t="str">
        <f ca="1">IF(OR(INDEX($AG$2:$AG$1001,MATCH(ROWS($AF$2:AF102),$AF$2:$AF$1001,0),1)&gt;=100000,INDEX($AM$1005:$BM$1005,1,MATCH(COLUMNS($AM$1006:AT1006),$AM$1006:$BM$1006,0))&gt;=100000), " ",IF(INDEX($AM$2:$BM$1001,MATCH(ROWS($AF$2:AF102),$AF$2:$AF$1001,0),MATCH(COLUMNS($AM$1006:AT1006),$AM$1006:$BM$1006,0)), HYPERLINK("#",""), HYPERLINK(CONCATENATE("#metadata!", ADDRESS(INDEX($AH$2:$AH$1001,MATCH(ROWS($AF$2:AF102),$AF$2:$AF$1001,0),0), INDEX($AM$1004:$BM$1004,1,MATCH(COLUMNS($AM$1006:AT1006),$AM$1006:$BM$1006,0)))),"Fix")))</f>
        <v xml:space="preserve"> </v>
      </c>
      <c r="J102" s="4" t="str">
        <f ca="1">IF(OR(INDEX($AG$2:$AG$1001,MATCH(ROWS($AF$2:AF102),$AF$2:$AF$1001,0),1)&gt;=100000,INDEX($AM$1005:$BM$1005,1,MATCH(COLUMNS($AM$1006:AU1006),$AM$1006:$BM$1006,0))&gt;=100000), " ",IF(INDEX($AM$2:$BM$1001,MATCH(ROWS($AF$2:AF102),$AF$2:$AF$1001,0),MATCH(COLUMNS($AM$1006:AU1006),$AM$1006:$BM$1006,0)), HYPERLINK("#",""), HYPERLINK(CONCATENATE("#metadata!", ADDRESS(INDEX($AH$2:$AH$1001,MATCH(ROWS($AF$2:AF102),$AF$2:$AF$1001,0),0), INDEX($AM$1004:$BM$1004,1,MATCH(COLUMNS($AM$1006:AU1006),$AM$1006:$BM$1006,0)))),"Fix")))</f>
        <v xml:space="preserve"> </v>
      </c>
      <c r="K102" s="4" t="str">
        <f ca="1">IF(OR(INDEX($AG$2:$AG$1001,MATCH(ROWS($AF$2:AF102),$AF$2:$AF$1001,0),1)&gt;=100000,INDEX($AM$1005:$BM$1005,1,MATCH(COLUMNS($AM$1006:AV1006),$AM$1006:$BM$1006,0))&gt;=100000), " ",IF(INDEX($AM$2:$BM$1001,MATCH(ROWS($AF$2:AF102),$AF$2:$AF$1001,0),MATCH(COLUMNS($AM$1006:AV1006),$AM$1006:$BM$1006,0)), HYPERLINK("#",""), HYPERLINK(CONCATENATE("#metadata!", ADDRESS(INDEX($AH$2:$AH$1001,MATCH(ROWS($AF$2:AF102),$AF$2:$AF$1001,0),0), INDEX($AM$1004:$BM$1004,1,MATCH(COLUMNS($AM$1006:AV1006),$AM$1006:$BM$1006,0)))),"Fix")))</f>
        <v xml:space="preserve"> </v>
      </c>
      <c r="L102" s="4" t="str">
        <f ca="1">IF(OR(INDEX($AG$2:$AG$1001,MATCH(ROWS($AF$2:AF102),$AF$2:$AF$1001,0),1)&gt;=100000,INDEX($AM$1005:$BM$1005,1,MATCH(COLUMNS($AM$1006:AW1006),$AM$1006:$BM$1006,0))&gt;=100000), " ",IF(INDEX($AM$2:$BM$1001,MATCH(ROWS($AF$2:AF102),$AF$2:$AF$1001,0),MATCH(COLUMNS($AM$1006:AW1006),$AM$1006:$BM$1006,0)), HYPERLINK("#",""), HYPERLINK(CONCATENATE("#metadata!", ADDRESS(INDEX($AH$2:$AH$1001,MATCH(ROWS($AF$2:AF102),$AF$2:$AF$1001,0),0), INDEX($AM$1004:$BM$1004,1,MATCH(COLUMNS($AM$1006:AW1006),$AM$1006:$BM$1006,0)))),"Fix")))</f>
        <v xml:space="preserve"> </v>
      </c>
      <c r="M102" s="4" t="str">
        <f ca="1">IF(OR(INDEX($AG$2:$AG$1001,MATCH(ROWS($AF$2:AF102),$AF$2:$AF$1001,0),1)&gt;=100000,INDEX($AM$1005:$BM$1005,1,MATCH(COLUMNS($AM$1006:AX1006),$AM$1006:$BM$1006,0))&gt;=100000), " ",IF(INDEX($AM$2:$BM$1001,MATCH(ROWS($AF$2:AF102),$AF$2:$AF$1001,0),MATCH(COLUMNS($AM$1006:AX1006),$AM$1006:$BM$1006,0)), HYPERLINK("#",""), HYPERLINK(CONCATENATE("#metadata!", ADDRESS(INDEX($AH$2:$AH$1001,MATCH(ROWS($AF$2:AF102),$AF$2:$AF$1001,0),0), INDEX($AM$1004:$BM$1004,1,MATCH(COLUMNS($AM$1006:AX1006),$AM$1006:$BM$1006,0)))),"Fix")))</f>
        <v xml:space="preserve"> </v>
      </c>
      <c r="N102" s="4" t="str">
        <f ca="1">IF(OR(INDEX($AG$2:$AG$1001,MATCH(ROWS($AF$2:AF102),$AF$2:$AF$1001,0),1)&gt;=100000,INDEX($AM$1005:$BM$1005,1,MATCH(COLUMNS($AM$1006:AY1006),$AM$1006:$BM$1006,0))&gt;=100000), " ",IF(INDEX($AM$2:$BM$1001,MATCH(ROWS($AF$2:AF102),$AF$2:$AF$1001,0),MATCH(COLUMNS($AM$1006:AY1006),$AM$1006:$BM$1006,0)), HYPERLINK("#",""), HYPERLINK(CONCATENATE("#metadata!", ADDRESS(INDEX($AH$2:$AH$1001,MATCH(ROWS($AF$2:AF102),$AF$2:$AF$1001,0),0), INDEX($AM$1004:$BM$1004,1,MATCH(COLUMNS($AM$1006:AY1006),$AM$1006:$BM$1006,0)))),"Fix")))</f>
        <v xml:space="preserve"> </v>
      </c>
      <c r="O102" s="4" t="str">
        <f ca="1">IF(OR(INDEX($AG$2:$AG$1001,MATCH(ROWS($AF$2:AF102),$AF$2:$AF$1001,0),1)&gt;=100000,INDEX($AM$1005:$BM$1005,1,MATCH(COLUMNS($AM$1006:AZ1006),$AM$1006:$BM$1006,0))&gt;=100000), " ",IF(INDEX($AM$2:$BM$1001,MATCH(ROWS($AF$2:AF102),$AF$2:$AF$1001,0),MATCH(COLUMNS($AM$1006:AZ1006),$AM$1006:$BM$1006,0)), HYPERLINK("#",""), HYPERLINK(CONCATENATE("#metadata!", ADDRESS(INDEX($AH$2:$AH$1001,MATCH(ROWS($AF$2:AF102),$AF$2:$AF$1001,0),0), INDEX($AM$1004:$BM$1004,1,MATCH(COLUMNS($AM$1006:AZ1006),$AM$1006:$BM$1006,0)))),"Fix")))</f>
        <v xml:space="preserve"> </v>
      </c>
      <c r="P102" s="4" t="str">
        <f ca="1">IF(OR(INDEX($AG$2:$AG$1001,MATCH(ROWS($AF$2:AF102),$AF$2:$AF$1001,0),1)&gt;=100000,INDEX($AM$1005:$BM$1005,1,MATCH(COLUMNS($AM$1006:BA1006),$AM$1006:$BM$1006,0))&gt;=100000), " ",IF(INDEX($AM$2:$BM$1001,MATCH(ROWS($AF$2:AF102),$AF$2:$AF$1001,0),MATCH(COLUMNS($AM$1006:BA1006),$AM$1006:$BM$1006,0)), HYPERLINK("#",""), HYPERLINK(CONCATENATE("#metadata!", ADDRESS(INDEX($AH$2:$AH$1001,MATCH(ROWS($AF$2:AF102),$AF$2:$AF$1001,0),0), INDEX($AM$1004:$BM$1004,1,MATCH(COLUMNS($AM$1006:BA1006),$AM$1006:$BM$1006,0)))),"Fix")))</f>
        <v xml:space="preserve"> </v>
      </c>
      <c r="Q102" s="4" t="str">
        <f ca="1">IF(OR(INDEX($AG$2:$AG$1001,MATCH(ROWS($AF$2:AF102),$AF$2:$AF$1001,0),1)&gt;=100000,INDEX($AM$1005:$BM$1005,1,MATCH(COLUMNS($AM$1006:BB1006),$AM$1006:$BM$1006,0))&gt;=100000), " ",IF(INDEX($AM$2:$BM$1001,MATCH(ROWS($AF$2:AF102),$AF$2:$AF$1001,0),MATCH(COLUMNS($AM$1006:BB1006),$AM$1006:$BM$1006,0)), HYPERLINK("#",""), HYPERLINK(CONCATENATE("#metadata!", ADDRESS(INDEX($AH$2:$AH$1001,MATCH(ROWS($AF$2:AF102),$AF$2:$AF$1001,0),0), INDEX($AM$1004:$BM$1004,1,MATCH(COLUMNS($AM$1006:BB1006),$AM$1006:$BM$1006,0)))),"Fix")))</f>
        <v xml:space="preserve"> </v>
      </c>
      <c r="R102" s="4" t="str">
        <f ca="1">IF(OR(INDEX($AG$2:$AG$1001,MATCH(ROWS($AF$2:AF102),$AF$2:$AF$1001,0),1)&gt;=100000,INDEX($AM$1005:$BM$1005,1,MATCH(COLUMNS($AM$1006:BC1006),$AM$1006:$BM$1006,0))&gt;=100000), " ",IF(INDEX($AM$2:$BM$1001,MATCH(ROWS($AF$2:AF102),$AF$2:$AF$1001,0),MATCH(COLUMNS($AM$1006:BC1006),$AM$1006:$BM$1006,0)), HYPERLINK("#",""), HYPERLINK(CONCATENATE("#metadata!", ADDRESS(INDEX($AH$2:$AH$1001,MATCH(ROWS($AF$2:AF102),$AF$2:$AF$1001,0),0), INDEX($AM$1004:$BM$1004,1,MATCH(COLUMNS($AM$1006:BC1006),$AM$1006:$BM$1006,0)))),"Fix")))</f>
        <v xml:space="preserve"> </v>
      </c>
      <c r="S102" s="4" t="str">
        <f ca="1">IF(OR(INDEX($AG$2:$AG$1001,MATCH(ROWS($AF$2:AF102),$AF$2:$AF$1001,0),1)&gt;=100000,INDEX($AM$1005:$BM$1005,1,MATCH(COLUMNS($AM$1006:BD1006),$AM$1006:$BM$1006,0))&gt;=100000), " ",IF(INDEX($AM$2:$BM$1001,MATCH(ROWS($AF$2:AF102),$AF$2:$AF$1001,0),MATCH(COLUMNS($AM$1006:BD1006),$AM$1006:$BM$1006,0)), HYPERLINK("#",""), HYPERLINK(CONCATENATE("#metadata!", ADDRESS(INDEX($AH$2:$AH$1001,MATCH(ROWS($AF$2:AF102),$AF$2:$AF$1001,0),0), INDEX($AM$1004:$BM$1004,1,MATCH(COLUMNS($AM$1006:BD1006),$AM$1006:$BM$1006,0)))),"Fix")))</f>
        <v xml:space="preserve"> </v>
      </c>
      <c r="T102" s="4" t="str">
        <f ca="1">IF(OR(INDEX($AG$2:$AG$1001,MATCH(ROWS($AF$2:AF102),$AF$2:$AF$1001,0),1)&gt;=100000,INDEX($AM$1005:$BM$1005,1,MATCH(COLUMNS($AM$1006:BE1006),$AM$1006:$BM$1006,0))&gt;=100000), " ",IF(INDEX($AM$2:$BM$1001,MATCH(ROWS($AF$2:AF102),$AF$2:$AF$1001,0),MATCH(COLUMNS($AM$1006:BE1006),$AM$1006:$BM$1006,0)), HYPERLINK("#",""), HYPERLINK(CONCATENATE("#metadata!", ADDRESS(INDEX($AH$2:$AH$1001,MATCH(ROWS($AF$2:AF102),$AF$2:$AF$1001,0),0), INDEX($AM$1004:$BM$1004,1,MATCH(COLUMNS($AM$1006:BE1006),$AM$1006:$BM$1006,0)))),"Fix")))</f>
        <v xml:space="preserve"> </v>
      </c>
      <c r="U102" s="4" t="str">
        <f ca="1">IF(OR(INDEX($AG$2:$AG$1001,MATCH(ROWS($AF$2:AF102),$AF$2:$AF$1001,0),1)&gt;=100000,INDEX($AM$1005:$BM$1005,1,MATCH(COLUMNS($AM$1006:BF1006),$AM$1006:$BM$1006,0))&gt;=100000), " ",IF(INDEX($AM$2:$BM$1001,MATCH(ROWS($AF$2:AF102),$AF$2:$AF$1001,0),MATCH(COLUMNS($AM$1006:BF1006),$AM$1006:$BM$1006,0)), HYPERLINK("#",""), HYPERLINK(CONCATENATE("#metadata!", ADDRESS(INDEX($AH$2:$AH$1001,MATCH(ROWS($AF$2:AF102),$AF$2:$AF$1001,0),0), INDEX($AM$1004:$BM$1004,1,MATCH(COLUMNS($AM$1006:BF1006),$AM$1006:$BM$1006,0)))),"Fix")))</f>
        <v xml:space="preserve"> </v>
      </c>
      <c r="V102" s="4" t="str">
        <f ca="1">IF(OR(INDEX($AG$2:$AG$1001,MATCH(ROWS($AF$2:AF102),$AF$2:$AF$1001,0),1)&gt;=100000,INDEX($AM$1005:$BM$1005,1,MATCH(COLUMNS($AM$1006:BG1006),$AM$1006:$BM$1006,0))&gt;=100000), " ",IF(INDEX($AM$2:$BM$1001,MATCH(ROWS($AF$2:AF102),$AF$2:$AF$1001,0),MATCH(COLUMNS($AM$1006:BG1006),$AM$1006:$BM$1006,0)), HYPERLINK("#",""), HYPERLINK(CONCATENATE("#metadata!", ADDRESS(INDEX($AH$2:$AH$1001,MATCH(ROWS($AF$2:AF102),$AF$2:$AF$1001,0),0), INDEX($AM$1004:$BM$1004,1,MATCH(COLUMNS($AM$1006:BG1006),$AM$1006:$BM$1006,0)))),"Fix")))</f>
        <v xml:space="preserve"> </v>
      </c>
      <c r="W102" s="4" t="str">
        <f ca="1">IF(OR(INDEX($AG$2:$AG$1001,MATCH(ROWS($AF$2:AF102),$AF$2:$AF$1001,0),1)&gt;=100000,INDEX($AM$1005:$BM$1005,1,MATCH(COLUMNS($AM$1006:BH1006),$AM$1006:$BM$1006,0))&gt;=100000), " ",IF(INDEX($AM$2:$BM$1001,MATCH(ROWS($AF$2:AF102),$AF$2:$AF$1001,0),MATCH(COLUMNS($AM$1006:BH1006),$AM$1006:$BM$1006,0)), HYPERLINK("#",""), HYPERLINK(CONCATENATE("#metadata!", ADDRESS(INDEX($AH$2:$AH$1001,MATCH(ROWS($AF$2:AF102),$AF$2:$AF$1001,0),0), INDEX($AM$1004:$BM$1004,1,MATCH(COLUMNS($AM$1006:BH1006),$AM$1006:$BM$1006,0)))),"Fix")))</f>
        <v xml:space="preserve"> </v>
      </c>
      <c r="X102" s="4" t="str">
        <f ca="1">IF(OR(INDEX($AG$2:$AG$1001,MATCH(ROWS($AF$2:AF102),$AF$2:$AF$1001,0),1)&gt;=100000,INDEX($AM$1005:$BM$1005,1,MATCH(COLUMNS($AM$1006:BI1006),$AM$1006:$BM$1006,0))&gt;=100000), " ",IF(INDEX($AM$2:$BM$1001,MATCH(ROWS($AF$2:AF102),$AF$2:$AF$1001,0),MATCH(COLUMNS($AM$1006:BI1006),$AM$1006:$BM$1006,0)), HYPERLINK("#",""), HYPERLINK(CONCATENATE("#metadata!", ADDRESS(INDEX($AH$2:$AH$1001,MATCH(ROWS($AF$2:AF102),$AF$2:$AF$1001,0),0), INDEX($AM$1004:$BM$1004,1,MATCH(COLUMNS($AM$1006:BI1006),$AM$1006:$BM$1006,0)))),"Fix")))</f>
        <v xml:space="preserve"> </v>
      </c>
      <c r="Y102" s="4" t="str">
        <f ca="1">IF(OR(INDEX($AG$2:$AG$1001,MATCH(ROWS($AF$2:AF102),$AF$2:$AF$1001,0),1)&gt;=100000,INDEX($AM$1005:$BM$1005,1,MATCH(COLUMNS($AM$1006:BJ1006),$AM$1006:$BM$1006,0))&gt;=100000), " ",IF(INDEX($AM$2:$BM$1001,MATCH(ROWS($AF$2:AF102),$AF$2:$AF$1001,0),MATCH(COLUMNS($AM$1006:BJ1006),$AM$1006:$BM$1006,0)), HYPERLINK("#",""), HYPERLINK(CONCATENATE("#metadata!", ADDRESS(INDEX($AH$2:$AH$1001,MATCH(ROWS($AF$2:AF102),$AF$2:$AF$1001,0),0), INDEX($AM$1004:$BM$1004,1,MATCH(COLUMNS($AM$1006:BJ1006),$AM$1006:$BM$1006,0)))),"Fix")))</f>
        <v xml:space="preserve"> </v>
      </c>
      <c r="Z102" s="4" t="str">
        <f ca="1">IF(OR(INDEX($AG$2:$AG$1001,MATCH(ROWS($AF$2:AF102),$AF$2:$AF$1001,0),1)&gt;=100000,INDEX($AM$1005:$BM$1005,1,MATCH(COLUMNS($AM$1006:BK1006),$AM$1006:$BM$1006,0))&gt;=100000), " ",IF(INDEX($AM$2:$BM$1001,MATCH(ROWS($AF$2:AF102),$AF$2:$AF$1001,0),MATCH(COLUMNS($AM$1006:BK1006),$AM$1006:$BM$1006,0)), HYPERLINK("#",""), HYPERLINK(CONCATENATE("#metadata!", ADDRESS(INDEX($AH$2:$AH$1001,MATCH(ROWS($AF$2:AF102),$AF$2:$AF$1001,0),0), INDEX($AM$1004:$BM$1004,1,MATCH(COLUMNS($AM$1006:BK1006),$AM$1006:$BM$1006,0)))),"Fix")))</f>
        <v xml:space="preserve"> </v>
      </c>
      <c r="AA102" s="4" t="str">
        <f ca="1">IF(OR(INDEX($AG$2:$AG$1001,MATCH(ROWS($AF$2:AF102),$AF$2:$AF$1001,0),1)&gt;=100000,INDEX($AM$1005:$BM$1005,1,MATCH(COLUMNS($AM$1006:BL1006),$AM$1006:$BM$1006,0))&gt;=100000), " ",IF(INDEX($AM$2:$BM$1001,MATCH(ROWS($AF$2:AF102),$AF$2:$AF$1001,0),MATCH(COLUMNS($AM$1006:BL1006),$AM$1006:$BM$1006,0)), HYPERLINK("#",""), HYPERLINK(CONCATENATE("#metadata!", ADDRESS(INDEX($AH$2:$AH$1001,MATCH(ROWS($AF$2:AF102),$AF$2:$AF$1001,0),0), INDEX($AM$1004:$BM$1004,1,MATCH(COLUMNS($AM$1006:BL1006),$AM$1006:$BM$1006,0)))),"Fix")))</f>
        <v xml:space="preserve"> </v>
      </c>
      <c r="AB102" s="4" t="str">
        <f ca="1">IF(OR(INDEX($AG$2:$AG$1001,MATCH(ROWS($AF$2:AF102),$AF$2:$AF$1001,0),1)&gt;=100000,INDEX($AM$1005:$BM$1005,1,MATCH(COLUMNS($AM$1006:BM1006),$AM$1006:$BM$1006,0))&gt;=100000), " ",IF(INDEX($AM$2:$BM$1001,MATCH(ROWS($AF$2:AF102),$AF$2:$AF$1001,0),MATCH(COLUMNS($AM$1006:BM1006),$AM$1006:$BM$1006,0)), HYPERLINK("#",""), HYPERLINK(CONCATENATE("#metadata!", ADDRESS(INDEX($AH$2:$AH$1001,MATCH(ROWS($AF$2:AF102),$AF$2:$AF$1001,0),0), INDEX($AM$1004:$BM$1004,1,MATCH(COLUMNS($AM$1006:BM1006),$AM$1006:$BM$1006,0)))),"Fix")))</f>
        <v xml:space="preserve"> </v>
      </c>
      <c r="AF102">
        <v>101</v>
      </c>
      <c r="AG102">
        <v>100102</v>
      </c>
      <c r="AH102">
        <v>102</v>
      </c>
      <c r="AI102" t="b">
        <f t="shared" si="1"/>
        <v>1</v>
      </c>
      <c r="AJ102" t="b">
        <f>COUNTBLANK(metadata!B102:AB102)=COLUMNS(metadata!B102:AB102)</f>
        <v>1</v>
      </c>
      <c r="AK102" t="str">
        <v/>
      </c>
      <c r="AM102" t="b">
        <f ca="1">AND(IF(metadata!B102="",FALSE,TRUE),COUNTIF(metadata!B:B, metadata!B102) = 1,NOT(ISERROR(SUMPRODUCT(SEARCH(MID(metadata!B102,ROW(INDIRECT("1:"&amp;LEN(metadata!B102))), 1),"0123456789abcdefghijklmnopqrstuvwxyzABCDEFGHIJKLMNOPQRSTUVWXYZ.")))))</f>
        <v>0</v>
      </c>
      <c r="AN102" t="b">
        <f ca="1">OR(AND(IF(metadata!C102="",FALSE,TRUE),OR(EXACT(metadata!C102,"missing: not collected"),EXACT(metadata!C102,"missing: not provided"),EXACT(metadata!C102,"missing: restricted access"))),AND(IF(metadata!C102="",FALSE,TRUE),AND(AND(IFERROR(INT(LEFT(metadata!C102,4))&gt;1900,FALSE),IFERROR(INT(LEFT(metadata!C102,4))&lt;=YEAR(NOW()),FALSE)), OR(MID(metadata!C102,5,1)="", AND(AND(MID(metadata!C102,5,1)="-",IFERROR(INT(MID(metadata!C102,6,1))&gt;=0,FALSE),IFERROR(INT(MID(metadata!C102,6,1))&lt;=1,FALSE),NOT(MID(metadata!C102,7,1)=""),IFERROR(INT(MID(metadata!C102,6,2))&gt;=1,FALSE),IFERROR(INT(MID(metadata!C102,6,2))&lt;=12,FALSE)), OR(MID(metadata!C102,8,1)="", AND(AND(MID(metadata!C102,8,1)="-",IFERROR(INT(MID(metadata!C102,9,1))&gt;=0,FALSE),IFERROR(INT(MID(metadata!C102,9,1))&lt;=3,FALSE),NOT(MID(metadata!C102,10,1)=""),IFERROR(INT(MID(metadata!C102,9,2))&gt;=1,FALSE),IFERROR(INT(MID(metadata!C102,9,2))&lt;=31,FALSE)), OR(MID(metadata!C102,11,1)="", AND(AND(MID(metadata!C102,11,1)=" ",IFERROR(INT(MID(metadata!C102,12,1))&gt;=0,FALSE),IFERROR(INT(MID(metadata!C102,12,1))&lt;=2,FALSE),NOT(MID(metadata!C102,13,1)=""),IFERROR(INT(MID(metadata!C102,12,2))&gt;=0,FALSE),IFERROR(INT(MID(metadata!C102,12,2))&lt;=23,FALSE)), OR(MID(metadata!C102,14,1)="", AND(AND(MID(metadata!C102,14,1)=":",IFERROR(INT(MID(metadata!C102,15,1))&gt;=0,FALSE),IFERROR(INT(MID(metadata!C102,15,1))&lt;=5,FALSE),NOT(MID(metadata!C102,16,1)=""),IFERROR(INT(MID(metadata!C102,15,2))&gt;=0,FALSE),IFERROR(INT(MID(metadata!C102,15,2))&lt;=59,FALSE)), OR(MID(metadata!C102,17,1)="", AND(AND(MID(metadata!C102,17,1)=":",IFERROR(INT(MID(metadata!C102,18,1))&gt;=0,FALSE),IFERROR(INT(MID(metadata!C102,18,1))&lt;=5,FALSE),NOT(MID(metadata!C102,19,1)=""),IFERROR(INT(MID(metadata!C102,18,2))&gt;=0,FALSE),IFERROR(INT(MID(metadata!C102,18,2))&lt;=59,FALSE)), LEN(metadata!C102)&lt;=19)))))))))))))</f>
        <v>0</v>
      </c>
      <c r="AO102" t="b">
        <f>AND(IF(metadata!D102="",FALSE,TRUE),EXACT(metadata!D102,"Not applicable"))</f>
        <v>0</v>
      </c>
      <c r="AP102" t="b">
        <f>IF(metadata!E102="",FALSE,TRUE)</f>
        <v>0</v>
      </c>
      <c r="AQ102" t="b">
        <f>OR(AND(IF(metadata!F102="",FALSE,TRUE),OR(EXACT(metadata!F102,"missing: not collected"),EXACT(metadata!F102,"missing: not provided"))),AND(IF(metadata!F102="",FALSE,TRUE),OR(EXACT(metadata!F102,"TRUE"),EXACT(metadata!F102,"FALSE"))))</f>
        <v>0</v>
      </c>
      <c r="AR102" t="b">
        <f>OR(AND(IF(metadata!G102="",FALSE,TRUE),OR(EXACT(metadata!G102,"missing: not collected"),EXACT(metadata!G102,"missing: not provided"),EXACT(metadata!G102,"missing: restricted access"))),AND(IF(metadata!G102="",FALSE,ISNUMBER(VALUE(metadata!G102))),metadata!G102&gt;=-413))</f>
        <v>0</v>
      </c>
      <c r="AS102" t="b">
        <f>AND(IF(metadata!H102="",FALSE,TRUE),EXACT(metadata!H102,"meters"))</f>
        <v>0</v>
      </c>
      <c r="AT102" t="b">
        <f>AND(IF(metadata!I102="",FALSE,TRUE),OR(EXACT(metadata!I102,"Host-associated"),EXACT(metadata!I102,"Free-living")))</f>
        <v>0</v>
      </c>
      <c r="AU102" t="b">
        <f>AND(IF(metadata!J102="",FALSE,TRUE),OR(EXACT(metadata!J102,"Animal"),EXACT(metadata!J102,"Fungus"),EXACT(metadata!J102,"Plant"),EXACT(metadata!J102,"Saline"),EXACT(metadata!J102,"Non-saline")))</f>
        <v>0</v>
      </c>
      <c r="AV102" t="b">
        <f>AND(IF(metadata!K102="",FALSE,TRUE),OR(EXACT(metadata!K102,"Plant secretion"),EXACT(metadata!K102,"Plant rhizosphere"),EXACT(metadata!K102,"Plant surface"),EXACT(metadata!K102,"Plant corpus"),EXACT(metadata!K102,"Fungus surface"),EXACT(metadata!K102,"Fungus corpus"),EXACT(metadata!K102,"Animal surface"),EXACT(metadata!K102,"Animal proximal gut"),EXACT(metadata!K102,"Animal corpus"),EXACT(metadata!K102,"Animal distal gut"),EXACT(metadata!K102,"Animal secretion"),EXACT(metadata!K102,"Sub-surface (non-saline)"),EXACT(metadata!K102,"Surface (non-saline)"),EXACT(metadata!K102,"Water (non-saline)"),EXACT(metadata!K102,"Soil (non-saline)"),EXACT(metadata!K102,"Aerosol (non-saline)"),EXACT(metadata!K102,"Sediment (non-saline)"),EXACT(metadata!K102,"Surface (saline)"),EXACT(metadata!K102,"Water (saline)"),EXACT(metadata!K102,"Hypersaline (saline)"),EXACT(metadata!K102,"Aerosol (saline)"),EXACT(metadata!K102,"Sediment (saline)")))</f>
        <v>0</v>
      </c>
      <c r="AW102" t="b">
        <f>IF(metadata!L102="",FALSE,TRUE)</f>
        <v>0</v>
      </c>
      <c r="AX102" t="b">
        <f>IF(metadata!M102="",FALSE,TRUE)</f>
        <v>0</v>
      </c>
      <c r="AY102" t="b">
        <f>IF(metadata!N102="",FALSE,TRUE)</f>
        <v>0</v>
      </c>
      <c r="AZ102" t="b">
        <f>OR(AND(IF(metadata!O102="",FALSE,TRUE),OR(EXACT(metadata!O102,"missing: not collected"),EXACT(metadata!O102,"missing: not provided"),EXACT(metadata!O102,"missing: restricted access"))),AND(IF(metadata!O102="",FALSE,TRUE),OR(EXACT(metadata!O102,"air"),EXACT(metadata!O102,"built environment"),EXACT(metadata!O102,"host-associated"),EXACT(metadata!O102,"human-associated"),EXACT(metadata!O102,"human-skin"),EXACT(metadata!O102,"human-oral"),EXACT(metadata!O102,"human-gut"),EXACT(metadata!O102,"human-vaginal"),EXACT(metadata!O102,"microbial mat/biofilm"),EXACT(metadata!O102,"misc environment"),EXACT(metadata!O102,"plant-associated"),EXACT(metadata!O102,"sediment"),EXACT(metadata!O102,"soil"),EXACT(metadata!O102,"wastewater/sludge"),EXACT(metadata!O102,"water"))))</f>
        <v>0</v>
      </c>
      <c r="BA102" t="b">
        <f>IF(metadata!P102="",FALSE,TRUE)</f>
        <v>0</v>
      </c>
      <c r="BB102" t="b">
        <f>IF(metadata!Q102="",FALSE,TRUE)</f>
        <v>0</v>
      </c>
      <c r="BC102" t="b">
        <f>OR(AND(IF(metadata!R102="",FALSE,TRUE),OR(EXACT(metadata!R102,"missing: not collected"),EXACT(metadata!R102,"missing: not provided"),EXACT(metadata!R102,"missing: restricted access"))),AND(IF(metadata!R102="",FALSE,ISNUMBER(VALUE(metadata!R102))),metadata!R102&gt;=-90,metadata!R102&lt;=90))</f>
        <v>0</v>
      </c>
      <c r="BD102" t="b">
        <f>AND(IF(metadata!S102="",FALSE,TRUE),EXACT(metadata!S102,"Decimal degrees"))</f>
        <v>0</v>
      </c>
      <c r="BE102" t="b">
        <f>OR(AND(IF(metadata!T102="",FALSE,TRUE),OR(EXACT(metadata!T102,"missing: not collected"),EXACT(metadata!T102,"missing: not provided"),EXACT(metadata!T102,"missing: restricted access"))),AND(IF(metadata!T102="",FALSE,ISNUMBER(VALUE(metadata!T102))),metadata!T102&gt;=-180,metadata!T102&lt;=180))</f>
        <v>0</v>
      </c>
      <c r="BF102" t="b">
        <f>AND(IF(metadata!U102="",FALSE,TRUE),EXACT(metadata!U102,"Decimal degrees"))</f>
        <v>0</v>
      </c>
      <c r="BG102" t="b">
        <f>IF(metadata!V102="",FALSE,TRUE)</f>
        <v>0</v>
      </c>
      <c r="BH102" t="b">
        <f>OR(AND(IF(metadata!W102="",FALSE,TRUE),OR(EXACT(metadata!W102,"missing: not collected"),EXACT(metadata!W102,"missing: not provided"),EXACT(metadata!W102,"missing: restricted access"))),AND(IF(metadata!W102="",FALSE,TRUE),OR(EXACT(metadata!W102,"TRUE"),EXACT(metadata!W102,"FALSE"))))</f>
        <v>0</v>
      </c>
      <c r="BI102" t="b">
        <f>AND(IF(metadata!X102="",FALSE,TRUE),EXACT(metadata!X102,"other"))</f>
        <v>0</v>
      </c>
      <c r="BJ102" t="b">
        <f>IF(metadata!Y102="",FALSE,TRUE)</f>
        <v>0</v>
      </c>
      <c r="BK102" t="b">
        <f>OR(AND(IF(metadata!Z102="",FALSE,TRUE),OR(EXACT(metadata!Z102,"missing: not collected"),EXACT(metadata!Z102,"missing: not provided"))),AND(IF(metadata!Z102="",FALSE,IF(ISERROR(INT(metadata!Z102)),FALSE,INT(metadata!Z102)=metadata!Z102)),metadata!Z102&gt;0))</f>
        <v>0</v>
      </c>
      <c r="BL102" t="b">
        <f>AND(IF(metadata!AA102="",FALSE,TRUE),EXACT(metadata!AA102,"Not applicable"))</f>
        <v>0</v>
      </c>
      <c r="BM102" t="b">
        <f>IF(metadata!AB102="",FALSE,TRUE)</f>
        <v>0</v>
      </c>
    </row>
    <row r="103" spans="1:65" x14ac:dyDescent="0.2">
      <c r="A103" s="5" t="str">
        <f ca="1">IF(B103=" "," ",HYPERLINK(CONCATENATE("#metadata!",ADDRESS(INDEX($AH$2:$AH$1001,MATCH(ROWS($AF$2:AF103),$AF$2:$AF$1001,0),0),1)),INDEX($AK$2:$AK$1001,MATCH(ROWS($AF$2:AF103),$AF$2:$AF$1001,0),0)))</f>
        <v xml:space="preserve"> </v>
      </c>
      <c r="B103" s="4" t="str">
        <f ca="1">IF(OR(INDEX($AG$2:$AG$1001,MATCH(ROWS($AF$2:AF103),$AF$2:$AF$1001,0),1)&gt;=100000,INDEX($AM$1005:$BM$1005,1,MATCH(COLUMNS($AM$1006:AM1006),$AM$1006:$BM$1006,0))&gt;=100000), " ",IF(INDEX($AM$2:$BM$1001,MATCH(ROWS($AF$2:AF103),$AF$2:$AF$1001,0),MATCH(COLUMNS($AM$1006:AM1006),$AM$1006:$BM$1006,0)), HYPERLINK("#",""), HYPERLINK(CONCATENATE("#metadata!", ADDRESS(INDEX($AH$2:$AH$1001,MATCH(ROWS($AF$2:AF103),$AF$2:$AF$1001,0),0), INDEX($AM$1004:$BM$1004,1,MATCH(COLUMNS($AM$1006:AM1006),$AM$1006:$BM$1006,0)))),"Fix")))</f>
        <v xml:space="preserve"> </v>
      </c>
      <c r="C103" s="4" t="str">
        <f ca="1">IF(OR(INDEX($AG$2:$AG$1001,MATCH(ROWS($AF$2:AF103),$AF$2:$AF$1001,0),1)&gt;=100000,INDEX($AM$1005:$BM$1005,1,MATCH(COLUMNS($AM$1006:AN1006),$AM$1006:$BM$1006,0))&gt;=100000), " ",IF(INDEX($AM$2:$BM$1001,MATCH(ROWS($AF$2:AF103),$AF$2:$AF$1001,0),MATCH(COLUMNS($AM$1006:AN1006),$AM$1006:$BM$1006,0)), HYPERLINK("#",""), HYPERLINK(CONCATENATE("#metadata!", ADDRESS(INDEX($AH$2:$AH$1001,MATCH(ROWS($AF$2:AF103),$AF$2:$AF$1001,0),0), INDEX($AM$1004:$BM$1004,1,MATCH(COLUMNS($AM$1006:AN1006),$AM$1006:$BM$1006,0)))),"Fix")))</f>
        <v xml:space="preserve"> </v>
      </c>
      <c r="D103" s="4" t="str">
        <f ca="1">IF(OR(INDEX($AG$2:$AG$1001,MATCH(ROWS($AF$2:AF103),$AF$2:$AF$1001,0),1)&gt;=100000,INDEX($AM$1005:$BM$1005,1,MATCH(COLUMNS($AM$1006:AO1006),$AM$1006:$BM$1006,0))&gt;=100000), " ",IF(INDEX($AM$2:$BM$1001,MATCH(ROWS($AF$2:AF103),$AF$2:$AF$1001,0),MATCH(COLUMNS($AM$1006:AO1006),$AM$1006:$BM$1006,0)), HYPERLINK("#",""), HYPERLINK(CONCATENATE("#metadata!", ADDRESS(INDEX($AH$2:$AH$1001,MATCH(ROWS($AF$2:AF103),$AF$2:$AF$1001,0),0), INDEX($AM$1004:$BM$1004,1,MATCH(COLUMNS($AM$1006:AO1006),$AM$1006:$BM$1006,0)))),"Fix")))</f>
        <v xml:space="preserve"> </v>
      </c>
      <c r="E103" s="4" t="str">
        <f ca="1">IF(OR(INDEX($AG$2:$AG$1001,MATCH(ROWS($AF$2:AF103),$AF$2:$AF$1001,0),1)&gt;=100000,INDEX($AM$1005:$BM$1005,1,MATCH(COLUMNS($AM$1006:AP1006),$AM$1006:$BM$1006,0))&gt;=100000), " ",IF(INDEX($AM$2:$BM$1001,MATCH(ROWS($AF$2:AF103),$AF$2:$AF$1001,0),MATCH(COLUMNS($AM$1006:AP1006),$AM$1006:$BM$1006,0)), HYPERLINK("#",""), HYPERLINK(CONCATENATE("#metadata!", ADDRESS(INDEX($AH$2:$AH$1001,MATCH(ROWS($AF$2:AF103),$AF$2:$AF$1001,0),0), INDEX($AM$1004:$BM$1004,1,MATCH(COLUMNS($AM$1006:AP1006),$AM$1006:$BM$1006,0)))),"Fix")))</f>
        <v xml:space="preserve"> </v>
      </c>
      <c r="F103" s="4" t="str">
        <f ca="1">IF(OR(INDEX($AG$2:$AG$1001,MATCH(ROWS($AF$2:AF103),$AF$2:$AF$1001,0),1)&gt;=100000,INDEX($AM$1005:$BM$1005,1,MATCH(COLUMNS($AM$1006:AQ1006),$AM$1006:$BM$1006,0))&gt;=100000), " ",IF(INDEX($AM$2:$BM$1001,MATCH(ROWS($AF$2:AF103),$AF$2:$AF$1001,0),MATCH(COLUMNS($AM$1006:AQ1006),$AM$1006:$BM$1006,0)), HYPERLINK("#",""), HYPERLINK(CONCATENATE("#metadata!", ADDRESS(INDEX($AH$2:$AH$1001,MATCH(ROWS($AF$2:AF103),$AF$2:$AF$1001,0),0), INDEX($AM$1004:$BM$1004,1,MATCH(COLUMNS($AM$1006:AQ1006),$AM$1006:$BM$1006,0)))),"Fix")))</f>
        <v xml:space="preserve"> </v>
      </c>
      <c r="G103" s="4" t="str">
        <f ca="1">IF(OR(INDEX($AG$2:$AG$1001,MATCH(ROWS($AF$2:AF103),$AF$2:$AF$1001,0),1)&gt;=100000,INDEX($AM$1005:$BM$1005,1,MATCH(COLUMNS($AM$1006:AR1006),$AM$1006:$BM$1006,0))&gt;=100000), " ",IF(INDEX($AM$2:$BM$1001,MATCH(ROWS($AF$2:AF103),$AF$2:$AF$1001,0),MATCH(COLUMNS($AM$1006:AR1006),$AM$1006:$BM$1006,0)), HYPERLINK("#",""), HYPERLINK(CONCATENATE("#metadata!", ADDRESS(INDEX($AH$2:$AH$1001,MATCH(ROWS($AF$2:AF103),$AF$2:$AF$1001,0),0), INDEX($AM$1004:$BM$1004,1,MATCH(COLUMNS($AM$1006:AR1006),$AM$1006:$BM$1006,0)))),"Fix")))</f>
        <v xml:space="preserve"> </v>
      </c>
      <c r="H103" s="4" t="str">
        <f ca="1">IF(OR(INDEX($AG$2:$AG$1001,MATCH(ROWS($AF$2:AF103),$AF$2:$AF$1001,0),1)&gt;=100000,INDEX($AM$1005:$BM$1005,1,MATCH(COLUMNS($AM$1006:AS1006),$AM$1006:$BM$1006,0))&gt;=100000), " ",IF(INDEX($AM$2:$BM$1001,MATCH(ROWS($AF$2:AF103),$AF$2:$AF$1001,0),MATCH(COLUMNS($AM$1006:AS1006),$AM$1006:$BM$1006,0)), HYPERLINK("#",""), HYPERLINK(CONCATENATE("#metadata!", ADDRESS(INDEX($AH$2:$AH$1001,MATCH(ROWS($AF$2:AF103),$AF$2:$AF$1001,0),0), INDEX($AM$1004:$BM$1004,1,MATCH(COLUMNS($AM$1006:AS1006),$AM$1006:$BM$1006,0)))),"Fix")))</f>
        <v xml:space="preserve"> </v>
      </c>
      <c r="I103" s="4" t="str">
        <f ca="1">IF(OR(INDEX($AG$2:$AG$1001,MATCH(ROWS($AF$2:AF103),$AF$2:$AF$1001,0),1)&gt;=100000,INDEX($AM$1005:$BM$1005,1,MATCH(COLUMNS($AM$1006:AT1006),$AM$1006:$BM$1006,0))&gt;=100000), " ",IF(INDEX($AM$2:$BM$1001,MATCH(ROWS($AF$2:AF103),$AF$2:$AF$1001,0),MATCH(COLUMNS($AM$1006:AT1006),$AM$1006:$BM$1006,0)), HYPERLINK("#",""), HYPERLINK(CONCATENATE("#metadata!", ADDRESS(INDEX($AH$2:$AH$1001,MATCH(ROWS($AF$2:AF103),$AF$2:$AF$1001,0),0), INDEX($AM$1004:$BM$1004,1,MATCH(COLUMNS($AM$1006:AT1006),$AM$1006:$BM$1006,0)))),"Fix")))</f>
        <v xml:space="preserve"> </v>
      </c>
      <c r="J103" s="4" t="str">
        <f ca="1">IF(OR(INDEX($AG$2:$AG$1001,MATCH(ROWS($AF$2:AF103),$AF$2:$AF$1001,0),1)&gt;=100000,INDEX($AM$1005:$BM$1005,1,MATCH(COLUMNS($AM$1006:AU1006),$AM$1006:$BM$1006,0))&gt;=100000), " ",IF(INDEX($AM$2:$BM$1001,MATCH(ROWS($AF$2:AF103),$AF$2:$AF$1001,0),MATCH(COLUMNS($AM$1006:AU1006),$AM$1006:$BM$1006,0)), HYPERLINK("#",""), HYPERLINK(CONCATENATE("#metadata!", ADDRESS(INDEX($AH$2:$AH$1001,MATCH(ROWS($AF$2:AF103),$AF$2:$AF$1001,0),0), INDEX($AM$1004:$BM$1004,1,MATCH(COLUMNS($AM$1006:AU1006),$AM$1006:$BM$1006,0)))),"Fix")))</f>
        <v xml:space="preserve"> </v>
      </c>
      <c r="K103" s="4" t="str">
        <f ca="1">IF(OR(INDEX($AG$2:$AG$1001,MATCH(ROWS($AF$2:AF103),$AF$2:$AF$1001,0),1)&gt;=100000,INDEX($AM$1005:$BM$1005,1,MATCH(COLUMNS($AM$1006:AV1006),$AM$1006:$BM$1006,0))&gt;=100000), " ",IF(INDEX($AM$2:$BM$1001,MATCH(ROWS($AF$2:AF103),$AF$2:$AF$1001,0),MATCH(COLUMNS($AM$1006:AV1006),$AM$1006:$BM$1006,0)), HYPERLINK("#",""), HYPERLINK(CONCATENATE("#metadata!", ADDRESS(INDEX($AH$2:$AH$1001,MATCH(ROWS($AF$2:AF103),$AF$2:$AF$1001,0),0), INDEX($AM$1004:$BM$1004,1,MATCH(COLUMNS($AM$1006:AV1006),$AM$1006:$BM$1006,0)))),"Fix")))</f>
        <v xml:space="preserve"> </v>
      </c>
      <c r="L103" s="4" t="str">
        <f ca="1">IF(OR(INDEX($AG$2:$AG$1001,MATCH(ROWS($AF$2:AF103),$AF$2:$AF$1001,0),1)&gt;=100000,INDEX($AM$1005:$BM$1005,1,MATCH(COLUMNS($AM$1006:AW1006),$AM$1006:$BM$1006,0))&gt;=100000), " ",IF(INDEX($AM$2:$BM$1001,MATCH(ROWS($AF$2:AF103),$AF$2:$AF$1001,0),MATCH(COLUMNS($AM$1006:AW1006),$AM$1006:$BM$1006,0)), HYPERLINK("#",""), HYPERLINK(CONCATENATE("#metadata!", ADDRESS(INDEX($AH$2:$AH$1001,MATCH(ROWS($AF$2:AF103),$AF$2:$AF$1001,0),0), INDEX($AM$1004:$BM$1004,1,MATCH(COLUMNS($AM$1006:AW1006),$AM$1006:$BM$1006,0)))),"Fix")))</f>
        <v xml:space="preserve"> </v>
      </c>
      <c r="M103" s="4" t="str">
        <f ca="1">IF(OR(INDEX($AG$2:$AG$1001,MATCH(ROWS($AF$2:AF103),$AF$2:$AF$1001,0),1)&gt;=100000,INDEX($AM$1005:$BM$1005,1,MATCH(COLUMNS($AM$1006:AX1006),$AM$1006:$BM$1006,0))&gt;=100000), " ",IF(INDEX($AM$2:$BM$1001,MATCH(ROWS($AF$2:AF103),$AF$2:$AF$1001,0),MATCH(COLUMNS($AM$1006:AX1006),$AM$1006:$BM$1006,0)), HYPERLINK("#",""), HYPERLINK(CONCATENATE("#metadata!", ADDRESS(INDEX($AH$2:$AH$1001,MATCH(ROWS($AF$2:AF103),$AF$2:$AF$1001,0),0), INDEX($AM$1004:$BM$1004,1,MATCH(COLUMNS($AM$1006:AX1006),$AM$1006:$BM$1006,0)))),"Fix")))</f>
        <v xml:space="preserve"> </v>
      </c>
      <c r="N103" s="4" t="str">
        <f ca="1">IF(OR(INDEX($AG$2:$AG$1001,MATCH(ROWS($AF$2:AF103),$AF$2:$AF$1001,0),1)&gt;=100000,INDEX($AM$1005:$BM$1005,1,MATCH(COLUMNS($AM$1006:AY1006),$AM$1006:$BM$1006,0))&gt;=100000), " ",IF(INDEX($AM$2:$BM$1001,MATCH(ROWS($AF$2:AF103),$AF$2:$AF$1001,0),MATCH(COLUMNS($AM$1006:AY1006),$AM$1006:$BM$1006,0)), HYPERLINK("#",""), HYPERLINK(CONCATENATE("#metadata!", ADDRESS(INDEX($AH$2:$AH$1001,MATCH(ROWS($AF$2:AF103),$AF$2:$AF$1001,0),0), INDEX($AM$1004:$BM$1004,1,MATCH(COLUMNS($AM$1006:AY1006),$AM$1006:$BM$1006,0)))),"Fix")))</f>
        <v xml:space="preserve"> </v>
      </c>
      <c r="O103" s="4" t="str">
        <f ca="1">IF(OR(INDEX($AG$2:$AG$1001,MATCH(ROWS($AF$2:AF103),$AF$2:$AF$1001,0),1)&gt;=100000,INDEX($AM$1005:$BM$1005,1,MATCH(COLUMNS($AM$1006:AZ1006),$AM$1006:$BM$1006,0))&gt;=100000), " ",IF(INDEX($AM$2:$BM$1001,MATCH(ROWS($AF$2:AF103),$AF$2:$AF$1001,0),MATCH(COLUMNS($AM$1006:AZ1006),$AM$1006:$BM$1006,0)), HYPERLINK("#",""), HYPERLINK(CONCATENATE("#metadata!", ADDRESS(INDEX($AH$2:$AH$1001,MATCH(ROWS($AF$2:AF103),$AF$2:$AF$1001,0),0), INDEX($AM$1004:$BM$1004,1,MATCH(COLUMNS($AM$1006:AZ1006),$AM$1006:$BM$1006,0)))),"Fix")))</f>
        <v xml:space="preserve"> </v>
      </c>
      <c r="P103" s="4" t="str">
        <f ca="1">IF(OR(INDEX($AG$2:$AG$1001,MATCH(ROWS($AF$2:AF103),$AF$2:$AF$1001,0),1)&gt;=100000,INDEX($AM$1005:$BM$1005,1,MATCH(COLUMNS($AM$1006:BA1006),$AM$1006:$BM$1006,0))&gt;=100000), " ",IF(INDEX($AM$2:$BM$1001,MATCH(ROWS($AF$2:AF103),$AF$2:$AF$1001,0),MATCH(COLUMNS($AM$1006:BA1006),$AM$1006:$BM$1006,0)), HYPERLINK("#",""), HYPERLINK(CONCATENATE("#metadata!", ADDRESS(INDEX($AH$2:$AH$1001,MATCH(ROWS($AF$2:AF103),$AF$2:$AF$1001,0),0), INDEX($AM$1004:$BM$1004,1,MATCH(COLUMNS($AM$1006:BA1006),$AM$1006:$BM$1006,0)))),"Fix")))</f>
        <v xml:space="preserve"> </v>
      </c>
      <c r="Q103" s="4" t="str">
        <f ca="1">IF(OR(INDEX($AG$2:$AG$1001,MATCH(ROWS($AF$2:AF103),$AF$2:$AF$1001,0),1)&gt;=100000,INDEX($AM$1005:$BM$1005,1,MATCH(COLUMNS($AM$1006:BB1006),$AM$1006:$BM$1006,0))&gt;=100000), " ",IF(INDEX($AM$2:$BM$1001,MATCH(ROWS($AF$2:AF103),$AF$2:$AF$1001,0),MATCH(COLUMNS($AM$1006:BB1006),$AM$1006:$BM$1006,0)), HYPERLINK("#",""), HYPERLINK(CONCATENATE("#metadata!", ADDRESS(INDEX($AH$2:$AH$1001,MATCH(ROWS($AF$2:AF103),$AF$2:$AF$1001,0),0), INDEX($AM$1004:$BM$1004,1,MATCH(COLUMNS($AM$1006:BB1006),$AM$1006:$BM$1006,0)))),"Fix")))</f>
        <v xml:space="preserve"> </v>
      </c>
      <c r="R103" s="4" t="str">
        <f ca="1">IF(OR(INDEX($AG$2:$AG$1001,MATCH(ROWS($AF$2:AF103),$AF$2:$AF$1001,0),1)&gt;=100000,INDEX($AM$1005:$BM$1005,1,MATCH(COLUMNS($AM$1006:BC1006),$AM$1006:$BM$1006,0))&gt;=100000), " ",IF(INDEX($AM$2:$BM$1001,MATCH(ROWS($AF$2:AF103),$AF$2:$AF$1001,0),MATCH(COLUMNS($AM$1006:BC1006),$AM$1006:$BM$1006,0)), HYPERLINK("#",""), HYPERLINK(CONCATENATE("#metadata!", ADDRESS(INDEX($AH$2:$AH$1001,MATCH(ROWS($AF$2:AF103),$AF$2:$AF$1001,0),0), INDEX($AM$1004:$BM$1004,1,MATCH(COLUMNS($AM$1006:BC1006),$AM$1006:$BM$1006,0)))),"Fix")))</f>
        <v xml:space="preserve"> </v>
      </c>
      <c r="S103" s="4" t="str">
        <f ca="1">IF(OR(INDEX($AG$2:$AG$1001,MATCH(ROWS($AF$2:AF103),$AF$2:$AF$1001,0),1)&gt;=100000,INDEX($AM$1005:$BM$1005,1,MATCH(COLUMNS($AM$1006:BD1006),$AM$1006:$BM$1006,0))&gt;=100000), " ",IF(INDEX($AM$2:$BM$1001,MATCH(ROWS($AF$2:AF103),$AF$2:$AF$1001,0),MATCH(COLUMNS($AM$1006:BD1006),$AM$1006:$BM$1006,0)), HYPERLINK("#",""), HYPERLINK(CONCATENATE("#metadata!", ADDRESS(INDEX($AH$2:$AH$1001,MATCH(ROWS($AF$2:AF103),$AF$2:$AF$1001,0),0), INDEX($AM$1004:$BM$1004,1,MATCH(COLUMNS($AM$1006:BD1006),$AM$1006:$BM$1006,0)))),"Fix")))</f>
        <v xml:space="preserve"> </v>
      </c>
      <c r="T103" s="4" t="str">
        <f ca="1">IF(OR(INDEX($AG$2:$AG$1001,MATCH(ROWS($AF$2:AF103),$AF$2:$AF$1001,0),1)&gt;=100000,INDEX($AM$1005:$BM$1005,1,MATCH(COLUMNS($AM$1006:BE1006),$AM$1006:$BM$1006,0))&gt;=100000), " ",IF(INDEX($AM$2:$BM$1001,MATCH(ROWS($AF$2:AF103),$AF$2:$AF$1001,0),MATCH(COLUMNS($AM$1006:BE1006),$AM$1006:$BM$1006,0)), HYPERLINK("#",""), HYPERLINK(CONCATENATE("#metadata!", ADDRESS(INDEX($AH$2:$AH$1001,MATCH(ROWS($AF$2:AF103),$AF$2:$AF$1001,0),0), INDEX($AM$1004:$BM$1004,1,MATCH(COLUMNS($AM$1006:BE1006),$AM$1006:$BM$1006,0)))),"Fix")))</f>
        <v xml:space="preserve"> </v>
      </c>
      <c r="U103" s="4" t="str">
        <f ca="1">IF(OR(INDEX($AG$2:$AG$1001,MATCH(ROWS($AF$2:AF103),$AF$2:$AF$1001,0),1)&gt;=100000,INDEX($AM$1005:$BM$1005,1,MATCH(COLUMNS($AM$1006:BF1006),$AM$1006:$BM$1006,0))&gt;=100000), " ",IF(INDEX($AM$2:$BM$1001,MATCH(ROWS($AF$2:AF103),$AF$2:$AF$1001,0),MATCH(COLUMNS($AM$1006:BF1006),$AM$1006:$BM$1006,0)), HYPERLINK("#",""), HYPERLINK(CONCATENATE("#metadata!", ADDRESS(INDEX($AH$2:$AH$1001,MATCH(ROWS($AF$2:AF103),$AF$2:$AF$1001,0),0), INDEX($AM$1004:$BM$1004,1,MATCH(COLUMNS($AM$1006:BF1006),$AM$1006:$BM$1006,0)))),"Fix")))</f>
        <v xml:space="preserve"> </v>
      </c>
      <c r="V103" s="4" t="str">
        <f ca="1">IF(OR(INDEX($AG$2:$AG$1001,MATCH(ROWS($AF$2:AF103),$AF$2:$AF$1001,0),1)&gt;=100000,INDEX($AM$1005:$BM$1005,1,MATCH(COLUMNS($AM$1006:BG1006),$AM$1006:$BM$1006,0))&gt;=100000), " ",IF(INDEX($AM$2:$BM$1001,MATCH(ROWS($AF$2:AF103),$AF$2:$AF$1001,0),MATCH(COLUMNS($AM$1006:BG1006),$AM$1006:$BM$1006,0)), HYPERLINK("#",""), HYPERLINK(CONCATENATE("#metadata!", ADDRESS(INDEX($AH$2:$AH$1001,MATCH(ROWS($AF$2:AF103),$AF$2:$AF$1001,0),0), INDEX($AM$1004:$BM$1004,1,MATCH(COLUMNS($AM$1006:BG1006),$AM$1006:$BM$1006,0)))),"Fix")))</f>
        <v xml:space="preserve"> </v>
      </c>
      <c r="W103" s="4" t="str">
        <f ca="1">IF(OR(INDEX($AG$2:$AG$1001,MATCH(ROWS($AF$2:AF103),$AF$2:$AF$1001,0),1)&gt;=100000,INDEX($AM$1005:$BM$1005,1,MATCH(COLUMNS($AM$1006:BH1006),$AM$1006:$BM$1006,0))&gt;=100000), " ",IF(INDEX($AM$2:$BM$1001,MATCH(ROWS($AF$2:AF103),$AF$2:$AF$1001,0),MATCH(COLUMNS($AM$1006:BH1006),$AM$1006:$BM$1006,0)), HYPERLINK("#",""), HYPERLINK(CONCATENATE("#metadata!", ADDRESS(INDEX($AH$2:$AH$1001,MATCH(ROWS($AF$2:AF103),$AF$2:$AF$1001,0),0), INDEX($AM$1004:$BM$1004,1,MATCH(COLUMNS($AM$1006:BH1006),$AM$1006:$BM$1006,0)))),"Fix")))</f>
        <v xml:space="preserve"> </v>
      </c>
      <c r="X103" s="4" t="str">
        <f ca="1">IF(OR(INDEX($AG$2:$AG$1001,MATCH(ROWS($AF$2:AF103),$AF$2:$AF$1001,0),1)&gt;=100000,INDEX($AM$1005:$BM$1005,1,MATCH(COLUMNS($AM$1006:BI1006),$AM$1006:$BM$1006,0))&gt;=100000), " ",IF(INDEX($AM$2:$BM$1001,MATCH(ROWS($AF$2:AF103),$AF$2:$AF$1001,0),MATCH(COLUMNS($AM$1006:BI1006),$AM$1006:$BM$1006,0)), HYPERLINK("#",""), HYPERLINK(CONCATENATE("#metadata!", ADDRESS(INDEX($AH$2:$AH$1001,MATCH(ROWS($AF$2:AF103),$AF$2:$AF$1001,0),0), INDEX($AM$1004:$BM$1004,1,MATCH(COLUMNS($AM$1006:BI1006),$AM$1006:$BM$1006,0)))),"Fix")))</f>
        <v xml:space="preserve"> </v>
      </c>
      <c r="Y103" s="4" t="str">
        <f ca="1">IF(OR(INDEX($AG$2:$AG$1001,MATCH(ROWS($AF$2:AF103),$AF$2:$AF$1001,0),1)&gt;=100000,INDEX($AM$1005:$BM$1005,1,MATCH(COLUMNS($AM$1006:BJ1006),$AM$1006:$BM$1006,0))&gt;=100000), " ",IF(INDEX($AM$2:$BM$1001,MATCH(ROWS($AF$2:AF103),$AF$2:$AF$1001,0),MATCH(COLUMNS($AM$1006:BJ1006),$AM$1006:$BM$1006,0)), HYPERLINK("#",""), HYPERLINK(CONCATENATE("#metadata!", ADDRESS(INDEX($AH$2:$AH$1001,MATCH(ROWS($AF$2:AF103),$AF$2:$AF$1001,0),0), INDEX($AM$1004:$BM$1004,1,MATCH(COLUMNS($AM$1006:BJ1006),$AM$1006:$BM$1006,0)))),"Fix")))</f>
        <v xml:space="preserve"> </v>
      </c>
      <c r="Z103" s="4" t="str">
        <f ca="1">IF(OR(INDEX($AG$2:$AG$1001,MATCH(ROWS($AF$2:AF103),$AF$2:$AF$1001,0),1)&gt;=100000,INDEX($AM$1005:$BM$1005,1,MATCH(COLUMNS($AM$1006:BK1006),$AM$1006:$BM$1006,0))&gt;=100000), " ",IF(INDEX($AM$2:$BM$1001,MATCH(ROWS($AF$2:AF103),$AF$2:$AF$1001,0),MATCH(COLUMNS($AM$1006:BK1006),$AM$1006:$BM$1006,0)), HYPERLINK("#",""), HYPERLINK(CONCATENATE("#metadata!", ADDRESS(INDEX($AH$2:$AH$1001,MATCH(ROWS($AF$2:AF103),$AF$2:$AF$1001,0),0), INDEX($AM$1004:$BM$1004,1,MATCH(COLUMNS($AM$1006:BK1006),$AM$1006:$BM$1006,0)))),"Fix")))</f>
        <v xml:space="preserve"> </v>
      </c>
      <c r="AA103" s="4" t="str">
        <f ca="1">IF(OR(INDEX($AG$2:$AG$1001,MATCH(ROWS($AF$2:AF103),$AF$2:$AF$1001,0),1)&gt;=100000,INDEX($AM$1005:$BM$1005,1,MATCH(COLUMNS($AM$1006:BL1006),$AM$1006:$BM$1006,0))&gt;=100000), " ",IF(INDEX($AM$2:$BM$1001,MATCH(ROWS($AF$2:AF103),$AF$2:$AF$1001,0),MATCH(COLUMNS($AM$1006:BL1006),$AM$1006:$BM$1006,0)), HYPERLINK("#",""), HYPERLINK(CONCATENATE("#metadata!", ADDRESS(INDEX($AH$2:$AH$1001,MATCH(ROWS($AF$2:AF103),$AF$2:$AF$1001,0),0), INDEX($AM$1004:$BM$1004,1,MATCH(COLUMNS($AM$1006:BL1006),$AM$1006:$BM$1006,0)))),"Fix")))</f>
        <v xml:space="preserve"> </v>
      </c>
      <c r="AB103" s="4" t="str">
        <f ca="1">IF(OR(INDEX($AG$2:$AG$1001,MATCH(ROWS($AF$2:AF103),$AF$2:$AF$1001,0),1)&gt;=100000,INDEX($AM$1005:$BM$1005,1,MATCH(COLUMNS($AM$1006:BM1006),$AM$1006:$BM$1006,0))&gt;=100000), " ",IF(INDEX($AM$2:$BM$1001,MATCH(ROWS($AF$2:AF103),$AF$2:$AF$1001,0),MATCH(COLUMNS($AM$1006:BM1006),$AM$1006:$BM$1006,0)), HYPERLINK("#",""), HYPERLINK(CONCATENATE("#metadata!", ADDRESS(INDEX($AH$2:$AH$1001,MATCH(ROWS($AF$2:AF103),$AF$2:$AF$1001,0),0), INDEX($AM$1004:$BM$1004,1,MATCH(COLUMNS($AM$1006:BM1006),$AM$1006:$BM$1006,0)))),"Fix")))</f>
        <v xml:space="preserve"> </v>
      </c>
      <c r="AF103">
        <v>102</v>
      </c>
      <c r="AG103">
        <v>100103</v>
      </c>
      <c r="AH103">
        <v>103</v>
      </c>
      <c r="AI103" t="b">
        <f t="shared" si="1"/>
        <v>1</v>
      </c>
      <c r="AJ103" t="b">
        <f>COUNTBLANK(metadata!B103:AB103)=COLUMNS(metadata!B103:AB103)</f>
        <v>1</v>
      </c>
      <c r="AK103" t="str">
        <v/>
      </c>
      <c r="AM103" t="b">
        <f ca="1">AND(IF(metadata!B103="",FALSE,TRUE),COUNTIF(metadata!B:B, metadata!B103) = 1,NOT(ISERROR(SUMPRODUCT(SEARCH(MID(metadata!B103,ROW(INDIRECT("1:"&amp;LEN(metadata!B103))), 1),"0123456789abcdefghijklmnopqrstuvwxyzABCDEFGHIJKLMNOPQRSTUVWXYZ.")))))</f>
        <v>0</v>
      </c>
      <c r="AN103" t="b">
        <f ca="1">OR(AND(IF(metadata!C103="",FALSE,TRUE),OR(EXACT(metadata!C103,"missing: not collected"),EXACT(metadata!C103,"missing: not provided"),EXACT(metadata!C103,"missing: restricted access"))),AND(IF(metadata!C103="",FALSE,TRUE),AND(AND(IFERROR(INT(LEFT(metadata!C103,4))&gt;1900,FALSE),IFERROR(INT(LEFT(metadata!C103,4))&lt;=YEAR(NOW()),FALSE)), OR(MID(metadata!C103,5,1)="", AND(AND(MID(metadata!C103,5,1)="-",IFERROR(INT(MID(metadata!C103,6,1))&gt;=0,FALSE),IFERROR(INT(MID(metadata!C103,6,1))&lt;=1,FALSE),NOT(MID(metadata!C103,7,1)=""),IFERROR(INT(MID(metadata!C103,6,2))&gt;=1,FALSE),IFERROR(INT(MID(metadata!C103,6,2))&lt;=12,FALSE)), OR(MID(metadata!C103,8,1)="", AND(AND(MID(metadata!C103,8,1)="-",IFERROR(INT(MID(metadata!C103,9,1))&gt;=0,FALSE),IFERROR(INT(MID(metadata!C103,9,1))&lt;=3,FALSE),NOT(MID(metadata!C103,10,1)=""),IFERROR(INT(MID(metadata!C103,9,2))&gt;=1,FALSE),IFERROR(INT(MID(metadata!C103,9,2))&lt;=31,FALSE)), OR(MID(metadata!C103,11,1)="", AND(AND(MID(metadata!C103,11,1)=" ",IFERROR(INT(MID(metadata!C103,12,1))&gt;=0,FALSE),IFERROR(INT(MID(metadata!C103,12,1))&lt;=2,FALSE),NOT(MID(metadata!C103,13,1)=""),IFERROR(INT(MID(metadata!C103,12,2))&gt;=0,FALSE),IFERROR(INT(MID(metadata!C103,12,2))&lt;=23,FALSE)), OR(MID(metadata!C103,14,1)="", AND(AND(MID(metadata!C103,14,1)=":",IFERROR(INT(MID(metadata!C103,15,1))&gt;=0,FALSE),IFERROR(INT(MID(metadata!C103,15,1))&lt;=5,FALSE),NOT(MID(metadata!C103,16,1)=""),IFERROR(INT(MID(metadata!C103,15,2))&gt;=0,FALSE),IFERROR(INT(MID(metadata!C103,15,2))&lt;=59,FALSE)), OR(MID(metadata!C103,17,1)="", AND(AND(MID(metadata!C103,17,1)=":",IFERROR(INT(MID(metadata!C103,18,1))&gt;=0,FALSE),IFERROR(INT(MID(metadata!C103,18,1))&lt;=5,FALSE),NOT(MID(metadata!C103,19,1)=""),IFERROR(INT(MID(metadata!C103,18,2))&gt;=0,FALSE),IFERROR(INT(MID(metadata!C103,18,2))&lt;=59,FALSE)), LEN(metadata!C103)&lt;=19)))))))))))))</f>
        <v>0</v>
      </c>
      <c r="AO103" t="b">
        <f>AND(IF(metadata!D103="",FALSE,TRUE),EXACT(metadata!D103,"Not applicable"))</f>
        <v>0</v>
      </c>
      <c r="AP103" t="b">
        <f>IF(metadata!E103="",FALSE,TRUE)</f>
        <v>0</v>
      </c>
      <c r="AQ103" t="b">
        <f>OR(AND(IF(metadata!F103="",FALSE,TRUE),OR(EXACT(metadata!F103,"missing: not collected"),EXACT(metadata!F103,"missing: not provided"))),AND(IF(metadata!F103="",FALSE,TRUE),OR(EXACT(metadata!F103,"TRUE"),EXACT(metadata!F103,"FALSE"))))</f>
        <v>0</v>
      </c>
      <c r="AR103" t="b">
        <f>OR(AND(IF(metadata!G103="",FALSE,TRUE),OR(EXACT(metadata!G103,"missing: not collected"),EXACT(metadata!G103,"missing: not provided"),EXACT(metadata!G103,"missing: restricted access"))),AND(IF(metadata!G103="",FALSE,ISNUMBER(VALUE(metadata!G103))),metadata!G103&gt;=-413))</f>
        <v>0</v>
      </c>
      <c r="AS103" t="b">
        <f>AND(IF(metadata!H103="",FALSE,TRUE),EXACT(metadata!H103,"meters"))</f>
        <v>0</v>
      </c>
      <c r="AT103" t="b">
        <f>AND(IF(metadata!I103="",FALSE,TRUE),OR(EXACT(metadata!I103,"Host-associated"),EXACT(metadata!I103,"Free-living")))</f>
        <v>0</v>
      </c>
      <c r="AU103" t="b">
        <f>AND(IF(metadata!J103="",FALSE,TRUE),OR(EXACT(metadata!J103,"Animal"),EXACT(metadata!J103,"Fungus"),EXACT(metadata!J103,"Plant"),EXACT(metadata!J103,"Saline"),EXACT(metadata!J103,"Non-saline")))</f>
        <v>0</v>
      </c>
      <c r="AV103" t="b">
        <f>AND(IF(metadata!K103="",FALSE,TRUE),OR(EXACT(metadata!K103,"Plant secretion"),EXACT(metadata!K103,"Plant rhizosphere"),EXACT(metadata!K103,"Plant surface"),EXACT(metadata!K103,"Plant corpus"),EXACT(metadata!K103,"Fungus surface"),EXACT(metadata!K103,"Fungus corpus"),EXACT(metadata!K103,"Animal surface"),EXACT(metadata!K103,"Animal proximal gut"),EXACT(metadata!K103,"Animal corpus"),EXACT(metadata!K103,"Animal distal gut"),EXACT(metadata!K103,"Animal secretion"),EXACT(metadata!K103,"Sub-surface (non-saline)"),EXACT(metadata!K103,"Surface (non-saline)"),EXACT(metadata!K103,"Water (non-saline)"),EXACT(metadata!K103,"Soil (non-saline)"),EXACT(metadata!K103,"Aerosol (non-saline)"),EXACT(metadata!K103,"Sediment (non-saline)"),EXACT(metadata!K103,"Surface (saline)"),EXACT(metadata!K103,"Water (saline)"),EXACT(metadata!K103,"Hypersaline (saline)"),EXACT(metadata!K103,"Aerosol (saline)"),EXACT(metadata!K103,"Sediment (saline)")))</f>
        <v>0</v>
      </c>
      <c r="AW103" t="b">
        <f>IF(metadata!L103="",FALSE,TRUE)</f>
        <v>0</v>
      </c>
      <c r="AX103" t="b">
        <f>IF(metadata!M103="",FALSE,TRUE)</f>
        <v>0</v>
      </c>
      <c r="AY103" t="b">
        <f>IF(metadata!N103="",FALSE,TRUE)</f>
        <v>0</v>
      </c>
      <c r="AZ103" t="b">
        <f>OR(AND(IF(metadata!O103="",FALSE,TRUE),OR(EXACT(metadata!O103,"missing: not collected"),EXACT(metadata!O103,"missing: not provided"),EXACT(metadata!O103,"missing: restricted access"))),AND(IF(metadata!O103="",FALSE,TRUE),OR(EXACT(metadata!O103,"air"),EXACT(metadata!O103,"built environment"),EXACT(metadata!O103,"host-associated"),EXACT(metadata!O103,"human-associated"),EXACT(metadata!O103,"human-skin"),EXACT(metadata!O103,"human-oral"),EXACT(metadata!O103,"human-gut"),EXACT(metadata!O103,"human-vaginal"),EXACT(metadata!O103,"microbial mat/biofilm"),EXACT(metadata!O103,"misc environment"),EXACT(metadata!O103,"plant-associated"),EXACT(metadata!O103,"sediment"),EXACT(metadata!O103,"soil"),EXACT(metadata!O103,"wastewater/sludge"),EXACT(metadata!O103,"water"))))</f>
        <v>0</v>
      </c>
      <c r="BA103" t="b">
        <f>IF(metadata!P103="",FALSE,TRUE)</f>
        <v>0</v>
      </c>
      <c r="BB103" t="b">
        <f>IF(metadata!Q103="",FALSE,TRUE)</f>
        <v>0</v>
      </c>
      <c r="BC103" t="b">
        <f>OR(AND(IF(metadata!R103="",FALSE,TRUE),OR(EXACT(metadata!R103,"missing: not collected"),EXACT(metadata!R103,"missing: not provided"),EXACT(metadata!R103,"missing: restricted access"))),AND(IF(metadata!R103="",FALSE,ISNUMBER(VALUE(metadata!R103))),metadata!R103&gt;=-90,metadata!R103&lt;=90))</f>
        <v>0</v>
      </c>
      <c r="BD103" t="b">
        <f>AND(IF(metadata!S103="",FALSE,TRUE),EXACT(metadata!S103,"Decimal degrees"))</f>
        <v>0</v>
      </c>
      <c r="BE103" t="b">
        <f>OR(AND(IF(metadata!T103="",FALSE,TRUE),OR(EXACT(metadata!T103,"missing: not collected"),EXACT(metadata!T103,"missing: not provided"),EXACT(metadata!T103,"missing: restricted access"))),AND(IF(metadata!T103="",FALSE,ISNUMBER(VALUE(metadata!T103))),metadata!T103&gt;=-180,metadata!T103&lt;=180))</f>
        <v>0</v>
      </c>
      <c r="BF103" t="b">
        <f>AND(IF(metadata!U103="",FALSE,TRUE),EXACT(metadata!U103,"Decimal degrees"))</f>
        <v>0</v>
      </c>
      <c r="BG103" t="b">
        <f>IF(metadata!V103="",FALSE,TRUE)</f>
        <v>0</v>
      </c>
      <c r="BH103" t="b">
        <f>OR(AND(IF(metadata!W103="",FALSE,TRUE),OR(EXACT(metadata!W103,"missing: not collected"),EXACT(metadata!W103,"missing: not provided"),EXACT(metadata!W103,"missing: restricted access"))),AND(IF(metadata!W103="",FALSE,TRUE),OR(EXACT(metadata!W103,"TRUE"),EXACT(metadata!W103,"FALSE"))))</f>
        <v>0</v>
      </c>
      <c r="BI103" t="b">
        <f>AND(IF(metadata!X103="",FALSE,TRUE),EXACT(metadata!X103,"other"))</f>
        <v>0</v>
      </c>
      <c r="BJ103" t="b">
        <f>IF(metadata!Y103="",FALSE,TRUE)</f>
        <v>0</v>
      </c>
      <c r="BK103" t="b">
        <f>OR(AND(IF(metadata!Z103="",FALSE,TRUE),OR(EXACT(metadata!Z103,"missing: not collected"),EXACT(metadata!Z103,"missing: not provided"))),AND(IF(metadata!Z103="",FALSE,IF(ISERROR(INT(metadata!Z103)),FALSE,INT(metadata!Z103)=metadata!Z103)),metadata!Z103&gt;0))</f>
        <v>0</v>
      </c>
      <c r="BL103" t="b">
        <f>AND(IF(metadata!AA103="",FALSE,TRUE),EXACT(metadata!AA103,"Not applicable"))</f>
        <v>0</v>
      </c>
      <c r="BM103" t="b">
        <f>IF(metadata!AB103="",FALSE,TRUE)</f>
        <v>0</v>
      </c>
    </row>
    <row r="104" spans="1:65" x14ac:dyDescent="0.2">
      <c r="A104" s="5" t="str">
        <f ca="1">IF(B104=" "," ",HYPERLINK(CONCATENATE("#metadata!",ADDRESS(INDEX($AH$2:$AH$1001,MATCH(ROWS($AF$2:AF104),$AF$2:$AF$1001,0),0),1)),INDEX($AK$2:$AK$1001,MATCH(ROWS($AF$2:AF104),$AF$2:$AF$1001,0),0)))</f>
        <v xml:space="preserve"> </v>
      </c>
      <c r="B104" s="4" t="str">
        <f ca="1">IF(OR(INDEX($AG$2:$AG$1001,MATCH(ROWS($AF$2:AF104),$AF$2:$AF$1001,0),1)&gt;=100000,INDEX($AM$1005:$BM$1005,1,MATCH(COLUMNS($AM$1006:AM1006),$AM$1006:$BM$1006,0))&gt;=100000), " ",IF(INDEX($AM$2:$BM$1001,MATCH(ROWS($AF$2:AF104),$AF$2:$AF$1001,0),MATCH(COLUMNS($AM$1006:AM1006),$AM$1006:$BM$1006,0)), HYPERLINK("#",""), HYPERLINK(CONCATENATE("#metadata!", ADDRESS(INDEX($AH$2:$AH$1001,MATCH(ROWS($AF$2:AF104),$AF$2:$AF$1001,0),0), INDEX($AM$1004:$BM$1004,1,MATCH(COLUMNS($AM$1006:AM1006),$AM$1006:$BM$1006,0)))),"Fix")))</f>
        <v xml:space="preserve"> </v>
      </c>
      <c r="C104" s="4" t="str">
        <f ca="1">IF(OR(INDEX($AG$2:$AG$1001,MATCH(ROWS($AF$2:AF104),$AF$2:$AF$1001,0),1)&gt;=100000,INDEX($AM$1005:$BM$1005,1,MATCH(COLUMNS($AM$1006:AN1006),$AM$1006:$BM$1006,0))&gt;=100000), " ",IF(INDEX($AM$2:$BM$1001,MATCH(ROWS($AF$2:AF104),$AF$2:$AF$1001,0),MATCH(COLUMNS($AM$1006:AN1006),$AM$1006:$BM$1006,0)), HYPERLINK("#",""), HYPERLINK(CONCATENATE("#metadata!", ADDRESS(INDEX($AH$2:$AH$1001,MATCH(ROWS($AF$2:AF104),$AF$2:$AF$1001,0),0), INDEX($AM$1004:$BM$1004,1,MATCH(COLUMNS($AM$1006:AN1006),$AM$1006:$BM$1006,0)))),"Fix")))</f>
        <v xml:space="preserve"> </v>
      </c>
      <c r="D104" s="4" t="str">
        <f ca="1">IF(OR(INDEX($AG$2:$AG$1001,MATCH(ROWS($AF$2:AF104),$AF$2:$AF$1001,0),1)&gt;=100000,INDEX($AM$1005:$BM$1005,1,MATCH(COLUMNS($AM$1006:AO1006),$AM$1006:$BM$1006,0))&gt;=100000), " ",IF(INDEX($AM$2:$BM$1001,MATCH(ROWS($AF$2:AF104),$AF$2:$AF$1001,0),MATCH(COLUMNS($AM$1006:AO1006),$AM$1006:$BM$1006,0)), HYPERLINK("#",""), HYPERLINK(CONCATENATE("#metadata!", ADDRESS(INDEX($AH$2:$AH$1001,MATCH(ROWS($AF$2:AF104),$AF$2:$AF$1001,0),0), INDEX($AM$1004:$BM$1004,1,MATCH(COLUMNS($AM$1006:AO1006),$AM$1006:$BM$1006,0)))),"Fix")))</f>
        <v xml:space="preserve"> </v>
      </c>
      <c r="E104" s="4" t="str">
        <f ca="1">IF(OR(INDEX($AG$2:$AG$1001,MATCH(ROWS($AF$2:AF104),$AF$2:$AF$1001,0),1)&gt;=100000,INDEX($AM$1005:$BM$1005,1,MATCH(COLUMNS($AM$1006:AP1006),$AM$1006:$BM$1006,0))&gt;=100000), " ",IF(INDEX($AM$2:$BM$1001,MATCH(ROWS($AF$2:AF104),$AF$2:$AF$1001,0),MATCH(COLUMNS($AM$1006:AP1006),$AM$1006:$BM$1006,0)), HYPERLINK("#",""), HYPERLINK(CONCATENATE("#metadata!", ADDRESS(INDEX($AH$2:$AH$1001,MATCH(ROWS($AF$2:AF104),$AF$2:$AF$1001,0),0), INDEX($AM$1004:$BM$1004,1,MATCH(COLUMNS($AM$1006:AP1006),$AM$1006:$BM$1006,0)))),"Fix")))</f>
        <v xml:space="preserve"> </v>
      </c>
      <c r="F104" s="4" t="str">
        <f ca="1">IF(OR(INDEX($AG$2:$AG$1001,MATCH(ROWS($AF$2:AF104),$AF$2:$AF$1001,0),1)&gt;=100000,INDEX($AM$1005:$BM$1005,1,MATCH(COLUMNS($AM$1006:AQ1006),$AM$1006:$BM$1006,0))&gt;=100000), " ",IF(INDEX($AM$2:$BM$1001,MATCH(ROWS($AF$2:AF104),$AF$2:$AF$1001,0),MATCH(COLUMNS($AM$1006:AQ1006),$AM$1006:$BM$1006,0)), HYPERLINK("#",""), HYPERLINK(CONCATENATE("#metadata!", ADDRESS(INDEX($AH$2:$AH$1001,MATCH(ROWS($AF$2:AF104),$AF$2:$AF$1001,0),0), INDEX($AM$1004:$BM$1004,1,MATCH(COLUMNS($AM$1006:AQ1006),$AM$1006:$BM$1006,0)))),"Fix")))</f>
        <v xml:space="preserve"> </v>
      </c>
      <c r="G104" s="4" t="str">
        <f ca="1">IF(OR(INDEX($AG$2:$AG$1001,MATCH(ROWS($AF$2:AF104),$AF$2:$AF$1001,0),1)&gt;=100000,INDEX($AM$1005:$BM$1005,1,MATCH(COLUMNS($AM$1006:AR1006),$AM$1006:$BM$1006,0))&gt;=100000), " ",IF(INDEX($AM$2:$BM$1001,MATCH(ROWS($AF$2:AF104),$AF$2:$AF$1001,0),MATCH(COLUMNS($AM$1006:AR1006),$AM$1006:$BM$1006,0)), HYPERLINK("#",""), HYPERLINK(CONCATENATE("#metadata!", ADDRESS(INDEX($AH$2:$AH$1001,MATCH(ROWS($AF$2:AF104),$AF$2:$AF$1001,0),0), INDEX($AM$1004:$BM$1004,1,MATCH(COLUMNS($AM$1006:AR1006),$AM$1006:$BM$1006,0)))),"Fix")))</f>
        <v xml:space="preserve"> </v>
      </c>
      <c r="H104" s="4" t="str">
        <f ca="1">IF(OR(INDEX($AG$2:$AG$1001,MATCH(ROWS($AF$2:AF104),$AF$2:$AF$1001,0),1)&gt;=100000,INDEX($AM$1005:$BM$1005,1,MATCH(COLUMNS($AM$1006:AS1006),$AM$1006:$BM$1006,0))&gt;=100000), " ",IF(INDEX($AM$2:$BM$1001,MATCH(ROWS($AF$2:AF104),$AF$2:$AF$1001,0),MATCH(COLUMNS($AM$1006:AS1006),$AM$1006:$BM$1006,0)), HYPERLINK("#",""), HYPERLINK(CONCATENATE("#metadata!", ADDRESS(INDEX($AH$2:$AH$1001,MATCH(ROWS($AF$2:AF104),$AF$2:$AF$1001,0),0), INDEX($AM$1004:$BM$1004,1,MATCH(COLUMNS($AM$1006:AS1006),$AM$1006:$BM$1006,0)))),"Fix")))</f>
        <v xml:space="preserve"> </v>
      </c>
      <c r="I104" s="4" t="str">
        <f ca="1">IF(OR(INDEX($AG$2:$AG$1001,MATCH(ROWS($AF$2:AF104),$AF$2:$AF$1001,0),1)&gt;=100000,INDEX($AM$1005:$BM$1005,1,MATCH(COLUMNS($AM$1006:AT1006),$AM$1006:$BM$1006,0))&gt;=100000), " ",IF(INDEX($AM$2:$BM$1001,MATCH(ROWS($AF$2:AF104),$AF$2:$AF$1001,0),MATCH(COLUMNS($AM$1006:AT1006),$AM$1006:$BM$1006,0)), HYPERLINK("#",""), HYPERLINK(CONCATENATE("#metadata!", ADDRESS(INDEX($AH$2:$AH$1001,MATCH(ROWS($AF$2:AF104),$AF$2:$AF$1001,0),0), INDEX($AM$1004:$BM$1004,1,MATCH(COLUMNS($AM$1006:AT1006),$AM$1006:$BM$1006,0)))),"Fix")))</f>
        <v xml:space="preserve"> </v>
      </c>
      <c r="J104" s="4" t="str">
        <f ca="1">IF(OR(INDEX($AG$2:$AG$1001,MATCH(ROWS($AF$2:AF104),$AF$2:$AF$1001,0),1)&gt;=100000,INDEX($AM$1005:$BM$1005,1,MATCH(COLUMNS($AM$1006:AU1006),$AM$1006:$BM$1006,0))&gt;=100000), " ",IF(INDEX($AM$2:$BM$1001,MATCH(ROWS($AF$2:AF104),$AF$2:$AF$1001,0),MATCH(COLUMNS($AM$1006:AU1006),$AM$1006:$BM$1006,0)), HYPERLINK("#",""), HYPERLINK(CONCATENATE("#metadata!", ADDRESS(INDEX($AH$2:$AH$1001,MATCH(ROWS($AF$2:AF104),$AF$2:$AF$1001,0),0), INDEX($AM$1004:$BM$1004,1,MATCH(COLUMNS($AM$1006:AU1006),$AM$1006:$BM$1006,0)))),"Fix")))</f>
        <v xml:space="preserve"> </v>
      </c>
      <c r="K104" s="4" t="str">
        <f ca="1">IF(OR(INDEX($AG$2:$AG$1001,MATCH(ROWS($AF$2:AF104),$AF$2:$AF$1001,0),1)&gt;=100000,INDEX($AM$1005:$BM$1005,1,MATCH(COLUMNS($AM$1006:AV1006),$AM$1006:$BM$1006,0))&gt;=100000), " ",IF(INDEX($AM$2:$BM$1001,MATCH(ROWS($AF$2:AF104),$AF$2:$AF$1001,0),MATCH(COLUMNS($AM$1006:AV1006),$AM$1006:$BM$1006,0)), HYPERLINK("#",""), HYPERLINK(CONCATENATE("#metadata!", ADDRESS(INDEX($AH$2:$AH$1001,MATCH(ROWS($AF$2:AF104),$AF$2:$AF$1001,0),0), INDEX($AM$1004:$BM$1004,1,MATCH(COLUMNS($AM$1006:AV1006),$AM$1006:$BM$1006,0)))),"Fix")))</f>
        <v xml:space="preserve"> </v>
      </c>
      <c r="L104" s="4" t="str">
        <f ca="1">IF(OR(INDEX($AG$2:$AG$1001,MATCH(ROWS($AF$2:AF104),$AF$2:$AF$1001,0),1)&gt;=100000,INDEX($AM$1005:$BM$1005,1,MATCH(COLUMNS($AM$1006:AW1006),$AM$1006:$BM$1006,0))&gt;=100000), " ",IF(INDEX($AM$2:$BM$1001,MATCH(ROWS($AF$2:AF104),$AF$2:$AF$1001,0),MATCH(COLUMNS($AM$1006:AW1006),$AM$1006:$BM$1006,0)), HYPERLINK("#",""), HYPERLINK(CONCATENATE("#metadata!", ADDRESS(INDEX($AH$2:$AH$1001,MATCH(ROWS($AF$2:AF104),$AF$2:$AF$1001,0),0), INDEX($AM$1004:$BM$1004,1,MATCH(COLUMNS($AM$1006:AW1006),$AM$1006:$BM$1006,0)))),"Fix")))</f>
        <v xml:space="preserve"> </v>
      </c>
      <c r="M104" s="4" t="str">
        <f ca="1">IF(OR(INDEX($AG$2:$AG$1001,MATCH(ROWS($AF$2:AF104),$AF$2:$AF$1001,0),1)&gt;=100000,INDEX($AM$1005:$BM$1005,1,MATCH(COLUMNS($AM$1006:AX1006),$AM$1006:$BM$1006,0))&gt;=100000), " ",IF(INDEX($AM$2:$BM$1001,MATCH(ROWS($AF$2:AF104),$AF$2:$AF$1001,0),MATCH(COLUMNS($AM$1006:AX1006),$AM$1006:$BM$1006,0)), HYPERLINK("#",""), HYPERLINK(CONCATENATE("#metadata!", ADDRESS(INDEX($AH$2:$AH$1001,MATCH(ROWS($AF$2:AF104),$AF$2:$AF$1001,0),0), INDEX($AM$1004:$BM$1004,1,MATCH(COLUMNS($AM$1006:AX1006),$AM$1006:$BM$1006,0)))),"Fix")))</f>
        <v xml:space="preserve"> </v>
      </c>
      <c r="N104" s="4" t="str">
        <f ca="1">IF(OR(INDEX($AG$2:$AG$1001,MATCH(ROWS($AF$2:AF104),$AF$2:$AF$1001,0),1)&gt;=100000,INDEX($AM$1005:$BM$1005,1,MATCH(COLUMNS($AM$1006:AY1006),$AM$1006:$BM$1006,0))&gt;=100000), " ",IF(INDEX($AM$2:$BM$1001,MATCH(ROWS($AF$2:AF104),$AF$2:$AF$1001,0),MATCH(COLUMNS($AM$1006:AY1006),$AM$1006:$BM$1006,0)), HYPERLINK("#",""), HYPERLINK(CONCATENATE("#metadata!", ADDRESS(INDEX($AH$2:$AH$1001,MATCH(ROWS($AF$2:AF104),$AF$2:$AF$1001,0),0), INDEX($AM$1004:$BM$1004,1,MATCH(COLUMNS($AM$1006:AY1006),$AM$1006:$BM$1006,0)))),"Fix")))</f>
        <v xml:space="preserve"> </v>
      </c>
      <c r="O104" s="4" t="str">
        <f ca="1">IF(OR(INDEX($AG$2:$AG$1001,MATCH(ROWS($AF$2:AF104),$AF$2:$AF$1001,0),1)&gt;=100000,INDEX($AM$1005:$BM$1005,1,MATCH(COLUMNS($AM$1006:AZ1006),$AM$1006:$BM$1006,0))&gt;=100000), " ",IF(INDEX($AM$2:$BM$1001,MATCH(ROWS($AF$2:AF104),$AF$2:$AF$1001,0),MATCH(COLUMNS($AM$1006:AZ1006),$AM$1006:$BM$1006,0)), HYPERLINK("#",""), HYPERLINK(CONCATENATE("#metadata!", ADDRESS(INDEX($AH$2:$AH$1001,MATCH(ROWS($AF$2:AF104),$AF$2:$AF$1001,0),0), INDEX($AM$1004:$BM$1004,1,MATCH(COLUMNS($AM$1006:AZ1006),$AM$1006:$BM$1006,0)))),"Fix")))</f>
        <v xml:space="preserve"> </v>
      </c>
      <c r="P104" s="4" t="str">
        <f ca="1">IF(OR(INDEX($AG$2:$AG$1001,MATCH(ROWS($AF$2:AF104),$AF$2:$AF$1001,0),1)&gt;=100000,INDEX($AM$1005:$BM$1005,1,MATCH(COLUMNS($AM$1006:BA1006),$AM$1006:$BM$1006,0))&gt;=100000), " ",IF(INDEX($AM$2:$BM$1001,MATCH(ROWS($AF$2:AF104),$AF$2:$AF$1001,0),MATCH(COLUMNS($AM$1006:BA1006),$AM$1006:$BM$1006,0)), HYPERLINK("#",""), HYPERLINK(CONCATENATE("#metadata!", ADDRESS(INDEX($AH$2:$AH$1001,MATCH(ROWS($AF$2:AF104),$AF$2:$AF$1001,0),0), INDEX($AM$1004:$BM$1004,1,MATCH(COLUMNS($AM$1006:BA1006),$AM$1006:$BM$1006,0)))),"Fix")))</f>
        <v xml:space="preserve"> </v>
      </c>
      <c r="Q104" s="4" t="str">
        <f ca="1">IF(OR(INDEX($AG$2:$AG$1001,MATCH(ROWS($AF$2:AF104),$AF$2:$AF$1001,0),1)&gt;=100000,INDEX($AM$1005:$BM$1005,1,MATCH(COLUMNS($AM$1006:BB1006),$AM$1006:$BM$1006,0))&gt;=100000), " ",IF(INDEX($AM$2:$BM$1001,MATCH(ROWS($AF$2:AF104),$AF$2:$AF$1001,0),MATCH(COLUMNS($AM$1006:BB1006),$AM$1006:$BM$1006,0)), HYPERLINK("#",""), HYPERLINK(CONCATENATE("#metadata!", ADDRESS(INDEX($AH$2:$AH$1001,MATCH(ROWS($AF$2:AF104),$AF$2:$AF$1001,0),0), INDEX($AM$1004:$BM$1004,1,MATCH(COLUMNS($AM$1006:BB1006),$AM$1006:$BM$1006,0)))),"Fix")))</f>
        <v xml:space="preserve"> </v>
      </c>
      <c r="R104" s="4" t="str">
        <f ca="1">IF(OR(INDEX($AG$2:$AG$1001,MATCH(ROWS($AF$2:AF104),$AF$2:$AF$1001,0),1)&gt;=100000,INDEX($AM$1005:$BM$1005,1,MATCH(COLUMNS($AM$1006:BC1006),$AM$1006:$BM$1006,0))&gt;=100000), " ",IF(INDEX($AM$2:$BM$1001,MATCH(ROWS($AF$2:AF104),$AF$2:$AF$1001,0),MATCH(COLUMNS($AM$1006:BC1006),$AM$1006:$BM$1006,0)), HYPERLINK("#",""), HYPERLINK(CONCATENATE("#metadata!", ADDRESS(INDEX($AH$2:$AH$1001,MATCH(ROWS($AF$2:AF104),$AF$2:$AF$1001,0),0), INDEX($AM$1004:$BM$1004,1,MATCH(COLUMNS($AM$1006:BC1006),$AM$1006:$BM$1006,0)))),"Fix")))</f>
        <v xml:space="preserve"> </v>
      </c>
      <c r="S104" s="4" t="str">
        <f ca="1">IF(OR(INDEX($AG$2:$AG$1001,MATCH(ROWS($AF$2:AF104),$AF$2:$AF$1001,0),1)&gt;=100000,INDEX($AM$1005:$BM$1005,1,MATCH(COLUMNS($AM$1006:BD1006),$AM$1006:$BM$1006,0))&gt;=100000), " ",IF(INDEX($AM$2:$BM$1001,MATCH(ROWS($AF$2:AF104),$AF$2:$AF$1001,0),MATCH(COLUMNS($AM$1006:BD1006),$AM$1006:$BM$1006,0)), HYPERLINK("#",""), HYPERLINK(CONCATENATE("#metadata!", ADDRESS(INDEX($AH$2:$AH$1001,MATCH(ROWS($AF$2:AF104),$AF$2:$AF$1001,0),0), INDEX($AM$1004:$BM$1004,1,MATCH(COLUMNS($AM$1006:BD1006),$AM$1006:$BM$1006,0)))),"Fix")))</f>
        <v xml:space="preserve"> </v>
      </c>
      <c r="T104" s="4" t="str">
        <f ca="1">IF(OR(INDEX($AG$2:$AG$1001,MATCH(ROWS($AF$2:AF104),$AF$2:$AF$1001,0),1)&gt;=100000,INDEX($AM$1005:$BM$1005,1,MATCH(COLUMNS($AM$1006:BE1006),$AM$1006:$BM$1006,0))&gt;=100000), " ",IF(INDEX($AM$2:$BM$1001,MATCH(ROWS($AF$2:AF104),$AF$2:$AF$1001,0),MATCH(COLUMNS($AM$1006:BE1006),$AM$1006:$BM$1006,0)), HYPERLINK("#",""), HYPERLINK(CONCATENATE("#metadata!", ADDRESS(INDEX($AH$2:$AH$1001,MATCH(ROWS($AF$2:AF104),$AF$2:$AF$1001,0),0), INDEX($AM$1004:$BM$1004,1,MATCH(COLUMNS($AM$1006:BE1006),$AM$1006:$BM$1006,0)))),"Fix")))</f>
        <v xml:space="preserve"> </v>
      </c>
      <c r="U104" s="4" t="str">
        <f ca="1">IF(OR(INDEX($AG$2:$AG$1001,MATCH(ROWS($AF$2:AF104),$AF$2:$AF$1001,0),1)&gt;=100000,INDEX($AM$1005:$BM$1005,1,MATCH(COLUMNS($AM$1006:BF1006),$AM$1006:$BM$1006,0))&gt;=100000), " ",IF(INDEX($AM$2:$BM$1001,MATCH(ROWS($AF$2:AF104),$AF$2:$AF$1001,0),MATCH(COLUMNS($AM$1006:BF1006),$AM$1006:$BM$1006,0)), HYPERLINK("#",""), HYPERLINK(CONCATENATE("#metadata!", ADDRESS(INDEX($AH$2:$AH$1001,MATCH(ROWS($AF$2:AF104),$AF$2:$AF$1001,0),0), INDEX($AM$1004:$BM$1004,1,MATCH(COLUMNS($AM$1006:BF1006),$AM$1006:$BM$1006,0)))),"Fix")))</f>
        <v xml:space="preserve"> </v>
      </c>
      <c r="V104" s="4" t="str">
        <f ca="1">IF(OR(INDEX($AG$2:$AG$1001,MATCH(ROWS($AF$2:AF104),$AF$2:$AF$1001,0),1)&gt;=100000,INDEX($AM$1005:$BM$1005,1,MATCH(COLUMNS($AM$1006:BG1006),$AM$1006:$BM$1006,0))&gt;=100000), " ",IF(INDEX($AM$2:$BM$1001,MATCH(ROWS($AF$2:AF104),$AF$2:$AF$1001,0),MATCH(COLUMNS($AM$1006:BG1006),$AM$1006:$BM$1006,0)), HYPERLINK("#",""), HYPERLINK(CONCATENATE("#metadata!", ADDRESS(INDEX($AH$2:$AH$1001,MATCH(ROWS($AF$2:AF104),$AF$2:$AF$1001,0),0), INDEX($AM$1004:$BM$1004,1,MATCH(COLUMNS($AM$1006:BG1006),$AM$1006:$BM$1006,0)))),"Fix")))</f>
        <v xml:space="preserve"> </v>
      </c>
      <c r="W104" s="4" t="str">
        <f ca="1">IF(OR(INDEX($AG$2:$AG$1001,MATCH(ROWS($AF$2:AF104),$AF$2:$AF$1001,0),1)&gt;=100000,INDEX($AM$1005:$BM$1005,1,MATCH(COLUMNS($AM$1006:BH1006),$AM$1006:$BM$1006,0))&gt;=100000), " ",IF(INDEX($AM$2:$BM$1001,MATCH(ROWS($AF$2:AF104),$AF$2:$AF$1001,0),MATCH(COLUMNS($AM$1006:BH1006),$AM$1006:$BM$1006,0)), HYPERLINK("#",""), HYPERLINK(CONCATENATE("#metadata!", ADDRESS(INDEX($AH$2:$AH$1001,MATCH(ROWS($AF$2:AF104),$AF$2:$AF$1001,0),0), INDEX($AM$1004:$BM$1004,1,MATCH(COLUMNS($AM$1006:BH1006),$AM$1006:$BM$1006,0)))),"Fix")))</f>
        <v xml:space="preserve"> </v>
      </c>
      <c r="X104" s="4" t="str">
        <f ca="1">IF(OR(INDEX($AG$2:$AG$1001,MATCH(ROWS($AF$2:AF104),$AF$2:$AF$1001,0),1)&gt;=100000,INDEX($AM$1005:$BM$1005,1,MATCH(COLUMNS($AM$1006:BI1006),$AM$1006:$BM$1006,0))&gt;=100000), " ",IF(INDEX($AM$2:$BM$1001,MATCH(ROWS($AF$2:AF104),$AF$2:$AF$1001,0),MATCH(COLUMNS($AM$1006:BI1006),$AM$1006:$BM$1006,0)), HYPERLINK("#",""), HYPERLINK(CONCATENATE("#metadata!", ADDRESS(INDEX($AH$2:$AH$1001,MATCH(ROWS($AF$2:AF104),$AF$2:$AF$1001,0),0), INDEX($AM$1004:$BM$1004,1,MATCH(COLUMNS($AM$1006:BI1006),$AM$1006:$BM$1006,0)))),"Fix")))</f>
        <v xml:space="preserve"> </v>
      </c>
      <c r="Y104" s="4" t="str">
        <f ca="1">IF(OR(INDEX($AG$2:$AG$1001,MATCH(ROWS($AF$2:AF104),$AF$2:$AF$1001,0),1)&gt;=100000,INDEX($AM$1005:$BM$1005,1,MATCH(COLUMNS($AM$1006:BJ1006),$AM$1006:$BM$1006,0))&gt;=100000), " ",IF(INDEX($AM$2:$BM$1001,MATCH(ROWS($AF$2:AF104),$AF$2:$AF$1001,0),MATCH(COLUMNS($AM$1006:BJ1006),$AM$1006:$BM$1006,0)), HYPERLINK("#",""), HYPERLINK(CONCATENATE("#metadata!", ADDRESS(INDEX($AH$2:$AH$1001,MATCH(ROWS($AF$2:AF104),$AF$2:$AF$1001,0),0), INDEX($AM$1004:$BM$1004,1,MATCH(COLUMNS($AM$1006:BJ1006),$AM$1006:$BM$1006,0)))),"Fix")))</f>
        <v xml:space="preserve"> </v>
      </c>
      <c r="Z104" s="4" t="str">
        <f ca="1">IF(OR(INDEX($AG$2:$AG$1001,MATCH(ROWS($AF$2:AF104),$AF$2:$AF$1001,0),1)&gt;=100000,INDEX($AM$1005:$BM$1005,1,MATCH(COLUMNS($AM$1006:BK1006),$AM$1006:$BM$1006,0))&gt;=100000), " ",IF(INDEX($AM$2:$BM$1001,MATCH(ROWS($AF$2:AF104),$AF$2:$AF$1001,0),MATCH(COLUMNS($AM$1006:BK1006),$AM$1006:$BM$1006,0)), HYPERLINK("#",""), HYPERLINK(CONCATENATE("#metadata!", ADDRESS(INDEX($AH$2:$AH$1001,MATCH(ROWS($AF$2:AF104),$AF$2:$AF$1001,0),0), INDEX($AM$1004:$BM$1004,1,MATCH(COLUMNS($AM$1006:BK1006),$AM$1006:$BM$1006,0)))),"Fix")))</f>
        <v xml:space="preserve"> </v>
      </c>
      <c r="AA104" s="4" t="str">
        <f ca="1">IF(OR(INDEX($AG$2:$AG$1001,MATCH(ROWS($AF$2:AF104),$AF$2:$AF$1001,0),1)&gt;=100000,INDEX($AM$1005:$BM$1005,1,MATCH(COLUMNS($AM$1006:BL1006),$AM$1006:$BM$1006,0))&gt;=100000), " ",IF(INDEX($AM$2:$BM$1001,MATCH(ROWS($AF$2:AF104),$AF$2:$AF$1001,0),MATCH(COLUMNS($AM$1006:BL1006),$AM$1006:$BM$1006,0)), HYPERLINK("#",""), HYPERLINK(CONCATENATE("#metadata!", ADDRESS(INDEX($AH$2:$AH$1001,MATCH(ROWS($AF$2:AF104),$AF$2:$AF$1001,0),0), INDEX($AM$1004:$BM$1004,1,MATCH(COLUMNS($AM$1006:BL1006),$AM$1006:$BM$1006,0)))),"Fix")))</f>
        <v xml:space="preserve"> </v>
      </c>
      <c r="AB104" s="4" t="str">
        <f ca="1">IF(OR(INDEX($AG$2:$AG$1001,MATCH(ROWS($AF$2:AF104),$AF$2:$AF$1001,0),1)&gt;=100000,INDEX($AM$1005:$BM$1005,1,MATCH(COLUMNS($AM$1006:BM1006),$AM$1006:$BM$1006,0))&gt;=100000), " ",IF(INDEX($AM$2:$BM$1001,MATCH(ROWS($AF$2:AF104),$AF$2:$AF$1001,0),MATCH(COLUMNS($AM$1006:BM1006),$AM$1006:$BM$1006,0)), HYPERLINK("#",""), HYPERLINK(CONCATENATE("#metadata!", ADDRESS(INDEX($AH$2:$AH$1001,MATCH(ROWS($AF$2:AF104),$AF$2:$AF$1001,0),0), INDEX($AM$1004:$BM$1004,1,MATCH(COLUMNS($AM$1006:BM1006),$AM$1006:$BM$1006,0)))),"Fix")))</f>
        <v xml:space="preserve"> </v>
      </c>
      <c r="AF104">
        <v>103</v>
      </c>
      <c r="AG104">
        <v>100104</v>
      </c>
      <c r="AH104">
        <v>104</v>
      </c>
      <c r="AI104" t="b">
        <f t="shared" si="1"/>
        <v>1</v>
      </c>
      <c r="AJ104" t="b">
        <f>COUNTBLANK(metadata!B104:AB104)=COLUMNS(metadata!B104:AB104)</f>
        <v>1</v>
      </c>
      <c r="AK104" t="str">
        <v/>
      </c>
      <c r="AM104" t="b">
        <f ca="1">AND(IF(metadata!B104="",FALSE,TRUE),COUNTIF(metadata!B:B, metadata!B104) = 1,NOT(ISERROR(SUMPRODUCT(SEARCH(MID(metadata!B104,ROW(INDIRECT("1:"&amp;LEN(metadata!B104))), 1),"0123456789abcdefghijklmnopqrstuvwxyzABCDEFGHIJKLMNOPQRSTUVWXYZ.")))))</f>
        <v>0</v>
      </c>
      <c r="AN104" t="b">
        <f ca="1">OR(AND(IF(metadata!C104="",FALSE,TRUE),OR(EXACT(metadata!C104,"missing: not collected"),EXACT(metadata!C104,"missing: not provided"),EXACT(metadata!C104,"missing: restricted access"))),AND(IF(metadata!C104="",FALSE,TRUE),AND(AND(IFERROR(INT(LEFT(metadata!C104,4))&gt;1900,FALSE),IFERROR(INT(LEFT(metadata!C104,4))&lt;=YEAR(NOW()),FALSE)), OR(MID(metadata!C104,5,1)="", AND(AND(MID(metadata!C104,5,1)="-",IFERROR(INT(MID(metadata!C104,6,1))&gt;=0,FALSE),IFERROR(INT(MID(metadata!C104,6,1))&lt;=1,FALSE),NOT(MID(metadata!C104,7,1)=""),IFERROR(INT(MID(metadata!C104,6,2))&gt;=1,FALSE),IFERROR(INT(MID(metadata!C104,6,2))&lt;=12,FALSE)), OR(MID(metadata!C104,8,1)="", AND(AND(MID(metadata!C104,8,1)="-",IFERROR(INT(MID(metadata!C104,9,1))&gt;=0,FALSE),IFERROR(INT(MID(metadata!C104,9,1))&lt;=3,FALSE),NOT(MID(metadata!C104,10,1)=""),IFERROR(INT(MID(metadata!C104,9,2))&gt;=1,FALSE),IFERROR(INT(MID(metadata!C104,9,2))&lt;=31,FALSE)), OR(MID(metadata!C104,11,1)="", AND(AND(MID(metadata!C104,11,1)=" ",IFERROR(INT(MID(metadata!C104,12,1))&gt;=0,FALSE),IFERROR(INT(MID(metadata!C104,12,1))&lt;=2,FALSE),NOT(MID(metadata!C104,13,1)=""),IFERROR(INT(MID(metadata!C104,12,2))&gt;=0,FALSE),IFERROR(INT(MID(metadata!C104,12,2))&lt;=23,FALSE)), OR(MID(metadata!C104,14,1)="", AND(AND(MID(metadata!C104,14,1)=":",IFERROR(INT(MID(metadata!C104,15,1))&gt;=0,FALSE),IFERROR(INT(MID(metadata!C104,15,1))&lt;=5,FALSE),NOT(MID(metadata!C104,16,1)=""),IFERROR(INT(MID(metadata!C104,15,2))&gt;=0,FALSE),IFERROR(INT(MID(metadata!C104,15,2))&lt;=59,FALSE)), OR(MID(metadata!C104,17,1)="", AND(AND(MID(metadata!C104,17,1)=":",IFERROR(INT(MID(metadata!C104,18,1))&gt;=0,FALSE),IFERROR(INT(MID(metadata!C104,18,1))&lt;=5,FALSE),NOT(MID(metadata!C104,19,1)=""),IFERROR(INT(MID(metadata!C104,18,2))&gt;=0,FALSE),IFERROR(INT(MID(metadata!C104,18,2))&lt;=59,FALSE)), LEN(metadata!C104)&lt;=19)))))))))))))</f>
        <v>0</v>
      </c>
      <c r="AO104" t="b">
        <f>AND(IF(metadata!D104="",FALSE,TRUE),EXACT(metadata!D104,"Not applicable"))</f>
        <v>0</v>
      </c>
      <c r="AP104" t="b">
        <f>IF(metadata!E104="",FALSE,TRUE)</f>
        <v>0</v>
      </c>
      <c r="AQ104" t="b">
        <f>OR(AND(IF(metadata!F104="",FALSE,TRUE),OR(EXACT(metadata!F104,"missing: not collected"),EXACT(metadata!F104,"missing: not provided"))),AND(IF(metadata!F104="",FALSE,TRUE),OR(EXACT(metadata!F104,"TRUE"),EXACT(metadata!F104,"FALSE"))))</f>
        <v>0</v>
      </c>
      <c r="AR104" t="b">
        <f>OR(AND(IF(metadata!G104="",FALSE,TRUE),OR(EXACT(metadata!G104,"missing: not collected"),EXACT(metadata!G104,"missing: not provided"),EXACT(metadata!G104,"missing: restricted access"))),AND(IF(metadata!G104="",FALSE,ISNUMBER(VALUE(metadata!G104))),metadata!G104&gt;=-413))</f>
        <v>0</v>
      </c>
      <c r="AS104" t="b">
        <f>AND(IF(metadata!H104="",FALSE,TRUE),EXACT(metadata!H104,"meters"))</f>
        <v>0</v>
      </c>
      <c r="AT104" t="b">
        <f>AND(IF(metadata!I104="",FALSE,TRUE),OR(EXACT(metadata!I104,"Host-associated"),EXACT(metadata!I104,"Free-living")))</f>
        <v>0</v>
      </c>
      <c r="AU104" t="b">
        <f>AND(IF(metadata!J104="",FALSE,TRUE),OR(EXACT(metadata!J104,"Animal"),EXACT(metadata!J104,"Fungus"),EXACT(metadata!J104,"Plant"),EXACT(metadata!J104,"Saline"),EXACT(metadata!J104,"Non-saline")))</f>
        <v>0</v>
      </c>
      <c r="AV104" t="b">
        <f>AND(IF(metadata!K104="",FALSE,TRUE),OR(EXACT(metadata!K104,"Plant secretion"),EXACT(metadata!K104,"Plant rhizosphere"),EXACT(metadata!K104,"Plant surface"),EXACT(metadata!K104,"Plant corpus"),EXACT(metadata!K104,"Fungus surface"),EXACT(metadata!K104,"Fungus corpus"),EXACT(metadata!K104,"Animal surface"),EXACT(metadata!K104,"Animal proximal gut"),EXACT(metadata!K104,"Animal corpus"),EXACT(metadata!K104,"Animal distal gut"),EXACT(metadata!K104,"Animal secretion"),EXACT(metadata!K104,"Sub-surface (non-saline)"),EXACT(metadata!K104,"Surface (non-saline)"),EXACT(metadata!K104,"Water (non-saline)"),EXACT(metadata!K104,"Soil (non-saline)"),EXACT(metadata!K104,"Aerosol (non-saline)"),EXACT(metadata!K104,"Sediment (non-saline)"),EXACT(metadata!K104,"Surface (saline)"),EXACT(metadata!K104,"Water (saline)"),EXACT(metadata!K104,"Hypersaline (saline)"),EXACT(metadata!K104,"Aerosol (saline)"),EXACT(metadata!K104,"Sediment (saline)")))</f>
        <v>0</v>
      </c>
      <c r="AW104" t="b">
        <f>IF(metadata!L104="",FALSE,TRUE)</f>
        <v>0</v>
      </c>
      <c r="AX104" t="b">
        <f>IF(metadata!M104="",FALSE,TRUE)</f>
        <v>0</v>
      </c>
      <c r="AY104" t="b">
        <f>IF(metadata!N104="",FALSE,TRUE)</f>
        <v>0</v>
      </c>
      <c r="AZ104" t="b">
        <f>OR(AND(IF(metadata!O104="",FALSE,TRUE),OR(EXACT(metadata!O104,"missing: not collected"),EXACT(metadata!O104,"missing: not provided"),EXACT(metadata!O104,"missing: restricted access"))),AND(IF(metadata!O104="",FALSE,TRUE),OR(EXACT(metadata!O104,"air"),EXACT(metadata!O104,"built environment"),EXACT(metadata!O104,"host-associated"),EXACT(metadata!O104,"human-associated"),EXACT(metadata!O104,"human-skin"),EXACT(metadata!O104,"human-oral"),EXACT(metadata!O104,"human-gut"),EXACT(metadata!O104,"human-vaginal"),EXACT(metadata!O104,"microbial mat/biofilm"),EXACT(metadata!O104,"misc environment"),EXACT(metadata!O104,"plant-associated"),EXACT(metadata!O104,"sediment"),EXACT(metadata!O104,"soil"),EXACT(metadata!O104,"wastewater/sludge"),EXACT(metadata!O104,"water"))))</f>
        <v>0</v>
      </c>
      <c r="BA104" t="b">
        <f>IF(metadata!P104="",FALSE,TRUE)</f>
        <v>0</v>
      </c>
      <c r="BB104" t="b">
        <f>IF(metadata!Q104="",FALSE,TRUE)</f>
        <v>0</v>
      </c>
      <c r="BC104" t="b">
        <f>OR(AND(IF(metadata!R104="",FALSE,TRUE),OR(EXACT(metadata!R104,"missing: not collected"),EXACT(metadata!R104,"missing: not provided"),EXACT(metadata!R104,"missing: restricted access"))),AND(IF(metadata!R104="",FALSE,ISNUMBER(VALUE(metadata!R104))),metadata!R104&gt;=-90,metadata!R104&lt;=90))</f>
        <v>0</v>
      </c>
      <c r="BD104" t="b">
        <f>AND(IF(metadata!S104="",FALSE,TRUE),EXACT(metadata!S104,"Decimal degrees"))</f>
        <v>0</v>
      </c>
      <c r="BE104" t="b">
        <f>OR(AND(IF(metadata!T104="",FALSE,TRUE),OR(EXACT(metadata!T104,"missing: not collected"),EXACT(metadata!T104,"missing: not provided"),EXACT(metadata!T104,"missing: restricted access"))),AND(IF(metadata!T104="",FALSE,ISNUMBER(VALUE(metadata!T104))),metadata!T104&gt;=-180,metadata!T104&lt;=180))</f>
        <v>0</v>
      </c>
      <c r="BF104" t="b">
        <f>AND(IF(metadata!U104="",FALSE,TRUE),EXACT(metadata!U104,"Decimal degrees"))</f>
        <v>0</v>
      </c>
      <c r="BG104" t="b">
        <f>IF(metadata!V104="",FALSE,TRUE)</f>
        <v>0</v>
      </c>
      <c r="BH104" t="b">
        <f>OR(AND(IF(metadata!W104="",FALSE,TRUE),OR(EXACT(metadata!W104,"missing: not collected"),EXACT(metadata!W104,"missing: not provided"),EXACT(metadata!W104,"missing: restricted access"))),AND(IF(metadata!W104="",FALSE,TRUE),OR(EXACT(metadata!W104,"TRUE"),EXACT(metadata!W104,"FALSE"))))</f>
        <v>0</v>
      </c>
      <c r="BI104" t="b">
        <f>AND(IF(metadata!X104="",FALSE,TRUE),EXACT(metadata!X104,"other"))</f>
        <v>0</v>
      </c>
      <c r="BJ104" t="b">
        <f>IF(metadata!Y104="",FALSE,TRUE)</f>
        <v>0</v>
      </c>
      <c r="BK104" t="b">
        <f>OR(AND(IF(metadata!Z104="",FALSE,TRUE),OR(EXACT(metadata!Z104,"missing: not collected"),EXACT(metadata!Z104,"missing: not provided"))),AND(IF(metadata!Z104="",FALSE,IF(ISERROR(INT(metadata!Z104)),FALSE,INT(metadata!Z104)=metadata!Z104)),metadata!Z104&gt;0))</f>
        <v>0</v>
      </c>
      <c r="BL104" t="b">
        <f>AND(IF(metadata!AA104="",FALSE,TRUE),EXACT(metadata!AA104,"Not applicable"))</f>
        <v>0</v>
      </c>
      <c r="BM104" t="b">
        <f>IF(metadata!AB104="",FALSE,TRUE)</f>
        <v>0</v>
      </c>
    </row>
    <row r="105" spans="1:65" x14ac:dyDescent="0.2">
      <c r="A105" s="5" t="str">
        <f ca="1">IF(B105=" "," ",HYPERLINK(CONCATENATE("#metadata!",ADDRESS(INDEX($AH$2:$AH$1001,MATCH(ROWS($AF$2:AF105),$AF$2:$AF$1001,0),0),1)),INDEX($AK$2:$AK$1001,MATCH(ROWS($AF$2:AF105),$AF$2:$AF$1001,0),0)))</f>
        <v xml:space="preserve"> </v>
      </c>
      <c r="B105" s="4" t="str">
        <f ca="1">IF(OR(INDEX($AG$2:$AG$1001,MATCH(ROWS($AF$2:AF105),$AF$2:$AF$1001,0),1)&gt;=100000,INDEX($AM$1005:$BM$1005,1,MATCH(COLUMNS($AM$1006:AM1006),$AM$1006:$BM$1006,0))&gt;=100000), " ",IF(INDEX($AM$2:$BM$1001,MATCH(ROWS($AF$2:AF105),$AF$2:$AF$1001,0),MATCH(COLUMNS($AM$1006:AM1006),$AM$1006:$BM$1006,0)), HYPERLINK("#",""), HYPERLINK(CONCATENATE("#metadata!", ADDRESS(INDEX($AH$2:$AH$1001,MATCH(ROWS($AF$2:AF105),$AF$2:$AF$1001,0),0), INDEX($AM$1004:$BM$1004,1,MATCH(COLUMNS($AM$1006:AM1006),$AM$1006:$BM$1006,0)))),"Fix")))</f>
        <v xml:space="preserve"> </v>
      </c>
      <c r="C105" s="4" t="str">
        <f ca="1">IF(OR(INDEX($AG$2:$AG$1001,MATCH(ROWS($AF$2:AF105),$AF$2:$AF$1001,0),1)&gt;=100000,INDEX($AM$1005:$BM$1005,1,MATCH(COLUMNS($AM$1006:AN1006),$AM$1006:$BM$1006,0))&gt;=100000), " ",IF(INDEX($AM$2:$BM$1001,MATCH(ROWS($AF$2:AF105),$AF$2:$AF$1001,0),MATCH(COLUMNS($AM$1006:AN1006),$AM$1006:$BM$1006,0)), HYPERLINK("#",""), HYPERLINK(CONCATENATE("#metadata!", ADDRESS(INDEX($AH$2:$AH$1001,MATCH(ROWS($AF$2:AF105),$AF$2:$AF$1001,0),0), INDEX($AM$1004:$BM$1004,1,MATCH(COLUMNS($AM$1006:AN1006),$AM$1006:$BM$1006,0)))),"Fix")))</f>
        <v xml:space="preserve"> </v>
      </c>
      <c r="D105" s="4" t="str">
        <f ca="1">IF(OR(INDEX($AG$2:$AG$1001,MATCH(ROWS($AF$2:AF105),$AF$2:$AF$1001,0),1)&gt;=100000,INDEX($AM$1005:$BM$1005,1,MATCH(COLUMNS($AM$1006:AO1006),$AM$1006:$BM$1006,0))&gt;=100000), " ",IF(INDEX($AM$2:$BM$1001,MATCH(ROWS($AF$2:AF105),$AF$2:$AF$1001,0),MATCH(COLUMNS($AM$1006:AO1006),$AM$1006:$BM$1006,0)), HYPERLINK("#",""), HYPERLINK(CONCATENATE("#metadata!", ADDRESS(INDEX($AH$2:$AH$1001,MATCH(ROWS($AF$2:AF105),$AF$2:$AF$1001,0),0), INDEX($AM$1004:$BM$1004,1,MATCH(COLUMNS($AM$1006:AO1006),$AM$1006:$BM$1006,0)))),"Fix")))</f>
        <v xml:space="preserve"> </v>
      </c>
      <c r="E105" s="4" t="str">
        <f ca="1">IF(OR(INDEX($AG$2:$AG$1001,MATCH(ROWS($AF$2:AF105),$AF$2:$AF$1001,0),1)&gt;=100000,INDEX($AM$1005:$BM$1005,1,MATCH(COLUMNS($AM$1006:AP1006),$AM$1006:$BM$1006,0))&gt;=100000), " ",IF(INDEX($AM$2:$BM$1001,MATCH(ROWS($AF$2:AF105),$AF$2:$AF$1001,0),MATCH(COLUMNS($AM$1006:AP1006),$AM$1006:$BM$1006,0)), HYPERLINK("#",""), HYPERLINK(CONCATENATE("#metadata!", ADDRESS(INDEX($AH$2:$AH$1001,MATCH(ROWS($AF$2:AF105),$AF$2:$AF$1001,0),0), INDEX($AM$1004:$BM$1004,1,MATCH(COLUMNS($AM$1006:AP1006),$AM$1006:$BM$1006,0)))),"Fix")))</f>
        <v xml:space="preserve"> </v>
      </c>
      <c r="F105" s="4" t="str">
        <f ca="1">IF(OR(INDEX($AG$2:$AG$1001,MATCH(ROWS($AF$2:AF105),$AF$2:$AF$1001,0),1)&gt;=100000,INDEX($AM$1005:$BM$1005,1,MATCH(COLUMNS($AM$1006:AQ1006),$AM$1006:$BM$1006,0))&gt;=100000), " ",IF(INDEX($AM$2:$BM$1001,MATCH(ROWS($AF$2:AF105),$AF$2:$AF$1001,0),MATCH(COLUMNS($AM$1006:AQ1006),$AM$1006:$BM$1006,0)), HYPERLINK("#",""), HYPERLINK(CONCATENATE("#metadata!", ADDRESS(INDEX($AH$2:$AH$1001,MATCH(ROWS($AF$2:AF105),$AF$2:$AF$1001,0),0), INDEX($AM$1004:$BM$1004,1,MATCH(COLUMNS($AM$1006:AQ1006),$AM$1006:$BM$1006,0)))),"Fix")))</f>
        <v xml:space="preserve"> </v>
      </c>
      <c r="G105" s="4" t="str">
        <f ca="1">IF(OR(INDEX($AG$2:$AG$1001,MATCH(ROWS($AF$2:AF105),$AF$2:$AF$1001,0),1)&gt;=100000,INDEX($AM$1005:$BM$1005,1,MATCH(COLUMNS($AM$1006:AR1006),$AM$1006:$BM$1006,0))&gt;=100000), " ",IF(INDEX($AM$2:$BM$1001,MATCH(ROWS($AF$2:AF105),$AF$2:$AF$1001,0),MATCH(COLUMNS($AM$1006:AR1006),$AM$1006:$BM$1006,0)), HYPERLINK("#",""), HYPERLINK(CONCATENATE("#metadata!", ADDRESS(INDEX($AH$2:$AH$1001,MATCH(ROWS($AF$2:AF105),$AF$2:$AF$1001,0),0), INDEX($AM$1004:$BM$1004,1,MATCH(COLUMNS($AM$1006:AR1006),$AM$1006:$BM$1006,0)))),"Fix")))</f>
        <v xml:space="preserve"> </v>
      </c>
      <c r="H105" s="4" t="str">
        <f ca="1">IF(OR(INDEX($AG$2:$AG$1001,MATCH(ROWS($AF$2:AF105),$AF$2:$AF$1001,0),1)&gt;=100000,INDEX($AM$1005:$BM$1005,1,MATCH(COLUMNS($AM$1006:AS1006),$AM$1006:$BM$1006,0))&gt;=100000), " ",IF(INDEX($AM$2:$BM$1001,MATCH(ROWS($AF$2:AF105),$AF$2:$AF$1001,0),MATCH(COLUMNS($AM$1006:AS1006),$AM$1006:$BM$1006,0)), HYPERLINK("#",""), HYPERLINK(CONCATENATE("#metadata!", ADDRESS(INDEX($AH$2:$AH$1001,MATCH(ROWS($AF$2:AF105),$AF$2:$AF$1001,0),0), INDEX($AM$1004:$BM$1004,1,MATCH(COLUMNS($AM$1006:AS1006),$AM$1006:$BM$1006,0)))),"Fix")))</f>
        <v xml:space="preserve"> </v>
      </c>
      <c r="I105" s="4" t="str">
        <f ca="1">IF(OR(INDEX($AG$2:$AG$1001,MATCH(ROWS($AF$2:AF105),$AF$2:$AF$1001,0),1)&gt;=100000,INDEX($AM$1005:$BM$1005,1,MATCH(COLUMNS($AM$1006:AT1006),$AM$1006:$BM$1006,0))&gt;=100000), " ",IF(INDEX($AM$2:$BM$1001,MATCH(ROWS($AF$2:AF105),$AF$2:$AF$1001,0),MATCH(COLUMNS($AM$1006:AT1006),$AM$1006:$BM$1006,0)), HYPERLINK("#",""), HYPERLINK(CONCATENATE("#metadata!", ADDRESS(INDEX($AH$2:$AH$1001,MATCH(ROWS($AF$2:AF105),$AF$2:$AF$1001,0),0), INDEX($AM$1004:$BM$1004,1,MATCH(COLUMNS($AM$1006:AT1006),$AM$1006:$BM$1006,0)))),"Fix")))</f>
        <v xml:space="preserve"> </v>
      </c>
      <c r="J105" s="4" t="str">
        <f ca="1">IF(OR(INDEX($AG$2:$AG$1001,MATCH(ROWS($AF$2:AF105),$AF$2:$AF$1001,0),1)&gt;=100000,INDEX($AM$1005:$BM$1005,1,MATCH(COLUMNS($AM$1006:AU1006),$AM$1006:$BM$1006,0))&gt;=100000), " ",IF(INDEX($AM$2:$BM$1001,MATCH(ROWS($AF$2:AF105),$AF$2:$AF$1001,0),MATCH(COLUMNS($AM$1006:AU1006),$AM$1006:$BM$1006,0)), HYPERLINK("#",""), HYPERLINK(CONCATENATE("#metadata!", ADDRESS(INDEX($AH$2:$AH$1001,MATCH(ROWS($AF$2:AF105),$AF$2:$AF$1001,0),0), INDEX($AM$1004:$BM$1004,1,MATCH(COLUMNS($AM$1006:AU1006),$AM$1006:$BM$1006,0)))),"Fix")))</f>
        <v xml:space="preserve"> </v>
      </c>
      <c r="K105" s="4" t="str">
        <f ca="1">IF(OR(INDEX($AG$2:$AG$1001,MATCH(ROWS($AF$2:AF105),$AF$2:$AF$1001,0),1)&gt;=100000,INDEX($AM$1005:$BM$1005,1,MATCH(COLUMNS($AM$1006:AV1006),$AM$1006:$BM$1006,0))&gt;=100000), " ",IF(INDEX($AM$2:$BM$1001,MATCH(ROWS($AF$2:AF105),$AF$2:$AF$1001,0),MATCH(COLUMNS($AM$1006:AV1006),$AM$1006:$BM$1006,0)), HYPERLINK("#",""), HYPERLINK(CONCATENATE("#metadata!", ADDRESS(INDEX($AH$2:$AH$1001,MATCH(ROWS($AF$2:AF105),$AF$2:$AF$1001,0),0), INDEX($AM$1004:$BM$1004,1,MATCH(COLUMNS($AM$1006:AV1006),$AM$1006:$BM$1006,0)))),"Fix")))</f>
        <v xml:space="preserve"> </v>
      </c>
      <c r="L105" s="4" t="str">
        <f ca="1">IF(OR(INDEX($AG$2:$AG$1001,MATCH(ROWS($AF$2:AF105),$AF$2:$AF$1001,0),1)&gt;=100000,INDEX($AM$1005:$BM$1005,1,MATCH(COLUMNS($AM$1006:AW1006),$AM$1006:$BM$1006,0))&gt;=100000), " ",IF(INDEX($AM$2:$BM$1001,MATCH(ROWS($AF$2:AF105),$AF$2:$AF$1001,0),MATCH(COLUMNS($AM$1006:AW1006),$AM$1006:$BM$1006,0)), HYPERLINK("#",""), HYPERLINK(CONCATENATE("#metadata!", ADDRESS(INDEX($AH$2:$AH$1001,MATCH(ROWS($AF$2:AF105),$AF$2:$AF$1001,0),0), INDEX($AM$1004:$BM$1004,1,MATCH(COLUMNS($AM$1006:AW1006),$AM$1006:$BM$1006,0)))),"Fix")))</f>
        <v xml:space="preserve"> </v>
      </c>
      <c r="M105" s="4" t="str">
        <f ca="1">IF(OR(INDEX($AG$2:$AG$1001,MATCH(ROWS($AF$2:AF105),$AF$2:$AF$1001,0),1)&gt;=100000,INDEX($AM$1005:$BM$1005,1,MATCH(COLUMNS($AM$1006:AX1006),$AM$1006:$BM$1006,0))&gt;=100000), " ",IF(INDEX($AM$2:$BM$1001,MATCH(ROWS($AF$2:AF105),$AF$2:$AF$1001,0),MATCH(COLUMNS($AM$1006:AX1006),$AM$1006:$BM$1006,0)), HYPERLINK("#",""), HYPERLINK(CONCATENATE("#metadata!", ADDRESS(INDEX($AH$2:$AH$1001,MATCH(ROWS($AF$2:AF105),$AF$2:$AF$1001,0),0), INDEX($AM$1004:$BM$1004,1,MATCH(COLUMNS($AM$1006:AX1006),$AM$1006:$BM$1006,0)))),"Fix")))</f>
        <v xml:space="preserve"> </v>
      </c>
      <c r="N105" s="4" t="str">
        <f ca="1">IF(OR(INDEX($AG$2:$AG$1001,MATCH(ROWS($AF$2:AF105),$AF$2:$AF$1001,0),1)&gt;=100000,INDEX($AM$1005:$BM$1005,1,MATCH(COLUMNS($AM$1006:AY1006),$AM$1006:$BM$1006,0))&gt;=100000), " ",IF(INDEX($AM$2:$BM$1001,MATCH(ROWS($AF$2:AF105),$AF$2:$AF$1001,0),MATCH(COLUMNS($AM$1006:AY1006),$AM$1006:$BM$1006,0)), HYPERLINK("#",""), HYPERLINK(CONCATENATE("#metadata!", ADDRESS(INDEX($AH$2:$AH$1001,MATCH(ROWS($AF$2:AF105),$AF$2:$AF$1001,0),0), INDEX($AM$1004:$BM$1004,1,MATCH(COLUMNS($AM$1006:AY1006),$AM$1006:$BM$1006,0)))),"Fix")))</f>
        <v xml:space="preserve"> </v>
      </c>
      <c r="O105" s="4" t="str">
        <f ca="1">IF(OR(INDEX($AG$2:$AG$1001,MATCH(ROWS($AF$2:AF105),$AF$2:$AF$1001,0),1)&gt;=100000,INDEX($AM$1005:$BM$1005,1,MATCH(COLUMNS($AM$1006:AZ1006),$AM$1006:$BM$1006,0))&gt;=100000), " ",IF(INDEX($AM$2:$BM$1001,MATCH(ROWS($AF$2:AF105),$AF$2:$AF$1001,0),MATCH(COLUMNS($AM$1006:AZ1006),$AM$1006:$BM$1006,0)), HYPERLINK("#",""), HYPERLINK(CONCATENATE("#metadata!", ADDRESS(INDEX($AH$2:$AH$1001,MATCH(ROWS($AF$2:AF105),$AF$2:$AF$1001,0),0), INDEX($AM$1004:$BM$1004,1,MATCH(COLUMNS($AM$1006:AZ1006),$AM$1006:$BM$1006,0)))),"Fix")))</f>
        <v xml:space="preserve"> </v>
      </c>
      <c r="P105" s="4" t="str">
        <f ca="1">IF(OR(INDEX($AG$2:$AG$1001,MATCH(ROWS($AF$2:AF105),$AF$2:$AF$1001,0),1)&gt;=100000,INDEX($AM$1005:$BM$1005,1,MATCH(COLUMNS($AM$1006:BA1006),$AM$1006:$BM$1006,0))&gt;=100000), " ",IF(INDEX($AM$2:$BM$1001,MATCH(ROWS($AF$2:AF105),$AF$2:$AF$1001,0),MATCH(COLUMNS($AM$1006:BA1006),$AM$1006:$BM$1006,0)), HYPERLINK("#",""), HYPERLINK(CONCATENATE("#metadata!", ADDRESS(INDEX($AH$2:$AH$1001,MATCH(ROWS($AF$2:AF105),$AF$2:$AF$1001,0),0), INDEX($AM$1004:$BM$1004,1,MATCH(COLUMNS($AM$1006:BA1006),$AM$1006:$BM$1006,0)))),"Fix")))</f>
        <v xml:space="preserve"> </v>
      </c>
      <c r="Q105" s="4" t="str">
        <f ca="1">IF(OR(INDEX($AG$2:$AG$1001,MATCH(ROWS($AF$2:AF105),$AF$2:$AF$1001,0),1)&gt;=100000,INDEX($AM$1005:$BM$1005,1,MATCH(COLUMNS($AM$1006:BB1006),$AM$1006:$BM$1006,0))&gt;=100000), " ",IF(INDEX($AM$2:$BM$1001,MATCH(ROWS($AF$2:AF105),$AF$2:$AF$1001,0),MATCH(COLUMNS($AM$1006:BB1006),$AM$1006:$BM$1006,0)), HYPERLINK("#",""), HYPERLINK(CONCATENATE("#metadata!", ADDRESS(INDEX($AH$2:$AH$1001,MATCH(ROWS($AF$2:AF105),$AF$2:$AF$1001,0),0), INDEX($AM$1004:$BM$1004,1,MATCH(COLUMNS($AM$1006:BB1006),$AM$1006:$BM$1006,0)))),"Fix")))</f>
        <v xml:space="preserve"> </v>
      </c>
      <c r="R105" s="4" t="str">
        <f ca="1">IF(OR(INDEX($AG$2:$AG$1001,MATCH(ROWS($AF$2:AF105),$AF$2:$AF$1001,0),1)&gt;=100000,INDEX($AM$1005:$BM$1005,1,MATCH(COLUMNS($AM$1006:BC1006),$AM$1006:$BM$1006,0))&gt;=100000), " ",IF(INDEX($AM$2:$BM$1001,MATCH(ROWS($AF$2:AF105),$AF$2:$AF$1001,0),MATCH(COLUMNS($AM$1006:BC1006),$AM$1006:$BM$1006,0)), HYPERLINK("#",""), HYPERLINK(CONCATENATE("#metadata!", ADDRESS(INDEX($AH$2:$AH$1001,MATCH(ROWS($AF$2:AF105),$AF$2:$AF$1001,0),0), INDEX($AM$1004:$BM$1004,1,MATCH(COLUMNS($AM$1006:BC1006),$AM$1006:$BM$1006,0)))),"Fix")))</f>
        <v xml:space="preserve"> </v>
      </c>
      <c r="S105" s="4" t="str">
        <f ca="1">IF(OR(INDEX($AG$2:$AG$1001,MATCH(ROWS($AF$2:AF105),$AF$2:$AF$1001,0),1)&gt;=100000,INDEX($AM$1005:$BM$1005,1,MATCH(COLUMNS($AM$1006:BD1006),$AM$1006:$BM$1006,0))&gt;=100000), " ",IF(INDEX($AM$2:$BM$1001,MATCH(ROWS($AF$2:AF105),$AF$2:$AF$1001,0),MATCH(COLUMNS($AM$1006:BD1006),$AM$1006:$BM$1006,0)), HYPERLINK("#",""), HYPERLINK(CONCATENATE("#metadata!", ADDRESS(INDEX($AH$2:$AH$1001,MATCH(ROWS($AF$2:AF105),$AF$2:$AF$1001,0),0), INDEX($AM$1004:$BM$1004,1,MATCH(COLUMNS($AM$1006:BD1006),$AM$1006:$BM$1006,0)))),"Fix")))</f>
        <v xml:space="preserve"> </v>
      </c>
      <c r="T105" s="4" t="str">
        <f ca="1">IF(OR(INDEX($AG$2:$AG$1001,MATCH(ROWS($AF$2:AF105),$AF$2:$AF$1001,0),1)&gt;=100000,INDEX($AM$1005:$BM$1005,1,MATCH(COLUMNS($AM$1006:BE1006),$AM$1006:$BM$1006,0))&gt;=100000), " ",IF(INDEX($AM$2:$BM$1001,MATCH(ROWS($AF$2:AF105),$AF$2:$AF$1001,0),MATCH(COLUMNS($AM$1006:BE1006),$AM$1006:$BM$1006,0)), HYPERLINK("#",""), HYPERLINK(CONCATENATE("#metadata!", ADDRESS(INDEX($AH$2:$AH$1001,MATCH(ROWS($AF$2:AF105),$AF$2:$AF$1001,0),0), INDEX($AM$1004:$BM$1004,1,MATCH(COLUMNS($AM$1006:BE1006),$AM$1006:$BM$1006,0)))),"Fix")))</f>
        <v xml:space="preserve"> </v>
      </c>
      <c r="U105" s="4" t="str">
        <f ca="1">IF(OR(INDEX($AG$2:$AG$1001,MATCH(ROWS($AF$2:AF105),$AF$2:$AF$1001,0),1)&gt;=100000,INDEX($AM$1005:$BM$1005,1,MATCH(COLUMNS($AM$1006:BF1006),$AM$1006:$BM$1006,0))&gt;=100000), " ",IF(INDEX($AM$2:$BM$1001,MATCH(ROWS($AF$2:AF105),$AF$2:$AF$1001,0),MATCH(COLUMNS($AM$1006:BF1006),$AM$1006:$BM$1006,0)), HYPERLINK("#",""), HYPERLINK(CONCATENATE("#metadata!", ADDRESS(INDEX($AH$2:$AH$1001,MATCH(ROWS($AF$2:AF105),$AF$2:$AF$1001,0),0), INDEX($AM$1004:$BM$1004,1,MATCH(COLUMNS($AM$1006:BF1006),$AM$1006:$BM$1006,0)))),"Fix")))</f>
        <v xml:space="preserve"> </v>
      </c>
      <c r="V105" s="4" t="str">
        <f ca="1">IF(OR(INDEX($AG$2:$AG$1001,MATCH(ROWS($AF$2:AF105),$AF$2:$AF$1001,0),1)&gt;=100000,INDEX($AM$1005:$BM$1005,1,MATCH(COLUMNS($AM$1006:BG1006),$AM$1006:$BM$1006,0))&gt;=100000), " ",IF(INDEX($AM$2:$BM$1001,MATCH(ROWS($AF$2:AF105),$AF$2:$AF$1001,0),MATCH(COLUMNS($AM$1006:BG1006),$AM$1006:$BM$1006,0)), HYPERLINK("#",""), HYPERLINK(CONCATENATE("#metadata!", ADDRESS(INDEX($AH$2:$AH$1001,MATCH(ROWS($AF$2:AF105),$AF$2:$AF$1001,0),0), INDEX($AM$1004:$BM$1004,1,MATCH(COLUMNS($AM$1006:BG1006),$AM$1006:$BM$1006,0)))),"Fix")))</f>
        <v xml:space="preserve"> </v>
      </c>
      <c r="W105" s="4" t="str">
        <f ca="1">IF(OR(INDEX($AG$2:$AG$1001,MATCH(ROWS($AF$2:AF105),$AF$2:$AF$1001,0),1)&gt;=100000,INDEX($AM$1005:$BM$1005,1,MATCH(COLUMNS($AM$1006:BH1006),$AM$1006:$BM$1006,0))&gt;=100000), " ",IF(INDEX($AM$2:$BM$1001,MATCH(ROWS($AF$2:AF105),$AF$2:$AF$1001,0),MATCH(COLUMNS($AM$1006:BH1006),$AM$1006:$BM$1006,0)), HYPERLINK("#",""), HYPERLINK(CONCATENATE("#metadata!", ADDRESS(INDEX($AH$2:$AH$1001,MATCH(ROWS($AF$2:AF105),$AF$2:$AF$1001,0),0), INDEX($AM$1004:$BM$1004,1,MATCH(COLUMNS($AM$1006:BH1006),$AM$1006:$BM$1006,0)))),"Fix")))</f>
        <v xml:space="preserve"> </v>
      </c>
      <c r="X105" s="4" t="str">
        <f ca="1">IF(OR(INDEX($AG$2:$AG$1001,MATCH(ROWS($AF$2:AF105),$AF$2:$AF$1001,0),1)&gt;=100000,INDEX($AM$1005:$BM$1005,1,MATCH(COLUMNS($AM$1006:BI1006),$AM$1006:$BM$1006,0))&gt;=100000), " ",IF(INDEX($AM$2:$BM$1001,MATCH(ROWS($AF$2:AF105),$AF$2:$AF$1001,0),MATCH(COLUMNS($AM$1006:BI1006),$AM$1006:$BM$1006,0)), HYPERLINK("#",""), HYPERLINK(CONCATENATE("#metadata!", ADDRESS(INDEX($AH$2:$AH$1001,MATCH(ROWS($AF$2:AF105),$AF$2:$AF$1001,0),0), INDEX($AM$1004:$BM$1004,1,MATCH(COLUMNS($AM$1006:BI1006),$AM$1006:$BM$1006,0)))),"Fix")))</f>
        <v xml:space="preserve"> </v>
      </c>
      <c r="Y105" s="4" t="str">
        <f ca="1">IF(OR(INDEX($AG$2:$AG$1001,MATCH(ROWS($AF$2:AF105),$AF$2:$AF$1001,0),1)&gt;=100000,INDEX($AM$1005:$BM$1005,1,MATCH(COLUMNS($AM$1006:BJ1006),$AM$1006:$BM$1006,0))&gt;=100000), " ",IF(INDEX($AM$2:$BM$1001,MATCH(ROWS($AF$2:AF105),$AF$2:$AF$1001,0),MATCH(COLUMNS($AM$1006:BJ1006),$AM$1006:$BM$1006,0)), HYPERLINK("#",""), HYPERLINK(CONCATENATE("#metadata!", ADDRESS(INDEX($AH$2:$AH$1001,MATCH(ROWS($AF$2:AF105),$AF$2:$AF$1001,0),0), INDEX($AM$1004:$BM$1004,1,MATCH(COLUMNS($AM$1006:BJ1006),$AM$1006:$BM$1006,0)))),"Fix")))</f>
        <v xml:space="preserve"> </v>
      </c>
      <c r="Z105" s="4" t="str">
        <f ca="1">IF(OR(INDEX($AG$2:$AG$1001,MATCH(ROWS($AF$2:AF105),$AF$2:$AF$1001,0),1)&gt;=100000,INDEX($AM$1005:$BM$1005,1,MATCH(COLUMNS($AM$1006:BK1006),$AM$1006:$BM$1006,0))&gt;=100000), " ",IF(INDEX($AM$2:$BM$1001,MATCH(ROWS($AF$2:AF105),$AF$2:$AF$1001,0),MATCH(COLUMNS($AM$1006:BK1006),$AM$1006:$BM$1006,0)), HYPERLINK("#",""), HYPERLINK(CONCATENATE("#metadata!", ADDRESS(INDEX($AH$2:$AH$1001,MATCH(ROWS($AF$2:AF105),$AF$2:$AF$1001,0),0), INDEX($AM$1004:$BM$1004,1,MATCH(COLUMNS($AM$1006:BK1006),$AM$1006:$BM$1006,0)))),"Fix")))</f>
        <v xml:space="preserve"> </v>
      </c>
      <c r="AA105" s="4" t="str">
        <f ca="1">IF(OR(INDEX($AG$2:$AG$1001,MATCH(ROWS($AF$2:AF105),$AF$2:$AF$1001,0),1)&gt;=100000,INDEX($AM$1005:$BM$1005,1,MATCH(COLUMNS($AM$1006:BL1006),$AM$1006:$BM$1006,0))&gt;=100000), " ",IF(INDEX($AM$2:$BM$1001,MATCH(ROWS($AF$2:AF105),$AF$2:$AF$1001,0),MATCH(COLUMNS($AM$1006:BL1006),$AM$1006:$BM$1006,0)), HYPERLINK("#",""), HYPERLINK(CONCATENATE("#metadata!", ADDRESS(INDEX($AH$2:$AH$1001,MATCH(ROWS($AF$2:AF105),$AF$2:$AF$1001,0),0), INDEX($AM$1004:$BM$1004,1,MATCH(COLUMNS($AM$1006:BL1006),$AM$1006:$BM$1006,0)))),"Fix")))</f>
        <v xml:space="preserve"> </v>
      </c>
      <c r="AB105" s="4" t="str">
        <f ca="1">IF(OR(INDEX($AG$2:$AG$1001,MATCH(ROWS($AF$2:AF105),$AF$2:$AF$1001,0),1)&gt;=100000,INDEX($AM$1005:$BM$1005,1,MATCH(COLUMNS($AM$1006:BM1006),$AM$1006:$BM$1006,0))&gt;=100000), " ",IF(INDEX($AM$2:$BM$1001,MATCH(ROWS($AF$2:AF105),$AF$2:$AF$1001,0),MATCH(COLUMNS($AM$1006:BM1006),$AM$1006:$BM$1006,0)), HYPERLINK("#",""), HYPERLINK(CONCATENATE("#metadata!", ADDRESS(INDEX($AH$2:$AH$1001,MATCH(ROWS($AF$2:AF105),$AF$2:$AF$1001,0),0), INDEX($AM$1004:$BM$1004,1,MATCH(COLUMNS($AM$1006:BM1006),$AM$1006:$BM$1006,0)))),"Fix")))</f>
        <v xml:space="preserve"> </v>
      </c>
      <c r="AF105">
        <v>104</v>
      </c>
      <c r="AG105">
        <v>100105</v>
      </c>
      <c r="AH105">
        <v>105</v>
      </c>
      <c r="AI105" t="b">
        <f t="shared" si="1"/>
        <v>1</v>
      </c>
      <c r="AJ105" t="b">
        <f>COUNTBLANK(metadata!B105:AB105)=COLUMNS(metadata!B105:AB105)</f>
        <v>1</v>
      </c>
      <c r="AK105" t="str">
        <v/>
      </c>
      <c r="AM105" t="b">
        <f ca="1">AND(IF(metadata!B105="",FALSE,TRUE),COUNTIF(metadata!B:B, metadata!B105) = 1,NOT(ISERROR(SUMPRODUCT(SEARCH(MID(metadata!B105,ROW(INDIRECT("1:"&amp;LEN(metadata!B105))), 1),"0123456789abcdefghijklmnopqrstuvwxyzABCDEFGHIJKLMNOPQRSTUVWXYZ.")))))</f>
        <v>0</v>
      </c>
      <c r="AN105" t="b">
        <f ca="1">OR(AND(IF(metadata!C105="",FALSE,TRUE),OR(EXACT(metadata!C105,"missing: not collected"),EXACT(metadata!C105,"missing: not provided"),EXACT(metadata!C105,"missing: restricted access"))),AND(IF(metadata!C105="",FALSE,TRUE),AND(AND(IFERROR(INT(LEFT(metadata!C105,4))&gt;1900,FALSE),IFERROR(INT(LEFT(metadata!C105,4))&lt;=YEAR(NOW()),FALSE)), OR(MID(metadata!C105,5,1)="", AND(AND(MID(metadata!C105,5,1)="-",IFERROR(INT(MID(metadata!C105,6,1))&gt;=0,FALSE),IFERROR(INT(MID(metadata!C105,6,1))&lt;=1,FALSE),NOT(MID(metadata!C105,7,1)=""),IFERROR(INT(MID(metadata!C105,6,2))&gt;=1,FALSE),IFERROR(INT(MID(metadata!C105,6,2))&lt;=12,FALSE)), OR(MID(metadata!C105,8,1)="", AND(AND(MID(metadata!C105,8,1)="-",IFERROR(INT(MID(metadata!C105,9,1))&gt;=0,FALSE),IFERROR(INT(MID(metadata!C105,9,1))&lt;=3,FALSE),NOT(MID(metadata!C105,10,1)=""),IFERROR(INT(MID(metadata!C105,9,2))&gt;=1,FALSE),IFERROR(INT(MID(metadata!C105,9,2))&lt;=31,FALSE)), OR(MID(metadata!C105,11,1)="", AND(AND(MID(metadata!C105,11,1)=" ",IFERROR(INT(MID(metadata!C105,12,1))&gt;=0,FALSE),IFERROR(INT(MID(metadata!C105,12,1))&lt;=2,FALSE),NOT(MID(metadata!C105,13,1)=""),IFERROR(INT(MID(metadata!C105,12,2))&gt;=0,FALSE),IFERROR(INT(MID(metadata!C105,12,2))&lt;=23,FALSE)), OR(MID(metadata!C105,14,1)="", AND(AND(MID(metadata!C105,14,1)=":",IFERROR(INT(MID(metadata!C105,15,1))&gt;=0,FALSE),IFERROR(INT(MID(metadata!C105,15,1))&lt;=5,FALSE),NOT(MID(metadata!C105,16,1)=""),IFERROR(INT(MID(metadata!C105,15,2))&gt;=0,FALSE),IFERROR(INT(MID(metadata!C105,15,2))&lt;=59,FALSE)), OR(MID(metadata!C105,17,1)="", AND(AND(MID(metadata!C105,17,1)=":",IFERROR(INT(MID(metadata!C105,18,1))&gt;=0,FALSE),IFERROR(INT(MID(metadata!C105,18,1))&lt;=5,FALSE),NOT(MID(metadata!C105,19,1)=""),IFERROR(INT(MID(metadata!C105,18,2))&gt;=0,FALSE),IFERROR(INT(MID(metadata!C105,18,2))&lt;=59,FALSE)), LEN(metadata!C105)&lt;=19)))))))))))))</f>
        <v>0</v>
      </c>
      <c r="AO105" t="b">
        <f>AND(IF(metadata!D105="",FALSE,TRUE),EXACT(metadata!D105,"Not applicable"))</f>
        <v>0</v>
      </c>
      <c r="AP105" t="b">
        <f>IF(metadata!E105="",FALSE,TRUE)</f>
        <v>0</v>
      </c>
      <c r="AQ105" t="b">
        <f>OR(AND(IF(metadata!F105="",FALSE,TRUE),OR(EXACT(metadata!F105,"missing: not collected"),EXACT(metadata!F105,"missing: not provided"))),AND(IF(metadata!F105="",FALSE,TRUE),OR(EXACT(metadata!F105,"TRUE"),EXACT(metadata!F105,"FALSE"))))</f>
        <v>0</v>
      </c>
      <c r="AR105" t="b">
        <f>OR(AND(IF(metadata!G105="",FALSE,TRUE),OR(EXACT(metadata!G105,"missing: not collected"),EXACT(metadata!G105,"missing: not provided"),EXACT(metadata!G105,"missing: restricted access"))),AND(IF(metadata!G105="",FALSE,ISNUMBER(VALUE(metadata!G105))),metadata!G105&gt;=-413))</f>
        <v>0</v>
      </c>
      <c r="AS105" t="b">
        <f>AND(IF(metadata!H105="",FALSE,TRUE),EXACT(metadata!H105,"meters"))</f>
        <v>0</v>
      </c>
      <c r="AT105" t="b">
        <f>AND(IF(metadata!I105="",FALSE,TRUE),OR(EXACT(metadata!I105,"Host-associated"),EXACT(metadata!I105,"Free-living")))</f>
        <v>0</v>
      </c>
      <c r="AU105" t="b">
        <f>AND(IF(metadata!J105="",FALSE,TRUE),OR(EXACT(metadata!J105,"Animal"),EXACT(metadata!J105,"Fungus"),EXACT(metadata!J105,"Plant"),EXACT(metadata!J105,"Saline"),EXACT(metadata!J105,"Non-saline")))</f>
        <v>0</v>
      </c>
      <c r="AV105" t="b">
        <f>AND(IF(metadata!K105="",FALSE,TRUE),OR(EXACT(metadata!K105,"Plant secretion"),EXACT(metadata!K105,"Plant rhizosphere"),EXACT(metadata!K105,"Plant surface"),EXACT(metadata!K105,"Plant corpus"),EXACT(metadata!K105,"Fungus surface"),EXACT(metadata!K105,"Fungus corpus"),EXACT(metadata!K105,"Animal surface"),EXACT(metadata!K105,"Animal proximal gut"),EXACT(metadata!K105,"Animal corpus"),EXACT(metadata!K105,"Animal distal gut"),EXACT(metadata!K105,"Animal secretion"),EXACT(metadata!K105,"Sub-surface (non-saline)"),EXACT(metadata!K105,"Surface (non-saline)"),EXACT(metadata!K105,"Water (non-saline)"),EXACT(metadata!K105,"Soil (non-saline)"),EXACT(metadata!K105,"Aerosol (non-saline)"),EXACT(metadata!K105,"Sediment (non-saline)"),EXACT(metadata!K105,"Surface (saline)"),EXACT(metadata!K105,"Water (saline)"),EXACT(metadata!K105,"Hypersaline (saline)"),EXACT(metadata!K105,"Aerosol (saline)"),EXACT(metadata!K105,"Sediment (saline)")))</f>
        <v>0</v>
      </c>
      <c r="AW105" t="b">
        <f>IF(metadata!L105="",FALSE,TRUE)</f>
        <v>0</v>
      </c>
      <c r="AX105" t="b">
        <f>IF(metadata!M105="",FALSE,TRUE)</f>
        <v>0</v>
      </c>
      <c r="AY105" t="b">
        <f>IF(metadata!N105="",FALSE,TRUE)</f>
        <v>0</v>
      </c>
      <c r="AZ105" t="b">
        <f>OR(AND(IF(metadata!O105="",FALSE,TRUE),OR(EXACT(metadata!O105,"missing: not collected"),EXACT(metadata!O105,"missing: not provided"),EXACT(metadata!O105,"missing: restricted access"))),AND(IF(metadata!O105="",FALSE,TRUE),OR(EXACT(metadata!O105,"air"),EXACT(metadata!O105,"built environment"),EXACT(metadata!O105,"host-associated"),EXACT(metadata!O105,"human-associated"),EXACT(metadata!O105,"human-skin"),EXACT(metadata!O105,"human-oral"),EXACT(metadata!O105,"human-gut"),EXACT(metadata!O105,"human-vaginal"),EXACT(metadata!O105,"microbial mat/biofilm"),EXACT(metadata!O105,"misc environment"),EXACT(metadata!O105,"plant-associated"),EXACT(metadata!O105,"sediment"),EXACT(metadata!O105,"soil"),EXACT(metadata!O105,"wastewater/sludge"),EXACT(metadata!O105,"water"))))</f>
        <v>0</v>
      </c>
      <c r="BA105" t="b">
        <f>IF(metadata!P105="",FALSE,TRUE)</f>
        <v>0</v>
      </c>
      <c r="BB105" t="b">
        <f>IF(metadata!Q105="",FALSE,TRUE)</f>
        <v>0</v>
      </c>
      <c r="BC105" t="b">
        <f>OR(AND(IF(metadata!R105="",FALSE,TRUE),OR(EXACT(metadata!R105,"missing: not collected"),EXACT(metadata!R105,"missing: not provided"),EXACT(metadata!R105,"missing: restricted access"))),AND(IF(metadata!R105="",FALSE,ISNUMBER(VALUE(metadata!R105))),metadata!R105&gt;=-90,metadata!R105&lt;=90))</f>
        <v>0</v>
      </c>
      <c r="BD105" t="b">
        <f>AND(IF(metadata!S105="",FALSE,TRUE),EXACT(metadata!S105,"Decimal degrees"))</f>
        <v>0</v>
      </c>
      <c r="BE105" t="b">
        <f>OR(AND(IF(metadata!T105="",FALSE,TRUE),OR(EXACT(metadata!T105,"missing: not collected"),EXACT(metadata!T105,"missing: not provided"),EXACT(metadata!T105,"missing: restricted access"))),AND(IF(metadata!T105="",FALSE,ISNUMBER(VALUE(metadata!T105))),metadata!T105&gt;=-180,metadata!T105&lt;=180))</f>
        <v>0</v>
      </c>
      <c r="BF105" t="b">
        <f>AND(IF(metadata!U105="",FALSE,TRUE),EXACT(metadata!U105,"Decimal degrees"))</f>
        <v>0</v>
      </c>
      <c r="BG105" t="b">
        <f>IF(metadata!V105="",FALSE,TRUE)</f>
        <v>0</v>
      </c>
      <c r="BH105" t="b">
        <f>OR(AND(IF(metadata!W105="",FALSE,TRUE),OR(EXACT(metadata!W105,"missing: not collected"),EXACT(metadata!W105,"missing: not provided"),EXACT(metadata!W105,"missing: restricted access"))),AND(IF(metadata!W105="",FALSE,TRUE),OR(EXACT(metadata!W105,"TRUE"),EXACT(metadata!W105,"FALSE"))))</f>
        <v>0</v>
      </c>
      <c r="BI105" t="b">
        <f>AND(IF(metadata!X105="",FALSE,TRUE),EXACT(metadata!X105,"other"))</f>
        <v>0</v>
      </c>
      <c r="BJ105" t="b">
        <f>IF(metadata!Y105="",FALSE,TRUE)</f>
        <v>0</v>
      </c>
      <c r="BK105" t="b">
        <f>OR(AND(IF(metadata!Z105="",FALSE,TRUE),OR(EXACT(metadata!Z105,"missing: not collected"),EXACT(metadata!Z105,"missing: not provided"))),AND(IF(metadata!Z105="",FALSE,IF(ISERROR(INT(metadata!Z105)),FALSE,INT(metadata!Z105)=metadata!Z105)),metadata!Z105&gt;0))</f>
        <v>0</v>
      </c>
      <c r="BL105" t="b">
        <f>AND(IF(metadata!AA105="",FALSE,TRUE),EXACT(metadata!AA105,"Not applicable"))</f>
        <v>0</v>
      </c>
      <c r="BM105" t="b">
        <f>IF(metadata!AB105="",FALSE,TRUE)</f>
        <v>0</v>
      </c>
    </row>
    <row r="106" spans="1:65" x14ac:dyDescent="0.2">
      <c r="A106" s="5" t="str">
        <f ca="1">IF(B106=" "," ",HYPERLINK(CONCATENATE("#metadata!",ADDRESS(INDEX($AH$2:$AH$1001,MATCH(ROWS($AF$2:AF106),$AF$2:$AF$1001,0),0),1)),INDEX($AK$2:$AK$1001,MATCH(ROWS($AF$2:AF106),$AF$2:$AF$1001,0),0)))</f>
        <v xml:space="preserve"> </v>
      </c>
      <c r="B106" s="4" t="str">
        <f ca="1">IF(OR(INDEX($AG$2:$AG$1001,MATCH(ROWS($AF$2:AF106),$AF$2:$AF$1001,0),1)&gt;=100000,INDEX($AM$1005:$BM$1005,1,MATCH(COLUMNS($AM$1006:AM1006),$AM$1006:$BM$1006,0))&gt;=100000), " ",IF(INDEX($AM$2:$BM$1001,MATCH(ROWS($AF$2:AF106),$AF$2:$AF$1001,0),MATCH(COLUMNS($AM$1006:AM1006),$AM$1006:$BM$1006,0)), HYPERLINK("#",""), HYPERLINK(CONCATENATE("#metadata!", ADDRESS(INDEX($AH$2:$AH$1001,MATCH(ROWS($AF$2:AF106),$AF$2:$AF$1001,0),0), INDEX($AM$1004:$BM$1004,1,MATCH(COLUMNS($AM$1006:AM1006),$AM$1006:$BM$1006,0)))),"Fix")))</f>
        <v xml:space="preserve"> </v>
      </c>
      <c r="C106" s="4" t="str">
        <f ca="1">IF(OR(INDEX($AG$2:$AG$1001,MATCH(ROWS($AF$2:AF106),$AF$2:$AF$1001,0),1)&gt;=100000,INDEX($AM$1005:$BM$1005,1,MATCH(COLUMNS($AM$1006:AN1006),$AM$1006:$BM$1006,0))&gt;=100000), " ",IF(INDEX($AM$2:$BM$1001,MATCH(ROWS($AF$2:AF106),$AF$2:$AF$1001,0),MATCH(COLUMNS($AM$1006:AN1006),$AM$1006:$BM$1006,0)), HYPERLINK("#",""), HYPERLINK(CONCATENATE("#metadata!", ADDRESS(INDEX($AH$2:$AH$1001,MATCH(ROWS($AF$2:AF106),$AF$2:$AF$1001,0),0), INDEX($AM$1004:$BM$1004,1,MATCH(COLUMNS($AM$1006:AN1006),$AM$1006:$BM$1006,0)))),"Fix")))</f>
        <v xml:space="preserve"> </v>
      </c>
      <c r="D106" s="4" t="str">
        <f ca="1">IF(OR(INDEX($AG$2:$AG$1001,MATCH(ROWS($AF$2:AF106),$AF$2:$AF$1001,0),1)&gt;=100000,INDEX($AM$1005:$BM$1005,1,MATCH(COLUMNS($AM$1006:AO1006),$AM$1006:$BM$1006,0))&gt;=100000), " ",IF(INDEX($AM$2:$BM$1001,MATCH(ROWS($AF$2:AF106),$AF$2:$AF$1001,0),MATCH(COLUMNS($AM$1006:AO1006),$AM$1006:$BM$1006,0)), HYPERLINK("#",""), HYPERLINK(CONCATENATE("#metadata!", ADDRESS(INDEX($AH$2:$AH$1001,MATCH(ROWS($AF$2:AF106),$AF$2:$AF$1001,0),0), INDEX($AM$1004:$BM$1004,1,MATCH(COLUMNS($AM$1006:AO1006),$AM$1006:$BM$1006,0)))),"Fix")))</f>
        <v xml:space="preserve"> </v>
      </c>
      <c r="E106" s="4" t="str">
        <f ca="1">IF(OR(INDEX($AG$2:$AG$1001,MATCH(ROWS($AF$2:AF106),$AF$2:$AF$1001,0),1)&gt;=100000,INDEX($AM$1005:$BM$1005,1,MATCH(COLUMNS($AM$1006:AP1006),$AM$1006:$BM$1006,0))&gt;=100000), " ",IF(INDEX($AM$2:$BM$1001,MATCH(ROWS($AF$2:AF106),$AF$2:$AF$1001,0),MATCH(COLUMNS($AM$1006:AP1006),$AM$1006:$BM$1006,0)), HYPERLINK("#",""), HYPERLINK(CONCATENATE("#metadata!", ADDRESS(INDEX($AH$2:$AH$1001,MATCH(ROWS($AF$2:AF106),$AF$2:$AF$1001,0),0), INDEX($AM$1004:$BM$1004,1,MATCH(COLUMNS($AM$1006:AP1006),$AM$1006:$BM$1006,0)))),"Fix")))</f>
        <v xml:space="preserve"> </v>
      </c>
      <c r="F106" s="4" t="str">
        <f ca="1">IF(OR(INDEX($AG$2:$AG$1001,MATCH(ROWS($AF$2:AF106),$AF$2:$AF$1001,0),1)&gt;=100000,INDEX($AM$1005:$BM$1005,1,MATCH(COLUMNS($AM$1006:AQ1006),$AM$1006:$BM$1006,0))&gt;=100000), " ",IF(INDEX($AM$2:$BM$1001,MATCH(ROWS($AF$2:AF106),$AF$2:$AF$1001,0),MATCH(COLUMNS($AM$1006:AQ1006),$AM$1006:$BM$1006,0)), HYPERLINK("#",""), HYPERLINK(CONCATENATE("#metadata!", ADDRESS(INDEX($AH$2:$AH$1001,MATCH(ROWS($AF$2:AF106),$AF$2:$AF$1001,0),0), INDEX($AM$1004:$BM$1004,1,MATCH(COLUMNS($AM$1006:AQ1006),$AM$1006:$BM$1006,0)))),"Fix")))</f>
        <v xml:space="preserve"> </v>
      </c>
      <c r="G106" s="4" t="str">
        <f ca="1">IF(OR(INDEX($AG$2:$AG$1001,MATCH(ROWS($AF$2:AF106),$AF$2:$AF$1001,0),1)&gt;=100000,INDEX($AM$1005:$BM$1005,1,MATCH(COLUMNS($AM$1006:AR1006),$AM$1006:$BM$1006,0))&gt;=100000), " ",IF(INDEX($AM$2:$BM$1001,MATCH(ROWS($AF$2:AF106),$AF$2:$AF$1001,0),MATCH(COLUMNS($AM$1006:AR1006),$AM$1006:$BM$1006,0)), HYPERLINK("#",""), HYPERLINK(CONCATENATE("#metadata!", ADDRESS(INDEX($AH$2:$AH$1001,MATCH(ROWS($AF$2:AF106),$AF$2:$AF$1001,0),0), INDEX($AM$1004:$BM$1004,1,MATCH(COLUMNS($AM$1006:AR1006),$AM$1006:$BM$1006,0)))),"Fix")))</f>
        <v xml:space="preserve"> </v>
      </c>
      <c r="H106" s="4" t="str">
        <f ca="1">IF(OR(INDEX($AG$2:$AG$1001,MATCH(ROWS($AF$2:AF106),$AF$2:$AF$1001,0),1)&gt;=100000,INDEX($AM$1005:$BM$1005,1,MATCH(COLUMNS($AM$1006:AS1006),$AM$1006:$BM$1006,0))&gt;=100000), " ",IF(INDEX($AM$2:$BM$1001,MATCH(ROWS($AF$2:AF106),$AF$2:$AF$1001,0),MATCH(COLUMNS($AM$1006:AS1006),$AM$1006:$BM$1006,0)), HYPERLINK("#",""), HYPERLINK(CONCATENATE("#metadata!", ADDRESS(INDEX($AH$2:$AH$1001,MATCH(ROWS($AF$2:AF106),$AF$2:$AF$1001,0),0), INDEX($AM$1004:$BM$1004,1,MATCH(COLUMNS($AM$1006:AS1006),$AM$1006:$BM$1006,0)))),"Fix")))</f>
        <v xml:space="preserve"> </v>
      </c>
      <c r="I106" s="4" t="str">
        <f ca="1">IF(OR(INDEX($AG$2:$AG$1001,MATCH(ROWS($AF$2:AF106),$AF$2:$AF$1001,0),1)&gt;=100000,INDEX($AM$1005:$BM$1005,1,MATCH(COLUMNS($AM$1006:AT1006),$AM$1006:$BM$1006,0))&gt;=100000), " ",IF(INDEX($AM$2:$BM$1001,MATCH(ROWS($AF$2:AF106),$AF$2:$AF$1001,0),MATCH(COLUMNS($AM$1006:AT1006),$AM$1006:$BM$1006,0)), HYPERLINK("#",""), HYPERLINK(CONCATENATE("#metadata!", ADDRESS(INDEX($AH$2:$AH$1001,MATCH(ROWS($AF$2:AF106),$AF$2:$AF$1001,0),0), INDEX($AM$1004:$BM$1004,1,MATCH(COLUMNS($AM$1006:AT1006),$AM$1006:$BM$1006,0)))),"Fix")))</f>
        <v xml:space="preserve"> </v>
      </c>
      <c r="J106" s="4" t="str">
        <f ca="1">IF(OR(INDEX($AG$2:$AG$1001,MATCH(ROWS($AF$2:AF106),$AF$2:$AF$1001,0),1)&gt;=100000,INDEX($AM$1005:$BM$1005,1,MATCH(COLUMNS($AM$1006:AU1006),$AM$1006:$BM$1006,0))&gt;=100000), " ",IF(INDEX($AM$2:$BM$1001,MATCH(ROWS($AF$2:AF106),$AF$2:$AF$1001,0),MATCH(COLUMNS($AM$1006:AU1006),$AM$1006:$BM$1006,0)), HYPERLINK("#",""), HYPERLINK(CONCATENATE("#metadata!", ADDRESS(INDEX($AH$2:$AH$1001,MATCH(ROWS($AF$2:AF106),$AF$2:$AF$1001,0),0), INDEX($AM$1004:$BM$1004,1,MATCH(COLUMNS($AM$1006:AU1006),$AM$1006:$BM$1006,0)))),"Fix")))</f>
        <v xml:space="preserve"> </v>
      </c>
      <c r="K106" s="4" t="str">
        <f ca="1">IF(OR(INDEX($AG$2:$AG$1001,MATCH(ROWS($AF$2:AF106),$AF$2:$AF$1001,0),1)&gt;=100000,INDEX($AM$1005:$BM$1005,1,MATCH(COLUMNS($AM$1006:AV1006),$AM$1006:$BM$1006,0))&gt;=100000), " ",IF(INDEX($AM$2:$BM$1001,MATCH(ROWS($AF$2:AF106),$AF$2:$AF$1001,0),MATCH(COLUMNS($AM$1006:AV1006),$AM$1006:$BM$1006,0)), HYPERLINK("#",""), HYPERLINK(CONCATENATE("#metadata!", ADDRESS(INDEX($AH$2:$AH$1001,MATCH(ROWS($AF$2:AF106),$AF$2:$AF$1001,0),0), INDEX($AM$1004:$BM$1004,1,MATCH(COLUMNS($AM$1006:AV1006),$AM$1006:$BM$1006,0)))),"Fix")))</f>
        <v xml:space="preserve"> </v>
      </c>
      <c r="L106" s="4" t="str">
        <f ca="1">IF(OR(INDEX($AG$2:$AG$1001,MATCH(ROWS($AF$2:AF106),$AF$2:$AF$1001,0),1)&gt;=100000,INDEX($AM$1005:$BM$1005,1,MATCH(COLUMNS($AM$1006:AW1006),$AM$1006:$BM$1006,0))&gt;=100000), " ",IF(INDEX($AM$2:$BM$1001,MATCH(ROWS($AF$2:AF106),$AF$2:$AF$1001,0),MATCH(COLUMNS($AM$1006:AW1006),$AM$1006:$BM$1006,0)), HYPERLINK("#",""), HYPERLINK(CONCATENATE("#metadata!", ADDRESS(INDEX($AH$2:$AH$1001,MATCH(ROWS($AF$2:AF106),$AF$2:$AF$1001,0),0), INDEX($AM$1004:$BM$1004,1,MATCH(COLUMNS($AM$1006:AW1006),$AM$1006:$BM$1006,0)))),"Fix")))</f>
        <v xml:space="preserve"> </v>
      </c>
      <c r="M106" s="4" t="str">
        <f ca="1">IF(OR(INDEX($AG$2:$AG$1001,MATCH(ROWS($AF$2:AF106),$AF$2:$AF$1001,0),1)&gt;=100000,INDEX($AM$1005:$BM$1005,1,MATCH(COLUMNS($AM$1006:AX1006),$AM$1006:$BM$1006,0))&gt;=100000), " ",IF(INDEX($AM$2:$BM$1001,MATCH(ROWS($AF$2:AF106),$AF$2:$AF$1001,0),MATCH(COLUMNS($AM$1006:AX1006),$AM$1006:$BM$1006,0)), HYPERLINK("#",""), HYPERLINK(CONCATENATE("#metadata!", ADDRESS(INDEX($AH$2:$AH$1001,MATCH(ROWS($AF$2:AF106),$AF$2:$AF$1001,0),0), INDEX($AM$1004:$BM$1004,1,MATCH(COLUMNS($AM$1006:AX1006),$AM$1006:$BM$1006,0)))),"Fix")))</f>
        <v xml:space="preserve"> </v>
      </c>
      <c r="N106" s="4" t="str">
        <f ca="1">IF(OR(INDEX($AG$2:$AG$1001,MATCH(ROWS($AF$2:AF106),$AF$2:$AF$1001,0),1)&gt;=100000,INDEX($AM$1005:$BM$1005,1,MATCH(COLUMNS($AM$1006:AY1006),$AM$1006:$BM$1006,0))&gt;=100000), " ",IF(INDEX($AM$2:$BM$1001,MATCH(ROWS($AF$2:AF106),$AF$2:$AF$1001,0),MATCH(COLUMNS($AM$1006:AY1006),$AM$1006:$BM$1006,0)), HYPERLINK("#",""), HYPERLINK(CONCATENATE("#metadata!", ADDRESS(INDEX($AH$2:$AH$1001,MATCH(ROWS($AF$2:AF106),$AF$2:$AF$1001,0),0), INDEX($AM$1004:$BM$1004,1,MATCH(COLUMNS($AM$1006:AY1006),$AM$1006:$BM$1006,0)))),"Fix")))</f>
        <v xml:space="preserve"> </v>
      </c>
      <c r="O106" s="4" t="str">
        <f ca="1">IF(OR(INDEX($AG$2:$AG$1001,MATCH(ROWS($AF$2:AF106),$AF$2:$AF$1001,0),1)&gt;=100000,INDEX($AM$1005:$BM$1005,1,MATCH(COLUMNS($AM$1006:AZ1006),$AM$1006:$BM$1006,0))&gt;=100000), " ",IF(INDEX($AM$2:$BM$1001,MATCH(ROWS($AF$2:AF106),$AF$2:$AF$1001,0),MATCH(COLUMNS($AM$1006:AZ1006),$AM$1006:$BM$1006,0)), HYPERLINK("#",""), HYPERLINK(CONCATENATE("#metadata!", ADDRESS(INDEX($AH$2:$AH$1001,MATCH(ROWS($AF$2:AF106),$AF$2:$AF$1001,0),0), INDEX($AM$1004:$BM$1004,1,MATCH(COLUMNS($AM$1006:AZ1006),$AM$1006:$BM$1006,0)))),"Fix")))</f>
        <v xml:space="preserve"> </v>
      </c>
      <c r="P106" s="4" t="str">
        <f ca="1">IF(OR(INDEX($AG$2:$AG$1001,MATCH(ROWS($AF$2:AF106),$AF$2:$AF$1001,0),1)&gt;=100000,INDEX($AM$1005:$BM$1005,1,MATCH(COLUMNS($AM$1006:BA1006),$AM$1006:$BM$1006,0))&gt;=100000), " ",IF(INDEX($AM$2:$BM$1001,MATCH(ROWS($AF$2:AF106),$AF$2:$AF$1001,0),MATCH(COLUMNS($AM$1006:BA1006),$AM$1006:$BM$1006,0)), HYPERLINK("#",""), HYPERLINK(CONCATENATE("#metadata!", ADDRESS(INDEX($AH$2:$AH$1001,MATCH(ROWS($AF$2:AF106),$AF$2:$AF$1001,0),0), INDEX($AM$1004:$BM$1004,1,MATCH(COLUMNS($AM$1006:BA1006),$AM$1006:$BM$1006,0)))),"Fix")))</f>
        <v xml:space="preserve"> </v>
      </c>
      <c r="Q106" s="4" t="str">
        <f ca="1">IF(OR(INDEX($AG$2:$AG$1001,MATCH(ROWS($AF$2:AF106),$AF$2:$AF$1001,0),1)&gt;=100000,INDEX($AM$1005:$BM$1005,1,MATCH(COLUMNS($AM$1006:BB1006),$AM$1006:$BM$1006,0))&gt;=100000), " ",IF(INDEX($AM$2:$BM$1001,MATCH(ROWS($AF$2:AF106),$AF$2:$AF$1001,0),MATCH(COLUMNS($AM$1006:BB1006),$AM$1006:$BM$1006,0)), HYPERLINK("#",""), HYPERLINK(CONCATENATE("#metadata!", ADDRESS(INDEX($AH$2:$AH$1001,MATCH(ROWS($AF$2:AF106),$AF$2:$AF$1001,0),0), INDEX($AM$1004:$BM$1004,1,MATCH(COLUMNS($AM$1006:BB1006),$AM$1006:$BM$1006,0)))),"Fix")))</f>
        <v xml:space="preserve"> </v>
      </c>
      <c r="R106" s="4" t="str">
        <f ca="1">IF(OR(INDEX($AG$2:$AG$1001,MATCH(ROWS($AF$2:AF106),$AF$2:$AF$1001,0),1)&gt;=100000,INDEX($AM$1005:$BM$1005,1,MATCH(COLUMNS($AM$1006:BC1006),$AM$1006:$BM$1006,0))&gt;=100000), " ",IF(INDEX($AM$2:$BM$1001,MATCH(ROWS($AF$2:AF106),$AF$2:$AF$1001,0),MATCH(COLUMNS($AM$1006:BC1006),$AM$1006:$BM$1006,0)), HYPERLINK("#",""), HYPERLINK(CONCATENATE("#metadata!", ADDRESS(INDEX($AH$2:$AH$1001,MATCH(ROWS($AF$2:AF106),$AF$2:$AF$1001,0),0), INDEX($AM$1004:$BM$1004,1,MATCH(COLUMNS($AM$1006:BC1006),$AM$1006:$BM$1006,0)))),"Fix")))</f>
        <v xml:space="preserve"> </v>
      </c>
      <c r="S106" s="4" t="str">
        <f ca="1">IF(OR(INDEX($AG$2:$AG$1001,MATCH(ROWS($AF$2:AF106),$AF$2:$AF$1001,0),1)&gt;=100000,INDEX($AM$1005:$BM$1005,1,MATCH(COLUMNS($AM$1006:BD1006),$AM$1006:$BM$1006,0))&gt;=100000), " ",IF(INDEX($AM$2:$BM$1001,MATCH(ROWS($AF$2:AF106),$AF$2:$AF$1001,0),MATCH(COLUMNS($AM$1006:BD1006),$AM$1006:$BM$1006,0)), HYPERLINK("#",""), HYPERLINK(CONCATENATE("#metadata!", ADDRESS(INDEX($AH$2:$AH$1001,MATCH(ROWS($AF$2:AF106),$AF$2:$AF$1001,0),0), INDEX($AM$1004:$BM$1004,1,MATCH(COLUMNS($AM$1006:BD1006),$AM$1006:$BM$1006,0)))),"Fix")))</f>
        <v xml:space="preserve"> </v>
      </c>
      <c r="T106" s="4" t="str">
        <f ca="1">IF(OR(INDEX($AG$2:$AG$1001,MATCH(ROWS($AF$2:AF106),$AF$2:$AF$1001,0),1)&gt;=100000,INDEX($AM$1005:$BM$1005,1,MATCH(COLUMNS($AM$1006:BE1006),$AM$1006:$BM$1006,0))&gt;=100000), " ",IF(INDEX($AM$2:$BM$1001,MATCH(ROWS($AF$2:AF106),$AF$2:$AF$1001,0),MATCH(COLUMNS($AM$1006:BE1006),$AM$1006:$BM$1006,0)), HYPERLINK("#",""), HYPERLINK(CONCATENATE("#metadata!", ADDRESS(INDEX($AH$2:$AH$1001,MATCH(ROWS($AF$2:AF106),$AF$2:$AF$1001,0),0), INDEX($AM$1004:$BM$1004,1,MATCH(COLUMNS($AM$1006:BE1006),$AM$1006:$BM$1006,0)))),"Fix")))</f>
        <v xml:space="preserve"> </v>
      </c>
      <c r="U106" s="4" t="str">
        <f ca="1">IF(OR(INDEX($AG$2:$AG$1001,MATCH(ROWS($AF$2:AF106),$AF$2:$AF$1001,0),1)&gt;=100000,INDEX($AM$1005:$BM$1005,1,MATCH(COLUMNS($AM$1006:BF1006),$AM$1006:$BM$1006,0))&gt;=100000), " ",IF(INDEX($AM$2:$BM$1001,MATCH(ROWS($AF$2:AF106),$AF$2:$AF$1001,0),MATCH(COLUMNS($AM$1006:BF1006),$AM$1006:$BM$1006,0)), HYPERLINK("#",""), HYPERLINK(CONCATENATE("#metadata!", ADDRESS(INDEX($AH$2:$AH$1001,MATCH(ROWS($AF$2:AF106),$AF$2:$AF$1001,0),0), INDEX($AM$1004:$BM$1004,1,MATCH(COLUMNS($AM$1006:BF1006),$AM$1006:$BM$1006,0)))),"Fix")))</f>
        <v xml:space="preserve"> </v>
      </c>
      <c r="V106" s="4" t="str">
        <f ca="1">IF(OR(INDEX($AG$2:$AG$1001,MATCH(ROWS($AF$2:AF106),$AF$2:$AF$1001,0),1)&gt;=100000,INDEX($AM$1005:$BM$1005,1,MATCH(COLUMNS($AM$1006:BG1006),$AM$1006:$BM$1006,0))&gt;=100000), " ",IF(INDEX($AM$2:$BM$1001,MATCH(ROWS($AF$2:AF106),$AF$2:$AF$1001,0),MATCH(COLUMNS($AM$1006:BG1006),$AM$1006:$BM$1006,0)), HYPERLINK("#",""), HYPERLINK(CONCATENATE("#metadata!", ADDRESS(INDEX($AH$2:$AH$1001,MATCH(ROWS($AF$2:AF106),$AF$2:$AF$1001,0),0), INDEX($AM$1004:$BM$1004,1,MATCH(COLUMNS($AM$1006:BG1006),$AM$1006:$BM$1006,0)))),"Fix")))</f>
        <v xml:space="preserve"> </v>
      </c>
      <c r="W106" s="4" t="str">
        <f ca="1">IF(OR(INDEX($AG$2:$AG$1001,MATCH(ROWS($AF$2:AF106),$AF$2:$AF$1001,0),1)&gt;=100000,INDEX($AM$1005:$BM$1005,1,MATCH(COLUMNS($AM$1006:BH1006),$AM$1006:$BM$1006,0))&gt;=100000), " ",IF(INDEX($AM$2:$BM$1001,MATCH(ROWS($AF$2:AF106),$AF$2:$AF$1001,0),MATCH(COLUMNS($AM$1006:BH1006),$AM$1006:$BM$1006,0)), HYPERLINK("#",""), HYPERLINK(CONCATENATE("#metadata!", ADDRESS(INDEX($AH$2:$AH$1001,MATCH(ROWS($AF$2:AF106),$AF$2:$AF$1001,0),0), INDEX($AM$1004:$BM$1004,1,MATCH(COLUMNS($AM$1006:BH1006),$AM$1006:$BM$1006,0)))),"Fix")))</f>
        <v xml:space="preserve"> </v>
      </c>
      <c r="X106" s="4" t="str">
        <f ca="1">IF(OR(INDEX($AG$2:$AG$1001,MATCH(ROWS($AF$2:AF106),$AF$2:$AF$1001,0),1)&gt;=100000,INDEX($AM$1005:$BM$1005,1,MATCH(COLUMNS($AM$1006:BI1006),$AM$1006:$BM$1006,0))&gt;=100000), " ",IF(INDEX($AM$2:$BM$1001,MATCH(ROWS($AF$2:AF106),$AF$2:$AF$1001,0),MATCH(COLUMNS($AM$1006:BI1006),$AM$1006:$BM$1006,0)), HYPERLINK("#",""), HYPERLINK(CONCATENATE("#metadata!", ADDRESS(INDEX($AH$2:$AH$1001,MATCH(ROWS($AF$2:AF106),$AF$2:$AF$1001,0),0), INDEX($AM$1004:$BM$1004,1,MATCH(COLUMNS($AM$1006:BI1006),$AM$1006:$BM$1006,0)))),"Fix")))</f>
        <v xml:space="preserve"> </v>
      </c>
      <c r="Y106" s="4" t="str">
        <f ca="1">IF(OR(INDEX($AG$2:$AG$1001,MATCH(ROWS($AF$2:AF106),$AF$2:$AF$1001,0),1)&gt;=100000,INDEX($AM$1005:$BM$1005,1,MATCH(COLUMNS($AM$1006:BJ1006),$AM$1006:$BM$1006,0))&gt;=100000), " ",IF(INDEX($AM$2:$BM$1001,MATCH(ROWS($AF$2:AF106),$AF$2:$AF$1001,0),MATCH(COLUMNS($AM$1006:BJ1006),$AM$1006:$BM$1006,0)), HYPERLINK("#",""), HYPERLINK(CONCATENATE("#metadata!", ADDRESS(INDEX($AH$2:$AH$1001,MATCH(ROWS($AF$2:AF106),$AF$2:$AF$1001,0),0), INDEX($AM$1004:$BM$1004,1,MATCH(COLUMNS($AM$1006:BJ1006),$AM$1006:$BM$1006,0)))),"Fix")))</f>
        <v xml:space="preserve"> </v>
      </c>
      <c r="Z106" s="4" t="str">
        <f ca="1">IF(OR(INDEX($AG$2:$AG$1001,MATCH(ROWS($AF$2:AF106),$AF$2:$AF$1001,0),1)&gt;=100000,INDEX($AM$1005:$BM$1005,1,MATCH(COLUMNS($AM$1006:BK1006),$AM$1006:$BM$1006,0))&gt;=100000), " ",IF(INDEX($AM$2:$BM$1001,MATCH(ROWS($AF$2:AF106),$AF$2:$AF$1001,0),MATCH(COLUMNS($AM$1006:BK1006),$AM$1006:$BM$1006,0)), HYPERLINK("#",""), HYPERLINK(CONCATENATE("#metadata!", ADDRESS(INDEX($AH$2:$AH$1001,MATCH(ROWS($AF$2:AF106),$AF$2:$AF$1001,0),0), INDEX($AM$1004:$BM$1004,1,MATCH(COLUMNS($AM$1006:BK1006),$AM$1006:$BM$1006,0)))),"Fix")))</f>
        <v xml:space="preserve"> </v>
      </c>
      <c r="AA106" s="4" t="str">
        <f ca="1">IF(OR(INDEX($AG$2:$AG$1001,MATCH(ROWS($AF$2:AF106),$AF$2:$AF$1001,0),1)&gt;=100000,INDEX($AM$1005:$BM$1005,1,MATCH(COLUMNS($AM$1006:BL1006),$AM$1006:$BM$1006,0))&gt;=100000), " ",IF(INDEX($AM$2:$BM$1001,MATCH(ROWS($AF$2:AF106),$AF$2:$AF$1001,0),MATCH(COLUMNS($AM$1006:BL1006),$AM$1006:$BM$1006,0)), HYPERLINK("#",""), HYPERLINK(CONCATENATE("#metadata!", ADDRESS(INDEX($AH$2:$AH$1001,MATCH(ROWS($AF$2:AF106),$AF$2:$AF$1001,0),0), INDEX($AM$1004:$BM$1004,1,MATCH(COLUMNS($AM$1006:BL1006),$AM$1006:$BM$1006,0)))),"Fix")))</f>
        <v xml:space="preserve"> </v>
      </c>
      <c r="AB106" s="4" t="str">
        <f ca="1">IF(OR(INDEX($AG$2:$AG$1001,MATCH(ROWS($AF$2:AF106),$AF$2:$AF$1001,0),1)&gt;=100000,INDEX($AM$1005:$BM$1005,1,MATCH(COLUMNS($AM$1006:BM1006),$AM$1006:$BM$1006,0))&gt;=100000), " ",IF(INDEX($AM$2:$BM$1001,MATCH(ROWS($AF$2:AF106),$AF$2:$AF$1001,0),MATCH(COLUMNS($AM$1006:BM1006),$AM$1006:$BM$1006,0)), HYPERLINK("#",""), HYPERLINK(CONCATENATE("#metadata!", ADDRESS(INDEX($AH$2:$AH$1001,MATCH(ROWS($AF$2:AF106),$AF$2:$AF$1001,0),0), INDEX($AM$1004:$BM$1004,1,MATCH(COLUMNS($AM$1006:BM1006),$AM$1006:$BM$1006,0)))),"Fix")))</f>
        <v xml:space="preserve"> </v>
      </c>
      <c r="AF106">
        <v>105</v>
      </c>
      <c r="AG106">
        <v>100106</v>
      </c>
      <c r="AH106">
        <v>106</v>
      </c>
      <c r="AI106" t="b">
        <f t="shared" si="1"/>
        <v>1</v>
      </c>
      <c r="AJ106" t="b">
        <f>COUNTBLANK(metadata!B106:AB106)=COLUMNS(metadata!B106:AB106)</f>
        <v>1</v>
      </c>
      <c r="AK106" t="str">
        <v/>
      </c>
      <c r="AM106" t="b">
        <f ca="1">AND(IF(metadata!B106="",FALSE,TRUE),COUNTIF(metadata!B:B, metadata!B106) = 1,NOT(ISERROR(SUMPRODUCT(SEARCH(MID(metadata!B106,ROW(INDIRECT("1:"&amp;LEN(metadata!B106))), 1),"0123456789abcdefghijklmnopqrstuvwxyzABCDEFGHIJKLMNOPQRSTUVWXYZ.")))))</f>
        <v>0</v>
      </c>
      <c r="AN106" t="b">
        <f ca="1">OR(AND(IF(metadata!C106="",FALSE,TRUE),OR(EXACT(metadata!C106,"missing: not collected"),EXACT(metadata!C106,"missing: not provided"),EXACT(metadata!C106,"missing: restricted access"))),AND(IF(metadata!C106="",FALSE,TRUE),AND(AND(IFERROR(INT(LEFT(metadata!C106,4))&gt;1900,FALSE),IFERROR(INT(LEFT(metadata!C106,4))&lt;=YEAR(NOW()),FALSE)), OR(MID(metadata!C106,5,1)="", AND(AND(MID(metadata!C106,5,1)="-",IFERROR(INT(MID(metadata!C106,6,1))&gt;=0,FALSE),IFERROR(INT(MID(metadata!C106,6,1))&lt;=1,FALSE),NOT(MID(metadata!C106,7,1)=""),IFERROR(INT(MID(metadata!C106,6,2))&gt;=1,FALSE),IFERROR(INT(MID(metadata!C106,6,2))&lt;=12,FALSE)), OR(MID(metadata!C106,8,1)="", AND(AND(MID(metadata!C106,8,1)="-",IFERROR(INT(MID(metadata!C106,9,1))&gt;=0,FALSE),IFERROR(INT(MID(metadata!C106,9,1))&lt;=3,FALSE),NOT(MID(metadata!C106,10,1)=""),IFERROR(INT(MID(metadata!C106,9,2))&gt;=1,FALSE),IFERROR(INT(MID(metadata!C106,9,2))&lt;=31,FALSE)), OR(MID(metadata!C106,11,1)="", AND(AND(MID(metadata!C106,11,1)=" ",IFERROR(INT(MID(metadata!C106,12,1))&gt;=0,FALSE),IFERROR(INT(MID(metadata!C106,12,1))&lt;=2,FALSE),NOT(MID(metadata!C106,13,1)=""),IFERROR(INT(MID(metadata!C106,12,2))&gt;=0,FALSE),IFERROR(INT(MID(metadata!C106,12,2))&lt;=23,FALSE)), OR(MID(metadata!C106,14,1)="", AND(AND(MID(metadata!C106,14,1)=":",IFERROR(INT(MID(metadata!C106,15,1))&gt;=0,FALSE),IFERROR(INT(MID(metadata!C106,15,1))&lt;=5,FALSE),NOT(MID(metadata!C106,16,1)=""),IFERROR(INT(MID(metadata!C106,15,2))&gt;=0,FALSE),IFERROR(INT(MID(metadata!C106,15,2))&lt;=59,FALSE)), OR(MID(metadata!C106,17,1)="", AND(AND(MID(metadata!C106,17,1)=":",IFERROR(INT(MID(metadata!C106,18,1))&gt;=0,FALSE),IFERROR(INT(MID(metadata!C106,18,1))&lt;=5,FALSE),NOT(MID(metadata!C106,19,1)=""),IFERROR(INT(MID(metadata!C106,18,2))&gt;=0,FALSE),IFERROR(INT(MID(metadata!C106,18,2))&lt;=59,FALSE)), LEN(metadata!C106)&lt;=19)))))))))))))</f>
        <v>0</v>
      </c>
      <c r="AO106" t="b">
        <f>AND(IF(metadata!D106="",FALSE,TRUE),EXACT(metadata!D106,"Not applicable"))</f>
        <v>0</v>
      </c>
      <c r="AP106" t="b">
        <f>IF(metadata!E106="",FALSE,TRUE)</f>
        <v>0</v>
      </c>
      <c r="AQ106" t="b">
        <f>OR(AND(IF(metadata!F106="",FALSE,TRUE),OR(EXACT(metadata!F106,"missing: not collected"),EXACT(metadata!F106,"missing: not provided"))),AND(IF(metadata!F106="",FALSE,TRUE),OR(EXACT(metadata!F106,"TRUE"),EXACT(metadata!F106,"FALSE"))))</f>
        <v>0</v>
      </c>
      <c r="AR106" t="b">
        <f>OR(AND(IF(metadata!G106="",FALSE,TRUE),OR(EXACT(metadata!G106,"missing: not collected"),EXACT(metadata!G106,"missing: not provided"),EXACT(metadata!G106,"missing: restricted access"))),AND(IF(metadata!G106="",FALSE,ISNUMBER(VALUE(metadata!G106))),metadata!G106&gt;=-413))</f>
        <v>0</v>
      </c>
      <c r="AS106" t="b">
        <f>AND(IF(metadata!H106="",FALSE,TRUE),EXACT(metadata!H106,"meters"))</f>
        <v>0</v>
      </c>
      <c r="AT106" t="b">
        <f>AND(IF(metadata!I106="",FALSE,TRUE),OR(EXACT(metadata!I106,"Host-associated"),EXACT(metadata!I106,"Free-living")))</f>
        <v>0</v>
      </c>
      <c r="AU106" t="b">
        <f>AND(IF(metadata!J106="",FALSE,TRUE),OR(EXACT(metadata!J106,"Animal"),EXACT(metadata!J106,"Fungus"),EXACT(metadata!J106,"Plant"),EXACT(metadata!J106,"Saline"),EXACT(metadata!J106,"Non-saline")))</f>
        <v>0</v>
      </c>
      <c r="AV106" t="b">
        <f>AND(IF(metadata!K106="",FALSE,TRUE),OR(EXACT(metadata!K106,"Plant secretion"),EXACT(metadata!K106,"Plant rhizosphere"),EXACT(metadata!K106,"Plant surface"),EXACT(metadata!K106,"Plant corpus"),EXACT(metadata!K106,"Fungus surface"),EXACT(metadata!K106,"Fungus corpus"),EXACT(metadata!K106,"Animal surface"),EXACT(metadata!K106,"Animal proximal gut"),EXACT(metadata!K106,"Animal corpus"),EXACT(metadata!K106,"Animal distal gut"),EXACT(metadata!K106,"Animal secretion"),EXACT(metadata!K106,"Sub-surface (non-saline)"),EXACT(metadata!K106,"Surface (non-saline)"),EXACT(metadata!K106,"Water (non-saline)"),EXACT(metadata!K106,"Soil (non-saline)"),EXACT(metadata!K106,"Aerosol (non-saline)"),EXACT(metadata!K106,"Sediment (non-saline)"),EXACT(metadata!K106,"Surface (saline)"),EXACT(metadata!K106,"Water (saline)"),EXACT(metadata!K106,"Hypersaline (saline)"),EXACT(metadata!K106,"Aerosol (saline)"),EXACT(metadata!K106,"Sediment (saline)")))</f>
        <v>0</v>
      </c>
      <c r="AW106" t="b">
        <f>IF(metadata!L106="",FALSE,TRUE)</f>
        <v>0</v>
      </c>
      <c r="AX106" t="b">
        <f>IF(metadata!M106="",FALSE,TRUE)</f>
        <v>0</v>
      </c>
      <c r="AY106" t="b">
        <f>IF(metadata!N106="",FALSE,TRUE)</f>
        <v>0</v>
      </c>
      <c r="AZ106" t="b">
        <f>OR(AND(IF(metadata!O106="",FALSE,TRUE),OR(EXACT(metadata!O106,"missing: not collected"),EXACT(metadata!O106,"missing: not provided"),EXACT(metadata!O106,"missing: restricted access"))),AND(IF(metadata!O106="",FALSE,TRUE),OR(EXACT(metadata!O106,"air"),EXACT(metadata!O106,"built environment"),EXACT(metadata!O106,"host-associated"),EXACT(metadata!O106,"human-associated"),EXACT(metadata!O106,"human-skin"),EXACT(metadata!O106,"human-oral"),EXACT(metadata!O106,"human-gut"),EXACT(metadata!O106,"human-vaginal"),EXACT(metadata!O106,"microbial mat/biofilm"),EXACT(metadata!O106,"misc environment"),EXACT(metadata!O106,"plant-associated"),EXACT(metadata!O106,"sediment"),EXACT(metadata!O106,"soil"),EXACT(metadata!O106,"wastewater/sludge"),EXACT(metadata!O106,"water"))))</f>
        <v>0</v>
      </c>
      <c r="BA106" t="b">
        <f>IF(metadata!P106="",FALSE,TRUE)</f>
        <v>0</v>
      </c>
      <c r="BB106" t="b">
        <f>IF(metadata!Q106="",FALSE,TRUE)</f>
        <v>0</v>
      </c>
      <c r="BC106" t="b">
        <f>OR(AND(IF(metadata!R106="",FALSE,TRUE),OR(EXACT(metadata!R106,"missing: not collected"),EXACT(metadata!R106,"missing: not provided"),EXACT(metadata!R106,"missing: restricted access"))),AND(IF(metadata!R106="",FALSE,ISNUMBER(VALUE(metadata!R106))),metadata!R106&gt;=-90,metadata!R106&lt;=90))</f>
        <v>0</v>
      </c>
      <c r="BD106" t="b">
        <f>AND(IF(metadata!S106="",FALSE,TRUE),EXACT(metadata!S106,"Decimal degrees"))</f>
        <v>0</v>
      </c>
      <c r="BE106" t="b">
        <f>OR(AND(IF(metadata!T106="",FALSE,TRUE),OR(EXACT(metadata!T106,"missing: not collected"),EXACT(metadata!T106,"missing: not provided"),EXACT(metadata!T106,"missing: restricted access"))),AND(IF(metadata!T106="",FALSE,ISNUMBER(VALUE(metadata!T106))),metadata!T106&gt;=-180,metadata!T106&lt;=180))</f>
        <v>0</v>
      </c>
      <c r="BF106" t="b">
        <f>AND(IF(metadata!U106="",FALSE,TRUE),EXACT(metadata!U106,"Decimal degrees"))</f>
        <v>0</v>
      </c>
      <c r="BG106" t="b">
        <f>IF(metadata!V106="",FALSE,TRUE)</f>
        <v>0</v>
      </c>
      <c r="BH106" t="b">
        <f>OR(AND(IF(metadata!W106="",FALSE,TRUE),OR(EXACT(metadata!W106,"missing: not collected"),EXACT(metadata!W106,"missing: not provided"),EXACT(metadata!W106,"missing: restricted access"))),AND(IF(metadata!W106="",FALSE,TRUE),OR(EXACT(metadata!W106,"TRUE"),EXACT(metadata!W106,"FALSE"))))</f>
        <v>0</v>
      </c>
      <c r="BI106" t="b">
        <f>AND(IF(metadata!X106="",FALSE,TRUE),EXACT(metadata!X106,"other"))</f>
        <v>0</v>
      </c>
      <c r="BJ106" t="b">
        <f>IF(metadata!Y106="",FALSE,TRUE)</f>
        <v>0</v>
      </c>
      <c r="BK106" t="b">
        <f>OR(AND(IF(metadata!Z106="",FALSE,TRUE),OR(EXACT(metadata!Z106,"missing: not collected"),EXACT(metadata!Z106,"missing: not provided"))),AND(IF(metadata!Z106="",FALSE,IF(ISERROR(INT(metadata!Z106)),FALSE,INT(metadata!Z106)=metadata!Z106)),metadata!Z106&gt;0))</f>
        <v>0</v>
      </c>
      <c r="BL106" t="b">
        <f>AND(IF(metadata!AA106="",FALSE,TRUE),EXACT(metadata!AA106,"Not applicable"))</f>
        <v>0</v>
      </c>
      <c r="BM106" t="b">
        <f>IF(metadata!AB106="",FALSE,TRUE)</f>
        <v>0</v>
      </c>
    </row>
    <row r="107" spans="1:65" x14ac:dyDescent="0.2">
      <c r="A107" s="5" t="str">
        <f ca="1">IF(B107=" "," ",HYPERLINK(CONCATENATE("#metadata!",ADDRESS(INDEX($AH$2:$AH$1001,MATCH(ROWS($AF$2:AF107),$AF$2:$AF$1001,0),0),1)),INDEX($AK$2:$AK$1001,MATCH(ROWS($AF$2:AF107),$AF$2:$AF$1001,0),0)))</f>
        <v xml:space="preserve"> </v>
      </c>
      <c r="B107" s="4" t="str">
        <f ca="1">IF(OR(INDEX($AG$2:$AG$1001,MATCH(ROWS($AF$2:AF107),$AF$2:$AF$1001,0),1)&gt;=100000,INDEX($AM$1005:$BM$1005,1,MATCH(COLUMNS($AM$1006:AM1006),$AM$1006:$BM$1006,0))&gt;=100000), " ",IF(INDEX($AM$2:$BM$1001,MATCH(ROWS($AF$2:AF107),$AF$2:$AF$1001,0),MATCH(COLUMNS($AM$1006:AM1006),$AM$1006:$BM$1006,0)), HYPERLINK("#",""), HYPERLINK(CONCATENATE("#metadata!", ADDRESS(INDEX($AH$2:$AH$1001,MATCH(ROWS($AF$2:AF107),$AF$2:$AF$1001,0),0), INDEX($AM$1004:$BM$1004,1,MATCH(COLUMNS($AM$1006:AM1006),$AM$1006:$BM$1006,0)))),"Fix")))</f>
        <v xml:space="preserve"> </v>
      </c>
      <c r="C107" s="4" t="str">
        <f ca="1">IF(OR(INDEX($AG$2:$AG$1001,MATCH(ROWS($AF$2:AF107),$AF$2:$AF$1001,0),1)&gt;=100000,INDEX($AM$1005:$BM$1005,1,MATCH(COLUMNS($AM$1006:AN1006),$AM$1006:$BM$1006,0))&gt;=100000), " ",IF(INDEX($AM$2:$BM$1001,MATCH(ROWS($AF$2:AF107),$AF$2:$AF$1001,0),MATCH(COLUMNS($AM$1006:AN1006),$AM$1006:$BM$1006,0)), HYPERLINK("#",""), HYPERLINK(CONCATENATE("#metadata!", ADDRESS(INDEX($AH$2:$AH$1001,MATCH(ROWS($AF$2:AF107),$AF$2:$AF$1001,0),0), INDEX($AM$1004:$BM$1004,1,MATCH(COLUMNS($AM$1006:AN1006),$AM$1006:$BM$1006,0)))),"Fix")))</f>
        <v xml:space="preserve"> </v>
      </c>
      <c r="D107" s="4" t="str">
        <f ca="1">IF(OR(INDEX($AG$2:$AG$1001,MATCH(ROWS($AF$2:AF107),$AF$2:$AF$1001,0),1)&gt;=100000,INDEX($AM$1005:$BM$1005,1,MATCH(COLUMNS($AM$1006:AO1006),$AM$1006:$BM$1006,0))&gt;=100000), " ",IF(INDEX($AM$2:$BM$1001,MATCH(ROWS($AF$2:AF107),$AF$2:$AF$1001,0),MATCH(COLUMNS($AM$1006:AO1006),$AM$1006:$BM$1006,0)), HYPERLINK("#",""), HYPERLINK(CONCATENATE("#metadata!", ADDRESS(INDEX($AH$2:$AH$1001,MATCH(ROWS($AF$2:AF107),$AF$2:$AF$1001,0),0), INDEX($AM$1004:$BM$1004,1,MATCH(COLUMNS($AM$1006:AO1006),$AM$1006:$BM$1006,0)))),"Fix")))</f>
        <v xml:space="preserve"> </v>
      </c>
      <c r="E107" s="4" t="str">
        <f ca="1">IF(OR(INDEX($AG$2:$AG$1001,MATCH(ROWS($AF$2:AF107),$AF$2:$AF$1001,0),1)&gt;=100000,INDEX($AM$1005:$BM$1005,1,MATCH(COLUMNS($AM$1006:AP1006),$AM$1006:$BM$1006,0))&gt;=100000), " ",IF(INDEX($AM$2:$BM$1001,MATCH(ROWS($AF$2:AF107),$AF$2:$AF$1001,0),MATCH(COLUMNS($AM$1006:AP1006),$AM$1006:$BM$1006,0)), HYPERLINK("#",""), HYPERLINK(CONCATENATE("#metadata!", ADDRESS(INDEX($AH$2:$AH$1001,MATCH(ROWS($AF$2:AF107),$AF$2:$AF$1001,0),0), INDEX($AM$1004:$BM$1004,1,MATCH(COLUMNS($AM$1006:AP1006),$AM$1006:$BM$1006,0)))),"Fix")))</f>
        <v xml:space="preserve"> </v>
      </c>
      <c r="F107" s="4" t="str">
        <f ca="1">IF(OR(INDEX($AG$2:$AG$1001,MATCH(ROWS($AF$2:AF107),$AF$2:$AF$1001,0),1)&gt;=100000,INDEX($AM$1005:$BM$1005,1,MATCH(COLUMNS($AM$1006:AQ1006),$AM$1006:$BM$1006,0))&gt;=100000), " ",IF(INDEX($AM$2:$BM$1001,MATCH(ROWS($AF$2:AF107),$AF$2:$AF$1001,0),MATCH(COLUMNS($AM$1006:AQ1006),$AM$1006:$BM$1006,0)), HYPERLINK("#",""), HYPERLINK(CONCATENATE("#metadata!", ADDRESS(INDEX($AH$2:$AH$1001,MATCH(ROWS($AF$2:AF107),$AF$2:$AF$1001,0),0), INDEX($AM$1004:$BM$1004,1,MATCH(COLUMNS($AM$1006:AQ1006),$AM$1006:$BM$1006,0)))),"Fix")))</f>
        <v xml:space="preserve"> </v>
      </c>
      <c r="G107" s="4" t="str">
        <f ca="1">IF(OR(INDEX($AG$2:$AG$1001,MATCH(ROWS($AF$2:AF107),$AF$2:$AF$1001,0),1)&gt;=100000,INDEX($AM$1005:$BM$1005,1,MATCH(COLUMNS($AM$1006:AR1006),$AM$1006:$BM$1006,0))&gt;=100000), " ",IF(INDEX($AM$2:$BM$1001,MATCH(ROWS($AF$2:AF107),$AF$2:$AF$1001,0),MATCH(COLUMNS($AM$1006:AR1006),$AM$1006:$BM$1006,0)), HYPERLINK("#",""), HYPERLINK(CONCATENATE("#metadata!", ADDRESS(INDEX($AH$2:$AH$1001,MATCH(ROWS($AF$2:AF107),$AF$2:$AF$1001,0),0), INDEX($AM$1004:$BM$1004,1,MATCH(COLUMNS($AM$1006:AR1006),$AM$1006:$BM$1006,0)))),"Fix")))</f>
        <v xml:space="preserve"> </v>
      </c>
      <c r="H107" s="4" t="str">
        <f ca="1">IF(OR(INDEX($AG$2:$AG$1001,MATCH(ROWS($AF$2:AF107),$AF$2:$AF$1001,0),1)&gt;=100000,INDEX($AM$1005:$BM$1005,1,MATCH(COLUMNS($AM$1006:AS1006),$AM$1006:$BM$1006,0))&gt;=100000), " ",IF(INDEX($AM$2:$BM$1001,MATCH(ROWS($AF$2:AF107),$AF$2:$AF$1001,0),MATCH(COLUMNS($AM$1006:AS1006),$AM$1006:$BM$1006,0)), HYPERLINK("#",""), HYPERLINK(CONCATENATE("#metadata!", ADDRESS(INDEX($AH$2:$AH$1001,MATCH(ROWS($AF$2:AF107),$AF$2:$AF$1001,0),0), INDEX($AM$1004:$BM$1004,1,MATCH(COLUMNS($AM$1006:AS1006),$AM$1006:$BM$1006,0)))),"Fix")))</f>
        <v xml:space="preserve"> </v>
      </c>
      <c r="I107" s="4" t="str">
        <f ca="1">IF(OR(INDEX($AG$2:$AG$1001,MATCH(ROWS($AF$2:AF107),$AF$2:$AF$1001,0),1)&gt;=100000,INDEX($AM$1005:$BM$1005,1,MATCH(COLUMNS($AM$1006:AT1006),$AM$1006:$BM$1006,0))&gt;=100000), " ",IF(INDEX($AM$2:$BM$1001,MATCH(ROWS($AF$2:AF107),$AF$2:$AF$1001,0),MATCH(COLUMNS($AM$1006:AT1006),$AM$1006:$BM$1006,0)), HYPERLINK("#",""), HYPERLINK(CONCATENATE("#metadata!", ADDRESS(INDEX($AH$2:$AH$1001,MATCH(ROWS($AF$2:AF107),$AF$2:$AF$1001,0),0), INDEX($AM$1004:$BM$1004,1,MATCH(COLUMNS($AM$1006:AT1006),$AM$1006:$BM$1006,0)))),"Fix")))</f>
        <v xml:space="preserve"> </v>
      </c>
      <c r="J107" s="4" t="str">
        <f ca="1">IF(OR(INDEX($AG$2:$AG$1001,MATCH(ROWS($AF$2:AF107),$AF$2:$AF$1001,0),1)&gt;=100000,INDEX($AM$1005:$BM$1005,1,MATCH(COLUMNS($AM$1006:AU1006),$AM$1006:$BM$1006,0))&gt;=100000), " ",IF(INDEX($AM$2:$BM$1001,MATCH(ROWS($AF$2:AF107),$AF$2:$AF$1001,0),MATCH(COLUMNS($AM$1006:AU1006),$AM$1006:$BM$1006,0)), HYPERLINK("#",""), HYPERLINK(CONCATENATE("#metadata!", ADDRESS(INDEX($AH$2:$AH$1001,MATCH(ROWS($AF$2:AF107),$AF$2:$AF$1001,0),0), INDEX($AM$1004:$BM$1004,1,MATCH(COLUMNS($AM$1006:AU1006),$AM$1006:$BM$1006,0)))),"Fix")))</f>
        <v xml:space="preserve"> </v>
      </c>
      <c r="K107" s="4" t="str">
        <f ca="1">IF(OR(INDEX($AG$2:$AG$1001,MATCH(ROWS($AF$2:AF107),$AF$2:$AF$1001,0),1)&gt;=100000,INDEX($AM$1005:$BM$1005,1,MATCH(COLUMNS($AM$1006:AV1006),$AM$1006:$BM$1006,0))&gt;=100000), " ",IF(INDEX($AM$2:$BM$1001,MATCH(ROWS($AF$2:AF107),$AF$2:$AF$1001,0),MATCH(COLUMNS($AM$1006:AV1006),$AM$1006:$BM$1006,0)), HYPERLINK("#",""), HYPERLINK(CONCATENATE("#metadata!", ADDRESS(INDEX($AH$2:$AH$1001,MATCH(ROWS($AF$2:AF107),$AF$2:$AF$1001,0),0), INDEX($AM$1004:$BM$1004,1,MATCH(COLUMNS($AM$1006:AV1006),$AM$1006:$BM$1006,0)))),"Fix")))</f>
        <v xml:space="preserve"> </v>
      </c>
      <c r="L107" s="4" t="str">
        <f ca="1">IF(OR(INDEX($AG$2:$AG$1001,MATCH(ROWS($AF$2:AF107),$AF$2:$AF$1001,0),1)&gt;=100000,INDEX($AM$1005:$BM$1005,1,MATCH(COLUMNS($AM$1006:AW1006),$AM$1006:$BM$1006,0))&gt;=100000), " ",IF(INDEX($AM$2:$BM$1001,MATCH(ROWS($AF$2:AF107),$AF$2:$AF$1001,0),MATCH(COLUMNS($AM$1006:AW1006),$AM$1006:$BM$1006,0)), HYPERLINK("#",""), HYPERLINK(CONCATENATE("#metadata!", ADDRESS(INDEX($AH$2:$AH$1001,MATCH(ROWS($AF$2:AF107),$AF$2:$AF$1001,0),0), INDEX($AM$1004:$BM$1004,1,MATCH(COLUMNS($AM$1006:AW1006),$AM$1006:$BM$1006,0)))),"Fix")))</f>
        <v xml:space="preserve"> </v>
      </c>
      <c r="M107" s="4" t="str">
        <f ca="1">IF(OR(INDEX($AG$2:$AG$1001,MATCH(ROWS($AF$2:AF107),$AF$2:$AF$1001,0),1)&gt;=100000,INDEX($AM$1005:$BM$1005,1,MATCH(COLUMNS($AM$1006:AX1006),$AM$1006:$BM$1006,0))&gt;=100000), " ",IF(INDEX($AM$2:$BM$1001,MATCH(ROWS($AF$2:AF107),$AF$2:$AF$1001,0),MATCH(COLUMNS($AM$1006:AX1006),$AM$1006:$BM$1006,0)), HYPERLINK("#",""), HYPERLINK(CONCATENATE("#metadata!", ADDRESS(INDEX($AH$2:$AH$1001,MATCH(ROWS($AF$2:AF107),$AF$2:$AF$1001,0),0), INDEX($AM$1004:$BM$1004,1,MATCH(COLUMNS($AM$1006:AX1006),$AM$1006:$BM$1006,0)))),"Fix")))</f>
        <v xml:space="preserve"> </v>
      </c>
      <c r="N107" s="4" t="str">
        <f ca="1">IF(OR(INDEX($AG$2:$AG$1001,MATCH(ROWS($AF$2:AF107),$AF$2:$AF$1001,0),1)&gt;=100000,INDEX($AM$1005:$BM$1005,1,MATCH(COLUMNS($AM$1006:AY1006),$AM$1006:$BM$1006,0))&gt;=100000), " ",IF(INDEX($AM$2:$BM$1001,MATCH(ROWS($AF$2:AF107),$AF$2:$AF$1001,0),MATCH(COLUMNS($AM$1006:AY1006),$AM$1006:$BM$1006,0)), HYPERLINK("#",""), HYPERLINK(CONCATENATE("#metadata!", ADDRESS(INDEX($AH$2:$AH$1001,MATCH(ROWS($AF$2:AF107),$AF$2:$AF$1001,0),0), INDEX($AM$1004:$BM$1004,1,MATCH(COLUMNS($AM$1006:AY1006),$AM$1006:$BM$1006,0)))),"Fix")))</f>
        <v xml:space="preserve"> </v>
      </c>
      <c r="O107" s="4" t="str">
        <f ca="1">IF(OR(INDEX($AG$2:$AG$1001,MATCH(ROWS($AF$2:AF107),$AF$2:$AF$1001,0),1)&gt;=100000,INDEX($AM$1005:$BM$1005,1,MATCH(COLUMNS($AM$1006:AZ1006),$AM$1006:$BM$1006,0))&gt;=100000), " ",IF(INDEX($AM$2:$BM$1001,MATCH(ROWS($AF$2:AF107),$AF$2:$AF$1001,0),MATCH(COLUMNS($AM$1006:AZ1006),$AM$1006:$BM$1006,0)), HYPERLINK("#",""), HYPERLINK(CONCATENATE("#metadata!", ADDRESS(INDEX($AH$2:$AH$1001,MATCH(ROWS($AF$2:AF107),$AF$2:$AF$1001,0),0), INDEX($AM$1004:$BM$1004,1,MATCH(COLUMNS($AM$1006:AZ1006),$AM$1006:$BM$1006,0)))),"Fix")))</f>
        <v xml:space="preserve"> </v>
      </c>
      <c r="P107" s="4" t="str">
        <f ca="1">IF(OR(INDEX($AG$2:$AG$1001,MATCH(ROWS($AF$2:AF107),$AF$2:$AF$1001,0),1)&gt;=100000,INDEX($AM$1005:$BM$1005,1,MATCH(COLUMNS($AM$1006:BA1006),$AM$1006:$BM$1006,0))&gt;=100000), " ",IF(INDEX($AM$2:$BM$1001,MATCH(ROWS($AF$2:AF107),$AF$2:$AF$1001,0),MATCH(COLUMNS($AM$1006:BA1006),$AM$1006:$BM$1006,0)), HYPERLINK("#",""), HYPERLINK(CONCATENATE("#metadata!", ADDRESS(INDEX($AH$2:$AH$1001,MATCH(ROWS($AF$2:AF107),$AF$2:$AF$1001,0),0), INDEX($AM$1004:$BM$1004,1,MATCH(COLUMNS($AM$1006:BA1006),$AM$1006:$BM$1006,0)))),"Fix")))</f>
        <v xml:space="preserve"> </v>
      </c>
      <c r="Q107" s="4" t="str">
        <f ca="1">IF(OR(INDEX($AG$2:$AG$1001,MATCH(ROWS($AF$2:AF107),$AF$2:$AF$1001,0),1)&gt;=100000,INDEX($AM$1005:$BM$1005,1,MATCH(COLUMNS($AM$1006:BB1006),$AM$1006:$BM$1006,0))&gt;=100000), " ",IF(INDEX($AM$2:$BM$1001,MATCH(ROWS($AF$2:AF107),$AF$2:$AF$1001,0),MATCH(COLUMNS($AM$1006:BB1006),$AM$1006:$BM$1006,0)), HYPERLINK("#",""), HYPERLINK(CONCATENATE("#metadata!", ADDRESS(INDEX($AH$2:$AH$1001,MATCH(ROWS($AF$2:AF107),$AF$2:$AF$1001,0),0), INDEX($AM$1004:$BM$1004,1,MATCH(COLUMNS($AM$1006:BB1006),$AM$1006:$BM$1006,0)))),"Fix")))</f>
        <v xml:space="preserve"> </v>
      </c>
      <c r="R107" s="4" t="str">
        <f ca="1">IF(OR(INDEX($AG$2:$AG$1001,MATCH(ROWS($AF$2:AF107),$AF$2:$AF$1001,0),1)&gt;=100000,INDEX($AM$1005:$BM$1005,1,MATCH(COLUMNS($AM$1006:BC1006),$AM$1006:$BM$1006,0))&gt;=100000), " ",IF(INDEX($AM$2:$BM$1001,MATCH(ROWS($AF$2:AF107),$AF$2:$AF$1001,0),MATCH(COLUMNS($AM$1006:BC1006),$AM$1006:$BM$1006,0)), HYPERLINK("#",""), HYPERLINK(CONCATENATE("#metadata!", ADDRESS(INDEX($AH$2:$AH$1001,MATCH(ROWS($AF$2:AF107),$AF$2:$AF$1001,0),0), INDEX($AM$1004:$BM$1004,1,MATCH(COLUMNS($AM$1006:BC1006),$AM$1006:$BM$1006,0)))),"Fix")))</f>
        <v xml:space="preserve"> </v>
      </c>
      <c r="S107" s="4" t="str">
        <f ca="1">IF(OR(INDEX($AG$2:$AG$1001,MATCH(ROWS($AF$2:AF107),$AF$2:$AF$1001,0),1)&gt;=100000,INDEX($AM$1005:$BM$1005,1,MATCH(COLUMNS($AM$1006:BD1006),$AM$1006:$BM$1006,0))&gt;=100000), " ",IF(INDEX($AM$2:$BM$1001,MATCH(ROWS($AF$2:AF107),$AF$2:$AF$1001,0),MATCH(COLUMNS($AM$1006:BD1006),$AM$1006:$BM$1006,0)), HYPERLINK("#",""), HYPERLINK(CONCATENATE("#metadata!", ADDRESS(INDEX($AH$2:$AH$1001,MATCH(ROWS($AF$2:AF107),$AF$2:$AF$1001,0),0), INDEX($AM$1004:$BM$1004,1,MATCH(COLUMNS($AM$1006:BD1006),$AM$1006:$BM$1006,0)))),"Fix")))</f>
        <v xml:space="preserve"> </v>
      </c>
      <c r="T107" s="4" t="str">
        <f ca="1">IF(OR(INDEX($AG$2:$AG$1001,MATCH(ROWS($AF$2:AF107),$AF$2:$AF$1001,0),1)&gt;=100000,INDEX($AM$1005:$BM$1005,1,MATCH(COLUMNS($AM$1006:BE1006),$AM$1006:$BM$1006,0))&gt;=100000), " ",IF(INDEX($AM$2:$BM$1001,MATCH(ROWS($AF$2:AF107),$AF$2:$AF$1001,0),MATCH(COLUMNS($AM$1006:BE1006),$AM$1006:$BM$1006,0)), HYPERLINK("#",""), HYPERLINK(CONCATENATE("#metadata!", ADDRESS(INDEX($AH$2:$AH$1001,MATCH(ROWS($AF$2:AF107),$AF$2:$AF$1001,0),0), INDEX($AM$1004:$BM$1004,1,MATCH(COLUMNS($AM$1006:BE1006),$AM$1006:$BM$1006,0)))),"Fix")))</f>
        <v xml:space="preserve"> </v>
      </c>
      <c r="U107" s="4" t="str">
        <f ca="1">IF(OR(INDEX($AG$2:$AG$1001,MATCH(ROWS($AF$2:AF107),$AF$2:$AF$1001,0),1)&gt;=100000,INDEX($AM$1005:$BM$1005,1,MATCH(COLUMNS($AM$1006:BF1006),$AM$1006:$BM$1006,0))&gt;=100000), " ",IF(INDEX($AM$2:$BM$1001,MATCH(ROWS($AF$2:AF107),$AF$2:$AF$1001,0),MATCH(COLUMNS($AM$1006:BF1006),$AM$1006:$BM$1006,0)), HYPERLINK("#",""), HYPERLINK(CONCATENATE("#metadata!", ADDRESS(INDEX($AH$2:$AH$1001,MATCH(ROWS($AF$2:AF107),$AF$2:$AF$1001,0),0), INDEX($AM$1004:$BM$1004,1,MATCH(COLUMNS($AM$1006:BF1006),$AM$1006:$BM$1006,0)))),"Fix")))</f>
        <v xml:space="preserve"> </v>
      </c>
      <c r="V107" s="4" t="str">
        <f ca="1">IF(OR(INDEX($AG$2:$AG$1001,MATCH(ROWS($AF$2:AF107),$AF$2:$AF$1001,0),1)&gt;=100000,INDEX($AM$1005:$BM$1005,1,MATCH(COLUMNS($AM$1006:BG1006),$AM$1006:$BM$1006,0))&gt;=100000), " ",IF(INDEX($AM$2:$BM$1001,MATCH(ROWS($AF$2:AF107),$AF$2:$AF$1001,0),MATCH(COLUMNS($AM$1006:BG1006),$AM$1006:$BM$1006,0)), HYPERLINK("#",""), HYPERLINK(CONCATENATE("#metadata!", ADDRESS(INDEX($AH$2:$AH$1001,MATCH(ROWS($AF$2:AF107),$AF$2:$AF$1001,0),0), INDEX($AM$1004:$BM$1004,1,MATCH(COLUMNS($AM$1006:BG1006),$AM$1006:$BM$1006,0)))),"Fix")))</f>
        <v xml:space="preserve"> </v>
      </c>
      <c r="W107" s="4" t="str">
        <f ca="1">IF(OR(INDEX($AG$2:$AG$1001,MATCH(ROWS($AF$2:AF107),$AF$2:$AF$1001,0),1)&gt;=100000,INDEX($AM$1005:$BM$1005,1,MATCH(COLUMNS($AM$1006:BH1006),$AM$1006:$BM$1006,0))&gt;=100000), " ",IF(INDEX($AM$2:$BM$1001,MATCH(ROWS($AF$2:AF107),$AF$2:$AF$1001,0),MATCH(COLUMNS($AM$1006:BH1006),$AM$1006:$BM$1006,0)), HYPERLINK("#",""), HYPERLINK(CONCATENATE("#metadata!", ADDRESS(INDEX($AH$2:$AH$1001,MATCH(ROWS($AF$2:AF107),$AF$2:$AF$1001,0),0), INDEX($AM$1004:$BM$1004,1,MATCH(COLUMNS($AM$1006:BH1006),$AM$1006:$BM$1006,0)))),"Fix")))</f>
        <v xml:space="preserve"> </v>
      </c>
      <c r="X107" s="4" t="str">
        <f ca="1">IF(OR(INDEX($AG$2:$AG$1001,MATCH(ROWS($AF$2:AF107),$AF$2:$AF$1001,0),1)&gt;=100000,INDEX($AM$1005:$BM$1005,1,MATCH(COLUMNS($AM$1006:BI1006),$AM$1006:$BM$1006,0))&gt;=100000), " ",IF(INDEX($AM$2:$BM$1001,MATCH(ROWS($AF$2:AF107),$AF$2:$AF$1001,0),MATCH(COLUMNS($AM$1006:BI1006),$AM$1006:$BM$1006,0)), HYPERLINK("#",""), HYPERLINK(CONCATENATE("#metadata!", ADDRESS(INDEX($AH$2:$AH$1001,MATCH(ROWS($AF$2:AF107),$AF$2:$AF$1001,0),0), INDEX($AM$1004:$BM$1004,1,MATCH(COLUMNS($AM$1006:BI1006),$AM$1006:$BM$1006,0)))),"Fix")))</f>
        <v xml:space="preserve"> </v>
      </c>
      <c r="Y107" s="4" t="str">
        <f ca="1">IF(OR(INDEX($AG$2:$AG$1001,MATCH(ROWS($AF$2:AF107),$AF$2:$AF$1001,0),1)&gt;=100000,INDEX($AM$1005:$BM$1005,1,MATCH(COLUMNS($AM$1006:BJ1006),$AM$1006:$BM$1006,0))&gt;=100000), " ",IF(INDEX($AM$2:$BM$1001,MATCH(ROWS($AF$2:AF107),$AF$2:$AF$1001,0),MATCH(COLUMNS($AM$1006:BJ1006),$AM$1006:$BM$1006,0)), HYPERLINK("#",""), HYPERLINK(CONCATENATE("#metadata!", ADDRESS(INDEX($AH$2:$AH$1001,MATCH(ROWS($AF$2:AF107),$AF$2:$AF$1001,0),0), INDEX($AM$1004:$BM$1004,1,MATCH(COLUMNS($AM$1006:BJ1006),$AM$1006:$BM$1006,0)))),"Fix")))</f>
        <v xml:space="preserve"> </v>
      </c>
      <c r="Z107" s="4" t="str">
        <f ca="1">IF(OR(INDEX($AG$2:$AG$1001,MATCH(ROWS($AF$2:AF107),$AF$2:$AF$1001,0),1)&gt;=100000,INDEX($AM$1005:$BM$1005,1,MATCH(COLUMNS($AM$1006:BK1006),$AM$1006:$BM$1006,0))&gt;=100000), " ",IF(INDEX($AM$2:$BM$1001,MATCH(ROWS($AF$2:AF107),$AF$2:$AF$1001,0),MATCH(COLUMNS($AM$1006:BK1006),$AM$1006:$BM$1006,0)), HYPERLINK("#",""), HYPERLINK(CONCATENATE("#metadata!", ADDRESS(INDEX($AH$2:$AH$1001,MATCH(ROWS($AF$2:AF107),$AF$2:$AF$1001,0),0), INDEX($AM$1004:$BM$1004,1,MATCH(COLUMNS($AM$1006:BK1006),$AM$1006:$BM$1006,0)))),"Fix")))</f>
        <v xml:space="preserve"> </v>
      </c>
      <c r="AA107" s="4" t="str">
        <f ca="1">IF(OR(INDEX($AG$2:$AG$1001,MATCH(ROWS($AF$2:AF107),$AF$2:$AF$1001,0),1)&gt;=100000,INDEX($AM$1005:$BM$1005,1,MATCH(COLUMNS($AM$1006:BL1006),$AM$1006:$BM$1006,0))&gt;=100000), " ",IF(INDEX($AM$2:$BM$1001,MATCH(ROWS($AF$2:AF107),$AF$2:$AF$1001,0),MATCH(COLUMNS($AM$1006:BL1006),$AM$1006:$BM$1006,0)), HYPERLINK("#",""), HYPERLINK(CONCATENATE("#metadata!", ADDRESS(INDEX($AH$2:$AH$1001,MATCH(ROWS($AF$2:AF107),$AF$2:$AF$1001,0),0), INDEX($AM$1004:$BM$1004,1,MATCH(COLUMNS($AM$1006:BL1006),$AM$1006:$BM$1006,0)))),"Fix")))</f>
        <v xml:space="preserve"> </v>
      </c>
      <c r="AB107" s="4" t="str">
        <f ca="1">IF(OR(INDEX($AG$2:$AG$1001,MATCH(ROWS($AF$2:AF107),$AF$2:$AF$1001,0),1)&gt;=100000,INDEX($AM$1005:$BM$1005,1,MATCH(COLUMNS($AM$1006:BM1006),$AM$1006:$BM$1006,0))&gt;=100000), " ",IF(INDEX($AM$2:$BM$1001,MATCH(ROWS($AF$2:AF107),$AF$2:$AF$1001,0),MATCH(COLUMNS($AM$1006:BM1006),$AM$1006:$BM$1006,0)), HYPERLINK("#",""), HYPERLINK(CONCATENATE("#metadata!", ADDRESS(INDEX($AH$2:$AH$1001,MATCH(ROWS($AF$2:AF107),$AF$2:$AF$1001,0),0), INDEX($AM$1004:$BM$1004,1,MATCH(COLUMNS($AM$1006:BM1006),$AM$1006:$BM$1006,0)))),"Fix")))</f>
        <v xml:space="preserve"> </v>
      </c>
      <c r="AF107">
        <v>106</v>
      </c>
      <c r="AG107">
        <v>100107</v>
      </c>
      <c r="AH107">
        <v>107</v>
      </c>
      <c r="AI107" t="b">
        <f t="shared" si="1"/>
        <v>1</v>
      </c>
      <c r="AJ107" t="b">
        <f>COUNTBLANK(metadata!B107:AB107)=COLUMNS(metadata!B107:AB107)</f>
        <v>1</v>
      </c>
      <c r="AK107" t="str">
        <v/>
      </c>
      <c r="AM107" t="b">
        <f ca="1">AND(IF(metadata!B107="",FALSE,TRUE),COUNTIF(metadata!B:B, metadata!B107) = 1,NOT(ISERROR(SUMPRODUCT(SEARCH(MID(metadata!B107,ROW(INDIRECT("1:"&amp;LEN(metadata!B107))), 1),"0123456789abcdefghijklmnopqrstuvwxyzABCDEFGHIJKLMNOPQRSTUVWXYZ.")))))</f>
        <v>0</v>
      </c>
      <c r="AN107" t="b">
        <f ca="1">OR(AND(IF(metadata!C107="",FALSE,TRUE),OR(EXACT(metadata!C107,"missing: not collected"),EXACT(metadata!C107,"missing: not provided"),EXACT(metadata!C107,"missing: restricted access"))),AND(IF(metadata!C107="",FALSE,TRUE),AND(AND(IFERROR(INT(LEFT(metadata!C107,4))&gt;1900,FALSE),IFERROR(INT(LEFT(metadata!C107,4))&lt;=YEAR(NOW()),FALSE)), OR(MID(metadata!C107,5,1)="", AND(AND(MID(metadata!C107,5,1)="-",IFERROR(INT(MID(metadata!C107,6,1))&gt;=0,FALSE),IFERROR(INT(MID(metadata!C107,6,1))&lt;=1,FALSE),NOT(MID(metadata!C107,7,1)=""),IFERROR(INT(MID(metadata!C107,6,2))&gt;=1,FALSE),IFERROR(INT(MID(metadata!C107,6,2))&lt;=12,FALSE)), OR(MID(metadata!C107,8,1)="", AND(AND(MID(metadata!C107,8,1)="-",IFERROR(INT(MID(metadata!C107,9,1))&gt;=0,FALSE),IFERROR(INT(MID(metadata!C107,9,1))&lt;=3,FALSE),NOT(MID(metadata!C107,10,1)=""),IFERROR(INT(MID(metadata!C107,9,2))&gt;=1,FALSE),IFERROR(INT(MID(metadata!C107,9,2))&lt;=31,FALSE)), OR(MID(metadata!C107,11,1)="", AND(AND(MID(metadata!C107,11,1)=" ",IFERROR(INT(MID(metadata!C107,12,1))&gt;=0,FALSE),IFERROR(INT(MID(metadata!C107,12,1))&lt;=2,FALSE),NOT(MID(metadata!C107,13,1)=""),IFERROR(INT(MID(metadata!C107,12,2))&gt;=0,FALSE),IFERROR(INT(MID(metadata!C107,12,2))&lt;=23,FALSE)), OR(MID(metadata!C107,14,1)="", AND(AND(MID(metadata!C107,14,1)=":",IFERROR(INT(MID(metadata!C107,15,1))&gt;=0,FALSE),IFERROR(INT(MID(metadata!C107,15,1))&lt;=5,FALSE),NOT(MID(metadata!C107,16,1)=""),IFERROR(INT(MID(metadata!C107,15,2))&gt;=0,FALSE),IFERROR(INT(MID(metadata!C107,15,2))&lt;=59,FALSE)), OR(MID(metadata!C107,17,1)="", AND(AND(MID(metadata!C107,17,1)=":",IFERROR(INT(MID(metadata!C107,18,1))&gt;=0,FALSE),IFERROR(INT(MID(metadata!C107,18,1))&lt;=5,FALSE),NOT(MID(metadata!C107,19,1)=""),IFERROR(INT(MID(metadata!C107,18,2))&gt;=0,FALSE),IFERROR(INT(MID(metadata!C107,18,2))&lt;=59,FALSE)), LEN(metadata!C107)&lt;=19)))))))))))))</f>
        <v>0</v>
      </c>
      <c r="AO107" t="b">
        <f>AND(IF(metadata!D107="",FALSE,TRUE),EXACT(metadata!D107,"Not applicable"))</f>
        <v>0</v>
      </c>
      <c r="AP107" t="b">
        <f>IF(metadata!E107="",FALSE,TRUE)</f>
        <v>0</v>
      </c>
      <c r="AQ107" t="b">
        <f>OR(AND(IF(metadata!F107="",FALSE,TRUE),OR(EXACT(metadata!F107,"missing: not collected"),EXACT(metadata!F107,"missing: not provided"))),AND(IF(metadata!F107="",FALSE,TRUE),OR(EXACT(metadata!F107,"TRUE"),EXACT(metadata!F107,"FALSE"))))</f>
        <v>0</v>
      </c>
      <c r="AR107" t="b">
        <f>OR(AND(IF(metadata!G107="",FALSE,TRUE),OR(EXACT(metadata!G107,"missing: not collected"),EXACT(metadata!G107,"missing: not provided"),EXACT(metadata!G107,"missing: restricted access"))),AND(IF(metadata!G107="",FALSE,ISNUMBER(VALUE(metadata!G107))),metadata!G107&gt;=-413))</f>
        <v>0</v>
      </c>
      <c r="AS107" t="b">
        <f>AND(IF(metadata!H107="",FALSE,TRUE),EXACT(metadata!H107,"meters"))</f>
        <v>0</v>
      </c>
      <c r="AT107" t="b">
        <f>AND(IF(metadata!I107="",FALSE,TRUE),OR(EXACT(metadata!I107,"Host-associated"),EXACT(metadata!I107,"Free-living")))</f>
        <v>0</v>
      </c>
      <c r="AU107" t="b">
        <f>AND(IF(metadata!J107="",FALSE,TRUE),OR(EXACT(metadata!J107,"Animal"),EXACT(metadata!J107,"Fungus"),EXACT(metadata!J107,"Plant"),EXACT(metadata!J107,"Saline"),EXACT(metadata!J107,"Non-saline")))</f>
        <v>0</v>
      </c>
      <c r="AV107" t="b">
        <f>AND(IF(metadata!K107="",FALSE,TRUE),OR(EXACT(metadata!K107,"Plant secretion"),EXACT(metadata!K107,"Plant rhizosphere"),EXACT(metadata!K107,"Plant surface"),EXACT(metadata!K107,"Plant corpus"),EXACT(metadata!K107,"Fungus surface"),EXACT(metadata!K107,"Fungus corpus"),EXACT(metadata!K107,"Animal surface"),EXACT(metadata!K107,"Animal proximal gut"),EXACT(metadata!K107,"Animal corpus"),EXACT(metadata!K107,"Animal distal gut"),EXACT(metadata!K107,"Animal secretion"),EXACT(metadata!K107,"Sub-surface (non-saline)"),EXACT(metadata!K107,"Surface (non-saline)"),EXACT(metadata!K107,"Water (non-saline)"),EXACT(metadata!K107,"Soil (non-saline)"),EXACT(metadata!K107,"Aerosol (non-saline)"),EXACT(metadata!K107,"Sediment (non-saline)"),EXACT(metadata!K107,"Surface (saline)"),EXACT(metadata!K107,"Water (saline)"),EXACT(metadata!K107,"Hypersaline (saline)"),EXACT(metadata!K107,"Aerosol (saline)"),EXACT(metadata!K107,"Sediment (saline)")))</f>
        <v>0</v>
      </c>
      <c r="AW107" t="b">
        <f>IF(metadata!L107="",FALSE,TRUE)</f>
        <v>0</v>
      </c>
      <c r="AX107" t="b">
        <f>IF(metadata!M107="",FALSE,TRUE)</f>
        <v>0</v>
      </c>
      <c r="AY107" t="b">
        <f>IF(metadata!N107="",FALSE,TRUE)</f>
        <v>0</v>
      </c>
      <c r="AZ107" t="b">
        <f>OR(AND(IF(metadata!O107="",FALSE,TRUE),OR(EXACT(metadata!O107,"missing: not collected"),EXACT(metadata!O107,"missing: not provided"),EXACT(metadata!O107,"missing: restricted access"))),AND(IF(metadata!O107="",FALSE,TRUE),OR(EXACT(metadata!O107,"air"),EXACT(metadata!O107,"built environment"),EXACT(metadata!O107,"host-associated"),EXACT(metadata!O107,"human-associated"),EXACT(metadata!O107,"human-skin"),EXACT(metadata!O107,"human-oral"),EXACT(metadata!O107,"human-gut"),EXACT(metadata!O107,"human-vaginal"),EXACT(metadata!O107,"microbial mat/biofilm"),EXACT(metadata!O107,"misc environment"),EXACT(metadata!O107,"plant-associated"),EXACT(metadata!O107,"sediment"),EXACT(metadata!O107,"soil"),EXACT(metadata!O107,"wastewater/sludge"),EXACT(metadata!O107,"water"))))</f>
        <v>0</v>
      </c>
      <c r="BA107" t="b">
        <f>IF(metadata!P107="",FALSE,TRUE)</f>
        <v>0</v>
      </c>
      <c r="BB107" t="b">
        <f>IF(metadata!Q107="",FALSE,TRUE)</f>
        <v>0</v>
      </c>
      <c r="BC107" t="b">
        <f>OR(AND(IF(metadata!R107="",FALSE,TRUE),OR(EXACT(metadata!R107,"missing: not collected"),EXACT(metadata!R107,"missing: not provided"),EXACT(metadata!R107,"missing: restricted access"))),AND(IF(metadata!R107="",FALSE,ISNUMBER(VALUE(metadata!R107))),metadata!R107&gt;=-90,metadata!R107&lt;=90))</f>
        <v>0</v>
      </c>
      <c r="BD107" t="b">
        <f>AND(IF(metadata!S107="",FALSE,TRUE),EXACT(metadata!S107,"Decimal degrees"))</f>
        <v>0</v>
      </c>
      <c r="BE107" t="b">
        <f>OR(AND(IF(metadata!T107="",FALSE,TRUE),OR(EXACT(metadata!T107,"missing: not collected"),EXACT(metadata!T107,"missing: not provided"),EXACT(metadata!T107,"missing: restricted access"))),AND(IF(metadata!T107="",FALSE,ISNUMBER(VALUE(metadata!T107))),metadata!T107&gt;=-180,metadata!T107&lt;=180))</f>
        <v>0</v>
      </c>
      <c r="BF107" t="b">
        <f>AND(IF(metadata!U107="",FALSE,TRUE),EXACT(metadata!U107,"Decimal degrees"))</f>
        <v>0</v>
      </c>
      <c r="BG107" t="b">
        <f>IF(metadata!V107="",FALSE,TRUE)</f>
        <v>0</v>
      </c>
      <c r="BH107" t="b">
        <f>OR(AND(IF(metadata!W107="",FALSE,TRUE),OR(EXACT(metadata!W107,"missing: not collected"),EXACT(metadata!W107,"missing: not provided"),EXACT(metadata!W107,"missing: restricted access"))),AND(IF(metadata!W107="",FALSE,TRUE),OR(EXACT(metadata!W107,"TRUE"),EXACT(metadata!W107,"FALSE"))))</f>
        <v>0</v>
      </c>
      <c r="BI107" t="b">
        <f>AND(IF(metadata!X107="",FALSE,TRUE),EXACT(metadata!X107,"other"))</f>
        <v>0</v>
      </c>
      <c r="BJ107" t="b">
        <f>IF(metadata!Y107="",FALSE,TRUE)</f>
        <v>0</v>
      </c>
      <c r="BK107" t="b">
        <f>OR(AND(IF(metadata!Z107="",FALSE,TRUE),OR(EXACT(metadata!Z107,"missing: not collected"),EXACT(metadata!Z107,"missing: not provided"))),AND(IF(metadata!Z107="",FALSE,IF(ISERROR(INT(metadata!Z107)),FALSE,INT(metadata!Z107)=metadata!Z107)),metadata!Z107&gt;0))</f>
        <v>0</v>
      </c>
      <c r="BL107" t="b">
        <f>AND(IF(metadata!AA107="",FALSE,TRUE),EXACT(metadata!AA107,"Not applicable"))</f>
        <v>0</v>
      </c>
      <c r="BM107" t="b">
        <f>IF(metadata!AB107="",FALSE,TRUE)</f>
        <v>0</v>
      </c>
    </row>
    <row r="108" spans="1:65" x14ac:dyDescent="0.2">
      <c r="A108" s="5" t="str">
        <f ca="1">IF(B108=" "," ",HYPERLINK(CONCATENATE("#metadata!",ADDRESS(INDEX($AH$2:$AH$1001,MATCH(ROWS($AF$2:AF108),$AF$2:$AF$1001,0),0),1)),INDEX($AK$2:$AK$1001,MATCH(ROWS($AF$2:AF108),$AF$2:$AF$1001,0),0)))</f>
        <v xml:space="preserve"> </v>
      </c>
      <c r="B108" s="4" t="str">
        <f ca="1">IF(OR(INDEX($AG$2:$AG$1001,MATCH(ROWS($AF$2:AF108),$AF$2:$AF$1001,0),1)&gt;=100000,INDEX($AM$1005:$BM$1005,1,MATCH(COLUMNS($AM$1006:AM1006),$AM$1006:$BM$1006,0))&gt;=100000), " ",IF(INDEX($AM$2:$BM$1001,MATCH(ROWS($AF$2:AF108),$AF$2:$AF$1001,0),MATCH(COLUMNS($AM$1006:AM1006),$AM$1006:$BM$1006,0)), HYPERLINK("#",""), HYPERLINK(CONCATENATE("#metadata!", ADDRESS(INDEX($AH$2:$AH$1001,MATCH(ROWS($AF$2:AF108),$AF$2:$AF$1001,0),0), INDEX($AM$1004:$BM$1004,1,MATCH(COLUMNS($AM$1006:AM1006),$AM$1006:$BM$1006,0)))),"Fix")))</f>
        <v xml:space="preserve"> </v>
      </c>
      <c r="C108" s="4" t="str">
        <f ca="1">IF(OR(INDEX($AG$2:$AG$1001,MATCH(ROWS($AF$2:AF108),$AF$2:$AF$1001,0),1)&gt;=100000,INDEX($AM$1005:$BM$1005,1,MATCH(COLUMNS($AM$1006:AN1006),$AM$1006:$BM$1006,0))&gt;=100000), " ",IF(INDEX($AM$2:$BM$1001,MATCH(ROWS($AF$2:AF108),$AF$2:$AF$1001,0),MATCH(COLUMNS($AM$1006:AN1006),$AM$1006:$BM$1006,0)), HYPERLINK("#",""), HYPERLINK(CONCATENATE("#metadata!", ADDRESS(INDEX($AH$2:$AH$1001,MATCH(ROWS($AF$2:AF108),$AF$2:$AF$1001,0),0), INDEX($AM$1004:$BM$1004,1,MATCH(COLUMNS($AM$1006:AN1006),$AM$1006:$BM$1006,0)))),"Fix")))</f>
        <v xml:space="preserve"> </v>
      </c>
      <c r="D108" s="4" t="str">
        <f ca="1">IF(OR(INDEX($AG$2:$AG$1001,MATCH(ROWS($AF$2:AF108),$AF$2:$AF$1001,0),1)&gt;=100000,INDEX($AM$1005:$BM$1005,1,MATCH(COLUMNS($AM$1006:AO1006),$AM$1006:$BM$1006,0))&gt;=100000), " ",IF(INDEX($AM$2:$BM$1001,MATCH(ROWS($AF$2:AF108),$AF$2:$AF$1001,0),MATCH(COLUMNS($AM$1006:AO1006),$AM$1006:$BM$1006,0)), HYPERLINK("#",""), HYPERLINK(CONCATENATE("#metadata!", ADDRESS(INDEX($AH$2:$AH$1001,MATCH(ROWS($AF$2:AF108),$AF$2:$AF$1001,0),0), INDEX($AM$1004:$BM$1004,1,MATCH(COLUMNS($AM$1006:AO1006),$AM$1006:$BM$1006,0)))),"Fix")))</f>
        <v xml:space="preserve"> </v>
      </c>
      <c r="E108" s="4" t="str">
        <f ca="1">IF(OR(INDEX($AG$2:$AG$1001,MATCH(ROWS($AF$2:AF108),$AF$2:$AF$1001,0),1)&gt;=100000,INDEX($AM$1005:$BM$1005,1,MATCH(COLUMNS($AM$1006:AP1006),$AM$1006:$BM$1006,0))&gt;=100000), " ",IF(INDEX($AM$2:$BM$1001,MATCH(ROWS($AF$2:AF108),$AF$2:$AF$1001,0),MATCH(COLUMNS($AM$1006:AP1006),$AM$1006:$BM$1006,0)), HYPERLINK("#",""), HYPERLINK(CONCATENATE("#metadata!", ADDRESS(INDEX($AH$2:$AH$1001,MATCH(ROWS($AF$2:AF108),$AF$2:$AF$1001,0),0), INDEX($AM$1004:$BM$1004,1,MATCH(COLUMNS($AM$1006:AP1006),$AM$1006:$BM$1006,0)))),"Fix")))</f>
        <v xml:space="preserve"> </v>
      </c>
      <c r="F108" s="4" t="str">
        <f ca="1">IF(OR(INDEX($AG$2:$AG$1001,MATCH(ROWS($AF$2:AF108),$AF$2:$AF$1001,0),1)&gt;=100000,INDEX($AM$1005:$BM$1005,1,MATCH(COLUMNS($AM$1006:AQ1006),$AM$1006:$BM$1006,0))&gt;=100000), " ",IF(INDEX($AM$2:$BM$1001,MATCH(ROWS($AF$2:AF108),$AF$2:$AF$1001,0),MATCH(COLUMNS($AM$1006:AQ1006),$AM$1006:$BM$1006,0)), HYPERLINK("#",""), HYPERLINK(CONCATENATE("#metadata!", ADDRESS(INDEX($AH$2:$AH$1001,MATCH(ROWS($AF$2:AF108),$AF$2:$AF$1001,0),0), INDEX($AM$1004:$BM$1004,1,MATCH(COLUMNS($AM$1006:AQ1006),$AM$1006:$BM$1006,0)))),"Fix")))</f>
        <v xml:space="preserve"> </v>
      </c>
      <c r="G108" s="4" t="str">
        <f ca="1">IF(OR(INDEX($AG$2:$AG$1001,MATCH(ROWS($AF$2:AF108),$AF$2:$AF$1001,0),1)&gt;=100000,INDEX($AM$1005:$BM$1005,1,MATCH(COLUMNS($AM$1006:AR1006),$AM$1006:$BM$1006,0))&gt;=100000), " ",IF(INDEX($AM$2:$BM$1001,MATCH(ROWS($AF$2:AF108),$AF$2:$AF$1001,0),MATCH(COLUMNS($AM$1006:AR1006),$AM$1006:$BM$1006,0)), HYPERLINK("#",""), HYPERLINK(CONCATENATE("#metadata!", ADDRESS(INDEX($AH$2:$AH$1001,MATCH(ROWS($AF$2:AF108),$AF$2:$AF$1001,0),0), INDEX($AM$1004:$BM$1004,1,MATCH(COLUMNS($AM$1006:AR1006),$AM$1006:$BM$1006,0)))),"Fix")))</f>
        <v xml:space="preserve"> </v>
      </c>
      <c r="H108" s="4" t="str">
        <f ca="1">IF(OR(INDEX($AG$2:$AG$1001,MATCH(ROWS($AF$2:AF108),$AF$2:$AF$1001,0),1)&gt;=100000,INDEX($AM$1005:$BM$1005,1,MATCH(COLUMNS($AM$1006:AS1006),$AM$1006:$BM$1006,0))&gt;=100000), " ",IF(INDEX($AM$2:$BM$1001,MATCH(ROWS($AF$2:AF108),$AF$2:$AF$1001,0),MATCH(COLUMNS($AM$1006:AS1006),$AM$1006:$BM$1006,0)), HYPERLINK("#",""), HYPERLINK(CONCATENATE("#metadata!", ADDRESS(INDEX($AH$2:$AH$1001,MATCH(ROWS($AF$2:AF108),$AF$2:$AF$1001,0),0), INDEX($AM$1004:$BM$1004,1,MATCH(COLUMNS($AM$1006:AS1006),$AM$1006:$BM$1006,0)))),"Fix")))</f>
        <v xml:space="preserve"> </v>
      </c>
      <c r="I108" s="4" t="str">
        <f ca="1">IF(OR(INDEX($AG$2:$AG$1001,MATCH(ROWS($AF$2:AF108),$AF$2:$AF$1001,0),1)&gt;=100000,INDEX($AM$1005:$BM$1005,1,MATCH(COLUMNS($AM$1006:AT1006),$AM$1006:$BM$1006,0))&gt;=100000), " ",IF(INDEX($AM$2:$BM$1001,MATCH(ROWS($AF$2:AF108),$AF$2:$AF$1001,0),MATCH(COLUMNS($AM$1006:AT1006),$AM$1006:$BM$1006,0)), HYPERLINK("#",""), HYPERLINK(CONCATENATE("#metadata!", ADDRESS(INDEX($AH$2:$AH$1001,MATCH(ROWS($AF$2:AF108),$AF$2:$AF$1001,0),0), INDEX($AM$1004:$BM$1004,1,MATCH(COLUMNS($AM$1006:AT1006),$AM$1006:$BM$1006,0)))),"Fix")))</f>
        <v xml:space="preserve"> </v>
      </c>
      <c r="J108" s="4" t="str">
        <f ca="1">IF(OR(INDEX($AG$2:$AG$1001,MATCH(ROWS($AF$2:AF108),$AF$2:$AF$1001,0),1)&gt;=100000,INDEX($AM$1005:$BM$1005,1,MATCH(COLUMNS($AM$1006:AU1006),$AM$1006:$BM$1006,0))&gt;=100000), " ",IF(INDEX($AM$2:$BM$1001,MATCH(ROWS($AF$2:AF108),$AF$2:$AF$1001,0),MATCH(COLUMNS($AM$1006:AU1006),$AM$1006:$BM$1006,0)), HYPERLINK("#",""), HYPERLINK(CONCATENATE("#metadata!", ADDRESS(INDEX($AH$2:$AH$1001,MATCH(ROWS($AF$2:AF108),$AF$2:$AF$1001,0),0), INDEX($AM$1004:$BM$1004,1,MATCH(COLUMNS($AM$1006:AU1006),$AM$1006:$BM$1006,0)))),"Fix")))</f>
        <v xml:space="preserve"> </v>
      </c>
      <c r="K108" s="4" t="str">
        <f ca="1">IF(OR(INDEX($AG$2:$AG$1001,MATCH(ROWS($AF$2:AF108),$AF$2:$AF$1001,0),1)&gt;=100000,INDEX($AM$1005:$BM$1005,1,MATCH(COLUMNS($AM$1006:AV1006),$AM$1006:$BM$1006,0))&gt;=100000), " ",IF(INDEX($AM$2:$BM$1001,MATCH(ROWS($AF$2:AF108),$AF$2:$AF$1001,0),MATCH(COLUMNS($AM$1006:AV1006),$AM$1006:$BM$1006,0)), HYPERLINK("#",""), HYPERLINK(CONCATENATE("#metadata!", ADDRESS(INDEX($AH$2:$AH$1001,MATCH(ROWS($AF$2:AF108),$AF$2:$AF$1001,0),0), INDEX($AM$1004:$BM$1004,1,MATCH(COLUMNS($AM$1006:AV1006),$AM$1006:$BM$1006,0)))),"Fix")))</f>
        <v xml:space="preserve"> </v>
      </c>
      <c r="L108" s="4" t="str">
        <f ca="1">IF(OR(INDEX($AG$2:$AG$1001,MATCH(ROWS($AF$2:AF108),$AF$2:$AF$1001,0),1)&gt;=100000,INDEX($AM$1005:$BM$1005,1,MATCH(COLUMNS($AM$1006:AW1006),$AM$1006:$BM$1006,0))&gt;=100000), " ",IF(INDEX($AM$2:$BM$1001,MATCH(ROWS($AF$2:AF108),$AF$2:$AF$1001,0),MATCH(COLUMNS($AM$1006:AW1006),$AM$1006:$BM$1006,0)), HYPERLINK("#",""), HYPERLINK(CONCATENATE("#metadata!", ADDRESS(INDEX($AH$2:$AH$1001,MATCH(ROWS($AF$2:AF108),$AF$2:$AF$1001,0),0), INDEX($AM$1004:$BM$1004,1,MATCH(COLUMNS($AM$1006:AW1006),$AM$1006:$BM$1006,0)))),"Fix")))</f>
        <v xml:space="preserve"> </v>
      </c>
      <c r="M108" s="4" t="str">
        <f ca="1">IF(OR(INDEX($AG$2:$AG$1001,MATCH(ROWS($AF$2:AF108),$AF$2:$AF$1001,0),1)&gt;=100000,INDEX($AM$1005:$BM$1005,1,MATCH(COLUMNS($AM$1006:AX1006),$AM$1006:$BM$1006,0))&gt;=100000), " ",IF(INDEX($AM$2:$BM$1001,MATCH(ROWS($AF$2:AF108),$AF$2:$AF$1001,0),MATCH(COLUMNS($AM$1006:AX1006),$AM$1006:$BM$1006,0)), HYPERLINK("#",""), HYPERLINK(CONCATENATE("#metadata!", ADDRESS(INDEX($AH$2:$AH$1001,MATCH(ROWS($AF$2:AF108),$AF$2:$AF$1001,0),0), INDEX($AM$1004:$BM$1004,1,MATCH(COLUMNS($AM$1006:AX1006),$AM$1006:$BM$1006,0)))),"Fix")))</f>
        <v xml:space="preserve"> </v>
      </c>
      <c r="N108" s="4" t="str">
        <f ca="1">IF(OR(INDEX($AG$2:$AG$1001,MATCH(ROWS($AF$2:AF108),$AF$2:$AF$1001,0),1)&gt;=100000,INDEX($AM$1005:$BM$1005,1,MATCH(COLUMNS($AM$1006:AY1006),$AM$1006:$BM$1006,0))&gt;=100000), " ",IF(INDEX($AM$2:$BM$1001,MATCH(ROWS($AF$2:AF108),$AF$2:$AF$1001,0),MATCH(COLUMNS($AM$1006:AY1006),$AM$1006:$BM$1006,0)), HYPERLINK("#",""), HYPERLINK(CONCATENATE("#metadata!", ADDRESS(INDEX($AH$2:$AH$1001,MATCH(ROWS($AF$2:AF108),$AF$2:$AF$1001,0),0), INDEX($AM$1004:$BM$1004,1,MATCH(COLUMNS($AM$1006:AY1006),$AM$1006:$BM$1006,0)))),"Fix")))</f>
        <v xml:space="preserve"> </v>
      </c>
      <c r="O108" s="4" t="str">
        <f ca="1">IF(OR(INDEX($AG$2:$AG$1001,MATCH(ROWS($AF$2:AF108),$AF$2:$AF$1001,0),1)&gt;=100000,INDEX($AM$1005:$BM$1005,1,MATCH(COLUMNS($AM$1006:AZ1006),$AM$1006:$BM$1006,0))&gt;=100000), " ",IF(INDEX($AM$2:$BM$1001,MATCH(ROWS($AF$2:AF108),$AF$2:$AF$1001,0),MATCH(COLUMNS($AM$1006:AZ1006),$AM$1006:$BM$1006,0)), HYPERLINK("#",""), HYPERLINK(CONCATENATE("#metadata!", ADDRESS(INDEX($AH$2:$AH$1001,MATCH(ROWS($AF$2:AF108),$AF$2:$AF$1001,0),0), INDEX($AM$1004:$BM$1004,1,MATCH(COLUMNS($AM$1006:AZ1006),$AM$1006:$BM$1006,0)))),"Fix")))</f>
        <v xml:space="preserve"> </v>
      </c>
      <c r="P108" s="4" t="str">
        <f ca="1">IF(OR(INDEX($AG$2:$AG$1001,MATCH(ROWS($AF$2:AF108),$AF$2:$AF$1001,0),1)&gt;=100000,INDEX($AM$1005:$BM$1005,1,MATCH(COLUMNS($AM$1006:BA1006),$AM$1006:$BM$1006,0))&gt;=100000), " ",IF(INDEX($AM$2:$BM$1001,MATCH(ROWS($AF$2:AF108),$AF$2:$AF$1001,0),MATCH(COLUMNS($AM$1006:BA1006),$AM$1006:$BM$1006,0)), HYPERLINK("#",""), HYPERLINK(CONCATENATE("#metadata!", ADDRESS(INDEX($AH$2:$AH$1001,MATCH(ROWS($AF$2:AF108),$AF$2:$AF$1001,0),0), INDEX($AM$1004:$BM$1004,1,MATCH(COLUMNS($AM$1006:BA1006),$AM$1006:$BM$1006,0)))),"Fix")))</f>
        <v xml:space="preserve"> </v>
      </c>
      <c r="Q108" s="4" t="str">
        <f ca="1">IF(OR(INDEX($AG$2:$AG$1001,MATCH(ROWS($AF$2:AF108),$AF$2:$AF$1001,0),1)&gt;=100000,INDEX($AM$1005:$BM$1005,1,MATCH(COLUMNS($AM$1006:BB1006),$AM$1006:$BM$1006,0))&gt;=100000), " ",IF(INDEX($AM$2:$BM$1001,MATCH(ROWS($AF$2:AF108),$AF$2:$AF$1001,0),MATCH(COLUMNS($AM$1006:BB1006),$AM$1006:$BM$1006,0)), HYPERLINK("#",""), HYPERLINK(CONCATENATE("#metadata!", ADDRESS(INDEX($AH$2:$AH$1001,MATCH(ROWS($AF$2:AF108),$AF$2:$AF$1001,0),0), INDEX($AM$1004:$BM$1004,1,MATCH(COLUMNS($AM$1006:BB1006),$AM$1006:$BM$1006,0)))),"Fix")))</f>
        <v xml:space="preserve"> </v>
      </c>
      <c r="R108" s="4" t="str">
        <f ca="1">IF(OR(INDEX($AG$2:$AG$1001,MATCH(ROWS($AF$2:AF108),$AF$2:$AF$1001,0),1)&gt;=100000,INDEX($AM$1005:$BM$1005,1,MATCH(COLUMNS($AM$1006:BC1006),$AM$1006:$BM$1006,0))&gt;=100000), " ",IF(INDEX($AM$2:$BM$1001,MATCH(ROWS($AF$2:AF108),$AF$2:$AF$1001,0),MATCH(COLUMNS($AM$1006:BC1006),$AM$1006:$BM$1006,0)), HYPERLINK("#",""), HYPERLINK(CONCATENATE("#metadata!", ADDRESS(INDEX($AH$2:$AH$1001,MATCH(ROWS($AF$2:AF108),$AF$2:$AF$1001,0),0), INDEX($AM$1004:$BM$1004,1,MATCH(COLUMNS($AM$1006:BC1006),$AM$1006:$BM$1006,0)))),"Fix")))</f>
        <v xml:space="preserve"> </v>
      </c>
      <c r="S108" s="4" t="str">
        <f ca="1">IF(OR(INDEX($AG$2:$AG$1001,MATCH(ROWS($AF$2:AF108),$AF$2:$AF$1001,0),1)&gt;=100000,INDEX($AM$1005:$BM$1005,1,MATCH(COLUMNS($AM$1006:BD1006),$AM$1006:$BM$1006,0))&gt;=100000), " ",IF(INDEX($AM$2:$BM$1001,MATCH(ROWS($AF$2:AF108),$AF$2:$AF$1001,0),MATCH(COLUMNS($AM$1006:BD1006),$AM$1006:$BM$1006,0)), HYPERLINK("#",""), HYPERLINK(CONCATENATE("#metadata!", ADDRESS(INDEX($AH$2:$AH$1001,MATCH(ROWS($AF$2:AF108),$AF$2:$AF$1001,0),0), INDEX($AM$1004:$BM$1004,1,MATCH(COLUMNS($AM$1006:BD1006),$AM$1006:$BM$1006,0)))),"Fix")))</f>
        <v xml:space="preserve"> </v>
      </c>
      <c r="T108" s="4" t="str">
        <f ca="1">IF(OR(INDEX($AG$2:$AG$1001,MATCH(ROWS($AF$2:AF108),$AF$2:$AF$1001,0),1)&gt;=100000,INDEX($AM$1005:$BM$1005,1,MATCH(COLUMNS($AM$1006:BE1006),$AM$1006:$BM$1006,0))&gt;=100000), " ",IF(INDEX($AM$2:$BM$1001,MATCH(ROWS($AF$2:AF108),$AF$2:$AF$1001,0),MATCH(COLUMNS($AM$1006:BE1006),$AM$1006:$BM$1006,0)), HYPERLINK("#",""), HYPERLINK(CONCATENATE("#metadata!", ADDRESS(INDEX($AH$2:$AH$1001,MATCH(ROWS($AF$2:AF108),$AF$2:$AF$1001,0),0), INDEX($AM$1004:$BM$1004,1,MATCH(COLUMNS($AM$1006:BE1006),$AM$1006:$BM$1006,0)))),"Fix")))</f>
        <v xml:space="preserve"> </v>
      </c>
      <c r="U108" s="4" t="str">
        <f ca="1">IF(OR(INDEX($AG$2:$AG$1001,MATCH(ROWS($AF$2:AF108),$AF$2:$AF$1001,0),1)&gt;=100000,INDEX($AM$1005:$BM$1005,1,MATCH(COLUMNS($AM$1006:BF1006),$AM$1006:$BM$1006,0))&gt;=100000), " ",IF(INDEX($AM$2:$BM$1001,MATCH(ROWS($AF$2:AF108),$AF$2:$AF$1001,0),MATCH(COLUMNS($AM$1006:BF1006),$AM$1006:$BM$1006,0)), HYPERLINK("#",""), HYPERLINK(CONCATENATE("#metadata!", ADDRESS(INDEX($AH$2:$AH$1001,MATCH(ROWS($AF$2:AF108),$AF$2:$AF$1001,0),0), INDEX($AM$1004:$BM$1004,1,MATCH(COLUMNS($AM$1006:BF1006),$AM$1006:$BM$1006,0)))),"Fix")))</f>
        <v xml:space="preserve"> </v>
      </c>
      <c r="V108" s="4" t="str">
        <f ca="1">IF(OR(INDEX($AG$2:$AG$1001,MATCH(ROWS($AF$2:AF108),$AF$2:$AF$1001,0),1)&gt;=100000,INDEX($AM$1005:$BM$1005,1,MATCH(COLUMNS($AM$1006:BG1006),$AM$1006:$BM$1006,0))&gt;=100000), " ",IF(INDEX($AM$2:$BM$1001,MATCH(ROWS($AF$2:AF108),$AF$2:$AF$1001,0),MATCH(COLUMNS($AM$1006:BG1006),$AM$1006:$BM$1006,0)), HYPERLINK("#",""), HYPERLINK(CONCATENATE("#metadata!", ADDRESS(INDEX($AH$2:$AH$1001,MATCH(ROWS($AF$2:AF108),$AF$2:$AF$1001,0),0), INDEX($AM$1004:$BM$1004,1,MATCH(COLUMNS($AM$1006:BG1006),$AM$1006:$BM$1006,0)))),"Fix")))</f>
        <v xml:space="preserve"> </v>
      </c>
      <c r="W108" s="4" t="str">
        <f ca="1">IF(OR(INDEX($AG$2:$AG$1001,MATCH(ROWS($AF$2:AF108),$AF$2:$AF$1001,0),1)&gt;=100000,INDEX($AM$1005:$BM$1005,1,MATCH(COLUMNS($AM$1006:BH1006),$AM$1006:$BM$1006,0))&gt;=100000), " ",IF(INDEX($AM$2:$BM$1001,MATCH(ROWS($AF$2:AF108),$AF$2:$AF$1001,0),MATCH(COLUMNS($AM$1006:BH1006),$AM$1006:$BM$1006,0)), HYPERLINK("#",""), HYPERLINK(CONCATENATE("#metadata!", ADDRESS(INDEX($AH$2:$AH$1001,MATCH(ROWS($AF$2:AF108),$AF$2:$AF$1001,0),0), INDEX($AM$1004:$BM$1004,1,MATCH(COLUMNS($AM$1006:BH1006),$AM$1006:$BM$1006,0)))),"Fix")))</f>
        <v xml:space="preserve"> </v>
      </c>
      <c r="X108" s="4" t="str">
        <f ca="1">IF(OR(INDEX($AG$2:$AG$1001,MATCH(ROWS($AF$2:AF108),$AF$2:$AF$1001,0),1)&gt;=100000,INDEX($AM$1005:$BM$1005,1,MATCH(COLUMNS($AM$1006:BI1006),$AM$1006:$BM$1006,0))&gt;=100000), " ",IF(INDEX($AM$2:$BM$1001,MATCH(ROWS($AF$2:AF108),$AF$2:$AF$1001,0),MATCH(COLUMNS($AM$1006:BI1006),$AM$1006:$BM$1006,0)), HYPERLINK("#",""), HYPERLINK(CONCATENATE("#metadata!", ADDRESS(INDEX($AH$2:$AH$1001,MATCH(ROWS($AF$2:AF108),$AF$2:$AF$1001,0),0), INDEX($AM$1004:$BM$1004,1,MATCH(COLUMNS($AM$1006:BI1006),$AM$1006:$BM$1006,0)))),"Fix")))</f>
        <v xml:space="preserve"> </v>
      </c>
      <c r="Y108" s="4" t="str">
        <f ca="1">IF(OR(INDEX($AG$2:$AG$1001,MATCH(ROWS($AF$2:AF108),$AF$2:$AF$1001,0),1)&gt;=100000,INDEX($AM$1005:$BM$1005,1,MATCH(COLUMNS($AM$1006:BJ1006),$AM$1006:$BM$1006,0))&gt;=100000), " ",IF(INDEX($AM$2:$BM$1001,MATCH(ROWS($AF$2:AF108),$AF$2:$AF$1001,0),MATCH(COLUMNS($AM$1006:BJ1006),$AM$1006:$BM$1006,0)), HYPERLINK("#",""), HYPERLINK(CONCATENATE("#metadata!", ADDRESS(INDEX($AH$2:$AH$1001,MATCH(ROWS($AF$2:AF108),$AF$2:$AF$1001,0),0), INDEX($AM$1004:$BM$1004,1,MATCH(COLUMNS($AM$1006:BJ1006),$AM$1006:$BM$1006,0)))),"Fix")))</f>
        <v xml:space="preserve"> </v>
      </c>
      <c r="Z108" s="4" t="str">
        <f ca="1">IF(OR(INDEX($AG$2:$AG$1001,MATCH(ROWS($AF$2:AF108),$AF$2:$AF$1001,0),1)&gt;=100000,INDEX($AM$1005:$BM$1005,1,MATCH(COLUMNS($AM$1006:BK1006),$AM$1006:$BM$1006,0))&gt;=100000), " ",IF(INDEX($AM$2:$BM$1001,MATCH(ROWS($AF$2:AF108),$AF$2:$AF$1001,0),MATCH(COLUMNS($AM$1006:BK1006),$AM$1006:$BM$1006,0)), HYPERLINK("#",""), HYPERLINK(CONCATENATE("#metadata!", ADDRESS(INDEX($AH$2:$AH$1001,MATCH(ROWS($AF$2:AF108),$AF$2:$AF$1001,0),0), INDEX($AM$1004:$BM$1004,1,MATCH(COLUMNS($AM$1006:BK1006),$AM$1006:$BM$1006,0)))),"Fix")))</f>
        <v xml:space="preserve"> </v>
      </c>
      <c r="AA108" s="4" t="str">
        <f ca="1">IF(OR(INDEX($AG$2:$AG$1001,MATCH(ROWS($AF$2:AF108),$AF$2:$AF$1001,0),1)&gt;=100000,INDEX($AM$1005:$BM$1005,1,MATCH(COLUMNS($AM$1006:BL1006),$AM$1006:$BM$1006,0))&gt;=100000), " ",IF(INDEX($AM$2:$BM$1001,MATCH(ROWS($AF$2:AF108),$AF$2:$AF$1001,0),MATCH(COLUMNS($AM$1006:BL1006),$AM$1006:$BM$1006,0)), HYPERLINK("#",""), HYPERLINK(CONCATENATE("#metadata!", ADDRESS(INDEX($AH$2:$AH$1001,MATCH(ROWS($AF$2:AF108),$AF$2:$AF$1001,0),0), INDEX($AM$1004:$BM$1004,1,MATCH(COLUMNS($AM$1006:BL1006),$AM$1006:$BM$1006,0)))),"Fix")))</f>
        <v xml:space="preserve"> </v>
      </c>
      <c r="AB108" s="4" t="str">
        <f ca="1">IF(OR(INDEX($AG$2:$AG$1001,MATCH(ROWS($AF$2:AF108),$AF$2:$AF$1001,0),1)&gt;=100000,INDEX($AM$1005:$BM$1005,1,MATCH(COLUMNS($AM$1006:BM1006),$AM$1006:$BM$1006,0))&gt;=100000), " ",IF(INDEX($AM$2:$BM$1001,MATCH(ROWS($AF$2:AF108),$AF$2:$AF$1001,0),MATCH(COLUMNS($AM$1006:BM1006),$AM$1006:$BM$1006,0)), HYPERLINK("#",""), HYPERLINK(CONCATENATE("#metadata!", ADDRESS(INDEX($AH$2:$AH$1001,MATCH(ROWS($AF$2:AF108),$AF$2:$AF$1001,0),0), INDEX($AM$1004:$BM$1004,1,MATCH(COLUMNS($AM$1006:BM1006),$AM$1006:$BM$1006,0)))),"Fix")))</f>
        <v xml:space="preserve"> </v>
      </c>
      <c r="AF108">
        <v>107</v>
      </c>
      <c r="AG108">
        <v>100108</v>
      </c>
      <c r="AH108">
        <v>108</v>
      </c>
      <c r="AI108" t="b">
        <f t="shared" si="1"/>
        <v>1</v>
      </c>
      <c r="AJ108" t="b">
        <f>COUNTBLANK(metadata!B108:AB108)=COLUMNS(metadata!B108:AB108)</f>
        <v>1</v>
      </c>
      <c r="AK108" t="str">
        <v/>
      </c>
      <c r="AM108" t="b">
        <f ca="1">AND(IF(metadata!B108="",FALSE,TRUE),COUNTIF(metadata!B:B, metadata!B108) = 1,NOT(ISERROR(SUMPRODUCT(SEARCH(MID(metadata!B108,ROW(INDIRECT("1:"&amp;LEN(metadata!B108))), 1),"0123456789abcdefghijklmnopqrstuvwxyzABCDEFGHIJKLMNOPQRSTUVWXYZ.")))))</f>
        <v>0</v>
      </c>
      <c r="AN108" t="b">
        <f ca="1">OR(AND(IF(metadata!C108="",FALSE,TRUE),OR(EXACT(metadata!C108,"missing: not collected"),EXACT(metadata!C108,"missing: not provided"),EXACT(metadata!C108,"missing: restricted access"))),AND(IF(metadata!C108="",FALSE,TRUE),AND(AND(IFERROR(INT(LEFT(metadata!C108,4))&gt;1900,FALSE),IFERROR(INT(LEFT(metadata!C108,4))&lt;=YEAR(NOW()),FALSE)), OR(MID(metadata!C108,5,1)="", AND(AND(MID(metadata!C108,5,1)="-",IFERROR(INT(MID(metadata!C108,6,1))&gt;=0,FALSE),IFERROR(INT(MID(metadata!C108,6,1))&lt;=1,FALSE),NOT(MID(metadata!C108,7,1)=""),IFERROR(INT(MID(metadata!C108,6,2))&gt;=1,FALSE),IFERROR(INT(MID(metadata!C108,6,2))&lt;=12,FALSE)), OR(MID(metadata!C108,8,1)="", AND(AND(MID(metadata!C108,8,1)="-",IFERROR(INT(MID(metadata!C108,9,1))&gt;=0,FALSE),IFERROR(INT(MID(metadata!C108,9,1))&lt;=3,FALSE),NOT(MID(metadata!C108,10,1)=""),IFERROR(INT(MID(metadata!C108,9,2))&gt;=1,FALSE),IFERROR(INT(MID(metadata!C108,9,2))&lt;=31,FALSE)), OR(MID(metadata!C108,11,1)="", AND(AND(MID(metadata!C108,11,1)=" ",IFERROR(INT(MID(metadata!C108,12,1))&gt;=0,FALSE),IFERROR(INT(MID(metadata!C108,12,1))&lt;=2,FALSE),NOT(MID(metadata!C108,13,1)=""),IFERROR(INT(MID(metadata!C108,12,2))&gt;=0,FALSE),IFERROR(INT(MID(metadata!C108,12,2))&lt;=23,FALSE)), OR(MID(metadata!C108,14,1)="", AND(AND(MID(metadata!C108,14,1)=":",IFERROR(INT(MID(metadata!C108,15,1))&gt;=0,FALSE),IFERROR(INT(MID(metadata!C108,15,1))&lt;=5,FALSE),NOT(MID(metadata!C108,16,1)=""),IFERROR(INT(MID(metadata!C108,15,2))&gt;=0,FALSE),IFERROR(INT(MID(metadata!C108,15,2))&lt;=59,FALSE)), OR(MID(metadata!C108,17,1)="", AND(AND(MID(metadata!C108,17,1)=":",IFERROR(INT(MID(metadata!C108,18,1))&gt;=0,FALSE),IFERROR(INT(MID(metadata!C108,18,1))&lt;=5,FALSE),NOT(MID(metadata!C108,19,1)=""),IFERROR(INT(MID(metadata!C108,18,2))&gt;=0,FALSE),IFERROR(INT(MID(metadata!C108,18,2))&lt;=59,FALSE)), LEN(metadata!C108)&lt;=19)))))))))))))</f>
        <v>0</v>
      </c>
      <c r="AO108" t="b">
        <f>AND(IF(metadata!D108="",FALSE,TRUE),EXACT(metadata!D108,"Not applicable"))</f>
        <v>0</v>
      </c>
      <c r="AP108" t="b">
        <f>IF(metadata!E108="",FALSE,TRUE)</f>
        <v>0</v>
      </c>
      <c r="AQ108" t="b">
        <f>OR(AND(IF(metadata!F108="",FALSE,TRUE),OR(EXACT(metadata!F108,"missing: not collected"),EXACT(metadata!F108,"missing: not provided"))),AND(IF(metadata!F108="",FALSE,TRUE),OR(EXACT(metadata!F108,"TRUE"),EXACT(metadata!F108,"FALSE"))))</f>
        <v>0</v>
      </c>
      <c r="AR108" t="b">
        <f>OR(AND(IF(metadata!G108="",FALSE,TRUE),OR(EXACT(metadata!G108,"missing: not collected"),EXACT(metadata!G108,"missing: not provided"),EXACT(metadata!G108,"missing: restricted access"))),AND(IF(metadata!G108="",FALSE,ISNUMBER(VALUE(metadata!G108))),metadata!G108&gt;=-413))</f>
        <v>0</v>
      </c>
      <c r="AS108" t="b">
        <f>AND(IF(metadata!H108="",FALSE,TRUE),EXACT(metadata!H108,"meters"))</f>
        <v>0</v>
      </c>
      <c r="AT108" t="b">
        <f>AND(IF(metadata!I108="",FALSE,TRUE),OR(EXACT(metadata!I108,"Host-associated"),EXACT(metadata!I108,"Free-living")))</f>
        <v>0</v>
      </c>
      <c r="AU108" t="b">
        <f>AND(IF(metadata!J108="",FALSE,TRUE),OR(EXACT(metadata!J108,"Animal"),EXACT(metadata!J108,"Fungus"),EXACT(metadata!J108,"Plant"),EXACT(metadata!J108,"Saline"),EXACT(metadata!J108,"Non-saline")))</f>
        <v>0</v>
      </c>
      <c r="AV108" t="b">
        <f>AND(IF(metadata!K108="",FALSE,TRUE),OR(EXACT(metadata!K108,"Plant secretion"),EXACT(metadata!K108,"Plant rhizosphere"),EXACT(metadata!K108,"Plant surface"),EXACT(metadata!K108,"Plant corpus"),EXACT(metadata!K108,"Fungus surface"),EXACT(metadata!K108,"Fungus corpus"),EXACT(metadata!K108,"Animal surface"),EXACT(metadata!K108,"Animal proximal gut"),EXACT(metadata!K108,"Animal corpus"),EXACT(metadata!K108,"Animal distal gut"),EXACT(metadata!K108,"Animal secretion"),EXACT(metadata!K108,"Sub-surface (non-saline)"),EXACT(metadata!K108,"Surface (non-saline)"),EXACT(metadata!K108,"Water (non-saline)"),EXACT(metadata!K108,"Soil (non-saline)"),EXACT(metadata!K108,"Aerosol (non-saline)"),EXACT(metadata!K108,"Sediment (non-saline)"),EXACT(metadata!K108,"Surface (saline)"),EXACT(metadata!K108,"Water (saline)"),EXACT(metadata!K108,"Hypersaline (saline)"),EXACT(metadata!K108,"Aerosol (saline)"),EXACT(metadata!K108,"Sediment (saline)")))</f>
        <v>0</v>
      </c>
      <c r="AW108" t="b">
        <f>IF(metadata!L108="",FALSE,TRUE)</f>
        <v>0</v>
      </c>
      <c r="AX108" t="b">
        <f>IF(metadata!M108="",FALSE,TRUE)</f>
        <v>0</v>
      </c>
      <c r="AY108" t="b">
        <f>IF(metadata!N108="",FALSE,TRUE)</f>
        <v>0</v>
      </c>
      <c r="AZ108" t="b">
        <f>OR(AND(IF(metadata!O108="",FALSE,TRUE),OR(EXACT(metadata!O108,"missing: not collected"),EXACT(metadata!O108,"missing: not provided"),EXACT(metadata!O108,"missing: restricted access"))),AND(IF(metadata!O108="",FALSE,TRUE),OR(EXACT(metadata!O108,"air"),EXACT(metadata!O108,"built environment"),EXACT(metadata!O108,"host-associated"),EXACT(metadata!O108,"human-associated"),EXACT(metadata!O108,"human-skin"),EXACT(metadata!O108,"human-oral"),EXACT(metadata!O108,"human-gut"),EXACT(metadata!O108,"human-vaginal"),EXACT(metadata!O108,"microbial mat/biofilm"),EXACT(metadata!O108,"misc environment"),EXACT(metadata!O108,"plant-associated"),EXACT(metadata!O108,"sediment"),EXACT(metadata!O108,"soil"),EXACT(metadata!O108,"wastewater/sludge"),EXACT(metadata!O108,"water"))))</f>
        <v>0</v>
      </c>
      <c r="BA108" t="b">
        <f>IF(metadata!P108="",FALSE,TRUE)</f>
        <v>0</v>
      </c>
      <c r="BB108" t="b">
        <f>IF(metadata!Q108="",FALSE,TRUE)</f>
        <v>0</v>
      </c>
      <c r="BC108" t="b">
        <f>OR(AND(IF(metadata!R108="",FALSE,TRUE),OR(EXACT(metadata!R108,"missing: not collected"),EXACT(metadata!R108,"missing: not provided"),EXACT(metadata!R108,"missing: restricted access"))),AND(IF(metadata!R108="",FALSE,ISNUMBER(VALUE(metadata!R108))),metadata!R108&gt;=-90,metadata!R108&lt;=90))</f>
        <v>0</v>
      </c>
      <c r="BD108" t="b">
        <f>AND(IF(metadata!S108="",FALSE,TRUE),EXACT(metadata!S108,"Decimal degrees"))</f>
        <v>0</v>
      </c>
      <c r="BE108" t="b">
        <f>OR(AND(IF(metadata!T108="",FALSE,TRUE),OR(EXACT(metadata!T108,"missing: not collected"),EXACT(metadata!T108,"missing: not provided"),EXACT(metadata!T108,"missing: restricted access"))),AND(IF(metadata!T108="",FALSE,ISNUMBER(VALUE(metadata!T108))),metadata!T108&gt;=-180,metadata!T108&lt;=180))</f>
        <v>0</v>
      </c>
      <c r="BF108" t="b">
        <f>AND(IF(metadata!U108="",FALSE,TRUE),EXACT(metadata!U108,"Decimal degrees"))</f>
        <v>0</v>
      </c>
      <c r="BG108" t="b">
        <f>IF(metadata!V108="",FALSE,TRUE)</f>
        <v>0</v>
      </c>
      <c r="BH108" t="b">
        <f>OR(AND(IF(metadata!W108="",FALSE,TRUE),OR(EXACT(metadata!W108,"missing: not collected"),EXACT(metadata!W108,"missing: not provided"),EXACT(metadata!W108,"missing: restricted access"))),AND(IF(metadata!W108="",FALSE,TRUE),OR(EXACT(metadata!W108,"TRUE"),EXACT(metadata!W108,"FALSE"))))</f>
        <v>0</v>
      </c>
      <c r="BI108" t="b">
        <f>AND(IF(metadata!X108="",FALSE,TRUE),EXACT(metadata!X108,"other"))</f>
        <v>0</v>
      </c>
      <c r="BJ108" t="b">
        <f>IF(metadata!Y108="",FALSE,TRUE)</f>
        <v>0</v>
      </c>
      <c r="BK108" t="b">
        <f>OR(AND(IF(metadata!Z108="",FALSE,TRUE),OR(EXACT(metadata!Z108,"missing: not collected"),EXACT(metadata!Z108,"missing: not provided"))),AND(IF(metadata!Z108="",FALSE,IF(ISERROR(INT(metadata!Z108)),FALSE,INT(metadata!Z108)=metadata!Z108)),metadata!Z108&gt;0))</f>
        <v>0</v>
      </c>
      <c r="BL108" t="b">
        <f>AND(IF(metadata!AA108="",FALSE,TRUE),EXACT(metadata!AA108,"Not applicable"))</f>
        <v>0</v>
      </c>
      <c r="BM108" t="b">
        <f>IF(metadata!AB108="",FALSE,TRUE)</f>
        <v>0</v>
      </c>
    </row>
    <row r="109" spans="1:65" x14ac:dyDescent="0.2">
      <c r="A109" s="5" t="str">
        <f ca="1">IF(B109=" "," ",HYPERLINK(CONCATENATE("#metadata!",ADDRESS(INDEX($AH$2:$AH$1001,MATCH(ROWS($AF$2:AF109),$AF$2:$AF$1001,0),0),1)),INDEX($AK$2:$AK$1001,MATCH(ROWS($AF$2:AF109),$AF$2:$AF$1001,0),0)))</f>
        <v xml:space="preserve"> </v>
      </c>
      <c r="B109" s="4" t="str">
        <f ca="1">IF(OR(INDEX($AG$2:$AG$1001,MATCH(ROWS($AF$2:AF109),$AF$2:$AF$1001,0),1)&gt;=100000,INDEX($AM$1005:$BM$1005,1,MATCH(COLUMNS($AM$1006:AM1006),$AM$1006:$BM$1006,0))&gt;=100000), " ",IF(INDEX($AM$2:$BM$1001,MATCH(ROWS($AF$2:AF109),$AF$2:$AF$1001,0),MATCH(COLUMNS($AM$1006:AM1006),$AM$1006:$BM$1006,0)), HYPERLINK("#",""), HYPERLINK(CONCATENATE("#metadata!", ADDRESS(INDEX($AH$2:$AH$1001,MATCH(ROWS($AF$2:AF109),$AF$2:$AF$1001,0),0), INDEX($AM$1004:$BM$1004,1,MATCH(COLUMNS($AM$1006:AM1006),$AM$1006:$BM$1006,0)))),"Fix")))</f>
        <v xml:space="preserve"> </v>
      </c>
      <c r="C109" s="4" t="str">
        <f ca="1">IF(OR(INDEX($AG$2:$AG$1001,MATCH(ROWS($AF$2:AF109),$AF$2:$AF$1001,0),1)&gt;=100000,INDEX($AM$1005:$BM$1005,1,MATCH(COLUMNS($AM$1006:AN1006),$AM$1006:$BM$1006,0))&gt;=100000), " ",IF(INDEX($AM$2:$BM$1001,MATCH(ROWS($AF$2:AF109),$AF$2:$AF$1001,0),MATCH(COLUMNS($AM$1006:AN1006),$AM$1006:$BM$1006,0)), HYPERLINK("#",""), HYPERLINK(CONCATENATE("#metadata!", ADDRESS(INDEX($AH$2:$AH$1001,MATCH(ROWS($AF$2:AF109),$AF$2:$AF$1001,0),0), INDEX($AM$1004:$BM$1004,1,MATCH(COLUMNS($AM$1006:AN1006),$AM$1006:$BM$1006,0)))),"Fix")))</f>
        <v xml:space="preserve"> </v>
      </c>
      <c r="D109" s="4" t="str">
        <f ca="1">IF(OR(INDEX($AG$2:$AG$1001,MATCH(ROWS($AF$2:AF109),$AF$2:$AF$1001,0),1)&gt;=100000,INDEX($AM$1005:$BM$1005,1,MATCH(COLUMNS($AM$1006:AO1006),$AM$1006:$BM$1006,0))&gt;=100000), " ",IF(INDEX($AM$2:$BM$1001,MATCH(ROWS($AF$2:AF109),$AF$2:$AF$1001,0),MATCH(COLUMNS($AM$1006:AO1006),$AM$1006:$BM$1006,0)), HYPERLINK("#",""), HYPERLINK(CONCATENATE("#metadata!", ADDRESS(INDEX($AH$2:$AH$1001,MATCH(ROWS($AF$2:AF109),$AF$2:$AF$1001,0),0), INDEX($AM$1004:$BM$1004,1,MATCH(COLUMNS($AM$1006:AO1006),$AM$1006:$BM$1006,0)))),"Fix")))</f>
        <v xml:space="preserve"> </v>
      </c>
      <c r="E109" s="4" t="str">
        <f ca="1">IF(OR(INDEX($AG$2:$AG$1001,MATCH(ROWS($AF$2:AF109),$AF$2:$AF$1001,0),1)&gt;=100000,INDEX($AM$1005:$BM$1005,1,MATCH(COLUMNS($AM$1006:AP1006),$AM$1006:$BM$1006,0))&gt;=100000), " ",IF(INDEX($AM$2:$BM$1001,MATCH(ROWS($AF$2:AF109),$AF$2:$AF$1001,0),MATCH(COLUMNS($AM$1006:AP1006),$AM$1006:$BM$1006,0)), HYPERLINK("#",""), HYPERLINK(CONCATENATE("#metadata!", ADDRESS(INDEX($AH$2:$AH$1001,MATCH(ROWS($AF$2:AF109),$AF$2:$AF$1001,0),0), INDEX($AM$1004:$BM$1004,1,MATCH(COLUMNS($AM$1006:AP1006),$AM$1006:$BM$1006,0)))),"Fix")))</f>
        <v xml:space="preserve"> </v>
      </c>
      <c r="F109" s="4" t="str">
        <f ca="1">IF(OR(INDEX($AG$2:$AG$1001,MATCH(ROWS($AF$2:AF109),$AF$2:$AF$1001,0),1)&gt;=100000,INDEX($AM$1005:$BM$1005,1,MATCH(COLUMNS($AM$1006:AQ1006),$AM$1006:$BM$1006,0))&gt;=100000), " ",IF(INDEX($AM$2:$BM$1001,MATCH(ROWS($AF$2:AF109),$AF$2:$AF$1001,0),MATCH(COLUMNS($AM$1006:AQ1006),$AM$1006:$BM$1006,0)), HYPERLINK("#",""), HYPERLINK(CONCATENATE("#metadata!", ADDRESS(INDEX($AH$2:$AH$1001,MATCH(ROWS($AF$2:AF109),$AF$2:$AF$1001,0),0), INDEX($AM$1004:$BM$1004,1,MATCH(COLUMNS($AM$1006:AQ1006),$AM$1006:$BM$1006,0)))),"Fix")))</f>
        <v xml:space="preserve"> </v>
      </c>
      <c r="G109" s="4" t="str">
        <f ca="1">IF(OR(INDEX($AG$2:$AG$1001,MATCH(ROWS($AF$2:AF109),$AF$2:$AF$1001,0),1)&gt;=100000,INDEX($AM$1005:$BM$1005,1,MATCH(COLUMNS($AM$1006:AR1006),$AM$1006:$BM$1006,0))&gt;=100000), " ",IF(INDEX($AM$2:$BM$1001,MATCH(ROWS($AF$2:AF109),$AF$2:$AF$1001,0),MATCH(COLUMNS($AM$1006:AR1006),$AM$1006:$BM$1006,0)), HYPERLINK("#",""), HYPERLINK(CONCATENATE("#metadata!", ADDRESS(INDEX($AH$2:$AH$1001,MATCH(ROWS($AF$2:AF109),$AF$2:$AF$1001,0),0), INDEX($AM$1004:$BM$1004,1,MATCH(COLUMNS($AM$1006:AR1006),$AM$1006:$BM$1006,0)))),"Fix")))</f>
        <v xml:space="preserve"> </v>
      </c>
      <c r="H109" s="4" t="str">
        <f ca="1">IF(OR(INDEX($AG$2:$AG$1001,MATCH(ROWS($AF$2:AF109),$AF$2:$AF$1001,0),1)&gt;=100000,INDEX($AM$1005:$BM$1005,1,MATCH(COLUMNS($AM$1006:AS1006),$AM$1006:$BM$1006,0))&gt;=100000), " ",IF(INDEX($AM$2:$BM$1001,MATCH(ROWS($AF$2:AF109),$AF$2:$AF$1001,0),MATCH(COLUMNS($AM$1006:AS1006),$AM$1006:$BM$1006,0)), HYPERLINK("#",""), HYPERLINK(CONCATENATE("#metadata!", ADDRESS(INDEX($AH$2:$AH$1001,MATCH(ROWS($AF$2:AF109),$AF$2:$AF$1001,0),0), INDEX($AM$1004:$BM$1004,1,MATCH(COLUMNS($AM$1006:AS1006),$AM$1006:$BM$1006,0)))),"Fix")))</f>
        <v xml:space="preserve"> </v>
      </c>
      <c r="I109" s="4" t="str">
        <f ca="1">IF(OR(INDEX($AG$2:$AG$1001,MATCH(ROWS($AF$2:AF109),$AF$2:$AF$1001,0),1)&gt;=100000,INDEX($AM$1005:$BM$1005,1,MATCH(COLUMNS($AM$1006:AT1006),$AM$1006:$BM$1006,0))&gt;=100000), " ",IF(INDEX($AM$2:$BM$1001,MATCH(ROWS($AF$2:AF109),$AF$2:$AF$1001,0),MATCH(COLUMNS($AM$1006:AT1006),$AM$1006:$BM$1006,0)), HYPERLINK("#",""), HYPERLINK(CONCATENATE("#metadata!", ADDRESS(INDEX($AH$2:$AH$1001,MATCH(ROWS($AF$2:AF109),$AF$2:$AF$1001,0),0), INDEX($AM$1004:$BM$1004,1,MATCH(COLUMNS($AM$1006:AT1006),$AM$1006:$BM$1006,0)))),"Fix")))</f>
        <v xml:space="preserve"> </v>
      </c>
      <c r="J109" s="4" t="str">
        <f ca="1">IF(OR(INDEX($AG$2:$AG$1001,MATCH(ROWS($AF$2:AF109),$AF$2:$AF$1001,0),1)&gt;=100000,INDEX($AM$1005:$BM$1005,1,MATCH(COLUMNS($AM$1006:AU1006),$AM$1006:$BM$1006,0))&gt;=100000), " ",IF(INDEX($AM$2:$BM$1001,MATCH(ROWS($AF$2:AF109),$AF$2:$AF$1001,0),MATCH(COLUMNS($AM$1006:AU1006),$AM$1006:$BM$1006,0)), HYPERLINK("#",""), HYPERLINK(CONCATENATE("#metadata!", ADDRESS(INDEX($AH$2:$AH$1001,MATCH(ROWS($AF$2:AF109),$AF$2:$AF$1001,0),0), INDEX($AM$1004:$BM$1004,1,MATCH(COLUMNS($AM$1006:AU1006),$AM$1006:$BM$1006,0)))),"Fix")))</f>
        <v xml:space="preserve"> </v>
      </c>
      <c r="K109" s="4" t="str">
        <f ca="1">IF(OR(INDEX($AG$2:$AG$1001,MATCH(ROWS($AF$2:AF109),$AF$2:$AF$1001,0),1)&gt;=100000,INDEX($AM$1005:$BM$1005,1,MATCH(COLUMNS($AM$1006:AV1006),$AM$1006:$BM$1006,0))&gt;=100000), " ",IF(INDEX($AM$2:$BM$1001,MATCH(ROWS($AF$2:AF109),$AF$2:$AF$1001,0),MATCH(COLUMNS($AM$1006:AV1006),$AM$1006:$BM$1006,0)), HYPERLINK("#",""), HYPERLINK(CONCATENATE("#metadata!", ADDRESS(INDEX($AH$2:$AH$1001,MATCH(ROWS($AF$2:AF109),$AF$2:$AF$1001,0),0), INDEX($AM$1004:$BM$1004,1,MATCH(COLUMNS($AM$1006:AV1006),$AM$1006:$BM$1006,0)))),"Fix")))</f>
        <v xml:space="preserve"> </v>
      </c>
      <c r="L109" s="4" t="str">
        <f ca="1">IF(OR(INDEX($AG$2:$AG$1001,MATCH(ROWS($AF$2:AF109),$AF$2:$AF$1001,0),1)&gt;=100000,INDEX($AM$1005:$BM$1005,1,MATCH(COLUMNS($AM$1006:AW1006),$AM$1006:$BM$1006,0))&gt;=100000), " ",IF(INDEX($AM$2:$BM$1001,MATCH(ROWS($AF$2:AF109),$AF$2:$AF$1001,0),MATCH(COLUMNS($AM$1006:AW1006),$AM$1006:$BM$1006,0)), HYPERLINK("#",""), HYPERLINK(CONCATENATE("#metadata!", ADDRESS(INDEX($AH$2:$AH$1001,MATCH(ROWS($AF$2:AF109),$AF$2:$AF$1001,0),0), INDEX($AM$1004:$BM$1004,1,MATCH(COLUMNS($AM$1006:AW1006),$AM$1006:$BM$1006,0)))),"Fix")))</f>
        <v xml:space="preserve"> </v>
      </c>
      <c r="M109" s="4" t="str">
        <f ca="1">IF(OR(INDEX($AG$2:$AG$1001,MATCH(ROWS($AF$2:AF109),$AF$2:$AF$1001,0),1)&gt;=100000,INDEX($AM$1005:$BM$1005,1,MATCH(COLUMNS($AM$1006:AX1006),$AM$1006:$BM$1006,0))&gt;=100000), " ",IF(INDEX($AM$2:$BM$1001,MATCH(ROWS($AF$2:AF109),$AF$2:$AF$1001,0),MATCH(COLUMNS($AM$1006:AX1006),$AM$1006:$BM$1006,0)), HYPERLINK("#",""), HYPERLINK(CONCATENATE("#metadata!", ADDRESS(INDEX($AH$2:$AH$1001,MATCH(ROWS($AF$2:AF109),$AF$2:$AF$1001,0),0), INDEX($AM$1004:$BM$1004,1,MATCH(COLUMNS($AM$1006:AX1006),$AM$1006:$BM$1006,0)))),"Fix")))</f>
        <v xml:space="preserve"> </v>
      </c>
      <c r="N109" s="4" t="str">
        <f ca="1">IF(OR(INDEX($AG$2:$AG$1001,MATCH(ROWS($AF$2:AF109),$AF$2:$AF$1001,0),1)&gt;=100000,INDEX($AM$1005:$BM$1005,1,MATCH(COLUMNS($AM$1006:AY1006),$AM$1006:$BM$1006,0))&gt;=100000), " ",IF(INDEX($AM$2:$BM$1001,MATCH(ROWS($AF$2:AF109),$AF$2:$AF$1001,0),MATCH(COLUMNS($AM$1006:AY1006),$AM$1006:$BM$1006,0)), HYPERLINK("#",""), HYPERLINK(CONCATENATE("#metadata!", ADDRESS(INDEX($AH$2:$AH$1001,MATCH(ROWS($AF$2:AF109),$AF$2:$AF$1001,0),0), INDEX($AM$1004:$BM$1004,1,MATCH(COLUMNS($AM$1006:AY1006),$AM$1006:$BM$1006,0)))),"Fix")))</f>
        <v xml:space="preserve"> </v>
      </c>
      <c r="O109" s="4" t="str">
        <f ca="1">IF(OR(INDEX($AG$2:$AG$1001,MATCH(ROWS($AF$2:AF109),$AF$2:$AF$1001,0),1)&gt;=100000,INDEX($AM$1005:$BM$1005,1,MATCH(COLUMNS($AM$1006:AZ1006),$AM$1006:$BM$1006,0))&gt;=100000), " ",IF(INDEX($AM$2:$BM$1001,MATCH(ROWS($AF$2:AF109),$AF$2:$AF$1001,0),MATCH(COLUMNS($AM$1006:AZ1006),$AM$1006:$BM$1006,0)), HYPERLINK("#",""), HYPERLINK(CONCATENATE("#metadata!", ADDRESS(INDEX($AH$2:$AH$1001,MATCH(ROWS($AF$2:AF109),$AF$2:$AF$1001,0),0), INDEX($AM$1004:$BM$1004,1,MATCH(COLUMNS($AM$1006:AZ1006),$AM$1006:$BM$1006,0)))),"Fix")))</f>
        <v xml:space="preserve"> </v>
      </c>
      <c r="P109" s="4" t="str">
        <f ca="1">IF(OR(INDEX($AG$2:$AG$1001,MATCH(ROWS($AF$2:AF109),$AF$2:$AF$1001,0),1)&gt;=100000,INDEX($AM$1005:$BM$1005,1,MATCH(COLUMNS($AM$1006:BA1006),$AM$1006:$BM$1006,0))&gt;=100000), " ",IF(INDEX($AM$2:$BM$1001,MATCH(ROWS($AF$2:AF109),$AF$2:$AF$1001,0),MATCH(COLUMNS($AM$1006:BA1006),$AM$1006:$BM$1006,0)), HYPERLINK("#",""), HYPERLINK(CONCATENATE("#metadata!", ADDRESS(INDEX($AH$2:$AH$1001,MATCH(ROWS($AF$2:AF109),$AF$2:$AF$1001,0),0), INDEX($AM$1004:$BM$1004,1,MATCH(COLUMNS($AM$1006:BA1006),$AM$1006:$BM$1006,0)))),"Fix")))</f>
        <v xml:space="preserve"> </v>
      </c>
      <c r="Q109" s="4" t="str">
        <f ca="1">IF(OR(INDEX($AG$2:$AG$1001,MATCH(ROWS($AF$2:AF109),$AF$2:$AF$1001,0),1)&gt;=100000,INDEX($AM$1005:$BM$1005,1,MATCH(COLUMNS($AM$1006:BB1006),$AM$1006:$BM$1006,0))&gt;=100000), " ",IF(INDEX($AM$2:$BM$1001,MATCH(ROWS($AF$2:AF109),$AF$2:$AF$1001,0),MATCH(COLUMNS($AM$1006:BB1006),$AM$1006:$BM$1006,0)), HYPERLINK("#",""), HYPERLINK(CONCATENATE("#metadata!", ADDRESS(INDEX($AH$2:$AH$1001,MATCH(ROWS($AF$2:AF109),$AF$2:$AF$1001,0),0), INDEX($AM$1004:$BM$1004,1,MATCH(COLUMNS($AM$1006:BB1006),$AM$1006:$BM$1006,0)))),"Fix")))</f>
        <v xml:space="preserve"> </v>
      </c>
      <c r="R109" s="4" t="str">
        <f ca="1">IF(OR(INDEX($AG$2:$AG$1001,MATCH(ROWS($AF$2:AF109),$AF$2:$AF$1001,0),1)&gt;=100000,INDEX($AM$1005:$BM$1005,1,MATCH(COLUMNS($AM$1006:BC1006),$AM$1006:$BM$1006,0))&gt;=100000), " ",IF(INDEX($AM$2:$BM$1001,MATCH(ROWS($AF$2:AF109),$AF$2:$AF$1001,0),MATCH(COLUMNS($AM$1006:BC1006),$AM$1006:$BM$1006,0)), HYPERLINK("#",""), HYPERLINK(CONCATENATE("#metadata!", ADDRESS(INDEX($AH$2:$AH$1001,MATCH(ROWS($AF$2:AF109),$AF$2:$AF$1001,0),0), INDEX($AM$1004:$BM$1004,1,MATCH(COLUMNS($AM$1006:BC1006),$AM$1006:$BM$1006,0)))),"Fix")))</f>
        <v xml:space="preserve"> </v>
      </c>
      <c r="S109" s="4" t="str">
        <f ca="1">IF(OR(INDEX($AG$2:$AG$1001,MATCH(ROWS($AF$2:AF109),$AF$2:$AF$1001,0),1)&gt;=100000,INDEX($AM$1005:$BM$1005,1,MATCH(COLUMNS($AM$1006:BD1006),$AM$1006:$BM$1006,0))&gt;=100000), " ",IF(INDEX($AM$2:$BM$1001,MATCH(ROWS($AF$2:AF109),$AF$2:$AF$1001,0),MATCH(COLUMNS($AM$1006:BD1006),$AM$1006:$BM$1006,0)), HYPERLINK("#",""), HYPERLINK(CONCATENATE("#metadata!", ADDRESS(INDEX($AH$2:$AH$1001,MATCH(ROWS($AF$2:AF109),$AF$2:$AF$1001,0),0), INDEX($AM$1004:$BM$1004,1,MATCH(COLUMNS($AM$1006:BD1006),$AM$1006:$BM$1006,0)))),"Fix")))</f>
        <v xml:space="preserve"> </v>
      </c>
      <c r="T109" s="4" t="str">
        <f ca="1">IF(OR(INDEX($AG$2:$AG$1001,MATCH(ROWS($AF$2:AF109),$AF$2:$AF$1001,0),1)&gt;=100000,INDEX($AM$1005:$BM$1005,1,MATCH(COLUMNS($AM$1006:BE1006),$AM$1006:$BM$1006,0))&gt;=100000), " ",IF(INDEX($AM$2:$BM$1001,MATCH(ROWS($AF$2:AF109),$AF$2:$AF$1001,0),MATCH(COLUMNS($AM$1006:BE1006),$AM$1006:$BM$1006,0)), HYPERLINK("#",""), HYPERLINK(CONCATENATE("#metadata!", ADDRESS(INDEX($AH$2:$AH$1001,MATCH(ROWS($AF$2:AF109),$AF$2:$AF$1001,0),0), INDEX($AM$1004:$BM$1004,1,MATCH(COLUMNS($AM$1006:BE1006),$AM$1006:$BM$1006,0)))),"Fix")))</f>
        <v xml:space="preserve"> </v>
      </c>
      <c r="U109" s="4" t="str">
        <f ca="1">IF(OR(INDEX($AG$2:$AG$1001,MATCH(ROWS($AF$2:AF109),$AF$2:$AF$1001,0),1)&gt;=100000,INDEX($AM$1005:$BM$1005,1,MATCH(COLUMNS($AM$1006:BF1006),$AM$1006:$BM$1006,0))&gt;=100000), " ",IF(INDEX($AM$2:$BM$1001,MATCH(ROWS($AF$2:AF109),$AF$2:$AF$1001,0),MATCH(COLUMNS($AM$1006:BF1006),$AM$1006:$BM$1006,0)), HYPERLINK("#",""), HYPERLINK(CONCATENATE("#metadata!", ADDRESS(INDEX($AH$2:$AH$1001,MATCH(ROWS($AF$2:AF109),$AF$2:$AF$1001,0),0), INDEX($AM$1004:$BM$1004,1,MATCH(COLUMNS($AM$1006:BF1006),$AM$1006:$BM$1006,0)))),"Fix")))</f>
        <v xml:space="preserve"> </v>
      </c>
      <c r="V109" s="4" t="str">
        <f ca="1">IF(OR(INDEX($AG$2:$AG$1001,MATCH(ROWS($AF$2:AF109),$AF$2:$AF$1001,0),1)&gt;=100000,INDEX($AM$1005:$BM$1005,1,MATCH(COLUMNS($AM$1006:BG1006),$AM$1006:$BM$1006,0))&gt;=100000), " ",IF(INDEX($AM$2:$BM$1001,MATCH(ROWS($AF$2:AF109),$AF$2:$AF$1001,0),MATCH(COLUMNS($AM$1006:BG1006),$AM$1006:$BM$1006,0)), HYPERLINK("#",""), HYPERLINK(CONCATENATE("#metadata!", ADDRESS(INDEX($AH$2:$AH$1001,MATCH(ROWS($AF$2:AF109),$AF$2:$AF$1001,0),0), INDEX($AM$1004:$BM$1004,1,MATCH(COLUMNS($AM$1006:BG1006),$AM$1006:$BM$1006,0)))),"Fix")))</f>
        <v xml:space="preserve"> </v>
      </c>
      <c r="W109" s="4" t="str">
        <f ca="1">IF(OR(INDEX($AG$2:$AG$1001,MATCH(ROWS($AF$2:AF109),$AF$2:$AF$1001,0),1)&gt;=100000,INDEX($AM$1005:$BM$1005,1,MATCH(COLUMNS($AM$1006:BH1006),$AM$1006:$BM$1006,0))&gt;=100000), " ",IF(INDEX($AM$2:$BM$1001,MATCH(ROWS($AF$2:AF109),$AF$2:$AF$1001,0),MATCH(COLUMNS($AM$1006:BH1006),$AM$1006:$BM$1006,0)), HYPERLINK("#",""), HYPERLINK(CONCATENATE("#metadata!", ADDRESS(INDEX($AH$2:$AH$1001,MATCH(ROWS($AF$2:AF109),$AF$2:$AF$1001,0),0), INDEX($AM$1004:$BM$1004,1,MATCH(COLUMNS($AM$1006:BH1006),$AM$1006:$BM$1006,0)))),"Fix")))</f>
        <v xml:space="preserve"> </v>
      </c>
      <c r="X109" s="4" t="str">
        <f ca="1">IF(OR(INDEX($AG$2:$AG$1001,MATCH(ROWS($AF$2:AF109),$AF$2:$AF$1001,0),1)&gt;=100000,INDEX($AM$1005:$BM$1005,1,MATCH(COLUMNS($AM$1006:BI1006),$AM$1006:$BM$1006,0))&gt;=100000), " ",IF(INDEX($AM$2:$BM$1001,MATCH(ROWS($AF$2:AF109),$AF$2:$AF$1001,0),MATCH(COLUMNS($AM$1006:BI1006),$AM$1006:$BM$1006,0)), HYPERLINK("#",""), HYPERLINK(CONCATENATE("#metadata!", ADDRESS(INDEX($AH$2:$AH$1001,MATCH(ROWS($AF$2:AF109),$AF$2:$AF$1001,0),0), INDEX($AM$1004:$BM$1004,1,MATCH(COLUMNS($AM$1006:BI1006),$AM$1006:$BM$1006,0)))),"Fix")))</f>
        <v xml:space="preserve"> </v>
      </c>
      <c r="Y109" s="4" t="str">
        <f ca="1">IF(OR(INDEX($AG$2:$AG$1001,MATCH(ROWS($AF$2:AF109),$AF$2:$AF$1001,0),1)&gt;=100000,INDEX($AM$1005:$BM$1005,1,MATCH(COLUMNS($AM$1006:BJ1006),$AM$1006:$BM$1006,0))&gt;=100000), " ",IF(INDEX($AM$2:$BM$1001,MATCH(ROWS($AF$2:AF109),$AF$2:$AF$1001,0),MATCH(COLUMNS($AM$1006:BJ1006),$AM$1006:$BM$1006,0)), HYPERLINK("#",""), HYPERLINK(CONCATENATE("#metadata!", ADDRESS(INDEX($AH$2:$AH$1001,MATCH(ROWS($AF$2:AF109),$AF$2:$AF$1001,0),0), INDEX($AM$1004:$BM$1004,1,MATCH(COLUMNS($AM$1006:BJ1006),$AM$1006:$BM$1006,0)))),"Fix")))</f>
        <v xml:space="preserve"> </v>
      </c>
      <c r="Z109" s="4" t="str">
        <f ca="1">IF(OR(INDEX($AG$2:$AG$1001,MATCH(ROWS($AF$2:AF109),$AF$2:$AF$1001,0),1)&gt;=100000,INDEX($AM$1005:$BM$1005,1,MATCH(COLUMNS($AM$1006:BK1006),$AM$1006:$BM$1006,0))&gt;=100000), " ",IF(INDEX($AM$2:$BM$1001,MATCH(ROWS($AF$2:AF109),$AF$2:$AF$1001,0),MATCH(COLUMNS($AM$1006:BK1006),$AM$1006:$BM$1006,0)), HYPERLINK("#",""), HYPERLINK(CONCATENATE("#metadata!", ADDRESS(INDEX($AH$2:$AH$1001,MATCH(ROWS($AF$2:AF109),$AF$2:$AF$1001,0),0), INDEX($AM$1004:$BM$1004,1,MATCH(COLUMNS($AM$1006:BK1006),$AM$1006:$BM$1006,0)))),"Fix")))</f>
        <v xml:space="preserve"> </v>
      </c>
      <c r="AA109" s="4" t="str">
        <f ca="1">IF(OR(INDEX($AG$2:$AG$1001,MATCH(ROWS($AF$2:AF109),$AF$2:$AF$1001,0),1)&gt;=100000,INDEX($AM$1005:$BM$1005,1,MATCH(COLUMNS($AM$1006:BL1006),$AM$1006:$BM$1006,0))&gt;=100000), " ",IF(INDEX($AM$2:$BM$1001,MATCH(ROWS($AF$2:AF109),$AF$2:$AF$1001,0),MATCH(COLUMNS($AM$1006:BL1006),$AM$1006:$BM$1006,0)), HYPERLINK("#",""), HYPERLINK(CONCATENATE("#metadata!", ADDRESS(INDEX($AH$2:$AH$1001,MATCH(ROWS($AF$2:AF109),$AF$2:$AF$1001,0),0), INDEX($AM$1004:$BM$1004,1,MATCH(COLUMNS($AM$1006:BL1006),$AM$1006:$BM$1006,0)))),"Fix")))</f>
        <v xml:space="preserve"> </v>
      </c>
      <c r="AB109" s="4" t="str">
        <f ca="1">IF(OR(INDEX($AG$2:$AG$1001,MATCH(ROWS($AF$2:AF109),$AF$2:$AF$1001,0),1)&gt;=100000,INDEX($AM$1005:$BM$1005,1,MATCH(COLUMNS($AM$1006:BM1006),$AM$1006:$BM$1006,0))&gt;=100000), " ",IF(INDEX($AM$2:$BM$1001,MATCH(ROWS($AF$2:AF109),$AF$2:$AF$1001,0),MATCH(COLUMNS($AM$1006:BM1006),$AM$1006:$BM$1006,0)), HYPERLINK("#",""), HYPERLINK(CONCATENATE("#metadata!", ADDRESS(INDEX($AH$2:$AH$1001,MATCH(ROWS($AF$2:AF109),$AF$2:$AF$1001,0),0), INDEX($AM$1004:$BM$1004,1,MATCH(COLUMNS($AM$1006:BM1006),$AM$1006:$BM$1006,0)))),"Fix")))</f>
        <v xml:space="preserve"> </v>
      </c>
      <c r="AF109">
        <v>108</v>
      </c>
      <c r="AG109">
        <v>100109</v>
      </c>
      <c r="AH109">
        <v>109</v>
      </c>
      <c r="AI109" t="b">
        <f t="shared" si="1"/>
        <v>1</v>
      </c>
      <c r="AJ109" t="b">
        <f>COUNTBLANK(metadata!B109:AB109)=COLUMNS(metadata!B109:AB109)</f>
        <v>1</v>
      </c>
      <c r="AK109" t="str">
        <v/>
      </c>
      <c r="AM109" t="b">
        <f ca="1">AND(IF(metadata!B109="",FALSE,TRUE),COUNTIF(metadata!B:B, metadata!B109) = 1,NOT(ISERROR(SUMPRODUCT(SEARCH(MID(metadata!B109,ROW(INDIRECT("1:"&amp;LEN(metadata!B109))), 1),"0123456789abcdefghijklmnopqrstuvwxyzABCDEFGHIJKLMNOPQRSTUVWXYZ.")))))</f>
        <v>0</v>
      </c>
      <c r="AN109" t="b">
        <f ca="1">OR(AND(IF(metadata!C109="",FALSE,TRUE),OR(EXACT(metadata!C109,"missing: not collected"),EXACT(metadata!C109,"missing: not provided"),EXACT(metadata!C109,"missing: restricted access"))),AND(IF(metadata!C109="",FALSE,TRUE),AND(AND(IFERROR(INT(LEFT(metadata!C109,4))&gt;1900,FALSE),IFERROR(INT(LEFT(metadata!C109,4))&lt;=YEAR(NOW()),FALSE)), OR(MID(metadata!C109,5,1)="", AND(AND(MID(metadata!C109,5,1)="-",IFERROR(INT(MID(metadata!C109,6,1))&gt;=0,FALSE),IFERROR(INT(MID(metadata!C109,6,1))&lt;=1,FALSE),NOT(MID(metadata!C109,7,1)=""),IFERROR(INT(MID(metadata!C109,6,2))&gt;=1,FALSE),IFERROR(INT(MID(metadata!C109,6,2))&lt;=12,FALSE)), OR(MID(metadata!C109,8,1)="", AND(AND(MID(metadata!C109,8,1)="-",IFERROR(INT(MID(metadata!C109,9,1))&gt;=0,FALSE),IFERROR(INT(MID(metadata!C109,9,1))&lt;=3,FALSE),NOT(MID(metadata!C109,10,1)=""),IFERROR(INT(MID(metadata!C109,9,2))&gt;=1,FALSE),IFERROR(INT(MID(metadata!C109,9,2))&lt;=31,FALSE)), OR(MID(metadata!C109,11,1)="", AND(AND(MID(metadata!C109,11,1)=" ",IFERROR(INT(MID(metadata!C109,12,1))&gt;=0,FALSE),IFERROR(INT(MID(metadata!C109,12,1))&lt;=2,FALSE),NOT(MID(metadata!C109,13,1)=""),IFERROR(INT(MID(metadata!C109,12,2))&gt;=0,FALSE),IFERROR(INT(MID(metadata!C109,12,2))&lt;=23,FALSE)), OR(MID(metadata!C109,14,1)="", AND(AND(MID(metadata!C109,14,1)=":",IFERROR(INT(MID(metadata!C109,15,1))&gt;=0,FALSE),IFERROR(INT(MID(metadata!C109,15,1))&lt;=5,FALSE),NOT(MID(metadata!C109,16,1)=""),IFERROR(INT(MID(metadata!C109,15,2))&gt;=0,FALSE),IFERROR(INT(MID(metadata!C109,15,2))&lt;=59,FALSE)), OR(MID(metadata!C109,17,1)="", AND(AND(MID(metadata!C109,17,1)=":",IFERROR(INT(MID(metadata!C109,18,1))&gt;=0,FALSE),IFERROR(INT(MID(metadata!C109,18,1))&lt;=5,FALSE),NOT(MID(metadata!C109,19,1)=""),IFERROR(INT(MID(metadata!C109,18,2))&gt;=0,FALSE),IFERROR(INT(MID(metadata!C109,18,2))&lt;=59,FALSE)), LEN(metadata!C109)&lt;=19)))))))))))))</f>
        <v>0</v>
      </c>
      <c r="AO109" t="b">
        <f>AND(IF(metadata!D109="",FALSE,TRUE),EXACT(metadata!D109,"Not applicable"))</f>
        <v>0</v>
      </c>
      <c r="AP109" t="b">
        <f>IF(metadata!E109="",FALSE,TRUE)</f>
        <v>0</v>
      </c>
      <c r="AQ109" t="b">
        <f>OR(AND(IF(metadata!F109="",FALSE,TRUE),OR(EXACT(metadata!F109,"missing: not collected"),EXACT(metadata!F109,"missing: not provided"))),AND(IF(metadata!F109="",FALSE,TRUE),OR(EXACT(metadata!F109,"TRUE"),EXACT(metadata!F109,"FALSE"))))</f>
        <v>0</v>
      </c>
      <c r="AR109" t="b">
        <f>OR(AND(IF(metadata!G109="",FALSE,TRUE),OR(EXACT(metadata!G109,"missing: not collected"),EXACT(metadata!G109,"missing: not provided"),EXACT(metadata!G109,"missing: restricted access"))),AND(IF(metadata!G109="",FALSE,ISNUMBER(VALUE(metadata!G109))),metadata!G109&gt;=-413))</f>
        <v>0</v>
      </c>
      <c r="AS109" t="b">
        <f>AND(IF(metadata!H109="",FALSE,TRUE),EXACT(metadata!H109,"meters"))</f>
        <v>0</v>
      </c>
      <c r="AT109" t="b">
        <f>AND(IF(metadata!I109="",FALSE,TRUE),OR(EXACT(metadata!I109,"Host-associated"),EXACT(metadata!I109,"Free-living")))</f>
        <v>0</v>
      </c>
      <c r="AU109" t="b">
        <f>AND(IF(metadata!J109="",FALSE,TRUE),OR(EXACT(metadata!J109,"Animal"),EXACT(metadata!J109,"Fungus"),EXACT(metadata!J109,"Plant"),EXACT(metadata!J109,"Saline"),EXACT(metadata!J109,"Non-saline")))</f>
        <v>0</v>
      </c>
      <c r="AV109" t="b">
        <f>AND(IF(metadata!K109="",FALSE,TRUE),OR(EXACT(metadata!K109,"Plant secretion"),EXACT(metadata!K109,"Plant rhizosphere"),EXACT(metadata!K109,"Plant surface"),EXACT(metadata!K109,"Plant corpus"),EXACT(metadata!K109,"Fungus surface"),EXACT(metadata!K109,"Fungus corpus"),EXACT(metadata!K109,"Animal surface"),EXACT(metadata!K109,"Animal proximal gut"),EXACT(metadata!K109,"Animal corpus"),EXACT(metadata!K109,"Animal distal gut"),EXACT(metadata!K109,"Animal secretion"),EXACT(metadata!K109,"Sub-surface (non-saline)"),EXACT(metadata!K109,"Surface (non-saline)"),EXACT(metadata!K109,"Water (non-saline)"),EXACT(metadata!K109,"Soil (non-saline)"),EXACT(metadata!K109,"Aerosol (non-saline)"),EXACT(metadata!K109,"Sediment (non-saline)"),EXACT(metadata!K109,"Surface (saline)"),EXACT(metadata!K109,"Water (saline)"),EXACT(metadata!K109,"Hypersaline (saline)"),EXACT(metadata!K109,"Aerosol (saline)"),EXACT(metadata!K109,"Sediment (saline)")))</f>
        <v>0</v>
      </c>
      <c r="AW109" t="b">
        <f>IF(metadata!L109="",FALSE,TRUE)</f>
        <v>0</v>
      </c>
      <c r="AX109" t="b">
        <f>IF(metadata!M109="",FALSE,TRUE)</f>
        <v>0</v>
      </c>
      <c r="AY109" t="b">
        <f>IF(metadata!N109="",FALSE,TRUE)</f>
        <v>0</v>
      </c>
      <c r="AZ109" t="b">
        <f>OR(AND(IF(metadata!O109="",FALSE,TRUE),OR(EXACT(metadata!O109,"missing: not collected"),EXACT(metadata!O109,"missing: not provided"),EXACT(metadata!O109,"missing: restricted access"))),AND(IF(metadata!O109="",FALSE,TRUE),OR(EXACT(metadata!O109,"air"),EXACT(metadata!O109,"built environment"),EXACT(metadata!O109,"host-associated"),EXACT(metadata!O109,"human-associated"),EXACT(metadata!O109,"human-skin"),EXACT(metadata!O109,"human-oral"),EXACT(metadata!O109,"human-gut"),EXACT(metadata!O109,"human-vaginal"),EXACT(metadata!O109,"microbial mat/biofilm"),EXACT(metadata!O109,"misc environment"),EXACT(metadata!O109,"plant-associated"),EXACT(metadata!O109,"sediment"),EXACT(metadata!O109,"soil"),EXACT(metadata!O109,"wastewater/sludge"),EXACT(metadata!O109,"water"))))</f>
        <v>0</v>
      </c>
      <c r="BA109" t="b">
        <f>IF(metadata!P109="",FALSE,TRUE)</f>
        <v>0</v>
      </c>
      <c r="BB109" t="b">
        <f>IF(metadata!Q109="",FALSE,TRUE)</f>
        <v>0</v>
      </c>
      <c r="BC109" t="b">
        <f>OR(AND(IF(metadata!R109="",FALSE,TRUE),OR(EXACT(metadata!R109,"missing: not collected"),EXACT(metadata!R109,"missing: not provided"),EXACT(metadata!R109,"missing: restricted access"))),AND(IF(metadata!R109="",FALSE,ISNUMBER(VALUE(metadata!R109))),metadata!R109&gt;=-90,metadata!R109&lt;=90))</f>
        <v>0</v>
      </c>
      <c r="BD109" t="b">
        <f>AND(IF(metadata!S109="",FALSE,TRUE),EXACT(metadata!S109,"Decimal degrees"))</f>
        <v>0</v>
      </c>
      <c r="BE109" t="b">
        <f>OR(AND(IF(metadata!T109="",FALSE,TRUE),OR(EXACT(metadata!T109,"missing: not collected"),EXACT(metadata!T109,"missing: not provided"),EXACT(metadata!T109,"missing: restricted access"))),AND(IF(metadata!T109="",FALSE,ISNUMBER(VALUE(metadata!T109))),metadata!T109&gt;=-180,metadata!T109&lt;=180))</f>
        <v>0</v>
      </c>
      <c r="BF109" t="b">
        <f>AND(IF(metadata!U109="",FALSE,TRUE),EXACT(metadata!U109,"Decimal degrees"))</f>
        <v>0</v>
      </c>
      <c r="BG109" t="b">
        <f>IF(metadata!V109="",FALSE,TRUE)</f>
        <v>0</v>
      </c>
      <c r="BH109" t="b">
        <f>OR(AND(IF(metadata!W109="",FALSE,TRUE),OR(EXACT(metadata!W109,"missing: not collected"),EXACT(metadata!W109,"missing: not provided"),EXACT(metadata!W109,"missing: restricted access"))),AND(IF(metadata!W109="",FALSE,TRUE),OR(EXACT(metadata!W109,"TRUE"),EXACT(metadata!W109,"FALSE"))))</f>
        <v>0</v>
      </c>
      <c r="BI109" t="b">
        <f>AND(IF(metadata!X109="",FALSE,TRUE),EXACT(metadata!X109,"other"))</f>
        <v>0</v>
      </c>
      <c r="BJ109" t="b">
        <f>IF(metadata!Y109="",FALSE,TRUE)</f>
        <v>0</v>
      </c>
      <c r="BK109" t="b">
        <f>OR(AND(IF(metadata!Z109="",FALSE,TRUE),OR(EXACT(metadata!Z109,"missing: not collected"),EXACT(metadata!Z109,"missing: not provided"))),AND(IF(metadata!Z109="",FALSE,IF(ISERROR(INT(metadata!Z109)),FALSE,INT(metadata!Z109)=metadata!Z109)),metadata!Z109&gt;0))</f>
        <v>0</v>
      </c>
      <c r="BL109" t="b">
        <f>AND(IF(metadata!AA109="",FALSE,TRUE),EXACT(metadata!AA109,"Not applicable"))</f>
        <v>0</v>
      </c>
      <c r="BM109" t="b">
        <f>IF(metadata!AB109="",FALSE,TRUE)</f>
        <v>0</v>
      </c>
    </row>
    <row r="110" spans="1:65" x14ac:dyDescent="0.2">
      <c r="A110" s="5" t="str">
        <f ca="1">IF(B110=" "," ",HYPERLINK(CONCATENATE("#metadata!",ADDRESS(INDEX($AH$2:$AH$1001,MATCH(ROWS($AF$2:AF110),$AF$2:$AF$1001,0),0),1)),INDEX($AK$2:$AK$1001,MATCH(ROWS($AF$2:AF110),$AF$2:$AF$1001,0),0)))</f>
        <v xml:space="preserve"> </v>
      </c>
      <c r="B110" s="4" t="str">
        <f ca="1">IF(OR(INDEX($AG$2:$AG$1001,MATCH(ROWS($AF$2:AF110),$AF$2:$AF$1001,0),1)&gt;=100000,INDEX($AM$1005:$BM$1005,1,MATCH(COLUMNS($AM$1006:AM1006),$AM$1006:$BM$1006,0))&gt;=100000), " ",IF(INDEX($AM$2:$BM$1001,MATCH(ROWS($AF$2:AF110),$AF$2:$AF$1001,0),MATCH(COLUMNS($AM$1006:AM1006),$AM$1006:$BM$1006,0)), HYPERLINK("#",""), HYPERLINK(CONCATENATE("#metadata!", ADDRESS(INDEX($AH$2:$AH$1001,MATCH(ROWS($AF$2:AF110),$AF$2:$AF$1001,0),0), INDEX($AM$1004:$BM$1004,1,MATCH(COLUMNS($AM$1006:AM1006),$AM$1006:$BM$1006,0)))),"Fix")))</f>
        <v xml:space="preserve"> </v>
      </c>
      <c r="C110" s="4" t="str">
        <f ca="1">IF(OR(INDEX($AG$2:$AG$1001,MATCH(ROWS($AF$2:AF110),$AF$2:$AF$1001,0),1)&gt;=100000,INDEX($AM$1005:$BM$1005,1,MATCH(COLUMNS($AM$1006:AN1006),$AM$1006:$BM$1006,0))&gt;=100000), " ",IF(INDEX($AM$2:$BM$1001,MATCH(ROWS($AF$2:AF110),$AF$2:$AF$1001,0),MATCH(COLUMNS($AM$1006:AN1006),$AM$1006:$BM$1006,0)), HYPERLINK("#",""), HYPERLINK(CONCATENATE("#metadata!", ADDRESS(INDEX($AH$2:$AH$1001,MATCH(ROWS($AF$2:AF110),$AF$2:$AF$1001,0),0), INDEX($AM$1004:$BM$1004,1,MATCH(COLUMNS($AM$1006:AN1006),$AM$1006:$BM$1006,0)))),"Fix")))</f>
        <v xml:space="preserve"> </v>
      </c>
      <c r="D110" s="4" t="str">
        <f ca="1">IF(OR(INDEX($AG$2:$AG$1001,MATCH(ROWS($AF$2:AF110),$AF$2:$AF$1001,0),1)&gt;=100000,INDEX($AM$1005:$BM$1005,1,MATCH(COLUMNS($AM$1006:AO1006),$AM$1006:$BM$1006,0))&gt;=100000), " ",IF(INDEX($AM$2:$BM$1001,MATCH(ROWS($AF$2:AF110),$AF$2:$AF$1001,0),MATCH(COLUMNS($AM$1006:AO1006),$AM$1006:$BM$1006,0)), HYPERLINK("#",""), HYPERLINK(CONCATENATE("#metadata!", ADDRESS(INDEX($AH$2:$AH$1001,MATCH(ROWS($AF$2:AF110),$AF$2:$AF$1001,0),0), INDEX($AM$1004:$BM$1004,1,MATCH(COLUMNS($AM$1006:AO1006),$AM$1006:$BM$1006,0)))),"Fix")))</f>
        <v xml:space="preserve"> </v>
      </c>
      <c r="E110" s="4" t="str">
        <f ca="1">IF(OR(INDEX($AG$2:$AG$1001,MATCH(ROWS($AF$2:AF110),$AF$2:$AF$1001,0),1)&gt;=100000,INDEX($AM$1005:$BM$1005,1,MATCH(COLUMNS($AM$1006:AP1006),$AM$1006:$BM$1006,0))&gt;=100000), " ",IF(INDEX($AM$2:$BM$1001,MATCH(ROWS($AF$2:AF110),$AF$2:$AF$1001,0),MATCH(COLUMNS($AM$1006:AP1006),$AM$1006:$BM$1006,0)), HYPERLINK("#",""), HYPERLINK(CONCATENATE("#metadata!", ADDRESS(INDEX($AH$2:$AH$1001,MATCH(ROWS($AF$2:AF110),$AF$2:$AF$1001,0),0), INDEX($AM$1004:$BM$1004,1,MATCH(COLUMNS($AM$1006:AP1006),$AM$1006:$BM$1006,0)))),"Fix")))</f>
        <v xml:space="preserve"> </v>
      </c>
      <c r="F110" s="4" t="str">
        <f ca="1">IF(OR(INDEX($AG$2:$AG$1001,MATCH(ROWS($AF$2:AF110),$AF$2:$AF$1001,0),1)&gt;=100000,INDEX($AM$1005:$BM$1005,1,MATCH(COLUMNS($AM$1006:AQ1006),$AM$1006:$BM$1006,0))&gt;=100000), " ",IF(INDEX($AM$2:$BM$1001,MATCH(ROWS($AF$2:AF110),$AF$2:$AF$1001,0),MATCH(COLUMNS($AM$1006:AQ1006),$AM$1006:$BM$1006,0)), HYPERLINK("#",""), HYPERLINK(CONCATENATE("#metadata!", ADDRESS(INDEX($AH$2:$AH$1001,MATCH(ROWS($AF$2:AF110),$AF$2:$AF$1001,0),0), INDEX($AM$1004:$BM$1004,1,MATCH(COLUMNS($AM$1006:AQ1006),$AM$1006:$BM$1006,0)))),"Fix")))</f>
        <v xml:space="preserve"> </v>
      </c>
      <c r="G110" s="4" t="str">
        <f ca="1">IF(OR(INDEX($AG$2:$AG$1001,MATCH(ROWS($AF$2:AF110),$AF$2:$AF$1001,0),1)&gt;=100000,INDEX($AM$1005:$BM$1005,1,MATCH(COLUMNS($AM$1006:AR1006),$AM$1006:$BM$1006,0))&gt;=100000), " ",IF(INDEX($AM$2:$BM$1001,MATCH(ROWS($AF$2:AF110),$AF$2:$AF$1001,0),MATCH(COLUMNS($AM$1006:AR1006),$AM$1006:$BM$1006,0)), HYPERLINK("#",""), HYPERLINK(CONCATENATE("#metadata!", ADDRESS(INDEX($AH$2:$AH$1001,MATCH(ROWS($AF$2:AF110),$AF$2:$AF$1001,0),0), INDEX($AM$1004:$BM$1004,1,MATCH(COLUMNS($AM$1006:AR1006),$AM$1006:$BM$1006,0)))),"Fix")))</f>
        <v xml:space="preserve"> </v>
      </c>
      <c r="H110" s="4" t="str">
        <f ca="1">IF(OR(INDEX($AG$2:$AG$1001,MATCH(ROWS($AF$2:AF110),$AF$2:$AF$1001,0),1)&gt;=100000,INDEX($AM$1005:$BM$1005,1,MATCH(COLUMNS($AM$1006:AS1006),$AM$1006:$BM$1006,0))&gt;=100000), " ",IF(INDEX($AM$2:$BM$1001,MATCH(ROWS($AF$2:AF110),$AF$2:$AF$1001,0),MATCH(COLUMNS($AM$1006:AS1006),$AM$1006:$BM$1006,0)), HYPERLINK("#",""), HYPERLINK(CONCATENATE("#metadata!", ADDRESS(INDEX($AH$2:$AH$1001,MATCH(ROWS($AF$2:AF110),$AF$2:$AF$1001,0),0), INDEX($AM$1004:$BM$1004,1,MATCH(COLUMNS($AM$1006:AS1006),$AM$1006:$BM$1006,0)))),"Fix")))</f>
        <v xml:space="preserve"> </v>
      </c>
      <c r="I110" s="4" t="str">
        <f ca="1">IF(OR(INDEX($AG$2:$AG$1001,MATCH(ROWS($AF$2:AF110),$AF$2:$AF$1001,0),1)&gt;=100000,INDEX($AM$1005:$BM$1005,1,MATCH(COLUMNS($AM$1006:AT1006),$AM$1006:$BM$1006,0))&gt;=100000), " ",IF(INDEX($AM$2:$BM$1001,MATCH(ROWS($AF$2:AF110),$AF$2:$AF$1001,0),MATCH(COLUMNS($AM$1006:AT1006),$AM$1006:$BM$1006,0)), HYPERLINK("#",""), HYPERLINK(CONCATENATE("#metadata!", ADDRESS(INDEX($AH$2:$AH$1001,MATCH(ROWS($AF$2:AF110),$AF$2:$AF$1001,0),0), INDEX($AM$1004:$BM$1004,1,MATCH(COLUMNS($AM$1006:AT1006),$AM$1006:$BM$1006,0)))),"Fix")))</f>
        <v xml:space="preserve"> </v>
      </c>
      <c r="J110" s="4" t="str">
        <f ca="1">IF(OR(INDEX($AG$2:$AG$1001,MATCH(ROWS($AF$2:AF110),$AF$2:$AF$1001,0),1)&gt;=100000,INDEX($AM$1005:$BM$1005,1,MATCH(COLUMNS($AM$1006:AU1006),$AM$1006:$BM$1006,0))&gt;=100000), " ",IF(INDEX($AM$2:$BM$1001,MATCH(ROWS($AF$2:AF110),$AF$2:$AF$1001,0),MATCH(COLUMNS($AM$1006:AU1006),$AM$1006:$BM$1006,0)), HYPERLINK("#",""), HYPERLINK(CONCATENATE("#metadata!", ADDRESS(INDEX($AH$2:$AH$1001,MATCH(ROWS($AF$2:AF110),$AF$2:$AF$1001,0),0), INDEX($AM$1004:$BM$1004,1,MATCH(COLUMNS($AM$1006:AU1006),$AM$1006:$BM$1006,0)))),"Fix")))</f>
        <v xml:space="preserve"> </v>
      </c>
      <c r="K110" s="4" t="str">
        <f ca="1">IF(OR(INDEX($AG$2:$AG$1001,MATCH(ROWS($AF$2:AF110),$AF$2:$AF$1001,0),1)&gt;=100000,INDEX($AM$1005:$BM$1005,1,MATCH(COLUMNS($AM$1006:AV1006),$AM$1006:$BM$1006,0))&gt;=100000), " ",IF(INDEX($AM$2:$BM$1001,MATCH(ROWS($AF$2:AF110),$AF$2:$AF$1001,0),MATCH(COLUMNS($AM$1006:AV1006),$AM$1006:$BM$1006,0)), HYPERLINK("#",""), HYPERLINK(CONCATENATE("#metadata!", ADDRESS(INDEX($AH$2:$AH$1001,MATCH(ROWS($AF$2:AF110),$AF$2:$AF$1001,0),0), INDEX($AM$1004:$BM$1004,1,MATCH(COLUMNS($AM$1006:AV1006),$AM$1006:$BM$1006,0)))),"Fix")))</f>
        <v xml:space="preserve"> </v>
      </c>
      <c r="L110" s="4" t="str">
        <f ca="1">IF(OR(INDEX($AG$2:$AG$1001,MATCH(ROWS($AF$2:AF110),$AF$2:$AF$1001,0),1)&gt;=100000,INDEX($AM$1005:$BM$1005,1,MATCH(COLUMNS($AM$1006:AW1006),$AM$1006:$BM$1006,0))&gt;=100000), " ",IF(INDEX($AM$2:$BM$1001,MATCH(ROWS($AF$2:AF110),$AF$2:$AF$1001,0),MATCH(COLUMNS($AM$1006:AW1006),$AM$1006:$BM$1006,0)), HYPERLINK("#",""), HYPERLINK(CONCATENATE("#metadata!", ADDRESS(INDEX($AH$2:$AH$1001,MATCH(ROWS($AF$2:AF110),$AF$2:$AF$1001,0),0), INDEX($AM$1004:$BM$1004,1,MATCH(COLUMNS($AM$1006:AW1006),$AM$1006:$BM$1006,0)))),"Fix")))</f>
        <v xml:space="preserve"> </v>
      </c>
      <c r="M110" s="4" t="str">
        <f ca="1">IF(OR(INDEX($AG$2:$AG$1001,MATCH(ROWS($AF$2:AF110),$AF$2:$AF$1001,0),1)&gt;=100000,INDEX($AM$1005:$BM$1005,1,MATCH(COLUMNS($AM$1006:AX1006),$AM$1006:$BM$1006,0))&gt;=100000), " ",IF(INDEX($AM$2:$BM$1001,MATCH(ROWS($AF$2:AF110),$AF$2:$AF$1001,0),MATCH(COLUMNS($AM$1006:AX1006),$AM$1006:$BM$1006,0)), HYPERLINK("#",""), HYPERLINK(CONCATENATE("#metadata!", ADDRESS(INDEX($AH$2:$AH$1001,MATCH(ROWS($AF$2:AF110),$AF$2:$AF$1001,0),0), INDEX($AM$1004:$BM$1004,1,MATCH(COLUMNS($AM$1006:AX1006),$AM$1006:$BM$1006,0)))),"Fix")))</f>
        <v xml:space="preserve"> </v>
      </c>
      <c r="N110" s="4" t="str">
        <f ca="1">IF(OR(INDEX($AG$2:$AG$1001,MATCH(ROWS($AF$2:AF110),$AF$2:$AF$1001,0),1)&gt;=100000,INDEX($AM$1005:$BM$1005,1,MATCH(COLUMNS($AM$1006:AY1006),$AM$1006:$BM$1006,0))&gt;=100000), " ",IF(INDEX($AM$2:$BM$1001,MATCH(ROWS($AF$2:AF110),$AF$2:$AF$1001,0),MATCH(COLUMNS($AM$1006:AY1006),$AM$1006:$BM$1006,0)), HYPERLINK("#",""), HYPERLINK(CONCATENATE("#metadata!", ADDRESS(INDEX($AH$2:$AH$1001,MATCH(ROWS($AF$2:AF110),$AF$2:$AF$1001,0),0), INDEX($AM$1004:$BM$1004,1,MATCH(COLUMNS($AM$1006:AY1006),$AM$1006:$BM$1006,0)))),"Fix")))</f>
        <v xml:space="preserve"> </v>
      </c>
      <c r="O110" s="4" t="str">
        <f ca="1">IF(OR(INDEX($AG$2:$AG$1001,MATCH(ROWS($AF$2:AF110),$AF$2:$AF$1001,0),1)&gt;=100000,INDEX($AM$1005:$BM$1005,1,MATCH(COLUMNS($AM$1006:AZ1006),$AM$1006:$BM$1006,0))&gt;=100000), " ",IF(INDEX($AM$2:$BM$1001,MATCH(ROWS($AF$2:AF110),$AF$2:$AF$1001,0),MATCH(COLUMNS($AM$1006:AZ1006),$AM$1006:$BM$1006,0)), HYPERLINK("#",""), HYPERLINK(CONCATENATE("#metadata!", ADDRESS(INDEX($AH$2:$AH$1001,MATCH(ROWS($AF$2:AF110),$AF$2:$AF$1001,0),0), INDEX($AM$1004:$BM$1004,1,MATCH(COLUMNS($AM$1006:AZ1006),$AM$1006:$BM$1006,0)))),"Fix")))</f>
        <v xml:space="preserve"> </v>
      </c>
      <c r="P110" s="4" t="str">
        <f ca="1">IF(OR(INDEX($AG$2:$AG$1001,MATCH(ROWS($AF$2:AF110),$AF$2:$AF$1001,0),1)&gt;=100000,INDEX($AM$1005:$BM$1005,1,MATCH(COLUMNS($AM$1006:BA1006),$AM$1006:$BM$1006,0))&gt;=100000), " ",IF(INDEX($AM$2:$BM$1001,MATCH(ROWS($AF$2:AF110),$AF$2:$AF$1001,0),MATCH(COLUMNS($AM$1006:BA1006),$AM$1006:$BM$1006,0)), HYPERLINK("#",""), HYPERLINK(CONCATENATE("#metadata!", ADDRESS(INDEX($AH$2:$AH$1001,MATCH(ROWS($AF$2:AF110),$AF$2:$AF$1001,0),0), INDEX($AM$1004:$BM$1004,1,MATCH(COLUMNS($AM$1006:BA1006),$AM$1006:$BM$1006,0)))),"Fix")))</f>
        <v xml:space="preserve"> </v>
      </c>
      <c r="Q110" s="4" t="str">
        <f ca="1">IF(OR(INDEX($AG$2:$AG$1001,MATCH(ROWS($AF$2:AF110),$AF$2:$AF$1001,0),1)&gt;=100000,INDEX($AM$1005:$BM$1005,1,MATCH(COLUMNS($AM$1006:BB1006),$AM$1006:$BM$1006,0))&gt;=100000), " ",IF(INDEX($AM$2:$BM$1001,MATCH(ROWS($AF$2:AF110),$AF$2:$AF$1001,0),MATCH(COLUMNS($AM$1006:BB1006),$AM$1006:$BM$1006,0)), HYPERLINK("#",""), HYPERLINK(CONCATENATE("#metadata!", ADDRESS(INDEX($AH$2:$AH$1001,MATCH(ROWS($AF$2:AF110),$AF$2:$AF$1001,0),0), INDEX($AM$1004:$BM$1004,1,MATCH(COLUMNS($AM$1006:BB1006),$AM$1006:$BM$1006,0)))),"Fix")))</f>
        <v xml:space="preserve"> </v>
      </c>
      <c r="R110" s="4" t="str">
        <f ca="1">IF(OR(INDEX($AG$2:$AG$1001,MATCH(ROWS($AF$2:AF110),$AF$2:$AF$1001,0),1)&gt;=100000,INDEX($AM$1005:$BM$1005,1,MATCH(COLUMNS($AM$1006:BC1006),$AM$1006:$BM$1006,0))&gt;=100000), " ",IF(INDEX($AM$2:$BM$1001,MATCH(ROWS($AF$2:AF110),$AF$2:$AF$1001,0),MATCH(COLUMNS($AM$1006:BC1006),$AM$1006:$BM$1006,0)), HYPERLINK("#",""), HYPERLINK(CONCATENATE("#metadata!", ADDRESS(INDEX($AH$2:$AH$1001,MATCH(ROWS($AF$2:AF110),$AF$2:$AF$1001,0),0), INDEX($AM$1004:$BM$1004,1,MATCH(COLUMNS($AM$1006:BC1006),$AM$1006:$BM$1006,0)))),"Fix")))</f>
        <v xml:space="preserve"> </v>
      </c>
      <c r="S110" s="4" t="str">
        <f ca="1">IF(OR(INDEX($AG$2:$AG$1001,MATCH(ROWS($AF$2:AF110),$AF$2:$AF$1001,0),1)&gt;=100000,INDEX($AM$1005:$BM$1005,1,MATCH(COLUMNS($AM$1006:BD1006),$AM$1006:$BM$1006,0))&gt;=100000), " ",IF(INDEX($AM$2:$BM$1001,MATCH(ROWS($AF$2:AF110),$AF$2:$AF$1001,0),MATCH(COLUMNS($AM$1006:BD1006),$AM$1006:$BM$1006,0)), HYPERLINK("#",""), HYPERLINK(CONCATENATE("#metadata!", ADDRESS(INDEX($AH$2:$AH$1001,MATCH(ROWS($AF$2:AF110),$AF$2:$AF$1001,0),0), INDEX($AM$1004:$BM$1004,1,MATCH(COLUMNS($AM$1006:BD1006),$AM$1006:$BM$1006,0)))),"Fix")))</f>
        <v xml:space="preserve"> </v>
      </c>
      <c r="T110" s="4" t="str">
        <f ca="1">IF(OR(INDEX($AG$2:$AG$1001,MATCH(ROWS($AF$2:AF110),$AF$2:$AF$1001,0),1)&gt;=100000,INDEX($AM$1005:$BM$1005,1,MATCH(COLUMNS($AM$1006:BE1006),$AM$1006:$BM$1006,0))&gt;=100000), " ",IF(INDEX($AM$2:$BM$1001,MATCH(ROWS($AF$2:AF110),$AF$2:$AF$1001,0),MATCH(COLUMNS($AM$1006:BE1006),$AM$1006:$BM$1006,0)), HYPERLINK("#",""), HYPERLINK(CONCATENATE("#metadata!", ADDRESS(INDEX($AH$2:$AH$1001,MATCH(ROWS($AF$2:AF110),$AF$2:$AF$1001,0),0), INDEX($AM$1004:$BM$1004,1,MATCH(COLUMNS($AM$1006:BE1006),$AM$1006:$BM$1006,0)))),"Fix")))</f>
        <v xml:space="preserve"> </v>
      </c>
      <c r="U110" s="4" t="str">
        <f ca="1">IF(OR(INDEX($AG$2:$AG$1001,MATCH(ROWS($AF$2:AF110),$AF$2:$AF$1001,0),1)&gt;=100000,INDEX($AM$1005:$BM$1005,1,MATCH(COLUMNS($AM$1006:BF1006),$AM$1006:$BM$1006,0))&gt;=100000), " ",IF(INDEX($AM$2:$BM$1001,MATCH(ROWS($AF$2:AF110),$AF$2:$AF$1001,0),MATCH(COLUMNS($AM$1006:BF1006),$AM$1006:$BM$1006,0)), HYPERLINK("#",""), HYPERLINK(CONCATENATE("#metadata!", ADDRESS(INDEX($AH$2:$AH$1001,MATCH(ROWS($AF$2:AF110),$AF$2:$AF$1001,0),0), INDEX($AM$1004:$BM$1004,1,MATCH(COLUMNS($AM$1006:BF1006),$AM$1006:$BM$1006,0)))),"Fix")))</f>
        <v xml:space="preserve"> </v>
      </c>
      <c r="V110" s="4" t="str">
        <f ca="1">IF(OR(INDEX($AG$2:$AG$1001,MATCH(ROWS($AF$2:AF110),$AF$2:$AF$1001,0),1)&gt;=100000,INDEX($AM$1005:$BM$1005,1,MATCH(COLUMNS($AM$1006:BG1006),$AM$1006:$BM$1006,0))&gt;=100000), " ",IF(INDEX($AM$2:$BM$1001,MATCH(ROWS($AF$2:AF110),$AF$2:$AF$1001,0),MATCH(COLUMNS($AM$1006:BG1006),$AM$1006:$BM$1006,0)), HYPERLINK("#",""), HYPERLINK(CONCATENATE("#metadata!", ADDRESS(INDEX($AH$2:$AH$1001,MATCH(ROWS($AF$2:AF110),$AF$2:$AF$1001,0),0), INDEX($AM$1004:$BM$1004,1,MATCH(COLUMNS($AM$1006:BG1006),$AM$1006:$BM$1006,0)))),"Fix")))</f>
        <v xml:space="preserve"> </v>
      </c>
      <c r="W110" s="4" t="str">
        <f ca="1">IF(OR(INDEX($AG$2:$AG$1001,MATCH(ROWS($AF$2:AF110),$AF$2:$AF$1001,0),1)&gt;=100000,INDEX($AM$1005:$BM$1005,1,MATCH(COLUMNS($AM$1006:BH1006),$AM$1006:$BM$1006,0))&gt;=100000), " ",IF(INDEX($AM$2:$BM$1001,MATCH(ROWS($AF$2:AF110),$AF$2:$AF$1001,0),MATCH(COLUMNS($AM$1006:BH1006),$AM$1006:$BM$1006,0)), HYPERLINK("#",""), HYPERLINK(CONCATENATE("#metadata!", ADDRESS(INDEX($AH$2:$AH$1001,MATCH(ROWS($AF$2:AF110),$AF$2:$AF$1001,0),0), INDEX($AM$1004:$BM$1004,1,MATCH(COLUMNS($AM$1006:BH1006),$AM$1006:$BM$1006,0)))),"Fix")))</f>
        <v xml:space="preserve"> </v>
      </c>
      <c r="X110" s="4" t="str">
        <f ca="1">IF(OR(INDEX($AG$2:$AG$1001,MATCH(ROWS($AF$2:AF110),$AF$2:$AF$1001,0),1)&gt;=100000,INDEX($AM$1005:$BM$1005,1,MATCH(COLUMNS($AM$1006:BI1006),$AM$1006:$BM$1006,0))&gt;=100000), " ",IF(INDEX($AM$2:$BM$1001,MATCH(ROWS($AF$2:AF110),$AF$2:$AF$1001,0),MATCH(COLUMNS($AM$1006:BI1006),$AM$1006:$BM$1006,0)), HYPERLINK("#",""), HYPERLINK(CONCATENATE("#metadata!", ADDRESS(INDEX($AH$2:$AH$1001,MATCH(ROWS($AF$2:AF110),$AF$2:$AF$1001,0),0), INDEX($AM$1004:$BM$1004,1,MATCH(COLUMNS($AM$1006:BI1006),$AM$1006:$BM$1006,0)))),"Fix")))</f>
        <v xml:space="preserve"> </v>
      </c>
      <c r="Y110" s="4" t="str">
        <f ca="1">IF(OR(INDEX($AG$2:$AG$1001,MATCH(ROWS($AF$2:AF110),$AF$2:$AF$1001,0),1)&gt;=100000,INDEX($AM$1005:$BM$1005,1,MATCH(COLUMNS($AM$1006:BJ1006),$AM$1006:$BM$1006,0))&gt;=100000), " ",IF(INDEX($AM$2:$BM$1001,MATCH(ROWS($AF$2:AF110),$AF$2:$AF$1001,0),MATCH(COLUMNS($AM$1006:BJ1006),$AM$1006:$BM$1006,0)), HYPERLINK("#",""), HYPERLINK(CONCATENATE("#metadata!", ADDRESS(INDEX($AH$2:$AH$1001,MATCH(ROWS($AF$2:AF110),$AF$2:$AF$1001,0),0), INDEX($AM$1004:$BM$1004,1,MATCH(COLUMNS($AM$1006:BJ1006),$AM$1006:$BM$1006,0)))),"Fix")))</f>
        <v xml:space="preserve"> </v>
      </c>
      <c r="Z110" s="4" t="str">
        <f ca="1">IF(OR(INDEX($AG$2:$AG$1001,MATCH(ROWS($AF$2:AF110),$AF$2:$AF$1001,0),1)&gt;=100000,INDEX($AM$1005:$BM$1005,1,MATCH(COLUMNS($AM$1006:BK1006),$AM$1006:$BM$1006,0))&gt;=100000), " ",IF(INDEX($AM$2:$BM$1001,MATCH(ROWS($AF$2:AF110),$AF$2:$AF$1001,0),MATCH(COLUMNS($AM$1006:BK1006),$AM$1006:$BM$1006,0)), HYPERLINK("#",""), HYPERLINK(CONCATENATE("#metadata!", ADDRESS(INDEX($AH$2:$AH$1001,MATCH(ROWS($AF$2:AF110),$AF$2:$AF$1001,0),0), INDEX($AM$1004:$BM$1004,1,MATCH(COLUMNS($AM$1006:BK1006),$AM$1006:$BM$1006,0)))),"Fix")))</f>
        <v xml:space="preserve"> </v>
      </c>
      <c r="AA110" s="4" t="str">
        <f ca="1">IF(OR(INDEX($AG$2:$AG$1001,MATCH(ROWS($AF$2:AF110),$AF$2:$AF$1001,0),1)&gt;=100000,INDEX($AM$1005:$BM$1005,1,MATCH(COLUMNS($AM$1006:BL1006),$AM$1006:$BM$1006,0))&gt;=100000), " ",IF(INDEX($AM$2:$BM$1001,MATCH(ROWS($AF$2:AF110),$AF$2:$AF$1001,0),MATCH(COLUMNS($AM$1006:BL1006),$AM$1006:$BM$1006,0)), HYPERLINK("#",""), HYPERLINK(CONCATENATE("#metadata!", ADDRESS(INDEX($AH$2:$AH$1001,MATCH(ROWS($AF$2:AF110),$AF$2:$AF$1001,0),0), INDEX($AM$1004:$BM$1004,1,MATCH(COLUMNS($AM$1006:BL1006),$AM$1006:$BM$1006,0)))),"Fix")))</f>
        <v xml:space="preserve"> </v>
      </c>
      <c r="AB110" s="4" t="str">
        <f ca="1">IF(OR(INDEX($AG$2:$AG$1001,MATCH(ROWS($AF$2:AF110),$AF$2:$AF$1001,0),1)&gt;=100000,INDEX($AM$1005:$BM$1005,1,MATCH(COLUMNS($AM$1006:BM1006),$AM$1006:$BM$1006,0))&gt;=100000), " ",IF(INDEX($AM$2:$BM$1001,MATCH(ROWS($AF$2:AF110),$AF$2:$AF$1001,0),MATCH(COLUMNS($AM$1006:BM1006),$AM$1006:$BM$1006,0)), HYPERLINK("#",""), HYPERLINK(CONCATENATE("#metadata!", ADDRESS(INDEX($AH$2:$AH$1001,MATCH(ROWS($AF$2:AF110),$AF$2:$AF$1001,0),0), INDEX($AM$1004:$BM$1004,1,MATCH(COLUMNS($AM$1006:BM1006),$AM$1006:$BM$1006,0)))),"Fix")))</f>
        <v xml:space="preserve"> </v>
      </c>
      <c r="AF110">
        <v>109</v>
      </c>
      <c r="AG110">
        <v>100110</v>
      </c>
      <c r="AH110">
        <v>110</v>
      </c>
      <c r="AI110" t="b">
        <f t="shared" si="1"/>
        <v>1</v>
      </c>
      <c r="AJ110" t="b">
        <f>COUNTBLANK(metadata!B110:AB110)=COLUMNS(metadata!B110:AB110)</f>
        <v>1</v>
      </c>
      <c r="AK110" t="str">
        <v/>
      </c>
      <c r="AM110" t="b">
        <f ca="1">AND(IF(metadata!B110="",FALSE,TRUE),COUNTIF(metadata!B:B, metadata!B110) = 1,NOT(ISERROR(SUMPRODUCT(SEARCH(MID(metadata!B110,ROW(INDIRECT("1:"&amp;LEN(metadata!B110))), 1),"0123456789abcdefghijklmnopqrstuvwxyzABCDEFGHIJKLMNOPQRSTUVWXYZ.")))))</f>
        <v>0</v>
      </c>
      <c r="AN110" t="b">
        <f ca="1">OR(AND(IF(metadata!C110="",FALSE,TRUE),OR(EXACT(metadata!C110,"missing: not collected"),EXACT(metadata!C110,"missing: not provided"),EXACT(metadata!C110,"missing: restricted access"))),AND(IF(metadata!C110="",FALSE,TRUE),AND(AND(IFERROR(INT(LEFT(metadata!C110,4))&gt;1900,FALSE),IFERROR(INT(LEFT(metadata!C110,4))&lt;=YEAR(NOW()),FALSE)), OR(MID(metadata!C110,5,1)="", AND(AND(MID(metadata!C110,5,1)="-",IFERROR(INT(MID(metadata!C110,6,1))&gt;=0,FALSE),IFERROR(INT(MID(metadata!C110,6,1))&lt;=1,FALSE),NOT(MID(metadata!C110,7,1)=""),IFERROR(INT(MID(metadata!C110,6,2))&gt;=1,FALSE),IFERROR(INT(MID(metadata!C110,6,2))&lt;=12,FALSE)), OR(MID(metadata!C110,8,1)="", AND(AND(MID(metadata!C110,8,1)="-",IFERROR(INT(MID(metadata!C110,9,1))&gt;=0,FALSE),IFERROR(INT(MID(metadata!C110,9,1))&lt;=3,FALSE),NOT(MID(metadata!C110,10,1)=""),IFERROR(INT(MID(metadata!C110,9,2))&gt;=1,FALSE),IFERROR(INT(MID(metadata!C110,9,2))&lt;=31,FALSE)), OR(MID(metadata!C110,11,1)="", AND(AND(MID(metadata!C110,11,1)=" ",IFERROR(INT(MID(metadata!C110,12,1))&gt;=0,FALSE),IFERROR(INT(MID(metadata!C110,12,1))&lt;=2,FALSE),NOT(MID(metadata!C110,13,1)=""),IFERROR(INT(MID(metadata!C110,12,2))&gt;=0,FALSE),IFERROR(INT(MID(metadata!C110,12,2))&lt;=23,FALSE)), OR(MID(metadata!C110,14,1)="", AND(AND(MID(metadata!C110,14,1)=":",IFERROR(INT(MID(metadata!C110,15,1))&gt;=0,FALSE),IFERROR(INT(MID(metadata!C110,15,1))&lt;=5,FALSE),NOT(MID(metadata!C110,16,1)=""),IFERROR(INT(MID(metadata!C110,15,2))&gt;=0,FALSE),IFERROR(INT(MID(metadata!C110,15,2))&lt;=59,FALSE)), OR(MID(metadata!C110,17,1)="", AND(AND(MID(metadata!C110,17,1)=":",IFERROR(INT(MID(metadata!C110,18,1))&gt;=0,FALSE),IFERROR(INT(MID(metadata!C110,18,1))&lt;=5,FALSE),NOT(MID(metadata!C110,19,1)=""),IFERROR(INT(MID(metadata!C110,18,2))&gt;=0,FALSE),IFERROR(INT(MID(metadata!C110,18,2))&lt;=59,FALSE)), LEN(metadata!C110)&lt;=19)))))))))))))</f>
        <v>0</v>
      </c>
      <c r="AO110" t="b">
        <f>AND(IF(metadata!D110="",FALSE,TRUE),EXACT(metadata!D110,"Not applicable"))</f>
        <v>0</v>
      </c>
      <c r="AP110" t="b">
        <f>IF(metadata!E110="",FALSE,TRUE)</f>
        <v>0</v>
      </c>
      <c r="AQ110" t="b">
        <f>OR(AND(IF(metadata!F110="",FALSE,TRUE),OR(EXACT(metadata!F110,"missing: not collected"),EXACT(metadata!F110,"missing: not provided"))),AND(IF(metadata!F110="",FALSE,TRUE),OR(EXACT(metadata!F110,"TRUE"),EXACT(metadata!F110,"FALSE"))))</f>
        <v>0</v>
      </c>
      <c r="AR110" t="b">
        <f>OR(AND(IF(metadata!G110="",FALSE,TRUE),OR(EXACT(metadata!G110,"missing: not collected"),EXACT(metadata!G110,"missing: not provided"),EXACT(metadata!G110,"missing: restricted access"))),AND(IF(metadata!G110="",FALSE,ISNUMBER(VALUE(metadata!G110))),metadata!G110&gt;=-413))</f>
        <v>0</v>
      </c>
      <c r="AS110" t="b">
        <f>AND(IF(metadata!H110="",FALSE,TRUE),EXACT(metadata!H110,"meters"))</f>
        <v>0</v>
      </c>
      <c r="AT110" t="b">
        <f>AND(IF(metadata!I110="",FALSE,TRUE),OR(EXACT(metadata!I110,"Host-associated"),EXACT(metadata!I110,"Free-living")))</f>
        <v>0</v>
      </c>
      <c r="AU110" t="b">
        <f>AND(IF(metadata!J110="",FALSE,TRUE),OR(EXACT(metadata!J110,"Animal"),EXACT(metadata!J110,"Fungus"),EXACT(metadata!J110,"Plant"),EXACT(metadata!J110,"Saline"),EXACT(metadata!J110,"Non-saline")))</f>
        <v>0</v>
      </c>
      <c r="AV110" t="b">
        <f>AND(IF(metadata!K110="",FALSE,TRUE),OR(EXACT(metadata!K110,"Plant secretion"),EXACT(metadata!K110,"Plant rhizosphere"),EXACT(metadata!K110,"Plant surface"),EXACT(metadata!K110,"Plant corpus"),EXACT(metadata!K110,"Fungus surface"),EXACT(metadata!K110,"Fungus corpus"),EXACT(metadata!K110,"Animal surface"),EXACT(metadata!K110,"Animal proximal gut"),EXACT(metadata!K110,"Animal corpus"),EXACT(metadata!K110,"Animal distal gut"),EXACT(metadata!K110,"Animal secretion"),EXACT(metadata!K110,"Sub-surface (non-saline)"),EXACT(metadata!K110,"Surface (non-saline)"),EXACT(metadata!K110,"Water (non-saline)"),EXACT(metadata!K110,"Soil (non-saline)"),EXACT(metadata!K110,"Aerosol (non-saline)"),EXACT(metadata!K110,"Sediment (non-saline)"),EXACT(metadata!K110,"Surface (saline)"),EXACT(metadata!K110,"Water (saline)"),EXACT(metadata!K110,"Hypersaline (saline)"),EXACT(metadata!K110,"Aerosol (saline)"),EXACT(metadata!K110,"Sediment (saline)")))</f>
        <v>0</v>
      </c>
      <c r="AW110" t="b">
        <f>IF(metadata!L110="",FALSE,TRUE)</f>
        <v>0</v>
      </c>
      <c r="AX110" t="b">
        <f>IF(metadata!M110="",FALSE,TRUE)</f>
        <v>0</v>
      </c>
      <c r="AY110" t="b">
        <f>IF(metadata!N110="",FALSE,TRUE)</f>
        <v>0</v>
      </c>
      <c r="AZ110" t="b">
        <f>OR(AND(IF(metadata!O110="",FALSE,TRUE),OR(EXACT(metadata!O110,"missing: not collected"),EXACT(metadata!O110,"missing: not provided"),EXACT(metadata!O110,"missing: restricted access"))),AND(IF(metadata!O110="",FALSE,TRUE),OR(EXACT(metadata!O110,"air"),EXACT(metadata!O110,"built environment"),EXACT(metadata!O110,"host-associated"),EXACT(metadata!O110,"human-associated"),EXACT(metadata!O110,"human-skin"),EXACT(metadata!O110,"human-oral"),EXACT(metadata!O110,"human-gut"),EXACT(metadata!O110,"human-vaginal"),EXACT(metadata!O110,"microbial mat/biofilm"),EXACT(metadata!O110,"misc environment"),EXACT(metadata!O110,"plant-associated"),EXACT(metadata!O110,"sediment"),EXACT(metadata!O110,"soil"),EXACT(metadata!O110,"wastewater/sludge"),EXACT(metadata!O110,"water"))))</f>
        <v>0</v>
      </c>
      <c r="BA110" t="b">
        <f>IF(metadata!P110="",FALSE,TRUE)</f>
        <v>0</v>
      </c>
      <c r="BB110" t="b">
        <f>IF(metadata!Q110="",FALSE,TRUE)</f>
        <v>0</v>
      </c>
      <c r="BC110" t="b">
        <f>OR(AND(IF(metadata!R110="",FALSE,TRUE),OR(EXACT(metadata!R110,"missing: not collected"),EXACT(metadata!R110,"missing: not provided"),EXACT(metadata!R110,"missing: restricted access"))),AND(IF(metadata!R110="",FALSE,ISNUMBER(VALUE(metadata!R110))),metadata!R110&gt;=-90,metadata!R110&lt;=90))</f>
        <v>0</v>
      </c>
      <c r="BD110" t="b">
        <f>AND(IF(metadata!S110="",FALSE,TRUE),EXACT(metadata!S110,"Decimal degrees"))</f>
        <v>0</v>
      </c>
      <c r="BE110" t="b">
        <f>OR(AND(IF(metadata!T110="",FALSE,TRUE),OR(EXACT(metadata!T110,"missing: not collected"),EXACT(metadata!T110,"missing: not provided"),EXACT(metadata!T110,"missing: restricted access"))),AND(IF(metadata!T110="",FALSE,ISNUMBER(VALUE(metadata!T110))),metadata!T110&gt;=-180,metadata!T110&lt;=180))</f>
        <v>0</v>
      </c>
      <c r="BF110" t="b">
        <f>AND(IF(metadata!U110="",FALSE,TRUE),EXACT(metadata!U110,"Decimal degrees"))</f>
        <v>0</v>
      </c>
      <c r="BG110" t="b">
        <f>IF(metadata!V110="",FALSE,TRUE)</f>
        <v>0</v>
      </c>
      <c r="BH110" t="b">
        <f>OR(AND(IF(metadata!W110="",FALSE,TRUE),OR(EXACT(metadata!W110,"missing: not collected"),EXACT(metadata!W110,"missing: not provided"),EXACT(metadata!W110,"missing: restricted access"))),AND(IF(metadata!W110="",FALSE,TRUE),OR(EXACT(metadata!W110,"TRUE"),EXACT(metadata!W110,"FALSE"))))</f>
        <v>0</v>
      </c>
      <c r="BI110" t="b">
        <f>AND(IF(metadata!X110="",FALSE,TRUE),EXACT(metadata!X110,"other"))</f>
        <v>0</v>
      </c>
      <c r="BJ110" t="b">
        <f>IF(metadata!Y110="",FALSE,TRUE)</f>
        <v>0</v>
      </c>
      <c r="BK110" t="b">
        <f>OR(AND(IF(metadata!Z110="",FALSE,TRUE),OR(EXACT(metadata!Z110,"missing: not collected"),EXACT(metadata!Z110,"missing: not provided"))),AND(IF(metadata!Z110="",FALSE,IF(ISERROR(INT(metadata!Z110)),FALSE,INT(metadata!Z110)=metadata!Z110)),metadata!Z110&gt;0))</f>
        <v>0</v>
      </c>
      <c r="BL110" t="b">
        <f>AND(IF(metadata!AA110="",FALSE,TRUE),EXACT(metadata!AA110,"Not applicable"))</f>
        <v>0</v>
      </c>
      <c r="BM110" t="b">
        <f>IF(metadata!AB110="",FALSE,TRUE)</f>
        <v>0</v>
      </c>
    </row>
    <row r="111" spans="1:65" x14ac:dyDescent="0.2">
      <c r="A111" s="5" t="str">
        <f ca="1">IF(B111=" "," ",HYPERLINK(CONCATENATE("#metadata!",ADDRESS(INDEX($AH$2:$AH$1001,MATCH(ROWS($AF$2:AF111),$AF$2:$AF$1001,0),0),1)),INDEX($AK$2:$AK$1001,MATCH(ROWS($AF$2:AF111),$AF$2:$AF$1001,0),0)))</f>
        <v xml:space="preserve"> </v>
      </c>
      <c r="B111" s="4" t="str">
        <f ca="1">IF(OR(INDEX($AG$2:$AG$1001,MATCH(ROWS($AF$2:AF111),$AF$2:$AF$1001,0),1)&gt;=100000,INDEX($AM$1005:$BM$1005,1,MATCH(COLUMNS($AM$1006:AM1006),$AM$1006:$BM$1006,0))&gt;=100000), " ",IF(INDEX($AM$2:$BM$1001,MATCH(ROWS($AF$2:AF111),$AF$2:$AF$1001,0),MATCH(COLUMNS($AM$1006:AM1006),$AM$1006:$BM$1006,0)), HYPERLINK("#",""), HYPERLINK(CONCATENATE("#metadata!", ADDRESS(INDEX($AH$2:$AH$1001,MATCH(ROWS($AF$2:AF111),$AF$2:$AF$1001,0),0), INDEX($AM$1004:$BM$1004,1,MATCH(COLUMNS($AM$1006:AM1006),$AM$1006:$BM$1006,0)))),"Fix")))</f>
        <v xml:space="preserve"> </v>
      </c>
      <c r="C111" s="4" t="str">
        <f ca="1">IF(OR(INDEX($AG$2:$AG$1001,MATCH(ROWS($AF$2:AF111),$AF$2:$AF$1001,0),1)&gt;=100000,INDEX($AM$1005:$BM$1005,1,MATCH(COLUMNS($AM$1006:AN1006),$AM$1006:$BM$1006,0))&gt;=100000), " ",IF(INDEX($AM$2:$BM$1001,MATCH(ROWS($AF$2:AF111),$AF$2:$AF$1001,0),MATCH(COLUMNS($AM$1006:AN1006),$AM$1006:$BM$1006,0)), HYPERLINK("#",""), HYPERLINK(CONCATENATE("#metadata!", ADDRESS(INDEX($AH$2:$AH$1001,MATCH(ROWS($AF$2:AF111),$AF$2:$AF$1001,0),0), INDEX($AM$1004:$BM$1004,1,MATCH(COLUMNS($AM$1006:AN1006),$AM$1006:$BM$1006,0)))),"Fix")))</f>
        <v xml:space="preserve"> </v>
      </c>
      <c r="D111" s="4" t="str">
        <f ca="1">IF(OR(INDEX($AG$2:$AG$1001,MATCH(ROWS($AF$2:AF111),$AF$2:$AF$1001,0),1)&gt;=100000,INDEX($AM$1005:$BM$1005,1,MATCH(COLUMNS($AM$1006:AO1006),$AM$1006:$BM$1006,0))&gt;=100000), " ",IF(INDEX($AM$2:$BM$1001,MATCH(ROWS($AF$2:AF111),$AF$2:$AF$1001,0),MATCH(COLUMNS($AM$1006:AO1006),$AM$1006:$BM$1006,0)), HYPERLINK("#",""), HYPERLINK(CONCATENATE("#metadata!", ADDRESS(INDEX($AH$2:$AH$1001,MATCH(ROWS($AF$2:AF111),$AF$2:$AF$1001,0),0), INDEX($AM$1004:$BM$1004,1,MATCH(COLUMNS($AM$1006:AO1006),$AM$1006:$BM$1006,0)))),"Fix")))</f>
        <v xml:space="preserve"> </v>
      </c>
      <c r="E111" s="4" t="str">
        <f ca="1">IF(OR(INDEX($AG$2:$AG$1001,MATCH(ROWS($AF$2:AF111),$AF$2:$AF$1001,0),1)&gt;=100000,INDEX($AM$1005:$BM$1005,1,MATCH(COLUMNS($AM$1006:AP1006),$AM$1006:$BM$1006,0))&gt;=100000), " ",IF(INDEX($AM$2:$BM$1001,MATCH(ROWS($AF$2:AF111),$AF$2:$AF$1001,0),MATCH(COLUMNS($AM$1006:AP1006),$AM$1006:$BM$1006,0)), HYPERLINK("#",""), HYPERLINK(CONCATENATE("#metadata!", ADDRESS(INDEX($AH$2:$AH$1001,MATCH(ROWS($AF$2:AF111),$AF$2:$AF$1001,0),0), INDEX($AM$1004:$BM$1004,1,MATCH(COLUMNS($AM$1006:AP1006),$AM$1006:$BM$1006,0)))),"Fix")))</f>
        <v xml:space="preserve"> </v>
      </c>
      <c r="F111" s="4" t="str">
        <f ca="1">IF(OR(INDEX($AG$2:$AG$1001,MATCH(ROWS($AF$2:AF111),$AF$2:$AF$1001,0),1)&gt;=100000,INDEX($AM$1005:$BM$1005,1,MATCH(COLUMNS($AM$1006:AQ1006),$AM$1006:$BM$1006,0))&gt;=100000), " ",IF(INDEX($AM$2:$BM$1001,MATCH(ROWS($AF$2:AF111),$AF$2:$AF$1001,0),MATCH(COLUMNS($AM$1006:AQ1006),$AM$1006:$BM$1006,0)), HYPERLINK("#",""), HYPERLINK(CONCATENATE("#metadata!", ADDRESS(INDEX($AH$2:$AH$1001,MATCH(ROWS($AF$2:AF111),$AF$2:$AF$1001,0),0), INDEX($AM$1004:$BM$1004,1,MATCH(COLUMNS($AM$1006:AQ1006),$AM$1006:$BM$1006,0)))),"Fix")))</f>
        <v xml:space="preserve"> </v>
      </c>
      <c r="G111" s="4" t="str">
        <f ca="1">IF(OR(INDEX($AG$2:$AG$1001,MATCH(ROWS($AF$2:AF111),$AF$2:$AF$1001,0),1)&gt;=100000,INDEX($AM$1005:$BM$1005,1,MATCH(COLUMNS($AM$1006:AR1006),$AM$1006:$BM$1006,0))&gt;=100000), " ",IF(INDEX($AM$2:$BM$1001,MATCH(ROWS($AF$2:AF111),$AF$2:$AF$1001,0),MATCH(COLUMNS($AM$1006:AR1006),$AM$1006:$BM$1006,0)), HYPERLINK("#",""), HYPERLINK(CONCATENATE("#metadata!", ADDRESS(INDEX($AH$2:$AH$1001,MATCH(ROWS($AF$2:AF111),$AF$2:$AF$1001,0),0), INDEX($AM$1004:$BM$1004,1,MATCH(COLUMNS($AM$1006:AR1006),$AM$1006:$BM$1006,0)))),"Fix")))</f>
        <v xml:space="preserve"> </v>
      </c>
      <c r="H111" s="4" t="str">
        <f ca="1">IF(OR(INDEX($AG$2:$AG$1001,MATCH(ROWS($AF$2:AF111),$AF$2:$AF$1001,0),1)&gt;=100000,INDEX($AM$1005:$BM$1005,1,MATCH(COLUMNS($AM$1006:AS1006),$AM$1006:$BM$1006,0))&gt;=100000), " ",IF(INDEX($AM$2:$BM$1001,MATCH(ROWS($AF$2:AF111),$AF$2:$AF$1001,0),MATCH(COLUMNS($AM$1006:AS1006),$AM$1006:$BM$1006,0)), HYPERLINK("#",""), HYPERLINK(CONCATENATE("#metadata!", ADDRESS(INDEX($AH$2:$AH$1001,MATCH(ROWS($AF$2:AF111),$AF$2:$AF$1001,0),0), INDEX($AM$1004:$BM$1004,1,MATCH(COLUMNS($AM$1006:AS1006),$AM$1006:$BM$1006,0)))),"Fix")))</f>
        <v xml:space="preserve"> </v>
      </c>
      <c r="I111" s="4" t="str">
        <f ca="1">IF(OR(INDEX($AG$2:$AG$1001,MATCH(ROWS($AF$2:AF111),$AF$2:$AF$1001,0),1)&gt;=100000,INDEX($AM$1005:$BM$1005,1,MATCH(COLUMNS($AM$1006:AT1006),$AM$1006:$BM$1006,0))&gt;=100000), " ",IF(INDEX($AM$2:$BM$1001,MATCH(ROWS($AF$2:AF111),$AF$2:$AF$1001,0),MATCH(COLUMNS($AM$1006:AT1006),$AM$1006:$BM$1006,0)), HYPERLINK("#",""), HYPERLINK(CONCATENATE("#metadata!", ADDRESS(INDEX($AH$2:$AH$1001,MATCH(ROWS($AF$2:AF111),$AF$2:$AF$1001,0),0), INDEX($AM$1004:$BM$1004,1,MATCH(COLUMNS($AM$1006:AT1006),$AM$1006:$BM$1006,0)))),"Fix")))</f>
        <v xml:space="preserve"> </v>
      </c>
      <c r="J111" s="4" t="str">
        <f ca="1">IF(OR(INDEX($AG$2:$AG$1001,MATCH(ROWS($AF$2:AF111),$AF$2:$AF$1001,0),1)&gt;=100000,INDEX($AM$1005:$BM$1005,1,MATCH(COLUMNS($AM$1006:AU1006),$AM$1006:$BM$1006,0))&gt;=100000), " ",IF(INDEX($AM$2:$BM$1001,MATCH(ROWS($AF$2:AF111),$AF$2:$AF$1001,0),MATCH(COLUMNS($AM$1006:AU1006),$AM$1006:$BM$1006,0)), HYPERLINK("#",""), HYPERLINK(CONCATENATE("#metadata!", ADDRESS(INDEX($AH$2:$AH$1001,MATCH(ROWS($AF$2:AF111),$AF$2:$AF$1001,0),0), INDEX($AM$1004:$BM$1004,1,MATCH(COLUMNS($AM$1006:AU1006),$AM$1006:$BM$1006,0)))),"Fix")))</f>
        <v xml:space="preserve"> </v>
      </c>
      <c r="K111" s="4" t="str">
        <f ca="1">IF(OR(INDEX($AG$2:$AG$1001,MATCH(ROWS($AF$2:AF111),$AF$2:$AF$1001,0),1)&gt;=100000,INDEX($AM$1005:$BM$1005,1,MATCH(COLUMNS($AM$1006:AV1006),$AM$1006:$BM$1006,0))&gt;=100000), " ",IF(INDEX($AM$2:$BM$1001,MATCH(ROWS($AF$2:AF111),$AF$2:$AF$1001,0),MATCH(COLUMNS($AM$1006:AV1006),$AM$1006:$BM$1006,0)), HYPERLINK("#",""), HYPERLINK(CONCATENATE("#metadata!", ADDRESS(INDEX($AH$2:$AH$1001,MATCH(ROWS($AF$2:AF111),$AF$2:$AF$1001,0),0), INDEX($AM$1004:$BM$1004,1,MATCH(COLUMNS($AM$1006:AV1006),$AM$1006:$BM$1006,0)))),"Fix")))</f>
        <v xml:space="preserve"> </v>
      </c>
      <c r="L111" s="4" t="str">
        <f ca="1">IF(OR(INDEX($AG$2:$AG$1001,MATCH(ROWS($AF$2:AF111),$AF$2:$AF$1001,0),1)&gt;=100000,INDEX($AM$1005:$BM$1005,1,MATCH(COLUMNS($AM$1006:AW1006),$AM$1006:$BM$1006,0))&gt;=100000), " ",IF(INDEX($AM$2:$BM$1001,MATCH(ROWS($AF$2:AF111),$AF$2:$AF$1001,0),MATCH(COLUMNS($AM$1006:AW1006),$AM$1006:$BM$1006,0)), HYPERLINK("#",""), HYPERLINK(CONCATENATE("#metadata!", ADDRESS(INDEX($AH$2:$AH$1001,MATCH(ROWS($AF$2:AF111),$AF$2:$AF$1001,0),0), INDEX($AM$1004:$BM$1004,1,MATCH(COLUMNS($AM$1006:AW1006),$AM$1006:$BM$1006,0)))),"Fix")))</f>
        <v xml:space="preserve"> </v>
      </c>
      <c r="M111" s="4" t="str">
        <f ca="1">IF(OR(INDEX($AG$2:$AG$1001,MATCH(ROWS($AF$2:AF111),$AF$2:$AF$1001,0),1)&gt;=100000,INDEX($AM$1005:$BM$1005,1,MATCH(COLUMNS($AM$1006:AX1006),$AM$1006:$BM$1006,0))&gt;=100000), " ",IF(INDEX($AM$2:$BM$1001,MATCH(ROWS($AF$2:AF111),$AF$2:$AF$1001,0),MATCH(COLUMNS($AM$1006:AX1006),$AM$1006:$BM$1006,0)), HYPERLINK("#",""), HYPERLINK(CONCATENATE("#metadata!", ADDRESS(INDEX($AH$2:$AH$1001,MATCH(ROWS($AF$2:AF111),$AF$2:$AF$1001,0),0), INDEX($AM$1004:$BM$1004,1,MATCH(COLUMNS($AM$1006:AX1006),$AM$1006:$BM$1006,0)))),"Fix")))</f>
        <v xml:space="preserve"> </v>
      </c>
      <c r="N111" s="4" t="str">
        <f ca="1">IF(OR(INDEX($AG$2:$AG$1001,MATCH(ROWS($AF$2:AF111),$AF$2:$AF$1001,0),1)&gt;=100000,INDEX($AM$1005:$BM$1005,1,MATCH(COLUMNS($AM$1006:AY1006),$AM$1006:$BM$1006,0))&gt;=100000), " ",IF(INDEX($AM$2:$BM$1001,MATCH(ROWS($AF$2:AF111),$AF$2:$AF$1001,0),MATCH(COLUMNS($AM$1006:AY1006),$AM$1006:$BM$1006,0)), HYPERLINK("#",""), HYPERLINK(CONCATENATE("#metadata!", ADDRESS(INDEX($AH$2:$AH$1001,MATCH(ROWS($AF$2:AF111),$AF$2:$AF$1001,0),0), INDEX($AM$1004:$BM$1004,1,MATCH(COLUMNS($AM$1006:AY1006),$AM$1006:$BM$1006,0)))),"Fix")))</f>
        <v xml:space="preserve"> </v>
      </c>
      <c r="O111" s="4" t="str">
        <f ca="1">IF(OR(INDEX($AG$2:$AG$1001,MATCH(ROWS($AF$2:AF111),$AF$2:$AF$1001,0),1)&gt;=100000,INDEX($AM$1005:$BM$1005,1,MATCH(COLUMNS($AM$1006:AZ1006),$AM$1006:$BM$1006,0))&gt;=100000), " ",IF(INDEX($AM$2:$BM$1001,MATCH(ROWS($AF$2:AF111),$AF$2:$AF$1001,0),MATCH(COLUMNS($AM$1006:AZ1006),$AM$1006:$BM$1006,0)), HYPERLINK("#",""), HYPERLINK(CONCATENATE("#metadata!", ADDRESS(INDEX($AH$2:$AH$1001,MATCH(ROWS($AF$2:AF111),$AF$2:$AF$1001,0),0), INDEX($AM$1004:$BM$1004,1,MATCH(COLUMNS($AM$1006:AZ1006),$AM$1006:$BM$1006,0)))),"Fix")))</f>
        <v xml:space="preserve"> </v>
      </c>
      <c r="P111" s="4" t="str">
        <f ca="1">IF(OR(INDEX($AG$2:$AG$1001,MATCH(ROWS($AF$2:AF111),$AF$2:$AF$1001,0),1)&gt;=100000,INDEX($AM$1005:$BM$1005,1,MATCH(COLUMNS($AM$1006:BA1006),$AM$1006:$BM$1006,0))&gt;=100000), " ",IF(INDEX($AM$2:$BM$1001,MATCH(ROWS($AF$2:AF111),$AF$2:$AF$1001,0),MATCH(COLUMNS($AM$1006:BA1006),$AM$1006:$BM$1006,0)), HYPERLINK("#",""), HYPERLINK(CONCATENATE("#metadata!", ADDRESS(INDEX($AH$2:$AH$1001,MATCH(ROWS($AF$2:AF111),$AF$2:$AF$1001,0),0), INDEX($AM$1004:$BM$1004,1,MATCH(COLUMNS($AM$1006:BA1006),$AM$1006:$BM$1006,0)))),"Fix")))</f>
        <v xml:space="preserve"> </v>
      </c>
      <c r="Q111" s="4" t="str">
        <f ca="1">IF(OR(INDEX($AG$2:$AG$1001,MATCH(ROWS($AF$2:AF111),$AF$2:$AF$1001,0),1)&gt;=100000,INDEX($AM$1005:$BM$1005,1,MATCH(COLUMNS($AM$1006:BB1006),$AM$1006:$BM$1006,0))&gt;=100000), " ",IF(INDEX($AM$2:$BM$1001,MATCH(ROWS($AF$2:AF111),$AF$2:$AF$1001,0),MATCH(COLUMNS($AM$1006:BB1006),$AM$1006:$BM$1006,0)), HYPERLINK("#",""), HYPERLINK(CONCATENATE("#metadata!", ADDRESS(INDEX($AH$2:$AH$1001,MATCH(ROWS($AF$2:AF111),$AF$2:$AF$1001,0),0), INDEX($AM$1004:$BM$1004,1,MATCH(COLUMNS($AM$1006:BB1006),$AM$1006:$BM$1006,0)))),"Fix")))</f>
        <v xml:space="preserve"> </v>
      </c>
      <c r="R111" s="4" t="str">
        <f ca="1">IF(OR(INDEX($AG$2:$AG$1001,MATCH(ROWS($AF$2:AF111),$AF$2:$AF$1001,0),1)&gt;=100000,INDEX($AM$1005:$BM$1005,1,MATCH(COLUMNS($AM$1006:BC1006),$AM$1006:$BM$1006,0))&gt;=100000), " ",IF(INDEX($AM$2:$BM$1001,MATCH(ROWS($AF$2:AF111),$AF$2:$AF$1001,0),MATCH(COLUMNS($AM$1006:BC1006),$AM$1006:$BM$1006,0)), HYPERLINK("#",""), HYPERLINK(CONCATENATE("#metadata!", ADDRESS(INDEX($AH$2:$AH$1001,MATCH(ROWS($AF$2:AF111),$AF$2:$AF$1001,0),0), INDEX($AM$1004:$BM$1004,1,MATCH(COLUMNS($AM$1006:BC1006),$AM$1006:$BM$1006,0)))),"Fix")))</f>
        <v xml:space="preserve"> </v>
      </c>
      <c r="S111" s="4" t="str">
        <f ca="1">IF(OR(INDEX($AG$2:$AG$1001,MATCH(ROWS($AF$2:AF111),$AF$2:$AF$1001,0),1)&gt;=100000,INDEX($AM$1005:$BM$1005,1,MATCH(COLUMNS($AM$1006:BD1006),$AM$1006:$BM$1006,0))&gt;=100000), " ",IF(INDEX($AM$2:$BM$1001,MATCH(ROWS($AF$2:AF111),$AF$2:$AF$1001,0),MATCH(COLUMNS($AM$1006:BD1006),$AM$1006:$BM$1006,0)), HYPERLINK("#",""), HYPERLINK(CONCATENATE("#metadata!", ADDRESS(INDEX($AH$2:$AH$1001,MATCH(ROWS($AF$2:AF111),$AF$2:$AF$1001,0),0), INDEX($AM$1004:$BM$1004,1,MATCH(COLUMNS($AM$1006:BD1006),$AM$1006:$BM$1006,0)))),"Fix")))</f>
        <v xml:space="preserve"> </v>
      </c>
      <c r="T111" s="4" t="str">
        <f ca="1">IF(OR(INDEX($AG$2:$AG$1001,MATCH(ROWS($AF$2:AF111),$AF$2:$AF$1001,0),1)&gt;=100000,INDEX($AM$1005:$BM$1005,1,MATCH(COLUMNS($AM$1006:BE1006),$AM$1006:$BM$1006,0))&gt;=100000), " ",IF(INDEX($AM$2:$BM$1001,MATCH(ROWS($AF$2:AF111),$AF$2:$AF$1001,0),MATCH(COLUMNS($AM$1006:BE1006),$AM$1006:$BM$1006,0)), HYPERLINK("#",""), HYPERLINK(CONCATENATE("#metadata!", ADDRESS(INDEX($AH$2:$AH$1001,MATCH(ROWS($AF$2:AF111),$AF$2:$AF$1001,0),0), INDEX($AM$1004:$BM$1004,1,MATCH(COLUMNS($AM$1006:BE1006),$AM$1006:$BM$1006,0)))),"Fix")))</f>
        <v xml:space="preserve"> </v>
      </c>
      <c r="U111" s="4" t="str">
        <f ca="1">IF(OR(INDEX($AG$2:$AG$1001,MATCH(ROWS($AF$2:AF111),$AF$2:$AF$1001,0),1)&gt;=100000,INDEX($AM$1005:$BM$1005,1,MATCH(COLUMNS($AM$1006:BF1006),$AM$1006:$BM$1006,0))&gt;=100000), " ",IF(INDEX($AM$2:$BM$1001,MATCH(ROWS($AF$2:AF111),$AF$2:$AF$1001,0),MATCH(COLUMNS($AM$1006:BF1006),$AM$1006:$BM$1006,0)), HYPERLINK("#",""), HYPERLINK(CONCATENATE("#metadata!", ADDRESS(INDEX($AH$2:$AH$1001,MATCH(ROWS($AF$2:AF111),$AF$2:$AF$1001,0),0), INDEX($AM$1004:$BM$1004,1,MATCH(COLUMNS($AM$1006:BF1006),$AM$1006:$BM$1006,0)))),"Fix")))</f>
        <v xml:space="preserve"> </v>
      </c>
      <c r="V111" s="4" t="str">
        <f ca="1">IF(OR(INDEX($AG$2:$AG$1001,MATCH(ROWS($AF$2:AF111),$AF$2:$AF$1001,0),1)&gt;=100000,INDEX($AM$1005:$BM$1005,1,MATCH(COLUMNS($AM$1006:BG1006),$AM$1006:$BM$1006,0))&gt;=100000), " ",IF(INDEX($AM$2:$BM$1001,MATCH(ROWS($AF$2:AF111),$AF$2:$AF$1001,0),MATCH(COLUMNS($AM$1006:BG1006),$AM$1006:$BM$1006,0)), HYPERLINK("#",""), HYPERLINK(CONCATENATE("#metadata!", ADDRESS(INDEX($AH$2:$AH$1001,MATCH(ROWS($AF$2:AF111),$AF$2:$AF$1001,0),0), INDEX($AM$1004:$BM$1004,1,MATCH(COLUMNS($AM$1006:BG1006),$AM$1006:$BM$1006,0)))),"Fix")))</f>
        <v xml:space="preserve"> </v>
      </c>
      <c r="W111" s="4" t="str">
        <f ca="1">IF(OR(INDEX($AG$2:$AG$1001,MATCH(ROWS($AF$2:AF111),$AF$2:$AF$1001,0),1)&gt;=100000,INDEX($AM$1005:$BM$1005,1,MATCH(COLUMNS($AM$1006:BH1006),$AM$1006:$BM$1006,0))&gt;=100000), " ",IF(INDEX($AM$2:$BM$1001,MATCH(ROWS($AF$2:AF111),$AF$2:$AF$1001,0),MATCH(COLUMNS($AM$1006:BH1006),$AM$1006:$BM$1006,0)), HYPERLINK("#",""), HYPERLINK(CONCATENATE("#metadata!", ADDRESS(INDEX($AH$2:$AH$1001,MATCH(ROWS($AF$2:AF111),$AF$2:$AF$1001,0),0), INDEX($AM$1004:$BM$1004,1,MATCH(COLUMNS($AM$1006:BH1006),$AM$1006:$BM$1006,0)))),"Fix")))</f>
        <v xml:space="preserve"> </v>
      </c>
      <c r="X111" s="4" t="str">
        <f ca="1">IF(OR(INDEX($AG$2:$AG$1001,MATCH(ROWS($AF$2:AF111),$AF$2:$AF$1001,0),1)&gt;=100000,INDEX($AM$1005:$BM$1005,1,MATCH(COLUMNS($AM$1006:BI1006),$AM$1006:$BM$1006,0))&gt;=100000), " ",IF(INDEX($AM$2:$BM$1001,MATCH(ROWS($AF$2:AF111),$AF$2:$AF$1001,0),MATCH(COLUMNS($AM$1006:BI1006),$AM$1006:$BM$1006,0)), HYPERLINK("#",""), HYPERLINK(CONCATENATE("#metadata!", ADDRESS(INDEX($AH$2:$AH$1001,MATCH(ROWS($AF$2:AF111),$AF$2:$AF$1001,0),0), INDEX($AM$1004:$BM$1004,1,MATCH(COLUMNS($AM$1006:BI1006),$AM$1006:$BM$1006,0)))),"Fix")))</f>
        <v xml:space="preserve"> </v>
      </c>
      <c r="Y111" s="4" t="str">
        <f ca="1">IF(OR(INDEX($AG$2:$AG$1001,MATCH(ROWS($AF$2:AF111),$AF$2:$AF$1001,0),1)&gt;=100000,INDEX($AM$1005:$BM$1005,1,MATCH(COLUMNS($AM$1006:BJ1006),$AM$1006:$BM$1006,0))&gt;=100000), " ",IF(INDEX($AM$2:$BM$1001,MATCH(ROWS($AF$2:AF111),$AF$2:$AF$1001,0),MATCH(COLUMNS($AM$1006:BJ1006),$AM$1006:$BM$1006,0)), HYPERLINK("#",""), HYPERLINK(CONCATENATE("#metadata!", ADDRESS(INDEX($AH$2:$AH$1001,MATCH(ROWS($AF$2:AF111),$AF$2:$AF$1001,0),0), INDEX($AM$1004:$BM$1004,1,MATCH(COLUMNS($AM$1006:BJ1006),$AM$1006:$BM$1006,0)))),"Fix")))</f>
        <v xml:space="preserve"> </v>
      </c>
      <c r="Z111" s="4" t="str">
        <f ca="1">IF(OR(INDEX($AG$2:$AG$1001,MATCH(ROWS($AF$2:AF111),$AF$2:$AF$1001,0),1)&gt;=100000,INDEX($AM$1005:$BM$1005,1,MATCH(COLUMNS($AM$1006:BK1006),$AM$1006:$BM$1006,0))&gt;=100000), " ",IF(INDEX($AM$2:$BM$1001,MATCH(ROWS($AF$2:AF111),$AF$2:$AF$1001,0),MATCH(COLUMNS($AM$1006:BK1006),$AM$1006:$BM$1006,0)), HYPERLINK("#",""), HYPERLINK(CONCATENATE("#metadata!", ADDRESS(INDEX($AH$2:$AH$1001,MATCH(ROWS($AF$2:AF111),$AF$2:$AF$1001,0),0), INDEX($AM$1004:$BM$1004,1,MATCH(COLUMNS($AM$1006:BK1006),$AM$1006:$BM$1006,0)))),"Fix")))</f>
        <v xml:space="preserve"> </v>
      </c>
      <c r="AA111" s="4" t="str">
        <f ca="1">IF(OR(INDEX($AG$2:$AG$1001,MATCH(ROWS($AF$2:AF111),$AF$2:$AF$1001,0),1)&gt;=100000,INDEX($AM$1005:$BM$1005,1,MATCH(COLUMNS($AM$1006:BL1006),$AM$1006:$BM$1006,0))&gt;=100000), " ",IF(INDEX($AM$2:$BM$1001,MATCH(ROWS($AF$2:AF111),$AF$2:$AF$1001,0),MATCH(COLUMNS($AM$1006:BL1006),$AM$1006:$BM$1006,0)), HYPERLINK("#",""), HYPERLINK(CONCATENATE("#metadata!", ADDRESS(INDEX($AH$2:$AH$1001,MATCH(ROWS($AF$2:AF111),$AF$2:$AF$1001,0),0), INDEX($AM$1004:$BM$1004,1,MATCH(COLUMNS($AM$1006:BL1006),$AM$1006:$BM$1006,0)))),"Fix")))</f>
        <v xml:space="preserve"> </v>
      </c>
      <c r="AB111" s="4" t="str">
        <f ca="1">IF(OR(INDEX($AG$2:$AG$1001,MATCH(ROWS($AF$2:AF111),$AF$2:$AF$1001,0),1)&gt;=100000,INDEX($AM$1005:$BM$1005,1,MATCH(COLUMNS($AM$1006:BM1006),$AM$1006:$BM$1006,0))&gt;=100000), " ",IF(INDEX($AM$2:$BM$1001,MATCH(ROWS($AF$2:AF111),$AF$2:$AF$1001,0),MATCH(COLUMNS($AM$1006:BM1006),$AM$1006:$BM$1006,0)), HYPERLINK("#",""), HYPERLINK(CONCATENATE("#metadata!", ADDRESS(INDEX($AH$2:$AH$1001,MATCH(ROWS($AF$2:AF111),$AF$2:$AF$1001,0),0), INDEX($AM$1004:$BM$1004,1,MATCH(COLUMNS($AM$1006:BM1006),$AM$1006:$BM$1006,0)))),"Fix")))</f>
        <v xml:space="preserve"> </v>
      </c>
      <c r="AF111">
        <v>110</v>
      </c>
      <c r="AG111">
        <v>100111</v>
      </c>
      <c r="AH111">
        <v>111</v>
      </c>
      <c r="AI111" t="b">
        <f t="shared" si="1"/>
        <v>1</v>
      </c>
      <c r="AJ111" t="b">
        <f>COUNTBLANK(metadata!B111:AB111)=COLUMNS(metadata!B111:AB111)</f>
        <v>1</v>
      </c>
      <c r="AK111" t="str">
        <v/>
      </c>
      <c r="AM111" t="b">
        <f ca="1">AND(IF(metadata!B111="",FALSE,TRUE),COUNTIF(metadata!B:B, metadata!B111) = 1,NOT(ISERROR(SUMPRODUCT(SEARCH(MID(metadata!B111,ROW(INDIRECT("1:"&amp;LEN(metadata!B111))), 1),"0123456789abcdefghijklmnopqrstuvwxyzABCDEFGHIJKLMNOPQRSTUVWXYZ.")))))</f>
        <v>0</v>
      </c>
      <c r="AN111" t="b">
        <f ca="1">OR(AND(IF(metadata!C111="",FALSE,TRUE),OR(EXACT(metadata!C111,"missing: not collected"),EXACT(metadata!C111,"missing: not provided"),EXACT(metadata!C111,"missing: restricted access"))),AND(IF(metadata!C111="",FALSE,TRUE),AND(AND(IFERROR(INT(LEFT(metadata!C111,4))&gt;1900,FALSE),IFERROR(INT(LEFT(metadata!C111,4))&lt;=YEAR(NOW()),FALSE)), OR(MID(metadata!C111,5,1)="", AND(AND(MID(metadata!C111,5,1)="-",IFERROR(INT(MID(metadata!C111,6,1))&gt;=0,FALSE),IFERROR(INT(MID(metadata!C111,6,1))&lt;=1,FALSE),NOT(MID(metadata!C111,7,1)=""),IFERROR(INT(MID(metadata!C111,6,2))&gt;=1,FALSE),IFERROR(INT(MID(metadata!C111,6,2))&lt;=12,FALSE)), OR(MID(metadata!C111,8,1)="", AND(AND(MID(metadata!C111,8,1)="-",IFERROR(INT(MID(metadata!C111,9,1))&gt;=0,FALSE),IFERROR(INT(MID(metadata!C111,9,1))&lt;=3,FALSE),NOT(MID(metadata!C111,10,1)=""),IFERROR(INT(MID(metadata!C111,9,2))&gt;=1,FALSE),IFERROR(INT(MID(metadata!C111,9,2))&lt;=31,FALSE)), OR(MID(metadata!C111,11,1)="", AND(AND(MID(metadata!C111,11,1)=" ",IFERROR(INT(MID(metadata!C111,12,1))&gt;=0,FALSE),IFERROR(INT(MID(metadata!C111,12,1))&lt;=2,FALSE),NOT(MID(metadata!C111,13,1)=""),IFERROR(INT(MID(metadata!C111,12,2))&gt;=0,FALSE),IFERROR(INT(MID(metadata!C111,12,2))&lt;=23,FALSE)), OR(MID(metadata!C111,14,1)="", AND(AND(MID(metadata!C111,14,1)=":",IFERROR(INT(MID(metadata!C111,15,1))&gt;=0,FALSE),IFERROR(INT(MID(metadata!C111,15,1))&lt;=5,FALSE),NOT(MID(metadata!C111,16,1)=""),IFERROR(INT(MID(metadata!C111,15,2))&gt;=0,FALSE),IFERROR(INT(MID(metadata!C111,15,2))&lt;=59,FALSE)), OR(MID(metadata!C111,17,1)="", AND(AND(MID(metadata!C111,17,1)=":",IFERROR(INT(MID(metadata!C111,18,1))&gt;=0,FALSE),IFERROR(INT(MID(metadata!C111,18,1))&lt;=5,FALSE),NOT(MID(metadata!C111,19,1)=""),IFERROR(INT(MID(metadata!C111,18,2))&gt;=0,FALSE),IFERROR(INT(MID(metadata!C111,18,2))&lt;=59,FALSE)), LEN(metadata!C111)&lt;=19)))))))))))))</f>
        <v>0</v>
      </c>
      <c r="AO111" t="b">
        <f>AND(IF(metadata!D111="",FALSE,TRUE),EXACT(metadata!D111,"Not applicable"))</f>
        <v>0</v>
      </c>
      <c r="AP111" t="b">
        <f>IF(metadata!E111="",FALSE,TRUE)</f>
        <v>0</v>
      </c>
      <c r="AQ111" t="b">
        <f>OR(AND(IF(metadata!F111="",FALSE,TRUE),OR(EXACT(metadata!F111,"missing: not collected"),EXACT(metadata!F111,"missing: not provided"))),AND(IF(metadata!F111="",FALSE,TRUE),OR(EXACT(metadata!F111,"TRUE"),EXACT(metadata!F111,"FALSE"))))</f>
        <v>0</v>
      </c>
      <c r="AR111" t="b">
        <f>OR(AND(IF(metadata!G111="",FALSE,TRUE),OR(EXACT(metadata!G111,"missing: not collected"),EXACT(metadata!G111,"missing: not provided"),EXACT(metadata!G111,"missing: restricted access"))),AND(IF(metadata!G111="",FALSE,ISNUMBER(VALUE(metadata!G111))),metadata!G111&gt;=-413))</f>
        <v>0</v>
      </c>
      <c r="AS111" t="b">
        <f>AND(IF(metadata!H111="",FALSE,TRUE),EXACT(metadata!H111,"meters"))</f>
        <v>0</v>
      </c>
      <c r="AT111" t="b">
        <f>AND(IF(metadata!I111="",FALSE,TRUE),OR(EXACT(metadata!I111,"Host-associated"),EXACT(metadata!I111,"Free-living")))</f>
        <v>0</v>
      </c>
      <c r="AU111" t="b">
        <f>AND(IF(metadata!J111="",FALSE,TRUE),OR(EXACT(metadata!J111,"Animal"),EXACT(metadata!J111,"Fungus"),EXACT(metadata!J111,"Plant"),EXACT(metadata!J111,"Saline"),EXACT(metadata!J111,"Non-saline")))</f>
        <v>0</v>
      </c>
      <c r="AV111" t="b">
        <f>AND(IF(metadata!K111="",FALSE,TRUE),OR(EXACT(metadata!K111,"Plant secretion"),EXACT(metadata!K111,"Plant rhizosphere"),EXACT(metadata!K111,"Plant surface"),EXACT(metadata!K111,"Plant corpus"),EXACT(metadata!K111,"Fungus surface"),EXACT(metadata!K111,"Fungus corpus"),EXACT(metadata!K111,"Animal surface"),EXACT(metadata!K111,"Animal proximal gut"),EXACT(metadata!K111,"Animal corpus"),EXACT(metadata!K111,"Animal distal gut"),EXACT(metadata!K111,"Animal secretion"),EXACT(metadata!K111,"Sub-surface (non-saline)"),EXACT(metadata!K111,"Surface (non-saline)"),EXACT(metadata!K111,"Water (non-saline)"),EXACT(metadata!K111,"Soil (non-saline)"),EXACT(metadata!K111,"Aerosol (non-saline)"),EXACT(metadata!K111,"Sediment (non-saline)"),EXACT(metadata!K111,"Surface (saline)"),EXACT(metadata!K111,"Water (saline)"),EXACT(metadata!K111,"Hypersaline (saline)"),EXACT(metadata!K111,"Aerosol (saline)"),EXACT(metadata!K111,"Sediment (saline)")))</f>
        <v>0</v>
      </c>
      <c r="AW111" t="b">
        <f>IF(metadata!L111="",FALSE,TRUE)</f>
        <v>0</v>
      </c>
      <c r="AX111" t="b">
        <f>IF(metadata!M111="",FALSE,TRUE)</f>
        <v>0</v>
      </c>
      <c r="AY111" t="b">
        <f>IF(metadata!N111="",FALSE,TRUE)</f>
        <v>0</v>
      </c>
      <c r="AZ111" t="b">
        <f>OR(AND(IF(metadata!O111="",FALSE,TRUE),OR(EXACT(metadata!O111,"missing: not collected"),EXACT(metadata!O111,"missing: not provided"),EXACT(metadata!O111,"missing: restricted access"))),AND(IF(metadata!O111="",FALSE,TRUE),OR(EXACT(metadata!O111,"air"),EXACT(metadata!O111,"built environment"),EXACT(metadata!O111,"host-associated"),EXACT(metadata!O111,"human-associated"),EXACT(metadata!O111,"human-skin"),EXACT(metadata!O111,"human-oral"),EXACT(metadata!O111,"human-gut"),EXACT(metadata!O111,"human-vaginal"),EXACT(metadata!O111,"microbial mat/biofilm"),EXACT(metadata!O111,"misc environment"),EXACT(metadata!O111,"plant-associated"),EXACT(metadata!O111,"sediment"),EXACT(metadata!O111,"soil"),EXACT(metadata!O111,"wastewater/sludge"),EXACT(metadata!O111,"water"))))</f>
        <v>0</v>
      </c>
      <c r="BA111" t="b">
        <f>IF(metadata!P111="",FALSE,TRUE)</f>
        <v>0</v>
      </c>
      <c r="BB111" t="b">
        <f>IF(metadata!Q111="",FALSE,TRUE)</f>
        <v>0</v>
      </c>
      <c r="BC111" t="b">
        <f>OR(AND(IF(metadata!R111="",FALSE,TRUE),OR(EXACT(metadata!R111,"missing: not collected"),EXACT(metadata!R111,"missing: not provided"),EXACT(metadata!R111,"missing: restricted access"))),AND(IF(metadata!R111="",FALSE,ISNUMBER(VALUE(metadata!R111))),metadata!R111&gt;=-90,metadata!R111&lt;=90))</f>
        <v>0</v>
      </c>
      <c r="BD111" t="b">
        <f>AND(IF(metadata!S111="",FALSE,TRUE),EXACT(metadata!S111,"Decimal degrees"))</f>
        <v>0</v>
      </c>
      <c r="BE111" t="b">
        <f>OR(AND(IF(metadata!T111="",FALSE,TRUE),OR(EXACT(metadata!T111,"missing: not collected"),EXACT(metadata!T111,"missing: not provided"),EXACT(metadata!T111,"missing: restricted access"))),AND(IF(metadata!T111="",FALSE,ISNUMBER(VALUE(metadata!T111))),metadata!T111&gt;=-180,metadata!T111&lt;=180))</f>
        <v>0</v>
      </c>
      <c r="BF111" t="b">
        <f>AND(IF(metadata!U111="",FALSE,TRUE),EXACT(metadata!U111,"Decimal degrees"))</f>
        <v>0</v>
      </c>
      <c r="BG111" t="b">
        <f>IF(metadata!V111="",FALSE,TRUE)</f>
        <v>0</v>
      </c>
      <c r="BH111" t="b">
        <f>OR(AND(IF(metadata!W111="",FALSE,TRUE),OR(EXACT(metadata!W111,"missing: not collected"),EXACT(metadata!W111,"missing: not provided"),EXACT(metadata!W111,"missing: restricted access"))),AND(IF(metadata!W111="",FALSE,TRUE),OR(EXACT(metadata!W111,"TRUE"),EXACT(metadata!W111,"FALSE"))))</f>
        <v>0</v>
      </c>
      <c r="BI111" t="b">
        <f>AND(IF(metadata!X111="",FALSE,TRUE),EXACT(metadata!X111,"other"))</f>
        <v>0</v>
      </c>
      <c r="BJ111" t="b">
        <f>IF(metadata!Y111="",FALSE,TRUE)</f>
        <v>0</v>
      </c>
      <c r="BK111" t="b">
        <f>OR(AND(IF(metadata!Z111="",FALSE,TRUE),OR(EXACT(metadata!Z111,"missing: not collected"),EXACT(metadata!Z111,"missing: not provided"))),AND(IF(metadata!Z111="",FALSE,IF(ISERROR(INT(metadata!Z111)),FALSE,INT(metadata!Z111)=metadata!Z111)),metadata!Z111&gt;0))</f>
        <v>0</v>
      </c>
      <c r="BL111" t="b">
        <f>AND(IF(metadata!AA111="",FALSE,TRUE),EXACT(metadata!AA111,"Not applicable"))</f>
        <v>0</v>
      </c>
      <c r="BM111" t="b">
        <f>IF(metadata!AB111="",FALSE,TRUE)</f>
        <v>0</v>
      </c>
    </row>
    <row r="112" spans="1:65" x14ac:dyDescent="0.2">
      <c r="A112" s="5" t="str">
        <f ca="1">IF(B112=" "," ",HYPERLINK(CONCATENATE("#metadata!",ADDRESS(INDEX($AH$2:$AH$1001,MATCH(ROWS($AF$2:AF112),$AF$2:$AF$1001,0),0),1)),INDEX($AK$2:$AK$1001,MATCH(ROWS($AF$2:AF112),$AF$2:$AF$1001,0),0)))</f>
        <v xml:space="preserve"> </v>
      </c>
      <c r="B112" s="4" t="str">
        <f ca="1">IF(OR(INDEX($AG$2:$AG$1001,MATCH(ROWS($AF$2:AF112),$AF$2:$AF$1001,0),1)&gt;=100000,INDEX($AM$1005:$BM$1005,1,MATCH(COLUMNS($AM$1006:AM1006),$AM$1006:$BM$1006,0))&gt;=100000), " ",IF(INDEX($AM$2:$BM$1001,MATCH(ROWS($AF$2:AF112),$AF$2:$AF$1001,0),MATCH(COLUMNS($AM$1006:AM1006),$AM$1006:$BM$1006,0)), HYPERLINK("#",""), HYPERLINK(CONCATENATE("#metadata!", ADDRESS(INDEX($AH$2:$AH$1001,MATCH(ROWS($AF$2:AF112),$AF$2:$AF$1001,0),0), INDEX($AM$1004:$BM$1004,1,MATCH(COLUMNS($AM$1006:AM1006),$AM$1006:$BM$1006,0)))),"Fix")))</f>
        <v xml:space="preserve"> </v>
      </c>
      <c r="C112" s="4" t="str">
        <f ca="1">IF(OR(INDEX($AG$2:$AG$1001,MATCH(ROWS($AF$2:AF112),$AF$2:$AF$1001,0),1)&gt;=100000,INDEX($AM$1005:$BM$1005,1,MATCH(COLUMNS($AM$1006:AN1006),$AM$1006:$BM$1006,0))&gt;=100000), " ",IF(INDEX($AM$2:$BM$1001,MATCH(ROWS($AF$2:AF112),$AF$2:$AF$1001,0),MATCH(COLUMNS($AM$1006:AN1006),$AM$1006:$BM$1006,0)), HYPERLINK("#",""), HYPERLINK(CONCATENATE("#metadata!", ADDRESS(INDEX($AH$2:$AH$1001,MATCH(ROWS($AF$2:AF112),$AF$2:$AF$1001,0),0), INDEX($AM$1004:$BM$1004,1,MATCH(COLUMNS($AM$1006:AN1006),$AM$1006:$BM$1006,0)))),"Fix")))</f>
        <v xml:space="preserve"> </v>
      </c>
      <c r="D112" s="4" t="str">
        <f ca="1">IF(OR(INDEX($AG$2:$AG$1001,MATCH(ROWS($AF$2:AF112),$AF$2:$AF$1001,0),1)&gt;=100000,INDEX($AM$1005:$BM$1005,1,MATCH(COLUMNS($AM$1006:AO1006),$AM$1006:$BM$1006,0))&gt;=100000), " ",IF(INDEX($AM$2:$BM$1001,MATCH(ROWS($AF$2:AF112),$AF$2:$AF$1001,0),MATCH(COLUMNS($AM$1006:AO1006),$AM$1006:$BM$1006,0)), HYPERLINK("#",""), HYPERLINK(CONCATENATE("#metadata!", ADDRESS(INDEX($AH$2:$AH$1001,MATCH(ROWS($AF$2:AF112),$AF$2:$AF$1001,0),0), INDEX($AM$1004:$BM$1004,1,MATCH(COLUMNS($AM$1006:AO1006),$AM$1006:$BM$1006,0)))),"Fix")))</f>
        <v xml:space="preserve"> </v>
      </c>
      <c r="E112" s="4" t="str">
        <f ca="1">IF(OR(INDEX($AG$2:$AG$1001,MATCH(ROWS($AF$2:AF112),$AF$2:$AF$1001,0),1)&gt;=100000,INDEX($AM$1005:$BM$1005,1,MATCH(COLUMNS($AM$1006:AP1006),$AM$1006:$BM$1006,0))&gt;=100000), " ",IF(INDEX($AM$2:$BM$1001,MATCH(ROWS($AF$2:AF112),$AF$2:$AF$1001,0),MATCH(COLUMNS($AM$1006:AP1006),$AM$1006:$BM$1006,0)), HYPERLINK("#",""), HYPERLINK(CONCATENATE("#metadata!", ADDRESS(INDEX($AH$2:$AH$1001,MATCH(ROWS($AF$2:AF112),$AF$2:$AF$1001,0),0), INDEX($AM$1004:$BM$1004,1,MATCH(COLUMNS($AM$1006:AP1006),$AM$1006:$BM$1006,0)))),"Fix")))</f>
        <v xml:space="preserve"> </v>
      </c>
      <c r="F112" s="4" t="str">
        <f ca="1">IF(OR(INDEX($AG$2:$AG$1001,MATCH(ROWS($AF$2:AF112),$AF$2:$AF$1001,0),1)&gt;=100000,INDEX($AM$1005:$BM$1005,1,MATCH(COLUMNS($AM$1006:AQ1006),$AM$1006:$BM$1006,0))&gt;=100000), " ",IF(INDEX($AM$2:$BM$1001,MATCH(ROWS($AF$2:AF112),$AF$2:$AF$1001,0),MATCH(COLUMNS($AM$1006:AQ1006),$AM$1006:$BM$1006,0)), HYPERLINK("#",""), HYPERLINK(CONCATENATE("#metadata!", ADDRESS(INDEX($AH$2:$AH$1001,MATCH(ROWS($AF$2:AF112),$AF$2:$AF$1001,0),0), INDEX($AM$1004:$BM$1004,1,MATCH(COLUMNS($AM$1006:AQ1006),$AM$1006:$BM$1006,0)))),"Fix")))</f>
        <v xml:space="preserve"> </v>
      </c>
      <c r="G112" s="4" t="str">
        <f ca="1">IF(OR(INDEX($AG$2:$AG$1001,MATCH(ROWS($AF$2:AF112),$AF$2:$AF$1001,0),1)&gt;=100000,INDEX($AM$1005:$BM$1005,1,MATCH(COLUMNS($AM$1006:AR1006),$AM$1006:$BM$1006,0))&gt;=100000), " ",IF(INDEX($AM$2:$BM$1001,MATCH(ROWS($AF$2:AF112),$AF$2:$AF$1001,0),MATCH(COLUMNS($AM$1006:AR1006),$AM$1006:$BM$1006,0)), HYPERLINK("#",""), HYPERLINK(CONCATENATE("#metadata!", ADDRESS(INDEX($AH$2:$AH$1001,MATCH(ROWS($AF$2:AF112),$AF$2:$AF$1001,0),0), INDEX($AM$1004:$BM$1004,1,MATCH(COLUMNS($AM$1006:AR1006),$AM$1006:$BM$1006,0)))),"Fix")))</f>
        <v xml:space="preserve"> </v>
      </c>
      <c r="H112" s="4" t="str">
        <f ca="1">IF(OR(INDEX($AG$2:$AG$1001,MATCH(ROWS($AF$2:AF112),$AF$2:$AF$1001,0),1)&gt;=100000,INDEX($AM$1005:$BM$1005,1,MATCH(COLUMNS($AM$1006:AS1006),$AM$1006:$BM$1006,0))&gt;=100000), " ",IF(INDEX($AM$2:$BM$1001,MATCH(ROWS($AF$2:AF112),$AF$2:$AF$1001,0),MATCH(COLUMNS($AM$1006:AS1006),$AM$1006:$BM$1006,0)), HYPERLINK("#",""), HYPERLINK(CONCATENATE("#metadata!", ADDRESS(INDEX($AH$2:$AH$1001,MATCH(ROWS($AF$2:AF112),$AF$2:$AF$1001,0),0), INDEX($AM$1004:$BM$1004,1,MATCH(COLUMNS($AM$1006:AS1006),$AM$1006:$BM$1006,0)))),"Fix")))</f>
        <v xml:space="preserve"> </v>
      </c>
      <c r="I112" s="4" t="str">
        <f ca="1">IF(OR(INDEX($AG$2:$AG$1001,MATCH(ROWS($AF$2:AF112),$AF$2:$AF$1001,0),1)&gt;=100000,INDEX($AM$1005:$BM$1005,1,MATCH(COLUMNS($AM$1006:AT1006),$AM$1006:$BM$1006,0))&gt;=100000), " ",IF(INDEX($AM$2:$BM$1001,MATCH(ROWS($AF$2:AF112),$AF$2:$AF$1001,0),MATCH(COLUMNS($AM$1006:AT1006),$AM$1006:$BM$1006,0)), HYPERLINK("#",""), HYPERLINK(CONCATENATE("#metadata!", ADDRESS(INDEX($AH$2:$AH$1001,MATCH(ROWS($AF$2:AF112),$AF$2:$AF$1001,0),0), INDEX($AM$1004:$BM$1004,1,MATCH(COLUMNS($AM$1006:AT1006),$AM$1006:$BM$1006,0)))),"Fix")))</f>
        <v xml:space="preserve"> </v>
      </c>
      <c r="J112" s="4" t="str">
        <f ca="1">IF(OR(INDEX($AG$2:$AG$1001,MATCH(ROWS($AF$2:AF112),$AF$2:$AF$1001,0),1)&gt;=100000,INDEX($AM$1005:$BM$1005,1,MATCH(COLUMNS($AM$1006:AU1006),$AM$1006:$BM$1006,0))&gt;=100000), " ",IF(INDEX($AM$2:$BM$1001,MATCH(ROWS($AF$2:AF112),$AF$2:$AF$1001,0),MATCH(COLUMNS($AM$1006:AU1006),$AM$1006:$BM$1006,0)), HYPERLINK("#",""), HYPERLINK(CONCATENATE("#metadata!", ADDRESS(INDEX($AH$2:$AH$1001,MATCH(ROWS($AF$2:AF112),$AF$2:$AF$1001,0),0), INDEX($AM$1004:$BM$1004,1,MATCH(COLUMNS($AM$1006:AU1006),$AM$1006:$BM$1006,0)))),"Fix")))</f>
        <v xml:space="preserve"> </v>
      </c>
      <c r="K112" s="4" t="str">
        <f ca="1">IF(OR(INDEX($AG$2:$AG$1001,MATCH(ROWS($AF$2:AF112),$AF$2:$AF$1001,0),1)&gt;=100000,INDEX($AM$1005:$BM$1005,1,MATCH(COLUMNS($AM$1006:AV1006),$AM$1006:$BM$1006,0))&gt;=100000), " ",IF(INDEX($AM$2:$BM$1001,MATCH(ROWS($AF$2:AF112),$AF$2:$AF$1001,0),MATCH(COLUMNS($AM$1006:AV1006),$AM$1006:$BM$1006,0)), HYPERLINK("#",""), HYPERLINK(CONCATENATE("#metadata!", ADDRESS(INDEX($AH$2:$AH$1001,MATCH(ROWS($AF$2:AF112),$AF$2:$AF$1001,0),0), INDEX($AM$1004:$BM$1004,1,MATCH(COLUMNS($AM$1006:AV1006),$AM$1006:$BM$1006,0)))),"Fix")))</f>
        <v xml:space="preserve"> </v>
      </c>
      <c r="L112" s="4" t="str">
        <f ca="1">IF(OR(INDEX($AG$2:$AG$1001,MATCH(ROWS($AF$2:AF112),$AF$2:$AF$1001,0),1)&gt;=100000,INDEX($AM$1005:$BM$1005,1,MATCH(COLUMNS($AM$1006:AW1006),$AM$1006:$BM$1006,0))&gt;=100000), " ",IF(INDEX($AM$2:$BM$1001,MATCH(ROWS($AF$2:AF112),$AF$2:$AF$1001,0),MATCH(COLUMNS($AM$1006:AW1006),$AM$1006:$BM$1006,0)), HYPERLINK("#",""), HYPERLINK(CONCATENATE("#metadata!", ADDRESS(INDEX($AH$2:$AH$1001,MATCH(ROWS($AF$2:AF112),$AF$2:$AF$1001,0),0), INDEX($AM$1004:$BM$1004,1,MATCH(COLUMNS($AM$1006:AW1006),$AM$1006:$BM$1006,0)))),"Fix")))</f>
        <v xml:space="preserve"> </v>
      </c>
      <c r="M112" s="4" t="str">
        <f ca="1">IF(OR(INDEX($AG$2:$AG$1001,MATCH(ROWS($AF$2:AF112),$AF$2:$AF$1001,0),1)&gt;=100000,INDEX($AM$1005:$BM$1005,1,MATCH(COLUMNS($AM$1006:AX1006),$AM$1006:$BM$1006,0))&gt;=100000), " ",IF(INDEX($AM$2:$BM$1001,MATCH(ROWS($AF$2:AF112),$AF$2:$AF$1001,0),MATCH(COLUMNS($AM$1006:AX1006),$AM$1006:$BM$1006,0)), HYPERLINK("#",""), HYPERLINK(CONCATENATE("#metadata!", ADDRESS(INDEX($AH$2:$AH$1001,MATCH(ROWS($AF$2:AF112),$AF$2:$AF$1001,0),0), INDEX($AM$1004:$BM$1004,1,MATCH(COLUMNS($AM$1006:AX1006),$AM$1006:$BM$1006,0)))),"Fix")))</f>
        <v xml:space="preserve"> </v>
      </c>
      <c r="N112" s="4" t="str">
        <f ca="1">IF(OR(INDEX($AG$2:$AG$1001,MATCH(ROWS($AF$2:AF112),$AF$2:$AF$1001,0),1)&gt;=100000,INDEX($AM$1005:$BM$1005,1,MATCH(COLUMNS($AM$1006:AY1006),$AM$1006:$BM$1006,0))&gt;=100000), " ",IF(INDEX($AM$2:$BM$1001,MATCH(ROWS($AF$2:AF112),$AF$2:$AF$1001,0),MATCH(COLUMNS($AM$1006:AY1006),$AM$1006:$BM$1006,0)), HYPERLINK("#",""), HYPERLINK(CONCATENATE("#metadata!", ADDRESS(INDEX($AH$2:$AH$1001,MATCH(ROWS($AF$2:AF112),$AF$2:$AF$1001,0),0), INDEX($AM$1004:$BM$1004,1,MATCH(COLUMNS($AM$1006:AY1006),$AM$1006:$BM$1006,0)))),"Fix")))</f>
        <v xml:space="preserve"> </v>
      </c>
      <c r="O112" s="4" t="str">
        <f ca="1">IF(OR(INDEX($AG$2:$AG$1001,MATCH(ROWS($AF$2:AF112),$AF$2:$AF$1001,0),1)&gt;=100000,INDEX($AM$1005:$BM$1005,1,MATCH(COLUMNS($AM$1006:AZ1006),$AM$1006:$BM$1006,0))&gt;=100000), " ",IF(INDEX($AM$2:$BM$1001,MATCH(ROWS($AF$2:AF112),$AF$2:$AF$1001,0),MATCH(COLUMNS($AM$1006:AZ1006),$AM$1006:$BM$1006,0)), HYPERLINK("#",""), HYPERLINK(CONCATENATE("#metadata!", ADDRESS(INDEX($AH$2:$AH$1001,MATCH(ROWS($AF$2:AF112),$AF$2:$AF$1001,0),0), INDEX($AM$1004:$BM$1004,1,MATCH(COLUMNS($AM$1006:AZ1006),$AM$1006:$BM$1006,0)))),"Fix")))</f>
        <v xml:space="preserve"> </v>
      </c>
      <c r="P112" s="4" t="str">
        <f ca="1">IF(OR(INDEX($AG$2:$AG$1001,MATCH(ROWS($AF$2:AF112),$AF$2:$AF$1001,0),1)&gt;=100000,INDEX($AM$1005:$BM$1005,1,MATCH(COLUMNS($AM$1006:BA1006),$AM$1006:$BM$1006,0))&gt;=100000), " ",IF(INDEX($AM$2:$BM$1001,MATCH(ROWS($AF$2:AF112),$AF$2:$AF$1001,0),MATCH(COLUMNS($AM$1006:BA1006),$AM$1006:$BM$1006,0)), HYPERLINK("#",""), HYPERLINK(CONCATENATE("#metadata!", ADDRESS(INDEX($AH$2:$AH$1001,MATCH(ROWS($AF$2:AF112),$AF$2:$AF$1001,0),0), INDEX($AM$1004:$BM$1004,1,MATCH(COLUMNS($AM$1006:BA1006),$AM$1006:$BM$1006,0)))),"Fix")))</f>
        <v xml:space="preserve"> </v>
      </c>
      <c r="Q112" s="4" t="str">
        <f ca="1">IF(OR(INDEX($AG$2:$AG$1001,MATCH(ROWS($AF$2:AF112),$AF$2:$AF$1001,0),1)&gt;=100000,INDEX($AM$1005:$BM$1005,1,MATCH(COLUMNS($AM$1006:BB1006),$AM$1006:$BM$1006,0))&gt;=100000), " ",IF(INDEX($AM$2:$BM$1001,MATCH(ROWS($AF$2:AF112),$AF$2:$AF$1001,0),MATCH(COLUMNS($AM$1006:BB1006),$AM$1006:$BM$1006,0)), HYPERLINK("#",""), HYPERLINK(CONCATENATE("#metadata!", ADDRESS(INDEX($AH$2:$AH$1001,MATCH(ROWS($AF$2:AF112),$AF$2:$AF$1001,0),0), INDEX($AM$1004:$BM$1004,1,MATCH(COLUMNS($AM$1006:BB1006),$AM$1006:$BM$1006,0)))),"Fix")))</f>
        <v xml:space="preserve"> </v>
      </c>
      <c r="R112" s="4" t="str">
        <f ca="1">IF(OR(INDEX($AG$2:$AG$1001,MATCH(ROWS($AF$2:AF112),$AF$2:$AF$1001,0),1)&gt;=100000,INDEX($AM$1005:$BM$1005,1,MATCH(COLUMNS($AM$1006:BC1006),$AM$1006:$BM$1006,0))&gt;=100000), " ",IF(INDEX($AM$2:$BM$1001,MATCH(ROWS($AF$2:AF112),$AF$2:$AF$1001,0),MATCH(COLUMNS($AM$1006:BC1006),$AM$1006:$BM$1006,0)), HYPERLINK("#",""), HYPERLINK(CONCATENATE("#metadata!", ADDRESS(INDEX($AH$2:$AH$1001,MATCH(ROWS($AF$2:AF112),$AF$2:$AF$1001,0),0), INDEX($AM$1004:$BM$1004,1,MATCH(COLUMNS($AM$1006:BC1006),$AM$1006:$BM$1006,0)))),"Fix")))</f>
        <v xml:space="preserve"> </v>
      </c>
      <c r="S112" s="4" t="str">
        <f ca="1">IF(OR(INDEX($AG$2:$AG$1001,MATCH(ROWS($AF$2:AF112),$AF$2:$AF$1001,0),1)&gt;=100000,INDEX($AM$1005:$BM$1005,1,MATCH(COLUMNS($AM$1006:BD1006),$AM$1006:$BM$1006,0))&gt;=100000), " ",IF(INDEX($AM$2:$BM$1001,MATCH(ROWS($AF$2:AF112),$AF$2:$AF$1001,0),MATCH(COLUMNS($AM$1006:BD1006),$AM$1006:$BM$1006,0)), HYPERLINK("#",""), HYPERLINK(CONCATENATE("#metadata!", ADDRESS(INDEX($AH$2:$AH$1001,MATCH(ROWS($AF$2:AF112),$AF$2:$AF$1001,0),0), INDEX($AM$1004:$BM$1004,1,MATCH(COLUMNS($AM$1006:BD1006),$AM$1006:$BM$1006,0)))),"Fix")))</f>
        <v xml:space="preserve"> </v>
      </c>
      <c r="T112" s="4" t="str">
        <f ca="1">IF(OR(INDEX($AG$2:$AG$1001,MATCH(ROWS($AF$2:AF112),$AF$2:$AF$1001,0),1)&gt;=100000,INDEX($AM$1005:$BM$1005,1,MATCH(COLUMNS($AM$1006:BE1006),$AM$1006:$BM$1006,0))&gt;=100000), " ",IF(INDEX($AM$2:$BM$1001,MATCH(ROWS($AF$2:AF112),$AF$2:$AF$1001,0),MATCH(COLUMNS($AM$1006:BE1006),$AM$1006:$BM$1006,0)), HYPERLINK("#",""), HYPERLINK(CONCATENATE("#metadata!", ADDRESS(INDEX($AH$2:$AH$1001,MATCH(ROWS($AF$2:AF112),$AF$2:$AF$1001,0),0), INDEX($AM$1004:$BM$1004,1,MATCH(COLUMNS($AM$1006:BE1006),$AM$1006:$BM$1006,0)))),"Fix")))</f>
        <v xml:space="preserve"> </v>
      </c>
      <c r="U112" s="4" t="str">
        <f ca="1">IF(OR(INDEX($AG$2:$AG$1001,MATCH(ROWS($AF$2:AF112),$AF$2:$AF$1001,0),1)&gt;=100000,INDEX($AM$1005:$BM$1005,1,MATCH(COLUMNS($AM$1006:BF1006),$AM$1006:$BM$1006,0))&gt;=100000), " ",IF(INDEX($AM$2:$BM$1001,MATCH(ROWS($AF$2:AF112),$AF$2:$AF$1001,0),MATCH(COLUMNS($AM$1006:BF1006),$AM$1006:$BM$1006,0)), HYPERLINK("#",""), HYPERLINK(CONCATENATE("#metadata!", ADDRESS(INDEX($AH$2:$AH$1001,MATCH(ROWS($AF$2:AF112),$AF$2:$AF$1001,0),0), INDEX($AM$1004:$BM$1004,1,MATCH(COLUMNS($AM$1006:BF1006),$AM$1006:$BM$1006,0)))),"Fix")))</f>
        <v xml:space="preserve"> </v>
      </c>
      <c r="V112" s="4" t="str">
        <f ca="1">IF(OR(INDEX($AG$2:$AG$1001,MATCH(ROWS($AF$2:AF112),$AF$2:$AF$1001,0),1)&gt;=100000,INDEX($AM$1005:$BM$1005,1,MATCH(COLUMNS($AM$1006:BG1006),$AM$1006:$BM$1006,0))&gt;=100000), " ",IF(INDEX($AM$2:$BM$1001,MATCH(ROWS($AF$2:AF112),$AF$2:$AF$1001,0),MATCH(COLUMNS($AM$1006:BG1006),$AM$1006:$BM$1006,0)), HYPERLINK("#",""), HYPERLINK(CONCATENATE("#metadata!", ADDRESS(INDEX($AH$2:$AH$1001,MATCH(ROWS($AF$2:AF112),$AF$2:$AF$1001,0),0), INDEX($AM$1004:$BM$1004,1,MATCH(COLUMNS($AM$1006:BG1006),$AM$1006:$BM$1006,0)))),"Fix")))</f>
        <v xml:space="preserve"> </v>
      </c>
      <c r="W112" s="4" t="str">
        <f ca="1">IF(OR(INDEX($AG$2:$AG$1001,MATCH(ROWS($AF$2:AF112),$AF$2:$AF$1001,0),1)&gt;=100000,INDEX($AM$1005:$BM$1005,1,MATCH(COLUMNS($AM$1006:BH1006),$AM$1006:$BM$1006,0))&gt;=100000), " ",IF(INDEX($AM$2:$BM$1001,MATCH(ROWS($AF$2:AF112),$AF$2:$AF$1001,0),MATCH(COLUMNS($AM$1006:BH1006),$AM$1006:$BM$1006,0)), HYPERLINK("#",""), HYPERLINK(CONCATENATE("#metadata!", ADDRESS(INDEX($AH$2:$AH$1001,MATCH(ROWS($AF$2:AF112),$AF$2:$AF$1001,0),0), INDEX($AM$1004:$BM$1004,1,MATCH(COLUMNS($AM$1006:BH1006),$AM$1006:$BM$1006,0)))),"Fix")))</f>
        <v xml:space="preserve"> </v>
      </c>
      <c r="X112" s="4" t="str">
        <f ca="1">IF(OR(INDEX($AG$2:$AG$1001,MATCH(ROWS($AF$2:AF112),$AF$2:$AF$1001,0),1)&gt;=100000,INDEX($AM$1005:$BM$1005,1,MATCH(COLUMNS($AM$1006:BI1006),$AM$1006:$BM$1006,0))&gt;=100000), " ",IF(INDEX($AM$2:$BM$1001,MATCH(ROWS($AF$2:AF112),$AF$2:$AF$1001,0),MATCH(COLUMNS($AM$1006:BI1006),$AM$1006:$BM$1006,0)), HYPERLINK("#",""), HYPERLINK(CONCATENATE("#metadata!", ADDRESS(INDEX($AH$2:$AH$1001,MATCH(ROWS($AF$2:AF112),$AF$2:$AF$1001,0),0), INDEX($AM$1004:$BM$1004,1,MATCH(COLUMNS($AM$1006:BI1006),$AM$1006:$BM$1006,0)))),"Fix")))</f>
        <v xml:space="preserve"> </v>
      </c>
      <c r="Y112" s="4" t="str">
        <f ca="1">IF(OR(INDEX($AG$2:$AG$1001,MATCH(ROWS($AF$2:AF112),$AF$2:$AF$1001,0),1)&gt;=100000,INDEX($AM$1005:$BM$1005,1,MATCH(COLUMNS($AM$1006:BJ1006),$AM$1006:$BM$1006,0))&gt;=100000), " ",IF(INDEX($AM$2:$BM$1001,MATCH(ROWS($AF$2:AF112),$AF$2:$AF$1001,0),MATCH(COLUMNS($AM$1006:BJ1006),$AM$1006:$BM$1006,0)), HYPERLINK("#",""), HYPERLINK(CONCATENATE("#metadata!", ADDRESS(INDEX($AH$2:$AH$1001,MATCH(ROWS($AF$2:AF112),$AF$2:$AF$1001,0),0), INDEX($AM$1004:$BM$1004,1,MATCH(COLUMNS($AM$1006:BJ1006),$AM$1006:$BM$1006,0)))),"Fix")))</f>
        <v xml:space="preserve"> </v>
      </c>
      <c r="Z112" s="4" t="str">
        <f ca="1">IF(OR(INDEX($AG$2:$AG$1001,MATCH(ROWS($AF$2:AF112),$AF$2:$AF$1001,0),1)&gt;=100000,INDEX($AM$1005:$BM$1005,1,MATCH(COLUMNS($AM$1006:BK1006),$AM$1006:$BM$1006,0))&gt;=100000), " ",IF(INDEX($AM$2:$BM$1001,MATCH(ROWS($AF$2:AF112),$AF$2:$AF$1001,0),MATCH(COLUMNS($AM$1006:BK1006),$AM$1006:$BM$1006,0)), HYPERLINK("#",""), HYPERLINK(CONCATENATE("#metadata!", ADDRESS(INDEX($AH$2:$AH$1001,MATCH(ROWS($AF$2:AF112),$AF$2:$AF$1001,0),0), INDEX($AM$1004:$BM$1004,1,MATCH(COLUMNS($AM$1006:BK1006),$AM$1006:$BM$1006,0)))),"Fix")))</f>
        <v xml:space="preserve"> </v>
      </c>
      <c r="AA112" s="4" t="str">
        <f ca="1">IF(OR(INDEX($AG$2:$AG$1001,MATCH(ROWS($AF$2:AF112),$AF$2:$AF$1001,0),1)&gt;=100000,INDEX($AM$1005:$BM$1005,1,MATCH(COLUMNS($AM$1006:BL1006),$AM$1006:$BM$1006,0))&gt;=100000), " ",IF(INDEX($AM$2:$BM$1001,MATCH(ROWS($AF$2:AF112),$AF$2:$AF$1001,0),MATCH(COLUMNS($AM$1006:BL1006),$AM$1006:$BM$1006,0)), HYPERLINK("#",""), HYPERLINK(CONCATENATE("#metadata!", ADDRESS(INDEX($AH$2:$AH$1001,MATCH(ROWS($AF$2:AF112),$AF$2:$AF$1001,0),0), INDEX($AM$1004:$BM$1004,1,MATCH(COLUMNS($AM$1006:BL1006),$AM$1006:$BM$1006,0)))),"Fix")))</f>
        <v xml:space="preserve"> </v>
      </c>
      <c r="AB112" s="4" t="str">
        <f ca="1">IF(OR(INDEX($AG$2:$AG$1001,MATCH(ROWS($AF$2:AF112),$AF$2:$AF$1001,0),1)&gt;=100000,INDEX($AM$1005:$BM$1005,1,MATCH(COLUMNS($AM$1006:BM1006),$AM$1006:$BM$1006,0))&gt;=100000), " ",IF(INDEX($AM$2:$BM$1001,MATCH(ROWS($AF$2:AF112),$AF$2:$AF$1001,0),MATCH(COLUMNS($AM$1006:BM1006),$AM$1006:$BM$1006,0)), HYPERLINK("#",""), HYPERLINK(CONCATENATE("#metadata!", ADDRESS(INDEX($AH$2:$AH$1001,MATCH(ROWS($AF$2:AF112),$AF$2:$AF$1001,0),0), INDEX($AM$1004:$BM$1004,1,MATCH(COLUMNS($AM$1006:BM1006),$AM$1006:$BM$1006,0)))),"Fix")))</f>
        <v xml:space="preserve"> </v>
      </c>
      <c r="AF112">
        <v>111</v>
      </c>
      <c r="AG112">
        <v>100112</v>
      </c>
      <c r="AH112">
        <v>112</v>
      </c>
      <c r="AI112" t="b">
        <f t="shared" si="1"/>
        <v>1</v>
      </c>
      <c r="AJ112" t="b">
        <f>COUNTBLANK(metadata!B112:AB112)=COLUMNS(metadata!B112:AB112)</f>
        <v>1</v>
      </c>
      <c r="AK112" t="str">
        <v/>
      </c>
      <c r="AM112" t="b">
        <f ca="1">AND(IF(metadata!B112="",FALSE,TRUE),COUNTIF(metadata!B:B, metadata!B112) = 1,NOT(ISERROR(SUMPRODUCT(SEARCH(MID(metadata!B112,ROW(INDIRECT("1:"&amp;LEN(metadata!B112))), 1),"0123456789abcdefghijklmnopqrstuvwxyzABCDEFGHIJKLMNOPQRSTUVWXYZ.")))))</f>
        <v>0</v>
      </c>
      <c r="AN112" t="b">
        <f ca="1">OR(AND(IF(metadata!C112="",FALSE,TRUE),OR(EXACT(metadata!C112,"missing: not collected"),EXACT(metadata!C112,"missing: not provided"),EXACT(metadata!C112,"missing: restricted access"))),AND(IF(metadata!C112="",FALSE,TRUE),AND(AND(IFERROR(INT(LEFT(metadata!C112,4))&gt;1900,FALSE),IFERROR(INT(LEFT(metadata!C112,4))&lt;=YEAR(NOW()),FALSE)), OR(MID(metadata!C112,5,1)="", AND(AND(MID(metadata!C112,5,1)="-",IFERROR(INT(MID(metadata!C112,6,1))&gt;=0,FALSE),IFERROR(INT(MID(metadata!C112,6,1))&lt;=1,FALSE),NOT(MID(metadata!C112,7,1)=""),IFERROR(INT(MID(metadata!C112,6,2))&gt;=1,FALSE),IFERROR(INT(MID(metadata!C112,6,2))&lt;=12,FALSE)), OR(MID(metadata!C112,8,1)="", AND(AND(MID(metadata!C112,8,1)="-",IFERROR(INT(MID(metadata!C112,9,1))&gt;=0,FALSE),IFERROR(INT(MID(metadata!C112,9,1))&lt;=3,FALSE),NOT(MID(metadata!C112,10,1)=""),IFERROR(INT(MID(metadata!C112,9,2))&gt;=1,FALSE),IFERROR(INT(MID(metadata!C112,9,2))&lt;=31,FALSE)), OR(MID(metadata!C112,11,1)="", AND(AND(MID(metadata!C112,11,1)=" ",IFERROR(INT(MID(metadata!C112,12,1))&gt;=0,FALSE),IFERROR(INT(MID(metadata!C112,12,1))&lt;=2,FALSE),NOT(MID(metadata!C112,13,1)=""),IFERROR(INT(MID(metadata!C112,12,2))&gt;=0,FALSE),IFERROR(INT(MID(metadata!C112,12,2))&lt;=23,FALSE)), OR(MID(metadata!C112,14,1)="", AND(AND(MID(metadata!C112,14,1)=":",IFERROR(INT(MID(metadata!C112,15,1))&gt;=0,FALSE),IFERROR(INT(MID(metadata!C112,15,1))&lt;=5,FALSE),NOT(MID(metadata!C112,16,1)=""),IFERROR(INT(MID(metadata!C112,15,2))&gt;=0,FALSE),IFERROR(INT(MID(metadata!C112,15,2))&lt;=59,FALSE)), OR(MID(metadata!C112,17,1)="", AND(AND(MID(metadata!C112,17,1)=":",IFERROR(INT(MID(metadata!C112,18,1))&gt;=0,FALSE),IFERROR(INT(MID(metadata!C112,18,1))&lt;=5,FALSE),NOT(MID(metadata!C112,19,1)=""),IFERROR(INT(MID(metadata!C112,18,2))&gt;=0,FALSE),IFERROR(INT(MID(metadata!C112,18,2))&lt;=59,FALSE)), LEN(metadata!C112)&lt;=19)))))))))))))</f>
        <v>0</v>
      </c>
      <c r="AO112" t="b">
        <f>AND(IF(metadata!D112="",FALSE,TRUE),EXACT(metadata!D112,"Not applicable"))</f>
        <v>0</v>
      </c>
      <c r="AP112" t="b">
        <f>IF(metadata!E112="",FALSE,TRUE)</f>
        <v>0</v>
      </c>
      <c r="AQ112" t="b">
        <f>OR(AND(IF(metadata!F112="",FALSE,TRUE),OR(EXACT(metadata!F112,"missing: not collected"),EXACT(metadata!F112,"missing: not provided"))),AND(IF(metadata!F112="",FALSE,TRUE),OR(EXACT(metadata!F112,"TRUE"),EXACT(metadata!F112,"FALSE"))))</f>
        <v>0</v>
      </c>
      <c r="AR112" t="b">
        <f>OR(AND(IF(metadata!G112="",FALSE,TRUE),OR(EXACT(metadata!G112,"missing: not collected"),EXACT(metadata!G112,"missing: not provided"),EXACT(metadata!G112,"missing: restricted access"))),AND(IF(metadata!G112="",FALSE,ISNUMBER(VALUE(metadata!G112))),metadata!G112&gt;=-413))</f>
        <v>0</v>
      </c>
      <c r="AS112" t="b">
        <f>AND(IF(metadata!H112="",FALSE,TRUE),EXACT(metadata!H112,"meters"))</f>
        <v>0</v>
      </c>
      <c r="AT112" t="b">
        <f>AND(IF(metadata!I112="",FALSE,TRUE),OR(EXACT(metadata!I112,"Host-associated"),EXACT(metadata!I112,"Free-living")))</f>
        <v>0</v>
      </c>
      <c r="AU112" t="b">
        <f>AND(IF(metadata!J112="",FALSE,TRUE),OR(EXACT(metadata!J112,"Animal"),EXACT(metadata!J112,"Fungus"),EXACT(metadata!J112,"Plant"),EXACT(metadata!J112,"Saline"),EXACT(metadata!J112,"Non-saline")))</f>
        <v>0</v>
      </c>
      <c r="AV112" t="b">
        <f>AND(IF(metadata!K112="",FALSE,TRUE),OR(EXACT(metadata!K112,"Plant secretion"),EXACT(metadata!K112,"Plant rhizosphere"),EXACT(metadata!K112,"Plant surface"),EXACT(metadata!K112,"Plant corpus"),EXACT(metadata!K112,"Fungus surface"),EXACT(metadata!K112,"Fungus corpus"),EXACT(metadata!K112,"Animal surface"),EXACT(metadata!K112,"Animal proximal gut"),EXACT(metadata!K112,"Animal corpus"),EXACT(metadata!K112,"Animal distal gut"),EXACT(metadata!K112,"Animal secretion"),EXACT(metadata!K112,"Sub-surface (non-saline)"),EXACT(metadata!K112,"Surface (non-saline)"),EXACT(metadata!K112,"Water (non-saline)"),EXACT(metadata!K112,"Soil (non-saline)"),EXACT(metadata!K112,"Aerosol (non-saline)"),EXACT(metadata!K112,"Sediment (non-saline)"),EXACT(metadata!K112,"Surface (saline)"),EXACT(metadata!K112,"Water (saline)"),EXACT(metadata!K112,"Hypersaline (saline)"),EXACT(metadata!K112,"Aerosol (saline)"),EXACT(metadata!K112,"Sediment (saline)")))</f>
        <v>0</v>
      </c>
      <c r="AW112" t="b">
        <f>IF(metadata!L112="",FALSE,TRUE)</f>
        <v>0</v>
      </c>
      <c r="AX112" t="b">
        <f>IF(metadata!M112="",FALSE,TRUE)</f>
        <v>0</v>
      </c>
      <c r="AY112" t="b">
        <f>IF(metadata!N112="",FALSE,TRUE)</f>
        <v>0</v>
      </c>
      <c r="AZ112" t="b">
        <f>OR(AND(IF(metadata!O112="",FALSE,TRUE),OR(EXACT(metadata!O112,"missing: not collected"),EXACT(metadata!O112,"missing: not provided"),EXACT(metadata!O112,"missing: restricted access"))),AND(IF(metadata!O112="",FALSE,TRUE),OR(EXACT(metadata!O112,"air"),EXACT(metadata!O112,"built environment"),EXACT(metadata!O112,"host-associated"),EXACT(metadata!O112,"human-associated"),EXACT(metadata!O112,"human-skin"),EXACT(metadata!O112,"human-oral"),EXACT(metadata!O112,"human-gut"),EXACT(metadata!O112,"human-vaginal"),EXACT(metadata!O112,"microbial mat/biofilm"),EXACT(metadata!O112,"misc environment"),EXACT(metadata!O112,"plant-associated"),EXACT(metadata!O112,"sediment"),EXACT(metadata!O112,"soil"),EXACT(metadata!O112,"wastewater/sludge"),EXACT(metadata!O112,"water"))))</f>
        <v>0</v>
      </c>
      <c r="BA112" t="b">
        <f>IF(metadata!P112="",FALSE,TRUE)</f>
        <v>0</v>
      </c>
      <c r="BB112" t="b">
        <f>IF(metadata!Q112="",FALSE,TRUE)</f>
        <v>0</v>
      </c>
      <c r="BC112" t="b">
        <f>OR(AND(IF(metadata!R112="",FALSE,TRUE),OR(EXACT(metadata!R112,"missing: not collected"),EXACT(metadata!R112,"missing: not provided"),EXACT(metadata!R112,"missing: restricted access"))),AND(IF(metadata!R112="",FALSE,ISNUMBER(VALUE(metadata!R112))),metadata!R112&gt;=-90,metadata!R112&lt;=90))</f>
        <v>0</v>
      </c>
      <c r="BD112" t="b">
        <f>AND(IF(metadata!S112="",FALSE,TRUE),EXACT(metadata!S112,"Decimal degrees"))</f>
        <v>0</v>
      </c>
      <c r="BE112" t="b">
        <f>OR(AND(IF(metadata!T112="",FALSE,TRUE),OR(EXACT(metadata!T112,"missing: not collected"),EXACT(metadata!T112,"missing: not provided"),EXACT(metadata!T112,"missing: restricted access"))),AND(IF(metadata!T112="",FALSE,ISNUMBER(VALUE(metadata!T112))),metadata!T112&gt;=-180,metadata!T112&lt;=180))</f>
        <v>0</v>
      </c>
      <c r="BF112" t="b">
        <f>AND(IF(metadata!U112="",FALSE,TRUE),EXACT(metadata!U112,"Decimal degrees"))</f>
        <v>0</v>
      </c>
      <c r="BG112" t="b">
        <f>IF(metadata!V112="",FALSE,TRUE)</f>
        <v>0</v>
      </c>
      <c r="BH112" t="b">
        <f>OR(AND(IF(metadata!W112="",FALSE,TRUE),OR(EXACT(metadata!W112,"missing: not collected"),EXACT(metadata!W112,"missing: not provided"),EXACT(metadata!W112,"missing: restricted access"))),AND(IF(metadata!W112="",FALSE,TRUE),OR(EXACT(metadata!W112,"TRUE"),EXACT(metadata!W112,"FALSE"))))</f>
        <v>0</v>
      </c>
      <c r="BI112" t="b">
        <f>AND(IF(metadata!X112="",FALSE,TRUE),EXACT(metadata!X112,"other"))</f>
        <v>0</v>
      </c>
      <c r="BJ112" t="b">
        <f>IF(metadata!Y112="",FALSE,TRUE)</f>
        <v>0</v>
      </c>
      <c r="BK112" t="b">
        <f>OR(AND(IF(metadata!Z112="",FALSE,TRUE),OR(EXACT(metadata!Z112,"missing: not collected"),EXACT(metadata!Z112,"missing: not provided"))),AND(IF(metadata!Z112="",FALSE,IF(ISERROR(INT(metadata!Z112)),FALSE,INT(metadata!Z112)=metadata!Z112)),metadata!Z112&gt;0))</f>
        <v>0</v>
      </c>
      <c r="BL112" t="b">
        <f>AND(IF(metadata!AA112="",FALSE,TRUE),EXACT(metadata!AA112,"Not applicable"))</f>
        <v>0</v>
      </c>
      <c r="BM112" t="b">
        <f>IF(metadata!AB112="",FALSE,TRUE)</f>
        <v>0</v>
      </c>
    </row>
    <row r="113" spans="1:65" x14ac:dyDescent="0.2">
      <c r="A113" s="5" t="str">
        <f ca="1">IF(B113=" "," ",HYPERLINK(CONCATENATE("#metadata!",ADDRESS(INDEX($AH$2:$AH$1001,MATCH(ROWS($AF$2:AF113),$AF$2:$AF$1001,0),0),1)),INDEX($AK$2:$AK$1001,MATCH(ROWS($AF$2:AF113),$AF$2:$AF$1001,0),0)))</f>
        <v xml:space="preserve"> </v>
      </c>
      <c r="B113" s="4" t="str">
        <f ca="1">IF(OR(INDEX($AG$2:$AG$1001,MATCH(ROWS($AF$2:AF113),$AF$2:$AF$1001,0),1)&gt;=100000,INDEX($AM$1005:$BM$1005,1,MATCH(COLUMNS($AM$1006:AM1006),$AM$1006:$BM$1006,0))&gt;=100000), " ",IF(INDEX($AM$2:$BM$1001,MATCH(ROWS($AF$2:AF113),$AF$2:$AF$1001,0),MATCH(COLUMNS($AM$1006:AM1006),$AM$1006:$BM$1006,0)), HYPERLINK("#",""), HYPERLINK(CONCATENATE("#metadata!", ADDRESS(INDEX($AH$2:$AH$1001,MATCH(ROWS($AF$2:AF113),$AF$2:$AF$1001,0),0), INDEX($AM$1004:$BM$1004,1,MATCH(COLUMNS($AM$1006:AM1006),$AM$1006:$BM$1006,0)))),"Fix")))</f>
        <v xml:space="preserve"> </v>
      </c>
      <c r="C113" s="4" t="str">
        <f ca="1">IF(OR(INDEX($AG$2:$AG$1001,MATCH(ROWS($AF$2:AF113),$AF$2:$AF$1001,0),1)&gt;=100000,INDEX($AM$1005:$BM$1005,1,MATCH(COLUMNS($AM$1006:AN1006),$AM$1006:$BM$1006,0))&gt;=100000), " ",IF(INDEX($AM$2:$BM$1001,MATCH(ROWS($AF$2:AF113),$AF$2:$AF$1001,0),MATCH(COLUMNS($AM$1006:AN1006),$AM$1006:$BM$1006,0)), HYPERLINK("#",""), HYPERLINK(CONCATENATE("#metadata!", ADDRESS(INDEX($AH$2:$AH$1001,MATCH(ROWS($AF$2:AF113),$AF$2:$AF$1001,0),0), INDEX($AM$1004:$BM$1004,1,MATCH(COLUMNS($AM$1006:AN1006),$AM$1006:$BM$1006,0)))),"Fix")))</f>
        <v xml:space="preserve"> </v>
      </c>
      <c r="D113" s="4" t="str">
        <f ca="1">IF(OR(INDEX($AG$2:$AG$1001,MATCH(ROWS($AF$2:AF113),$AF$2:$AF$1001,0),1)&gt;=100000,INDEX($AM$1005:$BM$1005,1,MATCH(COLUMNS($AM$1006:AO1006),$AM$1006:$BM$1006,0))&gt;=100000), " ",IF(INDEX($AM$2:$BM$1001,MATCH(ROWS($AF$2:AF113),$AF$2:$AF$1001,0),MATCH(COLUMNS($AM$1006:AO1006),$AM$1006:$BM$1006,0)), HYPERLINK("#",""), HYPERLINK(CONCATENATE("#metadata!", ADDRESS(INDEX($AH$2:$AH$1001,MATCH(ROWS($AF$2:AF113),$AF$2:$AF$1001,0),0), INDEX($AM$1004:$BM$1004,1,MATCH(COLUMNS($AM$1006:AO1006),$AM$1006:$BM$1006,0)))),"Fix")))</f>
        <v xml:space="preserve"> </v>
      </c>
      <c r="E113" s="4" t="str">
        <f ca="1">IF(OR(INDEX($AG$2:$AG$1001,MATCH(ROWS($AF$2:AF113),$AF$2:$AF$1001,0),1)&gt;=100000,INDEX($AM$1005:$BM$1005,1,MATCH(COLUMNS($AM$1006:AP1006),$AM$1006:$BM$1006,0))&gt;=100000), " ",IF(INDEX($AM$2:$BM$1001,MATCH(ROWS($AF$2:AF113),$AF$2:$AF$1001,0),MATCH(COLUMNS($AM$1006:AP1006),$AM$1006:$BM$1006,0)), HYPERLINK("#",""), HYPERLINK(CONCATENATE("#metadata!", ADDRESS(INDEX($AH$2:$AH$1001,MATCH(ROWS($AF$2:AF113),$AF$2:$AF$1001,0),0), INDEX($AM$1004:$BM$1004,1,MATCH(COLUMNS($AM$1006:AP1006),$AM$1006:$BM$1006,0)))),"Fix")))</f>
        <v xml:space="preserve"> </v>
      </c>
      <c r="F113" s="4" t="str">
        <f ca="1">IF(OR(INDEX($AG$2:$AG$1001,MATCH(ROWS($AF$2:AF113),$AF$2:$AF$1001,0),1)&gt;=100000,INDEX($AM$1005:$BM$1005,1,MATCH(COLUMNS($AM$1006:AQ1006),$AM$1006:$BM$1006,0))&gt;=100000), " ",IF(INDEX($AM$2:$BM$1001,MATCH(ROWS($AF$2:AF113),$AF$2:$AF$1001,0),MATCH(COLUMNS($AM$1006:AQ1006),$AM$1006:$BM$1006,0)), HYPERLINK("#",""), HYPERLINK(CONCATENATE("#metadata!", ADDRESS(INDEX($AH$2:$AH$1001,MATCH(ROWS($AF$2:AF113),$AF$2:$AF$1001,0),0), INDEX($AM$1004:$BM$1004,1,MATCH(COLUMNS($AM$1006:AQ1006),$AM$1006:$BM$1006,0)))),"Fix")))</f>
        <v xml:space="preserve"> </v>
      </c>
      <c r="G113" s="4" t="str">
        <f ca="1">IF(OR(INDEX($AG$2:$AG$1001,MATCH(ROWS($AF$2:AF113),$AF$2:$AF$1001,0),1)&gt;=100000,INDEX($AM$1005:$BM$1005,1,MATCH(COLUMNS($AM$1006:AR1006),$AM$1006:$BM$1006,0))&gt;=100000), " ",IF(INDEX($AM$2:$BM$1001,MATCH(ROWS($AF$2:AF113),$AF$2:$AF$1001,0),MATCH(COLUMNS($AM$1006:AR1006),$AM$1006:$BM$1006,0)), HYPERLINK("#",""), HYPERLINK(CONCATENATE("#metadata!", ADDRESS(INDEX($AH$2:$AH$1001,MATCH(ROWS($AF$2:AF113),$AF$2:$AF$1001,0),0), INDEX($AM$1004:$BM$1004,1,MATCH(COLUMNS($AM$1006:AR1006),$AM$1006:$BM$1006,0)))),"Fix")))</f>
        <v xml:space="preserve"> </v>
      </c>
      <c r="H113" s="4" t="str">
        <f ca="1">IF(OR(INDEX($AG$2:$AG$1001,MATCH(ROWS($AF$2:AF113),$AF$2:$AF$1001,0),1)&gt;=100000,INDEX($AM$1005:$BM$1005,1,MATCH(COLUMNS($AM$1006:AS1006),$AM$1006:$BM$1006,0))&gt;=100000), " ",IF(INDEX($AM$2:$BM$1001,MATCH(ROWS($AF$2:AF113),$AF$2:$AF$1001,0),MATCH(COLUMNS($AM$1006:AS1006),$AM$1006:$BM$1006,0)), HYPERLINK("#",""), HYPERLINK(CONCATENATE("#metadata!", ADDRESS(INDEX($AH$2:$AH$1001,MATCH(ROWS($AF$2:AF113),$AF$2:$AF$1001,0),0), INDEX($AM$1004:$BM$1004,1,MATCH(COLUMNS($AM$1006:AS1006),$AM$1006:$BM$1006,0)))),"Fix")))</f>
        <v xml:space="preserve"> </v>
      </c>
      <c r="I113" s="4" t="str">
        <f ca="1">IF(OR(INDEX($AG$2:$AG$1001,MATCH(ROWS($AF$2:AF113),$AF$2:$AF$1001,0),1)&gt;=100000,INDEX($AM$1005:$BM$1005,1,MATCH(COLUMNS($AM$1006:AT1006),$AM$1006:$BM$1006,0))&gt;=100000), " ",IF(INDEX($AM$2:$BM$1001,MATCH(ROWS($AF$2:AF113),$AF$2:$AF$1001,0),MATCH(COLUMNS($AM$1006:AT1006),$AM$1006:$BM$1006,0)), HYPERLINK("#",""), HYPERLINK(CONCATENATE("#metadata!", ADDRESS(INDEX($AH$2:$AH$1001,MATCH(ROWS($AF$2:AF113),$AF$2:$AF$1001,0),0), INDEX($AM$1004:$BM$1004,1,MATCH(COLUMNS($AM$1006:AT1006),$AM$1006:$BM$1006,0)))),"Fix")))</f>
        <v xml:space="preserve"> </v>
      </c>
      <c r="J113" s="4" t="str">
        <f ca="1">IF(OR(INDEX($AG$2:$AG$1001,MATCH(ROWS($AF$2:AF113),$AF$2:$AF$1001,0),1)&gt;=100000,INDEX($AM$1005:$BM$1005,1,MATCH(COLUMNS($AM$1006:AU1006),$AM$1006:$BM$1006,0))&gt;=100000), " ",IF(INDEX($AM$2:$BM$1001,MATCH(ROWS($AF$2:AF113),$AF$2:$AF$1001,0),MATCH(COLUMNS($AM$1006:AU1006),$AM$1006:$BM$1006,0)), HYPERLINK("#",""), HYPERLINK(CONCATENATE("#metadata!", ADDRESS(INDEX($AH$2:$AH$1001,MATCH(ROWS($AF$2:AF113),$AF$2:$AF$1001,0),0), INDEX($AM$1004:$BM$1004,1,MATCH(COLUMNS($AM$1006:AU1006),$AM$1006:$BM$1006,0)))),"Fix")))</f>
        <v xml:space="preserve"> </v>
      </c>
      <c r="K113" s="4" t="str">
        <f ca="1">IF(OR(INDEX($AG$2:$AG$1001,MATCH(ROWS($AF$2:AF113),$AF$2:$AF$1001,0),1)&gt;=100000,INDEX($AM$1005:$BM$1005,1,MATCH(COLUMNS($AM$1006:AV1006),$AM$1006:$BM$1006,0))&gt;=100000), " ",IF(INDEX($AM$2:$BM$1001,MATCH(ROWS($AF$2:AF113),$AF$2:$AF$1001,0),MATCH(COLUMNS($AM$1006:AV1006),$AM$1006:$BM$1006,0)), HYPERLINK("#",""), HYPERLINK(CONCATENATE("#metadata!", ADDRESS(INDEX($AH$2:$AH$1001,MATCH(ROWS($AF$2:AF113),$AF$2:$AF$1001,0),0), INDEX($AM$1004:$BM$1004,1,MATCH(COLUMNS($AM$1006:AV1006),$AM$1006:$BM$1006,0)))),"Fix")))</f>
        <v xml:space="preserve"> </v>
      </c>
      <c r="L113" s="4" t="str">
        <f ca="1">IF(OR(INDEX($AG$2:$AG$1001,MATCH(ROWS($AF$2:AF113),$AF$2:$AF$1001,0),1)&gt;=100000,INDEX($AM$1005:$BM$1005,1,MATCH(COLUMNS($AM$1006:AW1006),$AM$1006:$BM$1006,0))&gt;=100000), " ",IF(INDEX($AM$2:$BM$1001,MATCH(ROWS($AF$2:AF113),$AF$2:$AF$1001,0),MATCH(COLUMNS($AM$1006:AW1006),$AM$1006:$BM$1006,0)), HYPERLINK("#",""), HYPERLINK(CONCATENATE("#metadata!", ADDRESS(INDEX($AH$2:$AH$1001,MATCH(ROWS($AF$2:AF113),$AF$2:$AF$1001,0),0), INDEX($AM$1004:$BM$1004,1,MATCH(COLUMNS($AM$1006:AW1006),$AM$1006:$BM$1006,0)))),"Fix")))</f>
        <v xml:space="preserve"> </v>
      </c>
      <c r="M113" s="4" t="str">
        <f ca="1">IF(OR(INDEX($AG$2:$AG$1001,MATCH(ROWS($AF$2:AF113),$AF$2:$AF$1001,0),1)&gt;=100000,INDEX($AM$1005:$BM$1005,1,MATCH(COLUMNS($AM$1006:AX1006),$AM$1006:$BM$1006,0))&gt;=100000), " ",IF(INDEX($AM$2:$BM$1001,MATCH(ROWS($AF$2:AF113),$AF$2:$AF$1001,0),MATCH(COLUMNS($AM$1006:AX1006),$AM$1006:$BM$1006,0)), HYPERLINK("#",""), HYPERLINK(CONCATENATE("#metadata!", ADDRESS(INDEX($AH$2:$AH$1001,MATCH(ROWS($AF$2:AF113),$AF$2:$AF$1001,0),0), INDEX($AM$1004:$BM$1004,1,MATCH(COLUMNS($AM$1006:AX1006),$AM$1006:$BM$1006,0)))),"Fix")))</f>
        <v xml:space="preserve"> </v>
      </c>
      <c r="N113" s="4" t="str">
        <f ca="1">IF(OR(INDEX($AG$2:$AG$1001,MATCH(ROWS($AF$2:AF113),$AF$2:$AF$1001,0),1)&gt;=100000,INDEX($AM$1005:$BM$1005,1,MATCH(COLUMNS($AM$1006:AY1006),$AM$1006:$BM$1006,0))&gt;=100000), " ",IF(INDEX($AM$2:$BM$1001,MATCH(ROWS($AF$2:AF113),$AF$2:$AF$1001,0),MATCH(COLUMNS($AM$1006:AY1006),$AM$1006:$BM$1006,0)), HYPERLINK("#",""), HYPERLINK(CONCATENATE("#metadata!", ADDRESS(INDEX($AH$2:$AH$1001,MATCH(ROWS($AF$2:AF113),$AF$2:$AF$1001,0),0), INDEX($AM$1004:$BM$1004,1,MATCH(COLUMNS($AM$1006:AY1006),$AM$1006:$BM$1006,0)))),"Fix")))</f>
        <v xml:space="preserve"> </v>
      </c>
      <c r="O113" s="4" t="str">
        <f ca="1">IF(OR(INDEX($AG$2:$AG$1001,MATCH(ROWS($AF$2:AF113),$AF$2:$AF$1001,0),1)&gt;=100000,INDEX($AM$1005:$BM$1005,1,MATCH(COLUMNS($AM$1006:AZ1006),$AM$1006:$BM$1006,0))&gt;=100000), " ",IF(INDEX($AM$2:$BM$1001,MATCH(ROWS($AF$2:AF113),$AF$2:$AF$1001,0),MATCH(COLUMNS($AM$1006:AZ1006),$AM$1006:$BM$1006,0)), HYPERLINK("#",""), HYPERLINK(CONCATENATE("#metadata!", ADDRESS(INDEX($AH$2:$AH$1001,MATCH(ROWS($AF$2:AF113),$AF$2:$AF$1001,0),0), INDEX($AM$1004:$BM$1004,1,MATCH(COLUMNS($AM$1006:AZ1006),$AM$1006:$BM$1006,0)))),"Fix")))</f>
        <v xml:space="preserve"> </v>
      </c>
      <c r="P113" s="4" t="str">
        <f ca="1">IF(OR(INDEX($AG$2:$AG$1001,MATCH(ROWS($AF$2:AF113),$AF$2:$AF$1001,0),1)&gt;=100000,INDEX($AM$1005:$BM$1005,1,MATCH(COLUMNS($AM$1006:BA1006),$AM$1006:$BM$1006,0))&gt;=100000), " ",IF(INDEX($AM$2:$BM$1001,MATCH(ROWS($AF$2:AF113),$AF$2:$AF$1001,0),MATCH(COLUMNS($AM$1006:BA1006),$AM$1006:$BM$1006,0)), HYPERLINK("#",""), HYPERLINK(CONCATENATE("#metadata!", ADDRESS(INDEX($AH$2:$AH$1001,MATCH(ROWS($AF$2:AF113),$AF$2:$AF$1001,0),0), INDEX($AM$1004:$BM$1004,1,MATCH(COLUMNS($AM$1006:BA1006),$AM$1006:$BM$1006,0)))),"Fix")))</f>
        <v xml:space="preserve"> </v>
      </c>
      <c r="Q113" s="4" t="str">
        <f ca="1">IF(OR(INDEX($AG$2:$AG$1001,MATCH(ROWS($AF$2:AF113),$AF$2:$AF$1001,0),1)&gt;=100000,INDEX($AM$1005:$BM$1005,1,MATCH(COLUMNS($AM$1006:BB1006),$AM$1006:$BM$1006,0))&gt;=100000), " ",IF(INDEX($AM$2:$BM$1001,MATCH(ROWS($AF$2:AF113),$AF$2:$AF$1001,0),MATCH(COLUMNS($AM$1006:BB1006),$AM$1006:$BM$1006,0)), HYPERLINK("#",""), HYPERLINK(CONCATENATE("#metadata!", ADDRESS(INDEX($AH$2:$AH$1001,MATCH(ROWS($AF$2:AF113),$AF$2:$AF$1001,0),0), INDEX($AM$1004:$BM$1004,1,MATCH(COLUMNS($AM$1006:BB1006),$AM$1006:$BM$1006,0)))),"Fix")))</f>
        <v xml:space="preserve"> </v>
      </c>
      <c r="R113" s="4" t="str">
        <f ca="1">IF(OR(INDEX($AG$2:$AG$1001,MATCH(ROWS($AF$2:AF113),$AF$2:$AF$1001,0),1)&gt;=100000,INDEX($AM$1005:$BM$1005,1,MATCH(COLUMNS($AM$1006:BC1006),$AM$1006:$BM$1006,0))&gt;=100000), " ",IF(INDEX($AM$2:$BM$1001,MATCH(ROWS($AF$2:AF113),$AF$2:$AF$1001,0),MATCH(COLUMNS($AM$1006:BC1006),$AM$1006:$BM$1006,0)), HYPERLINK("#",""), HYPERLINK(CONCATENATE("#metadata!", ADDRESS(INDEX($AH$2:$AH$1001,MATCH(ROWS($AF$2:AF113),$AF$2:$AF$1001,0),0), INDEX($AM$1004:$BM$1004,1,MATCH(COLUMNS($AM$1006:BC1006),$AM$1006:$BM$1006,0)))),"Fix")))</f>
        <v xml:space="preserve"> </v>
      </c>
      <c r="S113" s="4" t="str">
        <f ca="1">IF(OR(INDEX($AG$2:$AG$1001,MATCH(ROWS($AF$2:AF113),$AF$2:$AF$1001,0),1)&gt;=100000,INDEX($AM$1005:$BM$1005,1,MATCH(COLUMNS($AM$1006:BD1006),$AM$1006:$BM$1006,0))&gt;=100000), " ",IF(INDEX($AM$2:$BM$1001,MATCH(ROWS($AF$2:AF113),$AF$2:$AF$1001,0),MATCH(COLUMNS($AM$1006:BD1006),$AM$1006:$BM$1006,0)), HYPERLINK("#",""), HYPERLINK(CONCATENATE("#metadata!", ADDRESS(INDEX($AH$2:$AH$1001,MATCH(ROWS($AF$2:AF113),$AF$2:$AF$1001,0),0), INDEX($AM$1004:$BM$1004,1,MATCH(COLUMNS($AM$1006:BD1006),$AM$1006:$BM$1006,0)))),"Fix")))</f>
        <v xml:space="preserve"> </v>
      </c>
      <c r="T113" s="4" t="str">
        <f ca="1">IF(OR(INDEX($AG$2:$AG$1001,MATCH(ROWS($AF$2:AF113),$AF$2:$AF$1001,0),1)&gt;=100000,INDEX($AM$1005:$BM$1005,1,MATCH(COLUMNS($AM$1006:BE1006),$AM$1006:$BM$1006,0))&gt;=100000), " ",IF(INDEX($AM$2:$BM$1001,MATCH(ROWS($AF$2:AF113),$AF$2:$AF$1001,0),MATCH(COLUMNS($AM$1006:BE1006),$AM$1006:$BM$1006,0)), HYPERLINK("#",""), HYPERLINK(CONCATENATE("#metadata!", ADDRESS(INDEX($AH$2:$AH$1001,MATCH(ROWS($AF$2:AF113),$AF$2:$AF$1001,0),0), INDEX($AM$1004:$BM$1004,1,MATCH(COLUMNS($AM$1006:BE1006),$AM$1006:$BM$1006,0)))),"Fix")))</f>
        <v xml:space="preserve"> </v>
      </c>
      <c r="U113" s="4" t="str">
        <f ca="1">IF(OR(INDEX($AG$2:$AG$1001,MATCH(ROWS($AF$2:AF113),$AF$2:$AF$1001,0),1)&gt;=100000,INDEX($AM$1005:$BM$1005,1,MATCH(COLUMNS($AM$1006:BF1006),$AM$1006:$BM$1006,0))&gt;=100000), " ",IF(INDEX($AM$2:$BM$1001,MATCH(ROWS($AF$2:AF113),$AF$2:$AF$1001,0),MATCH(COLUMNS($AM$1006:BF1006),$AM$1006:$BM$1006,0)), HYPERLINK("#",""), HYPERLINK(CONCATENATE("#metadata!", ADDRESS(INDEX($AH$2:$AH$1001,MATCH(ROWS($AF$2:AF113),$AF$2:$AF$1001,0),0), INDEX($AM$1004:$BM$1004,1,MATCH(COLUMNS($AM$1006:BF1006),$AM$1006:$BM$1006,0)))),"Fix")))</f>
        <v xml:space="preserve"> </v>
      </c>
      <c r="V113" s="4" t="str">
        <f ca="1">IF(OR(INDEX($AG$2:$AG$1001,MATCH(ROWS($AF$2:AF113),$AF$2:$AF$1001,0),1)&gt;=100000,INDEX($AM$1005:$BM$1005,1,MATCH(COLUMNS($AM$1006:BG1006),$AM$1006:$BM$1006,0))&gt;=100000), " ",IF(INDEX($AM$2:$BM$1001,MATCH(ROWS($AF$2:AF113),$AF$2:$AF$1001,0),MATCH(COLUMNS($AM$1006:BG1006),$AM$1006:$BM$1006,0)), HYPERLINK("#",""), HYPERLINK(CONCATENATE("#metadata!", ADDRESS(INDEX($AH$2:$AH$1001,MATCH(ROWS($AF$2:AF113),$AF$2:$AF$1001,0),0), INDEX($AM$1004:$BM$1004,1,MATCH(COLUMNS($AM$1006:BG1006),$AM$1006:$BM$1006,0)))),"Fix")))</f>
        <v xml:space="preserve"> </v>
      </c>
      <c r="W113" s="4" t="str">
        <f ca="1">IF(OR(INDEX($AG$2:$AG$1001,MATCH(ROWS($AF$2:AF113),$AF$2:$AF$1001,0),1)&gt;=100000,INDEX($AM$1005:$BM$1005,1,MATCH(COLUMNS($AM$1006:BH1006),$AM$1006:$BM$1006,0))&gt;=100000), " ",IF(INDEX($AM$2:$BM$1001,MATCH(ROWS($AF$2:AF113),$AF$2:$AF$1001,0),MATCH(COLUMNS($AM$1006:BH1006),$AM$1006:$BM$1006,0)), HYPERLINK("#",""), HYPERLINK(CONCATENATE("#metadata!", ADDRESS(INDEX($AH$2:$AH$1001,MATCH(ROWS($AF$2:AF113),$AF$2:$AF$1001,0),0), INDEX($AM$1004:$BM$1004,1,MATCH(COLUMNS($AM$1006:BH1006),$AM$1006:$BM$1006,0)))),"Fix")))</f>
        <v xml:space="preserve"> </v>
      </c>
      <c r="X113" s="4" t="str">
        <f ca="1">IF(OR(INDEX($AG$2:$AG$1001,MATCH(ROWS($AF$2:AF113),$AF$2:$AF$1001,0),1)&gt;=100000,INDEX($AM$1005:$BM$1005,1,MATCH(COLUMNS($AM$1006:BI1006),$AM$1006:$BM$1006,0))&gt;=100000), " ",IF(INDEX($AM$2:$BM$1001,MATCH(ROWS($AF$2:AF113),$AF$2:$AF$1001,0),MATCH(COLUMNS($AM$1006:BI1006),$AM$1006:$BM$1006,0)), HYPERLINK("#",""), HYPERLINK(CONCATENATE("#metadata!", ADDRESS(INDEX($AH$2:$AH$1001,MATCH(ROWS($AF$2:AF113),$AF$2:$AF$1001,0),0), INDEX($AM$1004:$BM$1004,1,MATCH(COLUMNS($AM$1006:BI1006),$AM$1006:$BM$1006,0)))),"Fix")))</f>
        <v xml:space="preserve"> </v>
      </c>
      <c r="Y113" s="4" t="str">
        <f ca="1">IF(OR(INDEX($AG$2:$AG$1001,MATCH(ROWS($AF$2:AF113),$AF$2:$AF$1001,0),1)&gt;=100000,INDEX($AM$1005:$BM$1005,1,MATCH(COLUMNS($AM$1006:BJ1006),$AM$1006:$BM$1006,0))&gt;=100000), " ",IF(INDEX($AM$2:$BM$1001,MATCH(ROWS($AF$2:AF113),$AF$2:$AF$1001,0),MATCH(COLUMNS($AM$1006:BJ1006),$AM$1006:$BM$1006,0)), HYPERLINK("#",""), HYPERLINK(CONCATENATE("#metadata!", ADDRESS(INDEX($AH$2:$AH$1001,MATCH(ROWS($AF$2:AF113),$AF$2:$AF$1001,0),0), INDEX($AM$1004:$BM$1004,1,MATCH(COLUMNS($AM$1006:BJ1006),$AM$1006:$BM$1006,0)))),"Fix")))</f>
        <v xml:space="preserve"> </v>
      </c>
      <c r="Z113" s="4" t="str">
        <f ca="1">IF(OR(INDEX($AG$2:$AG$1001,MATCH(ROWS($AF$2:AF113),$AF$2:$AF$1001,0),1)&gt;=100000,INDEX($AM$1005:$BM$1005,1,MATCH(COLUMNS($AM$1006:BK1006),$AM$1006:$BM$1006,0))&gt;=100000), " ",IF(INDEX($AM$2:$BM$1001,MATCH(ROWS($AF$2:AF113),$AF$2:$AF$1001,0),MATCH(COLUMNS($AM$1006:BK1006),$AM$1006:$BM$1006,0)), HYPERLINK("#",""), HYPERLINK(CONCATENATE("#metadata!", ADDRESS(INDEX($AH$2:$AH$1001,MATCH(ROWS($AF$2:AF113),$AF$2:$AF$1001,0),0), INDEX($AM$1004:$BM$1004,1,MATCH(COLUMNS($AM$1006:BK1006),$AM$1006:$BM$1006,0)))),"Fix")))</f>
        <v xml:space="preserve"> </v>
      </c>
      <c r="AA113" s="4" t="str">
        <f ca="1">IF(OR(INDEX($AG$2:$AG$1001,MATCH(ROWS($AF$2:AF113),$AF$2:$AF$1001,0),1)&gt;=100000,INDEX($AM$1005:$BM$1005,1,MATCH(COLUMNS($AM$1006:BL1006),$AM$1006:$BM$1006,0))&gt;=100000), " ",IF(INDEX($AM$2:$BM$1001,MATCH(ROWS($AF$2:AF113),$AF$2:$AF$1001,0),MATCH(COLUMNS($AM$1006:BL1006),$AM$1006:$BM$1006,0)), HYPERLINK("#",""), HYPERLINK(CONCATENATE("#metadata!", ADDRESS(INDEX($AH$2:$AH$1001,MATCH(ROWS($AF$2:AF113),$AF$2:$AF$1001,0),0), INDEX($AM$1004:$BM$1004,1,MATCH(COLUMNS($AM$1006:BL1006),$AM$1006:$BM$1006,0)))),"Fix")))</f>
        <v xml:space="preserve"> </v>
      </c>
      <c r="AB113" s="4" t="str">
        <f ca="1">IF(OR(INDEX($AG$2:$AG$1001,MATCH(ROWS($AF$2:AF113),$AF$2:$AF$1001,0),1)&gt;=100000,INDEX($AM$1005:$BM$1005,1,MATCH(COLUMNS($AM$1006:BM1006),$AM$1006:$BM$1006,0))&gt;=100000), " ",IF(INDEX($AM$2:$BM$1001,MATCH(ROWS($AF$2:AF113),$AF$2:$AF$1001,0),MATCH(COLUMNS($AM$1006:BM1006),$AM$1006:$BM$1006,0)), HYPERLINK("#",""), HYPERLINK(CONCATENATE("#metadata!", ADDRESS(INDEX($AH$2:$AH$1001,MATCH(ROWS($AF$2:AF113),$AF$2:$AF$1001,0),0), INDEX($AM$1004:$BM$1004,1,MATCH(COLUMNS($AM$1006:BM1006),$AM$1006:$BM$1006,0)))),"Fix")))</f>
        <v xml:space="preserve"> </v>
      </c>
      <c r="AF113">
        <v>112</v>
      </c>
      <c r="AG113">
        <v>100113</v>
      </c>
      <c r="AH113">
        <v>113</v>
      </c>
      <c r="AI113" t="b">
        <f t="shared" si="1"/>
        <v>1</v>
      </c>
      <c r="AJ113" t="b">
        <f>COUNTBLANK(metadata!B113:AB113)=COLUMNS(metadata!B113:AB113)</f>
        <v>1</v>
      </c>
      <c r="AK113" t="str">
        <v/>
      </c>
      <c r="AM113" t="b">
        <f ca="1">AND(IF(metadata!B113="",FALSE,TRUE),COUNTIF(metadata!B:B, metadata!B113) = 1,NOT(ISERROR(SUMPRODUCT(SEARCH(MID(metadata!B113,ROW(INDIRECT("1:"&amp;LEN(metadata!B113))), 1),"0123456789abcdefghijklmnopqrstuvwxyzABCDEFGHIJKLMNOPQRSTUVWXYZ.")))))</f>
        <v>0</v>
      </c>
      <c r="AN113" t="b">
        <f ca="1">OR(AND(IF(metadata!C113="",FALSE,TRUE),OR(EXACT(metadata!C113,"missing: not collected"),EXACT(metadata!C113,"missing: not provided"),EXACT(metadata!C113,"missing: restricted access"))),AND(IF(metadata!C113="",FALSE,TRUE),AND(AND(IFERROR(INT(LEFT(metadata!C113,4))&gt;1900,FALSE),IFERROR(INT(LEFT(metadata!C113,4))&lt;=YEAR(NOW()),FALSE)), OR(MID(metadata!C113,5,1)="", AND(AND(MID(metadata!C113,5,1)="-",IFERROR(INT(MID(metadata!C113,6,1))&gt;=0,FALSE),IFERROR(INT(MID(metadata!C113,6,1))&lt;=1,FALSE),NOT(MID(metadata!C113,7,1)=""),IFERROR(INT(MID(metadata!C113,6,2))&gt;=1,FALSE),IFERROR(INT(MID(metadata!C113,6,2))&lt;=12,FALSE)), OR(MID(metadata!C113,8,1)="", AND(AND(MID(metadata!C113,8,1)="-",IFERROR(INT(MID(metadata!C113,9,1))&gt;=0,FALSE),IFERROR(INT(MID(metadata!C113,9,1))&lt;=3,FALSE),NOT(MID(metadata!C113,10,1)=""),IFERROR(INT(MID(metadata!C113,9,2))&gt;=1,FALSE),IFERROR(INT(MID(metadata!C113,9,2))&lt;=31,FALSE)), OR(MID(metadata!C113,11,1)="", AND(AND(MID(metadata!C113,11,1)=" ",IFERROR(INT(MID(metadata!C113,12,1))&gt;=0,FALSE),IFERROR(INT(MID(metadata!C113,12,1))&lt;=2,FALSE),NOT(MID(metadata!C113,13,1)=""),IFERROR(INT(MID(metadata!C113,12,2))&gt;=0,FALSE),IFERROR(INT(MID(metadata!C113,12,2))&lt;=23,FALSE)), OR(MID(metadata!C113,14,1)="", AND(AND(MID(metadata!C113,14,1)=":",IFERROR(INT(MID(metadata!C113,15,1))&gt;=0,FALSE),IFERROR(INT(MID(metadata!C113,15,1))&lt;=5,FALSE),NOT(MID(metadata!C113,16,1)=""),IFERROR(INT(MID(metadata!C113,15,2))&gt;=0,FALSE),IFERROR(INT(MID(metadata!C113,15,2))&lt;=59,FALSE)), OR(MID(metadata!C113,17,1)="", AND(AND(MID(metadata!C113,17,1)=":",IFERROR(INT(MID(metadata!C113,18,1))&gt;=0,FALSE),IFERROR(INT(MID(metadata!C113,18,1))&lt;=5,FALSE),NOT(MID(metadata!C113,19,1)=""),IFERROR(INT(MID(metadata!C113,18,2))&gt;=0,FALSE),IFERROR(INT(MID(metadata!C113,18,2))&lt;=59,FALSE)), LEN(metadata!C113)&lt;=19)))))))))))))</f>
        <v>0</v>
      </c>
      <c r="AO113" t="b">
        <f>AND(IF(metadata!D113="",FALSE,TRUE),EXACT(metadata!D113,"Not applicable"))</f>
        <v>0</v>
      </c>
      <c r="AP113" t="b">
        <f>IF(metadata!E113="",FALSE,TRUE)</f>
        <v>0</v>
      </c>
      <c r="AQ113" t="b">
        <f>OR(AND(IF(metadata!F113="",FALSE,TRUE),OR(EXACT(metadata!F113,"missing: not collected"),EXACT(metadata!F113,"missing: not provided"))),AND(IF(metadata!F113="",FALSE,TRUE),OR(EXACT(metadata!F113,"TRUE"),EXACT(metadata!F113,"FALSE"))))</f>
        <v>0</v>
      </c>
      <c r="AR113" t="b">
        <f>OR(AND(IF(metadata!G113="",FALSE,TRUE),OR(EXACT(metadata!G113,"missing: not collected"),EXACT(metadata!G113,"missing: not provided"),EXACT(metadata!G113,"missing: restricted access"))),AND(IF(metadata!G113="",FALSE,ISNUMBER(VALUE(metadata!G113))),metadata!G113&gt;=-413))</f>
        <v>0</v>
      </c>
      <c r="AS113" t="b">
        <f>AND(IF(metadata!H113="",FALSE,TRUE),EXACT(metadata!H113,"meters"))</f>
        <v>0</v>
      </c>
      <c r="AT113" t="b">
        <f>AND(IF(metadata!I113="",FALSE,TRUE),OR(EXACT(metadata!I113,"Host-associated"),EXACT(metadata!I113,"Free-living")))</f>
        <v>0</v>
      </c>
      <c r="AU113" t="b">
        <f>AND(IF(metadata!J113="",FALSE,TRUE),OR(EXACT(metadata!J113,"Animal"),EXACT(metadata!J113,"Fungus"),EXACT(metadata!J113,"Plant"),EXACT(metadata!J113,"Saline"),EXACT(metadata!J113,"Non-saline")))</f>
        <v>0</v>
      </c>
      <c r="AV113" t="b">
        <f>AND(IF(metadata!K113="",FALSE,TRUE),OR(EXACT(metadata!K113,"Plant secretion"),EXACT(metadata!K113,"Plant rhizosphere"),EXACT(metadata!K113,"Plant surface"),EXACT(metadata!K113,"Plant corpus"),EXACT(metadata!K113,"Fungus surface"),EXACT(metadata!K113,"Fungus corpus"),EXACT(metadata!K113,"Animal surface"),EXACT(metadata!K113,"Animal proximal gut"),EXACT(metadata!K113,"Animal corpus"),EXACT(metadata!K113,"Animal distal gut"),EXACT(metadata!K113,"Animal secretion"),EXACT(metadata!K113,"Sub-surface (non-saline)"),EXACT(metadata!K113,"Surface (non-saline)"),EXACT(metadata!K113,"Water (non-saline)"),EXACT(metadata!K113,"Soil (non-saline)"),EXACT(metadata!K113,"Aerosol (non-saline)"),EXACT(metadata!K113,"Sediment (non-saline)"),EXACT(metadata!K113,"Surface (saline)"),EXACT(metadata!K113,"Water (saline)"),EXACT(metadata!K113,"Hypersaline (saline)"),EXACT(metadata!K113,"Aerosol (saline)"),EXACT(metadata!K113,"Sediment (saline)")))</f>
        <v>0</v>
      </c>
      <c r="AW113" t="b">
        <f>IF(metadata!L113="",FALSE,TRUE)</f>
        <v>0</v>
      </c>
      <c r="AX113" t="b">
        <f>IF(metadata!M113="",FALSE,TRUE)</f>
        <v>0</v>
      </c>
      <c r="AY113" t="b">
        <f>IF(metadata!N113="",FALSE,TRUE)</f>
        <v>0</v>
      </c>
      <c r="AZ113" t="b">
        <f>OR(AND(IF(metadata!O113="",FALSE,TRUE),OR(EXACT(metadata!O113,"missing: not collected"),EXACT(metadata!O113,"missing: not provided"),EXACT(metadata!O113,"missing: restricted access"))),AND(IF(metadata!O113="",FALSE,TRUE),OR(EXACT(metadata!O113,"air"),EXACT(metadata!O113,"built environment"),EXACT(metadata!O113,"host-associated"),EXACT(metadata!O113,"human-associated"),EXACT(metadata!O113,"human-skin"),EXACT(metadata!O113,"human-oral"),EXACT(metadata!O113,"human-gut"),EXACT(metadata!O113,"human-vaginal"),EXACT(metadata!O113,"microbial mat/biofilm"),EXACT(metadata!O113,"misc environment"),EXACT(metadata!O113,"plant-associated"),EXACT(metadata!O113,"sediment"),EXACT(metadata!O113,"soil"),EXACT(metadata!O113,"wastewater/sludge"),EXACT(metadata!O113,"water"))))</f>
        <v>0</v>
      </c>
      <c r="BA113" t="b">
        <f>IF(metadata!P113="",FALSE,TRUE)</f>
        <v>0</v>
      </c>
      <c r="BB113" t="b">
        <f>IF(metadata!Q113="",FALSE,TRUE)</f>
        <v>0</v>
      </c>
      <c r="BC113" t="b">
        <f>OR(AND(IF(metadata!R113="",FALSE,TRUE),OR(EXACT(metadata!R113,"missing: not collected"),EXACT(metadata!R113,"missing: not provided"),EXACT(metadata!R113,"missing: restricted access"))),AND(IF(metadata!R113="",FALSE,ISNUMBER(VALUE(metadata!R113))),metadata!R113&gt;=-90,metadata!R113&lt;=90))</f>
        <v>0</v>
      </c>
      <c r="BD113" t="b">
        <f>AND(IF(metadata!S113="",FALSE,TRUE),EXACT(metadata!S113,"Decimal degrees"))</f>
        <v>0</v>
      </c>
      <c r="BE113" t="b">
        <f>OR(AND(IF(metadata!T113="",FALSE,TRUE),OR(EXACT(metadata!T113,"missing: not collected"),EXACT(metadata!T113,"missing: not provided"),EXACT(metadata!T113,"missing: restricted access"))),AND(IF(metadata!T113="",FALSE,ISNUMBER(VALUE(metadata!T113))),metadata!T113&gt;=-180,metadata!T113&lt;=180))</f>
        <v>0</v>
      </c>
      <c r="BF113" t="b">
        <f>AND(IF(metadata!U113="",FALSE,TRUE),EXACT(metadata!U113,"Decimal degrees"))</f>
        <v>0</v>
      </c>
      <c r="BG113" t="b">
        <f>IF(metadata!V113="",FALSE,TRUE)</f>
        <v>0</v>
      </c>
      <c r="BH113" t="b">
        <f>OR(AND(IF(metadata!W113="",FALSE,TRUE),OR(EXACT(metadata!W113,"missing: not collected"),EXACT(metadata!W113,"missing: not provided"),EXACT(metadata!W113,"missing: restricted access"))),AND(IF(metadata!W113="",FALSE,TRUE),OR(EXACT(metadata!W113,"TRUE"),EXACT(metadata!W113,"FALSE"))))</f>
        <v>0</v>
      </c>
      <c r="BI113" t="b">
        <f>AND(IF(metadata!X113="",FALSE,TRUE),EXACT(metadata!X113,"other"))</f>
        <v>0</v>
      </c>
      <c r="BJ113" t="b">
        <f>IF(metadata!Y113="",FALSE,TRUE)</f>
        <v>0</v>
      </c>
      <c r="BK113" t="b">
        <f>OR(AND(IF(metadata!Z113="",FALSE,TRUE),OR(EXACT(metadata!Z113,"missing: not collected"),EXACT(metadata!Z113,"missing: not provided"))),AND(IF(metadata!Z113="",FALSE,IF(ISERROR(INT(metadata!Z113)),FALSE,INT(metadata!Z113)=metadata!Z113)),metadata!Z113&gt;0))</f>
        <v>0</v>
      </c>
      <c r="BL113" t="b">
        <f>AND(IF(metadata!AA113="",FALSE,TRUE),EXACT(metadata!AA113,"Not applicable"))</f>
        <v>0</v>
      </c>
      <c r="BM113" t="b">
        <f>IF(metadata!AB113="",FALSE,TRUE)</f>
        <v>0</v>
      </c>
    </row>
    <row r="114" spans="1:65" x14ac:dyDescent="0.2">
      <c r="A114" s="5" t="str">
        <f ca="1">IF(B114=" "," ",HYPERLINK(CONCATENATE("#metadata!",ADDRESS(INDEX($AH$2:$AH$1001,MATCH(ROWS($AF$2:AF114),$AF$2:$AF$1001,0),0),1)),INDEX($AK$2:$AK$1001,MATCH(ROWS($AF$2:AF114),$AF$2:$AF$1001,0),0)))</f>
        <v xml:space="preserve"> </v>
      </c>
      <c r="B114" s="4" t="str">
        <f ca="1">IF(OR(INDEX($AG$2:$AG$1001,MATCH(ROWS($AF$2:AF114),$AF$2:$AF$1001,0),1)&gt;=100000,INDEX($AM$1005:$BM$1005,1,MATCH(COLUMNS($AM$1006:AM1006),$AM$1006:$BM$1006,0))&gt;=100000), " ",IF(INDEX($AM$2:$BM$1001,MATCH(ROWS($AF$2:AF114),$AF$2:$AF$1001,0),MATCH(COLUMNS($AM$1006:AM1006),$AM$1006:$BM$1006,0)), HYPERLINK("#",""), HYPERLINK(CONCATENATE("#metadata!", ADDRESS(INDEX($AH$2:$AH$1001,MATCH(ROWS($AF$2:AF114),$AF$2:$AF$1001,0),0), INDEX($AM$1004:$BM$1004,1,MATCH(COLUMNS($AM$1006:AM1006),$AM$1006:$BM$1006,0)))),"Fix")))</f>
        <v xml:space="preserve"> </v>
      </c>
      <c r="C114" s="4" t="str">
        <f ca="1">IF(OR(INDEX($AG$2:$AG$1001,MATCH(ROWS($AF$2:AF114),$AF$2:$AF$1001,0),1)&gt;=100000,INDEX($AM$1005:$BM$1005,1,MATCH(COLUMNS($AM$1006:AN1006),$AM$1006:$BM$1006,0))&gt;=100000), " ",IF(INDEX($AM$2:$BM$1001,MATCH(ROWS($AF$2:AF114),$AF$2:$AF$1001,0),MATCH(COLUMNS($AM$1006:AN1006),$AM$1006:$BM$1006,0)), HYPERLINK("#",""), HYPERLINK(CONCATENATE("#metadata!", ADDRESS(INDEX($AH$2:$AH$1001,MATCH(ROWS($AF$2:AF114),$AF$2:$AF$1001,0),0), INDEX($AM$1004:$BM$1004,1,MATCH(COLUMNS($AM$1006:AN1006),$AM$1006:$BM$1006,0)))),"Fix")))</f>
        <v xml:space="preserve"> </v>
      </c>
      <c r="D114" s="4" t="str">
        <f ca="1">IF(OR(INDEX($AG$2:$AG$1001,MATCH(ROWS($AF$2:AF114),$AF$2:$AF$1001,0),1)&gt;=100000,INDEX($AM$1005:$BM$1005,1,MATCH(COLUMNS($AM$1006:AO1006),$AM$1006:$BM$1006,0))&gt;=100000), " ",IF(INDEX($AM$2:$BM$1001,MATCH(ROWS($AF$2:AF114),$AF$2:$AF$1001,0),MATCH(COLUMNS($AM$1006:AO1006),$AM$1006:$BM$1006,0)), HYPERLINK("#",""), HYPERLINK(CONCATENATE("#metadata!", ADDRESS(INDEX($AH$2:$AH$1001,MATCH(ROWS($AF$2:AF114),$AF$2:$AF$1001,0),0), INDEX($AM$1004:$BM$1004,1,MATCH(COLUMNS($AM$1006:AO1006),$AM$1006:$BM$1006,0)))),"Fix")))</f>
        <v xml:space="preserve"> </v>
      </c>
      <c r="E114" s="4" t="str">
        <f ca="1">IF(OR(INDEX($AG$2:$AG$1001,MATCH(ROWS($AF$2:AF114),$AF$2:$AF$1001,0),1)&gt;=100000,INDEX($AM$1005:$BM$1005,1,MATCH(COLUMNS($AM$1006:AP1006),$AM$1006:$BM$1006,0))&gt;=100000), " ",IF(INDEX($AM$2:$BM$1001,MATCH(ROWS($AF$2:AF114),$AF$2:$AF$1001,0),MATCH(COLUMNS($AM$1006:AP1006),$AM$1006:$BM$1006,0)), HYPERLINK("#",""), HYPERLINK(CONCATENATE("#metadata!", ADDRESS(INDEX($AH$2:$AH$1001,MATCH(ROWS($AF$2:AF114),$AF$2:$AF$1001,0),0), INDEX($AM$1004:$BM$1004,1,MATCH(COLUMNS($AM$1006:AP1006),$AM$1006:$BM$1006,0)))),"Fix")))</f>
        <v xml:space="preserve"> </v>
      </c>
      <c r="F114" s="4" t="str">
        <f ca="1">IF(OR(INDEX($AG$2:$AG$1001,MATCH(ROWS($AF$2:AF114),$AF$2:$AF$1001,0),1)&gt;=100000,INDEX($AM$1005:$BM$1005,1,MATCH(COLUMNS($AM$1006:AQ1006),$AM$1006:$BM$1006,0))&gt;=100000), " ",IF(INDEX($AM$2:$BM$1001,MATCH(ROWS($AF$2:AF114),$AF$2:$AF$1001,0),MATCH(COLUMNS($AM$1006:AQ1006),$AM$1006:$BM$1006,0)), HYPERLINK("#",""), HYPERLINK(CONCATENATE("#metadata!", ADDRESS(INDEX($AH$2:$AH$1001,MATCH(ROWS($AF$2:AF114),$AF$2:$AF$1001,0),0), INDEX($AM$1004:$BM$1004,1,MATCH(COLUMNS($AM$1006:AQ1006),$AM$1006:$BM$1006,0)))),"Fix")))</f>
        <v xml:space="preserve"> </v>
      </c>
      <c r="G114" s="4" t="str">
        <f ca="1">IF(OR(INDEX($AG$2:$AG$1001,MATCH(ROWS($AF$2:AF114),$AF$2:$AF$1001,0),1)&gt;=100000,INDEX($AM$1005:$BM$1005,1,MATCH(COLUMNS($AM$1006:AR1006),$AM$1006:$BM$1006,0))&gt;=100000), " ",IF(INDEX($AM$2:$BM$1001,MATCH(ROWS($AF$2:AF114),$AF$2:$AF$1001,0),MATCH(COLUMNS($AM$1006:AR1006),$AM$1006:$BM$1006,0)), HYPERLINK("#",""), HYPERLINK(CONCATENATE("#metadata!", ADDRESS(INDEX($AH$2:$AH$1001,MATCH(ROWS($AF$2:AF114),$AF$2:$AF$1001,0),0), INDEX($AM$1004:$BM$1004,1,MATCH(COLUMNS($AM$1006:AR1006),$AM$1006:$BM$1006,0)))),"Fix")))</f>
        <v xml:space="preserve"> </v>
      </c>
      <c r="H114" s="4" t="str">
        <f ca="1">IF(OR(INDEX($AG$2:$AG$1001,MATCH(ROWS($AF$2:AF114),$AF$2:$AF$1001,0),1)&gt;=100000,INDEX($AM$1005:$BM$1005,1,MATCH(COLUMNS($AM$1006:AS1006),$AM$1006:$BM$1006,0))&gt;=100000), " ",IF(INDEX($AM$2:$BM$1001,MATCH(ROWS($AF$2:AF114),$AF$2:$AF$1001,0),MATCH(COLUMNS($AM$1006:AS1006),$AM$1006:$BM$1006,0)), HYPERLINK("#",""), HYPERLINK(CONCATENATE("#metadata!", ADDRESS(INDEX($AH$2:$AH$1001,MATCH(ROWS($AF$2:AF114),$AF$2:$AF$1001,0),0), INDEX($AM$1004:$BM$1004,1,MATCH(COLUMNS($AM$1006:AS1006),$AM$1006:$BM$1006,0)))),"Fix")))</f>
        <v xml:space="preserve"> </v>
      </c>
      <c r="I114" s="4" t="str">
        <f ca="1">IF(OR(INDEX($AG$2:$AG$1001,MATCH(ROWS($AF$2:AF114),$AF$2:$AF$1001,0),1)&gt;=100000,INDEX($AM$1005:$BM$1005,1,MATCH(COLUMNS($AM$1006:AT1006),$AM$1006:$BM$1006,0))&gt;=100000), " ",IF(INDEX($AM$2:$BM$1001,MATCH(ROWS($AF$2:AF114),$AF$2:$AF$1001,0),MATCH(COLUMNS($AM$1006:AT1006),$AM$1006:$BM$1006,0)), HYPERLINK("#",""), HYPERLINK(CONCATENATE("#metadata!", ADDRESS(INDEX($AH$2:$AH$1001,MATCH(ROWS($AF$2:AF114),$AF$2:$AF$1001,0),0), INDEX($AM$1004:$BM$1004,1,MATCH(COLUMNS($AM$1006:AT1006),$AM$1006:$BM$1006,0)))),"Fix")))</f>
        <v xml:space="preserve"> </v>
      </c>
      <c r="J114" s="4" t="str">
        <f ca="1">IF(OR(INDEX($AG$2:$AG$1001,MATCH(ROWS($AF$2:AF114),$AF$2:$AF$1001,0),1)&gt;=100000,INDEX($AM$1005:$BM$1005,1,MATCH(COLUMNS($AM$1006:AU1006),$AM$1006:$BM$1006,0))&gt;=100000), " ",IF(INDEX($AM$2:$BM$1001,MATCH(ROWS($AF$2:AF114),$AF$2:$AF$1001,0),MATCH(COLUMNS($AM$1006:AU1006),$AM$1006:$BM$1006,0)), HYPERLINK("#",""), HYPERLINK(CONCATENATE("#metadata!", ADDRESS(INDEX($AH$2:$AH$1001,MATCH(ROWS($AF$2:AF114),$AF$2:$AF$1001,0),0), INDEX($AM$1004:$BM$1004,1,MATCH(COLUMNS($AM$1006:AU1006),$AM$1006:$BM$1006,0)))),"Fix")))</f>
        <v xml:space="preserve"> </v>
      </c>
      <c r="K114" s="4" t="str">
        <f ca="1">IF(OR(INDEX($AG$2:$AG$1001,MATCH(ROWS($AF$2:AF114),$AF$2:$AF$1001,0),1)&gt;=100000,INDEX($AM$1005:$BM$1005,1,MATCH(COLUMNS($AM$1006:AV1006),$AM$1006:$BM$1006,0))&gt;=100000), " ",IF(INDEX($AM$2:$BM$1001,MATCH(ROWS($AF$2:AF114),$AF$2:$AF$1001,0),MATCH(COLUMNS($AM$1006:AV1006),$AM$1006:$BM$1006,0)), HYPERLINK("#",""), HYPERLINK(CONCATENATE("#metadata!", ADDRESS(INDEX($AH$2:$AH$1001,MATCH(ROWS($AF$2:AF114),$AF$2:$AF$1001,0),0), INDEX($AM$1004:$BM$1004,1,MATCH(COLUMNS($AM$1006:AV1006),$AM$1006:$BM$1006,0)))),"Fix")))</f>
        <v xml:space="preserve"> </v>
      </c>
      <c r="L114" s="4" t="str">
        <f ca="1">IF(OR(INDEX($AG$2:$AG$1001,MATCH(ROWS($AF$2:AF114),$AF$2:$AF$1001,0),1)&gt;=100000,INDEX($AM$1005:$BM$1005,1,MATCH(COLUMNS($AM$1006:AW1006),$AM$1006:$BM$1006,0))&gt;=100000), " ",IF(INDEX($AM$2:$BM$1001,MATCH(ROWS($AF$2:AF114),$AF$2:$AF$1001,0),MATCH(COLUMNS($AM$1006:AW1006),$AM$1006:$BM$1006,0)), HYPERLINK("#",""), HYPERLINK(CONCATENATE("#metadata!", ADDRESS(INDEX($AH$2:$AH$1001,MATCH(ROWS($AF$2:AF114),$AF$2:$AF$1001,0),0), INDEX($AM$1004:$BM$1004,1,MATCH(COLUMNS($AM$1006:AW1006),$AM$1006:$BM$1006,0)))),"Fix")))</f>
        <v xml:space="preserve"> </v>
      </c>
      <c r="M114" s="4" t="str">
        <f ca="1">IF(OR(INDEX($AG$2:$AG$1001,MATCH(ROWS($AF$2:AF114),$AF$2:$AF$1001,0),1)&gt;=100000,INDEX($AM$1005:$BM$1005,1,MATCH(COLUMNS($AM$1006:AX1006),$AM$1006:$BM$1006,0))&gt;=100000), " ",IF(INDEX($AM$2:$BM$1001,MATCH(ROWS($AF$2:AF114),$AF$2:$AF$1001,0),MATCH(COLUMNS($AM$1006:AX1006),$AM$1006:$BM$1006,0)), HYPERLINK("#",""), HYPERLINK(CONCATENATE("#metadata!", ADDRESS(INDEX($AH$2:$AH$1001,MATCH(ROWS($AF$2:AF114),$AF$2:$AF$1001,0),0), INDEX($AM$1004:$BM$1004,1,MATCH(COLUMNS($AM$1006:AX1006),$AM$1006:$BM$1006,0)))),"Fix")))</f>
        <v xml:space="preserve"> </v>
      </c>
      <c r="N114" s="4" t="str">
        <f ca="1">IF(OR(INDEX($AG$2:$AG$1001,MATCH(ROWS($AF$2:AF114),$AF$2:$AF$1001,0),1)&gt;=100000,INDEX($AM$1005:$BM$1005,1,MATCH(COLUMNS($AM$1006:AY1006),$AM$1006:$BM$1006,0))&gt;=100000), " ",IF(INDEX($AM$2:$BM$1001,MATCH(ROWS($AF$2:AF114),$AF$2:$AF$1001,0),MATCH(COLUMNS($AM$1006:AY1006),$AM$1006:$BM$1006,0)), HYPERLINK("#",""), HYPERLINK(CONCATENATE("#metadata!", ADDRESS(INDEX($AH$2:$AH$1001,MATCH(ROWS($AF$2:AF114),$AF$2:$AF$1001,0),0), INDEX($AM$1004:$BM$1004,1,MATCH(COLUMNS($AM$1006:AY1006),$AM$1006:$BM$1006,0)))),"Fix")))</f>
        <v xml:space="preserve"> </v>
      </c>
      <c r="O114" s="4" t="str">
        <f ca="1">IF(OR(INDEX($AG$2:$AG$1001,MATCH(ROWS($AF$2:AF114),$AF$2:$AF$1001,0),1)&gt;=100000,INDEX($AM$1005:$BM$1005,1,MATCH(COLUMNS($AM$1006:AZ1006),$AM$1006:$BM$1006,0))&gt;=100000), " ",IF(INDEX($AM$2:$BM$1001,MATCH(ROWS($AF$2:AF114),$AF$2:$AF$1001,0),MATCH(COLUMNS($AM$1006:AZ1006),$AM$1006:$BM$1006,0)), HYPERLINK("#",""), HYPERLINK(CONCATENATE("#metadata!", ADDRESS(INDEX($AH$2:$AH$1001,MATCH(ROWS($AF$2:AF114),$AF$2:$AF$1001,0),0), INDEX($AM$1004:$BM$1004,1,MATCH(COLUMNS($AM$1006:AZ1006),$AM$1006:$BM$1006,0)))),"Fix")))</f>
        <v xml:space="preserve"> </v>
      </c>
      <c r="P114" s="4" t="str">
        <f ca="1">IF(OR(INDEX($AG$2:$AG$1001,MATCH(ROWS($AF$2:AF114),$AF$2:$AF$1001,0),1)&gt;=100000,INDEX($AM$1005:$BM$1005,1,MATCH(COLUMNS($AM$1006:BA1006),$AM$1006:$BM$1006,0))&gt;=100000), " ",IF(INDEX($AM$2:$BM$1001,MATCH(ROWS($AF$2:AF114),$AF$2:$AF$1001,0),MATCH(COLUMNS($AM$1006:BA1006),$AM$1006:$BM$1006,0)), HYPERLINK("#",""), HYPERLINK(CONCATENATE("#metadata!", ADDRESS(INDEX($AH$2:$AH$1001,MATCH(ROWS($AF$2:AF114),$AF$2:$AF$1001,0),0), INDEX($AM$1004:$BM$1004,1,MATCH(COLUMNS($AM$1006:BA1006),$AM$1006:$BM$1006,0)))),"Fix")))</f>
        <v xml:space="preserve"> </v>
      </c>
      <c r="Q114" s="4" t="str">
        <f ca="1">IF(OR(INDEX($AG$2:$AG$1001,MATCH(ROWS($AF$2:AF114),$AF$2:$AF$1001,0),1)&gt;=100000,INDEX($AM$1005:$BM$1005,1,MATCH(COLUMNS($AM$1006:BB1006),$AM$1006:$BM$1006,0))&gt;=100000), " ",IF(INDEX($AM$2:$BM$1001,MATCH(ROWS($AF$2:AF114),$AF$2:$AF$1001,0),MATCH(COLUMNS($AM$1006:BB1006),$AM$1006:$BM$1006,0)), HYPERLINK("#",""), HYPERLINK(CONCATENATE("#metadata!", ADDRESS(INDEX($AH$2:$AH$1001,MATCH(ROWS($AF$2:AF114),$AF$2:$AF$1001,0),0), INDEX($AM$1004:$BM$1004,1,MATCH(COLUMNS($AM$1006:BB1006),$AM$1006:$BM$1006,0)))),"Fix")))</f>
        <v xml:space="preserve"> </v>
      </c>
      <c r="R114" s="4" t="str">
        <f ca="1">IF(OR(INDEX($AG$2:$AG$1001,MATCH(ROWS($AF$2:AF114),$AF$2:$AF$1001,0),1)&gt;=100000,INDEX($AM$1005:$BM$1005,1,MATCH(COLUMNS($AM$1006:BC1006),$AM$1006:$BM$1006,0))&gt;=100000), " ",IF(INDEX($AM$2:$BM$1001,MATCH(ROWS($AF$2:AF114),$AF$2:$AF$1001,0),MATCH(COLUMNS($AM$1006:BC1006),$AM$1006:$BM$1006,0)), HYPERLINK("#",""), HYPERLINK(CONCATENATE("#metadata!", ADDRESS(INDEX($AH$2:$AH$1001,MATCH(ROWS($AF$2:AF114),$AF$2:$AF$1001,0),0), INDEX($AM$1004:$BM$1004,1,MATCH(COLUMNS($AM$1006:BC1006),$AM$1006:$BM$1006,0)))),"Fix")))</f>
        <v xml:space="preserve"> </v>
      </c>
      <c r="S114" s="4" t="str">
        <f ca="1">IF(OR(INDEX($AG$2:$AG$1001,MATCH(ROWS($AF$2:AF114),$AF$2:$AF$1001,0),1)&gt;=100000,INDEX($AM$1005:$BM$1005,1,MATCH(COLUMNS($AM$1006:BD1006),$AM$1006:$BM$1006,0))&gt;=100000), " ",IF(INDEX($AM$2:$BM$1001,MATCH(ROWS($AF$2:AF114),$AF$2:$AF$1001,0),MATCH(COLUMNS($AM$1006:BD1006),$AM$1006:$BM$1006,0)), HYPERLINK("#",""), HYPERLINK(CONCATENATE("#metadata!", ADDRESS(INDEX($AH$2:$AH$1001,MATCH(ROWS($AF$2:AF114),$AF$2:$AF$1001,0),0), INDEX($AM$1004:$BM$1004,1,MATCH(COLUMNS($AM$1006:BD1006),$AM$1006:$BM$1006,0)))),"Fix")))</f>
        <v xml:space="preserve"> </v>
      </c>
      <c r="T114" s="4" t="str">
        <f ca="1">IF(OR(INDEX($AG$2:$AG$1001,MATCH(ROWS($AF$2:AF114),$AF$2:$AF$1001,0),1)&gt;=100000,INDEX($AM$1005:$BM$1005,1,MATCH(COLUMNS($AM$1006:BE1006),$AM$1006:$BM$1006,0))&gt;=100000), " ",IF(INDEX($AM$2:$BM$1001,MATCH(ROWS($AF$2:AF114),$AF$2:$AF$1001,0),MATCH(COLUMNS($AM$1006:BE1006),$AM$1006:$BM$1006,0)), HYPERLINK("#",""), HYPERLINK(CONCATENATE("#metadata!", ADDRESS(INDEX($AH$2:$AH$1001,MATCH(ROWS($AF$2:AF114),$AF$2:$AF$1001,0),0), INDEX($AM$1004:$BM$1004,1,MATCH(COLUMNS($AM$1006:BE1006),$AM$1006:$BM$1006,0)))),"Fix")))</f>
        <v xml:space="preserve"> </v>
      </c>
      <c r="U114" s="4" t="str">
        <f ca="1">IF(OR(INDEX($AG$2:$AG$1001,MATCH(ROWS($AF$2:AF114),$AF$2:$AF$1001,0),1)&gt;=100000,INDEX($AM$1005:$BM$1005,1,MATCH(COLUMNS($AM$1006:BF1006),$AM$1006:$BM$1006,0))&gt;=100000), " ",IF(INDEX($AM$2:$BM$1001,MATCH(ROWS($AF$2:AF114),$AF$2:$AF$1001,0),MATCH(COLUMNS($AM$1006:BF1006),$AM$1006:$BM$1006,0)), HYPERLINK("#",""), HYPERLINK(CONCATENATE("#metadata!", ADDRESS(INDEX($AH$2:$AH$1001,MATCH(ROWS($AF$2:AF114),$AF$2:$AF$1001,0),0), INDEX($AM$1004:$BM$1004,1,MATCH(COLUMNS($AM$1006:BF1006),$AM$1006:$BM$1006,0)))),"Fix")))</f>
        <v xml:space="preserve"> </v>
      </c>
      <c r="V114" s="4" t="str">
        <f ca="1">IF(OR(INDEX($AG$2:$AG$1001,MATCH(ROWS($AF$2:AF114),$AF$2:$AF$1001,0),1)&gt;=100000,INDEX($AM$1005:$BM$1005,1,MATCH(COLUMNS($AM$1006:BG1006),$AM$1006:$BM$1006,0))&gt;=100000), " ",IF(INDEX($AM$2:$BM$1001,MATCH(ROWS($AF$2:AF114),$AF$2:$AF$1001,0),MATCH(COLUMNS($AM$1006:BG1006),$AM$1006:$BM$1006,0)), HYPERLINK("#",""), HYPERLINK(CONCATENATE("#metadata!", ADDRESS(INDEX($AH$2:$AH$1001,MATCH(ROWS($AF$2:AF114),$AF$2:$AF$1001,0),0), INDEX($AM$1004:$BM$1004,1,MATCH(COLUMNS($AM$1006:BG1006),$AM$1006:$BM$1006,0)))),"Fix")))</f>
        <v xml:space="preserve"> </v>
      </c>
      <c r="W114" s="4" t="str">
        <f ca="1">IF(OR(INDEX($AG$2:$AG$1001,MATCH(ROWS($AF$2:AF114),$AF$2:$AF$1001,0),1)&gt;=100000,INDEX($AM$1005:$BM$1005,1,MATCH(COLUMNS($AM$1006:BH1006),$AM$1006:$BM$1006,0))&gt;=100000), " ",IF(INDEX($AM$2:$BM$1001,MATCH(ROWS($AF$2:AF114),$AF$2:$AF$1001,0),MATCH(COLUMNS($AM$1006:BH1006),$AM$1006:$BM$1006,0)), HYPERLINK("#",""), HYPERLINK(CONCATENATE("#metadata!", ADDRESS(INDEX($AH$2:$AH$1001,MATCH(ROWS($AF$2:AF114),$AF$2:$AF$1001,0),0), INDEX($AM$1004:$BM$1004,1,MATCH(COLUMNS($AM$1006:BH1006),$AM$1006:$BM$1006,0)))),"Fix")))</f>
        <v xml:space="preserve"> </v>
      </c>
      <c r="X114" s="4" t="str">
        <f ca="1">IF(OR(INDEX($AG$2:$AG$1001,MATCH(ROWS($AF$2:AF114),$AF$2:$AF$1001,0),1)&gt;=100000,INDEX($AM$1005:$BM$1005,1,MATCH(COLUMNS($AM$1006:BI1006),$AM$1006:$BM$1006,0))&gt;=100000), " ",IF(INDEX($AM$2:$BM$1001,MATCH(ROWS($AF$2:AF114),$AF$2:$AF$1001,0),MATCH(COLUMNS($AM$1006:BI1006),$AM$1006:$BM$1006,0)), HYPERLINK("#",""), HYPERLINK(CONCATENATE("#metadata!", ADDRESS(INDEX($AH$2:$AH$1001,MATCH(ROWS($AF$2:AF114),$AF$2:$AF$1001,0),0), INDEX($AM$1004:$BM$1004,1,MATCH(COLUMNS($AM$1006:BI1006),$AM$1006:$BM$1006,0)))),"Fix")))</f>
        <v xml:space="preserve"> </v>
      </c>
      <c r="Y114" s="4" t="str">
        <f ca="1">IF(OR(INDEX($AG$2:$AG$1001,MATCH(ROWS($AF$2:AF114),$AF$2:$AF$1001,0),1)&gt;=100000,INDEX($AM$1005:$BM$1005,1,MATCH(COLUMNS($AM$1006:BJ1006),$AM$1006:$BM$1006,0))&gt;=100000), " ",IF(INDEX($AM$2:$BM$1001,MATCH(ROWS($AF$2:AF114),$AF$2:$AF$1001,0),MATCH(COLUMNS($AM$1006:BJ1006),$AM$1006:$BM$1006,0)), HYPERLINK("#",""), HYPERLINK(CONCATENATE("#metadata!", ADDRESS(INDEX($AH$2:$AH$1001,MATCH(ROWS($AF$2:AF114),$AF$2:$AF$1001,0),0), INDEX($AM$1004:$BM$1004,1,MATCH(COLUMNS($AM$1006:BJ1006),$AM$1006:$BM$1006,0)))),"Fix")))</f>
        <v xml:space="preserve"> </v>
      </c>
      <c r="Z114" s="4" t="str">
        <f ca="1">IF(OR(INDEX($AG$2:$AG$1001,MATCH(ROWS($AF$2:AF114),$AF$2:$AF$1001,0),1)&gt;=100000,INDEX($AM$1005:$BM$1005,1,MATCH(COLUMNS($AM$1006:BK1006),$AM$1006:$BM$1006,0))&gt;=100000), " ",IF(INDEX($AM$2:$BM$1001,MATCH(ROWS($AF$2:AF114),$AF$2:$AF$1001,0),MATCH(COLUMNS($AM$1006:BK1006),$AM$1006:$BM$1006,0)), HYPERLINK("#",""), HYPERLINK(CONCATENATE("#metadata!", ADDRESS(INDEX($AH$2:$AH$1001,MATCH(ROWS($AF$2:AF114),$AF$2:$AF$1001,0),0), INDEX($AM$1004:$BM$1004,1,MATCH(COLUMNS($AM$1006:BK1006),$AM$1006:$BM$1006,0)))),"Fix")))</f>
        <v xml:space="preserve"> </v>
      </c>
      <c r="AA114" s="4" t="str">
        <f ca="1">IF(OR(INDEX($AG$2:$AG$1001,MATCH(ROWS($AF$2:AF114),$AF$2:$AF$1001,0),1)&gt;=100000,INDEX($AM$1005:$BM$1005,1,MATCH(COLUMNS($AM$1006:BL1006),$AM$1006:$BM$1006,0))&gt;=100000), " ",IF(INDEX($AM$2:$BM$1001,MATCH(ROWS($AF$2:AF114),$AF$2:$AF$1001,0),MATCH(COLUMNS($AM$1006:BL1006),$AM$1006:$BM$1006,0)), HYPERLINK("#",""), HYPERLINK(CONCATENATE("#metadata!", ADDRESS(INDEX($AH$2:$AH$1001,MATCH(ROWS($AF$2:AF114),$AF$2:$AF$1001,0),0), INDEX($AM$1004:$BM$1004,1,MATCH(COLUMNS($AM$1006:BL1006),$AM$1006:$BM$1006,0)))),"Fix")))</f>
        <v xml:space="preserve"> </v>
      </c>
      <c r="AB114" s="4" t="str">
        <f ca="1">IF(OR(INDEX($AG$2:$AG$1001,MATCH(ROWS($AF$2:AF114),$AF$2:$AF$1001,0),1)&gt;=100000,INDEX($AM$1005:$BM$1005,1,MATCH(COLUMNS($AM$1006:BM1006),$AM$1006:$BM$1006,0))&gt;=100000), " ",IF(INDEX($AM$2:$BM$1001,MATCH(ROWS($AF$2:AF114),$AF$2:$AF$1001,0),MATCH(COLUMNS($AM$1006:BM1006),$AM$1006:$BM$1006,0)), HYPERLINK("#",""), HYPERLINK(CONCATENATE("#metadata!", ADDRESS(INDEX($AH$2:$AH$1001,MATCH(ROWS($AF$2:AF114),$AF$2:$AF$1001,0),0), INDEX($AM$1004:$BM$1004,1,MATCH(COLUMNS($AM$1006:BM1006),$AM$1006:$BM$1006,0)))),"Fix")))</f>
        <v xml:space="preserve"> </v>
      </c>
      <c r="AF114">
        <v>113</v>
      </c>
      <c r="AG114">
        <v>100114</v>
      </c>
      <c r="AH114">
        <v>114</v>
      </c>
      <c r="AI114" t="b">
        <f t="shared" si="1"/>
        <v>1</v>
      </c>
      <c r="AJ114" t="b">
        <f>COUNTBLANK(metadata!B114:AB114)=COLUMNS(metadata!B114:AB114)</f>
        <v>1</v>
      </c>
      <c r="AK114" t="str">
        <v/>
      </c>
      <c r="AM114" t="b">
        <f ca="1">AND(IF(metadata!B114="",FALSE,TRUE),COUNTIF(metadata!B:B, metadata!B114) = 1,NOT(ISERROR(SUMPRODUCT(SEARCH(MID(metadata!B114,ROW(INDIRECT("1:"&amp;LEN(metadata!B114))), 1),"0123456789abcdefghijklmnopqrstuvwxyzABCDEFGHIJKLMNOPQRSTUVWXYZ.")))))</f>
        <v>0</v>
      </c>
      <c r="AN114" t="b">
        <f ca="1">OR(AND(IF(metadata!C114="",FALSE,TRUE),OR(EXACT(metadata!C114,"missing: not collected"),EXACT(metadata!C114,"missing: not provided"),EXACT(metadata!C114,"missing: restricted access"))),AND(IF(metadata!C114="",FALSE,TRUE),AND(AND(IFERROR(INT(LEFT(metadata!C114,4))&gt;1900,FALSE),IFERROR(INT(LEFT(metadata!C114,4))&lt;=YEAR(NOW()),FALSE)), OR(MID(metadata!C114,5,1)="", AND(AND(MID(metadata!C114,5,1)="-",IFERROR(INT(MID(metadata!C114,6,1))&gt;=0,FALSE),IFERROR(INT(MID(metadata!C114,6,1))&lt;=1,FALSE),NOT(MID(metadata!C114,7,1)=""),IFERROR(INT(MID(metadata!C114,6,2))&gt;=1,FALSE),IFERROR(INT(MID(metadata!C114,6,2))&lt;=12,FALSE)), OR(MID(metadata!C114,8,1)="", AND(AND(MID(metadata!C114,8,1)="-",IFERROR(INT(MID(metadata!C114,9,1))&gt;=0,FALSE),IFERROR(INT(MID(metadata!C114,9,1))&lt;=3,FALSE),NOT(MID(metadata!C114,10,1)=""),IFERROR(INT(MID(metadata!C114,9,2))&gt;=1,FALSE),IFERROR(INT(MID(metadata!C114,9,2))&lt;=31,FALSE)), OR(MID(metadata!C114,11,1)="", AND(AND(MID(metadata!C114,11,1)=" ",IFERROR(INT(MID(metadata!C114,12,1))&gt;=0,FALSE),IFERROR(INT(MID(metadata!C114,12,1))&lt;=2,FALSE),NOT(MID(metadata!C114,13,1)=""),IFERROR(INT(MID(metadata!C114,12,2))&gt;=0,FALSE),IFERROR(INT(MID(metadata!C114,12,2))&lt;=23,FALSE)), OR(MID(metadata!C114,14,1)="", AND(AND(MID(metadata!C114,14,1)=":",IFERROR(INT(MID(metadata!C114,15,1))&gt;=0,FALSE),IFERROR(INT(MID(metadata!C114,15,1))&lt;=5,FALSE),NOT(MID(metadata!C114,16,1)=""),IFERROR(INT(MID(metadata!C114,15,2))&gt;=0,FALSE),IFERROR(INT(MID(metadata!C114,15,2))&lt;=59,FALSE)), OR(MID(metadata!C114,17,1)="", AND(AND(MID(metadata!C114,17,1)=":",IFERROR(INT(MID(metadata!C114,18,1))&gt;=0,FALSE),IFERROR(INT(MID(metadata!C114,18,1))&lt;=5,FALSE),NOT(MID(metadata!C114,19,1)=""),IFERROR(INT(MID(metadata!C114,18,2))&gt;=0,FALSE),IFERROR(INT(MID(metadata!C114,18,2))&lt;=59,FALSE)), LEN(metadata!C114)&lt;=19)))))))))))))</f>
        <v>0</v>
      </c>
      <c r="AO114" t="b">
        <f>AND(IF(metadata!D114="",FALSE,TRUE),EXACT(metadata!D114,"Not applicable"))</f>
        <v>0</v>
      </c>
      <c r="AP114" t="b">
        <f>IF(metadata!E114="",FALSE,TRUE)</f>
        <v>0</v>
      </c>
      <c r="AQ114" t="b">
        <f>OR(AND(IF(metadata!F114="",FALSE,TRUE),OR(EXACT(metadata!F114,"missing: not collected"),EXACT(metadata!F114,"missing: not provided"))),AND(IF(metadata!F114="",FALSE,TRUE),OR(EXACT(metadata!F114,"TRUE"),EXACT(metadata!F114,"FALSE"))))</f>
        <v>0</v>
      </c>
      <c r="AR114" t="b">
        <f>OR(AND(IF(metadata!G114="",FALSE,TRUE),OR(EXACT(metadata!G114,"missing: not collected"),EXACT(metadata!G114,"missing: not provided"),EXACT(metadata!G114,"missing: restricted access"))),AND(IF(metadata!G114="",FALSE,ISNUMBER(VALUE(metadata!G114))),metadata!G114&gt;=-413))</f>
        <v>0</v>
      </c>
      <c r="AS114" t="b">
        <f>AND(IF(metadata!H114="",FALSE,TRUE),EXACT(metadata!H114,"meters"))</f>
        <v>0</v>
      </c>
      <c r="AT114" t="b">
        <f>AND(IF(metadata!I114="",FALSE,TRUE),OR(EXACT(metadata!I114,"Host-associated"),EXACT(metadata!I114,"Free-living")))</f>
        <v>0</v>
      </c>
      <c r="AU114" t="b">
        <f>AND(IF(metadata!J114="",FALSE,TRUE),OR(EXACT(metadata!J114,"Animal"),EXACT(metadata!J114,"Fungus"),EXACT(metadata!J114,"Plant"),EXACT(metadata!J114,"Saline"),EXACT(metadata!J114,"Non-saline")))</f>
        <v>0</v>
      </c>
      <c r="AV114" t="b">
        <f>AND(IF(metadata!K114="",FALSE,TRUE),OR(EXACT(metadata!K114,"Plant secretion"),EXACT(metadata!K114,"Plant rhizosphere"),EXACT(metadata!K114,"Plant surface"),EXACT(metadata!K114,"Plant corpus"),EXACT(metadata!K114,"Fungus surface"),EXACT(metadata!K114,"Fungus corpus"),EXACT(metadata!K114,"Animal surface"),EXACT(metadata!K114,"Animal proximal gut"),EXACT(metadata!K114,"Animal corpus"),EXACT(metadata!K114,"Animal distal gut"),EXACT(metadata!K114,"Animal secretion"),EXACT(metadata!K114,"Sub-surface (non-saline)"),EXACT(metadata!K114,"Surface (non-saline)"),EXACT(metadata!K114,"Water (non-saline)"),EXACT(metadata!K114,"Soil (non-saline)"),EXACT(metadata!K114,"Aerosol (non-saline)"),EXACT(metadata!K114,"Sediment (non-saline)"),EXACT(metadata!K114,"Surface (saline)"),EXACT(metadata!K114,"Water (saline)"),EXACT(metadata!K114,"Hypersaline (saline)"),EXACT(metadata!K114,"Aerosol (saline)"),EXACT(metadata!K114,"Sediment (saline)")))</f>
        <v>0</v>
      </c>
      <c r="AW114" t="b">
        <f>IF(metadata!L114="",FALSE,TRUE)</f>
        <v>0</v>
      </c>
      <c r="AX114" t="b">
        <f>IF(metadata!M114="",FALSE,TRUE)</f>
        <v>0</v>
      </c>
      <c r="AY114" t="b">
        <f>IF(metadata!N114="",FALSE,TRUE)</f>
        <v>0</v>
      </c>
      <c r="AZ114" t="b">
        <f>OR(AND(IF(metadata!O114="",FALSE,TRUE),OR(EXACT(metadata!O114,"missing: not collected"),EXACT(metadata!O114,"missing: not provided"),EXACT(metadata!O114,"missing: restricted access"))),AND(IF(metadata!O114="",FALSE,TRUE),OR(EXACT(metadata!O114,"air"),EXACT(metadata!O114,"built environment"),EXACT(metadata!O114,"host-associated"),EXACT(metadata!O114,"human-associated"),EXACT(metadata!O114,"human-skin"),EXACT(metadata!O114,"human-oral"),EXACT(metadata!O114,"human-gut"),EXACT(metadata!O114,"human-vaginal"),EXACT(metadata!O114,"microbial mat/biofilm"),EXACT(metadata!O114,"misc environment"),EXACT(metadata!O114,"plant-associated"),EXACT(metadata!O114,"sediment"),EXACT(metadata!O114,"soil"),EXACT(metadata!O114,"wastewater/sludge"),EXACT(metadata!O114,"water"))))</f>
        <v>0</v>
      </c>
      <c r="BA114" t="b">
        <f>IF(metadata!P114="",FALSE,TRUE)</f>
        <v>0</v>
      </c>
      <c r="BB114" t="b">
        <f>IF(metadata!Q114="",FALSE,TRUE)</f>
        <v>0</v>
      </c>
      <c r="BC114" t="b">
        <f>OR(AND(IF(metadata!R114="",FALSE,TRUE),OR(EXACT(metadata!R114,"missing: not collected"),EXACT(metadata!R114,"missing: not provided"),EXACT(metadata!R114,"missing: restricted access"))),AND(IF(metadata!R114="",FALSE,ISNUMBER(VALUE(metadata!R114))),metadata!R114&gt;=-90,metadata!R114&lt;=90))</f>
        <v>0</v>
      </c>
      <c r="BD114" t="b">
        <f>AND(IF(metadata!S114="",FALSE,TRUE),EXACT(metadata!S114,"Decimal degrees"))</f>
        <v>0</v>
      </c>
      <c r="BE114" t="b">
        <f>OR(AND(IF(metadata!T114="",FALSE,TRUE),OR(EXACT(metadata!T114,"missing: not collected"),EXACT(metadata!T114,"missing: not provided"),EXACT(metadata!T114,"missing: restricted access"))),AND(IF(metadata!T114="",FALSE,ISNUMBER(VALUE(metadata!T114))),metadata!T114&gt;=-180,metadata!T114&lt;=180))</f>
        <v>0</v>
      </c>
      <c r="BF114" t="b">
        <f>AND(IF(metadata!U114="",FALSE,TRUE),EXACT(metadata!U114,"Decimal degrees"))</f>
        <v>0</v>
      </c>
      <c r="BG114" t="b">
        <f>IF(metadata!V114="",FALSE,TRUE)</f>
        <v>0</v>
      </c>
      <c r="BH114" t="b">
        <f>OR(AND(IF(metadata!W114="",FALSE,TRUE),OR(EXACT(metadata!W114,"missing: not collected"),EXACT(metadata!W114,"missing: not provided"),EXACT(metadata!W114,"missing: restricted access"))),AND(IF(metadata!W114="",FALSE,TRUE),OR(EXACT(metadata!W114,"TRUE"),EXACT(metadata!W114,"FALSE"))))</f>
        <v>0</v>
      </c>
      <c r="BI114" t="b">
        <f>AND(IF(metadata!X114="",FALSE,TRUE),EXACT(metadata!X114,"other"))</f>
        <v>0</v>
      </c>
      <c r="BJ114" t="b">
        <f>IF(metadata!Y114="",FALSE,TRUE)</f>
        <v>0</v>
      </c>
      <c r="BK114" t="b">
        <f>OR(AND(IF(metadata!Z114="",FALSE,TRUE),OR(EXACT(metadata!Z114,"missing: not collected"),EXACT(metadata!Z114,"missing: not provided"))),AND(IF(metadata!Z114="",FALSE,IF(ISERROR(INT(metadata!Z114)),FALSE,INT(metadata!Z114)=metadata!Z114)),metadata!Z114&gt;0))</f>
        <v>0</v>
      </c>
      <c r="BL114" t="b">
        <f>AND(IF(metadata!AA114="",FALSE,TRUE),EXACT(metadata!AA114,"Not applicable"))</f>
        <v>0</v>
      </c>
      <c r="BM114" t="b">
        <f>IF(metadata!AB114="",FALSE,TRUE)</f>
        <v>0</v>
      </c>
    </row>
    <row r="115" spans="1:65" x14ac:dyDescent="0.2">
      <c r="A115" s="5" t="str">
        <f ca="1">IF(B115=" "," ",HYPERLINK(CONCATENATE("#metadata!",ADDRESS(INDEX($AH$2:$AH$1001,MATCH(ROWS($AF$2:AF115),$AF$2:$AF$1001,0),0),1)),INDEX($AK$2:$AK$1001,MATCH(ROWS($AF$2:AF115),$AF$2:$AF$1001,0),0)))</f>
        <v xml:space="preserve"> </v>
      </c>
      <c r="B115" s="4" t="str">
        <f ca="1">IF(OR(INDEX($AG$2:$AG$1001,MATCH(ROWS($AF$2:AF115),$AF$2:$AF$1001,0),1)&gt;=100000,INDEX($AM$1005:$BM$1005,1,MATCH(COLUMNS($AM$1006:AM1006),$AM$1006:$BM$1006,0))&gt;=100000), " ",IF(INDEX($AM$2:$BM$1001,MATCH(ROWS($AF$2:AF115),$AF$2:$AF$1001,0),MATCH(COLUMNS($AM$1006:AM1006),$AM$1006:$BM$1006,0)), HYPERLINK("#",""), HYPERLINK(CONCATENATE("#metadata!", ADDRESS(INDEX($AH$2:$AH$1001,MATCH(ROWS($AF$2:AF115),$AF$2:$AF$1001,0),0), INDEX($AM$1004:$BM$1004,1,MATCH(COLUMNS($AM$1006:AM1006),$AM$1006:$BM$1006,0)))),"Fix")))</f>
        <v xml:space="preserve"> </v>
      </c>
      <c r="C115" s="4" t="str">
        <f ca="1">IF(OR(INDEX($AG$2:$AG$1001,MATCH(ROWS($AF$2:AF115),$AF$2:$AF$1001,0),1)&gt;=100000,INDEX($AM$1005:$BM$1005,1,MATCH(COLUMNS($AM$1006:AN1006),$AM$1006:$BM$1006,0))&gt;=100000), " ",IF(INDEX($AM$2:$BM$1001,MATCH(ROWS($AF$2:AF115),$AF$2:$AF$1001,0),MATCH(COLUMNS($AM$1006:AN1006),$AM$1006:$BM$1006,0)), HYPERLINK("#",""), HYPERLINK(CONCATENATE("#metadata!", ADDRESS(INDEX($AH$2:$AH$1001,MATCH(ROWS($AF$2:AF115),$AF$2:$AF$1001,0),0), INDEX($AM$1004:$BM$1004,1,MATCH(COLUMNS($AM$1006:AN1006),$AM$1006:$BM$1006,0)))),"Fix")))</f>
        <v xml:space="preserve"> </v>
      </c>
      <c r="D115" s="4" t="str">
        <f ca="1">IF(OR(INDEX($AG$2:$AG$1001,MATCH(ROWS($AF$2:AF115),$AF$2:$AF$1001,0),1)&gt;=100000,INDEX($AM$1005:$BM$1005,1,MATCH(COLUMNS($AM$1006:AO1006),$AM$1006:$BM$1006,0))&gt;=100000), " ",IF(INDEX($AM$2:$BM$1001,MATCH(ROWS($AF$2:AF115),$AF$2:$AF$1001,0),MATCH(COLUMNS($AM$1006:AO1006),$AM$1006:$BM$1006,0)), HYPERLINK("#",""), HYPERLINK(CONCATENATE("#metadata!", ADDRESS(INDEX($AH$2:$AH$1001,MATCH(ROWS($AF$2:AF115),$AF$2:$AF$1001,0),0), INDEX($AM$1004:$BM$1004,1,MATCH(COLUMNS($AM$1006:AO1006),$AM$1006:$BM$1006,0)))),"Fix")))</f>
        <v xml:space="preserve"> </v>
      </c>
      <c r="E115" s="4" t="str">
        <f ca="1">IF(OR(INDEX($AG$2:$AG$1001,MATCH(ROWS($AF$2:AF115),$AF$2:$AF$1001,0),1)&gt;=100000,INDEX($AM$1005:$BM$1005,1,MATCH(COLUMNS($AM$1006:AP1006),$AM$1006:$BM$1006,0))&gt;=100000), " ",IF(INDEX($AM$2:$BM$1001,MATCH(ROWS($AF$2:AF115),$AF$2:$AF$1001,0),MATCH(COLUMNS($AM$1006:AP1006),$AM$1006:$BM$1006,0)), HYPERLINK("#",""), HYPERLINK(CONCATENATE("#metadata!", ADDRESS(INDEX($AH$2:$AH$1001,MATCH(ROWS($AF$2:AF115),$AF$2:$AF$1001,0),0), INDEX($AM$1004:$BM$1004,1,MATCH(COLUMNS($AM$1006:AP1006),$AM$1006:$BM$1006,0)))),"Fix")))</f>
        <v xml:space="preserve"> </v>
      </c>
      <c r="F115" s="4" t="str">
        <f ca="1">IF(OR(INDEX($AG$2:$AG$1001,MATCH(ROWS($AF$2:AF115),$AF$2:$AF$1001,0),1)&gt;=100000,INDEX($AM$1005:$BM$1005,1,MATCH(COLUMNS($AM$1006:AQ1006),$AM$1006:$BM$1006,0))&gt;=100000), " ",IF(INDEX($AM$2:$BM$1001,MATCH(ROWS($AF$2:AF115),$AF$2:$AF$1001,0),MATCH(COLUMNS($AM$1006:AQ1006),$AM$1006:$BM$1006,0)), HYPERLINK("#",""), HYPERLINK(CONCATENATE("#metadata!", ADDRESS(INDEX($AH$2:$AH$1001,MATCH(ROWS($AF$2:AF115),$AF$2:$AF$1001,0),0), INDEX($AM$1004:$BM$1004,1,MATCH(COLUMNS($AM$1006:AQ1006),$AM$1006:$BM$1006,0)))),"Fix")))</f>
        <v xml:space="preserve"> </v>
      </c>
      <c r="G115" s="4" t="str">
        <f ca="1">IF(OR(INDEX($AG$2:$AG$1001,MATCH(ROWS($AF$2:AF115),$AF$2:$AF$1001,0),1)&gt;=100000,INDEX($AM$1005:$BM$1005,1,MATCH(COLUMNS($AM$1006:AR1006),$AM$1006:$BM$1006,0))&gt;=100000), " ",IF(INDEX($AM$2:$BM$1001,MATCH(ROWS($AF$2:AF115),$AF$2:$AF$1001,0),MATCH(COLUMNS($AM$1006:AR1006),$AM$1006:$BM$1006,0)), HYPERLINK("#",""), HYPERLINK(CONCATENATE("#metadata!", ADDRESS(INDEX($AH$2:$AH$1001,MATCH(ROWS($AF$2:AF115),$AF$2:$AF$1001,0),0), INDEX($AM$1004:$BM$1004,1,MATCH(COLUMNS($AM$1006:AR1006),$AM$1006:$BM$1006,0)))),"Fix")))</f>
        <v xml:space="preserve"> </v>
      </c>
      <c r="H115" s="4" t="str">
        <f ca="1">IF(OR(INDEX($AG$2:$AG$1001,MATCH(ROWS($AF$2:AF115),$AF$2:$AF$1001,0),1)&gt;=100000,INDEX($AM$1005:$BM$1005,1,MATCH(COLUMNS($AM$1006:AS1006),$AM$1006:$BM$1006,0))&gt;=100000), " ",IF(INDEX($AM$2:$BM$1001,MATCH(ROWS($AF$2:AF115),$AF$2:$AF$1001,0),MATCH(COLUMNS($AM$1006:AS1006),$AM$1006:$BM$1006,0)), HYPERLINK("#",""), HYPERLINK(CONCATENATE("#metadata!", ADDRESS(INDEX($AH$2:$AH$1001,MATCH(ROWS($AF$2:AF115),$AF$2:$AF$1001,0),0), INDEX($AM$1004:$BM$1004,1,MATCH(COLUMNS($AM$1006:AS1006),$AM$1006:$BM$1006,0)))),"Fix")))</f>
        <v xml:space="preserve"> </v>
      </c>
      <c r="I115" s="4" t="str">
        <f ca="1">IF(OR(INDEX($AG$2:$AG$1001,MATCH(ROWS($AF$2:AF115),$AF$2:$AF$1001,0),1)&gt;=100000,INDEX($AM$1005:$BM$1005,1,MATCH(COLUMNS($AM$1006:AT1006),$AM$1006:$BM$1006,0))&gt;=100000), " ",IF(INDEX($AM$2:$BM$1001,MATCH(ROWS($AF$2:AF115),$AF$2:$AF$1001,0),MATCH(COLUMNS($AM$1006:AT1006),$AM$1006:$BM$1006,0)), HYPERLINK("#",""), HYPERLINK(CONCATENATE("#metadata!", ADDRESS(INDEX($AH$2:$AH$1001,MATCH(ROWS($AF$2:AF115),$AF$2:$AF$1001,0),0), INDEX($AM$1004:$BM$1004,1,MATCH(COLUMNS($AM$1006:AT1006),$AM$1006:$BM$1006,0)))),"Fix")))</f>
        <v xml:space="preserve"> </v>
      </c>
      <c r="J115" s="4" t="str">
        <f ca="1">IF(OR(INDEX($AG$2:$AG$1001,MATCH(ROWS($AF$2:AF115),$AF$2:$AF$1001,0),1)&gt;=100000,INDEX($AM$1005:$BM$1005,1,MATCH(COLUMNS($AM$1006:AU1006),$AM$1006:$BM$1006,0))&gt;=100000), " ",IF(INDEX($AM$2:$BM$1001,MATCH(ROWS($AF$2:AF115),$AF$2:$AF$1001,0),MATCH(COLUMNS($AM$1006:AU1006),$AM$1006:$BM$1006,0)), HYPERLINK("#",""), HYPERLINK(CONCATENATE("#metadata!", ADDRESS(INDEX($AH$2:$AH$1001,MATCH(ROWS($AF$2:AF115),$AF$2:$AF$1001,0),0), INDEX($AM$1004:$BM$1004,1,MATCH(COLUMNS($AM$1006:AU1006),$AM$1006:$BM$1006,0)))),"Fix")))</f>
        <v xml:space="preserve"> </v>
      </c>
      <c r="K115" s="4" t="str">
        <f ca="1">IF(OR(INDEX($AG$2:$AG$1001,MATCH(ROWS($AF$2:AF115),$AF$2:$AF$1001,0),1)&gt;=100000,INDEX($AM$1005:$BM$1005,1,MATCH(COLUMNS($AM$1006:AV1006),$AM$1006:$BM$1006,0))&gt;=100000), " ",IF(INDEX($AM$2:$BM$1001,MATCH(ROWS($AF$2:AF115),$AF$2:$AF$1001,0),MATCH(COLUMNS($AM$1006:AV1006),$AM$1006:$BM$1006,0)), HYPERLINK("#",""), HYPERLINK(CONCATENATE("#metadata!", ADDRESS(INDEX($AH$2:$AH$1001,MATCH(ROWS($AF$2:AF115),$AF$2:$AF$1001,0),0), INDEX($AM$1004:$BM$1004,1,MATCH(COLUMNS($AM$1006:AV1006),$AM$1006:$BM$1006,0)))),"Fix")))</f>
        <v xml:space="preserve"> </v>
      </c>
      <c r="L115" s="4" t="str">
        <f ca="1">IF(OR(INDEX($AG$2:$AG$1001,MATCH(ROWS($AF$2:AF115),$AF$2:$AF$1001,0),1)&gt;=100000,INDEX($AM$1005:$BM$1005,1,MATCH(COLUMNS($AM$1006:AW1006),$AM$1006:$BM$1006,0))&gt;=100000), " ",IF(INDEX($AM$2:$BM$1001,MATCH(ROWS($AF$2:AF115),$AF$2:$AF$1001,0),MATCH(COLUMNS($AM$1006:AW1006),$AM$1006:$BM$1006,0)), HYPERLINK("#",""), HYPERLINK(CONCATENATE("#metadata!", ADDRESS(INDEX($AH$2:$AH$1001,MATCH(ROWS($AF$2:AF115),$AF$2:$AF$1001,0),0), INDEX($AM$1004:$BM$1004,1,MATCH(COLUMNS($AM$1006:AW1006),$AM$1006:$BM$1006,0)))),"Fix")))</f>
        <v xml:space="preserve"> </v>
      </c>
      <c r="M115" s="4" t="str">
        <f ca="1">IF(OR(INDEX($AG$2:$AG$1001,MATCH(ROWS($AF$2:AF115),$AF$2:$AF$1001,0),1)&gt;=100000,INDEX($AM$1005:$BM$1005,1,MATCH(COLUMNS($AM$1006:AX1006),$AM$1006:$BM$1006,0))&gt;=100000), " ",IF(INDEX($AM$2:$BM$1001,MATCH(ROWS($AF$2:AF115),$AF$2:$AF$1001,0),MATCH(COLUMNS($AM$1006:AX1006),$AM$1006:$BM$1006,0)), HYPERLINK("#",""), HYPERLINK(CONCATENATE("#metadata!", ADDRESS(INDEX($AH$2:$AH$1001,MATCH(ROWS($AF$2:AF115),$AF$2:$AF$1001,0),0), INDEX($AM$1004:$BM$1004,1,MATCH(COLUMNS($AM$1006:AX1006),$AM$1006:$BM$1006,0)))),"Fix")))</f>
        <v xml:space="preserve"> </v>
      </c>
      <c r="N115" s="4" t="str">
        <f ca="1">IF(OR(INDEX($AG$2:$AG$1001,MATCH(ROWS($AF$2:AF115),$AF$2:$AF$1001,0),1)&gt;=100000,INDEX($AM$1005:$BM$1005,1,MATCH(COLUMNS($AM$1006:AY1006),$AM$1006:$BM$1006,0))&gt;=100000), " ",IF(INDEX($AM$2:$BM$1001,MATCH(ROWS($AF$2:AF115),$AF$2:$AF$1001,0),MATCH(COLUMNS($AM$1006:AY1006),$AM$1006:$BM$1006,0)), HYPERLINK("#",""), HYPERLINK(CONCATENATE("#metadata!", ADDRESS(INDEX($AH$2:$AH$1001,MATCH(ROWS($AF$2:AF115),$AF$2:$AF$1001,0),0), INDEX($AM$1004:$BM$1004,1,MATCH(COLUMNS($AM$1006:AY1006),$AM$1006:$BM$1006,0)))),"Fix")))</f>
        <v xml:space="preserve"> </v>
      </c>
      <c r="O115" s="4" t="str">
        <f ca="1">IF(OR(INDEX($AG$2:$AG$1001,MATCH(ROWS($AF$2:AF115),$AF$2:$AF$1001,0),1)&gt;=100000,INDEX($AM$1005:$BM$1005,1,MATCH(COLUMNS($AM$1006:AZ1006),$AM$1006:$BM$1006,0))&gt;=100000), " ",IF(INDEX($AM$2:$BM$1001,MATCH(ROWS($AF$2:AF115),$AF$2:$AF$1001,0),MATCH(COLUMNS($AM$1006:AZ1006),$AM$1006:$BM$1006,0)), HYPERLINK("#",""), HYPERLINK(CONCATENATE("#metadata!", ADDRESS(INDEX($AH$2:$AH$1001,MATCH(ROWS($AF$2:AF115),$AF$2:$AF$1001,0),0), INDEX($AM$1004:$BM$1004,1,MATCH(COLUMNS($AM$1006:AZ1006),$AM$1006:$BM$1006,0)))),"Fix")))</f>
        <v xml:space="preserve"> </v>
      </c>
      <c r="P115" s="4" t="str">
        <f ca="1">IF(OR(INDEX($AG$2:$AG$1001,MATCH(ROWS($AF$2:AF115),$AF$2:$AF$1001,0),1)&gt;=100000,INDEX($AM$1005:$BM$1005,1,MATCH(COLUMNS($AM$1006:BA1006),$AM$1006:$BM$1006,0))&gt;=100000), " ",IF(INDEX($AM$2:$BM$1001,MATCH(ROWS($AF$2:AF115),$AF$2:$AF$1001,0),MATCH(COLUMNS($AM$1006:BA1006),$AM$1006:$BM$1006,0)), HYPERLINK("#",""), HYPERLINK(CONCATENATE("#metadata!", ADDRESS(INDEX($AH$2:$AH$1001,MATCH(ROWS($AF$2:AF115),$AF$2:$AF$1001,0),0), INDEX($AM$1004:$BM$1004,1,MATCH(COLUMNS($AM$1006:BA1006),$AM$1006:$BM$1006,0)))),"Fix")))</f>
        <v xml:space="preserve"> </v>
      </c>
      <c r="Q115" s="4" t="str">
        <f ca="1">IF(OR(INDEX($AG$2:$AG$1001,MATCH(ROWS($AF$2:AF115),$AF$2:$AF$1001,0),1)&gt;=100000,INDEX($AM$1005:$BM$1005,1,MATCH(COLUMNS($AM$1006:BB1006),$AM$1006:$BM$1006,0))&gt;=100000), " ",IF(INDEX($AM$2:$BM$1001,MATCH(ROWS($AF$2:AF115),$AF$2:$AF$1001,0),MATCH(COLUMNS($AM$1006:BB1006),$AM$1006:$BM$1006,0)), HYPERLINK("#",""), HYPERLINK(CONCATENATE("#metadata!", ADDRESS(INDEX($AH$2:$AH$1001,MATCH(ROWS($AF$2:AF115),$AF$2:$AF$1001,0),0), INDEX($AM$1004:$BM$1004,1,MATCH(COLUMNS($AM$1006:BB1006),$AM$1006:$BM$1006,0)))),"Fix")))</f>
        <v xml:space="preserve"> </v>
      </c>
      <c r="R115" s="4" t="str">
        <f ca="1">IF(OR(INDEX($AG$2:$AG$1001,MATCH(ROWS($AF$2:AF115),$AF$2:$AF$1001,0),1)&gt;=100000,INDEX($AM$1005:$BM$1005,1,MATCH(COLUMNS($AM$1006:BC1006),$AM$1006:$BM$1006,0))&gt;=100000), " ",IF(INDEX($AM$2:$BM$1001,MATCH(ROWS($AF$2:AF115),$AF$2:$AF$1001,0),MATCH(COLUMNS($AM$1006:BC1006),$AM$1006:$BM$1006,0)), HYPERLINK("#",""), HYPERLINK(CONCATENATE("#metadata!", ADDRESS(INDEX($AH$2:$AH$1001,MATCH(ROWS($AF$2:AF115),$AF$2:$AF$1001,0),0), INDEX($AM$1004:$BM$1004,1,MATCH(COLUMNS($AM$1006:BC1006),$AM$1006:$BM$1006,0)))),"Fix")))</f>
        <v xml:space="preserve"> </v>
      </c>
      <c r="S115" s="4" t="str">
        <f ca="1">IF(OR(INDEX($AG$2:$AG$1001,MATCH(ROWS($AF$2:AF115),$AF$2:$AF$1001,0),1)&gt;=100000,INDEX($AM$1005:$BM$1005,1,MATCH(COLUMNS($AM$1006:BD1006),$AM$1006:$BM$1006,0))&gt;=100000), " ",IF(INDEX($AM$2:$BM$1001,MATCH(ROWS($AF$2:AF115),$AF$2:$AF$1001,0),MATCH(COLUMNS($AM$1006:BD1006),$AM$1006:$BM$1006,0)), HYPERLINK("#",""), HYPERLINK(CONCATENATE("#metadata!", ADDRESS(INDEX($AH$2:$AH$1001,MATCH(ROWS($AF$2:AF115),$AF$2:$AF$1001,0),0), INDEX($AM$1004:$BM$1004,1,MATCH(COLUMNS($AM$1006:BD1006),$AM$1006:$BM$1006,0)))),"Fix")))</f>
        <v xml:space="preserve"> </v>
      </c>
      <c r="T115" s="4" t="str">
        <f ca="1">IF(OR(INDEX($AG$2:$AG$1001,MATCH(ROWS($AF$2:AF115),$AF$2:$AF$1001,0),1)&gt;=100000,INDEX($AM$1005:$BM$1005,1,MATCH(COLUMNS($AM$1006:BE1006),$AM$1006:$BM$1006,0))&gt;=100000), " ",IF(INDEX($AM$2:$BM$1001,MATCH(ROWS($AF$2:AF115),$AF$2:$AF$1001,0),MATCH(COLUMNS($AM$1006:BE1006),$AM$1006:$BM$1006,0)), HYPERLINK("#",""), HYPERLINK(CONCATENATE("#metadata!", ADDRESS(INDEX($AH$2:$AH$1001,MATCH(ROWS($AF$2:AF115),$AF$2:$AF$1001,0),0), INDEX($AM$1004:$BM$1004,1,MATCH(COLUMNS($AM$1006:BE1006),$AM$1006:$BM$1006,0)))),"Fix")))</f>
        <v xml:space="preserve"> </v>
      </c>
      <c r="U115" s="4" t="str">
        <f ca="1">IF(OR(INDEX($AG$2:$AG$1001,MATCH(ROWS($AF$2:AF115),$AF$2:$AF$1001,0),1)&gt;=100000,INDEX($AM$1005:$BM$1005,1,MATCH(COLUMNS($AM$1006:BF1006),$AM$1006:$BM$1006,0))&gt;=100000), " ",IF(INDEX($AM$2:$BM$1001,MATCH(ROWS($AF$2:AF115),$AF$2:$AF$1001,0),MATCH(COLUMNS($AM$1006:BF1006),$AM$1006:$BM$1006,0)), HYPERLINK("#",""), HYPERLINK(CONCATENATE("#metadata!", ADDRESS(INDEX($AH$2:$AH$1001,MATCH(ROWS($AF$2:AF115),$AF$2:$AF$1001,0),0), INDEX($AM$1004:$BM$1004,1,MATCH(COLUMNS($AM$1006:BF1006),$AM$1006:$BM$1006,0)))),"Fix")))</f>
        <v xml:space="preserve"> </v>
      </c>
      <c r="V115" s="4" t="str">
        <f ca="1">IF(OR(INDEX($AG$2:$AG$1001,MATCH(ROWS($AF$2:AF115),$AF$2:$AF$1001,0),1)&gt;=100000,INDEX($AM$1005:$BM$1005,1,MATCH(COLUMNS($AM$1006:BG1006),$AM$1006:$BM$1006,0))&gt;=100000), " ",IF(INDEX($AM$2:$BM$1001,MATCH(ROWS($AF$2:AF115),$AF$2:$AF$1001,0),MATCH(COLUMNS($AM$1006:BG1006),$AM$1006:$BM$1006,0)), HYPERLINK("#",""), HYPERLINK(CONCATENATE("#metadata!", ADDRESS(INDEX($AH$2:$AH$1001,MATCH(ROWS($AF$2:AF115),$AF$2:$AF$1001,0),0), INDEX($AM$1004:$BM$1004,1,MATCH(COLUMNS($AM$1006:BG1006),$AM$1006:$BM$1006,0)))),"Fix")))</f>
        <v xml:space="preserve"> </v>
      </c>
      <c r="W115" s="4" t="str">
        <f ca="1">IF(OR(INDEX($AG$2:$AG$1001,MATCH(ROWS($AF$2:AF115),$AF$2:$AF$1001,0),1)&gt;=100000,INDEX($AM$1005:$BM$1005,1,MATCH(COLUMNS($AM$1006:BH1006),$AM$1006:$BM$1006,0))&gt;=100000), " ",IF(INDEX($AM$2:$BM$1001,MATCH(ROWS($AF$2:AF115),$AF$2:$AF$1001,0),MATCH(COLUMNS($AM$1006:BH1006),$AM$1006:$BM$1006,0)), HYPERLINK("#",""), HYPERLINK(CONCATENATE("#metadata!", ADDRESS(INDEX($AH$2:$AH$1001,MATCH(ROWS($AF$2:AF115),$AF$2:$AF$1001,0),0), INDEX($AM$1004:$BM$1004,1,MATCH(COLUMNS($AM$1006:BH1006),$AM$1006:$BM$1006,0)))),"Fix")))</f>
        <v xml:space="preserve"> </v>
      </c>
      <c r="X115" s="4" t="str">
        <f ca="1">IF(OR(INDEX($AG$2:$AG$1001,MATCH(ROWS($AF$2:AF115),$AF$2:$AF$1001,0),1)&gt;=100000,INDEX($AM$1005:$BM$1005,1,MATCH(COLUMNS($AM$1006:BI1006),$AM$1006:$BM$1006,0))&gt;=100000), " ",IF(INDEX($AM$2:$BM$1001,MATCH(ROWS($AF$2:AF115),$AF$2:$AF$1001,0),MATCH(COLUMNS($AM$1006:BI1006),$AM$1006:$BM$1006,0)), HYPERLINK("#",""), HYPERLINK(CONCATENATE("#metadata!", ADDRESS(INDEX($AH$2:$AH$1001,MATCH(ROWS($AF$2:AF115),$AF$2:$AF$1001,0),0), INDEX($AM$1004:$BM$1004,1,MATCH(COLUMNS($AM$1006:BI1006),$AM$1006:$BM$1006,0)))),"Fix")))</f>
        <v xml:space="preserve"> </v>
      </c>
      <c r="Y115" s="4" t="str">
        <f ca="1">IF(OR(INDEX($AG$2:$AG$1001,MATCH(ROWS($AF$2:AF115),$AF$2:$AF$1001,0),1)&gt;=100000,INDEX($AM$1005:$BM$1005,1,MATCH(COLUMNS($AM$1006:BJ1006),$AM$1006:$BM$1006,0))&gt;=100000), " ",IF(INDEX($AM$2:$BM$1001,MATCH(ROWS($AF$2:AF115),$AF$2:$AF$1001,0),MATCH(COLUMNS($AM$1006:BJ1006),$AM$1006:$BM$1006,0)), HYPERLINK("#",""), HYPERLINK(CONCATENATE("#metadata!", ADDRESS(INDEX($AH$2:$AH$1001,MATCH(ROWS($AF$2:AF115),$AF$2:$AF$1001,0),0), INDEX($AM$1004:$BM$1004,1,MATCH(COLUMNS($AM$1006:BJ1006),$AM$1006:$BM$1006,0)))),"Fix")))</f>
        <v xml:space="preserve"> </v>
      </c>
      <c r="Z115" s="4" t="str">
        <f ca="1">IF(OR(INDEX($AG$2:$AG$1001,MATCH(ROWS($AF$2:AF115),$AF$2:$AF$1001,0),1)&gt;=100000,INDEX($AM$1005:$BM$1005,1,MATCH(COLUMNS($AM$1006:BK1006),$AM$1006:$BM$1006,0))&gt;=100000), " ",IF(INDEX($AM$2:$BM$1001,MATCH(ROWS($AF$2:AF115),$AF$2:$AF$1001,0),MATCH(COLUMNS($AM$1006:BK1006),$AM$1006:$BM$1006,0)), HYPERLINK("#",""), HYPERLINK(CONCATENATE("#metadata!", ADDRESS(INDEX($AH$2:$AH$1001,MATCH(ROWS($AF$2:AF115),$AF$2:$AF$1001,0),0), INDEX($AM$1004:$BM$1004,1,MATCH(COLUMNS($AM$1006:BK1006),$AM$1006:$BM$1006,0)))),"Fix")))</f>
        <v xml:space="preserve"> </v>
      </c>
      <c r="AA115" s="4" t="str">
        <f ca="1">IF(OR(INDEX($AG$2:$AG$1001,MATCH(ROWS($AF$2:AF115),$AF$2:$AF$1001,0),1)&gt;=100000,INDEX($AM$1005:$BM$1005,1,MATCH(COLUMNS($AM$1006:BL1006),$AM$1006:$BM$1006,0))&gt;=100000), " ",IF(INDEX($AM$2:$BM$1001,MATCH(ROWS($AF$2:AF115),$AF$2:$AF$1001,0),MATCH(COLUMNS($AM$1006:BL1006),$AM$1006:$BM$1006,0)), HYPERLINK("#",""), HYPERLINK(CONCATENATE("#metadata!", ADDRESS(INDEX($AH$2:$AH$1001,MATCH(ROWS($AF$2:AF115),$AF$2:$AF$1001,0),0), INDEX($AM$1004:$BM$1004,1,MATCH(COLUMNS($AM$1006:BL1006),$AM$1006:$BM$1006,0)))),"Fix")))</f>
        <v xml:space="preserve"> </v>
      </c>
      <c r="AB115" s="4" t="str">
        <f ca="1">IF(OR(INDEX($AG$2:$AG$1001,MATCH(ROWS($AF$2:AF115),$AF$2:$AF$1001,0),1)&gt;=100000,INDEX($AM$1005:$BM$1005,1,MATCH(COLUMNS($AM$1006:BM1006),$AM$1006:$BM$1006,0))&gt;=100000), " ",IF(INDEX($AM$2:$BM$1001,MATCH(ROWS($AF$2:AF115),$AF$2:$AF$1001,0),MATCH(COLUMNS($AM$1006:BM1006),$AM$1006:$BM$1006,0)), HYPERLINK("#",""), HYPERLINK(CONCATENATE("#metadata!", ADDRESS(INDEX($AH$2:$AH$1001,MATCH(ROWS($AF$2:AF115),$AF$2:$AF$1001,0),0), INDEX($AM$1004:$BM$1004,1,MATCH(COLUMNS($AM$1006:BM1006),$AM$1006:$BM$1006,0)))),"Fix")))</f>
        <v xml:space="preserve"> </v>
      </c>
      <c r="AF115">
        <v>114</v>
      </c>
      <c r="AG115">
        <v>100115</v>
      </c>
      <c r="AH115">
        <v>115</v>
      </c>
      <c r="AI115" t="b">
        <f t="shared" si="1"/>
        <v>1</v>
      </c>
      <c r="AJ115" t="b">
        <f>COUNTBLANK(metadata!B115:AB115)=COLUMNS(metadata!B115:AB115)</f>
        <v>1</v>
      </c>
      <c r="AK115" t="str">
        <v/>
      </c>
      <c r="AM115" t="b">
        <f ca="1">AND(IF(metadata!B115="",FALSE,TRUE),COUNTIF(metadata!B:B, metadata!B115) = 1,NOT(ISERROR(SUMPRODUCT(SEARCH(MID(metadata!B115,ROW(INDIRECT("1:"&amp;LEN(metadata!B115))), 1),"0123456789abcdefghijklmnopqrstuvwxyzABCDEFGHIJKLMNOPQRSTUVWXYZ.")))))</f>
        <v>0</v>
      </c>
      <c r="AN115" t="b">
        <f ca="1">OR(AND(IF(metadata!C115="",FALSE,TRUE),OR(EXACT(metadata!C115,"missing: not collected"),EXACT(metadata!C115,"missing: not provided"),EXACT(metadata!C115,"missing: restricted access"))),AND(IF(metadata!C115="",FALSE,TRUE),AND(AND(IFERROR(INT(LEFT(metadata!C115,4))&gt;1900,FALSE),IFERROR(INT(LEFT(metadata!C115,4))&lt;=YEAR(NOW()),FALSE)), OR(MID(metadata!C115,5,1)="", AND(AND(MID(metadata!C115,5,1)="-",IFERROR(INT(MID(metadata!C115,6,1))&gt;=0,FALSE),IFERROR(INT(MID(metadata!C115,6,1))&lt;=1,FALSE),NOT(MID(metadata!C115,7,1)=""),IFERROR(INT(MID(metadata!C115,6,2))&gt;=1,FALSE),IFERROR(INT(MID(metadata!C115,6,2))&lt;=12,FALSE)), OR(MID(metadata!C115,8,1)="", AND(AND(MID(metadata!C115,8,1)="-",IFERROR(INT(MID(metadata!C115,9,1))&gt;=0,FALSE),IFERROR(INT(MID(metadata!C115,9,1))&lt;=3,FALSE),NOT(MID(metadata!C115,10,1)=""),IFERROR(INT(MID(metadata!C115,9,2))&gt;=1,FALSE),IFERROR(INT(MID(metadata!C115,9,2))&lt;=31,FALSE)), OR(MID(metadata!C115,11,1)="", AND(AND(MID(metadata!C115,11,1)=" ",IFERROR(INT(MID(metadata!C115,12,1))&gt;=0,FALSE),IFERROR(INT(MID(metadata!C115,12,1))&lt;=2,FALSE),NOT(MID(metadata!C115,13,1)=""),IFERROR(INT(MID(metadata!C115,12,2))&gt;=0,FALSE),IFERROR(INT(MID(metadata!C115,12,2))&lt;=23,FALSE)), OR(MID(metadata!C115,14,1)="", AND(AND(MID(metadata!C115,14,1)=":",IFERROR(INT(MID(metadata!C115,15,1))&gt;=0,FALSE),IFERROR(INT(MID(metadata!C115,15,1))&lt;=5,FALSE),NOT(MID(metadata!C115,16,1)=""),IFERROR(INT(MID(metadata!C115,15,2))&gt;=0,FALSE),IFERROR(INT(MID(metadata!C115,15,2))&lt;=59,FALSE)), OR(MID(metadata!C115,17,1)="", AND(AND(MID(metadata!C115,17,1)=":",IFERROR(INT(MID(metadata!C115,18,1))&gt;=0,FALSE),IFERROR(INT(MID(metadata!C115,18,1))&lt;=5,FALSE),NOT(MID(metadata!C115,19,1)=""),IFERROR(INT(MID(metadata!C115,18,2))&gt;=0,FALSE),IFERROR(INT(MID(metadata!C115,18,2))&lt;=59,FALSE)), LEN(metadata!C115)&lt;=19)))))))))))))</f>
        <v>0</v>
      </c>
      <c r="AO115" t="b">
        <f>AND(IF(metadata!D115="",FALSE,TRUE),EXACT(metadata!D115,"Not applicable"))</f>
        <v>0</v>
      </c>
      <c r="AP115" t="b">
        <f>IF(metadata!E115="",FALSE,TRUE)</f>
        <v>0</v>
      </c>
      <c r="AQ115" t="b">
        <f>OR(AND(IF(metadata!F115="",FALSE,TRUE),OR(EXACT(metadata!F115,"missing: not collected"),EXACT(metadata!F115,"missing: not provided"))),AND(IF(metadata!F115="",FALSE,TRUE),OR(EXACT(metadata!F115,"TRUE"),EXACT(metadata!F115,"FALSE"))))</f>
        <v>0</v>
      </c>
      <c r="AR115" t="b">
        <f>OR(AND(IF(metadata!G115="",FALSE,TRUE),OR(EXACT(metadata!G115,"missing: not collected"),EXACT(metadata!G115,"missing: not provided"),EXACT(metadata!G115,"missing: restricted access"))),AND(IF(metadata!G115="",FALSE,ISNUMBER(VALUE(metadata!G115))),metadata!G115&gt;=-413))</f>
        <v>0</v>
      </c>
      <c r="AS115" t="b">
        <f>AND(IF(metadata!H115="",FALSE,TRUE),EXACT(metadata!H115,"meters"))</f>
        <v>0</v>
      </c>
      <c r="AT115" t="b">
        <f>AND(IF(metadata!I115="",FALSE,TRUE),OR(EXACT(metadata!I115,"Host-associated"),EXACT(metadata!I115,"Free-living")))</f>
        <v>0</v>
      </c>
      <c r="AU115" t="b">
        <f>AND(IF(metadata!J115="",FALSE,TRUE),OR(EXACT(metadata!J115,"Animal"),EXACT(metadata!J115,"Fungus"),EXACT(metadata!J115,"Plant"),EXACT(metadata!J115,"Saline"),EXACT(metadata!J115,"Non-saline")))</f>
        <v>0</v>
      </c>
      <c r="AV115" t="b">
        <f>AND(IF(metadata!K115="",FALSE,TRUE),OR(EXACT(metadata!K115,"Plant secretion"),EXACT(metadata!K115,"Plant rhizosphere"),EXACT(metadata!K115,"Plant surface"),EXACT(metadata!K115,"Plant corpus"),EXACT(metadata!K115,"Fungus surface"),EXACT(metadata!K115,"Fungus corpus"),EXACT(metadata!K115,"Animal surface"),EXACT(metadata!K115,"Animal proximal gut"),EXACT(metadata!K115,"Animal corpus"),EXACT(metadata!K115,"Animal distal gut"),EXACT(metadata!K115,"Animal secretion"),EXACT(metadata!K115,"Sub-surface (non-saline)"),EXACT(metadata!K115,"Surface (non-saline)"),EXACT(metadata!K115,"Water (non-saline)"),EXACT(metadata!K115,"Soil (non-saline)"),EXACT(metadata!K115,"Aerosol (non-saline)"),EXACT(metadata!K115,"Sediment (non-saline)"),EXACT(metadata!K115,"Surface (saline)"),EXACT(metadata!K115,"Water (saline)"),EXACT(metadata!K115,"Hypersaline (saline)"),EXACT(metadata!K115,"Aerosol (saline)"),EXACT(metadata!K115,"Sediment (saline)")))</f>
        <v>0</v>
      </c>
      <c r="AW115" t="b">
        <f>IF(metadata!L115="",FALSE,TRUE)</f>
        <v>0</v>
      </c>
      <c r="AX115" t="b">
        <f>IF(metadata!M115="",FALSE,TRUE)</f>
        <v>0</v>
      </c>
      <c r="AY115" t="b">
        <f>IF(metadata!N115="",FALSE,TRUE)</f>
        <v>0</v>
      </c>
      <c r="AZ115" t="b">
        <f>OR(AND(IF(metadata!O115="",FALSE,TRUE),OR(EXACT(metadata!O115,"missing: not collected"),EXACT(metadata!O115,"missing: not provided"),EXACT(metadata!O115,"missing: restricted access"))),AND(IF(metadata!O115="",FALSE,TRUE),OR(EXACT(metadata!O115,"air"),EXACT(metadata!O115,"built environment"),EXACT(metadata!O115,"host-associated"),EXACT(metadata!O115,"human-associated"),EXACT(metadata!O115,"human-skin"),EXACT(metadata!O115,"human-oral"),EXACT(metadata!O115,"human-gut"),EXACT(metadata!O115,"human-vaginal"),EXACT(metadata!O115,"microbial mat/biofilm"),EXACT(metadata!O115,"misc environment"),EXACT(metadata!O115,"plant-associated"),EXACT(metadata!O115,"sediment"),EXACT(metadata!O115,"soil"),EXACT(metadata!O115,"wastewater/sludge"),EXACT(metadata!O115,"water"))))</f>
        <v>0</v>
      </c>
      <c r="BA115" t="b">
        <f>IF(metadata!P115="",FALSE,TRUE)</f>
        <v>0</v>
      </c>
      <c r="BB115" t="b">
        <f>IF(metadata!Q115="",FALSE,TRUE)</f>
        <v>0</v>
      </c>
      <c r="BC115" t="b">
        <f>OR(AND(IF(metadata!R115="",FALSE,TRUE),OR(EXACT(metadata!R115,"missing: not collected"),EXACT(metadata!R115,"missing: not provided"),EXACT(metadata!R115,"missing: restricted access"))),AND(IF(metadata!R115="",FALSE,ISNUMBER(VALUE(metadata!R115))),metadata!R115&gt;=-90,metadata!R115&lt;=90))</f>
        <v>0</v>
      </c>
      <c r="BD115" t="b">
        <f>AND(IF(metadata!S115="",FALSE,TRUE),EXACT(metadata!S115,"Decimal degrees"))</f>
        <v>0</v>
      </c>
      <c r="BE115" t="b">
        <f>OR(AND(IF(metadata!T115="",FALSE,TRUE),OR(EXACT(metadata!T115,"missing: not collected"),EXACT(metadata!T115,"missing: not provided"),EXACT(metadata!T115,"missing: restricted access"))),AND(IF(metadata!T115="",FALSE,ISNUMBER(VALUE(metadata!T115))),metadata!T115&gt;=-180,metadata!T115&lt;=180))</f>
        <v>0</v>
      </c>
      <c r="BF115" t="b">
        <f>AND(IF(metadata!U115="",FALSE,TRUE),EXACT(metadata!U115,"Decimal degrees"))</f>
        <v>0</v>
      </c>
      <c r="BG115" t="b">
        <f>IF(metadata!V115="",FALSE,TRUE)</f>
        <v>0</v>
      </c>
      <c r="BH115" t="b">
        <f>OR(AND(IF(metadata!W115="",FALSE,TRUE),OR(EXACT(metadata!W115,"missing: not collected"),EXACT(metadata!W115,"missing: not provided"),EXACT(metadata!W115,"missing: restricted access"))),AND(IF(metadata!W115="",FALSE,TRUE),OR(EXACT(metadata!W115,"TRUE"),EXACT(metadata!W115,"FALSE"))))</f>
        <v>0</v>
      </c>
      <c r="BI115" t="b">
        <f>AND(IF(metadata!X115="",FALSE,TRUE),EXACT(metadata!X115,"other"))</f>
        <v>0</v>
      </c>
      <c r="BJ115" t="b">
        <f>IF(metadata!Y115="",FALSE,TRUE)</f>
        <v>0</v>
      </c>
      <c r="BK115" t="b">
        <f>OR(AND(IF(metadata!Z115="",FALSE,TRUE),OR(EXACT(metadata!Z115,"missing: not collected"),EXACT(metadata!Z115,"missing: not provided"))),AND(IF(metadata!Z115="",FALSE,IF(ISERROR(INT(metadata!Z115)),FALSE,INT(metadata!Z115)=metadata!Z115)),metadata!Z115&gt;0))</f>
        <v>0</v>
      </c>
      <c r="BL115" t="b">
        <f>AND(IF(metadata!AA115="",FALSE,TRUE),EXACT(metadata!AA115,"Not applicable"))</f>
        <v>0</v>
      </c>
      <c r="BM115" t="b">
        <f>IF(metadata!AB115="",FALSE,TRUE)</f>
        <v>0</v>
      </c>
    </row>
    <row r="116" spans="1:65" x14ac:dyDescent="0.2">
      <c r="A116" s="5" t="str">
        <f ca="1">IF(B116=" "," ",HYPERLINK(CONCATENATE("#metadata!",ADDRESS(INDEX($AH$2:$AH$1001,MATCH(ROWS($AF$2:AF116),$AF$2:$AF$1001,0),0),1)),INDEX($AK$2:$AK$1001,MATCH(ROWS($AF$2:AF116),$AF$2:$AF$1001,0),0)))</f>
        <v xml:space="preserve"> </v>
      </c>
      <c r="B116" s="4" t="str">
        <f ca="1">IF(OR(INDEX($AG$2:$AG$1001,MATCH(ROWS($AF$2:AF116),$AF$2:$AF$1001,0),1)&gt;=100000,INDEX($AM$1005:$BM$1005,1,MATCH(COLUMNS($AM$1006:AM1006),$AM$1006:$BM$1006,0))&gt;=100000), " ",IF(INDEX($AM$2:$BM$1001,MATCH(ROWS($AF$2:AF116),$AF$2:$AF$1001,0),MATCH(COLUMNS($AM$1006:AM1006),$AM$1006:$BM$1006,0)), HYPERLINK("#",""), HYPERLINK(CONCATENATE("#metadata!", ADDRESS(INDEX($AH$2:$AH$1001,MATCH(ROWS($AF$2:AF116),$AF$2:$AF$1001,0),0), INDEX($AM$1004:$BM$1004,1,MATCH(COLUMNS($AM$1006:AM1006),$AM$1006:$BM$1006,0)))),"Fix")))</f>
        <v xml:space="preserve"> </v>
      </c>
      <c r="C116" s="4" t="str">
        <f ca="1">IF(OR(INDEX($AG$2:$AG$1001,MATCH(ROWS($AF$2:AF116),$AF$2:$AF$1001,0),1)&gt;=100000,INDEX($AM$1005:$BM$1005,1,MATCH(COLUMNS($AM$1006:AN1006),$AM$1006:$BM$1006,0))&gt;=100000), " ",IF(INDEX($AM$2:$BM$1001,MATCH(ROWS($AF$2:AF116),$AF$2:$AF$1001,0),MATCH(COLUMNS($AM$1006:AN1006),$AM$1006:$BM$1006,0)), HYPERLINK("#",""), HYPERLINK(CONCATENATE("#metadata!", ADDRESS(INDEX($AH$2:$AH$1001,MATCH(ROWS($AF$2:AF116),$AF$2:$AF$1001,0),0), INDEX($AM$1004:$BM$1004,1,MATCH(COLUMNS($AM$1006:AN1006),$AM$1006:$BM$1006,0)))),"Fix")))</f>
        <v xml:space="preserve"> </v>
      </c>
      <c r="D116" s="4" t="str">
        <f ca="1">IF(OR(INDEX($AG$2:$AG$1001,MATCH(ROWS($AF$2:AF116),$AF$2:$AF$1001,0),1)&gt;=100000,INDEX($AM$1005:$BM$1005,1,MATCH(COLUMNS($AM$1006:AO1006),$AM$1006:$BM$1006,0))&gt;=100000), " ",IF(INDEX($AM$2:$BM$1001,MATCH(ROWS($AF$2:AF116),$AF$2:$AF$1001,0),MATCH(COLUMNS($AM$1006:AO1006),$AM$1006:$BM$1006,0)), HYPERLINK("#",""), HYPERLINK(CONCATENATE("#metadata!", ADDRESS(INDEX($AH$2:$AH$1001,MATCH(ROWS($AF$2:AF116),$AF$2:$AF$1001,0),0), INDEX($AM$1004:$BM$1004,1,MATCH(COLUMNS($AM$1006:AO1006),$AM$1006:$BM$1006,0)))),"Fix")))</f>
        <v xml:space="preserve"> </v>
      </c>
      <c r="E116" s="4" t="str">
        <f ca="1">IF(OR(INDEX($AG$2:$AG$1001,MATCH(ROWS($AF$2:AF116),$AF$2:$AF$1001,0),1)&gt;=100000,INDEX($AM$1005:$BM$1005,1,MATCH(COLUMNS($AM$1006:AP1006),$AM$1006:$BM$1006,0))&gt;=100000), " ",IF(INDEX($AM$2:$BM$1001,MATCH(ROWS($AF$2:AF116),$AF$2:$AF$1001,0),MATCH(COLUMNS($AM$1006:AP1006),$AM$1006:$BM$1006,0)), HYPERLINK("#",""), HYPERLINK(CONCATENATE("#metadata!", ADDRESS(INDEX($AH$2:$AH$1001,MATCH(ROWS($AF$2:AF116),$AF$2:$AF$1001,0),0), INDEX($AM$1004:$BM$1004,1,MATCH(COLUMNS($AM$1006:AP1006),$AM$1006:$BM$1006,0)))),"Fix")))</f>
        <v xml:space="preserve"> </v>
      </c>
      <c r="F116" s="4" t="str">
        <f ca="1">IF(OR(INDEX($AG$2:$AG$1001,MATCH(ROWS($AF$2:AF116),$AF$2:$AF$1001,0),1)&gt;=100000,INDEX($AM$1005:$BM$1005,1,MATCH(COLUMNS($AM$1006:AQ1006),$AM$1006:$BM$1006,0))&gt;=100000), " ",IF(INDEX($AM$2:$BM$1001,MATCH(ROWS($AF$2:AF116),$AF$2:$AF$1001,0),MATCH(COLUMNS($AM$1006:AQ1006),$AM$1006:$BM$1006,0)), HYPERLINK("#",""), HYPERLINK(CONCATENATE("#metadata!", ADDRESS(INDEX($AH$2:$AH$1001,MATCH(ROWS($AF$2:AF116),$AF$2:$AF$1001,0),0), INDEX($AM$1004:$BM$1004,1,MATCH(COLUMNS($AM$1006:AQ1006),$AM$1006:$BM$1006,0)))),"Fix")))</f>
        <v xml:space="preserve"> </v>
      </c>
      <c r="G116" s="4" t="str">
        <f ca="1">IF(OR(INDEX($AG$2:$AG$1001,MATCH(ROWS($AF$2:AF116),$AF$2:$AF$1001,0),1)&gt;=100000,INDEX($AM$1005:$BM$1005,1,MATCH(COLUMNS($AM$1006:AR1006),$AM$1006:$BM$1006,0))&gt;=100000), " ",IF(INDEX($AM$2:$BM$1001,MATCH(ROWS($AF$2:AF116),$AF$2:$AF$1001,0),MATCH(COLUMNS($AM$1006:AR1006),$AM$1006:$BM$1006,0)), HYPERLINK("#",""), HYPERLINK(CONCATENATE("#metadata!", ADDRESS(INDEX($AH$2:$AH$1001,MATCH(ROWS($AF$2:AF116),$AF$2:$AF$1001,0),0), INDEX($AM$1004:$BM$1004,1,MATCH(COLUMNS($AM$1006:AR1006),$AM$1006:$BM$1006,0)))),"Fix")))</f>
        <v xml:space="preserve"> </v>
      </c>
      <c r="H116" s="4" t="str">
        <f ca="1">IF(OR(INDEX($AG$2:$AG$1001,MATCH(ROWS($AF$2:AF116),$AF$2:$AF$1001,0),1)&gt;=100000,INDEX($AM$1005:$BM$1005,1,MATCH(COLUMNS($AM$1006:AS1006),$AM$1006:$BM$1006,0))&gt;=100000), " ",IF(INDEX($AM$2:$BM$1001,MATCH(ROWS($AF$2:AF116),$AF$2:$AF$1001,0),MATCH(COLUMNS($AM$1006:AS1006),$AM$1006:$BM$1006,0)), HYPERLINK("#",""), HYPERLINK(CONCATENATE("#metadata!", ADDRESS(INDEX($AH$2:$AH$1001,MATCH(ROWS($AF$2:AF116),$AF$2:$AF$1001,0),0), INDEX($AM$1004:$BM$1004,1,MATCH(COLUMNS($AM$1006:AS1006),$AM$1006:$BM$1006,0)))),"Fix")))</f>
        <v xml:space="preserve"> </v>
      </c>
      <c r="I116" s="4" t="str">
        <f ca="1">IF(OR(INDEX($AG$2:$AG$1001,MATCH(ROWS($AF$2:AF116),$AF$2:$AF$1001,0),1)&gt;=100000,INDEX($AM$1005:$BM$1005,1,MATCH(COLUMNS($AM$1006:AT1006),$AM$1006:$BM$1006,0))&gt;=100000), " ",IF(INDEX($AM$2:$BM$1001,MATCH(ROWS($AF$2:AF116),$AF$2:$AF$1001,0),MATCH(COLUMNS($AM$1006:AT1006),$AM$1006:$BM$1006,0)), HYPERLINK("#",""), HYPERLINK(CONCATENATE("#metadata!", ADDRESS(INDEX($AH$2:$AH$1001,MATCH(ROWS($AF$2:AF116),$AF$2:$AF$1001,0),0), INDEX($AM$1004:$BM$1004,1,MATCH(COLUMNS($AM$1006:AT1006),$AM$1006:$BM$1006,0)))),"Fix")))</f>
        <v xml:space="preserve"> </v>
      </c>
      <c r="J116" s="4" t="str">
        <f ca="1">IF(OR(INDEX($AG$2:$AG$1001,MATCH(ROWS($AF$2:AF116),$AF$2:$AF$1001,0),1)&gt;=100000,INDEX($AM$1005:$BM$1005,1,MATCH(COLUMNS($AM$1006:AU1006),$AM$1006:$BM$1006,0))&gt;=100000), " ",IF(INDEX($AM$2:$BM$1001,MATCH(ROWS($AF$2:AF116),$AF$2:$AF$1001,0),MATCH(COLUMNS($AM$1006:AU1006),$AM$1006:$BM$1006,0)), HYPERLINK("#",""), HYPERLINK(CONCATENATE("#metadata!", ADDRESS(INDEX($AH$2:$AH$1001,MATCH(ROWS($AF$2:AF116),$AF$2:$AF$1001,0),0), INDEX($AM$1004:$BM$1004,1,MATCH(COLUMNS($AM$1006:AU1006),$AM$1006:$BM$1006,0)))),"Fix")))</f>
        <v xml:space="preserve"> </v>
      </c>
      <c r="K116" s="4" t="str">
        <f ca="1">IF(OR(INDEX($AG$2:$AG$1001,MATCH(ROWS($AF$2:AF116),$AF$2:$AF$1001,0),1)&gt;=100000,INDEX($AM$1005:$BM$1005,1,MATCH(COLUMNS($AM$1006:AV1006),$AM$1006:$BM$1006,0))&gt;=100000), " ",IF(INDEX($AM$2:$BM$1001,MATCH(ROWS($AF$2:AF116),$AF$2:$AF$1001,0),MATCH(COLUMNS($AM$1006:AV1006),$AM$1006:$BM$1006,0)), HYPERLINK("#",""), HYPERLINK(CONCATENATE("#metadata!", ADDRESS(INDEX($AH$2:$AH$1001,MATCH(ROWS($AF$2:AF116),$AF$2:$AF$1001,0),0), INDEX($AM$1004:$BM$1004,1,MATCH(COLUMNS($AM$1006:AV1006),$AM$1006:$BM$1006,0)))),"Fix")))</f>
        <v xml:space="preserve"> </v>
      </c>
      <c r="L116" s="4" t="str">
        <f ca="1">IF(OR(INDEX($AG$2:$AG$1001,MATCH(ROWS($AF$2:AF116),$AF$2:$AF$1001,0),1)&gt;=100000,INDEX($AM$1005:$BM$1005,1,MATCH(COLUMNS($AM$1006:AW1006),$AM$1006:$BM$1006,0))&gt;=100000), " ",IF(INDEX($AM$2:$BM$1001,MATCH(ROWS($AF$2:AF116),$AF$2:$AF$1001,0),MATCH(COLUMNS($AM$1006:AW1006),$AM$1006:$BM$1006,0)), HYPERLINK("#",""), HYPERLINK(CONCATENATE("#metadata!", ADDRESS(INDEX($AH$2:$AH$1001,MATCH(ROWS($AF$2:AF116),$AF$2:$AF$1001,0),0), INDEX($AM$1004:$BM$1004,1,MATCH(COLUMNS($AM$1006:AW1006),$AM$1006:$BM$1006,0)))),"Fix")))</f>
        <v xml:space="preserve"> </v>
      </c>
      <c r="M116" s="4" t="str">
        <f ca="1">IF(OR(INDEX($AG$2:$AG$1001,MATCH(ROWS($AF$2:AF116),$AF$2:$AF$1001,0),1)&gt;=100000,INDEX($AM$1005:$BM$1005,1,MATCH(COLUMNS($AM$1006:AX1006),$AM$1006:$BM$1006,0))&gt;=100000), " ",IF(INDEX($AM$2:$BM$1001,MATCH(ROWS($AF$2:AF116),$AF$2:$AF$1001,0),MATCH(COLUMNS($AM$1006:AX1006),$AM$1006:$BM$1006,0)), HYPERLINK("#",""), HYPERLINK(CONCATENATE("#metadata!", ADDRESS(INDEX($AH$2:$AH$1001,MATCH(ROWS($AF$2:AF116),$AF$2:$AF$1001,0),0), INDEX($AM$1004:$BM$1004,1,MATCH(COLUMNS($AM$1006:AX1006),$AM$1006:$BM$1006,0)))),"Fix")))</f>
        <v xml:space="preserve"> </v>
      </c>
      <c r="N116" s="4" t="str">
        <f ca="1">IF(OR(INDEX($AG$2:$AG$1001,MATCH(ROWS($AF$2:AF116),$AF$2:$AF$1001,0),1)&gt;=100000,INDEX($AM$1005:$BM$1005,1,MATCH(COLUMNS($AM$1006:AY1006),$AM$1006:$BM$1006,0))&gt;=100000), " ",IF(INDEX($AM$2:$BM$1001,MATCH(ROWS($AF$2:AF116),$AF$2:$AF$1001,0),MATCH(COLUMNS($AM$1006:AY1006),$AM$1006:$BM$1006,0)), HYPERLINK("#",""), HYPERLINK(CONCATENATE("#metadata!", ADDRESS(INDEX($AH$2:$AH$1001,MATCH(ROWS($AF$2:AF116),$AF$2:$AF$1001,0),0), INDEX($AM$1004:$BM$1004,1,MATCH(COLUMNS($AM$1006:AY1006),$AM$1006:$BM$1006,0)))),"Fix")))</f>
        <v xml:space="preserve"> </v>
      </c>
      <c r="O116" s="4" t="str">
        <f ca="1">IF(OR(INDEX($AG$2:$AG$1001,MATCH(ROWS($AF$2:AF116),$AF$2:$AF$1001,0),1)&gt;=100000,INDEX($AM$1005:$BM$1005,1,MATCH(COLUMNS($AM$1006:AZ1006),$AM$1006:$BM$1006,0))&gt;=100000), " ",IF(INDEX($AM$2:$BM$1001,MATCH(ROWS($AF$2:AF116),$AF$2:$AF$1001,0),MATCH(COLUMNS($AM$1006:AZ1006),$AM$1006:$BM$1006,0)), HYPERLINK("#",""), HYPERLINK(CONCATENATE("#metadata!", ADDRESS(INDEX($AH$2:$AH$1001,MATCH(ROWS($AF$2:AF116),$AF$2:$AF$1001,0),0), INDEX($AM$1004:$BM$1004,1,MATCH(COLUMNS($AM$1006:AZ1006),$AM$1006:$BM$1006,0)))),"Fix")))</f>
        <v xml:space="preserve"> </v>
      </c>
      <c r="P116" s="4" t="str">
        <f ca="1">IF(OR(INDEX($AG$2:$AG$1001,MATCH(ROWS($AF$2:AF116),$AF$2:$AF$1001,0),1)&gt;=100000,INDEX($AM$1005:$BM$1005,1,MATCH(COLUMNS($AM$1006:BA1006),$AM$1006:$BM$1006,0))&gt;=100000), " ",IF(INDEX($AM$2:$BM$1001,MATCH(ROWS($AF$2:AF116),$AF$2:$AF$1001,0),MATCH(COLUMNS($AM$1006:BA1006),$AM$1006:$BM$1006,0)), HYPERLINK("#",""), HYPERLINK(CONCATENATE("#metadata!", ADDRESS(INDEX($AH$2:$AH$1001,MATCH(ROWS($AF$2:AF116),$AF$2:$AF$1001,0),0), INDEX($AM$1004:$BM$1004,1,MATCH(COLUMNS($AM$1006:BA1006),$AM$1006:$BM$1006,0)))),"Fix")))</f>
        <v xml:space="preserve"> </v>
      </c>
      <c r="Q116" s="4" t="str">
        <f ca="1">IF(OR(INDEX($AG$2:$AG$1001,MATCH(ROWS($AF$2:AF116),$AF$2:$AF$1001,0),1)&gt;=100000,INDEX($AM$1005:$BM$1005,1,MATCH(COLUMNS($AM$1006:BB1006),$AM$1006:$BM$1006,0))&gt;=100000), " ",IF(INDEX($AM$2:$BM$1001,MATCH(ROWS($AF$2:AF116),$AF$2:$AF$1001,0),MATCH(COLUMNS($AM$1006:BB1006),$AM$1006:$BM$1006,0)), HYPERLINK("#",""), HYPERLINK(CONCATENATE("#metadata!", ADDRESS(INDEX($AH$2:$AH$1001,MATCH(ROWS($AF$2:AF116),$AF$2:$AF$1001,0),0), INDEX($AM$1004:$BM$1004,1,MATCH(COLUMNS($AM$1006:BB1006),$AM$1006:$BM$1006,0)))),"Fix")))</f>
        <v xml:space="preserve"> </v>
      </c>
      <c r="R116" s="4" t="str">
        <f ca="1">IF(OR(INDEX($AG$2:$AG$1001,MATCH(ROWS($AF$2:AF116),$AF$2:$AF$1001,0),1)&gt;=100000,INDEX($AM$1005:$BM$1005,1,MATCH(COLUMNS($AM$1006:BC1006),$AM$1006:$BM$1006,0))&gt;=100000), " ",IF(INDEX($AM$2:$BM$1001,MATCH(ROWS($AF$2:AF116),$AF$2:$AF$1001,0),MATCH(COLUMNS($AM$1006:BC1006),$AM$1006:$BM$1006,0)), HYPERLINK("#",""), HYPERLINK(CONCATENATE("#metadata!", ADDRESS(INDEX($AH$2:$AH$1001,MATCH(ROWS($AF$2:AF116),$AF$2:$AF$1001,0),0), INDEX($AM$1004:$BM$1004,1,MATCH(COLUMNS($AM$1006:BC1006),$AM$1006:$BM$1006,0)))),"Fix")))</f>
        <v xml:space="preserve"> </v>
      </c>
      <c r="S116" s="4" t="str">
        <f ca="1">IF(OR(INDEX($AG$2:$AG$1001,MATCH(ROWS($AF$2:AF116),$AF$2:$AF$1001,0),1)&gt;=100000,INDEX($AM$1005:$BM$1005,1,MATCH(COLUMNS($AM$1006:BD1006),$AM$1006:$BM$1006,0))&gt;=100000), " ",IF(INDEX($AM$2:$BM$1001,MATCH(ROWS($AF$2:AF116),$AF$2:$AF$1001,0),MATCH(COLUMNS($AM$1006:BD1006),$AM$1006:$BM$1006,0)), HYPERLINK("#",""), HYPERLINK(CONCATENATE("#metadata!", ADDRESS(INDEX($AH$2:$AH$1001,MATCH(ROWS($AF$2:AF116),$AF$2:$AF$1001,0),0), INDEX($AM$1004:$BM$1004,1,MATCH(COLUMNS($AM$1006:BD1006),$AM$1006:$BM$1006,0)))),"Fix")))</f>
        <v xml:space="preserve"> </v>
      </c>
      <c r="T116" s="4" t="str">
        <f ca="1">IF(OR(INDEX($AG$2:$AG$1001,MATCH(ROWS($AF$2:AF116),$AF$2:$AF$1001,0),1)&gt;=100000,INDEX($AM$1005:$BM$1005,1,MATCH(COLUMNS($AM$1006:BE1006),$AM$1006:$BM$1006,0))&gt;=100000), " ",IF(INDEX($AM$2:$BM$1001,MATCH(ROWS($AF$2:AF116),$AF$2:$AF$1001,0),MATCH(COLUMNS($AM$1006:BE1006),$AM$1006:$BM$1006,0)), HYPERLINK("#",""), HYPERLINK(CONCATENATE("#metadata!", ADDRESS(INDEX($AH$2:$AH$1001,MATCH(ROWS($AF$2:AF116),$AF$2:$AF$1001,0),0), INDEX($AM$1004:$BM$1004,1,MATCH(COLUMNS($AM$1006:BE1006),$AM$1006:$BM$1006,0)))),"Fix")))</f>
        <v xml:space="preserve"> </v>
      </c>
      <c r="U116" s="4" t="str">
        <f ca="1">IF(OR(INDEX($AG$2:$AG$1001,MATCH(ROWS($AF$2:AF116),$AF$2:$AF$1001,0),1)&gt;=100000,INDEX($AM$1005:$BM$1005,1,MATCH(COLUMNS($AM$1006:BF1006),$AM$1006:$BM$1006,0))&gt;=100000), " ",IF(INDEX($AM$2:$BM$1001,MATCH(ROWS($AF$2:AF116),$AF$2:$AF$1001,0),MATCH(COLUMNS($AM$1006:BF1006),$AM$1006:$BM$1006,0)), HYPERLINK("#",""), HYPERLINK(CONCATENATE("#metadata!", ADDRESS(INDEX($AH$2:$AH$1001,MATCH(ROWS($AF$2:AF116),$AF$2:$AF$1001,0),0), INDEX($AM$1004:$BM$1004,1,MATCH(COLUMNS($AM$1006:BF1006),$AM$1006:$BM$1006,0)))),"Fix")))</f>
        <v xml:space="preserve"> </v>
      </c>
      <c r="V116" s="4" t="str">
        <f ca="1">IF(OR(INDEX($AG$2:$AG$1001,MATCH(ROWS($AF$2:AF116),$AF$2:$AF$1001,0),1)&gt;=100000,INDEX($AM$1005:$BM$1005,1,MATCH(COLUMNS($AM$1006:BG1006),$AM$1006:$BM$1006,0))&gt;=100000), " ",IF(INDEX($AM$2:$BM$1001,MATCH(ROWS($AF$2:AF116),$AF$2:$AF$1001,0),MATCH(COLUMNS($AM$1006:BG1006),$AM$1006:$BM$1006,0)), HYPERLINK("#",""), HYPERLINK(CONCATENATE("#metadata!", ADDRESS(INDEX($AH$2:$AH$1001,MATCH(ROWS($AF$2:AF116),$AF$2:$AF$1001,0),0), INDEX($AM$1004:$BM$1004,1,MATCH(COLUMNS($AM$1006:BG1006),$AM$1006:$BM$1006,0)))),"Fix")))</f>
        <v xml:space="preserve"> </v>
      </c>
      <c r="W116" s="4" t="str">
        <f ca="1">IF(OR(INDEX($AG$2:$AG$1001,MATCH(ROWS($AF$2:AF116),$AF$2:$AF$1001,0),1)&gt;=100000,INDEX($AM$1005:$BM$1005,1,MATCH(COLUMNS($AM$1006:BH1006),$AM$1006:$BM$1006,0))&gt;=100000), " ",IF(INDEX($AM$2:$BM$1001,MATCH(ROWS($AF$2:AF116),$AF$2:$AF$1001,0),MATCH(COLUMNS($AM$1006:BH1006),$AM$1006:$BM$1006,0)), HYPERLINK("#",""), HYPERLINK(CONCATENATE("#metadata!", ADDRESS(INDEX($AH$2:$AH$1001,MATCH(ROWS($AF$2:AF116),$AF$2:$AF$1001,0),0), INDEX($AM$1004:$BM$1004,1,MATCH(COLUMNS($AM$1006:BH1006),$AM$1006:$BM$1006,0)))),"Fix")))</f>
        <v xml:space="preserve"> </v>
      </c>
      <c r="X116" s="4" t="str">
        <f ca="1">IF(OR(INDEX($AG$2:$AG$1001,MATCH(ROWS($AF$2:AF116),$AF$2:$AF$1001,0),1)&gt;=100000,INDEX($AM$1005:$BM$1005,1,MATCH(COLUMNS($AM$1006:BI1006),$AM$1006:$BM$1006,0))&gt;=100000), " ",IF(INDEX($AM$2:$BM$1001,MATCH(ROWS($AF$2:AF116),$AF$2:$AF$1001,0),MATCH(COLUMNS($AM$1006:BI1006),$AM$1006:$BM$1006,0)), HYPERLINK("#",""), HYPERLINK(CONCATENATE("#metadata!", ADDRESS(INDEX($AH$2:$AH$1001,MATCH(ROWS($AF$2:AF116),$AF$2:$AF$1001,0),0), INDEX($AM$1004:$BM$1004,1,MATCH(COLUMNS($AM$1006:BI1006),$AM$1006:$BM$1006,0)))),"Fix")))</f>
        <v xml:space="preserve"> </v>
      </c>
      <c r="Y116" s="4" t="str">
        <f ca="1">IF(OR(INDEX($AG$2:$AG$1001,MATCH(ROWS($AF$2:AF116),$AF$2:$AF$1001,0),1)&gt;=100000,INDEX($AM$1005:$BM$1005,1,MATCH(COLUMNS($AM$1006:BJ1006),$AM$1006:$BM$1006,0))&gt;=100000), " ",IF(INDEX($AM$2:$BM$1001,MATCH(ROWS($AF$2:AF116),$AF$2:$AF$1001,0),MATCH(COLUMNS($AM$1006:BJ1006),$AM$1006:$BM$1006,0)), HYPERLINK("#",""), HYPERLINK(CONCATENATE("#metadata!", ADDRESS(INDEX($AH$2:$AH$1001,MATCH(ROWS($AF$2:AF116),$AF$2:$AF$1001,0),0), INDEX($AM$1004:$BM$1004,1,MATCH(COLUMNS($AM$1006:BJ1006),$AM$1006:$BM$1006,0)))),"Fix")))</f>
        <v xml:space="preserve"> </v>
      </c>
      <c r="Z116" s="4" t="str">
        <f ca="1">IF(OR(INDEX($AG$2:$AG$1001,MATCH(ROWS($AF$2:AF116),$AF$2:$AF$1001,0),1)&gt;=100000,INDEX($AM$1005:$BM$1005,1,MATCH(COLUMNS($AM$1006:BK1006),$AM$1006:$BM$1006,0))&gt;=100000), " ",IF(INDEX($AM$2:$BM$1001,MATCH(ROWS($AF$2:AF116),$AF$2:$AF$1001,0),MATCH(COLUMNS($AM$1006:BK1006),$AM$1006:$BM$1006,0)), HYPERLINK("#",""), HYPERLINK(CONCATENATE("#metadata!", ADDRESS(INDEX($AH$2:$AH$1001,MATCH(ROWS($AF$2:AF116),$AF$2:$AF$1001,0),0), INDEX($AM$1004:$BM$1004,1,MATCH(COLUMNS($AM$1006:BK1006),$AM$1006:$BM$1006,0)))),"Fix")))</f>
        <v xml:space="preserve"> </v>
      </c>
      <c r="AA116" s="4" t="str">
        <f ca="1">IF(OR(INDEX($AG$2:$AG$1001,MATCH(ROWS($AF$2:AF116),$AF$2:$AF$1001,0),1)&gt;=100000,INDEX($AM$1005:$BM$1005,1,MATCH(COLUMNS($AM$1006:BL1006),$AM$1006:$BM$1006,0))&gt;=100000), " ",IF(INDEX($AM$2:$BM$1001,MATCH(ROWS($AF$2:AF116),$AF$2:$AF$1001,0),MATCH(COLUMNS($AM$1006:BL1006),$AM$1006:$BM$1006,0)), HYPERLINK("#",""), HYPERLINK(CONCATENATE("#metadata!", ADDRESS(INDEX($AH$2:$AH$1001,MATCH(ROWS($AF$2:AF116),$AF$2:$AF$1001,0),0), INDEX($AM$1004:$BM$1004,1,MATCH(COLUMNS($AM$1006:BL1006),$AM$1006:$BM$1006,0)))),"Fix")))</f>
        <v xml:space="preserve"> </v>
      </c>
      <c r="AB116" s="4" t="str">
        <f ca="1">IF(OR(INDEX($AG$2:$AG$1001,MATCH(ROWS($AF$2:AF116),$AF$2:$AF$1001,0),1)&gt;=100000,INDEX($AM$1005:$BM$1005,1,MATCH(COLUMNS($AM$1006:BM1006),$AM$1006:$BM$1006,0))&gt;=100000), " ",IF(INDEX($AM$2:$BM$1001,MATCH(ROWS($AF$2:AF116),$AF$2:$AF$1001,0),MATCH(COLUMNS($AM$1006:BM1006),$AM$1006:$BM$1006,0)), HYPERLINK("#",""), HYPERLINK(CONCATENATE("#metadata!", ADDRESS(INDEX($AH$2:$AH$1001,MATCH(ROWS($AF$2:AF116),$AF$2:$AF$1001,0),0), INDEX($AM$1004:$BM$1004,1,MATCH(COLUMNS($AM$1006:BM1006),$AM$1006:$BM$1006,0)))),"Fix")))</f>
        <v xml:space="preserve"> </v>
      </c>
      <c r="AF116">
        <v>115</v>
      </c>
      <c r="AG116">
        <v>100116</v>
      </c>
      <c r="AH116">
        <v>116</v>
      </c>
      <c r="AI116" t="b">
        <f t="shared" si="1"/>
        <v>1</v>
      </c>
      <c r="AJ116" t="b">
        <f>COUNTBLANK(metadata!B116:AB116)=COLUMNS(metadata!B116:AB116)</f>
        <v>1</v>
      </c>
      <c r="AK116" t="str">
        <v/>
      </c>
      <c r="AM116" t="b">
        <f ca="1">AND(IF(metadata!B116="",FALSE,TRUE),COUNTIF(metadata!B:B, metadata!B116) = 1,NOT(ISERROR(SUMPRODUCT(SEARCH(MID(metadata!B116,ROW(INDIRECT("1:"&amp;LEN(metadata!B116))), 1),"0123456789abcdefghijklmnopqrstuvwxyzABCDEFGHIJKLMNOPQRSTUVWXYZ.")))))</f>
        <v>0</v>
      </c>
      <c r="AN116" t="b">
        <f ca="1">OR(AND(IF(metadata!C116="",FALSE,TRUE),OR(EXACT(metadata!C116,"missing: not collected"),EXACT(metadata!C116,"missing: not provided"),EXACT(metadata!C116,"missing: restricted access"))),AND(IF(metadata!C116="",FALSE,TRUE),AND(AND(IFERROR(INT(LEFT(metadata!C116,4))&gt;1900,FALSE),IFERROR(INT(LEFT(metadata!C116,4))&lt;=YEAR(NOW()),FALSE)), OR(MID(metadata!C116,5,1)="", AND(AND(MID(metadata!C116,5,1)="-",IFERROR(INT(MID(metadata!C116,6,1))&gt;=0,FALSE),IFERROR(INT(MID(metadata!C116,6,1))&lt;=1,FALSE),NOT(MID(metadata!C116,7,1)=""),IFERROR(INT(MID(metadata!C116,6,2))&gt;=1,FALSE),IFERROR(INT(MID(metadata!C116,6,2))&lt;=12,FALSE)), OR(MID(metadata!C116,8,1)="", AND(AND(MID(metadata!C116,8,1)="-",IFERROR(INT(MID(metadata!C116,9,1))&gt;=0,FALSE),IFERROR(INT(MID(metadata!C116,9,1))&lt;=3,FALSE),NOT(MID(metadata!C116,10,1)=""),IFERROR(INT(MID(metadata!C116,9,2))&gt;=1,FALSE),IFERROR(INT(MID(metadata!C116,9,2))&lt;=31,FALSE)), OR(MID(metadata!C116,11,1)="", AND(AND(MID(metadata!C116,11,1)=" ",IFERROR(INT(MID(metadata!C116,12,1))&gt;=0,FALSE),IFERROR(INT(MID(metadata!C116,12,1))&lt;=2,FALSE),NOT(MID(metadata!C116,13,1)=""),IFERROR(INT(MID(metadata!C116,12,2))&gt;=0,FALSE),IFERROR(INT(MID(metadata!C116,12,2))&lt;=23,FALSE)), OR(MID(metadata!C116,14,1)="", AND(AND(MID(metadata!C116,14,1)=":",IFERROR(INT(MID(metadata!C116,15,1))&gt;=0,FALSE),IFERROR(INT(MID(metadata!C116,15,1))&lt;=5,FALSE),NOT(MID(metadata!C116,16,1)=""),IFERROR(INT(MID(metadata!C116,15,2))&gt;=0,FALSE),IFERROR(INT(MID(metadata!C116,15,2))&lt;=59,FALSE)), OR(MID(metadata!C116,17,1)="", AND(AND(MID(metadata!C116,17,1)=":",IFERROR(INT(MID(metadata!C116,18,1))&gt;=0,FALSE),IFERROR(INT(MID(metadata!C116,18,1))&lt;=5,FALSE),NOT(MID(metadata!C116,19,1)=""),IFERROR(INT(MID(metadata!C116,18,2))&gt;=0,FALSE),IFERROR(INT(MID(metadata!C116,18,2))&lt;=59,FALSE)), LEN(metadata!C116)&lt;=19)))))))))))))</f>
        <v>0</v>
      </c>
      <c r="AO116" t="b">
        <f>AND(IF(metadata!D116="",FALSE,TRUE),EXACT(metadata!D116,"Not applicable"))</f>
        <v>0</v>
      </c>
      <c r="AP116" t="b">
        <f>IF(metadata!E116="",FALSE,TRUE)</f>
        <v>0</v>
      </c>
      <c r="AQ116" t="b">
        <f>OR(AND(IF(metadata!F116="",FALSE,TRUE),OR(EXACT(metadata!F116,"missing: not collected"),EXACT(metadata!F116,"missing: not provided"))),AND(IF(metadata!F116="",FALSE,TRUE),OR(EXACT(metadata!F116,"TRUE"),EXACT(metadata!F116,"FALSE"))))</f>
        <v>0</v>
      </c>
      <c r="AR116" t="b">
        <f>OR(AND(IF(metadata!G116="",FALSE,TRUE),OR(EXACT(metadata!G116,"missing: not collected"),EXACT(metadata!G116,"missing: not provided"),EXACT(metadata!G116,"missing: restricted access"))),AND(IF(metadata!G116="",FALSE,ISNUMBER(VALUE(metadata!G116))),metadata!G116&gt;=-413))</f>
        <v>0</v>
      </c>
      <c r="AS116" t="b">
        <f>AND(IF(metadata!H116="",FALSE,TRUE),EXACT(metadata!H116,"meters"))</f>
        <v>0</v>
      </c>
      <c r="AT116" t="b">
        <f>AND(IF(metadata!I116="",FALSE,TRUE),OR(EXACT(metadata!I116,"Host-associated"),EXACT(metadata!I116,"Free-living")))</f>
        <v>0</v>
      </c>
      <c r="AU116" t="b">
        <f>AND(IF(metadata!J116="",FALSE,TRUE),OR(EXACT(metadata!J116,"Animal"),EXACT(metadata!J116,"Fungus"),EXACT(metadata!J116,"Plant"),EXACT(metadata!J116,"Saline"),EXACT(metadata!J116,"Non-saline")))</f>
        <v>0</v>
      </c>
      <c r="AV116" t="b">
        <f>AND(IF(metadata!K116="",FALSE,TRUE),OR(EXACT(metadata!K116,"Plant secretion"),EXACT(metadata!K116,"Plant rhizosphere"),EXACT(metadata!K116,"Plant surface"),EXACT(metadata!K116,"Plant corpus"),EXACT(metadata!K116,"Fungus surface"),EXACT(metadata!K116,"Fungus corpus"),EXACT(metadata!K116,"Animal surface"),EXACT(metadata!K116,"Animal proximal gut"),EXACT(metadata!K116,"Animal corpus"),EXACT(metadata!K116,"Animal distal gut"),EXACT(metadata!K116,"Animal secretion"),EXACT(metadata!K116,"Sub-surface (non-saline)"),EXACT(metadata!K116,"Surface (non-saline)"),EXACT(metadata!K116,"Water (non-saline)"),EXACT(metadata!K116,"Soil (non-saline)"),EXACT(metadata!K116,"Aerosol (non-saline)"),EXACT(metadata!K116,"Sediment (non-saline)"),EXACT(metadata!K116,"Surface (saline)"),EXACT(metadata!K116,"Water (saline)"),EXACT(metadata!K116,"Hypersaline (saline)"),EXACT(metadata!K116,"Aerosol (saline)"),EXACT(metadata!K116,"Sediment (saline)")))</f>
        <v>0</v>
      </c>
      <c r="AW116" t="b">
        <f>IF(metadata!L116="",FALSE,TRUE)</f>
        <v>0</v>
      </c>
      <c r="AX116" t="b">
        <f>IF(metadata!M116="",FALSE,TRUE)</f>
        <v>0</v>
      </c>
      <c r="AY116" t="b">
        <f>IF(metadata!N116="",FALSE,TRUE)</f>
        <v>0</v>
      </c>
      <c r="AZ116" t="b">
        <f>OR(AND(IF(metadata!O116="",FALSE,TRUE),OR(EXACT(metadata!O116,"missing: not collected"),EXACT(metadata!O116,"missing: not provided"),EXACT(metadata!O116,"missing: restricted access"))),AND(IF(metadata!O116="",FALSE,TRUE),OR(EXACT(metadata!O116,"air"),EXACT(metadata!O116,"built environment"),EXACT(metadata!O116,"host-associated"),EXACT(metadata!O116,"human-associated"),EXACT(metadata!O116,"human-skin"),EXACT(metadata!O116,"human-oral"),EXACT(metadata!O116,"human-gut"),EXACT(metadata!O116,"human-vaginal"),EXACT(metadata!O116,"microbial mat/biofilm"),EXACT(metadata!O116,"misc environment"),EXACT(metadata!O116,"plant-associated"),EXACT(metadata!O116,"sediment"),EXACT(metadata!O116,"soil"),EXACT(metadata!O116,"wastewater/sludge"),EXACT(metadata!O116,"water"))))</f>
        <v>0</v>
      </c>
      <c r="BA116" t="b">
        <f>IF(metadata!P116="",FALSE,TRUE)</f>
        <v>0</v>
      </c>
      <c r="BB116" t="b">
        <f>IF(metadata!Q116="",FALSE,TRUE)</f>
        <v>0</v>
      </c>
      <c r="BC116" t="b">
        <f>OR(AND(IF(metadata!R116="",FALSE,TRUE),OR(EXACT(metadata!R116,"missing: not collected"),EXACT(metadata!R116,"missing: not provided"),EXACT(metadata!R116,"missing: restricted access"))),AND(IF(metadata!R116="",FALSE,ISNUMBER(VALUE(metadata!R116))),metadata!R116&gt;=-90,metadata!R116&lt;=90))</f>
        <v>0</v>
      </c>
      <c r="BD116" t="b">
        <f>AND(IF(metadata!S116="",FALSE,TRUE),EXACT(metadata!S116,"Decimal degrees"))</f>
        <v>0</v>
      </c>
      <c r="BE116" t="b">
        <f>OR(AND(IF(metadata!T116="",FALSE,TRUE),OR(EXACT(metadata!T116,"missing: not collected"),EXACT(metadata!T116,"missing: not provided"),EXACT(metadata!T116,"missing: restricted access"))),AND(IF(metadata!T116="",FALSE,ISNUMBER(VALUE(metadata!T116))),metadata!T116&gt;=-180,metadata!T116&lt;=180))</f>
        <v>0</v>
      </c>
      <c r="BF116" t="b">
        <f>AND(IF(metadata!U116="",FALSE,TRUE),EXACT(metadata!U116,"Decimal degrees"))</f>
        <v>0</v>
      </c>
      <c r="BG116" t="b">
        <f>IF(metadata!V116="",FALSE,TRUE)</f>
        <v>0</v>
      </c>
      <c r="BH116" t="b">
        <f>OR(AND(IF(metadata!W116="",FALSE,TRUE),OR(EXACT(metadata!W116,"missing: not collected"),EXACT(metadata!W116,"missing: not provided"),EXACT(metadata!W116,"missing: restricted access"))),AND(IF(metadata!W116="",FALSE,TRUE),OR(EXACT(metadata!W116,"TRUE"),EXACT(metadata!W116,"FALSE"))))</f>
        <v>0</v>
      </c>
      <c r="BI116" t="b">
        <f>AND(IF(metadata!X116="",FALSE,TRUE),EXACT(metadata!X116,"other"))</f>
        <v>0</v>
      </c>
      <c r="BJ116" t="b">
        <f>IF(metadata!Y116="",FALSE,TRUE)</f>
        <v>0</v>
      </c>
      <c r="BK116" t="b">
        <f>OR(AND(IF(metadata!Z116="",FALSE,TRUE),OR(EXACT(metadata!Z116,"missing: not collected"),EXACT(metadata!Z116,"missing: not provided"))),AND(IF(metadata!Z116="",FALSE,IF(ISERROR(INT(metadata!Z116)),FALSE,INT(metadata!Z116)=metadata!Z116)),metadata!Z116&gt;0))</f>
        <v>0</v>
      </c>
      <c r="BL116" t="b">
        <f>AND(IF(metadata!AA116="",FALSE,TRUE),EXACT(metadata!AA116,"Not applicable"))</f>
        <v>0</v>
      </c>
      <c r="BM116" t="b">
        <f>IF(metadata!AB116="",FALSE,TRUE)</f>
        <v>0</v>
      </c>
    </row>
    <row r="117" spans="1:65" x14ac:dyDescent="0.2">
      <c r="A117" s="5" t="str">
        <f ca="1">IF(B117=" "," ",HYPERLINK(CONCATENATE("#metadata!",ADDRESS(INDEX($AH$2:$AH$1001,MATCH(ROWS($AF$2:AF117),$AF$2:$AF$1001,0),0),1)),INDEX($AK$2:$AK$1001,MATCH(ROWS($AF$2:AF117),$AF$2:$AF$1001,0),0)))</f>
        <v xml:space="preserve"> </v>
      </c>
      <c r="B117" s="4" t="str">
        <f ca="1">IF(OR(INDEX($AG$2:$AG$1001,MATCH(ROWS($AF$2:AF117),$AF$2:$AF$1001,0),1)&gt;=100000,INDEX($AM$1005:$BM$1005,1,MATCH(COLUMNS($AM$1006:AM1006),$AM$1006:$BM$1006,0))&gt;=100000), " ",IF(INDEX($AM$2:$BM$1001,MATCH(ROWS($AF$2:AF117),$AF$2:$AF$1001,0),MATCH(COLUMNS($AM$1006:AM1006),$AM$1006:$BM$1006,0)), HYPERLINK("#",""), HYPERLINK(CONCATENATE("#metadata!", ADDRESS(INDEX($AH$2:$AH$1001,MATCH(ROWS($AF$2:AF117),$AF$2:$AF$1001,0),0), INDEX($AM$1004:$BM$1004,1,MATCH(COLUMNS($AM$1006:AM1006),$AM$1006:$BM$1006,0)))),"Fix")))</f>
        <v xml:space="preserve"> </v>
      </c>
      <c r="C117" s="4" t="str">
        <f ca="1">IF(OR(INDEX($AG$2:$AG$1001,MATCH(ROWS($AF$2:AF117),$AF$2:$AF$1001,0),1)&gt;=100000,INDEX($AM$1005:$BM$1005,1,MATCH(COLUMNS($AM$1006:AN1006),$AM$1006:$BM$1006,0))&gt;=100000), " ",IF(INDEX($AM$2:$BM$1001,MATCH(ROWS($AF$2:AF117),$AF$2:$AF$1001,0),MATCH(COLUMNS($AM$1006:AN1006),$AM$1006:$BM$1006,0)), HYPERLINK("#",""), HYPERLINK(CONCATENATE("#metadata!", ADDRESS(INDEX($AH$2:$AH$1001,MATCH(ROWS($AF$2:AF117),$AF$2:$AF$1001,0),0), INDEX($AM$1004:$BM$1004,1,MATCH(COLUMNS($AM$1006:AN1006),$AM$1006:$BM$1006,0)))),"Fix")))</f>
        <v xml:space="preserve"> </v>
      </c>
      <c r="D117" s="4" t="str">
        <f ca="1">IF(OR(INDEX($AG$2:$AG$1001,MATCH(ROWS($AF$2:AF117),$AF$2:$AF$1001,0),1)&gt;=100000,INDEX($AM$1005:$BM$1005,1,MATCH(COLUMNS($AM$1006:AO1006),$AM$1006:$BM$1006,0))&gt;=100000), " ",IF(INDEX($AM$2:$BM$1001,MATCH(ROWS($AF$2:AF117),$AF$2:$AF$1001,0),MATCH(COLUMNS($AM$1006:AO1006),$AM$1006:$BM$1006,0)), HYPERLINK("#",""), HYPERLINK(CONCATENATE("#metadata!", ADDRESS(INDEX($AH$2:$AH$1001,MATCH(ROWS($AF$2:AF117),$AF$2:$AF$1001,0),0), INDEX($AM$1004:$BM$1004,1,MATCH(COLUMNS($AM$1006:AO1006),$AM$1006:$BM$1006,0)))),"Fix")))</f>
        <v xml:space="preserve"> </v>
      </c>
      <c r="E117" s="4" t="str">
        <f ca="1">IF(OR(INDEX($AG$2:$AG$1001,MATCH(ROWS($AF$2:AF117),$AF$2:$AF$1001,0),1)&gt;=100000,INDEX($AM$1005:$BM$1005,1,MATCH(COLUMNS($AM$1006:AP1006),$AM$1006:$BM$1006,0))&gt;=100000), " ",IF(INDEX($AM$2:$BM$1001,MATCH(ROWS($AF$2:AF117),$AF$2:$AF$1001,0),MATCH(COLUMNS($AM$1006:AP1006),$AM$1006:$BM$1006,0)), HYPERLINK("#",""), HYPERLINK(CONCATENATE("#metadata!", ADDRESS(INDEX($AH$2:$AH$1001,MATCH(ROWS($AF$2:AF117),$AF$2:$AF$1001,0),0), INDEX($AM$1004:$BM$1004,1,MATCH(COLUMNS($AM$1006:AP1006),$AM$1006:$BM$1006,0)))),"Fix")))</f>
        <v xml:space="preserve"> </v>
      </c>
      <c r="F117" s="4" t="str">
        <f ca="1">IF(OR(INDEX($AG$2:$AG$1001,MATCH(ROWS($AF$2:AF117),$AF$2:$AF$1001,0),1)&gt;=100000,INDEX($AM$1005:$BM$1005,1,MATCH(COLUMNS($AM$1006:AQ1006),$AM$1006:$BM$1006,0))&gt;=100000), " ",IF(INDEX($AM$2:$BM$1001,MATCH(ROWS($AF$2:AF117),$AF$2:$AF$1001,0),MATCH(COLUMNS($AM$1006:AQ1006),$AM$1006:$BM$1006,0)), HYPERLINK("#",""), HYPERLINK(CONCATENATE("#metadata!", ADDRESS(INDEX($AH$2:$AH$1001,MATCH(ROWS($AF$2:AF117),$AF$2:$AF$1001,0),0), INDEX($AM$1004:$BM$1004,1,MATCH(COLUMNS($AM$1006:AQ1006),$AM$1006:$BM$1006,0)))),"Fix")))</f>
        <v xml:space="preserve"> </v>
      </c>
      <c r="G117" s="4" t="str">
        <f ca="1">IF(OR(INDEX($AG$2:$AG$1001,MATCH(ROWS($AF$2:AF117),$AF$2:$AF$1001,0),1)&gt;=100000,INDEX($AM$1005:$BM$1005,1,MATCH(COLUMNS($AM$1006:AR1006),$AM$1006:$BM$1006,0))&gt;=100000), " ",IF(INDEX($AM$2:$BM$1001,MATCH(ROWS($AF$2:AF117),$AF$2:$AF$1001,0),MATCH(COLUMNS($AM$1006:AR1006),$AM$1006:$BM$1006,0)), HYPERLINK("#",""), HYPERLINK(CONCATENATE("#metadata!", ADDRESS(INDEX($AH$2:$AH$1001,MATCH(ROWS($AF$2:AF117),$AF$2:$AF$1001,0),0), INDEX($AM$1004:$BM$1004,1,MATCH(COLUMNS($AM$1006:AR1006),$AM$1006:$BM$1006,0)))),"Fix")))</f>
        <v xml:space="preserve"> </v>
      </c>
      <c r="H117" s="4" t="str">
        <f ca="1">IF(OR(INDEX($AG$2:$AG$1001,MATCH(ROWS($AF$2:AF117),$AF$2:$AF$1001,0),1)&gt;=100000,INDEX($AM$1005:$BM$1005,1,MATCH(COLUMNS($AM$1006:AS1006),$AM$1006:$BM$1006,0))&gt;=100000), " ",IF(INDEX($AM$2:$BM$1001,MATCH(ROWS($AF$2:AF117),$AF$2:$AF$1001,0),MATCH(COLUMNS($AM$1006:AS1006),$AM$1006:$BM$1006,0)), HYPERLINK("#",""), HYPERLINK(CONCATENATE("#metadata!", ADDRESS(INDEX($AH$2:$AH$1001,MATCH(ROWS($AF$2:AF117),$AF$2:$AF$1001,0),0), INDEX($AM$1004:$BM$1004,1,MATCH(COLUMNS($AM$1006:AS1006),$AM$1006:$BM$1006,0)))),"Fix")))</f>
        <v xml:space="preserve"> </v>
      </c>
      <c r="I117" s="4" t="str">
        <f ca="1">IF(OR(INDEX($AG$2:$AG$1001,MATCH(ROWS($AF$2:AF117),$AF$2:$AF$1001,0),1)&gt;=100000,INDEX($AM$1005:$BM$1005,1,MATCH(COLUMNS($AM$1006:AT1006),$AM$1006:$BM$1006,0))&gt;=100000), " ",IF(INDEX($AM$2:$BM$1001,MATCH(ROWS($AF$2:AF117),$AF$2:$AF$1001,0),MATCH(COLUMNS($AM$1006:AT1006),$AM$1006:$BM$1006,0)), HYPERLINK("#",""), HYPERLINK(CONCATENATE("#metadata!", ADDRESS(INDEX($AH$2:$AH$1001,MATCH(ROWS($AF$2:AF117),$AF$2:$AF$1001,0),0), INDEX($AM$1004:$BM$1004,1,MATCH(COLUMNS($AM$1006:AT1006),$AM$1006:$BM$1006,0)))),"Fix")))</f>
        <v xml:space="preserve"> </v>
      </c>
      <c r="J117" s="4" t="str">
        <f ca="1">IF(OR(INDEX($AG$2:$AG$1001,MATCH(ROWS($AF$2:AF117),$AF$2:$AF$1001,0),1)&gt;=100000,INDEX($AM$1005:$BM$1005,1,MATCH(COLUMNS($AM$1006:AU1006),$AM$1006:$BM$1006,0))&gt;=100000), " ",IF(INDEX($AM$2:$BM$1001,MATCH(ROWS($AF$2:AF117),$AF$2:$AF$1001,0),MATCH(COLUMNS($AM$1006:AU1006),$AM$1006:$BM$1006,0)), HYPERLINK("#",""), HYPERLINK(CONCATENATE("#metadata!", ADDRESS(INDEX($AH$2:$AH$1001,MATCH(ROWS($AF$2:AF117),$AF$2:$AF$1001,0),0), INDEX($AM$1004:$BM$1004,1,MATCH(COLUMNS($AM$1006:AU1006),$AM$1006:$BM$1006,0)))),"Fix")))</f>
        <v xml:space="preserve"> </v>
      </c>
      <c r="K117" s="4" t="str">
        <f ca="1">IF(OR(INDEX($AG$2:$AG$1001,MATCH(ROWS($AF$2:AF117),$AF$2:$AF$1001,0),1)&gt;=100000,INDEX($AM$1005:$BM$1005,1,MATCH(COLUMNS($AM$1006:AV1006),$AM$1006:$BM$1006,0))&gt;=100000), " ",IF(INDEX($AM$2:$BM$1001,MATCH(ROWS($AF$2:AF117),$AF$2:$AF$1001,0),MATCH(COLUMNS($AM$1006:AV1006),$AM$1006:$BM$1006,0)), HYPERLINK("#",""), HYPERLINK(CONCATENATE("#metadata!", ADDRESS(INDEX($AH$2:$AH$1001,MATCH(ROWS($AF$2:AF117),$AF$2:$AF$1001,0),0), INDEX($AM$1004:$BM$1004,1,MATCH(COLUMNS($AM$1006:AV1006),$AM$1006:$BM$1006,0)))),"Fix")))</f>
        <v xml:space="preserve"> </v>
      </c>
      <c r="L117" s="4" t="str">
        <f ca="1">IF(OR(INDEX($AG$2:$AG$1001,MATCH(ROWS($AF$2:AF117),$AF$2:$AF$1001,0),1)&gt;=100000,INDEX($AM$1005:$BM$1005,1,MATCH(COLUMNS($AM$1006:AW1006),$AM$1006:$BM$1006,0))&gt;=100000), " ",IF(INDEX($AM$2:$BM$1001,MATCH(ROWS($AF$2:AF117),$AF$2:$AF$1001,0),MATCH(COLUMNS($AM$1006:AW1006),$AM$1006:$BM$1006,0)), HYPERLINK("#",""), HYPERLINK(CONCATENATE("#metadata!", ADDRESS(INDEX($AH$2:$AH$1001,MATCH(ROWS($AF$2:AF117),$AF$2:$AF$1001,0),0), INDEX($AM$1004:$BM$1004,1,MATCH(COLUMNS($AM$1006:AW1006),$AM$1006:$BM$1006,0)))),"Fix")))</f>
        <v xml:space="preserve"> </v>
      </c>
      <c r="M117" s="4" t="str">
        <f ca="1">IF(OR(INDEX($AG$2:$AG$1001,MATCH(ROWS($AF$2:AF117),$AF$2:$AF$1001,0),1)&gt;=100000,INDEX($AM$1005:$BM$1005,1,MATCH(COLUMNS($AM$1006:AX1006),$AM$1006:$BM$1006,0))&gt;=100000), " ",IF(INDEX($AM$2:$BM$1001,MATCH(ROWS($AF$2:AF117),$AF$2:$AF$1001,0),MATCH(COLUMNS($AM$1006:AX1006),$AM$1006:$BM$1006,0)), HYPERLINK("#",""), HYPERLINK(CONCATENATE("#metadata!", ADDRESS(INDEX($AH$2:$AH$1001,MATCH(ROWS($AF$2:AF117),$AF$2:$AF$1001,0),0), INDEX($AM$1004:$BM$1004,1,MATCH(COLUMNS($AM$1006:AX1006),$AM$1006:$BM$1006,0)))),"Fix")))</f>
        <v xml:space="preserve"> </v>
      </c>
      <c r="N117" s="4" t="str">
        <f ca="1">IF(OR(INDEX($AG$2:$AG$1001,MATCH(ROWS($AF$2:AF117),$AF$2:$AF$1001,0),1)&gt;=100000,INDEX($AM$1005:$BM$1005,1,MATCH(COLUMNS($AM$1006:AY1006),$AM$1006:$BM$1006,0))&gt;=100000), " ",IF(INDEX($AM$2:$BM$1001,MATCH(ROWS($AF$2:AF117),$AF$2:$AF$1001,0),MATCH(COLUMNS($AM$1006:AY1006),$AM$1006:$BM$1006,0)), HYPERLINK("#",""), HYPERLINK(CONCATENATE("#metadata!", ADDRESS(INDEX($AH$2:$AH$1001,MATCH(ROWS($AF$2:AF117),$AF$2:$AF$1001,0),0), INDEX($AM$1004:$BM$1004,1,MATCH(COLUMNS($AM$1006:AY1006),$AM$1006:$BM$1006,0)))),"Fix")))</f>
        <v xml:space="preserve"> </v>
      </c>
      <c r="O117" s="4" t="str">
        <f ca="1">IF(OR(INDEX($AG$2:$AG$1001,MATCH(ROWS($AF$2:AF117),$AF$2:$AF$1001,0),1)&gt;=100000,INDEX($AM$1005:$BM$1005,1,MATCH(COLUMNS($AM$1006:AZ1006),$AM$1006:$BM$1006,0))&gt;=100000), " ",IF(INDEX($AM$2:$BM$1001,MATCH(ROWS($AF$2:AF117),$AF$2:$AF$1001,0),MATCH(COLUMNS($AM$1006:AZ1006),$AM$1006:$BM$1006,0)), HYPERLINK("#",""), HYPERLINK(CONCATENATE("#metadata!", ADDRESS(INDEX($AH$2:$AH$1001,MATCH(ROWS($AF$2:AF117),$AF$2:$AF$1001,0),0), INDEX($AM$1004:$BM$1004,1,MATCH(COLUMNS($AM$1006:AZ1006),$AM$1006:$BM$1006,0)))),"Fix")))</f>
        <v xml:space="preserve"> </v>
      </c>
      <c r="P117" s="4" t="str">
        <f ca="1">IF(OR(INDEX($AG$2:$AG$1001,MATCH(ROWS($AF$2:AF117),$AF$2:$AF$1001,0),1)&gt;=100000,INDEX($AM$1005:$BM$1005,1,MATCH(COLUMNS($AM$1006:BA1006),$AM$1006:$BM$1006,0))&gt;=100000), " ",IF(INDEX($AM$2:$BM$1001,MATCH(ROWS($AF$2:AF117),$AF$2:$AF$1001,0),MATCH(COLUMNS($AM$1006:BA1006),$AM$1006:$BM$1006,0)), HYPERLINK("#",""), HYPERLINK(CONCATENATE("#metadata!", ADDRESS(INDEX($AH$2:$AH$1001,MATCH(ROWS($AF$2:AF117),$AF$2:$AF$1001,0),0), INDEX($AM$1004:$BM$1004,1,MATCH(COLUMNS($AM$1006:BA1006),$AM$1006:$BM$1006,0)))),"Fix")))</f>
        <v xml:space="preserve"> </v>
      </c>
      <c r="Q117" s="4" t="str">
        <f ca="1">IF(OR(INDEX($AG$2:$AG$1001,MATCH(ROWS($AF$2:AF117),$AF$2:$AF$1001,0),1)&gt;=100000,INDEX($AM$1005:$BM$1005,1,MATCH(COLUMNS($AM$1006:BB1006),$AM$1006:$BM$1006,0))&gt;=100000), " ",IF(INDEX($AM$2:$BM$1001,MATCH(ROWS($AF$2:AF117),$AF$2:$AF$1001,0),MATCH(COLUMNS($AM$1006:BB1006),$AM$1006:$BM$1006,0)), HYPERLINK("#",""), HYPERLINK(CONCATENATE("#metadata!", ADDRESS(INDEX($AH$2:$AH$1001,MATCH(ROWS($AF$2:AF117),$AF$2:$AF$1001,0),0), INDEX($AM$1004:$BM$1004,1,MATCH(COLUMNS($AM$1006:BB1006),$AM$1006:$BM$1006,0)))),"Fix")))</f>
        <v xml:space="preserve"> </v>
      </c>
      <c r="R117" s="4" t="str">
        <f ca="1">IF(OR(INDEX($AG$2:$AG$1001,MATCH(ROWS($AF$2:AF117),$AF$2:$AF$1001,0),1)&gt;=100000,INDEX($AM$1005:$BM$1005,1,MATCH(COLUMNS($AM$1006:BC1006),$AM$1006:$BM$1006,0))&gt;=100000), " ",IF(INDEX($AM$2:$BM$1001,MATCH(ROWS($AF$2:AF117),$AF$2:$AF$1001,0),MATCH(COLUMNS($AM$1006:BC1006),$AM$1006:$BM$1006,0)), HYPERLINK("#",""), HYPERLINK(CONCATENATE("#metadata!", ADDRESS(INDEX($AH$2:$AH$1001,MATCH(ROWS($AF$2:AF117),$AF$2:$AF$1001,0),0), INDEX($AM$1004:$BM$1004,1,MATCH(COLUMNS($AM$1006:BC1006),$AM$1006:$BM$1006,0)))),"Fix")))</f>
        <v xml:space="preserve"> </v>
      </c>
      <c r="S117" s="4" t="str">
        <f ca="1">IF(OR(INDEX($AG$2:$AG$1001,MATCH(ROWS($AF$2:AF117),$AF$2:$AF$1001,0),1)&gt;=100000,INDEX($AM$1005:$BM$1005,1,MATCH(COLUMNS($AM$1006:BD1006),$AM$1006:$BM$1006,0))&gt;=100000), " ",IF(INDEX($AM$2:$BM$1001,MATCH(ROWS($AF$2:AF117),$AF$2:$AF$1001,0),MATCH(COLUMNS($AM$1006:BD1006),$AM$1006:$BM$1006,0)), HYPERLINK("#",""), HYPERLINK(CONCATENATE("#metadata!", ADDRESS(INDEX($AH$2:$AH$1001,MATCH(ROWS($AF$2:AF117),$AF$2:$AF$1001,0),0), INDEX($AM$1004:$BM$1004,1,MATCH(COLUMNS($AM$1006:BD1006),$AM$1006:$BM$1006,0)))),"Fix")))</f>
        <v xml:space="preserve"> </v>
      </c>
      <c r="T117" s="4" t="str">
        <f ca="1">IF(OR(INDEX($AG$2:$AG$1001,MATCH(ROWS($AF$2:AF117),$AF$2:$AF$1001,0),1)&gt;=100000,INDEX($AM$1005:$BM$1005,1,MATCH(COLUMNS($AM$1006:BE1006),$AM$1006:$BM$1006,0))&gt;=100000), " ",IF(INDEX($AM$2:$BM$1001,MATCH(ROWS($AF$2:AF117),$AF$2:$AF$1001,0),MATCH(COLUMNS($AM$1006:BE1006),$AM$1006:$BM$1006,0)), HYPERLINK("#",""), HYPERLINK(CONCATENATE("#metadata!", ADDRESS(INDEX($AH$2:$AH$1001,MATCH(ROWS($AF$2:AF117),$AF$2:$AF$1001,0),0), INDEX($AM$1004:$BM$1004,1,MATCH(COLUMNS($AM$1006:BE1006),$AM$1006:$BM$1006,0)))),"Fix")))</f>
        <v xml:space="preserve"> </v>
      </c>
      <c r="U117" s="4" t="str">
        <f ca="1">IF(OR(INDEX($AG$2:$AG$1001,MATCH(ROWS($AF$2:AF117),$AF$2:$AF$1001,0),1)&gt;=100000,INDEX($AM$1005:$BM$1005,1,MATCH(COLUMNS($AM$1006:BF1006),$AM$1006:$BM$1006,0))&gt;=100000), " ",IF(INDEX($AM$2:$BM$1001,MATCH(ROWS($AF$2:AF117),$AF$2:$AF$1001,0),MATCH(COLUMNS($AM$1006:BF1006),$AM$1006:$BM$1006,0)), HYPERLINK("#",""), HYPERLINK(CONCATENATE("#metadata!", ADDRESS(INDEX($AH$2:$AH$1001,MATCH(ROWS($AF$2:AF117),$AF$2:$AF$1001,0),0), INDEX($AM$1004:$BM$1004,1,MATCH(COLUMNS($AM$1006:BF1006),$AM$1006:$BM$1006,0)))),"Fix")))</f>
        <v xml:space="preserve"> </v>
      </c>
      <c r="V117" s="4" t="str">
        <f ca="1">IF(OR(INDEX($AG$2:$AG$1001,MATCH(ROWS($AF$2:AF117),$AF$2:$AF$1001,0),1)&gt;=100000,INDEX($AM$1005:$BM$1005,1,MATCH(COLUMNS($AM$1006:BG1006),$AM$1006:$BM$1006,0))&gt;=100000), " ",IF(INDEX($AM$2:$BM$1001,MATCH(ROWS($AF$2:AF117),$AF$2:$AF$1001,0),MATCH(COLUMNS($AM$1006:BG1006),$AM$1006:$BM$1006,0)), HYPERLINK("#",""), HYPERLINK(CONCATENATE("#metadata!", ADDRESS(INDEX($AH$2:$AH$1001,MATCH(ROWS($AF$2:AF117),$AF$2:$AF$1001,0),0), INDEX($AM$1004:$BM$1004,1,MATCH(COLUMNS($AM$1006:BG1006),$AM$1006:$BM$1006,0)))),"Fix")))</f>
        <v xml:space="preserve"> </v>
      </c>
      <c r="W117" s="4" t="str">
        <f ca="1">IF(OR(INDEX($AG$2:$AG$1001,MATCH(ROWS($AF$2:AF117),$AF$2:$AF$1001,0),1)&gt;=100000,INDEX($AM$1005:$BM$1005,1,MATCH(COLUMNS($AM$1006:BH1006),$AM$1006:$BM$1006,0))&gt;=100000), " ",IF(INDEX($AM$2:$BM$1001,MATCH(ROWS($AF$2:AF117),$AF$2:$AF$1001,0),MATCH(COLUMNS($AM$1006:BH1006),$AM$1006:$BM$1006,0)), HYPERLINK("#",""), HYPERLINK(CONCATENATE("#metadata!", ADDRESS(INDEX($AH$2:$AH$1001,MATCH(ROWS($AF$2:AF117),$AF$2:$AF$1001,0),0), INDEX($AM$1004:$BM$1004,1,MATCH(COLUMNS($AM$1006:BH1006),$AM$1006:$BM$1006,0)))),"Fix")))</f>
        <v xml:space="preserve"> </v>
      </c>
      <c r="X117" s="4" t="str">
        <f ca="1">IF(OR(INDEX($AG$2:$AG$1001,MATCH(ROWS($AF$2:AF117),$AF$2:$AF$1001,0),1)&gt;=100000,INDEX($AM$1005:$BM$1005,1,MATCH(COLUMNS($AM$1006:BI1006),$AM$1006:$BM$1006,0))&gt;=100000), " ",IF(INDEX($AM$2:$BM$1001,MATCH(ROWS($AF$2:AF117),$AF$2:$AF$1001,0),MATCH(COLUMNS($AM$1006:BI1006),$AM$1006:$BM$1006,0)), HYPERLINK("#",""), HYPERLINK(CONCATENATE("#metadata!", ADDRESS(INDEX($AH$2:$AH$1001,MATCH(ROWS($AF$2:AF117),$AF$2:$AF$1001,0),0), INDEX($AM$1004:$BM$1004,1,MATCH(COLUMNS($AM$1006:BI1006),$AM$1006:$BM$1006,0)))),"Fix")))</f>
        <v xml:space="preserve"> </v>
      </c>
      <c r="Y117" s="4" t="str">
        <f ca="1">IF(OR(INDEX($AG$2:$AG$1001,MATCH(ROWS($AF$2:AF117),$AF$2:$AF$1001,0),1)&gt;=100000,INDEX($AM$1005:$BM$1005,1,MATCH(COLUMNS($AM$1006:BJ1006),$AM$1006:$BM$1006,0))&gt;=100000), " ",IF(INDEX($AM$2:$BM$1001,MATCH(ROWS($AF$2:AF117),$AF$2:$AF$1001,0),MATCH(COLUMNS($AM$1006:BJ1006),$AM$1006:$BM$1006,0)), HYPERLINK("#",""), HYPERLINK(CONCATENATE("#metadata!", ADDRESS(INDEX($AH$2:$AH$1001,MATCH(ROWS($AF$2:AF117),$AF$2:$AF$1001,0),0), INDEX($AM$1004:$BM$1004,1,MATCH(COLUMNS($AM$1006:BJ1006),$AM$1006:$BM$1006,0)))),"Fix")))</f>
        <v xml:space="preserve"> </v>
      </c>
      <c r="Z117" s="4" t="str">
        <f ca="1">IF(OR(INDEX($AG$2:$AG$1001,MATCH(ROWS($AF$2:AF117),$AF$2:$AF$1001,0),1)&gt;=100000,INDEX($AM$1005:$BM$1005,1,MATCH(COLUMNS($AM$1006:BK1006),$AM$1006:$BM$1006,0))&gt;=100000), " ",IF(INDEX($AM$2:$BM$1001,MATCH(ROWS($AF$2:AF117),$AF$2:$AF$1001,0),MATCH(COLUMNS($AM$1006:BK1006),$AM$1006:$BM$1006,0)), HYPERLINK("#",""), HYPERLINK(CONCATENATE("#metadata!", ADDRESS(INDEX($AH$2:$AH$1001,MATCH(ROWS($AF$2:AF117),$AF$2:$AF$1001,0),0), INDEX($AM$1004:$BM$1004,1,MATCH(COLUMNS($AM$1006:BK1006),$AM$1006:$BM$1006,0)))),"Fix")))</f>
        <v xml:space="preserve"> </v>
      </c>
      <c r="AA117" s="4" t="str">
        <f ca="1">IF(OR(INDEX($AG$2:$AG$1001,MATCH(ROWS($AF$2:AF117),$AF$2:$AF$1001,0),1)&gt;=100000,INDEX($AM$1005:$BM$1005,1,MATCH(COLUMNS($AM$1006:BL1006),$AM$1006:$BM$1006,0))&gt;=100000), " ",IF(INDEX($AM$2:$BM$1001,MATCH(ROWS($AF$2:AF117),$AF$2:$AF$1001,0),MATCH(COLUMNS($AM$1006:BL1006),$AM$1006:$BM$1006,0)), HYPERLINK("#",""), HYPERLINK(CONCATENATE("#metadata!", ADDRESS(INDEX($AH$2:$AH$1001,MATCH(ROWS($AF$2:AF117),$AF$2:$AF$1001,0),0), INDEX($AM$1004:$BM$1004,1,MATCH(COLUMNS($AM$1006:BL1006),$AM$1006:$BM$1006,0)))),"Fix")))</f>
        <v xml:space="preserve"> </v>
      </c>
      <c r="AB117" s="4" t="str">
        <f ca="1">IF(OR(INDEX($AG$2:$AG$1001,MATCH(ROWS($AF$2:AF117),$AF$2:$AF$1001,0),1)&gt;=100000,INDEX($AM$1005:$BM$1005,1,MATCH(COLUMNS($AM$1006:BM1006),$AM$1006:$BM$1006,0))&gt;=100000), " ",IF(INDEX($AM$2:$BM$1001,MATCH(ROWS($AF$2:AF117),$AF$2:$AF$1001,0),MATCH(COLUMNS($AM$1006:BM1006),$AM$1006:$BM$1006,0)), HYPERLINK("#",""), HYPERLINK(CONCATENATE("#metadata!", ADDRESS(INDEX($AH$2:$AH$1001,MATCH(ROWS($AF$2:AF117),$AF$2:$AF$1001,0),0), INDEX($AM$1004:$BM$1004,1,MATCH(COLUMNS($AM$1006:BM1006),$AM$1006:$BM$1006,0)))),"Fix")))</f>
        <v xml:space="preserve"> </v>
      </c>
      <c r="AF117">
        <v>116</v>
      </c>
      <c r="AG117">
        <v>100117</v>
      </c>
      <c r="AH117">
        <v>117</v>
      </c>
      <c r="AI117" t="b">
        <f t="shared" si="1"/>
        <v>1</v>
      </c>
      <c r="AJ117" t="b">
        <f>COUNTBLANK(metadata!B117:AB117)=COLUMNS(metadata!B117:AB117)</f>
        <v>1</v>
      </c>
      <c r="AK117" t="str">
        <v/>
      </c>
      <c r="AM117" t="b">
        <f ca="1">AND(IF(metadata!B117="",FALSE,TRUE),COUNTIF(metadata!B:B, metadata!B117) = 1,NOT(ISERROR(SUMPRODUCT(SEARCH(MID(metadata!B117,ROW(INDIRECT("1:"&amp;LEN(metadata!B117))), 1),"0123456789abcdefghijklmnopqrstuvwxyzABCDEFGHIJKLMNOPQRSTUVWXYZ.")))))</f>
        <v>0</v>
      </c>
      <c r="AN117" t="b">
        <f ca="1">OR(AND(IF(metadata!C117="",FALSE,TRUE),OR(EXACT(metadata!C117,"missing: not collected"),EXACT(metadata!C117,"missing: not provided"),EXACT(metadata!C117,"missing: restricted access"))),AND(IF(metadata!C117="",FALSE,TRUE),AND(AND(IFERROR(INT(LEFT(metadata!C117,4))&gt;1900,FALSE),IFERROR(INT(LEFT(metadata!C117,4))&lt;=YEAR(NOW()),FALSE)), OR(MID(metadata!C117,5,1)="", AND(AND(MID(metadata!C117,5,1)="-",IFERROR(INT(MID(metadata!C117,6,1))&gt;=0,FALSE),IFERROR(INT(MID(metadata!C117,6,1))&lt;=1,FALSE),NOT(MID(metadata!C117,7,1)=""),IFERROR(INT(MID(metadata!C117,6,2))&gt;=1,FALSE),IFERROR(INT(MID(metadata!C117,6,2))&lt;=12,FALSE)), OR(MID(metadata!C117,8,1)="", AND(AND(MID(metadata!C117,8,1)="-",IFERROR(INT(MID(metadata!C117,9,1))&gt;=0,FALSE),IFERROR(INT(MID(metadata!C117,9,1))&lt;=3,FALSE),NOT(MID(metadata!C117,10,1)=""),IFERROR(INT(MID(metadata!C117,9,2))&gt;=1,FALSE),IFERROR(INT(MID(metadata!C117,9,2))&lt;=31,FALSE)), OR(MID(metadata!C117,11,1)="", AND(AND(MID(metadata!C117,11,1)=" ",IFERROR(INT(MID(metadata!C117,12,1))&gt;=0,FALSE),IFERROR(INT(MID(metadata!C117,12,1))&lt;=2,FALSE),NOT(MID(metadata!C117,13,1)=""),IFERROR(INT(MID(metadata!C117,12,2))&gt;=0,FALSE),IFERROR(INT(MID(metadata!C117,12,2))&lt;=23,FALSE)), OR(MID(metadata!C117,14,1)="", AND(AND(MID(metadata!C117,14,1)=":",IFERROR(INT(MID(metadata!C117,15,1))&gt;=0,FALSE),IFERROR(INT(MID(metadata!C117,15,1))&lt;=5,FALSE),NOT(MID(metadata!C117,16,1)=""),IFERROR(INT(MID(metadata!C117,15,2))&gt;=0,FALSE),IFERROR(INT(MID(metadata!C117,15,2))&lt;=59,FALSE)), OR(MID(metadata!C117,17,1)="", AND(AND(MID(metadata!C117,17,1)=":",IFERROR(INT(MID(metadata!C117,18,1))&gt;=0,FALSE),IFERROR(INT(MID(metadata!C117,18,1))&lt;=5,FALSE),NOT(MID(metadata!C117,19,1)=""),IFERROR(INT(MID(metadata!C117,18,2))&gt;=0,FALSE),IFERROR(INT(MID(metadata!C117,18,2))&lt;=59,FALSE)), LEN(metadata!C117)&lt;=19)))))))))))))</f>
        <v>0</v>
      </c>
      <c r="AO117" t="b">
        <f>AND(IF(metadata!D117="",FALSE,TRUE),EXACT(metadata!D117,"Not applicable"))</f>
        <v>0</v>
      </c>
      <c r="AP117" t="b">
        <f>IF(metadata!E117="",FALSE,TRUE)</f>
        <v>0</v>
      </c>
      <c r="AQ117" t="b">
        <f>OR(AND(IF(metadata!F117="",FALSE,TRUE),OR(EXACT(metadata!F117,"missing: not collected"),EXACT(metadata!F117,"missing: not provided"))),AND(IF(metadata!F117="",FALSE,TRUE),OR(EXACT(metadata!F117,"TRUE"),EXACT(metadata!F117,"FALSE"))))</f>
        <v>0</v>
      </c>
      <c r="AR117" t="b">
        <f>OR(AND(IF(metadata!G117="",FALSE,TRUE),OR(EXACT(metadata!G117,"missing: not collected"),EXACT(metadata!G117,"missing: not provided"),EXACT(metadata!G117,"missing: restricted access"))),AND(IF(metadata!G117="",FALSE,ISNUMBER(VALUE(metadata!G117))),metadata!G117&gt;=-413))</f>
        <v>0</v>
      </c>
      <c r="AS117" t="b">
        <f>AND(IF(metadata!H117="",FALSE,TRUE),EXACT(metadata!H117,"meters"))</f>
        <v>0</v>
      </c>
      <c r="AT117" t="b">
        <f>AND(IF(metadata!I117="",FALSE,TRUE),OR(EXACT(metadata!I117,"Host-associated"),EXACT(metadata!I117,"Free-living")))</f>
        <v>0</v>
      </c>
      <c r="AU117" t="b">
        <f>AND(IF(metadata!J117="",FALSE,TRUE),OR(EXACT(metadata!J117,"Animal"),EXACT(metadata!J117,"Fungus"),EXACT(metadata!J117,"Plant"),EXACT(metadata!J117,"Saline"),EXACT(metadata!J117,"Non-saline")))</f>
        <v>0</v>
      </c>
      <c r="AV117" t="b">
        <f>AND(IF(metadata!K117="",FALSE,TRUE),OR(EXACT(metadata!K117,"Plant secretion"),EXACT(metadata!K117,"Plant rhizosphere"),EXACT(metadata!K117,"Plant surface"),EXACT(metadata!K117,"Plant corpus"),EXACT(metadata!K117,"Fungus surface"),EXACT(metadata!K117,"Fungus corpus"),EXACT(metadata!K117,"Animal surface"),EXACT(metadata!K117,"Animal proximal gut"),EXACT(metadata!K117,"Animal corpus"),EXACT(metadata!K117,"Animal distal gut"),EXACT(metadata!K117,"Animal secretion"),EXACT(metadata!K117,"Sub-surface (non-saline)"),EXACT(metadata!K117,"Surface (non-saline)"),EXACT(metadata!K117,"Water (non-saline)"),EXACT(metadata!K117,"Soil (non-saline)"),EXACT(metadata!K117,"Aerosol (non-saline)"),EXACT(metadata!K117,"Sediment (non-saline)"),EXACT(metadata!K117,"Surface (saline)"),EXACT(metadata!K117,"Water (saline)"),EXACT(metadata!K117,"Hypersaline (saline)"),EXACT(metadata!K117,"Aerosol (saline)"),EXACT(metadata!K117,"Sediment (saline)")))</f>
        <v>0</v>
      </c>
      <c r="AW117" t="b">
        <f>IF(metadata!L117="",FALSE,TRUE)</f>
        <v>0</v>
      </c>
      <c r="AX117" t="b">
        <f>IF(metadata!M117="",FALSE,TRUE)</f>
        <v>0</v>
      </c>
      <c r="AY117" t="b">
        <f>IF(metadata!N117="",FALSE,TRUE)</f>
        <v>0</v>
      </c>
      <c r="AZ117" t="b">
        <f>OR(AND(IF(metadata!O117="",FALSE,TRUE),OR(EXACT(metadata!O117,"missing: not collected"),EXACT(metadata!O117,"missing: not provided"),EXACT(metadata!O117,"missing: restricted access"))),AND(IF(metadata!O117="",FALSE,TRUE),OR(EXACT(metadata!O117,"air"),EXACT(metadata!O117,"built environment"),EXACT(metadata!O117,"host-associated"),EXACT(metadata!O117,"human-associated"),EXACT(metadata!O117,"human-skin"),EXACT(metadata!O117,"human-oral"),EXACT(metadata!O117,"human-gut"),EXACT(metadata!O117,"human-vaginal"),EXACT(metadata!O117,"microbial mat/biofilm"),EXACT(metadata!O117,"misc environment"),EXACT(metadata!O117,"plant-associated"),EXACT(metadata!O117,"sediment"),EXACT(metadata!O117,"soil"),EXACT(metadata!O117,"wastewater/sludge"),EXACT(metadata!O117,"water"))))</f>
        <v>0</v>
      </c>
      <c r="BA117" t="b">
        <f>IF(metadata!P117="",FALSE,TRUE)</f>
        <v>0</v>
      </c>
      <c r="BB117" t="b">
        <f>IF(metadata!Q117="",FALSE,TRUE)</f>
        <v>0</v>
      </c>
      <c r="BC117" t="b">
        <f>OR(AND(IF(metadata!R117="",FALSE,TRUE),OR(EXACT(metadata!R117,"missing: not collected"),EXACT(metadata!R117,"missing: not provided"),EXACT(metadata!R117,"missing: restricted access"))),AND(IF(metadata!R117="",FALSE,ISNUMBER(VALUE(metadata!R117))),metadata!R117&gt;=-90,metadata!R117&lt;=90))</f>
        <v>0</v>
      </c>
      <c r="BD117" t="b">
        <f>AND(IF(metadata!S117="",FALSE,TRUE),EXACT(metadata!S117,"Decimal degrees"))</f>
        <v>0</v>
      </c>
      <c r="BE117" t="b">
        <f>OR(AND(IF(metadata!T117="",FALSE,TRUE),OR(EXACT(metadata!T117,"missing: not collected"),EXACT(metadata!T117,"missing: not provided"),EXACT(metadata!T117,"missing: restricted access"))),AND(IF(metadata!T117="",FALSE,ISNUMBER(VALUE(metadata!T117))),metadata!T117&gt;=-180,metadata!T117&lt;=180))</f>
        <v>0</v>
      </c>
      <c r="BF117" t="b">
        <f>AND(IF(metadata!U117="",FALSE,TRUE),EXACT(metadata!U117,"Decimal degrees"))</f>
        <v>0</v>
      </c>
      <c r="BG117" t="b">
        <f>IF(metadata!V117="",FALSE,TRUE)</f>
        <v>0</v>
      </c>
      <c r="BH117" t="b">
        <f>OR(AND(IF(metadata!W117="",FALSE,TRUE),OR(EXACT(metadata!W117,"missing: not collected"),EXACT(metadata!W117,"missing: not provided"),EXACT(metadata!W117,"missing: restricted access"))),AND(IF(metadata!W117="",FALSE,TRUE),OR(EXACT(metadata!W117,"TRUE"),EXACT(metadata!W117,"FALSE"))))</f>
        <v>0</v>
      </c>
      <c r="BI117" t="b">
        <f>AND(IF(metadata!X117="",FALSE,TRUE),EXACT(metadata!X117,"other"))</f>
        <v>0</v>
      </c>
      <c r="BJ117" t="b">
        <f>IF(metadata!Y117="",FALSE,TRUE)</f>
        <v>0</v>
      </c>
      <c r="BK117" t="b">
        <f>OR(AND(IF(metadata!Z117="",FALSE,TRUE),OR(EXACT(metadata!Z117,"missing: not collected"),EXACT(metadata!Z117,"missing: not provided"))),AND(IF(metadata!Z117="",FALSE,IF(ISERROR(INT(metadata!Z117)),FALSE,INT(metadata!Z117)=metadata!Z117)),metadata!Z117&gt;0))</f>
        <v>0</v>
      </c>
      <c r="BL117" t="b">
        <f>AND(IF(metadata!AA117="",FALSE,TRUE),EXACT(metadata!AA117,"Not applicable"))</f>
        <v>0</v>
      </c>
      <c r="BM117" t="b">
        <f>IF(metadata!AB117="",FALSE,TRUE)</f>
        <v>0</v>
      </c>
    </row>
    <row r="118" spans="1:65" x14ac:dyDescent="0.2">
      <c r="A118" s="5" t="str">
        <f ca="1">IF(B118=" "," ",HYPERLINK(CONCATENATE("#metadata!",ADDRESS(INDEX($AH$2:$AH$1001,MATCH(ROWS($AF$2:AF118),$AF$2:$AF$1001,0),0),1)),INDEX($AK$2:$AK$1001,MATCH(ROWS($AF$2:AF118),$AF$2:$AF$1001,0),0)))</f>
        <v xml:space="preserve"> </v>
      </c>
      <c r="B118" s="4" t="str">
        <f ca="1">IF(OR(INDEX($AG$2:$AG$1001,MATCH(ROWS($AF$2:AF118),$AF$2:$AF$1001,0),1)&gt;=100000,INDEX($AM$1005:$BM$1005,1,MATCH(COLUMNS($AM$1006:AM1006),$AM$1006:$BM$1006,0))&gt;=100000), " ",IF(INDEX($AM$2:$BM$1001,MATCH(ROWS($AF$2:AF118),$AF$2:$AF$1001,0),MATCH(COLUMNS($AM$1006:AM1006),$AM$1006:$BM$1006,0)), HYPERLINK("#",""), HYPERLINK(CONCATENATE("#metadata!", ADDRESS(INDEX($AH$2:$AH$1001,MATCH(ROWS($AF$2:AF118),$AF$2:$AF$1001,0),0), INDEX($AM$1004:$BM$1004,1,MATCH(COLUMNS($AM$1006:AM1006),$AM$1006:$BM$1006,0)))),"Fix")))</f>
        <v xml:space="preserve"> </v>
      </c>
      <c r="C118" s="4" t="str">
        <f ca="1">IF(OR(INDEX($AG$2:$AG$1001,MATCH(ROWS($AF$2:AF118),$AF$2:$AF$1001,0),1)&gt;=100000,INDEX($AM$1005:$BM$1005,1,MATCH(COLUMNS($AM$1006:AN1006),$AM$1006:$BM$1006,0))&gt;=100000), " ",IF(INDEX($AM$2:$BM$1001,MATCH(ROWS($AF$2:AF118),$AF$2:$AF$1001,0),MATCH(COLUMNS($AM$1006:AN1006),$AM$1006:$BM$1006,0)), HYPERLINK("#",""), HYPERLINK(CONCATENATE("#metadata!", ADDRESS(INDEX($AH$2:$AH$1001,MATCH(ROWS($AF$2:AF118),$AF$2:$AF$1001,0),0), INDEX($AM$1004:$BM$1004,1,MATCH(COLUMNS($AM$1006:AN1006),$AM$1006:$BM$1006,0)))),"Fix")))</f>
        <v xml:space="preserve"> </v>
      </c>
      <c r="D118" s="4" t="str">
        <f ca="1">IF(OR(INDEX($AG$2:$AG$1001,MATCH(ROWS($AF$2:AF118),$AF$2:$AF$1001,0),1)&gt;=100000,INDEX($AM$1005:$BM$1005,1,MATCH(COLUMNS($AM$1006:AO1006),$AM$1006:$BM$1006,0))&gt;=100000), " ",IF(INDEX($AM$2:$BM$1001,MATCH(ROWS($AF$2:AF118),$AF$2:$AF$1001,0),MATCH(COLUMNS($AM$1006:AO1006),$AM$1006:$BM$1006,0)), HYPERLINK("#",""), HYPERLINK(CONCATENATE("#metadata!", ADDRESS(INDEX($AH$2:$AH$1001,MATCH(ROWS($AF$2:AF118),$AF$2:$AF$1001,0),0), INDEX($AM$1004:$BM$1004,1,MATCH(COLUMNS($AM$1006:AO1006),$AM$1006:$BM$1006,0)))),"Fix")))</f>
        <v xml:space="preserve"> </v>
      </c>
      <c r="E118" s="4" t="str">
        <f ca="1">IF(OR(INDEX($AG$2:$AG$1001,MATCH(ROWS($AF$2:AF118),$AF$2:$AF$1001,0),1)&gt;=100000,INDEX($AM$1005:$BM$1005,1,MATCH(COLUMNS($AM$1006:AP1006),$AM$1006:$BM$1006,0))&gt;=100000), " ",IF(INDEX($AM$2:$BM$1001,MATCH(ROWS($AF$2:AF118),$AF$2:$AF$1001,0),MATCH(COLUMNS($AM$1006:AP1006),$AM$1006:$BM$1006,0)), HYPERLINK("#",""), HYPERLINK(CONCATENATE("#metadata!", ADDRESS(INDEX($AH$2:$AH$1001,MATCH(ROWS($AF$2:AF118),$AF$2:$AF$1001,0),0), INDEX($AM$1004:$BM$1004,1,MATCH(COLUMNS($AM$1006:AP1006),$AM$1006:$BM$1006,0)))),"Fix")))</f>
        <v xml:space="preserve"> </v>
      </c>
      <c r="F118" s="4" t="str">
        <f ca="1">IF(OR(INDEX($AG$2:$AG$1001,MATCH(ROWS($AF$2:AF118),$AF$2:$AF$1001,0),1)&gt;=100000,INDEX($AM$1005:$BM$1005,1,MATCH(COLUMNS($AM$1006:AQ1006),$AM$1006:$BM$1006,0))&gt;=100000), " ",IF(INDEX($AM$2:$BM$1001,MATCH(ROWS($AF$2:AF118),$AF$2:$AF$1001,0),MATCH(COLUMNS($AM$1006:AQ1006),$AM$1006:$BM$1006,0)), HYPERLINK("#",""), HYPERLINK(CONCATENATE("#metadata!", ADDRESS(INDEX($AH$2:$AH$1001,MATCH(ROWS($AF$2:AF118),$AF$2:$AF$1001,0),0), INDEX($AM$1004:$BM$1004,1,MATCH(COLUMNS($AM$1006:AQ1006),$AM$1006:$BM$1006,0)))),"Fix")))</f>
        <v xml:space="preserve"> </v>
      </c>
      <c r="G118" s="4" t="str">
        <f ca="1">IF(OR(INDEX($AG$2:$AG$1001,MATCH(ROWS($AF$2:AF118),$AF$2:$AF$1001,0),1)&gt;=100000,INDEX($AM$1005:$BM$1005,1,MATCH(COLUMNS($AM$1006:AR1006),$AM$1006:$BM$1006,0))&gt;=100000), " ",IF(INDEX($AM$2:$BM$1001,MATCH(ROWS($AF$2:AF118),$AF$2:$AF$1001,0),MATCH(COLUMNS($AM$1006:AR1006),$AM$1006:$BM$1006,0)), HYPERLINK("#",""), HYPERLINK(CONCATENATE("#metadata!", ADDRESS(INDEX($AH$2:$AH$1001,MATCH(ROWS($AF$2:AF118),$AF$2:$AF$1001,0),0), INDEX($AM$1004:$BM$1004,1,MATCH(COLUMNS($AM$1006:AR1006),$AM$1006:$BM$1006,0)))),"Fix")))</f>
        <v xml:space="preserve"> </v>
      </c>
      <c r="H118" s="4" t="str">
        <f ca="1">IF(OR(INDEX($AG$2:$AG$1001,MATCH(ROWS($AF$2:AF118),$AF$2:$AF$1001,0),1)&gt;=100000,INDEX($AM$1005:$BM$1005,1,MATCH(COLUMNS($AM$1006:AS1006),$AM$1006:$BM$1006,0))&gt;=100000), " ",IF(INDEX($AM$2:$BM$1001,MATCH(ROWS($AF$2:AF118),$AF$2:$AF$1001,0),MATCH(COLUMNS($AM$1006:AS1006),$AM$1006:$BM$1006,0)), HYPERLINK("#",""), HYPERLINK(CONCATENATE("#metadata!", ADDRESS(INDEX($AH$2:$AH$1001,MATCH(ROWS($AF$2:AF118),$AF$2:$AF$1001,0),0), INDEX($AM$1004:$BM$1004,1,MATCH(COLUMNS($AM$1006:AS1006),$AM$1006:$BM$1006,0)))),"Fix")))</f>
        <v xml:space="preserve"> </v>
      </c>
      <c r="I118" s="4" t="str">
        <f ca="1">IF(OR(INDEX($AG$2:$AG$1001,MATCH(ROWS($AF$2:AF118),$AF$2:$AF$1001,0),1)&gt;=100000,INDEX($AM$1005:$BM$1005,1,MATCH(COLUMNS($AM$1006:AT1006),$AM$1006:$BM$1006,0))&gt;=100000), " ",IF(INDEX($AM$2:$BM$1001,MATCH(ROWS($AF$2:AF118),$AF$2:$AF$1001,0),MATCH(COLUMNS($AM$1006:AT1006),$AM$1006:$BM$1006,0)), HYPERLINK("#",""), HYPERLINK(CONCATENATE("#metadata!", ADDRESS(INDEX($AH$2:$AH$1001,MATCH(ROWS($AF$2:AF118),$AF$2:$AF$1001,0),0), INDEX($AM$1004:$BM$1004,1,MATCH(COLUMNS($AM$1006:AT1006),$AM$1006:$BM$1006,0)))),"Fix")))</f>
        <v xml:space="preserve"> </v>
      </c>
      <c r="J118" s="4" t="str">
        <f ca="1">IF(OR(INDEX($AG$2:$AG$1001,MATCH(ROWS($AF$2:AF118),$AF$2:$AF$1001,0),1)&gt;=100000,INDEX($AM$1005:$BM$1005,1,MATCH(COLUMNS($AM$1006:AU1006),$AM$1006:$BM$1006,0))&gt;=100000), " ",IF(INDEX($AM$2:$BM$1001,MATCH(ROWS($AF$2:AF118),$AF$2:$AF$1001,0),MATCH(COLUMNS($AM$1006:AU1006),$AM$1006:$BM$1006,0)), HYPERLINK("#",""), HYPERLINK(CONCATENATE("#metadata!", ADDRESS(INDEX($AH$2:$AH$1001,MATCH(ROWS($AF$2:AF118),$AF$2:$AF$1001,0),0), INDEX($AM$1004:$BM$1004,1,MATCH(COLUMNS($AM$1006:AU1006),$AM$1006:$BM$1006,0)))),"Fix")))</f>
        <v xml:space="preserve"> </v>
      </c>
      <c r="K118" s="4" t="str">
        <f ca="1">IF(OR(INDEX($AG$2:$AG$1001,MATCH(ROWS($AF$2:AF118),$AF$2:$AF$1001,0),1)&gt;=100000,INDEX($AM$1005:$BM$1005,1,MATCH(COLUMNS($AM$1006:AV1006),$AM$1006:$BM$1006,0))&gt;=100000), " ",IF(INDEX($AM$2:$BM$1001,MATCH(ROWS($AF$2:AF118),$AF$2:$AF$1001,0),MATCH(COLUMNS($AM$1006:AV1006),$AM$1006:$BM$1006,0)), HYPERLINK("#",""), HYPERLINK(CONCATENATE("#metadata!", ADDRESS(INDEX($AH$2:$AH$1001,MATCH(ROWS($AF$2:AF118),$AF$2:$AF$1001,0),0), INDEX($AM$1004:$BM$1004,1,MATCH(COLUMNS($AM$1006:AV1006),$AM$1006:$BM$1006,0)))),"Fix")))</f>
        <v xml:space="preserve"> </v>
      </c>
      <c r="L118" s="4" t="str">
        <f ca="1">IF(OR(INDEX($AG$2:$AG$1001,MATCH(ROWS($AF$2:AF118),$AF$2:$AF$1001,0),1)&gt;=100000,INDEX($AM$1005:$BM$1005,1,MATCH(COLUMNS($AM$1006:AW1006),$AM$1006:$BM$1006,0))&gt;=100000), " ",IF(INDEX($AM$2:$BM$1001,MATCH(ROWS($AF$2:AF118),$AF$2:$AF$1001,0),MATCH(COLUMNS($AM$1006:AW1006),$AM$1006:$BM$1006,0)), HYPERLINK("#",""), HYPERLINK(CONCATENATE("#metadata!", ADDRESS(INDEX($AH$2:$AH$1001,MATCH(ROWS($AF$2:AF118),$AF$2:$AF$1001,0),0), INDEX($AM$1004:$BM$1004,1,MATCH(COLUMNS($AM$1006:AW1006),$AM$1006:$BM$1006,0)))),"Fix")))</f>
        <v xml:space="preserve"> </v>
      </c>
      <c r="M118" s="4" t="str">
        <f ca="1">IF(OR(INDEX($AG$2:$AG$1001,MATCH(ROWS($AF$2:AF118),$AF$2:$AF$1001,0),1)&gt;=100000,INDEX($AM$1005:$BM$1005,1,MATCH(COLUMNS($AM$1006:AX1006),$AM$1006:$BM$1006,0))&gt;=100000), " ",IF(INDEX($AM$2:$BM$1001,MATCH(ROWS($AF$2:AF118),$AF$2:$AF$1001,0),MATCH(COLUMNS($AM$1006:AX1006),$AM$1006:$BM$1006,0)), HYPERLINK("#",""), HYPERLINK(CONCATENATE("#metadata!", ADDRESS(INDEX($AH$2:$AH$1001,MATCH(ROWS($AF$2:AF118),$AF$2:$AF$1001,0),0), INDEX($AM$1004:$BM$1004,1,MATCH(COLUMNS($AM$1006:AX1006),$AM$1006:$BM$1006,0)))),"Fix")))</f>
        <v xml:space="preserve"> </v>
      </c>
      <c r="N118" s="4" t="str">
        <f ca="1">IF(OR(INDEX($AG$2:$AG$1001,MATCH(ROWS($AF$2:AF118),$AF$2:$AF$1001,0),1)&gt;=100000,INDEX($AM$1005:$BM$1005,1,MATCH(COLUMNS($AM$1006:AY1006),$AM$1006:$BM$1006,0))&gt;=100000), " ",IF(INDEX($AM$2:$BM$1001,MATCH(ROWS($AF$2:AF118),$AF$2:$AF$1001,0),MATCH(COLUMNS($AM$1006:AY1006),$AM$1006:$BM$1006,0)), HYPERLINK("#",""), HYPERLINK(CONCATENATE("#metadata!", ADDRESS(INDEX($AH$2:$AH$1001,MATCH(ROWS($AF$2:AF118),$AF$2:$AF$1001,0),0), INDEX($AM$1004:$BM$1004,1,MATCH(COLUMNS($AM$1006:AY1006),$AM$1006:$BM$1006,0)))),"Fix")))</f>
        <v xml:space="preserve"> </v>
      </c>
      <c r="O118" s="4" t="str">
        <f ca="1">IF(OR(INDEX($AG$2:$AG$1001,MATCH(ROWS($AF$2:AF118),$AF$2:$AF$1001,0),1)&gt;=100000,INDEX($AM$1005:$BM$1005,1,MATCH(COLUMNS($AM$1006:AZ1006),$AM$1006:$BM$1006,0))&gt;=100000), " ",IF(INDEX($AM$2:$BM$1001,MATCH(ROWS($AF$2:AF118),$AF$2:$AF$1001,0),MATCH(COLUMNS($AM$1006:AZ1006),$AM$1006:$BM$1006,0)), HYPERLINK("#",""), HYPERLINK(CONCATENATE("#metadata!", ADDRESS(INDEX($AH$2:$AH$1001,MATCH(ROWS($AF$2:AF118),$AF$2:$AF$1001,0),0), INDEX($AM$1004:$BM$1004,1,MATCH(COLUMNS($AM$1006:AZ1006),$AM$1006:$BM$1006,0)))),"Fix")))</f>
        <v xml:space="preserve"> </v>
      </c>
      <c r="P118" s="4" t="str">
        <f ca="1">IF(OR(INDEX($AG$2:$AG$1001,MATCH(ROWS($AF$2:AF118),$AF$2:$AF$1001,0),1)&gt;=100000,INDEX($AM$1005:$BM$1005,1,MATCH(COLUMNS($AM$1006:BA1006),$AM$1006:$BM$1006,0))&gt;=100000), " ",IF(INDEX($AM$2:$BM$1001,MATCH(ROWS($AF$2:AF118),$AF$2:$AF$1001,0),MATCH(COLUMNS($AM$1006:BA1006),$AM$1006:$BM$1006,0)), HYPERLINK("#",""), HYPERLINK(CONCATENATE("#metadata!", ADDRESS(INDEX($AH$2:$AH$1001,MATCH(ROWS($AF$2:AF118),$AF$2:$AF$1001,0),0), INDEX($AM$1004:$BM$1004,1,MATCH(COLUMNS($AM$1006:BA1006),$AM$1006:$BM$1006,0)))),"Fix")))</f>
        <v xml:space="preserve"> </v>
      </c>
      <c r="Q118" s="4" t="str">
        <f ca="1">IF(OR(INDEX($AG$2:$AG$1001,MATCH(ROWS($AF$2:AF118),$AF$2:$AF$1001,0),1)&gt;=100000,INDEX($AM$1005:$BM$1005,1,MATCH(COLUMNS($AM$1006:BB1006),$AM$1006:$BM$1006,0))&gt;=100000), " ",IF(INDEX($AM$2:$BM$1001,MATCH(ROWS($AF$2:AF118),$AF$2:$AF$1001,0),MATCH(COLUMNS($AM$1006:BB1006),$AM$1006:$BM$1006,0)), HYPERLINK("#",""), HYPERLINK(CONCATENATE("#metadata!", ADDRESS(INDEX($AH$2:$AH$1001,MATCH(ROWS($AF$2:AF118),$AF$2:$AF$1001,0),0), INDEX($AM$1004:$BM$1004,1,MATCH(COLUMNS($AM$1006:BB1006),$AM$1006:$BM$1006,0)))),"Fix")))</f>
        <v xml:space="preserve"> </v>
      </c>
      <c r="R118" s="4" t="str">
        <f ca="1">IF(OR(INDEX($AG$2:$AG$1001,MATCH(ROWS($AF$2:AF118),$AF$2:$AF$1001,0),1)&gt;=100000,INDEX($AM$1005:$BM$1005,1,MATCH(COLUMNS($AM$1006:BC1006),$AM$1006:$BM$1006,0))&gt;=100000), " ",IF(INDEX($AM$2:$BM$1001,MATCH(ROWS($AF$2:AF118),$AF$2:$AF$1001,0),MATCH(COLUMNS($AM$1006:BC1006),$AM$1006:$BM$1006,0)), HYPERLINK("#",""), HYPERLINK(CONCATENATE("#metadata!", ADDRESS(INDEX($AH$2:$AH$1001,MATCH(ROWS($AF$2:AF118),$AF$2:$AF$1001,0),0), INDEX($AM$1004:$BM$1004,1,MATCH(COLUMNS($AM$1006:BC1006),$AM$1006:$BM$1006,0)))),"Fix")))</f>
        <v xml:space="preserve"> </v>
      </c>
      <c r="S118" s="4" t="str">
        <f ca="1">IF(OR(INDEX($AG$2:$AG$1001,MATCH(ROWS($AF$2:AF118),$AF$2:$AF$1001,0),1)&gt;=100000,INDEX($AM$1005:$BM$1005,1,MATCH(COLUMNS($AM$1006:BD1006),$AM$1006:$BM$1006,0))&gt;=100000), " ",IF(INDEX($AM$2:$BM$1001,MATCH(ROWS($AF$2:AF118),$AF$2:$AF$1001,0),MATCH(COLUMNS($AM$1006:BD1006),$AM$1006:$BM$1006,0)), HYPERLINK("#",""), HYPERLINK(CONCATENATE("#metadata!", ADDRESS(INDEX($AH$2:$AH$1001,MATCH(ROWS($AF$2:AF118),$AF$2:$AF$1001,0),0), INDEX($AM$1004:$BM$1004,1,MATCH(COLUMNS($AM$1006:BD1006),$AM$1006:$BM$1006,0)))),"Fix")))</f>
        <v xml:space="preserve"> </v>
      </c>
      <c r="T118" s="4" t="str">
        <f ca="1">IF(OR(INDEX($AG$2:$AG$1001,MATCH(ROWS($AF$2:AF118),$AF$2:$AF$1001,0),1)&gt;=100000,INDEX($AM$1005:$BM$1005,1,MATCH(COLUMNS($AM$1006:BE1006),$AM$1006:$BM$1006,0))&gt;=100000), " ",IF(INDEX($AM$2:$BM$1001,MATCH(ROWS($AF$2:AF118),$AF$2:$AF$1001,0),MATCH(COLUMNS($AM$1006:BE1006),$AM$1006:$BM$1006,0)), HYPERLINK("#",""), HYPERLINK(CONCATENATE("#metadata!", ADDRESS(INDEX($AH$2:$AH$1001,MATCH(ROWS($AF$2:AF118),$AF$2:$AF$1001,0),0), INDEX($AM$1004:$BM$1004,1,MATCH(COLUMNS($AM$1006:BE1006),$AM$1006:$BM$1006,0)))),"Fix")))</f>
        <v xml:space="preserve"> </v>
      </c>
      <c r="U118" s="4" t="str">
        <f ca="1">IF(OR(INDEX($AG$2:$AG$1001,MATCH(ROWS($AF$2:AF118),$AF$2:$AF$1001,0),1)&gt;=100000,INDEX($AM$1005:$BM$1005,1,MATCH(COLUMNS($AM$1006:BF1006),$AM$1006:$BM$1006,0))&gt;=100000), " ",IF(INDEX($AM$2:$BM$1001,MATCH(ROWS($AF$2:AF118),$AF$2:$AF$1001,0),MATCH(COLUMNS($AM$1006:BF1006),$AM$1006:$BM$1006,0)), HYPERLINK("#",""), HYPERLINK(CONCATENATE("#metadata!", ADDRESS(INDEX($AH$2:$AH$1001,MATCH(ROWS($AF$2:AF118),$AF$2:$AF$1001,0),0), INDEX($AM$1004:$BM$1004,1,MATCH(COLUMNS($AM$1006:BF1006),$AM$1006:$BM$1006,0)))),"Fix")))</f>
        <v xml:space="preserve"> </v>
      </c>
      <c r="V118" s="4" t="str">
        <f ca="1">IF(OR(INDEX($AG$2:$AG$1001,MATCH(ROWS($AF$2:AF118),$AF$2:$AF$1001,0),1)&gt;=100000,INDEX($AM$1005:$BM$1005,1,MATCH(COLUMNS($AM$1006:BG1006),$AM$1006:$BM$1006,0))&gt;=100000), " ",IF(INDEX($AM$2:$BM$1001,MATCH(ROWS($AF$2:AF118),$AF$2:$AF$1001,0),MATCH(COLUMNS($AM$1006:BG1006),$AM$1006:$BM$1006,0)), HYPERLINK("#",""), HYPERLINK(CONCATENATE("#metadata!", ADDRESS(INDEX($AH$2:$AH$1001,MATCH(ROWS($AF$2:AF118),$AF$2:$AF$1001,0),0), INDEX($AM$1004:$BM$1004,1,MATCH(COLUMNS($AM$1006:BG1006),$AM$1006:$BM$1006,0)))),"Fix")))</f>
        <v xml:space="preserve"> </v>
      </c>
      <c r="W118" s="4" t="str">
        <f ca="1">IF(OR(INDEX($AG$2:$AG$1001,MATCH(ROWS($AF$2:AF118),$AF$2:$AF$1001,0),1)&gt;=100000,INDEX($AM$1005:$BM$1005,1,MATCH(COLUMNS($AM$1006:BH1006),$AM$1006:$BM$1006,0))&gt;=100000), " ",IF(INDEX($AM$2:$BM$1001,MATCH(ROWS($AF$2:AF118),$AF$2:$AF$1001,0),MATCH(COLUMNS($AM$1006:BH1006),$AM$1006:$BM$1006,0)), HYPERLINK("#",""), HYPERLINK(CONCATENATE("#metadata!", ADDRESS(INDEX($AH$2:$AH$1001,MATCH(ROWS($AF$2:AF118),$AF$2:$AF$1001,0),0), INDEX($AM$1004:$BM$1004,1,MATCH(COLUMNS($AM$1006:BH1006),$AM$1006:$BM$1006,0)))),"Fix")))</f>
        <v xml:space="preserve"> </v>
      </c>
      <c r="X118" s="4" t="str">
        <f ca="1">IF(OR(INDEX($AG$2:$AG$1001,MATCH(ROWS($AF$2:AF118),$AF$2:$AF$1001,0),1)&gt;=100000,INDEX($AM$1005:$BM$1005,1,MATCH(COLUMNS($AM$1006:BI1006),$AM$1006:$BM$1006,0))&gt;=100000), " ",IF(INDEX($AM$2:$BM$1001,MATCH(ROWS($AF$2:AF118),$AF$2:$AF$1001,0),MATCH(COLUMNS($AM$1006:BI1006),$AM$1006:$BM$1006,0)), HYPERLINK("#",""), HYPERLINK(CONCATENATE("#metadata!", ADDRESS(INDEX($AH$2:$AH$1001,MATCH(ROWS($AF$2:AF118),$AF$2:$AF$1001,0),0), INDEX($AM$1004:$BM$1004,1,MATCH(COLUMNS($AM$1006:BI1006),$AM$1006:$BM$1006,0)))),"Fix")))</f>
        <v xml:space="preserve"> </v>
      </c>
      <c r="Y118" s="4" t="str">
        <f ca="1">IF(OR(INDEX($AG$2:$AG$1001,MATCH(ROWS($AF$2:AF118),$AF$2:$AF$1001,0),1)&gt;=100000,INDEX($AM$1005:$BM$1005,1,MATCH(COLUMNS($AM$1006:BJ1006),$AM$1006:$BM$1006,0))&gt;=100000), " ",IF(INDEX($AM$2:$BM$1001,MATCH(ROWS($AF$2:AF118),$AF$2:$AF$1001,0),MATCH(COLUMNS($AM$1006:BJ1006),$AM$1006:$BM$1006,0)), HYPERLINK("#",""), HYPERLINK(CONCATENATE("#metadata!", ADDRESS(INDEX($AH$2:$AH$1001,MATCH(ROWS($AF$2:AF118),$AF$2:$AF$1001,0),0), INDEX($AM$1004:$BM$1004,1,MATCH(COLUMNS($AM$1006:BJ1006),$AM$1006:$BM$1006,0)))),"Fix")))</f>
        <v xml:space="preserve"> </v>
      </c>
      <c r="Z118" s="4" t="str">
        <f ca="1">IF(OR(INDEX($AG$2:$AG$1001,MATCH(ROWS($AF$2:AF118),$AF$2:$AF$1001,0),1)&gt;=100000,INDEX($AM$1005:$BM$1005,1,MATCH(COLUMNS($AM$1006:BK1006),$AM$1006:$BM$1006,0))&gt;=100000), " ",IF(INDEX($AM$2:$BM$1001,MATCH(ROWS($AF$2:AF118),$AF$2:$AF$1001,0),MATCH(COLUMNS($AM$1006:BK1006),$AM$1006:$BM$1006,0)), HYPERLINK("#",""), HYPERLINK(CONCATENATE("#metadata!", ADDRESS(INDEX($AH$2:$AH$1001,MATCH(ROWS($AF$2:AF118),$AF$2:$AF$1001,0),0), INDEX($AM$1004:$BM$1004,1,MATCH(COLUMNS($AM$1006:BK1006),$AM$1006:$BM$1006,0)))),"Fix")))</f>
        <v xml:space="preserve"> </v>
      </c>
      <c r="AA118" s="4" t="str">
        <f ca="1">IF(OR(INDEX($AG$2:$AG$1001,MATCH(ROWS($AF$2:AF118),$AF$2:$AF$1001,0),1)&gt;=100000,INDEX($AM$1005:$BM$1005,1,MATCH(COLUMNS($AM$1006:BL1006),$AM$1006:$BM$1006,0))&gt;=100000), " ",IF(INDEX($AM$2:$BM$1001,MATCH(ROWS($AF$2:AF118),$AF$2:$AF$1001,0),MATCH(COLUMNS($AM$1006:BL1006),$AM$1006:$BM$1006,0)), HYPERLINK("#",""), HYPERLINK(CONCATENATE("#metadata!", ADDRESS(INDEX($AH$2:$AH$1001,MATCH(ROWS($AF$2:AF118),$AF$2:$AF$1001,0),0), INDEX($AM$1004:$BM$1004,1,MATCH(COLUMNS($AM$1006:BL1006),$AM$1006:$BM$1006,0)))),"Fix")))</f>
        <v xml:space="preserve"> </v>
      </c>
      <c r="AB118" s="4" t="str">
        <f ca="1">IF(OR(INDEX($AG$2:$AG$1001,MATCH(ROWS($AF$2:AF118),$AF$2:$AF$1001,0),1)&gt;=100000,INDEX($AM$1005:$BM$1005,1,MATCH(COLUMNS($AM$1006:BM1006),$AM$1006:$BM$1006,0))&gt;=100000), " ",IF(INDEX($AM$2:$BM$1001,MATCH(ROWS($AF$2:AF118),$AF$2:$AF$1001,0),MATCH(COLUMNS($AM$1006:BM1006),$AM$1006:$BM$1006,0)), HYPERLINK("#",""), HYPERLINK(CONCATENATE("#metadata!", ADDRESS(INDEX($AH$2:$AH$1001,MATCH(ROWS($AF$2:AF118),$AF$2:$AF$1001,0),0), INDEX($AM$1004:$BM$1004,1,MATCH(COLUMNS($AM$1006:BM1006),$AM$1006:$BM$1006,0)))),"Fix")))</f>
        <v xml:space="preserve"> </v>
      </c>
      <c r="AF118">
        <v>117</v>
      </c>
      <c r="AG118">
        <v>100118</v>
      </c>
      <c r="AH118">
        <v>118</v>
      </c>
      <c r="AI118" t="b">
        <f t="shared" si="1"/>
        <v>1</v>
      </c>
      <c r="AJ118" t="b">
        <f>COUNTBLANK(metadata!B118:AB118)=COLUMNS(metadata!B118:AB118)</f>
        <v>1</v>
      </c>
      <c r="AK118" t="str">
        <v/>
      </c>
      <c r="AM118" t="b">
        <f ca="1">AND(IF(metadata!B118="",FALSE,TRUE),COUNTIF(metadata!B:B, metadata!B118) = 1,NOT(ISERROR(SUMPRODUCT(SEARCH(MID(metadata!B118,ROW(INDIRECT("1:"&amp;LEN(metadata!B118))), 1),"0123456789abcdefghijklmnopqrstuvwxyzABCDEFGHIJKLMNOPQRSTUVWXYZ.")))))</f>
        <v>0</v>
      </c>
      <c r="AN118" t="b">
        <f ca="1">OR(AND(IF(metadata!C118="",FALSE,TRUE),OR(EXACT(metadata!C118,"missing: not collected"),EXACT(metadata!C118,"missing: not provided"),EXACT(metadata!C118,"missing: restricted access"))),AND(IF(metadata!C118="",FALSE,TRUE),AND(AND(IFERROR(INT(LEFT(metadata!C118,4))&gt;1900,FALSE),IFERROR(INT(LEFT(metadata!C118,4))&lt;=YEAR(NOW()),FALSE)), OR(MID(metadata!C118,5,1)="", AND(AND(MID(metadata!C118,5,1)="-",IFERROR(INT(MID(metadata!C118,6,1))&gt;=0,FALSE),IFERROR(INT(MID(metadata!C118,6,1))&lt;=1,FALSE),NOT(MID(metadata!C118,7,1)=""),IFERROR(INT(MID(metadata!C118,6,2))&gt;=1,FALSE),IFERROR(INT(MID(metadata!C118,6,2))&lt;=12,FALSE)), OR(MID(metadata!C118,8,1)="", AND(AND(MID(metadata!C118,8,1)="-",IFERROR(INT(MID(metadata!C118,9,1))&gt;=0,FALSE),IFERROR(INT(MID(metadata!C118,9,1))&lt;=3,FALSE),NOT(MID(metadata!C118,10,1)=""),IFERROR(INT(MID(metadata!C118,9,2))&gt;=1,FALSE),IFERROR(INT(MID(metadata!C118,9,2))&lt;=31,FALSE)), OR(MID(metadata!C118,11,1)="", AND(AND(MID(metadata!C118,11,1)=" ",IFERROR(INT(MID(metadata!C118,12,1))&gt;=0,FALSE),IFERROR(INT(MID(metadata!C118,12,1))&lt;=2,FALSE),NOT(MID(metadata!C118,13,1)=""),IFERROR(INT(MID(metadata!C118,12,2))&gt;=0,FALSE),IFERROR(INT(MID(metadata!C118,12,2))&lt;=23,FALSE)), OR(MID(metadata!C118,14,1)="", AND(AND(MID(metadata!C118,14,1)=":",IFERROR(INT(MID(metadata!C118,15,1))&gt;=0,FALSE),IFERROR(INT(MID(metadata!C118,15,1))&lt;=5,FALSE),NOT(MID(metadata!C118,16,1)=""),IFERROR(INT(MID(metadata!C118,15,2))&gt;=0,FALSE),IFERROR(INT(MID(metadata!C118,15,2))&lt;=59,FALSE)), OR(MID(metadata!C118,17,1)="", AND(AND(MID(metadata!C118,17,1)=":",IFERROR(INT(MID(metadata!C118,18,1))&gt;=0,FALSE),IFERROR(INT(MID(metadata!C118,18,1))&lt;=5,FALSE),NOT(MID(metadata!C118,19,1)=""),IFERROR(INT(MID(metadata!C118,18,2))&gt;=0,FALSE),IFERROR(INT(MID(metadata!C118,18,2))&lt;=59,FALSE)), LEN(metadata!C118)&lt;=19)))))))))))))</f>
        <v>0</v>
      </c>
      <c r="AO118" t="b">
        <f>AND(IF(metadata!D118="",FALSE,TRUE),EXACT(metadata!D118,"Not applicable"))</f>
        <v>0</v>
      </c>
      <c r="AP118" t="b">
        <f>IF(metadata!E118="",FALSE,TRUE)</f>
        <v>0</v>
      </c>
      <c r="AQ118" t="b">
        <f>OR(AND(IF(metadata!F118="",FALSE,TRUE),OR(EXACT(metadata!F118,"missing: not collected"),EXACT(metadata!F118,"missing: not provided"))),AND(IF(metadata!F118="",FALSE,TRUE),OR(EXACT(metadata!F118,"TRUE"),EXACT(metadata!F118,"FALSE"))))</f>
        <v>0</v>
      </c>
      <c r="AR118" t="b">
        <f>OR(AND(IF(metadata!G118="",FALSE,TRUE),OR(EXACT(metadata!G118,"missing: not collected"),EXACT(metadata!G118,"missing: not provided"),EXACT(metadata!G118,"missing: restricted access"))),AND(IF(metadata!G118="",FALSE,ISNUMBER(VALUE(metadata!G118))),metadata!G118&gt;=-413))</f>
        <v>0</v>
      </c>
      <c r="AS118" t="b">
        <f>AND(IF(metadata!H118="",FALSE,TRUE),EXACT(metadata!H118,"meters"))</f>
        <v>0</v>
      </c>
      <c r="AT118" t="b">
        <f>AND(IF(metadata!I118="",FALSE,TRUE),OR(EXACT(metadata!I118,"Host-associated"),EXACT(metadata!I118,"Free-living")))</f>
        <v>0</v>
      </c>
      <c r="AU118" t="b">
        <f>AND(IF(metadata!J118="",FALSE,TRUE),OR(EXACT(metadata!J118,"Animal"),EXACT(metadata!J118,"Fungus"),EXACT(metadata!J118,"Plant"),EXACT(metadata!J118,"Saline"),EXACT(metadata!J118,"Non-saline")))</f>
        <v>0</v>
      </c>
      <c r="AV118" t="b">
        <f>AND(IF(metadata!K118="",FALSE,TRUE),OR(EXACT(metadata!K118,"Plant secretion"),EXACT(metadata!K118,"Plant rhizosphere"),EXACT(metadata!K118,"Plant surface"),EXACT(metadata!K118,"Plant corpus"),EXACT(metadata!K118,"Fungus surface"),EXACT(metadata!K118,"Fungus corpus"),EXACT(metadata!K118,"Animal surface"),EXACT(metadata!K118,"Animal proximal gut"),EXACT(metadata!K118,"Animal corpus"),EXACT(metadata!K118,"Animal distal gut"),EXACT(metadata!K118,"Animal secretion"),EXACT(metadata!K118,"Sub-surface (non-saline)"),EXACT(metadata!K118,"Surface (non-saline)"),EXACT(metadata!K118,"Water (non-saline)"),EXACT(metadata!K118,"Soil (non-saline)"),EXACT(metadata!K118,"Aerosol (non-saline)"),EXACT(metadata!K118,"Sediment (non-saline)"),EXACT(metadata!K118,"Surface (saline)"),EXACT(metadata!K118,"Water (saline)"),EXACT(metadata!K118,"Hypersaline (saline)"),EXACT(metadata!K118,"Aerosol (saline)"),EXACT(metadata!K118,"Sediment (saline)")))</f>
        <v>0</v>
      </c>
      <c r="AW118" t="b">
        <f>IF(metadata!L118="",FALSE,TRUE)</f>
        <v>0</v>
      </c>
      <c r="AX118" t="b">
        <f>IF(metadata!M118="",FALSE,TRUE)</f>
        <v>0</v>
      </c>
      <c r="AY118" t="b">
        <f>IF(metadata!N118="",FALSE,TRUE)</f>
        <v>0</v>
      </c>
      <c r="AZ118" t="b">
        <f>OR(AND(IF(metadata!O118="",FALSE,TRUE),OR(EXACT(metadata!O118,"missing: not collected"),EXACT(metadata!O118,"missing: not provided"),EXACT(metadata!O118,"missing: restricted access"))),AND(IF(metadata!O118="",FALSE,TRUE),OR(EXACT(metadata!O118,"air"),EXACT(metadata!O118,"built environment"),EXACT(metadata!O118,"host-associated"),EXACT(metadata!O118,"human-associated"),EXACT(metadata!O118,"human-skin"),EXACT(metadata!O118,"human-oral"),EXACT(metadata!O118,"human-gut"),EXACT(metadata!O118,"human-vaginal"),EXACT(metadata!O118,"microbial mat/biofilm"),EXACT(metadata!O118,"misc environment"),EXACT(metadata!O118,"plant-associated"),EXACT(metadata!O118,"sediment"),EXACT(metadata!O118,"soil"),EXACT(metadata!O118,"wastewater/sludge"),EXACT(metadata!O118,"water"))))</f>
        <v>0</v>
      </c>
      <c r="BA118" t="b">
        <f>IF(metadata!P118="",FALSE,TRUE)</f>
        <v>0</v>
      </c>
      <c r="BB118" t="b">
        <f>IF(metadata!Q118="",FALSE,TRUE)</f>
        <v>0</v>
      </c>
      <c r="BC118" t="b">
        <f>OR(AND(IF(metadata!R118="",FALSE,TRUE),OR(EXACT(metadata!R118,"missing: not collected"),EXACT(metadata!R118,"missing: not provided"),EXACT(metadata!R118,"missing: restricted access"))),AND(IF(metadata!R118="",FALSE,ISNUMBER(VALUE(metadata!R118))),metadata!R118&gt;=-90,metadata!R118&lt;=90))</f>
        <v>0</v>
      </c>
      <c r="BD118" t="b">
        <f>AND(IF(metadata!S118="",FALSE,TRUE),EXACT(metadata!S118,"Decimal degrees"))</f>
        <v>0</v>
      </c>
      <c r="BE118" t="b">
        <f>OR(AND(IF(metadata!T118="",FALSE,TRUE),OR(EXACT(metadata!T118,"missing: not collected"),EXACT(metadata!T118,"missing: not provided"),EXACT(metadata!T118,"missing: restricted access"))),AND(IF(metadata!T118="",FALSE,ISNUMBER(VALUE(metadata!T118))),metadata!T118&gt;=-180,metadata!T118&lt;=180))</f>
        <v>0</v>
      </c>
      <c r="BF118" t="b">
        <f>AND(IF(metadata!U118="",FALSE,TRUE),EXACT(metadata!U118,"Decimal degrees"))</f>
        <v>0</v>
      </c>
      <c r="BG118" t="b">
        <f>IF(metadata!V118="",FALSE,TRUE)</f>
        <v>0</v>
      </c>
      <c r="BH118" t="b">
        <f>OR(AND(IF(metadata!W118="",FALSE,TRUE),OR(EXACT(metadata!W118,"missing: not collected"),EXACT(metadata!W118,"missing: not provided"),EXACT(metadata!W118,"missing: restricted access"))),AND(IF(metadata!W118="",FALSE,TRUE),OR(EXACT(metadata!W118,"TRUE"),EXACT(metadata!W118,"FALSE"))))</f>
        <v>0</v>
      </c>
      <c r="BI118" t="b">
        <f>AND(IF(metadata!X118="",FALSE,TRUE),EXACT(metadata!X118,"other"))</f>
        <v>0</v>
      </c>
      <c r="BJ118" t="b">
        <f>IF(metadata!Y118="",FALSE,TRUE)</f>
        <v>0</v>
      </c>
      <c r="BK118" t="b">
        <f>OR(AND(IF(metadata!Z118="",FALSE,TRUE),OR(EXACT(metadata!Z118,"missing: not collected"),EXACT(metadata!Z118,"missing: not provided"))),AND(IF(metadata!Z118="",FALSE,IF(ISERROR(INT(metadata!Z118)),FALSE,INT(metadata!Z118)=metadata!Z118)),metadata!Z118&gt;0))</f>
        <v>0</v>
      </c>
      <c r="BL118" t="b">
        <f>AND(IF(metadata!AA118="",FALSE,TRUE),EXACT(metadata!AA118,"Not applicable"))</f>
        <v>0</v>
      </c>
      <c r="BM118" t="b">
        <f>IF(metadata!AB118="",FALSE,TRUE)</f>
        <v>0</v>
      </c>
    </row>
    <row r="119" spans="1:65" x14ac:dyDescent="0.2">
      <c r="A119" s="5" t="str">
        <f ca="1">IF(B119=" "," ",HYPERLINK(CONCATENATE("#metadata!",ADDRESS(INDEX($AH$2:$AH$1001,MATCH(ROWS($AF$2:AF119),$AF$2:$AF$1001,0),0),1)),INDEX($AK$2:$AK$1001,MATCH(ROWS($AF$2:AF119),$AF$2:$AF$1001,0),0)))</f>
        <v xml:space="preserve"> </v>
      </c>
      <c r="B119" s="4" t="str">
        <f ca="1">IF(OR(INDEX($AG$2:$AG$1001,MATCH(ROWS($AF$2:AF119),$AF$2:$AF$1001,0),1)&gt;=100000,INDEX($AM$1005:$BM$1005,1,MATCH(COLUMNS($AM$1006:AM1006),$AM$1006:$BM$1006,0))&gt;=100000), " ",IF(INDEX($AM$2:$BM$1001,MATCH(ROWS($AF$2:AF119),$AF$2:$AF$1001,0),MATCH(COLUMNS($AM$1006:AM1006),$AM$1006:$BM$1006,0)), HYPERLINK("#",""), HYPERLINK(CONCATENATE("#metadata!", ADDRESS(INDEX($AH$2:$AH$1001,MATCH(ROWS($AF$2:AF119),$AF$2:$AF$1001,0),0), INDEX($AM$1004:$BM$1004,1,MATCH(COLUMNS($AM$1006:AM1006),$AM$1006:$BM$1006,0)))),"Fix")))</f>
        <v xml:space="preserve"> </v>
      </c>
      <c r="C119" s="4" t="str">
        <f ca="1">IF(OR(INDEX($AG$2:$AG$1001,MATCH(ROWS($AF$2:AF119),$AF$2:$AF$1001,0),1)&gt;=100000,INDEX($AM$1005:$BM$1005,1,MATCH(COLUMNS($AM$1006:AN1006),$AM$1006:$BM$1006,0))&gt;=100000), " ",IF(INDEX($AM$2:$BM$1001,MATCH(ROWS($AF$2:AF119),$AF$2:$AF$1001,0),MATCH(COLUMNS($AM$1006:AN1006),$AM$1006:$BM$1006,0)), HYPERLINK("#",""), HYPERLINK(CONCATENATE("#metadata!", ADDRESS(INDEX($AH$2:$AH$1001,MATCH(ROWS($AF$2:AF119),$AF$2:$AF$1001,0),0), INDEX($AM$1004:$BM$1004,1,MATCH(COLUMNS($AM$1006:AN1006),$AM$1006:$BM$1006,0)))),"Fix")))</f>
        <v xml:space="preserve"> </v>
      </c>
      <c r="D119" s="4" t="str">
        <f ca="1">IF(OR(INDEX($AG$2:$AG$1001,MATCH(ROWS($AF$2:AF119),$AF$2:$AF$1001,0),1)&gt;=100000,INDEX($AM$1005:$BM$1005,1,MATCH(COLUMNS($AM$1006:AO1006),$AM$1006:$BM$1006,0))&gt;=100000), " ",IF(INDEX($AM$2:$BM$1001,MATCH(ROWS($AF$2:AF119),$AF$2:$AF$1001,0),MATCH(COLUMNS($AM$1006:AO1006),$AM$1006:$BM$1006,0)), HYPERLINK("#",""), HYPERLINK(CONCATENATE("#metadata!", ADDRESS(INDEX($AH$2:$AH$1001,MATCH(ROWS($AF$2:AF119),$AF$2:$AF$1001,0),0), INDEX($AM$1004:$BM$1004,1,MATCH(COLUMNS($AM$1006:AO1006),$AM$1006:$BM$1006,0)))),"Fix")))</f>
        <v xml:space="preserve"> </v>
      </c>
      <c r="E119" s="4" t="str">
        <f ca="1">IF(OR(INDEX($AG$2:$AG$1001,MATCH(ROWS($AF$2:AF119),$AF$2:$AF$1001,0),1)&gt;=100000,INDEX($AM$1005:$BM$1005,1,MATCH(COLUMNS($AM$1006:AP1006),$AM$1006:$BM$1006,0))&gt;=100000), " ",IF(INDEX($AM$2:$BM$1001,MATCH(ROWS($AF$2:AF119),$AF$2:$AF$1001,0),MATCH(COLUMNS($AM$1006:AP1006),$AM$1006:$BM$1006,0)), HYPERLINK("#",""), HYPERLINK(CONCATENATE("#metadata!", ADDRESS(INDEX($AH$2:$AH$1001,MATCH(ROWS($AF$2:AF119),$AF$2:$AF$1001,0),0), INDEX($AM$1004:$BM$1004,1,MATCH(COLUMNS($AM$1006:AP1006),$AM$1006:$BM$1006,0)))),"Fix")))</f>
        <v xml:space="preserve"> </v>
      </c>
      <c r="F119" s="4" t="str">
        <f ca="1">IF(OR(INDEX($AG$2:$AG$1001,MATCH(ROWS($AF$2:AF119),$AF$2:$AF$1001,0),1)&gt;=100000,INDEX($AM$1005:$BM$1005,1,MATCH(COLUMNS($AM$1006:AQ1006),$AM$1006:$BM$1006,0))&gt;=100000), " ",IF(INDEX($AM$2:$BM$1001,MATCH(ROWS($AF$2:AF119),$AF$2:$AF$1001,0),MATCH(COLUMNS($AM$1006:AQ1006),$AM$1006:$BM$1006,0)), HYPERLINK("#",""), HYPERLINK(CONCATENATE("#metadata!", ADDRESS(INDEX($AH$2:$AH$1001,MATCH(ROWS($AF$2:AF119),$AF$2:$AF$1001,0),0), INDEX($AM$1004:$BM$1004,1,MATCH(COLUMNS($AM$1006:AQ1006),$AM$1006:$BM$1006,0)))),"Fix")))</f>
        <v xml:space="preserve"> </v>
      </c>
      <c r="G119" s="4" t="str">
        <f ca="1">IF(OR(INDEX($AG$2:$AG$1001,MATCH(ROWS($AF$2:AF119),$AF$2:$AF$1001,0),1)&gt;=100000,INDEX($AM$1005:$BM$1005,1,MATCH(COLUMNS($AM$1006:AR1006),$AM$1006:$BM$1006,0))&gt;=100000), " ",IF(INDEX($AM$2:$BM$1001,MATCH(ROWS($AF$2:AF119),$AF$2:$AF$1001,0),MATCH(COLUMNS($AM$1006:AR1006),$AM$1006:$BM$1006,0)), HYPERLINK("#",""), HYPERLINK(CONCATENATE("#metadata!", ADDRESS(INDEX($AH$2:$AH$1001,MATCH(ROWS($AF$2:AF119),$AF$2:$AF$1001,0),0), INDEX($AM$1004:$BM$1004,1,MATCH(COLUMNS($AM$1006:AR1006),$AM$1006:$BM$1006,0)))),"Fix")))</f>
        <v xml:space="preserve"> </v>
      </c>
      <c r="H119" s="4" t="str">
        <f ca="1">IF(OR(INDEX($AG$2:$AG$1001,MATCH(ROWS($AF$2:AF119),$AF$2:$AF$1001,0),1)&gt;=100000,INDEX($AM$1005:$BM$1005,1,MATCH(COLUMNS($AM$1006:AS1006),$AM$1006:$BM$1006,0))&gt;=100000), " ",IF(INDEX($AM$2:$BM$1001,MATCH(ROWS($AF$2:AF119),$AF$2:$AF$1001,0),MATCH(COLUMNS($AM$1006:AS1006),$AM$1006:$BM$1006,0)), HYPERLINK("#",""), HYPERLINK(CONCATENATE("#metadata!", ADDRESS(INDEX($AH$2:$AH$1001,MATCH(ROWS($AF$2:AF119),$AF$2:$AF$1001,0),0), INDEX($AM$1004:$BM$1004,1,MATCH(COLUMNS($AM$1006:AS1006),$AM$1006:$BM$1006,0)))),"Fix")))</f>
        <v xml:space="preserve"> </v>
      </c>
      <c r="I119" s="4" t="str">
        <f ca="1">IF(OR(INDEX($AG$2:$AG$1001,MATCH(ROWS($AF$2:AF119),$AF$2:$AF$1001,0),1)&gt;=100000,INDEX($AM$1005:$BM$1005,1,MATCH(COLUMNS($AM$1006:AT1006),$AM$1006:$BM$1006,0))&gt;=100000), " ",IF(INDEX($AM$2:$BM$1001,MATCH(ROWS($AF$2:AF119),$AF$2:$AF$1001,0),MATCH(COLUMNS($AM$1006:AT1006),$AM$1006:$BM$1006,0)), HYPERLINK("#",""), HYPERLINK(CONCATENATE("#metadata!", ADDRESS(INDEX($AH$2:$AH$1001,MATCH(ROWS($AF$2:AF119),$AF$2:$AF$1001,0),0), INDEX($AM$1004:$BM$1004,1,MATCH(COLUMNS($AM$1006:AT1006),$AM$1006:$BM$1006,0)))),"Fix")))</f>
        <v xml:space="preserve"> </v>
      </c>
      <c r="J119" s="4" t="str">
        <f ca="1">IF(OR(INDEX($AG$2:$AG$1001,MATCH(ROWS($AF$2:AF119),$AF$2:$AF$1001,0),1)&gt;=100000,INDEX($AM$1005:$BM$1005,1,MATCH(COLUMNS($AM$1006:AU1006),$AM$1006:$BM$1006,0))&gt;=100000), " ",IF(INDEX($AM$2:$BM$1001,MATCH(ROWS($AF$2:AF119),$AF$2:$AF$1001,0),MATCH(COLUMNS($AM$1006:AU1006),$AM$1006:$BM$1006,0)), HYPERLINK("#",""), HYPERLINK(CONCATENATE("#metadata!", ADDRESS(INDEX($AH$2:$AH$1001,MATCH(ROWS($AF$2:AF119),$AF$2:$AF$1001,0),0), INDEX($AM$1004:$BM$1004,1,MATCH(COLUMNS($AM$1006:AU1006),$AM$1006:$BM$1006,0)))),"Fix")))</f>
        <v xml:space="preserve"> </v>
      </c>
      <c r="K119" s="4" t="str">
        <f ca="1">IF(OR(INDEX($AG$2:$AG$1001,MATCH(ROWS($AF$2:AF119),$AF$2:$AF$1001,0),1)&gt;=100000,INDEX($AM$1005:$BM$1005,1,MATCH(COLUMNS($AM$1006:AV1006),$AM$1006:$BM$1006,0))&gt;=100000), " ",IF(INDEX($AM$2:$BM$1001,MATCH(ROWS($AF$2:AF119),$AF$2:$AF$1001,0),MATCH(COLUMNS($AM$1006:AV1006),$AM$1006:$BM$1006,0)), HYPERLINK("#",""), HYPERLINK(CONCATENATE("#metadata!", ADDRESS(INDEX($AH$2:$AH$1001,MATCH(ROWS($AF$2:AF119),$AF$2:$AF$1001,0),0), INDEX($AM$1004:$BM$1004,1,MATCH(COLUMNS($AM$1006:AV1006),$AM$1006:$BM$1006,0)))),"Fix")))</f>
        <v xml:space="preserve"> </v>
      </c>
      <c r="L119" s="4" t="str">
        <f ca="1">IF(OR(INDEX($AG$2:$AG$1001,MATCH(ROWS($AF$2:AF119),$AF$2:$AF$1001,0),1)&gt;=100000,INDEX($AM$1005:$BM$1005,1,MATCH(COLUMNS($AM$1006:AW1006),$AM$1006:$BM$1006,0))&gt;=100000), " ",IF(INDEX($AM$2:$BM$1001,MATCH(ROWS($AF$2:AF119),$AF$2:$AF$1001,0),MATCH(COLUMNS($AM$1006:AW1006),$AM$1006:$BM$1006,0)), HYPERLINK("#",""), HYPERLINK(CONCATENATE("#metadata!", ADDRESS(INDEX($AH$2:$AH$1001,MATCH(ROWS($AF$2:AF119),$AF$2:$AF$1001,0),0), INDEX($AM$1004:$BM$1004,1,MATCH(COLUMNS($AM$1006:AW1006),$AM$1006:$BM$1006,0)))),"Fix")))</f>
        <v xml:space="preserve"> </v>
      </c>
      <c r="M119" s="4" t="str">
        <f ca="1">IF(OR(INDEX($AG$2:$AG$1001,MATCH(ROWS($AF$2:AF119),$AF$2:$AF$1001,0),1)&gt;=100000,INDEX($AM$1005:$BM$1005,1,MATCH(COLUMNS($AM$1006:AX1006),$AM$1006:$BM$1006,0))&gt;=100000), " ",IF(INDEX($AM$2:$BM$1001,MATCH(ROWS($AF$2:AF119),$AF$2:$AF$1001,0),MATCH(COLUMNS($AM$1006:AX1006),$AM$1006:$BM$1006,0)), HYPERLINK("#",""), HYPERLINK(CONCATENATE("#metadata!", ADDRESS(INDEX($AH$2:$AH$1001,MATCH(ROWS($AF$2:AF119),$AF$2:$AF$1001,0),0), INDEX($AM$1004:$BM$1004,1,MATCH(COLUMNS($AM$1006:AX1006),$AM$1006:$BM$1006,0)))),"Fix")))</f>
        <v xml:space="preserve"> </v>
      </c>
      <c r="N119" s="4" t="str">
        <f ca="1">IF(OR(INDEX($AG$2:$AG$1001,MATCH(ROWS($AF$2:AF119),$AF$2:$AF$1001,0),1)&gt;=100000,INDEX($AM$1005:$BM$1005,1,MATCH(COLUMNS($AM$1006:AY1006),$AM$1006:$BM$1006,0))&gt;=100000), " ",IF(INDEX($AM$2:$BM$1001,MATCH(ROWS($AF$2:AF119),$AF$2:$AF$1001,0),MATCH(COLUMNS($AM$1006:AY1006),$AM$1006:$BM$1006,0)), HYPERLINK("#",""), HYPERLINK(CONCATENATE("#metadata!", ADDRESS(INDEX($AH$2:$AH$1001,MATCH(ROWS($AF$2:AF119),$AF$2:$AF$1001,0),0), INDEX($AM$1004:$BM$1004,1,MATCH(COLUMNS($AM$1006:AY1006),$AM$1006:$BM$1006,0)))),"Fix")))</f>
        <v xml:space="preserve"> </v>
      </c>
      <c r="O119" s="4" t="str">
        <f ca="1">IF(OR(INDEX($AG$2:$AG$1001,MATCH(ROWS($AF$2:AF119),$AF$2:$AF$1001,0),1)&gt;=100000,INDEX($AM$1005:$BM$1005,1,MATCH(COLUMNS($AM$1006:AZ1006),$AM$1006:$BM$1006,0))&gt;=100000), " ",IF(INDEX($AM$2:$BM$1001,MATCH(ROWS($AF$2:AF119),$AF$2:$AF$1001,0),MATCH(COLUMNS($AM$1006:AZ1006),$AM$1006:$BM$1006,0)), HYPERLINK("#",""), HYPERLINK(CONCATENATE("#metadata!", ADDRESS(INDEX($AH$2:$AH$1001,MATCH(ROWS($AF$2:AF119),$AF$2:$AF$1001,0),0), INDEX($AM$1004:$BM$1004,1,MATCH(COLUMNS($AM$1006:AZ1006),$AM$1006:$BM$1006,0)))),"Fix")))</f>
        <v xml:space="preserve"> </v>
      </c>
      <c r="P119" s="4" t="str">
        <f ca="1">IF(OR(INDEX($AG$2:$AG$1001,MATCH(ROWS($AF$2:AF119),$AF$2:$AF$1001,0),1)&gt;=100000,INDEX($AM$1005:$BM$1005,1,MATCH(COLUMNS($AM$1006:BA1006),$AM$1006:$BM$1006,0))&gt;=100000), " ",IF(INDEX($AM$2:$BM$1001,MATCH(ROWS($AF$2:AF119),$AF$2:$AF$1001,0),MATCH(COLUMNS($AM$1006:BA1006),$AM$1006:$BM$1006,0)), HYPERLINK("#",""), HYPERLINK(CONCATENATE("#metadata!", ADDRESS(INDEX($AH$2:$AH$1001,MATCH(ROWS($AF$2:AF119),$AF$2:$AF$1001,0),0), INDEX($AM$1004:$BM$1004,1,MATCH(COLUMNS($AM$1006:BA1006),$AM$1006:$BM$1006,0)))),"Fix")))</f>
        <v xml:space="preserve"> </v>
      </c>
      <c r="Q119" s="4" t="str">
        <f ca="1">IF(OR(INDEX($AG$2:$AG$1001,MATCH(ROWS($AF$2:AF119),$AF$2:$AF$1001,0),1)&gt;=100000,INDEX($AM$1005:$BM$1005,1,MATCH(COLUMNS($AM$1006:BB1006),$AM$1006:$BM$1006,0))&gt;=100000), " ",IF(INDEX($AM$2:$BM$1001,MATCH(ROWS($AF$2:AF119),$AF$2:$AF$1001,0),MATCH(COLUMNS($AM$1006:BB1006),$AM$1006:$BM$1006,0)), HYPERLINK("#",""), HYPERLINK(CONCATENATE("#metadata!", ADDRESS(INDEX($AH$2:$AH$1001,MATCH(ROWS($AF$2:AF119),$AF$2:$AF$1001,0),0), INDEX($AM$1004:$BM$1004,1,MATCH(COLUMNS($AM$1006:BB1006),$AM$1006:$BM$1006,0)))),"Fix")))</f>
        <v xml:space="preserve"> </v>
      </c>
      <c r="R119" s="4" t="str">
        <f ca="1">IF(OR(INDEX($AG$2:$AG$1001,MATCH(ROWS($AF$2:AF119),$AF$2:$AF$1001,0),1)&gt;=100000,INDEX($AM$1005:$BM$1005,1,MATCH(COLUMNS($AM$1006:BC1006),$AM$1006:$BM$1006,0))&gt;=100000), " ",IF(INDEX($AM$2:$BM$1001,MATCH(ROWS($AF$2:AF119),$AF$2:$AF$1001,0),MATCH(COLUMNS($AM$1006:BC1006),$AM$1006:$BM$1006,0)), HYPERLINK("#",""), HYPERLINK(CONCATENATE("#metadata!", ADDRESS(INDEX($AH$2:$AH$1001,MATCH(ROWS($AF$2:AF119),$AF$2:$AF$1001,0),0), INDEX($AM$1004:$BM$1004,1,MATCH(COLUMNS($AM$1006:BC1006),$AM$1006:$BM$1006,0)))),"Fix")))</f>
        <v xml:space="preserve"> </v>
      </c>
      <c r="S119" s="4" t="str">
        <f ca="1">IF(OR(INDEX($AG$2:$AG$1001,MATCH(ROWS($AF$2:AF119),$AF$2:$AF$1001,0),1)&gt;=100000,INDEX($AM$1005:$BM$1005,1,MATCH(COLUMNS($AM$1006:BD1006),$AM$1006:$BM$1006,0))&gt;=100000), " ",IF(INDEX($AM$2:$BM$1001,MATCH(ROWS($AF$2:AF119),$AF$2:$AF$1001,0),MATCH(COLUMNS($AM$1006:BD1006),$AM$1006:$BM$1006,0)), HYPERLINK("#",""), HYPERLINK(CONCATENATE("#metadata!", ADDRESS(INDEX($AH$2:$AH$1001,MATCH(ROWS($AF$2:AF119),$AF$2:$AF$1001,0),0), INDEX($AM$1004:$BM$1004,1,MATCH(COLUMNS($AM$1006:BD1006),$AM$1006:$BM$1006,0)))),"Fix")))</f>
        <v xml:space="preserve"> </v>
      </c>
      <c r="T119" s="4" t="str">
        <f ca="1">IF(OR(INDEX($AG$2:$AG$1001,MATCH(ROWS($AF$2:AF119),$AF$2:$AF$1001,0),1)&gt;=100000,INDEX($AM$1005:$BM$1005,1,MATCH(COLUMNS($AM$1006:BE1006),$AM$1006:$BM$1006,0))&gt;=100000), " ",IF(INDEX($AM$2:$BM$1001,MATCH(ROWS($AF$2:AF119),$AF$2:$AF$1001,0),MATCH(COLUMNS($AM$1006:BE1006),$AM$1006:$BM$1006,0)), HYPERLINK("#",""), HYPERLINK(CONCATENATE("#metadata!", ADDRESS(INDEX($AH$2:$AH$1001,MATCH(ROWS($AF$2:AF119),$AF$2:$AF$1001,0),0), INDEX($AM$1004:$BM$1004,1,MATCH(COLUMNS($AM$1006:BE1006),$AM$1006:$BM$1006,0)))),"Fix")))</f>
        <v xml:space="preserve"> </v>
      </c>
      <c r="U119" s="4" t="str">
        <f ca="1">IF(OR(INDEX($AG$2:$AG$1001,MATCH(ROWS($AF$2:AF119),$AF$2:$AF$1001,0),1)&gt;=100000,INDEX($AM$1005:$BM$1005,1,MATCH(COLUMNS($AM$1006:BF1006),$AM$1006:$BM$1006,0))&gt;=100000), " ",IF(INDEX($AM$2:$BM$1001,MATCH(ROWS($AF$2:AF119),$AF$2:$AF$1001,0),MATCH(COLUMNS($AM$1006:BF1006),$AM$1006:$BM$1006,0)), HYPERLINK("#",""), HYPERLINK(CONCATENATE("#metadata!", ADDRESS(INDEX($AH$2:$AH$1001,MATCH(ROWS($AF$2:AF119),$AF$2:$AF$1001,0),0), INDEX($AM$1004:$BM$1004,1,MATCH(COLUMNS($AM$1006:BF1006),$AM$1006:$BM$1006,0)))),"Fix")))</f>
        <v xml:space="preserve"> </v>
      </c>
      <c r="V119" s="4" t="str">
        <f ca="1">IF(OR(INDEX($AG$2:$AG$1001,MATCH(ROWS($AF$2:AF119),$AF$2:$AF$1001,0),1)&gt;=100000,INDEX($AM$1005:$BM$1005,1,MATCH(COLUMNS($AM$1006:BG1006),$AM$1006:$BM$1006,0))&gt;=100000), " ",IF(INDEX($AM$2:$BM$1001,MATCH(ROWS($AF$2:AF119),$AF$2:$AF$1001,0),MATCH(COLUMNS($AM$1006:BG1006),$AM$1006:$BM$1006,0)), HYPERLINK("#",""), HYPERLINK(CONCATENATE("#metadata!", ADDRESS(INDEX($AH$2:$AH$1001,MATCH(ROWS($AF$2:AF119),$AF$2:$AF$1001,0),0), INDEX($AM$1004:$BM$1004,1,MATCH(COLUMNS($AM$1006:BG1006),$AM$1006:$BM$1006,0)))),"Fix")))</f>
        <v xml:space="preserve"> </v>
      </c>
      <c r="W119" s="4" t="str">
        <f ca="1">IF(OR(INDEX($AG$2:$AG$1001,MATCH(ROWS($AF$2:AF119),$AF$2:$AF$1001,0),1)&gt;=100000,INDEX($AM$1005:$BM$1005,1,MATCH(COLUMNS($AM$1006:BH1006),$AM$1006:$BM$1006,0))&gt;=100000), " ",IF(INDEX($AM$2:$BM$1001,MATCH(ROWS($AF$2:AF119),$AF$2:$AF$1001,0),MATCH(COLUMNS($AM$1006:BH1006),$AM$1006:$BM$1006,0)), HYPERLINK("#",""), HYPERLINK(CONCATENATE("#metadata!", ADDRESS(INDEX($AH$2:$AH$1001,MATCH(ROWS($AF$2:AF119),$AF$2:$AF$1001,0),0), INDEX($AM$1004:$BM$1004,1,MATCH(COLUMNS($AM$1006:BH1006),$AM$1006:$BM$1006,0)))),"Fix")))</f>
        <v xml:space="preserve"> </v>
      </c>
      <c r="X119" s="4" t="str">
        <f ca="1">IF(OR(INDEX($AG$2:$AG$1001,MATCH(ROWS($AF$2:AF119),$AF$2:$AF$1001,0),1)&gt;=100000,INDEX($AM$1005:$BM$1005,1,MATCH(COLUMNS($AM$1006:BI1006),$AM$1006:$BM$1006,0))&gt;=100000), " ",IF(INDEX($AM$2:$BM$1001,MATCH(ROWS($AF$2:AF119),$AF$2:$AF$1001,0),MATCH(COLUMNS($AM$1006:BI1006),$AM$1006:$BM$1006,0)), HYPERLINK("#",""), HYPERLINK(CONCATENATE("#metadata!", ADDRESS(INDEX($AH$2:$AH$1001,MATCH(ROWS($AF$2:AF119),$AF$2:$AF$1001,0),0), INDEX($AM$1004:$BM$1004,1,MATCH(COLUMNS($AM$1006:BI1006),$AM$1006:$BM$1006,0)))),"Fix")))</f>
        <v xml:space="preserve"> </v>
      </c>
      <c r="Y119" s="4" t="str">
        <f ca="1">IF(OR(INDEX($AG$2:$AG$1001,MATCH(ROWS($AF$2:AF119),$AF$2:$AF$1001,0),1)&gt;=100000,INDEX($AM$1005:$BM$1005,1,MATCH(COLUMNS($AM$1006:BJ1006),$AM$1006:$BM$1006,0))&gt;=100000), " ",IF(INDEX($AM$2:$BM$1001,MATCH(ROWS($AF$2:AF119),$AF$2:$AF$1001,0),MATCH(COLUMNS($AM$1006:BJ1006),$AM$1006:$BM$1006,0)), HYPERLINK("#",""), HYPERLINK(CONCATENATE("#metadata!", ADDRESS(INDEX($AH$2:$AH$1001,MATCH(ROWS($AF$2:AF119),$AF$2:$AF$1001,0),0), INDEX($AM$1004:$BM$1004,1,MATCH(COLUMNS($AM$1006:BJ1006),$AM$1006:$BM$1006,0)))),"Fix")))</f>
        <v xml:space="preserve"> </v>
      </c>
      <c r="Z119" s="4" t="str">
        <f ca="1">IF(OR(INDEX($AG$2:$AG$1001,MATCH(ROWS($AF$2:AF119),$AF$2:$AF$1001,0),1)&gt;=100000,INDEX($AM$1005:$BM$1005,1,MATCH(COLUMNS($AM$1006:BK1006),$AM$1006:$BM$1006,0))&gt;=100000), " ",IF(INDEX($AM$2:$BM$1001,MATCH(ROWS($AF$2:AF119),$AF$2:$AF$1001,0),MATCH(COLUMNS($AM$1006:BK1006),$AM$1006:$BM$1006,0)), HYPERLINK("#",""), HYPERLINK(CONCATENATE("#metadata!", ADDRESS(INDEX($AH$2:$AH$1001,MATCH(ROWS($AF$2:AF119),$AF$2:$AF$1001,0),0), INDEX($AM$1004:$BM$1004,1,MATCH(COLUMNS($AM$1006:BK1006),$AM$1006:$BM$1006,0)))),"Fix")))</f>
        <v xml:space="preserve"> </v>
      </c>
      <c r="AA119" s="4" t="str">
        <f ca="1">IF(OR(INDEX($AG$2:$AG$1001,MATCH(ROWS($AF$2:AF119),$AF$2:$AF$1001,0),1)&gt;=100000,INDEX($AM$1005:$BM$1005,1,MATCH(COLUMNS($AM$1006:BL1006),$AM$1006:$BM$1006,0))&gt;=100000), " ",IF(INDEX($AM$2:$BM$1001,MATCH(ROWS($AF$2:AF119),$AF$2:$AF$1001,0),MATCH(COLUMNS($AM$1006:BL1006),$AM$1006:$BM$1006,0)), HYPERLINK("#",""), HYPERLINK(CONCATENATE("#metadata!", ADDRESS(INDEX($AH$2:$AH$1001,MATCH(ROWS($AF$2:AF119),$AF$2:$AF$1001,0),0), INDEX($AM$1004:$BM$1004,1,MATCH(COLUMNS($AM$1006:BL1006),$AM$1006:$BM$1006,0)))),"Fix")))</f>
        <v xml:space="preserve"> </v>
      </c>
      <c r="AB119" s="4" t="str">
        <f ca="1">IF(OR(INDEX($AG$2:$AG$1001,MATCH(ROWS($AF$2:AF119),$AF$2:$AF$1001,0),1)&gt;=100000,INDEX($AM$1005:$BM$1005,1,MATCH(COLUMNS($AM$1006:BM1006),$AM$1006:$BM$1006,0))&gt;=100000), " ",IF(INDEX($AM$2:$BM$1001,MATCH(ROWS($AF$2:AF119),$AF$2:$AF$1001,0),MATCH(COLUMNS($AM$1006:BM1006),$AM$1006:$BM$1006,0)), HYPERLINK("#",""), HYPERLINK(CONCATENATE("#metadata!", ADDRESS(INDEX($AH$2:$AH$1001,MATCH(ROWS($AF$2:AF119),$AF$2:$AF$1001,0),0), INDEX($AM$1004:$BM$1004,1,MATCH(COLUMNS($AM$1006:BM1006),$AM$1006:$BM$1006,0)))),"Fix")))</f>
        <v xml:space="preserve"> </v>
      </c>
      <c r="AF119">
        <v>118</v>
      </c>
      <c r="AG119">
        <v>100119</v>
      </c>
      <c r="AH119">
        <v>119</v>
      </c>
      <c r="AI119" t="b">
        <f t="shared" si="1"/>
        <v>1</v>
      </c>
      <c r="AJ119" t="b">
        <f>COUNTBLANK(metadata!B119:AB119)=COLUMNS(metadata!B119:AB119)</f>
        <v>1</v>
      </c>
      <c r="AK119" t="str">
        <v/>
      </c>
      <c r="AM119" t="b">
        <f ca="1">AND(IF(metadata!B119="",FALSE,TRUE),COUNTIF(metadata!B:B, metadata!B119) = 1,NOT(ISERROR(SUMPRODUCT(SEARCH(MID(metadata!B119,ROW(INDIRECT("1:"&amp;LEN(metadata!B119))), 1),"0123456789abcdefghijklmnopqrstuvwxyzABCDEFGHIJKLMNOPQRSTUVWXYZ.")))))</f>
        <v>0</v>
      </c>
      <c r="AN119" t="b">
        <f ca="1">OR(AND(IF(metadata!C119="",FALSE,TRUE),OR(EXACT(metadata!C119,"missing: not collected"),EXACT(metadata!C119,"missing: not provided"),EXACT(metadata!C119,"missing: restricted access"))),AND(IF(metadata!C119="",FALSE,TRUE),AND(AND(IFERROR(INT(LEFT(metadata!C119,4))&gt;1900,FALSE),IFERROR(INT(LEFT(metadata!C119,4))&lt;=YEAR(NOW()),FALSE)), OR(MID(metadata!C119,5,1)="", AND(AND(MID(metadata!C119,5,1)="-",IFERROR(INT(MID(metadata!C119,6,1))&gt;=0,FALSE),IFERROR(INT(MID(metadata!C119,6,1))&lt;=1,FALSE),NOT(MID(metadata!C119,7,1)=""),IFERROR(INT(MID(metadata!C119,6,2))&gt;=1,FALSE),IFERROR(INT(MID(metadata!C119,6,2))&lt;=12,FALSE)), OR(MID(metadata!C119,8,1)="", AND(AND(MID(metadata!C119,8,1)="-",IFERROR(INT(MID(metadata!C119,9,1))&gt;=0,FALSE),IFERROR(INT(MID(metadata!C119,9,1))&lt;=3,FALSE),NOT(MID(metadata!C119,10,1)=""),IFERROR(INT(MID(metadata!C119,9,2))&gt;=1,FALSE),IFERROR(INT(MID(metadata!C119,9,2))&lt;=31,FALSE)), OR(MID(metadata!C119,11,1)="", AND(AND(MID(metadata!C119,11,1)=" ",IFERROR(INT(MID(metadata!C119,12,1))&gt;=0,FALSE),IFERROR(INT(MID(metadata!C119,12,1))&lt;=2,FALSE),NOT(MID(metadata!C119,13,1)=""),IFERROR(INT(MID(metadata!C119,12,2))&gt;=0,FALSE),IFERROR(INT(MID(metadata!C119,12,2))&lt;=23,FALSE)), OR(MID(metadata!C119,14,1)="", AND(AND(MID(metadata!C119,14,1)=":",IFERROR(INT(MID(metadata!C119,15,1))&gt;=0,FALSE),IFERROR(INT(MID(metadata!C119,15,1))&lt;=5,FALSE),NOT(MID(metadata!C119,16,1)=""),IFERROR(INT(MID(metadata!C119,15,2))&gt;=0,FALSE),IFERROR(INT(MID(metadata!C119,15,2))&lt;=59,FALSE)), OR(MID(metadata!C119,17,1)="", AND(AND(MID(metadata!C119,17,1)=":",IFERROR(INT(MID(metadata!C119,18,1))&gt;=0,FALSE),IFERROR(INT(MID(metadata!C119,18,1))&lt;=5,FALSE),NOT(MID(metadata!C119,19,1)=""),IFERROR(INT(MID(metadata!C119,18,2))&gt;=0,FALSE),IFERROR(INT(MID(metadata!C119,18,2))&lt;=59,FALSE)), LEN(metadata!C119)&lt;=19)))))))))))))</f>
        <v>0</v>
      </c>
      <c r="AO119" t="b">
        <f>AND(IF(metadata!D119="",FALSE,TRUE),EXACT(metadata!D119,"Not applicable"))</f>
        <v>0</v>
      </c>
      <c r="AP119" t="b">
        <f>IF(metadata!E119="",FALSE,TRUE)</f>
        <v>0</v>
      </c>
      <c r="AQ119" t="b">
        <f>OR(AND(IF(metadata!F119="",FALSE,TRUE),OR(EXACT(metadata!F119,"missing: not collected"),EXACT(metadata!F119,"missing: not provided"))),AND(IF(metadata!F119="",FALSE,TRUE),OR(EXACT(metadata!F119,"TRUE"),EXACT(metadata!F119,"FALSE"))))</f>
        <v>0</v>
      </c>
      <c r="AR119" t="b">
        <f>OR(AND(IF(metadata!G119="",FALSE,TRUE),OR(EXACT(metadata!G119,"missing: not collected"),EXACT(metadata!G119,"missing: not provided"),EXACT(metadata!G119,"missing: restricted access"))),AND(IF(metadata!G119="",FALSE,ISNUMBER(VALUE(metadata!G119))),metadata!G119&gt;=-413))</f>
        <v>0</v>
      </c>
      <c r="AS119" t="b">
        <f>AND(IF(metadata!H119="",FALSE,TRUE),EXACT(metadata!H119,"meters"))</f>
        <v>0</v>
      </c>
      <c r="AT119" t="b">
        <f>AND(IF(metadata!I119="",FALSE,TRUE),OR(EXACT(metadata!I119,"Host-associated"),EXACT(metadata!I119,"Free-living")))</f>
        <v>0</v>
      </c>
      <c r="AU119" t="b">
        <f>AND(IF(metadata!J119="",FALSE,TRUE),OR(EXACT(metadata!J119,"Animal"),EXACT(metadata!J119,"Fungus"),EXACT(metadata!J119,"Plant"),EXACT(metadata!J119,"Saline"),EXACT(metadata!J119,"Non-saline")))</f>
        <v>0</v>
      </c>
      <c r="AV119" t="b">
        <f>AND(IF(metadata!K119="",FALSE,TRUE),OR(EXACT(metadata!K119,"Plant secretion"),EXACT(metadata!K119,"Plant rhizosphere"),EXACT(metadata!K119,"Plant surface"),EXACT(metadata!K119,"Plant corpus"),EXACT(metadata!K119,"Fungus surface"),EXACT(metadata!K119,"Fungus corpus"),EXACT(metadata!K119,"Animal surface"),EXACT(metadata!K119,"Animal proximal gut"),EXACT(metadata!K119,"Animal corpus"),EXACT(metadata!K119,"Animal distal gut"),EXACT(metadata!K119,"Animal secretion"),EXACT(metadata!K119,"Sub-surface (non-saline)"),EXACT(metadata!K119,"Surface (non-saline)"),EXACT(metadata!K119,"Water (non-saline)"),EXACT(metadata!K119,"Soil (non-saline)"),EXACT(metadata!K119,"Aerosol (non-saline)"),EXACT(metadata!K119,"Sediment (non-saline)"),EXACT(metadata!K119,"Surface (saline)"),EXACT(metadata!K119,"Water (saline)"),EXACT(metadata!K119,"Hypersaline (saline)"),EXACT(metadata!K119,"Aerosol (saline)"),EXACT(metadata!K119,"Sediment (saline)")))</f>
        <v>0</v>
      </c>
      <c r="AW119" t="b">
        <f>IF(metadata!L119="",FALSE,TRUE)</f>
        <v>0</v>
      </c>
      <c r="AX119" t="b">
        <f>IF(metadata!M119="",FALSE,TRUE)</f>
        <v>0</v>
      </c>
      <c r="AY119" t="b">
        <f>IF(metadata!N119="",FALSE,TRUE)</f>
        <v>0</v>
      </c>
      <c r="AZ119" t="b">
        <f>OR(AND(IF(metadata!O119="",FALSE,TRUE),OR(EXACT(metadata!O119,"missing: not collected"),EXACT(metadata!O119,"missing: not provided"),EXACT(metadata!O119,"missing: restricted access"))),AND(IF(metadata!O119="",FALSE,TRUE),OR(EXACT(metadata!O119,"air"),EXACT(metadata!O119,"built environment"),EXACT(metadata!O119,"host-associated"),EXACT(metadata!O119,"human-associated"),EXACT(metadata!O119,"human-skin"),EXACT(metadata!O119,"human-oral"),EXACT(metadata!O119,"human-gut"),EXACT(metadata!O119,"human-vaginal"),EXACT(metadata!O119,"microbial mat/biofilm"),EXACT(metadata!O119,"misc environment"),EXACT(metadata!O119,"plant-associated"),EXACT(metadata!O119,"sediment"),EXACT(metadata!O119,"soil"),EXACT(metadata!O119,"wastewater/sludge"),EXACT(metadata!O119,"water"))))</f>
        <v>0</v>
      </c>
      <c r="BA119" t="b">
        <f>IF(metadata!P119="",FALSE,TRUE)</f>
        <v>0</v>
      </c>
      <c r="BB119" t="b">
        <f>IF(metadata!Q119="",FALSE,TRUE)</f>
        <v>0</v>
      </c>
      <c r="BC119" t="b">
        <f>OR(AND(IF(metadata!R119="",FALSE,TRUE),OR(EXACT(metadata!R119,"missing: not collected"),EXACT(metadata!R119,"missing: not provided"),EXACT(metadata!R119,"missing: restricted access"))),AND(IF(metadata!R119="",FALSE,ISNUMBER(VALUE(metadata!R119))),metadata!R119&gt;=-90,metadata!R119&lt;=90))</f>
        <v>0</v>
      </c>
      <c r="BD119" t="b">
        <f>AND(IF(metadata!S119="",FALSE,TRUE),EXACT(metadata!S119,"Decimal degrees"))</f>
        <v>0</v>
      </c>
      <c r="BE119" t="b">
        <f>OR(AND(IF(metadata!T119="",FALSE,TRUE),OR(EXACT(metadata!T119,"missing: not collected"),EXACT(metadata!T119,"missing: not provided"),EXACT(metadata!T119,"missing: restricted access"))),AND(IF(metadata!T119="",FALSE,ISNUMBER(VALUE(metadata!T119))),metadata!T119&gt;=-180,metadata!T119&lt;=180))</f>
        <v>0</v>
      </c>
      <c r="BF119" t="b">
        <f>AND(IF(metadata!U119="",FALSE,TRUE),EXACT(metadata!U119,"Decimal degrees"))</f>
        <v>0</v>
      </c>
      <c r="BG119" t="b">
        <f>IF(metadata!V119="",FALSE,TRUE)</f>
        <v>0</v>
      </c>
      <c r="BH119" t="b">
        <f>OR(AND(IF(metadata!W119="",FALSE,TRUE),OR(EXACT(metadata!W119,"missing: not collected"),EXACT(metadata!W119,"missing: not provided"),EXACT(metadata!W119,"missing: restricted access"))),AND(IF(metadata!W119="",FALSE,TRUE),OR(EXACT(metadata!W119,"TRUE"),EXACT(metadata!W119,"FALSE"))))</f>
        <v>0</v>
      </c>
      <c r="BI119" t="b">
        <f>AND(IF(metadata!X119="",FALSE,TRUE),EXACT(metadata!X119,"other"))</f>
        <v>0</v>
      </c>
      <c r="BJ119" t="b">
        <f>IF(metadata!Y119="",FALSE,TRUE)</f>
        <v>0</v>
      </c>
      <c r="BK119" t="b">
        <f>OR(AND(IF(metadata!Z119="",FALSE,TRUE),OR(EXACT(metadata!Z119,"missing: not collected"),EXACT(metadata!Z119,"missing: not provided"))),AND(IF(metadata!Z119="",FALSE,IF(ISERROR(INT(metadata!Z119)),FALSE,INT(metadata!Z119)=metadata!Z119)),metadata!Z119&gt;0))</f>
        <v>0</v>
      </c>
      <c r="BL119" t="b">
        <f>AND(IF(metadata!AA119="",FALSE,TRUE),EXACT(metadata!AA119,"Not applicable"))</f>
        <v>0</v>
      </c>
      <c r="BM119" t="b">
        <f>IF(metadata!AB119="",FALSE,TRUE)</f>
        <v>0</v>
      </c>
    </row>
    <row r="120" spans="1:65" x14ac:dyDescent="0.2">
      <c r="A120" s="5" t="str">
        <f ca="1">IF(B120=" "," ",HYPERLINK(CONCATENATE("#metadata!",ADDRESS(INDEX($AH$2:$AH$1001,MATCH(ROWS($AF$2:AF120),$AF$2:$AF$1001,0),0),1)),INDEX($AK$2:$AK$1001,MATCH(ROWS($AF$2:AF120),$AF$2:$AF$1001,0),0)))</f>
        <v xml:space="preserve"> </v>
      </c>
      <c r="B120" s="4" t="str">
        <f ca="1">IF(OR(INDEX($AG$2:$AG$1001,MATCH(ROWS($AF$2:AF120),$AF$2:$AF$1001,0),1)&gt;=100000,INDEX($AM$1005:$BM$1005,1,MATCH(COLUMNS($AM$1006:AM1006),$AM$1006:$BM$1006,0))&gt;=100000), " ",IF(INDEX($AM$2:$BM$1001,MATCH(ROWS($AF$2:AF120),$AF$2:$AF$1001,0),MATCH(COLUMNS($AM$1006:AM1006),$AM$1006:$BM$1006,0)), HYPERLINK("#",""), HYPERLINK(CONCATENATE("#metadata!", ADDRESS(INDEX($AH$2:$AH$1001,MATCH(ROWS($AF$2:AF120),$AF$2:$AF$1001,0),0), INDEX($AM$1004:$BM$1004,1,MATCH(COLUMNS($AM$1006:AM1006),$AM$1006:$BM$1006,0)))),"Fix")))</f>
        <v xml:space="preserve"> </v>
      </c>
      <c r="C120" s="4" t="str">
        <f ca="1">IF(OR(INDEX($AG$2:$AG$1001,MATCH(ROWS($AF$2:AF120),$AF$2:$AF$1001,0),1)&gt;=100000,INDEX($AM$1005:$BM$1005,1,MATCH(COLUMNS($AM$1006:AN1006),$AM$1006:$BM$1006,0))&gt;=100000), " ",IF(INDEX($AM$2:$BM$1001,MATCH(ROWS($AF$2:AF120),$AF$2:$AF$1001,0),MATCH(COLUMNS($AM$1006:AN1006),$AM$1006:$BM$1006,0)), HYPERLINK("#",""), HYPERLINK(CONCATENATE("#metadata!", ADDRESS(INDEX($AH$2:$AH$1001,MATCH(ROWS($AF$2:AF120),$AF$2:$AF$1001,0),0), INDEX($AM$1004:$BM$1004,1,MATCH(COLUMNS($AM$1006:AN1006),$AM$1006:$BM$1006,0)))),"Fix")))</f>
        <v xml:space="preserve"> </v>
      </c>
      <c r="D120" s="4" t="str">
        <f ca="1">IF(OR(INDEX($AG$2:$AG$1001,MATCH(ROWS($AF$2:AF120),$AF$2:$AF$1001,0),1)&gt;=100000,INDEX($AM$1005:$BM$1005,1,MATCH(COLUMNS($AM$1006:AO1006),$AM$1006:$BM$1006,0))&gt;=100000), " ",IF(INDEX($AM$2:$BM$1001,MATCH(ROWS($AF$2:AF120),$AF$2:$AF$1001,0),MATCH(COLUMNS($AM$1006:AO1006),$AM$1006:$BM$1006,0)), HYPERLINK("#",""), HYPERLINK(CONCATENATE("#metadata!", ADDRESS(INDEX($AH$2:$AH$1001,MATCH(ROWS($AF$2:AF120),$AF$2:$AF$1001,0),0), INDEX($AM$1004:$BM$1004,1,MATCH(COLUMNS($AM$1006:AO1006),$AM$1006:$BM$1006,0)))),"Fix")))</f>
        <v xml:space="preserve"> </v>
      </c>
      <c r="E120" s="4" t="str">
        <f ca="1">IF(OR(INDEX($AG$2:$AG$1001,MATCH(ROWS($AF$2:AF120),$AF$2:$AF$1001,0),1)&gt;=100000,INDEX($AM$1005:$BM$1005,1,MATCH(COLUMNS($AM$1006:AP1006),$AM$1006:$BM$1006,0))&gt;=100000), " ",IF(INDEX($AM$2:$BM$1001,MATCH(ROWS($AF$2:AF120),$AF$2:$AF$1001,0),MATCH(COLUMNS($AM$1006:AP1006),$AM$1006:$BM$1006,0)), HYPERLINK("#",""), HYPERLINK(CONCATENATE("#metadata!", ADDRESS(INDEX($AH$2:$AH$1001,MATCH(ROWS($AF$2:AF120),$AF$2:$AF$1001,0),0), INDEX($AM$1004:$BM$1004,1,MATCH(COLUMNS($AM$1006:AP1006),$AM$1006:$BM$1006,0)))),"Fix")))</f>
        <v xml:space="preserve"> </v>
      </c>
      <c r="F120" s="4" t="str">
        <f ca="1">IF(OR(INDEX($AG$2:$AG$1001,MATCH(ROWS($AF$2:AF120),$AF$2:$AF$1001,0),1)&gt;=100000,INDEX($AM$1005:$BM$1005,1,MATCH(COLUMNS($AM$1006:AQ1006),$AM$1006:$BM$1006,0))&gt;=100000), " ",IF(INDEX($AM$2:$BM$1001,MATCH(ROWS($AF$2:AF120),$AF$2:$AF$1001,0),MATCH(COLUMNS($AM$1006:AQ1006),$AM$1006:$BM$1006,0)), HYPERLINK("#",""), HYPERLINK(CONCATENATE("#metadata!", ADDRESS(INDEX($AH$2:$AH$1001,MATCH(ROWS($AF$2:AF120),$AF$2:$AF$1001,0),0), INDEX($AM$1004:$BM$1004,1,MATCH(COLUMNS($AM$1006:AQ1006),$AM$1006:$BM$1006,0)))),"Fix")))</f>
        <v xml:space="preserve"> </v>
      </c>
      <c r="G120" s="4" t="str">
        <f ca="1">IF(OR(INDEX($AG$2:$AG$1001,MATCH(ROWS($AF$2:AF120),$AF$2:$AF$1001,0),1)&gt;=100000,INDEX($AM$1005:$BM$1005,1,MATCH(COLUMNS($AM$1006:AR1006),$AM$1006:$BM$1006,0))&gt;=100000), " ",IF(INDEX($AM$2:$BM$1001,MATCH(ROWS($AF$2:AF120),$AF$2:$AF$1001,0),MATCH(COLUMNS($AM$1006:AR1006),$AM$1006:$BM$1006,0)), HYPERLINK("#",""), HYPERLINK(CONCATENATE("#metadata!", ADDRESS(INDEX($AH$2:$AH$1001,MATCH(ROWS($AF$2:AF120),$AF$2:$AF$1001,0),0), INDEX($AM$1004:$BM$1004,1,MATCH(COLUMNS($AM$1006:AR1006),$AM$1006:$BM$1006,0)))),"Fix")))</f>
        <v xml:space="preserve"> </v>
      </c>
      <c r="H120" s="4" t="str">
        <f ca="1">IF(OR(INDEX($AG$2:$AG$1001,MATCH(ROWS($AF$2:AF120),$AF$2:$AF$1001,0),1)&gt;=100000,INDEX($AM$1005:$BM$1005,1,MATCH(COLUMNS($AM$1006:AS1006),$AM$1006:$BM$1006,0))&gt;=100000), " ",IF(INDEX($AM$2:$BM$1001,MATCH(ROWS($AF$2:AF120),$AF$2:$AF$1001,0),MATCH(COLUMNS($AM$1006:AS1006),$AM$1006:$BM$1006,0)), HYPERLINK("#",""), HYPERLINK(CONCATENATE("#metadata!", ADDRESS(INDEX($AH$2:$AH$1001,MATCH(ROWS($AF$2:AF120),$AF$2:$AF$1001,0),0), INDEX($AM$1004:$BM$1004,1,MATCH(COLUMNS($AM$1006:AS1006),$AM$1006:$BM$1006,0)))),"Fix")))</f>
        <v xml:space="preserve"> </v>
      </c>
      <c r="I120" s="4" t="str">
        <f ca="1">IF(OR(INDEX($AG$2:$AG$1001,MATCH(ROWS($AF$2:AF120),$AF$2:$AF$1001,0),1)&gt;=100000,INDEX($AM$1005:$BM$1005,1,MATCH(COLUMNS($AM$1006:AT1006),$AM$1006:$BM$1006,0))&gt;=100000), " ",IF(INDEX($AM$2:$BM$1001,MATCH(ROWS($AF$2:AF120),$AF$2:$AF$1001,0),MATCH(COLUMNS($AM$1006:AT1006),$AM$1006:$BM$1006,0)), HYPERLINK("#",""), HYPERLINK(CONCATENATE("#metadata!", ADDRESS(INDEX($AH$2:$AH$1001,MATCH(ROWS($AF$2:AF120),$AF$2:$AF$1001,0),0), INDEX($AM$1004:$BM$1004,1,MATCH(COLUMNS($AM$1006:AT1006),$AM$1006:$BM$1006,0)))),"Fix")))</f>
        <v xml:space="preserve"> </v>
      </c>
      <c r="J120" s="4" t="str">
        <f ca="1">IF(OR(INDEX($AG$2:$AG$1001,MATCH(ROWS($AF$2:AF120),$AF$2:$AF$1001,0),1)&gt;=100000,INDEX($AM$1005:$BM$1005,1,MATCH(COLUMNS($AM$1006:AU1006),$AM$1006:$BM$1006,0))&gt;=100000), " ",IF(INDEX($AM$2:$BM$1001,MATCH(ROWS($AF$2:AF120),$AF$2:$AF$1001,0),MATCH(COLUMNS($AM$1006:AU1006),$AM$1006:$BM$1006,0)), HYPERLINK("#",""), HYPERLINK(CONCATENATE("#metadata!", ADDRESS(INDEX($AH$2:$AH$1001,MATCH(ROWS($AF$2:AF120),$AF$2:$AF$1001,0),0), INDEX($AM$1004:$BM$1004,1,MATCH(COLUMNS($AM$1006:AU1006),$AM$1006:$BM$1006,0)))),"Fix")))</f>
        <v xml:space="preserve"> </v>
      </c>
      <c r="K120" s="4" t="str">
        <f ca="1">IF(OR(INDEX($AG$2:$AG$1001,MATCH(ROWS($AF$2:AF120),$AF$2:$AF$1001,0),1)&gt;=100000,INDEX($AM$1005:$BM$1005,1,MATCH(COLUMNS($AM$1006:AV1006),$AM$1006:$BM$1006,0))&gt;=100000), " ",IF(INDEX($AM$2:$BM$1001,MATCH(ROWS($AF$2:AF120),$AF$2:$AF$1001,0),MATCH(COLUMNS($AM$1006:AV1006),$AM$1006:$BM$1006,0)), HYPERLINK("#",""), HYPERLINK(CONCATENATE("#metadata!", ADDRESS(INDEX($AH$2:$AH$1001,MATCH(ROWS($AF$2:AF120),$AF$2:$AF$1001,0),0), INDEX($AM$1004:$BM$1004,1,MATCH(COLUMNS($AM$1006:AV1006),$AM$1006:$BM$1006,0)))),"Fix")))</f>
        <v xml:space="preserve"> </v>
      </c>
      <c r="L120" s="4" t="str">
        <f ca="1">IF(OR(INDEX($AG$2:$AG$1001,MATCH(ROWS($AF$2:AF120),$AF$2:$AF$1001,0),1)&gt;=100000,INDEX($AM$1005:$BM$1005,1,MATCH(COLUMNS($AM$1006:AW1006),$AM$1006:$BM$1006,0))&gt;=100000), " ",IF(INDEX($AM$2:$BM$1001,MATCH(ROWS($AF$2:AF120),$AF$2:$AF$1001,0),MATCH(COLUMNS($AM$1006:AW1006),$AM$1006:$BM$1006,0)), HYPERLINK("#",""), HYPERLINK(CONCATENATE("#metadata!", ADDRESS(INDEX($AH$2:$AH$1001,MATCH(ROWS($AF$2:AF120),$AF$2:$AF$1001,0),0), INDEX($AM$1004:$BM$1004,1,MATCH(COLUMNS($AM$1006:AW1006),$AM$1006:$BM$1006,0)))),"Fix")))</f>
        <v xml:space="preserve"> </v>
      </c>
      <c r="M120" s="4" t="str">
        <f ca="1">IF(OR(INDEX($AG$2:$AG$1001,MATCH(ROWS($AF$2:AF120),$AF$2:$AF$1001,0),1)&gt;=100000,INDEX($AM$1005:$BM$1005,1,MATCH(COLUMNS($AM$1006:AX1006),$AM$1006:$BM$1006,0))&gt;=100000), " ",IF(INDEX($AM$2:$BM$1001,MATCH(ROWS($AF$2:AF120),$AF$2:$AF$1001,0),MATCH(COLUMNS($AM$1006:AX1006),$AM$1006:$BM$1006,0)), HYPERLINK("#",""), HYPERLINK(CONCATENATE("#metadata!", ADDRESS(INDEX($AH$2:$AH$1001,MATCH(ROWS($AF$2:AF120),$AF$2:$AF$1001,0),0), INDEX($AM$1004:$BM$1004,1,MATCH(COLUMNS($AM$1006:AX1006),$AM$1006:$BM$1006,0)))),"Fix")))</f>
        <v xml:space="preserve"> </v>
      </c>
      <c r="N120" s="4" t="str">
        <f ca="1">IF(OR(INDEX($AG$2:$AG$1001,MATCH(ROWS($AF$2:AF120),$AF$2:$AF$1001,0),1)&gt;=100000,INDEX($AM$1005:$BM$1005,1,MATCH(COLUMNS($AM$1006:AY1006),$AM$1006:$BM$1006,0))&gt;=100000), " ",IF(INDEX($AM$2:$BM$1001,MATCH(ROWS($AF$2:AF120),$AF$2:$AF$1001,0),MATCH(COLUMNS($AM$1006:AY1006),$AM$1006:$BM$1006,0)), HYPERLINK("#",""), HYPERLINK(CONCATENATE("#metadata!", ADDRESS(INDEX($AH$2:$AH$1001,MATCH(ROWS($AF$2:AF120),$AF$2:$AF$1001,0),0), INDEX($AM$1004:$BM$1004,1,MATCH(COLUMNS($AM$1006:AY1006),$AM$1006:$BM$1006,0)))),"Fix")))</f>
        <v xml:space="preserve"> </v>
      </c>
      <c r="O120" s="4" t="str">
        <f ca="1">IF(OR(INDEX($AG$2:$AG$1001,MATCH(ROWS($AF$2:AF120),$AF$2:$AF$1001,0),1)&gt;=100000,INDEX($AM$1005:$BM$1005,1,MATCH(COLUMNS($AM$1006:AZ1006),$AM$1006:$BM$1006,0))&gt;=100000), " ",IF(INDEX($AM$2:$BM$1001,MATCH(ROWS($AF$2:AF120),$AF$2:$AF$1001,0),MATCH(COLUMNS($AM$1006:AZ1006),$AM$1006:$BM$1006,0)), HYPERLINK("#",""), HYPERLINK(CONCATENATE("#metadata!", ADDRESS(INDEX($AH$2:$AH$1001,MATCH(ROWS($AF$2:AF120),$AF$2:$AF$1001,0),0), INDEX($AM$1004:$BM$1004,1,MATCH(COLUMNS($AM$1006:AZ1006),$AM$1006:$BM$1006,0)))),"Fix")))</f>
        <v xml:space="preserve"> </v>
      </c>
      <c r="P120" s="4" t="str">
        <f ca="1">IF(OR(INDEX($AG$2:$AG$1001,MATCH(ROWS($AF$2:AF120),$AF$2:$AF$1001,0),1)&gt;=100000,INDEX($AM$1005:$BM$1005,1,MATCH(COLUMNS($AM$1006:BA1006),$AM$1006:$BM$1006,0))&gt;=100000), " ",IF(INDEX($AM$2:$BM$1001,MATCH(ROWS($AF$2:AF120),$AF$2:$AF$1001,0),MATCH(COLUMNS($AM$1006:BA1006),$AM$1006:$BM$1006,0)), HYPERLINK("#",""), HYPERLINK(CONCATENATE("#metadata!", ADDRESS(INDEX($AH$2:$AH$1001,MATCH(ROWS($AF$2:AF120),$AF$2:$AF$1001,0),0), INDEX($AM$1004:$BM$1004,1,MATCH(COLUMNS($AM$1006:BA1006),$AM$1006:$BM$1006,0)))),"Fix")))</f>
        <v xml:space="preserve"> </v>
      </c>
      <c r="Q120" s="4" t="str">
        <f ca="1">IF(OR(INDEX($AG$2:$AG$1001,MATCH(ROWS($AF$2:AF120),$AF$2:$AF$1001,0),1)&gt;=100000,INDEX($AM$1005:$BM$1005,1,MATCH(COLUMNS($AM$1006:BB1006),$AM$1006:$BM$1006,0))&gt;=100000), " ",IF(INDEX($AM$2:$BM$1001,MATCH(ROWS($AF$2:AF120),$AF$2:$AF$1001,0),MATCH(COLUMNS($AM$1006:BB1006),$AM$1006:$BM$1006,0)), HYPERLINK("#",""), HYPERLINK(CONCATENATE("#metadata!", ADDRESS(INDEX($AH$2:$AH$1001,MATCH(ROWS($AF$2:AF120),$AF$2:$AF$1001,0),0), INDEX($AM$1004:$BM$1004,1,MATCH(COLUMNS($AM$1006:BB1006),$AM$1006:$BM$1006,0)))),"Fix")))</f>
        <v xml:space="preserve"> </v>
      </c>
      <c r="R120" s="4" t="str">
        <f ca="1">IF(OR(INDEX($AG$2:$AG$1001,MATCH(ROWS($AF$2:AF120),$AF$2:$AF$1001,0),1)&gt;=100000,INDEX($AM$1005:$BM$1005,1,MATCH(COLUMNS($AM$1006:BC1006),$AM$1006:$BM$1006,0))&gt;=100000), " ",IF(INDEX($AM$2:$BM$1001,MATCH(ROWS($AF$2:AF120),$AF$2:$AF$1001,0),MATCH(COLUMNS($AM$1006:BC1006),$AM$1006:$BM$1006,0)), HYPERLINK("#",""), HYPERLINK(CONCATENATE("#metadata!", ADDRESS(INDEX($AH$2:$AH$1001,MATCH(ROWS($AF$2:AF120),$AF$2:$AF$1001,0),0), INDEX($AM$1004:$BM$1004,1,MATCH(COLUMNS($AM$1006:BC1006),$AM$1006:$BM$1006,0)))),"Fix")))</f>
        <v xml:space="preserve"> </v>
      </c>
      <c r="S120" s="4" t="str">
        <f ca="1">IF(OR(INDEX($AG$2:$AG$1001,MATCH(ROWS($AF$2:AF120),$AF$2:$AF$1001,0),1)&gt;=100000,INDEX($AM$1005:$BM$1005,1,MATCH(COLUMNS($AM$1006:BD1006),$AM$1006:$BM$1006,0))&gt;=100000), " ",IF(INDEX($AM$2:$BM$1001,MATCH(ROWS($AF$2:AF120),$AF$2:$AF$1001,0),MATCH(COLUMNS($AM$1006:BD1006),$AM$1006:$BM$1006,0)), HYPERLINK("#",""), HYPERLINK(CONCATENATE("#metadata!", ADDRESS(INDEX($AH$2:$AH$1001,MATCH(ROWS($AF$2:AF120),$AF$2:$AF$1001,0),0), INDEX($AM$1004:$BM$1004,1,MATCH(COLUMNS($AM$1006:BD1006),$AM$1006:$BM$1006,0)))),"Fix")))</f>
        <v xml:space="preserve"> </v>
      </c>
      <c r="T120" s="4" t="str">
        <f ca="1">IF(OR(INDEX($AG$2:$AG$1001,MATCH(ROWS($AF$2:AF120),$AF$2:$AF$1001,0),1)&gt;=100000,INDEX($AM$1005:$BM$1005,1,MATCH(COLUMNS($AM$1006:BE1006),$AM$1006:$BM$1006,0))&gt;=100000), " ",IF(INDEX($AM$2:$BM$1001,MATCH(ROWS($AF$2:AF120),$AF$2:$AF$1001,0),MATCH(COLUMNS($AM$1006:BE1006),$AM$1006:$BM$1006,0)), HYPERLINK("#",""), HYPERLINK(CONCATENATE("#metadata!", ADDRESS(INDEX($AH$2:$AH$1001,MATCH(ROWS($AF$2:AF120),$AF$2:$AF$1001,0),0), INDEX($AM$1004:$BM$1004,1,MATCH(COLUMNS($AM$1006:BE1006),$AM$1006:$BM$1006,0)))),"Fix")))</f>
        <v xml:space="preserve"> </v>
      </c>
      <c r="U120" s="4" t="str">
        <f ca="1">IF(OR(INDEX($AG$2:$AG$1001,MATCH(ROWS($AF$2:AF120),$AF$2:$AF$1001,0),1)&gt;=100000,INDEX($AM$1005:$BM$1005,1,MATCH(COLUMNS($AM$1006:BF1006),$AM$1006:$BM$1006,0))&gt;=100000), " ",IF(INDEX($AM$2:$BM$1001,MATCH(ROWS($AF$2:AF120),$AF$2:$AF$1001,0),MATCH(COLUMNS($AM$1006:BF1006),$AM$1006:$BM$1006,0)), HYPERLINK("#",""), HYPERLINK(CONCATENATE("#metadata!", ADDRESS(INDEX($AH$2:$AH$1001,MATCH(ROWS($AF$2:AF120),$AF$2:$AF$1001,0),0), INDEX($AM$1004:$BM$1004,1,MATCH(COLUMNS($AM$1006:BF1006),$AM$1006:$BM$1006,0)))),"Fix")))</f>
        <v xml:space="preserve"> </v>
      </c>
      <c r="V120" s="4" t="str">
        <f ca="1">IF(OR(INDEX($AG$2:$AG$1001,MATCH(ROWS($AF$2:AF120),$AF$2:$AF$1001,0),1)&gt;=100000,INDEX($AM$1005:$BM$1005,1,MATCH(COLUMNS($AM$1006:BG1006),$AM$1006:$BM$1006,0))&gt;=100000), " ",IF(INDEX($AM$2:$BM$1001,MATCH(ROWS($AF$2:AF120),$AF$2:$AF$1001,0),MATCH(COLUMNS($AM$1006:BG1006),$AM$1006:$BM$1006,0)), HYPERLINK("#",""), HYPERLINK(CONCATENATE("#metadata!", ADDRESS(INDEX($AH$2:$AH$1001,MATCH(ROWS($AF$2:AF120),$AF$2:$AF$1001,0),0), INDEX($AM$1004:$BM$1004,1,MATCH(COLUMNS($AM$1006:BG1006),$AM$1006:$BM$1006,0)))),"Fix")))</f>
        <v xml:space="preserve"> </v>
      </c>
      <c r="W120" s="4" t="str">
        <f ca="1">IF(OR(INDEX($AG$2:$AG$1001,MATCH(ROWS($AF$2:AF120),$AF$2:$AF$1001,0),1)&gt;=100000,INDEX($AM$1005:$BM$1005,1,MATCH(COLUMNS($AM$1006:BH1006),$AM$1006:$BM$1006,0))&gt;=100000), " ",IF(INDEX($AM$2:$BM$1001,MATCH(ROWS($AF$2:AF120),$AF$2:$AF$1001,0),MATCH(COLUMNS($AM$1006:BH1006),$AM$1006:$BM$1006,0)), HYPERLINK("#",""), HYPERLINK(CONCATENATE("#metadata!", ADDRESS(INDEX($AH$2:$AH$1001,MATCH(ROWS($AF$2:AF120),$AF$2:$AF$1001,0),0), INDEX($AM$1004:$BM$1004,1,MATCH(COLUMNS($AM$1006:BH1006),$AM$1006:$BM$1006,0)))),"Fix")))</f>
        <v xml:space="preserve"> </v>
      </c>
      <c r="X120" s="4" t="str">
        <f ca="1">IF(OR(INDEX($AG$2:$AG$1001,MATCH(ROWS($AF$2:AF120),$AF$2:$AF$1001,0),1)&gt;=100000,INDEX($AM$1005:$BM$1005,1,MATCH(COLUMNS($AM$1006:BI1006),$AM$1006:$BM$1006,0))&gt;=100000), " ",IF(INDEX($AM$2:$BM$1001,MATCH(ROWS($AF$2:AF120),$AF$2:$AF$1001,0),MATCH(COLUMNS($AM$1006:BI1006),$AM$1006:$BM$1006,0)), HYPERLINK("#",""), HYPERLINK(CONCATENATE("#metadata!", ADDRESS(INDEX($AH$2:$AH$1001,MATCH(ROWS($AF$2:AF120),$AF$2:$AF$1001,0),0), INDEX($AM$1004:$BM$1004,1,MATCH(COLUMNS($AM$1006:BI1006),$AM$1006:$BM$1006,0)))),"Fix")))</f>
        <v xml:space="preserve"> </v>
      </c>
      <c r="Y120" s="4" t="str">
        <f ca="1">IF(OR(INDEX($AG$2:$AG$1001,MATCH(ROWS($AF$2:AF120),$AF$2:$AF$1001,0),1)&gt;=100000,INDEX($AM$1005:$BM$1005,1,MATCH(COLUMNS($AM$1006:BJ1006),$AM$1006:$BM$1006,0))&gt;=100000), " ",IF(INDEX($AM$2:$BM$1001,MATCH(ROWS($AF$2:AF120),$AF$2:$AF$1001,0),MATCH(COLUMNS($AM$1006:BJ1006),$AM$1006:$BM$1006,0)), HYPERLINK("#",""), HYPERLINK(CONCATENATE("#metadata!", ADDRESS(INDEX($AH$2:$AH$1001,MATCH(ROWS($AF$2:AF120),$AF$2:$AF$1001,0),0), INDEX($AM$1004:$BM$1004,1,MATCH(COLUMNS($AM$1006:BJ1006),$AM$1006:$BM$1006,0)))),"Fix")))</f>
        <v xml:space="preserve"> </v>
      </c>
      <c r="Z120" s="4" t="str">
        <f ca="1">IF(OR(INDEX($AG$2:$AG$1001,MATCH(ROWS($AF$2:AF120),$AF$2:$AF$1001,0),1)&gt;=100000,INDEX($AM$1005:$BM$1005,1,MATCH(COLUMNS($AM$1006:BK1006),$AM$1006:$BM$1006,0))&gt;=100000), " ",IF(INDEX($AM$2:$BM$1001,MATCH(ROWS($AF$2:AF120),$AF$2:$AF$1001,0),MATCH(COLUMNS($AM$1006:BK1006),$AM$1006:$BM$1006,0)), HYPERLINK("#",""), HYPERLINK(CONCATENATE("#metadata!", ADDRESS(INDEX($AH$2:$AH$1001,MATCH(ROWS($AF$2:AF120),$AF$2:$AF$1001,0),0), INDEX($AM$1004:$BM$1004,1,MATCH(COLUMNS($AM$1006:BK1006),$AM$1006:$BM$1006,0)))),"Fix")))</f>
        <v xml:space="preserve"> </v>
      </c>
      <c r="AA120" s="4" t="str">
        <f ca="1">IF(OR(INDEX($AG$2:$AG$1001,MATCH(ROWS($AF$2:AF120),$AF$2:$AF$1001,0),1)&gt;=100000,INDEX($AM$1005:$BM$1005,1,MATCH(COLUMNS($AM$1006:BL1006),$AM$1006:$BM$1006,0))&gt;=100000), " ",IF(INDEX($AM$2:$BM$1001,MATCH(ROWS($AF$2:AF120),$AF$2:$AF$1001,0),MATCH(COLUMNS($AM$1006:BL1006),$AM$1006:$BM$1006,0)), HYPERLINK("#",""), HYPERLINK(CONCATENATE("#metadata!", ADDRESS(INDEX($AH$2:$AH$1001,MATCH(ROWS($AF$2:AF120),$AF$2:$AF$1001,0),0), INDEX($AM$1004:$BM$1004,1,MATCH(COLUMNS($AM$1006:BL1006),$AM$1006:$BM$1006,0)))),"Fix")))</f>
        <v xml:space="preserve"> </v>
      </c>
      <c r="AB120" s="4" t="str">
        <f ca="1">IF(OR(INDEX($AG$2:$AG$1001,MATCH(ROWS($AF$2:AF120),$AF$2:$AF$1001,0),1)&gt;=100000,INDEX($AM$1005:$BM$1005,1,MATCH(COLUMNS($AM$1006:BM1006),$AM$1006:$BM$1006,0))&gt;=100000), " ",IF(INDEX($AM$2:$BM$1001,MATCH(ROWS($AF$2:AF120),$AF$2:$AF$1001,0),MATCH(COLUMNS($AM$1006:BM1006),$AM$1006:$BM$1006,0)), HYPERLINK("#",""), HYPERLINK(CONCATENATE("#metadata!", ADDRESS(INDEX($AH$2:$AH$1001,MATCH(ROWS($AF$2:AF120),$AF$2:$AF$1001,0),0), INDEX($AM$1004:$BM$1004,1,MATCH(COLUMNS($AM$1006:BM1006),$AM$1006:$BM$1006,0)))),"Fix")))</f>
        <v xml:space="preserve"> </v>
      </c>
      <c r="AF120">
        <v>119</v>
      </c>
      <c r="AG120">
        <v>100120</v>
      </c>
      <c r="AH120">
        <v>120</v>
      </c>
      <c r="AI120" t="b">
        <f t="shared" si="1"/>
        <v>1</v>
      </c>
      <c r="AJ120" t="b">
        <f>COUNTBLANK(metadata!B120:AB120)=COLUMNS(metadata!B120:AB120)</f>
        <v>1</v>
      </c>
      <c r="AK120" t="str">
        <v/>
      </c>
      <c r="AM120" t="b">
        <f ca="1">AND(IF(metadata!B120="",FALSE,TRUE),COUNTIF(metadata!B:B, metadata!B120) = 1,NOT(ISERROR(SUMPRODUCT(SEARCH(MID(metadata!B120,ROW(INDIRECT("1:"&amp;LEN(metadata!B120))), 1),"0123456789abcdefghijklmnopqrstuvwxyzABCDEFGHIJKLMNOPQRSTUVWXYZ.")))))</f>
        <v>0</v>
      </c>
      <c r="AN120" t="b">
        <f ca="1">OR(AND(IF(metadata!C120="",FALSE,TRUE),OR(EXACT(metadata!C120,"missing: not collected"),EXACT(metadata!C120,"missing: not provided"),EXACT(metadata!C120,"missing: restricted access"))),AND(IF(metadata!C120="",FALSE,TRUE),AND(AND(IFERROR(INT(LEFT(metadata!C120,4))&gt;1900,FALSE),IFERROR(INT(LEFT(metadata!C120,4))&lt;=YEAR(NOW()),FALSE)), OR(MID(metadata!C120,5,1)="", AND(AND(MID(metadata!C120,5,1)="-",IFERROR(INT(MID(metadata!C120,6,1))&gt;=0,FALSE),IFERROR(INT(MID(metadata!C120,6,1))&lt;=1,FALSE),NOT(MID(metadata!C120,7,1)=""),IFERROR(INT(MID(metadata!C120,6,2))&gt;=1,FALSE),IFERROR(INT(MID(metadata!C120,6,2))&lt;=12,FALSE)), OR(MID(metadata!C120,8,1)="", AND(AND(MID(metadata!C120,8,1)="-",IFERROR(INT(MID(metadata!C120,9,1))&gt;=0,FALSE),IFERROR(INT(MID(metadata!C120,9,1))&lt;=3,FALSE),NOT(MID(metadata!C120,10,1)=""),IFERROR(INT(MID(metadata!C120,9,2))&gt;=1,FALSE),IFERROR(INT(MID(metadata!C120,9,2))&lt;=31,FALSE)), OR(MID(metadata!C120,11,1)="", AND(AND(MID(metadata!C120,11,1)=" ",IFERROR(INT(MID(metadata!C120,12,1))&gt;=0,FALSE),IFERROR(INT(MID(metadata!C120,12,1))&lt;=2,FALSE),NOT(MID(metadata!C120,13,1)=""),IFERROR(INT(MID(metadata!C120,12,2))&gt;=0,FALSE),IFERROR(INT(MID(metadata!C120,12,2))&lt;=23,FALSE)), OR(MID(metadata!C120,14,1)="", AND(AND(MID(metadata!C120,14,1)=":",IFERROR(INT(MID(metadata!C120,15,1))&gt;=0,FALSE),IFERROR(INT(MID(metadata!C120,15,1))&lt;=5,FALSE),NOT(MID(metadata!C120,16,1)=""),IFERROR(INT(MID(metadata!C120,15,2))&gt;=0,FALSE),IFERROR(INT(MID(metadata!C120,15,2))&lt;=59,FALSE)), OR(MID(metadata!C120,17,1)="", AND(AND(MID(metadata!C120,17,1)=":",IFERROR(INT(MID(metadata!C120,18,1))&gt;=0,FALSE),IFERROR(INT(MID(metadata!C120,18,1))&lt;=5,FALSE),NOT(MID(metadata!C120,19,1)=""),IFERROR(INT(MID(metadata!C120,18,2))&gt;=0,FALSE),IFERROR(INT(MID(metadata!C120,18,2))&lt;=59,FALSE)), LEN(metadata!C120)&lt;=19)))))))))))))</f>
        <v>0</v>
      </c>
      <c r="AO120" t="b">
        <f>AND(IF(metadata!D120="",FALSE,TRUE),EXACT(metadata!D120,"Not applicable"))</f>
        <v>0</v>
      </c>
      <c r="AP120" t="b">
        <f>IF(metadata!E120="",FALSE,TRUE)</f>
        <v>0</v>
      </c>
      <c r="AQ120" t="b">
        <f>OR(AND(IF(metadata!F120="",FALSE,TRUE),OR(EXACT(metadata!F120,"missing: not collected"),EXACT(metadata!F120,"missing: not provided"))),AND(IF(metadata!F120="",FALSE,TRUE),OR(EXACT(metadata!F120,"TRUE"),EXACT(metadata!F120,"FALSE"))))</f>
        <v>0</v>
      </c>
      <c r="AR120" t="b">
        <f>OR(AND(IF(metadata!G120="",FALSE,TRUE),OR(EXACT(metadata!G120,"missing: not collected"),EXACT(metadata!G120,"missing: not provided"),EXACT(metadata!G120,"missing: restricted access"))),AND(IF(metadata!G120="",FALSE,ISNUMBER(VALUE(metadata!G120))),metadata!G120&gt;=-413))</f>
        <v>0</v>
      </c>
      <c r="AS120" t="b">
        <f>AND(IF(metadata!H120="",FALSE,TRUE),EXACT(metadata!H120,"meters"))</f>
        <v>0</v>
      </c>
      <c r="AT120" t="b">
        <f>AND(IF(metadata!I120="",FALSE,TRUE),OR(EXACT(metadata!I120,"Host-associated"),EXACT(metadata!I120,"Free-living")))</f>
        <v>0</v>
      </c>
      <c r="AU120" t="b">
        <f>AND(IF(metadata!J120="",FALSE,TRUE),OR(EXACT(metadata!J120,"Animal"),EXACT(metadata!J120,"Fungus"),EXACT(metadata!J120,"Plant"),EXACT(metadata!J120,"Saline"),EXACT(metadata!J120,"Non-saline")))</f>
        <v>0</v>
      </c>
      <c r="AV120" t="b">
        <f>AND(IF(metadata!K120="",FALSE,TRUE),OR(EXACT(metadata!K120,"Plant secretion"),EXACT(metadata!K120,"Plant rhizosphere"),EXACT(metadata!K120,"Plant surface"),EXACT(metadata!K120,"Plant corpus"),EXACT(metadata!K120,"Fungus surface"),EXACT(metadata!K120,"Fungus corpus"),EXACT(metadata!K120,"Animal surface"),EXACT(metadata!K120,"Animal proximal gut"),EXACT(metadata!K120,"Animal corpus"),EXACT(metadata!K120,"Animal distal gut"),EXACT(metadata!K120,"Animal secretion"),EXACT(metadata!K120,"Sub-surface (non-saline)"),EXACT(metadata!K120,"Surface (non-saline)"),EXACT(metadata!K120,"Water (non-saline)"),EXACT(metadata!K120,"Soil (non-saline)"),EXACT(metadata!K120,"Aerosol (non-saline)"),EXACT(metadata!K120,"Sediment (non-saline)"),EXACT(metadata!K120,"Surface (saline)"),EXACT(metadata!K120,"Water (saline)"),EXACT(metadata!K120,"Hypersaline (saline)"),EXACT(metadata!K120,"Aerosol (saline)"),EXACT(metadata!K120,"Sediment (saline)")))</f>
        <v>0</v>
      </c>
      <c r="AW120" t="b">
        <f>IF(metadata!L120="",FALSE,TRUE)</f>
        <v>0</v>
      </c>
      <c r="AX120" t="b">
        <f>IF(metadata!M120="",FALSE,TRUE)</f>
        <v>0</v>
      </c>
      <c r="AY120" t="b">
        <f>IF(metadata!N120="",FALSE,TRUE)</f>
        <v>0</v>
      </c>
      <c r="AZ120" t="b">
        <f>OR(AND(IF(metadata!O120="",FALSE,TRUE),OR(EXACT(metadata!O120,"missing: not collected"),EXACT(metadata!O120,"missing: not provided"),EXACT(metadata!O120,"missing: restricted access"))),AND(IF(metadata!O120="",FALSE,TRUE),OR(EXACT(metadata!O120,"air"),EXACT(metadata!O120,"built environment"),EXACT(metadata!O120,"host-associated"),EXACT(metadata!O120,"human-associated"),EXACT(metadata!O120,"human-skin"),EXACT(metadata!O120,"human-oral"),EXACT(metadata!O120,"human-gut"),EXACT(metadata!O120,"human-vaginal"),EXACT(metadata!O120,"microbial mat/biofilm"),EXACT(metadata!O120,"misc environment"),EXACT(metadata!O120,"plant-associated"),EXACT(metadata!O120,"sediment"),EXACT(metadata!O120,"soil"),EXACT(metadata!O120,"wastewater/sludge"),EXACT(metadata!O120,"water"))))</f>
        <v>0</v>
      </c>
      <c r="BA120" t="b">
        <f>IF(metadata!P120="",FALSE,TRUE)</f>
        <v>0</v>
      </c>
      <c r="BB120" t="b">
        <f>IF(metadata!Q120="",FALSE,TRUE)</f>
        <v>0</v>
      </c>
      <c r="BC120" t="b">
        <f>OR(AND(IF(metadata!R120="",FALSE,TRUE),OR(EXACT(metadata!R120,"missing: not collected"),EXACT(metadata!R120,"missing: not provided"),EXACT(metadata!R120,"missing: restricted access"))),AND(IF(metadata!R120="",FALSE,ISNUMBER(VALUE(metadata!R120))),metadata!R120&gt;=-90,metadata!R120&lt;=90))</f>
        <v>0</v>
      </c>
      <c r="BD120" t="b">
        <f>AND(IF(metadata!S120="",FALSE,TRUE),EXACT(metadata!S120,"Decimal degrees"))</f>
        <v>0</v>
      </c>
      <c r="BE120" t="b">
        <f>OR(AND(IF(metadata!T120="",FALSE,TRUE),OR(EXACT(metadata!T120,"missing: not collected"),EXACT(metadata!T120,"missing: not provided"),EXACT(metadata!T120,"missing: restricted access"))),AND(IF(metadata!T120="",FALSE,ISNUMBER(VALUE(metadata!T120))),metadata!T120&gt;=-180,metadata!T120&lt;=180))</f>
        <v>0</v>
      </c>
      <c r="BF120" t="b">
        <f>AND(IF(metadata!U120="",FALSE,TRUE),EXACT(metadata!U120,"Decimal degrees"))</f>
        <v>0</v>
      </c>
      <c r="BG120" t="b">
        <f>IF(metadata!V120="",FALSE,TRUE)</f>
        <v>0</v>
      </c>
      <c r="BH120" t="b">
        <f>OR(AND(IF(metadata!W120="",FALSE,TRUE),OR(EXACT(metadata!W120,"missing: not collected"),EXACT(metadata!W120,"missing: not provided"),EXACT(metadata!W120,"missing: restricted access"))),AND(IF(metadata!W120="",FALSE,TRUE),OR(EXACT(metadata!W120,"TRUE"),EXACT(metadata!W120,"FALSE"))))</f>
        <v>0</v>
      </c>
      <c r="BI120" t="b">
        <f>AND(IF(metadata!X120="",FALSE,TRUE),EXACT(metadata!X120,"other"))</f>
        <v>0</v>
      </c>
      <c r="BJ120" t="b">
        <f>IF(metadata!Y120="",FALSE,TRUE)</f>
        <v>0</v>
      </c>
      <c r="BK120" t="b">
        <f>OR(AND(IF(metadata!Z120="",FALSE,TRUE),OR(EXACT(metadata!Z120,"missing: not collected"),EXACT(metadata!Z120,"missing: not provided"))),AND(IF(metadata!Z120="",FALSE,IF(ISERROR(INT(metadata!Z120)),FALSE,INT(metadata!Z120)=metadata!Z120)),metadata!Z120&gt;0))</f>
        <v>0</v>
      </c>
      <c r="BL120" t="b">
        <f>AND(IF(metadata!AA120="",FALSE,TRUE),EXACT(metadata!AA120,"Not applicable"))</f>
        <v>0</v>
      </c>
      <c r="BM120" t="b">
        <f>IF(metadata!AB120="",FALSE,TRUE)</f>
        <v>0</v>
      </c>
    </row>
    <row r="121" spans="1:65" x14ac:dyDescent="0.2">
      <c r="A121" s="5" t="str">
        <f ca="1">IF(B121=" "," ",HYPERLINK(CONCATENATE("#metadata!",ADDRESS(INDEX($AH$2:$AH$1001,MATCH(ROWS($AF$2:AF121),$AF$2:$AF$1001,0),0),1)),INDEX($AK$2:$AK$1001,MATCH(ROWS($AF$2:AF121),$AF$2:$AF$1001,0),0)))</f>
        <v xml:space="preserve"> </v>
      </c>
      <c r="B121" s="4" t="str">
        <f ca="1">IF(OR(INDEX($AG$2:$AG$1001,MATCH(ROWS($AF$2:AF121),$AF$2:$AF$1001,0),1)&gt;=100000,INDEX($AM$1005:$BM$1005,1,MATCH(COLUMNS($AM$1006:AM1006),$AM$1006:$BM$1006,0))&gt;=100000), " ",IF(INDEX($AM$2:$BM$1001,MATCH(ROWS($AF$2:AF121),$AF$2:$AF$1001,0),MATCH(COLUMNS($AM$1006:AM1006),$AM$1006:$BM$1006,0)), HYPERLINK("#",""), HYPERLINK(CONCATENATE("#metadata!", ADDRESS(INDEX($AH$2:$AH$1001,MATCH(ROWS($AF$2:AF121),$AF$2:$AF$1001,0),0), INDEX($AM$1004:$BM$1004,1,MATCH(COLUMNS($AM$1006:AM1006),$AM$1006:$BM$1006,0)))),"Fix")))</f>
        <v xml:space="preserve"> </v>
      </c>
      <c r="C121" s="4" t="str">
        <f ca="1">IF(OR(INDEX($AG$2:$AG$1001,MATCH(ROWS($AF$2:AF121),$AF$2:$AF$1001,0),1)&gt;=100000,INDEX($AM$1005:$BM$1005,1,MATCH(COLUMNS($AM$1006:AN1006),$AM$1006:$BM$1006,0))&gt;=100000), " ",IF(INDEX($AM$2:$BM$1001,MATCH(ROWS($AF$2:AF121),$AF$2:$AF$1001,0),MATCH(COLUMNS($AM$1006:AN1006),$AM$1006:$BM$1006,0)), HYPERLINK("#",""), HYPERLINK(CONCATENATE("#metadata!", ADDRESS(INDEX($AH$2:$AH$1001,MATCH(ROWS($AF$2:AF121),$AF$2:$AF$1001,0),0), INDEX($AM$1004:$BM$1004,1,MATCH(COLUMNS($AM$1006:AN1006),$AM$1006:$BM$1006,0)))),"Fix")))</f>
        <v xml:space="preserve"> </v>
      </c>
      <c r="D121" s="4" t="str">
        <f ca="1">IF(OR(INDEX($AG$2:$AG$1001,MATCH(ROWS($AF$2:AF121),$AF$2:$AF$1001,0),1)&gt;=100000,INDEX($AM$1005:$BM$1005,1,MATCH(COLUMNS($AM$1006:AO1006),$AM$1006:$BM$1006,0))&gt;=100000), " ",IF(INDEX($AM$2:$BM$1001,MATCH(ROWS($AF$2:AF121),$AF$2:$AF$1001,0),MATCH(COLUMNS($AM$1006:AO1006),$AM$1006:$BM$1006,0)), HYPERLINK("#",""), HYPERLINK(CONCATENATE("#metadata!", ADDRESS(INDEX($AH$2:$AH$1001,MATCH(ROWS($AF$2:AF121),$AF$2:$AF$1001,0),0), INDEX($AM$1004:$BM$1004,1,MATCH(COLUMNS($AM$1006:AO1006),$AM$1006:$BM$1006,0)))),"Fix")))</f>
        <v xml:space="preserve"> </v>
      </c>
      <c r="E121" s="4" t="str">
        <f ca="1">IF(OR(INDEX($AG$2:$AG$1001,MATCH(ROWS($AF$2:AF121),$AF$2:$AF$1001,0),1)&gt;=100000,INDEX($AM$1005:$BM$1005,1,MATCH(COLUMNS($AM$1006:AP1006),$AM$1006:$BM$1006,0))&gt;=100000), " ",IF(INDEX($AM$2:$BM$1001,MATCH(ROWS($AF$2:AF121),$AF$2:$AF$1001,0),MATCH(COLUMNS($AM$1006:AP1006),$AM$1006:$BM$1006,0)), HYPERLINK("#",""), HYPERLINK(CONCATENATE("#metadata!", ADDRESS(INDEX($AH$2:$AH$1001,MATCH(ROWS($AF$2:AF121),$AF$2:$AF$1001,0),0), INDEX($AM$1004:$BM$1004,1,MATCH(COLUMNS($AM$1006:AP1006),$AM$1006:$BM$1006,0)))),"Fix")))</f>
        <v xml:space="preserve"> </v>
      </c>
      <c r="F121" s="4" t="str">
        <f ca="1">IF(OR(INDEX($AG$2:$AG$1001,MATCH(ROWS($AF$2:AF121),$AF$2:$AF$1001,0),1)&gt;=100000,INDEX($AM$1005:$BM$1005,1,MATCH(COLUMNS($AM$1006:AQ1006),$AM$1006:$BM$1006,0))&gt;=100000), " ",IF(INDEX($AM$2:$BM$1001,MATCH(ROWS($AF$2:AF121),$AF$2:$AF$1001,0),MATCH(COLUMNS($AM$1006:AQ1006),$AM$1006:$BM$1006,0)), HYPERLINK("#",""), HYPERLINK(CONCATENATE("#metadata!", ADDRESS(INDEX($AH$2:$AH$1001,MATCH(ROWS($AF$2:AF121),$AF$2:$AF$1001,0),0), INDEX($AM$1004:$BM$1004,1,MATCH(COLUMNS($AM$1006:AQ1006),$AM$1006:$BM$1006,0)))),"Fix")))</f>
        <v xml:space="preserve"> </v>
      </c>
      <c r="G121" s="4" t="str">
        <f ca="1">IF(OR(INDEX($AG$2:$AG$1001,MATCH(ROWS($AF$2:AF121),$AF$2:$AF$1001,0),1)&gt;=100000,INDEX($AM$1005:$BM$1005,1,MATCH(COLUMNS($AM$1006:AR1006),$AM$1006:$BM$1006,0))&gt;=100000), " ",IF(INDEX($AM$2:$BM$1001,MATCH(ROWS($AF$2:AF121),$AF$2:$AF$1001,0),MATCH(COLUMNS($AM$1006:AR1006),$AM$1006:$BM$1006,0)), HYPERLINK("#",""), HYPERLINK(CONCATENATE("#metadata!", ADDRESS(INDEX($AH$2:$AH$1001,MATCH(ROWS($AF$2:AF121),$AF$2:$AF$1001,0),0), INDEX($AM$1004:$BM$1004,1,MATCH(COLUMNS($AM$1006:AR1006),$AM$1006:$BM$1006,0)))),"Fix")))</f>
        <v xml:space="preserve"> </v>
      </c>
      <c r="H121" s="4" t="str">
        <f ca="1">IF(OR(INDEX($AG$2:$AG$1001,MATCH(ROWS($AF$2:AF121),$AF$2:$AF$1001,0),1)&gt;=100000,INDEX($AM$1005:$BM$1005,1,MATCH(COLUMNS($AM$1006:AS1006),$AM$1006:$BM$1006,0))&gt;=100000), " ",IF(INDEX($AM$2:$BM$1001,MATCH(ROWS($AF$2:AF121),$AF$2:$AF$1001,0),MATCH(COLUMNS($AM$1006:AS1006),$AM$1006:$BM$1006,0)), HYPERLINK("#",""), HYPERLINK(CONCATENATE("#metadata!", ADDRESS(INDEX($AH$2:$AH$1001,MATCH(ROWS($AF$2:AF121),$AF$2:$AF$1001,0),0), INDEX($AM$1004:$BM$1004,1,MATCH(COLUMNS($AM$1006:AS1006),$AM$1006:$BM$1006,0)))),"Fix")))</f>
        <v xml:space="preserve"> </v>
      </c>
      <c r="I121" s="4" t="str">
        <f ca="1">IF(OR(INDEX($AG$2:$AG$1001,MATCH(ROWS($AF$2:AF121),$AF$2:$AF$1001,0),1)&gt;=100000,INDEX($AM$1005:$BM$1005,1,MATCH(COLUMNS($AM$1006:AT1006),$AM$1006:$BM$1006,0))&gt;=100000), " ",IF(INDEX($AM$2:$BM$1001,MATCH(ROWS($AF$2:AF121),$AF$2:$AF$1001,0),MATCH(COLUMNS($AM$1006:AT1006),$AM$1006:$BM$1006,0)), HYPERLINK("#",""), HYPERLINK(CONCATENATE("#metadata!", ADDRESS(INDEX($AH$2:$AH$1001,MATCH(ROWS($AF$2:AF121),$AF$2:$AF$1001,0),0), INDEX($AM$1004:$BM$1004,1,MATCH(COLUMNS($AM$1006:AT1006),$AM$1006:$BM$1006,0)))),"Fix")))</f>
        <v xml:space="preserve"> </v>
      </c>
      <c r="J121" s="4" t="str">
        <f ca="1">IF(OR(INDEX($AG$2:$AG$1001,MATCH(ROWS($AF$2:AF121),$AF$2:$AF$1001,0),1)&gt;=100000,INDEX($AM$1005:$BM$1005,1,MATCH(COLUMNS($AM$1006:AU1006),$AM$1006:$BM$1006,0))&gt;=100000), " ",IF(INDEX($AM$2:$BM$1001,MATCH(ROWS($AF$2:AF121),$AF$2:$AF$1001,0),MATCH(COLUMNS($AM$1006:AU1006),$AM$1006:$BM$1006,0)), HYPERLINK("#",""), HYPERLINK(CONCATENATE("#metadata!", ADDRESS(INDEX($AH$2:$AH$1001,MATCH(ROWS($AF$2:AF121),$AF$2:$AF$1001,0),0), INDEX($AM$1004:$BM$1004,1,MATCH(COLUMNS($AM$1006:AU1006),$AM$1006:$BM$1006,0)))),"Fix")))</f>
        <v xml:space="preserve"> </v>
      </c>
      <c r="K121" s="4" t="str">
        <f ca="1">IF(OR(INDEX($AG$2:$AG$1001,MATCH(ROWS($AF$2:AF121),$AF$2:$AF$1001,0),1)&gt;=100000,INDEX($AM$1005:$BM$1005,1,MATCH(COLUMNS($AM$1006:AV1006),$AM$1006:$BM$1006,0))&gt;=100000), " ",IF(INDEX($AM$2:$BM$1001,MATCH(ROWS($AF$2:AF121),$AF$2:$AF$1001,0),MATCH(COLUMNS($AM$1006:AV1006),$AM$1006:$BM$1006,0)), HYPERLINK("#",""), HYPERLINK(CONCATENATE("#metadata!", ADDRESS(INDEX($AH$2:$AH$1001,MATCH(ROWS($AF$2:AF121),$AF$2:$AF$1001,0),0), INDEX($AM$1004:$BM$1004,1,MATCH(COLUMNS($AM$1006:AV1006),$AM$1006:$BM$1006,0)))),"Fix")))</f>
        <v xml:space="preserve"> </v>
      </c>
      <c r="L121" s="4" t="str">
        <f ca="1">IF(OR(INDEX($AG$2:$AG$1001,MATCH(ROWS($AF$2:AF121),$AF$2:$AF$1001,0),1)&gt;=100000,INDEX($AM$1005:$BM$1005,1,MATCH(COLUMNS($AM$1006:AW1006),$AM$1006:$BM$1006,0))&gt;=100000), " ",IF(INDEX($AM$2:$BM$1001,MATCH(ROWS($AF$2:AF121),$AF$2:$AF$1001,0),MATCH(COLUMNS($AM$1006:AW1006),$AM$1006:$BM$1006,0)), HYPERLINK("#",""), HYPERLINK(CONCATENATE("#metadata!", ADDRESS(INDEX($AH$2:$AH$1001,MATCH(ROWS($AF$2:AF121),$AF$2:$AF$1001,0),0), INDEX($AM$1004:$BM$1004,1,MATCH(COLUMNS($AM$1006:AW1006),$AM$1006:$BM$1006,0)))),"Fix")))</f>
        <v xml:space="preserve"> </v>
      </c>
      <c r="M121" s="4" t="str">
        <f ca="1">IF(OR(INDEX($AG$2:$AG$1001,MATCH(ROWS($AF$2:AF121),$AF$2:$AF$1001,0),1)&gt;=100000,INDEX($AM$1005:$BM$1005,1,MATCH(COLUMNS($AM$1006:AX1006),$AM$1006:$BM$1006,0))&gt;=100000), " ",IF(INDEX($AM$2:$BM$1001,MATCH(ROWS($AF$2:AF121),$AF$2:$AF$1001,0),MATCH(COLUMNS($AM$1006:AX1006),$AM$1006:$BM$1006,0)), HYPERLINK("#",""), HYPERLINK(CONCATENATE("#metadata!", ADDRESS(INDEX($AH$2:$AH$1001,MATCH(ROWS($AF$2:AF121),$AF$2:$AF$1001,0),0), INDEX($AM$1004:$BM$1004,1,MATCH(COLUMNS($AM$1006:AX1006),$AM$1006:$BM$1006,0)))),"Fix")))</f>
        <v xml:space="preserve"> </v>
      </c>
      <c r="N121" s="4" t="str">
        <f ca="1">IF(OR(INDEX($AG$2:$AG$1001,MATCH(ROWS($AF$2:AF121),$AF$2:$AF$1001,0),1)&gt;=100000,INDEX($AM$1005:$BM$1005,1,MATCH(COLUMNS($AM$1006:AY1006),$AM$1006:$BM$1006,0))&gt;=100000), " ",IF(INDEX($AM$2:$BM$1001,MATCH(ROWS($AF$2:AF121),$AF$2:$AF$1001,0),MATCH(COLUMNS($AM$1006:AY1006),$AM$1006:$BM$1006,0)), HYPERLINK("#",""), HYPERLINK(CONCATENATE("#metadata!", ADDRESS(INDEX($AH$2:$AH$1001,MATCH(ROWS($AF$2:AF121),$AF$2:$AF$1001,0),0), INDEX($AM$1004:$BM$1004,1,MATCH(COLUMNS($AM$1006:AY1006),$AM$1006:$BM$1006,0)))),"Fix")))</f>
        <v xml:space="preserve"> </v>
      </c>
      <c r="O121" s="4" t="str">
        <f ca="1">IF(OR(INDEX($AG$2:$AG$1001,MATCH(ROWS($AF$2:AF121),$AF$2:$AF$1001,0),1)&gt;=100000,INDEX($AM$1005:$BM$1005,1,MATCH(COLUMNS($AM$1006:AZ1006),$AM$1006:$BM$1006,0))&gt;=100000), " ",IF(INDEX($AM$2:$BM$1001,MATCH(ROWS($AF$2:AF121),$AF$2:$AF$1001,0),MATCH(COLUMNS($AM$1006:AZ1006),$AM$1006:$BM$1006,0)), HYPERLINK("#",""), HYPERLINK(CONCATENATE("#metadata!", ADDRESS(INDEX($AH$2:$AH$1001,MATCH(ROWS($AF$2:AF121),$AF$2:$AF$1001,0),0), INDEX($AM$1004:$BM$1004,1,MATCH(COLUMNS($AM$1006:AZ1006),$AM$1006:$BM$1006,0)))),"Fix")))</f>
        <v xml:space="preserve"> </v>
      </c>
      <c r="P121" s="4" t="str">
        <f ca="1">IF(OR(INDEX($AG$2:$AG$1001,MATCH(ROWS($AF$2:AF121),$AF$2:$AF$1001,0),1)&gt;=100000,INDEX($AM$1005:$BM$1005,1,MATCH(COLUMNS($AM$1006:BA1006),$AM$1006:$BM$1006,0))&gt;=100000), " ",IF(INDEX($AM$2:$BM$1001,MATCH(ROWS($AF$2:AF121),$AF$2:$AF$1001,0),MATCH(COLUMNS($AM$1006:BA1006),$AM$1006:$BM$1006,0)), HYPERLINK("#",""), HYPERLINK(CONCATENATE("#metadata!", ADDRESS(INDEX($AH$2:$AH$1001,MATCH(ROWS($AF$2:AF121),$AF$2:$AF$1001,0),0), INDEX($AM$1004:$BM$1004,1,MATCH(COLUMNS($AM$1006:BA1006),$AM$1006:$BM$1006,0)))),"Fix")))</f>
        <v xml:space="preserve"> </v>
      </c>
      <c r="Q121" s="4" t="str">
        <f ca="1">IF(OR(INDEX($AG$2:$AG$1001,MATCH(ROWS($AF$2:AF121),$AF$2:$AF$1001,0),1)&gt;=100000,INDEX($AM$1005:$BM$1005,1,MATCH(COLUMNS($AM$1006:BB1006),$AM$1006:$BM$1006,0))&gt;=100000), " ",IF(INDEX($AM$2:$BM$1001,MATCH(ROWS($AF$2:AF121),$AF$2:$AF$1001,0),MATCH(COLUMNS($AM$1006:BB1006),$AM$1006:$BM$1006,0)), HYPERLINK("#",""), HYPERLINK(CONCATENATE("#metadata!", ADDRESS(INDEX($AH$2:$AH$1001,MATCH(ROWS($AF$2:AF121),$AF$2:$AF$1001,0),0), INDEX($AM$1004:$BM$1004,1,MATCH(COLUMNS($AM$1006:BB1006),$AM$1006:$BM$1006,0)))),"Fix")))</f>
        <v xml:space="preserve"> </v>
      </c>
      <c r="R121" s="4" t="str">
        <f ca="1">IF(OR(INDEX($AG$2:$AG$1001,MATCH(ROWS($AF$2:AF121),$AF$2:$AF$1001,0),1)&gt;=100000,INDEX($AM$1005:$BM$1005,1,MATCH(COLUMNS($AM$1006:BC1006),$AM$1006:$BM$1006,0))&gt;=100000), " ",IF(INDEX($AM$2:$BM$1001,MATCH(ROWS($AF$2:AF121),$AF$2:$AF$1001,0),MATCH(COLUMNS($AM$1006:BC1006),$AM$1006:$BM$1006,0)), HYPERLINK("#",""), HYPERLINK(CONCATENATE("#metadata!", ADDRESS(INDEX($AH$2:$AH$1001,MATCH(ROWS($AF$2:AF121),$AF$2:$AF$1001,0),0), INDEX($AM$1004:$BM$1004,1,MATCH(COLUMNS($AM$1006:BC1006),$AM$1006:$BM$1006,0)))),"Fix")))</f>
        <v xml:space="preserve"> </v>
      </c>
      <c r="S121" s="4" t="str">
        <f ca="1">IF(OR(INDEX($AG$2:$AG$1001,MATCH(ROWS($AF$2:AF121),$AF$2:$AF$1001,0),1)&gt;=100000,INDEX($AM$1005:$BM$1005,1,MATCH(COLUMNS($AM$1006:BD1006),$AM$1006:$BM$1006,0))&gt;=100000), " ",IF(INDEX($AM$2:$BM$1001,MATCH(ROWS($AF$2:AF121),$AF$2:$AF$1001,0),MATCH(COLUMNS($AM$1006:BD1006),$AM$1006:$BM$1006,0)), HYPERLINK("#",""), HYPERLINK(CONCATENATE("#metadata!", ADDRESS(INDEX($AH$2:$AH$1001,MATCH(ROWS($AF$2:AF121),$AF$2:$AF$1001,0),0), INDEX($AM$1004:$BM$1004,1,MATCH(COLUMNS($AM$1006:BD1006),$AM$1006:$BM$1006,0)))),"Fix")))</f>
        <v xml:space="preserve"> </v>
      </c>
      <c r="T121" s="4" t="str">
        <f ca="1">IF(OR(INDEX($AG$2:$AG$1001,MATCH(ROWS($AF$2:AF121),$AF$2:$AF$1001,0),1)&gt;=100000,INDEX($AM$1005:$BM$1005,1,MATCH(COLUMNS($AM$1006:BE1006),$AM$1006:$BM$1006,0))&gt;=100000), " ",IF(INDEX($AM$2:$BM$1001,MATCH(ROWS($AF$2:AF121),$AF$2:$AF$1001,0),MATCH(COLUMNS($AM$1006:BE1006),$AM$1006:$BM$1006,0)), HYPERLINK("#",""), HYPERLINK(CONCATENATE("#metadata!", ADDRESS(INDEX($AH$2:$AH$1001,MATCH(ROWS($AF$2:AF121),$AF$2:$AF$1001,0),0), INDEX($AM$1004:$BM$1004,1,MATCH(COLUMNS($AM$1006:BE1006),$AM$1006:$BM$1006,0)))),"Fix")))</f>
        <v xml:space="preserve"> </v>
      </c>
      <c r="U121" s="4" t="str">
        <f ca="1">IF(OR(INDEX($AG$2:$AG$1001,MATCH(ROWS($AF$2:AF121),$AF$2:$AF$1001,0),1)&gt;=100000,INDEX($AM$1005:$BM$1005,1,MATCH(COLUMNS($AM$1006:BF1006),$AM$1006:$BM$1006,0))&gt;=100000), " ",IF(INDEX($AM$2:$BM$1001,MATCH(ROWS($AF$2:AF121),$AF$2:$AF$1001,0),MATCH(COLUMNS($AM$1006:BF1006),$AM$1006:$BM$1006,0)), HYPERLINK("#",""), HYPERLINK(CONCATENATE("#metadata!", ADDRESS(INDEX($AH$2:$AH$1001,MATCH(ROWS($AF$2:AF121),$AF$2:$AF$1001,0),0), INDEX($AM$1004:$BM$1004,1,MATCH(COLUMNS($AM$1006:BF1006),$AM$1006:$BM$1006,0)))),"Fix")))</f>
        <v xml:space="preserve"> </v>
      </c>
      <c r="V121" s="4" t="str">
        <f ca="1">IF(OR(INDEX($AG$2:$AG$1001,MATCH(ROWS($AF$2:AF121),$AF$2:$AF$1001,0),1)&gt;=100000,INDEX($AM$1005:$BM$1005,1,MATCH(COLUMNS($AM$1006:BG1006),$AM$1006:$BM$1006,0))&gt;=100000), " ",IF(INDEX($AM$2:$BM$1001,MATCH(ROWS($AF$2:AF121),$AF$2:$AF$1001,0),MATCH(COLUMNS($AM$1006:BG1006),$AM$1006:$BM$1006,0)), HYPERLINK("#",""), HYPERLINK(CONCATENATE("#metadata!", ADDRESS(INDEX($AH$2:$AH$1001,MATCH(ROWS($AF$2:AF121),$AF$2:$AF$1001,0),0), INDEX($AM$1004:$BM$1004,1,MATCH(COLUMNS($AM$1006:BG1006),$AM$1006:$BM$1006,0)))),"Fix")))</f>
        <v xml:space="preserve"> </v>
      </c>
      <c r="W121" s="4" t="str">
        <f ca="1">IF(OR(INDEX($AG$2:$AG$1001,MATCH(ROWS($AF$2:AF121),$AF$2:$AF$1001,0),1)&gt;=100000,INDEX($AM$1005:$BM$1005,1,MATCH(COLUMNS($AM$1006:BH1006),$AM$1006:$BM$1006,0))&gt;=100000), " ",IF(INDEX($AM$2:$BM$1001,MATCH(ROWS($AF$2:AF121),$AF$2:$AF$1001,0),MATCH(COLUMNS($AM$1006:BH1006),$AM$1006:$BM$1006,0)), HYPERLINK("#",""), HYPERLINK(CONCATENATE("#metadata!", ADDRESS(INDEX($AH$2:$AH$1001,MATCH(ROWS($AF$2:AF121),$AF$2:$AF$1001,0),0), INDEX($AM$1004:$BM$1004,1,MATCH(COLUMNS($AM$1006:BH1006),$AM$1006:$BM$1006,0)))),"Fix")))</f>
        <v xml:space="preserve"> </v>
      </c>
      <c r="X121" s="4" t="str">
        <f ca="1">IF(OR(INDEX($AG$2:$AG$1001,MATCH(ROWS($AF$2:AF121),$AF$2:$AF$1001,0),1)&gt;=100000,INDEX($AM$1005:$BM$1005,1,MATCH(COLUMNS($AM$1006:BI1006),$AM$1006:$BM$1006,0))&gt;=100000), " ",IF(INDEX($AM$2:$BM$1001,MATCH(ROWS($AF$2:AF121),$AF$2:$AF$1001,0),MATCH(COLUMNS($AM$1006:BI1006),$AM$1006:$BM$1006,0)), HYPERLINK("#",""), HYPERLINK(CONCATENATE("#metadata!", ADDRESS(INDEX($AH$2:$AH$1001,MATCH(ROWS($AF$2:AF121),$AF$2:$AF$1001,0),0), INDEX($AM$1004:$BM$1004,1,MATCH(COLUMNS($AM$1006:BI1006),$AM$1006:$BM$1006,0)))),"Fix")))</f>
        <v xml:space="preserve"> </v>
      </c>
      <c r="Y121" s="4" t="str">
        <f ca="1">IF(OR(INDEX($AG$2:$AG$1001,MATCH(ROWS($AF$2:AF121),$AF$2:$AF$1001,0),1)&gt;=100000,INDEX($AM$1005:$BM$1005,1,MATCH(COLUMNS($AM$1006:BJ1006),$AM$1006:$BM$1006,0))&gt;=100000), " ",IF(INDEX($AM$2:$BM$1001,MATCH(ROWS($AF$2:AF121),$AF$2:$AF$1001,0),MATCH(COLUMNS($AM$1006:BJ1006),$AM$1006:$BM$1006,0)), HYPERLINK("#",""), HYPERLINK(CONCATENATE("#metadata!", ADDRESS(INDEX($AH$2:$AH$1001,MATCH(ROWS($AF$2:AF121),$AF$2:$AF$1001,0),0), INDEX($AM$1004:$BM$1004,1,MATCH(COLUMNS($AM$1006:BJ1006),$AM$1006:$BM$1006,0)))),"Fix")))</f>
        <v xml:space="preserve"> </v>
      </c>
      <c r="Z121" s="4" t="str">
        <f ca="1">IF(OR(INDEX($AG$2:$AG$1001,MATCH(ROWS($AF$2:AF121),$AF$2:$AF$1001,0),1)&gt;=100000,INDEX($AM$1005:$BM$1005,1,MATCH(COLUMNS($AM$1006:BK1006),$AM$1006:$BM$1006,0))&gt;=100000), " ",IF(INDEX($AM$2:$BM$1001,MATCH(ROWS($AF$2:AF121),$AF$2:$AF$1001,0),MATCH(COLUMNS($AM$1006:BK1006),$AM$1006:$BM$1006,0)), HYPERLINK("#",""), HYPERLINK(CONCATENATE("#metadata!", ADDRESS(INDEX($AH$2:$AH$1001,MATCH(ROWS($AF$2:AF121),$AF$2:$AF$1001,0),0), INDEX($AM$1004:$BM$1004,1,MATCH(COLUMNS($AM$1006:BK1006),$AM$1006:$BM$1006,0)))),"Fix")))</f>
        <v xml:space="preserve"> </v>
      </c>
      <c r="AA121" s="4" t="str">
        <f ca="1">IF(OR(INDEX($AG$2:$AG$1001,MATCH(ROWS($AF$2:AF121),$AF$2:$AF$1001,0),1)&gt;=100000,INDEX($AM$1005:$BM$1005,1,MATCH(COLUMNS($AM$1006:BL1006),$AM$1006:$BM$1006,0))&gt;=100000), " ",IF(INDEX($AM$2:$BM$1001,MATCH(ROWS($AF$2:AF121),$AF$2:$AF$1001,0),MATCH(COLUMNS($AM$1006:BL1006),$AM$1006:$BM$1006,0)), HYPERLINK("#",""), HYPERLINK(CONCATENATE("#metadata!", ADDRESS(INDEX($AH$2:$AH$1001,MATCH(ROWS($AF$2:AF121),$AF$2:$AF$1001,0),0), INDEX($AM$1004:$BM$1004,1,MATCH(COLUMNS($AM$1006:BL1006),$AM$1006:$BM$1006,0)))),"Fix")))</f>
        <v xml:space="preserve"> </v>
      </c>
      <c r="AB121" s="4" t="str">
        <f ca="1">IF(OR(INDEX($AG$2:$AG$1001,MATCH(ROWS($AF$2:AF121),$AF$2:$AF$1001,0),1)&gt;=100000,INDEX($AM$1005:$BM$1005,1,MATCH(COLUMNS($AM$1006:BM1006),$AM$1006:$BM$1006,0))&gt;=100000), " ",IF(INDEX($AM$2:$BM$1001,MATCH(ROWS($AF$2:AF121),$AF$2:$AF$1001,0),MATCH(COLUMNS($AM$1006:BM1006),$AM$1006:$BM$1006,0)), HYPERLINK("#",""), HYPERLINK(CONCATENATE("#metadata!", ADDRESS(INDEX($AH$2:$AH$1001,MATCH(ROWS($AF$2:AF121),$AF$2:$AF$1001,0),0), INDEX($AM$1004:$BM$1004,1,MATCH(COLUMNS($AM$1006:BM1006),$AM$1006:$BM$1006,0)))),"Fix")))</f>
        <v xml:space="preserve"> </v>
      </c>
      <c r="AF121">
        <v>120</v>
      </c>
      <c r="AG121">
        <v>100121</v>
      </c>
      <c r="AH121">
        <v>121</v>
      </c>
      <c r="AI121" t="b">
        <f t="shared" si="1"/>
        <v>1</v>
      </c>
      <c r="AJ121" t="b">
        <f>COUNTBLANK(metadata!B121:AB121)=COLUMNS(metadata!B121:AB121)</f>
        <v>1</v>
      </c>
      <c r="AK121" t="str">
        <v/>
      </c>
      <c r="AM121" t="b">
        <f ca="1">AND(IF(metadata!B121="",FALSE,TRUE),COUNTIF(metadata!B:B, metadata!B121) = 1,NOT(ISERROR(SUMPRODUCT(SEARCH(MID(metadata!B121,ROW(INDIRECT("1:"&amp;LEN(metadata!B121))), 1),"0123456789abcdefghijklmnopqrstuvwxyzABCDEFGHIJKLMNOPQRSTUVWXYZ.")))))</f>
        <v>0</v>
      </c>
      <c r="AN121" t="b">
        <f ca="1">OR(AND(IF(metadata!C121="",FALSE,TRUE),OR(EXACT(metadata!C121,"missing: not collected"),EXACT(metadata!C121,"missing: not provided"),EXACT(metadata!C121,"missing: restricted access"))),AND(IF(metadata!C121="",FALSE,TRUE),AND(AND(IFERROR(INT(LEFT(metadata!C121,4))&gt;1900,FALSE),IFERROR(INT(LEFT(metadata!C121,4))&lt;=YEAR(NOW()),FALSE)), OR(MID(metadata!C121,5,1)="", AND(AND(MID(metadata!C121,5,1)="-",IFERROR(INT(MID(metadata!C121,6,1))&gt;=0,FALSE),IFERROR(INT(MID(metadata!C121,6,1))&lt;=1,FALSE),NOT(MID(metadata!C121,7,1)=""),IFERROR(INT(MID(metadata!C121,6,2))&gt;=1,FALSE),IFERROR(INT(MID(metadata!C121,6,2))&lt;=12,FALSE)), OR(MID(metadata!C121,8,1)="", AND(AND(MID(metadata!C121,8,1)="-",IFERROR(INT(MID(metadata!C121,9,1))&gt;=0,FALSE),IFERROR(INT(MID(metadata!C121,9,1))&lt;=3,FALSE),NOT(MID(metadata!C121,10,1)=""),IFERROR(INT(MID(metadata!C121,9,2))&gt;=1,FALSE),IFERROR(INT(MID(metadata!C121,9,2))&lt;=31,FALSE)), OR(MID(metadata!C121,11,1)="", AND(AND(MID(metadata!C121,11,1)=" ",IFERROR(INT(MID(metadata!C121,12,1))&gt;=0,FALSE),IFERROR(INT(MID(metadata!C121,12,1))&lt;=2,FALSE),NOT(MID(metadata!C121,13,1)=""),IFERROR(INT(MID(metadata!C121,12,2))&gt;=0,FALSE),IFERROR(INT(MID(metadata!C121,12,2))&lt;=23,FALSE)), OR(MID(metadata!C121,14,1)="", AND(AND(MID(metadata!C121,14,1)=":",IFERROR(INT(MID(metadata!C121,15,1))&gt;=0,FALSE),IFERROR(INT(MID(metadata!C121,15,1))&lt;=5,FALSE),NOT(MID(metadata!C121,16,1)=""),IFERROR(INT(MID(metadata!C121,15,2))&gt;=0,FALSE),IFERROR(INT(MID(metadata!C121,15,2))&lt;=59,FALSE)), OR(MID(metadata!C121,17,1)="", AND(AND(MID(metadata!C121,17,1)=":",IFERROR(INT(MID(metadata!C121,18,1))&gt;=0,FALSE),IFERROR(INT(MID(metadata!C121,18,1))&lt;=5,FALSE),NOT(MID(metadata!C121,19,1)=""),IFERROR(INT(MID(metadata!C121,18,2))&gt;=0,FALSE),IFERROR(INT(MID(metadata!C121,18,2))&lt;=59,FALSE)), LEN(metadata!C121)&lt;=19)))))))))))))</f>
        <v>0</v>
      </c>
      <c r="AO121" t="b">
        <f>AND(IF(metadata!D121="",FALSE,TRUE),EXACT(metadata!D121,"Not applicable"))</f>
        <v>0</v>
      </c>
      <c r="AP121" t="b">
        <f>IF(metadata!E121="",FALSE,TRUE)</f>
        <v>0</v>
      </c>
      <c r="AQ121" t="b">
        <f>OR(AND(IF(metadata!F121="",FALSE,TRUE),OR(EXACT(metadata!F121,"missing: not collected"),EXACT(metadata!F121,"missing: not provided"))),AND(IF(metadata!F121="",FALSE,TRUE),OR(EXACT(metadata!F121,"TRUE"),EXACT(metadata!F121,"FALSE"))))</f>
        <v>0</v>
      </c>
      <c r="AR121" t="b">
        <f>OR(AND(IF(metadata!G121="",FALSE,TRUE),OR(EXACT(metadata!G121,"missing: not collected"),EXACT(metadata!G121,"missing: not provided"),EXACT(metadata!G121,"missing: restricted access"))),AND(IF(metadata!G121="",FALSE,ISNUMBER(VALUE(metadata!G121))),metadata!G121&gt;=-413))</f>
        <v>0</v>
      </c>
      <c r="AS121" t="b">
        <f>AND(IF(metadata!H121="",FALSE,TRUE),EXACT(metadata!H121,"meters"))</f>
        <v>0</v>
      </c>
      <c r="AT121" t="b">
        <f>AND(IF(metadata!I121="",FALSE,TRUE),OR(EXACT(metadata!I121,"Host-associated"),EXACT(metadata!I121,"Free-living")))</f>
        <v>0</v>
      </c>
      <c r="AU121" t="b">
        <f>AND(IF(metadata!J121="",FALSE,TRUE),OR(EXACT(metadata!J121,"Animal"),EXACT(metadata!J121,"Fungus"),EXACT(metadata!J121,"Plant"),EXACT(metadata!J121,"Saline"),EXACT(metadata!J121,"Non-saline")))</f>
        <v>0</v>
      </c>
      <c r="AV121" t="b">
        <f>AND(IF(metadata!K121="",FALSE,TRUE),OR(EXACT(metadata!K121,"Plant secretion"),EXACT(metadata!K121,"Plant rhizosphere"),EXACT(metadata!K121,"Plant surface"),EXACT(metadata!K121,"Plant corpus"),EXACT(metadata!K121,"Fungus surface"),EXACT(metadata!K121,"Fungus corpus"),EXACT(metadata!K121,"Animal surface"),EXACT(metadata!K121,"Animal proximal gut"),EXACT(metadata!K121,"Animal corpus"),EXACT(metadata!K121,"Animal distal gut"),EXACT(metadata!K121,"Animal secretion"),EXACT(metadata!K121,"Sub-surface (non-saline)"),EXACT(metadata!K121,"Surface (non-saline)"),EXACT(metadata!K121,"Water (non-saline)"),EXACT(metadata!K121,"Soil (non-saline)"),EXACT(metadata!K121,"Aerosol (non-saline)"),EXACT(metadata!K121,"Sediment (non-saline)"),EXACT(metadata!K121,"Surface (saline)"),EXACT(metadata!K121,"Water (saline)"),EXACT(metadata!K121,"Hypersaline (saline)"),EXACT(metadata!K121,"Aerosol (saline)"),EXACT(metadata!K121,"Sediment (saline)")))</f>
        <v>0</v>
      </c>
      <c r="AW121" t="b">
        <f>IF(metadata!L121="",FALSE,TRUE)</f>
        <v>0</v>
      </c>
      <c r="AX121" t="b">
        <f>IF(metadata!M121="",FALSE,TRUE)</f>
        <v>0</v>
      </c>
      <c r="AY121" t="b">
        <f>IF(metadata!N121="",FALSE,TRUE)</f>
        <v>0</v>
      </c>
      <c r="AZ121" t="b">
        <f>OR(AND(IF(metadata!O121="",FALSE,TRUE),OR(EXACT(metadata!O121,"missing: not collected"),EXACT(metadata!O121,"missing: not provided"),EXACT(metadata!O121,"missing: restricted access"))),AND(IF(metadata!O121="",FALSE,TRUE),OR(EXACT(metadata!O121,"air"),EXACT(metadata!O121,"built environment"),EXACT(metadata!O121,"host-associated"),EXACT(metadata!O121,"human-associated"),EXACT(metadata!O121,"human-skin"),EXACT(metadata!O121,"human-oral"),EXACT(metadata!O121,"human-gut"),EXACT(metadata!O121,"human-vaginal"),EXACT(metadata!O121,"microbial mat/biofilm"),EXACT(metadata!O121,"misc environment"),EXACT(metadata!O121,"plant-associated"),EXACT(metadata!O121,"sediment"),EXACT(metadata!O121,"soil"),EXACT(metadata!O121,"wastewater/sludge"),EXACT(metadata!O121,"water"))))</f>
        <v>0</v>
      </c>
      <c r="BA121" t="b">
        <f>IF(metadata!P121="",FALSE,TRUE)</f>
        <v>0</v>
      </c>
      <c r="BB121" t="b">
        <f>IF(metadata!Q121="",FALSE,TRUE)</f>
        <v>0</v>
      </c>
      <c r="BC121" t="b">
        <f>OR(AND(IF(metadata!R121="",FALSE,TRUE),OR(EXACT(metadata!R121,"missing: not collected"),EXACT(metadata!R121,"missing: not provided"),EXACT(metadata!R121,"missing: restricted access"))),AND(IF(metadata!R121="",FALSE,ISNUMBER(VALUE(metadata!R121))),metadata!R121&gt;=-90,metadata!R121&lt;=90))</f>
        <v>0</v>
      </c>
      <c r="BD121" t="b">
        <f>AND(IF(metadata!S121="",FALSE,TRUE),EXACT(metadata!S121,"Decimal degrees"))</f>
        <v>0</v>
      </c>
      <c r="BE121" t="b">
        <f>OR(AND(IF(metadata!T121="",FALSE,TRUE),OR(EXACT(metadata!T121,"missing: not collected"),EXACT(metadata!T121,"missing: not provided"),EXACT(metadata!T121,"missing: restricted access"))),AND(IF(metadata!T121="",FALSE,ISNUMBER(VALUE(metadata!T121))),metadata!T121&gt;=-180,metadata!T121&lt;=180))</f>
        <v>0</v>
      </c>
      <c r="BF121" t="b">
        <f>AND(IF(metadata!U121="",FALSE,TRUE),EXACT(metadata!U121,"Decimal degrees"))</f>
        <v>0</v>
      </c>
      <c r="BG121" t="b">
        <f>IF(metadata!V121="",FALSE,TRUE)</f>
        <v>0</v>
      </c>
      <c r="BH121" t="b">
        <f>OR(AND(IF(metadata!W121="",FALSE,TRUE),OR(EXACT(metadata!W121,"missing: not collected"),EXACT(metadata!W121,"missing: not provided"),EXACT(metadata!W121,"missing: restricted access"))),AND(IF(metadata!W121="",FALSE,TRUE),OR(EXACT(metadata!W121,"TRUE"),EXACT(metadata!W121,"FALSE"))))</f>
        <v>0</v>
      </c>
      <c r="BI121" t="b">
        <f>AND(IF(metadata!X121="",FALSE,TRUE),EXACT(metadata!X121,"other"))</f>
        <v>0</v>
      </c>
      <c r="BJ121" t="b">
        <f>IF(metadata!Y121="",FALSE,TRUE)</f>
        <v>0</v>
      </c>
      <c r="BK121" t="b">
        <f>OR(AND(IF(metadata!Z121="",FALSE,TRUE),OR(EXACT(metadata!Z121,"missing: not collected"),EXACT(metadata!Z121,"missing: not provided"))),AND(IF(metadata!Z121="",FALSE,IF(ISERROR(INT(metadata!Z121)),FALSE,INT(metadata!Z121)=metadata!Z121)),metadata!Z121&gt;0))</f>
        <v>0</v>
      </c>
      <c r="BL121" t="b">
        <f>AND(IF(metadata!AA121="",FALSE,TRUE),EXACT(metadata!AA121,"Not applicable"))</f>
        <v>0</v>
      </c>
      <c r="BM121" t="b">
        <f>IF(metadata!AB121="",FALSE,TRUE)</f>
        <v>0</v>
      </c>
    </row>
    <row r="122" spans="1:65" x14ac:dyDescent="0.2">
      <c r="A122" s="5" t="str">
        <f ca="1">IF(B122=" "," ",HYPERLINK(CONCATENATE("#metadata!",ADDRESS(INDEX($AH$2:$AH$1001,MATCH(ROWS($AF$2:AF122),$AF$2:$AF$1001,0),0),1)),INDEX($AK$2:$AK$1001,MATCH(ROWS($AF$2:AF122),$AF$2:$AF$1001,0),0)))</f>
        <v xml:space="preserve"> </v>
      </c>
      <c r="B122" s="4" t="str">
        <f ca="1">IF(OR(INDEX($AG$2:$AG$1001,MATCH(ROWS($AF$2:AF122),$AF$2:$AF$1001,0),1)&gt;=100000,INDEX($AM$1005:$BM$1005,1,MATCH(COLUMNS($AM$1006:AM1006),$AM$1006:$BM$1006,0))&gt;=100000), " ",IF(INDEX($AM$2:$BM$1001,MATCH(ROWS($AF$2:AF122),$AF$2:$AF$1001,0),MATCH(COLUMNS($AM$1006:AM1006),$AM$1006:$BM$1006,0)), HYPERLINK("#",""), HYPERLINK(CONCATENATE("#metadata!", ADDRESS(INDEX($AH$2:$AH$1001,MATCH(ROWS($AF$2:AF122),$AF$2:$AF$1001,0),0), INDEX($AM$1004:$BM$1004,1,MATCH(COLUMNS($AM$1006:AM1006),$AM$1006:$BM$1006,0)))),"Fix")))</f>
        <v xml:space="preserve"> </v>
      </c>
      <c r="C122" s="4" t="str">
        <f ca="1">IF(OR(INDEX($AG$2:$AG$1001,MATCH(ROWS($AF$2:AF122),$AF$2:$AF$1001,0),1)&gt;=100000,INDEX($AM$1005:$BM$1005,1,MATCH(COLUMNS($AM$1006:AN1006),$AM$1006:$BM$1006,0))&gt;=100000), " ",IF(INDEX($AM$2:$BM$1001,MATCH(ROWS($AF$2:AF122),$AF$2:$AF$1001,0),MATCH(COLUMNS($AM$1006:AN1006),$AM$1006:$BM$1006,0)), HYPERLINK("#",""), HYPERLINK(CONCATENATE("#metadata!", ADDRESS(INDEX($AH$2:$AH$1001,MATCH(ROWS($AF$2:AF122),$AF$2:$AF$1001,0),0), INDEX($AM$1004:$BM$1004,1,MATCH(COLUMNS($AM$1006:AN1006),$AM$1006:$BM$1006,0)))),"Fix")))</f>
        <v xml:space="preserve"> </v>
      </c>
      <c r="D122" s="4" t="str">
        <f ca="1">IF(OR(INDEX($AG$2:$AG$1001,MATCH(ROWS($AF$2:AF122),$AF$2:$AF$1001,0),1)&gt;=100000,INDEX($AM$1005:$BM$1005,1,MATCH(COLUMNS($AM$1006:AO1006),$AM$1006:$BM$1006,0))&gt;=100000), " ",IF(INDEX($AM$2:$BM$1001,MATCH(ROWS($AF$2:AF122),$AF$2:$AF$1001,0),MATCH(COLUMNS($AM$1006:AO1006),$AM$1006:$BM$1006,0)), HYPERLINK("#",""), HYPERLINK(CONCATENATE("#metadata!", ADDRESS(INDEX($AH$2:$AH$1001,MATCH(ROWS($AF$2:AF122),$AF$2:$AF$1001,0),0), INDEX($AM$1004:$BM$1004,1,MATCH(COLUMNS($AM$1006:AO1006),$AM$1006:$BM$1006,0)))),"Fix")))</f>
        <v xml:space="preserve"> </v>
      </c>
      <c r="E122" s="4" t="str">
        <f ca="1">IF(OR(INDEX($AG$2:$AG$1001,MATCH(ROWS($AF$2:AF122),$AF$2:$AF$1001,0),1)&gt;=100000,INDEX($AM$1005:$BM$1005,1,MATCH(COLUMNS($AM$1006:AP1006),$AM$1006:$BM$1006,0))&gt;=100000), " ",IF(INDEX($AM$2:$BM$1001,MATCH(ROWS($AF$2:AF122),$AF$2:$AF$1001,0),MATCH(COLUMNS($AM$1006:AP1006),$AM$1006:$BM$1006,0)), HYPERLINK("#",""), HYPERLINK(CONCATENATE("#metadata!", ADDRESS(INDEX($AH$2:$AH$1001,MATCH(ROWS($AF$2:AF122),$AF$2:$AF$1001,0),0), INDEX($AM$1004:$BM$1004,1,MATCH(COLUMNS($AM$1006:AP1006),$AM$1006:$BM$1006,0)))),"Fix")))</f>
        <v xml:space="preserve"> </v>
      </c>
      <c r="F122" s="4" t="str">
        <f ca="1">IF(OR(INDEX($AG$2:$AG$1001,MATCH(ROWS($AF$2:AF122),$AF$2:$AF$1001,0),1)&gt;=100000,INDEX($AM$1005:$BM$1005,1,MATCH(COLUMNS($AM$1006:AQ1006),$AM$1006:$BM$1006,0))&gt;=100000), " ",IF(INDEX($AM$2:$BM$1001,MATCH(ROWS($AF$2:AF122),$AF$2:$AF$1001,0),MATCH(COLUMNS($AM$1006:AQ1006),$AM$1006:$BM$1006,0)), HYPERLINK("#",""), HYPERLINK(CONCATENATE("#metadata!", ADDRESS(INDEX($AH$2:$AH$1001,MATCH(ROWS($AF$2:AF122),$AF$2:$AF$1001,0),0), INDEX($AM$1004:$BM$1004,1,MATCH(COLUMNS($AM$1006:AQ1006),$AM$1006:$BM$1006,0)))),"Fix")))</f>
        <v xml:space="preserve"> </v>
      </c>
      <c r="G122" s="4" t="str">
        <f ca="1">IF(OR(INDEX($AG$2:$AG$1001,MATCH(ROWS($AF$2:AF122),$AF$2:$AF$1001,0),1)&gt;=100000,INDEX($AM$1005:$BM$1005,1,MATCH(COLUMNS($AM$1006:AR1006),$AM$1006:$BM$1006,0))&gt;=100000), " ",IF(INDEX($AM$2:$BM$1001,MATCH(ROWS($AF$2:AF122),$AF$2:$AF$1001,0),MATCH(COLUMNS($AM$1006:AR1006),$AM$1006:$BM$1006,0)), HYPERLINK("#",""), HYPERLINK(CONCATENATE("#metadata!", ADDRESS(INDEX($AH$2:$AH$1001,MATCH(ROWS($AF$2:AF122),$AF$2:$AF$1001,0),0), INDEX($AM$1004:$BM$1004,1,MATCH(COLUMNS($AM$1006:AR1006),$AM$1006:$BM$1006,0)))),"Fix")))</f>
        <v xml:space="preserve"> </v>
      </c>
      <c r="H122" s="4" t="str">
        <f ca="1">IF(OR(INDEX($AG$2:$AG$1001,MATCH(ROWS($AF$2:AF122),$AF$2:$AF$1001,0),1)&gt;=100000,INDEX($AM$1005:$BM$1005,1,MATCH(COLUMNS($AM$1006:AS1006),$AM$1006:$BM$1006,0))&gt;=100000), " ",IF(INDEX($AM$2:$BM$1001,MATCH(ROWS($AF$2:AF122),$AF$2:$AF$1001,0),MATCH(COLUMNS($AM$1006:AS1006),$AM$1006:$BM$1006,0)), HYPERLINK("#",""), HYPERLINK(CONCATENATE("#metadata!", ADDRESS(INDEX($AH$2:$AH$1001,MATCH(ROWS($AF$2:AF122),$AF$2:$AF$1001,0),0), INDEX($AM$1004:$BM$1004,1,MATCH(COLUMNS($AM$1006:AS1006),$AM$1006:$BM$1006,0)))),"Fix")))</f>
        <v xml:space="preserve"> </v>
      </c>
      <c r="I122" s="4" t="str">
        <f ca="1">IF(OR(INDEX($AG$2:$AG$1001,MATCH(ROWS($AF$2:AF122),$AF$2:$AF$1001,0),1)&gt;=100000,INDEX($AM$1005:$BM$1005,1,MATCH(COLUMNS($AM$1006:AT1006),$AM$1006:$BM$1006,0))&gt;=100000), " ",IF(INDEX($AM$2:$BM$1001,MATCH(ROWS($AF$2:AF122),$AF$2:$AF$1001,0),MATCH(COLUMNS($AM$1006:AT1006),$AM$1006:$BM$1006,0)), HYPERLINK("#",""), HYPERLINK(CONCATENATE("#metadata!", ADDRESS(INDEX($AH$2:$AH$1001,MATCH(ROWS($AF$2:AF122),$AF$2:$AF$1001,0),0), INDEX($AM$1004:$BM$1004,1,MATCH(COLUMNS($AM$1006:AT1006),$AM$1006:$BM$1006,0)))),"Fix")))</f>
        <v xml:space="preserve"> </v>
      </c>
      <c r="J122" s="4" t="str">
        <f ca="1">IF(OR(INDEX($AG$2:$AG$1001,MATCH(ROWS($AF$2:AF122),$AF$2:$AF$1001,0),1)&gt;=100000,INDEX($AM$1005:$BM$1005,1,MATCH(COLUMNS($AM$1006:AU1006),$AM$1006:$BM$1006,0))&gt;=100000), " ",IF(INDEX($AM$2:$BM$1001,MATCH(ROWS($AF$2:AF122),$AF$2:$AF$1001,0),MATCH(COLUMNS($AM$1006:AU1006),$AM$1006:$BM$1006,0)), HYPERLINK("#",""), HYPERLINK(CONCATENATE("#metadata!", ADDRESS(INDEX($AH$2:$AH$1001,MATCH(ROWS($AF$2:AF122),$AF$2:$AF$1001,0),0), INDEX($AM$1004:$BM$1004,1,MATCH(COLUMNS($AM$1006:AU1006),$AM$1006:$BM$1006,0)))),"Fix")))</f>
        <v xml:space="preserve"> </v>
      </c>
      <c r="K122" s="4" t="str">
        <f ca="1">IF(OR(INDEX($AG$2:$AG$1001,MATCH(ROWS($AF$2:AF122),$AF$2:$AF$1001,0),1)&gt;=100000,INDEX($AM$1005:$BM$1005,1,MATCH(COLUMNS($AM$1006:AV1006),$AM$1006:$BM$1006,0))&gt;=100000), " ",IF(INDEX($AM$2:$BM$1001,MATCH(ROWS($AF$2:AF122),$AF$2:$AF$1001,0),MATCH(COLUMNS($AM$1006:AV1006),$AM$1006:$BM$1006,0)), HYPERLINK("#",""), HYPERLINK(CONCATENATE("#metadata!", ADDRESS(INDEX($AH$2:$AH$1001,MATCH(ROWS($AF$2:AF122),$AF$2:$AF$1001,0),0), INDEX($AM$1004:$BM$1004,1,MATCH(COLUMNS($AM$1006:AV1006),$AM$1006:$BM$1006,0)))),"Fix")))</f>
        <v xml:space="preserve"> </v>
      </c>
      <c r="L122" s="4" t="str">
        <f ca="1">IF(OR(INDEX($AG$2:$AG$1001,MATCH(ROWS($AF$2:AF122),$AF$2:$AF$1001,0),1)&gt;=100000,INDEX($AM$1005:$BM$1005,1,MATCH(COLUMNS($AM$1006:AW1006),$AM$1006:$BM$1006,0))&gt;=100000), " ",IF(INDEX($AM$2:$BM$1001,MATCH(ROWS($AF$2:AF122),$AF$2:$AF$1001,0),MATCH(COLUMNS($AM$1006:AW1006),$AM$1006:$BM$1006,0)), HYPERLINK("#",""), HYPERLINK(CONCATENATE("#metadata!", ADDRESS(INDEX($AH$2:$AH$1001,MATCH(ROWS($AF$2:AF122),$AF$2:$AF$1001,0),0), INDEX($AM$1004:$BM$1004,1,MATCH(COLUMNS($AM$1006:AW1006),$AM$1006:$BM$1006,0)))),"Fix")))</f>
        <v xml:space="preserve"> </v>
      </c>
      <c r="M122" s="4" t="str">
        <f ca="1">IF(OR(INDEX($AG$2:$AG$1001,MATCH(ROWS($AF$2:AF122),$AF$2:$AF$1001,0),1)&gt;=100000,INDEX($AM$1005:$BM$1005,1,MATCH(COLUMNS($AM$1006:AX1006),$AM$1006:$BM$1006,0))&gt;=100000), " ",IF(INDEX($AM$2:$BM$1001,MATCH(ROWS($AF$2:AF122),$AF$2:$AF$1001,0),MATCH(COLUMNS($AM$1006:AX1006),$AM$1006:$BM$1006,0)), HYPERLINK("#",""), HYPERLINK(CONCATENATE("#metadata!", ADDRESS(INDEX($AH$2:$AH$1001,MATCH(ROWS($AF$2:AF122),$AF$2:$AF$1001,0),0), INDEX($AM$1004:$BM$1004,1,MATCH(COLUMNS($AM$1006:AX1006),$AM$1006:$BM$1006,0)))),"Fix")))</f>
        <v xml:space="preserve"> </v>
      </c>
      <c r="N122" s="4" t="str">
        <f ca="1">IF(OR(INDEX($AG$2:$AG$1001,MATCH(ROWS($AF$2:AF122),$AF$2:$AF$1001,0),1)&gt;=100000,INDEX($AM$1005:$BM$1005,1,MATCH(COLUMNS($AM$1006:AY1006),$AM$1006:$BM$1006,0))&gt;=100000), " ",IF(INDEX($AM$2:$BM$1001,MATCH(ROWS($AF$2:AF122),$AF$2:$AF$1001,0),MATCH(COLUMNS($AM$1006:AY1006),$AM$1006:$BM$1006,0)), HYPERLINK("#",""), HYPERLINK(CONCATENATE("#metadata!", ADDRESS(INDEX($AH$2:$AH$1001,MATCH(ROWS($AF$2:AF122),$AF$2:$AF$1001,0),0), INDEX($AM$1004:$BM$1004,1,MATCH(COLUMNS($AM$1006:AY1006),$AM$1006:$BM$1006,0)))),"Fix")))</f>
        <v xml:space="preserve"> </v>
      </c>
      <c r="O122" s="4" t="str">
        <f ca="1">IF(OR(INDEX($AG$2:$AG$1001,MATCH(ROWS($AF$2:AF122),$AF$2:$AF$1001,0),1)&gt;=100000,INDEX($AM$1005:$BM$1005,1,MATCH(COLUMNS($AM$1006:AZ1006),$AM$1006:$BM$1006,0))&gt;=100000), " ",IF(INDEX($AM$2:$BM$1001,MATCH(ROWS($AF$2:AF122),$AF$2:$AF$1001,0),MATCH(COLUMNS($AM$1006:AZ1006),$AM$1006:$BM$1006,0)), HYPERLINK("#",""), HYPERLINK(CONCATENATE("#metadata!", ADDRESS(INDEX($AH$2:$AH$1001,MATCH(ROWS($AF$2:AF122),$AF$2:$AF$1001,0),0), INDEX($AM$1004:$BM$1004,1,MATCH(COLUMNS($AM$1006:AZ1006),$AM$1006:$BM$1006,0)))),"Fix")))</f>
        <v xml:space="preserve"> </v>
      </c>
      <c r="P122" s="4" t="str">
        <f ca="1">IF(OR(INDEX($AG$2:$AG$1001,MATCH(ROWS($AF$2:AF122),$AF$2:$AF$1001,0),1)&gt;=100000,INDEX($AM$1005:$BM$1005,1,MATCH(COLUMNS($AM$1006:BA1006),$AM$1006:$BM$1006,0))&gt;=100000), " ",IF(INDEX($AM$2:$BM$1001,MATCH(ROWS($AF$2:AF122),$AF$2:$AF$1001,0),MATCH(COLUMNS($AM$1006:BA1006),$AM$1006:$BM$1006,0)), HYPERLINK("#",""), HYPERLINK(CONCATENATE("#metadata!", ADDRESS(INDEX($AH$2:$AH$1001,MATCH(ROWS($AF$2:AF122),$AF$2:$AF$1001,0),0), INDEX($AM$1004:$BM$1004,1,MATCH(COLUMNS($AM$1006:BA1006),$AM$1006:$BM$1006,0)))),"Fix")))</f>
        <v xml:space="preserve"> </v>
      </c>
      <c r="Q122" s="4" t="str">
        <f ca="1">IF(OR(INDEX($AG$2:$AG$1001,MATCH(ROWS($AF$2:AF122),$AF$2:$AF$1001,0),1)&gt;=100000,INDEX($AM$1005:$BM$1005,1,MATCH(COLUMNS($AM$1006:BB1006),$AM$1006:$BM$1006,0))&gt;=100000), " ",IF(INDEX($AM$2:$BM$1001,MATCH(ROWS($AF$2:AF122),$AF$2:$AF$1001,0),MATCH(COLUMNS($AM$1006:BB1006),$AM$1006:$BM$1006,0)), HYPERLINK("#",""), HYPERLINK(CONCATENATE("#metadata!", ADDRESS(INDEX($AH$2:$AH$1001,MATCH(ROWS($AF$2:AF122),$AF$2:$AF$1001,0),0), INDEX($AM$1004:$BM$1004,1,MATCH(COLUMNS($AM$1006:BB1006),$AM$1006:$BM$1006,0)))),"Fix")))</f>
        <v xml:space="preserve"> </v>
      </c>
      <c r="R122" s="4" t="str">
        <f ca="1">IF(OR(INDEX($AG$2:$AG$1001,MATCH(ROWS($AF$2:AF122),$AF$2:$AF$1001,0),1)&gt;=100000,INDEX($AM$1005:$BM$1005,1,MATCH(COLUMNS($AM$1006:BC1006),$AM$1006:$BM$1006,0))&gt;=100000), " ",IF(INDEX($AM$2:$BM$1001,MATCH(ROWS($AF$2:AF122),$AF$2:$AF$1001,0),MATCH(COLUMNS($AM$1006:BC1006),$AM$1006:$BM$1006,0)), HYPERLINK("#",""), HYPERLINK(CONCATENATE("#metadata!", ADDRESS(INDEX($AH$2:$AH$1001,MATCH(ROWS($AF$2:AF122),$AF$2:$AF$1001,0),0), INDEX($AM$1004:$BM$1004,1,MATCH(COLUMNS($AM$1006:BC1006),$AM$1006:$BM$1006,0)))),"Fix")))</f>
        <v xml:space="preserve"> </v>
      </c>
      <c r="S122" s="4" t="str">
        <f ca="1">IF(OR(INDEX($AG$2:$AG$1001,MATCH(ROWS($AF$2:AF122),$AF$2:$AF$1001,0),1)&gt;=100000,INDEX($AM$1005:$BM$1005,1,MATCH(COLUMNS($AM$1006:BD1006),$AM$1006:$BM$1006,0))&gt;=100000), " ",IF(INDEX($AM$2:$BM$1001,MATCH(ROWS($AF$2:AF122),$AF$2:$AF$1001,0),MATCH(COLUMNS($AM$1006:BD1006),$AM$1006:$BM$1006,0)), HYPERLINK("#",""), HYPERLINK(CONCATENATE("#metadata!", ADDRESS(INDEX($AH$2:$AH$1001,MATCH(ROWS($AF$2:AF122),$AF$2:$AF$1001,0),0), INDEX($AM$1004:$BM$1004,1,MATCH(COLUMNS($AM$1006:BD1006),$AM$1006:$BM$1006,0)))),"Fix")))</f>
        <v xml:space="preserve"> </v>
      </c>
      <c r="T122" s="4" t="str">
        <f ca="1">IF(OR(INDEX($AG$2:$AG$1001,MATCH(ROWS($AF$2:AF122),$AF$2:$AF$1001,0),1)&gt;=100000,INDEX($AM$1005:$BM$1005,1,MATCH(COLUMNS($AM$1006:BE1006),$AM$1006:$BM$1006,0))&gt;=100000), " ",IF(INDEX($AM$2:$BM$1001,MATCH(ROWS($AF$2:AF122),$AF$2:$AF$1001,0),MATCH(COLUMNS($AM$1006:BE1006),$AM$1006:$BM$1006,0)), HYPERLINK("#",""), HYPERLINK(CONCATENATE("#metadata!", ADDRESS(INDEX($AH$2:$AH$1001,MATCH(ROWS($AF$2:AF122),$AF$2:$AF$1001,0),0), INDEX($AM$1004:$BM$1004,1,MATCH(COLUMNS($AM$1006:BE1006),$AM$1006:$BM$1006,0)))),"Fix")))</f>
        <v xml:space="preserve"> </v>
      </c>
      <c r="U122" s="4" t="str">
        <f ca="1">IF(OR(INDEX($AG$2:$AG$1001,MATCH(ROWS($AF$2:AF122),$AF$2:$AF$1001,0),1)&gt;=100000,INDEX($AM$1005:$BM$1005,1,MATCH(COLUMNS($AM$1006:BF1006),$AM$1006:$BM$1006,0))&gt;=100000), " ",IF(INDEX($AM$2:$BM$1001,MATCH(ROWS($AF$2:AF122),$AF$2:$AF$1001,0),MATCH(COLUMNS($AM$1006:BF1006),$AM$1006:$BM$1006,0)), HYPERLINK("#",""), HYPERLINK(CONCATENATE("#metadata!", ADDRESS(INDEX($AH$2:$AH$1001,MATCH(ROWS($AF$2:AF122),$AF$2:$AF$1001,0),0), INDEX($AM$1004:$BM$1004,1,MATCH(COLUMNS($AM$1006:BF1006),$AM$1006:$BM$1006,0)))),"Fix")))</f>
        <v xml:space="preserve"> </v>
      </c>
      <c r="V122" s="4" t="str">
        <f ca="1">IF(OR(INDEX($AG$2:$AG$1001,MATCH(ROWS($AF$2:AF122),$AF$2:$AF$1001,0),1)&gt;=100000,INDEX($AM$1005:$BM$1005,1,MATCH(COLUMNS($AM$1006:BG1006),$AM$1006:$BM$1006,0))&gt;=100000), " ",IF(INDEX($AM$2:$BM$1001,MATCH(ROWS($AF$2:AF122),$AF$2:$AF$1001,0),MATCH(COLUMNS($AM$1006:BG1006),$AM$1006:$BM$1006,0)), HYPERLINK("#",""), HYPERLINK(CONCATENATE("#metadata!", ADDRESS(INDEX($AH$2:$AH$1001,MATCH(ROWS($AF$2:AF122),$AF$2:$AF$1001,0),0), INDEX($AM$1004:$BM$1004,1,MATCH(COLUMNS($AM$1006:BG1006),$AM$1006:$BM$1006,0)))),"Fix")))</f>
        <v xml:space="preserve"> </v>
      </c>
      <c r="W122" s="4" t="str">
        <f ca="1">IF(OR(INDEX($AG$2:$AG$1001,MATCH(ROWS($AF$2:AF122),$AF$2:$AF$1001,0),1)&gt;=100000,INDEX($AM$1005:$BM$1005,1,MATCH(COLUMNS($AM$1006:BH1006),$AM$1006:$BM$1006,0))&gt;=100000), " ",IF(INDEX($AM$2:$BM$1001,MATCH(ROWS($AF$2:AF122),$AF$2:$AF$1001,0),MATCH(COLUMNS($AM$1006:BH1006),$AM$1006:$BM$1006,0)), HYPERLINK("#",""), HYPERLINK(CONCATENATE("#metadata!", ADDRESS(INDEX($AH$2:$AH$1001,MATCH(ROWS($AF$2:AF122),$AF$2:$AF$1001,0),0), INDEX($AM$1004:$BM$1004,1,MATCH(COLUMNS($AM$1006:BH1006),$AM$1006:$BM$1006,0)))),"Fix")))</f>
        <v xml:space="preserve"> </v>
      </c>
      <c r="X122" s="4" t="str">
        <f ca="1">IF(OR(INDEX($AG$2:$AG$1001,MATCH(ROWS($AF$2:AF122),$AF$2:$AF$1001,0),1)&gt;=100000,INDEX($AM$1005:$BM$1005,1,MATCH(COLUMNS($AM$1006:BI1006),$AM$1006:$BM$1006,0))&gt;=100000), " ",IF(INDEX($AM$2:$BM$1001,MATCH(ROWS($AF$2:AF122),$AF$2:$AF$1001,0),MATCH(COLUMNS($AM$1006:BI1006),$AM$1006:$BM$1006,0)), HYPERLINK("#",""), HYPERLINK(CONCATENATE("#metadata!", ADDRESS(INDEX($AH$2:$AH$1001,MATCH(ROWS($AF$2:AF122),$AF$2:$AF$1001,0),0), INDEX($AM$1004:$BM$1004,1,MATCH(COLUMNS($AM$1006:BI1006),$AM$1006:$BM$1006,0)))),"Fix")))</f>
        <v xml:space="preserve"> </v>
      </c>
      <c r="Y122" s="4" t="str">
        <f ca="1">IF(OR(INDEX($AG$2:$AG$1001,MATCH(ROWS($AF$2:AF122),$AF$2:$AF$1001,0),1)&gt;=100000,INDEX($AM$1005:$BM$1005,1,MATCH(COLUMNS($AM$1006:BJ1006),$AM$1006:$BM$1006,0))&gt;=100000), " ",IF(INDEX($AM$2:$BM$1001,MATCH(ROWS($AF$2:AF122),$AF$2:$AF$1001,0),MATCH(COLUMNS($AM$1006:BJ1006),$AM$1006:$BM$1006,0)), HYPERLINK("#",""), HYPERLINK(CONCATENATE("#metadata!", ADDRESS(INDEX($AH$2:$AH$1001,MATCH(ROWS($AF$2:AF122),$AF$2:$AF$1001,0),0), INDEX($AM$1004:$BM$1004,1,MATCH(COLUMNS($AM$1006:BJ1006),$AM$1006:$BM$1006,0)))),"Fix")))</f>
        <v xml:space="preserve"> </v>
      </c>
      <c r="Z122" s="4" t="str">
        <f ca="1">IF(OR(INDEX($AG$2:$AG$1001,MATCH(ROWS($AF$2:AF122),$AF$2:$AF$1001,0),1)&gt;=100000,INDEX($AM$1005:$BM$1005,1,MATCH(COLUMNS($AM$1006:BK1006),$AM$1006:$BM$1006,0))&gt;=100000), " ",IF(INDEX($AM$2:$BM$1001,MATCH(ROWS($AF$2:AF122),$AF$2:$AF$1001,0),MATCH(COLUMNS($AM$1006:BK1006),$AM$1006:$BM$1006,0)), HYPERLINK("#",""), HYPERLINK(CONCATENATE("#metadata!", ADDRESS(INDEX($AH$2:$AH$1001,MATCH(ROWS($AF$2:AF122),$AF$2:$AF$1001,0),0), INDEX($AM$1004:$BM$1004,1,MATCH(COLUMNS($AM$1006:BK1006),$AM$1006:$BM$1006,0)))),"Fix")))</f>
        <v xml:space="preserve"> </v>
      </c>
      <c r="AA122" s="4" t="str">
        <f ca="1">IF(OR(INDEX($AG$2:$AG$1001,MATCH(ROWS($AF$2:AF122),$AF$2:$AF$1001,0),1)&gt;=100000,INDEX($AM$1005:$BM$1005,1,MATCH(COLUMNS($AM$1006:BL1006),$AM$1006:$BM$1006,0))&gt;=100000), " ",IF(INDEX($AM$2:$BM$1001,MATCH(ROWS($AF$2:AF122),$AF$2:$AF$1001,0),MATCH(COLUMNS($AM$1006:BL1006),$AM$1006:$BM$1006,0)), HYPERLINK("#",""), HYPERLINK(CONCATENATE("#metadata!", ADDRESS(INDEX($AH$2:$AH$1001,MATCH(ROWS($AF$2:AF122),$AF$2:$AF$1001,0),0), INDEX($AM$1004:$BM$1004,1,MATCH(COLUMNS($AM$1006:BL1006),$AM$1006:$BM$1006,0)))),"Fix")))</f>
        <v xml:space="preserve"> </v>
      </c>
      <c r="AB122" s="4" t="str">
        <f ca="1">IF(OR(INDEX($AG$2:$AG$1001,MATCH(ROWS($AF$2:AF122),$AF$2:$AF$1001,0),1)&gt;=100000,INDEX($AM$1005:$BM$1005,1,MATCH(COLUMNS($AM$1006:BM1006),$AM$1006:$BM$1006,0))&gt;=100000), " ",IF(INDEX($AM$2:$BM$1001,MATCH(ROWS($AF$2:AF122),$AF$2:$AF$1001,0),MATCH(COLUMNS($AM$1006:BM1006),$AM$1006:$BM$1006,0)), HYPERLINK("#",""), HYPERLINK(CONCATENATE("#metadata!", ADDRESS(INDEX($AH$2:$AH$1001,MATCH(ROWS($AF$2:AF122),$AF$2:$AF$1001,0),0), INDEX($AM$1004:$BM$1004,1,MATCH(COLUMNS($AM$1006:BM1006),$AM$1006:$BM$1006,0)))),"Fix")))</f>
        <v xml:space="preserve"> </v>
      </c>
      <c r="AF122">
        <v>121</v>
      </c>
      <c r="AG122">
        <v>100122</v>
      </c>
      <c r="AH122">
        <v>122</v>
      </c>
      <c r="AI122" t="b">
        <f t="shared" si="1"/>
        <v>1</v>
      </c>
      <c r="AJ122" t="b">
        <f>COUNTBLANK(metadata!B122:AB122)=COLUMNS(metadata!B122:AB122)</f>
        <v>1</v>
      </c>
      <c r="AK122" t="str">
        <v/>
      </c>
      <c r="AM122" t="b">
        <f ca="1">AND(IF(metadata!B122="",FALSE,TRUE),COUNTIF(metadata!B:B, metadata!B122) = 1,NOT(ISERROR(SUMPRODUCT(SEARCH(MID(metadata!B122,ROW(INDIRECT("1:"&amp;LEN(metadata!B122))), 1),"0123456789abcdefghijklmnopqrstuvwxyzABCDEFGHIJKLMNOPQRSTUVWXYZ.")))))</f>
        <v>0</v>
      </c>
      <c r="AN122" t="b">
        <f ca="1">OR(AND(IF(metadata!C122="",FALSE,TRUE),OR(EXACT(metadata!C122,"missing: not collected"),EXACT(metadata!C122,"missing: not provided"),EXACT(metadata!C122,"missing: restricted access"))),AND(IF(metadata!C122="",FALSE,TRUE),AND(AND(IFERROR(INT(LEFT(metadata!C122,4))&gt;1900,FALSE),IFERROR(INT(LEFT(metadata!C122,4))&lt;=YEAR(NOW()),FALSE)), OR(MID(metadata!C122,5,1)="", AND(AND(MID(metadata!C122,5,1)="-",IFERROR(INT(MID(metadata!C122,6,1))&gt;=0,FALSE),IFERROR(INT(MID(metadata!C122,6,1))&lt;=1,FALSE),NOT(MID(metadata!C122,7,1)=""),IFERROR(INT(MID(metadata!C122,6,2))&gt;=1,FALSE),IFERROR(INT(MID(metadata!C122,6,2))&lt;=12,FALSE)), OR(MID(metadata!C122,8,1)="", AND(AND(MID(metadata!C122,8,1)="-",IFERROR(INT(MID(metadata!C122,9,1))&gt;=0,FALSE),IFERROR(INT(MID(metadata!C122,9,1))&lt;=3,FALSE),NOT(MID(metadata!C122,10,1)=""),IFERROR(INT(MID(metadata!C122,9,2))&gt;=1,FALSE),IFERROR(INT(MID(metadata!C122,9,2))&lt;=31,FALSE)), OR(MID(metadata!C122,11,1)="", AND(AND(MID(metadata!C122,11,1)=" ",IFERROR(INT(MID(metadata!C122,12,1))&gt;=0,FALSE),IFERROR(INT(MID(metadata!C122,12,1))&lt;=2,FALSE),NOT(MID(metadata!C122,13,1)=""),IFERROR(INT(MID(metadata!C122,12,2))&gt;=0,FALSE),IFERROR(INT(MID(metadata!C122,12,2))&lt;=23,FALSE)), OR(MID(metadata!C122,14,1)="", AND(AND(MID(metadata!C122,14,1)=":",IFERROR(INT(MID(metadata!C122,15,1))&gt;=0,FALSE),IFERROR(INT(MID(metadata!C122,15,1))&lt;=5,FALSE),NOT(MID(metadata!C122,16,1)=""),IFERROR(INT(MID(metadata!C122,15,2))&gt;=0,FALSE),IFERROR(INT(MID(metadata!C122,15,2))&lt;=59,FALSE)), OR(MID(metadata!C122,17,1)="", AND(AND(MID(metadata!C122,17,1)=":",IFERROR(INT(MID(metadata!C122,18,1))&gt;=0,FALSE),IFERROR(INT(MID(metadata!C122,18,1))&lt;=5,FALSE),NOT(MID(metadata!C122,19,1)=""),IFERROR(INT(MID(metadata!C122,18,2))&gt;=0,FALSE),IFERROR(INT(MID(metadata!C122,18,2))&lt;=59,FALSE)), LEN(metadata!C122)&lt;=19)))))))))))))</f>
        <v>0</v>
      </c>
      <c r="AO122" t="b">
        <f>AND(IF(metadata!D122="",FALSE,TRUE),EXACT(metadata!D122,"Not applicable"))</f>
        <v>0</v>
      </c>
      <c r="AP122" t="b">
        <f>IF(metadata!E122="",FALSE,TRUE)</f>
        <v>0</v>
      </c>
      <c r="AQ122" t="b">
        <f>OR(AND(IF(metadata!F122="",FALSE,TRUE),OR(EXACT(metadata!F122,"missing: not collected"),EXACT(metadata!F122,"missing: not provided"))),AND(IF(metadata!F122="",FALSE,TRUE),OR(EXACT(metadata!F122,"TRUE"),EXACT(metadata!F122,"FALSE"))))</f>
        <v>0</v>
      </c>
      <c r="AR122" t="b">
        <f>OR(AND(IF(metadata!G122="",FALSE,TRUE),OR(EXACT(metadata!G122,"missing: not collected"),EXACT(metadata!G122,"missing: not provided"),EXACT(metadata!G122,"missing: restricted access"))),AND(IF(metadata!G122="",FALSE,ISNUMBER(VALUE(metadata!G122))),metadata!G122&gt;=-413))</f>
        <v>0</v>
      </c>
      <c r="AS122" t="b">
        <f>AND(IF(metadata!H122="",FALSE,TRUE),EXACT(metadata!H122,"meters"))</f>
        <v>0</v>
      </c>
      <c r="AT122" t="b">
        <f>AND(IF(metadata!I122="",FALSE,TRUE),OR(EXACT(metadata!I122,"Host-associated"),EXACT(metadata!I122,"Free-living")))</f>
        <v>0</v>
      </c>
      <c r="AU122" t="b">
        <f>AND(IF(metadata!J122="",FALSE,TRUE),OR(EXACT(metadata!J122,"Animal"),EXACT(metadata!J122,"Fungus"),EXACT(metadata!J122,"Plant"),EXACT(metadata!J122,"Saline"),EXACT(metadata!J122,"Non-saline")))</f>
        <v>0</v>
      </c>
      <c r="AV122" t="b">
        <f>AND(IF(metadata!K122="",FALSE,TRUE),OR(EXACT(metadata!K122,"Plant secretion"),EXACT(metadata!K122,"Plant rhizosphere"),EXACT(metadata!K122,"Plant surface"),EXACT(metadata!K122,"Plant corpus"),EXACT(metadata!K122,"Fungus surface"),EXACT(metadata!K122,"Fungus corpus"),EXACT(metadata!K122,"Animal surface"),EXACT(metadata!K122,"Animal proximal gut"),EXACT(metadata!K122,"Animal corpus"),EXACT(metadata!K122,"Animal distal gut"),EXACT(metadata!K122,"Animal secretion"),EXACT(metadata!K122,"Sub-surface (non-saline)"),EXACT(metadata!K122,"Surface (non-saline)"),EXACT(metadata!K122,"Water (non-saline)"),EXACT(metadata!K122,"Soil (non-saline)"),EXACT(metadata!K122,"Aerosol (non-saline)"),EXACT(metadata!K122,"Sediment (non-saline)"),EXACT(metadata!K122,"Surface (saline)"),EXACT(metadata!K122,"Water (saline)"),EXACT(metadata!K122,"Hypersaline (saline)"),EXACT(metadata!K122,"Aerosol (saline)"),EXACT(metadata!K122,"Sediment (saline)")))</f>
        <v>0</v>
      </c>
      <c r="AW122" t="b">
        <f>IF(metadata!L122="",FALSE,TRUE)</f>
        <v>0</v>
      </c>
      <c r="AX122" t="b">
        <f>IF(metadata!M122="",FALSE,TRUE)</f>
        <v>0</v>
      </c>
      <c r="AY122" t="b">
        <f>IF(metadata!N122="",FALSE,TRUE)</f>
        <v>0</v>
      </c>
      <c r="AZ122" t="b">
        <f>OR(AND(IF(metadata!O122="",FALSE,TRUE),OR(EXACT(metadata!O122,"missing: not collected"),EXACT(metadata!O122,"missing: not provided"),EXACT(metadata!O122,"missing: restricted access"))),AND(IF(metadata!O122="",FALSE,TRUE),OR(EXACT(metadata!O122,"air"),EXACT(metadata!O122,"built environment"),EXACT(metadata!O122,"host-associated"),EXACT(metadata!O122,"human-associated"),EXACT(metadata!O122,"human-skin"),EXACT(metadata!O122,"human-oral"),EXACT(metadata!O122,"human-gut"),EXACT(metadata!O122,"human-vaginal"),EXACT(metadata!O122,"microbial mat/biofilm"),EXACT(metadata!O122,"misc environment"),EXACT(metadata!O122,"plant-associated"),EXACT(metadata!O122,"sediment"),EXACT(metadata!O122,"soil"),EXACT(metadata!O122,"wastewater/sludge"),EXACT(metadata!O122,"water"))))</f>
        <v>0</v>
      </c>
      <c r="BA122" t="b">
        <f>IF(metadata!P122="",FALSE,TRUE)</f>
        <v>0</v>
      </c>
      <c r="BB122" t="b">
        <f>IF(metadata!Q122="",FALSE,TRUE)</f>
        <v>0</v>
      </c>
      <c r="BC122" t="b">
        <f>OR(AND(IF(metadata!R122="",FALSE,TRUE),OR(EXACT(metadata!R122,"missing: not collected"),EXACT(metadata!R122,"missing: not provided"),EXACT(metadata!R122,"missing: restricted access"))),AND(IF(metadata!R122="",FALSE,ISNUMBER(VALUE(metadata!R122))),metadata!R122&gt;=-90,metadata!R122&lt;=90))</f>
        <v>0</v>
      </c>
      <c r="BD122" t="b">
        <f>AND(IF(metadata!S122="",FALSE,TRUE),EXACT(metadata!S122,"Decimal degrees"))</f>
        <v>0</v>
      </c>
      <c r="BE122" t="b">
        <f>OR(AND(IF(metadata!T122="",FALSE,TRUE),OR(EXACT(metadata!T122,"missing: not collected"),EXACT(metadata!T122,"missing: not provided"),EXACT(metadata!T122,"missing: restricted access"))),AND(IF(metadata!T122="",FALSE,ISNUMBER(VALUE(metadata!T122))),metadata!T122&gt;=-180,metadata!T122&lt;=180))</f>
        <v>0</v>
      </c>
      <c r="BF122" t="b">
        <f>AND(IF(metadata!U122="",FALSE,TRUE),EXACT(metadata!U122,"Decimal degrees"))</f>
        <v>0</v>
      </c>
      <c r="BG122" t="b">
        <f>IF(metadata!V122="",FALSE,TRUE)</f>
        <v>0</v>
      </c>
      <c r="BH122" t="b">
        <f>OR(AND(IF(metadata!W122="",FALSE,TRUE),OR(EXACT(metadata!W122,"missing: not collected"),EXACT(metadata!W122,"missing: not provided"),EXACT(metadata!W122,"missing: restricted access"))),AND(IF(metadata!W122="",FALSE,TRUE),OR(EXACT(metadata!W122,"TRUE"),EXACT(metadata!W122,"FALSE"))))</f>
        <v>0</v>
      </c>
      <c r="BI122" t="b">
        <f>AND(IF(metadata!X122="",FALSE,TRUE),EXACT(metadata!X122,"other"))</f>
        <v>0</v>
      </c>
      <c r="BJ122" t="b">
        <f>IF(metadata!Y122="",FALSE,TRUE)</f>
        <v>0</v>
      </c>
      <c r="BK122" t="b">
        <f>OR(AND(IF(metadata!Z122="",FALSE,TRUE),OR(EXACT(metadata!Z122,"missing: not collected"),EXACT(metadata!Z122,"missing: not provided"))),AND(IF(metadata!Z122="",FALSE,IF(ISERROR(INT(metadata!Z122)),FALSE,INT(metadata!Z122)=metadata!Z122)),metadata!Z122&gt;0))</f>
        <v>0</v>
      </c>
      <c r="BL122" t="b">
        <f>AND(IF(metadata!AA122="",FALSE,TRUE),EXACT(metadata!AA122,"Not applicable"))</f>
        <v>0</v>
      </c>
      <c r="BM122" t="b">
        <f>IF(metadata!AB122="",FALSE,TRUE)</f>
        <v>0</v>
      </c>
    </row>
    <row r="123" spans="1:65" x14ac:dyDescent="0.2">
      <c r="A123" s="5" t="str">
        <f ca="1">IF(B123=" "," ",HYPERLINK(CONCATENATE("#metadata!",ADDRESS(INDEX($AH$2:$AH$1001,MATCH(ROWS($AF$2:AF123),$AF$2:$AF$1001,0),0),1)),INDEX($AK$2:$AK$1001,MATCH(ROWS($AF$2:AF123),$AF$2:$AF$1001,0),0)))</f>
        <v xml:space="preserve"> </v>
      </c>
      <c r="B123" s="4" t="str">
        <f ca="1">IF(OR(INDEX($AG$2:$AG$1001,MATCH(ROWS($AF$2:AF123),$AF$2:$AF$1001,0),1)&gt;=100000,INDEX($AM$1005:$BM$1005,1,MATCH(COLUMNS($AM$1006:AM1006),$AM$1006:$BM$1006,0))&gt;=100000), " ",IF(INDEX($AM$2:$BM$1001,MATCH(ROWS($AF$2:AF123),$AF$2:$AF$1001,0),MATCH(COLUMNS($AM$1006:AM1006),$AM$1006:$BM$1006,0)), HYPERLINK("#",""), HYPERLINK(CONCATENATE("#metadata!", ADDRESS(INDEX($AH$2:$AH$1001,MATCH(ROWS($AF$2:AF123),$AF$2:$AF$1001,0),0), INDEX($AM$1004:$BM$1004,1,MATCH(COLUMNS($AM$1006:AM1006),$AM$1006:$BM$1006,0)))),"Fix")))</f>
        <v xml:space="preserve"> </v>
      </c>
      <c r="C123" s="4" t="str">
        <f ca="1">IF(OR(INDEX($AG$2:$AG$1001,MATCH(ROWS($AF$2:AF123),$AF$2:$AF$1001,0),1)&gt;=100000,INDEX($AM$1005:$BM$1005,1,MATCH(COLUMNS($AM$1006:AN1006),$AM$1006:$BM$1006,0))&gt;=100000), " ",IF(INDEX($AM$2:$BM$1001,MATCH(ROWS($AF$2:AF123),$AF$2:$AF$1001,0),MATCH(COLUMNS($AM$1006:AN1006),$AM$1006:$BM$1006,0)), HYPERLINK("#",""), HYPERLINK(CONCATENATE("#metadata!", ADDRESS(INDEX($AH$2:$AH$1001,MATCH(ROWS($AF$2:AF123),$AF$2:$AF$1001,0),0), INDEX($AM$1004:$BM$1004,1,MATCH(COLUMNS($AM$1006:AN1006),$AM$1006:$BM$1006,0)))),"Fix")))</f>
        <v xml:space="preserve"> </v>
      </c>
      <c r="D123" s="4" t="str">
        <f ca="1">IF(OR(INDEX($AG$2:$AG$1001,MATCH(ROWS($AF$2:AF123),$AF$2:$AF$1001,0),1)&gt;=100000,INDEX($AM$1005:$BM$1005,1,MATCH(COLUMNS($AM$1006:AO1006),$AM$1006:$BM$1006,0))&gt;=100000), " ",IF(INDEX($AM$2:$BM$1001,MATCH(ROWS($AF$2:AF123),$AF$2:$AF$1001,0),MATCH(COLUMNS($AM$1006:AO1006),$AM$1006:$BM$1006,0)), HYPERLINK("#",""), HYPERLINK(CONCATENATE("#metadata!", ADDRESS(INDEX($AH$2:$AH$1001,MATCH(ROWS($AF$2:AF123),$AF$2:$AF$1001,0),0), INDEX($AM$1004:$BM$1004,1,MATCH(COLUMNS($AM$1006:AO1006),$AM$1006:$BM$1006,0)))),"Fix")))</f>
        <v xml:space="preserve"> </v>
      </c>
      <c r="E123" s="4" t="str">
        <f ca="1">IF(OR(INDEX($AG$2:$AG$1001,MATCH(ROWS($AF$2:AF123),$AF$2:$AF$1001,0),1)&gt;=100000,INDEX($AM$1005:$BM$1005,1,MATCH(COLUMNS($AM$1006:AP1006),$AM$1006:$BM$1006,0))&gt;=100000), " ",IF(INDEX($AM$2:$BM$1001,MATCH(ROWS($AF$2:AF123),$AF$2:$AF$1001,0),MATCH(COLUMNS($AM$1006:AP1006),$AM$1006:$BM$1006,0)), HYPERLINK("#",""), HYPERLINK(CONCATENATE("#metadata!", ADDRESS(INDEX($AH$2:$AH$1001,MATCH(ROWS($AF$2:AF123),$AF$2:$AF$1001,0),0), INDEX($AM$1004:$BM$1004,1,MATCH(COLUMNS($AM$1006:AP1006),$AM$1006:$BM$1006,0)))),"Fix")))</f>
        <v xml:space="preserve"> </v>
      </c>
      <c r="F123" s="4" t="str">
        <f ca="1">IF(OR(INDEX($AG$2:$AG$1001,MATCH(ROWS($AF$2:AF123),$AF$2:$AF$1001,0),1)&gt;=100000,INDEX($AM$1005:$BM$1005,1,MATCH(COLUMNS($AM$1006:AQ1006),$AM$1006:$BM$1006,0))&gt;=100000), " ",IF(INDEX($AM$2:$BM$1001,MATCH(ROWS($AF$2:AF123),$AF$2:$AF$1001,0),MATCH(COLUMNS($AM$1006:AQ1006),$AM$1006:$BM$1006,0)), HYPERLINK("#",""), HYPERLINK(CONCATENATE("#metadata!", ADDRESS(INDEX($AH$2:$AH$1001,MATCH(ROWS($AF$2:AF123),$AF$2:$AF$1001,0),0), INDEX($AM$1004:$BM$1004,1,MATCH(COLUMNS($AM$1006:AQ1006),$AM$1006:$BM$1006,0)))),"Fix")))</f>
        <v xml:space="preserve"> </v>
      </c>
      <c r="G123" s="4" t="str">
        <f ca="1">IF(OR(INDEX($AG$2:$AG$1001,MATCH(ROWS($AF$2:AF123),$AF$2:$AF$1001,0),1)&gt;=100000,INDEX($AM$1005:$BM$1005,1,MATCH(COLUMNS($AM$1006:AR1006),$AM$1006:$BM$1006,0))&gt;=100000), " ",IF(INDEX($AM$2:$BM$1001,MATCH(ROWS($AF$2:AF123),$AF$2:$AF$1001,0),MATCH(COLUMNS($AM$1006:AR1006),$AM$1006:$BM$1006,0)), HYPERLINK("#",""), HYPERLINK(CONCATENATE("#metadata!", ADDRESS(INDEX($AH$2:$AH$1001,MATCH(ROWS($AF$2:AF123),$AF$2:$AF$1001,0),0), INDEX($AM$1004:$BM$1004,1,MATCH(COLUMNS($AM$1006:AR1006),$AM$1006:$BM$1006,0)))),"Fix")))</f>
        <v xml:space="preserve"> </v>
      </c>
      <c r="H123" s="4" t="str">
        <f ca="1">IF(OR(INDEX($AG$2:$AG$1001,MATCH(ROWS($AF$2:AF123),$AF$2:$AF$1001,0),1)&gt;=100000,INDEX($AM$1005:$BM$1005,1,MATCH(COLUMNS($AM$1006:AS1006),$AM$1006:$BM$1006,0))&gt;=100000), " ",IF(INDEX($AM$2:$BM$1001,MATCH(ROWS($AF$2:AF123),$AF$2:$AF$1001,0),MATCH(COLUMNS($AM$1006:AS1006),$AM$1006:$BM$1006,0)), HYPERLINK("#",""), HYPERLINK(CONCATENATE("#metadata!", ADDRESS(INDEX($AH$2:$AH$1001,MATCH(ROWS($AF$2:AF123),$AF$2:$AF$1001,0),0), INDEX($AM$1004:$BM$1004,1,MATCH(COLUMNS($AM$1006:AS1006),$AM$1006:$BM$1006,0)))),"Fix")))</f>
        <v xml:space="preserve"> </v>
      </c>
      <c r="I123" s="4" t="str">
        <f ca="1">IF(OR(INDEX($AG$2:$AG$1001,MATCH(ROWS($AF$2:AF123),$AF$2:$AF$1001,0),1)&gt;=100000,INDEX($AM$1005:$BM$1005,1,MATCH(COLUMNS($AM$1006:AT1006),$AM$1006:$BM$1006,0))&gt;=100000), " ",IF(INDEX($AM$2:$BM$1001,MATCH(ROWS($AF$2:AF123),$AF$2:$AF$1001,0),MATCH(COLUMNS($AM$1006:AT1006),$AM$1006:$BM$1006,0)), HYPERLINK("#",""), HYPERLINK(CONCATENATE("#metadata!", ADDRESS(INDEX($AH$2:$AH$1001,MATCH(ROWS($AF$2:AF123),$AF$2:$AF$1001,0),0), INDEX($AM$1004:$BM$1004,1,MATCH(COLUMNS($AM$1006:AT1006),$AM$1006:$BM$1006,0)))),"Fix")))</f>
        <v xml:space="preserve"> </v>
      </c>
      <c r="J123" s="4" t="str">
        <f ca="1">IF(OR(INDEX($AG$2:$AG$1001,MATCH(ROWS($AF$2:AF123),$AF$2:$AF$1001,0),1)&gt;=100000,INDEX($AM$1005:$BM$1005,1,MATCH(COLUMNS($AM$1006:AU1006),$AM$1006:$BM$1006,0))&gt;=100000), " ",IF(INDEX($AM$2:$BM$1001,MATCH(ROWS($AF$2:AF123),$AF$2:$AF$1001,0),MATCH(COLUMNS($AM$1006:AU1006),$AM$1006:$BM$1006,0)), HYPERLINK("#",""), HYPERLINK(CONCATENATE("#metadata!", ADDRESS(INDEX($AH$2:$AH$1001,MATCH(ROWS($AF$2:AF123),$AF$2:$AF$1001,0),0), INDEX($AM$1004:$BM$1004,1,MATCH(COLUMNS($AM$1006:AU1006),$AM$1006:$BM$1006,0)))),"Fix")))</f>
        <v xml:space="preserve"> </v>
      </c>
      <c r="K123" s="4" t="str">
        <f ca="1">IF(OR(INDEX($AG$2:$AG$1001,MATCH(ROWS($AF$2:AF123),$AF$2:$AF$1001,0),1)&gt;=100000,INDEX($AM$1005:$BM$1005,1,MATCH(COLUMNS($AM$1006:AV1006),$AM$1006:$BM$1006,0))&gt;=100000), " ",IF(INDEX($AM$2:$BM$1001,MATCH(ROWS($AF$2:AF123),$AF$2:$AF$1001,0),MATCH(COLUMNS($AM$1006:AV1006),$AM$1006:$BM$1006,0)), HYPERLINK("#",""), HYPERLINK(CONCATENATE("#metadata!", ADDRESS(INDEX($AH$2:$AH$1001,MATCH(ROWS($AF$2:AF123),$AF$2:$AF$1001,0),0), INDEX($AM$1004:$BM$1004,1,MATCH(COLUMNS($AM$1006:AV1006),$AM$1006:$BM$1006,0)))),"Fix")))</f>
        <v xml:space="preserve"> </v>
      </c>
      <c r="L123" s="4" t="str">
        <f ca="1">IF(OR(INDEX($AG$2:$AG$1001,MATCH(ROWS($AF$2:AF123),$AF$2:$AF$1001,0),1)&gt;=100000,INDEX($AM$1005:$BM$1005,1,MATCH(COLUMNS($AM$1006:AW1006),$AM$1006:$BM$1006,0))&gt;=100000), " ",IF(INDEX($AM$2:$BM$1001,MATCH(ROWS($AF$2:AF123),$AF$2:$AF$1001,0),MATCH(COLUMNS($AM$1006:AW1006),$AM$1006:$BM$1006,0)), HYPERLINK("#",""), HYPERLINK(CONCATENATE("#metadata!", ADDRESS(INDEX($AH$2:$AH$1001,MATCH(ROWS($AF$2:AF123),$AF$2:$AF$1001,0),0), INDEX($AM$1004:$BM$1004,1,MATCH(COLUMNS($AM$1006:AW1006),$AM$1006:$BM$1006,0)))),"Fix")))</f>
        <v xml:space="preserve"> </v>
      </c>
      <c r="M123" s="4" t="str">
        <f ca="1">IF(OR(INDEX($AG$2:$AG$1001,MATCH(ROWS($AF$2:AF123),$AF$2:$AF$1001,0),1)&gt;=100000,INDEX($AM$1005:$BM$1005,1,MATCH(COLUMNS($AM$1006:AX1006),$AM$1006:$BM$1006,0))&gt;=100000), " ",IF(INDEX($AM$2:$BM$1001,MATCH(ROWS($AF$2:AF123),$AF$2:$AF$1001,0),MATCH(COLUMNS($AM$1006:AX1006),$AM$1006:$BM$1006,0)), HYPERLINK("#",""), HYPERLINK(CONCATENATE("#metadata!", ADDRESS(INDEX($AH$2:$AH$1001,MATCH(ROWS($AF$2:AF123),$AF$2:$AF$1001,0),0), INDEX($AM$1004:$BM$1004,1,MATCH(COLUMNS($AM$1006:AX1006),$AM$1006:$BM$1006,0)))),"Fix")))</f>
        <v xml:space="preserve"> </v>
      </c>
      <c r="N123" s="4" t="str">
        <f ca="1">IF(OR(INDEX($AG$2:$AG$1001,MATCH(ROWS($AF$2:AF123),$AF$2:$AF$1001,0),1)&gt;=100000,INDEX($AM$1005:$BM$1005,1,MATCH(COLUMNS($AM$1006:AY1006),$AM$1006:$BM$1006,0))&gt;=100000), " ",IF(INDEX($AM$2:$BM$1001,MATCH(ROWS($AF$2:AF123),$AF$2:$AF$1001,0),MATCH(COLUMNS($AM$1006:AY1006),$AM$1006:$BM$1006,0)), HYPERLINK("#",""), HYPERLINK(CONCATENATE("#metadata!", ADDRESS(INDEX($AH$2:$AH$1001,MATCH(ROWS($AF$2:AF123),$AF$2:$AF$1001,0),0), INDEX($AM$1004:$BM$1004,1,MATCH(COLUMNS($AM$1006:AY1006),$AM$1006:$BM$1006,0)))),"Fix")))</f>
        <v xml:space="preserve"> </v>
      </c>
      <c r="O123" s="4" t="str">
        <f ca="1">IF(OR(INDEX($AG$2:$AG$1001,MATCH(ROWS($AF$2:AF123),$AF$2:$AF$1001,0),1)&gt;=100000,INDEX($AM$1005:$BM$1005,1,MATCH(COLUMNS($AM$1006:AZ1006),$AM$1006:$BM$1006,0))&gt;=100000), " ",IF(INDEX($AM$2:$BM$1001,MATCH(ROWS($AF$2:AF123),$AF$2:$AF$1001,0),MATCH(COLUMNS($AM$1006:AZ1006),$AM$1006:$BM$1006,0)), HYPERLINK("#",""), HYPERLINK(CONCATENATE("#metadata!", ADDRESS(INDEX($AH$2:$AH$1001,MATCH(ROWS($AF$2:AF123),$AF$2:$AF$1001,0),0), INDEX($AM$1004:$BM$1004,1,MATCH(COLUMNS($AM$1006:AZ1006),$AM$1006:$BM$1006,0)))),"Fix")))</f>
        <v xml:space="preserve"> </v>
      </c>
      <c r="P123" s="4" t="str">
        <f ca="1">IF(OR(INDEX($AG$2:$AG$1001,MATCH(ROWS($AF$2:AF123),$AF$2:$AF$1001,0),1)&gt;=100000,INDEX($AM$1005:$BM$1005,1,MATCH(COLUMNS($AM$1006:BA1006),$AM$1006:$BM$1006,0))&gt;=100000), " ",IF(INDEX($AM$2:$BM$1001,MATCH(ROWS($AF$2:AF123),$AF$2:$AF$1001,0),MATCH(COLUMNS($AM$1006:BA1006),$AM$1006:$BM$1006,0)), HYPERLINK("#",""), HYPERLINK(CONCATENATE("#metadata!", ADDRESS(INDEX($AH$2:$AH$1001,MATCH(ROWS($AF$2:AF123),$AF$2:$AF$1001,0),0), INDEX($AM$1004:$BM$1004,1,MATCH(COLUMNS($AM$1006:BA1006),$AM$1006:$BM$1006,0)))),"Fix")))</f>
        <v xml:space="preserve"> </v>
      </c>
      <c r="Q123" s="4" t="str">
        <f ca="1">IF(OR(INDEX($AG$2:$AG$1001,MATCH(ROWS($AF$2:AF123),$AF$2:$AF$1001,0),1)&gt;=100000,INDEX($AM$1005:$BM$1005,1,MATCH(COLUMNS($AM$1006:BB1006),$AM$1006:$BM$1006,0))&gt;=100000), " ",IF(INDEX($AM$2:$BM$1001,MATCH(ROWS($AF$2:AF123),$AF$2:$AF$1001,0),MATCH(COLUMNS($AM$1006:BB1006),$AM$1006:$BM$1006,0)), HYPERLINK("#",""), HYPERLINK(CONCATENATE("#metadata!", ADDRESS(INDEX($AH$2:$AH$1001,MATCH(ROWS($AF$2:AF123),$AF$2:$AF$1001,0),0), INDEX($AM$1004:$BM$1004,1,MATCH(COLUMNS($AM$1006:BB1006),$AM$1006:$BM$1006,0)))),"Fix")))</f>
        <v xml:space="preserve"> </v>
      </c>
      <c r="R123" s="4" t="str">
        <f ca="1">IF(OR(INDEX($AG$2:$AG$1001,MATCH(ROWS($AF$2:AF123),$AF$2:$AF$1001,0),1)&gt;=100000,INDEX($AM$1005:$BM$1005,1,MATCH(COLUMNS($AM$1006:BC1006),$AM$1006:$BM$1006,0))&gt;=100000), " ",IF(INDEX($AM$2:$BM$1001,MATCH(ROWS($AF$2:AF123),$AF$2:$AF$1001,0),MATCH(COLUMNS($AM$1006:BC1006),$AM$1006:$BM$1006,0)), HYPERLINK("#",""), HYPERLINK(CONCATENATE("#metadata!", ADDRESS(INDEX($AH$2:$AH$1001,MATCH(ROWS($AF$2:AF123),$AF$2:$AF$1001,0),0), INDEX($AM$1004:$BM$1004,1,MATCH(COLUMNS($AM$1006:BC1006),$AM$1006:$BM$1006,0)))),"Fix")))</f>
        <v xml:space="preserve"> </v>
      </c>
      <c r="S123" s="4" t="str">
        <f ca="1">IF(OR(INDEX($AG$2:$AG$1001,MATCH(ROWS($AF$2:AF123),$AF$2:$AF$1001,0),1)&gt;=100000,INDEX($AM$1005:$BM$1005,1,MATCH(COLUMNS($AM$1006:BD1006),$AM$1006:$BM$1006,0))&gt;=100000), " ",IF(INDEX($AM$2:$BM$1001,MATCH(ROWS($AF$2:AF123),$AF$2:$AF$1001,0),MATCH(COLUMNS($AM$1006:BD1006),$AM$1006:$BM$1006,0)), HYPERLINK("#",""), HYPERLINK(CONCATENATE("#metadata!", ADDRESS(INDEX($AH$2:$AH$1001,MATCH(ROWS($AF$2:AF123),$AF$2:$AF$1001,0),0), INDEX($AM$1004:$BM$1004,1,MATCH(COLUMNS($AM$1006:BD1006),$AM$1006:$BM$1006,0)))),"Fix")))</f>
        <v xml:space="preserve"> </v>
      </c>
      <c r="T123" s="4" t="str">
        <f ca="1">IF(OR(INDEX($AG$2:$AG$1001,MATCH(ROWS($AF$2:AF123),$AF$2:$AF$1001,0),1)&gt;=100000,INDEX($AM$1005:$BM$1005,1,MATCH(COLUMNS($AM$1006:BE1006),$AM$1006:$BM$1006,0))&gt;=100000), " ",IF(INDEX($AM$2:$BM$1001,MATCH(ROWS($AF$2:AF123),$AF$2:$AF$1001,0),MATCH(COLUMNS($AM$1006:BE1006),$AM$1006:$BM$1006,0)), HYPERLINK("#",""), HYPERLINK(CONCATENATE("#metadata!", ADDRESS(INDEX($AH$2:$AH$1001,MATCH(ROWS($AF$2:AF123),$AF$2:$AF$1001,0),0), INDEX($AM$1004:$BM$1004,1,MATCH(COLUMNS($AM$1006:BE1006),$AM$1006:$BM$1006,0)))),"Fix")))</f>
        <v xml:space="preserve"> </v>
      </c>
      <c r="U123" s="4" t="str">
        <f ca="1">IF(OR(INDEX($AG$2:$AG$1001,MATCH(ROWS($AF$2:AF123),$AF$2:$AF$1001,0),1)&gt;=100000,INDEX($AM$1005:$BM$1005,1,MATCH(COLUMNS($AM$1006:BF1006),$AM$1006:$BM$1006,0))&gt;=100000), " ",IF(INDEX($AM$2:$BM$1001,MATCH(ROWS($AF$2:AF123),$AF$2:$AF$1001,0),MATCH(COLUMNS($AM$1006:BF1006),$AM$1006:$BM$1006,0)), HYPERLINK("#",""), HYPERLINK(CONCATENATE("#metadata!", ADDRESS(INDEX($AH$2:$AH$1001,MATCH(ROWS($AF$2:AF123),$AF$2:$AF$1001,0),0), INDEX($AM$1004:$BM$1004,1,MATCH(COLUMNS($AM$1006:BF1006),$AM$1006:$BM$1006,0)))),"Fix")))</f>
        <v xml:space="preserve"> </v>
      </c>
      <c r="V123" s="4" t="str">
        <f ca="1">IF(OR(INDEX($AG$2:$AG$1001,MATCH(ROWS($AF$2:AF123),$AF$2:$AF$1001,0),1)&gt;=100000,INDEX($AM$1005:$BM$1005,1,MATCH(COLUMNS($AM$1006:BG1006),$AM$1006:$BM$1006,0))&gt;=100000), " ",IF(INDEX($AM$2:$BM$1001,MATCH(ROWS($AF$2:AF123),$AF$2:$AF$1001,0),MATCH(COLUMNS($AM$1006:BG1006),$AM$1006:$BM$1006,0)), HYPERLINK("#",""), HYPERLINK(CONCATENATE("#metadata!", ADDRESS(INDEX($AH$2:$AH$1001,MATCH(ROWS($AF$2:AF123),$AF$2:$AF$1001,0),0), INDEX($AM$1004:$BM$1004,1,MATCH(COLUMNS($AM$1006:BG1006),$AM$1006:$BM$1006,0)))),"Fix")))</f>
        <v xml:space="preserve"> </v>
      </c>
      <c r="W123" s="4" t="str">
        <f ca="1">IF(OR(INDEX($AG$2:$AG$1001,MATCH(ROWS($AF$2:AF123),$AF$2:$AF$1001,0),1)&gt;=100000,INDEX($AM$1005:$BM$1005,1,MATCH(COLUMNS($AM$1006:BH1006),$AM$1006:$BM$1006,0))&gt;=100000), " ",IF(INDEX($AM$2:$BM$1001,MATCH(ROWS($AF$2:AF123),$AF$2:$AF$1001,0),MATCH(COLUMNS($AM$1006:BH1006),$AM$1006:$BM$1006,0)), HYPERLINK("#",""), HYPERLINK(CONCATENATE("#metadata!", ADDRESS(INDEX($AH$2:$AH$1001,MATCH(ROWS($AF$2:AF123),$AF$2:$AF$1001,0),0), INDEX($AM$1004:$BM$1004,1,MATCH(COLUMNS($AM$1006:BH1006),$AM$1006:$BM$1006,0)))),"Fix")))</f>
        <v xml:space="preserve"> </v>
      </c>
      <c r="X123" s="4" t="str">
        <f ca="1">IF(OR(INDEX($AG$2:$AG$1001,MATCH(ROWS($AF$2:AF123),$AF$2:$AF$1001,0),1)&gt;=100000,INDEX($AM$1005:$BM$1005,1,MATCH(COLUMNS($AM$1006:BI1006),$AM$1006:$BM$1006,0))&gt;=100000), " ",IF(INDEX($AM$2:$BM$1001,MATCH(ROWS($AF$2:AF123),$AF$2:$AF$1001,0),MATCH(COLUMNS($AM$1006:BI1006),$AM$1006:$BM$1006,0)), HYPERLINK("#",""), HYPERLINK(CONCATENATE("#metadata!", ADDRESS(INDEX($AH$2:$AH$1001,MATCH(ROWS($AF$2:AF123),$AF$2:$AF$1001,0),0), INDEX($AM$1004:$BM$1004,1,MATCH(COLUMNS($AM$1006:BI1006),$AM$1006:$BM$1006,0)))),"Fix")))</f>
        <v xml:space="preserve"> </v>
      </c>
      <c r="Y123" s="4" t="str">
        <f ca="1">IF(OR(INDEX($AG$2:$AG$1001,MATCH(ROWS($AF$2:AF123),$AF$2:$AF$1001,0),1)&gt;=100000,INDEX($AM$1005:$BM$1005,1,MATCH(COLUMNS($AM$1006:BJ1006),$AM$1006:$BM$1006,0))&gt;=100000), " ",IF(INDEX($AM$2:$BM$1001,MATCH(ROWS($AF$2:AF123),$AF$2:$AF$1001,0),MATCH(COLUMNS($AM$1006:BJ1006),$AM$1006:$BM$1006,0)), HYPERLINK("#",""), HYPERLINK(CONCATENATE("#metadata!", ADDRESS(INDEX($AH$2:$AH$1001,MATCH(ROWS($AF$2:AF123),$AF$2:$AF$1001,0),0), INDEX($AM$1004:$BM$1004,1,MATCH(COLUMNS($AM$1006:BJ1006),$AM$1006:$BM$1006,0)))),"Fix")))</f>
        <v xml:space="preserve"> </v>
      </c>
      <c r="Z123" s="4" t="str">
        <f ca="1">IF(OR(INDEX($AG$2:$AG$1001,MATCH(ROWS($AF$2:AF123),$AF$2:$AF$1001,0),1)&gt;=100000,INDEX($AM$1005:$BM$1005,1,MATCH(COLUMNS($AM$1006:BK1006),$AM$1006:$BM$1006,0))&gt;=100000), " ",IF(INDEX($AM$2:$BM$1001,MATCH(ROWS($AF$2:AF123),$AF$2:$AF$1001,0),MATCH(COLUMNS($AM$1006:BK1006),$AM$1006:$BM$1006,0)), HYPERLINK("#",""), HYPERLINK(CONCATENATE("#metadata!", ADDRESS(INDEX($AH$2:$AH$1001,MATCH(ROWS($AF$2:AF123),$AF$2:$AF$1001,0),0), INDEX($AM$1004:$BM$1004,1,MATCH(COLUMNS($AM$1006:BK1006),$AM$1006:$BM$1006,0)))),"Fix")))</f>
        <v xml:space="preserve"> </v>
      </c>
      <c r="AA123" s="4" t="str">
        <f ca="1">IF(OR(INDEX($AG$2:$AG$1001,MATCH(ROWS($AF$2:AF123),$AF$2:$AF$1001,0),1)&gt;=100000,INDEX($AM$1005:$BM$1005,1,MATCH(COLUMNS($AM$1006:BL1006),$AM$1006:$BM$1006,0))&gt;=100000), " ",IF(INDEX($AM$2:$BM$1001,MATCH(ROWS($AF$2:AF123),$AF$2:$AF$1001,0),MATCH(COLUMNS($AM$1006:BL1006),$AM$1006:$BM$1006,0)), HYPERLINK("#",""), HYPERLINK(CONCATENATE("#metadata!", ADDRESS(INDEX($AH$2:$AH$1001,MATCH(ROWS($AF$2:AF123),$AF$2:$AF$1001,0),0), INDEX($AM$1004:$BM$1004,1,MATCH(COLUMNS($AM$1006:BL1006),$AM$1006:$BM$1006,0)))),"Fix")))</f>
        <v xml:space="preserve"> </v>
      </c>
      <c r="AB123" s="4" t="str">
        <f ca="1">IF(OR(INDEX($AG$2:$AG$1001,MATCH(ROWS($AF$2:AF123),$AF$2:$AF$1001,0),1)&gt;=100000,INDEX($AM$1005:$BM$1005,1,MATCH(COLUMNS($AM$1006:BM1006),$AM$1006:$BM$1006,0))&gt;=100000), " ",IF(INDEX($AM$2:$BM$1001,MATCH(ROWS($AF$2:AF123),$AF$2:$AF$1001,0),MATCH(COLUMNS($AM$1006:BM1006),$AM$1006:$BM$1006,0)), HYPERLINK("#",""), HYPERLINK(CONCATENATE("#metadata!", ADDRESS(INDEX($AH$2:$AH$1001,MATCH(ROWS($AF$2:AF123),$AF$2:$AF$1001,0),0), INDEX($AM$1004:$BM$1004,1,MATCH(COLUMNS($AM$1006:BM1006),$AM$1006:$BM$1006,0)))),"Fix")))</f>
        <v xml:space="preserve"> </v>
      </c>
      <c r="AF123">
        <v>122</v>
      </c>
      <c r="AG123">
        <v>100123</v>
      </c>
      <c r="AH123">
        <v>123</v>
      </c>
      <c r="AI123" t="b">
        <f t="shared" si="1"/>
        <v>1</v>
      </c>
      <c r="AJ123" t="b">
        <f>COUNTBLANK(metadata!B123:AB123)=COLUMNS(metadata!B123:AB123)</f>
        <v>1</v>
      </c>
      <c r="AK123" t="str">
        <v/>
      </c>
      <c r="AM123" t="b">
        <f ca="1">AND(IF(metadata!B123="",FALSE,TRUE),COUNTIF(metadata!B:B, metadata!B123) = 1,NOT(ISERROR(SUMPRODUCT(SEARCH(MID(metadata!B123,ROW(INDIRECT("1:"&amp;LEN(metadata!B123))), 1),"0123456789abcdefghijklmnopqrstuvwxyzABCDEFGHIJKLMNOPQRSTUVWXYZ.")))))</f>
        <v>0</v>
      </c>
      <c r="AN123" t="b">
        <f ca="1">OR(AND(IF(metadata!C123="",FALSE,TRUE),OR(EXACT(metadata!C123,"missing: not collected"),EXACT(metadata!C123,"missing: not provided"),EXACT(metadata!C123,"missing: restricted access"))),AND(IF(metadata!C123="",FALSE,TRUE),AND(AND(IFERROR(INT(LEFT(metadata!C123,4))&gt;1900,FALSE),IFERROR(INT(LEFT(metadata!C123,4))&lt;=YEAR(NOW()),FALSE)), OR(MID(metadata!C123,5,1)="", AND(AND(MID(metadata!C123,5,1)="-",IFERROR(INT(MID(metadata!C123,6,1))&gt;=0,FALSE),IFERROR(INT(MID(metadata!C123,6,1))&lt;=1,FALSE),NOT(MID(metadata!C123,7,1)=""),IFERROR(INT(MID(metadata!C123,6,2))&gt;=1,FALSE),IFERROR(INT(MID(metadata!C123,6,2))&lt;=12,FALSE)), OR(MID(metadata!C123,8,1)="", AND(AND(MID(metadata!C123,8,1)="-",IFERROR(INT(MID(metadata!C123,9,1))&gt;=0,FALSE),IFERROR(INT(MID(metadata!C123,9,1))&lt;=3,FALSE),NOT(MID(metadata!C123,10,1)=""),IFERROR(INT(MID(metadata!C123,9,2))&gt;=1,FALSE),IFERROR(INT(MID(metadata!C123,9,2))&lt;=31,FALSE)), OR(MID(metadata!C123,11,1)="", AND(AND(MID(metadata!C123,11,1)=" ",IFERROR(INT(MID(metadata!C123,12,1))&gt;=0,FALSE),IFERROR(INT(MID(metadata!C123,12,1))&lt;=2,FALSE),NOT(MID(metadata!C123,13,1)=""),IFERROR(INT(MID(metadata!C123,12,2))&gt;=0,FALSE),IFERROR(INT(MID(metadata!C123,12,2))&lt;=23,FALSE)), OR(MID(metadata!C123,14,1)="", AND(AND(MID(metadata!C123,14,1)=":",IFERROR(INT(MID(metadata!C123,15,1))&gt;=0,FALSE),IFERROR(INT(MID(metadata!C123,15,1))&lt;=5,FALSE),NOT(MID(metadata!C123,16,1)=""),IFERROR(INT(MID(metadata!C123,15,2))&gt;=0,FALSE),IFERROR(INT(MID(metadata!C123,15,2))&lt;=59,FALSE)), OR(MID(metadata!C123,17,1)="", AND(AND(MID(metadata!C123,17,1)=":",IFERROR(INT(MID(metadata!C123,18,1))&gt;=0,FALSE),IFERROR(INT(MID(metadata!C123,18,1))&lt;=5,FALSE),NOT(MID(metadata!C123,19,1)=""),IFERROR(INT(MID(metadata!C123,18,2))&gt;=0,FALSE),IFERROR(INT(MID(metadata!C123,18,2))&lt;=59,FALSE)), LEN(metadata!C123)&lt;=19)))))))))))))</f>
        <v>0</v>
      </c>
      <c r="AO123" t="b">
        <f>AND(IF(metadata!D123="",FALSE,TRUE),EXACT(metadata!D123,"Not applicable"))</f>
        <v>0</v>
      </c>
      <c r="AP123" t="b">
        <f>IF(metadata!E123="",FALSE,TRUE)</f>
        <v>0</v>
      </c>
      <c r="AQ123" t="b">
        <f>OR(AND(IF(metadata!F123="",FALSE,TRUE),OR(EXACT(metadata!F123,"missing: not collected"),EXACT(metadata!F123,"missing: not provided"))),AND(IF(metadata!F123="",FALSE,TRUE),OR(EXACT(metadata!F123,"TRUE"),EXACT(metadata!F123,"FALSE"))))</f>
        <v>0</v>
      </c>
      <c r="AR123" t="b">
        <f>OR(AND(IF(metadata!G123="",FALSE,TRUE),OR(EXACT(metadata!G123,"missing: not collected"),EXACT(metadata!G123,"missing: not provided"),EXACT(metadata!G123,"missing: restricted access"))),AND(IF(metadata!G123="",FALSE,ISNUMBER(VALUE(metadata!G123))),metadata!G123&gt;=-413))</f>
        <v>0</v>
      </c>
      <c r="AS123" t="b">
        <f>AND(IF(metadata!H123="",FALSE,TRUE),EXACT(metadata!H123,"meters"))</f>
        <v>0</v>
      </c>
      <c r="AT123" t="b">
        <f>AND(IF(metadata!I123="",FALSE,TRUE),OR(EXACT(metadata!I123,"Host-associated"),EXACT(metadata!I123,"Free-living")))</f>
        <v>0</v>
      </c>
      <c r="AU123" t="b">
        <f>AND(IF(metadata!J123="",FALSE,TRUE),OR(EXACT(metadata!J123,"Animal"),EXACT(metadata!J123,"Fungus"),EXACT(metadata!J123,"Plant"),EXACT(metadata!J123,"Saline"),EXACT(metadata!J123,"Non-saline")))</f>
        <v>0</v>
      </c>
      <c r="AV123" t="b">
        <f>AND(IF(metadata!K123="",FALSE,TRUE),OR(EXACT(metadata!K123,"Plant secretion"),EXACT(metadata!K123,"Plant rhizosphere"),EXACT(metadata!K123,"Plant surface"),EXACT(metadata!K123,"Plant corpus"),EXACT(metadata!K123,"Fungus surface"),EXACT(metadata!K123,"Fungus corpus"),EXACT(metadata!K123,"Animal surface"),EXACT(metadata!K123,"Animal proximal gut"),EXACT(metadata!K123,"Animal corpus"),EXACT(metadata!K123,"Animal distal gut"),EXACT(metadata!K123,"Animal secretion"),EXACT(metadata!K123,"Sub-surface (non-saline)"),EXACT(metadata!K123,"Surface (non-saline)"),EXACT(metadata!K123,"Water (non-saline)"),EXACT(metadata!K123,"Soil (non-saline)"),EXACT(metadata!K123,"Aerosol (non-saline)"),EXACT(metadata!K123,"Sediment (non-saline)"),EXACT(metadata!K123,"Surface (saline)"),EXACT(metadata!K123,"Water (saline)"),EXACT(metadata!K123,"Hypersaline (saline)"),EXACT(metadata!K123,"Aerosol (saline)"),EXACT(metadata!K123,"Sediment (saline)")))</f>
        <v>0</v>
      </c>
      <c r="AW123" t="b">
        <f>IF(metadata!L123="",FALSE,TRUE)</f>
        <v>0</v>
      </c>
      <c r="AX123" t="b">
        <f>IF(metadata!M123="",FALSE,TRUE)</f>
        <v>0</v>
      </c>
      <c r="AY123" t="b">
        <f>IF(metadata!N123="",FALSE,TRUE)</f>
        <v>0</v>
      </c>
      <c r="AZ123" t="b">
        <f>OR(AND(IF(metadata!O123="",FALSE,TRUE),OR(EXACT(metadata!O123,"missing: not collected"),EXACT(metadata!O123,"missing: not provided"),EXACT(metadata!O123,"missing: restricted access"))),AND(IF(metadata!O123="",FALSE,TRUE),OR(EXACT(metadata!O123,"air"),EXACT(metadata!O123,"built environment"),EXACT(metadata!O123,"host-associated"),EXACT(metadata!O123,"human-associated"),EXACT(metadata!O123,"human-skin"),EXACT(metadata!O123,"human-oral"),EXACT(metadata!O123,"human-gut"),EXACT(metadata!O123,"human-vaginal"),EXACT(metadata!O123,"microbial mat/biofilm"),EXACT(metadata!O123,"misc environment"),EXACT(metadata!O123,"plant-associated"),EXACT(metadata!O123,"sediment"),EXACT(metadata!O123,"soil"),EXACT(metadata!O123,"wastewater/sludge"),EXACT(metadata!O123,"water"))))</f>
        <v>0</v>
      </c>
      <c r="BA123" t="b">
        <f>IF(metadata!P123="",FALSE,TRUE)</f>
        <v>0</v>
      </c>
      <c r="BB123" t="b">
        <f>IF(metadata!Q123="",FALSE,TRUE)</f>
        <v>0</v>
      </c>
      <c r="BC123" t="b">
        <f>OR(AND(IF(metadata!R123="",FALSE,TRUE),OR(EXACT(metadata!R123,"missing: not collected"),EXACT(metadata!R123,"missing: not provided"),EXACT(metadata!R123,"missing: restricted access"))),AND(IF(metadata!R123="",FALSE,ISNUMBER(VALUE(metadata!R123))),metadata!R123&gt;=-90,metadata!R123&lt;=90))</f>
        <v>0</v>
      </c>
      <c r="BD123" t="b">
        <f>AND(IF(metadata!S123="",FALSE,TRUE),EXACT(metadata!S123,"Decimal degrees"))</f>
        <v>0</v>
      </c>
      <c r="BE123" t="b">
        <f>OR(AND(IF(metadata!T123="",FALSE,TRUE),OR(EXACT(metadata!T123,"missing: not collected"),EXACT(metadata!T123,"missing: not provided"),EXACT(metadata!T123,"missing: restricted access"))),AND(IF(metadata!T123="",FALSE,ISNUMBER(VALUE(metadata!T123))),metadata!T123&gt;=-180,metadata!T123&lt;=180))</f>
        <v>0</v>
      </c>
      <c r="BF123" t="b">
        <f>AND(IF(metadata!U123="",FALSE,TRUE),EXACT(metadata!U123,"Decimal degrees"))</f>
        <v>0</v>
      </c>
      <c r="BG123" t="b">
        <f>IF(metadata!V123="",FALSE,TRUE)</f>
        <v>0</v>
      </c>
      <c r="BH123" t="b">
        <f>OR(AND(IF(metadata!W123="",FALSE,TRUE),OR(EXACT(metadata!W123,"missing: not collected"),EXACT(metadata!W123,"missing: not provided"),EXACT(metadata!W123,"missing: restricted access"))),AND(IF(metadata!W123="",FALSE,TRUE),OR(EXACT(metadata!W123,"TRUE"),EXACT(metadata!W123,"FALSE"))))</f>
        <v>0</v>
      </c>
      <c r="BI123" t="b">
        <f>AND(IF(metadata!X123="",FALSE,TRUE),EXACT(metadata!X123,"other"))</f>
        <v>0</v>
      </c>
      <c r="BJ123" t="b">
        <f>IF(metadata!Y123="",FALSE,TRUE)</f>
        <v>0</v>
      </c>
      <c r="BK123" t="b">
        <f>OR(AND(IF(metadata!Z123="",FALSE,TRUE),OR(EXACT(metadata!Z123,"missing: not collected"),EXACT(metadata!Z123,"missing: not provided"))),AND(IF(metadata!Z123="",FALSE,IF(ISERROR(INT(metadata!Z123)),FALSE,INT(metadata!Z123)=metadata!Z123)),metadata!Z123&gt;0))</f>
        <v>0</v>
      </c>
      <c r="BL123" t="b">
        <f>AND(IF(metadata!AA123="",FALSE,TRUE),EXACT(metadata!AA123,"Not applicable"))</f>
        <v>0</v>
      </c>
      <c r="BM123" t="b">
        <f>IF(metadata!AB123="",FALSE,TRUE)</f>
        <v>0</v>
      </c>
    </row>
    <row r="124" spans="1:65" x14ac:dyDescent="0.2">
      <c r="A124" s="5" t="str">
        <f ca="1">IF(B124=" "," ",HYPERLINK(CONCATENATE("#metadata!",ADDRESS(INDEX($AH$2:$AH$1001,MATCH(ROWS($AF$2:AF124),$AF$2:$AF$1001,0),0),1)),INDEX($AK$2:$AK$1001,MATCH(ROWS($AF$2:AF124),$AF$2:$AF$1001,0),0)))</f>
        <v xml:space="preserve"> </v>
      </c>
      <c r="B124" s="4" t="str">
        <f ca="1">IF(OR(INDEX($AG$2:$AG$1001,MATCH(ROWS($AF$2:AF124),$AF$2:$AF$1001,0),1)&gt;=100000,INDEX($AM$1005:$BM$1005,1,MATCH(COLUMNS($AM$1006:AM1006),$AM$1006:$BM$1006,0))&gt;=100000), " ",IF(INDEX($AM$2:$BM$1001,MATCH(ROWS($AF$2:AF124),$AF$2:$AF$1001,0),MATCH(COLUMNS($AM$1006:AM1006),$AM$1006:$BM$1006,0)), HYPERLINK("#",""), HYPERLINK(CONCATENATE("#metadata!", ADDRESS(INDEX($AH$2:$AH$1001,MATCH(ROWS($AF$2:AF124),$AF$2:$AF$1001,0),0), INDEX($AM$1004:$BM$1004,1,MATCH(COLUMNS($AM$1006:AM1006),$AM$1006:$BM$1006,0)))),"Fix")))</f>
        <v xml:space="preserve"> </v>
      </c>
      <c r="C124" s="4" t="str">
        <f ca="1">IF(OR(INDEX($AG$2:$AG$1001,MATCH(ROWS($AF$2:AF124),$AF$2:$AF$1001,0),1)&gt;=100000,INDEX($AM$1005:$BM$1005,1,MATCH(COLUMNS($AM$1006:AN1006),$AM$1006:$BM$1006,0))&gt;=100000), " ",IF(INDEX($AM$2:$BM$1001,MATCH(ROWS($AF$2:AF124),$AF$2:$AF$1001,0),MATCH(COLUMNS($AM$1006:AN1006),$AM$1006:$BM$1006,0)), HYPERLINK("#",""), HYPERLINK(CONCATENATE("#metadata!", ADDRESS(INDEX($AH$2:$AH$1001,MATCH(ROWS($AF$2:AF124),$AF$2:$AF$1001,0),0), INDEX($AM$1004:$BM$1004,1,MATCH(COLUMNS($AM$1006:AN1006),$AM$1006:$BM$1006,0)))),"Fix")))</f>
        <v xml:space="preserve"> </v>
      </c>
      <c r="D124" s="4" t="str">
        <f ca="1">IF(OR(INDEX($AG$2:$AG$1001,MATCH(ROWS($AF$2:AF124),$AF$2:$AF$1001,0),1)&gt;=100000,INDEX($AM$1005:$BM$1005,1,MATCH(COLUMNS($AM$1006:AO1006),$AM$1006:$BM$1006,0))&gt;=100000), " ",IF(INDEX($AM$2:$BM$1001,MATCH(ROWS($AF$2:AF124),$AF$2:$AF$1001,0),MATCH(COLUMNS($AM$1006:AO1006),$AM$1006:$BM$1006,0)), HYPERLINK("#",""), HYPERLINK(CONCATENATE("#metadata!", ADDRESS(INDEX($AH$2:$AH$1001,MATCH(ROWS($AF$2:AF124),$AF$2:$AF$1001,0),0), INDEX($AM$1004:$BM$1004,1,MATCH(COLUMNS($AM$1006:AO1006),$AM$1006:$BM$1006,0)))),"Fix")))</f>
        <v xml:space="preserve"> </v>
      </c>
      <c r="E124" s="4" t="str">
        <f ca="1">IF(OR(INDEX($AG$2:$AG$1001,MATCH(ROWS($AF$2:AF124),$AF$2:$AF$1001,0),1)&gt;=100000,INDEX($AM$1005:$BM$1005,1,MATCH(COLUMNS($AM$1006:AP1006),$AM$1006:$BM$1006,0))&gt;=100000), " ",IF(INDEX($AM$2:$BM$1001,MATCH(ROWS($AF$2:AF124),$AF$2:$AF$1001,0),MATCH(COLUMNS($AM$1006:AP1006),$AM$1006:$BM$1006,0)), HYPERLINK("#",""), HYPERLINK(CONCATENATE("#metadata!", ADDRESS(INDEX($AH$2:$AH$1001,MATCH(ROWS($AF$2:AF124),$AF$2:$AF$1001,0),0), INDEX($AM$1004:$BM$1004,1,MATCH(COLUMNS($AM$1006:AP1006),$AM$1006:$BM$1006,0)))),"Fix")))</f>
        <v xml:space="preserve"> </v>
      </c>
      <c r="F124" s="4" t="str">
        <f ca="1">IF(OR(INDEX($AG$2:$AG$1001,MATCH(ROWS($AF$2:AF124),$AF$2:$AF$1001,0),1)&gt;=100000,INDEX($AM$1005:$BM$1005,1,MATCH(COLUMNS($AM$1006:AQ1006),$AM$1006:$BM$1006,0))&gt;=100000), " ",IF(INDEX($AM$2:$BM$1001,MATCH(ROWS($AF$2:AF124),$AF$2:$AF$1001,0),MATCH(COLUMNS($AM$1006:AQ1006),$AM$1006:$BM$1006,0)), HYPERLINK("#",""), HYPERLINK(CONCATENATE("#metadata!", ADDRESS(INDEX($AH$2:$AH$1001,MATCH(ROWS($AF$2:AF124),$AF$2:$AF$1001,0),0), INDEX($AM$1004:$BM$1004,1,MATCH(COLUMNS($AM$1006:AQ1006),$AM$1006:$BM$1006,0)))),"Fix")))</f>
        <v xml:space="preserve"> </v>
      </c>
      <c r="G124" s="4" t="str">
        <f ca="1">IF(OR(INDEX($AG$2:$AG$1001,MATCH(ROWS($AF$2:AF124),$AF$2:$AF$1001,0),1)&gt;=100000,INDEX($AM$1005:$BM$1005,1,MATCH(COLUMNS($AM$1006:AR1006),$AM$1006:$BM$1006,0))&gt;=100000), " ",IF(INDEX($AM$2:$BM$1001,MATCH(ROWS($AF$2:AF124),$AF$2:$AF$1001,0),MATCH(COLUMNS($AM$1006:AR1006),$AM$1006:$BM$1006,0)), HYPERLINK("#",""), HYPERLINK(CONCATENATE("#metadata!", ADDRESS(INDEX($AH$2:$AH$1001,MATCH(ROWS($AF$2:AF124),$AF$2:$AF$1001,0),0), INDEX($AM$1004:$BM$1004,1,MATCH(COLUMNS($AM$1006:AR1006),$AM$1006:$BM$1006,0)))),"Fix")))</f>
        <v xml:space="preserve"> </v>
      </c>
      <c r="H124" s="4" t="str">
        <f ca="1">IF(OR(INDEX($AG$2:$AG$1001,MATCH(ROWS($AF$2:AF124),$AF$2:$AF$1001,0),1)&gt;=100000,INDEX($AM$1005:$BM$1005,1,MATCH(COLUMNS($AM$1006:AS1006),$AM$1006:$BM$1006,0))&gt;=100000), " ",IF(INDEX($AM$2:$BM$1001,MATCH(ROWS($AF$2:AF124),$AF$2:$AF$1001,0),MATCH(COLUMNS($AM$1006:AS1006),$AM$1006:$BM$1006,0)), HYPERLINK("#",""), HYPERLINK(CONCATENATE("#metadata!", ADDRESS(INDEX($AH$2:$AH$1001,MATCH(ROWS($AF$2:AF124),$AF$2:$AF$1001,0),0), INDEX($AM$1004:$BM$1004,1,MATCH(COLUMNS($AM$1006:AS1006),$AM$1006:$BM$1006,0)))),"Fix")))</f>
        <v xml:space="preserve"> </v>
      </c>
      <c r="I124" s="4" t="str">
        <f ca="1">IF(OR(INDEX($AG$2:$AG$1001,MATCH(ROWS($AF$2:AF124),$AF$2:$AF$1001,0),1)&gt;=100000,INDEX($AM$1005:$BM$1005,1,MATCH(COLUMNS($AM$1006:AT1006),$AM$1006:$BM$1006,0))&gt;=100000), " ",IF(INDEX($AM$2:$BM$1001,MATCH(ROWS($AF$2:AF124),$AF$2:$AF$1001,0),MATCH(COLUMNS($AM$1006:AT1006),$AM$1006:$BM$1006,0)), HYPERLINK("#",""), HYPERLINK(CONCATENATE("#metadata!", ADDRESS(INDEX($AH$2:$AH$1001,MATCH(ROWS($AF$2:AF124),$AF$2:$AF$1001,0),0), INDEX($AM$1004:$BM$1004,1,MATCH(COLUMNS($AM$1006:AT1006),$AM$1006:$BM$1006,0)))),"Fix")))</f>
        <v xml:space="preserve"> </v>
      </c>
      <c r="J124" s="4" t="str">
        <f ca="1">IF(OR(INDEX($AG$2:$AG$1001,MATCH(ROWS($AF$2:AF124),$AF$2:$AF$1001,0),1)&gt;=100000,INDEX($AM$1005:$BM$1005,1,MATCH(COLUMNS($AM$1006:AU1006),$AM$1006:$BM$1006,0))&gt;=100000), " ",IF(INDEX($AM$2:$BM$1001,MATCH(ROWS($AF$2:AF124),$AF$2:$AF$1001,0),MATCH(COLUMNS($AM$1006:AU1006),$AM$1006:$BM$1006,0)), HYPERLINK("#",""), HYPERLINK(CONCATENATE("#metadata!", ADDRESS(INDEX($AH$2:$AH$1001,MATCH(ROWS($AF$2:AF124),$AF$2:$AF$1001,0),0), INDEX($AM$1004:$BM$1004,1,MATCH(COLUMNS($AM$1006:AU1006),$AM$1006:$BM$1006,0)))),"Fix")))</f>
        <v xml:space="preserve"> </v>
      </c>
      <c r="K124" s="4" t="str">
        <f ca="1">IF(OR(INDEX($AG$2:$AG$1001,MATCH(ROWS($AF$2:AF124),$AF$2:$AF$1001,0),1)&gt;=100000,INDEX($AM$1005:$BM$1005,1,MATCH(COLUMNS($AM$1006:AV1006),$AM$1006:$BM$1006,0))&gt;=100000), " ",IF(INDEX($AM$2:$BM$1001,MATCH(ROWS($AF$2:AF124),$AF$2:$AF$1001,0),MATCH(COLUMNS($AM$1006:AV1006),$AM$1006:$BM$1006,0)), HYPERLINK("#",""), HYPERLINK(CONCATENATE("#metadata!", ADDRESS(INDEX($AH$2:$AH$1001,MATCH(ROWS($AF$2:AF124),$AF$2:$AF$1001,0),0), INDEX($AM$1004:$BM$1004,1,MATCH(COLUMNS($AM$1006:AV1006),$AM$1006:$BM$1006,0)))),"Fix")))</f>
        <v xml:space="preserve"> </v>
      </c>
      <c r="L124" s="4" t="str">
        <f ca="1">IF(OR(INDEX($AG$2:$AG$1001,MATCH(ROWS($AF$2:AF124),$AF$2:$AF$1001,0),1)&gt;=100000,INDEX($AM$1005:$BM$1005,1,MATCH(COLUMNS($AM$1006:AW1006),$AM$1006:$BM$1006,0))&gt;=100000), " ",IF(INDEX($AM$2:$BM$1001,MATCH(ROWS($AF$2:AF124),$AF$2:$AF$1001,0),MATCH(COLUMNS($AM$1006:AW1006),$AM$1006:$BM$1006,0)), HYPERLINK("#",""), HYPERLINK(CONCATENATE("#metadata!", ADDRESS(INDEX($AH$2:$AH$1001,MATCH(ROWS($AF$2:AF124),$AF$2:$AF$1001,0),0), INDEX($AM$1004:$BM$1004,1,MATCH(COLUMNS($AM$1006:AW1006),$AM$1006:$BM$1006,0)))),"Fix")))</f>
        <v xml:space="preserve"> </v>
      </c>
      <c r="M124" s="4" t="str">
        <f ca="1">IF(OR(INDEX($AG$2:$AG$1001,MATCH(ROWS($AF$2:AF124),$AF$2:$AF$1001,0),1)&gt;=100000,INDEX($AM$1005:$BM$1005,1,MATCH(COLUMNS($AM$1006:AX1006),$AM$1006:$BM$1006,0))&gt;=100000), " ",IF(INDEX($AM$2:$BM$1001,MATCH(ROWS($AF$2:AF124),$AF$2:$AF$1001,0),MATCH(COLUMNS($AM$1006:AX1006),$AM$1006:$BM$1006,0)), HYPERLINK("#",""), HYPERLINK(CONCATENATE("#metadata!", ADDRESS(INDEX($AH$2:$AH$1001,MATCH(ROWS($AF$2:AF124),$AF$2:$AF$1001,0),0), INDEX($AM$1004:$BM$1004,1,MATCH(COLUMNS($AM$1006:AX1006),$AM$1006:$BM$1006,0)))),"Fix")))</f>
        <v xml:space="preserve"> </v>
      </c>
      <c r="N124" s="4" t="str">
        <f ca="1">IF(OR(INDEX($AG$2:$AG$1001,MATCH(ROWS($AF$2:AF124),$AF$2:$AF$1001,0),1)&gt;=100000,INDEX($AM$1005:$BM$1005,1,MATCH(COLUMNS($AM$1006:AY1006),$AM$1006:$BM$1006,0))&gt;=100000), " ",IF(INDEX($AM$2:$BM$1001,MATCH(ROWS($AF$2:AF124),$AF$2:$AF$1001,0),MATCH(COLUMNS($AM$1006:AY1006),$AM$1006:$BM$1006,0)), HYPERLINK("#",""), HYPERLINK(CONCATENATE("#metadata!", ADDRESS(INDEX($AH$2:$AH$1001,MATCH(ROWS($AF$2:AF124),$AF$2:$AF$1001,0),0), INDEX($AM$1004:$BM$1004,1,MATCH(COLUMNS($AM$1006:AY1006),$AM$1006:$BM$1006,0)))),"Fix")))</f>
        <v xml:space="preserve"> </v>
      </c>
      <c r="O124" s="4" t="str">
        <f ca="1">IF(OR(INDEX($AG$2:$AG$1001,MATCH(ROWS($AF$2:AF124),$AF$2:$AF$1001,0),1)&gt;=100000,INDEX($AM$1005:$BM$1005,1,MATCH(COLUMNS($AM$1006:AZ1006),$AM$1006:$BM$1006,0))&gt;=100000), " ",IF(INDEX($AM$2:$BM$1001,MATCH(ROWS($AF$2:AF124),$AF$2:$AF$1001,0),MATCH(COLUMNS($AM$1006:AZ1006),$AM$1006:$BM$1006,0)), HYPERLINK("#",""), HYPERLINK(CONCATENATE("#metadata!", ADDRESS(INDEX($AH$2:$AH$1001,MATCH(ROWS($AF$2:AF124),$AF$2:$AF$1001,0),0), INDEX($AM$1004:$BM$1004,1,MATCH(COLUMNS($AM$1006:AZ1006),$AM$1006:$BM$1006,0)))),"Fix")))</f>
        <v xml:space="preserve"> </v>
      </c>
      <c r="P124" s="4" t="str">
        <f ca="1">IF(OR(INDEX($AG$2:$AG$1001,MATCH(ROWS($AF$2:AF124),$AF$2:$AF$1001,0),1)&gt;=100000,INDEX($AM$1005:$BM$1005,1,MATCH(COLUMNS($AM$1006:BA1006),$AM$1006:$BM$1006,0))&gt;=100000), " ",IF(INDEX($AM$2:$BM$1001,MATCH(ROWS($AF$2:AF124),$AF$2:$AF$1001,0),MATCH(COLUMNS($AM$1006:BA1006),$AM$1006:$BM$1006,0)), HYPERLINK("#",""), HYPERLINK(CONCATENATE("#metadata!", ADDRESS(INDEX($AH$2:$AH$1001,MATCH(ROWS($AF$2:AF124),$AF$2:$AF$1001,0),0), INDEX($AM$1004:$BM$1004,1,MATCH(COLUMNS($AM$1006:BA1006),$AM$1006:$BM$1006,0)))),"Fix")))</f>
        <v xml:space="preserve"> </v>
      </c>
      <c r="Q124" s="4" t="str">
        <f ca="1">IF(OR(INDEX($AG$2:$AG$1001,MATCH(ROWS($AF$2:AF124),$AF$2:$AF$1001,0),1)&gt;=100000,INDEX($AM$1005:$BM$1005,1,MATCH(COLUMNS($AM$1006:BB1006),$AM$1006:$BM$1006,0))&gt;=100000), " ",IF(INDEX($AM$2:$BM$1001,MATCH(ROWS($AF$2:AF124),$AF$2:$AF$1001,0),MATCH(COLUMNS($AM$1006:BB1006),$AM$1006:$BM$1006,0)), HYPERLINK("#",""), HYPERLINK(CONCATENATE("#metadata!", ADDRESS(INDEX($AH$2:$AH$1001,MATCH(ROWS($AF$2:AF124),$AF$2:$AF$1001,0),0), INDEX($AM$1004:$BM$1004,1,MATCH(COLUMNS($AM$1006:BB1006),$AM$1006:$BM$1006,0)))),"Fix")))</f>
        <v xml:space="preserve"> </v>
      </c>
      <c r="R124" s="4" t="str">
        <f ca="1">IF(OR(INDEX($AG$2:$AG$1001,MATCH(ROWS($AF$2:AF124),$AF$2:$AF$1001,0),1)&gt;=100000,INDEX($AM$1005:$BM$1005,1,MATCH(COLUMNS($AM$1006:BC1006),$AM$1006:$BM$1006,0))&gt;=100000), " ",IF(INDEX($AM$2:$BM$1001,MATCH(ROWS($AF$2:AF124),$AF$2:$AF$1001,0),MATCH(COLUMNS($AM$1006:BC1006),$AM$1006:$BM$1006,0)), HYPERLINK("#",""), HYPERLINK(CONCATENATE("#metadata!", ADDRESS(INDEX($AH$2:$AH$1001,MATCH(ROWS($AF$2:AF124),$AF$2:$AF$1001,0),0), INDEX($AM$1004:$BM$1004,1,MATCH(COLUMNS($AM$1006:BC1006),$AM$1006:$BM$1006,0)))),"Fix")))</f>
        <v xml:space="preserve"> </v>
      </c>
      <c r="S124" s="4" t="str">
        <f ca="1">IF(OR(INDEX($AG$2:$AG$1001,MATCH(ROWS($AF$2:AF124),$AF$2:$AF$1001,0),1)&gt;=100000,INDEX($AM$1005:$BM$1005,1,MATCH(COLUMNS($AM$1006:BD1006),$AM$1006:$BM$1006,0))&gt;=100000), " ",IF(INDEX($AM$2:$BM$1001,MATCH(ROWS($AF$2:AF124),$AF$2:$AF$1001,0),MATCH(COLUMNS($AM$1006:BD1006),$AM$1006:$BM$1006,0)), HYPERLINK("#",""), HYPERLINK(CONCATENATE("#metadata!", ADDRESS(INDEX($AH$2:$AH$1001,MATCH(ROWS($AF$2:AF124),$AF$2:$AF$1001,0),0), INDEX($AM$1004:$BM$1004,1,MATCH(COLUMNS($AM$1006:BD1006),$AM$1006:$BM$1006,0)))),"Fix")))</f>
        <v xml:space="preserve"> </v>
      </c>
      <c r="T124" s="4" t="str">
        <f ca="1">IF(OR(INDEX($AG$2:$AG$1001,MATCH(ROWS($AF$2:AF124),$AF$2:$AF$1001,0),1)&gt;=100000,INDEX($AM$1005:$BM$1005,1,MATCH(COLUMNS($AM$1006:BE1006),$AM$1006:$BM$1006,0))&gt;=100000), " ",IF(INDEX($AM$2:$BM$1001,MATCH(ROWS($AF$2:AF124),$AF$2:$AF$1001,0),MATCH(COLUMNS($AM$1006:BE1006),$AM$1006:$BM$1006,0)), HYPERLINK("#",""), HYPERLINK(CONCATENATE("#metadata!", ADDRESS(INDEX($AH$2:$AH$1001,MATCH(ROWS($AF$2:AF124),$AF$2:$AF$1001,0),0), INDEX($AM$1004:$BM$1004,1,MATCH(COLUMNS($AM$1006:BE1006),$AM$1006:$BM$1006,0)))),"Fix")))</f>
        <v xml:space="preserve"> </v>
      </c>
      <c r="U124" s="4" t="str">
        <f ca="1">IF(OR(INDEX($AG$2:$AG$1001,MATCH(ROWS($AF$2:AF124),$AF$2:$AF$1001,0),1)&gt;=100000,INDEX($AM$1005:$BM$1005,1,MATCH(COLUMNS($AM$1006:BF1006),$AM$1006:$BM$1006,0))&gt;=100000), " ",IF(INDEX($AM$2:$BM$1001,MATCH(ROWS($AF$2:AF124),$AF$2:$AF$1001,0),MATCH(COLUMNS($AM$1006:BF1006),$AM$1006:$BM$1006,0)), HYPERLINK("#",""), HYPERLINK(CONCATENATE("#metadata!", ADDRESS(INDEX($AH$2:$AH$1001,MATCH(ROWS($AF$2:AF124),$AF$2:$AF$1001,0),0), INDEX($AM$1004:$BM$1004,1,MATCH(COLUMNS($AM$1006:BF1006),$AM$1006:$BM$1006,0)))),"Fix")))</f>
        <v xml:space="preserve"> </v>
      </c>
      <c r="V124" s="4" t="str">
        <f ca="1">IF(OR(INDEX($AG$2:$AG$1001,MATCH(ROWS($AF$2:AF124),$AF$2:$AF$1001,0),1)&gt;=100000,INDEX($AM$1005:$BM$1005,1,MATCH(COLUMNS($AM$1006:BG1006),$AM$1006:$BM$1006,0))&gt;=100000), " ",IF(INDEX($AM$2:$BM$1001,MATCH(ROWS($AF$2:AF124),$AF$2:$AF$1001,0),MATCH(COLUMNS($AM$1006:BG1006),$AM$1006:$BM$1006,0)), HYPERLINK("#",""), HYPERLINK(CONCATENATE("#metadata!", ADDRESS(INDEX($AH$2:$AH$1001,MATCH(ROWS($AF$2:AF124),$AF$2:$AF$1001,0),0), INDEX($AM$1004:$BM$1004,1,MATCH(COLUMNS($AM$1006:BG1006),$AM$1006:$BM$1006,0)))),"Fix")))</f>
        <v xml:space="preserve"> </v>
      </c>
      <c r="W124" s="4" t="str">
        <f ca="1">IF(OR(INDEX($AG$2:$AG$1001,MATCH(ROWS($AF$2:AF124),$AF$2:$AF$1001,0),1)&gt;=100000,INDEX($AM$1005:$BM$1005,1,MATCH(COLUMNS($AM$1006:BH1006),$AM$1006:$BM$1006,0))&gt;=100000), " ",IF(INDEX($AM$2:$BM$1001,MATCH(ROWS($AF$2:AF124),$AF$2:$AF$1001,0),MATCH(COLUMNS($AM$1006:BH1006),$AM$1006:$BM$1006,0)), HYPERLINK("#",""), HYPERLINK(CONCATENATE("#metadata!", ADDRESS(INDEX($AH$2:$AH$1001,MATCH(ROWS($AF$2:AF124),$AF$2:$AF$1001,0),0), INDEX($AM$1004:$BM$1004,1,MATCH(COLUMNS($AM$1006:BH1006),$AM$1006:$BM$1006,0)))),"Fix")))</f>
        <v xml:space="preserve"> </v>
      </c>
      <c r="X124" s="4" t="str">
        <f ca="1">IF(OR(INDEX($AG$2:$AG$1001,MATCH(ROWS($AF$2:AF124),$AF$2:$AF$1001,0),1)&gt;=100000,INDEX($AM$1005:$BM$1005,1,MATCH(COLUMNS($AM$1006:BI1006),$AM$1006:$BM$1006,0))&gt;=100000), " ",IF(INDEX($AM$2:$BM$1001,MATCH(ROWS($AF$2:AF124),$AF$2:$AF$1001,0),MATCH(COLUMNS($AM$1006:BI1006),$AM$1006:$BM$1006,0)), HYPERLINK("#",""), HYPERLINK(CONCATENATE("#metadata!", ADDRESS(INDEX($AH$2:$AH$1001,MATCH(ROWS($AF$2:AF124),$AF$2:$AF$1001,0),0), INDEX($AM$1004:$BM$1004,1,MATCH(COLUMNS($AM$1006:BI1006),$AM$1006:$BM$1006,0)))),"Fix")))</f>
        <v xml:space="preserve"> </v>
      </c>
      <c r="Y124" s="4" t="str">
        <f ca="1">IF(OR(INDEX($AG$2:$AG$1001,MATCH(ROWS($AF$2:AF124),$AF$2:$AF$1001,0),1)&gt;=100000,INDEX($AM$1005:$BM$1005,1,MATCH(COLUMNS($AM$1006:BJ1006),$AM$1006:$BM$1006,0))&gt;=100000), " ",IF(INDEX($AM$2:$BM$1001,MATCH(ROWS($AF$2:AF124),$AF$2:$AF$1001,0),MATCH(COLUMNS($AM$1006:BJ1006),$AM$1006:$BM$1006,0)), HYPERLINK("#",""), HYPERLINK(CONCATENATE("#metadata!", ADDRESS(INDEX($AH$2:$AH$1001,MATCH(ROWS($AF$2:AF124),$AF$2:$AF$1001,0),0), INDEX($AM$1004:$BM$1004,1,MATCH(COLUMNS($AM$1006:BJ1006),$AM$1006:$BM$1006,0)))),"Fix")))</f>
        <v xml:space="preserve"> </v>
      </c>
      <c r="Z124" s="4" t="str">
        <f ca="1">IF(OR(INDEX($AG$2:$AG$1001,MATCH(ROWS($AF$2:AF124),$AF$2:$AF$1001,0),1)&gt;=100000,INDEX($AM$1005:$BM$1005,1,MATCH(COLUMNS($AM$1006:BK1006),$AM$1006:$BM$1006,0))&gt;=100000), " ",IF(INDEX($AM$2:$BM$1001,MATCH(ROWS($AF$2:AF124),$AF$2:$AF$1001,0),MATCH(COLUMNS($AM$1006:BK1006),$AM$1006:$BM$1006,0)), HYPERLINK("#",""), HYPERLINK(CONCATENATE("#metadata!", ADDRESS(INDEX($AH$2:$AH$1001,MATCH(ROWS($AF$2:AF124),$AF$2:$AF$1001,0),0), INDEX($AM$1004:$BM$1004,1,MATCH(COLUMNS($AM$1006:BK1006),$AM$1006:$BM$1006,0)))),"Fix")))</f>
        <v xml:space="preserve"> </v>
      </c>
      <c r="AA124" s="4" t="str">
        <f ca="1">IF(OR(INDEX($AG$2:$AG$1001,MATCH(ROWS($AF$2:AF124),$AF$2:$AF$1001,0),1)&gt;=100000,INDEX($AM$1005:$BM$1005,1,MATCH(COLUMNS($AM$1006:BL1006),$AM$1006:$BM$1006,0))&gt;=100000), " ",IF(INDEX($AM$2:$BM$1001,MATCH(ROWS($AF$2:AF124),$AF$2:$AF$1001,0),MATCH(COLUMNS($AM$1006:BL1006),$AM$1006:$BM$1006,0)), HYPERLINK("#",""), HYPERLINK(CONCATENATE("#metadata!", ADDRESS(INDEX($AH$2:$AH$1001,MATCH(ROWS($AF$2:AF124),$AF$2:$AF$1001,0),0), INDEX($AM$1004:$BM$1004,1,MATCH(COLUMNS($AM$1006:BL1006),$AM$1006:$BM$1006,0)))),"Fix")))</f>
        <v xml:space="preserve"> </v>
      </c>
      <c r="AB124" s="4" t="str">
        <f ca="1">IF(OR(INDEX($AG$2:$AG$1001,MATCH(ROWS($AF$2:AF124),$AF$2:$AF$1001,0),1)&gt;=100000,INDEX($AM$1005:$BM$1005,1,MATCH(COLUMNS($AM$1006:BM1006),$AM$1006:$BM$1006,0))&gt;=100000), " ",IF(INDEX($AM$2:$BM$1001,MATCH(ROWS($AF$2:AF124),$AF$2:$AF$1001,0),MATCH(COLUMNS($AM$1006:BM1006),$AM$1006:$BM$1006,0)), HYPERLINK("#",""), HYPERLINK(CONCATENATE("#metadata!", ADDRESS(INDEX($AH$2:$AH$1001,MATCH(ROWS($AF$2:AF124),$AF$2:$AF$1001,0),0), INDEX($AM$1004:$BM$1004,1,MATCH(COLUMNS($AM$1006:BM1006),$AM$1006:$BM$1006,0)))),"Fix")))</f>
        <v xml:space="preserve"> </v>
      </c>
      <c r="AF124">
        <v>123</v>
      </c>
      <c r="AG124">
        <v>100124</v>
      </c>
      <c r="AH124">
        <v>124</v>
      </c>
      <c r="AI124" t="b">
        <f t="shared" si="1"/>
        <v>1</v>
      </c>
      <c r="AJ124" t="b">
        <f>COUNTBLANK(metadata!B124:AB124)=COLUMNS(metadata!B124:AB124)</f>
        <v>1</v>
      </c>
      <c r="AK124" t="str">
        <v/>
      </c>
      <c r="AM124" t="b">
        <f ca="1">AND(IF(metadata!B124="",FALSE,TRUE),COUNTIF(metadata!B:B, metadata!B124) = 1,NOT(ISERROR(SUMPRODUCT(SEARCH(MID(metadata!B124,ROW(INDIRECT("1:"&amp;LEN(metadata!B124))), 1),"0123456789abcdefghijklmnopqrstuvwxyzABCDEFGHIJKLMNOPQRSTUVWXYZ.")))))</f>
        <v>0</v>
      </c>
      <c r="AN124" t="b">
        <f ca="1">OR(AND(IF(metadata!C124="",FALSE,TRUE),OR(EXACT(metadata!C124,"missing: not collected"),EXACT(metadata!C124,"missing: not provided"),EXACT(metadata!C124,"missing: restricted access"))),AND(IF(metadata!C124="",FALSE,TRUE),AND(AND(IFERROR(INT(LEFT(metadata!C124,4))&gt;1900,FALSE),IFERROR(INT(LEFT(metadata!C124,4))&lt;=YEAR(NOW()),FALSE)), OR(MID(metadata!C124,5,1)="", AND(AND(MID(metadata!C124,5,1)="-",IFERROR(INT(MID(metadata!C124,6,1))&gt;=0,FALSE),IFERROR(INT(MID(metadata!C124,6,1))&lt;=1,FALSE),NOT(MID(metadata!C124,7,1)=""),IFERROR(INT(MID(metadata!C124,6,2))&gt;=1,FALSE),IFERROR(INT(MID(metadata!C124,6,2))&lt;=12,FALSE)), OR(MID(metadata!C124,8,1)="", AND(AND(MID(metadata!C124,8,1)="-",IFERROR(INT(MID(metadata!C124,9,1))&gt;=0,FALSE),IFERROR(INT(MID(metadata!C124,9,1))&lt;=3,FALSE),NOT(MID(metadata!C124,10,1)=""),IFERROR(INT(MID(metadata!C124,9,2))&gt;=1,FALSE),IFERROR(INT(MID(metadata!C124,9,2))&lt;=31,FALSE)), OR(MID(metadata!C124,11,1)="", AND(AND(MID(metadata!C124,11,1)=" ",IFERROR(INT(MID(metadata!C124,12,1))&gt;=0,FALSE),IFERROR(INT(MID(metadata!C124,12,1))&lt;=2,FALSE),NOT(MID(metadata!C124,13,1)=""),IFERROR(INT(MID(metadata!C124,12,2))&gt;=0,FALSE),IFERROR(INT(MID(metadata!C124,12,2))&lt;=23,FALSE)), OR(MID(metadata!C124,14,1)="", AND(AND(MID(metadata!C124,14,1)=":",IFERROR(INT(MID(metadata!C124,15,1))&gt;=0,FALSE),IFERROR(INT(MID(metadata!C124,15,1))&lt;=5,FALSE),NOT(MID(metadata!C124,16,1)=""),IFERROR(INT(MID(metadata!C124,15,2))&gt;=0,FALSE),IFERROR(INT(MID(metadata!C124,15,2))&lt;=59,FALSE)), OR(MID(metadata!C124,17,1)="", AND(AND(MID(metadata!C124,17,1)=":",IFERROR(INT(MID(metadata!C124,18,1))&gt;=0,FALSE),IFERROR(INT(MID(metadata!C124,18,1))&lt;=5,FALSE),NOT(MID(metadata!C124,19,1)=""),IFERROR(INT(MID(metadata!C124,18,2))&gt;=0,FALSE),IFERROR(INT(MID(metadata!C124,18,2))&lt;=59,FALSE)), LEN(metadata!C124)&lt;=19)))))))))))))</f>
        <v>0</v>
      </c>
      <c r="AO124" t="b">
        <f>AND(IF(metadata!D124="",FALSE,TRUE),EXACT(metadata!D124,"Not applicable"))</f>
        <v>0</v>
      </c>
      <c r="AP124" t="b">
        <f>IF(metadata!E124="",FALSE,TRUE)</f>
        <v>0</v>
      </c>
      <c r="AQ124" t="b">
        <f>OR(AND(IF(metadata!F124="",FALSE,TRUE),OR(EXACT(metadata!F124,"missing: not collected"),EXACT(metadata!F124,"missing: not provided"))),AND(IF(metadata!F124="",FALSE,TRUE),OR(EXACT(metadata!F124,"TRUE"),EXACT(metadata!F124,"FALSE"))))</f>
        <v>0</v>
      </c>
      <c r="AR124" t="b">
        <f>OR(AND(IF(metadata!G124="",FALSE,TRUE),OR(EXACT(metadata!G124,"missing: not collected"),EXACT(metadata!G124,"missing: not provided"),EXACT(metadata!G124,"missing: restricted access"))),AND(IF(metadata!G124="",FALSE,ISNUMBER(VALUE(metadata!G124))),metadata!G124&gt;=-413))</f>
        <v>0</v>
      </c>
      <c r="AS124" t="b">
        <f>AND(IF(metadata!H124="",FALSE,TRUE),EXACT(metadata!H124,"meters"))</f>
        <v>0</v>
      </c>
      <c r="AT124" t="b">
        <f>AND(IF(metadata!I124="",FALSE,TRUE),OR(EXACT(metadata!I124,"Host-associated"),EXACT(metadata!I124,"Free-living")))</f>
        <v>0</v>
      </c>
      <c r="AU124" t="b">
        <f>AND(IF(metadata!J124="",FALSE,TRUE),OR(EXACT(metadata!J124,"Animal"),EXACT(metadata!J124,"Fungus"),EXACT(metadata!J124,"Plant"),EXACT(metadata!J124,"Saline"),EXACT(metadata!J124,"Non-saline")))</f>
        <v>0</v>
      </c>
      <c r="AV124" t="b">
        <f>AND(IF(metadata!K124="",FALSE,TRUE),OR(EXACT(metadata!K124,"Plant secretion"),EXACT(metadata!K124,"Plant rhizosphere"),EXACT(metadata!K124,"Plant surface"),EXACT(metadata!K124,"Plant corpus"),EXACT(metadata!K124,"Fungus surface"),EXACT(metadata!K124,"Fungus corpus"),EXACT(metadata!K124,"Animal surface"),EXACT(metadata!K124,"Animal proximal gut"),EXACT(metadata!K124,"Animal corpus"),EXACT(metadata!K124,"Animal distal gut"),EXACT(metadata!K124,"Animal secretion"),EXACT(metadata!K124,"Sub-surface (non-saline)"),EXACT(metadata!K124,"Surface (non-saline)"),EXACT(metadata!K124,"Water (non-saline)"),EXACT(metadata!K124,"Soil (non-saline)"),EXACT(metadata!K124,"Aerosol (non-saline)"),EXACT(metadata!K124,"Sediment (non-saline)"),EXACT(metadata!K124,"Surface (saline)"),EXACT(metadata!K124,"Water (saline)"),EXACT(metadata!K124,"Hypersaline (saline)"),EXACT(metadata!K124,"Aerosol (saline)"),EXACT(metadata!K124,"Sediment (saline)")))</f>
        <v>0</v>
      </c>
      <c r="AW124" t="b">
        <f>IF(metadata!L124="",FALSE,TRUE)</f>
        <v>0</v>
      </c>
      <c r="AX124" t="b">
        <f>IF(metadata!M124="",FALSE,TRUE)</f>
        <v>0</v>
      </c>
      <c r="AY124" t="b">
        <f>IF(metadata!N124="",FALSE,TRUE)</f>
        <v>0</v>
      </c>
      <c r="AZ124" t="b">
        <f>OR(AND(IF(metadata!O124="",FALSE,TRUE),OR(EXACT(metadata!O124,"missing: not collected"),EXACT(metadata!O124,"missing: not provided"),EXACT(metadata!O124,"missing: restricted access"))),AND(IF(metadata!O124="",FALSE,TRUE),OR(EXACT(metadata!O124,"air"),EXACT(metadata!O124,"built environment"),EXACT(metadata!O124,"host-associated"),EXACT(metadata!O124,"human-associated"),EXACT(metadata!O124,"human-skin"),EXACT(metadata!O124,"human-oral"),EXACT(metadata!O124,"human-gut"),EXACT(metadata!O124,"human-vaginal"),EXACT(metadata!O124,"microbial mat/biofilm"),EXACT(metadata!O124,"misc environment"),EXACT(metadata!O124,"plant-associated"),EXACT(metadata!O124,"sediment"),EXACT(metadata!O124,"soil"),EXACT(metadata!O124,"wastewater/sludge"),EXACT(metadata!O124,"water"))))</f>
        <v>0</v>
      </c>
      <c r="BA124" t="b">
        <f>IF(metadata!P124="",FALSE,TRUE)</f>
        <v>0</v>
      </c>
      <c r="BB124" t="b">
        <f>IF(metadata!Q124="",FALSE,TRUE)</f>
        <v>0</v>
      </c>
      <c r="BC124" t="b">
        <f>OR(AND(IF(metadata!R124="",FALSE,TRUE),OR(EXACT(metadata!R124,"missing: not collected"),EXACT(metadata!R124,"missing: not provided"),EXACT(metadata!R124,"missing: restricted access"))),AND(IF(metadata!R124="",FALSE,ISNUMBER(VALUE(metadata!R124))),metadata!R124&gt;=-90,metadata!R124&lt;=90))</f>
        <v>0</v>
      </c>
      <c r="BD124" t="b">
        <f>AND(IF(metadata!S124="",FALSE,TRUE),EXACT(metadata!S124,"Decimal degrees"))</f>
        <v>0</v>
      </c>
      <c r="BE124" t="b">
        <f>OR(AND(IF(metadata!T124="",FALSE,TRUE),OR(EXACT(metadata!T124,"missing: not collected"),EXACT(metadata!T124,"missing: not provided"),EXACT(metadata!T124,"missing: restricted access"))),AND(IF(metadata!T124="",FALSE,ISNUMBER(VALUE(metadata!T124))),metadata!T124&gt;=-180,metadata!T124&lt;=180))</f>
        <v>0</v>
      </c>
      <c r="BF124" t="b">
        <f>AND(IF(metadata!U124="",FALSE,TRUE),EXACT(metadata!U124,"Decimal degrees"))</f>
        <v>0</v>
      </c>
      <c r="BG124" t="b">
        <f>IF(metadata!V124="",FALSE,TRUE)</f>
        <v>0</v>
      </c>
      <c r="BH124" t="b">
        <f>OR(AND(IF(metadata!W124="",FALSE,TRUE),OR(EXACT(metadata!W124,"missing: not collected"),EXACT(metadata!W124,"missing: not provided"),EXACT(metadata!W124,"missing: restricted access"))),AND(IF(metadata!W124="",FALSE,TRUE),OR(EXACT(metadata!W124,"TRUE"),EXACT(metadata!W124,"FALSE"))))</f>
        <v>0</v>
      </c>
      <c r="BI124" t="b">
        <f>AND(IF(metadata!X124="",FALSE,TRUE),EXACT(metadata!X124,"other"))</f>
        <v>0</v>
      </c>
      <c r="BJ124" t="b">
        <f>IF(metadata!Y124="",FALSE,TRUE)</f>
        <v>0</v>
      </c>
      <c r="BK124" t="b">
        <f>OR(AND(IF(metadata!Z124="",FALSE,TRUE),OR(EXACT(metadata!Z124,"missing: not collected"),EXACT(metadata!Z124,"missing: not provided"))),AND(IF(metadata!Z124="",FALSE,IF(ISERROR(INT(metadata!Z124)),FALSE,INT(metadata!Z124)=metadata!Z124)),metadata!Z124&gt;0))</f>
        <v>0</v>
      </c>
      <c r="BL124" t="b">
        <f>AND(IF(metadata!AA124="",FALSE,TRUE),EXACT(metadata!AA124,"Not applicable"))</f>
        <v>0</v>
      </c>
      <c r="BM124" t="b">
        <f>IF(metadata!AB124="",FALSE,TRUE)</f>
        <v>0</v>
      </c>
    </row>
    <row r="125" spans="1:65" x14ac:dyDescent="0.2">
      <c r="A125" s="5" t="str">
        <f ca="1">IF(B125=" "," ",HYPERLINK(CONCATENATE("#metadata!",ADDRESS(INDEX($AH$2:$AH$1001,MATCH(ROWS($AF$2:AF125),$AF$2:$AF$1001,0),0),1)),INDEX($AK$2:$AK$1001,MATCH(ROWS($AF$2:AF125),$AF$2:$AF$1001,0),0)))</f>
        <v xml:space="preserve"> </v>
      </c>
      <c r="B125" s="4" t="str">
        <f ca="1">IF(OR(INDEX($AG$2:$AG$1001,MATCH(ROWS($AF$2:AF125),$AF$2:$AF$1001,0),1)&gt;=100000,INDEX($AM$1005:$BM$1005,1,MATCH(COLUMNS($AM$1006:AM1006),$AM$1006:$BM$1006,0))&gt;=100000), " ",IF(INDEX($AM$2:$BM$1001,MATCH(ROWS($AF$2:AF125),$AF$2:$AF$1001,0),MATCH(COLUMNS($AM$1006:AM1006),$AM$1006:$BM$1006,0)), HYPERLINK("#",""), HYPERLINK(CONCATENATE("#metadata!", ADDRESS(INDEX($AH$2:$AH$1001,MATCH(ROWS($AF$2:AF125),$AF$2:$AF$1001,0),0), INDEX($AM$1004:$BM$1004,1,MATCH(COLUMNS($AM$1006:AM1006),$AM$1006:$BM$1006,0)))),"Fix")))</f>
        <v xml:space="preserve"> </v>
      </c>
      <c r="C125" s="4" t="str">
        <f ca="1">IF(OR(INDEX($AG$2:$AG$1001,MATCH(ROWS($AF$2:AF125),$AF$2:$AF$1001,0),1)&gt;=100000,INDEX($AM$1005:$BM$1005,1,MATCH(COLUMNS($AM$1006:AN1006),$AM$1006:$BM$1006,0))&gt;=100000), " ",IF(INDEX($AM$2:$BM$1001,MATCH(ROWS($AF$2:AF125),$AF$2:$AF$1001,0),MATCH(COLUMNS($AM$1006:AN1006),$AM$1006:$BM$1006,0)), HYPERLINK("#",""), HYPERLINK(CONCATENATE("#metadata!", ADDRESS(INDEX($AH$2:$AH$1001,MATCH(ROWS($AF$2:AF125),$AF$2:$AF$1001,0),0), INDEX($AM$1004:$BM$1004,1,MATCH(COLUMNS($AM$1006:AN1006),$AM$1006:$BM$1006,0)))),"Fix")))</f>
        <v xml:space="preserve"> </v>
      </c>
      <c r="D125" s="4" t="str">
        <f ca="1">IF(OR(INDEX($AG$2:$AG$1001,MATCH(ROWS($AF$2:AF125),$AF$2:$AF$1001,0),1)&gt;=100000,INDEX($AM$1005:$BM$1005,1,MATCH(COLUMNS($AM$1006:AO1006),$AM$1006:$BM$1006,0))&gt;=100000), " ",IF(INDEX($AM$2:$BM$1001,MATCH(ROWS($AF$2:AF125),$AF$2:$AF$1001,0),MATCH(COLUMNS($AM$1006:AO1006),$AM$1006:$BM$1006,0)), HYPERLINK("#",""), HYPERLINK(CONCATENATE("#metadata!", ADDRESS(INDEX($AH$2:$AH$1001,MATCH(ROWS($AF$2:AF125),$AF$2:$AF$1001,0),0), INDEX($AM$1004:$BM$1004,1,MATCH(COLUMNS($AM$1006:AO1006),$AM$1006:$BM$1006,0)))),"Fix")))</f>
        <v xml:space="preserve"> </v>
      </c>
      <c r="E125" s="4" t="str">
        <f ca="1">IF(OR(INDEX($AG$2:$AG$1001,MATCH(ROWS($AF$2:AF125),$AF$2:$AF$1001,0),1)&gt;=100000,INDEX($AM$1005:$BM$1005,1,MATCH(COLUMNS($AM$1006:AP1006),$AM$1006:$BM$1006,0))&gt;=100000), " ",IF(INDEX($AM$2:$BM$1001,MATCH(ROWS($AF$2:AF125),$AF$2:$AF$1001,0),MATCH(COLUMNS($AM$1006:AP1006),$AM$1006:$BM$1006,0)), HYPERLINK("#",""), HYPERLINK(CONCATENATE("#metadata!", ADDRESS(INDEX($AH$2:$AH$1001,MATCH(ROWS($AF$2:AF125),$AF$2:$AF$1001,0),0), INDEX($AM$1004:$BM$1004,1,MATCH(COLUMNS($AM$1006:AP1006),$AM$1006:$BM$1006,0)))),"Fix")))</f>
        <v xml:space="preserve"> </v>
      </c>
      <c r="F125" s="4" t="str">
        <f ca="1">IF(OR(INDEX($AG$2:$AG$1001,MATCH(ROWS($AF$2:AF125),$AF$2:$AF$1001,0),1)&gt;=100000,INDEX($AM$1005:$BM$1005,1,MATCH(COLUMNS($AM$1006:AQ1006),$AM$1006:$BM$1006,0))&gt;=100000), " ",IF(INDEX($AM$2:$BM$1001,MATCH(ROWS($AF$2:AF125),$AF$2:$AF$1001,0),MATCH(COLUMNS($AM$1006:AQ1006),$AM$1006:$BM$1006,0)), HYPERLINK("#",""), HYPERLINK(CONCATENATE("#metadata!", ADDRESS(INDEX($AH$2:$AH$1001,MATCH(ROWS($AF$2:AF125),$AF$2:$AF$1001,0),0), INDEX($AM$1004:$BM$1004,1,MATCH(COLUMNS($AM$1006:AQ1006),$AM$1006:$BM$1006,0)))),"Fix")))</f>
        <v xml:space="preserve"> </v>
      </c>
      <c r="G125" s="4" t="str">
        <f ca="1">IF(OR(INDEX($AG$2:$AG$1001,MATCH(ROWS($AF$2:AF125),$AF$2:$AF$1001,0),1)&gt;=100000,INDEX($AM$1005:$BM$1005,1,MATCH(COLUMNS($AM$1006:AR1006),$AM$1006:$BM$1006,0))&gt;=100000), " ",IF(INDEX($AM$2:$BM$1001,MATCH(ROWS($AF$2:AF125),$AF$2:$AF$1001,0),MATCH(COLUMNS($AM$1006:AR1006),$AM$1006:$BM$1006,0)), HYPERLINK("#",""), HYPERLINK(CONCATENATE("#metadata!", ADDRESS(INDEX($AH$2:$AH$1001,MATCH(ROWS($AF$2:AF125),$AF$2:$AF$1001,0),0), INDEX($AM$1004:$BM$1004,1,MATCH(COLUMNS($AM$1006:AR1006),$AM$1006:$BM$1006,0)))),"Fix")))</f>
        <v xml:space="preserve"> </v>
      </c>
      <c r="H125" s="4" t="str">
        <f ca="1">IF(OR(INDEX($AG$2:$AG$1001,MATCH(ROWS($AF$2:AF125),$AF$2:$AF$1001,0),1)&gt;=100000,INDEX($AM$1005:$BM$1005,1,MATCH(COLUMNS($AM$1006:AS1006),$AM$1006:$BM$1006,0))&gt;=100000), " ",IF(INDEX($AM$2:$BM$1001,MATCH(ROWS($AF$2:AF125),$AF$2:$AF$1001,0),MATCH(COLUMNS($AM$1006:AS1006),$AM$1006:$BM$1006,0)), HYPERLINK("#",""), HYPERLINK(CONCATENATE("#metadata!", ADDRESS(INDEX($AH$2:$AH$1001,MATCH(ROWS($AF$2:AF125),$AF$2:$AF$1001,0),0), INDEX($AM$1004:$BM$1004,1,MATCH(COLUMNS($AM$1006:AS1006),$AM$1006:$BM$1006,0)))),"Fix")))</f>
        <v xml:space="preserve"> </v>
      </c>
      <c r="I125" s="4" t="str">
        <f ca="1">IF(OR(INDEX($AG$2:$AG$1001,MATCH(ROWS($AF$2:AF125),$AF$2:$AF$1001,0),1)&gt;=100000,INDEX($AM$1005:$BM$1005,1,MATCH(COLUMNS($AM$1006:AT1006),$AM$1006:$BM$1006,0))&gt;=100000), " ",IF(INDEX($AM$2:$BM$1001,MATCH(ROWS($AF$2:AF125),$AF$2:$AF$1001,0),MATCH(COLUMNS($AM$1006:AT1006),$AM$1006:$BM$1006,0)), HYPERLINK("#",""), HYPERLINK(CONCATENATE("#metadata!", ADDRESS(INDEX($AH$2:$AH$1001,MATCH(ROWS($AF$2:AF125),$AF$2:$AF$1001,0),0), INDEX($AM$1004:$BM$1004,1,MATCH(COLUMNS($AM$1006:AT1006),$AM$1006:$BM$1006,0)))),"Fix")))</f>
        <v xml:space="preserve"> </v>
      </c>
      <c r="J125" s="4" t="str">
        <f ca="1">IF(OR(INDEX($AG$2:$AG$1001,MATCH(ROWS($AF$2:AF125),$AF$2:$AF$1001,0),1)&gt;=100000,INDEX($AM$1005:$BM$1005,1,MATCH(COLUMNS($AM$1006:AU1006),$AM$1006:$BM$1006,0))&gt;=100000), " ",IF(INDEX($AM$2:$BM$1001,MATCH(ROWS($AF$2:AF125),$AF$2:$AF$1001,0),MATCH(COLUMNS($AM$1006:AU1006),$AM$1006:$BM$1006,0)), HYPERLINK("#",""), HYPERLINK(CONCATENATE("#metadata!", ADDRESS(INDEX($AH$2:$AH$1001,MATCH(ROWS($AF$2:AF125),$AF$2:$AF$1001,0),0), INDEX($AM$1004:$BM$1004,1,MATCH(COLUMNS($AM$1006:AU1006),$AM$1006:$BM$1006,0)))),"Fix")))</f>
        <v xml:space="preserve"> </v>
      </c>
      <c r="K125" s="4" t="str">
        <f ca="1">IF(OR(INDEX($AG$2:$AG$1001,MATCH(ROWS($AF$2:AF125),$AF$2:$AF$1001,0),1)&gt;=100000,INDEX($AM$1005:$BM$1005,1,MATCH(COLUMNS($AM$1006:AV1006),$AM$1006:$BM$1006,0))&gt;=100000), " ",IF(INDEX($AM$2:$BM$1001,MATCH(ROWS($AF$2:AF125),$AF$2:$AF$1001,0),MATCH(COLUMNS($AM$1006:AV1006),$AM$1006:$BM$1006,0)), HYPERLINK("#",""), HYPERLINK(CONCATENATE("#metadata!", ADDRESS(INDEX($AH$2:$AH$1001,MATCH(ROWS($AF$2:AF125),$AF$2:$AF$1001,0),0), INDEX($AM$1004:$BM$1004,1,MATCH(COLUMNS($AM$1006:AV1006),$AM$1006:$BM$1006,0)))),"Fix")))</f>
        <v xml:space="preserve"> </v>
      </c>
      <c r="L125" s="4" t="str">
        <f ca="1">IF(OR(INDEX($AG$2:$AG$1001,MATCH(ROWS($AF$2:AF125),$AF$2:$AF$1001,0),1)&gt;=100000,INDEX($AM$1005:$BM$1005,1,MATCH(COLUMNS($AM$1006:AW1006),$AM$1006:$BM$1006,0))&gt;=100000), " ",IF(INDEX($AM$2:$BM$1001,MATCH(ROWS($AF$2:AF125),$AF$2:$AF$1001,0),MATCH(COLUMNS($AM$1006:AW1006),$AM$1006:$BM$1006,0)), HYPERLINK("#",""), HYPERLINK(CONCATENATE("#metadata!", ADDRESS(INDEX($AH$2:$AH$1001,MATCH(ROWS($AF$2:AF125),$AF$2:$AF$1001,0),0), INDEX($AM$1004:$BM$1004,1,MATCH(COLUMNS($AM$1006:AW1006),$AM$1006:$BM$1006,0)))),"Fix")))</f>
        <v xml:space="preserve"> </v>
      </c>
      <c r="M125" s="4" t="str">
        <f ca="1">IF(OR(INDEX($AG$2:$AG$1001,MATCH(ROWS($AF$2:AF125),$AF$2:$AF$1001,0),1)&gt;=100000,INDEX($AM$1005:$BM$1005,1,MATCH(COLUMNS($AM$1006:AX1006),$AM$1006:$BM$1006,0))&gt;=100000), " ",IF(INDEX($AM$2:$BM$1001,MATCH(ROWS($AF$2:AF125),$AF$2:$AF$1001,0),MATCH(COLUMNS($AM$1006:AX1006),$AM$1006:$BM$1006,0)), HYPERLINK("#",""), HYPERLINK(CONCATENATE("#metadata!", ADDRESS(INDEX($AH$2:$AH$1001,MATCH(ROWS($AF$2:AF125),$AF$2:$AF$1001,0),0), INDEX($AM$1004:$BM$1004,1,MATCH(COLUMNS($AM$1006:AX1006),$AM$1006:$BM$1006,0)))),"Fix")))</f>
        <v xml:space="preserve"> </v>
      </c>
      <c r="N125" s="4" t="str">
        <f ca="1">IF(OR(INDEX($AG$2:$AG$1001,MATCH(ROWS($AF$2:AF125),$AF$2:$AF$1001,0),1)&gt;=100000,INDEX($AM$1005:$BM$1005,1,MATCH(COLUMNS($AM$1006:AY1006),$AM$1006:$BM$1006,0))&gt;=100000), " ",IF(INDEX($AM$2:$BM$1001,MATCH(ROWS($AF$2:AF125),$AF$2:$AF$1001,0),MATCH(COLUMNS($AM$1006:AY1006),$AM$1006:$BM$1006,0)), HYPERLINK("#",""), HYPERLINK(CONCATENATE("#metadata!", ADDRESS(INDEX($AH$2:$AH$1001,MATCH(ROWS($AF$2:AF125),$AF$2:$AF$1001,0),0), INDEX($AM$1004:$BM$1004,1,MATCH(COLUMNS($AM$1006:AY1006),$AM$1006:$BM$1006,0)))),"Fix")))</f>
        <v xml:space="preserve"> </v>
      </c>
      <c r="O125" s="4" t="str">
        <f ca="1">IF(OR(INDEX($AG$2:$AG$1001,MATCH(ROWS($AF$2:AF125),$AF$2:$AF$1001,0),1)&gt;=100000,INDEX($AM$1005:$BM$1005,1,MATCH(COLUMNS($AM$1006:AZ1006),$AM$1006:$BM$1006,0))&gt;=100000), " ",IF(INDEX($AM$2:$BM$1001,MATCH(ROWS($AF$2:AF125),$AF$2:$AF$1001,0),MATCH(COLUMNS($AM$1006:AZ1006),$AM$1006:$BM$1006,0)), HYPERLINK("#",""), HYPERLINK(CONCATENATE("#metadata!", ADDRESS(INDEX($AH$2:$AH$1001,MATCH(ROWS($AF$2:AF125),$AF$2:$AF$1001,0),0), INDEX($AM$1004:$BM$1004,1,MATCH(COLUMNS($AM$1006:AZ1006),$AM$1006:$BM$1006,0)))),"Fix")))</f>
        <v xml:space="preserve"> </v>
      </c>
      <c r="P125" s="4" t="str">
        <f ca="1">IF(OR(INDEX($AG$2:$AG$1001,MATCH(ROWS($AF$2:AF125),$AF$2:$AF$1001,0),1)&gt;=100000,INDEX($AM$1005:$BM$1005,1,MATCH(COLUMNS($AM$1006:BA1006),$AM$1006:$BM$1006,0))&gt;=100000), " ",IF(INDEX($AM$2:$BM$1001,MATCH(ROWS($AF$2:AF125),$AF$2:$AF$1001,0),MATCH(COLUMNS($AM$1006:BA1006),$AM$1006:$BM$1006,0)), HYPERLINK("#",""), HYPERLINK(CONCATENATE("#metadata!", ADDRESS(INDEX($AH$2:$AH$1001,MATCH(ROWS($AF$2:AF125),$AF$2:$AF$1001,0),0), INDEX($AM$1004:$BM$1004,1,MATCH(COLUMNS($AM$1006:BA1006),$AM$1006:$BM$1006,0)))),"Fix")))</f>
        <v xml:space="preserve"> </v>
      </c>
      <c r="Q125" s="4" t="str">
        <f ca="1">IF(OR(INDEX($AG$2:$AG$1001,MATCH(ROWS($AF$2:AF125),$AF$2:$AF$1001,0),1)&gt;=100000,INDEX($AM$1005:$BM$1005,1,MATCH(COLUMNS($AM$1006:BB1006),$AM$1006:$BM$1006,0))&gt;=100000), " ",IF(INDEX($AM$2:$BM$1001,MATCH(ROWS($AF$2:AF125),$AF$2:$AF$1001,0),MATCH(COLUMNS($AM$1006:BB1006),$AM$1006:$BM$1006,0)), HYPERLINK("#",""), HYPERLINK(CONCATENATE("#metadata!", ADDRESS(INDEX($AH$2:$AH$1001,MATCH(ROWS($AF$2:AF125),$AF$2:$AF$1001,0),0), INDEX($AM$1004:$BM$1004,1,MATCH(COLUMNS($AM$1006:BB1006),$AM$1006:$BM$1006,0)))),"Fix")))</f>
        <v xml:space="preserve"> </v>
      </c>
      <c r="R125" s="4" t="str">
        <f ca="1">IF(OR(INDEX($AG$2:$AG$1001,MATCH(ROWS($AF$2:AF125),$AF$2:$AF$1001,0),1)&gt;=100000,INDEX($AM$1005:$BM$1005,1,MATCH(COLUMNS($AM$1006:BC1006),$AM$1006:$BM$1006,0))&gt;=100000), " ",IF(INDEX($AM$2:$BM$1001,MATCH(ROWS($AF$2:AF125),$AF$2:$AF$1001,0),MATCH(COLUMNS($AM$1006:BC1006),$AM$1006:$BM$1006,0)), HYPERLINK("#",""), HYPERLINK(CONCATENATE("#metadata!", ADDRESS(INDEX($AH$2:$AH$1001,MATCH(ROWS($AF$2:AF125),$AF$2:$AF$1001,0),0), INDEX($AM$1004:$BM$1004,1,MATCH(COLUMNS($AM$1006:BC1006),$AM$1006:$BM$1006,0)))),"Fix")))</f>
        <v xml:space="preserve"> </v>
      </c>
      <c r="S125" s="4" t="str">
        <f ca="1">IF(OR(INDEX($AG$2:$AG$1001,MATCH(ROWS($AF$2:AF125),$AF$2:$AF$1001,0),1)&gt;=100000,INDEX($AM$1005:$BM$1005,1,MATCH(COLUMNS($AM$1006:BD1006),$AM$1006:$BM$1006,0))&gt;=100000), " ",IF(INDEX($AM$2:$BM$1001,MATCH(ROWS($AF$2:AF125),$AF$2:$AF$1001,0),MATCH(COLUMNS($AM$1006:BD1006),$AM$1006:$BM$1006,0)), HYPERLINK("#",""), HYPERLINK(CONCATENATE("#metadata!", ADDRESS(INDEX($AH$2:$AH$1001,MATCH(ROWS($AF$2:AF125),$AF$2:$AF$1001,0),0), INDEX($AM$1004:$BM$1004,1,MATCH(COLUMNS($AM$1006:BD1006),$AM$1006:$BM$1006,0)))),"Fix")))</f>
        <v xml:space="preserve"> </v>
      </c>
      <c r="T125" s="4" t="str">
        <f ca="1">IF(OR(INDEX($AG$2:$AG$1001,MATCH(ROWS($AF$2:AF125),$AF$2:$AF$1001,0),1)&gt;=100000,INDEX($AM$1005:$BM$1005,1,MATCH(COLUMNS($AM$1006:BE1006),$AM$1006:$BM$1006,0))&gt;=100000), " ",IF(INDEX($AM$2:$BM$1001,MATCH(ROWS($AF$2:AF125),$AF$2:$AF$1001,0),MATCH(COLUMNS($AM$1006:BE1006),$AM$1006:$BM$1006,0)), HYPERLINK("#",""), HYPERLINK(CONCATENATE("#metadata!", ADDRESS(INDEX($AH$2:$AH$1001,MATCH(ROWS($AF$2:AF125),$AF$2:$AF$1001,0),0), INDEX($AM$1004:$BM$1004,1,MATCH(COLUMNS($AM$1006:BE1006),$AM$1006:$BM$1006,0)))),"Fix")))</f>
        <v xml:space="preserve"> </v>
      </c>
      <c r="U125" s="4" t="str">
        <f ca="1">IF(OR(INDEX($AG$2:$AG$1001,MATCH(ROWS($AF$2:AF125),$AF$2:$AF$1001,0),1)&gt;=100000,INDEX($AM$1005:$BM$1005,1,MATCH(COLUMNS($AM$1006:BF1006),$AM$1006:$BM$1006,0))&gt;=100000), " ",IF(INDEX($AM$2:$BM$1001,MATCH(ROWS($AF$2:AF125),$AF$2:$AF$1001,0),MATCH(COLUMNS($AM$1006:BF1006),$AM$1006:$BM$1006,0)), HYPERLINK("#",""), HYPERLINK(CONCATENATE("#metadata!", ADDRESS(INDEX($AH$2:$AH$1001,MATCH(ROWS($AF$2:AF125),$AF$2:$AF$1001,0),0), INDEX($AM$1004:$BM$1004,1,MATCH(COLUMNS($AM$1006:BF1006),$AM$1006:$BM$1006,0)))),"Fix")))</f>
        <v xml:space="preserve"> </v>
      </c>
      <c r="V125" s="4" t="str">
        <f ca="1">IF(OR(INDEX($AG$2:$AG$1001,MATCH(ROWS($AF$2:AF125),$AF$2:$AF$1001,0),1)&gt;=100000,INDEX($AM$1005:$BM$1005,1,MATCH(COLUMNS($AM$1006:BG1006),$AM$1006:$BM$1006,0))&gt;=100000), " ",IF(INDEX($AM$2:$BM$1001,MATCH(ROWS($AF$2:AF125),$AF$2:$AF$1001,0),MATCH(COLUMNS($AM$1006:BG1006),$AM$1006:$BM$1006,0)), HYPERLINK("#",""), HYPERLINK(CONCATENATE("#metadata!", ADDRESS(INDEX($AH$2:$AH$1001,MATCH(ROWS($AF$2:AF125),$AF$2:$AF$1001,0),0), INDEX($AM$1004:$BM$1004,1,MATCH(COLUMNS($AM$1006:BG1006),$AM$1006:$BM$1006,0)))),"Fix")))</f>
        <v xml:space="preserve"> </v>
      </c>
      <c r="W125" s="4" t="str">
        <f ca="1">IF(OR(INDEX($AG$2:$AG$1001,MATCH(ROWS($AF$2:AF125),$AF$2:$AF$1001,0),1)&gt;=100000,INDEX($AM$1005:$BM$1005,1,MATCH(COLUMNS($AM$1006:BH1006),$AM$1006:$BM$1006,0))&gt;=100000), " ",IF(INDEX($AM$2:$BM$1001,MATCH(ROWS($AF$2:AF125),$AF$2:$AF$1001,0),MATCH(COLUMNS($AM$1006:BH1006),$AM$1006:$BM$1006,0)), HYPERLINK("#",""), HYPERLINK(CONCATENATE("#metadata!", ADDRESS(INDEX($AH$2:$AH$1001,MATCH(ROWS($AF$2:AF125),$AF$2:$AF$1001,0),0), INDEX($AM$1004:$BM$1004,1,MATCH(COLUMNS($AM$1006:BH1006),$AM$1006:$BM$1006,0)))),"Fix")))</f>
        <v xml:space="preserve"> </v>
      </c>
      <c r="X125" s="4" t="str">
        <f ca="1">IF(OR(INDEX($AG$2:$AG$1001,MATCH(ROWS($AF$2:AF125),$AF$2:$AF$1001,0),1)&gt;=100000,INDEX($AM$1005:$BM$1005,1,MATCH(COLUMNS($AM$1006:BI1006),$AM$1006:$BM$1006,0))&gt;=100000), " ",IF(INDEX($AM$2:$BM$1001,MATCH(ROWS($AF$2:AF125),$AF$2:$AF$1001,0),MATCH(COLUMNS($AM$1006:BI1006),$AM$1006:$BM$1006,0)), HYPERLINK("#",""), HYPERLINK(CONCATENATE("#metadata!", ADDRESS(INDEX($AH$2:$AH$1001,MATCH(ROWS($AF$2:AF125),$AF$2:$AF$1001,0),0), INDEX($AM$1004:$BM$1004,1,MATCH(COLUMNS($AM$1006:BI1006),$AM$1006:$BM$1006,0)))),"Fix")))</f>
        <v xml:space="preserve"> </v>
      </c>
      <c r="Y125" s="4" t="str">
        <f ca="1">IF(OR(INDEX($AG$2:$AG$1001,MATCH(ROWS($AF$2:AF125),$AF$2:$AF$1001,0),1)&gt;=100000,INDEX($AM$1005:$BM$1005,1,MATCH(COLUMNS($AM$1006:BJ1006),$AM$1006:$BM$1006,0))&gt;=100000), " ",IF(INDEX($AM$2:$BM$1001,MATCH(ROWS($AF$2:AF125),$AF$2:$AF$1001,0),MATCH(COLUMNS($AM$1006:BJ1006),$AM$1006:$BM$1006,0)), HYPERLINK("#",""), HYPERLINK(CONCATENATE("#metadata!", ADDRESS(INDEX($AH$2:$AH$1001,MATCH(ROWS($AF$2:AF125),$AF$2:$AF$1001,0),0), INDEX($AM$1004:$BM$1004,1,MATCH(COLUMNS($AM$1006:BJ1006),$AM$1006:$BM$1006,0)))),"Fix")))</f>
        <v xml:space="preserve"> </v>
      </c>
      <c r="Z125" s="4" t="str">
        <f ca="1">IF(OR(INDEX($AG$2:$AG$1001,MATCH(ROWS($AF$2:AF125),$AF$2:$AF$1001,0),1)&gt;=100000,INDEX($AM$1005:$BM$1005,1,MATCH(COLUMNS($AM$1006:BK1006),$AM$1006:$BM$1006,0))&gt;=100000), " ",IF(INDEX($AM$2:$BM$1001,MATCH(ROWS($AF$2:AF125),$AF$2:$AF$1001,0),MATCH(COLUMNS($AM$1006:BK1006),$AM$1006:$BM$1006,0)), HYPERLINK("#",""), HYPERLINK(CONCATENATE("#metadata!", ADDRESS(INDEX($AH$2:$AH$1001,MATCH(ROWS($AF$2:AF125),$AF$2:$AF$1001,0),0), INDEX($AM$1004:$BM$1004,1,MATCH(COLUMNS($AM$1006:BK1006),$AM$1006:$BM$1006,0)))),"Fix")))</f>
        <v xml:space="preserve"> </v>
      </c>
      <c r="AA125" s="4" t="str">
        <f ca="1">IF(OR(INDEX($AG$2:$AG$1001,MATCH(ROWS($AF$2:AF125),$AF$2:$AF$1001,0),1)&gt;=100000,INDEX($AM$1005:$BM$1005,1,MATCH(COLUMNS($AM$1006:BL1006),$AM$1006:$BM$1006,0))&gt;=100000), " ",IF(INDEX($AM$2:$BM$1001,MATCH(ROWS($AF$2:AF125),$AF$2:$AF$1001,0),MATCH(COLUMNS($AM$1006:BL1006),$AM$1006:$BM$1006,0)), HYPERLINK("#",""), HYPERLINK(CONCATENATE("#metadata!", ADDRESS(INDEX($AH$2:$AH$1001,MATCH(ROWS($AF$2:AF125),$AF$2:$AF$1001,0),0), INDEX($AM$1004:$BM$1004,1,MATCH(COLUMNS($AM$1006:BL1006),$AM$1006:$BM$1006,0)))),"Fix")))</f>
        <v xml:space="preserve"> </v>
      </c>
      <c r="AB125" s="4" t="str">
        <f ca="1">IF(OR(INDEX($AG$2:$AG$1001,MATCH(ROWS($AF$2:AF125),$AF$2:$AF$1001,0),1)&gt;=100000,INDEX($AM$1005:$BM$1005,1,MATCH(COLUMNS($AM$1006:BM1006),$AM$1006:$BM$1006,0))&gt;=100000), " ",IF(INDEX($AM$2:$BM$1001,MATCH(ROWS($AF$2:AF125),$AF$2:$AF$1001,0),MATCH(COLUMNS($AM$1006:BM1006),$AM$1006:$BM$1006,0)), HYPERLINK("#",""), HYPERLINK(CONCATENATE("#metadata!", ADDRESS(INDEX($AH$2:$AH$1001,MATCH(ROWS($AF$2:AF125),$AF$2:$AF$1001,0),0), INDEX($AM$1004:$BM$1004,1,MATCH(COLUMNS($AM$1006:BM1006),$AM$1006:$BM$1006,0)))),"Fix")))</f>
        <v xml:space="preserve"> </v>
      </c>
      <c r="AF125">
        <v>124</v>
      </c>
      <c r="AG125">
        <v>100125</v>
      </c>
      <c r="AH125">
        <v>125</v>
      </c>
      <c r="AI125" t="b">
        <f t="shared" si="1"/>
        <v>1</v>
      </c>
      <c r="AJ125" t="b">
        <f>COUNTBLANK(metadata!B125:AB125)=COLUMNS(metadata!B125:AB125)</f>
        <v>1</v>
      </c>
      <c r="AK125" t="str">
        <v/>
      </c>
      <c r="AM125" t="b">
        <f ca="1">AND(IF(metadata!B125="",FALSE,TRUE),COUNTIF(metadata!B:B, metadata!B125) = 1,NOT(ISERROR(SUMPRODUCT(SEARCH(MID(metadata!B125,ROW(INDIRECT("1:"&amp;LEN(metadata!B125))), 1),"0123456789abcdefghijklmnopqrstuvwxyzABCDEFGHIJKLMNOPQRSTUVWXYZ.")))))</f>
        <v>0</v>
      </c>
      <c r="AN125" t="b">
        <f ca="1">OR(AND(IF(metadata!C125="",FALSE,TRUE),OR(EXACT(metadata!C125,"missing: not collected"),EXACT(metadata!C125,"missing: not provided"),EXACT(metadata!C125,"missing: restricted access"))),AND(IF(metadata!C125="",FALSE,TRUE),AND(AND(IFERROR(INT(LEFT(metadata!C125,4))&gt;1900,FALSE),IFERROR(INT(LEFT(metadata!C125,4))&lt;=YEAR(NOW()),FALSE)), OR(MID(metadata!C125,5,1)="", AND(AND(MID(metadata!C125,5,1)="-",IFERROR(INT(MID(metadata!C125,6,1))&gt;=0,FALSE),IFERROR(INT(MID(metadata!C125,6,1))&lt;=1,FALSE),NOT(MID(metadata!C125,7,1)=""),IFERROR(INT(MID(metadata!C125,6,2))&gt;=1,FALSE),IFERROR(INT(MID(metadata!C125,6,2))&lt;=12,FALSE)), OR(MID(metadata!C125,8,1)="", AND(AND(MID(metadata!C125,8,1)="-",IFERROR(INT(MID(metadata!C125,9,1))&gt;=0,FALSE),IFERROR(INT(MID(metadata!C125,9,1))&lt;=3,FALSE),NOT(MID(metadata!C125,10,1)=""),IFERROR(INT(MID(metadata!C125,9,2))&gt;=1,FALSE),IFERROR(INT(MID(metadata!C125,9,2))&lt;=31,FALSE)), OR(MID(metadata!C125,11,1)="", AND(AND(MID(metadata!C125,11,1)=" ",IFERROR(INT(MID(metadata!C125,12,1))&gt;=0,FALSE),IFERROR(INT(MID(metadata!C125,12,1))&lt;=2,FALSE),NOT(MID(metadata!C125,13,1)=""),IFERROR(INT(MID(metadata!C125,12,2))&gt;=0,FALSE),IFERROR(INT(MID(metadata!C125,12,2))&lt;=23,FALSE)), OR(MID(metadata!C125,14,1)="", AND(AND(MID(metadata!C125,14,1)=":",IFERROR(INT(MID(metadata!C125,15,1))&gt;=0,FALSE),IFERROR(INT(MID(metadata!C125,15,1))&lt;=5,FALSE),NOT(MID(metadata!C125,16,1)=""),IFERROR(INT(MID(metadata!C125,15,2))&gt;=0,FALSE),IFERROR(INT(MID(metadata!C125,15,2))&lt;=59,FALSE)), OR(MID(metadata!C125,17,1)="", AND(AND(MID(metadata!C125,17,1)=":",IFERROR(INT(MID(metadata!C125,18,1))&gt;=0,FALSE),IFERROR(INT(MID(metadata!C125,18,1))&lt;=5,FALSE),NOT(MID(metadata!C125,19,1)=""),IFERROR(INT(MID(metadata!C125,18,2))&gt;=0,FALSE),IFERROR(INT(MID(metadata!C125,18,2))&lt;=59,FALSE)), LEN(metadata!C125)&lt;=19)))))))))))))</f>
        <v>0</v>
      </c>
      <c r="AO125" t="b">
        <f>AND(IF(metadata!D125="",FALSE,TRUE),EXACT(metadata!D125,"Not applicable"))</f>
        <v>0</v>
      </c>
      <c r="AP125" t="b">
        <f>IF(metadata!E125="",FALSE,TRUE)</f>
        <v>0</v>
      </c>
      <c r="AQ125" t="b">
        <f>OR(AND(IF(metadata!F125="",FALSE,TRUE),OR(EXACT(metadata!F125,"missing: not collected"),EXACT(metadata!F125,"missing: not provided"))),AND(IF(metadata!F125="",FALSE,TRUE),OR(EXACT(metadata!F125,"TRUE"),EXACT(metadata!F125,"FALSE"))))</f>
        <v>0</v>
      </c>
      <c r="AR125" t="b">
        <f>OR(AND(IF(metadata!G125="",FALSE,TRUE),OR(EXACT(metadata!G125,"missing: not collected"),EXACT(metadata!G125,"missing: not provided"),EXACT(metadata!G125,"missing: restricted access"))),AND(IF(metadata!G125="",FALSE,ISNUMBER(VALUE(metadata!G125))),metadata!G125&gt;=-413))</f>
        <v>0</v>
      </c>
      <c r="AS125" t="b">
        <f>AND(IF(metadata!H125="",FALSE,TRUE),EXACT(metadata!H125,"meters"))</f>
        <v>0</v>
      </c>
      <c r="AT125" t="b">
        <f>AND(IF(metadata!I125="",FALSE,TRUE),OR(EXACT(metadata!I125,"Host-associated"),EXACT(metadata!I125,"Free-living")))</f>
        <v>0</v>
      </c>
      <c r="AU125" t="b">
        <f>AND(IF(metadata!J125="",FALSE,TRUE),OR(EXACT(metadata!J125,"Animal"),EXACT(metadata!J125,"Fungus"),EXACT(metadata!J125,"Plant"),EXACT(metadata!J125,"Saline"),EXACT(metadata!J125,"Non-saline")))</f>
        <v>0</v>
      </c>
      <c r="AV125" t="b">
        <f>AND(IF(metadata!K125="",FALSE,TRUE),OR(EXACT(metadata!K125,"Plant secretion"),EXACT(metadata!K125,"Plant rhizosphere"),EXACT(metadata!K125,"Plant surface"),EXACT(metadata!K125,"Plant corpus"),EXACT(metadata!K125,"Fungus surface"),EXACT(metadata!K125,"Fungus corpus"),EXACT(metadata!K125,"Animal surface"),EXACT(metadata!K125,"Animal proximal gut"),EXACT(metadata!K125,"Animal corpus"),EXACT(metadata!K125,"Animal distal gut"),EXACT(metadata!K125,"Animal secretion"),EXACT(metadata!K125,"Sub-surface (non-saline)"),EXACT(metadata!K125,"Surface (non-saline)"),EXACT(metadata!K125,"Water (non-saline)"),EXACT(metadata!K125,"Soil (non-saline)"),EXACT(metadata!K125,"Aerosol (non-saline)"),EXACT(metadata!K125,"Sediment (non-saline)"),EXACT(metadata!K125,"Surface (saline)"),EXACT(metadata!K125,"Water (saline)"),EXACT(metadata!K125,"Hypersaline (saline)"),EXACT(metadata!K125,"Aerosol (saline)"),EXACT(metadata!K125,"Sediment (saline)")))</f>
        <v>0</v>
      </c>
      <c r="AW125" t="b">
        <f>IF(metadata!L125="",FALSE,TRUE)</f>
        <v>0</v>
      </c>
      <c r="AX125" t="b">
        <f>IF(metadata!M125="",FALSE,TRUE)</f>
        <v>0</v>
      </c>
      <c r="AY125" t="b">
        <f>IF(metadata!N125="",FALSE,TRUE)</f>
        <v>0</v>
      </c>
      <c r="AZ125" t="b">
        <f>OR(AND(IF(metadata!O125="",FALSE,TRUE),OR(EXACT(metadata!O125,"missing: not collected"),EXACT(metadata!O125,"missing: not provided"),EXACT(metadata!O125,"missing: restricted access"))),AND(IF(metadata!O125="",FALSE,TRUE),OR(EXACT(metadata!O125,"air"),EXACT(metadata!O125,"built environment"),EXACT(metadata!O125,"host-associated"),EXACT(metadata!O125,"human-associated"),EXACT(metadata!O125,"human-skin"),EXACT(metadata!O125,"human-oral"),EXACT(metadata!O125,"human-gut"),EXACT(metadata!O125,"human-vaginal"),EXACT(metadata!O125,"microbial mat/biofilm"),EXACT(metadata!O125,"misc environment"),EXACT(metadata!O125,"plant-associated"),EXACT(metadata!O125,"sediment"),EXACT(metadata!O125,"soil"),EXACT(metadata!O125,"wastewater/sludge"),EXACT(metadata!O125,"water"))))</f>
        <v>0</v>
      </c>
      <c r="BA125" t="b">
        <f>IF(metadata!P125="",FALSE,TRUE)</f>
        <v>0</v>
      </c>
      <c r="BB125" t="b">
        <f>IF(metadata!Q125="",FALSE,TRUE)</f>
        <v>0</v>
      </c>
      <c r="BC125" t="b">
        <f>OR(AND(IF(metadata!R125="",FALSE,TRUE),OR(EXACT(metadata!R125,"missing: not collected"),EXACT(metadata!R125,"missing: not provided"),EXACT(metadata!R125,"missing: restricted access"))),AND(IF(metadata!R125="",FALSE,ISNUMBER(VALUE(metadata!R125))),metadata!R125&gt;=-90,metadata!R125&lt;=90))</f>
        <v>0</v>
      </c>
      <c r="BD125" t="b">
        <f>AND(IF(metadata!S125="",FALSE,TRUE),EXACT(metadata!S125,"Decimal degrees"))</f>
        <v>0</v>
      </c>
      <c r="BE125" t="b">
        <f>OR(AND(IF(metadata!T125="",FALSE,TRUE),OR(EXACT(metadata!T125,"missing: not collected"),EXACT(metadata!T125,"missing: not provided"),EXACT(metadata!T125,"missing: restricted access"))),AND(IF(metadata!T125="",FALSE,ISNUMBER(VALUE(metadata!T125))),metadata!T125&gt;=-180,metadata!T125&lt;=180))</f>
        <v>0</v>
      </c>
      <c r="BF125" t="b">
        <f>AND(IF(metadata!U125="",FALSE,TRUE),EXACT(metadata!U125,"Decimal degrees"))</f>
        <v>0</v>
      </c>
      <c r="BG125" t="b">
        <f>IF(metadata!V125="",FALSE,TRUE)</f>
        <v>0</v>
      </c>
      <c r="BH125" t="b">
        <f>OR(AND(IF(metadata!W125="",FALSE,TRUE),OR(EXACT(metadata!W125,"missing: not collected"),EXACT(metadata!W125,"missing: not provided"),EXACT(metadata!W125,"missing: restricted access"))),AND(IF(metadata!W125="",FALSE,TRUE),OR(EXACT(metadata!W125,"TRUE"),EXACT(metadata!W125,"FALSE"))))</f>
        <v>0</v>
      </c>
      <c r="BI125" t="b">
        <f>AND(IF(metadata!X125="",FALSE,TRUE),EXACT(metadata!X125,"other"))</f>
        <v>0</v>
      </c>
      <c r="BJ125" t="b">
        <f>IF(metadata!Y125="",FALSE,TRUE)</f>
        <v>0</v>
      </c>
      <c r="BK125" t="b">
        <f>OR(AND(IF(metadata!Z125="",FALSE,TRUE),OR(EXACT(metadata!Z125,"missing: not collected"),EXACT(metadata!Z125,"missing: not provided"))),AND(IF(metadata!Z125="",FALSE,IF(ISERROR(INT(metadata!Z125)),FALSE,INT(metadata!Z125)=metadata!Z125)),metadata!Z125&gt;0))</f>
        <v>0</v>
      </c>
      <c r="BL125" t="b">
        <f>AND(IF(metadata!AA125="",FALSE,TRUE),EXACT(metadata!AA125,"Not applicable"))</f>
        <v>0</v>
      </c>
      <c r="BM125" t="b">
        <f>IF(metadata!AB125="",FALSE,TRUE)</f>
        <v>0</v>
      </c>
    </row>
    <row r="126" spans="1:65" x14ac:dyDescent="0.2">
      <c r="A126" s="5" t="str">
        <f ca="1">IF(B126=" "," ",HYPERLINK(CONCATENATE("#metadata!",ADDRESS(INDEX($AH$2:$AH$1001,MATCH(ROWS($AF$2:AF126),$AF$2:$AF$1001,0),0),1)),INDEX($AK$2:$AK$1001,MATCH(ROWS($AF$2:AF126),$AF$2:$AF$1001,0),0)))</f>
        <v xml:space="preserve"> </v>
      </c>
      <c r="B126" s="4" t="str">
        <f ca="1">IF(OR(INDEX($AG$2:$AG$1001,MATCH(ROWS($AF$2:AF126),$AF$2:$AF$1001,0),1)&gt;=100000,INDEX($AM$1005:$BM$1005,1,MATCH(COLUMNS($AM$1006:AM1006),$AM$1006:$BM$1006,0))&gt;=100000), " ",IF(INDEX($AM$2:$BM$1001,MATCH(ROWS($AF$2:AF126),$AF$2:$AF$1001,0),MATCH(COLUMNS($AM$1006:AM1006),$AM$1006:$BM$1006,0)), HYPERLINK("#",""), HYPERLINK(CONCATENATE("#metadata!", ADDRESS(INDEX($AH$2:$AH$1001,MATCH(ROWS($AF$2:AF126),$AF$2:$AF$1001,0),0), INDEX($AM$1004:$BM$1004,1,MATCH(COLUMNS($AM$1006:AM1006),$AM$1006:$BM$1006,0)))),"Fix")))</f>
        <v xml:space="preserve"> </v>
      </c>
      <c r="C126" s="4" t="str">
        <f ca="1">IF(OR(INDEX($AG$2:$AG$1001,MATCH(ROWS($AF$2:AF126),$AF$2:$AF$1001,0),1)&gt;=100000,INDEX($AM$1005:$BM$1005,1,MATCH(COLUMNS($AM$1006:AN1006),$AM$1006:$BM$1006,0))&gt;=100000), " ",IF(INDEX($AM$2:$BM$1001,MATCH(ROWS($AF$2:AF126),$AF$2:$AF$1001,0),MATCH(COLUMNS($AM$1006:AN1006),$AM$1006:$BM$1006,0)), HYPERLINK("#",""), HYPERLINK(CONCATENATE("#metadata!", ADDRESS(INDEX($AH$2:$AH$1001,MATCH(ROWS($AF$2:AF126),$AF$2:$AF$1001,0),0), INDEX($AM$1004:$BM$1004,1,MATCH(COLUMNS($AM$1006:AN1006),$AM$1006:$BM$1006,0)))),"Fix")))</f>
        <v xml:space="preserve"> </v>
      </c>
      <c r="D126" s="4" t="str">
        <f ca="1">IF(OR(INDEX($AG$2:$AG$1001,MATCH(ROWS($AF$2:AF126),$AF$2:$AF$1001,0),1)&gt;=100000,INDEX($AM$1005:$BM$1005,1,MATCH(COLUMNS($AM$1006:AO1006),$AM$1006:$BM$1006,0))&gt;=100000), " ",IF(INDEX($AM$2:$BM$1001,MATCH(ROWS($AF$2:AF126),$AF$2:$AF$1001,0),MATCH(COLUMNS($AM$1006:AO1006),$AM$1006:$BM$1006,0)), HYPERLINK("#",""), HYPERLINK(CONCATENATE("#metadata!", ADDRESS(INDEX($AH$2:$AH$1001,MATCH(ROWS($AF$2:AF126),$AF$2:$AF$1001,0),0), INDEX($AM$1004:$BM$1004,1,MATCH(COLUMNS($AM$1006:AO1006),$AM$1006:$BM$1006,0)))),"Fix")))</f>
        <v xml:space="preserve"> </v>
      </c>
      <c r="E126" s="4" t="str">
        <f ca="1">IF(OR(INDEX($AG$2:$AG$1001,MATCH(ROWS($AF$2:AF126),$AF$2:$AF$1001,0),1)&gt;=100000,INDEX($AM$1005:$BM$1005,1,MATCH(COLUMNS($AM$1006:AP1006),$AM$1006:$BM$1006,0))&gt;=100000), " ",IF(INDEX($AM$2:$BM$1001,MATCH(ROWS($AF$2:AF126),$AF$2:$AF$1001,0),MATCH(COLUMNS($AM$1006:AP1006),$AM$1006:$BM$1006,0)), HYPERLINK("#",""), HYPERLINK(CONCATENATE("#metadata!", ADDRESS(INDEX($AH$2:$AH$1001,MATCH(ROWS($AF$2:AF126),$AF$2:$AF$1001,0),0), INDEX($AM$1004:$BM$1004,1,MATCH(COLUMNS($AM$1006:AP1006),$AM$1006:$BM$1006,0)))),"Fix")))</f>
        <v xml:space="preserve"> </v>
      </c>
      <c r="F126" s="4" t="str">
        <f ca="1">IF(OR(INDEX($AG$2:$AG$1001,MATCH(ROWS($AF$2:AF126),$AF$2:$AF$1001,0),1)&gt;=100000,INDEX($AM$1005:$BM$1005,1,MATCH(COLUMNS($AM$1006:AQ1006),$AM$1006:$BM$1006,0))&gt;=100000), " ",IF(INDEX($AM$2:$BM$1001,MATCH(ROWS($AF$2:AF126),$AF$2:$AF$1001,0),MATCH(COLUMNS($AM$1006:AQ1006),$AM$1006:$BM$1006,0)), HYPERLINK("#",""), HYPERLINK(CONCATENATE("#metadata!", ADDRESS(INDEX($AH$2:$AH$1001,MATCH(ROWS($AF$2:AF126),$AF$2:$AF$1001,0),0), INDEX($AM$1004:$BM$1004,1,MATCH(COLUMNS($AM$1006:AQ1006),$AM$1006:$BM$1006,0)))),"Fix")))</f>
        <v xml:space="preserve"> </v>
      </c>
      <c r="G126" s="4" t="str">
        <f ca="1">IF(OR(INDEX($AG$2:$AG$1001,MATCH(ROWS($AF$2:AF126),$AF$2:$AF$1001,0),1)&gt;=100000,INDEX($AM$1005:$BM$1005,1,MATCH(COLUMNS($AM$1006:AR1006),$AM$1006:$BM$1006,0))&gt;=100000), " ",IF(INDEX($AM$2:$BM$1001,MATCH(ROWS($AF$2:AF126),$AF$2:$AF$1001,0),MATCH(COLUMNS($AM$1006:AR1006),$AM$1006:$BM$1006,0)), HYPERLINK("#",""), HYPERLINK(CONCATENATE("#metadata!", ADDRESS(INDEX($AH$2:$AH$1001,MATCH(ROWS($AF$2:AF126),$AF$2:$AF$1001,0),0), INDEX($AM$1004:$BM$1004,1,MATCH(COLUMNS($AM$1006:AR1006),$AM$1006:$BM$1006,0)))),"Fix")))</f>
        <v xml:space="preserve"> </v>
      </c>
      <c r="H126" s="4" t="str">
        <f ca="1">IF(OR(INDEX($AG$2:$AG$1001,MATCH(ROWS($AF$2:AF126),$AF$2:$AF$1001,0),1)&gt;=100000,INDEX($AM$1005:$BM$1005,1,MATCH(COLUMNS($AM$1006:AS1006),$AM$1006:$BM$1006,0))&gt;=100000), " ",IF(INDEX($AM$2:$BM$1001,MATCH(ROWS($AF$2:AF126),$AF$2:$AF$1001,0),MATCH(COLUMNS($AM$1006:AS1006),$AM$1006:$BM$1006,0)), HYPERLINK("#",""), HYPERLINK(CONCATENATE("#metadata!", ADDRESS(INDEX($AH$2:$AH$1001,MATCH(ROWS($AF$2:AF126),$AF$2:$AF$1001,0),0), INDEX($AM$1004:$BM$1004,1,MATCH(COLUMNS($AM$1006:AS1006),$AM$1006:$BM$1006,0)))),"Fix")))</f>
        <v xml:space="preserve"> </v>
      </c>
      <c r="I126" s="4" t="str">
        <f ca="1">IF(OR(INDEX($AG$2:$AG$1001,MATCH(ROWS($AF$2:AF126),$AF$2:$AF$1001,0),1)&gt;=100000,INDEX($AM$1005:$BM$1005,1,MATCH(COLUMNS($AM$1006:AT1006),$AM$1006:$BM$1006,0))&gt;=100000), " ",IF(INDEX($AM$2:$BM$1001,MATCH(ROWS($AF$2:AF126),$AF$2:$AF$1001,0),MATCH(COLUMNS($AM$1006:AT1006),$AM$1006:$BM$1006,0)), HYPERLINK("#",""), HYPERLINK(CONCATENATE("#metadata!", ADDRESS(INDEX($AH$2:$AH$1001,MATCH(ROWS($AF$2:AF126),$AF$2:$AF$1001,0),0), INDEX($AM$1004:$BM$1004,1,MATCH(COLUMNS($AM$1006:AT1006),$AM$1006:$BM$1006,0)))),"Fix")))</f>
        <v xml:space="preserve"> </v>
      </c>
      <c r="J126" s="4" t="str">
        <f ca="1">IF(OR(INDEX($AG$2:$AG$1001,MATCH(ROWS($AF$2:AF126),$AF$2:$AF$1001,0),1)&gt;=100000,INDEX($AM$1005:$BM$1005,1,MATCH(COLUMNS($AM$1006:AU1006),$AM$1006:$BM$1006,0))&gt;=100000), " ",IF(INDEX($AM$2:$BM$1001,MATCH(ROWS($AF$2:AF126),$AF$2:$AF$1001,0),MATCH(COLUMNS($AM$1006:AU1006),$AM$1006:$BM$1006,0)), HYPERLINK("#",""), HYPERLINK(CONCATENATE("#metadata!", ADDRESS(INDEX($AH$2:$AH$1001,MATCH(ROWS($AF$2:AF126),$AF$2:$AF$1001,0),0), INDEX($AM$1004:$BM$1004,1,MATCH(COLUMNS($AM$1006:AU1006),$AM$1006:$BM$1006,0)))),"Fix")))</f>
        <v xml:space="preserve"> </v>
      </c>
      <c r="K126" s="4" t="str">
        <f ca="1">IF(OR(INDEX($AG$2:$AG$1001,MATCH(ROWS($AF$2:AF126),$AF$2:$AF$1001,0),1)&gt;=100000,INDEX($AM$1005:$BM$1005,1,MATCH(COLUMNS($AM$1006:AV1006),$AM$1006:$BM$1006,0))&gt;=100000), " ",IF(INDEX($AM$2:$BM$1001,MATCH(ROWS($AF$2:AF126),$AF$2:$AF$1001,0),MATCH(COLUMNS($AM$1006:AV1006),$AM$1006:$BM$1006,0)), HYPERLINK("#",""), HYPERLINK(CONCATENATE("#metadata!", ADDRESS(INDEX($AH$2:$AH$1001,MATCH(ROWS($AF$2:AF126),$AF$2:$AF$1001,0),0), INDEX($AM$1004:$BM$1004,1,MATCH(COLUMNS($AM$1006:AV1006),$AM$1006:$BM$1006,0)))),"Fix")))</f>
        <v xml:space="preserve"> </v>
      </c>
      <c r="L126" s="4" t="str">
        <f ca="1">IF(OR(INDEX($AG$2:$AG$1001,MATCH(ROWS($AF$2:AF126),$AF$2:$AF$1001,0),1)&gt;=100000,INDEX($AM$1005:$BM$1005,1,MATCH(COLUMNS($AM$1006:AW1006),$AM$1006:$BM$1006,0))&gt;=100000), " ",IF(INDEX($AM$2:$BM$1001,MATCH(ROWS($AF$2:AF126),$AF$2:$AF$1001,0),MATCH(COLUMNS($AM$1006:AW1006),$AM$1006:$BM$1006,0)), HYPERLINK("#",""), HYPERLINK(CONCATENATE("#metadata!", ADDRESS(INDEX($AH$2:$AH$1001,MATCH(ROWS($AF$2:AF126),$AF$2:$AF$1001,0),0), INDEX($AM$1004:$BM$1004,1,MATCH(COLUMNS($AM$1006:AW1006),$AM$1006:$BM$1006,0)))),"Fix")))</f>
        <v xml:space="preserve"> </v>
      </c>
      <c r="M126" s="4" t="str">
        <f ca="1">IF(OR(INDEX($AG$2:$AG$1001,MATCH(ROWS($AF$2:AF126),$AF$2:$AF$1001,0),1)&gt;=100000,INDEX($AM$1005:$BM$1005,1,MATCH(COLUMNS($AM$1006:AX1006),$AM$1006:$BM$1006,0))&gt;=100000), " ",IF(INDEX($AM$2:$BM$1001,MATCH(ROWS($AF$2:AF126),$AF$2:$AF$1001,0),MATCH(COLUMNS($AM$1006:AX1006),$AM$1006:$BM$1006,0)), HYPERLINK("#",""), HYPERLINK(CONCATENATE("#metadata!", ADDRESS(INDEX($AH$2:$AH$1001,MATCH(ROWS($AF$2:AF126),$AF$2:$AF$1001,0),0), INDEX($AM$1004:$BM$1004,1,MATCH(COLUMNS($AM$1006:AX1006),$AM$1006:$BM$1006,0)))),"Fix")))</f>
        <v xml:space="preserve"> </v>
      </c>
      <c r="N126" s="4" t="str">
        <f ca="1">IF(OR(INDEX($AG$2:$AG$1001,MATCH(ROWS($AF$2:AF126),$AF$2:$AF$1001,0),1)&gt;=100000,INDEX($AM$1005:$BM$1005,1,MATCH(COLUMNS($AM$1006:AY1006),$AM$1006:$BM$1006,0))&gt;=100000), " ",IF(INDEX($AM$2:$BM$1001,MATCH(ROWS($AF$2:AF126),$AF$2:$AF$1001,0),MATCH(COLUMNS($AM$1006:AY1006),$AM$1006:$BM$1006,0)), HYPERLINK("#",""), HYPERLINK(CONCATENATE("#metadata!", ADDRESS(INDEX($AH$2:$AH$1001,MATCH(ROWS($AF$2:AF126),$AF$2:$AF$1001,0),0), INDEX($AM$1004:$BM$1004,1,MATCH(COLUMNS($AM$1006:AY1006),$AM$1006:$BM$1006,0)))),"Fix")))</f>
        <v xml:space="preserve"> </v>
      </c>
      <c r="O126" s="4" t="str">
        <f ca="1">IF(OR(INDEX($AG$2:$AG$1001,MATCH(ROWS($AF$2:AF126),$AF$2:$AF$1001,0),1)&gt;=100000,INDEX($AM$1005:$BM$1005,1,MATCH(COLUMNS($AM$1006:AZ1006),$AM$1006:$BM$1006,0))&gt;=100000), " ",IF(INDEX($AM$2:$BM$1001,MATCH(ROWS($AF$2:AF126),$AF$2:$AF$1001,0),MATCH(COLUMNS($AM$1006:AZ1006),$AM$1006:$BM$1006,0)), HYPERLINK("#",""), HYPERLINK(CONCATENATE("#metadata!", ADDRESS(INDEX($AH$2:$AH$1001,MATCH(ROWS($AF$2:AF126),$AF$2:$AF$1001,0),0), INDEX($AM$1004:$BM$1004,1,MATCH(COLUMNS($AM$1006:AZ1006),$AM$1006:$BM$1006,0)))),"Fix")))</f>
        <v xml:space="preserve"> </v>
      </c>
      <c r="P126" s="4" t="str">
        <f ca="1">IF(OR(INDEX($AG$2:$AG$1001,MATCH(ROWS($AF$2:AF126),$AF$2:$AF$1001,0),1)&gt;=100000,INDEX($AM$1005:$BM$1005,1,MATCH(COLUMNS($AM$1006:BA1006),$AM$1006:$BM$1006,0))&gt;=100000), " ",IF(INDEX($AM$2:$BM$1001,MATCH(ROWS($AF$2:AF126),$AF$2:$AF$1001,0),MATCH(COLUMNS($AM$1006:BA1006),$AM$1006:$BM$1006,0)), HYPERLINK("#",""), HYPERLINK(CONCATENATE("#metadata!", ADDRESS(INDEX($AH$2:$AH$1001,MATCH(ROWS($AF$2:AF126),$AF$2:$AF$1001,0),0), INDEX($AM$1004:$BM$1004,1,MATCH(COLUMNS($AM$1006:BA1006),$AM$1006:$BM$1006,0)))),"Fix")))</f>
        <v xml:space="preserve"> </v>
      </c>
      <c r="Q126" s="4" t="str">
        <f ca="1">IF(OR(INDEX($AG$2:$AG$1001,MATCH(ROWS($AF$2:AF126),$AF$2:$AF$1001,0),1)&gt;=100000,INDEX($AM$1005:$BM$1005,1,MATCH(COLUMNS($AM$1006:BB1006),$AM$1006:$BM$1006,0))&gt;=100000), " ",IF(INDEX($AM$2:$BM$1001,MATCH(ROWS($AF$2:AF126),$AF$2:$AF$1001,0),MATCH(COLUMNS($AM$1006:BB1006),$AM$1006:$BM$1006,0)), HYPERLINK("#",""), HYPERLINK(CONCATENATE("#metadata!", ADDRESS(INDEX($AH$2:$AH$1001,MATCH(ROWS($AF$2:AF126),$AF$2:$AF$1001,0),0), INDEX($AM$1004:$BM$1004,1,MATCH(COLUMNS($AM$1006:BB1006),$AM$1006:$BM$1006,0)))),"Fix")))</f>
        <v xml:space="preserve"> </v>
      </c>
      <c r="R126" s="4" t="str">
        <f ca="1">IF(OR(INDEX($AG$2:$AG$1001,MATCH(ROWS($AF$2:AF126),$AF$2:$AF$1001,0),1)&gt;=100000,INDEX($AM$1005:$BM$1005,1,MATCH(COLUMNS($AM$1006:BC1006),$AM$1006:$BM$1006,0))&gt;=100000), " ",IF(INDEX($AM$2:$BM$1001,MATCH(ROWS($AF$2:AF126),$AF$2:$AF$1001,0),MATCH(COLUMNS($AM$1006:BC1006),$AM$1006:$BM$1006,0)), HYPERLINK("#",""), HYPERLINK(CONCATENATE("#metadata!", ADDRESS(INDEX($AH$2:$AH$1001,MATCH(ROWS($AF$2:AF126),$AF$2:$AF$1001,0),0), INDEX($AM$1004:$BM$1004,1,MATCH(COLUMNS($AM$1006:BC1006),$AM$1006:$BM$1006,0)))),"Fix")))</f>
        <v xml:space="preserve"> </v>
      </c>
      <c r="S126" s="4" t="str">
        <f ca="1">IF(OR(INDEX($AG$2:$AG$1001,MATCH(ROWS($AF$2:AF126),$AF$2:$AF$1001,0),1)&gt;=100000,INDEX($AM$1005:$BM$1005,1,MATCH(COLUMNS($AM$1006:BD1006),$AM$1006:$BM$1006,0))&gt;=100000), " ",IF(INDEX($AM$2:$BM$1001,MATCH(ROWS($AF$2:AF126),$AF$2:$AF$1001,0),MATCH(COLUMNS($AM$1006:BD1006),$AM$1006:$BM$1006,0)), HYPERLINK("#",""), HYPERLINK(CONCATENATE("#metadata!", ADDRESS(INDEX($AH$2:$AH$1001,MATCH(ROWS($AF$2:AF126),$AF$2:$AF$1001,0),0), INDEX($AM$1004:$BM$1004,1,MATCH(COLUMNS($AM$1006:BD1006),$AM$1006:$BM$1006,0)))),"Fix")))</f>
        <v xml:space="preserve"> </v>
      </c>
      <c r="T126" s="4" t="str">
        <f ca="1">IF(OR(INDEX($AG$2:$AG$1001,MATCH(ROWS($AF$2:AF126),$AF$2:$AF$1001,0),1)&gt;=100000,INDEX($AM$1005:$BM$1005,1,MATCH(COLUMNS($AM$1006:BE1006),$AM$1006:$BM$1006,0))&gt;=100000), " ",IF(INDEX($AM$2:$BM$1001,MATCH(ROWS($AF$2:AF126),$AF$2:$AF$1001,0),MATCH(COLUMNS($AM$1006:BE1006),$AM$1006:$BM$1006,0)), HYPERLINK("#",""), HYPERLINK(CONCATENATE("#metadata!", ADDRESS(INDEX($AH$2:$AH$1001,MATCH(ROWS($AF$2:AF126),$AF$2:$AF$1001,0),0), INDEX($AM$1004:$BM$1004,1,MATCH(COLUMNS($AM$1006:BE1006),$AM$1006:$BM$1006,0)))),"Fix")))</f>
        <v xml:space="preserve"> </v>
      </c>
      <c r="U126" s="4" t="str">
        <f ca="1">IF(OR(INDEX($AG$2:$AG$1001,MATCH(ROWS($AF$2:AF126),$AF$2:$AF$1001,0),1)&gt;=100000,INDEX($AM$1005:$BM$1005,1,MATCH(COLUMNS($AM$1006:BF1006),$AM$1006:$BM$1006,0))&gt;=100000), " ",IF(INDEX($AM$2:$BM$1001,MATCH(ROWS($AF$2:AF126),$AF$2:$AF$1001,0),MATCH(COLUMNS($AM$1006:BF1006),$AM$1006:$BM$1006,0)), HYPERLINK("#",""), HYPERLINK(CONCATENATE("#metadata!", ADDRESS(INDEX($AH$2:$AH$1001,MATCH(ROWS($AF$2:AF126),$AF$2:$AF$1001,0),0), INDEX($AM$1004:$BM$1004,1,MATCH(COLUMNS($AM$1006:BF1006),$AM$1006:$BM$1006,0)))),"Fix")))</f>
        <v xml:space="preserve"> </v>
      </c>
      <c r="V126" s="4" t="str">
        <f ca="1">IF(OR(INDEX($AG$2:$AG$1001,MATCH(ROWS($AF$2:AF126),$AF$2:$AF$1001,0),1)&gt;=100000,INDEX($AM$1005:$BM$1005,1,MATCH(COLUMNS($AM$1006:BG1006),$AM$1006:$BM$1006,0))&gt;=100000), " ",IF(INDEX($AM$2:$BM$1001,MATCH(ROWS($AF$2:AF126),$AF$2:$AF$1001,0),MATCH(COLUMNS($AM$1006:BG1006),$AM$1006:$BM$1006,0)), HYPERLINK("#",""), HYPERLINK(CONCATENATE("#metadata!", ADDRESS(INDEX($AH$2:$AH$1001,MATCH(ROWS($AF$2:AF126),$AF$2:$AF$1001,0),0), INDEX($AM$1004:$BM$1004,1,MATCH(COLUMNS($AM$1006:BG1006),$AM$1006:$BM$1006,0)))),"Fix")))</f>
        <v xml:space="preserve"> </v>
      </c>
      <c r="W126" s="4" t="str">
        <f ca="1">IF(OR(INDEX($AG$2:$AG$1001,MATCH(ROWS($AF$2:AF126),$AF$2:$AF$1001,0),1)&gt;=100000,INDEX($AM$1005:$BM$1005,1,MATCH(COLUMNS($AM$1006:BH1006),$AM$1006:$BM$1006,0))&gt;=100000), " ",IF(INDEX($AM$2:$BM$1001,MATCH(ROWS($AF$2:AF126),$AF$2:$AF$1001,0),MATCH(COLUMNS($AM$1006:BH1006),$AM$1006:$BM$1006,0)), HYPERLINK("#",""), HYPERLINK(CONCATENATE("#metadata!", ADDRESS(INDEX($AH$2:$AH$1001,MATCH(ROWS($AF$2:AF126),$AF$2:$AF$1001,0),0), INDEX($AM$1004:$BM$1004,1,MATCH(COLUMNS($AM$1006:BH1006),$AM$1006:$BM$1006,0)))),"Fix")))</f>
        <v xml:space="preserve"> </v>
      </c>
      <c r="X126" s="4" t="str">
        <f ca="1">IF(OR(INDEX($AG$2:$AG$1001,MATCH(ROWS($AF$2:AF126),$AF$2:$AF$1001,0),1)&gt;=100000,INDEX($AM$1005:$BM$1005,1,MATCH(COLUMNS($AM$1006:BI1006),$AM$1006:$BM$1006,0))&gt;=100000), " ",IF(INDEX($AM$2:$BM$1001,MATCH(ROWS($AF$2:AF126),$AF$2:$AF$1001,0),MATCH(COLUMNS($AM$1006:BI1006),$AM$1006:$BM$1006,0)), HYPERLINK("#",""), HYPERLINK(CONCATENATE("#metadata!", ADDRESS(INDEX($AH$2:$AH$1001,MATCH(ROWS($AF$2:AF126),$AF$2:$AF$1001,0),0), INDEX($AM$1004:$BM$1004,1,MATCH(COLUMNS($AM$1006:BI1006),$AM$1006:$BM$1006,0)))),"Fix")))</f>
        <v xml:space="preserve"> </v>
      </c>
      <c r="Y126" s="4" t="str">
        <f ca="1">IF(OR(INDEX($AG$2:$AG$1001,MATCH(ROWS($AF$2:AF126),$AF$2:$AF$1001,0),1)&gt;=100000,INDEX($AM$1005:$BM$1005,1,MATCH(COLUMNS($AM$1006:BJ1006),$AM$1006:$BM$1006,0))&gt;=100000), " ",IF(INDEX($AM$2:$BM$1001,MATCH(ROWS($AF$2:AF126),$AF$2:$AF$1001,0),MATCH(COLUMNS($AM$1006:BJ1006),$AM$1006:$BM$1006,0)), HYPERLINK("#",""), HYPERLINK(CONCATENATE("#metadata!", ADDRESS(INDEX($AH$2:$AH$1001,MATCH(ROWS($AF$2:AF126),$AF$2:$AF$1001,0),0), INDEX($AM$1004:$BM$1004,1,MATCH(COLUMNS($AM$1006:BJ1006),$AM$1006:$BM$1006,0)))),"Fix")))</f>
        <v xml:space="preserve"> </v>
      </c>
      <c r="Z126" s="4" t="str">
        <f ca="1">IF(OR(INDEX($AG$2:$AG$1001,MATCH(ROWS($AF$2:AF126),$AF$2:$AF$1001,0),1)&gt;=100000,INDEX($AM$1005:$BM$1005,1,MATCH(COLUMNS($AM$1006:BK1006),$AM$1006:$BM$1006,0))&gt;=100000), " ",IF(INDEX($AM$2:$BM$1001,MATCH(ROWS($AF$2:AF126),$AF$2:$AF$1001,0),MATCH(COLUMNS($AM$1006:BK1006),$AM$1006:$BM$1006,0)), HYPERLINK("#",""), HYPERLINK(CONCATENATE("#metadata!", ADDRESS(INDEX($AH$2:$AH$1001,MATCH(ROWS($AF$2:AF126),$AF$2:$AF$1001,0),0), INDEX($AM$1004:$BM$1004,1,MATCH(COLUMNS($AM$1006:BK1006),$AM$1006:$BM$1006,0)))),"Fix")))</f>
        <v xml:space="preserve"> </v>
      </c>
      <c r="AA126" s="4" t="str">
        <f ca="1">IF(OR(INDEX($AG$2:$AG$1001,MATCH(ROWS($AF$2:AF126),$AF$2:$AF$1001,0),1)&gt;=100000,INDEX($AM$1005:$BM$1005,1,MATCH(COLUMNS($AM$1006:BL1006),$AM$1006:$BM$1006,0))&gt;=100000), " ",IF(INDEX($AM$2:$BM$1001,MATCH(ROWS($AF$2:AF126),$AF$2:$AF$1001,0),MATCH(COLUMNS($AM$1006:BL1006),$AM$1006:$BM$1006,0)), HYPERLINK("#",""), HYPERLINK(CONCATENATE("#metadata!", ADDRESS(INDEX($AH$2:$AH$1001,MATCH(ROWS($AF$2:AF126),$AF$2:$AF$1001,0),0), INDEX($AM$1004:$BM$1004,1,MATCH(COLUMNS($AM$1006:BL1006),$AM$1006:$BM$1006,0)))),"Fix")))</f>
        <v xml:space="preserve"> </v>
      </c>
      <c r="AB126" s="4" t="str">
        <f ca="1">IF(OR(INDEX($AG$2:$AG$1001,MATCH(ROWS($AF$2:AF126),$AF$2:$AF$1001,0),1)&gt;=100000,INDEX($AM$1005:$BM$1005,1,MATCH(COLUMNS($AM$1006:BM1006),$AM$1006:$BM$1006,0))&gt;=100000), " ",IF(INDEX($AM$2:$BM$1001,MATCH(ROWS($AF$2:AF126),$AF$2:$AF$1001,0),MATCH(COLUMNS($AM$1006:BM1006),$AM$1006:$BM$1006,0)), HYPERLINK("#",""), HYPERLINK(CONCATENATE("#metadata!", ADDRESS(INDEX($AH$2:$AH$1001,MATCH(ROWS($AF$2:AF126),$AF$2:$AF$1001,0),0), INDEX($AM$1004:$BM$1004,1,MATCH(COLUMNS($AM$1006:BM1006),$AM$1006:$BM$1006,0)))),"Fix")))</f>
        <v xml:space="preserve"> </v>
      </c>
      <c r="AF126">
        <v>125</v>
      </c>
      <c r="AG126">
        <v>100126</v>
      </c>
      <c r="AH126">
        <v>126</v>
      </c>
      <c r="AI126" t="b">
        <f t="shared" si="1"/>
        <v>1</v>
      </c>
      <c r="AJ126" t="b">
        <f>COUNTBLANK(metadata!B126:AB126)=COLUMNS(metadata!B126:AB126)</f>
        <v>1</v>
      </c>
      <c r="AK126" t="str">
        <v/>
      </c>
      <c r="AM126" t="b">
        <f ca="1">AND(IF(metadata!B126="",FALSE,TRUE),COUNTIF(metadata!B:B, metadata!B126) = 1,NOT(ISERROR(SUMPRODUCT(SEARCH(MID(metadata!B126,ROW(INDIRECT("1:"&amp;LEN(metadata!B126))), 1),"0123456789abcdefghijklmnopqrstuvwxyzABCDEFGHIJKLMNOPQRSTUVWXYZ.")))))</f>
        <v>0</v>
      </c>
      <c r="AN126" t="b">
        <f ca="1">OR(AND(IF(metadata!C126="",FALSE,TRUE),OR(EXACT(metadata!C126,"missing: not collected"),EXACT(metadata!C126,"missing: not provided"),EXACT(metadata!C126,"missing: restricted access"))),AND(IF(metadata!C126="",FALSE,TRUE),AND(AND(IFERROR(INT(LEFT(metadata!C126,4))&gt;1900,FALSE),IFERROR(INT(LEFT(metadata!C126,4))&lt;=YEAR(NOW()),FALSE)), OR(MID(metadata!C126,5,1)="", AND(AND(MID(metadata!C126,5,1)="-",IFERROR(INT(MID(metadata!C126,6,1))&gt;=0,FALSE),IFERROR(INT(MID(metadata!C126,6,1))&lt;=1,FALSE),NOT(MID(metadata!C126,7,1)=""),IFERROR(INT(MID(metadata!C126,6,2))&gt;=1,FALSE),IFERROR(INT(MID(metadata!C126,6,2))&lt;=12,FALSE)), OR(MID(metadata!C126,8,1)="", AND(AND(MID(metadata!C126,8,1)="-",IFERROR(INT(MID(metadata!C126,9,1))&gt;=0,FALSE),IFERROR(INT(MID(metadata!C126,9,1))&lt;=3,FALSE),NOT(MID(metadata!C126,10,1)=""),IFERROR(INT(MID(metadata!C126,9,2))&gt;=1,FALSE),IFERROR(INT(MID(metadata!C126,9,2))&lt;=31,FALSE)), OR(MID(metadata!C126,11,1)="", AND(AND(MID(metadata!C126,11,1)=" ",IFERROR(INT(MID(metadata!C126,12,1))&gt;=0,FALSE),IFERROR(INT(MID(metadata!C126,12,1))&lt;=2,FALSE),NOT(MID(metadata!C126,13,1)=""),IFERROR(INT(MID(metadata!C126,12,2))&gt;=0,FALSE),IFERROR(INT(MID(metadata!C126,12,2))&lt;=23,FALSE)), OR(MID(metadata!C126,14,1)="", AND(AND(MID(metadata!C126,14,1)=":",IFERROR(INT(MID(metadata!C126,15,1))&gt;=0,FALSE),IFERROR(INT(MID(metadata!C126,15,1))&lt;=5,FALSE),NOT(MID(metadata!C126,16,1)=""),IFERROR(INT(MID(metadata!C126,15,2))&gt;=0,FALSE),IFERROR(INT(MID(metadata!C126,15,2))&lt;=59,FALSE)), OR(MID(metadata!C126,17,1)="", AND(AND(MID(metadata!C126,17,1)=":",IFERROR(INT(MID(metadata!C126,18,1))&gt;=0,FALSE),IFERROR(INT(MID(metadata!C126,18,1))&lt;=5,FALSE),NOT(MID(metadata!C126,19,1)=""),IFERROR(INT(MID(metadata!C126,18,2))&gt;=0,FALSE),IFERROR(INT(MID(metadata!C126,18,2))&lt;=59,FALSE)), LEN(metadata!C126)&lt;=19)))))))))))))</f>
        <v>0</v>
      </c>
      <c r="AO126" t="b">
        <f>AND(IF(metadata!D126="",FALSE,TRUE),EXACT(metadata!D126,"Not applicable"))</f>
        <v>0</v>
      </c>
      <c r="AP126" t="b">
        <f>IF(metadata!E126="",FALSE,TRUE)</f>
        <v>0</v>
      </c>
      <c r="AQ126" t="b">
        <f>OR(AND(IF(metadata!F126="",FALSE,TRUE),OR(EXACT(metadata!F126,"missing: not collected"),EXACT(metadata!F126,"missing: not provided"))),AND(IF(metadata!F126="",FALSE,TRUE),OR(EXACT(metadata!F126,"TRUE"),EXACT(metadata!F126,"FALSE"))))</f>
        <v>0</v>
      </c>
      <c r="AR126" t="b">
        <f>OR(AND(IF(metadata!G126="",FALSE,TRUE),OR(EXACT(metadata!G126,"missing: not collected"),EXACT(metadata!G126,"missing: not provided"),EXACT(metadata!G126,"missing: restricted access"))),AND(IF(metadata!G126="",FALSE,ISNUMBER(VALUE(metadata!G126))),metadata!G126&gt;=-413))</f>
        <v>0</v>
      </c>
      <c r="AS126" t="b">
        <f>AND(IF(metadata!H126="",FALSE,TRUE),EXACT(metadata!H126,"meters"))</f>
        <v>0</v>
      </c>
      <c r="AT126" t="b">
        <f>AND(IF(metadata!I126="",FALSE,TRUE),OR(EXACT(metadata!I126,"Host-associated"),EXACT(metadata!I126,"Free-living")))</f>
        <v>0</v>
      </c>
      <c r="AU126" t="b">
        <f>AND(IF(metadata!J126="",FALSE,TRUE),OR(EXACT(metadata!J126,"Animal"),EXACT(metadata!J126,"Fungus"),EXACT(metadata!J126,"Plant"),EXACT(metadata!J126,"Saline"),EXACT(metadata!J126,"Non-saline")))</f>
        <v>0</v>
      </c>
      <c r="AV126" t="b">
        <f>AND(IF(metadata!K126="",FALSE,TRUE),OR(EXACT(metadata!K126,"Plant secretion"),EXACT(metadata!K126,"Plant rhizosphere"),EXACT(metadata!K126,"Plant surface"),EXACT(metadata!K126,"Plant corpus"),EXACT(metadata!K126,"Fungus surface"),EXACT(metadata!K126,"Fungus corpus"),EXACT(metadata!K126,"Animal surface"),EXACT(metadata!K126,"Animal proximal gut"),EXACT(metadata!K126,"Animal corpus"),EXACT(metadata!K126,"Animal distal gut"),EXACT(metadata!K126,"Animal secretion"),EXACT(metadata!K126,"Sub-surface (non-saline)"),EXACT(metadata!K126,"Surface (non-saline)"),EXACT(metadata!K126,"Water (non-saline)"),EXACT(metadata!K126,"Soil (non-saline)"),EXACT(metadata!K126,"Aerosol (non-saline)"),EXACT(metadata!K126,"Sediment (non-saline)"),EXACT(metadata!K126,"Surface (saline)"),EXACT(metadata!K126,"Water (saline)"),EXACT(metadata!K126,"Hypersaline (saline)"),EXACT(metadata!K126,"Aerosol (saline)"),EXACT(metadata!K126,"Sediment (saline)")))</f>
        <v>0</v>
      </c>
      <c r="AW126" t="b">
        <f>IF(metadata!L126="",FALSE,TRUE)</f>
        <v>0</v>
      </c>
      <c r="AX126" t="b">
        <f>IF(metadata!M126="",FALSE,TRUE)</f>
        <v>0</v>
      </c>
      <c r="AY126" t="b">
        <f>IF(metadata!N126="",FALSE,TRUE)</f>
        <v>0</v>
      </c>
      <c r="AZ126" t="b">
        <f>OR(AND(IF(metadata!O126="",FALSE,TRUE),OR(EXACT(metadata!O126,"missing: not collected"),EXACT(metadata!O126,"missing: not provided"),EXACT(metadata!O126,"missing: restricted access"))),AND(IF(metadata!O126="",FALSE,TRUE),OR(EXACT(metadata!O126,"air"),EXACT(metadata!O126,"built environment"),EXACT(metadata!O126,"host-associated"),EXACT(metadata!O126,"human-associated"),EXACT(metadata!O126,"human-skin"),EXACT(metadata!O126,"human-oral"),EXACT(metadata!O126,"human-gut"),EXACT(metadata!O126,"human-vaginal"),EXACT(metadata!O126,"microbial mat/biofilm"),EXACT(metadata!O126,"misc environment"),EXACT(metadata!O126,"plant-associated"),EXACT(metadata!O126,"sediment"),EXACT(metadata!O126,"soil"),EXACT(metadata!O126,"wastewater/sludge"),EXACT(metadata!O126,"water"))))</f>
        <v>0</v>
      </c>
      <c r="BA126" t="b">
        <f>IF(metadata!P126="",FALSE,TRUE)</f>
        <v>0</v>
      </c>
      <c r="BB126" t="b">
        <f>IF(metadata!Q126="",FALSE,TRUE)</f>
        <v>0</v>
      </c>
      <c r="BC126" t="b">
        <f>OR(AND(IF(metadata!R126="",FALSE,TRUE),OR(EXACT(metadata!R126,"missing: not collected"),EXACT(metadata!R126,"missing: not provided"),EXACT(metadata!R126,"missing: restricted access"))),AND(IF(metadata!R126="",FALSE,ISNUMBER(VALUE(metadata!R126))),metadata!R126&gt;=-90,metadata!R126&lt;=90))</f>
        <v>0</v>
      </c>
      <c r="BD126" t="b">
        <f>AND(IF(metadata!S126="",FALSE,TRUE),EXACT(metadata!S126,"Decimal degrees"))</f>
        <v>0</v>
      </c>
      <c r="BE126" t="b">
        <f>OR(AND(IF(metadata!T126="",FALSE,TRUE),OR(EXACT(metadata!T126,"missing: not collected"),EXACT(metadata!T126,"missing: not provided"),EXACT(metadata!T126,"missing: restricted access"))),AND(IF(metadata!T126="",FALSE,ISNUMBER(VALUE(metadata!T126))),metadata!T126&gt;=-180,metadata!T126&lt;=180))</f>
        <v>0</v>
      </c>
      <c r="BF126" t="b">
        <f>AND(IF(metadata!U126="",FALSE,TRUE),EXACT(metadata!U126,"Decimal degrees"))</f>
        <v>0</v>
      </c>
      <c r="BG126" t="b">
        <f>IF(metadata!V126="",FALSE,TRUE)</f>
        <v>0</v>
      </c>
      <c r="BH126" t="b">
        <f>OR(AND(IF(metadata!W126="",FALSE,TRUE),OR(EXACT(metadata!W126,"missing: not collected"),EXACT(metadata!W126,"missing: not provided"),EXACT(metadata!W126,"missing: restricted access"))),AND(IF(metadata!W126="",FALSE,TRUE),OR(EXACT(metadata!W126,"TRUE"),EXACT(metadata!W126,"FALSE"))))</f>
        <v>0</v>
      </c>
      <c r="BI126" t="b">
        <f>AND(IF(metadata!X126="",FALSE,TRUE),EXACT(metadata!X126,"other"))</f>
        <v>0</v>
      </c>
      <c r="BJ126" t="b">
        <f>IF(metadata!Y126="",FALSE,TRUE)</f>
        <v>0</v>
      </c>
      <c r="BK126" t="b">
        <f>OR(AND(IF(metadata!Z126="",FALSE,TRUE),OR(EXACT(metadata!Z126,"missing: not collected"),EXACT(metadata!Z126,"missing: not provided"))),AND(IF(metadata!Z126="",FALSE,IF(ISERROR(INT(metadata!Z126)),FALSE,INT(metadata!Z126)=metadata!Z126)),metadata!Z126&gt;0))</f>
        <v>0</v>
      </c>
      <c r="BL126" t="b">
        <f>AND(IF(metadata!AA126="",FALSE,TRUE),EXACT(metadata!AA126,"Not applicable"))</f>
        <v>0</v>
      </c>
      <c r="BM126" t="b">
        <f>IF(metadata!AB126="",FALSE,TRUE)</f>
        <v>0</v>
      </c>
    </row>
    <row r="127" spans="1:65" x14ac:dyDescent="0.2">
      <c r="A127" s="5" t="str">
        <f ca="1">IF(B127=" "," ",HYPERLINK(CONCATENATE("#metadata!",ADDRESS(INDEX($AH$2:$AH$1001,MATCH(ROWS($AF$2:AF127),$AF$2:$AF$1001,0),0),1)),INDEX($AK$2:$AK$1001,MATCH(ROWS($AF$2:AF127),$AF$2:$AF$1001,0),0)))</f>
        <v xml:space="preserve"> </v>
      </c>
      <c r="B127" s="4" t="str">
        <f ca="1">IF(OR(INDEX($AG$2:$AG$1001,MATCH(ROWS($AF$2:AF127),$AF$2:$AF$1001,0),1)&gt;=100000,INDEX($AM$1005:$BM$1005,1,MATCH(COLUMNS($AM$1006:AM1006),$AM$1006:$BM$1006,0))&gt;=100000), " ",IF(INDEX($AM$2:$BM$1001,MATCH(ROWS($AF$2:AF127),$AF$2:$AF$1001,0),MATCH(COLUMNS($AM$1006:AM1006),$AM$1006:$BM$1006,0)), HYPERLINK("#",""), HYPERLINK(CONCATENATE("#metadata!", ADDRESS(INDEX($AH$2:$AH$1001,MATCH(ROWS($AF$2:AF127),$AF$2:$AF$1001,0),0), INDEX($AM$1004:$BM$1004,1,MATCH(COLUMNS($AM$1006:AM1006),$AM$1006:$BM$1006,0)))),"Fix")))</f>
        <v xml:space="preserve"> </v>
      </c>
      <c r="C127" s="4" t="str">
        <f ca="1">IF(OR(INDEX($AG$2:$AG$1001,MATCH(ROWS($AF$2:AF127),$AF$2:$AF$1001,0),1)&gt;=100000,INDEX($AM$1005:$BM$1005,1,MATCH(COLUMNS($AM$1006:AN1006),$AM$1006:$BM$1006,0))&gt;=100000), " ",IF(INDEX($AM$2:$BM$1001,MATCH(ROWS($AF$2:AF127),$AF$2:$AF$1001,0),MATCH(COLUMNS($AM$1006:AN1006),$AM$1006:$BM$1006,0)), HYPERLINK("#",""), HYPERLINK(CONCATENATE("#metadata!", ADDRESS(INDEX($AH$2:$AH$1001,MATCH(ROWS($AF$2:AF127),$AF$2:$AF$1001,0),0), INDEX($AM$1004:$BM$1004,1,MATCH(COLUMNS($AM$1006:AN1006),$AM$1006:$BM$1006,0)))),"Fix")))</f>
        <v xml:space="preserve"> </v>
      </c>
      <c r="D127" s="4" t="str">
        <f ca="1">IF(OR(INDEX($AG$2:$AG$1001,MATCH(ROWS($AF$2:AF127),$AF$2:$AF$1001,0),1)&gt;=100000,INDEX($AM$1005:$BM$1005,1,MATCH(COLUMNS($AM$1006:AO1006),$AM$1006:$BM$1006,0))&gt;=100000), " ",IF(INDEX($AM$2:$BM$1001,MATCH(ROWS($AF$2:AF127),$AF$2:$AF$1001,0),MATCH(COLUMNS($AM$1006:AO1006),$AM$1006:$BM$1006,0)), HYPERLINK("#",""), HYPERLINK(CONCATENATE("#metadata!", ADDRESS(INDEX($AH$2:$AH$1001,MATCH(ROWS($AF$2:AF127),$AF$2:$AF$1001,0),0), INDEX($AM$1004:$BM$1004,1,MATCH(COLUMNS($AM$1006:AO1006),$AM$1006:$BM$1006,0)))),"Fix")))</f>
        <v xml:space="preserve"> </v>
      </c>
      <c r="E127" s="4" t="str">
        <f ca="1">IF(OR(INDEX($AG$2:$AG$1001,MATCH(ROWS($AF$2:AF127),$AF$2:$AF$1001,0),1)&gt;=100000,INDEX($AM$1005:$BM$1005,1,MATCH(COLUMNS($AM$1006:AP1006),$AM$1006:$BM$1006,0))&gt;=100000), " ",IF(INDEX($AM$2:$BM$1001,MATCH(ROWS($AF$2:AF127),$AF$2:$AF$1001,0),MATCH(COLUMNS($AM$1006:AP1006),$AM$1006:$BM$1006,0)), HYPERLINK("#",""), HYPERLINK(CONCATENATE("#metadata!", ADDRESS(INDEX($AH$2:$AH$1001,MATCH(ROWS($AF$2:AF127),$AF$2:$AF$1001,0),0), INDEX($AM$1004:$BM$1004,1,MATCH(COLUMNS($AM$1006:AP1006),$AM$1006:$BM$1006,0)))),"Fix")))</f>
        <v xml:space="preserve"> </v>
      </c>
      <c r="F127" s="4" t="str">
        <f ca="1">IF(OR(INDEX($AG$2:$AG$1001,MATCH(ROWS($AF$2:AF127),$AF$2:$AF$1001,0),1)&gt;=100000,INDEX($AM$1005:$BM$1005,1,MATCH(COLUMNS($AM$1006:AQ1006),$AM$1006:$BM$1006,0))&gt;=100000), " ",IF(INDEX($AM$2:$BM$1001,MATCH(ROWS($AF$2:AF127),$AF$2:$AF$1001,0),MATCH(COLUMNS($AM$1006:AQ1006),$AM$1006:$BM$1006,0)), HYPERLINK("#",""), HYPERLINK(CONCATENATE("#metadata!", ADDRESS(INDEX($AH$2:$AH$1001,MATCH(ROWS($AF$2:AF127),$AF$2:$AF$1001,0),0), INDEX($AM$1004:$BM$1004,1,MATCH(COLUMNS($AM$1006:AQ1006),$AM$1006:$BM$1006,0)))),"Fix")))</f>
        <v xml:space="preserve"> </v>
      </c>
      <c r="G127" s="4" t="str">
        <f ca="1">IF(OR(INDEX($AG$2:$AG$1001,MATCH(ROWS($AF$2:AF127),$AF$2:$AF$1001,0),1)&gt;=100000,INDEX($AM$1005:$BM$1005,1,MATCH(COLUMNS($AM$1006:AR1006),$AM$1006:$BM$1006,0))&gt;=100000), " ",IF(INDEX($AM$2:$BM$1001,MATCH(ROWS($AF$2:AF127),$AF$2:$AF$1001,0),MATCH(COLUMNS($AM$1006:AR1006),$AM$1006:$BM$1006,0)), HYPERLINK("#",""), HYPERLINK(CONCATENATE("#metadata!", ADDRESS(INDEX($AH$2:$AH$1001,MATCH(ROWS($AF$2:AF127),$AF$2:$AF$1001,0),0), INDEX($AM$1004:$BM$1004,1,MATCH(COLUMNS($AM$1006:AR1006),$AM$1006:$BM$1006,0)))),"Fix")))</f>
        <v xml:space="preserve"> </v>
      </c>
      <c r="H127" s="4" t="str">
        <f ca="1">IF(OR(INDEX($AG$2:$AG$1001,MATCH(ROWS($AF$2:AF127),$AF$2:$AF$1001,0),1)&gt;=100000,INDEX($AM$1005:$BM$1005,1,MATCH(COLUMNS($AM$1006:AS1006),$AM$1006:$BM$1006,0))&gt;=100000), " ",IF(INDEX($AM$2:$BM$1001,MATCH(ROWS($AF$2:AF127),$AF$2:$AF$1001,0),MATCH(COLUMNS($AM$1006:AS1006),$AM$1006:$BM$1006,0)), HYPERLINK("#",""), HYPERLINK(CONCATENATE("#metadata!", ADDRESS(INDEX($AH$2:$AH$1001,MATCH(ROWS($AF$2:AF127),$AF$2:$AF$1001,0),0), INDEX($AM$1004:$BM$1004,1,MATCH(COLUMNS($AM$1006:AS1006),$AM$1006:$BM$1006,0)))),"Fix")))</f>
        <v xml:space="preserve"> </v>
      </c>
      <c r="I127" s="4" t="str">
        <f ca="1">IF(OR(INDEX($AG$2:$AG$1001,MATCH(ROWS($AF$2:AF127),$AF$2:$AF$1001,0),1)&gt;=100000,INDEX($AM$1005:$BM$1005,1,MATCH(COLUMNS($AM$1006:AT1006),$AM$1006:$BM$1006,0))&gt;=100000), " ",IF(INDEX($AM$2:$BM$1001,MATCH(ROWS($AF$2:AF127),$AF$2:$AF$1001,0),MATCH(COLUMNS($AM$1006:AT1006),$AM$1006:$BM$1006,0)), HYPERLINK("#",""), HYPERLINK(CONCATENATE("#metadata!", ADDRESS(INDEX($AH$2:$AH$1001,MATCH(ROWS($AF$2:AF127),$AF$2:$AF$1001,0),0), INDEX($AM$1004:$BM$1004,1,MATCH(COLUMNS($AM$1006:AT1006),$AM$1006:$BM$1006,0)))),"Fix")))</f>
        <v xml:space="preserve"> </v>
      </c>
      <c r="J127" s="4" t="str">
        <f ca="1">IF(OR(INDEX($AG$2:$AG$1001,MATCH(ROWS($AF$2:AF127),$AF$2:$AF$1001,0),1)&gt;=100000,INDEX($AM$1005:$BM$1005,1,MATCH(COLUMNS($AM$1006:AU1006),$AM$1006:$BM$1006,0))&gt;=100000), " ",IF(INDEX($AM$2:$BM$1001,MATCH(ROWS($AF$2:AF127),$AF$2:$AF$1001,0),MATCH(COLUMNS($AM$1006:AU1006),$AM$1006:$BM$1006,0)), HYPERLINK("#",""), HYPERLINK(CONCATENATE("#metadata!", ADDRESS(INDEX($AH$2:$AH$1001,MATCH(ROWS($AF$2:AF127),$AF$2:$AF$1001,0),0), INDEX($AM$1004:$BM$1004,1,MATCH(COLUMNS($AM$1006:AU1006),$AM$1006:$BM$1006,0)))),"Fix")))</f>
        <v xml:space="preserve"> </v>
      </c>
      <c r="K127" s="4" t="str">
        <f ca="1">IF(OR(INDEX($AG$2:$AG$1001,MATCH(ROWS($AF$2:AF127),$AF$2:$AF$1001,0),1)&gt;=100000,INDEX($AM$1005:$BM$1005,1,MATCH(COLUMNS($AM$1006:AV1006),$AM$1006:$BM$1006,0))&gt;=100000), " ",IF(INDEX($AM$2:$BM$1001,MATCH(ROWS($AF$2:AF127),$AF$2:$AF$1001,0),MATCH(COLUMNS($AM$1006:AV1006),$AM$1006:$BM$1006,0)), HYPERLINK("#",""), HYPERLINK(CONCATENATE("#metadata!", ADDRESS(INDEX($AH$2:$AH$1001,MATCH(ROWS($AF$2:AF127),$AF$2:$AF$1001,0),0), INDEX($AM$1004:$BM$1004,1,MATCH(COLUMNS($AM$1006:AV1006),$AM$1006:$BM$1006,0)))),"Fix")))</f>
        <v xml:space="preserve"> </v>
      </c>
      <c r="L127" s="4" t="str">
        <f ca="1">IF(OR(INDEX($AG$2:$AG$1001,MATCH(ROWS($AF$2:AF127),$AF$2:$AF$1001,0),1)&gt;=100000,INDEX($AM$1005:$BM$1005,1,MATCH(COLUMNS($AM$1006:AW1006),$AM$1006:$BM$1006,0))&gt;=100000), " ",IF(INDEX($AM$2:$BM$1001,MATCH(ROWS($AF$2:AF127),$AF$2:$AF$1001,0),MATCH(COLUMNS($AM$1006:AW1006),$AM$1006:$BM$1006,0)), HYPERLINK("#",""), HYPERLINK(CONCATENATE("#metadata!", ADDRESS(INDEX($AH$2:$AH$1001,MATCH(ROWS($AF$2:AF127),$AF$2:$AF$1001,0),0), INDEX($AM$1004:$BM$1004,1,MATCH(COLUMNS($AM$1006:AW1006),$AM$1006:$BM$1006,0)))),"Fix")))</f>
        <v xml:space="preserve"> </v>
      </c>
      <c r="M127" s="4" t="str">
        <f ca="1">IF(OR(INDEX($AG$2:$AG$1001,MATCH(ROWS($AF$2:AF127),$AF$2:$AF$1001,0),1)&gt;=100000,INDEX($AM$1005:$BM$1005,1,MATCH(COLUMNS($AM$1006:AX1006),$AM$1006:$BM$1006,0))&gt;=100000), " ",IF(INDEX($AM$2:$BM$1001,MATCH(ROWS($AF$2:AF127),$AF$2:$AF$1001,0),MATCH(COLUMNS($AM$1006:AX1006),$AM$1006:$BM$1006,0)), HYPERLINK("#",""), HYPERLINK(CONCATENATE("#metadata!", ADDRESS(INDEX($AH$2:$AH$1001,MATCH(ROWS($AF$2:AF127),$AF$2:$AF$1001,0),0), INDEX($AM$1004:$BM$1004,1,MATCH(COLUMNS($AM$1006:AX1006),$AM$1006:$BM$1006,0)))),"Fix")))</f>
        <v xml:space="preserve"> </v>
      </c>
      <c r="N127" s="4" t="str">
        <f ca="1">IF(OR(INDEX($AG$2:$AG$1001,MATCH(ROWS($AF$2:AF127),$AF$2:$AF$1001,0),1)&gt;=100000,INDEX($AM$1005:$BM$1005,1,MATCH(COLUMNS($AM$1006:AY1006),$AM$1006:$BM$1006,0))&gt;=100000), " ",IF(INDEX($AM$2:$BM$1001,MATCH(ROWS($AF$2:AF127),$AF$2:$AF$1001,0),MATCH(COLUMNS($AM$1006:AY1006),$AM$1006:$BM$1006,0)), HYPERLINK("#",""), HYPERLINK(CONCATENATE("#metadata!", ADDRESS(INDEX($AH$2:$AH$1001,MATCH(ROWS($AF$2:AF127),$AF$2:$AF$1001,0),0), INDEX($AM$1004:$BM$1004,1,MATCH(COLUMNS($AM$1006:AY1006),$AM$1006:$BM$1006,0)))),"Fix")))</f>
        <v xml:space="preserve"> </v>
      </c>
      <c r="O127" s="4" t="str">
        <f ca="1">IF(OR(INDEX($AG$2:$AG$1001,MATCH(ROWS($AF$2:AF127),$AF$2:$AF$1001,0),1)&gt;=100000,INDEX($AM$1005:$BM$1005,1,MATCH(COLUMNS($AM$1006:AZ1006),$AM$1006:$BM$1006,0))&gt;=100000), " ",IF(INDEX($AM$2:$BM$1001,MATCH(ROWS($AF$2:AF127),$AF$2:$AF$1001,0),MATCH(COLUMNS($AM$1006:AZ1006),$AM$1006:$BM$1006,0)), HYPERLINK("#",""), HYPERLINK(CONCATENATE("#metadata!", ADDRESS(INDEX($AH$2:$AH$1001,MATCH(ROWS($AF$2:AF127),$AF$2:$AF$1001,0),0), INDEX($AM$1004:$BM$1004,1,MATCH(COLUMNS($AM$1006:AZ1006),$AM$1006:$BM$1006,0)))),"Fix")))</f>
        <v xml:space="preserve"> </v>
      </c>
      <c r="P127" s="4" t="str">
        <f ca="1">IF(OR(INDEX($AG$2:$AG$1001,MATCH(ROWS($AF$2:AF127),$AF$2:$AF$1001,0),1)&gt;=100000,INDEX($AM$1005:$BM$1005,1,MATCH(COLUMNS($AM$1006:BA1006),$AM$1006:$BM$1006,0))&gt;=100000), " ",IF(INDEX($AM$2:$BM$1001,MATCH(ROWS($AF$2:AF127),$AF$2:$AF$1001,0),MATCH(COLUMNS($AM$1006:BA1006),$AM$1006:$BM$1006,0)), HYPERLINK("#",""), HYPERLINK(CONCATENATE("#metadata!", ADDRESS(INDEX($AH$2:$AH$1001,MATCH(ROWS($AF$2:AF127),$AF$2:$AF$1001,0),0), INDEX($AM$1004:$BM$1004,1,MATCH(COLUMNS($AM$1006:BA1006),$AM$1006:$BM$1006,0)))),"Fix")))</f>
        <v xml:space="preserve"> </v>
      </c>
      <c r="Q127" s="4" t="str">
        <f ca="1">IF(OR(INDEX($AG$2:$AG$1001,MATCH(ROWS($AF$2:AF127),$AF$2:$AF$1001,0),1)&gt;=100000,INDEX($AM$1005:$BM$1005,1,MATCH(COLUMNS($AM$1006:BB1006),$AM$1006:$BM$1006,0))&gt;=100000), " ",IF(INDEX($AM$2:$BM$1001,MATCH(ROWS($AF$2:AF127),$AF$2:$AF$1001,0),MATCH(COLUMNS($AM$1006:BB1006),$AM$1006:$BM$1006,0)), HYPERLINK("#",""), HYPERLINK(CONCATENATE("#metadata!", ADDRESS(INDEX($AH$2:$AH$1001,MATCH(ROWS($AF$2:AF127),$AF$2:$AF$1001,0),0), INDEX($AM$1004:$BM$1004,1,MATCH(COLUMNS($AM$1006:BB1006),$AM$1006:$BM$1006,0)))),"Fix")))</f>
        <v xml:space="preserve"> </v>
      </c>
      <c r="R127" s="4" t="str">
        <f ca="1">IF(OR(INDEX($AG$2:$AG$1001,MATCH(ROWS($AF$2:AF127),$AF$2:$AF$1001,0),1)&gt;=100000,INDEX($AM$1005:$BM$1005,1,MATCH(COLUMNS($AM$1006:BC1006),$AM$1006:$BM$1006,0))&gt;=100000), " ",IF(INDEX($AM$2:$BM$1001,MATCH(ROWS($AF$2:AF127),$AF$2:$AF$1001,0),MATCH(COLUMNS($AM$1006:BC1006),$AM$1006:$BM$1006,0)), HYPERLINK("#",""), HYPERLINK(CONCATENATE("#metadata!", ADDRESS(INDEX($AH$2:$AH$1001,MATCH(ROWS($AF$2:AF127),$AF$2:$AF$1001,0),0), INDEX($AM$1004:$BM$1004,1,MATCH(COLUMNS($AM$1006:BC1006),$AM$1006:$BM$1006,0)))),"Fix")))</f>
        <v xml:space="preserve"> </v>
      </c>
      <c r="S127" s="4" t="str">
        <f ca="1">IF(OR(INDEX($AG$2:$AG$1001,MATCH(ROWS($AF$2:AF127),$AF$2:$AF$1001,0),1)&gt;=100000,INDEX($AM$1005:$BM$1005,1,MATCH(COLUMNS($AM$1006:BD1006),$AM$1006:$BM$1006,0))&gt;=100000), " ",IF(INDEX($AM$2:$BM$1001,MATCH(ROWS($AF$2:AF127),$AF$2:$AF$1001,0),MATCH(COLUMNS($AM$1006:BD1006),$AM$1006:$BM$1006,0)), HYPERLINK("#",""), HYPERLINK(CONCATENATE("#metadata!", ADDRESS(INDEX($AH$2:$AH$1001,MATCH(ROWS($AF$2:AF127),$AF$2:$AF$1001,0),0), INDEX($AM$1004:$BM$1004,1,MATCH(COLUMNS($AM$1006:BD1006),$AM$1006:$BM$1006,0)))),"Fix")))</f>
        <v xml:space="preserve"> </v>
      </c>
      <c r="T127" s="4" t="str">
        <f ca="1">IF(OR(INDEX($AG$2:$AG$1001,MATCH(ROWS($AF$2:AF127),$AF$2:$AF$1001,0),1)&gt;=100000,INDEX($AM$1005:$BM$1005,1,MATCH(COLUMNS($AM$1006:BE1006),$AM$1006:$BM$1006,0))&gt;=100000), " ",IF(INDEX($AM$2:$BM$1001,MATCH(ROWS($AF$2:AF127),$AF$2:$AF$1001,0),MATCH(COLUMNS($AM$1006:BE1006),$AM$1006:$BM$1006,0)), HYPERLINK("#",""), HYPERLINK(CONCATENATE("#metadata!", ADDRESS(INDEX($AH$2:$AH$1001,MATCH(ROWS($AF$2:AF127),$AF$2:$AF$1001,0),0), INDEX($AM$1004:$BM$1004,1,MATCH(COLUMNS($AM$1006:BE1006),$AM$1006:$BM$1006,0)))),"Fix")))</f>
        <v xml:space="preserve"> </v>
      </c>
      <c r="U127" s="4" t="str">
        <f ca="1">IF(OR(INDEX($AG$2:$AG$1001,MATCH(ROWS($AF$2:AF127),$AF$2:$AF$1001,0),1)&gt;=100000,INDEX($AM$1005:$BM$1005,1,MATCH(COLUMNS($AM$1006:BF1006),$AM$1006:$BM$1006,0))&gt;=100000), " ",IF(INDEX($AM$2:$BM$1001,MATCH(ROWS($AF$2:AF127),$AF$2:$AF$1001,0),MATCH(COLUMNS($AM$1006:BF1006),$AM$1006:$BM$1006,0)), HYPERLINK("#",""), HYPERLINK(CONCATENATE("#metadata!", ADDRESS(INDEX($AH$2:$AH$1001,MATCH(ROWS($AF$2:AF127),$AF$2:$AF$1001,0),0), INDEX($AM$1004:$BM$1004,1,MATCH(COLUMNS($AM$1006:BF1006),$AM$1006:$BM$1006,0)))),"Fix")))</f>
        <v xml:space="preserve"> </v>
      </c>
      <c r="V127" s="4" t="str">
        <f ca="1">IF(OR(INDEX($AG$2:$AG$1001,MATCH(ROWS($AF$2:AF127),$AF$2:$AF$1001,0),1)&gt;=100000,INDEX($AM$1005:$BM$1005,1,MATCH(COLUMNS($AM$1006:BG1006),$AM$1006:$BM$1006,0))&gt;=100000), " ",IF(INDEX($AM$2:$BM$1001,MATCH(ROWS($AF$2:AF127),$AF$2:$AF$1001,0),MATCH(COLUMNS($AM$1006:BG1006),$AM$1006:$BM$1006,0)), HYPERLINK("#",""), HYPERLINK(CONCATENATE("#metadata!", ADDRESS(INDEX($AH$2:$AH$1001,MATCH(ROWS($AF$2:AF127),$AF$2:$AF$1001,0),0), INDEX($AM$1004:$BM$1004,1,MATCH(COLUMNS($AM$1006:BG1006),$AM$1006:$BM$1006,0)))),"Fix")))</f>
        <v xml:space="preserve"> </v>
      </c>
      <c r="W127" s="4" t="str">
        <f ca="1">IF(OR(INDEX($AG$2:$AG$1001,MATCH(ROWS($AF$2:AF127),$AF$2:$AF$1001,0),1)&gt;=100000,INDEX($AM$1005:$BM$1005,1,MATCH(COLUMNS($AM$1006:BH1006),$AM$1006:$BM$1006,0))&gt;=100000), " ",IF(INDEX($AM$2:$BM$1001,MATCH(ROWS($AF$2:AF127),$AF$2:$AF$1001,0),MATCH(COLUMNS($AM$1006:BH1006),$AM$1006:$BM$1006,0)), HYPERLINK("#",""), HYPERLINK(CONCATENATE("#metadata!", ADDRESS(INDEX($AH$2:$AH$1001,MATCH(ROWS($AF$2:AF127),$AF$2:$AF$1001,0),0), INDEX($AM$1004:$BM$1004,1,MATCH(COLUMNS($AM$1006:BH1006),$AM$1006:$BM$1006,0)))),"Fix")))</f>
        <v xml:space="preserve"> </v>
      </c>
      <c r="X127" s="4" t="str">
        <f ca="1">IF(OR(INDEX($AG$2:$AG$1001,MATCH(ROWS($AF$2:AF127),$AF$2:$AF$1001,0),1)&gt;=100000,INDEX($AM$1005:$BM$1005,1,MATCH(COLUMNS($AM$1006:BI1006),$AM$1006:$BM$1006,0))&gt;=100000), " ",IF(INDEX($AM$2:$BM$1001,MATCH(ROWS($AF$2:AF127),$AF$2:$AF$1001,0),MATCH(COLUMNS($AM$1006:BI1006),$AM$1006:$BM$1006,0)), HYPERLINK("#",""), HYPERLINK(CONCATENATE("#metadata!", ADDRESS(INDEX($AH$2:$AH$1001,MATCH(ROWS($AF$2:AF127),$AF$2:$AF$1001,0),0), INDEX($AM$1004:$BM$1004,1,MATCH(COLUMNS($AM$1006:BI1006),$AM$1006:$BM$1006,0)))),"Fix")))</f>
        <v xml:space="preserve"> </v>
      </c>
      <c r="Y127" s="4" t="str">
        <f ca="1">IF(OR(INDEX($AG$2:$AG$1001,MATCH(ROWS($AF$2:AF127),$AF$2:$AF$1001,0),1)&gt;=100000,INDEX($AM$1005:$BM$1005,1,MATCH(COLUMNS($AM$1006:BJ1006),$AM$1006:$BM$1006,0))&gt;=100000), " ",IF(INDEX($AM$2:$BM$1001,MATCH(ROWS($AF$2:AF127),$AF$2:$AF$1001,0),MATCH(COLUMNS($AM$1006:BJ1006),$AM$1006:$BM$1006,0)), HYPERLINK("#",""), HYPERLINK(CONCATENATE("#metadata!", ADDRESS(INDEX($AH$2:$AH$1001,MATCH(ROWS($AF$2:AF127),$AF$2:$AF$1001,0),0), INDEX($AM$1004:$BM$1004,1,MATCH(COLUMNS($AM$1006:BJ1006),$AM$1006:$BM$1006,0)))),"Fix")))</f>
        <v xml:space="preserve"> </v>
      </c>
      <c r="Z127" s="4" t="str">
        <f ca="1">IF(OR(INDEX($AG$2:$AG$1001,MATCH(ROWS($AF$2:AF127),$AF$2:$AF$1001,0),1)&gt;=100000,INDEX($AM$1005:$BM$1005,1,MATCH(COLUMNS($AM$1006:BK1006),$AM$1006:$BM$1006,0))&gt;=100000), " ",IF(INDEX($AM$2:$BM$1001,MATCH(ROWS($AF$2:AF127),$AF$2:$AF$1001,0),MATCH(COLUMNS($AM$1006:BK1006),$AM$1006:$BM$1006,0)), HYPERLINK("#",""), HYPERLINK(CONCATENATE("#metadata!", ADDRESS(INDEX($AH$2:$AH$1001,MATCH(ROWS($AF$2:AF127),$AF$2:$AF$1001,0),0), INDEX($AM$1004:$BM$1004,1,MATCH(COLUMNS($AM$1006:BK1006),$AM$1006:$BM$1006,0)))),"Fix")))</f>
        <v xml:space="preserve"> </v>
      </c>
      <c r="AA127" s="4" t="str">
        <f ca="1">IF(OR(INDEX($AG$2:$AG$1001,MATCH(ROWS($AF$2:AF127),$AF$2:$AF$1001,0),1)&gt;=100000,INDEX($AM$1005:$BM$1005,1,MATCH(COLUMNS($AM$1006:BL1006),$AM$1006:$BM$1006,0))&gt;=100000), " ",IF(INDEX($AM$2:$BM$1001,MATCH(ROWS($AF$2:AF127),$AF$2:$AF$1001,0),MATCH(COLUMNS($AM$1006:BL1006),$AM$1006:$BM$1006,0)), HYPERLINK("#",""), HYPERLINK(CONCATENATE("#metadata!", ADDRESS(INDEX($AH$2:$AH$1001,MATCH(ROWS($AF$2:AF127),$AF$2:$AF$1001,0),0), INDEX($AM$1004:$BM$1004,1,MATCH(COLUMNS($AM$1006:BL1006),$AM$1006:$BM$1006,0)))),"Fix")))</f>
        <v xml:space="preserve"> </v>
      </c>
      <c r="AB127" s="4" t="str">
        <f ca="1">IF(OR(INDEX($AG$2:$AG$1001,MATCH(ROWS($AF$2:AF127),$AF$2:$AF$1001,0),1)&gt;=100000,INDEX($AM$1005:$BM$1005,1,MATCH(COLUMNS($AM$1006:BM1006),$AM$1006:$BM$1006,0))&gt;=100000), " ",IF(INDEX($AM$2:$BM$1001,MATCH(ROWS($AF$2:AF127),$AF$2:$AF$1001,0),MATCH(COLUMNS($AM$1006:BM1006),$AM$1006:$BM$1006,0)), HYPERLINK("#",""), HYPERLINK(CONCATENATE("#metadata!", ADDRESS(INDEX($AH$2:$AH$1001,MATCH(ROWS($AF$2:AF127),$AF$2:$AF$1001,0),0), INDEX($AM$1004:$BM$1004,1,MATCH(COLUMNS($AM$1006:BM1006),$AM$1006:$BM$1006,0)))),"Fix")))</f>
        <v xml:space="preserve"> </v>
      </c>
      <c r="AF127">
        <v>126</v>
      </c>
      <c r="AG127">
        <v>100127</v>
      </c>
      <c r="AH127">
        <v>127</v>
      </c>
      <c r="AI127" t="b">
        <f t="shared" si="1"/>
        <v>1</v>
      </c>
      <c r="AJ127" t="b">
        <f>COUNTBLANK(metadata!B127:AB127)=COLUMNS(metadata!B127:AB127)</f>
        <v>1</v>
      </c>
      <c r="AK127" t="str">
        <v/>
      </c>
      <c r="AM127" t="b">
        <f ca="1">AND(IF(metadata!B127="",FALSE,TRUE),COUNTIF(metadata!B:B, metadata!B127) = 1,NOT(ISERROR(SUMPRODUCT(SEARCH(MID(metadata!B127,ROW(INDIRECT("1:"&amp;LEN(metadata!B127))), 1),"0123456789abcdefghijklmnopqrstuvwxyzABCDEFGHIJKLMNOPQRSTUVWXYZ.")))))</f>
        <v>0</v>
      </c>
      <c r="AN127" t="b">
        <f ca="1">OR(AND(IF(metadata!C127="",FALSE,TRUE),OR(EXACT(metadata!C127,"missing: not collected"),EXACT(metadata!C127,"missing: not provided"),EXACT(metadata!C127,"missing: restricted access"))),AND(IF(metadata!C127="",FALSE,TRUE),AND(AND(IFERROR(INT(LEFT(metadata!C127,4))&gt;1900,FALSE),IFERROR(INT(LEFT(metadata!C127,4))&lt;=YEAR(NOW()),FALSE)), OR(MID(metadata!C127,5,1)="", AND(AND(MID(metadata!C127,5,1)="-",IFERROR(INT(MID(metadata!C127,6,1))&gt;=0,FALSE),IFERROR(INT(MID(metadata!C127,6,1))&lt;=1,FALSE),NOT(MID(metadata!C127,7,1)=""),IFERROR(INT(MID(metadata!C127,6,2))&gt;=1,FALSE),IFERROR(INT(MID(metadata!C127,6,2))&lt;=12,FALSE)), OR(MID(metadata!C127,8,1)="", AND(AND(MID(metadata!C127,8,1)="-",IFERROR(INT(MID(metadata!C127,9,1))&gt;=0,FALSE),IFERROR(INT(MID(metadata!C127,9,1))&lt;=3,FALSE),NOT(MID(metadata!C127,10,1)=""),IFERROR(INT(MID(metadata!C127,9,2))&gt;=1,FALSE),IFERROR(INT(MID(metadata!C127,9,2))&lt;=31,FALSE)), OR(MID(metadata!C127,11,1)="", AND(AND(MID(metadata!C127,11,1)=" ",IFERROR(INT(MID(metadata!C127,12,1))&gt;=0,FALSE),IFERROR(INT(MID(metadata!C127,12,1))&lt;=2,FALSE),NOT(MID(metadata!C127,13,1)=""),IFERROR(INT(MID(metadata!C127,12,2))&gt;=0,FALSE),IFERROR(INT(MID(metadata!C127,12,2))&lt;=23,FALSE)), OR(MID(metadata!C127,14,1)="", AND(AND(MID(metadata!C127,14,1)=":",IFERROR(INT(MID(metadata!C127,15,1))&gt;=0,FALSE),IFERROR(INT(MID(metadata!C127,15,1))&lt;=5,FALSE),NOT(MID(metadata!C127,16,1)=""),IFERROR(INT(MID(metadata!C127,15,2))&gt;=0,FALSE),IFERROR(INT(MID(metadata!C127,15,2))&lt;=59,FALSE)), OR(MID(metadata!C127,17,1)="", AND(AND(MID(metadata!C127,17,1)=":",IFERROR(INT(MID(metadata!C127,18,1))&gt;=0,FALSE),IFERROR(INT(MID(metadata!C127,18,1))&lt;=5,FALSE),NOT(MID(metadata!C127,19,1)=""),IFERROR(INT(MID(metadata!C127,18,2))&gt;=0,FALSE),IFERROR(INT(MID(metadata!C127,18,2))&lt;=59,FALSE)), LEN(metadata!C127)&lt;=19)))))))))))))</f>
        <v>0</v>
      </c>
      <c r="AO127" t="b">
        <f>AND(IF(metadata!D127="",FALSE,TRUE),EXACT(metadata!D127,"Not applicable"))</f>
        <v>0</v>
      </c>
      <c r="AP127" t="b">
        <f>IF(metadata!E127="",FALSE,TRUE)</f>
        <v>0</v>
      </c>
      <c r="AQ127" t="b">
        <f>OR(AND(IF(metadata!F127="",FALSE,TRUE),OR(EXACT(metadata!F127,"missing: not collected"),EXACT(metadata!F127,"missing: not provided"))),AND(IF(metadata!F127="",FALSE,TRUE),OR(EXACT(metadata!F127,"TRUE"),EXACT(metadata!F127,"FALSE"))))</f>
        <v>0</v>
      </c>
      <c r="AR127" t="b">
        <f>OR(AND(IF(metadata!G127="",FALSE,TRUE),OR(EXACT(metadata!G127,"missing: not collected"),EXACT(metadata!G127,"missing: not provided"),EXACT(metadata!G127,"missing: restricted access"))),AND(IF(metadata!G127="",FALSE,ISNUMBER(VALUE(metadata!G127))),metadata!G127&gt;=-413))</f>
        <v>0</v>
      </c>
      <c r="AS127" t="b">
        <f>AND(IF(metadata!H127="",FALSE,TRUE),EXACT(metadata!H127,"meters"))</f>
        <v>0</v>
      </c>
      <c r="AT127" t="b">
        <f>AND(IF(metadata!I127="",FALSE,TRUE),OR(EXACT(metadata!I127,"Host-associated"),EXACT(metadata!I127,"Free-living")))</f>
        <v>0</v>
      </c>
      <c r="AU127" t="b">
        <f>AND(IF(metadata!J127="",FALSE,TRUE),OR(EXACT(metadata!J127,"Animal"),EXACT(metadata!J127,"Fungus"),EXACT(metadata!J127,"Plant"),EXACT(metadata!J127,"Saline"),EXACT(metadata!J127,"Non-saline")))</f>
        <v>0</v>
      </c>
      <c r="AV127" t="b">
        <f>AND(IF(metadata!K127="",FALSE,TRUE),OR(EXACT(metadata!K127,"Plant secretion"),EXACT(metadata!K127,"Plant rhizosphere"),EXACT(metadata!K127,"Plant surface"),EXACT(metadata!K127,"Plant corpus"),EXACT(metadata!K127,"Fungus surface"),EXACT(metadata!K127,"Fungus corpus"),EXACT(metadata!K127,"Animal surface"),EXACT(metadata!K127,"Animal proximal gut"),EXACT(metadata!K127,"Animal corpus"),EXACT(metadata!K127,"Animal distal gut"),EXACT(metadata!K127,"Animal secretion"),EXACT(metadata!K127,"Sub-surface (non-saline)"),EXACT(metadata!K127,"Surface (non-saline)"),EXACT(metadata!K127,"Water (non-saline)"),EXACT(metadata!K127,"Soil (non-saline)"),EXACT(metadata!K127,"Aerosol (non-saline)"),EXACT(metadata!K127,"Sediment (non-saline)"),EXACT(metadata!K127,"Surface (saline)"),EXACT(metadata!K127,"Water (saline)"),EXACT(metadata!K127,"Hypersaline (saline)"),EXACT(metadata!K127,"Aerosol (saline)"),EXACT(metadata!K127,"Sediment (saline)")))</f>
        <v>0</v>
      </c>
      <c r="AW127" t="b">
        <f>IF(metadata!L127="",FALSE,TRUE)</f>
        <v>0</v>
      </c>
      <c r="AX127" t="b">
        <f>IF(metadata!M127="",FALSE,TRUE)</f>
        <v>0</v>
      </c>
      <c r="AY127" t="b">
        <f>IF(metadata!N127="",FALSE,TRUE)</f>
        <v>0</v>
      </c>
      <c r="AZ127" t="b">
        <f>OR(AND(IF(metadata!O127="",FALSE,TRUE),OR(EXACT(metadata!O127,"missing: not collected"),EXACT(metadata!O127,"missing: not provided"),EXACT(metadata!O127,"missing: restricted access"))),AND(IF(metadata!O127="",FALSE,TRUE),OR(EXACT(metadata!O127,"air"),EXACT(metadata!O127,"built environment"),EXACT(metadata!O127,"host-associated"),EXACT(metadata!O127,"human-associated"),EXACT(metadata!O127,"human-skin"),EXACT(metadata!O127,"human-oral"),EXACT(metadata!O127,"human-gut"),EXACT(metadata!O127,"human-vaginal"),EXACT(metadata!O127,"microbial mat/biofilm"),EXACT(metadata!O127,"misc environment"),EXACT(metadata!O127,"plant-associated"),EXACT(metadata!O127,"sediment"),EXACT(metadata!O127,"soil"),EXACT(metadata!O127,"wastewater/sludge"),EXACT(metadata!O127,"water"))))</f>
        <v>0</v>
      </c>
      <c r="BA127" t="b">
        <f>IF(metadata!P127="",FALSE,TRUE)</f>
        <v>0</v>
      </c>
      <c r="BB127" t="b">
        <f>IF(metadata!Q127="",FALSE,TRUE)</f>
        <v>0</v>
      </c>
      <c r="BC127" t="b">
        <f>OR(AND(IF(metadata!R127="",FALSE,TRUE),OR(EXACT(metadata!R127,"missing: not collected"),EXACT(metadata!R127,"missing: not provided"),EXACT(metadata!R127,"missing: restricted access"))),AND(IF(metadata!R127="",FALSE,ISNUMBER(VALUE(metadata!R127))),metadata!R127&gt;=-90,metadata!R127&lt;=90))</f>
        <v>0</v>
      </c>
      <c r="BD127" t="b">
        <f>AND(IF(metadata!S127="",FALSE,TRUE),EXACT(metadata!S127,"Decimal degrees"))</f>
        <v>0</v>
      </c>
      <c r="BE127" t="b">
        <f>OR(AND(IF(metadata!T127="",FALSE,TRUE),OR(EXACT(metadata!T127,"missing: not collected"),EXACT(metadata!T127,"missing: not provided"),EXACT(metadata!T127,"missing: restricted access"))),AND(IF(metadata!T127="",FALSE,ISNUMBER(VALUE(metadata!T127))),metadata!T127&gt;=-180,metadata!T127&lt;=180))</f>
        <v>0</v>
      </c>
      <c r="BF127" t="b">
        <f>AND(IF(metadata!U127="",FALSE,TRUE),EXACT(metadata!U127,"Decimal degrees"))</f>
        <v>0</v>
      </c>
      <c r="BG127" t="b">
        <f>IF(metadata!V127="",FALSE,TRUE)</f>
        <v>0</v>
      </c>
      <c r="BH127" t="b">
        <f>OR(AND(IF(metadata!W127="",FALSE,TRUE),OR(EXACT(metadata!W127,"missing: not collected"),EXACT(metadata!W127,"missing: not provided"),EXACT(metadata!W127,"missing: restricted access"))),AND(IF(metadata!W127="",FALSE,TRUE),OR(EXACT(metadata!W127,"TRUE"),EXACT(metadata!W127,"FALSE"))))</f>
        <v>0</v>
      </c>
      <c r="BI127" t="b">
        <f>AND(IF(metadata!X127="",FALSE,TRUE),EXACT(metadata!X127,"other"))</f>
        <v>0</v>
      </c>
      <c r="BJ127" t="b">
        <f>IF(metadata!Y127="",FALSE,TRUE)</f>
        <v>0</v>
      </c>
      <c r="BK127" t="b">
        <f>OR(AND(IF(metadata!Z127="",FALSE,TRUE),OR(EXACT(metadata!Z127,"missing: not collected"),EXACT(metadata!Z127,"missing: not provided"))),AND(IF(metadata!Z127="",FALSE,IF(ISERROR(INT(metadata!Z127)),FALSE,INT(metadata!Z127)=metadata!Z127)),metadata!Z127&gt;0))</f>
        <v>0</v>
      </c>
      <c r="BL127" t="b">
        <f>AND(IF(metadata!AA127="",FALSE,TRUE),EXACT(metadata!AA127,"Not applicable"))</f>
        <v>0</v>
      </c>
      <c r="BM127" t="b">
        <f>IF(metadata!AB127="",FALSE,TRUE)</f>
        <v>0</v>
      </c>
    </row>
    <row r="128" spans="1:65" x14ac:dyDescent="0.2">
      <c r="A128" s="5" t="str">
        <f ca="1">IF(B128=" "," ",HYPERLINK(CONCATENATE("#metadata!",ADDRESS(INDEX($AH$2:$AH$1001,MATCH(ROWS($AF$2:AF128),$AF$2:$AF$1001,0),0),1)),INDEX($AK$2:$AK$1001,MATCH(ROWS($AF$2:AF128),$AF$2:$AF$1001,0),0)))</f>
        <v xml:space="preserve"> </v>
      </c>
      <c r="B128" s="4" t="str">
        <f ca="1">IF(OR(INDEX($AG$2:$AG$1001,MATCH(ROWS($AF$2:AF128),$AF$2:$AF$1001,0),1)&gt;=100000,INDEX($AM$1005:$BM$1005,1,MATCH(COLUMNS($AM$1006:AM1006),$AM$1006:$BM$1006,0))&gt;=100000), " ",IF(INDEX($AM$2:$BM$1001,MATCH(ROWS($AF$2:AF128),$AF$2:$AF$1001,0),MATCH(COLUMNS($AM$1006:AM1006),$AM$1006:$BM$1006,0)), HYPERLINK("#",""), HYPERLINK(CONCATENATE("#metadata!", ADDRESS(INDEX($AH$2:$AH$1001,MATCH(ROWS($AF$2:AF128),$AF$2:$AF$1001,0),0), INDEX($AM$1004:$BM$1004,1,MATCH(COLUMNS($AM$1006:AM1006),$AM$1006:$BM$1006,0)))),"Fix")))</f>
        <v xml:space="preserve"> </v>
      </c>
      <c r="C128" s="4" t="str">
        <f ca="1">IF(OR(INDEX($AG$2:$AG$1001,MATCH(ROWS($AF$2:AF128),$AF$2:$AF$1001,0),1)&gt;=100000,INDEX($AM$1005:$BM$1005,1,MATCH(COLUMNS($AM$1006:AN1006),$AM$1006:$BM$1006,0))&gt;=100000), " ",IF(INDEX($AM$2:$BM$1001,MATCH(ROWS($AF$2:AF128),$AF$2:$AF$1001,0),MATCH(COLUMNS($AM$1006:AN1006),$AM$1006:$BM$1006,0)), HYPERLINK("#",""), HYPERLINK(CONCATENATE("#metadata!", ADDRESS(INDEX($AH$2:$AH$1001,MATCH(ROWS($AF$2:AF128),$AF$2:$AF$1001,0),0), INDEX($AM$1004:$BM$1004,1,MATCH(COLUMNS($AM$1006:AN1006),$AM$1006:$BM$1006,0)))),"Fix")))</f>
        <v xml:space="preserve"> </v>
      </c>
      <c r="D128" s="4" t="str">
        <f ca="1">IF(OR(INDEX($AG$2:$AG$1001,MATCH(ROWS($AF$2:AF128),$AF$2:$AF$1001,0),1)&gt;=100000,INDEX($AM$1005:$BM$1005,1,MATCH(COLUMNS($AM$1006:AO1006),$AM$1006:$BM$1006,0))&gt;=100000), " ",IF(INDEX($AM$2:$BM$1001,MATCH(ROWS($AF$2:AF128),$AF$2:$AF$1001,0),MATCH(COLUMNS($AM$1006:AO1006),$AM$1006:$BM$1006,0)), HYPERLINK("#",""), HYPERLINK(CONCATENATE("#metadata!", ADDRESS(INDEX($AH$2:$AH$1001,MATCH(ROWS($AF$2:AF128),$AF$2:$AF$1001,0),0), INDEX($AM$1004:$BM$1004,1,MATCH(COLUMNS($AM$1006:AO1006),$AM$1006:$BM$1006,0)))),"Fix")))</f>
        <v xml:space="preserve"> </v>
      </c>
      <c r="E128" s="4" t="str">
        <f ca="1">IF(OR(INDEX($AG$2:$AG$1001,MATCH(ROWS($AF$2:AF128),$AF$2:$AF$1001,0),1)&gt;=100000,INDEX($AM$1005:$BM$1005,1,MATCH(COLUMNS($AM$1006:AP1006),$AM$1006:$BM$1006,0))&gt;=100000), " ",IF(INDEX($AM$2:$BM$1001,MATCH(ROWS($AF$2:AF128),$AF$2:$AF$1001,0),MATCH(COLUMNS($AM$1006:AP1006),$AM$1006:$BM$1006,0)), HYPERLINK("#",""), HYPERLINK(CONCATENATE("#metadata!", ADDRESS(INDEX($AH$2:$AH$1001,MATCH(ROWS($AF$2:AF128),$AF$2:$AF$1001,0),0), INDEX($AM$1004:$BM$1004,1,MATCH(COLUMNS($AM$1006:AP1006),$AM$1006:$BM$1006,0)))),"Fix")))</f>
        <v xml:space="preserve"> </v>
      </c>
      <c r="F128" s="4" t="str">
        <f ca="1">IF(OR(INDEX($AG$2:$AG$1001,MATCH(ROWS($AF$2:AF128),$AF$2:$AF$1001,0),1)&gt;=100000,INDEX($AM$1005:$BM$1005,1,MATCH(COLUMNS($AM$1006:AQ1006),$AM$1006:$BM$1006,0))&gt;=100000), " ",IF(INDEX($AM$2:$BM$1001,MATCH(ROWS($AF$2:AF128),$AF$2:$AF$1001,0),MATCH(COLUMNS($AM$1006:AQ1006),$AM$1006:$BM$1006,0)), HYPERLINK("#",""), HYPERLINK(CONCATENATE("#metadata!", ADDRESS(INDEX($AH$2:$AH$1001,MATCH(ROWS($AF$2:AF128),$AF$2:$AF$1001,0),0), INDEX($AM$1004:$BM$1004,1,MATCH(COLUMNS($AM$1006:AQ1006),$AM$1006:$BM$1006,0)))),"Fix")))</f>
        <v xml:space="preserve"> </v>
      </c>
      <c r="G128" s="4" t="str">
        <f ca="1">IF(OR(INDEX($AG$2:$AG$1001,MATCH(ROWS($AF$2:AF128),$AF$2:$AF$1001,0),1)&gt;=100000,INDEX($AM$1005:$BM$1005,1,MATCH(COLUMNS($AM$1006:AR1006),$AM$1006:$BM$1006,0))&gt;=100000), " ",IF(INDEX($AM$2:$BM$1001,MATCH(ROWS($AF$2:AF128),$AF$2:$AF$1001,0),MATCH(COLUMNS($AM$1006:AR1006),$AM$1006:$BM$1006,0)), HYPERLINK("#",""), HYPERLINK(CONCATENATE("#metadata!", ADDRESS(INDEX($AH$2:$AH$1001,MATCH(ROWS($AF$2:AF128),$AF$2:$AF$1001,0),0), INDEX($AM$1004:$BM$1004,1,MATCH(COLUMNS($AM$1006:AR1006),$AM$1006:$BM$1006,0)))),"Fix")))</f>
        <v xml:space="preserve"> </v>
      </c>
      <c r="H128" s="4" t="str">
        <f ca="1">IF(OR(INDEX($AG$2:$AG$1001,MATCH(ROWS($AF$2:AF128),$AF$2:$AF$1001,0),1)&gt;=100000,INDEX($AM$1005:$BM$1005,1,MATCH(COLUMNS($AM$1006:AS1006),$AM$1006:$BM$1006,0))&gt;=100000), " ",IF(INDEX($AM$2:$BM$1001,MATCH(ROWS($AF$2:AF128),$AF$2:$AF$1001,0),MATCH(COLUMNS($AM$1006:AS1006),$AM$1006:$BM$1006,0)), HYPERLINK("#",""), HYPERLINK(CONCATENATE("#metadata!", ADDRESS(INDEX($AH$2:$AH$1001,MATCH(ROWS($AF$2:AF128),$AF$2:$AF$1001,0),0), INDEX($AM$1004:$BM$1004,1,MATCH(COLUMNS($AM$1006:AS1006),$AM$1006:$BM$1006,0)))),"Fix")))</f>
        <v xml:space="preserve"> </v>
      </c>
      <c r="I128" s="4" t="str">
        <f ca="1">IF(OR(INDEX($AG$2:$AG$1001,MATCH(ROWS($AF$2:AF128),$AF$2:$AF$1001,0),1)&gt;=100000,INDEX($AM$1005:$BM$1005,1,MATCH(COLUMNS($AM$1006:AT1006),$AM$1006:$BM$1006,0))&gt;=100000), " ",IF(INDEX($AM$2:$BM$1001,MATCH(ROWS($AF$2:AF128),$AF$2:$AF$1001,0),MATCH(COLUMNS($AM$1006:AT1006),$AM$1006:$BM$1006,0)), HYPERLINK("#",""), HYPERLINK(CONCATENATE("#metadata!", ADDRESS(INDEX($AH$2:$AH$1001,MATCH(ROWS($AF$2:AF128),$AF$2:$AF$1001,0),0), INDEX($AM$1004:$BM$1004,1,MATCH(COLUMNS($AM$1006:AT1006),$AM$1006:$BM$1006,0)))),"Fix")))</f>
        <v xml:space="preserve"> </v>
      </c>
      <c r="J128" s="4" t="str">
        <f ca="1">IF(OR(INDEX($AG$2:$AG$1001,MATCH(ROWS($AF$2:AF128),$AF$2:$AF$1001,0),1)&gt;=100000,INDEX($AM$1005:$BM$1005,1,MATCH(COLUMNS($AM$1006:AU1006),$AM$1006:$BM$1006,0))&gt;=100000), " ",IF(INDEX($AM$2:$BM$1001,MATCH(ROWS($AF$2:AF128),$AF$2:$AF$1001,0),MATCH(COLUMNS($AM$1006:AU1006),$AM$1006:$BM$1006,0)), HYPERLINK("#",""), HYPERLINK(CONCATENATE("#metadata!", ADDRESS(INDEX($AH$2:$AH$1001,MATCH(ROWS($AF$2:AF128),$AF$2:$AF$1001,0),0), INDEX($AM$1004:$BM$1004,1,MATCH(COLUMNS($AM$1006:AU1006),$AM$1006:$BM$1006,0)))),"Fix")))</f>
        <v xml:space="preserve"> </v>
      </c>
      <c r="K128" s="4" t="str">
        <f ca="1">IF(OR(INDEX($AG$2:$AG$1001,MATCH(ROWS($AF$2:AF128),$AF$2:$AF$1001,0),1)&gt;=100000,INDEX($AM$1005:$BM$1005,1,MATCH(COLUMNS($AM$1006:AV1006),$AM$1006:$BM$1006,0))&gt;=100000), " ",IF(INDEX($AM$2:$BM$1001,MATCH(ROWS($AF$2:AF128),$AF$2:$AF$1001,0),MATCH(COLUMNS($AM$1006:AV1006),$AM$1006:$BM$1006,0)), HYPERLINK("#",""), HYPERLINK(CONCATENATE("#metadata!", ADDRESS(INDEX($AH$2:$AH$1001,MATCH(ROWS($AF$2:AF128),$AF$2:$AF$1001,0),0), INDEX($AM$1004:$BM$1004,1,MATCH(COLUMNS($AM$1006:AV1006),$AM$1006:$BM$1006,0)))),"Fix")))</f>
        <v xml:space="preserve"> </v>
      </c>
      <c r="L128" s="4" t="str">
        <f ca="1">IF(OR(INDEX($AG$2:$AG$1001,MATCH(ROWS($AF$2:AF128),$AF$2:$AF$1001,0),1)&gt;=100000,INDEX($AM$1005:$BM$1005,1,MATCH(COLUMNS($AM$1006:AW1006),$AM$1006:$BM$1006,0))&gt;=100000), " ",IF(INDEX($AM$2:$BM$1001,MATCH(ROWS($AF$2:AF128),$AF$2:$AF$1001,0),MATCH(COLUMNS($AM$1006:AW1006),$AM$1006:$BM$1006,0)), HYPERLINK("#",""), HYPERLINK(CONCATENATE("#metadata!", ADDRESS(INDEX($AH$2:$AH$1001,MATCH(ROWS($AF$2:AF128),$AF$2:$AF$1001,0),0), INDEX($AM$1004:$BM$1004,1,MATCH(COLUMNS($AM$1006:AW1006),$AM$1006:$BM$1006,0)))),"Fix")))</f>
        <v xml:space="preserve"> </v>
      </c>
      <c r="M128" s="4" t="str">
        <f ca="1">IF(OR(INDEX($AG$2:$AG$1001,MATCH(ROWS($AF$2:AF128),$AF$2:$AF$1001,0),1)&gt;=100000,INDEX($AM$1005:$BM$1005,1,MATCH(COLUMNS($AM$1006:AX1006),$AM$1006:$BM$1006,0))&gt;=100000), " ",IF(INDEX($AM$2:$BM$1001,MATCH(ROWS($AF$2:AF128),$AF$2:$AF$1001,0),MATCH(COLUMNS($AM$1006:AX1006),$AM$1006:$BM$1006,0)), HYPERLINK("#",""), HYPERLINK(CONCATENATE("#metadata!", ADDRESS(INDEX($AH$2:$AH$1001,MATCH(ROWS($AF$2:AF128),$AF$2:$AF$1001,0),0), INDEX($AM$1004:$BM$1004,1,MATCH(COLUMNS($AM$1006:AX1006),$AM$1006:$BM$1006,0)))),"Fix")))</f>
        <v xml:space="preserve"> </v>
      </c>
      <c r="N128" s="4" t="str">
        <f ca="1">IF(OR(INDEX($AG$2:$AG$1001,MATCH(ROWS($AF$2:AF128),$AF$2:$AF$1001,0),1)&gt;=100000,INDEX($AM$1005:$BM$1005,1,MATCH(COLUMNS($AM$1006:AY1006),$AM$1006:$BM$1006,0))&gt;=100000), " ",IF(INDEX($AM$2:$BM$1001,MATCH(ROWS($AF$2:AF128),$AF$2:$AF$1001,0),MATCH(COLUMNS($AM$1006:AY1006),$AM$1006:$BM$1006,0)), HYPERLINK("#",""), HYPERLINK(CONCATENATE("#metadata!", ADDRESS(INDEX($AH$2:$AH$1001,MATCH(ROWS($AF$2:AF128),$AF$2:$AF$1001,0),0), INDEX($AM$1004:$BM$1004,1,MATCH(COLUMNS($AM$1006:AY1006),$AM$1006:$BM$1006,0)))),"Fix")))</f>
        <v xml:space="preserve"> </v>
      </c>
      <c r="O128" s="4" t="str">
        <f ca="1">IF(OR(INDEX($AG$2:$AG$1001,MATCH(ROWS($AF$2:AF128),$AF$2:$AF$1001,0),1)&gt;=100000,INDEX($AM$1005:$BM$1005,1,MATCH(COLUMNS($AM$1006:AZ1006),$AM$1006:$BM$1006,0))&gt;=100000), " ",IF(INDEX($AM$2:$BM$1001,MATCH(ROWS($AF$2:AF128),$AF$2:$AF$1001,0),MATCH(COLUMNS($AM$1006:AZ1006),$AM$1006:$BM$1006,0)), HYPERLINK("#",""), HYPERLINK(CONCATENATE("#metadata!", ADDRESS(INDEX($AH$2:$AH$1001,MATCH(ROWS($AF$2:AF128),$AF$2:$AF$1001,0),0), INDEX($AM$1004:$BM$1004,1,MATCH(COLUMNS($AM$1006:AZ1006),$AM$1006:$BM$1006,0)))),"Fix")))</f>
        <v xml:space="preserve"> </v>
      </c>
      <c r="P128" s="4" t="str">
        <f ca="1">IF(OR(INDEX($AG$2:$AG$1001,MATCH(ROWS($AF$2:AF128),$AF$2:$AF$1001,0),1)&gt;=100000,INDEX($AM$1005:$BM$1005,1,MATCH(COLUMNS($AM$1006:BA1006),$AM$1006:$BM$1006,0))&gt;=100000), " ",IF(INDEX($AM$2:$BM$1001,MATCH(ROWS($AF$2:AF128),$AF$2:$AF$1001,0),MATCH(COLUMNS($AM$1006:BA1006),$AM$1006:$BM$1006,0)), HYPERLINK("#",""), HYPERLINK(CONCATENATE("#metadata!", ADDRESS(INDEX($AH$2:$AH$1001,MATCH(ROWS($AF$2:AF128),$AF$2:$AF$1001,0),0), INDEX($AM$1004:$BM$1004,1,MATCH(COLUMNS($AM$1006:BA1006),$AM$1006:$BM$1006,0)))),"Fix")))</f>
        <v xml:space="preserve"> </v>
      </c>
      <c r="Q128" s="4" t="str">
        <f ca="1">IF(OR(INDEX($AG$2:$AG$1001,MATCH(ROWS($AF$2:AF128),$AF$2:$AF$1001,0),1)&gt;=100000,INDEX($AM$1005:$BM$1005,1,MATCH(COLUMNS($AM$1006:BB1006),$AM$1006:$BM$1006,0))&gt;=100000), " ",IF(INDEX($AM$2:$BM$1001,MATCH(ROWS($AF$2:AF128),$AF$2:$AF$1001,0),MATCH(COLUMNS($AM$1006:BB1006),$AM$1006:$BM$1006,0)), HYPERLINK("#",""), HYPERLINK(CONCATENATE("#metadata!", ADDRESS(INDEX($AH$2:$AH$1001,MATCH(ROWS($AF$2:AF128),$AF$2:$AF$1001,0),0), INDEX($AM$1004:$BM$1004,1,MATCH(COLUMNS($AM$1006:BB1006),$AM$1006:$BM$1006,0)))),"Fix")))</f>
        <v xml:space="preserve"> </v>
      </c>
      <c r="R128" s="4" t="str">
        <f ca="1">IF(OR(INDEX($AG$2:$AG$1001,MATCH(ROWS($AF$2:AF128),$AF$2:$AF$1001,0),1)&gt;=100000,INDEX($AM$1005:$BM$1005,1,MATCH(COLUMNS($AM$1006:BC1006),$AM$1006:$BM$1006,0))&gt;=100000), " ",IF(INDEX($AM$2:$BM$1001,MATCH(ROWS($AF$2:AF128),$AF$2:$AF$1001,0),MATCH(COLUMNS($AM$1006:BC1006),$AM$1006:$BM$1006,0)), HYPERLINK("#",""), HYPERLINK(CONCATENATE("#metadata!", ADDRESS(INDEX($AH$2:$AH$1001,MATCH(ROWS($AF$2:AF128),$AF$2:$AF$1001,0),0), INDEX($AM$1004:$BM$1004,1,MATCH(COLUMNS($AM$1006:BC1006),$AM$1006:$BM$1006,0)))),"Fix")))</f>
        <v xml:space="preserve"> </v>
      </c>
      <c r="S128" s="4" t="str">
        <f ca="1">IF(OR(INDEX($AG$2:$AG$1001,MATCH(ROWS($AF$2:AF128),$AF$2:$AF$1001,0),1)&gt;=100000,INDEX($AM$1005:$BM$1005,1,MATCH(COLUMNS($AM$1006:BD1006),$AM$1006:$BM$1006,0))&gt;=100000), " ",IF(INDEX($AM$2:$BM$1001,MATCH(ROWS($AF$2:AF128),$AF$2:$AF$1001,0),MATCH(COLUMNS($AM$1006:BD1006),$AM$1006:$BM$1006,0)), HYPERLINK("#",""), HYPERLINK(CONCATENATE("#metadata!", ADDRESS(INDEX($AH$2:$AH$1001,MATCH(ROWS($AF$2:AF128),$AF$2:$AF$1001,0),0), INDEX($AM$1004:$BM$1004,1,MATCH(COLUMNS($AM$1006:BD1006),$AM$1006:$BM$1006,0)))),"Fix")))</f>
        <v xml:space="preserve"> </v>
      </c>
      <c r="T128" s="4" t="str">
        <f ca="1">IF(OR(INDEX($AG$2:$AG$1001,MATCH(ROWS($AF$2:AF128),$AF$2:$AF$1001,0),1)&gt;=100000,INDEX($AM$1005:$BM$1005,1,MATCH(COLUMNS($AM$1006:BE1006),$AM$1006:$BM$1006,0))&gt;=100000), " ",IF(INDEX($AM$2:$BM$1001,MATCH(ROWS($AF$2:AF128),$AF$2:$AF$1001,0),MATCH(COLUMNS($AM$1006:BE1006),$AM$1006:$BM$1006,0)), HYPERLINK("#",""), HYPERLINK(CONCATENATE("#metadata!", ADDRESS(INDEX($AH$2:$AH$1001,MATCH(ROWS($AF$2:AF128),$AF$2:$AF$1001,0),0), INDEX($AM$1004:$BM$1004,1,MATCH(COLUMNS($AM$1006:BE1006),$AM$1006:$BM$1006,0)))),"Fix")))</f>
        <v xml:space="preserve"> </v>
      </c>
      <c r="U128" s="4" t="str">
        <f ca="1">IF(OR(INDEX($AG$2:$AG$1001,MATCH(ROWS($AF$2:AF128),$AF$2:$AF$1001,0),1)&gt;=100000,INDEX($AM$1005:$BM$1005,1,MATCH(COLUMNS($AM$1006:BF1006),$AM$1006:$BM$1006,0))&gt;=100000), " ",IF(INDEX($AM$2:$BM$1001,MATCH(ROWS($AF$2:AF128),$AF$2:$AF$1001,0),MATCH(COLUMNS($AM$1006:BF1006),$AM$1006:$BM$1006,0)), HYPERLINK("#",""), HYPERLINK(CONCATENATE("#metadata!", ADDRESS(INDEX($AH$2:$AH$1001,MATCH(ROWS($AF$2:AF128),$AF$2:$AF$1001,0),0), INDEX($AM$1004:$BM$1004,1,MATCH(COLUMNS($AM$1006:BF1006),$AM$1006:$BM$1006,0)))),"Fix")))</f>
        <v xml:space="preserve"> </v>
      </c>
      <c r="V128" s="4" t="str">
        <f ca="1">IF(OR(INDEX($AG$2:$AG$1001,MATCH(ROWS($AF$2:AF128),$AF$2:$AF$1001,0),1)&gt;=100000,INDEX($AM$1005:$BM$1005,1,MATCH(COLUMNS($AM$1006:BG1006),$AM$1006:$BM$1006,0))&gt;=100000), " ",IF(INDEX($AM$2:$BM$1001,MATCH(ROWS($AF$2:AF128),$AF$2:$AF$1001,0),MATCH(COLUMNS($AM$1006:BG1006),$AM$1006:$BM$1006,0)), HYPERLINK("#",""), HYPERLINK(CONCATENATE("#metadata!", ADDRESS(INDEX($AH$2:$AH$1001,MATCH(ROWS($AF$2:AF128),$AF$2:$AF$1001,0),0), INDEX($AM$1004:$BM$1004,1,MATCH(COLUMNS($AM$1006:BG1006),$AM$1006:$BM$1006,0)))),"Fix")))</f>
        <v xml:space="preserve"> </v>
      </c>
      <c r="W128" s="4" t="str">
        <f ca="1">IF(OR(INDEX($AG$2:$AG$1001,MATCH(ROWS($AF$2:AF128),$AF$2:$AF$1001,0),1)&gt;=100000,INDEX($AM$1005:$BM$1005,1,MATCH(COLUMNS($AM$1006:BH1006),$AM$1006:$BM$1006,0))&gt;=100000), " ",IF(INDEX($AM$2:$BM$1001,MATCH(ROWS($AF$2:AF128),$AF$2:$AF$1001,0),MATCH(COLUMNS($AM$1006:BH1006),$AM$1006:$BM$1006,0)), HYPERLINK("#",""), HYPERLINK(CONCATENATE("#metadata!", ADDRESS(INDEX($AH$2:$AH$1001,MATCH(ROWS($AF$2:AF128),$AF$2:$AF$1001,0),0), INDEX($AM$1004:$BM$1004,1,MATCH(COLUMNS($AM$1006:BH1006),$AM$1006:$BM$1006,0)))),"Fix")))</f>
        <v xml:space="preserve"> </v>
      </c>
      <c r="X128" s="4" t="str">
        <f ca="1">IF(OR(INDEX($AG$2:$AG$1001,MATCH(ROWS($AF$2:AF128),$AF$2:$AF$1001,0),1)&gt;=100000,INDEX($AM$1005:$BM$1005,1,MATCH(COLUMNS($AM$1006:BI1006),$AM$1006:$BM$1006,0))&gt;=100000), " ",IF(INDEX($AM$2:$BM$1001,MATCH(ROWS($AF$2:AF128),$AF$2:$AF$1001,0),MATCH(COLUMNS($AM$1006:BI1006),$AM$1006:$BM$1006,0)), HYPERLINK("#",""), HYPERLINK(CONCATENATE("#metadata!", ADDRESS(INDEX($AH$2:$AH$1001,MATCH(ROWS($AF$2:AF128),$AF$2:$AF$1001,0),0), INDEX($AM$1004:$BM$1004,1,MATCH(COLUMNS($AM$1006:BI1006),$AM$1006:$BM$1006,0)))),"Fix")))</f>
        <v xml:space="preserve"> </v>
      </c>
      <c r="Y128" s="4" t="str">
        <f ca="1">IF(OR(INDEX($AG$2:$AG$1001,MATCH(ROWS($AF$2:AF128),$AF$2:$AF$1001,0),1)&gt;=100000,INDEX($AM$1005:$BM$1005,1,MATCH(COLUMNS($AM$1006:BJ1006),$AM$1006:$BM$1006,0))&gt;=100000), " ",IF(INDEX($AM$2:$BM$1001,MATCH(ROWS($AF$2:AF128),$AF$2:$AF$1001,0),MATCH(COLUMNS($AM$1006:BJ1006),$AM$1006:$BM$1006,0)), HYPERLINK("#",""), HYPERLINK(CONCATENATE("#metadata!", ADDRESS(INDEX($AH$2:$AH$1001,MATCH(ROWS($AF$2:AF128),$AF$2:$AF$1001,0),0), INDEX($AM$1004:$BM$1004,1,MATCH(COLUMNS($AM$1006:BJ1006),$AM$1006:$BM$1006,0)))),"Fix")))</f>
        <v xml:space="preserve"> </v>
      </c>
      <c r="Z128" s="4" t="str">
        <f ca="1">IF(OR(INDEX($AG$2:$AG$1001,MATCH(ROWS($AF$2:AF128),$AF$2:$AF$1001,0),1)&gt;=100000,INDEX($AM$1005:$BM$1005,1,MATCH(COLUMNS($AM$1006:BK1006),$AM$1006:$BM$1006,0))&gt;=100000), " ",IF(INDEX($AM$2:$BM$1001,MATCH(ROWS($AF$2:AF128),$AF$2:$AF$1001,0),MATCH(COLUMNS($AM$1006:BK1006),$AM$1006:$BM$1006,0)), HYPERLINK("#",""), HYPERLINK(CONCATENATE("#metadata!", ADDRESS(INDEX($AH$2:$AH$1001,MATCH(ROWS($AF$2:AF128),$AF$2:$AF$1001,0),0), INDEX($AM$1004:$BM$1004,1,MATCH(COLUMNS($AM$1006:BK1006),$AM$1006:$BM$1006,0)))),"Fix")))</f>
        <v xml:space="preserve"> </v>
      </c>
      <c r="AA128" s="4" t="str">
        <f ca="1">IF(OR(INDEX($AG$2:$AG$1001,MATCH(ROWS($AF$2:AF128),$AF$2:$AF$1001,0),1)&gt;=100000,INDEX($AM$1005:$BM$1005,1,MATCH(COLUMNS($AM$1006:BL1006),$AM$1006:$BM$1006,0))&gt;=100000), " ",IF(INDEX($AM$2:$BM$1001,MATCH(ROWS($AF$2:AF128),$AF$2:$AF$1001,0),MATCH(COLUMNS($AM$1006:BL1006),$AM$1006:$BM$1006,0)), HYPERLINK("#",""), HYPERLINK(CONCATENATE("#metadata!", ADDRESS(INDEX($AH$2:$AH$1001,MATCH(ROWS($AF$2:AF128),$AF$2:$AF$1001,0),0), INDEX($AM$1004:$BM$1004,1,MATCH(COLUMNS($AM$1006:BL1006),$AM$1006:$BM$1006,0)))),"Fix")))</f>
        <v xml:space="preserve"> </v>
      </c>
      <c r="AB128" s="4" t="str">
        <f ca="1">IF(OR(INDEX($AG$2:$AG$1001,MATCH(ROWS($AF$2:AF128),$AF$2:$AF$1001,0),1)&gt;=100000,INDEX($AM$1005:$BM$1005,1,MATCH(COLUMNS($AM$1006:BM1006),$AM$1006:$BM$1006,0))&gt;=100000), " ",IF(INDEX($AM$2:$BM$1001,MATCH(ROWS($AF$2:AF128),$AF$2:$AF$1001,0),MATCH(COLUMNS($AM$1006:BM1006),$AM$1006:$BM$1006,0)), HYPERLINK("#",""), HYPERLINK(CONCATENATE("#metadata!", ADDRESS(INDEX($AH$2:$AH$1001,MATCH(ROWS($AF$2:AF128),$AF$2:$AF$1001,0),0), INDEX($AM$1004:$BM$1004,1,MATCH(COLUMNS($AM$1006:BM1006),$AM$1006:$BM$1006,0)))),"Fix")))</f>
        <v xml:space="preserve"> </v>
      </c>
      <c r="AF128">
        <v>127</v>
      </c>
      <c r="AG128">
        <v>100128</v>
      </c>
      <c r="AH128">
        <v>128</v>
      </c>
      <c r="AI128" t="b">
        <f t="shared" si="1"/>
        <v>1</v>
      </c>
      <c r="AJ128" t="b">
        <f>COUNTBLANK(metadata!B128:AB128)=COLUMNS(metadata!B128:AB128)</f>
        <v>1</v>
      </c>
      <c r="AK128" t="str">
        <v/>
      </c>
      <c r="AM128" t="b">
        <f ca="1">AND(IF(metadata!B128="",FALSE,TRUE),COUNTIF(metadata!B:B, metadata!B128) = 1,NOT(ISERROR(SUMPRODUCT(SEARCH(MID(metadata!B128,ROW(INDIRECT("1:"&amp;LEN(metadata!B128))), 1),"0123456789abcdefghijklmnopqrstuvwxyzABCDEFGHIJKLMNOPQRSTUVWXYZ.")))))</f>
        <v>0</v>
      </c>
      <c r="AN128" t="b">
        <f ca="1">OR(AND(IF(metadata!C128="",FALSE,TRUE),OR(EXACT(metadata!C128,"missing: not collected"),EXACT(metadata!C128,"missing: not provided"),EXACT(metadata!C128,"missing: restricted access"))),AND(IF(metadata!C128="",FALSE,TRUE),AND(AND(IFERROR(INT(LEFT(metadata!C128,4))&gt;1900,FALSE),IFERROR(INT(LEFT(metadata!C128,4))&lt;=YEAR(NOW()),FALSE)), OR(MID(metadata!C128,5,1)="", AND(AND(MID(metadata!C128,5,1)="-",IFERROR(INT(MID(metadata!C128,6,1))&gt;=0,FALSE),IFERROR(INT(MID(metadata!C128,6,1))&lt;=1,FALSE),NOT(MID(metadata!C128,7,1)=""),IFERROR(INT(MID(metadata!C128,6,2))&gt;=1,FALSE),IFERROR(INT(MID(metadata!C128,6,2))&lt;=12,FALSE)), OR(MID(metadata!C128,8,1)="", AND(AND(MID(metadata!C128,8,1)="-",IFERROR(INT(MID(metadata!C128,9,1))&gt;=0,FALSE),IFERROR(INT(MID(metadata!C128,9,1))&lt;=3,FALSE),NOT(MID(metadata!C128,10,1)=""),IFERROR(INT(MID(metadata!C128,9,2))&gt;=1,FALSE),IFERROR(INT(MID(metadata!C128,9,2))&lt;=31,FALSE)), OR(MID(metadata!C128,11,1)="", AND(AND(MID(metadata!C128,11,1)=" ",IFERROR(INT(MID(metadata!C128,12,1))&gt;=0,FALSE),IFERROR(INT(MID(metadata!C128,12,1))&lt;=2,FALSE),NOT(MID(metadata!C128,13,1)=""),IFERROR(INT(MID(metadata!C128,12,2))&gt;=0,FALSE),IFERROR(INT(MID(metadata!C128,12,2))&lt;=23,FALSE)), OR(MID(metadata!C128,14,1)="", AND(AND(MID(metadata!C128,14,1)=":",IFERROR(INT(MID(metadata!C128,15,1))&gt;=0,FALSE),IFERROR(INT(MID(metadata!C128,15,1))&lt;=5,FALSE),NOT(MID(metadata!C128,16,1)=""),IFERROR(INT(MID(metadata!C128,15,2))&gt;=0,FALSE),IFERROR(INT(MID(metadata!C128,15,2))&lt;=59,FALSE)), OR(MID(metadata!C128,17,1)="", AND(AND(MID(metadata!C128,17,1)=":",IFERROR(INT(MID(metadata!C128,18,1))&gt;=0,FALSE),IFERROR(INT(MID(metadata!C128,18,1))&lt;=5,FALSE),NOT(MID(metadata!C128,19,1)=""),IFERROR(INT(MID(metadata!C128,18,2))&gt;=0,FALSE),IFERROR(INT(MID(metadata!C128,18,2))&lt;=59,FALSE)), LEN(metadata!C128)&lt;=19)))))))))))))</f>
        <v>0</v>
      </c>
      <c r="AO128" t="b">
        <f>AND(IF(metadata!D128="",FALSE,TRUE),EXACT(metadata!D128,"Not applicable"))</f>
        <v>0</v>
      </c>
      <c r="AP128" t="b">
        <f>IF(metadata!E128="",FALSE,TRUE)</f>
        <v>0</v>
      </c>
      <c r="AQ128" t="b">
        <f>OR(AND(IF(metadata!F128="",FALSE,TRUE),OR(EXACT(metadata!F128,"missing: not collected"),EXACT(metadata!F128,"missing: not provided"))),AND(IF(metadata!F128="",FALSE,TRUE),OR(EXACT(metadata!F128,"TRUE"),EXACT(metadata!F128,"FALSE"))))</f>
        <v>0</v>
      </c>
      <c r="AR128" t="b">
        <f>OR(AND(IF(metadata!G128="",FALSE,TRUE),OR(EXACT(metadata!G128,"missing: not collected"),EXACT(metadata!G128,"missing: not provided"),EXACT(metadata!G128,"missing: restricted access"))),AND(IF(metadata!G128="",FALSE,ISNUMBER(VALUE(metadata!G128))),metadata!G128&gt;=-413))</f>
        <v>0</v>
      </c>
      <c r="AS128" t="b">
        <f>AND(IF(metadata!H128="",FALSE,TRUE),EXACT(metadata!H128,"meters"))</f>
        <v>0</v>
      </c>
      <c r="AT128" t="b">
        <f>AND(IF(metadata!I128="",FALSE,TRUE),OR(EXACT(metadata!I128,"Host-associated"),EXACT(metadata!I128,"Free-living")))</f>
        <v>0</v>
      </c>
      <c r="AU128" t="b">
        <f>AND(IF(metadata!J128="",FALSE,TRUE),OR(EXACT(metadata!J128,"Animal"),EXACT(metadata!J128,"Fungus"),EXACT(metadata!J128,"Plant"),EXACT(metadata!J128,"Saline"),EXACT(metadata!J128,"Non-saline")))</f>
        <v>0</v>
      </c>
      <c r="AV128" t="b">
        <f>AND(IF(metadata!K128="",FALSE,TRUE),OR(EXACT(metadata!K128,"Plant secretion"),EXACT(metadata!K128,"Plant rhizosphere"),EXACT(metadata!K128,"Plant surface"),EXACT(metadata!K128,"Plant corpus"),EXACT(metadata!K128,"Fungus surface"),EXACT(metadata!K128,"Fungus corpus"),EXACT(metadata!K128,"Animal surface"),EXACT(metadata!K128,"Animal proximal gut"),EXACT(metadata!K128,"Animal corpus"),EXACT(metadata!K128,"Animal distal gut"),EXACT(metadata!K128,"Animal secretion"),EXACT(metadata!K128,"Sub-surface (non-saline)"),EXACT(metadata!K128,"Surface (non-saline)"),EXACT(metadata!K128,"Water (non-saline)"),EXACT(metadata!K128,"Soil (non-saline)"),EXACT(metadata!K128,"Aerosol (non-saline)"),EXACT(metadata!K128,"Sediment (non-saline)"),EXACT(metadata!K128,"Surface (saline)"),EXACT(metadata!K128,"Water (saline)"),EXACT(metadata!K128,"Hypersaline (saline)"),EXACT(metadata!K128,"Aerosol (saline)"),EXACT(metadata!K128,"Sediment (saline)")))</f>
        <v>0</v>
      </c>
      <c r="AW128" t="b">
        <f>IF(metadata!L128="",FALSE,TRUE)</f>
        <v>0</v>
      </c>
      <c r="AX128" t="b">
        <f>IF(metadata!M128="",FALSE,TRUE)</f>
        <v>0</v>
      </c>
      <c r="AY128" t="b">
        <f>IF(metadata!N128="",FALSE,TRUE)</f>
        <v>0</v>
      </c>
      <c r="AZ128" t="b">
        <f>OR(AND(IF(metadata!O128="",FALSE,TRUE),OR(EXACT(metadata!O128,"missing: not collected"),EXACT(metadata!O128,"missing: not provided"),EXACT(metadata!O128,"missing: restricted access"))),AND(IF(metadata!O128="",FALSE,TRUE),OR(EXACT(metadata!O128,"air"),EXACT(metadata!O128,"built environment"),EXACT(metadata!O128,"host-associated"),EXACT(metadata!O128,"human-associated"),EXACT(metadata!O128,"human-skin"),EXACT(metadata!O128,"human-oral"),EXACT(metadata!O128,"human-gut"),EXACT(metadata!O128,"human-vaginal"),EXACT(metadata!O128,"microbial mat/biofilm"),EXACT(metadata!O128,"misc environment"),EXACT(metadata!O128,"plant-associated"),EXACT(metadata!O128,"sediment"),EXACT(metadata!O128,"soil"),EXACT(metadata!O128,"wastewater/sludge"),EXACT(metadata!O128,"water"))))</f>
        <v>0</v>
      </c>
      <c r="BA128" t="b">
        <f>IF(metadata!P128="",FALSE,TRUE)</f>
        <v>0</v>
      </c>
      <c r="BB128" t="b">
        <f>IF(metadata!Q128="",FALSE,TRUE)</f>
        <v>0</v>
      </c>
      <c r="BC128" t="b">
        <f>OR(AND(IF(metadata!R128="",FALSE,TRUE),OR(EXACT(metadata!R128,"missing: not collected"),EXACT(metadata!R128,"missing: not provided"),EXACT(metadata!R128,"missing: restricted access"))),AND(IF(metadata!R128="",FALSE,ISNUMBER(VALUE(metadata!R128))),metadata!R128&gt;=-90,metadata!R128&lt;=90))</f>
        <v>0</v>
      </c>
      <c r="BD128" t="b">
        <f>AND(IF(metadata!S128="",FALSE,TRUE),EXACT(metadata!S128,"Decimal degrees"))</f>
        <v>0</v>
      </c>
      <c r="BE128" t="b">
        <f>OR(AND(IF(metadata!T128="",FALSE,TRUE),OR(EXACT(metadata!T128,"missing: not collected"),EXACT(metadata!T128,"missing: not provided"),EXACT(metadata!T128,"missing: restricted access"))),AND(IF(metadata!T128="",FALSE,ISNUMBER(VALUE(metadata!T128))),metadata!T128&gt;=-180,metadata!T128&lt;=180))</f>
        <v>0</v>
      </c>
      <c r="BF128" t="b">
        <f>AND(IF(metadata!U128="",FALSE,TRUE),EXACT(metadata!U128,"Decimal degrees"))</f>
        <v>0</v>
      </c>
      <c r="BG128" t="b">
        <f>IF(metadata!V128="",FALSE,TRUE)</f>
        <v>0</v>
      </c>
      <c r="BH128" t="b">
        <f>OR(AND(IF(metadata!W128="",FALSE,TRUE),OR(EXACT(metadata!W128,"missing: not collected"),EXACT(metadata!W128,"missing: not provided"),EXACT(metadata!W128,"missing: restricted access"))),AND(IF(metadata!W128="",FALSE,TRUE),OR(EXACT(metadata!W128,"TRUE"),EXACT(metadata!W128,"FALSE"))))</f>
        <v>0</v>
      </c>
      <c r="BI128" t="b">
        <f>AND(IF(metadata!X128="",FALSE,TRUE),EXACT(metadata!X128,"other"))</f>
        <v>0</v>
      </c>
      <c r="BJ128" t="b">
        <f>IF(metadata!Y128="",FALSE,TRUE)</f>
        <v>0</v>
      </c>
      <c r="BK128" t="b">
        <f>OR(AND(IF(metadata!Z128="",FALSE,TRUE),OR(EXACT(metadata!Z128,"missing: not collected"),EXACT(metadata!Z128,"missing: not provided"))),AND(IF(metadata!Z128="",FALSE,IF(ISERROR(INT(metadata!Z128)),FALSE,INT(metadata!Z128)=metadata!Z128)),metadata!Z128&gt;0))</f>
        <v>0</v>
      </c>
      <c r="BL128" t="b">
        <f>AND(IF(metadata!AA128="",FALSE,TRUE),EXACT(metadata!AA128,"Not applicable"))</f>
        <v>0</v>
      </c>
      <c r="BM128" t="b">
        <f>IF(metadata!AB128="",FALSE,TRUE)</f>
        <v>0</v>
      </c>
    </row>
    <row r="129" spans="1:65" x14ac:dyDescent="0.2">
      <c r="A129" s="5" t="str">
        <f ca="1">IF(B129=" "," ",HYPERLINK(CONCATENATE("#metadata!",ADDRESS(INDEX($AH$2:$AH$1001,MATCH(ROWS($AF$2:AF129),$AF$2:$AF$1001,0),0),1)),INDEX($AK$2:$AK$1001,MATCH(ROWS($AF$2:AF129),$AF$2:$AF$1001,0),0)))</f>
        <v xml:space="preserve"> </v>
      </c>
      <c r="B129" s="4" t="str">
        <f ca="1">IF(OR(INDEX($AG$2:$AG$1001,MATCH(ROWS($AF$2:AF129),$AF$2:$AF$1001,0),1)&gt;=100000,INDEX($AM$1005:$BM$1005,1,MATCH(COLUMNS($AM$1006:AM1006),$AM$1006:$BM$1006,0))&gt;=100000), " ",IF(INDEX($AM$2:$BM$1001,MATCH(ROWS($AF$2:AF129),$AF$2:$AF$1001,0),MATCH(COLUMNS($AM$1006:AM1006),$AM$1006:$BM$1006,0)), HYPERLINK("#",""), HYPERLINK(CONCATENATE("#metadata!", ADDRESS(INDEX($AH$2:$AH$1001,MATCH(ROWS($AF$2:AF129),$AF$2:$AF$1001,0),0), INDEX($AM$1004:$BM$1004,1,MATCH(COLUMNS($AM$1006:AM1006),$AM$1006:$BM$1006,0)))),"Fix")))</f>
        <v xml:space="preserve"> </v>
      </c>
      <c r="C129" s="4" t="str">
        <f ca="1">IF(OR(INDEX($AG$2:$AG$1001,MATCH(ROWS($AF$2:AF129),$AF$2:$AF$1001,0),1)&gt;=100000,INDEX($AM$1005:$BM$1005,1,MATCH(COLUMNS($AM$1006:AN1006),$AM$1006:$BM$1006,0))&gt;=100000), " ",IF(INDEX($AM$2:$BM$1001,MATCH(ROWS($AF$2:AF129),$AF$2:$AF$1001,0),MATCH(COLUMNS($AM$1006:AN1006),$AM$1006:$BM$1006,0)), HYPERLINK("#",""), HYPERLINK(CONCATENATE("#metadata!", ADDRESS(INDEX($AH$2:$AH$1001,MATCH(ROWS($AF$2:AF129),$AF$2:$AF$1001,0),0), INDEX($AM$1004:$BM$1004,1,MATCH(COLUMNS($AM$1006:AN1006),$AM$1006:$BM$1006,0)))),"Fix")))</f>
        <v xml:space="preserve"> </v>
      </c>
      <c r="D129" s="4" t="str">
        <f ca="1">IF(OR(INDEX($AG$2:$AG$1001,MATCH(ROWS($AF$2:AF129),$AF$2:$AF$1001,0),1)&gt;=100000,INDEX($AM$1005:$BM$1005,1,MATCH(COLUMNS($AM$1006:AO1006),$AM$1006:$BM$1006,0))&gt;=100000), " ",IF(INDEX($AM$2:$BM$1001,MATCH(ROWS($AF$2:AF129),$AF$2:$AF$1001,0),MATCH(COLUMNS($AM$1006:AO1006),$AM$1006:$BM$1006,0)), HYPERLINK("#",""), HYPERLINK(CONCATENATE("#metadata!", ADDRESS(INDEX($AH$2:$AH$1001,MATCH(ROWS($AF$2:AF129),$AF$2:$AF$1001,0),0), INDEX($AM$1004:$BM$1004,1,MATCH(COLUMNS($AM$1006:AO1006),$AM$1006:$BM$1006,0)))),"Fix")))</f>
        <v xml:space="preserve"> </v>
      </c>
      <c r="E129" s="4" t="str">
        <f ca="1">IF(OR(INDEX($AG$2:$AG$1001,MATCH(ROWS($AF$2:AF129),$AF$2:$AF$1001,0),1)&gt;=100000,INDEX($AM$1005:$BM$1005,1,MATCH(COLUMNS($AM$1006:AP1006),$AM$1006:$BM$1006,0))&gt;=100000), " ",IF(INDEX($AM$2:$BM$1001,MATCH(ROWS($AF$2:AF129),$AF$2:$AF$1001,0),MATCH(COLUMNS($AM$1006:AP1006),$AM$1006:$BM$1006,0)), HYPERLINK("#",""), HYPERLINK(CONCATENATE("#metadata!", ADDRESS(INDEX($AH$2:$AH$1001,MATCH(ROWS($AF$2:AF129),$AF$2:$AF$1001,0),0), INDEX($AM$1004:$BM$1004,1,MATCH(COLUMNS($AM$1006:AP1006),$AM$1006:$BM$1006,0)))),"Fix")))</f>
        <v xml:space="preserve"> </v>
      </c>
      <c r="F129" s="4" t="str">
        <f ca="1">IF(OR(INDEX($AG$2:$AG$1001,MATCH(ROWS($AF$2:AF129),$AF$2:$AF$1001,0),1)&gt;=100000,INDEX($AM$1005:$BM$1005,1,MATCH(COLUMNS($AM$1006:AQ1006),$AM$1006:$BM$1006,0))&gt;=100000), " ",IF(INDEX($AM$2:$BM$1001,MATCH(ROWS($AF$2:AF129),$AF$2:$AF$1001,0),MATCH(COLUMNS($AM$1006:AQ1006),$AM$1006:$BM$1006,0)), HYPERLINK("#",""), HYPERLINK(CONCATENATE("#metadata!", ADDRESS(INDEX($AH$2:$AH$1001,MATCH(ROWS($AF$2:AF129),$AF$2:$AF$1001,0),0), INDEX($AM$1004:$BM$1004,1,MATCH(COLUMNS($AM$1006:AQ1006),$AM$1006:$BM$1006,0)))),"Fix")))</f>
        <v xml:space="preserve"> </v>
      </c>
      <c r="G129" s="4" t="str">
        <f ca="1">IF(OR(INDEX($AG$2:$AG$1001,MATCH(ROWS($AF$2:AF129),$AF$2:$AF$1001,0),1)&gt;=100000,INDEX($AM$1005:$BM$1005,1,MATCH(COLUMNS($AM$1006:AR1006),$AM$1006:$BM$1006,0))&gt;=100000), " ",IF(INDEX($AM$2:$BM$1001,MATCH(ROWS($AF$2:AF129),$AF$2:$AF$1001,0),MATCH(COLUMNS($AM$1006:AR1006),$AM$1006:$BM$1006,0)), HYPERLINK("#",""), HYPERLINK(CONCATENATE("#metadata!", ADDRESS(INDEX($AH$2:$AH$1001,MATCH(ROWS($AF$2:AF129),$AF$2:$AF$1001,0),0), INDEX($AM$1004:$BM$1004,1,MATCH(COLUMNS($AM$1006:AR1006),$AM$1006:$BM$1006,0)))),"Fix")))</f>
        <v xml:space="preserve"> </v>
      </c>
      <c r="H129" s="4" t="str">
        <f ca="1">IF(OR(INDEX($AG$2:$AG$1001,MATCH(ROWS($AF$2:AF129),$AF$2:$AF$1001,0),1)&gt;=100000,INDEX($AM$1005:$BM$1005,1,MATCH(COLUMNS($AM$1006:AS1006),$AM$1006:$BM$1006,0))&gt;=100000), " ",IF(INDEX($AM$2:$BM$1001,MATCH(ROWS($AF$2:AF129),$AF$2:$AF$1001,0),MATCH(COLUMNS($AM$1006:AS1006),$AM$1006:$BM$1006,0)), HYPERLINK("#",""), HYPERLINK(CONCATENATE("#metadata!", ADDRESS(INDEX($AH$2:$AH$1001,MATCH(ROWS($AF$2:AF129),$AF$2:$AF$1001,0),0), INDEX($AM$1004:$BM$1004,1,MATCH(COLUMNS($AM$1006:AS1006),$AM$1006:$BM$1006,0)))),"Fix")))</f>
        <v xml:space="preserve"> </v>
      </c>
      <c r="I129" s="4" t="str">
        <f ca="1">IF(OR(INDEX($AG$2:$AG$1001,MATCH(ROWS($AF$2:AF129),$AF$2:$AF$1001,0),1)&gt;=100000,INDEX($AM$1005:$BM$1005,1,MATCH(COLUMNS($AM$1006:AT1006),$AM$1006:$BM$1006,0))&gt;=100000), " ",IF(INDEX($AM$2:$BM$1001,MATCH(ROWS($AF$2:AF129),$AF$2:$AF$1001,0),MATCH(COLUMNS($AM$1006:AT1006),$AM$1006:$BM$1006,0)), HYPERLINK("#",""), HYPERLINK(CONCATENATE("#metadata!", ADDRESS(INDEX($AH$2:$AH$1001,MATCH(ROWS($AF$2:AF129),$AF$2:$AF$1001,0),0), INDEX($AM$1004:$BM$1004,1,MATCH(COLUMNS($AM$1006:AT1006),$AM$1006:$BM$1006,0)))),"Fix")))</f>
        <v xml:space="preserve"> </v>
      </c>
      <c r="J129" s="4" t="str">
        <f ca="1">IF(OR(INDEX($AG$2:$AG$1001,MATCH(ROWS($AF$2:AF129),$AF$2:$AF$1001,0),1)&gt;=100000,INDEX($AM$1005:$BM$1005,1,MATCH(COLUMNS($AM$1006:AU1006),$AM$1006:$BM$1006,0))&gt;=100000), " ",IF(INDEX($AM$2:$BM$1001,MATCH(ROWS($AF$2:AF129),$AF$2:$AF$1001,0),MATCH(COLUMNS($AM$1006:AU1006),$AM$1006:$BM$1006,0)), HYPERLINK("#",""), HYPERLINK(CONCATENATE("#metadata!", ADDRESS(INDEX($AH$2:$AH$1001,MATCH(ROWS($AF$2:AF129),$AF$2:$AF$1001,0),0), INDEX($AM$1004:$BM$1004,1,MATCH(COLUMNS($AM$1006:AU1006),$AM$1006:$BM$1006,0)))),"Fix")))</f>
        <v xml:space="preserve"> </v>
      </c>
      <c r="K129" s="4" t="str">
        <f ca="1">IF(OR(INDEX($AG$2:$AG$1001,MATCH(ROWS($AF$2:AF129),$AF$2:$AF$1001,0),1)&gt;=100000,INDEX($AM$1005:$BM$1005,1,MATCH(COLUMNS($AM$1006:AV1006),$AM$1006:$BM$1006,0))&gt;=100000), " ",IF(INDEX($AM$2:$BM$1001,MATCH(ROWS($AF$2:AF129),$AF$2:$AF$1001,0),MATCH(COLUMNS($AM$1006:AV1006),$AM$1006:$BM$1006,0)), HYPERLINK("#",""), HYPERLINK(CONCATENATE("#metadata!", ADDRESS(INDEX($AH$2:$AH$1001,MATCH(ROWS($AF$2:AF129),$AF$2:$AF$1001,0),0), INDEX($AM$1004:$BM$1004,1,MATCH(COLUMNS($AM$1006:AV1006),$AM$1006:$BM$1006,0)))),"Fix")))</f>
        <v xml:space="preserve"> </v>
      </c>
      <c r="L129" s="4" t="str">
        <f ca="1">IF(OR(INDEX($AG$2:$AG$1001,MATCH(ROWS($AF$2:AF129),$AF$2:$AF$1001,0),1)&gt;=100000,INDEX($AM$1005:$BM$1005,1,MATCH(COLUMNS($AM$1006:AW1006),$AM$1006:$BM$1006,0))&gt;=100000), " ",IF(INDEX($AM$2:$BM$1001,MATCH(ROWS($AF$2:AF129),$AF$2:$AF$1001,0),MATCH(COLUMNS($AM$1006:AW1006),$AM$1006:$BM$1006,0)), HYPERLINK("#",""), HYPERLINK(CONCATENATE("#metadata!", ADDRESS(INDEX($AH$2:$AH$1001,MATCH(ROWS($AF$2:AF129),$AF$2:$AF$1001,0),0), INDEX($AM$1004:$BM$1004,1,MATCH(COLUMNS($AM$1006:AW1006),$AM$1006:$BM$1006,0)))),"Fix")))</f>
        <v xml:space="preserve"> </v>
      </c>
      <c r="M129" s="4" t="str">
        <f ca="1">IF(OR(INDEX($AG$2:$AG$1001,MATCH(ROWS($AF$2:AF129),$AF$2:$AF$1001,0),1)&gt;=100000,INDEX($AM$1005:$BM$1005,1,MATCH(COLUMNS($AM$1006:AX1006),$AM$1006:$BM$1006,0))&gt;=100000), " ",IF(INDEX($AM$2:$BM$1001,MATCH(ROWS($AF$2:AF129),$AF$2:$AF$1001,0),MATCH(COLUMNS($AM$1006:AX1006),$AM$1006:$BM$1006,0)), HYPERLINK("#",""), HYPERLINK(CONCATENATE("#metadata!", ADDRESS(INDEX($AH$2:$AH$1001,MATCH(ROWS($AF$2:AF129),$AF$2:$AF$1001,0),0), INDEX($AM$1004:$BM$1004,1,MATCH(COLUMNS($AM$1006:AX1006),$AM$1006:$BM$1006,0)))),"Fix")))</f>
        <v xml:space="preserve"> </v>
      </c>
      <c r="N129" s="4" t="str">
        <f ca="1">IF(OR(INDEX($AG$2:$AG$1001,MATCH(ROWS($AF$2:AF129),$AF$2:$AF$1001,0),1)&gt;=100000,INDEX($AM$1005:$BM$1005,1,MATCH(COLUMNS($AM$1006:AY1006),$AM$1006:$BM$1006,0))&gt;=100000), " ",IF(INDEX($AM$2:$BM$1001,MATCH(ROWS($AF$2:AF129),$AF$2:$AF$1001,0),MATCH(COLUMNS($AM$1006:AY1006),$AM$1006:$BM$1006,0)), HYPERLINK("#",""), HYPERLINK(CONCATENATE("#metadata!", ADDRESS(INDEX($AH$2:$AH$1001,MATCH(ROWS($AF$2:AF129),$AF$2:$AF$1001,0),0), INDEX($AM$1004:$BM$1004,1,MATCH(COLUMNS($AM$1006:AY1006),$AM$1006:$BM$1006,0)))),"Fix")))</f>
        <v xml:space="preserve"> </v>
      </c>
      <c r="O129" s="4" t="str">
        <f ca="1">IF(OR(INDEX($AG$2:$AG$1001,MATCH(ROWS($AF$2:AF129),$AF$2:$AF$1001,0),1)&gt;=100000,INDEX($AM$1005:$BM$1005,1,MATCH(COLUMNS($AM$1006:AZ1006),$AM$1006:$BM$1006,0))&gt;=100000), " ",IF(INDEX($AM$2:$BM$1001,MATCH(ROWS($AF$2:AF129),$AF$2:$AF$1001,0),MATCH(COLUMNS($AM$1006:AZ1006),$AM$1006:$BM$1006,0)), HYPERLINK("#",""), HYPERLINK(CONCATENATE("#metadata!", ADDRESS(INDEX($AH$2:$AH$1001,MATCH(ROWS($AF$2:AF129),$AF$2:$AF$1001,0),0), INDEX($AM$1004:$BM$1004,1,MATCH(COLUMNS($AM$1006:AZ1006),$AM$1006:$BM$1006,0)))),"Fix")))</f>
        <v xml:space="preserve"> </v>
      </c>
      <c r="P129" s="4" t="str">
        <f ca="1">IF(OR(INDEX($AG$2:$AG$1001,MATCH(ROWS($AF$2:AF129),$AF$2:$AF$1001,0),1)&gt;=100000,INDEX($AM$1005:$BM$1005,1,MATCH(COLUMNS($AM$1006:BA1006),$AM$1006:$BM$1006,0))&gt;=100000), " ",IF(INDEX($AM$2:$BM$1001,MATCH(ROWS($AF$2:AF129),$AF$2:$AF$1001,0),MATCH(COLUMNS($AM$1006:BA1006),$AM$1006:$BM$1006,0)), HYPERLINK("#",""), HYPERLINK(CONCATENATE("#metadata!", ADDRESS(INDEX($AH$2:$AH$1001,MATCH(ROWS($AF$2:AF129),$AF$2:$AF$1001,0),0), INDEX($AM$1004:$BM$1004,1,MATCH(COLUMNS($AM$1006:BA1006),$AM$1006:$BM$1006,0)))),"Fix")))</f>
        <v xml:space="preserve"> </v>
      </c>
      <c r="Q129" s="4" t="str">
        <f ca="1">IF(OR(INDEX($AG$2:$AG$1001,MATCH(ROWS($AF$2:AF129),$AF$2:$AF$1001,0),1)&gt;=100000,INDEX($AM$1005:$BM$1005,1,MATCH(COLUMNS($AM$1006:BB1006),$AM$1006:$BM$1006,0))&gt;=100000), " ",IF(INDEX($AM$2:$BM$1001,MATCH(ROWS($AF$2:AF129),$AF$2:$AF$1001,0),MATCH(COLUMNS($AM$1006:BB1006),$AM$1006:$BM$1006,0)), HYPERLINK("#",""), HYPERLINK(CONCATENATE("#metadata!", ADDRESS(INDEX($AH$2:$AH$1001,MATCH(ROWS($AF$2:AF129),$AF$2:$AF$1001,0),0), INDEX($AM$1004:$BM$1004,1,MATCH(COLUMNS($AM$1006:BB1006),$AM$1006:$BM$1006,0)))),"Fix")))</f>
        <v xml:space="preserve"> </v>
      </c>
      <c r="R129" s="4" t="str">
        <f ca="1">IF(OR(INDEX($AG$2:$AG$1001,MATCH(ROWS($AF$2:AF129),$AF$2:$AF$1001,0),1)&gt;=100000,INDEX($AM$1005:$BM$1005,1,MATCH(COLUMNS($AM$1006:BC1006),$AM$1006:$BM$1006,0))&gt;=100000), " ",IF(INDEX($AM$2:$BM$1001,MATCH(ROWS($AF$2:AF129),$AF$2:$AF$1001,0),MATCH(COLUMNS($AM$1006:BC1006),$AM$1006:$BM$1006,0)), HYPERLINK("#",""), HYPERLINK(CONCATENATE("#metadata!", ADDRESS(INDEX($AH$2:$AH$1001,MATCH(ROWS($AF$2:AF129),$AF$2:$AF$1001,0),0), INDEX($AM$1004:$BM$1004,1,MATCH(COLUMNS($AM$1006:BC1006),$AM$1006:$BM$1006,0)))),"Fix")))</f>
        <v xml:space="preserve"> </v>
      </c>
      <c r="S129" s="4" t="str">
        <f ca="1">IF(OR(INDEX($AG$2:$AG$1001,MATCH(ROWS($AF$2:AF129),$AF$2:$AF$1001,0),1)&gt;=100000,INDEX($AM$1005:$BM$1005,1,MATCH(COLUMNS($AM$1006:BD1006),$AM$1006:$BM$1006,0))&gt;=100000), " ",IF(INDEX($AM$2:$BM$1001,MATCH(ROWS($AF$2:AF129),$AF$2:$AF$1001,0),MATCH(COLUMNS($AM$1006:BD1006),$AM$1006:$BM$1006,0)), HYPERLINK("#",""), HYPERLINK(CONCATENATE("#metadata!", ADDRESS(INDEX($AH$2:$AH$1001,MATCH(ROWS($AF$2:AF129),$AF$2:$AF$1001,0),0), INDEX($AM$1004:$BM$1004,1,MATCH(COLUMNS($AM$1006:BD1006),$AM$1006:$BM$1006,0)))),"Fix")))</f>
        <v xml:space="preserve"> </v>
      </c>
      <c r="T129" s="4" t="str">
        <f ca="1">IF(OR(INDEX($AG$2:$AG$1001,MATCH(ROWS($AF$2:AF129),$AF$2:$AF$1001,0),1)&gt;=100000,INDEX($AM$1005:$BM$1005,1,MATCH(COLUMNS($AM$1006:BE1006),$AM$1006:$BM$1006,0))&gt;=100000), " ",IF(INDEX($AM$2:$BM$1001,MATCH(ROWS($AF$2:AF129),$AF$2:$AF$1001,0),MATCH(COLUMNS($AM$1006:BE1006),$AM$1006:$BM$1006,0)), HYPERLINK("#",""), HYPERLINK(CONCATENATE("#metadata!", ADDRESS(INDEX($AH$2:$AH$1001,MATCH(ROWS($AF$2:AF129),$AF$2:$AF$1001,0),0), INDEX($AM$1004:$BM$1004,1,MATCH(COLUMNS($AM$1006:BE1006),$AM$1006:$BM$1006,0)))),"Fix")))</f>
        <v xml:space="preserve"> </v>
      </c>
      <c r="U129" s="4" t="str">
        <f ca="1">IF(OR(INDEX($AG$2:$AG$1001,MATCH(ROWS($AF$2:AF129),$AF$2:$AF$1001,0),1)&gt;=100000,INDEX($AM$1005:$BM$1005,1,MATCH(COLUMNS($AM$1006:BF1006),$AM$1006:$BM$1006,0))&gt;=100000), " ",IF(INDEX($AM$2:$BM$1001,MATCH(ROWS($AF$2:AF129),$AF$2:$AF$1001,0),MATCH(COLUMNS($AM$1006:BF1006),$AM$1006:$BM$1006,0)), HYPERLINK("#",""), HYPERLINK(CONCATENATE("#metadata!", ADDRESS(INDEX($AH$2:$AH$1001,MATCH(ROWS($AF$2:AF129),$AF$2:$AF$1001,0),0), INDEX($AM$1004:$BM$1004,1,MATCH(COLUMNS($AM$1006:BF1006),$AM$1006:$BM$1006,0)))),"Fix")))</f>
        <v xml:space="preserve"> </v>
      </c>
      <c r="V129" s="4" t="str">
        <f ca="1">IF(OR(INDEX($AG$2:$AG$1001,MATCH(ROWS($AF$2:AF129),$AF$2:$AF$1001,0),1)&gt;=100000,INDEX($AM$1005:$BM$1005,1,MATCH(COLUMNS($AM$1006:BG1006),$AM$1006:$BM$1006,0))&gt;=100000), " ",IF(INDEX($AM$2:$BM$1001,MATCH(ROWS($AF$2:AF129),$AF$2:$AF$1001,0),MATCH(COLUMNS($AM$1006:BG1006),$AM$1006:$BM$1006,0)), HYPERLINK("#",""), HYPERLINK(CONCATENATE("#metadata!", ADDRESS(INDEX($AH$2:$AH$1001,MATCH(ROWS($AF$2:AF129),$AF$2:$AF$1001,0),0), INDEX($AM$1004:$BM$1004,1,MATCH(COLUMNS($AM$1006:BG1006),$AM$1006:$BM$1006,0)))),"Fix")))</f>
        <v xml:space="preserve"> </v>
      </c>
      <c r="W129" s="4" t="str">
        <f ca="1">IF(OR(INDEX($AG$2:$AG$1001,MATCH(ROWS($AF$2:AF129),$AF$2:$AF$1001,0),1)&gt;=100000,INDEX($AM$1005:$BM$1005,1,MATCH(COLUMNS($AM$1006:BH1006),$AM$1006:$BM$1006,0))&gt;=100000), " ",IF(INDEX($AM$2:$BM$1001,MATCH(ROWS($AF$2:AF129),$AF$2:$AF$1001,0),MATCH(COLUMNS($AM$1006:BH1006),$AM$1006:$BM$1006,0)), HYPERLINK("#",""), HYPERLINK(CONCATENATE("#metadata!", ADDRESS(INDEX($AH$2:$AH$1001,MATCH(ROWS($AF$2:AF129),$AF$2:$AF$1001,0),0), INDEX($AM$1004:$BM$1004,1,MATCH(COLUMNS($AM$1006:BH1006),$AM$1006:$BM$1006,0)))),"Fix")))</f>
        <v xml:space="preserve"> </v>
      </c>
      <c r="X129" s="4" t="str">
        <f ca="1">IF(OR(INDEX($AG$2:$AG$1001,MATCH(ROWS($AF$2:AF129),$AF$2:$AF$1001,0),1)&gt;=100000,INDEX($AM$1005:$BM$1005,1,MATCH(COLUMNS($AM$1006:BI1006),$AM$1006:$BM$1006,0))&gt;=100000), " ",IF(INDEX($AM$2:$BM$1001,MATCH(ROWS($AF$2:AF129),$AF$2:$AF$1001,0),MATCH(COLUMNS($AM$1006:BI1006),$AM$1006:$BM$1006,0)), HYPERLINK("#",""), HYPERLINK(CONCATENATE("#metadata!", ADDRESS(INDEX($AH$2:$AH$1001,MATCH(ROWS($AF$2:AF129),$AF$2:$AF$1001,0),0), INDEX($AM$1004:$BM$1004,1,MATCH(COLUMNS($AM$1006:BI1006),$AM$1006:$BM$1006,0)))),"Fix")))</f>
        <v xml:space="preserve"> </v>
      </c>
      <c r="Y129" s="4" t="str">
        <f ca="1">IF(OR(INDEX($AG$2:$AG$1001,MATCH(ROWS($AF$2:AF129),$AF$2:$AF$1001,0),1)&gt;=100000,INDEX($AM$1005:$BM$1005,1,MATCH(COLUMNS($AM$1006:BJ1006),$AM$1006:$BM$1006,0))&gt;=100000), " ",IF(INDEX($AM$2:$BM$1001,MATCH(ROWS($AF$2:AF129),$AF$2:$AF$1001,0),MATCH(COLUMNS($AM$1006:BJ1006),$AM$1006:$BM$1006,0)), HYPERLINK("#",""), HYPERLINK(CONCATENATE("#metadata!", ADDRESS(INDEX($AH$2:$AH$1001,MATCH(ROWS($AF$2:AF129),$AF$2:$AF$1001,0),0), INDEX($AM$1004:$BM$1004,1,MATCH(COLUMNS($AM$1006:BJ1006),$AM$1006:$BM$1006,0)))),"Fix")))</f>
        <v xml:space="preserve"> </v>
      </c>
      <c r="Z129" s="4" t="str">
        <f ca="1">IF(OR(INDEX($AG$2:$AG$1001,MATCH(ROWS($AF$2:AF129),$AF$2:$AF$1001,0),1)&gt;=100000,INDEX($AM$1005:$BM$1005,1,MATCH(COLUMNS($AM$1006:BK1006),$AM$1006:$BM$1006,0))&gt;=100000), " ",IF(INDEX($AM$2:$BM$1001,MATCH(ROWS($AF$2:AF129),$AF$2:$AF$1001,0),MATCH(COLUMNS($AM$1006:BK1006),$AM$1006:$BM$1006,0)), HYPERLINK("#",""), HYPERLINK(CONCATENATE("#metadata!", ADDRESS(INDEX($AH$2:$AH$1001,MATCH(ROWS($AF$2:AF129),$AF$2:$AF$1001,0),0), INDEX($AM$1004:$BM$1004,1,MATCH(COLUMNS($AM$1006:BK1006),$AM$1006:$BM$1006,0)))),"Fix")))</f>
        <v xml:space="preserve"> </v>
      </c>
      <c r="AA129" s="4" t="str">
        <f ca="1">IF(OR(INDEX($AG$2:$AG$1001,MATCH(ROWS($AF$2:AF129),$AF$2:$AF$1001,0),1)&gt;=100000,INDEX($AM$1005:$BM$1005,1,MATCH(COLUMNS($AM$1006:BL1006),$AM$1006:$BM$1006,0))&gt;=100000), " ",IF(INDEX($AM$2:$BM$1001,MATCH(ROWS($AF$2:AF129),$AF$2:$AF$1001,0),MATCH(COLUMNS($AM$1006:BL1006),$AM$1006:$BM$1006,0)), HYPERLINK("#",""), HYPERLINK(CONCATENATE("#metadata!", ADDRESS(INDEX($AH$2:$AH$1001,MATCH(ROWS($AF$2:AF129),$AF$2:$AF$1001,0),0), INDEX($AM$1004:$BM$1004,1,MATCH(COLUMNS($AM$1006:BL1006),$AM$1006:$BM$1006,0)))),"Fix")))</f>
        <v xml:space="preserve"> </v>
      </c>
      <c r="AB129" s="4" t="str">
        <f ca="1">IF(OR(INDEX($AG$2:$AG$1001,MATCH(ROWS($AF$2:AF129),$AF$2:$AF$1001,0),1)&gt;=100000,INDEX($AM$1005:$BM$1005,1,MATCH(COLUMNS($AM$1006:BM1006),$AM$1006:$BM$1006,0))&gt;=100000), " ",IF(INDEX($AM$2:$BM$1001,MATCH(ROWS($AF$2:AF129),$AF$2:$AF$1001,0),MATCH(COLUMNS($AM$1006:BM1006),$AM$1006:$BM$1006,0)), HYPERLINK("#",""), HYPERLINK(CONCATENATE("#metadata!", ADDRESS(INDEX($AH$2:$AH$1001,MATCH(ROWS($AF$2:AF129),$AF$2:$AF$1001,0),0), INDEX($AM$1004:$BM$1004,1,MATCH(COLUMNS($AM$1006:BM1006),$AM$1006:$BM$1006,0)))),"Fix")))</f>
        <v xml:space="preserve"> </v>
      </c>
      <c r="AF129">
        <v>128</v>
      </c>
      <c r="AG129">
        <v>100129</v>
      </c>
      <c r="AH129">
        <v>129</v>
      </c>
      <c r="AI129" t="b">
        <f t="shared" si="1"/>
        <v>1</v>
      </c>
      <c r="AJ129" t="b">
        <f>COUNTBLANK(metadata!B129:AB129)=COLUMNS(metadata!B129:AB129)</f>
        <v>1</v>
      </c>
      <c r="AK129" t="str">
        <v/>
      </c>
      <c r="AM129" t="b">
        <f ca="1">AND(IF(metadata!B129="",FALSE,TRUE),COUNTIF(metadata!B:B, metadata!B129) = 1,NOT(ISERROR(SUMPRODUCT(SEARCH(MID(metadata!B129,ROW(INDIRECT("1:"&amp;LEN(metadata!B129))), 1),"0123456789abcdefghijklmnopqrstuvwxyzABCDEFGHIJKLMNOPQRSTUVWXYZ.")))))</f>
        <v>0</v>
      </c>
      <c r="AN129" t="b">
        <f ca="1">OR(AND(IF(metadata!C129="",FALSE,TRUE),OR(EXACT(metadata!C129,"missing: not collected"),EXACT(metadata!C129,"missing: not provided"),EXACT(metadata!C129,"missing: restricted access"))),AND(IF(metadata!C129="",FALSE,TRUE),AND(AND(IFERROR(INT(LEFT(metadata!C129,4))&gt;1900,FALSE),IFERROR(INT(LEFT(metadata!C129,4))&lt;=YEAR(NOW()),FALSE)), OR(MID(metadata!C129,5,1)="", AND(AND(MID(metadata!C129,5,1)="-",IFERROR(INT(MID(metadata!C129,6,1))&gt;=0,FALSE),IFERROR(INT(MID(metadata!C129,6,1))&lt;=1,FALSE),NOT(MID(metadata!C129,7,1)=""),IFERROR(INT(MID(metadata!C129,6,2))&gt;=1,FALSE),IFERROR(INT(MID(metadata!C129,6,2))&lt;=12,FALSE)), OR(MID(metadata!C129,8,1)="", AND(AND(MID(metadata!C129,8,1)="-",IFERROR(INT(MID(metadata!C129,9,1))&gt;=0,FALSE),IFERROR(INT(MID(metadata!C129,9,1))&lt;=3,FALSE),NOT(MID(metadata!C129,10,1)=""),IFERROR(INT(MID(metadata!C129,9,2))&gt;=1,FALSE),IFERROR(INT(MID(metadata!C129,9,2))&lt;=31,FALSE)), OR(MID(metadata!C129,11,1)="", AND(AND(MID(metadata!C129,11,1)=" ",IFERROR(INT(MID(metadata!C129,12,1))&gt;=0,FALSE),IFERROR(INT(MID(metadata!C129,12,1))&lt;=2,FALSE),NOT(MID(metadata!C129,13,1)=""),IFERROR(INT(MID(metadata!C129,12,2))&gt;=0,FALSE),IFERROR(INT(MID(metadata!C129,12,2))&lt;=23,FALSE)), OR(MID(metadata!C129,14,1)="", AND(AND(MID(metadata!C129,14,1)=":",IFERROR(INT(MID(metadata!C129,15,1))&gt;=0,FALSE),IFERROR(INT(MID(metadata!C129,15,1))&lt;=5,FALSE),NOT(MID(metadata!C129,16,1)=""),IFERROR(INT(MID(metadata!C129,15,2))&gt;=0,FALSE),IFERROR(INT(MID(metadata!C129,15,2))&lt;=59,FALSE)), OR(MID(metadata!C129,17,1)="", AND(AND(MID(metadata!C129,17,1)=":",IFERROR(INT(MID(metadata!C129,18,1))&gt;=0,FALSE),IFERROR(INT(MID(metadata!C129,18,1))&lt;=5,FALSE),NOT(MID(metadata!C129,19,1)=""),IFERROR(INT(MID(metadata!C129,18,2))&gt;=0,FALSE),IFERROR(INT(MID(metadata!C129,18,2))&lt;=59,FALSE)), LEN(metadata!C129)&lt;=19)))))))))))))</f>
        <v>0</v>
      </c>
      <c r="AO129" t="b">
        <f>AND(IF(metadata!D129="",FALSE,TRUE),EXACT(metadata!D129,"Not applicable"))</f>
        <v>0</v>
      </c>
      <c r="AP129" t="b">
        <f>IF(metadata!E129="",FALSE,TRUE)</f>
        <v>0</v>
      </c>
      <c r="AQ129" t="b">
        <f>OR(AND(IF(metadata!F129="",FALSE,TRUE),OR(EXACT(metadata!F129,"missing: not collected"),EXACT(metadata!F129,"missing: not provided"))),AND(IF(metadata!F129="",FALSE,TRUE),OR(EXACT(metadata!F129,"TRUE"),EXACT(metadata!F129,"FALSE"))))</f>
        <v>0</v>
      </c>
      <c r="AR129" t="b">
        <f>OR(AND(IF(metadata!G129="",FALSE,TRUE),OR(EXACT(metadata!G129,"missing: not collected"),EXACT(metadata!G129,"missing: not provided"),EXACT(metadata!G129,"missing: restricted access"))),AND(IF(metadata!G129="",FALSE,ISNUMBER(VALUE(metadata!G129))),metadata!G129&gt;=-413))</f>
        <v>0</v>
      </c>
      <c r="AS129" t="b">
        <f>AND(IF(metadata!H129="",FALSE,TRUE),EXACT(metadata!H129,"meters"))</f>
        <v>0</v>
      </c>
      <c r="AT129" t="b">
        <f>AND(IF(metadata!I129="",FALSE,TRUE),OR(EXACT(metadata!I129,"Host-associated"),EXACT(metadata!I129,"Free-living")))</f>
        <v>0</v>
      </c>
      <c r="AU129" t="b">
        <f>AND(IF(metadata!J129="",FALSE,TRUE),OR(EXACT(metadata!J129,"Animal"),EXACT(metadata!J129,"Fungus"),EXACT(metadata!J129,"Plant"),EXACT(metadata!J129,"Saline"),EXACT(metadata!J129,"Non-saline")))</f>
        <v>0</v>
      </c>
      <c r="AV129" t="b">
        <f>AND(IF(metadata!K129="",FALSE,TRUE),OR(EXACT(metadata!K129,"Plant secretion"),EXACT(metadata!K129,"Plant rhizosphere"),EXACT(metadata!K129,"Plant surface"),EXACT(metadata!K129,"Plant corpus"),EXACT(metadata!K129,"Fungus surface"),EXACT(metadata!K129,"Fungus corpus"),EXACT(metadata!K129,"Animal surface"),EXACT(metadata!K129,"Animal proximal gut"),EXACT(metadata!K129,"Animal corpus"),EXACT(metadata!K129,"Animal distal gut"),EXACT(metadata!K129,"Animal secretion"),EXACT(metadata!K129,"Sub-surface (non-saline)"),EXACT(metadata!K129,"Surface (non-saline)"),EXACT(metadata!K129,"Water (non-saline)"),EXACT(metadata!K129,"Soil (non-saline)"),EXACT(metadata!K129,"Aerosol (non-saline)"),EXACT(metadata!K129,"Sediment (non-saline)"),EXACT(metadata!K129,"Surface (saline)"),EXACT(metadata!K129,"Water (saline)"),EXACT(metadata!K129,"Hypersaline (saline)"),EXACT(metadata!K129,"Aerosol (saline)"),EXACT(metadata!K129,"Sediment (saline)")))</f>
        <v>0</v>
      </c>
      <c r="AW129" t="b">
        <f>IF(metadata!L129="",FALSE,TRUE)</f>
        <v>0</v>
      </c>
      <c r="AX129" t="b">
        <f>IF(metadata!M129="",FALSE,TRUE)</f>
        <v>0</v>
      </c>
      <c r="AY129" t="b">
        <f>IF(metadata!N129="",FALSE,TRUE)</f>
        <v>0</v>
      </c>
      <c r="AZ129" t="b">
        <f>OR(AND(IF(metadata!O129="",FALSE,TRUE),OR(EXACT(metadata!O129,"missing: not collected"),EXACT(metadata!O129,"missing: not provided"),EXACT(metadata!O129,"missing: restricted access"))),AND(IF(metadata!O129="",FALSE,TRUE),OR(EXACT(metadata!O129,"air"),EXACT(metadata!O129,"built environment"),EXACT(metadata!O129,"host-associated"),EXACT(metadata!O129,"human-associated"),EXACT(metadata!O129,"human-skin"),EXACT(metadata!O129,"human-oral"),EXACT(metadata!O129,"human-gut"),EXACT(metadata!O129,"human-vaginal"),EXACT(metadata!O129,"microbial mat/biofilm"),EXACT(metadata!O129,"misc environment"),EXACT(metadata!O129,"plant-associated"),EXACT(metadata!O129,"sediment"),EXACT(metadata!O129,"soil"),EXACT(metadata!O129,"wastewater/sludge"),EXACT(metadata!O129,"water"))))</f>
        <v>0</v>
      </c>
      <c r="BA129" t="b">
        <f>IF(metadata!P129="",FALSE,TRUE)</f>
        <v>0</v>
      </c>
      <c r="BB129" t="b">
        <f>IF(metadata!Q129="",FALSE,TRUE)</f>
        <v>0</v>
      </c>
      <c r="BC129" t="b">
        <f>OR(AND(IF(metadata!R129="",FALSE,TRUE),OR(EXACT(metadata!R129,"missing: not collected"),EXACT(metadata!R129,"missing: not provided"),EXACT(metadata!R129,"missing: restricted access"))),AND(IF(metadata!R129="",FALSE,ISNUMBER(VALUE(metadata!R129))),metadata!R129&gt;=-90,metadata!R129&lt;=90))</f>
        <v>0</v>
      </c>
      <c r="BD129" t="b">
        <f>AND(IF(metadata!S129="",FALSE,TRUE),EXACT(metadata!S129,"Decimal degrees"))</f>
        <v>0</v>
      </c>
      <c r="BE129" t="b">
        <f>OR(AND(IF(metadata!T129="",FALSE,TRUE),OR(EXACT(metadata!T129,"missing: not collected"),EXACT(metadata!T129,"missing: not provided"),EXACT(metadata!T129,"missing: restricted access"))),AND(IF(metadata!T129="",FALSE,ISNUMBER(VALUE(metadata!T129))),metadata!T129&gt;=-180,metadata!T129&lt;=180))</f>
        <v>0</v>
      </c>
      <c r="BF129" t="b">
        <f>AND(IF(metadata!U129="",FALSE,TRUE),EXACT(metadata!U129,"Decimal degrees"))</f>
        <v>0</v>
      </c>
      <c r="BG129" t="b">
        <f>IF(metadata!V129="",FALSE,TRUE)</f>
        <v>0</v>
      </c>
      <c r="BH129" t="b">
        <f>OR(AND(IF(metadata!W129="",FALSE,TRUE),OR(EXACT(metadata!W129,"missing: not collected"),EXACT(metadata!W129,"missing: not provided"),EXACT(metadata!W129,"missing: restricted access"))),AND(IF(metadata!W129="",FALSE,TRUE),OR(EXACT(metadata!W129,"TRUE"),EXACT(metadata!W129,"FALSE"))))</f>
        <v>0</v>
      </c>
      <c r="BI129" t="b">
        <f>AND(IF(metadata!X129="",FALSE,TRUE),EXACT(metadata!X129,"other"))</f>
        <v>0</v>
      </c>
      <c r="BJ129" t="b">
        <f>IF(metadata!Y129="",FALSE,TRUE)</f>
        <v>0</v>
      </c>
      <c r="BK129" t="b">
        <f>OR(AND(IF(metadata!Z129="",FALSE,TRUE),OR(EXACT(metadata!Z129,"missing: not collected"),EXACT(metadata!Z129,"missing: not provided"))),AND(IF(metadata!Z129="",FALSE,IF(ISERROR(INT(metadata!Z129)),FALSE,INT(metadata!Z129)=metadata!Z129)),metadata!Z129&gt;0))</f>
        <v>0</v>
      </c>
      <c r="BL129" t="b">
        <f>AND(IF(metadata!AA129="",FALSE,TRUE),EXACT(metadata!AA129,"Not applicable"))</f>
        <v>0</v>
      </c>
      <c r="BM129" t="b">
        <f>IF(metadata!AB129="",FALSE,TRUE)</f>
        <v>0</v>
      </c>
    </row>
    <row r="130" spans="1:65" x14ac:dyDescent="0.2">
      <c r="A130" s="5" t="str">
        <f ca="1">IF(B130=" "," ",HYPERLINK(CONCATENATE("#metadata!",ADDRESS(INDEX($AH$2:$AH$1001,MATCH(ROWS($AF$2:AF130),$AF$2:$AF$1001,0),0),1)),INDEX($AK$2:$AK$1001,MATCH(ROWS($AF$2:AF130),$AF$2:$AF$1001,0),0)))</f>
        <v xml:space="preserve"> </v>
      </c>
      <c r="B130" s="4" t="str">
        <f ca="1">IF(OR(INDEX($AG$2:$AG$1001,MATCH(ROWS($AF$2:AF130),$AF$2:$AF$1001,0),1)&gt;=100000,INDEX($AM$1005:$BM$1005,1,MATCH(COLUMNS($AM$1006:AM1006),$AM$1006:$BM$1006,0))&gt;=100000), " ",IF(INDEX($AM$2:$BM$1001,MATCH(ROWS($AF$2:AF130),$AF$2:$AF$1001,0),MATCH(COLUMNS($AM$1006:AM1006),$AM$1006:$BM$1006,0)), HYPERLINK("#",""), HYPERLINK(CONCATENATE("#metadata!", ADDRESS(INDEX($AH$2:$AH$1001,MATCH(ROWS($AF$2:AF130),$AF$2:$AF$1001,0),0), INDEX($AM$1004:$BM$1004,1,MATCH(COLUMNS($AM$1006:AM1006),$AM$1006:$BM$1006,0)))),"Fix")))</f>
        <v xml:space="preserve"> </v>
      </c>
      <c r="C130" s="4" t="str">
        <f ca="1">IF(OR(INDEX($AG$2:$AG$1001,MATCH(ROWS($AF$2:AF130),$AF$2:$AF$1001,0),1)&gt;=100000,INDEX($AM$1005:$BM$1005,1,MATCH(COLUMNS($AM$1006:AN1006),$AM$1006:$BM$1006,0))&gt;=100000), " ",IF(INDEX($AM$2:$BM$1001,MATCH(ROWS($AF$2:AF130),$AF$2:$AF$1001,0),MATCH(COLUMNS($AM$1006:AN1006),$AM$1006:$BM$1006,0)), HYPERLINK("#",""), HYPERLINK(CONCATENATE("#metadata!", ADDRESS(INDEX($AH$2:$AH$1001,MATCH(ROWS($AF$2:AF130),$AF$2:$AF$1001,0),0), INDEX($AM$1004:$BM$1004,1,MATCH(COLUMNS($AM$1006:AN1006),$AM$1006:$BM$1006,0)))),"Fix")))</f>
        <v xml:space="preserve"> </v>
      </c>
      <c r="D130" s="4" t="str">
        <f ca="1">IF(OR(INDEX($AG$2:$AG$1001,MATCH(ROWS($AF$2:AF130),$AF$2:$AF$1001,0),1)&gt;=100000,INDEX($AM$1005:$BM$1005,1,MATCH(COLUMNS($AM$1006:AO1006),$AM$1006:$BM$1006,0))&gt;=100000), " ",IF(INDEX($AM$2:$BM$1001,MATCH(ROWS($AF$2:AF130),$AF$2:$AF$1001,0),MATCH(COLUMNS($AM$1006:AO1006),$AM$1006:$BM$1006,0)), HYPERLINK("#",""), HYPERLINK(CONCATENATE("#metadata!", ADDRESS(INDEX($AH$2:$AH$1001,MATCH(ROWS($AF$2:AF130),$AF$2:$AF$1001,0),0), INDEX($AM$1004:$BM$1004,1,MATCH(COLUMNS($AM$1006:AO1006),$AM$1006:$BM$1006,0)))),"Fix")))</f>
        <v xml:space="preserve"> </v>
      </c>
      <c r="E130" s="4" t="str">
        <f ca="1">IF(OR(INDEX($AG$2:$AG$1001,MATCH(ROWS($AF$2:AF130),$AF$2:$AF$1001,0),1)&gt;=100000,INDEX($AM$1005:$BM$1005,1,MATCH(COLUMNS($AM$1006:AP1006),$AM$1006:$BM$1006,0))&gt;=100000), " ",IF(INDEX($AM$2:$BM$1001,MATCH(ROWS($AF$2:AF130),$AF$2:$AF$1001,0),MATCH(COLUMNS($AM$1006:AP1006),$AM$1006:$BM$1006,0)), HYPERLINK("#",""), HYPERLINK(CONCATENATE("#metadata!", ADDRESS(INDEX($AH$2:$AH$1001,MATCH(ROWS($AF$2:AF130),$AF$2:$AF$1001,0),0), INDEX($AM$1004:$BM$1004,1,MATCH(COLUMNS($AM$1006:AP1006),$AM$1006:$BM$1006,0)))),"Fix")))</f>
        <v xml:space="preserve"> </v>
      </c>
      <c r="F130" s="4" t="str">
        <f ca="1">IF(OR(INDEX($AG$2:$AG$1001,MATCH(ROWS($AF$2:AF130),$AF$2:$AF$1001,0),1)&gt;=100000,INDEX($AM$1005:$BM$1005,1,MATCH(COLUMNS($AM$1006:AQ1006),$AM$1006:$BM$1006,0))&gt;=100000), " ",IF(INDEX($AM$2:$BM$1001,MATCH(ROWS($AF$2:AF130),$AF$2:$AF$1001,0),MATCH(COLUMNS($AM$1006:AQ1006),$AM$1006:$BM$1006,0)), HYPERLINK("#",""), HYPERLINK(CONCATENATE("#metadata!", ADDRESS(INDEX($AH$2:$AH$1001,MATCH(ROWS($AF$2:AF130),$AF$2:$AF$1001,0),0), INDEX($AM$1004:$BM$1004,1,MATCH(COLUMNS($AM$1006:AQ1006),$AM$1006:$BM$1006,0)))),"Fix")))</f>
        <v xml:space="preserve"> </v>
      </c>
      <c r="G130" s="4" t="str">
        <f ca="1">IF(OR(INDEX($AG$2:$AG$1001,MATCH(ROWS($AF$2:AF130),$AF$2:$AF$1001,0),1)&gt;=100000,INDEX($AM$1005:$BM$1005,1,MATCH(COLUMNS($AM$1006:AR1006),$AM$1006:$BM$1006,0))&gt;=100000), " ",IF(INDEX($AM$2:$BM$1001,MATCH(ROWS($AF$2:AF130),$AF$2:$AF$1001,0),MATCH(COLUMNS($AM$1006:AR1006),$AM$1006:$BM$1006,0)), HYPERLINK("#",""), HYPERLINK(CONCATENATE("#metadata!", ADDRESS(INDEX($AH$2:$AH$1001,MATCH(ROWS($AF$2:AF130),$AF$2:$AF$1001,0),0), INDEX($AM$1004:$BM$1004,1,MATCH(COLUMNS($AM$1006:AR1006),$AM$1006:$BM$1006,0)))),"Fix")))</f>
        <v xml:space="preserve"> </v>
      </c>
      <c r="H130" s="4" t="str">
        <f ca="1">IF(OR(INDEX($AG$2:$AG$1001,MATCH(ROWS($AF$2:AF130),$AF$2:$AF$1001,0),1)&gt;=100000,INDEX($AM$1005:$BM$1005,1,MATCH(COLUMNS($AM$1006:AS1006),$AM$1006:$BM$1006,0))&gt;=100000), " ",IF(INDEX($AM$2:$BM$1001,MATCH(ROWS($AF$2:AF130),$AF$2:$AF$1001,0),MATCH(COLUMNS($AM$1006:AS1006),$AM$1006:$BM$1006,0)), HYPERLINK("#",""), HYPERLINK(CONCATENATE("#metadata!", ADDRESS(INDEX($AH$2:$AH$1001,MATCH(ROWS($AF$2:AF130),$AF$2:$AF$1001,0),0), INDEX($AM$1004:$BM$1004,1,MATCH(COLUMNS($AM$1006:AS1006),$AM$1006:$BM$1006,0)))),"Fix")))</f>
        <v xml:space="preserve"> </v>
      </c>
      <c r="I130" s="4" t="str">
        <f ca="1">IF(OR(INDEX($AG$2:$AG$1001,MATCH(ROWS($AF$2:AF130),$AF$2:$AF$1001,0),1)&gt;=100000,INDEX($AM$1005:$BM$1005,1,MATCH(COLUMNS($AM$1006:AT1006),$AM$1006:$BM$1006,0))&gt;=100000), " ",IF(INDEX($AM$2:$BM$1001,MATCH(ROWS($AF$2:AF130),$AF$2:$AF$1001,0),MATCH(COLUMNS($AM$1006:AT1006),$AM$1006:$BM$1006,0)), HYPERLINK("#",""), HYPERLINK(CONCATENATE("#metadata!", ADDRESS(INDEX($AH$2:$AH$1001,MATCH(ROWS($AF$2:AF130),$AF$2:$AF$1001,0),0), INDEX($AM$1004:$BM$1004,1,MATCH(COLUMNS($AM$1006:AT1006),$AM$1006:$BM$1006,0)))),"Fix")))</f>
        <v xml:space="preserve"> </v>
      </c>
      <c r="J130" s="4" t="str">
        <f ca="1">IF(OR(INDEX($AG$2:$AG$1001,MATCH(ROWS($AF$2:AF130),$AF$2:$AF$1001,0),1)&gt;=100000,INDEX($AM$1005:$BM$1005,1,MATCH(COLUMNS($AM$1006:AU1006),$AM$1006:$BM$1006,0))&gt;=100000), " ",IF(INDEX($AM$2:$BM$1001,MATCH(ROWS($AF$2:AF130),$AF$2:$AF$1001,0),MATCH(COLUMNS($AM$1006:AU1006),$AM$1006:$BM$1006,0)), HYPERLINK("#",""), HYPERLINK(CONCATENATE("#metadata!", ADDRESS(INDEX($AH$2:$AH$1001,MATCH(ROWS($AF$2:AF130),$AF$2:$AF$1001,0),0), INDEX($AM$1004:$BM$1004,1,MATCH(COLUMNS($AM$1006:AU1006),$AM$1006:$BM$1006,0)))),"Fix")))</f>
        <v xml:space="preserve"> </v>
      </c>
      <c r="K130" s="4" t="str">
        <f ca="1">IF(OR(INDEX($AG$2:$AG$1001,MATCH(ROWS($AF$2:AF130),$AF$2:$AF$1001,0),1)&gt;=100000,INDEX($AM$1005:$BM$1005,1,MATCH(COLUMNS($AM$1006:AV1006),$AM$1006:$BM$1006,0))&gt;=100000), " ",IF(INDEX($AM$2:$BM$1001,MATCH(ROWS($AF$2:AF130),$AF$2:$AF$1001,0),MATCH(COLUMNS($AM$1006:AV1006),$AM$1006:$BM$1006,0)), HYPERLINK("#",""), HYPERLINK(CONCATENATE("#metadata!", ADDRESS(INDEX($AH$2:$AH$1001,MATCH(ROWS($AF$2:AF130),$AF$2:$AF$1001,0),0), INDEX($AM$1004:$BM$1004,1,MATCH(COLUMNS($AM$1006:AV1006),$AM$1006:$BM$1006,0)))),"Fix")))</f>
        <v xml:space="preserve"> </v>
      </c>
      <c r="L130" s="4" t="str">
        <f ca="1">IF(OR(INDEX($AG$2:$AG$1001,MATCH(ROWS($AF$2:AF130),$AF$2:$AF$1001,0),1)&gt;=100000,INDEX($AM$1005:$BM$1005,1,MATCH(COLUMNS($AM$1006:AW1006),$AM$1006:$BM$1006,0))&gt;=100000), " ",IF(INDEX($AM$2:$BM$1001,MATCH(ROWS($AF$2:AF130),$AF$2:$AF$1001,0),MATCH(COLUMNS($AM$1006:AW1006),$AM$1006:$BM$1006,0)), HYPERLINK("#",""), HYPERLINK(CONCATENATE("#metadata!", ADDRESS(INDEX($AH$2:$AH$1001,MATCH(ROWS($AF$2:AF130),$AF$2:$AF$1001,0),0), INDEX($AM$1004:$BM$1004,1,MATCH(COLUMNS($AM$1006:AW1006),$AM$1006:$BM$1006,0)))),"Fix")))</f>
        <v xml:space="preserve"> </v>
      </c>
      <c r="M130" s="4" t="str">
        <f ca="1">IF(OR(INDEX($AG$2:$AG$1001,MATCH(ROWS($AF$2:AF130),$AF$2:$AF$1001,0),1)&gt;=100000,INDEX($AM$1005:$BM$1005,1,MATCH(COLUMNS($AM$1006:AX1006),$AM$1006:$BM$1006,0))&gt;=100000), " ",IF(INDEX($AM$2:$BM$1001,MATCH(ROWS($AF$2:AF130),$AF$2:$AF$1001,0),MATCH(COLUMNS($AM$1006:AX1006),$AM$1006:$BM$1006,0)), HYPERLINK("#",""), HYPERLINK(CONCATENATE("#metadata!", ADDRESS(INDEX($AH$2:$AH$1001,MATCH(ROWS($AF$2:AF130),$AF$2:$AF$1001,0),0), INDEX($AM$1004:$BM$1004,1,MATCH(COLUMNS($AM$1006:AX1006),$AM$1006:$BM$1006,0)))),"Fix")))</f>
        <v xml:space="preserve"> </v>
      </c>
      <c r="N130" s="4" t="str">
        <f ca="1">IF(OR(INDEX($AG$2:$AG$1001,MATCH(ROWS($AF$2:AF130),$AF$2:$AF$1001,0),1)&gt;=100000,INDEX($AM$1005:$BM$1005,1,MATCH(COLUMNS($AM$1006:AY1006),$AM$1006:$BM$1006,0))&gt;=100000), " ",IF(INDEX($AM$2:$BM$1001,MATCH(ROWS($AF$2:AF130),$AF$2:$AF$1001,0),MATCH(COLUMNS($AM$1006:AY1006),$AM$1006:$BM$1006,0)), HYPERLINK("#",""), HYPERLINK(CONCATENATE("#metadata!", ADDRESS(INDEX($AH$2:$AH$1001,MATCH(ROWS($AF$2:AF130),$AF$2:$AF$1001,0),0), INDEX($AM$1004:$BM$1004,1,MATCH(COLUMNS($AM$1006:AY1006),$AM$1006:$BM$1006,0)))),"Fix")))</f>
        <v xml:space="preserve"> </v>
      </c>
      <c r="O130" s="4" t="str">
        <f ca="1">IF(OR(INDEX($AG$2:$AG$1001,MATCH(ROWS($AF$2:AF130),$AF$2:$AF$1001,0),1)&gt;=100000,INDEX($AM$1005:$BM$1005,1,MATCH(COLUMNS($AM$1006:AZ1006),$AM$1006:$BM$1006,0))&gt;=100000), " ",IF(INDEX($AM$2:$BM$1001,MATCH(ROWS($AF$2:AF130),$AF$2:$AF$1001,0),MATCH(COLUMNS($AM$1006:AZ1006),$AM$1006:$BM$1006,0)), HYPERLINK("#",""), HYPERLINK(CONCATENATE("#metadata!", ADDRESS(INDEX($AH$2:$AH$1001,MATCH(ROWS($AF$2:AF130),$AF$2:$AF$1001,0),0), INDEX($AM$1004:$BM$1004,1,MATCH(COLUMNS($AM$1006:AZ1006),$AM$1006:$BM$1006,0)))),"Fix")))</f>
        <v xml:space="preserve"> </v>
      </c>
      <c r="P130" s="4" t="str">
        <f ca="1">IF(OR(INDEX($AG$2:$AG$1001,MATCH(ROWS($AF$2:AF130),$AF$2:$AF$1001,0),1)&gt;=100000,INDEX($AM$1005:$BM$1005,1,MATCH(COLUMNS($AM$1006:BA1006),$AM$1006:$BM$1006,0))&gt;=100000), " ",IF(INDEX($AM$2:$BM$1001,MATCH(ROWS($AF$2:AF130),$AF$2:$AF$1001,0),MATCH(COLUMNS($AM$1006:BA1006),$AM$1006:$BM$1006,0)), HYPERLINK("#",""), HYPERLINK(CONCATENATE("#metadata!", ADDRESS(INDEX($AH$2:$AH$1001,MATCH(ROWS($AF$2:AF130),$AF$2:$AF$1001,0),0), INDEX($AM$1004:$BM$1004,1,MATCH(COLUMNS($AM$1006:BA1006),$AM$1006:$BM$1006,0)))),"Fix")))</f>
        <v xml:space="preserve"> </v>
      </c>
      <c r="Q130" s="4" t="str">
        <f ca="1">IF(OR(INDEX($AG$2:$AG$1001,MATCH(ROWS($AF$2:AF130),$AF$2:$AF$1001,0),1)&gt;=100000,INDEX($AM$1005:$BM$1005,1,MATCH(COLUMNS($AM$1006:BB1006),$AM$1006:$BM$1006,0))&gt;=100000), " ",IF(INDEX($AM$2:$BM$1001,MATCH(ROWS($AF$2:AF130),$AF$2:$AF$1001,0),MATCH(COLUMNS($AM$1006:BB1006),$AM$1006:$BM$1006,0)), HYPERLINK("#",""), HYPERLINK(CONCATENATE("#metadata!", ADDRESS(INDEX($AH$2:$AH$1001,MATCH(ROWS($AF$2:AF130),$AF$2:$AF$1001,0),0), INDEX($AM$1004:$BM$1004,1,MATCH(COLUMNS($AM$1006:BB1006),$AM$1006:$BM$1006,0)))),"Fix")))</f>
        <v xml:space="preserve"> </v>
      </c>
      <c r="R130" s="4" t="str">
        <f ca="1">IF(OR(INDEX($AG$2:$AG$1001,MATCH(ROWS($AF$2:AF130),$AF$2:$AF$1001,0),1)&gt;=100000,INDEX($AM$1005:$BM$1005,1,MATCH(COLUMNS($AM$1006:BC1006),$AM$1006:$BM$1006,0))&gt;=100000), " ",IF(INDEX($AM$2:$BM$1001,MATCH(ROWS($AF$2:AF130),$AF$2:$AF$1001,0),MATCH(COLUMNS($AM$1006:BC1006),$AM$1006:$BM$1006,0)), HYPERLINK("#",""), HYPERLINK(CONCATENATE("#metadata!", ADDRESS(INDEX($AH$2:$AH$1001,MATCH(ROWS($AF$2:AF130),$AF$2:$AF$1001,0),0), INDEX($AM$1004:$BM$1004,1,MATCH(COLUMNS($AM$1006:BC1006),$AM$1006:$BM$1006,0)))),"Fix")))</f>
        <v xml:space="preserve"> </v>
      </c>
      <c r="S130" s="4" t="str">
        <f ca="1">IF(OR(INDEX($AG$2:$AG$1001,MATCH(ROWS($AF$2:AF130),$AF$2:$AF$1001,0),1)&gt;=100000,INDEX($AM$1005:$BM$1005,1,MATCH(COLUMNS($AM$1006:BD1006),$AM$1006:$BM$1006,0))&gt;=100000), " ",IF(INDEX($AM$2:$BM$1001,MATCH(ROWS($AF$2:AF130),$AF$2:$AF$1001,0),MATCH(COLUMNS($AM$1006:BD1006),$AM$1006:$BM$1006,0)), HYPERLINK("#",""), HYPERLINK(CONCATENATE("#metadata!", ADDRESS(INDEX($AH$2:$AH$1001,MATCH(ROWS($AF$2:AF130),$AF$2:$AF$1001,0),0), INDEX($AM$1004:$BM$1004,1,MATCH(COLUMNS($AM$1006:BD1006),$AM$1006:$BM$1006,0)))),"Fix")))</f>
        <v xml:space="preserve"> </v>
      </c>
      <c r="T130" s="4" t="str">
        <f ca="1">IF(OR(INDEX($AG$2:$AG$1001,MATCH(ROWS($AF$2:AF130),$AF$2:$AF$1001,0),1)&gt;=100000,INDEX($AM$1005:$BM$1005,1,MATCH(COLUMNS($AM$1006:BE1006),$AM$1006:$BM$1006,0))&gt;=100000), " ",IF(INDEX($AM$2:$BM$1001,MATCH(ROWS($AF$2:AF130),$AF$2:$AF$1001,0),MATCH(COLUMNS($AM$1006:BE1006),$AM$1006:$BM$1006,0)), HYPERLINK("#",""), HYPERLINK(CONCATENATE("#metadata!", ADDRESS(INDEX($AH$2:$AH$1001,MATCH(ROWS($AF$2:AF130),$AF$2:$AF$1001,0),0), INDEX($AM$1004:$BM$1004,1,MATCH(COLUMNS($AM$1006:BE1006),$AM$1006:$BM$1006,0)))),"Fix")))</f>
        <v xml:space="preserve"> </v>
      </c>
      <c r="U130" s="4" t="str">
        <f ca="1">IF(OR(INDEX($AG$2:$AG$1001,MATCH(ROWS($AF$2:AF130),$AF$2:$AF$1001,0),1)&gt;=100000,INDEX($AM$1005:$BM$1005,1,MATCH(COLUMNS($AM$1006:BF1006),$AM$1006:$BM$1006,0))&gt;=100000), " ",IF(INDEX($AM$2:$BM$1001,MATCH(ROWS($AF$2:AF130),$AF$2:$AF$1001,0),MATCH(COLUMNS($AM$1006:BF1006),$AM$1006:$BM$1006,0)), HYPERLINK("#",""), HYPERLINK(CONCATENATE("#metadata!", ADDRESS(INDEX($AH$2:$AH$1001,MATCH(ROWS($AF$2:AF130),$AF$2:$AF$1001,0),0), INDEX($AM$1004:$BM$1004,1,MATCH(COLUMNS($AM$1006:BF1006),$AM$1006:$BM$1006,0)))),"Fix")))</f>
        <v xml:space="preserve"> </v>
      </c>
      <c r="V130" s="4" t="str">
        <f ca="1">IF(OR(INDEX($AG$2:$AG$1001,MATCH(ROWS($AF$2:AF130),$AF$2:$AF$1001,0),1)&gt;=100000,INDEX($AM$1005:$BM$1005,1,MATCH(COLUMNS($AM$1006:BG1006),$AM$1006:$BM$1006,0))&gt;=100000), " ",IF(INDEX($AM$2:$BM$1001,MATCH(ROWS($AF$2:AF130),$AF$2:$AF$1001,0),MATCH(COLUMNS($AM$1006:BG1006),$AM$1006:$BM$1006,0)), HYPERLINK("#",""), HYPERLINK(CONCATENATE("#metadata!", ADDRESS(INDEX($AH$2:$AH$1001,MATCH(ROWS($AF$2:AF130),$AF$2:$AF$1001,0),0), INDEX($AM$1004:$BM$1004,1,MATCH(COLUMNS($AM$1006:BG1006),$AM$1006:$BM$1006,0)))),"Fix")))</f>
        <v xml:space="preserve"> </v>
      </c>
      <c r="W130" s="4" t="str">
        <f ca="1">IF(OR(INDEX($AG$2:$AG$1001,MATCH(ROWS($AF$2:AF130),$AF$2:$AF$1001,0),1)&gt;=100000,INDEX($AM$1005:$BM$1005,1,MATCH(COLUMNS($AM$1006:BH1006),$AM$1006:$BM$1006,0))&gt;=100000), " ",IF(INDEX($AM$2:$BM$1001,MATCH(ROWS($AF$2:AF130),$AF$2:$AF$1001,0),MATCH(COLUMNS($AM$1006:BH1006),$AM$1006:$BM$1006,0)), HYPERLINK("#",""), HYPERLINK(CONCATENATE("#metadata!", ADDRESS(INDEX($AH$2:$AH$1001,MATCH(ROWS($AF$2:AF130),$AF$2:$AF$1001,0),0), INDEX($AM$1004:$BM$1004,1,MATCH(COLUMNS($AM$1006:BH1006),$AM$1006:$BM$1006,0)))),"Fix")))</f>
        <v xml:space="preserve"> </v>
      </c>
      <c r="X130" s="4" t="str">
        <f ca="1">IF(OR(INDEX($AG$2:$AG$1001,MATCH(ROWS($AF$2:AF130),$AF$2:$AF$1001,0),1)&gt;=100000,INDEX($AM$1005:$BM$1005,1,MATCH(COLUMNS($AM$1006:BI1006),$AM$1006:$BM$1006,0))&gt;=100000), " ",IF(INDEX($AM$2:$BM$1001,MATCH(ROWS($AF$2:AF130),$AF$2:$AF$1001,0),MATCH(COLUMNS($AM$1006:BI1006),$AM$1006:$BM$1006,0)), HYPERLINK("#",""), HYPERLINK(CONCATENATE("#metadata!", ADDRESS(INDEX($AH$2:$AH$1001,MATCH(ROWS($AF$2:AF130),$AF$2:$AF$1001,0),0), INDEX($AM$1004:$BM$1004,1,MATCH(COLUMNS($AM$1006:BI1006),$AM$1006:$BM$1006,0)))),"Fix")))</f>
        <v xml:space="preserve"> </v>
      </c>
      <c r="Y130" s="4" t="str">
        <f ca="1">IF(OR(INDEX($AG$2:$AG$1001,MATCH(ROWS($AF$2:AF130),$AF$2:$AF$1001,0),1)&gt;=100000,INDEX($AM$1005:$BM$1005,1,MATCH(COLUMNS($AM$1006:BJ1006),$AM$1006:$BM$1006,0))&gt;=100000), " ",IF(INDEX($AM$2:$BM$1001,MATCH(ROWS($AF$2:AF130),$AF$2:$AF$1001,0),MATCH(COLUMNS($AM$1006:BJ1006),$AM$1006:$BM$1006,0)), HYPERLINK("#",""), HYPERLINK(CONCATENATE("#metadata!", ADDRESS(INDEX($AH$2:$AH$1001,MATCH(ROWS($AF$2:AF130),$AF$2:$AF$1001,0),0), INDEX($AM$1004:$BM$1004,1,MATCH(COLUMNS($AM$1006:BJ1006),$AM$1006:$BM$1006,0)))),"Fix")))</f>
        <v xml:space="preserve"> </v>
      </c>
      <c r="Z130" s="4" t="str">
        <f ca="1">IF(OR(INDEX($AG$2:$AG$1001,MATCH(ROWS($AF$2:AF130),$AF$2:$AF$1001,0),1)&gt;=100000,INDEX($AM$1005:$BM$1005,1,MATCH(COLUMNS($AM$1006:BK1006),$AM$1006:$BM$1006,0))&gt;=100000), " ",IF(INDEX($AM$2:$BM$1001,MATCH(ROWS($AF$2:AF130),$AF$2:$AF$1001,0),MATCH(COLUMNS($AM$1006:BK1006),$AM$1006:$BM$1006,0)), HYPERLINK("#",""), HYPERLINK(CONCATENATE("#metadata!", ADDRESS(INDEX($AH$2:$AH$1001,MATCH(ROWS($AF$2:AF130),$AF$2:$AF$1001,0),0), INDEX($AM$1004:$BM$1004,1,MATCH(COLUMNS($AM$1006:BK1006),$AM$1006:$BM$1006,0)))),"Fix")))</f>
        <v xml:space="preserve"> </v>
      </c>
      <c r="AA130" s="4" t="str">
        <f ca="1">IF(OR(INDEX($AG$2:$AG$1001,MATCH(ROWS($AF$2:AF130),$AF$2:$AF$1001,0),1)&gt;=100000,INDEX($AM$1005:$BM$1005,1,MATCH(COLUMNS($AM$1006:BL1006),$AM$1006:$BM$1006,0))&gt;=100000), " ",IF(INDEX($AM$2:$BM$1001,MATCH(ROWS($AF$2:AF130),$AF$2:$AF$1001,0),MATCH(COLUMNS($AM$1006:BL1006),$AM$1006:$BM$1006,0)), HYPERLINK("#",""), HYPERLINK(CONCATENATE("#metadata!", ADDRESS(INDEX($AH$2:$AH$1001,MATCH(ROWS($AF$2:AF130),$AF$2:$AF$1001,0),0), INDEX($AM$1004:$BM$1004,1,MATCH(COLUMNS($AM$1006:BL1006),$AM$1006:$BM$1006,0)))),"Fix")))</f>
        <v xml:space="preserve"> </v>
      </c>
      <c r="AB130" s="4" t="str">
        <f ca="1">IF(OR(INDEX($AG$2:$AG$1001,MATCH(ROWS($AF$2:AF130),$AF$2:$AF$1001,0),1)&gt;=100000,INDEX($AM$1005:$BM$1005,1,MATCH(COLUMNS($AM$1006:BM1006),$AM$1006:$BM$1006,0))&gt;=100000), " ",IF(INDEX($AM$2:$BM$1001,MATCH(ROWS($AF$2:AF130),$AF$2:$AF$1001,0),MATCH(COLUMNS($AM$1006:BM1006),$AM$1006:$BM$1006,0)), HYPERLINK("#",""), HYPERLINK(CONCATENATE("#metadata!", ADDRESS(INDEX($AH$2:$AH$1001,MATCH(ROWS($AF$2:AF130),$AF$2:$AF$1001,0),0), INDEX($AM$1004:$BM$1004,1,MATCH(COLUMNS($AM$1006:BM1006),$AM$1006:$BM$1006,0)))),"Fix")))</f>
        <v xml:space="preserve"> </v>
      </c>
      <c r="AF130">
        <v>129</v>
      </c>
      <c r="AG130">
        <v>100130</v>
      </c>
      <c r="AH130">
        <v>130</v>
      </c>
      <c r="AI130" t="b">
        <f t="shared" ref="AI130:AI193" si="2">IF(AJ130,TRUE,AND(AM130:BM130))</f>
        <v>1</v>
      </c>
      <c r="AJ130" t="b">
        <f>COUNTBLANK(metadata!B130:AB130)=COLUMNS(metadata!B130:AB130)</f>
        <v>1</v>
      </c>
      <c r="AK130" t="str">
        <v/>
      </c>
      <c r="AM130" t="b">
        <f ca="1">AND(IF(metadata!B130="",FALSE,TRUE),COUNTIF(metadata!B:B, metadata!B130) = 1,NOT(ISERROR(SUMPRODUCT(SEARCH(MID(metadata!B130,ROW(INDIRECT("1:"&amp;LEN(metadata!B130))), 1),"0123456789abcdefghijklmnopqrstuvwxyzABCDEFGHIJKLMNOPQRSTUVWXYZ.")))))</f>
        <v>0</v>
      </c>
      <c r="AN130" t="b">
        <f ca="1">OR(AND(IF(metadata!C130="",FALSE,TRUE),OR(EXACT(metadata!C130,"missing: not collected"),EXACT(metadata!C130,"missing: not provided"),EXACT(metadata!C130,"missing: restricted access"))),AND(IF(metadata!C130="",FALSE,TRUE),AND(AND(IFERROR(INT(LEFT(metadata!C130,4))&gt;1900,FALSE),IFERROR(INT(LEFT(metadata!C130,4))&lt;=YEAR(NOW()),FALSE)), OR(MID(metadata!C130,5,1)="", AND(AND(MID(metadata!C130,5,1)="-",IFERROR(INT(MID(metadata!C130,6,1))&gt;=0,FALSE),IFERROR(INT(MID(metadata!C130,6,1))&lt;=1,FALSE),NOT(MID(metadata!C130,7,1)=""),IFERROR(INT(MID(metadata!C130,6,2))&gt;=1,FALSE),IFERROR(INT(MID(metadata!C130,6,2))&lt;=12,FALSE)), OR(MID(metadata!C130,8,1)="", AND(AND(MID(metadata!C130,8,1)="-",IFERROR(INT(MID(metadata!C130,9,1))&gt;=0,FALSE),IFERROR(INT(MID(metadata!C130,9,1))&lt;=3,FALSE),NOT(MID(metadata!C130,10,1)=""),IFERROR(INT(MID(metadata!C130,9,2))&gt;=1,FALSE),IFERROR(INT(MID(metadata!C130,9,2))&lt;=31,FALSE)), OR(MID(metadata!C130,11,1)="", AND(AND(MID(metadata!C130,11,1)=" ",IFERROR(INT(MID(metadata!C130,12,1))&gt;=0,FALSE),IFERROR(INT(MID(metadata!C130,12,1))&lt;=2,FALSE),NOT(MID(metadata!C130,13,1)=""),IFERROR(INT(MID(metadata!C130,12,2))&gt;=0,FALSE),IFERROR(INT(MID(metadata!C130,12,2))&lt;=23,FALSE)), OR(MID(metadata!C130,14,1)="", AND(AND(MID(metadata!C130,14,1)=":",IFERROR(INT(MID(metadata!C130,15,1))&gt;=0,FALSE),IFERROR(INT(MID(metadata!C130,15,1))&lt;=5,FALSE),NOT(MID(metadata!C130,16,1)=""),IFERROR(INT(MID(metadata!C130,15,2))&gt;=0,FALSE),IFERROR(INT(MID(metadata!C130,15,2))&lt;=59,FALSE)), OR(MID(metadata!C130,17,1)="", AND(AND(MID(metadata!C130,17,1)=":",IFERROR(INT(MID(metadata!C130,18,1))&gt;=0,FALSE),IFERROR(INT(MID(metadata!C130,18,1))&lt;=5,FALSE),NOT(MID(metadata!C130,19,1)=""),IFERROR(INT(MID(metadata!C130,18,2))&gt;=0,FALSE),IFERROR(INT(MID(metadata!C130,18,2))&lt;=59,FALSE)), LEN(metadata!C130)&lt;=19)))))))))))))</f>
        <v>0</v>
      </c>
      <c r="AO130" t="b">
        <f>AND(IF(metadata!D130="",FALSE,TRUE),EXACT(metadata!D130,"Not applicable"))</f>
        <v>0</v>
      </c>
      <c r="AP130" t="b">
        <f>IF(metadata!E130="",FALSE,TRUE)</f>
        <v>0</v>
      </c>
      <c r="AQ130" t="b">
        <f>OR(AND(IF(metadata!F130="",FALSE,TRUE),OR(EXACT(metadata!F130,"missing: not collected"),EXACT(metadata!F130,"missing: not provided"))),AND(IF(metadata!F130="",FALSE,TRUE),OR(EXACT(metadata!F130,"TRUE"),EXACT(metadata!F130,"FALSE"))))</f>
        <v>0</v>
      </c>
      <c r="AR130" t="b">
        <f>OR(AND(IF(metadata!G130="",FALSE,TRUE),OR(EXACT(metadata!G130,"missing: not collected"),EXACT(metadata!G130,"missing: not provided"),EXACT(metadata!G130,"missing: restricted access"))),AND(IF(metadata!G130="",FALSE,ISNUMBER(VALUE(metadata!G130))),metadata!G130&gt;=-413))</f>
        <v>0</v>
      </c>
      <c r="AS130" t="b">
        <f>AND(IF(metadata!H130="",FALSE,TRUE),EXACT(metadata!H130,"meters"))</f>
        <v>0</v>
      </c>
      <c r="AT130" t="b">
        <f>AND(IF(metadata!I130="",FALSE,TRUE),OR(EXACT(metadata!I130,"Host-associated"),EXACT(metadata!I130,"Free-living")))</f>
        <v>0</v>
      </c>
      <c r="AU130" t="b">
        <f>AND(IF(metadata!J130="",FALSE,TRUE),OR(EXACT(metadata!J130,"Animal"),EXACT(metadata!J130,"Fungus"),EXACT(metadata!J130,"Plant"),EXACT(metadata!J130,"Saline"),EXACT(metadata!J130,"Non-saline")))</f>
        <v>0</v>
      </c>
      <c r="AV130" t="b">
        <f>AND(IF(metadata!K130="",FALSE,TRUE),OR(EXACT(metadata!K130,"Plant secretion"),EXACT(metadata!K130,"Plant rhizosphere"),EXACT(metadata!K130,"Plant surface"),EXACT(metadata!K130,"Plant corpus"),EXACT(metadata!K130,"Fungus surface"),EXACT(metadata!K130,"Fungus corpus"),EXACT(metadata!K130,"Animal surface"),EXACT(metadata!K130,"Animal proximal gut"),EXACT(metadata!K130,"Animal corpus"),EXACT(metadata!K130,"Animal distal gut"),EXACT(metadata!K130,"Animal secretion"),EXACT(metadata!K130,"Sub-surface (non-saline)"),EXACT(metadata!K130,"Surface (non-saline)"),EXACT(metadata!K130,"Water (non-saline)"),EXACT(metadata!K130,"Soil (non-saline)"),EXACT(metadata!K130,"Aerosol (non-saline)"),EXACT(metadata!K130,"Sediment (non-saline)"),EXACT(metadata!K130,"Surface (saline)"),EXACT(metadata!K130,"Water (saline)"),EXACT(metadata!K130,"Hypersaline (saline)"),EXACT(metadata!K130,"Aerosol (saline)"),EXACT(metadata!K130,"Sediment (saline)")))</f>
        <v>0</v>
      </c>
      <c r="AW130" t="b">
        <f>IF(metadata!L130="",FALSE,TRUE)</f>
        <v>0</v>
      </c>
      <c r="AX130" t="b">
        <f>IF(metadata!M130="",FALSE,TRUE)</f>
        <v>0</v>
      </c>
      <c r="AY130" t="b">
        <f>IF(metadata!N130="",FALSE,TRUE)</f>
        <v>0</v>
      </c>
      <c r="AZ130" t="b">
        <f>OR(AND(IF(metadata!O130="",FALSE,TRUE),OR(EXACT(metadata!O130,"missing: not collected"),EXACT(metadata!O130,"missing: not provided"),EXACT(metadata!O130,"missing: restricted access"))),AND(IF(metadata!O130="",FALSE,TRUE),OR(EXACT(metadata!O130,"air"),EXACT(metadata!O130,"built environment"),EXACT(metadata!O130,"host-associated"),EXACT(metadata!O130,"human-associated"),EXACT(metadata!O130,"human-skin"),EXACT(metadata!O130,"human-oral"),EXACT(metadata!O130,"human-gut"),EXACT(metadata!O130,"human-vaginal"),EXACT(metadata!O130,"microbial mat/biofilm"),EXACT(metadata!O130,"misc environment"),EXACT(metadata!O130,"plant-associated"),EXACT(metadata!O130,"sediment"),EXACT(metadata!O130,"soil"),EXACT(metadata!O130,"wastewater/sludge"),EXACT(metadata!O130,"water"))))</f>
        <v>0</v>
      </c>
      <c r="BA130" t="b">
        <f>IF(metadata!P130="",FALSE,TRUE)</f>
        <v>0</v>
      </c>
      <c r="BB130" t="b">
        <f>IF(metadata!Q130="",FALSE,TRUE)</f>
        <v>0</v>
      </c>
      <c r="BC130" t="b">
        <f>OR(AND(IF(metadata!R130="",FALSE,TRUE),OR(EXACT(metadata!R130,"missing: not collected"),EXACT(metadata!R130,"missing: not provided"),EXACT(metadata!R130,"missing: restricted access"))),AND(IF(metadata!R130="",FALSE,ISNUMBER(VALUE(metadata!R130))),metadata!R130&gt;=-90,metadata!R130&lt;=90))</f>
        <v>0</v>
      </c>
      <c r="BD130" t="b">
        <f>AND(IF(metadata!S130="",FALSE,TRUE),EXACT(metadata!S130,"Decimal degrees"))</f>
        <v>0</v>
      </c>
      <c r="BE130" t="b">
        <f>OR(AND(IF(metadata!T130="",FALSE,TRUE),OR(EXACT(metadata!T130,"missing: not collected"),EXACT(metadata!T130,"missing: not provided"),EXACT(metadata!T130,"missing: restricted access"))),AND(IF(metadata!T130="",FALSE,ISNUMBER(VALUE(metadata!T130))),metadata!T130&gt;=-180,metadata!T130&lt;=180))</f>
        <v>0</v>
      </c>
      <c r="BF130" t="b">
        <f>AND(IF(metadata!U130="",FALSE,TRUE),EXACT(metadata!U130,"Decimal degrees"))</f>
        <v>0</v>
      </c>
      <c r="BG130" t="b">
        <f>IF(metadata!V130="",FALSE,TRUE)</f>
        <v>0</v>
      </c>
      <c r="BH130" t="b">
        <f>OR(AND(IF(metadata!W130="",FALSE,TRUE),OR(EXACT(metadata!W130,"missing: not collected"),EXACT(metadata!W130,"missing: not provided"),EXACT(metadata!W130,"missing: restricted access"))),AND(IF(metadata!W130="",FALSE,TRUE),OR(EXACT(metadata!W130,"TRUE"),EXACT(metadata!W130,"FALSE"))))</f>
        <v>0</v>
      </c>
      <c r="BI130" t="b">
        <f>AND(IF(metadata!X130="",FALSE,TRUE),EXACT(metadata!X130,"other"))</f>
        <v>0</v>
      </c>
      <c r="BJ130" t="b">
        <f>IF(metadata!Y130="",FALSE,TRUE)</f>
        <v>0</v>
      </c>
      <c r="BK130" t="b">
        <f>OR(AND(IF(metadata!Z130="",FALSE,TRUE),OR(EXACT(metadata!Z130,"missing: not collected"),EXACT(metadata!Z130,"missing: not provided"))),AND(IF(metadata!Z130="",FALSE,IF(ISERROR(INT(metadata!Z130)),FALSE,INT(metadata!Z130)=metadata!Z130)),metadata!Z130&gt;0))</f>
        <v>0</v>
      </c>
      <c r="BL130" t="b">
        <f>AND(IF(metadata!AA130="",FALSE,TRUE),EXACT(metadata!AA130,"Not applicable"))</f>
        <v>0</v>
      </c>
      <c r="BM130" t="b">
        <f>IF(metadata!AB130="",FALSE,TRUE)</f>
        <v>0</v>
      </c>
    </row>
    <row r="131" spans="1:65" x14ac:dyDescent="0.2">
      <c r="A131" s="5" t="str">
        <f ca="1">IF(B131=" "," ",HYPERLINK(CONCATENATE("#metadata!",ADDRESS(INDEX($AH$2:$AH$1001,MATCH(ROWS($AF$2:AF131),$AF$2:$AF$1001,0),0),1)),INDEX($AK$2:$AK$1001,MATCH(ROWS($AF$2:AF131),$AF$2:$AF$1001,0),0)))</f>
        <v xml:space="preserve"> </v>
      </c>
      <c r="B131" s="4" t="str">
        <f ca="1">IF(OR(INDEX($AG$2:$AG$1001,MATCH(ROWS($AF$2:AF131),$AF$2:$AF$1001,0),1)&gt;=100000,INDEX($AM$1005:$BM$1005,1,MATCH(COLUMNS($AM$1006:AM1006),$AM$1006:$BM$1006,0))&gt;=100000), " ",IF(INDEX($AM$2:$BM$1001,MATCH(ROWS($AF$2:AF131),$AF$2:$AF$1001,0),MATCH(COLUMNS($AM$1006:AM1006),$AM$1006:$BM$1006,0)), HYPERLINK("#",""), HYPERLINK(CONCATENATE("#metadata!", ADDRESS(INDEX($AH$2:$AH$1001,MATCH(ROWS($AF$2:AF131),$AF$2:$AF$1001,0),0), INDEX($AM$1004:$BM$1004,1,MATCH(COLUMNS($AM$1006:AM1006),$AM$1006:$BM$1006,0)))),"Fix")))</f>
        <v xml:space="preserve"> </v>
      </c>
      <c r="C131" s="4" t="str">
        <f ca="1">IF(OR(INDEX($AG$2:$AG$1001,MATCH(ROWS($AF$2:AF131),$AF$2:$AF$1001,0),1)&gt;=100000,INDEX($AM$1005:$BM$1005,1,MATCH(COLUMNS($AM$1006:AN1006),$AM$1006:$BM$1006,0))&gt;=100000), " ",IF(INDEX($AM$2:$BM$1001,MATCH(ROWS($AF$2:AF131),$AF$2:$AF$1001,0),MATCH(COLUMNS($AM$1006:AN1006),$AM$1006:$BM$1006,0)), HYPERLINK("#",""), HYPERLINK(CONCATENATE("#metadata!", ADDRESS(INDEX($AH$2:$AH$1001,MATCH(ROWS($AF$2:AF131),$AF$2:$AF$1001,0),0), INDEX($AM$1004:$BM$1004,1,MATCH(COLUMNS($AM$1006:AN1006),$AM$1006:$BM$1006,0)))),"Fix")))</f>
        <v xml:space="preserve"> </v>
      </c>
      <c r="D131" s="4" t="str">
        <f ca="1">IF(OR(INDEX($AG$2:$AG$1001,MATCH(ROWS($AF$2:AF131),$AF$2:$AF$1001,0),1)&gt;=100000,INDEX($AM$1005:$BM$1005,1,MATCH(COLUMNS($AM$1006:AO1006),$AM$1006:$BM$1006,0))&gt;=100000), " ",IF(INDEX($AM$2:$BM$1001,MATCH(ROWS($AF$2:AF131),$AF$2:$AF$1001,0),MATCH(COLUMNS($AM$1006:AO1006),$AM$1006:$BM$1006,0)), HYPERLINK("#",""), HYPERLINK(CONCATENATE("#metadata!", ADDRESS(INDEX($AH$2:$AH$1001,MATCH(ROWS($AF$2:AF131),$AF$2:$AF$1001,0),0), INDEX($AM$1004:$BM$1004,1,MATCH(COLUMNS($AM$1006:AO1006),$AM$1006:$BM$1006,0)))),"Fix")))</f>
        <v xml:space="preserve"> </v>
      </c>
      <c r="E131" s="4" t="str">
        <f ca="1">IF(OR(INDEX($AG$2:$AG$1001,MATCH(ROWS($AF$2:AF131),$AF$2:$AF$1001,0),1)&gt;=100000,INDEX($AM$1005:$BM$1005,1,MATCH(COLUMNS($AM$1006:AP1006),$AM$1006:$BM$1006,0))&gt;=100000), " ",IF(INDEX($AM$2:$BM$1001,MATCH(ROWS($AF$2:AF131),$AF$2:$AF$1001,0),MATCH(COLUMNS($AM$1006:AP1006),$AM$1006:$BM$1006,0)), HYPERLINK("#",""), HYPERLINK(CONCATENATE("#metadata!", ADDRESS(INDEX($AH$2:$AH$1001,MATCH(ROWS($AF$2:AF131),$AF$2:$AF$1001,0),0), INDEX($AM$1004:$BM$1004,1,MATCH(COLUMNS($AM$1006:AP1006),$AM$1006:$BM$1006,0)))),"Fix")))</f>
        <v xml:space="preserve"> </v>
      </c>
      <c r="F131" s="4" t="str">
        <f ca="1">IF(OR(INDEX($AG$2:$AG$1001,MATCH(ROWS($AF$2:AF131),$AF$2:$AF$1001,0),1)&gt;=100000,INDEX($AM$1005:$BM$1005,1,MATCH(COLUMNS($AM$1006:AQ1006),$AM$1006:$BM$1006,0))&gt;=100000), " ",IF(INDEX($AM$2:$BM$1001,MATCH(ROWS($AF$2:AF131),$AF$2:$AF$1001,0),MATCH(COLUMNS($AM$1006:AQ1006),$AM$1006:$BM$1006,0)), HYPERLINK("#",""), HYPERLINK(CONCATENATE("#metadata!", ADDRESS(INDEX($AH$2:$AH$1001,MATCH(ROWS($AF$2:AF131),$AF$2:$AF$1001,0),0), INDEX($AM$1004:$BM$1004,1,MATCH(COLUMNS($AM$1006:AQ1006),$AM$1006:$BM$1006,0)))),"Fix")))</f>
        <v xml:space="preserve"> </v>
      </c>
      <c r="G131" s="4" t="str">
        <f ca="1">IF(OR(INDEX($AG$2:$AG$1001,MATCH(ROWS($AF$2:AF131),$AF$2:$AF$1001,0),1)&gt;=100000,INDEX($AM$1005:$BM$1005,1,MATCH(COLUMNS($AM$1006:AR1006),$AM$1006:$BM$1006,0))&gt;=100000), " ",IF(INDEX($AM$2:$BM$1001,MATCH(ROWS($AF$2:AF131),$AF$2:$AF$1001,0),MATCH(COLUMNS($AM$1006:AR1006),$AM$1006:$BM$1006,0)), HYPERLINK("#",""), HYPERLINK(CONCATENATE("#metadata!", ADDRESS(INDEX($AH$2:$AH$1001,MATCH(ROWS($AF$2:AF131),$AF$2:$AF$1001,0),0), INDEX($AM$1004:$BM$1004,1,MATCH(COLUMNS($AM$1006:AR1006),$AM$1006:$BM$1006,0)))),"Fix")))</f>
        <v xml:space="preserve"> </v>
      </c>
      <c r="H131" s="4" t="str">
        <f ca="1">IF(OR(INDEX($AG$2:$AG$1001,MATCH(ROWS($AF$2:AF131),$AF$2:$AF$1001,0),1)&gt;=100000,INDEX($AM$1005:$BM$1005,1,MATCH(COLUMNS($AM$1006:AS1006),$AM$1006:$BM$1006,0))&gt;=100000), " ",IF(INDEX($AM$2:$BM$1001,MATCH(ROWS($AF$2:AF131),$AF$2:$AF$1001,0),MATCH(COLUMNS($AM$1006:AS1006),$AM$1006:$BM$1006,0)), HYPERLINK("#",""), HYPERLINK(CONCATENATE("#metadata!", ADDRESS(INDEX($AH$2:$AH$1001,MATCH(ROWS($AF$2:AF131),$AF$2:$AF$1001,0),0), INDEX($AM$1004:$BM$1004,1,MATCH(COLUMNS($AM$1006:AS1006),$AM$1006:$BM$1006,0)))),"Fix")))</f>
        <v xml:space="preserve"> </v>
      </c>
      <c r="I131" s="4" t="str">
        <f ca="1">IF(OR(INDEX($AG$2:$AG$1001,MATCH(ROWS($AF$2:AF131),$AF$2:$AF$1001,0),1)&gt;=100000,INDEX($AM$1005:$BM$1005,1,MATCH(COLUMNS($AM$1006:AT1006),$AM$1006:$BM$1006,0))&gt;=100000), " ",IF(INDEX($AM$2:$BM$1001,MATCH(ROWS($AF$2:AF131),$AF$2:$AF$1001,0),MATCH(COLUMNS($AM$1006:AT1006),$AM$1006:$BM$1006,0)), HYPERLINK("#",""), HYPERLINK(CONCATENATE("#metadata!", ADDRESS(INDEX($AH$2:$AH$1001,MATCH(ROWS($AF$2:AF131),$AF$2:$AF$1001,0),0), INDEX($AM$1004:$BM$1004,1,MATCH(COLUMNS($AM$1006:AT1006),$AM$1006:$BM$1006,0)))),"Fix")))</f>
        <v xml:space="preserve"> </v>
      </c>
      <c r="J131" s="4" t="str">
        <f ca="1">IF(OR(INDEX($AG$2:$AG$1001,MATCH(ROWS($AF$2:AF131),$AF$2:$AF$1001,0),1)&gt;=100000,INDEX($AM$1005:$BM$1005,1,MATCH(COLUMNS($AM$1006:AU1006),$AM$1006:$BM$1006,0))&gt;=100000), " ",IF(INDEX($AM$2:$BM$1001,MATCH(ROWS($AF$2:AF131),$AF$2:$AF$1001,0),MATCH(COLUMNS($AM$1006:AU1006),$AM$1006:$BM$1006,0)), HYPERLINK("#",""), HYPERLINK(CONCATENATE("#metadata!", ADDRESS(INDEX($AH$2:$AH$1001,MATCH(ROWS($AF$2:AF131),$AF$2:$AF$1001,0),0), INDEX($AM$1004:$BM$1004,1,MATCH(COLUMNS($AM$1006:AU1006),$AM$1006:$BM$1006,0)))),"Fix")))</f>
        <v xml:space="preserve"> </v>
      </c>
      <c r="K131" s="4" t="str">
        <f ca="1">IF(OR(INDEX($AG$2:$AG$1001,MATCH(ROWS($AF$2:AF131),$AF$2:$AF$1001,0),1)&gt;=100000,INDEX($AM$1005:$BM$1005,1,MATCH(COLUMNS($AM$1006:AV1006),$AM$1006:$BM$1006,0))&gt;=100000), " ",IF(INDEX($AM$2:$BM$1001,MATCH(ROWS($AF$2:AF131),$AF$2:$AF$1001,0),MATCH(COLUMNS($AM$1006:AV1006),$AM$1006:$BM$1006,0)), HYPERLINK("#",""), HYPERLINK(CONCATENATE("#metadata!", ADDRESS(INDEX($AH$2:$AH$1001,MATCH(ROWS($AF$2:AF131),$AF$2:$AF$1001,0),0), INDEX($AM$1004:$BM$1004,1,MATCH(COLUMNS($AM$1006:AV1006),$AM$1006:$BM$1006,0)))),"Fix")))</f>
        <v xml:space="preserve"> </v>
      </c>
      <c r="L131" s="4" t="str">
        <f ca="1">IF(OR(INDEX($AG$2:$AG$1001,MATCH(ROWS($AF$2:AF131),$AF$2:$AF$1001,0),1)&gt;=100000,INDEX($AM$1005:$BM$1005,1,MATCH(COLUMNS($AM$1006:AW1006),$AM$1006:$BM$1006,0))&gt;=100000), " ",IF(INDEX($AM$2:$BM$1001,MATCH(ROWS($AF$2:AF131),$AF$2:$AF$1001,0),MATCH(COLUMNS($AM$1006:AW1006),$AM$1006:$BM$1006,0)), HYPERLINK("#",""), HYPERLINK(CONCATENATE("#metadata!", ADDRESS(INDEX($AH$2:$AH$1001,MATCH(ROWS($AF$2:AF131),$AF$2:$AF$1001,0),0), INDEX($AM$1004:$BM$1004,1,MATCH(COLUMNS($AM$1006:AW1006),$AM$1006:$BM$1006,0)))),"Fix")))</f>
        <v xml:space="preserve"> </v>
      </c>
      <c r="M131" s="4" t="str">
        <f ca="1">IF(OR(INDEX($AG$2:$AG$1001,MATCH(ROWS($AF$2:AF131),$AF$2:$AF$1001,0),1)&gt;=100000,INDEX($AM$1005:$BM$1005,1,MATCH(COLUMNS($AM$1006:AX1006),$AM$1006:$BM$1006,0))&gt;=100000), " ",IF(INDEX($AM$2:$BM$1001,MATCH(ROWS($AF$2:AF131),$AF$2:$AF$1001,0),MATCH(COLUMNS($AM$1006:AX1006),$AM$1006:$BM$1006,0)), HYPERLINK("#",""), HYPERLINK(CONCATENATE("#metadata!", ADDRESS(INDEX($AH$2:$AH$1001,MATCH(ROWS($AF$2:AF131),$AF$2:$AF$1001,0),0), INDEX($AM$1004:$BM$1004,1,MATCH(COLUMNS($AM$1006:AX1006),$AM$1006:$BM$1006,0)))),"Fix")))</f>
        <v xml:space="preserve"> </v>
      </c>
      <c r="N131" s="4" t="str">
        <f ca="1">IF(OR(INDEX($AG$2:$AG$1001,MATCH(ROWS($AF$2:AF131),$AF$2:$AF$1001,0),1)&gt;=100000,INDEX($AM$1005:$BM$1005,1,MATCH(COLUMNS($AM$1006:AY1006),$AM$1006:$BM$1006,0))&gt;=100000), " ",IF(INDEX($AM$2:$BM$1001,MATCH(ROWS($AF$2:AF131),$AF$2:$AF$1001,0),MATCH(COLUMNS($AM$1006:AY1006),$AM$1006:$BM$1006,0)), HYPERLINK("#",""), HYPERLINK(CONCATENATE("#metadata!", ADDRESS(INDEX($AH$2:$AH$1001,MATCH(ROWS($AF$2:AF131),$AF$2:$AF$1001,0),0), INDEX($AM$1004:$BM$1004,1,MATCH(COLUMNS($AM$1006:AY1006),$AM$1006:$BM$1006,0)))),"Fix")))</f>
        <v xml:space="preserve"> </v>
      </c>
      <c r="O131" s="4" t="str">
        <f ca="1">IF(OR(INDEX($AG$2:$AG$1001,MATCH(ROWS($AF$2:AF131),$AF$2:$AF$1001,0),1)&gt;=100000,INDEX($AM$1005:$BM$1005,1,MATCH(COLUMNS($AM$1006:AZ1006),$AM$1006:$BM$1006,0))&gt;=100000), " ",IF(INDEX($AM$2:$BM$1001,MATCH(ROWS($AF$2:AF131),$AF$2:$AF$1001,0),MATCH(COLUMNS($AM$1006:AZ1006),$AM$1006:$BM$1006,0)), HYPERLINK("#",""), HYPERLINK(CONCATENATE("#metadata!", ADDRESS(INDEX($AH$2:$AH$1001,MATCH(ROWS($AF$2:AF131),$AF$2:$AF$1001,0),0), INDEX($AM$1004:$BM$1004,1,MATCH(COLUMNS($AM$1006:AZ1006),$AM$1006:$BM$1006,0)))),"Fix")))</f>
        <v xml:space="preserve"> </v>
      </c>
      <c r="P131" s="4" t="str">
        <f ca="1">IF(OR(INDEX($AG$2:$AG$1001,MATCH(ROWS($AF$2:AF131),$AF$2:$AF$1001,0),1)&gt;=100000,INDEX($AM$1005:$BM$1005,1,MATCH(COLUMNS($AM$1006:BA1006),$AM$1006:$BM$1006,0))&gt;=100000), " ",IF(INDEX($AM$2:$BM$1001,MATCH(ROWS($AF$2:AF131),$AF$2:$AF$1001,0),MATCH(COLUMNS($AM$1006:BA1006),$AM$1006:$BM$1006,0)), HYPERLINK("#",""), HYPERLINK(CONCATENATE("#metadata!", ADDRESS(INDEX($AH$2:$AH$1001,MATCH(ROWS($AF$2:AF131),$AF$2:$AF$1001,0),0), INDEX($AM$1004:$BM$1004,1,MATCH(COLUMNS($AM$1006:BA1006),$AM$1006:$BM$1006,0)))),"Fix")))</f>
        <v xml:space="preserve"> </v>
      </c>
      <c r="Q131" s="4" t="str">
        <f ca="1">IF(OR(INDEX($AG$2:$AG$1001,MATCH(ROWS($AF$2:AF131),$AF$2:$AF$1001,0),1)&gt;=100000,INDEX($AM$1005:$BM$1005,1,MATCH(COLUMNS($AM$1006:BB1006),$AM$1006:$BM$1006,0))&gt;=100000), " ",IF(INDEX($AM$2:$BM$1001,MATCH(ROWS($AF$2:AF131),$AF$2:$AF$1001,0),MATCH(COLUMNS($AM$1006:BB1006),$AM$1006:$BM$1006,0)), HYPERLINK("#",""), HYPERLINK(CONCATENATE("#metadata!", ADDRESS(INDEX($AH$2:$AH$1001,MATCH(ROWS($AF$2:AF131),$AF$2:$AF$1001,0),0), INDEX($AM$1004:$BM$1004,1,MATCH(COLUMNS($AM$1006:BB1006),$AM$1006:$BM$1006,0)))),"Fix")))</f>
        <v xml:space="preserve"> </v>
      </c>
      <c r="R131" s="4" t="str">
        <f ca="1">IF(OR(INDEX($AG$2:$AG$1001,MATCH(ROWS($AF$2:AF131),$AF$2:$AF$1001,0),1)&gt;=100000,INDEX($AM$1005:$BM$1005,1,MATCH(COLUMNS($AM$1006:BC1006),$AM$1006:$BM$1006,0))&gt;=100000), " ",IF(INDEX($AM$2:$BM$1001,MATCH(ROWS($AF$2:AF131),$AF$2:$AF$1001,0),MATCH(COLUMNS($AM$1006:BC1006),$AM$1006:$BM$1006,0)), HYPERLINK("#",""), HYPERLINK(CONCATENATE("#metadata!", ADDRESS(INDEX($AH$2:$AH$1001,MATCH(ROWS($AF$2:AF131),$AF$2:$AF$1001,0),0), INDEX($AM$1004:$BM$1004,1,MATCH(COLUMNS($AM$1006:BC1006),$AM$1006:$BM$1006,0)))),"Fix")))</f>
        <v xml:space="preserve"> </v>
      </c>
      <c r="S131" s="4" t="str">
        <f ca="1">IF(OR(INDEX($AG$2:$AG$1001,MATCH(ROWS($AF$2:AF131),$AF$2:$AF$1001,0),1)&gt;=100000,INDEX($AM$1005:$BM$1005,1,MATCH(COLUMNS($AM$1006:BD1006),$AM$1006:$BM$1006,0))&gt;=100000), " ",IF(INDEX($AM$2:$BM$1001,MATCH(ROWS($AF$2:AF131),$AF$2:$AF$1001,0),MATCH(COLUMNS($AM$1006:BD1006),$AM$1006:$BM$1006,0)), HYPERLINK("#",""), HYPERLINK(CONCATENATE("#metadata!", ADDRESS(INDEX($AH$2:$AH$1001,MATCH(ROWS($AF$2:AF131),$AF$2:$AF$1001,0),0), INDEX($AM$1004:$BM$1004,1,MATCH(COLUMNS($AM$1006:BD1006),$AM$1006:$BM$1006,0)))),"Fix")))</f>
        <v xml:space="preserve"> </v>
      </c>
      <c r="T131" s="4" t="str">
        <f ca="1">IF(OR(INDEX($AG$2:$AG$1001,MATCH(ROWS($AF$2:AF131),$AF$2:$AF$1001,0),1)&gt;=100000,INDEX($AM$1005:$BM$1005,1,MATCH(COLUMNS($AM$1006:BE1006),$AM$1006:$BM$1006,0))&gt;=100000), " ",IF(INDEX($AM$2:$BM$1001,MATCH(ROWS($AF$2:AF131),$AF$2:$AF$1001,0),MATCH(COLUMNS($AM$1006:BE1006),$AM$1006:$BM$1006,0)), HYPERLINK("#",""), HYPERLINK(CONCATENATE("#metadata!", ADDRESS(INDEX($AH$2:$AH$1001,MATCH(ROWS($AF$2:AF131),$AF$2:$AF$1001,0),0), INDEX($AM$1004:$BM$1004,1,MATCH(COLUMNS($AM$1006:BE1006),$AM$1006:$BM$1006,0)))),"Fix")))</f>
        <v xml:space="preserve"> </v>
      </c>
      <c r="U131" s="4" t="str">
        <f ca="1">IF(OR(INDEX($AG$2:$AG$1001,MATCH(ROWS($AF$2:AF131),$AF$2:$AF$1001,0),1)&gt;=100000,INDEX($AM$1005:$BM$1005,1,MATCH(COLUMNS($AM$1006:BF1006),$AM$1006:$BM$1006,0))&gt;=100000), " ",IF(INDEX($AM$2:$BM$1001,MATCH(ROWS($AF$2:AF131),$AF$2:$AF$1001,0),MATCH(COLUMNS($AM$1006:BF1006),$AM$1006:$BM$1006,0)), HYPERLINK("#",""), HYPERLINK(CONCATENATE("#metadata!", ADDRESS(INDEX($AH$2:$AH$1001,MATCH(ROWS($AF$2:AF131),$AF$2:$AF$1001,0),0), INDEX($AM$1004:$BM$1004,1,MATCH(COLUMNS($AM$1006:BF1006),$AM$1006:$BM$1006,0)))),"Fix")))</f>
        <v xml:space="preserve"> </v>
      </c>
      <c r="V131" s="4" t="str">
        <f ca="1">IF(OR(INDEX($AG$2:$AG$1001,MATCH(ROWS($AF$2:AF131),$AF$2:$AF$1001,0),1)&gt;=100000,INDEX($AM$1005:$BM$1005,1,MATCH(COLUMNS($AM$1006:BG1006),$AM$1006:$BM$1006,0))&gt;=100000), " ",IF(INDEX($AM$2:$BM$1001,MATCH(ROWS($AF$2:AF131),$AF$2:$AF$1001,0),MATCH(COLUMNS($AM$1006:BG1006),$AM$1006:$BM$1006,0)), HYPERLINK("#",""), HYPERLINK(CONCATENATE("#metadata!", ADDRESS(INDEX($AH$2:$AH$1001,MATCH(ROWS($AF$2:AF131),$AF$2:$AF$1001,0),0), INDEX($AM$1004:$BM$1004,1,MATCH(COLUMNS($AM$1006:BG1006),$AM$1006:$BM$1006,0)))),"Fix")))</f>
        <v xml:space="preserve"> </v>
      </c>
      <c r="W131" s="4" t="str">
        <f ca="1">IF(OR(INDEX($AG$2:$AG$1001,MATCH(ROWS($AF$2:AF131),$AF$2:$AF$1001,0),1)&gt;=100000,INDEX($AM$1005:$BM$1005,1,MATCH(COLUMNS($AM$1006:BH1006),$AM$1006:$BM$1006,0))&gt;=100000), " ",IF(INDEX($AM$2:$BM$1001,MATCH(ROWS($AF$2:AF131),$AF$2:$AF$1001,0),MATCH(COLUMNS($AM$1006:BH1006),$AM$1006:$BM$1006,0)), HYPERLINK("#",""), HYPERLINK(CONCATENATE("#metadata!", ADDRESS(INDEX($AH$2:$AH$1001,MATCH(ROWS($AF$2:AF131),$AF$2:$AF$1001,0),0), INDEX($AM$1004:$BM$1004,1,MATCH(COLUMNS($AM$1006:BH1006),$AM$1006:$BM$1006,0)))),"Fix")))</f>
        <v xml:space="preserve"> </v>
      </c>
      <c r="X131" s="4" t="str">
        <f ca="1">IF(OR(INDEX($AG$2:$AG$1001,MATCH(ROWS($AF$2:AF131),$AF$2:$AF$1001,0),1)&gt;=100000,INDEX($AM$1005:$BM$1005,1,MATCH(COLUMNS($AM$1006:BI1006),$AM$1006:$BM$1006,0))&gt;=100000), " ",IF(INDEX($AM$2:$BM$1001,MATCH(ROWS($AF$2:AF131),$AF$2:$AF$1001,0),MATCH(COLUMNS($AM$1006:BI1006),$AM$1006:$BM$1006,0)), HYPERLINK("#",""), HYPERLINK(CONCATENATE("#metadata!", ADDRESS(INDEX($AH$2:$AH$1001,MATCH(ROWS($AF$2:AF131),$AF$2:$AF$1001,0),0), INDEX($AM$1004:$BM$1004,1,MATCH(COLUMNS($AM$1006:BI1006),$AM$1006:$BM$1006,0)))),"Fix")))</f>
        <v xml:space="preserve"> </v>
      </c>
      <c r="Y131" s="4" t="str">
        <f ca="1">IF(OR(INDEX($AG$2:$AG$1001,MATCH(ROWS($AF$2:AF131),$AF$2:$AF$1001,0),1)&gt;=100000,INDEX($AM$1005:$BM$1005,1,MATCH(COLUMNS($AM$1006:BJ1006),$AM$1006:$BM$1006,0))&gt;=100000), " ",IF(INDEX($AM$2:$BM$1001,MATCH(ROWS($AF$2:AF131),$AF$2:$AF$1001,0),MATCH(COLUMNS($AM$1006:BJ1006),$AM$1006:$BM$1006,0)), HYPERLINK("#",""), HYPERLINK(CONCATENATE("#metadata!", ADDRESS(INDEX($AH$2:$AH$1001,MATCH(ROWS($AF$2:AF131),$AF$2:$AF$1001,0),0), INDEX($AM$1004:$BM$1004,1,MATCH(COLUMNS($AM$1006:BJ1006),$AM$1006:$BM$1006,0)))),"Fix")))</f>
        <v xml:space="preserve"> </v>
      </c>
      <c r="Z131" s="4" t="str">
        <f ca="1">IF(OR(INDEX($AG$2:$AG$1001,MATCH(ROWS($AF$2:AF131),$AF$2:$AF$1001,0),1)&gt;=100000,INDEX($AM$1005:$BM$1005,1,MATCH(COLUMNS($AM$1006:BK1006),$AM$1006:$BM$1006,0))&gt;=100000), " ",IF(INDEX($AM$2:$BM$1001,MATCH(ROWS($AF$2:AF131),$AF$2:$AF$1001,0),MATCH(COLUMNS($AM$1006:BK1006),$AM$1006:$BM$1006,0)), HYPERLINK("#",""), HYPERLINK(CONCATENATE("#metadata!", ADDRESS(INDEX($AH$2:$AH$1001,MATCH(ROWS($AF$2:AF131),$AF$2:$AF$1001,0),0), INDEX($AM$1004:$BM$1004,1,MATCH(COLUMNS($AM$1006:BK1006),$AM$1006:$BM$1006,0)))),"Fix")))</f>
        <v xml:space="preserve"> </v>
      </c>
      <c r="AA131" s="4" t="str">
        <f ca="1">IF(OR(INDEX($AG$2:$AG$1001,MATCH(ROWS($AF$2:AF131),$AF$2:$AF$1001,0),1)&gt;=100000,INDEX($AM$1005:$BM$1005,1,MATCH(COLUMNS($AM$1006:BL1006),$AM$1006:$BM$1006,0))&gt;=100000), " ",IF(INDEX($AM$2:$BM$1001,MATCH(ROWS($AF$2:AF131),$AF$2:$AF$1001,0),MATCH(COLUMNS($AM$1006:BL1006),$AM$1006:$BM$1006,0)), HYPERLINK("#",""), HYPERLINK(CONCATENATE("#metadata!", ADDRESS(INDEX($AH$2:$AH$1001,MATCH(ROWS($AF$2:AF131),$AF$2:$AF$1001,0),0), INDEX($AM$1004:$BM$1004,1,MATCH(COLUMNS($AM$1006:BL1006),$AM$1006:$BM$1006,0)))),"Fix")))</f>
        <v xml:space="preserve"> </v>
      </c>
      <c r="AB131" s="4" t="str">
        <f ca="1">IF(OR(INDEX($AG$2:$AG$1001,MATCH(ROWS($AF$2:AF131),$AF$2:$AF$1001,0),1)&gt;=100000,INDEX($AM$1005:$BM$1005,1,MATCH(COLUMNS($AM$1006:BM1006),$AM$1006:$BM$1006,0))&gt;=100000), " ",IF(INDEX($AM$2:$BM$1001,MATCH(ROWS($AF$2:AF131),$AF$2:$AF$1001,0),MATCH(COLUMNS($AM$1006:BM1006),$AM$1006:$BM$1006,0)), HYPERLINK("#",""), HYPERLINK(CONCATENATE("#metadata!", ADDRESS(INDEX($AH$2:$AH$1001,MATCH(ROWS($AF$2:AF131),$AF$2:$AF$1001,0),0), INDEX($AM$1004:$BM$1004,1,MATCH(COLUMNS($AM$1006:BM1006),$AM$1006:$BM$1006,0)))),"Fix")))</f>
        <v xml:space="preserve"> </v>
      </c>
      <c r="AF131">
        <v>130</v>
      </c>
      <c r="AG131">
        <v>100131</v>
      </c>
      <c r="AH131">
        <v>131</v>
      </c>
      <c r="AI131" t="b">
        <f t="shared" si="2"/>
        <v>1</v>
      </c>
      <c r="AJ131" t="b">
        <f>COUNTBLANK(metadata!B131:AB131)=COLUMNS(metadata!B131:AB131)</f>
        <v>1</v>
      </c>
      <c r="AK131" t="str">
        <v/>
      </c>
      <c r="AM131" t="b">
        <f ca="1">AND(IF(metadata!B131="",FALSE,TRUE),COUNTIF(metadata!B:B, metadata!B131) = 1,NOT(ISERROR(SUMPRODUCT(SEARCH(MID(metadata!B131,ROW(INDIRECT("1:"&amp;LEN(metadata!B131))), 1),"0123456789abcdefghijklmnopqrstuvwxyzABCDEFGHIJKLMNOPQRSTUVWXYZ.")))))</f>
        <v>0</v>
      </c>
      <c r="AN131" t="b">
        <f ca="1">OR(AND(IF(metadata!C131="",FALSE,TRUE),OR(EXACT(metadata!C131,"missing: not collected"),EXACT(metadata!C131,"missing: not provided"),EXACT(metadata!C131,"missing: restricted access"))),AND(IF(metadata!C131="",FALSE,TRUE),AND(AND(IFERROR(INT(LEFT(metadata!C131,4))&gt;1900,FALSE),IFERROR(INT(LEFT(metadata!C131,4))&lt;=YEAR(NOW()),FALSE)), OR(MID(metadata!C131,5,1)="", AND(AND(MID(metadata!C131,5,1)="-",IFERROR(INT(MID(metadata!C131,6,1))&gt;=0,FALSE),IFERROR(INT(MID(metadata!C131,6,1))&lt;=1,FALSE),NOT(MID(metadata!C131,7,1)=""),IFERROR(INT(MID(metadata!C131,6,2))&gt;=1,FALSE),IFERROR(INT(MID(metadata!C131,6,2))&lt;=12,FALSE)), OR(MID(metadata!C131,8,1)="", AND(AND(MID(metadata!C131,8,1)="-",IFERROR(INT(MID(metadata!C131,9,1))&gt;=0,FALSE),IFERROR(INT(MID(metadata!C131,9,1))&lt;=3,FALSE),NOT(MID(metadata!C131,10,1)=""),IFERROR(INT(MID(metadata!C131,9,2))&gt;=1,FALSE),IFERROR(INT(MID(metadata!C131,9,2))&lt;=31,FALSE)), OR(MID(metadata!C131,11,1)="", AND(AND(MID(metadata!C131,11,1)=" ",IFERROR(INT(MID(metadata!C131,12,1))&gt;=0,FALSE),IFERROR(INT(MID(metadata!C131,12,1))&lt;=2,FALSE),NOT(MID(metadata!C131,13,1)=""),IFERROR(INT(MID(metadata!C131,12,2))&gt;=0,FALSE),IFERROR(INT(MID(metadata!C131,12,2))&lt;=23,FALSE)), OR(MID(metadata!C131,14,1)="", AND(AND(MID(metadata!C131,14,1)=":",IFERROR(INT(MID(metadata!C131,15,1))&gt;=0,FALSE),IFERROR(INT(MID(metadata!C131,15,1))&lt;=5,FALSE),NOT(MID(metadata!C131,16,1)=""),IFERROR(INT(MID(metadata!C131,15,2))&gt;=0,FALSE),IFERROR(INT(MID(metadata!C131,15,2))&lt;=59,FALSE)), OR(MID(metadata!C131,17,1)="", AND(AND(MID(metadata!C131,17,1)=":",IFERROR(INT(MID(metadata!C131,18,1))&gt;=0,FALSE),IFERROR(INT(MID(metadata!C131,18,1))&lt;=5,FALSE),NOT(MID(metadata!C131,19,1)=""),IFERROR(INT(MID(metadata!C131,18,2))&gt;=0,FALSE),IFERROR(INT(MID(metadata!C131,18,2))&lt;=59,FALSE)), LEN(metadata!C131)&lt;=19)))))))))))))</f>
        <v>0</v>
      </c>
      <c r="AO131" t="b">
        <f>AND(IF(metadata!D131="",FALSE,TRUE),EXACT(metadata!D131,"Not applicable"))</f>
        <v>0</v>
      </c>
      <c r="AP131" t="b">
        <f>IF(metadata!E131="",FALSE,TRUE)</f>
        <v>0</v>
      </c>
      <c r="AQ131" t="b">
        <f>OR(AND(IF(metadata!F131="",FALSE,TRUE),OR(EXACT(metadata!F131,"missing: not collected"),EXACT(metadata!F131,"missing: not provided"))),AND(IF(metadata!F131="",FALSE,TRUE),OR(EXACT(metadata!F131,"TRUE"),EXACT(metadata!F131,"FALSE"))))</f>
        <v>0</v>
      </c>
      <c r="AR131" t="b">
        <f>OR(AND(IF(metadata!G131="",FALSE,TRUE),OR(EXACT(metadata!G131,"missing: not collected"),EXACT(metadata!G131,"missing: not provided"),EXACT(metadata!G131,"missing: restricted access"))),AND(IF(metadata!G131="",FALSE,ISNUMBER(VALUE(metadata!G131))),metadata!G131&gt;=-413))</f>
        <v>0</v>
      </c>
      <c r="AS131" t="b">
        <f>AND(IF(metadata!H131="",FALSE,TRUE),EXACT(metadata!H131,"meters"))</f>
        <v>0</v>
      </c>
      <c r="AT131" t="b">
        <f>AND(IF(metadata!I131="",FALSE,TRUE),OR(EXACT(metadata!I131,"Host-associated"),EXACT(metadata!I131,"Free-living")))</f>
        <v>0</v>
      </c>
      <c r="AU131" t="b">
        <f>AND(IF(metadata!J131="",FALSE,TRUE),OR(EXACT(metadata!J131,"Animal"),EXACT(metadata!J131,"Fungus"),EXACT(metadata!J131,"Plant"),EXACT(metadata!J131,"Saline"),EXACT(metadata!J131,"Non-saline")))</f>
        <v>0</v>
      </c>
      <c r="AV131" t="b">
        <f>AND(IF(metadata!K131="",FALSE,TRUE),OR(EXACT(metadata!K131,"Plant secretion"),EXACT(metadata!K131,"Plant rhizosphere"),EXACT(metadata!K131,"Plant surface"),EXACT(metadata!K131,"Plant corpus"),EXACT(metadata!K131,"Fungus surface"),EXACT(metadata!K131,"Fungus corpus"),EXACT(metadata!K131,"Animal surface"),EXACT(metadata!K131,"Animal proximal gut"),EXACT(metadata!K131,"Animal corpus"),EXACT(metadata!K131,"Animal distal gut"),EXACT(metadata!K131,"Animal secretion"),EXACT(metadata!K131,"Sub-surface (non-saline)"),EXACT(metadata!K131,"Surface (non-saline)"),EXACT(metadata!K131,"Water (non-saline)"),EXACT(metadata!K131,"Soil (non-saline)"),EXACT(metadata!K131,"Aerosol (non-saline)"),EXACT(metadata!K131,"Sediment (non-saline)"),EXACT(metadata!K131,"Surface (saline)"),EXACT(metadata!K131,"Water (saline)"),EXACT(metadata!K131,"Hypersaline (saline)"),EXACT(metadata!K131,"Aerosol (saline)"),EXACT(metadata!K131,"Sediment (saline)")))</f>
        <v>0</v>
      </c>
      <c r="AW131" t="b">
        <f>IF(metadata!L131="",FALSE,TRUE)</f>
        <v>0</v>
      </c>
      <c r="AX131" t="b">
        <f>IF(metadata!M131="",FALSE,TRUE)</f>
        <v>0</v>
      </c>
      <c r="AY131" t="b">
        <f>IF(metadata!N131="",FALSE,TRUE)</f>
        <v>0</v>
      </c>
      <c r="AZ131" t="b">
        <f>OR(AND(IF(metadata!O131="",FALSE,TRUE),OR(EXACT(metadata!O131,"missing: not collected"),EXACT(metadata!O131,"missing: not provided"),EXACT(metadata!O131,"missing: restricted access"))),AND(IF(metadata!O131="",FALSE,TRUE),OR(EXACT(metadata!O131,"air"),EXACT(metadata!O131,"built environment"),EXACT(metadata!O131,"host-associated"),EXACT(metadata!O131,"human-associated"),EXACT(metadata!O131,"human-skin"),EXACT(metadata!O131,"human-oral"),EXACT(metadata!O131,"human-gut"),EXACT(metadata!O131,"human-vaginal"),EXACT(metadata!O131,"microbial mat/biofilm"),EXACT(metadata!O131,"misc environment"),EXACT(metadata!O131,"plant-associated"),EXACT(metadata!O131,"sediment"),EXACT(metadata!O131,"soil"),EXACT(metadata!O131,"wastewater/sludge"),EXACT(metadata!O131,"water"))))</f>
        <v>0</v>
      </c>
      <c r="BA131" t="b">
        <f>IF(metadata!P131="",FALSE,TRUE)</f>
        <v>0</v>
      </c>
      <c r="BB131" t="b">
        <f>IF(metadata!Q131="",FALSE,TRUE)</f>
        <v>0</v>
      </c>
      <c r="BC131" t="b">
        <f>OR(AND(IF(metadata!R131="",FALSE,TRUE),OR(EXACT(metadata!R131,"missing: not collected"),EXACT(metadata!R131,"missing: not provided"),EXACT(metadata!R131,"missing: restricted access"))),AND(IF(metadata!R131="",FALSE,ISNUMBER(VALUE(metadata!R131))),metadata!R131&gt;=-90,metadata!R131&lt;=90))</f>
        <v>0</v>
      </c>
      <c r="BD131" t="b">
        <f>AND(IF(metadata!S131="",FALSE,TRUE),EXACT(metadata!S131,"Decimal degrees"))</f>
        <v>0</v>
      </c>
      <c r="BE131" t="b">
        <f>OR(AND(IF(metadata!T131="",FALSE,TRUE),OR(EXACT(metadata!T131,"missing: not collected"),EXACT(metadata!T131,"missing: not provided"),EXACT(metadata!T131,"missing: restricted access"))),AND(IF(metadata!T131="",FALSE,ISNUMBER(VALUE(metadata!T131))),metadata!T131&gt;=-180,metadata!T131&lt;=180))</f>
        <v>0</v>
      </c>
      <c r="BF131" t="b">
        <f>AND(IF(metadata!U131="",FALSE,TRUE),EXACT(metadata!U131,"Decimal degrees"))</f>
        <v>0</v>
      </c>
      <c r="BG131" t="b">
        <f>IF(metadata!V131="",FALSE,TRUE)</f>
        <v>0</v>
      </c>
      <c r="BH131" t="b">
        <f>OR(AND(IF(metadata!W131="",FALSE,TRUE),OR(EXACT(metadata!W131,"missing: not collected"),EXACT(metadata!W131,"missing: not provided"),EXACT(metadata!W131,"missing: restricted access"))),AND(IF(metadata!W131="",FALSE,TRUE),OR(EXACT(metadata!W131,"TRUE"),EXACT(metadata!W131,"FALSE"))))</f>
        <v>0</v>
      </c>
      <c r="BI131" t="b">
        <f>AND(IF(metadata!X131="",FALSE,TRUE),EXACT(metadata!X131,"other"))</f>
        <v>0</v>
      </c>
      <c r="BJ131" t="b">
        <f>IF(metadata!Y131="",FALSE,TRUE)</f>
        <v>0</v>
      </c>
      <c r="BK131" t="b">
        <f>OR(AND(IF(metadata!Z131="",FALSE,TRUE),OR(EXACT(metadata!Z131,"missing: not collected"),EXACT(metadata!Z131,"missing: not provided"))),AND(IF(metadata!Z131="",FALSE,IF(ISERROR(INT(metadata!Z131)),FALSE,INT(metadata!Z131)=metadata!Z131)),metadata!Z131&gt;0))</f>
        <v>0</v>
      </c>
      <c r="BL131" t="b">
        <f>AND(IF(metadata!AA131="",FALSE,TRUE),EXACT(metadata!AA131,"Not applicable"))</f>
        <v>0</v>
      </c>
      <c r="BM131" t="b">
        <f>IF(metadata!AB131="",FALSE,TRUE)</f>
        <v>0</v>
      </c>
    </row>
    <row r="132" spans="1:65" x14ac:dyDescent="0.2">
      <c r="A132" s="5" t="str">
        <f ca="1">IF(B132=" "," ",HYPERLINK(CONCATENATE("#metadata!",ADDRESS(INDEX($AH$2:$AH$1001,MATCH(ROWS($AF$2:AF132),$AF$2:$AF$1001,0),0),1)),INDEX($AK$2:$AK$1001,MATCH(ROWS($AF$2:AF132),$AF$2:$AF$1001,0),0)))</f>
        <v xml:space="preserve"> </v>
      </c>
      <c r="B132" s="4" t="str">
        <f ca="1">IF(OR(INDEX($AG$2:$AG$1001,MATCH(ROWS($AF$2:AF132),$AF$2:$AF$1001,0),1)&gt;=100000,INDEX($AM$1005:$BM$1005,1,MATCH(COLUMNS($AM$1006:AM1006),$AM$1006:$BM$1006,0))&gt;=100000), " ",IF(INDEX($AM$2:$BM$1001,MATCH(ROWS($AF$2:AF132),$AF$2:$AF$1001,0),MATCH(COLUMNS($AM$1006:AM1006),$AM$1006:$BM$1006,0)), HYPERLINK("#",""), HYPERLINK(CONCATENATE("#metadata!", ADDRESS(INDEX($AH$2:$AH$1001,MATCH(ROWS($AF$2:AF132),$AF$2:$AF$1001,0),0), INDEX($AM$1004:$BM$1004,1,MATCH(COLUMNS($AM$1006:AM1006),$AM$1006:$BM$1006,0)))),"Fix")))</f>
        <v xml:space="preserve"> </v>
      </c>
      <c r="C132" s="4" t="str">
        <f ca="1">IF(OR(INDEX($AG$2:$AG$1001,MATCH(ROWS($AF$2:AF132),$AF$2:$AF$1001,0),1)&gt;=100000,INDEX($AM$1005:$BM$1005,1,MATCH(COLUMNS($AM$1006:AN1006),$AM$1006:$BM$1006,0))&gt;=100000), " ",IF(INDEX($AM$2:$BM$1001,MATCH(ROWS($AF$2:AF132),$AF$2:$AF$1001,0),MATCH(COLUMNS($AM$1006:AN1006),$AM$1006:$BM$1006,0)), HYPERLINK("#",""), HYPERLINK(CONCATENATE("#metadata!", ADDRESS(INDEX($AH$2:$AH$1001,MATCH(ROWS($AF$2:AF132),$AF$2:$AF$1001,0),0), INDEX($AM$1004:$BM$1004,1,MATCH(COLUMNS($AM$1006:AN1006),$AM$1006:$BM$1006,0)))),"Fix")))</f>
        <v xml:space="preserve"> </v>
      </c>
      <c r="D132" s="4" t="str">
        <f ca="1">IF(OR(INDEX($AG$2:$AG$1001,MATCH(ROWS($AF$2:AF132),$AF$2:$AF$1001,0),1)&gt;=100000,INDEX($AM$1005:$BM$1005,1,MATCH(COLUMNS($AM$1006:AO1006),$AM$1006:$BM$1006,0))&gt;=100000), " ",IF(INDEX($AM$2:$BM$1001,MATCH(ROWS($AF$2:AF132),$AF$2:$AF$1001,0),MATCH(COLUMNS($AM$1006:AO1006),$AM$1006:$BM$1006,0)), HYPERLINK("#",""), HYPERLINK(CONCATENATE("#metadata!", ADDRESS(INDEX($AH$2:$AH$1001,MATCH(ROWS($AF$2:AF132),$AF$2:$AF$1001,0),0), INDEX($AM$1004:$BM$1004,1,MATCH(COLUMNS($AM$1006:AO1006),$AM$1006:$BM$1006,0)))),"Fix")))</f>
        <v xml:space="preserve"> </v>
      </c>
      <c r="E132" s="4" t="str">
        <f ca="1">IF(OR(INDEX($AG$2:$AG$1001,MATCH(ROWS($AF$2:AF132),$AF$2:$AF$1001,0),1)&gt;=100000,INDEX($AM$1005:$BM$1005,1,MATCH(COLUMNS($AM$1006:AP1006),$AM$1006:$BM$1006,0))&gt;=100000), " ",IF(INDEX($AM$2:$BM$1001,MATCH(ROWS($AF$2:AF132),$AF$2:$AF$1001,0),MATCH(COLUMNS($AM$1006:AP1006),$AM$1006:$BM$1006,0)), HYPERLINK("#",""), HYPERLINK(CONCATENATE("#metadata!", ADDRESS(INDEX($AH$2:$AH$1001,MATCH(ROWS($AF$2:AF132),$AF$2:$AF$1001,0),0), INDEX($AM$1004:$BM$1004,1,MATCH(COLUMNS($AM$1006:AP1006),$AM$1006:$BM$1006,0)))),"Fix")))</f>
        <v xml:space="preserve"> </v>
      </c>
      <c r="F132" s="4" t="str">
        <f ca="1">IF(OR(INDEX($AG$2:$AG$1001,MATCH(ROWS($AF$2:AF132),$AF$2:$AF$1001,0),1)&gt;=100000,INDEX($AM$1005:$BM$1005,1,MATCH(COLUMNS($AM$1006:AQ1006),$AM$1006:$BM$1006,0))&gt;=100000), " ",IF(INDEX($AM$2:$BM$1001,MATCH(ROWS($AF$2:AF132),$AF$2:$AF$1001,0),MATCH(COLUMNS($AM$1006:AQ1006),$AM$1006:$BM$1006,0)), HYPERLINK("#",""), HYPERLINK(CONCATENATE("#metadata!", ADDRESS(INDEX($AH$2:$AH$1001,MATCH(ROWS($AF$2:AF132),$AF$2:$AF$1001,0),0), INDEX($AM$1004:$BM$1004,1,MATCH(COLUMNS($AM$1006:AQ1006),$AM$1006:$BM$1006,0)))),"Fix")))</f>
        <v xml:space="preserve"> </v>
      </c>
      <c r="G132" s="4" t="str">
        <f ca="1">IF(OR(INDEX($AG$2:$AG$1001,MATCH(ROWS($AF$2:AF132),$AF$2:$AF$1001,0),1)&gt;=100000,INDEX($AM$1005:$BM$1005,1,MATCH(COLUMNS($AM$1006:AR1006),$AM$1006:$BM$1006,0))&gt;=100000), " ",IF(INDEX($AM$2:$BM$1001,MATCH(ROWS($AF$2:AF132),$AF$2:$AF$1001,0),MATCH(COLUMNS($AM$1006:AR1006),$AM$1006:$BM$1006,0)), HYPERLINK("#",""), HYPERLINK(CONCATENATE("#metadata!", ADDRESS(INDEX($AH$2:$AH$1001,MATCH(ROWS($AF$2:AF132),$AF$2:$AF$1001,0),0), INDEX($AM$1004:$BM$1004,1,MATCH(COLUMNS($AM$1006:AR1006),$AM$1006:$BM$1006,0)))),"Fix")))</f>
        <v xml:space="preserve"> </v>
      </c>
      <c r="H132" s="4" t="str">
        <f ca="1">IF(OR(INDEX($AG$2:$AG$1001,MATCH(ROWS($AF$2:AF132),$AF$2:$AF$1001,0),1)&gt;=100000,INDEX($AM$1005:$BM$1005,1,MATCH(COLUMNS($AM$1006:AS1006),$AM$1006:$BM$1006,0))&gt;=100000), " ",IF(INDEX($AM$2:$BM$1001,MATCH(ROWS($AF$2:AF132),$AF$2:$AF$1001,0),MATCH(COLUMNS($AM$1006:AS1006),$AM$1006:$BM$1006,0)), HYPERLINK("#",""), HYPERLINK(CONCATENATE("#metadata!", ADDRESS(INDEX($AH$2:$AH$1001,MATCH(ROWS($AF$2:AF132),$AF$2:$AF$1001,0),0), INDEX($AM$1004:$BM$1004,1,MATCH(COLUMNS($AM$1006:AS1006),$AM$1006:$BM$1006,0)))),"Fix")))</f>
        <v xml:space="preserve"> </v>
      </c>
      <c r="I132" s="4" t="str">
        <f ca="1">IF(OR(INDEX($AG$2:$AG$1001,MATCH(ROWS($AF$2:AF132),$AF$2:$AF$1001,0),1)&gt;=100000,INDEX($AM$1005:$BM$1005,1,MATCH(COLUMNS($AM$1006:AT1006),$AM$1006:$BM$1006,0))&gt;=100000), " ",IF(INDEX($AM$2:$BM$1001,MATCH(ROWS($AF$2:AF132),$AF$2:$AF$1001,0),MATCH(COLUMNS($AM$1006:AT1006),$AM$1006:$BM$1006,0)), HYPERLINK("#",""), HYPERLINK(CONCATENATE("#metadata!", ADDRESS(INDEX($AH$2:$AH$1001,MATCH(ROWS($AF$2:AF132),$AF$2:$AF$1001,0),0), INDEX($AM$1004:$BM$1004,1,MATCH(COLUMNS($AM$1006:AT1006),$AM$1006:$BM$1006,0)))),"Fix")))</f>
        <v xml:space="preserve"> </v>
      </c>
      <c r="J132" s="4" t="str">
        <f ca="1">IF(OR(INDEX($AG$2:$AG$1001,MATCH(ROWS($AF$2:AF132),$AF$2:$AF$1001,0),1)&gt;=100000,INDEX($AM$1005:$BM$1005,1,MATCH(COLUMNS($AM$1006:AU1006),$AM$1006:$BM$1006,0))&gt;=100000), " ",IF(INDEX($AM$2:$BM$1001,MATCH(ROWS($AF$2:AF132),$AF$2:$AF$1001,0),MATCH(COLUMNS($AM$1006:AU1006),$AM$1006:$BM$1006,0)), HYPERLINK("#",""), HYPERLINK(CONCATENATE("#metadata!", ADDRESS(INDEX($AH$2:$AH$1001,MATCH(ROWS($AF$2:AF132),$AF$2:$AF$1001,0),0), INDEX($AM$1004:$BM$1004,1,MATCH(COLUMNS($AM$1006:AU1006),$AM$1006:$BM$1006,0)))),"Fix")))</f>
        <v xml:space="preserve"> </v>
      </c>
      <c r="K132" s="4" t="str">
        <f ca="1">IF(OR(INDEX($AG$2:$AG$1001,MATCH(ROWS($AF$2:AF132),$AF$2:$AF$1001,0),1)&gt;=100000,INDEX($AM$1005:$BM$1005,1,MATCH(COLUMNS($AM$1006:AV1006),$AM$1006:$BM$1006,0))&gt;=100000), " ",IF(INDEX($AM$2:$BM$1001,MATCH(ROWS($AF$2:AF132),$AF$2:$AF$1001,0),MATCH(COLUMNS($AM$1006:AV1006),$AM$1006:$BM$1006,0)), HYPERLINK("#",""), HYPERLINK(CONCATENATE("#metadata!", ADDRESS(INDEX($AH$2:$AH$1001,MATCH(ROWS($AF$2:AF132),$AF$2:$AF$1001,0),0), INDEX($AM$1004:$BM$1004,1,MATCH(COLUMNS($AM$1006:AV1006),$AM$1006:$BM$1006,0)))),"Fix")))</f>
        <v xml:space="preserve"> </v>
      </c>
      <c r="L132" s="4" t="str">
        <f ca="1">IF(OR(INDEX($AG$2:$AG$1001,MATCH(ROWS($AF$2:AF132),$AF$2:$AF$1001,0),1)&gt;=100000,INDEX($AM$1005:$BM$1005,1,MATCH(COLUMNS($AM$1006:AW1006),$AM$1006:$BM$1006,0))&gt;=100000), " ",IF(INDEX($AM$2:$BM$1001,MATCH(ROWS($AF$2:AF132),$AF$2:$AF$1001,0),MATCH(COLUMNS($AM$1006:AW1006),$AM$1006:$BM$1006,0)), HYPERLINK("#",""), HYPERLINK(CONCATENATE("#metadata!", ADDRESS(INDEX($AH$2:$AH$1001,MATCH(ROWS($AF$2:AF132),$AF$2:$AF$1001,0),0), INDEX($AM$1004:$BM$1004,1,MATCH(COLUMNS($AM$1006:AW1006),$AM$1006:$BM$1006,0)))),"Fix")))</f>
        <v xml:space="preserve"> </v>
      </c>
      <c r="M132" s="4" t="str">
        <f ca="1">IF(OR(INDEX($AG$2:$AG$1001,MATCH(ROWS($AF$2:AF132),$AF$2:$AF$1001,0),1)&gt;=100000,INDEX($AM$1005:$BM$1005,1,MATCH(COLUMNS($AM$1006:AX1006),$AM$1006:$BM$1006,0))&gt;=100000), " ",IF(INDEX($AM$2:$BM$1001,MATCH(ROWS($AF$2:AF132),$AF$2:$AF$1001,0),MATCH(COLUMNS($AM$1006:AX1006),$AM$1006:$BM$1006,0)), HYPERLINK("#",""), HYPERLINK(CONCATENATE("#metadata!", ADDRESS(INDEX($AH$2:$AH$1001,MATCH(ROWS($AF$2:AF132),$AF$2:$AF$1001,0),0), INDEX($AM$1004:$BM$1004,1,MATCH(COLUMNS($AM$1006:AX1006),$AM$1006:$BM$1006,0)))),"Fix")))</f>
        <v xml:space="preserve"> </v>
      </c>
      <c r="N132" s="4" t="str">
        <f ca="1">IF(OR(INDEX($AG$2:$AG$1001,MATCH(ROWS($AF$2:AF132),$AF$2:$AF$1001,0),1)&gt;=100000,INDEX($AM$1005:$BM$1005,1,MATCH(COLUMNS($AM$1006:AY1006),$AM$1006:$BM$1006,0))&gt;=100000), " ",IF(INDEX($AM$2:$BM$1001,MATCH(ROWS($AF$2:AF132),$AF$2:$AF$1001,0),MATCH(COLUMNS($AM$1006:AY1006),$AM$1006:$BM$1006,0)), HYPERLINK("#",""), HYPERLINK(CONCATENATE("#metadata!", ADDRESS(INDEX($AH$2:$AH$1001,MATCH(ROWS($AF$2:AF132),$AF$2:$AF$1001,0),0), INDEX($AM$1004:$BM$1004,1,MATCH(COLUMNS($AM$1006:AY1006),$AM$1006:$BM$1006,0)))),"Fix")))</f>
        <v xml:space="preserve"> </v>
      </c>
      <c r="O132" s="4" t="str">
        <f ca="1">IF(OR(INDEX($AG$2:$AG$1001,MATCH(ROWS($AF$2:AF132),$AF$2:$AF$1001,0),1)&gt;=100000,INDEX($AM$1005:$BM$1005,1,MATCH(COLUMNS($AM$1006:AZ1006),$AM$1006:$BM$1006,0))&gt;=100000), " ",IF(INDEX($AM$2:$BM$1001,MATCH(ROWS($AF$2:AF132),$AF$2:$AF$1001,0),MATCH(COLUMNS($AM$1006:AZ1006),$AM$1006:$BM$1006,0)), HYPERLINK("#",""), HYPERLINK(CONCATENATE("#metadata!", ADDRESS(INDEX($AH$2:$AH$1001,MATCH(ROWS($AF$2:AF132),$AF$2:$AF$1001,0),0), INDEX($AM$1004:$BM$1004,1,MATCH(COLUMNS($AM$1006:AZ1006),$AM$1006:$BM$1006,0)))),"Fix")))</f>
        <v xml:space="preserve"> </v>
      </c>
      <c r="P132" s="4" t="str">
        <f ca="1">IF(OR(INDEX($AG$2:$AG$1001,MATCH(ROWS($AF$2:AF132),$AF$2:$AF$1001,0),1)&gt;=100000,INDEX($AM$1005:$BM$1005,1,MATCH(COLUMNS($AM$1006:BA1006),$AM$1006:$BM$1006,0))&gt;=100000), " ",IF(INDEX($AM$2:$BM$1001,MATCH(ROWS($AF$2:AF132),$AF$2:$AF$1001,0),MATCH(COLUMNS($AM$1006:BA1006),$AM$1006:$BM$1006,0)), HYPERLINK("#",""), HYPERLINK(CONCATENATE("#metadata!", ADDRESS(INDEX($AH$2:$AH$1001,MATCH(ROWS($AF$2:AF132),$AF$2:$AF$1001,0),0), INDEX($AM$1004:$BM$1004,1,MATCH(COLUMNS($AM$1006:BA1006),$AM$1006:$BM$1006,0)))),"Fix")))</f>
        <v xml:space="preserve"> </v>
      </c>
      <c r="Q132" s="4" t="str">
        <f ca="1">IF(OR(INDEX($AG$2:$AG$1001,MATCH(ROWS($AF$2:AF132),$AF$2:$AF$1001,0),1)&gt;=100000,INDEX($AM$1005:$BM$1005,1,MATCH(COLUMNS($AM$1006:BB1006),$AM$1006:$BM$1006,0))&gt;=100000), " ",IF(INDEX($AM$2:$BM$1001,MATCH(ROWS($AF$2:AF132),$AF$2:$AF$1001,0),MATCH(COLUMNS($AM$1006:BB1006),$AM$1006:$BM$1006,0)), HYPERLINK("#",""), HYPERLINK(CONCATENATE("#metadata!", ADDRESS(INDEX($AH$2:$AH$1001,MATCH(ROWS($AF$2:AF132),$AF$2:$AF$1001,0),0), INDEX($AM$1004:$BM$1004,1,MATCH(COLUMNS($AM$1006:BB1006),$AM$1006:$BM$1006,0)))),"Fix")))</f>
        <v xml:space="preserve"> </v>
      </c>
      <c r="R132" s="4" t="str">
        <f ca="1">IF(OR(INDEX($AG$2:$AG$1001,MATCH(ROWS($AF$2:AF132),$AF$2:$AF$1001,0),1)&gt;=100000,INDEX($AM$1005:$BM$1005,1,MATCH(COLUMNS($AM$1006:BC1006),$AM$1006:$BM$1006,0))&gt;=100000), " ",IF(INDEX($AM$2:$BM$1001,MATCH(ROWS($AF$2:AF132),$AF$2:$AF$1001,0),MATCH(COLUMNS($AM$1006:BC1006),$AM$1006:$BM$1006,0)), HYPERLINK("#",""), HYPERLINK(CONCATENATE("#metadata!", ADDRESS(INDEX($AH$2:$AH$1001,MATCH(ROWS($AF$2:AF132),$AF$2:$AF$1001,0),0), INDEX($AM$1004:$BM$1004,1,MATCH(COLUMNS($AM$1006:BC1006),$AM$1006:$BM$1006,0)))),"Fix")))</f>
        <v xml:space="preserve"> </v>
      </c>
      <c r="S132" s="4" t="str">
        <f ca="1">IF(OR(INDEX($AG$2:$AG$1001,MATCH(ROWS($AF$2:AF132),$AF$2:$AF$1001,0),1)&gt;=100000,INDEX($AM$1005:$BM$1005,1,MATCH(COLUMNS($AM$1006:BD1006),$AM$1006:$BM$1006,0))&gt;=100000), " ",IF(INDEX($AM$2:$BM$1001,MATCH(ROWS($AF$2:AF132),$AF$2:$AF$1001,0),MATCH(COLUMNS($AM$1006:BD1006),$AM$1006:$BM$1006,0)), HYPERLINK("#",""), HYPERLINK(CONCATENATE("#metadata!", ADDRESS(INDEX($AH$2:$AH$1001,MATCH(ROWS($AF$2:AF132),$AF$2:$AF$1001,0),0), INDEX($AM$1004:$BM$1004,1,MATCH(COLUMNS($AM$1006:BD1006),$AM$1006:$BM$1006,0)))),"Fix")))</f>
        <v xml:space="preserve"> </v>
      </c>
      <c r="T132" s="4" t="str">
        <f ca="1">IF(OR(INDEX($AG$2:$AG$1001,MATCH(ROWS($AF$2:AF132),$AF$2:$AF$1001,0),1)&gt;=100000,INDEX($AM$1005:$BM$1005,1,MATCH(COLUMNS($AM$1006:BE1006),$AM$1006:$BM$1006,0))&gt;=100000), " ",IF(INDEX($AM$2:$BM$1001,MATCH(ROWS($AF$2:AF132),$AF$2:$AF$1001,0),MATCH(COLUMNS($AM$1006:BE1006),$AM$1006:$BM$1006,0)), HYPERLINK("#",""), HYPERLINK(CONCATENATE("#metadata!", ADDRESS(INDEX($AH$2:$AH$1001,MATCH(ROWS($AF$2:AF132),$AF$2:$AF$1001,0),0), INDEX($AM$1004:$BM$1004,1,MATCH(COLUMNS($AM$1006:BE1006),$AM$1006:$BM$1006,0)))),"Fix")))</f>
        <v xml:space="preserve"> </v>
      </c>
      <c r="U132" s="4" t="str">
        <f ca="1">IF(OR(INDEX($AG$2:$AG$1001,MATCH(ROWS($AF$2:AF132),$AF$2:$AF$1001,0),1)&gt;=100000,INDEX($AM$1005:$BM$1005,1,MATCH(COLUMNS($AM$1006:BF1006),$AM$1006:$BM$1006,0))&gt;=100000), " ",IF(INDEX($AM$2:$BM$1001,MATCH(ROWS($AF$2:AF132),$AF$2:$AF$1001,0),MATCH(COLUMNS($AM$1006:BF1006),$AM$1006:$BM$1006,0)), HYPERLINK("#",""), HYPERLINK(CONCATENATE("#metadata!", ADDRESS(INDEX($AH$2:$AH$1001,MATCH(ROWS($AF$2:AF132),$AF$2:$AF$1001,0),0), INDEX($AM$1004:$BM$1004,1,MATCH(COLUMNS($AM$1006:BF1006),$AM$1006:$BM$1006,0)))),"Fix")))</f>
        <v xml:space="preserve"> </v>
      </c>
      <c r="V132" s="4" t="str">
        <f ca="1">IF(OR(INDEX($AG$2:$AG$1001,MATCH(ROWS($AF$2:AF132),$AF$2:$AF$1001,0),1)&gt;=100000,INDEX($AM$1005:$BM$1005,1,MATCH(COLUMNS($AM$1006:BG1006),$AM$1006:$BM$1006,0))&gt;=100000), " ",IF(INDEX($AM$2:$BM$1001,MATCH(ROWS($AF$2:AF132),$AF$2:$AF$1001,0),MATCH(COLUMNS($AM$1006:BG1006),$AM$1006:$BM$1006,0)), HYPERLINK("#",""), HYPERLINK(CONCATENATE("#metadata!", ADDRESS(INDEX($AH$2:$AH$1001,MATCH(ROWS($AF$2:AF132),$AF$2:$AF$1001,0),0), INDEX($AM$1004:$BM$1004,1,MATCH(COLUMNS($AM$1006:BG1006),$AM$1006:$BM$1006,0)))),"Fix")))</f>
        <v xml:space="preserve"> </v>
      </c>
      <c r="W132" s="4" t="str">
        <f ca="1">IF(OR(INDEX($AG$2:$AG$1001,MATCH(ROWS($AF$2:AF132),$AF$2:$AF$1001,0),1)&gt;=100000,INDEX($AM$1005:$BM$1005,1,MATCH(COLUMNS($AM$1006:BH1006),$AM$1006:$BM$1006,0))&gt;=100000), " ",IF(INDEX($AM$2:$BM$1001,MATCH(ROWS($AF$2:AF132),$AF$2:$AF$1001,0),MATCH(COLUMNS($AM$1006:BH1006),$AM$1006:$BM$1006,0)), HYPERLINK("#",""), HYPERLINK(CONCATENATE("#metadata!", ADDRESS(INDEX($AH$2:$AH$1001,MATCH(ROWS($AF$2:AF132),$AF$2:$AF$1001,0),0), INDEX($AM$1004:$BM$1004,1,MATCH(COLUMNS($AM$1006:BH1006),$AM$1006:$BM$1006,0)))),"Fix")))</f>
        <v xml:space="preserve"> </v>
      </c>
      <c r="X132" s="4" t="str">
        <f ca="1">IF(OR(INDEX($AG$2:$AG$1001,MATCH(ROWS($AF$2:AF132),$AF$2:$AF$1001,0),1)&gt;=100000,INDEX($AM$1005:$BM$1005,1,MATCH(COLUMNS($AM$1006:BI1006),$AM$1006:$BM$1006,0))&gt;=100000), " ",IF(INDEX($AM$2:$BM$1001,MATCH(ROWS($AF$2:AF132),$AF$2:$AF$1001,0),MATCH(COLUMNS($AM$1006:BI1006),$AM$1006:$BM$1006,0)), HYPERLINK("#",""), HYPERLINK(CONCATENATE("#metadata!", ADDRESS(INDEX($AH$2:$AH$1001,MATCH(ROWS($AF$2:AF132),$AF$2:$AF$1001,0),0), INDEX($AM$1004:$BM$1004,1,MATCH(COLUMNS($AM$1006:BI1006),$AM$1006:$BM$1006,0)))),"Fix")))</f>
        <v xml:space="preserve"> </v>
      </c>
      <c r="Y132" s="4" t="str">
        <f ca="1">IF(OR(INDEX($AG$2:$AG$1001,MATCH(ROWS($AF$2:AF132),$AF$2:$AF$1001,0),1)&gt;=100000,INDEX($AM$1005:$BM$1005,1,MATCH(COLUMNS($AM$1006:BJ1006),$AM$1006:$BM$1006,0))&gt;=100000), " ",IF(INDEX($AM$2:$BM$1001,MATCH(ROWS($AF$2:AF132),$AF$2:$AF$1001,0),MATCH(COLUMNS($AM$1006:BJ1006),$AM$1006:$BM$1006,0)), HYPERLINK("#",""), HYPERLINK(CONCATENATE("#metadata!", ADDRESS(INDEX($AH$2:$AH$1001,MATCH(ROWS($AF$2:AF132),$AF$2:$AF$1001,0),0), INDEX($AM$1004:$BM$1004,1,MATCH(COLUMNS($AM$1006:BJ1006),$AM$1006:$BM$1006,0)))),"Fix")))</f>
        <v xml:space="preserve"> </v>
      </c>
      <c r="Z132" s="4" t="str">
        <f ca="1">IF(OR(INDEX($AG$2:$AG$1001,MATCH(ROWS($AF$2:AF132),$AF$2:$AF$1001,0),1)&gt;=100000,INDEX($AM$1005:$BM$1005,1,MATCH(COLUMNS($AM$1006:BK1006),$AM$1006:$BM$1006,0))&gt;=100000), " ",IF(INDEX($AM$2:$BM$1001,MATCH(ROWS($AF$2:AF132),$AF$2:$AF$1001,0),MATCH(COLUMNS($AM$1006:BK1006),$AM$1006:$BM$1006,0)), HYPERLINK("#",""), HYPERLINK(CONCATENATE("#metadata!", ADDRESS(INDEX($AH$2:$AH$1001,MATCH(ROWS($AF$2:AF132),$AF$2:$AF$1001,0),0), INDEX($AM$1004:$BM$1004,1,MATCH(COLUMNS($AM$1006:BK1006),$AM$1006:$BM$1006,0)))),"Fix")))</f>
        <v xml:space="preserve"> </v>
      </c>
      <c r="AA132" s="4" t="str">
        <f ca="1">IF(OR(INDEX($AG$2:$AG$1001,MATCH(ROWS($AF$2:AF132),$AF$2:$AF$1001,0),1)&gt;=100000,INDEX($AM$1005:$BM$1005,1,MATCH(COLUMNS($AM$1006:BL1006),$AM$1006:$BM$1006,0))&gt;=100000), " ",IF(INDEX($AM$2:$BM$1001,MATCH(ROWS($AF$2:AF132),$AF$2:$AF$1001,0),MATCH(COLUMNS($AM$1006:BL1006),$AM$1006:$BM$1006,0)), HYPERLINK("#",""), HYPERLINK(CONCATENATE("#metadata!", ADDRESS(INDEX($AH$2:$AH$1001,MATCH(ROWS($AF$2:AF132),$AF$2:$AF$1001,0),0), INDEX($AM$1004:$BM$1004,1,MATCH(COLUMNS($AM$1006:BL1006),$AM$1006:$BM$1006,0)))),"Fix")))</f>
        <v xml:space="preserve"> </v>
      </c>
      <c r="AB132" s="4" t="str">
        <f ca="1">IF(OR(INDEX($AG$2:$AG$1001,MATCH(ROWS($AF$2:AF132),$AF$2:$AF$1001,0),1)&gt;=100000,INDEX($AM$1005:$BM$1005,1,MATCH(COLUMNS($AM$1006:BM1006),$AM$1006:$BM$1006,0))&gt;=100000), " ",IF(INDEX($AM$2:$BM$1001,MATCH(ROWS($AF$2:AF132),$AF$2:$AF$1001,0),MATCH(COLUMNS($AM$1006:BM1006),$AM$1006:$BM$1006,0)), HYPERLINK("#",""), HYPERLINK(CONCATENATE("#metadata!", ADDRESS(INDEX($AH$2:$AH$1001,MATCH(ROWS($AF$2:AF132),$AF$2:$AF$1001,0),0), INDEX($AM$1004:$BM$1004,1,MATCH(COLUMNS($AM$1006:BM1006),$AM$1006:$BM$1006,0)))),"Fix")))</f>
        <v xml:space="preserve"> </v>
      </c>
      <c r="AF132">
        <v>131</v>
      </c>
      <c r="AG132">
        <v>100132</v>
      </c>
      <c r="AH132">
        <v>132</v>
      </c>
      <c r="AI132" t="b">
        <f t="shared" si="2"/>
        <v>1</v>
      </c>
      <c r="AJ132" t="b">
        <f>COUNTBLANK(metadata!B132:AB132)=COLUMNS(metadata!B132:AB132)</f>
        <v>1</v>
      </c>
      <c r="AK132" t="str">
        <v/>
      </c>
      <c r="AM132" t="b">
        <f ca="1">AND(IF(metadata!B132="",FALSE,TRUE),COUNTIF(metadata!B:B, metadata!B132) = 1,NOT(ISERROR(SUMPRODUCT(SEARCH(MID(metadata!B132,ROW(INDIRECT("1:"&amp;LEN(metadata!B132))), 1),"0123456789abcdefghijklmnopqrstuvwxyzABCDEFGHIJKLMNOPQRSTUVWXYZ.")))))</f>
        <v>0</v>
      </c>
      <c r="AN132" t="b">
        <f ca="1">OR(AND(IF(metadata!C132="",FALSE,TRUE),OR(EXACT(metadata!C132,"missing: not collected"),EXACT(metadata!C132,"missing: not provided"),EXACT(metadata!C132,"missing: restricted access"))),AND(IF(metadata!C132="",FALSE,TRUE),AND(AND(IFERROR(INT(LEFT(metadata!C132,4))&gt;1900,FALSE),IFERROR(INT(LEFT(metadata!C132,4))&lt;=YEAR(NOW()),FALSE)), OR(MID(metadata!C132,5,1)="", AND(AND(MID(metadata!C132,5,1)="-",IFERROR(INT(MID(metadata!C132,6,1))&gt;=0,FALSE),IFERROR(INT(MID(metadata!C132,6,1))&lt;=1,FALSE),NOT(MID(metadata!C132,7,1)=""),IFERROR(INT(MID(metadata!C132,6,2))&gt;=1,FALSE),IFERROR(INT(MID(metadata!C132,6,2))&lt;=12,FALSE)), OR(MID(metadata!C132,8,1)="", AND(AND(MID(metadata!C132,8,1)="-",IFERROR(INT(MID(metadata!C132,9,1))&gt;=0,FALSE),IFERROR(INT(MID(metadata!C132,9,1))&lt;=3,FALSE),NOT(MID(metadata!C132,10,1)=""),IFERROR(INT(MID(metadata!C132,9,2))&gt;=1,FALSE),IFERROR(INT(MID(metadata!C132,9,2))&lt;=31,FALSE)), OR(MID(metadata!C132,11,1)="", AND(AND(MID(metadata!C132,11,1)=" ",IFERROR(INT(MID(metadata!C132,12,1))&gt;=0,FALSE),IFERROR(INT(MID(metadata!C132,12,1))&lt;=2,FALSE),NOT(MID(metadata!C132,13,1)=""),IFERROR(INT(MID(metadata!C132,12,2))&gt;=0,FALSE),IFERROR(INT(MID(metadata!C132,12,2))&lt;=23,FALSE)), OR(MID(metadata!C132,14,1)="", AND(AND(MID(metadata!C132,14,1)=":",IFERROR(INT(MID(metadata!C132,15,1))&gt;=0,FALSE),IFERROR(INT(MID(metadata!C132,15,1))&lt;=5,FALSE),NOT(MID(metadata!C132,16,1)=""),IFERROR(INT(MID(metadata!C132,15,2))&gt;=0,FALSE),IFERROR(INT(MID(metadata!C132,15,2))&lt;=59,FALSE)), OR(MID(metadata!C132,17,1)="", AND(AND(MID(metadata!C132,17,1)=":",IFERROR(INT(MID(metadata!C132,18,1))&gt;=0,FALSE),IFERROR(INT(MID(metadata!C132,18,1))&lt;=5,FALSE),NOT(MID(metadata!C132,19,1)=""),IFERROR(INT(MID(metadata!C132,18,2))&gt;=0,FALSE),IFERROR(INT(MID(metadata!C132,18,2))&lt;=59,FALSE)), LEN(metadata!C132)&lt;=19)))))))))))))</f>
        <v>0</v>
      </c>
      <c r="AO132" t="b">
        <f>AND(IF(metadata!D132="",FALSE,TRUE),EXACT(metadata!D132,"Not applicable"))</f>
        <v>0</v>
      </c>
      <c r="AP132" t="b">
        <f>IF(metadata!E132="",FALSE,TRUE)</f>
        <v>0</v>
      </c>
      <c r="AQ132" t="b">
        <f>OR(AND(IF(metadata!F132="",FALSE,TRUE),OR(EXACT(metadata!F132,"missing: not collected"),EXACT(metadata!F132,"missing: not provided"))),AND(IF(metadata!F132="",FALSE,TRUE),OR(EXACT(metadata!F132,"TRUE"),EXACT(metadata!F132,"FALSE"))))</f>
        <v>0</v>
      </c>
      <c r="AR132" t="b">
        <f>OR(AND(IF(metadata!G132="",FALSE,TRUE),OR(EXACT(metadata!G132,"missing: not collected"),EXACT(metadata!G132,"missing: not provided"),EXACT(metadata!G132,"missing: restricted access"))),AND(IF(metadata!G132="",FALSE,ISNUMBER(VALUE(metadata!G132))),metadata!G132&gt;=-413))</f>
        <v>0</v>
      </c>
      <c r="AS132" t="b">
        <f>AND(IF(metadata!H132="",FALSE,TRUE),EXACT(metadata!H132,"meters"))</f>
        <v>0</v>
      </c>
      <c r="AT132" t="b">
        <f>AND(IF(metadata!I132="",FALSE,TRUE),OR(EXACT(metadata!I132,"Host-associated"),EXACT(metadata!I132,"Free-living")))</f>
        <v>0</v>
      </c>
      <c r="AU132" t="b">
        <f>AND(IF(metadata!J132="",FALSE,TRUE),OR(EXACT(metadata!J132,"Animal"),EXACT(metadata!J132,"Fungus"),EXACT(metadata!J132,"Plant"),EXACT(metadata!J132,"Saline"),EXACT(metadata!J132,"Non-saline")))</f>
        <v>0</v>
      </c>
      <c r="AV132" t="b">
        <f>AND(IF(metadata!K132="",FALSE,TRUE),OR(EXACT(metadata!K132,"Plant secretion"),EXACT(metadata!K132,"Plant rhizosphere"),EXACT(metadata!K132,"Plant surface"),EXACT(metadata!K132,"Plant corpus"),EXACT(metadata!K132,"Fungus surface"),EXACT(metadata!K132,"Fungus corpus"),EXACT(metadata!K132,"Animal surface"),EXACT(metadata!K132,"Animal proximal gut"),EXACT(metadata!K132,"Animal corpus"),EXACT(metadata!K132,"Animal distal gut"),EXACT(metadata!K132,"Animal secretion"),EXACT(metadata!K132,"Sub-surface (non-saline)"),EXACT(metadata!K132,"Surface (non-saline)"),EXACT(metadata!K132,"Water (non-saline)"),EXACT(metadata!K132,"Soil (non-saline)"),EXACT(metadata!K132,"Aerosol (non-saline)"),EXACT(metadata!K132,"Sediment (non-saline)"),EXACT(metadata!K132,"Surface (saline)"),EXACT(metadata!K132,"Water (saline)"),EXACT(metadata!K132,"Hypersaline (saline)"),EXACT(metadata!K132,"Aerosol (saline)"),EXACT(metadata!K132,"Sediment (saline)")))</f>
        <v>0</v>
      </c>
      <c r="AW132" t="b">
        <f>IF(metadata!L132="",FALSE,TRUE)</f>
        <v>0</v>
      </c>
      <c r="AX132" t="b">
        <f>IF(metadata!M132="",FALSE,TRUE)</f>
        <v>0</v>
      </c>
      <c r="AY132" t="b">
        <f>IF(metadata!N132="",FALSE,TRUE)</f>
        <v>0</v>
      </c>
      <c r="AZ132" t="b">
        <f>OR(AND(IF(metadata!O132="",FALSE,TRUE),OR(EXACT(metadata!O132,"missing: not collected"),EXACT(metadata!O132,"missing: not provided"),EXACT(metadata!O132,"missing: restricted access"))),AND(IF(metadata!O132="",FALSE,TRUE),OR(EXACT(metadata!O132,"air"),EXACT(metadata!O132,"built environment"),EXACT(metadata!O132,"host-associated"),EXACT(metadata!O132,"human-associated"),EXACT(metadata!O132,"human-skin"),EXACT(metadata!O132,"human-oral"),EXACT(metadata!O132,"human-gut"),EXACT(metadata!O132,"human-vaginal"),EXACT(metadata!O132,"microbial mat/biofilm"),EXACT(metadata!O132,"misc environment"),EXACT(metadata!O132,"plant-associated"),EXACT(metadata!O132,"sediment"),EXACT(metadata!O132,"soil"),EXACT(metadata!O132,"wastewater/sludge"),EXACT(metadata!O132,"water"))))</f>
        <v>0</v>
      </c>
      <c r="BA132" t="b">
        <f>IF(metadata!P132="",FALSE,TRUE)</f>
        <v>0</v>
      </c>
      <c r="BB132" t="b">
        <f>IF(metadata!Q132="",FALSE,TRUE)</f>
        <v>0</v>
      </c>
      <c r="BC132" t="b">
        <f>OR(AND(IF(metadata!R132="",FALSE,TRUE),OR(EXACT(metadata!R132,"missing: not collected"),EXACT(metadata!R132,"missing: not provided"),EXACT(metadata!R132,"missing: restricted access"))),AND(IF(metadata!R132="",FALSE,ISNUMBER(VALUE(metadata!R132))),metadata!R132&gt;=-90,metadata!R132&lt;=90))</f>
        <v>0</v>
      </c>
      <c r="BD132" t="b">
        <f>AND(IF(metadata!S132="",FALSE,TRUE),EXACT(metadata!S132,"Decimal degrees"))</f>
        <v>0</v>
      </c>
      <c r="BE132" t="b">
        <f>OR(AND(IF(metadata!T132="",FALSE,TRUE),OR(EXACT(metadata!T132,"missing: not collected"),EXACT(metadata!T132,"missing: not provided"),EXACT(metadata!T132,"missing: restricted access"))),AND(IF(metadata!T132="",FALSE,ISNUMBER(VALUE(metadata!T132))),metadata!T132&gt;=-180,metadata!T132&lt;=180))</f>
        <v>0</v>
      </c>
      <c r="BF132" t="b">
        <f>AND(IF(metadata!U132="",FALSE,TRUE),EXACT(metadata!U132,"Decimal degrees"))</f>
        <v>0</v>
      </c>
      <c r="BG132" t="b">
        <f>IF(metadata!V132="",FALSE,TRUE)</f>
        <v>0</v>
      </c>
      <c r="BH132" t="b">
        <f>OR(AND(IF(metadata!W132="",FALSE,TRUE),OR(EXACT(metadata!W132,"missing: not collected"),EXACT(metadata!W132,"missing: not provided"),EXACT(metadata!W132,"missing: restricted access"))),AND(IF(metadata!W132="",FALSE,TRUE),OR(EXACT(metadata!W132,"TRUE"),EXACT(metadata!W132,"FALSE"))))</f>
        <v>0</v>
      </c>
      <c r="BI132" t="b">
        <f>AND(IF(metadata!X132="",FALSE,TRUE),EXACT(metadata!X132,"other"))</f>
        <v>0</v>
      </c>
      <c r="BJ132" t="b">
        <f>IF(metadata!Y132="",FALSE,TRUE)</f>
        <v>0</v>
      </c>
      <c r="BK132" t="b">
        <f>OR(AND(IF(metadata!Z132="",FALSE,TRUE),OR(EXACT(metadata!Z132,"missing: not collected"),EXACT(metadata!Z132,"missing: not provided"))),AND(IF(metadata!Z132="",FALSE,IF(ISERROR(INT(metadata!Z132)),FALSE,INT(metadata!Z132)=metadata!Z132)),metadata!Z132&gt;0))</f>
        <v>0</v>
      </c>
      <c r="BL132" t="b">
        <f>AND(IF(metadata!AA132="",FALSE,TRUE),EXACT(metadata!AA132,"Not applicable"))</f>
        <v>0</v>
      </c>
      <c r="BM132" t="b">
        <f>IF(metadata!AB132="",FALSE,TRUE)</f>
        <v>0</v>
      </c>
    </row>
    <row r="133" spans="1:65" x14ac:dyDescent="0.2">
      <c r="A133" s="5" t="str">
        <f ca="1">IF(B133=" "," ",HYPERLINK(CONCATENATE("#metadata!",ADDRESS(INDEX($AH$2:$AH$1001,MATCH(ROWS($AF$2:AF133),$AF$2:$AF$1001,0),0),1)),INDEX($AK$2:$AK$1001,MATCH(ROWS($AF$2:AF133),$AF$2:$AF$1001,0),0)))</f>
        <v xml:space="preserve"> </v>
      </c>
      <c r="B133" s="4" t="str">
        <f ca="1">IF(OR(INDEX($AG$2:$AG$1001,MATCH(ROWS($AF$2:AF133),$AF$2:$AF$1001,0),1)&gt;=100000,INDEX($AM$1005:$BM$1005,1,MATCH(COLUMNS($AM$1006:AM1006),$AM$1006:$BM$1006,0))&gt;=100000), " ",IF(INDEX($AM$2:$BM$1001,MATCH(ROWS($AF$2:AF133),$AF$2:$AF$1001,0),MATCH(COLUMNS($AM$1006:AM1006),$AM$1006:$BM$1006,0)), HYPERLINK("#",""), HYPERLINK(CONCATENATE("#metadata!", ADDRESS(INDEX($AH$2:$AH$1001,MATCH(ROWS($AF$2:AF133),$AF$2:$AF$1001,0),0), INDEX($AM$1004:$BM$1004,1,MATCH(COLUMNS($AM$1006:AM1006),$AM$1006:$BM$1006,0)))),"Fix")))</f>
        <v xml:space="preserve"> </v>
      </c>
      <c r="C133" s="4" t="str">
        <f ca="1">IF(OR(INDEX($AG$2:$AG$1001,MATCH(ROWS($AF$2:AF133),$AF$2:$AF$1001,0),1)&gt;=100000,INDEX($AM$1005:$BM$1005,1,MATCH(COLUMNS($AM$1006:AN1006),$AM$1006:$BM$1006,0))&gt;=100000), " ",IF(INDEX($AM$2:$BM$1001,MATCH(ROWS($AF$2:AF133),$AF$2:$AF$1001,0),MATCH(COLUMNS($AM$1006:AN1006),$AM$1006:$BM$1006,0)), HYPERLINK("#",""), HYPERLINK(CONCATENATE("#metadata!", ADDRESS(INDEX($AH$2:$AH$1001,MATCH(ROWS($AF$2:AF133),$AF$2:$AF$1001,0),0), INDEX($AM$1004:$BM$1004,1,MATCH(COLUMNS($AM$1006:AN1006),$AM$1006:$BM$1006,0)))),"Fix")))</f>
        <v xml:space="preserve"> </v>
      </c>
      <c r="D133" s="4" t="str">
        <f ca="1">IF(OR(INDEX($AG$2:$AG$1001,MATCH(ROWS($AF$2:AF133),$AF$2:$AF$1001,0),1)&gt;=100000,INDEX($AM$1005:$BM$1005,1,MATCH(COLUMNS($AM$1006:AO1006),$AM$1006:$BM$1006,0))&gt;=100000), " ",IF(INDEX($AM$2:$BM$1001,MATCH(ROWS($AF$2:AF133),$AF$2:$AF$1001,0),MATCH(COLUMNS($AM$1006:AO1006),$AM$1006:$BM$1006,0)), HYPERLINK("#",""), HYPERLINK(CONCATENATE("#metadata!", ADDRESS(INDEX($AH$2:$AH$1001,MATCH(ROWS($AF$2:AF133),$AF$2:$AF$1001,0),0), INDEX($AM$1004:$BM$1004,1,MATCH(COLUMNS($AM$1006:AO1006),$AM$1006:$BM$1006,0)))),"Fix")))</f>
        <v xml:space="preserve"> </v>
      </c>
      <c r="E133" s="4" t="str">
        <f ca="1">IF(OR(INDEX($AG$2:$AG$1001,MATCH(ROWS($AF$2:AF133),$AF$2:$AF$1001,0),1)&gt;=100000,INDEX($AM$1005:$BM$1005,1,MATCH(COLUMNS($AM$1006:AP1006),$AM$1006:$BM$1006,0))&gt;=100000), " ",IF(INDEX($AM$2:$BM$1001,MATCH(ROWS($AF$2:AF133),$AF$2:$AF$1001,0),MATCH(COLUMNS($AM$1006:AP1006),$AM$1006:$BM$1006,0)), HYPERLINK("#",""), HYPERLINK(CONCATENATE("#metadata!", ADDRESS(INDEX($AH$2:$AH$1001,MATCH(ROWS($AF$2:AF133),$AF$2:$AF$1001,0),0), INDEX($AM$1004:$BM$1004,1,MATCH(COLUMNS($AM$1006:AP1006),$AM$1006:$BM$1006,0)))),"Fix")))</f>
        <v xml:space="preserve"> </v>
      </c>
      <c r="F133" s="4" t="str">
        <f ca="1">IF(OR(INDEX($AG$2:$AG$1001,MATCH(ROWS($AF$2:AF133),$AF$2:$AF$1001,0),1)&gt;=100000,INDEX($AM$1005:$BM$1005,1,MATCH(COLUMNS($AM$1006:AQ1006),$AM$1006:$BM$1006,0))&gt;=100000), " ",IF(INDEX($AM$2:$BM$1001,MATCH(ROWS($AF$2:AF133),$AF$2:$AF$1001,0),MATCH(COLUMNS($AM$1006:AQ1006),$AM$1006:$BM$1006,0)), HYPERLINK("#",""), HYPERLINK(CONCATENATE("#metadata!", ADDRESS(INDEX($AH$2:$AH$1001,MATCH(ROWS($AF$2:AF133),$AF$2:$AF$1001,0),0), INDEX($AM$1004:$BM$1004,1,MATCH(COLUMNS($AM$1006:AQ1006),$AM$1006:$BM$1006,0)))),"Fix")))</f>
        <v xml:space="preserve"> </v>
      </c>
      <c r="G133" s="4" t="str">
        <f ca="1">IF(OR(INDEX($AG$2:$AG$1001,MATCH(ROWS($AF$2:AF133),$AF$2:$AF$1001,0),1)&gt;=100000,INDEX($AM$1005:$BM$1005,1,MATCH(COLUMNS($AM$1006:AR1006),$AM$1006:$BM$1006,0))&gt;=100000), " ",IF(INDEX($AM$2:$BM$1001,MATCH(ROWS($AF$2:AF133),$AF$2:$AF$1001,0),MATCH(COLUMNS($AM$1006:AR1006),$AM$1006:$BM$1006,0)), HYPERLINK("#",""), HYPERLINK(CONCATENATE("#metadata!", ADDRESS(INDEX($AH$2:$AH$1001,MATCH(ROWS($AF$2:AF133),$AF$2:$AF$1001,0),0), INDEX($AM$1004:$BM$1004,1,MATCH(COLUMNS($AM$1006:AR1006),$AM$1006:$BM$1006,0)))),"Fix")))</f>
        <v xml:space="preserve"> </v>
      </c>
      <c r="H133" s="4" t="str">
        <f ca="1">IF(OR(INDEX($AG$2:$AG$1001,MATCH(ROWS($AF$2:AF133),$AF$2:$AF$1001,0),1)&gt;=100000,INDEX($AM$1005:$BM$1005,1,MATCH(COLUMNS($AM$1006:AS1006),$AM$1006:$BM$1006,0))&gt;=100000), " ",IF(INDEX($AM$2:$BM$1001,MATCH(ROWS($AF$2:AF133),$AF$2:$AF$1001,0),MATCH(COLUMNS($AM$1006:AS1006),$AM$1006:$BM$1006,0)), HYPERLINK("#",""), HYPERLINK(CONCATENATE("#metadata!", ADDRESS(INDEX($AH$2:$AH$1001,MATCH(ROWS($AF$2:AF133),$AF$2:$AF$1001,0),0), INDEX($AM$1004:$BM$1004,1,MATCH(COLUMNS($AM$1006:AS1006),$AM$1006:$BM$1006,0)))),"Fix")))</f>
        <v xml:space="preserve"> </v>
      </c>
      <c r="I133" s="4" t="str">
        <f ca="1">IF(OR(INDEX($AG$2:$AG$1001,MATCH(ROWS($AF$2:AF133),$AF$2:$AF$1001,0),1)&gt;=100000,INDEX($AM$1005:$BM$1005,1,MATCH(COLUMNS($AM$1006:AT1006),$AM$1006:$BM$1006,0))&gt;=100000), " ",IF(INDEX($AM$2:$BM$1001,MATCH(ROWS($AF$2:AF133),$AF$2:$AF$1001,0),MATCH(COLUMNS($AM$1006:AT1006),$AM$1006:$BM$1006,0)), HYPERLINK("#",""), HYPERLINK(CONCATENATE("#metadata!", ADDRESS(INDEX($AH$2:$AH$1001,MATCH(ROWS($AF$2:AF133),$AF$2:$AF$1001,0),0), INDEX($AM$1004:$BM$1004,1,MATCH(COLUMNS($AM$1006:AT1006),$AM$1006:$BM$1006,0)))),"Fix")))</f>
        <v xml:space="preserve"> </v>
      </c>
      <c r="J133" s="4" t="str">
        <f ca="1">IF(OR(INDEX($AG$2:$AG$1001,MATCH(ROWS($AF$2:AF133),$AF$2:$AF$1001,0),1)&gt;=100000,INDEX($AM$1005:$BM$1005,1,MATCH(COLUMNS($AM$1006:AU1006),$AM$1006:$BM$1006,0))&gt;=100000), " ",IF(INDEX($AM$2:$BM$1001,MATCH(ROWS($AF$2:AF133),$AF$2:$AF$1001,0),MATCH(COLUMNS($AM$1006:AU1006),$AM$1006:$BM$1006,0)), HYPERLINK("#",""), HYPERLINK(CONCATENATE("#metadata!", ADDRESS(INDEX($AH$2:$AH$1001,MATCH(ROWS($AF$2:AF133),$AF$2:$AF$1001,0),0), INDEX($AM$1004:$BM$1004,1,MATCH(COLUMNS($AM$1006:AU1006),$AM$1006:$BM$1006,0)))),"Fix")))</f>
        <v xml:space="preserve"> </v>
      </c>
      <c r="K133" s="4" t="str">
        <f ca="1">IF(OR(INDEX($AG$2:$AG$1001,MATCH(ROWS($AF$2:AF133),$AF$2:$AF$1001,0),1)&gt;=100000,INDEX($AM$1005:$BM$1005,1,MATCH(COLUMNS($AM$1006:AV1006),$AM$1006:$BM$1006,0))&gt;=100000), " ",IF(INDEX($AM$2:$BM$1001,MATCH(ROWS($AF$2:AF133),$AF$2:$AF$1001,0),MATCH(COLUMNS($AM$1006:AV1006),$AM$1006:$BM$1006,0)), HYPERLINK("#",""), HYPERLINK(CONCATENATE("#metadata!", ADDRESS(INDEX($AH$2:$AH$1001,MATCH(ROWS($AF$2:AF133),$AF$2:$AF$1001,0),0), INDEX($AM$1004:$BM$1004,1,MATCH(COLUMNS($AM$1006:AV1006),$AM$1006:$BM$1006,0)))),"Fix")))</f>
        <v xml:space="preserve"> </v>
      </c>
      <c r="L133" s="4" t="str">
        <f ca="1">IF(OR(INDEX($AG$2:$AG$1001,MATCH(ROWS($AF$2:AF133),$AF$2:$AF$1001,0),1)&gt;=100000,INDEX($AM$1005:$BM$1005,1,MATCH(COLUMNS($AM$1006:AW1006),$AM$1006:$BM$1006,0))&gt;=100000), " ",IF(INDEX($AM$2:$BM$1001,MATCH(ROWS($AF$2:AF133),$AF$2:$AF$1001,0),MATCH(COLUMNS($AM$1006:AW1006),$AM$1006:$BM$1006,0)), HYPERLINK("#",""), HYPERLINK(CONCATENATE("#metadata!", ADDRESS(INDEX($AH$2:$AH$1001,MATCH(ROWS($AF$2:AF133),$AF$2:$AF$1001,0),0), INDEX($AM$1004:$BM$1004,1,MATCH(COLUMNS($AM$1006:AW1006),$AM$1006:$BM$1006,0)))),"Fix")))</f>
        <v xml:space="preserve"> </v>
      </c>
      <c r="M133" s="4" t="str">
        <f ca="1">IF(OR(INDEX($AG$2:$AG$1001,MATCH(ROWS($AF$2:AF133),$AF$2:$AF$1001,0),1)&gt;=100000,INDEX($AM$1005:$BM$1005,1,MATCH(COLUMNS($AM$1006:AX1006),$AM$1006:$BM$1006,0))&gt;=100000), " ",IF(INDEX($AM$2:$BM$1001,MATCH(ROWS($AF$2:AF133),$AF$2:$AF$1001,0),MATCH(COLUMNS($AM$1006:AX1006),$AM$1006:$BM$1006,0)), HYPERLINK("#",""), HYPERLINK(CONCATENATE("#metadata!", ADDRESS(INDEX($AH$2:$AH$1001,MATCH(ROWS($AF$2:AF133),$AF$2:$AF$1001,0),0), INDEX($AM$1004:$BM$1004,1,MATCH(COLUMNS($AM$1006:AX1006),$AM$1006:$BM$1006,0)))),"Fix")))</f>
        <v xml:space="preserve"> </v>
      </c>
      <c r="N133" s="4" t="str">
        <f ca="1">IF(OR(INDEX($AG$2:$AG$1001,MATCH(ROWS($AF$2:AF133),$AF$2:$AF$1001,0),1)&gt;=100000,INDEX($AM$1005:$BM$1005,1,MATCH(COLUMNS($AM$1006:AY1006),$AM$1006:$BM$1006,0))&gt;=100000), " ",IF(INDEX($AM$2:$BM$1001,MATCH(ROWS($AF$2:AF133),$AF$2:$AF$1001,0),MATCH(COLUMNS($AM$1006:AY1006),$AM$1006:$BM$1006,0)), HYPERLINK("#",""), HYPERLINK(CONCATENATE("#metadata!", ADDRESS(INDEX($AH$2:$AH$1001,MATCH(ROWS($AF$2:AF133),$AF$2:$AF$1001,0),0), INDEX($AM$1004:$BM$1004,1,MATCH(COLUMNS($AM$1006:AY1006),$AM$1006:$BM$1006,0)))),"Fix")))</f>
        <v xml:space="preserve"> </v>
      </c>
      <c r="O133" s="4" t="str">
        <f ca="1">IF(OR(INDEX($AG$2:$AG$1001,MATCH(ROWS($AF$2:AF133),$AF$2:$AF$1001,0),1)&gt;=100000,INDEX($AM$1005:$BM$1005,1,MATCH(COLUMNS($AM$1006:AZ1006),$AM$1006:$BM$1006,0))&gt;=100000), " ",IF(INDEX($AM$2:$BM$1001,MATCH(ROWS($AF$2:AF133),$AF$2:$AF$1001,0),MATCH(COLUMNS($AM$1006:AZ1006),$AM$1006:$BM$1006,0)), HYPERLINK("#",""), HYPERLINK(CONCATENATE("#metadata!", ADDRESS(INDEX($AH$2:$AH$1001,MATCH(ROWS($AF$2:AF133),$AF$2:$AF$1001,0),0), INDEX($AM$1004:$BM$1004,1,MATCH(COLUMNS($AM$1006:AZ1006),$AM$1006:$BM$1006,0)))),"Fix")))</f>
        <v xml:space="preserve"> </v>
      </c>
      <c r="P133" s="4" t="str">
        <f ca="1">IF(OR(INDEX($AG$2:$AG$1001,MATCH(ROWS($AF$2:AF133),$AF$2:$AF$1001,0),1)&gt;=100000,INDEX($AM$1005:$BM$1005,1,MATCH(COLUMNS($AM$1006:BA1006),$AM$1006:$BM$1006,0))&gt;=100000), " ",IF(INDEX($AM$2:$BM$1001,MATCH(ROWS($AF$2:AF133),$AF$2:$AF$1001,0),MATCH(COLUMNS($AM$1006:BA1006),$AM$1006:$BM$1006,0)), HYPERLINK("#",""), HYPERLINK(CONCATENATE("#metadata!", ADDRESS(INDEX($AH$2:$AH$1001,MATCH(ROWS($AF$2:AF133),$AF$2:$AF$1001,0),0), INDEX($AM$1004:$BM$1004,1,MATCH(COLUMNS($AM$1006:BA1006),$AM$1006:$BM$1006,0)))),"Fix")))</f>
        <v xml:space="preserve"> </v>
      </c>
      <c r="Q133" s="4" t="str">
        <f ca="1">IF(OR(INDEX($AG$2:$AG$1001,MATCH(ROWS($AF$2:AF133),$AF$2:$AF$1001,0),1)&gt;=100000,INDEX($AM$1005:$BM$1005,1,MATCH(COLUMNS($AM$1006:BB1006),$AM$1006:$BM$1006,0))&gt;=100000), " ",IF(INDEX($AM$2:$BM$1001,MATCH(ROWS($AF$2:AF133),$AF$2:$AF$1001,0),MATCH(COLUMNS($AM$1006:BB1006),$AM$1006:$BM$1006,0)), HYPERLINK("#",""), HYPERLINK(CONCATENATE("#metadata!", ADDRESS(INDEX($AH$2:$AH$1001,MATCH(ROWS($AF$2:AF133),$AF$2:$AF$1001,0),0), INDEX($AM$1004:$BM$1004,1,MATCH(COLUMNS($AM$1006:BB1006),$AM$1006:$BM$1006,0)))),"Fix")))</f>
        <v xml:space="preserve"> </v>
      </c>
      <c r="R133" s="4" t="str">
        <f ca="1">IF(OR(INDEX($AG$2:$AG$1001,MATCH(ROWS($AF$2:AF133),$AF$2:$AF$1001,0),1)&gt;=100000,INDEX($AM$1005:$BM$1005,1,MATCH(COLUMNS($AM$1006:BC1006),$AM$1006:$BM$1006,0))&gt;=100000), " ",IF(INDEX($AM$2:$BM$1001,MATCH(ROWS($AF$2:AF133),$AF$2:$AF$1001,0),MATCH(COLUMNS($AM$1006:BC1006),$AM$1006:$BM$1006,0)), HYPERLINK("#",""), HYPERLINK(CONCATENATE("#metadata!", ADDRESS(INDEX($AH$2:$AH$1001,MATCH(ROWS($AF$2:AF133),$AF$2:$AF$1001,0),0), INDEX($AM$1004:$BM$1004,1,MATCH(COLUMNS($AM$1006:BC1006),$AM$1006:$BM$1006,0)))),"Fix")))</f>
        <v xml:space="preserve"> </v>
      </c>
      <c r="S133" s="4" t="str">
        <f ca="1">IF(OR(INDEX($AG$2:$AG$1001,MATCH(ROWS($AF$2:AF133),$AF$2:$AF$1001,0),1)&gt;=100000,INDEX($AM$1005:$BM$1005,1,MATCH(COLUMNS($AM$1006:BD1006),$AM$1006:$BM$1006,0))&gt;=100000), " ",IF(INDEX($AM$2:$BM$1001,MATCH(ROWS($AF$2:AF133),$AF$2:$AF$1001,0),MATCH(COLUMNS($AM$1006:BD1006),$AM$1006:$BM$1006,0)), HYPERLINK("#",""), HYPERLINK(CONCATENATE("#metadata!", ADDRESS(INDEX($AH$2:$AH$1001,MATCH(ROWS($AF$2:AF133),$AF$2:$AF$1001,0),0), INDEX($AM$1004:$BM$1004,1,MATCH(COLUMNS($AM$1006:BD1006),$AM$1006:$BM$1006,0)))),"Fix")))</f>
        <v xml:space="preserve"> </v>
      </c>
      <c r="T133" s="4" t="str">
        <f ca="1">IF(OR(INDEX($AG$2:$AG$1001,MATCH(ROWS($AF$2:AF133),$AF$2:$AF$1001,0),1)&gt;=100000,INDEX($AM$1005:$BM$1005,1,MATCH(COLUMNS($AM$1006:BE1006),$AM$1006:$BM$1006,0))&gt;=100000), " ",IF(INDEX($AM$2:$BM$1001,MATCH(ROWS($AF$2:AF133),$AF$2:$AF$1001,0),MATCH(COLUMNS($AM$1006:BE1006),$AM$1006:$BM$1006,0)), HYPERLINK("#",""), HYPERLINK(CONCATENATE("#metadata!", ADDRESS(INDEX($AH$2:$AH$1001,MATCH(ROWS($AF$2:AF133),$AF$2:$AF$1001,0),0), INDEX($AM$1004:$BM$1004,1,MATCH(COLUMNS($AM$1006:BE1006),$AM$1006:$BM$1006,0)))),"Fix")))</f>
        <v xml:space="preserve"> </v>
      </c>
      <c r="U133" s="4" t="str">
        <f ca="1">IF(OR(INDEX($AG$2:$AG$1001,MATCH(ROWS($AF$2:AF133),$AF$2:$AF$1001,0),1)&gt;=100000,INDEX($AM$1005:$BM$1005,1,MATCH(COLUMNS($AM$1006:BF1006),$AM$1006:$BM$1006,0))&gt;=100000), " ",IF(INDEX($AM$2:$BM$1001,MATCH(ROWS($AF$2:AF133),$AF$2:$AF$1001,0),MATCH(COLUMNS($AM$1006:BF1006),$AM$1006:$BM$1006,0)), HYPERLINK("#",""), HYPERLINK(CONCATENATE("#metadata!", ADDRESS(INDEX($AH$2:$AH$1001,MATCH(ROWS($AF$2:AF133),$AF$2:$AF$1001,0),0), INDEX($AM$1004:$BM$1004,1,MATCH(COLUMNS($AM$1006:BF1006),$AM$1006:$BM$1006,0)))),"Fix")))</f>
        <v xml:space="preserve"> </v>
      </c>
      <c r="V133" s="4" t="str">
        <f ca="1">IF(OR(INDEX($AG$2:$AG$1001,MATCH(ROWS($AF$2:AF133),$AF$2:$AF$1001,0),1)&gt;=100000,INDEX($AM$1005:$BM$1005,1,MATCH(COLUMNS($AM$1006:BG1006),$AM$1006:$BM$1006,0))&gt;=100000), " ",IF(INDEX($AM$2:$BM$1001,MATCH(ROWS($AF$2:AF133),$AF$2:$AF$1001,0),MATCH(COLUMNS($AM$1006:BG1006),$AM$1006:$BM$1006,0)), HYPERLINK("#",""), HYPERLINK(CONCATENATE("#metadata!", ADDRESS(INDEX($AH$2:$AH$1001,MATCH(ROWS($AF$2:AF133),$AF$2:$AF$1001,0),0), INDEX($AM$1004:$BM$1004,1,MATCH(COLUMNS($AM$1006:BG1006),$AM$1006:$BM$1006,0)))),"Fix")))</f>
        <v xml:space="preserve"> </v>
      </c>
      <c r="W133" s="4" t="str">
        <f ca="1">IF(OR(INDEX($AG$2:$AG$1001,MATCH(ROWS($AF$2:AF133),$AF$2:$AF$1001,0),1)&gt;=100000,INDEX($AM$1005:$BM$1005,1,MATCH(COLUMNS($AM$1006:BH1006),$AM$1006:$BM$1006,0))&gt;=100000), " ",IF(INDEX($AM$2:$BM$1001,MATCH(ROWS($AF$2:AF133),$AF$2:$AF$1001,0),MATCH(COLUMNS($AM$1006:BH1006),$AM$1006:$BM$1006,0)), HYPERLINK("#",""), HYPERLINK(CONCATENATE("#metadata!", ADDRESS(INDEX($AH$2:$AH$1001,MATCH(ROWS($AF$2:AF133),$AF$2:$AF$1001,0),0), INDEX($AM$1004:$BM$1004,1,MATCH(COLUMNS($AM$1006:BH1006),$AM$1006:$BM$1006,0)))),"Fix")))</f>
        <v xml:space="preserve"> </v>
      </c>
      <c r="X133" s="4" t="str">
        <f ca="1">IF(OR(INDEX($AG$2:$AG$1001,MATCH(ROWS($AF$2:AF133),$AF$2:$AF$1001,0),1)&gt;=100000,INDEX($AM$1005:$BM$1005,1,MATCH(COLUMNS($AM$1006:BI1006),$AM$1006:$BM$1006,0))&gt;=100000), " ",IF(INDEX($AM$2:$BM$1001,MATCH(ROWS($AF$2:AF133),$AF$2:$AF$1001,0),MATCH(COLUMNS($AM$1006:BI1006),$AM$1006:$BM$1006,0)), HYPERLINK("#",""), HYPERLINK(CONCATENATE("#metadata!", ADDRESS(INDEX($AH$2:$AH$1001,MATCH(ROWS($AF$2:AF133),$AF$2:$AF$1001,0),0), INDEX($AM$1004:$BM$1004,1,MATCH(COLUMNS($AM$1006:BI1006),$AM$1006:$BM$1006,0)))),"Fix")))</f>
        <v xml:space="preserve"> </v>
      </c>
      <c r="Y133" s="4" t="str">
        <f ca="1">IF(OR(INDEX($AG$2:$AG$1001,MATCH(ROWS($AF$2:AF133),$AF$2:$AF$1001,0),1)&gt;=100000,INDEX($AM$1005:$BM$1005,1,MATCH(COLUMNS($AM$1006:BJ1006),$AM$1006:$BM$1006,0))&gt;=100000), " ",IF(INDEX($AM$2:$BM$1001,MATCH(ROWS($AF$2:AF133),$AF$2:$AF$1001,0),MATCH(COLUMNS($AM$1006:BJ1006),$AM$1006:$BM$1006,0)), HYPERLINK("#",""), HYPERLINK(CONCATENATE("#metadata!", ADDRESS(INDEX($AH$2:$AH$1001,MATCH(ROWS($AF$2:AF133),$AF$2:$AF$1001,0),0), INDEX($AM$1004:$BM$1004,1,MATCH(COLUMNS($AM$1006:BJ1006),$AM$1006:$BM$1006,0)))),"Fix")))</f>
        <v xml:space="preserve"> </v>
      </c>
      <c r="Z133" s="4" t="str">
        <f ca="1">IF(OR(INDEX($AG$2:$AG$1001,MATCH(ROWS($AF$2:AF133),$AF$2:$AF$1001,0),1)&gt;=100000,INDEX($AM$1005:$BM$1005,1,MATCH(COLUMNS($AM$1006:BK1006),$AM$1006:$BM$1006,0))&gt;=100000), " ",IF(INDEX($AM$2:$BM$1001,MATCH(ROWS($AF$2:AF133),$AF$2:$AF$1001,0),MATCH(COLUMNS($AM$1006:BK1006),$AM$1006:$BM$1006,0)), HYPERLINK("#",""), HYPERLINK(CONCATENATE("#metadata!", ADDRESS(INDEX($AH$2:$AH$1001,MATCH(ROWS($AF$2:AF133),$AF$2:$AF$1001,0),0), INDEX($AM$1004:$BM$1004,1,MATCH(COLUMNS($AM$1006:BK1006),$AM$1006:$BM$1006,0)))),"Fix")))</f>
        <v xml:space="preserve"> </v>
      </c>
      <c r="AA133" s="4" t="str">
        <f ca="1">IF(OR(INDEX($AG$2:$AG$1001,MATCH(ROWS($AF$2:AF133),$AF$2:$AF$1001,0),1)&gt;=100000,INDEX($AM$1005:$BM$1005,1,MATCH(COLUMNS($AM$1006:BL1006),$AM$1006:$BM$1006,0))&gt;=100000), " ",IF(INDEX($AM$2:$BM$1001,MATCH(ROWS($AF$2:AF133),$AF$2:$AF$1001,0),MATCH(COLUMNS($AM$1006:BL1006),$AM$1006:$BM$1006,0)), HYPERLINK("#",""), HYPERLINK(CONCATENATE("#metadata!", ADDRESS(INDEX($AH$2:$AH$1001,MATCH(ROWS($AF$2:AF133),$AF$2:$AF$1001,0),0), INDEX($AM$1004:$BM$1004,1,MATCH(COLUMNS($AM$1006:BL1006),$AM$1006:$BM$1006,0)))),"Fix")))</f>
        <v xml:space="preserve"> </v>
      </c>
      <c r="AB133" s="4" t="str">
        <f ca="1">IF(OR(INDEX($AG$2:$AG$1001,MATCH(ROWS($AF$2:AF133),$AF$2:$AF$1001,0),1)&gt;=100000,INDEX($AM$1005:$BM$1005,1,MATCH(COLUMNS($AM$1006:BM1006),$AM$1006:$BM$1006,0))&gt;=100000), " ",IF(INDEX($AM$2:$BM$1001,MATCH(ROWS($AF$2:AF133),$AF$2:$AF$1001,0),MATCH(COLUMNS($AM$1006:BM1006),$AM$1006:$BM$1006,0)), HYPERLINK("#",""), HYPERLINK(CONCATENATE("#metadata!", ADDRESS(INDEX($AH$2:$AH$1001,MATCH(ROWS($AF$2:AF133),$AF$2:$AF$1001,0),0), INDEX($AM$1004:$BM$1004,1,MATCH(COLUMNS($AM$1006:BM1006),$AM$1006:$BM$1006,0)))),"Fix")))</f>
        <v xml:space="preserve"> </v>
      </c>
      <c r="AF133">
        <v>132</v>
      </c>
      <c r="AG133">
        <v>100133</v>
      </c>
      <c r="AH133">
        <v>133</v>
      </c>
      <c r="AI133" t="b">
        <f t="shared" si="2"/>
        <v>1</v>
      </c>
      <c r="AJ133" t="b">
        <f>COUNTBLANK(metadata!B133:AB133)=COLUMNS(metadata!B133:AB133)</f>
        <v>1</v>
      </c>
      <c r="AK133" t="str">
        <v/>
      </c>
      <c r="AM133" t="b">
        <f ca="1">AND(IF(metadata!B133="",FALSE,TRUE),COUNTIF(metadata!B:B, metadata!B133) = 1,NOT(ISERROR(SUMPRODUCT(SEARCH(MID(metadata!B133,ROW(INDIRECT("1:"&amp;LEN(metadata!B133))), 1),"0123456789abcdefghijklmnopqrstuvwxyzABCDEFGHIJKLMNOPQRSTUVWXYZ.")))))</f>
        <v>0</v>
      </c>
      <c r="AN133" t="b">
        <f ca="1">OR(AND(IF(metadata!C133="",FALSE,TRUE),OR(EXACT(metadata!C133,"missing: not collected"),EXACT(metadata!C133,"missing: not provided"),EXACT(metadata!C133,"missing: restricted access"))),AND(IF(metadata!C133="",FALSE,TRUE),AND(AND(IFERROR(INT(LEFT(metadata!C133,4))&gt;1900,FALSE),IFERROR(INT(LEFT(metadata!C133,4))&lt;=YEAR(NOW()),FALSE)), OR(MID(metadata!C133,5,1)="", AND(AND(MID(metadata!C133,5,1)="-",IFERROR(INT(MID(metadata!C133,6,1))&gt;=0,FALSE),IFERROR(INT(MID(metadata!C133,6,1))&lt;=1,FALSE),NOT(MID(metadata!C133,7,1)=""),IFERROR(INT(MID(metadata!C133,6,2))&gt;=1,FALSE),IFERROR(INT(MID(metadata!C133,6,2))&lt;=12,FALSE)), OR(MID(metadata!C133,8,1)="", AND(AND(MID(metadata!C133,8,1)="-",IFERROR(INT(MID(metadata!C133,9,1))&gt;=0,FALSE),IFERROR(INT(MID(metadata!C133,9,1))&lt;=3,FALSE),NOT(MID(metadata!C133,10,1)=""),IFERROR(INT(MID(metadata!C133,9,2))&gt;=1,FALSE),IFERROR(INT(MID(metadata!C133,9,2))&lt;=31,FALSE)), OR(MID(metadata!C133,11,1)="", AND(AND(MID(metadata!C133,11,1)=" ",IFERROR(INT(MID(metadata!C133,12,1))&gt;=0,FALSE),IFERROR(INT(MID(metadata!C133,12,1))&lt;=2,FALSE),NOT(MID(metadata!C133,13,1)=""),IFERROR(INT(MID(metadata!C133,12,2))&gt;=0,FALSE),IFERROR(INT(MID(metadata!C133,12,2))&lt;=23,FALSE)), OR(MID(metadata!C133,14,1)="", AND(AND(MID(metadata!C133,14,1)=":",IFERROR(INT(MID(metadata!C133,15,1))&gt;=0,FALSE),IFERROR(INT(MID(metadata!C133,15,1))&lt;=5,FALSE),NOT(MID(metadata!C133,16,1)=""),IFERROR(INT(MID(metadata!C133,15,2))&gt;=0,FALSE),IFERROR(INT(MID(metadata!C133,15,2))&lt;=59,FALSE)), OR(MID(metadata!C133,17,1)="", AND(AND(MID(metadata!C133,17,1)=":",IFERROR(INT(MID(metadata!C133,18,1))&gt;=0,FALSE),IFERROR(INT(MID(metadata!C133,18,1))&lt;=5,FALSE),NOT(MID(metadata!C133,19,1)=""),IFERROR(INT(MID(metadata!C133,18,2))&gt;=0,FALSE),IFERROR(INT(MID(metadata!C133,18,2))&lt;=59,FALSE)), LEN(metadata!C133)&lt;=19)))))))))))))</f>
        <v>0</v>
      </c>
      <c r="AO133" t="b">
        <f>AND(IF(metadata!D133="",FALSE,TRUE),EXACT(metadata!D133,"Not applicable"))</f>
        <v>0</v>
      </c>
      <c r="AP133" t="b">
        <f>IF(metadata!E133="",FALSE,TRUE)</f>
        <v>0</v>
      </c>
      <c r="AQ133" t="b">
        <f>OR(AND(IF(metadata!F133="",FALSE,TRUE),OR(EXACT(metadata!F133,"missing: not collected"),EXACT(metadata!F133,"missing: not provided"))),AND(IF(metadata!F133="",FALSE,TRUE),OR(EXACT(metadata!F133,"TRUE"),EXACT(metadata!F133,"FALSE"))))</f>
        <v>0</v>
      </c>
      <c r="AR133" t="b">
        <f>OR(AND(IF(metadata!G133="",FALSE,TRUE),OR(EXACT(metadata!G133,"missing: not collected"),EXACT(metadata!G133,"missing: not provided"),EXACT(metadata!G133,"missing: restricted access"))),AND(IF(metadata!G133="",FALSE,ISNUMBER(VALUE(metadata!G133))),metadata!G133&gt;=-413))</f>
        <v>0</v>
      </c>
      <c r="AS133" t="b">
        <f>AND(IF(metadata!H133="",FALSE,TRUE),EXACT(metadata!H133,"meters"))</f>
        <v>0</v>
      </c>
      <c r="AT133" t="b">
        <f>AND(IF(metadata!I133="",FALSE,TRUE),OR(EXACT(metadata!I133,"Host-associated"),EXACT(metadata!I133,"Free-living")))</f>
        <v>0</v>
      </c>
      <c r="AU133" t="b">
        <f>AND(IF(metadata!J133="",FALSE,TRUE),OR(EXACT(metadata!J133,"Animal"),EXACT(metadata!J133,"Fungus"),EXACT(metadata!J133,"Plant"),EXACT(metadata!J133,"Saline"),EXACT(metadata!J133,"Non-saline")))</f>
        <v>0</v>
      </c>
      <c r="AV133" t="b">
        <f>AND(IF(metadata!K133="",FALSE,TRUE),OR(EXACT(metadata!K133,"Plant secretion"),EXACT(metadata!K133,"Plant rhizosphere"),EXACT(metadata!K133,"Plant surface"),EXACT(metadata!K133,"Plant corpus"),EXACT(metadata!K133,"Fungus surface"),EXACT(metadata!K133,"Fungus corpus"),EXACT(metadata!K133,"Animal surface"),EXACT(metadata!K133,"Animal proximal gut"),EXACT(metadata!K133,"Animal corpus"),EXACT(metadata!K133,"Animal distal gut"),EXACT(metadata!K133,"Animal secretion"),EXACT(metadata!K133,"Sub-surface (non-saline)"),EXACT(metadata!K133,"Surface (non-saline)"),EXACT(metadata!K133,"Water (non-saline)"),EXACT(metadata!K133,"Soil (non-saline)"),EXACT(metadata!K133,"Aerosol (non-saline)"),EXACT(metadata!K133,"Sediment (non-saline)"),EXACT(metadata!K133,"Surface (saline)"),EXACT(metadata!K133,"Water (saline)"),EXACT(metadata!K133,"Hypersaline (saline)"),EXACT(metadata!K133,"Aerosol (saline)"),EXACT(metadata!K133,"Sediment (saline)")))</f>
        <v>0</v>
      </c>
      <c r="AW133" t="b">
        <f>IF(metadata!L133="",FALSE,TRUE)</f>
        <v>0</v>
      </c>
      <c r="AX133" t="b">
        <f>IF(metadata!M133="",FALSE,TRUE)</f>
        <v>0</v>
      </c>
      <c r="AY133" t="b">
        <f>IF(metadata!N133="",FALSE,TRUE)</f>
        <v>0</v>
      </c>
      <c r="AZ133" t="b">
        <f>OR(AND(IF(metadata!O133="",FALSE,TRUE),OR(EXACT(metadata!O133,"missing: not collected"),EXACT(metadata!O133,"missing: not provided"),EXACT(metadata!O133,"missing: restricted access"))),AND(IF(metadata!O133="",FALSE,TRUE),OR(EXACT(metadata!O133,"air"),EXACT(metadata!O133,"built environment"),EXACT(metadata!O133,"host-associated"),EXACT(metadata!O133,"human-associated"),EXACT(metadata!O133,"human-skin"),EXACT(metadata!O133,"human-oral"),EXACT(metadata!O133,"human-gut"),EXACT(metadata!O133,"human-vaginal"),EXACT(metadata!O133,"microbial mat/biofilm"),EXACT(metadata!O133,"misc environment"),EXACT(metadata!O133,"plant-associated"),EXACT(metadata!O133,"sediment"),EXACT(metadata!O133,"soil"),EXACT(metadata!O133,"wastewater/sludge"),EXACT(metadata!O133,"water"))))</f>
        <v>0</v>
      </c>
      <c r="BA133" t="b">
        <f>IF(metadata!P133="",FALSE,TRUE)</f>
        <v>0</v>
      </c>
      <c r="BB133" t="b">
        <f>IF(metadata!Q133="",FALSE,TRUE)</f>
        <v>0</v>
      </c>
      <c r="BC133" t="b">
        <f>OR(AND(IF(metadata!R133="",FALSE,TRUE),OR(EXACT(metadata!R133,"missing: not collected"),EXACT(metadata!R133,"missing: not provided"),EXACT(metadata!R133,"missing: restricted access"))),AND(IF(metadata!R133="",FALSE,ISNUMBER(VALUE(metadata!R133))),metadata!R133&gt;=-90,metadata!R133&lt;=90))</f>
        <v>0</v>
      </c>
      <c r="BD133" t="b">
        <f>AND(IF(metadata!S133="",FALSE,TRUE),EXACT(metadata!S133,"Decimal degrees"))</f>
        <v>0</v>
      </c>
      <c r="BE133" t="b">
        <f>OR(AND(IF(metadata!T133="",FALSE,TRUE),OR(EXACT(metadata!T133,"missing: not collected"),EXACT(metadata!T133,"missing: not provided"),EXACT(metadata!T133,"missing: restricted access"))),AND(IF(metadata!T133="",FALSE,ISNUMBER(VALUE(metadata!T133))),metadata!T133&gt;=-180,metadata!T133&lt;=180))</f>
        <v>0</v>
      </c>
      <c r="BF133" t="b">
        <f>AND(IF(metadata!U133="",FALSE,TRUE),EXACT(metadata!U133,"Decimal degrees"))</f>
        <v>0</v>
      </c>
      <c r="BG133" t="b">
        <f>IF(metadata!V133="",FALSE,TRUE)</f>
        <v>0</v>
      </c>
      <c r="BH133" t="b">
        <f>OR(AND(IF(metadata!W133="",FALSE,TRUE),OR(EXACT(metadata!W133,"missing: not collected"),EXACT(metadata!W133,"missing: not provided"),EXACT(metadata!W133,"missing: restricted access"))),AND(IF(metadata!W133="",FALSE,TRUE),OR(EXACT(metadata!W133,"TRUE"),EXACT(metadata!W133,"FALSE"))))</f>
        <v>0</v>
      </c>
      <c r="BI133" t="b">
        <f>AND(IF(metadata!X133="",FALSE,TRUE),EXACT(metadata!X133,"other"))</f>
        <v>0</v>
      </c>
      <c r="BJ133" t="b">
        <f>IF(metadata!Y133="",FALSE,TRUE)</f>
        <v>0</v>
      </c>
      <c r="BK133" t="b">
        <f>OR(AND(IF(metadata!Z133="",FALSE,TRUE),OR(EXACT(metadata!Z133,"missing: not collected"),EXACT(metadata!Z133,"missing: not provided"))),AND(IF(metadata!Z133="",FALSE,IF(ISERROR(INT(metadata!Z133)),FALSE,INT(metadata!Z133)=metadata!Z133)),metadata!Z133&gt;0))</f>
        <v>0</v>
      </c>
      <c r="BL133" t="b">
        <f>AND(IF(metadata!AA133="",FALSE,TRUE),EXACT(metadata!AA133,"Not applicable"))</f>
        <v>0</v>
      </c>
      <c r="BM133" t="b">
        <f>IF(metadata!AB133="",FALSE,TRUE)</f>
        <v>0</v>
      </c>
    </row>
    <row r="134" spans="1:65" x14ac:dyDescent="0.2">
      <c r="A134" s="5" t="str">
        <f ca="1">IF(B134=" "," ",HYPERLINK(CONCATENATE("#metadata!",ADDRESS(INDEX($AH$2:$AH$1001,MATCH(ROWS($AF$2:AF134),$AF$2:$AF$1001,0),0),1)),INDEX($AK$2:$AK$1001,MATCH(ROWS($AF$2:AF134),$AF$2:$AF$1001,0),0)))</f>
        <v xml:space="preserve"> </v>
      </c>
      <c r="B134" s="4" t="str">
        <f ca="1">IF(OR(INDEX($AG$2:$AG$1001,MATCH(ROWS($AF$2:AF134),$AF$2:$AF$1001,0),1)&gt;=100000,INDEX($AM$1005:$BM$1005,1,MATCH(COLUMNS($AM$1006:AM1006),$AM$1006:$BM$1006,0))&gt;=100000), " ",IF(INDEX($AM$2:$BM$1001,MATCH(ROWS($AF$2:AF134),$AF$2:$AF$1001,0),MATCH(COLUMNS($AM$1006:AM1006),$AM$1006:$BM$1006,0)), HYPERLINK("#",""), HYPERLINK(CONCATENATE("#metadata!", ADDRESS(INDEX($AH$2:$AH$1001,MATCH(ROWS($AF$2:AF134),$AF$2:$AF$1001,0),0), INDEX($AM$1004:$BM$1004,1,MATCH(COLUMNS($AM$1006:AM1006),$AM$1006:$BM$1006,0)))),"Fix")))</f>
        <v xml:space="preserve"> </v>
      </c>
      <c r="C134" s="4" t="str">
        <f ca="1">IF(OR(INDEX($AG$2:$AG$1001,MATCH(ROWS($AF$2:AF134),$AF$2:$AF$1001,0),1)&gt;=100000,INDEX($AM$1005:$BM$1005,1,MATCH(COLUMNS($AM$1006:AN1006),$AM$1006:$BM$1006,0))&gt;=100000), " ",IF(INDEX($AM$2:$BM$1001,MATCH(ROWS($AF$2:AF134),$AF$2:$AF$1001,0),MATCH(COLUMNS($AM$1006:AN1006),$AM$1006:$BM$1006,0)), HYPERLINK("#",""), HYPERLINK(CONCATENATE("#metadata!", ADDRESS(INDEX($AH$2:$AH$1001,MATCH(ROWS($AF$2:AF134),$AF$2:$AF$1001,0),0), INDEX($AM$1004:$BM$1004,1,MATCH(COLUMNS($AM$1006:AN1006),$AM$1006:$BM$1006,0)))),"Fix")))</f>
        <v xml:space="preserve"> </v>
      </c>
      <c r="D134" s="4" t="str">
        <f ca="1">IF(OR(INDEX($AG$2:$AG$1001,MATCH(ROWS($AF$2:AF134),$AF$2:$AF$1001,0),1)&gt;=100000,INDEX($AM$1005:$BM$1005,1,MATCH(COLUMNS($AM$1006:AO1006),$AM$1006:$BM$1006,0))&gt;=100000), " ",IF(INDEX($AM$2:$BM$1001,MATCH(ROWS($AF$2:AF134),$AF$2:$AF$1001,0),MATCH(COLUMNS($AM$1006:AO1006),$AM$1006:$BM$1006,0)), HYPERLINK("#",""), HYPERLINK(CONCATENATE("#metadata!", ADDRESS(INDEX($AH$2:$AH$1001,MATCH(ROWS($AF$2:AF134),$AF$2:$AF$1001,0),0), INDEX($AM$1004:$BM$1004,1,MATCH(COLUMNS($AM$1006:AO1006),$AM$1006:$BM$1006,0)))),"Fix")))</f>
        <v xml:space="preserve"> </v>
      </c>
      <c r="E134" s="4" t="str">
        <f ca="1">IF(OR(INDEX($AG$2:$AG$1001,MATCH(ROWS($AF$2:AF134),$AF$2:$AF$1001,0),1)&gt;=100000,INDEX($AM$1005:$BM$1005,1,MATCH(COLUMNS($AM$1006:AP1006),$AM$1006:$BM$1006,0))&gt;=100000), " ",IF(INDEX($AM$2:$BM$1001,MATCH(ROWS($AF$2:AF134),$AF$2:$AF$1001,0),MATCH(COLUMNS($AM$1006:AP1006),$AM$1006:$BM$1006,0)), HYPERLINK("#",""), HYPERLINK(CONCATENATE("#metadata!", ADDRESS(INDEX($AH$2:$AH$1001,MATCH(ROWS($AF$2:AF134),$AF$2:$AF$1001,0),0), INDEX($AM$1004:$BM$1004,1,MATCH(COLUMNS($AM$1006:AP1006),$AM$1006:$BM$1006,0)))),"Fix")))</f>
        <v xml:space="preserve"> </v>
      </c>
      <c r="F134" s="4" t="str">
        <f ca="1">IF(OR(INDEX($AG$2:$AG$1001,MATCH(ROWS($AF$2:AF134),$AF$2:$AF$1001,0),1)&gt;=100000,INDEX($AM$1005:$BM$1005,1,MATCH(COLUMNS($AM$1006:AQ1006),$AM$1006:$BM$1006,0))&gt;=100000), " ",IF(INDEX($AM$2:$BM$1001,MATCH(ROWS($AF$2:AF134),$AF$2:$AF$1001,0),MATCH(COLUMNS($AM$1006:AQ1006),$AM$1006:$BM$1006,0)), HYPERLINK("#",""), HYPERLINK(CONCATENATE("#metadata!", ADDRESS(INDEX($AH$2:$AH$1001,MATCH(ROWS($AF$2:AF134),$AF$2:$AF$1001,0),0), INDEX($AM$1004:$BM$1004,1,MATCH(COLUMNS($AM$1006:AQ1006),$AM$1006:$BM$1006,0)))),"Fix")))</f>
        <v xml:space="preserve"> </v>
      </c>
      <c r="G134" s="4" t="str">
        <f ca="1">IF(OR(INDEX($AG$2:$AG$1001,MATCH(ROWS($AF$2:AF134),$AF$2:$AF$1001,0),1)&gt;=100000,INDEX($AM$1005:$BM$1005,1,MATCH(COLUMNS($AM$1006:AR1006),$AM$1006:$BM$1006,0))&gt;=100000), " ",IF(INDEX($AM$2:$BM$1001,MATCH(ROWS($AF$2:AF134),$AF$2:$AF$1001,0),MATCH(COLUMNS($AM$1006:AR1006),$AM$1006:$BM$1006,0)), HYPERLINK("#",""), HYPERLINK(CONCATENATE("#metadata!", ADDRESS(INDEX($AH$2:$AH$1001,MATCH(ROWS($AF$2:AF134),$AF$2:$AF$1001,0),0), INDEX($AM$1004:$BM$1004,1,MATCH(COLUMNS($AM$1006:AR1006),$AM$1006:$BM$1006,0)))),"Fix")))</f>
        <v xml:space="preserve"> </v>
      </c>
      <c r="H134" s="4" t="str">
        <f ca="1">IF(OR(INDEX($AG$2:$AG$1001,MATCH(ROWS($AF$2:AF134),$AF$2:$AF$1001,0),1)&gt;=100000,INDEX($AM$1005:$BM$1005,1,MATCH(COLUMNS($AM$1006:AS1006),$AM$1006:$BM$1006,0))&gt;=100000), " ",IF(INDEX($AM$2:$BM$1001,MATCH(ROWS($AF$2:AF134),$AF$2:$AF$1001,0),MATCH(COLUMNS($AM$1006:AS1006),$AM$1006:$BM$1006,0)), HYPERLINK("#",""), HYPERLINK(CONCATENATE("#metadata!", ADDRESS(INDEX($AH$2:$AH$1001,MATCH(ROWS($AF$2:AF134),$AF$2:$AF$1001,0),0), INDEX($AM$1004:$BM$1004,1,MATCH(COLUMNS($AM$1006:AS1006),$AM$1006:$BM$1006,0)))),"Fix")))</f>
        <v xml:space="preserve"> </v>
      </c>
      <c r="I134" s="4" t="str">
        <f ca="1">IF(OR(INDEX($AG$2:$AG$1001,MATCH(ROWS($AF$2:AF134),$AF$2:$AF$1001,0),1)&gt;=100000,INDEX($AM$1005:$BM$1005,1,MATCH(COLUMNS($AM$1006:AT1006),$AM$1006:$BM$1006,0))&gt;=100000), " ",IF(INDEX($AM$2:$BM$1001,MATCH(ROWS($AF$2:AF134),$AF$2:$AF$1001,0),MATCH(COLUMNS($AM$1006:AT1006),$AM$1006:$BM$1006,0)), HYPERLINK("#",""), HYPERLINK(CONCATENATE("#metadata!", ADDRESS(INDEX($AH$2:$AH$1001,MATCH(ROWS($AF$2:AF134),$AF$2:$AF$1001,0),0), INDEX($AM$1004:$BM$1004,1,MATCH(COLUMNS($AM$1006:AT1006),$AM$1006:$BM$1006,0)))),"Fix")))</f>
        <v xml:space="preserve"> </v>
      </c>
      <c r="J134" s="4" t="str">
        <f ca="1">IF(OR(INDEX($AG$2:$AG$1001,MATCH(ROWS($AF$2:AF134),$AF$2:$AF$1001,0),1)&gt;=100000,INDEX($AM$1005:$BM$1005,1,MATCH(COLUMNS($AM$1006:AU1006),$AM$1006:$BM$1006,0))&gt;=100000), " ",IF(INDEX($AM$2:$BM$1001,MATCH(ROWS($AF$2:AF134),$AF$2:$AF$1001,0),MATCH(COLUMNS($AM$1006:AU1006),$AM$1006:$BM$1006,0)), HYPERLINK("#",""), HYPERLINK(CONCATENATE("#metadata!", ADDRESS(INDEX($AH$2:$AH$1001,MATCH(ROWS($AF$2:AF134),$AF$2:$AF$1001,0),0), INDEX($AM$1004:$BM$1004,1,MATCH(COLUMNS($AM$1006:AU1006),$AM$1006:$BM$1006,0)))),"Fix")))</f>
        <v xml:space="preserve"> </v>
      </c>
      <c r="K134" s="4" t="str">
        <f ca="1">IF(OR(INDEX($AG$2:$AG$1001,MATCH(ROWS($AF$2:AF134),$AF$2:$AF$1001,0),1)&gt;=100000,INDEX($AM$1005:$BM$1005,1,MATCH(COLUMNS($AM$1006:AV1006),$AM$1006:$BM$1006,0))&gt;=100000), " ",IF(INDEX($AM$2:$BM$1001,MATCH(ROWS($AF$2:AF134),$AF$2:$AF$1001,0),MATCH(COLUMNS($AM$1006:AV1006),$AM$1006:$BM$1006,0)), HYPERLINK("#",""), HYPERLINK(CONCATENATE("#metadata!", ADDRESS(INDEX($AH$2:$AH$1001,MATCH(ROWS($AF$2:AF134),$AF$2:$AF$1001,0),0), INDEX($AM$1004:$BM$1004,1,MATCH(COLUMNS($AM$1006:AV1006),$AM$1006:$BM$1006,0)))),"Fix")))</f>
        <v xml:space="preserve"> </v>
      </c>
      <c r="L134" s="4" t="str">
        <f ca="1">IF(OR(INDEX($AG$2:$AG$1001,MATCH(ROWS($AF$2:AF134),$AF$2:$AF$1001,0),1)&gt;=100000,INDEX($AM$1005:$BM$1005,1,MATCH(COLUMNS($AM$1006:AW1006),$AM$1006:$BM$1006,0))&gt;=100000), " ",IF(INDEX($AM$2:$BM$1001,MATCH(ROWS($AF$2:AF134),$AF$2:$AF$1001,0),MATCH(COLUMNS($AM$1006:AW1006),$AM$1006:$BM$1006,0)), HYPERLINK("#",""), HYPERLINK(CONCATENATE("#metadata!", ADDRESS(INDEX($AH$2:$AH$1001,MATCH(ROWS($AF$2:AF134),$AF$2:$AF$1001,0),0), INDEX($AM$1004:$BM$1004,1,MATCH(COLUMNS($AM$1006:AW1006),$AM$1006:$BM$1006,0)))),"Fix")))</f>
        <v xml:space="preserve"> </v>
      </c>
      <c r="M134" s="4" t="str">
        <f ca="1">IF(OR(INDEX($AG$2:$AG$1001,MATCH(ROWS($AF$2:AF134),$AF$2:$AF$1001,0),1)&gt;=100000,INDEX($AM$1005:$BM$1005,1,MATCH(COLUMNS($AM$1006:AX1006),$AM$1006:$BM$1006,0))&gt;=100000), " ",IF(INDEX($AM$2:$BM$1001,MATCH(ROWS($AF$2:AF134),$AF$2:$AF$1001,0),MATCH(COLUMNS($AM$1006:AX1006),$AM$1006:$BM$1006,0)), HYPERLINK("#",""), HYPERLINK(CONCATENATE("#metadata!", ADDRESS(INDEX($AH$2:$AH$1001,MATCH(ROWS($AF$2:AF134),$AF$2:$AF$1001,0),0), INDEX($AM$1004:$BM$1004,1,MATCH(COLUMNS($AM$1006:AX1006),$AM$1006:$BM$1006,0)))),"Fix")))</f>
        <v xml:space="preserve"> </v>
      </c>
      <c r="N134" s="4" t="str">
        <f ca="1">IF(OR(INDEX($AG$2:$AG$1001,MATCH(ROWS($AF$2:AF134),$AF$2:$AF$1001,0),1)&gt;=100000,INDEX($AM$1005:$BM$1005,1,MATCH(COLUMNS($AM$1006:AY1006),$AM$1006:$BM$1006,0))&gt;=100000), " ",IF(INDEX($AM$2:$BM$1001,MATCH(ROWS($AF$2:AF134),$AF$2:$AF$1001,0),MATCH(COLUMNS($AM$1006:AY1006),$AM$1006:$BM$1006,0)), HYPERLINK("#",""), HYPERLINK(CONCATENATE("#metadata!", ADDRESS(INDEX($AH$2:$AH$1001,MATCH(ROWS($AF$2:AF134),$AF$2:$AF$1001,0),0), INDEX($AM$1004:$BM$1004,1,MATCH(COLUMNS($AM$1006:AY1006),$AM$1006:$BM$1006,0)))),"Fix")))</f>
        <v xml:space="preserve"> </v>
      </c>
      <c r="O134" s="4" t="str">
        <f ca="1">IF(OR(INDEX($AG$2:$AG$1001,MATCH(ROWS($AF$2:AF134),$AF$2:$AF$1001,0),1)&gt;=100000,INDEX($AM$1005:$BM$1005,1,MATCH(COLUMNS($AM$1006:AZ1006),$AM$1006:$BM$1006,0))&gt;=100000), " ",IF(INDEX($AM$2:$BM$1001,MATCH(ROWS($AF$2:AF134),$AF$2:$AF$1001,0),MATCH(COLUMNS($AM$1006:AZ1006),$AM$1006:$BM$1006,0)), HYPERLINK("#",""), HYPERLINK(CONCATENATE("#metadata!", ADDRESS(INDEX($AH$2:$AH$1001,MATCH(ROWS($AF$2:AF134),$AF$2:$AF$1001,0),0), INDEX($AM$1004:$BM$1004,1,MATCH(COLUMNS($AM$1006:AZ1006),$AM$1006:$BM$1006,0)))),"Fix")))</f>
        <v xml:space="preserve"> </v>
      </c>
      <c r="P134" s="4" t="str">
        <f ca="1">IF(OR(INDEX($AG$2:$AG$1001,MATCH(ROWS($AF$2:AF134),$AF$2:$AF$1001,0),1)&gt;=100000,INDEX($AM$1005:$BM$1005,1,MATCH(COLUMNS($AM$1006:BA1006),$AM$1006:$BM$1006,0))&gt;=100000), " ",IF(INDEX($AM$2:$BM$1001,MATCH(ROWS($AF$2:AF134),$AF$2:$AF$1001,0),MATCH(COLUMNS($AM$1006:BA1006),$AM$1006:$BM$1006,0)), HYPERLINK("#",""), HYPERLINK(CONCATENATE("#metadata!", ADDRESS(INDEX($AH$2:$AH$1001,MATCH(ROWS($AF$2:AF134),$AF$2:$AF$1001,0),0), INDEX($AM$1004:$BM$1004,1,MATCH(COLUMNS($AM$1006:BA1006),$AM$1006:$BM$1006,0)))),"Fix")))</f>
        <v xml:space="preserve"> </v>
      </c>
      <c r="Q134" s="4" t="str">
        <f ca="1">IF(OR(INDEX($AG$2:$AG$1001,MATCH(ROWS($AF$2:AF134),$AF$2:$AF$1001,0),1)&gt;=100000,INDEX($AM$1005:$BM$1005,1,MATCH(COLUMNS($AM$1006:BB1006),$AM$1006:$BM$1006,0))&gt;=100000), " ",IF(INDEX($AM$2:$BM$1001,MATCH(ROWS($AF$2:AF134),$AF$2:$AF$1001,0),MATCH(COLUMNS($AM$1006:BB1006),$AM$1006:$BM$1006,0)), HYPERLINK("#",""), HYPERLINK(CONCATENATE("#metadata!", ADDRESS(INDEX($AH$2:$AH$1001,MATCH(ROWS($AF$2:AF134),$AF$2:$AF$1001,0),0), INDEX($AM$1004:$BM$1004,1,MATCH(COLUMNS($AM$1006:BB1006),$AM$1006:$BM$1006,0)))),"Fix")))</f>
        <v xml:space="preserve"> </v>
      </c>
      <c r="R134" s="4" t="str">
        <f ca="1">IF(OR(INDEX($AG$2:$AG$1001,MATCH(ROWS($AF$2:AF134),$AF$2:$AF$1001,0),1)&gt;=100000,INDEX($AM$1005:$BM$1005,1,MATCH(COLUMNS($AM$1006:BC1006),$AM$1006:$BM$1006,0))&gt;=100000), " ",IF(INDEX($AM$2:$BM$1001,MATCH(ROWS($AF$2:AF134),$AF$2:$AF$1001,0),MATCH(COLUMNS($AM$1006:BC1006),$AM$1006:$BM$1006,0)), HYPERLINK("#",""), HYPERLINK(CONCATENATE("#metadata!", ADDRESS(INDEX($AH$2:$AH$1001,MATCH(ROWS($AF$2:AF134),$AF$2:$AF$1001,0),0), INDEX($AM$1004:$BM$1004,1,MATCH(COLUMNS($AM$1006:BC1006),$AM$1006:$BM$1006,0)))),"Fix")))</f>
        <v xml:space="preserve"> </v>
      </c>
      <c r="S134" s="4" t="str">
        <f ca="1">IF(OR(INDEX($AG$2:$AG$1001,MATCH(ROWS($AF$2:AF134),$AF$2:$AF$1001,0),1)&gt;=100000,INDEX($AM$1005:$BM$1005,1,MATCH(COLUMNS($AM$1006:BD1006),$AM$1006:$BM$1006,0))&gt;=100000), " ",IF(INDEX($AM$2:$BM$1001,MATCH(ROWS($AF$2:AF134),$AF$2:$AF$1001,0),MATCH(COLUMNS($AM$1006:BD1006),$AM$1006:$BM$1006,0)), HYPERLINK("#",""), HYPERLINK(CONCATENATE("#metadata!", ADDRESS(INDEX($AH$2:$AH$1001,MATCH(ROWS($AF$2:AF134),$AF$2:$AF$1001,0),0), INDEX($AM$1004:$BM$1004,1,MATCH(COLUMNS($AM$1006:BD1006),$AM$1006:$BM$1006,0)))),"Fix")))</f>
        <v xml:space="preserve"> </v>
      </c>
      <c r="T134" s="4" t="str">
        <f ca="1">IF(OR(INDEX($AG$2:$AG$1001,MATCH(ROWS($AF$2:AF134),$AF$2:$AF$1001,0),1)&gt;=100000,INDEX($AM$1005:$BM$1005,1,MATCH(COLUMNS($AM$1006:BE1006),$AM$1006:$BM$1006,0))&gt;=100000), " ",IF(INDEX($AM$2:$BM$1001,MATCH(ROWS($AF$2:AF134),$AF$2:$AF$1001,0),MATCH(COLUMNS($AM$1006:BE1006),$AM$1006:$BM$1006,0)), HYPERLINK("#",""), HYPERLINK(CONCATENATE("#metadata!", ADDRESS(INDEX($AH$2:$AH$1001,MATCH(ROWS($AF$2:AF134),$AF$2:$AF$1001,0),0), INDEX($AM$1004:$BM$1004,1,MATCH(COLUMNS($AM$1006:BE1006),$AM$1006:$BM$1006,0)))),"Fix")))</f>
        <v xml:space="preserve"> </v>
      </c>
      <c r="U134" s="4" t="str">
        <f ca="1">IF(OR(INDEX($AG$2:$AG$1001,MATCH(ROWS($AF$2:AF134),$AF$2:$AF$1001,0),1)&gt;=100000,INDEX($AM$1005:$BM$1005,1,MATCH(COLUMNS($AM$1006:BF1006),$AM$1006:$BM$1006,0))&gt;=100000), " ",IF(INDEX($AM$2:$BM$1001,MATCH(ROWS($AF$2:AF134),$AF$2:$AF$1001,0),MATCH(COLUMNS($AM$1006:BF1006),$AM$1006:$BM$1006,0)), HYPERLINK("#",""), HYPERLINK(CONCATENATE("#metadata!", ADDRESS(INDEX($AH$2:$AH$1001,MATCH(ROWS($AF$2:AF134),$AF$2:$AF$1001,0),0), INDEX($AM$1004:$BM$1004,1,MATCH(COLUMNS($AM$1006:BF1006),$AM$1006:$BM$1006,0)))),"Fix")))</f>
        <v xml:space="preserve"> </v>
      </c>
      <c r="V134" s="4" t="str">
        <f ca="1">IF(OR(INDEX($AG$2:$AG$1001,MATCH(ROWS($AF$2:AF134),$AF$2:$AF$1001,0),1)&gt;=100000,INDEX($AM$1005:$BM$1005,1,MATCH(COLUMNS($AM$1006:BG1006),$AM$1006:$BM$1006,0))&gt;=100000), " ",IF(INDEX($AM$2:$BM$1001,MATCH(ROWS($AF$2:AF134),$AF$2:$AF$1001,0),MATCH(COLUMNS($AM$1006:BG1006),$AM$1006:$BM$1006,0)), HYPERLINK("#",""), HYPERLINK(CONCATENATE("#metadata!", ADDRESS(INDEX($AH$2:$AH$1001,MATCH(ROWS($AF$2:AF134),$AF$2:$AF$1001,0),0), INDEX($AM$1004:$BM$1004,1,MATCH(COLUMNS($AM$1006:BG1006),$AM$1006:$BM$1006,0)))),"Fix")))</f>
        <v xml:space="preserve"> </v>
      </c>
      <c r="W134" s="4" t="str">
        <f ca="1">IF(OR(INDEX($AG$2:$AG$1001,MATCH(ROWS($AF$2:AF134),$AF$2:$AF$1001,0),1)&gt;=100000,INDEX($AM$1005:$BM$1005,1,MATCH(COLUMNS($AM$1006:BH1006),$AM$1006:$BM$1006,0))&gt;=100000), " ",IF(INDEX($AM$2:$BM$1001,MATCH(ROWS($AF$2:AF134),$AF$2:$AF$1001,0),MATCH(COLUMNS($AM$1006:BH1006),$AM$1006:$BM$1006,0)), HYPERLINK("#",""), HYPERLINK(CONCATENATE("#metadata!", ADDRESS(INDEX($AH$2:$AH$1001,MATCH(ROWS($AF$2:AF134),$AF$2:$AF$1001,0),0), INDEX($AM$1004:$BM$1004,1,MATCH(COLUMNS($AM$1006:BH1006),$AM$1006:$BM$1006,0)))),"Fix")))</f>
        <v xml:space="preserve"> </v>
      </c>
      <c r="X134" s="4" t="str">
        <f ca="1">IF(OR(INDEX($AG$2:$AG$1001,MATCH(ROWS($AF$2:AF134),$AF$2:$AF$1001,0),1)&gt;=100000,INDEX($AM$1005:$BM$1005,1,MATCH(COLUMNS($AM$1006:BI1006),$AM$1006:$BM$1006,0))&gt;=100000), " ",IF(INDEX($AM$2:$BM$1001,MATCH(ROWS($AF$2:AF134),$AF$2:$AF$1001,0),MATCH(COLUMNS($AM$1006:BI1006),$AM$1006:$BM$1006,0)), HYPERLINK("#",""), HYPERLINK(CONCATENATE("#metadata!", ADDRESS(INDEX($AH$2:$AH$1001,MATCH(ROWS($AF$2:AF134),$AF$2:$AF$1001,0),0), INDEX($AM$1004:$BM$1004,1,MATCH(COLUMNS($AM$1006:BI1006),$AM$1006:$BM$1006,0)))),"Fix")))</f>
        <v xml:space="preserve"> </v>
      </c>
      <c r="Y134" s="4" t="str">
        <f ca="1">IF(OR(INDEX($AG$2:$AG$1001,MATCH(ROWS($AF$2:AF134),$AF$2:$AF$1001,0),1)&gt;=100000,INDEX($AM$1005:$BM$1005,1,MATCH(COLUMNS($AM$1006:BJ1006),$AM$1006:$BM$1006,0))&gt;=100000), " ",IF(INDEX($AM$2:$BM$1001,MATCH(ROWS($AF$2:AF134),$AF$2:$AF$1001,0),MATCH(COLUMNS($AM$1006:BJ1006),$AM$1006:$BM$1006,0)), HYPERLINK("#",""), HYPERLINK(CONCATENATE("#metadata!", ADDRESS(INDEX($AH$2:$AH$1001,MATCH(ROWS($AF$2:AF134),$AF$2:$AF$1001,0),0), INDEX($AM$1004:$BM$1004,1,MATCH(COLUMNS($AM$1006:BJ1006),$AM$1006:$BM$1006,0)))),"Fix")))</f>
        <v xml:space="preserve"> </v>
      </c>
      <c r="Z134" s="4" t="str">
        <f ca="1">IF(OR(INDEX($AG$2:$AG$1001,MATCH(ROWS($AF$2:AF134),$AF$2:$AF$1001,0),1)&gt;=100000,INDEX($AM$1005:$BM$1005,1,MATCH(COLUMNS($AM$1006:BK1006),$AM$1006:$BM$1006,0))&gt;=100000), " ",IF(INDEX($AM$2:$BM$1001,MATCH(ROWS($AF$2:AF134),$AF$2:$AF$1001,0),MATCH(COLUMNS($AM$1006:BK1006),$AM$1006:$BM$1006,0)), HYPERLINK("#",""), HYPERLINK(CONCATENATE("#metadata!", ADDRESS(INDEX($AH$2:$AH$1001,MATCH(ROWS($AF$2:AF134),$AF$2:$AF$1001,0),0), INDEX($AM$1004:$BM$1004,1,MATCH(COLUMNS($AM$1006:BK1006),$AM$1006:$BM$1006,0)))),"Fix")))</f>
        <v xml:space="preserve"> </v>
      </c>
      <c r="AA134" s="4" t="str">
        <f ca="1">IF(OR(INDEX($AG$2:$AG$1001,MATCH(ROWS($AF$2:AF134),$AF$2:$AF$1001,0),1)&gt;=100000,INDEX($AM$1005:$BM$1005,1,MATCH(COLUMNS($AM$1006:BL1006),$AM$1006:$BM$1006,0))&gt;=100000), " ",IF(INDEX($AM$2:$BM$1001,MATCH(ROWS($AF$2:AF134),$AF$2:$AF$1001,0),MATCH(COLUMNS($AM$1006:BL1006),$AM$1006:$BM$1006,0)), HYPERLINK("#",""), HYPERLINK(CONCATENATE("#metadata!", ADDRESS(INDEX($AH$2:$AH$1001,MATCH(ROWS($AF$2:AF134),$AF$2:$AF$1001,0),0), INDEX($AM$1004:$BM$1004,1,MATCH(COLUMNS($AM$1006:BL1006),$AM$1006:$BM$1006,0)))),"Fix")))</f>
        <v xml:space="preserve"> </v>
      </c>
      <c r="AB134" s="4" t="str">
        <f ca="1">IF(OR(INDEX($AG$2:$AG$1001,MATCH(ROWS($AF$2:AF134),$AF$2:$AF$1001,0),1)&gt;=100000,INDEX($AM$1005:$BM$1005,1,MATCH(COLUMNS($AM$1006:BM1006),$AM$1006:$BM$1006,0))&gt;=100000), " ",IF(INDEX($AM$2:$BM$1001,MATCH(ROWS($AF$2:AF134),$AF$2:$AF$1001,0),MATCH(COLUMNS($AM$1006:BM1006),$AM$1006:$BM$1006,0)), HYPERLINK("#",""), HYPERLINK(CONCATENATE("#metadata!", ADDRESS(INDEX($AH$2:$AH$1001,MATCH(ROWS($AF$2:AF134),$AF$2:$AF$1001,0),0), INDEX($AM$1004:$BM$1004,1,MATCH(COLUMNS($AM$1006:BM1006),$AM$1006:$BM$1006,0)))),"Fix")))</f>
        <v xml:space="preserve"> </v>
      </c>
      <c r="AF134">
        <v>133</v>
      </c>
      <c r="AG134">
        <v>100134</v>
      </c>
      <c r="AH134">
        <v>134</v>
      </c>
      <c r="AI134" t="b">
        <f t="shared" si="2"/>
        <v>1</v>
      </c>
      <c r="AJ134" t="b">
        <f>COUNTBLANK(metadata!B134:AB134)=COLUMNS(metadata!B134:AB134)</f>
        <v>1</v>
      </c>
      <c r="AK134" t="str">
        <v/>
      </c>
      <c r="AM134" t="b">
        <f ca="1">AND(IF(metadata!B134="",FALSE,TRUE),COUNTIF(metadata!B:B, metadata!B134) = 1,NOT(ISERROR(SUMPRODUCT(SEARCH(MID(metadata!B134,ROW(INDIRECT("1:"&amp;LEN(metadata!B134))), 1),"0123456789abcdefghijklmnopqrstuvwxyzABCDEFGHIJKLMNOPQRSTUVWXYZ.")))))</f>
        <v>0</v>
      </c>
      <c r="AN134" t="b">
        <f ca="1">OR(AND(IF(metadata!C134="",FALSE,TRUE),OR(EXACT(metadata!C134,"missing: not collected"),EXACT(metadata!C134,"missing: not provided"),EXACT(metadata!C134,"missing: restricted access"))),AND(IF(metadata!C134="",FALSE,TRUE),AND(AND(IFERROR(INT(LEFT(metadata!C134,4))&gt;1900,FALSE),IFERROR(INT(LEFT(metadata!C134,4))&lt;=YEAR(NOW()),FALSE)), OR(MID(metadata!C134,5,1)="", AND(AND(MID(metadata!C134,5,1)="-",IFERROR(INT(MID(metadata!C134,6,1))&gt;=0,FALSE),IFERROR(INT(MID(metadata!C134,6,1))&lt;=1,FALSE),NOT(MID(metadata!C134,7,1)=""),IFERROR(INT(MID(metadata!C134,6,2))&gt;=1,FALSE),IFERROR(INT(MID(metadata!C134,6,2))&lt;=12,FALSE)), OR(MID(metadata!C134,8,1)="", AND(AND(MID(metadata!C134,8,1)="-",IFERROR(INT(MID(metadata!C134,9,1))&gt;=0,FALSE),IFERROR(INT(MID(metadata!C134,9,1))&lt;=3,FALSE),NOT(MID(metadata!C134,10,1)=""),IFERROR(INT(MID(metadata!C134,9,2))&gt;=1,FALSE),IFERROR(INT(MID(metadata!C134,9,2))&lt;=31,FALSE)), OR(MID(metadata!C134,11,1)="", AND(AND(MID(metadata!C134,11,1)=" ",IFERROR(INT(MID(metadata!C134,12,1))&gt;=0,FALSE),IFERROR(INT(MID(metadata!C134,12,1))&lt;=2,FALSE),NOT(MID(metadata!C134,13,1)=""),IFERROR(INT(MID(metadata!C134,12,2))&gt;=0,FALSE),IFERROR(INT(MID(metadata!C134,12,2))&lt;=23,FALSE)), OR(MID(metadata!C134,14,1)="", AND(AND(MID(metadata!C134,14,1)=":",IFERROR(INT(MID(metadata!C134,15,1))&gt;=0,FALSE),IFERROR(INT(MID(metadata!C134,15,1))&lt;=5,FALSE),NOT(MID(metadata!C134,16,1)=""),IFERROR(INT(MID(metadata!C134,15,2))&gt;=0,FALSE),IFERROR(INT(MID(metadata!C134,15,2))&lt;=59,FALSE)), OR(MID(metadata!C134,17,1)="", AND(AND(MID(metadata!C134,17,1)=":",IFERROR(INT(MID(metadata!C134,18,1))&gt;=0,FALSE),IFERROR(INT(MID(metadata!C134,18,1))&lt;=5,FALSE),NOT(MID(metadata!C134,19,1)=""),IFERROR(INT(MID(metadata!C134,18,2))&gt;=0,FALSE),IFERROR(INT(MID(metadata!C134,18,2))&lt;=59,FALSE)), LEN(metadata!C134)&lt;=19)))))))))))))</f>
        <v>0</v>
      </c>
      <c r="AO134" t="b">
        <f>AND(IF(metadata!D134="",FALSE,TRUE),EXACT(metadata!D134,"Not applicable"))</f>
        <v>0</v>
      </c>
      <c r="AP134" t="b">
        <f>IF(metadata!E134="",FALSE,TRUE)</f>
        <v>0</v>
      </c>
      <c r="AQ134" t="b">
        <f>OR(AND(IF(metadata!F134="",FALSE,TRUE),OR(EXACT(metadata!F134,"missing: not collected"),EXACT(metadata!F134,"missing: not provided"))),AND(IF(metadata!F134="",FALSE,TRUE),OR(EXACT(metadata!F134,"TRUE"),EXACT(metadata!F134,"FALSE"))))</f>
        <v>0</v>
      </c>
      <c r="AR134" t="b">
        <f>OR(AND(IF(metadata!G134="",FALSE,TRUE),OR(EXACT(metadata!G134,"missing: not collected"),EXACT(metadata!G134,"missing: not provided"),EXACT(metadata!G134,"missing: restricted access"))),AND(IF(metadata!G134="",FALSE,ISNUMBER(VALUE(metadata!G134))),metadata!G134&gt;=-413))</f>
        <v>0</v>
      </c>
      <c r="AS134" t="b">
        <f>AND(IF(metadata!H134="",FALSE,TRUE),EXACT(metadata!H134,"meters"))</f>
        <v>0</v>
      </c>
      <c r="AT134" t="b">
        <f>AND(IF(metadata!I134="",FALSE,TRUE),OR(EXACT(metadata!I134,"Host-associated"),EXACT(metadata!I134,"Free-living")))</f>
        <v>0</v>
      </c>
      <c r="AU134" t="b">
        <f>AND(IF(metadata!J134="",FALSE,TRUE),OR(EXACT(metadata!J134,"Animal"),EXACT(metadata!J134,"Fungus"),EXACT(metadata!J134,"Plant"),EXACT(metadata!J134,"Saline"),EXACT(metadata!J134,"Non-saline")))</f>
        <v>0</v>
      </c>
      <c r="AV134" t="b">
        <f>AND(IF(metadata!K134="",FALSE,TRUE),OR(EXACT(metadata!K134,"Plant secretion"),EXACT(metadata!K134,"Plant rhizosphere"),EXACT(metadata!K134,"Plant surface"),EXACT(metadata!K134,"Plant corpus"),EXACT(metadata!K134,"Fungus surface"),EXACT(metadata!K134,"Fungus corpus"),EXACT(metadata!K134,"Animal surface"),EXACT(metadata!K134,"Animal proximal gut"),EXACT(metadata!K134,"Animal corpus"),EXACT(metadata!K134,"Animal distal gut"),EXACT(metadata!K134,"Animal secretion"),EXACT(metadata!K134,"Sub-surface (non-saline)"),EXACT(metadata!K134,"Surface (non-saline)"),EXACT(metadata!K134,"Water (non-saline)"),EXACT(metadata!K134,"Soil (non-saline)"),EXACT(metadata!K134,"Aerosol (non-saline)"),EXACT(metadata!K134,"Sediment (non-saline)"),EXACT(metadata!K134,"Surface (saline)"),EXACT(metadata!K134,"Water (saline)"),EXACT(metadata!K134,"Hypersaline (saline)"),EXACT(metadata!K134,"Aerosol (saline)"),EXACT(metadata!K134,"Sediment (saline)")))</f>
        <v>0</v>
      </c>
      <c r="AW134" t="b">
        <f>IF(metadata!L134="",FALSE,TRUE)</f>
        <v>0</v>
      </c>
      <c r="AX134" t="b">
        <f>IF(metadata!M134="",FALSE,TRUE)</f>
        <v>0</v>
      </c>
      <c r="AY134" t="b">
        <f>IF(metadata!N134="",FALSE,TRUE)</f>
        <v>0</v>
      </c>
      <c r="AZ134" t="b">
        <f>OR(AND(IF(metadata!O134="",FALSE,TRUE),OR(EXACT(metadata!O134,"missing: not collected"),EXACT(metadata!O134,"missing: not provided"),EXACT(metadata!O134,"missing: restricted access"))),AND(IF(metadata!O134="",FALSE,TRUE),OR(EXACT(metadata!O134,"air"),EXACT(metadata!O134,"built environment"),EXACT(metadata!O134,"host-associated"),EXACT(metadata!O134,"human-associated"),EXACT(metadata!O134,"human-skin"),EXACT(metadata!O134,"human-oral"),EXACT(metadata!O134,"human-gut"),EXACT(metadata!O134,"human-vaginal"),EXACT(metadata!O134,"microbial mat/biofilm"),EXACT(metadata!O134,"misc environment"),EXACT(metadata!O134,"plant-associated"),EXACT(metadata!O134,"sediment"),EXACT(metadata!O134,"soil"),EXACT(metadata!O134,"wastewater/sludge"),EXACT(metadata!O134,"water"))))</f>
        <v>0</v>
      </c>
      <c r="BA134" t="b">
        <f>IF(metadata!P134="",FALSE,TRUE)</f>
        <v>0</v>
      </c>
      <c r="BB134" t="b">
        <f>IF(metadata!Q134="",FALSE,TRUE)</f>
        <v>0</v>
      </c>
      <c r="BC134" t="b">
        <f>OR(AND(IF(metadata!R134="",FALSE,TRUE),OR(EXACT(metadata!R134,"missing: not collected"),EXACT(metadata!R134,"missing: not provided"),EXACT(metadata!R134,"missing: restricted access"))),AND(IF(metadata!R134="",FALSE,ISNUMBER(VALUE(metadata!R134))),metadata!R134&gt;=-90,metadata!R134&lt;=90))</f>
        <v>0</v>
      </c>
      <c r="BD134" t="b">
        <f>AND(IF(metadata!S134="",FALSE,TRUE),EXACT(metadata!S134,"Decimal degrees"))</f>
        <v>0</v>
      </c>
      <c r="BE134" t="b">
        <f>OR(AND(IF(metadata!T134="",FALSE,TRUE),OR(EXACT(metadata!T134,"missing: not collected"),EXACT(metadata!T134,"missing: not provided"),EXACT(metadata!T134,"missing: restricted access"))),AND(IF(metadata!T134="",FALSE,ISNUMBER(VALUE(metadata!T134))),metadata!T134&gt;=-180,metadata!T134&lt;=180))</f>
        <v>0</v>
      </c>
      <c r="BF134" t="b">
        <f>AND(IF(metadata!U134="",FALSE,TRUE),EXACT(metadata!U134,"Decimal degrees"))</f>
        <v>0</v>
      </c>
      <c r="BG134" t="b">
        <f>IF(metadata!V134="",FALSE,TRUE)</f>
        <v>0</v>
      </c>
      <c r="BH134" t="b">
        <f>OR(AND(IF(metadata!W134="",FALSE,TRUE),OR(EXACT(metadata!W134,"missing: not collected"),EXACT(metadata!W134,"missing: not provided"),EXACT(metadata!W134,"missing: restricted access"))),AND(IF(metadata!W134="",FALSE,TRUE),OR(EXACT(metadata!W134,"TRUE"),EXACT(metadata!W134,"FALSE"))))</f>
        <v>0</v>
      </c>
      <c r="BI134" t="b">
        <f>AND(IF(metadata!X134="",FALSE,TRUE),EXACT(metadata!X134,"other"))</f>
        <v>0</v>
      </c>
      <c r="BJ134" t="b">
        <f>IF(metadata!Y134="",FALSE,TRUE)</f>
        <v>0</v>
      </c>
      <c r="BK134" t="b">
        <f>OR(AND(IF(metadata!Z134="",FALSE,TRUE),OR(EXACT(metadata!Z134,"missing: not collected"),EXACT(metadata!Z134,"missing: not provided"))),AND(IF(metadata!Z134="",FALSE,IF(ISERROR(INT(metadata!Z134)),FALSE,INT(metadata!Z134)=metadata!Z134)),metadata!Z134&gt;0))</f>
        <v>0</v>
      </c>
      <c r="BL134" t="b">
        <f>AND(IF(metadata!AA134="",FALSE,TRUE),EXACT(metadata!AA134,"Not applicable"))</f>
        <v>0</v>
      </c>
      <c r="BM134" t="b">
        <f>IF(metadata!AB134="",FALSE,TRUE)</f>
        <v>0</v>
      </c>
    </row>
    <row r="135" spans="1:65" x14ac:dyDescent="0.2">
      <c r="A135" s="5" t="str">
        <f ca="1">IF(B135=" "," ",HYPERLINK(CONCATENATE("#metadata!",ADDRESS(INDEX($AH$2:$AH$1001,MATCH(ROWS($AF$2:AF135),$AF$2:$AF$1001,0),0),1)),INDEX($AK$2:$AK$1001,MATCH(ROWS($AF$2:AF135),$AF$2:$AF$1001,0),0)))</f>
        <v xml:space="preserve"> </v>
      </c>
      <c r="B135" s="4" t="str">
        <f ca="1">IF(OR(INDEX($AG$2:$AG$1001,MATCH(ROWS($AF$2:AF135),$AF$2:$AF$1001,0),1)&gt;=100000,INDEX($AM$1005:$BM$1005,1,MATCH(COLUMNS($AM$1006:AM1006),$AM$1006:$BM$1006,0))&gt;=100000), " ",IF(INDEX($AM$2:$BM$1001,MATCH(ROWS($AF$2:AF135),$AF$2:$AF$1001,0),MATCH(COLUMNS($AM$1006:AM1006),$AM$1006:$BM$1006,0)), HYPERLINK("#",""), HYPERLINK(CONCATENATE("#metadata!", ADDRESS(INDEX($AH$2:$AH$1001,MATCH(ROWS($AF$2:AF135),$AF$2:$AF$1001,0),0), INDEX($AM$1004:$BM$1004,1,MATCH(COLUMNS($AM$1006:AM1006),$AM$1006:$BM$1006,0)))),"Fix")))</f>
        <v xml:space="preserve"> </v>
      </c>
      <c r="C135" s="4" t="str">
        <f ca="1">IF(OR(INDEX($AG$2:$AG$1001,MATCH(ROWS($AF$2:AF135),$AF$2:$AF$1001,0),1)&gt;=100000,INDEX($AM$1005:$BM$1005,1,MATCH(COLUMNS($AM$1006:AN1006),$AM$1006:$BM$1006,0))&gt;=100000), " ",IF(INDEX($AM$2:$BM$1001,MATCH(ROWS($AF$2:AF135),$AF$2:$AF$1001,0),MATCH(COLUMNS($AM$1006:AN1006),$AM$1006:$BM$1006,0)), HYPERLINK("#",""), HYPERLINK(CONCATENATE("#metadata!", ADDRESS(INDEX($AH$2:$AH$1001,MATCH(ROWS($AF$2:AF135),$AF$2:$AF$1001,0),0), INDEX($AM$1004:$BM$1004,1,MATCH(COLUMNS($AM$1006:AN1006),$AM$1006:$BM$1006,0)))),"Fix")))</f>
        <v xml:space="preserve"> </v>
      </c>
      <c r="D135" s="4" t="str">
        <f ca="1">IF(OR(INDEX($AG$2:$AG$1001,MATCH(ROWS($AF$2:AF135),$AF$2:$AF$1001,0),1)&gt;=100000,INDEX($AM$1005:$BM$1005,1,MATCH(COLUMNS($AM$1006:AO1006),$AM$1006:$BM$1006,0))&gt;=100000), " ",IF(INDEX($AM$2:$BM$1001,MATCH(ROWS($AF$2:AF135),$AF$2:$AF$1001,0),MATCH(COLUMNS($AM$1006:AO1006),$AM$1006:$BM$1006,0)), HYPERLINK("#",""), HYPERLINK(CONCATENATE("#metadata!", ADDRESS(INDEX($AH$2:$AH$1001,MATCH(ROWS($AF$2:AF135),$AF$2:$AF$1001,0),0), INDEX($AM$1004:$BM$1004,1,MATCH(COLUMNS($AM$1006:AO1006),$AM$1006:$BM$1006,0)))),"Fix")))</f>
        <v xml:space="preserve"> </v>
      </c>
      <c r="E135" s="4" t="str">
        <f ca="1">IF(OR(INDEX($AG$2:$AG$1001,MATCH(ROWS($AF$2:AF135),$AF$2:$AF$1001,0),1)&gt;=100000,INDEX($AM$1005:$BM$1005,1,MATCH(COLUMNS($AM$1006:AP1006),$AM$1006:$BM$1006,0))&gt;=100000), " ",IF(INDEX($AM$2:$BM$1001,MATCH(ROWS($AF$2:AF135),$AF$2:$AF$1001,0),MATCH(COLUMNS($AM$1006:AP1006),$AM$1006:$BM$1006,0)), HYPERLINK("#",""), HYPERLINK(CONCATENATE("#metadata!", ADDRESS(INDEX($AH$2:$AH$1001,MATCH(ROWS($AF$2:AF135),$AF$2:$AF$1001,0),0), INDEX($AM$1004:$BM$1004,1,MATCH(COLUMNS($AM$1006:AP1006),$AM$1006:$BM$1006,0)))),"Fix")))</f>
        <v xml:space="preserve"> </v>
      </c>
      <c r="F135" s="4" t="str">
        <f ca="1">IF(OR(INDEX($AG$2:$AG$1001,MATCH(ROWS($AF$2:AF135),$AF$2:$AF$1001,0),1)&gt;=100000,INDEX($AM$1005:$BM$1005,1,MATCH(COLUMNS($AM$1006:AQ1006),$AM$1006:$BM$1006,0))&gt;=100000), " ",IF(INDEX($AM$2:$BM$1001,MATCH(ROWS($AF$2:AF135),$AF$2:$AF$1001,0),MATCH(COLUMNS($AM$1006:AQ1006),$AM$1006:$BM$1006,0)), HYPERLINK("#",""), HYPERLINK(CONCATENATE("#metadata!", ADDRESS(INDEX($AH$2:$AH$1001,MATCH(ROWS($AF$2:AF135),$AF$2:$AF$1001,0),0), INDEX($AM$1004:$BM$1004,1,MATCH(COLUMNS($AM$1006:AQ1006),$AM$1006:$BM$1006,0)))),"Fix")))</f>
        <v xml:space="preserve"> </v>
      </c>
      <c r="G135" s="4" t="str">
        <f ca="1">IF(OR(INDEX($AG$2:$AG$1001,MATCH(ROWS($AF$2:AF135),$AF$2:$AF$1001,0),1)&gt;=100000,INDEX($AM$1005:$BM$1005,1,MATCH(COLUMNS($AM$1006:AR1006),$AM$1006:$BM$1006,0))&gt;=100000), " ",IF(INDEX($AM$2:$BM$1001,MATCH(ROWS($AF$2:AF135),$AF$2:$AF$1001,0),MATCH(COLUMNS($AM$1006:AR1006),$AM$1006:$BM$1006,0)), HYPERLINK("#",""), HYPERLINK(CONCATENATE("#metadata!", ADDRESS(INDEX($AH$2:$AH$1001,MATCH(ROWS($AF$2:AF135),$AF$2:$AF$1001,0),0), INDEX($AM$1004:$BM$1004,1,MATCH(COLUMNS($AM$1006:AR1006),$AM$1006:$BM$1006,0)))),"Fix")))</f>
        <v xml:space="preserve"> </v>
      </c>
      <c r="H135" s="4" t="str">
        <f ca="1">IF(OR(INDEX($AG$2:$AG$1001,MATCH(ROWS($AF$2:AF135),$AF$2:$AF$1001,0),1)&gt;=100000,INDEX($AM$1005:$BM$1005,1,MATCH(COLUMNS($AM$1006:AS1006),$AM$1006:$BM$1006,0))&gt;=100000), " ",IF(INDEX($AM$2:$BM$1001,MATCH(ROWS($AF$2:AF135),$AF$2:$AF$1001,0),MATCH(COLUMNS($AM$1006:AS1006),$AM$1006:$BM$1006,0)), HYPERLINK("#",""), HYPERLINK(CONCATENATE("#metadata!", ADDRESS(INDEX($AH$2:$AH$1001,MATCH(ROWS($AF$2:AF135),$AF$2:$AF$1001,0),0), INDEX($AM$1004:$BM$1004,1,MATCH(COLUMNS($AM$1006:AS1006),$AM$1006:$BM$1006,0)))),"Fix")))</f>
        <v xml:space="preserve"> </v>
      </c>
      <c r="I135" s="4" t="str">
        <f ca="1">IF(OR(INDEX($AG$2:$AG$1001,MATCH(ROWS($AF$2:AF135),$AF$2:$AF$1001,0),1)&gt;=100000,INDEX($AM$1005:$BM$1005,1,MATCH(COLUMNS($AM$1006:AT1006),$AM$1006:$BM$1006,0))&gt;=100000), " ",IF(INDEX($AM$2:$BM$1001,MATCH(ROWS($AF$2:AF135),$AF$2:$AF$1001,0),MATCH(COLUMNS($AM$1006:AT1006),$AM$1006:$BM$1006,0)), HYPERLINK("#",""), HYPERLINK(CONCATENATE("#metadata!", ADDRESS(INDEX($AH$2:$AH$1001,MATCH(ROWS($AF$2:AF135),$AF$2:$AF$1001,0),0), INDEX($AM$1004:$BM$1004,1,MATCH(COLUMNS($AM$1006:AT1006),$AM$1006:$BM$1006,0)))),"Fix")))</f>
        <v xml:space="preserve"> </v>
      </c>
      <c r="J135" s="4" t="str">
        <f ca="1">IF(OR(INDEX($AG$2:$AG$1001,MATCH(ROWS($AF$2:AF135),$AF$2:$AF$1001,0),1)&gt;=100000,INDEX($AM$1005:$BM$1005,1,MATCH(COLUMNS($AM$1006:AU1006),$AM$1006:$BM$1006,0))&gt;=100000), " ",IF(INDEX($AM$2:$BM$1001,MATCH(ROWS($AF$2:AF135),$AF$2:$AF$1001,0),MATCH(COLUMNS($AM$1006:AU1006),$AM$1006:$BM$1006,0)), HYPERLINK("#",""), HYPERLINK(CONCATENATE("#metadata!", ADDRESS(INDEX($AH$2:$AH$1001,MATCH(ROWS($AF$2:AF135),$AF$2:$AF$1001,0),0), INDEX($AM$1004:$BM$1004,1,MATCH(COLUMNS($AM$1006:AU1006),$AM$1006:$BM$1006,0)))),"Fix")))</f>
        <v xml:space="preserve"> </v>
      </c>
      <c r="K135" s="4" t="str">
        <f ca="1">IF(OR(INDEX($AG$2:$AG$1001,MATCH(ROWS($AF$2:AF135),$AF$2:$AF$1001,0),1)&gt;=100000,INDEX($AM$1005:$BM$1005,1,MATCH(COLUMNS($AM$1006:AV1006),$AM$1006:$BM$1006,0))&gt;=100000), " ",IF(INDEX($AM$2:$BM$1001,MATCH(ROWS($AF$2:AF135),$AF$2:$AF$1001,0),MATCH(COLUMNS($AM$1006:AV1006),$AM$1006:$BM$1006,0)), HYPERLINK("#",""), HYPERLINK(CONCATENATE("#metadata!", ADDRESS(INDEX($AH$2:$AH$1001,MATCH(ROWS($AF$2:AF135),$AF$2:$AF$1001,0),0), INDEX($AM$1004:$BM$1004,1,MATCH(COLUMNS($AM$1006:AV1006),$AM$1006:$BM$1006,0)))),"Fix")))</f>
        <v xml:space="preserve"> </v>
      </c>
      <c r="L135" s="4" t="str">
        <f ca="1">IF(OR(INDEX($AG$2:$AG$1001,MATCH(ROWS($AF$2:AF135),$AF$2:$AF$1001,0),1)&gt;=100000,INDEX($AM$1005:$BM$1005,1,MATCH(COLUMNS($AM$1006:AW1006),$AM$1006:$BM$1006,0))&gt;=100000), " ",IF(INDEX($AM$2:$BM$1001,MATCH(ROWS($AF$2:AF135),$AF$2:$AF$1001,0),MATCH(COLUMNS($AM$1006:AW1006),$AM$1006:$BM$1006,0)), HYPERLINK("#",""), HYPERLINK(CONCATENATE("#metadata!", ADDRESS(INDEX($AH$2:$AH$1001,MATCH(ROWS($AF$2:AF135),$AF$2:$AF$1001,0),0), INDEX($AM$1004:$BM$1004,1,MATCH(COLUMNS($AM$1006:AW1006),$AM$1006:$BM$1006,0)))),"Fix")))</f>
        <v xml:space="preserve"> </v>
      </c>
      <c r="M135" s="4" t="str">
        <f ca="1">IF(OR(INDEX($AG$2:$AG$1001,MATCH(ROWS($AF$2:AF135),$AF$2:$AF$1001,0),1)&gt;=100000,INDEX($AM$1005:$BM$1005,1,MATCH(COLUMNS($AM$1006:AX1006),$AM$1006:$BM$1006,0))&gt;=100000), " ",IF(INDEX($AM$2:$BM$1001,MATCH(ROWS($AF$2:AF135),$AF$2:$AF$1001,0),MATCH(COLUMNS($AM$1006:AX1006),$AM$1006:$BM$1006,0)), HYPERLINK("#",""), HYPERLINK(CONCATENATE("#metadata!", ADDRESS(INDEX($AH$2:$AH$1001,MATCH(ROWS($AF$2:AF135),$AF$2:$AF$1001,0),0), INDEX($AM$1004:$BM$1004,1,MATCH(COLUMNS($AM$1006:AX1006),$AM$1006:$BM$1006,0)))),"Fix")))</f>
        <v xml:space="preserve"> </v>
      </c>
      <c r="N135" s="4" t="str">
        <f ca="1">IF(OR(INDEX($AG$2:$AG$1001,MATCH(ROWS($AF$2:AF135),$AF$2:$AF$1001,0),1)&gt;=100000,INDEX($AM$1005:$BM$1005,1,MATCH(COLUMNS($AM$1006:AY1006),$AM$1006:$BM$1006,0))&gt;=100000), " ",IF(INDEX($AM$2:$BM$1001,MATCH(ROWS($AF$2:AF135),$AF$2:$AF$1001,0),MATCH(COLUMNS($AM$1006:AY1006),$AM$1006:$BM$1006,0)), HYPERLINK("#",""), HYPERLINK(CONCATENATE("#metadata!", ADDRESS(INDEX($AH$2:$AH$1001,MATCH(ROWS($AF$2:AF135),$AF$2:$AF$1001,0),0), INDEX($AM$1004:$BM$1004,1,MATCH(COLUMNS($AM$1006:AY1006),$AM$1006:$BM$1006,0)))),"Fix")))</f>
        <v xml:space="preserve"> </v>
      </c>
      <c r="O135" s="4" t="str">
        <f ca="1">IF(OR(INDEX($AG$2:$AG$1001,MATCH(ROWS($AF$2:AF135),$AF$2:$AF$1001,0),1)&gt;=100000,INDEX($AM$1005:$BM$1005,1,MATCH(COLUMNS($AM$1006:AZ1006),$AM$1006:$BM$1006,0))&gt;=100000), " ",IF(INDEX($AM$2:$BM$1001,MATCH(ROWS($AF$2:AF135),$AF$2:$AF$1001,0),MATCH(COLUMNS($AM$1006:AZ1006),$AM$1006:$BM$1006,0)), HYPERLINK("#",""), HYPERLINK(CONCATENATE("#metadata!", ADDRESS(INDEX($AH$2:$AH$1001,MATCH(ROWS($AF$2:AF135),$AF$2:$AF$1001,0),0), INDEX($AM$1004:$BM$1004,1,MATCH(COLUMNS($AM$1006:AZ1006),$AM$1006:$BM$1006,0)))),"Fix")))</f>
        <v xml:space="preserve"> </v>
      </c>
      <c r="P135" s="4" t="str">
        <f ca="1">IF(OR(INDEX($AG$2:$AG$1001,MATCH(ROWS($AF$2:AF135),$AF$2:$AF$1001,0),1)&gt;=100000,INDEX($AM$1005:$BM$1005,1,MATCH(COLUMNS($AM$1006:BA1006),$AM$1006:$BM$1006,0))&gt;=100000), " ",IF(INDEX($AM$2:$BM$1001,MATCH(ROWS($AF$2:AF135),$AF$2:$AF$1001,0),MATCH(COLUMNS($AM$1006:BA1006),$AM$1006:$BM$1006,0)), HYPERLINK("#",""), HYPERLINK(CONCATENATE("#metadata!", ADDRESS(INDEX($AH$2:$AH$1001,MATCH(ROWS($AF$2:AF135),$AF$2:$AF$1001,0),0), INDEX($AM$1004:$BM$1004,1,MATCH(COLUMNS($AM$1006:BA1006),$AM$1006:$BM$1006,0)))),"Fix")))</f>
        <v xml:space="preserve"> </v>
      </c>
      <c r="Q135" s="4" t="str">
        <f ca="1">IF(OR(INDEX($AG$2:$AG$1001,MATCH(ROWS($AF$2:AF135),$AF$2:$AF$1001,0),1)&gt;=100000,INDEX($AM$1005:$BM$1005,1,MATCH(COLUMNS($AM$1006:BB1006),$AM$1006:$BM$1006,0))&gt;=100000), " ",IF(INDEX($AM$2:$BM$1001,MATCH(ROWS($AF$2:AF135),$AF$2:$AF$1001,0),MATCH(COLUMNS($AM$1006:BB1006),$AM$1006:$BM$1006,0)), HYPERLINK("#",""), HYPERLINK(CONCATENATE("#metadata!", ADDRESS(INDEX($AH$2:$AH$1001,MATCH(ROWS($AF$2:AF135),$AF$2:$AF$1001,0),0), INDEX($AM$1004:$BM$1004,1,MATCH(COLUMNS($AM$1006:BB1006),$AM$1006:$BM$1006,0)))),"Fix")))</f>
        <v xml:space="preserve"> </v>
      </c>
      <c r="R135" s="4" t="str">
        <f ca="1">IF(OR(INDEX($AG$2:$AG$1001,MATCH(ROWS($AF$2:AF135),$AF$2:$AF$1001,0),1)&gt;=100000,INDEX($AM$1005:$BM$1005,1,MATCH(COLUMNS($AM$1006:BC1006),$AM$1006:$BM$1006,0))&gt;=100000), " ",IF(INDEX($AM$2:$BM$1001,MATCH(ROWS($AF$2:AF135),$AF$2:$AF$1001,0),MATCH(COLUMNS($AM$1006:BC1006),$AM$1006:$BM$1006,0)), HYPERLINK("#",""), HYPERLINK(CONCATENATE("#metadata!", ADDRESS(INDEX($AH$2:$AH$1001,MATCH(ROWS($AF$2:AF135),$AF$2:$AF$1001,0),0), INDEX($AM$1004:$BM$1004,1,MATCH(COLUMNS($AM$1006:BC1006),$AM$1006:$BM$1006,0)))),"Fix")))</f>
        <v xml:space="preserve"> </v>
      </c>
      <c r="S135" s="4" t="str">
        <f ca="1">IF(OR(INDEX($AG$2:$AG$1001,MATCH(ROWS($AF$2:AF135),$AF$2:$AF$1001,0),1)&gt;=100000,INDEX($AM$1005:$BM$1005,1,MATCH(COLUMNS($AM$1006:BD1006),$AM$1006:$BM$1006,0))&gt;=100000), " ",IF(INDEX($AM$2:$BM$1001,MATCH(ROWS($AF$2:AF135),$AF$2:$AF$1001,0),MATCH(COLUMNS($AM$1006:BD1006),$AM$1006:$BM$1006,0)), HYPERLINK("#",""), HYPERLINK(CONCATENATE("#metadata!", ADDRESS(INDEX($AH$2:$AH$1001,MATCH(ROWS($AF$2:AF135),$AF$2:$AF$1001,0),0), INDEX($AM$1004:$BM$1004,1,MATCH(COLUMNS($AM$1006:BD1006),$AM$1006:$BM$1006,0)))),"Fix")))</f>
        <v xml:space="preserve"> </v>
      </c>
      <c r="T135" s="4" t="str">
        <f ca="1">IF(OR(INDEX($AG$2:$AG$1001,MATCH(ROWS($AF$2:AF135),$AF$2:$AF$1001,0),1)&gt;=100000,INDEX($AM$1005:$BM$1005,1,MATCH(COLUMNS($AM$1006:BE1006),$AM$1006:$BM$1006,0))&gt;=100000), " ",IF(INDEX($AM$2:$BM$1001,MATCH(ROWS($AF$2:AF135),$AF$2:$AF$1001,0),MATCH(COLUMNS($AM$1006:BE1006),$AM$1006:$BM$1006,0)), HYPERLINK("#",""), HYPERLINK(CONCATENATE("#metadata!", ADDRESS(INDEX($AH$2:$AH$1001,MATCH(ROWS($AF$2:AF135),$AF$2:$AF$1001,0),0), INDEX($AM$1004:$BM$1004,1,MATCH(COLUMNS($AM$1006:BE1006),$AM$1006:$BM$1006,0)))),"Fix")))</f>
        <v xml:space="preserve"> </v>
      </c>
      <c r="U135" s="4" t="str">
        <f ca="1">IF(OR(INDEX($AG$2:$AG$1001,MATCH(ROWS($AF$2:AF135),$AF$2:$AF$1001,0),1)&gt;=100000,INDEX($AM$1005:$BM$1005,1,MATCH(COLUMNS($AM$1006:BF1006),$AM$1006:$BM$1006,0))&gt;=100000), " ",IF(INDEX($AM$2:$BM$1001,MATCH(ROWS($AF$2:AF135),$AF$2:$AF$1001,0),MATCH(COLUMNS($AM$1006:BF1006),$AM$1006:$BM$1006,0)), HYPERLINK("#",""), HYPERLINK(CONCATENATE("#metadata!", ADDRESS(INDEX($AH$2:$AH$1001,MATCH(ROWS($AF$2:AF135),$AF$2:$AF$1001,0),0), INDEX($AM$1004:$BM$1004,1,MATCH(COLUMNS($AM$1006:BF1006),$AM$1006:$BM$1006,0)))),"Fix")))</f>
        <v xml:space="preserve"> </v>
      </c>
      <c r="V135" s="4" t="str">
        <f ca="1">IF(OR(INDEX($AG$2:$AG$1001,MATCH(ROWS($AF$2:AF135),$AF$2:$AF$1001,0),1)&gt;=100000,INDEX($AM$1005:$BM$1005,1,MATCH(COLUMNS($AM$1006:BG1006),$AM$1006:$BM$1006,0))&gt;=100000), " ",IF(INDEX($AM$2:$BM$1001,MATCH(ROWS($AF$2:AF135),$AF$2:$AF$1001,0),MATCH(COLUMNS($AM$1006:BG1006),$AM$1006:$BM$1006,0)), HYPERLINK("#",""), HYPERLINK(CONCATENATE("#metadata!", ADDRESS(INDEX($AH$2:$AH$1001,MATCH(ROWS($AF$2:AF135),$AF$2:$AF$1001,0),0), INDEX($AM$1004:$BM$1004,1,MATCH(COLUMNS($AM$1006:BG1006),$AM$1006:$BM$1006,0)))),"Fix")))</f>
        <v xml:space="preserve"> </v>
      </c>
      <c r="W135" s="4" t="str">
        <f ca="1">IF(OR(INDEX($AG$2:$AG$1001,MATCH(ROWS($AF$2:AF135),$AF$2:$AF$1001,0),1)&gt;=100000,INDEX($AM$1005:$BM$1005,1,MATCH(COLUMNS($AM$1006:BH1006),$AM$1006:$BM$1006,0))&gt;=100000), " ",IF(INDEX($AM$2:$BM$1001,MATCH(ROWS($AF$2:AF135),$AF$2:$AF$1001,0),MATCH(COLUMNS($AM$1006:BH1006),$AM$1006:$BM$1006,0)), HYPERLINK("#",""), HYPERLINK(CONCATENATE("#metadata!", ADDRESS(INDEX($AH$2:$AH$1001,MATCH(ROWS($AF$2:AF135),$AF$2:$AF$1001,0),0), INDEX($AM$1004:$BM$1004,1,MATCH(COLUMNS($AM$1006:BH1006),$AM$1006:$BM$1006,0)))),"Fix")))</f>
        <v xml:space="preserve"> </v>
      </c>
      <c r="X135" s="4" t="str">
        <f ca="1">IF(OR(INDEX($AG$2:$AG$1001,MATCH(ROWS($AF$2:AF135),$AF$2:$AF$1001,0),1)&gt;=100000,INDEX($AM$1005:$BM$1005,1,MATCH(COLUMNS($AM$1006:BI1006),$AM$1006:$BM$1006,0))&gt;=100000), " ",IF(INDEX($AM$2:$BM$1001,MATCH(ROWS($AF$2:AF135),$AF$2:$AF$1001,0),MATCH(COLUMNS($AM$1006:BI1006),$AM$1006:$BM$1006,0)), HYPERLINK("#",""), HYPERLINK(CONCATENATE("#metadata!", ADDRESS(INDEX($AH$2:$AH$1001,MATCH(ROWS($AF$2:AF135),$AF$2:$AF$1001,0),0), INDEX($AM$1004:$BM$1004,1,MATCH(COLUMNS($AM$1006:BI1006),$AM$1006:$BM$1006,0)))),"Fix")))</f>
        <v xml:space="preserve"> </v>
      </c>
      <c r="Y135" s="4" t="str">
        <f ca="1">IF(OR(INDEX($AG$2:$AG$1001,MATCH(ROWS($AF$2:AF135),$AF$2:$AF$1001,0),1)&gt;=100000,INDEX($AM$1005:$BM$1005,1,MATCH(COLUMNS($AM$1006:BJ1006),$AM$1006:$BM$1006,0))&gt;=100000), " ",IF(INDEX($AM$2:$BM$1001,MATCH(ROWS($AF$2:AF135),$AF$2:$AF$1001,0),MATCH(COLUMNS($AM$1006:BJ1006),$AM$1006:$BM$1006,0)), HYPERLINK("#",""), HYPERLINK(CONCATENATE("#metadata!", ADDRESS(INDEX($AH$2:$AH$1001,MATCH(ROWS($AF$2:AF135),$AF$2:$AF$1001,0),0), INDEX($AM$1004:$BM$1004,1,MATCH(COLUMNS($AM$1006:BJ1006),$AM$1006:$BM$1006,0)))),"Fix")))</f>
        <v xml:space="preserve"> </v>
      </c>
      <c r="Z135" s="4" t="str">
        <f ca="1">IF(OR(INDEX($AG$2:$AG$1001,MATCH(ROWS($AF$2:AF135),$AF$2:$AF$1001,0),1)&gt;=100000,INDEX($AM$1005:$BM$1005,1,MATCH(COLUMNS($AM$1006:BK1006),$AM$1006:$BM$1006,0))&gt;=100000), " ",IF(INDEX($AM$2:$BM$1001,MATCH(ROWS($AF$2:AF135),$AF$2:$AF$1001,0),MATCH(COLUMNS($AM$1006:BK1006),$AM$1006:$BM$1006,0)), HYPERLINK("#",""), HYPERLINK(CONCATENATE("#metadata!", ADDRESS(INDEX($AH$2:$AH$1001,MATCH(ROWS($AF$2:AF135),$AF$2:$AF$1001,0),0), INDEX($AM$1004:$BM$1004,1,MATCH(COLUMNS($AM$1006:BK1006),$AM$1006:$BM$1006,0)))),"Fix")))</f>
        <v xml:space="preserve"> </v>
      </c>
      <c r="AA135" s="4" t="str">
        <f ca="1">IF(OR(INDEX($AG$2:$AG$1001,MATCH(ROWS($AF$2:AF135),$AF$2:$AF$1001,0),1)&gt;=100000,INDEX($AM$1005:$BM$1005,1,MATCH(COLUMNS($AM$1006:BL1006),$AM$1006:$BM$1006,0))&gt;=100000), " ",IF(INDEX($AM$2:$BM$1001,MATCH(ROWS($AF$2:AF135),$AF$2:$AF$1001,0),MATCH(COLUMNS($AM$1006:BL1006),$AM$1006:$BM$1006,0)), HYPERLINK("#",""), HYPERLINK(CONCATENATE("#metadata!", ADDRESS(INDEX($AH$2:$AH$1001,MATCH(ROWS($AF$2:AF135),$AF$2:$AF$1001,0),0), INDEX($AM$1004:$BM$1004,1,MATCH(COLUMNS($AM$1006:BL1006),$AM$1006:$BM$1006,0)))),"Fix")))</f>
        <v xml:space="preserve"> </v>
      </c>
      <c r="AB135" s="4" t="str">
        <f ca="1">IF(OR(INDEX($AG$2:$AG$1001,MATCH(ROWS($AF$2:AF135),$AF$2:$AF$1001,0),1)&gt;=100000,INDEX($AM$1005:$BM$1005,1,MATCH(COLUMNS($AM$1006:BM1006),$AM$1006:$BM$1006,0))&gt;=100000), " ",IF(INDEX($AM$2:$BM$1001,MATCH(ROWS($AF$2:AF135),$AF$2:$AF$1001,0),MATCH(COLUMNS($AM$1006:BM1006),$AM$1006:$BM$1006,0)), HYPERLINK("#",""), HYPERLINK(CONCATENATE("#metadata!", ADDRESS(INDEX($AH$2:$AH$1001,MATCH(ROWS($AF$2:AF135),$AF$2:$AF$1001,0),0), INDEX($AM$1004:$BM$1004,1,MATCH(COLUMNS($AM$1006:BM1006),$AM$1006:$BM$1006,0)))),"Fix")))</f>
        <v xml:space="preserve"> </v>
      </c>
      <c r="AF135">
        <v>134</v>
      </c>
      <c r="AG135">
        <v>100135</v>
      </c>
      <c r="AH135">
        <v>135</v>
      </c>
      <c r="AI135" t="b">
        <f t="shared" si="2"/>
        <v>1</v>
      </c>
      <c r="AJ135" t="b">
        <f>COUNTBLANK(metadata!B135:AB135)=COLUMNS(metadata!B135:AB135)</f>
        <v>1</v>
      </c>
      <c r="AK135" t="str">
        <v/>
      </c>
      <c r="AM135" t="b">
        <f ca="1">AND(IF(metadata!B135="",FALSE,TRUE),COUNTIF(metadata!B:B, metadata!B135) = 1,NOT(ISERROR(SUMPRODUCT(SEARCH(MID(metadata!B135,ROW(INDIRECT("1:"&amp;LEN(metadata!B135))), 1),"0123456789abcdefghijklmnopqrstuvwxyzABCDEFGHIJKLMNOPQRSTUVWXYZ.")))))</f>
        <v>0</v>
      </c>
      <c r="AN135" t="b">
        <f ca="1">OR(AND(IF(metadata!C135="",FALSE,TRUE),OR(EXACT(metadata!C135,"missing: not collected"),EXACT(metadata!C135,"missing: not provided"),EXACT(metadata!C135,"missing: restricted access"))),AND(IF(metadata!C135="",FALSE,TRUE),AND(AND(IFERROR(INT(LEFT(metadata!C135,4))&gt;1900,FALSE),IFERROR(INT(LEFT(metadata!C135,4))&lt;=YEAR(NOW()),FALSE)), OR(MID(metadata!C135,5,1)="", AND(AND(MID(metadata!C135,5,1)="-",IFERROR(INT(MID(metadata!C135,6,1))&gt;=0,FALSE),IFERROR(INT(MID(metadata!C135,6,1))&lt;=1,FALSE),NOT(MID(metadata!C135,7,1)=""),IFERROR(INT(MID(metadata!C135,6,2))&gt;=1,FALSE),IFERROR(INT(MID(metadata!C135,6,2))&lt;=12,FALSE)), OR(MID(metadata!C135,8,1)="", AND(AND(MID(metadata!C135,8,1)="-",IFERROR(INT(MID(metadata!C135,9,1))&gt;=0,FALSE),IFERROR(INT(MID(metadata!C135,9,1))&lt;=3,FALSE),NOT(MID(metadata!C135,10,1)=""),IFERROR(INT(MID(metadata!C135,9,2))&gt;=1,FALSE),IFERROR(INT(MID(metadata!C135,9,2))&lt;=31,FALSE)), OR(MID(metadata!C135,11,1)="", AND(AND(MID(metadata!C135,11,1)=" ",IFERROR(INT(MID(metadata!C135,12,1))&gt;=0,FALSE),IFERROR(INT(MID(metadata!C135,12,1))&lt;=2,FALSE),NOT(MID(metadata!C135,13,1)=""),IFERROR(INT(MID(metadata!C135,12,2))&gt;=0,FALSE),IFERROR(INT(MID(metadata!C135,12,2))&lt;=23,FALSE)), OR(MID(metadata!C135,14,1)="", AND(AND(MID(metadata!C135,14,1)=":",IFERROR(INT(MID(metadata!C135,15,1))&gt;=0,FALSE),IFERROR(INT(MID(metadata!C135,15,1))&lt;=5,FALSE),NOT(MID(metadata!C135,16,1)=""),IFERROR(INT(MID(metadata!C135,15,2))&gt;=0,FALSE),IFERROR(INT(MID(metadata!C135,15,2))&lt;=59,FALSE)), OR(MID(metadata!C135,17,1)="", AND(AND(MID(metadata!C135,17,1)=":",IFERROR(INT(MID(metadata!C135,18,1))&gt;=0,FALSE),IFERROR(INT(MID(metadata!C135,18,1))&lt;=5,FALSE),NOT(MID(metadata!C135,19,1)=""),IFERROR(INT(MID(metadata!C135,18,2))&gt;=0,FALSE),IFERROR(INT(MID(metadata!C135,18,2))&lt;=59,FALSE)), LEN(metadata!C135)&lt;=19)))))))))))))</f>
        <v>0</v>
      </c>
      <c r="AO135" t="b">
        <f>AND(IF(metadata!D135="",FALSE,TRUE),EXACT(metadata!D135,"Not applicable"))</f>
        <v>0</v>
      </c>
      <c r="AP135" t="b">
        <f>IF(metadata!E135="",FALSE,TRUE)</f>
        <v>0</v>
      </c>
      <c r="AQ135" t="b">
        <f>OR(AND(IF(metadata!F135="",FALSE,TRUE),OR(EXACT(metadata!F135,"missing: not collected"),EXACT(metadata!F135,"missing: not provided"))),AND(IF(metadata!F135="",FALSE,TRUE),OR(EXACT(metadata!F135,"TRUE"),EXACT(metadata!F135,"FALSE"))))</f>
        <v>0</v>
      </c>
      <c r="AR135" t="b">
        <f>OR(AND(IF(metadata!G135="",FALSE,TRUE),OR(EXACT(metadata!G135,"missing: not collected"),EXACT(metadata!G135,"missing: not provided"),EXACT(metadata!G135,"missing: restricted access"))),AND(IF(metadata!G135="",FALSE,ISNUMBER(VALUE(metadata!G135))),metadata!G135&gt;=-413))</f>
        <v>0</v>
      </c>
      <c r="AS135" t="b">
        <f>AND(IF(metadata!H135="",FALSE,TRUE),EXACT(metadata!H135,"meters"))</f>
        <v>0</v>
      </c>
      <c r="AT135" t="b">
        <f>AND(IF(metadata!I135="",FALSE,TRUE),OR(EXACT(metadata!I135,"Host-associated"),EXACT(metadata!I135,"Free-living")))</f>
        <v>0</v>
      </c>
      <c r="AU135" t="b">
        <f>AND(IF(metadata!J135="",FALSE,TRUE),OR(EXACT(metadata!J135,"Animal"),EXACT(metadata!J135,"Fungus"),EXACT(metadata!J135,"Plant"),EXACT(metadata!J135,"Saline"),EXACT(metadata!J135,"Non-saline")))</f>
        <v>0</v>
      </c>
      <c r="AV135" t="b">
        <f>AND(IF(metadata!K135="",FALSE,TRUE),OR(EXACT(metadata!K135,"Plant secretion"),EXACT(metadata!K135,"Plant rhizosphere"),EXACT(metadata!K135,"Plant surface"),EXACT(metadata!K135,"Plant corpus"),EXACT(metadata!K135,"Fungus surface"),EXACT(metadata!K135,"Fungus corpus"),EXACT(metadata!K135,"Animal surface"),EXACT(metadata!K135,"Animal proximal gut"),EXACT(metadata!K135,"Animal corpus"),EXACT(metadata!K135,"Animal distal gut"),EXACT(metadata!K135,"Animal secretion"),EXACT(metadata!K135,"Sub-surface (non-saline)"),EXACT(metadata!K135,"Surface (non-saline)"),EXACT(metadata!K135,"Water (non-saline)"),EXACT(metadata!K135,"Soil (non-saline)"),EXACT(metadata!K135,"Aerosol (non-saline)"),EXACT(metadata!K135,"Sediment (non-saline)"),EXACT(metadata!K135,"Surface (saline)"),EXACT(metadata!K135,"Water (saline)"),EXACT(metadata!K135,"Hypersaline (saline)"),EXACT(metadata!K135,"Aerosol (saline)"),EXACT(metadata!K135,"Sediment (saline)")))</f>
        <v>0</v>
      </c>
      <c r="AW135" t="b">
        <f>IF(metadata!L135="",FALSE,TRUE)</f>
        <v>0</v>
      </c>
      <c r="AX135" t="b">
        <f>IF(metadata!M135="",FALSE,TRUE)</f>
        <v>0</v>
      </c>
      <c r="AY135" t="b">
        <f>IF(metadata!N135="",FALSE,TRUE)</f>
        <v>0</v>
      </c>
      <c r="AZ135" t="b">
        <f>OR(AND(IF(metadata!O135="",FALSE,TRUE),OR(EXACT(metadata!O135,"missing: not collected"),EXACT(metadata!O135,"missing: not provided"),EXACT(metadata!O135,"missing: restricted access"))),AND(IF(metadata!O135="",FALSE,TRUE),OR(EXACT(metadata!O135,"air"),EXACT(metadata!O135,"built environment"),EXACT(metadata!O135,"host-associated"),EXACT(metadata!O135,"human-associated"),EXACT(metadata!O135,"human-skin"),EXACT(metadata!O135,"human-oral"),EXACT(metadata!O135,"human-gut"),EXACT(metadata!O135,"human-vaginal"),EXACT(metadata!O135,"microbial mat/biofilm"),EXACT(metadata!O135,"misc environment"),EXACT(metadata!O135,"plant-associated"),EXACT(metadata!O135,"sediment"),EXACT(metadata!O135,"soil"),EXACT(metadata!O135,"wastewater/sludge"),EXACT(metadata!O135,"water"))))</f>
        <v>0</v>
      </c>
      <c r="BA135" t="b">
        <f>IF(metadata!P135="",FALSE,TRUE)</f>
        <v>0</v>
      </c>
      <c r="BB135" t="b">
        <f>IF(metadata!Q135="",FALSE,TRUE)</f>
        <v>0</v>
      </c>
      <c r="BC135" t="b">
        <f>OR(AND(IF(metadata!R135="",FALSE,TRUE),OR(EXACT(metadata!R135,"missing: not collected"),EXACT(metadata!R135,"missing: not provided"),EXACT(metadata!R135,"missing: restricted access"))),AND(IF(metadata!R135="",FALSE,ISNUMBER(VALUE(metadata!R135))),metadata!R135&gt;=-90,metadata!R135&lt;=90))</f>
        <v>0</v>
      </c>
      <c r="BD135" t="b">
        <f>AND(IF(metadata!S135="",FALSE,TRUE),EXACT(metadata!S135,"Decimal degrees"))</f>
        <v>0</v>
      </c>
      <c r="BE135" t="b">
        <f>OR(AND(IF(metadata!T135="",FALSE,TRUE),OR(EXACT(metadata!T135,"missing: not collected"),EXACT(metadata!T135,"missing: not provided"),EXACT(metadata!T135,"missing: restricted access"))),AND(IF(metadata!T135="",FALSE,ISNUMBER(VALUE(metadata!T135))),metadata!T135&gt;=-180,metadata!T135&lt;=180))</f>
        <v>0</v>
      </c>
      <c r="BF135" t="b">
        <f>AND(IF(metadata!U135="",FALSE,TRUE),EXACT(metadata!U135,"Decimal degrees"))</f>
        <v>0</v>
      </c>
      <c r="BG135" t="b">
        <f>IF(metadata!V135="",FALSE,TRUE)</f>
        <v>0</v>
      </c>
      <c r="BH135" t="b">
        <f>OR(AND(IF(metadata!W135="",FALSE,TRUE),OR(EXACT(metadata!W135,"missing: not collected"),EXACT(metadata!W135,"missing: not provided"),EXACT(metadata!W135,"missing: restricted access"))),AND(IF(metadata!W135="",FALSE,TRUE),OR(EXACT(metadata!W135,"TRUE"),EXACT(metadata!W135,"FALSE"))))</f>
        <v>0</v>
      </c>
      <c r="BI135" t="b">
        <f>AND(IF(metadata!X135="",FALSE,TRUE),EXACT(metadata!X135,"other"))</f>
        <v>0</v>
      </c>
      <c r="BJ135" t="b">
        <f>IF(metadata!Y135="",FALSE,TRUE)</f>
        <v>0</v>
      </c>
      <c r="BK135" t="b">
        <f>OR(AND(IF(metadata!Z135="",FALSE,TRUE),OR(EXACT(metadata!Z135,"missing: not collected"),EXACT(metadata!Z135,"missing: not provided"))),AND(IF(metadata!Z135="",FALSE,IF(ISERROR(INT(metadata!Z135)),FALSE,INT(metadata!Z135)=metadata!Z135)),metadata!Z135&gt;0))</f>
        <v>0</v>
      </c>
      <c r="BL135" t="b">
        <f>AND(IF(metadata!AA135="",FALSE,TRUE),EXACT(metadata!AA135,"Not applicable"))</f>
        <v>0</v>
      </c>
      <c r="BM135" t="b">
        <f>IF(metadata!AB135="",FALSE,TRUE)</f>
        <v>0</v>
      </c>
    </row>
    <row r="136" spans="1:65" x14ac:dyDescent="0.2">
      <c r="A136" s="5" t="str">
        <f ca="1">IF(B136=" "," ",HYPERLINK(CONCATENATE("#metadata!",ADDRESS(INDEX($AH$2:$AH$1001,MATCH(ROWS($AF$2:AF136),$AF$2:$AF$1001,0),0),1)),INDEX($AK$2:$AK$1001,MATCH(ROWS($AF$2:AF136),$AF$2:$AF$1001,0),0)))</f>
        <v xml:space="preserve"> </v>
      </c>
      <c r="B136" s="4" t="str">
        <f ca="1">IF(OR(INDEX($AG$2:$AG$1001,MATCH(ROWS($AF$2:AF136),$AF$2:$AF$1001,0),1)&gt;=100000,INDEX($AM$1005:$BM$1005,1,MATCH(COLUMNS($AM$1006:AM1006),$AM$1006:$BM$1006,0))&gt;=100000), " ",IF(INDEX($AM$2:$BM$1001,MATCH(ROWS($AF$2:AF136),$AF$2:$AF$1001,0),MATCH(COLUMNS($AM$1006:AM1006),$AM$1006:$BM$1006,0)), HYPERLINK("#",""), HYPERLINK(CONCATENATE("#metadata!", ADDRESS(INDEX($AH$2:$AH$1001,MATCH(ROWS($AF$2:AF136),$AF$2:$AF$1001,0),0), INDEX($AM$1004:$BM$1004,1,MATCH(COLUMNS($AM$1006:AM1006),$AM$1006:$BM$1006,0)))),"Fix")))</f>
        <v xml:space="preserve"> </v>
      </c>
      <c r="C136" s="4" t="str">
        <f ca="1">IF(OR(INDEX($AG$2:$AG$1001,MATCH(ROWS($AF$2:AF136),$AF$2:$AF$1001,0),1)&gt;=100000,INDEX($AM$1005:$BM$1005,1,MATCH(COLUMNS($AM$1006:AN1006),$AM$1006:$BM$1006,0))&gt;=100000), " ",IF(INDEX($AM$2:$BM$1001,MATCH(ROWS($AF$2:AF136),$AF$2:$AF$1001,0),MATCH(COLUMNS($AM$1006:AN1006),$AM$1006:$BM$1006,0)), HYPERLINK("#",""), HYPERLINK(CONCATENATE("#metadata!", ADDRESS(INDEX($AH$2:$AH$1001,MATCH(ROWS($AF$2:AF136),$AF$2:$AF$1001,0),0), INDEX($AM$1004:$BM$1004,1,MATCH(COLUMNS($AM$1006:AN1006),$AM$1006:$BM$1006,0)))),"Fix")))</f>
        <v xml:space="preserve"> </v>
      </c>
      <c r="D136" s="4" t="str">
        <f ca="1">IF(OR(INDEX($AG$2:$AG$1001,MATCH(ROWS($AF$2:AF136),$AF$2:$AF$1001,0),1)&gt;=100000,INDEX($AM$1005:$BM$1005,1,MATCH(COLUMNS($AM$1006:AO1006),$AM$1006:$BM$1006,0))&gt;=100000), " ",IF(INDEX($AM$2:$BM$1001,MATCH(ROWS($AF$2:AF136),$AF$2:$AF$1001,0),MATCH(COLUMNS($AM$1006:AO1006),$AM$1006:$BM$1006,0)), HYPERLINK("#",""), HYPERLINK(CONCATENATE("#metadata!", ADDRESS(INDEX($AH$2:$AH$1001,MATCH(ROWS($AF$2:AF136),$AF$2:$AF$1001,0),0), INDEX($AM$1004:$BM$1004,1,MATCH(COLUMNS($AM$1006:AO1006),$AM$1006:$BM$1006,0)))),"Fix")))</f>
        <v xml:space="preserve"> </v>
      </c>
      <c r="E136" s="4" t="str">
        <f ca="1">IF(OR(INDEX($AG$2:$AG$1001,MATCH(ROWS($AF$2:AF136),$AF$2:$AF$1001,0),1)&gt;=100000,INDEX($AM$1005:$BM$1005,1,MATCH(COLUMNS($AM$1006:AP1006),$AM$1006:$BM$1006,0))&gt;=100000), " ",IF(INDEX($AM$2:$BM$1001,MATCH(ROWS($AF$2:AF136),$AF$2:$AF$1001,0),MATCH(COLUMNS($AM$1006:AP1006),$AM$1006:$BM$1006,0)), HYPERLINK("#",""), HYPERLINK(CONCATENATE("#metadata!", ADDRESS(INDEX($AH$2:$AH$1001,MATCH(ROWS($AF$2:AF136),$AF$2:$AF$1001,0),0), INDEX($AM$1004:$BM$1004,1,MATCH(COLUMNS($AM$1006:AP1006),$AM$1006:$BM$1006,0)))),"Fix")))</f>
        <v xml:space="preserve"> </v>
      </c>
      <c r="F136" s="4" t="str">
        <f ca="1">IF(OR(INDEX($AG$2:$AG$1001,MATCH(ROWS($AF$2:AF136),$AF$2:$AF$1001,0),1)&gt;=100000,INDEX($AM$1005:$BM$1005,1,MATCH(COLUMNS($AM$1006:AQ1006),$AM$1006:$BM$1006,0))&gt;=100000), " ",IF(INDEX($AM$2:$BM$1001,MATCH(ROWS($AF$2:AF136),$AF$2:$AF$1001,0),MATCH(COLUMNS($AM$1006:AQ1006),$AM$1006:$BM$1006,0)), HYPERLINK("#",""), HYPERLINK(CONCATENATE("#metadata!", ADDRESS(INDEX($AH$2:$AH$1001,MATCH(ROWS($AF$2:AF136),$AF$2:$AF$1001,0),0), INDEX($AM$1004:$BM$1004,1,MATCH(COLUMNS($AM$1006:AQ1006),$AM$1006:$BM$1006,0)))),"Fix")))</f>
        <v xml:space="preserve"> </v>
      </c>
      <c r="G136" s="4" t="str">
        <f ca="1">IF(OR(INDEX($AG$2:$AG$1001,MATCH(ROWS($AF$2:AF136),$AF$2:$AF$1001,0),1)&gt;=100000,INDEX($AM$1005:$BM$1005,1,MATCH(COLUMNS($AM$1006:AR1006),$AM$1006:$BM$1006,0))&gt;=100000), " ",IF(INDEX($AM$2:$BM$1001,MATCH(ROWS($AF$2:AF136),$AF$2:$AF$1001,0),MATCH(COLUMNS($AM$1006:AR1006),$AM$1006:$BM$1006,0)), HYPERLINK("#",""), HYPERLINK(CONCATENATE("#metadata!", ADDRESS(INDEX($AH$2:$AH$1001,MATCH(ROWS($AF$2:AF136),$AF$2:$AF$1001,0),0), INDEX($AM$1004:$BM$1004,1,MATCH(COLUMNS($AM$1006:AR1006),$AM$1006:$BM$1006,0)))),"Fix")))</f>
        <v xml:space="preserve"> </v>
      </c>
      <c r="H136" s="4" t="str">
        <f ca="1">IF(OR(INDEX($AG$2:$AG$1001,MATCH(ROWS($AF$2:AF136),$AF$2:$AF$1001,0),1)&gt;=100000,INDEX($AM$1005:$BM$1005,1,MATCH(COLUMNS($AM$1006:AS1006),$AM$1006:$BM$1006,0))&gt;=100000), " ",IF(INDEX($AM$2:$BM$1001,MATCH(ROWS($AF$2:AF136),$AF$2:$AF$1001,0),MATCH(COLUMNS($AM$1006:AS1006),$AM$1006:$BM$1006,0)), HYPERLINK("#",""), HYPERLINK(CONCATENATE("#metadata!", ADDRESS(INDEX($AH$2:$AH$1001,MATCH(ROWS($AF$2:AF136),$AF$2:$AF$1001,0),0), INDEX($AM$1004:$BM$1004,1,MATCH(COLUMNS($AM$1006:AS1006),$AM$1006:$BM$1006,0)))),"Fix")))</f>
        <v xml:space="preserve"> </v>
      </c>
      <c r="I136" s="4" t="str">
        <f ca="1">IF(OR(INDEX($AG$2:$AG$1001,MATCH(ROWS($AF$2:AF136),$AF$2:$AF$1001,0),1)&gt;=100000,INDEX($AM$1005:$BM$1005,1,MATCH(COLUMNS($AM$1006:AT1006),$AM$1006:$BM$1006,0))&gt;=100000), " ",IF(INDEX($AM$2:$BM$1001,MATCH(ROWS($AF$2:AF136),$AF$2:$AF$1001,0),MATCH(COLUMNS($AM$1006:AT1006),$AM$1006:$BM$1006,0)), HYPERLINK("#",""), HYPERLINK(CONCATENATE("#metadata!", ADDRESS(INDEX($AH$2:$AH$1001,MATCH(ROWS($AF$2:AF136),$AF$2:$AF$1001,0),0), INDEX($AM$1004:$BM$1004,1,MATCH(COLUMNS($AM$1006:AT1006),$AM$1006:$BM$1006,0)))),"Fix")))</f>
        <v xml:space="preserve"> </v>
      </c>
      <c r="J136" s="4" t="str">
        <f ca="1">IF(OR(INDEX($AG$2:$AG$1001,MATCH(ROWS($AF$2:AF136),$AF$2:$AF$1001,0),1)&gt;=100000,INDEX($AM$1005:$BM$1005,1,MATCH(COLUMNS($AM$1006:AU1006),$AM$1006:$BM$1006,0))&gt;=100000), " ",IF(INDEX($AM$2:$BM$1001,MATCH(ROWS($AF$2:AF136),$AF$2:$AF$1001,0),MATCH(COLUMNS($AM$1006:AU1006),$AM$1006:$BM$1006,0)), HYPERLINK("#",""), HYPERLINK(CONCATENATE("#metadata!", ADDRESS(INDEX($AH$2:$AH$1001,MATCH(ROWS($AF$2:AF136),$AF$2:$AF$1001,0),0), INDEX($AM$1004:$BM$1004,1,MATCH(COLUMNS($AM$1006:AU1006),$AM$1006:$BM$1006,0)))),"Fix")))</f>
        <v xml:space="preserve"> </v>
      </c>
      <c r="K136" s="4" t="str">
        <f ca="1">IF(OR(INDEX($AG$2:$AG$1001,MATCH(ROWS($AF$2:AF136),$AF$2:$AF$1001,0),1)&gt;=100000,INDEX($AM$1005:$BM$1005,1,MATCH(COLUMNS($AM$1006:AV1006),$AM$1006:$BM$1006,0))&gt;=100000), " ",IF(INDEX($AM$2:$BM$1001,MATCH(ROWS($AF$2:AF136),$AF$2:$AF$1001,0),MATCH(COLUMNS($AM$1006:AV1006),$AM$1006:$BM$1006,0)), HYPERLINK("#",""), HYPERLINK(CONCATENATE("#metadata!", ADDRESS(INDEX($AH$2:$AH$1001,MATCH(ROWS($AF$2:AF136),$AF$2:$AF$1001,0),0), INDEX($AM$1004:$BM$1004,1,MATCH(COLUMNS($AM$1006:AV1006),$AM$1006:$BM$1006,0)))),"Fix")))</f>
        <v xml:space="preserve"> </v>
      </c>
      <c r="L136" s="4" t="str">
        <f ca="1">IF(OR(INDEX($AG$2:$AG$1001,MATCH(ROWS($AF$2:AF136),$AF$2:$AF$1001,0),1)&gt;=100000,INDEX($AM$1005:$BM$1005,1,MATCH(COLUMNS($AM$1006:AW1006),$AM$1006:$BM$1006,0))&gt;=100000), " ",IF(INDEX($AM$2:$BM$1001,MATCH(ROWS($AF$2:AF136),$AF$2:$AF$1001,0),MATCH(COLUMNS($AM$1006:AW1006),$AM$1006:$BM$1006,0)), HYPERLINK("#",""), HYPERLINK(CONCATENATE("#metadata!", ADDRESS(INDEX($AH$2:$AH$1001,MATCH(ROWS($AF$2:AF136),$AF$2:$AF$1001,0),0), INDEX($AM$1004:$BM$1004,1,MATCH(COLUMNS($AM$1006:AW1006),$AM$1006:$BM$1006,0)))),"Fix")))</f>
        <v xml:space="preserve"> </v>
      </c>
      <c r="M136" s="4" t="str">
        <f ca="1">IF(OR(INDEX($AG$2:$AG$1001,MATCH(ROWS($AF$2:AF136),$AF$2:$AF$1001,0),1)&gt;=100000,INDEX($AM$1005:$BM$1005,1,MATCH(COLUMNS($AM$1006:AX1006),$AM$1006:$BM$1006,0))&gt;=100000), " ",IF(INDEX($AM$2:$BM$1001,MATCH(ROWS($AF$2:AF136),$AF$2:$AF$1001,0),MATCH(COLUMNS($AM$1006:AX1006),$AM$1006:$BM$1006,0)), HYPERLINK("#",""), HYPERLINK(CONCATENATE("#metadata!", ADDRESS(INDEX($AH$2:$AH$1001,MATCH(ROWS($AF$2:AF136),$AF$2:$AF$1001,0),0), INDEX($AM$1004:$BM$1004,1,MATCH(COLUMNS($AM$1006:AX1006),$AM$1006:$BM$1006,0)))),"Fix")))</f>
        <v xml:space="preserve"> </v>
      </c>
      <c r="N136" s="4" t="str">
        <f ca="1">IF(OR(INDEX($AG$2:$AG$1001,MATCH(ROWS($AF$2:AF136),$AF$2:$AF$1001,0),1)&gt;=100000,INDEX($AM$1005:$BM$1005,1,MATCH(COLUMNS($AM$1006:AY1006),$AM$1006:$BM$1006,0))&gt;=100000), " ",IF(INDEX($AM$2:$BM$1001,MATCH(ROWS($AF$2:AF136),$AF$2:$AF$1001,0),MATCH(COLUMNS($AM$1006:AY1006),$AM$1006:$BM$1006,0)), HYPERLINK("#",""), HYPERLINK(CONCATENATE("#metadata!", ADDRESS(INDEX($AH$2:$AH$1001,MATCH(ROWS($AF$2:AF136),$AF$2:$AF$1001,0),0), INDEX($AM$1004:$BM$1004,1,MATCH(COLUMNS($AM$1006:AY1006),$AM$1006:$BM$1006,0)))),"Fix")))</f>
        <v xml:space="preserve"> </v>
      </c>
      <c r="O136" s="4" t="str">
        <f ca="1">IF(OR(INDEX($AG$2:$AG$1001,MATCH(ROWS($AF$2:AF136),$AF$2:$AF$1001,0),1)&gt;=100000,INDEX($AM$1005:$BM$1005,1,MATCH(COLUMNS($AM$1006:AZ1006),$AM$1006:$BM$1006,0))&gt;=100000), " ",IF(INDEX($AM$2:$BM$1001,MATCH(ROWS($AF$2:AF136),$AF$2:$AF$1001,0),MATCH(COLUMNS($AM$1006:AZ1006),$AM$1006:$BM$1006,0)), HYPERLINK("#",""), HYPERLINK(CONCATENATE("#metadata!", ADDRESS(INDEX($AH$2:$AH$1001,MATCH(ROWS($AF$2:AF136),$AF$2:$AF$1001,0),0), INDEX($AM$1004:$BM$1004,1,MATCH(COLUMNS($AM$1006:AZ1006),$AM$1006:$BM$1006,0)))),"Fix")))</f>
        <v xml:space="preserve"> </v>
      </c>
      <c r="P136" s="4" t="str">
        <f ca="1">IF(OR(INDEX($AG$2:$AG$1001,MATCH(ROWS($AF$2:AF136),$AF$2:$AF$1001,0),1)&gt;=100000,INDEX($AM$1005:$BM$1005,1,MATCH(COLUMNS($AM$1006:BA1006),$AM$1006:$BM$1006,0))&gt;=100000), " ",IF(INDEX($AM$2:$BM$1001,MATCH(ROWS($AF$2:AF136),$AF$2:$AF$1001,0),MATCH(COLUMNS($AM$1006:BA1006),$AM$1006:$BM$1006,0)), HYPERLINK("#",""), HYPERLINK(CONCATENATE("#metadata!", ADDRESS(INDEX($AH$2:$AH$1001,MATCH(ROWS($AF$2:AF136),$AF$2:$AF$1001,0),0), INDEX($AM$1004:$BM$1004,1,MATCH(COLUMNS($AM$1006:BA1006),$AM$1006:$BM$1006,0)))),"Fix")))</f>
        <v xml:space="preserve"> </v>
      </c>
      <c r="Q136" s="4" t="str">
        <f ca="1">IF(OR(INDEX($AG$2:$AG$1001,MATCH(ROWS($AF$2:AF136),$AF$2:$AF$1001,0),1)&gt;=100000,INDEX($AM$1005:$BM$1005,1,MATCH(COLUMNS($AM$1006:BB1006),$AM$1006:$BM$1006,0))&gt;=100000), " ",IF(INDEX($AM$2:$BM$1001,MATCH(ROWS($AF$2:AF136),$AF$2:$AF$1001,0),MATCH(COLUMNS($AM$1006:BB1006),$AM$1006:$BM$1006,0)), HYPERLINK("#",""), HYPERLINK(CONCATENATE("#metadata!", ADDRESS(INDEX($AH$2:$AH$1001,MATCH(ROWS($AF$2:AF136),$AF$2:$AF$1001,0),0), INDEX($AM$1004:$BM$1004,1,MATCH(COLUMNS($AM$1006:BB1006),$AM$1006:$BM$1006,0)))),"Fix")))</f>
        <v xml:space="preserve"> </v>
      </c>
      <c r="R136" s="4" t="str">
        <f ca="1">IF(OR(INDEX($AG$2:$AG$1001,MATCH(ROWS($AF$2:AF136),$AF$2:$AF$1001,0),1)&gt;=100000,INDEX($AM$1005:$BM$1005,1,MATCH(COLUMNS($AM$1006:BC1006),$AM$1006:$BM$1006,0))&gt;=100000), " ",IF(INDEX($AM$2:$BM$1001,MATCH(ROWS($AF$2:AF136),$AF$2:$AF$1001,0),MATCH(COLUMNS($AM$1006:BC1006),$AM$1006:$BM$1006,0)), HYPERLINK("#",""), HYPERLINK(CONCATENATE("#metadata!", ADDRESS(INDEX($AH$2:$AH$1001,MATCH(ROWS($AF$2:AF136),$AF$2:$AF$1001,0),0), INDEX($AM$1004:$BM$1004,1,MATCH(COLUMNS($AM$1006:BC1006),$AM$1006:$BM$1006,0)))),"Fix")))</f>
        <v xml:space="preserve"> </v>
      </c>
      <c r="S136" s="4" t="str">
        <f ca="1">IF(OR(INDEX($AG$2:$AG$1001,MATCH(ROWS($AF$2:AF136),$AF$2:$AF$1001,0),1)&gt;=100000,INDEX($AM$1005:$BM$1005,1,MATCH(COLUMNS($AM$1006:BD1006),$AM$1006:$BM$1006,0))&gt;=100000), " ",IF(INDEX($AM$2:$BM$1001,MATCH(ROWS($AF$2:AF136),$AF$2:$AF$1001,0),MATCH(COLUMNS($AM$1006:BD1006),$AM$1006:$BM$1006,0)), HYPERLINK("#",""), HYPERLINK(CONCATENATE("#metadata!", ADDRESS(INDEX($AH$2:$AH$1001,MATCH(ROWS($AF$2:AF136),$AF$2:$AF$1001,0),0), INDEX($AM$1004:$BM$1004,1,MATCH(COLUMNS($AM$1006:BD1006),$AM$1006:$BM$1006,0)))),"Fix")))</f>
        <v xml:space="preserve"> </v>
      </c>
      <c r="T136" s="4" t="str">
        <f ca="1">IF(OR(INDEX($AG$2:$AG$1001,MATCH(ROWS($AF$2:AF136),$AF$2:$AF$1001,0),1)&gt;=100000,INDEX($AM$1005:$BM$1005,1,MATCH(COLUMNS($AM$1006:BE1006),$AM$1006:$BM$1006,0))&gt;=100000), " ",IF(INDEX($AM$2:$BM$1001,MATCH(ROWS($AF$2:AF136),$AF$2:$AF$1001,0),MATCH(COLUMNS($AM$1006:BE1006),$AM$1006:$BM$1006,0)), HYPERLINK("#",""), HYPERLINK(CONCATENATE("#metadata!", ADDRESS(INDEX($AH$2:$AH$1001,MATCH(ROWS($AF$2:AF136),$AF$2:$AF$1001,0),0), INDEX($AM$1004:$BM$1004,1,MATCH(COLUMNS($AM$1006:BE1006),$AM$1006:$BM$1006,0)))),"Fix")))</f>
        <v xml:space="preserve"> </v>
      </c>
      <c r="U136" s="4" t="str">
        <f ca="1">IF(OR(INDEX($AG$2:$AG$1001,MATCH(ROWS($AF$2:AF136),$AF$2:$AF$1001,0),1)&gt;=100000,INDEX($AM$1005:$BM$1005,1,MATCH(COLUMNS($AM$1006:BF1006),$AM$1006:$BM$1006,0))&gt;=100000), " ",IF(INDEX($AM$2:$BM$1001,MATCH(ROWS($AF$2:AF136),$AF$2:$AF$1001,0),MATCH(COLUMNS($AM$1006:BF1006),$AM$1006:$BM$1006,0)), HYPERLINK("#",""), HYPERLINK(CONCATENATE("#metadata!", ADDRESS(INDEX($AH$2:$AH$1001,MATCH(ROWS($AF$2:AF136),$AF$2:$AF$1001,0),0), INDEX($AM$1004:$BM$1004,1,MATCH(COLUMNS($AM$1006:BF1006),$AM$1006:$BM$1006,0)))),"Fix")))</f>
        <v xml:space="preserve"> </v>
      </c>
      <c r="V136" s="4" t="str">
        <f ca="1">IF(OR(INDEX($AG$2:$AG$1001,MATCH(ROWS($AF$2:AF136),$AF$2:$AF$1001,0),1)&gt;=100000,INDEX($AM$1005:$BM$1005,1,MATCH(COLUMNS($AM$1006:BG1006),$AM$1006:$BM$1006,0))&gt;=100000), " ",IF(INDEX($AM$2:$BM$1001,MATCH(ROWS($AF$2:AF136),$AF$2:$AF$1001,0),MATCH(COLUMNS($AM$1006:BG1006),$AM$1006:$BM$1006,0)), HYPERLINK("#",""), HYPERLINK(CONCATENATE("#metadata!", ADDRESS(INDEX($AH$2:$AH$1001,MATCH(ROWS($AF$2:AF136),$AF$2:$AF$1001,0),0), INDEX($AM$1004:$BM$1004,1,MATCH(COLUMNS($AM$1006:BG1006),$AM$1006:$BM$1006,0)))),"Fix")))</f>
        <v xml:space="preserve"> </v>
      </c>
      <c r="W136" s="4" t="str">
        <f ca="1">IF(OR(INDEX($AG$2:$AG$1001,MATCH(ROWS($AF$2:AF136),$AF$2:$AF$1001,0),1)&gt;=100000,INDEX($AM$1005:$BM$1005,1,MATCH(COLUMNS($AM$1006:BH1006),$AM$1006:$BM$1006,0))&gt;=100000), " ",IF(INDEX($AM$2:$BM$1001,MATCH(ROWS($AF$2:AF136),$AF$2:$AF$1001,0),MATCH(COLUMNS($AM$1006:BH1006),$AM$1006:$BM$1006,0)), HYPERLINK("#",""), HYPERLINK(CONCATENATE("#metadata!", ADDRESS(INDEX($AH$2:$AH$1001,MATCH(ROWS($AF$2:AF136),$AF$2:$AF$1001,0),0), INDEX($AM$1004:$BM$1004,1,MATCH(COLUMNS($AM$1006:BH1006),$AM$1006:$BM$1006,0)))),"Fix")))</f>
        <v xml:space="preserve"> </v>
      </c>
      <c r="X136" s="4" t="str">
        <f ca="1">IF(OR(INDEX($AG$2:$AG$1001,MATCH(ROWS($AF$2:AF136),$AF$2:$AF$1001,0),1)&gt;=100000,INDEX($AM$1005:$BM$1005,1,MATCH(COLUMNS($AM$1006:BI1006),$AM$1006:$BM$1006,0))&gt;=100000), " ",IF(INDEX($AM$2:$BM$1001,MATCH(ROWS($AF$2:AF136),$AF$2:$AF$1001,0),MATCH(COLUMNS($AM$1006:BI1006),$AM$1006:$BM$1006,0)), HYPERLINK("#",""), HYPERLINK(CONCATENATE("#metadata!", ADDRESS(INDEX($AH$2:$AH$1001,MATCH(ROWS($AF$2:AF136),$AF$2:$AF$1001,0),0), INDEX($AM$1004:$BM$1004,1,MATCH(COLUMNS($AM$1006:BI1006),$AM$1006:$BM$1006,0)))),"Fix")))</f>
        <v xml:space="preserve"> </v>
      </c>
      <c r="Y136" s="4" t="str">
        <f ca="1">IF(OR(INDEX($AG$2:$AG$1001,MATCH(ROWS($AF$2:AF136),$AF$2:$AF$1001,0),1)&gt;=100000,INDEX($AM$1005:$BM$1005,1,MATCH(COLUMNS($AM$1006:BJ1006),$AM$1006:$BM$1006,0))&gt;=100000), " ",IF(INDEX($AM$2:$BM$1001,MATCH(ROWS($AF$2:AF136),$AF$2:$AF$1001,0),MATCH(COLUMNS($AM$1006:BJ1006),$AM$1006:$BM$1006,0)), HYPERLINK("#",""), HYPERLINK(CONCATENATE("#metadata!", ADDRESS(INDEX($AH$2:$AH$1001,MATCH(ROWS($AF$2:AF136),$AF$2:$AF$1001,0),0), INDEX($AM$1004:$BM$1004,1,MATCH(COLUMNS($AM$1006:BJ1006),$AM$1006:$BM$1006,0)))),"Fix")))</f>
        <v xml:space="preserve"> </v>
      </c>
      <c r="Z136" s="4" t="str">
        <f ca="1">IF(OR(INDEX($AG$2:$AG$1001,MATCH(ROWS($AF$2:AF136),$AF$2:$AF$1001,0),1)&gt;=100000,INDEX($AM$1005:$BM$1005,1,MATCH(COLUMNS($AM$1006:BK1006),$AM$1006:$BM$1006,0))&gt;=100000), " ",IF(INDEX($AM$2:$BM$1001,MATCH(ROWS($AF$2:AF136),$AF$2:$AF$1001,0),MATCH(COLUMNS($AM$1006:BK1006),$AM$1006:$BM$1006,0)), HYPERLINK("#",""), HYPERLINK(CONCATENATE("#metadata!", ADDRESS(INDEX($AH$2:$AH$1001,MATCH(ROWS($AF$2:AF136),$AF$2:$AF$1001,0),0), INDEX($AM$1004:$BM$1004,1,MATCH(COLUMNS($AM$1006:BK1006),$AM$1006:$BM$1006,0)))),"Fix")))</f>
        <v xml:space="preserve"> </v>
      </c>
      <c r="AA136" s="4" t="str">
        <f ca="1">IF(OR(INDEX($AG$2:$AG$1001,MATCH(ROWS($AF$2:AF136),$AF$2:$AF$1001,0),1)&gt;=100000,INDEX($AM$1005:$BM$1005,1,MATCH(COLUMNS($AM$1006:BL1006),$AM$1006:$BM$1006,0))&gt;=100000), " ",IF(INDEX($AM$2:$BM$1001,MATCH(ROWS($AF$2:AF136),$AF$2:$AF$1001,0),MATCH(COLUMNS($AM$1006:BL1006),$AM$1006:$BM$1006,0)), HYPERLINK("#",""), HYPERLINK(CONCATENATE("#metadata!", ADDRESS(INDEX($AH$2:$AH$1001,MATCH(ROWS($AF$2:AF136),$AF$2:$AF$1001,0),0), INDEX($AM$1004:$BM$1004,1,MATCH(COLUMNS($AM$1006:BL1006),$AM$1006:$BM$1006,0)))),"Fix")))</f>
        <v xml:space="preserve"> </v>
      </c>
      <c r="AB136" s="4" t="str">
        <f ca="1">IF(OR(INDEX($AG$2:$AG$1001,MATCH(ROWS($AF$2:AF136),$AF$2:$AF$1001,0),1)&gt;=100000,INDEX($AM$1005:$BM$1005,1,MATCH(COLUMNS($AM$1006:BM1006),$AM$1006:$BM$1006,0))&gt;=100000), " ",IF(INDEX($AM$2:$BM$1001,MATCH(ROWS($AF$2:AF136),$AF$2:$AF$1001,0),MATCH(COLUMNS($AM$1006:BM1006),$AM$1006:$BM$1006,0)), HYPERLINK("#",""), HYPERLINK(CONCATENATE("#metadata!", ADDRESS(INDEX($AH$2:$AH$1001,MATCH(ROWS($AF$2:AF136),$AF$2:$AF$1001,0),0), INDEX($AM$1004:$BM$1004,1,MATCH(COLUMNS($AM$1006:BM1006),$AM$1006:$BM$1006,0)))),"Fix")))</f>
        <v xml:space="preserve"> </v>
      </c>
      <c r="AF136">
        <v>135</v>
      </c>
      <c r="AG136">
        <v>100136</v>
      </c>
      <c r="AH136">
        <v>136</v>
      </c>
      <c r="AI136" t="b">
        <f t="shared" si="2"/>
        <v>1</v>
      </c>
      <c r="AJ136" t="b">
        <f>COUNTBLANK(metadata!B136:AB136)=COLUMNS(metadata!B136:AB136)</f>
        <v>1</v>
      </c>
      <c r="AK136" t="str">
        <v/>
      </c>
      <c r="AM136" t="b">
        <f ca="1">AND(IF(metadata!B136="",FALSE,TRUE),COUNTIF(metadata!B:B, metadata!B136) = 1,NOT(ISERROR(SUMPRODUCT(SEARCH(MID(metadata!B136,ROW(INDIRECT("1:"&amp;LEN(metadata!B136))), 1),"0123456789abcdefghijklmnopqrstuvwxyzABCDEFGHIJKLMNOPQRSTUVWXYZ.")))))</f>
        <v>0</v>
      </c>
      <c r="AN136" t="b">
        <f ca="1">OR(AND(IF(metadata!C136="",FALSE,TRUE),OR(EXACT(metadata!C136,"missing: not collected"),EXACT(metadata!C136,"missing: not provided"),EXACT(metadata!C136,"missing: restricted access"))),AND(IF(metadata!C136="",FALSE,TRUE),AND(AND(IFERROR(INT(LEFT(metadata!C136,4))&gt;1900,FALSE),IFERROR(INT(LEFT(metadata!C136,4))&lt;=YEAR(NOW()),FALSE)), OR(MID(metadata!C136,5,1)="", AND(AND(MID(metadata!C136,5,1)="-",IFERROR(INT(MID(metadata!C136,6,1))&gt;=0,FALSE),IFERROR(INT(MID(metadata!C136,6,1))&lt;=1,FALSE),NOT(MID(metadata!C136,7,1)=""),IFERROR(INT(MID(metadata!C136,6,2))&gt;=1,FALSE),IFERROR(INT(MID(metadata!C136,6,2))&lt;=12,FALSE)), OR(MID(metadata!C136,8,1)="", AND(AND(MID(metadata!C136,8,1)="-",IFERROR(INT(MID(metadata!C136,9,1))&gt;=0,FALSE),IFERROR(INT(MID(metadata!C136,9,1))&lt;=3,FALSE),NOT(MID(metadata!C136,10,1)=""),IFERROR(INT(MID(metadata!C136,9,2))&gt;=1,FALSE),IFERROR(INT(MID(metadata!C136,9,2))&lt;=31,FALSE)), OR(MID(metadata!C136,11,1)="", AND(AND(MID(metadata!C136,11,1)=" ",IFERROR(INT(MID(metadata!C136,12,1))&gt;=0,FALSE),IFERROR(INT(MID(metadata!C136,12,1))&lt;=2,FALSE),NOT(MID(metadata!C136,13,1)=""),IFERROR(INT(MID(metadata!C136,12,2))&gt;=0,FALSE),IFERROR(INT(MID(metadata!C136,12,2))&lt;=23,FALSE)), OR(MID(metadata!C136,14,1)="", AND(AND(MID(metadata!C136,14,1)=":",IFERROR(INT(MID(metadata!C136,15,1))&gt;=0,FALSE),IFERROR(INT(MID(metadata!C136,15,1))&lt;=5,FALSE),NOT(MID(metadata!C136,16,1)=""),IFERROR(INT(MID(metadata!C136,15,2))&gt;=0,FALSE),IFERROR(INT(MID(metadata!C136,15,2))&lt;=59,FALSE)), OR(MID(metadata!C136,17,1)="", AND(AND(MID(metadata!C136,17,1)=":",IFERROR(INT(MID(metadata!C136,18,1))&gt;=0,FALSE),IFERROR(INT(MID(metadata!C136,18,1))&lt;=5,FALSE),NOT(MID(metadata!C136,19,1)=""),IFERROR(INT(MID(metadata!C136,18,2))&gt;=0,FALSE),IFERROR(INT(MID(metadata!C136,18,2))&lt;=59,FALSE)), LEN(metadata!C136)&lt;=19)))))))))))))</f>
        <v>0</v>
      </c>
      <c r="AO136" t="b">
        <f>AND(IF(metadata!D136="",FALSE,TRUE),EXACT(metadata!D136,"Not applicable"))</f>
        <v>0</v>
      </c>
      <c r="AP136" t="b">
        <f>IF(metadata!E136="",FALSE,TRUE)</f>
        <v>0</v>
      </c>
      <c r="AQ136" t="b">
        <f>OR(AND(IF(metadata!F136="",FALSE,TRUE),OR(EXACT(metadata!F136,"missing: not collected"),EXACT(metadata!F136,"missing: not provided"))),AND(IF(metadata!F136="",FALSE,TRUE),OR(EXACT(metadata!F136,"TRUE"),EXACT(metadata!F136,"FALSE"))))</f>
        <v>0</v>
      </c>
      <c r="AR136" t="b">
        <f>OR(AND(IF(metadata!G136="",FALSE,TRUE),OR(EXACT(metadata!G136,"missing: not collected"),EXACT(metadata!G136,"missing: not provided"),EXACT(metadata!G136,"missing: restricted access"))),AND(IF(metadata!G136="",FALSE,ISNUMBER(VALUE(metadata!G136))),metadata!G136&gt;=-413))</f>
        <v>0</v>
      </c>
      <c r="AS136" t="b">
        <f>AND(IF(metadata!H136="",FALSE,TRUE),EXACT(metadata!H136,"meters"))</f>
        <v>0</v>
      </c>
      <c r="AT136" t="b">
        <f>AND(IF(metadata!I136="",FALSE,TRUE),OR(EXACT(metadata!I136,"Host-associated"),EXACT(metadata!I136,"Free-living")))</f>
        <v>0</v>
      </c>
      <c r="AU136" t="b">
        <f>AND(IF(metadata!J136="",FALSE,TRUE),OR(EXACT(metadata!J136,"Animal"),EXACT(metadata!J136,"Fungus"),EXACT(metadata!J136,"Plant"),EXACT(metadata!J136,"Saline"),EXACT(metadata!J136,"Non-saline")))</f>
        <v>0</v>
      </c>
      <c r="AV136" t="b">
        <f>AND(IF(metadata!K136="",FALSE,TRUE),OR(EXACT(metadata!K136,"Plant secretion"),EXACT(metadata!K136,"Plant rhizosphere"),EXACT(metadata!K136,"Plant surface"),EXACT(metadata!K136,"Plant corpus"),EXACT(metadata!K136,"Fungus surface"),EXACT(metadata!K136,"Fungus corpus"),EXACT(metadata!K136,"Animal surface"),EXACT(metadata!K136,"Animal proximal gut"),EXACT(metadata!K136,"Animal corpus"),EXACT(metadata!K136,"Animal distal gut"),EXACT(metadata!K136,"Animal secretion"),EXACT(metadata!K136,"Sub-surface (non-saline)"),EXACT(metadata!K136,"Surface (non-saline)"),EXACT(metadata!K136,"Water (non-saline)"),EXACT(metadata!K136,"Soil (non-saline)"),EXACT(metadata!K136,"Aerosol (non-saline)"),EXACT(metadata!K136,"Sediment (non-saline)"),EXACT(metadata!K136,"Surface (saline)"),EXACT(metadata!K136,"Water (saline)"),EXACT(metadata!K136,"Hypersaline (saline)"),EXACT(metadata!K136,"Aerosol (saline)"),EXACT(metadata!K136,"Sediment (saline)")))</f>
        <v>0</v>
      </c>
      <c r="AW136" t="b">
        <f>IF(metadata!L136="",FALSE,TRUE)</f>
        <v>0</v>
      </c>
      <c r="AX136" t="b">
        <f>IF(metadata!M136="",FALSE,TRUE)</f>
        <v>0</v>
      </c>
      <c r="AY136" t="b">
        <f>IF(metadata!N136="",FALSE,TRUE)</f>
        <v>0</v>
      </c>
      <c r="AZ136" t="b">
        <f>OR(AND(IF(metadata!O136="",FALSE,TRUE),OR(EXACT(metadata!O136,"missing: not collected"),EXACT(metadata!O136,"missing: not provided"),EXACT(metadata!O136,"missing: restricted access"))),AND(IF(metadata!O136="",FALSE,TRUE),OR(EXACT(metadata!O136,"air"),EXACT(metadata!O136,"built environment"),EXACT(metadata!O136,"host-associated"),EXACT(metadata!O136,"human-associated"),EXACT(metadata!O136,"human-skin"),EXACT(metadata!O136,"human-oral"),EXACT(metadata!O136,"human-gut"),EXACT(metadata!O136,"human-vaginal"),EXACT(metadata!O136,"microbial mat/biofilm"),EXACT(metadata!O136,"misc environment"),EXACT(metadata!O136,"plant-associated"),EXACT(metadata!O136,"sediment"),EXACT(metadata!O136,"soil"),EXACT(metadata!O136,"wastewater/sludge"),EXACT(metadata!O136,"water"))))</f>
        <v>0</v>
      </c>
      <c r="BA136" t="b">
        <f>IF(metadata!P136="",FALSE,TRUE)</f>
        <v>0</v>
      </c>
      <c r="BB136" t="b">
        <f>IF(metadata!Q136="",FALSE,TRUE)</f>
        <v>0</v>
      </c>
      <c r="BC136" t="b">
        <f>OR(AND(IF(metadata!R136="",FALSE,TRUE),OR(EXACT(metadata!R136,"missing: not collected"),EXACT(metadata!R136,"missing: not provided"),EXACT(metadata!R136,"missing: restricted access"))),AND(IF(metadata!R136="",FALSE,ISNUMBER(VALUE(metadata!R136))),metadata!R136&gt;=-90,metadata!R136&lt;=90))</f>
        <v>0</v>
      </c>
      <c r="BD136" t="b">
        <f>AND(IF(metadata!S136="",FALSE,TRUE),EXACT(metadata!S136,"Decimal degrees"))</f>
        <v>0</v>
      </c>
      <c r="BE136" t="b">
        <f>OR(AND(IF(metadata!T136="",FALSE,TRUE),OR(EXACT(metadata!T136,"missing: not collected"),EXACT(metadata!T136,"missing: not provided"),EXACT(metadata!T136,"missing: restricted access"))),AND(IF(metadata!T136="",FALSE,ISNUMBER(VALUE(metadata!T136))),metadata!T136&gt;=-180,metadata!T136&lt;=180))</f>
        <v>0</v>
      </c>
      <c r="BF136" t="b">
        <f>AND(IF(metadata!U136="",FALSE,TRUE),EXACT(metadata!U136,"Decimal degrees"))</f>
        <v>0</v>
      </c>
      <c r="BG136" t="b">
        <f>IF(metadata!V136="",FALSE,TRUE)</f>
        <v>0</v>
      </c>
      <c r="BH136" t="b">
        <f>OR(AND(IF(metadata!W136="",FALSE,TRUE),OR(EXACT(metadata!W136,"missing: not collected"),EXACT(metadata!W136,"missing: not provided"),EXACT(metadata!W136,"missing: restricted access"))),AND(IF(metadata!W136="",FALSE,TRUE),OR(EXACT(metadata!W136,"TRUE"),EXACT(metadata!W136,"FALSE"))))</f>
        <v>0</v>
      </c>
      <c r="BI136" t="b">
        <f>AND(IF(metadata!X136="",FALSE,TRUE),EXACT(metadata!X136,"other"))</f>
        <v>0</v>
      </c>
      <c r="BJ136" t="b">
        <f>IF(metadata!Y136="",FALSE,TRUE)</f>
        <v>0</v>
      </c>
      <c r="BK136" t="b">
        <f>OR(AND(IF(metadata!Z136="",FALSE,TRUE),OR(EXACT(metadata!Z136,"missing: not collected"),EXACT(metadata!Z136,"missing: not provided"))),AND(IF(metadata!Z136="",FALSE,IF(ISERROR(INT(metadata!Z136)),FALSE,INT(metadata!Z136)=metadata!Z136)),metadata!Z136&gt;0))</f>
        <v>0</v>
      </c>
      <c r="BL136" t="b">
        <f>AND(IF(metadata!AA136="",FALSE,TRUE),EXACT(metadata!AA136,"Not applicable"))</f>
        <v>0</v>
      </c>
      <c r="BM136" t="b">
        <f>IF(metadata!AB136="",FALSE,TRUE)</f>
        <v>0</v>
      </c>
    </row>
    <row r="137" spans="1:65" x14ac:dyDescent="0.2">
      <c r="A137" s="5" t="str">
        <f ca="1">IF(B137=" "," ",HYPERLINK(CONCATENATE("#metadata!",ADDRESS(INDEX($AH$2:$AH$1001,MATCH(ROWS($AF$2:AF137),$AF$2:$AF$1001,0),0),1)),INDEX($AK$2:$AK$1001,MATCH(ROWS($AF$2:AF137),$AF$2:$AF$1001,0),0)))</f>
        <v xml:space="preserve"> </v>
      </c>
      <c r="B137" s="4" t="str">
        <f ca="1">IF(OR(INDEX($AG$2:$AG$1001,MATCH(ROWS($AF$2:AF137),$AF$2:$AF$1001,0),1)&gt;=100000,INDEX($AM$1005:$BM$1005,1,MATCH(COLUMNS($AM$1006:AM1006),$AM$1006:$BM$1006,0))&gt;=100000), " ",IF(INDEX($AM$2:$BM$1001,MATCH(ROWS($AF$2:AF137),$AF$2:$AF$1001,0),MATCH(COLUMNS($AM$1006:AM1006),$AM$1006:$BM$1006,0)), HYPERLINK("#",""), HYPERLINK(CONCATENATE("#metadata!", ADDRESS(INDEX($AH$2:$AH$1001,MATCH(ROWS($AF$2:AF137),$AF$2:$AF$1001,0),0), INDEX($AM$1004:$BM$1004,1,MATCH(COLUMNS($AM$1006:AM1006),$AM$1006:$BM$1006,0)))),"Fix")))</f>
        <v xml:space="preserve"> </v>
      </c>
      <c r="C137" s="4" t="str">
        <f ca="1">IF(OR(INDEX($AG$2:$AG$1001,MATCH(ROWS($AF$2:AF137),$AF$2:$AF$1001,0),1)&gt;=100000,INDEX($AM$1005:$BM$1005,1,MATCH(COLUMNS($AM$1006:AN1006),$AM$1006:$BM$1006,0))&gt;=100000), " ",IF(INDEX($AM$2:$BM$1001,MATCH(ROWS($AF$2:AF137),$AF$2:$AF$1001,0),MATCH(COLUMNS($AM$1006:AN1006),$AM$1006:$BM$1006,0)), HYPERLINK("#",""), HYPERLINK(CONCATENATE("#metadata!", ADDRESS(INDEX($AH$2:$AH$1001,MATCH(ROWS($AF$2:AF137),$AF$2:$AF$1001,0),0), INDEX($AM$1004:$BM$1004,1,MATCH(COLUMNS($AM$1006:AN1006),$AM$1006:$BM$1006,0)))),"Fix")))</f>
        <v xml:space="preserve"> </v>
      </c>
      <c r="D137" s="4" t="str">
        <f ca="1">IF(OR(INDEX($AG$2:$AG$1001,MATCH(ROWS($AF$2:AF137),$AF$2:$AF$1001,0),1)&gt;=100000,INDEX($AM$1005:$BM$1005,1,MATCH(COLUMNS($AM$1006:AO1006),$AM$1006:$BM$1006,0))&gt;=100000), " ",IF(INDEX($AM$2:$BM$1001,MATCH(ROWS($AF$2:AF137),$AF$2:$AF$1001,0),MATCH(COLUMNS($AM$1006:AO1006),$AM$1006:$BM$1006,0)), HYPERLINK("#",""), HYPERLINK(CONCATENATE("#metadata!", ADDRESS(INDEX($AH$2:$AH$1001,MATCH(ROWS($AF$2:AF137),$AF$2:$AF$1001,0),0), INDEX($AM$1004:$BM$1004,1,MATCH(COLUMNS($AM$1006:AO1006),$AM$1006:$BM$1006,0)))),"Fix")))</f>
        <v xml:space="preserve"> </v>
      </c>
      <c r="E137" s="4" t="str">
        <f ca="1">IF(OR(INDEX($AG$2:$AG$1001,MATCH(ROWS($AF$2:AF137),$AF$2:$AF$1001,0),1)&gt;=100000,INDEX($AM$1005:$BM$1005,1,MATCH(COLUMNS($AM$1006:AP1006),$AM$1006:$BM$1006,0))&gt;=100000), " ",IF(INDEX($AM$2:$BM$1001,MATCH(ROWS($AF$2:AF137),$AF$2:$AF$1001,0),MATCH(COLUMNS($AM$1006:AP1006),$AM$1006:$BM$1006,0)), HYPERLINK("#",""), HYPERLINK(CONCATENATE("#metadata!", ADDRESS(INDEX($AH$2:$AH$1001,MATCH(ROWS($AF$2:AF137),$AF$2:$AF$1001,0),0), INDEX($AM$1004:$BM$1004,1,MATCH(COLUMNS($AM$1006:AP1006),$AM$1006:$BM$1006,0)))),"Fix")))</f>
        <v xml:space="preserve"> </v>
      </c>
      <c r="F137" s="4" t="str">
        <f ca="1">IF(OR(INDEX($AG$2:$AG$1001,MATCH(ROWS($AF$2:AF137),$AF$2:$AF$1001,0),1)&gt;=100000,INDEX($AM$1005:$BM$1005,1,MATCH(COLUMNS($AM$1006:AQ1006),$AM$1006:$BM$1006,0))&gt;=100000), " ",IF(INDEX($AM$2:$BM$1001,MATCH(ROWS($AF$2:AF137),$AF$2:$AF$1001,0),MATCH(COLUMNS($AM$1006:AQ1006),$AM$1006:$BM$1006,0)), HYPERLINK("#",""), HYPERLINK(CONCATENATE("#metadata!", ADDRESS(INDEX($AH$2:$AH$1001,MATCH(ROWS($AF$2:AF137),$AF$2:$AF$1001,0),0), INDEX($AM$1004:$BM$1004,1,MATCH(COLUMNS($AM$1006:AQ1006),$AM$1006:$BM$1006,0)))),"Fix")))</f>
        <v xml:space="preserve"> </v>
      </c>
      <c r="G137" s="4" t="str">
        <f ca="1">IF(OR(INDEX($AG$2:$AG$1001,MATCH(ROWS($AF$2:AF137),$AF$2:$AF$1001,0),1)&gt;=100000,INDEX($AM$1005:$BM$1005,1,MATCH(COLUMNS($AM$1006:AR1006),$AM$1006:$BM$1006,0))&gt;=100000), " ",IF(INDEX($AM$2:$BM$1001,MATCH(ROWS($AF$2:AF137),$AF$2:$AF$1001,0),MATCH(COLUMNS($AM$1006:AR1006),$AM$1006:$BM$1006,0)), HYPERLINK("#",""), HYPERLINK(CONCATENATE("#metadata!", ADDRESS(INDEX($AH$2:$AH$1001,MATCH(ROWS($AF$2:AF137),$AF$2:$AF$1001,0),0), INDEX($AM$1004:$BM$1004,1,MATCH(COLUMNS($AM$1006:AR1006),$AM$1006:$BM$1006,0)))),"Fix")))</f>
        <v xml:space="preserve"> </v>
      </c>
      <c r="H137" s="4" t="str">
        <f ca="1">IF(OR(INDEX($AG$2:$AG$1001,MATCH(ROWS($AF$2:AF137),$AF$2:$AF$1001,0),1)&gt;=100000,INDEX($AM$1005:$BM$1005,1,MATCH(COLUMNS($AM$1006:AS1006),$AM$1006:$BM$1006,0))&gt;=100000), " ",IF(INDEX($AM$2:$BM$1001,MATCH(ROWS($AF$2:AF137),$AF$2:$AF$1001,0),MATCH(COLUMNS($AM$1006:AS1006),$AM$1006:$BM$1006,0)), HYPERLINK("#",""), HYPERLINK(CONCATENATE("#metadata!", ADDRESS(INDEX($AH$2:$AH$1001,MATCH(ROWS($AF$2:AF137),$AF$2:$AF$1001,0),0), INDEX($AM$1004:$BM$1004,1,MATCH(COLUMNS($AM$1006:AS1006),$AM$1006:$BM$1006,0)))),"Fix")))</f>
        <v xml:space="preserve"> </v>
      </c>
      <c r="I137" s="4" t="str">
        <f ca="1">IF(OR(INDEX($AG$2:$AG$1001,MATCH(ROWS($AF$2:AF137),$AF$2:$AF$1001,0),1)&gt;=100000,INDEX($AM$1005:$BM$1005,1,MATCH(COLUMNS($AM$1006:AT1006),$AM$1006:$BM$1006,0))&gt;=100000), " ",IF(INDEX($AM$2:$BM$1001,MATCH(ROWS($AF$2:AF137),$AF$2:$AF$1001,0),MATCH(COLUMNS($AM$1006:AT1006),$AM$1006:$BM$1006,0)), HYPERLINK("#",""), HYPERLINK(CONCATENATE("#metadata!", ADDRESS(INDEX($AH$2:$AH$1001,MATCH(ROWS($AF$2:AF137),$AF$2:$AF$1001,0),0), INDEX($AM$1004:$BM$1004,1,MATCH(COLUMNS($AM$1006:AT1006),$AM$1006:$BM$1006,0)))),"Fix")))</f>
        <v xml:space="preserve"> </v>
      </c>
      <c r="J137" s="4" t="str">
        <f ca="1">IF(OR(INDEX($AG$2:$AG$1001,MATCH(ROWS($AF$2:AF137),$AF$2:$AF$1001,0),1)&gt;=100000,INDEX($AM$1005:$BM$1005,1,MATCH(COLUMNS($AM$1006:AU1006),$AM$1006:$BM$1006,0))&gt;=100000), " ",IF(INDEX($AM$2:$BM$1001,MATCH(ROWS($AF$2:AF137),$AF$2:$AF$1001,0),MATCH(COLUMNS($AM$1006:AU1006),$AM$1006:$BM$1006,0)), HYPERLINK("#",""), HYPERLINK(CONCATENATE("#metadata!", ADDRESS(INDEX($AH$2:$AH$1001,MATCH(ROWS($AF$2:AF137),$AF$2:$AF$1001,0),0), INDEX($AM$1004:$BM$1004,1,MATCH(COLUMNS($AM$1006:AU1006),$AM$1006:$BM$1006,0)))),"Fix")))</f>
        <v xml:space="preserve"> </v>
      </c>
      <c r="K137" s="4" t="str">
        <f ca="1">IF(OR(INDEX($AG$2:$AG$1001,MATCH(ROWS($AF$2:AF137),$AF$2:$AF$1001,0),1)&gt;=100000,INDEX($AM$1005:$BM$1005,1,MATCH(COLUMNS($AM$1006:AV1006),$AM$1006:$BM$1006,0))&gt;=100000), " ",IF(INDEX($AM$2:$BM$1001,MATCH(ROWS($AF$2:AF137),$AF$2:$AF$1001,0),MATCH(COLUMNS($AM$1006:AV1006),$AM$1006:$BM$1006,0)), HYPERLINK("#",""), HYPERLINK(CONCATENATE("#metadata!", ADDRESS(INDEX($AH$2:$AH$1001,MATCH(ROWS($AF$2:AF137),$AF$2:$AF$1001,0),0), INDEX($AM$1004:$BM$1004,1,MATCH(COLUMNS($AM$1006:AV1006),$AM$1006:$BM$1006,0)))),"Fix")))</f>
        <v xml:space="preserve"> </v>
      </c>
      <c r="L137" s="4" t="str">
        <f ca="1">IF(OR(INDEX($AG$2:$AG$1001,MATCH(ROWS($AF$2:AF137),$AF$2:$AF$1001,0),1)&gt;=100000,INDEX($AM$1005:$BM$1005,1,MATCH(COLUMNS($AM$1006:AW1006),$AM$1006:$BM$1006,0))&gt;=100000), " ",IF(INDEX($AM$2:$BM$1001,MATCH(ROWS($AF$2:AF137),$AF$2:$AF$1001,0),MATCH(COLUMNS($AM$1006:AW1006),$AM$1006:$BM$1006,0)), HYPERLINK("#",""), HYPERLINK(CONCATENATE("#metadata!", ADDRESS(INDEX($AH$2:$AH$1001,MATCH(ROWS($AF$2:AF137),$AF$2:$AF$1001,0),0), INDEX($AM$1004:$BM$1004,1,MATCH(COLUMNS($AM$1006:AW1006),$AM$1006:$BM$1006,0)))),"Fix")))</f>
        <v xml:space="preserve"> </v>
      </c>
      <c r="M137" s="4" t="str">
        <f ca="1">IF(OR(INDEX($AG$2:$AG$1001,MATCH(ROWS($AF$2:AF137),$AF$2:$AF$1001,0),1)&gt;=100000,INDEX($AM$1005:$BM$1005,1,MATCH(COLUMNS($AM$1006:AX1006),$AM$1006:$BM$1006,0))&gt;=100000), " ",IF(INDEX($AM$2:$BM$1001,MATCH(ROWS($AF$2:AF137),$AF$2:$AF$1001,0),MATCH(COLUMNS($AM$1006:AX1006),$AM$1006:$BM$1006,0)), HYPERLINK("#",""), HYPERLINK(CONCATENATE("#metadata!", ADDRESS(INDEX($AH$2:$AH$1001,MATCH(ROWS($AF$2:AF137),$AF$2:$AF$1001,0),0), INDEX($AM$1004:$BM$1004,1,MATCH(COLUMNS($AM$1006:AX1006),$AM$1006:$BM$1006,0)))),"Fix")))</f>
        <v xml:space="preserve"> </v>
      </c>
      <c r="N137" s="4" t="str">
        <f ca="1">IF(OR(INDEX($AG$2:$AG$1001,MATCH(ROWS($AF$2:AF137),$AF$2:$AF$1001,0),1)&gt;=100000,INDEX($AM$1005:$BM$1005,1,MATCH(COLUMNS($AM$1006:AY1006),$AM$1006:$BM$1006,0))&gt;=100000), " ",IF(INDEX($AM$2:$BM$1001,MATCH(ROWS($AF$2:AF137),$AF$2:$AF$1001,0),MATCH(COLUMNS($AM$1006:AY1006),$AM$1006:$BM$1006,0)), HYPERLINK("#",""), HYPERLINK(CONCATENATE("#metadata!", ADDRESS(INDEX($AH$2:$AH$1001,MATCH(ROWS($AF$2:AF137),$AF$2:$AF$1001,0),0), INDEX($AM$1004:$BM$1004,1,MATCH(COLUMNS($AM$1006:AY1006),$AM$1006:$BM$1006,0)))),"Fix")))</f>
        <v xml:space="preserve"> </v>
      </c>
      <c r="O137" s="4" t="str">
        <f ca="1">IF(OR(INDEX($AG$2:$AG$1001,MATCH(ROWS($AF$2:AF137),$AF$2:$AF$1001,0),1)&gt;=100000,INDEX($AM$1005:$BM$1005,1,MATCH(COLUMNS($AM$1006:AZ1006),$AM$1006:$BM$1006,0))&gt;=100000), " ",IF(INDEX($AM$2:$BM$1001,MATCH(ROWS($AF$2:AF137),$AF$2:$AF$1001,0),MATCH(COLUMNS($AM$1006:AZ1006),$AM$1006:$BM$1006,0)), HYPERLINK("#",""), HYPERLINK(CONCATENATE("#metadata!", ADDRESS(INDEX($AH$2:$AH$1001,MATCH(ROWS($AF$2:AF137),$AF$2:$AF$1001,0),0), INDEX($AM$1004:$BM$1004,1,MATCH(COLUMNS($AM$1006:AZ1006),$AM$1006:$BM$1006,0)))),"Fix")))</f>
        <v xml:space="preserve"> </v>
      </c>
      <c r="P137" s="4" t="str">
        <f ca="1">IF(OR(INDEX($AG$2:$AG$1001,MATCH(ROWS($AF$2:AF137),$AF$2:$AF$1001,0),1)&gt;=100000,INDEX($AM$1005:$BM$1005,1,MATCH(COLUMNS($AM$1006:BA1006),$AM$1006:$BM$1006,0))&gt;=100000), " ",IF(INDEX($AM$2:$BM$1001,MATCH(ROWS($AF$2:AF137),$AF$2:$AF$1001,0),MATCH(COLUMNS($AM$1006:BA1006),$AM$1006:$BM$1006,0)), HYPERLINK("#",""), HYPERLINK(CONCATENATE("#metadata!", ADDRESS(INDEX($AH$2:$AH$1001,MATCH(ROWS($AF$2:AF137),$AF$2:$AF$1001,0),0), INDEX($AM$1004:$BM$1004,1,MATCH(COLUMNS($AM$1006:BA1006),$AM$1006:$BM$1006,0)))),"Fix")))</f>
        <v xml:space="preserve"> </v>
      </c>
      <c r="Q137" s="4" t="str">
        <f ca="1">IF(OR(INDEX($AG$2:$AG$1001,MATCH(ROWS($AF$2:AF137),$AF$2:$AF$1001,0),1)&gt;=100000,INDEX($AM$1005:$BM$1005,1,MATCH(COLUMNS($AM$1006:BB1006),$AM$1006:$BM$1006,0))&gt;=100000), " ",IF(INDEX($AM$2:$BM$1001,MATCH(ROWS($AF$2:AF137),$AF$2:$AF$1001,0),MATCH(COLUMNS($AM$1006:BB1006),$AM$1006:$BM$1006,0)), HYPERLINK("#",""), HYPERLINK(CONCATENATE("#metadata!", ADDRESS(INDEX($AH$2:$AH$1001,MATCH(ROWS($AF$2:AF137),$AF$2:$AF$1001,0),0), INDEX($AM$1004:$BM$1004,1,MATCH(COLUMNS($AM$1006:BB1006),$AM$1006:$BM$1006,0)))),"Fix")))</f>
        <v xml:space="preserve"> </v>
      </c>
      <c r="R137" s="4" t="str">
        <f ca="1">IF(OR(INDEX($AG$2:$AG$1001,MATCH(ROWS($AF$2:AF137),$AF$2:$AF$1001,0),1)&gt;=100000,INDEX($AM$1005:$BM$1005,1,MATCH(COLUMNS($AM$1006:BC1006),$AM$1006:$BM$1006,0))&gt;=100000), " ",IF(INDEX($AM$2:$BM$1001,MATCH(ROWS($AF$2:AF137),$AF$2:$AF$1001,0),MATCH(COLUMNS($AM$1006:BC1006),$AM$1006:$BM$1006,0)), HYPERLINK("#",""), HYPERLINK(CONCATENATE("#metadata!", ADDRESS(INDEX($AH$2:$AH$1001,MATCH(ROWS($AF$2:AF137),$AF$2:$AF$1001,0),0), INDEX($AM$1004:$BM$1004,1,MATCH(COLUMNS($AM$1006:BC1006),$AM$1006:$BM$1006,0)))),"Fix")))</f>
        <v xml:space="preserve"> </v>
      </c>
      <c r="S137" s="4" t="str">
        <f ca="1">IF(OR(INDEX($AG$2:$AG$1001,MATCH(ROWS($AF$2:AF137),$AF$2:$AF$1001,0),1)&gt;=100000,INDEX($AM$1005:$BM$1005,1,MATCH(COLUMNS($AM$1006:BD1006),$AM$1006:$BM$1006,0))&gt;=100000), " ",IF(INDEX($AM$2:$BM$1001,MATCH(ROWS($AF$2:AF137),$AF$2:$AF$1001,0),MATCH(COLUMNS($AM$1006:BD1006),$AM$1006:$BM$1006,0)), HYPERLINK("#",""), HYPERLINK(CONCATENATE("#metadata!", ADDRESS(INDEX($AH$2:$AH$1001,MATCH(ROWS($AF$2:AF137),$AF$2:$AF$1001,0),0), INDEX($AM$1004:$BM$1004,1,MATCH(COLUMNS($AM$1006:BD1006),$AM$1006:$BM$1006,0)))),"Fix")))</f>
        <v xml:space="preserve"> </v>
      </c>
      <c r="T137" s="4" t="str">
        <f ca="1">IF(OR(INDEX($AG$2:$AG$1001,MATCH(ROWS($AF$2:AF137),$AF$2:$AF$1001,0),1)&gt;=100000,INDEX($AM$1005:$BM$1005,1,MATCH(COLUMNS($AM$1006:BE1006),$AM$1006:$BM$1006,0))&gt;=100000), " ",IF(INDEX($AM$2:$BM$1001,MATCH(ROWS($AF$2:AF137),$AF$2:$AF$1001,0),MATCH(COLUMNS($AM$1006:BE1006),$AM$1006:$BM$1006,0)), HYPERLINK("#",""), HYPERLINK(CONCATENATE("#metadata!", ADDRESS(INDEX($AH$2:$AH$1001,MATCH(ROWS($AF$2:AF137),$AF$2:$AF$1001,0),0), INDEX($AM$1004:$BM$1004,1,MATCH(COLUMNS($AM$1006:BE1006),$AM$1006:$BM$1006,0)))),"Fix")))</f>
        <v xml:space="preserve"> </v>
      </c>
      <c r="U137" s="4" t="str">
        <f ca="1">IF(OR(INDEX($AG$2:$AG$1001,MATCH(ROWS($AF$2:AF137),$AF$2:$AF$1001,0),1)&gt;=100000,INDEX($AM$1005:$BM$1005,1,MATCH(COLUMNS($AM$1006:BF1006),$AM$1006:$BM$1006,0))&gt;=100000), " ",IF(INDEX($AM$2:$BM$1001,MATCH(ROWS($AF$2:AF137),$AF$2:$AF$1001,0),MATCH(COLUMNS($AM$1006:BF1006),$AM$1006:$BM$1006,0)), HYPERLINK("#",""), HYPERLINK(CONCATENATE("#metadata!", ADDRESS(INDEX($AH$2:$AH$1001,MATCH(ROWS($AF$2:AF137),$AF$2:$AF$1001,0),0), INDEX($AM$1004:$BM$1004,1,MATCH(COLUMNS($AM$1006:BF1006),$AM$1006:$BM$1006,0)))),"Fix")))</f>
        <v xml:space="preserve"> </v>
      </c>
      <c r="V137" s="4" t="str">
        <f ca="1">IF(OR(INDEX($AG$2:$AG$1001,MATCH(ROWS($AF$2:AF137),$AF$2:$AF$1001,0),1)&gt;=100000,INDEX($AM$1005:$BM$1005,1,MATCH(COLUMNS($AM$1006:BG1006),$AM$1006:$BM$1006,0))&gt;=100000), " ",IF(INDEX($AM$2:$BM$1001,MATCH(ROWS($AF$2:AF137),$AF$2:$AF$1001,0),MATCH(COLUMNS($AM$1006:BG1006),$AM$1006:$BM$1006,0)), HYPERLINK("#",""), HYPERLINK(CONCATENATE("#metadata!", ADDRESS(INDEX($AH$2:$AH$1001,MATCH(ROWS($AF$2:AF137),$AF$2:$AF$1001,0),0), INDEX($AM$1004:$BM$1004,1,MATCH(COLUMNS($AM$1006:BG1006),$AM$1006:$BM$1006,0)))),"Fix")))</f>
        <v xml:space="preserve"> </v>
      </c>
      <c r="W137" s="4" t="str">
        <f ca="1">IF(OR(INDEX($AG$2:$AG$1001,MATCH(ROWS($AF$2:AF137),$AF$2:$AF$1001,0),1)&gt;=100000,INDEX($AM$1005:$BM$1005,1,MATCH(COLUMNS($AM$1006:BH1006),$AM$1006:$BM$1006,0))&gt;=100000), " ",IF(INDEX($AM$2:$BM$1001,MATCH(ROWS($AF$2:AF137),$AF$2:$AF$1001,0),MATCH(COLUMNS($AM$1006:BH1006),$AM$1006:$BM$1006,0)), HYPERLINK("#",""), HYPERLINK(CONCATENATE("#metadata!", ADDRESS(INDEX($AH$2:$AH$1001,MATCH(ROWS($AF$2:AF137),$AF$2:$AF$1001,0),0), INDEX($AM$1004:$BM$1004,1,MATCH(COLUMNS($AM$1006:BH1006),$AM$1006:$BM$1006,0)))),"Fix")))</f>
        <v xml:space="preserve"> </v>
      </c>
      <c r="X137" s="4" t="str">
        <f ca="1">IF(OR(INDEX($AG$2:$AG$1001,MATCH(ROWS($AF$2:AF137),$AF$2:$AF$1001,0),1)&gt;=100000,INDEX($AM$1005:$BM$1005,1,MATCH(COLUMNS($AM$1006:BI1006),$AM$1006:$BM$1006,0))&gt;=100000), " ",IF(INDEX($AM$2:$BM$1001,MATCH(ROWS($AF$2:AF137),$AF$2:$AF$1001,0),MATCH(COLUMNS($AM$1006:BI1006),$AM$1006:$BM$1006,0)), HYPERLINK("#",""), HYPERLINK(CONCATENATE("#metadata!", ADDRESS(INDEX($AH$2:$AH$1001,MATCH(ROWS($AF$2:AF137),$AF$2:$AF$1001,0),0), INDEX($AM$1004:$BM$1004,1,MATCH(COLUMNS($AM$1006:BI1006),$AM$1006:$BM$1006,0)))),"Fix")))</f>
        <v xml:space="preserve"> </v>
      </c>
      <c r="Y137" s="4" t="str">
        <f ca="1">IF(OR(INDEX($AG$2:$AG$1001,MATCH(ROWS($AF$2:AF137),$AF$2:$AF$1001,0),1)&gt;=100000,INDEX($AM$1005:$BM$1005,1,MATCH(COLUMNS($AM$1006:BJ1006),$AM$1006:$BM$1006,0))&gt;=100000), " ",IF(INDEX($AM$2:$BM$1001,MATCH(ROWS($AF$2:AF137),$AF$2:$AF$1001,0),MATCH(COLUMNS($AM$1006:BJ1006),$AM$1006:$BM$1006,0)), HYPERLINK("#",""), HYPERLINK(CONCATENATE("#metadata!", ADDRESS(INDEX($AH$2:$AH$1001,MATCH(ROWS($AF$2:AF137),$AF$2:$AF$1001,0),0), INDEX($AM$1004:$BM$1004,1,MATCH(COLUMNS($AM$1006:BJ1006),$AM$1006:$BM$1006,0)))),"Fix")))</f>
        <v xml:space="preserve"> </v>
      </c>
      <c r="Z137" s="4" t="str">
        <f ca="1">IF(OR(INDEX($AG$2:$AG$1001,MATCH(ROWS($AF$2:AF137),$AF$2:$AF$1001,0),1)&gt;=100000,INDEX($AM$1005:$BM$1005,1,MATCH(COLUMNS($AM$1006:BK1006),$AM$1006:$BM$1006,0))&gt;=100000), " ",IF(INDEX($AM$2:$BM$1001,MATCH(ROWS($AF$2:AF137),$AF$2:$AF$1001,0),MATCH(COLUMNS($AM$1006:BK1006),$AM$1006:$BM$1006,0)), HYPERLINK("#",""), HYPERLINK(CONCATENATE("#metadata!", ADDRESS(INDEX($AH$2:$AH$1001,MATCH(ROWS($AF$2:AF137),$AF$2:$AF$1001,0),0), INDEX($AM$1004:$BM$1004,1,MATCH(COLUMNS($AM$1006:BK1006),$AM$1006:$BM$1006,0)))),"Fix")))</f>
        <v xml:space="preserve"> </v>
      </c>
      <c r="AA137" s="4" t="str">
        <f ca="1">IF(OR(INDEX($AG$2:$AG$1001,MATCH(ROWS($AF$2:AF137),$AF$2:$AF$1001,0),1)&gt;=100000,INDEX($AM$1005:$BM$1005,1,MATCH(COLUMNS($AM$1006:BL1006),$AM$1006:$BM$1006,0))&gt;=100000), " ",IF(INDEX($AM$2:$BM$1001,MATCH(ROWS($AF$2:AF137),$AF$2:$AF$1001,0),MATCH(COLUMNS($AM$1006:BL1006),$AM$1006:$BM$1006,0)), HYPERLINK("#",""), HYPERLINK(CONCATENATE("#metadata!", ADDRESS(INDEX($AH$2:$AH$1001,MATCH(ROWS($AF$2:AF137),$AF$2:$AF$1001,0),0), INDEX($AM$1004:$BM$1004,1,MATCH(COLUMNS($AM$1006:BL1006),$AM$1006:$BM$1006,0)))),"Fix")))</f>
        <v xml:space="preserve"> </v>
      </c>
      <c r="AB137" s="4" t="str">
        <f ca="1">IF(OR(INDEX($AG$2:$AG$1001,MATCH(ROWS($AF$2:AF137),$AF$2:$AF$1001,0),1)&gt;=100000,INDEX($AM$1005:$BM$1005,1,MATCH(COLUMNS($AM$1006:BM1006),$AM$1006:$BM$1006,0))&gt;=100000), " ",IF(INDEX($AM$2:$BM$1001,MATCH(ROWS($AF$2:AF137),$AF$2:$AF$1001,0),MATCH(COLUMNS($AM$1006:BM1006),$AM$1006:$BM$1006,0)), HYPERLINK("#",""), HYPERLINK(CONCATENATE("#metadata!", ADDRESS(INDEX($AH$2:$AH$1001,MATCH(ROWS($AF$2:AF137),$AF$2:$AF$1001,0),0), INDEX($AM$1004:$BM$1004,1,MATCH(COLUMNS($AM$1006:BM1006),$AM$1006:$BM$1006,0)))),"Fix")))</f>
        <v xml:space="preserve"> </v>
      </c>
      <c r="AF137">
        <v>136</v>
      </c>
      <c r="AG137">
        <v>100137</v>
      </c>
      <c r="AH137">
        <v>137</v>
      </c>
      <c r="AI137" t="b">
        <f t="shared" si="2"/>
        <v>1</v>
      </c>
      <c r="AJ137" t="b">
        <f>COUNTBLANK(metadata!B137:AB137)=COLUMNS(metadata!B137:AB137)</f>
        <v>1</v>
      </c>
      <c r="AK137" t="str">
        <v/>
      </c>
      <c r="AM137" t="b">
        <f ca="1">AND(IF(metadata!B137="",FALSE,TRUE),COUNTIF(metadata!B:B, metadata!B137) = 1,NOT(ISERROR(SUMPRODUCT(SEARCH(MID(metadata!B137,ROW(INDIRECT("1:"&amp;LEN(metadata!B137))), 1),"0123456789abcdefghijklmnopqrstuvwxyzABCDEFGHIJKLMNOPQRSTUVWXYZ.")))))</f>
        <v>0</v>
      </c>
      <c r="AN137" t="b">
        <f ca="1">OR(AND(IF(metadata!C137="",FALSE,TRUE),OR(EXACT(metadata!C137,"missing: not collected"),EXACT(metadata!C137,"missing: not provided"),EXACT(metadata!C137,"missing: restricted access"))),AND(IF(metadata!C137="",FALSE,TRUE),AND(AND(IFERROR(INT(LEFT(metadata!C137,4))&gt;1900,FALSE),IFERROR(INT(LEFT(metadata!C137,4))&lt;=YEAR(NOW()),FALSE)), OR(MID(metadata!C137,5,1)="", AND(AND(MID(metadata!C137,5,1)="-",IFERROR(INT(MID(metadata!C137,6,1))&gt;=0,FALSE),IFERROR(INT(MID(metadata!C137,6,1))&lt;=1,FALSE),NOT(MID(metadata!C137,7,1)=""),IFERROR(INT(MID(metadata!C137,6,2))&gt;=1,FALSE),IFERROR(INT(MID(metadata!C137,6,2))&lt;=12,FALSE)), OR(MID(metadata!C137,8,1)="", AND(AND(MID(metadata!C137,8,1)="-",IFERROR(INT(MID(metadata!C137,9,1))&gt;=0,FALSE),IFERROR(INT(MID(metadata!C137,9,1))&lt;=3,FALSE),NOT(MID(metadata!C137,10,1)=""),IFERROR(INT(MID(metadata!C137,9,2))&gt;=1,FALSE),IFERROR(INT(MID(metadata!C137,9,2))&lt;=31,FALSE)), OR(MID(metadata!C137,11,1)="", AND(AND(MID(metadata!C137,11,1)=" ",IFERROR(INT(MID(metadata!C137,12,1))&gt;=0,FALSE),IFERROR(INT(MID(metadata!C137,12,1))&lt;=2,FALSE),NOT(MID(metadata!C137,13,1)=""),IFERROR(INT(MID(metadata!C137,12,2))&gt;=0,FALSE),IFERROR(INT(MID(metadata!C137,12,2))&lt;=23,FALSE)), OR(MID(metadata!C137,14,1)="", AND(AND(MID(metadata!C137,14,1)=":",IFERROR(INT(MID(metadata!C137,15,1))&gt;=0,FALSE),IFERROR(INT(MID(metadata!C137,15,1))&lt;=5,FALSE),NOT(MID(metadata!C137,16,1)=""),IFERROR(INT(MID(metadata!C137,15,2))&gt;=0,FALSE),IFERROR(INT(MID(metadata!C137,15,2))&lt;=59,FALSE)), OR(MID(metadata!C137,17,1)="", AND(AND(MID(metadata!C137,17,1)=":",IFERROR(INT(MID(metadata!C137,18,1))&gt;=0,FALSE),IFERROR(INT(MID(metadata!C137,18,1))&lt;=5,FALSE),NOT(MID(metadata!C137,19,1)=""),IFERROR(INT(MID(metadata!C137,18,2))&gt;=0,FALSE),IFERROR(INT(MID(metadata!C137,18,2))&lt;=59,FALSE)), LEN(metadata!C137)&lt;=19)))))))))))))</f>
        <v>0</v>
      </c>
      <c r="AO137" t="b">
        <f>AND(IF(metadata!D137="",FALSE,TRUE),EXACT(metadata!D137,"Not applicable"))</f>
        <v>0</v>
      </c>
      <c r="AP137" t="b">
        <f>IF(metadata!E137="",FALSE,TRUE)</f>
        <v>0</v>
      </c>
      <c r="AQ137" t="b">
        <f>OR(AND(IF(metadata!F137="",FALSE,TRUE),OR(EXACT(metadata!F137,"missing: not collected"),EXACT(metadata!F137,"missing: not provided"))),AND(IF(metadata!F137="",FALSE,TRUE),OR(EXACT(metadata!F137,"TRUE"),EXACT(metadata!F137,"FALSE"))))</f>
        <v>0</v>
      </c>
      <c r="AR137" t="b">
        <f>OR(AND(IF(metadata!G137="",FALSE,TRUE),OR(EXACT(metadata!G137,"missing: not collected"),EXACT(metadata!G137,"missing: not provided"),EXACT(metadata!G137,"missing: restricted access"))),AND(IF(metadata!G137="",FALSE,ISNUMBER(VALUE(metadata!G137))),metadata!G137&gt;=-413))</f>
        <v>0</v>
      </c>
      <c r="AS137" t="b">
        <f>AND(IF(metadata!H137="",FALSE,TRUE),EXACT(metadata!H137,"meters"))</f>
        <v>0</v>
      </c>
      <c r="AT137" t="b">
        <f>AND(IF(metadata!I137="",FALSE,TRUE),OR(EXACT(metadata!I137,"Host-associated"),EXACT(metadata!I137,"Free-living")))</f>
        <v>0</v>
      </c>
      <c r="AU137" t="b">
        <f>AND(IF(metadata!J137="",FALSE,TRUE),OR(EXACT(metadata!J137,"Animal"),EXACT(metadata!J137,"Fungus"),EXACT(metadata!J137,"Plant"),EXACT(metadata!J137,"Saline"),EXACT(metadata!J137,"Non-saline")))</f>
        <v>0</v>
      </c>
      <c r="AV137" t="b">
        <f>AND(IF(metadata!K137="",FALSE,TRUE),OR(EXACT(metadata!K137,"Plant secretion"),EXACT(metadata!K137,"Plant rhizosphere"),EXACT(metadata!K137,"Plant surface"),EXACT(metadata!K137,"Plant corpus"),EXACT(metadata!K137,"Fungus surface"),EXACT(metadata!K137,"Fungus corpus"),EXACT(metadata!K137,"Animal surface"),EXACT(metadata!K137,"Animal proximal gut"),EXACT(metadata!K137,"Animal corpus"),EXACT(metadata!K137,"Animal distal gut"),EXACT(metadata!K137,"Animal secretion"),EXACT(metadata!K137,"Sub-surface (non-saline)"),EXACT(metadata!K137,"Surface (non-saline)"),EXACT(metadata!K137,"Water (non-saline)"),EXACT(metadata!K137,"Soil (non-saline)"),EXACT(metadata!K137,"Aerosol (non-saline)"),EXACT(metadata!K137,"Sediment (non-saline)"),EXACT(metadata!K137,"Surface (saline)"),EXACT(metadata!K137,"Water (saline)"),EXACT(metadata!K137,"Hypersaline (saline)"),EXACT(metadata!K137,"Aerosol (saline)"),EXACT(metadata!K137,"Sediment (saline)")))</f>
        <v>0</v>
      </c>
      <c r="AW137" t="b">
        <f>IF(metadata!L137="",FALSE,TRUE)</f>
        <v>0</v>
      </c>
      <c r="AX137" t="b">
        <f>IF(metadata!M137="",FALSE,TRUE)</f>
        <v>0</v>
      </c>
      <c r="AY137" t="b">
        <f>IF(metadata!N137="",FALSE,TRUE)</f>
        <v>0</v>
      </c>
      <c r="AZ137" t="b">
        <f>OR(AND(IF(metadata!O137="",FALSE,TRUE),OR(EXACT(metadata!O137,"missing: not collected"),EXACT(metadata!O137,"missing: not provided"),EXACT(metadata!O137,"missing: restricted access"))),AND(IF(metadata!O137="",FALSE,TRUE),OR(EXACT(metadata!O137,"air"),EXACT(metadata!O137,"built environment"),EXACT(metadata!O137,"host-associated"),EXACT(metadata!O137,"human-associated"),EXACT(metadata!O137,"human-skin"),EXACT(metadata!O137,"human-oral"),EXACT(metadata!O137,"human-gut"),EXACT(metadata!O137,"human-vaginal"),EXACT(metadata!O137,"microbial mat/biofilm"),EXACT(metadata!O137,"misc environment"),EXACT(metadata!O137,"plant-associated"),EXACT(metadata!O137,"sediment"),EXACT(metadata!O137,"soil"),EXACT(metadata!O137,"wastewater/sludge"),EXACT(metadata!O137,"water"))))</f>
        <v>0</v>
      </c>
      <c r="BA137" t="b">
        <f>IF(metadata!P137="",FALSE,TRUE)</f>
        <v>0</v>
      </c>
      <c r="BB137" t="b">
        <f>IF(metadata!Q137="",FALSE,TRUE)</f>
        <v>0</v>
      </c>
      <c r="BC137" t="b">
        <f>OR(AND(IF(metadata!R137="",FALSE,TRUE),OR(EXACT(metadata!R137,"missing: not collected"),EXACT(metadata!R137,"missing: not provided"),EXACT(metadata!R137,"missing: restricted access"))),AND(IF(metadata!R137="",FALSE,ISNUMBER(VALUE(metadata!R137))),metadata!R137&gt;=-90,metadata!R137&lt;=90))</f>
        <v>0</v>
      </c>
      <c r="BD137" t="b">
        <f>AND(IF(metadata!S137="",FALSE,TRUE),EXACT(metadata!S137,"Decimal degrees"))</f>
        <v>0</v>
      </c>
      <c r="BE137" t="b">
        <f>OR(AND(IF(metadata!T137="",FALSE,TRUE),OR(EXACT(metadata!T137,"missing: not collected"),EXACT(metadata!T137,"missing: not provided"),EXACT(metadata!T137,"missing: restricted access"))),AND(IF(metadata!T137="",FALSE,ISNUMBER(VALUE(metadata!T137))),metadata!T137&gt;=-180,metadata!T137&lt;=180))</f>
        <v>0</v>
      </c>
      <c r="BF137" t="b">
        <f>AND(IF(metadata!U137="",FALSE,TRUE),EXACT(metadata!U137,"Decimal degrees"))</f>
        <v>0</v>
      </c>
      <c r="BG137" t="b">
        <f>IF(metadata!V137="",FALSE,TRUE)</f>
        <v>0</v>
      </c>
      <c r="BH137" t="b">
        <f>OR(AND(IF(metadata!W137="",FALSE,TRUE),OR(EXACT(metadata!W137,"missing: not collected"),EXACT(metadata!W137,"missing: not provided"),EXACT(metadata!W137,"missing: restricted access"))),AND(IF(metadata!W137="",FALSE,TRUE),OR(EXACT(metadata!W137,"TRUE"),EXACT(metadata!W137,"FALSE"))))</f>
        <v>0</v>
      </c>
      <c r="BI137" t="b">
        <f>AND(IF(metadata!X137="",FALSE,TRUE),EXACT(metadata!X137,"other"))</f>
        <v>0</v>
      </c>
      <c r="BJ137" t="b">
        <f>IF(metadata!Y137="",FALSE,TRUE)</f>
        <v>0</v>
      </c>
      <c r="BK137" t="b">
        <f>OR(AND(IF(metadata!Z137="",FALSE,TRUE),OR(EXACT(metadata!Z137,"missing: not collected"),EXACT(metadata!Z137,"missing: not provided"))),AND(IF(metadata!Z137="",FALSE,IF(ISERROR(INT(metadata!Z137)),FALSE,INT(metadata!Z137)=metadata!Z137)),metadata!Z137&gt;0))</f>
        <v>0</v>
      </c>
      <c r="BL137" t="b">
        <f>AND(IF(metadata!AA137="",FALSE,TRUE),EXACT(metadata!AA137,"Not applicable"))</f>
        <v>0</v>
      </c>
      <c r="BM137" t="b">
        <f>IF(metadata!AB137="",FALSE,TRUE)</f>
        <v>0</v>
      </c>
    </row>
    <row r="138" spans="1:65" x14ac:dyDescent="0.2">
      <c r="A138" s="5" t="str">
        <f ca="1">IF(B138=" "," ",HYPERLINK(CONCATENATE("#metadata!",ADDRESS(INDEX($AH$2:$AH$1001,MATCH(ROWS($AF$2:AF138),$AF$2:$AF$1001,0),0),1)),INDEX($AK$2:$AK$1001,MATCH(ROWS($AF$2:AF138),$AF$2:$AF$1001,0),0)))</f>
        <v xml:space="preserve"> </v>
      </c>
      <c r="B138" s="4" t="str">
        <f ca="1">IF(OR(INDEX($AG$2:$AG$1001,MATCH(ROWS($AF$2:AF138),$AF$2:$AF$1001,0),1)&gt;=100000,INDEX($AM$1005:$BM$1005,1,MATCH(COLUMNS($AM$1006:AM1006),$AM$1006:$BM$1006,0))&gt;=100000), " ",IF(INDEX($AM$2:$BM$1001,MATCH(ROWS($AF$2:AF138),$AF$2:$AF$1001,0),MATCH(COLUMNS($AM$1006:AM1006),$AM$1006:$BM$1006,0)), HYPERLINK("#",""), HYPERLINK(CONCATENATE("#metadata!", ADDRESS(INDEX($AH$2:$AH$1001,MATCH(ROWS($AF$2:AF138),$AF$2:$AF$1001,0),0), INDEX($AM$1004:$BM$1004,1,MATCH(COLUMNS($AM$1006:AM1006),$AM$1006:$BM$1006,0)))),"Fix")))</f>
        <v xml:space="preserve"> </v>
      </c>
      <c r="C138" s="4" t="str">
        <f ca="1">IF(OR(INDEX($AG$2:$AG$1001,MATCH(ROWS($AF$2:AF138),$AF$2:$AF$1001,0),1)&gt;=100000,INDEX($AM$1005:$BM$1005,1,MATCH(COLUMNS($AM$1006:AN1006),$AM$1006:$BM$1006,0))&gt;=100000), " ",IF(INDEX($AM$2:$BM$1001,MATCH(ROWS($AF$2:AF138),$AF$2:$AF$1001,0),MATCH(COLUMNS($AM$1006:AN1006),$AM$1006:$BM$1006,0)), HYPERLINK("#",""), HYPERLINK(CONCATENATE("#metadata!", ADDRESS(INDEX($AH$2:$AH$1001,MATCH(ROWS($AF$2:AF138),$AF$2:$AF$1001,0),0), INDEX($AM$1004:$BM$1004,1,MATCH(COLUMNS($AM$1006:AN1006),$AM$1006:$BM$1006,0)))),"Fix")))</f>
        <v xml:space="preserve"> </v>
      </c>
      <c r="D138" s="4" t="str">
        <f ca="1">IF(OR(INDEX($AG$2:$AG$1001,MATCH(ROWS($AF$2:AF138),$AF$2:$AF$1001,0),1)&gt;=100000,INDEX($AM$1005:$BM$1005,1,MATCH(COLUMNS($AM$1006:AO1006),$AM$1006:$BM$1006,0))&gt;=100000), " ",IF(INDEX($AM$2:$BM$1001,MATCH(ROWS($AF$2:AF138),$AF$2:$AF$1001,0),MATCH(COLUMNS($AM$1006:AO1006),$AM$1006:$BM$1006,0)), HYPERLINK("#",""), HYPERLINK(CONCATENATE("#metadata!", ADDRESS(INDEX($AH$2:$AH$1001,MATCH(ROWS($AF$2:AF138),$AF$2:$AF$1001,0),0), INDEX($AM$1004:$BM$1004,1,MATCH(COLUMNS($AM$1006:AO1006),$AM$1006:$BM$1006,0)))),"Fix")))</f>
        <v xml:space="preserve"> </v>
      </c>
      <c r="E138" s="4" t="str">
        <f ca="1">IF(OR(INDEX($AG$2:$AG$1001,MATCH(ROWS($AF$2:AF138),$AF$2:$AF$1001,0),1)&gt;=100000,INDEX($AM$1005:$BM$1005,1,MATCH(COLUMNS($AM$1006:AP1006),$AM$1006:$BM$1006,0))&gt;=100000), " ",IF(INDEX($AM$2:$BM$1001,MATCH(ROWS($AF$2:AF138),$AF$2:$AF$1001,0),MATCH(COLUMNS($AM$1006:AP1006),$AM$1006:$BM$1006,0)), HYPERLINK("#",""), HYPERLINK(CONCATENATE("#metadata!", ADDRESS(INDEX($AH$2:$AH$1001,MATCH(ROWS($AF$2:AF138),$AF$2:$AF$1001,0),0), INDEX($AM$1004:$BM$1004,1,MATCH(COLUMNS($AM$1006:AP1006),$AM$1006:$BM$1006,0)))),"Fix")))</f>
        <v xml:space="preserve"> </v>
      </c>
      <c r="F138" s="4" t="str">
        <f ca="1">IF(OR(INDEX($AG$2:$AG$1001,MATCH(ROWS($AF$2:AF138),$AF$2:$AF$1001,0),1)&gt;=100000,INDEX($AM$1005:$BM$1005,1,MATCH(COLUMNS($AM$1006:AQ1006),$AM$1006:$BM$1006,0))&gt;=100000), " ",IF(INDEX($AM$2:$BM$1001,MATCH(ROWS($AF$2:AF138),$AF$2:$AF$1001,0),MATCH(COLUMNS($AM$1006:AQ1006),$AM$1006:$BM$1006,0)), HYPERLINK("#",""), HYPERLINK(CONCATENATE("#metadata!", ADDRESS(INDEX($AH$2:$AH$1001,MATCH(ROWS($AF$2:AF138),$AF$2:$AF$1001,0),0), INDEX($AM$1004:$BM$1004,1,MATCH(COLUMNS($AM$1006:AQ1006),$AM$1006:$BM$1006,0)))),"Fix")))</f>
        <v xml:space="preserve"> </v>
      </c>
      <c r="G138" s="4" t="str">
        <f ca="1">IF(OR(INDEX($AG$2:$AG$1001,MATCH(ROWS($AF$2:AF138),$AF$2:$AF$1001,0),1)&gt;=100000,INDEX($AM$1005:$BM$1005,1,MATCH(COLUMNS($AM$1006:AR1006),$AM$1006:$BM$1006,0))&gt;=100000), " ",IF(INDEX($AM$2:$BM$1001,MATCH(ROWS($AF$2:AF138),$AF$2:$AF$1001,0),MATCH(COLUMNS($AM$1006:AR1006),$AM$1006:$BM$1006,0)), HYPERLINK("#",""), HYPERLINK(CONCATENATE("#metadata!", ADDRESS(INDEX($AH$2:$AH$1001,MATCH(ROWS($AF$2:AF138),$AF$2:$AF$1001,0),0), INDEX($AM$1004:$BM$1004,1,MATCH(COLUMNS($AM$1006:AR1006),$AM$1006:$BM$1006,0)))),"Fix")))</f>
        <v xml:space="preserve"> </v>
      </c>
      <c r="H138" s="4" t="str">
        <f ca="1">IF(OR(INDEX($AG$2:$AG$1001,MATCH(ROWS($AF$2:AF138),$AF$2:$AF$1001,0),1)&gt;=100000,INDEX($AM$1005:$BM$1005,1,MATCH(COLUMNS($AM$1006:AS1006),$AM$1006:$BM$1006,0))&gt;=100000), " ",IF(INDEX($AM$2:$BM$1001,MATCH(ROWS($AF$2:AF138),$AF$2:$AF$1001,0),MATCH(COLUMNS($AM$1006:AS1006),$AM$1006:$BM$1006,0)), HYPERLINK("#",""), HYPERLINK(CONCATENATE("#metadata!", ADDRESS(INDEX($AH$2:$AH$1001,MATCH(ROWS($AF$2:AF138),$AF$2:$AF$1001,0),0), INDEX($AM$1004:$BM$1004,1,MATCH(COLUMNS($AM$1006:AS1006),$AM$1006:$BM$1006,0)))),"Fix")))</f>
        <v xml:space="preserve"> </v>
      </c>
      <c r="I138" s="4" t="str">
        <f ca="1">IF(OR(INDEX($AG$2:$AG$1001,MATCH(ROWS($AF$2:AF138),$AF$2:$AF$1001,0),1)&gt;=100000,INDEX($AM$1005:$BM$1005,1,MATCH(COLUMNS($AM$1006:AT1006),$AM$1006:$BM$1006,0))&gt;=100000), " ",IF(INDEX($AM$2:$BM$1001,MATCH(ROWS($AF$2:AF138),$AF$2:$AF$1001,0),MATCH(COLUMNS($AM$1006:AT1006),$AM$1006:$BM$1006,0)), HYPERLINK("#",""), HYPERLINK(CONCATENATE("#metadata!", ADDRESS(INDEX($AH$2:$AH$1001,MATCH(ROWS($AF$2:AF138),$AF$2:$AF$1001,0),0), INDEX($AM$1004:$BM$1004,1,MATCH(COLUMNS($AM$1006:AT1006),$AM$1006:$BM$1006,0)))),"Fix")))</f>
        <v xml:space="preserve"> </v>
      </c>
      <c r="J138" s="4" t="str">
        <f ca="1">IF(OR(INDEX($AG$2:$AG$1001,MATCH(ROWS($AF$2:AF138),$AF$2:$AF$1001,0),1)&gt;=100000,INDEX($AM$1005:$BM$1005,1,MATCH(COLUMNS($AM$1006:AU1006),$AM$1006:$BM$1006,0))&gt;=100000), " ",IF(INDEX($AM$2:$BM$1001,MATCH(ROWS($AF$2:AF138),$AF$2:$AF$1001,0),MATCH(COLUMNS($AM$1006:AU1006),$AM$1006:$BM$1006,0)), HYPERLINK("#",""), HYPERLINK(CONCATENATE("#metadata!", ADDRESS(INDEX($AH$2:$AH$1001,MATCH(ROWS($AF$2:AF138),$AF$2:$AF$1001,0),0), INDEX($AM$1004:$BM$1004,1,MATCH(COLUMNS($AM$1006:AU1006),$AM$1006:$BM$1006,0)))),"Fix")))</f>
        <v xml:space="preserve"> </v>
      </c>
      <c r="K138" s="4" t="str">
        <f ca="1">IF(OR(INDEX($AG$2:$AG$1001,MATCH(ROWS($AF$2:AF138),$AF$2:$AF$1001,0),1)&gt;=100000,INDEX($AM$1005:$BM$1005,1,MATCH(COLUMNS($AM$1006:AV1006),$AM$1006:$BM$1006,0))&gt;=100000), " ",IF(INDEX($AM$2:$BM$1001,MATCH(ROWS($AF$2:AF138),$AF$2:$AF$1001,0),MATCH(COLUMNS($AM$1006:AV1006),$AM$1006:$BM$1006,0)), HYPERLINK("#",""), HYPERLINK(CONCATENATE("#metadata!", ADDRESS(INDEX($AH$2:$AH$1001,MATCH(ROWS($AF$2:AF138),$AF$2:$AF$1001,0),0), INDEX($AM$1004:$BM$1004,1,MATCH(COLUMNS($AM$1006:AV1006),$AM$1006:$BM$1006,0)))),"Fix")))</f>
        <v xml:space="preserve"> </v>
      </c>
      <c r="L138" s="4" t="str">
        <f ca="1">IF(OR(INDEX($AG$2:$AG$1001,MATCH(ROWS($AF$2:AF138),$AF$2:$AF$1001,0),1)&gt;=100000,INDEX($AM$1005:$BM$1005,1,MATCH(COLUMNS($AM$1006:AW1006),$AM$1006:$BM$1006,0))&gt;=100000), " ",IF(INDEX($AM$2:$BM$1001,MATCH(ROWS($AF$2:AF138),$AF$2:$AF$1001,0),MATCH(COLUMNS($AM$1006:AW1006),$AM$1006:$BM$1006,0)), HYPERLINK("#",""), HYPERLINK(CONCATENATE("#metadata!", ADDRESS(INDEX($AH$2:$AH$1001,MATCH(ROWS($AF$2:AF138),$AF$2:$AF$1001,0),0), INDEX($AM$1004:$BM$1004,1,MATCH(COLUMNS($AM$1006:AW1006),$AM$1006:$BM$1006,0)))),"Fix")))</f>
        <v xml:space="preserve"> </v>
      </c>
      <c r="M138" s="4" t="str">
        <f ca="1">IF(OR(INDEX($AG$2:$AG$1001,MATCH(ROWS($AF$2:AF138),$AF$2:$AF$1001,0),1)&gt;=100000,INDEX($AM$1005:$BM$1005,1,MATCH(COLUMNS($AM$1006:AX1006),$AM$1006:$BM$1006,0))&gt;=100000), " ",IF(INDEX($AM$2:$BM$1001,MATCH(ROWS($AF$2:AF138),$AF$2:$AF$1001,0),MATCH(COLUMNS($AM$1006:AX1006),$AM$1006:$BM$1006,0)), HYPERLINK("#",""), HYPERLINK(CONCATENATE("#metadata!", ADDRESS(INDEX($AH$2:$AH$1001,MATCH(ROWS($AF$2:AF138),$AF$2:$AF$1001,0),0), INDEX($AM$1004:$BM$1004,1,MATCH(COLUMNS($AM$1006:AX1006),$AM$1006:$BM$1006,0)))),"Fix")))</f>
        <v xml:space="preserve"> </v>
      </c>
      <c r="N138" s="4" t="str">
        <f ca="1">IF(OR(INDEX($AG$2:$AG$1001,MATCH(ROWS($AF$2:AF138),$AF$2:$AF$1001,0),1)&gt;=100000,INDEX($AM$1005:$BM$1005,1,MATCH(COLUMNS($AM$1006:AY1006),$AM$1006:$BM$1006,0))&gt;=100000), " ",IF(INDEX($AM$2:$BM$1001,MATCH(ROWS($AF$2:AF138),$AF$2:$AF$1001,0),MATCH(COLUMNS($AM$1006:AY1006),$AM$1006:$BM$1006,0)), HYPERLINK("#",""), HYPERLINK(CONCATENATE("#metadata!", ADDRESS(INDEX($AH$2:$AH$1001,MATCH(ROWS($AF$2:AF138),$AF$2:$AF$1001,0),0), INDEX($AM$1004:$BM$1004,1,MATCH(COLUMNS($AM$1006:AY1006),$AM$1006:$BM$1006,0)))),"Fix")))</f>
        <v xml:space="preserve"> </v>
      </c>
      <c r="O138" s="4" t="str">
        <f ca="1">IF(OR(INDEX($AG$2:$AG$1001,MATCH(ROWS($AF$2:AF138),$AF$2:$AF$1001,0),1)&gt;=100000,INDEX($AM$1005:$BM$1005,1,MATCH(COLUMNS($AM$1006:AZ1006),$AM$1006:$BM$1006,0))&gt;=100000), " ",IF(INDEX($AM$2:$BM$1001,MATCH(ROWS($AF$2:AF138),$AF$2:$AF$1001,0),MATCH(COLUMNS($AM$1006:AZ1006),$AM$1006:$BM$1006,0)), HYPERLINK("#",""), HYPERLINK(CONCATENATE("#metadata!", ADDRESS(INDEX($AH$2:$AH$1001,MATCH(ROWS($AF$2:AF138),$AF$2:$AF$1001,0),0), INDEX($AM$1004:$BM$1004,1,MATCH(COLUMNS($AM$1006:AZ1006),$AM$1006:$BM$1006,0)))),"Fix")))</f>
        <v xml:space="preserve"> </v>
      </c>
      <c r="P138" s="4" t="str">
        <f ca="1">IF(OR(INDEX($AG$2:$AG$1001,MATCH(ROWS($AF$2:AF138),$AF$2:$AF$1001,0),1)&gt;=100000,INDEX($AM$1005:$BM$1005,1,MATCH(COLUMNS($AM$1006:BA1006),$AM$1006:$BM$1006,0))&gt;=100000), " ",IF(INDEX($AM$2:$BM$1001,MATCH(ROWS($AF$2:AF138),$AF$2:$AF$1001,0),MATCH(COLUMNS($AM$1006:BA1006),$AM$1006:$BM$1006,0)), HYPERLINK("#",""), HYPERLINK(CONCATENATE("#metadata!", ADDRESS(INDEX($AH$2:$AH$1001,MATCH(ROWS($AF$2:AF138),$AF$2:$AF$1001,0),0), INDEX($AM$1004:$BM$1004,1,MATCH(COLUMNS($AM$1006:BA1006),$AM$1006:$BM$1006,0)))),"Fix")))</f>
        <v xml:space="preserve"> </v>
      </c>
      <c r="Q138" s="4" t="str">
        <f ca="1">IF(OR(INDEX($AG$2:$AG$1001,MATCH(ROWS($AF$2:AF138),$AF$2:$AF$1001,0),1)&gt;=100000,INDEX($AM$1005:$BM$1005,1,MATCH(COLUMNS($AM$1006:BB1006),$AM$1006:$BM$1006,0))&gt;=100000), " ",IF(INDEX($AM$2:$BM$1001,MATCH(ROWS($AF$2:AF138),$AF$2:$AF$1001,0),MATCH(COLUMNS($AM$1006:BB1006),$AM$1006:$BM$1006,0)), HYPERLINK("#",""), HYPERLINK(CONCATENATE("#metadata!", ADDRESS(INDEX($AH$2:$AH$1001,MATCH(ROWS($AF$2:AF138),$AF$2:$AF$1001,0),0), INDEX($AM$1004:$BM$1004,1,MATCH(COLUMNS($AM$1006:BB1006),$AM$1006:$BM$1006,0)))),"Fix")))</f>
        <v xml:space="preserve"> </v>
      </c>
      <c r="R138" s="4" t="str">
        <f ca="1">IF(OR(INDEX($AG$2:$AG$1001,MATCH(ROWS($AF$2:AF138),$AF$2:$AF$1001,0),1)&gt;=100000,INDEX($AM$1005:$BM$1005,1,MATCH(COLUMNS($AM$1006:BC1006),$AM$1006:$BM$1006,0))&gt;=100000), " ",IF(INDEX($AM$2:$BM$1001,MATCH(ROWS($AF$2:AF138),$AF$2:$AF$1001,0),MATCH(COLUMNS($AM$1006:BC1006),$AM$1006:$BM$1006,0)), HYPERLINK("#",""), HYPERLINK(CONCATENATE("#metadata!", ADDRESS(INDEX($AH$2:$AH$1001,MATCH(ROWS($AF$2:AF138),$AF$2:$AF$1001,0),0), INDEX($AM$1004:$BM$1004,1,MATCH(COLUMNS($AM$1006:BC1006),$AM$1006:$BM$1006,0)))),"Fix")))</f>
        <v xml:space="preserve"> </v>
      </c>
      <c r="S138" s="4" t="str">
        <f ca="1">IF(OR(INDEX($AG$2:$AG$1001,MATCH(ROWS($AF$2:AF138),$AF$2:$AF$1001,0),1)&gt;=100000,INDEX($AM$1005:$BM$1005,1,MATCH(COLUMNS($AM$1006:BD1006),$AM$1006:$BM$1006,0))&gt;=100000), " ",IF(INDEX($AM$2:$BM$1001,MATCH(ROWS($AF$2:AF138),$AF$2:$AF$1001,0),MATCH(COLUMNS($AM$1006:BD1006),$AM$1006:$BM$1006,0)), HYPERLINK("#",""), HYPERLINK(CONCATENATE("#metadata!", ADDRESS(INDEX($AH$2:$AH$1001,MATCH(ROWS($AF$2:AF138),$AF$2:$AF$1001,0),0), INDEX($AM$1004:$BM$1004,1,MATCH(COLUMNS($AM$1006:BD1006),$AM$1006:$BM$1006,0)))),"Fix")))</f>
        <v xml:space="preserve"> </v>
      </c>
      <c r="T138" s="4" t="str">
        <f ca="1">IF(OR(INDEX($AG$2:$AG$1001,MATCH(ROWS($AF$2:AF138),$AF$2:$AF$1001,0),1)&gt;=100000,INDEX($AM$1005:$BM$1005,1,MATCH(COLUMNS($AM$1006:BE1006),$AM$1006:$BM$1006,0))&gt;=100000), " ",IF(INDEX($AM$2:$BM$1001,MATCH(ROWS($AF$2:AF138),$AF$2:$AF$1001,0),MATCH(COLUMNS($AM$1006:BE1006),$AM$1006:$BM$1006,0)), HYPERLINK("#",""), HYPERLINK(CONCATENATE("#metadata!", ADDRESS(INDEX($AH$2:$AH$1001,MATCH(ROWS($AF$2:AF138),$AF$2:$AF$1001,0),0), INDEX($AM$1004:$BM$1004,1,MATCH(COLUMNS($AM$1006:BE1006),$AM$1006:$BM$1006,0)))),"Fix")))</f>
        <v xml:space="preserve"> </v>
      </c>
      <c r="U138" s="4" t="str">
        <f ca="1">IF(OR(INDEX($AG$2:$AG$1001,MATCH(ROWS($AF$2:AF138),$AF$2:$AF$1001,0),1)&gt;=100000,INDEX($AM$1005:$BM$1005,1,MATCH(COLUMNS($AM$1006:BF1006),$AM$1006:$BM$1006,0))&gt;=100000), " ",IF(INDEX($AM$2:$BM$1001,MATCH(ROWS($AF$2:AF138),$AF$2:$AF$1001,0),MATCH(COLUMNS($AM$1006:BF1006),$AM$1006:$BM$1006,0)), HYPERLINK("#",""), HYPERLINK(CONCATENATE("#metadata!", ADDRESS(INDEX($AH$2:$AH$1001,MATCH(ROWS($AF$2:AF138),$AF$2:$AF$1001,0),0), INDEX($AM$1004:$BM$1004,1,MATCH(COLUMNS($AM$1006:BF1006),$AM$1006:$BM$1006,0)))),"Fix")))</f>
        <v xml:space="preserve"> </v>
      </c>
      <c r="V138" s="4" t="str">
        <f ca="1">IF(OR(INDEX($AG$2:$AG$1001,MATCH(ROWS($AF$2:AF138),$AF$2:$AF$1001,0),1)&gt;=100000,INDEX($AM$1005:$BM$1005,1,MATCH(COLUMNS($AM$1006:BG1006),$AM$1006:$BM$1006,0))&gt;=100000), " ",IF(INDEX($AM$2:$BM$1001,MATCH(ROWS($AF$2:AF138),$AF$2:$AF$1001,0),MATCH(COLUMNS($AM$1006:BG1006),$AM$1006:$BM$1006,0)), HYPERLINK("#",""), HYPERLINK(CONCATENATE("#metadata!", ADDRESS(INDEX($AH$2:$AH$1001,MATCH(ROWS($AF$2:AF138),$AF$2:$AF$1001,0),0), INDEX($AM$1004:$BM$1004,1,MATCH(COLUMNS($AM$1006:BG1006),$AM$1006:$BM$1006,0)))),"Fix")))</f>
        <v xml:space="preserve"> </v>
      </c>
      <c r="W138" s="4" t="str">
        <f ca="1">IF(OR(INDEX($AG$2:$AG$1001,MATCH(ROWS($AF$2:AF138),$AF$2:$AF$1001,0),1)&gt;=100000,INDEX($AM$1005:$BM$1005,1,MATCH(COLUMNS($AM$1006:BH1006),$AM$1006:$BM$1006,0))&gt;=100000), " ",IF(INDEX($AM$2:$BM$1001,MATCH(ROWS($AF$2:AF138),$AF$2:$AF$1001,0),MATCH(COLUMNS($AM$1006:BH1006),$AM$1006:$BM$1006,0)), HYPERLINK("#",""), HYPERLINK(CONCATENATE("#metadata!", ADDRESS(INDEX($AH$2:$AH$1001,MATCH(ROWS($AF$2:AF138),$AF$2:$AF$1001,0),0), INDEX($AM$1004:$BM$1004,1,MATCH(COLUMNS($AM$1006:BH1006),$AM$1006:$BM$1006,0)))),"Fix")))</f>
        <v xml:space="preserve"> </v>
      </c>
      <c r="X138" s="4" t="str">
        <f ca="1">IF(OR(INDEX($AG$2:$AG$1001,MATCH(ROWS($AF$2:AF138),$AF$2:$AF$1001,0),1)&gt;=100000,INDEX($AM$1005:$BM$1005,1,MATCH(COLUMNS($AM$1006:BI1006),$AM$1006:$BM$1006,0))&gt;=100000), " ",IF(INDEX($AM$2:$BM$1001,MATCH(ROWS($AF$2:AF138),$AF$2:$AF$1001,0),MATCH(COLUMNS($AM$1006:BI1006),$AM$1006:$BM$1006,0)), HYPERLINK("#",""), HYPERLINK(CONCATENATE("#metadata!", ADDRESS(INDEX($AH$2:$AH$1001,MATCH(ROWS($AF$2:AF138),$AF$2:$AF$1001,0),0), INDEX($AM$1004:$BM$1004,1,MATCH(COLUMNS($AM$1006:BI1006),$AM$1006:$BM$1006,0)))),"Fix")))</f>
        <v xml:space="preserve"> </v>
      </c>
      <c r="Y138" s="4" t="str">
        <f ca="1">IF(OR(INDEX($AG$2:$AG$1001,MATCH(ROWS($AF$2:AF138),$AF$2:$AF$1001,0),1)&gt;=100000,INDEX($AM$1005:$BM$1005,1,MATCH(COLUMNS($AM$1006:BJ1006),$AM$1006:$BM$1006,0))&gt;=100000), " ",IF(INDEX($AM$2:$BM$1001,MATCH(ROWS($AF$2:AF138),$AF$2:$AF$1001,0),MATCH(COLUMNS($AM$1006:BJ1006),$AM$1006:$BM$1006,0)), HYPERLINK("#",""), HYPERLINK(CONCATENATE("#metadata!", ADDRESS(INDEX($AH$2:$AH$1001,MATCH(ROWS($AF$2:AF138),$AF$2:$AF$1001,0),0), INDEX($AM$1004:$BM$1004,1,MATCH(COLUMNS($AM$1006:BJ1006),$AM$1006:$BM$1006,0)))),"Fix")))</f>
        <v xml:space="preserve"> </v>
      </c>
      <c r="Z138" s="4" t="str">
        <f ca="1">IF(OR(INDEX($AG$2:$AG$1001,MATCH(ROWS($AF$2:AF138),$AF$2:$AF$1001,0),1)&gt;=100000,INDEX($AM$1005:$BM$1005,1,MATCH(COLUMNS($AM$1006:BK1006),$AM$1006:$BM$1006,0))&gt;=100000), " ",IF(INDEX($AM$2:$BM$1001,MATCH(ROWS($AF$2:AF138),$AF$2:$AF$1001,0),MATCH(COLUMNS($AM$1006:BK1006),$AM$1006:$BM$1006,0)), HYPERLINK("#",""), HYPERLINK(CONCATENATE("#metadata!", ADDRESS(INDEX($AH$2:$AH$1001,MATCH(ROWS($AF$2:AF138),$AF$2:$AF$1001,0),0), INDEX($AM$1004:$BM$1004,1,MATCH(COLUMNS($AM$1006:BK1006),$AM$1006:$BM$1006,0)))),"Fix")))</f>
        <v xml:space="preserve"> </v>
      </c>
      <c r="AA138" s="4" t="str">
        <f ca="1">IF(OR(INDEX($AG$2:$AG$1001,MATCH(ROWS($AF$2:AF138),$AF$2:$AF$1001,0),1)&gt;=100000,INDEX($AM$1005:$BM$1005,1,MATCH(COLUMNS($AM$1006:BL1006),$AM$1006:$BM$1006,0))&gt;=100000), " ",IF(INDEX($AM$2:$BM$1001,MATCH(ROWS($AF$2:AF138),$AF$2:$AF$1001,0),MATCH(COLUMNS($AM$1006:BL1006),$AM$1006:$BM$1006,0)), HYPERLINK("#",""), HYPERLINK(CONCATENATE("#metadata!", ADDRESS(INDEX($AH$2:$AH$1001,MATCH(ROWS($AF$2:AF138),$AF$2:$AF$1001,0),0), INDEX($AM$1004:$BM$1004,1,MATCH(COLUMNS($AM$1006:BL1006),$AM$1006:$BM$1006,0)))),"Fix")))</f>
        <v xml:space="preserve"> </v>
      </c>
      <c r="AB138" s="4" t="str">
        <f ca="1">IF(OR(INDEX($AG$2:$AG$1001,MATCH(ROWS($AF$2:AF138),$AF$2:$AF$1001,0),1)&gt;=100000,INDEX($AM$1005:$BM$1005,1,MATCH(COLUMNS($AM$1006:BM1006),$AM$1006:$BM$1006,0))&gt;=100000), " ",IF(INDEX($AM$2:$BM$1001,MATCH(ROWS($AF$2:AF138),$AF$2:$AF$1001,0),MATCH(COLUMNS($AM$1006:BM1006),$AM$1006:$BM$1006,0)), HYPERLINK("#",""), HYPERLINK(CONCATENATE("#metadata!", ADDRESS(INDEX($AH$2:$AH$1001,MATCH(ROWS($AF$2:AF138),$AF$2:$AF$1001,0),0), INDEX($AM$1004:$BM$1004,1,MATCH(COLUMNS($AM$1006:BM1006),$AM$1006:$BM$1006,0)))),"Fix")))</f>
        <v xml:space="preserve"> </v>
      </c>
      <c r="AF138">
        <v>137</v>
      </c>
      <c r="AG138">
        <v>100138</v>
      </c>
      <c r="AH138">
        <v>138</v>
      </c>
      <c r="AI138" t="b">
        <f t="shared" si="2"/>
        <v>1</v>
      </c>
      <c r="AJ138" t="b">
        <f>COUNTBLANK(metadata!B138:AB138)=COLUMNS(metadata!B138:AB138)</f>
        <v>1</v>
      </c>
      <c r="AK138" t="str">
        <v/>
      </c>
      <c r="AM138" t="b">
        <f ca="1">AND(IF(metadata!B138="",FALSE,TRUE),COUNTIF(metadata!B:B, metadata!B138) = 1,NOT(ISERROR(SUMPRODUCT(SEARCH(MID(metadata!B138,ROW(INDIRECT("1:"&amp;LEN(metadata!B138))), 1),"0123456789abcdefghijklmnopqrstuvwxyzABCDEFGHIJKLMNOPQRSTUVWXYZ.")))))</f>
        <v>0</v>
      </c>
      <c r="AN138" t="b">
        <f ca="1">OR(AND(IF(metadata!C138="",FALSE,TRUE),OR(EXACT(metadata!C138,"missing: not collected"),EXACT(metadata!C138,"missing: not provided"),EXACT(metadata!C138,"missing: restricted access"))),AND(IF(metadata!C138="",FALSE,TRUE),AND(AND(IFERROR(INT(LEFT(metadata!C138,4))&gt;1900,FALSE),IFERROR(INT(LEFT(metadata!C138,4))&lt;=YEAR(NOW()),FALSE)), OR(MID(metadata!C138,5,1)="", AND(AND(MID(metadata!C138,5,1)="-",IFERROR(INT(MID(metadata!C138,6,1))&gt;=0,FALSE),IFERROR(INT(MID(metadata!C138,6,1))&lt;=1,FALSE),NOT(MID(metadata!C138,7,1)=""),IFERROR(INT(MID(metadata!C138,6,2))&gt;=1,FALSE),IFERROR(INT(MID(metadata!C138,6,2))&lt;=12,FALSE)), OR(MID(metadata!C138,8,1)="", AND(AND(MID(metadata!C138,8,1)="-",IFERROR(INT(MID(metadata!C138,9,1))&gt;=0,FALSE),IFERROR(INT(MID(metadata!C138,9,1))&lt;=3,FALSE),NOT(MID(metadata!C138,10,1)=""),IFERROR(INT(MID(metadata!C138,9,2))&gt;=1,FALSE),IFERROR(INT(MID(metadata!C138,9,2))&lt;=31,FALSE)), OR(MID(metadata!C138,11,1)="", AND(AND(MID(metadata!C138,11,1)=" ",IFERROR(INT(MID(metadata!C138,12,1))&gt;=0,FALSE),IFERROR(INT(MID(metadata!C138,12,1))&lt;=2,FALSE),NOT(MID(metadata!C138,13,1)=""),IFERROR(INT(MID(metadata!C138,12,2))&gt;=0,FALSE),IFERROR(INT(MID(metadata!C138,12,2))&lt;=23,FALSE)), OR(MID(metadata!C138,14,1)="", AND(AND(MID(metadata!C138,14,1)=":",IFERROR(INT(MID(metadata!C138,15,1))&gt;=0,FALSE),IFERROR(INT(MID(metadata!C138,15,1))&lt;=5,FALSE),NOT(MID(metadata!C138,16,1)=""),IFERROR(INT(MID(metadata!C138,15,2))&gt;=0,FALSE),IFERROR(INT(MID(metadata!C138,15,2))&lt;=59,FALSE)), OR(MID(metadata!C138,17,1)="", AND(AND(MID(metadata!C138,17,1)=":",IFERROR(INT(MID(metadata!C138,18,1))&gt;=0,FALSE),IFERROR(INT(MID(metadata!C138,18,1))&lt;=5,FALSE),NOT(MID(metadata!C138,19,1)=""),IFERROR(INT(MID(metadata!C138,18,2))&gt;=0,FALSE),IFERROR(INT(MID(metadata!C138,18,2))&lt;=59,FALSE)), LEN(metadata!C138)&lt;=19)))))))))))))</f>
        <v>0</v>
      </c>
      <c r="AO138" t="b">
        <f>AND(IF(metadata!D138="",FALSE,TRUE),EXACT(metadata!D138,"Not applicable"))</f>
        <v>0</v>
      </c>
      <c r="AP138" t="b">
        <f>IF(metadata!E138="",FALSE,TRUE)</f>
        <v>0</v>
      </c>
      <c r="AQ138" t="b">
        <f>OR(AND(IF(metadata!F138="",FALSE,TRUE),OR(EXACT(metadata!F138,"missing: not collected"),EXACT(metadata!F138,"missing: not provided"))),AND(IF(metadata!F138="",FALSE,TRUE),OR(EXACT(metadata!F138,"TRUE"),EXACT(metadata!F138,"FALSE"))))</f>
        <v>0</v>
      </c>
      <c r="AR138" t="b">
        <f>OR(AND(IF(metadata!G138="",FALSE,TRUE),OR(EXACT(metadata!G138,"missing: not collected"),EXACT(metadata!G138,"missing: not provided"),EXACT(metadata!G138,"missing: restricted access"))),AND(IF(metadata!G138="",FALSE,ISNUMBER(VALUE(metadata!G138))),metadata!G138&gt;=-413))</f>
        <v>0</v>
      </c>
      <c r="AS138" t="b">
        <f>AND(IF(metadata!H138="",FALSE,TRUE),EXACT(metadata!H138,"meters"))</f>
        <v>0</v>
      </c>
      <c r="AT138" t="b">
        <f>AND(IF(metadata!I138="",FALSE,TRUE),OR(EXACT(metadata!I138,"Host-associated"),EXACT(metadata!I138,"Free-living")))</f>
        <v>0</v>
      </c>
      <c r="AU138" t="b">
        <f>AND(IF(metadata!J138="",FALSE,TRUE),OR(EXACT(metadata!J138,"Animal"),EXACT(metadata!J138,"Fungus"),EXACT(metadata!J138,"Plant"),EXACT(metadata!J138,"Saline"),EXACT(metadata!J138,"Non-saline")))</f>
        <v>0</v>
      </c>
      <c r="AV138" t="b">
        <f>AND(IF(metadata!K138="",FALSE,TRUE),OR(EXACT(metadata!K138,"Plant secretion"),EXACT(metadata!K138,"Plant rhizosphere"),EXACT(metadata!K138,"Plant surface"),EXACT(metadata!K138,"Plant corpus"),EXACT(metadata!K138,"Fungus surface"),EXACT(metadata!K138,"Fungus corpus"),EXACT(metadata!K138,"Animal surface"),EXACT(metadata!K138,"Animal proximal gut"),EXACT(metadata!K138,"Animal corpus"),EXACT(metadata!K138,"Animal distal gut"),EXACT(metadata!K138,"Animal secretion"),EXACT(metadata!K138,"Sub-surface (non-saline)"),EXACT(metadata!K138,"Surface (non-saline)"),EXACT(metadata!K138,"Water (non-saline)"),EXACT(metadata!K138,"Soil (non-saline)"),EXACT(metadata!K138,"Aerosol (non-saline)"),EXACT(metadata!K138,"Sediment (non-saline)"),EXACT(metadata!K138,"Surface (saline)"),EXACT(metadata!K138,"Water (saline)"),EXACT(metadata!K138,"Hypersaline (saline)"),EXACT(metadata!K138,"Aerosol (saline)"),EXACT(metadata!K138,"Sediment (saline)")))</f>
        <v>0</v>
      </c>
      <c r="AW138" t="b">
        <f>IF(metadata!L138="",FALSE,TRUE)</f>
        <v>0</v>
      </c>
      <c r="AX138" t="b">
        <f>IF(metadata!M138="",FALSE,TRUE)</f>
        <v>0</v>
      </c>
      <c r="AY138" t="b">
        <f>IF(metadata!N138="",FALSE,TRUE)</f>
        <v>0</v>
      </c>
      <c r="AZ138" t="b">
        <f>OR(AND(IF(metadata!O138="",FALSE,TRUE),OR(EXACT(metadata!O138,"missing: not collected"),EXACT(metadata!O138,"missing: not provided"),EXACT(metadata!O138,"missing: restricted access"))),AND(IF(metadata!O138="",FALSE,TRUE),OR(EXACT(metadata!O138,"air"),EXACT(metadata!O138,"built environment"),EXACT(metadata!O138,"host-associated"),EXACT(metadata!O138,"human-associated"),EXACT(metadata!O138,"human-skin"),EXACT(metadata!O138,"human-oral"),EXACT(metadata!O138,"human-gut"),EXACT(metadata!O138,"human-vaginal"),EXACT(metadata!O138,"microbial mat/biofilm"),EXACT(metadata!O138,"misc environment"),EXACT(metadata!O138,"plant-associated"),EXACT(metadata!O138,"sediment"),EXACT(metadata!O138,"soil"),EXACT(metadata!O138,"wastewater/sludge"),EXACT(metadata!O138,"water"))))</f>
        <v>0</v>
      </c>
      <c r="BA138" t="b">
        <f>IF(metadata!P138="",FALSE,TRUE)</f>
        <v>0</v>
      </c>
      <c r="BB138" t="b">
        <f>IF(metadata!Q138="",FALSE,TRUE)</f>
        <v>0</v>
      </c>
      <c r="BC138" t="b">
        <f>OR(AND(IF(metadata!R138="",FALSE,TRUE),OR(EXACT(metadata!R138,"missing: not collected"),EXACT(metadata!R138,"missing: not provided"),EXACT(metadata!R138,"missing: restricted access"))),AND(IF(metadata!R138="",FALSE,ISNUMBER(VALUE(metadata!R138))),metadata!R138&gt;=-90,metadata!R138&lt;=90))</f>
        <v>0</v>
      </c>
      <c r="BD138" t="b">
        <f>AND(IF(metadata!S138="",FALSE,TRUE),EXACT(metadata!S138,"Decimal degrees"))</f>
        <v>0</v>
      </c>
      <c r="BE138" t="b">
        <f>OR(AND(IF(metadata!T138="",FALSE,TRUE),OR(EXACT(metadata!T138,"missing: not collected"),EXACT(metadata!T138,"missing: not provided"),EXACT(metadata!T138,"missing: restricted access"))),AND(IF(metadata!T138="",FALSE,ISNUMBER(VALUE(metadata!T138))),metadata!T138&gt;=-180,metadata!T138&lt;=180))</f>
        <v>0</v>
      </c>
      <c r="BF138" t="b">
        <f>AND(IF(metadata!U138="",FALSE,TRUE),EXACT(metadata!U138,"Decimal degrees"))</f>
        <v>0</v>
      </c>
      <c r="BG138" t="b">
        <f>IF(metadata!V138="",FALSE,TRUE)</f>
        <v>0</v>
      </c>
      <c r="BH138" t="b">
        <f>OR(AND(IF(metadata!W138="",FALSE,TRUE),OR(EXACT(metadata!W138,"missing: not collected"),EXACT(metadata!W138,"missing: not provided"),EXACT(metadata!W138,"missing: restricted access"))),AND(IF(metadata!W138="",FALSE,TRUE),OR(EXACT(metadata!W138,"TRUE"),EXACT(metadata!W138,"FALSE"))))</f>
        <v>0</v>
      </c>
      <c r="BI138" t="b">
        <f>AND(IF(metadata!X138="",FALSE,TRUE),EXACT(metadata!X138,"other"))</f>
        <v>0</v>
      </c>
      <c r="BJ138" t="b">
        <f>IF(metadata!Y138="",FALSE,TRUE)</f>
        <v>0</v>
      </c>
      <c r="BK138" t="b">
        <f>OR(AND(IF(metadata!Z138="",FALSE,TRUE),OR(EXACT(metadata!Z138,"missing: not collected"),EXACT(metadata!Z138,"missing: not provided"))),AND(IF(metadata!Z138="",FALSE,IF(ISERROR(INT(metadata!Z138)),FALSE,INT(metadata!Z138)=metadata!Z138)),metadata!Z138&gt;0))</f>
        <v>0</v>
      </c>
      <c r="BL138" t="b">
        <f>AND(IF(metadata!AA138="",FALSE,TRUE),EXACT(metadata!AA138,"Not applicable"))</f>
        <v>0</v>
      </c>
      <c r="BM138" t="b">
        <f>IF(metadata!AB138="",FALSE,TRUE)</f>
        <v>0</v>
      </c>
    </row>
    <row r="139" spans="1:65" x14ac:dyDescent="0.2">
      <c r="A139" s="5" t="str">
        <f ca="1">IF(B139=" "," ",HYPERLINK(CONCATENATE("#metadata!",ADDRESS(INDEX($AH$2:$AH$1001,MATCH(ROWS($AF$2:AF139),$AF$2:$AF$1001,0),0),1)),INDEX($AK$2:$AK$1001,MATCH(ROWS($AF$2:AF139),$AF$2:$AF$1001,0),0)))</f>
        <v xml:space="preserve"> </v>
      </c>
      <c r="B139" s="4" t="str">
        <f ca="1">IF(OR(INDEX($AG$2:$AG$1001,MATCH(ROWS($AF$2:AF139),$AF$2:$AF$1001,0),1)&gt;=100000,INDEX($AM$1005:$BM$1005,1,MATCH(COLUMNS($AM$1006:AM1006),$AM$1006:$BM$1006,0))&gt;=100000), " ",IF(INDEX($AM$2:$BM$1001,MATCH(ROWS($AF$2:AF139),$AF$2:$AF$1001,0),MATCH(COLUMNS($AM$1006:AM1006),$AM$1006:$BM$1006,0)), HYPERLINK("#",""), HYPERLINK(CONCATENATE("#metadata!", ADDRESS(INDEX($AH$2:$AH$1001,MATCH(ROWS($AF$2:AF139),$AF$2:$AF$1001,0),0), INDEX($AM$1004:$BM$1004,1,MATCH(COLUMNS($AM$1006:AM1006),$AM$1006:$BM$1006,0)))),"Fix")))</f>
        <v xml:space="preserve"> </v>
      </c>
      <c r="C139" s="4" t="str">
        <f ca="1">IF(OR(INDEX($AG$2:$AG$1001,MATCH(ROWS($AF$2:AF139),$AF$2:$AF$1001,0),1)&gt;=100000,INDEX($AM$1005:$BM$1005,1,MATCH(COLUMNS($AM$1006:AN1006),$AM$1006:$BM$1006,0))&gt;=100000), " ",IF(INDEX($AM$2:$BM$1001,MATCH(ROWS($AF$2:AF139),$AF$2:$AF$1001,0),MATCH(COLUMNS($AM$1006:AN1006),$AM$1006:$BM$1006,0)), HYPERLINK("#",""), HYPERLINK(CONCATENATE("#metadata!", ADDRESS(INDEX($AH$2:$AH$1001,MATCH(ROWS($AF$2:AF139),$AF$2:$AF$1001,0),0), INDEX($AM$1004:$BM$1004,1,MATCH(COLUMNS($AM$1006:AN1006),$AM$1006:$BM$1006,0)))),"Fix")))</f>
        <v xml:space="preserve"> </v>
      </c>
      <c r="D139" s="4" t="str">
        <f ca="1">IF(OR(INDEX($AG$2:$AG$1001,MATCH(ROWS($AF$2:AF139),$AF$2:$AF$1001,0),1)&gt;=100000,INDEX($AM$1005:$BM$1005,1,MATCH(COLUMNS($AM$1006:AO1006),$AM$1006:$BM$1006,0))&gt;=100000), " ",IF(INDEX($AM$2:$BM$1001,MATCH(ROWS($AF$2:AF139),$AF$2:$AF$1001,0),MATCH(COLUMNS($AM$1006:AO1006),$AM$1006:$BM$1006,0)), HYPERLINK("#",""), HYPERLINK(CONCATENATE("#metadata!", ADDRESS(INDEX($AH$2:$AH$1001,MATCH(ROWS($AF$2:AF139),$AF$2:$AF$1001,0),0), INDEX($AM$1004:$BM$1004,1,MATCH(COLUMNS($AM$1006:AO1006),$AM$1006:$BM$1006,0)))),"Fix")))</f>
        <v xml:space="preserve"> </v>
      </c>
      <c r="E139" s="4" t="str">
        <f ca="1">IF(OR(INDEX($AG$2:$AG$1001,MATCH(ROWS($AF$2:AF139),$AF$2:$AF$1001,0),1)&gt;=100000,INDEX($AM$1005:$BM$1005,1,MATCH(COLUMNS($AM$1006:AP1006),$AM$1006:$BM$1006,0))&gt;=100000), " ",IF(INDEX($AM$2:$BM$1001,MATCH(ROWS($AF$2:AF139),$AF$2:$AF$1001,0),MATCH(COLUMNS($AM$1006:AP1006),$AM$1006:$BM$1006,0)), HYPERLINK("#",""), HYPERLINK(CONCATENATE("#metadata!", ADDRESS(INDEX($AH$2:$AH$1001,MATCH(ROWS($AF$2:AF139),$AF$2:$AF$1001,0),0), INDEX($AM$1004:$BM$1004,1,MATCH(COLUMNS($AM$1006:AP1006),$AM$1006:$BM$1006,0)))),"Fix")))</f>
        <v xml:space="preserve"> </v>
      </c>
      <c r="F139" s="4" t="str">
        <f ca="1">IF(OR(INDEX($AG$2:$AG$1001,MATCH(ROWS($AF$2:AF139),$AF$2:$AF$1001,0),1)&gt;=100000,INDEX($AM$1005:$BM$1005,1,MATCH(COLUMNS($AM$1006:AQ1006),$AM$1006:$BM$1006,0))&gt;=100000), " ",IF(INDEX($AM$2:$BM$1001,MATCH(ROWS($AF$2:AF139),$AF$2:$AF$1001,0),MATCH(COLUMNS($AM$1006:AQ1006),$AM$1006:$BM$1006,0)), HYPERLINK("#",""), HYPERLINK(CONCATENATE("#metadata!", ADDRESS(INDEX($AH$2:$AH$1001,MATCH(ROWS($AF$2:AF139),$AF$2:$AF$1001,0),0), INDEX($AM$1004:$BM$1004,1,MATCH(COLUMNS($AM$1006:AQ1006),$AM$1006:$BM$1006,0)))),"Fix")))</f>
        <v xml:space="preserve"> </v>
      </c>
      <c r="G139" s="4" t="str">
        <f ca="1">IF(OR(INDEX($AG$2:$AG$1001,MATCH(ROWS($AF$2:AF139),$AF$2:$AF$1001,0),1)&gt;=100000,INDEX($AM$1005:$BM$1005,1,MATCH(COLUMNS($AM$1006:AR1006),$AM$1006:$BM$1006,0))&gt;=100000), " ",IF(INDEX($AM$2:$BM$1001,MATCH(ROWS($AF$2:AF139),$AF$2:$AF$1001,0),MATCH(COLUMNS($AM$1006:AR1006),$AM$1006:$BM$1006,0)), HYPERLINK("#",""), HYPERLINK(CONCATENATE("#metadata!", ADDRESS(INDEX($AH$2:$AH$1001,MATCH(ROWS($AF$2:AF139),$AF$2:$AF$1001,0),0), INDEX($AM$1004:$BM$1004,1,MATCH(COLUMNS($AM$1006:AR1006),$AM$1006:$BM$1006,0)))),"Fix")))</f>
        <v xml:space="preserve"> </v>
      </c>
      <c r="H139" s="4" t="str">
        <f ca="1">IF(OR(INDEX($AG$2:$AG$1001,MATCH(ROWS($AF$2:AF139),$AF$2:$AF$1001,0),1)&gt;=100000,INDEX($AM$1005:$BM$1005,1,MATCH(COLUMNS($AM$1006:AS1006),$AM$1006:$BM$1006,0))&gt;=100000), " ",IF(INDEX($AM$2:$BM$1001,MATCH(ROWS($AF$2:AF139),$AF$2:$AF$1001,0),MATCH(COLUMNS($AM$1006:AS1006),$AM$1006:$BM$1006,0)), HYPERLINK("#",""), HYPERLINK(CONCATENATE("#metadata!", ADDRESS(INDEX($AH$2:$AH$1001,MATCH(ROWS($AF$2:AF139),$AF$2:$AF$1001,0),0), INDEX($AM$1004:$BM$1004,1,MATCH(COLUMNS($AM$1006:AS1006),$AM$1006:$BM$1006,0)))),"Fix")))</f>
        <v xml:space="preserve"> </v>
      </c>
      <c r="I139" s="4" t="str">
        <f ca="1">IF(OR(INDEX($AG$2:$AG$1001,MATCH(ROWS($AF$2:AF139),$AF$2:$AF$1001,0),1)&gt;=100000,INDEX($AM$1005:$BM$1005,1,MATCH(COLUMNS($AM$1006:AT1006),$AM$1006:$BM$1006,0))&gt;=100000), " ",IF(INDEX($AM$2:$BM$1001,MATCH(ROWS($AF$2:AF139),$AF$2:$AF$1001,0),MATCH(COLUMNS($AM$1006:AT1006),$AM$1006:$BM$1006,0)), HYPERLINK("#",""), HYPERLINK(CONCATENATE("#metadata!", ADDRESS(INDEX($AH$2:$AH$1001,MATCH(ROWS($AF$2:AF139),$AF$2:$AF$1001,0),0), INDEX($AM$1004:$BM$1004,1,MATCH(COLUMNS($AM$1006:AT1006),$AM$1006:$BM$1006,0)))),"Fix")))</f>
        <v xml:space="preserve"> </v>
      </c>
      <c r="J139" s="4" t="str">
        <f ca="1">IF(OR(INDEX($AG$2:$AG$1001,MATCH(ROWS($AF$2:AF139),$AF$2:$AF$1001,0),1)&gt;=100000,INDEX($AM$1005:$BM$1005,1,MATCH(COLUMNS($AM$1006:AU1006),$AM$1006:$BM$1006,0))&gt;=100000), " ",IF(INDEX($AM$2:$BM$1001,MATCH(ROWS($AF$2:AF139),$AF$2:$AF$1001,0),MATCH(COLUMNS($AM$1006:AU1006),$AM$1006:$BM$1006,0)), HYPERLINK("#",""), HYPERLINK(CONCATENATE("#metadata!", ADDRESS(INDEX($AH$2:$AH$1001,MATCH(ROWS($AF$2:AF139),$AF$2:$AF$1001,0),0), INDEX($AM$1004:$BM$1004,1,MATCH(COLUMNS($AM$1006:AU1006),$AM$1006:$BM$1006,0)))),"Fix")))</f>
        <v xml:space="preserve"> </v>
      </c>
      <c r="K139" s="4" t="str">
        <f ca="1">IF(OR(INDEX($AG$2:$AG$1001,MATCH(ROWS($AF$2:AF139),$AF$2:$AF$1001,0),1)&gt;=100000,INDEX($AM$1005:$BM$1005,1,MATCH(COLUMNS($AM$1006:AV1006),$AM$1006:$BM$1006,0))&gt;=100000), " ",IF(INDEX($AM$2:$BM$1001,MATCH(ROWS($AF$2:AF139),$AF$2:$AF$1001,0),MATCH(COLUMNS($AM$1006:AV1006),$AM$1006:$BM$1006,0)), HYPERLINK("#",""), HYPERLINK(CONCATENATE("#metadata!", ADDRESS(INDEX($AH$2:$AH$1001,MATCH(ROWS($AF$2:AF139),$AF$2:$AF$1001,0),0), INDEX($AM$1004:$BM$1004,1,MATCH(COLUMNS($AM$1006:AV1006),$AM$1006:$BM$1006,0)))),"Fix")))</f>
        <v xml:space="preserve"> </v>
      </c>
      <c r="L139" s="4" t="str">
        <f ca="1">IF(OR(INDEX($AG$2:$AG$1001,MATCH(ROWS($AF$2:AF139),$AF$2:$AF$1001,0),1)&gt;=100000,INDEX($AM$1005:$BM$1005,1,MATCH(COLUMNS($AM$1006:AW1006),$AM$1006:$BM$1006,0))&gt;=100000), " ",IF(INDEX($AM$2:$BM$1001,MATCH(ROWS($AF$2:AF139),$AF$2:$AF$1001,0),MATCH(COLUMNS($AM$1006:AW1006),$AM$1006:$BM$1006,0)), HYPERLINK("#",""), HYPERLINK(CONCATENATE("#metadata!", ADDRESS(INDEX($AH$2:$AH$1001,MATCH(ROWS($AF$2:AF139),$AF$2:$AF$1001,0),0), INDEX($AM$1004:$BM$1004,1,MATCH(COLUMNS($AM$1006:AW1006),$AM$1006:$BM$1006,0)))),"Fix")))</f>
        <v xml:space="preserve"> </v>
      </c>
      <c r="M139" s="4" t="str">
        <f ca="1">IF(OR(INDEX($AG$2:$AG$1001,MATCH(ROWS($AF$2:AF139),$AF$2:$AF$1001,0),1)&gt;=100000,INDEX($AM$1005:$BM$1005,1,MATCH(COLUMNS($AM$1006:AX1006),$AM$1006:$BM$1006,0))&gt;=100000), " ",IF(INDEX($AM$2:$BM$1001,MATCH(ROWS($AF$2:AF139),$AF$2:$AF$1001,0),MATCH(COLUMNS($AM$1006:AX1006),$AM$1006:$BM$1006,0)), HYPERLINK("#",""), HYPERLINK(CONCATENATE("#metadata!", ADDRESS(INDEX($AH$2:$AH$1001,MATCH(ROWS($AF$2:AF139),$AF$2:$AF$1001,0),0), INDEX($AM$1004:$BM$1004,1,MATCH(COLUMNS($AM$1006:AX1006),$AM$1006:$BM$1006,0)))),"Fix")))</f>
        <v xml:space="preserve"> </v>
      </c>
      <c r="N139" s="4" t="str">
        <f ca="1">IF(OR(INDEX($AG$2:$AG$1001,MATCH(ROWS($AF$2:AF139),$AF$2:$AF$1001,0),1)&gt;=100000,INDEX($AM$1005:$BM$1005,1,MATCH(COLUMNS($AM$1006:AY1006),$AM$1006:$BM$1006,0))&gt;=100000), " ",IF(INDEX($AM$2:$BM$1001,MATCH(ROWS($AF$2:AF139),$AF$2:$AF$1001,0),MATCH(COLUMNS($AM$1006:AY1006),$AM$1006:$BM$1006,0)), HYPERLINK("#",""), HYPERLINK(CONCATENATE("#metadata!", ADDRESS(INDEX($AH$2:$AH$1001,MATCH(ROWS($AF$2:AF139),$AF$2:$AF$1001,0),0), INDEX($AM$1004:$BM$1004,1,MATCH(COLUMNS($AM$1006:AY1006),$AM$1006:$BM$1006,0)))),"Fix")))</f>
        <v xml:space="preserve"> </v>
      </c>
      <c r="O139" s="4" t="str">
        <f ca="1">IF(OR(INDEX($AG$2:$AG$1001,MATCH(ROWS($AF$2:AF139),$AF$2:$AF$1001,0),1)&gt;=100000,INDEX($AM$1005:$BM$1005,1,MATCH(COLUMNS($AM$1006:AZ1006),$AM$1006:$BM$1006,0))&gt;=100000), " ",IF(INDEX($AM$2:$BM$1001,MATCH(ROWS($AF$2:AF139),$AF$2:$AF$1001,0),MATCH(COLUMNS($AM$1006:AZ1006),$AM$1006:$BM$1006,0)), HYPERLINK("#",""), HYPERLINK(CONCATENATE("#metadata!", ADDRESS(INDEX($AH$2:$AH$1001,MATCH(ROWS($AF$2:AF139),$AF$2:$AF$1001,0),0), INDEX($AM$1004:$BM$1004,1,MATCH(COLUMNS($AM$1006:AZ1006),$AM$1006:$BM$1006,0)))),"Fix")))</f>
        <v xml:space="preserve"> </v>
      </c>
      <c r="P139" s="4" t="str">
        <f ca="1">IF(OR(INDEX($AG$2:$AG$1001,MATCH(ROWS($AF$2:AF139),$AF$2:$AF$1001,0),1)&gt;=100000,INDEX($AM$1005:$BM$1005,1,MATCH(COLUMNS($AM$1006:BA1006),$AM$1006:$BM$1006,0))&gt;=100000), " ",IF(INDEX($AM$2:$BM$1001,MATCH(ROWS($AF$2:AF139),$AF$2:$AF$1001,0),MATCH(COLUMNS($AM$1006:BA1006),$AM$1006:$BM$1006,0)), HYPERLINK("#",""), HYPERLINK(CONCATENATE("#metadata!", ADDRESS(INDEX($AH$2:$AH$1001,MATCH(ROWS($AF$2:AF139),$AF$2:$AF$1001,0),0), INDEX($AM$1004:$BM$1004,1,MATCH(COLUMNS($AM$1006:BA1006),$AM$1006:$BM$1006,0)))),"Fix")))</f>
        <v xml:space="preserve"> </v>
      </c>
      <c r="Q139" s="4" t="str">
        <f ca="1">IF(OR(INDEX($AG$2:$AG$1001,MATCH(ROWS($AF$2:AF139),$AF$2:$AF$1001,0),1)&gt;=100000,INDEX($AM$1005:$BM$1005,1,MATCH(COLUMNS($AM$1006:BB1006),$AM$1006:$BM$1006,0))&gt;=100000), " ",IF(INDEX($AM$2:$BM$1001,MATCH(ROWS($AF$2:AF139),$AF$2:$AF$1001,0),MATCH(COLUMNS($AM$1006:BB1006),$AM$1006:$BM$1006,0)), HYPERLINK("#",""), HYPERLINK(CONCATENATE("#metadata!", ADDRESS(INDEX($AH$2:$AH$1001,MATCH(ROWS($AF$2:AF139),$AF$2:$AF$1001,0),0), INDEX($AM$1004:$BM$1004,1,MATCH(COLUMNS($AM$1006:BB1006),$AM$1006:$BM$1006,0)))),"Fix")))</f>
        <v xml:space="preserve"> </v>
      </c>
      <c r="R139" s="4" t="str">
        <f ca="1">IF(OR(INDEX($AG$2:$AG$1001,MATCH(ROWS($AF$2:AF139),$AF$2:$AF$1001,0),1)&gt;=100000,INDEX($AM$1005:$BM$1005,1,MATCH(COLUMNS($AM$1006:BC1006),$AM$1006:$BM$1006,0))&gt;=100000), " ",IF(INDEX($AM$2:$BM$1001,MATCH(ROWS($AF$2:AF139),$AF$2:$AF$1001,0),MATCH(COLUMNS($AM$1006:BC1006),$AM$1006:$BM$1006,0)), HYPERLINK("#",""), HYPERLINK(CONCATENATE("#metadata!", ADDRESS(INDEX($AH$2:$AH$1001,MATCH(ROWS($AF$2:AF139),$AF$2:$AF$1001,0),0), INDEX($AM$1004:$BM$1004,1,MATCH(COLUMNS($AM$1006:BC1006),$AM$1006:$BM$1006,0)))),"Fix")))</f>
        <v xml:space="preserve"> </v>
      </c>
      <c r="S139" s="4" t="str">
        <f ca="1">IF(OR(INDEX($AG$2:$AG$1001,MATCH(ROWS($AF$2:AF139),$AF$2:$AF$1001,0),1)&gt;=100000,INDEX($AM$1005:$BM$1005,1,MATCH(COLUMNS($AM$1006:BD1006),$AM$1006:$BM$1006,0))&gt;=100000), " ",IF(INDEX($AM$2:$BM$1001,MATCH(ROWS($AF$2:AF139),$AF$2:$AF$1001,0),MATCH(COLUMNS($AM$1006:BD1006),$AM$1006:$BM$1006,0)), HYPERLINK("#",""), HYPERLINK(CONCATENATE("#metadata!", ADDRESS(INDEX($AH$2:$AH$1001,MATCH(ROWS($AF$2:AF139),$AF$2:$AF$1001,0),0), INDEX($AM$1004:$BM$1004,1,MATCH(COLUMNS($AM$1006:BD1006),$AM$1006:$BM$1006,0)))),"Fix")))</f>
        <v xml:space="preserve"> </v>
      </c>
      <c r="T139" s="4" t="str">
        <f ca="1">IF(OR(INDEX($AG$2:$AG$1001,MATCH(ROWS($AF$2:AF139),$AF$2:$AF$1001,0),1)&gt;=100000,INDEX($AM$1005:$BM$1005,1,MATCH(COLUMNS($AM$1006:BE1006),$AM$1006:$BM$1006,0))&gt;=100000), " ",IF(INDEX($AM$2:$BM$1001,MATCH(ROWS($AF$2:AF139),$AF$2:$AF$1001,0),MATCH(COLUMNS($AM$1006:BE1006),$AM$1006:$BM$1006,0)), HYPERLINK("#",""), HYPERLINK(CONCATENATE("#metadata!", ADDRESS(INDEX($AH$2:$AH$1001,MATCH(ROWS($AF$2:AF139),$AF$2:$AF$1001,0),0), INDEX($AM$1004:$BM$1004,1,MATCH(COLUMNS($AM$1006:BE1006),$AM$1006:$BM$1006,0)))),"Fix")))</f>
        <v xml:space="preserve"> </v>
      </c>
      <c r="U139" s="4" t="str">
        <f ca="1">IF(OR(INDEX($AG$2:$AG$1001,MATCH(ROWS($AF$2:AF139),$AF$2:$AF$1001,0),1)&gt;=100000,INDEX($AM$1005:$BM$1005,1,MATCH(COLUMNS($AM$1006:BF1006),$AM$1006:$BM$1006,0))&gt;=100000), " ",IF(INDEX($AM$2:$BM$1001,MATCH(ROWS($AF$2:AF139),$AF$2:$AF$1001,0),MATCH(COLUMNS($AM$1006:BF1006),$AM$1006:$BM$1006,0)), HYPERLINK("#",""), HYPERLINK(CONCATENATE("#metadata!", ADDRESS(INDEX($AH$2:$AH$1001,MATCH(ROWS($AF$2:AF139),$AF$2:$AF$1001,0),0), INDEX($AM$1004:$BM$1004,1,MATCH(COLUMNS($AM$1006:BF1006),$AM$1006:$BM$1006,0)))),"Fix")))</f>
        <v xml:space="preserve"> </v>
      </c>
      <c r="V139" s="4" t="str">
        <f ca="1">IF(OR(INDEX($AG$2:$AG$1001,MATCH(ROWS($AF$2:AF139),$AF$2:$AF$1001,0),1)&gt;=100000,INDEX($AM$1005:$BM$1005,1,MATCH(COLUMNS($AM$1006:BG1006),$AM$1006:$BM$1006,0))&gt;=100000), " ",IF(INDEX($AM$2:$BM$1001,MATCH(ROWS($AF$2:AF139),$AF$2:$AF$1001,0),MATCH(COLUMNS($AM$1006:BG1006),$AM$1006:$BM$1006,0)), HYPERLINK("#",""), HYPERLINK(CONCATENATE("#metadata!", ADDRESS(INDEX($AH$2:$AH$1001,MATCH(ROWS($AF$2:AF139),$AF$2:$AF$1001,0),0), INDEX($AM$1004:$BM$1004,1,MATCH(COLUMNS($AM$1006:BG1006),$AM$1006:$BM$1006,0)))),"Fix")))</f>
        <v xml:space="preserve"> </v>
      </c>
      <c r="W139" s="4" t="str">
        <f ca="1">IF(OR(INDEX($AG$2:$AG$1001,MATCH(ROWS($AF$2:AF139),$AF$2:$AF$1001,0),1)&gt;=100000,INDEX($AM$1005:$BM$1005,1,MATCH(COLUMNS($AM$1006:BH1006),$AM$1006:$BM$1006,0))&gt;=100000), " ",IF(INDEX($AM$2:$BM$1001,MATCH(ROWS($AF$2:AF139),$AF$2:$AF$1001,0),MATCH(COLUMNS($AM$1006:BH1006),$AM$1006:$BM$1006,0)), HYPERLINK("#",""), HYPERLINK(CONCATENATE("#metadata!", ADDRESS(INDEX($AH$2:$AH$1001,MATCH(ROWS($AF$2:AF139),$AF$2:$AF$1001,0),0), INDEX($AM$1004:$BM$1004,1,MATCH(COLUMNS($AM$1006:BH1006),$AM$1006:$BM$1006,0)))),"Fix")))</f>
        <v xml:space="preserve"> </v>
      </c>
      <c r="X139" s="4" t="str">
        <f ca="1">IF(OR(INDEX($AG$2:$AG$1001,MATCH(ROWS($AF$2:AF139),$AF$2:$AF$1001,0),1)&gt;=100000,INDEX($AM$1005:$BM$1005,1,MATCH(COLUMNS($AM$1006:BI1006),$AM$1006:$BM$1006,0))&gt;=100000), " ",IF(INDEX($AM$2:$BM$1001,MATCH(ROWS($AF$2:AF139),$AF$2:$AF$1001,0),MATCH(COLUMNS($AM$1006:BI1006),$AM$1006:$BM$1006,0)), HYPERLINK("#",""), HYPERLINK(CONCATENATE("#metadata!", ADDRESS(INDEX($AH$2:$AH$1001,MATCH(ROWS($AF$2:AF139),$AF$2:$AF$1001,0),0), INDEX($AM$1004:$BM$1004,1,MATCH(COLUMNS($AM$1006:BI1006),$AM$1006:$BM$1006,0)))),"Fix")))</f>
        <v xml:space="preserve"> </v>
      </c>
      <c r="Y139" s="4" t="str">
        <f ca="1">IF(OR(INDEX($AG$2:$AG$1001,MATCH(ROWS($AF$2:AF139),$AF$2:$AF$1001,0),1)&gt;=100000,INDEX($AM$1005:$BM$1005,1,MATCH(COLUMNS($AM$1006:BJ1006),$AM$1006:$BM$1006,0))&gt;=100000), " ",IF(INDEX($AM$2:$BM$1001,MATCH(ROWS($AF$2:AF139),$AF$2:$AF$1001,0),MATCH(COLUMNS($AM$1006:BJ1006),$AM$1006:$BM$1006,0)), HYPERLINK("#",""), HYPERLINK(CONCATENATE("#metadata!", ADDRESS(INDEX($AH$2:$AH$1001,MATCH(ROWS($AF$2:AF139),$AF$2:$AF$1001,0),0), INDEX($AM$1004:$BM$1004,1,MATCH(COLUMNS($AM$1006:BJ1006),$AM$1006:$BM$1006,0)))),"Fix")))</f>
        <v xml:space="preserve"> </v>
      </c>
      <c r="Z139" s="4" t="str">
        <f ca="1">IF(OR(INDEX($AG$2:$AG$1001,MATCH(ROWS($AF$2:AF139),$AF$2:$AF$1001,0),1)&gt;=100000,INDEX($AM$1005:$BM$1005,1,MATCH(COLUMNS($AM$1006:BK1006),$AM$1006:$BM$1006,0))&gt;=100000), " ",IF(INDEX($AM$2:$BM$1001,MATCH(ROWS($AF$2:AF139),$AF$2:$AF$1001,0),MATCH(COLUMNS($AM$1006:BK1006),$AM$1006:$BM$1006,0)), HYPERLINK("#",""), HYPERLINK(CONCATENATE("#metadata!", ADDRESS(INDEX($AH$2:$AH$1001,MATCH(ROWS($AF$2:AF139),$AF$2:$AF$1001,0),0), INDEX($AM$1004:$BM$1004,1,MATCH(COLUMNS($AM$1006:BK1006),$AM$1006:$BM$1006,0)))),"Fix")))</f>
        <v xml:space="preserve"> </v>
      </c>
      <c r="AA139" s="4" t="str">
        <f ca="1">IF(OR(INDEX($AG$2:$AG$1001,MATCH(ROWS($AF$2:AF139),$AF$2:$AF$1001,0),1)&gt;=100000,INDEX($AM$1005:$BM$1005,1,MATCH(COLUMNS($AM$1006:BL1006),$AM$1006:$BM$1006,0))&gt;=100000), " ",IF(INDEX($AM$2:$BM$1001,MATCH(ROWS($AF$2:AF139),$AF$2:$AF$1001,0),MATCH(COLUMNS($AM$1006:BL1006),$AM$1006:$BM$1006,0)), HYPERLINK("#",""), HYPERLINK(CONCATENATE("#metadata!", ADDRESS(INDEX($AH$2:$AH$1001,MATCH(ROWS($AF$2:AF139),$AF$2:$AF$1001,0),0), INDEX($AM$1004:$BM$1004,1,MATCH(COLUMNS($AM$1006:BL1006),$AM$1006:$BM$1006,0)))),"Fix")))</f>
        <v xml:space="preserve"> </v>
      </c>
      <c r="AB139" s="4" t="str">
        <f ca="1">IF(OR(INDEX($AG$2:$AG$1001,MATCH(ROWS($AF$2:AF139),$AF$2:$AF$1001,0),1)&gt;=100000,INDEX($AM$1005:$BM$1005,1,MATCH(COLUMNS($AM$1006:BM1006),$AM$1006:$BM$1006,0))&gt;=100000), " ",IF(INDEX($AM$2:$BM$1001,MATCH(ROWS($AF$2:AF139),$AF$2:$AF$1001,0),MATCH(COLUMNS($AM$1006:BM1006),$AM$1006:$BM$1006,0)), HYPERLINK("#",""), HYPERLINK(CONCATENATE("#metadata!", ADDRESS(INDEX($AH$2:$AH$1001,MATCH(ROWS($AF$2:AF139),$AF$2:$AF$1001,0),0), INDEX($AM$1004:$BM$1004,1,MATCH(COLUMNS($AM$1006:BM1006),$AM$1006:$BM$1006,0)))),"Fix")))</f>
        <v xml:space="preserve"> </v>
      </c>
      <c r="AF139">
        <v>138</v>
      </c>
      <c r="AG139">
        <v>100139</v>
      </c>
      <c r="AH139">
        <v>139</v>
      </c>
      <c r="AI139" t="b">
        <f t="shared" si="2"/>
        <v>1</v>
      </c>
      <c r="AJ139" t="b">
        <f>COUNTBLANK(metadata!B139:AB139)=COLUMNS(metadata!B139:AB139)</f>
        <v>1</v>
      </c>
      <c r="AK139" t="str">
        <v/>
      </c>
      <c r="AM139" t="b">
        <f ca="1">AND(IF(metadata!B139="",FALSE,TRUE),COUNTIF(metadata!B:B, metadata!B139) = 1,NOT(ISERROR(SUMPRODUCT(SEARCH(MID(metadata!B139,ROW(INDIRECT("1:"&amp;LEN(metadata!B139))), 1),"0123456789abcdefghijklmnopqrstuvwxyzABCDEFGHIJKLMNOPQRSTUVWXYZ.")))))</f>
        <v>0</v>
      </c>
      <c r="AN139" t="b">
        <f ca="1">OR(AND(IF(metadata!C139="",FALSE,TRUE),OR(EXACT(metadata!C139,"missing: not collected"),EXACT(metadata!C139,"missing: not provided"),EXACT(metadata!C139,"missing: restricted access"))),AND(IF(metadata!C139="",FALSE,TRUE),AND(AND(IFERROR(INT(LEFT(metadata!C139,4))&gt;1900,FALSE),IFERROR(INT(LEFT(metadata!C139,4))&lt;=YEAR(NOW()),FALSE)), OR(MID(metadata!C139,5,1)="", AND(AND(MID(metadata!C139,5,1)="-",IFERROR(INT(MID(metadata!C139,6,1))&gt;=0,FALSE),IFERROR(INT(MID(metadata!C139,6,1))&lt;=1,FALSE),NOT(MID(metadata!C139,7,1)=""),IFERROR(INT(MID(metadata!C139,6,2))&gt;=1,FALSE),IFERROR(INT(MID(metadata!C139,6,2))&lt;=12,FALSE)), OR(MID(metadata!C139,8,1)="", AND(AND(MID(metadata!C139,8,1)="-",IFERROR(INT(MID(metadata!C139,9,1))&gt;=0,FALSE),IFERROR(INT(MID(metadata!C139,9,1))&lt;=3,FALSE),NOT(MID(metadata!C139,10,1)=""),IFERROR(INT(MID(metadata!C139,9,2))&gt;=1,FALSE),IFERROR(INT(MID(metadata!C139,9,2))&lt;=31,FALSE)), OR(MID(metadata!C139,11,1)="", AND(AND(MID(metadata!C139,11,1)=" ",IFERROR(INT(MID(metadata!C139,12,1))&gt;=0,FALSE),IFERROR(INT(MID(metadata!C139,12,1))&lt;=2,FALSE),NOT(MID(metadata!C139,13,1)=""),IFERROR(INT(MID(metadata!C139,12,2))&gt;=0,FALSE),IFERROR(INT(MID(metadata!C139,12,2))&lt;=23,FALSE)), OR(MID(metadata!C139,14,1)="", AND(AND(MID(metadata!C139,14,1)=":",IFERROR(INT(MID(metadata!C139,15,1))&gt;=0,FALSE),IFERROR(INT(MID(metadata!C139,15,1))&lt;=5,FALSE),NOT(MID(metadata!C139,16,1)=""),IFERROR(INT(MID(metadata!C139,15,2))&gt;=0,FALSE),IFERROR(INT(MID(metadata!C139,15,2))&lt;=59,FALSE)), OR(MID(metadata!C139,17,1)="", AND(AND(MID(metadata!C139,17,1)=":",IFERROR(INT(MID(metadata!C139,18,1))&gt;=0,FALSE),IFERROR(INT(MID(metadata!C139,18,1))&lt;=5,FALSE),NOT(MID(metadata!C139,19,1)=""),IFERROR(INT(MID(metadata!C139,18,2))&gt;=0,FALSE),IFERROR(INT(MID(metadata!C139,18,2))&lt;=59,FALSE)), LEN(metadata!C139)&lt;=19)))))))))))))</f>
        <v>0</v>
      </c>
      <c r="AO139" t="b">
        <f>AND(IF(metadata!D139="",FALSE,TRUE),EXACT(metadata!D139,"Not applicable"))</f>
        <v>0</v>
      </c>
      <c r="AP139" t="b">
        <f>IF(metadata!E139="",FALSE,TRUE)</f>
        <v>0</v>
      </c>
      <c r="AQ139" t="b">
        <f>OR(AND(IF(metadata!F139="",FALSE,TRUE),OR(EXACT(metadata!F139,"missing: not collected"),EXACT(metadata!F139,"missing: not provided"))),AND(IF(metadata!F139="",FALSE,TRUE),OR(EXACT(metadata!F139,"TRUE"),EXACT(metadata!F139,"FALSE"))))</f>
        <v>0</v>
      </c>
      <c r="AR139" t="b">
        <f>OR(AND(IF(metadata!G139="",FALSE,TRUE),OR(EXACT(metadata!G139,"missing: not collected"),EXACT(metadata!G139,"missing: not provided"),EXACT(metadata!G139,"missing: restricted access"))),AND(IF(metadata!G139="",FALSE,ISNUMBER(VALUE(metadata!G139))),metadata!G139&gt;=-413))</f>
        <v>0</v>
      </c>
      <c r="AS139" t="b">
        <f>AND(IF(metadata!H139="",FALSE,TRUE),EXACT(metadata!H139,"meters"))</f>
        <v>0</v>
      </c>
      <c r="AT139" t="b">
        <f>AND(IF(metadata!I139="",FALSE,TRUE),OR(EXACT(metadata!I139,"Host-associated"),EXACT(metadata!I139,"Free-living")))</f>
        <v>0</v>
      </c>
      <c r="AU139" t="b">
        <f>AND(IF(metadata!J139="",FALSE,TRUE),OR(EXACT(metadata!J139,"Animal"),EXACT(metadata!J139,"Fungus"),EXACT(metadata!J139,"Plant"),EXACT(metadata!J139,"Saline"),EXACT(metadata!J139,"Non-saline")))</f>
        <v>0</v>
      </c>
      <c r="AV139" t="b">
        <f>AND(IF(metadata!K139="",FALSE,TRUE),OR(EXACT(metadata!K139,"Plant secretion"),EXACT(metadata!K139,"Plant rhizosphere"),EXACT(metadata!K139,"Plant surface"),EXACT(metadata!K139,"Plant corpus"),EXACT(metadata!K139,"Fungus surface"),EXACT(metadata!K139,"Fungus corpus"),EXACT(metadata!K139,"Animal surface"),EXACT(metadata!K139,"Animal proximal gut"),EXACT(metadata!K139,"Animal corpus"),EXACT(metadata!K139,"Animal distal gut"),EXACT(metadata!K139,"Animal secretion"),EXACT(metadata!K139,"Sub-surface (non-saline)"),EXACT(metadata!K139,"Surface (non-saline)"),EXACT(metadata!K139,"Water (non-saline)"),EXACT(metadata!K139,"Soil (non-saline)"),EXACT(metadata!K139,"Aerosol (non-saline)"),EXACT(metadata!K139,"Sediment (non-saline)"),EXACT(metadata!K139,"Surface (saline)"),EXACT(metadata!K139,"Water (saline)"),EXACT(metadata!K139,"Hypersaline (saline)"),EXACT(metadata!K139,"Aerosol (saline)"),EXACT(metadata!K139,"Sediment (saline)")))</f>
        <v>0</v>
      </c>
      <c r="AW139" t="b">
        <f>IF(metadata!L139="",FALSE,TRUE)</f>
        <v>0</v>
      </c>
      <c r="AX139" t="b">
        <f>IF(metadata!M139="",FALSE,TRUE)</f>
        <v>0</v>
      </c>
      <c r="AY139" t="b">
        <f>IF(metadata!N139="",FALSE,TRUE)</f>
        <v>0</v>
      </c>
      <c r="AZ139" t="b">
        <f>OR(AND(IF(metadata!O139="",FALSE,TRUE),OR(EXACT(metadata!O139,"missing: not collected"),EXACT(metadata!O139,"missing: not provided"),EXACT(metadata!O139,"missing: restricted access"))),AND(IF(metadata!O139="",FALSE,TRUE),OR(EXACT(metadata!O139,"air"),EXACT(metadata!O139,"built environment"),EXACT(metadata!O139,"host-associated"),EXACT(metadata!O139,"human-associated"),EXACT(metadata!O139,"human-skin"),EXACT(metadata!O139,"human-oral"),EXACT(metadata!O139,"human-gut"),EXACT(metadata!O139,"human-vaginal"),EXACT(metadata!O139,"microbial mat/biofilm"),EXACT(metadata!O139,"misc environment"),EXACT(metadata!O139,"plant-associated"),EXACT(metadata!O139,"sediment"),EXACT(metadata!O139,"soil"),EXACT(metadata!O139,"wastewater/sludge"),EXACT(metadata!O139,"water"))))</f>
        <v>0</v>
      </c>
      <c r="BA139" t="b">
        <f>IF(metadata!P139="",FALSE,TRUE)</f>
        <v>0</v>
      </c>
      <c r="BB139" t="b">
        <f>IF(metadata!Q139="",FALSE,TRUE)</f>
        <v>0</v>
      </c>
      <c r="BC139" t="b">
        <f>OR(AND(IF(metadata!R139="",FALSE,TRUE),OR(EXACT(metadata!R139,"missing: not collected"),EXACT(metadata!R139,"missing: not provided"),EXACT(metadata!R139,"missing: restricted access"))),AND(IF(metadata!R139="",FALSE,ISNUMBER(VALUE(metadata!R139))),metadata!R139&gt;=-90,metadata!R139&lt;=90))</f>
        <v>0</v>
      </c>
      <c r="BD139" t="b">
        <f>AND(IF(metadata!S139="",FALSE,TRUE),EXACT(metadata!S139,"Decimal degrees"))</f>
        <v>0</v>
      </c>
      <c r="BE139" t="b">
        <f>OR(AND(IF(metadata!T139="",FALSE,TRUE),OR(EXACT(metadata!T139,"missing: not collected"),EXACT(metadata!T139,"missing: not provided"),EXACT(metadata!T139,"missing: restricted access"))),AND(IF(metadata!T139="",FALSE,ISNUMBER(VALUE(metadata!T139))),metadata!T139&gt;=-180,metadata!T139&lt;=180))</f>
        <v>0</v>
      </c>
      <c r="BF139" t="b">
        <f>AND(IF(metadata!U139="",FALSE,TRUE),EXACT(metadata!U139,"Decimal degrees"))</f>
        <v>0</v>
      </c>
      <c r="BG139" t="b">
        <f>IF(metadata!V139="",FALSE,TRUE)</f>
        <v>0</v>
      </c>
      <c r="BH139" t="b">
        <f>OR(AND(IF(metadata!W139="",FALSE,TRUE),OR(EXACT(metadata!W139,"missing: not collected"),EXACT(metadata!W139,"missing: not provided"),EXACT(metadata!W139,"missing: restricted access"))),AND(IF(metadata!W139="",FALSE,TRUE),OR(EXACT(metadata!W139,"TRUE"),EXACT(metadata!W139,"FALSE"))))</f>
        <v>0</v>
      </c>
      <c r="BI139" t="b">
        <f>AND(IF(metadata!X139="",FALSE,TRUE),EXACT(metadata!X139,"other"))</f>
        <v>0</v>
      </c>
      <c r="BJ139" t="b">
        <f>IF(metadata!Y139="",FALSE,TRUE)</f>
        <v>0</v>
      </c>
      <c r="BK139" t="b">
        <f>OR(AND(IF(metadata!Z139="",FALSE,TRUE),OR(EXACT(metadata!Z139,"missing: not collected"),EXACT(metadata!Z139,"missing: not provided"))),AND(IF(metadata!Z139="",FALSE,IF(ISERROR(INT(metadata!Z139)),FALSE,INT(metadata!Z139)=metadata!Z139)),metadata!Z139&gt;0))</f>
        <v>0</v>
      </c>
      <c r="BL139" t="b">
        <f>AND(IF(metadata!AA139="",FALSE,TRUE),EXACT(metadata!AA139,"Not applicable"))</f>
        <v>0</v>
      </c>
      <c r="BM139" t="b">
        <f>IF(metadata!AB139="",FALSE,TRUE)</f>
        <v>0</v>
      </c>
    </row>
    <row r="140" spans="1:65" x14ac:dyDescent="0.2">
      <c r="A140" s="5" t="str">
        <f ca="1">IF(B140=" "," ",HYPERLINK(CONCATENATE("#metadata!",ADDRESS(INDEX($AH$2:$AH$1001,MATCH(ROWS($AF$2:AF140),$AF$2:$AF$1001,0),0),1)),INDEX($AK$2:$AK$1001,MATCH(ROWS($AF$2:AF140),$AF$2:$AF$1001,0),0)))</f>
        <v xml:space="preserve"> </v>
      </c>
      <c r="B140" s="4" t="str">
        <f ca="1">IF(OR(INDEX($AG$2:$AG$1001,MATCH(ROWS($AF$2:AF140),$AF$2:$AF$1001,0),1)&gt;=100000,INDEX($AM$1005:$BM$1005,1,MATCH(COLUMNS($AM$1006:AM1006),$AM$1006:$BM$1006,0))&gt;=100000), " ",IF(INDEX($AM$2:$BM$1001,MATCH(ROWS($AF$2:AF140),$AF$2:$AF$1001,0),MATCH(COLUMNS($AM$1006:AM1006),$AM$1006:$BM$1006,0)), HYPERLINK("#",""), HYPERLINK(CONCATENATE("#metadata!", ADDRESS(INDEX($AH$2:$AH$1001,MATCH(ROWS($AF$2:AF140),$AF$2:$AF$1001,0),0), INDEX($AM$1004:$BM$1004,1,MATCH(COLUMNS($AM$1006:AM1006),$AM$1006:$BM$1006,0)))),"Fix")))</f>
        <v xml:space="preserve"> </v>
      </c>
      <c r="C140" s="4" t="str">
        <f ca="1">IF(OR(INDEX($AG$2:$AG$1001,MATCH(ROWS($AF$2:AF140),$AF$2:$AF$1001,0),1)&gt;=100000,INDEX($AM$1005:$BM$1005,1,MATCH(COLUMNS($AM$1006:AN1006),$AM$1006:$BM$1006,0))&gt;=100000), " ",IF(INDEX($AM$2:$BM$1001,MATCH(ROWS($AF$2:AF140),$AF$2:$AF$1001,0),MATCH(COLUMNS($AM$1006:AN1006),$AM$1006:$BM$1006,0)), HYPERLINK("#",""), HYPERLINK(CONCATENATE("#metadata!", ADDRESS(INDEX($AH$2:$AH$1001,MATCH(ROWS($AF$2:AF140),$AF$2:$AF$1001,0),0), INDEX($AM$1004:$BM$1004,1,MATCH(COLUMNS($AM$1006:AN1006),$AM$1006:$BM$1006,0)))),"Fix")))</f>
        <v xml:space="preserve"> </v>
      </c>
      <c r="D140" s="4" t="str">
        <f ca="1">IF(OR(INDEX($AG$2:$AG$1001,MATCH(ROWS($AF$2:AF140),$AF$2:$AF$1001,0),1)&gt;=100000,INDEX($AM$1005:$BM$1005,1,MATCH(COLUMNS($AM$1006:AO1006),$AM$1006:$BM$1006,0))&gt;=100000), " ",IF(INDEX($AM$2:$BM$1001,MATCH(ROWS($AF$2:AF140),$AF$2:$AF$1001,0),MATCH(COLUMNS($AM$1006:AO1006),$AM$1006:$BM$1006,0)), HYPERLINK("#",""), HYPERLINK(CONCATENATE("#metadata!", ADDRESS(INDEX($AH$2:$AH$1001,MATCH(ROWS($AF$2:AF140),$AF$2:$AF$1001,0),0), INDEX($AM$1004:$BM$1004,1,MATCH(COLUMNS($AM$1006:AO1006),$AM$1006:$BM$1006,0)))),"Fix")))</f>
        <v xml:space="preserve"> </v>
      </c>
      <c r="E140" s="4" t="str">
        <f ca="1">IF(OR(INDEX($AG$2:$AG$1001,MATCH(ROWS($AF$2:AF140),$AF$2:$AF$1001,0),1)&gt;=100000,INDEX($AM$1005:$BM$1005,1,MATCH(COLUMNS($AM$1006:AP1006),$AM$1006:$BM$1006,0))&gt;=100000), " ",IF(INDEX($AM$2:$BM$1001,MATCH(ROWS($AF$2:AF140),$AF$2:$AF$1001,0),MATCH(COLUMNS($AM$1006:AP1006),$AM$1006:$BM$1006,0)), HYPERLINK("#",""), HYPERLINK(CONCATENATE("#metadata!", ADDRESS(INDEX($AH$2:$AH$1001,MATCH(ROWS($AF$2:AF140),$AF$2:$AF$1001,0),0), INDEX($AM$1004:$BM$1004,1,MATCH(COLUMNS($AM$1006:AP1006),$AM$1006:$BM$1006,0)))),"Fix")))</f>
        <v xml:space="preserve"> </v>
      </c>
      <c r="F140" s="4" t="str">
        <f ca="1">IF(OR(INDEX($AG$2:$AG$1001,MATCH(ROWS($AF$2:AF140),$AF$2:$AF$1001,0),1)&gt;=100000,INDEX($AM$1005:$BM$1005,1,MATCH(COLUMNS($AM$1006:AQ1006),$AM$1006:$BM$1006,0))&gt;=100000), " ",IF(INDEX($AM$2:$BM$1001,MATCH(ROWS($AF$2:AF140),$AF$2:$AF$1001,0),MATCH(COLUMNS($AM$1006:AQ1006),$AM$1006:$BM$1006,0)), HYPERLINK("#",""), HYPERLINK(CONCATENATE("#metadata!", ADDRESS(INDEX($AH$2:$AH$1001,MATCH(ROWS($AF$2:AF140),$AF$2:$AF$1001,0),0), INDEX($AM$1004:$BM$1004,1,MATCH(COLUMNS($AM$1006:AQ1006),$AM$1006:$BM$1006,0)))),"Fix")))</f>
        <v xml:space="preserve"> </v>
      </c>
      <c r="G140" s="4" t="str">
        <f ca="1">IF(OR(INDEX($AG$2:$AG$1001,MATCH(ROWS($AF$2:AF140),$AF$2:$AF$1001,0),1)&gt;=100000,INDEX($AM$1005:$BM$1005,1,MATCH(COLUMNS($AM$1006:AR1006),$AM$1006:$BM$1006,0))&gt;=100000), " ",IF(INDEX($AM$2:$BM$1001,MATCH(ROWS($AF$2:AF140),$AF$2:$AF$1001,0),MATCH(COLUMNS($AM$1006:AR1006),$AM$1006:$BM$1006,0)), HYPERLINK("#",""), HYPERLINK(CONCATENATE("#metadata!", ADDRESS(INDEX($AH$2:$AH$1001,MATCH(ROWS($AF$2:AF140),$AF$2:$AF$1001,0),0), INDEX($AM$1004:$BM$1004,1,MATCH(COLUMNS($AM$1006:AR1006),$AM$1006:$BM$1006,0)))),"Fix")))</f>
        <v xml:space="preserve"> </v>
      </c>
      <c r="H140" s="4" t="str">
        <f ca="1">IF(OR(INDEX($AG$2:$AG$1001,MATCH(ROWS($AF$2:AF140),$AF$2:$AF$1001,0),1)&gt;=100000,INDEX($AM$1005:$BM$1005,1,MATCH(COLUMNS($AM$1006:AS1006),$AM$1006:$BM$1006,0))&gt;=100000), " ",IF(INDEX($AM$2:$BM$1001,MATCH(ROWS($AF$2:AF140),$AF$2:$AF$1001,0),MATCH(COLUMNS($AM$1006:AS1006),$AM$1006:$BM$1006,0)), HYPERLINK("#",""), HYPERLINK(CONCATENATE("#metadata!", ADDRESS(INDEX($AH$2:$AH$1001,MATCH(ROWS($AF$2:AF140),$AF$2:$AF$1001,0),0), INDEX($AM$1004:$BM$1004,1,MATCH(COLUMNS($AM$1006:AS1006),$AM$1006:$BM$1006,0)))),"Fix")))</f>
        <v xml:space="preserve"> </v>
      </c>
      <c r="I140" s="4" t="str">
        <f ca="1">IF(OR(INDEX($AG$2:$AG$1001,MATCH(ROWS($AF$2:AF140),$AF$2:$AF$1001,0),1)&gt;=100000,INDEX($AM$1005:$BM$1005,1,MATCH(COLUMNS($AM$1006:AT1006),$AM$1006:$BM$1006,0))&gt;=100000), " ",IF(INDEX($AM$2:$BM$1001,MATCH(ROWS($AF$2:AF140),$AF$2:$AF$1001,0),MATCH(COLUMNS($AM$1006:AT1006),$AM$1006:$BM$1006,0)), HYPERLINK("#",""), HYPERLINK(CONCATENATE("#metadata!", ADDRESS(INDEX($AH$2:$AH$1001,MATCH(ROWS($AF$2:AF140),$AF$2:$AF$1001,0),0), INDEX($AM$1004:$BM$1004,1,MATCH(COLUMNS($AM$1006:AT1006),$AM$1006:$BM$1006,0)))),"Fix")))</f>
        <v xml:space="preserve"> </v>
      </c>
      <c r="J140" s="4" t="str">
        <f ca="1">IF(OR(INDEX($AG$2:$AG$1001,MATCH(ROWS($AF$2:AF140),$AF$2:$AF$1001,0),1)&gt;=100000,INDEX($AM$1005:$BM$1005,1,MATCH(COLUMNS($AM$1006:AU1006),$AM$1006:$BM$1006,0))&gt;=100000), " ",IF(INDEX($AM$2:$BM$1001,MATCH(ROWS($AF$2:AF140),$AF$2:$AF$1001,0),MATCH(COLUMNS($AM$1006:AU1006),$AM$1006:$BM$1006,0)), HYPERLINK("#",""), HYPERLINK(CONCATENATE("#metadata!", ADDRESS(INDEX($AH$2:$AH$1001,MATCH(ROWS($AF$2:AF140),$AF$2:$AF$1001,0),0), INDEX($AM$1004:$BM$1004,1,MATCH(COLUMNS($AM$1006:AU1006),$AM$1006:$BM$1006,0)))),"Fix")))</f>
        <v xml:space="preserve"> </v>
      </c>
      <c r="K140" s="4" t="str">
        <f ca="1">IF(OR(INDEX($AG$2:$AG$1001,MATCH(ROWS($AF$2:AF140),$AF$2:$AF$1001,0),1)&gt;=100000,INDEX($AM$1005:$BM$1005,1,MATCH(COLUMNS($AM$1006:AV1006),$AM$1006:$BM$1006,0))&gt;=100000), " ",IF(INDEX($AM$2:$BM$1001,MATCH(ROWS($AF$2:AF140),$AF$2:$AF$1001,0),MATCH(COLUMNS($AM$1006:AV1006),$AM$1006:$BM$1006,0)), HYPERLINK("#",""), HYPERLINK(CONCATENATE("#metadata!", ADDRESS(INDEX($AH$2:$AH$1001,MATCH(ROWS($AF$2:AF140),$AF$2:$AF$1001,0),0), INDEX($AM$1004:$BM$1004,1,MATCH(COLUMNS($AM$1006:AV1006),$AM$1006:$BM$1006,0)))),"Fix")))</f>
        <v xml:space="preserve"> </v>
      </c>
      <c r="L140" s="4" t="str">
        <f ca="1">IF(OR(INDEX($AG$2:$AG$1001,MATCH(ROWS($AF$2:AF140),$AF$2:$AF$1001,0),1)&gt;=100000,INDEX($AM$1005:$BM$1005,1,MATCH(COLUMNS($AM$1006:AW1006),$AM$1006:$BM$1006,0))&gt;=100000), " ",IF(INDEX($AM$2:$BM$1001,MATCH(ROWS($AF$2:AF140),$AF$2:$AF$1001,0),MATCH(COLUMNS($AM$1006:AW1006),$AM$1006:$BM$1006,0)), HYPERLINK("#",""), HYPERLINK(CONCATENATE("#metadata!", ADDRESS(INDEX($AH$2:$AH$1001,MATCH(ROWS($AF$2:AF140),$AF$2:$AF$1001,0),0), INDEX($AM$1004:$BM$1004,1,MATCH(COLUMNS($AM$1006:AW1006),$AM$1006:$BM$1006,0)))),"Fix")))</f>
        <v xml:space="preserve"> </v>
      </c>
      <c r="M140" s="4" t="str">
        <f ca="1">IF(OR(INDEX($AG$2:$AG$1001,MATCH(ROWS($AF$2:AF140),$AF$2:$AF$1001,0),1)&gt;=100000,INDEX($AM$1005:$BM$1005,1,MATCH(COLUMNS($AM$1006:AX1006),$AM$1006:$BM$1006,0))&gt;=100000), " ",IF(INDEX($AM$2:$BM$1001,MATCH(ROWS($AF$2:AF140),$AF$2:$AF$1001,0),MATCH(COLUMNS($AM$1006:AX1006),$AM$1006:$BM$1006,0)), HYPERLINK("#",""), HYPERLINK(CONCATENATE("#metadata!", ADDRESS(INDEX($AH$2:$AH$1001,MATCH(ROWS($AF$2:AF140),$AF$2:$AF$1001,0),0), INDEX($AM$1004:$BM$1004,1,MATCH(COLUMNS($AM$1006:AX1006),$AM$1006:$BM$1006,0)))),"Fix")))</f>
        <v xml:space="preserve"> </v>
      </c>
      <c r="N140" s="4" t="str">
        <f ca="1">IF(OR(INDEX($AG$2:$AG$1001,MATCH(ROWS($AF$2:AF140),$AF$2:$AF$1001,0),1)&gt;=100000,INDEX($AM$1005:$BM$1005,1,MATCH(COLUMNS($AM$1006:AY1006),$AM$1006:$BM$1006,0))&gt;=100000), " ",IF(INDEX($AM$2:$BM$1001,MATCH(ROWS($AF$2:AF140),$AF$2:$AF$1001,0),MATCH(COLUMNS($AM$1006:AY1006),$AM$1006:$BM$1006,0)), HYPERLINK("#",""), HYPERLINK(CONCATENATE("#metadata!", ADDRESS(INDEX($AH$2:$AH$1001,MATCH(ROWS($AF$2:AF140),$AF$2:$AF$1001,0),0), INDEX($AM$1004:$BM$1004,1,MATCH(COLUMNS($AM$1006:AY1006),$AM$1006:$BM$1006,0)))),"Fix")))</f>
        <v xml:space="preserve"> </v>
      </c>
      <c r="O140" s="4" t="str">
        <f ca="1">IF(OR(INDEX($AG$2:$AG$1001,MATCH(ROWS($AF$2:AF140),$AF$2:$AF$1001,0),1)&gt;=100000,INDEX($AM$1005:$BM$1005,1,MATCH(COLUMNS($AM$1006:AZ1006),$AM$1006:$BM$1006,0))&gt;=100000), " ",IF(INDEX($AM$2:$BM$1001,MATCH(ROWS($AF$2:AF140),$AF$2:$AF$1001,0),MATCH(COLUMNS($AM$1006:AZ1006),$AM$1006:$BM$1006,0)), HYPERLINK("#",""), HYPERLINK(CONCATENATE("#metadata!", ADDRESS(INDEX($AH$2:$AH$1001,MATCH(ROWS($AF$2:AF140),$AF$2:$AF$1001,0),0), INDEX($AM$1004:$BM$1004,1,MATCH(COLUMNS($AM$1006:AZ1006),$AM$1006:$BM$1006,0)))),"Fix")))</f>
        <v xml:space="preserve"> </v>
      </c>
      <c r="P140" s="4" t="str">
        <f ca="1">IF(OR(INDEX($AG$2:$AG$1001,MATCH(ROWS($AF$2:AF140),$AF$2:$AF$1001,0),1)&gt;=100000,INDEX($AM$1005:$BM$1005,1,MATCH(COLUMNS($AM$1006:BA1006),$AM$1006:$BM$1006,0))&gt;=100000), " ",IF(INDEX($AM$2:$BM$1001,MATCH(ROWS($AF$2:AF140),$AF$2:$AF$1001,0),MATCH(COLUMNS($AM$1006:BA1006),$AM$1006:$BM$1006,0)), HYPERLINK("#",""), HYPERLINK(CONCATENATE("#metadata!", ADDRESS(INDEX($AH$2:$AH$1001,MATCH(ROWS($AF$2:AF140),$AF$2:$AF$1001,0),0), INDEX($AM$1004:$BM$1004,1,MATCH(COLUMNS($AM$1006:BA1006),$AM$1006:$BM$1006,0)))),"Fix")))</f>
        <v xml:space="preserve"> </v>
      </c>
      <c r="Q140" s="4" t="str">
        <f ca="1">IF(OR(INDEX($AG$2:$AG$1001,MATCH(ROWS($AF$2:AF140),$AF$2:$AF$1001,0),1)&gt;=100000,INDEX($AM$1005:$BM$1005,1,MATCH(COLUMNS($AM$1006:BB1006),$AM$1006:$BM$1006,0))&gt;=100000), " ",IF(INDEX($AM$2:$BM$1001,MATCH(ROWS($AF$2:AF140),$AF$2:$AF$1001,0),MATCH(COLUMNS($AM$1006:BB1006),$AM$1006:$BM$1006,0)), HYPERLINK("#",""), HYPERLINK(CONCATENATE("#metadata!", ADDRESS(INDEX($AH$2:$AH$1001,MATCH(ROWS($AF$2:AF140),$AF$2:$AF$1001,0),0), INDEX($AM$1004:$BM$1004,1,MATCH(COLUMNS($AM$1006:BB1006),$AM$1006:$BM$1006,0)))),"Fix")))</f>
        <v xml:space="preserve"> </v>
      </c>
      <c r="R140" s="4" t="str">
        <f ca="1">IF(OR(INDEX($AG$2:$AG$1001,MATCH(ROWS($AF$2:AF140),$AF$2:$AF$1001,0),1)&gt;=100000,INDEX($AM$1005:$BM$1005,1,MATCH(COLUMNS($AM$1006:BC1006),$AM$1006:$BM$1006,0))&gt;=100000), " ",IF(INDEX($AM$2:$BM$1001,MATCH(ROWS($AF$2:AF140),$AF$2:$AF$1001,0),MATCH(COLUMNS($AM$1006:BC1006),$AM$1006:$BM$1006,0)), HYPERLINK("#",""), HYPERLINK(CONCATENATE("#metadata!", ADDRESS(INDEX($AH$2:$AH$1001,MATCH(ROWS($AF$2:AF140),$AF$2:$AF$1001,0),0), INDEX($AM$1004:$BM$1004,1,MATCH(COLUMNS($AM$1006:BC1006),$AM$1006:$BM$1006,0)))),"Fix")))</f>
        <v xml:space="preserve"> </v>
      </c>
      <c r="S140" s="4" t="str">
        <f ca="1">IF(OR(INDEX($AG$2:$AG$1001,MATCH(ROWS($AF$2:AF140),$AF$2:$AF$1001,0),1)&gt;=100000,INDEX($AM$1005:$BM$1005,1,MATCH(COLUMNS($AM$1006:BD1006),$AM$1006:$BM$1006,0))&gt;=100000), " ",IF(INDEX($AM$2:$BM$1001,MATCH(ROWS($AF$2:AF140),$AF$2:$AF$1001,0),MATCH(COLUMNS($AM$1006:BD1006),$AM$1006:$BM$1006,0)), HYPERLINK("#",""), HYPERLINK(CONCATENATE("#metadata!", ADDRESS(INDEX($AH$2:$AH$1001,MATCH(ROWS($AF$2:AF140),$AF$2:$AF$1001,0),0), INDEX($AM$1004:$BM$1004,1,MATCH(COLUMNS($AM$1006:BD1006),$AM$1006:$BM$1006,0)))),"Fix")))</f>
        <v xml:space="preserve"> </v>
      </c>
      <c r="T140" s="4" t="str">
        <f ca="1">IF(OR(INDEX($AG$2:$AG$1001,MATCH(ROWS($AF$2:AF140),$AF$2:$AF$1001,0),1)&gt;=100000,INDEX($AM$1005:$BM$1005,1,MATCH(COLUMNS($AM$1006:BE1006),$AM$1006:$BM$1006,0))&gt;=100000), " ",IF(INDEX($AM$2:$BM$1001,MATCH(ROWS($AF$2:AF140),$AF$2:$AF$1001,0),MATCH(COLUMNS($AM$1006:BE1006),$AM$1006:$BM$1006,0)), HYPERLINK("#",""), HYPERLINK(CONCATENATE("#metadata!", ADDRESS(INDEX($AH$2:$AH$1001,MATCH(ROWS($AF$2:AF140),$AF$2:$AF$1001,0),0), INDEX($AM$1004:$BM$1004,1,MATCH(COLUMNS($AM$1006:BE1006),$AM$1006:$BM$1006,0)))),"Fix")))</f>
        <v xml:space="preserve"> </v>
      </c>
      <c r="U140" s="4" t="str">
        <f ca="1">IF(OR(INDEX($AG$2:$AG$1001,MATCH(ROWS($AF$2:AF140),$AF$2:$AF$1001,0),1)&gt;=100000,INDEX($AM$1005:$BM$1005,1,MATCH(COLUMNS($AM$1006:BF1006),$AM$1006:$BM$1006,0))&gt;=100000), " ",IF(INDEX($AM$2:$BM$1001,MATCH(ROWS($AF$2:AF140),$AF$2:$AF$1001,0),MATCH(COLUMNS($AM$1006:BF1006),$AM$1006:$BM$1006,0)), HYPERLINK("#",""), HYPERLINK(CONCATENATE("#metadata!", ADDRESS(INDEX($AH$2:$AH$1001,MATCH(ROWS($AF$2:AF140),$AF$2:$AF$1001,0),0), INDEX($AM$1004:$BM$1004,1,MATCH(COLUMNS($AM$1006:BF1006),$AM$1006:$BM$1006,0)))),"Fix")))</f>
        <v xml:space="preserve"> </v>
      </c>
      <c r="V140" s="4" t="str">
        <f ca="1">IF(OR(INDEX($AG$2:$AG$1001,MATCH(ROWS($AF$2:AF140),$AF$2:$AF$1001,0),1)&gt;=100000,INDEX($AM$1005:$BM$1005,1,MATCH(COLUMNS($AM$1006:BG1006),$AM$1006:$BM$1006,0))&gt;=100000), " ",IF(INDEX($AM$2:$BM$1001,MATCH(ROWS($AF$2:AF140),$AF$2:$AF$1001,0),MATCH(COLUMNS($AM$1006:BG1006),$AM$1006:$BM$1006,0)), HYPERLINK("#",""), HYPERLINK(CONCATENATE("#metadata!", ADDRESS(INDEX($AH$2:$AH$1001,MATCH(ROWS($AF$2:AF140),$AF$2:$AF$1001,0),0), INDEX($AM$1004:$BM$1004,1,MATCH(COLUMNS($AM$1006:BG1006),$AM$1006:$BM$1006,0)))),"Fix")))</f>
        <v xml:space="preserve"> </v>
      </c>
      <c r="W140" s="4" t="str">
        <f ca="1">IF(OR(INDEX($AG$2:$AG$1001,MATCH(ROWS($AF$2:AF140),$AF$2:$AF$1001,0),1)&gt;=100000,INDEX($AM$1005:$BM$1005,1,MATCH(COLUMNS($AM$1006:BH1006),$AM$1006:$BM$1006,0))&gt;=100000), " ",IF(INDEX($AM$2:$BM$1001,MATCH(ROWS($AF$2:AF140),$AF$2:$AF$1001,0),MATCH(COLUMNS($AM$1006:BH1006),$AM$1006:$BM$1006,0)), HYPERLINK("#",""), HYPERLINK(CONCATENATE("#metadata!", ADDRESS(INDEX($AH$2:$AH$1001,MATCH(ROWS($AF$2:AF140),$AF$2:$AF$1001,0),0), INDEX($AM$1004:$BM$1004,1,MATCH(COLUMNS($AM$1006:BH1006),$AM$1006:$BM$1006,0)))),"Fix")))</f>
        <v xml:space="preserve"> </v>
      </c>
      <c r="X140" s="4" t="str">
        <f ca="1">IF(OR(INDEX($AG$2:$AG$1001,MATCH(ROWS($AF$2:AF140),$AF$2:$AF$1001,0),1)&gt;=100000,INDEX($AM$1005:$BM$1005,1,MATCH(COLUMNS($AM$1006:BI1006),$AM$1006:$BM$1006,0))&gt;=100000), " ",IF(INDEX($AM$2:$BM$1001,MATCH(ROWS($AF$2:AF140),$AF$2:$AF$1001,0),MATCH(COLUMNS($AM$1006:BI1006),$AM$1006:$BM$1006,0)), HYPERLINK("#",""), HYPERLINK(CONCATENATE("#metadata!", ADDRESS(INDEX($AH$2:$AH$1001,MATCH(ROWS($AF$2:AF140),$AF$2:$AF$1001,0),0), INDEX($AM$1004:$BM$1004,1,MATCH(COLUMNS($AM$1006:BI1006),$AM$1006:$BM$1006,0)))),"Fix")))</f>
        <v xml:space="preserve"> </v>
      </c>
      <c r="Y140" s="4" t="str">
        <f ca="1">IF(OR(INDEX($AG$2:$AG$1001,MATCH(ROWS($AF$2:AF140),$AF$2:$AF$1001,0),1)&gt;=100000,INDEX($AM$1005:$BM$1005,1,MATCH(COLUMNS($AM$1006:BJ1006),$AM$1006:$BM$1006,0))&gt;=100000), " ",IF(INDEX($AM$2:$BM$1001,MATCH(ROWS($AF$2:AF140),$AF$2:$AF$1001,0),MATCH(COLUMNS($AM$1006:BJ1006),$AM$1006:$BM$1006,0)), HYPERLINK("#",""), HYPERLINK(CONCATENATE("#metadata!", ADDRESS(INDEX($AH$2:$AH$1001,MATCH(ROWS($AF$2:AF140),$AF$2:$AF$1001,0),0), INDEX($AM$1004:$BM$1004,1,MATCH(COLUMNS($AM$1006:BJ1006),$AM$1006:$BM$1006,0)))),"Fix")))</f>
        <v xml:space="preserve"> </v>
      </c>
      <c r="Z140" s="4" t="str">
        <f ca="1">IF(OR(INDEX($AG$2:$AG$1001,MATCH(ROWS($AF$2:AF140),$AF$2:$AF$1001,0),1)&gt;=100000,INDEX($AM$1005:$BM$1005,1,MATCH(COLUMNS($AM$1006:BK1006),$AM$1006:$BM$1006,0))&gt;=100000), " ",IF(INDEX($AM$2:$BM$1001,MATCH(ROWS($AF$2:AF140),$AF$2:$AF$1001,0),MATCH(COLUMNS($AM$1006:BK1006),$AM$1006:$BM$1006,0)), HYPERLINK("#",""), HYPERLINK(CONCATENATE("#metadata!", ADDRESS(INDEX($AH$2:$AH$1001,MATCH(ROWS($AF$2:AF140),$AF$2:$AF$1001,0),0), INDEX($AM$1004:$BM$1004,1,MATCH(COLUMNS($AM$1006:BK1006),$AM$1006:$BM$1006,0)))),"Fix")))</f>
        <v xml:space="preserve"> </v>
      </c>
      <c r="AA140" s="4" t="str">
        <f ca="1">IF(OR(INDEX($AG$2:$AG$1001,MATCH(ROWS($AF$2:AF140),$AF$2:$AF$1001,0),1)&gt;=100000,INDEX($AM$1005:$BM$1005,1,MATCH(COLUMNS($AM$1006:BL1006),$AM$1006:$BM$1006,0))&gt;=100000), " ",IF(INDEX($AM$2:$BM$1001,MATCH(ROWS($AF$2:AF140),$AF$2:$AF$1001,0),MATCH(COLUMNS($AM$1006:BL1006),$AM$1006:$BM$1006,0)), HYPERLINK("#",""), HYPERLINK(CONCATENATE("#metadata!", ADDRESS(INDEX($AH$2:$AH$1001,MATCH(ROWS($AF$2:AF140),$AF$2:$AF$1001,0),0), INDEX($AM$1004:$BM$1004,1,MATCH(COLUMNS($AM$1006:BL1006),$AM$1006:$BM$1006,0)))),"Fix")))</f>
        <v xml:space="preserve"> </v>
      </c>
      <c r="AB140" s="4" t="str">
        <f ca="1">IF(OR(INDEX($AG$2:$AG$1001,MATCH(ROWS($AF$2:AF140),$AF$2:$AF$1001,0),1)&gt;=100000,INDEX($AM$1005:$BM$1005,1,MATCH(COLUMNS($AM$1006:BM1006),$AM$1006:$BM$1006,0))&gt;=100000), " ",IF(INDEX($AM$2:$BM$1001,MATCH(ROWS($AF$2:AF140),$AF$2:$AF$1001,0),MATCH(COLUMNS($AM$1006:BM1006),$AM$1006:$BM$1006,0)), HYPERLINK("#",""), HYPERLINK(CONCATENATE("#metadata!", ADDRESS(INDEX($AH$2:$AH$1001,MATCH(ROWS($AF$2:AF140),$AF$2:$AF$1001,0),0), INDEX($AM$1004:$BM$1004,1,MATCH(COLUMNS($AM$1006:BM1006),$AM$1006:$BM$1006,0)))),"Fix")))</f>
        <v xml:space="preserve"> </v>
      </c>
      <c r="AF140">
        <v>139</v>
      </c>
      <c r="AG140">
        <v>100140</v>
      </c>
      <c r="AH140">
        <v>140</v>
      </c>
      <c r="AI140" t="b">
        <f t="shared" si="2"/>
        <v>1</v>
      </c>
      <c r="AJ140" t="b">
        <f>COUNTBLANK(metadata!B140:AB140)=COLUMNS(metadata!B140:AB140)</f>
        <v>1</v>
      </c>
      <c r="AK140" t="str">
        <v/>
      </c>
      <c r="AM140" t="b">
        <f ca="1">AND(IF(metadata!B140="",FALSE,TRUE),COUNTIF(metadata!B:B, metadata!B140) = 1,NOT(ISERROR(SUMPRODUCT(SEARCH(MID(metadata!B140,ROW(INDIRECT("1:"&amp;LEN(metadata!B140))), 1),"0123456789abcdefghijklmnopqrstuvwxyzABCDEFGHIJKLMNOPQRSTUVWXYZ.")))))</f>
        <v>0</v>
      </c>
      <c r="AN140" t="b">
        <f ca="1">OR(AND(IF(metadata!C140="",FALSE,TRUE),OR(EXACT(metadata!C140,"missing: not collected"),EXACT(metadata!C140,"missing: not provided"),EXACT(metadata!C140,"missing: restricted access"))),AND(IF(metadata!C140="",FALSE,TRUE),AND(AND(IFERROR(INT(LEFT(metadata!C140,4))&gt;1900,FALSE),IFERROR(INT(LEFT(metadata!C140,4))&lt;=YEAR(NOW()),FALSE)), OR(MID(metadata!C140,5,1)="", AND(AND(MID(metadata!C140,5,1)="-",IFERROR(INT(MID(metadata!C140,6,1))&gt;=0,FALSE),IFERROR(INT(MID(metadata!C140,6,1))&lt;=1,FALSE),NOT(MID(metadata!C140,7,1)=""),IFERROR(INT(MID(metadata!C140,6,2))&gt;=1,FALSE),IFERROR(INT(MID(metadata!C140,6,2))&lt;=12,FALSE)), OR(MID(metadata!C140,8,1)="", AND(AND(MID(metadata!C140,8,1)="-",IFERROR(INT(MID(metadata!C140,9,1))&gt;=0,FALSE),IFERROR(INT(MID(metadata!C140,9,1))&lt;=3,FALSE),NOT(MID(metadata!C140,10,1)=""),IFERROR(INT(MID(metadata!C140,9,2))&gt;=1,FALSE),IFERROR(INT(MID(metadata!C140,9,2))&lt;=31,FALSE)), OR(MID(metadata!C140,11,1)="", AND(AND(MID(metadata!C140,11,1)=" ",IFERROR(INT(MID(metadata!C140,12,1))&gt;=0,FALSE),IFERROR(INT(MID(metadata!C140,12,1))&lt;=2,FALSE),NOT(MID(metadata!C140,13,1)=""),IFERROR(INT(MID(metadata!C140,12,2))&gt;=0,FALSE),IFERROR(INT(MID(metadata!C140,12,2))&lt;=23,FALSE)), OR(MID(metadata!C140,14,1)="", AND(AND(MID(metadata!C140,14,1)=":",IFERROR(INT(MID(metadata!C140,15,1))&gt;=0,FALSE),IFERROR(INT(MID(metadata!C140,15,1))&lt;=5,FALSE),NOT(MID(metadata!C140,16,1)=""),IFERROR(INT(MID(metadata!C140,15,2))&gt;=0,FALSE),IFERROR(INT(MID(metadata!C140,15,2))&lt;=59,FALSE)), OR(MID(metadata!C140,17,1)="", AND(AND(MID(metadata!C140,17,1)=":",IFERROR(INT(MID(metadata!C140,18,1))&gt;=0,FALSE),IFERROR(INT(MID(metadata!C140,18,1))&lt;=5,FALSE),NOT(MID(metadata!C140,19,1)=""),IFERROR(INT(MID(metadata!C140,18,2))&gt;=0,FALSE),IFERROR(INT(MID(metadata!C140,18,2))&lt;=59,FALSE)), LEN(metadata!C140)&lt;=19)))))))))))))</f>
        <v>0</v>
      </c>
      <c r="AO140" t="b">
        <f>AND(IF(metadata!D140="",FALSE,TRUE),EXACT(metadata!D140,"Not applicable"))</f>
        <v>0</v>
      </c>
      <c r="AP140" t="b">
        <f>IF(metadata!E140="",FALSE,TRUE)</f>
        <v>0</v>
      </c>
      <c r="AQ140" t="b">
        <f>OR(AND(IF(metadata!F140="",FALSE,TRUE),OR(EXACT(metadata!F140,"missing: not collected"),EXACT(metadata!F140,"missing: not provided"))),AND(IF(metadata!F140="",FALSE,TRUE),OR(EXACT(metadata!F140,"TRUE"),EXACT(metadata!F140,"FALSE"))))</f>
        <v>0</v>
      </c>
      <c r="AR140" t="b">
        <f>OR(AND(IF(metadata!G140="",FALSE,TRUE),OR(EXACT(metadata!G140,"missing: not collected"),EXACT(metadata!G140,"missing: not provided"),EXACT(metadata!G140,"missing: restricted access"))),AND(IF(metadata!G140="",FALSE,ISNUMBER(VALUE(metadata!G140))),metadata!G140&gt;=-413))</f>
        <v>0</v>
      </c>
      <c r="AS140" t="b">
        <f>AND(IF(metadata!H140="",FALSE,TRUE),EXACT(metadata!H140,"meters"))</f>
        <v>0</v>
      </c>
      <c r="AT140" t="b">
        <f>AND(IF(metadata!I140="",FALSE,TRUE),OR(EXACT(metadata!I140,"Host-associated"),EXACT(metadata!I140,"Free-living")))</f>
        <v>0</v>
      </c>
      <c r="AU140" t="b">
        <f>AND(IF(metadata!J140="",FALSE,TRUE),OR(EXACT(metadata!J140,"Animal"),EXACT(metadata!J140,"Fungus"),EXACT(metadata!J140,"Plant"),EXACT(metadata!J140,"Saline"),EXACT(metadata!J140,"Non-saline")))</f>
        <v>0</v>
      </c>
      <c r="AV140" t="b">
        <f>AND(IF(metadata!K140="",FALSE,TRUE),OR(EXACT(metadata!K140,"Plant secretion"),EXACT(metadata!K140,"Plant rhizosphere"),EXACT(metadata!K140,"Plant surface"),EXACT(metadata!K140,"Plant corpus"),EXACT(metadata!K140,"Fungus surface"),EXACT(metadata!K140,"Fungus corpus"),EXACT(metadata!K140,"Animal surface"),EXACT(metadata!K140,"Animal proximal gut"),EXACT(metadata!K140,"Animal corpus"),EXACT(metadata!K140,"Animal distal gut"),EXACT(metadata!K140,"Animal secretion"),EXACT(metadata!K140,"Sub-surface (non-saline)"),EXACT(metadata!K140,"Surface (non-saline)"),EXACT(metadata!K140,"Water (non-saline)"),EXACT(metadata!K140,"Soil (non-saline)"),EXACT(metadata!K140,"Aerosol (non-saline)"),EXACT(metadata!K140,"Sediment (non-saline)"),EXACT(metadata!K140,"Surface (saline)"),EXACT(metadata!K140,"Water (saline)"),EXACT(metadata!K140,"Hypersaline (saline)"),EXACT(metadata!K140,"Aerosol (saline)"),EXACT(metadata!K140,"Sediment (saline)")))</f>
        <v>0</v>
      </c>
      <c r="AW140" t="b">
        <f>IF(metadata!L140="",FALSE,TRUE)</f>
        <v>0</v>
      </c>
      <c r="AX140" t="b">
        <f>IF(metadata!M140="",FALSE,TRUE)</f>
        <v>0</v>
      </c>
      <c r="AY140" t="b">
        <f>IF(metadata!N140="",FALSE,TRUE)</f>
        <v>0</v>
      </c>
      <c r="AZ140" t="b">
        <f>OR(AND(IF(metadata!O140="",FALSE,TRUE),OR(EXACT(metadata!O140,"missing: not collected"),EXACT(metadata!O140,"missing: not provided"),EXACT(metadata!O140,"missing: restricted access"))),AND(IF(metadata!O140="",FALSE,TRUE),OR(EXACT(metadata!O140,"air"),EXACT(metadata!O140,"built environment"),EXACT(metadata!O140,"host-associated"),EXACT(metadata!O140,"human-associated"),EXACT(metadata!O140,"human-skin"),EXACT(metadata!O140,"human-oral"),EXACT(metadata!O140,"human-gut"),EXACT(metadata!O140,"human-vaginal"),EXACT(metadata!O140,"microbial mat/biofilm"),EXACT(metadata!O140,"misc environment"),EXACT(metadata!O140,"plant-associated"),EXACT(metadata!O140,"sediment"),EXACT(metadata!O140,"soil"),EXACT(metadata!O140,"wastewater/sludge"),EXACT(metadata!O140,"water"))))</f>
        <v>0</v>
      </c>
      <c r="BA140" t="b">
        <f>IF(metadata!P140="",FALSE,TRUE)</f>
        <v>0</v>
      </c>
      <c r="BB140" t="b">
        <f>IF(metadata!Q140="",FALSE,TRUE)</f>
        <v>0</v>
      </c>
      <c r="BC140" t="b">
        <f>OR(AND(IF(metadata!R140="",FALSE,TRUE),OR(EXACT(metadata!R140,"missing: not collected"),EXACT(metadata!R140,"missing: not provided"),EXACT(metadata!R140,"missing: restricted access"))),AND(IF(metadata!R140="",FALSE,ISNUMBER(VALUE(metadata!R140))),metadata!R140&gt;=-90,metadata!R140&lt;=90))</f>
        <v>0</v>
      </c>
      <c r="BD140" t="b">
        <f>AND(IF(metadata!S140="",FALSE,TRUE),EXACT(metadata!S140,"Decimal degrees"))</f>
        <v>0</v>
      </c>
      <c r="BE140" t="b">
        <f>OR(AND(IF(metadata!T140="",FALSE,TRUE),OR(EXACT(metadata!T140,"missing: not collected"),EXACT(metadata!T140,"missing: not provided"),EXACT(metadata!T140,"missing: restricted access"))),AND(IF(metadata!T140="",FALSE,ISNUMBER(VALUE(metadata!T140))),metadata!T140&gt;=-180,metadata!T140&lt;=180))</f>
        <v>0</v>
      </c>
      <c r="BF140" t="b">
        <f>AND(IF(metadata!U140="",FALSE,TRUE),EXACT(metadata!U140,"Decimal degrees"))</f>
        <v>0</v>
      </c>
      <c r="BG140" t="b">
        <f>IF(metadata!V140="",FALSE,TRUE)</f>
        <v>0</v>
      </c>
      <c r="BH140" t="b">
        <f>OR(AND(IF(metadata!W140="",FALSE,TRUE),OR(EXACT(metadata!W140,"missing: not collected"),EXACT(metadata!W140,"missing: not provided"),EXACT(metadata!W140,"missing: restricted access"))),AND(IF(metadata!W140="",FALSE,TRUE),OR(EXACT(metadata!W140,"TRUE"),EXACT(metadata!W140,"FALSE"))))</f>
        <v>0</v>
      </c>
      <c r="BI140" t="b">
        <f>AND(IF(metadata!X140="",FALSE,TRUE),EXACT(metadata!X140,"other"))</f>
        <v>0</v>
      </c>
      <c r="BJ140" t="b">
        <f>IF(metadata!Y140="",FALSE,TRUE)</f>
        <v>0</v>
      </c>
      <c r="BK140" t="b">
        <f>OR(AND(IF(metadata!Z140="",FALSE,TRUE),OR(EXACT(metadata!Z140,"missing: not collected"),EXACT(metadata!Z140,"missing: not provided"))),AND(IF(metadata!Z140="",FALSE,IF(ISERROR(INT(metadata!Z140)),FALSE,INT(metadata!Z140)=metadata!Z140)),metadata!Z140&gt;0))</f>
        <v>0</v>
      </c>
      <c r="BL140" t="b">
        <f>AND(IF(metadata!AA140="",FALSE,TRUE),EXACT(metadata!AA140,"Not applicable"))</f>
        <v>0</v>
      </c>
      <c r="BM140" t="b">
        <f>IF(metadata!AB140="",FALSE,TRUE)</f>
        <v>0</v>
      </c>
    </row>
    <row r="141" spans="1:65" x14ac:dyDescent="0.2">
      <c r="A141" s="5" t="str">
        <f ca="1">IF(B141=" "," ",HYPERLINK(CONCATENATE("#metadata!",ADDRESS(INDEX($AH$2:$AH$1001,MATCH(ROWS($AF$2:AF141),$AF$2:$AF$1001,0),0),1)),INDEX($AK$2:$AK$1001,MATCH(ROWS($AF$2:AF141),$AF$2:$AF$1001,0),0)))</f>
        <v xml:space="preserve"> </v>
      </c>
      <c r="B141" s="4" t="str">
        <f ca="1">IF(OR(INDEX($AG$2:$AG$1001,MATCH(ROWS($AF$2:AF141),$AF$2:$AF$1001,0),1)&gt;=100000,INDEX($AM$1005:$BM$1005,1,MATCH(COLUMNS($AM$1006:AM1006),$AM$1006:$BM$1006,0))&gt;=100000), " ",IF(INDEX($AM$2:$BM$1001,MATCH(ROWS($AF$2:AF141),$AF$2:$AF$1001,0),MATCH(COLUMNS($AM$1006:AM1006),$AM$1006:$BM$1006,0)), HYPERLINK("#",""), HYPERLINK(CONCATENATE("#metadata!", ADDRESS(INDEX($AH$2:$AH$1001,MATCH(ROWS($AF$2:AF141),$AF$2:$AF$1001,0),0), INDEX($AM$1004:$BM$1004,1,MATCH(COLUMNS($AM$1006:AM1006),$AM$1006:$BM$1006,0)))),"Fix")))</f>
        <v xml:space="preserve"> </v>
      </c>
      <c r="C141" s="4" t="str">
        <f ca="1">IF(OR(INDEX($AG$2:$AG$1001,MATCH(ROWS($AF$2:AF141),$AF$2:$AF$1001,0),1)&gt;=100000,INDEX($AM$1005:$BM$1005,1,MATCH(COLUMNS($AM$1006:AN1006),$AM$1006:$BM$1006,0))&gt;=100000), " ",IF(INDEX($AM$2:$BM$1001,MATCH(ROWS($AF$2:AF141),$AF$2:$AF$1001,0),MATCH(COLUMNS($AM$1006:AN1006),$AM$1006:$BM$1006,0)), HYPERLINK("#",""), HYPERLINK(CONCATENATE("#metadata!", ADDRESS(INDEX($AH$2:$AH$1001,MATCH(ROWS($AF$2:AF141),$AF$2:$AF$1001,0),0), INDEX($AM$1004:$BM$1004,1,MATCH(COLUMNS($AM$1006:AN1006),$AM$1006:$BM$1006,0)))),"Fix")))</f>
        <v xml:space="preserve"> </v>
      </c>
      <c r="D141" s="4" t="str">
        <f ca="1">IF(OR(INDEX($AG$2:$AG$1001,MATCH(ROWS($AF$2:AF141),$AF$2:$AF$1001,0),1)&gt;=100000,INDEX($AM$1005:$BM$1005,1,MATCH(COLUMNS($AM$1006:AO1006),$AM$1006:$BM$1006,0))&gt;=100000), " ",IF(INDEX($AM$2:$BM$1001,MATCH(ROWS($AF$2:AF141),$AF$2:$AF$1001,0),MATCH(COLUMNS($AM$1006:AO1006),$AM$1006:$BM$1006,0)), HYPERLINK("#",""), HYPERLINK(CONCATENATE("#metadata!", ADDRESS(INDEX($AH$2:$AH$1001,MATCH(ROWS($AF$2:AF141),$AF$2:$AF$1001,0),0), INDEX($AM$1004:$BM$1004,1,MATCH(COLUMNS($AM$1006:AO1006),$AM$1006:$BM$1006,0)))),"Fix")))</f>
        <v xml:space="preserve"> </v>
      </c>
      <c r="E141" s="4" t="str">
        <f ca="1">IF(OR(INDEX($AG$2:$AG$1001,MATCH(ROWS($AF$2:AF141),$AF$2:$AF$1001,0),1)&gt;=100000,INDEX($AM$1005:$BM$1005,1,MATCH(COLUMNS($AM$1006:AP1006),$AM$1006:$BM$1006,0))&gt;=100000), " ",IF(INDEX($AM$2:$BM$1001,MATCH(ROWS($AF$2:AF141),$AF$2:$AF$1001,0),MATCH(COLUMNS($AM$1006:AP1006),$AM$1006:$BM$1006,0)), HYPERLINK("#",""), HYPERLINK(CONCATENATE("#metadata!", ADDRESS(INDEX($AH$2:$AH$1001,MATCH(ROWS($AF$2:AF141),$AF$2:$AF$1001,0),0), INDEX($AM$1004:$BM$1004,1,MATCH(COLUMNS($AM$1006:AP1006),$AM$1006:$BM$1006,0)))),"Fix")))</f>
        <v xml:space="preserve"> </v>
      </c>
      <c r="F141" s="4" t="str">
        <f ca="1">IF(OR(INDEX($AG$2:$AG$1001,MATCH(ROWS($AF$2:AF141),$AF$2:$AF$1001,0),1)&gt;=100000,INDEX($AM$1005:$BM$1005,1,MATCH(COLUMNS($AM$1006:AQ1006),$AM$1006:$BM$1006,0))&gt;=100000), " ",IF(INDEX($AM$2:$BM$1001,MATCH(ROWS($AF$2:AF141),$AF$2:$AF$1001,0),MATCH(COLUMNS($AM$1006:AQ1006),$AM$1006:$BM$1006,0)), HYPERLINK("#",""), HYPERLINK(CONCATENATE("#metadata!", ADDRESS(INDEX($AH$2:$AH$1001,MATCH(ROWS($AF$2:AF141),$AF$2:$AF$1001,0),0), INDEX($AM$1004:$BM$1004,1,MATCH(COLUMNS($AM$1006:AQ1006),$AM$1006:$BM$1006,0)))),"Fix")))</f>
        <v xml:space="preserve"> </v>
      </c>
      <c r="G141" s="4" t="str">
        <f ca="1">IF(OR(INDEX($AG$2:$AG$1001,MATCH(ROWS($AF$2:AF141),$AF$2:$AF$1001,0),1)&gt;=100000,INDEX($AM$1005:$BM$1005,1,MATCH(COLUMNS($AM$1006:AR1006),$AM$1006:$BM$1006,0))&gt;=100000), " ",IF(INDEX($AM$2:$BM$1001,MATCH(ROWS($AF$2:AF141),$AF$2:$AF$1001,0),MATCH(COLUMNS($AM$1006:AR1006),$AM$1006:$BM$1006,0)), HYPERLINK("#",""), HYPERLINK(CONCATENATE("#metadata!", ADDRESS(INDEX($AH$2:$AH$1001,MATCH(ROWS($AF$2:AF141),$AF$2:$AF$1001,0),0), INDEX($AM$1004:$BM$1004,1,MATCH(COLUMNS($AM$1006:AR1006),$AM$1006:$BM$1006,0)))),"Fix")))</f>
        <v xml:space="preserve"> </v>
      </c>
      <c r="H141" s="4" t="str">
        <f ca="1">IF(OR(INDEX($AG$2:$AG$1001,MATCH(ROWS($AF$2:AF141),$AF$2:$AF$1001,0),1)&gt;=100000,INDEX($AM$1005:$BM$1005,1,MATCH(COLUMNS($AM$1006:AS1006),$AM$1006:$BM$1006,0))&gt;=100000), " ",IF(INDEX($AM$2:$BM$1001,MATCH(ROWS($AF$2:AF141),$AF$2:$AF$1001,0),MATCH(COLUMNS($AM$1006:AS1006),$AM$1006:$BM$1006,0)), HYPERLINK("#",""), HYPERLINK(CONCATENATE("#metadata!", ADDRESS(INDEX($AH$2:$AH$1001,MATCH(ROWS($AF$2:AF141),$AF$2:$AF$1001,0),0), INDEX($AM$1004:$BM$1004,1,MATCH(COLUMNS($AM$1006:AS1006),$AM$1006:$BM$1006,0)))),"Fix")))</f>
        <v xml:space="preserve"> </v>
      </c>
      <c r="I141" s="4" t="str">
        <f ca="1">IF(OR(INDEX($AG$2:$AG$1001,MATCH(ROWS($AF$2:AF141),$AF$2:$AF$1001,0),1)&gt;=100000,INDEX($AM$1005:$BM$1005,1,MATCH(COLUMNS($AM$1006:AT1006),$AM$1006:$BM$1006,0))&gt;=100000), " ",IF(INDEX($AM$2:$BM$1001,MATCH(ROWS($AF$2:AF141),$AF$2:$AF$1001,0),MATCH(COLUMNS($AM$1006:AT1006),$AM$1006:$BM$1006,0)), HYPERLINK("#",""), HYPERLINK(CONCATENATE("#metadata!", ADDRESS(INDEX($AH$2:$AH$1001,MATCH(ROWS($AF$2:AF141),$AF$2:$AF$1001,0),0), INDEX($AM$1004:$BM$1004,1,MATCH(COLUMNS($AM$1006:AT1006),$AM$1006:$BM$1006,0)))),"Fix")))</f>
        <v xml:space="preserve"> </v>
      </c>
      <c r="J141" s="4" t="str">
        <f ca="1">IF(OR(INDEX($AG$2:$AG$1001,MATCH(ROWS($AF$2:AF141),$AF$2:$AF$1001,0),1)&gt;=100000,INDEX($AM$1005:$BM$1005,1,MATCH(COLUMNS($AM$1006:AU1006),$AM$1006:$BM$1006,0))&gt;=100000), " ",IF(INDEX($AM$2:$BM$1001,MATCH(ROWS($AF$2:AF141),$AF$2:$AF$1001,0),MATCH(COLUMNS($AM$1006:AU1006),$AM$1006:$BM$1006,0)), HYPERLINK("#",""), HYPERLINK(CONCATENATE("#metadata!", ADDRESS(INDEX($AH$2:$AH$1001,MATCH(ROWS($AF$2:AF141),$AF$2:$AF$1001,0),0), INDEX($AM$1004:$BM$1004,1,MATCH(COLUMNS($AM$1006:AU1006),$AM$1006:$BM$1006,0)))),"Fix")))</f>
        <v xml:space="preserve"> </v>
      </c>
      <c r="K141" s="4" t="str">
        <f ca="1">IF(OR(INDEX($AG$2:$AG$1001,MATCH(ROWS($AF$2:AF141),$AF$2:$AF$1001,0),1)&gt;=100000,INDEX($AM$1005:$BM$1005,1,MATCH(COLUMNS($AM$1006:AV1006),$AM$1006:$BM$1006,0))&gt;=100000), " ",IF(INDEX($AM$2:$BM$1001,MATCH(ROWS($AF$2:AF141),$AF$2:$AF$1001,0),MATCH(COLUMNS($AM$1006:AV1006),$AM$1006:$BM$1006,0)), HYPERLINK("#",""), HYPERLINK(CONCATENATE("#metadata!", ADDRESS(INDEX($AH$2:$AH$1001,MATCH(ROWS($AF$2:AF141),$AF$2:$AF$1001,0),0), INDEX($AM$1004:$BM$1004,1,MATCH(COLUMNS($AM$1006:AV1006),$AM$1006:$BM$1006,0)))),"Fix")))</f>
        <v xml:space="preserve"> </v>
      </c>
      <c r="L141" s="4" t="str">
        <f ca="1">IF(OR(INDEX($AG$2:$AG$1001,MATCH(ROWS($AF$2:AF141),$AF$2:$AF$1001,0),1)&gt;=100000,INDEX($AM$1005:$BM$1005,1,MATCH(COLUMNS($AM$1006:AW1006),$AM$1006:$BM$1006,0))&gt;=100000), " ",IF(INDEX($AM$2:$BM$1001,MATCH(ROWS($AF$2:AF141),$AF$2:$AF$1001,0),MATCH(COLUMNS($AM$1006:AW1006),$AM$1006:$BM$1006,0)), HYPERLINK("#",""), HYPERLINK(CONCATENATE("#metadata!", ADDRESS(INDEX($AH$2:$AH$1001,MATCH(ROWS($AF$2:AF141),$AF$2:$AF$1001,0),0), INDEX($AM$1004:$BM$1004,1,MATCH(COLUMNS($AM$1006:AW1006),$AM$1006:$BM$1006,0)))),"Fix")))</f>
        <v xml:space="preserve"> </v>
      </c>
      <c r="M141" s="4" t="str">
        <f ca="1">IF(OR(INDEX($AG$2:$AG$1001,MATCH(ROWS($AF$2:AF141),$AF$2:$AF$1001,0),1)&gt;=100000,INDEX($AM$1005:$BM$1005,1,MATCH(COLUMNS($AM$1006:AX1006),$AM$1006:$BM$1006,0))&gt;=100000), " ",IF(INDEX($AM$2:$BM$1001,MATCH(ROWS($AF$2:AF141),$AF$2:$AF$1001,0),MATCH(COLUMNS($AM$1006:AX1006),$AM$1006:$BM$1006,0)), HYPERLINK("#",""), HYPERLINK(CONCATENATE("#metadata!", ADDRESS(INDEX($AH$2:$AH$1001,MATCH(ROWS($AF$2:AF141),$AF$2:$AF$1001,0),0), INDEX($AM$1004:$BM$1004,1,MATCH(COLUMNS($AM$1006:AX1006),$AM$1006:$BM$1006,0)))),"Fix")))</f>
        <v xml:space="preserve"> </v>
      </c>
      <c r="N141" s="4" t="str">
        <f ca="1">IF(OR(INDEX($AG$2:$AG$1001,MATCH(ROWS($AF$2:AF141),$AF$2:$AF$1001,0),1)&gt;=100000,INDEX($AM$1005:$BM$1005,1,MATCH(COLUMNS($AM$1006:AY1006),$AM$1006:$BM$1006,0))&gt;=100000), " ",IF(INDEX($AM$2:$BM$1001,MATCH(ROWS($AF$2:AF141),$AF$2:$AF$1001,0),MATCH(COLUMNS($AM$1006:AY1006),$AM$1006:$BM$1006,0)), HYPERLINK("#",""), HYPERLINK(CONCATENATE("#metadata!", ADDRESS(INDEX($AH$2:$AH$1001,MATCH(ROWS($AF$2:AF141),$AF$2:$AF$1001,0),0), INDEX($AM$1004:$BM$1004,1,MATCH(COLUMNS($AM$1006:AY1006),$AM$1006:$BM$1006,0)))),"Fix")))</f>
        <v xml:space="preserve"> </v>
      </c>
      <c r="O141" s="4" t="str">
        <f ca="1">IF(OR(INDEX($AG$2:$AG$1001,MATCH(ROWS($AF$2:AF141),$AF$2:$AF$1001,0),1)&gt;=100000,INDEX($AM$1005:$BM$1005,1,MATCH(COLUMNS($AM$1006:AZ1006),$AM$1006:$BM$1006,0))&gt;=100000), " ",IF(INDEX($AM$2:$BM$1001,MATCH(ROWS($AF$2:AF141),$AF$2:$AF$1001,0),MATCH(COLUMNS($AM$1006:AZ1006),$AM$1006:$BM$1006,0)), HYPERLINK("#",""), HYPERLINK(CONCATENATE("#metadata!", ADDRESS(INDEX($AH$2:$AH$1001,MATCH(ROWS($AF$2:AF141),$AF$2:$AF$1001,0),0), INDEX($AM$1004:$BM$1004,1,MATCH(COLUMNS($AM$1006:AZ1006),$AM$1006:$BM$1006,0)))),"Fix")))</f>
        <v xml:space="preserve"> </v>
      </c>
      <c r="P141" s="4" t="str">
        <f ca="1">IF(OR(INDEX($AG$2:$AG$1001,MATCH(ROWS($AF$2:AF141),$AF$2:$AF$1001,0),1)&gt;=100000,INDEX($AM$1005:$BM$1005,1,MATCH(COLUMNS($AM$1006:BA1006),$AM$1006:$BM$1006,0))&gt;=100000), " ",IF(INDEX($AM$2:$BM$1001,MATCH(ROWS($AF$2:AF141),$AF$2:$AF$1001,0),MATCH(COLUMNS($AM$1006:BA1006),$AM$1006:$BM$1006,0)), HYPERLINK("#",""), HYPERLINK(CONCATENATE("#metadata!", ADDRESS(INDEX($AH$2:$AH$1001,MATCH(ROWS($AF$2:AF141),$AF$2:$AF$1001,0),0), INDEX($AM$1004:$BM$1004,1,MATCH(COLUMNS($AM$1006:BA1006),$AM$1006:$BM$1006,0)))),"Fix")))</f>
        <v xml:space="preserve"> </v>
      </c>
      <c r="Q141" s="4" t="str">
        <f ca="1">IF(OR(INDEX($AG$2:$AG$1001,MATCH(ROWS($AF$2:AF141),$AF$2:$AF$1001,0),1)&gt;=100000,INDEX($AM$1005:$BM$1005,1,MATCH(COLUMNS($AM$1006:BB1006),$AM$1006:$BM$1006,0))&gt;=100000), " ",IF(INDEX($AM$2:$BM$1001,MATCH(ROWS($AF$2:AF141),$AF$2:$AF$1001,0),MATCH(COLUMNS($AM$1006:BB1006),$AM$1006:$BM$1006,0)), HYPERLINK("#",""), HYPERLINK(CONCATENATE("#metadata!", ADDRESS(INDEX($AH$2:$AH$1001,MATCH(ROWS($AF$2:AF141),$AF$2:$AF$1001,0),0), INDEX($AM$1004:$BM$1004,1,MATCH(COLUMNS($AM$1006:BB1006),$AM$1006:$BM$1006,0)))),"Fix")))</f>
        <v xml:space="preserve"> </v>
      </c>
      <c r="R141" s="4" t="str">
        <f ca="1">IF(OR(INDEX($AG$2:$AG$1001,MATCH(ROWS($AF$2:AF141),$AF$2:$AF$1001,0),1)&gt;=100000,INDEX($AM$1005:$BM$1005,1,MATCH(COLUMNS($AM$1006:BC1006),$AM$1006:$BM$1006,0))&gt;=100000), " ",IF(INDEX($AM$2:$BM$1001,MATCH(ROWS($AF$2:AF141),$AF$2:$AF$1001,0),MATCH(COLUMNS($AM$1006:BC1006),$AM$1006:$BM$1006,0)), HYPERLINK("#",""), HYPERLINK(CONCATENATE("#metadata!", ADDRESS(INDEX($AH$2:$AH$1001,MATCH(ROWS($AF$2:AF141),$AF$2:$AF$1001,0),0), INDEX($AM$1004:$BM$1004,1,MATCH(COLUMNS($AM$1006:BC1006),$AM$1006:$BM$1006,0)))),"Fix")))</f>
        <v xml:space="preserve"> </v>
      </c>
      <c r="S141" s="4" t="str">
        <f ca="1">IF(OR(INDEX($AG$2:$AG$1001,MATCH(ROWS($AF$2:AF141),$AF$2:$AF$1001,0),1)&gt;=100000,INDEX($AM$1005:$BM$1005,1,MATCH(COLUMNS($AM$1006:BD1006),$AM$1006:$BM$1006,0))&gt;=100000), " ",IF(INDEX($AM$2:$BM$1001,MATCH(ROWS($AF$2:AF141),$AF$2:$AF$1001,0),MATCH(COLUMNS($AM$1006:BD1006),$AM$1006:$BM$1006,0)), HYPERLINK("#",""), HYPERLINK(CONCATENATE("#metadata!", ADDRESS(INDEX($AH$2:$AH$1001,MATCH(ROWS($AF$2:AF141),$AF$2:$AF$1001,0),0), INDEX($AM$1004:$BM$1004,1,MATCH(COLUMNS($AM$1006:BD1006),$AM$1006:$BM$1006,0)))),"Fix")))</f>
        <v xml:space="preserve"> </v>
      </c>
      <c r="T141" s="4" t="str">
        <f ca="1">IF(OR(INDEX($AG$2:$AG$1001,MATCH(ROWS($AF$2:AF141),$AF$2:$AF$1001,0),1)&gt;=100000,INDEX($AM$1005:$BM$1005,1,MATCH(COLUMNS($AM$1006:BE1006),$AM$1006:$BM$1006,0))&gt;=100000), " ",IF(INDEX($AM$2:$BM$1001,MATCH(ROWS($AF$2:AF141),$AF$2:$AF$1001,0),MATCH(COLUMNS($AM$1006:BE1006),$AM$1006:$BM$1006,0)), HYPERLINK("#",""), HYPERLINK(CONCATENATE("#metadata!", ADDRESS(INDEX($AH$2:$AH$1001,MATCH(ROWS($AF$2:AF141),$AF$2:$AF$1001,0),0), INDEX($AM$1004:$BM$1004,1,MATCH(COLUMNS($AM$1006:BE1006),$AM$1006:$BM$1006,0)))),"Fix")))</f>
        <v xml:space="preserve"> </v>
      </c>
      <c r="U141" s="4" t="str">
        <f ca="1">IF(OR(INDEX($AG$2:$AG$1001,MATCH(ROWS($AF$2:AF141),$AF$2:$AF$1001,0),1)&gt;=100000,INDEX($AM$1005:$BM$1005,1,MATCH(COLUMNS($AM$1006:BF1006),$AM$1006:$BM$1006,0))&gt;=100000), " ",IF(INDEX($AM$2:$BM$1001,MATCH(ROWS($AF$2:AF141),$AF$2:$AF$1001,0),MATCH(COLUMNS($AM$1006:BF1006),$AM$1006:$BM$1006,0)), HYPERLINK("#",""), HYPERLINK(CONCATENATE("#metadata!", ADDRESS(INDEX($AH$2:$AH$1001,MATCH(ROWS($AF$2:AF141),$AF$2:$AF$1001,0),0), INDEX($AM$1004:$BM$1004,1,MATCH(COLUMNS($AM$1006:BF1006),$AM$1006:$BM$1006,0)))),"Fix")))</f>
        <v xml:space="preserve"> </v>
      </c>
      <c r="V141" s="4" t="str">
        <f ca="1">IF(OR(INDEX($AG$2:$AG$1001,MATCH(ROWS($AF$2:AF141),$AF$2:$AF$1001,0),1)&gt;=100000,INDEX($AM$1005:$BM$1005,1,MATCH(COLUMNS($AM$1006:BG1006),$AM$1006:$BM$1006,0))&gt;=100000), " ",IF(INDEX($AM$2:$BM$1001,MATCH(ROWS($AF$2:AF141),$AF$2:$AF$1001,0),MATCH(COLUMNS($AM$1006:BG1006),$AM$1006:$BM$1006,0)), HYPERLINK("#",""), HYPERLINK(CONCATENATE("#metadata!", ADDRESS(INDEX($AH$2:$AH$1001,MATCH(ROWS($AF$2:AF141),$AF$2:$AF$1001,0),0), INDEX($AM$1004:$BM$1004,1,MATCH(COLUMNS($AM$1006:BG1006),$AM$1006:$BM$1006,0)))),"Fix")))</f>
        <v xml:space="preserve"> </v>
      </c>
      <c r="W141" s="4" t="str">
        <f ca="1">IF(OR(INDEX($AG$2:$AG$1001,MATCH(ROWS($AF$2:AF141),$AF$2:$AF$1001,0),1)&gt;=100000,INDEX($AM$1005:$BM$1005,1,MATCH(COLUMNS($AM$1006:BH1006),$AM$1006:$BM$1006,0))&gt;=100000), " ",IF(INDEX($AM$2:$BM$1001,MATCH(ROWS($AF$2:AF141),$AF$2:$AF$1001,0),MATCH(COLUMNS($AM$1006:BH1006),$AM$1006:$BM$1006,0)), HYPERLINK("#",""), HYPERLINK(CONCATENATE("#metadata!", ADDRESS(INDEX($AH$2:$AH$1001,MATCH(ROWS($AF$2:AF141),$AF$2:$AF$1001,0),0), INDEX($AM$1004:$BM$1004,1,MATCH(COLUMNS($AM$1006:BH1006),$AM$1006:$BM$1006,0)))),"Fix")))</f>
        <v xml:space="preserve"> </v>
      </c>
      <c r="X141" s="4" t="str">
        <f ca="1">IF(OR(INDEX($AG$2:$AG$1001,MATCH(ROWS($AF$2:AF141),$AF$2:$AF$1001,0),1)&gt;=100000,INDEX($AM$1005:$BM$1005,1,MATCH(COLUMNS($AM$1006:BI1006),$AM$1006:$BM$1006,0))&gt;=100000), " ",IF(INDEX($AM$2:$BM$1001,MATCH(ROWS($AF$2:AF141),$AF$2:$AF$1001,0),MATCH(COLUMNS($AM$1006:BI1006),$AM$1006:$BM$1006,0)), HYPERLINK("#",""), HYPERLINK(CONCATENATE("#metadata!", ADDRESS(INDEX($AH$2:$AH$1001,MATCH(ROWS($AF$2:AF141),$AF$2:$AF$1001,0),0), INDEX($AM$1004:$BM$1004,1,MATCH(COLUMNS($AM$1006:BI1006),$AM$1006:$BM$1006,0)))),"Fix")))</f>
        <v xml:space="preserve"> </v>
      </c>
      <c r="Y141" s="4" t="str">
        <f ca="1">IF(OR(INDEX($AG$2:$AG$1001,MATCH(ROWS($AF$2:AF141),$AF$2:$AF$1001,0),1)&gt;=100000,INDEX($AM$1005:$BM$1005,1,MATCH(COLUMNS($AM$1006:BJ1006),$AM$1006:$BM$1006,0))&gt;=100000), " ",IF(INDEX($AM$2:$BM$1001,MATCH(ROWS($AF$2:AF141),$AF$2:$AF$1001,0),MATCH(COLUMNS($AM$1006:BJ1006),$AM$1006:$BM$1006,0)), HYPERLINK("#",""), HYPERLINK(CONCATENATE("#metadata!", ADDRESS(INDEX($AH$2:$AH$1001,MATCH(ROWS($AF$2:AF141),$AF$2:$AF$1001,0),0), INDEX($AM$1004:$BM$1004,1,MATCH(COLUMNS($AM$1006:BJ1006),$AM$1006:$BM$1006,0)))),"Fix")))</f>
        <v xml:space="preserve"> </v>
      </c>
      <c r="Z141" s="4" t="str">
        <f ca="1">IF(OR(INDEX($AG$2:$AG$1001,MATCH(ROWS($AF$2:AF141),$AF$2:$AF$1001,0),1)&gt;=100000,INDEX($AM$1005:$BM$1005,1,MATCH(COLUMNS($AM$1006:BK1006),$AM$1006:$BM$1006,0))&gt;=100000), " ",IF(INDEX($AM$2:$BM$1001,MATCH(ROWS($AF$2:AF141),$AF$2:$AF$1001,0),MATCH(COLUMNS($AM$1006:BK1006),$AM$1006:$BM$1006,0)), HYPERLINK("#",""), HYPERLINK(CONCATENATE("#metadata!", ADDRESS(INDEX($AH$2:$AH$1001,MATCH(ROWS($AF$2:AF141),$AF$2:$AF$1001,0),0), INDEX($AM$1004:$BM$1004,1,MATCH(COLUMNS($AM$1006:BK1006),$AM$1006:$BM$1006,0)))),"Fix")))</f>
        <v xml:space="preserve"> </v>
      </c>
      <c r="AA141" s="4" t="str">
        <f ca="1">IF(OR(INDEX($AG$2:$AG$1001,MATCH(ROWS($AF$2:AF141),$AF$2:$AF$1001,0),1)&gt;=100000,INDEX($AM$1005:$BM$1005,1,MATCH(COLUMNS($AM$1006:BL1006),$AM$1006:$BM$1006,0))&gt;=100000), " ",IF(INDEX($AM$2:$BM$1001,MATCH(ROWS($AF$2:AF141),$AF$2:$AF$1001,0),MATCH(COLUMNS($AM$1006:BL1006),$AM$1006:$BM$1006,0)), HYPERLINK("#",""), HYPERLINK(CONCATENATE("#metadata!", ADDRESS(INDEX($AH$2:$AH$1001,MATCH(ROWS($AF$2:AF141),$AF$2:$AF$1001,0),0), INDEX($AM$1004:$BM$1004,1,MATCH(COLUMNS($AM$1006:BL1006),$AM$1006:$BM$1006,0)))),"Fix")))</f>
        <v xml:space="preserve"> </v>
      </c>
      <c r="AB141" s="4" t="str">
        <f ca="1">IF(OR(INDEX($AG$2:$AG$1001,MATCH(ROWS($AF$2:AF141),$AF$2:$AF$1001,0),1)&gt;=100000,INDEX($AM$1005:$BM$1005,1,MATCH(COLUMNS($AM$1006:BM1006),$AM$1006:$BM$1006,0))&gt;=100000), " ",IF(INDEX($AM$2:$BM$1001,MATCH(ROWS($AF$2:AF141),$AF$2:$AF$1001,0),MATCH(COLUMNS($AM$1006:BM1006),$AM$1006:$BM$1006,0)), HYPERLINK("#",""), HYPERLINK(CONCATENATE("#metadata!", ADDRESS(INDEX($AH$2:$AH$1001,MATCH(ROWS($AF$2:AF141),$AF$2:$AF$1001,0),0), INDEX($AM$1004:$BM$1004,1,MATCH(COLUMNS($AM$1006:BM1006),$AM$1006:$BM$1006,0)))),"Fix")))</f>
        <v xml:space="preserve"> </v>
      </c>
      <c r="AF141">
        <v>140</v>
      </c>
      <c r="AG141">
        <v>100141</v>
      </c>
      <c r="AH141">
        <v>141</v>
      </c>
      <c r="AI141" t="b">
        <f t="shared" si="2"/>
        <v>1</v>
      </c>
      <c r="AJ141" t="b">
        <f>COUNTBLANK(metadata!B141:AB141)=COLUMNS(metadata!B141:AB141)</f>
        <v>1</v>
      </c>
      <c r="AK141" t="str">
        <v/>
      </c>
      <c r="AM141" t="b">
        <f ca="1">AND(IF(metadata!B141="",FALSE,TRUE),COUNTIF(metadata!B:B, metadata!B141) = 1,NOT(ISERROR(SUMPRODUCT(SEARCH(MID(metadata!B141,ROW(INDIRECT("1:"&amp;LEN(metadata!B141))), 1),"0123456789abcdefghijklmnopqrstuvwxyzABCDEFGHIJKLMNOPQRSTUVWXYZ.")))))</f>
        <v>0</v>
      </c>
      <c r="AN141" t="b">
        <f ca="1">OR(AND(IF(metadata!C141="",FALSE,TRUE),OR(EXACT(metadata!C141,"missing: not collected"),EXACT(metadata!C141,"missing: not provided"),EXACT(metadata!C141,"missing: restricted access"))),AND(IF(metadata!C141="",FALSE,TRUE),AND(AND(IFERROR(INT(LEFT(metadata!C141,4))&gt;1900,FALSE),IFERROR(INT(LEFT(metadata!C141,4))&lt;=YEAR(NOW()),FALSE)), OR(MID(metadata!C141,5,1)="", AND(AND(MID(metadata!C141,5,1)="-",IFERROR(INT(MID(metadata!C141,6,1))&gt;=0,FALSE),IFERROR(INT(MID(metadata!C141,6,1))&lt;=1,FALSE),NOT(MID(metadata!C141,7,1)=""),IFERROR(INT(MID(metadata!C141,6,2))&gt;=1,FALSE),IFERROR(INT(MID(metadata!C141,6,2))&lt;=12,FALSE)), OR(MID(metadata!C141,8,1)="", AND(AND(MID(metadata!C141,8,1)="-",IFERROR(INT(MID(metadata!C141,9,1))&gt;=0,FALSE),IFERROR(INT(MID(metadata!C141,9,1))&lt;=3,FALSE),NOT(MID(metadata!C141,10,1)=""),IFERROR(INT(MID(metadata!C141,9,2))&gt;=1,FALSE),IFERROR(INT(MID(metadata!C141,9,2))&lt;=31,FALSE)), OR(MID(metadata!C141,11,1)="", AND(AND(MID(metadata!C141,11,1)=" ",IFERROR(INT(MID(metadata!C141,12,1))&gt;=0,FALSE),IFERROR(INT(MID(metadata!C141,12,1))&lt;=2,FALSE),NOT(MID(metadata!C141,13,1)=""),IFERROR(INT(MID(metadata!C141,12,2))&gt;=0,FALSE),IFERROR(INT(MID(metadata!C141,12,2))&lt;=23,FALSE)), OR(MID(metadata!C141,14,1)="", AND(AND(MID(metadata!C141,14,1)=":",IFERROR(INT(MID(metadata!C141,15,1))&gt;=0,FALSE),IFERROR(INT(MID(metadata!C141,15,1))&lt;=5,FALSE),NOT(MID(metadata!C141,16,1)=""),IFERROR(INT(MID(metadata!C141,15,2))&gt;=0,FALSE),IFERROR(INT(MID(metadata!C141,15,2))&lt;=59,FALSE)), OR(MID(metadata!C141,17,1)="", AND(AND(MID(metadata!C141,17,1)=":",IFERROR(INT(MID(metadata!C141,18,1))&gt;=0,FALSE),IFERROR(INT(MID(metadata!C141,18,1))&lt;=5,FALSE),NOT(MID(metadata!C141,19,1)=""),IFERROR(INT(MID(metadata!C141,18,2))&gt;=0,FALSE),IFERROR(INT(MID(metadata!C141,18,2))&lt;=59,FALSE)), LEN(metadata!C141)&lt;=19)))))))))))))</f>
        <v>0</v>
      </c>
      <c r="AO141" t="b">
        <f>AND(IF(metadata!D141="",FALSE,TRUE),EXACT(metadata!D141,"Not applicable"))</f>
        <v>0</v>
      </c>
      <c r="AP141" t="b">
        <f>IF(metadata!E141="",FALSE,TRUE)</f>
        <v>0</v>
      </c>
      <c r="AQ141" t="b">
        <f>OR(AND(IF(metadata!F141="",FALSE,TRUE),OR(EXACT(metadata!F141,"missing: not collected"),EXACT(metadata!F141,"missing: not provided"))),AND(IF(metadata!F141="",FALSE,TRUE),OR(EXACT(metadata!F141,"TRUE"),EXACT(metadata!F141,"FALSE"))))</f>
        <v>0</v>
      </c>
      <c r="AR141" t="b">
        <f>OR(AND(IF(metadata!G141="",FALSE,TRUE),OR(EXACT(metadata!G141,"missing: not collected"),EXACT(metadata!G141,"missing: not provided"),EXACT(metadata!G141,"missing: restricted access"))),AND(IF(metadata!G141="",FALSE,ISNUMBER(VALUE(metadata!G141))),metadata!G141&gt;=-413))</f>
        <v>0</v>
      </c>
      <c r="AS141" t="b">
        <f>AND(IF(metadata!H141="",FALSE,TRUE),EXACT(metadata!H141,"meters"))</f>
        <v>0</v>
      </c>
      <c r="AT141" t="b">
        <f>AND(IF(metadata!I141="",FALSE,TRUE),OR(EXACT(metadata!I141,"Host-associated"),EXACT(metadata!I141,"Free-living")))</f>
        <v>0</v>
      </c>
      <c r="AU141" t="b">
        <f>AND(IF(metadata!J141="",FALSE,TRUE),OR(EXACT(metadata!J141,"Animal"),EXACT(metadata!J141,"Fungus"),EXACT(metadata!J141,"Plant"),EXACT(metadata!J141,"Saline"),EXACT(metadata!J141,"Non-saline")))</f>
        <v>0</v>
      </c>
      <c r="AV141" t="b">
        <f>AND(IF(metadata!K141="",FALSE,TRUE),OR(EXACT(metadata!K141,"Plant secretion"),EXACT(metadata!K141,"Plant rhizosphere"),EXACT(metadata!K141,"Plant surface"),EXACT(metadata!K141,"Plant corpus"),EXACT(metadata!K141,"Fungus surface"),EXACT(metadata!K141,"Fungus corpus"),EXACT(metadata!K141,"Animal surface"),EXACT(metadata!K141,"Animal proximal gut"),EXACT(metadata!K141,"Animal corpus"),EXACT(metadata!K141,"Animal distal gut"),EXACT(metadata!K141,"Animal secretion"),EXACT(metadata!K141,"Sub-surface (non-saline)"),EXACT(metadata!K141,"Surface (non-saline)"),EXACT(metadata!K141,"Water (non-saline)"),EXACT(metadata!K141,"Soil (non-saline)"),EXACT(metadata!K141,"Aerosol (non-saline)"),EXACT(metadata!K141,"Sediment (non-saline)"),EXACT(metadata!K141,"Surface (saline)"),EXACT(metadata!K141,"Water (saline)"),EXACT(metadata!K141,"Hypersaline (saline)"),EXACT(metadata!K141,"Aerosol (saline)"),EXACT(metadata!K141,"Sediment (saline)")))</f>
        <v>0</v>
      </c>
      <c r="AW141" t="b">
        <f>IF(metadata!L141="",FALSE,TRUE)</f>
        <v>0</v>
      </c>
      <c r="AX141" t="b">
        <f>IF(metadata!M141="",FALSE,TRUE)</f>
        <v>0</v>
      </c>
      <c r="AY141" t="b">
        <f>IF(metadata!N141="",FALSE,TRUE)</f>
        <v>0</v>
      </c>
      <c r="AZ141" t="b">
        <f>OR(AND(IF(metadata!O141="",FALSE,TRUE),OR(EXACT(metadata!O141,"missing: not collected"),EXACT(metadata!O141,"missing: not provided"),EXACT(metadata!O141,"missing: restricted access"))),AND(IF(metadata!O141="",FALSE,TRUE),OR(EXACT(metadata!O141,"air"),EXACT(metadata!O141,"built environment"),EXACT(metadata!O141,"host-associated"),EXACT(metadata!O141,"human-associated"),EXACT(metadata!O141,"human-skin"),EXACT(metadata!O141,"human-oral"),EXACT(metadata!O141,"human-gut"),EXACT(metadata!O141,"human-vaginal"),EXACT(metadata!O141,"microbial mat/biofilm"),EXACT(metadata!O141,"misc environment"),EXACT(metadata!O141,"plant-associated"),EXACT(metadata!O141,"sediment"),EXACT(metadata!O141,"soil"),EXACT(metadata!O141,"wastewater/sludge"),EXACT(metadata!O141,"water"))))</f>
        <v>0</v>
      </c>
      <c r="BA141" t="b">
        <f>IF(metadata!P141="",FALSE,TRUE)</f>
        <v>0</v>
      </c>
      <c r="BB141" t="b">
        <f>IF(metadata!Q141="",FALSE,TRUE)</f>
        <v>0</v>
      </c>
      <c r="BC141" t="b">
        <f>OR(AND(IF(metadata!R141="",FALSE,TRUE),OR(EXACT(metadata!R141,"missing: not collected"),EXACT(metadata!R141,"missing: not provided"),EXACT(metadata!R141,"missing: restricted access"))),AND(IF(metadata!R141="",FALSE,ISNUMBER(VALUE(metadata!R141))),metadata!R141&gt;=-90,metadata!R141&lt;=90))</f>
        <v>0</v>
      </c>
      <c r="BD141" t="b">
        <f>AND(IF(metadata!S141="",FALSE,TRUE),EXACT(metadata!S141,"Decimal degrees"))</f>
        <v>0</v>
      </c>
      <c r="BE141" t="b">
        <f>OR(AND(IF(metadata!T141="",FALSE,TRUE),OR(EXACT(metadata!T141,"missing: not collected"),EXACT(metadata!T141,"missing: not provided"),EXACT(metadata!T141,"missing: restricted access"))),AND(IF(metadata!T141="",FALSE,ISNUMBER(VALUE(metadata!T141))),metadata!T141&gt;=-180,metadata!T141&lt;=180))</f>
        <v>0</v>
      </c>
      <c r="BF141" t="b">
        <f>AND(IF(metadata!U141="",FALSE,TRUE),EXACT(metadata!U141,"Decimal degrees"))</f>
        <v>0</v>
      </c>
      <c r="BG141" t="b">
        <f>IF(metadata!V141="",FALSE,TRUE)</f>
        <v>0</v>
      </c>
      <c r="BH141" t="b">
        <f>OR(AND(IF(metadata!W141="",FALSE,TRUE),OR(EXACT(metadata!W141,"missing: not collected"),EXACT(metadata!W141,"missing: not provided"),EXACT(metadata!W141,"missing: restricted access"))),AND(IF(metadata!W141="",FALSE,TRUE),OR(EXACT(metadata!W141,"TRUE"),EXACT(metadata!W141,"FALSE"))))</f>
        <v>0</v>
      </c>
      <c r="BI141" t="b">
        <f>AND(IF(metadata!X141="",FALSE,TRUE),EXACT(metadata!X141,"other"))</f>
        <v>0</v>
      </c>
      <c r="BJ141" t="b">
        <f>IF(metadata!Y141="",FALSE,TRUE)</f>
        <v>0</v>
      </c>
      <c r="BK141" t="b">
        <f>OR(AND(IF(metadata!Z141="",FALSE,TRUE),OR(EXACT(metadata!Z141,"missing: not collected"),EXACT(metadata!Z141,"missing: not provided"))),AND(IF(metadata!Z141="",FALSE,IF(ISERROR(INT(metadata!Z141)),FALSE,INT(metadata!Z141)=metadata!Z141)),metadata!Z141&gt;0))</f>
        <v>0</v>
      </c>
      <c r="BL141" t="b">
        <f>AND(IF(metadata!AA141="",FALSE,TRUE),EXACT(metadata!AA141,"Not applicable"))</f>
        <v>0</v>
      </c>
      <c r="BM141" t="b">
        <f>IF(metadata!AB141="",FALSE,TRUE)</f>
        <v>0</v>
      </c>
    </row>
    <row r="142" spans="1:65" x14ac:dyDescent="0.2">
      <c r="A142" s="5" t="str">
        <f ca="1">IF(B142=" "," ",HYPERLINK(CONCATENATE("#metadata!",ADDRESS(INDEX($AH$2:$AH$1001,MATCH(ROWS($AF$2:AF142),$AF$2:$AF$1001,0),0),1)),INDEX($AK$2:$AK$1001,MATCH(ROWS($AF$2:AF142),$AF$2:$AF$1001,0),0)))</f>
        <v xml:space="preserve"> </v>
      </c>
      <c r="B142" s="4" t="str">
        <f ca="1">IF(OR(INDEX($AG$2:$AG$1001,MATCH(ROWS($AF$2:AF142),$AF$2:$AF$1001,0),1)&gt;=100000,INDEX($AM$1005:$BM$1005,1,MATCH(COLUMNS($AM$1006:AM1006),$AM$1006:$BM$1006,0))&gt;=100000), " ",IF(INDEX($AM$2:$BM$1001,MATCH(ROWS($AF$2:AF142),$AF$2:$AF$1001,0),MATCH(COLUMNS($AM$1006:AM1006),$AM$1006:$BM$1006,0)), HYPERLINK("#",""), HYPERLINK(CONCATENATE("#metadata!", ADDRESS(INDEX($AH$2:$AH$1001,MATCH(ROWS($AF$2:AF142),$AF$2:$AF$1001,0),0), INDEX($AM$1004:$BM$1004,1,MATCH(COLUMNS($AM$1006:AM1006),$AM$1006:$BM$1006,0)))),"Fix")))</f>
        <v xml:space="preserve"> </v>
      </c>
      <c r="C142" s="4" t="str">
        <f ca="1">IF(OR(INDEX($AG$2:$AG$1001,MATCH(ROWS($AF$2:AF142),$AF$2:$AF$1001,0),1)&gt;=100000,INDEX($AM$1005:$BM$1005,1,MATCH(COLUMNS($AM$1006:AN1006),$AM$1006:$BM$1006,0))&gt;=100000), " ",IF(INDEX($AM$2:$BM$1001,MATCH(ROWS($AF$2:AF142),$AF$2:$AF$1001,0),MATCH(COLUMNS($AM$1006:AN1006),$AM$1006:$BM$1006,0)), HYPERLINK("#",""), HYPERLINK(CONCATENATE("#metadata!", ADDRESS(INDEX($AH$2:$AH$1001,MATCH(ROWS($AF$2:AF142),$AF$2:$AF$1001,0),0), INDEX($AM$1004:$BM$1004,1,MATCH(COLUMNS($AM$1006:AN1006),$AM$1006:$BM$1006,0)))),"Fix")))</f>
        <v xml:space="preserve"> </v>
      </c>
      <c r="D142" s="4" t="str">
        <f ca="1">IF(OR(INDEX($AG$2:$AG$1001,MATCH(ROWS($AF$2:AF142),$AF$2:$AF$1001,0),1)&gt;=100000,INDEX($AM$1005:$BM$1005,1,MATCH(COLUMNS($AM$1006:AO1006),$AM$1006:$BM$1006,0))&gt;=100000), " ",IF(INDEX($AM$2:$BM$1001,MATCH(ROWS($AF$2:AF142),$AF$2:$AF$1001,0),MATCH(COLUMNS($AM$1006:AO1006),$AM$1006:$BM$1006,0)), HYPERLINK("#",""), HYPERLINK(CONCATENATE("#metadata!", ADDRESS(INDEX($AH$2:$AH$1001,MATCH(ROWS($AF$2:AF142),$AF$2:$AF$1001,0),0), INDEX($AM$1004:$BM$1004,1,MATCH(COLUMNS($AM$1006:AO1006),$AM$1006:$BM$1006,0)))),"Fix")))</f>
        <v xml:space="preserve"> </v>
      </c>
      <c r="E142" s="4" t="str">
        <f ca="1">IF(OR(INDEX($AG$2:$AG$1001,MATCH(ROWS($AF$2:AF142),$AF$2:$AF$1001,0),1)&gt;=100000,INDEX($AM$1005:$BM$1005,1,MATCH(COLUMNS($AM$1006:AP1006),$AM$1006:$BM$1006,0))&gt;=100000), " ",IF(INDEX($AM$2:$BM$1001,MATCH(ROWS($AF$2:AF142),$AF$2:$AF$1001,0),MATCH(COLUMNS($AM$1006:AP1006),$AM$1006:$BM$1006,0)), HYPERLINK("#",""), HYPERLINK(CONCATENATE("#metadata!", ADDRESS(INDEX($AH$2:$AH$1001,MATCH(ROWS($AF$2:AF142),$AF$2:$AF$1001,0),0), INDEX($AM$1004:$BM$1004,1,MATCH(COLUMNS($AM$1006:AP1006),$AM$1006:$BM$1006,0)))),"Fix")))</f>
        <v xml:space="preserve"> </v>
      </c>
      <c r="F142" s="4" t="str">
        <f ca="1">IF(OR(INDEX($AG$2:$AG$1001,MATCH(ROWS($AF$2:AF142),$AF$2:$AF$1001,0),1)&gt;=100000,INDEX($AM$1005:$BM$1005,1,MATCH(COLUMNS($AM$1006:AQ1006),$AM$1006:$BM$1006,0))&gt;=100000), " ",IF(INDEX($AM$2:$BM$1001,MATCH(ROWS($AF$2:AF142),$AF$2:$AF$1001,0),MATCH(COLUMNS($AM$1006:AQ1006),$AM$1006:$BM$1006,0)), HYPERLINK("#",""), HYPERLINK(CONCATENATE("#metadata!", ADDRESS(INDEX($AH$2:$AH$1001,MATCH(ROWS($AF$2:AF142),$AF$2:$AF$1001,0),0), INDEX($AM$1004:$BM$1004,1,MATCH(COLUMNS($AM$1006:AQ1006),$AM$1006:$BM$1006,0)))),"Fix")))</f>
        <v xml:space="preserve"> </v>
      </c>
      <c r="G142" s="4" t="str">
        <f ca="1">IF(OR(INDEX($AG$2:$AG$1001,MATCH(ROWS($AF$2:AF142),$AF$2:$AF$1001,0),1)&gt;=100000,INDEX($AM$1005:$BM$1005,1,MATCH(COLUMNS($AM$1006:AR1006),$AM$1006:$BM$1006,0))&gt;=100000), " ",IF(INDEX($AM$2:$BM$1001,MATCH(ROWS($AF$2:AF142),$AF$2:$AF$1001,0),MATCH(COLUMNS($AM$1006:AR1006),$AM$1006:$BM$1006,0)), HYPERLINK("#",""), HYPERLINK(CONCATENATE("#metadata!", ADDRESS(INDEX($AH$2:$AH$1001,MATCH(ROWS($AF$2:AF142),$AF$2:$AF$1001,0),0), INDEX($AM$1004:$BM$1004,1,MATCH(COLUMNS($AM$1006:AR1006),$AM$1006:$BM$1006,0)))),"Fix")))</f>
        <v xml:space="preserve"> </v>
      </c>
      <c r="H142" s="4" t="str">
        <f ca="1">IF(OR(INDEX($AG$2:$AG$1001,MATCH(ROWS($AF$2:AF142),$AF$2:$AF$1001,0),1)&gt;=100000,INDEX($AM$1005:$BM$1005,1,MATCH(COLUMNS($AM$1006:AS1006),$AM$1006:$BM$1006,0))&gt;=100000), " ",IF(INDEX($AM$2:$BM$1001,MATCH(ROWS($AF$2:AF142),$AF$2:$AF$1001,0),MATCH(COLUMNS($AM$1006:AS1006),$AM$1006:$BM$1006,0)), HYPERLINK("#",""), HYPERLINK(CONCATENATE("#metadata!", ADDRESS(INDEX($AH$2:$AH$1001,MATCH(ROWS($AF$2:AF142),$AF$2:$AF$1001,0),0), INDEX($AM$1004:$BM$1004,1,MATCH(COLUMNS($AM$1006:AS1006),$AM$1006:$BM$1006,0)))),"Fix")))</f>
        <v xml:space="preserve"> </v>
      </c>
      <c r="I142" s="4" t="str">
        <f ca="1">IF(OR(INDEX($AG$2:$AG$1001,MATCH(ROWS($AF$2:AF142),$AF$2:$AF$1001,0),1)&gt;=100000,INDEX($AM$1005:$BM$1005,1,MATCH(COLUMNS($AM$1006:AT1006),$AM$1006:$BM$1006,0))&gt;=100000), " ",IF(INDEX($AM$2:$BM$1001,MATCH(ROWS($AF$2:AF142),$AF$2:$AF$1001,0),MATCH(COLUMNS($AM$1006:AT1006),$AM$1006:$BM$1006,0)), HYPERLINK("#",""), HYPERLINK(CONCATENATE("#metadata!", ADDRESS(INDEX($AH$2:$AH$1001,MATCH(ROWS($AF$2:AF142),$AF$2:$AF$1001,0),0), INDEX($AM$1004:$BM$1004,1,MATCH(COLUMNS($AM$1006:AT1006),$AM$1006:$BM$1006,0)))),"Fix")))</f>
        <v xml:space="preserve"> </v>
      </c>
      <c r="J142" s="4" t="str">
        <f ca="1">IF(OR(INDEX($AG$2:$AG$1001,MATCH(ROWS($AF$2:AF142),$AF$2:$AF$1001,0),1)&gt;=100000,INDEX($AM$1005:$BM$1005,1,MATCH(COLUMNS($AM$1006:AU1006),$AM$1006:$BM$1006,0))&gt;=100000), " ",IF(INDEX($AM$2:$BM$1001,MATCH(ROWS($AF$2:AF142),$AF$2:$AF$1001,0),MATCH(COLUMNS($AM$1006:AU1006),$AM$1006:$BM$1006,0)), HYPERLINK("#",""), HYPERLINK(CONCATENATE("#metadata!", ADDRESS(INDEX($AH$2:$AH$1001,MATCH(ROWS($AF$2:AF142),$AF$2:$AF$1001,0),0), INDEX($AM$1004:$BM$1004,1,MATCH(COLUMNS($AM$1006:AU1006),$AM$1006:$BM$1006,0)))),"Fix")))</f>
        <v xml:space="preserve"> </v>
      </c>
      <c r="K142" s="4" t="str">
        <f ca="1">IF(OR(INDEX($AG$2:$AG$1001,MATCH(ROWS($AF$2:AF142),$AF$2:$AF$1001,0),1)&gt;=100000,INDEX($AM$1005:$BM$1005,1,MATCH(COLUMNS($AM$1006:AV1006),$AM$1006:$BM$1006,0))&gt;=100000), " ",IF(INDEX($AM$2:$BM$1001,MATCH(ROWS($AF$2:AF142),$AF$2:$AF$1001,0),MATCH(COLUMNS($AM$1006:AV1006),$AM$1006:$BM$1006,0)), HYPERLINK("#",""), HYPERLINK(CONCATENATE("#metadata!", ADDRESS(INDEX($AH$2:$AH$1001,MATCH(ROWS($AF$2:AF142),$AF$2:$AF$1001,0),0), INDEX($AM$1004:$BM$1004,1,MATCH(COLUMNS($AM$1006:AV1006),$AM$1006:$BM$1006,0)))),"Fix")))</f>
        <v xml:space="preserve"> </v>
      </c>
      <c r="L142" s="4" t="str">
        <f ca="1">IF(OR(INDEX($AG$2:$AG$1001,MATCH(ROWS($AF$2:AF142),$AF$2:$AF$1001,0),1)&gt;=100000,INDEX($AM$1005:$BM$1005,1,MATCH(COLUMNS($AM$1006:AW1006),$AM$1006:$BM$1006,0))&gt;=100000), " ",IF(INDEX($AM$2:$BM$1001,MATCH(ROWS($AF$2:AF142),$AF$2:$AF$1001,0),MATCH(COLUMNS($AM$1006:AW1006),$AM$1006:$BM$1006,0)), HYPERLINK("#",""), HYPERLINK(CONCATENATE("#metadata!", ADDRESS(INDEX($AH$2:$AH$1001,MATCH(ROWS($AF$2:AF142),$AF$2:$AF$1001,0),0), INDEX($AM$1004:$BM$1004,1,MATCH(COLUMNS($AM$1006:AW1006),$AM$1006:$BM$1006,0)))),"Fix")))</f>
        <v xml:space="preserve"> </v>
      </c>
      <c r="M142" s="4" t="str">
        <f ca="1">IF(OR(INDEX($AG$2:$AG$1001,MATCH(ROWS($AF$2:AF142),$AF$2:$AF$1001,0),1)&gt;=100000,INDEX($AM$1005:$BM$1005,1,MATCH(COLUMNS($AM$1006:AX1006),$AM$1006:$BM$1006,0))&gt;=100000), " ",IF(INDEX($AM$2:$BM$1001,MATCH(ROWS($AF$2:AF142),$AF$2:$AF$1001,0),MATCH(COLUMNS($AM$1006:AX1006),$AM$1006:$BM$1006,0)), HYPERLINK("#",""), HYPERLINK(CONCATENATE("#metadata!", ADDRESS(INDEX($AH$2:$AH$1001,MATCH(ROWS($AF$2:AF142),$AF$2:$AF$1001,0),0), INDEX($AM$1004:$BM$1004,1,MATCH(COLUMNS($AM$1006:AX1006),$AM$1006:$BM$1006,0)))),"Fix")))</f>
        <v xml:space="preserve"> </v>
      </c>
      <c r="N142" s="4" t="str">
        <f ca="1">IF(OR(INDEX($AG$2:$AG$1001,MATCH(ROWS($AF$2:AF142),$AF$2:$AF$1001,0),1)&gt;=100000,INDEX($AM$1005:$BM$1005,1,MATCH(COLUMNS($AM$1006:AY1006),$AM$1006:$BM$1006,0))&gt;=100000), " ",IF(INDEX($AM$2:$BM$1001,MATCH(ROWS($AF$2:AF142),$AF$2:$AF$1001,0),MATCH(COLUMNS($AM$1006:AY1006),$AM$1006:$BM$1006,0)), HYPERLINK("#",""), HYPERLINK(CONCATENATE("#metadata!", ADDRESS(INDEX($AH$2:$AH$1001,MATCH(ROWS($AF$2:AF142),$AF$2:$AF$1001,0),0), INDEX($AM$1004:$BM$1004,1,MATCH(COLUMNS($AM$1006:AY1006),$AM$1006:$BM$1006,0)))),"Fix")))</f>
        <v xml:space="preserve"> </v>
      </c>
      <c r="O142" s="4" t="str">
        <f ca="1">IF(OR(INDEX($AG$2:$AG$1001,MATCH(ROWS($AF$2:AF142),$AF$2:$AF$1001,0),1)&gt;=100000,INDEX($AM$1005:$BM$1005,1,MATCH(COLUMNS($AM$1006:AZ1006),$AM$1006:$BM$1006,0))&gt;=100000), " ",IF(INDEX($AM$2:$BM$1001,MATCH(ROWS($AF$2:AF142),$AF$2:$AF$1001,0),MATCH(COLUMNS($AM$1006:AZ1006),$AM$1006:$BM$1006,0)), HYPERLINK("#",""), HYPERLINK(CONCATENATE("#metadata!", ADDRESS(INDEX($AH$2:$AH$1001,MATCH(ROWS($AF$2:AF142),$AF$2:$AF$1001,0),0), INDEX($AM$1004:$BM$1004,1,MATCH(COLUMNS($AM$1006:AZ1006),$AM$1006:$BM$1006,0)))),"Fix")))</f>
        <v xml:space="preserve"> </v>
      </c>
      <c r="P142" s="4" t="str">
        <f ca="1">IF(OR(INDEX($AG$2:$AG$1001,MATCH(ROWS($AF$2:AF142),$AF$2:$AF$1001,0),1)&gt;=100000,INDEX($AM$1005:$BM$1005,1,MATCH(COLUMNS($AM$1006:BA1006),$AM$1006:$BM$1006,0))&gt;=100000), " ",IF(INDEX($AM$2:$BM$1001,MATCH(ROWS($AF$2:AF142),$AF$2:$AF$1001,0),MATCH(COLUMNS($AM$1006:BA1006),$AM$1006:$BM$1006,0)), HYPERLINK("#",""), HYPERLINK(CONCATENATE("#metadata!", ADDRESS(INDEX($AH$2:$AH$1001,MATCH(ROWS($AF$2:AF142),$AF$2:$AF$1001,0),0), INDEX($AM$1004:$BM$1004,1,MATCH(COLUMNS($AM$1006:BA1006),$AM$1006:$BM$1006,0)))),"Fix")))</f>
        <v xml:space="preserve"> </v>
      </c>
      <c r="Q142" s="4" t="str">
        <f ca="1">IF(OR(INDEX($AG$2:$AG$1001,MATCH(ROWS($AF$2:AF142),$AF$2:$AF$1001,0),1)&gt;=100000,INDEX($AM$1005:$BM$1005,1,MATCH(COLUMNS($AM$1006:BB1006),$AM$1006:$BM$1006,0))&gt;=100000), " ",IF(INDEX($AM$2:$BM$1001,MATCH(ROWS($AF$2:AF142),$AF$2:$AF$1001,0),MATCH(COLUMNS($AM$1006:BB1006),$AM$1006:$BM$1006,0)), HYPERLINK("#",""), HYPERLINK(CONCATENATE("#metadata!", ADDRESS(INDEX($AH$2:$AH$1001,MATCH(ROWS($AF$2:AF142),$AF$2:$AF$1001,0),0), INDEX($AM$1004:$BM$1004,1,MATCH(COLUMNS($AM$1006:BB1006),$AM$1006:$BM$1006,0)))),"Fix")))</f>
        <v xml:space="preserve"> </v>
      </c>
      <c r="R142" s="4" t="str">
        <f ca="1">IF(OR(INDEX($AG$2:$AG$1001,MATCH(ROWS($AF$2:AF142),$AF$2:$AF$1001,0),1)&gt;=100000,INDEX($AM$1005:$BM$1005,1,MATCH(COLUMNS($AM$1006:BC1006),$AM$1006:$BM$1006,0))&gt;=100000), " ",IF(INDEX($AM$2:$BM$1001,MATCH(ROWS($AF$2:AF142),$AF$2:$AF$1001,0),MATCH(COLUMNS($AM$1006:BC1006),$AM$1006:$BM$1006,0)), HYPERLINK("#",""), HYPERLINK(CONCATENATE("#metadata!", ADDRESS(INDEX($AH$2:$AH$1001,MATCH(ROWS($AF$2:AF142),$AF$2:$AF$1001,0),0), INDEX($AM$1004:$BM$1004,1,MATCH(COLUMNS($AM$1006:BC1006),$AM$1006:$BM$1006,0)))),"Fix")))</f>
        <v xml:space="preserve"> </v>
      </c>
      <c r="S142" s="4" t="str">
        <f ca="1">IF(OR(INDEX($AG$2:$AG$1001,MATCH(ROWS($AF$2:AF142),$AF$2:$AF$1001,0),1)&gt;=100000,INDEX($AM$1005:$BM$1005,1,MATCH(COLUMNS($AM$1006:BD1006),$AM$1006:$BM$1006,0))&gt;=100000), " ",IF(INDEX($AM$2:$BM$1001,MATCH(ROWS($AF$2:AF142),$AF$2:$AF$1001,0),MATCH(COLUMNS($AM$1006:BD1006),$AM$1006:$BM$1006,0)), HYPERLINK("#",""), HYPERLINK(CONCATENATE("#metadata!", ADDRESS(INDEX($AH$2:$AH$1001,MATCH(ROWS($AF$2:AF142),$AF$2:$AF$1001,0),0), INDEX($AM$1004:$BM$1004,1,MATCH(COLUMNS($AM$1006:BD1006),$AM$1006:$BM$1006,0)))),"Fix")))</f>
        <v xml:space="preserve"> </v>
      </c>
      <c r="T142" s="4" t="str">
        <f ca="1">IF(OR(INDEX($AG$2:$AG$1001,MATCH(ROWS($AF$2:AF142),$AF$2:$AF$1001,0),1)&gt;=100000,INDEX($AM$1005:$BM$1005,1,MATCH(COLUMNS($AM$1006:BE1006),$AM$1006:$BM$1006,0))&gt;=100000), " ",IF(INDEX($AM$2:$BM$1001,MATCH(ROWS($AF$2:AF142),$AF$2:$AF$1001,0),MATCH(COLUMNS($AM$1006:BE1006),$AM$1006:$BM$1006,0)), HYPERLINK("#",""), HYPERLINK(CONCATENATE("#metadata!", ADDRESS(INDEX($AH$2:$AH$1001,MATCH(ROWS($AF$2:AF142),$AF$2:$AF$1001,0),0), INDEX($AM$1004:$BM$1004,1,MATCH(COLUMNS($AM$1006:BE1006),$AM$1006:$BM$1006,0)))),"Fix")))</f>
        <v xml:space="preserve"> </v>
      </c>
      <c r="U142" s="4" t="str">
        <f ca="1">IF(OR(INDEX($AG$2:$AG$1001,MATCH(ROWS($AF$2:AF142),$AF$2:$AF$1001,0),1)&gt;=100000,INDEX($AM$1005:$BM$1005,1,MATCH(COLUMNS($AM$1006:BF1006),$AM$1006:$BM$1006,0))&gt;=100000), " ",IF(INDEX($AM$2:$BM$1001,MATCH(ROWS($AF$2:AF142),$AF$2:$AF$1001,0),MATCH(COLUMNS($AM$1006:BF1006),$AM$1006:$BM$1006,0)), HYPERLINK("#",""), HYPERLINK(CONCATENATE("#metadata!", ADDRESS(INDEX($AH$2:$AH$1001,MATCH(ROWS($AF$2:AF142),$AF$2:$AF$1001,0),0), INDEX($AM$1004:$BM$1004,1,MATCH(COLUMNS($AM$1006:BF1006),$AM$1006:$BM$1006,0)))),"Fix")))</f>
        <v xml:space="preserve"> </v>
      </c>
      <c r="V142" s="4" t="str">
        <f ca="1">IF(OR(INDEX($AG$2:$AG$1001,MATCH(ROWS($AF$2:AF142),$AF$2:$AF$1001,0),1)&gt;=100000,INDEX($AM$1005:$BM$1005,1,MATCH(COLUMNS($AM$1006:BG1006),$AM$1006:$BM$1006,0))&gt;=100000), " ",IF(INDEX($AM$2:$BM$1001,MATCH(ROWS($AF$2:AF142),$AF$2:$AF$1001,0),MATCH(COLUMNS($AM$1006:BG1006),$AM$1006:$BM$1006,0)), HYPERLINK("#",""), HYPERLINK(CONCATENATE("#metadata!", ADDRESS(INDEX($AH$2:$AH$1001,MATCH(ROWS($AF$2:AF142),$AF$2:$AF$1001,0),0), INDEX($AM$1004:$BM$1004,1,MATCH(COLUMNS($AM$1006:BG1006),$AM$1006:$BM$1006,0)))),"Fix")))</f>
        <v xml:space="preserve"> </v>
      </c>
      <c r="W142" s="4" t="str">
        <f ca="1">IF(OR(INDEX($AG$2:$AG$1001,MATCH(ROWS($AF$2:AF142),$AF$2:$AF$1001,0),1)&gt;=100000,INDEX($AM$1005:$BM$1005,1,MATCH(COLUMNS($AM$1006:BH1006),$AM$1006:$BM$1006,0))&gt;=100000), " ",IF(INDEX($AM$2:$BM$1001,MATCH(ROWS($AF$2:AF142),$AF$2:$AF$1001,0),MATCH(COLUMNS($AM$1006:BH1006),$AM$1006:$BM$1006,0)), HYPERLINK("#",""), HYPERLINK(CONCATENATE("#metadata!", ADDRESS(INDEX($AH$2:$AH$1001,MATCH(ROWS($AF$2:AF142),$AF$2:$AF$1001,0),0), INDEX($AM$1004:$BM$1004,1,MATCH(COLUMNS($AM$1006:BH1006),$AM$1006:$BM$1006,0)))),"Fix")))</f>
        <v xml:space="preserve"> </v>
      </c>
      <c r="X142" s="4" t="str">
        <f ca="1">IF(OR(INDEX($AG$2:$AG$1001,MATCH(ROWS($AF$2:AF142),$AF$2:$AF$1001,0),1)&gt;=100000,INDEX($AM$1005:$BM$1005,1,MATCH(COLUMNS($AM$1006:BI1006),$AM$1006:$BM$1006,0))&gt;=100000), " ",IF(INDEX($AM$2:$BM$1001,MATCH(ROWS($AF$2:AF142),$AF$2:$AF$1001,0),MATCH(COLUMNS($AM$1006:BI1006),$AM$1006:$BM$1006,0)), HYPERLINK("#",""), HYPERLINK(CONCATENATE("#metadata!", ADDRESS(INDEX($AH$2:$AH$1001,MATCH(ROWS($AF$2:AF142),$AF$2:$AF$1001,0),0), INDEX($AM$1004:$BM$1004,1,MATCH(COLUMNS($AM$1006:BI1006),$AM$1006:$BM$1006,0)))),"Fix")))</f>
        <v xml:space="preserve"> </v>
      </c>
      <c r="Y142" s="4" t="str">
        <f ca="1">IF(OR(INDEX($AG$2:$AG$1001,MATCH(ROWS($AF$2:AF142),$AF$2:$AF$1001,0),1)&gt;=100000,INDEX($AM$1005:$BM$1005,1,MATCH(COLUMNS($AM$1006:BJ1006),$AM$1006:$BM$1006,0))&gt;=100000), " ",IF(INDEX($AM$2:$BM$1001,MATCH(ROWS($AF$2:AF142),$AF$2:$AF$1001,0),MATCH(COLUMNS($AM$1006:BJ1006),$AM$1006:$BM$1006,0)), HYPERLINK("#",""), HYPERLINK(CONCATENATE("#metadata!", ADDRESS(INDEX($AH$2:$AH$1001,MATCH(ROWS($AF$2:AF142),$AF$2:$AF$1001,0),0), INDEX($AM$1004:$BM$1004,1,MATCH(COLUMNS($AM$1006:BJ1006),$AM$1006:$BM$1006,0)))),"Fix")))</f>
        <v xml:space="preserve"> </v>
      </c>
      <c r="Z142" s="4" t="str">
        <f ca="1">IF(OR(INDEX($AG$2:$AG$1001,MATCH(ROWS($AF$2:AF142),$AF$2:$AF$1001,0),1)&gt;=100000,INDEX($AM$1005:$BM$1005,1,MATCH(COLUMNS($AM$1006:BK1006),$AM$1006:$BM$1006,0))&gt;=100000), " ",IF(INDEX($AM$2:$BM$1001,MATCH(ROWS($AF$2:AF142),$AF$2:$AF$1001,0),MATCH(COLUMNS($AM$1006:BK1006),$AM$1006:$BM$1006,0)), HYPERLINK("#",""), HYPERLINK(CONCATENATE("#metadata!", ADDRESS(INDEX($AH$2:$AH$1001,MATCH(ROWS($AF$2:AF142),$AF$2:$AF$1001,0),0), INDEX($AM$1004:$BM$1004,1,MATCH(COLUMNS($AM$1006:BK1006),$AM$1006:$BM$1006,0)))),"Fix")))</f>
        <v xml:space="preserve"> </v>
      </c>
      <c r="AA142" s="4" t="str">
        <f ca="1">IF(OR(INDEX($AG$2:$AG$1001,MATCH(ROWS($AF$2:AF142),$AF$2:$AF$1001,0),1)&gt;=100000,INDEX($AM$1005:$BM$1005,1,MATCH(COLUMNS($AM$1006:BL1006),$AM$1006:$BM$1006,0))&gt;=100000), " ",IF(INDEX($AM$2:$BM$1001,MATCH(ROWS($AF$2:AF142),$AF$2:$AF$1001,0),MATCH(COLUMNS($AM$1006:BL1006),$AM$1006:$BM$1006,0)), HYPERLINK("#",""), HYPERLINK(CONCATENATE("#metadata!", ADDRESS(INDEX($AH$2:$AH$1001,MATCH(ROWS($AF$2:AF142),$AF$2:$AF$1001,0),0), INDEX($AM$1004:$BM$1004,1,MATCH(COLUMNS($AM$1006:BL1006),$AM$1006:$BM$1006,0)))),"Fix")))</f>
        <v xml:space="preserve"> </v>
      </c>
      <c r="AB142" s="4" t="str">
        <f ca="1">IF(OR(INDEX($AG$2:$AG$1001,MATCH(ROWS($AF$2:AF142),$AF$2:$AF$1001,0),1)&gt;=100000,INDEX($AM$1005:$BM$1005,1,MATCH(COLUMNS($AM$1006:BM1006),$AM$1006:$BM$1006,0))&gt;=100000), " ",IF(INDEX($AM$2:$BM$1001,MATCH(ROWS($AF$2:AF142),$AF$2:$AF$1001,0),MATCH(COLUMNS($AM$1006:BM1006),$AM$1006:$BM$1006,0)), HYPERLINK("#",""), HYPERLINK(CONCATENATE("#metadata!", ADDRESS(INDEX($AH$2:$AH$1001,MATCH(ROWS($AF$2:AF142),$AF$2:$AF$1001,0),0), INDEX($AM$1004:$BM$1004,1,MATCH(COLUMNS($AM$1006:BM1006),$AM$1006:$BM$1006,0)))),"Fix")))</f>
        <v xml:space="preserve"> </v>
      </c>
      <c r="AF142">
        <v>141</v>
      </c>
      <c r="AG142">
        <v>100142</v>
      </c>
      <c r="AH142">
        <v>142</v>
      </c>
      <c r="AI142" t="b">
        <f t="shared" si="2"/>
        <v>1</v>
      </c>
      <c r="AJ142" t="b">
        <f>COUNTBLANK(metadata!B142:AB142)=COLUMNS(metadata!B142:AB142)</f>
        <v>1</v>
      </c>
      <c r="AK142" t="str">
        <v/>
      </c>
      <c r="AM142" t="b">
        <f ca="1">AND(IF(metadata!B142="",FALSE,TRUE),COUNTIF(metadata!B:B, metadata!B142) = 1,NOT(ISERROR(SUMPRODUCT(SEARCH(MID(metadata!B142,ROW(INDIRECT("1:"&amp;LEN(metadata!B142))), 1),"0123456789abcdefghijklmnopqrstuvwxyzABCDEFGHIJKLMNOPQRSTUVWXYZ.")))))</f>
        <v>0</v>
      </c>
      <c r="AN142" t="b">
        <f ca="1">OR(AND(IF(metadata!C142="",FALSE,TRUE),OR(EXACT(metadata!C142,"missing: not collected"),EXACT(metadata!C142,"missing: not provided"),EXACT(metadata!C142,"missing: restricted access"))),AND(IF(metadata!C142="",FALSE,TRUE),AND(AND(IFERROR(INT(LEFT(metadata!C142,4))&gt;1900,FALSE),IFERROR(INT(LEFT(metadata!C142,4))&lt;=YEAR(NOW()),FALSE)), OR(MID(metadata!C142,5,1)="", AND(AND(MID(metadata!C142,5,1)="-",IFERROR(INT(MID(metadata!C142,6,1))&gt;=0,FALSE),IFERROR(INT(MID(metadata!C142,6,1))&lt;=1,FALSE),NOT(MID(metadata!C142,7,1)=""),IFERROR(INT(MID(metadata!C142,6,2))&gt;=1,FALSE),IFERROR(INT(MID(metadata!C142,6,2))&lt;=12,FALSE)), OR(MID(metadata!C142,8,1)="", AND(AND(MID(metadata!C142,8,1)="-",IFERROR(INT(MID(metadata!C142,9,1))&gt;=0,FALSE),IFERROR(INT(MID(metadata!C142,9,1))&lt;=3,FALSE),NOT(MID(metadata!C142,10,1)=""),IFERROR(INT(MID(metadata!C142,9,2))&gt;=1,FALSE),IFERROR(INT(MID(metadata!C142,9,2))&lt;=31,FALSE)), OR(MID(metadata!C142,11,1)="", AND(AND(MID(metadata!C142,11,1)=" ",IFERROR(INT(MID(metadata!C142,12,1))&gt;=0,FALSE),IFERROR(INT(MID(metadata!C142,12,1))&lt;=2,FALSE),NOT(MID(metadata!C142,13,1)=""),IFERROR(INT(MID(metadata!C142,12,2))&gt;=0,FALSE),IFERROR(INT(MID(metadata!C142,12,2))&lt;=23,FALSE)), OR(MID(metadata!C142,14,1)="", AND(AND(MID(metadata!C142,14,1)=":",IFERROR(INT(MID(metadata!C142,15,1))&gt;=0,FALSE),IFERROR(INT(MID(metadata!C142,15,1))&lt;=5,FALSE),NOT(MID(metadata!C142,16,1)=""),IFERROR(INT(MID(metadata!C142,15,2))&gt;=0,FALSE),IFERROR(INT(MID(metadata!C142,15,2))&lt;=59,FALSE)), OR(MID(metadata!C142,17,1)="", AND(AND(MID(metadata!C142,17,1)=":",IFERROR(INT(MID(metadata!C142,18,1))&gt;=0,FALSE),IFERROR(INT(MID(metadata!C142,18,1))&lt;=5,FALSE),NOT(MID(metadata!C142,19,1)=""),IFERROR(INT(MID(metadata!C142,18,2))&gt;=0,FALSE),IFERROR(INT(MID(metadata!C142,18,2))&lt;=59,FALSE)), LEN(metadata!C142)&lt;=19)))))))))))))</f>
        <v>0</v>
      </c>
      <c r="AO142" t="b">
        <f>AND(IF(metadata!D142="",FALSE,TRUE),EXACT(metadata!D142,"Not applicable"))</f>
        <v>0</v>
      </c>
      <c r="AP142" t="b">
        <f>IF(metadata!E142="",FALSE,TRUE)</f>
        <v>0</v>
      </c>
      <c r="AQ142" t="b">
        <f>OR(AND(IF(metadata!F142="",FALSE,TRUE),OR(EXACT(metadata!F142,"missing: not collected"),EXACT(metadata!F142,"missing: not provided"))),AND(IF(metadata!F142="",FALSE,TRUE),OR(EXACT(metadata!F142,"TRUE"),EXACT(metadata!F142,"FALSE"))))</f>
        <v>0</v>
      </c>
      <c r="AR142" t="b">
        <f>OR(AND(IF(metadata!G142="",FALSE,TRUE),OR(EXACT(metadata!G142,"missing: not collected"),EXACT(metadata!G142,"missing: not provided"),EXACT(metadata!G142,"missing: restricted access"))),AND(IF(metadata!G142="",FALSE,ISNUMBER(VALUE(metadata!G142))),metadata!G142&gt;=-413))</f>
        <v>0</v>
      </c>
      <c r="AS142" t="b">
        <f>AND(IF(metadata!H142="",FALSE,TRUE),EXACT(metadata!H142,"meters"))</f>
        <v>0</v>
      </c>
      <c r="AT142" t="b">
        <f>AND(IF(metadata!I142="",FALSE,TRUE),OR(EXACT(metadata!I142,"Host-associated"),EXACT(metadata!I142,"Free-living")))</f>
        <v>0</v>
      </c>
      <c r="AU142" t="b">
        <f>AND(IF(metadata!J142="",FALSE,TRUE),OR(EXACT(metadata!J142,"Animal"),EXACT(metadata!J142,"Fungus"),EXACT(metadata!J142,"Plant"),EXACT(metadata!J142,"Saline"),EXACT(metadata!J142,"Non-saline")))</f>
        <v>0</v>
      </c>
      <c r="AV142" t="b">
        <f>AND(IF(metadata!K142="",FALSE,TRUE),OR(EXACT(metadata!K142,"Plant secretion"),EXACT(metadata!K142,"Plant rhizosphere"),EXACT(metadata!K142,"Plant surface"),EXACT(metadata!K142,"Plant corpus"),EXACT(metadata!K142,"Fungus surface"),EXACT(metadata!K142,"Fungus corpus"),EXACT(metadata!K142,"Animal surface"),EXACT(metadata!K142,"Animal proximal gut"),EXACT(metadata!K142,"Animal corpus"),EXACT(metadata!K142,"Animal distal gut"),EXACT(metadata!K142,"Animal secretion"),EXACT(metadata!K142,"Sub-surface (non-saline)"),EXACT(metadata!K142,"Surface (non-saline)"),EXACT(metadata!K142,"Water (non-saline)"),EXACT(metadata!K142,"Soil (non-saline)"),EXACT(metadata!K142,"Aerosol (non-saline)"),EXACT(metadata!K142,"Sediment (non-saline)"),EXACT(metadata!K142,"Surface (saline)"),EXACT(metadata!K142,"Water (saline)"),EXACT(metadata!K142,"Hypersaline (saline)"),EXACT(metadata!K142,"Aerosol (saline)"),EXACT(metadata!K142,"Sediment (saline)")))</f>
        <v>0</v>
      </c>
      <c r="AW142" t="b">
        <f>IF(metadata!L142="",FALSE,TRUE)</f>
        <v>0</v>
      </c>
      <c r="AX142" t="b">
        <f>IF(metadata!M142="",FALSE,TRUE)</f>
        <v>0</v>
      </c>
      <c r="AY142" t="b">
        <f>IF(metadata!N142="",FALSE,TRUE)</f>
        <v>0</v>
      </c>
      <c r="AZ142" t="b">
        <f>OR(AND(IF(metadata!O142="",FALSE,TRUE),OR(EXACT(metadata!O142,"missing: not collected"),EXACT(metadata!O142,"missing: not provided"),EXACT(metadata!O142,"missing: restricted access"))),AND(IF(metadata!O142="",FALSE,TRUE),OR(EXACT(metadata!O142,"air"),EXACT(metadata!O142,"built environment"),EXACT(metadata!O142,"host-associated"),EXACT(metadata!O142,"human-associated"),EXACT(metadata!O142,"human-skin"),EXACT(metadata!O142,"human-oral"),EXACT(metadata!O142,"human-gut"),EXACT(metadata!O142,"human-vaginal"),EXACT(metadata!O142,"microbial mat/biofilm"),EXACT(metadata!O142,"misc environment"),EXACT(metadata!O142,"plant-associated"),EXACT(metadata!O142,"sediment"),EXACT(metadata!O142,"soil"),EXACT(metadata!O142,"wastewater/sludge"),EXACT(metadata!O142,"water"))))</f>
        <v>0</v>
      </c>
      <c r="BA142" t="b">
        <f>IF(metadata!P142="",FALSE,TRUE)</f>
        <v>0</v>
      </c>
      <c r="BB142" t="b">
        <f>IF(metadata!Q142="",FALSE,TRUE)</f>
        <v>0</v>
      </c>
      <c r="BC142" t="b">
        <f>OR(AND(IF(metadata!R142="",FALSE,TRUE),OR(EXACT(metadata!R142,"missing: not collected"),EXACT(metadata!R142,"missing: not provided"),EXACT(metadata!R142,"missing: restricted access"))),AND(IF(metadata!R142="",FALSE,ISNUMBER(VALUE(metadata!R142))),metadata!R142&gt;=-90,metadata!R142&lt;=90))</f>
        <v>0</v>
      </c>
      <c r="BD142" t="b">
        <f>AND(IF(metadata!S142="",FALSE,TRUE),EXACT(metadata!S142,"Decimal degrees"))</f>
        <v>0</v>
      </c>
      <c r="BE142" t="b">
        <f>OR(AND(IF(metadata!T142="",FALSE,TRUE),OR(EXACT(metadata!T142,"missing: not collected"),EXACT(metadata!T142,"missing: not provided"),EXACT(metadata!T142,"missing: restricted access"))),AND(IF(metadata!T142="",FALSE,ISNUMBER(VALUE(metadata!T142))),metadata!T142&gt;=-180,metadata!T142&lt;=180))</f>
        <v>0</v>
      </c>
      <c r="BF142" t="b">
        <f>AND(IF(metadata!U142="",FALSE,TRUE),EXACT(metadata!U142,"Decimal degrees"))</f>
        <v>0</v>
      </c>
      <c r="BG142" t="b">
        <f>IF(metadata!V142="",FALSE,TRUE)</f>
        <v>0</v>
      </c>
      <c r="BH142" t="b">
        <f>OR(AND(IF(metadata!W142="",FALSE,TRUE),OR(EXACT(metadata!W142,"missing: not collected"),EXACT(metadata!W142,"missing: not provided"),EXACT(metadata!W142,"missing: restricted access"))),AND(IF(metadata!W142="",FALSE,TRUE),OR(EXACT(metadata!W142,"TRUE"),EXACT(metadata!W142,"FALSE"))))</f>
        <v>0</v>
      </c>
      <c r="BI142" t="b">
        <f>AND(IF(metadata!X142="",FALSE,TRUE),EXACT(metadata!X142,"other"))</f>
        <v>0</v>
      </c>
      <c r="BJ142" t="b">
        <f>IF(metadata!Y142="",FALSE,TRUE)</f>
        <v>0</v>
      </c>
      <c r="BK142" t="b">
        <f>OR(AND(IF(metadata!Z142="",FALSE,TRUE),OR(EXACT(metadata!Z142,"missing: not collected"),EXACT(metadata!Z142,"missing: not provided"))),AND(IF(metadata!Z142="",FALSE,IF(ISERROR(INT(metadata!Z142)),FALSE,INT(metadata!Z142)=metadata!Z142)),metadata!Z142&gt;0))</f>
        <v>0</v>
      </c>
      <c r="BL142" t="b">
        <f>AND(IF(metadata!AA142="",FALSE,TRUE),EXACT(metadata!AA142,"Not applicable"))</f>
        <v>0</v>
      </c>
      <c r="BM142" t="b">
        <f>IF(metadata!AB142="",FALSE,TRUE)</f>
        <v>0</v>
      </c>
    </row>
    <row r="143" spans="1:65" x14ac:dyDescent="0.2">
      <c r="A143" s="5" t="str">
        <f ca="1">IF(B143=" "," ",HYPERLINK(CONCATENATE("#metadata!",ADDRESS(INDEX($AH$2:$AH$1001,MATCH(ROWS($AF$2:AF143),$AF$2:$AF$1001,0),0),1)),INDEX($AK$2:$AK$1001,MATCH(ROWS($AF$2:AF143),$AF$2:$AF$1001,0),0)))</f>
        <v xml:space="preserve"> </v>
      </c>
      <c r="B143" s="4" t="str">
        <f ca="1">IF(OR(INDEX($AG$2:$AG$1001,MATCH(ROWS($AF$2:AF143),$AF$2:$AF$1001,0),1)&gt;=100000,INDEX($AM$1005:$BM$1005,1,MATCH(COLUMNS($AM$1006:AM1006),$AM$1006:$BM$1006,0))&gt;=100000), " ",IF(INDEX($AM$2:$BM$1001,MATCH(ROWS($AF$2:AF143),$AF$2:$AF$1001,0),MATCH(COLUMNS($AM$1006:AM1006),$AM$1006:$BM$1006,0)), HYPERLINK("#",""), HYPERLINK(CONCATENATE("#metadata!", ADDRESS(INDEX($AH$2:$AH$1001,MATCH(ROWS($AF$2:AF143),$AF$2:$AF$1001,0),0), INDEX($AM$1004:$BM$1004,1,MATCH(COLUMNS($AM$1006:AM1006),$AM$1006:$BM$1006,0)))),"Fix")))</f>
        <v xml:space="preserve"> </v>
      </c>
      <c r="C143" s="4" t="str">
        <f ca="1">IF(OR(INDEX($AG$2:$AG$1001,MATCH(ROWS($AF$2:AF143),$AF$2:$AF$1001,0),1)&gt;=100000,INDEX($AM$1005:$BM$1005,1,MATCH(COLUMNS($AM$1006:AN1006),$AM$1006:$BM$1006,0))&gt;=100000), " ",IF(INDEX($AM$2:$BM$1001,MATCH(ROWS($AF$2:AF143),$AF$2:$AF$1001,0),MATCH(COLUMNS($AM$1006:AN1006),$AM$1006:$BM$1006,0)), HYPERLINK("#",""), HYPERLINK(CONCATENATE("#metadata!", ADDRESS(INDEX($AH$2:$AH$1001,MATCH(ROWS($AF$2:AF143),$AF$2:$AF$1001,0),0), INDEX($AM$1004:$BM$1004,1,MATCH(COLUMNS($AM$1006:AN1006),$AM$1006:$BM$1006,0)))),"Fix")))</f>
        <v xml:space="preserve"> </v>
      </c>
      <c r="D143" s="4" t="str">
        <f ca="1">IF(OR(INDEX($AG$2:$AG$1001,MATCH(ROWS($AF$2:AF143),$AF$2:$AF$1001,0),1)&gt;=100000,INDEX($AM$1005:$BM$1005,1,MATCH(COLUMNS($AM$1006:AO1006),$AM$1006:$BM$1006,0))&gt;=100000), " ",IF(INDEX($AM$2:$BM$1001,MATCH(ROWS($AF$2:AF143),$AF$2:$AF$1001,0),MATCH(COLUMNS($AM$1006:AO1006),$AM$1006:$BM$1006,0)), HYPERLINK("#",""), HYPERLINK(CONCATENATE("#metadata!", ADDRESS(INDEX($AH$2:$AH$1001,MATCH(ROWS($AF$2:AF143),$AF$2:$AF$1001,0),0), INDEX($AM$1004:$BM$1004,1,MATCH(COLUMNS($AM$1006:AO1006),$AM$1006:$BM$1006,0)))),"Fix")))</f>
        <v xml:space="preserve"> </v>
      </c>
      <c r="E143" s="4" t="str">
        <f ca="1">IF(OR(INDEX($AG$2:$AG$1001,MATCH(ROWS($AF$2:AF143),$AF$2:$AF$1001,0),1)&gt;=100000,INDEX($AM$1005:$BM$1005,1,MATCH(COLUMNS($AM$1006:AP1006),$AM$1006:$BM$1006,0))&gt;=100000), " ",IF(INDEX($AM$2:$BM$1001,MATCH(ROWS($AF$2:AF143),$AF$2:$AF$1001,0),MATCH(COLUMNS($AM$1006:AP1006),$AM$1006:$BM$1006,0)), HYPERLINK("#",""), HYPERLINK(CONCATENATE("#metadata!", ADDRESS(INDEX($AH$2:$AH$1001,MATCH(ROWS($AF$2:AF143),$AF$2:$AF$1001,0),0), INDEX($AM$1004:$BM$1004,1,MATCH(COLUMNS($AM$1006:AP1006),$AM$1006:$BM$1006,0)))),"Fix")))</f>
        <v xml:space="preserve"> </v>
      </c>
      <c r="F143" s="4" t="str">
        <f ca="1">IF(OR(INDEX($AG$2:$AG$1001,MATCH(ROWS($AF$2:AF143),$AF$2:$AF$1001,0),1)&gt;=100000,INDEX($AM$1005:$BM$1005,1,MATCH(COLUMNS($AM$1006:AQ1006),$AM$1006:$BM$1006,0))&gt;=100000), " ",IF(INDEX($AM$2:$BM$1001,MATCH(ROWS($AF$2:AF143),$AF$2:$AF$1001,0),MATCH(COLUMNS($AM$1006:AQ1006),$AM$1006:$BM$1006,0)), HYPERLINK("#",""), HYPERLINK(CONCATENATE("#metadata!", ADDRESS(INDEX($AH$2:$AH$1001,MATCH(ROWS($AF$2:AF143),$AF$2:$AF$1001,0),0), INDEX($AM$1004:$BM$1004,1,MATCH(COLUMNS($AM$1006:AQ1006),$AM$1006:$BM$1006,0)))),"Fix")))</f>
        <v xml:space="preserve"> </v>
      </c>
      <c r="G143" s="4" t="str">
        <f ca="1">IF(OR(INDEX($AG$2:$AG$1001,MATCH(ROWS($AF$2:AF143),$AF$2:$AF$1001,0),1)&gt;=100000,INDEX($AM$1005:$BM$1005,1,MATCH(COLUMNS($AM$1006:AR1006),$AM$1006:$BM$1006,0))&gt;=100000), " ",IF(INDEX($AM$2:$BM$1001,MATCH(ROWS($AF$2:AF143),$AF$2:$AF$1001,0),MATCH(COLUMNS($AM$1006:AR1006),$AM$1006:$BM$1006,0)), HYPERLINK("#",""), HYPERLINK(CONCATENATE("#metadata!", ADDRESS(INDEX($AH$2:$AH$1001,MATCH(ROWS($AF$2:AF143),$AF$2:$AF$1001,0),0), INDEX($AM$1004:$BM$1004,1,MATCH(COLUMNS($AM$1006:AR1006),$AM$1006:$BM$1006,0)))),"Fix")))</f>
        <v xml:space="preserve"> </v>
      </c>
      <c r="H143" s="4" t="str">
        <f ca="1">IF(OR(INDEX($AG$2:$AG$1001,MATCH(ROWS($AF$2:AF143),$AF$2:$AF$1001,0),1)&gt;=100000,INDEX($AM$1005:$BM$1005,1,MATCH(COLUMNS($AM$1006:AS1006),$AM$1006:$BM$1006,0))&gt;=100000), " ",IF(INDEX($AM$2:$BM$1001,MATCH(ROWS($AF$2:AF143),$AF$2:$AF$1001,0),MATCH(COLUMNS($AM$1006:AS1006),$AM$1006:$BM$1006,0)), HYPERLINK("#",""), HYPERLINK(CONCATENATE("#metadata!", ADDRESS(INDEX($AH$2:$AH$1001,MATCH(ROWS($AF$2:AF143),$AF$2:$AF$1001,0),0), INDEX($AM$1004:$BM$1004,1,MATCH(COLUMNS($AM$1006:AS1006),$AM$1006:$BM$1006,0)))),"Fix")))</f>
        <v xml:space="preserve"> </v>
      </c>
      <c r="I143" s="4" t="str">
        <f ca="1">IF(OR(INDEX($AG$2:$AG$1001,MATCH(ROWS($AF$2:AF143),$AF$2:$AF$1001,0),1)&gt;=100000,INDEX($AM$1005:$BM$1005,1,MATCH(COLUMNS($AM$1006:AT1006),$AM$1006:$BM$1006,0))&gt;=100000), " ",IF(INDEX($AM$2:$BM$1001,MATCH(ROWS($AF$2:AF143),$AF$2:$AF$1001,0),MATCH(COLUMNS($AM$1006:AT1006),$AM$1006:$BM$1006,0)), HYPERLINK("#",""), HYPERLINK(CONCATENATE("#metadata!", ADDRESS(INDEX($AH$2:$AH$1001,MATCH(ROWS($AF$2:AF143),$AF$2:$AF$1001,0),0), INDEX($AM$1004:$BM$1004,1,MATCH(COLUMNS($AM$1006:AT1006),$AM$1006:$BM$1006,0)))),"Fix")))</f>
        <v xml:space="preserve"> </v>
      </c>
      <c r="J143" s="4" t="str">
        <f ca="1">IF(OR(INDEX($AG$2:$AG$1001,MATCH(ROWS($AF$2:AF143),$AF$2:$AF$1001,0),1)&gt;=100000,INDEX($AM$1005:$BM$1005,1,MATCH(COLUMNS($AM$1006:AU1006),$AM$1006:$BM$1006,0))&gt;=100000), " ",IF(INDEX($AM$2:$BM$1001,MATCH(ROWS($AF$2:AF143),$AF$2:$AF$1001,0),MATCH(COLUMNS($AM$1006:AU1006),$AM$1006:$BM$1006,0)), HYPERLINK("#",""), HYPERLINK(CONCATENATE("#metadata!", ADDRESS(INDEX($AH$2:$AH$1001,MATCH(ROWS($AF$2:AF143),$AF$2:$AF$1001,0),0), INDEX($AM$1004:$BM$1004,1,MATCH(COLUMNS($AM$1006:AU1006),$AM$1006:$BM$1006,0)))),"Fix")))</f>
        <v xml:space="preserve"> </v>
      </c>
      <c r="K143" s="4" t="str">
        <f ca="1">IF(OR(INDEX($AG$2:$AG$1001,MATCH(ROWS($AF$2:AF143),$AF$2:$AF$1001,0),1)&gt;=100000,INDEX($AM$1005:$BM$1005,1,MATCH(COLUMNS($AM$1006:AV1006),$AM$1006:$BM$1006,0))&gt;=100000), " ",IF(INDEX($AM$2:$BM$1001,MATCH(ROWS($AF$2:AF143),$AF$2:$AF$1001,0),MATCH(COLUMNS($AM$1006:AV1006),$AM$1006:$BM$1006,0)), HYPERLINK("#",""), HYPERLINK(CONCATENATE("#metadata!", ADDRESS(INDEX($AH$2:$AH$1001,MATCH(ROWS($AF$2:AF143),$AF$2:$AF$1001,0),0), INDEX($AM$1004:$BM$1004,1,MATCH(COLUMNS($AM$1006:AV1006),$AM$1006:$BM$1006,0)))),"Fix")))</f>
        <v xml:space="preserve"> </v>
      </c>
      <c r="L143" s="4" t="str">
        <f ca="1">IF(OR(INDEX($AG$2:$AG$1001,MATCH(ROWS($AF$2:AF143),$AF$2:$AF$1001,0),1)&gt;=100000,INDEX($AM$1005:$BM$1005,1,MATCH(COLUMNS($AM$1006:AW1006),$AM$1006:$BM$1006,0))&gt;=100000), " ",IF(INDEX($AM$2:$BM$1001,MATCH(ROWS($AF$2:AF143),$AF$2:$AF$1001,0),MATCH(COLUMNS($AM$1006:AW1006),$AM$1006:$BM$1006,0)), HYPERLINK("#",""), HYPERLINK(CONCATENATE("#metadata!", ADDRESS(INDEX($AH$2:$AH$1001,MATCH(ROWS($AF$2:AF143),$AF$2:$AF$1001,0),0), INDEX($AM$1004:$BM$1004,1,MATCH(COLUMNS($AM$1006:AW1006),$AM$1006:$BM$1006,0)))),"Fix")))</f>
        <v xml:space="preserve"> </v>
      </c>
      <c r="M143" s="4" t="str">
        <f ca="1">IF(OR(INDEX($AG$2:$AG$1001,MATCH(ROWS($AF$2:AF143),$AF$2:$AF$1001,0),1)&gt;=100000,INDEX($AM$1005:$BM$1005,1,MATCH(COLUMNS($AM$1006:AX1006),$AM$1006:$BM$1006,0))&gt;=100000), " ",IF(INDEX($AM$2:$BM$1001,MATCH(ROWS($AF$2:AF143),$AF$2:$AF$1001,0),MATCH(COLUMNS($AM$1006:AX1006),$AM$1006:$BM$1006,0)), HYPERLINK("#",""), HYPERLINK(CONCATENATE("#metadata!", ADDRESS(INDEX($AH$2:$AH$1001,MATCH(ROWS($AF$2:AF143),$AF$2:$AF$1001,0),0), INDEX($AM$1004:$BM$1004,1,MATCH(COLUMNS($AM$1006:AX1006),$AM$1006:$BM$1006,0)))),"Fix")))</f>
        <v xml:space="preserve"> </v>
      </c>
      <c r="N143" s="4" t="str">
        <f ca="1">IF(OR(INDEX($AG$2:$AG$1001,MATCH(ROWS($AF$2:AF143),$AF$2:$AF$1001,0),1)&gt;=100000,INDEX($AM$1005:$BM$1005,1,MATCH(COLUMNS($AM$1006:AY1006),$AM$1006:$BM$1006,0))&gt;=100000), " ",IF(INDEX($AM$2:$BM$1001,MATCH(ROWS($AF$2:AF143),$AF$2:$AF$1001,0),MATCH(COLUMNS($AM$1006:AY1006),$AM$1006:$BM$1006,0)), HYPERLINK("#",""), HYPERLINK(CONCATENATE("#metadata!", ADDRESS(INDEX($AH$2:$AH$1001,MATCH(ROWS($AF$2:AF143),$AF$2:$AF$1001,0),0), INDEX($AM$1004:$BM$1004,1,MATCH(COLUMNS($AM$1006:AY1006),$AM$1006:$BM$1006,0)))),"Fix")))</f>
        <v xml:space="preserve"> </v>
      </c>
      <c r="O143" s="4" t="str">
        <f ca="1">IF(OR(INDEX($AG$2:$AG$1001,MATCH(ROWS($AF$2:AF143),$AF$2:$AF$1001,0),1)&gt;=100000,INDEX($AM$1005:$BM$1005,1,MATCH(COLUMNS($AM$1006:AZ1006),$AM$1006:$BM$1006,0))&gt;=100000), " ",IF(INDEX($AM$2:$BM$1001,MATCH(ROWS($AF$2:AF143),$AF$2:$AF$1001,0),MATCH(COLUMNS($AM$1006:AZ1006),$AM$1006:$BM$1006,0)), HYPERLINK("#",""), HYPERLINK(CONCATENATE("#metadata!", ADDRESS(INDEX($AH$2:$AH$1001,MATCH(ROWS($AF$2:AF143),$AF$2:$AF$1001,0),0), INDEX($AM$1004:$BM$1004,1,MATCH(COLUMNS($AM$1006:AZ1006),$AM$1006:$BM$1006,0)))),"Fix")))</f>
        <v xml:space="preserve"> </v>
      </c>
      <c r="P143" s="4" t="str">
        <f ca="1">IF(OR(INDEX($AG$2:$AG$1001,MATCH(ROWS($AF$2:AF143),$AF$2:$AF$1001,0),1)&gt;=100000,INDEX($AM$1005:$BM$1005,1,MATCH(COLUMNS($AM$1006:BA1006),$AM$1006:$BM$1006,0))&gt;=100000), " ",IF(INDEX($AM$2:$BM$1001,MATCH(ROWS($AF$2:AF143),$AF$2:$AF$1001,0),MATCH(COLUMNS($AM$1006:BA1006),$AM$1006:$BM$1006,0)), HYPERLINK("#",""), HYPERLINK(CONCATENATE("#metadata!", ADDRESS(INDEX($AH$2:$AH$1001,MATCH(ROWS($AF$2:AF143),$AF$2:$AF$1001,0),0), INDEX($AM$1004:$BM$1004,1,MATCH(COLUMNS($AM$1006:BA1006),$AM$1006:$BM$1006,0)))),"Fix")))</f>
        <v xml:space="preserve"> </v>
      </c>
      <c r="Q143" s="4" t="str">
        <f ca="1">IF(OR(INDEX($AG$2:$AG$1001,MATCH(ROWS($AF$2:AF143),$AF$2:$AF$1001,0),1)&gt;=100000,INDEX($AM$1005:$BM$1005,1,MATCH(COLUMNS($AM$1006:BB1006),$AM$1006:$BM$1006,0))&gt;=100000), " ",IF(INDEX($AM$2:$BM$1001,MATCH(ROWS($AF$2:AF143),$AF$2:$AF$1001,0),MATCH(COLUMNS($AM$1006:BB1006),$AM$1006:$BM$1006,0)), HYPERLINK("#",""), HYPERLINK(CONCATENATE("#metadata!", ADDRESS(INDEX($AH$2:$AH$1001,MATCH(ROWS($AF$2:AF143),$AF$2:$AF$1001,0),0), INDEX($AM$1004:$BM$1004,1,MATCH(COLUMNS($AM$1006:BB1006),$AM$1006:$BM$1006,0)))),"Fix")))</f>
        <v xml:space="preserve"> </v>
      </c>
      <c r="R143" s="4" t="str">
        <f ca="1">IF(OR(INDEX($AG$2:$AG$1001,MATCH(ROWS($AF$2:AF143),$AF$2:$AF$1001,0),1)&gt;=100000,INDEX($AM$1005:$BM$1005,1,MATCH(COLUMNS($AM$1006:BC1006),$AM$1006:$BM$1006,0))&gt;=100000), " ",IF(INDEX($AM$2:$BM$1001,MATCH(ROWS($AF$2:AF143),$AF$2:$AF$1001,0),MATCH(COLUMNS($AM$1006:BC1006),$AM$1006:$BM$1006,0)), HYPERLINK("#",""), HYPERLINK(CONCATENATE("#metadata!", ADDRESS(INDEX($AH$2:$AH$1001,MATCH(ROWS($AF$2:AF143),$AF$2:$AF$1001,0),0), INDEX($AM$1004:$BM$1004,1,MATCH(COLUMNS($AM$1006:BC1006),$AM$1006:$BM$1006,0)))),"Fix")))</f>
        <v xml:space="preserve"> </v>
      </c>
      <c r="S143" s="4" t="str">
        <f ca="1">IF(OR(INDEX($AG$2:$AG$1001,MATCH(ROWS($AF$2:AF143),$AF$2:$AF$1001,0),1)&gt;=100000,INDEX($AM$1005:$BM$1005,1,MATCH(COLUMNS($AM$1006:BD1006),$AM$1006:$BM$1006,0))&gt;=100000), " ",IF(INDEX($AM$2:$BM$1001,MATCH(ROWS($AF$2:AF143),$AF$2:$AF$1001,0),MATCH(COLUMNS($AM$1006:BD1006),$AM$1006:$BM$1006,0)), HYPERLINK("#",""), HYPERLINK(CONCATENATE("#metadata!", ADDRESS(INDEX($AH$2:$AH$1001,MATCH(ROWS($AF$2:AF143),$AF$2:$AF$1001,0),0), INDEX($AM$1004:$BM$1004,1,MATCH(COLUMNS($AM$1006:BD1006),$AM$1006:$BM$1006,0)))),"Fix")))</f>
        <v xml:space="preserve"> </v>
      </c>
      <c r="T143" s="4" t="str">
        <f ca="1">IF(OR(INDEX($AG$2:$AG$1001,MATCH(ROWS($AF$2:AF143),$AF$2:$AF$1001,0),1)&gt;=100000,INDEX($AM$1005:$BM$1005,1,MATCH(COLUMNS($AM$1006:BE1006),$AM$1006:$BM$1006,0))&gt;=100000), " ",IF(INDEX($AM$2:$BM$1001,MATCH(ROWS($AF$2:AF143),$AF$2:$AF$1001,0),MATCH(COLUMNS($AM$1006:BE1006),$AM$1006:$BM$1006,0)), HYPERLINK("#",""), HYPERLINK(CONCATENATE("#metadata!", ADDRESS(INDEX($AH$2:$AH$1001,MATCH(ROWS($AF$2:AF143),$AF$2:$AF$1001,0),0), INDEX($AM$1004:$BM$1004,1,MATCH(COLUMNS($AM$1006:BE1006),$AM$1006:$BM$1006,0)))),"Fix")))</f>
        <v xml:space="preserve"> </v>
      </c>
      <c r="U143" s="4" t="str">
        <f ca="1">IF(OR(INDEX($AG$2:$AG$1001,MATCH(ROWS($AF$2:AF143),$AF$2:$AF$1001,0),1)&gt;=100000,INDEX($AM$1005:$BM$1005,1,MATCH(COLUMNS($AM$1006:BF1006),$AM$1006:$BM$1006,0))&gt;=100000), " ",IF(INDEX($AM$2:$BM$1001,MATCH(ROWS($AF$2:AF143),$AF$2:$AF$1001,0),MATCH(COLUMNS($AM$1006:BF1006),$AM$1006:$BM$1006,0)), HYPERLINK("#",""), HYPERLINK(CONCATENATE("#metadata!", ADDRESS(INDEX($AH$2:$AH$1001,MATCH(ROWS($AF$2:AF143),$AF$2:$AF$1001,0),0), INDEX($AM$1004:$BM$1004,1,MATCH(COLUMNS($AM$1006:BF1006),$AM$1006:$BM$1006,0)))),"Fix")))</f>
        <v xml:space="preserve"> </v>
      </c>
      <c r="V143" s="4" t="str">
        <f ca="1">IF(OR(INDEX($AG$2:$AG$1001,MATCH(ROWS($AF$2:AF143),$AF$2:$AF$1001,0),1)&gt;=100000,INDEX($AM$1005:$BM$1005,1,MATCH(COLUMNS($AM$1006:BG1006),$AM$1006:$BM$1006,0))&gt;=100000), " ",IF(INDEX($AM$2:$BM$1001,MATCH(ROWS($AF$2:AF143),$AF$2:$AF$1001,0),MATCH(COLUMNS($AM$1006:BG1006),$AM$1006:$BM$1006,0)), HYPERLINK("#",""), HYPERLINK(CONCATENATE("#metadata!", ADDRESS(INDEX($AH$2:$AH$1001,MATCH(ROWS($AF$2:AF143),$AF$2:$AF$1001,0),0), INDEX($AM$1004:$BM$1004,1,MATCH(COLUMNS($AM$1006:BG1006),$AM$1006:$BM$1006,0)))),"Fix")))</f>
        <v xml:space="preserve"> </v>
      </c>
      <c r="W143" s="4" t="str">
        <f ca="1">IF(OR(INDEX($AG$2:$AG$1001,MATCH(ROWS($AF$2:AF143),$AF$2:$AF$1001,0),1)&gt;=100000,INDEX($AM$1005:$BM$1005,1,MATCH(COLUMNS($AM$1006:BH1006),$AM$1006:$BM$1006,0))&gt;=100000), " ",IF(INDEX($AM$2:$BM$1001,MATCH(ROWS($AF$2:AF143),$AF$2:$AF$1001,0),MATCH(COLUMNS($AM$1006:BH1006),$AM$1006:$BM$1006,0)), HYPERLINK("#",""), HYPERLINK(CONCATENATE("#metadata!", ADDRESS(INDEX($AH$2:$AH$1001,MATCH(ROWS($AF$2:AF143),$AF$2:$AF$1001,0),0), INDEX($AM$1004:$BM$1004,1,MATCH(COLUMNS($AM$1006:BH1006),$AM$1006:$BM$1006,0)))),"Fix")))</f>
        <v xml:space="preserve"> </v>
      </c>
      <c r="X143" s="4" t="str">
        <f ca="1">IF(OR(INDEX($AG$2:$AG$1001,MATCH(ROWS($AF$2:AF143),$AF$2:$AF$1001,0),1)&gt;=100000,INDEX($AM$1005:$BM$1005,1,MATCH(COLUMNS($AM$1006:BI1006),$AM$1006:$BM$1006,0))&gt;=100000), " ",IF(INDEX($AM$2:$BM$1001,MATCH(ROWS($AF$2:AF143),$AF$2:$AF$1001,0),MATCH(COLUMNS($AM$1006:BI1006),$AM$1006:$BM$1006,0)), HYPERLINK("#",""), HYPERLINK(CONCATENATE("#metadata!", ADDRESS(INDEX($AH$2:$AH$1001,MATCH(ROWS($AF$2:AF143),$AF$2:$AF$1001,0),0), INDEX($AM$1004:$BM$1004,1,MATCH(COLUMNS($AM$1006:BI1006),$AM$1006:$BM$1006,0)))),"Fix")))</f>
        <v xml:space="preserve"> </v>
      </c>
      <c r="Y143" s="4" t="str">
        <f ca="1">IF(OR(INDEX($AG$2:$AG$1001,MATCH(ROWS($AF$2:AF143),$AF$2:$AF$1001,0),1)&gt;=100000,INDEX($AM$1005:$BM$1005,1,MATCH(COLUMNS($AM$1006:BJ1006),$AM$1006:$BM$1006,0))&gt;=100000), " ",IF(INDEX($AM$2:$BM$1001,MATCH(ROWS($AF$2:AF143),$AF$2:$AF$1001,0),MATCH(COLUMNS($AM$1006:BJ1006),$AM$1006:$BM$1006,0)), HYPERLINK("#",""), HYPERLINK(CONCATENATE("#metadata!", ADDRESS(INDEX($AH$2:$AH$1001,MATCH(ROWS($AF$2:AF143),$AF$2:$AF$1001,0),0), INDEX($AM$1004:$BM$1004,1,MATCH(COLUMNS($AM$1006:BJ1006),$AM$1006:$BM$1006,0)))),"Fix")))</f>
        <v xml:space="preserve"> </v>
      </c>
      <c r="Z143" s="4" t="str">
        <f ca="1">IF(OR(INDEX($AG$2:$AG$1001,MATCH(ROWS($AF$2:AF143),$AF$2:$AF$1001,0),1)&gt;=100000,INDEX($AM$1005:$BM$1005,1,MATCH(COLUMNS($AM$1006:BK1006),$AM$1006:$BM$1006,0))&gt;=100000), " ",IF(INDEX($AM$2:$BM$1001,MATCH(ROWS($AF$2:AF143),$AF$2:$AF$1001,0),MATCH(COLUMNS($AM$1006:BK1006),$AM$1006:$BM$1006,0)), HYPERLINK("#",""), HYPERLINK(CONCATENATE("#metadata!", ADDRESS(INDEX($AH$2:$AH$1001,MATCH(ROWS($AF$2:AF143),$AF$2:$AF$1001,0),0), INDEX($AM$1004:$BM$1004,1,MATCH(COLUMNS($AM$1006:BK1006),$AM$1006:$BM$1006,0)))),"Fix")))</f>
        <v xml:space="preserve"> </v>
      </c>
      <c r="AA143" s="4" t="str">
        <f ca="1">IF(OR(INDEX($AG$2:$AG$1001,MATCH(ROWS($AF$2:AF143),$AF$2:$AF$1001,0),1)&gt;=100000,INDEX($AM$1005:$BM$1005,1,MATCH(COLUMNS($AM$1006:BL1006),$AM$1006:$BM$1006,0))&gt;=100000), " ",IF(INDEX($AM$2:$BM$1001,MATCH(ROWS($AF$2:AF143),$AF$2:$AF$1001,0),MATCH(COLUMNS($AM$1006:BL1006),$AM$1006:$BM$1006,0)), HYPERLINK("#",""), HYPERLINK(CONCATENATE("#metadata!", ADDRESS(INDEX($AH$2:$AH$1001,MATCH(ROWS($AF$2:AF143),$AF$2:$AF$1001,0),0), INDEX($AM$1004:$BM$1004,1,MATCH(COLUMNS($AM$1006:BL1006),$AM$1006:$BM$1006,0)))),"Fix")))</f>
        <v xml:space="preserve"> </v>
      </c>
      <c r="AB143" s="4" t="str">
        <f ca="1">IF(OR(INDEX($AG$2:$AG$1001,MATCH(ROWS($AF$2:AF143),$AF$2:$AF$1001,0),1)&gt;=100000,INDEX($AM$1005:$BM$1005,1,MATCH(COLUMNS($AM$1006:BM1006),$AM$1006:$BM$1006,0))&gt;=100000), " ",IF(INDEX($AM$2:$BM$1001,MATCH(ROWS($AF$2:AF143),$AF$2:$AF$1001,0),MATCH(COLUMNS($AM$1006:BM1006),$AM$1006:$BM$1006,0)), HYPERLINK("#",""), HYPERLINK(CONCATENATE("#metadata!", ADDRESS(INDEX($AH$2:$AH$1001,MATCH(ROWS($AF$2:AF143),$AF$2:$AF$1001,0),0), INDEX($AM$1004:$BM$1004,1,MATCH(COLUMNS($AM$1006:BM1006),$AM$1006:$BM$1006,0)))),"Fix")))</f>
        <v xml:space="preserve"> </v>
      </c>
      <c r="AF143">
        <v>142</v>
      </c>
      <c r="AG143">
        <v>100143</v>
      </c>
      <c r="AH143">
        <v>143</v>
      </c>
      <c r="AI143" t="b">
        <f t="shared" si="2"/>
        <v>1</v>
      </c>
      <c r="AJ143" t="b">
        <f>COUNTBLANK(metadata!B143:AB143)=COLUMNS(metadata!B143:AB143)</f>
        <v>1</v>
      </c>
      <c r="AK143" t="str">
        <v/>
      </c>
      <c r="AM143" t="b">
        <f ca="1">AND(IF(metadata!B143="",FALSE,TRUE),COUNTIF(metadata!B:B, metadata!B143) = 1,NOT(ISERROR(SUMPRODUCT(SEARCH(MID(metadata!B143,ROW(INDIRECT("1:"&amp;LEN(metadata!B143))), 1),"0123456789abcdefghijklmnopqrstuvwxyzABCDEFGHIJKLMNOPQRSTUVWXYZ.")))))</f>
        <v>0</v>
      </c>
      <c r="AN143" t="b">
        <f ca="1">OR(AND(IF(metadata!C143="",FALSE,TRUE),OR(EXACT(metadata!C143,"missing: not collected"),EXACT(metadata!C143,"missing: not provided"),EXACT(metadata!C143,"missing: restricted access"))),AND(IF(metadata!C143="",FALSE,TRUE),AND(AND(IFERROR(INT(LEFT(metadata!C143,4))&gt;1900,FALSE),IFERROR(INT(LEFT(metadata!C143,4))&lt;=YEAR(NOW()),FALSE)), OR(MID(metadata!C143,5,1)="", AND(AND(MID(metadata!C143,5,1)="-",IFERROR(INT(MID(metadata!C143,6,1))&gt;=0,FALSE),IFERROR(INT(MID(metadata!C143,6,1))&lt;=1,FALSE),NOT(MID(metadata!C143,7,1)=""),IFERROR(INT(MID(metadata!C143,6,2))&gt;=1,FALSE),IFERROR(INT(MID(metadata!C143,6,2))&lt;=12,FALSE)), OR(MID(metadata!C143,8,1)="", AND(AND(MID(metadata!C143,8,1)="-",IFERROR(INT(MID(metadata!C143,9,1))&gt;=0,FALSE),IFERROR(INT(MID(metadata!C143,9,1))&lt;=3,FALSE),NOT(MID(metadata!C143,10,1)=""),IFERROR(INT(MID(metadata!C143,9,2))&gt;=1,FALSE),IFERROR(INT(MID(metadata!C143,9,2))&lt;=31,FALSE)), OR(MID(metadata!C143,11,1)="", AND(AND(MID(metadata!C143,11,1)=" ",IFERROR(INT(MID(metadata!C143,12,1))&gt;=0,FALSE),IFERROR(INT(MID(metadata!C143,12,1))&lt;=2,FALSE),NOT(MID(metadata!C143,13,1)=""),IFERROR(INT(MID(metadata!C143,12,2))&gt;=0,FALSE),IFERROR(INT(MID(metadata!C143,12,2))&lt;=23,FALSE)), OR(MID(metadata!C143,14,1)="", AND(AND(MID(metadata!C143,14,1)=":",IFERROR(INT(MID(metadata!C143,15,1))&gt;=0,FALSE),IFERROR(INT(MID(metadata!C143,15,1))&lt;=5,FALSE),NOT(MID(metadata!C143,16,1)=""),IFERROR(INT(MID(metadata!C143,15,2))&gt;=0,FALSE),IFERROR(INT(MID(metadata!C143,15,2))&lt;=59,FALSE)), OR(MID(metadata!C143,17,1)="", AND(AND(MID(metadata!C143,17,1)=":",IFERROR(INT(MID(metadata!C143,18,1))&gt;=0,FALSE),IFERROR(INT(MID(metadata!C143,18,1))&lt;=5,FALSE),NOT(MID(metadata!C143,19,1)=""),IFERROR(INT(MID(metadata!C143,18,2))&gt;=0,FALSE),IFERROR(INT(MID(metadata!C143,18,2))&lt;=59,FALSE)), LEN(metadata!C143)&lt;=19)))))))))))))</f>
        <v>0</v>
      </c>
      <c r="AO143" t="b">
        <f>AND(IF(metadata!D143="",FALSE,TRUE),EXACT(metadata!D143,"Not applicable"))</f>
        <v>0</v>
      </c>
      <c r="AP143" t="b">
        <f>IF(metadata!E143="",FALSE,TRUE)</f>
        <v>0</v>
      </c>
      <c r="AQ143" t="b">
        <f>OR(AND(IF(metadata!F143="",FALSE,TRUE),OR(EXACT(metadata!F143,"missing: not collected"),EXACT(metadata!F143,"missing: not provided"))),AND(IF(metadata!F143="",FALSE,TRUE),OR(EXACT(metadata!F143,"TRUE"),EXACT(metadata!F143,"FALSE"))))</f>
        <v>0</v>
      </c>
      <c r="AR143" t="b">
        <f>OR(AND(IF(metadata!G143="",FALSE,TRUE),OR(EXACT(metadata!G143,"missing: not collected"),EXACT(metadata!G143,"missing: not provided"),EXACT(metadata!G143,"missing: restricted access"))),AND(IF(metadata!G143="",FALSE,ISNUMBER(VALUE(metadata!G143))),metadata!G143&gt;=-413))</f>
        <v>0</v>
      </c>
      <c r="AS143" t="b">
        <f>AND(IF(metadata!H143="",FALSE,TRUE),EXACT(metadata!H143,"meters"))</f>
        <v>0</v>
      </c>
      <c r="AT143" t="b">
        <f>AND(IF(metadata!I143="",FALSE,TRUE),OR(EXACT(metadata!I143,"Host-associated"),EXACT(metadata!I143,"Free-living")))</f>
        <v>0</v>
      </c>
      <c r="AU143" t="b">
        <f>AND(IF(metadata!J143="",FALSE,TRUE),OR(EXACT(metadata!J143,"Animal"),EXACT(metadata!J143,"Fungus"),EXACT(metadata!J143,"Plant"),EXACT(metadata!J143,"Saline"),EXACT(metadata!J143,"Non-saline")))</f>
        <v>0</v>
      </c>
      <c r="AV143" t="b">
        <f>AND(IF(metadata!K143="",FALSE,TRUE),OR(EXACT(metadata!K143,"Plant secretion"),EXACT(metadata!K143,"Plant rhizosphere"),EXACT(metadata!K143,"Plant surface"),EXACT(metadata!K143,"Plant corpus"),EXACT(metadata!K143,"Fungus surface"),EXACT(metadata!K143,"Fungus corpus"),EXACT(metadata!K143,"Animal surface"),EXACT(metadata!K143,"Animal proximal gut"),EXACT(metadata!K143,"Animal corpus"),EXACT(metadata!K143,"Animal distal gut"),EXACT(metadata!K143,"Animal secretion"),EXACT(metadata!K143,"Sub-surface (non-saline)"),EXACT(metadata!K143,"Surface (non-saline)"),EXACT(metadata!K143,"Water (non-saline)"),EXACT(metadata!K143,"Soil (non-saline)"),EXACT(metadata!K143,"Aerosol (non-saline)"),EXACT(metadata!K143,"Sediment (non-saline)"),EXACT(metadata!K143,"Surface (saline)"),EXACT(metadata!K143,"Water (saline)"),EXACT(metadata!K143,"Hypersaline (saline)"),EXACT(metadata!K143,"Aerosol (saline)"),EXACT(metadata!K143,"Sediment (saline)")))</f>
        <v>0</v>
      </c>
      <c r="AW143" t="b">
        <f>IF(metadata!L143="",FALSE,TRUE)</f>
        <v>0</v>
      </c>
      <c r="AX143" t="b">
        <f>IF(metadata!M143="",FALSE,TRUE)</f>
        <v>0</v>
      </c>
      <c r="AY143" t="b">
        <f>IF(metadata!N143="",FALSE,TRUE)</f>
        <v>0</v>
      </c>
      <c r="AZ143" t="b">
        <f>OR(AND(IF(metadata!O143="",FALSE,TRUE),OR(EXACT(metadata!O143,"missing: not collected"),EXACT(metadata!O143,"missing: not provided"),EXACT(metadata!O143,"missing: restricted access"))),AND(IF(metadata!O143="",FALSE,TRUE),OR(EXACT(metadata!O143,"air"),EXACT(metadata!O143,"built environment"),EXACT(metadata!O143,"host-associated"),EXACT(metadata!O143,"human-associated"),EXACT(metadata!O143,"human-skin"),EXACT(metadata!O143,"human-oral"),EXACT(metadata!O143,"human-gut"),EXACT(metadata!O143,"human-vaginal"),EXACT(metadata!O143,"microbial mat/biofilm"),EXACT(metadata!O143,"misc environment"),EXACT(metadata!O143,"plant-associated"),EXACT(metadata!O143,"sediment"),EXACT(metadata!O143,"soil"),EXACT(metadata!O143,"wastewater/sludge"),EXACT(metadata!O143,"water"))))</f>
        <v>0</v>
      </c>
      <c r="BA143" t="b">
        <f>IF(metadata!P143="",FALSE,TRUE)</f>
        <v>0</v>
      </c>
      <c r="BB143" t="b">
        <f>IF(metadata!Q143="",FALSE,TRUE)</f>
        <v>0</v>
      </c>
      <c r="BC143" t="b">
        <f>OR(AND(IF(metadata!R143="",FALSE,TRUE),OR(EXACT(metadata!R143,"missing: not collected"),EXACT(metadata!R143,"missing: not provided"),EXACT(metadata!R143,"missing: restricted access"))),AND(IF(metadata!R143="",FALSE,ISNUMBER(VALUE(metadata!R143))),metadata!R143&gt;=-90,metadata!R143&lt;=90))</f>
        <v>0</v>
      </c>
      <c r="BD143" t="b">
        <f>AND(IF(metadata!S143="",FALSE,TRUE),EXACT(metadata!S143,"Decimal degrees"))</f>
        <v>0</v>
      </c>
      <c r="BE143" t="b">
        <f>OR(AND(IF(metadata!T143="",FALSE,TRUE),OR(EXACT(metadata!T143,"missing: not collected"),EXACT(metadata!T143,"missing: not provided"),EXACT(metadata!T143,"missing: restricted access"))),AND(IF(metadata!T143="",FALSE,ISNUMBER(VALUE(metadata!T143))),metadata!T143&gt;=-180,metadata!T143&lt;=180))</f>
        <v>0</v>
      </c>
      <c r="BF143" t="b">
        <f>AND(IF(metadata!U143="",FALSE,TRUE),EXACT(metadata!U143,"Decimal degrees"))</f>
        <v>0</v>
      </c>
      <c r="BG143" t="b">
        <f>IF(metadata!V143="",FALSE,TRUE)</f>
        <v>0</v>
      </c>
      <c r="BH143" t="b">
        <f>OR(AND(IF(metadata!W143="",FALSE,TRUE),OR(EXACT(metadata!W143,"missing: not collected"),EXACT(metadata!W143,"missing: not provided"),EXACT(metadata!W143,"missing: restricted access"))),AND(IF(metadata!W143="",FALSE,TRUE),OR(EXACT(metadata!W143,"TRUE"),EXACT(metadata!W143,"FALSE"))))</f>
        <v>0</v>
      </c>
      <c r="BI143" t="b">
        <f>AND(IF(metadata!X143="",FALSE,TRUE),EXACT(metadata!X143,"other"))</f>
        <v>0</v>
      </c>
      <c r="BJ143" t="b">
        <f>IF(metadata!Y143="",FALSE,TRUE)</f>
        <v>0</v>
      </c>
      <c r="BK143" t="b">
        <f>OR(AND(IF(metadata!Z143="",FALSE,TRUE),OR(EXACT(metadata!Z143,"missing: not collected"),EXACT(metadata!Z143,"missing: not provided"))),AND(IF(metadata!Z143="",FALSE,IF(ISERROR(INT(metadata!Z143)),FALSE,INT(metadata!Z143)=metadata!Z143)),metadata!Z143&gt;0))</f>
        <v>0</v>
      </c>
      <c r="BL143" t="b">
        <f>AND(IF(metadata!AA143="",FALSE,TRUE),EXACT(metadata!AA143,"Not applicable"))</f>
        <v>0</v>
      </c>
      <c r="BM143" t="b">
        <f>IF(metadata!AB143="",FALSE,TRUE)</f>
        <v>0</v>
      </c>
    </row>
    <row r="144" spans="1:65" x14ac:dyDescent="0.2">
      <c r="A144" s="5" t="str">
        <f ca="1">IF(B144=" "," ",HYPERLINK(CONCATENATE("#metadata!",ADDRESS(INDEX($AH$2:$AH$1001,MATCH(ROWS($AF$2:AF144),$AF$2:$AF$1001,0),0),1)),INDEX($AK$2:$AK$1001,MATCH(ROWS($AF$2:AF144),$AF$2:$AF$1001,0),0)))</f>
        <v xml:space="preserve"> </v>
      </c>
      <c r="B144" s="4" t="str">
        <f ca="1">IF(OR(INDEX($AG$2:$AG$1001,MATCH(ROWS($AF$2:AF144),$AF$2:$AF$1001,0),1)&gt;=100000,INDEX($AM$1005:$BM$1005,1,MATCH(COLUMNS($AM$1006:AM1006),$AM$1006:$BM$1006,0))&gt;=100000), " ",IF(INDEX($AM$2:$BM$1001,MATCH(ROWS($AF$2:AF144),$AF$2:$AF$1001,0),MATCH(COLUMNS($AM$1006:AM1006),$AM$1006:$BM$1006,0)), HYPERLINK("#",""), HYPERLINK(CONCATENATE("#metadata!", ADDRESS(INDEX($AH$2:$AH$1001,MATCH(ROWS($AF$2:AF144),$AF$2:$AF$1001,0),0), INDEX($AM$1004:$BM$1004,1,MATCH(COLUMNS($AM$1006:AM1006),$AM$1006:$BM$1006,0)))),"Fix")))</f>
        <v xml:space="preserve"> </v>
      </c>
      <c r="C144" s="4" t="str">
        <f ca="1">IF(OR(INDEX($AG$2:$AG$1001,MATCH(ROWS($AF$2:AF144),$AF$2:$AF$1001,0),1)&gt;=100000,INDEX($AM$1005:$BM$1005,1,MATCH(COLUMNS($AM$1006:AN1006),$AM$1006:$BM$1006,0))&gt;=100000), " ",IF(INDEX($AM$2:$BM$1001,MATCH(ROWS($AF$2:AF144),$AF$2:$AF$1001,0),MATCH(COLUMNS($AM$1006:AN1006),$AM$1006:$BM$1006,0)), HYPERLINK("#",""), HYPERLINK(CONCATENATE("#metadata!", ADDRESS(INDEX($AH$2:$AH$1001,MATCH(ROWS($AF$2:AF144),$AF$2:$AF$1001,0),0), INDEX($AM$1004:$BM$1004,1,MATCH(COLUMNS($AM$1006:AN1006),$AM$1006:$BM$1006,0)))),"Fix")))</f>
        <v xml:space="preserve"> </v>
      </c>
      <c r="D144" s="4" t="str">
        <f ca="1">IF(OR(INDEX($AG$2:$AG$1001,MATCH(ROWS($AF$2:AF144),$AF$2:$AF$1001,0),1)&gt;=100000,INDEX($AM$1005:$BM$1005,1,MATCH(COLUMNS($AM$1006:AO1006),$AM$1006:$BM$1006,0))&gt;=100000), " ",IF(INDEX($AM$2:$BM$1001,MATCH(ROWS($AF$2:AF144),$AF$2:$AF$1001,0),MATCH(COLUMNS($AM$1006:AO1006),$AM$1006:$BM$1006,0)), HYPERLINK("#",""), HYPERLINK(CONCATENATE("#metadata!", ADDRESS(INDEX($AH$2:$AH$1001,MATCH(ROWS($AF$2:AF144),$AF$2:$AF$1001,0),0), INDEX($AM$1004:$BM$1004,1,MATCH(COLUMNS($AM$1006:AO1006),$AM$1006:$BM$1006,0)))),"Fix")))</f>
        <v xml:space="preserve"> </v>
      </c>
      <c r="E144" s="4" t="str">
        <f ca="1">IF(OR(INDEX($AG$2:$AG$1001,MATCH(ROWS($AF$2:AF144),$AF$2:$AF$1001,0),1)&gt;=100000,INDEX($AM$1005:$BM$1005,1,MATCH(COLUMNS($AM$1006:AP1006),$AM$1006:$BM$1006,0))&gt;=100000), " ",IF(INDEX($AM$2:$BM$1001,MATCH(ROWS($AF$2:AF144),$AF$2:$AF$1001,0),MATCH(COLUMNS($AM$1006:AP1006),$AM$1006:$BM$1006,0)), HYPERLINK("#",""), HYPERLINK(CONCATENATE("#metadata!", ADDRESS(INDEX($AH$2:$AH$1001,MATCH(ROWS($AF$2:AF144),$AF$2:$AF$1001,0),0), INDEX($AM$1004:$BM$1004,1,MATCH(COLUMNS($AM$1006:AP1006),$AM$1006:$BM$1006,0)))),"Fix")))</f>
        <v xml:space="preserve"> </v>
      </c>
      <c r="F144" s="4" t="str">
        <f ca="1">IF(OR(INDEX($AG$2:$AG$1001,MATCH(ROWS($AF$2:AF144),$AF$2:$AF$1001,0),1)&gt;=100000,INDEX($AM$1005:$BM$1005,1,MATCH(COLUMNS($AM$1006:AQ1006),$AM$1006:$BM$1006,0))&gt;=100000), " ",IF(INDEX($AM$2:$BM$1001,MATCH(ROWS($AF$2:AF144),$AF$2:$AF$1001,0),MATCH(COLUMNS($AM$1006:AQ1006),$AM$1006:$BM$1006,0)), HYPERLINK("#",""), HYPERLINK(CONCATENATE("#metadata!", ADDRESS(INDEX($AH$2:$AH$1001,MATCH(ROWS($AF$2:AF144),$AF$2:$AF$1001,0),0), INDEX($AM$1004:$BM$1004,1,MATCH(COLUMNS($AM$1006:AQ1006),$AM$1006:$BM$1006,0)))),"Fix")))</f>
        <v xml:space="preserve"> </v>
      </c>
      <c r="G144" s="4" t="str">
        <f ca="1">IF(OR(INDEX($AG$2:$AG$1001,MATCH(ROWS($AF$2:AF144),$AF$2:$AF$1001,0),1)&gt;=100000,INDEX($AM$1005:$BM$1005,1,MATCH(COLUMNS($AM$1006:AR1006),$AM$1006:$BM$1006,0))&gt;=100000), " ",IF(INDEX($AM$2:$BM$1001,MATCH(ROWS($AF$2:AF144),$AF$2:$AF$1001,0),MATCH(COLUMNS($AM$1006:AR1006),$AM$1006:$BM$1006,0)), HYPERLINK("#",""), HYPERLINK(CONCATENATE("#metadata!", ADDRESS(INDEX($AH$2:$AH$1001,MATCH(ROWS($AF$2:AF144),$AF$2:$AF$1001,0),0), INDEX($AM$1004:$BM$1004,1,MATCH(COLUMNS($AM$1006:AR1006),$AM$1006:$BM$1006,0)))),"Fix")))</f>
        <v xml:space="preserve"> </v>
      </c>
      <c r="H144" s="4" t="str">
        <f ca="1">IF(OR(INDEX($AG$2:$AG$1001,MATCH(ROWS($AF$2:AF144),$AF$2:$AF$1001,0),1)&gt;=100000,INDEX($AM$1005:$BM$1005,1,MATCH(COLUMNS($AM$1006:AS1006),$AM$1006:$BM$1006,0))&gt;=100000), " ",IF(INDEX($AM$2:$BM$1001,MATCH(ROWS($AF$2:AF144),$AF$2:$AF$1001,0),MATCH(COLUMNS($AM$1006:AS1006),$AM$1006:$BM$1006,0)), HYPERLINK("#",""), HYPERLINK(CONCATENATE("#metadata!", ADDRESS(INDEX($AH$2:$AH$1001,MATCH(ROWS($AF$2:AF144),$AF$2:$AF$1001,0),0), INDEX($AM$1004:$BM$1004,1,MATCH(COLUMNS($AM$1006:AS1006),$AM$1006:$BM$1006,0)))),"Fix")))</f>
        <v xml:space="preserve"> </v>
      </c>
      <c r="I144" s="4" t="str">
        <f ca="1">IF(OR(INDEX($AG$2:$AG$1001,MATCH(ROWS($AF$2:AF144),$AF$2:$AF$1001,0),1)&gt;=100000,INDEX($AM$1005:$BM$1005,1,MATCH(COLUMNS($AM$1006:AT1006),$AM$1006:$BM$1006,0))&gt;=100000), " ",IF(INDEX($AM$2:$BM$1001,MATCH(ROWS($AF$2:AF144),$AF$2:$AF$1001,0),MATCH(COLUMNS($AM$1006:AT1006),$AM$1006:$BM$1006,0)), HYPERLINK("#",""), HYPERLINK(CONCATENATE("#metadata!", ADDRESS(INDEX($AH$2:$AH$1001,MATCH(ROWS($AF$2:AF144),$AF$2:$AF$1001,0),0), INDEX($AM$1004:$BM$1004,1,MATCH(COLUMNS($AM$1006:AT1006),$AM$1006:$BM$1006,0)))),"Fix")))</f>
        <v xml:space="preserve"> </v>
      </c>
      <c r="J144" s="4" t="str">
        <f ca="1">IF(OR(INDEX($AG$2:$AG$1001,MATCH(ROWS($AF$2:AF144),$AF$2:$AF$1001,0),1)&gt;=100000,INDEX($AM$1005:$BM$1005,1,MATCH(COLUMNS($AM$1006:AU1006),$AM$1006:$BM$1006,0))&gt;=100000), " ",IF(INDEX($AM$2:$BM$1001,MATCH(ROWS($AF$2:AF144),$AF$2:$AF$1001,0),MATCH(COLUMNS($AM$1006:AU1006),$AM$1006:$BM$1006,0)), HYPERLINK("#",""), HYPERLINK(CONCATENATE("#metadata!", ADDRESS(INDEX($AH$2:$AH$1001,MATCH(ROWS($AF$2:AF144),$AF$2:$AF$1001,0),0), INDEX($AM$1004:$BM$1004,1,MATCH(COLUMNS($AM$1006:AU1006),$AM$1006:$BM$1006,0)))),"Fix")))</f>
        <v xml:space="preserve"> </v>
      </c>
      <c r="K144" s="4" t="str">
        <f ca="1">IF(OR(INDEX($AG$2:$AG$1001,MATCH(ROWS($AF$2:AF144),$AF$2:$AF$1001,0),1)&gt;=100000,INDEX($AM$1005:$BM$1005,1,MATCH(COLUMNS($AM$1006:AV1006),$AM$1006:$BM$1006,0))&gt;=100000), " ",IF(INDEX($AM$2:$BM$1001,MATCH(ROWS($AF$2:AF144),$AF$2:$AF$1001,0),MATCH(COLUMNS($AM$1006:AV1006),$AM$1006:$BM$1006,0)), HYPERLINK("#",""), HYPERLINK(CONCATENATE("#metadata!", ADDRESS(INDEX($AH$2:$AH$1001,MATCH(ROWS($AF$2:AF144),$AF$2:$AF$1001,0),0), INDEX($AM$1004:$BM$1004,1,MATCH(COLUMNS($AM$1006:AV1006),$AM$1006:$BM$1006,0)))),"Fix")))</f>
        <v xml:space="preserve"> </v>
      </c>
      <c r="L144" s="4" t="str">
        <f ca="1">IF(OR(INDEX($AG$2:$AG$1001,MATCH(ROWS($AF$2:AF144),$AF$2:$AF$1001,0),1)&gt;=100000,INDEX($AM$1005:$BM$1005,1,MATCH(COLUMNS($AM$1006:AW1006),$AM$1006:$BM$1006,0))&gt;=100000), " ",IF(INDEX($AM$2:$BM$1001,MATCH(ROWS($AF$2:AF144),$AF$2:$AF$1001,0),MATCH(COLUMNS($AM$1006:AW1006),$AM$1006:$BM$1006,0)), HYPERLINK("#",""), HYPERLINK(CONCATENATE("#metadata!", ADDRESS(INDEX($AH$2:$AH$1001,MATCH(ROWS($AF$2:AF144),$AF$2:$AF$1001,0),0), INDEX($AM$1004:$BM$1004,1,MATCH(COLUMNS($AM$1006:AW1006),$AM$1006:$BM$1006,0)))),"Fix")))</f>
        <v xml:space="preserve"> </v>
      </c>
      <c r="M144" s="4" t="str">
        <f ca="1">IF(OR(INDEX($AG$2:$AG$1001,MATCH(ROWS($AF$2:AF144),$AF$2:$AF$1001,0),1)&gt;=100000,INDEX($AM$1005:$BM$1005,1,MATCH(COLUMNS($AM$1006:AX1006),$AM$1006:$BM$1006,0))&gt;=100000), " ",IF(INDEX($AM$2:$BM$1001,MATCH(ROWS($AF$2:AF144),$AF$2:$AF$1001,0),MATCH(COLUMNS($AM$1006:AX1006),$AM$1006:$BM$1006,0)), HYPERLINK("#",""), HYPERLINK(CONCATENATE("#metadata!", ADDRESS(INDEX($AH$2:$AH$1001,MATCH(ROWS($AF$2:AF144),$AF$2:$AF$1001,0),0), INDEX($AM$1004:$BM$1004,1,MATCH(COLUMNS($AM$1006:AX1006),$AM$1006:$BM$1006,0)))),"Fix")))</f>
        <v xml:space="preserve"> </v>
      </c>
      <c r="N144" s="4" t="str">
        <f ca="1">IF(OR(INDEX($AG$2:$AG$1001,MATCH(ROWS($AF$2:AF144),$AF$2:$AF$1001,0),1)&gt;=100000,INDEX($AM$1005:$BM$1005,1,MATCH(COLUMNS($AM$1006:AY1006),$AM$1006:$BM$1006,0))&gt;=100000), " ",IF(INDEX($AM$2:$BM$1001,MATCH(ROWS($AF$2:AF144),$AF$2:$AF$1001,0),MATCH(COLUMNS($AM$1006:AY1006),$AM$1006:$BM$1006,0)), HYPERLINK("#",""), HYPERLINK(CONCATENATE("#metadata!", ADDRESS(INDEX($AH$2:$AH$1001,MATCH(ROWS($AF$2:AF144),$AF$2:$AF$1001,0),0), INDEX($AM$1004:$BM$1004,1,MATCH(COLUMNS($AM$1006:AY1006),$AM$1006:$BM$1006,0)))),"Fix")))</f>
        <v xml:space="preserve"> </v>
      </c>
      <c r="O144" s="4" t="str">
        <f ca="1">IF(OR(INDEX($AG$2:$AG$1001,MATCH(ROWS($AF$2:AF144),$AF$2:$AF$1001,0),1)&gt;=100000,INDEX($AM$1005:$BM$1005,1,MATCH(COLUMNS($AM$1006:AZ1006),$AM$1006:$BM$1006,0))&gt;=100000), " ",IF(INDEX($AM$2:$BM$1001,MATCH(ROWS($AF$2:AF144),$AF$2:$AF$1001,0),MATCH(COLUMNS($AM$1006:AZ1006),$AM$1006:$BM$1006,0)), HYPERLINK("#",""), HYPERLINK(CONCATENATE("#metadata!", ADDRESS(INDEX($AH$2:$AH$1001,MATCH(ROWS($AF$2:AF144),$AF$2:$AF$1001,0),0), INDEX($AM$1004:$BM$1004,1,MATCH(COLUMNS($AM$1006:AZ1006),$AM$1006:$BM$1006,0)))),"Fix")))</f>
        <v xml:space="preserve"> </v>
      </c>
      <c r="P144" s="4" t="str">
        <f ca="1">IF(OR(INDEX($AG$2:$AG$1001,MATCH(ROWS($AF$2:AF144),$AF$2:$AF$1001,0),1)&gt;=100000,INDEX($AM$1005:$BM$1005,1,MATCH(COLUMNS($AM$1006:BA1006),$AM$1006:$BM$1006,0))&gt;=100000), " ",IF(INDEX($AM$2:$BM$1001,MATCH(ROWS($AF$2:AF144),$AF$2:$AF$1001,0),MATCH(COLUMNS($AM$1006:BA1006),$AM$1006:$BM$1006,0)), HYPERLINK("#",""), HYPERLINK(CONCATENATE("#metadata!", ADDRESS(INDEX($AH$2:$AH$1001,MATCH(ROWS($AF$2:AF144),$AF$2:$AF$1001,0),0), INDEX($AM$1004:$BM$1004,1,MATCH(COLUMNS($AM$1006:BA1006),$AM$1006:$BM$1006,0)))),"Fix")))</f>
        <v xml:space="preserve"> </v>
      </c>
      <c r="Q144" s="4" t="str">
        <f ca="1">IF(OR(INDEX($AG$2:$AG$1001,MATCH(ROWS($AF$2:AF144),$AF$2:$AF$1001,0),1)&gt;=100000,INDEX($AM$1005:$BM$1005,1,MATCH(COLUMNS($AM$1006:BB1006),$AM$1006:$BM$1006,0))&gt;=100000), " ",IF(INDEX($AM$2:$BM$1001,MATCH(ROWS($AF$2:AF144),$AF$2:$AF$1001,0),MATCH(COLUMNS($AM$1006:BB1006),$AM$1006:$BM$1006,0)), HYPERLINK("#",""), HYPERLINK(CONCATENATE("#metadata!", ADDRESS(INDEX($AH$2:$AH$1001,MATCH(ROWS($AF$2:AF144),$AF$2:$AF$1001,0),0), INDEX($AM$1004:$BM$1004,1,MATCH(COLUMNS($AM$1006:BB1006),$AM$1006:$BM$1006,0)))),"Fix")))</f>
        <v xml:space="preserve"> </v>
      </c>
      <c r="R144" s="4" t="str">
        <f ca="1">IF(OR(INDEX($AG$2:$AG$1001,MATCH(ROWS($AF$2:AF144),$AF$2:$AF$1001,0),1)&gt;=100000,INDEX($AM$1005:$BM$1005,1,MATCH(COLUMNS($AM$1006:BC1006),$AM$1006:$BM$1006,0))&gt;=100000), " ",IF(INDEX($AM$2:$BM$1001,MATCH(ROWS($AF$2:AF144),$AF$2:$AF$1001,0),MATCH(COLUMNS($AM$1006:BC1006),$AM$1006:$BM$1006,0)), HYPERLINK("#",""), HYPERLINK(CONCATENATE("#metadata!", ADDRESS(INDEX($AH$2:$AH$1001,MATCH(ROWS($AF$2:AF144),$AF$2:$AF$1001,0),0), INDEX($AM$1004:$BM$1004,1,MATCH(COLUMNS($AM$1006:BC1006),$AM$1006:$BM$1006,0)))),"Fix")))</f>
        <v xml:space="preserve"> </v>
      </c>
      <c r="S144" s="4" t="str">
        <f ca="1">IF(OR(INDEX($AG$2:$AG$1001,MATCH(ROWS($AF$2:AF144),$AF$2:$AF$1001,0),1)&gt;=100000,INDEX($AM$1005:$BM$1005,1,MATCH(COLUMNS($AM$1006:BD1006),$AM$1006:$BM$1006,0))&gt;=100000), " ",IF(INDEX($AM$2:$BM$1001,MATCH(ROWS($AF$2:AF144),$AF$2:$AF$1001,0),MATCH(COLUMNS($AM$1006:BD1006),$AM$1006:$BM$1006,0)), HYPERLINK("#",""), HYPERLINK(CONCATENATE("#metadata!", ADDRESS(INDEX($AH$2:$AH$1001,MATCH(ROWS($AF$2:AF144),$AF$2:$AF$1001,0),0), INDEX($AM$1004:$BM$1004,1,MATCH(COLUMNS($AM$1006:BD1006),$AM$1006:$BM$1006,0)))),"Fix")))</f>
        <v xml:space="preserve"> </v>
      </c>
      <c r="T144" s="4" t="str">
        <f ca="1">IF(OR(INDEX($AG$2:$AG$1001,MATCH(ROWS($AF$2:AF144),$AF$2:$AF$1001,0),1)&gt;=100000,INDEX($AM$1005:$BM$1005,1,MATCH(COLUMNS($AM$1006:BE1006),$AM$1006:$BM$1006,0))&gt;=100000), " ",IF(INDEX($AM$2:$BM$1001,MATCH(ROWS($AF$2:AF144),$AF$2:$AF$1001,0),MATCH(COLUMNS($AM$1006:BE1006),$AM$1006:$BM$1006,0)), HYPERLINK("#",""), HYPERLINK(CONCATENATE("#metadata!", ADDRESS(INDEX($AH$2:$AH$1001,MATCH(ROWS($AF$2:AF144),$AF$2:$AF$1001,0),0), INDEX($AM$1004:$BM$1004,1,MATCH(COLUMNS($AM$1006:BE1006),$AM$1006:$BM$1006,0)))),"Fix")))</f>
        <v xml:space="preserve"> </v>
      </c>
      <c r="U144" s="4" t="str">
        <f ca="1">IF(OR(INDEX($AG$2:$AG$1001,MATCH(ROWS($AF$2:AF144),$AF$2:$AF$1001,0),1)&gt;=100000,INDEX($AM$1005:$BM$1005,1,MATCH(COLUMNS($AM$1006:BF1006),$AM$1006:$BM$1006,0))&gt;=100000), " ",IF(INDEX($AM$2:$BM$1001,MATCH(ROWS($AF$2:AF144),$AF$2:$AF$1001,0),MATCH(COLUMNS($AM$1006:BF1006),$AM$1006:$BM$1006,0)), HYPERLINK("#",""), HYPERLINK(CONCATENATE("#metadata!", ADDRESS(INDEX($AH$2:$AH$1001,MATCH(ROWS($AF$2:AF144),$AF$2:$AF$1001,0),0), INDEX($AM$1004:$BM$1004,1,MATCH(COLUMNS($AM$1006:BF1006),$AM$1006:$BM$1006,0)))),"Fix")))</f>
        <v xml:space="preserve"> </v>
      </c>
      <c r="V144" s="4" t="str">
        <f ca="1">IF(OR(INDEX($AG$2:$AG$1001,MATCH(ROWS($AF$2:AF144),$AF$2:$AF$1001,0),1)&gt;=100000,INDEX($AM$1005:$BM$1005,1,MATCH(COLUMNS($AM$1006:BG1006),$AM$1006:$BM$1006,0))&gt;=100000), " ",IF(INDEX($AM$2:$BM$1001,MATCH(ROWS($AF$2:AF144),$AF$2:$AF$1001,0),MATCH(COLUMNS($AM$1006:BG1006),$AM$1006:$BM$1006,0)), HYPERLINK("#",""), HYPERLINK(CONCATENATE("#metadata!", ADDRESS(INDEX($AH$2:$AH$1001,MATCH(ROWS($AF$2:AF144),$AF$2:$AF$1001,0),0), INDEX($AM$1004:$BM$1004,1,MATCH(COLUMNS($AM$1006:BG1006),$AM$1006:$BM$1006,0)))),"Fix")))</f>
        <v xml:space="preserve"> </v>
      </c>
      <c r="W144" s="4" t="str">
        <f ca="1">IF(OR(INDEX($AG$2:$AG$1001,MATCH(ROWS($AF$2:AF144),$AF$2:$AF$1001,0),1)&gt;=100000,INDEX($AM$1005:$BM$1005,1,MATCH(COLUMNS($AM$1006:BH1006),$AM$1006:$BM$1006,0))&gt;=100000), " ",IF(INDEX($AM$2:$BM$1001,MATCH(ROWS($AF$2:AF144),$AF$2:$AF$1001,0),MATCH(COLUMNS($AM$1006:BH1006),$AM$1006:$BM$1006,0)), HYPERLINK("#",""), HYPERLINK(CONCATENATE("#metadata!", ADDRESS(INDEX($AH$2:$AH$1001,MATCH(ROWS($AF$2:AF144),$AF$2:$AF$1001,0),0), INDEX($AM$1004:$BM$1004,1,MATCH(COLUMNS($AM$1006:BH1006),$AM$1006:$BM$1006,0)))),"Fix")))</f>
        <v xml:space="preserve"> </v>
      </c>
      <c r="X144" s="4" t="str">
        <f ca="1">IF(OR(INDEX($AG$2:$AG$1001,MATCH(ROWS($AF$2:AF144),$AF$2:$AF$1001,0),1)&gt;=100000,INDEX($AM$1005:$BM$1005,1,MATCH(COLUMNS($AM$1006:BI1006),$AM$1006:$BM$1006,0))&gt;=100000), " ",IF(INDEX($AM$2:$BM$1001,MATCH(ROWS($AF$2:AF144),$AF$2:$AF$1001,0),MATCH(COLUMNS($AM$1006:BI1006),$AM$1006:$BM$1006,0)), HYPERLINK("#",""), HYPERLINK(CONCATENATE("#metadata!", ADDRESS(INDEX($AH$2:$AH$1001,MATCH(ROWS($AF$2:AF144),$AF$2:$AF$1001,0),0), INDEX($AM$1004:$BM$1004,1,MATCH(COLUMNS($AM$1006:BI1006),$AM$1006:$BM$1006,0)))),"Fix")))</f>
        <v xml:space="preserve"> </v>
      </c>
      <c r="Y144" s="4" t="str">
        <f ca="1">IF(OR(INDEX($AG$2:$AG$1001,MATCH(ROWS($AF$2:AF144),$AF$2:$AF$1001,0),1)&gt;=100000,INDEX($AM$1005:$BM$1005,1,MATCH(COLUMNS($AM$1006:BJ1006),$AM$1006:$BM$1006,0))&gt;=100000), " ",IF(INDEX($AM$2:$BM$1001,MATCH(ROWS($AF$2:AF144),$AF$2:$AF$1001,0),MATCH(COLUMNS($AM$1006:BJ1006),$AM$1006:$BM$1006,0)), HYPERLINK("#",""), HYPERLINK(CONCATENATE("#metadata!", ADDRESS(INDEX($AH$2:$AH$1001,MATCH(ROWS($AF$2:AF144),$AF$2:$AF$1001,0),0), INDEX($AM$1004:$BM$1004,1,MATCH(COLUMNS($AM$1006:BJ1006),$AM$1006:$BM$1006,0)))),"Fix")))</f>
        <v xml:space="preserve"> </v>
      </c>
      <c r="Z144" s="4" t="str">
        <f ca="1">IF(OR(INDEX($AG$2:$AG$1001,MATCH(ROWS($AF$2:AF144),$AF$2:$AF$1001,0),1)&gt;=100000,INDEX($AM$1005:$BM$1005,1,MATCH(COLUMNS($AM$1006:BK1006),$AM$1006:$BM$1006,0))&gt;=100000), " ",IF(INDEX($AM$2:$BM$1001,MATCH(ROWS($AF$2:AF144),$AF$2:$AF$1001,0),MATCH(COLUMNS($AM$1006:BK1006),$AM$1006:$BM$1006,0)), HYPERLINK("#",""), HYPERLINK(CONCATENATE("#metadata!", ADDRESS(INDEX($AH$2:$AH$1001,MATCH(ROWS($AF$2:AF144),$AF$2:$AF$1001,0),0), INDEX($AM$1004:$BM$1004,1,MATCH(COLUMNS($AM$1006:BK1006),$AM$1006:$BM$1006,0)))),"Fix")))</f>
        <v xml:space="preserve"> </v>
      </c>
      <c r="AA144" s="4" t="str">
        <f ca="1">IF(OR(INDEX($AG$2:$AG$1001,MATCH(ROWS($AF$2:AF144),$AF$2:$AF$1001,0),1)&gt;=100000,INDEX($AM$1005:$BM$1005,1,MATCH(COLUMNS($AM$1006:BL1006),$AM$1006:$BM$1006,0))&gt;=100000), " ",IF(INDEX($AM$2:$BM$1001,MATCH(ROWS($AF$2:AF144),$AF$2:$AF$1001,0),MATCH(COLUMNS($AM$1006:BL1006),$AM$1006:$BM$1006,0)), HYPERLINK("#",""), HYPERLINK(CONCATENATE("#metadata!", ADDRESS(INDEX($AH$2:$AH$1001,MATCH(ROWS($AF$2:AF144),$AF$2:$AF$1001,0),0), INDEX($AM$1004:$BM$1004,1,MATCH(COLUMNS($AM$1006:BL1006),$AM$1006:$BM$1006,0)))),"Fix")))</f>
        <v xml:space="preserve"> </v>
      </c>
      <c r="AB144" s="4" t="str">
        <f ca="1">IF(OR(INDEX($AG$2:$AG$1001,MATCH(ROWS($AF$2:AF144),$AF$2:$AF$1001,0),1)&gt;=100000,INDEX($AM$1005:$BM$1005,1,MATCH(COLUMNS($AM$1006:BM1006),$AM$1006:$BM$1006,0))&gt;=100000), " ",IF(INDEX($AM$2:$BM$1001,MATCH(ROWS($AF$2:AF144),$AF$2:$AF$1001,0),MATCH(COLUMNS($AM$1006:BM1006),$AM$1006:$BM$1006,0)), HYPERLINK("#",""), HYPERLINK(CONCATENATE("#metadata!", ADDRESS(INDEX($AH$2:$AH$1001,MATCH(ROWS($AF$2:AF144),$AF$2:$AF$1001,0),0), INDEX($AM$1004:$BM$1004,1,MATCH(COLUMNS($AM$1006:BM1006),$AM$1006:$BM$1006,0)))),"Fix")))</f>
        <v xml:space="preserve"> </v>
      </c>
      <c r="AF144">
        <v>143</v>
      </c>
      <c r="AG144">
        <v>100144</v>
      </c>
      <c r="AH144">
        <v>144</v>
      </c>
      <c r="AI144" t="b">
        <f t="shared" si="2"/>
        <v>1</v>
      </c>
      <c r="AJ144" t="b">
        <f>COUNTBLANK(metadata!B144:AB144)=COLUMNS(metadata!B144:AB144)</f>
        <v>1</v>
      </c>
      <c r="AK144" t="str">
        <v/>
      </c>
      <c r="AM144" t="b">
        <f ca="1">AND(IF(metadata!B144="",FALSE,TRUE),COUNTIF(metadata!B:B, metadata!B144) = 1,NOT(ISERROR(SUMPRODUCT(SEARCH(MID(metadata!B144,ROW(INDIRECT("1:"&amp;LEN(metadata!B144))), 1),"0123456789abcdefghijklmnopqrstuvwxyzABCDEFGHIJKLMNOPQRSTUVWXYZ.")))))</f>
        <v>0</v>
      </c>
      <c r="AN144" t="b">
        <f ca="1">OR(AND(IF(metadata!C144="",FALSE,TRUE),OR(EXACT(metadata!C144,"missing: not collected"),EXACT(metadata!C144,"missing: not provided"),EXACT(metadata!C144,"missing: restricted access"))),AND(IF(metadata!C144="",FALSE,TRUE),AND(AND(IFERROR(INT(LEFT(metadata!C144,4))&gt;1900,FALSE),IFERROR(INT(LEFT(metadata!C144,4))&lt;=YEAR(NOW()),FALSE)), OR(MID(metadata!C144,5,1)="", AND(AND(MID(metadata!C144,5,1)="-",IFERROR(INT(MID(metadata!C144,6,1))&gt;=0,FALSE),IFERROR(INT(MID(metadata!C144,6,1))&lt;=1,FALSE),NOT(MID(metadata!C144,7,1)=""),IFERROR(INT(MID(metadata!C144,6,2))&gt;=1,FALSE),IFERROR(INT(MID(metadata!C144,6,2))&lt;=12,FALSE)), OR(MID(metadata!C144,8,1)="", AND(AND(MID(metadata!C144,8,1)="-",IFERROR(INT(MID(metadata!C144,9,1))&gt;=0,FALSE),IFERROR(INT(MID(metadata!C144,9,1))&lt;=3,FALSE),NOT(MID(metadata!C144,10,1)=""),IFERROR(INT(MID(metadata!C144,9,2))&gt;=1,FALSE),IFERROR(INT(MID(metadata!C144,9,2))&lt;=31,FALSE)), OR(MID(metadata!C144,11,1)="", AND(AND(MID(metadata!C144,11,1)=" ",IFERROR(INT(MID(metadata!C144,12,1))&gt;=0,FALSE),IFERROR(INT(MID(metadata!C144,12,1))&lt;=2,FALSE),NOT(MID(metadata!C144,13,1)=""),IFERROR(INT(MID(metadata!C144,12,2))&gt;=0,FALSE),IFERROR(INT(MID(metadata!C144,12,2))&lt;=23,FALSE)), OR(MID(metadata!C144,14,1)="", AND(AND(MID(metadata!C144,14,1)=":",IFERROR(INT(MID(metadata!C144,15,1))&gt;=0,FALSE),IFERROR(INT(MID(metadata!C144,15,1))&lt;=5,FALSE),NOT(MID(metadata!C144,16,1)=""),IFERROR(INT(MID(metadata!C144,15,2))&gt;=0,FALSE),IFERROR(INT(MID(metadata!C144,15,2))&lt;=59,FALSE)), OR(MID(metadata!C144,17,1)="", AND(AND(MID(metadata!C144,17,1)=":",IFERROR(INT(MID(metadata!C144,18,1))&gt;=0,FALSE),IFERROR(INT(MID(metadata!C144,18,1))&lt;=5,FALSE),NOT(MID(metadata!C144,19,1)=""),IFERROR(INT(MID(metadata!C144,18,2))&gt;=0,FALSE),IFERROR(INT(MID(metadata!C144,18,2))&lt;=59,FALSE)), LEN(metadata!C144)&lt;=19)))))))))))))</f>
        <v>0</v>
      </c>
      <c r="AO144" t="b">
        <f>AND(IF(metadata!D144="",FALSE,TRUE),EXACT(metadata!D144,"Not applicable"))</f>
        <v>0</v>
      </c>
      <c r="AP144" t="b">
        <f>IF(metadata!E144="",FALSE,TRUE)</f>
        <v>0</v>
      </c>
      <c r="AQ144" t="b">
        <f>OR(AND(IF(metadata!F144="",FALSE,TRUE),OR(EXACT(metadata!F144,"missing: not collected"),EXACT(metadata!F144,"missing: not provided"))),AND(IF(metadata!F144="",FALSE,TRUE),OR(EXACT(metadata!F144,"TRUE"),EXACT(metadata!F144,"FALSE"))))</f>
        <v>0</v>
      </c>
      <c r="AR144" t="b">
        <f>OR(AND(IF(metadata!G144="",FALSE,TRUE),OR(EXACT(metadata!G144,"missing: not collected"),EXACT(metadata!G144,"missing: not provided"),EXACT(metadata!G144,"missing: restricted access"))),AND(IF(metadata!G144="",FALSE,ISNUMBER(VALUE(metadata!G144))),metadata!G144&gt;=-413))</f>
        <v>0</v>
      </c>
      <c r="AS144" t="b">
        <f>AND(IF(metadata!H144="",FALSE,TRUE),EXACT(metadata!H144,"meters"))</f>
        <v>0</v>
      </c>
      <c r="AT144" t="b">
        <f>AND(IF(metadata!I144="",FALSE,TRUE),OR(EXACT(metadata!I144,"Host-associated"),EXACT(metadata!I144,"Free-living")))</f>
        <v>0</v>
      </c>
      <c r="AU144" t="b">
        <f>AND(IF(metadata!J144="",FALSE,TRUE),OR(EXACT(metadata!J144,"Animal"),EXACT(metadata!J144,"Fungus"),EXACT(metadata!J144,"Plant"),EXACT(metadata!J144,"Saline"),EXACT(metadata!J144,"Non-saline")))</f>
        <v>0</v>
      </c>
      <c r="AV144" t="b">
        <f>AND(IF(metadata!K144="",FALSE,TRUE),OR(EXACT(metadata!K144,"Plant secretion"),EXACT(metadata!K144,"Plant rhizosphere"),EXACT(metadata!K144,"Plant surface"),EXACT(metadata!K144,"Plant corpus"),EXACT(metadata!K144,"Fungus surface"),EXACT(metadata!K144,"Fungus corpus"),EXACT(metadata!K144,"Animal surface"),EXACT(metadata!K144,"Animal proximal gut"),EXACT(metadata!K144,"Animal corpus"),EXACT(metadata!K144,"Animal distal gut"),EXACT(metadata!K144,"Animal secretion"),EXACT(metadata!K144,"Sub-surface (non-saline)"),EXACT(metadata!K144,"Surface (non-saline)"),EXACT(metadata!K144,"Water (non-saline)"),EXACT(metadata!K144,"Soil (non-saline)"),EXACT(metadata!K144,"Aerosol (non-saline)"),EXACT(metadata!K144,"Sediment (non-saline)"),EXACT(metadata!K144,"Surface (saline)"),EXACT(metadata!K144,"Water (saline)"),EXACT(metadata!K144,"Hypersaline (saline)"),EXACT(metadata!K144,"Aerosol (saline)"),EXACT(metadata!K144,"Sediment (saline)")))</f>
        <v>0</v>
      </c>
      <c r="AW144" t="b">
        <f>IF(metadata!L144="",FALSE,TRUE)</f>
        <v>0</v>
      </c>
      <c r="AX144" t="b">
        <f>IF(metadata!M144="",FALSE,TRUE)</f>
        <v>0</v>
      </c>
      <c r="AY144" t="b">
        <f>IF(metadata!N144="",FALSE,TRUE)</f>
        <v>0</v>
      </c>
      <c r="AZ144" t="b">
        <f>OR(AND(IF(metadata!O144="",FALSE,TRUE),OR(EXACT(metadata!O144,"missing: not collected"),EXACT(metadata!O144,"missing: not provided"),EXACT(metadata!O144,"missing: restricted access"))),AND(IF(metadata!O144="",FALSE,TRUE),OR(EXACT(metadata!O144,"air"),EXACT(metadata!O144,"built environment"),EXACT(metadata!O144,"host-associated"),EXACT(metadata!O144,"human-associated"),EXACT(metadata!O144,"human-skin"),EXACT(metadata!O144,"human-oral"),EXACT(metadata!O144,"human-gut"),EXACT(metadata!O144,"human-vaginal"),EXACT(metadata!O144,"microbial mat/biofilm"),EXACT(metadata!O144,"misc environment"),EXACT(metadata!O144,"plant-associated"),EXACT(metadata!O144,"sediment"),EXACT(metadata!O144,"soil"),EXACT(metadata!O144,"wastewater/sludge"),EXACT(metadata!O144,"water"))))</f>
        <v>0</v>
      </c>
      <c r="BA144" t="b">
        <f>IF(metadata!P144="",FALSE,TRUE)</f>
        <v>0</v>
      </c>
      <c r="BB144" t="b">
        <f>IF(metadata!Q144="",FALSE,TRUE)</f>
        <v>0</v>
      </c>
      <c r="BC144" t="b">
        <f>OR(AND(IF(metadata!R144="",FALSE,TRUE),OR(EXACT(metadata!R144,"missing: not collected"),EXACT(metadata!R144,"missing: not provided"),EXACT(metadata!R144,"missing: restricted access"))),AND(IF(metadata!R144="",FALSE,ISNUMBER(VALUE(metadata!R144))),metadata!R144&gt;=-90,metadata!R144&lt;=90))</f>
        <v>0</v>
      </c>
      <c r="BD144" t="b">
        <f>AND(IF(metadata!S144="",FALSE,TRUE),EXACT(metadata!S144,"Decimal degrees"))</f>
        <v>0</v>
      </c>
      <c r="BE144" t="b">
        <f>OR(AND(IF(metadata!T144="",FALSE,TRUE),OR(EXACT(metadata!T144,"missing: not collected"),EXACT(metadata!T144,"missing: not provided"),EXACT(metadata!T144,"missing: restricted access"))),AND(IF(metadata!T144="",FALSE,ISNUMBER(VALUE(metadata!T144))),metadata!T144&gt;=-180,metadata!T144&lt;=180))</f>
        <v>0</v>
      </c>
      <c r="BF144" t="b">
        <f>AND(IF(metadata!U144="",FALSE,TRUE),EXACT(metadata!U144,"Decimal degrees"))</f>
        <v>0</v>
      </c>
      <c r="BG144" t="b">
        <f>IF(metadata!V144="",FALSE,TRUE)</f>
        <v>0</v>
      </c>
      <c r="BH144" t="b">
        <f>OR(AND(IF(metadata!W144="",FALSE,TRUE),OR(EXACT(metadata!W144,"missing: not collected"),EXACT(metadata!W144,"missing: not provided"),EXACT(metadata!W144,"missing: restricted access"))),AND(IF(metadata!W144="",FALSE,TRUE),OR(EXACT(metadata!W144,"TRUE"),EXACT(metadata!W144,"FALSE"))))</f>
        <v>0</v>
      </c>
      <c r="BI144" t="b">
        <f>AND(IF(metadata!X144="",FALSE,TRUE),EXACT(metadata!X144,"other"))</f>
        <v>0</v>
      </c>
      <c r="BJ144" t="b">
        <f>IF(metadata!Y144="",FALSE,TRUE)</f>
        <v>0</v>
      </c>
      <c r="BK144" t="b">
        <f>OR(AND(IF(metadata!Z144="",FALSE,TRUE),OR(EXACT(metadata!Z144,"missing: not collected"),EXACT(metadata!Z144,"missing: not provided"))),AND(IF(metadata!Z144="",FALSE,IF(ISERROR(INT(metadata!Z144)),FALSE,INT(metadata!Z144)=metadata!Z144)),metadata!Z144&gt;0))</f>
        <v>0</v>
      </c>
      <c r="BL144" t="b">
        <f>AND(IF(metadata!AA144="",FALSE,TRUE),EXACT(metadata!AA144,"Not applicable"))</f>
        <v>0</v>
      </c>
      <c r="BM144" t="b">
        <f>IF(metadata!AB144="",FALSE,TRUE)</f>
        <v>0</v>
      </c>
    </row>
    <row r="145" spans="1:65" x14ac:dyDescent="0.2">
      <c r="A145" s="5" t="str">
        <f ca="1">IF(B145=" "," ",HYPERLINK(CONCATENATE("#metadata!",ADDRESS(INDEX($AH$2:$AH$1001,MATCH(ROWS($AF$2:AF145),$AF$2:$AF$1001,0),0),1)),INDEX($AK$2:$AK$1001,MATCH(ROWS($AF$2:AF145),$AF$2:$AF$1001,0),0)))</f>
        <v xml:space="preserve"> </v>
      </c>
      <c r="B145" s="4" t="str">
        <f ca="1">IF(OR(INDEX($AG$2:$AG$1001,MATCH(ROWS($AF$2:AF145),$AF$2:$AF$1001,0),1)&gt;=100000,INDEX($AM$1005:$BM$1005,1,MATCH(COLUMNS($AM$1006:AM1006),$AM$1006:$BM$1006,0))&gt;=100000), " ",IF(INDEX($AM$2:$BM$1001,MATCH(ROWS($AF$2:AF145),$AF$2:$AF$1001,0),MATCH(COLUMNS($AM$1006:AM1006),$AM$1006:$BM$1006,0)), HYPERLINK("#",""), HYPERLINK(CONCATENATE("#metadata!", ADDRESS(INDEX($AH$2:$AH$1001,MATCH(ROWS($AF$2:AF145),$AF$2:$AF$1001,0),0), INDEX($AM$1004:$BM$1004,1,MATCH(COLUMNS($AM$1006:AM1006),$AM$1006:$BM$1006,0)))),"Fix")))</f>
        <v xml:space="preserve"> </v>
      </c>
      <c r="C145" s="4" t="str">
        <f ca="1">IF(OR(INDEX($AG$2:$AG$1001,MATCH(ROWS($AF$2:AF145),$AF$2:$AF$1001,0),1)&gt;=100000,INDEX($AM$1005:$BM$1005,1,MATCH(COLUMNS($AM$1006:AN1006),$AM$1006:$BM$1006,0))&gt;=100000), " ",IF(INDEX($AM$2:$BM$1001,MATCH(ROWS($AF$2:AF145),$AF$2:$AF$1001,0),MATCH(COLUMNS($AM$1006:AN1006),$AM$1006:$BM$1006,0)), HYPERLINK("#",""), HYPERLINK(CONCATENATE("#metadata!", ADDRESS(INDEX($AH$2:$AH$1001,MATCH(ROWS($AF$2:AF145),$AF$2:$AF$1001,0),0), INDEX($AM$1004:$BM$1004,1,MATCH(COLUMNS($AM$1006:AN1006),$AM$1006:$BM$1006,0)))),"Fix")))</f>
        <v xml:space="preserve"> </v>
      </c>
      <c r="D145" s="4" t="str">
        <f ca="1">IF(OR(INDEX($AG$2:$AG$1001,MATCH(ROWS($AF$2:AF145),$AF$2:$AF$1001,0),1)&gt;=100000,INDEX($AM$1005:$BM$1005,1,MATCH(COLUMNS($AM$1006:AO1006),$AM$1006:$BM$1006,0))&gt;=100000), " ",IF(INDEX($AM$2:$BM$1001,MATCH(ROWS($AF$2:AF145),$AF$2:$AF$1001,0),MATCH(COLUMNS($AM$1006:AO1006),$AM$1006:$BM$1006,0)), HYPERLINK("#",""), HYPERLINK(CONCATENATE("#metadata!", ADDRESS(INDEX($AH$2:$AH$1001,MATCH(ROWS($AF$2:AF145),$AF$2:$AF$1001,0),0), INDEX($AM$1004:$BM$1004,1,MATCH(COLUMNS($AM$1006:AO1006),$AM$1006:$BM$1006,0)))),"Fix")))</f>
        <v xml:space="preserve"> </v>
      </c>
      <c r="E145" s="4" t="str">
        <f ca="1">IF(OR(INDEX($AG$2:$AG$1001,MATCH(ROWS($AF$2:AF145),$AF$2:$AF$1001,0),1)&gt;=100000,INDEX($AM$1005:$BM$1005,1,MATCH(COLUMNS($AM$1006:AP1006),$AM$1006:$BM$1006,0))&gt;=100000), " ",IF(INDEX($AM$2:$BM$1001,MATCH(ROWS($AF$2:AF145),$AF$2:$AF$1001,0),MATCH(COLUMNS($AM$1006:AP1006),$AM$1006:$BM$1006,0)), HYPERLINK("#",""), HYPERLINK(CONCATENATE("#metadata!", ADDRESS(INDEX($AH$2:$AH$1001,MATCH(ROWS($AF$2:AF145),$AF$2:$AF$1001,0),0), INDEX($AM$1004:$BM$1004,1,MATCH(COLUMNS($AM$1006:AP1006),$AM$1006:$BM$1006,0)))),"Fix")))</f>
        <v xml:space="preserve"> </v>
      </c>
      <c r="F145" s="4" t="str">
        <f ca="1">IF(OR(INDEX($AG$2:$AG$1001,MATCH(ROWS($AF$2:AF145),$AF$2:$AF$1001,0),1)&gt;=100000,INDEX($AM$1005:$BM$1005,1,MATCH(COLUMNS($AM$1006:AQ1006),$AM$1006:$BM$1006,0))&gt;=100000), " ",IF(INDEX($AM$2:$BM$1001,MATCH(ROWS($AF$2:AF145),$AF$2:$AF$1001,0),MATCH(COLUMNS($AM$1006:AQ1006),$AM$1006:$BM$1006,0)), HYPERLINK("#",""), HYPERLINK(CONCATENATE("#metadata!", ADDRESS(INDEX($AH$2:$AH$1001,MATCH(ROWS($AF$2:AF145),$AF$2:$AF$1001,0),0), INDEX($AM$1004:$BM$1004,1,MATCH(COLUMNS($AM$1006:AQ1006),$AM$1006:$BM$1006,0)))),"Fix")))</f>
        <v xml:space="preserve"> </v>
      </c>
      <c r="G145" s="4" t="str">
        <f ca="1">IF(OR(INDEX($AG$2:$AG$1001,MATCH(ROWS($AF$2:AF145),$AF$2:$AF$1001,0),1)&gt;=100000,INDEX($AM$1005:$BM$1005,1,MATCH(COLUMNS($AM$1006:AR1006),$AM$1006:$BM$1006,0))&gt;=100000), " ",IF(INDEX($AM$2:$BM$1001,MATCH(ROWS($AF$2:AF145),$AF$2:$AF$1001,0),MATCH(COLUMNS($AM$1006:AR1006),$AM$1006:$BM$1006,0)), HYPERLINK("#",""), HYPERLINK(CONCATENATE("#metadata!", ADDRESS(INDEX($AH$2:$AH$1001,MATCH(ROWS($AF$2:AF145),$AF$2:$AF$1001,0),0), INDEX($AM$1004:$BM$1004,1,MATCH(COLUMNS($AM$1006:AR1006),$AM$1006:$BM$1006,0)))),"Fix")))</f>
        <v xml:space="preserve"> </v>
      </c>
      <c r="H145" s="4" t="str">
        <f ca="1">IF(OR(INDEX($AG$2:$AG$1001,MATCH(ROWS($AF$2:AF145),$AF$2:$AF$1001,0),1)&gt;=100000,INDEX($AM$1005:$BM$1005,1,MATCH(COLUMNS($AM$1006:AS1006),$AM$1006:$BM$1006,0))&gt;=100000), " ",IF(INDEX($AM$2:$BM$1001,MATCH(ROWS($AF$2:AF145),$AF$2:$AF$1001,0),MATCH(COLUMNS($AM$1006:AS1006),$AM$1006:$BM$1006,0)), HYPERLINK("#",""), HYPERLINK(CONCATENATE("#metadata!", ADDRESS(INDEX($AH$2:$AH$1001,MATCH(ROWS($AF$2:AF145),$AF$2:$AF$1001,0),0), INDEX($AM$1004:$BM$1004,1,MATCH(COLUMNS($AM$1006:AS1006),$AM$1006:$BM$1006,0)))),"Fix")))</f>
        <v xml:space="preserve"> </v>
      </c>
      <c r="I145" s="4" t="str">
        <f ca="1">IF(OR(INDEX($AG$2:$AG$1001,MATCH(ROWS($AF$2:AF145),$AF$2:$AF$1001,0),1)&gt;=100000,INDEX($AM$1005:$BM$1005,1,MATCH(COLUMNS($AM$1006:AT1006),$AM$1006:$BM$1006,0))&gt;=100000), " ",IF(INDEX($AM$2:$BM$1001,MATCH(ROWS($AF$2:AF145),$AF$2:$AF$1001,0),MATCH(COLUMNS($AM$1006:AT1006),$AM$1006:$BM$1006,0)), HYPERLINK("#",""), HYPERLINK(CONCATENATE("#metadata!", ADDRESS(INDEX($AH$2:$AH$1001,MATCH(ROWS($AF$2:AF145),$AF$2:$AF$1001,0),0), INDEX($AM$1004:$BM$1004,1,MATCH(COLUMNS($AM$1006:AT1006),$AM$1006:$BM$1006,0)))),"Fix")))</f>
        <v xml:space="preserve"> </v>
      </c>
      <c r="J145" s="4" t="str">
        <f ca="1">IF(OR(INDEX($AG$2:$AG$1001,MATCH(ROWS($AF$2:AF145),$AF$2:$AF$1001,0),1)&gt;=100000,INDEX($AM$1005:$BM$1005,1,MATCH(COLUMNS($AM$1006:AU1006),$AM$1006:$BM$1006,0))&gt;=100000), " ",IF(INDEX($AM$2:$BM$1001,MATCH(ROWS($AF$2:AF145),$AF$2:$AF$1001,0),MATCH(COLUMNS($AM$1006:AU1006),$AM$1006:$BM$1006,0)), HYPERLINK("#",""), HYPERLINK(CONCATENATE("#metadata!", ADDRESS(INDEX($AH$2:$AH$1001,MATCH(ROWS($AF$2:AF145),$AF$2:$AF$1001,0),0), INDEX($AM$1004:$BM$1004,1,MATCH(COLUMNS($AM$1006:AU1006),$AM$1006:$BM$1006,0)))),"Fix")))</f>
        <v xml:space="preserve"> </v>
      </c>
      <c r="K145" s="4" t="str">
        <f ca="1">IF(OR(INDEX($AG$2:$AG$1001,MATCH(ROWS($AF$2:AF145),$AF$2:$AF$1001,0),1)&gt;=100000,INDEX($AM$1005:$BM$1005,1,MATCH(COLUMNS($AM$1006:AV1006),$AM$1006:$BM$1006,0))&gt;=100000), " ",IF(INDEX($AM$2:$BM$1001,MATCH(ROWS($AF$2:AF145),$AF$2:$AF$1001,0),MATCH(COLUMNS($AM$1006:AV1006),$AM$1006:$BM$1006,0)), HYPERLINK("#",""), HYPERLINK(CONCATENATE("#metadata!", ADDRESS(INDEX($AH$2:$AH$1001,MATCH(ROWS($AF$2:AF145),$AF$2:$AF$1001,0),0), INDEX($AM$1004:$BM$1004,1,MATCH(COLUMNS($AM$1006:AV1006),$AM$1006:$BM$1006,0)))),"Fix")))</f>
        <v xml:space="preserve"> </v>
      </c>
      <c r="L145" s="4" t="str">
        <f ca="1">IF(OR(INDEX($AG$2:$AG$1001,MATCH(ROWS($AF$2:AF145),$AF$2:$AF$1001,0),1)&gt;=100000,INDEX($AM$1005:$BM$1005,1,MATCH(COLUMNS($AM$1006:AW1006),$AM$1006:$BM$1006,0))&gt;=100000), " ",IF(INDEX($AM$2:$BM$1001,MATCH(ROWS($AF$2:AF145),$AF$2:$AF$1001,0),MATCH(COLUMNS($AM$1006:AW1006),$AM$1006:$BM$1006,0)), HYPERLINK("#",""), HYPERLINK(CONCATENATE("#metadata!", ADDRESS(INDEX($AH$2:$AH$1001,MATCH(ROWS($AF$2:AF145),$AF$2:$AF$1001,0),0), INDEX($AM$1004:$BM$1004,1,MATCH(COLUMNS($AM$1006:AW1006),$AM$1006:$BM$1006,0)))),"Fix")))</f>
        <v xml:space="preserve"> </v>
      </c>
      <c r="M145" s="4" t="str">
        <f ca="1">IF(OR(INDEX($AG$2:$AG$1001,MATCH(ROWS($AF$2:AF145),$AF$2:$AF$1001,0),1)&gt;=100000,INDEX($AM$1005:$BM$1005,1,MATCH(COLUMNS($AM$1006:AX1006),$AM$1006:$BM$1006,0))&gt;=100000), " ",IF(INDEX($AM$2:$BM$1001,MATCH(ROWS($AF$2:AF145),$AF$2:$AF$1001,0),MATCH(COLUMNS($AM$1006:AX1006),$AM$1006:$BM$1006,0)), HYPERLINK("#",""), HYPERLINK(CONCATENATE("#metadata!", ADDRESS(INDEX($AH$2:$AH$1001,MATCH(ROWS($AF$2:AF145),$AF$2:$AF$1001,0),0), INDEX($AM$1004:$BM$1004,1,MATCH(COLUMNS($AM$1006:AX1006),$AM$1006:$BM$1006,0)))),"Fix")))</f>
        <v xml:space="preserve"> </v>
      </c>
      <c r="N145" s="4" t="str">
        <f ca="1">IF(OR(INDEX($AG$2:$AG$1001,MATCH(ROWS($AF$2:AF145),$AF$2:$AF$1001,0),1)&gt;=100000,INDEX($AM$1005:$BM$1005,1,MATCH(COLUMNS($AM$1006:AY1006),$AM$1006:$BM$1006,0))&gt;=100000), " ",IF(INDEX($AM$2:$BM$1001,MATCH(ROWS($AF$2:AF145),$AF$2:$AF$1001,0),MATCH(COLUMNS($AM$1006:AY1006),$AM$1006:$BM$1006,0)), HYPERLINK("#",""), HYPERLINK(CONCATENATE("#metadata!", ADDRESS(INDEX($AH$2:$AH$1001,MATCH(ROWS($AF$2:AF145),$AF$2:$AF$1001,0),0), INDEX($AM$1004:$BM$1004,1,MATCH(COLUMNS($AM$1006:AY1006),$AM$1006:$BM$1006,0)))),"Fix")))</f>
        <v xml:space="preserve"> </v>
      </c>
      <c r="O145" s="4" t="str">
        <f ca="1">IF(OR(INDEX($AG$2:$AG$1001,MATCH(ROWS($AF$2:AF145),$AF$2:$AF$1001,0),1)&gt;=100000,INDEX($AM$1005:$BM$1005,1,MATCH(COLUMNS($AM$1006:AZ1006),$AM$1006:$BM$1006,0))&gt;=100000), " ",IF(INDEX($AM$2:$BM$1001,MATCH(ROWS($AF$2:AF145),$AF$2:$AF$1001,0),MATCH(COLUMNS($AM$1006:AZ1006),$AM$1006:$BM$1006,0)), HYPERLINK("#",""), HYPERLINK(CONCATENATE("#metadata!", ADDRESS(INDEX($AH$2:$AH$1001,MATCH(ROWS($AF$2:AF145),$AF$2:$AF$1001,0),0), INDEX($AM$1004:$BM$1004,1,MATCH(COLUMNS($AM$1006:AZ1006),$AM$1006:$BM$1006,0)))),"Fix")))</f>
        <v xml:space="preserve"> </v>
      </c>
      <c r="P145" s="4" t="str">
        <f ca="1">IF(OR(INDEX($AG$2:$AG$1001,MATCH(ROWS($AF$2:AF145),$AF$2:$AF$1001,0),1)&gt;=100000,INDEX($AM$1005:$BM$1005,1,MATCH(COLUMNS($AM$1006:BA1006),$AM$1006:$BM$1006,0))&gt;=100000), " ",IF(INDEX($AM$2:$BM$1001,MATCH(ROWS($AF$2:AF145),$AF$2:$AF$1001,0),MATCH(COLUMNS($AM$1006:BA1006),$AM$1006:$BM$1006,0)), HYPERLINK("#",""), HYPERLINK(CONCATENATE("#metadata!", ADDRESS(INDEX($AH$2:$AH$1001,MATCH(ROWS($AF$2:AF145),$AF$2:$AF$1001,0),0), INDEX($AM$1004:$BM$1004,1,MATCH(COLUMNS($AM$1006:BA1006),$AM$1006:$BM$1006,0)))),"Fix")))</f>
        <v xml:space="preserve"> </v>
      </c>
      <c r="Q145" s="4" t="str">
        <f ca="1">IF(OR(INDEX($AG$2:$AG$1001,MATCH(ROWS($AF$2:AF145),$AF$2:$AF$1001,0),1)&gt;=100000,INDEX($AM$1005:$BM$1005,1,MATCH(COLUMNS($AM$1006:BB1006),$AM$1006:$BM$1006,0))&gt;=100000), " ",IF(INDEX($AM$2:$BM$1001,MATCH(ROWS($AF$2:AF145),$AF$2:$AF$1001,0),MATCH(COLUMNS($AM$1006:BB1006),$AM$1006:$BM$1006,0)), HYPERLINK("#",""), HYPERLINK(CONCATENATE("#metadata!", ADDRESS(INDEX($AH$2:$AH$1001,MATCH(ROWS($AF$2:AF145),$AF$2:$AF$1001,0),0), INDEX($AM$1004:$BM$1004,1,MATCH(COLUMNS($AM$1006:BB1006),$AM$1006:$BM$1006,0)))),"Fix")))</f>
        <v xml:space="preserve"> </v>
      </c>
      <c r="R145" s="4" t="str">
        <f ca="1">IF(OR(INDEX($AG$2:$AG$1001,MATCH(ROWS($AF$2:AF145),$AF$2:$AF$1001,0),1)&gt;=100000,INDEX($AM$1005:$BM$1005,1,MATCH(COLUMNS($AM$1006:BC1006),$AM$1006:$BM$1006,0))&gt;=100000), " ",IF(INDEX($AM$2:$BM$1001,MATCH(ROWS($AF$2:AF145),$AF$2:$AF$1001,0),MATCH(COLUMNS($AM$1006:BC1006),$AM$1006:$BM$1006,0)), HYPERLINK("#",""), HYPERLINK(CONCATENATE("#metadata!", ADDRESS(INDEX($AH$2:$AH$1001,MATCH(ROWS($AF$2:AF145),$AF$2:$AF$1001,0),0), INDEX($AM$1004:$BM$1004,1,MATCH(COLUMNS($AM$1006:BC1006),$AM$1006:$BM$1006,0)))),"Fix")))</f>
        <v xml:space="preserve"> </v>
      </c>
      <c r="S145" s="4" t="str">
        <f ca="1">IF(OR(INDEX($AG$2:$AG$1001,MATCH(ROWS($AF$2:AF145),$AF$2:$AF$1001,0),1)&gt;=100000,INDEX($AM$1005:$BM$1005,1,MATCH(COLUMNS($AM$1006:BD1006),$AM$1006:$BM$1006,0))&gt;=100000), " ",IF(INDEX($AM$2:$BM$1001,MATCH(ROWS($AF$2:AF145),$AF$2:$AF$1001,0),MATCH(COLUMNS($AM$1006:BD1006),$AM$1006:$BM$1006,0)), HYPERLINK("#",""), HYPERLINK(CONCATENATE("#metadata!", ADDRESS(INDEX($AH$2:$AH$1001,MATCH(ROWS($AF$2:AF145),$AF$2:$AF$1001,0),0), INDEX($AM$1004:$BM$1004,1,MATCH(COLUMNS($AM$1006:BD1006),$AM$1006:$BM$1006,0)))),"Fix")))</f>
        <v xml:space="preserve"> </v>
      </c>
      <c r="T145" s="4" t="str">
        <f ca="1">IF(OR(INDEX($AG$2:$AG$1001,MATCH(ROWS($AF$2:AF145),$AF$2:$AF$1001,0),1)&gt;=100000,INDEX($AM$1005:$BM$1005,1,MATCH(COLUMNS($AM$1006:BE1006),$AM$1006:$BM$1006,0))&gt;=100000), " ",IF(INDEX($AM$2:$BM$1001,MATCH(ROWS($AF$2:AF145),$AF$2:$AF$1001,0),MATCH(COLUMNS($AM$1006:BE1006),$AM$1006:$BM$1006,0)), HYPERLINK("#",""), HYPERLINK(CONCATENATE("#metadata!", ADDRESS(INDEX($AH$2:$AH$1001,MATCH(ROWS($AF$2:AF145),$AF$2:$AF$1001,0),0), INDEX($AM$1004:$BM$1004,1,MATCH(COLUMNS($AM$1006:BE1006),$AM$1006:$BM$1006,0)))),"Fix")))</f>
        <v xml:space="preserve"> </v>
      </c>
      <c r="U145" s="4" t="str">
        <f ca="1">IF(OR(INDEX($AG$2:$AG$1001,MATCH(ROWS($AF$2:AF145),$AF$2:$AF$1001,0),1)&gt;=100000,INDEX($AM$1005:$BM$1005,1,MATCH(COLUMNS($AM$1006:BF1006),$AM$1006:$BM$1006,0))&gt;=100000), " ",IF(INDEX($AM$2:$BM$1001,MATCH(ROWS($AF$2:AF145),$AF$2:$AF$1001,0),MATCH(COLUMNS($AM$1006:BF1006),$AM$1006:$BM$1006,0)), HYPERLINK("#",""), HYPERLINK(CONCATENATE("#metadata!", ADDRESS(INDEX($AH$2:$AH$1001,MATCH(ROWS($AF$2:AF145),$AF$2:$AF$1001,0),0), INDEX($AM$1004:$BM$1004,1,MATCH(COLUMNS($AM$1006:BF1006),$AM$1006:$BM$1006,0)))),"Fix")))</f>
        <v xml:space="preserve"> </v>
      </c>
      <c r="V145" s="4" t="str">
        <f ca="1">IF(OR(INDEX($AG$2:$AG$1001,MATCH(ROWS($AF$2:AF145),$AF$2:$AF$1001,0),1)&gt;=100000,INDEX($AM$1005:$BM$1005,1,MATCH(COLUMNS($AM$1006:BG1006),$AM$1006:$BM$1006,0))&gt;=100000), " ",IF(INDEX($AM$2:$BM$1001,MATCH(ROWS($AF$2:AF145),$AF$2:$AF$1001,0),MATCH(COLUMNS($AM$1006:BG1006),$AM$1006:$BM$1006,0)), HYPERLINK("#",""), HYPERLINK(CONCATENATE("#metadata!", ADDRESS(INDEX($AH$2:$AH$1001,MATCH(ROWS($AF$2:AF145),$AF$2:$AF$1001,0),0), INDEX($AM$1004:$BM$1004,1,MATCH(COLUMNS($AM$1006:BG1006),$AM$1006:$BM$1006,0)))),"Fix")))</f>
        <v xml:space="preserve"> </v>
      </c>
      <c r="W145" s="4" t="str">
        <f ca="1">IF(OR(INDEX($AG$2:$AG$1001,MATCH(ROWS($AF$2:AF145),$AF$2:$AF$1001,0),1)&gt;=100000,INDEX($AM$1005:$BM$1005,1,MATCH(COLUMNS($AM$1006:BH1006),$AM$1006:$BM$1006,0))&gt;=100000), " ",IF(INDEX($AM$2:$BM$1001,MATCH(ROWS($AF$2:AF145),$AF$2:$AF$1001,0),MATCH(COLUMNS($AM$1006:BH1006),$AM$1006:$BM$1006,0)), HYPERLINK("#",""), HYPERLINK(CONCATENATE("#metadata!", ADDRESS(INDEX($AH$2:$AH$1001,MATCH(ROWS($AF$2:AF145),$AF$2:$AF$1001,0),0), INDEX($AM$1004:$BM$1004,1,MATCH(COLUMNS($AM$1006:BH1006),$AM$1006:$BM$1006,0)))),"Fix")))</f>
        <v xml:space="preserve"> </v>
      </c>
      <c r="X145" s="4" t="str">
        <f ca="1">IF(OR(INDEX($AG$2:$AG$1001,MATCH(ROWS($AF$2:AF145),$AF$2:$AF$1001,0),1)&gt;=100000,INDEX($AM$1005:$BM$1005,1,MATCH(COLUMNS($AM$1006:BI1006),$AM$1006:$BM$1006,0))&gt;=100000), " ",IF(INDEX($AM$2:$BM$1001,MATCH(ROWS($AF$2:AF145),$AF$2:$AF$1001,0),MATCH(COLUMNS($AM$1006:BI1006),$AM$1006:$BM$1006,0)), HYPERLINK("#",""), HYPERLINK(CONCATENATE("#metadata!", ADDRESS(INDEX($AH$2:$AH$1001,MATCH(ROWS($AF$2:AF145),$AF$2:$AF$1001,0),0), INDEX($AM$1004:$BM$1004,1,MATCH(COLUMNS($AM$1006:BI1006),$AM$1006:$BM$1006,0)))),"Fix")))</f>
        <v xml:space="preserve"> </v>
      </c>
      <c r="Y145" s="4" t="str">
        <f ca="1">IF(OR(INDEX($AG$2:$AG$1001,MATCH(ROWS($AF$2:AF145),$AF$2:$AF$1001,0),1)&gt;=100000,INDEX($AM$1005:$BM$1005,1,MATCH(COLUMNS($AM$1006:BJ1006),$AM$1006:$BM$1006,0))&gt;=100000), " ",IF(INDEX($AM$2:$BM$1001,MATCH(ROWS($AF$2:AF145),$AF$2:$AF$1001,0),MATCH(COLUMNS($AM$1006:BJ1006),$AM$1006:$BM$1006,0)), HYPERLINK("#",""), HYPERLINK(CONCATENATE("#metadata!", ADDRESS(INDEX($AH$2:$AH$1001,MATCH(ROWS($AF$2:AF145),$AF$2:$AF$1001,0),0), INDEX($AM$1004:$BM$1004,1,MATCH(COLUMNS($AM$1006:BJ1006),$AM$1006:$BM$1006,0)))),"Fix")))</f>
        <v xml:space="preserve"> </v>
      </c>
      <c r="Z145" s="4" t="str">
        <f ca="1">IF(OR(INDEX($AG$2:$AG$1001,MATCH(ROWS($AF$2:AF145),$AF$2:$AF$1001,0),1)&gt;=100000,INDEX($AM$1005:$BM$1005,1,MATCH(COLUMNS($AM$1006:BK1006),$AM$1006:$BM$1006,0))&gt;=100000), " ",IF(INDEX($AM$2:$BM$1001,MATCH(ROWS($AF$2:AF145),$AF$2:$AF$1001,0),MATCH(COLUMNS($AM$1006:BK1006),$AM$1006:$BM$1006,0)), HYPERLINK("#",""), HYPERLINK(CONCATENATE("#metadata!", ADDRESS(INDEX($AH$2:$AH$1001,MATCH(ROWS($AF$2:AF145),$AF$2:$AF$1001,0),0), INDEX($AM$1004:$BM$1004,1,MATCH(COLUMNS($AM$1006:BK1006),$AM$1006:$BM$1006,0)))),"Fix")))</f>
        <v xml:space="preserve"> </v>
      </c>
      <c r="AA145" s="4" t="str">
        <f ca="1">IF(OR(INDEX($AG$2:$AG$1001,MATCH(ROWS($AF$2:AF145),$AF$2:$AF$1001,0),1)&gt;=100000,INDEX($AM$1005:$BM$1005,1,MATCH(COLUMNS($AM$1006:BL1006),$AM$1006:$BM$1006,0))&gt;=100000), " ",IF(INDEX($AM$2:$BM$1001,MATCH(ROWS($AF$2:AF145),$AF$2:$AF$1001,0),MATCH(COLUMNS($AM$1006:BL1006),$AM$1006:$BM$1006,0)), HYPERLINK("#",""), HYPERLINK(CONCATENATE("#metadata!", ADDRESS(INDEX($AH$2:$AH$1001,MATCH(ROWS($AF$2:AF145),$AF$2:$AF$1001,0),0), INDEX($AM$1004:$BM$1004,1,MATCH(COLUMNS($AM$1006:BL1006),$AM$1006:$BM$1006,0)))),"Fix")))</f>
        <v xml:space="preserve"> </v>
      </c>
      <c r="AB145" s="4" t="str">
        <f ca="1">IF(OR(INDEX($AG$2:$AG$1001,MATCH(ROWS($AF$2:AF145),$AF$2:$AF$1001,0),1)&gt;=100000,INDEX($AM$1005:$BM$1005,1,MATCH(COLUMNS($AM$1006:BM1006),$AM$1006:$BM$1006,0))&gt;=100000), " ",IF(INDEX($AM$2:$BM$1001,MATCH(ROWS($AF$2:AF145),$AF$2:$AF$1001,0),MATCH(COLUMNS($AM$1006:BM1006),$AM$1006:$BM$1006,0)), HYPERLINK("#",""), HYPERLINK(CONCATENATE("#metadata!", ADDRESS(INDEX($AH$2:$AH$1001,MATCH(ROWS($AF$2:AF145),$AF$2:$AF$1001,0),0), INDEX($AM$1004:$BM$1004,1,MATCH(COLUMNS($AM$1006:BM1006),$AM$1006:$BM$1006,0)))),"Fix")))</f>
        <v xml:space="preserve"> </v>
      </c>
      <c r="AF145">
        <v>144</v>
      </c>
      <c r="AG145">
        <v>100145</v>
      </c>
      <c r="AH145">
        <v>145</v>
      </c>
      <c r="AI145" t="b">
        <f t="shared" si="2"/>
        <v>1</v>
      </c>
      <c r="AJ145" t="b">
        <f>COUNTBLANK(metadata!B145:AB145)=COLUMNS(metadata!B145:AB145)</f>
        <v>1</v>
      </c>
      <c r="AK145" t="str">
        <v/>
      </c>
      <c r="AM145" t="b">
        <f ca="1">AND(IF(metadata!B145="",FALSE,TRUE),COUNTIF(metadata!B:B, metadata!B145) = 1,NOT(ISERROR(SUMPRODUCT(SEARCH(MID(metadata!B145,ROW(INDIRECT("1:"&amp;LEN(metadata!B145))), 1),"0123456789abcdefghijklmnopqrstuvwxyzABCDEFGHIJKLMNOPQRSTUVWXYZ.")))))</f>
        <v>0</v>
      </c>
      <c r="AN145" t="b">
        <f ca="1">OR(AND(IF(metadata!C145="",FALSE,TRUE),OR(EXACT(metadata!C145,"missing: not collected"),EXACT(metadata!C145,"missing: not provided"),EXACT(metadata!C145,"missing: restricted access"))),AND(IF(metadata!C145="",FALSE,TRUE),AND(AND(IFERROR(INT(LEFT(metadata!C145,4))&gt;1900,FALSE),IFERROR(INT(LEFT(metadata!C145,4))&lt;=YEAR(NOW()),FALSE)), OR(MID(metadata!C145,5,1)="", AND(AND(MID(metadata!C145,5,1)="-",IFERROR(INT(MID(metadata!C145,6,1))&gt;=0,FALSE),IFERROR(INT(MID(metadata!C145,6,1))&lt;=1,FALSE),NOT(MID(metadata!C145,7,1)=""),IFERROR(INT(MID(metadata!C145,6,2))&gt;=1,FALSE),IFERROR(INT(MID(metadata!C145,6,2))&lt;=12,FALSE)), OR(MID(metadata!C145,8,1)="", AND(AND(MID(metadata!C145,8,1)="-",IFERROR(INT(MID(metadata!C145,9,1))&gt;=0,FALSE),IFERROR(INT(MID(metadata!C145,9,1))&lt;=3,FALSE),NOT(MID(metadata!C145,10,1)=""),IFERROR(INT(MID(metadata!C145,9,2))&gt;=1,FALSE),IFERROR(INT(MID(metadata!C145,9,2))&lt;=31,FALSE)), OR(MID(metadata!C145,11,1)="", AND(AND(MID(metadata!C145,11,1)=" ",IFERROR(INT(MID(metadata!C145,12,1))&gt;=0,FALSE),IFERROR(INT(MID(metadata!C145,12,1))&lt;=2,FALSE),NOT(MID(metadata!C145,13,1)=""),IFERROR(INT(MID(metadata!C145,12,2))&gt;=0,FALSE),IFERROR(INT(MID(metadata!C145,12,2))&lt;=23,FALSE)), OR(MID(metadata!C145,14,1)="", AND(AND(MID(metadata!C145,14,1)=":",IFERROR(INT(MID(metadata!C145,15,1))&gt;=0,FALSE),IFERROR(INT(MID(metadata!C145,15,1))&lt;=5,FALSE),NOT(MID(metadata!C145,16,1)=""),IFERROR(INT(MID(metadata!C145,15,2))&gt;=0,FALSE),IFERROR(INT(MID(metadata!C145,15,2))&lt;=59,FALSE)), OR(MID(metadata!C145,17,1)="", AND(AND(MID(metadata!C145,17,1)=":",IFERROR(INT(MID(metadata!C145,18,1))&gt;=0,FALSE),IFERROR(INT(MID(metadata!C145,18,1))&lt;=5,FALSE),NOT(MID(metadata!C145,19,1)=""),IFERROR(INT(MID(metadata!C145,18,2))&gt;=0,FALSE),IFERROR(INT(MID(metadata!C145,18,2))&lt;=59,FALSE)), LEN(metadata!C145)&lt;=19)))))))))))))</f>
        <v>0</v>
      </c>
      <c r="AO145" t="b">
        <f>AND(IF(metadata!D145="",FALSE,TRUE),EXACT(metadata!D145,"Not applicable"))</f>
        <v>0</v>
      </c>
      <c r="AP145" t="b">
        <f>IF(metadata!E145="",FALSE,TRUE)</f>
        <v>0</v>
      </c>
      <c r="AQ145" t="b">
        <f>OR(AND(IF(metadata!F145="",FALSE,TRUE),OR(EXACT(metadata!F145,"missing: not collected"),EXACT(metadata!F145,"missing: not provided"))),AND(IF(metadata!F145="",FALSE,TRUE),OR(EXACT(metadata!F145,"TRUE"),EXACT(metadata!F145,"FALSE"))))</f>
        <v>0</v>
      </c>
      <c r="AR145" t="b">
        <f>OR(AND(IF(metadata!G145="",FALSE,TRUE),OR(EXACT(metadata!G145,"missing: not collected"),EXACT(metadata!G145,"missing: not provided"),EXACT(metadata!G145,"missing: restricted access"))),AND(IF(metadata!G145="",FALSE,ISNUMBER(VALUE(metadata!G145))),metadata!G145&gt;=-413))</f>
        <v>0</v>
      </c>
      <c r="AS145" t="b">
        <f>AND(IF(metadata!H145="",FALSE,TRUE),EXACT(metadata!H145,"meters"))</f>
        <v>0</v>
      </c>
      <c r="AT145" t="b">
        <f>AND(IF(metadata!I145="",FALSE,TRUE),OR(EXACT(metadata!I145,"Host-associated"),EXACT(metadata!I145,"Free-living")))</f>
        <v>0</v>
      </c>
      <c r="AU145" t="b">
        <f>AND(IF(metadata!J145="",FALSE,TRUE),OR(EXACT(metadata!J145,"Animal"),EXACT(metadata!J145,"Fungus"),EXACT(metadata!J145,"Plant"),EXACT(metadata!J145,"Saline"),EXACT(metadata!J145,"Non-saline")))</f>
        <v>0</v>
      </c>
      <c r="AV145" t="b">
        <f>AND(IF(metadata!K145="",FALSE,TRUE),OR(EXACT(metadata!K145,"Plant secretion"),EXACT(metadata!K145,"Plant rhizosphere"),EXACT(metadata!K145,"Plant surface"),EXACT(metadata!K145,"Plant corpus"),EXACT(metadata!K145,"Fungus surface"),EXACT(metadata!K145,"Fungus corpus"),EXACT(metadata!K145,"Animal surface"),EXACT(metadata!K145,"Animal proximal gut"),EXACT(metadata!K145,"Animal corpus"),EXACT(metadata!K145,"Animal distal gut"),EXACT(metadata!K145,"Animal secretion"),EXACT(metadata!K145,"Sub-surface (non-saline)"),EXACT(metadata!K145,"Surface (non-saline)"),EXACT(metadata!K145,"Water (non-saline)"),EXACT(metadata!K145,"Soil (non-saline)"),EXACT(metadata!K145,"Aerosol (non-saline)"),EXACT(metadata!K145,"Sediment (non-saline)"),EXACT(metadata!K145,"Surface (saline)"),EXACT(metadata!K145,"Water (saline)"),EXACT(metadata!K145,"Hypersaline (saline)"),EXACT(metadata!K145,"Aerosol (saline)"),EXACT(metadata!K145,"Sediment (saline)")))</f>
        <v>0</v>
      </c>
      <c r="AW145" t="b">
        <f>IF(metadata!L145="",FALSE,TRUE)</f>
        <v>0</v>
      </c>
      <c r="AX145" t="b">
        <f>IF(metadata!M145="",FALSE,TRUE)</f>
        <v>0</v>
      </c>
      <c r="AY145" t="b">
        <f>IF(metadata!N145="",FALSE,TRUE)</f>
        <v>0</v>
      </c>
      <c r="AZ145" t="b">
        <f>OR(AND(IF(metadata!O145="",FALSE,TRUE),OR(EXACT(metadata!O145,"missing: not collected"),EXACT(metadata!O145,"missing: not provided"),EXACT(metadata!O145,"missing: restricted access"))),AND(IF(metadata!O145="",FALSE,TRUE),OR(EXACT(metadata!O145,"air"),EXACT(metadata!O145,"built environment"),EXACT(metadata!O145,"host-associated"),EXACT(metadata!O145,"human-associated"),EXACT(metadata!O145,"human-skin"),EXACT(metadata!O145,"human-oral"),EXACT(metadata!O145,"human-gut"),EXACT(metadata!O145,"human-vaginal"),EXACT(metadata!O145,"microbial mat/biofilm"),EXACT(metadata!O145,"misc environment"),EXACT(metadata!O145,"plant-associated"),EXACT(metadata!O145,"sediment"),EXACT(metadata!O145,"soil"),EXACT(metadata!O145,"wastewater/sludge"),EXACT(metadata!O145,"water"))))</f>
        <v>0</v>
      </c>
      <c r="BA145" t="b">
        <f>IF(metadata!P145="",FALSE,TRUE)</f>
        <v>0</v>
      </c>
      <c r="BB145" t="b">
        <f>IF(metadata!Q145="",FALSE,TRUE)</f>
        <v>0</v>
      </c>
      <c r="BC145" t="b">
        <f>OR(AND(IF(metadata!R145="",FALSE,TRUE),OR(EXACT(metadata!R145,"missing: not collected"),EXACT(metadata!R145,"missing: not provided"),EXACT(metadata!R145,"missing: restricted access"))),AND(IF(metadata!R145="",FALSE,ISNUMBER(VALUE(metadata!R145))),metadata!R145&gt;=-90,metadata!R145&lt;=90))</f>
        <v>0</v>
      </c>
      <c r="BD145" t="b">
        <f>AND(IF(metadata!S145="",FALSE,TRUE),EXACT(metadata!S145,"Decimal degrees"))</f>
        <v>0</v>
      </c>
      <c r="BE145" t="b">
        <f>OR(AND(IF(metadata!T145="",FALSE,TRUE),OR(EXACT(metadata!T145,"missing: not collected"),EXACT(metadata!T145,"missing: not provided"),EXACT(metadata!T145,"missing: restricted access"))),AND(IF(metadata!T145="",FALSE,ISNUMBER(VALUE(metadata!T145))),metadata!T145&gt;=-180,metadata!T145&lt;=180))</f>
        <v>0</v>
      </c>
      <c r="BF145" t="b">
        <f>AND(IF(metadata!U145="",FALSE,TRUE),EXACT(metadata!U145,"Decimal degrees"))</f>
        <v>0</v>
      </c>
      <c r="BG145" t="b">
        <f>IF(metadata!V145="",FALSE,TRUE)</f>
        <v>0</v>
      </c>
      <c r="BH145" t="b">
        <f>OR(AND(IF(metadata!W145="",FALSE,TRUE),OR(EXACT(metadata!W145,"missing: not collected"),EXACT(metadata!W145,"missing: not provided"),EXACT(metadata!W145,"missing: restricted access"))),AND(IF(metadata!W145="",FALSE,TRUE),OR(EXACT(metadata!W145,"TRUE"),EXACT(metadata!W145,"FALSE"))))</f>
        <v>0</v>
      </c>
      <c r="BI145" t="b">
        <f>AND(IF(metadata!X145="",FALSE,TRUE),EXACT(metadata!X145,"other"))</f>
        <v>0</v>
      </c>
      <c r="BJ145" t="b">
        <f>IF(metadata!Y145="",FALSE,TRUE)</f>
        <v>0</v>
      </c>
      <c r="BK145" t="b">
        <f>OR(AND(IF(metadata!Z145="",FALSE,TRUE),OR(EXACT(metadata!Z145,"missing: not collected"),EXACT(metadata!Z145,"missing: not provided"))),AND(IF(metadata!Z145="",FALSE,IF(ISERROR(INT(metadata!Z145)),FALSE,INT(metadata!Z145)=metadata!Z145)),metadata!Z145&gt;0))</f>
        <v>0</v>
      </c>
      <c r="BL145" t="b">
        <f>AND(IF(metadata!AA145="",FALSE,TRUE),EXACT(metadata!AA145,"Not applicable"))</f>
        <v>0</v>
      </c>
      <c r="BM145" t="b">
        <f>IF(metadata!AB145="",FALSE,TRUE)</f>
        <v>0</v>
      </c>
    </row>
    <row r="146" spans="1:65" x14ac:dyDescent="0.2">
      <c r="A146" s="5" t="str">
        <f ca="1">IF(B146=" "," ",HYPERLINK(CONCATENATE("#metadata!",ADDRESS(INDEX($AH$2:$AH$1001,MATCH(ROWS($AF$2:AF146),$AF$2:$AF$1001,0),0),1)),INDEX($AK$2:$AK$1001,MATCH(ROWS($AF$2:AF146),$AF$2:$AF$1001,0),0)))</f>
        <v xml:space="preserve"> </v>
      </c>
      <c r="B146" s="4" t="str">
        <f ca="1">IF(OR(INDEX($AG$2:$AG$1001,MATCH(ROWS($AF$2:AF146),$AF$2:$AF$1001,0),1)&gt;=100000,INDEX($AM$1005:$BM$1005,1,MATCH(COLUMNS($AM$1006:AM1006),$AM$1006:$BM$1006,0))&gt;=100000), " ",IF(INDEX($AM$2:$BM$1001,MATCH(ROWS($AF$2:AF146),$AF$2:$AF$1001,0),MATCH(COLUMNS($AM$1006:AM1006),$AM$1006:$BM$1006,0)), HYPERLINK("#",""), HYPERLINK(CONCATENATE("#metadata!", ADDRESS(INDEX($AH$2:$AH$1001,MATCH(ROWS($AF$2:AF146),$AF$2:$AF$1001,0),0), INDEX($AM$1004:$BM$1004,1,MATCH(COLUMNS($AM$1006:AM1006),$AM$1006:$BM$1006,0)))),"Fix")))</f>
        <v xml:space="preserve"> </v>
      </c>
      <c r="C146" s="4" t="str">
        <f ca="1">IF(OR(INDEX($AG$2:$AG$1001,MATCH(ROWS($AF$2:AF146),$AF$2:$AF$1001,0),1)&gt;=100000,INDEX($AM$1005:$BM$1005,1,MATCH(COLUMNS($AM$1006:AN1006),$AM$1006:$BM$1006,0))&gt;=100000), " ",IF(INDEX($AM$2:$BM$1001,MATCH(ROWS($AF$2:AF146),$AF$2:$AF$1001,0),MATCH(COLUMNS($AM$1006:AN1006),$AM$1006:$BM$1006,0)), HYPERLINK("#",""), HYPERLINK(CONCATENATE("#metadata!", ADDRESS(INDEX($AH$2:$AH$1001,MATCH(ROWS($AF$2:AF146),$AF$2:$AF$1001,0),0), INDEX($AM$1004:$BM$1004,1,MATCH(COLUMNS($AM$1006:AN1006),$AM$1006:$BM$1006,0)))),"Fix")))</f>
        <v xml:space="preserve"> </v>
      </c>
      <c r="D146" s="4" t="str">
        <f ca="1">IF(OR(INDEX($AG$2:$AG$1001,MATCH(ROWS($AF$2:AF146),$AF$2:$AF$1001,0),1)&gt;=100000,INDEX($AM$1005:$BM$1005,1,MATCH(COLUMNS($AM$1006:AO1006),$AM$1006:$BM$1006,0))&gt;=100000), " ",IF(INDEX($AM$2:$BM$1001,MATCH(ROWS($AF$2:AF146),$AF$2:$AF$1001,0),MATCH(COLUMNS($AM$1006:AO1006),$AM$1006:$BM$1006,0)), HYPERLINK("#",""), HYPERLINK(CONCATENATE("#metadata!", ADDRESS(INDEX($AH$2:$AH$1001,MATCH(ROWS($AF$2:AF146),$AF$2:$AF$1001,0),0), INDEX($AM$1004:$BM$1004,1,MATCH(COLUMNS($AM$1006:AO1006),$AM$1006:$BM$1006,0)))),"Fix")))</f>
        <v xml:space="preserve"> </v>
      </c>
      <c r="E146" s="4" t="str">
        <f ca="1">IF(OR(INDEX($AG$2:$AG$1001,MATCH(ROWS($AF$2:AF146),$AF$2:$AF$1001,0),1)&gt;=100000,INDEX($AM$1005:$BM$1005,1,MATCH(COLUMNS($AM$1006:AP1006),$AM$1006:$BM$1006,0))&gt;=100000), " ",IF(INDEX($AM$2:$BM$1001,MATCH(ROWS($AF$2:AF146),$AF$2:$AF$1001,0),MATCH(COLUMNS($AM$1006:AP1006),$AM$1006:$BM$1006,0)), HYPERLINK("#",""), HYPERLINK(CONCATENATE("#metadata!", ADDRESS(INDEX($AH$2:$AH$1001,MATCH(ROWS($AF$2:AF146),$AF$2:$AF$1001,0),0), INDEX($AM$1004:$BM$1004,1,MATCH(COLUMNS($AM$1006:AP1006),$AM$1006:$BM$1006,0)))),"Fix")))</f>
        <v xml:space="preserve"> </v>
      </c>
      <c r="F146" s="4" t="str">
        <f ca="1">IF(OR(INDEX($AG$2:$AG$1001,MATCH(ROWS($AF$2:AF146),$AF$2:$AF$1001,0),1)&gt;=100000,INDEX($AM$1005:$BM$1005,1,MATCH(COLUMNS($AM$1006:AQ1006),$AM$1006:$BM$1006,0))&gt;=100000), " ",IF(INDEX($AM$2:$BM$1001,MATCH(ROWS($AF$2:AF146),$AF$2:$AF$1001,0),MATCH(COLUMNS($AM$1006:AQ1006),$AM$1006:$BM$1006,0)), HYPERLINK("#",""), HYPERLINK(CONCATENATE("#metadata!", ADDRESS(INDEX($AH$2:$AH$1001,MATCH(ROWS($AF$2:AF146),$AF$2:$AF$1001,0),0), INDEX($AM$1004:$BM$1004,1,MATCH(COLUMNS($AM$1006:AQ1006),$AM$1006:$BM$1006,0)))),"Fix")))</f>
        <v xml:space="preserve"> </v>
      </c>
      <c r="G146" s="4" t="str">
        <f ca="1">IF(OR(INDEX($AG$2:$AG$1001,MATCH(ROWS($AF$2:AF146),$AF$2:$AF$1001,0),1)&gt;=100000,INDEX($AM$1005:$BM$1005,1,MATCH(COLUMNS($AM$1006:AR1006),$AM$1006:$BM$1006,0))&gt;=100000), " ",IF(INDEX($AM$2:$BM$1001,MATCH(ROWS($AF$2:AF146),$AF$2:$AF$1001,0),MATCH(COLUMNS($AM$1006:AR1006),$AM$1006:$BM$1006,0)), HYPERLINK("#",""), HYPERLINK(CONCATENATE("#metadata!", ADDRESS(INDEX($AH$2:$AH$1001,MATCH(ROWS($AF$2:AF146),$AF$2:$AF$1001,0),0), INDEX($AM$1004:$BM$1004,1,MATCH(COLUMNS($AM$1006:AR1006),$AM$1006:$BM$1006,0)))),"Fix")))</f>
        <v xml:space="preserve"> </v>
      </c>
      <c r="H146" s="4" t="str">
        <f ca="1">IF(OR(INDEX($AG$2:$AG$1001,MATCH(ROWS($AF$2:AF146),$AF$2:$AF$1001,0),1)&gt;=100000,INDEX($AM$1005:$BM$1005,1,MATCH(COLUMNS($AM$1006:AS1006),$AM$1006:$BM$1006,0))&gt;=100000), " ",IF(INDEX($AM$2:$BM$1001,MATCH(ROWS($AF$2:AF146),$AF$2:$AF$1001,0),MATCH(COLUMNS($AM$1006:AS1006),$AM$1006:$BM$1006,0)), HYPERLINK("#",""), HYPERLINK(CONCATENATE("#metadata!", ADDRESS(INDEX($AH$2:$AH$1001,MATCH(ROWS($AF$2:AF146),$AF$2:$AF$1001,0),0), INDEX($AM$1004:$BM$1004,1,MATCH(COLUMNS($AM$1006:AS1006),$AM$1006:$BM$1006,0)))),"Fix")))</f>
        <v xml:space="preserve"> </v>
      </c>
      <c r="I146" s="4" t="str">
        <f ca="1">IF(OR(INDEX($AG$2:$AG$1001,MATCH(ROWS($AF$2:AF146),$AF$2:$AF$1001,0),1)&gt;=100000,INDEX($AM$1005:$BM$1005,1,MATCH(COLUMNS($AM$1006:AT1006),$AM$1006:$BM$1006,0))&gt;=100000), " ",IF(INDEX($AM$2:$BM$1001,MATCH(ROWS($AF$2:AF146),$AF$2:$AF$1001,0),MATCH(COLUMNS($AM$1006:AT1006),$AM$1006:$BM$1006,0)), HYPERLINK("#",""), HYPERLINK(CONCATENATE("#metadata!", ADDRESS(INDEX($AH$2:$AH$1001,MATCH(ROWS($AF$2:AF146),$AF$2:$AF$1001,0),0), INDEX($AM$1004:$BM$1004,1,MATCH(COLUMNS($AM$1006:AT1006),$AM$1006:$BM$1006,0)))),"Fix")))</f>
        <v xml:space="preserve"> </v>
      </c>
      <c r="J146" s="4" t="str">
        <f ca="1">IF(OR(INDEX($AG$2:$AG$1001,MATCH(ROWS($AF$2:AF146),$AF$2:$AF$1001,0),1)&gt;=100000,INDEX($AM$1005:$BM$1005,1,MATCH(COLUMNS($AM$1006:AU1006),$AM$1006:$BM$1006,0))&gt;=100000), " ",IF(INDEX($AM$2:$BM$1001,MATCH(ROWS($AF$2:AF146),$AF$2:$AF$1001,0),MATCH(COLUMNS($AM$1006:AU1006),$AM$1006:$BM$1006,0)), HYPERLINK("#",""), HYPERLINK(CONCATENATE("#metadata!", ADDRESS(INDEX($AH$2:$AH$1001,MATCH(ROWS($AF$2:AF146),$AF$2:$AF$1001,0),0), INDEX($AM$1004:$BM$1004,1,MATCH(COLUMNS($AM$1006:AU1006),$AM$1006:$BM$1006,0)))),"Fix")))</f>
        <v xml:space="preserve"> </v>
      </c>
      <c r="K146" s="4" t="str">
        <f ca="1">IF(OR(INDEX($AG$2:$AG$1001,MATCH(ROWS($AF$2:AF146),$AF$2:$AF$1001,0),1)&gt;=100000,INDEX($AM$1005:$BM$1005,1,MATCH(COLUMNS($AM$1006:AV1006),$AM$1006:$BM$1006,0))&gt;=100000), " ",IF(INDEX($AM$2:$BM$1001,MATCH(ROWS($AF$2:AF146),$AF$2:$AF$1001,0),MATCH(COLUMNS($AM$1006:AV1006),$AM$1006:$BM$1006,0)), HYPERLINK("#",""), HYPERLINK(CONCATENATE("#metadata!", ADDRESS(INDEX($AH$2:$AH$1001,MATCH(ROWS($AF$2:AF146),$AF$2:$AF$1001,0),0), INDEX($AM$1004:$BM$1004,1,MATCH(COLUMNS($AM$1006:AV1006),$AM$1006:$BM$1006,0)))),"Fix")))</f>
        <v xml:space="preserve"> </v>
      </c>
      <c r="L146" s="4" t="str">
        <f ca="1">IF(OR(INDEX($AG$2:$AG$1001,MATCH(ROWS($AF$2:AF146),$AF$2:$AF$1001,0),1)&gt;=100000,INDEX($AM$1005:$BM$1005,1,MATCH(COLUMNS($AM$1006:AW1006),$AM$1006:$BM$1006,0))&gt;=100000), " ",IF(INDEX($AM$2:$BM$1001,MATCH(ROWS($AF$2:AF146),$AF$2:$AF$1001,0),MATCH(COLUMNS($AM$1006:AW1006),$AM$1006:$BM$1006,0)), HYPERLINK("#",""), HYPERLINK(CONCATENATE("#metadata!", ADDRESS(INDEX($AH$2:$AH$1001,MATCH(ROWS($AF$2:AF146),$AF$2:$AF$1001,0),0), INDEX($AM$1004:$BM$1004,1,MATCH(COLUMNS($AM$1006:AW1006),$AM$1006:$BM$1006,0)))),"Fix")))</f>
        <v xml:space="preserve"> </v>
      </c>
      <c r="M146" s="4" t="str">
        <f ca="1">IF(OR(INDEX($AG$2:$AG$1001,MATCH(ROWS($AF$2:AF146),$AF$2:$AF$1001,0),1)&gt;=100000,INDEX($AM$1005:$BM$1005,1,MATCH(COLUMNS($AM$1006:AX1006),$AM$1006:$BM$1006,0))&gt;=100000), " ",IF(INDEX($AM$2:$BM$1001,MATCH(ROWS($AF$2:AF146),$AF$2:$AF$1001,0),MATCH(COLUMNS($AM$1006:AX1006),$AM$1006:$BM$1006,0)), HYPERLINK("#",""), HYPERLINK(CONCATENATE("#metadata!", ADDRESS(INDEX($AH$2:$AH$1001,MATCH(ROWS($AF$2:AF146),$AF$2:$AF$1001,0),0), INDEX($AM$1004:$BM$1004,1,MATCH(COLUMNS($AM$1006:AX1006),$AM$1006:$BM$1006,0)))),"Fix")))</f>
        <v xml:space="preserve"> </v>
      </c>
      <c r="N146" s="4" t="str">
        <f ca="1">IF(OR(INDEX($AG$2:$AG$1001,MATCH(ROWS($AF$2:AF146),$AF$2:$AF$1001,0),1)&gt;=100000,INDEX($AM$1005:$BM$1005,1,MATCH(COLUMNS($AM$1006:AY1006),$AM$1006:$BM$1006,0))&gt;=100000), " ",IF(INDEX($AM$2:$BM$1001,MATCH(ROWS($AF$2:AF146),$AF$2:$AF$1001,0),MATCH(COLUMNS($AM$1006:AY1006),$AM$1006:$BM$1006,0)), HYPERLINK("#",""), HYPERLINK(CONCATENATE("#metadata!", ADDRESS(INDEX($AH$2:$AH$1001,MATCH(ROWS($AF$2:AF146),$AF$2:$AF$1001,0),0), INDEX($AM$1004:$BM$1004,1,MATCH(COLUMNS($AM$1006:AY1006),$AM$1006:$BM$1006,0)))),"Fix")))</f>
        <v xml:space="preserve"> </v>
      </c>
      <c r="O146" s="4" t="str">
        <f ca="1">IF(OR(INDEX($AG$2:$AG$1001,MATCH(ROWS($AF$2:AF146),$AF$2:$AF$1001,0),1)&gt;=100000,INDEX($AM$1005:$BM$1005,1,MATCH(COLUMNS($AM$1006:AZ1006),$AM$1006:$BM$1006,0))&gt;=100000), " ",IF(INDEX($AM$2:$BM$1001,MATCH(ROWS($AF$2:AF146),$AF$2:$AF$1001,0),MATCH(COLUMNS($AM$1006:AZ1006),$AM$1006:$BM$1006,0)), HYPERLINK("#",""), HYPERLINK(CONCATENATE("#metadata!", ADDRESS(INDEX($AH$2:$AH$1001,MATCH(ROWS($AF$2:AF146),$AF$2:$AF$1001,0),0), INDEX($AM$1004:$BM$1004,1,MATCH(COLUMNS($AM$1006:AZ1006),$AM$1006:$BM$1006,0)))),"Fix")))</f>
        <v xml:space="preserve"> </v>
      </c>
      <c r="P146" s="4" t="str">
        <f ca="1">IF(OR(INDEX($AG$2:$AG$1001,MATCH(ROWS($AF$2:AF146),$AF$2:$AF$1001,0),1)&gt;=100000,INDEX($AM$1005:$BM$1005,1,MATCH(COLUMNS($AM$1006:BA1006),$AM$1006:$BM$1006,0))&gt;=100000), " ",IF(INDEX($AM$2:$BM$1001,MATCH(ROWS($AF$2:AF146),$AF$2:$AF$1001,0),MATCH(COLUMNS($AM$1006:BA1006),$AM$1006:$BM$1006,0)), HYPERLINK("#",""), HYPERLINK(CONCATENATE("#metadata!", ADDRESS(INDEX($AH$2:$AH$1001,MATCH(ROWS($AF$2:AF146),$AF$2:$AF$1001,0),0), INDEX($AM$1004:$BM$1004,1,MATCH(COLUMNS($AM$1006:BA1006),$AM$1006:$BM$1006,0)))),"Fix")))</f>
        <v xml:space="preserve"> </v>
      </c>
      <c r="Q146" s="4" t="str">
        <f ca="1">IF(OR(INDEX($AG$2:$AG$1001,MATCH(ROWS($AF$2:AF146),$AF$2:$AF$1001,0),1)&gt;=100000,INDEX($AM$1005:$BM$1005,1,MATCH(COLUMNS($AM$1006:BB1006),$AM$1006:$BM$1006,0))&gt;=100000), " ",IF(INDEX($AM$2:$BM$1001,MATCH(ROWS($AF$2:AF146),$AF$2:$AF$1001,0),MATCH(COLUMNS($AM$1006:BB1006),$AM$1006:$BM$1006,0)), HYPERLINK("#",""), HYPERLINK(CONCATENATE("#metadata!", ADDRESS(INDEX($AH$2:$AH$1001,MATCH(ROWS($AF$2:AF146),$AF$2:$AF$1001,0),0), INDEX($AM$1004:$BM$1004,1,MATCH(COLUMNS($AM$1006:BB1006),$AM$1006:$BM$1006,0)))),"Fix")))</f>
        <v xml:space="preserve"> </v>
      </c>
      <c r="R146" s="4" t="str">
        <f ca="1">IF(OR(INDEX($AG$2:$AG$1001,MATCH(ROWS($AF$2:AF146),$AF$2:$AF$1001,0),1)&gt;=100000,INDEX($AM$1005:$BM$1005,1,MATCH(COLUMNS($AM$1006:BC1006),$AM$1006:$BM$1006,0))&gt;=100000), " ",IF(INDEX($AM$2:$BM$1001,MATCH(ROWS($AF$2:AF146),$AF$2:$AF$1001,0),MATCH(COLUMNS($AM$1006:BC1006),$AM$1006:$BM$1006,0)), HYPERLINK("#",""), HYPERLINK(CONCATENATE("#metadata!", ADDRESS(INDEX($AH$2:$AH$1001,MATCH(ROWS($AF$2:AF146),$AF$2:$AF$1001,0),0), INDEX($AM$1004:$BM$1004,1,MATCH(COLUMNS($AM$1006:BC1006),$AM$1006:$BM$1006,0)))),"Fix")))</f>
        <v xml:space="preserve"> </v>
      </c>
      <c r="S146" s="4" t="str">
        <f ca="1">IF(OR(INDEX($AG$2:$AG$1001,MATCH(ROWS($AF$2:AF146),$AF$2:$AF$1001,0),1)&gt;=100000,INDEX($AM$1005:$BM$1005,1,MATCH(COLUMNS($AM$1006:BD1006),$AM$1006:$BM$1006,0))&gt;=100000), " ",IF(INDEX($AM$2:$BM$1001,MATCH(ROWS($AF$2:AF146),$AF$2:$AF$1001,0),MATCH(COLUMNS($AM$1006:BD1006),$AM$1006:$BM$1006,0)), HYPERLINK("#",""), HYPERLINK(CONCATENATE("#metadata!", ADDRESS(INDEX($AH$2:$AH$1001,MATCH(ROWS($AF$2:AF146),$AF$2:$AF$1001,0),0), INDEX($AM$1004:$BM$1004,1,MATCH(COLUMNS($AM$1006:BD1006),$AM$1006:$BM$1006,0)))),"Fix")))</f>
        <v xml:space="preserve"> </v>
      </c>
      <c r="T146" s="4" t="str">
        <f ca="1">IF(OR(INDEX($AG$2:$AG$1001,MATCH(ROWS($AF$2:AF146),$AF$2:$AF$1001,0),1)&gt;=100000,INDEX($AM$1005:$BM$1005,1,MATCH(COLUMNS($AM$1006:BE1006),$AM$1006:$BM$1006,0))&gt;=100000), " ",IF(INDEX($AM$2:$BM$1001,MATCH(ROWS($AF$2:AF146),$AF$2:$AF$1001,0),MATCH(COLUMNS($AM$1006:BE1006),$AM$1006:$BM$1006,0)), HYPERLINK("#",""), HYPERLINK(CONCATENATE("#metadata!", ADDRESS(INDEX($AH$2:$AH$1001,MATCH(ROWS($AF$2:AF146),$AF$2:$AF$1001,0),0), INDEX($AM$1004:$BM$1004,1,MATCH(COLUMNS($AM$1006:BE1006),$AM$1006:$BM$1006,0)))),"Fix")))</f>
        <v xml:space="preserve"> </v>
      </c>
      <c r="U146" s="4" t="str">
        <f ca="1">IF(OR(INDEX($AG$2:$AG$1001,MATCH(ROWS($AF$2:AF146),$AF$2:$AF$1001,0),1)&gt;=100000,INDEX($AM$1005:$BM$1005,1,MATCH(COLUMNS($AM$1006:BF1006),$AM$1006:$BM$1006,0))&gt;=100000), " ",IF(INDEX($AM$2:$BM$1001,MATCH(ROWS($AF$2:AF146),$AF$2:$AF$1001,0),MATCH(COLUMNS($AM$1006:BF1006),$AM$1006:$BM$1006,0)), HYPERLINK("#",""), HYPERLINK(CONCATENATE("#metadata!", ADDRESS(INDEX($AH$2:$AH$1001,MATCH(ROWS($AF$2:AF146),$AF$2:$AF$1001,0),0), INDEX($AM$1004:$BM$1004,1,MATCH(COLUMNS($AM$1006:BF1006),$AM$1006:$BM$1006,0)))),"Fix")))</f>
        <v xml:space="preserve"> </v>
      </c>
      <c r="V146" s="4" t="str">
        <f ca="1">IF(OR(INDEX($AG$2:$AG$1001,MATCH(ROWS($AF$2:AF146),$AF$2:$AF$1001,0),1)&gt;=100000,INDEX($AM$1005:$BM$1005,1,MATCH(COLUMNS($AM$1006:BG1006),$AM$1006:$BM$1006,0))&gt;=100000), " ",IF(INDEX($AM$2:$BM$1001,MATCH(ROWS($AF$2:AF146),$AF$2:$AF$1001,0),MATCH(COLUMNS($AM$1006:BG1006),$AM$1006:$BM$1006,0)), HYPERLINK("#",""), HYPERLINK(CONCATENATE("#metadata!", ADDRESS(INDEX($AH$2:$AH$1001,MATCH(ROWS($AF$2:AF146),$AF$2:$AF$1001,0),0), INDEX($AM$1004:$BM$1004,1,MATCH(COLUMNS($AM$1006:BG1006),$AM$1006:$BM$1006,0)))),"Fix")))</f>
        <v xml:space="preserve"> </v>
      </c>
      <c r="W146" s="4" t="str">
        <f ca="1">IF(OR(INDEX($AG$2:$AG$1001,MATCH(ROWS($AF$2:AF146),$AF$2:$AF$1001,0),1)&gt;=100000,INDEX($AM$1005:$BM$1005,1,MATCH(COLUMNS($AM$1006:BH1006),$AM$1006:$BM$1006,0))&gt;=100000), " ",IF(INDEX($AM$2:$BM$1001,MATCH(ROWS($AF$2:AF146),$AF$2:$AF$1001,0),MATCH(COLUMNS($AM$1006:BH1006),$AM$1006:$BM$1006,0)), HYPERLINK("#",""), HYPERLINK(CONCATENATE("#metadata!", ADDRESS(INDEX($AH$2:$AH$1001,MATCH(ROWS($AF$2:AF146),$AF$2:$AF$1001,0),0), INDEX($AM$1004:$BM$1004,1,MATCH(COLUMNS($AM$1006:BH1006),$AM$1006:$BM$1006,0)))),"Fix")))</f>
        <v xml:space="preserve"> </v>
      </c>
      <c r="X146" s="4" t="str">
        <f ca="1">IF(OR(INDEX($AG$2:$AG$1001,MATCH(ROWS($AF$2:AF146),$AF$2:$AF$1001,0),1)&gt;=100000,INDEX($AM$1005:$BM$1005,1,MATCH(COLUMNS($AM$1006:BI1006),$AM$1006:$BM$1006,0))&gt;=100000), " ",IF(INDEX($AM$2:$BM$1001,MATCH(ROWS($AF$2:AF146),$AF$2:$AF$1001,0),MATCH(COLUMNS($AM$1006:BI1006),$AM$1006:$BM$1006,0)), HYPERLINK("#",""), HYPERLINK(CONCATENATE("#metadata!", ADDRESS(INDEX($AH$2:$AH$1001,MATCH(ROWS($AF$2:AF146),$AF$2:$AF$1001,0),0), INDEX($AM$1004:$BM$1004,1,MATCH(COLUMNS($AM$1006:BI1006),$AM$1006:$BM$1006,0)))),"Fix")))</f>
        <v xml:space="preserve"> </v>
      </c>
      <c r="Y146" s="4" t="str">
        <f ca="1">IF(OR(INDEX($AG$2:$AG$1001,MATCH(ROWS($AF$2:AF146),$AF$2:$AF$1001,0),1)&gt;=100000,INDEX($AM$1005:$BM$1005,1,MATCH(COLUMNS($AM$1006:BJ1006),$AM$1006:$BM$1006,0))&gt;=100000), " ",IF(INDEX($AM$2:$BM$1001,MATCH(ROWS($AF$2:AF146),$AF$2:$AF$1001,0),MATCH(COLUMNS($AM$1006:BJ1006),$AM$1006:$BM$1006,0)), HYPERLINK("#",""), HYPERLINK(CONCATENATE("#metadata!", ADDRESS(INDEX($AH$2:$AH$1001,MATCH(ROWS($AF$2:AF146),$AF$2:$AF$1001,0),0), INDEX($AM$1004:$BM$1004,1,MATCH(COLUMNS($AM$1006:BJ1006),$AM$1006:$BM$1006,0)))),"Fix")))</f>
        <v xml:space="preserve"> </v>
      </c>
      <c r="Z146" s="4" t="str">
        <f ca="1">IF(OR(INDEX($AG$2:$AG$1001,MATCH(ROWS($AF$2:AF146),$AF$2:$AF$1001,0),1)&gt;=100000,INDEX($AM$1005:$BM$1005,1,MATCH(COLUMNS($AM$1006:BK1006),$AM$1006:$BM$1006,0))&gt;=100000), " ",IF(INDEX($AM$2:$BM$1001,MATCH(ROWS($AF$2:AF146),$AF$2:$AF$1001,0),MATCH(COLUMNS($AM$1006:BK1006),$AM$1006:$BM$1006,0)), HYPERLINK("#",""), HYPERLINK(CONCATENATE("#metadata!", ADDRESS(INDEX($AH$2:$AH$1001,MATCH(ROWS($AF$2:AF146),$AF$2:$AF$1001,0),0), INDEX($AM$1004:$BM$1004,1,MATCH(COLUMNS($AM$1006:BK1006),$AM$1006:$BM$1006,0)))),"Fix")))</f>
        <v xml:space="preserve"> </v>
      </c>
      <c r="AA146" s="4" t="str">
        <f ca="1">IF(OR(INDEX($AG$2:$AG$1001,MATCH(ROWS($AF$2:AF146),$AF$2:$AF$1001,0),1)&gt;=100000,INDEX($AM$1005:$BM$1005,1,MATCH(COLUMNS($AM$1006:BL1006),$AM$1006:$BM$1006,0))&gt;=100000), " ",IF(INDEX($AM$2:$BM$1001,MATCH(ROWS($AF$2:AF146),$AF$2:$AF$1001,0),MATCH(COLUMNS($AM$1006:BL1006),$AM$1006:$BM$1006,0)), HYPERLINK("#",""), HYPERLINK(CONCATENATE("#metadata!", ADDRESS(INDEX($AH$2:$AH$1001,MATCH(ROWS($AF$2:AF146),$AF$2:$AF$1001,0),0), INDEX($AM$1004:$BM$1004,1,MATCH(COLUMNS($AM$1006:BL1006),$AM$1006:$BM$1006,0)))),"Fix")))</f>
        <v xml:space="preserve"> </v>
      </c>
      <c r="AB146" s="4" t="str">
        <f ca="1">IF(OR(INDEX($AG$2:$AG$1001,MATCH(ROWS($AF$2:AF146),$AF$2:$AF$1001,0),1)&gt;=100000,INDEX($AM$1005:$BM$1005,1,MATCH(COLUMNS($AM$1006:BM1006),$AM$1006:$BM$1006,0))&gt;=100000), " ",IF(INDEX($AM$2:$BM$1001,MATCH(ROWS($AF$2:AF146),$AF$2:$AF$1001,0),MATCH(COLUMNS($AM$1006:BM1006),$AM$1006:$BM$1006,0)), HYPERLINK("#",""), HYPERLINK(CONCATENATE("#metadata!", ADDRESS(INDEX($AH$2:$AH$1001,MATCH(ROWS($AF$2:AF146),$AF$2:$AF$1001,0),0), INDEX($AM$1004:$BM$1004,1,MATCH(COLUMNS($AM$1006:BM1006),$AM$1006:$BM$1006,0)))),"Fix")))</f>
        <v xml:space="preserve"> </v>
      </c>
      <c r="AF146">
        <v>145</v>
      </c>
      <c r="AG146">
        <v>100146</v>
      </c>
      <c r="AH146">
        <v>146</v>
      </c>
      <c r="AI146" t="b">
        <f t="shared" si="2"/>
        <v>1</v>
      </c>
      <c r="AJ146" t="b">
        <f>COUNTBLANK(metadata!B146:AB146)=COLUMNS(metadata!B146:AB146)</f>
        <v>1</v>
      </c>
      <c r="AK146" t="str">
        <v/>
      </c>
      <c r="AM146" t="b">
        <f ca="1">AND(IF(metadata!B146="",FALSE,TRUE),COUNTIF(metadata!B:B, metadata!B146) = 1,NOT(ISERROR(SUMPRODUCT(SEARCH(MID(metadata!B146,ROW(INDIRECT("1:"&amp;LEN(metadata!B146))), 1),"0123456789abcdefghijklmnopqrstuvwxyzABCDEFGHIJKLMNOPQRSTUVWXYZ.")))))</f>
        <v>0</v>
      </c>
      <c r="AN146" t="b">
        <f ca="1">OR(AND(IF(metadata!C146="",FALSE,TRUE),OR(EXACT(metadata!C146,"missing: not collected"),EXACT(metadata!C146,"missing: not provided"),EXACT(metadata!C146,"missing: restricted access"))),AND(IF(metadata!C146="",FALSE,TRUE),AND(AND(IFERROR(INT(LEFT(metadata!C146,4))&gt;1900,FALSE),IFERROR(INT(LEFT(metadata!C146,4))&lt;=YEAR(NOW()),FALSE)), OR(MID(metadata!C146,5,1)="", AND(AND(MID(metadata!C146,5,1)="-",IFERROR(INT(MID(metadata!C146,6,1))&gt;=0,FALSE),IFERROR(INT(MID(metadata!C146,6,1))&lt;=1,FALSE),NOT(MID(metadata!C146,7,1)=""),IFERROR(INT(MID(metadata!C146,6,2))&gt;=1,FALSE),IFERROR(INT(MID(metadata!C146,6,2))&lt;=12,FALSE)), OR(MID(metadata!C146,8,1)="", AND(AND(MID(metadata!C146,8,1)="-",IFERROR(INT(MID(metadata!C146,9,1))&gt;=0,FALSE),IFERROR(INT(MID(metadata!C146,9,1))&lt;=3,FALSE),NOT(MID(metadata!C146,10,1)=""),IFERROR(INT(MID(metadata!C146,9,2))&gt;=1,FALSE),IFERROR(INT(MID(metadata!C146,9,2))&lt;=31,FALSE)), OR(MID(metadata!C146,11,1)="", AND(AND(MID(metadata!C146,11,1)=" ",IFERROR(INT(MID(metadata!C146,12,1))&gt;=0,FALSE),IFERROR(INT(MID(metadata!C146,12,1))&lt;=2,FALSE),NOT(MID(metadata!C146,13,1)=""),IFERROR(INT(MID(metadata!C146,12,2))&gt;=0,FALSE),IFERROR(INT(MID(metadata!C146,12,2))&lt;=23,FALSE)), OR(MID(metadata!C146,14,1)="", AND(AND(MID(metadata!C146,14,1)=":",IFERROR(INT(MID(metadata!C146,15,1))&gt;=0,FALSE),IFERROR(INT(MID(metadata!C146,15,1))&lt;=5,FALSE),NOT(MID(metadata!C146,16,1)=""),IFERROR(INT(MID(metadata!C146,15,2))&gt;=0,FALSE),IFERROR(INT(MID(metadata!C146,15,2))&lt;=59,FALSE)), OR(MID(metadata!C146,17,1)="", AND(AND(MID(metadata!C146,17,1)=":",IFERROR(INT(MID(metadata!C146,18,1))&gt;=0,FALSE),IFERROR(INT(MID(metadata!C146,18,1))&lt;=5,FALSE),NOT(MID(metadata!C146,19,1)=""),IFERROR(INT(MID(metadata!C146,18,2))&gt;=0,FALSE),IFERROR(INT(MID(metadata!C146,18,2))&lt;=59,FALSE)), LEN(metadata!C146)&lt;=19)))))))))))))</f>
        <v>0</v>
      </c>
      <c r="AO146" t="b">
        <f>AND(IF(metadata!D146="",FALSE,TRUE),EXACT(metadata!D146,"Not applicable"))</f>
        <v>0</v>
      </c>
      <c r="AP146" t="b">
        <f>IF(metadata!E146="",FALSE,TRUE)</f>
        <v>0</v>
      </c>
      <c r="AQ146" t="b">
        <f>OR(AND(IF(metadata!F146="",FALSE,TRUE),OR(EXACT(metadata!F146,"missing: not collected"),EXACT(metadata!F146,"missing: not provided"))),AND(IF(metadata!F146="",FALSE,TRUE),OR(EXACT(metadata!F146,"TRUE"),EXACT(metadata!F146,"FALSE"))))</f>
        <v>0</v>
      </c>
      <c r="AR146" t="b">
        <f>OR(AND(IF(metadata!G146="",FALSE,TRUE),OR(EXACT(metadata!G146,"missing: not collected"),EXACT(metadata!G146,"missing: not provided"),EXACT(metadata!G146,"missing: restricted access"))),AND(IF(metadata!G146="",FALSE,ISNUMBER(VALUE(metadata!G146))),metadata!G146&gt;=-413))</f>
        <v>0</v>
      </c>
      <c r="AS146" t="b">
        <f>AND(IF(metadata!H146="",FALSE,TRUE),EXACT(metadata!H146,"meters"))</f>
        <v>0</v>
      </c>
      <c r="AT146" t="b">
        <f>AND(IF(metadata!I146="",FALSE,TRUE),OR(EXACT(metadata!I146,"Host-associated"),EXACT(metadata!I146,"Free-living")))</f>
        <v>0</v>
      </c>
      <c r="AU146" t="b">
        <f>AND(IF(metadata!J146="",FALSE,TRUE),OR(EXACT(metadata!J146,"Animal"),EXACT(metadata!J146,"Fungus"),EXACT(metadata!J146,"Plant"),EXACT(metadata!J146,"Saline"),EXACT(metadata!J146,"Non-saline")))</f>
        <v>0</v>
      </c>
      <c r="AV146" t="b">
        <f>AND(IF(metadata!K146="",FALSE,TRUE),OR(EXACT(metadata!K146,"Plant secretion"),EXACT(metadata!K146,"Plant rhizosphere"),EXACT(metadata!K146,"Plant surface"),EXACT(metadata!K146,"Plant corpus"),EXACT(metadata!K146,"Fungus surface"),EXACT(metadata!K146,"Fungus corpus"),EXACT(metadata!K146,"Animal surface"),EXACT(metadata!K146,"Animal proximal gut"),EXACT(metadata!K146,"Animal corpus"),EXACT(metadata!K146,"Animal distal gut"),EXACT(metadata!K146,"Animal secretion"),EXACT(metadata!K146,"Sub-surface (non-saline)"),EXACT(metadata!K146,"Surface (non-saline)"),EXACT(metadata!K146,"Water (non-saline)"),EXACT(metadata!K146,"Soil (non-saline)"),EXACT(metadata!K146,"Aerosol (non-saline)"),EXACT(metadata!K146,"Sediment (non-saline)"),EXACT(metadata!K146,"Surface (saline)"),EXACT(metadata!K146,"Water (saline)"),EXACT(metadata!K146,"Hypersaline (saline)"),EXACT(metadata!K146,"Aerosol (saline)"),EXACT(metadata!K146,"Sediment (saline)")))</f>
        <v>0</v>
      </c>
      <c r="AW146" t="b">
        <f>IF(metadata!L146="",FALSE,TRUE)</f>
        <v>0</v>
      </c>
      <c r="AX146" t="b">
        <f>IF(metadata!M146="",FALSE,TRUE)</f>
        <v>0</v>
      </c>
      <c r="AY146" t="b">
        <f>IF(metadata!N146="",FALSE,TRUE)</f>
        <v>0</v>
      </c>
      <c r="AZ146" t="b">
        <f>OR(AND(IF(metadata!O146="",FALSE,TRUE),OR(EXACT(metadata!O146,"missing: not collected"),EXACT(metadata!O146,"missing: not provided"),EXACT(metadata!O146,"missing: restricted access"))),AND(IF(metadata!O146="",FALSE,TRUE),OR(EXACT(metadata!O146,"air"),EXACT(metadata!O146,"built environment"),EXACT(metadata!O146,"host-associated"),EXACT(metadata!O146,"human-associated"),EXACT(metadata!O146,"human-skin"),EXACT(metadata!O146,"human-oral"),EXACT(metadata!O146,"human-gut"),EXACT(metadata!O146,"human-vaginal"),EXACT(metadata!O146,"microbial mat/biofilm"),EXACT(metadata!O146,"misc environment"),EXACT(metadata!O146,"plant-associated"),EXACT(metadata!O146,"sediment"),EXACT(metadata!O146,"soil"),EXACT(metadata!O146,"wastewater/sludge"),EXACT(metadata!O146,"water"))))</f>
        <v>0</v>
      </c>
      <c r="BA146" t="b">
        <f>IF(metadata!P146="",FALSE,TRUE)</f>
        <v>0</v>
      </c>
      <c r="BB146" t="b">
        <f>IF(metadata!Q146="",FALSE,TRUE)</f>
        <v>0</v>
      </c>
      <c r="BC146" t="b">
        <f>OR(AND(IF(metadata!R146="",FALSE,TRUE),OR(EXACT(metadata!R146,"missing: not collected"),EXACT(metadata!R146,"missing: not provided"),EXACT(metadata!R146,"missing: restricted access"))),AND(IF(metadata!R146="",FALSE,ISNUMBER(VALUE(metadata!R146))),metadata!R146&gt;=-90,metadata!R146&lt;=90))</f>
        <v>0</v>
      </c>
      <c r="BD146" t="b">
        <f>AND(IF(metadata!S146="",FALSE,TRUE),EXACT(metadata!S146,"Decimal degrees"))</f>
        <v>0</v>
      </c>
      <c r="BE146" t="b">
        <f>OR(AND(IF(metadata!T146="",FALSE,TRUE),OR(EXACT(metadata!T146,"missing: not collected"),EXACT(metadata!T146,"missing: not provided"),EXACT(metadata!T146,"missing: restricted access"))),AND(IF(metadata!T146="",FALSE,ISNUMBER(VALUE(metadata!T146))),metadata!T146&gt;=-180,metadata!T146&lt;=180))</f>
        <v>0</v>
      </c>
      <c r="BF146" t="b">
        <f>AND(IF(metadata!U146="",FALSE,TRUE),EXACT(metadata!U146,"Decimal degrees"))</f>
        <v>0</v>
      </c>
      <c r="BG146" t="b">
        <f>IF(metadata!V146="",FALSE,TRUE)</f>
        <v>0</v>
      </c>
      <c r="BH146" t="b">
        <f>OR(AND(IF(metadata!W146="",FALSE,TRUE),OR(EXACT(metadata!W146,"missing: not collected"),EXACT(metadata!W146,"missing: not provided"),EXACT(metadata!W146,"missing: restricted access"))),AND(IF(metadata!W146="",FALSE,TRUE),OR(EXACT(metadata!W146,"TRUE"),EXACT(metadata!W146,"FALSE"))))</f>
        <v>0</v>
      </c>
      <c r="BI146" t="b">
        <f>AND(IF(metadata!X146="",FALSE,TRUE),EXACT(metadata!X146,"other"))</f>
        <v>0</v>
      </c>
      <c r="BJ146" t="b">
        <f>IF(metadata!Y146="",FALSE,TRUE)</f>
        <v>0</v>
      </c>
      <c r="BK146" t="b">
        <f>OR(AND(IF(metadata!Z146="",FALSE,TRUE),OR(EXACT(metadata!Z146,"missing: not collected"),EXACT(metadata!Z146,"missing: not provided"))),AND(IF(metadata!Z146="",FALSE,IF(ISERROR(INT(metadata!Z146)),FALSE,INT(metadata!Z146)=metadata!Z146)),metadata!Z146&gt;0))</f>
        <v>0</v>
      </c>
      <c r="BL146" t="b">
        <f>AND(IF(metadata!AA146="",FALSE,TRUE),EXACT(metadata!AA146,"Not applicable"))</f>
        <v>0</v>
      </c>
      <c r="BM146" t="b">
        <f>IF(metadata!AB146="",FALSE,TRUE)</f>
        <v>0</v>
      </c>
    </row>
    <row r="147" spans="1:65" x14ac:dyDescent="0.2">
      <c r="A147" s="5" t="str">
        <f ca="1">IF(B147=" "," ",HYPERLINK(CONCATENATE("#metadata!",ADDRESS(INDEX($AH$2:$AH$1001,MATCH(ROWS($AF$2:AF147),$AF$2:$AF$1001,0),0),1)),INDEX($AK$2:$AK$1001,MATCH(ROWS($AF$2:AF147),$AF$2:$AF$1001,0),0)))</f>
        <v xml:space="preserve"> </v>
      </c>
      <c r="B147" s="4" t="str">
        <f ca="1">IF(OR(INDEX($AG$2:$AG$1001,MATCH(ROWS($AF$2:AF147),$AF$2:$AF$1001,0),1)&gt;=100000,INDEX($AM$1005:$BM$1005,1,MATCH(COLUMNS($AM$1006:AM1006),$AM$1006:$BM$1006,0))&gt;=100000), " ",IF(INDEX($AM$2:$BM$1001,MATCH(ROWS($AF$2:AF147),$AF$2:$AF$1001,0),MATCH(COLUMNS($AM$1006:AM1006),$AM$1006:$BM$1006,0)), HYPERLINK("#",""), HYPERLINK(CONCATENATE("#metadata!", ADDRESS(INDEX($AH$2:$AH$1001,MATCH(ROWS($AF$2:AF147),$AF$2:$AF$1001,0),0), INDEX($AM$1004:$BM$1004,1,MATCH(COLUMNS($AM$1006:AM1006),$AM$1006:$BM$1006,0)))),"Fix")))</f>
        <v xml:space="preserve"> </v>
      </c>
      <c r="C147" s="4" t="str">
        <f ca="1">IF(OR(INDEX($AG$2:$AG$1001,MATCH(ROWS($AF$2:AF147),$AF$2:$AF$1001,0),1)&gt;=100000,INDEX($AM$1005:$BM$1005,1,MATCH(COLUMNS($AM$1006:AN1006),$AM$1006:$BM$1006,0))&gt;=100000), " ",IF(INDEX($AM$2:$BM$1001,MATCH(ROWS($AF$2:AF147),$AF$2:$AF$1001,0),MATCH(COLUMNS($AM$1006:AN1006),$AM$1006:$BM$1006,0)), HYPERLINK("#",""), HYPERLINK(CONCATENATE("#metadata!", ADDRESS(INDEX($AH$2:$AH$1001,MATCH(ROWS($AF$2:AF147),$AF$2:$AF$1001,0),0), INDEX($AM$1004:$BM$1004,1,MATCH(COLUMNS($AM$1006:AN1006),$AM$1006:$BM$1006,0)))),"Fix")))</f>
        <v xml:space="preserve"> </v>
      </c>
      <c r="D147" s="4" t="str">
        <f ca="1">IF(OR(INDEX($AG$2:$AG$1001,MATCH(ROWS($AF$2:AF147),$AF$2:$AF$1001,0),1)&gt;=100000,INDEX($AM$1005:$BM$1005,1,MATCH(COLUMNS($AM$1006:AO1006),$AM$1006:$BM$1006,0))&gt;=100000), " ",IF(INDEX($AM$2:$BM$1001,MATCH(ROWS($AF$2:AF147),$AF$2:$AF$1001,0),MATCH(COLUMNS($AM$1006:AO1006),$AM$1006:$BM$1006,0)), HYPERLINK("#",""), HYPERLINK(CONCATENATE("#metadata!", ADDRESS(INDEX($AH$2:$AH$1001,MATCH(ROWS($AF$2:AF147),$AF$2:$AF$1001,0),0), INDEX($AM$1004:$BM$1004,1,MATCH(COLUMNS($AM$1006:AO1006),$AM$1006:$BM$1006,0)))),"Fix")))</f>
        <v xml:space="preserve"> </v>
      </c>
      <c r="E147" s="4" t="str">
        <f ca="1">IF(OR(INDEX($AG$2:$AG$1001,MATCH(ROWS($AF$2:AF147),$AF$2:$AF$1001,0),1)&gt;=100000,INDEX($AM$1005:$BM$1005,1,MATCH(COLUMNS($AM$1006:AP1006),$AM$1006:$BM$1006,0))&gt;=100000), " ",IF(INDEX($AM$2:$BM$1001,MATCH(ROWS($AF$2:AF147),$AF$2:$AF$1001,0),MATCH(COLUMNS($AM$1006:AP1006),$AM$1006:$BM$1006,0)), HYPERLINK("#",""), HYPERLINK(CONCATENATE("#metadata!", ADDRESS(INDEX($AH$2:$AH$1001,MATCH(ROWS($AF$2:AF147),$AF$2:$AF$1001,0),0), INDEX($AM$1004:$BM$1004,1,MATCH(COLUMNS($AM$1006:AP1006),$AM$1006:$BM$1006,0)))),"Fix")))</f>
        <v xml:space="preserve"> </v>
      </c>
      <c r="F147" s="4" t="str">
        <f ca="1">IF(OR(INDEX($AG$2:$AG$1001,MATCH(ROWS($AF$2:AF147),$AF$2:$AF$1001,0),1)&gt;=100000,INDEX($AM$1005:$BM$1005,1,MATCH(COLUMNS($AM$1006:AQ1006),$AM$1006:$BM$1006,0))&gt;=100000), " ",IF(INDEX($AM$2:$BM$1001,MATCH(ROWS($AF$2:AF147),$AF$2:$AF$1001,0),MATCH(COLUMNS($AM$1006:AQ1006),$AM$1006:$BM$1006,0)), HYPERLINK("#",""), HYPERLINK(CONCATENATE("#metadata!", ADDRESS(INDEX($AH$2:$AH$1001,MATCH(ROWS($AF$2:AF147),$AF$2:$AF$1001,0),0), INDEX($AM$1004:$BM$1004,1,MATCH(COLUMNS($AM$1006:AQ1006),$AM$1006:$BM$1006,0)))),"Fix")))</f>
        <v xml:space="preserve"> </v>
      </c>
      <c r="G147" s="4" t="str">
        <f ca="1">IF(OR(INDEX($AG$2:$AG$1001,MATCH(ROWS($AF$2:AF147),$AF$2:$AF$1001,0),1)&gt;=100000,INDEX($AM$1005:$BM$1005,1,MATCH(COLUMNS($AM$1006:AR1006),$AM$1006:$BM$1006,0))&gt;=100000), " ",IF(INDEX($AM$2:$BM$1001,MATCH(ROWS($AF$2:AF147),$AF$2:$AF$1001,0),MATCH(COLUMNS($AM$1006:AR1006),$AM$1006:$BM$1006,0)), HYPERLINK("#",""), HYPERLINK(CONCATENATE("#metadata!", ADDRESS(INDEX($AH$2:$AH$1001,MATCH(ROWS($AF$2:AF147),$AF$2:$AF$1001,0),0), INDEX($AM$1004:$BM$1004,1,MATCH(COLUMNS($AM$1006:AR1006),$AM$1006:$BM$1006,0)))),"Fix")))</f>
        <v xml:space="preserve"> </v>
      </c>
      <c r="H147" s="4" t="str">
        <f ca="1">IF(OR(INDEX($AG$2:$AG$1001,MATCH(ROWS($AF$2:AF147),$AF$2:$AF$1001,0),1)&gt;=100000,INDEX($AM$1005:$BM$1005,1,MATCH(COLUMNS($AM$1006:AS1006),$AM$1006:$BM$1006,0))&gt;=100000), " ",IF(INDEX($AM$2:$BM$1001,MATCH(ROWS($AF$2:AF147),$AF$2:$AF$1001,0),MATCH(COLUMNS($AM$1006:AS1006),$AM$1006:$BM$1006,0)), HYPERLINK("#",""), HYPERLINK(CONCATENATE("#metadata!", ADDRESS(INDEX($AH$2:$AH$1001,MATCH(ROWS($AF$2:AF147),$AF$2:$AF$1001,0),0), INDEX($AM$1004:$BM$1004,1,MATCH(COLUMNS($AM$1006:AS1006),$AM$1006:$BM$1006,0)))),"Fix")))</f>
        <v xml:space="preserve"> </v>
      </c>
      <c r="I147" s="4" t="str">
        <f ca="1">IF(OR(INDEX($AG$2:$AG$1001,MATCH(ROWS($AF$2:AF147),$AF$2:$AF$1001,0),1)&gt;=100000,INDEX($AM$1005:$BM$1005,1,MATCH(COLUMNS($AM$1006:AT1006),$AM$1006:$BM$1006,0))&gt;=100000), " ",IF(INDEX($AM$2:$BM$1001,MATCH(ROWS($AF$2:AF147),$AF$2:$AF$1001,0),MATCH(COLUMNS($AM$1006:AT1006),$AM$1006:$BM$1006,0)), HYPERLINK("#",""), HYPERLINK(CONCATENATE("#metadata!", ADDRESS(INDEX($AH$2:$AH$1001,MATCH(ROWS($AF$2:AF147),$AF$2:$AF$1001,0),0), INDEX($AM$1004:$BM$1004,1,MATCH(COLUMNS($AM$1006:AT1006),$AM$1006:$BM$1006,0)))),"Fix")))</f>
        <v xml:space="preserve"> </v>
      </c>
      <c r="J147" s="4" t="str">
        <f ca="1">IF(OR(INDEX($AG$2:$AG$1001,MATCH(ROWS($AF$2:AF147),$AF$2:$AF$1001,0),1)&gt;=100000,INDEX($AM$1005:$BM$1005,1,MATCH(COLUMNS($AM$1006:AU1006),$AM$1006:$BM$1006,0))&gt;=100000), " ",IF(INDEX($AM$2:$BM$1001,MATCH(ROWS($AF$2:AF147),$AF$2:$AF$1001,0),MATCH(COLUMNS($AM$1006:AU1006),$AM$1006:$BM$1006,0)), HYPERLINK("#",""), HYPERLINK(CONCATENATE("#metadata!", ADDRESS(INDEX($AH$2:$AH$1001,MATCH(ROWS($AF$2:AF147),$AF$2:$AF$1001,0),0), INDEX($AM$1004:$BM$1004,1,MATCH(COLUMNS($AM$1006:AU1006),$AM$1006:$BM$1006,0)))),"Fix")))</f>
        <v xml:space="preserve"> </v>
      </c>
      <c r="K147" s="4" t="str">
        <f ca="1">IF(OR(INDEX($AG$2:$AG$1001,MATCH(ROWS($AF$2:AF147),$AF$2:$AF$1001,0),1)&gt;=100000,INDEX($AM$1005:$BM$1005,1,MATCH(COLUMNS($AM$1006:AV1006),$AM$1006:$BM$1006,0))&gt;=100000), " ",IF(INDEX($AM$2:$BM$1001,MATCH(ROWS($AF$2:AF147),$AF$2:$AF$1001,0),MATCH(COLUMNS($AM$1006:AV1006),$AM$1006:$BM$1006,0)), HYPERLINK("#",""), HYPERLINK(CONCATENATE("#metadata!", ADDRESS(INDEX($AH$2:$AH$1001,MATCH(ROWS($AF$2:AF147),$AF$2:$AF$1001,0),0), INDEX($AM$1004:$BM$1004,1,MATCH(COLUMNS($AM$1006:AV1006),$AM$1006:$BM$1006,0)))),"Fix")))</f>
        <v xml:space="preserve"> </v>
      </c>
      <c r="L147" s="4" t="str">
        <f ca="1">IF(OR(INDEX($AG$2:$AG$1001,MATCH(ROWS($AF$2:AF147),$AF$2:$AF$1001,0),1)&gt;=100000,INDEX($AM$1005:$BM$1005,1,MATCH(COLUMNS($AM$1006:AW1006),$AM$1006:$BM$1006,0))&gt;=100000), " ",IF(INDEX($AM$2:$BM$1001,MATCH(ROWS($AF$2:AF147),$AF$2:$AF$1001,0),MATCH(COLUMNS($AM$1006:AW1006),$AM$1006:$BM$1006,0)), HYPERLINK("#",""), HYPERLINK(CONCATENATE("#metadata!", ADDRESS(INDEX($AH$2:$AH$1001,MATCH(ROWS($AF$2:AF147),$AF$2:$AF$1001,0),0), INDEX($AM$1004:$BM$1004,1,MATCH(COLUMNS($AM$1006:AW1006),$AM$1006:$BM$1006,0)))),"Fix")))</f>
        <v xml:space="preserve"> </v>
      </c>
      <c r="M147" s="4" t="str">
        <f ca="1">IF(OR(INDEX($AG$2:$AG$1001,MATCH(ROWS($AF$2:AF147),$AF$2:$AF$1001,0),1)&gt;=100000,INDEX($AM$1005:$BM$1005,1,MATCH(COLUMNS($AM$1006:AX1006),$AM$1006:$BM$1006,0))&gt;=100000), " ",IF(INDEX($AM$2:$BM$1001,MATCH(ROWS($AF$2:AF147),$AF$2:$AF$1001,0),MATCH(COLUMNS($AM$1006:AX1006),$AM$1006:$BM$1006,0)), HYPERLINK("#",""), HYPERLINK(CONCATENATE("#metadata!", ADDRESS(INDEX($AH$2:$AH$1001,MATCH(ROWS($AF$2:AF147),$AF$2:$AF$1001,0),0), INDEX($AM$1004:$BM$1004,1,MATCH(COLUMNS($AM$1006:AX1006),$AM$1006:$BM$1006,0)))),"Fix")))</f>
        <v xml:space="preserve"> </v>
      </c>
      <c r="N147" s="4" t="str">
        <f ca="1">IF(OR(INDEX($AG$2:$AG$1001,MATCH(ROWS($AF$2:AF147),$AF$2:$AF$1001,0),1)&gt;=100000,INDEX($AM$1005:$BM$1005,1,MATCH(COLUMNS($AM$1006:AY1006),$AM$1006:$BM$1006,0))&gt;=100000), " ",IF(INDEX($AM$2:$BM$1001,MATCH(ROWS($AF$2:AF147),$AF$2:$AF$1001,0),MATCH(COLUMNS($AM$1006:AY1006),$AM$1006:$BM$1006,0)), HYPERLINK("#",""), HYPERLINK(CONCATENATE("#metadata!", ADDRESS(INDEX($AH$2:$AH$1001,MATCH(ROWS($AF$2:AF147),$AF$2:$AF$1001,0),0), INDEX($AM$1004:$BM$1004,1,MATCH(COLUMNS($AM$1006:AY1006),$AM$1006:$BM$1006,0)))),"Fix")))</f>
        <v xml:space="preserve"> </v>
      </c>
      <c r="O147" s="4" t="str">
        <f ca="1">IF(OR(INDEX($AG$2:$AG$1001,MATCH(ROWS($AF$2:AF147),$AF$2:$AF$1001,0),1)&gt;=100000,INDEX($AM$1005:$BM$1005,1,MATCH(COLUMNS($AM$1006:AZ1006),$AM$1006:$BM$1006,0))&gt;=100000), " ",IF(INDEX($AM$2:$BM$1001,MATCH(ROWS($AF$2:AF147),$AF$2:$AF$1001,0),MATCH(COLUMNS($AM$1006:AZ1006),$AM$1006:$BM$1006,0)), HYPERLINK("#",""), HYPERLINK(CONCATENATE("#metadata!", ADDRESS(INDEX($AH$2:$AH$1001,MATCH(ROWS($AF$2:AF147),$AF$2:$AF$1001,0),0), INDEX($AM$1004:$BM$1004,1,MATCH(COLUMNS($AM$1006:AZ1006),$AM$1006:$BM$1006,0)))),"Fix")))</f>
        <v xml:space="preserve"> </v>
      </c>
      <c r="P147" s="4" t="str">
        <f ca="1">IF(OR(INDEX($AG$2:$AG$1001,MATCH(ROWS($AF$2:AF147),$AF$2:$AF$1001,0),1)&gt;=100000,INDEX($AM$1005:$BM$1005,1,MATCH(COLUMNS($AM$1006:BA1006),$AM$1006:$BM$1006,0))&gt;=100000), " ",IF(INDEX($AM$2:$BM$1001,MATCH(ROWS($AF$2:AF147),$AF$2:$AF$1001,0),MATCH(COLUMNS($AM$1006:BA1006),$AM$1006:$BM$1006,0)), HYPERLINK("#",""), HYPERLINK(CONCATENATE("#metadata!", ADDRESS(INDEX($AH$2:$AH$1001,MATCH(ROWS($AF$2:AF147),$AF$2:$AF$1001,0),0), INDEX($AM$1004:$BM$1004,1,MATCH(COLUMNS($AM$1006:BA1006),$AM$1006:$BM$1006,0)))),"Fix")))</f>
        <v xml:space="preserve"> </v>
      </c>
      <c r="Q147" s="4" t="str">
        <f ca="1">IF(OR(INDEX($AG$2:$AG$1001,MATCH(ROWS($AF$2:AF147),$AF$2:$AF$1001,0),1)&gt;=100000,INDEX($AM$1005:$BM$1005,1,MATCH(COLUMNS($AM$1006:BB1006),$AM$1006:$BM$1006,0))&gt;=100000), " ",IF(INDEX($AM$2:$BM$1001,MATCH(ROWS($AF$2:AF147),$AF$2:$AF$1001,0),MATCH(COLUMNS($AM$1006:BB1006),$AM$1006:$BM$1006,0)), HYPERLINK("#",""), HYPERLINK(CONCATENATE("#metadata!", ADDRESS(INDEX($AH$2:$AH$1001,MATCH(ROWS($AF$2:AF147),$AF$2:$AF$1001,0),0), INDEX($AM$1004:$BM$1004,1,MATCH(COLUMNS($AM$1006:BB1006),$AM$1006:$BM$1006,0)))),"Fix")))</f>
        <v xml:space="preserve"> </v>
      </c>
      <c r="R147" s="4" t="str">
        <f ca="1">IF(OR(INDEX($AG$2:$AG$1001,MATCH(ROWS($AF$2:AF147),$AF$2:$AF$1001,0),1)&gt;=100000,INDEX($AM$1005:$BM$1005,1,MATCH(COLUMNS($AM$1006:BC1006),$AM$1006:$BM$1006,0))&gt;=100000), " ",IF(INDEX($AM$2:$BM$1001,MATCH(ROWS($AF$2:AF147),$AF$2:$AF$1001,0),MATCH(COLUMNS($AM$1006:BC1006),$AM$1006:$BM$1006,0)), HYPERLINK("#",""), HYPERLINK(CONCATENATE("#metadata!", ADDRESS(INDEX($AH$2:$AH$1001,MATCH(ROWS($AF$2:AF147),$AF$2:$AF$1001,0),0), INDEX($AM$1004:$BM$1004,1,MATCH(COLUMNS($AM$1006:BC1006),$AM$1006:$BM$1006,0)))),"Fix")))</f>
        <v xml:space="preserve"> </v>
      </c>
      <c r="S147" s="4" t="str">
        <f ca="1">IF(OR(INDEX($AG$2:$AG$1001,MATCH(ROWS($AF$2:AF147),$AF$2:$AF$1001,0),1)&gt;=100000,INDEX($AM$1005:$BM$1005,1,MATCH(COLUMNS($AM$1006:BD1006),$AM$1006:$BM$1006,0))&gt;=100000), " ",IF(INDEX($AM$2:$BM$1001,MATCH(ROWS($AF$2:AF147),$AF$2:$AF$1001,0),MATCH(COLUMNS($AM$1006:BD1006),$AM$1006:$BM$1006,0)), HYPERLINK("#",""), HYPERLINK(CONCATENATE("#metadata!", ADDRESS(INDEX($AH$2:$AH$1001,MATCH(ROWS($AF$2:AF147),$AF$2:$AF$1001,0),0), INDEX($AM$1004:$BM$1004,1,MATCH(COLUMNS($AM$1006:BD1006),$AM$1006:$BM$1006,0)))),"Fix")))</f>
        <v xml:space="preserve"> </v>
      </c>
      <c r="T147" s="4" t="str">
        <f ca="1">IF(OR(INDEX($AG$2:$AG$1001,MATCH(ROWS($AF$2:AF147),$AF$2:$AF$1001,0),1)&gt;=100000,INDEX($AM$1005:$BM$1005,1,MATCH(COLUMNS($AM$1006:BE1006),$AM$1006:$BM$1006,0))&gt;=100000), " ",IF(INDEX($AM$2:$BM$1001,MATCH(ROWS($AF$2:AF147),$AF$2:$AF$1001,0),MATCH(COLUMNS($AM$1006:BE1006),$AM$1006:$BM$1006,0)), HYPERLINK("#",""), HYPERLINK(CONCATENATE("#metadata!", ADDRESS(INDEX($AH$2:$AH$1001,MATCH(ROWS($AF$2:AF147),$AF$2:$AF$1001,0),0), INDEX($AM$1004:$BM$1004,1,MATCH(COLUMNS($AM$1006:BE1006),$AM$1006:$BM$1006,0)))),"Fix")))</f>
        <v xml:space="preserve"> </v>
      </c>
      <c r="U147" s="4" t="str">
        <f ca="1">IF(OR(INDEX($AG$2:$AG$1001,MATCH(ROWS($AF$2:AF147),$AF$2:$AF$1001,0),1)&gt;=100000,INDEX($AM$1005:$BM$1005,1,MATCH(COLUMNS($AM$1006:BF1006),$AM$1006:$BM$1006,0))&gt;=100000), " ",IF(INDEX($AM$2:$BM$1001,MATCH(ROWS($AF$2:AF147),$AF$2:$AF$1001,0),MATCH(COLUMNS($AM$1006:BF1006),$AM$1006:$BM$1006,0)), HYPERLINK("#",""), HYPERLINK(CONCATENATE("#metadata!", ADDRESS(INDEX($AH$2:$AH$1001,MATCH(ROWS($AF$2:AF147),$AF$2:$AF$1001,0),0), INDEX($AM$1004:$BM$1004,1,MATCH(COLUMNS($AM$1006:BF1006),$AM$1006:$BM$1006,0)))),"Fix")))</f>
        <v xml:space="preserve"> </v>
      </c>
      <c r="V147" s="4" t="str">
        <f ca="1">IF(OR(INDEX($AG$2:$AG$1001,MATCH(ROWS($AF$2:AF147),$AF$2:$AF$1001,0),1)&gt;=100000,INDEX($AM$1005:$BM$1005,1,MATCH(COLUMNS($AM$1006:BG1006),$AM$1006:$BM$1006,0))&gt;=100000), " ",IF(INDEX($AM$2:$BM$1001,MATCH(ROWS($AF$2:AF147),$AF$2:$AF$1001,0),MATCH(COLUMNS($AM$1006:BG1006),$AM$1006:$BM$1006,0)), HYPERLINK("#",""), HYPERLINK(CONCATENATE("#metadata!", ADDRESS(INDEX($AH$2:$AH$1001,MATCH(ROWS($AF$2:AF147),$AF$2:$AF$1001,0),0), INDEX($AM$1004:$BM$1004,1,MATCH(COLUMNS($AM$1006:BG1006),$AM$1006:$BM$1006,0)))),"Fix")))</f>
        <v xml:space="preserve"> </v>
      </c>
      <c r="W147" s="4" t="str">
        <f ca="1">IF(OR(INDEX($AG$2:$AG$1001,MATCH(ROWS($AF$2:AF147),$AF$2:$AF$1001,0),1)&gt;=100000,INDEX($AM$1005:$BM$1005,1,MATCH(COLUMNS($AM$1006:BH1006),$AM$1006:$BM$1006,0))&gt;=100000), " ",IF(INDEX($AM$2:$BM$1001,MATCH(ROWS($AF$2:AF147),$AF$2:$AF$1001,0),MATCH(COLUMNS($AM$1006:BH1006),$AM$1006:$BM$1006,0)), HYPERLINK("#",""), HYPERLINK(CONCATENATE("#metadata!", ADDRESS(INDEX($AH$2:$AH$1001,MATCH(ROWS($AF$2:AF147),$AF$2:$AF$1001,0),0), INDEX($AM$1004:$BM$1004,1,MATCH(COLUMNS($AM$1006:BH1006),$AM$1006:$BM$1006,0)))),"Fix")))</f>
        <v xml:space="preserve"> </v>
      </c>
      <c r="X147" s="4" t="str">
        <f ca="1">IF(OR(INDEX($AG$2:$AG$1001,MATCH(ROWS($AF$2:AF147),$AF$2:$AF$1001,0),1)&gt;=100000,INDEX($AM$1005:$BM$1005,1,MATCH(COLUMNS($AM$1006:BI1006),$AM$1006:$BM$1006,0))&gt;=100000), " ",IF(INDEX($AM$2:$BM$1001,MATCH(ROWS($AF$2:AF147),$AF$2:$AF$1001,0),MATCH(COLUMNS($AM$1006:BI1006),$AM$1006:$BM$1006,0)), HYPERLINK("#",""), HYPERLINK(CONCATENATE("#metadata!", ADDRESS(INDEX($AH$2:$AH$1001,MATCH(ROWS($AF$2:AF147),$AF$2:$AF$1001,0),0), INDEX($AM$1004:$BM$1004,1,MATCH(COLUMNS($AM$1006:BI1006),$AM$1006:$BM$1006,0)))),"Fix")))</f>
        <v xml:space="preserve"> </v>
      </c>
      <c r="Y147" s="4" t="str">
        <f ca="1">IF(OR(INDEX($AG$2:$AG$1001,MATCH(ROWS($AF$2:AF147),$AF$2:$AF$1001,0),1)&gt;=100000,INDEX($AM$1005:$BM$1005,1,MATCH(COLUMNS($AM$1006:BJ1006),$AM$1006:$BM$1006,0))&gt;=100000), " ",IF(INDEX($AM$2:$BM$1001,MATCH(ROWS($AF$2:AF147),$AF$2:$AF$1001,0),MATCH(COLUMNS($AM$1006:BJ1006),$AM$1006:$BM$1006,0)), HYPERLINK("#",""), HYPERLINK(CONCATENATE("#metadata!", ADDRESS(INDEX($AH$2:$AH$1001,MATCH(ROWS($AF$2:AF147),$AF$2:$AF$1001,0),0), INDEX($AM$1004:$BM$1004,1,MATCH(COLUMNS($AM$1006:BJ1006),$AM$1006:$BM$1006,0)))),"Fix")))</f>
        <v xml:space="preserve"> </v>
      </c>
      <c r="Z147" s="4" t="str">
        <f ca="1">IF(OR(INDEX($AG$2:$AG$1001,MATCH(ROWS($AF$2:AF147),$AF$2:$AF$1001,0),1)&gt;=100000,INDEX($AM$1005:$BM$1005,1,MATCH(COLUMNS($AM$1006:BK1006),$AM$1006:$BM$1006,0))&gt;=100000), " ",IF(INDEX($AM$2:$BM$1001,MATCH(ROWS($AF$2:AF147),$AF$2:$AF$1001,0),MATCH(COLUMNS($AM$1006:BK1006),$AM$1006:$BM$1006,0)), HYPERLINK("#",""), HYPERLINK(CONCATENATE("#metadata!", ADDRESS(INDEX($AH$2:$AH$1001,MATCH(ROWS($AF$2:AF147),$AF$2:$AF$1001,0),0), INDEX($AM$1004:$BM$1004,1,MATCH(COLUMNS($AM$1006:BK1006),$AM$1006:$BM$1006,0)))),"Fix")))</f>
        <v xml:space="preserve"> </v>
      </c>
      <c r="AA147" s="4" t="str">
        <f ca="1">IF(OR(INDEX($AG$2:$AG$1001,MATCH(ROWS($AF$2:AF147),$AF$2:$AF$1001,0),1)&gt;=100000,INDEX($AM$1005:$BM$1005,1,MATCH(COLUMNS($AM$1006:BL1006),$AM$1006:$BM$1006,0))&gt;=100000), " ",IF(INDEX($AM$2:$BM$1001,MATCH(ROWS($AF$2:AF147),$AF$2:$AF$1001,0),MATCH(COLUMNS($AM$1006:BL1006),$AM$1006:$BM$1006,0)), HYPERLINK("#",""), HYPERLINK(CONCATENATE("#metadata!", ADDRESS(INDEX($AH$2:$AH$1001,MATCH(ROWS($AF$2:AF147),$AF$2:$AF$1001,0),0), INDEX($AM$1004:$BM$1004,1,MATCH(COLUMNS($AM$1006:BL1006),$AM$1006:$BM$1006,0)))),"Fix")))</f>
        <v xml:space="preserve"> </v>
      </c>
      <c r="AB147" s="4" t="str">
        <f ca="1">IF(OR(INDEX($AG$2:$AG$1001,MATCH(ROWS($AF$2:AF147),$AF$2:$AF$1001,0),1)&gt;=100000,INDEX($AM$1005:$BM$1005,1,MATCH(COLUMNS($AM$1006:BM1006),$AM$1006:$BM$1006,0))&gt;=100000), " ",IF(INDEX($AM$2:$BM$1001,MATCH(ROWS($AF$2:AF147),$AF$2:$AF$1001,0),MATCH(COLUMNS($AM$1006:BM1006),$AM$1006:$BM$1006,0)), HYPERLINK("#",""), HYPERLINK(CONCATENATE("#metadata!", ADDRESS(INDEX($AH$2:$AH$1001,MATCH(ROWS($AF$2:AF147),$AF$2:$AF$1001,0),0), INDEX($AM$1004:$BM$1004,1,MATCH(COLUMNS($AM$1006:BM1006),$AM$1006:$BM$1006,0)))),"Fix")))</f>
        <v xml:space="preserve"> </v>
      </c>
      <c r="AF147">
        <v>146</v>
      </c>
      <c r="AG147">
        <v>100147</v>
      </c>
      <c r="AH147">
        <v>147</v>
      </c>
      <c r="AI147" t="b">
        <f t="shared" si="2"/>
        <v>1</v>
      </c>
      <c r="AJ147" t="b">
        <f>COUNTBLANK(metadata!B147:AB147)=COLUMNS(metadata!B147:AB147)</f>
        <v>1</v>
      </c>
      <c r="AK147" t="str">
        <v/>
      </c>
      <c r="AM147" t="b">
        <f ca="1">AND(IF(metadata!B147="",FALSE,TRUE),COUNTIF(metadata!B:B, metadata!B147) = 1,NOT(ISERROR(SUMPRODUCT(SEARCH(MID(metadata!B147,ROW(INDIRECT("1:"&amp;LEN(metadata!B147))), 1),"0123456789abcdefghijklmnopqrstuvwxyzABCDEFGHIJKLMNOPQRSTUVWXYZ.")))))</f>
        <v>0</v>
      </c>
      <c r="AN147" t="b">
        <f ca="1">OR(AND(IF(metadata!C147="",FALSE,TRUE),OR(EXACT(metadata!C147,"missing: not collected"),EXACT(metadata!C147,"missing: not provided"),EXACT(metadata!C147,"missing: restricted access"))),AND(IF(metadata!C147="",FALSE,TRUE),AND(AND(IFERROR(INT(LEFT(metadata!C147,4))&gt;1900,FALSE),IFERROR(INT(LEFT(metadata!C147,4))&lt;=YEAR(NOW()),FALSE)), OR(MID(metadata!C147,5,1)="", AND(AND(MID(metadata!C147,5,1)="-",IFERROR(INT(MID(metadata!C147,6,1))&gt;=0,FALSE),IFERROR(INT(MID(metadata!C147,6,1))&lt;=1,FALSE),NOT(MID(metadata!C147,7,1)=""),IFERROR(INT(MID(metadata!C147,6,2))&gt;=1,FALSE),IFERROR(INT(MID(metadata!C147,6,2))&lt;=12,FALSE)), OR(MID(metadata!C147,8,1)="", AND(AND(MID(metadata!C147,8,1)="-",IFERROR(INT(MID(metadata!C147,9,1))&gt;=0,FALSE),IFERROR(INT(MID(metadata!C147,9,1))&lt;=3,FALSE),NOT(MID(metadata!C147,10,1)=""),IFERROR(INT(MID(metadata!C147,9,2))&gt;=1,FALSE),IFERROR(INT(MID(metadata!C147,9,2))&lt;=31,FALSE)), OR(MID(metadata!C147,11,1)="", AND(AND(MID(metadata!C147,11,1)=" ",IFERROR(INT(MID(metadata!C147,12,1))&gt;=0,FALSE),IFERROR(INT(MID(metadata!C147,12,1))&lt;=2,FALSE),NOT(MID(metadata!C147,13,1)=""),IFERROR(INT(MID(metadata!C147,12,2))&gt;=0,FALSE),IFERROR(INT(MID(metadata!C147,12,2))&lt;=23,FALSE)), OR(MID(metadata!C147,14,1)="", AND(AND(MID(metadata!C147,14,1)=":",IFERROR(INT(MID(metadata!C147,15,1))&gt;=0,FALSE),IFERROR(INT(MID(metadata!C147,15,1))&lt;=5,FALSE),NOT(MID(metadata!C147,16,1)=""),IFERROR(INT(MID(metadata!C147,15,2))&gt;=0,FALSE),IFERROR(INT(MID(metadata!C147,15,2))&lt;=59,FALSE)), OR(MID(metadata!C147,17,1)="", AND(AND(MID(metadata!C147,17,1)=":",IFERROR(INT(MID(metadata!C147,18,1))&gt;=0,FALSE),IFERROR(INT(MID(metadata!C147,18,1))&lt;=5,FALSE),NOT(MID(metadata!C147,19,1)=""),IFERROR(INT(MID(metadata!C147,18,2))&gt;=0,FALSE),IFERROR(INT(MID(metadata!C147,18,2))&lt;=59,FALSE)), LEN(metadata!C147)&lt;=19)))))))))))))</f>
        <v>0</v>
      </c>
      <c r="AO147" t="b">
        <f>AND(IF(metadata!D147="",FALSE,TRUE),EXACT(metadata!D147,"Not applicable"))</f>
        <v>0</v>
      </c>
      <c r="AP147" t="b">
        <f>IF(metadata!E147="",FALSE,TRUE)</f>
        <v>0</v>
      </c>
      <c r="AQ147" t="b">
        <f>OR(AND(IF(metadata!F147="",FALSE,TRUE),OR(EXACT(metadata!F147,"missing: not collected"),EXACT(metadata!F147,"missing: not provided"))),AND(IF(metadata!F147="",FALSE,TRUE),OR(EXACT(metadata!F147,"TRUE"),EXACT(metadata!F147,"FALSE"))))</f>
        <v>0</v>
      </c>
      <c r="AR147" t="b">
        <f>OR(AND(IF(metadata!G147="",FALSE,TRUE),OR(EXACT(metadata!G147,"missing: not collected"),EXACT(metadata!G147,"missing: not provided"),EXACT(metadata!G147,"missing: restricted access"))),AND(IF(metadata!G147="",FALSE,ISNUMBER(VALUE(metadata!G147))),metadata!G147&gt;=-413))</f>
        <v>0</v>
      </c>
      <c r="AS147" t="b">
        <f>AND(IF(metadata!H147="",FALSE,TRUE),EXACT(metadata!H147,"meters"))</f>
        <v>0</v>
      </c>
      <c r="AT147" t="b">
        <f>AND(IF(metadata!I147="",FALSE,TRUE),OR(EXACT(metadata!I147,"Host-associated"),EXACT(metadata!I147,"Free-living")))</f>
        <v>0</v>
      </c>
      <c r="AU147" t="b">
        <f>AND(IF(metadata!J147="",FALSE,TRUE),OR(EXACT(metadata!J147,"Animal"),EXACT(metadata!J147,"Fungus"),EXACT(metadata!J147,"Plant"),EXACT(metadata!J147,"Saline"),EXACT(metadata!J147,"Non-saline")))</f>
        <v>0</v>
      </c>
      <c r="AV147" t="b">
        <f>AND(IF(metadata!K147="",FALSE,TRUE),OR(EXACT(metadata!K147,"Plant secretion"),EXACT(metadata!K147,"Plant rhizosphere"),EXACT(metadata!K147,"Plant surface"),EXACT(metadata!K147,"Plant corpus"),EXACT(metadata!K147,"Fungus surface"),EXACT(metadata!K147,"Fungus corpus"),EXACT(metadata!K147,"Animal surface"),EXACT(metadata!K147,"Animal proximal gut"),EXACT(metadata!K147,"Animal corpus"),EXACT(metadata!K147,"Animal distal gut"),EXACT(metadata!K147,"Animal secretion"),EXACT(metadata!K147,"Sub-surface (non-saline)"),EXACT(metadata!K147,"Surface (non-saline)"),EXACT(metadata!K147,"Water (non-saline)"),EXACT(metadata!K147,"Soil (non-saline)"),EXACT(metadata!K147,"Aerosol (non-saline)"),EXACT(metadata!K147,"Sediment (non-saline)"),EXACT(metadata!K147,"Surface (saline)"),EXACT(metadata!K147,"Water (saline)"),EXACT(metadata!K147,"Hypersaline (saline)"),EXACT(metadata!K147,"Aerosol (saline)"),EXACT(metadata!K147,"Sediment (saline)")))</f>
        <v>0</v>
      </c>
      <c r="AW147" t="b">
        <f>IF(metadata!L147="",FALSE,TRUE)</f>
        <v>0</v>
      </c>
      <c r="AX147" t="b">
        <f>IF(metadata!M147="",FALSE,TRUE)</f>
        <v>0</v>
      </c>
      <c r="AY147" t="b">
        <f>IF(metadata!N147="",FALSE,TRUE)</f>
        <v>0</v>
      </c>
      <c r="AZ147" t="b">
        <f>OR(AND(IF(metadata!O147="",FALSE,TRUE),OR(EXACT(metadata!O147,"missing: not collected"),EXACT(metadata!O147,"missing: not provided"),EXACT(metadata!O147,"missing: restricted access"))),AND(IF(metadata!O147="",FALSE,TRUE),OR(EXACT(metadata!O147,"air"),EXACT(metadata!O147,"built environment"),EXACT(metadata!O147,"host-associated"),EXACT(metadata!O147,"human-associated"),EXACT(metadata!O147,"human-skin"),EXACT(metadata!O147,"human-oral"),EXACT(metadata!O147,"human-gut"),EXACT(metadata!O147,"human-vaginal"),EXACT(metadata!O147,"microbial mat/biofilm"),EXACT(metadata!O147,"misc environment"),EXACT(metadata!O147,"plant-associated"),EXACT(metadata!O147,"sediment"),EXACT(metadata!O147,"soil"),EXACT(metadata!O147,"wastewater/sludge"),EXACT(metadata!O147,"water"))))</f>
        <v>0</v>
      </c>
      <c r="BA147" t="b">
        <f>IF(metadata!P147="",FALSE,TRUE)</f>
        <v>0</v>
      </c>
      <c r="BB147" t="b">
        <f>IF(metadata!Q147="",FALSE,TRUE)</f>
        <v>0</v>
      </c>
      <c r="BC147" t="b">
        <f>OR(AND(IF(metadata!R147="",FALSE,TRUE),OR(EXACT(metadata!R147,"missing: not collected"),EXACT(metadata!R147,"missing: not provided"),EXACT(metadata!R147,"missing: restricted access"))),AND(IF(metadata!R147="",FALSE,ISNUMBER(VALUE(metadata!R147))),metadata!R147&gt;=-90,metadata!R147&lt;=90))</f>
        <v>0</v>
      </c>
      <c r="BD147" t="b">
        <f>AND(IF(metadata!S147="",FALSE,TRUE),EXACT(metadata!S147,"Decimal degrees"))</f>
        <v>0</v>
      </c>
      <c r="BE147" t="b">
        <f>OR(AND(IF(metadata!T147="",FALSE,TRUE),OR(EXACT(metadata!T147,"missing: not collected"),EXACT(metadata!T147,"missing: not provided"),EXACT(metadata!T147,"missing: restricted access"))),AND(IF(metadata!T147="",FALSE,ISNUMBER(VALUE(metadata!T147))),metadata!T147&gt;=-180,metadata!T147&lt;=180))</f>
        <v>0</v>
      </c>
      <c r="BF147" t="b">
        <f>AND(IF(metadata!U147="",FALSE,TRUE),EXACT(metadata!U147,"Decimal degrees"))</f>
        <v>0</v>
      </c>
      <c r="BG147" t="b">
        <f>IF(metadata!V147="",FALSE,TRUE)</f>
        <v>0</v>
      </c>
      <c r="BH147" t="b">
        <f>OR(AND(IF(metadata!W147="",FALSE,TRUE),OR(EXACT(metadata!W147,"missing: not collected"),EXACT(metadata!W147,"missing: not provided"),EXACT(metadata!W147,"missing: restricted access"))),AND(IF(metadata!W147="",FALSE,TRUE),OR(EXACT(metadata!W147,"TRUE"),EXACT(metadata!W147,"FALSE"))))</f>
        <v>0</v>
      </c>
      <c r="BI147" t="b">
        <f>AND(IF(metadata!X147="",FALSE,TRUE),EXACT(metadata!X147,"other"))</f>
        <v>0</v>
      </c>
      <c r="BJ147" t="b">
        <f>IF(metadata!Y147="",FALSE,TRUE)</f>
        <v>0</v>
      </c>
      <c r="BK147" t="b">
        <f>OR(AND(IF(metadata!Z147="",FALSE,TRUE),OR(EXACT(metadata!Z147,"missing: not collected"),EXACT(metadata!Z147,"missing: not provided"))),AND(IF(metadata!Z147="",FALSE,IF(ISERROR(INT(metadata!Z147)),FALSE,INT(metadata!Z147)=metadata!Z147)),metadata!Z147&gt;0))</f>
        <v>0</v>
      </c>
      <c r="BL147" t="b">
        <f>AND(IF(metadata!AA147="",FALSE,TRUE),EXACT(metadata!AA147,"Not applicable"))</f>
        <v>0</v>
      </c>
      <c r="BM147" t="b">
        <f>IF(metadata!AB147="",FALSE,TRUE)</f>
        <v>0</v>
      </c>
    </row>
    <row r="148" spans="1:65" x14ac:dyDescent="0.2">
      <c r="A148" s="5" t="str">
        <f ca="1">IF(B148=" "," ",HYPERLINK(CONCATENATE("#metadata!",ADDRESS(INDEX($AH$2:$AH$1001,MATCH(ROWS($AF$2:AF148),$AF$2:$AF$1001,0),0),1)),INDEX($AK$2:$AK$1001,MATCH(ROWS($AF$2:AF148),$AF$2:$AF$1001,0),0)))</f>
        <v xml:space="preserve"> </v>
      </c>
      <c r="B148" s="4" t="str">
        <f ca="1">IF(OR(INDEX($AG$2:$AG$1001,MATCH(ROWS($AF$2:AF148),$AF$2:$AF$1001,0),1)&gt;=100000,INDEX($AM$1005:$BM$1005,1,MATCH(COLUMNS($AM$1006:AM1006),$AM$1006:$BM$1006,0))&gt;=100000), " ",IF(INDEX($AM$2:$BM$1001,MATCH(ROWS($AF$2:AF148),$AF$2:$AF$1001,0),MATCH(COLUMNS($AM$1006:AM1006),$AM$1006:$BM$1006,0)), HYPERLINK("#",""), HYPERLINK(CONCATENATE("#metadata!", ADDRESS(INDEX($AH$2:$AH$1001,MATCH(ROWS($AF$2:AF148),$AF$2:$AF$1001,0),0), INDEX($AM$1004:$BM$1004,1,MATCH(COLUMNS($AM$1006:AM1006),$AM$1006:$BM$1006,0)))),"Fix")))</f>
        <v xml:space="preserve"> </v>
      </c>
      <c r="C148" s="4" t="str">
        <f ca="1">IF(OR(INDEX($AG$2:$AG$1001,MATCH(ROWS($AF$2:AF148),$AF$2:$AF$1001,0),1)&gt;=100000,INDEX($AM$1005:$BM$1005,1,MATCH(COLUMNS($AM$1006:AN1006),$AM$1006:$BM$1006,0))&gt;=100000), " ",IF(INDEX($AM$2:$BM$1001,MATCH(ROWS($AF$2:AF148),$AF$2:$AF$1001,0),MATCH(COLUMNS($AM$1006:AN1006),$AM$1006:$BM$1006,0)), HYPERLINK("#",""), HYPERLINK(CONCATENATE("#metadata!", ADDRESS(INDEX($AH$2:$AH$1001,MATCH(ROWS($AF$2:AF148),$AF$2:$AF$1001,0),0), INDEX($AM$1004:$BM$1004,1,MATCH(COLUMNS($AM$1006:AN1006),$AM$1006:$BM$1006,0)))),"Fix")))</f>
        <v xml:space="preserve"> </v>
      </c>
      <c r="D148" s="4" t="str">
        <f ca="1">IF(OR(INDEX($AG$2:$AG$1001,MATCH(ROWS($AF$2:AF148),$AF$2:$AF$1001,0),1)&gt;=100000,INDEX($AM$1005:$BM$1005,1,MATCH(COLUMNS($AM$1006:AO1006),$AM$1006:$BM$1006,0))&gt;=100000), " ",IF(INDEX($AM$2:$BM$1001,MATCH(ROWS($AF$2:AF148),$AF$2:$AF$1001,0),MATCH(COLUMNS($AM$1006:AO1006),$AM$1006:$BM$1006,0)), HYPERLINK("#",""), HYPERLINK(CONCATENATE("#metadata!", ADDRESS(INDEX($AH$2:$AH$1001,MATCH(ROWS($AF$2:AF148),$AF$2:$AF$1001,0),0), INDEX($AM$1004:$BM$1004,1,MATCH(COLUMNS($AM$1006:AO1006),$AM$1006:$BM$1006,0)))),"Fix")))</f>
        <v xml:space="preserve"> </v>
      </c>
      <c r="E148" s="4" t="str">
        <f ca="1">IF(OR(INDEX($AG$2:$AG$1001,MATCH(ROWS($AF$2:AF148),$AF$2:$AF$1001,0),1)&gt;=100000,INDEX($AM$1005:$BM$1005,1,MATCH(COLUMNS($AM$1006:AP1006),$AM$1006:$BM$1006,0))&gt;=100000), " ",IF(INDEX($AM$2:$BM$1001,MATCH(ROWS($AF$2:AF148),$AF$2:$AF$1001,0),MATCH(COLUMNS($AM$1006:AP1006),$AM$1006:$BM$1006,0)), HYPERLINK("#",""), HYPERLINK(CONCATENATE("#metadata!", ADDRESS(INDEX($AH$2:$AH$1001,MATCH(ROWS($AF$2:AF148),$AF$2:$AF$1001,0),0), INDEX($AM$1004:$BM$1004,1,MATCH(COLUMNS($AM$1006:AP1006),$AM$1006:$BM$1006,0)))),"Fix")))</f>
        <v xml:space="preserve"> </v>
      </c>
      <c r="F148" s="4" t="str">
        <f ca="1">IF(OR(INDEX($AG$2:$AG$1001,MATCH(ROWS($AF$2:AF148),$AF$2:$AF$1001,0),1)&gt;=100000,INDEX($AM$1005:$BM$1005,1,MATCH(COLUMNS($AM$1006:AQ1006),$AM$1006:$BM$1006,0))&gt;=100000), " ",IF(INDEX($AM$2:$BM$1001,MATCH(ROWS($AF$2:AF148),$AF$2:$AF$1001,0),MATCH(COLUMNS($AM$1006:AQ1006),$AM$1006:$BM$1006,0)), HYPERLINK("#",""), HYPERLINK(CONCATENATE("#metadata!", ADDRESS(INDEX($AH$2:$AH$1001,MATCH(ROWS($AF$2:AF148),$AF$2:$AF$1001,0),0), INDEX($AM$1004:$BM$1004,1,MATCH(COLUMNS($AM$1006:AQ1006),$AM$1006:$BM$1006,0)))),"Fix")))</f>
        <v xml:space="preserve"> </v>
      </c>
      <c r="G148" s="4" t="str">
        <f ca="1">IF(OR(INDEX($AG$2:$AG$1001,MATCH(ROWS($AF$2:AF148),$AF$2:$AF$1001,0),1)&gt;=100000,INDEX($AM$1005:$BM$1005,1,MATCH(COLUMNS($AM$1006:AR1006),$AM$1006:$BM$1006,0))&gt;=100000), " ",IF(INDEX($AM$2:$BM$1001,MATCH(ROWS($AF$2:AF148),$AF$2:$AF$1001,0),MATCH(COLUMNS($AM$1006:AR1006),$AM$1006:$BM$1006,0)), HYPERLINK("#",""), HYPERLINK(CONCATENATE("#metadata!", ADDRESS(INDEX($AH$2:$AH$1001,MATCH(ROWS($AF$2:AF148),$AF$2:$AF$1001,0),0), INDEX($AM$1004:$BM$1004,1,MATCH(COLUMNS($AM$1006:AR1006),$AM$1006:$BM$1006,0)))),"Fix")))</f>
        <v xml:space="preserve"> </v>
      </c>
      <c r="H148" s="4" t="str">
        <f ca="1">IF(OR(INDEX($AG$2:$AG$1001,MATCH(ROWS($AF$2:AF148),$AF$2:$AF$1001,0),1)&gt;=100000,INDEX($AM$1005:$BM$1005,1,MATCH(COLUMNS($AM$1006:AS1006),$AM$1006:$BM$1006,0))&gt;=100000), " ",IF(INDEX($AM$2:$BM$1001,MATCH(ROWS($AF$2:AF148),$AF$2:$AF$1001,0),MATCH(COLUMNS($AM$1006:AS1006),$AM$1006:$BM$1006,0)), HYPERLINK("#",""), HYPERLINK(CONCATENATE("#metadata!", ADDRESS(INDEX($AH$2:$AH$1001,MATCH(ROWS($AF$2:AF148),$AF$2:$AF$1001,0),0), INDEX($AM$1004:$BM$1004,1,MATCH(COLUMNS($AM$1006:AS1006),$AM$1006:$BM$1006,0)))),"Fix")))</f>
        <v xml:space="preserve"> </v>
      </c>
      <c r="I148" s="4" t="str">
        <f ca="1">IF(OR(INDEX($AG$2:$AG$1001,MATCH(ROWS($AF$2:AF148),$AF$2:$AF$1001,0),1)&gt;=100000,INDEX($AM$1005:$BM$1005,1,MATCH(COLUMNS($AM$1006:AT1006),$AM$1006:$BM$1006,0))&gt;=100000), " ",IF(INDEX($AM$2:$BM$1001,MATCH(ROWS($AF$2:AF148),$AF$2:$AF$1001,0),MATCH(COLUMNS($AM$1006:AT1006),$AM$1006:$BM$1006,0)), HYPERLINK("#",""), HYPERLINK(CONCATENATE("#metadata!", ADDRESS(INDEX($AH$2:$AH$1001,MATCH(ROWS($AF$2:AF148),$AF$2:$AF$1001,0),0), INDEX($AM$1004:$BM$1004,1,MATCH(COLUMNS($AM$1006:AT1006),$AM$1006:$BM$1006,0)))),"Fix")))</f>
        <v xml:space="preserve"> </v>
      </c>
      <c r="J148" s="4" t="str">
        <f ca="1">IF(OR(INDEX($AG$2:$AG$1001,MATCH(ROWS($AF$2:AF148),$AF$2:$AF$1001,0),1)&gt;=100000,INDEX($AM$1005:$BM$1005,1,MATCH(COLUMNS($AM$1006:AU1006),$AM$1006:$BM$1006,0))&gt;=100000), " ",IF(INDEX($AM$2:$BM$1001,MATCH(ROWS($AF$2:AF148),$AF$2:$AF$1001,0),MATCH(COLUMNS($AM$1006:AU1006),$AM$1006:$BM$1006,0)), HYPERLINK("#",""), HYPERLINK(CONCATENATE("#metadata!", ADDRESS(INDEX($AH$2:$AH$1001,MATCH(ROWS($AF$2:AF148),$AF$2:$AF$1001,0),0), INDEX($AM$1004:$BM$1004,1,MATCH(COLUMNS($AM$1006:AU1006),$AM$1006:$BM$1006,0)))),"Fix")))</f>
        <v xml:space="preserve"> </v>
      </c>
      <c r="K148" s="4" t="str">
        <f ca="1">IF(OR(INDEX($AG$2:$AG$1001,MATCH(ROWS($AF$2:AF148),$AF$2:$AF$1001,0),1)&gt;=100000,INDEX($AM$1005:$BM$1005,1,MATCH(COLUMNS($AM$1006:AV1006),$AM$1006:$BM$1006,0))&gt;=100000), " ",IF(INDEX($AM$2:$BM$1001,MATCH(ROWS($AF$2:AF148),$AF$2:$AF$1001,0),MATCH(COLUMNS($AM$1006:AV1006),$AM$1006:$BM$1006,0)), HYPERLINK("#",""), HYPERLINK(CONCATENATE("#metadata!", ADDRESS(INDEX($AH$2:$AH$1001,MATCH(ROWS($AF$2:AF148),$AF$2:$AF$1001,0),0), INDEX($AM$1004:$BM$1004,1,MATCH(COLUMNS($AM$1006:AV1006),$AM$1006:$BM$1006,0)))),"Fix")))</f>
        <v xml:space="preserve"> </v>
      </c>
      <c r="L148" s="4" t="str">
        <f ca="1">IF(OR(INDEX($AG$2:$AG$1001,MATCH(ROWS($AF$2:AF148),$AF$2:$AF$1001,0),1)&gt;=100000,INDEX($AM$1005:$BM$1005,1,MATCH(COLUMNS($AM$1006:AW1006),$AM$1006:$BM$1006,0))&gt;=100000), " ",IF(INDEX($AM$2:$BM$1001,MATCH(ROWS($AF$2:AF148),$AF$2:$AF$1001,0),MATCH(COLUMNS($AM$1006:AW1006),$AM$1006:$BM$1006,0)), HYPERLINK("#",""), HYPERLINK(CONCATENATE("#metadata!", ADDRESS(INDEX($AH$2:$AH$1001,MATCH(ROWS($AF$2:AF148),$AF$2:$AF$1001,0),0), INDEX($AM$1004:$BM$1004,1,MATCH(COLUMNS($AM$1006:AW1006),$AM$1006:$BM$1006,0)))),"Fix")))</f>
        <v xml:space="preserve"> </v>
      </c>
      <c r="M148" s="4" t="str">
        <f ca="1">IF(OR(INDEX($AG$2:$AG$1001,MATCH(ROWS($AF$2:AF148),$AF$2:$AF$1001,0),1)&gt;=100000,INDEX($AM$1005:$BM$1005,1,MATCH(COLUMNS($AM$1006:AX1006),$AM$1006:$BM$1006,0))&gt;=100000), " ",IF(INDEX($AM$2:$BM$1001,MATCH(ROWS($AF$2:AF148),$AF$2:$AF$1001,0),MATCH(COLUMNS($AM$1006:AX1006),$AM$1006:$BM$1006,0)), HYPERLINK("#",""), HYPERLINK(CONCATENATE("#metadata!", ADDRESS(INDEX($AH$2:$AH$1001,MATCH(ROWS($AF$2:AF148),$AF$2:$AF$1001,0),0), INDEX($AM$1004:$BM$1004,1,MATCH(COLUMNS($AM$1006:AX1006),$AM$1006:$BM$1006,0)))),"Fix")))</f>
        <v xml:space="preserve"> </v>
      </c>
      <c r="N148" s="4" t="str">
        <f ca="1">IF(OR(INDEX($AG$2:$AG$1001,MATCH(ROWS($AF$2:AF148),$AF$2:$AF$1001,0),1)&gt;=100000,INDEX($AM$1005:$BM$1005,1,MATCH(COLUMNS($AM$1006:AY1006),$AM$1006:$BM$1006,0))&gt;=100000), " ",IF(INDEX($AM$2:$BM$1001,MATCH(ROWS($AF$2:AF148),$AF$2:$AF$1001,0),MATCH(COLUMNS($AM$1006:AY1006),$AM$1006:$BM$1006,0)), HYPERLINK("#",""), HYPERLINK(CONCATENATE("#metadata!", ADDRESS(INDEX($AH$2:$AH$1001,MATCH(ROWS($AF$2:AF148),$AF$2:$AF$1001,0),0), INDEX($AM$1004:$BM$1004,1,MATCH(COLUMNS($AM$1006:AY1006),$AM$1006:$BM$1006,0)))),"Fix")))</f>
        <v xml:space="preserve"> </v>
      </c>
      <c r="O148" s="4" t="str">
        <f ca="1">IF(OR(INDEX($AG$2:$AG$1001,MATCH(ROWS($AF$2:AF148),$AF$2:$AF$1001,0),1)&gt;=100000,INDEX($AM$1005:$BM$1005,1,MATCH(COLUMNS($AM$1006:AZ1006),$AM$1006:$BM$1006,0))&gt;=100000), " ",IF(INDEX($AM$2:$BM$1001,MATCH(ROWS($AF$2:AF148),$AF$2:$AF$1001,0),MATCH(COLUMNS($AM$1006:AZ1006),$AM$1006:$BM$1006,0)), HYPERLINK("#",""), HYPERLINK(CONCATENATE("#metadata!", ADDRESS(INDEX($AH$2:$AH$1001,MATCH(ROWS($AF$2:AF148),$AF$2:$AF$1001,0),0), INDEX($AM$1004:$BM$1004,1,MATCH(COLUMNS($AM$1006:AZ1006),$AM$1006:$BM$1006,0)))),"Fix")))</f>
        <v xml:space="preserve"> </v>
      </c>
      <c r="P148" s="4" t="str">
        <f ca="1">IF(OR(INDEX($AG$2:$AG$1001,MATCH(ROWS($AF$2:AF148),$AF$2:$AF$1001,0),1)&gt;=100000,INDEX($AM$1005:$BM$1005,1,MATCH(COLUMNS($AM$1006:BA1006),$AM$1006:$BM$1006,0))&gt;=100000), " ",IF(INDEX($AM$2:$BM$1001,MATCH(ROWS($AF$2:AF148),$AF$2:$AF$1001,0),MATCH(COLUMNS($AM$1006:BA1006),$AM$1006:$BM$1006,0)), HYPERLINK("#",""), HYPERLINK(CONCATENATE("#metadata!", ADDRESS(INDEX($AH$2:$AH$1001,MATCH(ROWS($AF$2:AF148),$AF$2:$AF$1001,0),0), INDEX($AM$1004:$BM$1004,1,MATCH(COLUMNS($AM$1006:BA1006),$AM$1006:$BM$1006,0)))),"Fix")))</f>
        <v xml:space="preserve"> </v>
      </c>
      <c r="Q148" s="4" t="str">
        <f ca="1">IF(OR(INDEX($AG$2:$AG$1001,MATCH(ROWS($AF$2:AF148),$AF$2:$AF$1001,0),1)&gt;=100000,INDEX($AM$1005:$BM$1005,1,MATCH(COLUMNS($AM$1006:BB1006),$AM$1006:$BM$1006,0))&gt;=100000), " ",IF(INDEX($AM$2:$BM$1001,MATCH(ROWS($AF$2:AF148),$AF$2:$AF$1001,0),MATCH(COLUMNS($AM$1006:BB1006),$AM$1006:$BM$1006,0)), HYPERLINK("#",""), HYPERLINK(CONCATENATE("#metadata!", ADDRESS(INDEX($AH$2:$AH$1001,MATCH(ROWS($AF$2:AF148),$AF$2:$AF$1001,0),0), INDEX($AM$1004:$BM$1004,1,MATCH(COLUMNS($AM$1006:BB1006),$AM$1006:$BM$1006,0)))),"Fix")))</f>
        <v xml:space="preserve"> </v>
      </c>
      <c r="R148" s="4" t="str">
        <f ca="1">IF(OR(INDEX($AG$2:$AG$1001,MATCH(ROWS($AF$2:AF148),$AF$2:$AF$1001,0),1)&gt;=100000,INDEX($AM$1005:$BM$1005,1,MATCH(COLUMNS($AM$1006:BC1006),$AM$1006:$BM$1006,0))&gt;=100000), " ",IF(INDEX($AM$2:$BM$1001,MATCH(ROWS($AF$2:AF148),$AF$2:$AF$1001,0),MATCH(COLUMNS($AM$1006:BC1006),$AM$1006:$BM$1006,0)), HYPERLINK("#",""), HYPERLINK(CONCATENATE("#metadata!", ADDRESS(INDEX($AH$2:$AH$1001,MATCH(ROWS($AF$2:AF148),$AF$2:$AF$1001,0),0), INDEX($AM$1004:$BM$1004,1,MATCH(COLUMNS($AM$1006:BC1006),$AM$1006:$BM$1006,0)))),"Fix")))</f>
        <v xml:space="preserve"> </v>
      </c>
      <c r="S148" s="4" t="str">
        <f ca="1">IF(OR(INDEX($AG$2:$AG$1001,MATCH(ROWS($AF$2:AF148),$AF$2:$AF$1001,0),1)&gt;=100000,INDEX($AM$1005:$BM$1005,1,MATCH(COLUMNS($AM$1006:BD1006),$AM$1006:$BM$1006,0))&gt;=100000), " ",IF(INDEX($AM$2:$BM$1001,MATCH(ROWS($AF$2:AF148),$AF$2:$AF$1001,0),MATCH(COLUMNS($AM$1006:BD1006),$AM$1006:$BM$1006,0)), HYPERLINK("#",""), HYPERLINK(CONCATENATE("#metadata!", ADDRESS(INDEX($AH$2:$AH$1001,MATCH(ROWS($AF$2:AF148),$AF$2:$AF$1001,0),0), INDEX($AM$1004:$BM$1004,1,MATCH(COLUMNS($AM$1006:BD1006),$AM$1006:$BM$1006,0)))),"Fix")))</f>
        <v xml:space="preserve"> </v>
      </c>
      <c r="T148" s="4" t="str">
        <f ca="1">IF(OR(INDEX($AG$2:$AG$1001,MATCH(ROWS($AF$2:AF148),$AF$2:$AF$1001,0),1)&gt;=100000,INDEX($AM$1005:$BM$1005,1,MATCH(COLUMNS($AM$1006:BE1006),$AM$1006:$BM$1006,0))&gt;=100000), " ",IF(INDEX($AM$2:$BM$1001,MATCH(ROWS($AF$2:AF148),$AF$2:$AF$1001,0),MATCH(COLUMNS($AM$1006:BE1006),$AM$1006:$BM$1006,0)), HYPERLINK("#",""), HYPERLINK(CONCATENATE("#metadata!", ADDRESS(INDEX($AH$2:$AH$1001,MATCH(ROWS($AF$2:AF148),$AF$2:$AF$1001,0),0), INDEX($AM$1004:$BM$1004,1,MATCH(COLUMNS($AM$1006:BE1006),$AM$1006:$BM$1006,0)))),"Fix")))</f>
        <v xml:space="preserve"> </v>
      </c>
      <c r="U148" s="4" t="str">
        <f ca="1">IF(OR(INDEX($AG$2:$AG$1001,MATCH(ROWS($AF$2:AF148),$AF$2:$AF$1001,0),1)&gt;=100000,INDEX($AM$1005:$BM$1005,1,MATCH(COLUMNS($AM$1006:BF1006),$AM$1006:$BM$1006,0))&gt;=100000), " ",IF(INDEX($AM$2:$BM$1001,MATCH(ROWS($AF$2:AF148),$AF$2:$AF$1001,0),MATCH(COLUMNS($AM$1006:BF1006),$AM$1006:$BM$1006,0)), HYPERLINK("#",""), HYPERLINK(CONCATENATE("#metadata!", ADDRESS(INDEX($AH$2:$AH$1001,MATCH(ROWS($AF$2:AF148),$AF$2:$AF$1001,0),0), INDEX($AM$1004:$BM$1004,1,MATCH(COLUMNS($AM$1006:BF1006),$AM$1006:$BM$1006,0)))),"Fix")))</f>
        <v xml:space="preserve"> </v>
      </c>
      <c r="V148" s="4" t="str">
        <f ca="1">IF(OR(INDEX($AG$2:$AG$1001,MATCH(ROWS($AF$2:AF148),$AF$2:$AF$1001,0),1)&gt;=100000,INDEX($AM$1005:$BM$1005,1,MATCH(COLUMNS($AM$1006:BG1006),$AM$1006:$BM$1006,0))&gt;=100000), " ",IF(INDEX($AM$2:$BM$1001,MATCH(ROWS($AF$2:AF148),$AF$2:$AF$1001,0),MATCH(COLUMNS($AM$1006:BG1006),$AM$1006:$BM$1006,0)), HYPERLINK("#",""), HYPERLINK(CONCATENATE("#metadata!", ADDRESS(INDEX($AH$2:$AH$1001,MATCH(ROWS($AF$2:AF148),$AF$2:$AF$1001,0),0), INDEX($AM$1004:$BM$1004,1,MATCH(COLUMNS($AM$1006:BG1006),$AM$1006:$BM$1006,0)))),"Fix")))</f>
        <v xml:space="preserve"> </v>
      </c>
      <c r="W148" s="4" t="str">
        <f ca="1">IF(OR(INDEX($AG$2:$AG$1001,MATCH(ROWS($AF$2:AF148),$AF$2:$AF$1001,0),1)&gt;=100000,INDEX($AM$1005:$BM$1005,1,MATCH(COLUMNS($AM$1006:BH1006),$AM$1006:$BM$1006,0))&gt;=100000), " ",IF(INDEX($AM$2:$BM$1001,MATCH(ROWS($AF$2:AF148),$AF$2:$AF$1001,0),MATCH(COLUMNS($AM$1006:BH1006),$AM$1006:$BM$1006,0)), HYPERLINK("#",""), HYPERLINK(CONCATENATE("#metadata!", ADDRESS(INDEX($AH$2:$AH$1001,MATCH(ROWS($AF$2:AF148),$AF$2:$AF$1001,0),0), INDEX($AM$1004:$BM$1004,1,MATCH(COLUMNS($AM$1006:BH1006),$AM$1006:$BM$1006,0)))),"Fix")))</f>
        <v xml:space="preserve"> </v>
      </c>
      <c r="X148" s="4" t="str">
        <f ca="1">IF(OR(INDEX($AG$2:$AG$1001,MATCH(ROWS($AF$2:AF148),$AF$2:$AF$1001,0),1)&gt;=100000,INDEX($AM$1005:$BM$1005,1,MATCH(COLUMNS($AM$1006:BI1006),$AM$1006:$BM$1006,0))&gt;=100000), " ",IF(INDEX($AM$2:$BM$1001,MATCH(ROWS($AF$2:AF148),$AF$2:$AF$1001,0),MATCH(COLUMNS($AM$1006:BI1006),$AM$1006:$BM$1006,0)), HYPERLINK("#",""), HYPERLINK(CONCATENATE("#metadata!", ADDRESS(INDEX($AH$2:$AH$1001,MATCH(ROWS($AF$2:AF148),$AF$2:$AF$1001,0),0), INDEX($AM$1004:$BM$1004,1,MATCH(COLUMNS($AM$1006:BI1006),$AM$1006:$BM$1006,0)))),"Fix")))</f>
        <v xml:space="preserve"> </v>
      </c>
      <c r="Y148" s="4" t="str">
        <f ca="1">IF(OR(INDEX($AG$2:$AG$1001,MATCH(ROWS($AF$2:AF148),$AF$2:$AF$1001,0),1)&gt;=100000,INDEX($AM$1005:$BM$1005,1,MATCH(COLUMNS($AM$1006:BJ1006),$AM$1006:$BM$1006,0))&gt;=100000), " ",IF(INDEX($AM$2:$BM$1001,MATCH(ROWS($AF$2:AF148),$AF$2:$AF$1001,0),MATCH(COLUMNS($AM$1006:BJ1006),$AM$1006:$BM$1006,0)), HYPERLINK("#",""), HYPERLINK(CONCATENATE("#metadata!", ADDRESS(INDEX($AH$2:$AH$1001,MATCH(ROWS($AF$2:AF148),$AF$2:$AF$1001,0),0), INDEX($AM$1004:$BM$1004,1,MATCH(COLUMNS($AM$1006:BJ1006),$AM$1006:$BM$1006,0)))),"Fix")))</f>
        <v xml:space="preserve"> </v>
      </c>
      <c r="Z148" s="4" t="str">
        <f ca="1">IF(OR(INDEX($AG$2:$AG$1001,MATCH(ROWS($AF$2:AF148),$AF$2:$AF$1001,0),1)&gt;=100000,INDEX($AM$1005:$BM$1005,1,MATCH(COLUMNS($AM$1006:BK1006),$AM$1006:$BM$1006,0))&gt;=100000), " ",IF(INDEX($AM$2:$BM$1001,MATCH(ROWS($AF$2:AF148),$AF$2:$AF$1001,0),MATCH(COLUMNS($AM$1006:BK1006),$AM$1006:$BM$1006,0)), HYPERLINK("#",""), HYPERLINK(CONCATENATE("#metadata!", ADDRESS(INDEX($AH$2:$AH$1001,MATCH(ROWS($AF$2:AF148),$AF$2:$AF$1001,0),0), INDEX($AM$1004:$BM$1004,1,MATCH(COLUMNS($AM$1006:BK1006),$AM$1006:$BM$1006,0)))),"Fix")))</f>
        <v xml:space="preserve"> </v>
      </c>
      <c r="AA148" s="4" t="str">
        <f ca="1">IF(OR(INDEX($AG$2:$AG$1001,MATCH(ROWS($AF$2:AF148),$AF$2:$AF$1001,0),1)&gt;=100000,INDEX($AM$1005:$BM$1005,1,MATCH(COLUMNS($AM$1006:BL1006),$AM$1006:$BM$1006,0))&gt;=100000), " ",IF(INDEX($AM$2:$BM$1001,MATCH(ROWS($AF$2:AF148),$AF$2:$AF$1001,0),MATCH(COLUMNS($AM$1006:BL1006),$AM$1006:$BM$1006,0)), HYPERLINK("#",""), HYPERLINK(CONCATENATE("#metadata!", ADDRESS(INDEX($AH$2:$AH$1001,MATCH(ROWS($AF$2:AF148),$AF$2:$AF$1001,0),0), INDEX($AM$1004:$BM$1004,1,MATCH(COLUMNS($AM$1006:BL1006),$AM$1006:$BM$1006,0)))),"Fix")))</f>
        <v xml:space="preserve"> </v>
      </c>
      <c r="AB148" s="4" t="str">
        <f ca="1">IF(OR(INDEX($AG$2:$AG$1001,MATCH(ROWS($AF$2:AF148),$AF$2:$AF$1001,0),1)&gt;=100000,INDEX($AM$1005:$BM$1005,1,MATCH(COLUMNS($AM$1006:BM1006),$AM$1006:$BM$1006,0))&gt;=100000), " ",IF(INDEX($AM$2:$BM$1001,MATCH(ROWS($AF$2:AF148),$AF$2:$AF$1001,0),MATCH(COLUMNS($AM$1006:BM1006),$AM$1006:$BM$1006,0)), HYPERLINK("#",""), HYPERLINK(CONCATENATE("#metadata!", ADDRESS(INDEX($AH$2:$AH$1001,MATCH(ROWS($AF$2:AF148),$AF$2:$AF$1001,0),0), INDEX($AM$1004:$BM$1004,1,MATCH(COLUMNS($AM$1006:BM1006),$AM$1006:$BM$1006,0)))),"Fix")))</f>
        <v xml:space="preserve"> </v>
      </c>
      <c r="AF148">
        <v>147</v>
      </c>
      <c r="AG148">
        <v>100148</v>
      </c>
      <c r="AH148">
        <v>148</v>
      </c>
      <c r="AI148" t="b">
        <f t="shared" si="2"/>
        <v>1</v>
      </c>
      <c r="AJ148" t="b">
        <f>COUNTBLANK(metadata!B148:AB148)=COLUMNS(metadata!B148:AB148)</f>
        <v>1</v>
      </c>
      <c r="AK148" t="str">
        <v/>
      </c>
      <c r="AM148" t="b">
        <f ca="1">AND(IF(metadata!B148="",FALSE,TRUE),COUNTIF(metadata!B:B, metadata!B148) = 1,NOT(ISERROR(SUMPRODUCT(SEARCH(MID(metadata!B148,ROW(INDIRECT("1:"&amp;LEN(metadata!B148))), 1),"0123456789abcdefghijklmnopqrstuvwxyzABCDEFGHIJKLMNOPQRSTUVWXYZ.")))))</f>
        <v>0</v>
      </c>
      <c r="AN148" t="b">
        <f ca="1">OR(AND(IF(metadata!C148="",FALSE,TRUE),OR(EXACT(metadata!C148,"missing: not collected"),EXACT(metadata!C148,"missing: not provided"),EXACT(metadata!C148,"missing: restricted access"))),AND(IF(metadata!C148="",FALSE,TRUE),AND(AND(IFERROR(INT(LEFT(metadata!C148,4))&gt;1900,FALSE),IFERROR(INT(LEFT(metadata!C148,4))&lt;=YEAR(NOW()),FALSE)), OR(MID(metadata!C148,5,1)="", AND(AND(MID(metadata!C148,5,1)="-",IFERROR(INT(MID(metadata!C148,6,1))&gt;=0,FALSE),IFERROR(INT(MID(metadata!C148,6,1))&lt;=1,FALSE),NOT(MID(metadata!C148,7,1)=""),IFERROR(INT(MID(metadata!C148,6,2))&gt;=1,FALSE),IFERROR(INT(MID(metadata!C148,6,2))&lt;=12,FALSE)), OR(MID(metadata!C148,8,1)="", AND(AND(MID(metadata!C148,8,1)="-",IFERROR(INT(MID(metadata!C148,9,1))&gt;=0,FALSE),IFERROR(INT(MID(metadata!C148,9,1))&lt;=3,FALSE),NOT(MID(metadata!C148,10,1)=""),IFERROR(INT(MID(metadata!C148,9,2))&gt;=1,FALSE),IFERROR(INT(MID(metadata!C148,9,2))&lt;=31,FALSE)), OR(MID(metadata!C148,11,1)="", AND(AND(MID(metadata!C148,11,1)=" ",IFERROR(INT(MID(metadata!C148,12,1))&gt;=0,FALSE),IFERROR(INT(MID(metadata!C148,12,1))&lt;=2,FALSE),NOT(MID(metadata!C148,13,1)=""),IFERROR(INT(MID(metadata!C148,12,2))&gt;=0,FALSE),IFERROR(INT(MID(metadata!C148,12,2))&lt;=23,FALSE)), OR(MID(metadata!C148,14,1)="", AND(AND(MID(metadata!C148,14,1)=":",IFERROR(INT(MID(metadata!C148,15,1))&gt;=0,FALSE),IFERROR(INT(MID(metadata!C148,15,1))&lt;=5,FALSE),NOT(MID(metadata!C148,16,1)=""),IFERROR(INT(MID(metadata!C148,15,2))&gt;=0,FALSE),IFERROR(INT(MID(metadata!C148,15,2))&lt;=59,FALSE)), OR(MID(metadata!C148,17,1)="", AND(AND(MID(metadata!C148,17,1)=":",IFERROR(INT(MID(metadata!C148,18,1))&gt;=0,FALSE),IFERROR(INT(MID(metadata!C148,18,1))&lt;=5,FALSE),NOT(MID(metadata!C148,19,1)=""),IFERROR(INT(MID(metadata!C148,18,2))&gt;=0,FALSE),IFERROR(INT(MID(metadata!C148,18,2))&lt;=59,FALSE)), LEN(metadata!C148)&lt;=19)))))))))))))</f>
        <v>0</v>
      </c>
      <c r="AO148" t="b">
        <f>AND(IF(metadata!D148="",FALSE,TRUE),EXACT(metadata!D148,"Not applicable"))</f>
        <v>0</v>
      </c>
      <c r="AP148" t="b">
        <f>IF(metadata!E148="",FALSE,TRUE)</f>
        <v>0</v>
      </c>
      <c r="AQ148" t="b">
        <f>OR(AND(IF(metadata!F148="",FALSE,TRUE),OR(EXACT(metadata!F148,"missing: not collected"),EXACT(metadata!F148,"missing: not provided"))),AND(IF(metadata!F148="",FALSE,TRUE),OR(EXACT(metadata!F148,"TRUE"),EXACT(metadata!F148,"FALSE"))))</f>
        <v>0</v>
      </c>
      <c r="AR148" t="b">
        <f>OR(AND(IF(metadata!G148="",FALSE,TRUE),OR(EXACT(metadata!G148,"missing: not collected"),EXACT(metadata!G148,"missing: not provided"),EXACT(metadata!G148,"missing: restricted access"))),AND(IF(metadata!G148="",FALSE,ISNUMBER(VALUE(metadata!G148))),metadata!G148&gt;=-413))</f>
        <v>0</v>
      </c>
      <c r="AS148" t="b">
        <f>AND(IF(metadata!H148="",FALSE,TRUE),EXACT(metadata!H148,"meters"))</f>
        <v>0</v>
      </c>
      <c r="AT148" t="b">
        <f>AND(IF(metadata!I148="",FALSE,TRUE),OR(EXACT(metadata!I148,"Host-associated"),EXACT(metadata!I148,"Free-living")))</f>
        <v>0</v>
      </c>
      <c r="AU148" t="b">
        <f>AND(IF(metadata!J148="",FALSE,TRUE),OR(EXACT(metadata!J148,"Animal"),EXACT(metadata!J148,"Fungus"),EXACT(metadata!J148,"Plant"),EXACT(metadata!J148,"Saline"),EXACT(metadata!J148,"Non-saline")))</f>
        <v>0</v>
      </c>
      <c r="AV148" t="b">
        <f>AND(IF(metadata!K148="",FALSE,TRUE),OR(EXACT(metadata!K148,"Plant secretion"),EXACT(metadata!K148,"Plant rhizosphere"),EXACT(metadata!K148,"Plant surface"),EXACT(metadata!K148,"Plant corpus"),EXACT(metadata!K148,"Fungus surface"),EXACT(metadata!K148,"Fungus corpus"),EXACT(metadata!K148,"Animal surface"),EXACT(metadata!K148,"Animal proximal gut"),EXACT(metadata!K148,"Animal corpus"),EXACT(metadata!K148,"Animal distal gut"),EXACT(metadata!K148,"Animal secretion"),EXACT(metadata!K148,"Sub-surface (non-saline)"),EXACT(metadata!K148,"Surface (non-saline)"),EXACT(metadata!K148,"Water (non-saline)"),EXACT(metadata!K148,"Soil (non-saline)"),EXACT(metadata!K148,"Aerosol (non-saline)"),EXACT(metadata!K148,"Sediment (non-saline)"),EXACT(metadata!K148,"Surface (saline)"),EXACT(metadata!K148,"Water (saline)"),EXACT(metadata!K148,"Hypersaline (saline)"),EXACT(metadata!K148,"Aerosol (saline)"),EXACT(metadata!K148,"Sediment (saline)")))</f>
        <v>0</v>
      </c>
      <c r="AW148" t="b">
        <f>IF(metadata!L148="",FALSE,TRUE)</f>
        <v>0</v>
      </c>
      <c r="AX148" t="b">
        <f>IF(metadata!M148="",FALSE,TRUE)</f>
        <v>0</v>
      </c>
      <c r="AY148" t="b">
        <f>IF(metadata!N148="",FALSE,TRUE)</f>
        <v>0</v>
      </c>
      <c r="AZ148" t="b">
        <f>OR(AND(IF(metadata!O148="",FALSE,TRUE),OR(EXACT(metadata!O148,"missing: not collected"),EXACT(metadata!O148,"missing: not provided"),EXACT(metadata!O148,"missing: restricted access"))),AND(IF(metadata!O148="",FALSE,TRUE),OR(EXACT(metadata!O148,"air"),EXACT(metadata!O148,"built environment"),EXACT(metadata!O148,"host-associated"),EXACT(metadata!O148,"human-associated"),EXACT(metadata!O148,"human-skin"),EXACT(metadata!O148,"human-oral"),EXACT(metadata!O148,"human-gut"),EXACT(metadata!O148,"human-vaginal"),EXACT(metadata!O148,"microbial mat/biofilm"),EXACT(metadata!O148,"misc environment"),EXACT(metadata!O148,"plant-associated"),EXACT(metadata!O148,"sediment"),EXACT(metadata!O148,"soil"),EXACT(metadata!O148,"wastewater/sludge"),EXACT(metadata!O148,"water"))))</f>
        <v>0</v>
      </c>
      <c r="BA148" t="b">
        <f>IF(metadata!P148="",FALSE,TRUE)</f>
        <v>0</v>
      </c>
      <c r="BB148" t="b">
        <f>IF(metadata!Q148="",FALSE,TRUE)</f>
        <v>0</v>
      </c>
      <c r="BC148" t="b">
        <f>OR(AND(IF(metadata!R148="",FALSE,TRUE),OR(EXACT(metadata!R148,"missing: not collected"),EXACT(metadata!R148,"missing: not provided"),EXACT(metadata!R148,"missing: restricted access"))),AND(IF(metadata!R148="",FALSE,ISNUMBER(VALUE(metadata!R148))),metadata!R148&gt;=-90,metadata!R148&lt;=90))</f>
        <v>0</v>
      </c>
      <c r="BD148" t="b">
        <f>AND(IF(metadata!S148="",FALSE,TRUE),EXACT(metadata!S148,"Decimal degrees"))</f>
        <v>0</v>
      </c>
      <c r="BE148" t="b">
        <f>OR(AND(IF(metadata!T148="",FALSE,TRUE),OR(EXACT(metadata!T148,"missing: not collected"),EXACT(metadata!T148,"missing: not provided"),EXACT(metadata!T148,"missing: restricted access"))),AND(IF(metadata!T148="",FALSE,ISNUMBER(VALUE(metadata!T148))),metadata!T148&gt;=-180,metadata!T148&lt;=180))</f>
        <v>0</v>
      </c>
      <c r="BF148" t="b">
        <f>AND(IF(metadata!U148="",FALSE,TRUE),EXACT(metadata!U148,"Decimal degrees"))</f>
        <v>0</v>
      </c>
      <c r="BG148" t="b">
        <f>IF(metadata!V148="",FALSE,TRUE)</f>
        <v>0</v>
      </c>
      <c r="BH148" t="b">
        <f>OR(AND(IF(metadata!W148="",FALSE,TRUE),OR(EXACT(metadata!W148,"missing: not collected"),EXACT(metadata!W148,"missing: not provided"),EXACT(metadata!W148,"missing: restricted access"))),AND(IF(metadata!W148="",FALSE,TRUE),OR(EXACT(metadata!W148,"TRUE"),EXACT(metadata!W148,"FALSE"))))</f>
        <v>0</v>
      </c>
      <c r="BI148" t="b">
        <f>AND(IF(metadata!X148="",FALSE,TRUE),EXACT(metadata!X148,"other"))</f>
        <v>0</v>
      </c>
      <c r="BJ148" t="b">
        <f>IF(metadata!Y148="",FALSE,TRUE)</f>
        <v>0</v>
      </c>
      <c r="BK148" t="b">
        <f>OR(AND(IF(metadata!Z148="",FALSE,TRUE),OR(EXACT(metadata!Z148,"missing: not collected"),EXACT(metadata!Z148,"missing: not provided"))),AND(IF(metadata!Z148="",FALSE,IF(ISERROR(INT(metadata!Z148)),FALSE,INT(metadata!Z148)=metadata!Z148)),metadata!Z148&gt;0))</f>
        <v>0</v>
      </c>
      <c r="BL148" t="b">
        <f>AND(IF(metadata!AA148="",FALSE,TRUE),EXACT(metadata!AA148,"Not applicable"))</f>
        <v>0</v>
      </c>
      <c r="BM148" t="b">
        <f>IF(metadata!AB148="",FALSE,TRUE)</f>
        <v>0</v>
      </c>
    </row>
    <row r="149" spans="1:65" x14ac:dyDescent="0.2">
      <c r="A149" s="5" t="str">
        <f ca="1">IF(B149=" "," ",HYPERLINK(CONCATENATE("#metadata!",ADDRESS(INDEX($AH$2:$AH$1001,MATCH(ROWS($AF$2:AF149),$AF$2:$AF$1001,0),0),1)),INDEX($AK$2:$AK$1001,MATCH(ROWS($AF$2:AF149),$AF$2:$AF$1001,0),0)))</f>
        <v xml:space="preserve"> </v>
      </c>
      <c r="B149" s="4" t="str">
        <f ca="1">IF(OR(INDEX($AG$2:$AG$1001,MATCH(ROWS($AF$2:AF149),$AF$2:$AF$1001,0),1)&gt;=100000,INDEX($AM$1005:$BM$1005,1,MATCH(COLUMNS($AM$1006:AM1006),$AM$1006:$BM$1006,0))&gt;=100000), " ",IF(INDEX($AM$2:$BM$1001,MATCH(ROWS($AF$2:AF149),$AF$2:$AF$1001,0),MATCH(COLUMNS($AM$1006:AM1006),$AM$1006:$BM$1006,0)), HYPERLINK("#",""), HYPERLINK(CONCATENATE("#metadata!", ADDRESS(INDEX($AH$2:$AH$1001,MATCH(ROWS($AF$2:AF149),$AF$2:$AF$1001,0),0), INDEX($AM$1004:$BM$1004,1,MATCH(COLUMNS($AM$1006:AM1006),$AM$1006:$BM$1006,0)))),"Fix")))</f>
        <v xml:space="preserve"> </v>
      </c>
      <c r="C149" s="4" t="str">
        <f ca="1">IF(OR(INDEX($AG$2:$AG$1001,MATCH(ROWS($AF$2:AF149),$AF$2:$AF$1001,0),1)&gt;=100000,INDEX($AM$1005:$BM$1005,1,MATCH(COLUMNS($AM$1006:AN1006),$AM$1006:$BM$1006,0))&gt;=100000), " ",IF(INDEX($AM$2:$BM$1001,MATCH(ROWS($AF$2:AF149),$AF$2:$AF$1001,0),MATCH(COLUMNS($AM$1006:AN1006),$AM$1006:$BM$1006,0)), HYPERLINK("#",""), HYPERLINK(CONCATENATE("#metadata!", ADDRESS(INDEX($AH$2:$AH$1001,MATCH(ROWS($AF$2:AF149),$AF$2:$AF$1001,0),0), INDEX($AM$1004:$BM$1004,1,MATCH(COLUMNS($AM$1006:AN1006),$AM$1006:$BM$1006,0)))),"Fix")))</f>
        <v xml:space="preserve"> </v>
      </c>
      <c r="D149" s="4" t="str">
        <f ca="1">IF(OR(INDEX($AG$2:$AG$1001,MATCH(ROWS($AF$2:AF149),$AF$2:$AF$1001,0),1)&gt;=100000,INDEX($AM$1005:$BM$1005,1,MATCH(COLUMNS($AM$1006:AO1006),$AM$1006:$BM$1006,0))&gt;=100000), " ",IF(INDEX($AM$2:$BM$1001,MATCH(ROWS($AF$2:AF149),$AF$2:$AF$1001,0),MATCH(COLUMNS($AM$1006:AO1006),$AM$1006:$BM$1006,0)), HYPERLINK("#",""), HYPERLINK(CONCATENATE("#metadata!", ADDRESS(INDEX($AH$2:$AH$1001,MATCH(ROWS($AF$2:AF149),$AF$2:$AF$1001,0),0), INDEX($AM$1004:$BM$1004,1,MATCH(COLUMNS($AM$1006:AO1006),$AM$1006:$BM$1006,0)))),"Fix")))</f>
        <v xml:space="preserve"> </v>
      </c>
      <c r="E149" s="4" t="str">
        <f ca="1">IF(OR(INDEX($AG$2:$AG$1001,MATCH(ROWS($AF$2:AF149),$AF$2:$AF$1001,0),1)&gt;=100000,INDEX($AM$1005:$BM$1005,1,MATCH(COLUMNS($AM$1006:AP1006),$AM$1006:$BM$1006,0))&gt;=100000), " ",IF(INDEX($AM$2:$BM$1001,MATCH(ROWS($AF$2:AF149),$AF$2:$AF$1001,0),MATCH(COLUMNS($AM$1006:AP1006),$AM$1006:$BM$1006,0)), HYPERLINK("#",""), HYPERLINK(CONCATENATE("#metadata!", ADDRESS(INDEX($AH$2:$AH$1001,MATCH(ROWS($AF$2:AF149),$AF$2:$AF$1001,0),0), INDEX($AM$1004:$BM$1004,1,MATCH(COLUMNS($AM$1006:AP1006),$AM$1006:$BM$1006,0)))),"Fix")))</f>
        <v xml:space="preserve"> </v>
      </c>
      <c r="F149" s="4" t="str">
        <f ca="1">IF(OR(INDEX($AG$2:$AG$1001,MATCH(ROWS($AF$2:AF149),$AF$2:$AF$1001,0),1)&gt;=100000,INDEX($AM$1005:$BM$1005,1,MATCH(COLUMNS($AM$1006:AQ1006),$AM$1006:$BM$1006,0))&gt;=100000), " ",IF(INDEX($AM$2:$BM$1001,MATCH(ROWS($AF$2:AF149),$AF$2:$AF$1001,0),MATCH(COLUMNS($AM$1006:AQ1006),$AM$1006:$BM$1006,0)), HYPERLINK("#",""), HYPERLINK(CONCATENATE("#metadata!", ADDRESS(INDEX($AH$2:$AH$1001,MATCH(ROWS($AF$2:AF149),$AF$2:$AF$1001,0),0), INDEX($AM$1004:$BM$1004,1,MATCH(COLUMNS($AM$1006:AQ1006),$AM$1006:$BM$1006,0)))),"Fix")))</f>
        <v xml:space="preserve"> </v>
      </c>
      <c r="G149" s="4" t="str">
        <f ca="1">IF(OR(INDEX($AG$2:$AG$1001,MATCH(ROWS($AF$2:AF149),$AF$2:$AF$1001,0),1)&gt;=100000,INDEX($AM$1005:$BM$1005,1,MATCH(COLUMNS($AM$1006:AR1006),$AM$1006:$BM$1006,0))&gt;=100000), " ",IF(INDEX($AM$2:$BM$1001,MATCH(ROWS($AF$2:AF149),$AF$2:$AF$1001,0),MATCH(COLUMNS($AM$1006:AR1006),$AM$1006:$BM$1006,0)), HYPERLINK("#",""), HYPERLINK(CONCATENATE("#metadata!", ADDRESS(INDEX($AH$2:$AH$1001,MATCH(ROWS($AF$2:AF149),$AF$2:$AF$1001,0),0), INDEX($AM$1004:$BM$1004,1,MATCH(COLUMNS($AM$1006:AR1006),$AM$1006:$BM$1006,0)))),"Fix")))</f>
        <v xml:space="preserve"> </v>
      </c>
      <c r="H149" s="4" t="str">
        <f ca="1">IF(OR(INDEX($AG$2:$AG$1001,MATCH(ROWS($AF$2:AF149),$AF$2:$AF$1001,0),1)&gt;=100000,INDEX($AM$1005:$BM$1005,1,MATCH(COLUMNS($AM$1006:AS1006),$AM$1006:$BM$1006,0))&gt;=100000), " ",IF(INDEX($AM$2:$BM$1001,MATCH(ROWS($AF$2:AF149),$AF$2:$AF$1001,0),MATCH(COLUMNS($AM$1006:AS1006),$AM$1006:$BM$1006,0)), HYPERLINK("#",""), HYPERLINK(CONCATENATE("#metadata!", ADDRESS(INDEX($AH$2:$AH$1001,MATCH(ROWS($AF$2:AF149),$AF$2:$AF$1001,0),0), INDEX($AM$1004:$BM$1004,1,MATCH(COLUMNS($AM$1006:AS1006),$AM$1006:$BM$1006,0)))),"Fix")))</f>
        <v xml:space="preserve"> </v>
      </c>
      <c r="I149" s="4" t="str">
        <f ca="1">IF(OR(INDEX($AG$2:$AG$1001,MATCH(ROWS($AF$2:AF149),$AF$2:$AF$1001,0),1)&gt;=100000,INDEX($AM$1005:$BM$1005,1,MATCH(COLUMNS($AM$1006:AT1006),$AM$1006:$BM$1006,0))&gt;=100000), " ",IF(INDEX($AM$2:$BM$1001,MATCH(ROWS($AF$2:AF149),$AF$2:$AF$1001,0),MATCH(COLUMNS($AM$1006:AT1006),$AM$1006:$BM$1006,0)), HYPERLINK("#",""), HYPERLINK(CONCATENATE("#metadata!", ADDRESS(INDEX($AH$2:$AH$1001,MATCH(ROWS($AF$2:AF149),$AF$2:$AF$1001,0),0), INDEX($AM$1004:$BM$1004,1,MATCH(COLUMNS($AM$1006:AT1006),$AM$1006:$BM$1006,0)))),"Fix")))</f>
        <v xml:space="preserve"> </v>
      </c>
      <c r="J149" s="4" t="str">
        <f ca="1">IF(OR(INDEX($AG$2:$AG$1001,MATCH(ROWS($AF$2:AF149),$AF$2:$AF$1001,0),1)&gt;=100000,INDEX($AM$1005:$BM$1005,1,MATCH(COLUMNS($AM$1006:AU1006),$AM$1006:$BM$1006,0))&gt;=100000), " ",IF(INDEX($AM$2:$BM$1001,MATCH(ROWS($AF$2:AF149),$AF$2:$AF$1001,0),MATCH(COLUMNS($AM$1006:AU1006),$AM$1006:$BM$1006,0)), HYPERLINK("#",""), HYPERLINK(CONCATENATE("#metadata!", ADDRESS(INDEX($AH$2:$AH$1001,MATCH(ROWS($AF$2:AF149),$AF$2:$AF$1001,0),0), INDEX($AM$1004:$BM$1004,1,MATCH(COLUMNS($AM$1006:AU1006),$AM$1006:$BM$1006,0)))),"Fix")))</f>
        <v xml:space="preserve"> </v>
      </c>
      <c r="K149" s="4" t="str">
        <f ca="1">IF(OR(INDEX($AG$2:$AG$1001,MATCH(ROWS($AF$2:AF149),$AF$2:$AF$1001,0),1)&gt;=100000,INDEX($AM$1005:$BM$1005,1,MATCH(COLUMNS($AM$1006:AV1006),$AM$1006:$BM$1006,0))&gt;=100000), " ",IF(INDEX($AM$2:$BM$1001,MATCH(ROWS($AF$2:AF149),$AF$2:$AF$1001,0),MATCH(COLUMNS($AM$1006:AV1006),$AM$1006:$BM$1006,0)), HYPERLINK("#",""), HYPERLINK(CONCATENATE("#metadata!", ADDRESS(INDEX($AH$2:$AH$1001,MATCH(ROWS($AF$2:AF149),$AF$2:$AF$1001,0),0), INDEX($AM$1004:$BM$1004,1,MATCH(COLUMNS($AM$1006:AV1006),$AM$1006:$BM$1006,0)))),"Fix")))</f>
        <v xml:space="preserve"> </v>
      </c>
      <c r="L149" s="4" t="str">
        <f ca="1">IF(OR(INDEX($AG$2:$AG$1001,MATCH(ROWS($AF$2:AF149),$AF$2:$AF$1001,0),1)&gt;=100000,INDEX($AM$1005:$BM$1005,1,MATCH(COLUMNS($AM$1006:AW1006),$AM$1006:$BM$1006,0))&gt;=100000), " ",IF(INDEX($AM$2:$BM$1001,MATCH(ROWS($AF$2:AF149),$AF$2:$AF$1001,0),MATCH(COLUMNS($AM$1006:AW1006),$AM$1006:$BM$1006,0)), HYPERLINK("#",""), HYPERLINK(CONCATENATE("#metadata!", ADDRESS(INDEX($AH$2:$AH$1001,MATCH(ROWS($AF$2:AF149),$AF$2:$AF$1001,0),0), INDEX($AM$1004:$BM$1004,1,MATCH(COLUMNS($AM$1006:AW1006),$AM$1006:$BM$1006,0)))),"Fix")))</f>
        <v xml:space="preserve"> </v>
      </c>
      <c r="M149" s="4" t="str">
        <f ca="1">IF(OR(INDEX($AG$2:$AG$1001,MATCH(ROWS($AF$2:AF149),$AF$2:$AF$1001,0),1)&gt;=100000,INDEX($AM$1005:$BM$1005,1,MATCH(COLUMNS($AM$1006:AX1006),$AM$1006:$BM$1006,0))&gt;=100000), " ",IF(INDEX($AM$2:$BM$1001,MATCH(ROWS($AF$2:AF149),$AF$2:$AF$1001,0),MATCH(COLUMNS($AM$1006:AX1006),$AM$1006:$BM$1006,0)), HYPERLINK("#",""), HYPERLINK(CONCATENATE("#metadata!", ADDRESS(INDEX($AH$2:$AH$1001,MATCH(ROWS($AF$2:AF149),$AF$2:$AF$1001,0),0), INDEX($AM$1004:$BM$1004,1,MATCH(COLUMNS($AM$1006:AX1006),$AM$1006:$BM$1006,0)))),"Fix")))</f>
        <v xml:space="preserve"> </v>
      </c>
      <c r="N149" s="4" t="str">
        <f ca="1">IF(OR(INDEX($AG$2:$AG$1001,MATCH(ROWS($AF$2:AF149),$AF$2:$AF$1001,0),1)&gt;=100000,INDEX($AM$1005:$BM$1005,1,MATCH(COLUMNS($AM$1006:AY1006),$AM$1006:$BM$1006,0))&gt;=100000), " ",IF(INDEX($AM$2:$BM$1001,MATCH(ROWS($AF$2:AF149),$AF$2:$AF$1001,0),MATCH(COLUMNS($AM$1006:AY1006),$AM$1006:$BM$1006,0)), HYPERLINK("#",""), HYPERLINK(CONCATENATE("#metadata!", ADDRESS(INDEX($AH$2:$AH$1001,MATCH(ROWS($AF$2:AF149),$AF$2:$AF$1001,0),0), INDEX($AM$1004:$BM$1004,1,MATCH(COLUMNS($AM$1006:AY1006),$AM$1006:$BM$1006,0)))),"Fix")))</f>
        <v xml:space="preserve"> </v>
      </c>
      <c r="O149" s="4" t="str">
        <f ca="1">IF(OR(INDEX($AG$2:$AG$1001,MATCH(ROWS($AF$2:AF149),$AF$2:$AF$1001,0),1)&gt;=100000,INDEX($AM$1005:$BM$1005,1,MATCH(COLUMNS($AM$1006:AZ1006),$AM$1006:$BM$1006,0))&gt;=100000), " ",IF(INDEX($AM$2:$BM$1001,MATCH(ROWS($AF$2:AF149),$AF$2:$AF$1001,0),MATCH(COLUMNS($AM$1006:AZ1006),$AM$1006:$BM$1006,0)), HYPERLINK("#",""), HYPERLINK(CONCATENATE("#metadata!", ADDRESS(INDEX($AH$2:$AH$1001,MATCH(ROWS($AF$2:AF149),$AF$2:$AF$1001,0),0), INDEX($AM$1004:$BM$1004,1,MATCH(COLUMNS($AM$1006:AZ1006),$AM$1006:$BM$1006,0)))),"Fix")))</f>
        <v xml:space="preserve"> </v>
      </c>
      <c r="P149" s="4" t="str">
        <f ca="1">IF(OR(INDEX($AG$2:$AG$1001,MATCH(ROWS($AF$2:AF149),$AF$2:$AF$1001,0),1)&gt;=100000,INDEX($AM$1005:$BM$1005,1,MATCH(COLUMNS($AM$1006:BA1006),$AM$1006:$BM$1006,0))&gt;=100000), " ",IF(INDEX($AM$2:$BM$1001,MATCH(ROWS($AF$2:AF149),$AF$2:$AF$1001,0),MATCH(COLUMNS($AM$1006:BA1006),$AM$1006:$BM$1006,0)), HYPERLINK("#",""), HYPERLINK(CONCATENATE("#metadata!", ADDRESS(INDEX($AH$2:$AH$1001,MATCH(ROWS($AF$2:AF149),$AF$2:$AF$1001,0),0), INDEX($AM$1004:$BM$1004,1,MATCH(COLUMNS($AM$1006:BA1006),$AM$1006:$BM$1006,0)))),"Fix")))</f>
        <v xml:space="preserve"> </v>
      </c>
      <c r="Q149" s="4" t="str">
        <f ca="1">IF(OR(INDEX($AG$2:$AG$1001,MATCH(ROWS($AF$2:AF149),$AF$2:$AF$1001,0),1)&gt;=100000,INDEX($AM$1005:$BM$1005,1,MATCH(COLUMNS($AM$1006:BB1006),$AM$1006:$BM$1006,0))&gt;=100000), " ",IF(INDEX($AM$2:$BM$1001,MATCH(ROWS($AF$2:AF149),$AF$2:$AF$1001,0),MATCH(COLUMNS($AM$1006:BB1006),$AM$1006:$BM$1006,0)), HYPERLINK("#",""), HYPERLINK(CONCATENATE("#metadata!", ADDRESS(INDEX($AH$2:$AH$1001,MATCH(ROWS($AF$2:AF149),$AF$2:$AF$1001,0),0), INDEX($AM$1004:$BM$1004,1,MATCH(COLUMNS($AM$1006:BB1006),$AM$1006:$BM$1006,0)))),"Fix")))</f>
        <v xml:space="preserve"> </v>
      </c>
      <c r="R149" s="4" t="str">
        <f ca="1">IF(OR(INDEX($AG$2:$AG$1001,MATCH(ROWS($AF$2:AF149),$AF$2:$AF$1001,0),1)&gt;=100000,INDEX($AM$1005:$BM$1005,1,MATCH(COLUMNS($AM$1006:BC1006),$AM$1006:$BM$1006,0))&gt;=100000), " ",IF(INDEX($AM$2:$BM$1001,MATCH(ROWS($AF$2:AF149),$AF$2:$AF$1001,0),MATCH(COLUMNS($AM$1006:BC1006),$AM$1006:$BM$1006,0)), HYPERLINK("#",""), HYPERLINK(CONCATENATE("#metadata!", ADDRESS(INDEX($AH$2:$AH$1001,MATCH(ROWS($AF$2:AF149),$AF$2:$AF$1001,0),0), INDEX($AM$1004:$BM$1004,1,MATCH(COLUMNS($AM$1006:BC1006),$AM$1006:$BM$1006,0)))),"Fix")))</f>
        <v xml:space="preserve"> </v>
      </c>
      <c r="S149" s="4" t="str">
        <f ca="1">IF(OR(INDEX($AG$2:$AG$1001,MATCH(ROWS($AF$2:AF149),$AF$2:$AF$1001,0),1)&gt;=100000,INDEX($AM$1005:$BM$1005,1,MATCH(COLUMNS($AM$1006:BD1006),$AM$1006:$BM$1006,0))&gt;=100000), " ",IF(INDEX($AM$2:$BM$1001,MATCH(ROWS($AF$2:AF149),$AF$2:$AF$1001,0),MATCH(COLUMNS($AM$1006:BD1006),$AM$1006:$BM$1006,0)), HYPERLINK("#",""), HYPERLINK(CONCATENATE("#metadata!", ADDRESS(INDEX($AH$2:$AH$1001,MATCH(ROWS($AF$2:AF149),$AF$2:$AF$1001,0),0), INDEX($AM$1004:$BM$1004,1,MATCH(COLUMNS($AM$1006:BD1006),$AM$1006:$BM$1006,0)))),"Fix")))</f>
        <v xml:space="preserve"> </v>
      </c>
      <c r="T149" s="4" t="str">
        <f ca="1">IF(OR(INDEX($AG$2:$AG$1001,MATCH(ROWS($AF$2:AF149),$AF$2:$AF$1001,0),1)&gt;=100000,INDEX($AM$1005:$BM$1005,1,MATCH(COLUMNS($AM$1006:BE1006),$AM$1006:$BM$1006,0))&gt;=100000), " ",IF(INDEX($AM$2:$BM$1001,MATCH(ROWS($AF$2:AF149),$AF$2:$AF$1001,0),MATCH(COLUMNS($AM$1006:BE1006),$AM$1006:$BM$1006,0)), HYPERLINK("#",""), HYPERLINK(CONCATENATE("#metadata!", ADDRESS(INDEX($AH$2:$AH$1001,MATCH(ROWS($AF$2:AF149),$AF$2:$AF$1001,0),0), INDEX($AM$1004:$BM$1004,1,MATCH(COLUMNS($AM$1006:BE1006),$AM$1006:$BM$1006,0)))),"Fix")))</f>
        <v xml:space="preserve"> </v>
      </c>
      <c r="U149" s="4" t="str">
        <f ca="1">IF(OR(INDEX($AG$2:$AG$1001,MATCH(ROWS($AF$2:AF149),$AF$2:$AF$1001,0),1)&gt;=100000,INDEX($AM$1005:$BM$1005,1,MATCH(COLUMNS($AM$1006:BF1006),$AM$1006:$BM$1006,0))&gt;=100000), " ",IF(INDEX($AM$2:$BM$1001,MATCH(ROWS($AF$2:AF149),$AF$2:$AF$1001,0),MATCH(COLUMNS($AM$1006:BF1006),$AM$1006:$BM$1006,0)), HYPERLINK("#",""), HYPERLINK(CONCATENATE("#metadata!", ADDRESS(INDEX($AH$2:$AH$1001,MATCH(ROWS($AF$2:AF149),$AF$2:$AF$1001,0),0), INDEX($AM$1004:$BM$1004,1,MATCH(COLUMNS($AM$1006:BF1006),$AM$1006:$BM$1006,0)))),"Fix")))</f>
        <v xml:space="preserve"> </v>
      </c>
      <c r="V149" s="4" t="str">
        <f ca="1">IF(OR(INDEX($AG$2:$AG$1001,MATCH(ROWS($AF$2:AF149),$AF$2:$AF$1001,0),1)&gt;=100000,INDEX($AM$1005:$BM$1005,1,MATCH(COLUMNS($AM$1006:BG1006),$AM$1006:$BM$1006,0))&gt;=100000), " ",IF(INDEX($AM$2:$BM$1001,MATCH(ROWS($AF$2:AF149),$AF$2:$AF$1001,0),MATCH(COLUMNS($AM$1006:BG1006),$AM$1006:$BM$1006,0)), HYPERLINK("#",""), HYPERLINK(CONCATENATE("#metadata!", ADDRESS(INDEX($AH$2:$AH$1001,MATCH(ROWS($AF$2:AF149),$AF$2:$AF$1001,0),0), INDEX($AM$1004:$BM$1004,1,MATCH(COLUMNS($AM$1006:BG1006),$AM$1006:$BM$1006,0)))),"Fix")))</f>
        <v xml:space="preserve"> </v>
      </c>
      <c r="W149" s="4" t="str">
        <f ca="1">IF(OR(INDEX($AG$2:$AG$1001,MATCH(ROWS($AF$2:AF149),$AF$2:$AF$1001,0),1)&gt;=100000,INDEX($AM$1005:$BM$1005,1,MATCH(COLUMNS($AM$1006:BH1006),$AM$1006:$BM$1006,0))&gt;=100000), " ",IF(INDEX($AM$2:$BM$1001,MATCH(ROWS($AF$2:AF149),$AF$2:$AF$1001,0),MATCH(COLUMNS($AM$1006:BH1006),$AM$1006:$BM$1006,0)), HYPERLINK("#",""), HYPERLINK(CONCATENATE("#metadata!", ADDRESS(INDEX($AH$2:$AH$1001,MATCH(ROWS($AF$2:AF149),$AF$2:$AF$1001,0),0), INDEX($AM$1004:$BM$1004,1,MATCH(COLUMNS($AM$1006:BH1006),$AM$1006:$BM$1006,0)))),"Fix")))</f>
        <v xml:space="preserve"> </v>
      </c>
      <c r="X149" s="4" t="str">
        <f ca="1">IF(OR(INDEX($AG$2:$AG$1001,MATCH(ROWS($AF$2:AF149),$AF$2:$AF$1001,0),1)&gt;=100000,INDEX($AM$1005:$BM$1005,1,MATCH(COLUMNS($AM$1006:BI1006),$AM$1006:$BM$1006,0))&gt;=100000), " ",IF(INDEX($AM$2:$BM$1001,MATCH(ROWS($AF$2:AF149),$AF$2:$AF$1001,0),MATCH(COLUMNS($AM$1006:BI1006),$AM$1006:$BM$1006,0)), HYPERLINK("#",""), HYPERLINK(CONCATENATE("#metadata!", ADDRESS(INDEX($AH$2:$AH$1001,MATCH(ROWS($AF$2:AF149),$AF$2:$AF$1001,0),0), INDEX($AM$1004:$BM$1004,1,MATCH(COLUMNS($AM$1006:BI1006),$AM$1006:$BM$1006,0)))),"Fix")))</f>
        <v xml:space="preserve"> </v>
      </c>
      <c r="Y149" s="4" t="str">
        <f ca="1">IF(OR(INDEX($AG$2:$AG$1001,MATCH(ROWS($AF$2:AF149),$AF$2:$AF$1001,0),1)&gt;=100000,INDEX($AM$1005:$BM$1005,1,MATCH(COLUMNS($AM$1006:BJ1006),$AM$1006:$BM$1006,0))&gt;=100000), " ",IF(INDEX($AM$2:$BM$1001,MATCH(ROWS($AF$2:AF149),$AF$2:$AF$1001,0),MATCH(COLUMNS($AM$1006:BJ1006),$AM$1006:$BM$1006,0)), HYPERLINK("#",""), HYPERLINK(CONCATENATE("#metadata!", ADDRESS(INDEX($AH$2:$AH$1001,MATCH(ROWS($AF$2:AF149),$AF$2:$AF$1001,0),0), INDEX($AM$1004:$BM$1004,1,MATCH(COLUMNS($AM$1006:BJ1006),$AM$1006:$BM$1006,0)))),"Fix")))</f>
        <v xml:space="preserve"> </v>
      </c>
      <c r="Z149" s="4" t="str">
        <f ca="1">IF(OR(INDEX($AG$2:$AG$1001,MATCH(ROWS($AF$2:AF149),$AF$2:$AF$1001,0),1)&gt;=100000,INDEX($AM$1005:$BM$1005,1,MATCH(COLUMNS($AM$1006:BK1006),$AM$1006:$BM$1006,0))&gt;=100000), " ",IF(INDEX($AM$2:$BM$1001,MATCH(ROWS($AF$2:AF149),$AF$2:$AF$1001,0),MATCH(COLUMNS($AM$1006:BK1006),$AM$1006:$BM$1006,0)), HYPERLINK("#",""), HYPERLINK(CONCATENATE("#metadata!", ADDRESS(INDEX($AH$2:$AH$1001,MATCH(ROWS($AF$2:AF149),$AF$2:$AF$1001,0),0), INDEX($AM$1004:$BM$1004,1,MATCH(COLUMNS($AM$1006:BK1006),$AM$1006:$BM$1006,0)))),"Fix")))</f>
        <v xml:space="preserve"> </v>
      </c>
      <c r="AA149" s="4" t="str">
        <f ca="1">IF(OR(INDEX($AG$2:$AG$1001,MATCH(ROWS($AF$2:AF149),$AF$2:$AF$1001,0),1)&gt;=100000,INDEX($AM$1005:$BM$1005,1,MATCH(COLUMNS($AM$1006:BL1006),$AM$1006:$BM$1006,0))&gt;=100000), " ",IF(INDEX($AM$2:$BM$1001,MATCH(ROWS($AF$2:AF149),$AF$2:$AF$1001,0),MATCH(COLUMNS($AM$1006:BL1006),$AM$1006:$BM$1006,0)), HYPERLINK("#",""), HYPERLINK(CONCATENATE("#metadata!", ADDRESS(INDEX($AH$2:$AH$1001,MATCH(ROWS($AF$2:AF149),$AF$2:$AF$1001,0),0), INDEX($AM$1004:$BM$1004,1,MATCH(COLUMNS($AM$1006:BL1006),$AM$1006:$BM$1006,0)))),"Fix")))</f>
        <v xml:space="preserve"> </v>
      </c>
      <c r="AB149" s="4" t="str">
        <f ca="1">IF(OR(INDEX($AG$2:$AG$1001,MATCH(ROWS($AF$2:AF149),$AF$2:$AF$1001,0),1)&gt;=100000,INDEX($AM$1005:$BM$1005,1,MATCH(COLUMNS($AM$1006:BM1006),$AM$1006:$BM$1006,0))&gt;=100000), " ",IF(INDEX($AM$2:$BM$1001,MATCH(ROWS($AF$2:AF149),$AF$2:$AF$1001,0),MATCH(COLUMNS($AM$1006:BM1006),$AM$1006:$BM$1006,0)), HYPERLINK("#",""), HYPERLINK(CONCATENATE("#metadata!", ADDRESS(INDEX($AH$2:$AH$1001,MATCH(ROWS($AF$2:AF149),$AF$2:$AF$1001,0),0), INDEX($AM$1004:$BM$1004,1,MATCH(COLUMNS($AM$1006:BM1006),$AM$1006:$BM$1006,0)))),"Fix")))</f>
        <v xml:space="preserve"> </v>
      </c>
      <c r="AF149">
        <v>148</v>
      </c>
      <c r="AG149">
        <v>100149</v>
      </c>
      <c r="AH149">
        <v>149</v>
      </c>
      <c r="AI149" t="b">
        <f t="shared" si="2"/>
        <v>1</v>
      </c>
      <c r="AJ149" t="b">
        <f>COUNTBLANK(metadata!B149:AB149)=COLUMNS(metadata!B149:AB149)</f>
        <v>1</v>
      </c>
      <c r="AK149" t="str">
        <v/>
      </c>
      <c r="AM149" t="b">
        <f ca="1">AND(IF(metadata!B149="",FALSE,TRUE),COUNTIF(metadata!B:B, metadata!B149) = 1,NOT(ISERROR(SUMPRODUCT(SEARCH(MID(metadata!B149,ROW(INDIRECT("1:"&amp;LEN(metadata!B149))), 1),"0123456789abcdefghijklmnopqrstuvwxyzABCDEFGHIJKLMNOPQRSTUVWXYZ.")))))</f>
        <v>0</v>
      </c>
      <c r="AN149" t="b">
        <f ca="1">OR(AND(IF(metadata!C149="",FALSE,TRUE),OR(EXACT(metadata!C149,"missing: not collected"),EXACT(metadata!C149,"missing: not provided"),EXACT(metadata!C149,"missing: restricted access"))),AND(IF(metadata!C149="",FALSE,TRUE),AND(AND(IFERROR(INT(LEFT(metadata!C149,4))&gt;1900,FALSE),IFERROR(INT(LEFT(metadata!C149,4))&lt;=YEAR(NOW()),FALSE)), OR(MID(metadata!C149,5,1)="", AND(AND(MID(metadata!C149,5,1)="-",IFERROR(INT(MID(metadata!C149,6,1))&gt;=0,FALSE),IFERROR(INT(MID(metadata!C149,6,1))&lt;=1,FALSE),NOT(MID(metadata!C149,7,1)=""),IFERROR(INT(MID(metadata!C149,6,2))&gt;=1,FALSE),IFERROR(INT(MID(metadata!C149,6,2))&lt;=12,FALSE)), OR(MID(metadata!C149,8,1)="", AND(AND(MID(metadata!C149,8,1)="-",IFERROR(INT(MID(metadata!C149,9,1))&gt;=0,FALSE),IFERROR(INT(MID(metadata!C149,9,1))&lt;=3,FALSE),NOT(MID(metadata!C149,10,1)=""),IFERROR(INT(MID(metadata!C149,9,2))&gt;=1,FALSE),IFERROR(INT(MID(metadata!C149,9,2))&lt;=31,FALSE)), OR(MID(metadata!C149,11,1)="", AND(AND(MID(metadata!C149,11,1)=" ",IFERROR(INT(MID(metadata!C149,12,1))&gt;=0,FALSE),IFERROR(INT(MID(metadata!C149,12,1))&lt;=2,FALSE),NOT(MID(metadata!C149,13,1)=""),IFERROR(INT(MID(metadata!C149,12,2))&gt;=0,FALSE),IFERROR(INT(MID(metadata!C149,12,2))&lt;=23,FALSE)), OR(MID(metadata!C149,14,1)="", AND(AND(MID(metadata!C149,14,1)=":",IFERROR(INT(MID(metadata!C149,15,1))&gt;=0,FALSE),IFERROR(INT(MID(metadata!C149,15,1))&lt;=5,FALSE),NOT(MID(metadata!C149,16,1)=""),IFERROR(INT(MID(metadata!C149,15,2))&gt;=0,FALSE),IFERROR(INT(MID(metadata!C149,15,2))&lt;=59,FALSE)), OR(MID(metadata!C149,17,1)="", AND(AND(MID(metadata!C149,17,1)=":",IFERROR(INT(MID(metadata!C149,18,1))&gt;=0,FALSE),IFERROR(INT(MID(metadata!C149,18,1))&lt;=5,FALSE),NOT(MID(metadata!C149,19,1)=""),IFERROR(INT(MID(metadata!C149,18,2))&gt;=0,FALSE),IFERROR(INT(MID(metadata!C149,18,2))&lt;=59,FALSE)), LEN(metadata!C149)&lt;=19)))))))))))))</f>
        <v>0</v>
      </c>
      <c r="AO149" t="b">
        <f>AND(IF(metadata!D149="",FALSE,TRUE),EXACT(metadata!D149,"Not applicable"))</f>
        <v>0</v>
      </c>
      <c r="AP149" t="b">
        <f>IF(metadata!E149="",FALSE,TRUE)</f>
        <v>0</v>
      </c>
      <c r="AQ149" t="b">
        <f>OR(AND(IF(metadata!F149="",FALSE,TRUE),OR(EXACT(metadata!F149,"missing: not collected"),EXACT(metadata!F149,"missing: not provided"))),AND(IF(metadata!F149="",FALSE,TRUE),OR(EXACT(metadata!F149,"TRUE"),EXACT(metadata!F149,"FALSE"))))</f>
        <v>0</v>
      </c>
      <c r="AR149" t="b">
        <f>OR(AND(IF(metadata!G149="",FALSE,TRUE),OR(EXACT(metadata!G149,"missing: not collected"),EXACT(metadata!G149,"missing: not provided"),EXACT(metadata!G149,"missing: restricted access"))),AND(IF(metadata!G149="",FALSE,ISNUMBER(VALUE(metadata!G149))),metadata!G149&gt;=-413))</f>
        <v>0</v>
      </c>
      <c r="AS149" t="b">
        <f>AND(IF(metadata!H149="",FALSE,TRUE),EXACT(metadata!H149,"meters"))</f>
        <v>0</v>
      </c>
      <c r="AT149" t="b">
        <f>AND(IF(metadata!I149="",FALSE,TRUE),OR(EXACT(metadata!I149,"Host-associated"),EXACT(metadata!I149,"Free-living")))</f>
        <v>0</v>
      </c>
      <c r="AU149" t="b">
        <f>AND(IF(metadata!J149="",FALSE,TRUE),OR(EXACT(metadata!J149,"Animal"),EXACT(metadata!J149,"Fungus"),EXACT(metadata!J149,"Plant"),EXACT(metadata!J149,"Saline"),EXACT(metadata!J149,"Non-saline")))</f>
        <v>0</v>
      </c>
      <c r="AV149" t="b">
        <f>AND(IF(metadata!K149="",FALSE,TRUE),OR(EXACT(metadata!K149,"Plant secretion"),EXACT(metadata!K149,"Plant rhizosphere"),EXACT(metadata!K149,"Plant surface"),EXACT(metadata!K149,"Plant corpus"),EXACT(metadata!K149,"Fungus surface"),EXACT(metadata!K149,"Fungus corpus"),EXACT(metadata!K149,"Animal surface"),EXACT(metadata!K149,"Animal proximal gut"),EXACT(metadata!K149,"Animal corpus"),EXACT(metadata!K149,"Animal distal gut"),EXACT(metadata!K149,"Animal secretion"),EXACT(metadata!K149,"Sub-surface (non-saline)"),EXACT(metadata!K149,"Surface (non-saline)"),EXACT(metadata!K149,"Water (non-saline)"),EXACT(metadata!K149,"Soil (non-saline)"),EXACT(metadata!K149,"Aerosol (non-saline)"),EXACT(metadata!K149,"Sediment (non-saline)"),EXACT(metadata!K149,"Surface (saline)"),EXACT(metadata!K149,"Water (saline)"),EXACT(metadata!K149,"Hypersaline (saline)"),EXACT(metadata!K149,"Aerosol (saline)"),EXACT(metadata!K149,"Sediment (saline)")))</f>
        <v>0</v>
      </c>
      <c r="AW149" t="b">
        <f>IF(metadata!L149="",FALSE,TRUE)</f>
        <v>0</v>
      </c>
      <c r="AX149" t="b">
        <f>IF(metadata!M149="",FALSE,TRUE)</f>
        <v>0</v>
      </c>
      <c r="AY149" t="b">
        <f>IF(metadata!N149="",FALSE,TRUE)</f>
        <v>0</v>
      </c>
      <c r="AZ149" t="b">
        <f>OR(AND(IF(metadata!O149="",FALSE,TRUE),OR(EXACT(metadata!O149,"missing: not collected"),EXACT(metadata!O149,"missing: not provided"),EXACT(metadata!O149,"missing: restricted access"))),AND(IF(metadata!O149="",FALSE,TRUE),OR(EXACT(metadata!O149,"air"),EXACT(metadata!O149,"built environment"),EXACT(metadata!O149,"host-associated"),EXACT(metadata!O149,"human-associated"),EXACT(metadata!O149,"human-skin"),EXACT(metadata!O149,"human-oral"),EXACT(metadata!O149,"human-gut"),EXACT(metadata!O149,"human-vaginal"),EXACT(metadata!O149,"microbial mat/biofilm"),EXACT(metadata!O149,"misc environment"),EXACT(metadata!O149,"plant-associated"),EXACT(metadata!O149,"sediment"),EXACT(metadata!O149,"soil"),EXACT(metadata!O149,"wastewater/sludge"),EXACT(metadata!O149,"water"))))</f>
        <v>0</v>
      </c>
      <c r="BA149" t="b">
        <f>IF(metadata!P149="",FALSE,TRUE)</f>
        <v>0</v>
      </c>
      <c r="BB149" t="b">
        <f>IF(metadata!Q149="",FALSE,TRUE)</f>
        <v>0</v>
      </c>
      <c r="BC149" t="b">
        <f>OR(AND(IF(metadata!R149="",FALSE,TRUE),OR(EXACT(metadata!R149,"missing: not collected"),EXACT(metadata!R149,"missing: not provided"),EXACT(metadata!R149,"missing: restricted access"))),AND(IF(metadata!R149="",FALSE,ISNUMBER(VALUE(metadata!R149))),metadata!R149&gt;=-90,metadata!R149&lt;=90))</f>
        <v>0</v>
      </c>
      <c r="BD149" t="b">
        <f>AND(IF(metadata!S149="",FALSE,TRUE),EXACT(metadata!S149,"Decimal degrees"))</f>
        <v>0</v>
      </c>
      <c r="BE149" t="b">
        <f>OR(AND(IF(metadata!T149="",FALSE,TRUE),OR(EXACT(metadata!T149,"missing: not collected"),EXACT(metadata!T149,"missing: not provided"),EXACT(metadata!T149,"missing: restricted access"))),AND(IF(metadata!T149="",FALSE,ISNUMBER(VALUE(metadata!T149))),metadata!T149&gt;=-180,metadata!T149&lt;=180))</f>
        <v>0</v>
      </c>
      <c r="BF149" t="b">
        <f>AND(IF(metadata!U149="",FALSE,TRUE),EXACT(metadata!U149,"Decimal degrees"))</f>
        <v>0</v>
      </c>
      <c r="BG149" t="b">
        <f>IF(metadata!V149="",FALSE,TRUE)</f>
        <v>0</v>
      </c>
      <c r="BH149" t="b">
        <f>OR(AND(IF(metadata!W149="",FALSE,TRUE),OR(EXACT(metadata!W149,"missing: not collected"),EXACT(metadata!W149,"missing: not provided"),EXACT(metadata!W149,"missing: restricted access"))),AND(IF(metadata!W149="",FALSE,TRUE),OR(EXACT(metadata!W149,"TRUE"),EXACT(metadata!W149,"FALSE"))))</f>
        <v>0</v>
      </c>
      <c r="BI149" t="b">
        <f>AND(IF(metadata!X149="",FALSE,TRUE),EXACT(metadata!X149,"other"))</f>
        <v>0</v>
      </c>
      <c r="BJ149" t="b">
        <f>IF(metadata!Y149="",FALSE,TRUE)</f>
        <v>0</v>
      </c>
      <c r="BK149" t="b">
        <f>OR(AND(IF(metadata!Z149="",FALSE,TRUE),OR(EXACT(metadata!Z149,"missing: not collected"),EXACT(metadata!Z149,"missing: not provided"))),AND(IF(metadata!Z149="",FALSE,IF(ISERROR(INT(metadata!Z149)),FALSE,INT(metadata!Z149)=metadata!Z149)),metadata!Z149&gt;0))</f>
        <v>0</v>
      </c>
      <c r="BL149" t="b">
        <f>AND(IF(metadata!AA149="",FALSE,TRUE),EXACT(metadata!AA149,"Not applicable"))</f>
        <v>0</v>
      </c>
      <c r="BM149" t="b">
        <f>IF(metadata!AB149="",FALSE,TRUE)</f>
        <v>0</v>
      </c>
    </row>
    <row r="150" spans="1:65" x14ac:dyDescent="0.2">
      <c r="A150" s="5" t="str">
        <f ca="1">IF(B150=" "," ",HYPERLINK(CONCATENATE("#metadata!",ADDRESS(INDEX($AH$2:$AH$1001,MATCH(ROWS($AF$2:AF150),$AF$2:$AF$1001,0),0),1)),INDEX($AK$2:$AK$1001,MATCH(ROWS($AF$2:AF150),$AF$2:$AF$1001,0),0)))</f>
        <v xml:space="preserve"> </v>
      </c>
      <c r="B150" s="4" t="str">
        <f ca="1">IF(OR(INDEX($AG$2:$AG$1001,MATCH(ROWS($AF$2:AF150),$AF$2:$AF$1001,0),1)&gt;=100000,INDEX($AM$1005:$BM$1005,1,MATCH(COLUMNS($AM$1006:AM1006),$AM$1006:$BM$1006,0))&gt;=100000), " ",IF(INDEX($AM$2:$BM$1001,MATCH(ROWS($AF$2:AF150),$AF$2:$AF$1001,0),MATCH(COLUMNS($AM$1006:AM1006),$AM$1006:$BM$1006,0)), HYPERLINK("#",""), HYPERLINK(CONCATENATE("#metadata!", ADDRESS(INDEX($AH$2:$AH$1001,MATCH(ROWS($AF$2:AF150),$AF$2:$AF$1001,0),0), INDEX($AM$1004:$BM$1004,1,MATCH(COLUMNS($AM$1006:AM1006),$AM$1006:$BM$1006,0)))),"Fix")))</f>
        <v xml:space="preserve"> </v>
      </c>
      <c r="C150" s="4" t="str">
        <f ca="1">IF(OR(INDEX($AG$2:$AG$1001,MATCH(ROWS($AF$2:AF150),$AF$2:$AF$1001,0),1)&gt;=100000,INDEX($AM$1005:$BM$1005,1,MATCH(COLUMNS($AM$1006:AN1006),$AM$1006:$BM$1006,0))&gt;=100000), " ",IF(INDEX($AM$2:$BM$1001,MATCH(ROWS($AF$2:AF150),$AF$2:$AF$1001,0),MATCH(COLUMNS($AM$1006:AN1006),$AM$1006:$BM$1006,0)), HYPERLINK("#",""), HYPERLINK(CONCATENATE("#metadata!", ADDRESS(INDEX($AH$2:$AH$1001,MATCH(ROWS($AF$2:AF150),$AF$2:$AF$1001,0),0), INDEX($AM$1004:$BM$1004,1,MATCH(COLUMNS($AM$1006:AN1006),$AM$1006:$BM$1006,0)))),"Fix")))</f>
        <v xml:space="preserve"> </v>
      </c>
      <c r="D150" s="4" t="str">
        <f ca="1">IF(OR(INDEX($AG$2:$AG$1001,MATCH(ROWS($AF$2:AF150),$AF$2:$AF$1001,0),1)&gt;=100000,INDEX($AM$1005:$BM$1005,1,MATCH(COLUMNS($AM$1006:AO1006),$AM$1006:$BM$1006,0))&gt;=100000), " ",IF(INDEX($AM$2:$BM$1001,MATCH(ROWS($AF$2:AF150),$AF$2:$AF$1001,0),MATCH(COLUMNS($AM$1006:AO1006),$AM$1006:$BM$1006,0)), HYPERLINK("#",""), HYPERLINK(CONCATENATE("#metadata!", ADDRESS(INDEX($AH$2:$AH$1001,MATCH(ROWS($AF$2:AF150),$AF$2:$AF$1001,0),0), INDEX($AM$1004:$BM$1004,1,MATCH(COLUMNS($AM$1006:AO1006),$AM$1006:$BM$1006,0)))),"Fix")))</f>
        <v xml:space="preserve"> </v>
      </c>
      <c r="E150" s="4" t="str">
        <f ca="1">IF(OR(INDEX($AG$2:$AG$1001,MATCH(ROWS($AF$2:AF150),$AF$2:$AF$1001,0),1)&gt;=100000,INDEX($AM$1005:$BM$1005,1,MATCH(COLUMNS($AM$1006:AP1006),$AM$1006:$BM$1006,0))&gt;=100000), " ",IF(INDEX($AM$2:$BM$1001,MATCH(ROWS($AF$2:AF150),$AF$2:$AF$1001,0),MATCH(COLUMNS($AM$1006:AP1006),$AM$1006:$BM$1006,0)), HYPERLINK("#",""), HYPERLINK(CONCATENATE("#metadata!", ADDRESS(INDEX($AH$2:$AH$1001,MATCH(ROWS($AF$2:AF150),$AF$2:$AF$1001,0),0), INDEX($AM$1004:$BM$1004,1,MATCH(COLUMNS($AM$1006:AP1006),$AM$1006:$BM$1006,0)))),"Fix")))</f>
        <v xml:space="preserve"> </v>
      </c>
      <c r="F150" s="4" t="str">
        <f ca="1">IF(OR(INDEX($AG$2:$AG$1001,MATCH(ROWS($AF$2:AF150),$AF$2:$AF$1001,0),1)&gt;=100000,INDEX($AM$1005:$BM$1005,1,MATCH(COLUMNS($AM$1006:AQ1006),$AM$1006:$BM$1006,0))&gt;=100000), " ",IF(INDEX($AM$2:$BM$1001,MATCH(ROWS($AF$2:AF150),$AF$2:$AF$1001,0),MATCH(COLUMNS($AM$1006:AQ1006),$AM$1006:$BM$1006,0)), HYPERLINK("#",""), HYPERLINK(CONCATENATE("#metadata!", ADDRESS(INDEX($AH$2:$AH$1001,MATCH(ROWS($AF$2:AF150),$AF$2:$AF$1001,0),0), INDEX($AM$1004:$BM$1004,1,MATCH(COLUMNS($AM$1006:AQ1006),$AM$1006:$BM$1006,0)))),"Fix")))</f>
        <v xml:space="preserve"> </v>
      </c>
      <c r="G150" s="4" t="str">
        <f ca="1">IF(OR(INDEX($AG$2:$AG$1001,MATCH(ROWS($AF$2:AF150),$AF$2:$AF$1001,0),1)&gt;=100000,INDEX($AM$1005:$BM$1005,1,MATCH(COLUMNS($AM$1006:AR1006),$AM$1006:$BM$1006,0))&gt;=100000), " ",IF(INDEX($AM$2:$BM$1001,MATCH(ROWS($AF$2:AF150),$AF$2:$AF$1001,0),MATCH(COLUMNS($AM$1006:AR1006),$AM$1006:$BM$1006,0)), HYPERLINK("#",""), HYPERLINK(CONCATENATE("#metadata!", ADDRESS(INDEX($AH$2:$AH$1001,MATCH(ROWS($AF$2:AF150),$AF$2:$AF$1001,0),0), INDEX($AM$1004:$BM$1004,1,MATCH(COLUMNS($AM$1006:AR1006),$AM$1006:$BM$1006,0)))),"Fix")))</f>
        <v xml:space="preserve"> </v>
      </c>
      <c r="H150" s="4" t="str">
        <f ca="1">IF(OR(INDEX($AG$2:$AG$1001,MATCH(ROWS($AF$2:AF150),$AF$2:$AF$1001,0),1)&gt;=100000,INDEX($AM$1005:$BM$1005,1,MATCH(COLUMNS($AM$1006:AS1006),$AM$1006:$BM$1006,0))&gt;=100000), " ",IF(INDEX($AM$2:$BM$1001,MATCH(ROWS($AF$2:AF150),$AF$2:$AF$1001,0),MATCH(COLUMNS($AM$1006:AS1006),$AM$1006:$BM$1006,0)), HYPERLINK("#",""), HYPERLINK(CONCATENATE("#metadata!", ADDRESS(INDEX($AH$2:$AH$1001,MATCH(ROWS($AF$2:AF150),$AF$2:$AF$1001,0),0), INDEX($AM$1004:$BM$1004,1,MATCH(COLUMNS($AM$1006:AS1006),$AM$1006:$BM$1006,0)))),"Fix")))</f>
        <v xml:space="preserve"> </v>
      </c>
      <c r="I150" s="4" t="str">
        <f ca="1">IF(OR(INDEX($AG$2:$AG$1001,MATCH(ROWS($AF$2:AF150),$AF$2:$AF$1001,0),1)&gt;=100000,INDEX($AM$1005:$BM$1005,1,MATCH(COLUMNS($AM$1006:AT1006),$AM$1006:$BM$1006,0))&gt;=100000), " ",IF(INDEX($AM$2:$BM$1001,MATCH(ROWS($AF$2:AF150),$AF$2:$AF$1001,0),MATCH(COLUMNS($AM$1006:AT1006),$AM$1006:$BM$1006,0)), HYPERLINK("#",""), HYPERLINK(CONCATENATE("#metadata!", ADDRESS(INDEX($AH$2:$AH$1001,MATCH(ROWS($AF$2:AF150),$AF$2:$AF$1001,0),0), INDEX($AM$1004:$BM$1004,1,MATCH(COLUMNS($AM$1006:AT1006),$AM$1006:$BM$1006,0)))),"Fix")))</f>
        <v xml:space="preserve"> </v>
      </c>
      <c r="J150" s="4" t="str">
        <f ca="1">IF(OR(INDEX($AG$2:$AG$1001,MATCH(ROWS($AF$2:AF150),$AF$2:$AF$1001,0),1)&gt;=100000,INDEX($AM$1005:$BM$1005,1,MATCH(COLUMNS($AM$1006:AU1006),$AM$1006:$BM$1006,0))&gt;=100000), " ",IF(INDEX($AM$2:$BM$1001,MATCH(ROWS($AF$2:AF150),$AF$2:$AF$1001,0),MATCH(COLUMNS($AM$1006:AU1006),$AM$1006:$BM$1006,0)), HYPERLINK("#",""), HYPERLINK(CONCATENATE("#metadata!", ADDRESS(INDEX($AH$2:$AH$1001,MATCH(ROWS($AF$2:AF150),$AF$2:$AF$1001,0),0), INDEX($AM$1004:$BM$1004,1,MATCH(COLUMNS($AM$1006:AU1006),$AM$1006:$BM$1006,0)))),"Fix")))</f>
        <v xml:space="preserve"> </v>
      </c>
      <c r="K150" s="4" t="str">
        <f ca="1">IF(OR(INDEX($AG$2:$AG$1001,MATCH(ROWS($AF$2:AF150),$AF$2:$AF$1001,0),1)&gt;=100000,INDEX($AM$1005:$BM$1005,1,MATCH(COLUMNS($AM$1006:AV1006),$AM$1006:$BM$1006,0))&gt;=100000), " ",IF(INDEX($AM$2:$BM$1001,MATCH(ROWS($AF$2:AF150),$AF$2:$AF$1001,0),MATCH(COLUMNS($AM$1006:AV1006),$AM$1006:$BM$1006,0)), HYPERLINK("#",""), HYPERLINK(CONCATENATE("#metadata!", ADDRESS(INDEX($AH$2:$AH$1001,MATCH(ROWS($AF$2:AF150),$AF$2:$AF$1001,0),0), INDEX($AM$1004:$BM$1004,1,MATCH(COLUMNS($AM$1006:AV1006),$AM$1006:$BM$1006,0)))),"Fix")))</f>
        <v xml:space="preserve"> </v>
      </c>
      <c r="L150" s="4" t="str">
        <f ca="1">IF(OR(INDEX($AG$2:$AG$1001,MATCH(ROWS($AF$2:AF150),$AF$2:$AF$1001,0),1)&gt;=100000,INDEX($AM$1005:$BM$1005,1,MATCH(COLUMNS($AM$1006:AW1006),$AM$1006:$BM$1006,0))&gt;=100000), " ",IF(INDEX($AM$2:$BM$1001,MATCH(ROWS($AF$2:AF150),$AF$2:$AF$1001,0),MATCH(COLUMNS($AM$1006:AW1006),$AM$1006:$BM$1006,0)), HYPERLINK("#",""), HYPERLINK(CONCATENATE("#metadata!", ADDRESS(INDEX($AH$2:$AH$1001,MATCH(ROWS($AF$2:AF150),$AF$2:$AF$1001,0),0), INDEX($AM$1004:$BM$1004,1,MATCH(COLUMNS($AM$1006:AW1006),$AM$1006:$BM$1006,0)))),"Fix")))</f>
        <v xml:space="preserve"> </v>
      </c>
      <c r="M150" s="4" t="str">
        <f ca="1">IF(OR(INDEX($AG$2:$AG$1001,MATCH(ROWS($AF$2:AF150),$AF$2:$AF$1001,0),1)&gt;=100000,INDEX($AM$1005:$BM$1005,1,MATCH(COLUMNS($AM$1006:AX1006),$AM$1006:$BM$1006,0))&gt;=100000), " ",IF(INDEX($AM$2:$BM$1001,MATCH(ROWS($AF$2:AF150),$AF$2:$AF$1001,0),MATCH(COLUMNS($AM$1006:AX1006),$AM$1006:$BM$1006,0)), HYPERLINK("#",""), HYPERLINK(CONCATENATE("#metadata!", ADDRESS(INDEX($AH$2:$AH$1001,MATCH(ROWS($AF$2:AF150),$AF$2:$AF$1001,0),0), INDEX($AM$1004:$BM$1004,1,MATCH(COLUMNS($AM$1006:AX1006),$AM$1006:$BM$1006,0)))),"Fix")))</f>
        <v xml:space="preserve"> </v>
      </c>
      <c r="N150" s="4" t="str">
        <f ca="1">IF(OR(INDEX($AG$2:$AG$1001,MATCH(ROWS($AF$2:AF150),$AF$2:$AF$1001,0),1)&gt;=100000,INDEX($AM$1005:$BM$1005,1,MATCH(COLUMNS($AM$1006:AY1006),$AM$1006:$BM$1006,0))&gt;=100000), " ",IF(INDEX($AM$2:$BM$1001,MATCH(ROWS($AF$2:AF150),$AF$2:$AF$1001,0),MATCH(COLUMNS($AM$1006:AY1006),$AM$1006:$BM$1006,0)), HYPERLINK("#",""), HYPERLINK(CONCATENATE("#metadata!", ADDRESS(INDEX($AH$2:$AH$1001,MATCH(ROWS($AF$2:AF150),$AF$2:$AF$1001,0),0), INDEX($AM$1004:$BM$1004,1,MATCH(COLUMNS($AM$1006:AY1006),$AM$1006:$BM$1006,0)))),"Fix")))</f>
        <v xml:space="preserve"> </v>
      </c>
      <c r="O150" s="4" t="str">
        <f ca="1">IF(OR(INDEX($AG$2:$AG$1001,MATCH(ROWS($AF$2:AF150),$AF$2:$AF$1001,0),1)&gt;=100000,INDEX($AM$1005:$BM$1005,1,MATCH(COLUMNS($AM$1006:AZ1006),$AM$1006:$BM$1006,0))&gt;=100000), " ",IF(INDEX($AM$2:$BM$1001,MATCH(ROWS($AF$2:AF150),$AF$2:$AF$1001,0),MATCH(COLUMNS($AM$1006:AZ1006),$AM$1006:$BM$1006,0)), HYPERLINK("#",""), HYPERLINK(CONCATENATE("#metadata!", ADDRESS(INDEX($AH$2:$AH$1001,MATCH(ROWS($AF$2:AF150),$AF$2:$AF$1001,0),0), INDEX($AM$1004:$BM$1004,1,MATCH(COLUMNS($AM$1006:AZ1006),$AM$1006:$BM$1006,0)))),"Fix")))</f>
        <v xml:space="preserve"> </v>
      </c>
      <c r="P150" s="4" t="str">
        <f ca="1">IF(OR(INDEX($AG$2:$AG$1001,MATCH(ROWS($AF$2:AF150),$AF$2:$AF$1001,0),1)&gt;=100000,INDEX($AM$1005:$BM$1005,1,MATCH(COLUMNS($AM$1006:BA1006),$AM$1006:$BM$1006,0))&gt;=100000), " ",IF(INDEX($AM$2:$BM$1001,MATCH(ROWS($AF$2:AF150),$AF$2:$AF$1001,0),MATCH(COLUMNS($AM$1006:BA1006),$AM$1006:$BM$1006,0)), HYPERLINK("#",""), HYPERLINK(CONCATENATE("#metadata!", ADDRESS(INDEX($AH$2:$AH$1001,MATCH(ROWS($AF$2:AF150),$AF$2:$AF$1001,0),0), INDEX($AM$1004:$BM$1004,1,MATCH(COLUMNS($AM$1006:BA1006),$AM$1006:$BM$1006,0)))),"Fix")))</f>
        <v xml:space="preserve"> </v>
      </c>
      <c r="Q150" s="4" t="str">
        <f ca="1">IF(OR(INDEX($AG$2:$AG$1001,MATCH(ROWS($AF$2:AF150),$AF$2:$AF$1001,0),1)&gt;=100000,INDEX($AM$1005:$BM$1005,1,MATCH(COLUMNS($AM$1006:BB1006),$AM$1006:$BM$1006,0))&gt;=100000), " ",IF(INDEX($AM$2:$BM$1001,MATCH(ROWS($AF$2:AF150),$AF$2:$AF$1001,0),MATCH(COLUMNS($AM$1006:BB1006),$AM$1006:$BM$1006,0)), HYPERLINK("#",""), HYPERLINK(CONCATENATE("#metadata!", ADDRESS(INDEX($AH$2:$AH$1001,MATCH(ROWS($AF$2:AF150),$AF$2:$AF$1001,0),0), INDEX($AM$1004:$BM$1004,1,MATCH(COLUMNS($AM$1006:BB1006),$AM$1006:$BM$1006,0)))),"Fix")))</f>
        <v xml:space="preserve"> </v>
      </c>
      <c r="R150" s="4" t="str">
        <f ca="1">IF(OR(INDEX($AG$2:$AG$1001,MATCH(ROWS($AF$2:AF150),$AF$2:$AF$1001,0),1)&gt;=100000,INDEX($AM$1005:$BM$1005,1,MATCH(COLUMNS($AM$1006:BC1006),$AM$1006:$BM$1006,0))&gt;=100000), " ",IF(INDEX($AM$2:$BM$1001,MATCH(ROWS($AF$2:AF150),$AF$2:$AF$1001,0),MATCH(COLUMNS($AM$1006:BC1006),$AM$1006:$BM$1006,0)), HYPERLINK("#",""), HYPERLINK(CONCATENATE("#metadata!", ADDRESS(INDEX($AH$2:$AH$1001,MATCH(ROWS($AF$2:AF150),$AF$2:$AF$1001,0),0), INDEX($AM$1004:$BM$1004,1,MATCH(COLUMNS($AM$1006:BC1006),$AM$1006:$BM$1006,0)))),"Fix")))</f>
        <v xml:space="preserve"> </v>
      </c>
      <c r="S150" s="4" t="str">
        <f ca="1">IF(OR(INDEX($AG$2:$AG$1001,MATCH(ROWS($AF$2:AF150),$AF$2:$AF$1001,0),1)&gt;=100000,INDEX($AM$1005:$BM$1005,1,MATCH(COLUMNS($AM$1006:BD1006),$AM$1006:$BM$1006,0))&gt;=100000), " ",IF(INDEX($AM$2:$BM$1001,MATCH(ROWS($AF$2:AF150),$AF$2:$AF$1001,0),MATCH(COLUMNS($AM$1006:BD1006),$AM$1006:$BM$1006,0)), HYPERLINK("#",""), HYPERLINK(CONCATENATE("#metadata!", ADDRESS(INDEX($AH$2:$AH$1001,MATCH(ROWS($AF$2:AF150),$AF$2:$AF$1001,0),0), INDEX($AM$1004:$BM$1004,1,MATCH(COLUMNS($AM$1006:BD1006),$AM$1006:$BM$1006,0)))),"Fix")))</f>
        <v xml:space="preserve"> </v>
      </c>
      <c r="T150" s="4" t="str">
        <f ca="1">IF(OR(INDEX($AG$2:$AG$1001,MATCH(ROWS($AF$2:AF150),$AF$2:$AF$1001,0),1)&gt;=100000,INDEX($AM$1005:$BM$1005,1,MATCH(COLUMNS($AM$1006:BE1006),$AM$1006:$BM$1006,0))&gt;=100000), " ",IF(INDEX($AM$2:$BM$1001,MATCH(ROWS($AF$2:AF150),$AF$2:$AF$1001,0),MATCH(COLUMNS($AM$1006:BE1006),$AM$1006:$BM$1006,0)), HYPERLINK("#",""), HYPERLINK(CONCATENATE("#metadata!", ADDRESS(INDEX($AH$2:$AH$1001,MATCH(ROWS($AF$2:AF150),$AF$2:$AF$1001,0),0), INDEX($AM$1004:$BM$1004,1,MATCH(COLUMNS($AM$1006:BE1006),$AM$1006:$BM$1006,0)))),"Fix")))</f>
        <v xml:space="preserve"> </v>
      </c>
      <c r="U150" s="4" t="str">
        <f ca="1">IF(OR(INDEX($AG$2:$AG$1001,MATCH(ROWS($AF$2:AF150),$AF$2:$AF$1001,0),1)&gt;=100000,INDEX($AM$1005:$BM$1005,1,MATCH(COLUMNS($AM$1006:BF1006),$AM$1006:$BM$1006,0))&gt;=100000), " ",IF(INDEX($AM$2:$BM$1001,MATCH(ROWS($AF$2:AF150),$AF$2:$AF$1001,0),MATCH(COLUMNS($AM$1006:BF1006),$AM$1006:$BM$1006,0)), HYPERLINK("#",""), HYPERLINK(CONCATENATE("#metadata!", ADDRESS(INDEX($AH$2:$AH$1001,MATCH(ROWS($AF$2:AF150),$AF$2:$AF$1001,0),0), INDEX($AM$1004:$BM$1004,1,MATCH(COLUMNS($AM$1006:BF1006),$AM$1006:$BM$1006,0)))),"Fix")))</f>
        <v xml:space="preserve"> </v>
      </c>
      <c r="V150" s="4" t="str">
        <f ca="1">IF(OR(INDEX($AG$2:$AG$1001,MATCH(ROWS($AF$2:AF150),$AF$2:$AF$1001,0),1)&gt;=100000,INDEX($AM$1005:$BM$1005,1,MATCH(COLUMNS($AM$1006:BG1006),$AM$1006:$BM$1006,0))&gt;=100000), " ",IF(INDEX($AM$2:$BM$1001,MATCH(ROWS($AF$2:AF150),$AF$2:$AF$1001,0),MATCH(COLUMNS($AM$1006:BG1006),$AM$1006:$BM$1006,0)), HYPERLINK("#",""), HYPERLINK(CONCATENATE("#metadata!", ADDRESS(INDEX($AH$2:$AH$1001,MATCH(ROWS($AF$2:AF150),$AF$2:$AF$1001,0),0), INDEX($AM$1004:$BM$1004,1,MATCH(COLUMNS($AM$1006:BG1006),$AM$1006:$BM$1006,0)))),"Fix")))</f>
        <v xml:space="preserve"> </v>
      </c>
      <c r="W150" s="4" t="str">
        <f ca="1">IF(OR(INDEX($AG$2:$AG$1001,MATCH(ROWS($AF$2:AF150),$AF$2:$AF$1001,0),1)&gt;=100000,INDEX($AM$1005:$BM$1005,1,MATCH(COLUMNS($AM$1006:BH1006),$AM$1006:$BM$1006,0))&gt;=100000), " ",IF(INDEX($AM$2:$BM$1001,MATCH(ROWS($AF$2:AF150),$AF$2:$AF$1001,0),MATCH(COLUMNS($AM$1006:BH1006),$AM$1006:$BM$1006,0)), HYPERLINK("#",""), HYPERLINK(CONCATENATE("#metadata!", ADDRESS(INDEX($AH$2:$AH$1001,MATCH(ROWS($AF$2:AF150),$AF$2:$AF$1001,0),0), INDEX($AM$1004:$BM$1004,1,MATCH(COLUMNS($AM$1006:BH1006),$AM$1006:$BM$1006,0)))),"Fix")))</f>
        <v xml:space="preserve"> </v>
      </c>
      <c r="X150" s="4" t="str">
        <f ca="1">IF(OR(INDEX($AG$2:$AG$1001,MATCH(ROWS($AF$2:AF150),$AF$2:$AF$1001,0),1)&gt;=100000,INDEX($AM$1005:$BM$1005,1,MATCH(COLUMNS($AM$1006:BI1006),$AM$1006:$BM$1006,0))&gt;=100000), " ",IF(INDEX($AM$2:$BM$1001,MATCH(ROWS($AF$2:AF150),$AF$2:$AF$1001,0),MATCH(COLUMNS($AM$1006:BI1006),$AM$1006:$BM$1006,0)), HYPERLINK("#",""), HYPERLINK(CONCATENATE("#metadata!", ADDRESS(INDEX($AH$2:$AH$1001,MATCH(ROWS($AF$2:AF150),$AF$2:$AF$1001,0),0), INDEX($AM$1004:$BM$1004,1,MATCH(COLUMNS($AM$1006:BI1006),$AM$1006:$BM$1006,0)))),"Fix")))</f>
        <v xml:space="preserve"> </v>
      </c>
      <c r="Y150" s="4" t="str">
        <f ca="1">IF(OR(INDEX($AG$2:$AG$1001,MATCH(ROWS($AF$2:AF150),$AF$2:$AF$1001,0),1)&gt;=100000,INDEX($AM$1005:$BM$1005,1,MATCH(COLUMNS($AM$1006:BJ1006),$AM$1006:$BM$1006,0))&gt;=100000), " ",IF(INDEX($AM$2:$BM$1001,MATCH(ROWS($AF$2:AF150),$AF$2:$AF$1001,0),MATCH(COLUMNS($AM$1006:BJ1006),$AM$1006:$BM$1006,0)), HYPERLINK("#",""), HYPERLINK(CONCATENATE("#metadata!", ADDRESS(INDEX($AH$2:$AH$1001,MATCH(ROWS($AF$2:AF150),$AF$2:$AF$1001,0),0), INDEX($AM$1004:$BM$1004,1,MATCH(COLUMNS($AM$1006:BJ1006),$AM$1006:$BM$1006,0)))),"Fix")))</f>
        <v xml:space="preserve"> </v>
      </c>
      <c r="Z150" s="4" t="str">
        <f ca="1">IF(OR(INDEX($AG$2:$AG$1001,MATCH(ROWS($AF$2:AF150),$AF$2:$AF$1001,0),1)&gt;=100000,INDEX($AM$1005:$BM$1005,1,MATCH(COLUMNS($AM$1006:BK1006),$AM$1006:$BM$1006,0))&gt;=100000), " ",IF(INDEX($AM$2:$BM$1001,MATCH(ROWS($AF$2:AF150),$AF$2:$AF$1001,0),MATCH(COLUMNS($AM$1006:BK1006),$AM$1006:$BM$1006,0)), HYPERLINK("#",""), HYPERLINK(CONCATENATE("#metadata!", ADDRESS(INDEX($AH$2:$AH$1001,MATCH(ROWS($AF$2:AF150),$AF$2:$AF$1001,0),0), INDEX($AM$1004:$BM$1004,1,MATCH(COLUMNS($AM$1006:BK1006),$AM$1006:$BM$1006,0)))),"Fix")))</f>
        <v xml:space="preserve"> </v>
      </c>
      <c r="AA150" s="4" t="str">
        <f ca="1">IF(OR(INDEX($AG$2:$AG$1001,MATCH(ROWS($AF$2:AF150),$AF$2:$AF$1001,0),1)&gt;=100000,INDEX($AM$1005:$BM$1005,1,MATCH(COLUMNS($AM$1006:BL1006),$AM$1006:$BM$1006,0))&gt;=100000), " ",IF(INDEX($AM$2:$BM$1001,MATCH(ROWS($AF$2:AF150),$AF$2:$AF$1001,0),MATCH(COLUMNS($AM$1006:BL1006),$AM$1006:$BM$1006,0)), HYPERLINK("#",""), HYPERLINK(CONCATENATE("#metadata!", ADDRESS(INDEX($AH$2:$AH$1001,MATCH(ROWS($AF$2:AF150),$AF$2:$AF$1001,0),0), INDEX($AM$1004:$BM$1004,1,MATCH(COLUMNS($AM$1006:BL1006),$AM$1006:$BM$1006,0)))),"Fix")))</f>
        <v xml:space="preserve"> </v>
      </c>
      <c r="AB150" s="4" t="str">
        <f ca="1">IF(OR(INDEX($AG$2:$AG$1001,MATCH(ROWS($AF$2:AF150),$AF$2:$AF$1001,0),1)&gt;=100000,INDEX($AM$1005:$BM$1005,1,MATCH(COLUMNS($AM$1006:BM1006),$AM$1006:$BM$1006,0))&gt;=100000), " ",IF(INDEX($AM$2:$BM$1001,MATCH(ROWS($AF$2:AF150),$AF$2:$AF$1001,0),MATCH(COLUMNS($AM$1006:BM1006),$AM$1006:$BM$1006,0)), HYPERLINK("#",""), HYPERLINK(CONCATENATE("#metadata!", ADDRESS(INDEX($AH$2:$AH$1001,MATCH(ROWS($AF$2:AF150),$AF$2:$AF$1001,0),0), INDEX($AM$1004:$BM$1004,1,MATCH(COLUMNS($AM$1006:BM1006),$AM$1006:$BM$1006,0)))),"Fix")))</f>
        <v xml:space="preserve"> </v>
      </c>
      <c r="AF150">
        <v>149</v>
      </c>
      <c r="AG150">
        <v>100150</v>
      </c>
      <c r="AH150">
        <v>150</v>
      </c>
      <c r="AI150" t="b">
        <f t="shared" si="2"/>
        <v>1</v>
      </c>
      <c r="AJ150" t="b">
        <f>COUNTBLANK(metadata!B150:AB150)=COLUMNS(metadata!B150:AB150)</f>
        <v>1</v>
      </c>
      <c r="AK150" t="str">
        <v/>
      </c>
      <c r="AM150" t="b">
        <f ca="1">AND(IF(metadata!B150="",FALSE,TRUE),COUNTIF(metadata!B:B, metadata!B150) = 1,NOT(ISERROR(SUMPRODUCT(SEARCH(MID(metadata!B150,ROW(INDIRECT("1:"&amp;LEN(metadata!B150))), 1),"0123456789abcdefghijklmnopqrstuvwxyzABCDEFGHIJKLMNOPQRSTUVWXYZ.")))))</f>
        <v>0</v>
      </c>
      <c r="AN150" t="b">
        <f ca="1">OR(AND(IF(metadata!C150="",FALSE,TRUE),OR(EXACT(metadata!C150,"missing: not collected"),EXACT(metadata!C150,"missing: not provided"),EXACT(metadata!C150,"missing: restricted access"))),AND(IF(metadata!C150="",FALSE,TRUE),AND(AND(IFERROR(INT(LEFT(metadata!C150,4))&gt;1900,FALSE),IFERROR(INT(LEFT(metadata!C150,4))&lt;=YEAR(NOW()),FALSE)), OR(MID(metadata!C150,5,1)="", AND(AND(MID(metadata!C150,5,1)="-",IFERROR(INT(MID(metadata!C150,6,1))&gt;=0,FALSE),IFERROR(INT(MID(metadata!C150,6,1))&lt;=1,FALSE),NOT(MID(metadata!C150,7,1)=""),IFERROR(INT(MID(metadata!C150,6,2))&gt;=1,FALSE),IFERROR(INT(MID(metadata!C150,6,2))&lt;=12,FALSE)), OR(MID(metadata!C150,8,1)="", AND(AND(MID(metadata!C150,8,1)="-",IFERROR(INT(MID(metadata!C150,9,1))&gt;=0,FALSE),IFERROR(INT(MID(metadata!C150,9,1))&lt;=3,FALSE),NOT(MID(metadata!C150,10,1)=""),IFERROR(INT(MID(metadata!C150,9,2))&gt;=1,FALSE),IFERROR(INT(MID(metadata!C150,9,2))&lt;=31,FALSE)), OR(MID(metadata!C150,11,1)="", AND(AND(MID(metadata!C150,11,1)=" ",IFERROR(INT(MID(metadata!C150,12,1))&gt;=0,FALSE),IFERROR(INT(MID(metadata!C150,12,1))&lt;=2,FALSE),NOT(MID(metadata!C150,13,1)=""),IFERROR(INT(MID(metadata!C150,12,2))&gt;=0,FALSE),IFERROR(INT(MID(metadata!C150,12,2))&lt;=23,FALSE)), OR(MID(metadata!C150,14,1)="", AND(AND(MID(metadata!C150,14,1)=":",IFERROR(INT(MID(metadata!C150,15,1))&gt;=0,FALSE),IFERROR(INT(MID(metadata!C150,15,1))&lt;=5,FALSE),NOT(MID(metadata!C150,16,1)=""),IFERROR(INT(MID(metadata!C150,15,2))&gt;=0,FALSE),IFERROR(INT(MID(metadata!C150,15,2))&lt;=59,FALSE)), OR(MID(metadata!C150,17,1)="", AND(AND(MID(metadata!C150,17,1)=":",IFERROR(INT(MID(metadata!C150,18,1))&gt;=0,FALSE),IFERROR(INT(MID(metadata!C150,18,1))&lt;=5,FALSE),NOT(MID(metadata!C150,19,1)=""),IFERROR(INT(MID(metadata!C150,18,2))&gt;=0,FALSE),IFERROR(INT(MID(metadata!C150,18,2))&lt;=59,FALSE)), LEN(metadata!C150)&lt;=19)))))))))))))</f>
        <v>0</v>
      </c>
      <c r="AO150" t="b">
        <f>AND(IF(metadata!D150="",FALSE,TRUE),EXACT(metadata!D150,"Not applicable"))</f>
        <v>0</v>
      </c>
      <c r="AP150" t="b">
        <f>IF(metadata!E150="",FALSE,TRUE)</f>
        <v>0</v>
      </c>
      <c r="AQ150" t="b">
        <f>OR(AND(IF(metadata!F150="",FALSE,TRUE),OR(EXACT(metadata!F150,"missing: not collected"),EXACT(metadata!F150,"missing: not provided"))),AND(IF(metadata!F150="",FALSE,TRUE),OR(EXACT(metadata!F150,"TRUE"),EXACT(metadata!F150,"FALSE"))))</f>
        <v>0</v>
      </c>
      <c r="AR150" t="b">
        <f>OR(AND(IF(metadata!G150="",FALSE,TRUE),OR(EXACT(metadata!G150,"missing: not collected"),EXACT(metadata!G150,"missing: not provided"),EXACT(metadata!G150,"missing: restricted access"))),AND(IF(metadata!G150="",FALSE,ISNUMBER(VALUE(metadata!G150))),metadata!G150&gt;=-413))</f>
        <v>0</v>
      </c>
      <c r="AS150" t="b">
        <f>AND(IF(metadata!H150="",FALSE,TRUE),EXACT(metadata!H150,"meters"))</f>
        <v>0</v>
      </c>
      <c r="AT150" t="b">
        <f>AND(IF(metadata!I150="",FALSE,TRUE),OR(EXACT(metadata!I150,"Host-associated"),EXACT(metadata!I150,"Free-living")))</f>
        <v>0</v>
      </c>
      <c r="AU150" t="b">
        <f>AND(IF(metadata!J150="",FALSE,TRUE),OR(EXACT(metadata!J150,"Animal"),EXACT(metadata!J150,"Fungus"),EXACT(metadata!J150,"Plant"),EXACT(metadata!J150,"Saline"),EXACT(metadata!J150,"Non-saline")))</f>
        <v>0</v>
      </c>
      <c r="AV150" t="b">
        <f>AND(IF(metadata!K150="",FALSE,TRUE),OR(EXACT(metadata!K150,"Plant secretion"),EXACT(metadata!K150,"Plant rhizosphere"),EXACT(metadata!K150,"Plant surface"),EXACT(metadata!K150,"Plant corpus"),EXACT(metadata!K150,"Fungus surface"),EXACT(metadata!K150,"Fungus corpus"),EXACT(metadata!K150,"Animal surface"),EXACT(metadata!K150,"Animal proximal gut"),EXACT(metadata!K150,"Animal corpus"),EXACT(metadata!K150,"Animal distal gut"),EXACT(metadata!K150,"Animal secretion"),EXACT(metadata!K150,"Sub-surface (non-saline)"),EXACT(metadata!K150,"Surface (non-saline)"),EXACT(metadata!K150,"Water (non-saline)"),EXACT(metadata!K150,"Soil (non-saline)"),EXACT(metadata!K150,"Aerosol (non-saline)"),EXACT(metadata!K150,"Sediment (non-saline)"),EXACT(metadata!K150,"Surface (saline)"),EXACT(metadata!K150,"Water (saline)"),EXACT(metadata!K150,"Hypersaline (saline)"),EXACT(metadata!K150,"Aerosol (saline)"),EXACT(metadata!K150,"Sediment (saline)")))</f>
        <v>0</v>
      </c>
      <c r="AW150" t="b">
        <f>IF(metadata!L150="",FALSE,TRUE)</f>
        <v>0</v>
      </c>
      <c r="AX150" t="b">
        <f>IF(metadata!M150="",FALSE,TRUE)</f>
        <v>0</v>
      </c>
      <c r="AY150" t="b">
        <f>IF(metadata!N150="",FALSE,TRUE)</f>
        <v>0</v>
      </c>
      <c r="AZ150" t="b">
        <f>OR(AND(IF(metadata!O150="",FALSE,TRUE),OR(EXACT(metadata!O150,"missing: not collected"),EXACT(metadata!O150,"missing: not provided"),EXACT(metadata!O150,"missing: restricted access"))),AND(IF(metadata!O150="",FALSE,TRUE),OR(EXACT(metadata!O150,"air"),EXACT(metadata!O150,"built environment"),EXACT(metadata!O150,"host-associated"),EXACT(metadata!O150,"human-associated"),EXACT(metadata!O150,"human-skin"),EXACT(metadata!O150,"human-oral"),EXACT(metadata!O150,"human-gut"),EXACT(metadata!O150,"human-vaginal"),EXACT(metadata!O150,"microbial mat/biofilm"),EXACT(metadata!O150,"misc environment"),EXACT(metadata!O150,"plant-associated"),EXACT(metadata!O150,"sediment"),EXACT(metadata!O150,"soil"),EXACT(metadata!O150,"wastewater/sludge"),EXACT(metadata!O150,"water"))))</f>
        <v>0</v>
      </c>
      <c r="BA150" t="b">
        <f>IF(metadata!P150="",FALSE,TRUE)</f>
        <v>0</v>
      </c>
      <c r="BB150" t="b">
        <f>IF(metadata!Q150="",FALSE,TRUE)</f>
        <v>0</v>
      </c>
      <c r="BC150" t="b">
        <f>OR(AND(IF(metadata!R150="",FALSE,TRUE),OR(EXACT(metadata!R150,"missing: not collected"),EXACT(metadata!R150,"missing: not provided"),EXACT(metadata!R150,"missing: restricted access"))),AND(IF(metadata!R150="",FALSE,ISNUMBER(VALUE(metadata!R150))),metadata!R150&gt;=-90,metadata!R150&lt;=90))</f>
        <v>0</v>
      </c>
      <c r="BD150" t="b">
        <f>AND(IF(metadata!S150="",FALSE,TRUE),EXACT(metadata!S150,"Decimal degrees"))</f>
        <v>0</v>
      </c>
      <c r="BE150" t="b">
        <f>OR(AND(IF(metadata!T150="",FALSE,TRUE),OR(EXACT(metadata!T150,"missing: not collected"),EXACT(metadata!T150,"missing: not provided"),EXACT(metadata!T150,"missing: restricted access"))),AND(IF(metadata!T150="",FALSE,ISNUMBER(VALUE(metadata!T150))),metadata!T150&gt;=-180,metadata!T150&lt;=180))</f>
        <v>0</v>
      </c>
      <c r="BF150" t="b">
        <f>AND(IF(metadata!U150="",FALSE,TRUE),EXACT(metadata!U150,"Decimal degrees"))</f>
        <v>0</v>
      </c>
      <c r="BG150" t="b">
        <f>IF(metadata!V150="",FALSE,TRUE)</f>
        <v>0</v>
      </c>
      <c r="BH150" t="b">
        <f>OR(AND(IF(metadata!W150="",FALSE,TRUE),OR(EXACT(metadata!W150,"missing: not collected"),EXACT(metadata!W150,"missing: not provided"),EXACT(metadata!W150,"missing: restricted access"))),AND(IF(metadata!W150="",FALSE,TRUE),OR(EXACT(metadata!W150,"TRUE"),EXACT(metadata!W150,"FALSE"))))</f>
        <v>0</v>
      </c>
      <c r="BI150" t="b">
        <f>AND(IF(metadata!X150="",FALSE,TRUE),EXACT(metadata!X150,"other"))</f>
        <v>0</v>
      </c>
      <c r="BJ150" t="b">
        <f>IF(metadata!Y150="",FALSE,TRUE)</f>
        <v>0</v>
      </c>
      <c r="BK150" t="b">
        <f>OR(AND(IF(metadata!Z150="",FALSE,TRUE),OR(EXACT(metadata!Z150,"missing: not collected"),EXACT(metadata!Z150,"missing: not provided"))),AND(IF(metadata!Z150="",FALSE,IF(ISERROR(INT(metadata!Z150)),FALSE,INT(metadata!Z150)=metadata!Z150)),metadata!Z150&gt;0))</f>
        <v>0</v>
      </c>
      <c r="BL150" t="b">
        <f>AND(IF(metadata!AA150="",FALSE,TRUE),EXACT(metadata!AA150,"Not applicable"))</f>
        <v>0</v>
      </c>
      <c r="BM150" t="b">
        <f>IF(metadata!AB150="",FALSE,TRUE)</f>
        <v>0</v>
      </c>
    </row>
    <row r="151" spans="1:65" x14ac:dyDescent="0.2">
      <c r="A151" s="5" t="str">
        <f ca="1">IF(B151=" "," ",HYPERLINK(CONCATENATE("#metadata!",ADDRESS(INDEX($AH$2:$AH$1001,MATCH(ROWS($AF$2:AF151),$AF$2:$AF$1001,0),0),1)),INDEX($AK$2:$AK$1001,MATCH(ROWS($AF$2:AF151),$AF$2:$AF$1001,0),0)))</f>
        <v xml:space="preserve"> </v>
      </c>
      <c r="B151" s="4" t="str">
        <f ca="1">IF(OR(INDEX($AG$2:$AG$1001,MATCH(ROWS($AF$2:AF151),$AF$2:$AF$1001,0),1)&gt;=100000,INDEX($AM$1005:$BM$1005,1,MATCH(COLUMNS($AM$1006:AM1006),$AM$1006:$BM$1006,0))&gt;=100000), " ",IF(INDEX($AM$2:$BM$1001,MATCH(ROWS($AF$2:AF151),$AF$2:$AF$1001,0),MATCH(COLUMNS($AM$1006:AM1006),$AM$1006:$BM$1006,0)), HYPERLINK("#",""), HYPERLINK(CONCATENATE("#metadata!", ADDRESS(INDEX($AH$2:$AH$1001,MATCH(ROWS($AF$2:AF151),$AF$2:$AF$1001,0),0), INDEX($AM$1004:$BM$1004,1,MATCH(COLUMNS($AM$1006:AM1006),$AM$1006:$BM$1006,0)))),"Fix")))</f>
        <v xml:space="preserve"> </v>
      </c>
      <c r="C151" s="4" t="str">
        <f ca="1">IF(OR(INDEX($AG$2:$AG$1001,MATCH(ROWS($AF$2:AF151),$AF$2:$AF$1001,0),1)&gt;=100000,INDEX($AM$1005:$BM$1005,1,MATCH(COLUMNS($AM$1006:AN1006),$AM$1006:$BM$1006,0))&gt;=100000), " ",IF(INDEX($AM$2:$BM$1001,MATCH(ROWS($AF$2:AF151),$AF$2:$AF$1001,0),MATCH(COLUMNS($AM$1006:AN1006),$AM$1006:$BM$1006,0)), HYPERLINK("#",""), HYPERLINK(CONCATENATE("#metadata!", ADDRESS(INDEX($AH$2:$AH$1001,MATCH(ROWS($AF$2:AF151),$AF$2:$AF$1001,0),0), INDEX($AM$1004:$BM$1004,1,MATCH(COLUMNS($AM$1006:AN1006),$AM$1006:$BM$1006,0)))),"Fix")))</f>
        <v xml:space="preserve"> </v>
      </c>
      <c r="D151" s="4" t="str">
        <f ca="1">IF(OR(INDEX($AG$2:$AG$1001,MATCH(ROWS($AF$2:AF151),$AF$2:$AF$1001,0),1)&gt;=100000,INDEX($AM$1005:$BM$1005,1,MATCH(COLUMNS($AM$1006:AO1006),$AM$1006:$BM$1006,0))&gt;=100000), " ",IF(INDEX($AM$2:$BM$1001,MATCH(ROWS($AF$2:AF151),$AF$2:$AF$1001,0),MATCH(COLUMNS($AM$1006:AO1006),$AM$1006:$BM$1006,0)), HYPERLINK("#",""), HYPERLINK(CONCATENATE("#metadata!", ADDRESS(INDEX($AH$2:$AH$1001,MATCH(ROWS($AF$2:AF151),$AF$2:$AF$1001,0),0), INDEX($AM$1004:$BM$1004,1,MATCH(COLUMNS($AM$1006:AO1006),$AM$1006:$BM$1006,0)))),"Fix")))</f>
        <v xml:space="preserve"> </v>
      </c>
      <c r="E151" s="4" t="str">
        <f ca="1">IF(OR(INDEX($AG$2:$AG$1001,MATCH(ROWS($AF$2:AF151),$AF$2:$AF$1001,0),1)&gt;=100000,INDEX($AM$1005:$BM$1005,1,MATCH(COLUMNS($AM$1006:AP1006),$AM$1006:$BM$1006,0))&gt;=100000), " ",IF(INDEX($AM$2:$BM$1001,MATCH(ROWS($AF$2:AF151),$AF$2:$AF$1001,0),MATCH(COLUMNS($AM$1006:AP1006),$AM$1006:$BM$1006,0)), HYPERLINK("#",""), HYPERLINK(CONCATENATE("#metadata!", ADDRESS(INDEX($AH$2:$AH$1001,MATCH(ROWS($AF$2:AF151),$AF$2:$AF$1001,0),0), INDEX($AM$1004:$BM$1004,1,MATCH(COLUMNS($AM$1006:AP1006),$AM$1006:$BM$1006,0)))),"Fix")))</f>
        <v xml:space="preserve"> </v>
      </c>
      <c r="F151" s="4" t="str">
        <f ca="1">IF(OR(INDEX($AG$2:$AG$1001,MATCH(ROWS($AF$2:AF151),$AF$2:$AF$1001,0),1)&gt;=100000,INDEX($AM$1005:$BM$1005,1,MATCH(COLUMNS($AM$1006:AQ1006),$AM$1006:$BM$1006,0))&gt;=100000), " ",IF(INDEX($AM$2:$BM$1001,MATCH(ROWS($AF$2:AF151),$AF$2:$AF$1001,0),MATCH(COLUMNS($AM$1006:AQ1006),$AM$1006:$BM$1006,0)), HYPERLINK("#",""), HYPERLINK(CONCATENATE("#metadata!", ADDRESS(INDEX($AH$2:$AH$1001,MATCH(ROWS($AF$2:AF151),$AF$2:$AF$1001,0),0), INDEX($AM$1004:$BM$1004,1,MATCH(COLUMNS($AM$1006:AQ1006),$AM$1006:$BM$1006,0)))),"Fix")))</f>
        <v xml:space="preserve"> </v>
      </c>
      <c r="G151" s="4" t="str">
        <f ca="1">IF(OR(INDEX($AG$2:$AG$1001,MATCH(ROWS($AF$2:AF151),$AF$2:$AF$1001,0),1)&gt;=100000,INDEX($AM$1005:$BM$1005,1,MATCH(COLUMNS($AM$1006:AR1006),$AM$1006:$BM$1006,0))&gt;=100000), " ",IF(INDEX($AM$2:$BM$1001,MATCH(ROWS($AF$2:AF151),$AF$2:$AF$1001,0),MATCH(COLUMNS($AM$1006:AR1006),$AM$1006:$BM$1006,0)), HYPERLINK("#",""), HYPERLINK(CONCATENATE("#metadata!", ADDRESS(INDEX($AH$2:$AH$1001,MATCH(ROWS($AF$2:AF151),$AF$2:$AF$1001,0),0), INDEX($AM$1004:$BM$1004,1,MATCH(COLUMNS($AM$1006:AR1006),$AM$1006:$BM$1006,0)))),"Fix")))</f>
        <v xml:space="preserve"> </v>
      </c>
      <c r="H151" s="4" t="str">
        <f ca="1">IF(OR(INDEX($AG$2:$AG$1001,MATCH(ROWS($AF$2:AF151),$AF$2:$AF$1001,0),1)&gt;=100000,INDEX($AM$1005:$BM$1005,1,MATCH(COLUMNS($AM$1006:AS1006),$AM$1006:$BM$1006,0))&gt;=100000), " ",IF(INDEX($AM$2:$BM$1001,MATCH(ROWS($AF$2:AF151),$AF$2:$AF$1001,0),MATCH(COLUMNS($AM$1006:AS1006),$AM$1006:$BM$1006,0)), HYPERLINK("#",""), HYPERLINK(CONCATENATE("#metadata!", ADDRESS(INDEX($AH$2:$AH$1001,MATCH(ROWS($AF$2:AF151),$AF$2:$AF$1001,0),0), INDEX($AM$1004:$BM$1004,1,MATCH(COLUMNS($AM$1006:AS1006),$AM$1006:$BM$1006,0)))),"Fix")))</f>
        <v xml:space="preserve"> </v>
      </c>
      <c r="I151" s="4" t="str">
        <f ca="1">IF(OR(INDEX($AG$2:$AG$1001,MATCH(ROWS($AF$2:AF151),$AF$2:$AF$1001,0),1)&gt;=100000,INDEX($AM$1005:$BM$1005,1,MATCH(COLUMNS($AM$1006:AT1006),$AM$1006:$BM$1006,0))&gt;=100000), " ",IF(INDEX($AM$2:$BM$1001,MATCH(ROWS($AF$2:AF151),$AF$2:$AF$1001,0),MATCH(COLUMNS($AM$1006:AT1006),$AM$1006:$BM$1006,0)), HYPERLINK("#",""), HYPERLINK(CONCATENATE("#metadata!", ADDRESS(INDEX($AH$2:$AH$1001,MATCH(ROWS($AF$2:AF151),$AF$2:$AF$1001,0),0), INDEX($AM$1004:$BM$1004,1,MATCH(COLUMNS($AM$1006:AT1006),$AM$1006:$BM$1006,0)))),"Fix")))</f>
        <v xml:space="preserve"> </v>
      </c>
      <c r="J151" s="4" t="str">
        <f ca="1">IF(OR(INDEX($AG$2:$AG$1001,MATCH(ROWS($AF$2:AF151),$AF$2:$AF$1001,0),1)&gt;=100000,INDEX($AM$1005:$BM$1005,1,MATCH(COLUMNS($AM$1006:AU1006),$AM$1006:$BM$1006,0))&gt;=100000), " ",IF(INDEX($AM$2:$BM$1001,MATCH(ROWS($AF$2:AF151),$AF$2:$AF$1001,0),MATCH(COLUMNS($AM$1006:AU1006),$AM$1006:$BM$1006,0)), HYPERLINK("#",""), HYPERLINK(CONCATENATE("#metadata!", ADDRESS(INDEX($AH$2:$AH$1001,MATCH(ROWS($AF$2:AF151),$AF$2:$AF$1001,0),0), INDEX($AM$1004:$BM$1004,1,MATCH(COLUMNS($AM$1006:AU1006),$AM$1006:$BM$1006,0)))),"Fix")))</f>
        <v xml:space="preserve"> </v>
      </c>
      <c r="K151" s="4" t="str">
        <f ca="1">IF(OR(INDEX($AG$2:$AG$1001,MATCH(ROWS($AF$2:AF151),$AF$2:$AF$1001,0),1)&gt;=100000,INDEX($AM$1005:$BM$1005,1,MATCH(COLUMNS($AM$1006:AV1006),$AM$1006:$BM$1006,0))&gt;=100000), " ",IF(INDEX($AM$2:$BM$1001,MATCH(ROWS($AF$2:AF151),$AF$2:$AF$1001,0),MATCH(COLUMNS($AM$1006:AV1006),$AM$1006:$BM$1006,0)), HYPERLINK("#",""), HYPERLINK(CONCATENATE("#metadata!", ADDRESS(INDEX($AH$2:$AH$1001,MATCH(ROWS($AF$2:AF151),$AF$2:$AF$1001,0),0), INDEX($AM$1004:$BM$1004,1,MATCH(COLUMNS($AM$1006:AV1006),$AM$1006:$BM$1006,0)))),"Fix")))</f>
        <v xml:space="preserve"> </v>
      </c>
      <c r="L151" s="4" t="str">
        <f ca="1">IF(OR(INDEX($AG$2:$AG$1001,MATCH(ROWS($AF$2:AF151),$AF$2:$AF$1001,0),1)&gt;=100000,INDEX($AM$1005:$BM$1005,1,MATCH(COLUMNS($AM$1006:AW1006),$AM$1006:$BM$1006,0))&gt;=100000), " ",IF(INDEX($AM$2:$BM$1001,MATCH(ROWS($AF$2:AF151),$AF$2:$AF$1001,0),MATCH(COLUMNS($AM$1006:AW1006),$AM$1006:$BM$1006,0)), HYPERLINK("#",""), HYPERLINK(CONCATENATE("#metadata!", ADDRESS(INDEX($AH$2:$AH$1001,MATCH(ROWS($AF$2:AF151),$AF$2:$AF$1001,0),0), INDEX($AM$1004:$BM$1004,1,MATCH(COLUMNS($AM$1006:AW1006),$AM$1006:$BM$1006,0)))),"Fix")))</f>
        <v xml:space="preserve"> </v>
      </c>
      <c r="M151" s="4" t="str">
        <f ca="1">IF(OR(INDEX($AG$2:$AG$1001,MATCH(ROWS($AF$2:AF151),$AF$2:$AF$1001,0),1)&gt;=100000,INDEX($AM$1005:$BM$1005,1,MATCH(COLUMNS($AM$1006:AX1006),$AM$1006:$BM$1006,0))&gt;=100000), " ",IF(INDEX($AM$2:$BM$1001,MATCH(ROWS($AF$2:AF151),$AF$2:$AF$1001,0),MATCH(COLUMNS($AM$1006:AX1006),$AM$1006:$BM$1006,0)), HYPERLINK("#",""), HYPERLINK(CONCATENATE("#metadata!", ADDRESS(INDEX($AH$2:$AH$1001,MATCH(ROWS($AF$2:AF151),$AF$2:$AF$1001,0),0), INDEX($AM$1004:$BM$1004,1,MATCH(COLUMNS($AM$1006:AX1006),$AM$1006:$BM$1006,0)))),"Fix")))</f>
        <v xml:space="preserve"> </v>
      </c>
      <c r="N151" s="4" t="str">
        <f ca="1">IF(OR(INDEX($AG$2:$AG$1001,MATCH(ROWS($AF$2:AF151),$AF$2:$AF$1001,0),1)&gt;=100000,INDEX($AM$1005:$BM$1005,1,MATCH(COLUMNS($AM$1006:AY1006),$AM$1006:$BM$1006,0))&gt;=100000), " ",IF(INDEX($AM$2:$BM$1001,MATCH(ROWS($AF$2:AF151),$AF$2:$AF$1001,0),MATCH(COLUMNS($AM$1006:AY1006),$AM$1006:$BM$1006,0)), HYPERLINK("#",""), HYPERLINK(CONCATENATE("#metadata!", ADDRESS(INDEX($AH$2:$AH$1001,MATCH(ROWS($AF$2:AF151),$AF$2:$AF$1001,0),0), INDEX($AM$1004:$BM$1004,1,MATCH(COLUMNS($AM$1006:AY1006),$AM$1006:$BM$1006,0)))),"Fix")))</f>
        <v xml:space="preserve"> </v>
      </c>
      <c r="O151" s="4" t="str">
        <f ca="1">IF(OR(INDEX($AG$2:$AG$1001,MATCH(ROWS($AF$2:AF151),$AF$2:$AF$1001,0),1)&gt;=100000,INDEX($AM$1005:$BM$1005,1,MATCH(COLUMNS($AM$1006:AZ1006),$AM$1006:$BM$1006,0))&gt;=100000), " ",IF(INDEX($AM$2:$BM$1001,MATCH(ROWS($AF$2:AF151),$AF$2:$AF$1001,0),MATCH(COLUMNS($AM$1006:AZ1006),$AM$1006:$BM$1006,0)), HYPERLINK("#",""), HYPERLINK(CONCATENATE("#metadata!", ADDRESS(INDEX($AH$2:$AH$1001,MATCH(ROWS($AF$2:AF151),$AF$2:$AF$1001,0),0), INDEX($AM$1004:$BM$1004,1,MATCH(COLUMNS($AM$1006:AZ1006),$AM$1006:$BM$1006,0)))),"Fix")))</f>
        <v xml:space="preserve"> </v>
      </c>
      <c r="P151" s="4" t="str">
        <f ca="1">IF(OR(INDEX($AG$2:$AG$1001,MATCH(ROWS($AF$2:AF151),$AF$2:$AF$1001,0),1)&gt;=100000,INDEX($AM$1005:$BM$1005,1,MATCH(COLUMNS($AM$1006:BA1006),$AM$1006:$BM$1006,0))&gt;=100000), " ",IF(INDEX($AM$2:$BM$1001,MATCH(ROWS($AF$2:AF151),$AF$2:$AF$1001,0),MATCH(COLUMNS($AM$1006:BA1006),$AM$1006:$BM$1006,0)), HYPERLINK("#",""), HYPERLINK(CONCATENATE("#metadata!", ADDRESS(INDEX($AH$2:$AH$1001,MATCH(ROWS($AF$2:AF151),$AF$2:$AF$1001,0),0), INDEX($AM$1004:$BM$1004,1,MATCH(COLUMNS($AM$1006:BA1006),$AM$1006:$BM$1006,0)))),"Fix")))</f>
        <v xml:space="preserve"> </v>
      </c>
      <c r="Q151" s="4" t="str">
        <f ca="1">IF(OR(INDEX($AG$2:$AG$1001,MATCH(ROWS($AF$2:AF151),$AF$2:$AF$1001,0),1)&gt;=100000,INDEX($AM$1005:$BM$1005,1,MATCH(COLUMNS($AM$1006:BB1006),$AM$1006:$BM$1006,0))&gt;=100000), " ",IF(INDEX($AM$2:$BM$1001,MATCH(ROWS($AF$2:AF151),$AF$2:$AF$1001,0),MATCH(COLUMNS($AM$1006:BB1006),$AM$1006:$BM$1006,0)), HYPERLINK("#",""), HYPERLINK(CONCATENATE("#metadata!", ADDRESS(INDEX($AH$2:$AH$1001,MATCH(ROWS($AF$2:AF151),$AF$2:$AF$1001,0),0), INDEX($AM$1004:$BM$1004,1,MATCH(COLUMNS($AM$1006:BB1006),$AM$1006:$BM$1006,0)))),"Fix")))</f>
        <v xml:space="preserve"> </v>
      </c>
      <c r="R151" s="4" t="str">
        <f ca="1">IF(OR(INDEX($AG$2:$AG$1001,MATCH(ROWS($AF$2:AF151),$AF$2:$AF$1001,0),1)&gt;=100000,INDEX($AM$1005:$BM$1005,1,MATCH(COLUMNS($AM$1006:BC1006),$AM$1006:$BM$1006,0))&gt;=100000), " ",IF(INDEX($AM$2:$BM$1001,MATCH(ROWS($AF$2:AF151),$AF$2:$AF$1001,0),MATCH(COLUMNS($AM$1006:BC1006),$AM$1006:$BM$1006,0)), HYPERLINK("#",""), HYPERLINK(CONCATENATE("#metadata!", ADDRESS(INDEX($AH$2:$AH$1001,MATCH(ROWS($AF$2:AF151),$AF$2:$AF$1001,0),0), INDEX($AM$1004:$BM$1004,1,MATCH(COLUMNS($AM$1006:BC1006),$AM$1006:$BM$1006,0)))),"Fix")))</f>
        <v xml:space="preserve"> </v>
      </c>
      <c r="S151" s="4" t="str">
        <f ca="1">IF(OR(INDEX($AG$2:$AG$1001,MATCH(ROWS($AF$2:AF151),$AF$2:$AF$1001,0),1)&gt;=100000,INDEX($AM$1005:$BM$1005,1,MATCH(COLUMNS($AM$1006:BD1006),$AM$1006:$BM$1006,0))&gt;=100000), " ",IF(INDEX($AM$2:$BM$1001,MATCH(ROWS($AF$2:AF151),$AF$2:$AF$1001,0),MATCH(COLUMNS($AM$1006:BD1006),$AM$1006:$BM$1006,0)), HYPERLINK("#",""), HYPERLINK(CONCATENATE("#metadata!", ADDRESS(INDEX($AH$2:$AH$1001,MATCH(ROWS($AF$2:AF151),$AF$2:$AF$1001,0),0), INDEX($AM$1004:$BM$1004,1,MATCH(COLUMNS($AM$1006:BD1006),$AM$1006:$BM$1006,0)))),"Fix")))</f>
        <v xml:space="preserve"> </v>
      </c>
      <c r="T151" s="4" t="str">
        <f ca="1">IF(OR(INDEX($AG$2:$AG$1001,MATCH(ROWS($AF$2:AF151),$AF$2:$AF$1001,0),1)&gt;=100000,INDEX($AM$1005:$BM$1005,1,MATCH(COLUMNS($AM$1006:BE1006),$AM$1006:$BM$1006,0))&gt;=100000), " ",IF(INDEX($AM$2:$BM$1001,MATCH(ROWS($AF$2:AF151),$AF$2:$AF$1001,0),MATCH(COLUMNS($AM$1006:BE1006),$AM$1006:$BM$1006,0)), HYPERLINK("#",""), HYPERLINK(CONCATENATE("#metadata!", ADDRESS(INDEX($AH$2:$AH$1001,MATCH(ROWS($AF$2:AF151),$AF$2:$AF$1001,0),0), INDEX($AM$1004:$BM$1004,1,MATCH(COLUMNS($AM$1006:BE1006),$AM$1006:$BM$1006,0)))),"Fix")))</f>
        <v xml:space="preserve"> </v>
      </c>
      <c r="U151" s="4" t="str">
        <f ca="1">IF(OR(INDEX($AG$2:$AG$1001,MATCH(ROWS($AF$2:AF151),$AF$2:$AF$1001,0),1)&gt;=100000,INDEX($AM$1005:$BM$1005,1,MATCH(COLUMNS($AM$1006:BF1006),$AM$1006:$BM$1006,0))&gt;=100000), " ",IF(INDEX($AM$2:$BM$1001,MATCH(ROWS($AF$2:AF151),$AF$2:$AF$1001,0),MATCH(COLUMNS($AM$1006:BF1006),$AM$1006:$BM$1006,0)), HYPERLINK("#",""), HYPERLINK(CONCATENATE("#metadata!", ADDRESS(INDEX($AH$2:$AH$1001,MATCH(ROWS($AF$2:AF151),$AF$2:$AF$1001,0),0), INDEX($AM$1004:$BM$1004,1,MATCH(COLUMNS($AM$1006:BF1006),$AM$1006:$BM$1006,0)))),"Fix")))</f>
        <v xml:space="preserve"> </v>
      </c>
      <c r="V151" s="4" t="str">
        <f ca="1">IF(OR(INDEX($AG$2:$AG$1001,MATCH(ROWS($AF$2:AF151),$AF$2:$AF$1001,0),1)&gt;=100000,INDEX($AM$1005:$BM$1005,1,MATCH(COLUMNS($AM$1006:BG1006),$AM$1006:$BM$1006,0))&gt;=100000), " ",IF(INDEX($AM$2:$BM$1001,MATCH(ROWS($AF$2:AF151),$AF$2:$AF$1001,0),MATCH(COLUMNS($AM$1006:BG1006),$AM$1006:$BM$1006,0)), HYPERLINK("#",""), HYPERLINK(CONCATENATE("#metadata!", ADDRESS(INDEX($AH$2:$AH$1001,MATCH(ROWS($AF$2:AF151),$AF$2:$AF$1001,0),0), INDEX($AM$1004:$BM$1004,1,MATCH(COLUMNS($AM$1006:BG1006),$AM$1006:$BM$1006,0)))),"Fix")))</f>
        <v xml:space="preserve"> </v>
      </c>
      <c r="W151" s="4" t="str">
        <f ca="1">IF(OR(INDEX($AG$2:$AG$1001,MATCH(ROWS($AF$2:AF151),$AF$2:$AF$1001,0),1)&gt;=100000,INDEX($AM$1005:$BM$1005,1,MATCH(COLUMNS($AM$1006:BH1006),$AM$1006:$BM$1006,0))&gt;=100000), " ",IF(INDEX($AM$2:$BM$1001,MATCH(ROWS($AF$2:AF151),$AF$2:$AF$1001,0),MATCH(COLUMNS($AM$1006:BH1006),$AM$1006:$BM$1006,0)), HYPERLINK("#",""), HYPERLINK(CONCATENATE("#metadata!", ADDRESS(INDEX($AH$2:$AH$1001,MATCH(ROWS($AF$2:AF151),$AF$2:$AF$1001,0),0), INDEX($AM$1004:$BM$1004,1,MATCH(COLUMNS($AM$1006:BH1006),$AM$1006:$BM$1006,0)))),"Fix")))</f>
        <v xml:space="preserve"> </v>
      </c>
      <c r="X151" s="4" t="str">
        <f ca="1">IF(OR(INDEX($AG$2:$AG$1001,MATCH(ROWS($AF$2:AF151),$AF$2:$AF$1001,0),1)&gt;=100000,INDEX($AM$1005:$BM$1005,1,MATCH(COLUMNS($AM$1006:BI1006),$AM$1006:$BM$1006,0))&gt;=100000), " ",IF(INDEX($AM$2:$BM$1001,MATCH(ROWS($AF$2:AF151),$AF$2:$AF$1001,0),MATCH(COLUMNS($AM$1006:BI1006),$AM$1006:$BM$1006,0)), HYPERLINK("#",""), HYPERLINK(CONCATENATE("#metadata!", ADDRESS(INDEX($AH$2:$AH$1001,MATCH(ROWS($AF$2:AF151),$AF$2:$AF$1001,0),0), INDEX($AM$1004:$BM$1004,1,MATCH(COLUMNS($AM$1006:BI1006),$AM$1006:$BM$1006,0)))),"Fix")))</f>
        <v xml:space="preserve"> </v>
      </c>
      <c r="Y151" s="4" t="str">
        <f ca="1">IF(OR(INDEX($AG$2:$AG$1001,MATCH(ROWS($AF$2:AF151),$AF$2:$AF$1001,0),1)&gt;=100000,INDEX($AM$1005:$BM$1005,1,MATCH(COLUMNS($AM$1006:BJ1006),$AM$1006:$BM$1006,0))&gt;=100000), " ",IF(INDEX($AM$2:$BM$1001,MATCH(ROWS($AF$2:AF151),$AF$2:$AF$1001,0),MATCH(COLUMNS($AM$1006:BJ1006),$AM$1006:$BM$1006,0)), HYPERLINK("#",""), HYPERLINK(CONCATENATE("#metadata!", ADDRESS(INDEX($AH$2:$AH$1001,MATCH(ROWS($AF$2:AF151),$AF$2:$AF$1001,0),0), INDEX($AM$1004:$BM$1004,1,MATCH(COLUMNS($AM$1006:BJ1006),$AM$1006:$BM$1006,0)))),"Fix")))</f>
        <v xml:space="preserve"> </v>
      </c>
      <c r="Z151" s="4" t="str">
        <f ca="1">IF(OR(INDEX($AG$2:$AG$1001,MATCH(ROWS($AF$2:AF151),$AF$2:$AF$1001,0),1)&gt;=100000,INDEX($AM$1005:$BM$1005,1,MATCH(COLUMNS($AM$1006:BK1006),$AM$1006:$BM$1006,0))&gt;=100000), " ",IF(INDEX($AM$2:$BM$1001,MATCH(ROWS($AF$2:AF151),$AF$2:$AF$1001,0),MATCH(COLUMNS($AM$1006:BK1006),$AM$1006:$BM$1006,0)), HYPERLINK("#",""), HYPERLINK(CONCATENATE("#metadata!", ADDRESS(INDEX($AH$2:$AH$1001,MATCH(ROWS($AF$2:AF151),$AF$2:$AF$1001,0),0), INDEX($AM$1004:$BM$1004,1,MATCH(COLUMNS($AM$1006:BK1006),$AM$1006:$BM$1006,0)))),"Fix")))</f>
        <v xml:space="preserve"> </v>
      </c>
      <c r="AA151" s="4" t="str">
        <f ca="1">IF(OR(INDEX($AG$2:$AG$1001,MATCH(ROWS($AF$2:AF151),$AF$2:$AF$1001,0),1)&gt;=100000,INDEX($AM$1005:$BM$1005,1,MATCH(COLUMNS($AM$1006:BL1006),$AM$1006:$BM$1006,0))&gt;=100000), " ",IF(INDEX($AM$2:$BM$1001,MATCH(ROWS($AF$2:AF151),$AF$2:$AF$1001,0),MATCH(COLUMNS($AM$1006:BL1006),$AM$1006:$BM$1006,0)), HYPERLINK("#",""), HYPERLINK(CONCATENATE("#metadata!", ADDRESS(INDEX($AH$2:$AH$1001,MATCH(ROWS($AF$2:AF151),$AF$2:$AF$1001,0),0), INDEX($AM$1004:$BM$1004,1,MATCH(COLUMNS($AM$1006:BL1006),$AM$1006:$BM$1006,0)))),"Fix")))</f>
        <v xml:space="preserve"> </v>
      </c>
      <c r="AB151" s="4" t="str">
        <f ca="1">IF(OR(INDEX($AG$2:$AG$1001,MATCH(ROWS($AF$2:AF151),$AF$2:$AF$1001,0),1)&gt;=100000,INDEX($AM$1005:$BM$1005,1,MATCH(COLUMNS($AM$1006:BM1006),$AM$1006:$BM$1006,0))&gt;=100000), " ",IF(INDEX($AM$2:$BM$1001,MATCH(ROWS($AF$2:AF151),$AF$2:$AF$1001,0),MATCH(COLUMNS($AM$1006:BM1006),$AM$1006:$BM$1006,0)), HYPERLINK("#",""), HYPERLINK(CONCATENATE("#metadata!", ADDRESS(INDEX($AH$2:$AH$1001,MATCH(ROWS($AF$2:AF151),$AF$2:$AF$1001,0),0), INDEX($AM$1004:$BM$1004,1,MATCH(COLUMNS($AM$1006:BM1006),$AM$1006:$BM$1006,0)))),"Fix")))</f>
        <v xml:space="preserve"> </v>
      </c>
      <c r="AF151">
        <v>150</v>
      </c>
      <c r="AG151">
        <v>100151</v>
      </c>
      <c r="AH151">
        <v>151</v>
      </c>
      <c r="AI151" t="b">
        <f t="shared" si="2"/>
        <v>1</v>
      </c>
      <c r="AJ151" t="b">
        <f>COUNTBLANK(metadata!B151:AB151)=COLUMNS(metadata!B151:AB151)</f>
        <v>1</v>
      </c>
      <c r="AK151" t="str">
        <v/>
      </c>
      <c r="AM151" t="b">
        <f ca="1">AND(IF(metadata!B151="",FALSE,TRUE),COUNTIF(metadata!B:B, metadata!B151) = 1,NOT(ISERROR(SUMPRODUCT(SEARCH(MID(metadata!B151,ROW(INDIRECT("1:"&amp;LEN(metadata!B151))), 1),"0123456789abcdefghijklmnopqrstuvwxyzABCDEFGHIJKLMNOPQRSTUVWXYZ.")))))</f>
        <v>0</v>
      </c>
      <c r="AN151" t="b">
        <f ca="1">OR(AND(IF(metadata!C151="",FALSE,TRUE),OR(EXACT(metadata!C151,"missing: not collected"),EXACT(metadata!C151,"missing: not provided"),EXACT(metadata!C151,"missing: restricted access"))),AND(IF(metadata!C151="",FALSE,TRUE),AND(AND(IFERROR(INT(LEFT(metadata!C151,4))&gt;1900,FALSE),IFERROR(INT(LEFT(metadata!C151,4))&lt;=YEAR(NOW()),FALSE)), OR(MID(metadata!C151,5,1)="", AND(AND(MID(metadata!C151,5,1)="-",IFERROR(INT(MID(metadata!C151,6,1))&gt;=0,FALSE),IFERROR(INT(MID(metadata!C151,6,1))&lt;=1,FALSE),NOT(MID(metadata!C151,7,1)=""),IFERROR(INT(MID(metadata!C151,6,2))&gt;=1,FALSE),IFERROR(INT(MID(metadata!C151,6,2))&lt;=12,FALSE)), OR(MID(metadata!C151,8,1)="", AND(AND(MID(metadata!C151,8,1)="-",IFERROR(INT(MID(metadata!C151,9,1))&gt;=0,FALSE),IFERROR(INT(MID(metadata!C151,9,1))&lt;=3,FALSE),NOT(MID(metadata!C151,10,1)=""),IFERROR(INT(MID(metadata!C151,9,2))&gt;=1,FALSE),IFERROR(INT(MID(metadata!C151,9,2))&lt;=31,FALSE)), OR(MID(metadata!C151,11,1)="", AND(AND(MID(metadata!C151,11,1)=" ",IFERROR(INT(MID(metadata!C151,12,1))&gt;=0,FALSE),IFERROR(INT(MID(metadata!C151,12,1))&lt;=2,FALSE),NOT(MID(metadata!C151,13,1)=""),IFERROR(INT(MID(metadata!C151,12,2))&gt;=0,FALSE),IFERROR(INT(MID(metadata!C151,12,2))&lt;=23,FALSE)), OR(MID(metadata!C151,14,1)="", AND(AND(MID(metadata!C151,14,1)=":",IFERROR(INT(MID(metadata!C151,15,1))&gt;=0,FALSE),IFERROR(INT(MID(metadata!C151,15,1))&lt;=5,FALSE),NOT(MID(metadata!C151,16,1)=""),IFERROR(INT(MID(metadata!C151,15,2))&gt;=0,FALSE),IFERROR(INT(MID(metadata!C151,15,2))&lt;=59,FALSE)), OR(MID(metadata!C151,17,1)="", AND(AND(MID(metadata!C151,17,1)=":",IFERROR(INT(MID(metadata!C151,18,1))&gt;=0,FALSE),IFERROR(INT(MID(metadata!C151,18,1))&lt;=5,FALSE),NOT(MID(metadata!C151,19,1)=""),IFERROR(INT(MID(metadata!C151,18,2))&gt;=0,FALSE),IFERROR(INT(MID(metadata!C151,18,2))&lt;=59,FALSE)), LEN(metadata!C151)&lt;=19)))))))))))))</f>
        <v>0</v>
      </c>
      <c r="AO151" t="b">
        <f>AND(IF(metadata!D151="",FALSE,TRUE),EXACT(metadata!D151,"Not applicable"))</f>
        <v>0</v>
      </c>
      <c r="AP151" t="b">
        <f>IF(metadata!E151="",FALSE,TRUE)</f>
        <v>0</v>
      </c>
      <c r="AQ151" t="b">
        <f>OR(AND(IF(metadata!F151="",FALSE,TRUE),OR(EXACT(metadata!F151,"missing: not collected"),EXACT(metadata!F151,"missing: not provided"))),AND(IF(metadata!F151="",FALSE,TRUE),OR(EXACT(metadata!F151,"TRUE"),EXACT(metadata!F151,"FALSE"))))</f>
        <v>0</v>
      </c>
      <c r="AR151" t="b">
        <f>OR(AND(IF(metadata!G151="",FALSE,TRUE),OR(EXACT(metadata!G151,"missing: not collected"),EXACT(metadata!G151,"missing: not provided"),EXACT(metadata!G151,"missing: restricted access"))),AND(IF(metadata!G151="",FALSE,ISNUMBER(VALUE(metadata!G151))),metadata!G151&gt;=-413))</f>
        <v>0</v>
      </c>
      <c r="AS151" t="b">
        <f>AND(IF(metadata!H151="",FALSE,TRUE),EXACT(metadata!H151,"meters"))</f>
        <v>0</v>
      </c>
      <c r="AT151" t="b">
        <f>AND(IF(metadata!I151="",FALSE,TRUE),OR(EXACT(metadata!I151,"Host-associated"),EXACT(metadata!I151,"Free-living")))</f>
        <v>0</v>
      </c>
      <c r="AU151" t="b">
        <f>AND(IF(metadata!J151="",FALSE,TRUE),OR(EXACT(metadata!J151,"Animal"),EXACT(metadata!J151,"Fungus"),EXACT(metadata!J151,"Plant"),EXACT(metadata!J151,"Saline"),EXACT(metadata!J151,"Non-saline")))</f>
        <v>0</v>
      </c>
      <c r="AV151" t="b">
        <f>AND(IF(metadata!K151="",FALSE,TRUE),OR(EXACT(metadata!K151,"Plant secretion"),EXACT(metadata!K151,"Plant rhizosphere"),EXACT(metadata!K151,"Plant surface"),EXACT(metadata!K151,"Plant corpus"),EXACT(metadata!K151,"Fungus surface"),EXACT(metadata!K151,"Fungus corpus"),EXACT(metadata!K151,"Animal surface"),EXACT(metadata!K151,"Animal proximal gut"),EXACT(metadata!K151,"Animal corpus"),EXACT(metadata!K151,"Animal distal gut"),EXACT(metadata!K151,"Animal secretion"),EXACT(metadata!K151,"Sub-surface (non-saline)"),EXACT(metadata!K151,"Surface (non-saline)"),EXACT(metadata!K151,"Water (non-saline)"),EXACT(metadata!K151,"Soil (non-saline)"),EXACT(metadata!K151,"Aerosol (non-saline)"),EXACT(metadata!K151,"Sediment (non-saline)"),EXACT(metadata!K151,"Surface (saline)"),EXACT(metadata!K151,"Water (saline)"),EXACT(metadata!K151,"Hypersaline (saline)"),EXACT(metadata!K151,"Aerosol (saline)"),EXACT(metadata!K151,"Sediment (saline)")))</f>
        <v>0</v>
      </c>
      <c r="AW151" t="b">
        <f>IF(metadata!L151="",FALSE,TRUE)</f>
        <v>0</v>
      </c>
      <c r="AX151" t="b">
        <f>IF(metadata!M151="",FALSE,TRUE)</f>
        <v>0</v>
      </c>
      <c r="AY151" t="b">
        <f>IF(metadata!N151="",FALSE,TRUE)</f>
        <v>0</v>
      </c>
      <c r="AZ151" t="b">
        <f>OR(AND(IF(metadata!O151="",FALSE,TRUE),OR(EXACT(metadata!O151,"missing: not collected"),EXACT(metadata!O151,"missing: not provided"),EXACT(metadata!O151,"missing: restricted access"))),AND(IF(metadata!O151="",FALSE,TRUE),OR(EXACT(metadata!O151,"air"),EXACT(metadata!O151,"built environment"),EXACT(metadata!O151,"host-associated"),EXACT(metadata!O151,"human-associated"),EXACT(metadata!O151,"human-skin"),EXACT(metadata!O151,"human-oral"),EXACT(metadata!O151,"human-gut"),EXACT(metadata!O151,"human-vaginal"),EXACT(metadata!O151,"microbial mat/biofilm"),EXACT(metadata!O151,"misc environment"),EXACT(metadata!O151,"plant-associated"),EXACT(metadata!O151,"sediment"),EXACT(metadata!O151,"soil"),EXACT(metadata!O151,"wastewater/sludge"),EXACT(metadata!O151,"water"))))</f>
        <v>0</v>
      </c>
      <c r="BA151" t="b">
        <f>IF(metadata!P151="",FALSE,TRUE)</f>
        <v>0</v>
      </c>
      <c r="BB151" t="b">
        <f>IF(metadata!Q151="",FALSE,TRUE)</f>
        <v>0</v>
      </c>
      <c r="BC151" t="b">
        <f>OR(AND(IF(metadata!R151="",FALSE,TRUE),OR(EXACT(metadata!R151,"missing: not collected"),EXACT(metadata!R151,"missing: not provided"),EXACT(metadata!R151,"missing: restricted access"))),AND(IF(metadata!R151="",FALSE,ISNUMBER(VALUE(metadata!R151))),metadata!R151&gt;=-90,metadata!R151&lt;=90))</f>
        <v>0</v>
      </c>
      <c r="BD151" t="b">
        <f>AND(IF(metadata!S151="",FALSE,TRUE),EXACT(metadata!S151,"Decimal degrees"))</f>
        <v>0</v>
      </c>
      <c r="BE151" t="b">
        <f>OR(AND(IF(metadata!T151="",FALSE,TRUE),OR(EXACT(metadata!T151,"missing: not collected"),EXACT(metadata!T151,"missing: not provided"),EXACT(metadata!T151,"missing: restricted access"))),AND(IF(metadata!T151="",FALSE,ISNUMBER(VALUE(metadata!T151))),metadata!T151&gt;=-180,metadata!T151&lt;=180))</f>
        <v>0</v>
      </c>
      <c r="BF151" t="b">
        <f>AND(IF(metadata!U151="",FALSE,TRUE),EXACT(metadata!U151,"Decimal degrees"))</f>
        <v>0</v>
      </c>
      <c r="BG151" t="b">
        <f>IF(metadata!V151="",FALSE,TRUE)</f>
        <v>0</v>
      </c>
      <c r="BH151" t="b">
        <f>OR(AND(IF(metadata!W151="",FALSE,TRUE),OR(EXACT(metadata!W151,"missing: not collected"),EXACT(metadata!W151,"missing: not provided"),EXACT(metadata!W151,"missing: restricted access"))),AND(IF(metadata!W151="",FALSE,TRUE),OR(EXACT(metadata!W151,"TRUE"),EXACT(metadata!W151,"FALSE"))))</f>
        <v>0</v>
      </c>
      <c r="BI151" t="b">
        <f>AND(IF(metadata!X151="",FALSE,TRUE),EXACT(metadata!X151,"other"))</f>
        <v>0</v>
      </c>
      <c r="BJ151" t="b">
        <f>IF(metadata!Y151="",FALSE,TRUE)</f>
        <v>0</v>
      </c>
      <c r="BK151" t="b">
        <f>OR(AND(IF(metadata!Z151="",FALSE,TRUE),OR(EXACT(metadata!Z151,"missing: not collected"),EXACT(metadata!Z151,"missing: not provided"))),AND(IF(metadata!Z151="",FALSE,IF(ISERROR(INT(metadata!Z151)),FALSE,INT(metadata!Z151)=metadata!Z151)),metadata!Z151&gt;0))</f>
        <v>0</v>
      </c>
      <c r="BL151" t="b">
        <f>AND(IF(metadata!AA151="",FALSE,TRUE),EXACT(metadata!AA151,"Not applicable"))</f>
        <v>0</v>
      </c>
      <c r="BM151" t="b">
        <f>IF(metadata!AB151="",FALSE,TRUE)</f>
        <v>0</v>
      </c>
    </row>
    <row r="152" spans="1:65" x14ac:dyDescent="0.2">
      <c r="A152" s="5" t="str">
        <f ca="1">IF(B152=" "," ",HYPERLINK(CONCATENATE("#metadata!",ADDRESS(INDEX($AH$2:$AH$1001,MATCH(ROWS($AF$2:AF152),$AF$2:$AF$1001,0),0),1)),INDEX($AK$2:$AK$1001,MATCH(ROWS($AF$2:AF152),$AF$2:$AF$1001,0),0)))</f>
        <v xml:space="preserve"> </v>
      </c>
      <c r="B152" s="4" t="str">
        <f ca="1">IF(OR(INDEX($AG$2:$AG$1001,MATCH(ROWS($AF$2:AF152),$AF$2:$AF$1001,0),1)&gt;=100000,INDEX($AM$1005:$BM$1005,1,MATCH(COLUMNS($AM$1006:AM1006),$AM$1006:$BM$1006,0))&gt;=100000), " ",IF(INDEX($AM$2:$BM$1001,MATCH(ROWS($AF$2:AF152),$AF$2:$AF$1001,0),MATCH(COLUMNS($AM$1006:AM1006),$AM$1006:$BM$1006,0)), HYPERLINK("#",""), HYPERLINK(CONCATENATE("#metadata!", ADDRESS(INDEX($AH$2:$AH$1001,MATCH(ROWS($AF$2:AF152),$AF$2:$AF$1001,0),0), INDEX($AM$1004:$BM$1004,1,MATCH(COLUMNS($AM$1006:AM1006),$AM$1006:$BM$1006,0)))),"Fix")))</f>
        <v xml:space="preserve"> </v>
      </c>
      <c r="C152" s="4" t="str">
        <f ca="1">IF(OR(INDEX($AG$2:$AG$1001,MATCH(ROWS($AF$2:AF152),$AF$2:$AF$1001,0),1)&gt;=100000,INDEX($AM$1005:$BM$1005,1,MATCH(COLUMNS($AM$1006:AN1006),$AM$1006:$BM$1006,0))&gt;=100000), " ",IF(INDEX($AM$2:$BM$1001,MATCH(ROWS($AF$2:AF152),$AF$2:$AF$1001,0),MATCH(COLUMNS($AM$1006:AN1006),$AM$1006:$BM$1006,0)), HYPERLINK("#",""), HYPERLINK(CONCATENATE("#metadata!", ADDRESS(INDEX($AH$2:$AH$1001,MATCH(ROWS($AF$2:AF152),$AF$2:$AF$1001,0),0), INDEX($AM$1004:$BM$1004,1,MATCH(COLUMNS($AM$1006:AN1006),$AM$1006:$BM$1006,0)))),"Fix")))</f>
        <v xml:space="preserve"> </v>
      </c>
      <c r="D152" s="4" t="str">
        <f ca="1">IF(OR(INDEX($AG$2:$AG$1001,MATCH(ROWS($AF$2:AF152),$AF$2:$AF$1001,0),1)&gt;=100000,INDEX($AM$1005:$BM$1005,1,MATCH(COLUMNS($AM$1006:AO1006),$AM$1006:$BM$1006,0))&gt;=100000), " ",IF(INDEX($AM$2:$BM$1001,MATCH(ROWS($AF$2:AF152),$AF$2:$AF$1001,0),MATCH(COLUMNS($AM$1006:AO1006),$AM$1006:$BM$1006,0)), HYPERLINK("#",""), HYPERLINK(CONCATENATE("#metadata!", ADDRESS(INDEX($AH$2:$AH$1001,MATCH(ROWS($AF$2:AF152),$AF$2:$AF$1001,0),0), INDEX($AM$1004:$BM$1004,1,MATCH(COLUMNS($AM$1006:AO1006),$AM$1006:$BM$1006,0)))),"Fix")))</f>
        <v xml:space="preserve"> </v>
      </c>
      <c r="E152" s="4" t="str">
        <f ca="1">IF(OR(INDEX($AG$2:$AG$1001,MATCH(ROWS($AF$2:AF152),$AF$2:$AF$1001,0),1)&gt;=100000,INDEX($AM$1005:$BM$1005,1,MATCH(COLUMNS($AM$1006:AP1006),$AM$1006:$BM$1006,0))&gt;=100000), " ",IF(INDEX($AM$2:$BM$1001,MATCH(ROWS($AF$2:AF152),$AF$2:$AF$1001,0),MATCH(COLUMNS($AM$1006:AP1006),$AM$1006:$BM$1006,0)), HYPERLINK("#",""), HYPERLINK(CONCATENATE("#metadata!", ADDRESS(INDEX($AH$2:$AH$1001,MATCH(ROWS($AF$2:AF152),$AF$2:$AF$1001,0),0), INDEX($AM$1004:$BM$1004,1,MATCH(COLUMNS($AM$1006:AP1006),$AM$1006:$BM$1006,0)))),"Fix")))</f>
        <v xml:space="preserve"> </v>
      </c>
      <c r="F152" s="4" t="str">
        <f ca="1">IF(OR(INDEX($AG$2:$AG$1001,MATCH(ROWS($AF$2:AF152),$AF$2:$AF$1001,0),1)&gt;=100000,INDEX($AM$1005:$BM$1005,1,MATCH(COLUMNS($AM$1006:AQ1006),$AM$1006:$BM$1006,0))&gt;=100000), " ",IF(INDEX($AM$2:$BM$1001,MATCH(ROWS($AF$2:AF152),$AF$2:$AF$1001,0),MATCH(COLUMNS($AM$1006:AQ1006),$AM$1006:$BM$1006,0)), HYPERLINK("#",""), HYPERLINK(CONCATENATE("#metadata!", ADDRESS(INDEX($AH$2:$AH$1001,MATCH(ROWS($AF$2:AF152),$AF$2:$AF$1001,0),0), INDEX($AM$1004:$BM$1004,1,MATCH(COLUMNS($AM$1006:AQ1006),$AM$1006:$BM$1006,0)))),"Fix")))</f>
        <v xml:space="preserve"> </v>
      </c>
      <c r="G152" s="4" t="str">
        <f ca="1">IF(OR(INDEX($AG$2:$AG$1001,MATCH(ROWS($AF$2:AF152),$AF$2:$AF$1001,0),1)&gt;=100000,INDEX($AM$1005:$BM$1005,1,MATCH(COLUMNS($AM$1006:AR1006),$AM$1006:$BM$1006,0))&gt;=100000), " ",IF(INDEX($AM$2:$BM$1001,MATCH(ROWS($AF$2:AF152),$AF$2:$AF$1001,0),MATCH(COLUMNS($AM$1006:AR1006),$AM$1006:$BM$1006,0)), HYPERLINK("#",""), HYPERLINK(CONCATENATE("#metadata!", ADDRESS(INDEX($AH$2:$AH$1001,MATCH(ROWS($AF$2:AF152),$AF$2:$AF$1001,0),0), INDEX($AM$1004:$BM$1004,1,MATCH(COLUMNS($AM$1006:AR1006),$AM$1006:$BM$1006,0)))),"Fix")))</f>
        <v xml:space="preserve"> </v>
      </c>
      <c r="H152" s="4" t="str">
        <f ca="1">IF(OR(INDEX($AG$2:$AG$1001,MATCH(ROWS($AF$2:AF152),$AF$2:$AF$1001,0),1)&gt;=100000,INDEX($AM$1005:$BM$1005,1,MATCH(COLUMNS($AM$1006:AS1006),$AM$1006:$BM$1006,0))&gt;=100000), " ",IF(INDEX($AM$2:$BM$1001,MATCH(ROWS($AF$2:AF152),$AF$2:$AF$1001,0),MATCH(COLUMNS($AM$1006:AS1006),$AM$1006:$BM$1006,0)), HYPERLINK("#",""), HYPERLINK(CONCATENATE("#metadata!", ADDRESS(INDEX($AH$2:$AH$1001,MATCH(ROWS($AF$2:AF152),$AF$2:$AF$1001,0),0), INDEX($AM$1004:$BM$1004,1,MATCH(COLUMNS($AM$1006:AS1006),$AM$1006:$BM$1006,0)))),"Fix")))</f>
        <v xml:space="preserve"> </v>
      </c>
      <c r="I152" s="4" t="str">
        <f ca="1">IF(OR(INDEX($AG$2:$AG$1001,MATCH(ROWS($AF$2:AF152),$AF$2:$AF$1001,0),1)&gt;=100000,INDEX($AM$1005:$BM$1005,1,MATCH(COLUMNS($AM$1006:AT1006),$AM$1006:$BM$1006,0))&gt;=100000), " ",IF(INDEX($AM$2:$BM$1001,MATCH(ROWS($AF$2:AF152),$AF$2:$AF$1001,0),MATCH(COLUMNS($AM$1006:AT1006),$AM$1006:$BM$1006,0)), HYPERLINK("#",""), HYPERLINK(CONCATENATE("#metadata!", ADDRESS(INDEX($AH$2:$AH$1001,MATCH(ROWS($AF$2:AF152),$AF$2:$AF$1001,0),0), INDEX($AM$1004:$BM$1004,1,MATCH(COLUMNS($AM$1006:AT1006),$AM$1006:$BM$1006,0)))),"Fix")))</f>
        <v xml:space="preserve"> </v>
      </c>
      <c r="J152" s="4" t="str">
        <f ca="1">IF(OR(INDEX($AG$2:$AG$1001,MATCH(ROWS($AF$2:AF152),$AF$2:$AF$1001,0),1)&gt;=100000,INDEX($AM$1005:$BM$1005,1,MATCH(COLUMNS($AM$1006:AU1006),$AM$1006:$BM$1006,0))&gt;=100000), " ",IF(INDEX($AM$2:$BM$1001,MATCH(ROWS($AF$2:AF152),$AF$2:$AF$1001,0),MATCH(COLUMNS($AM$1006:AU1006),$AM$1006:$BM$1006,0)), HYPERLINK("#",""), HYPERLINK(CONCATENATE("#metadata!", ADDRESS(INDEX($AH$2:$AH$1001,MATCH(ROWS($AF$2:AF152),$AF$2:$AF$1001,0),0), INDEX($AM$1004:$BM$1004,1,MATCH(COLUMNS($AM$1006:AU1006),$AM$1006:$BM$1006,0)))),"Fix")))</f>
        <v xml:space="preserve"> </v>
      </c>
      <c r="K152" s="4" t="str">
        <f ca="1">IF(OR(INDEX($AG$2:$AG$1001,MATCH(ROWS($AF$2:AF152),$AF$2:$AF$1001,0),1)&gt;=100000,INDEX($AM$1005:$BM$1005,1,MATCH(COLUMNS($AM$1006:AV1006),$AM$1006:$BM$1006,0))&gt;=100000), " ",IF(INDEX($AM$2:$BM$1001,MATCH(ROWS($AF$2:AF152),$AF$2:$AF$1001,0),MATCH(COLUMNS($AM$1006:AV1006),$AM$1006:$BM$1006,0)), HYPERLINK("#",""), HYPERLINK(CONCATENATE("#metadata!", ADDRESS(INDEX($AH$2:$AH$1001,MATCH(ROWS($AF$2:AF152),$AF$2:$AF$1001,0),0), INDEX($AM$1004:$BM$1004,1,MATCH(COLUMNS($AM$1006:AV1006),$AM$1006:$BM$1006,0)))),"Fix")))</f>
        <v xml:space="preserve"> </v>
      </c>
      <c r="L152" s="4" t="str">
        <f ca="1">IF(OR(INDEX($AG$2:$AG$1001,MATCH(ROWS($AF$2:AF152),$AF$2:$AF$1001,0),1)&gt;=100000,INDEX($AM$1005:$BM$1005,1,MATCH(COLUMNS($AM$1006:AW1006),$AM$1006:$BM$1006,0))&gt;=100000), " ",IF(INDEX($AM$2:$BM$1001,MATCH(ROWS($AF$2:AF152),$AF$2:$AF$1001,0),MATCH(COLUMNS($AM$1006:AW1006),$AM$1006:$BM$1006,0)), HYPERLINK("#",""), HYPERLINK(CONCATENATE("#metadata!", ADDRESS(INDEX($AH$2:$AH$1001,MATCH(ROWS($AF$2:AF152),$AF$2:$AF$1001,0),0), INDEX($AM$1004:$BM$1004,1,MATCH(COLUMNS($AM$1006:AW1006),$AM$1006:$BM$1006,0)))),"Fix")))</f>
        <v xml:space="preserve"> </v>
      </c>
      <c r="M152" s="4" t="str">
        <f ca="1">IF(OR(INDEX($AG$2:$AG$1001,MATCH(ROWS($AF$2:AF152),$AF$2:$AF$1001,0),1)&gt;=100000,INDEX($AM$1005:$BM$1005,1,MATCH(COLUMNS($AM$1006:AX1006),$AM$1006:$BM$1006,0))&gt;=100000), " ",IF(INDEX($AM$2:$BM$1001,MATCH(ROWS($AF$2:AF152),$AF$2:$AF$1001,0),MATCH(COLUMNS($AM$1006:AX1006),$AM$1006:$BM$1006,0)), HYPERLINK("#",""), HYPERLINK(CONCATENATE("#metadata!", ADDRESS(INDEX($AH$2:$AH$1001,MATCH(ROWS($AF$2:AF152),$AF$2:$AF$1001,0),0), INDEX($AM$1004:$BM$1004,1,MATCH(COLUMNS($AM$1006:AX1006),$AM$1006:$BM$1006,0)))),"Fix")))</f>
        <v xml:space="preserve"> </v>
      </c>
      <c r="N152" s="4" t="str">
        <f ca="1">IF(OR(INDEX($AG$2:$AG$1001,MATCH(ROWS($AF$2:AF152),$AF$2:$AF$1001,0),1)&gt;=100000,INDEX($AM$1005:$BM$1005,1,MATCH(COLUMNS($AM$1006:AY1006),$AM$1006:$BM$1006,0))&gt;=100000), " ",IF(INDEX($AM$2:$BM$1001,MATCH(ROWS($AF$2:AF152),$AF$2:$AF$1001,0),MATCH(COLUMNS($AM$1006:AY1006),$AM$1006:$BM$1006,0)), HYPERLINK("#",""), HYPERLINK(CONCATENATE("#metadata!", ADDRESS(INDEX($AH$2:$AH$1001,MATCH(ROWS($AF$2:AF152),$AF$2:$AF$1001,0),0), INDEX($AM$1004:$BM$1004,1,MATCH(COLUMNS($AM$1006:AY1006),$AM$1006:$BM$1006,0)))),"Fix")))</f>
        <v xml:space="preserve"> </v>
      </c>
      <c r="O152" s="4" t="str">
        <f ca="1">IF(OR(INDEX($AG$2:$AG$1001,MATCH(ROWS($AF$2:AF152),$AF$2:$AF$1001,0),1)&gt;=100000,INDEX($AM$1005:$BM$1005,1,MATCH(COLUMNS($AM$1006:AZ1006),$AM$1006:$BM$1006,0))&gt;=100000), " ",IF(INDEX($AM$2:$BM$1001,MATCH(ROWS($AF$2:AF152),$AF$2:$AF$1001,0),MATCH(COLUMNS($AM$1006:AZ1006),$AM$1006:$BM$1006,0)), HYPERLINK("#",""), HYPERLINK(CONCATENATE("#metadata!", ADDRESS(INDEX($AH$2:$AH$1001,MATCH(ROWS($AF$2:AF152),$AF$2:$AF$1001,0),0), INDEX($AM$1004:$BM$1004,1,MATCH(COLUMNS($AM$1006:AZ1006),$AM$1006:$BM$1006,0)))),"Fix")))</f>
        <v xml:space="preserve"> </v>
      </c>
      <c r="P152" s="4" t="str">
        <f ca="1">IF(OR(INDEX($AG$2:$AG$1001,MATCH(ROWS($AF$2:AF152),$AF$2:$AF$1001,0),1)&gt;=100000,INDEX($AM$1005:$BM$1005,1,MATCH(COLUMNS($AM$1006:BA1006),$AM$1006:$BM$1006,0))&gt;=100000), " ",IF(INDEX($AM$2:$BM$1001,MATCH(ROWS($AF$2:AF152),$AF$2:$AF$1001,0),MATCH(COLUMNS($AM$1006:BA1006),$AM$1006:$BM$1006,0)), HYPERLINK("#",""), HYPERLINK(CONCATENATE("#metadata!", ADDRESS(INDEX($AH$2:$AH$1001,MATCH(ROWS($AF$2:AF152),$AF$2:$AF$1001,0),0), INDEX($AM$1004:$BM$1004,1,MATCH(COLUMNS($AM$1006:BA1006),$AM$1006:$BM$1006,0)))),"Fix")))</f>
        <v xml:space="preserve"> </v>
      </c>
      <c r="Q152" s="4" t="str">
        <f ca="1">IF(OR(INDEX($AG$2:$AG$1001,MATCH(ROWS($AF$2:AF152),$AF$2:$AF$1001,0),1)&gt;=100000,INDEX($AM$1005:$BM$1005,1,MATCH(COLUMNS($AM$1006:BB1006),$AM$1006:$BM$1006,0))&gt;=100000), " ",IF(INDEX($AM$2:$BM$1001,MATCH(ROWS($AF$2:AF152),$AF$2:$AF$1001,0),MATCH(COLUMNS($AM$1006:BB1006),$AM$1006:$BM$1006,0)), HYPERLINK("#",""), HYPERLINK(CONCATENATE("#metadata!", ADDRESS(INDEX($AH$2:$AH$1001,MATCH(ROWS($AF$2:AF152),$AF$2:$AF$1001,0),0), INDEX($AM$1004:$BM$1004,1,MATCH(COLUMNS($AM$1006:BB1006),$AM$1006:$BM$1006,0)))),"Fix")))</f>
        <v xml:space="preserve"> </v>
      </c>
      <c r="R152" s="4" t="str">
        <f ca="1">IF(OR(INDEX($AG$2:$AG$1001,MATCH(ROWS($AF$2:AF152),$AF$2:$AF$1001,0),1)&gt;=100000,INDEX($AM$1005:$BM$1005,1,MATCH(COLUMNS($AM$1006:BC1006),$AM$1006:$BM$1006,0))&gt;=100000), " ",IF(INDEX($AM$2:$BM$1001,MATCH(ROWS($AF$2:AF152),$AF$2:$AF$1001,0),MATCH(COLUMNS($AM$1006:BC1006),$AM$1006:$BM$1006,0)), HYPERLINK("#",""), HYPERLINK(CONCATENATE("#metadata!", ADDRESS(INDEX($AH$2:$AH$1001,MATCH(ROWS($AF$2:AF152),$AF$2:$AF$1001,0),0), INDEX($AM$1004:$BM$1004,1,MATCH(COLUMNS($AM$1006:BC1006),$AM$1006:$BM$1006,0)))),"Fix")))</f>
        <v xml:space="preserve"> </v>
      </c>
      <c r="S152" s="4" t="str">
        <f ca="1">IF(OR(INDEX($AG$2:$AG$1001,MATCH(ROWS($AF$2:AF152),$AF$2:$AF$1001,0),1)&gt;=100000,INDEX($AM$1005:$BM$1005,1,MATCH(COLUMNS($AM$1006:BD1006),$AM$1006:$BM$1006,0))&gt;=100000), " ",IF(INDEX($AM$2:$BM$1001,MATCH(ROWS($AF$2:AF152),$AF$2:$AF$1001,0),MATCH(COLUMNS($AM$1006:BD1006),$AM$1006:$BM$1006,0)), HYPERLINK("#",""), HYPERLINK(CONCATENATE("#metadata!", ADDRESS(INDEX($AH$2:$AH$1001,MATCH(ROWS($AF$2:AF152),$AF$2:$AF$1001,0),0), INDEX($AM$1004:$BM$1004,1,MATCH(COLUMNS($AM$1006:BD1006),$AM$1006:$BM$1006,0)))),"Fix")))</f>
        <v xml:space="preserve"> </v>
      </c>
      <c r="T152" s="4" t="str">
        <f ca="1">IF(OR(INDEX($AG$2:$AG$1001,MATCH(ROWS($AF$2:AF152),$AF$2:$AF$1001,0),1)&gt;=100000,INDEX($AM$1005:$BM$1005,1,MATCH(COLUMNS($AM$1006:BE1006),$AM$1006:$BM$1006,0))&gt;=100000), " ",IF(INDEX($AM$2:$BM$1001,MATCH(ROWS($AF$2:AF152),$AF$2:$AF$1001,0),MATCH(COLUMNS($AM$1006:BE1006),$AM$1006:$BM$1006,0)), HYPERLINK("#",""), HYPERLINK(CONCATENATE("#metadata!", ADDRESS(INDEX($AH$2:$AH$1001,MATCH(ROWS($AF$2:AF152),$AF$2:$AF$1001,0),0), INDEX($AM$1004:$BM$1004,1,MATCH(COLUMNS($AM$1006:BE1006),$AM$1006:$BM$1006,0)))),"Fix")))</f>
        <v xml:space="preserve"> </v>
      </c>
      <c r="U152" s="4" t="str">
        <f ca="1">IF(OR(INDEX($AG$2:$AG$1001,MATCH(ROWS($AF$2:AF152),$AF$2:$AF$1001,0),1)&gt;=100000,INDEX($AM$1005:$BM$1005,1,MATCH(COLUMNS($AM$1006:BF1006),$AM$1006:$BM$1006,0))&gt;=100000), " ",IF(INDEX($AM$2:$BM$1001,MATCH(ROWS($AF$2:AF152),$AF$2:$AF$1001,0),MATCH(COLUMNS($AM$1006:BF1006),$AM$1006:$BM$1006,0)), HYPERLINK("#",""), HYPERLINK(CONCATENATE("#metadata!", ADDRESS(INDEX($AH$2:$AH$1001,MATCH(ROWS($AF$2:AF152),$AF$2:$AF$1001,0),0), INDEX($AM$1004:$BM$1004,1,MATCH(COLUMNS($AM$1006:BF1006),$AM$1006:$BM$1006,0)))),"Fix")))</f>
        <v xml:space="preserve"> </v>
      </c>
      <c r="V152" s="4" t="str">
        <f ca="1">IF(OR(INDEX($AG$2:$AG$1001,MATCH(ROWS($AF$2:AF152),$AF$2:$AF$1001,0),1)&gt;=100000,INDEX($AM$1005:$BM$1005,1,MATCH(COLUMNS($AM$1006:BG1006),$AM$1006:$BM$1006,0))&gt;=100000), " ",IF(INDEX($AM$2:$BM$1001,MATCH(ROWS($AF$2:AF152),$AF$2:$AF$1001,0),MATCH(COLUMNS($AM$1006:BG1006),$AM$1006:$BM$1006,0)), HYPERLINK("#",""), HYPERLINK(CONCATENATE("#metadata!", ADDRESS(INDEX($AH$2:$AH$1001,MATCH(ROWS($AF$2:AF152),$AF$2:$AF$1001,0),0), INDEX($AM$1004:$BM$1004,1,MATCH(COLUMNS($AM$1006:BG1006),$AM$1006:$BM$1006,0)))),"Fix")))</f>
        <v xml:space="preserve"> </v>
      </c>
      <c r="W152" s="4" t="str">
        <f ca="1">IF(OR(INDEX($AG$2:$AG$1001,MATCH(ROWS($AF$2:AF152),$AF$2:$AF$1001,0),1)&gt;=100000,INDEX($AM$1005:$BM$1005,1,MATCH(COLUMNS($AM$1006:BH1006),$AM$1006:$BM$1006,0))&gt;=100000), " ",IF(INDEX($AM$2:$BM$1001,MATCH(ROWS($AF$2:AF152),$AF$2:$AF$1001,0),MATCH(COLUMNS($AM$1006:BH1006),$AM$1006:$BM$1006,0)), HYPERLINK("#",""), HYPERLINK(CONCATENATE("#metadata!", ADDRESS(INDEX($AH$2:$AH$1001,MATCH(ROWS($AF$2:AF152),$AF$2:$AF$1001,0),0), INDEX($AM$1004:$BM$1004,1,MATCH(COLUMNS($AM$1006:BH1006),$AM$1006:$BM$1006,0)))),"Fix")))</f>
        <v xml:space="preserve"> </v>
      </c>
      <c r="X152" s="4" t="str">
        <f ca="1">IF(OR(INDEX($AG$2:$AG$1001,MATCH(ROWS($AF$2:AF152),$AF$2:$AF$1001,0),1)&gt;=100000,INDEX($AM$1005:$BM$1005,1,MATCH(COLUMNS($AM$1006:BI1006),$AM$1006:$BM$1006,0))&gt;=100000), " ",IF(INDEX($AM$2:$BM$1001,MATCH(ROWS($AF$2:AF152),$AF$2:$AF$1001,0),MATCH(COLUMNS($AM$1006:BI1006),$AM$1006:$BM$1006,0)), HYPERLINK("#",""), HYPERLINK(CONCATENATE("#metadata!", ADDRESS(INDEX($AH$2:$AH$1001,MATCH(ROWS($AF$2:AF152),$AF$2:$AF$1001,0),0), INDEX($AM$1004:$BM$1004,1,MATCH(COLUMNS($AM$1006:BI1006),$AM$1006:$BM$1006,0)))),"Fix")))</f>
        <v xml:space="preserve"> </v>
      </c>
      <c r="Y152" s="4" t="str">
        <f ca="1">IF(OR(INDEX($AG$2:$AG$1001,MATCH(ROWS($AF$2:AF152),$AF$2:$AF$1001,0),1)&gt;=100000,INDEX($AM$1005:$BM$1005,1,MATCH(COLUMNS($AM$1006:BJ1006),$AM$1006:$BM$1006,0))&gt;=100000), " ",IF(INDEX($AM$2:$BM$1001,MATCH(ROWS($AF$2:AF152),$AF$2:$AF$1001,0),MATCH(COLUMNS($AM$1006:BJ1006),$AM$1006:$BM$1006,0)), HYPERLINK("#",""), HYPERLINK(CONCATENATE("#metadata!", ADDRESS(INDEX($AH$2:$AH$1001,MATCH(ROWS($AF$2:AF152),$AF$2:$AF$1001,0),0), INDEX($AM$1004:$BM$1004,1,MATCH(COLUMNS($AM$1006:BJ1006),$AM$1006:$BM$1006,0)))),"Fix")))</f>
        <v xml:space="preserve"> </v>
      </c>
      <c r="Z152" s="4" t="str">
        <f ca="1">IF(OR(INDEX($AG$2:$AG$1001,MATCH(ROWS($AF$2:AF152),$AF$2:$AF$1001,0),1)&gt;=100000,INDEX($AM$1005:$BM$1005,1,MATCH(COLUMNS($AM$1006:BK1006),$AM$1006:$BM$1006,0))&gt;=100000), " ",IF(INDEX($AM$2:$BM$1001,MATCH(ROWS($AF$2:AF152),$AF$2:$AF$1001,0),MATCH(COLUMNS($AM$1006:BK1006),$AM$1006:$BM$1006,0)), HYPERLINK("#",""), HYPERLINK(CONCATENATE("#metadata!", ADDRESS(INDEX($AH$2:$AH$1001,MATCH(ROWS($AF$2:AF152),$AF$2:$AF$1001,0),0), INDEX($AM$1004:$BM$1004,1,MATCH(COLUMNS($AM$1006:BK1006),$AM$1006:$BM$1006,0)))),"Fix")))</f>
        <v xml:space="preserve"> </v>
      </c>
      <c r="AA152" s="4" t="str">
        <f ca="1">IF(OR(INDEX($AG$2:$AG$1001,MATCH(ROWS($AF$2:AF152),$AF$2:$AF$1001,0),1)&gt;=100000,INDEX($AM$1005:$BM$1005,1,MATCH(COLUMNS($AM$1006:BL1006),$AM$1006:$BM$1006,0))&gt;=100000), " ",IF(INDEX($AM$2:$BM$1001,MATCH(ROWS($AF$2:AF152),$AF$2:$AF$1001,0),MATCH(COLUMNS($AM$1006:BL1006),$AM$1006:$BM$1006,0)), HYPERLINK("#",""), HYPERLINK(CONCATENATE("#metadata!", ADDRESS(INDEX($AH$2:$AH$1001,MATCH(ROWS($AF$2:AF152),$AF$2:$AF$1001,0),0), INDEX($AM$1004:$BM$1004,1,MATCH(COLUMNS($AM$1006:BL1006),$AM$1006:$BM$1006,0)))),"Fix")))</f>
        <v xml:space="preserve"> </v>
      </c>
      <c r="AB152" s="4" t="str">
        <f ca="1">IF(OR(INDEX($AG$2:$AG$1001,MATCH(ROWS($AF$2:AF152),$AF$2:$AF$1001,0),1)&gt;=100000,INDEX($AM$1005:$BM$1005,1,MATCH(COLUMNS($AM$1006:BM1006),$AM$1006:$BM$1006,0))&gt;=100000), " ",IF(INDEX($AM$2:$BM$1001,MATCH(ROWS($AF$2:AF152),$AF$2:$AF$1001,0),MATCH(COLUMNS($AM$1006:BM1006),$AM$1006:$BM$1006,0)), HYPERLINK("#",""), HYPERLINK(CONCATENATE("#metadata!", ADDRESS(INDEX($AH$2:$AH$1001,MATCH(ROWS($AF$2:AF152),$AF$2:$AF$1001,0),0), INDEX($AM$1004:$BM$1004,1,MATCH(COLUMNS($AM$1006:BM1006),$AM$1006:$BM$1006,0)))),"Fix")))</f>
        <v xml:space="preserve"> </v>
      </c>
      <c r="AF152">
        <v>151</v>
      </c>
      <c r="AG152">
        <v>100152</v>
      </c>
      <c r="AH152">
        <v>152</v>
      </c>
      <c r="AI152" t="b">
        <f t="shared" si="2"/>
        <v>1</v>
      </c>
      <c r="AJ152" t="b">
        <f>COUNTBLANK(metadata!B152:AB152)=COLUMNS(metadata!B152:AB152)</f>
        <v>1</v>
      </c>
      <c r="AK152" t="str">
        <v/>
      </c>
      <c r="AM152" t="b">
        <f ca="1">AND(IF(metadata!B152="",FALSE,TRUE),COUNTIF(metadata!B:B, metadata!B152) = 1,NOT(ISERROR(SUMPRODUCT(SEARCH(MID(metadata!B152,ROW(INDIRECT("1:"&amp;LEN(metadata!B152))), 1),"0123456789abcdefghijklmnopqrstuvwxyzABCDEFGHIJKLMNOPQRSTUVWXYZ.")))))</f>
        <v>0</v>
      </c>
      <c r="AN152" t="b">
        <f ca="1">OR(AND(IF(metadata!C152="",FALSE,TRUE),OR(EXACT(metadata!C152,"missing: not collected"),EXACT(metadata!C152,"missing: not provided"),EXACT(metadata!C152,"missing: restricted access"))),AND(IF(metadata!C152="",FALSE,TRUE),AND(AND(IFERROR(INT(LEFT(metadata!C152,4))&gt;1900,FALSE),IFERROR(INT(LEFT(metadata!C152,4))&lt;=YEAR(NOW()),FALSE)), OR(MID(metadata!C152,5,1)="", AND(AND(MID(metadata!C152,5,1)="-",IFERROR(INT(MID(metadata!C152,6,1))&gt;=0,FALSE),IFERROR(INT(MID(metadata!C152,6,1))&lt;=1,FALSE),NOT(MID(metadata!C152,7,1)=""),IFERROR(INT(MID(metadata!C152,6,2))&gt;=1,FALSE),IFERROR(INT(MID(metadata!C152,6,2))&lt;=12,FALSE)), OR(MID(metadata!C152,8,1)="", AND(AND(MID(metadata!C152,8,1)="-",IFERROR(INT(MID(metadata!C152,9,1))&gt;=0,FALSE),IFERROR(INT(MID(metadata!C152,9,1))&lt;=3,FALSE),NOT(MID(metadata!C152,10,1)=""),IFERROR(INT(MID(metadata!C152,9,2))&gt;=1,FALSE),IFERROR(INT(MID(metadata!C152,9,2))&lt;=31,FALSE)), OR(MID(metadata!C152,11,1)="", AND(AND(MID(metadata!C152,11,1)=" ",IFERROR(INT(MID(metadata!C152,12,1))&gt;=0,FALSE),IFERROR(INT(MID(metadata!C152,12,1))&lt;=2,FALSE),NOT(MID(metadata!C152,13,1)=""),IFERROR(INT(MID(metadata!C152,12,2))&gt;=0,FALSE),IFERROR(INT(MID(metadata!C152,12,2))&lt;=23,FALSE)), OR(MID(metadata!C152,14,1)="", AND(AND(MID(metadata!C152,14,1)=":",IFERROR(INT(MID(metadata!C152,15,1))&gt;=0,FALSE),IFERROR(INT(MID(metadata!C152,15,1))&lt;=5,FALSE),NOT(MID(metadata!C152,16,1)=""),IFERROR(INT(MID(metadata!C152,15,2))&gt;=0,FALSE),IFERROR(INT(MID(metadata!C152,15,2))&lt;=59,FALSE)), OR(MID(metadata!C152,17,1)="", AND(AND(MID(metadata!C152,17,1)=":",IFERROR(INT(MID(metadata!C152,18,1))&gt;=0,FALSE),IFERROR(INT(MID(metadata!C152,18,1))&lt;=5,FALSE),NOT(MID(metadata!C152,19,1)=""),IFERROR(INT(MID(metadata!C152,18,2))&gt;=0,FALSE),IFERROR(INT(MID(metadata!C152,18,2))&lt;=59,FALSE)), LEN(metadata!C152)&lt;=19)))))))))))))</f>
        <v>0</v>
      </c>
      <c r="AO152" t="b">
        <f>AND(IF(metadata!D152="",FALSE,TRUE),EXACT(metadata!D152,"Not applicable"))</f>
        <v>0</v>
      </c>
      <c r="AP152" t="b">
        <f>IF(metadata!E152="",FALSE,TRUE)</f>
        <v>0</v>
      </c>
      <c r="AQ152" t="b">
        <f>OR(AND(IF(metadata!F152="",FALSE,TRUE),OR(EXACT(metadata!F152,"missing: not collected"),EXACT(metadata!F152,"missing: not provided"))),AND(IF(metadata!F152="",FALSE,TRUE),OR(EXACT(metadata!F152,"TRUE"),EXACT(metadata!F152,"FALSE"))))</f>
        <v>0</v>
      </c>
      <c r="AR152" t="b">
        <f>OR(AND(IF(metadata!G152="",FALSE,TRUE),OR(EXACT(metadata!G152,"missing: not collected"),EXACT(metadata!G152,"missing: not provided"),EXACT(metadata!G152,"missing: restricted access"))),AND(IF(metadata!G152="",FALSE,ISNUMBER(VALUE(metadata!G152))),metadata!G152&gt;=-413))</f>
        <v>0</v>
      </c>
      <c r="AS152" t="b">
        <f>AND(IF(metadata!H152="",FALSE,TRUE),EXACT(metadata!H152,"meters"))</f>
        <v>0</v>
      </c>
      <c r="AT152" t="b">
        <f>AND(IF(metadata!I152="",FALSE,TRUE),OR(EXACT(metadata!I152,"Host-associated"),EXACT(metadata!I152,"Free-living")))</f>
        <v>0</v>
      </c>
      <c r="AU152" t="b">
        <f>AND(IF(metadata!J152="",FALSE,TRUE),OR(EXACT(metadata!J152,"Animal"),EXACT(metadata!J152,"Fungus"),EXACT(metadata!J152,"Plant"),EXACT(metadata!J152,"Saline"),EXACT(metadata!J152,"Non-saline")))</f>
        <v>0</v>
      </c>
      <c r="AV152" t="b">
        <f>AND(IF(metadata!K152="",FALSE,TRUE),OR(EXACT(metadata!K152,"Plant secretion"),EXACT(metadata!K152,"Plant rhizosphere"),EXACT(metadata!K152,"Plant surface"),EXACT(metadata!K152,"Plant corpus"),EXACT(metadata!K152,"Fungus surface"),EXACT(metadata!K152,"Fungus corpus"),EXACT(metadata!K152,"Animal surface"),EXACT(metadata!K152,"Animal proximal gut"),EXACT(metadata!K152,"Animal corpus"),EXACT(metadata!K152,"Animal distal gut"),EXACT(metadata!K152,"Animal secretion"),EXACT(metadata!K152,"Sub-surface (non-saline)"),EXACT(metadata!K152,"Surface (non-saline)"),EXACT(metadata!K152,"Water (non-saline)"),EXACT(metadata!K152,"Soil (non-saline)"),EXACT(metadata!K152,"Aerosol (non-saline)"),EXACT(metadata!K152,"Sediment (non-saline)"),EXACT(metadata!K152,"Surface (saline)"),EXACT(metadata!K152,"Water (saline)"),EXACT(metadata!K152,"Hypersaline (saline)"),EXACT(metadata!K152,"Aerosol (saline)"),EXACT(metadata!K152,"Sediment (saline)")))</f>
        <v>0</v>
      </c>
      <c r="AW152" t="b">
        <f>IF(metadata!L152="",FALSE,TRUE)</f>
        <v>0</v>
      </c>
      <c r="AX152" t="b">
        <f>IF(metadata!M152="",FALSE,TRUE)</f>
        <v>0</v>
      </c>
      <c r="AY152" t="b">
        <f>IF(metadata!N152="",FALSE,TRUE)</f>
        <v>0</v>
      </c>
      <c r="AZ152" t="b">
        <f>OR(AND(IF(metadata!O152="",FALSE,TRUE),OR(EXACT(metadata!O152,"missing: not collected"),EXACT(metadata!O152,"missing: not provided"),EXACT(metadata!O152,"missing: restricted access"))),AND(IF(metadata!O152="",FALSE,TRUE),OR(EXACT(metadata!O152,"air"),EXACT(metadata!O152,"built environment"),EXACT(metadata!O152,"host-associated"),EXACT(metadata!O152,"human-associated"),EXACT(metadata!O152,"human-skin"),EXACT(metadata!O152,"human-oral"),EXACT(metadata!O152,"human-gut"),EXACT(metadata!O152,"human-vaginal"),EXACT(metadata!O152,"microbial mat/biofilm"),EXACT(metadata!O152,"misc environment"),EXACT(metadata!O152,"plant-associated"),EXACT(metadata!O152,"sediment"),EXACT(metadata!O152,"soil"),EXACT(metadata!O152,"wastewater/sludge"),EXACT(metadata!O152,"water"))))</f>
        <v>0</v>
      </c>
      <c r="BA152" t="b">
        <f>IF(metadata!P152="",FALSE,TRUE)</f>
        <v>0</v>
      </c>
      <c r="BB152" t="b">
        <f>IF(metadata!Q152="",FALSE,TRUE)</f>
        <v>0</v>
      </c>
      <c r="BC152" t="b">
        <f>OR(AND(IF(metadata!R152="",FALSE,TRUE),OR(EXACT(metadata!R152,"missing: not collected"),EXACT(metadata!R152,"missing: not provided"),EXACT(metadata!R152,"missing: restricted access"))),AND(IF(metadata!R152="",FALSE,ISNUMBER(VALUE(metadata!R152))),metadata!R152&gt;=-90,metadata!R152&lt;=90))</f>
        <v>0</v>
      </c>
      <c r="BD152" t="b">
        <f>AND(IF(metadata!S152="",FALSE,TRUE),EXACT(metadata!S152,"Decimal degrees"))</f>
        <v>0</v>
      </c>
      <c r="BE152" t="b">
        <f>OR(AND(IF(metadata!T152="",FALSE,TRUE),OR(EXACT(metadata!T152,"missing: not collected"),EXACT(metadata!T152,"missing: not provided"),EXACT(metadata!T152,"missing: restricted access"))),AND(IF(metadata!T152="",FALSE,ISNUMBER(VALUE(metadata!T152))),metadata!T152&gt;=-180,metadata!T152&lt;=180))</f>
        <v>0</v>
      </c>
      <c r="BF152" t="b">
        <f>AND(IF(metadata!U152="",FALSE,TRUE),EXACT(metadata!U152,"Decimal degrees"))</f>
        <v>0</v>
      </c>
      <c r="BG152" t="b">
        <f>IF(metadata!V152="",FALSE,TRUE)</f>
        <v>0</v>
      </c>
      <c r="BH152" t="b">
        <f>OR(AND(IF(metadata!W152="",FALSE,TRUE),OR(EXACT(metadata!W152,"missing: not collected"),EXACT(metadata!W152,"missing: not provided"),EXACT(metadata!W152,"missing: restricted access"))),AND(IF(metadata!W152="",FALSE,TRUE),OR(EXACT(metadata!W152,"TRUE"),EXACT(metadata!W152,"FALSE"))))</f>
        <v>0</v>
      </c>
      <c r="BI152" t="b">
        <f>AND(IF(metadata!X152="",FALSE,TRUE),EXACT(metadata!X152,"other"))</f>
        <v>0</v>
      </c>
      <c r="BJ152" t="b">
        <f>IF(metadata!Y152="",FALSE,TRUE)</f>
        <v>0</v>
      </c>
      <c r="BK152" t="b">
        <f>OR(AND(IF(metadata!Z152="",FALSE,TRUE),OR(EXACT(metadata!Z152,"missing: not collected"),EXACT(metadata!Z152,"missing: not provided"))),AND(IF(metadata!Z152="",FALSE,IF(ISERROR(INT(metadata!Z152)),FALSE,INT(metadata!Z152)=metadata!Z152)),metadata!Z152&gt;0))</f>
        <v>0</v>
      </c>
      <c r="BL152" t="b">
        <f>AND(IF(metadata!AA152="",FALSE,TRUE),EXACT(metadata!AA152,"Not applicable"))</f>
        <v>0</v>
      </c>
      <c r="BM152" t="b">
        <f>IF(metadata!AB152="",FALSE,TRUE)</f>
        <v>0</v>
      </c>
    </row>
    <row r="153" spans="1:65" x14ac:dyDescent="0.2">
      <c r="A153" s="5" t="str">
        <f ca="1">IF(B153=" "," ",HYPERLINK(CONCATENATE("#metadata!",ADDRESS(INDEX($AH$2:$AH$1001,MATCH(ROWS($AF$2:AF153),$AF$2:$AF$1001,0),0),1)),INDEX($AK$2:$AK$1001,MATCH(ROWS($AF$2:AF153),$AF$2:$AF$1001,0),0)))</f>
        <v xml:space="preserve"> </v>
      </c>
      <c r="B153" s="4" t="str">
        <f ca="1">IF(OR(INDEX($AG$2:$AG$1001,MATCH(ROWS($AF$2:AF153),$AF$2:$AF$1001,0),1)&gt;=100000,INDEX($AM$1005:$BM$1005,1,MATCH(COLUMNS($AM$1006:AM1006),$AM$1006:$BM$1006,0))&gt;=100000), " ",IF(INDEX($AM$2:$BM$1001,MATCH(ROWS($AF$2:AF153),$AF$2:$AF$1001,0),MATCH(COLUMNS($AM$1006:AM1006),$AM$1006:$BM$1006,0)), HYPERLINK("#",""), HYPERLINK(CONCATENATE("#metadata!", ADDRESS(INDEX($AH$2:$AH$1001,MATCH(ROWS($AF$2:AF153),$AF$2:$AF$1001,0),0), INDEX($AM$1004:$BM$1004,1,MATCH(COLUMNS($AM$1006:AM1006),$AM$1006:$BM$1006,0)))),"Fix")))</f>
        <v xml:space="preserve"> </v>
      </c>
      <c r="C153" s="4" t="str">
        <f ca="1">IF(OR(INDEX($AG$2:$AG$1001,MATCH(ROWS($AF$2:AF153),$AF$2:$AF$1001,0),1)&gt;=100000,INDEX($AM$1005:$BM$1005,1,MATCH(COLUMNS($AM$1006:AN1006),$AM$1006:$BM$1006,0))&gt;=100000), " ",IF(INDEX($AM$2:$BM$1001,MATCH(ROWS($AF$2:AF153),$AF$2:$AF$1001,0),MATCH(COLUMNS($AM$1006:AN1006),$AM$1006:$BM$1006,0)), HYPERLINK("#",""), HYPERLINK(CONCATENATE("#metadata!", ADDRESS(INDEX($AH$2:$AH$1001,MATCH(ROWS($AF$2:AF153),$AF$2:$AF$1001,0),0), INDEX($AM$1004:$BM$1004,1,MATCH(COLUMNS($AM$1006:AN1006),$AM$1006:$BM$1006,0)))),"Fix")))</f>
        <v xml:space="preserve"> </v>
      </c>
      <c r="D153" s="4" t="str">
        <f ca="1">IF(OR(INDEX($AG$2:$AG$1001,MATCH(ROWS($AF$2:AF153),$AF$2:$AF$1001,0),1)&gt;=100000,INDEX($AM$1005:$BM$1005,1,MATCH(COLUMNS($AM$1006:AO1006),$AM$1006:$BM$1006,0))&gt;=100000), " ",IF(INDEX($AM$2:$BM$1001,MATCH(ROWS($AF$2:AF153),$AF$2:$AF$1001,0),MATCH(COLUMNS($AM$1006:AO1006),$AM$1006:$BM$1006,0)), HYPERLINK("#",""), HYPERLINK(CONCATENATE("#metadata!", ADDRESS(INDEX($AH$2:$AH$1001,MATCH(ROWS($AF$2:AF153),$AF$2:$AF$1001,0),0), INDEX($AM$1004:$BM$1004,1,MATCH(COLUMNS($AM$1006:AO1006),$AM$1006:$BM$1006,0)))),"Fix")))</f>
        <v xml:space="preserve"> </v>
      </c>
      <c r="E153" s="4" t="str">
        <f ca="1">IF(OR(INDEX($AG$2:$AG$1001,MATCH(ROWS($AF$2:AF153),$AF$2:$AF$1001,0),1)&gt;=100000,INDEX($AM$1005:$BM$1005,1,MATCH(COLUMNS($AM$1006:AP1006),$AM$1006:$BM$1006,0))&gt;=100000), " ",IF(INDEX($AM$2:$BM$1001,MATCH(ROWS($AF$2:AF153),$AF$2:$AF$1001,0),MATCH(COLUMNS($AM$1006:AP1006),$AM$1006:$BM$1006,0)), HYPERLINK("#",""), HYPERLINK(CONCATENATE("#metadata!", ADDRESS(INDEX($AH$2:$AH$1001,MATCH(ROWS($AF$2:AF153),$AF$2:$AF$1001,0),0), INDEX($AM$1004:$BM$1004,1,MATCH(COLUMNS($AM$1006:AP1006),$AM$1006:$BM$1006,0)))),"Fix")))</f>
        <v xml:space="preserve"> </v>
      </c>
      <c r="F153" s="4" t="str">
        <f ca="1">IF(OR(INDEX($AG$2:$AG$1001,MATCH(ROWS($AF$2:AF153),$AF$2:$AF$1001,0),1)&gt;=100000,INDEX($AM$1005:$BM$1005,1,MATCH(COLUMNS($AM$1006:AQ1006),$AM$1006:$BM$1006,0))&gt;=100000), " ",IF(INDEX($AM$2:$BM$1001,MATCH(ROWS($AF$2:AF153),$AF$2:$AF$1001,0),MATCH(COLUMNS($AM$1006:AQ1006),$AM$1006:$BM$1006,0)), HYPERLINK("#",""), HYPERLINK(CONCATENATE("#metadata!", ADDRESS(INDEX($AH$2:$AH$1001,MATCH(ROWS($AF$2:AF153),$AF$2:$AF$1001,0),0), INDEX($AM$1004:$BM$1004,1,MATCH(COLUMNS($AM$1006:AQ1006),$AM$1006:$BM$1006,0)))),"Fix")))</f>
        <v xml:space="preserve"> </v>
      </c>
      <c r="G153" s="4" t="str">
        <f ca="1">IF(OR(INDEX($AG$2:$AG$1001,MATCH(ROWS($AF$2:AF153),$AF$2:$AF$1001,0),1)&gt;=100000,INDEX($AM$1005:$BM$1005,1,MATCH(COLUMNS($AM$1006:AR1006),$AM$1006:$BM$1006,0))&gt;=100000), " ",IF(INDEX($AM$2:$BM$1001,MATCH(ROWS($AF$2:AF153),$AF$2:$AF$1001,0),MATCH(COLUMNS($AM$1006:AR1006),$AM$1006:$BM$1006,0)), HYPERLINK("#",""), HYPERLINK(CONCATENATE("#metadata!", ADDRESS(INDEX($AH$2:$AH$1001,MATCH(ROWS($AF$2:AF153),$AF$2:$AF$1001,0),0), INDEX($AM$1004:$BM$1004,1,MATCH(COLUMNS($AM$1006:AR1006),$AM$1006:$BM$1006,0)))),"Fix")))</f>
        <v xml:space="preserve"> </v>
      </c>
      <c r="H153" s="4" t="str">
        <f ca="1">IF(OR(INDEX($AG$2:$AG$1001,MATCH(ROWS($AF$2:AF153),$AF$2:$AF$1001,0),1)&gt;=100000,INDEX($AM$1005:$BM$1005,1,MATCH(COLUMNS($AM$1006:AS1006),$AM$1006:$BM$1006,0))&gt;=100000), " ",IF(INDEX($AM$2:$BM$1001,MATCH(ROWS($AF$2:AF153),$AF$2:$AF$1001,0),MATCH(COLUMNS($AM$1006:AS1006),$AM$1006:$BM$1006,0)), HYPERLINK("#",""), HYPERLINK(CONCATENATE("#metadata!", ADDRESS(INDEX($AH$2:$AH$1001,MATCH(ROWS($AF$2:AF153),$AF$2:$AF$1001,0),0), INDEX($AM$1004:$BM$1004,1,MATCH(COLUMNS($AM$1006:AS1006),$AM$1006:$BM$1006,0)))),"Fix")))</f>
        <v xml:space="preserve"> </v>
      </c>
      <c r="I153" s="4" t="str">
        <f ca="1">IF(OR(INDEX($AG$2:$AG$1001,MATCH(ROWS($AF$2:AF153),$AF$2:$AF$1001,0),1)&gt;=100000,INDEX($AM$1005:$BM$1005,1,MATCH(COLUMNS($AM$1006:AT1006),$AM$1006:$BM$1006,0))&gt;=100000), " ",IF(INDEX($AM$2:$BM$1001,MATCH(ROWS($AF$2:AF153),$AF$2:$AF$1001,0),MATCH(COLUMNS($AM$1006:AT1006),$AM$1006:$BM$1006,0)), HYPERLINK("#",""), HYPERLINK(CONCATENATE("#metadata!", ADDRESS(INDEX($AH$2:$AH$1001,MATCH(ROWS($AF$2:AF153),$AF$2:$AF$1001,0),0), INDEX($AM$1004:$BM$1004,1,MATCH(COLUMNS($AM$1006:AT1006),$AM$1006:$BM$1006,0)))),"Fix")))</f>
        <v xml:space="preserve"> </v>
      </c>
      <c r="J153" s="4" t="str">
        <f ca="1">IF(OR(INDEX($AG$2:$AG$1001,MATCH(ROWS($AF$2:AF153),$AF$2:$AF$1001,0),1)&gt;=100000,INDEX($AM$1005:$BM$1005,1,MATCH(COLUMNS($AM$1006:AU1006),$AM$1006:$BM$1006,0))&gt;=100000), " ",IF(INDEX($AM$2:$BM$1001,MATCH(ROWS($AF$2:AF153),$AF$2:$AF$1001,0),MATCH(COLUMNS($AM$1006:AU1006),$AM$1006:$BM$1006,0)), HYPERLINK("#",""), HYPERLINK(CONCATENATE("#metadata!", ADDRESS(INDEX($AH$2:$AH$1001,MATCH(ROWS($AF$2:AF153),$AF$2:$AF$1001,0),0), INDEX($AM$1004:$BM$1004,1,MATCH(COLUMNS($AM$1006:AU1006),$AM$1006:$BM$1006,0)))),"Fix")))</f>
        <v xml:space="preserve"> </v>
      </c>
      <c r="K153" s="4" t="str">
        <f ca="1">IF(OR(INDEX($AG$2:$AG$1001,MATCH(ROWS($AF$2:AF153),$AF$2:$AF$1001,0),1)&gt;=100000,INDEX($AM$1005:$BM$1005,1,MATCH(COLUMNS($AM$1006:AV1006),$AM$1006:$BM$1006,0))&gt;=100000), " ",IF(INDEX($AM$2:$BM$1001,MATCH(ROWS($AF$2:AF153),$AF$2:$AF$1001,0),MATCH(COLUMNS($AM$1006:AV1006),$AM$1006:$BM$1006,0)), HYPERLINK("#",""), HYPERLINK(CONCATENATE("#metadata!", ADDRESS(INDEX($AH$2:$AH$1001,MATCH(ROWS($AF$2:AF153),$AF$2:$AF$1001,0),0), INDEX($AM$1004:$BM$1004,1,MATCH(COLUMNS($AM$1006:AV1006),$AM$1006:$BM$1006,0)))),"Fix")))</f>
        <v xml:space="preserve"> </v>
      </c>
      <c r="L153" s="4" t="str">
        <f ca="1">IF(OR(INDEX($AG$2:$AG$1001,MATCH(ROWS($AF$2:AF153),$AF$2:$AF$1001,0),1)&gt;=100000,INDEX($AM$1005:$BM$1005,1,MATCH(COLUMNS($AM$1006:AW1006),$AM$1006:$BM$1006,0))&gt;=100000), " ",IF(INDEX($AM$2:$BM$1001,MATCH(ROWS($AF$2:AF153),$AF$2:$AF$1001,0),MATCH(COLUMNS($AM$1006:AW1006),$AM$1006:$BM$1006,0)), HYPERLINK("#",""), HYPERLINK(CONCATENATE("#metadata!", ADDRESS(INDEX($AH$2:$AH$1001,MATCH(ROWS($AF$2:AF153),$AF$2:$AF$1001,0),0), INDEX($AM$1004:$BM$1004,1,MATCH(COLUMNS($AM$1006:AW1006),$AM$1006:$BM$1006,0)))),"Fix")))</f>
        <v xml:space="preserve"> </v>
      </c>
      <c r="M153" s="4" t="str">
        <f ca="1">IF(OR(INDEX($AG$2:$AG$1001,MATCH(ROWS($AF$2:AF153),$AF$2:$AF$1001,0),1)&gt;=100000,INDEX($AM$1005:$BM$1005,1,MATCH(COLUMNS($AM$1006:AX1006),$AM$1006:$BM$1006,0))&gt;=100000), " ",IF(INDEX($AM$2:$BM$1001,MATCH(ROWS($AF$2:AF153),$AF$2:$AF$1001,0),MATCH(COLUMNS($AM$1006:AX1006),$AM$1006:$BM$1006,0)), HYPERLINK("#",""), HYPERLINK(CONCATENATE("#metadata!", ADDRESS(INDEX($AH$2:$AH$1001,MATCH(ROWS($AF$2:AF153),$AF$2:$AF$1001,0),0), INDEX($AM$1004:$BM$1004,1,MATCH(COLUMNS($AM$1006:AX1006),$AM$1006:$BM$1006,0)))),"Fix")))</f>
        <v xml:space="preserve"> </v>
      </c>
      <c r="N153" s="4" t="str">
        <f ca="1">IF(OR(INDEX($AG$2:$AG$1001,MATCH(ROWS($AF$2:AF153),$AF$2:$AF$1001,0),1)&gt;=100000,INDEX($AM$1005:$BM$1005,1,MATCH(COLUMNS($AM$1006:AY1006),$AM$1006:$BM$1006,0))&gt;=100000), " ",IF(INDEX($AM$2:$BM$1001,MATCH(ROWS($AF$2:AF153),$AF$2:$AF$1001,0),MATCH(COLUMNS($AM$1006:AY1006),$AM$1006:$BM$1006,0)), HYPERLINK("#",""), HYPERLINK(CONCATENATE("#metadata!", ADDRESS(INDEX($AH$2:$AH$1001,MATCH(ROWS($AF$2:AF153),$AF$2:$AF$1001,0),0), INDEX($AM$1004:$BM$1004,1,MATCH(COLUMNS($AM$1006:AY1006),$AM$1006:$BM$1006,0)))),"Fix")))</f>
        <v xml:space="preserve"> </v>
      </c>
      <c r="O153" s="4" t="str">
        <f ca="1">IF(OR(INDEX($AG$2:$AG$1001,MATCH(ROWS($AF$2:AF153),$AF$2:$AF$1001,0),1)&gt;=100000,INDEX($AM$1005:$BM$1005,1,MATCH(COLUMNS($AM$1006:AZ1006),$AM$1006:$BM$1006,0))&gt;=100000), " ",IF(INDEX($AM$2:$BM$1001,MATCH(ROWS($AF$2:AF153),$AF$2:$AF$1001,0),MATCH(COLUMNS($AM$1006:AZ1006),$AM$1006:$BM$1006,0)), HYPERLINK("#",""), HYPERLINK(CONCATENATE("#metadata!", ADDRESS(INDEX($AH$2:$AH$1001,MATCH(ROWS($AF$2:AF153),$AF$2:$AF$1001,0),0), INDEX($AM$1004:$BM$1004,1,MATCH(COLUMNS($AM$1006:AZ1006),$AM$1006:$BM$1006,0)))),"Fix")))</f>
        <v xml:space="preserve"> </v>
      </c>
      <c r="P153" s="4" t="str">
        <f ca="1">IF(OR(INDEX($AG$2:$AG$1001,MATCH(ROWS($AF$2:AF153),$AF$2:$AF$1001,0),1)&gt;=100000,INDEX($AM$1005:$BM$1005,1,MATCH(COLUMNS($AM$1006:BA1006),$AM$1006:$BM$1006,0))&gt;=100000), " ",IF(INDEX($AM$2:$BM$1001,MATCH(ROWS($AF$2:AF153),$AF$2:$AF$1001,0),MATCH(COLUMNS($AM$1006:BA1006),$AM$1006:$BM$1006,0)), HYPERLINK("#",""), HYPERLINK(CONCATENATE("#metadata!", ADDRESS(INDEX($AH$2:$AH$1001,MATCH(ROWS($AF$2:AF153),$AF$2:$AF$1001,0),0), INDEX($AM$1004:$BM$1004,1,MATCH(COLUMNS($AM$1006:BA1006),$AM$1006:$BM$1006,0)))),"Fix")))</f>
        <v xml:space="preserve"> </v>
      </c>
      <c r="Q153" s="4" t="str">
        <f ca="1">IF(OR(INDEX($AG$2:$AG$1001,MATCH(ROWS($AF$2:AF153),$AF$2:$AF$1001,0),1)&gt;=100000,INDEX($AM$1005:$BM$1005,1,MATCH(COLUMNS($AM$1006:BB1006),$AM$1006:$BM$1006,0))&gt;=100000), " ",IF(INDEX($AM$2:$BM$1001,MATCH(ROWS($AF$2:AF153),$AF$2:$AF$1001,0),MATCH(COLUMNS($AM$1006:BB1006),$AM$1006:$BM$1006,0)), HYPERLINK("#",""), HYPERLINK(CONCATENATE("#metadata!", ADDRESS(INDEX($AH$2:$AH$1001,MATCH(ROWS($AF$2:AF153),$AF$2:$AF$1001,0),0), INDEX($AM$1004:$BM$1004,1,MATCH(COLUMNS($AM$1006:BB1006),$AM$1006:$BM$1006,0)))),"Fix")))</f>
        <v xml:space="preserve"> </v>
      </c>
      <c r="R153" s="4" t="str">
        <f ca="1">IF(OR(INDEX($AG$2:$AG$1001,MATCH(ROWS($AF$2:AF153),$AF$2:$AF$1001,0),1)&gt;=100000,INDEX($AM$1005:$BM$1005,1,MATCH(COLUMNS($AM$1006:BC1006),$AM$1006:$BM$1006,0))&gt;=100000), " ",IF(INDEX($AM$2:$BM$1001,MATCH(ROWS($AF$2:AF153),$AF$2:$AF$1001,0),MATCH(COLUMNS($AM$1006:BC1006),$AM$1006:$BM$1006,0)), HYPERLINK("#",""), HYPERLINK(CONCATENATE("#metadata!", ADDRESS(INDEX($AH$2:$AH$1001,MATCH(ROWS($AF$2:AF153),$AF$2:$AF$1001,0),0), INDEX($AM$1004:$BM$1004,1,MATCH(COLUMNS($AM$1006:BC1006),$AM$1006:$BM$1006,0)))),"Fix")))</f>
        <v xml:space="preserve"> </v>
      </c>
      <c r="S153" s="4" t="str">
        <f ca="1">IF(OR(INDEX($AG$2:$AG$1001,MATCH(ROWS($AF$2:AF153),$AF$2:$AF$1001,0),1)&gt;=100000,INDEX($AM$1005:$BM$1005,1,MATCH(COLUMNS($AM$1006:BD1006),$AM$1006:$BM$1006,0))&gt;=100000), " ",IF(INDEX($AM$2:$BM$1001,MATCH(ROWS($AF$2:AF153),$AF$2:$AF$1001,0),MATCH(COLUMNS($AM$1006:BD1006),$AM$1006:$BM$1006,0)), HYPERLINK("#",""), HYPERLINK(CONCATENATE("#metadata!", ADDRESS(INDEX($AH$2:$AH$1001,MATCH(ROWS($AF$2:AF153),$AF$2:$AF$1001,0),0), INDEX($AM$1004:$BM$1004,1,MATCH(COLUMNS($AM$1006:BD1006),$AM$1006:$BM$1006,0)))),"Fix")))</f>
        <v xml:space="preserve"> </v>
      </c>
      <c r="T153" s="4" t="str">
        <f ca="1">IF(OR(INDEX($AG$2:$AG$1001,MATCH(ROWS($AF$2:AF153),$AF$2:$AF$1001,0),1)&gt;=100000,INDEX($AM$1005:$BM$1005,1,MATCH(COLUMNS($AM$1006:BE1006),$AM$1006:$BM$1006,0))&gt;=100000), " ",IF(INDEX($AM$2:$BM$1001,MATCH(ROWS($AF$2:AF153),$AF$2:$AF$1001,0),MATCH(COLUMNS($AM$1006:BE1006),$AM$1006:$BM$1006,0)), HYPERLINK("#",""), HYPERLINK(CONCATENATE("#metadata!", ADDRESS(INDEX($AH$2:$AH$1001,MATCH(ROWS($AF$2:AF153),$AF$2:$AF$1001,0),0), INDEX($AM$1004:$BM$1004,1,MATCH(COLUMNS($AM$1006:BE1006),$AM$1006:$BM$1006,0)))),"Fix")))</f>
        <v xml:space="preserve"> </v>
      </c>
      <c r="U153" s="4" t="str">
        <f ca="1">IF(OR(INDEX($AG$2:$AG$1001,MATCH(ROWS($AF$2:AF153),$AF$2:$AF$1001,0),1)&gt;=100000,INDEX($AM$1005:$BM$1005,1,MATCH(COLUMNS($AM$1006:BF1006),$AM$1006:$BM$1006,0))&gt;=100000), " ",IF(INDEX($AM$2:$BM$1001,MATCH(ROWS($AF$2:AF153),$AF$2:$AF$1001,0),MATCH(COLUMNS($AM$1006:BF1006),$AM$1006:$BM$1006,0)), HYPERLINK("#",""), HYPERLINK(CONCATENATE("#metadata!", ADDRESS(INDEX($AH$2:$AH$1001,MATCH(ROWS($AF$2:AF153),$AF$2:$AF$1001,0),0), INDEX($AM$1004:$BM$1004,1,MATCH(COLUMNS($AM$1006:BF1006),$AM$1006:$BM$1006,0)))),"Fix")))</f>
        <v xml:space="preserve"> </v>
      </c>
      <c r="V153" s="4" t="str">
        <f ca="1">IF(OR(INDEX($AG$2:$AG$1001,MATCH(ROWS($AF$2:AF153),$AF$2:$AF$1001,0),1)&gt;=100000,INDEX($AM$1005:$BM$1005,1,MATCH(COLUMNS($AM$1006:BG1006),$AM$1006:$BM$1006,0))&gt;=100000), " ",IF(INDEX($AM$2:$BM$1001,MATCH(ROWS($AF$2:AF153),$AF$2:$AF$1001,0),MATCH(COLUMNS($AM$1006:BG1006),$AM$1006:$BM$1006,0)), HYPERLINK("#",""), HYPERLINK(CONCATENATE("#metadata!", ADDRESS(INDEX($AH$2:$AH$1001,MATCH(ROWS($AF$2:AF153),$AF$2:$AF$1001,0),0), INDEX($AM$1004:$BM$1004,1,MATCH(COLUMNS($AM$1006:BG1006),$AM$1006:$BM$1006,0)))),"Fix")))</f>
        <v xml:space="preserve"> </v>
      </c>
      <c r="W153" s="4" t="str">
        <f ca="1">IF(OR(INDEX($AG$2:$AG$1001,MATCH(ROWS($AF$2:AF153),$AF$2:$AF$1001,0),1)&gt;=100000,INDEX($AM$1005:$BM$1005,1,MATCH(COLUMNS($AM$1006:BH1006),$AM$1006:$BM$1006,0))&gt;=100000), " ",IF(INDEX($AM$2:$BM$1001,MATCH(ROWS($AF$2:AF153),$AF$2:$AF$1001,0),MATCH(COLUMNS($AM$1006:BH1006),$AM$1006:$BM$1006,0)), HYPERLINK("#",""), HYPERLINK(CONCATENATE("#metadata!", ADDRESS(INDEX($AH$2:$AH$1001,MATCH(ROWS($AF$2:AF153),$AF$2:$AF$1001,0),0), INDEX($AM$1004:$BM$1004,1,MATCH(COLUMNS($AM$1006:BH1006),$AM$1006:$BM$1006,0)))),"Fix")))</f>
        <v xml:space="preserve"> </v>
      </c>
      <c r="X153" s="4" t="str">
        <f ca="1">IF(OR(INDEX($AG$2:$AG$1001,MATCH(ROWS($AF$2:AF153),$AF$2:$AF$1001,0),1)&gt;=100000,INDEX($AM$1005:$BM$1005,1,MATCH(COLUMNS($AM$1006:BI1006),$AM$1006:$BM$1006,0))&gt;=100000), " ",IF(INDEX($AM$2:$BM$1001,MATCH(ROWS($AF$2:AF153),$AF$2:$AF$1001,0),MATCH(COLUMNS($AM$1006:BI1006),$AM$1006:$BM$1006,0)), HYPERLINK("#",""), HYPERLINK(CONCATENATE("#metadata!", ADDRESS(INDEX($AH$2:$AH$1001,MATCH(ROWS($AF$2:AF153),$AF$2:$AF$1001,0),0), INDEX($AM$1004:$BM$1004,1,MATCH(COLUMNS($AM$1006:BI1006),$AM$1006:$BM$1006,0)))),"Fix")))</f>
        <v xml:space="preserve"> </v>
      </c>
      <c r="Y153" s="4" t="str">
        <f ca="1">IF(OR(INDEX($AG$2:$AG$1001,MATCH(ROWS($AF$2:AF153),$AF$2:$AF$1001,0),1)&gt;=100000,INDEX($AM$1005:$BM$1005,1,MATCH(COLUMNS($AM$1006:BJ1006),$AM$1006:$BM$1006,0))&gt;=100000), " ",IF(INDEX($AM$2:$BM$1001,MATCH(ROWS($AF$2:AF153),$AF$2:$AF$1001,0),MATCH(COLUMNS($AM$1006:BJ1006),$AM$1006:$BM$1006,0)), HYPERLINK("#",""), HYPERLINK(CONCATENATE("#metadata!", ADDRESS(INDEX($AH$2:$AH$1001,MATCH(ROWS($AF$2:AF153),$AF$2:$AF$1001,0),0), INDEX($AM$1004:$BM$1004,1,MATCH(COLUMNS($AM$1006:BJ1006),$AM$1006:$BM$1006,0)))),"Fix")))</f>
        <v xml:space="preserve"> </v>
      </c>
      <c r="Z153" s="4" t="str">
        <f ca="1">IF(OR(INDEX($AG$2:$AG$1001,MATCH(ROWS($AF$2:AF153),$AF$2:$AF$1001,0),1)&gt;=100000,INDEX($AM$1005:$BM$1005,1,MATCH(COLUMNS($AM$1006:BK1006),$AM$1006:$BM$1006,0))&gt;=100000), " ",IF(INDEX($AM$2:$BM$1001,MATCH(ROWS($AF$2:AF153),$AF$2:$AF$1001,0),MATCH(COLUMNS($AM$1006:BK1006),$AM$1006:$BM$1006,0)), HYPERLINK("#",""), HYPERLINK(CONCATENATE("#metadata!", ADDRESS(INDEX($AH$2:$AH$1001,MATCH(ROWS($AF$2:AF153),$AF$2:$AF$1001,0),0), INDEX($AM$1004:$BM$1004,1,MATCH(COLUMNS($AM$1006:BK1006),$AM$1006:$BM$1006,0)))),"Fix")))</f>
        <v xml:space="preserve"> </v>
      </c>
      <c r="AA153" s="4" t="str">
        <f ca="1">IF(OR(INDEX($AG$2:$AG$1001,MATCH(ROWS($AF$2:AF153),$AF$2:$AF$1001,0),1)&gt;=100000,INDEX($AM$1005:$BM$1005,1,MATCH(COLUMNS($AM$1006:BL1006),$AM$1006:$BM$1006,0))&gt;=100000), " ",IF(INDEX($AM$2:$BM$1001,MATCH(ROWS($AF$2:AF153),$AF$2:$AF$1001,0),MATCH(COLUMNS($AM$1006:BL1006),$AM$1006:$BM$1006,0)), HYPERLINK("#",""), HYPERLINK(CONCATENATE("#metadata!", ADDRESS(INDEX($AH$2:$AH$1001,MATCH(ROWS($AF$2:AF153),$AF$2:$AF$1001,0),0), INDEX($AM$1004:$BM$1004,1,MATCH(COLUMNS($AM$1006:BL1006),$AM$1006:$BM$1006,0)))),"Fix")))</f>
        <v xml:space="preserve"> </v>
      </c>
      <c r="AB153" s="4" t="str">
        <f ca="1">IF(OR(INDEX($AG$2:$AG$1001,MATCH(ROWS($AF$2:AF153),$AF$2:$AF$1001,0),1)&gt;=100000,INDEX($AM$1005:$BM$1005,1,MATCH(COLUMNS($AM$1006:BM1006),$AM$1006:$BM$1006,0))&gt;=100000), " ",IF(INDEX($AM$2:$BM$1001,MATCH(ROWS($AF$2:AF153),$AF$2:$AF$1001,0),MATCH(COLUMNS($AM$1006:BM1006),$AM$1006:$BM$1006,0)), HYPERLINK("#",""), HYPERLINK(CONCATENATE("#metadata!", ADDRESS(INDEX($AH$2:$AH$1001,MATCH(ROWS($AF$2:AF153),$AF$2:$AF$1001,0),0), INDEX($AM$1004:$BM$1004,1,MATCH(COLUMNS($AM$1006:BM1006),$AM$1006:$BM$1006,0)))),"Fix")))</f>
        <v xml:space="preserve"> </v>
      </c>
      <c r="AF153">
        <v>152</v>
      </c>
      <c r="AG153">
        <v>100153</v>
      </c>
      <c r="AH153">
        <v>153</v>
      </c>
      <c r="AI153" t="b">
        <f t="shared" si="2"/>
        <v>1</v>
      </c>
      <c r="AJ153" t="b">
        <f>COUNTBLANK(metadata!B153:AB153)=COLUMNS(metadata!B153:AB153)</f>
        <v>1</v>
      </c>
      <c r="AK153" t="str">
        <v/>
      </c>
      <c r="AM153" t="b">
        <f ca="1">AND(IF(metadata!B153="",FALSE,TRUE),COUNTIF(metadata!B:B, metadata!B153) = 1,NOT(ISERROR(SUMPRODUCT(SEARCH(MID(metadata!B153,ROW(INDIRECT("1:"&amp;LEN(metadata!B153))), 1),"0123456789abcdefghijklmnopqrstuvwxyzABCDEFGHIJKLMNOPQRSTUVWXYZ.")))))</f>
        <v>0</v>
      </c>
      <c r="AN153" t="b">
        <f ca="1">OR(AND(IF(metadata!C153="",FALSE,TRUE),OR(EXACT(metadata!C153,"missing: not collected"),EXACT(metadata!C153,"missing: not provided"),EXACT(metadata!C153,"missing: restricted access"))),AND(IF(metadata!C153="",FALSE,TRUE),AND(AND(IFERROR(INT(LEFT(metadata!C153,4))&gt;1900,FALSE),IFERROR(INT(LEFT(metadata!C153,4))&lt;=YEAR(NOW()),FALSE)), OR(MID(metadata!C153,5,1)="", AND(AND(MID(metadata!C153,5,1)="-",IFERROR(INT(MID(metadata!C153,6,1))&gt;=0,FALSE),IFERROR(INT(MID(metadata!C153,6,1))&lt;=1,FALSE),NOT(MID(metadata!C153,7,1)=""),IFERROR(INT(MID(metadata!C153,6,2))&gt;=1,FALSE),IFERROR(INT(MID(metadata!C153,6,2))&lt;=12,FALSE)), OR(MID(metadata!C153,8,1)="", AND(AND(MID(metadata!C153,8,1)="-",IFERROR(INT(MID(metadata!C153,9,1))&gt;=0,FALSE),IFERROR(INT(MID(metadata!C153,9,1))&lt;=3,FALSE),NOT(MID(metadata!C153,10,1)=""),IFERROR(INT(MID(metadata!C153,9,2))&gt;=1,FALSE),IFERROR(INT(MID(metadata!C153,9,2))&lt;=31,FALSE)), OR(MID(metadata!C153,11,1)="", AND(AND(MID(metadata!C153,11,1)=" ",IFERROR(INT(MID(metadata!C153,12,1))&gt;=0,FALSE),IFERROR(INT(MID(metadata!C153,12,1))&lt;=2,FALSE),NOT(MID(metadata!C153,13,1)=""),IFERROR(INT(MID(metadata!C153,12,2))&gt;=0,FALSE),IFERROR(INT(MID(metadata!C153,12,2))&lt;=23,FALSE)), OR(MID(metadata!C153,14,1)="", AND(AND(MID(metadata!C153,14,1)=":",IFERROR(INT(MID(metadata!C153,15,1))&gt;=0,FALSE),IFERROR(INT(MID(metadata!C153,15,1))&lt;=5,FALSE),NOT(MID(metadata!C153,16,1)=""),IFERROR(INT(MID(metadata!C153,15,2))&gt;=0,FALSE),IFERROR(INT(MID(metadata!C153,15,2))&lt;=59,FALSE)), OR(MID(metadata!C153,17,1)="", AND(AND(MID(metadata!C153,17,1)=":",IFERROR(INT(MID(metadata!C153,18,1))&gt;=0,FALSE),IFERROR(INT(MID(metadata!C153,18,1))&lt;=5,FALSE),NOT(MID(metadata!C153,19,1)=""),IFERROR(INT(MID(metadata!C153,18,2))&gt;=0,FALSE),IFERROR(INT(MID(metadata!C153,18,2))&lt;=59,FALSE)), LEN(metadata!C153)&lt;=19)))))))))))))</f>
        <v>0</v>
      </c>
      <c r="AO153" t="b">
        <f>AND(IF(metadata!D153="",FALSE,TRUE),EXACT(metadata!D153,"Not applicable"))</f>
        <v>0</v>
      </c>
      <c r="AP153" t="b">
        <f>IF(metadata!E153="",FALSE,TRUE)</f>
        <v>0</v>
      </c>
      <c r="AQ153" t="b">
        <f>OR(AND(IF(metadata!F153="",FALSE,TRUE),OR(EXACT(metadata!F153,"missing: not collected"),EXACT(metadata!F153,"missing: not provided"))),AND(IF(metadata!F153="",FALSE,TRUE),OR(EXACT(metadata!F153,"TRUE"),EXACT(metadata!F153,"FALSE"))))</f>
        <v>0</v>
      </c>
      <c r="AR153" t="b">
        <f>OR(AND(IF(metadata!G153="",FALSE,TRUE),OR(EXACT(metadata!G153,"missing: not collected"),EXACT(metadata!G153,"missing: not provided"),EXACT(metadata!G153,"missing: restricted access"))),AND(IF(metadata!G153="",FALSE,ISNUMBER(VALUE(metadata!G153))),metadata!G153&gt;=-413))</f>
        <v>0</v>
      </c>
      <c r="AS153" t="b">
        <f>AND(IF(metadata!H153="",FALSE,TRUE),EXACT(metadata!H153,"meters"))</f>
        <v>0</v>
      </c>
      <c r="AT153" t="b">
        <f>AND(IF(metadata!I153="",FALSE,TRUE),OR(EXACT(metadata!I153,"Host-associated"),EXACT(metadata!I153,"Free-living")))</f>
        <v>0</v>
      </c>
      <c r="AU153" t="b">
        <f>AND(IF(metadata!J153="",FALSE,TRUE),OR(EXACT(metadata!J153,"Animal"),EXACT(metadata!J153,"Fungus"),EXACT(metadata!J153,"Plant"),EXACT(metadata!J153,"Saline"),EXACT(metadata!J153,"Non-saline")))</f>
        <v>0</v>
      </c>
      <c r="AV153" t="b">
        <f>AND(IF(metadata!K153="",FALSE,TRUE),OR(EXACT(metadata!K153,"Plant secretion"),EXACT(metadata!K153,"Plant rhizosphere"),EXACT(metadata!K153,"Plant surface"),EXACT(metadata!K153,"Plant corpus"),EXACT(metadata!K153,"Fungus surface"),EXACT(metadata!K153,"Fungus corpus"),EXACT(metadata!K153,"Animal surface"),EXACT(metadata!K153,"Animal proximal gut"),EXACT(metadata!K153,"Animal corpus"),EXACT(metadata!K153,"Animal distal gut"),EXACT(metadata!K153,"Animal secretion"),EXACT(metadata!K153,"Sub-surface (non-saline)"),EXACT(metadata!K153,"Surface (non-saline)"),EXACT(metadata!K153,"Water (non-saline)"),EXACT(metadata!K153,"Soil (non-saline)"),EXACT(metadata!K153,"Aerosol (non-saline)"),EXACT(metadata!K153,"Sediment (non-saline)"),EXACT(metadata!K153,"Surface (saline)"),EXACT(metadata!K153,"Water (saline)"),EXACT(metadata!K153,"Hypersaline (saline)"),EXACT(metadata!K153,"Aerosol (saline)"),EXACT(metadata!K153,"Sediment (saline)")))</f>
        <v>0</v>
      </c>
      <c r="AW153" t="b">
        <f>IF(metadata!L153="",FALSE,TRUE)</f>
        <v>0</v>
      </c>
      <c r="AX153" t="b">
        <f>IF(metadata!M153="",FALSE,TRUE)</f>
        <v>0</v>
      </c>
      <c r="AY153" t="b">
        <f>IF(metadata!N153="",FALSE,TRUE)</f>
        <v>0</v>
      </c>
      <c r="AZ153" t="b">
        <f>OR(AND(IF(metadata!O153="",FALSE,TRUE),OR(EXACT(metadata!O153,"missing: not collected"),EXACT(metadata!O153,"missing: not provided"),EXACT(metadata!O153,"missing: restricted access"))),AND(IF(metadata!O153="",FALSE,TRUE),OR(EXACT(metadata!O153,"air"),EXACT(metadata!O153,"built environment"),EXACT(metadata!O153,"host-associated"),EXACT(metadata!O153,"human-associated"),EXACT(metadata!O153,"human-skin"),EXACT(metadata!O153,"human-oral"),EXACT(metadata!O153,"human-gut"),EXACT(metadata!O153,"human-vaginal"),EXACT(metadata!O153,"microbial mat/biofilm"),EXACT(metadata!O153,"misc environment"),EXACT(metadata!O153,"plant-associated"),EXACT(metadata!O153,"sediment"),EXACT(metadata!O153,"soil"),EXACT(metadata!O153,"wastewater/sludge"),EXACT(metadata!O153,"water"))))</f>
        <v>0</v>
      </c>
      <c r="BA153" t="b">
        <f>IF(metadata!P153="",FALSE,TRUE)</f>
        <v>0</v>
      </c>
      <c r="BB153" t="b">
        <f>IF(metadata!Q153="",FALSE,TRUE)</f>
        <v>0</v>
      </c>
      <c r="BC153" t="b">
        <f>OR(AND(IF(metadata!R153="",FALSE,TRUE),OR(EXACT(metadata!R153,"missing: not collected"),EXACT(metadata!R153,"missing: not provided"),EXACT(metadata!R153,"missing: restricted access"))),AND(IF(metadata!R153="",FALSE,ISNUMBER(VALUE(metadata!R153))),metadata!R153&gt;=-90,metadata!R153&lt;=90))</f>
        <v>0</v>
      </c>
      <c r="BD153" t="b">
        <f>AND(IF(metadata!S153="",FALSE,TRUE),EXACT(metadata!S153,"Decimal degrees"))</f>
        <v>0</v>
      </c>
      <c r="BE153" t="b">
        <f>OR(AND(IF(metadata!T153="",FALSE,TRUE),OR(EXACT(metadata!T153,"missing: not collected"),EXACT(metadata!T153,"missing: not provided"),EXACT(metadata!T153,"missing: restricted access"))),AND(IF(metadata!T153="",FALSE,ISNUMBER(VALUE(metadata!T153))),metadata!T153&gt;=-180,metadata!T153&lt;=180))</f>
        <v>0</v>
      </c>
      <c r="BF153" t="b">
        <f>AND(IF(metadata!U153="",FALSE,TRUE),EXACT(metadata!U153,"Decimal degrees"))</f>
        <v>0</v>
      </c>
      <c r="BG153" t="b">
        <f>IF(metadata!V153="",FALSE,TRUE)</f>
        <v>0</v>
      </c>
      <c r="BH153" t="b">
        <f>OR(AND(IF(metadata!W153="",FALSE,TRUE),OR(EXACT(metadata!W153,"missing: not collected"),EXACT(metadata!W153,"missing: not provided"),EXACT(metadata!W153,"missing: restricted access"))),AND(IF(metadata!W153="",FALSE,TRUE),OR(EXACT(metadata!W153,"TRUE"),EXACT(metadata!W153,"FALSE"))))</f>
        <v>0</v>
      </c>
      <c r="BI153" t="b">
        <f>AND(IF(metadata!X153="",FALSE,TRUE),EXACT(metadata!X153,"other"))</f>
        <v>0</v>
      </c>
      <c r="BJ153" t="b">
        <f>IF(metadata!Y153="",FALSE,TRUE)</f>
        <v>0</v>
      </c>
      <c r="BK153" t="b">
        <f>OR(AND(IF(metadata!Z153="",FALSE,TRUE),OR(EXACT(metadata!Z153,"missing: not collected"),EXACT(metadata!Z153,"missing: not provided"))),AND(IF(metadata!Z153="",FALSE,IF(ISERROR(INT(metadata!Z153)),FALSE,INT(metadata!Z153)=metadata!Z153)),metadata!Z153&gt;0))</f>
        <v>0</v>
      </c>
      <c r="BL153" t="b">
        <f>AND(IF(metadata!AA153="",FALSE,TRUE),EXACT(metadata!AA153,"Not applicable"))</f>
        <v>0</v>
      </c>
      <c r="BM153" t="b">
        <f>IF(metadata!AB153="",FALSE,TRUE)</f>
        <v>0</v>
      </c>
    </row>
    <row r="154" spans="1:65" x14ac:dyDescent="0.2">
      <c r="A154" s="5" t="str">
        <f ca="1">IF(B154=" "," ",HYPERLINK(CONCATENATE("#metadata!",ADDRESS(INDEX($AH$2:$AH$1001,MATCH(ROWS($AF$2:AF154),$AF$2:$AF$1001,0),0),1)),INDEX($AK$2:$AK$1001,MATCH(ROWS($AF$2:AF154),$AF$2:$AF$1001,0),0)))</f>
        <v xml:space="preserve"> </v>
      </c>
      <c r="B154" s="4" t="str">
        <f ca="1">IF(OR(INDEX($AG$2:$AG$1001,MATCH(ROWS($AF$2:AF154),$AF$2:$AF$1001,0),1)&gt;=100000,INDEX($AM$1005:$BM$1005,1,MATCH(COLUMNS($AM$1006:AM1006),$AM$1006:$BM$1006,0))&gt;=100000), " ",IF(INDEX($AM$2:$BM$1001,MATCH(ROWS($AF$2:AF154),$AF$2:$AF$1001,0),MATCH(COLUMNS($AM$1006:AM1006),$AM$1006:$BM$1006,0)), HYPERLINK("#",""), HYPERLINK(CONCATENATE("#metadata!", ADDRESS(INDEX($AH$2:$AH$1001,MATCH(ROWS($AF$2:AF154),$AF$2:$AF$1001,0),0), INDEX($AM$1004:$BM$1004,1,MATCH(COLUMNS($AM$1006:AM1006),$AM$1006:$BM$1006,0)))),"Fix")))</f>
        <v xml:space="preserve"> </v>
      </c>
      <c r="C154" s="4" t="str">
        <f ca="1">IF(OR(INDEX($AG$2:$AG$1001,MATCH(ROWS($AF$2:AF154),$AF$2:$AF$1001,0),1)&gt;=100000,INDEX($AM$1005:$BM$1005,1,MATCH(COLUMNS($AM$1006:AN1006),$AM$1006:$BM$1006,0))&gt;=100000), " ",IF(INDEX($AM$2:$BM$1001,MATCH(ROWS($AF$2:AF154),$AF$2:$AF$1001,0),MATCH(COLUMNS($AM$1006:AN1006),$AM$1006:$BM$1006,0)), HYPERLINK("#",""), HYPERLINK(CONCATENATE("#metadata!", ADDRESS(INDEX($AH$2:$AH$1001,MATCH(ROWS($AF$2:AF154),$AF$2:$AF$1001,0),0), INDEX($AM$1004:$BM$1004,1,MATCH(COLUMNS($AM$1006:AN1006),$AM$1006:$BM$1006,0)))),"Fix")))</f>
        <v xml:space="preserve"> </v>
      </c>
      <c r="D154" s="4" t="str">
        <f ca="1">IF(OR(INDEX($AG$2:$AG$1001,MATCH(ROWS($AF$2:AF154),$AF$2:$AF$1001,0),1)&gt;=100000,INDEX($AM$1005:$BM$1005,1,MATCH(COLUMNS($AM$1006:AO1006),$AM$1006:$BM$1006,0))&gt;=100000), " ",IF(INDEX($AM$2:$BM$1001,MATCH(ROWS($AF$2:AF154),$AF$2:$AF$1001,0),MATCH(COLUMNS($AM$1006:AO1006),$AM$1006:$BM$1006,0)), HYPERLINK("#",""), HYPERLINK(CONCATENATE("#metadata!", ADDRESS(INDEX($AH$2:$AH$1001,MATCH(ROWS($AF$2:AF154),$AF$2:$AF$1001,0),0), INDEX($AM$1004:$BM$1004,1,MATCH(COLUMNS($AM$1006:AO1006),$AM$1006:$BM$1006,0)))),"Fix")))</f>
        <v xml:space="preserve"> </v>
      </c>
      <c r="E154" s="4" t="str">
        <f ca="1">IF(OR(INDEX($AG$2:$AG$1001,MATCH(ROWS($AF$2:AF154),$AF$2:$AF$1001,0),1)&gt;=100000,INDEX($AM$1005:$BM$1005,1,MATCH(COLUMNS($AM$1006:AP1006),$AM$1006:$BM$1006,0))&gt;=100000), " ",IF(INDEX($AM$2:$BM$1001,MATCH(ROWS($AF$2:AF154),$AF$2:$AF$1001,0),MATCH(COLUMNS($AM$1006:AP1006),$AM$1006:$BM$1006,0)), HYPERLINK("#",""), HYPERLINK(CONCATENATE("#metadata!", ADDRESS(INDEX($AH$2:$AH$1001,MATCH(ROWS($AF$2:AF154),$AF$2:$AF$1001,0),0), INDEX($AM$1004:$BM$1004,1,MATCH(COLUMNS($AM$1006:AP1006),$AM$1006:$BM$1006,0)))),"Fix")))</f>
        <v xml:space="preserve"> </v>
      </c>
      <c r="F154" s="4" t="str">
        <f ca="1">IF(OR(INDEX($AG$2:$AG$1001,MATCH(ROWS($AF$2:AF154),$AF$2:$AF$1001,0),1)&gt;=100000,INDEX($AM$1005:$BM$1005,1,MATCH(COLUMNS($AM$1006:AQ1006),$AM$1006:$BM$1006,0))&gt;=100000), " ",IF(INDEX($AM$2:$BM$1001,MATCH(ROWS($AF$2:AF154),$AF$2:$AF$1001,0),MATCH(COLUMNS($AM$1006:AQ1006),$AM$1006:$BM$1006,0)), HYPERLINK("#",""), HYPERLINK(CONCATENATE("#metadata!", ADDRESS(INDEX($AH$2:$AH$1001,MATCH(ROWS($AF$2:AF154),$AF$2:$AF$1001,0),0), INDEX($AM$1004:$BM$1004,1,MATCH(COLUMNS($AM$1006:AQ1006),$AM$1006:$BM$1006,0)))),"Fix")))</f>
        <v xml:space="preserve"> </v>
      </c>
      <c r="G154" s="4" t="str">
        <f ca="1">IF(OR(INDEX($AG$2:$AG$1001,MATCH(ROWS($AF$2:AF154),$AF$2:$AF$1001,0),1)&gt;=100000,INDEX($AM$1005:$BM$1005,1,MATCH(COLUMNS($AM$1006:AR1006),$AM$1006:$BM$1006,0))&gt;=100000), " ",IF(INDEX($AM$2:$BM$1001,MATCH(ROWS($AF$2:AF154),$AF$2:$AF$1001,0),MATCH(COLUMNS($AM$1006:AR1006),$AM$1006:$BM$1006,0)), HYPERLINK("#",""), HYPERLINK(CONCATENATE("#metadata!", ADDRESS(INDEX($AH$2:$AH$1001,MATCH(ROWS($AF$2:AF154),$AF$2:$AF$1001,0),0), INDEX($AM$1004:$BM$1004,1,MATCH(COLUMNS($AM$1006:AR1006),$AM$1006:$BM$1006,0)))),"Fix")))</f>
        <v xml:space="preserve"> </v>
      </c>
      <c r="H154" s="4" t="str">
        <f ca="1">IF(OR(INDEX($AG$2:$AG$1001,MATCH(ROWS($AF$2:AF154),$AF$2:$AF$1001,0),1)&gt;=100000,INDEX($AM$1005:$BM$1005,1,MATCH(COLUMNS($AM$1006:AS1006),$AM$1006:$BM$1006,0))&gt;=100000), " ",IF(INDEX($AM$2:$BM$1001,MATCH(ROWS($AF$2:AF154),$AF$2:$AF$1001,0),MATCH(COLUMNS($AM$1006:AS1006),$AM$1006:$BM$1006,0)), HYPERLINK("#",""), HYPERLINK(CONCATENATE("#metadata!", ADDRESS(INDEX($AH$2:$AH$1001,MATCH(ROWS($AF$2:AF154),$AF$2:$AF$1001,0),0), INDEX($AM$1004:$BM$1004,1,MATCH(COLUMNS($AM$1006:AS1006),$AM$1006:$BM$1006,0)))),"Fix")))</f>
        <v xml:space="preserve"> </v>
      </c>
      <c r="I154" s="4" t="str">
        <f ca="1">IF(OR(INDEX($AG$2:$AG$1001,MATCH(ROWS($AF$2:AF154),$AF$2:$AF$1001,0),1)&gt;=100000,INDEX($AM$1005:$BM$1005,1,MATCH(COLUMNS($AM$1006:AT1006),$AM$1006:$BM$1006,0))&gt;=100000), " ",IF(INDEX($AM$2:$BM$1001,MATCH(ROWS($AF$2:AF154),$AF$2:$AF$1001,0),MATCH(COLUMNS($AM$1006:AT1006),$AM$1006:$BM$1006,0)), HYPERLINK("#",""), HYPERLINK(CONCATENATE("#metadata!", ADDRESS(INDEX($AH$2:$AH$1001,MATCH(ROWS($AF$2:AF154),$AF$2:$AF$1001,0),0), INDEX($AM$1004:$BM$1004,1,MATCH(COLUMNS($AM$1006:AT1006),$AM$1006:$BM$1006,0)))),"Fix")))</f>
        <v xml:space="preserve"> </v>
      </c>
      <c r="J154" s="4" t="str">
        <f ca="1">IF(OR(INDEX($AG$2:$AG$1001,MATCH(ROWS($AF$2:AF154),$AF$2:$AF$1001,0),1)&gt;=100000,INDEX($AM$1005:$BM$1005,1,MATCH(COLUMNS($AM$1006:AU1006),$AM$1006:$BM$1006,0))&gt;=100000), " ",IF(INDEX($AM$2:$BM$1001,MATCH(ROWS($AF$2:AF154),$AF$2:$AF$1001,0),MATCH(COLUMNS($AM$1006:AU1006),$AM$1006:$BM$1006,0)), HYPERLINK("#",""), HYPERLINK(CONCATENATE("#metadata!", ADDRESS(INDEX($AH$2:$AH$1001,MATCH(ROWS($AF$2:AF154),$AF$2:$AF$1001,0),0), INDEX($AM$1004:$BM$1004,1,MATCH(COLUMNS($AM$1006:AU1006),$AM$1006:$BM$1006,0)))),"Fix")))</f>
        <v xml:space="preserve"> </v>
      </c>
      <c r="K154" s="4" t="str">
        <f ca="1">IF(OR(INDEX($AG$2:$AG$1001,MATCH(ROWS($AF$2:AF154),$AF$2:$AF$1001,0),1)&gt;=100000,INDEX($AM$1005:$BM$1005,1,MATCH(COLUMNS($AM$1006:AV1006),$AM$1006:$BM$1006,0))&gt;=100000), " ",IF(INDEX($AM$2:$BM$1001,MATCH(ROWS($AF$2:AF154),$AF$2:$AF$1001,0),MATCH(COLUMNS($AM$1006:AV1006),$AM$1006:$BM$1006,0)), HYPERLINK("#",""), HYPERLINK(CONCATENATE("#metadata!", ADDRESS(INDEX($AH$2:$AH$1001,MATCH(ROWS($AF$2:AF154),$AF$2:$AF$1001,0),0), INDEX($AM$1004:$BM$1004,1,MATCH(COLUMNS($AM$1006:AV1006),$AM$1006:$BM$1006,0)))),"Fix")))</f>
        <v xml:space="preserve"> </v>
      </c>
      <c r="L154" s="4" t="str">
        <f ca="1">IF(OR(INDEX($AG$2:$AG$1001,MATCH(ROWS($AF$2:AF154),$AF$2:$AF$1001,0),1)&gt;=100000,INDEX($AM$1005:$BM$1005,1,MATCH(COLUMNS($AM$1006:AW1006),$AM$1006:$BM$1006,0))&gt;=100000), " ",IF(INDEX($AM$2:$BM$1001,MATCH(ROWS($AF$2:AF154),$AF$2:$AF$1001,0),MATCH(COLUMNS($AM$1006:AW1006),$AM$1006:$BM$1006,0)), HYPERLINK("#",""), HYPERLINK(CONCATENATE("#metadata!", ADDRESS(INDEX($AH$2:$AH$1001,MATCH(ROWS($AF$2:AF154),$AF$2:$AF$1001,0),0), INDEX($AM$1004:$BM$1004,1,MATCH(COLUMNS($AM$1006:AW1006),$AM$1006:$BM$1006,0)))),"Fix")))</f>
        <v xml:space="preserve"> </v>
      </c>
      <c r="M154" s="4" t="str">
        <f ca="1">IF(OR(INDEX($AG$2:$AG$1001,MATCH(ROWS($AF$2:AF154),$AF$2:$AF$1001,0),1)&gt;=100000,INDEX($AM$1005:$BM$1005,1,MATCH(COLUMNS($AM$1006:AX1006),$AM$1006:$BM$1006,0))&gt;=100000), " ",IF(INDEX($AM$2:$BM$1001,MATCH(ROWS($AF$2:AF154),$AF$2:$AF$1001,0),MATCH(COLUMNS($AM$1006:AX1006),$AM$1006:$BM$1006,0)), HYPERLINK("#",""), HYPERLINK(CONCATENATE("#metadata!", ADDRESS(INDEX($AH$2:$AH$1001,MATCH(ROWS($AF$2:AF154),$AF$2:$AF$1001,0),0), INDEX($AM$1004:$BM$1004,1,MATCH(COLUMNS($AM$1006:AX1006),$AM$1006:$BM$1006,0)))),"Fix")))</f>
        <v xml:space="preserve"> </v>
      </c>
      <c r="N154" s="4" t="str">
        <f ca="1">IF(OR(INDEX($AG$2:$AG$1001,MATCH(ROWS($AF$2:AF154),$AF$2:$AF$1001,0),1)&gt;=100000,INDEX($AM$1005:$BM$1005,1,MATCH(COLUMNS($AM$1006:AY1006),$AM$1006:$BM$1006,0))&gt;=100000), " ",IF(INDEX($AM$2:$BM$1001,MATCH(ROWS($AF$2:AF154),$AF$2:$AF$1001,0),MATCH(COLUMNS($AM$1006:AY1006),$AM$1006:$BM$1006,0)), HYPERLINK("#",""), HYPERLINK(CONCATENATE("#metadata!", ADDRESS(INDEX($AH$2:$AH$1001,MATCH(ROWS($AF$2:AF154),$AF$2:$AF$1001,0),0), INDEX($AM$1004:$BM$1004,1,MATCH(COLUMNS($AM$1006:AY1006),$AM$1006:$BM$1006,0)))),"Fix")))</f>
        <v xml:space="preserve"> </v>
      </c>
      <c r="O154" s="4" t="str">
        <f ca="1">IF(OR(INDEX($AG$2:$AG$1001,MATCH(ROWS($AF$2:AF154),$AF$2:$AF$1001,0),1)&gt;=100000,INDEX($AM$1005:$BM$1005,1,MATCH(COLUMNS($AM$1006:AZ1006),$AM$1006:$BM$1006,0))&gt;=100000), " ",IF(INDEX($AM$2:$BM$1001,MATCH(ROWS($AF$2:AF154),$AF$2:$AF$1001,0),MATCH(COLUMNS($AM$1006:AZ1006),$AM$1006:$BM$1006,0)), HYPERLINK("#",""), HYPERLINK(CONCATENATE("#metadata!", ADDRESS(INDEX($AH$2:$AH$1001,MATCH(ROWS($AF$2:AF154),$AF$2:$AF$1001,0),0), INDEX($AM$1004:$BM$1004,1,MATCH(COLUMNS($AM$1006:AZ1006),$AM$1006:$BM$1006,0)))),"Fix")))</f>
        <v xml:space="preserve"> </v>
      </c>
      <c r="P154" s="4" t="str">
        <f ca="1">IF(OR(INDEX($AG$2:$AG$1001,MATCH(ROWS($AF$2:AF154),$AF$2:$AF$1001,0),1)&gt;=100000,INDEX($AM$1005:$BM$1005,1,MATCH(COLUMNS($AM$1006:BA1006),$AM$1006:$BM$1006,0))&gt;=100000), " ",IF(INDEX($AM$2:$BM$1001,MATCH(ROWS($AF$2:AF154),$AF$2:$AF$1001,0),MATCH(COLUMNS($AM$1006:BA1006),$AM$1006:$BM$1006,0)), HYPERLINK("#",""), HYPERLINK(CONCATENATE("#metadata!", ADDRESS(INDEX($AH$2:$AH$1001,MATCH(ROWS($AF$2:AF154),$AF$2:$AF$1001,0),0), INDEX($AM$1004:$BM$1004,1,MATCH(COLUMNS($AM$1006:BA1006),$AM$1006:$BM$1006,0)))),"Fix")))</f>
        <v xml:space="preserve"> </v>
      </c>
      <c r="Q154" s="4" t="str">
        <f ca="1">IF(OR(INDEX($AG$2:$AG$1001,MATCH(ROWS($AF$2:AF154),$AF$2:$AF$1001,0),1)&gt;=100000,INDEX($AM$1005:$BM$1005,1,MATCH(COLUMNS($AM$1006:BB1006),$AM$1006:$BM$1006,0))&gt;=100000), " ",IF(INDEX($AM$2:$BM$1001,MATCH(ROWS($AF$2:AF154),$AF$2:$AF$1001,0),MATCH(COLUMNS($AM$1006:BB1006),$AM$1006:$BM$1006,0)), HYPERLINK("#",""), HYPERLINK(CONCATENATE("#metadata!", ADDRESS(INDEX($AH$2:$AH$1001,MATCH(ROWS($AF$2:AF154),$AF$2:$AF$1001,0),0), INDEX($AM$1004:$BM$1004,1,MATCH(COLUMNS($AM$1006:BB1006),$AM$1006:$BM$1006,0)))),"Fix")))</f>
        <v xml:space="preserve"> </v>
      </c>
      <c r="R154" s="4" t="str">
        <f ca="1">IF(OR(INDEX($AG$2:$AG$1001,MATCH(ROWS($AF$2:AF154),$AF$2:$AF$1001,0),1)&gt;=100000,INDEX($AM$1005:$BM$1005,1,MATCH(COLUMNS($AM$1006:BC1006),$AM$1006:$BM$1006,0))&gt;=100000), " ",IF(INDEX($AM$2:$BM$1001,MATCH(ROWS($AF$2:AF154),$AF$2:$AF$1001,0),MATCH(COLUMNS($AM$1006:BC1006),$AM$1006:$BM$1006,0)), HYPERLINK("#",""), HYPERLINK(CONCATENATE("#metadata!", ADDRESS(INDEX($AH$2:$AH$1001,MATCH(ROWS($AF$2:AF154),$AF$2:$AF$1001,0),0), INDEX($AM$1004:$BM$1004,1,MATCH(COLUMNS($AM$1006:BC1006),$AM$1006:$BM$1006,0)))),"Fix")))</f>
        <v xml:space="preserve"> </v>
      </c>
      <c r="S154" s="4" t="str">
        <f ca="1">IF(OR(INDEX($AG$2:$AG$1001,MATCH(ROWS($AF$2:AF154),$AF$2:$AF$1001,0),1)&gt;=100000,INDEX($AM$1005:$BM$1005,1,MATCH(COLUMNS($AM$1006:BD1006),$AM$1006:$BM$1006,0))&gt;=100000), " ",IF(INDEX($AM$2:$BM$1001,MATCH(ROWS($AF$2:AF154),$AF$2:$AF$1001,0),MATCH(COLUMNS($AM$1006:BD1006),$AM$1006:$BM$1006,0)), HYPERLINK("#",""), HYPERLINK(CONCATENATE("#metadata!", ADDRESS(INDEX($AH$2:$AH$1001,MATCH(ROWS($AF$2:AF154),$AF$2:$AF$1001,0),0), INDEX($AM$1004:$BM$1004,1,MATCH(COLUMNS($AM$1006:BD1006),$AM$1006:$BM$1006,0)))),"Fix")))</f>
        <v xml:space="preserve"> </v>
      </c>
      <c r="T154" s="4" t="str">
        <f ca="1">IF(OR(INDEX($AG$2:$AG$1001,MATCH(ROWS($AF$2:AF154),$AF$2:$AF$1001,0),1)&gt;=100000,INDEX($AM$1005:$BM$1005,1,MATCH(COLUMNS($AM$1006:BE1006),$AM$1006:$BM$1006,0))&gt;=100000), " ",IF(INDEX($AM$2:$BM$1001,MATCH(ROWS($AF$2:AF154),$AF$2:$AF$1001,0),MATCH(COLUMNS($AM$1006:BE1006),$AM$1006:$BM$1006,0)), HYPERLINK("#",""), HYPERLINK(CONCATENATE("#metadata!", ADDRESS(INDEX($AH$2:$AH$1001,MATCH(ROWS($AF$2:AF154),$AF$2:$AF$1001,0),0), INDEX($AM$1004:$BM$1004,1,MATCH(COLUMNS($AM$1006:BE1006),$AM$1006:$BM$1006,0)))),"Fix")))</f>
        <v xml:space="preserve"> </v>
      </c>
      <c r="U154" s="4" t="str">
        <f ca="1">IF(OR(INDEX($AG$2:$AG$1001,MATCH(ROWS($AF$2:AF154),$AF$2:$AF$1001,0),1)&gt;=100000,INDEX($AM$1005:$BM$1005,1,MATCH(COLUMNS($AM$1006:BF1006),$AM$1006:$BM$1006,0))&gt;=100000), " ",IF(INDEX($AM$2:$BM$1001,MATCH(ROWS($AF$2:AF154),$AF$2:$AF$1001,0),MATCH(COLUMNS($AM$1006:BF1006),$AM$1006:$BM$1006,0)), HYPERLINK("#",""), HYPERLINK(CONCATENATE("#metadata!", ADDRESS(INDEX($AH$2:$AH$1001,MATCH(ROWS($AF$2:AF154),$AF$2:$AF$1001,0),0), INDEX($AM$1004:$BM$1004,1,MATCH(COLUMNS($AM$1006:BF1006),$AM$1006:$BM$1006,0)))),"Fix")))</f>
        <v xml:space="preserve"> </v>
      </c>
      <c r="V154" s="4" t="str">
        <f ca="1">IF(OR(INDEX($AG$2:$AG$1001,MATCH(ROWS($AF$2:AF154),$AF$2:$AF$1001,0),1)&gt;=100000,INDEX($AM$1005:$BM$1005,1,MATCH(COLUMNS($AM$1006:BG1006),$AM$1006:$BM$1006,0))&gt;=100000), " ",IF(INDEX($AM$2:$BM$1001,MATCH(ROWS($AF$2:AF154),$AF$2:$AF$1001,0),MATCH(COLUMNS($AM$1006:BG1006),$AM$1006:$BM$1006,0)), HYPERLINK("#",""), HYPERLINK(CONCATENATE("#metadata!", ADDRESS(INDEX($AH$2:$AH$1001,MATCH(ROWS($AF$2:AF154),$AF$2:$AF$1001,0),0), INDEX($AM$1004:$BM$1004,1,MATCH(COLUMNS($AM$1006:BG1006),$AM$1006:$BM$1006,0)))),"Fix")))</f>
        <v xml:space="preserve"> </v>
      </c>
      <c r="W154" s="4" t="str">
        <f ca="1">IF(OR(INDEX($AG$2:$AG$1001,MATCH(ROWS($AF$2:AF154),$AF$2:$AF$1001,0),1)&gt;=100000,INDEX($AM$1005:$BM$1005,1,MATCH(COLUMNS($AM$1006:BH1006),$AM$1006:$BM$1006,0))&gt;=100000), " ",IF(INDEX($AM$2:$BM$1001,MATCH(ROWS($AF$2:AF154),$AF$2:$AF$1001,0),MATCH(COLUMNS($AM$1006:BH1006),$AM$1006:$BM$1006,0)), HYPERLINK("#",""), HYPERLINK(CONCATENATE("#metadata!", ADDRESS(INDEX($AH$2:$AH$1001,MATCH(ROWS($AF$2:AF154),$AF$2:$AF$1001,0),0), INDEX($AM$1004:$BM$1004,1,MATCH(COLUMNS($AM$1006:BH1006),$AM$1006:$BM$1006,0)))),"Fix")))</f>
        <v xml:space="preserve"> </v>
      </c>
      <c r="X154" s="4" t="str">
        <f ca="1">IF(OR(INDEX($AG$2:$AG$1001,MATCH(ROWS($AF$2:AF154),$AF$2:$AF$1001,0),1)&gt;=100000,INDEX($AM$1005:$BM$1005,1,MATCH(COLUMNS($AM$1006:BI1006),$AM$1006:$BM$1006,0))&gt;=100000), " ",IF(INDEX($AM$2:$BM$1001,MATCH(ROWS($AF$2:AF154),$AF$2:$AF$1001,0),MATCH(COLUMNS($AM$1006:BI1006),$AM$1006:$BM$1006,0)), HYPERLINK("#",""), HYPERLINK(CONCATENATE("#metadata!", ADDRESS(INDEX($AH$2:$AH$1001,MATCH(ROWS($AF$2:AF154),$AF$2:$AF$1001,0),0), INDEX($AM$1004:$BM$1004,1,MATCH(COLUMNS($AM$1006:BI1006),$AM$1006:$BM$1006,0)))),"Fix")))</f>
        <v xml:space="preserve"> </v>
      </c>
      <c r="Y154" s="4" t="str">
        <f ca="1">IF(OR(INDEX($AG$2:$AG$1001,MATCH(ROWS($AF$2:AF154),$AF$2:$AF$1001,0),1)&gt;=100000,INDEX($AM$1005:$BM$1005,1,MATCH(COLUMNS($AM$1006:BJ1006),$AM$1006:$BM$1006,0))&gt;=100000), " ",IF(INDEX($AM$2:$BM$1001,MATCH(ROWS($AF$2:AF154),$AF$2:$AF$1001,0),MATCH(COLUMNS($AM$1006:BJ1006),$AM$1006:$BM$1006,0)), HYPERLINK("#",""), HYPERLINK(CONCATENATE("#metadata!", ADDRESS(INDEX($AH$2:$AH$1001,MATCH(ROWS($AF$2:AF154),$AF$2:$AF$1001,0),0), INDEX($AM$1004:$BM$1004,1,MATCH(COLUMNS($AM$1006:BJ1006),$AM$1006:$BM$1006,0)))),"Fix")))</f>
        <v xml:space="preserve"> </v>
      </c>
      <c r="Z154" s="4" t="str">
        <f ca="1">IF(OR(INDEX($AG$2:$AG$1001,MATCH(ROWS($AF$2:AF154),$AF$2:$AF$1001,0),1)&gt;=100000,INDEX($AM$1005:$BM$1005,1,MATCH(COLUMNS($AM$1006:BK1006),$AM$1006:$BM$1006,0))&gt;=100000), " ",IF(INDEX($AM$2:$BM$1001,MATCH(ROWS($AF$2:AF154),$AF$2:$AF$1001,0),MATCH(COLUMNS($AM$1006:BK1006),$AM$1006:$BM$1006,0)), HYPERLINK("#",""), HYPERLINK(CONCATENATE("#metadata!", ADDRESS(INDEX($AH$2:$AH$1001,MATCH(ROWS($AF$2:AF154),$AF$2:$AF$1001,0),0), INDEX($AM$1004:$BM$1004,1,MATCH(COLUMNS($AM$1006:BK1006),$AM$1006:$BM$1006,0)))),"Fix")))</f>
        <v xml:space="preserve"> </v>
      </c>
      <c r="AA154" s="4" t="str">
        <f ca="1">IF(OR(INDEX($AG$2:$AG$1001,MATCH(ROWS($AF$2:AF154),$AF$2:$AF$1001,0),1)&gt;=100000,INDEX($AM$1005:$BM$1005,1,MATCH(COLUMNS($AM$1006:BL1006),$AM$1006:$BM$1006,0))&gt;=100000), " ",IF(INDEX($AM$2:$BM$1001,MATCH(ROWS($AF$2:AF154),$AF$2:$AF$1001,0),MATCH(COLUMNS($AM$1006:BL1006),$AM$1006:$BM$1006,0)), HYPERLINK("#",""), HYPERLINK(CONCATENATE("#metadata!", ADDRESS(INDEX($AH$2:$AH$1001,MATCH(ROWS($AF$2:AF154),$AF$2:$AF$1001,0),0), INDEX($AM$1004:$BM$1004,1,MATCH(COLUMNS($AM$1006:BL1006),$AM$1006:$BM$1006,0)))),"Fix")))</f>
        <v xml:space="preserve"> </v>
      </c>
      <c r="AB154" s="4" t="str">
        <f ca="1">IF(OR(INDEX($AG$2:$AG$1001,MATCH(ROWS($AF$2:AF154),$AF$2:$AF$1001,0),1)&gt;=100000,INDEX($AM$1005:$BM$1005,1,MATCH(COLUMNS($AM$1006:BM1006),$AM$1006:$BM$1006,0))&gt;=100000), " ",IF(INDEX($AM$2:$BM$1001,MATCH(ROWS($AF$2:AF154),$AF$2:$AF$1001,0),MATCH(COLUMNS($AM$1006:BM1006),$AM$1006:$BM$1006,0)), HYPERLINK("#",""), HYPERLINK(CONCATENATE("#metadata!", ADDRESS(INDEX($AH$2:$AH$1001,MATCH(ROWS($AF$2:AF154),$AF$2:$AF$1001,0),0), INDEX($AM$1004:$BM$1004,1,MATCH(COLUMNS($AM$1006:BM1006),$AM$1006:$BM$1006,0)))),"Fix")))</f>
        <v xml:space="preserve"> </v>
      </c>
      <c r="AF154">
        <v>153</v>
      </c>
      <c r="AG154">
        <v>100154</v>
      </c>
      <c r="AH154">
        <v>154</v>
      </c>
      <c r="AI154" t="b">
        <f t="shared" si="2"/>
        <v>1</v>
      </c>
      <c r="AJ154" t="b">
        <f>COUNTBLANK(metadata!B154:AB154)=COLUMNS(metadata!B154:AB154)</f>
        <v>1</v>
      </c>
      <c r="AK154" t="str">
        <v/>
      </c>
      <c r="AM154" t="b">
        <f ca="1">AND(IF(metadata!B154="",FALSE,TRUE),COUNTIF(metadata!B:B, metadata!B154) = 1,NOT(ISERROR(SUMPRODUCT(SEARCH(MID(metadata!B154,ROW(INDIRECT("1:"&amp;LEN(metadata!B154))), 1),"0123456789abcdefghijklmnopqrstuvwxyzABCDEFGHIJKLMNOPQRSTUVWXYZ.")))))</f>
        <v>0</v>
      </c>
      <c r="AN154" t="b">
        <f ca="1">OR(AND(IF(metadata!C154="",FALSE,TRUE),OR(EXACT(metadata!C154,"missing: not collected"),EXACT(metadata!C154,"missing: not provided"),EXACT(metadata!C154,"missing: restricted access"))),AND(IF(metadata!C154="",FALSE,TRUE),AND(AND(IFERROR(INT(LEFT(metadata!C154,4))&gt;1900,FALSE),IFERROR(INT(LEFT(metadata!C154,4))&lt;=YEAR(NOW()),FALSE)), OR(MID(metadata!C154,5,1)="", AND(AND(MID(metadata!C154,5,1)="-",IFERROR(INT(MID(metadata!C154,6,1))&gt;=0,FALSE),IFERROR(INT(MID(metadata!C154,6,1))&lt;=1,FALSE),NOT(MID(metadata!C154,7,1)=""),IFERROR(INT(MID(metadata!C154,6,2))&gt;=1,FALSE),IFERROR(INT(MID(metadata!C154,6,2))&lt;=12,FALSE)), OR(MID(metadata!C154,8,1)="", AND(AND(MID(metadata!C154,8,1)="-",IFERROR(INT(MID(metadata!C154,9,1))&gt;=0,FALSE),IFERROR(INT(MID(metadata!C154,9,1))&lt;=3,FALSE),NOT(MID(metadata!C154,10,1)=""),IFERROR(INT(MID(metadata!C154,9,2))&gt;=1,FALSE),IFERROR(INT(MID(metadata!C154,9,2))&lt;=31,FALSE)), OR(MID(metadata!C154,11,1)="", AND(AND(MID(metadata!C154,11,1)=" ",IFERROR(INT(MID(metadata!C154,12,1))&gt;=0,FALSE),IFERROR(INT(MID(metadata!C154,12,1))&lt;=2,FALSE),NOT(MID(metadata!C154,13,1)=""),IFERROR(INT(MID(metadata!C154,12,2))&gt;=0,FALSE),IFERROR(INT(MID(metadata!C154,12,2))&lt;=23,FALSE)), OR(MID(metadata!C154,14,1)="", AND(AND(MID(metadata!C154,14,1)=":",IFERROR(INT(MID(metadata!C154,15,1))&gt;=0,FALSE),IFERROR(INT(MID(metadata!C154,15,1))&lt;=5,FALSE),NOT(MID(metadata!C154,16,1)=""),IFERROR(INT(MID(metadata!C154,15,2))&gt;=0,FALSE),IFERROR(INT(MID(metadata!C154,15,2))&lt;=59,FALSE)), OR(MID(metadata!C154,17,1)="", AND(AND(MID(metadata!C154,17,1)=":",IFERROR(INT(MID(metadata!C154,18,1))&gt;=0,FALSE),IFERROR(INT(MID(metadata!C154,18,1))&lt;=5,FALSE),NOT(MID(metadata!C154,19,1)=""),IFERROR(INT(MID(metadata!C154,18,2))&gt;=0,FALSE),IFERROR(INT(MID(metadata!C154,18,2))&lt;=59,FALSE)), LEN(metadata!C154)&lt;=19)))))))))))))</f>
        <v>0</v>
      </c>
      <c r="AO154" t="b">
        <f>AND(IF(metadata!D154="",FALSE,TRUE),EXACT(metadata!D154,"Not applicable"))</f>
        <v>0</v>
      </c>
      <c r="AP154" t="b">
        <f>IF(metadata!E154="",FALSE,TRUE)</f>
        <v>0</v>
      </c>
      <c r="AQ154" t="b">
        <f>OR(AND(IF(metadata!F154="",FALSE,TRUE),OR(EXACT(metadata!F154,"missing: not collected"),EXACT(metadata!F154,"missing: not provided"))),AND(IF(metadata!F154="",FALSE,TRUE),OR(EXACT(metadata!F154,"TRUE"),EXACT(metadata!F154,"FALSE"))))</f>
        <v>0</v>
      </c>
      <c r="AR154" t="b">
        <f>OR(AND(IF(metadata!G154="",FALSE,TRUE),OR(EXACT(metadata!G154,"missing: not collected"),EXACT(metadata!G154,"missing: not provided"),EXACT(metadata!G154,"missing: restricted access"))),AND(IF(metadata!G154="",FALSE,ISNUMBER(VALUE(metadata!G154))),metadata!G154&gt;=-413))</f>
        <v>0</v>
      </c>
      <c r="AS154" t="b">
        <f>AND(IF(metadata!H154="",FALSE,TRUE),EXACT(metadata!H154,"meters"))</f>
        <v>0</v>
      </c>
      <c r="AT154" t="b">
        <f>AND(IF(metadata!I154="",FALSE,TRUE),OR(EXACT(metadata!I154,"Host-associated"),EXACT(metadata!I154,"Free-living")))</f>
        <v>0</v>
      </c>
      <c r="AU154" t="b">
        <f>AND(IF(metadata!J154="",FALSE,TRUE),OR(EXACT(metadata!J154,"Animal"),EXACT(metadata!J154,"Fungus"),EXACT(metadata!J154,"Plant"),EXACT(metadata!J154,"Saline"),EXACT(metadata!J154,"Non-saline")))</f>
        <v>0</v>
      </c>
      <c r="AV154" t="b">
        <f>AND(IF(metadata!K154="",FALSE,TRUE),OR(EXACT(metadata!K154,"Plant secretion"),EXACT(metadata!K154,"Plant rhizosphere"),EXACT(metadata!K154,"Plant surface"),EXACT(metadata!K154,"Plant corpus"),EXACT(metadata!K154,"Fungus surface"),EXACT(metadata!K154,"Fungus corpus"),EXACT(metadata!K154,"Animal surface"),EXACT(metadata!K154,"Animal proximal gut"),EXACT(metadata!K154,"Animal corpus"),EXACT(metadata!K154,"Animal distal gut"),EXACT(metadata!K154,"Animal secretion"),EXACT(metadata!K154,"Sub-surface (non-saline)"),EXACT(metadata!K154,"Surface (non-saline)"),EXACT(metadata!K154,"Water (non-saline)"),EXACT(metadata!K154,"Soil (non-saline)"),EXACT(metadata!K154,"Aerosol (non-saline)"),EXACT(metadata!K154,"Sediment (non-saline)"),EXACT(metadata!K154,"Surface (saline)"),EXACT(metadata!K154,"Water (saline)"),EXACT(metadata!K154,"Hypersaline (saline)"),EXACT(metadata!K154,"Aerosol (saline)"),EXACT(metadata!K154,"Sediment (saline)")))</f>
        <v>0</v>
      </c>
      <c r="AW154" t="b">
        <f>IF(metadata!L154="",FALSE,TRUE)</f>
        <v>0</v>
      </c>
      <c r="AX154" t="b">
        <f>IF(metadata!M154="",FALSE,TRUE)</f>
        <v>0</v>
      </c>
      <c r="AY154" t="b">
        <f>IF(metadata!N154="",FALSE,TRUE)</f>
        <v>0</v>
      </c>
      <c r="AZ154" t="b">
        <f>OR(AND(IF(metadata!O154="",FALSE,TRUE),OR(EXACT(metadata!O154,"missing: not collected"),EXACT(metadata!O154,"missing: not provided"),EXACT(metadata!O154,"missing: restricted access"))),AND(IF(metadata!O154="",FALSE,TRUE),OR(EXACT(metadata!O154,"air"),EXACT(metadata!O154,"built environment"),EXACT(metadata!O154,"host-associated"),EXACT(metadata!O154,"human-associated"),EXACT(metadata!O154,"human-skin"),EXACT(metadata!O154,"human-oral"),EXACT(metadata!O154,"human-gut"),EXACT(metadata!O154,"human-vaginal"),EXACT(metadata!O154,"microbial mat/biofilm"),EXACT(metadata!O154,"misc environment"),EXACT(metadata!O154,"plant-associated"),EXACT(metadata!O154,"sediment"),EXACT(metadata!O154,"soil"),EXACT(metadata!O154,"wastewater/sludge"),EXACT(metadata!O154,"water"))))</f>
        <v>0</v>
      </c>
      <c r="BA154" t="b">
        <f>IF(metadata!P154="",FALSE,TRUE)</f>
        <v>0</v>
      </c>
      <c r="BB154" t="b">
        <f>IF(metadata!Q154="",FALSE,TRUE)</f>
        <v>0</v>
      </c>
      <c r="BC154" t="b">
        <f>OR(AND(IF(metadata!R154="",FALSE,TRUE),OR(EXACT(metadata!R154,"missing: not collected"),EXACT(metadata!R154,"missing: not provided"),EXACT(metadata!R154,"missing: restricted access"))),AND(IF(metadata!R154="",FALSE,ISNUMBER(VALUE(metadata!R154))),metadata!R154&gt;=-90,metadata!R154&lt;=90))</f>
        <v>0</v>
      </c>
      <c r="BD154" t="b">
        <f>AND(IF(metadata!S154="",FALSE,TRUE),EXACT(metadata!S154,"Decimal degrees"))</f>
        <v>0</v>
      </c>
      <c r="BE154" t="b">
        <f>OR(AND(IF(metadata!T154="",FALSE,TRUE),OR(EXACT(metadata!T154,"missing: not collected"),EXACT(metadata!T154,"missing: not provided"),EXACT(metadata!T154,"missing: restricted access"))),AND(IF(metadata!T154="",FALSE,ISNUMBER(VALUE(metadata!T154))),metadata!T154&gt;=-180,metadata!T154&lt;=180))</f>
        <v>0</v>
      </c>
      <c r="BF154" t="b">
        <f>AND(IF(metadata!U154="",FALSE,TRUE),EXACT(metadata!U154,"Decimal degrees"))</f>
        <v>0</v>
      </c>
      <c r="BG154" t="b">
        <f>IF(metadata!V154="",FALSE,TRUE)</f>
        <v>0</v>
      </c>
      <c r="BH154" t="b">
        <f>OR(AND(IF(metadata!W154="",FALSE,TRUE),OR(EXACT(metadata!W154,"missing: not collected"),EXACT(metadata!W154,"missing: not provided"),EXACT(metadata!W154,"missing: restricted access"))),AND(IF(metadata!W154="",FALSE,TRUE),OR(EXACT(metadata!W154,"TRUE"),EXACT(metadata!W154,"FALSE"))))</f>
        <v>0</v>
      </c>
      <c r="BI154" t="b">
        <f>AND(IF(metadata!X154="",FALSE,TRUE),EXACT(metadata!X154,"other"))</f>
        <v>0</v>
      </c>
      <c r="BJ154" t="b">
        <f>IF(metadata!Y154="",FALSE,TRUE)</f>
        <v>0</v>
      </c>
      <c r="BK154" t="b">
        <f>OR(AND(IF(metadata!Z154="",FALSE,TRUE),OR(EXACT(metadata!Z154,"missing: not collected"),EXACT(metadata!Z154,"missing: not provided"))),AND(IF(metadata!Z154="",FALSE,IF(ISERROR(INT(metadata!Z154)),FALSE,INT(metadata!Z154)=metadata!Z154)),metadata!Z154&gt;0))</f>
        <v>0</v>
      </c>
      <c r="BL154" t="b">
        <f>AND(IF(metadata!AA154="",FALSE,TRUE),EXACT(metadata!AA154,"Not applicable"))</f>
        <v>0</v>
      </c>
      <c r="BM154" t="b">
        <f>IF(metadata!AB154="",FALSE,TRUE)</f>
        <v>0</v>
      </c>
    </row>
    <row r="155" spans="1:65" x14ac:dyDescent="0.2">
      <c r="A155" s="5" t="str">
        <f ca="1">IF(B155=" "," ",HYPERLINK(CONCATENATE("#metadata!",ADDRESS(INDEX($AH$2:$AH$1001,MATCH(ROWS($AF$2:AF155),$AF$2:$AF$1001,0),0),1)),INDEX($AK$2:$AK$1001,MATCH(ROWS($AF$2:AF155),$AF$2:$AF$1001,0),0)))</f>
        <v xml:space="preserve"> </v>
      </c>
      <c r="B155" s="4" t="str">
        <f ca="1">IF(OR(INDEX($AG$2:$AG$1001,MATCH(ROWS($AF$2:AF155),$AF$2:$AF$1001,0),1)&gt;=100000,INDEX($AM$1005:$BM$1005,1,MATCH(COLUMNS($AM$1006:AM1006),$AM$1006:$BM$1006,0))&gt;=100000), " ",IF(INDEX($AM$2:$BM$1001,MATCH(ROWS($AF$2:AF155),$AF$2:$AF$1001,0),MATCH(COLUMNS($AM$1006:AM1006),$AM$1006:$BM$1006,0)), HYPERLINK("#",""), HYPERLINK(CONCATENATE("#metadata!", ADDRESS(INDEX($AH$2:$AH$1001,MATCH(ROWS($AF$2:AF155),$AF$2:$AF$1001,0),0), INDEX($AM$1004:$BM$1004,1,MATCH(COLUMNS($AM$1006:AM1006),$AM$1006:$BM$1006,0)))),"Fix")))</f>
        <v xml:space="preserve"> </v>
      </c>
      <c r="C155" s="4" t="str">
        <f ca="1">IF(OR(INDEX($AG$2:$AG$1001,MATCH(ROWS($AF$2:AF155),$AF$2:$AF$1001,0),1)&gt;=100000,INDEX($AM$1005:$BM$1005,1,MATCH(COLUMNS($AM$1006:AN1006),$AM$1006:$BM$1006,0))&gt;=100000), " ",IF(INDEX($AM$2:$BM$1001,MATCH(ROWS($AF$2:AF155),$AF$2:$AF$1001,0),MATCH(COLUMNS($AM$1006:AN1006),$AM$1006:$BM$1006,0)), HYPERLINK("#",""), HYPERLINK(CONCATENATE("#metadata!", ADDRESS(INDEX($AH$2:$AH$1001,MATCH(ROWS($AF$2:AF155),$AF$2:$AF$1001,0),0), INDEX($AM$1004:$BM$1004,1,MATCH(COLUMNS($AM$1006:AN1006),$AM$1006:$BM$1006,0)))),"Fix")))</f>
        <v xml:space="preserve"> </v>
      </c>
      <c r="D155" s="4" t="str">
        <f ca="1">IF(OR(INDEX($AG$2:$AG$1001,MATCH(ROWS($AF$2:AF155),$AF$2:$AF$1001,0),1)&gt;=100000,INDEX($AM$1005:$BM$1005,1,MATCH(COLUMNS($AM$1006:AO1006),$AM$1006:$BM$1006,0))&gt;=100000), " ",IF(INDEX($AM$2:$BM$1001,MATCH(ROWS($AF$2:AF155),$AF$2:$AF$1001,0),MATCH(COLUMNS($AM$1006:AO1006),$AM$1006:$BM$1006,0)), HYPERLINK("#",""), HYPERLINK(CONCATENATE("#metadata!", ADDRESS(INDEX($AH$2:$AH$1001,MATCH(ROWS($AF$2:AF155),$AF$2:$AF$1001,0),0), INDEX($AM$1004:$BM$1004,1,MATCH(COLUMNS($AM$1006:AO1006),$AM$1006:$BM$1006,0)))),"Fix")))</f>
        <v xml:space="preserve"> </v>
      </c>
      <c r="E155" s="4" t="str">
        <f ca="1">IF(OR(INDEX($AG$2:$AG$1001,MATCH(ROWS($AF$2:AF155),$AF$2:$AF$1001,0),1)&gt;=100000,INDEX($AM$1005:$BM$1005,1,MATCH(COLUMNS($AM$1006:AP1006),$AM$1006:$BM$1006,0))&gt;=100000), " ",IF(INDEX($AM$2:$BM$1001,MATCH(ROWS($AF$2:AF155),$AF$2:$AF$1001,0),MATCH(COLUMNS($AM$1006:AP1006),$AM$1006:$BM$1006,0)), HYPERLINK("#",""), HYPERLINK(CONCATENATE("#metadata!", ADDRESS(INDEX($AH$2:$AH$1001,MATCH(ROWS($AF$2:AF155),$AF$2:$AF$1001,0),0), INDEX($AM$1004:$BM$1004,1,MATCH(COLUMNS($AM$1006:AP1006),$AM$1006:$BM$1006,0)))),"Fix")))</f>
        <v xml:space="preserve"> </v>
      </c>
      <c r="F155" s="4" t="str">
        <f ca="1">IF(OR(INDEX($AG$2:$AG$1001,MATCH(ROWS($AF$2:AF155),$AF$2:$AF$1001,0),1)&gt;=100000,INDEX($AM$1005:$BM$1005,1,MATCH(COLUMNS($AM$1006:AQ1006),$AM$1006:$BM$1006,0))&gt;=100000), " ",IF(INDEX($AM$2:$BM$1001,MATCH(ROWS($AF$2:AF155),$AF$2:$AF$1001,0),MATCH(COLUMNS($AM$1006:AQ1006),$AM$1006:$BM$1006,0)), HYPERLINK("#",""), HYPERLINK(CONCATENATE("#metadata!", ADDRESS(INDEX($AH$2:$AH$1001,MATCH(ROWS($AF$2:AF155),$AF$2:$AF$1001,0),0), INDEX($AM$1004:$BM$1004,1,MATCH(COLUMNS($AM$1006:AQ1006),$AM$1006:$BM$1006,0)))),"Fix")))</f>
        <v xml:space="preserve"> </v>
      </c>
      <c r="G155" s="4" t="str">
        <f ca="1">IF(OR(INDEX($AG$2:$AG$1001,MATCH(ROWS($AF$2:AF155),$AF$2:$AF$1001,0),1)&gt;=100000,INDEX($AM$1005:$BM$1005,1,MATCH(COLUMNS($AM$1006:AR1006),$AM$1006:$BM$1006,0))&gt;=100000), " ",IF(INDEX($AM$2:$BM$1001,MATCH(ROWS($AF$2:AF155),$AF$2:$AF$1001,0),MATCH(COLUMNS($AM$1006:AR1006),$AM$1006:$BM$1006,0)), HYPERLINK("#",""), HYPERLINK(CONCATENATE("#metadata!", ADDRESS(INDEX($AH$2:$AH$1001,MATCH(ROWS($AF$2:AF155),$AF$2:$AF$1001,0),0), INDEX($AM$1004:$BM$1004,1,MATCH(COLUMNS($AM$1006:AR1006),$AM$1006:$BM$1006,0)))),"Fix")))</f>
        <v xml:space="preserve"> </v>
      </c>
      <c r="H155" s="4" t="str">
        <f ca="1">IF(OR(INDEX($AG$2:$AG$1001,MATCH(ROWS($AF$2:AF155),$AF$2:$AF$1001,0),1)&gt;=100000,INDEX($AM$1005:$BM$1005,1,MATCH(COLUMNS($AM$1006:AS1006),$AM$1006:$BM$1006,0))&gt;=100000), " ",IF(INDEX($AM$2:$BM$1001,MATCH(ROWS($AF$2:AF155),$AF$2:$AF$1001,0),MATCH(COLUMNS($AM$1006:AS1006),$AM$1006:$BM$1006,0)), HYPERLINK("#",""), HYPERLINK(CONCATENATE("#metadata!", ADDRESS(INDEX($AH$2:$AH$1001,MATCH(ROWS($AF$2:AF155),$AF$2:$AF$1001,0),0), INDEX($AM$1004:$BM$1004,1,MATCH(COLUMNS($AM$1006:AS1006),$AM$1006:$BM$1006,0)))),"Fix")))</f>
        <v xml:space="preserve"> </v>
      </c>
      <c r="I155" s="4" t="str">
        <f ca="1">IF(OR(INDEX($AG$2:$AG$1001,MATCH(ROWS($AF$2:AF155),$AF$2:$AF$1001,0),1)&gt;=100000,INDEX($AM$1005:$BM$1005,1,MATCH(COLUMNS($AM$1006:AT1006),$AM$1006:$BM$1006,0))&gt;=100000), " ",IF(INDEX($AM$2:$BM$1001,MATCH(ROWS($AF$2:AF155),$AF$2:$AF$1001,0),MATCH(COLUMNS($AM$1006:AT1006),$AM$1006:$BM$1006,0)), HYPERLINK("#",""), HYPERLINK(CONCATENATE("#metadata!", ADDRESS(INDEX($AH$2:$AH$1001,MATCH(ROWS($AF$2:AF155),$AF$2:$AF$1001,0),0), INDEX($AM$1004:$BM$1004,1,MATCH(COLUMNS($AM$1006:AT1006),$AM$1006:$BM$1006,0)))),"Fix")))</f>
        <v xml:space="preserve"> </v>
      </c>
      <c r="J155" s="4" t="str">
        <f ca="1">IF(OR(INDEX($AG$2:$AG$1001,MATCH(ROWS($AF$2:AF155),$AF$2:$AF$1001,0),1)&gt;=100000,INDEX($AM$1005:$BM$1005,1,MATCH(COLUMNS($AM$1006:AU1006),$AM$1006:$BM$1006,0))&gt;=100000), " ",IF(INDEX($AM$2:$BM$1001,MATCH(ROWS($AF$2:AF155),$AF$2:$AF$1001,0),MATCH(COLUMNS($AM$1006:AU1006),$AM$1006:$BM$1006,0)), HYPERLINK("#",""), HYPERLINK(CONCATENATE("#metadata!", ADDRESS(INDEX($AH$2:$AH$1001,MATCH(ROWS($AF$2:AF155),$AF$2:$AF$1001,0),0), INDEX($AM$1004:$BM$1004,1,MATCH(COLUMNS($AM$1006:AU1006),$AM$1006:$BM$1006,0)))),"Fix")))</f>
        <v xml:space="preserve"> </v>
      </c>
      <c r="K155" s="4" t="str">
        <f ca="1">IF(OR(INDEX($AG$2:$AG$1001,MATCH(ROWS($AF$2:AF155),$AF$2:$AF$1001,0),1)&gt;=100000,INDEX($AM$1005:$BM$1005,1,MATCH(COLUMNS($AM$1006:AV1006),$AM$1006:$BM$1006,0))&gt;=100000), " ",IF(INDEX($AM$2:$BM$1001,MATCH(ROWS($AF$2:AF155),$AF$2:$AF$1001,0),MATCH(COLUMNS($AM$1006:AV1006),$AM$1006:$BM$1006,0)), HYPERLINK("#",""), HYPERLINK(CONCATENATE("#metadata!", ADDRESS(INDEX($AH$2:$AH$1001,MATCH(ROWS($AF$2:AF155),$AF$2:$AF$1001,0),0), INDEX($AM$1004:$BM$1004,1,MATCH(COLUMNS($AM$1006:AV1006),$AM$1006:$BM$1006,0)))),"Fix")))</f>
        <v xml:space="preserve"> </v>
      </c>
      <c r="L155" s="4" t="str">
        <f ca="1">IF(OR(INDEX($AG$2:$AG$1001,MATCH(ROWS($AF$2:AF155),$AF$2:$AF$1001,0),1)&gt;=100000,INDEX($AM$1005:$BM$1005,1,MATCH(COLUMNS($AM$1006:AW1006),$AM$1006:$BM$1006,0))&gt;=100000), " ",IF(INDEX($AM$2:$BM$1001,MATCH(ROWS($AF$2:AF155),$AF$2:$AF$1001,0),MATCH(COLUMNS($AM$1006:AW1006),$AM$1006:$BM$1006,0)), HYPERLINK("#",""), HYPERLINK(CONCATENATE("#metadata!", ADDRESS(INDEX($AH$2:$AH$1001,MATCH(ROWS($AF$2:AF155),$AF$2:$AF$1001,0),0), INDEX($AM$1004:$BM$1004,1,MATCH(COLUMNS($AM$1006:AW1006),$AM$1006:$BM$1006,0)))),"Fix")))</f>
        <v xml:space="preserve"> </v>
      </c>
      <c r="M155" s="4" t="str">
        <f ca="1">IF(OR(INDEX($AG$2:$AG$1001,MATCH(ROWS($AF$2:AF155),$AF$2:$AF$1001,0),1)&gt;=100000,INDEX($AM$1005:$BM$1005,1,MATCH(COLUMNS($AM$1006:AX1006),$AM$1006:$BM$1006,0))&gt;=100000), " ",IF(INDEX($AM$2:$BM$1001,MATCH(ROWS($AF$2:AF155),$AF$2:$AF$1001,0),MATCH(COLUMNS($AM$1006:AX1006),$AM$1006:$BM$1006,0)), HYPERLINK("#",""), HYPERLINK(CONCATENATE("#metadata!", ADDRESS(INDEX($AH$2:$AH$1001,MATCH(ROWS($AF$2:AF155),$AF$2:$AF$1001,0),0), INDEX($AM$1004:$BM$1004,1,MATCH(COLUMNS($AM$1006:AX1006),$AM$1006:$BM$1006,0)))),"Fix")))</f>
        <v xml:space="preserve"> </v>
      </c>
      <c r="N155" s="4" t="str">
        <f ca="1">IF(OR(INDEX($AG$2:$AG$1001,MATCH(ROWS($AF$2:AF155),$AF$2:$AF$1001,0),1)&gt;=100000,INDEX($AM$1005:$BM$1005,1,MATCH(COLUMNS($AM$1006:AY1006),$AM$1006:$BM$1006,0))&gt;=100000), " ",IF(INDEX($AM$2:$BM$1001,MATCH(ROWS($AF$2:AF155),$AF$2:$AF$1001,0),MATCH(COLUMNS($AM$1006:AY1006),$AM$1006:$BM$1006,0)), HYPERLINK("#",""), HYPERLINK(CONCATENATE("#metadata!", ADDRESS(INDEX($AH$2:$AH$1001,MATCH(ROWS($AF$2:AF155),$AF$2:$AF$1001,0),0), INDEX($AM$1004:$BM$1004,1,MATCH(COLUMNS($AM$1006:AY1006),$AM$1006:$BM$1006,0)))),"Fix")))</f>
        <v xml:space="preserve"> </v>
      </c>
      <c r="O155" s="4" t="str">
        <f ca="1">IF(OR(INDEX($AG$2:$AG$1001,MATCH(ROWS($AF$2:AF155),$AF$2:$AF$1001,0),1)&gt;=100000,INDEX($AM$1005:$BM$1005,1,MATCH(COLUMNS($AM$1006:AZ1006),$AM$1006:$BM$1006,0))&gt;=100000), " ",IF(INDEX($AM$2:$BM$1001,MATCH(ROWS($AF$2:AF155),$AF$2:$AF$1001,0),MATCH(COLUMNS($AM$1006:AZ1006),$AM$1006:$BM$1006,0)), HYPERLINK("#",""), HYPERLINK(CONCATENATE("#metadata!", ADDRESS(INDEX($AH$2:$AH$1001,MATCH(ROWS($AF$2:AF155),$AF$2:$AF$1001,0),0), INDEX($AM$1004:$BM$1004,1,MATCH(COLUMNS($AM$1006:AZ1006),$AM$1006:$BM$1006,0)))),"Fix")))</f>
        <v xml:space="preserve"> </v>
      </c>
      <c r="P155" s="4" t="str">
        <f ca="1">IF(OR(INDEX($AG$2:$AG$1001,MATCH(ROWS($AF$2:AF155),$AF$2:$AF$1001,0),1)&gt;=100000,INDEX($AM$1005:$BM$1005,1,MATCH(COLUMNS($AM$1006:BA1006),$AM$1006:$BM$1006,0))&gt;=100000), " ",IF(INDEX($AM$2:$BM$1001,MATCH(ROWS($AF$2:AF155),$AF$2:$AF$1001,0),MATCH(COLUMNS($AM$1006:BA1006),$AM$1006:$BM$1006,0)), HYPERLINK("#",""), HYPERLINK(CONCATENATE("#metadata!", ADDRESS(INDEX($AH$2:$AH$1001,MATCH(ROWS($AF$2:AF155),$AF$2:$AF$1001,0),0), INDEX($AM$1004:$BM$1004,1,MATCH(COLUMNS($AM$1006:BA1006),$AM$1006:$BM$1006,0)))),"Fix")))</f>
        <v xml:space="preserve"> </v>
      </c>
      <c r="Q155" s="4" t="str">
        <f ca="1">IF(OR(INDEX($AG$2:$AG$1001,MATCH(ROWS($AF$2:AF155),$AF$2:$AF$1001,0),1)&gt;=100000,INDEX($AM$1005:$BM$1005,1,MATCH(COLUMNS($AM$1006:BB1006),$AM$1006:$BM$1006,0))&gt;=100000), " ",IF(INDEX($AM$2:$BM$1001,MATCH(ROWS($AF$2:AF155),$AF$2:$AF$1001,0),MATCH(COLUMNS($AM$1006:BB1006),$AM$1006:$BM$1006,0)), HYPERLINK("#",""), HYPERLINK(CONCATENATE("#metadata!", ADDRESS(INDEX($AH$2:$AH$1001,MATCH(ROWS($AF$2:AF155),$AF$2:$AF$1001,0),0), INDEX($AM$1004:$BM$1004,1,MATCH(COLUMNS($AM$1006:BB1006),$AM$1006:$BM$1006,0)))),"Fix")))</f>
        <v xml:space="preserve"> </v>
      </c>
      <c r="R155" s="4" t="str">
        <f ca="1">IF(OR(INDEX($AG$2:$AG$1001,MATCH(ROWS($AF$2:AF155),$AF$2:$AF$1001,0),1)&gt;=100000,INDEX($AM$1005:$BM$1005,1,MATCH(COLUMNS($AM$1006:BC1006),$AM$1006:$BM$1006,0))&gt;=100000), " ",IF(INDEX($AM$2:$BM$1001,MATCH(ROWS($AF$2:AF155),$AF$2:$AF$1001,0),MATCH(COLUMNS($AM$1006:BC1006),$AM$1006:$BM$1006,0)), HYPERLINK("#",""), HYPERLINK(CONCATENATE("#metadata!", ADDRESS(INDEX($AH$2:$AH$1001,MATCH(ROWS($AF$2:AF155),$AF$2:$AF$1001,0),0), INDEX($AM$1004:$BM$1004,1,MATCH(COLUMNS($AM$1006:BC1006),$AM$1006:$BM$1006,0)))),"Fix")))</f>
        <v xml:space="preserve"> </v>
      </c>
      <c r="S155" s="4" t="str">
        <f ca="1">IF(OR(INDEX($AG$2:$AG$1001,MATCH(ROWS($AF$2:AF155),$AF$2:$AF$1001,0),1)&gt;=100000,INDEX($AM$1005:$BM$1005,1,MATCH(COLUMNS($AM$1006:BD1006),$AM$1006:$BM$1006,0))&gt;=100000), " ",IF(INDEX($AM$2:$BM$1001,MATCH(ROWS($AF$2:AF155),$AF$2:$AF$1001,0),MATCH(COLUMNS($AM$1006:BD1006),$AM$1006:$BM$1006,0)), HYPERLINK("#",""), HYPERLINK(CONCATENATE("#metadata!", ADDRESS(INDEX($AH$2:$AH$1001,MATCH(ROWS($AF$2:AF155),$AF$2:$AF$1001,0),0), INDEX($AM$1004:$BM$1004,1,MATCH(COLUMNS($AM$1006:BD1006),$AM$1006:$BM$1006,0)))),"Fix")))</f>
        <v xml:space="preserve"> </v>
      </c>
      <c r="T155" s="4" t="str">
        <f ca="1">IF(OR(INDEX($AG$2:$AG$1001,MATCH(ROWS($AF$2:AF155),$AF$2:$AF$1001,0),1)&gt;=100000,INDEX($AM$1005:$BM$1005,1,MATCH(COLUMNS($AM$1006:BE1006),$AM$1006:$BM$1006,0))&gt;=100000), " ",IF(INDEX($AM$2:$BM$1001,MATCH(ROWS($AF$2:AF155),$AF$2:$AF$1001,0),MATCH(COLUMNS($AM$1006:BE1006),$AM$1006:$BM$1006,0)), HYPERLINK("#",""), HYPERLINK(CONCATENATE("#metadata!", ADDRESS(INDEX($AH$2:$AH$1001,MATCH(ROWS($AF$2:AF155),$AF$2:$AF$1001,0),0), INDEX($AM$1004:$BM$1004,1,MATCH(COLUMNS($AM$1006:BE1006),$AM$1006:$BM$1006,0)))),"Fix")))</f>
        <v xml:space="preserve"> </v>
      </c>
      <c r="U155" s="4" t="str">
        <f ca="1">IF(OR(INDEX($AG$2:$AG$1001,MATCH(ROWS($AF$2:AF155),$AF$2:$AF$1001,0),1)&gt;=100000,INDEX($AM$1005:$BM$1005,1,MATCH(COLUMNS($AM$1006:BF1006),$AM$1006:$BM$1006,0))&gt;=100000), " ",IF(INDEX($AM$2:$BM$1001,MATCH(ROWS($AF$2:AF155),$AF$2:$AF$1001,0),MATCH(COLUMNS($AM$1006:BF1006),$AM$1006:$BM$1006,0)), HYPERLINK("#",""), HYPERLINK(CONCATENATE("#metadata!", ADDRESS(INDEX($AH$2:$AH$1001,MATCH(ROWS($AF$2:AF155),$AF$2:$AF$1001,0),0), INDEX($AM$1004:$BM$1004,1,MATCH(COLUMNS($AM$1006:BF1006),$AM$1006:$BM$1006,0)))),"Fix")))</f>
        <v xml:space="preserve"> </v>
      </c>
      <c r="V155" s="4" t="str">
        <f ca="1">IF(OR(INDEX($AG$2:$AG$1001,MATCH(ROWS($AF$2:AF155),$AF$2:$AF$1001,0),1)&gt;=100000,INDEX($AM$1005:$BM$1005,1,MATCH(COLUMNS($AM$1006:BG1006),$AM$1006:$BM$1006,0))&gt;=100000), " ",IF(INDEX($AM$2:$BM$1001,MATCH(ROWS($AF$2:AF155),$AF$2:$AF$1001,0),MATCH(COLUMNS($AM$1006:BG1006),$AM$1006:$BM$1006,0)), HYPERLINK("#",""), HYPERLINK(CONCATENATE("#metadata!", ADDRESS(INDEX($AH$2:$AH$1001,MATCH(ROWS($AF$2:AF155),$AF$2:$AF$1001,0),0), INDEX($AM$1004:$BM$1004,1,MATCH(COLUMNS($AM$1006:BG1006),$AM$1006:$BM$1006,0)))),"Fix")))</f>
        <v xml:space="preserve"> </v>
      </c>
      <c r="W155" s="4" t="str">
        <f ca="1">IF(OR(INDEX($AG$2:$AG$1001,MATCH(ROWS($AF$2:AF155),$AF$2:$AF$1001,0),1)&gt;=100000,INDEX($AM$1005:$BM$1005,1,MATCH(COLUMNS($AM$1006:BH1006),$AM$1006:$BM$1006,0))&gt;=100000), " ",IF(INDEX($AM$2:$BM$1001,MATCH(ROWS($AF$2:AF155),$AF$2:$AF$1001,0),MATCH(COLUMNS($AM$1006:BH1006),$AM$1006:$BM$1006,0)), HYPERLINK("#",""), HYPERLINK(CONCATENATE("#metadata!", ADDRESS(INDEX($AH$2:$AH$1001,MATCH(ROWS($AF$2:AF155),$AF$2:$AF$1001,0),0), INDEX($AM$1004:$BM$1004,1,MATCH(COLUMNS($AM$1006:BH1006),$AM$1006:$BM$1006,0)))),"Fix")))</f>
        <v xml:space="preserve"> </v>
      </c>
      <c r="X155" s="4" t="str">
        <f ca="1">IF(OR(INDEX($AG$2:$AG$1001,MATCH(ROWS($AF$2:AF155),$AF$2:$AF$1001,0),1)&gt;=100000,INDEX($AM$1005:$BM$1005,1,MATCH(COLUMNS($AM$1006:BI1006),$AM$1006:$BM$1006,0))&gt;=100000), " ",IF(INDEX($AM$2:$BM$1001,MATCH(ROWS($AF$2:AF155),$AF$2:$AF$1001,0),MATCH(COLUMNS($AM$1006:BI1006),$AM$1006:$BM$1006,0)), HYPERLINK("#",""), HYPERLINK(CONCATENATE("#metadata!", ADDRESS(INDEX($AH$2:$AH$1001,MATCH(ROWS($AF$2:AF155),$AF$2:$AF$1001,0),0), INDEX($AM$1004:$BM$1004,1,MATCH(COLUMNS($AM$1006:BI1006),$AM$1006:$BM$1006,0)))),"Fix")))</f>
        <v xml:space="preserve"> </v>
      </c>
      <c r="Y155" s="4" t="str">
        <f ca="1">IF(OR(INDEX($AG$2:$AG$1001,MATCH(ROWS($AF$2:AF155),$AF$2:$AF$1001,0),1)&gt;=100000,INDEX($AM$1005:$BM$1005,1,MATCH(COLUMNS($AM$1006:BJ1006),$AM$1006:$BM$1006,0))&gt;=100000), " ",IF(INDEX($AM$2:$BM$1001,MATCH(ROWS($AF$2:AF155),$AF$2:$AF$1001,0),MATCH(COLUMNS($AM$1006:BJ1006),$AM$1006:$BM$1006,0)), HYPERLINK("#",""), HYPERLINK(CONCATENATE("#metadata!", ADDRESS(INDEX($AH$2:$AH$1001,MATCH(ROWS($AF$2:AF155),$AF$2:$AF$1001,0),0), INDEX($AM$1004:$BM$1004,1,MATCH(COLUMNS($AM$1006:BJ1006),$AM$1006:$BM$1006,0)))),"Fix")))</f>
        <v xml:space="preserve"> </v>
      </c>
      <c r="Z155" s="4" t="str">
        <f ca="1">IF(OR(INDEX($AG$2:$AG$1001,MATCH(ROWS($AF$2:AF155),$AF$2:$AF$1001,0),1)&gt;=100000,INDEX($AM$1005:$BM$1005,1,MATCH(COLUMNS($AM$1006:BK1006),$AM$1006:$BM$1006,0))&gt;=100000), " ",IF(INDEX($AM$2:$BM$1001,MATCH(ROWS($AF$2:AF155),$AF$2:$AF$1001,0),MATCH(COLUMNS($AM$1006:BK1006),$AM$1006:$BM$1006,0)), HYPERLINK("#",""), HYPERLINK(CONCATENATE("#metadata!", ADDRESS(INDEX($AH$2:$AH$1001,MATCH(ROWS($AF$2:AF155),$AF$2:$AF$1001,0),0), INDEX($AM$1004:$BM$1004,1,MATCH(COLUMNS($AM$1006:BK1006),$AM$1006:$BM$1006,0)))),"Fix")))</f>
        <v xml:space="preserve"> </v>
      </c>
      <c r="AA155" s="4" t="str">
        <f ca="1">IF(OR(INDEX($AG$2:$AG$1001,MATCH(ROWS($AF$2:AF155),$AF$2:$AF$1001,0),1)&gt;=100000,INDEX($AM$1005:$BM$1005,1,MATCH(COLUMNS($AM$1006:BL1006),$AM$1006:$BM$1006,0))&gt;=100000), " ",IF(INDEX($AM$2:$BM$1001,MATCH(ROWS($AF$2:AF155),$AF$2:$AF$1001,0),MATCH(COLUMNS($AM$1006:BL1006),$AM$1006:$BM$1006,0)), HYPERLINK("#",""), HYPERLINK(CONCATENATE("#metadata!", ADDRESS(INDEX($AH$2:$AH$1001,MATCH(ROWS($AF$2:AF155),$AF$2:$AF$1001,0),0), INDEX($AM$1004:$BM$1004,1,MATCH(COLUMNS($AM$1006:BL1006),$AM$1006:$BM$1006,0)))),"Fix")))</f>
        <v xml:space="preserve"> </v>
      </c>
      <c r="AB155" s="4" t="str">
        <f ca="1">IF(OR(INDEX($AG$2:$AG$1001,MATCH(ROWS($AF$2:AF155),$AF$2:$AF$1001,0),1)&gt;=100000,INDEX($AM$1005:$BM$1005,1,MATCH(COLUMNS($AM$1006:BM1006),$AM$1006:$BM$1006,0))&gt;=100000), " ",IF(INDEX($AM$2:$BM$1001,MATCH(ROWS($AF$2:AF155),$AF$2:$AF$1001,0),MATCH(COLUMNS($AM$1006:BM1006),$AM$1006:$BM$1006,0)), HYPERLINK("#",""), HYPERLINK(CONCATENATE("#metadata!", ADDRESS(INDEX($AH$2:$AH$1001,MATCH(ROWS($AF$2:AF155),$AF$2:$AF$1001,0),0), INDEX($AM$1004:$BM$1004,1,MATCH(COLUMNS($AM$1006:BM1006),$AM$1006:$BM$1006,0)))),"Fix")))</f>
        <v xml:space="preserve"> </v>
      </c>
      <c r="AF155">
        <v>154</v>
      </c>
      <c r="AG155">
        <v>100155</v>
      </c>
      <c r="AH155">
        <v>155</v>
      </c>
      <c r="AI155" t="b">
        <f t="shared" si="2"/>
        <v>1</v>
      </c>
      <c r="AJ155" t="b">
        <f>COUNTBLANK(metadata!B155:AB155)=COLUMNS(metadata!B155:AB155)</f>
        <v>1</v>
      </c>
      <c r="AK155" t="str">
        <v/>
      </c>
      <c r="AM155" t="b">
        <f ca="1">AND(IF(metadata!B155="",FALSE,TRUE),COUNTIF(metadata!B:B, metadata!B155) = 1,NOT(ISERROR(SUMPRODUCT(SEARCH(MID(metadata!B155,ROW(INDIRECT("1:"&amp;LEN(metadata!B155))), 1),"0123456789abcdefghijklmnopqrstuvwxyzABCDEFGHIJKLMNOPQRSTUVWXYZ.")))))</f>
        <v>0</v>
      </c>
      <c r="AN155" t="b">
        <f ca="1">OR(AND(IF(metadata!C155="",FALSE,TRUE),OR(EXACT(metadata!C155,"missing: not collected"),EXACT(metadata!C155,"missing: not provided"),EXACT(metadata!C155,"missing: restricted access"))),AND(IF(metadata!C155="",FALSE,TRUE),AND(AND(IFERROR(INT(LEFT(metadata!C155,4))&gt;1900,FALSE),IFERROR(INT(LEFT(metadata!C155,4))&lt;=YEAR(NOW()),FALSE)), OR(MID(metadata!C155,5,1)="", AND(AND(MID(metadata!C155,5,1)="-",IFERROR(INT(MID(metadata!C155,6,1))&gt;=0,FALSE),IFERROR(INT(MID(metadata!C155,6,1))&lt;=1,FALSE),NOT(MID(metadata!C155,7,1)=""),IFERROR(INT(MID(metadata!C155,6,2))&gt;=1,FALSE),IFERROR(INT(MID(metadata!C155,6,2))&lt;=12,FALSE)), OR(MID(metadata!C155,8,1)="", AND(AND(MID(metadata!C155,8,1)="-",IFERROR(INT(MID(metadata!C155,9,1))&gt;=0,FALSE),IFERROR(INT(MID(metadata!C155,9,1))&lt;=3,FALSE),NOT(MID(metadata!C155,10,1)=""),IFERROR(INT(MID(metadata!C155,9,2))&gt;=1,FALSE),IFERROR(INT(MID(metadata!C155,9,2))&lt;=31,FALSE)), OR(MID(metadata!C155,11,1)="", AND(AND(MID(metadata!C155,11,1)=" ",IFERROR(INT(MID(metadata!C155,12,1))&gt;=0,FALSE),IFERROR(INT(MID(metadata!C155,12,1))&lt;=2,FALSE),NOT(MID(metadata!C155,13,1)=""),IFERROR(INT(MID(metadata!C155,12,2))&gt;=0,FALSE),IFERROR(INT(MID(metadata!C155,12,2))&lt;=23,FALSE)), OR(MID(metadata!C155,14,1)="", AND(AND(MID(metadata!C155,14,1)=":",IFERROR(INT(MID(metadata!C155,15,1))&gt;=0,FALSE),IFERROR(INT(MID(metadata!C155,15,1))&lt;=5,FALSE),NOT(MID(metadata!C155,16,1)=""),IFERROR(INT(MID(metadata!C155,15,2))&gt;=0,FALSE),IFERROR(INT(MID(metadata!C155,15,2))&lt;=59,FALSE)), OR(MID(metadata!C155,17,1)="", AND(AND(MID(metadata!C155,17,1)=":",IFERROR(INT(MID(metadata!C155,18,1))&gt;=0,FALSE),IFERROR(INT(MID(metadata!C155,18,1))&lt;=5,FALSE),NOT(MID(metadata!C155,19,1)=""),IFERROR(INT(MID(metadata!C155,18,2))&gt;=0,FALSE),IFERROR(INT(MID(metadata!C155,18,2))&lt;=59,FALSE)), LEN(metadata!C155)&lt;=19)))))))))))))</f>
        <v>0</v>
      </c>
      <c r="AO155" t="b">
        <f>AND(IF(metadata!D155="",FALSE,TRUE),EXACT(metadata!D155,"Not applicable"))</f>
        <v>0</v>
      </c>
      <c r="AP155" t="b">
        <f>IF(metadata!E155="",FALSE,TRUE)</f>
        <v>0</v>
      </c>
      <c r="AQ155" t="b">
        <f>OR(AND(IF(metadata!F155="",FALSE,TRUE),OR(EXACT(metadata!F155,"missing: not collected"),EXACT(metadata!F155,"missing: not provided"))),AND(IF(metadata!F155="",FALSE,TRUE),OR(EXACT(metadata!F155,"TRUE"),EXACT(metadata!F155,"FALSE"))))</f>
        <v>0</v>
      </c>
      <c r="AR155" t="b">
        <f>OR(AND(IF(metadata!G155="",FALSE,TRUE),OR(EXACT(metadata!G155,"missing: not collected"),EXACT(metadata!G155,"missing: not provided"),EXACT(metadata!G155,"missing: restricted access"))),AND(IF(metadata!G155="",FALSE,ISNUMBER(VALUE(metadata!G155))),metadata!G155&gt;=-413))</f>
        <v>0</v>
      </c>
      <c r="AS155" t="b">
        <f>AND(IF(metadata!H155="",FALSE,TRUE),EXACT(metadata!H155,"meters"))</f>
        <v>0</v>
      </c>
      <c r="AT155" t="b">
        <f>AND(IF(metadata!I155="",FALSE,TRUE),OR(EXACT(metadata!I155,"Host-associated"),EXACT(metadata!I155,"Free-living")))</f>
        <v>0</v>
      </c>
      <c r="AU155" t="b">
        <f>AND(IF(metadata!J155="",FALSE,TRUE),OR(EXACT(metadata!J155,"Animal"),EXACT(metadata!J155,"Fungus"),EXACT(metadata!J155,"Plant"),EXACT(metadata!J155,"Saline"),EXACT(metadata!J155,"Non-saline")))</f>
        <v>0</v>
      </c>
      <c r="AV155" t="b">
        <f>AND(IF(metadata!K155="",FALSE,TRUE),OR(EXACT(metadata!K155,"Plant secretion"),EXACT(metadata!K155,"Plant rhizosphere"),EXACT(metadata!K155,"Plant surface"),EXACT(metadata!K155,"Plant corpus"),EXACT(metadata!K155,"Fungus surface"),EXACT(metadata!K155,"Fungus corpus"),EXACT(metadata!K155,"Animal surface"),EXACT(metadata!K155,"Animal proximal gut"),EXACT(metadata!K155,"Animal corpus"),EXACT(metadata!K155,"Animal distal gut"),EXACT(metadata!K155,"Animal secretion"),EXACT(metadata!K155,"Sub-surface (non-saline)"),EXACT(metadata!K155,"Surface (non-saline)"),EXACT(metadata!K155,"Water (non-saline)"),EXACT(metadata!K155,"Soil (non-saline)"),EXACT(metadata!K155,"Aerosol (non-saline)"),EXACT(metadata!K155,"Sediment (non-saline)"),EXACT(metadata!K155,"Surface (saline)"),EXACT(metadata!K155,"Water (saline)"),EXACT(metadata!K155,"Hypersaline (saline)"),EXACT(metadata!K155,"Aerosol (saline)"),EXACT(metadata!K155,"Sediment (saline)")))</f>
        <v>0</v>
      </c>
      <c r="AW155" t="b">
        <f>IF(metadata!L155="",FALSE,TRUE)</f>
        <v>0</v>
      </c>
      <c r="AX155" t="b">
        <f>IF(metadata!M155="",FALSE,TRUE)</f>
        <v>0</v>
      </c>
      <c r="AY155" t="b">
        <f>IF(metadata!N155="",FALSE,TRUE)</f>
        <v>0</v>
      </c>
      <c r="AZ155" t="b">
        <f>OR(AND(IF(metadata!O155="",FALSE,TRUE),OR(EXACT(metadata!O155,"missing: not collected"),EXACT(metadata!O155,"missing: not provided"),EXACT(metadata!O155,"missing: restricted access"))),AND(IF(metadata!O155="",FALSE,TRUE),OR(EXACT(metadata!O155,"air"),EXACT(metadata!O155,"built environment"),EXACT(metadata!O155,"host-associated"),EXACT(metadata!O155,"human-associated"),EXACT(metadata!O155,"human-skin"),EXACT(metadata!O155,"human-oral"),EXACT(metadata!O155,"human-gut"),EXACT(metadata!O155,"human-vaginal"),EXACT(metadata!O155,"microbial mat/biofilm"),EXACT(metadata!O155,"misc environment"),EXACT(metadata!O155,"plant-associated"),EXACT(metadata!O155,"sediment"),EXACT(metadata!O155,"soil"),EXACT(metadata!O155,"wastewater/sludge"),EXACT(metadata!O155,"water"))))</f>
        <v>0</v>
      </c>
      <c r="BA155" t="b">
        <f>IF(metadata!P155="",FALSE,TRUE)</f>
        <v>0</v>
      </c>
      <c r="BB155" t="b">
        <f>IF(metadata!Q155="",FALSE,TRUE)</f>
        <v>0</v>
      </c>
      <c r="BC155" t="b">
        <f>OR(AND(IF(metadata!R155="",FALSE,TRUE),OR(EXACT(metadata!R155,"missing: not collected"),EXACT(metadata!R155,"missing: not provided"),EXACT(metadata!R155,"missing: restricted access"))),AND(IF(metadata!R155="",FALSE,ISNUMBER(VALUE(metadata!R155))),metadata!R155&gt;=-90,metadata!R155&lt;=90))</f>
        <v>0</v>
      </c>
      <c r="BD155" t="b">
        <f>AND(IF(metadata!S155="",FALSE,TRUE),EXACT(metadata!S155,"Decimal degrees"))</f>
        <v>0</v>
      </c>
      <c r="BE155" t="b">
        <f>OR(AND(IF(metadata!T155="",FALSE,TRUE),OR(EXACT(metadata!T155,"missing: not collected"),EXACT(metadata!T155,"missing: not provided"),EXACT(metadata!T155,"missing: restricted access"))),AND(IF(metadata!T155="",FALSE,ISNUMBER(VALUE(metadata!T155))),metadata!T155&gt;=-180,metadata!T155&lt;=180))</f>
        <v>0</v>
      </c>
      <c r="BF155" t="b">
        <f>AND(IF(metadata!U155="",FALSE,TRUE),EXACT(metadata!U155,"Decimal degrees"))</f>
        <v>0</v>
      </c>
      <c r="BG155" t="b">
        <f>IF(metadata!V155="",FALSE,TRUE)</f>
        <v>0</v>
      </c>
      <c r="BH155" t="b">
        <f>OR(AND(IF(metadata!W155="",FALSE,TRUE),OR(EXACT(metadata!W155,"missing: not collected"),EXACT(metadata!W155,"missing: not provided"),EXACT(metadata!W155,"missing: restricted access"))),AND(IF(metadata!W155="",FALSE,TRUE),OR(EXACT(metadata!W155,"TRUE"),EXACT(metadata!W155,"FALSE"))))</f>
        <v>0</v>
      </c>
      <c r="BI155" t="b">
        <f>AND(IF(metadata!X155="",FALSE,TRUE),EXACT(metadata!X155,"other"))</f>
        <v>0</v>
      </c>
      <c r="BJ155" t="b">
        <f>IF(metadata!Y155="",FALSE,TRUE)</f>
        <v>0</v>
      </c>
      <c r="BK155" t="b">
        <f>OR(AND(IF(metadata!Z155="",FALSE,TRUE),OR(EXACT(metadata!Z155,"missing: not collected"),EXACT(metadata!Z155,"missing: not provided"))),AND(IF(metadata!Z155="",FALSE,IF(ISERROR(INT(metadata!Z155)),FALSE,INT(metadata!Z155)=metadata!Z155)),metadata!Z155&gt;0))</f>
        <v>0</v>
      </c>
      <c r="BL155" t="b">
        <f>AND(IF(metadata!AA155="",FALSE,TRUE),EXACT(metadata!AA155,"Not applicable"))</f>
        <v>0</v>
      </c>
      <c r="BM155" t="b">
        <f>IF(metadata!AB155="",FALSE,TRUE)</f>
        <v>0</v>
      </c>
    </row>
    <row r="156" spans="1:65" x14ac:dyDescent="0.2">
      <c r="A156" s="5" t="str">
        <f ca="1">IF(B156=" "," ",HYPERLINK(CONCATENATE("#metadata!",ADDRESS(INDEX($AH$2:$AH$1001,MATCH(ROWS($AF$2:AF156),$AF$2:$AF$1001,0),0),1)),INDEX($AK$2:$AK$1001,MATCH(ROWS($AF$2:AF156),$AF$2:$AF$1001,0),0)))</f>
        <v xml:space="preserve"> </v>
      </c>
      <c r="B156" s="4" t="str">
        <f ca="1">IF(OR(INDEX($AG$2:$AG$1001,MATCH(ROWS($AF$2:AF156),$AF$2:$AF$1001,0),1)&gt;=100000,INDEX($AM$1005:$BM$1005,1,MATCH(COLUMNS($AM$1006:AM1006),$AM$1006:$BM$1006,0))&gt;=100000), " ",IF(INDEX($AM$2:$BM$1001,MATCH(ROWS($AF$2:AF156),$AF$2:$AF$1001,0),MATCH(COLUMNS($AM$1006:AM1006),$AM$1006:$BM$1006,0)), HYPERLINK("#",""), HYPERLINK(CONCATENATE("#metadata!", ADDRESS(INDEX($AH$2:$AH$1001,MATCH(ROWS($AF$2:AF156),$AF$2:$AF$1001,0),0), INDEX($AM$1004:$BM$1004,1,MATCH(COLUMNS($AM$1006:AM1006),$AM$1006:$BM$1006,0)))),"Fix")))</f>
        <v xml:space="preserve"> </v>
      </c>
      <c r="C156" s="4" t="str">
        <f ca="1">IF(OR(INDEX($AG$2:$AG$1001,MATCH(ROWS($AF$2:AF156),$AF$2:$AF$1001,0),1)&gt;=100000,INDEX($AM$1005:$BM$1005,1,MATCH(COLUMNS($AM$1006:AN1006),$AM$1006:$BM$1006,0))&gt;=100000), " ",IF(INDEX($AM$2:$BM$1001,MATCH(ROWS($AF$2:AF156),$AF$2:$AF$1001,0),MATCH(COLUMNS($AM$1006:AN1006),$AM$1006:$BM$1006,0)), HYPERLINK("#",""), HYPERLINK(CONCATENATE("#metadata!", ADDRESS(INDEX($AH$2:$AH$1001,MATCH(ROWS($AF$2:AF156),$AF$2:$AF$1001,0),0), INDEX($AM$1004:$BM$1004,1,MATCH(COLUMNS($AM$1006:AN1006),$AM$1006:$BM$1006,0)))),"Fix")))</f>
        <v xml:space="preserve"> </v>
      </c>
      <c r="D156" s="4" t="str">
        <f ca="1">IF(OR(INDEX($AG$2:$AG$1001,MATCH(ROWS($AF$2:AF156),$AF$2:$AF$1001,0),1)&gt;=100000,INDEX($AM$1005:$BM$1005,1,MATCH(COLUMNS($AM$1006:AO1006),$AM$1006:$BM$1006,0))&gt;=100000), " ",IF(INDEX($AM$2:$BM$1001,MATCH(ROWS($AF$2:AF156),$AF$2:$AF$1001,0),MATCH(COLUMNS($AM$1006:AO1006),$AM$1006:$BM$1006,0)), HYPERLINK("#",""), HYPERLINK(CONCATENATE("#metadata!", ADDRESS(INDEX($AH$2:$AH$1001,MATCH(ROWS($AF$2:AF156),$AF$2:$AF$1001,0),0), INDEX($AM$1004:$BM$1004,1,MATCH(COLUMNS($AM$1006:AO1006),$AM$1006:$BM$1006,0)))),"Fix")))</f>
        <v xml:space="preserve"> </v>
      </c>
      <c r="E156" s="4" t="str">
        <f ca="1">IF(OR(INDEX($AG$2:$AG$1001,MATCH(ROWS($AF$2:AF156),$AF$2:$AF$1001,0),1)&gt;=100000,INDEX($AM$1005:$BM$1005,1,MATCH(COLUMNS($AM$1006:AP1006),$AM$1006:$BM$1006,0))&gt;=100000), " ",IF(INDEX($AM$2:$BM$1001,MATCH(ROWS($AF$2:AF156),$AF$2:$AF$1001,0),MATCH(COLUMNS($AM$1006:AP1006),$AM$1006:$BM$1006,0)), HYPERLINK("#",""), HYPERLINK(CONCATENATE("#metadata!", ADDRESS(INDEX($AH$2:$AH$1001,MATCH(ROWS($AF$2:AF156),$AF$2:$AF$1001,0),0), INDEX($AM$1004:$BM$1004,1,MATCH(COLUMNS($AM$1006:AP1006),$AM$1006:$BM$1006,0)))),"Fix")))</f>
        <v xml:space="preserve"> </v>
      </c>
      <c r="F156" s="4" t="str">
        <f ca="1">IF(OR(INDEX($AG$2:$AG$1001,MATCH(ROWS($AF$2:AF156),$AF$2:$AF$1001,0),1)&gt;=100000,INDEX($AM$1005:$BM$1005,1,MATCH(COLUMNS($AM$1006:AQ1006),$AM$1006:$BM$1006,0))&gt;=100000), " ",IF(INDEX($AM$2:$BM$1001,MATCH(ROWS($AF$2:AF156),$AF$2:$AF$1001,0),MATCH(COLUMNS($AM$1006:AQ1006),$AM$1006:$BM$1006,0)), HYPERLINK("#",""), HYPERLINK(CONCATENATE("#metadata!", ADDRESS(INDEX($AH$2:$AH$1001,MATCH(ROWS($AF$2:AF156),$AF$2:$AF$1001,0),0), INDEX($AM$1004:$BM$1004,1,MATCH(COLUMNS($AM$1006:AQ1006),$AM$1006:$BM$1006,0)))),"Fix")))</f>
        <v xml:space="preserve"> </v>
      </c>
      <c r="G156" s="4" t="str">
        <f ca="1">IF(OR(INDEX($AG$2:$AG$1001,MATCH(ROWS($AF$2:AF156),$AF$2:$AF$1001,0),1)&gt;=100000,INDEX($AM$1005:$BM$1005,1,MATCH(COLUMNS($AM$1006:AR1006),$AM$1006:$BM$1006,0))&gt;=100000), " ",IF(INDEX($AM$2:$BM$1001,MATCH(ROWS($AF$2:AF156),$AF$2:$AF$1001,0),MATCH(COLUMNS($AM$1006:AR1006),$AM$1006:$BM$1006,0)), HYPERLINK("#",""), HYPERLINK(CONCATENATE("#metadata!", ADDRESS(INDEX($AH$2:$AH$1001,MATCH(ROWS($AF$2:AF156),$AF$2:$AF$1001,0),0), INDEX($AM$1004:$BM$1004,1,MATCH(COLUMNS($AM$1006:AR1006),$AM$1006:$BM$1006,0)))),"Fix")))</f>
        <v xml:space="preserve"> </v>
      </c>
      <c r="H156" s="4" t="str">
        <f ca="1">IF(OR(INDEX($AG$2:$AG$1001,MATCH(ROWS($AF$2:AF156),$AF$2:$AF$1001,0),1)&gt;=100000,INDEX($AM$1005:$BM$1005,1,MATCH(COLUMNS($AM$1006:AS1006),$AM$1006:$BM$1006,0))&gt;=100000), " ",IF(INDEX($AM$2:$BM$1001,MATCH(ROWS($AF$2:AF156),$AF$2:$AF$1001,0),MATCH(COLUMNS($AM$1006:AS1006),$AM$1006:$BM$1006,0)), HYPERLINK("#",""), HYPERLINK(CONCATENATE("#metadata!", ADDRESS(INDEX($AH$2:$AH$1001,MATCH(ROWS($AF$2:AF156),$AF$2:$AF$1001,0),0), INDEX($AM$1004:$BM$1004,1,MATCH(COLUMNS($AM$1006:AS1006),$AM$1006:$BM$1006,0)))),"Fix")))</f>
        <v xml:space="preserve"> </v>
      </c>
      <c r="I156" s="4" t="str">
        <f ca="1">IF(OR(INDEX($AG$2:$AG$1001,MATCH(ROWS($AF$2:AF156),$AF$2:$AF$1001,0),1)&gt;=100000,INDEX($AM$1005:$BM$1005,1,MATCH(COLUMNS($AM$1006:AT1006),$AM$1006:$BM$1006,0))&gt;=100000), " ",IF(INDEX($AM$2:$BM$1001,MATCH(ROWS($AF$2:AF156),$AF$2:$AF$1001,0),MATCH(COLUMNS($AM$1006:AT1006),$AM$1006:$BM$1006,0)), HYPERLINK("#",""), HYPERLINK(CONCATENATE("#metadata!", ADDRESS(INDEX($AH$2:$AH$1001,MATCH(ROWS($AF$2:AF156),$AF$2:$AF$1001,0),0), INDEX($AM$1004:$BM$1004,1,MATCH(COLUMNS($AM$1006:AT1006),$AM$1006:$BM$1006,0)))),"Fix")))</f>
        <v xml:space="preserve"> </v>
      </c>
      <c r="J156" s="4" t="str">
        <f ca="1">IF(OR(INDEX($AG$2:$AG$1001,MATCH(ROWS($AF$2:AF156),$AF$2:$AF$1001,0),1)&gt;=100000,INDEX($AM$1005:$BM$1005,1,MATCH(COLUMNS($AM$1006:AU1006),$AM$1006:$BM$1006,0))&gt;=100000), " ",IF(INDEX($AM$2:$BM$1001,MATCH(ROWS($AF$2:AF156),$AF$2:$AF$1001,0),MATCH(COLUMNS($AM$1006:AU1006),$AM$1006:$BM$1006,0)), HYPERLINK("#",""), HYPERLINK(CONCATENATE("#metadata!", ADDRESS(INDEX($AH$2:$AH$1001,MATCH(ROWS($AF$2:AF156),$AF$2:$AF$1001,0),0), INDEX($AM$1004:$BM$1004,1,MATCH(COLUMNS($AM$1006:AU1006),$AM$1006:$BM$1006,0)))),"Fix")))</f>
        <v xml:space="preserve"> </v>
      </c>
      <c r="K156" s="4" t="str">
        <f ca="1">IF(OR(INDEX($AG$2:$AG$1001,MATCH(ROWS($AF$2:AF156),$AF$2:$AF$1001,0),1)&gt;=100000,INDEX($AM$1005:$BM$1005,1,MATCH(COLUMNS($AM$1006:AV1006),$AM$1006:$BM$1006,0))&gt;=100000), " ",IF(INDEX($AM$2:$BM$1001,MATCH(ROWS($AF$2:AF156),$AF$2:$AF$1001,0),MATCH(COLUMNS($AM$1006:AV1006),$AM$1006:$BM$1006,0)), HYPERLINK("#",""), HYPERLINK(CONCATENATE("#metadata!", ADDRESS(INDEX($AH$2:$AH$1001,MATCH(ROWS($AF$2:AF156),$AF$2:$AF$1001,0),0), INDEX($AM$1004:$BM$1004,1,MATCH(COLUMNS($AM$1006:AV1006),$AM$1006:$BM$1006,0)))),"Fix")))</f>
        <v xml:space="preserve"> </v>
      </c>
      <c r="L156" s="4" t="str">
        <f ca="1">IF(OR(INDEX($AG$2:$AG$1001,MATCH(ROWS($AF$2:AF156),$AF$2:$AF$1001,0),1)&gt;=100000,INDEX($AM$1005:$BM$1005,1,MATCH(COLUMNS($AM$1006:AW1006),$AM$1006:$BM$1006,0))&gt;=100000), " ",IF(INDEX($AM$2:$BM$1001,MATCH(ROWS($AF$2:AF156),$AF$2:$AF$1001,0),MATCH(COLUMNS($AM$1006:AW1006),$AM$1006:$BM$1006,0)), HYPERLINK("#",""), HYPERLINK(CONCATENATE("#metadata!", ADDRESS(INDEX($AH$2:$AH$1001,MATCH(ROWS($AF$2:AF156),$AF$2:$AF$1001,0),0), INDEX($AM$1004:$BM$1004,1,MATCH(COLUMNS($AM$1006:AW1006),$AM$1006:$BM$1006,0)))),"Fix")))</f>
        <v xml:space="preserve"> </v>
      </c>
      <c r="M156" s="4" t="str">
        <f ca="1">IF(OR(INDEX($AG$2:$AG$1001,MATCH(ROWS($AF$2:AF156),$AF$2:$AF$1001,0),1)&gt;=100000,INDEX($AM$1005:$BM$1005,1,MATCH(COLUMNS($AM$1006:AX1006),$AM$1006:$BM$1006,0))&gt;=100000), " ",IF(INDEX($AM$2:$BM$1001,MATCH(ROWS($AF$2:AF156),$AF$2:$AF$1001,0),MATCH(COLUMNS($AM$1006:AX1006),$AM$1006:$BM$1006,0)), HYPERLINK("#",""), HYPERLINK(CONCATENATE("#metadata!", ADDRESS(INDEX($AH$2:$AH$1001,MATCH(ROWS($AF$2:AF156),$AF$2:$AF$1001,0),0), INDEX($AM$1004:$BM$1004,1,MATCH(COLUMNS($AM$1006:AX1006),$AM$1006:$BM$1006,0)))),"Fix")))</f>
        <v xml:space="preserve"> </v>
      </c>
      <c r="N156" s="4" t="str">
        <f ca="1">IF(OR(INDEX($AG$2:$AG$1001,MATCH(ROWS($AF$2:AF156),$AF$2:$AF$1001,0),1)&gt;=100000,INDEX($AM$1005:$BM$1005,1,MATCH(COLUMNS($AM$1006:AY1006),$AM$1006:$BM$1006,0))&gt;=100000), " ",IF(INDEX($AM$2:$BM$1001,MATCH(ROWS($AF$2:AF156),$AF$2:$AF$1001,0),MATCH(COLUMNS($AM$1006:AY1006),$AM$1006:$BM$1006,0)), HYPERLINK("#",""), HYPERLINK(CONCATENATE("#metadata!", ADDRESS(INDEX($AH$2:$AH$1001,MATCH(ROWS($AF$2:AF156),$AF$2:$AF$1001,0),0), INDEX($AM$1004:$BM$1004,1,MATCH(COLUMNS($AM$1006:AY1006),$AM$1006:$BM$1006,0)))),"Fix")))</f>
        <v xml:space="preserve"> </v>
      </c>
      <c r="O156" s="4" t="str">
        <f ca="1">IF(OR(INDEX($AG$2:$AG$1001,MATCH(ROWS($AF$2:AF156),$AF$2:$AF$1001,0),1)&gt;=100000,INDEX($AM$1005:$BM$1005,1,MATCH(COLUMNS($AM$1006:AZ1006),$AM$1006:$BM$1006,0))&gt;=100000), " ",IF(INDEX($AM$2:$BM$1001,MATCH(ROWS($AF$2:AF156),$AF$2:$AF$1001,0),MATCH(COLUMNS($AM$1006:AZ1006),$AM$1006:$BM$1006,0)), HYPERLINK("#",""), HYPERLINK(CONCATENATE("#metadata!", ADDRESS(INDEX($AH$2:$AH$1001,MATCH(ROWS($AF$2:AF156),$AF$2:$AF$1001,0),0), INDEX($AM$1004:$BM$1004,1,MATCH(COLUMNS($AM$1006:AZ1006),$AM$1006:$BM$1006,0)))),"Fix")))</f>
        <v xml:space="preserve"> </v>
      </c>
      <c r="P156" s="4" t="str">
        <f ca="1">IF(OR(INDEX($AG$2:$AG$1001,MATCH(ROWS($AF$2:AF156),$AF$2:$AF$1001,0),1)&gt;=100000,INDEX($AM$1005:$BM$1005,1,MATCH(COLUMNS($AM$1006:BA1006),$AM$1006:$BM$1006,0))&gt;=100000), " ",IF(INDEX($AM$2:$BM$1001,MATCH(ROWS($AF$2:AF156),$AF$2:$AF$1001,0),MATCH(COLUMNS($AM$1006:BA1006),$AM$1006:$BM$1006,0)), HYPERLINK("#",""), HYPERLINK(CONCATENATE("#metadata!", ADDRESS(INDEX($AH$2:$AH$1001,MATCH(ROWS($AF$2:AF156),$AF$2:$AF$1001,0),0), INDEX($AM$1004:$BM$1004,1,MATCH(COLUMNS($AM$1006:BA1006),$AM$1006:$BM$1006,0)))),"Fix")))</f>
        <v xml:space="preserve"> </v>
      </c>
      <c r="Q156" s="4" t="str">
        <f ca="1">IF(OR(INDEX($AG$2:$AG$1001,MATCH(ROWS($AF$2:AF156),$AF$2:$AF$1001,0),1)&gt;=100000,INDEX($AM$1005:$BM$1005,1,MATCH(COLUMNS($AM$1006:BB1006),$AM$1006:$BM$1006,0))&gt;=100000), " ",IF(INDEX($AM$2:$BM$1001,MATCH(ROWS($AF$2:AF156),$AF$2:$AF$1001,0),MATCH(COLUMNS($AM$1006:BB1006),$AM$1006:$BM$1006,0)), HYPERLINK("#",""), HYPERLINK(CONCATENATE("#metadata!", ADDRESS(INDEX($AH$2:$AH$1001,MATCH(ROWS($AF$2:AF156),$AF$2:$AF$1001,0),0), INDEX($AM$1004:$BM$1004,1,MATCH(COLUMNS($AM$1006:BB1006),$AM$1006:$BM$1006,0)))),"Fix")))</f>
        <v xml:space="preserve"> </v>
      </c>
      <c r="R156" s="4" t="str">
        <f ca="1">IF(OR(INDEX($AG$2:$AG$1001,MATCH(ROWS($AF$2:AF156),$AF$2:$AF$1001,0),1)&gt;=100000,INDEX($AM$1005:$BM$1005,1,MATCH(COLUMNS($AM$1006:BC1006),$AM$1006:$BM$1006,0))&gt;=100000), " ",IF(INDEX($AM$2:$BM$1001,MATCH(ROWS($AF$2:AF156),$AF$2:$AF$1001,0),MATCH(COLUMNS($AM$1006:BC1006),$AM$1006:$BM$1006,0)), HYPERLINK("#",""), HYPERLINK(CONCATENATE("#metadata!", ADDRESS(INDEX($AH$2:$AH$1001,MATCH(ROWS($AF$2:AF156),$AF$2:$AF$1001,0),0), INDEX($AM$1004:$BM$1004,1,MATCH(COLUMNS($AM$1006:BC1006),$AM$1006:$BM$1006,0)))),"Fix")))</f>
        <v xml:space="preserve"> </v>
      </c>
      <c r="S156" s="4" t="str">
        <f ca="1">IF(OR(INDEX($AG$2:$AG$1001,MATCH(ROWS($AF$2:AF156),$AF$2:$AF$1001,0),1)&gt;=100000,INDEX($AM$1005:$BM$1005,1,MATCH(COLUMNS($AM$1006:BD1006),$AM$1006:$BM$1006,0))&gt;=100000), " ",IF(INDEX($AM$2:$BM$1001,MATCH(ROWS($AF$2:AF156),$AF$2:$AF$1001,0),MATCH(COLUMNS($AM$1006:BD1006),$AM$1006:$BM$1006,0)), HYPERLINK("#",""), HYPERLINK(CONCATENATE("#metadata!", ADDRESS(INDEX($AH$2:$AH$1001,MATCH(ROWS($AF$2:AF156),$AF$2:$AF$1001,0),0), INDEX($AM$1004:$BM$1004,1,MATCH(COLUMNS($AM$1006:BD1006),$AM$1006:$BM$1006,0)))),"Fix")))</f>
        <v xml:space="preserve"> </v>
      </c>
      <c r="T156" s="4" t="str">
        <f ca="1">IF(OR(INDEX($AG$2:$AG$1001,MATCH(ROWS($AF$2:AF156),$AF$2:$AF$1001,0),1)&gt;=100000,INDEX($AM$1005:$BM$1005,1,MATCH(COLUMNS($AM$1006:BE1006),$AM$1006:$BM$1006,0))&gt;=100000), " ",IF(INDEX($AM$2:$BM$1001,MATCH(ROWS($AF$2:AF156),$AF$2:$AF$1001,0),MATCH(COLUMNS($AM$1006:BE1006),$AM$1006:$BM$1006,0)), HYPERLINK("#",""), HYPERLINK(CONCATENATE("#metadata!", ADDRESS(INDEX($AH$2:$AH$1001,MATCH(ROWS($AF$2:AF156),$AF$2:$AF$1001,0),0), INDEX($AM$1004:$BM$1004,1,MATCH(COLUMNS($AM$1006:BE1006),$AM$1006:$BM$1006,0)))),"Fix")))</f>
        <v xml:space="preserve"> </v>
      </c>
      <c r="U156" s="4" t="str">
        <f ca="1">IF(OR(INDEX($AG$2:$AG$1001,MATCH(ROWS($AF$2:AF156),$AF$2:$AF$1001,0),1)&gt;=100000,INDEX($AM$1005:$BM$1005,1,MATCH(COLUMNS($AM$1006:BF1006),$AM$1006:$BM$1006,0))&gt;=100000), " ",IF(INDEX($AM$2:$BM$1001,MATCH(ROWS($AF$2:AF156),$AF$2:$AF$1001,0),MATCH(COLUMNS($AM$1006:BF1006),$AM$1006:$BM$1006,0)), HYPERLINK("#",""), HYPERLINK(CONCATENATE("#metadata!", ADDRESS(INDEX($AH$2:$AH$1001,MATCH(ROWS($AF$2:AF156),$AF$2:$AF$1001,0),0), INDEX($AM$1004:$BM$1004,1,MATCH(COLUMNS($AM$1006:BF1006),$AM$1006:$BM$1006,0)))),"Fix")))</f>
        <v xml:space="preserve"> </v>
      </c>
      <c r="V156" s="4" t="str">
        <f ca="1">IF(OR(INDEX($AG$2:$AG$1001,MATCH(ROWS($AF$2:AF156),$AF$2:$AF$1001,0),1)&gt;=100000,INDEX($AM$1005:$BM$1005,1,MATCH(COLUMNS($AM$1006:BG1006),$AM$1006:$BM$1006,0))&gt;=100000), " ",IF(INDEX($AM$2:$BM$1001,MATCH(ROWS($AF$2:AF156),$AF$2:$AF$1001,0),MATCH(COLUMNS($AM$1006:BG1006),$AM$1006:$BM$1006,0)), HYPERLINK("#",""), HYPERLINK(CONCATENATE("#metadata!", ADDRESS(INDEX($AH$2:$AH$1001,MATCH(ROWS($AF$2:AF156),$AF$2:$AF$1001,0),0), INDEX($AM$1004:$BM$1004,1,MATCH(COLUMNS($AM$1006:BG1006),$AM$1006:$BM$1006,0)))),"Fix")))</f>
        <v xml:space="preserve"> </v>
      </c>
      <c r="W156" s="4" t="str">
        <f ca="1">IF(OR(INDEX($AG$2:$AG$1001,MATCH(ROWS($AF$2:AF156),$AF$2:$AF$1001,0),1)&gt;=100000,INDEX($AM$1005:$BM$1005,1,MATCH(COLUMNS($AM$1006:BH1006),$AM$1006:$BM$1006,0))&gt;=100000), " ",IF(INDEX($AM$2:$BM$1001,MATCH(ROWS($AF$2:AF156),$AF$2:$AF$1001,0),MATCH(COLUMNS($AM$1006:BH1006),$AM$1006:$BM$1006,0)), HYPERLINK("#",""), HYPERLINK(CONCATENATE("#metadata!", ADDRESS(INDEX($AH$2:$AH$1001,MATCH(ROWS($AF$2:AF156),$AF$2:$AF$1001,0),0), INDEX($AM$1004:$BM$1004,1,MATCH(COLUMNS($AM$1006:BH1006),$AM$1006:$BM$1006,0)))),"Fix")))</f>
        <v xml:space="preserve"> </v>
      </c>
      <c r="X156" s="4" t="str">
        <f ca="1">IF(OR(INDEX($AG$2:$AG$1001,MATCH(ROWS($AF$2:AF156),$AF$2:$AF$1001,0),1)&gt;=100000,INDEX($AM$1005:$BM$1005,1,MATCH(COLUMNS($AM$1006:BI1006),$AM$1006:$BM$1006,0))&gt;=100000), " ",IF(INDEX($AM$2:$BM$1001,MATCH(ROWS($AF$2:AF156),$AF$2:$AF$1001,0),MATCH(COLUMNS($AM$1006:BI1006),$AM$1006:$BM$1006,0)), HYPERLINK("#",""), HYPERLINK(CONCATENATE("#metadata!", ADDRESS(INDEX($AH$2:$AH$1001,MATCH(ROWS($AF$2:AF156),$AF$2:$AF$1001,0),0), INDEX($AM$1004:$BM$1004,1,MATCH(COLUMNS($AM$1006:BI1006),$AM$1006:$BM$1006,0)))),"Fix")))</f>
        <v xml:space="preserve"> </v>
      </c>
      <c r="Y156" s="4" t="str">
        <f ca="1">IF(OR(INDEX($AG$2:$AG$1001,MATCH(ROWS($AF$2:AF156),$AF$2:$AF$1001,0),1)&gt;=100000,INDEX($AM$1005:$BM$1005,1,MATCH(COLUMNS($AM$1006:BJ1006),$AM$1006:$BM$1006,0))&gt;=100000), " ",IF(INDEX($AM$2:$BM$1001,MATCH(ROWS($AF$2:AF156),$AF$2:$AF$1001,0),MATCH(COLUMNS($AM$1006:BJ1006),$AM$1006:$BM$1006,0)), HYPERLINK("#",""), HYPERLINK(CONCATENATE("#metadata!", ADDRESS(INDEX($AH$2:$AH$1001,MATCH(ROWS($AF$2:AF156),$AF$2:$AF$1001,0),0), INDEX($AM$1004:$BM$1004,1,MATCH(COLUMNS($AM$1006:BJ1006),$AM$1006:$BM$1006,0)))),"Fix")))</f>
        <v xml:space="preserve"> </v>
      </c>
      <c r="Z156" s="4" t="str">
        <f ca="1">IF(OR(INDEX($AG$2:$AG$1001,MATCH(ROWS($AF$2:AF156),$AF$2:$AF$1001,0),1)&gt;=100000,INDEX($AM$1005:$BM$1005,1,MATCH(COLUMNS($AM$1006:BK1006),$AM$1006:$BM$1006,0))&gt;=100000), " ",IF(INDEX($AM$2:$BM$1001,MATCH(ROWS($AF$2:AF156),$AF$2:$AF$1001,0),MATCH(COLUMNS($AM$1006:BK1006),$AM$1006:$BM$1006,0)), HYPERLINK("#",""), HYPERLINK(CONCATENATE("#metadata!", ADDRESS(INDEX($AH$2:$AH$1001,MATCH(ROWS($AF$2:AF156),$AF$2:$AF$1001,0),0), INDEX($AM$1004:$BM$1004,1,MATCH(COLUMNS($AM$1006:BK1006),$AM$1006:$BM$1006,0)))),"Fix")))</f>
        <v xml:space="preserve"> </v>
      </c>
      <c r="AA156" s="4" t="str">
        <f ca="1">IF(OR(INDEX($AG$2:$AG$1001,MATCH(ROWS($AF$2:AF156),$AF$2:$AF$1001,0),1)&gt;=100000,INDEX($AM$1005:$BM$1005,1,MATCH(COLUMNS($AM$1006:BL1006),$AM$1006:$BM$1006,0))&gt;=100000), " ",IF(INDEX($AM$2:$BM$1001,MATCH(ROWS($AF$2:AF156),$AF$2:$AF$1001,0),MATCH(COLUMNS($AM$1006:BL1006),$AM$1006:$BM$1006,0)), HYPERLINK("#",""), HYPERLINK(CONCATENATE("#metadata!", ADDRESS(INDEX($AH$2:$AH$1001,MATCH(ROWS($AF$2:AF156),$AF$2:$AF$1001,0),0), INDEX($AM$1004:$BM$1004,1,MATCH(COLUMNS($AM$1006:BL1006),$AM$1006:$BM$1006,0)))),"Fix")))</f>
        <v xml:space="preserve"> </v>
      </c>
      <c r="AB156" s="4" t="str">
        <f ca="1">IF(OR(INDEX($AG$2:$AG$1001,MATCH(ROWS($AF$2:AF156),$AF$2:$AF$1001,0),1)&gt;=100000,INDEX($AM$1005:$BM$1005,1,MATCH(COLUMNS($AM$1006:BM1006),$AM$1006:$BM$1006,0))&gt;=100000), " ",IF(INDEX($AM$2:$BM$1001,MATCH(ROWS($AF$2:AF156),$AF$2:$AF$1001,0),MATCH(COLUMNS($AM$1006:BM1006),$AM$1006:$BM$1006,0)), HYPERLINK("#",""), HYPERLINK(CONCATENATE("#metadata!", ADDRESS(INDEX($AH$2:$AH$1001,MATCH(ROWS($AF$2:AF156),$AF$2:$AF$1001,0),0), INDEX($AM$1004:$BM$1004,1,MATCH(COLUMNS($AM$1006:BM1006),$AM$1006:$BM$1006,0)))),"Fix")))</f>
        <v xml:space="preserve"> </v>
      </c>
      <c r="AF156">
        <v>155</v>
      </c>
      <c r="AG156">
        <v>100156</v>
      </c>
      <c r="AH156">
        <v>156</v>
      </c>
      <c r="AI156" t="b">
        <f t="shared" si="2"/>
        <v>1</v>
      </c>
      <c r="AJ156" t="b">
        <f>COUNTBLANK(metadata!B156:AB156)=COLUMNS(metadata!B156:AB156)</f>
        <v>1</v>
      </c>
      <c r="AK156" t="str">
        <v/>
      </c>
      <c r="AM156" t="b">
        <f ca="1">AND(IF(metadata!B156="",FALSE,TRUE),COUNTIF(metadata!B:B, metadata!B156) = 1,NOT(ISERROR(SUMPRODUCT(SEARCH(MID(metadata!B156,ROW(INDIRECT("1:"&amp;LEN(metadata!B156))), 1),"0123456789abcdefghijklmnopqrstuvwxyzABCDEFGHIJKLMNOPQRSTUVWXYZ.")))))</f>
        <v>0</v>
      </c>
      <c r="AN156" t="b">
        <f ca="1">OR(AND(IF(metadata!C156="",FALSE,TRUE),OR(EXACT(metadata!C156,"missing: not collected"),EXACT(metadata!C156,"missing: not provided"),EXACT(metadata!C156,"missing: restricted access"))),AND(IF(metadata!C156="",FALSE,TRUE),AND(AND(IFERROR(INT(LEFT(metadata!C156,4))&gt;1900,FALSE),IFERROR(INT(LEFT(metadata!C156,4))&lt;=YEAR(NOW()),FALSE)), OR(MID(metadata!C156,5,1)="", AND(AND(MID(metadata!C156,5,1)="-",IFERROR(INT(MID(metadata!C156,6,1))&gt;=0,FALSE),IFERROR(INT(MID(metadata!C156,6,1))&lt;=1,FALSE),NOT(MID(metadata!C156,7,1)=""),IFERROR(INT(MID(metadata!C156,6,2))&gt;=1,FALSE),IFERROR(INT(MID(metadata!C156,6,2))&lt;=12,FALSE)), OR(MID(metadata!C156,8,1)="", AND(AND(MID(metadata!C156,8,1)="-",IFERROR(INT(MID(metadata!C156,9,1))&gt;=0,FALSE),IFERROR(INT(MID(metadata!C156,9,1))&lt;=3,FALSE),NOT(MID(metadata!C156,10,1)=""),IFERROR(INT(MID(metadata!C156,9,2))&gt;=1,FALSE),IFERROR(INT(MID(metadata!C156,9,2))&lt;=31,FALSE)), OR(MID(metadata!C156,11,1)="", AND(AND(MID(metadata!C156,11,1)=" ",IFERROR(INT(MID(metadata!C156,12,1))&gt;=0,FALSE),IFERROR(INT(MID(metadata!C156,12,1))&lt;=2,FALSE),NOT(MID(metadata!C156,13,1)=""),IFERROR(INT(MID(metadata!C156,12,2))&gt;=0,FALSE),IFERROR(INT(MID(metadata!C156,12,2))&lt;=23,FALSE)), OR(MID(metadata!C156,14,1)="", AND(AND(MID(metadata!C156,14,1)=":",IFERROR(INT(MID(metadata!C156,15,1))&gt;=0,FALSE),IFERROR(INT(MID(metadata!C156,15,1))&lt;=5,FALSE),NOT(MID(metadata!C156,16,1)=""),IFERROR(INT(MID(metadata!C156,15,2))&gt;=0,FALSE),IFERROR(INT(MID(metadata!C156,15,2))&lt;=59,FALSE)), OR(MID(metadata!C156,17,1)="", AND(AND(MID(metadata!C156,17,1)=":",IFERROR(INT(MID(metadata!C156,18,1))&gt;=0,FALSE),IFERROR(INT(MID(metadata!C156,18,1))&lt;=5,FALSE),NOT(MID(metadata!C156,19,1)=""),IFERROR(INT(MID(metadata!C156,18,2))&gt;=0,FALSE),IFERROR(INT(MID(metadata!C156,18,2))&lt;=59,FALSE)), LEN(metadata!C156)&lt;=19)))))))))))))</f>
        <v>0</v>
      </c>
      <c r="AO156" t="b">
        <f>AND(IF(metadata!D156="",FALSE,TRUE),EXACT(metadata!D156,"Not applicable"))</f>
        <v>0</v>
      </c>
      <c r="AP156" t="b">
        <f>IF(metadata!E156="",FALSE,TRUE)</f>
        <v>0</v>
      </c>
      <c r="AQ156" t="b">
        <f>OR(AND(IF(metadata!F156="",FALSE,TRUE),OR(EXACT(metadata!F156,"missing: not collected"),EXACT(metadata!F156,"missing: not provided"))),AND(IF(metadata!F156="",FALSE,TRUE),OR(EXACT(metadata!F156,"TRUE"),EXACT(metadata!F156,"FALSE"))))</f>
        <v>0</v>
      </c>
      <c r="AR156" t="b">
        <f>OR(AND(IF(metadata!G156="",FALSE,TRUE),OR(EXACT(metadata!G156,"missing: not collected"),EXACT(metadata!G156,"missing: not provided"),EXACT(metadata!G156,"missing: restricted access"))),AND(IF(metadata!G156="",FALSE,ISNUMBER(VALUE(metadata!G156))),metadata!G156&gt;=-413))</f>
        <v>0</v>
      </c>
      <c r="AS156" t="b">
        <f>AND(IF(metadata!H156="",FALSE,TRUE),EXACT(metadata!H156,"meters"))</f>
        <v>0</v>
      </c>
      <c r="AT156" t="b">
        <f>AND(IF(metadata!I156="",FALSE,TRUE),OR(EXACT(metadata!I156,"Host-associated"),EXACT(metadata!I156,"Free-living")))</f>
        <v>0</v>
      </c>
      <c r="AU156" t="b">
        <f>AND(IF(metadata!J156="",FALSE,TRUE),OR(EXACT(metadata!J156,"Animal"),EXACT(metadata!J156,"Fungus"),EXACT(metadata!J156,"Plant"),EXACT(metadata!J156,"Saline"),EXACT(metadata!J156,"Non-saline")))</f>
        <v>0</v>
      </c>
      <c r="AV156" t="b">
        <f>AND(IF(metadata!K156="",FALSE,TRUE),OR(EXACT(metadata!K156,"Plant secretion"),EXACT(metadata!K156,"Plant rhizosphere"),EXACT(metadata!K156,"Plant surface"),EXACT(metadata!K156,"Plant corpus"),EXACT(metadata!K156,"Fungus surface"),EXACT(metadata!K156,"Fungus corpus"),EXACT(metadata!K156,"Animal surface"),EXACT(metadata!K156,"Animal proximal gut"),EXACT(metadata!K156,"Animal corpus"),EXACT(metadata!K156,"Animal distal gut"),EXACT(metadata!K156,"Animal secretion"),EXACT(metadata!K156,"Sub-surface (non-saline)"),EXACT(metadata!K156,"Surface (non-saline)"),EXACT(metadata!K156,"Water (non-saline)"),EXACT(metadata!K156,"Soil (non-saline)"),EXACT(metadata!K156,"Aerosol (non-saline)"),EXACT(metadata!K156,"Sediment (non-saline)"),EXACT(metadata!K156,"Surface (saline)"),EXACT(metadata!K156,"Water (saline)"),EXACT(metadata!K156,"Hypersaline (saline)"),EXACT(metadata!K156,"Aerosol (saline)"),EXACT(metadata!K156,"Sediment (saline)")))</f>
        <v>0</v>
      </c>
      <c r="AW156" t="b">
        <f>IF(metadata!L156="",FALSE,TRUE)</f>
        <v>0</v>
      </c>
      <c r="AX156" t="b">
        <f>IF(metadata!M156="",FALSE,TRUE)</f>
        <v>0</v>
      </c>
      <c r="AY156" t="b">
        <f>IF(metadata!N156="",FALSE,TRUE)</f>
        <v>0</v>
      </c>
      <c r="AZ156" t="b">
        <f>OR(AND(IF(metadata!O156="",FALSE,TRUE),OR(EXACT(metadata!O156,"missing: not collected"),EXACT(metadata!O156,"missing: not provided"),EXACT(metadata!O156,"missing: restricted access"))),AND(IF(metadata!O156="",FALSE,TRUE),OR(EXACT(metadata!O156,"air"),EXACT(metadata!O156,"built environment"),EXACT(metadata!O156,"host-associated"),EXACT(metadata!O156,"human-associated"),EXACT(metadata!O156,"human-skin"),EXACT(metadata!O156,"human-oral"),EXACT(metadata!O156,"human-gut"),EXACT(metadata!O156,"human-vaginal"),EXACT(metadata!O156,"microbial mat/biofilm"),EXACT(metadata!O156,"misc environment"),EXACT(metadata!O156,"plant-associated"),EXACT(metadata!O156,"sediment"),EXACT(metadata!O156,"soil"),EXACT(metadata!O156,"wastewater/sludge"),EXACT(metadata!O156,"water"))))</f>
        <v>0</v>
      </c>
      <c r="BA156" t="b">
        <f>IF(metadata!P156="",FALSE,TRUE)</f>
        <v>0</v>
      </c>
      <c r="BB156" t="b">
        <f>IF(metadata!Q156="",FALSE,TRUE)</f>
        <v>0</v>
      </c>
      <c r="BC156" t="b">
        <f>OR(AND(IF(metadata!R156="",FALSE,TRUE),OR(EXACT(metadata!R156,"missing: not collected"),EXACT(metadata!R156,"missing: not provided"),EXACT(metadata!R156,"missing: restricted access"))),AND(IF(metadata!R156="",FALSE,ISNUMBER(VALUE(metadata!R156))),metadata!R156&gt;=-90,metadata!R156&lt;=90))</f>
        <v>0</v>
      </c>
      <c r="BD156" t="b">
        <f>AND(IF(metadata!S156="",FALSE,TRUE),EXACT(metadata!S156,"Decimal degrees"))</f>
        <v>0</v>
      </c>
      <c r="BE156" t="b">
        <f>OR(AND(IF(metadata!T156="",FALSE,TRUE),OR(EXACT(metadata!T156,"missing: not collected"),EXACT(metadata!T156,"missing: not provided"),EXACT(metadata!T156,"missing: restricted access"))),AND(IF(metadata!T156="",FALSE,ISNUMBER(VALUE(metadata!T156))),metadata!T156&gt;=-180,metadata!T156&lt;=180))</f>
        <v>0</v>
      </c>
      <c r="BF156" t="b">
        <f>AND(IF(metadata!U156="",FALSE,TRUE),EXACT(metadata!U156,"Decimal degrees"))</f>
        <v>0</v>
      </c>
      <c r="BG156" t="b">
        <f>IF(metadata!V156="",FALSE,TRUE)</f>
        <v>0</v>
      </c>
      <c r="BH156" t="b">
        <f>OR(AND(IF(metadata!W156="",FALSE,TRUE),OR(EXACT(metadata!W156,"missing: not collected"),EXACT(metadata!W156,"missing: not provided"),EXACT(metadata!W156,"missing: restricted access"))),AND(IF(metadata!W156="",FALSE,TRUE),OR(EXACT(metadata!W156,"TRUE"),EXACT(metadata!W156,"FALSE"))))</f>
        <v>0</v>
      </c>
      <c r="BI156" t="b">
        <f>AND(IF(metadata!X156="",FALSE,TRUE),EXACT(metadata!X156,"other"))</f>
        <v>0</v>
      </c>
      <c r="BJ156" t="b">
        <f>IF(metadata!Y156="",FALSE,TRUE)</f>
        <v>0</v>
      </c>
      <c r="BK156" t="b">
        <f>OR(AND(IF(metadata!Z156="",FALSE,TRUE),OR(EXACT(metadata!Z156,"missing: not collected"),EXACT(metadata!Z156,"missing: not provided"))),AND(IF(metadata!Z156="",FALSE,IF(ISERROR(INT(metadata!Z156)),FALSE,INT(metadata!Z156)=metadata!Z156)),metadata!Z156&gt;0))</f>
        <v>0</v>
      </c>
      <c r="BL156" t="b">
        <f>AND(IF(metadata!AA156="",FALSE,TRUE),EXACT(metadata!AA156,"Not applicable"))</f>
        <v>0</v>
      </c>
      <c r="BM156" t="b">
        <f>IF(metadata!AB156="",FALSE,TRUE)</f>
        <v>0</v>
      </c>
    </row>
    <row r="157" spans="1:65" x14ac:dyDescent="0.2">
      <c r="A157" s="5" t="str">
        <f ca="1">IF(B157=" "," ",HYPERLINK(CONCATENATE("#metadata!",ADDRESS(INDEX($AH$2:$AH$1001,MATCH(ROWS($AF$2:AF157),$AF$2:$AF$1001,0),0),1)),INDEX($AK$2:$AK$1001,MATCH(ROWS($AF$2:AF157),$AF$2:$AF$1001,0),0)))</f>
        <v xml:space="preserve"> </v>
      </c>
      <c r="B157" s="4" t="str">
        <f ca="1">IF(OR(INDEX($AG$2:$AG$1001,MATCH(ROWS($AF$2:AF157),$AF$2:$AF$1001,0),1)&gt;=100000,INDEX($AM$1005:$BM$1005,1,MATCH(COLUMNS($AM$1006:AM1006),$AM$1006:$BM$1006,0))&gt;=100000), " ",IF(INDEX($AM$2:$BM$1001,MATCH(ROWS($AF$2:AF157),$AF$2:$AF$1001,0),MATCH(COLUMNS($AM$1006:AM1006),$AM$1006:$BM$1006,0)), HYPERLINK("#",""), HYPERLINK(CONCATENATE("#metadata!", ADDRESS(INDEX($AH$2:$AH$1001,MATCH(ROWS($AF$2:AF157),$AF$2:$AF$1001,0),0), INDEX($AM$1004:$BM$1004,1,MATCH(COLUMNS($AM$1006:AM1006),$AM$1006:$BM$1006,0)))),"Fix")))</f>
        <v xml:space="preserve"> </v>
      </c>
      <c r="C157" s="4" t="str">
        <f ca="1">IF(OR(INDEX($AG$2:$AG$1001,MATCH(ROWS($AF$2:AF157),$AF$2:$AF$1001,0),1)&gt;=100000,INDEX($AM$1005:$BM$1005,1,MATCH(COLUMNS($AM$1006:AN1006),$AM$1006:$BM$1006,0))&gt;=100000), " ",IF(INDEX($AM$2:$BM$1001,MATCH(ROWS($AF$2:AF157),$AF$2:$AF$1001,0),MATCH(COLUMNS($AM$1006:AN1006),$AM$1006:$BM$1006,0)), HYPERLINK("#",""), HYPERLINK(CONCATENATE("#metadata!", ADDRESS(INDEX($AH$2:$AH$1001,MATCH(ROWS($AF$2:AF157),$AF$2:$AF$1001,0),0), INDEX($AM$1004:$BM$1004,1,MATCH(COLUMNS($AM$1006:AN1006),$AM$1006:$BM$1006,0)))),"Fix")))</f>
        <v xml:space="preserve"> </v>
      </c>
      <c r="D157" s="4" t="str">
        <f ca="1">IF(OR(INDEX($AG$2:$AG$1001,MATCH(ROWS($AF$2:AF157),$AF$2:$AF$1001,0),1)&gt;=100000,INDEX($AM$1005:$BM$1005,1,MATCH(COLUMNS($AM$1006:AO1006),$AM$1006:$BM$1006,0))&gt;=100000), " ",IF(INDEX($AM$2:$BM$1001,MATCH(ROWS($AF$2:AF157),$AF$2:$AF$1001,0),MATCH(COLUMNS($AM$1006:AO1006),$AM$1006:$BM$1006,0)), HYPERLINK("#",""), HYPERLINK(CONCATENATE("#metadata!", ADDRESS(INDEX($AH$2:$AH$1001,MATCH(ROWS($AF$2:AF157),$AF$2:$AF$1001,0),0), INDEX($AM$1004:$BM$1004,1,MATCH(COLUMNS($AM$1006:AO1006),$AM$1006:$BM$1006,0)))),"Fix")))</f>
        <v xml:space="preserve"> </v>
      </c>
      <c r="E157" s="4" t="str">
        <f ca="1">IF(OR(INDEX($AG$2:$AG$1001,MATCH(ROWS($AF$2:AF157),$AF$2:$AF$1001,0),1)&gt;=100000,INDEX($AM$1005:$BM$1005,1,MATCH(COLUMNS($AM$1006:AP1006),$AM$1006:$BM$1006,0))&gt;=100000), " ",IF(INDEX($AM$2:$BM$1001,MATCH(ROWS($AF$2:AF157),$AF$2:$AF$1001,0),MATCH(COLUMNS($AM$1006:AP1006),$AM$1006:$BM$1006,0)), HYPERLINK("#",""), HYPERLINK(CONCATENATE("#metadata!", ADDRESS(INDEX($AH$2:$AH$1001,MATCH(ROWS($AF$2:AF157),$AF$2:$AF$1001,0),0), INDEX($AM$1004:$BM$1004,1,MATCH(COLUMNS($AM$1006:AP1006),$AM$1006:$BM$1006,0)))),"Fix")))</f>
        <v xml:space="preserve"> </v>
      </c>
      <c r="F157" s="4" t="str">
        <f ca="1">IF(OR(INDEX($AG$2:$AG$1001,MATCH(ROWS($AF$2:AF157),$AF$2:$AF$1001,0),1)&gt;=100000,INDEX($AM$1005:$BM$1005,1,MATCH(COLUMNS($AM$1006:AQ1006),$AM$1006:$BM$1006,0))&gt;=100000), " ",IF(INDEX($AM$2:$BM$1001,MATCH(ROWS($AF$2:AF157),$AF$2:$AF$1001,0),MATCH(COLUMNS($AM$1006:AQ1006),$AM$1006:$BM$1006,0)), HYPERLINK("#",""), HYPERLINK(CONCATENATE("#metadata!", ADDRESS(INDEX($AH$2:$AH$1001,MATCH(ROWS($AF$2:AF157),$AF$2:$AF$1001,0),0), INDEX($AM$1004:$BM$1004,1,MATCH(COLUMNS($AM$1006:AQ1006),$AM$1006:$BM$1006,0)))),"Fix")))</f>
        <v xml:space="preserve"> </v>
      </c>
      <c r="G157" s="4" t="str">
        <f ca="1">IF(OR(INDEX($AG$2:$AG$1001,MATCH(ROWS($AF$2:AF157),$AF$2:$AF$1001,0),1)&gt;=100000,INDEX($AM$1005:$BM$1005,1,MATCH(COLUMNS($AM$1006:AR1006),$AM$1006:$BM$1006,0))&gt;=100000), " ",IF(INDEX($AM$2:$BM$1001,MATCH(ROWS($AF$2:AF157),$AF$2:$AF$1001,0),MATCH(COLUMNS($AM$1006:AR1006),$AM$1006:$BM$1006,0)), HYPERLINK("#",""), HYPERLINK(CONCATENATE("#metadata!", ADDRESS(INDEX($AH$2:$AH$1001,MATCH(ROWS($AF$2:AF157),$AF$2:$AF$1001,0),0), INDEX($AM$1004:$BM$1004,1,MATCH(COLUMNS($AM$1006:AR1006),$AM$1006:$BM$1006,0)))),"Fix")))</f>
        <v xml:space="preserve"> </v>
      </c>
      <c r="H157" s="4" t="str">
        <f ca="1">IF(OR(INDEX($AG$2:$AG$1001,MATCH(ROWS($AF$2:AF157),$AF$2:$AF$1001,0),1)&gt;=100000,INDEX($AM$1005:$BM$1005,1,MATCH(COLUMNS($AM$1006:AS1006),$AM$1006:$BM$1006,0))&gt;=100000), " ",IF(INDEX($AM$2:$BM$1001,MATCH(ROWS($AF$2:AF157),$AF$2:$AF$1001,0),MATCH(COLUMNS($AM$1006:AS1006),$AM$1006:$BM$1006,0)), HYPERLINK("#",""), HYPERLINK(CONCATENATE("#metadata!", ADDRESS(INDEX($AH$2:$AH$1001,MATCH(ROWS($AF$2:AF157),$AF$2:$AF$1001,0),0), INDEX($AM$1004:$BM$1004,1,MATCH(COLUMNS($AM$1006:AS1006),$AM$1006:$BM$1006,0)))),"Fix")))</f>
        <v xml:space="preserve"> </v>
      </c>
      <c r="I157" s="4" t="str">
        <f ca="1">IF(OR(INDEX($AG$2:$AG$1001,MATCH(ROWS($AF$2:AF157),$AF$2:$AF$1001,0),1)&gt;=100000,INDEX($AM$1005:$BM$1005,1,MATCH(COLUMNS($AM$1006:AT1006),$AM$1006:$BM$1006,0))&gt;=100000), " ",IF(INDEX($AM$2:$BM$1001,MATCH(ROWS($AF$2:AF157),$AF$2:$AF$1001,0),MATCH(COLUMNS($AM$1006:AT1006),$AM$1006:$BM$1006,0)), HYPERLINK("#",""), HYPERLINK(CONCATENATE("#metadata!", ADDRESS(INDEX($AH$2:$AH$1001,MATCH(ROWS($AF$2:AF157),$AF$2:$AF$1001,0),0), INDEX($AM$1004:$BM$1004,1,MATCH(COLUMNS($AM$1006:AT1006),$AM$1006:$BM$1006,0)))),"Fix")))</f>
        <v xml:space="preserve"> </v>
      </c>
      <c r="J157" s="4" t="str">
        <f ca="1">IF(OR(INDEX($AG$2:$AG$1001,MATCH(ROWS($AF$2:AF157),$AF$2:$AF$1001,0),1)&gt;=100000,INDEX($AM$1005:$BM$1005,1,MATCH(COLUMNS($AM$1006:AU1006),$AM$1006:$BM$1006,0))&gt;=100000), " ",IF(INDEX($AM$2:$BM$1001,MATCH(ROWS($AF$2:AF157),$AF$2:$AF$1001,0),MATCH(COLUMNS($AM$1006:AU1006),$AM$1006:$BM$1006,0)), HYPERLINK("#",""), HYPERLINK(CONCATENATE("#metadata!", ADDRESS(INDEX($AH$2:$AH$1001,MATCH(ROWS($AF$2:AF157),$AF$2:$AF$1001,0),0), INDEX($AM$1004:$BM$1004,1,MATCH(COLUMNS($AM$1006:AU1006),$AM$1006:$BM$1006,0)))),"Fix")))</f>
        <v xml:space="preserve"> </v>
      </c>
      <c r="K157" s="4" t="str">
        <f ca="1">IF(OR(INDEX($AG$2:$AG$1001,MATCH(ROWS($AF$2:AF157),$AF$2:$AF$1001,0),1)&gt;=100000,INDEX($AM$1005:$BM$1005,1,MATCH(COLUMNS($AM$1006:AV1006),$AM$1006:$BM$1006,0))&gt;=100000), " ",IF(INDEX($AM$2:$BM$1001,MATCH(ROWS($AF$2:AF157),$AF$2:$AF$1001,0),MATCH(COLUMNS($AM$1006:AV1006),$AM$1006:$BM$1006,0)), HYPERLINK("#",""), HYPERLINK(CONCATENATE("#metadata!", ADDRESS(INDEX($AH$2:$AH$1001,MATCH(ROWS($AF$2:AF157),$AF$2:$AF$1001,0),0), INDEX($AM$1004:$BM$1004,1,MATCH(COLUMNS($AM$1006:AV1006),$AM$1006:$BM$1006,0)))),"Fix")))</f>
        <v xml:space="preserve"> </v>
      </c>
      <c r="L157" s="4" t="str">
        <f ca="1">IF(OR(INDEX($AG$2:$AG$1001,MATCH(ROWS($AF$2:AF157),$AF$2:$AF$1001,0),1)&gt;=100000,INDEX($AM$1005:$BM$1005,1,MATCH(COLUMNS($AM$1006:AW1006),$AM$1006:$BM$1006,0))&gt;=100000), " ",IF(INDEX($AM$2:$BM$1001,MATCH(ROWS($AF$2:AF157),$AF$2:$AF$1001,0),MATCH(COLUMNS($AM$1006:AW1006),$AM$1006:$BM$1006,0)), HYPERLINK("#",""), HYPERLINK(CONCATENATE("#metadata!", ADDRESS(INDEX($AH$2:$AH$1001,MATCH(ROWS($AF$2:AF157),$AF$2:$AF$1001,0),0), INDEX($AM$1004:$BM$1004,1,MATCH(COLUMNS($AM$1006:AW1006),$AM$1006:$BM$1006,0)))),"Fix")))</f>
        <v xml:space="preserve"> </v>
      </c>
      <c r="M157" s="4" t="str">
        <f ca="1">IF(OR(INDEX($AG$2:$AG$1001,MATCH(ROWS($AF$2:AF157),$AF$2:$AF$1001,0),1)&gt;=100000,INDEX($AM$1005:$BM$1005,1,MATCH(COLUMNS($AM$1006:AX1006),$AM$1006:$BM$1006,0))&gt;=100000), " ",IF(INDEX($AM$2:$BM$1001,MATCH(ROWS($AF$2:AF157),$AF$2:$AF$1001,0),MATCH(COLUMNS($AM$1006:AX1006),$AM$1006:$BM$1006,0)), HYPERLINK("#",""), HYPERLINK(CONCATENATE("#metadata!", ADDRESS(INDEX($AH$2:$AH$1001,MATCH(ROWS($AF$2:AF157),$AF$2:$AF$1001,0),0), INDEX($AM$1004:$BM$1004,1,MATCH(COLUMNS($AM$1006:AX1006),$AM$1006:$BM$1006,0)))),"Fix")))</f>
        <v xml:space="preserve"> </v>
      </c>
      <c r="N157" s="4" t="str">
        <f ca="1">IF(OR(INDEX($AG$2:$AG$1001,MATCH(ROWS($AF$2:AF157),$AF$2:$AF$1001,0),1)&gt;=100000,INDEX($AM$1005:$BM$1005,1,MATCH(COLUMNS($AM$1006:AY1006),$AM$1006:$BM$1006,0))&gt;=100000), " ",IF(INDEX($AM$2:$BM$1001,MATCH(ROWS($AF$2:AF157),$AF$2:$AF$1001,0),MATCH(COLUMNS($AM$1006:AY1006),$AM$1006:$BM$1006,0)), HYPERLINK("#",""), HYPERLINK(CONCATENATE("#metadata!", ADDRESS(INDEX($AH$2:$AH$1001,MATCH(ROWS($AF$2:AF157),$AF$2:$AF$1001,0),0), INDEX($AM$1004:$BM$1004,1,MATCH(COLUMNS($AM$1006:AY1006),$AM$1006:$BM$1006,0)))),"Fix")))</f>
        <v xml:space="preserve"> </v>
      </c>
      <c r="O157" s="4" t="str">
        <f ca="1">IF(OR(INDEX($AG$2:$AG$1001,MATCH(ROWS($AF$2:AF157),$AF$2:$AF$1001,0),1)&gt;=100000,INDEX($AM$1005:$BM$1005,1,MATCH(COLUMNS($AM$1006:AZ1006),$AM$1006:$BM$1006,0))&gt;=100000), " ",IF(INDEX($AM$2:$BM$1001,MATCH(ROWS($AF$2:AF157),$AF$2:$AF$1001,0),MATCH(COLUMNS($AM$1006:AZ1006),$AM$1006:$BM$1006,0)), HYPERLINK("#",""), HYPERLINK(CONCATENATE("#metadata!", ADDRESS(INDEX($AH$2:$AH$1001,MATCH(ROWS($AF$2:AF157),$AF$2:$AF$1001,0),0), INDEX($AM$1004:$BM$1004,1,MATCH(COLUMNS($AM$1006:AZ1006),$AM$1006:$BM$1006,0)))),"Fix")))</f>
        <v xml:space="preserve"> </v>
      </c>
      <c r="P157" s="4" t="str">
        <f ca="1">IF(OR(INDEX($AG$2:$AG$1001,MATCH(ROWS($AF$2:AF157),$AF$2:$AF$1001,0),1)&gt;=100000,INDEX($AM$1005:$BM$1005,1,MATCH(COLUMNS($AM$1006:BA1006),$AM$1006:$BM$1006,0))&gt;=100000), " ",IF(INDEX($AM$2:$BM$1001,MATCH(ROWS($AF$2:AF157),$AF$2:$AF$1001,0),MATCH(COLUMNS($AM$1006:BA1006),$AM$1006:$BM$1006,0)), HYPERLINK("#",""), HYPERLINK(CONCATENATE("#metadata!", ADDRESS(INDEX($AH$2:$AH$1001,MATCH(ROWS($AF$2:AF157),$AF$2:$AF$1001,0),0), INDEX($AM$1004:$BM$1004,1,MATCH(COLUMNS($AM$1006:BA1006),$AM$1006:$BM$1006,0)))),"Fix")))</f>
        <v xml:space="preserve"> </v>
      </c>
      <c r="Q157" s="4" t="str">
        <f ca="1">IF(OR(INDEX($AG$2:$AG$1001,MATCH(ROWS($AF$2:AF157),$AF$2:$AF$1001,0),1)&gt;=100000,INDEX($AM$1005:$BM$1005,1,MATCH(COLUMNS($AM$1006:BB1006),$AM$1006:$BM$1006,0))&gt;=100000), " ",IF(INDEX($AM$2:$BM$1001,MATCH(ROWS($AF$2:AF157),$AF$2:$AF$1001,0),MATCH(COLUMNS($AM$1006:BB1006),$AM$1006:$BM$1006,0)), HYPERLINK("#",""), HYPERLINK(CONCATENATE("#metadata!", ADDRESS(INDEX($AH$2:$AH$1001,MATCH(ROWS($AF$2:AF157),$AF$2:$AF$1001,0),0), INDEX($AM$1004:$BM$1004,1,MATCH(COLUMNS($AM$1006:BB1006),$AM$1006:$BM$1006,0)))),"Fix")))</f>
        <v xml:space="preserve"> </v>
      </c>
      <c r="R157" s="4" t="str">
        <f ca="1">IF(OR(INDEX($AG$2:$AG$1001,MATCH(ROWS($AF$2:AF157),$AF$2:$AF$1001,0),1)&gt;=100000,INDEX($AM$1005:$BM$1005,1,MATCH(COLUMNS($AM$1006:BC1006),$AM$1006:$BM$1006,0))&gt;=100000), " ",IF(INDEX($AM$2:$BM$1001,MATCH(ROWS($AF$2:AF157),$AF$2:$AF$1001,0),MATCH(COLUMNS($AM$1006:BC1006),$AM$1006:$BM$1006,0)), HYPERLINK("#",""), HYPERLINK(CONCATENATE("#metadata!", ADDRESS(INDEX($AH$2:$AH$1001,MATCH(ROWS($AF$2:AF157),$AF$2:$AF$1001,0),0), INDEX($AM$1004:$BM$1004,1,MATCH(COLUMNS($AM$1006:BC1006),$AM$1006:$BM$1006,0)))),"Fix")))</f>
        <v xml:space="preserve"> </v>
      </c>
      <c r="S157" s="4" t="str">
        <f ca="1">IF(OR(INDEX($AG$2:$AG$1001,MATCH(ROWS($AF$2:AF157),$AF$2:$AF$1001,0),1)&gt;=100000,INDEX($AM$1005:$BM$1005,1,MATCH(COLUMNS($AM$1006:BD1006),$AM$1006:$BM$1006,0))&gt;=100000), " ",IF(INDEX($AM$2:$BM$1001,MATCH(ROWS($AF$2:AF157),$AF$2:$AF$1001,0),MATCH(COLUMNS($AM$1006:BD1006),$AM$1006:$BM$1006,0)), HYPERLINK("#",""), HYPERLINK(CONCATENATE("#metadata!", ADDRESS(INDEX($AH$2:$AH$1001,MATCH(ROWS($AF$2:AF157),$AF$2:$AF$1001,0),0), INDEX($AM$1004:$BM$1004,1,MATCH(COLUMNS($AM$1006:BD1006),$AM$1006:$BM$1006,0)))),"Fix")))</f>
        <v xml:space="preserve"> </v>
      </c>
      <c r="T157" s="4" t="str">
        <f ca="1">IF(OR(INDEX($AG$2:$AG$1001,MATCH(ROWS($AF$2:AF157),$AF$2:$AF$1001,0),1)&gt;=100000,INDEX($AM$1005:$BM$1005,1,MATCH(COLUMNS($AM$1006:BE1006),$AM$1006:$BM$1006,0))&gt;=100000), " ",IF(INDEX($AM$2:$BM$1001,MATCH(ROWS($AF$2:AF157),$AF$2:$AF$1001,0),MATCH(COLUMNS($AM$1006:BE1006),$AM$1006:$BM$1006,0)), HYPERLINK("#",""), HYPERLINK(CONCATENATE("#metadata!", ADDRESS(INDEX($AH$2:$AH$1001,MATCH(ROWS($AF$2:AF157),$AF$2:$AF$1001,0),0), INDEX($AM$1004:$BM$1004,1,MATCH(COLUMNS($AM$1006:BE1006),$AM$1006:$BM$1006,0)))),"Fix")))</f>
        <v xml:space="preserve"> </v>
      </c>
      <c r="U157" s="4" t="str">
        <f ca="1">IF(OR(INDEX($AG$2:$AG$1001,MATCH(ROWS($AF$2:AF157),$AF$2:$AF$1001,0),1)&gt;=100000,INDEX($AM$1005:$BM$1005,1,MATCH(COLUMNS($AM$1006:BF1006),$AM$1006:$BM$1006,0))&gt;=100000), " ",IF(INDEX($AM$2:$BM$1001,MATCH(ROWS($AF$2:AF157),$AF$2:$AF$1001,0),MATCH(COLUMNS($AM$1006:BF1006),$AM$1006:$BM$1006,0)), HYPERLINK("#",""), HYPERLINK(CONCATENATE("#metadata!", ADDRESS(INDEX($AH$2:$AH$1001,MATCH(ROWS($AF$2:AF157),$AF$2:$AF$1001,0),0), INDEX($AM$1004:$BM$1004,1,MATCH(COLUMNS($AM$1006:BF1006),$AM$1006:$BM$1006,0)))),"Fix")))</f>
        <v xml:space="preserve"> </v>
      </c>
      <c r="V157" s="4" t="str">
        <f ca="1">IF(OR(INDEX($AG$2:$AG$1001,MATCH(ROWS($AF$2:AF157),$AF$2:$AF$1001,0),1)&gt;=100000,INDEX($AM$1005:$BM$1005,1,MATCH(COLUMNS($AM$1006:BG1006),$AM$1006:$BM$1006,0))&gt;=100000), " ",IF(INDEX($AM$2:$BM$1001,MATCH(ROWS($AF$2:AF157),$AF$2:$AF$1001,0),MATCH(COLUMNS($AM$1006:BG1006),$AM$1006:$BM$1006,0)), HYPERLINK("#",""), HYPERLINK(CONCATENATE("#metadata!", ADDRESS(INDEX($AH$2:$AH$1001,MATCH(ROWS($AF$2:AF157),$AF$2:$AF$1001,0),0), INDEX($AM$1004:$BM$1004,1,MATCH(COLUMNS($AM$1006:BG1006),$AM$1006:$BM$1006,0)))),"Fix")))</f>
        <v xml:space="preserve"> </v>
      </c>
      <c r="W157" s="4" t="str">
        <f ca="1">IF(OR(INDEX($AG$2:$AG$1001,MATCH(ROWS($AF$2:AF157),$AF$2:$AF$1001,0),1)&gt;=100000,INDEX($AM$1005:$BM$1005,1,MATCH(COLUMNS($AM$1006:BH1006),$AM$1006:$BM$1006,0))&gt;=100000), " ",IF(INDEX($AM$2:$BM$1001,MATCH(ROWS($AF$2:AF157),$AF$2:$AF$1001,0),MATCH(COLUMNS($AM$1006:BH1006),$AM$1006:$BM$1006,0)), HYPERLINK("#",""), HYPERLINK(CONCATENATE("#metadata!", ADDRESS(INDEX($AH$2:$AH$1001,MATCH(ROWS($AF$2:AF157),$AF$2:$AF$1001,0),0), INDEX($AM$1004:$BM$1004,1,MATCH(COLUMNS($AM$1006:BH1006),$AM$1006:$BM$1006,0)))),"Fix")))</f>
        <v xml:space="preserve"> </v>
      </c>
      <c r="X157" s="4" t="str">
        <f ca="1">IF(OR(INDEX($AG$2:$AG$1001,MATCH(ROWS($AF$2:AF157),$AF$2:$AF$1001,0),1)&gt;=100000,INDEX($AM$1005:$BM$1005,1,MATCH(COLUMNS($AM$1006:BI1006),$AM$1006:$BM$1006,0))&gt;=100000), " ",IF(INDEX($AM$2:$BM$1001,MATCH(ROWS($AF$2:AF157),$AF$2:$AF$1001,0),MATCH(COLUMNS($AM$1006:BI1006),$AM$1006:$BM$1006,0)), HYPERLINK("#",""), HYPERLINK(CONCATENATE("#metadata!", ADDRESS(INDEX($AH$2:$AH$1001,MATCH(ROWS($AF$2:AF157),$AF$2:$AF$1001,0),0), INDEX($AM$1004:$BM$1004,1,MATCH(COLUMNS($AM$1006:BI1006),$AM$1006:$BM$1006,0)))),"Fix")))</f>
        <v xml:space="preserve"> </v>
      </c>
      <c r="Y157" s="4" t="str">
        <f ca="1">IF(OR(INDEX($AG$2:$AG$1001,MATCH(ROWS($AF$2:AF157),$AF$2:$AF$1001,0),1)&gt;=100000,INDEX($AM$1005:$BM$1005,1,MATCH(COLUMNS($AM$1006:BJ1006),$AM$1006:$BM$1006,0))&gt;=100000), " ",IF(INDEX($AM$2:$BM$1001,MATCH(ROWS($AF$2:AF157),$AF$2:$AF$1001,0),MATCH(COLUMNS($AM$1006:BJ1006),$AM$1006:$BM$1006,0)), HYPERLINK("#",""), HYPERLINK(CONCATENATE("#metadata!", ADDRESS(INDEX($AH$2:$AH$1001,MATCH(ROWS($AF$2:AF157),$AF$2:$AF$1001,0),0), INDEX($AM$1004:$BM$1004,1,MATCH(COLUMNS($AM$1006:BJ1006),$AM$1006:$BM$1006,0)))),"Fix")))</f>
        <v xml:space="preserve"> </v>
      </c>
      <c r="Z157" s="4" t="str">
        <f ca="1">IF(OR(INDEX($AG$2:$AG$1001,MATCH(ROWS($AF$2:AF157),$AF$2:$AF$1001,0),1)&gt;=100000,INDEX($AM$1005:$BM$1005,1,MATCH(COLUMNS($AM$1006:BK1006),$AM$1006:$BM$1006,0))&gt;=100000), " ",IF(INDEX($AM$2:$BM$1001,MATCH(ROWS($AF$2:AF157),$AF$2:$AF$1001,0),MATCH(COLUMNS($AM$1006:BK1006),$AM$1006:$BM$1006,0)), HYPERLINK("#",""), HYPERLINK(CONCATENATE("#metadata!", ADDRESS(INDEX($AH$2:$AH$1001,MATCH(ROWS($AF$2:AF157),$AF$2:$AF$1001,0),0), INDEX($AM$1004:$BM$1004,1,MATCH(COLUMNS($AM$1006:BK1006),$AM$1006:$BM$1006,0)))),"Fix")))</f>
        <v xml:space="preserve"> </v>
      </c>
      <c r="AA157" s="4" t="str">
        <f ca="1">IF(OR(INDEX($AG$2:$AG$1001,MATCH(ROWS($AF$2:AF157),$AF$2:$AF$1001,0),1)&gt;=100000,INDEX($AM$1005:$BM$1005,1,MATCH(COLUMNS($AM$1006:BL1006),$AM$1006:$BM$1006,0))&gt;=100000), " ",IF(INDEX($AM$2:$BM$1001,MATCH(ROWS($AF$2:AF157),$AF$2:$AF$1001,0),MATCH(COLUMNS($AM$1006:BL1006),$AM$1006:$BM$1006,0)), HYPERLINK("#",""), HYPERLINK(CONCATENATE("#metadata!", ADDRESS(INDEX($AH$2:$AH$1001,MATCH(ROWS($AF$2:AF157),$AF$2:$AF$1001,0),0), INDEX($AM$1004:$BM$1004,1,MATCH(COLUMNS($AM$1006:BL1006),$AM$1006:$BM$1006,0)))),"Fix")))</f>
        <v xml:space="preserve"> </v>
      </c>
      <c r="AB157" s="4" t="str">
        <f ca="1">IF(OR(INDEX($AG$2:$AG$1001,MATCH(ROWS($AF$2:AF157),$AF$2:$AF$1001,0),1)&gt;=100000,INDEX($AM$1005:$BM$1005,1,MATCH(COLUMNS($AM$1006:BM1006),$AM$1006:$BM$1006,0))&gt;=100000), " ",IF(INDEX($AM$2:$BM$1001,MATCH(ROWS($AF$2:AF157),$AF$2:$AF$1001,0),MATCH(COLUMNS($AM$1006:BM1006),$AM$1006:$BM$1006,0)), HYPERLINK("#",""), HYPERLINK(CONCATENATE("#metadata!", ADDRESS(INDEX($AH$2:$AH$1001,MATCH(ROWS($AF$2:AF157),$AF$2:$AF$1001,0),0), INDEX($AM$1004:$BM$1004,1,MATCH(COLUMNS($AM$1006:BM1006),$AM$1006:$BM$1006,0)))),"Fix")))</f>
        <v xml:space="preserve"> </v>
      </c>
      <c r="AF157">
        <v>156</v>
      </c>
      <c r="AG157">
        <v>100157</v>
      </c>
      <c r="AH157">
        <v>157</v>
      </c>
      <c r="AI157" t="b">
        <f t="shared" si="2"/>
        <v>1</v>
      </c>
      <c r="AJ157" t="b">
        <f>COUNTBLANK(metadata!B157:AB157)=COLUMNS(metadata!B157:AB157)</f>
        <v>1</v>
      </c>
      <c r="AK157" t="str">
        <v/>
      </c>
      <c r="AM157" t="b">
        <f ca="1">AND(IF(metadata!B157="",FALSE,TRUE),COUNTIF(metadata!B:B, metadata!B157) = 1,NOT(ISERROR(SUMPRODUCT(SEARCH(MID(metadata!B157,ROW(INDIRECT("1:"&amp;LEN(metadata!B157))), 1),"0123456789abcdefghijklmnopqrstuvwxyzABCDEFGHIJKLMNOPQRSTUVWXYZ.")))))</f>
        <v>0</v>
      </c>
      <c r="AN157" t="b">
        <f ca="1">OR(AND(IF(metadata!C157="",FALSE,TRUE),OR(EXACT(metadata!C157,"missing: not collected"),EXACT(metadata!C157,"missing: not provided"),EXACT(metadata!C157,"missing: restricted access"))),AND(IF(metadata!C157="",FALSE,TRUE),AND(AND(IFERROR(INT(LEFT(metadata!C157,4))&gt;1900,FALSE),IFERROR(INT(LEFT(metadata!C157,4))&lt;=YEAR(NOW()),FALSE)), OR(MID(metadata!C157,5,1)="", AND(AND(MID(metadata!C157,5,1)="-",IFERROR(INT(MID(metadata!C157,6,1))&gt;=0,FALSE),IFERROR(INT(MID(metadata!C157,6,1))&lt;=1,FALSE),NOT(MID(metadata!C157,7,1)=""),IFERROR(INT(MID(metadata!C157,6,2))&gt;=1,FALSE),IFERROR(INT(MID(metadata!C157,6,2))&lt;=12,FALSE)), OR(MID(metadata!C157,8,1)="", AND(AND(MID(metadata!C157,8,1)="-",IFERROR(INT(MID(metadata!C157,9,1))&gt;=0,FALSE),IFERROR(INT(MID(metadata!C157,9,1))&lt;=3,FALSE),NOT(MID(metadata!C157,10,1)=""),IFERROR(INT(MID(metadata!C157,9,2))&gt;=1,FALSE),IFERROR(INT(MID(metadata!C157,9,2))&lt;=31,FALSE)), OR(MID(metadata!C157,11,1)="", AND(AND(MID(metadata!C157,11,1)=" ",IFERROR(INT(MID(metadata!C157,12,1))&gt;=0,FALSE),IFERROR(INT(MID(metadata!C157,12,1))&lt;=2,FALSE),NOT(MID(metadata!C157,13,1)=""),IFERROR(INT(MID(metadata!C157,12,2))&gt;=0,FALSE),IFERROR(INT(MID(metadata!C157,12,2))&lt;=23,FALSE)), OR(MID(metadata!C157,14,1)="", AND(AND(MID(metadata!C157,14,1)=":",IFERROR(INT(MID(metadata!C157,15,1))&gt;=0,FALSE),IFERROR(INT(MID(metadata!C157,15,1))&lt;=5,FALSE),NOT(MID(metadata!C157,16,1)=""),IFERROR(INT(MID(metadata!C157,15,2))&gt;=0,FALSE),IFERROR(INT(MID(metadata!C157,15,2))&lt;=59,FALSE)), OR(MID(metadata!C157,17,1)="", AND(AND(MID(metadata!C157,17,1)=":",IFERROR(INT(MID(metadata!C157,18,1))&gt;=0,FALSE),IFERROR(INT(MID(metadata!C157,18,1))&lt;=5,FALSE),NOT(MID(metadata!C157,19,1)=""),IFERROR(INT(MID(metadata!C157,18,2))&gt;=0,FALSE),IFERROR(INT(MID(metadata!C157,18,2))&lt;=59,FALSE)), LEN(metadata!C157)&lt;=19)))))))))))))</f>
        <v>0</v>
      </c>
      <c r="AO157" t="b">
        <f>AND(IF(metadata!D157="",FALSE,TRUE),EXACT(metadata!D157,"Not applicable"))</f>
        <v>0</v>
      </c>
      <c r="AP157" t="b">
        <f>IF(metadata!E157="",FALSE,TRUE)</f>
        <v>0</v>
      </c>
      <c r="AQ157" t="b">
        <f>OR(AND(IF(metadata!F157="",FALSE,TRUE),OR(EXACT(metadata!F157,"missing: not collected"),EXACT(metadata!F157,"missing: not provided"))),AND(IF(metadata!F157="",FALSE,TRUE),OR(EXACT(metadata!F157,"TRUE"),EXACT(metadata!F157,"FALSE"))))</f>
        <v>0</v>
      </c>
      <c r="AR157" t="b">
        <f>OR(AND(IF(metadata!G157="",FALSE,TRUE),OR(EXACT(metadata!G157,"missing: not collected"),EXACT(metadata!G157,"missing: not provided"),EXACT(metadata!G157,"missing: restricted access"))),AND(IF(metadata!G157="",FALSE,ISNUMBER(VALUE(metadata!G157))),metadata!G157&gt;=-413))</f>
        <v>0</v>
      </c>
      <c r="AS157" t="b">
        <f>AND(IF(metadata!H157="",FALSE,TRUE),EXACT(metadata!H157,"meters"))</f>
        <v>0</v>
      </c>
      <c r="AT157" t="b">
        <f>AND(IF(metadata!I157="",FALSE,TRUE),OR(EXACT(metadata!I157,"Host-associated"),EXACT(metadata!I157,"Free-living")))</f>
        <v>0</v>
      </c>
      <c r="AU157" t="b">
        <f>AND(IF(metadata!J157="",FALSE,TRUE),OR(EXACT(metadata!J157,"Animal"),EXACT(metadata!J157,"Fungus"),EXACT(metadata!J157,"Plant"),EXACT(metadata!J157,"Saline"),EXACT(metadata!J157,"Non-saline")))</f>
        <v>0</v>
      </c>
      <c r="AV157" t="b">
        <f>AND(IF(metadata!K157="",FALSE,TRUE),OR(EXACT(metadata!K157,"Plant secretion"),EXACT(metadata!K157,"Plant rhizosphere"),EXACT(metadata!K157,"Plant surface"),EXACT(metadata!K157,"Plant corpus"),EXACT(metadata!K157,"Fungus surface"),EXACT(metadata!K157,"Fungus corpus"),EXACT(metadata!K157,"Animal surface"),EXACT(metadata!K157,"Animal proximal gut"),EXACT(metadata!K157,"Animal corpus"),EXACT(metadata!K157,"Animal distal gut"),EXACT(metadata!K157,"Animal secretion"),EXACT(metadata!K157,"Sub-surface (non-saline)"),EXACT(metadata!K157,"Surface (non-saline)"),EXACT(metadata!K157,"Water (non-saline)"),EXACT(metadata!K157,"Soil (non-saline)"),EXACT(metadata!K157,"Aerosol (non-saline)"),EXACT(metadata!K157,"Sediment (non-saline)"),EXACT(metadata!K157,"Surface (saline)"),EXACT(metadata!K157,"Water (saline)"),EXACT(metadata!K157,"Hypersaline (saline)"),EXACT(metadata!K157,"Aerosol (saline)"),EXACT(metadata!K157,"Sediment (saline)")))</f>
        <v>0</v>
      </c>
      <c r="AW157" t="b">
        <f>IF(metadata!L157="",FALSE,TRUE)</f>
        <v>0</v>
      </c>
      <c r="AX157" t="b">
        <f>IF(metadata!M157="",FALSE,TRUE)</f>
        <v>0</v>
      </c>
      <c r="AY157" t="b">
        <f>IF(metadata!N157="",FALSE,TRUE)</f>
        <v>0</v>
      </c>
      <c r="AZ157" t="b">
        <f>OR(AND(IF(metadata!O157="",FALSE,TRUE),OR(EXACT(metadata!O157,"missing: not collected"),EXACT(metadata!O157,"missing: not provided"),EXACT(metadata!O157,"missing: restricted access"))),AND(IF(metadata!O157="",FALSE,TRUE),OR(EXACT(metadata!O157,"air"),EXACT(metadata!O157,"built environment"),EXACT(metadata!O157,"host-associated"),EXACT(metadata!O157,"human-associated"),EXACT(metadata!O157,"human-skin"),EXACT(metadata!O157,"human-oral"),EXACT(metadata!O157,"human-gut"),EXACT(metadata!O157,"human-vaginal"),EXACT(metadata!O157,"microbial mat/biofilm"),EXACT(metadata!O157,"misc environment"),EXACT(metadata!O157,"plant-associated"),EXACT(metadata!O157,"sediment"),EXACT(metadata!O157,"soil"),EXACT(metadata!O157,"wastewater/sludge"),EXACT(metadata!O157,"water"))))</f>
        <v>0</v>
      </c>
      <c r="BA157" t="b">
        <f>IF(metadata!P157="",FALSE,TRUE)</f>
        <v>0</v>
      </c>
      <c r="BB157" t="b">
        <f>IF(metadata!Q157="",FALSE,TRUE)</f>
        <v>0</v>
      </c>
      <c r="BC157" t="b">
        <f>OR(AND(IF(metadata!R157="",FALSE,TRUE),OR(EXACT(metadata!R157,"missing: not collected"),EXACT(metadata!R157,"missing: not provided"),EXACT(metadata!R157,"missing: restricted access"))),AND(IF(metadata!R157="",FALSE,ISNUMBER(VALUE(metadata!R157))),metadata!R157&gt;=-90,metadata!R157&lt;=90))</f>
        <v>0</v>
      </c>
      <c r="BD157" t="b">
        <f>AND(IF(metadata!S157="",FALSE,TRUE),EXACT(metadata!S157,"Decimal degrees"))</f>
        <v>0</v>
      </c>
      <c r="BE157" t="b">
        <f>OR(AND(IF(metadata!T157="",FALSE,TRUE),OR(EXACT(metadata!T157,"missing: not collected"),EXACT(metadata!T157,"missing: not provided"),EXACT(metadata!T157,"missing: restricted access"))),AND(IF(metadata!T157="",FALSE,ISNUMBER(VALUE(metadata!T157))),metadata!T157&gt;=-180,metadata!T157&lt;=180))</f>
        <v>0</v>
      </c>
      <c r="BF157" t="b">
        <f>AND(IF(metadata!U157="",FALSE,TRUE),EXACT(metadata!U157,"Decimal degrees"))</f>
        <v>0</v>
      </c>
      <c r="BG157" t="b">
        <f>IF(metadata!V157="",FALSE,TRUE)</f>
        <v>0</v>
      </c>
      <c r="BH157" t="b">
        <f>OR(AND(IF(metadata!W157="",FALSE,TRUE),OR(EXACT(metadata!W157,"missing: not collected"),EXACT(metadata!W157,"missing: not provided"),EXACT(metadata!W157,"missing: restricted access"))),AND(IF(metadata!W157="",FALSE,TRUE),OR(EXACT(metadata!W157,"TRUE"),EXACT(metadata!W157,"FALSE"))))</f>
        <v>0</v>
      </c>
      <c r="BI157" t="b">
        <f>AND(IF(metadata!X157="",FALSE,TRUE),EXACT(metadata!X157,"other"))</f>
        <v>0</v>
      </c>
      <c r="BJ157" t="b">
        <f>IF(metadata!Y157="",FALSE,TRUE)</f>
        <v>0</v>
      </c>
      <c r="BK157" t="b">
        <f>OR(AND(IF(metadata!Z157="",FALSE,TRUE),OR(EXACT(metadata!Z157,"missing: not collected"),EXACT(metadata!Z157,"missing: not provided"))),AND(IF(metadata!Z157="",FALSE,IF(ISERROR(INT(metadata!Z157)),FALSE,INT(metadata!Z157)=metadata!Z157)),metadata!Z157&gt;0))</f>
        <v>0</v>
      </c>
      <c r="BL157" t="b">
        <f>AND(IF(metadata!AA157="",FALSE,TRUE),EXACT(metadata!AA157,"Not applicable"))</f>
        <v>0</v>
      </c>
      <c r="BM157" t="b">
        <f>IF(metadata!AB157="",FALSE,TRUE)</f>
        <v>0</v>
      </c>
    </row>
    <row r="158" spans="1:65" x14ac:dyDescent="0.2">
      <c r="A158" s="5" t="str">
        <f ca="1">IF(B158=" "," ",HYPERLINK(CONCATENATE("#metadata!",ADDRESS(INDEX($AH$2:$AH$1001,MATCH(ROWS($AF$2:AF158),$AF$2:$AF$1001,0),0),1)),INDEX($AK$2:$AK$1001,MATCH(ROWS($AF$2:AF158),$AF$2:$AF$1001,0),0)))</f>
        <v xml:space="preserve"> </v>
      </c>
      <c r="B158" s="4" t="str">
        <f ca="1">IF(OR(INDEX($AG$2:$AG$1001,MATCH(ROWS($AF$2:AF158),$AF$2:$AF$1001,0),1)&gt;=100000,INDEX($AM$1005:$BM$1005,1,MATCH(COLUMNS($AM$1006:AM1006),$AM$1006:$BM$1006,0))&gt;=100000), " ",IF(INDEX($AM$2:$BM$1001,MATCH(ROWS($AF$2:AF158),$AF$2:$AF$1001,0),MATCH(COLUMNS($AM$1006:AM1006),$AM$1006:$BM$1006,0)), HYPERLINK("#",""), HYPERLINK(CONCATENATE("#metadata!", ADDRESS(INDEX($AH$2:$AH$1001,MATCH(ROWS($AF$2:AF158),$AF$2:$AF$1001,0),0), INDEX($AM$1004:$BM$1004,1,MATCH(COLUMNS($AM$1006:AM1006),$AM$1006:$BM$1006,0)))),"Fix")))</f>
        <v xml:space="preserve"> </v>
      </c>
      <c r="C158" s="4" t="str">
        <f ca="1">IF(OR(INDEX($AG$2:$AG$1001,MATCH(ROWS($AF$2:AF158),$AF$2:$AF$1001,0),1)&gt;=100000,INDEX($AM$1005:$BM$1005,1,MATCH(COLUMNS($AM$1006:AN1006),$AM$1006:$BM$1006,0))&gt;=100000), " ",IF(INDEX($AM$2:$BM$1001,MATCH(ROWS($AF$2:AF158),$AF$2:$AF$1001,0),MATCH(COLUMNS($AM$1006:AN1006),$AM$1006:$BM$1006,0)), HYPERLINK("#",""), HYPERLINK(CONCATENATE("#metadata!", ADDRESS(INDEX($AH$2:$AH$1001,MATCH(ROWS($AF$2:AF158),$AF$2:$AF$1001,0),0), INDEX($AM$1004:$BM$1004,1,MATCH(COLUMNS($AM$1006:AN1006),$AM$1006:$BM$1006,0)))),"Fix")))</f>
        <v xml:space="preserve"> </v>
      </c>
      <c r="D158" s="4" t="str">
        <f ca="1">IF(OR(INDEX($AG$2:$AG$1001,MATCH(ROWS($AF$2:AF158),$AF$2:$AF$1001,0),1)&gt;=100000,INDEX($AM$1005:$BM$1005,1,MATCH(COLUMNS($AM$1006:AO1006),$AM$1006:$BM$1006,0))&gt;=100000), " ",IF(INDEX($AM$2:$BM$1001,MATCH(ROWS($AF$2:AF158),$AF$2:$AF$1001,0),MATCH(COLUMNS($AM$1006:AO1006),$AM$1006:$BM$1006,0)), HYPERLINK("#",""), HYPERLINK(CONCATENATE("#metadata!", ADDRESS(INDEX($AH$2:$AH$1001,MATCH(ROWS($AF$2:AF158),$AF$2:$AF$1001,0),0), INDEX($AM$1004:$BM$1004,1,MATCH(COLUMNS($AM$1006:AO1006),$AM$1006:$BM$1006,0)))),"Fix")))</f>
        <v xml:space="preserve"> </v>
      </c>
      <c r="E158" s="4" t="str">
        <f ca="1">IF(OR(INDEX($AG$2:$AG$1001,MATCH(ROWS($AF$2:AF158),$AF$2:$AF$1001,0),1)&gt;=100000,INDEX($AM$1005:$BM$1005,1,MATCH(COLUMNS($AM$1006:AP1006),$AM$1006:$BM$1006,0))&gt;=100000), " ",IF(INDEX($AM$2:$BM$1001,MATCH(ROWS($AF$2:AF158),$AF$2:$AF$1001,0),MATCH(COLUMNS($AM$1006:AP1006),$AM$1006:$BM$1006,0)), HYPERLINK("#",""), HYPERLINK(CONCATENATE("#metadata!", ADDRESS(INDEX($AH$2:$AH$1001,MATCH(ROWS($AF$2:AF158),$AF$2:$AF$1001,0),0), INDEX($AM$1004:$BM$1004,1,MATCH(COLUMNS($AM$1006:AP1006),$AM$1006:$BM$1006,0)))),"Fix")))</f>
        <v xml:space="preserve"> </v>
      </c>
      <c r="F158" s="4" t="str">
        <f ca="1">IF(OR(INDEX($AG$2:$AG$1001,MATCH(ROWS($AF$2:AF158),$AF$2:$AF$1001,0),1)&gt;=100000,INDEX($AM$1005:$BM$1005,1,MATCH(COLUMNS($AM$1006:AQ1006),$AM$1006:$BM$1006,0))&gt;=100000), " ",IF(INDEX($AM$2:$BM$1001,MATCH(ROWS($AF$2:AF158),$AF$2:$AF$1001,0),MATCH(COLUMNS($AM$1006:AQ1006),$AM$1006:$BM$1006,0)), HYPERLINK("#",""), HYPERLINK(CONCATENATE("#metadata!", ADDRESS(INDEX($AH$2:$AH$1001,MATCH(ROWS($AF$2:AF158),$AF$2:$AF$1001,0),0), INDEX($AM$1004:$BM$1004,1,MATCH(COLUMNS($AM$1006:AQ1006),$AM$1006:$BM$1006,0)))),"Fix")))</f>
        <v xml:space="preserve"> </v>
      </c>
      <c r="G158" s="4" t="str">
        <f ca="1">IF(OR(INDEX($AG$2:$AG$1001,MATCH(ROWS($AF$2:AF158),$AF$2:$AF$1001,0),1)&gt;=100000,INDEX($AM$1005:$BM$1005,1,MATCH(COLUMNS($AM$1006:AR1006),$AM$1006:$BM$1006,0))&gt;=100000), " ",IF(INDEX($AM$2:$BM$1001,MATCH(ROWS($AF$2:AF158),$AF$2:$AF$1001,0),MATCH(COLUMNS($AM$1006:AR1006),$AM$1006:$BM$1006,0)), HYPERLINK("#",""), HYPERLINK(CONCATENATE("#metadata!", ADDRESS(INDEX($AH$2:$AH$1001,MATCH(ROWS($AF$2:AF158),$AF$2:$AF$1001,0),0), INDEX($AM$1004:$BM$1004,1,MATCH(COLUMNS($AM$1006:AR1006),$AM$1006:$BM$1006,0)))),"Fix")))</f>
        <v xml:space="preserve"> </v>
      </c>
      <c r="H158" s="4" t="str">
        <f ca="1">IF(OR(INDEX($AG$2:$AG$1001,MATCH(ROWS($AF$2:AF158),$AF$2:$AF$1001,0),1)&gt;=100000,INDEX($AM$1005:$BM$1005,1,MATCH(COLUMNS($AM$1006:AS1006),$AM$1006:$BM$1006,0))&gt;=100000), " ",IF(INDEX($AM$2:$BM$1001,MATCH(ROWS($AF$2:AF158),$AF$2:$AF$1001,0),MATCH(COLUMNS($AM$1006:AS1006),$AM$1006:$BM$1006,0)), HYPERLINK("#",""), HYPERLINK(CONCATENATE("#metadata!", ADDRESS(INDEX($AH$2:$AH$1001,MATCH(ROWS($AF$2:AF158),$AF$2:$AF$1001,0),0), INDEX($AM$1004:$BM$1004,1,MATCH(COLUMNS($AM$1006:AS1006),$AM$1006:$BM$1006,0)))),"Fix")))</f>
        <v xml:space="preserve"> </v>
      </c>
      <c r="I158" s="4" t="str">
        <f ca="1">IF(OR(INDEX($AG$2:$AG$1001,MATCH(ROWS($AF$2:AF158),$AF$2:$AF$1001,0),1)&gt;=100000,INDEX($AM$1005:$BM$1005,1,MATCH(COLUMNS($AM$1006:AT1006),$AM$1006:$BM$1006,0))&gt;=100000), " ",IF(INDEX($AM$2:$BM$1001,MATCH(ROWS($AF$2:AF158),$AF$2:$AF$1001,0),MATCH(COLUMNS($AM$1006:AT1006),$AM$1006:$BM$1006,0)), HYPERLINK("#",""), HYPERLINK(CONCATENATE("#metadata!", ADDRESS(INDEX($AH$2:$AH$1001,MATCH(ROWS($AF$2:AF158),$AF$2:$AF$1001,0),0), INDEX($AM$1004:$BM$1004,1,MATCH(COLUMNS($AM$1006:AT1006),$AM$1006:$BM$1006,0)))),"Fix")))</f>
        <v xml:space="preserve"> </v>
      </c>
      <c r="J158" s="4" t="str">
        <f ca="1">IF(OR(INDEX($AG$2:$AG$1001,MATCH(ROWS($AF$2:AF158),$AF$2:$AF$1001,0),1)&gt;=100000,INDEX($AM$1005:$BM$1005,1,MATCH(COLUMNS($AM$1006:AU1006),$AM$1006:$BM$1006,0))&gt;=100000), " ",IF(INDEX($AM$2:$BM$1001,MATCH(ROWS($AF$2:AF158),$AF$2:$AF$1001,0),MATCH(COLUMNS($AM$1006:AU1006),$AM$1006:$BM$1006,0)), HYPERLINK("#",""), HYPERLINK(CONCATENATE("#metadata!", ADDRESS(INDEX($AH$2:$AH$1001,MATCH(ROWS($AF$2:AF158),$AF$2:$AF$1001,0),0), INDEX($AM$1004:$BM$1004,1,MATCH(COLUMNS($AM$1006:AU1006),$AM$1006:$BM$1006,0)))),"Fix")))</f>
        <v xml:space="preserve"> </v>
      </c>
      <c r="K158" s="4" t="str">
        <f ca="1">IF(OR(INDEX($AG$2:$AG$1001,MATCH(ROWS($AF$2:AF158),$AF$2:$AF$1001,0),1)&gt;=100000,INDEX($AM$1005:$BM$1005,1,MATCH(COLUMNS($AM$1006:AV1006),$AM$1006:$BM$1006,0))&gt;=100000), " ",IF(INDEX($AM$2:$BM$1001,MATCH(ROWS($AF$2:AF158),$AF$2:$AF$1001,0),MATCH(COLUMNS($AM$1006:AV1006),$AM$1006:$BM$1006,0)), HYPERLINK("#",""), HYPERLINK(CONCATENATE("#metadata!", ADDRESS(INDEX($AH$2:$AH$1001,MATCH(ROWS($AF$2:AF158),$AF$2:$AF$1001,0),0), INDEX($AM$1004:$BM$1004,1,MATCH(COLUMNS($AM$1006:AV1006),$AM$1006:$BM$1006,0)))),"Fix")))</f>
        <v xml:space="preserve"> </v>
      </c>
      <c r="L158" s="4" t="str">
        <f ca="1">IF(OR(INDEX($AG$2:$AG$1001,MATCH(ROWS($AF$2:AF158),$AF$2:$AF$1001,0),1)&gt;=100000,INDEX($AM$1005:$BM$1005,1,MATCH(COLUMNS($AM$1006:AW1006),$AM$1006:$BM$1006,0))&gt;=100000), " ",IF(INDEX($AM$2:$BM$1001,MATCH(ROWS($AF$2:AF158),$AF$2:$AF$1001,0),MATCH(COLUMNS($AM$1006:AW1006),$AM$1006:$BM$1006,0)), HYPERLINK("#",""), HYPERLINK(CONCATENATE("#metadata!", ADDRESS(INDEX($AH$2:$AH$1001,MATCH(ROWS($AF$2:AF158),$AF$2:$AF$1001,0),0), INDEX($AM$1004:$BM$1004,1,MATCH(COLUMNS($AM$1006:AW1006),$AM$1006:$BM$1006,0)))),"Fix")))</f>
        <v xml:space="preserve"> </v>
      </c>
      <c r="M158" s="4" t="str">
        <f ca="1">IF(OR(INDEX($AG$2:$AG$1001,MATCH(ROWS($AF$2:AF158),$AF$2:$AF$1001,0),1)&gt;=100000,INDEX($AM$1005:$BM$1005,1,MATCH(COLUMNS($AM$1006:AX1006),$AM$1006:$BM$1006,0))&gt;=100000), " ",IF(INDEX($AM$2:$BM$1001,MATCH(ROWS($AF$2:AF158),$AF$2:$AF$1001,0),MATCH(COLUMNS($AM$1006:AX1006),$AM$1006:$BM$1006,0)), HYPERLINK("#",""), HYPERLINK(CONCATENATE("#metadata!", ADDRESS(INDEX($AH$2:$AH$1001,MATCH(ROWS($AF$2:AF158),$AF$2:$AF$1001,0),0), INDEX($AM$1004:$BM$1004,1,MATCH(COLUMNS($AM$1006:AX1006),$AM$1006:$BM$1006,0)))),"Fix")))</f>
        <v xml:space="preserve"> </v>
      </c>
      <c r="N158" s="4" t="str">
        <f ca="1">IF(OR(INDEX($AG$2:$AG$1001,MATCH(ROWS($AF$2:AF158),$AF$2:$AF$1001,0),1)&gt;=100000,INDEX($AM$1005:$BM$1005,1,MATCH(COLUMNS($AM$1006:AY1006),$AM$1006:$BM$1006,0))&gt;=100000), " ",IF(INDEX($AM$2:$BM$1001,MATCH(ROWS($AF$2:AF158),$AF$2:$AF$1001,0),MATCH(COLUMNS($AM$1006:AY1006),$AM$1006:$BM$1006,0)), HYPERLINK("#",""), HYPERLINK(CONCATENATE("#metadata!", ADDRESS(INDEX($AH$2:$AH$1001,MATCH(ROWS($AF$2:AF158),$AF$2:$AF$1001,0),0), INDEX($AM$1004:$BM$1004,1,MATCH(COLUMNS($AM$1006:AY1006),$AM$1006:$BM$1006,0)))),"Fix")))</f>
        <v xml:space="preserve"> </v>
      </c>
      <c r="O158" s="4" t="str">
        <f ca="1">IF(OR(INDEX($AG$2:$AG$1001,MATCH(ROWS($AF$2:AF158),$AF$2:$AF$1001,0),1)&gt;=100000,INDEX($AM$1005:$BM$1005,1,MATCH(COLUMNS($AM$1006:AZ1006),$AM$1006:$BM$1006,0))&gt;=100000), " ",IF(INDEX($AM$2:$BM$1001,MATCH(ROWS($AF$2:AF158),$AF$2:$AF$1001,0),MATCH(COLUMNS($AM$1006:AZ1006),$AM$1006:$BM$1006,0)), HYPERLINK("#",""), HYPERLINK(CONCATENATE("#metadata!", ADDRESS(INDEX($AH$2:$AH$1001,MATCH(ROWS($AF$2:AF158),$AF$2:$AF$1001,0),0), INDEX($AM$1004:$BM$1004,1,MATCH(COLUMNS($AM$1006:AZ1006),$AM$1006:$BM$1006,0)))),"Fix")))</f>
        <v xml:space="preserve"> </v>
      </c>
      <c r="P158" s="4" t="str">
        <f ca="1">IF(OR(INDEX($AG$2:$AG$1001,MATCH(ROWS($AF$2:AF158),$AF$2:$AF$1001,0),1)&gt;=100000,INDEX($AM$1005:$BM$1005,1,MATCH(COLUMNS($AM$1006:BA1006),$AM$1006:$BM$1006,0))&gt;=100000), " ",IF(INDEX($AM$2:$BM$1001,MATCH(ROWS($AF$2:AF158),$AF$2:$AF$1001,0),MATCH(COLUMNS($AM$1006:BA1006),$AM$1006:$BM$1006,0)), HYPERLINK("#",""), HYPERLINK(CONCATENATE("#metadata!", ADDRESS(INDEX($AH$2:$AH$1001,MATCH(ROWS($AF$2:AF158),$AF$2:$AF$1001,0),0), INDEX($AM$1004:$BM$1004,1,MATCH(COLUMNS($AM$1006:BA1006),$AM$1006:$BM$1006,0)))),"Fix")))</f>
        <v xml:space="preserve"> </v>
      </c>
      <c r="Q158" s="4" t="str">
        <f ca="1">IF(OR(INDEX($AG$2:$AG$1001,MATCH(ROWS($AF$2:AF158),$AF$2:$AF$1001,0),1)&gt;=100000,INDEX($AM$1005:$BM$1005,1,MATCH(COLUMNS($AM$1006:BB1006),$AM$1006:$BM$1006,0))&gt;=100000), " ",IF(INDEX($AM$2:$BM$1001,MATCH(ROWS($AF$2:AF158),$AF$2:$AF$1001,0),MATCH(COLUMNS($AM$1006:BB1006),$AM$1006:$BM$1006,0)), HYPERLINK("#",""), HYPERLINK(CONCATENATE("#metadata!", ADDRESS(INDEX($AH$2:$AH$1001,MATCH(ROWS($AF$2:AF158),$AF$2:$AF$1001,0),0), INDEX($AM$1004:$BM$1004,1,MATCH(COLUMNS($AM$1006:BB1006),$AM$1006:$BM$1006,0)))),"Fix")))</f>
        <v xml:space="preserve"> </v>
      </c>
      <c r="R158" s="4" t="str">
        <f ca="1">IF(OR(INDEX($AG$2:$AG$1001,MATCH(ROWS($AF$2:AF158),$AF$2:$AF$1001,0),1)&gt;=100000,INDEX($AM$1005:$BM$1005,1,MATCH(COLUMNS($AM$1006:BC1006),$AM$1006:$BM$1006,0))&gt;=100000), " ",IF(INDEX($AM$2:$BM$1001,MATCH(ROWS($AF$2:AF158),$AF$2:$AF$1001,0),MATCH(COLUMNS($AM$1006:BC1006),$AM$1006:$BM$1006,0)), HYPERLINK("#",""), HYPERLINK(CONCATENATE("#metadata!", ADDRESS(INDEX($AH$2:$AH$1001,MATCH(ROWS($AF$2:AF158),$AF$2:$AF$1001,0),0), INDEX($AM$1004:$BM$1004,1,MATCH(COLUMNS($AM$1006:BC1006),$AM$1006:$BM$1006,0)))),"Fix")))</f>
        <v xml:space="preserve"> </v>
      </c>
      <c r="S158" s="4" t="str">
        <f ca="1">IF(OR(INDEX($AG$2:$AG$1001,MATCH(ROWS($AF$2:AF158),$AF$2:$AF$1001,0),1)&gt;=100000,INDEX($AM$1005:$BM$1005,1,MATCH(COLUMNS($AM$1006:BD1006),$AM$1006:$BM$1006,0))&gt;=100000), " ",IF(INDEX($AM$2:$BM$1001,MATCH(ROWS($AF$2:AF158),$AF$2:$AF$1001,0),MATCH(COLUMNS($AM$1006:BD1006),$AM$1006:$BM$1006,0)), HYPERLINK("#",""), HYPERLINK(CONCATENATE("#metadata!", ADDRESS(INDEX($AH$2:$AH$1001,MATCH(ROWS($AF$2:AF158),$AF$2:$AF$1001,0),0), INDEX($AM$1004:$BM$1004,1,MATCH(COLUMNS($AM$1006:BD1006),$AM$1006:$BM$1006,0)))),"Fix")))</f>
        <v xml:space="preserve"> </v>
      </c>
      <c r="T158" s="4" t="str">
        <f ca="1">IF(OR(INDEX($AG$2:$AG$1001,MATCH(ROWS($AF$2:AF158),$AF$2:$AF$1001,0),1)&gt;=100000,INDEX($AM$1005:$BM$1005,1,MATCH(COLUMNS($AM$1006:BE1006),$AM$1006:$BM$1006,0))&gt;=100000), " ",IF(INDEX($AM$2:$BM$1001,MATCH(ROWS($AF$2:AF158),$AF$2:$AF$1001,0),MATCH(COLUMNS($AM$1006:BE1006),$AM$1006:$BM$1006,0)), HYPERLINK("#",""), HYPERLINK(CONCATENATE("#metadata!", ADDRESS(INDEX($AH$2:$AH$1001,MATCH(ROWS($AF$2:AF158),$AF$2:$AF$1001,0),0), INDEX($AM$1004:$BM$1004,1,MATCH(COLUMNS($AM$1006:BE1006),$AM$1006:$BM$1006,0)))),"Fix")))</f>
        <v xml:space="preserve"> </v>
      </c>
      <c r="U158" s="4" t="str">
        <f ca="1">IF(OR(INDEX($AG$2:$AG$1001,MATCH(ROWS($AF$2:AF158),$AF$2:$AF$1001,0),1)&gt;=100000,INDEX($AM$1005:$BM$1005,1,MATCH(COLUMNS($AM$1006:BF1006),$AM$1006:$BM$1006,0))&gt;=100000), " ",IF(INDEX($AM$2:$BM$1001,MATCH(ROWS($AF$2:AF158),$AF$2:$AF$1001,0),MATCH(COLUMNS($AM$1006:BF1006),$AM$1006:$BM$1006,0)), HYPERLINK("#",""), HYPERLINK(CONCATENATE("#metadata!", ADDRESS(INDEX($AH$2:$AH$1001,MATCH(ROWS($AF$2:AF158),$AF$2:$AF$1001,0),0), INDEX($AM$1004:$BM$1004,1,MATCH(COLUMNS($AM$1006:BF1006),$AM$1006:$BM$1006,0)))),"Fix")))</f>
        <v xml:space="preserve"> </v>
      </c>
      <c r="V158" s="4" t="str">
        <f ca="1">IF(OR(INDEX($AG$2:$AG$1001,MATCH(ROWS($AF$2:AF158),$AF$2:$AF$1001,0),1)&gt;=100000,INDEX($AM$1005:$BM$1005,1,MATCH(COLUMNS($AM$1006:BG1006),$AM$1006:$BM$1006,0))&gt;=100000), " ",IF(INDEX($AM$2:$BM$1001,MATCH(ROWS($AF$2:AF158),$AF$2:$AF$1001,0),MATCH(COLUMNS($AM$1006:BG1006),$AM$1006:$BM$1006,0)), HYPERLINK("#",""), HYPERLINK(CONCATENATE("#metadata!", ADDRESS(INDEX($AH$2:$AH$1001,MATCH(ROWS($AF$2:AF158),$AF$2:$AF$1001,0),0), INDEX($AM$1004:$BM$1004,1,MATCH(COLUMNS($AM$1006:BG1006),$AM$1006:$BM$1006,0)))),"Fix")))</f>
        <v xml:space="preserve"> </v>
      </c>
      <c r="W158" s="4" t="str">
        <f ca="1">IF(OR(INDEX($AG$2:$AG$1001,MATCH(ROWS($AF$2:AF158),$AF$2:$AF$1001,0),1)&gt;=100000,INDEX($AM$1005:$BM$1005,1,MATCH(COLUMNS($AM$1006:BH1006),$AM$1006:$BM$1006,0))&gt;=100000), " ",IF(INDEX($AM$2:$BM$1001,MATCH(ROWS($AF$2:AF158),$AF$2:$AF$1001,0),MATCH(COLUMNS($AM$1006:BH1006),$AM$1006:$BM$1006,0)), HYPERLINK("#",""), HYPERLINK(CONCATENATE("#metadata!", ADDRESS(INDEX($AH$2:$AH$1001,MATCH(ROWS($AF$2:AF158),$AF$2:$AF$1001,0),0), INDEX($AM$1004:$BM$1004,1,MATCH(COLUMNS($AM$1006:BH1006),$AM$1006:$BM$1006,0)))),"Fix")))</f>
        <v xml:space="preserve"> </v>
      </c>
      <c r="X158" s="4" t="str">
        <f ca="1">IF(OR(INDEX($AG$2:$AG$1001,MATCH(ROWS($AF$2:AF158),$AF$2:$AF$1001,0),1)&gt;=100000,INDEX($AM$1005:$BM$1005,1,MATCH(COLUMNS($AM$1006:BI1006),$AM$1006:$BM$1006,0))&gt;=100000), " ",IF(INDEX($AM$2:$BM$1001,MATCH(ROWS($AF$2:AF158),$AF$2:$AF$1001,0),MATCH(COLUMNS($AM$1006:BI1006),$AM$1006:$BM$1006,0)), HYPERLINK("#",""), HYPERLINK(CONCATENATE("#metadata!", ADDRESS(INDEX($AH$2:$AH$1001,MATCH(ROWS($AF$2:AF158),$AF$2:$AF$1001,0),0), INDEX($AM$1004:$BM$1004,1,MATCH(COLUMNS($AM$1006:BI1006),$AM$1006:$BM$1006,0)))),"Fix")))</f>
        <v xml:space="preserve"> </v>
      </c>
      <c r="Y158" s="4" t="str">
        <f ca="1">IF(OR(INDEX($AG$2:$AG$1001,MATCH(ROWS($AF$2:AF158),$AF$2:$AF$1001,0),1)&gt;=100000,INDEX($AM$1005:$BM$1005,1,MATCH(COLUMNS($AM$1006:BJ1006),$AM$1006:$BM$1006,0))&gt;=100000), " ",IF(INDEX($AM$2:$BM$1001,MATCH(ROWS($AF$2:AF158),$AF$2:$AF$1001,0),MATCH(COLUMNS($AM$1006:BJ1006),$AM$1006:$BM$1006,0)), HYPERLINK("#",""), HYPERLINK(CONCATENATE("#metadata!", ADDRESS(INDEX($AH$2:$AH$1001,MATCH(ROWS($AF$2:AF158),$AF$2:$AF$1001,0),0), INDEX($AM$1004:$BM$1004,1,MATCH(COLUMNS($AM$1006:BJ1006),$AM$1006:$BM$1006,0)))),"Fix")))</f>
        <v xml:space="preserve"> </v>
      </c>
      <c r="Z158" s="4" t="str">
        <f ca="1">IF(OR(INDEX($AG$2:$AG$1001,MATCH(ROWS($AF$2:AF158),$AF$2:$AF$1001,0),1)&gt;=100000,INDEX($AM$1005:$BM$1005,1,MATCH(COLUMNS($AM$1006:BK1006),$AM$1006:$BM$1006,0))&gt;=100000), " ",IF(INDEX($AM$2:$BM$1001,MATCH(ROWS($AF$2:AF158),$AF$2:$AF$1001,0),MATCH(COLUMNS($AM$1006:BK1006),$AM$1006:$BM$1006,0)), HYPERLINK("#",""), HYPERLINK(CONCATENATE("#metadata!", ADDRESS(INDEX($AH$2:$AH$1001,MATCH(ROWS($AF$2:AF158),$AF$2:$AF$1001,0),0), INDEX($AM$1004:$BM$1004,1,MATCH(COLUMNS($AM$1006:BK1006),$AM$1006:$BM$1006,0)))),"Fix")))</f>
        <v xml:space="preserve"> </v>
      </c>
      <c r="AA158" s="4" t="str">
        <f ca="1">IF(OR(INDEX($AG$2:$AG$1001,MATCH(ROWS($AF$2:AF158),$AF$2:$AF$1001,0),1)&gt;=100000,INDEX($AM$1005:$BM$1005,1,MATCH(COLUMNS($AM$1006:BL1006),$AM$1006:$BM$1006,0))&gt;=100000), " ",IF(INDEX($AM$2:$BM$1001,MATCH(ROWS($AF$2:AF158),$AF$2:$AF$1001,0),MATCH(COLUMNS($AM$1006:BL1006),$AM$1006:$BM$1006,0)), HYPERLINK("#",""), HYPERLINK(CONCATENATE("#metadata!", ADDRESS(INDEX($AH$2:$AH$1001,MATCH(ROWS($AF$2:AF158),$AF$2:$AF$1001,0),0), INDEX($AM$1004:$BM$1004,1,MATCH(COLUMNS($AM$1006:BL1006),$AM$1006:$BM$1006,0)))),"Fix")))</f>
        <v xml:space="preserve"> </v>
      </c>
      <c r="AB158" s="4" t="str">
        <f ca="1">IF(OR(INDEX($AG$2:$AG$1001,MATCH(ROWS($AF$2:AF158),$AF$2:$AF$1001,0),1)&gt;=100000,INDEX($AM$1005:$BM$1005,1,MATCH(COLUMNS($AM$1006:BM1006),$AM$1006:$BM$1006,0))&gt;=100000), " ",IF(INDEX($AM$2:$BM$1001,MATCH(ROWS($AF$2:AF158),$AF$2:$AF$1001,0),MATCH(COLUMNS($AM$1006:BM1006),$AM$1006:$BM$1006,0)), HYPERLINK("#",""), HYPERLINK(CONCATENATE("#metadata!", ADDRESS(INDEX($AH$2:$AH$1001,MATCH(ROWS($AF$2:AF158),$AF$2:$AF$1001,0),0), INDEX($AM$1004:$BM$1004,1,MATCH(COLUMNS($AM$1006:BM1006),$AM$1006:$BM$1006,0)))),"Fix")))</f>
        <v xml:space="preserve"> </v>
      </c>
      <c r="AF158">
        <v>157</v>
      </c>
      <c r="AG158">
        <v>100158</v>
      </c>
      <c r="AH158">
        <v>158</v>
      </c>
      <c r="AI158" t="b">
        <f t="shared" si="2"/>
        <v>1</v>
      </c>
      <c r="AJ158" t="b">
        <f>COUNTBLANK(metadata!B158:AB158)=COLUMNS(metadata!B158:AB158)</f>
        <v>1</v>
      </c>
      <c r="AK158" t="str">
        <v/>
      </c>
      <c r="AM158" t="b">
        <f ca="1">AND(IF(metadata!B158="",FALSE,TRUE),COUNTIF(metadata!B:B, metadata!B158) = 1,NOT(ISERROR(SUMPRODUCT(SEARCH(MID(metadata!B158,ROW(INDIRECT("1:"&amp;LEN(metadata!B158))), 1),"0123456789abcdefghijklmnopqrstuvwxyzABCDEFGHIJKLMNOPQRSTUVWXYZ.")))))</f>
        <v>0</v>
      </c>
      <c r="AN158" t="b">
        <f ca="1">OR(AND(IF(metadata!C158="",FALSE,TRUE),OR(EXACT(metadata!C158,"missing: not collected"),EXACT(metadata!C158,"missing: not provided"),EXACT(metadata!C158,"missing: restricted access"))),AND(IF(metadata!C158="",FALSE,TRUE),AND(AND(IFERROR(INT(LEFT(metadata!C158,4))&gt;1900,FALSE),IFERROR(INT(LEFT(metadata!C158,4))&lt;=YEAR(NOW()),FALSE)), OR(MID(metadata!C158,5,1)="", AND(AND(MID(metadata!C158,5,1)="-",IFERROR(INT(MID(metadata!C158,6,1))&gt;=0,FALSE),IFERROR(INT(MID(metadata!C158,6,1))&lt;=1,FALSE),NOT(MID(metadata!C158,7,1)=""),IFERROR(INT(MID(metadata!C158,6,2))&gt;=1,FALSE),IFERROR(INT(MID(metadata!C158,6,2))&lt;=12,FALSE)), OR(MID(metadata!C158,8,1)="", AND(AND(MID(metadata!C158,8,1)="-",IFERROR(INT(MID(metadata!C158,9,1))&gt;=0,FALSE),IFERROR(INT(MID(metadata!C158,9,1))&lt;=3,FALSE),NOT(MID(metadata!C158,10,1)=""),IFERROR(INT(MID(metadata!C158,9,2))&gt;=1,FALSE),IFERROR(INT(MID(metadata!C158,9,2))&lt;=31,FALSE)), OR(MID(metadata!C158,11,1)="", AND(AND(MID(metadata!C158,11,1)=" ",IFERROR(INT(MID(metadata!C158,12,1))&gt;=0,FALSE),IFERROR(INT(MID(metadata!C158,12,1))&lt;=2,FALSE),NOT(MID(metadata!C158,13,1)=""),IFERROR(INT(MID(metadata!C158,12,2))&gt;=0,FALSE),IFERROR(INT(MID(metadata!C158,12,2))&lt;=23,FALSE)), OR(MID(metadata!C158,14,1)="", AND(AND(MID(metadata!C158,14,1)=":",IFERROR(INT(MID(metadata!C158,15,1))&gt;=0,FALSE),IFERROR(INT(MID(metadata!C158,15,1))&lt;=5,FALSE),NOT(MID(metadata!C158,16,1)=""),IFERROR(INT(MID(metadata!C158,15,2))&gt;=0,FALSE),IFERROR(INT(MID(metadata!C158,15,2))&lt;=59,FALSE)), OR(MID(metadata!C158,17,1)="", AND(AND(MID(metadata!C158,17,1)=":",IFERROR(INT(MID(metadata!C158,18,1))&gt;=0,FALSE),IFERROR(INT(MID(metadata!C158,18,1))&lt;=5,FALSE),NOT(MID(metadata!C158,19,1)=""),IFERROR(INT(MID(metadata!C158,18,2))&gt;=0,FALSE),IFERROR(INT(MID(metadata!C158,18,2))&lt;=59,FALSE)), LEN(metadata!C158)&lt;=19)))))))))))))</f>
        <v>0</v>
      </c>
      <c r="AO158" t="b">
        <f>AND(IF(metadata!D158="",FALSE,TRUE),EXACT(metadata!D158,"Not applicable"))</f>
        <v>0</v>
      </c>
      <c r="AP158" t="b">
        <f>IF(metadata!E158="",FALSE,TRUE)</f>
        <v>0</v>
      </c>
      <c r="AQ158" t="b">
        <f>OR(AND(IF(metadata!F158="",FALSE,TRUE),OR(EXACT(metadata!F158,"missing: not collected"),EXACT(metadata!F158,"missing: not provided"))),AND(IF(metadata!F158="",FALSE,TRUE),OR(EXACT(metadata!F158,"TRUE"),EXACT(metadata!F158,"FALSE"))))</f>
        <v>0</v>
      </c>
      <c r="AR158" t="b">
        <f>OR(AND(IF(metadata!G158="",FALSE,TRUE),OR(EXACT(metadata!G158,"missing: not collected"),EXACT(metadata!G158,"missing: not provided"),EXACT(metadata!G158,"missing: restricted access"))),AND(IF(metadata!G158="",FALSE,ISNUMBER(VALUE(metadata!G158))),metadata!G158&gt;=-413))</f>
        <v>0</v>
      </c>
      <c r="AS158" t="b">
        <f>AND(IF(metadata!H158="",FALSE,TRUE),EXACT(metadata!H158,"meters"))</f>
        <v>0</v>
      </c>
      <c r="AT158" t="b">
        <f>AND(IF(metadata!I158="",FALSE,TRUE),OR(EXACT(metadata!I158,"Host-associated"),EXACT(metadata!I158,"Free-living")))</f>
        <v>0</v>
      </c>
      <c r="AU158" t="b">
        <f>AND(IF(metadata!J158="",FALSE,TRUE),OR(EXACT(metadata!J158,"Animal"),EXACT(metadata!J158,"Fungus"),EXACT(metadata!J158,"Plant"),EXACT(metadata!J158,"Saline"),EXACT(metadata!J158,"Non-saline")))</f>
        <v>0</v>
      </c>
      <c r="AV158" t="b">
        <f>AND(IF(metadata!K158="",FALSE,TRUE),OR(EXACT(metadata!K158,"Plant secretion"),EXACT(metadata!K158,"Plant rhizosphere"),EXACT(metadata!K158,"Plant surface"),EXACT(metadata!K158,"Plant corpus"),EXACT(metadata!K158,"Fungus surface"),EXACT(metadata!K158,"Fungus corpus"),EXACT(metadata!K158,"Animal surface"),EXACT(metadata!K158,"Animal proximal gut"),EXACT(metadata!K158,"Animal corpus"),EXACT(metadata!K158,"Animal distal gut"),EXACT(metadata!K158,"Animal secretion"),EXACT(metadata!K158,"Sub-surface (non-saline)"),EXACT(metadata!K158,"Surface (non-saline)"),EXACT(metadata!K158,"Water (non-saline)"),EXACT(metadata!K158,"Soil (non-saline)"),EXACT(metadata!K158,"Aerosol (non-saline)"),EXACT(metadata!K158,"Sediment (non-saline)"),EXACT(metadata!K158,"Surface (saline)"),EXACT(metadata!K158,"Water (saline)"),EXACT(metadata!K158,"Hypersaline (saline)"),EXACT(metadata!K158,"Aerosol (saline)"),EXACT(metadata!K158,"Sediment (saline)")))</f>
        <v>0</v>
      </c>
      <c r="AW158" t="b">
        <f>IF(metadata!L158="",FALSE,TRUE)</f>
        <v>0</v>
      </c>
      <c r="AX158" t="b">
        <f>IF(metadata!M158="",FALSE,TRUE)</f>
        <v>0</v>
      </c>
      <c r="AY158" t="b">
        <f>IF(metadata!N158="",FALSE,TRUE)</f>
        <v>0</v>
      </c>
      <c r="AZ158" t="b">
        <f>OR(AND(IF(metadata!O158="",FALSE,TRUE),OR(EXACT(metadata!O158,"missing: not collected"),EXACT(metadata!O158,"missing: not provided"),EXACT(metadata!O158,"missing: restricted access"))),AND(IF(metadata!O158="",FALSE,TRUE),OR(EXACT(metadata!O158,"air"),EXACT(metadata!O158,"built environment"),EXACT(metadata!O158,"host-associated"),EXACT(metadata!O158,"human-associated"),EXACT(metadata!O158,"human-skin"),EXACT(metadata!O158,"human-oral"),EXACT(metadata!O158,"human-gut"),EXACT(metadata!O158,"human-vaginal"),EXACT(metadata!O158,"microbial mat/biofilm"),EXACT(metadata!O158,"misc environment"),EXACT(metadata!O158,"plant-associated"),EXACT(metadata!O158,"sediment"),EXACT(metadata!O158,"soil"),EXACT(metadata!O158,"wastewater/sludge"),EXACT(metadata!O158,"water"))))</f>
        <v>0</v>
      </c>
      <c r="BA158" t="b">
        <f>IF(metadata!P158="",FALSE,TRUE)</f>
        <v>0</v>
      </c>
      <c r="BB158" t="b">
        <f>IF(metadata!Q158="",FALSE,TRUE)</f>
        <v>0</v>
      </c>
      <c r="BC158" t="b">
        <f>OR(AND(IF(metadata!R158="",FALSE,TRUE),OR(EXACT(metadata!R158,"missing: not collected"),EXACT(metadata!R158,"missing: not provided"),EXACT(metadata!R158,"missing: restricted access"))),AND(IF(metadata!R158="",FALSE,ISNUMBER(VALUE(metadata!R158))),metadata!R158&gt;=-90,metadata!R158&lt;=90))</f>
        <v>0</v>
      </c>
      <c r="BD158" t="b">
        <f>AND(IF(metadata!S158="",FALSE,TRUE),EXACT(metadata!S158,"Decimal degrees"))</f>
        <v>0</v>
      </c>
      <c r="BE158" t="b">
        <f>OR(AND(IF(metadata!T158="",FALSE,TRUE),OR(EXACT(metadata!T158,"missing: not collected"),EXACT(metadata!T158,"missing: not provided"),EXACT(metadata!T158,"missing: restricted access"))),AND(IF(metadata!T158="",FALSE,ISNUMBER(VALUE(metadata!T158))),metadata!T158&gt;=-180,metadata!T158&lt;=180))</f>
        <v>0</v>
      </c>
      <c r="BF158" t="b">
        <f>AND(IF(metadata!U158="",FALSE,TRUE),EXACT(metadata!U158,"Decimal degrees"))</f>
        <v>0</v>
      </c>
      <c r="BG158" t="b">
        <f>IF(metadata!V158="",FALSE,TRUE)</f>
        <v>0</v>
      </c>
      <c r="BH158" t="b">
        <f>OR(AND(IF(metadata!W158="",FALSE,TRUE),OR(EXACT(metadata!W158,"missing: not collected"),EXACT(metadata!W158,"missing: not provided"),EXACT(metadata!W158,"missing: restricted access"))),AND(IF(metadata!W158="",FALSE,TRUE),OR(EXACT(metadata!W158,"TRUE"),EXACT(metadata!W158,"FALSE"))))</f>
        <v>0</v>
      </c>
      <c r="BI158" t="b">
        <f>AND(IF(metadata!X158="",FALSE,TRUE),EXACT(metadata!X158,"other"))</f>
        <v>0</v>
      </c>
      <c r="BJ158" t="b">
        <f>IF(metadata!Y158="",FALSE,TRUE)</f>
        <v>0</v>
      </c>
      <c r="BK158" t="b">
        <f>OR(AND(IF(metadata!Z158="",FALSE,TRUE),OR(EXACT(metadata!Z158,"missing: not collected"),EXACT(metadata!Z158,"missing: not provided"))),AND(IF(metadata!Z158="",FALSE,IF(ISERROR(INT(metadata!Z158)),FALSE,INT(metadata!Z158)=metadata!Z158)),metadata!Z158&gt;0))</f>
        <v>0</v>
      </c>
      <c r="BL158" t="b">
        <f>AND(IF(metadata!AA158="",FALSE,TRUE),EXACT(metadata!AA158,"Not applicable"))</f>
        <v>0</v>
      </c>
      <c r="BM158" t="b">
        <f>IF(metadata!AB158="",FALSE,TRUE)</f>
        <v>0</v>
      </c>
    </row>
    <row r="159" spans="1:65" x14ac:dyDescent="0.2">
      <c r="A159" s="5" t="str">
        <f ca="1">IF(B159=" "," ",HYPERLINK(CONCATENATE("#metadata!",ADDRESS(INDEX($AH$2:$AH$1001,MATCH(ROWS($AF$2:AF159),$AF$2:$AF$1001,0),0),1)),INDEX($AK$2:$AK$1001,MATCH(ROWS($AF$2:AF159),$AF$2:$AF$1001,0),0)))</f>
        <v xml:space="preserve"> </v>
      </c>
      <c r="B159" s="4" t="str">
        <f ca="1">IF(OR(INDEX($AG$2:$AG$1001,MATCH(ROWS($AF$2:AF159),$AF$2:$AF$1001,0),1)&gt;=100000,INDEX($AM$1005:$BM$1005,1,MATCH(COLUMNS($AM$1006:AM1006),$AM$1006:$BM$1006,0))&gt;=100000), " ",IF(INDEX($AM$2:$BM$1001,MATCH(ROWS($AF$2:AF159),$AF$2:$AF$1001,0),MATCH(COLUMNS($AM$1006:AM1006),$AM$1006:$BM$1006,0)), HYPERLINK("#",""), HYPERLINK(CONCATENATE("#metadata!", ADDRESS(INDEX($AH$2:$AH$1001,MATCH(ROWS($AF$2:AF159),$AF$2:$AF$1001,0),0), INDEX($AM$1004:$BM$1004,1,MATCH(COLUMNS($AM$1006:AM1006),$AM$1006:$BM$1006,0)))),"Fix")))</f>
        <v xml:space="preserve"> </v>
      </c>
      <c r="C159" s="4" t="str">
        <f ca="1">IF(OR(INDEX($AG$2:$AG$1001,MATCH(ROWS($AF$2:AF159),$AF$2:$AF$1001,0),1)&gt;=100000,INDEX($AM$1005:$BM$1005,1,MATCH(COLUMNS($AM$1006:AN1006),$AM$1006:$BM$1006,0))&gt;=100000), " ",IF(INDEX($AM$2:$BM$1001,MATCH(ROWS($AF$2:AF159),$AF$2:$AF$1001,0),MATCH(COLUMNS($AM$1006:AN1006),$AM$1006:$BM$1006,0)), HYPERLINK("#",""), HYPERLINK(CONCATENATE("#metadata!", ADDRESS(INDEX($AH$2:$AH$1001,MATCH(ROWS($AF$2:AF159),$AF$2:$AF$1001,0),0), INDEX($AM$1004:$BM$1004,1,MATCH(COLUMNS($AM$1006:AN1006),$AM$1006:$BM$1006,0)))),"Fix")))</f>
        <v xml:space="preserve"> </v>
      </c>
      <c r="D159" s="4" t="str">
        <f ca="1">IF(OR(INDEX($AG$2:$AG$1001,MATCH(ROWS($AF$2:AF159),$AF$2:$AF$1001,0),1)&gt;=100000,INDEX($AM$1005:$BM$1005,1,MATCH(COLUMNS($AM$1006:AO1006),$AM$1006:$BM$1006,0))&gt;=100000), " ",IF(INDEX($AM$2:$BM$1001,MATCH(ROWS($AF$2:AF159),$AF$2:$AF$1001,0),MATCH(COLUMNS($AM$1006:AO1006),$AM$1006:$BM$1006,0)), HYPERLINK("#",""), HYPERLINK(CONCATENATE("#metadata!", ADDRESS(INDEX($AH$2:$AH$1001,MATCH(ROWS($AF$2:AF159),$AF$2:$AF$1001,0),0), INDEX($AM$1004:$BM$1004,1,MATCH(COLUMNS($AM$1006:AO1006),$AM$1006:$BM$1006,0)))),"Fix")))</f>
        <v xml:space="preserve"> </v>
      </c>
      <c r="E159" s="4" t="str">
        <f ca="1">IF(OR(INDEX($AG$2:$AG$1001,MATCH(ROWS($AF$2:AF159),$AF$2:$AF$1001,0),1)&gt;=100000,INDEX($AM$1005:$BM$1005,1,MATCH(COLUMNS($AM$1006:AP1006),$AM$1006:$BM$1006,0))&gt;=100000), " ",IF(INDEX($AM$2:$BM$1001,MATCH(ROWS($AF$2:AF159),$AF$2:$AF$1001,0),MATCH(COLUMNS($AM$1006:AP1006),$AM$1006:$BM$1006,0)), HYPERLINK("#",""), HYPERLINK(CONCATENATE("#metadata!", ADDRESS(INDEX($AH$2:$AH$1001,MATCH(ROWS($AF$2:AF159),$AF$2:$AF$1001,0),0), INDEX($AM$1004:$BM$1004,1,MATCH(COLUMNS($AM$1006:AP1006),$AM$1006:$BM$1006,0)))),"Fix")))</f>
        <v xml:space="preserve"> </v>
      </c>
      <c r="F159" s="4" t="str">
        <f ca="1">IF(OR(INDEX($AG$2:$AG$1001,MATCH(ROWS($AF$2:AF159),$AF$2:$AF$1001,0),1)&gt;=100000,INDEX($AM$1005:$BM$1005,1,MATCH(COLUMNS($AM$1006:AQ1006),$AM$1006:$BM$1006,0))&gt;=100000), " ",IF(INDEX($AM$2:$BM$1001,MATCH(ROWS($AF$2:AF159),$AF$2:$AF$1001,0),MATCH(COLUMNS($AM$1006:AQ1006),$AM$1006:$BM$1006,0)), HYPERLINK("#",""), HYPERLINK(CONCATENATE("#metadata!", ADDRESS(INDEX($AH$2:$AH$1001,MATCH(ROWS($AF$2:AF159),$AF$2:$AF$1001,0),0), INDEX($AM$1004:$BM$1004,1,MATCH(COLUMNS($AM$1006:AQ1006),$AM$1006:$BM$1006,0)))),"Fix")))</f>
        <v xml:space="preserve"> </v>
      </c>
      <c r="G159" s="4" t="str">
        <f ca="1">IF(OR(INDEX($AG$2:$AG$1001,MATCH(ROWS($AF$2:AF159),$AF$2:$AF$1001,0),1)&gt;=100000,INDEX($AM$1005:$BM$1005,1,MATCH(COLUMNS($AM$1006:AR1006),$AM$1006:$BM$1006,0))&gt;=100000), " ",IF(INDEX($AM$2:$BM$1001,MATCH(ROWS($AF$2:AF159),$AF$2:$AF$1001,0),MATCH(COLUMNS($AM$1006:AR1006),$AM$1006:$BM$1006,0)), HYPERLINK("#",""), HYPERLINK(CONCATENATE("#metadata!", ADDRESS(INDEX($AH$2:$AH$1001,MATCH(ROWS($AF$2:AF159),$AF$2:$AF$1001,0),0), INDEX($AM$1004:$BM$1004,1,MATCH(COLUMNS($AM$1006:AR1006),$AM$1006:$BM$1006,0)))),"Fix")))</f>
        <v xml:space="preserve"> </v>
      </c>
      <c r="H159" s="4" t="str">
        <f ca="1">IF(OR(INDEX($AG$2:$AG$1001,MATCH(ROWS($AF$2:AF159),$AF$2:$AF$1001,0),1)&gt;=100000,INDEX($AM$1005:$BM$1005,1,MATCH(COLUMNS($AM$1006:AS1006),$AM$1006:$BM$1006,0))&gt;=100000), " ",IF(INDEX($AM$2:$BM$1001,MATCH(ROWS($AF$2:AF159),$AF$2:$AF$1001,0),MATCH(COLUMNS($AM$1006:AS1006),$AM$1006:$BM$1006,0)), HYPERLINK("#",""), HYPERLINK(CONCATENATE("#metadata!", ADDRESS(INDEX($AH$2:$AH$1001,MATCH(ROWS($AF$2:AF159),$AF$2:$AF$1001,0),0), INDEX($AM$1004:$BM$1004,1,MATCH(COLUMNS($AM$1006:AS1006),$AM$1006:$BM$1006,0)))),"Fix")))</f>
        <v xml:space="preserve"> </v>
      </c>
      <c r="I159" s="4" t="str">
        <f ca="1">IF(OR(INDEX($AG$2:$AG$1001,MATCH(ROWS($AF$2:AF159),$AF$2:$AF$1001,0),1)&gt;=100000,INDEX($AM$1005:$BM$1005,1,MATCH(COLUMNS($AM$1006:AT1006),$AM$1006:$BM$1006,0))&gt;=100000), " ",IF(INDEX($AM$2:$BM$1001,MATCH(ROWS($AF$2:AF159),$AF$2:$AF$1001,0),MATCH(COLUMNS($AM$1006:AT1006),$AM$1006:$BM$1006,0)), HYPERLINK("#",""), HYPERLINK(CONCATENATE("#metadata!", ADDRESS(INDEX($AH$2:$AH$1001,MATCH(ROWS($AF$2:AF159),$AF$2:$AF$1001,0),0), INDEX($AM$1004:$BM$1004,1,MATCH(COLUMNS($AM$1006:AT1006),$AM$1006:$BM$1006,0)))),"Fix")))</f>
        <v xml:space="preserve"> </v>
      </c>
      <c r="J159" s="4" t="str">
        <f ca="1">IF(OR(INDEX($AG$2:$AG$1001,MATCH(ROWS($AF$2:AF159),$AF$2:$AF$1001,0),1)&gt;=100000,INDEX($AM$1005:$BM$1005,1,MATCH(COLUMNS($AM$1006:AU1006),$AM$1006:$BM$1006,0))&gt;=100000), " ",IF(INDEX($AM$2:$BM$1001,MATCH(ROWS($AF$2:AF159),$AF$2:$AF$1001,0),MATCH(COLUMNS($AM$1006:AU1006),$AM$1006:$BM$1006,0)), HYPERLINK("#",""), HYPERLINK(CONCATENATE("#metadata!", ADDRESS(INDEX($AH$2:$AH$1001,MATCH(ROWS($AF$2:AF159),$AF$2:$AF$1001,0),0), INDEX($AM$1004:$BM$1004,1,MATCH(COLUMNS($AM$1006:AU1006),$AM$1006:$BM$1006,0)))),"Fix")))</f>
        <v xml:space="preserve"> </v>
      </c>
      <c r="K159" s="4" t="str">
        <f ca="1">IF(OR(INDEX($AG$2:$AG$1001,MATCH(ROWS($AF$2:AF159),$AF$2:$AF$1001,0),1)&gt;=100000,INDEX($AM$1005:$BM$1005,1,MATCH(COLUMNS($AM$1006:AV1006),$AM$1006:$BM$1006,0))&gt;=100000), " ",IF(INDEX($AM$2:$BM$1001,MATCH(ROWS($AF$2:AF159),$AF$2:$AF$1001,0),MATCH(COLUMNS($AM$1006:AV1006),$AM$1006:$BM$1006,0)), HYPERLINK("#",""), HYPERLINK(CONCATENATE("#metadata!", ADDRESS(INDEX($AH$2:$AH$1001,MATCH(ROWS($AF$2:AF159),$AF$2:$AF$1001,0),0), INDEX($AM$1004:$BM$1004,1,MATCH(COLUMNS($AM$1006:AV1006),$AM$1006:$BM$1006,0)))),"Fix")))</f>
        <v xml:space="preserve"> </v>
      </c>
      <c r="L159" s="4" t="str">
        <f ca="1">IF(OR(INDEX($AG$2:$AG$1001,MATCH(ROWS($AF$2:AF159),$AF$2:$AF$1001,0),1)&gt;=100000,INDEX($AM$1005:$BM$1005,1,MATCH(COLUMNS($AM$1006:AW1006),$AM$1006:$BM$1006,0))&gt;=100000), " ",IF(INDEX($AM$2:$BM$1001,MATCH(ROWS($AF$2:AF159),$AF$2:$AF$1001,0),MATCH(COLUMNS($AM$1006:AW1006),$AM$1006:$BM$1006,0)), HYPERLINK("#",""), HYPERLINK(CONCATENATE("#metadata!", ADDRESS(INDEX($AH$2:$AH$1001,MATCH(ROWS($AF$2:AF159),$AF$2:$AF$1001,0),0), INDEX($AM$1004:$BM$1004,1,MATCH(COLUMNS($AM$1006:AW1006),$AM$1006:$BM$1006,0)))),"Fix")))</f>
        <v xml:space="preserve"> </v>
      </c>
      <c r="M159" s="4" t="str">
        <f ca="1">IF(OR(INDEX($AG$2:$AG$1001,MATCH(ROWS($AF$2:AF159),$AF$2:$AF$1001,0),1)&gt;=100000,INDEX($AM$1005:$BM$1005,1,MATCH(COLUMNS($AM$1006:AX1006),$AM$1006:$BM$1006,0))&gt;=100000), " ",IF(INDEX($AM$2:$BM$1001,MATCH(ROWS($AF$2:AF159),$AF$2:$AF$1001,0),MATCH(COLUMNS($AM$1006:AX1006),$AM$1006:$BM$1006,0)), HYPERLINK("#",""), HYPERLINK(CONCATENATE("#metadata!", ADDRESS(INDEX($AH$2:$AH$1001,MATCH(ROWS($AF$2:AF159),$AF$2:$AF$1001,0),0), INDEX($AM$1004:$BM$1004,1,MATCH(COLUMNS($AM$1006:AX1006),$AM$1006:$BM$1006,0)))),"Fix")))</f>
        <v xml:space="preserve"> </v>
      </c>
      <c r="N159" s="4" t="str">
        <f ca="1">IF(OR(INDEX($AG$2:$AG$1001,MATCH(ROWS($AF$2:AF159),$AF$2:$AF$1001,0),1)&gt;=100000,INDEX($AM$1005:$BM$1005,1,MATCH(COLUMNS($AM$1006:AY1006),$AM$1006:$BM$1006,0))&gt;=100000), " ",IF(INDEX($AM$2:$BM$1001,MATCH(ROWS($AF$2:AF159),$AF$2:$AF$1001,0),MATCH(COLUMNS($AM$1006:AY1006),$AM$1006:$BM$1006,0)), HYPERLINK("#",""), HYPERLINK(CONCATENATE("#metadata!", ADDRESS(INDEX($AH$2:$AH$1001,MATCH(ROWS($AF$2:AF159),$AF$2:$AF$1001,0),0), INDEX($AM$1004:$BM$1004,1,MATCH(COLUMNS($AM$1006:AY1006),$AM$1006:$BM$1006,0)))),"Fix")))</f>
        <v xml:space="preserve"> </v>
      </c>
      <c r="O159" s="4" t="str">
        <f ca="1">IF(OR(INDEX($AG$2:$AG$1001,MATCH(ROWS($AF$2:AF159),$AF$2:$AF$1001,0),1)&gt;=100000,INDEX($AM$1005:$BM$1005,1,MATCH(COLUMNS($AM$1006:AZ1006),$AM$1006:$BM$1006,0))&gt;=100000), " ",IF(INDEX($AM$2:$BM$1001,MATCH(ROWS($AF$2:AF159),$AF$2:$AF$1001,0),MATCH(COLUMNS($AM$1006:AZ1006),$AM$1006:$BM$1006,0)), HYPERLINK("#",""), HYPERLINK(CONCATENATE("#metadata!", ADDRESS(INDEX($AH$2:$AH$1001,MATCH(ROWS($AF$2:AF159),$AF$2:$AF$1001,0),0), INDEX($AM$1004:$BM$1004,1,MATCH(COLUMNS($AM$1006:AZ1006),$AM$1006:$BM$1006,0)))),"Fix")))</f>
        <v xml:space="preserve"> </v>
      </c>
      <c r="P159" s="4" t="str">
        <f ca="1">IF(OR(INDEX($AG$2:$AG$1001,MATCH(ROWS($AF$2:AF159),$AF$2:$AF$1001,0),1)&gt;=100000,INDEX($AM$1005:$BM$1005,1,MATCH(COLUMNS($AM$1006:BA1006),$AM$1006:$BM$1006,0))&gt;=100000), " ",IF(INDEX($AM$2:$BM$1001,MATCH(ROWS($AF$2:AF159),$AF$2:$AF$1001,0),MATCH(COLUMNS($AM$1006:BA1006),$AM$1006:$BM$1006,0)), HYPERLINK("#",""), HYPERLINK(CONCATENATE("#metadata!", ADDRESS(INDEX($AH$2:$AH$1001,MATCH(ROWS($AF$2:AF159),$AF$2:$AF$1001,0),0), INDEX($AM$1004:$BM$1004,1,MATCH(COLUMNS($AM$1006:BA1006),$AM$1006:$BM$1006,0)))),"Fix")))</f>
        <v xml:space="preserve"> </v>
      </c>
      <c r="Q159" s="4" t="str">
        <f ca="1">IF(OR(INDEX($AG$2:$AG$1001,MATCH(ROWS($AF$2:AF159),$AF$2:$AF$1001,0),1)&gt;=100000,INDEX($AM$1005:$BM$1005,1,MATCH(COLUMNS($AM$1006:BB1006),$AM$1006:$BM$1006,0))&gt;=100000), " ",IF(INDEX($AM$2:$BM$1001,MATCH(ROWS($AF$2:AF159),$AF$2:$AF$1001,0),MATCH(COLUMNS($AM$1006:BB1006),$AM$1006:$BM$1006,0)), HYPERLINK("#",""), HYPERLINK(CONCATENATE("#metadata!", ADDRESS(INDEX($AH$2:$AH$1001,MATCH(ROWS($AF$2:AF159),$AF$2:$AF$1001,0),0), INDEX($AM$1004:$BM$1004,1,MATCH(COLUMNS($AM$1006:BB1006),$AM$1006:$BM$1006,0)))),"Fix")))</f>
        <v xml:space="preserve"> </v>
      </c>
      <c r="R159" s="4" t="str">
        <f ca="1">IF(OR(INDEX($AG$2:$AG$1001,MATCH(ROWS($AF$2:AF159),$AF$2:$AF$1001,0),1)&gt;=100000,INDEX($AM$1005:$BM$1005,1,MATCH(COLUMNS($AM$1006:BC1006),$AM$1006:$BM$1006,0))&gt;=100000), " ",IF(INDEX($AM$2:$BM$1001,MATCH(ROWS($AF$2:AF159),$AF$2:$AF$1001,0),MATCH(COLUMNS($AM$1006:BC1006),$AM$1006:$BM$1006,0)), HYPERLINK("#",""), HYPERLINK(CONCATENATE("#metadata!", ADDRESS(INDEX($AH$2:$AH$1001,MATCH(ROWS($AF$2:AF159),$AF$2:$AF$1001,0),0), INDEX($AM$1004:$BM$1004,1,MATCH(COLUMNS($AM$1006:BC1006),$AM$1006:$BM$1006,0)))),"Fix")))</f>
        <v xml:space="preserve"> </v>
      </c>
      <c r="S159" s="4" t="str">
        <f ca="1">IF(OR(INDEX($AG$2:$AG$1001,MATCH(ROWS($AF$2:AF159),$AF$2:$AF$1001,0),1)&gt;=100000,INDEX($AM$1005:$BM$1005,1,MATCH(COLUMNS($AM$1006:BD1006),$AM$1006:$BM$1006,0))&gt;=100000), " ",IF(INDEX($AM$2:$BM$1001,MATCH(ROWS($AF$2:AF159),$AF$2:$AF$1001,0),MATCH(COLUMNS($AM$1006:BD1006),$AM$1006:$BM$1006,0)), HYPERLINK("#",""), HYPERLINK(CONCATENATE("#metadata!", ADDRESS(INDEX($AH$2:$AH$1001,MATCH(ROWS($AF$2:AF159),$AF$2:$AF$1001,0),0), INDEX($AM$1004:$BM$1004,1,MATCH(COLUMNS($AM$1006:BD1006),$AM$1006:$BM$1006,0)))),"Fix")))</f>
        <v xml:space="preserve"> </v>
      </c>
      <c r="T159" s="4" t="str">
        <f ca="1">IF(OR(INDEX($AG$2:$AG$1001,MATCH(ROWS($AF$2:AF159),$AF$2:$AF$1001,0),1)&gt;=100000,INDEX($AM$1005:$BM$1005,1,MATCH(COLUMNS($AM$1006:BE1006),$AM$1006:$BM$1006,0))&gt;=100000), " ",IF(INDEX($AM$2:$BM$1001,MATCH(ROWS($AF$2:AF159),$AF$2:$AF$1001,0),MATCH(COLUMNS($AM$1006:BE1006),$AM$1006:$BM$1006,0)), HYPERLINK("#",""), HYPERLINK(CONCATENATE("#metadata!", ADDRESS(INDEX($AH$2:$AH$1001,MATCH(ROWS($AF$2:AF159),$AF$2:$AF$1001,0),0), INDEX($AM$1004:$BM$1004,1,MATCH(COLUMNS($AM$1006:BE1006),$AM$1006:$BM$1006,0)))),"Fix")))</f>
        <v xml:space="preserve"> </v>
      </c>
      <c r="U159" s="4" t="str">
        <f ca="1">IF(OR(INDEX($AG$2:$AG$1001,MATCH(ROWS($AF$2:AF159),$AF$2:$AF$1001,0),1)&gt;=100000,INDEX($AM$1005:$BM$1005,1,MATCH(COLUMNS($AM$1006:BF1006),$AM$1006:$BM$1006,0))&gt;=100000), " ",IF(INDEX($AM$2:$BM$1001,MATCH(ROWS($AF$2:AF159),$AF$2:$AF$1001,0),MATCH(COLUMNS($AM$1006:BF1006),$AM$1006:$BM$1006,0)), HYPERLINK("#",""), HYPERLINK(CONCATENATE("#metadata!", ADDRESS(INDEX($AH$2:$AH$1001,MATCH(ROWS($AF$2:AF159),$AF$2:$AF$1001,0),0), INDEX($AM$1004:$BM$1004,1,MATCH(COLUMNS($AM$1006:BF1006),$AM$1006:$BM$1006,0)))),"Fix")))</f>
        <v xml:space="preserve"> </v>
      </c>
      <c r="V159" s="4" t="str">
        <f ca="1">IF(OR(INDEX($AG$2:$AG$1001,MATCH(ROWS($AF$2:AF159),$AF$2:$AF$1001,0),1)&gt;=100000,INDEX($AM$1005:$BM$1005,1,MATCH(COLUMNS($AM$1006:BG1006),$AM$1006:$BM$1006,0))&gt;=100000), " ",IF(INDEX($AM$2:$BM$1001,MATCH(ROWS($AF$2:AF159),$AF$2:$AF$1001,0),MATCH(COLUMNS($AM$1006:BG1006),$AM$1006:$BM$1006,0)), HYPERLINK("#",""), HYPERLINK(CONCATENATE("#metadata!", ADDRESS(INDEX($AH$2:$AH$1001,MATCH(ROWS($AF$2:AF159),$AF$2:$AF$1001,0),0), INDEX($AM$1004:$BM$1004,1,MATCH(COLUMNS($AM$1006:BG1006),$AM$1006:$BM$1006,0)))),"Fix")))</f>
        <v xml:space="preserve"> </v>
      </c>
      <c r="W159" s="4" t="str">
        <f ca="1">IF(OR(INDEX($AG$2:$AG$1001,MATCH(ROWS($AF$2:AF159),$AF$2:$AF$1001,0),1)&gt;=100000,INDEX($AM$1005:$BM$1005,1,MATCH(COLUMNS($AM$1006:BH1006),$AM$1006:$BM$1006,0))&gt;=100000), " ",IF(INDEX($AM$2:$BM$1001,MATCH(ROWS($AF$2:AF159),$AF$2:$AF$1001,0),MATCH(COLUMNS($AM$1006:BH1006),$AM$1006:$BM$1006,0)), HYPERLINK("#",""), HYPERLINK(CONCATENATE("#metadata!", ADDRESS(INDEX($AH$2:$AH$1001,MATCH(ROWS($AF$2:AF159),$AF$2:$AF$1001,0),0), INDEX($AM$1004:$BM$1004,1,MATCH(COLUMNS($AM$1006:BH1006),$AM$1006:$BM$1006,0)))),"Fix")))</f>
        <v xml:space="preserve"> </v>
      </c>
      <c r="X159" s="4" t="str">
        <f ca="1">IF(OR(INDEX($AG$2:$AG$1001,MATCH(ROWS($AF$2:AF159),$AF$2:$AF$1001,0),1)&gt;=100000,INDEX($AM$1005:$BM$1005,1,MATCH(COLUMNS($AM$1006:BI1006),$AM$1006:$BM$1006,0))&gt;=100000), " ",IF(INDEX($AM$2:$BM$1001,MATCH(ROWS($AF$2:AF159),$AF$2:$AF$1001,0),MATCH(COLUMNS($AM$1006:BI1006),$AM$1006:$BM$1006,0)), HYPERLINK("#",""), HYPERLINK(CONCATENATE("#metadata!", ADDRESS(INDEX($AH$2:$AH$1001,MATCH(ROWS($AF$2:AF159),$AF$2:$AF$1001,0),0), INDEX($AM$1004:$BM$1004,1,MATCH(COLUMNS($AM$1006:BI1006),$AM$1006:$BM$1006,0)))),"Fix")))</f>
        <v xml:space="preserve"> </v>
      </c>
      <c r="Y159" s="4" t="str">
        <f ca="1">IF(OR(INDEX($AG$2:$AG$1001,MATCH(ROWS($AF$2:AF159),$AF$2:$AF$1001,0),1)&gt;=100000,INDEX($AM$1005:$BM$1005,1,MATCH(COLUMNS($AM$1006:BJ1006),$AM$1006:$BM$1006,0))&gt;=100000), " ",IF(INDEX($AM$2:$BM$1001,MATCH(ROWS($AF$2:AF159),$AF$2:$AF$1001,0),MATCH(COLUMNS($AM$1006:BJ1006),$AM$1006:$BM$1006,0)), HYPERLINK("#",""), HYPERLINK(CONCATENATE("#metadata!", ADDRESS(INDEX($AH$2:$AH$1001,MATCH(ROWS($AF$2:AF159),$AF$2:$AF$1001,0),0), INDEX($AM$1004:$BM$1004,1,MATCH(COLUMNS($AM$1006:BJ1006),$AM$1006:$BM$1006,0)))),"Fix")))</f>
        <v xml:space="preserve"> </v>
      </c>
      <c r="Z159" s="4" t="str">
        <f ca="1">IF(OR(INDEX($AG$2:$AG$1001,MATCH(ROWS($AF$2:AF159),$AF$2:$AF$1001,0),1)&gt;=100000,INDEX($AM$1005:$BM$1005,1,MATCH(COLUMNS($AM$1006:BK1006),$AM$1006:$BM$1006,0))&gt;=100000), " ",IF(INDEX($AM$2:$BM$1001,MATCH(ROWS($AF$2:AF159),$AF$2:$AF$1001,0),MATCH(COLUMNS($AM$1006:BK1006),$AM$1006:$BM$1006,0)), HYPERLINK("#",""), HYPERLINK(CONCATENATE("#metadata!", ADDRESS(INDEX($AH$2:$AH$1001,MATCH(ROWS($AF$2:AF159),$AF$2:$AF$1001,0),0), INDEX($AM$1004:$BM$1004,1,MATCH(COLUMNS($AM$1006:BK1006),$AM$1006:$BM$1006,0)))),"Fix")))</f>
        <v xml:space="preserve"> </v>
      </c>
      <c r="AA159" s="4" t="str">
        <f ca="1">IF(OR(INDEX($AG$2:$AG$1001,MATCH(ROWS($AF$2:AF159),$AF$2:$AF$1001,0),1)&gt;=100000,INDEX($AM$1005:$BM$1005,1,MATCH(COLUMNS($AM$1006:BL1006),$AM$1006:$BM$1006,0))&gt;=100000), " ",IF(INDEX($AM$2:$BM$1001,MATCH(ROWS($AF$2:AF159),$AF$2:$AF$1001,0),MATCH(COLUMNS($AM$1006:BL1006),$AM$1006:$BM$1006,0)), HYPERLINK("#",""), HYPERLINK(CONCATENATE("#metadata!", ADDRESS(INDEX($AH$2:$AH$1001,MATCH(ROWS($AF$2:AF159),$AF$2:$AF$1001,0),0), INDEX($AM$1004:$BM$1004,1,MATCH(COLUMNS($AM$1006:BL1006),$AM$1006:$BM$1006,0)))),"Fix")))</f>
        <v xml:space="preserve"> </v>
      </c>
      <c r="AB159" s="4" t="str">
        <f ca="1">IF(OR(INDEX($AG$2:$AG$1001,MATCH(ROWS($AF$2:AF159),$AF$2:$AF$1001,0),1)&gt;=100000,INDEX($AM$1005:$BM$1005,1,MATCH(COLUMNS($AM$1006:BM1006),$AM$1006:$BM$1006,0))&gt;=100000), " ",IF(INDEX($AM$2:$BM$1001,MATCH(ROWS($AF$2:AF159),$AF$2:$AF$1001,0),MATCH(COLUMNS($AM$1006:BM1006),$AM$1006:$BM$1006,0)), HYPERLINK("#",""), HYPERLINK(CONCATENATE("#metadata!", ADDRESS(INDEX($AH$2:$AH$1001,MATCH(ROWS($AF$2:AF159),$AF$2:$AF$1001,0),0), INDEX($AM$1004:$BM$1004,1,MATCH(COLUMNS($AM$1006:BM1006),$AM$1006:$BM$1006,0)))),"Fix")))</f>
        <v xml:space="preserve"> </v>
      </c>
      <c r="AF159">
        <v>158</v>
      </c>
      <c r="AG159">
        <v>100159</v>
      </c>
      <c r="AH159">
        <v>159</v>
      </c>
      <c r="AI159" t="b">
        <f t="shared" si="2"/>
        <v>1</v>
      </c>
      <c r="AJ159" t="b">
        <f>COUNTBLANK(metadata!B159:AB159)=COLUMNS(metadata!B159:AB159)</f>
        <v>1</v>
      </c>
      <c r="AK159" t="str">
        <v/>
      </c>
      <c r="AM159" t="b">
        <f ca="1">AND(IF(metadata!B159="",FALSE,TRUE),COUNTIF(metadata!B:B, metadata!B159) = 1,NOT(ISERROR(SUMPRODUCT(SEARCH(MID(metadata!B159,ROW(INDIRECT("1:"&amp;LEN(metadata!B159))), 1),"0123456789abcdefghijklmnopqrstuvwxyzABCDEFGHIJKLMNOPQRSTUVWXYZ.")))))</f>
        <v>0</v>
      </c>
      <c r="AN159" t="b">
        <f ca="1">OR(AND(IF(metadata!C159="",FALSE,TRUE),OR(EXACT(metadata!C159,"missing: not collected"),EXACT(metadata!C159,"missing: not provided"),EXACT(metadata!C159,"missing: restricted access"))),AND(IF(metadata!C159="",FALSE,TRUE),AND(AND(IFERROR(INT(LEFT(metadata!C159,4))&gt;1900,FALSE),IFERROR(INT(LEFT(metadata!C159,4))&lt;=YEAR(NOW()),FALSE)), OR(MID(metadata!C159,5,1)="", AND(AND(MID(metadata!C159,5,1)="-",IFERROR(INT(MID(metadata!C159,6,1))&gt;=0,FALSE),IFERROR(INT(MID(metadata!C159,6,1))&lt;=1,FALSE),NOT(MID(metadata!C159,7,1)=""),IFERROR(INT(MID(metadata!C159,6,2))&gt;=1,FALSE),IFERROR(INT(MID(metadata!C159,6,2))&lt;=12,FALSE)), OR(MID(metadata!C159,8,1)="", AND(AND(MID(metadata!C159,8,1)="-",IFERROR(INT(MID(metadata!C159,9,1))&gt;=0,FALSE),IFERROR(INT(MID(metadata!C159,9,1))&lt;=3,FALSE),NOT(MID(metadata!C159,10,1)=""),IFERROR(INT(MID(metadata!C159,9,2))&gt;=1,FALSE),IFERROR(INT(MID(metadata!C159,9,2))&lt;=31,FALSE)), OR(MID(metadata!C159,11,1)="", AND(AND(MID(metadata!C159,11,1)=" ",IFERROR(INT(MID(metadata!C159,12,1))&gt;=0,FALSE),IFERROR(INT(MID(metadata!C159,12,1))&lt;=2,FALSE),NOT(MID(metadata!C159,13,1)=""),IFERROR(INT(MID(metadata!C159,12,2))&gt;=0,FALSE),IFERROR(INT(MID(metadata!C159,12,2))&lt;=23,FALSE)), OR(MID(metadata!C159,14,1)="", AND(AND(MID(metadata!C159,14,1)=":",IFERROR(INT(MID(metadata!C159,15,1))&gt;=0,FALSE),IFERROR(INT(MID(metadata!C159,15,1))&lt;=5,FALSE),NOT(MID(metadata!C159,16,1)=""),IFERROR(INT(MID(metadata!C159,15,2))&gt;=0,FALSE),IFERROR(INT(MID(metadata!C159,15,2))&lt;=59,FALSE)), OR(MID(metadata!C159,17,1)="", AND(AND(MID(metadata!C159,17,1)=":",IFERROR(INT(MID(metadata!C159,18,1))&gt;=0,FALSE),IFERROR(INT(MID(metadata!C159,18,1))&lt;=5,FALSE),NOT(MID(metadata!C159,19,1)=""),IFERROR(INT(MID(metadata!C159,18,2))&gt;=0,FALSE),IFERROR(INT(MID(metadata!C159,18,2))&lt;=59,FALSE)), LEN(metadata!C159)&lt;=19)))))))))))))</f>
        <v>0</v>
      </c>
      <c r="AO159" t="b">
        <f>AND(IF(metadata!D159="",FALSE,TRUE),EXACT(metadata!D159,"Not applicable"))</f>
        <v>0</v>
      </c>
      <c r="AP159" t="b">
        <f>IF(metadata!E159="",FALSE,TRUE)</f>
        <v>0</v>
      </c>
      <c r="AQ159" t="b">
        <f>OR(AND(IF(metadata!F159="",FALSE,TRUE),OR(EXACT(metadata!F159,"missing: not collected"),EXACT(metadata!F159,"missing: not provided"))),AND(IF(metadata!F159="",FALSE,TRUE),OR(EXACT(metadata!F159,"TRUE"),EXACT(metadata!F159,"FALSE"))))</f>
        <v>0</v>
      </c>
      <c r="AR159" t="b">
        <f>OR(AND(IF(metadata!G159="",FALSE,TRUE),OR(EXACT(metadata!G159,"missing: not collected"),EXACT(metadata!G159,"missing: not provided"),EXACT(metadata!G159,"missing: restricted access"))),AND(IF(metadata!G159="",FALSE,ISNUMBER(VALUE(metadata!G159))),metadata!G159&gt;=-413))</f>
        <v>0</v>
      </c>
      <c r="AS159" t="b">
        <f>AND(IF(metadata!H159="",FALSE,TRUE),EXACT(metadata!H159,"meters"))</f>
        <v>0</v>
      </c>
      <c r="AT159" t="b">
        <f>AND(IF(metadata!I159="",FALSE,TRUE),OR(EXACT(metadata!I159,"Host-associated"),EXACT(metadata!I159,"Free-living")))</f>
        <v>0</v>
      </c>
      <c r="AU159" t="b">
        <f>AND(IF(metadata!J159="",FALSE,TRUE),OR(EXACT(metadata!J159,"Animal"),EXACT(metadata!J159,"Fungus"),EXACT(metadata!J159,"Plant"),EXACT(metadata!J159,"Saline"),EXACT(metadata!J159,"Non-saline")))</f>
        <v>0</v>
      </c>
      <c r="AV159" t="b">
        <f>AND(IF(metadata!K159="",FALSE,TRUE),OR(EXACT(metadata!K159,"Plant secretion"),EXACT(metadata!K159,"Plant rhizosphere"),EXACT(metadata!K159,"Plant surface"),EXACT(metadata!K159,"Plant corpus"),EXACT(metadata!K159,"Fungus surface"),EXACT(metadata!K159,"Fungus corpus"),EXACT(metadata!K159,"Animal surface"),EXACT(metadata!K159,"Animal proximal gut"),EXACT(metadata!K159,"Animal corpus"),EXACT(metadata!K159,"Animal distal gut"),EXACT(metadata!K159,"Animal secretion"),EXACT(metadata!K159,"Sub-surface (non-saline)"),EXACT(metadata!K159,"Surface (non-saline)"),EXACT(metadata!K159,"Water (non-saline)"),EXACT(metadata!K159,"Soil (non-saline)"),EXACT(metadata!K159,"Aerosol (non-saline)"),EXACT(metadata!K159,"Sediment (non-saline)"),EXACT(metadata!K159,"Surface (saline)"),EXACT(metadata!K159,"Water (saline)"),EXACT(metadata!K159,"Hypersaline (saline)"),EXACT(metadata!K159,"Aerosol (saline)"),EXACT(metadata!K159,"Sediment (saline)")))</f>
        <v>0</v>
      </c>
      <c r="AW159" t="b">
        <f>IF(metadata!L159="",FALSE,TRUE)</f>
        <v>0</v>
      </c>
      <c r="AX159" t="b">
        <f>IF(metadata!M159="",FALSE,TRUE)</f>
        <v>0</v>
      </c>
      <c r="AY159" t="b">
        <f>IF(metadata!N159="",FALSE,TRUE)</f>
        <v>0</v>
      </c>
      <c r="AZ159" t="b">
        <f>OR(AND(IF(metadata!O159="",FALSE,TRUE),OR(EXACT(metadata!O159,"missing: not collected"),EXACT(metadata!O159,"missing: not provided"),EXACT(metadata!O159,"missing: restricted access"))),AND(IF(metadata!O159="",FALSE,TRUE),OR(EXACT(metadata!O159,"air"),EXACT(metadata!O159,"built environment"),EXACT(metadata!O159,"host-associated"),EXACT(metadata!O159,"human-associated"),EXACT(metadata!O159,"human-skin"),EXACT(metadata!O159,"human-oral"),EXACT(metadata!O159,"human-gut"),EXACT(metadata!O159,"human-vaginal"),EXACT(metadata!O159,"microbial mat/biofilm"),EXACT(metadata!O159,"misc environment"),EXACT(metadata!O159,"plant-associated"),EXACT(metadata!O159,"sediment"),EXACT(metadata!O159,"soil"),EXACT(metadata!O159,"wastewater/sludge"),EXACT(metadata!O159,"water"))))</f>
        <v>0</v>
      </c>
      <c r="BA159" t="b">
        <f>IF(metadata!P159="",FALSE,TRUE)</f>
        <v>0</v>
      </c>
      <c r="BB159" t="b">
        <f>IF(metadata!Q159="",FALSE,TRUE)</f>
        <v>0</v>
      </c>
      <c r="BC159" t="b">
        <f>OR(AND(IF(metadata!R159="",FALSE,TRUE),OR(EXACT(metadata!R159,"missing: not collected"),EXACT(metadata!R159,"missing: not provided"),EXACT(metadata!R159,"missing: restricted access"))),AND(IF(metadata!R159="",FALSE,ISNUMBER(VALUE(metadata!R159))),metadata!R159&gt;=-90,metadata!R159&lt;=90))</f>
        <v>0</v>
      </c>
      <c r="BD159" t="b">
        <f>AND(IF(metadata!S159="",FALSE,TRUE),EXACT(metadata!S159,"Decimal degrees"))</f>
        <v>0</v>
      </c>
      <c r="BE159" t="b">
        <f>OR(AND(IF(metadata!T159="",FALSE,TRUE),OR(EXACT(metadata!T159,"missing: not collected"),EXACT(metadata!T159,"missing: not provided"),EXACT(metadata!T159,"missing: restricted access"))),AND(IF(metadata!T159="",FALSE,ISNUMBER(VALUE(metadata!T159))),metadata!T159&gt;=-180,metadata!T159&lt;=180))</f>
        <v>0</v>
      </c>
      <c r="BF159" t="b">
        <f>AND(IF(metadata!U159="",FALSE,TRUE),EXACT(metadata!U159,"Decimal degrees"))</f>
        <v>0</v>
      </c>
      <c r="BG159" t="b">
        <f>IF(metadata!V159="",FALSE,TRUE)</f>
        <v>0</v>
      </c>
      <c r="BH159" t="b">
        <f>OR(AND(IF(metadata!W159="",FALSE,TRUE),OR(EXACT(metadata!W159,"missing: not collected"),EXACT(metadata!W159,"missing: not provided"),EXACT(metadata!W159,"missing: restricted access"))),AND(IF(metadata!W159="",FALSE,TRUE),OR(EXACT(metadata!W159,"TRUE"),EXACT(metadata!W159,"FALSE"))))</f>
        <v>0</v>
      </c>
      <c r="BI159" t="b">
        <f>AND(IF(metadata!X159="",FALSE,TRUE),EXACT(metadata!X159,"other"))</f>
        <v>0</v>
      </c>
      <c r="BJ159" t="b">
        <f>IF(metadata!Y159="",FALSE,TRUE)</f>
        <v>0</v>
      </c>
      <c r="BK159" t="b">
        <f>OR(AND(IF(metadata!Z159="",FALSE,TRUE),OR(EXACT(metadata!Z159,"missing: not collected"),EXACT(metadata!Z159,"missing: not provided"))),AND(IF(metadata!Z159="",FALSE,IF(ISERROR(INT(metadata!Z159)),FALSE,INT(metadata!Z159)=metadata!Z159)),metadata!Z159&gt;0))</f>
        <v>0</v>
      </c>
      <c r="BL159" t="b">
        <f>AND(IF(metadata!AA159="",FALSE,TRUE),EXACT(metadata!AA159,"Not applicable"))</f>
        <v>0</v>
      </c>
      <c r="BM159" t="b">
        <f>IF(metadata!AB159="",FALSE,TRUE)</f>
        <v>0</v>
      </c>
    </row>
    <row r="160" spans="1:65" x14ac:dyDescent="0.2">
      <c r="A160" s="5" t="str">
        <f ca="1">IF(B160=" "," ",HYPERLINK(CONCATENATE("#metadata!",ADDRESS(INDEX($AH$2:$AH$1001,MATCH(ROWS($AF$2:AF160),$AF$2:$AF$1001,0),0),1)),INDEX($AK$2:$AK$1001,MATCH(ROWS($AF$2:AF160),$AF$2:$AF$1001,0),0)))</f>
        <v xml:space="preserve"> </v>
      </c>
      <c r="B160" s="4" t="str">
        <f ca="1">IF(OR(INDEX($AG$2:$AG$1001,MATCH(ROWS($AF$2:AF160),$AF$2:$AF$1001,0),1)&gt;=100000,INDEX($AM$1005:$BM$1005,1,MATCH(COLUMNS($AM$1006:AM1006),$AM$1006:$BM$1006,0))&gt;=100000), " ",IF(INDEX($AM$2:$BM$1001,MATCH(ROWS($AF$2:AF160),$AF$2:$AF$1001,0),MATCH(COLUMNS($AM$1006:AM1006),$AM$1006:$BM$1006,0)), HYPERLINK("#",""), HYPERLINK(CONCATENATE("#metadata!", ADDRESS(INDEX($AH$2:$AH$1001,MATCH(ROWS($AF$2:AF160),$AF$2:$AF$1001,0),0), INDEX($AM$1004:$BM$1004,1,MATCH(COLUMNS($AM$1006:AM1006),$AM$1006:$BM$1006,0)))),"Fix")))</f>
        <v xml:space="preserve"> </v>
      </c>
      <c r="C160" s="4" t="str">
        <f ca="1">IF(OR(INDEX($AG$2:$AG$1001,MATCH(ROWS($AF$2:AF160),$AF$2:$AF$1001,0),1)&gt;=100000,INDEX($AM$1005:$BM$1005,1,MATCH(COLUMNS($AM$1006:AN1006),$AM$1006:$BM$1006,0))&gt;=100000), " ",IF(INDEX($AM$2:$BM$1001,MATCH(ROWS($AF$2:AF160),$AF$2:$AF$1001,0),MATCH(COLUMNS($AM$1006:AN1006),$AM$1006:$BM$1006,0)), HYPERLINK("#",""), HYPERLINK(CONCATENATE("#metadata!", ADDRESS(INDEX($AH$2:$AH$1001,MATCH(ROWS($AF$2:AF160),$AF$2:$AF$1001,0),0), INDEX($AM$1004:$BM$1004,1,MATCH(COLUMNS($AM$1006:AN1006),$AM$1006:$BM$1006,0)))),"Fix")))</f>
        <v xml:space="preserve"> </v>
      </c>
      <c r="D160" s="4" t="str">
        <f ca="1">IF(OR(INDEX($AG$2:$AG$1001,MATCH(ROWS($AF$2:AF160),$AF$2:$AF$1001,0),1)&gt;=100000,INDEX($AM$1005:$BM$1005,1,MATCH(COLUMNS($AM$1006:AO1006),$AM$1006:$BM$1006,0))&gt;=100000), " ",IF(INDEX($AM$2:$BM$1001,MATCH(ROWS($AF$2:AF160),$AF$2:$AF$1001,0),MATCH(COLUMNS($AM$1006:AO1006),$AM$1006:$BM$1006,0)), HYPERLINK("#",""), HYPERLINK(CONCATENATE("#metadata!", ADDRESS(INDEX($AH$2:$AH$1001,MATCH(ROWS($AF$2:AF160),$AF$2:$AF$1001,0),0), INDEX($AM$1004:$BM$1004,1,MATCH(COLUMNS($AM$1006:AO1006),$AM$1006:$BM$1006,0)))),"Fix")))</f>
        <v xml:space="preserve"> </v>
      </c>
      <c r="E160" s="4" t="str">
        <f ca="1">IF(OR(INDEX($AG$2:$AG$1001,MATCH(ROWS($AF$2:AF160),$AF$2:$AF$1001,0),1)&gt;=100000,INDEX($AM$1005:$BM$1005,1,MATCH(COLUMNS($AM$1006:AP1006),$AM$1006:$BM$1006,0))&gt;=100000), " ",IF(INDEX($AM$2:$BM$1001,MATCH(ROWS($AF$2:AF160),$AF$2:$AF$1001,0),MATCH(COLUMNS($AM$1006:AP1006),$AM$1006:$BM$1006,0)), HYPERLINK("#",""), HYPERLINK(CONCATENATE("#metadata!", ADDRESS(INDEX($AH$2:$AH$1001,MATCH(ROWS($AF$2:AF160),$AF$2:$AF$1001,0),0), INDEX($AM$1004:$BM$1004,1,MATCH(COLUMNS($AM$1006:AP1006),$AM$1006:$BM$1006,0)))),"Fix")))</f>
        <v xml:space="preserve"> </v>
      </c>
      <c r="F160" s="4" t="str">
        <f ca="1">IF(OR(INDEX($AG$2:$AG$1001,MATCH(ROWS($AF$2:AF160),$AF$2:$AF$1001,0),1)&gt;=100000,INDEX($AM$1005:$BM$1005,1,MATCH(COLUMNS($AM$1006:AQ1006),$AM$1006:$BM$1006,0))&gt;=100000), " ",IF(INDEX($AM$2:$BM$1001,MATCH(ROWS($AF$2:AF160),$AF$2:$AF$1001,0),MATCH(COLUMNS($AM$1006:AQ1006),$AM$1006:$BM$1006,0)), HYPERLINK("#",""), HYPERLINK(CONCATENATE("#metadata!", ADDRESS(INDEX($AH$2:$AH$1001,MATCH(ROWS($AF$2:AF160),$AF$2:$AF$1001,0),0), INDEX($AM$1004:$BM$1004,1,MATCH(COLUMNS($AM$1006:AQ1006),$AM$1006:$BM$1006,0)))),"Fix")))</f>
        <v xml:space="preserve"> </v>
      </c>
      <c r="G160" s="4" t="str">
        <f ca="1">IF(OR(INDEX($AG$2:$AG$1001,MATCH(ROWS($AF$2:AF160),$AF$2:$AF$1001,0),1)&gt;=100000,INDEX($AM$1005:$BM$1005,1,MATCH(COLUMNS($AM$1006:AR1006),$AM$1006:$BM$1006,0))&gt;=100000), " ",IF(INDEX($AM$2:$BM$1001,MATCH(ROWS($AF$2:AF160),$AF$2:$AF$1001,0),MATCH(COLUMNS($AM$1006:AR1006),$AM$1006:$BM$1006,0)), HYPERLINK("#",""), HYPERLINK(CONCATENATE("#metadata!", ADDRESS(INDEX($AH$2:$AH$1001,MATCH(ROWS($AF$2:AF160),$AF$2:$AF$1001,0),0), INDEX($AM$1004:$BM$1004,1,MATCH(COLUMNS($AM$1006:AR1006),$AM$1006:$BM$1006,0)))),"Fix")))</f>
        <v xml:space="preserve"> </v>
      </c>
      <c r="H160" s="4" t="str">
        <f ca="1">IF(OR(INDEX($AG$2:$AG$1001,MATCH(ROWS($AF$2:AF160),$AF$2:$AF$1001,0),1)&gt;=100000,INDEX($AM$1005:$BM$1005,1,MATCH(COLUMNS($AM$1006:AS1006),$AM$1006:$BM$1006,0))&gt;=100000), " ",IF(INDEX($AM$2:$BM$1001,MATCH(ROWS($AF$2:AF160),$AF$2:$AF$1001,0),MATCH(COLUMNS($AM$1006:AS1006),$AM$1006:$BM$1006,0)), HYPERLINK("#",""), HYPERLINK(CONCATENATE("#metadata!", ADDRESS(INDEX($AH$2:$AH$1001,MATCH(ROWS($AF$2:AF160),$AF$2:$AF$1001,0),0), INDEX($AM$1004:$BM$1004,1,MATCH(COLUMNS($AM$1006:AS1006),$AM$1006:$BM$1006,0)))),"Fix")))</f>
        <v xml:space="preserve"> </v>
      </c>
      <c r="I160" s="4" t="str">
        <f ca="1">IF(OR(INDEX($AG$2:$AG$1001,MATCH(ROWS($AF$2:AF160),$AF$2:$AF$1001,0),1)&gt;=100000,INDEX($AM$1005:$BM$1005,1,MATCH(COLUMNS($AM$1006:AT1006),$AM$1006:$BM$1006,0))&gt;=100000), " ",IF(INDEX($AM$2:$BM$1001,MATCH(ROWS($AF$2:AF160),$AF$2:$AF$1001,0),MATCH(COLUMNS($AM$1006:AT1006),$AM$1006:$BM$1006,0)), HYPERLINK("#",""), HYPERLINK(CONCATENATE("#metadata!", ADDRESS(INDEX($AH$2:$AH$1001,MATCH(ROWS($AF$2:AF160),$AF$2:$AF$1001,0),0), INDEX($AM$1004:$BM$1004,1,MATCH(COLUMNS($AM$1006:AT1006),$AM$1006:$BM$1006,0)))),"Fix")))</f>
        <v xml:space="preserve"> </v>
      </c>
      <c r="J160" s="4" t="str">
        <f ca="1">IF(OR(INDEX($AG$2:$AG$1001,MATCH(ROWS($AF$2:AF160),$AF$2:$AF$1001,0),1)&gt;=100000,INDEX($AM$1005:$BM$1005,1,MATCH(COLUMNS($AM$1006:AU1006),$AM$1006:$BM$1006,0))&gt;=100000), " ",IF(INDEX($AM$2:$BM$1001,MATCH(ROWS($AF$2:AF160),$AF$2:$AF$1001,0),MATCH(COLUMNS($AM$1006:AU1006),$AM$1006:$BM$1006,0)), HYPERLINK("#",""), HYPERLINK(CONCATENATE("#metadata!", ADDRESS(INDEX($AH$2:$AH$1001,MATCH(ROWS($AF$2:AF160),$AF$2:$AF$1001,0),0), INDEX($AM$1004:$BM$1004,1,MATCH(COLUMNS($AM$1006:AU1006),$AM$1006:$BM$1006,0)))),"Fix")))</f>
        <v xml:space="preserve"> </v>
      </c>
      <c r="K160" s="4" t="str">
        <f ca="1">IF(OR(INDEX($AG$2:$AG$1001,MATCH(ROWS($AF$2:AF160),$AF$2:$AF$1001,0),1)&gt;=100000,INDEX($AM$1005:$BM$1005,1,MATCH(COLUMNS($AM$1006:AV1006),$AM$1006:$BM$1006,0))&gt;=100000), " ",IF(INDEX($AM$2:$BM$1001,MATCH(ROWS($AF$2:AF160),$AF$2:$AF$1001,0),MATCH(COLUMNS($AM$1006:AV1006),$AM$1006:$BM$1006,0)), HYPERLINK("#",""), HYPERLINK(CONCATENATE("#metadata!", ADDRESS(INDEX($AH$2:$AH$1001,MATCH(ROWS($AF$2:AF160),$AF$2:$AF$1001,0),0), INDEX($AM$1004:$BM$1004,1,MATCH(COLUMNS($AM$1006:AV1006),$AM$1006:$BM$1006,0)))),"Fix")))</f>
        <v xml:space="preserve"> </v>
      </c>
      <c r="L160" s="4" t="str">
        <f ca="1">IF(OR(INDEX($AG$2:$AG$1001,MATCH(ROWS($AF$2:AF160),$AF$2:$AF$1001,0),1)&gt;=100000,INDEX($AM$1005:$BM$1005,1,MATCH(COLUMNS($AM$1006:AW1006),$AM$1006:$BM$1006,0))&gt;=100000), " ",IF(INDEX($AM$2:$BM$1001,MATCH(ROWS($AF$2:AF160),$AF$2:$AF$1001,0),MATCH(COLUMNS($AM$1006:AW1006),$AM$1006:$BM$1006,0)), HYPERLINK("#",""), HYPERLINK(CONCATENATE("#metadata!", ADDRESS(INDEX($AH$2:$AH$1001,MATCH(ROWS($AF$2:AF160),$AF$2:$AF$1001,0),0), INDEX($AM$1004:$BM$1004,1,MATCH(COLUMNS($AM$1006:AW1006),$AM$1006:$BM$1006,0)))),"Fix")))</f>
        <v xml:space="preserve"> </v>
      </c>
      <c r="M160" s="4" t="str">
        <f ca="1">IF(OR(INDEX($AG$2:$AG$1001,MATCH(ROWS($AF$2:AF160),$AF$2:$AF$1001,0),1)&gt;=100000,INDEX($AM$1005:$BM$1005,1,MATCH(COLUMNS($AM$1006:AX1006),$AM$1006:$BM$1006,0))&gt;=100000), " ",IF(INDEX($AM$2:$BM$1001,MATCH(ROWS($AF$2:AF160),$AF$2:$AF$1001,0),MATCH(COLUMNS($AM$1006:AX1006),$AM$1006:$BM$1006,0)), HYPERLINK("#",""), HYPERLINK(CONCATENATE("#metadata!", ADDRESS(INDEX($AH$2:$AH$1001,MATCH(ROWS($AF$2:AF160),$AF$2:$AF$1001,0),0), INDEX($AM$1004:$BM$1004,1,MATCH(COLUMNS($AM$1006:AX1006),$AM$1006:$BM$1006,0)))),"Fix")))</f>
        <v xml:space="preserve"> </v>
      </c>
      <c r="N160" s="4" t="str">
        <f ca="1">IF(OR(INDEX($AG$2:$AG$1001,MATCH(ROWS($AF$2:AF160),$AF$2:$AF$1001,0),1)&gt;=100000,INDEX($AM$1005:$BM$1005,1,MATCH(COLUMNS($AM$1006:AY1006),$AM$1006:$BM$1006,0))&gt;=100000), " ",IF(INDEX($AM$2:$BM$1001,MATCH(ROWS($AF$2:AF160),$AF$2:$AF$1001,0),MATCH(COLUMNS($AM$1006:AY1006),$AM$1006:$BM$1006,0)), HYPERLINK("#",""), HYPERLINK(CONCATENATE("#metadata!", ADDRESS(INDEX($AH$2:$AH$1001,MATCH(ROWS($AF$2:AF160),$AF$2:$AF$1001,0),0), INDEX($AM$1004:$BM$1004,1,MATCH(COLUMNS($AM$1006:AY1006),$AM$1006:$BM$1006,0)))),"Fix")))</f>
        <v xml:space="preserve"> </v>
      </c>
      <c r="O160" s="4" t="str">
        <f ca="1">IF(OR(INDEX($AG$2:$AG$1001,MATCH(ROWS($AF$2:AF160),$AF$2:$AF$1001,0),1)&gt;=100000,INDEX($AM$1005:$BM$1005,1,MATCH(COLUMNS($AM$1006:AZ1006),$AM$1006:$BM$1006,0))&gt;=100000), " ",IF(INDEX($AM$2:$BM$1001,MATCH(ROWS($AF$2:AF160),$AF$2:$AF$1001,0),MATCH(COLUMNS($AM$1006:AZ1006),$AM$1006:$BM$1006,0)), HYPERLINK("#",""), HYPERLINK(CONCATENATE("#metadata!", ADDRESS(INDEX($AH$2:$AH$1001,MATCH(ROWS($AF$2:AF160),$AF$2:$AF$1001,0),0), INDEX($AM$1004:$BM$1004,1,MATCH(COLUMNS($AM$1006:AZ1006),$AM$1006:$BM$1006,0)))),"Fix")))</f>
        <v xml:space="preserve"> </v>
      </c>
      <c r="P160" s="4" t="str">
        <f ca="1">IF(OR(INDEX($AG$2:$AG$1001,MATCH(ROWS($AF$2:AF160),$AF$2:$AF$1001,0),1)&gt;=100000,INDEX($AM$1005:$BM$1005,1,MATCH(COLUMNS($AM$1006:BA1006),$AM$1006:$BM$1006,0))&gt;=100000), " ",IF(INDEX($AM$2:$BM$1001,MATCH(ROWS($AF$2:AF160),$AF$2:$AF$1001,0),MATCH(COLUMNS($AM$1006:BA1006),$AM$1006:$BM$1006,0)), HYPERLINK("#",""), HYPERLINK(CONCATENATE("#metadata!", ADDRESS(INDEX($AH$2:$AH$1001,MATCH(ROWS($AF$2:AF160),$AF$2:$AF$1001,0),0), INDEX($AM$1004:$BM$1004,1,MATCH(COLUMNS($AM$1006:BA1006),$AM$1006:$BM$1006,0)))),"Fix")))</f>
        <v xml:space="preserve"> </v>
      </c>
      <c r="Q160" s="4" t="str">
        <f ca="1">IF(OR(INDEX($AG$2:$AG$1001,MATCH(ROWS($AF$2:AF160),$AF$2:$AF$1001,0),1)&gt;=100000,INDEX($AM$1005:$BM$1005,1,MATCH(COLUMNS($AM$1006:BB1006),$AM$1006:$BM$1006,0))&gt;=100000), " ",IF(INDEX($AM$2:$BM$1001,MATCH(ROWS($AF$2:AF160),$AF$2:$AF$1001,0),MATCH(COLUMNS($AM$1006:BB1006),$AM$1006:$BM$1006,0)), HYPERLINK("#",""), HYPERLINK(CONCATENATE("#metadata!", ADDRESS(INDEX($AH$2:$AH$1001,MATCH(ROWS($AF$2:AF160),$AF$2:$AF$1001,0),0), INDEX($AM$1004:$BM$1004,1,MATCH(COLUMNS($AM$1006:BB1006),$AM$1006:$BM$1006,0)))),"Fix")))</f>
        <v xml:space="preserve"> </v>
      </c>
      <c r="R160" s="4" t="str">
        <f ca="1">IF(OR(INDEX($AG$2:$AG$1001,MATCH(ROWS($AF$2:AF160),$AF$2:$AF$1001,0),1)&gt;=100000,INDEX($AM$1005:$BM$1005,1,MATCH(COLUMNS($AM$1006:BC1006),$AM$1006:$BM$1006,0))&gt;=100000), " ",IF(INDEX($AM$2:$BM$1001,MATCH(ROWS($AF$2:AF160),$AF$2:$AF$1001,0),MATCH(COLUMNS($AM$1006:BC1006),$AM$1006:$BM$1006,0)), HYPERLINK("#",""), HYPERLINK(CONCATENATE("#metadata!", ADDRESS(INDEX($AH$2:$AH$1001,MATCH(ROWS($AF$2:AF160),$AF$2:$AF$1001,0),0), INDEX($AM$1004:$BM$1004,1,MATCH(COLUMNS($AM$1006:BC1006),$AM$1006:$BM$1006,0)))),"Fix")))</f>
        <v xml:space="preserve"> </v>
      </c>
      <c r="S160" s="4" t="str">
        <f ca="1">IF(OR(INDEX($AG$2:$AG$1001,MATCH(ROWS($AF$2:AF160),$AF$2:$AF$1001,0),1)&gt;=100000,INDEX($AM$1005:$BM$1005,1,MATCH(COLUMNS($AM$1006:BD1006),$AM$1006:$BM$1006,0))&gt;=100000), " ",IF(INDEX($AM$2:$BM$1001,MATCH(ROWS($AF$2:AF160),$AF$2:$AF$1001,0),MATCH(COLUMNS($AM$1006:BD1006),$AM$1006:$BM$1006,0)), HYPERLINK("#",""), HYPERLINK(CONCATENATE("#metadata!", ADDRESS(INDEX($AH$2:$AH$1001,MATCH(ROWS($AF$2:AF160),$AF$2:$AF$1001,0),0), INDEX($AM$1004:$BM$1004,1,MATCH(COLUMNS($AM$1006:BD1006),$AM$1006:$BM$1006,0)))),"Fix")))</f>
        <v xml:space="preserve"> </v>
      </c>
      <c r="T160" s="4" t="str">
        <f ca="1">IF(OR(INDEX($AG$2:$AG$1001,MATCH(ROWS($AF$2:AF160),$AF$2:$AF$1001,0),1)&gt;=100000,INDEX($AM$1005:$BM$1005,1,MATCH(COLUMNS($AM$1006:BE1006),$AM$1006:$BM$1006,0))&gt;=100000), " ",IF(INDEX($AM$2:$BM$1001,MATCH(ROWS($AF$2:AF160),$AF$2:$AF$1001,0),MATCH(COLUMNS($AM$1006:BE1006),$AM$1006:$BM$1006,0)), HYPERLINK("#",""), HYPERLINK(CONCATENATE("#metadata!", ADDRESS(INDEX($AH$2:$AH$1001,MATCH(ROWS($AF$2:AF160),$AF$2:$AF$1001,0),0), INDEX($AM$1004:$BM$1004,1,MATCH(COLUMNS($AM$1006:BE1006),$AM$1006:$BM$1006,0)))),"Fix")))</f>
        <v xml:space="preserve"> </v>
      </c>
      <c r="U160" s="4" t="str">
        <f ca="1">IF(OR(INDEX($AG$2:$AG$1001,MATCH(ROWS($AF$2:AF160),$AF$2:$AF$1001,0),1)&gt;=100000,INDEX($AM$1005:$BM$1005,1,MATCH(COLUMNS($AM$1006:BF1006),$AM$1006:$BM$1006,0))&gt;=100000), " ",IF(INDEX($AM$2:$BM$1001,MATCH(ROWS($AF$2:AF160),$AF$2:$AF$1001,0),MATCH(COLUMNS($AM$1006:BF1006),$AM$1006:$BM$1006,0)), HYPERLINK("#",""), HYPERLINK(CONCATENATE("#metadata!", ADDRESS(INDEX($AH$2:$AH$1001,MATCH(ROWS($AF$2:AF160),$AF$2:$AF$1001,0),0), INDEX($AM$1004:$BM$1004,1,MATCH(COLUMNS($AM$1006:BF1006),$AM$1006:$BM$1006,0)))),"Fix")))</f>
        <v xml:space="preserve"> </v>
      </c>
      <c r="V160" s="4" t="str">
        <f ca="1">IF(OR(INDEX($AG$2:$AG$1001,MATCH(ROWS($AF$2:AF160),$AF$2:$AF$1001,0),1)&gt;=100000,INDEX($AM$1005:$BM$1005,1,MATCH(COLUMNS($AM$1006:BG1006),$AM$1006:$BM$1006,0))&gt;=100000), " ",IF(INDEX($AM$2:$BM$1001,MATCH(ROWS($AF$2:AF160),$AF$2:$AF$1001,0),MATCH(COLUMNS($AM$1006:BG1006),$AM$1006:$BM$1006,0)), HYPERLINK("#",""), HYPERLINK(CONCATENATE("#metadata!", ADDRESS(INDEX($AH$2:$AH$1001,MATCH(ROWS($AF$2:AF160),$AF$2:$AF$1001,0),0), INDEX($AM$1004:$BM$1004,1,MATCH(COLUMNS($AM$1006:BG1006),$AM$1006:$BM$1006,0)))),"Fix")))</f>
        <v xml:space="preserve"> </v>
      </c>
      <c r="W160" s="4" t="str">
        <f ca="1">IF(OR(INDEX($AG$2:$AG$1001,MATCH(ROWS($AF$2:AF160),$AF$2:$AF$1001,0),1)&gt;=100000,INDEX($AM$1005:$BM$1005,1,MATCH(COLUMNS($AM$1006:BH1006),$AM$1006:$BM$1006,0))&gt;=100000), " ",IF(INDEX($AM$2:$BM$1001,MATCH(ROWS($AF$2:AF160),$AF$2:$AF$1001,0),MATCH(COLUMNS($AM$1006:BH1006),$AM$1006:$BM$1006,0)), HYPERLINK("#",""), HYPERLINK(CONCATENATE("#metadata!", ADDRESS(INDEX($AH$2:$AH$1001,MATCH(ROWS($AF$2:AF160),$AF$2:$AF$1001,0),0), INDEX($AM$1004:$BM$1004,1,MATCH(COLUMNS($AM$1006:BH1006),$AM$1006:$BM$1006,0)))),"Fix")))</f>
        <v xml:space="preserve"> </v>
      </c>
      <c r="X160" s="4" t="str">
        <f ca="1">IF(OR(INDEX($AG$2:$AG$1001,MATCH(ROWS($AF$2:AF160),$AF$2:$AF$1001,0),1)&gt;=100000,INDEX($AM$1005:$BM$1005,1,MATCH(COLUMNS($AM$1006:BI1006),$AM$1006:$BM$1006,0))&gt;=100000), " ",IF(INDEX($AM$2:$BM$1001,MATCH(ROWS($AF$2:AF160),$AF$2:$AF$1001,0),MATCH(COLUMNS($AM$1006:BI1006),$AM$1006:$BM$1006,0)), HYPERLINK("#",""), HYPERLINK(CONCATENATE("#metadata!", ADDRESS(INDEX($AH$2:$AH$1001,MATCH(ROWS($AF$2:AF160),$AF$2:$AF$1001,0),0), INDEX($AM$1004:$BM$1004,1,MATCH(COLUMNS($AM$1006:BI1006),$AM$1006:$BM$1006,0)))),"Fix")))</f>
        <v xml:space="preserve"> </v>
      </c>
      <c r="Y160" s="4" t="str">
        <f ca="1">IF(OR(INDEX($AG$2:$AG$1001,MATCH(ROWS($AF$2:AF160),$AF$2:$AF$1001,0),1)&gt;=100000,INDEX($AM$1005:$BM$1005,1,MATCH(COLUMNS($AM$1006:BJ1006),$AM$1006:$BM$1006,0))&gt;=100000), " ",IF(INDEX($AM$2:$BM$1001,MATCH(ROWS($AF$2:AF160),$AF$2:$AF$1001,0),MATCH(COLUMNS($AM$1006:BJ1006),$AM$1006:$BM$1006,0)), HYPERLINK("#",""), HYPERLINK(CONCATENATE("#metadata!", ADDRESS(INDEX($AH$2:$AH$1001,MATCH(ROWS($AF$2:AF160),$AF$2:$AF$1001,0),0), INDEX($AM$1004:$BM$1004,1,MATCH(COLUMNS($AM$1006:BJ1006),$AM$1006:$BM$1006,0)))),"Fix")))</f>
        <v xml:space="preserve"> </v>
      </c>
      <c r="Z160" s="4" t="str">
        <f ca="1">IF(OR(INDEX($AG$2:$AG$1001,MATCH(ROWS($AF$2:AF160),$AF$2:$AF$1001,0),1)&gt;=100000,INDEX($AM$1005:$BM$1005,1,MATCH(COLUMNS($AM$1006:BK1006),$AM$1006:$BM$1006,0))&gt;=100000), " ",IF(INDEX($AM$2:$BM$1001,MATCH(ROWS($AF$2:AF160),$AF$2:$AF$1001,0),MATCH(COLUMNS($AM$1006:BK1006),$AM$1006:$BM$1006,0)), HYPERLINK("#",""), HYPERLINK(CONCATENATE("#metadata!", ADDRESS(INDEX($AH$2:$AH$1001,MATCH(ROWS($AF$2:AF160),$AF$2:$AF$1001,0),0), INDEX($AM$1004:$BM$1004,1,MATCH(COLUMNS($AM$1006:BK1006),$AM$1006:$BM$1006,0)))),"Fix")))</f>
        <v xml:space="preserve"> </v>
      </c>
      <c r="AA160" s="4" t="str">
        <f ca="1">IF(OR(INDEX($AG$2:$AG$1001,MATCH(ROWS($AF$2:AF160),$AF$2:$AF$1001,0),1)&gt;=100000,INDEX($AM$1005:$BM$1005,1,MATCH(COLUMNS($AM$1006:BL1006),$AM$1006:$BM$1006,0))&gt;=100000), " ",IF(INDEX($AM$2:$BM$1001,MATCH(ROWS($AF$2:AF160),$AF$2:$AF$1001,0),MATCH(COLUMNS($AM$1006:BL1006),$AM$1006:$BM$1006,0)), HYPERLINK("#",""), HYPERLINK(CONCATENATE("#metadata!", ADDRESS(INDEX($AH$2:$AH$1001,MATCH(ROWS($AF$2:AF160),$AF$2:$AF$1001,0),0), INDEX($AM$1004:$BM$1004,1,MATCH(COLUMNS($AM$1006:BL1006),$AM$1006:$BM$1006,0)))),"Fix")))</f>
        <v xml:space="preserve"> </v>
      </c>
      <c r="AB160" s="4" t="str">
        <f ca="1">IF(OR(INDEX($AG$2:$AG$1001,MATCH(ROWS($AF$2:AF160),$AF$2:$AF$1001,0),1)&gt;=100000,INDEX($AM$1005:$BM$1005,1,MATCH(COLUMNS($AM$1006:BM1006),$AM$1006:$BM$1006,0))&gt;=100000), " ",IF(INDEX($AM$2:$BM$1001,MATCH(ROWS($AF$2:AF160),$AF$2:$AF$1001,0),MATCH(COLUMNS($AM$1006:BM1006),$AM$1006:$BM$1006,0)), HYPERLINK("#",""), HYPERLINK(CONCATENATE("#metadata!", ADDRESS(INDEX($AH$2:$AH$1001,MATCH(ROWS($AF$2:AF160),$AF$2:$AF$1001,0),0), INDEX($AM$1004:$BM$1004,1,MATCH(COLUMNS($AM$1006:BM1006),$AM$1006:$BM$1006,0)))),"Fix")))</f>
        <v xml:space="preserve"> </v>
      </c>
      <c r="AF160">
        <v>159</v>
      </c>
      <c r="AG160">
        <v>100160</v>
      </c>
      <c r="AH160">
        <v>160</v>
      </c>
      <c r="AI160" t="b">
        <f t="shared" si="2"/>
        <v>1</v>
      </c>
      <c r="AJ160" t="b">
        <f>COUNTBLANK(metadata!B160:AB160)=COLUMNS(metadata!B160:AB160)</f>
        <v>1</v>
      </c>
      <c r="AK160" t="str">
        <v/>
      </c>
      <c r="AM160" t="b">
        <f ca="1">AND(IF(metadata!B160="",FALSE,TRUE),COUNTIF(metadata!B:B, metadata!B160) = 1,NOT(ISERROR(SUMPRODUCT(SEARCH(MID(metadata!B160,ROW(INDIRECT("1:"&amp;LEN(metadata!B160))), 1),"0123456789abcdefghijklmnopqrstuvwxyzABCDEFGHIJKLMNOPQRSTUVWXYZ.")))))</f>
        <v>0</v>
      </c>
      <c r="AN160" t="b">
        <f ca="1">OR(AND(IF(metadata!C160="",FALSE,TRUE),OR(EXACT(metadata!C160,"missing: not collected"),EXACT(metadata!C160,"missing: not provided"),EXACT(metadata!C160,"missing: restricted access"))),AND(IF(metadata!C160="",FALSE,TRUE),AND(AND(IFERROR(INT(LEFT(metadata!C160,4))&gt;1900,FALSE),IFERROR(INT(LEFT(metadata!C160,4))&lt;=YEAR(NOW()),FALSE)), OR(MID(metadata!C160,5,1)="", AND(AND(MID(metadata!C160,5,1)="-",IFERROR(INT(MID(metadata!C160,6,1))&gt;=0,FALSE),IFERROR(INT(MID(metadata!C160,6,1))&lt;=1,FALSE),NOT(MID(metadata!C160,7,1)=""),IFERROR(INT(MID(metadata!C160,6,2))&gt;=1,FALSE),IFERROR(INT(MID(metadata!C160,6,2))&lt;=12,FALSE)), OR(MID(metadata!C160,8,1)="", AND(AND(MID(metadata!C160,8,1)="-",IFERROR(INT(MID(metadata!C160,9,1))&gt;=0,FALSE),IFERROR(INT(MID(metadata!C160,9,1))&lt;=3,FALSE),NOT(MID(metadata!C160,10,1)=""),IFERROR(INT(MID(metadata!C160,9,2))&gt;=1,FALSE),IFERROR(INT(MID(metadata!C160,9,2))&lt;=31,FALSE)), OR(MID(metadata!C160,11,1)="", AND(AND(MID(metadata!C160,11,1)=" ",IFERROR(INT(MID(metadata!C160,12,1))&gt;=0,FALSE),IFERROR(INT(MID(metadata!C160,12,1))&lt;=2,FALSE),NOT(MID(metadata!C160,13,1)=""),IFERROR(INT(MID(metadata!C160,12,2))&gt;=0,FALSE),IFERROR(INT(MID(metadata!C160,12,2))&lt;=23,FALSE)), OR(MID(metadata!C160,14,1)="", AND(AND(MID(metadata!C160,14,1)=":",IFERROR(INT(MID(metadata!C160,15,1))&gt;=0,FALSE),IFERROR(INT(MID(metadata!C160,15,1))&lt;=5,FALSE),NOT(MID(metadata!C160,16,1)=""),IFERROR(INT(MID(metadata!C160,15,2))&gt;=0,FALSE),IFERROR(INT(MID(metadata!C160,15,2))&lt;=59,FALSE)), OR(MID(metadata!C160,17,1)="", AND(AND(MID(metadata!C160,17,1)=":",IFERROR(INT(MID(metadata!C160,18,1))&gt;=0,FALSE),IFERROR(INT(MID(metadata!C160,18,1))&lt;=5,FALSE),NOT(MID(metadata!C160,19,1)=""),IFERROR(INT(MID(metadata!C160,18,2))&gt;=0,FALSE),IFERROR(INT(MID(metadata!C160,18,2))&lt;=59,FALSE)), LEN(metadata!C160)&lt;=19)))))))))))))</f>
        <v>0</v>
      </c>
      <c r="AO160" t="b">
        <f>AND(IF(metadata!D160="",FALSE,TRUE),EXACT(metadata!D160,"Not applicable"))</f>
        <v>0</v>
      </c>
      <c r="AP160" t="b">
        <f>IF(metadata!E160="",FALSE,TRUE)</f>
        <v>0</v>
      </c>
      <c r="AQ160" t="b">
        <f>OR(AND(IF(metadata!F160="",FALSE,TRUE),OR(EXACT(metadata!F160,"missing: not collected"),EXACT(metadata!F160,"missing: not provided"))),AND(IF(metadata!F160="",FALSE,TRUE),OR(EXACT(metadata!F160,"TRUE"),EXACT(metadata!F160,"FALSE"))))</f>
        <v>0</v>
      </c>
      <c r="AR160" t="b">
        <f>OR(AND(IF(metadata!G160="",FALSE,TRUE),OR(EXACT(metadata!G160,"missing: not collected"),EXACT(metadata!G160,"missing: not provided"),EXACT(metadata!G160,"missing: restricted access"))),AND(IF(metadata!G160="",FALSE,ISNUMBER(VALUE(metadata!G160))),metadata!G160&gt;=-413))</f>
        <v>0</v>
      </c>
      <c r="AS160" t="b">
        <f>AND(IF(metadata!H160="",FALSE,TRUE),EXACT(metadata!H160,"meters"))</f>
        <v>0</v>
      </c>
      <c r="AT160" t="b">
        <f>AND(IF(metadata!I160="",FALSE,TRUE),OR(EXACT(metadata!I160,"Host-associated"),EXACT(metadata!I160,"Free-living")))</f>
        <v>0</v>
      </c>
      <c r="AU160" t="b">
        <f>AND(IF(metadata!J160="",FALSE,TRUE),OR(EXACT(metadata!J160,"Animal"),EXACT(metadata!J160,"Fungus"),EXACT(metadata!J160,"Plant"),EXACT(metadata!J160,"Saline"),EXACT(metadata!J160,"Non-saline")))</f>
        <v>0</v>
      </c>
      <c r="AV160" t="b">
        <f>AND(IF(metadata!K160="",FALSE,TRUE),OR(EXACT(metadata!K160,"Plant secretion"),EXACT(metadata!K160,"Plant rhizosphere"),EXACT(metadata!K160,"Plant surface"),EXACT(metadata!K160,"Plant corpus"),EXACT(metadata!K160,"Fungus surface"),EXACT(metadata!K160,"Fungus corpus"),EXACT(metadata!K160,"Animal surface"),EXACT(metadata!K160,"Animal proximal gut"),EXACT(metadata!K160,"Animal corpus"),EXACT(metadata!K160,"Animal distal gut"),EXACT(metadata!K160,"Animal secretion"),EXACT(metadata!K160,"Sub-surface (non-saline)"),EXACT(metadata!K160,"Surface (non-saline)"),EXACT(metadata!K160,"Water (non-saline)"),EXACT(metadata!K160,"Soil (non-saline)"),EXACT(metadata!K160,"Aerosol (non-saline)"),EXACT(metadata!K160,"Sediment (non-saline)"),EXACT(metadata!K160,"Surface (saline)"),EXACT(metadata!K160,"Water (saline)"),EXACT(metadata!K160,"Hypersaline (saline)"),EXACT(metadata!K160,"Aerosol (saline)"),EXACT(metadata!K160,"Sediment (saline)")))</f>
        <v>0</v>
      </c>
      <c r="AW160" t="b">
        <f>IF(metadata!L160="",FALSE,TRUE)</f>
        <v>0</v>
      </c>
      <c r="AX160" t="b">
        <f>IF(metadata!M160="",FALSE,TRUE)</f>
        <v>0</v>
      </c>
      <c r="AY160" t="b">
        <f>IF(metadata!N160="",FALSE,TRUE)</f>
        <v>0</v>
      </c>
      <c r="AZ160" t="b">
        <f>OR(AND(IF(metadata!O160="",FALSE,TRUE),OR(EXACT(metadata!O160,"missing: not collected"),EXACT(metadata!O160,"missing: not provided"),EXACT(metadata!O160,"missing: restricted access"))),AND(IF(metadata!O160="",FALSE,TRUE),OR(EXACT(metadata!O160,"air"),EXACT(metadata!O160,"built environment"),EXACT(metadata!O160,"host-associated"),EXACT(metadata!O160,"human-associated"),EXACT(metadata!O160,"human-skin"),EXACT(metadata!O160,"human-oral"),EXACT(metadata!O160,"human-gut"),EXACT(metadata!O160,"human-vaginal"),EXACT(metadata!O160,"microbial mat/biofilm"),EXACT(metadata!O160,"misc environment"),EXACT(metadata!O160,"plant-associated"),EXACT(metadata!O160,"sediment"),EXACT(metadata!O160,"soil"),EXACT(metadata!O160,"wastewater/sludge"),EXACT(metadata!O160,"water"))))</f>
        <v>0</v>
      </c>
      <c r="BA160" t="b">
        <f>IF(metadata!P160="",FALSE,TRUE)</f>
        <v>0</v>
      </c>
      <c r="BB160" t="b">
        <f>IF(metadata!Q160="",FALSE,TRUE)</f>
        <v>0</v>
      </c>
      <c r="BC160" t="b">
        <f>OR(AND(IF(metadata!R160="",FALSE,TRUE),OR(EXACT(metadata!R160,"missing: not collected"),EXACT(metadata!R160,"missing: not provided"),EXACT(metadata!R160,"missing: restricted access"))),AND(IF(metadata!R160="",FALSE,ISNUMBER(VALUE(metadata!R160))),metadata!R160&gt;=-90,metadata!R160&lt;=90))</f>
        <v>0</v>
      </c>
      <c r="BD160" t="b">
        <f>AND(IF(metadata!S160="",FALSE,TRUE),EXACT(metadata!S160,"Decimal degrees"))</f>
        <v>0</v>
      </c>
      <c r="BE160" t="b">
        <f>OR(AND(IF(metadata!T160="",FALSE,TRUE),OR(EXACT(metadata!T160,"missing: not collected"),EXACT(metadata!T160,"missing: not provided"),EXACT(metadata!T160,"missing: restricted access"))),AND(IF(metadata!T160="",FALSE,ISNUMBER(VALUE(metadata!T160))),metadata!T160&gt;=-180,metadata!T160&lt;=180))</f>
        <v>0</v>
      </c>
      <c r="BF160" t="b">
        <f>AND(IF(metadata!U160="",FALSE,TRUE),EXACT(metadata!U160,"Decimal degrees"))</f>
        <v>0</v>
      </c>
      <c r="BG160" t="b">
        <f>IF(metadata!V160="",FALSE,TRUE)</f>
        <v>0</v>
      </c>
      <c r="BH160" t="b">
        <f>OR(AND(IF(metadata!W160="",FALSE,TRUE),OR(EXACT(metadata!W160,"missing: not collected"),EXACT(metadata!W160,"missing: not provided"),EXACT(metadata!W160,"missing: restricted access"))),AND(IF(metadata!W160="",FALSE,TRUE),OR(EXACT(metadata!W160,"TRUE"),EXACT(metadata!W160,"FALSE"))))</f>
        <v>0</v>
      </c>
      <c r="BI160" t="b">
        <f>AND(IF(metadata!X160="",FALSE,TRUE),EXACT(metadata!X160,"other"))</f>
        <v>0</v>
      </c>
      <c r="BJ160" t="b">
        <f>IF(metadata!Y160="",FALSE,TRUE)</f>
        <v>0</v>
      </c>
      <c r="BK160" t="b">
        <f>OR(AND(IF(metadata!Z160="",FALSE,TRUE),OR(EXACT(metadata!Z160,"missing: not collected"),EXACT(metadata!Z160,"missing: not provided"))),AND(IF(metadata!Z160="",FALSE,IF(ISERROR(INT(metadata!Z160)),FALSE,INT(metadata!Z160)=metadata!Z160)),metadata!Z160&gt;0))</f>
        <v>0</v>
      </c>
      <c r="BL160" t="b">
        <f>AND(IF(metadata!AA160="",FALSE,TRUE),EXACT(metadata!AA160,"Not applicable"))</f>
        <v>0</v>
      </c>
      <c r="BM160" t="b">
        <f>IF(metadata!AB160="",FALSE,TRUE)</f>
        <v>0</v>
      </c>
    </row>
    <row r="161" spans="1:65" x14ac:dyDescent="0.2">
      <c r="A161" s="5" t="str">
        <f ca="1">IF(B161=" "," ",HYPERLINK(CONCATENATE("#metadata!",ADDRESS(INDEX($AH$2:$AH$1001,MATCH(ROWS($AF$2:AF161),$AF$2:$AF$1001,0),0),1)),INDEX($AK$2:$AK$1001,MATCH(ROWS($AF$2:AF161),$AF$2:$AF$1001,0),0)))</f>
        <v xml:space="preserve"> </v>
      </c>
      <c r="B161" s="4" t="str">
        <f ca="1">IF(OR(INDEX($AG$2:$AG$1001,MATCH(ROWS($AF$2:AF161),$AF$2:$AF$1001,0),1)&gt;=100000,INDEX($AM$1005:$BM$1005,1,MATCH(COLUMNS($AM$1006:AM1006),$AM$1006:$BM$1006,0))&gt;=100000), " ",IF(INDEX($AM$2:$BM$1001,MATCH(ROWS($AF$2:AF161),$AF$2:$AF$1001,0),MATCH(COLUMNS($AM$1006:AM1006),$AM$1006:$BM$1006,0)), HYPERLINK("#",""), HYPERLINK(CONCATENATE("#metadata!", ADDRESS(INDEX($AH$2:$AH$1001,MATCH(ROWS($AF$2:AF161),$AF$2:$AF$1001,0),0), INDEX($AM$1004:$BM$1004,1,MATCH(COLUMNS($AM$1006:AM1006),$AM$1006:$BM$1006,0)))),"Fix")))</f>
        <v xml:space="preserve"> </v>
      </c>
      <c r="C161" s="4" t="str">
        <f ca="1">IF(OR(INDEX($AG$2:$AG$1001,MATCH(ROWS($AF$2:AF161),$AF$2:$AF$1001,0),1)&gt;=100000,INDEX($AM$1005:$BM$1005,1,MATCH(COLUMNS($AM$1006:AN1006),$AM$1006:$BM$1006,0))&gt;=100000), " ",IF(INDEX($AM$2:$BM$1001,MATCH(ROWS($AF$2:AF161),$AF$2:$AF$1001,0),MATCH(COLUMNS($AM$1006:AN1006),$AM$1006:$BM$1006,0)), HYPERLINK("#",""), HYPERLINK(CONCATENATE("#metadata!", ADDRESS(INDEX($AH$2:$AH$1001,MATCH(ROWS($AF$2:AF161),$AF$2:$AF$1001,0),0), INDEX($AM$1004:$BM$1004,1,MATCH(COLUMNS($AM$1006:AN1006),$AM$1006:$BM$1006,0)))),"Fix")))</f>
        <v xml:space="preserve"> </v>
      </c>
      <c r="D161" s="4" t="str">
        <f ca="1">IF(OR(INDEX($AG$2:$AG$1001,MATCH(ROWS($AF$2:AF161),$AF$2:$AF$1001,0),1)&gt;=100000,INDEX($AM$1005:$BM$1005,1,MATCH(COLUMNS($AM$1006:AO1006),$AM$1006:$BM$1006,0))&gt;=100000), " ",IF(INDEX($AM$2:$BM$1001,MATCH(ROWS($AF$2:AF161),$AF$2:$AF$1001,0),MATCH(COLUMNS($AM$1006:AO1006),$AM$1006:$BM$1006,0)), HYPERLINK("#",""), HYPERLINK(CONCATENATE("#metadata!", ADDRESS(INDEX($AH$2:$AH$1001,MATCH(ROWS($AF$2:AF161),$AF$2:$AF$1001,0),0), INDEX($AM$1004:$BM$1004,1,MATCH(COLUMNS($AM$1006:AO1006),$AM$1006:$BM$1006,0)))),"Fix")))</f>
        <v xml:space="preserve"> </v>
      </c>
      <c r="E161" s="4" t="str">
        <f ca="1">IF(OR(INDEX($AG$2:$AG$1001,MATCH(ROWS($AF$2:AF161),$AF$2:$AF$1001,0),1)&gt;=100000,INDEX($AM$1005:$BM$1005,1,MATCH(COLUMNS($AM$1006:AP1006),$AM$1006:$BM$1006,0))&gt;=100000), " ",IF(INDEX($AM$2:$BM$1001,MATCH(ROWS($AF$2:AF161),$AF$2:$AF$1001,0),MATCH(COLUMNS($AM$1006:AP1006),$AM$1006:$BM$1006,0)), HYPERLINK("#",""), HYPERLINK(CONCATENATE("#metadata!", ADDRESS(INDEX($AH$2:$AH$1001,MATCH(ROWS($AF$2:AF161),$AF$2:$AF$1001,0),0), INDEX($AM$1004:$BM$1004,1,MATCH(COLUMNS($AM$1006:AP1006),$AM$1006:$BM$1006,0)))),"Fix")))</f>
        <v xml:space="preserve"> </v>
      </c>
      <c r="F161" s="4" t="str">
        <f ca="1">IF(OR(INDEX($AG$2:$AG$1001,MATCH(ROWS($AF$2:AF161),$AF$2:$AF$1001,0),1)&gt;=100000,INDEX($AM$1005:$BM$1005,1,MATCH(COLUMNS($AM$1006:AQ1006),$AM$1006:$BM$1006,0))&gt;=100000), " ",IF(INDEX($AM$2:$BM$1001,MATCH(ROWS($AF$2:AF161),$AF$2:$AF$1001,0),MATCH(COLUMNS($AM$1006:AQ1006),$AM$1006:$BM$1006,0)), HYPERLINK("#",""), HYPERLINK(CONCATENATE("#metadata!", ADDRESS(INDEX($AH$2:$AH$1001,MATCH(ROWS($AF$2:AF161),$AF$2:$AF$1001,0),0), INDEX($AM$1004:$BM$1004,1,MATCH(COLUMNS($AM$1006:AQ1006),$AM$1006:$BM$1006,0)))),"Fix")))</f>
        <v xml:space="preserve"> </v>
      </c>
      <c r="G161" s="4" t="str">
        <f ca="1">IF(OR(INDEX($AG$2:$AG$1001,MATCH(ROWS($AF$2:AF161),$AF$2:$AF$1001,0),1)&gt;=100000,INDEX($AM$1005:$BM$1005,1,MATCH(COLUMNS($AM$1006:AR1006),$AM$1006:$BM$1006,0))&gt;=100000), " ",IF(INDEX($AM$2:$BM$1001,MATCH(ROWS($AF$2:AF161),$AF$2:$AF$1001,0),MATCH(COLUMNS($AM$1006:AR1006),$AM$1006:$BM$1006,0)), HYPERLINK("#",""), HYPERLINK(CONCATENATE("#metadata!", ADDRESS(INDEX($AH$2:$AH$1001,MATCH(ROWS($AF$2:AF161),$AF$2:$AF$1001,0),0), INDEX($AM$1004:$BM$1004,1,MATCH(COLUMNS($AM$1006:AR1006),$AM$1006:$BM$1006,0)))),"Fix")))</f>
        <v xml:space="preserve"> </v>
      </c>
      <c r="H161" s="4" t="str">
        <f ca="1">IF(OR(INDEX($AG$2:$AG$1001,MATCH(ROWS($AF$2:AF161),$AF$2:$AF$1001,0),1)&gt;=100000,INDEX($AM$1005:$BM$1005,1,MATCH(COLUMNS($AM$1006:AS1006),$AM$1006:$BM$1006,0))&gt;=100000), " ",IF(INDEX($AM$2:$BM$1001,MATCH(ROWS($AF$2:AF161),$AF$2:$AF$1001,0),MATCH(COLUMNS($AM$1006:AS1006),$AM$1006:$BM$1006,0)), HYPERLINK("#",""), HYPERLINK(CONCATENATE("#metadata!", ADDRESS(INDEX($AH$2:$AH$1001,MATCH(ROWS($AF$2:AF161),$AF$2:$AF$1001,0),0), INDEX($AM$1004:$BM$1004,1,MATCH(COLUMNS($AM$1006:AS1006),$AM$1006:$BM$1006,0)))),"Fix")))</f>
        <v xml:space="preserve"> </v>
      </c>
      <c r="I161" s="4" t="str">
        <f ca="1">IF(OR(INDEX($AG$2:$AG$1001,MATCH(ROWS($AF$2:AF161),$AF$2:$AF$1001,0),1)&gt;=100000,INDEX($AM$1005:$BM$1005,1,MATCH(COLUMNS($AM$1006:AT1006),$AM$1006:$BM$1006,0))&gt;=100000), " ",IF(INDEX($AM$2:$BM$1001,MATCH(ROWS($AF$2:AF161),$AF$2:$AF$1001,0),MATCH(COLUMNS($AM$1006:AT1006),$AM$1006:$BM$1006,0)), HYPERLINK("#",""), HYPERLINK(CONCATENATE("#metadata!", ADDRESS(INDEX($AH$2:$AH$1001,MATCH(ROWS($AF$2:AF161),$AF$2:$AF$1001,0),0), INDEX($AM$1004:$BM$1004,1,MATCH(COLUMNS($AM$1006:AT1006),$AM$1006:$BM$1006,0)))),"Fix")))</f>
        <v xml:space="preserve"> </v>
      </c>
      <c r="J161" s="4" t="str">
        <f ca="1">IF(OR(INDEX($AG$2:$AG$1001,MATCH(ROWS($AF$2:AF161),$AF$2:$AF$1001,0),1)&gt;=100000,INDEX($AM$1005:$BM$1005,1,MATCH(COLUMNS($AM$1006:AU1006),$AM$1006:$BM$1006,0))&gt;=100000), " ",IF(INDEX($AM$2:$BM$1001,MATCH(ROWS($AF$2:AF161),$AF$2:$AF$1001,0),MATCH(COLUMNS($AM$1006:AU1006),$AM$1006:$BM$1006,0)), HYPERLINK("#",""), HYPERLINK(CONCATENATE("#metadata!", ADDRESS(INDEX($AH$2:$AH$1001,MATCH(ROWS($AF$2:AF161),$AF$2:$AF$1001,0),0), INDEX($AM$1004:$BM$1004,1,MATCH(COLUMNS($AM$1006:AU1006),$AM$1006:$BM$1006,0)))),"Fix")))</f>
        <v xml:space="preserve"> </v>
      </c>
      <c r="K161" s="4" t="str">
        <f ca="1">IF(OR(INDEX($AG$2:$AG$1001,MATCH(ROWS($AF$2:AF161),$AF$2:$AF$1001,0),1)&gt;=100000,INDEX($AM$1005:$BM$1005,1,MATCH(COLUMNS($AM$1006:AV1006),$AM$1006:$BM$1006,0))&gt;=100000), " ",IF(INDEX($AM$2:$BM$1001,MATCH(ROWS($AF$2:AF161),$AF$2:$AF$1001,0),MATCH(COLUMNS($AM$1006:AV1006),$AM$1006:$BM$1006,0)), HYPERLINK("#",""), HYPERLINK(CONCATENATE("#metadata!", ADDRESS(INDEX($AH$2:$AH$1001,MATCH(ROWS($AF$2:AF161),$AF$2:$AF$1001,0),0), INDEX($AM$1004:$BM$1004,1,MATCH(COLUMNS($AM$1006:AV1006),$AM$1006:$BM$1006,0)))),"Fix")))</f>
        <v xml:space="preserve"> </v>
      </c>
      <c r="L161" s="4" t="str">
        <f ca="1">IF(OR(INDEX($AG$2:$AG$1001,MATCH(ROWS($AF$2:AF161),$AF$2:$AF$1001,0),1)&gt;=100000,INDEX($AM$1005:$BM$1005,1,MATCH(COLUMNS($AM$1006:AW1006),$AM$1006:$BM$1006,0))&gt;=100000), " ",IF(INDEX($AM$2:$BM$1001,MATCH(ROWS($AF$2:AF161),$AF$2:$AF$1001,0),MATCH(COLUMNS($AM$1006:AW1006),$AM$1006:$BM$1006,0)), HYPERLINK("#",""), HYPERLINK(CONCATENATE("#metadata!", ADDRESS(INDEX($AH$2:$AH$1001,MATCH(ROWS($AF$2:AF161),$AF$2:$AF$1001,0),0), INDEX($AM$1004:$BM$1004,1,MATCH(COLUMNS($AM$1006:AW1006),$AM$1006:$BM$1006,0)))),"Fix")))</f>
        <v xml:space="preserve"> </v>
      </c>
      <c r="M161" s="4" t="str">
        <f ca="1">IF(OR(INDEX($AG$2:$AG$1001,MATCH(ROWS($AF$2:AF161),$AF$2:$AF$1001,0),1)&gt;=100000,INDEX($AM$1005:$BM$1005,1,MATCH(COLUMNS($AM$1006:AX1006),$AM$1006:$BM$1006,0))&gt;=100000), " ",IF(INDEX($AM$2:$BM$1001,MATCH(ROWS($AF$2:AF161),$AF$2:$AF$1001,0),MATCH(COLUMNS($AM$1006:AX1006),$AM$1006:$BM$1006,0)), HYPERLINK("#",""), HYPERLINK(CONCATENATE("#metadata!", ADDRESS(INDEX($AH$2:$AH$1001,MATCH(ROWS($AF$2:AF161),$AF$2:$AF$1001,0),0), INDEX($AM$1004:$BM$1004,1,MATCH(COLUMNS($AM$1006:AX1006),$AM$1006:$BM$1006,0)))),"Fix")))</f>
        <v xml:space="preserve"> </v>
      </c>
      <c r="N161" s="4" t="str">
        <f ca="1">IF(OR(INDEX($AG$2:$AG$1001,MATCH(ROWS($AF$2:AF161),$AF$2:$AF$1001,0),1)&gt;=100000,INDEX($AM$1005:$BM$1005,1,MATCH(COLUMNS($AM$1006:AY1006),$AM$1006:$BM$1006,0))&gt;=100000), " ",IF(INDEX($AM$2:$BM$1001,MATCH(ROWS($AF$2:AF161),$AF$2:$AF$1001,0),MATCH(COLUMNS($AM$1006:AY1006),$AM$1006:$BM$1006,0)), HYPERLINK("#",""), HYPERLINK(CONCATENATE("#metadata!", ADDRESS(INDEX($AH$2:$AH$1001,MATCH(ROWS($AF$2:AF161),$AF$2:$AF$1001,0),0), INDEX($AM$1004:$BM$1004,1,MATCH(COLUMNS($AM$1006:AY1006),$AM$1006:$BM$1006,0)))),"Fix")))</f>
        <v xml:space="preserve"> </v>
      </c>
      <c r="O161" s="4" t="str">
        <f ca="1">IF(OR(INDEX($AG$2:$AG$1001,MATCH(ROWS($AF$2:AF161),$AF$2:$AF$1001,0),1)&gt;=100000,INDEX($AM$1005:$BM$1005,1,MATCH(COLUMNS($AM$1006:AZ1006),$AM$1006:$BM$1006,0))&gt;=100000), " ",IF(INDEX($AM$2:$BM$1001,MATCH(ROWS($AF$2:AF161),$AF$2:$AF$1001,0),MATCH(COLUMNS($AM$1006:AZ1006),$AM$1006:$BM$1006,0)), HYPERLINK("#",""), HYPERLINK(CONCATENATE("#metadata!", ADDRESS(INDEX($AH$2:$AH$1001,MATCH(ROWS($AF$2:AF161),$AF$2:$AF$1001,0),0), INDEX($AM$1004:$BM$1004,1,MATCH(COLUMNS($AM$1006:AZ1006),$AM$1006:$BM$1006,0)))),"Fix")))</f>
        <v xml:space="preserve"> </v>
      </c>
      <c r="P161" s="4" t="str">
        <f ca="1">IF(OR(INDEX($AG$2:$AG$1001,MATCH(ROWS($AF$2:AF161),$AF$2:$AF$1001,0),1)&gt;=100000,INDEX($AM$1005:$BM$1005,1,MATCH(COLUMNS($AM$1006:BA1006),$AM$1006:$BM$1006,0))&gt;=100000), " ",IF(INDEX($AM$2:$BM$1001,MATCH(ROWS($AF$2:AF161),$AF$2:$AF$1001,0),MATCH(COLUMNS($AM$1006:BA1006),$AM$1006:$BM$1006,0)), HYPERLINK("#",""), HYPERLINK(CONCATENATE("#metadata!", ADDRESS(INDEX($AH$2:$AH$1001,MATCH(ROWS($AF$2:AF161),$AF$2:$AF$1001,0),0), INDEX($AM$1004:$BM$1004,1,MATCH(COLUMNS($AM$1006:BA1006),$AM$1006:$BM$1006,0)))),"Fix")))</f>
        <v xml:space="preserve"> </v>
      </c>
      <c r="Q161" s="4" t="str">
        <f ca="1">IF(OR(INDEX($AG$2:$AG$1001,MATCH(ROWS($AF$2:AF161),$AF$2:$AF$1001,0),1)&gt;=100000,INDEX($AM$1005:$BM$1005,1,MATCH(COLUMNS($AM$1006:BB1006),$AM$1006:$BM$1006,0))&gt;=100000), " ",IF(INDEX($AM$2:$BM$1001,MATCH(ROWS($AF$2:AF161),$AF$2:$AF$1001,0),MATCH(COLUMNS($AM$1006:BB1006),$AM$1006:$BM$1006,0)), HYPERLINK("#",""), HYPERLINK(CONCATENATE("#metadata!", ADDRESS(INDEX($AH$2:$AH$1001,MATCH(ROWS($AF$2:AF161),$AF$2:$AF$1001,0),0), INDEX($AM$1004:$BM$1004,1,MATCH(COLUMNS($AM$1006:BB1006),$AM$1006:$BM$1006,0)))),"Fix")))</f>
        <v xml:space="preserve"> </v>
      </c>
      <c r="R161" s="4" t="str">
        <f ca="1">IF(OR(INDEX($AG$2:$AG$1001,MATCH(ROWS($AF$2:AF161),$AF$2:$AF$1001,0),1)&gt;=100000,INDEX($AM$1005:$BM$1005,1,MATCH(COLUMNS($AM$1006:BC1006),$AM$1006:$BM$1006,0))&gt;=100000), " ",IF(INDEX($AM$2:$BM$1001,MATCH(ROWS($AF$2:AF161),$AF$2:$AF$1001,0),MATCH(COLUMNS($AM$1006:BC1006),$AM$1006:$BM$1006,0)), HYPERLINK("#",""), HYPERLINK(CONCATENATE("#metadata!", ADDRESS(INDEX($AH$2:$AH$1001,MATCH(ROWS($AF$2:AF161),$AF$2:$AF$1001,0),0), INDEX($AM$1004:$BM$1004,1,MATCH(COLUMNS($AM$1006:BC1006),$AM$1006:$BM$1006,0)))),"Fix")))</f>
        <v xml:space="preserve"> </v>
      </c>
      <c r="S161" s="4" t="str">
        <f ca="1">IF(OR(INDEX($AG$2:$AG$1001,MATCH(ROWS($AF$2:AF161),$AF$2:$AF$1001,0),1)&gt;=100000,INDEX($AM$1005:$BM$1005,1,MATCH(COLUMNS($AM$1006:BD1006),$AM$1006:$BM$1006,0))&gt;=100000), " ",IF(INDEX($AM$2:$BM$1001,MATCH(ROWS($AF$2:AF161),$AF$2:$AF$1001,0),MATCH(COLUMNS($AM$1006:BD1006),$AM$1006:$BM$1006,0)), HYPERLINK("#",""), HYPERLINK(CONCATENATE("#metadata!", ADDRESS(INDEX($AH$2:$AH$1001,MATCH(ROWS($AF$2:AF161),$AF$2:$AF$1001,0),0), INDEX($AM$1004:$BM$1004,1,MATCH(COLUMNS($AM$1006:BD1006),$AM$1006:$BM$1006,0)))),"Fix")))</f>
        <v xml:space="preserve"> </v>
      </c>
      <c r="T161" s="4" t="str">
        <f ca="1">IF(OR(INDEX($AG$2:$AG$1001,MATCH(ROWS($AF$2:AF161),$AF$2:$AF$1001,0),1)&gt;=100000,INDEX($AM$1005:$BM$1005,1,MATCH(COLUMNS($AM$1006:BE1006),$AM$1006:$BM$1006,0))&gt;=100000), " ",IF(INDEX($AM$2:$BM$1001,MATCH(ROWS($AF$2:AF161),$AF$2:$AF$1001,0),MATCH(COLUMNS($AM$1006:BE1006),$AM$1006:$BM$1006,0)), HYPERLINK("#",""), HYPERLINK(CONCATENATE("#metadata!", ADDRESS(INDEX($AH$2:$AH$1001,MATCH(ROWS($AF$2:AF161),$AF$2:$AF$1001,0),0), INDEX($AM$1004:$BM$1004,1,MATCH(COLUMNS($AM$1006:BE1006),$AM$1006:$BM$1006,0)))),"Fix")))</f>
        <v xml:space="preserve"> </v>
      </c>
      <c r="U161" s="4" t="str">
        <f ca="1">IF(OR(INDEX($AG$2:$AG$1001,MATCH(ROWS($AF$2:AF161),$AF$2:$AF$1001,0),1)&gt;=100000,INDEX($AM$1005:$BM$1005,1,MATCH(COLUMNS($AM$1006:BF1006),$AM$1006:$BM$1006,0))&gt;=100000), " ",IF(INDEX($AM$2:$BM$1001,MATCH(ROWS($AF$2:AF161),$AF$2:$AF$1001,0),MATCH(COLUMNS($AM$1006:BF1006),$AM$1006:$BM$1006,0)), HYPERLINK("#",""), HYPERLINK(CONCATENATE("#metadata!", ADDRESS(INDEX($AH$2:$AH$1001,MATCH(ROWS($AF$2:AF161),$AF$2:$AF$1001,0),0), INDEX($AM$1004:$BM$1004,1,MATCH(COLUMNS($AM$1006:BF1006),$AM$1006:$BM$1006,0)))),"Fix")))</f>
        <v xml:space="preserve"> </v>
      </c>
      <c r="V161" s="4" t="str">
        <f ca="1">IF(OR(INDEX($AG$2:$AG$1001,MATCH(ROWS($AF$2:AF161),$AF$2:$AF$1001,0),1)&gt;=100000,INDEX($AM$1005:$BM$1005,1,MATCH(COLUMNS($AM$1006:BG1006),$AM$1006:$BM$1006,0))&gt;=100000), " ",IF(INDEX($AM$2:$BM$1001,MATCH(ROWS($AF$2:AF161),$AF$2:$AF$1001,0),MATCH(COLUMNS($AM$1006:BG1006),$AM$1006:$BM$1006,0)), HYPERLINK("#",""), HYPERLINK(CONCATENATE("#metadata!", ADDRESS(INDEX($AH$2:$AH$1001,MATCH(ROWS($AF$2:AF161),$AF$2:$AF$1001,0),0), INDEX($AM$1004:$BM$1004,1,MATCH(COLUMNS($AM$1006:BG1006),$AM$1006:$BM$1006,0)))),"Fix")))</f>
        <v xml:space="preserve"> </v>
      </c>
      <c r="W161" s="4" t="str">
        <f ca="1">IF(OR(INDEX($AG$2:$AG$1001,MATCH(ROWS($AF$2:AF161),$AF$2:$AF$1001,0),1)&gt;=100000,INDEX($AM$1005:$BM$1005,1,MATCH(COLUMNS($AM$1006:BH1006),$AM$1006:$BM$1006,0))&gt;=100000), " ",IF(INDEX($AM$2:$BM$1001,MATCH(ROWS($AF$2:AF161),$AF$2:$AF$1001,0),MATCH(COLUMNS($AM$1006:BH1006),$AM$1006:$BM$1006,0)), HYPERLINK("#",""), HYPERLINK(CONCATENATE("#metadata!", ADDRESS(INDEX($AH$2:$AH$1001,MATCH(ROWS($AF$2:AF161),$AF$2:$AF$1001,0),0), INDEX($AM$1004:$BM$1004,1,MATCH(COLUMNS($AM$1006:BH1006),$AM$1006:$BM$1006,0)))),"Fix")))</f>
        <v xml:space="preserve"> </v>
      </c>
      <c r="X161" s="4" t="str">
        <f ca="1">IF(OR(INDEX($AG$2:$AG$1001,MATCH(ROWS($AF$2:AF161),$AF$2:$AF$1001,0),1)&gt;=100000,INDEX($AM$1005:$BM$1005,1,MATCH(COLUMNS($AM$1006:BI1006),$AM$1006:$BM$1006,0))&gt;=100000), " ",IF(INDEX($AM$2:$BM$1001,MATCH(ROWS($AF$2:AF161),$AF$2:$AF$1001,0),MATCH(COLUMNS($AM$1006:BI1006),$AM$1006:$BM$1006,0)), HYPERLINK("#",""), HYPERLINK(CONCATENATE("#metadata!", ADDRESS(INDEX($AH$2:$AH$1001,MATCH(ROWS($AF$2:AF161),$AF$2:$AF$1001,0),0), INDEX($AM$1004:$BM$1004,1,MATCH(COLUMNS($AM$1006:BI1006),$AM$1006:$BM$1006,0)))),"Fix")))</f>
        <v xml:space="preserve"> </v>
      </c>
      <c r="Y161" s="4" t="str">
        <f ca="1">IF(OR(INDEX($AG$2:$AG$1001,MATCH(ROWS($AF$2:AF161),$AF$2:$AF$1001,0),1)&gt;=100000,INDEX($AM$1005:$BM$1005,1,MATCH(COLUMNS($AM$1006:BJ1006),$AM$1006:$BM$1006,0))&gt;=100000), " ",IF(INDEX($AM$2:$BM$1001,MATCH(ROWS($AF$2:AF161),$AF$2:$AF$1001,0),MATCH(COLUMNS($AM$1006:BJ1006),$AM$1006:$BM$1006,0)), HYPERLINK("#",""), HYPERLINK(CONCATENATE("#metadata!", ADDRESS(INDEX($AH$2:$AH$1001,MATCH(ROWS($AF$2:AF161),$AF$2:$AF$1001,0),0), INDEX($AM$1004:$BM$1004,1,MATCH(COLUMNS($AM$1006:BJ1006),$AM$1006:$BM$1006,0)))),"Fix")))</f>
        <v xml:space="preserve"> </v>
      </c>
      <c r="Z161" s="4" t="str">
        <f ca="1">IF(OR(INDEX($AG$2:$AG$1001,MATCH(ROWS($AF$2:AF161),$AF$2:$AF$1001,0),1)&gt;=100000,INDEX($AM$1005:$BM$1005,1,MATCH(COLUMNS($AM$1006:BK1006),$AM$1006:$BM$1006,0))&gt;=100000), " ",IF(INDEX($AM$2:$BM$1001,MATCH(ROWS($AF$2:AF161),$AF$2:$AF$1001,0),MATCH(COLUMNS($AM$1006:BK1006),$AM$1006:$BM$1006,0)), HYPERLINK("#",""), HYPERLINK(CONCATENATE("#metadata!", ADDRESS(INDEX($AH$2:$AH$1001,MATCH(ROWS($AF$2:AF161),$AF$2:$AF$1001,0),0), INDEX($AM$1004:$BM$1004,1,MATCH(COLUMNS($AM$1006:BK1006),$AM$1006:$BM$1006,0)))),"Fix")))</f>
        <v xml:space="preserve"> </v>
      </c>
      <c r="AA161" s="4" t="str">
        <f ca="1">IF(OR(INDEX($AG$2:$AG$1001,MATCH(ROWS($AF$2:AF161),$AF$2:$AF$1001,0),1)&gt;=100000,INDEX($AM$1005:$BM$1005,1,MATCH(COLUMNS($AM$1006:BL1006),$AM$1006:$BM$1006,0))&gt;=100000), " ",IF(INDEX($AM$2:$BM$1001,MATCH(ROWS($AF$2:AF161),$AF$2:$AF$1001,0),MATCH(COLUMNS($AM$1006:BL1006),$AM$1006:$BM$1006,0)), HYPERLINK("#",""), HYPERLINK(CONCATENATE("#metadata!", ADDRESS(INDEX($AH$2:$AH$1001,MATCH(ROWS($AF$2:AF161),$AF$2:$AF$1001,0),0), INDEX($AM$1004:$BM$1004,1,MATCH(COLUMNS($AM$1006:BL1006),$AM$1006:$BM$1006,0)))),"Fix")))</f>
        <v xml:space="preserve"> </v>
      </c>
      <c r="AB161" s="4" t="str">
        <f ca="1">IF(OR(INDEX($AG$2:$AG$1001,MATCH(ROWS($AF$2:AF161),$AF$2:$AF$1001,0),1)&gt;=100000,INDEX($AM$1005:$BM$1005,1,MATCH(COLUMNS($AM$1006:BM1006),$AM$1006:$BM$1006,0))&gt;=100000), " ",IF(INDEX($AM$2:$BM$1001,MATCH(ROWS($AF$2:AF161),$AF$2:$AF$1001,0),MATCH(COLUMNS($AM$1006:BM1006),$AM$1006:$BM$1006,0)), HYPERLINK("#",""), HYPERLINK(CONCATENATE("#metadata!", ADDRESS(INDEX($AH$2:$AH$1001,MATCH(ROWS($AF$2:AF161),$AF$2:$AF$1001,0),0), INDEX($AM$1004:$BM$1004,1,MATCH(COLUMNS($AM$1006:BM1006),$AM$1006:$BM$1006,0)))),"Fix")))</f>
        <v xml:space="preserve"> </v>
      </c>
      <c r="AF161">
        <v>160</v>
      </c>
      <c r="AG161">
        <v>100161</v>
      </c>
      <c r="AH161">
        <v>161</v>
      </c>
      <c r="AI161" t="b">
        <f t="shared" si="2"/>
        <v>1</v>
      </c>
      <c r="AJ161" t="b">
        <f>COUNTBLANK(metadata!B161:AB161)=COLUMNS(metadata!B161:AB161)</f>
        <v>1</v>
      </c>
      <c r="AK161" t="str">
        <v/>
      </c>
      <c r="AM161" t="b">
        <f ca="1">AND(IF(metadata!B161="",FALSE,TRUE),COUNTIF(metadata!B:B, metadata!B161) = 1,NOT(ISERROR(SUMPRODUCT(SEARCH(MID(metadata!B161,ROW(INDIRECT("1:"&amp;LEN(metadata!B161))), 1),"0123456789abcdefghijklmnopqrstuvwxyzABCDEFGHIJKLMNOPQRSTUVWXYZ.")))))</f>
        <v>0</v>
      </c>
      <c r="AN161" t="b">
        <f ca="1">OR(AND(IF(metadata!C161="",FALSE,TRUE),OR(EXACT(metadata!C161,"missing: not collected"),EXACT(metadata!C161,"missing: not provided"),EXACT(metadata!C161,"missing: restricted access"))),AND(IF(metadata!C161="",FALSE,TRUE),AND(AND(IFERROR(INT(LEFT(metadata!C161,4))&gt;1900,FALSE),IFERROR(INT(LEFT(metadata!C161,4))&lt;=YEAR(NOW()),FALSE)), OR(MID(metadata!C161,5,1)="", AND(AND(MID(metadata!C161,5,1)="-",IFERROR(INT(MID(metadata!C161,6,1))&gt;=0,FALSE),IFERROR(INT(MID(metadata!C161,6,1))&lt;=1,FALSE),NOT(MID(metadata!C161,7,1)=""),IFERROR(INT(MID(metadata!C161,6,2))&gt;=1,FALSE),IFERROR(INT(MID(metadata!C161,6,2))&lt;=12,FALSE)), OR(MID(metadata!C161,8,1)="", AND(AND(MID(metadata!C161,8,1)="-",IFERROR(INT(MID(metadata!C161,9,1))&gt;=0,FALSE),IFERROR(INT(MID(metadata!C161,9,1))&lt;=3,FALSE),NOT(MID(metadata!C161,10,1)=""),IFERROR(INT(MID(metadata!C161,9,2))&gt;=1,FALSE),IFERROR(INT(MID(metadata!C161,9,2))&lt;=31,FALSE)), OR(MID(metadata!C161,11,1)="", AND(AND(MID(metadata!C161,11,1)=" ",IFERROR(INT(MID(metadata!C161,12,1))&gt;=0,FALSE),IFERROR(INT(MID(metadata!C161,12,1))&lt;=2,FALSE),NOT(MID(metadata!C161,13,1)=""),IFERROR(INT(MID(metadata!C161,12,2))&gt;=0,FALSE),IFERROR(INT(MID(metadata!C161,12,2))&lt;=23,FALSE)), OR(MID(metadata!C161,14,1)="", AND(AND(MID(metadata!C161,14,1)=":",IFERROR(INT(MID(metadata!C161,15,1))&gt;=0,FALSE),IFERROR(INT(MID(metadata!C161,15,1))&lt;=5,FALSE),NOT(MID(metadata!C161,16,1)=""),IFERROR(INT(MID(metadata!C161,15,2))&gt;=0,FALSE),IFERROR(INT(MID(metadata!C161,15,2))&lt;=59,FALSE)), OR(MID(metadata!C161,17,1)="", AND(AND(MID(metadata!C161,17,1)=":",IFERROR(INT(MID(metadata!C161,18,1))&gt;=0,FALSE),IFERROR(INT(MID(metadata!C161,18,1))&lt;=5,FALSE),NOT(MID(metadata!C161,19,1)=""),IFERROR(INT(MID(metadata!C161,18,2))&gt;=0,FALSE),IFERROR(INT(MID(metadata!C161,18,2))&lt;=59,FALSE)), LEN(metadata!C161)&lt;=19)))))))))))))</f>
        <v>0</v>
      </c>
      <c r="AO161" t="b">
        <f>AND(IF(metadata!D161="",FALSE,TRUE),EXACT(metadata!D161,"Not applicable"))</f>
        <v>0</v>
      </c>
      <c r="AP161" t="b">
        <f>IF(metadata!E161="",FALSE,TRUE)</f>
        <v>0</v>
      </c>
      <c r="AQ161" t="b">
        <f>OR(AND(IF(metadata!F161="",FALSE,TRUE),OR(EXACT(metadata!F161,"missing: not collected"),EXACT(metadata!F161,"missing: not provided"))),AND(IF(metadata!F161="",FALSE,TRUE),OR(EXACT(metadata!F161,"TRUE"),EXACT(metadata!F161,"FALSE"))))</f>
        <v>0</v>
      </c>
      <c r="AR161" t="b">
        <f>OR(AND(IF(metadata!G161="",FALSE,TRUE),OR(EXACT(metadata!G161,"missing: not collected"),EXACT(metadata!G161,"missing: not provided"),EXACT(metadata!G161,"missing: restricted access"))),AND(IF(metadata!G161="",FALSE,ISNUMBER(VALUE(metadata!G161))),metadata!G161&gt;=-413))</f>
        <v>0</v>
      </c>
      <c r="AS161" t="b">
        <f>AND(IF(metadata!H161="",FALSE,TRUE),EXACT(metadata!H161,"meters"))</f>
        <v>0</v>
      </c>
      <c r="AT161" t="b">
        <f>AND(IF(metadata!I161="",FALSE,TRUE),OR(EXACT(metadata!I161,"Host-associated"),EXACT(metadata!I161,"Free-living")))</f>
        <v>0</v>
      </c>
      <c r="AU161" t="b">
        <f>AND(IF(metadata!J161="",FALSE,TRUE),OR(EXACT(metadata!J161,"Animal"),EXACT(metadata!J161,"Fungus"),EXACT(metadata!J161,"Plant"),EXACT(metadata!J161,"Saline"),EXACT(metadata!J161,"Non-saline")))</f>
        <v>0</v>
      </c>
      <c r="AV161" t="b">
        <f>AND(IF(metadata!K161="",FALSE,TRUE),OR(EXACT(metadata!K161,"Plant secretion"),EXACT(metadata!K161,"Plant rhizosphere"),EXACT(metadata!K161,"Plant surface"),EXACT(metadata!K161,"Plant corpus"),EXACT(metadata!K161,"Fungus surface"),EXACT(metadata!K161,"Fungus corpus"),EXACT(metadata!K161,"Animal surface"),EXACT(metadata!K161,"Animal proximal gut"),EXACT(metadata!K161,"Animal corpus"),EXACT(metadata!K161,"Animal distal gut"),EXACT(metadata!K161,"Animal secretion"),EXACT(metadata!K161,"Sub-surface (non-saline)"),EXACT(metadata!K161,"Surface (non-saline)"),EXACT(metadata!K161,"Water (non-saline)"),EXACT(metadata!K161,"Soil (non-saline)"),EXACT(metadata!K161,"Aerosol (non-saline)"),EXACT(metadata!K161,"Sediment (non-saline)"),EXACT(metadata!K161,"Surface (saline)"),EXACT(metadata!K161,"Water (saline)"),EXACT(metadata!K161,"Hypersaline (saline)"),EXACT(metadata!K161,"Aerosol (saline)"),EXACT(metadata!K161,"Sediment (saline)")))</f>
        <v>0</v>
      </c>
      <c r="AW161" t="b">
        <f>IF(metadata!L161="",FALSE,TRUE)</f>
        <v>0</v>
      </c>
      <c r="AX161" t="b">
        <f>IF(metadata!M161="",FALSE,TRUE)</f>
        <v>0</v>
      </c>
      <c r="AY161" t="b">
        <f>IF(metadata!N161="",FALSE,TRUE)</f>
        <v>0</v>
      </c>
      <c r="AZ161" t="b">
        <f>OR(AND(IF(metadata!O161="",FALSE,TRUE),OR(EXACT(metadata!O161,"missing: not collected"),EXACT(metadata!O161,"missing: not provided"),EXACT(metadata!O161,"missing: restricted access"))),AND(IF(metadata!O161="",FALSE,TRUE),OR(EXACT(metadata!O161,"air"),EXACT(metadata!O161,"built environment"),EXACT(metadata!O161,"host-associated"),EXACT(metadata!O161,"human-associated"),EXACT(metadata!O161,"human-skin"),EXACT(metadata!O161,"human-oral"),EXACT(metadata!O161,"human-gut"),EXACT(metadata!O161,"human-vaginal"),EXACT(metadata!O161,"microbial mat/biofilm"),EXACT(metadata!O161,"misc environment"),EXACT(metadata!O161,"plant-associated"),EXACT(metadata!O161,"sediment"),EXACT(metadata!O161,"soil"),EXACT(metadata!O161,"wastewater/sludge"),EXACT(metadata!O161,"water"))))</f>
        <v>0</v>
      </c>
      <c r="BA161" t="b">
        <f>IF(metadata!P161="",FALSE,TRUE)</f>
        <v>0</v>
      </c>
      <c r="BB161" t="b">
        <f>IF(metadata!Q161="",FALSE,TRUE)</f>
        <v>0</v>
      </c>
      <c r="BC161" t="b">
        <f>OR(AND(IF(metadata!R161="",FALSE,TRUE),OR(EXACT(metadata!R161,"missing: not collected"),EXACT(metadata!R161,"missing: not provided"),EXACT(metadata!R161,"missing: restricted access"))),AND(IF(metadata!R161="",FALSE,ISNUMBER(VALUE(metadata!R161))),metadata!R161&gt;=-90,metadata!R161&lt;=90))</f>
        <v>0</v>
      </c>
      <c r="BD161" t="b">
        <f>AND(IF(metadata!S161="",FALSE,TRUE),EXACT(metadata!S161,"Decimal degrees"))</f>
        <v>0</v>
      </c>
      <c r="BE161" t="b">
        <f>OR(AND(IF(metadata!T161="",FALSE,TRUE),OR(EXACT(metadata!T161,"missing: not collected"),EXACT(metadata!T161,"missing: not provided"),EXACT(metadata!T161,"missing: restricted access"))),AND(IF(metadata!T161="",FALSE,ISNUMBER(VALUE(metadata!T161))),metadata!T161&gt;=-180,metadata!T161&lt;=180))</f>
        <v>0</v>
      </c>
      <c r="BF161" t="b">
        <f>AND(IF(metadata!U161="",FALSE,TRUE),EXACT(metadata!U161,"Decimal degrees"))</f>
        <v>0</v>
      </c>
      <c r="BG161" t="b">
        <f>IF(metadata!V161="",FALSE,TRUE)</f>
        <v>0</v>
      </c>
      <c r="BH161" t="b">
        <f>OR(AND(IF(metadata!W161="",FALSE,TRUE),OR(EXACT(metadata!W161,"missing: not collected"),EXACT(metadata!W161,"missing: not provided"),EXACT(metadata!W161,"missing: restricted access"))),AND(IF(metadata!W161="",FALSE,TRUE),OR(EXACT(metadata!W161,"TRUE"),EXACT(metadata!W161,"FALSE"))))</f>
        <v>0</v>
      </c>
      <c r="BI161" t="b">
        <f>AND(IF(metadata!X161="",FALSE,TRUE),EXACT(metadata!X161,"other"))</f>
        <v>0</v>
      </c>
      <c r="BJ161" t="b">
        <f>IF(metadata!Y161="",FALSE,TRUE)</f>
        <v>0</v>
      </c>
      <c r="BK161" t="b">
        <f>OR(AND(IF(metadata!Z161="",FALSE,TRUE),OR(EXACT(metadata!Z161,"missing: not collected"),EXACT(metadata!Z161,"missing: not provided"))),AND(IF(metadata!Z161="",FALSE,IF(ISERROR(INT(metadata!Z161)),FALSE,INT(metadata!Z161)=metadata!Z161)),metadata!Z161&gt;0))</f>
        <v>0</v>
      </c>
      <c r="BL161" t="b">
        <f>AND(IF(metadata!AA161="",FALSE,TRUE),EXACT(metadata!AA161,"Not applicable"))</f>
        <v>0</v>
      </c>
      <c r="BM161" t="b">
        <f>IF(metadata!AB161="",FALSE,TRUE)</f>
        <v>0</v>
      </c>
    </row>
    <row r="162" spans="1:65" x14ac:dyDescent="0.2">
      <c r="A162" s="5" t="str">
        <f ca="1">IF(B162=" "," ",HYPERLINK(CONCATENATE("#metadata!",ADDRESS(INDEX($AH$2:$AH$1001,MATCH(ROWS($AF$2:AF162),$AF$2:$AF$1001,0),0),1)),INDEX($AK$2:$AK$1001,MATCH(ROWS($AF$2:AF162),$AF$2:$AF$1001,0),0)))</f>
        <v xml:space="preserve"> </v>
      </c>
      <c r="B162" s="4" t="str">
        <f ca="1">IF(OR(INDEX($AG$2:$AG$1001,MATCH(ROWS($AF$2:AF162),$AF$2:$AF$1001,0),1)&gt;=100000,INDEX($AM$1005:$BM$1005,1,MATCH(COLUMNS($AM$1006:AM1006),$AM$1006:$BM$1006,0))&gt;=100000), " ",IF(INDEX($AM$2:$BM$1001,MATCH(ROWS($AF$2:AF162),$AF$2:$AF$1001,0),MATCH(COLUMNS($AM$1006:AM1006),$AM$1006:$BM$1006,0)), HYPERLINK("#",""), HYPERLINK(CONCATENATE("#metadata!", ADDRESS(INDEX($AH$2:$AH$1001,MATCH(ROWS($AF$2:AF162),$AF$2:$AF$1001,0),0), INDEX($AM$1004:$BM$1004,1,MATCH(COLUMNS($AM$1006:AM1006),$AM$1006:$BM$1006,0)))),"Fix")))</f>
        <v xml:space="preserve"> </v>
      </c>
      <c r="C162" s="4" t="str">
        <f ca="1">IF(OR(INDEX($AG$2:$AG$1001,MATCH(ROWS($AF$2:AF162),$AF$2:$AF$1001,0),1)&gt;=100000,INDEX($AM$1005:$BM$1005,1,MATCH(COLUMNS($AM$1006:AN1006),$AM$1006:$BM$1006,0))&gt;=100000), " ",IF(INDEX($AM$2:$BM$1001,MATCH(ROWS($AF$2:AF162),$AF$2:$AF$1001,0),MATCH(COLUMNS($AM$1006:AN1006),$AM$1006:$BM$1006,0)), HYPERLINK("#",""), HYPERLINK(CONCATENATE("#metadata!", ADDRESS(INDEX($AH$2:$AH$1001,MATCH(ROWS($AF$2:AF162),$AF$2:$AF$1001,0),0), INDEX($AM$1004:$BM$1004,1,MATCH(COLUMNS($AM$1006:AN1006),$AM$1006:$BM$1006,0)))),"Fix")))</f>
        <v xml:space="preserve"> </v>
      </c>
      <c r="D162" s="4" t="str">
        <f ca="1">IF(OR(INDEX($AG$2:$AG$1001,MATCH(ROWS($AF$2:AF162),$AF$2:$AF$1001,0),1)&gt;=100000,INDEX($AM$1005:$BM$1005,1,MATCH(COLUMNS($AM$1006:AO1006),$AM$1006:$BM$1006,0))&gt;=100000), " ",IF(INDEX($AM$2:$BM$1001,MATCH(ROWS($AF$2:AF162),$AF$2:$AF$1001,0),MATCH(COLUMNS($AM$1006:AO1006),$AM$1006:$BM$1006,0)), HYPERLINK("#",""), HYPERLINK(CONCATENATE("#metadata!", ADDRESS(INDEX($AH$2:$AH$1001,MATCH(ROWS($AF$2:AF162),$AF$2:$AF$1001,0),0), INDEX($AM$1004:$BM$1004,1,MATCH(COLUMNS($AM$1006:AO1006),$AM$1006:$BM$1006,0)))),"Fix")))</f>
        <v xml:space="preserve"> </v>
      </c>
      <c r="E162" s="4" t="str">
        <f ca="1">IF(OR(INDEX($AG$2:$AG$1001,MATCH(ROWS($AF$2:AF162),$AF$2:$AF$1001,0),1)&gt;=100000,INDEX($AM$1005:$BM$1005,1,MATCH(COLUMNS($AM$1006:AP1006),$AM$1006:$BM$1006,0))&gt;=100000), " ",IF(INDEX($AM$2:$BM$1001,MATCH(ROWS($AF$2:AF162),$AF$2:$AF$1001,0),MATCH(COLUMNS($AM$1006:AP1006),$AM$1006:$BM$1006,0)), HYPERLINK("#",""), HYPERLINK(CONCATENATE("#metadata!", ADDRESS(INDEX($AH$2:$AH$1001,MATCH(ROWS($AF$2:AF162),$AF$2:$AF$1001,0),0), INDEX($AM$1004:$BM$1004,1,MATCH(COLUMNS($AM$1006:AP1006),$AM$1006:$BM$1006,0)))),"Fix")))</f>
        <v xml:space="preserve"> </v>
      </c>
      <c r="F162" s="4" t="str">
        <f ca="1">IF(OR(INDEX($AG$2:$AG$1001,MATCH(ROWS($AF$2:AF162),$AF$2:$AF$1001,0),1)&gt;=100000,INDEX($AM$1005:$BM$1005,1,MATCH(COLUMNS($AM$1006:AQ1006),$AM$1006:$BM$1006,0))&gt;=100000), " ",IF(INDEX($AM$2:$BM$1001,MATCH(ROWS($AF$2:AF162),$AF$2:$AF$1001,0),MATCH(COLUMNS($AM$1006:AQ1006),$AM$1006:$BM$1006,0)), HYPERLINK("#",""), HYPERLINK(CONCATENATE("#metadata!", ADDRESS(INDEX($AH$2:$AH$1001,MATCH(ROWS($AF$2:AF162),$AF$2:$AF$1001,0),0), INDEX($AM$1004:$BM$1004,1,MATCH(COLUMNS($AM$1006:AQ1006),$AM$1006:$BM$1006,0)))),"Fix")))</f>
        <v xml:space="preserve"> </v>
      </c>
      <c r="G162" s="4" t="str">
        <f ca="1">IF(OR(INDEX($AG$2:$AG$1001,MATCH(ROWS($AF$2:AF162),$AF$2:$AF$1001,0),1)&gt;=100000,INDEX($AM$1005:$BM$1005,1,MATCH(COLUMNS($AM$1006:AR1006),$AM$1006:$BM$1006,0))&gt;=100000), " ",IF(INDEX($AM$2:$BM$1001,MATCH(ROWS($AF$2:AF162),$AF$2:$AF$1001,0),MATCH(COLUMNS($AM$1006:AR1006),$AM$1006:$BM$1006,0)), HYPERLINK("#",""), HYPERLINK(CONCATENATE("#metadata!", ADDRESS(INDEX($AH$2:$AH$1001,MATCH(ROWS($AF$2:AF162),$AF$2:$AF$1001,0),0), INDEX($AM$1004:$BM$1004,1,MATCH(COLUMNS($AM$1006:AR1006),$AM$1006:$BM$1006,0)))),"Fix")))</f>
        <v xml:space="preserve"> </v>
      </c>
      <c r="H162" s="4" t="str">
        <f ca="1">IF(OR(INDEX($AG$2:$AG$1001,MATCH(ROWS($AF$2:AF162),$AF$2:$AF$1001,0),1)&gt;=100000,INDEX($AM$1005:$BM$1005,1,MATCH(COLUMNS($AM$1006:AS1006),$AM$1006:$BM$1006,0))&gt;=100000), " ",IF(INDEX($AM$2:$BM$1001,MATCH(ROWS($AF$2:AF162),$AF$2:$AF$1001,0),MATCH(COLUMNS($AM$1006:AS1006),$AM$1006:$BM$1006,0)), HYPERLINK("#",""), HYPERLINK(CONCATENATE("#metadata!", ADDRESS(INDEX($AH$2:$AH$1001,MATCH(ROWS($AF$2:AF162),$AF$2:$AF$1001,0),0), INDEX($AM$1004:$BM$1004,1,MATCH(COLUMNS($AM$1006:AS1006),$AM$1006:$BM$1006,0)))),"Fix")))</f>
        <v xml:space="preserve"> </v>
      </c>
      <c r="I162" s="4" t="str">
        <f ca="1">IF(OR(INDEX($AG$2:$AG$1001,MATCH(ROWS($AF$2:AF162),$AF$2:$AF$1001,0),1)&gt;=100000,INDEX($AM$1005:$BM$1005,1,MATCH(COLUMNS($AM$1006:AT1006),$AM$1006:$BM$1006,0))&gt;=100000), " ",IF(INDEX($AM$2:$BM$1001,MATCH(ROWS($AF$2:AF162),$AF$2:$AF$1001,0),MATCH(COLUMNS($AM$1006:AT1006),$AM$1006:$BM$1006,0)), HYPERLINK("#",""), HYPERLINK(CONCATENATE("#metadata!", ADDRESS(INDEX($AH$2:$AH$1001,MATCH(ROWS($AF$2:AF162),$AF$2:$AF$1001,0),0), INDEX($AM$1004:$BM$1004,1,MATCH(COLUMNS($AM$1006:AT1006),$AM$1006:$BM$1006,0)))),"Fix")))</f>
        <v xml:space="preserve"> </v>
      </c>
      <c r="J162" s="4" t="str">
        <f ca="1">IF(OR(INDEX($AG$2:$AG$1001,MATCH(ROWS($AF$2:AF162),$AF$2:$AF$1001,0),1)&gt;=100000,INDEX($AM$1005:$BM$1005,1,MATCH(COLUMNS($AM$1006:AU1006),$AM$1006:$BM$1006,0))&gt;=100000), " ",IF(INDEX($AM$2:$BM$1001,MATCH(ROWS($AF$2:AF162),$AF$2:$AF$1001,0),MATCH(COLUMNS($AM$1006:AU1006),$AM$1006:$BM$1006,0)), HYPERLINK("#",""), HYPERLINK(CONCATENATE("#metadata!", ADDRESS(INDEX($AH$2:$AH$1001,MATCH(ROWS($AF$2:AF162),$AF$2:$AF$1001,0),0), INDEX($AM$1004:$BM$1004,1,MATCH(COLUMNS($AM$1006:AU1006),$AM$1006:$BM$1006,0)))),"Fix")))</f>
        <v xml:space="preserve"> </v>
      </c>
      <c r="K162" s="4" t="str">
        <f ca="1">IF(OR(INDEX($AG$2:$AG$1001,MATCH(ROWS($AF$2:AF162),$AF$2:$AF$1001,0),1)&gt;=100000,INDEX($AM$1005:$BM$1005,1,MATCH(COLUMNS($AM$1006:AV1006),$AM$1006:$BM$1006,0))&gt;=100000), " ",IF(INDEX($AM$2:$BM$1001,MATCH(ROWS($AF$2:AF162),$AF$2:$AF$1001,0),MATCH(COLUMNS($AM$1006:AV1006),$AM$1006:$BM$1006,0)), HYPERLINK("#",""), HYPERLINK(CONCATENATE("#metadata!", ADDRESS(INDEX($AH$2:$AH$1001,MATCH(ROWS($AF$2:AF162),$AF$2:$AF$1001,0),0), INDEX($AM$1004:$BM$1004,1,MATCH(COLUMNS($AM$1006:AV1006),$AM$1006:$BM$1006,0)))),"Fix")))</f>
        <v xml:space="preserve"> </v>
      </c>
      <c r="L162" s="4" t="str">
        <f ca="1">IF(OR(INDEX($AG$2:$AG$1001,MATCH(ROWS($AF$2:AF162),$AF$2:$AF$1001,0),1)&gt;=100000,INDEX($AM$1005:$BM$1005,1,MATCH(COLUMNS($AM$1006:AW1006),$AM$1006:$BM$1006,0))&gt;=100000), " ",IF(INDEX($AM$2:$BM$1001,MATCH(ROWS($AF$2:AF162),$AF$2:$AF$1001,0),MATCH(COLUMNS($AM$1006:AW1006),$AM$1006:$BM$1006,0)), HYPERLINK("#",""), HYPERLINK(CONCATENATE("#metadata!", ADDRESS(INDEX($AH$2:$AH$1001,MATCH(ROWS($AF$2:AF162),$AF$2:$AF$1001,0),0), INDEX($AM$1004:$BM$1004,1,MATCH(COLUMNS($AM$1006:AW1006),$AM$1006:$BM$1006,0)))),"Fix")))</f>
        <v xml:space="preserve"> </v>
      </c>
      <c r="M162" s="4" t="str">
        <f ca="1">IF(OR(INDEX($AG$2:$AG$1001,MATCH(ROWS($AF$2:AF162),$AF$2:$AF$1001,0),1)&gt;=100000,INDEX($AM$1005:$BM$1005,1,MATCH(COLUMNS($AM$1006:AX1006),$AM$1006:$BM$1006,0))&gt;=100000), " ",IF(INDEX($AM$2:$BM$1001,MATCH(ROWS($AF$2:AF162),$AF$2:$AF$1001,0),MATCH(COLUMNS($AM$1006:AX1006),$AM$1006:$BM$1006,0)), HYPERLINK("#",""), HYPERLINK(CONCATENATE("#metadata!", ADDRESS(INDEX($AH$2:$AH$1001,MATCH(ROWS($AF$2:AF162),$AF$2:$AF$1001,0),0), INDEX($AM$1004:$BM$1004,1,MATCH(COLUMNS($AM$1006:AX1006),$AM$1006:$BM$1006,0)))),"Fix")))</f>
        <v xml:space="preserve"> </v>
      </c>
      <c r="N162" s="4" t="str">
        <f ca="1">IF(OR(INDEX($AG$2:$AG$1001,MATCH(ROWS($AF$2:AF162),$AF$2:$AF$1001,0),1)&gt;=100000,INDEX($AM$1005:$BM$1005,1,MATCH(COLUMNS($AM$1006:AY1006),$AM$1006:$BM$1006,0))&gt;=100000), " ",IF(INDEX($AM$2:$BM$1001,MATCH(ROWS($AF$2:AF162),$AF$2:$AF$1001,0),MATCH(COLUMNS($AM$1006:AY1006),$AM$1006:$BM$1006,0)), HYPERLINK("#",""), HYPERLINK(CONCATENATE("#metadata!", ADDRESS(INDEX($AH$2:$AH$1001,MATCH(ROWS($AF$2:AF162),$AF$2:$AF$1001,0),0), INDEX($AM$1004:$BM$1004,1,MATCH(COLUMNS($AM$1006:AY1006),$AM$1006:$BM$1006,0)))),"Fix")))</f>
        <v xml:space="preserve"> </v>
      </c>
      <c r="O162" s="4" t="str">
        <f ca="1">IF(OR(INDEX($AG$2:$AG$1001,MATCH(ROWS($AF$2:AF162),$AF$2:$AF$1001,0),1)&gt;=100000,INDEX($AM$1005:$BM$1005,1,MATCH(COLUMNS($AM$1006:AZ1006),$AM$1006:$BM$1006,0))&gt;=100000), " ",IF(INDEX($AM$2:$BM$1001,MATCH(ROWS($AF$2:AF162),$AF$2:$AF$1001,0),MATCH(COLUMNS($AM$1006:AZ1006),$AM$1006:$BM$1006,0)), HYPERLINK("#",""), HYPERLINK(CONCATENATE("#metadata!", ADDRESS(INDEX($AH$2:$AH$1001,MATCH(ROWS($AF$2:AF162),$AF$2:$AF$1001,0),0), INDEX($AM$1004:$BM$1004,1,MATCH(COLUMNS($AM$1006:AZ1006),$AM$1006:$BM$1006,0)))),"Fix")))</f>
        <v xml:space="preserve"> </v>
      </c>
      <c r="P162" s="4" t="str">
        <f ca="1">IF(OR(INDEX($AG$2:$AG$1001,MATCH(ROWS($AF$2:AF162),$AF$2:$AF$1001,0),1)&gt;=100000,INDEX($AM$1005:$BM$1005,1,MATCH(COLUMNS($AM$1006:BA1006),$AM$1006:$BM$1006,0))&gt;=100000), " ",IF(INDEX($AM$2:$BM$1001,MATCH(ROWS($AF$2:AF162),$AF$2:$AF$1001,0),MATCH(COLUMNS($AM$1006:BA1006),$AM$1006:$BM$1006,0)), HYPERLINK("#",""), HYPERLINK(CONCATENATE("#metadata!", ADDRESS(INDEX($AH$2:$AH$1001,MATCH(ROWS($AF$2:AF162),$AF$2:$AF$1001,0),0), INDEX($AM$1004:$BM$1004,1,MATCH(COLUMNS($AM$1006:BA1006),$AM$1006:$BM$1006,0)))),"Fix")))</f>
        <v xml:space="preserve"> </v>
      </c>
      <c r="Q162" s="4" t="str">
        <f ca="1">IF(OR(INDEX($AG$2:$AG$1001,MATCH(ROWS($AF$2:AF162),$AF$2:$AF$1001,0),1)&gt;=100000,INDEX($AM$1005:$BM$1005,1,MATCH(COLUMNS($AM$1006:BB1006),$AM$1006:$BM$1006,0))&gt;=100000), " ",IF(INDEX($AM$2:$BM$1001,MATCH(ROWS($AF$2:AF162),$AF$2:$AF$1001,0),MATCH(COLUMNS($AM$1006:BB1006),$AM$1006:$BM$1006,0)), HYPERLINK("#",""), HYPERLINK(CONCATENATE("#metadata!", ADDRESS(INDEX($AH$2:$AH$1001,MATCH(ROWS($AF$2:AF162),$AF$2:$AF$1001,0),0), INDEX($AM$1004:$BM$1004,1,MATCH(COLUMNS($AM$1006:BB1006),$AM$1006:$BM$1006,0)))),"Fix")))</f>
        <v xml:space="preserve"> </v>
      </c>
      <c r="R162" s="4" t="str">
        <f ca="1">IF(OR(INDEX($AG$2:$AG$1001,MATCH(ROWS($AF$2:AF162),$AF$2:$AF$1001,0),1)&gt;=100000,INDEX($AM$1005:$BM$1005,1,MATCH(COLUMNS($AM$1006:BC1006),$AM$1006:$BM$1006,0))&gt;=100000), " ",IF(INDEX($AM$2:$BM$1001,MATCH(ROWS($AF$2:AF162),$AF$2:$AF$1001,0),MATCH(COLUMNS($AM$1006:BC1006),$AM$1006:$BM$1006,0)), HYPERLINK("#",""), HYPERLINK(CONCATENATE("#metadata!", ADDRESS(INDEX($AH$2:$AH$1001,MATCH(ROWS($AF$2:AF162),$AF$2:$AF$1001,0),0), INDEX($AM$1004:$BM$1004,1,MATCH(COLUMNS($AM$1006:BC1006),$AM$1006:$BM$1006,0)))),"Fix")))</f>
        <v xml:space="preserve"> </v>
      </c>
      <c r="S162" s="4" t="str">
        <f ca="1">IF(OR(INDEX($AG$2:$AG$1001,MATCH(ROWS($AF$2:AF162),$AF$2:$AF$1001,0),1)&gt;=100000,INDEX($AM$1005:$BM$1005,1,MATCH(COLUMNS($AM$1006:BD1006),$AM$1006:$BM$1006,0))&gt;=100000), " ",IF(INDEX($AM$2:$BM$1001,MATCH(ROWS($AF$2:AF162),$AF$2:$AF$1001,0),MATCH(COLUMNS($AM$1006:BD1006),$AM$1006:$BM$1006,0)), HYPERLINK("#",""), HYPERLINK(CONCATENATE("#metadata!", ADDRESS(INDEX($AH$2:$AH$1001,MATCH(ROWS($AF$2:AF162),$AF$2:$AF$1001,0),0), INDEX($AM$1004:$BM$1004,1,MATCH(COLUMNS($AM$1006:BD1006),$AM$1006:$BM$1006,0)))),"Fix")))</f>
        <v xml:space="preserve"> </v>
      </c>
      <c r="T162" s="4" t="str">
        <f ca="1">IF(OR(INDEX($AG$2:$AG$1001,MATCH(ROWS($AF$2:AF162),$AF$2:$AF$1001,0),1)&gt;=100000,INDEX($AM$1005:$BM$1005,1,MATCH(COLUMNS($AM$1006:BE1006),$AM$1006:$BM$1006,0))&gt;=100000), " ",IF(INDEX($AM$2:$BM$1001,MATCH(ROWS($AF$2:AF162),$AF$2:$AF$1001,0),MATCH(COLUMNS($AM$1006:BE1006),$AM$1006:$BM$1006,0)), HYPERLINK("#",""), HYPERLINK(CONCATENATE("#metadata!", ADDRESS(INDEX($AH$2:$AH$1001,MATCH(ROWS($AF$2:AF162),$AF$2:$AF$1001,0),0), INDEX($AM$1004:$BM$1004,1,MATCH(COLUMNS($AM$1006:BE1006),$AM$1006:$BM$1006,0)))),"Fix")))</f>
        <v xml:space="preserve"> </v>
      </c>
      <c r="U162" s="4" t="str">
        <f ca="1">IF(OR(INDEX($AG$2:$AG$1001,MATCH(ROWS($AF$2:AF162),$AF$2:$AF$1001,0),1)&gt;=100000,INDEX($AM$1005:$BM$1005,1,MATCH(COLUMNS($AM$1006:BF1006),$AM$1006:$BM$1006,0))&gt;=100000), " ",IF(INDEX($AM$2:$BM$1001,MATCH(ROWS($AF$2:AF162),$AF$2:$AF$1001,0),MATCH(COLUMNS($AM$1006:BF1006),$AM$1006:$BM$1006,0)), HYPERLINK("#",""), HYPERLINK(CONCATENATE("#metadata!", ADDRESS(INDEX($AH$2:$AH$1001,MATCH(ROWS($AF$2:AF162),$AF$2:$AF$1001,0),0), INDEX($AM$1004:$BM$1004,1,MATCH(COLUMNS($AM$1006:BF1006),$AM$1006:$BM$1006,0)))),"Fix")))</f>
        <v xml:space="preserve"> </v>
      </c>
      <c r="V162" s="4" t="str">
        <f ca="1">IF(OR(INDEX($AG$2:$AG$1001,MATCH(ROWS($AF$2:AF162),$AF$2:$AF$1001,0),1)&gt;=100000,INDEX($AM$1005:$BM$1005,1,MATCH(COLUMNS($AM$1006:BG1006),$AM$1006:$BM$1006,0))&gt;=100000), " ",IF(INDEX($AM$2:$BM$1001,MATCH(ROWS($AF$2:AF162),$AF$2:$AF$1001,0),MATCH(COLUMNS($AM$1006:BG1006),$AM$1006:$BM$1006,0)), HYPERLINK("#",""), HYPERLINK(CONCATENATE("#metadata!", ADDRESS(INDEX($AH$2:$AH$1001,MATCH(ROWS($AF$2:AF162),$AF$2:$AF$1001,0),0), INDEX($AM$1004:$BM$1004,1,MATCH(COLUMNS($AM$1006:BG1006),$AM$1006:$BM$1006,0)))),"Fix")))</f>
        <v xml:space="preserve"> </v>
      </c>
      <c r="W162" s="4" t="str">
        <f ca="1">IF(OR(INDEX($AG$2:$AG$1001,MATCH(ROWS($AF$2:AF162),$AF$2:$AF$1001,0),1)&gt;=100000,INDEX($AM$1005:$BM$1005,1,MATCH(COLUMNS($AM$1006:BH1006),$AM$1006:$BM$1006,0))&gt;=100000), " ",IF(INDEX($AM$2:$BM$1001,MATCH(ROWS($AF$2:AF162),$AF$2:$AF$1001,0),MATCH(COLUMNS($AM$1006:BH1006),$AM$1006:$BM$1006,0)), HYPERLINK("#",""), HYPERLINK(CONCATENATE("#metadata!", ADDRESS(INDEX($AH$2:$AH$1001,MATCH(ROWS($AF$2:AF162),$AF$2:$AF$1001,0),0), INDEX($AM$1004:$BM$1004,1,MATCH(COLUMNS($AM$1006:BH1006),$AM$1006:$BM$1006,0)))),"Fix")))</f>
        <v xml:space="preserve"> </v>
      </c>
      <c r="X162" s="4" t="str">
        <f ca="1">IF(OR(INDEX($AG$2:$AG$1001,MATCH(ROWS($AF$2:AF162),$AF$2:$AF$1001,0),1)&gt;=100000,INDEX($AM$1005:$BM$1005,1,MATCH(COLUMNS($AM$1006:BI1006),$AM$1006:$BM$1006,0))&gt;=100000), " ",IF(INDEX($AM$2:$BM$1001,MATCH(ROWS($AF$2:AF162),$AF$2:$AF$1001,0),MATCH(COLUMNS($AM$1006:BI1006),$AM$1006:$BM$1006,0)), HYPERLINK("#",""), HYPERLINK(CONCATENATE("#metadata!", ADDRESS(INDEX($AH$2:$AH$1001,MATCH(ROWS($AF$2:AF162),$AF$2:$AF$1001,0),0), INDEX($AM$1004:$BM$1004,1,MATCH(COLUMNS($AM$1006:BI1006),$AM$1006:$BM$1006,0)))),"Fix")))</f>
        <v xml:space="preserve"> </v>
      </c>
      <c r="Y162" s="4" t="str">
        <f ca="1">IF(OR(INDEX($AG$2:$AG$1001,MATCH(ROWS($AF$2:AF162),$AF$2:$AF$1001,0),1)&gt;=100000,INDEX($AM$1005:$BM$1005,1,MATCH(COLUMNS($AM$1006:BJ1006),$AM$1006:$BM$1006,0))&gt;=100000), " ",IF(INDEX($AM$2:$BM$1001,MATCH(ROWS($AF$2:AF162),$AF$2:$AF$1001,0),MATCH(COLUMNS($AM$1006:BJ1006),$AM$1006:$BM$1006,0)), HYPERLINK("#",""), HYPERLINK(CONCATENATE("#metadata!", ADDRESS(INDEX($AH$2:$AH$1001,MATCH(ROWS($AF$2:AF162),$AF$2:$AF$1001,0),0), INDEX($AM$1004:$BM$1004,1,MATCH(COLUMNS($AM$1006:BJ1006),$AM$1006:$BM$1006,0)))),"Fix")))</f>
        <v xml:space="preserve"> </v>
      </c>
      <c r="Z162" s="4" t="str">
        <f ca="1">IF(OR(INDEX($AG$2:$AG$1001,MATCH(ROWS($AF$2:AF162),$AF$2:$AF$1001,0),1)&gt;=100000,INDEX($AM$1005:$BM$1005,1,MATCH(COLUMNS($AM$1006:BK1006),$AM$1006:$BM$1006,0))&gt;=100000), " ",IF(INDEX($AM$2:$BM$1001,MATCH(ROWS($AF$2:AF162),$AF$2:$AF$1001,0),MATCH(COLUMNS($AM$1006:BK1006),$AM$1006:$BM$1006,0)), HYPERLINK("#",""), HYPERLINK(CONCATENATE("#metadata!", ADDRESS(INDEX($AH$2:$AH$1001,MATCH(ROWS($AF$2:AF162),$AF$2:$AF$1001,0),0), INDEX($AM$1004:$BM$1004,1,MATCH(COLUMNS($AM$1006:BK1006),$AM$1006:$BM$1006,0)))),"Fix")))</f>
        <v xml:space="preserve"> </v>
      </c>
      <c r="AA162" s="4" t="str">
        <f ca="1">IF(OR(INDEX($AG$2:$AG$1001,MATCH(ROWS($AF$2:AF162),$AF$2:$AF$1001,0),1)&gt;=100000,INDEX($AM$1005:$BM$1005,1,MATCH(COLUMNS($AM$1006:BL1006),$AM$1006:$BM$1006,0))&gt;=100000), " ",IF(INDEX($AM$2:$BM$1001,MATCH(ROWS($AF$2:AF162),$AF$2:$AF$1001,0),MATCH(COLUMNS($AM$1006:BL1006),$AM$1006:$BM$1006,0)), HYPERLINK("#",""), HYPERLINK(CONCATENATE("#metadata!", ADDRESS(INDEX($AH$2:$AH$1001,MATCH(ROWS($AF$2:AF162),$AF$2:$AF$1001,0),0), INDEX($AM$1004:$BM$1004,1,MATCH(COLUMNS($AM$1006:BL1006),$AM$1006:$BM$1006,0)))),"Fix")))</f>
        <v xml:space="preserve"> </v>
      </c>
      <c r="AB162" s="4" t="str">
        <f ca="1">IF(OR(INDEX($AG$2:$AG$1001,MATCH(ROWS($AF$2:AF162),$AF$2:$AF$1001,0),1)&gt;=100000,INDEX($AM$1005:$BM$1005,1,MATCH(COLUMNS($AM$1006:BM1006),$AM$1006:$BM$1006,0))&gt;=100000), " ",IF(INDEX($AM$2:$BM$1001,MATCH(ROWS($AF$2:AF162),$AF$2:$AF$1001,0),MATCH(COLUMNS($AM$1006:BM1006),$AM$1006:$BM$1006,0)), HYPERLINK("#",""), HYPERLINK(CONCATENATE("#metadata!", ADDRESS(INDEX($AH$2:$AH$1001,MATCH(ROWS($AF$2:AF162),$AF$2:$AF$1001,0),0), INDEX($AM$1004:$BM$1004,1,MATCH(COLUMNS($AM$1006:BM1006),$AM$1006:$BM$1006,0)))),"Fix")))</f>
        <v xml:space="preserve"> </v>
      </c>
      <c r="AF162">
        <v>161</v>
      </c>
      <c r="AG162">
        <v>100162</v>
      </c>
      <c r="AH162">
        <v>162</v>
      </c>
      <c r="AI162" t="b">
        <f t="shared" si="2"/>
        <v>1</v>
      </c>
      <c r="AJ162" t="b">
        <f>COUNTBLANK(metadata!B162:AB162)=COLUMNS(metadata!B162:AB162)</f>
        <v>1</v>
      </c>
      <c r="AK162" t="str">
        <v/>
      </c>
      <c r="AM162" t="b">
        <f ca="1">AND(IF(metadata!B162="",FALSE,TRUE),COUNTIF(metadata!B:B, metadata!B162) = 1,NOT(ISERROR(SUMPRODUCT(SEARCH(MID(metadata!B162,ROW(INDIRECT("1:"&amp;LEN(metadata!B162))), 1),"0123456789abcdefghijklmnopqrstuvwxyzABCDEFGHIJKLMNOPQRSTUVWXYZ.")))))</f>
        <v>0</v>
      </c>
      <c r="AN162" t="b">
        <f ca="1">OR(AND(IF(metadata!C162="",FALSE,TRUE),OR(EXACT(metadata!C162,"missing: not collected"),EXACT(metadata!C162,"missing: not provided"),EXACT(metadata!C162,"missing: restricted access"))),AND(IF(metadata!C162="",FALSE,TRUE),AND(AND(IFERROR(INT(LEFT(metadata!C162,4))&gt;1900,FALSE),IFERROR(INT(LEFT(metadata!C162,4))&lt;=YEAR(NOW()),FALSE)), OR(MID(metadata!C162,5,1)="", AND(AND(MID(metadata!C162,5,1)="-",IFERROR(INT(MID(metadata!C162,6,1))&gt;=0,FALSE),IFERROR(INT(MID(metadata!C162,6,1))&lt;=1,FALSE),NOT(MID(metadata!C162,7,1)=""),IFERROR(INT(MID(metadata!C162,6,2))&gt;=1,FALSE),IFERROR(INT(MID(metadata!C162,6,2))&lt;=12,FALSE)), OR(MID(metadata!C162,8,1)="", AND(AND(MID(metadata!C162,8,1)="-",IFERROR(INT(MID(metadata!C162,9,1))&gt;=0,FALSE),IFERROR(INT(MID(metadata!C162,9,1))&lt;=3,FALSE),NOT(MID(metadata!C162,10,1)=""),IFERROR(INT(MID(metadata!C162,9,2))&gt;=1,FALSE),IFERROR(INT(MID(metadata!C162,9,2))&lt;=31,FALSE)), OR(MID(metadata!C162,11,1)="", AND(AND(MID(metadata!C162,11,1)=" ",IFERROR(INT(MID(metadata!C162,12,1))&gt;=0,FALSE),IFERROR(INT(MID(metadata!C162,12,1))&lt;=2,FALSE),NOT(MID(metadata!C162,13,1)=""),IFERROR(INT(MID(metadata!C162,12,2))&gt;=0,FALSE),IFERROR(INT(MID(metadata!C162,12,2))&lt;=23,FALSE)), OR(MID(metadata!C162,14,1)="", AND(AND(MID(metadata!C162,14,1)=":",IFERROR(INT(MID(metadata!C162,15,1))&gt;=0,FALSE),IFERROR(INT(MID(metadata!C162,15,1))&lt;=5,FALSE),NOT(MID(metadata!C162,16,1)=""),IFERROR(INT(MID(metadata!C162,15,2))&gt;=0,FALSE),IFERROR(INT(MID(metadata!C162,15,2))&lt;=59,FALSE)), OR(MID(metadata!C162,17,1)="", AND(AND(MID(metadata!C162,17,1)=":",IFERROR(INT(MID(metadata!C162,18,1))&gt;=0,FALSE),IFERROR(INT(MID(metadata!C162,18,1))&lt;=5,FALSE),NOT(MID(metadata!C162,19,1)=""),IFERROR(INT(MID(metadata!C162,18,2))&gt;=0,FALSE),IFERROR(INT(MID(metadata!C162,18,2))&lt;=59,FALSE)), LEN(metadata!C162)&lt;=19)))))))))))))</f>
        <v>0</v>
      </c>
      <c r="AO162" t="b">
        <f>AND(IF(metadata!D162="",FALSE,TRUE),EXACT(metadata!D162,"Not applicable"))</f>
        <v>0</v>
      </c>
      <c r="AP162" t="b">
        <f>IF(metadata!E162="",FALSE,TRUE)</f>
        <v>0</v>
      </c>
      <c r="AQ162" t="b">
        <f>OR(AND(IF(metadata!F162="",FALSE,TRUE),OR(EXACT(metadata!F162,"missing: not collected"),EXACT(metadata!F162,"missing: not provided"))),AND(IF(metadata!F162="",FALSE,TRUE),OR(EXACT(metadata!F162,"TRUE"),EXACT(metadata!F162,"FALSE"))))</f>
        <v>0</v>
      </c>
      <c r="AR162" t="b">
        <f>OR(AND(IF(metadata!G162="",FALSE,TRUE),OR(EXACT(metadata!G162,"missing: not collected"),EXACT(metadata!G162,"missing: not provided"),EXACT(metadata!G162,"missing: restricted access"))),AND(IF(metadata!G162="",FALSE,ISNUMBER(VALUE(metadata!G162))),metadata!G162&gt;=-413))</f>
        <v>0</v>
      </c>
      <c r="AS162" t="b">
        <f>AND(IF(metadata!H162="",FALSE,TRUE),EXACT(metadata!H162,"meters"))</f>
        <v>0</v>
      </c>
      <c r="AT162" t="b">
        <f>AND(IF(metadata!I162="",FALSE,TRUE),OR(EXACT(metadata!I162,"Host-associated"),EXACT(metadata!I162,"Free-living")))</f>
        <v>0</v>
      </c>
      <c r="AU162" t="b">
        <f>AND(IF(metadata!J162="",FALSE,TRUE),OR(EXACT(metadata!J162,"Animal"),EXACT(metadata!J162,"Fungus"),EXACT(metadata!J162,"Plant"),EXACT(metadata!J162,"Saline"),EXACT(metadata!J162,"Non-saline")))</f>
        <v>0</v>
      </c>
      <c r="AV162" t="b">
        <f>AND(IF(metadata!K162="",FALSE,TRUE),OR(EXACT(metadata!K162,"Plant secretion"),EXACT(metadata!K162,"Plant rhizosphere"),EXACT(metadata!K162,"Plant surface"),EXACT(metadata!K162,"Plant corpus"),EXACT(metadata!K162,"Fungus surface"),EXACT(metadata!K162,"Fungus corpus"),EXACT(metadata!K162,"Animal surface"),EXACT(metadata!K162,"Animal proximal gut"),EXACT(metadata!K162,"Animal corpus"),EXACT(metadata!K162,"Animal distal gut"),EXACT(metadata!K162,"Animal secretion"),EXACT(metadata!K162,"Sub-surface (non-saline)"),EXACT(metadata!K162,"Surface (non-saline)"),EXACT(metadata!K162,"Water (non-saline)"),EXACT(metadata!K162,"Soil (non-saline)"),EXACT(metadata!K162,"Aerosol (non-saline)"),EXACT(metadata!K162,"Sediment (non-saline)"),EXACT(metadata!K162,"Surface (saline)"),EXACT(metadata!K162,"Water (saline)"),EXACT(metadata!K162,"Hypersaline (saline)"),EXACT(metadata!K162,"Aerosol (saline)"),EXACT(metadata!K162,"Sediment (saline)")))</f>
        <v>0</v>
      </c>
      <c r="AW162" t="b">
        <f>IF(metadata!L162="",FALSE,TRUE)</f>
        <v>0</v>
      </c>
      <c r="AX162" t="b">
        <f>IF(metadata!M162="",FALSE,TRUE)</f>
        <v>0</v>
      </c>
      <c r="AY162" t="b">
        <f>IF(metadata!N162="",FALSE,TRUE)</f>
        <v>0</v>
      </c>
      <c r="AZ162" t="b">
        <f>OR(AND(IF(metadata!O162="",FALSE,TRUE),OR(EXACT(metadata!O162,"missing: not collected"),EXACT(metadata!O162,"missing: not provided"),EXACT(metadata!O162,"missing: restricted access"))),AND(IF(metadata!O162="",FALSE,TRUE),OR(EXACT(metadata!O162,"air"),EXACT(metadata!O162,"built environment"),EXACT(metadata!O162,"host-associated"),EXACT(metadata!O162,"human-associated"),EXACT(metadata!O162,"human-skin"),EXACT(metadata!O162,"human-oral"),EXACT(metadata!O162,"human-gut"),EXACT(metadata!O162,"human-vaginal"),EXACT(metadata!O162,"microbial mat/biofilm"),EXACT(metadata!O162,"misc environment"),EXACT(metadata!O162,"plant-associated"),EXACT(metadata!O162,"sediment"),EXACT(metadata!O162,"soil"),EXACT(metadata!O162,"wastewater/sludge"),EXACT(metadata!O162,"water"))))</f>
        <v>0</v>
      </c>
      <c r="BA162" t="b">
        <f>IF(metadata!P162="",FALSE,TRUE)</f>
        <v>0</v>
      </c>
      <c r="BB162" t="b">
        <f>IF(metadata!Q162="",FALSE,TRUE)</f>
        <v>0</v>
      </c>
      <c r="BC162" t="b">
        <f>OR(AND(IF(metadata!R162="",FALSE,TRUE),OR(EXACT(metadata!R162,"missing: not collected"),EXACT(metadata!R162,"missing: not provided"),EXACT(metadata!R162,"missing: restricted access"))),AND(IF(metadata!R162="",FALSE,ISNUMBER(VALUE(metadata!R162))),metadata!R162&gt;=-90,metadata!R162&lt;=90))</f>
        <v>0</v>
      </c>
      <c r="BD162" t="b">
        <f>AND(IF(metadata!S162="",FALSE,TRUE),EXACT(metadata!S162,"Decimal degrees"))</f>
        <v>0</v>
      </c>
      <c r="BE162" t="b">
        <f>OR(AND(IF(metadata!T162="",FALSE,TRUE),OR(EXACT(metadata!T162,"missing: not collected"),EXACT(metadata!T162,"missing: not provided"),EXACT(metadata!T162,"missing: restricted access"))),AND(IF(metadata!T162="",FALSE,ISNUMBER(VALUE(metadata!T162))),metadata!T162&gt;=-180,metadata!T162&lt;=180))</f>
        <v>0</v>
      </c>
      <c r="BF162" t="b">
        <f>AND(IF(metadata!U162="",FALSE,TRUE),EXACT(metadata!U162,"Decimal degrees"))</f>
        <v>0</v>
      </c>
      <c r="BG162" t="b">
        <f>IF(metadata!V162="",FALSE,TRUE)</f>
        <v>0</v>
      </c>
      <c r="BH162" t="b">
        <f>OR(AND(IF(metadata!W162="",FALSE,TRUE),OR(EXACT(metadata!W162,"missing: not collected"),EXACT(metadata!W162,"missing: not provided"),EXACT(metadata!W162,"missing: restricted access"))),AND(IF(metadata!W162="",FALSE,TRUE),OR(EXACT(metadata!W162,"TRUE"),EXACT(metadata!W162,"FALSE"))))</f>
        <v>0</v>
      </c>
      <c r="BI162" t="b">
        <f>AND(IF(metadata!X162="",FALSE,TRUE),EXACT(metadata!X162,"other"))</f>
        <v>0</v>
      </c>
      <c r="BJ162" t="b">
        <f>IF(metadata!Y162="",FALSE,TRUE)</f>
        <v>0</v>
      </c>
      <c r="BK162" t="b">
        <f>OR(AND(IF(metadata!Z162="",FALSE,TRUE),OR(EXACT(metadata!Z162,"missing: not collected"),EXACT(metadata!Z162,"missing: not provided"))),AND(IF(metadata!Z162="",FALSE,IF(ISERROR(INT(metadata!Z162)),FALSE,INT(metadata!Z162)=metadata!Z162)),metadata!Z162&gt;0))</f>
        <v>0</v>
      </c>
      <c r="BL162" t="b">
        <f>AND(IF(metadata!AA162="",FALSE,TRUE),EXACT(metadata!AA162,"Not applicable"))</f>
        <v>0</v>
      </c>
      <c r="BM162" t="b">
        <f>IF(metadata!AB162="",FALSE,TRUE)</f>
        <v>0</v>
      </c>
    </row>
    <row r="163" spans="1:65" x14ac:dyDescent="0.2">
      <c r="A163" s="5" t="str">
        <f ca="1">IF(B163=" "," ",HYPERLINK(CONCATENATE("#metadata!",ADDRESS(INDEX($AH$2:$AH$1001,MATCH(ROWS($AF$2:AF163),$AF$2:$AF$1001,0),0),1)),INDEX($AK$2:$AK$1001,MATCH(ROWS($AF$2:AF163),$AF$2:$AF$1001,0),0)))</f>
        <v xml:space="preserve"> </v>
      </c>
      <c r="B163" s="4" t="str">
        <f ca="1">IF(OR(INDEX($AG$2:$AG$1001,MATCH(ROWS($AF$2:AF163),$AF$2:$AF$1001,0),1)&gt;=100000,INDEX($AM$1005:$BM$1005,1,MATCH(COLUMNS($AM$1006:AM1006),$AM$1006:$BM$1006,0))&gt;=100000), " ",IF(INDEX($AM$2:$BM$1001,MATCH(ROWS($AF$2:AF163),$AF$2:$AF$1001,0),MATCH(COLUMNS($AM$1006:AM1006),$AM$1006:$BM$1006,0)), HYPERLINK("#",""), HYPERLINK(CONCATENATE("#metadata!", ADDRESS(INDEX($AH$2:$AH$1001,MATCH(ROWS($AF$2:AF163),$AF$2:$AF$1001,0),0), INDEX($AM$1004:$BM$1004,1,MATCH(COLUMNS($AM$1006:AM1006),$AM$1006:$BM$1006,0)))),"Fix")))</f>
        <v xml:space="preserve"> </v>
      </c>
      <c r="C163" s="4" t="str">
        <f ca="1">IF(OR(INDEX($AG$2:$AG$1001,MATCH(ROWS($AF$2:AF163),$AF$2:$AF$1001,0),1)&gt;=100000,INDEX($AM$1005:$BM$1005,1,MATCH(COLUMNS($AM$1006:AN1006),$AM$1006:$BM$1006,0))&gt;=100000), " ",IF(INDEX($AM$2:$BM$1001,MATCH(ROWS($AF$2:AF163),$AF$2:$AF$1001,0),MATCH(COLUMNS($AM$1006:AN1006),$AM$1006:$BM$1006,0)), HYPERLINK("#",""), HYPERLINK(CONCATENATE("#metadata!", ADDRESS(INDEX($AH$2:$AH$1001,MATCH(ROWS($AF$2:AF163),$AF$2:$AF$1001,0),0), INDEX($AM$1004:$BM$1004,1,MATCH(COLUMNS($AM$1006:AN1006),$AM$1006:$BM$1006,0)))),"Fix")))</f>
        <v xml:space="preserve"> </v>
      </c>
      <c r="D163" s="4" t="str">
        <f ca="1">IF(OR(INDEX($AG$2:$AG$1001,MATCH(ROWS($AF$2:AF163),$AF$2:$AF$1001,0),1)&gt;=100000,INDEX($AM$1005:$BM$1005,1,MATCH(COLUMNS($AM$1006:AO1006),$AM$1006:$BM$1006,0))&gt;=100000), " ",IF(INDEX($AM$2:$BM$1001,MATCH(ROWS($AF$2:AF163),$AF$2:$AF$1001,0),MATCH(COLUMNS($AM$1006:AO1006),$AM$1006:$BM$1006,0)), HYPERLINK("#",""), HYPERLINK(CONCATENATE("#metadata!", ADDRESS(INDEX($AH$2:$AH$1001,MATCH(ROWS($AF$2:AF163),$AF$2:$AF$1001,0),0), INDEX($AM$1004:$BM$1004,1,MATCH(COLUMNS($AM$1006:AO1006),$AM$1006:$BM$1006,0)))),"Fix")))</f>
        <v xml:space="preserve"> </v>
      </c>
      <c r="E163" s="4" t="str">
        <f ca="1">IF(OR(INDEX($AG$2:$AG$1001,MATCH(ROWS($AF$2:AF163),$AF$2:$AF$1001,0),1)&gt;=100000,INDEX($AM$1005:$BM$1005,1,MATCH(COLUMNS($AM$1006:AP1006),$AM$1006:$BM$1006,0))&gt;=100000), " ",IF(INDEX($AM$2:$BM$1001,MATCH(ROWS($AF$2:AF163),$AF$2:$AF$1001,0),MATCH(COLUMNS($AM$1006:AP1006),$AM$1006:$BM$1006,0)), HYPERLINK("#",""), HYPERLINK(CONCATENATE("#metadata!", ADDRESS(INDEX($AH$2:$AH$1001,MATCH(ROWS($AF$2:AF163),$AF$2:$AF$1001,0),0), INDEX($AM$1004:$BM$1004,1,MATCH(COLUMNS($AM$1006:AP1006),$AM$1006:$BM$1006,0)))),"Fix")))</f>
        <v xml:space="preserve"> </v>
      </c>
      <c r="F163" s="4" t="str">
        <f ca="1">IF(OR(INDEX($AG$2:$AG$1001,MATCH(ROWS($AF$2:AF163),$AF$2:$AF$1001,0),1)&gt;=100000,INDEX($AM$1005:$BM$1005,1,MATCH(COLUMNS($AM$1006:AQ1006),$AM$1006:$BM$1006,0))&gt;=100000), " ",IF(INDEX($AM$2:$BM$1001,MATCH(ROWS($AF$2:AF163),$AF$2:$AF$1001,0),MATCH(COLUMNS($AM$1006:AQ1006),$AM$1006:$BM$1006,0)), HYPERLINK("#",""), HYPERLINK(CONCATENATE("#metadata!", ADDRESS(INDEX($AH$2:$AH$1001,MATCH(ROWS($AF$2:AF163),$AF$2:$AF$1001,0),0), INDEX($AM$1004:$BM$1004,1,MATCH(COLUMNS($AM$1006:AQ1006),$AM$1006:$BM$1006,0)))),"Fix")))</f>
        <v xml:space="preserve"> </v>
      </c>
      <c r="G163" s="4" t="str">
        <f ca="1">IF(OR(INDEX($AG$2:$AG$1001,MATCH(ROWS($AF$2:AF163),$AF$2:$AF$1001,0),1)&gt;=100000,INDEX($AM$1005:$BM$1005,1,MATCH(COLUMNS($AM$1006:AR1006),$AM$1006:$BM$1006,0))&gt;=100000), " ",IF(INDEX($AM$2:$BM$1001,MATCH(ROWS($AF$2:AF163),$AF$2:$AF$1001,0),MATCH(COLUMNS($AM$1006:AR1006),$AM$1006:$BM$1006,0)), HYPERLINK("#",""), HYPERLINK(CONCATENATE("#metadata!", ADDRESS(INDEX($AH$2:$AH$1001,MATCH(ROWS($AF$2:AF163),$AF$2:$AF$1001,0),0), INDEX($AM$1004:$BM$1004,1,MATCH(COLUMNS($AM$1006:AR1006),$AM$1006:$BM$1006,0)))),"Fix")))</f>
        <v xml:space="preserve"> </v>
      </c>
      <c r="H163" s="4" t="str">
        <f ca="1">IF(OR(INDEX($AG$2:$AG$1001,MATCH(ROWS($AF$2:AF163),$AF$2:$AF$1001,0),1)&gt;=100000,INDEX($AM$1005:$BM$1005,1,MATCH(COLUMNS($AM$1006:AS1006),$AM$1006:$BM$1006,0))&gt;=100000), " ",IF(INDEX($AM$2:$BM$1001,MATCH(ROWS($AF$2:AF163),$AF$2:$AF$1001,0),MATCH(COLUMNS($AM$1006:AS1006),$AM$1006:$BM$1006,0)), HYPERLINK("#",""), HYPERLINK(CONCATENATE("#metadata!", ADDRESS(INDEX($AH$2:$AH$1001,MATCH(ROWS($AF$2:AF163),$AF$2:$AF$1001,0),0), INDEX($AM$1004:$BM$1004,1,MATCH(COLUMNS($AM$1006:AS1006),$AM$1006:$BM$1006,0)))),"Fix")))</f>
        <v xml:space="preserve"> </v>
      </c>
      <c r="I163" s="4" t="str">
        <f ca="1">IF(OR(INDEX($AG$2:$AG$1001,MATCH(ROWS($AF$2:AF163),$AF$2:$AF$1001,0),1)&gt;=100000,INDEX($AM$1005:$BM$1005,1,MATCH(COLUMNS($AM$1006:AT1006),$AM$1006:$BM$1006,0))&gt;=100000), " ",IF(INDEX($AM$2:$BM$1001,MATCH(ROWS($AF$2:AF163),$AF$2:$AF$1001,0),MATCH(COLUMNS($AM$1006:AT1006),$AM$1006:$BM$1006,0)), HYPERLINK("#",""), HYPERLINK(CONCATENATE("#metadata!", ADDRESS(INDEX($AH$2:$AH$1001,MATCH(ROWS($AF$2:AF163),$AF$2:$AF$1001,0),0), INDEX($AM$1004:$BM$1004,1,MATCH(COLUMNS($AM$1006:AT1006),$AM$1006:$BM$1006,0)))),"Fix")))</f>
        <v xml:space="preserve"> </v>
      </c>
      <c r="J163" s="4" t="str">
        <f ca="1">IF(OR(INDEX($AG$2:$AG$1001,MATCH(ROWS($AF$2:AF163),$AF$2:$AF$1001,0),1)&gt;=100000,INDEX($AM$1005:$BM$1005,1,MATCH(COLUMNS($AM$1006:AU1006),$AM$1006:$BM$1006,0))&gt;=100000), " ",IF(INDEX($AM$2:$BM$1001,MATCH(ROWS($AF$2:AF163),$AF$2:$AF$1001,0),MATCH(COLUMNS($AM$1006:AU1006),$AM$1006:$BM$1006,0)), HYPERLINK("#",""), HYPERLINK(CONCATENATE("#metadata!", ADDRESS(INDEX($AH$2:$AH$1001,MATCH(ROWS($AF$2:AF163),$AF$2:$AF$1001,0),0), INDEX($AM$1004:$BM$1004,1,MATCH(COLUMNS($AM$1006:AU1006),$AM$1006:$BM$1006,0)))),"Fix")))</f>
        <v xml:space="preserve"> </v>
      </c>
      <c r="K163" s="4" t="str">
        <f ca="1">IF(OR(INDEX($AG$2:$AG$1001,MATCH(ROWS($AF$2:AF163),$AF$2:$AF$1001,0),1)&gt;=100000,INDEX($AM$1005:$BM$1005,1,MATCH(COLUMNS($AM$1006:AV1006),$AM$1006:$BM$1006,0))&gt;=100000), " ",IF(INDEX($AM$2:$BM$1001,MATCH(ROWS($AF$2:AF163),$AF$2:$AF$1001,0),MATCH(COLUMNS($AM$1006:AV1006),$AM$1006:$BM$1006,0)), HYPERLINK("#",""), HYPERLINK(CONCATENATE("#metadata!", ADDRESS(INDEX($AH$2:$AH$1001,MATCH(ROWS($AF$2:AF163),$AF$2:$AF$1001,0),0), INDEX($AM$1004:$BM$1004,1,MATCH(COLUMNS($AM$1006:AV1006),$AM$1006:$BM$1006,0)))),"Fix")))</f>
        <v xml:space="preserve"> </v>
      </c>
      <c r="L163" s="4" t="str">
        <f ca="1">IF(OR(INDEX($AG$2:$AG$1001,MATCH(ROWS($AF$2:AF163),$AF$2:$AF$1001,0),1)&gt;=100000,INDEX($AM$1005:$BM$1005,1,MATCH(COLUMNS($AM$1006:AW1006),$AM$1006:$BM$1006,0))&gt;=100000), " ",IF(INDEX($AM$2:$BM$1001,MATCH(ROWS($AF$2:AF163),$AF$2:$AF$1001,0),MATCH(COLUMNS($AM$1006:AW1006),$AM$1006:$BM$1006,0)), HYPERLINK("#",""), HYPERLINK(CONCATENATE("#metadata!", ADDRESS(INDEX($AH$2:$AH$1001,MATCH(ROWS($AF$2:AF163),$AF$2:$AF$1001,0),0), INDEX($AM$1004:$BM$1004,1,MATCH(COLUMNS($AM$1006:AW1006),$AM$1006:$BM$1006,0)))),"Fix")))</f>
        <v xml:space="preserve"> </v>
      </c>
      <c r="M163" s="4" t="str">
        <f ca="1">IF(OR(INDEX($AG$2:$AG$1001,MATCH(ROWS($AF$2:AF163),$AF$2:$AF$1001,0),1)&gt;=100000,INDEX($AM$1005:$BM$1005,1,MATCH(COLUMNS($AM$1006:AX1006),$AM$1006:$BM$1006,0))&gt;=100000), " ",IF(INDEX($AM$2:$BM$1001,MATCH(ROWS($AF$2:AF163),$AF$2:$AF$1001,0),MATCH(COLUMNS($AM$1006:AX1006),$AM$1006:$BM$1006,0)), HYPERLINK("#",""), HYPERLINK(CONCATENATE("#metadata!", ADDRESS(INDEX($AH$2:$AH$1001,MATCH(ROWS($AF$2:AF163),$AF$2:$AF$1001,0),0), INDEX($AM$1004:$BM$1004,1,MATCH(COLUMNS($AM$1006:AX1006),$AM$1006:$BM$1006,0)))),"Fix")))</f>
        <v xml:space="preserve"> </v>
      </c>
      <c r="N163" s="4" t="str">
        <f ca="1">IF(OR(INDEX($AG$2:$AG$1001,MATCH(ROWS($AF$2:AF163),$AF$2:$AF$1001,0),1)&gt;=100000,INDEX($AM$1005:$BM$1005,1,MATCH(COLUMNS($AM$1006:AY1006),$AM$1006:$BM$1006,0))&gt;=100000), " ",IF(INDEX($AM$2:$BM$1001,MATCH(ROWS($AF$2:AF163),$AF$2:$AF$1001,0),MATCH(COLUMNS($AM$1006:AY1006),$AM$1006:$BM$1006,0)), HYPERLINK("#",""), HYPERLINK(CONCATENATE("#metadata!", ADDRESS(INDEX($AH$2:$AH$1001,MATCH(ROWS($AF$2:AF163),$AF$2:$AF$1001,0),0), INDEX($AM$1004:$BM$1004,1,MATCH(COLUMNS($AM$1006:AY1006),$AM$1006:$BM$1006,0)))),"Fix")))</f>
        <v xml:space="preserve"> </v>
      </c>
      <c r="O163" s="4" t="str">
        <f ca="1">IF(OR(INDEX($AG$2:$AG$1001,MATCH(ROWS($AF$2:AF163),$AF$2:$AF$1001,0),1)&gt;=100000,INDEX($AM$1005:$BM$1005,1,MATCH(COLUMNS($AM$1006:AZ1006),$AM$1006:$BM$1006,0))&gt;=100000), " ",IF(INDEX($AM$2:$BM$1001,MATCH(ROWS($AF$2:AF163),$AF$2:$AF$1001,0),MATCH(COLUMNS($AM$1006:AZ1006),$AM$1006:$BM$1006,0)), HYPERLINK("#",""), HYPERLINK(CONCATENATE("#metadata!", ADDRESS(INDEX($AH$2:$AH$1001,MATCH(ROWS($AF$2:AF163),$AF$2:$AF$1001,0),0), INDEX($AM$1004:$BM$1004,1,MATCH(COLUMNS($AM$1006:AZ1006),$AM$1006:$BM$1006,0)))),"Fix")))</f>
        <v xml:space="preserve"> </v>
      </c>
      <c r="P163" s="4" t="str">
        <f ca="1">IF(OR(INDEX($AG$2:$AG$1001,MATCH(ROWS($AF$2:AF163),$AF$2:$AF$1001,0),1)&gt;=100000,INDEX($AM$1005:$BM$1005,1,MATCH(COLUMNS($AM$1006:BA1006),$AM$1006:$BM$1006,0))&gt;=100000), " ",IF(INDEX($AM$2:$BM$1001,MATCH(ROWS($AF$2:AF163),$AF$2:$AF$1001,0),MATCH(COLUMNS($AM$1006:BA1006),$AM$1006:$BM$1006,0)), HYPERLINK("#",""), HYPERLINK(CONCATENATE("#metadata!", ADDRESS(INDEX($AH$2:$AH$1001,MATCH(ROWS($AF$2:AF163),$AF$2:$AF$1001,0),0), INDEX($AM$1004:$BM$1004,1,MATCH(COLUMNS($AM$1006:BA1006),$AM$1006:$BM$1006,0)))),"Fix")))</f>
        <v xml:space="preserve"> </v>
      </c>
      <c r="Q163" s="4" t="str">
        <f ca="1">IF(OR(INDEX($AG$2:$AG$1001,MATCH(ROWS($AF$2:AF163),$AF$2:$AF$1001,0),1)&gt;=100000,INDEX($AM$1005:$BM$1005,1,MATCH(COLUMNS($AM$1006:BB1006),$AM$1006:$BM$1006,0))&gt;=100000), " ",IF(INDEX($AM$2:$BM$1001,MATCH(ROWS($AF$2:AF163),$AF$2:$AF$1001,0),MATCH(COLUMNS($AM$1006:BB1006),$AM$1006:$BM$1006,0)), HYPERLINK("#",""), HYPERLINK(CONCATENATE("#metadata!", ADDRESS(INDEX($AH$2:$AH$1001,MATCH(ROWS($AF$2:AF163),$AF$2:$AF$1001,0),0), INDEX($AM$1004:$BM$1004,1,MATCH(COLUMNS($AM$1006:BB1006),$AM$1006:$BM$1006,0)))),"Fix")))</f>
        <v xml:space="preserve"> </v>
      </c>
      <c r="R163" s="4" t="str">
        <f ca="1">IF(OR(INDEX($AG$2:$AG$1001,MATCH(ROWS($AF$2:AF163),$AF$2:$AF$1001,0),1)&gt;=100000,INDEX($AM$1005:$BM$1005,1,MATCH(COLUMNS($AM$1006:BC1006),$AM$1006:$BM$1006,0))&gt;=100000), " ",IF(INDEX($AM$2:$BM$1001,MATCH(ROWS($AF$2:AF163),$AF$2:$AF$1001,0),MATCH(COLUMNS($AM$1006:BC1006),$AM$1006:$BM$1006,0)), HYPERLINK("#",""), HYPERLINK(CONCATENATE("#metadata!", ADDRESS(INDEX($AH$2:$AH$1001,MATCH(ROWS($AF$2:AF163),$AF$2:$AF$1001,0),0), INDEX($AM$1004:$BM$1004,1,MATCH(COLUMNS($AM$1006:BC1006),$AM$1006:$BM$1006,0)))),"Fix")))</f>
        <v xml:space="preserve"> </v>
      </c>
      <c r="S163" s="4" t="str">
        <f ca="1">IF(OR(INDEX($AG$2:$AG$1001,MATCH(ROWS($AF$2:AF163),$AF$2:$AF$1001,0),1)&gt;=100000,INDEX($AM$1005:$BM$1005,1,MATCH(COLUMNS($AM$1006:BD1006),$AM$1006:$BM$1006,0))&gt;=100000), " ",IF(INDEX($AM$2:$BM$1001,MATCH(ROWS($AF$2:AF163),$AF$2:$AF$1001,0),MATCH(COLUMNS($AM$1006:BD1006),$AM$1006:$BM$1006,0)), HYPERLINK("#",""), HYPERLINK(CONCATENATE("#metadata!", ADDRESS(INDEX($AH$2:$AH$1001,MATCH(ROWS($AF$2:AF163),$AF$2:$AF$1001,0),0), INDEX($AM$1004:$BM$1004,1,MATCH(COLUMNS($AM$1006:BD1006),$AM$1006:$BM$1006,0)))),"Fix")))</f>
        <v xml:space="preserve"> </v>
      </c>
      <c r="T163" s="4" t="str">
        <f ca="1">IF(OR(INDEX($AG$2:$AG$1001,MATCH(ROWS($AF$2:AF163),$AF$2:$AF$1001,0),1)&gt;=100000,INDEX($AM$1005:$BM$1005,1,MATCH(COLUMNS($AM$1006:BE1006),$AM$1006:$BM$1006,0))&gt;=100000), " ",IF(INDEX($AM$2:$BM$1001,MATCH(ROWS($AF$2:AF163),$AF$2:$AF$1001,0),MATCH(COLUMNS($AM$1006:BE1006),$AM$1006:$BM$1006,0)), HYPERLINK("#",""), HYPERLINK(CONCATENATE("#metadata!", ADDRESS(INDEX($AH$2:$AH$1001,MATCH(ROWS($AF$2:AF163),$AF$2:$AF$1001,0),0), INDEX($AM$1004:$BM$1004,1,MATCH(COLUMNS($AM$1006:BE1006),$AM$1006:$BM$1006,0)))),"Fix")))</f>
        <v xml:space="preserve"> </v>
      </c>
      <c r="U163" s="4" t="str">
        <f ca="1">IF(OR(INDEX($AG$2:$AG$1001,MATCH(ROWS($AF$2:AF163),$AF$2:$AF$1001,0),1)&gt;=100000,INDEX($AM$1005:$BM$1005,1,MATCH(COLUMNS($AM$1006:BF1006),$AM$1006:$BM$1006,0))&gt;=100000), " ",IF(INDEX($AM$2:$BM$1001,MATCH(ROWS($AF$2:AF163),$AF$2:$AF$1001,0),MATCH(COLUMNS($AM$1006:BF1006),$AM$1006:$BM$1006,0)), HYPERLINK("#",""), HYPERLINK(CONCATENATE("#metadata!", ADDRESS(INDEX($AH$2:$AH$1001,MATCH(ROWS($AF$2:AF163),$AF$2:$AF$1001,0),0), INDEX($AM$1004:$BM$1004,1,MATCH(COLUMNS($AM$1006:BF1006),$AM$1006:$BM$1006,0)))),"Fix")))</f>
        <v xml:space="preserve"> </v>
      </c>
      <c r="V163" s="4" t="str">
        <f ca="1">IF(OR(INDEX($AG$2:$AG$1001,MATCH(ROWS($AF$2:AF163),$AF$2:$AF$1001,0),1)&gt;=100000,INDEX($AM$1005:$BM$1005,1,MATCH(COLUMNS($AM$1006:BG1006),$AM$1006:$BM$1006,0))&gt;=100000), " ",IF(INDEX($AM$2:$BM$1001,MATCH(ROWS($AF$2:AF163),$AF$2:$AF$1001,0),MATCH(COLUMNS($AM$1006:BG1006),$AM$1006:$BM$1006,0)), HYPERLINK("#",""), HYPERLINK(CONCATENATE("#metadata!", ADDRESS(INDEX($AH$2:$AH$1001,MATCH(ROWS($AF$2:AF163),$AF$2:$AF$1001,0),0), INDEX($AM$1004:$BM$1004,1,MATCH(COLUMNS($AM$1006:BG1006),$AM$1006:$BM$1006,0)))),"Fix")))</f>
        <v xml:space="preserve"> </v>
      </c>
      <c r="W163" s="4" t="str">
        <f ca="1">IF(OR(INDEX($AG$2:$AG$1001,MATCH(ROWS($AF$2:AF163),$AF$2:$AF$1001,0),1)&gt;=100000,INDEX($AM$1005:$BM$1005,1,MATCH(COLUMNS($AM$1006:BH1006),$AM$1006:$BM$1006,0))&gt;=100000), " ",IF(INDEX($AM$2:$BM$1001,MATCH(ROWS($AF$2:AF163),$AF$2:$AF$1001,0),MATCH(COLUMNS($AM$1006:BH1006),$AM$1006:$BM$1006,0)), HYPERLINK("#",""), HYPERLINK(CONCATENATE("#metadata!", ADDRESS(INDEX($AH$2:$AH$1001,MATCH(ROWS($AF$2:AF163),$AF$2:$AF$1001,0),0), INDEX($AM$1004:$BM$1004,1,MATCH(COLUMNS($AM$1006:BH1006),$AM$1006:$BM$1006,0)))),"Fix")))</f>
        <v xml:space="preserve"> </v>
      </c>
      <c r="X163" s="4" t="str">
        <f ca="1">IF(OR(INDEX($AG$2:$AG$1001,MATCH(ROWS($AF$2:AF163),$AF$2:$AF$1001,0),1)&gt;=100000,INDEX($AM$1005:$BM$1005,1,MATCH(COLUMNS($AM$1006:BI1006),$AM$1006:$BM$1006,0))&gt;=100000), " ",IF(INDEX($AM$2:$BM$1001,MATCH(ROWS($AF$2:AF163),$AF$2:$AF$1001,0),MATCH(COLUMNS($AM$1006:BI1006),$AM$1006:$BM$1006,0)), HYPERLINK("#",""), HYPERLINK(CONCATENATE("#metadata!", ADDRESS(INDEX($AH$2:$AH$1001,MATCH(ROWS($AF$2:AF163),$AF$2:$AF$1001,0),0), INDEX($AM$1004:$BM$1004,1,MATCH(COLUMNS($AM$1006:BI1006),$AM$1006:$BM$1006,0)))),"Fix")))</f>
        <v xml:space="preserve"> </v>
      </c>
      <c r="Y163" s="4" t="str">
        <f ca="1">IF(OR(INDEX($AG$2:$AG$1001,MATCH(ROWS($AF$2:AF163),$AF$2:$AF$1001,0),1)&gt;=100000,INDEX($AM$1005:$BM$1005,1,MATCH(COLUMNS($AM$1006:BJ1006),$AM$1006:$BM$1006,0))&gt;=100000), " ",IF(INDEX($AM$2:$BM$1001,MATCH(ROWS($AF$2:AF163),$AF$2:$AF$1001,0),MATCH(COLUMNS($AM$1006:BJ1006),$AM$1006:$BM$1006,0)), HYPERLINK("#",""), HYPERLINK(CONCATENATE("#metadata!", ADDRESS(INDEX($AH$2:$AH$1001,MATCH(ROWS($AF$2:AF163),$AF$2:$AF$1001,0),0), INDEX($AM$1004:$BM$1004,1,MATCH(COLUMNS($AM$1006:BJ1006),$AM$1006:$BM$1006,0)))),"Fix")))</f>
        <v xml:space="preserve"> </v>
      </c>
      <c r="Z163" s="4" t="str">
        <f ca="1">IF(OR(INDEX($AG$2:$AG$1001,MATCH(ROWS($AF$2:AF163),$AF$2:$AF$1001,0),1)&gt;=100000,INDEX($AM$1005:$BM$1005,1,MATCH(COLUMNS($AM$1006:BK1006),$AM$1006:$BM$1006,0))&gt;=100000), " ",IF(INDEX($AM$2:$BM$1001,MATCH(ROWS($AF$2:AF163),$AF$2:$AF$1001,0),MATCH(COLUMNS($AM$1006:BK1006),$AM$1006:$BM$1006,0)), HYPERLINK("#",""), HYPERLINK(CONCATENATE("#metadata!", ADDRESS(INDEX($AH$2:$AH$1001,MATCH(ROWS($AF$2:AF163),$AF$2:$AF$1001,0),0), INDEX($AM$1004:$BM$1004,1,MATCH(COLUMNS($AM$1006:BK1006),$AM$1006:$BM$1006,0)))),"Fix")))</f>
        <v xml:space="preserve"> </v>
      </c>
      <c r="AA163" s="4" t="str">
        <f ca="1">IF(OR(INDEX($AG$2:$AG$1001,MATCH(ROWS($AF$2:AF163),$AF$2:$AF$1001,0),1)&gt;=100000,INDEX($AM$1005:$BM$1005,1,MATCH(COLUMNS($AM$1006:BL1006),$AM$1006:$BM$1006,0))&gt;=100000), " ",IF(INDEX($AM$2:$BM$1001,MATCH(ROWS($AF$2:AF163),$AF$2:$AF$1001,0),MATCH(COLUMNS($AM$1006:BL1006),$AM$1006:$BM$1006,0)), HYPERLINK("#",""), HYPERLINK(CONCATENATE("#metadata!", ADDRESS(INDEX($AH$2:$AH$1001,MATCH(ROWS($AF$2:AF163),$AF$2:$AF$1001,0),0), INDEX($AM$1004:$BM$1004,1,MATCH(COLUMNS($AM$1006:BL1006),$AM$1006:$BM$1006,0)))),"Fix")))</f>
        <v xml:space="preserve"> </v>
      </c>
      <c r="AB163" s="4" t="str">
        <f ca="1">IF(OR(INDEX($AG$2:$AG$1001,MATCH(ROWS($AF$2:AF163),$AF$2:$AF$1001,0),1)&gt;=100000,INDEX($AM$1005:$BM$1005,1,MATCH(COLUMNS($AM$1006:BM1006),$AM$1006:$BM$1006,0))&gt;=100000), " ",IF(INDEX($AM$2:$BM$1001,MATCH(ROWS($AF$2:AF163),$AF$2:$AF$1001,0),MATCH(COLUMNS($AM$1006:BM1006),$AM$1006:$BM$1006,0)), HYPERLINK("#",""), HYPERLINK(CONCATENATE("#metadata!", ADDRESS(INDEX($AH$2:$AH$1001,MATCH(ROWS($AF$2:AF163),$AF$2:$AF$1001,0),0), INDEX($AM$1004:$BM$1004,1,MATCH(COLUMNS($AM$1006:BM1006),$AM$1006:$BM$1006,0)))),"Fix")))</f>
        <v xml:space="preserve"> </v>
      </c>
      <c r="AF163">
        <v>162</v>
      </c>
      <c r="AG163">
        <v>100163</v>
      </c>
      <c r="AH163">
        <v>163</v>
      </c>
      <c r="AI163" t="b">
        <f t="shared" si="2"/>
        <v>1</v>
      </c>
      <c r="AJ163" t="b">
        <f>COUNTBLANK(metadata!B163:AB163)=COLUMNS(metadata!B163:AB163)</f>
        <v>1</v>
      </c>
      <c r="AK163" t="str">
        <v/>
      </c>
      <c r="AM163" t="b">
        <f ca="1">AND(IF(metadata!B163="",FALSE,TRUE),COUNTIF(metadata!B:B, metadata!B163) = 1,NOT(ISERROR(SUMPRODUCT(SEARCH(MID(metadata!B163,ROW(INDIRECT("1:"&amp;LEN(metadata!B163))), 1),"0123456789abcdefghijklmnopqrstuvwxyzABCDEFGHIJKLMNOPQRSTUVWXYZ.")))))</f>
        <v>0</v>
      </c>
      <c r="AN163" t="b">
        <f ca="1">OR(AND(IF(metadata!C163="",FALSE,TRUE),OR(EXACT(metadata!C163,"missing: not collected"),EXACT(metadata!C163,"missing: not provided"),EXACT(metadata!C163,"missing: restricted access"))),AND(IF(metadata!C163="",FALSE,TRUE),AND(AND(IFERROR(INT(LEFT(metadata!C163,4))&gt;1900,FALSE),IFERROR(INT(LEFT(metadata!C163,4))&lt;=YEAR(NOW()),FALSE)), OR(MID(metadata!C163,5,1)="", AND(AND(MID(metadata!C163,5,1)="-",IFERROR(INT(MID(metadata!C163,6,1))&gt;=0,FALSE),IFERROR(INT(MID(metadata!C163,6,1))&lt;=1,FALSE),NOT(MID(metadata!C163,7,1)=""),IFERROR(INT(MID(metadata!C163,6,2))&gt;=1,FALSE),IFERROR(INT(MID(metadata!C163,6,2))&lt;=12,FALSE)), OR(MID(metadata!C163,8,1)="", AND(AND(MID(metadata!C163,8,1)="-",IFERROR(INT(MID(metadata!C163,9,1))&gt;=0,FALSE),IFERROR(INT(MID(metadata!C163,9,1))&lt;=3,FALSE),NOT(MID(metadata!C163,10,1)=""),IFERROR(INT(MID(metadata!C163,9,2))&gt;=1,FALSE),IFERROR(INT(MID(metadata!C163,9,2))&lt;=31,FALSE)), OR(MID(metadata!C163,11,1)="", AND(AND(MID(metadata!C163,11,1)=" ",IFERROR(INT(MID(metadata!C163,12,1))&gt;=0,FALSE),IFERROR(INT(MID(metadata!C163,12,1))&lt;=2,FALSE),NOT(MID(metadata!C163,13,1)=""),IFERROR(INT(MID(metadata!C163,12,2))&gt;=0,FALSE),IFERROR(INT(MID(metadata!C163,12,2))&lt;=23,FALSE)), OR(MID(metadata!C163,14,1)="", AND(AND(MID(metadata!C163,14,1)=":",IFERROR(INT(MID(metadata!C163,15,1))&gt;=0,FALSE),IFERROR(INT(MID(metadata!C163,15,1))&lt;=5,FALSE),NOT(MID(metadata!C163,16,1)=""),IFERROR(INT(MID(metadata!C163,15,2))&gt;=0,FALSE),IFERROR(INT(MID(metadata!C163,15,2))&lt;=59,FALSE)), OR(MID(metadata!C163,17,1)="", AND(AND(MID(metadata!C163,17,1)=":",IFERROR(INT(MID(metadata!C163,18,1))&gt;=0,FALSE),IFERROR(INT(MID(metadata!C163,18,1))&lt;=5,FALSE),NOT(MID(metadata!C163,19,1)=""),IFERROR(INT(MID(metadata!C163,18,2))&gt;=0,FALSE),IFERROR(INT(MID(metadata!C163,18,2))&lt;=59,FALSE)), LEN(metadata!C163)&lt;=19)))))))))))))</f>
        <v>0</v>
      </c>
      <c r="AO163" t="b">
        <f>AND(IF(metadata!D163="",FALSE,TRUE),EXACT(metadata!D163,"Not applicable"))</f>
        <v>0</v>
      </c>
      <c r="AP163" t="b">
        <f>IF(metadata!E163="",FALSE,TRUE)</f>
        <v>0</v>
      </c>
      <c r="AQ163" t="b">
        <f>OR(AND(IF(metadata!F163="",FALSE,TRUE),OR(EXACT(metadata!F163,"missing: not collected"),EXACT(metadata!F163,"missing: not provided"))),AND(IF(metadata!F163="",FALSE,TRUE),OR(EXACT(metadata!F163,"TRUE"),EXACT(metadata!F163,"FALSE"))))</f>
        <v>0</v>
      </c>
      <c r="AR163" t="b">
        <f>OR(AND(IF(metadata!G163="",FALSE,TRUE),OR(EXACT(metadata!G163,"missing: not collected"),EXACT(metadata!G163,"missing: not provided"),EXACT(metadata!G163,"missing: restricted access"))),AND(IF(metadata!G163="",FALSE,ISNUMBER(VALUE(metadata!G163))),metadata!G163&gt;=-413))</f>
        <v>0</v>
      </c>
      <c r="AS163" t="b">
        <f>AND(IF(metadata!H163="",FALSE,TRUE),EXACT(metadata!H163,"meters"))</f>
        <v>0</v>
      </c>
      <c r="AT163" t="b">
        <f>AND(IF(metadata!I163="",FALSE,TRUE),OR(EXACT(metadata!I163,"Host-associated"),EXACT(metadata!I163,"Free-living")))</f>
        <v>0</v>
      </c>
      <c r="AU163" t="b">
        <f>AND(IF(metadata!J163="",FALSE,TRUE),OR(EXACT(metadata!J163,"Animal"),EXACT(metadata!J163,"Fungus"),EXACT(metadata!J163,"Plant"),EXACT(metadata!J163,"Saline"),EXACT(metadata!J163,"Non-saline")))</f>
        <v>0</v>
      </c>
      <c r="AV163" t="b">
        <f>AND(IF(metadata!K163="",FALSE,TRUE),OR(EXACT(metadata!K163,"Plant secretion"),EXACT(metadata!K163,"Plant rhizosphere"),EXACT(metadata!K163,"Plant surface"),EXACT(metadata!K163,"Plant corpus"),EXACT(metadata!K163,"Fungus surface"),EXACT(metadata!K163,"Fungus corpus"),EXACT(metadata!K163,"Animal surface"),EXACT(metadata!K163,"Animal proximal gut"),EXACT(metadata!K163,"Animal corpus"),EXACT(metadata!K163,"Animal distal gut"),EXACT(metadata!K163,"Animal secretion"),EXACT(metadata!K163,"Sub-surface (non-saline)"),EXACT(metadata!K163,"Surface (non-saline)"),EXACT(metadata!K163,"Water (non-saline)"),EXACT(metadata!K163,"Soil (non-saline)"),EXACT(metadata!K163,"Aerosol (non-saline)"),EXACT(metadata!K163,"Sediment (non-saline)"),EXACT(metadata!K163,"Surface (saline)"),EXACT(metadata!K163,"Water (saline)"),EXACT(metadata!K163,"Hypersaline (saline)"),EXACT(metadata!K163,"Aerosol (saline)"),EXACT(metadata!K163,"Sediment (saline)")))</f>
        <v>0</v>
      </c>
      <c r="AW163" t="b">
        <f>IF(metadata!L163="",FALSE,TRUE)</f>
        <v>0</v>
      </c>
      <c r="AX163" t="b">
        <f>IF(metadata!M163="",FALSE,TRUE)</f>
        <v>0</v>
      </c>
      <c r="AY163" t="b">
        <f>IF(metadata!N163="",FALSE,TRUE)</f>
        <v>0</v>
      </c>
      <c r="AZ163" t="b">
        <f>OR(AND(IF(metadata!O163="",FALSE,TRUE),OR(EXACT(metadata!O163,"missing: not collected"),EXACT(metadata!O163,"missing: not provided"),EXACT(metadata!O163,"missing: restricted access"))),AND(IF(metadata!O163="",FALSE,TRUE),OR(EXACT(metadata!O163,"air"),EXACT(metadata!O163,"built environment"),EXACT(metadata!O163,"host-associated"),EXACT(metadata!O163,"human-associated"),EXACT(metadata!O163,"human-skin"),EXACT(metadata!O163,"human-oral"),EXACT(metadata!O163,"human-gut"),EXACT(metadata!O163,"human-vaginal"),EXACT(metadata!O163,"microbial mat/biofilm"),EXACT(metadata!O163,"misc environment"),EXACT(metadata!O163,"plant-associated"),EXACT(metadata!O163,"sediment"),EXACT(metadata!O163,"soil"),EXACT(metadata!O163,"wastewater/sludge"),EXACT(metadata!O163,"water"))))</f>
        <v>0</v>
      </c>
      <c r="BA163" t="b">
        <f>IF(metadata!P163="",FALSE,TRUE)</f>
        <v>0</v>
      </c>
      <c r="BB163" t="b">
        <f>IF(metadata!Q163="",FALSE,TRUE)</f>
        <v>0</v>
      </c>
      <c r="BC163" t="b">
        <f>OR(AND(IF(metadata!R163="",FALSE,TRUE),OR(EXACT(metadata!R163,"missing: not collected"),EXACT(metadata!R163,"missing: not provided"),EXACT(metadata!R163,"missing: restricted access"))),AND(IF(metadata!R163="",FALSE,ISNUMBER(VALUE(metadata!R163))),metadata!R163&gt;=-90,metadata!R163&lt;=90))</f>
        <v>0</v>
      </c>
      <c r="BD163" t="b">
        <f>AND(IF(metadata!S163="",FALSE,TRUE),EXACT(metadata!S163,"Decimal degrees"))</f>
        <v>0</v>
      </c>
      <c r="BE163" t="b">
        <f>OR(AND(IF(metadata!T163="",FALSE,TRUE),OR(EXACT(metadata!T163,"missing: not collected"),EXACT(metadata!T163,"missing: not provided"),EXACT(metadata!T163,"missing: restricted access"))),AND(IF(metadata!T163="",FALSE,ISNUMBER(VALUE(metadata!T163))),metadata!T163&gt;=-180,metadata!T163&lt;=180))</f>
        <v>0</v>
      </c>
      <c r="BF163" t="b">
        <f>AND(IF(metadata!U163="",FALSE,TRUE),EXACT(metadata!U163,"Decimal degrees"))</f>
        <v>0</v>
      </c>
      <c r="BG163" t="b">
        <f>IF(metadata!V163="",FALSE,TRUE)</f>
        <v>0</v>
      </c>
      <c r="BH163" t="b">
        <f>OR(AND(IF(metadata!W163="",FALSE,TRUE),OR(EXACT(metadata!W163,"missing: not collected"),EXACT(metadata!W163,"missing: not provided"),EXACT(metadata!W163,"missing: restricted access"))),AND(IF(metadata!W163="",FALSE,TRUE),OR(EXACT(metadata!W163,"TRUE"),EXACT(metadata!W163,"FALSE"))))</f>
        <v>0</v>
      </c>
      <c r="BI163" t="b">
        <f>AND(IF(metadata!X163="",FALSE,TRUE),EXACT(metadata!X163,"other"))</f>
        <v>0</v>
      </c>
      <c r="BJ163" t="b">
        <f>IF(metadata!Y163="",FALSE,TRUE)</f>
        <v>0</v>
      </c>
      <c r="BK163" t="b">
        <f>OR(AND(IF(metadata!Z163="",FALSE,TRUE),OR(EXACT(metadata!Z163,"missing: not collected"),EXACT(metadata!Z163,"missing: not provided"))),AND(IF(metadata!Z163="",FALSE,IF(ISERROR(INT(metadata!Z163)),FALSE,INT(metadata!Z163)=metadata!Z163)),metadata!Z163&gt;0))</f>
        <v>0</v>
      </c>
      <c r="BL163" t="b">
        <f>AND(IF(metadata!AA163="",FALSE,TRUE),EXACT(metadata!AA163,"Not applicable"))</f>
        <v>0</v>
      </c>
      <c r="BM163" t="b">
        <f>IF(metadata!AB163="",FALSE,TRUE)</f>
        <v>0</v>
      </c>
    </row>
    <row r="164" spans="1:65" x14ac:dyDescent="0.2">
      <c r="A164" s="5" t="str">
        <f ca="1">IF(B164=" "," ",HYPERLINK(CONCATENATE("#metadata!",ADDRESS(INDEX($AH$2:$AH$1001,MATCH(ROWS($AF$2:AF164),$AF$2:$AF$1001,0),0),1)),INDEX($AK$2:$AK$1001,MATCH(ROWS($AF$2:AF164),$AF$2:$AF$1001,0),0)))</f>
        <v xml:space="preserve"> </v>
      </c>
      <c r="B164" s="4" t="str">
        <f ca="1">IF(OR(INDEX($AG$2:$AG$1001,MATCH(ROWS($AF$2:AF164),$AF$2:$AF$1001,0),1)&gt;=100000,INDEX($AM$1005:$BM$1005,1,MATCH(COLUMNS($AM$1006:AM1006),$AM$1006:$BM$1006,0))&gt;=100000), " ",IF(INDEX($AM$2:$BM$1001,MATCH(ROWS($AF$2:AF164),$AF$2:$AF$1001,0),MATCH(COLUMNS($AM$1006:AM1006),$AM$1006:$BM$1006,0)), HYPERLINK("#",""), HYPERLINK(CONCATENATE("#metadata!", ADDRESS(INDEX($AH$2:$AH$1001,MATCH(ROWS($AF$2:AF164),$AF$2:$AF$1001,0),0), INDEX($AM$1004:$BM$1004,1,MATCH(COLUMNS($AM$1006:AM1006),$AM$1006:$BM$1006,0)))),"Fix")))</f>
        <v xml:space="preserve"> </v>
      </c>
      <c r="C164" s="4" t="str">
        <f ca="1">IF(OR(INDEX($AG$2:$AG$1001,MATCH(ROWS($AF$2:AF164),$AF$2:$AF$1001,0),1)&gt;=100000,INDEX($AM$1005:$BM$1005,1,MATCH(COLUMNS($AM$1006:AN1006),$AM$1006:$BM$1006,0))&gt;=100000), " ",IF(INDEX($AM$2:$BM$1001,MATCH(ROWS($AF$2:AF164),$AF$2:$AF$1001,0),MATCH(COLUMNS($AM$1006:AN1006),$AM$1006:$BM$1006,0)), HYPERLINK("#",""), HYPERLINK(CONCATENATE("#metadata!", ADDRESS(INDEX($AH$2:$AH$1001,MATCH(ROWS($AF$2:AF164),$AF$2:$AF$1001,0),0), INDEX($AM$1004:$BM$1004,1,MATCH(COLUMNS($AM$1006:AN1006),$AM$1006:$BM$1006,0)))),"Fix")))</f>
        <v xml:space="preserve"> </v>
      </c>
      <c r="D164" s="4" t="str">
        <f ca="1">IF(OR(INDEX($AG$2:$AG$1001,MATCH(ROWS($AF$2:AF164),$AF$2:$AF$1001,0),1)&gt;=100000,INDEX($AM$1005:$BM$1005,1,MATCH(COLUMNS($AM$1006:AO1006),$AM$1006:$BM$1006,0))&gt;=100000), " ",IF(INDEX($AM$2:$BM$1001,MATCH(ROWS($AF$2:AF164),$AF$2:$AF$1001,0),MATCH(COLUMNS($AM$1006:AO1006),$AM$1006:$BM$1006,0)), HYPERLINK("#",""), HYPERLINK(CONCATENATE("#metadata!", ADDRESS(INDEX($AH$2:$AH$1001,MATCH(ROWS($AF$2:AF164),$AF$2:$AF$1001,0),0), INDEX($AM$1004:$BM$1004,1,MATCH(COLUMNS($AM$1006:AO1006),$AM$1006:$BM$1006,0)))),"Fix")))</f>
        <v xml:space="preserve"> </v>
      </c>
      <c r="E164" s="4" t="str">
        <f ca="1">IF(OR(INDEX($AG$2:$AG$1001,MATCH(ROWS($AF$2:AF164),$AF$2:$AF$1001,0),1)&gt;=100000,INDEX($AM$1005:$BM$1005,1,MATCH(COLUMNS($AM$1006:AP1006),$AM$1006:$BM$1006,0))&gt;=100000), " ",IF(INDEX($AM$2:$BM$1001,MATCH(ROWS($AF$2:AF164),$AF$2:$AF$1001,0),MATCH(COLUMNS($AM$1006:AP1006),$AM$1006:$BM$1006,0)), HYPERLINK("#",""), HYPERLINK(CONCATENATE("#metadata!", ADDRESS(INDEX($AH$2:$AH$1001,MATCH(ROWS($AF$2:AF164),$AF$2:$AF$1001,0),0), INDEX($AM$1004:$BM$1004,1,MATCH(COLUMNS($AM$1006:AP1006),$AM$1006:$BM$1006,0)))),"Fix")))</f>
        <v xml:space="preserve"> </v>
      </c>
      <c r="F164" s="4" t="str">
        <f ca="1">IF(OR(INDEX($AG$2:$AG$1001,MATCH(ROWS($AF$2:AF164),$AF$2:$AF$1001,0),1)&gt;=100000,INDEX($AM$1005:$BM$1005,1,MATCH(COLUMNS($AM$1006:AQ1006),$AM$1006:$BM$1006,0))&gt;=100000), " ",IF(INDEX($AM$2:$BM$1001,MATCH(ROWS($AF$2:AF164),$AF$2:$AF$1001,0),MATCH(COLUMNS($AM$1006:AQ1006),$AM$1006:$BM$1006,0)), HYPERLINK("#",""), HYPERLINK(CONCATENATE("#metadata!", ADDRESS(INDEX($AH$2:$AH$1001,MATCH(ROWS($AF$2:AF164),$AF$2:$AF$1001,0),0), INDEX($AM$1004:$BM$1004,1,MATCH(COLUMNS($AM$1006:AQ1006),$AM$1006:$BM$1006,0)))),"Fix")))</f>
        <v xml:space="preserve"> </v>
      </c>
      <c r="G164" s="4" t="str">
        <f ca="1">IF(OR(INDEX($AG$2:$AG$1001,MATCH(ROWS($AF$2:AF164),$AF$2:$AF$1001,0),1)&gt;=100000,INDEX($AM$1005:$BM$1005,1,MATCH(COLUMNS($AM$1006:AR1006),$AM$1006:$BM$1006,0))&gt;=100000), " ",IF(INDEX($AM$2:$BM$1001,MATCH(ROWS($AF$2:AF164),$AF$2:$AF$1001,0),MATCH(COLUMNS($AM$1006:AR1006),$AM$1006:$BM$1006,0)), HYPERLINK("#",""), HYPERLINK(CONCATENATE("#metadata!", ADDRESS(INDEX($AH$2:$AH$1001,MATCH(ROWS($AF$2:AF164),$AF$2:$AF$1001,0),0), INDEX($AM$1004:$BM$1004,1,MATCH(COLUMNS($AM$1006:AR1006),$AM$1006:$BM$1006,0)))),"Fix")))</f>
        <v xml:space="preserve"> </v>
      </c>
      <c r="H164" s="4" t="str">
        <f ca="1">IF(OR(INDEX($AG$2:$AG$1001,MATCH(ROWS($AF$2:AF164),$AF$2:$AF$1001,0),1)&gt;=100000,INDEX($AM$1005:$BM$1005,1,MATCH(COLUMNS($AM$1006:AS1006),$AM$1006:$BM$1006,0))&gt;=100000), " ",IF(INDEX($AM$2:$BM$1001,MATCH(ROWS($AF$2:AF164),$AF$2:$AF$1001,0),MATCH(COLUMNS($AM$1006:AS1006),$AM$1006:$BM$1006,0)), HYPERLINK("#",""), HYPERLINK(CONCATENATE("#metadata!", ADDRESS(INDEX($AH$2:$AH$1001,MATCH(ROWS($AF$2:AF164),$AF$2:$AF$1001,0),0), INDEX($AM$1004:$BM$1004,1,MATCH(COLUMNS($AM$1006:AS1006),$AM$1006:$BM$1006,0)))),"Fix")))</f>
        <v xml:space="preserve"> </v>
      </c>
      <c r="I164" s="4" t="str">
        <f ca="1">IF(OR(INDEX($AG$2:$AG$1001,MATCH(ROWS($AF$2:AF164),$AF$2:$AF$1001,0),1)&gt;=100000,INDEX($AM$1005:$BM$1005,1,MATCH(COLUMNS($AM$1006:AT1006),$AM$1006:$BM$1006,0))&gt;=100000), " ",IF(INDEX($AM$2:$BM$1001,MATCH(ROWS($AF$2:AF164),$AF$2:$AF$1001,0),MATCH(COLUMNS($AM$1006:AT1006),$AM$1006:$BM$1006,0)), HYPERLINK("#",""), HYPERLINK(CONCATENATE("#metadata!", ADDRESS(INDEX($AH$2:$AH$1001,MATCH(ROWS($AF$2:AF164),$AF$2:$AF$1001,0),0), INDEX($AM$1004:$BM$1004,1,MATCH(COLUMNS($AM$1006:AT1006),$AM$1006:$BM$1006,0)))),"Fix")))</f>
        <v xml:space="preserve"> </v>
      </c>
      <c r="J164" s="4" t="str">
        <f ca="1">IF(OR(INDEX($AG$2:$AG$1001,MATCH(ROWS($AF$2:AF164),$AF$2:$AF$1001,0),1)&gt;=100000,INDEX($AM$1005:$BM$1005,1,MATCH(COLUMNS($AM$1006:AU1006),$AM$1006:$BM$1006,0))&gt;=100000), " ",IF(INDEX($AM$2:$BM$1001,MATCH(ROWS($AF$2:AF164),$AF$2:$AF$1001,0),MATCH(COLUMNS($AM$1006:AU1006),$AM$1006:$BM$1006,0)), HYPERLINK("#",""), HYPERLINK(CONCATENATE("#metadata!", ADDRESS(INDEX($AH$2:$AH$1001,MATCH(ROWS($AF$2:AF164),$AF$2:$AF$1001,0),0), INDEX($AM$1004:$BM$1004,1,MATCH(COLUMNS($AM$1006:AU1006),$AM$1006:$BM$1006,0)))),"Fix")))</f>
        <v xml:space="preserve"> </v>
      </c>
      <c r="K164" s="4" t="str">
        <f ca="1">IF(OR(INDEX($AG$2:$AG$1001,MATCH(ROWS($AF$2:AF164),$AF$2:$AF$1001,0),1)&gt;=100000,INDEX($AM$1005:$BM$1005,1,MATCH(COLUMNS($AM$1006:AV1006),$AM$1006:$BM$1006,0))&gt;=100000), " ",IF(INDEX($AM$2:$BM$1001,MATCH(ROWS($AF$2:AF164),$AF$2:$AF$1001,0),MATCH(COLUMNS($AM$1006:AV1006),$AM$1006:$BM$1006,0)), HYPERLINK("#",""), HYPERLINK(CONCATENATE("#metadata!", ADDRESS(INDEX($AH$2:$AH$1001,MATCH(ROWS($AF$2:AF164),$AF$2:$AF$1001,0),0), INDEX($AM$1004:$BM$1004,1,MATCH(COLUMNS($AM$1006:AV1006),$AM$1006:$BM$1006,0)))),"Fix")))</f>
        <v xml:space="preserve"> </v>
      </c>
      <c r="L164" s="4" t="str">
        <f ca="1">IF(OR(INDEX($AG$2:$AG$1001,MATCH(ROWS($AF$2:AF164),$AF$2:$AF$1001,0),1)&gt;=100000,INDEX($AM$1005:$BM$1005,1,MATCH(COLUMNS($AM$1006:AW1006),$AM$1006:$BM$1006,0))&gt;=100000), " ",IF(INDEX($AM$2:$BM$1001,MATCH(ROWS($AF$2:AF164),$AF$2:$AF$1001,0),MATCH(COLUMNS($AM$1006:AW1006),$AM$1006:$BM$1006,0)), HYPERLINK("#",""), HYPERLINK(CONCATENATE("#metadata!", ADDRESS(INDEX($AH$2:$AH$1001,MATCH(ROWS($AF$2:AF164),$AF$2:$AF$1001,0),0), INDEX($AM$1004:$BM$1004,1,MATCH(COLUMNS($AM$1006:AW1006),$AM$1006:$BM$1006,0)))),"Fix")))</f>
        <v xml:space="preserve"> </v>
      </c>
      <c r="M164" s="4" t="str">
        <f ca="1">IF(OR(INDEX($AG$2:$AG$1001,MATCH(ROWS($AF$2:AF164),$AF$2:$AF$1001,0),1)&gt;=100000,INDEX($AM$1005:$BM$1005,1,MATCH(COLUMNS($AM$1006:AX1006),$AM$1006:$BM$1006,0))&gt;=100000), " ",IF(INDEX($AM$2:$BM$1001,MATCH(ROWS($AF$2:AF164),$AF$2:$AF$1001,0),MATCH(COLUMNS($AM$1006:AX1006),$AM$1006:$BM$1006,0)), HYPERLINK("#",""), HYPERLINK(CONCATENATE("#metadata!", ADDRESS(INDEX($AH$2:$AH$1001,MATCH(ROWS($AF$2:AF164),$AF$2:$AF$1001,0),0), INDEX($AM$1004:$BM$1004,1,MATCH(COLUMNS($AM$1006:AX1006),$AM$1006:$BM$1006,0)))),"Fix")))</f>
        <v xml:space="preserve"> </v>
      </c>
      <c r="N164" s="4" t="str">
        <f ca="1">IF(OR(INDEX($AG$2:$AG$1001,MATCH(ROWS($AF$2:AF164),$AF$2:$AF$1001,0),1)&gt;=100000,INDEX($AM$1005:$BM$1005,1,MATCH(COLUMNS($AM$1006:AY1006),$AM$1006:$BM$1006,0))&gt;=100000), " ",IF(INDEX($AM$2:$BM$1001,MATCH(ROWS($AF$2:AF164),$AF$2:$AF$1001,0),MATCH(COLUMNS($AM$1006:AY1006),$AM$1006:$BM$1006,0)), HYPERLINK("#",""), HYPERLINK(CONCATENATE("#metadata!", ADDRESS(INDEX($AH$2:$AH$1001,MATCH(ROWS($AF$2:AF164),$AF$2:$AF$1001,0),0), INDEX($AM$1004:$BM$1004,1,MATCH(COLUMNS($AM$1006:AY1006),$AM$1006:$BM$1006,0)))),"Fix")))</f>
        <v xml:space="preserve"> </v>
      </c>
      <c r="O164" s="4" t="str">
        <f ca="1">IF(OR(INDEX($AG$2:$AG$1001,MATCH(ROWS($AF$2:AF164),$AF$2:$AF$1001,0),1)&gt;=100000,INDEX($AM$1005:$BM$1005,1,MATCH(COLUMNS($AM$1006:AZ1006),$AM$1006:$BM$1006,0))&gt;=100000), " ",IF(INDEX($AM$2:$BM$1001,MATCH(ROWS($AF$2:AF164),$AF$2:$AF$1001,0),MATCH(COLUMNS($AM$1006:AZ1006),$AM$1006:$BM$1006,0)), HYPERLINK("#",""), HYPERLINK(CONCATENATE("#metadata!", ADDRESS(INDEX($AH$2:$AH$1001,MATCH(ROWS($AF$2:AF164),$AF$2:$AF$1001,0),0), INDEX($AM$1004:$BM$1004,1,MATCH(COLUMNS($AM$1006:AZ1006),$AM$1006:$BM$1006,0)))),"Fix")))</f>
        <v xml:space="preserve"> </v>
      </c>
      <c r="P164" s="4" t="str">
        <f ca="1">IF(OR(INDEX($AG$2:$AG$1001,MATCH(ROWS($AF$2:AF164),$AF$2:$AF$1001,0),1)&gt;=100000,INDEX($AM$1005:$BM$1005,1,MATCH(COLUMNS($AM$1006:BA1006),$AM$1006:$BM$1006,0))&gt;=100000), " ",IF(INDEX($AM$2:$BM$1001,MATCH(ROWS($AF$2:AF164),$AF$2:$AF$1001,0),MATCH(COLUMNS($AM$1006:BA1006),$AM$1006:$BM$1006,0)), HYPERLINK("#",""), HYPERLINK(CONCATENATE("#metadata!", ADDRESS(INDEX($AH$2:$AH$1001,MATCH(ROWS($AF$2:AF164),$AF$2:$AF$1001,0),0), INDEX($AM$1004:$BM$1004,1,MATCH(COLUMNS($AM$1006:BA1006),$AM$1006:$BM$1006,0)))),"Fix")))</f>
        <v xml:space="preserve"> </v>
      </c>
      <c r="Q164" s="4" t="str">
        <f ca="1">IF(OR(INDEX($AG$2:$AG$1001,MATCH(ROWS($AF$2:AF164),$AF$2:$AF$1001,0),1)&gt;=100000,INDEX($AM$1005:$BM$1005,1,MATCH(COLUMNS($AM$1006:BB1006),$AM$1006:$BM$1006,0))&gt;=100000), " ",IF(INDEX($AM$2:$BM$1001,MATCH(ROWS($AF$2:AF164),$AF$2:$AF$1001,0),MATCH(COLUMNS($AM$1006:BB1006),$AM$1006:$BM$1006,0)), HYPERLINK("#",""), HYPERLINK(CONCATENATE("#metadata!", ADDRESS(INDEX($AH$2:$AH$1001,MATCH(ROWS($AF$2:AF164),$AF$2:$AF$1001,0),0), INDEX($AM$1004:$BM$1004,1,MATCH(COLUMNS($AM$1006:BB1006),$AM$1006:$BM$1006,0)))),"Fix")))</f>
        <v xml:space="preserve"> </v>
      </c>
      <c r="R164" s="4" t="str">
        <f ca="1">IF(OR(INDEX($AG$2:$AG$1001,MATCH(ROWS($AF$2:AF164),$AF$2:$AF$1001,0),1)&gt;=100000,INDEX($AM$1005:$BM$1005,1,MATCH(COLUMNS($AM$1006:BC1006),$AM$1006:$BM$1006,0))&gt;=100000), " ",IF(INDEX($AM$2:$BM$1001,MATCH(ROWS($AF$2:AF164),$AF$2:$AF$1001,0),MATCH(COLUMNS($AM$1006:BC1006),$AM$1006:$BM$1006,0)), HYPERLINK("#",""), HYPERLINK(CONCATENATE("#metadata!", ADDRESS(INDEX($AH$2:$AH$1001,MATCH(ROWS($AF$2:AF164),$AF$2:$AF$1001,0),0), INDEX($AM$1004:$BM$1004,1,MATCH(COLUMNS($AM$1006:BC1006),$AM$1006:$BM$1006,0)))),"Fix")))</f>
        <v xml:space="preserve"> </v>
      </c>
      <c r="S164" s="4" t="str">
        <f ca="1">IF(OR(INDEX($AG$2:$AG$1001,MATCH(ROWS($AF$2:AF164),$AF$2:$AF$1001,0),1)&gt;=100000,INDEX($AM$1005:$BM$1005,1,MATCH(COLUMNS($AM$1006:BD1006),$AM$1006:$BM$1006,0))&gt;=100000), " ",IF(INDEX($AM$2:$BM$1001,MATCH(ROWS($AF$2:AF164),$AF$2:$AF$1001,0),MATCH(COLUMNS($AM$1006:BD1006),$AM$1006:$BM$1006,0)), HYPERLINK("#",""), HYPERLINK(CONCATENATE("#metadata!", ADDRESS(INDEX($AH$2:$AH$1001,MATCH(ROWS($AF$2:AF164),$AF$2:$AF$1001,0),0), INDEX($AM$1004:$BM$1004,1,MATCH(COLUMNS($AM$1006:BD1006),$AM$1006:$BM$1006,0)))),"Fix")))</f>
        <v xml:space="preserve"> </v>
      </c>
      <c r="T164" s="4" t="str">
        <f ca="1">IF(OR(INDEX($AG$2:$AG$1001,MATCH(ROWS($AF$2:AF164),$AF$2:$AF$1001,0),1)&gt;=100000,INDEX($AM$1005:$BM$1005,1,MATCH(COLUMNS($AM$1006:BE1006),$AM$1006:$BM$1006,0))&gt;=100000), " ",IF(INDEX($AM$2:$BM$1001,MATCH(ROWS($AF$2:AF164),$AF$2:$AF$1001,0),MATCH(COLUMNS($AM$1006:BE1006),$AM$1006:$BM$1006,0)), HYPERLINK("#",""), HYPERLINK(CONCATENATE("#metadata!", ADDRESS(INDEX($AH$2:$AH$1001,MATCH(ROWS($AF$2:AF164),$AF$2:$AF$1001,0),0), INDEX($AM$1004:$BM$1004,1,MATCH(COLUMNS($AM$1006:BE1006),$AM$1006:$BM$1006,0)))),"Fix")))</f>
        <v xml:space="preserve"> </v>
      </c>
      <c r="U164" s="4" t="str">
        <f ca="1">IF(OR(INDEX($AG$2:$AG$1001,MATCH(ROWS($AF$2:AF164),$AF$2:$AF$1001,0),1)&gt;=100000,INDEX($AM$1005:$BM$1005,1,MATCH(COLUMNS($AM$1006:BF1006),$AM$1006:$BM$1006,0))&gt;=100000), " ",IF(INDEX($AM$2:$BM$1001,MATCH(ROWS($AF$2:AF164),$AF$2:$AF$1001,0),MATCH(COLUMNS($AM$1006:BF1006),$AM$1006:$BM$1006,0)), HYPERLINK("#",""), HYPERLINK(CONCATENATE("#metadata!", ADDRESS(INDEX($AH$2:$AH$1001,MATCH(ROWS($AF$2:AF164),$AF$2:$AF$1001,0),0), INDEX($AM$1004:$BM$1004,1,MATCH(COLUMNS($AM$1006:BF1006),$AM$1006:$BM$1006,0)))),"Fix")))</f>
        <v xml:space="preserve"> </v>
      </c>
      <c r="V164" s="4" t="str">
        <f ca="1">IF(OR(INDEX($AG$2:$AG$1001,MATCH(ROWS($AF$2:AF164),$AF$2:$AF$1001,0),1)&gt;=100000,INDEX($AM$1005:$BM$1005,1,MATCH(COLUMNS($AM$1006:BG1006),$AM$1006:$BM$1006,0))&gt;=100000), " ",IF(INDEX($AM$2:$BM$1001,MATCH(ROWS($AF$2:AF164),$AF$2:$AF$1001,0),MATCH(COLUMNS($AM$1006:BG1006),$AM$1006:$BM$1006,0)), HYPERLINK("#",""), HYPERLINK(CONCATENATE("#metadata!", ADDRESS(INDEX($AH$2:$AH$1001,MATCH(ROWS($AF$2:AF164),$AF$2:$AF$1001,0),0), INDEX($AM$1004:$BM$1004,1,MATCH(COLUMNS($AM$1006:BG1006),$AM$1006:$BM$1006,0)))),"Fix")))</f>
        <v xml:space="preserve"> </v>
      </c>
      <c r="W164" s="4" t="str">
        <f ca="1">IF(OR(INDEX($AG$2:$AG$1001,MATCH(ROWS($AF$2:AF164),$AF$2:$AF$1001,0),1)&gt;=100000,INDEX($AM$1005:$BM$1005,1,MATCH(COLUMNS($AM$1006:BH1006),$AM$1006:$BM$1006,0))&gt;=100000), " ",IF(INDEX($AM$2:$BM$1001,MATCH(ROWS($AF$2:AF164),$AF$2:$AF$1001,0),MATCH(COLUMNS($AM$1006:BH1006),$AM$1006:$BM$1006,0)), HYPERLINK("#",""), HYPERLINK(CONCATENATE("#metadata!", ADDRESS(INDEX($AH$2:$AH$1001,MATCH(ROWS($AF$2:AF164),$AF$2:$AF$1001,0),0), INDEX($AM$1004:$BM$1004,1,MATCH(COLUMNS($AM$1006:BH1006),$AM$1006:$BM$1006,0)))),"Fix")))</f>
        <v xml:space="preserve"> </v>
      </c>
      <c r="X164" s="4" t="str">
        <f ca="1">IF(OR(INDEX($AG$2:$AG$1001,MATCH(ROWS($AF$2:AF164),$AF$2:$AF$1001,0),1)&gt;=100000,INDEX($AM$1005:$BM$1005,1,MATCH(COLUMNS($AM$1006:BI1006),$AM$1006:$BM$1006,0))&gt;=100000), " ",IF(INDEX($AM$2:$BM$1001,MATCH(ROWS($AF$2:AF164),$AF$2:$AF$1001,0),MATCH(COLUMNS($AM$1006:BI1006),$AM$1006:$BM$1006,0)), HYPERLINK("#",""), HYPERLINK(CONCATENATE("#metadata!", ADDRESS(INDEX($AH$2:$AH$1001,MATCH(ROWS($AF$2:AF164),$AF$2:$AF$1001,0),0), INDEX($AM$1004:$BM$1004,1,MATCH(COLUMNS($AM$1006:BI1006),$AM$1006:$BM$1006,0)))),"Fix")))</f>
        <v xml:space="preserve"> </v>
      </c>
      <c r="Y164" s="4" t="str">
        <f ca="1">IF(OR(INDEX($AG$2:$AG$1001,MATCH(ROWS($AF$2:AF164),$AF$2:$AF$1001,0),1)&gt;=100000,INDEX($AM$1005:$BM$1005,1,MATCH(COLUMNS($AM$1006:BJ1006),$AM$1006:$BM$1006,0))&gt;=100000), " ",IF(INDEX($AM$2:$BM$1001,MATCH(ROWS($AF$2:AF164),$AF$2:$AF$1001,0),MATCH(COLUMNS($AM$1006:BJ1006),$AM$1006:$BM$1006,0)), HYPERLINK("#",""), HYPERLINK(CONCATENATE("#metadata!", ADDRESS(INDEX($AH$2:$AH$1001,MATCH(ROWS($AF$2:AF164),$AF$2:$AF$1001,0),0), INDEX($AM$1004:$BM$1004,1,MATCH(COLUMNS($AM$1006:BJ1006),$AM$1006:$BM$1006,0)))),"Fix")))</f>
        <v xml:space="preserve"> </v>
      </c>
      <c r="Z164" s="4" t="str">
        <f ca="1">IF(OR(INDEX($AG$2:$AG$1001,MATCH(ROWS($AF$2:AF164),$AF$2:$AF$1001,0),1)&gt;=100000,INDEX($AM$1005:$BM$1005,1,MATCH(COLUMNS($AM$1006:BK1006),$AM$1006:$BM$1006,0))&gt;=100000), " ",IF(INDEX($AM$2:$BM$1001,MATCH(ROWS($AF$2:AF164),$AF$2:$AF$1001,0),MATCH(COLUMNS($AM$1006:BK1006),$AM$1006:$BM$1006,0)), HYPERLINK("#",""), HYPERLINK(CONCATENATE("#metadata!", ADDRESS(INDEX($AH$2:$AH$1001,MATCH(ROWS($AF$2:AF164),$AF$2:$AF$1001,0),0), INDEX($AM$1004:$BM$1004,1,MATCH(COLUMNS($AM$1006:BK1006),$AM$1006:$BM$1006,0)))),"Fix")))</f>
        <v xml:space="preserve"> </v>
      </c>
      <c r="AA164" s="4" t="str">
        <f ca="1">IF(OR(INDEX($AG$2:$AG$1001,MATCH(ROWS($AF$2:AF164),$AF$2:$AF$1001,0),1)&gt;=100000,INDEX($AM$1005:$BM$1005,1,MATCH(COLUMNS($AM$1006:BL1006),$AM$1006:$BM$1006,0))&gt;=100000), " ",IF(INDEX($AM$2:$BM$1001,MATCH(ROWS($AF$2:AF164),$AF$2:$AF$1001,0),MATCH(COLUMNS($AM$1006:BL1006),$AM$1006:$BM$1006,0)), HYPERLINK("#",""), HYPERLINK(CONCATENATE("#metadata!", ADDRESS(INDEX($AH$2:$AH$1001,MATCH(ROWS($AF$2:AF164),$AF$2:$AF$1001,0),0), INDEX($AM$1004:$BM$1004,1,MATCH(COLUMNS($AM$1006:BL1006),$AM$1006:$BM$1006,0)))),"Fix")))</f>
        <v xml:space="preserve"> </v>
      </c>
      <c r="AB164" s="4" t="str">
        <f ca="1">IF(OR(INDEX($AG$2:$AG$1001,MATCH(ROWS($AF$2:AF164),$AF$2:$AF$1001,0),1)&gt;=100000,INDEX($AM$1005:$BM$1005,1,MATCH(COLUMNS($AM$1006:BM1006),$AM$1006:$BM$1006,0))&gt;=100000), " ",IF(INDEX($AM$2:$BM$1001,MATCH(ROWS($AF$2:AF164),$AF$2:$AF$1001,0),MATCH(COLUMNS($AM$1006:BM1006),$AM$1006:$BM$1006,0)), HYPERLINK("#",""), HYPERLINK(CONCATENATE("#metadata!", ADDRESS(INDEX($AH$2:$AH$1001,MATCH(ROWS($AF$2:AF164),$AF$2:$AF$1001,0),0), INDEX($AM$1004:$BM$1004,1,MATCH(COLUMNS($AM$1006:BM1006),$AM$1006:$BM$1006,0)))),"Fix")))</f>
        <v xml:space="preserve"> </v>
      </c>
      <c r="AF164">
        <v>163</v>
      </c>
      <c r="AG164">
        <v>100164</v>
      </c>
      <c r="AH164">
        <v>164</v>
      </c>
      <c r="AI164" t="b">
        <f t="shared" si="2"/>
        <v>1</v>
      </c>
      <c r="AJ164" t="b">
        <f>COUNTBLANK(metadata!B164:AB164)=COLUMNS(metadata!B164:AB164)</f>
        <v>1</v>
      </c>
      <c r="AK164" t="str">
        <v/>
      </c>
      <c r="AM164" t="b">
        <f ca="1">AND(IF(metadata!B164="",FALSE,TRUE),COUNTIF(metadata!B:B, metadata!B164) = 1,NOT(ISERROR(SUMPRODUCT(SEARCH(MID(metadata!B164,ROW(INDIRECT("1:"&amp;LEN(metadata!B164))), 1),"0123456789abcdefghijklmnopqrstuvwxyzABCDEFGHIJKLMNOPQRSTUVWXYZ.")))))</f>
        <v>0</v>
      </c>
      <c r="AN164" t="b">
        <f ca="1">OR(AND(IF(metadata!C164="",FALSE,TRUE),OR(EXACT(metadata!C164,"missing: not collected"),EXACT(metadata!C164,"missing: not provided"),EXACT(metadata!C164,"missing: restricted access"))),AND(IF(metadata!C164="",FALSE,TRUE),AND(AND(IFERROR(INT(LEFT(metadata!C164,4))&gt;1900,FALSE),IFERROR(INT(LEFT(metadata!C164,4))&lt;=YEAR(NOW()),FALSE)), OR(MID(metadata!C164,5,1)="", AND(AND(MID(metadata!C164,5,1)="-",IFERROR(INT(MID(metadata!C164,6,1))&gt;=0,FALSE),IFERROR(INT(MID(metadata!C164,6,1))&lt;=1,FALSE),NOT(MID(metadata!C164,7,1)=""),IFERROR(INT(MID(metadata!C164,6,2))&gt;=1,FALSE),IFERROR(INT(MID(metadata!C164,6,2))&lt;=12,FALSE)), OR(MID(metadata!C164,8,1)="", AND(AND(MID(metadata!C164,8,1)="-",IFERROR(INT(MID(metadata!C164,9,1))&gt;=0,FALSE),IFERROR(INT(MID(metadata!C164,9,1))&lt;=3,FALSE),NOT(MID(metadata!C164,10,1)=""),IFERROR(INT(MID(metadata!C164,9,2))&gt;=1,FALSE),IFERROR(INT(MID(metadata!C164,9,2))&lt;=31,FALSE)), OR(MID(metadata!C164,11,1)="", AND(AND(MID(metadata!C164,11,1)=" ",IFERROR(INT(MID(metadata!C164,12,1))&gt;=0,FALSE),IFERROR(INT(MID(metadata!C164,12,1))&lt;=2,FALSE),NOT(MID(metadata!C164,13,1)=""),IFERROR(INT(MID(metadata!C164,12,2))&gt;=0,FALSE),IFERROR(INT(MID(metadata!C164,12,2))&lt;=23,FALSE)), OR(MID(metadata!C164,14,1)="", AND(AND(MID(metadata!C164,14,1)=":",IFERROR(INT(MID(metadata!C164,15,1))&gt;=0,FALSE),IFERROR(INT(MID(metadata!C164,15,1))&lt;=5,FALSE),NOT(MID(metadata!C164,16,1)=""),IFERROR(INT(MID(metadata!C164,15,2))&gt;=0,FALSE),IFERROR(INT(MID(metadata!C164,15,2))&lt;=59,FALSE)), OR(MID(metadata!C164,17,1)="", AND(AND(MID(metadata!C164,17,1)=":",IFERROR(INT(MID(metadata!C164,18,1))&gt;=0,FALSE),IFERROR(INT(MID(metadata!C164,18,1))&lt;=5,FALSE),NOT(MID(metadata!C164,19,1)=""),IFERROR(INT(MID(metadata!C164,18,2))&gt;=0,FALSE),IFERROR(INT(MID(metadata!C164,18,2))&lt;=59,FALSE)), LEN(metadata!C164)&lt;=19)))))))))))))</f>
        <v>0</v>
      </c>
      <c r="AO164" t="b">
        <f>AND(IF(metadata!D164="",FALSE,TRUE),EXACT(metadata!D164,"Not applicable"))</f>
        <v>0</v>
      </c>
      <c r="AP164" t="b">
        <f>IF(metadata!E164="",FALSE,TRUE)</f>
        <v>0</v>
      </c>
      <c r="AQ164" t="b">
        <f>OR(AND(IF(metadata!F164="",FALSE,TRUE),OR(EXACT(metadata!F164,"missing: not collected"),EXACT(metadata!F164,"missing: not provided"))),AND(IF(metadata!F164="",FALSE,TRUE),OR(EXACT(metadata!F164,"TRUE"),EXACT(metadata!F164,"FALSE"))))</f>
        <v>0</v>
      </c>
      <c r="AR164" t="b">
        <f>OR(AND(IF(metadata!G164="",FALSE,TRUE),OR(EXACT(metadata!G164,"missing: not collected"),EXACT(metadata!G164,"missing: not provided"),EXACT(metadata!G164,"missing: restricted access"))),AND(IF(metadata!G164="",FALSE,ISNUMBER(VALUE(metadata!G164))),metadata!G164&gt;=-413))</f>
        <v>0</v>
      </c>
      <c r="AS164" t="b">
        <f>AND(IF(metadata!H164="",FALSE,TRUE),EXACT(metadata!H164,"meters"))</f>
        <v>0</v>
      </c>
      <c r="AT164" t="b">
        <f>AND(IF(metadata!I164="",FALSE,TRUE),OR(EXACT(metadata!I164,"Host-associated"),EXACT(metadata!I164,"Free-living")))</f>
        <v>0</v>
      </c>
      <c r="AU164" t="b">
        <f>AND(IF(metadata!J164="",FALSE,TRUE),OR(EXACT(metadata!J164,"Animal"),EXACT(metadata!J164,"Fungus"),EXACT(metadata!J164,"Plant"),EXACT(metadata!J164,"Saline"),EXACT(metadata!J164,"Non-saline")))</f>
        <v>0</v>
      </c>
      <c r="AV164" t="b">
        <f>AND(IF(metadata!K164="",FALSE,TRUE),OR(EXACT(metadata!K164,"Plant secretion"),EXACT(metadata!K164,"Plant rhizosphere"),EXACT(metadata!K164,"Plant surface"),EXACT(metadata!K164,"Plant corpus"),EXACT(metadata!K164,"Fungus surface"),EXACT(metadata!K164,"Fungus corpus"),EXACT(metadata!K164,"Animal surface"),EXACT(metadata!K164,"Animal proximal gut"),EXACT(metadata!K164,"Animal corpus"),EXACT(metadata!K164,"Animal distal gut"),EXACT(metadata!K164,"Animal secretion"),EXACT(metadata!K164,"Sub-surface (non-saline)"),EXACT(metadata!K164,"Surface (non-saline)"),EXACT(metadata!K164,"Water (non-saline)"),EXACT(metadata!K164,"Soil (non-saline)"),EXACT(metadata!K164,"Aerosol (non-saline)"),EXACT(metadata!K164,"Sediment (non-saline)"),EXACT(metadata!K164,"Surface (saline)"),EXACT(metadata!K164,"Water (saline)"),EXACT(metadata!K164,"Hypersaline (saline)"),EXACT(metadata!K164,"Aerosol (saline)"),EXACT(metadata!K164,"Sediment (saline)")))</f>
        <v>0</v>
      </c>
      <c r="AW164" t="b">
        <f>IF(metadata!L164="",FALSE,TRUE)</f>
        <v>0</v>
      </c>
      <c r="AX164" t="b">
        <f>IF(metadata!M164="",FALSE,TRUE)</f>
        <v>0</v>
      </c>
      <c r="AY164" t="b">
        <f>IF(metadata!N164="",FALSE,TRUE)</f>
        <v>0</v>
      </c>
      <c r="AZ164" t="b">
        <f>OR(AND(IF(metadata!O164="",FALSE,TRUE),OR(EXACT(metadata!O164,"missing: not collected"),EXACT(metadata!O164,"missing: not provided"),EXACT(metadata!O164,"missing: restricted access"))),AND(IF(metadata!O164="",FALSE,TRUE),OR(EXACT(metadata!O164,"air"),EXACT(metadata!O164,"built environment"),EXACT(metadata!O164,"host-associated"),EXACT(metadata!O164,"human-associated"),EXACT(metadata!O164,"human-skin"),EXACT(metadata!O164,"human-oral"),EXACT(metadata!O164,"human-gut"),EXACT(metadata!O164,"human-vaginal"),EXACT(metadata!O164,"microbial mat/biofilm"),EXACT(metadata!O164,"misc environment"),EXACT(metadata!O164,"plant-associated"),EXACT(metadata!O164,"sediment"),EXACT(metadata!O164,"soil"),EXACT(metadata!O164,"wastewater/sludge"),EXACT(metadata!O164,"water"))))</f>
        <v>0</v>
      </c>
      <c r="BA164" t="b">
        <f>IF(metadata!P164="",FALSE,TRUE)</f>
        <v>0</v>
      </c>
      <c r="BB164" t="b">
        <f>IF(metadata!Q164="",FALSE,TRUE)</f>
        <v>0</v>
      </c>
      <c r="BC164" t="b">
        <f>OR(AND(IF(metadata!R164="",FALSE,TRUE),OR(EXACT(metadata!R164,"missing: not collected"),EXACT(metadata!R164,"missing: not provided"),EXACT(metadata!R164,"missing: restricted access"))),AND(IF(metadata!R164="",FALSE,ISNUMBER(VALUE(metadata!R164))),metadata!R164&gt;=-90,metadata!R164&lt;=90))</f>
        <v>0</v>
      </c>
      <c r="BD164" t="b">
        <f>AND(IF(metadata!S164="",FALSE,TRUE),EXACT(metadata!S164,"Decimal degrees"))</f>
        <v>0</v>
      </c>
      <c r="BE164" t="b">
        <f>OR(AND(IF(metadata!T164="",FALSE,TRUE),OR(EXACT(metadata!T164,"missing: not collected"),EXACT(metadata!T164,"missing: not provided"),EXACT(metadata!T164,"missing: restricted access"))),AND(IF(metadata!T164="",FALSE,ISNUMBER(VALUE(metadata!T164))),metadata!T164&gt;=-180,metadata!T164&lt;=180))</f>
        <v>0</v>
      </c>
      <c r="BF164" t="b">
        <f>AND(IF(metadata!U164="",FALSE,TRUE),EXACT(metadata!U164,"Decimal degrees"))</f>
        <v>0</v>
      </c>
      <c r="BG164" t="b">
        <f>IF(metadata!V164="",FALSE,TRUE)</f>
        <v>0</v>
      </c>
      <c r="BH164" t="b">
        <f>OR(AND(IF(metadata!W164="",FALSE,TRUE),OR(EXACT(metadata!W164,"missing: not collected"),EXACT(metadata!W164,"missing: not provided"),EXACT(metadata!W164,"missing: restricted access"))),AND(IF(metadata!W164="",FALSE,TRUE),OR(EXACT(metadata!W164,"TRUE"),EXACT(metadata!W164,"FALSE"))))</f>
        <v>0</v>
      </c>
      <c r="BI164" t="b">
        <f>AND(IF(metadata!X164="",FALSE,TRUE),EXACT(metadata!X164,"other"))</f>
        <v>0</v>
      </c>
      <c r="BJ164" t="b">
        <f>IF(metadata!Y164="",FALSE,TRUE)</f>
        <v>0</v>
      </c>
      <c r="BK164" t="b">
        <f>OR(AND(IF(metadata!Z164="",FALSE,TRUE),OR(EXACT(metadata!Z164,"missing: not collected"),EXACT(metadata!Z164,"missing: not provided"))),AND(IF(metadata!Z164="",FALSE,IF(ISERROR(INT(metadata!Z164)),FALSE,INT(metadata!Z164)=metadata!Z164)),metadata!Z164&gt;0))</f>
        <v>0</v>
      </c>
      <c r="BL164" t="b">
        <f>AND(IF(metadata!AA164="",FALSE,TRUE),EXACT(metadata!AA164,"Not applicable"))</f>
        <v>0</v>
      </c>
      <c r="BM164" t="b">
        <f>IF(metadata!AB164="",FALSE,TRUE)</f>
        <v>0</v>
      </c>
    </row>
    <row r="165" spans="1:65" x14ac:dyDescent="0.2">
      <c r="A165" s="5" t="str">
        <f ca="1">IF(B165=" "," ",HYPERLINK(CONCATENATE("#metadata!",ADDRESS(INDEX($AH$2:$AH$1001,MATCH(ROWS($AF$2:AF165),$AF$2:$AF$1001,0),0),1)),INDEX($AK$2:$AK$1001,MATCH(ROWS($AF$2:AF165),$AF$2:$AF$1001,0),0)))</f>
        <v xml:space="preserve"> </v>
      </c>
      <c r="B165" s="4" t="str">
        <f ca="1">IF(OR(INDEX($AG$2:$AG$1001,MATCH(ROWS($AF$2:AF165),$AF$2:$AF$1001,0),1)&gt;=100000,INDEX($AM$1005:$BM$1005,1,MATCH(COLUMNS($AM$1006:AM1006),$AM$1006:$BM$1006,0))&gt;=100000), " ",IF(INDEX($AM$2:$BM$1001,MATCH(ROWS($AF$2:AF165),$AF$2:$AF$1001,0),MATCH(COLUMNS($AM$1006:AM1006),$AM$1006:$BM$1006,0)), HYPERLINK("#",""), HYPERLINK(CONCATENATE("#metadata!", ADDRESS(INDEX($AH$2:$AH$1001,MATCH(ROWS($AF$2:AF165),$AF$2:$AF$1001,0),0), INDEX($AM$1004:$BM$1004,1,MATCH(COLUMNS($AM$1006:AM1006),$AM$1006:$BM$1006,0)))),"Fix")))</f>
        <v xml:space="preserve"> </v>
      </c>
      <c r="C165" s="4" t="str">
        <f ca="1">IF(OR(INDEX($AG$2:$AG$1001,MATCH(ROWS($AF$2:AF165),$AF$2:$AF$1001,0),1)&gt;=100000,INDEX($AM$1005:$BM$1005,1,MATCH(COLUMNS($AM$1006:AN1006),$AM$1006:$BM$1006,0))&gt;=100000), " ",IF(INDEX($AM$2:$BM$1001,MATCH(ROWS($AF$2:AF165),$AF$2:$AF$1001,0),MATCH(COLUMNS($AM$1006:AN1006),$AM$1006:$BM$1006,0)), HYPERLINK("#",""), HYPERLINK(CONCATENATE("#metadata!", ADDRESS(INDEX($AH$2:$AH$1001,MATCH(ROWS($AF$2:AF165),$AF$2:$AF$1001,0),0), INDEX($AM$1004:$BM$1004,1,MATCH(COLUMNS($AM$1006:AN1006),$AM$1006:$BM$1006,0)))),"Fix")))</f>
        <v xml:space="preserve"> </v>
      </c>
      <c r="D165" s="4" t="str">
        <f ca="1">IF(OR(INDEX($AG$2:$AG$1001,MATCH(ROWS($AF$2:AF165),$AF$2:$AF$1001,0),1)&gt;=100000,INDEX($AM$1005:$BM$1005,1,MATCH(COLUMNS($AM$1006:AO1006),$AM$1006:$BM$1006,0))&gt;=100000), " ",IF(INDEX($AM$2:$BM$1001,MATCH(ROWS($AF$2:AF165),$AF$2:$AF$1001,0),MATCH(COLUMNS($AM$1006:AO1006),$AM$1006:$BM$1006,0)), HYPERLINK("#",""), HYPERLINK(CONCATENATE("#metadata!", ADDRESS(INDEX($AH$2:$AH$1001,MATCH(ROWS($AF$2:AF165),$AF$2:$AF$1001,0),0), INDEX($AM$1004:$BM$1004,1,MATCH(COLUMNS($AM$1006:AO1006),$AM$1006:$BM$1006,0)))),"Fix")))</f>
        <v xml:space="preserve"> </v>
      </c>
      <c r="E165" s="4" t="str">
        <f ca="1">IF(OR(INDEX($AG$2:$AG$1001,MATCH(ROWS($AF$2:AF165),$AF$2:$AF$1001,0),1)&gt;=100000,INDEX($AM$1005:$BM$1005,1,MATCH(COLUMNS($AM$1006:AP1006),$AM$1006:$BM$1006,0))&gt;=100000), " ",IF(INDEX($AM$2:$BM$1001,MATCH(ROWS($AF$2:AF165),$AF$2:$AF$1001,0),MATCH(COLUMNS($AM$1006:AP1006),$AM$1006:$BM$1006,0)), HYPERLINK("#",""), HYPERLINK(CONCATENATE("#metadata!", ADDRESS(INDEX($AH$2:$AH$1001,MATCH(ROWS($AF$2:AF165),$AF$2:$AF$1001,0),0), INDEX($AM$1004:$BM$1004,1,MATCH(COLUMNS($AM$1006:AP1006),$AM$1006:$BM$1006,0)))),"Fix")))</f>
        <v xml:space="preserve"> </v>
      </c>
      <c r="F165" s="4" t="str">
        <f ca="1">IF(OR(INDEX($AG$2:$AG$1001,MATCH(ROWS($AF$2:AF165),$AF$2:$AF$1001,0),1)&gt;=100000,INDEX($AM$1005:$BM$1005,1,MATCH(COLUMNS($AM$1006:AQ1006),$AM$1006:$BM$1006,0))&gt;=100000), " ",IF(INDEX($AM$2:$BM$1001,MATCH(ROWS($AF$2:AF165),$AF$2:$AF$1001,0),MATCH(COLUMNS($AM$1006:AQ1006),$AM$1006:$BM$1006,0)), HYPERLINK("#",""), HYPERLINK(CONCATENATE("#metadata!", ADDRESS(INDEX($AH$2:$AH$1001,MATCH(ROWS($AF$2:AF165),$AF$2:$AF$1001,0),0), INDEX($AM$1004:$BM$1004,1,MATCH(COLUMNS($AM$1006:AQ1006),$AM$1006:$BM$1006,0)))),"Fix")))</f>
        <v xml:space="preserve"> </v>
      </c>
      <c r="G165" s="4" t="str">
        <f ca="1">IF(OR(INDEX($AG$2:$AG$1001,MATCH(ROWS($AF$2:AF165),$AF$2:$AF$1001,0),1)&gt;=100000,INDEX($AM$1005:$BM$1005,1,MATCH(COLUMNS($AM$1006:AR1006),$AM$1006:$BM$1006,0))&gt;=100000), " ",IF(INDEX($AM$2:$BM$1001,MATCH(ROWS($AF$2:AF165),$AF$2:$AF$1001,0),MATCH(COLUMNS($AM$1006:AR1006),$AM$1006:$BM$1006,0)), HYPERLINK("#",""), HYPERLINK(CONCATENATE("#metadata!", ADDRESS(INDEX($AH$2:$AH$1001,MATCH(ROWS($AF$2:AF165),$AF$2:$AF$1001,0),0), INDEX($AM$1004:$BM$1004,1,MATCH(COLUMNS($AM$1006:AR1006),$AM$1006:$BM$1006,0)))),"Fix")))</f>
        <v xml:space="preserve"> </v>
      </c>
      <c r="H165" s="4" t="str">
        <f ca="1">IF(OR(INDEX($AG$2:$AG$1001,MATCH(ROWS($AF$2:AF165),$AF$2:$AF$1001,0),1)&gt;=100000,INDEX($AM$1005:$BM$1005,1,MATCH(COLUMNS($AM$1006:AS1006),$AM$1006:$BM$1006,0))&gt;=100000), " ",IF(INDEX($AM$2:$BM$1001,MATCH(ROWS($AF$2:AF165),$AF$2:$AF$1001,0),MATCH(COLUMNS($AM$1006:AS1006),$AM$1006:$BM$1006,0)), HYPERLINK("#",""), HYPERLINK(CONCATENATE("#metadata!", ADDRESS(INDEX($AH$2:$AH$1001,MATCH(ROWS($AF$2:AF165),$AF$2:$AF$1001,0),0), INDEX($AM$1004:$BM$1004,1,MATCH(COLUMNS($AM$1006:AS1006),$AM$1006:$BM$1006,0)))),"Fix")))</f>
        <v xml:space="preserve"> </v>
      </c>
      <c r="I165" s="4" t="str">
        <f ca="1">IF(OR(INDEX($AG$2:$AG$1001,MATCH(ROWS($AF$2:AF165),$AF$2:$AF$1001,0),1)&gt;=100000,INDEX($AM$1005:$BM$1005,1,MATCH(COLUMNS($AM$1006:AT1006),$AM$1006:$BM$1006,0))&gt;=100000), " ",IF(INDEX($AM$2:$BM$1001,MATCH(ROWS($AF$2:AF165),$AF$2:$AF$1001,0),MATCH(COLUMNS($AM$1006:AT1006),$AM$1006:$BM$1006,0)), HYPERLINK("#",""), HYPERLINK(CONCATENATE("#metadata!", ADDRESS(INDEX($AH$2:$AH$1001,MATCH(ROWS($AF$2:AF165),$AF$2:$AF$1001,0),0), INDEX($AM$1004:$BM$1004,1,MATCH(COLUMNS($AM$1006:AT1006),$AM$1006:$BM$1006,0)))),"Fix")))</f>
        <v xml:space="preserve"> </v>
      </c>
      <c r="J165" s="4" t="str">
        <f ca="1">IF(OR(INDEX($AG$2:$AG$1001,MATCH(ROWS($AF$2:AF165),$AF$2:$AF$1001,0),1)&gt;=100000,INDEX($AM$1005:$BM$1005,1,MATCH(COLUMNS($AM$1006:AU1006),$AM$1006:$BM$1006,0))&gt;=100000), " ",IF(INDEX($AM$2:$BM$1001,MATCH(ROWS($AF$2:AF165),$AF$2:$AF$1001,0),MATCH(COLUMNS($AM$1006:AU1006),$AM$1006:$BM$1006,0)), HYPERLINK("#",""), HYPERLINK(CONCATENATE("#metadata!", ADDRESS(INDEX($AH$2:$AH$1001,MATCH(ROWS($AF$2:AF165),$AF$2:$AF$1001,0),0), INDEX($AM$1004:$BM$1004,1,MATCH(COLUMNS($AM$1006:AU1006),$AM$1006:$BM$1006,0)))),"Fix")))</f>
        <v xml:space="preserve"> </v>
      </c>
      <c r="K165" s="4" t="str">
        <f ca="1">IF(OR(INDEX($AG$2:$AG$1001,MATCH(ROWS($AF$2:AF165),$AF$2:$AF$1001,0),1)&gt;=100000,INDEX($AM$1005:$BM$1005,1,MATCH(COLUMNS($AM$1006:AV1006),$AM$1006:$BM$1006,0))&gt;=100000), " ",IF(INDEX($AM$2:$BM$1001,MATCH(ROWS($AF$2:AF165),$AF$2:$AF$1001,0),MATCH(COLUMNS($AM$1006:AV1006),$AM$1006:$BM$1006,0)), HYPERLINK("#",""), HYPERLINK(CONCATENATE("#metadata!", ADDRESS(INDEX($AH$2:$AH$1001,MATCH(ROWS($AF$2:AF165),$AF$2:$AF$1001,0),0), INDEX($AM$1004:$BM$1004,1,MATCH(COLUMNS($AM$1006:AV1006),$AM$1006:$BM$1006,0)))),"Fix")))</f>
        <v xml:space="preserve"> </v>
      </c>
      <c r="L165" s="4" t="str">
        <f ca="1">IF(OR(INDEX($AG$2:$AG$1001,MATCH(ROWS($AF$2:AF165),$AF$2:$AF$1001,0),1)&gt;=100000,INDEX($AM$1005:$BM$1005,1,MATCH(COLUMNS($AM$1006:AW1006),$AM$1006:$BM$1006,0))&gt;=100000), " ",IF(INDEX($AM$2:$BM$1001,MATCH(ROWS($AF$2:AF165),$AF$2:$AF$1001,0),MATCH(COLUMNS($AM$1006:AW1006),$AM$1006:$BM$1006,0)), HYPERLINK("#",""), HYPERLINK(CONCATENATE("#metadata!", ADDRESS(INDEX($AH$2:$AH$1001,MATCH(ROWS($AF$2:AF165),$AF$2:$AF$1001,0),0), INDEX($AM$1004:$BM$1004,1,MATCH(COLUMNS($AM$1006:AW1006),$AM$1006:$BM$1006,0)))),"Fix")))</f>
        <v xml:space="preserve"> </v>
      </c>
      <c r="M165" s="4" t="str">
        <f ca="1">IF(OR(INDEX($AG$2:$AG$1001,MATCH(ROWS($AF$2:AF165),$AF$2:$AF$1001,0),1)&gt;=100000,INDEX($AM$1005:$BM$1005,1,MATCH(COLUMNS($AM$1006:AX1006),$AM$1006:$BM$1006,0))&gt;=100000), " ",IF(INDEX($AM$2:$BM$1001,MATCH(ROWS($AF$2:AF165),$AF$2:$AF$1001,0),MATCH(COLUMNS($AM$1006:AX1006),$AM$1006:$BM$1006,0)), HYPERLINK("#",""), HYPERLINK(CONCATENATE("#metadata!", ADDRESS(INDEX($AH$2:$AH$1001,MATCH(ROWS($AF$2:AF165),$AF$2:$AF$1001,0),0), INDEX($AM$1004:$BM$1004,1,MATCH(COLUMNS($AM$1006:AX1006),$AM$1006:$BM$1006,0)))),"Fix")))</f>
        <v xml:space="preserve"> </v>
      </c>
      <c r="N165" s="4" t="str">
        <f ca="1">IF(OR(INDEX($AG$2:$AG$1001,MATCH(ROWS($AF$2:AF165),$AF$2:$AF$1001,0),1)&gt;=100000,INDEX($AM$1005:$BM$1005,1,MATCH(COLUMNS($AM$1006:AY1006),$AM$1006:$BM$1006,0))&gt;=100000), " ",IF(INDEX($AM$2:$BM$1001,MATCH(ROWS($AF$2:AF165),$AF$2:$AF$1001,0),MATCH(COLUMNS($AM$1006:AY1006),$AM$1006:$BM$1006,0)), HYPERLINK("#",""), HYPERLINK(CONCATENATE("#metadata!", ADDRESS(INDEX($AH$2:$AH$1001,MATCH(ROWS($AF$2:AF165),$AF$2:$AF$1001,0),0), INDEX($AM$1004:$BM$1004,1,MATCH(COLUMNS($AM$1006:AY1006),$AM$1006:$BM$1006,0)))),"Fix")))</f>
        <v xml:space="preserve"> </v>
      </c>
      <c r="O165" s="4" t="str">
        <f ca="1">IF(OR(INDEX($AG$2:$AG$1001,MATCH(ROWS($AF$2:AF165),$AF$2:$AF$1001,0),1)&gt;=100000,INDEX($AM$1005:$BM$1005,1,MATCH(COLUMNS($AM$1006:AZ1006),$AM$1006:$BM$1006,0))&gt;=100000), " ",IF(INDEX($AM$2:$BM$1001,MATCH(ROWS($AF$2:AF165),$AF$2:$AF$1001,0),MATCH(COLUMNS($AM$1006:AZ1006),$AM$1006:$BM$1006,0)), HYPERLINK("#",""), HYPERLINK(CONCATENATE("#metadata!", ADDRESS(INDEX($AH$2:$AH$1001,MATCH(ROWS($AF$2:AF165),$AF$2:$AF$1001,0),0), INDEX($AM$1004:$BM$1004,1,MATCH(COLUMNS($AM$1006:AZ1006),$AM$1006:$BM$1006,0)))),"Fix")))</f>
        <v xml:space="preserve"> </v>
      </c>
      <c r="P165" s="4" t="str">
        <f ca="1">IF(OR(INDEX($AG$2:$AG$1001,MATCH(ROWS($AF$2:AF165),$AF$2:$AF$1001,0),1)&gt;=100000,INDEX($AM$1005:$BM$1005,1,MATCH(COLUMNS($AM$1006:BA1006),$AM$1006:$BM$1006,0))&gt;=100000), " ",IF(INDEX($AM$2:$BM$1001,MATCH(ROWS($AF$2:AF165),$AF$2:$AF$1001,0),MATCH(COLUMNS($AM$1006:BA1006),$AM$1006:$BM$1006,0)), HYPERLINK("#",""), HYPERLINK(CONCATENATE("#metadata!", ADDRESS(INDEX($AH$2:$AH$1001,MATCH(ROWS($AF$2:AF165),$AF$2:$AF$1001,0),0), INDEX($AM$1004:$BM$1004,1,MATCH(COLUMNS($AM$1006:BA1006),$AM$1006:$BM$1006,0)))),"Fix")))</f>
        <v xml:space="preserve"> </v>
      </c>
      <c r="Q165" s="4" t="str">
        <f ca="1">IF(OR(INDEX($AG$2:$AG$1001,MATCH(ROWS($AF$2:AF165),$AF$2:$AF$1001,0),1)&gt;=100000,INDEX($AM$1005:$BM$1005,1,MATCH(COLUMNS($AM$1006:BB1006),$AM$1006:$BM$1006,0))&gt;=100000), " ",IF(INDEX($AM$2:$BM$1001,MATCH(ROWS($AF$2:AF165),$AF$2:$AF$1001,0),MATCH(COLUMNS($AM$1006:BB1006),$AM$1006:$BM$1006,0)), HYPERLINK("#",""), HYPERLINK(CONCATENATE("#metadata!", ADDRESS(INDEX($AH$2:$AH$1001,MATCH(ROWS($AF$2:AF165),$AF$2:$AF$1001,0),0), INDEX($AM$1004:$BM$1004,1,MATCH(COLUMNS($AM$1006:BB1006),$AM$1006:$BM$1006,0)))),"Fix")))</f>
        <v xml:space="preserve"> </v>
      </c>
      <c r="R165" s="4" t="str">
        <f ca="1">IF(OR(INDEX($AG$2:$AG$1001,MATCH(ROWS($AF$2:AF165),$AF$2:$AF$1001,0),1)&gt;=100000,INDEX($AM$1005:$BM$1005,1,MATCH(COLUMNS($AM$1006:BC1006),$AM$1006:$BM$1006,0))&gt;=100000), " ",IF(INDEX($AM$2:$BM$1001,MATCH(ROWS($AF$2:AF165),$AF$2:$AF$1001,0),MATCH(COLUMNS($AM$1006:BC1006),$AM$1006:$BM$1006,0)), HYPERLINK("#",""), HYPERLINK(CONCATENATE("#metadata!", ADDRESS(INDEX($AH$2:$AH$1001,MATCH(ROWS($AF$2:AF165),$AF$2:$AF$1001,0),0), INDEX($AM$1004:$BM$1004,1,MATCH(COLUMNS($AM$1006:BC1006),$AM$1006:$BM$1006,0)))),"Fix")))</f>
        <v xml:space="preserve"> </v>
      </c>
      <c r="S165" s="4" t="str">
        <f ca="1">IF(OR(INDEX($AG$2:$AG$1001,MATCH(ROWS($AF$2:AF165),$AF$2:$AF$1001,0),1)&gt;=100000,INDEX($AM$1005:$BM$1005,1,MATCH(COLUMNS($AM$1006:BD1006),$AM$1006:$BM$1006,0))&gt;=100000), " ",IF(INDEX($AM$2:$BM$1001,MATCH(ROWS($AF$2:AF165),$AF$2:$AF$1001,0),MATCH(COLUMNS($AM$1006:BD1006),$AM$1006:$BM$1006,0)), HYPERLINK("#",""), HYPERLINK(CONCATENATE("#metadata!", ADDRESS(INDEX($AH$2:$AH$1001,MATCH(ROWS($AF$2:AF165),$AF$2:$AF$1001,0),0), INDEX($AM$1004:$BM$1004,1,MATCH(COLUMNS($AM$1006:BD1006),$AM$1006:$BM$1006,0)))),"Fix")))</f>
        <v xml:space="preserve"> </v>
      </c>
      <c r="T165" s="4" t="str">
        <f ca="1">IF(OR(INDEX($AG$2:$AG$1001,MATCH(ROWS($AF$2:AF165),$AF$2:$AF$1001,0),1)&gt;=100000,INDEX($AM$1005:$BM$1005,1,MATCH(COLUMNS($AM$1006:BE1006),$AM$1006:$BM$1006,0))&gt;=100000), " ",IF(INDEX($AM$2:$BM$1001,MATCH(ROWS($AF$2:AF165),$AF$2:$AF$1001,0),MATCH(COLUMNS($AM$1006:BE1006),$AM$1006:$BM$1006,0)), HYPERLINK("#",""), HYPERLINK(CONCATENATE("#metadata!", ADDRESS(INDEX($AH$2:$AH$1001,MATCH(ROWS($AF$2:AF165),$AF$2:$AF$1001,0),0), INDEX($AM$1004:$BM$1004,1,MATCH(COLUMNS($AM$1006:BE1006),$AM$1006:$BM$1006,0)))),"Fix")))</f>
        <v xml:space="preserve"> </v>
      </c>
      <c r="U165" s="4" t="str">
        <f ca="1">IF(OR(INDEX($AG$2:$AG$1001,MATCH(ROWS($AF$2:AF165),$AF$2:$AF$1001,0),1)&gt;=100000,INDEX($AM$1005:$BM$1005,1,MATCH(COLUMNS($AM$1006:BF1006),$AM$1006:$BM$1006,0))&gt;=100000), " ",IF(INDEX($AM$2:$BM$1001,MATCH(ROWS($AF$2:AF165),$AF$2:$AF$1001,0),MATCH(COLUMNS($AM$1006:BF1006),$AM$1006:$BM$1006,0)), HYPERLINK("#",""), HYPERLINK(CONCATENATE("#metadata!", ADDRESS(INDEX($AH$2:$AH$1001,MATCH(ROWS($AF$2:AF165),$AF$2:$AF$1001,0),0), INDEX($AM$1004:$BM$1004,1,MATCH(COLUMNS($AM$1006:BF1006),$AM$1006:$BM$1006,0)))),"Fix")))</f>
        <v xml:space="preserve"> </v>
      </c>
      <c r="V165" s="4" t="str">
        <f ca="1">IF(OR(INDEX($AG$2:$AG$1001,MATCH(ROWS($AF$2:AF165),$AF$2:$AF$1001,0),1)&gt;=100000,INDEX($AM$1005:$BM$1005,1,MATCH(COLUMNS($AM$1006:BG1006),$AM$1006:$BM$1006,0))&gt;=100000), " ",IF(INDEX($AM$2:$BM$1001,MATCH(ROWS($AF$2:AF165),$AF$2:$AF$1001,0),MATCH(COLUMNS($AM$1006:BG1006),$AM$1006:$BM$1006,0)), HYPERLINK("#",""), HYPERLINK(CONCATENATE("#metadata!", ADDRESS(INDEX($AH$2:$AH$1001,MATCH(ROWS($AF$2:AF165),$AF$2:$AF$1001,0),0), INDEX($AM$1004:$BM$1004,1,MATCH(COLUMNS($AM$1006:BG1006),$AM$1006:$BM$1006,0)))),"Fix")))</f>
        <v xml:space="preserve"> </v>
      </c>
      <c r="W165" s="4" t="str">
        <f ca="1">IF(OR(INDEX($AG$2:$AG$1001,MATCH(ROWS($AF$2:AF165),$AF$2:$AF$1001,0),1)&gt;=100000,INDEX($AM$1005:$BM$1005,1,MATCH(COLUMNS($AM$1006:BH1006),$AM$1006:$BM$1006,0))&gt;=100000), " ",IF(INDEX($AM$2:$BM$1001,MATCH(ROWS($AF$2:AF165),$AF$2:$AF$1001,0),MATCH(COLUMNS($AM$1006:BH1006),$AM$1006:$BM$1006,0)), HYPERLINK("#",""), HYPERLINK(CONCATENATE("#metadata!", ADDRESS(INDEX($AH$2:$AH$1001,MATCH(ROWS($AF$2:AF165),$AF$2:$AF$1001,0),0), INDEX($AM$1004:$BM$1004,1,MATCH(COLUMNS($AM$1006:BH1006),$AM$1006:$BM$1006,0)))),"Fix")))</f>
        <v xml:space="preserve"> </v>
      </c>
      <c r="X165" s="4" t="str">
        <f ca="1">IF(OR(INDEX($AG$2:$AG$1001,MATCH(ROWS($AF$2:AF165),$AF$2:$AF$1001,0),1)&gt;=100000,INDEX($AM$1005:$BM$1005,1,MATCH(COLUMNS($AM$1006:BI1006),$AM$1006:$BM$1006,0))&gt;=100000), " ",IF(INDEX($AM$2:$BM$1001,MATCH(ROWS($AF$2:AF165),$AF$2:$AF$1001,0),MATCH(COLUMNS($AM$1006:BI1006),$AM$1006:$BM$1006,0)), HYPERLINK("#",""), HYPERLINK(CONCATENATE("#metadata!", ADDRESS(INDEX($AH$2:$AH$1001,MATCH(ROWS($AF$2:AF165),$AF$2:$AF$1001,0),0), INDEX($AM$1004:$BM$1004,1,MATCH(COLUMNS($AM$1006:BI1006),$AM$1006:$BM$1006,0)))),"Fix")))</f>
        <v xml:space="preserve"> </v>
      </c>
      <c r="Y165" s="4" t="str">
        <f ca="1">IF(OR(INDEX($AG$2:$AG$1001,MATCH(ROWS($AF$2:AF165),$AF$2:$AF$1001,0),1)&gt;=100000,INDEX($AM$1005:$BM$1005,1,MATCH(COLUMNS($AM$1006:BJ1006),$AM$1006:$BM$1006,0))&gt;=100000), " ",IF(INDEX($AM$2:$BM$1001,MATCH(ROWS($AF$2:AF165),$AF$2:$AF$1001,0),MATCH(COLUMNS($AM$1006:BJ1006),$AM$1006:$BM$1006,0)), HYPERLINK("#",""), HYPERLINK(CONCATENATE("#metadata!", ADDRESS(INDEX($AH$2:$AH$1001,MATCH(ROWS($AF$2:AF165),$AF$2:$AF$1001,0),0), INDEX($AM$1004:$BM$1004,1,MATCH(COLUMNS($AM$1006:BJ1006),$AM$1006:$BM$1006,0)))),"Fix")))</f>
        <v xml:space="preserve"> </v>
      </c>
      <c r="Z165" s="4" t="str">
        <f ca="1">IF(OR(INDEX($AG$2:$AG$1001,MATCH(ROWS($AF$2:AF165),$AF$2:$AF$1001,0),1)&gt;=100000,INDEX($AM$1005:$BM$1005,1,MATCH(COLUMNS($AM$1006:BK1006),$AM$1006:$BM$1006,0))&gt;=100000), " ",IF(INDEX($AM$2:$BM$1001,MATCH(ROWS($AF$2:AF165),$AF$2:$AF$1001,0),MATCH(COLUMNS($AM$1006:BK1006),$AM$1006:$BM$1006,0)), HYPERLINK("#",""), HYPERLINK(CONCATENATE("#metadata!", ADDRESS(INDEX($AH$2:$AH$1001,MATCH(ROWS($AF$2:AF165),$AF$2:$AF$1001,0),0), INDEX($AM$1004:$BM$1004,1,MATCH(COLUMNS($AM$1006:BK1006),$AM$1006:$BM$1006,0)))),"Fix")))</f>
        <v xml:space="preserve"> </v>
      </c>
      <c r="AA165" s="4" t="str">
        <f ca="1">IF(OR(INDEX($AG$2:$AG$1001,MATCH(ROWS($AF$2:AF165),$AF$2:$AF$1001,0),1)&gt;=100000,INDEX($AM$1005:$BM$1005,1,MATCH(COLUMNS($AM$1006:BL1006),$AM$1006:$BM$1006,0))&gt;=100000), " ",IF(INDEX($AM$2:$BM$1001,MATCH(ROWS($AF$2:AF165),$AF$2:$AF$1001,0),MATCH(COLUMNS($AM$1006:BL1006),$AM$1006:$BM$1006,0)), HYPERLINK("#",""), HYPERLINK(CONCATENATE("#metadata!", ADDRESS(INDEX($AH$2:$AH$1001,MATCH(ROWS($AF$2:AF165),$AF$2:$AF$1001,0),0), INDEX($AM$1004:$BM$1004,1,MATCH(COLUMNS($AM$1006:BL1006),$AM$1006:$BM$1006,0)))),"Fix")))</f>
        <v xml:space="preserve"> </v>
      </c>
      <c r="AB165" s="4" t="str">
        <f ca="1">IF(OR(INDEX($AG$2:$AG$1001,MATCH(ROWS($AF$2:AF165),$AF$2:$AF$1001,0),1)&gt;=100000,INDEX($AM$1005:$BM$1005,1,MATCH(COLUMNS($AM$1006:BM1006),$AM$1006:$BM$1006,0))&gt;=100000), " ",IF(INDEX($AM$2:$BM$1001,MATCH(ROWS($AF$2:AF165),$AF$2:$AF$1001,0),MATCH(COLUMNS($AM$1006:BM1006),$AM$1006:$BM$1006,0)), HYPERLINK("#",""), HYPERLINK(CONCATENATE("#metadata!", ADDRESS(INDEX($AH$2:$AH$1001,MATCH(ROWS($AF$2:AF165),$AF$2:$AF$1001,0),0), INDEX($AM$1004:$BM$1004,1,MATCH(COLUMNS($AM$1006:BM1006),$AM$1006:$BM$1006,0)))),"Fix")))</f>
        <v xml:space="preserve"> </v>
      </c>
      <c r="AF165">
        <v>164</v>
      </c>
      <c r="AG165">
        <v>100165</v>
      </c>
      <c r="AH165">
        <v>165</v>
      </c>
      <c r="AI165" t="b">
        <f t="shared" si="2"/>
        <v>1</v>
      </c>
      <c r="AJ165" t="b">
        <f>COUNTBLANK(metadata!B165:AB165)=COLUMNS(metadata!B165:AB165)</f>
        <v>1</v>
      </c>
      <c r="AK165" t="str">
        <v/>
      </c>
      <c r="AM165" t="b">
        <f ca="1">AND(IF(metadata!B165="",FALSE,TRUE),COUNTIF(metadata!B:B, metadata!B165) = 1,NOT(ISERROR(SUMPRODUCT(SEARCH(MID(metadata!B165,ROW(INDIRECT("1:"&amp;LEN(metadata!B165))), 1),"0123456789abcdefghijklmnopqrstuvwxyzABCDEFGHIJKLMNOPQRSTUVWXYZ.")))))</f>
        <v>0</v>
      </c>
      <c r="AN165" t="b">
        <f ca="1">OR(AND(IF(metadata!C165="",FALSE,TRUE),OR(EXACT(metadata!C165,"missing: not collected"),EXACT(metadata!C165,"missing: not provided"),EXACT(metadata!C165,"missing: restricted access"))),AND(IF(metadata!C165="",FALSE,TRUE),AND(AND(IFERROR(INT(LEFT(metadata!C165,4))&gt;1900,FALSE),IFERROR(INT(LEFT(metadata!C165,4))&lt;=YEAR(NOW()),FALSE)), OR(MID(metadata!C165,5,1)="", AND(AND(MID(metadata!C165,5,1)="-",IFERROR(INT(MID(metadata!C165,6,1))&gt;=0,FALSE),IFERROR(INT(MID(metadata!C165,6,1))&lt;=1,FALSE),NOT(MID(metadata!C165,7,1)=""),IFERROR(INT(MID(metadata!C165,6,2))&gt;=1,FALSE),IFERROR(INT(MID(metadata!C165,6,2))&lt;=12,FALSE)), OR(MID(metadata!C165,8,1)="", AND(AND(MID(metadata!C165,8,1)="-",IFERROR(INT(MID(metadata!C165,9,1))&gt;=0,FALSE),IFERROR(INT(MID(metadata!C165,9,1))&lt;=3,FALSE),NOT(MID(metadata!C165,10,1)=""),IFERROR(INT(MID(metadata!C165,9,2))&gt;=1,FALSE),IFERROR(INT(MID(metadata!C165,9,2))&lt;=31,FALSE)), OR(MID(metadata!C165,11,1)="", AND(AND(MID(metadata!C165,11,1)=" ",IFERROR(INT(MID(metadata!C165,12,1))&gt;=0,FALSE),IFERROR(INT(MID(metadata!C165,12,1))&lt;=2,FALSE),NOT(MID(metadata!C165,13,1)=""),IFERROR(INT(MID(metadata!C165,12,2))&gt;=0,FALSE),IFERROR(INT(MID(metadata!C165,12,2))&lt;=23,FALSE)), OR(MID(metadata!C165,14,1)="", AND(AND(MID(metadata!C165,14,1)=":",IFERROR(INT(MID(metadata!C165,15,1))&gt;=0,FALSE),IFERROR(INT(MID(metadata!C165,15,1))&lt;=5,FALSE),NOT(MID(metadata!C165,16,1)=""),IFERROR(INT(MID(metadata!C165,15,2))&gt;=0,FALSE),IFERROR(INT(MID(metadata!C165,15,2))&lt;=59,FALSE)), OR(MID(metadata!C165,17,1)="", AND(AND(MID(metadata!C165,17,1)=":",IFERROR(INT(MID(metadata!C165,18,1))&gt;=0,FALSE),IFERROR(INT(MID(metadata!C165,18,1))&lt;=5,FALSE),NOT(MID(metadata!C165,19,1)=""),IFERROR(INT(MID(metadata!C165,18,2))&gt;=0,FALSE),IFERROR(INT(MID(metadata!C165,18,2))&lt;=59,FALSE)), LEN(metadata!C165)&lt;=19)))))))))))))</f>
        <v>0</v>
      </c>
      <c r="AO165" t="b">
        <f>AND(IF(metadata!D165="",FALSE,TRUE),EXACT(metadata!D165,"Not applicable"))</f>
        <v>0</v>
      </c>
      <c r="AP165" t="b">
        <f>IF(metadata!E165="",FALSE,TRUE)</f>
        <v>0</v>
      </c>
      <c r="AQ165" t="b">
        <f>OR(AND(IF(metadata!F165="",FALSE,TRUE),OR(EXACT(metadata!F165,"missing: not collected"),EXACT(metadata!F165,"missing: not provided"))),AND(IF(metadata!F165="",FALSE,TRUE),OR(EXACT(metadata!F165,"TRUE"),EXACT(metadata!F165,"FALSE"))))</f>
        <v>0</v>
      </c>
      <c r="AR165" t="b">
        <f>OR(AND(IF(metadata!G165="",FALSE,TRUE),OR(EXACT(metadata!G165,"missing: not collected"),EXACT(metadata!G165,"missing: not provided"),EXACT(metadata!G165,"missing: restricted access"))),AND(IF(metadata!G165="",FALSE,ISNUMBER(VALUE(metadata!G165))),metadata!G165&gt;=-413))</f>
        <v>0</v>
      </c>
      <c r="AS165" t="b">
        <f>AND(IF(metadata!H165="",FALSE,TRUE),EXACT(metadata!H165,"meters"))</f>
        <v>0</v>
      </c>
      <c r="AT165" t="b">
        <f>AND(IF(metadata!I165="",FALSE,TRUE),OR(EXACT(metadata!I165,"Host-associated"),EXACT(metadata!I165,"Free-living")))</f>
        <v>0</v>
      </c>
      <c r="AU165" t="b">
        <f>AND(IF(metadata!J165="",FALSE,TRUE),OR(EXACT(metadata!J165,"Animal"),EXACT(metadata!J165,"Fungus"),EXACT(metadata!J165,"Plant"),EXACT(metadata!J165,"Saline"),EXACT(metadata!J165,"Non-saline")))</f>
        <v>0</v>
      </c>
      <c r="AV165" t="b">
        <f>AND(IF(metadata!K165="",FALSE,TRUE),OR(EXACT(metadata!K165,"Plant secretion"),EXACT(metadata!K165,"Plant rhizosphere"),EXACT(metadata!K165,"Plant surface"),EXACT(metadata!K165,"Plant corpus"),EXACT(metadata!K165,"Fungus surface"),EXACT(metadata!K165,"Fungus corpus"),EXACT(metadata!K165,"Animal surface"),EXACT(metadata!K165,"Animal proximal gut"),EXACT(metadata!K165,"Animal corpus"),EXACT(metadata!K165,"Animal distal gut"),EXACT(metadata!K165,"Animal secretion"),EXACT(metadata!K165,"Sub-surface (non-saline)"),EXACT(metadata!K165,"Surface (non-saline)"),EXACT(metadata!K165,"Water (non-saline)"),EXACT(metadata!K165,"Soil (non-saline)"),EXACT(metadata!K165,"Aerosol (non-saline)"),EXACT(metadata!K165,"Sediment (non-saline)"),EXACT(metadata!K165,"Surface (saline)"),EXACT(metadata!K165,"Water (saline)"),EXACT(metadata!K165,"Hypersaline (saline)"),EXACT(metadata!K165,"Aerosol (saline)"),EXACT(metadata!K165,"Sediment (saline)")))</f>
        <v>0</v>
      </c>
      <c r="AW165" t="b">
        <f>IF(metadata!L165="",FALSE,TRUE)</f>
        <v>0</v>
      </c>
      <c r="AX165" t="b">
        <f>IF(metadata!M165="",FALSE,TRUE)</f>
        <v>0</v>
      </c>
      <c r="AY165" t="b">
        <f>IF(metadata!N165="",FALSE,TRUE)</f>
        <v>0</v>
      </c>
      <c r="AZ165" t="b">
        <f>OR(AND(IF(metadata!O165="",FALSE,TRUE),OR(EXACT(metadata!O165,"missing: not collected"),EXACT(metadata!O165,"missing: not provided"),EXACT(metadata!O165,"missing: restricted access"))),AND(IF(metadata!O165="",FALSE,TRUE),OR(EXACT(metadata!O165,"air"),EXACT(metadata!O165,"built environment"),EXACT(metadata!O165,"host-associated"),EXACT(metadata!O165,"human-associated"),EXACT(metadata!O165,"human-skin"),EXACT(metadata!O165,"human-oral"),EXACT(metadata!O165,"human-gut"),EXACT(metadata!O165,"human-vaginal"),EXACT(metadata!O165,"microbial mat/biofilm"),EXACT(metadata!O165,"misc environment"),EXACT(metadata!O165,"plant-associated"),EXACT(metadata!O165,"sediment"),EXACT(metadata!O165,"soil"),EXACT(metadata!O165,"wastewater/sludge"),EXACT(metadata!O165,"water"))))</f>
        <v>0</v>
      </c>
      <c r="BA165" t="b">
        <f>IF(metadata!P165="",FALSE,TRUE)</f>
        <v>0</v>
      </c>
      <c r="BB165" t="b">
        <f>IF(metadata!Q165="",FALSE,TRUE)</f>
        <v>0</v>
      </c>
      <c r="BC165" t="b">
        <f>OR(AND(IF(metadata!R165="",FALSE,TRUE),OR(EXACT(metadata!R165,"missing: not collected"),EXACT(metadata!R165,"missing: not provided"),EXACT(metadata!R165,"missing: restricted access"))),AND(IF(metadata!R165="",FALSE,ISNUMBER(VALUE(metadata!R165))),metadata!R165&gt;=-90,metadata!R165&lt;=90))</f>
        <v>0</v>
      </c>
      <c r="BD165" t="b">
        <f>AND(IF(metadata!S165="",FALSE,TRUE),EXACT(metadata!S165,"Decimal degrees"))</f>
        <v>0</v>
      </c>
      <c r="BE165" t="b">
        <f>OR(AND(IF(metadata!T165="",FALSE,TRUE),OR(EXACT(metadata!T165,"missing: not collected"),EXACT(metadata!T165,"missing: not provided"),EXACT(metadata!T165,"missing: restricted access"))),AND(IF(metadata!T165="",FALSE,ISNUMBER(VALUE(metadata!T165))),metadata!T165&gt;=-180,metadata!T165&lt;=180))</f>
        <v>0</v>
      </c>
      <c r="BF165" t="b">
        <f>AND(IF(metadata!U165="",FALSE,TRUE),EXACT(metadata!U165,"Decimal degrees"))</f>
        <v>0</v>
      </c>
      <c r="BG165" t="b">
        <f>IF(metadata!V165="",FALSE,TRUE)</f>
        <v>0</v>
      </c>
      <c r="BH165" t="b">
        <f>OR(AND(IF(metadata!W165="",FALSE,TRUE),OR(EXACT(metadata!W165,"missing: not collected"),EXACT(metadata!W165,"missing: not provided"),EXACT(metadata!W165,"missing: restricted access"))),AND(IF(metadata!W165="",FALSE,TRUE),OR(EXACT(metadata!W165,"TRUE"),EXACT(metadata!W165,"FALSE"))))</f>
        <v>0</v>
      </c>
      <c r="BI165" t="b">
        <f>AND(IF(metadata!X165="",FALSE,TRUE),EXACT(metadata!X165,"other"))</f>
        <v>0</v>
      </c>
      <c r="BJ165" t="b">
        <f>IF(metadata!Y165="",FALSE,TRUE)</f>
        <v>0</v>
      </c>
      <c r="BK165" t="b">
        <f>OR(AND(IF(metadata!Z165="",FALSE,TRUE),OR(EXACT(metadata!Z165,"missing: not collected"),EXACT(metadata!Z165,"missing: not provided"))),AND(IF(metadata!Z165="",FALSE,IF(ISERROR(INT(metadata!Z165)),FALSE,INT(metadata!Z165)=metadata!Z165)),metadata!Z165&gt;0))</f>
        <v>0</v>
      </c>
      <c r="BL165" t="b">
        <f>AND(IF(metadata!AA165="",FALSE,TRUE),EXACT(metadata!AA165,"Not applicable"))</f>
        <v>0</v>
      </c>
      <c r="BM165" t="b">
        <f>IF(metadata!AB165="",FALSE,TRUE)</f>
        <v>0</v>
      </c>
    </row>
    <row r="166" spans="1:65" x14ac:dyDescent="0.2">
      <c r="A166" s="5" t="str">
        <f ca="1">IF(B166=" "," ",HYPERLINK(CONCATENATE("#metadata!",ADDRESS(INDEX($AH$2:$AH$1001,MATCH(ROWS($AF$2:AF166),$AF$2:$AF$1001,0),0),1)),INDEX($AK$2:$AK$1001,MATCH(ROWS($AF$2:AF166),$AF$2:$AF$1001,0),0)))</f>
        <v xml:space="preserve"> </v>
      </c>
      <c r="B166" s="4" t="str">
        <f ca="1">IF(OR(INDEX($AG$2:$AG$1001,MATCH(ROWS($AF$2:AF166),$AF$2:$AF$1001,0),1)&gt;=100000,INDEX($AM$1005:$BM$1005,1,MATCH(COLUMNS($AM$1006:AM1006),$AM$1006:$BM$1006,0))&gt;=100000), " ",IF(INDEX($AM$2:$BM$1001,MATCH(ROWS($AF$2:AF166),$AF$2:$AF$1001,0),MATCH(COLUMNS($AM$1006:AM1006),$AM$1006:$BM$1006,0)), HYPERLINK("#",""), HYPERLINK(CONCATENATE("#metadata!", ADDRESS(INDEX($AH$2:$AH$1001,MATCH(ROWS($AF$2:AF166),$AF$2:$AF$1001,0),0), INDEX($AM$1004:$BM$1004,1,MATCH(COLUMNS($AM$1006:AM1006),$AM$1006:$BM$1006,0)))),"Fix")))</f>
        <v xml:space="preserve"> </v>
      </c>
      <c r="C166" s="4" t="str">
        <f ca="1">IF(OR(INDEX($AG$2:$AG$1001,MATCH(ROWS($AF$2:AF166),$AF$2:$AF$1001,0),1)&gt;=100000,INDEX($AM$1005:$BM$1005,1,MATCH(COLUMNS($AM$1006:AN1006),$AM$1006:$BM$1006,0))&gt;=100000), " ",IF(INDEX($AM$2:$BM$1001,MATCH(ROWS($AF$2:AF166),$AF$2:$AF$1001,0),MATCH(COLUMNS($AM$1006:AN1006),$AM$1006:$BM$1006,0)), HYPERLINK("#",""), HYPERLINK(CONCATENATE("#metadata!", ADDRESS(INDEX($AH$2:$AH$1001,MATCH(ROWS($AF$2:AF166),$AF$2:$AF$1001,0),0), INDEX($AM$1004:$BM$1004,1,MATCH(COLUMNS($AM$1006:AN1006),$AM$1006:$BM$1006,0)))),"Fix")))</f>
        <v xml:space="preserve"> </v>
      </c>
      <c r="D166" s="4" t="str">
        <f ca="1">IF(OR(INDEX($AG$2:$AG$1001,MATCH(ROWS($AF$2:AF166),$AF$2:$AF$1001,0),1)&gt;=100000,INDEX($AM$1005:$BM$1005,1,MATCH(COLUMNS($AM$1006:AO1006),$AM$1006:$BM$1006,0))&gt;=100000), " ",IF(INDEX($AM$2:$BM$1001,MATCH(ROWS($AF$2:AF166),$AF$2:$AF$1001,0),MATCH(COLUMNS($AM$1006:AO1006),$AM$1006:$BM$1006,0)), HYPERLINK("#",""), HYPERLINK(CONCATENATE("#metadata!", ADDRESS(INDEX($AH$2:$AH$1001,MATCH(ROWS($AF$2:AF166),$AF$2:$AF$1001,0),0), INDEX($AM$1004:$BM$1004,1,MATCH(COLUMNS($AM$1006:AO1006),$AM$1006:$BM$1006,0)))),"Fix")))</f>
        <v xml:space="preserve"> </v>
      </c>
      <c r="E166" s="4" t="str">
        <f ca="1">IF(OR(INDEX($AG$2:$AG$1001,MATCH(ROWS($AF$2:AF166),$AF$2:$AF$1001,0),1)&gt;=100000,INDEX($AM$1005:$BM$1005,1,MATCH(COLUMNS($AM$1006:AP1006),$AM$1006:$BM$1006,0))&gt;=100000), " ",IF(INDEX($AM$2:$BM$1001,MATCH(ROWS($AF$2:AF166),$AF$2:$AF$1001,0),MATCH(COLUMNS($AM$1006:AP1006),$AM$1006:$BM$1006,0)), HYPERLINK("#",""), HYPERLINK(CONCATENATE("#metadata!", ADDRESS(INDEX($AH$2:$AH$1001,MATCH(ROWS($AF$2:AF166),$AF$2:$AF$1001,0),0), INDEX($AM$1004:$BM$1004,1,MATCH(COLUMNS($AM$1006:AP1006),$AM$1006:$BM$1006,0)))),"Fix")))</f>
        <v xml:space="preserve"> </v>
      </c>
      <c r="F166" s="4" t="str">
        <f ca="1">IF(OR(INDEX($AG$2:$AG$1001,MATCH(ROWS($AF$2:AF166),$AF$2:$AF$1001,0),1)&gt;=100000,INDEX($AM$1005:$BM$1005,1,MATCH(COLUMNS($AM$1006:AQ1006),$AM$1006:$BM$1006,0))&gt;=100000), " ",IF(INDEX($AM$2:$BM$1001,MATCH(ROWS($AF$2:AF166),$AF$2:$AF$1001,0),MATCH(COLUMNS($AM$1006:AQ1006),$AM$1006:$BM$1006,0)), HYPERLINK("#",""), HYPERLINK(CONCATENATE("#metadata!", ADDRESS(INDEX($AH$2:$AH$1001,MATCH(ROWS($AF$2:AF166),$AF$2:$AF$1001,0),0), INDEX($AM$1004:$BM$1004,1,MATCH(COLUMNS($AM$1006:AQ1006),$AM$1006:$BM$1006,0)))),"Fix")))</f>
        <v xml:space="preserve"> </v>
      </c>
      <c r="G166" s="4" t="str">
        <f ca="1">IF(OR(INDEX($AG$2:$AG$1001,MATCH(ROWS($AF$2:AF166),$AF$2:$AF$1001,0),1)&gt;=100000,INDEX($AM$1005:$BM$1005,1,MATCH(COLUMNS($AM$1006:AR1006),$AM$1006:$BM$1006,0))&gt;=100000), " ",IF(INDEX($AM$2:$BM$1001,MATCH(ROWS($AF$2:AF166),$AF$2:$AF$1001,0),MATCH(COLUMNS($AM$1006:AR1006),$AM$1006:$BM$1006,0)), HYPERLINK("#",""), HYPERLINK(CONCATENATE("#metadata!", ADDRESS(INDEX($AH$2:$AH$1001,MATCH(ROWS($AF$2:AF166),$AF$2:$AF$1001,0),0), INDEX($AM$1004:$BM$1004,1,MATCH(COLUMNS($AM$1006:AR1006),$AM$1006:$BM$1006,0)))),"Fix")))</f>
        <v xml:space="preserve"> </v>
      </c>
      <c r="H166" s="4" t="str">
        <f ca="1">IF(OR(INDEX($AG$2:$AG$1001,MATCH(ROWS($AF$2:AF166),$AF$2:$AF$1001,0),1)&gt;=100000,INDEX($AM$1005:$BM$1005,1,MATCH(COLUMNS($AM$1006:AS1006),$AM$1006:$BM$1006,0))&gt;=100000), " ",IF(INDEX($AM$2:$BM$1001,MATCH(ROWS($AF$2:AF166),$AF$2:$AF$1001,0),MATCH(COLUMNS($AM$1006:AS1006),$AM$1006:$BM$1006,0)), HYPERLINK("#",""), HYPERLINK(CONCATENATE("#metadata!", ADDRESS(INDEX($AH$2:$AH$1001,MATCH(ROWS($AF$2:AF166),$AF$2:$AF$1001,0),0), INDEX($AM$1004:$BM$1004,1,MATCH(COLUMNS($AM$1006:AS1006),$AM$1006:$BM$1006,0)))),"Fix")))</f>
        <v xml:space="preserve"> </v>
      </c>
      <c r="I166" s="4" t="str">
        <f ca="1">IF(OR(INDEX($AG$2:$AG$1001,MATCH(ROWS($AF$2:AF166),$AF$2:$AF$1001,0),1)&gt;=100000,INDEX($AM$1005:$BM$1005,1,MATCH(COLUMNS($AM$1006:AT1006),$AM$1006:$BM$1006,0))&gt;=100000), " ",IF(INDEX($AM$2:$BM$1001,MATCH(ROWS($AF$2:AF166),$AF$2:$AF$1001,0),MATCH(COLUMNS($AM$1006:AT1006),$AM$1006:$BM$1006,0)), HYPERLINK("#",""), HYPERLINK(CONCATENATE("#metadata!", ADDRESS(INDEX($AH$2:$AH$1001,MATCH(ROWS($AF$2:AF166),$AF$2:$AF$1001,0),0), INDEX($AM$1004:$BM$1004,1,MATCH(COLUMNS($AM$1006:AT1006),$AM$1006:$BM$1006,0)))),"Fix")))</f>
        <v xml:space="preserve"> </v>
      </c>
      <c r="J166" s="4" t="str">
        <f ca="1">IF(OR(INDEX($AG$2:$AG$1001,MATCH(ROWS($AF$2:AF166),$AF$2:$AF$1001,0),1)&gt;=100000,INDEX($AM$1005:$BM$1005,1,MATCH(COLUMNS($AM$1006:AU1006),$AM$1006:$BM$1006,0))&gt;=100000), " ",IF(INDEX($AM$2:$BM$1001,MATCH(ROWS($AF$2:AF166),$AF$2:$AF$1001,0),MATCH(COLUMNS($AM$1006:AU1006),$AM$1006:$BM$1006,0)), HYPERLINK("#",""), HYPERLINK(CONCATENATE("#metadata!", ADDRESS(INDEX($AH$2:$AH$1001,MATCH(ROWS($AF$2:AF166),$AF$2:$AF$1001,0),0), INDEX($AM$1004:$BM$1004,1,MATCH(COLUMNS($AM$1006:AU1006),$AM$1006:$BM$1006,0)))),"Fix")))</f>
        <v xml:space="preserve"> </v>
      </c>
      <c r="K166" s="4" t="str">
        <f ca="1">IF(OR(INDEX($AG$2:$AG$1001,MATCH(ROWS($AF$2:AF166),$AF$2:$AF$1001,0),1)&gt;=100000,INDEX($AM$1005:$BM$1005,1,MATCH(COLUMNS($AM$1006:AV1006),$AM$1006:$BM$1006,0))&gt;=100000), " ",IF(INDEX($AM$2:$BM$1001,MATCH(ROWS($AF$2:AF166),$AF$2:$AF$1001,0),MATCH(COLUMNS($AM$1006:AV1006),$AM$1006:$BM$1006,0)), HYPERLINK("#",""), HYPERLINK(CONCATENATE("#metadata!", ADDRESS(INDEX($AH$2:$AH$1001,MATCH(ROWS($AF$2:AF166),$AF$2:$AF$1001,0),0), INDEX($AM$1004:$BM$1004,1,MATCH(COLUMNS($AM$1006:AV1006),$AM$1006:$BM$1006,0)))),"Fix")))</f>
        <v xml:space="preserve"> </v>
      </c>
      <c r="L166" s="4" t="str">
        <f ca="1">IF(OR(INDEX($AG$2:$AG$1001,MATCH(ROWS($AF$2:AF166),$AF$2:$AF$1001,0),1)&gt;=100000,INDEX($AM$1005:$BM$1005,1,MATCH(COLUMNS($AM$1006:AW1006),$AM$1006:$BM$1006,0))&gt;=100000), " ",IF(INDEX($AM$2:$BM$1001,MATCH(ROWS($AF$2:AF166),$AF$2:$AF$1001,0),MATCH(COLUMNS($AM$1006:AW1006),$AM$1006:$BM$1006,0)), HYPERLINK("#",""), HYPERLINK(CONCATENATE("#metadata!", ADDRESS(INDEX($AH$2:$AH$1001,MATCH(ROWS($AF$2:AF166),$AF$2:$AF$1001,0),0), INDEX($AM$1004:$BM$1004,1,MATCH(COLUMNS($AM$1006:AW1006),$AM$1006:$BM$1006,0)))),"Fix")))</f>
        <v xml:space="preserve"> </v>
      </c>
      <c r="M166" s="4" t="str">
        <f ca="1">IF(OR(INDEX($AG$2:$AG$1001,MATCH(ROWS($AF$2:AF166),$AF$2:$AF$1001,0),1)&gt;=100000,INDEX($AM$1005:$BM$1005,1,MATCH(COLUMNS($AM$1006:AX1006),$AM$1006:$BM$1006,0))&gt;=100000), " ",IF(INDEX($AM$2:$BM$1001,MATCH(ROWS($AF$2:AF166),$AF$2:$AF$1001,0),MATCH(COLUMNS($AM$1006:AX1006),$AM$1006:$BM$1006,0)), HYPERLINK("#",""), HYPERLINK(CONCATENATE("#metadata!", ADDRESS(INDEX($AH$2:$AH$1001,MATCH(ROWS($AF$2:AF166),$AF$2:$AF$1001,0),0), INDEX($AM$1004:$BM$1004,1,MATCH(COLUMNS($AM$1006:AX1006),$AM$1006:$BM$1006,0)))),"Fix")))</f>
        <v xml:space="preserve"> </v>
      </c>
      <c r="N166" s="4" t="str">
        <f ca="1">IF(OR(INDEX($AG$2:$AG$1001,MATCH(ROWS($AF$2:AF166),$AF$2:$AF$1001,0),1)&gt;=100000,INDEX($AM$1005:$BM$1005,1,MATCH(COLUMNS($AM$1006:AY1006),$AM$1006:$BM$1006,0))&gt;=100000), " ",IF(INDEX($AM$2:$BM$1001,MATCH(ROWS($AF$2:AF166),$AF$2:$AF$1001,0),MATCH(COLUMNS($AM$1006:AY1006),$AM$1006:$BM$1006,0)), HYPERLINK("#",""), HYPERLINK(CONCATENATE("#metadata!", ADDRESS(INDEX($AH$2:$AH$1001,MATCH(ROWS($AF$2:AF166),$AF$2:$AF$1001,0),0), INDEX($AM$1004:$BM$1004,1,MATCH(COLUMNS($AM$1006:AY1006),$AM$1006:$BM$1006,0)))),"Fix")))</f>
        <v xml:space="preserve"> </v>
      </c>
      <c r="O166" s="4" t="str">
        <f ca="1">IF(OR(INDEX($AG$2:$AG$1001,MATCH(ROWS($AF$2:AF166),$AF$2:$AF$1001,0),1)&gt;=100000,INDEX($AM$1005:$BM$1005,1,MATCH(COLUMNS($AM$1006:AZ1006),$AM$1006:$BM$1006,0))&gt;=100000), " ",IF(INDEX($AM$2:$BM$1001,MATCH(ROWS($AF$2:AF166),$AF$2:$AF$1001,0),MATCH(COLUMNS($AM$1006:AZ1006),$AM$1006:$BM$1006,0)), HYPERLINK("#",""), HYPERLINK(CONCATENATE("#metadata!", ADDRESS(INDEX($AH$2:$AH$1001,MATCH(ROWS($AF$2:AF166),$AF$2:$AF$1001,0),0), INDEX($AM$1004:$BM$1004,1,MATCH(COLUMNS($AM$1006:AZ1006),$AM$1006:$BM$1006,0)))),"Fix")))</f>
        <v xml:space="preserve"> </v>
      </c>
      <c r="P166" s="4" t="str">
        <f ca="1">IF(OR(INDEX($AG$2:$AG$1001,MATCH(ROWS($AF$2:AF166),$AF$2:$AF$1001,0),1)&gt;=100000,INDEX($AM$1005:$BM$1005,1,MATCH(COLUMNS($AM$1006:BA1006),$AM$1006:$BM$1006,0))&gt;=100000), " ",IF(INDEX($AM$2:$BM$1001,MATCH(ROWS($AF$2:AF166),$AF$2:$AF$1001,0),MATCH(COLUMNS($AM$1006:BA1006),$AM$1006:$BM$1006,0)), HYPERLINK("#",""), HYPERLINK(CONCATENATE("#metadata!", ADDRESS(INDEX($AH$2:$AH$1001,MATCH(ROWS($AF$2:AF166),$AF$2:$AF$1001,0),0), INDEX($AM$1004:$BM$1004,1,MATCH(COLUMNS($AM$1006:BA1006),$AM$1006:$BM$1006,0)))),"Fix")))</f>
        <v xml:space="preserve"> </v>
      </c>
      <c r="Q166" s="4" t="str">
        <f ca="1">IF(OR(INDEX($AG$2:$AG$1001,MATCH(ROWS($AF$2:AF166),$AF$2:$AF$1001,0),1)&gt;=100000,INDEX($AM$1005:$BM$1005,1,MATCH(COLUMNS($AM$1006:BB1006),$AM$1006:$BM$1006,0))&gt;=100000), " ",IF(INDEX($AM$2:$BM$1001,MATCH(ROWS($AF$2:AF166),$AF$2:$AF$1001,0),MATCH(COLUMNS($AM$1006:BB1006),$AM$1006:$BM$1006,0)), HYPERLINK("#",""), HYPERLINK(CONCATENATE("#metadata!", ADDRESS(INDEX($AH$2:$AH$1001,MATCH(ROWS($AF$2:AF166),$AF$2:$AF$1001,0),0), INDEX($AM$1004:$BM$1004,1,MATCH(COLUMNS($AM$1006:BB1006),$AM$1006:$BM$1006,0)))),"Fix")))</f>
        <v xml:space="preserve"> </v>
      </c>
      <c r="R166" s="4" t="str">
        <f ca="1">IF(OR(INDEX($AG$2:$AG$1001,MATCH(ROWS($AF$2:AF166),$AF$2:$AF$1001,0),1)&gt;=100000,INDEX($AM$1005:$BM$1005,1,MATCH(COLUMNS($AM$1006:BC1006),$AM$1006:$BM$1006,0))&gt;=100000), " ",IF(INDEX($AM$2:$BM$1001,MATCH(ROWS($AF$2:AF166),$AF$2:$AF$1001,0),MATCH(COLUMNS($AM$1006:BC1006),$AM$1006:$BM$1006,0)), HYPERLINK("#",""), HYPERLINK(CONCATENATE("#metadata!", ADDRESS(INDEX($AH$2:$AH$1001,MATCH(ROWS($AF$2:AF166),$AF$2:$AF$1001,0),0), INDEX($AM$1004:$BM$1004,1,MATCH(COLUMNS($AM$1006:BC1006),$AM$1006:$BM$1006,0)))),"Fix")))</f>
        <v xml:space="preserve"> </v>
      </c>
      <c r="S166" s="4" t="str">
        <f ca="1">IF(OR(INDEX($AG$2:$AG$1001,MATCH(ROWS($AF$2:AF166),$AF$2:$AF$1001,0),1)&gt;=100000,INDEX($AM$1005:$BM$1005,1,MATCH(COLUMNS($AM$1006:BD1006),$AM$1006:$BM$1006,0))&gt;=100000), " ",IF(INDEX($AM$2:$BM$1001,MATCH(ROWS($AF$2:AF166),$AF$2:$AF$1001,0),MATCH(COLUMNS($AM$1006:BD1006),$AM$1006:$BM$1006,0)), HYPERLINK("#",""), HYPERLINK(CONCATENATE("#metadata!", ADDRESS(INDEX($AH$2:$AH$1001,MATCH(ROWS($AF$2:AF166),$AF$2:$AF$1001,0),0), INDEX($AM$1004:$BM$1004,1,MATCH(COLUMNS($AM$1006:BD1006),$AM$1006:$BM$1006,0)))),"Fix")))</f>
        <v xml:space="preserve"> </v>
      </c>
      <c r="T166" s="4" t="str">
        <f ca="1">IF(OR(INDEX($AG$2:$AG$1001,MATCH(ROWS($AF$2:AF166),$AF$2:$AF$1001,0),1)&gt;=100000,INDEX($AM$1005:$BM$1005,1,MATCH(COLUMNS($AM$1006:BE1006),$AM$1006:$BM$1006,0))&gt;=100000), " ",IF(INDEX($AM$2:$BM$1001,MATCH(ROWS($AF$2:AF166),$AF$2:$AF$1001,0),MATCH(COLUMNS($AM$1006:BE1006),$AM$1006:$BM$1006,0)), HYPERLINK("#",""), HYPERLINK(CONCATENATE("#metadata!", ADDRESS(INDEX($AH$2:$AH$1001,MATCH(ROWS($AF$2:AF166),$AF$2:$AF$1001,0),0), INDEX($AM$1004:$BM$1004,1,MATCH(COLUMNS($AM$1006:BE1006),$AM$1006:$BM$1006,0)))),"Fix")))</f>
        <v xml:space="preserve"> </v>
      </c>
      <c r="U166" s="4" t="str">
        <f ca="1">IF(OR(INDEX($AG$2:$AG$1001,MATCH(ROWS($AF$2:AF166),$AF$2:$AF$1001,0),1)&gt;=100000,INDEX($AM$1005:$BM$1005,1,MATCH(COLUMNS($AM$1006:BF1006),$AM$1006:$BM$1006,0))&gt;=100000), " ",IF(INDEX($AM$2:$BM$1001,MATCH(ROWS($AF$2:AF166),$AF$2:$AF$1001,0),MATCH(COLUMNS($AM$1006:BF1006),$AM$1006:$BM$1006,0)), HYPERLINK("#",""), HYPERLINK(CONCATENATE("#metadata!", ADDRESS(INDEX($AH$2:$AH$1001,MATCH(ROWS($AF$2:AF166),$AF$2:$AF$1001,0),0), INDEX($AM$1004:$BM$1004,1,MATCH(COLUMNS($AM$1006:BF1006),$AM$1006:$BM$1006,0)))),"Fix")))</f>
        <v xml:space="preserve"> </v>
      </c>
      <c r="V166" s="4" t="str">
        <f ca="1">IF(OR(INDEX($AG$2:$AG$1001,MATCH(ROWS($AF$2:AF166),$AF$2:$AF$1001,0),1)&gt;=100000,INDEX($AM$1005:$BM$1005,1,MATCH(COLUMNS($AM$1006:BG1006),$AM$1006:$BM$1006,0))&gt;=100000), " ",IF(INDEX($AM$2:$BM$1001,MATCH(ROWS($AF$2:AF166),$AF$2:$AF$1001,0),MATCH(COLUMNS($AM$1006:BG1006),$AM$1006:$BM$1006,0)), HYPERLINK("#",""), HYPERLINK(CONCATENATE("#metadata!", ADDRESS(INDEX($AH$2:$AH$1001,MATCH(ROWS($AF$2:AF166),$AF$2:$AF$1001,0),0), INDEX($AM$1004:$BM$1004,1,MATCH(COLUMNS($AM$1006:BG1006),$AM$1006:$BM$1006,0)))),"Fix")))</f>
        <v xml:space="preserve"> </v>
      </c>
      <c r="W166" s="4" t="str">
        <f ca="1">IF(OR(INDEX($AG$2:$AG$1001,MATCH(ROWS($AF$2:AF166),$AF$2:$AF$1001,0),1)&gt;=100000,INDEX($AM$1005:$BM$1005,1,MATCH(COLUMNS($AM$1006:BH1006),$AM$1006:$BM$1006,0))&gt;=100000), " ",IF(INDEX($AM$2:$BM$1001,MATCH(ROWS($AF$2:AF166),$AF$2:$AF$1001,0),MATCH(COLUMNS($AM$1006:BH1006),$AM$1006:$BM$1006,0)), HYPERLINK("#",""), HYPERLINK(CONCATENATE("#metadata!", ADDRESS(INDEX($AH$2:$AH$1001,MATCH(ROWS($AF$2:AF166),$AF$2:$AF$1001,0),0), INDEX($AM$1004:$BM$1004,1,MATCH(COLUMNS($AM$1006:BH1006),$AM$1006:$BM$1006,0)))),"Fix")))</f>
        <v xml:space="preserve"> </v>
      </c>
      <c r="X166" s="4" t="str">
        <f ca="1">IF(OR(INDEX($AG$2:$AG$1001,MATCH(ROWS($AF$2:AF166),$AF$2:$AF$1001,0),1)&gt;=100000,INDEX($AM$1005:$BM$1005,1,MATCH(COLUMNS($AM$1006:BI1006),$AM$1006:$BM$1006,0))&gt;=100000), " ",IF(INDEX($AM$2:$BM$1001,MATCH(ROWS($AF$2:AF166),$AF$2:$AF$1001,0),MATCH(COLUMNS($AM$1006:BI1006),$AM$1006:$BM$1006,0)), HYPERLINK("#",""), HYPERLINK(CONCATENATE("#metadata!", ADDRESS(INDEX($AH$2:$AH$1001,MATCH(ROWS($AF$2:AF166),$AF$2:$AF$1001,0),0), INDEX($AM$1004:$BM$1004,1,MATCH(COLUMNS($AM$1006:BI1006),$AM$1006:$BM$1006,0)))),"Fix")))</f>
        <v xml:space="preserve"> </v>
      </c>
      <c r="Y166" s="4" t="str">
        <f ca="1">IF(OR(INDEX($AG$2:$AG$1001,MATCH(ROWS($AF$2:AF166),$AF$2:$AF$1001,0),1)&gt;=100000,INDEX($AM$1005:$BM$1005,1,MATCH(COLUMNS($AM$1006:BJ1006),$AM$1006:$BM$1006,0))&gt;=100000), " ",IF(INDEX($AM$2:$BM$1001,MATCH(ROWS($AF$2:AF166),$AF$2:$AF$1001,0),MATCH(COLUMNS($AM$1006:BJ1006),$AM$1006:$BM$1006,0)), HYPERLINK("#",""), HYPERLINK(CONCATENATE("#metadata!", ADDRESS(INDEX($AH$2:$AH$1001,MATCH(ROWS($AF$2:AF166),$AF$2:$AF$1001,0),0), INDEX($AM$1004:$BM$1004,1,MATCH(COLUMNS($AM$1006:BJ1006),$AM$1006:$BM$1006,0)))),"Fix")))</f>
        <v xml:space="preserve"> </v>
      </c>
      <c r="Z166" s="4" t="str">
        <f ca="1">IF(OR(INDEX($AG$2:$AG$1001,MATCH(ROWS($AF$2:AF166),$AF$2:$AF$1001,0),1)&gt;=100000,INDEX($AM$1005:$BM$1005,1,MATCH(COLUMNS($AM$1006:BK1006),$AM$1006:$BM$1006,0))&gt;=100000), " ",IF(INDEX($AM$2:$BM$1001,MATCH(ROWS($AF$2:AF166),$AF$2:$AF$1001,0),MATCH(COLUMNS($AM$1006:BK1006),$AM$1006:$BM$1006,0)), HYPERLINK("#",""), HYPERLINK(CONCATENATE("#metadata!", ADDRESS(INDEX($AH$2:$AH$1001,MATCH(ROWS($AF$2:AF166),$AF$2:$AF$1001,0),0), INDEX($AM$1004:$BM$1004,1,MATCH(COLUMNS($AM$1006:BK1006),$AM$1006:$BM$1006,0)))),"Fix")))</f>
        <v xml:space="preserve"> </v>
      </c>
      <c r="AA166" s="4" t="str">
        <f ca="1">IF(OR(INDEX($AG$2:$AG$1001,MATCH(ROWS($AF$2:AF166),$AF$2:$AF$1001,0),1)&gt;=100000,INDEX($AM$1005:$BM$1005,1,MATCH(COLUMNS($AM$1006:BL1006),$AM$1006:$BM$1006,0))&gt;=100000), " ",IF(INDEX($AM$2:$BM$1001,MATCH(ROWS($AF$2:AF166),$AF$2:$AF$1001,0),MATCH(COLUMNS($AM$1006:BL1006),$AM$1006:$BM$1006,0)), HYPERLINK("#",""), HYPERLINK(CONCATENATE("#metadata!", ADDRESS(INDEX($AH$2:$AH$1001,MATCH(ROWS($AF$2:AF166),$AF$2:$AF$1001,0),0), INDEX($AM$1004:$BM$1004,1,MATCH(COLUMNS($AM$1006:BL1006),$AM$1006:$BM$1006,0)))),"Fix")))</f>
        <v xml:space="preserve"> </v>
      </c>
      <c r="AB166" s="4" t="str">
        <f ca="1">IF(OR(INDEX($AG$2:$AG$1001,MATCH(ROWS($AF$2:AF166),$AF$2:$AF$1001,0),1)&gt;=100000,INDEX($AM$1005:$BM$1005,1,MATCH(COLUMNS($AM$1006:BM1006),$AM$1006:$BM$1006,0))&gt;=100000), " ",IF(INDEX($AM$2:$BM$1001,MATCH(ROWS($AF$2:AF166),$AF$2:$AF$1001,0),MATCH(COLUMNS($AM$1006:BM1006),$AM$1006:$BM$1006,0)), HYPERLINK("#",""), HYPERLINK(CONCATENATE("#metadata!", ADDRESS(INDEX($AH$2:$AH$1001,MATCH(ROWS($AF$2:AF166),$AF$2:$AF$1001,0),0), INDEX($AM$1004:$BM$1004,1,MATCH(COLUMNS($AM$1006:BM1006),$AM$1006:$BM$1006,0)))),"Fix")))</f>
        <v xml:space="preserve"> </v>
      </c>
      <c r="AF166">
        <v>165</v>
      </c>
      <c r="AG166">
        <v>100166</v>
      </c>
      <c r="AH166">
        <v>166</v>
      </c>
      <c r="AI166" t="b">
        <f t="shared" si="2"/>
        <v>1</v>
      </c>
      <c r="AJ166" t="b">
        <f>COUNTBLANK(metadata!B166:AB166)=COLUMNS(metadata!B166:AB166)</f>
        <v>1</v>
      </c>
      <c r="AK166" t="str">
        <v/>
      </c>
      <c r="AM166" t="b">
        <f ca="1">AND(IF(metadata!B166="",FALSE,TRUE),COUNTIF(metadata!B:B, metadata!B166) = 1,NOT(ISERROR(SUMPRODUCT(SEARCH(MID(metadata!B166,ROW(INDIRECT("1:"&amp;LEN(metadata!B166))), 1),"0123456789abcdefghijklmnopqrstuvwxyzABCDEFGHIJKLMNOPQRSTUVWXYZ.")))))</f>
        <v>0</v>
      </c>
      <c r="AN166" t="b">
        <f ca="1">OR(AND(IF(metadata!C166="",FALSE,TRUE),OR(EXACT(metadata!C166,"missing: not collected"),EXACT(metadata!C166,"missing: not provided"),EXACT(metadata!C166,"missing: restricted access"))),AND(IF(metadata!C166="",FALSE,TRUE),AND(AND(IFERROR(INT(LEFT(metadata!C166,4))&gt;1900,FALSE),IFERROR(INT(LEFT(metadata!C166,4))&lt;=YEAR(NOW()),FALSE)), OR(MID(metadata!C166,5,1)="", AND(AND(MID(metadata!C166,5,1)="-",IFERROR(INT(MID(metadata!C166,6,1))&gt;=0,FALSE),IFERROR(INT(MID(metadata!C166,6,1))&lt;=1,FALSE),NOT(MID(metadata!C166,7,1)=""),IFERROR(INT(MID(metadata!C166,6,2))&gt;=1,FALSE),IFERROR(INT(MID(metadata!C166,6,2))&lt;=12,FALSE)), OR(MID(metadata!C166,8,1)="", AND(AND(MID(metadata!C166,8,1)="-",IFERROR(INT(MID(metadata!C166,9,1))&gt;=0,FALSE),IFERROR(INT(MID(metadata!C166,9,1))&lt;=3,FALSE),NOT(MID(metadata!C166,10,1)=""),IFERROR(INT(MID(metadata!C166,9,2))&gt;=1,FALSE),IFERROR(INT(MID(metadata!C166,9,2))&lt;=31,FALSE)), OR(MID(metadata!C166,11,1)="", AND(AND(MID(metadata!C166,11,1)=" ",IFERROR(INT(MID(metadata!C166,12,1))&gt;=0,FALSE),IFERROR(INT(MID(metadata!C166,12,1))&lt;=2,FALSE),NOT(MID(metadata!C166,13,1)=""),IFERROR(INT(MID(metadata!C166,12,2))&gt;=0,FALSE),IFERROR(INT(MID(metadata!C166,12,2))&lt;=23,FALSE)), OR(MID(metadata!C166,14,1)="", AND(AND(MID(metadata!C166,14,1)=":",IFERROR(INT(MID(metadata!C166,15,1))&gt;=0,FALSE),IFERROR(INT(MID(metadata!C166,15,1))&lt;=5,FALSE),NOT(MID(metadata!C166,16,1)=""),IFERROR(INT(MID(metadata!C166,15,2))&gt;=0,FALSE),IFERROR(INT(MID(metadata!C166,15,2))&lt;=59,FALSE)), OR(MID(metadata!C166,17,1)="", AND(AND(MID(metadata!C166,17,1)=":",IFERROR(INT(MID(metadata!C166,18,1))&gt;=0,FALSE),IFERROR(INT(MID(metadata!C166,18,1))&lt;=5,FALSE),NOT(MID(metadata!C166,19,1)=""),IFERROR(INT(MID(metadata!C166,18,2))&gt;=0,FALSE),IFERROR(INT(MID(metadata!C166,18,2))&lt;=59,FALSE)), LEN(metadata!C166)&lt;=19)))))))))))))</f>
        <v>0</v>
      </c>
      <c r="AO166" t="b">
        <f>AND(IF(metadata!D166="",FALSE,TRUE),EXACT(metadata!D166,"Not applicable"))</f>
        <v>0</v>
      </c>
      <c r="AP166" t="b">
        <f>IF(metadata!E166="",FALSE,TRUE)</f>
        <v>0</v>
      </c>
      <c r="AQ166" t="b">
        <f>OR(AND(IF(metadata!F166="",FALSE,TRUE),OR(EXACT(metadata!F166,"missing: not collected"),EXACT(metadata!F166,"missing: not provided"))),AND(IF(metadata!F166="",FALSE,TRUE),OR(EXACT(metadata!F166,"TRUE"),EXACT(metadata!F166,"FALSE"))))</f>
        <v>0</v>
      </c>
      <c r="AR166" t="b">
        <f>OR(AND(IF(metadata!G166="",FALSE,TRUE),OR(EXACT(metadata!G166,"missing: not collected"),EXACT(metadata!G166,"missing: not provided"),EXACT(metadata!G166,"missing: restricted access"))),AND(IF(metadata!G166="",FALSE,ISNUMBER(VALUE(metadata!G166))),metadata!G166&gt;=-413))</f>
        <v>0</v>
      </c>
      <c r="AS166" t="b">
        <f>AND(IF(metadata!H166="",FALSE,TRUE),EXACT(metadata!H166,"meters"))</f>
        <v>0</v>
      </c>
      <c r="AT166" t="b">
        <f>AND(IF(metadata!I166="",FALSE,TRUE),OR(EXACT(metadata!I166,"Host-associated"),EXACT(metadata!I166,"Free-living")))</f>
        <v>0</v>
      </c>
      <c r="AU166" t="b">
        <f>AND(IF(metadata!J166="",FALSE,TRUE),OR(EXACT(metadata!J166,"Animal"),EXACT(metadata!J166,"Fungus"),EXACT(metadata!J166,"Plant"),EXACT(metadata!J166,"Saline"),EXACT(metadata!J166,"Non-saline")))</f>
        <v>0</v>
      </c>
      <c r="AV166" t="b">
        <f>AND(IF(metadata!K166="",FALSE,TRUE),OR(EXACT(metadata!K166,"Plant secretion"),EXACT(metadata!K166,"Plant rhizosphere"),EXACT(metadata!K166,"Plant surface"),EXACT(metadata!K166,"Plant corpus"),EXACT(metadata!K166,"Fungus surface"),EXACT(metadata!K166,"Fungus corpus"),EXACT(metadata!K166,"Animal surface"),EXACT(metadata!K166,"Animal proximal gut"),EXACT(metadata!K166,"Animal corpus"),EXACT(metadata!K166,"Animal distal gut"),EXACT(metadata!K166,"Animal secretion"),EXACT(metadata!K166,"Sub-surface (non-saline)"),EXACT(metadata!K166,"Surface (non-saline)"),EXACT(metadata!K166,"Water (non-saline)"),EXACT(metadata!K166,"Soil (non-saline)"),EXACT(metadata!K166,"Aerosol (non-saline)"),EXACT(metadata!K166,"Sediment (non-saline)"),EXACT(metadata!K166,"Surface (saline)"),EXACT(metadata!K166,"Water (saline)"),EXACT(metadata!K166,"Hypersaline (saline)"),EXACT(metadata!K166,"Aerosol (saline)"),EXACT(metadata!K166,"Sediment (saline)")))</f>
        <v>0</v>
      </c>
      <c r="AW166" t="b">
        <f>IF(metadata!L166="",FALSE,TRUE)</f>
        <v>0</v>
      </c>
      <c r="AX166" t="b">
        <f>IF(metadata!M166="",FALSE,TRUE)</f>
        <v>0</v>
      </c>
      <c r="AY166" t="b">
        <f>IF(metadata!N166="",FALSE,TRUE)</f>
        <v>0</v>
      </c>
      <c r="AZ166" t="b">
        <f>OR(AND(IF(metadata!O166="",FALSE,TRUE),OR(EXACT(metadata!O166,"missing: not collected"),EXACT(metadata!O166,"missing: not provided"),EXACT(metadata!O166,"missing: restricted access"))),AND(IF(metadata!O166="",FALSE,TRUE),OR(EXACT(metadata!O166,"air"),EXACT(metadata!O166,"built environment"),EXACT(metadata!O166,"host-associated"),EXACT(metadata!O166,"human-associated"),EXACT(metadata!O166,"human-skin"),EXACT(metadata!O166,"human-oral"),EXACT(metadata!O166,"human-gut"),EXACT(metadata!O166,"human-vaginal"),EXACT(metadata!O166,"microbial mat/biofilm"),EXACT(metadata!O166,"misc environment"),EXACT(metadata!O166,"plant-associated"),EXACT(metadata!O166,"sediment"),EXACT(metadata!O166,"soil"),EXACT(metadata!O166,"wastewater/sludge"),EXACT(metadata!O166,"water"))))</f>
        <v>0</v>
      </c>
      <c r="BA166" t="b">
        <f>IF(metadata!P166="",FALSE,TRUE)</f>
        <v>0</v>
      </c>
      <c r="BB166" t="b">
        <f>IF(metadata!Q166="",FALSE,TRUE)</f>
        <v>0</v>
      </c>
      <c r="BC166" t="b">
        <f>OR(AND(IF(metadata!R166="",FALSE,TRUE),OR(EXACT(metadata!R166,"missing: not collected"),EXACT(metadata!R166,"missing: not provided"),EXACT(metadata!R166,"missing: restricted access"))),AND(IF(metadata!R166="",FALSE,ISNUMBER(VALUE(metadata!R166))),metadata!R166&gt;=-90,metadata!R166&lt;=90))</f>
        <v>0</v>
      </c>
      <c r="BD166" t="b">
        <f>AND(IF(metadata!S166="",FALSE,TRUE),EXACT(metadata!S166,"Decimal degrees"))</f>
        <v>0</v>
      </c>
      <c r="BE166" t="b">
        <f>OR(AND(IF(metadata!T166="",FALSE,TRUE),OR(EXACT(metadata!T166,"missing: not collected"),EXACT(metadata!T166,"missing: not provided"),EXACT(metadata!T166,"missing: restricted access"))),AND(IF(metadata!T166="",FALSE,ISNUMBER(VALUE(metadata!T166))),metadata!T166&gt;=-180,metadata!T166&lt;=180))</f>
        <v>0</v>
      </c>
      <c r="BF166" t="b">
        <f>AND(IF(metadata!U166="",FALSE,TRUE),EXACT(metadata!U166,"Decimal degrees"))</f>
        <v>0</v>
      </c>
      <c r="BG166" t="b">
        <f>IF(metadata!V166="",FALSE,TRUE)</f>
        <v>0</v>
      </c>
      <c r="BH166" t="b">
        <f>OR(AND(IF(metadata!W166="",FALSE,TRUE),OR(EXACT(metadata!W166,"missing: not collected"),EXACT(metadata!W166,"missing: not provided"),EXACT(metadata!W166,"missing: restricted access"))),AND(IF(metadata!W166="",FALSE,TRUE),OR(EXACT(metadata!W166,"TRUE"),EXACT(metadata!W166,"FALSE"))))</f>
        <v>0</v>
      </c>
      <c r="BI166" t="b">
        <f>AND(IF(metadata!X166="",FALSE,TRUE),EXACT(metadata!X166,"other"))</f>
        <v>0</v>
      </c>
      <c r="BJ166" t="b">
        <f>IF(metadata!Y166="",FALSE,TRUE)</f>
        <v>0</v>
      </c>
      <c r="BK166" t="b">
        <f>OR(AND(IF(metadata!Z166="",FALSE,TRUE),OR(EXACT(metadata!Z166,"missing: not collected"),EXACT(metadata!Z166,"missing: not provided"))),AND(IF(metadata!Z166="",FALSE,IF(ISERROR(INT(metadata!Z166)),FALSE,INT(metadata!Z166)=metadata!Z166)),metadata!Z166&gt;0))</f>
        <v>0</v>
      </c>
      <c r="BL166" t="b">
        <f>AND(IF(metadata!AA166="",FALSE,TRUE),EXACT(metadata!AA166,"Not applicable"))</f>
        <v>0</v>
      </c>
      <c r="BM166" t="b">
        <f>IF(metadata!AB166="",FALSE,TRUE)</f>
        <v>0</v>
      </c>
    </row>
    <row r="167" spans="1:65" x14ac:dyDescent="0.2">
      <c r="A167" s="5" t="str">
        <f ca="1">IF(B167=" "," ",HYPERLINK(CONCATENATE("#metadata!",ADDRESS(INDEX($AH$2:$AH$1001,MATCH(ROWS($AF$2:AF167),$AF$2:$AF$1001,0),0),1)),INDEX($AK$2:$AK$1001,MATCH(ROWS($AF$2:AF167),$AF$2:$AF$1001,0),0)))</f>
        <v xml:space="preserve"> </v>
      </c>
      <c r="B167" s="4" t="str">
        <f ca="1">IF(OR(INDEX($AG$2:$AG$1001,MATCH(ROWS($AF$2:AF167),$AF$2:$AF$1001,0),1)&gt;=100000,INDEX($AM$1005:$BM$1005,1,MATCH(COLUMNS($AM$1006:AM1006),$AM$1006:$BM$1006,0))&gt;=100000), " ",IF(INDEX($AM$2:$BM$1001,MATCH(ROWS($AF$2:AF167),$AF$2:$AF$1001,0),MATCH(COLUMNS($AM$1006:AM1006),$AM$1006:$BM$1006,0)), HYPERLINK("#",""), HYPERLINK(CONCATENATE("#metadata!", ADDRESS(INDEX($AH$2:$AH$1001,MATCH(ROWS($AF$2:AF167),$AF$2:$AF$1001,0),0), INDEX($AM$1004:$BM$1004,1,MATCH(COLUMNS($AM$1006:AM1006),$AM$1006:$BM$1006,0)))),"Fix")))</f>
        <v xml:space="preserve"> </v>
      </c>
      <c r="C167" s="4" t="str">
        <f ca="1">IF(OR(INDEX($AG$2:$AG$1001,MATCH(ROWS($AF$2:AF167),$AF$2:$AF$1001,0),1)&gt;=100000,INDEX($AM$1005:$BM$1005,1,MATCH(COLUMNS($AM$1006:AN1006),$AM$1006:$BM$1006,0))&gt;=100000), " ",IF(INDEX($AM$2:$BM$1001,MATCH(ROWS($AF$2:AF167),$AF$2:$AF$1001,0),MATCH(COLUMNS($AM$1006:AN1006),$AM$1006:$BM$1006,0)), HYPERLINK("#",""), HYPERLINK(CONCATENATE("#metadata!", ADDRESS(INDEX($AH$2:$AH$1001,MATCH(ROWS($AF$2:AF167),$AF$2:$AF$1001,0),0), INDEX($AM$1004:$BM$1004,1,MATCH(COLUMNS($AM$1006:AN1006),$AM$1006:$BM$1006,0)))),"Fix")))</f>
        <v xml:space="preserve"> </v>
      </c>
      <c r="D167" s="4" t="str">
        <f ca="1">IF(OR(INDEX($AG$2:$AG$1001,MATCH(ROWS($AF$2:AF167),$AF$2:$AF$1001,0),1)&gt;=100000,INDEX($AM$1005:$BM$1005,1,MATCH(COLUMNS($AM$1006:AO1006),$AM$1006:$BM$1006,0))&gt;=100000), " ",IF(INDEX($AM$2:$BM$1001,MATCH(ROWS($AF$2:AF167),$AF$2:$AF$1001,0),MATCH(COLUMNS($AM$1006:AO1006),$AM$1006:$BM$1006,0)), HYPERLINK("#",""), HYPERLINK(CONCATENATE("#metadata!", ADDRESS(INDEX($AH$2:$AH$1001,MATCH(ROWS($AF$2:AF167),$AF$2:$AF$1001,0),0), INDEX($AM$1004:$BM$1004,1,MATCH(COLUMNS($AM$1006:AO1006),$AM$1006:$BM$1006,0)))),"Fix")))</f>
        <v xml:space="preserve"> </v>
      </c>
      <c r="E167" s="4" t="str">
        <f ca="1">IF(OR(INDEX($AG$2:$AG$1001,MATCH(ROWS($AF$2:AF167),$AF$2:$AF$1001,0),1)&gt;=100000,INDEX($AM$1005:$BM$1005,1,MATCH(COLUMNS($AM$1006:AP1006),$AM$1006:$BM$1006,0))&gt;=100000), " ",IF(INDEX($AM$2:$BM$1001,MATCH(ROWS($AF$2:AF167),$AF$2:$AF$1001,0),MATCH(COLUMNS($AM$1006:AP1006),$AM$1006:$BM$1006,0)), HYPERLINK("#",""), HYPERLINK(CONCATENATE("#metadata!", ADDRESS(INDEX($AH$2:$AH$1001,MATCH(ROWS($AF$2:AF167),$AF$2:$AF$1001,0),0), INDEX($AM$1004:$BM$1004,1,MATCH(COLUMNS($AM$1006:AP1006),$AM$1006:$BM$1006,0)))),"Fix")))</f>
        <v xml:space="preserve"> </v>
      </c>
      <c r="F167" s="4" t="str">
        <f ca="1">IF(OR(INDEX($AG$2:$AG$1001,MATCH(ROWS($AF$2:AF167),$AF$2:$AF$1001,0),1)&gt;=100000,INDEX($AM$1005:$BM$1005,1,MATCH(COLUMNS($AM$1006:AQ1006),$AM$1006:$BM$1006,0))&gt;=100000), " ",IF(INDEX($AM$2:$BM$1001,MATCH(ROWS($AF$2:AF167),$AF$2:$AF$1001,0),MATCH(COLUMNS($AM$1006:AQ1006),$AM$1006:$BM$1006,0)), HYPERLINK("#",""), HYPERLINK(CONCATENATE("#metadata!", ADDRESS(INDEX($AH$2:$AH$1001,MATCH(ROWS($AF$2:AF167),$AF$2:$AF$1001,0),0), INDEX($AM$1004:$BM$1004,1,MATCH(COLUMNS($AM$1006:AQ1006),$AM$1006:$BM$1006,0)))),"Fix")))</f>
        <v xml:space="preserve"> </v>
      </c>
      <c r="G167" s="4" t="str">
        <f ca="1">IF(OR(INDEX($AG$2:$AG$1001,MATCH(ROWS($AF$2:AF167),$AF$2:$AF$1001,0),1)&gt;=100000,INDEX($AM$1005:$BM$1005,1,MATCH(COLUMNS($AM$1006:AR1006),$AM$1006:$BM$1006,0))&gt;=100000), " ",IF(INDEX($AM$2:$BM$1001,MATCH(ROWS($AF$2:AF167),$AF$2:$AF$1001,0),MATCH(COLUMNS($AM$1006:AR1006),$AM$1006:$BM$1006,0)), HYPERLINK("#",""), HYPERLINK(CONCATENATE("#metadata!", ADDRESS(INDEX($AH$2:$AH$1001,MATCH(ROWS($AF$2:AF167),$AF$2:$AF$1001,0),0), INDEX($AM$1004:$BM$1004,1,MATCH(COLUMNS($AM$1006:AR1006),$AM$1006:$BM$1006,0)))),"Fix")))</f>
        <v xml:space="preserve"> </v>
      </c>
      <c r="H167" s="4" t="str">
        <f ca="1">IF(OR(INDEX($AG$2:$AG$1001,MATCH(ROWS($AF$2:AF167),$AF$2:$AF$1001,0),1)&gt;=100000,INDEX($AM$1005:$BM$1005,1,MATCH(COLUMNS($AM$1006:AS1006),$AM$1006:$BM$1006,0))&gt;=100000), " ",IF(INDEX($AM$2:$BM$1001,MATCH(ROWS($AF$2:AF167),$AF$2:$AF$1001,0),MATCH(COLUMNS($AM$1006:AS1006),$AM$1006:$BM$1006,0)), HYPERLINK("#",""), HYPERLINK(CONCATENATE("#metadata!", ADDRESS(INDEX($AH$2:$AH$1001,MATCH(ROWS($AF$2:AF167),$AF$2:$AF$1001,0),0), INDEX($AM$1004:$BM$1004,1,MATCH(COLUMNS($AM$1006:AS1006),$AM$1006:$BM$1006,0)))),"Fix")))</f>
        <v xml:space="preserve"> </v>
      </c>
      <c r="I167" s="4" t="str">
        <f ca="1">IF(OR(INDEX($AG$2:$AG$1001,MATCH(ROWS($AF$2:AF167),$AF$2:$AF$1001,0),1)&gt;=100000,INDEX($AM$1005:$BM$1005,1,MATCH(COLUMNS($AM$1006:AT1006),$AM$1006:$BM$1006,0))&gt;=100000), " ",IF(INDEX($AM$2:$BM$1001,MATCH(ROWS($AF$2:AF167),$AF$2:$AF$1001,0),MATCH(COLUMNS($AM$1006:AT1006),$AM$1006:$BM$1006,0)), HYPERLINK("#",""), HYPERLINK(CONCATENATE("#metadata!", ADDRESS(INDEX($AH$2:$AH$1001,MATCH(ROWS($AF$2:AF167),$AF$2:$AF$1001,0),0), INDEX($AM$1004:$BM$1004,1,MATCH(COLUMNS($AM$1006:AT1006),$AM$1006:$BM$1006,0)))),"Fix")))</f>
        <v xml:space="preserve"> </v>
      </c>
      <c r="J167" s="4" t="str">
        <f ca="1">IF(OR(INDEX($AG$2:$AG$1001,MATCH(ROWS($AF$2:AF167),$AF$2:$AF$1001,0),1)&gt;=100000,INDEX($AM$1005:$BM$1005,1,MATCH(COLUMNS($AM$1006:AU1006),$AM$1006:$BM$1006,0))&gt;=100000), " ",IF(INDEX($AM$2:$BM$1001,MATCH(ROWS($AF$2:AF167),$AF$2:$AF$1001,0),MATCH(COLUMNS($AM$1006:AU1006),$AM$1006:$BM$1006,0)), HYPERLINK("#",""), HYPERLINK(CONCATENATE("#metadata!", ADDRESS(INDEX($AH$2:$AH$1001,MATCH(ROWS($AF$2:AF167),$AF$2:$AF$1001,0),0), INDEX($AM$1004:$BM$1004,1,MATCH(COLUMNS($AM$1006:AU1006),$AM$1006:$BM$1006,0)))),"Fix")))</f>
        <v xml:space="preserve"> </v>
      </c>
      <c r="K167" s="4" t="str">
        <f ca="1">IF(OR(INDEX($AG$2:$AG$1001,MATCH(ROWS($AF$2:AF167),$AF$2:$AF$1001,0),1)&gt;=100000,INDEX($AM$1005:$BM$1005,1,MATCH(COLUMNS($AM$1006:AV1006),$AM$1006:$BM$1006,0))&gt;=100000), " ",IF(INDEX($AM$2:$BM$1001,MATCH(ROWS($AF$2:AF167),$AF$2:$AF$1001,0),MATCH(COLUMNS($AM$1006:AV1006),$AM$1006:$BM$1006,0)), HYPERLINK("#",""), HYPERLINK(CONCATENATE("#metadata!", ADDRESS(INDEX($AH$2:$AH$1001,MATCH(ROWS($AF$2:AF167),$AF$2:$AF$1001,0),0), INDEX($AM$1004:$BM$1004,1,MATCH(COLUMNS($AM$1006:AV1006),$AM$1006:$BM$1006,0)))),"Fix")))</f>
        <v xml:space="preserve"> </v>
      </c>
      <c r="L167" s="4" t="str">
        <f ca="1">IF(OR(INDEX($AG$2:$AG$1001,MATCH(ROWS($AF$2:AF167),$AF$2:$AF$1001,0),1)&gt;=100000,INDEX($AM$1005:$BM$1005,1,MATCH(COLUMNS($AM$1006:AW1006),$AM$1006:$BM$1006,0))&gt;=100000), " ",IF(INDEX($AM$2:$BM$1001,MATCH(ROWS($AF$2:AF167),$AF$2:$AF$1001,0),MATCH(COLUMNS($AM$1006:AW1006),$AM$1006:$BM$1006,0)), HYPERLINK("#",""), HYPERLINK(CONCATENATE("#metadata!", ADDRESS(INDEX($AH$2:$AH$1001,MATCH(ROWS($AF$2:AF167),$AF$2:$AF$1001,0),0), INDEX($AM$1004:$BM$1004,1,MATCH(COLUMNS($AM$1006:AW1006),$AM$1006:$BM$1006,0)))),"Fix")))</f>
        <v xml:space="preserve"> </v>
      </c>
      <c r="M167" s="4" t="str">
        <f ca="1">IF(OR(INDEX($AG$2:$AG$1001,MATCH(ROWS($AF$2:AF167),$AF$2:$AF$1001,0),1)&gt;=100000,INDEX($AM$1005:$BM$1005,1,MATCH(COLUMNS($AM$1006:AX1006),$AM$1006:$BM$1006,0))&gt;=100000), " ",IF(INDEX($AM$2:$BM$1001,MATCH(ROWS($AF$2:AF167),$AF$2:$AF$1001,0),MATCH(COLUMNS($AM$1006:AX1006),$AM$1006:$BM$1006,0)), HYPERLINK("#",""), HYPERLINK(CONCATENATE("#metadata!", ADDRESS(INDEX($AH$2:$AH$1001,MATCH(ROWS($AF$2:AF167),$AF$2:$AF$1001,0),0), INDEX($AM$1004:$BM$1004,1,MATCH(COLUMNS($AM$1006:AX1006),$AM$1006:$BM$1006,0)))),"Fix")))</f>
        <v xml:space="preserve"> </v>
      </c>
      <c r="N167" s="4" t="str">
        <f ca="1">IF(OR(INDEX($AG$2:$AG$1001,MATCH(ROWS($AF$2:AF167),$AF$2:$AF$1001,0),1)&gt;=100000,INDEX($AM$1005:$BM$1005,1,MATCH(COLUMNS($AM$1006:AY1006),$AM$1006:$BM$1006,0))&gt;=100000), " ",IF(INDEX($AM$2:$BM$1001,MATCH(ROWS($AF$2:AF167),$AF$2:$AF$1001,0),MATCH(COLUMNS($AM$1006:AY1006),$AM$1006:$BM$1006,0)), HYPERLINK("#",""), HYPERLINK(CONCATENATE("#metadata!", ADDRESS(INDEX($AH$2:$AH$1001,MATCH(ROWS($AF$2:AF167),$AF$2:$AF$1001,0),0), INDEX($AM$1004:$BM$1004,1,MATCH(COLUMNS($AM$1006:AY1006),$AM$1006:$BM$1006,0)))),"Fix")))</f>
        <v xml:space="preserve"> </v>
      </c>
      <c r="O167" s="4" t="str">
        <f ca="1">IF(OR(INDEX($AG$2:$AG$1001,MATCH(ROWS($AF$2:AF167),$AF$2:$AF$1001,0),1)&gt;=100000,INDEX($AM$1005:$BM$1005,1,MATCH(COLUMNS($AM$1006:AZ1006),$AM$1006:$BM$1006,0))&gt;=100000), " ",IF(INDEX($AM$2:$BM$1001,MATCH(ROWS($AF$2:AF167),$AF$2:$AF$1001,0),MATCH(COLUMNS($AM$1006:AZ1006),$AM$1006:$BM$1006,0)), HYPERLINK("#",""), HYPERLINK(CONCATENATE("#metadata!", ADDRESS(INDEX($AH$2:$AH$1001,MATCH(ROWS($AF$2:AF167),$AF$2:$AF$1001,0),0), INDEX($AM$1004:$BM$1004,1,MATCH(COLUMNS($AM$1006:AZ1006),$AM$1006:$BM$1006,0)))),"Fix")))</f>
        <v xml:space="preserve"> </v>
      </c>
      <c r="P167" s="4" t="str">
        <f ca="1">IF(OR(INDEX($AG$2:$AG$1001,MATCH(ROWS($AF$2:AF167),$AF$2:$AF$1001,0),1)&gt;=100000,INDEX($AM$1005:$BM$1005,1,MATCH(COLUMNS($AM$1006:BA1006),$AM$1006:$BM$1006,0))&gt;=100000), " ",IF(INDEX($AM$2:$BM$1001,MATCH(ROWS($AF$2:AF167),$AF$2:$AF$1001,0),MATCH(COLUMNS($AM$1006:BA1006),$AM$1006:$BM$1006,0)), HYPERLINK("#",""), HYPERLINK(CONCATENATE("#metadata!", ADDRESS(INDEX($AH$2:$AH$1001,MATCH(ROWS($AF$2:AF167),$AF$2:$AF$1001,0),0), INDEX($AM$1004:$BM$1004,1,MATCH(COLUMNS($AM$1006:BA1006),$AM$1006:$BM$1006,0)))),"Fix")))</f>
        <v xml:space="preserve"> </v>
      </c>
      <c r="Q167" s="4" t="str">
        <f ca="1">IF(OR(INDEX($AG$2:$AG$1001,MATCH(ROWS($AF$2:AF167),$AF$2:$AF$1001,0),1)&gt;=100000,INDEX($AM$1005:$BM$1005,1,MATCH(COLUMNS($AM$1006:BB1006),$AM$1006:$BM$1006,0))&gt;=100000), " ",IF(INDEX($AM$2:$BM$1001,MATCH(ROWS($AF$2:AF167),$AF$2:$AF$1001,0),MATCH(COLUMNS($AM$1006:BB1006),$AM$1006:$BM$1006,0)), HYPERLINK("#",""), HYPERLINK(CONCATENATE("#metadata!", ADDRESS(INDEX($AH$2:$AH$1001,MATCH(ROWS($AF$2:AF167),$AF$2:$AF$1001,0),0), INDEX($AM$1004:$BM$1004,1,MATCH(COLUMNS($AM$1006:BB1006),$AM$1006:$BM$1006,0)))),"Fix")))</f>
        <v xml:space="preserve"> </v>
      </c>
      <c r="R167" s="4" t="str">
        <f ca="1">IF(OR(INDEX($AG$2:$AG$1001,MATCH(ROWS($AF$2:AF167),$AF$2:$AF$1001,0),1)&gt;=100000,INDEX($AM$1005:$BM$1005,1,MATCH(COLUMNS($AM$1006:BC1006),$AM$1006:$BM$1006,0))&gt;=100000), " ",IF(INDEX($AM$2:$BM$1001,MATCH(ROWS($AF$2:AF167),$AF$2:$AF$1001,0),MATCH(COLUMNS($AM$1006:BC1006),$AM$1006:$BM$1006,0)), HYPERLINK("#",""), HYPERLINK(CONCATENATE("#metadata!", ADDRESS(INDEX($AH$2:$AH$1001,MATCH(ROWS($AF$2:AF167),$AF$2:$AF$1001,0),0), INDEX($AM$1004:$BM$1004,1,MATCH(COLUMNS($AM$1006:BC1006),$AM$1006:$BM$1006,0)))),"Fix")))</f>
        <v xml:space="preserve"> </v>
      </c>
      <c r="S167" s="4" t="str">
        <f ca="1">IF(OR(INDEX($AG$2:$AG$1001,MATCH(ROWS($AF$2:AF167),$AF$2:$AF$1001,0),1)&gt;=100000,INDEX($AM$1005:$BM$1005,1,MATCH(COLUMNS($AM$1006:BD1006),$AM$1006:$BM$1006,0))&gt;=100000), " ",IF(INDEX($AM$2:$BM$1001,MATCH(ROWS($AF$2:AF167),$AF$2:$AF$1001,0),MATCH(COLUMNS($AM$1006:BD1006),$AM$1006:$BM$1006,0)), HYPERLINK("#",""), HYPERLINK(CONCATENATE("#metadata!", ADDRESS(INDEX($AH$2:$AH$1001,MATCH(ROWS($AF$2:AF167),$AF$2:$AF$1001,0),0), INDEX($AM$1004:$BM$1004,1,MATCH(COLUMNS($AM$1006:BD1006),$AM$1006:$BM$1006,0)))),"Fix")))</f>
        <v xml:space="preserve"> </v>
      </c>
      <c r="T167" s="4" t="str">
        <f ca="1">IF(OR(INDEX($AG$2:$AG$1001,MATCH(ROWS($AF$2:AF167),$AF$2:$AF$1001,0),1)&gt;=100000,INDEX($AM$1005:$BM$1005,1,MATCH(COLUMNS($AM$1006:BE1006),$AM$1006:$BM$1006,0))&gt;=100000), " ",IF(INDEX($AM$2:$BM$1001,MATCH(ROWS($AF$2:AF167),$AF$2:$AF$1001,0),MATCH(COLUMNS($AM$1006:BE1006),$AM$1006:$BM$1006,0)), HYPERLINK("#",""), HYPERLINK(CONCATENATE("#metadata!", ADDRESS(INDEX($AH$2:$AH$1001,MATCH(ROWS($AF$2:AF167),$AF$2:$AF$1001,0),0), INDEX($AM$1004:$BM$1004,1,MATCH(COLUMNS($AM$1006:BE1006),$AM$1006:$BM$1006,0)))),"Fix")))</f>
        <v xml:space="preserve"> </v>
      </c>
      <c r="U167" s="4" t="str">
        <f ca="1">IF(OR(INDEX($AG$2:$AG$1001,MATCH(ROWS($AF$2:AF167),$AF$2:$AF$1001,0),1)&gt;=100000,INDEX($AM$1005:$BM$1005,1,MATCH(COLUMNS($AM$1006:BF1006),$AM$1006:$BM$1006,0))&gt;=100000), " ",IF(INDEX($AM$2:$BM$1001,MATCH(ROWS($AF$2:AF167),$AF$2:$AF$1001,0),MATCH(COLUMNS($AM$1006:BF1006),$AM$1006:$BM$1006,0)), HYPERLINK("#",""), HYPERLINK(CONCATENATE("#metadata!", ADDRESS(INDEX($AH$2:$AH$1001,MATCH(ROWS($AF$2:AF167),$AF$2:$AF$1001,0),0), INDEX($AM$1004:$BM$1004,1,MATCH(COLUMNS($AM$1006:BF1006),$AM$1006:$BM$1006,0)))),"Fix")))</f>
        <v xml:space="preserve"> </v>
      </c>
      <c r="V167" s="4" t="str">
        <f ca="1">IF(OR(INDEX($AG$2:$AG$1001,MATCH(ROWS($AF$2:AF167),$AF$2:$AF$1001,0),1)&gt;=100000,INDEX($AM$1005:$BM$1005,1,MATCH(COLUMNS($AM$1006:BG1006),$AM$1006:$BM$1006,0))&gt;=100000), " ",IF(INDEX($AM$2:$BM$1001,MATCH(ROWS($AF$2:AF167),$AF$2:$AF$1001,0),MATCH(COLUMNS($AM$1006:BG1006),$AM$1006:$BM$1006,0)), HYPERLINK("#",""), HYPERLINK(CONCATENATE("#metadata!", ADDRESS(INDEX($AH$2:$AH$1001,MATCH(ROWS($AF$2:AF167),$AF$2:$AF$1001,0),0), INDEX($AM$1004:$BM$1004,1,MATCH(COLUMNS($AM$1006:BG1006),$AM$1006:$BM$1006,0)))),"Fix")))</f>
        <v xml:space="preserve"> </v>
      </c>
      <c r="W167" s="4" t="str">
        <f ca="1">IF(OR(INDEX($AG$2:$AG$1001,MATCH(ROWS($AF$2:AF167),$AF$2:$AF$1001,0),1)&gt;=100000,INDEX($AM$1005:$BM$1005,1,MATCH(COLUMNS($AM$1006:BH1006),$AM$1006:$BM$1006,0))&gt;=100000), " ",IF(INDEX($AM$2:$BM$1001,MATCH(ROWS($AF$2:AF167),$AF$2:$AF$1001,0),MATCH(COLUMNS($AM$1006:BH1006),$AM$1006:$BM$1006,0)), HYPERLINK("#",""), HYPERLINK(CONCATENATE("#metadata!", ADDRESS(INDEX($AH$2:$AH$1001,MATCH(ROWS($AF$2:AF167),$AF$2:$AF$1001,0),0), INDEX($AM$1004:$BM$1004,1,MATCH(COLUMNS($AM$1006:BH1006),$AM$1006:$BM$1006,0)))),"Fix")))</f>
        <v xml:space="preserve"> </v>
      </c>
      <c r="X167" s="4" t="str">
        <f ca="1">IF(OR(INDEX($AG$2:$AG$1001,MATCH(ROWS($AF$2:AF167),$AF$2:$AF$1001,0),1)&gt;=100000,INDEX($AM$1005:$BM$1005,1,MATCH(COLUMNS($AM$1006:BI1006),$AM$1006:$BM$1006,0))&gt;=100000), " ",IF(INDEX($AM$2:$BM$1001,MATCH(ROWS($AF$2:AF167),$AF$2:$AF$1001,0),MATCH(COLUMNS($AM$1006:BI1006),$AM$1006:$BM$1006,0)), HYPERLINK("#",""), HYPERLINK(CONCATENATE("#metadata!", ADDRESS(INDEX($AH$2:$AH$1001,MATCH(ROWS($AF$2:AF167),$AF$2:$AF$1001,0),0), INDEX($AM$1004:$BM$1004,1,MATCH(COLUMNS($AM$1006:BI1006),$AM$1006:$BM$1006,0)))),"Fix")))</f>
        <v xml:space="preserve"> </v>
      </c>
      <c r="Y167" s="4" t="str">
        <f ca="1">IF(OR(INDEX($AG$2:$AG$1001,MATCH(ROWS($AF$2:AF167),$AF$2:$AF$1001,0),1)&gt;=100000,INDEX($AM$1005:$BM$1005,1,MATCH(COLUMNS($AM$1006:BJ1006),$AM$1006:$BM$1006,0))&gt;=100000), " ",IF(INDEX($AM$2:$BM$1001,MATCH(ROWS($AF$2:AF167),$AF$2:$AF$1001,0),MATCH(COLUMNS($AM$1006:BJ1006),$AM$1006:$BM$1006,0)), HYPERLINK("#",""), HYPERLINK(CONCATENATE("#metadata!", ADDRESS(INDEX($AH$2:$AH$1001,MATCH(ROWS($AF$2:AF167),$AF$2:$AF$1001,0),0), INDEX($AM$1004:$BM$1004,1,MATCH(COLUMNS($AM$1006:BJ1006),$AM$1006:$BM$1006,0)))),"Fix")))</f>
        <v xml:space="preserve"> </v>
      </c>
      <c r="Z167" s="4" t="str">
        <f ca="1">IF(OR(INDEX($AG$2:$AG$1001,MATCH(ROWS($AF$2:AF167),$AF$2:$AF$1001,0),1)&gt;=100000,INDEX($AM$1005:$BM$1005,1,MATCH(COLUMNS($AM$1006:BK1006),$AM$1006:$BM$1006,0))&gt;=100000), " ",IF(INDEX($AM$2:$BM$1001,MATCH(ROWS($AF$2:AF167),$AF$2:$AF$1001,0),MATCH(COLUMNS($AM$1006:BK1006),$AM$1006:$BM$1006,0)), HYPERLINK("#",""), HYPERLINK(CONCATENATE("#metadata!", ADDRESS(INDEX($AH$2:$AH$1001,MATCH(ROWS($AF$2:AF167),$AF$2:$AF$1001,0),0), INDEX($AM$1004:$BM$1004,1,MATCH(COLUMNS($AM$1006:BK1006),$AM$1006:$BM$1006,0)))),"Fix")))</f>
        <v xml:space="preserve"> </v>
      </c>
      <c r="AA167" s="4" t="str">
        <f ca="1">IF(OR(INDEX($AG$2:$AG$1001,MATCH(ROWS($AF$2:AF167),$AF$2:$AF$1001,0),1)&gt;=100000,INDEX($AM$1005:$BM$1005,1,MATCH(COLUMNS($AM$1006:BL1006),$AM$1006:$BM$1006,0))&gt;=100000), " ",IF(INDEX($AM$2:$BM$1001,MATCH(ROWS($AF$2:AF167),$AF$2:$AF$1001,0),MATCH(COLUMNS($AM$1006:BL1006),$AM$1006:$BM$1006,0)), HYPERLINK("#",""), HYPERLINK(CONCATENATE("#metadata!", ADDRESS(INDEX($AH$2:$AH$1001,MATCH(ROWS($AF$2:AF167),$AF$2:$AF$1001,0),0), INDEX($AM$1004:$BM$1004,1,MATCH(COLUMNS($AM$1006:BL1006),$AM$1006:$BM$1006,0)))),"Fix")))</f>
        <v xml:space="preserve"> </v>
      </c>
      <c r="AB167" s="4" t="str">
        <f ca="1">IF(OR(INDEX($AG$2:$AG$1001,MATCH(ROWS($AF$2:AF167),$AF$2:$AF$1001,0),1)&gt;=100000,INDEX($AM$1005:$BM$1005,1,MATCH(COLUMNS($AM$1006:BM1006),$AM$1006:$BM$1006,0))&gt;=100000), " ",IF(INDEX($AM$2:$BM$1001,MATCH(ROWS($AF$2:AF167),$AF$2:$AF$1001,0),MATCH(COLUMNS($AM$1006:BM1006),$AM$1006:$BM$1006,0)), HYPERLINK("#",""), HYPERLINK(CONCATENATE("#metadata!", ADDRESS(INDEX($AH$2:$AH$1001,MATCH(ROWS($AF$2:AF167),$AF$2:$AF$1001,0),0), INDEX($AM$1004:$BM$1004,1,MATCH(COLUMNS($AM$1006:BM1006),$AM$1006:$BM$1006,0)))),"Fix")))</f>
        <v xml:space="preserve"> </v>
      </c>
      <c r="AF167">
        <v>166</v>
      </c>
      <c r="AG167">
        <v>100167</v>
      </c>
      <c r="AH167">
        <v>167</v>
      </c>
      <c r="AI167" t="b">
        <f t="shared" si="2"/>
        <v>1</v>
      </c>
      <c r="AJ167" t="b">
        <f>COUNTBLANK(metadata!B167:AB167)=COLUMNS(metadata!B167:AB167)</f>
        <v>1</v>
      </c>
      <c r="AK167" t="str">
        <v/>
      </c>
      <c r="AM167" t="b">
        <f ca="1">AND(IF(metadata!B167="",FALSE,TRUE),COUNTIF(metadata!B:B, metadata!B167) = 1,NOT(ISERROR(SUMPRODUCT(SEARCH(MID(metadata!B167,ROW(INDIRECT("1:"&amp;LEN(metadata!B167))), 1),"0123456789abcdefghijklmnopqrstuvwxyzABCDEFGHIJKLMNOPQRSTUVWXYZ.")))))</f>
        <v>0</v>
      </c>
      <c r="AN167" t="b">
        <f ca="1">OR(AND(IF(metadata!C167="",FALSE,TRUE),OR(EXACT(metadata!C167,"missing: not collected"),EXACT(metadata!C167,"missing: not provided"),EXACT(metadata!C167,"missing: restricted access"))),AND(IF(metadata!C167="",FALSE,TRUE),AND(AND(IFERROR(INT(LEFT(metadata!C167,4))&gt;1900,FALSE),IFERROR(INT(LEFT(metadata!C167,4))&lt;=YEAR(NOW()),FALSE)), OR(MID(metadata!C167,5,1)="", AND(AND(MID(metadata!C167,5,1)="-",IFERROR(INT(MID(metadata!C167,6,1))&gt;=0,FALSE),IFERROR(INT(MID(metadata!C167,6,1))&lt;=1,FALSE),NOT(MID(metadata!C167,7,1)=""),IFERROR(INT(MID(metadata!C167,6,2))&gt;=1,FALSE),IFERROR(INT(MID(metadata!C167,6,2))&lt;=12,FALSE)), OR(MID(metadata!C167,8,1)="", AND(AND(MID(metadata!C167,8,1)="-",IFERROR(INT(MID(metadata!C167,9,1))&gt;=0,FALSE),IFERROR(INT(MID(metadata!C167,9,1))&lt;=3,FALSE),NOT(MID(metadata!C167,10,1)=""),IFERROR(INT(MID(metadata!C167,9,2))&gt;=1,FALSE),IFERROR(INT(MID(metadata!C167,9,2))&lt;=31,FALSE)), OR(MID(metadata!C167,11,1)="", AND(AND(MID(metadata!C167,11,1)=" ",IFERROR(INT(MID(metadata!C167,12,1))&gt;=0,FALSE),IFERROR(INT(MID(metadata!C167,12,1))&lt;=2,FALSE),NOT(MID(metadata!C167,13,1)=""),IFERROR(INT(MID(metadata!C167,12,2))&gt;=0,FALSE),IFERROR(INT(MID(metadata!C167,12,2))&lt;=23,FALSE)), OR(MID(metadata!C167,14,1)="", AND(AND(MID(metadata!C167,14,1)=":",IFERROR(INT(MID(metadata!C167,15,1))&gt;=0,FALSE),IFERROR(INT(MID(metadata!C167,15,1))&lt;=5,FALSE),NOT(MID(metadata!C167,16,1)=""),IFERROR(INT(MID(metadata!C167,15,2))&gt;=0,FALSE),IFERROR(INT(MID(metadata!C167,15,2))&lt;=59,FALSE)), OR(MID(metadata!C167,17,1)="", AND(AND(MID(metadata!C167,17,1)=":",IFERROR(INT(MID(metadata!C167,18,1))&gt;=0,FALSE),IFERROR(INT(MID(metadata!C167,18,1))&lt;=5,FALSE),NOT(MID(metadata!C167,19,1)=""),IFERROR(INT(MID(metadata!C167,18,2))&gt;=0,FALSE),IFERROR(INT(MID(metadata!C167,18,2))&lt;=59,FALSE)), LEN(metadata!C167)&lt;=19)))))))))))))</f>
        <v>0</v>
      </c>
      <c r="AO167" t="b">
        <f>AND(IF(metadata!D167="",FALSE,TRUE),EXACT(metadata!D167,"Not applicable"))</f>
        <v>0</v>
      </c>
      <c r="AP167" t="b">
        <f>IF(metadata!E167="",FALSE,TRUE)</f>
        <v>0</v>
      </c>
      <c r="AQ167" t="b">
        <f>OR(AND(IF(metadata!F167="",FALSE,TRUE),OR(EXACT(metadata!F167,"missing: not collected"),EXACT(metadata!F167,"missing: not provided"))),AND(IF(metadata!F167="",FALSE,TRUE),OR(EXACT(metadata!F167,"TRUE"),EXACT(metadata!F167,"FALSE"))))</f>
        <v>0</v>
      </c>
      <c r="AR167" t="b">
        <f>OR(AND(IF(metadata!G167="",FALSE,TRUE),OR(EXACT(metadata!G167,"missing: not collected"),EXACT(metadata!G167,"missing: not provided"),EXACT(metadata!G167,"missing: restricted access"))),AND(IF(metadata!G167="",FALSE,ISNUMBER(VALUE(metadata!G167))),metadata!G167&gt;=-413))</f>
        <v>0</v>
      </c>
      <c r="AS167" t="b">
        <f>AND(IF(metadata!H167="",FALSE,TRUE),EXACT(metadata!H167,"meters"))</f>
        <v>0</v>
      </c>
      <c r="AT167" t="b">
        <f>AND(IF(metadata!I167="",FALSE,TRUE),OR(EXACT(metadata!I167,"Host-associated"),EXACT(metadata!I167,"Free-living")))</f>
        <v>0</v>
      </c>
      <c r="AU167" t="b">
        <f>AND(IF(metadata!J167="",FALSE,TRUE),OR(EXACT(metadata!J167,"Animal"),EXACT(metadata!J167,"Fungus"),EXACT(metadata!J167,"Plant"),EXACT(metadata!J167,"Saline"),EXACT(metadata!J167,"Non-saline")))</f>
        <v>0</v>
      </c>
      <c r="AV167" t="b">
        <f>AND(IF(metadata!K167="",FALSE,TRUE),OR(EXACT(metadata!K167,"Plant secretion"),EXACT(metadata!K167,"Plant rhizosphere"),EXACT(metadata!K167,"Plant surface"),EXACT(metadata!K167,"Plant corpus"),EXACT(metadata!K167,"Fungus surface"),EXACT(metadata!K167,"Fungus corpus"),EXACT(metadata!K167,"Animal surface"),EXACT(metadata!K167,"Animal proximal gut"),EXACT(metadata!K167,"Animal corpus"),EXACT(metadata!K167,"Animal distal gut"),EXACT(metadata!K167,"Animal secretion"),EXACT(metadata!K167,"Sub-surface (non-saline)"),EXACT(metadata!K167,"Surface (non-saline)"),EXACT(metadata!K167,"Water (non-saline)"),EXACT(metadata!K167,"Soil (non-saline)"),EXACT(metadata!K167,"Aerosol (non-saline)"),EXACT(metadata!K167,"Sediment (non-saline)"),EXACT(metadata!K167,"Surface (saline)"),EXACT(metadata!K167,"Water (saline)"),EXACT(metadata!K167,"Hypersaline (saline)"),EXACT(metadata!K167,"Aerosol (saline)"),EXACT(metadata!K167,"Sediment (saline)")))</f>
        <v>0</v>
      </c>
      <c r="AW167" t="b">
        <f>IF(metadata!L167="",FALSE,TRUE)</f>
        <v>0</v>
      </c>
      <c r="AX167" t="b">
        <f>IF(metadata!M167="",FALSE,TRUE)</f>
        <v>0</v>
      </c>
      <c r="AY167" t="b">
        <f>IF(metadata!N167="",FALSE,TRUE)</f>
        <v>0</v>
      </c>
      <c r="AZ167" t="b">
        <f>OR(AND(IF(metadata!O167="",FALSE,TRUE),OR(EXACT(metadata!O167,"missing: not collected"),EXACT(metadata!O167,"missing: not provided"),EXACT(metadata!O167,"missing: restricted access"))),AND(IF(metadata!O167="",FALSE,TRUE),OR(EXACT(metadata!O167,"air"),EXACT(metadata!O167,"built environment"),EXACT(metadata!O167,"host-associated"),EXACT(metadata!O167,"human-associated"),EXACT(metadata!O167,"human-skin"),EXACT(metadata!O167,"human-oral"),EXACT(metadata!O167,"human-gut"),EXACT(metadata!O167,"human-vaginal"),EXACT(metadata!O167,"microbial mat/biofilm"),EXACT(metadata!O167,"misc environment"),EXACT(metadata!O167,"plant-associated"),EXACT(metadata!O167,"sediment"),EXACT(metadata!O167,"soil"),EXACT(metadata!O167,"wastewater/sludge"),EXACT(metadata!O167,"water"))))</f>
        <v>0</v>
      </c>
      <c r="BA167" t="b">
        <f>IF(metadata!P167="",FALSE,TRUE)</f>
        <v>0</v>
      </c>
      <c r="BB167" t="b">
        <f>IF(metadata!Q167="",FALSE,TRUE)</f>
        <v>0</v>
      </c>
      <c r="BC167" t="b">
        <f>OR(AND(IF(metadata!R167="",FALSE,TRUE),OR(EXACT(metadata!R167,"missing: not collected"),EXACT(metadata!R167,"missing: not provided"),EXACT(metadata!R167,"missing: restricted access"))),AND(IF(metadata!R167="",FALSE,ISNUMBER(VALUE(metadata!R167))),metadata!R167&gt;=-90,metadata!R167&lt;=90))</f>
        <v>0</v>
      </c>
      <c r="BD167" t="b">
        <f>AND(IF(metadata!S167="",FALSE,TRUE),EXACT(metadata!S167,"Decimal degrees"))</f>
        <v>0</v>
      </c>
      <c r="BE167" t="b">
        <f>OR(AND(IF(metadata!T167="",FALSE,TRUE),OR(EXACT(metadata!T167,"missing: not collected"),EXACT(metadata!T167,"missing: not provided"),EXACT(metadata!T167,"missing: restricted access"))),AND(IF(metadata!T167="",FALSE,ISNUMBER(VALUE(metadata!T167))),metadata!T167&gt;=-180,metadata!T167&lt;=180))</f>
        <v>0</v>
      </c>
      <c r="BF167" t="b">
        <f>AND(IF(metadata!U167="",FALSE,TRUE),EXACT(metadata!U167,"Decimal degrees"))</f>
        <v>0</v>
      </c>
      <c r="BG167" t="b">
        <f>IF(metadata!V167="",FALSE,TRUE)</f>
        <v>0</v>
      </c>
      <c r="BH167" t="b">
        <f>OR(AND(IF(metadata!W167="",FALSE,TRUE),OR(EXACT(metadata!W167,"missing: not collected"),EXACT(metadata!W167,"missing: not provided"),EXACT(metadata!W167,"missing: restricted access"))),AND(IF(metadata!W167="",FALSE,TRUE),OR(EXACT(metadata!W167,"TRUE"),EXACT(metadata!W167,"FALSE"))))</f>
        <v>0</v>
      </c>
      <c r="BI167" t="b">
        <f>AND(IF(metadata!X167="",FALSE,TRUE),EXACT(metadata!X167,"other"))</f>
        <v>0</v>
      </c>
      <c r="BJ167" t="b">
        <f>IF(metadata!Y167="",FALSE,TRUE)</f>
        <v>0</v>
      </c>
      <c r="BK167" t="b">
        <f>OR(AND(IF(metadata!Z167="",FALSE,TRUE),OR(EXACT(metadata!Z167,"missing: not collected"),EXACT(metadata!Z167,"missing: not provided"))),AND(IF(metadata!Z167="",FALSE,IF(ISERROR(INT(metadata!Z167)),FALSE,INT(metadata!Z167)=metadata!Z167)),metadata!Z167&gt;0))</f>
        <v>0</v>
      </c>
      <c r="BL167" t="b">
        <f>AND(IF(metadata!AA167="",FALSE,TRUE),EXACT(metadata!AA167,"Not applicable"))</f>
        <v>0</v>
      </c>
      <c r="BM167" t="b">
        <f>IF(metadata!AB167="",FALSE,TRUE)</f>
        <v>0</v>
      </c>
    </row>
    <row r="168" spans="1:65" x14ac:dyDescent="0.2">
      <c r="A168" s="5" t="str">
        <f ca="1">IF(B168=" "," ",HYPERLINK(CONCATENATE("#metadata!",ADDRESS(INDEX($AH$2:$AH$1001,MATCH(ROWS($AF$2:AF168),$AF$2:$AF$1001,0),0),1)),INDEX($AK$2:$AK$1001,MATCH(ROWS($AF$2:AF168),$AF$2:$AF$1001,0),0)))</f>
        <v xml:space="preserve"> </v>
      </c>
      <c r="B168" s="4" t="str">
        <f ca="1">IF(OR(INDEX($AG$2:$AG$1001,MATCH(ROWS($AF$2:AF168),$AF$2:$AF$1001,0),1)&gt;=100000,INDEX($AM$1005:$BM$1005,1,MATCH(COLUMNS($AM$1006:AM1006),$AM$1006:$BM$1006,0))&gt;=100000), " ",IF(INDEX($AM$2:$BM$1001,MATCH(ROWS($AF$2:AF168),$AF$2:$AF$1001,0),MATCH(COLUMNS($AM$1006:AM1006),$AM$1006:$BM$1006,0)), HYPERLINK("#",""), HYPERLINK(CONCATENATE("#metadata!", ADDRESS(INDEX($AH$2:$AH$1001,MATCH(ROWS($AF$2:AF168),$AF$2:$AF$1001,0),0), INDEX($AM$1004:$BM$1004,1,MATCH(COLUMNS($AM$1006:AM1006),$AM$1006:$BM$1006,0)))),"Fix")))</f>
        <v xml:space="preserve"> </v>
      </c>
      <c r="C168" s="4" t="str">
        <f ca="1">IF(OR(INDEX($AG$2:$AG$1001,MATCH(ROWS($AF$2:AF168),$AF$2:$AF$1001,0),1)&gt;=100000,INDEX($AM$1005:$BM$1005,1,MATCH(COLUMNS($AM$1006:AN1006),$AM$1006:$BM$1006,0))&gt;=100000), " ",IF(INDEX($AM$2:$BM$1001,MATCH(ROWS($AF$2:AF168),$AF$2:$AF$1001,0),MATCH(COLUMNS($AM$1006:AN1006),$AM$1006:$BM$1006,0)), HYPERLINK("#",""), HYPERLINK(CONCATENATE("#metadata!", ADDRESS(INDEX($AH$2:$AH$1001,MATCH(ROWS($AF$2:AF168),$AF$2:$AF$1001,0),0), INDEX($AM$1004:$BM$1004,1,MATCH(COLUMNS($AM$1006:AN1006),$AM$1006:$BM$1006,0)))),"Fix")))</f>
        <v xml:space="preserve"> </v>
      </c>
      <c r="D168" s="4" t="str">
        <f ca="1">IF(OR(INDEX($AG$2:$AG$1001,MATCH(ROWS($AF$2:AF168),$AF$2:$AF$1001,0),1)&gt;=100000,INDEX($AM$1005:$BM$1005,1,MATCH(COLUMNS($AM$1006:AO1006),$AM$1006:$BM$1006,0))&gt;=100000), " ",IF(INDEX($AM$2:$BM$1001,MATCH(ROWS($AF$2:AF168),$AF$2:$AF$1001,0),MATCH(COLUMNS($AM$1006:AO1006),$AM$1006:$BM$1006,0)), HYPERLINK("#",""), HYPERLINK(CONCATENATE("#metadata!", ADDRESS(INDEX($AH$2:$AH$1001,MATCH(ROWS($AF$2:AF168),$AF$2:$AF$1001,0),0), INDEX($AM$1004:$BM$1004,1,MATCH(COLUMNS($AM$1006:AO1006),$AM$1006:$BM$1006,0)))),"Fix")))</f>
        <v xml:space="preserve"> </v>
      </c>
      <c r="E168" s="4" t="str">
        <f ca="1">IF(OR(INDEX($AG$2:$AG$1001,MATCH(ROWS($AF$2:AF168),$AF$2:$AF$1001,0),1)&gt;=100000,INDEX($AM$1005:$BM$1005,1,MATCH(COLUMNS($AM$1006:AP1006),$AM$1006:$BM$1006,0))&gt;=100000), " ",IF(INDEX($AM$2:$BM$1001,MATCH(ROWS($AF$2:AF168),$AF$2:$AF$1001,0),MATCH(COLUMNS($AM$1006:AP1006),$AM$1006:$BM$1006,0)), HYPERLINK("#",""), HYPERLINK(CONCATENATE("#metadata!", ADDRESS(INDEX($AH$2:$AH$1001,MATCH(ROWS($AF$2:AF168),$AF$2:$AF$1001,0),0), INDEX($AM$1004:$BM$1004,1,MATCH(COLUMNS($AM$1006:AP1006),$AM$1006:$BM$1006,0)))),"Fix")))</f>
        <v xml:space="preserve"> </v>
      </c>
      <c r="F168" s="4" t="str">
        <f ca="1">IF(OR(INDEX($AG$2:$AG$1001,MATCH(ROWS($AF$2:AF168),$AF$2:$AF$1001,0),1)&gt;=100000,INDEX($AM$1005:$BM$1005,1,MATCH(COLUMNS($AM$1006:AQ1006),$AM$1006:$BM$1006,0))&gt;=100000), " ",IF(INDEX($AM$2:$BM$1001,MATCH(ROWS($AF$2:AF168),$AF$2:$AF$1001,0),MATCH(COLUMNS($AM$1006:AQ1006),$AM$1006:$BM$1006,0)), HYPERLINK("#",""), HYPERLINK(CONCATENATE("#metadata!", ADDRESS(INDEX($AH$2:$AH$1001,MATCH(ROWS($AF$2:AF168),$AF$2:$AF$1001,0),0), INDEX($AM$1004:$BM$1004,1,MATCH(COLUMNS($AM$1006:AQ1006),$AM$1006:$BM$1006,0)))),"Fix")))</f>
        <v xml:space="preserve"> </v>
      </c>
      <c r="G168" s="4" t="str">
        <f ca="1">IF(OR(INDEX($AG$2:$AG$1001,MATCH(ROWS($AF$2:AF168),$AF$2:$AF$1001,0),1)&gt;=100000,INDEX($AM$1005:$BM$1005,1,MATCH(COLUMNS($AM$1006:AR1006),$AM$1006:$BM$1006,0))&gt;=100000), " ",IF(INDEX($AM$2:$BM$1001,MATCH(ROWS($AF$2:AF168),$AF$2:$AF$1001,0),MATCH(COLUMNS($AM$1006:AR1006),$AM$1006:$BM$1006,0)), HYPERLINK("#",""), HYPERLINK(CONCATENATE("#metadata!", ADDRESS(INDEX($AH$2:$AH$1001,MATCH(ROWS($AF$2:AF168),$AF$2:$AF$1001,0),0), INDEX($AM$1004:$BM$1004,1,MATCH(COLUMNS($AM$1006:AR1006),$AM$1006:$BM$1006,0)))),"Fix")))</f>
        <v xml:space="preserve"> </v>
      </c>
      <c r="H168" s="4" t="str">
        <f ca="1">IF(OR(INDEX($AG$2:$AG$1001,MATCH(ROWS($AF$2:AF168),$AF$2:$AF$1001,0),1)&gt;=100000,INDEX($AM$1005:$BM$1005,1,MATCH(COLUMNS($AM$1006:AS1006),$AM$1006:$BM$1006,0))&gt;=100000), " ",IF(INDEX($AM$2:$BM$1001,MATCH(ROWS($AF$2:AF168),$AF$2:$AF$1001,0),MATCH(COLUMNS($AM$1006:AS1006),$AM$1006:$BM$1006,0)), HYPERLINK("#",""), HYPERLINK(CONCATENATE("#metadata!", ADDRESS(INDEX($AH$2:$AH$1001,MATCH(ROWS($AF$2:AF168),$AF$2:$AF$1001,0),0), INDEX($AM$1004:$BM$1004,1,MATCH(COLUMNS($AM$1006:AS1006),$AM$1006:$BM$1006,0)))),"Fix")))</f>
        <v xml:space="preserve"> </v>
      </c>
      <c r="I168" s="4" t="str">
        <f ca="1">IF(OR(INDEX($AG$2:$AG$1001,MATCH(ROWS($AF$2:AF168),$AF$2:$AF$1001,0),1)&gt;=100000,INDEX($AM$1005:$BM$1005,1,MATCH(COLUMNS($AM$1006:AT1006),$AM$1006:$BM$1006,0))&gt;=100000), " ",IF(INDEX($AM$2:$BM$1001,MATCH(ROWS($AF$2:AF168),$AF$2:$AF$1001,0),MATCH(COLUMNS($AM$1006:AT1006),$AM$1006:$BM$1006,0)), HYPERLINK("#",""), HYPERLINK(CONCATENATE("#metadata!", ADDRESS(INDEX($AH$2:$AH$1001,MATCH(ROWS($AF$2:AF168),$AF$2:$AF$1001,0),0), INDEX($AM$1004:$BM$1004,1,MATCH(COLUMNS($AM$1006:AT1006),$AM$1006:$BM$1006,0)))),"Fix")))</f>
        <v xml:space="preserve"> </v>
      </c>
      <c r="J168" s="4" t="str">
        <f ca="1">IF(OR(INDEX($AG$2:$AG$1001,MATCH(ROWS($AF$2:AF168),$AF$2:$AF$1001,0),1)&gt;=100000,INDEX($AM$1005:$BM$1005,1,MATCH(COLUMNS($AM$1006:AU1006),$AM$1006:$BM$1006,0))&gt;=100000), " ",IF(INDEX($AM$2:$BM$1001,MATCH(ROWS($AF$2:AF168),$AF$2:$AF$1001,0),MATCH(COLUMNS($AM$1006:AU1006),$AM$1006:$BM$1006,0)), HYPERLINK("#",""), HYPERLINK(CONCATENATE("#metadata!", ADDRESS(INDEX($AH$2:$AH$1001,MATCH(ROWS($AF$2:AF168),$AF$2:$AF$1001,0),0), INDEX($AM$1004:$BM$1004,1,MATCH(COLUMNS($AM$1006:AU1006),$AM$1006:$BM$1006,0)))),"Fix")))</f>
        <v xml:space="preserve"> </v>
      </c>
      <c r="K168" s="4" t="str">
        <f ca="1">IF(OR(INDEX($AG$2:$AG$1001,MATCH(ROWS($AF$2:AF168),$AF$2:$AF$1001,0),1)&gt;=100000,INDEX($AM$1005:$BM$1005,1,MATCH(COLUMNS($AM$1006:AV1006),$AM$1006:$BM$1006,0))&gt;=100000), " ",IF(INDEX($AM$2:$BM$1001,MATCH(ROWS($AF$2:AF168),$AF$2:$AF$1001,0),MATCH(COLUMNS($AM$1006:AV1006),$AM$1006:$BM$1006,0)), HYPERLINK("#",""), HYPERLINK(CONCATENATE("#metadata!", ADDRESS(INDEX($AH$2:$AH$1001,MATCH(ROWS($AF$2:AF168),$AF$2:$AF$1001,0),0), INDEX($AM$1004:$BM$1004,1,MATCH(COLUMNS($AM$1006:AV1006),$AM$1006:$BM$1006,0)))),"Fix")))</f>
        <v xml:space="preserve"> </v>
      </c>
      <c r="L168" s="4" t="str">
        <f ca="1">IF(OR(INDEX($AG$2:$AG$1001,MATCH(ROWS($AF$2:AF168),$AF$2:$AF$1001,0),1)&gt;=100000,INDEX($AM$1005:$BM$1005,1,MATCH(COLUMNS($AM$1006:AW1006),$AM$1006:$BM$1006,0))&gt;=100000), " ",IF(INDEX($AM$2:$BM$1001,MATCH(ROWS($AF$2:AF168),$AF$2:$AF$1001,0),MATCH(COLUMNS($AM$1006:AW1006),$AM$1006:$BM$1006,0)), HYPERLINK("#",""), HYPERLINK(CONCATENATE("#metadata!", ADDRESS(INDEX($AH$2:$AH$1001,MATCH(ROWS($AF$2:AF168),$AF$2:$AF$1001,0),0), INDEX($AM$1004:$BM$1004,1,MATCH(COLUMNS($AM$1006:AW1006),$AM$1006:$BM$1006,0)))),"Fix")))</f>
        <v xml:space="preserve"> </v>
      </c>
      <c r="M168" s="4" t="str">
        <f ca="1">IF(OR(INDEX($AG$2:$AG$1001,MATCH(ROWS($AF$2:AF168),$AF$2:$AF$1001,0),1)&gt;=100000,INDEX($AM$1005:$BM$1005,1,MATCH(COLUMNS($AM$1006:AX1006),$AM$1006:$BM$1006,0))&gt;=100000), " ",IF(INDEX($AM$2:$BM$1001,MATCH(ROWS($AF$2:AF168),$AF$2:$AF$1001,0),MATCH(COLUMNS($AM$1006:AX1006),$AM$1006:$BM$1006,0)), HYPERLINK("#",""), HYPERLINK(CONCATENATE("#metadata!", ADDRESS(INDEX($AH$2:$AH$1001,MATCH(ROWS($AF$2:AF168),$AF$2:$AF$1001,0),0), INDEX($AM$1004:$BM$1004,1,MATCH(COLUMNS($AM$1006:AX1006),$AM$1006:$BM$1006,0)))),"Fix")))</f>
        <v xml:space="preserve"> </v>
      </c>
      <c r="N168" s="4" t="str">
        <f ca="1">IF(OR(INDEX($AG$2:$AG$1001,MATCH(ROWS($AF$2:AF168),$AF$2:$AF$1001,0),1)&gt;=100000,INDEX($AM$1005:$BM$1005,1,MATCH(COLUMNS($AM$1006:AY1006),$AM$1006:$BM$1006,0))&gt;=100000), " ",IF(INDEX($AM$2:$BM$1001,MATCH(ROWS($AF$2:AF168),$AF$2:$AF$1001,0),MATCH(COLUMNS($AM$1006:AY1006),$AM$1006:$BM$1006,0)), HYPERLINK("#",""), HYPERLINK(CONCATENATE("#metadata!", ADDRESS(INDEX($AH$2:$AH$1001,MATCH(ROWS($AF$2:AF168),$AF$2:$AF$1001,0),0), INDEX($AM$1004:$BM$1004,1,MATCH(COLUMNS($AM$1006:AY1006),$AM$1006:$BM$1006,0)))),"Fix")))</f>
        <v xml:space="preserve"> </v>
      </c>
      <c r="O168" s="4" t="str">
        <f ca="1">IF(OR(INDEX($AG$2:$AG$1001,MATCH(ROWS($AF$2:AF168),$AF$2:$AF$1001,0),1)&gt;=100000,INDEX($AM$1005:$BM$1005,1,MATCH(COLUMNS($AM$1006:AZ1006),$AM$1006:$BM$1006,0))&gt;=100000), " ",IF(INDEX($AM$2:$BM$1001,MATCH(ROWS($AF$2:AF168),$AF$2:$AF$1001,0),MATCH(COLUMNS($AM$1006:AZ1006),$AM$1006:$BM$1006,0)), HYPERLINK("#",""), HYPERLINK(CONCATENATE("#metadata!", ADDRESS(INDEX($AH$2:$AH$1001,MATCH(ROWS($AF$2:AF168),$AF$2:$AF$1001,0),0), INDEX($AM$1004:$BM$1004,1,MATCH(COLUMNS($AM$1006:AZ1006),$AM$1006:$BM$1006,0)))),"Fix")))</f>
        <v xml:space="preserve"> </v>
      </c>
      <c r="P168" s="4" t="str">
        <f ca="1">IF(OR(INDEX($AG$2:$AG$1001,MATCH(ROWS($AF$2:AF168),$AF$2:$AF$1001,0),1)&gt;=100000,INDEX($AM$1005:$BM$1005,1,MATCH(COLUMNS($AM$1006:BA1006),$AM$1006:$BM$1006,0))&gt;=100000), " ",IF(INDEX($AM$2:$BM$1001,MATCH(ROWS($AF$2:AF168),$AF$2:$AF$1001,0),MATCH(COLUMNS($AM$1006:BA1006),$AM$1006:$BM$1006,0)), HYPERLINK("#",""), HYPERLINK(CONCATENATE("#metadata!", ADDRESS(INDEX($AH$2:$AH$1001,MATCH(ROWS($AF$2:AF168),$AF$2:$AF$1001,0),0), INDEX($AM$1004:$BM$1004,1,MATCH(COLUMNS($AM$1006:BA1006),$AM$1006:$BM$1006,0)))),"Fix")))</f>
        <v xml:space="preserve"> </v>
      </c>
      <c r="Q168" s="4" t="str">
        <f ca="1">IF(OR(INDEX($AG$2:$AG$1001,MATCH(ROWS($AF$2:AF168),$AF$2:$AF$1001,0),1)&gt;=100000,INDEX($AM$1005:$BM$1005,1,MATCH(COLUMNS($AM$1006:BB1006),$AM$1006:$BM$1006,0))&gt;=100000), " ",IF(INDEX($AM$2:$BM$1001,MATCH(ROWS($AF$2:AF168),$AF$2:$AF$1001,0),MATCH(COLUMNS($AM$1006:BB1006),$AM$1006:$BM$1006,0)), HYPERLINK("#",""), HYPERLINK(CONCATENATE("#metadata!", ADDRESS(INDEX($AH$2:$AH$1001,MATCH(ROWS($AF$2:AF168),$AF$2:$AF$1001,0),0), INDEX($AM$1004:$BM$1004,1,MATCH(COLUMNS($AM$1006:BB1006),$AM$1006:$BM$1006,0)))),"Fix")))</f>
        <v xml:space="preserve"> </v>
      </c>
      <c r="R168" s="4" t="str">
        <f ca="1">IF(OR(INDEX($AG$2:$AG$1001,MATCH(ROWS($AF$2:AF168),$AF$2:$AF$1001,0),1)&gt;=100000,INDEX($AM$1005:$BM$1005,1,MATCH(COLUMNS($AM$1006:BC1006),$AM$1006:$BM$1006,0))&gt;=100000), " ",IF(INDEX($AM$2:$BM$1001,MATCH(ROWS($AF$2:AF168),$AF$2:$AF$1001,0),MATCH(COLUMNS($AM$1006:BC1006),$AM$1006:$BM$1006,0)), HYPERLINK("#",""), HYPERLINK(CONCATENATE("#metadata!", ADDRESS(INDEX($AH$2:$AH$1001,MATCH(ROWS($AF$2:AF168),$AF$2:$AF$1001,0),0), INDEX($AM$1004:$BM$1004,1,MATCH(COLUMNS($AM$1006:BC1006),$AM$1006:$BM$1006,0)))),"Fix")))</f>
        <v xml:space="preserve"> </v>
      </c>
      <c r="S168" s="4" t="str">
        <f ca="1">IF(OR(INDEX($AG$2:$AG$1001,MATCH(ROWS($AF$2:AF168),$AF$2:$AF$1001,0),1)&gt;=100000,INDEX($AM$1005:$BM$1005,1,MATCH(COLUMNS($AM$1006:BD1006),$AM$1006:$BM$1006,0))&gt;=100000), " ",IF(INDEX($AM$2:$BM$1001,MATCH(ROWS($AF$2:AF168),$AF$2:$AF$1001,0),MATCH(COLUMNS($AM$1006:BD1006),$AM$1006:$BM$1006,0)), HYPERLINK("#",""), HYPERLINK(CONCATENATE("#metadata!", ADDRESS(INDEX($AH$2:$AH$1001,MATCH(ROWS($AF$2:AF168),$AF$2:$AF$1001,0),0), INDEX($AM$1004:$BM$1004,1,MATCH(COLUMNS($AM$1006:BD1006),$AM$1006:$BM$1006,0)))),"Fix")))</f>
        <v xml:space="preserve"> </v>
      </c>
      <c r="T168" s="4" t="str">
        <f ca="1">IF(OR(INDEX($AG$2:$AG$1001,MATCH(ROWS($AF$2:AF168),$AF$2:$AF$1001,0),1)&gt;=100000,INDEX($AM$1005:$BM$1005,1,MATCH(COLUMNS($AM$1006:BE1006),$AM$1006:$BM$1006,0))&gt;=100000), " ",IF(INDEX($AM$2:$BM$1001,MATCH(ROWS($AF$2:AF168),$AF$2:$AF$1001,0),MATCH(COLUMNS($AM$1006:BE1006),$AM$1006:$BM$1006,0)), HYPERLINK("#",""), HYPERLINK(CONCATENATE("#metadata!", ADDRESS(INDEX($AH$2:$AH$1001,MATCH(ROWS($AF$2:AF168),$AF$2:$AF$1001,0),0), INDEX($AM$1004:$BM$1004,1,MATCH(COLUMNS($AM$1006:BE1006),$AM$1006:$BM$1006,0)))),"Fix")))</f>
        <v xml:space="preserve"> </v>
      </c>
      <c r="U168" s="4" t="str">
        <f ca="1">IF(OR(INDEX($AG$2:$AG$1001,MATCH(ROWS($AF$2:AF168),$AF$2:$AF$1001,0),1)&gt;=100000,INDEX($AM$1005:$BM$1005,1,MATCH(COLUMNS($AM$1006:BF1006),$AM$1006:$BM$1006,0))&gt;=100000), " ",IF(INDEX($AM$2:$BM$1001,MATCH(ROWS($AF$2:AF168),$AF$2:$AF$1001,0),MATCH(COLUMNS($AM$1006:BF1006),$AM$1006:$BM$1006,0)), HYPERLINK("#",""), HYPERLINK(CONCATENATE("#metadata!", ADDRESS(INDEX($AH$2:$AH$1001,MATCH(ROWS($AF$2:AF168),$AF$2:$AF$1001,0),0), INDEX($AM$1004:$BM$1004,1,MATCH(COLUMNS($AM$1006:BF1006),$AM$1006:$BM$1006,0)))),"Fix")))</f>
        <v xml:space="preserve"> </v>
      </c>
      <c r="V168" s="4" t="str">
        <f ca="1">IF(OR(INDEX($AG$2:$AG$1001,MATCH(ROWS($AF$2:AF168),$AF$2:$AF$1001,0),1)&gt;=100000,INDEX($AM$1005:$BM$1005,1,MATCH(COLUMNS($AM$1006:BG1006),$AM$1006:$BM$1006,0))&gt;=100000), " ",IF(INDEX($AM$2:$BM$1001,MATCH(ROWS($AF$2:AF168),$AF$2:$AF$1001,0),MATCH(COLUMNS($AM$1006:BG1006),$AM$1006:$BM$1006,0)), HYPERLINK("#",""), HYPERLINK(CONCATENATE("#metadata!", ADDRESS(INDEX($AH$2:$AH$1001,MATCH(ROWS($AF$2:AF168),$AF$2:$AF$1001,0),0), INDEX($AM$1004:$BM$1004,1,MATCH(COLUMNS($AM$1006:BG1006),$AM$1006:$BM$1006,0)))),"Fix")))</f>
        <v xml:space="preserve"> </v>
      </c>
      <c r="W168" s="4" t="str">
        <f ca="1">IF(OR(INDEX($AG$2:$AG$1001,MATCH(ROWS($AF$2:AF168),$AF$2:$AF$1001,0),1)&gt;=100000,INDEX($AM$1005:$BM$1005,1,MATCH(COLUMNS($AM$1006:BH1006),$AM$1006:$BM$1006,0))&gt;=100000), " ",IF(INDEX($AM$2:$BM$1001,MATCH(ROWS($AF$2:AF168),$AF$2:$AF$1001,0),MATCH(COLUMNS($AM$1006:BH1006),$AM$1006:$BM$1006,0)), HYPERLINK("#",""), HYPERLINK(CONCATENATE("#metadata!", ADDRESS(INDEX($AH$2:$AH$1001,MATCH(ROWS($AF$2:AF168),$AF$2:$AF$1001,0),0), INDEX($AM$1004:$BM$1004,1,MATCH(COLUMNS($AM$1006:BH1006),$AM$1006:$BM$1006,0)))),"Fix")))</f>
        <v xml:space="preserve"> </v>
      </c>
      <c r="X168" s="4" t="str">
        <f ca="1">IF(OR(INDEX($AG$2:$AG$1001,MATCH(ROWS($AF$2:AF168),$AF$2:$AF$1001,0),1)&gt;=100000,INDEX($AM$1005:$BM$1005,1,MATCH(COLUMNS($AM$1006:BI1006),$AM$1006:$BM$1006,0))&gt;=100000), " ",IF(INDEX($AM$2:$BM$1001,MATCH(ROWS($AF$2:AF168),$AF$2:$AF$1001,0),MATCH(COLUMNS($AM$1006:BI1006),$AM$1006:$BM$1006,0)), HYPERLINK("#",""), HYPERLINK(CONCATENATE("#metadata!", ADDRESS(INDEX($AH$2:$AH$1001,MATCH(ROWS($AF$2:AF168),$AF$2:$AF$1001,0),0), INDEX($AM$1004:$BM$1004,1,MATCH(COLUMNS($AM$1006:BI1006),$AM$1006:$BM$1006,0)))),"Fix")))</f>
        <v xml:space="preserve"> </v>
      </c>
      <c r="Y168" s="4" t="str">
        <f ca="1">IF(OR(INDEX($AG$2:$AG$1001,MATCH(ROWS($AF$2:AF168),$AF$2:$AF$1001,0),1)&gt;=100000,INDEX($AM$1005:$BM$1005,1,MATCH(COLUMNS($AM$1006:BJ1006),$AM$1006:$BM$1006,0))&gt;=100000), " ",IF(INDEX($AM$2:$BM$1001,MATCH(ROWS($AF$2:AF168),$AF$2:$AF$1001,0),MATCH(COLUMNS($AM$1006:BJ1006),$AM$1006:$BM$1006,0)), HYPERLINK("#",""), HYPERLINK(CONCATENATE("#metadata!", ADDRESS(INDEX($AH$2:$AH$1001,MATCH(ROWS($AF$2:AF168),$AF$2:$AF$1001,0),0), INDEX($AM$1004:$BM$1004,1,MATCH(COLUMNS($AM$1006:BJ1006),$AM$1006:$BM$1006,0)))),"Fix")))</f>
        <v xml:space="preserve"> </v>
      </c>
      <c r="Z168" s="4" t="str">
        <f ca="1">IF(OR(INDEX($AG$2:$AG$1001,MATCH(ROWS($AF$2:AF168),$AF$2:$AF$1001,0),1)&gt;=100000,INDEX($AM$1005:$BM$1005,1,MATCH(COLUMNS($AM$1006:BK1006),$AM$1006:$BM$1006,0))&gt;=100000), " ",IF(INDEX($AM$2:$BM$1001,MATCH(ROWS($AF$2:AF168),$AF$2:$AF$1001,0),MATCH(COLUMNS($AM$1006:BK1006),$AM$1006:$BM$1006,0)), HYPERLINK("#",""), HYPERLINK(CONCATENATE("#metadata!", ADDRESS(INDEX($AH$2:$AH$1001,MATCH(ROWS($AF$2:AF168),$AF$2:$AF$1001,0),0), INDEX($AM$1004:$BM$1004,1,MATCH(COLUMNS($AM$1006:BK1006),$AM$1006:$BM$1006,0)))),"Fix")))</f>
        <v xml:space="preserve"> </v>
      </c>
      <c r="AA168" s="4" t="str">
        <f ca="1">IF(OR(INDEX($AG$2:$AG$1001,MATCH(ROWS($AF$2:AF168),$AF$2:$AF$1001,0),1)&gt;=100000,INDEX($AM$1005:$BM$1005,1,MATCH(COLUMNS($AM$1006:BL1006),$AM$1006:$BM$1006,0))&gt;=100000), " ",IF(INDEX($AM$2:$BM$1001,MATCH(ROWS($AF$2:AF168),$AF$2:$AF$1001,0),MATCH(COLUMNS($AM$1006:BL1006),$AM$1006:$BM$1006,0)), HYPERLINK("#",""), HYPERLINK(CONCATENATE("#metadata!", ADDRESS(INDEX($AH$2:$AH$1001,MATCH(ROWS($AF$2:AF168),$AF$2:$AF$1001,0),0), INDEX($AM$1004:$BM$1004,1,MATCH(COLUMNS($AM$1006:BL1006),$AM$1006:$BM$1006,0)))),"Fix")))</f>
        <v xml:space="preserve"> </v>
      </c>
      <c r="AB168" s="4" t="str">
        <f ca="1">IF(OR(INDEX($AG$2:$AG$1001,MATCH(ROWS($AF$2:AF168),$AF$2:$AF$1001,0),1)&gt;=100000,INDEX($AM$1005:$BM$1005,1,MATCH(COLUMNS($AM$1006:BM1006),$AM$1006:$BM$1006,0))&gt;=100000), " ",IF(INDEX($AM$2:$BM$1001,MATCH(ROWS($AF$2:AF168),$AF$2:$AF$1001,0),MATCH(COLUMNS($AM$1006:BM1006),$AM$1006:$BM$1006,0)), HYPERLINK("#",""), HYPERLINK(CONCATENATE("#metadata!", ADDRESS(INDEX($AH$2:$AH$1001,MATCH(ROWS($AF$2:AF168),$AF$2:$AF$1001,0),0), INDEX($AM$1004:$BM$1004,1,MATCH(COLUMNS($AM$1006:BM1006),$AM$1006:$BM$1006,0)))),"Fix")))</f>
        <v xml:space="preserve"> </v>
      </c>
      <c r="AF168">
        <v>167</v>
      </c>
      <c r="AG168">
        <v>100168</v>
      </c>
      <c r="AH168">
        <v>168</v>
      </c>
      <c r="AI168" t="b">
        <f t="shared" si="2"/>
        <v>1</v>
      </c>
      <c r="AJ168" t="b">
        <f>COUNTBLANK(metadata!B168:AB168)=COLUMNS(metadata!B168:AB168)</f>
        <v>1</v>
      </c>
      <c r="AK168" t="str">
        <v/>
      </c>
      <c r="AM168" t="b">
        <f ca="1">AND(IF(metadata!B168="",FALSE,TRUE),COUNTIF(metadata!B:B, metadata!B168) = 1,NOT(ISERROR(SUMPRODUCT(SEARCH(MID(metadata!B168,ROW(INDIRECT("1:"&amp;LEN(metadata!B168))), 1),"0123456789abcdefghijklmnopqrstuvwxyzABCDEFGHIJKLMNOPQRSTUVWXYZ.")))))</f>
        <v>0</v>
      </c>
      <c r="AN168" t="b">
        <f ca="1">OR(AND(IF(metadata!C168="",FALSE,TRUE),OR(EXACT(metadata!C168,"missing: not collected"),EXACT(metadata!C168,"missing: not provided"),EXACT(metadata!C168,"missing: restricted access"))),AND(IF(metadata!C168="",FALSE,TRUE),AND(AND(IFERROR(INT(LEFT(metadata!C168,4))&gt;1900,FALSE),IFERROR(INT(LEFT(metadata!C168,4))&lt;=YEAR(NOW()),FALSE)), OR(MID(metadata!C168,5,1)="", AND(AND(MID(metadata!C168,5,1)="-",IFERROR(INT(MID(metadata!C168,6,1))&gt;=0,FALSE),IFERROR(INT(MID(metadata!C168,6,1))&lt;=1,FALSE),NOT(MID(metadata!C168,7,1)=""),IFERROR(INT(MID(metadata!C168,6,2))&gt;=1,FALSE),IFERROR(INT(MID(metadata!C168,6,2))&lt;=12,FALSE)), OR(MID(metadata!C168,8,1)="", AND(AND(MID(metadata!C168,8,1)="-",IFERROR(INT(MID(metadata!C168,9,1))&gt;=0,FALSE),IFERROR(INT(MID(metadata!C168,9,1))&lt;=3,FALSE),NOT(MID(metadata!C168,10,1)=""),IFERROR(INT(MID(metadata!C168,9,2))&gt;=1,FALSE),IFERROR(INT(MID(metadata!C168,9,2))&lt;=31,FALSE)), OR(MID(metadata!C168,11,1)="", AND(AND(MID(metadata!C168,11,1)=" ",IFERROR(INT(MID(metadata!C168,12,1))&gt;=0,FALSE),IFERROR(INT(MID(metadata!C168,12,1))&lt;=2,FALSE),NOT(MID(metadata!C168,13,1)=""),IFERROR(INT(MID(metadata!C168,12,2))&gt;=0,FALSE),IFERROR(INT(MID(metadata!C168,12,2))&lt;=23,FALSE)), OR(MID(metadata!C168,14,1)="", AND(AND(MID(metadata!C168,14,1)=":",IFERROR(INT(MID(metadata!C168,15,1))&gt;=0,FALSE),IFERROR(INT(MID(metadata!C168,15,1))&lt;=5,FALSE),NOT(MID(metadata!C168,16,1)=""),IFERROR(INT(MID(metadata!C168,15,2))&gt;=0,FALSE),IFERROR(INT(MID(metadata!C168,15,2))&lt;=59,FALSE)), OR(MID(metadata!C168,17,1)="", AND(AND(MID(metadata!C168,17,1)=":",IFERROR(INT(MID(metadata!C168,18,1))&gt;=0,FALSE),IFERROR(INT(MID(metadata!C168,18,1))&lt;=5,FALSE),NOT(MID(metadata!C168,19,1)=""),IFERROR(INT(MID(metadata!C168,18,2))&gt;=0,FALSE),IFERROR(INT(MID(metadata!C168,18,2))&lt;=59,FALSE)), LEN(metadata!C168)&lt;=19)))))))))))))</f>
        <v>0</v>
      </c>
      <c r="AO168" t="b">
        <f>AND(IF(metadata!D168="",FALSE,TRUE),EXACT(metadata!D168,"Not applicable"))</f>
        <v>0</v>
      </c>
      <c r="AP168" t="b">
        <f>IF(metadata!E168="",FALSE,TRUE)</f>
        <v>0</v>
      </c>
      <c r="AQ168" t="b">
        <f>OR(AND(IF(metadata!F168="",FALSE,TRUE),OR(EXACT(metadata!F168,"missing: not collected"),EXACT(metadata!F168,"missing: not provided"))),AND(IF(metadata!F168="",FALSE,TRUE),OR(EXACT(metadata!F168,"TRUE"),EXACT(metadata!F168,"FALSE"))))</f>
        <v>0</v>
      </c>
      <c r="AR168" t="b">
        <f>OR(AND(IF(metadata!G168="",FALSE,TRUE),OR(EXACT(metadata!G168,"missing: not collected"),EXACT(metadata!G168,"missing: not provided"),EXACT(metadata!G168,"missing: restricted access"))),AND(IF(metadata!G168="",FALSE,ISNUMBER(VALUE(metadata!G168))),metadata!G168&gt;=-413))</f>
        <v>0</v>
      </c>
      <c r="AS168" t="b">
        <f>AND(IF(metadata!H168="",FALSE,TRUE),EXACT(metadata!H168,"meters"))</f>
        <v>0</v>
      </c>
      <c r="AT168" t="b">
        <f>AND(IF(metadata!I168="",FALSE,TRUE),OR(EXACT(metadata!I168,"Host-associated"),EXACT(metadata!I168,"Free-living")))</f>
        <v>0</v>
      </c>
      <c r="AU168" t="b">
        <f>AND(IF(metadata!J168="",FALSE,TRUE),OR(EXACT(metadata!J168,"Animal"),EXACT(metadata!J168,"Fungus"),EXACT(metadata!J168,"Plant"),EXACT(metadata!J168,"Saline"),EXACT(metadata!J168,"Non-saline")))</f>
        <v>0</v>
      </c>
      <c r="AV168" t="b">
        <f>AND(IF(metadata!K168="",FALSE,TRUE),OR(EXACT(metadata!K168,"Plant secretion"),EXACT(metadata!K168,"Plant rhizosphere"),EXACT(metadata!K168,"Plant surface"),EXACT(metadata!K168,"Plant corpus"),EXACT(metadata!K168,"Fungus surface"),EXACT(metadata!K168,"Fungus corpus"),EXACT(metadata!K168,"Animal surface"),EXACT(metadata!K168,"Animal proximal gut"),EXACT(metadata!K168,"Animal corpus"),EXACT(metadata!K168,"Animal distal gut"),EXACT(metadata!K168,"Animal secretion"),EXACT(metadata!K168,"Sub-surface (non-saline)"),EXACT(metadata!K168,"Surface (non-saline)"),EXACT(metadata!K168,"Water (non-saline)"),EXACT(metadata!K168,"Soil (non-saline)"),EXACT(metadata!K168,"Aerosol (non-saline)"),EXACT(metadata!K168,"Sediment (non-saline)"),EXACT(metadata!K168,"Surface (saline)"),EXACT(metadata!K168,"Water (saline)"),EXACT(metadata!K168,"Hypersaline (saline)"),EXACT(metadata!K168,"Aerosol (saline)"),EXACT(metadata!K168,"Sediment (saline)")))</f>
        <v>0</v>
      </c>
      <c r="AW168" t="b">
        <f>IF(metadata!L168="",FALSE,TRUE)</f>
        <v>0</v>
      </c>
      <c r="AX168" t="b">
        <f>IF(metadata!M168="",FALSE,TRUE)</f>
        <v>0</v>
      </c>
      <c r="AY168" t="b">
        <f>IF(metadata!N168="",FALSE,TRUE)</f>
        <v>0</v>
      </c>
      <c r="AZ168" t="b">
        <f>OR(AND(IF(metadata!O168="",FALSE,TRUE),OR(EXACT(metadata!O168,"missing: not collected"),EXACT(metadata!O168,"missing: not provided"),EXACT(metadata!O168,"missing: restricted access"))),AND(IF(metadata!O168="",FALSE,TRUE),OR(EXACT(metadata!O168,"air"),EXACT(metadata!O168,"built environment"),EXACT(metadata!O168,"host-associated"),EXACT(metadata!O168,"human-associated"),EXACT(metadata!O168,"human-skin"),EXACT(metadata!O168,"human-oral"),EXACT(metadata!O168,"human-gut"),EXACT(metadata!O168,"human-vaginal"),EXACT(metadata!O168,"microbial mat/biofilm"),EXACT(metadata!O168,"misc environment"),EXACT(metadata!O168,"plant-associated"),EXACT(metadata!O168,"sediment"),EXACT(metadata!O168,"soil"),EXACT(metadata!O168,"wastewater/sludge"),EXACT(metadata!O168,"water"))))</f>
        <v>0</v>
      </c>
      <c r="BA168" t="b">
        <f>IF(metadata!P168="",FALSE,TRUE)</f>
        <v>0</v>
      </c>
      <c r="BB168" t="b">
        <f>IF(metadata!Q168="",FALSE,TRUE)</f>
        <v>0</v>
      </c>
      <c r="BC168" t="b">
        <f>OR(AND(IF(metadata!R168="",FALSE,TRUE),OR(EXACT(metadata!R168,"missing: not collected"),EXACT(metadata!R168,"missing: not provided"),EXACT(metadata!R168,"missing: restricted access"))),AND(IF(metadata!R168="",FALSE,ISNUMBER(VALUE(metadata!R168))),metadata!R168&gt;=-90,metadata!R168&lt;=90))</f>
        <v>0</v>
      </c>
      <c r="BD168" t="b">
        <f>AND(IF(metadata!S168="",FALSE,TRUE),EXACT(metadata!S168,"Decimal degrees"))</f>
        <v>0</v>
      </c>
      <c r="BE168" t="b">
        <f>OR(AND(IF(metadata!T168="",FALSE,TRUE),OR(EXACT(metadata!T168,"missing: not collected"),EXACT(metadata!T168,"missing: not provided"),EXACT(metadata!T168,"missing: restricted access"))),AND(IF(metadata!T168="",FALSE,ISNUMBER(VALUE(metadata!T168))),metadata!T168&gt;=-180,metadata!T168&lt;=180))</f>
        <v>0</v>
      </c>
      <c r="BF168" t="b">
        <f>AND(IF(metadata!U168="",FALSE,TRUE),EXACT(metadata!U168,"Decimal degrees"))</f>
        <v>0</v>
      </c>
      <c r="BG168" t="b">
        <f>IF(metadata!V168="",FALSE,TRUE)</f>
        <v>0</v>
      </c>
      <c r="BH168" t="b">
        <f>OR(AND(IF(metadata!W168="",FALSE,TRUE),OR(EXACT(metadata!W168,"missing: not collected"),EXACT(metadata!W168,"missing: not provided"),EXACT(metadata!W168,"missing: restricted access"))),AND(IF(metadata!W168="",FALSE,TRUE),OR(EXACT(metadata!W168,"TRUE"),EXACT(metadata!W168,"FALSE"))))</f>
        <v>0</v>
      </c>
      <c r="BI168" t="b">
        <f>AND(IF(metadata!X168="",FALSE,TRUE),EXACT(metadata!X168,"other"))</f>
        <v>0</v>
      </c>
      <c r="BJ168" t="b">
        <f>IF(metadata!Y168="",FALSE,TRUE)</f>
        <v>0</v>
      </c>
      <c r="BK168" t="b">
        <f>OR(AND(IF(metadata!Z168="",FALSE,TRUE),OR(EXACT(metadata!Z168,"missing: not collected"),EXACT(metadata!Z168,"missing: not provided"))),AND(IF(metadata!Z168="",FALSE,IF(ISERROR(INT(metadata!Z168)),FALSE,INT(metadata!Z168)=metadata!Z168)),metadata!Z168&gt;0))</f>
        <v>0</v>
      </c>
      <c r="BL168" t="b">
        <f>AND(IF(metadata!AA168="",FALSE,TRUE),EXACT(metadata!AA168,"Not applicable"))</f>
        <v>0</v>
      </c>
      <c r="BM168" t="b">
        <f>IF(metadata!AB168="",FALSE,TRUE)</f>
        <v>0</v>
      </c>
    </row>
    <row r="169" spans="1:65" x14ac:dyDescent="0.2">
      <c r="A169" s="5" t="str">
        <f ca="1">IF(B169=" "," ",HYPERLINK(CONCATENATE("#metadata!",ADDRESS(INDEX($AH$2:$AH$1001,MATCH(ROWS($AF$2:AF169),$AF$2:$AF$1001,0),0),1)),INDEX($AK$2:$AK$1001,MATCH(ROWS($AF$2:AF169),$AF$2:$AF$1001,0),0)))</f>
        <v xml:space="preserve"> </v>
      </c>
      <c r="B169" s="4" t="str">
        <f ca="1">IF(OR(INDEX($AG$2:$AG$1001,MATCH(ROWS($AF$2:AF169),$AF$2:$AF$1001,0),1)&gt;=100000,INDEX($AM$1005:$BM$1005,1,MATCH(COLUMNS($AM$1006:AM1006),$AM$1006:$BM$1006,0))&gt;=100000), " ",IF(INDEX($AM$2:$BM$1001,MATCH(ROWS($AF$2:AF169),$AF$2:$AF$1001,0),MATCH(COLUMNS($AM$1006:AM1006),$AM$1006:$BM$1006,0)), HYPERLINK("#",""), HYPERLINK(CONCATENATE("#metadata!", ADDRESS(INDEX($AH$2:$AH$1001,MATCH(ROWS($AF$2:AF169),$AF$2:$AF$1001,0),0), INDEX($AM$1004:$BM$1004,1,MATCH(COLUMNS($AM$1006:AM1006),$AM$1006:$BM$1006,0)))),"Fix")))</f>
        <v xml:space="preserve"> </v>
      </c>
      <c r="C169" s="4" t="str">
        <f ca="1">IF(OR(INDEX($AG$2:$AG$1001,MATCH(ROWS($AF$2:AF169),$AF$2:$AF$1001,0),1)&gt;=100000,INDEX($AM$1005:$BM$1005,1,MATCH(COLUMNS($AM$1006:AN1006),$AM$1006:$BM$1006,0))&gt;=100000), " ",IF(INDEX($AM$2:$BM$1001,MATCH(ROWS($AF$2:AF169),$AF$2:$AF$1001,0),MATCH(COLUMNS($AM$1006:AN1006),$AM$1006:$BM$1006,0)), HYPERLINK("#",""), HYPERLINK(CONCATENATE("#metadata!", ADDRESS(INDEX($AH$2:$AH$1001,MATCH(ROWS($AF$2:AF169),$AF$2:$AF$1001,0),0), INDEX($AM$1004:$BM$1004,1,MATCH(COLUMNS($AM$1006:AN1006),$AM$1006:$BM$1006,0)))),"Fix")))</f>
        <v xml:space="preserve"> </v>
      </c>
      <c r="D169" s="4" t="str">
        <f ca="1">IF(OR(INDEX($AG$2:$AG$1001,MATCH(ROWS($AF$2:AF169),$AF$2:$AF$1001,0),1)&gt;=100000,INDEX($AM$1005:$BM$1005,1,MATCH(COLUMNS($AM$1006:AO1006),$AM$1006:$BM$1006,0))&gt;=100000), " ",IF(INDEX($AM$2:$BM$1001,MATCH(ROWS($AF$2:AF169),$AF$2:$AF$1001,0),MATCH(COLUMNS($AM$1006:AO1006),$AM$1006:$BM$1006,0)), HYPERLINK("#",""), HYPERLINK(CONCATENATE("#metadata!", ADDRESS(INDEX($AH$2:$AH$1001,MATCH(ROWS($AF$2:AF169),$AF$2:$AF$1001,0),0), INDEX($AM$1004:$BM$1004,1,MATCH(COLUMNS($AM$1006:AO1006),$AM$1006:$BM$1006,0)))),"Fix")))</f>
        <v xml:space="preserve"> </v>
      </c>
      <c r="E169" s="4" t="str">
        <f ca="1">IF(OR(INDEX($AG$2:$AG$1001,MATCH(ROWS($AF$2:AF169),$AF$2:$AF$1001,0),1)&gt;=100000,INDEX($AM$1005:$BM$1005,1,MATCH(COLUMNS($AM$1006:AP1006),$AM$1006:$BM$1006,0))&gt;=100000), " ",IF(INDEX($AM$2:$BM$1001,MATCH(ROWS($AF$2:AF169),$AF$2:$AF$1001,0),MATCH(COLUMNS($AM$1006:AP1006),$AM$1006:$BM$1006,0)), HYPERLINK("#",""), HYPERLINK(CONCATENATE("#metadata!", ADDRESS(INDEX($AH$2:$AH$1001,MATCH(ROWS($AF$2:AF169),$AF$2:$AF$1001,0),0), INDEX($AM$1004:$BM$1004,1,MATCH(COLUMNS($AM$1006:AP1006),$AM$1006:$BM$1006,0)))),"Fix")))</f>
        <v xml:space="preserve"> </v>
      </c>
      <c r="F169" s="4" t="str">
        <f ca="1">IF(OR(INDEX($AG$2:$AG$1001,MATCH(ROWS($AF$2:AF169),$AF$2:$AF$1001,0),1)&gt;=100000,INDEX($AM$1005:$BM$1005,1,MATCH(COLUMNS($AM$1006:AQ1006),$AM$1006:$BM$1006,0))&gt;=100000), " ",IF(INDEX($AM$2:$BM$1001,MATCH(ROWS($AF$2:AF169),$AF$2:$AF$1001,0),MATCH(COLUMNS($AM$1006:AQ1006),$AM$1006:$BM$1006,0)), HYPERLINK("#",""), HYPERLINK(CONCATENATE("#metadata!", ADDRESS(INDEX($AH$2:$AH$1001,MATCH(ROWS($AF$2:AF169),$AF$2:$AF$1001,0),0), INDEX($AM$1004:$BM$1004,1,MATCH(COLUMNS($AM$1006:AQ1006),$AM$1006:$BM$1006,0)))),"Fix")))</f>
        <v xml:space="preserve"> </v>
      </c>
      <c r="G169" s="4" t="str">
        <f ca="1">IF(OR(INDEX($AG$2:$AG$1001,MATCH(ROWS($AF$2:AF169),$AF$2:$AF$1001,0),1)&gt;=100000,INDEX($AM$1005:$BM$1005,1,MATCH(COLUMNS($AM$1006:AR1006),$AM$1006:$BM$1006,0))&gt;=100000), " ",IF(INDEX($AM$2:$BM$1001,MATCH(ROWS($AF$2:AF169),$AF$2:$AF$1001,0),MATCH(COLUMNS($AM$1006:AR1006),$AM$1006:$BM$1006,0)), HYPERLINK("#",""), HYPERLINK(CONCATENATE("#metadata!", ADDRESS(INDEX($AH$2:$AH$1001,MATCH(ROWS($AF$2:AF169),$AF$2:$AF$1001,0),0), INDEX($AM$1004:$BM$1004,1,MATCH(COLUMNS($AM$1006:AR1006),$AM$1006:$BM$1006,0)))),"Fix")))</f>
        <v xml:space="preserve"> </v>
      </c>
      <c r="H169" s="4" t="str">
        <f ca="1">IF(OR(INDEX($AG$2:$AG$1001,MATCH(ROWS($AF$2:AF169),$AF$2:$AF$1001,0),1)&gt;=100000,INDEX($AM$1005:$BM$1005,1,MATCH(COLUMNS($AM$1006:AS1006),$AM$1006:$BM$1006,0))&gt;=100000), " ",IF(INDEX($AM$2:$BM$1001,MATCH(ROWS($AF$2:AF169),$AF$2:$AF$1001,0),MATCH(COLUMNS($AM$1006:AS1006),$AM$1006:$BM$1006,0)), HYPERLINK("#",""), HYPERLINK(CONCATENATE("#metadata!", ADDRESS(INDEX($AH$2:$AH$1001,MATCH(ROWS($AF$2:AF169),$AF$2:$AF$1001,0),0), INDEX($AM$1004:$BM$1004,1,MATCH(COLUMNS($AM$1006:AS1006),$AM$1006:$BM$1006,0)))),"Fix")))</f>
        <v xml:space="preserve"> </v>
      </c>
      <c r="I169" s="4" t="str">
        <f ca="1">IF(OR(INDEX($AG$2:$AG$1001,MATCH(ROWS($AF$2:AF169),$AF$2:$AF$1001,0),1)&gt;=100000,INDEX($AM$1005:$BM$1005,1,MATCH(COLUMNS($AM$1006:AT1006),$AM$1006:$BM$1006,0))&gt;=100000), " ",IF(INDEX($AM$2:$BM$1001,MATCH(ROWS($AF$2:AF169),$AF$2:$AF$1001,0),MATCH(COLUMNS($AM$1006:AT1006),$AM$1006:$BM$1006,0)), HYPERLINK("#",""), HYPERLINK(CONCATENATE("#metadata!", ADDRESS(INDEX($AH$2:$AH$1001,MATCH(ROWS($AF$2:AF169),$AF$2:$AF$1001,0),0), INDEX($AM$1004:$BM$1004,1,MATCH(COLUMNS($AM$1006:AT1006),$AM$1006:$BM$1006,0)))),"Fix")))</f>
        <v xml:space="preserve"> </v>
      </c>
      <c r="J169" s="4" t="str">
        <f ca="1">IF(OR(INDEX($AG$2:$AG$1001,MATCH(ROWS($AF$2:AF169),$AF$2:$AF$1001,0),1)&gt;=100000,INDEX($AM$1005:$BM$1005,1,MATCH(COLUMNS($AM$1006:AU1006),$AM$1006:$BM$1006,0))&gt;=100000), " ",IF(INDEX($AM$2:$BM$1001,MATCH(ROWS($AF$2:AF169),$AF$2:$AF$1001,0),MATCH(COLUMNS($AM$1006:AU1006),$AM$1006:$BM$1006,0)), HYPERLINK("#",""), HYPERLINK(CONCATENATE("#metadata!", ADDRESS(INDEX($AH$2:$AH$1001,MATCH(ROWS($AF$2:AF169),$AF$2:$AF$1001,0),0), INDEX($AM$1004:$BM$1004,1,MATCH(COLUMNS($AM$1006:AU1006),$AM$1006:$BM$1006,0)))),"Fix")))</f>
        <v xml:space="preserve"> </v>
      </c>
      <c r="K169" s="4" t="str">
        <f ca="1">IF(OR(INDEX($AG$2:$AG$1001,MATCH(ROWS($AF$2:AF169),$AF$2:$AF$1001,0),1)&gt;=100000,INDEX($AM$1005:$BM$1005,1,MATCH(COLUMNS($AM$1006:AV1006),$AM$1006:$BM$1006,0))&gt;=100000), " ",IF(INDEX($AM$2:$BM$1001,MATCH(ROWS($AF$2:AF169),$AF$2:$AF$1001,0),MATCH(COLUMNS($AM$1006:AV1006),$AM$1006:$BM$1006,0)), HYPERLINK("#",""), HYPERLINK(CONCATENATE("#metadata!", ADDRESS(INDEX($AH$2:$AH$1001,MATCH(ROWS($AF$2:AF169),$AF$2:$AF$1001,0),0), INDEX($AM$1004:$BM$1004,1,MATCH(COLUMNS($AM$1006:AV1006),$AM$1006:$BM$1006,0)))),"Fix")))</f>
        <v xml:space="preserve"> </v>
      </c>
      <c r="L169" s="4" t="str">
        <f ca="1">IF(OR(INDEX($AG$2:$AG$1001,MATCH(ROWS($AF$2:AF169),$AF$2:$AF$1001,0),1)&gt;=100000,INDEX($AM$1005:$BM$1005,1,MATCH(COLUMNS($AM$1006:AW1006),$AM$1006:$BM$1006,0))&gt;=100000), " ",IF(INDEX($AM$2:$BM$1001,MATCH(ROWS($AF$2:AF169),$AF$2:$AF$1001,0),MATCH(COLUMNS($AM$1006:AW1006),$AM$1006:$BM$1006,0)), HYPERLINK("#",""), HYPERLINK(CONCATENATE("#metadata!", ADDRESS(INDEX($AH$2:$AH$1001,MATCH(ROWS($AF$2:AF169),$AF$2:$AF$1001,0),0), INDEX($AM$1004:$BM$1004,1,MATCH(COLUMNS($AM$1006:AW1006),$AM$1006:$BM$1006,0)))),"Fix")))</f>
        <v xml:space="preserve"> </v>
      </c>
      <c r="M169" s="4" t="str">
        <f ca="1">IF(OR(INDEX($AG$2:$AG$1001,MATCH(ROWS($AF$2:AF169),$AF$2:$AF$1001,0),1)&gt;=100000,INDEX($AM$1005:$BM$1005,1,MATCH(COLUMNS($AM$1006:AX1006),$AM$1006:$BM$1006,0))&gt;=100000), " ",IF(INDEX($AM$2:$BM$1001,MATCH(ROWS($AF$2:AF169),$AF$2:$AF$1001,0),MATCH(COLUMNS($AM$1006:AX1006),$AM$1006:$BM$1006,0)), HYPERLINK("#",""), HYPERLINK(CONCATENATE("#metadata!", ADDRESS(INDEX($AH$2:$AH$1001,MATCH(ROWS($AF$2:AF169),$AF$2:$AF$1001,0),0), INDEX($AM$1004:$BM$1004,1,MATCH(COLUMNS($AM$1006:AX1006),$AM$1006:$BM$1006,0)))),"Fix")))</f>
        <v xml:space="preserve"> </v>
      </c>
      <c r="N169" s="4" t="str">
        <f ca="1">IF(OR(INDEX($AG$2:$AG$1001,MATCH(ROWS($AF$2:AF169),$AF$2:$AF$1001,0),1)&gt;=100000,INDEX($AM$1005:$BM$1005,1,MATCH(COLUMNS($AM$1006:AY1006),$AM$1006:$BM$1006,0))&gt;=100000), " ",IF(INDEX($AM$2:$BM$1001,MATCH(ROWS($AF$2:AF169),$AF$2:$AF$1001,0),MATCH(COLUMNS($AM$1006:AY1006),$AM$1006:$BM$1006,0)), HYPERLINK("#",""), HYPERLINK(CONCATENATE("#metadata!", ADDRESS(INDEX($AH$2:$AH$1001,MATCH(ROWS($AF$2:AF169),$AF$2:$AF$1001,0),0), INDEX($AM$1004:$BM$1004,1,MATCH(COLUMNS($AM$1006:AY1006),$AM$1006:$BM$1006,0)))),"Fix")))</f>
        <v xml:space="preserve"> </v>
      </c>
      <c r="O169" s="4" t="str">
        <f ca="1">IF(OR(INDEX($AG$2:$AG$1001,MATCH(ROWS($AF$2:AF169),$AF$2:$AF$1001,0),1)&gt;=100000,INDEX($AM$1005:$BM$1005,1,MATCH(COLUMNS($AM$1006:AZ1006),$AM$1006:$BM$1006,0))&gt;=100000), " ",IF(INDEX($AM$2:$BM$1001,MATCH(ROWS($AF$2:AF169),$AF$2:$AF$1001,0),MATCH(COLUMNS($AM$1006:AZ1006),$AM$1006:$BM$1006,0)), HYPERLINK("#",""), HYPERLINK(CONCATENATE("#metadata!", ADDRESS(INDEX($AH$2:$AH$1001,MATCH(ROWS($AF$2:AF169),$AF$2:$AF$1001,0),0), INDEX($AM$1004:$BM$1004,1,MATCH(COLUMNS($AM$1006:AZ1006),$AM$1006:$BM$1006,0)))),"Fix")))</f>
        <v xml:space="preserve"> </v>
      </c>
      <c r="P169" s="4" t="str">
        <f ca="1">IF(OR(INDEX($AG$2:$AG$1001,MATCH(ROWS($AF$2:AF169),$AF$2:$AF$1001,0),1)&gt;=100000,INDEX($AM$1005:$BM$1005,1,MATCH(COLUMNS($AM$1006:BA1006),$AM$1006:$BM$1006,0))&gt;=100000), " ",IF(INDEX($AM$2:$BM$1001,MATCH(ROWS($AF$2:AF169),$AF$2:$AF$1001,0),MATCH(COLUMNS($AM$1006:BA1006),$AM$1006:$BM$1006,0)), HYPERLINK("#",""), HYPERLINK(CONCATENATE("#metadata!", ADDRESS(INDEX($AH$2:$AH$1001,MATCH(ROWS($AF$2:AF169),$AF$2:$AF$1001,0),0), INDEX($AM$1004:$BM$1004,1,MATCH(COLUMNS($AM$1006:BA1006),$AM$1006:$BM$1006,0)))),"Fix")))</f>
        <v xml:space="preserve"> </v>
      </c>
      <c r="Q169" s="4" t="str">
        <f ca="1">IF(OR(INDEX($AG$2:$AG$1001,MATCH(ROWS($AF$2:AF169),$AF$2:$AF$1001,0),1)&gt;=100000,INDEX($AM$1005:$BM$1005,1,MATCH(COLUMNS($AM$1006:BB1006),$AM$1006:$BM$1006,0))&gt;=100000), " ",IF(INDEX($AM$2:$BM$1001,MATCH(ROWS($AF$2:AF169),$AF$2:$AF$1001,0),MATCH(COLUMNS($AM$1006:BB1006),$AM$1006:$BM$1006,0)), HYPERLINK("#",""), HYPERLINK(CONCATENATE("#metadata!", ADDRESS(INDEX($AH$2:$AH$1001,MATCH(ROWS($AF$2:AF169),$AF$2:$AF$1001,0),0), INDEX($AM$1004:$BM$1004,1,MATCH(COLUMNS($AM$1006:BB1006),$AM$1006:$BM$1006,0)))),"Fix")))</f>
        <v xml:space="preserve"> </v>
      </c>
      <c r="R169" s="4" t="str">
        <f ca="1">IF(OR(INDEX($AG$2:$AG$1001,MATCH(ROWS($AF$2:AF169),$AF$2:$AF$1001,0),1)&gt;=100000,INDEX($AM$1005:$BM$1005,1,MATCH(COLUMNS($AM$1006:BC1006),$AM$1006:$BM$1006,0))&gt;=100000), " ",IF(INDEX($AM$2:$BM$1001,MATCH(ROWS($AF$2:AF169),$AF$2:$AF$1001,0),MATCH(COLUMNS($AM$1006:BC1006),$AM$1006:$BM$1006,0)), HYPERLINK("#",""), HYPERLINK(CONCATENATE("#metadata!", ADDRESS(INDEX($AH$2:$AH$1001,MATCH(ROWS($AF$2:AF169),$AF$2:$AF$1001,0),0), INDEX($AM$1004:$BM$1004,1,MATCH(COLUMNS($AM$1006:BC1006),$AM$1006:$BM$1006,0)))),"Fix")))</f>
        <v xml:space="preserve"> </v>
      </c>
      <c r="S169" s="4" t="str">
        <f ca="1">IF(OR(INDEX($AG$2:$AG$1001,MATCH(ROWS($AF$2:AF169),$AF$2:$AF$1001,0),1)&gt;=100000,INDEX($AM$1005:$BM$1005,1,MATCH(COLUMNS($AM$1006:BD1006),$AM$1006:$BM$1006,0))&gt;=100000), " ",IF(INDEX($AM$2:$BM$1001,MATCH(ROWS($AF$2:AF169),$AF$2:$AF$1001,0),MATCH(COLUMNS($AM$1006:BD1006),$AM$1006:$BM$1006,0)), HYPERLINK("#",""), HYPERLINK(CONCATENATE("#metadata!", ADDRESS(INDEX($AH$2:$AH$1001,MATCH(ROWS($AF$2:AF169),$AF$2:$AF$1001,0),0), INDEX($AM$1004:$BM$1004,1,MATCH(COLUMNS($AM$1006:BD1006),$AM$1006:$BM$1006,0)))),"Fix")))</f>
        <v xml:space="preserve"> </v>
      </c>
      <c r="T169" s="4" t="str">
        <f ca="1">IF(OR(INDEX($AG$2:$AG$1001,MATCH(ROWS($AF$2:AF169),$AF$2:$AF$1001,0),1)&gt;=100000,INDEX($AM$1005:$BM$1005,1,MATCH(COLUMNS($AM$1006:BE1006),$AM$1006:$BM$1006,0))&gt;=100000), " ",IF(INDEX($AM$2:$BM$1001,MATCH(ROWS($AF$2:AF169),$AF$2:$AF$1001,0),MATCH(COLUMNS($AM$1006:BE1006),$AM$1006:$BM$1006,0)), HYPERLINK("#",""), HYPERLINK(CONCATENATE("#metadata!", ADDRESS(INDEX($AH$2:$AH$1001,MATCH(ROWS($AF$2:AF169),$AF$2:$AF$1001,0),0), INDEX($AM$1004:$BM$1004,1,MATCH(COLUMNS($AM$1006:BE1006),$AM$1006:$BM$1006,0)))),"Fix")))</f>
        <v xml:space="preserve"> </v>
      </c>
      <c r="U169" s="4" t="str">
        <f ca="1">IF(OR(INDEX($AG$2:$AG$1001,MATCH(ROWS($AF$2:AF169),$AF$2:$AF$1001,0),1)&gt;=100000,INDEX($AM$1005:$BM$1005,1,MATCH(COLUMNS($AM$1006:BF1006),$AM$1006:$BM$1006,0))&gt;=100000), " ",IF(INDEX($AM$2:$BM$1001,MATCH(ROWS($AF$2:AF169),$AF$2:$AF$1001,0),MATCH(COLUMNS($AM$1006:BF1006),$AM$1006:$BM$1006,0)), HYPERLINK("#",""), HYPERLINK(CONCATENATE("#metadata!", ADDRESS(INDEX($AH$2:$AH$1001,MATCH(ROWS($AF$2:AF169),$AF$2:$AF$1001,0),0), INDEX($AM$1004:$BM$1004,1,MATCH(COLUMNS($AM$1006:BF1006),$AM$1006:$BM$1006,0)))),"Fix")))</f>
        <v xml:space="preserve"> </v>
      </c>
      <c r="V169" s="4" t="str">
        <f ca="1">IF(OR(INDEX($AG$2:$AG$1001,MATCH(ROWS($AF$2:AF169),$AF$2:$AF$1001,0),1)&gt;=100000,INDEX($AM$1005:$BM$1005,1,MATCH(COLUMNS($AM$1006:BG1006),$AM$1006:$BM$1006,0))&gt;=100000), " ",IF(INDEX($AM$2:$BM$1001,MATCH(ROWS($AF$2:AF169),$AF$2:$AF$1001,0),MATCH(COLUMNS($AM$1006:BG1006),$AM$1006:$BM$1006,0)), HYPERLINK("#",""), HYPERLINK(CONCATENATE("#metadata!", ADDRESS(INDEX($AH$2:$AH$1001,MATCH(ROWS($AF$2:AF169),$AF$2:$AF$1001,0),0), INDEX($AM$1004:$BM$1004,1,MATCH(COLUMNS($AM$1006:BG1006),$AM$1006:$BM$1006,0)))),"Fix")))</f>
        <v xml:space="preserve"> </v>
      </c>
      <c r="W169" s="4" t="str">
        <f ca="1">IF(OR(INDEX($AG$2:$AG$1001,MATCH(ROWS($AF$2:AF169),$AF$2:$AF$1001,0),1)&gt;=100000,INDEX($AM$1005:$BM$1005,1,MATCH(COLUMNS($AM$1006:BH1006),$AM$1006:$BM$1006,0))&gt;=100000), " ",IF(INDEX($AM$2:$BM$1001,MATCH(ROWS($AF$2:AF169),$AF$2:$AF$1001,0),MATCH(COLUMNS($AM$1006:BH1006),$AM$1006:$BM$1006,0)), HYPERLINK("#",""), HYPERLINK(CONCATENATE("#metadata!", ADDRESS(INDEX($AH$2:$AH$1001,MATCH(ROWS($AF$2:AF169),$AF$2:$AF$1001,0),0), INDEX($AM$1004:$BM$1004,1,MATCH(COLUMNS($AM$1006:BH1006),$AM$1006:$BM$1006,0)))),"Fix")))</f>
        <v xml:space="preserve"> </v>
      </c>
      <c r="X169" s="4" t="str">
        <f ca="1">IF(OR(INDEX($AG$2:$AG$1001,MATCH(ROWS($AF$2:AF169),$AF$2:$AF$1001,0),1)&gt;=100000,INDEX($AM$1005:$BM$1005,1,MATCH(COLUMNS($AM$1006:BI1006),$AM$1006:$BM$1006,0))&gt;=100000), " ",IF(INDEX($AM$2:$BM$1001,MATCH(ROWS($AF$2:AF169),$AF$2:$AF$1001,0),MATCH(COLUMNS($AM$1006:BI1006),$AM$1006:$BM$1006,0)), HYPERLINK("#",""), HYPERLINK(CONCATENATE("#metadata!", ADDRESS(INDEX($AH$2:$AH$1001,MATCH(ROWS($AF$2:AF169),$AF$2:$AF$1001,0),0), INDEX($AM$1004:$BM$1004,1,MATCH(COLUMNS($AM$1006:BI1006),$AM$1006:$BM$1006,0)))),"Fix")))</f>
        <v xml:space="preserve"> </v>
      </c>
      <c r="Y169" s="4" t="str">
        <f ca="1">IF(OR(INDEX($AG$2:$AG$1001,MATCH(ROWS($AF$2:AF169),$AF$2:$AF$1001,0),1)&gt;=100000,INDEX($AM$1005:$BM$1005,1,MATCH(COLUMNS($AM$1006:BJ1006),$AM$1006:$BM$1006,0))&gt;=100000), " ",IF(INDEX($AM$2:$BM$1001,MATCH(ROWS($AF$2:AF169),$AF$2:$AF$1001,0),MATCH(COLUMNS($AM$1006:BJ1006),$AM$1006:$BM$1006,0)), HYPERLINK("#",""), HYPERLINK(CONCATENATE("#metadata!", ADDRESS(INDEX($AH$2:$AH$1001,MATCH(ROWS($AF$2:AF169),$AF$2:$AF$1001,0),0), INDEX($AM$1004:$BM$1004,1,MATCH(COLUMNS($AM$1006:BJ1006),$AM$1006:$BM$1006,0)))),"Fix")))</f>
        <v xml:space="preserve"> </v>
      </c>
      <c r="Z169" s="4" t="str">
        <f ca="1">IF(OR(INDEX($AG$2:$AG$1001,MATCH(ROWS($AF$2:AF169),$AF$2:$AF$1001,0),1)&gt;=100000,INDEX($AM$1005:$BM$1005,1,MATCH(COLUMNS($AM$1006:BK1006),$AM$1006:$BM$1006,0))&gt;=100000), " ",IF(INDEX($AM$2:$BM$1001,MATCH(ROWS($AF$2:AF169),$AF$2:$AF$1001,0),MATCH(COLUMNS($AM$1006:BK1006),$AM$1006:$BM$1006,0)), HYPERLINK("#",""), HYPERLINK(CONCATENATE("#metadata!", ADDRESS(INDEX($AH$2:$AH$1001,MATCH(ROWS($AF$2:AF169),$AF$2:$AF$1001,0),0), INDEX($AM$1004:$BM$1004,1,MATCH(COLUMNS($AM$1006:BK1006),$AM$1006:$BM$1006,0)))),"Fix")))</f>
        <v xml:space="preserve"> </v>
      </c>
      <c r="AA169" s="4" t="str">
        <f ca="1">IF(OR(INDEX($AG$2:$AG$1001,MATCH(ROWS($AF$2:AF169),$AF$2:$AF$1001,0),1)&gt;=100000,INDEX($AM$1005:$BM$1005,1,MATCH(COLUMNS($AM$1006:BL1006),$AM$1006:$BM$1006,0))&gt;=100000), " ",IF(INDEX($AM$2:$BM$1001,MATCH(ROWS($AF$2:AF169),$AF$2:$AF$1001,0),MATCH(COLUMNS($AM$1006:BL1006),$AM$1006:$BM$1006,0)), HYPERLINK("#",""), HYPERLINK(CONCATENATE("#metadata!", ADDRESS(INDEX($AH$2:$AH$1001,MATCH(ROWS($AF$2:AF169),$AF$2:$AF$1001,0),0), INDEX($AM$1004:$BM$1004,1,MATCH(COLUMNS($AM$1006:BL1006),$AM$1006:$BM$1006,0)))),"Fix")))</f>
        <v xml:space="preserve"> </v>
      </c>
      <c r="AB169" s="4" t="str">
        <f ca="1">IF(OR(INDEX($AG$2:$AG$1001,MATCH(ROWS($AF$2:AF169),$AF$2:$AF$1001,0),1)&gt;=100000,INDEX($AM$1005:$BM$1005,1,MATCH(COLUMNS($AM$1006:BM1006),$AM$1006:$BM$1006,0))&gt;=100000), " ",IF(INDEX($AM$2:$BM$1001,MATCH(ROWS($AF$2:AF169),$AF$2:$AF$1001,0),MATCH(COLUMNS($AM$1006:BM1006),$AM$1006:$BM$1006,0)), HYPERLINK("#",""), HYPERLINK(CONCATENATE("#metadata!", ADDRESS(INDEX($AH$2:$AH$1001,MATCH(ROWS($AF$2:AF169),$AF$2:$AF$1001,0),0), INDEX($AM$1004:$BM$1004,1,MATCH(COLUMNS($AM$1006:BM1006),$AM$1006:$BM$1006,0)))),"Fix")))</f>
        <v xml:space="preserve"> </v>
      </c>
      <c r="AF169">
        <v>168</v>
      </c>
      <c r="AG169">
        <v>100169</v>
      </c>
      <c r="AH169">
        <v>169</v>
      </c>
      <c r="AI169" t="b">
        <f t="shared" si="2"/>
        <v>1</v>
      </c>
      <c r="AJ169" t="b">
        <f>COUNTBLANK(metadata!B169:AB169)=COLUMNS(metadata!B169:AB169)</f>
        <v>1</v>
      </c>
      <c r="AK169" t="str">
        <v/>
      </c>
      <c r="AM169" t="b">
        <f ca="1">AND(IF(metadata!B169="",FALSE,TRUE),COUNTIF(metadata!B:B, metadata!B169) = 1,NOT(ISERROR(SUMPRODUCT(SEARCH(MID(metadata!B169,ROW(INDIRECT("1:"&amp;LEN(metadata!B169))), 1),"0123456789abcdefghijklmnopqrstuvwxyzABCDEFGHIJKLMNOPQRSTUVWXYZ.")))))</f>
        <v>0</v>
      </c>
      <c r="AN169" t="b">
        <f ca="1">OR(AND(IF(metadata!C169="",FALSE,TRUE),OR(EXACT(metadata!C169,"missing: not collected"),EXACT(metadata!C169,"missing: not provided"),EXACT(metadata!C169,"missing: restricted access"))),AND(IF(metadata!C169="",FALSE,TRUE),AND(AND(IFERROR(INT(LEFT(metadata!C169,4))&gt;1900,FALSE),IFERROR(INT(LEFT(metadata!C169,4))&lt;=YEAR(NOW()),FALSE)), OR(MID(metadata!C169,5,1)="", AND(AND(MID(metadata!C169,5,1)="-",IFERROR(INT(MID(metadata!C169,6,1))&gt;=0,FALSE),IFERROR(INT(MID(metadata!C169,6,1))&lt;=1,FALSE),NOT(MID(metadata!C169,7,1)=""),IFERROR(INT(MID(metadata!C169,6,2))&gt;=1,FALSE),IFERROR(INT(MID(metadata!C169,6,2))&lt;=12,FALSE)), OR(MID(metadata!C169,8,1)="", AND(AND(MID(metadata!C169,8,1)="-",IFERROR(INT(MID(metadata!C169,9,1))&gt;=0,FALSE),IFERROR(INT(MID(metadata!C169,9,1))&lt;=3,FALSE),NOT(MID(metadata!C169,10,1)=""),IFERROR(INT(MID(metadata!C169,9,2))&gt;=1,FALSE),IFERROR(INT(MID(metadata!C169,9,2))&lt;=31,FALSE)), OR(MID(metadata!C169,11,1)="", AND(AND(MID(metadata!C169,11,1)=" ",IFERROR(INT(MID(metadata!C169,12,1))&gt;=0,FALSE),IFERROR(INT(MID(metadata!C169,12,1))&lt;=2,FALSE),NOT(MID(metadata!C169,13,1)=""),IFERROR(INT(MID(metadata!C169,12,2))&gt;=0,FALSE),IFERROR(INT(MID(metadata!C169,12,2))&lt;=23,FALSE)), OR(MID(metadata!C169,14,1)="", AND(AND(MID(metadata!C169,14,1)=":",IFERROR(INT(MID(metadata!C169,15,1))&gt;=0,FALSE),IFERROR(INT(MID(metadata!C169,15,1))&lt;=5,FALSE),NOT(MID(metadata!C169,16,1)=""),IFERROR(INT(MID(metadata!C169,15,2))&gt;=0,FALSE),IFERROR(INT(MID(metadata!C169,15,2))&lt;=59,FALSE)), OR(MID(metadata!C169,17,1)="", AND(AND(MID(metadata!C169,17,1)=":",IFERROR(INT(MID(metadata!C169,18,1))&gt;=0,FALSE),IFERROR(INT(MID(metadata!C169,18,1))&lt;=5,FALSE),NOT(MID(metadata!C169,19,1)=""),IFERROR(INT(MID(metadata!C169,18,2))&gt;=0,FALSE),IFERROR(INT(MID(metadata!C169,18,2))&lt;=59,FALSE)), LEN(metadata!C169)&lt;=19)))))))))))))</f>
        <v>0</v>
      </c>
      <c r="AO169" t="b">
        <f>AND(IF(metadata!D169="",FALSE,TRUE),EXACT(metadata!D169,"Not applicable"))</f>
        <v>0</v>
      </c>
      <c r="AP169" t="b">
        <f>IF(metadata!E169="",FALSE,TRUE)</f>
        <v>0</v>
      </c>
      <c r="AQ169" t="b">
        <f>OR(AND(IF(metadata!F169="",FALSE,TRUE),OR(EXACT(metadata!F169,"missing: not collected"),EXACT(metadata!F169,"missing: not provided"))),AND(IF(metadata!F169="",FALSE,TRUE),OR(EXACT(metadata!F169,"TRUE"),EXACT(metadata!F169,"FALSE"))))</f>
        <v>0</v>
      </c>
      <c r="AR169" t="b">
        <f>OR(AND(IF(metadata!G169="",FALSE,TRUE),OR(EXACT(metadata!G169,"missing: not collected"),EXACT(metadata!G169,"missing: not provided"),EXACT(metadata!G169,"missing: restricted access"))),AND(IF(metadata!G169="",FALSE,ISNUMBER(VALUE(metadata!G169))),metadata!G169&gt;=-413))</f>
        <v>0</v>
      </c>
      <c r="AS169" t="b">
        <f>AND(IF(metadata!H169="",FALSE,TRUE),EXACT(metadata!H169,"meters"))</f>
        <v>0</v>
      </c>
      <c r="AT169" t="b">
        <f>AND(IF(metadata!I169="",FALSE,TRUE),OR(EXACT(metadata!I169,"Host-associated"),EXACT(metadata!I169,"Free-living")))</f>
        <v>0</v>
      </c>
      <c r="AU169" t="b">
        <f>AND(IF(metadata!J169="",FALSE,TRUE),OR(EXACT(metadata!J169,"Animal"),EXACT(metadata!J169,"Fungus"),EXACT(metadata!J169,"Plant"),EXACT(metadata!J169,"Saline"),EXACT(metadata!J169,"Non-saline")))</f>
        <v>0</v>
      </c>
      <c r="AV169" t="b">
        <f>AND(IF(metadata!K169="",FALSE,TRUE),OR(EXACT(metadata!K169,"Plant secretion"),EXACT(metadata!K169,"Plant rhizosphere"),EXACT(metadata!K169,"Plant surface"),EXACT(metadata!K169,"Plant corpus"),EXACT(metadata!K169,"Fungus surface"),EXACT(metadata!K169,"Fungus corpus"),EXACT(metadata!K169,"Animal surface"),EXACT(metadata!K169,"Animal proximal gut"),EXACT(metadata!K169,"Animal corpus"),EXACT(metadata!K169,"Animal distal gut"),EXACT(metadata!K169,"Animal secretion"),EXACT(metadata!K169,"Sub-surface (non-saline)"),EXACT(metadata!K169,"Surface (non-saline)"),EXACT(metadata!K169,"Water (non-saline)"),EXACT(metadata!K169,"Soil (non-saline)"),EXACT(metadata!K169,"Aerosol (non-saline)"),EXACT(metadata!K169,"Sediment (non-saline)"),EXACT(metadata!K169,"Surface (saline)"),EXACT(metadata!K169,"Water (saline)"),EXACT(metadata!K169,"Hypersaline (saline)"),EXACT(metadata!K169,"Aerosol (saline)"),EXACT(metadata!K169,"Sediment (saline)")))</f>
        <v>0</v>
      </c>
      <c r="AW169" t="b">
        <f>IF(metadata!L169="",FALSE,TRUE)</f>
        <v>0</v>
      </c>
      <c r="AX169" t="b">
        <f>IF(metadata!M169="",FALSE,TRUE)</f>
        <v>0</v>
      </c>
      <c r="AY169" t="b">
        <f>IF(metadata!N169="",FALSE,TRUE)</f>
        <v>0</v>
      </c>
      <c r="AZ169" t="b">
        <f>OR(AND(IF(metadata!O169="",FALSE,TRUE),OR(EXACT(metadata!O169,"missing: not collected"),EXACT(metadata!O169,"missing: not provided"),EXACT(metadata!O169,"missing: restricted access"))),AND(IF(metadata!O169="",FALSE,TRUE),OR(EXACT(metadata!O169,"air"),EXACT(metadata!O169,"built environment"),EXACT(metadata!O169,"host-associated"),EXACT(metadata!O169,"human-associated"),EXACT(metadata!O169,"human-skin"),EXACT(metadata!O169,"human-oral"),EXACT(metadata!O169,"human-gut"),EXACT(metadata!O169,"human-vaginal"),EXACT(metadata!O169,"microbial mat/biofilm"),EXACT(metadata!O169,"misc environment"),EXACT(metadata!O169,"plant-associated"),EXACT(metadata!O169,"sediment"),EXACT(metadata!O169,"soil"),EXACT(metadata!O169,"wastewater/sludge"),EXACT(metadata!O169,"water"))))</f>
        <v>0</v>
      </c>
      <c r="BA169" t="b">
        <f>IF(metadata!P169="",FALSE,TRUE)</f>
        <v>0</v>
      </c>
      <c r="BB169" t="b">
        <f>IF(metadata!Q169="",FALSE,TRUE)</f>
        <v>0</v>
      </c>
      <c r="BC169" t="b">
        <f>OR(AND(IF(metadata!R169="",FALSE,TRUE),OR(EXACT(metadata!R169,"missing: not collected"),EXACT(metadata!R169,"missing: not provided"),EXACT(metadata!R169,"missing: restricted access"))),AND(IF(metadata!R169="",FALSE,ISNUMBER(VALUE(metadata!R169))),metadata!R169&gt;=-90,metadata!R169&lt;=90))</f>
        <v>0</v>
      </c>
      <c r="BD169" t="b">
        <f>AND(IF(metadata!S169="",FALSE,TRUE),EXACT(metadata!S169,"Decimal degrees"))</f>
        <v>0</v>
      </c>
      <c r="BE169" t="b">
        <f>OR(AND(IF(metadata!T169="",FALSE,TRUE),OR(EXACT(metadata!T169,"missing: not collected"),EXACT(metadata!T169,"missing: not provided"),EXACT(metadata!T169,"missing: restricted access"))),AND(IF(metadata!T169="",FALSE,ISNUMBER(VALUE(metadata!T169))),metadata!T169&gt;=-180,metadata!T169&lt;=180))</f>
        <v>0</v>
      </c>
      <c r="BF169" t="b">
        <f>AND(IF(metadata!U169="",FALSE,TRUE),EXACT(metadata!U169,"Decimal degrees"))</f>
        <v>0</v>
      </c>
      <c r="BG169" t="b">
        <f>IF(metadata!V169="",FALSE,TRUE)</f>
        <v>0</v>
      </c>
      <c r="BH169" t="b">
        <f>OR(AND(IF(metadata!W169="",FALSE,TRUE),OR(EXACT(metadata!W169,"missing: not collected"),EXACT(metadata!W169,"missing: not provided"),EXACT(metadata!W169,"missing: restricted access"))),AND(IF(metadata!W169="",FALSE,TRUE),OR(EXACT(metadata!W169,"TRUE"),EXACT(metadata!W169,"FALSE"))))</f>
        <v>0</v>
      </c>
      <c r="BI169" t="b">
        <f>AND(IF(metadata!X169="",FALSE,TRUE),EXACT(metadata!X169,"other"))</f>
        <v>0</v>
      </c>
      <c r="BJ169" t="b">
        <f>IF(metadata!Y169="",FALSE,TRUE)</f>
        <v>0</v>
      </c>
      <c r="BK169" t="b">
        <f>OR(AND(IF(metadata!Z169="",FALSE,TRUE),OR(EXACT(metadata!Z169,"missing: not collected"),EXACT(metadata!Z169,"missing: not provided"))),AND(IF(metadata!Z169="",FALSE,IF(ISERROR(INT(metadata!Z169)),FALSE,INT(metadata!Z169)=metadata!Z169)),metadata!Z169&gt;0))</f>
        <v>0</v>
      </c>
      <c r="BL169" t="b">
        <f>AND(IF(metadata!AA169="",FALSE,TRUE),EXACT(metadata!AA169,"Not applicable"))</f>
        <v>0</v>
      </c>
      <c r="BM169" t="b">
        <f>IF(metadata!AB169="",FALSE,TRUE)</f>
        <v>0</v>
      </c>
    </row>
    <row r="170" spans="1:65" x14ac:dyDescent="0.2">
      <c r="A170" s="5" t="str">
        <f ca="1">IF(B170=" "," ",HYPERLINK(CONCATENATE("#metadata!",ADDRESS(INDEX($AH$2:$AH$1001,MATCH(ROWS($AF$2:AF170),$AF$2:$AF$1001,0),0),1)),INDEX($AK$2:$AK$1001,MATCH(ROWS($AF$2:AF170),$AF$2:$AF$1001,0),0)))</f>
        <v xml:space="preserve"> </v>
      </c>
      <c r="B170" s="4" t="str">
        <f ca="1">IF(OR(INDEX($AG$2:$AG$1001,MATCH(ROWS($AF$2:AF170),$AF$2:$AF$1001,0),1)&gt;=100000,INDEX($AM$1005:$BM$1005,1,MATCH(COLUMNS($AM$1006:AM1006),$AM$1006:$BM$1006,0))&gt;=100000), " ",IF(INDEX($AM$2:$BM$1001,MATCH(ROWS($AF$2:AF170),$AF$2:$AF$1001,0),MATCH(COLUMNS($AM$1006:AM1006),$AM$1006:$BM$1006,0)), HYPERLINK("#",""), HYPERLINK(CONCATENATE("#metadata!", ADDRESS(INDEX($AH$2:$AH$1001,MATCH(ROWS($AF$2:AF170),$AF$2:$AF$1001,0),0), INDEX($AM$1004:$BM$1004,1,MATCH(COLUMNS($AM$1006:AM1006),$AM$1006:$BM$1006,0)))),"Fix")))</f>
        <v xml:space="preserve"> </v>
      </c>
      <c r="C170" s="4" t="str">
        <f ca="1">IF(OR(INDEX($AG$2:$AG$1001,MATCH(ROWS($AF$2:AF170),$AF$2:$AF$1001,0),1)&gt;=100000,INDEX($AM$1005:$BM$1005,1,MATCH(COLUMNS($AM$1006:AN1006),$AM$1006:$BM$1006,0))&gt;=100000), " ",IF(INDEX($AM$2:$BM$1001,MATCH(ROWS($AF$2:AF170),$AF$2:$AF$1001,0),MATCH(COLUMNS($AM$1006:AN1006),$AM$1006:$BM$1006,0)), HYPERLINK("#",""), HYPERLINK(CONCATENATE("#metadata!", ADDRESS(INDEX($AH$2:$AH$1001,MATCH(ROWS($AF$2:AF170),$AF$2:$AF$1001,0),0), INDEX($AM$1004:$BM$1004,1,MATCH(COLUMNS($AM$1006:AN1006),$AM$1006:$BM$1006,0)))),"Fix")))</f>
        <v xml:space="preserve"> </v>
      </c>
      <c r="D170" s="4" t="str">
        <f ca="1">IF(OR(INDEX($AG$2:$AG$1001,MATCH(ROWS($AF$2:AF170),$AF$2:$AF$1001,0),1)&gt;=100000,INDEX($AM$1005:$BM$1005,1,MATCH(COLUMNS($AM$1006:AO1006),$AM$1006:$BM$1006,0))&gt;=100000), " ",IF(INDEX($AM$2:$BM$1001,MATCH(ROWS($AF$2:AF170),$AF$2:$AF$1001,0),MATCH(COLUMNS($AM$1006:AO1006),$AM$1006:$BM$1006,0)), HYPERLINK("#",""), HYPERLINK(CONCATENATE("#metadata!", ADDRESS(INDEX($AH$2:$AH$1001,MATCH(ROWS($AF$2:AF170),$AF$2:$AF$1001,0),0), INDEX($AM$1004:$BM$1004,1,MATCH(COLUMNS($AM$1006:AO1006),$AM$1006:$BM$1006,0)))),"Fix")))</f>
        <v xml:space="preserve"> </v>
      </c>
      <c r="E170" s="4" t="str">
        <f ca="1">IF(OR(INDEX($AG$2:$AG$1001,MATCH(ROWS($AF$2:AF170),$AF$2:$AF$1001,0),1)&gt;=100000,INDEX($AM$1005:$BM$1005,1,MATCH(COLUMNS($AM$1006:AP1006),$AM$1006:$BM$1006,0))&gt;=100000), " ",IF(INDEX($AM$2:$BM$1001,MATCH(ROWS($AF$2:AF170),$AF$2:$AF$1001,0),MATCH(COLUMNS($AM$1006:AP1006),$AM$1006:$BM$1006,0)), HYPERLINK("#",""), HYPERLINK(CONCATENATE("#metadata!", ADDRESS(INDEX($AH$2:$AH$1001,MATCH(ROWS($AF$2:AF170),$AF$2:$AF$1001,0),0), INDEX($AM$1004:$BM$1004,1,MATCH(COLUMNS($AM$1006:AP1006),$AM$1006:$BM$1006,0)))),"Fix")))</f>
        <v xml:space="preserve"> </v>
      </c>
      <c r="F170" s="4" t="str">
        <f ca="1">IF(OR(INDEX($AG$2:$AG$1001,MATCH(ROWS($AF$2:AF170),$AF$2:$AF$1001,0),1)&gt;=100000,INDEX($AM$1005:$BM$1005,1,MATCH(COLUMNS($AM$1006:AQ1006),$AM$1006:$BM$1006,0))&gt;=100000), " ",IF(INDEX($AM$2:$BM$1001,MATCH(ROWS($AF$2:AF170),$AF$2:$AF$1001,0),MATCH(COLUMNS($AM$1006:AQ1006),$AM$1006:$BM$1006,0)), HYPERLINK("#",""), HYPERLINK(CONCATENATE("#metadata!", ADDRESS(INDEX($AH$2:$AH$1001,MATCH(ROWS($AF$2:AF170),$AF$2:$AF$1001,0),0), INDEX($AM$1004:$BM$1004,1,MATCH(COLUMNS($AM$1006:AQ1006),$AM$1006:$BM$1006,0)))),"Fix")))</f>
        <v xml:space="preserve"> </v>
      </c>
      <c r="G170" s="4" t="str">
        <f ca="1">IF(OR(INDEX($AG$2:$AG$1001,MATCH(ROWS($AF$2:AF170),$AF$2:$AF$1001,0),1)&gt;=100000,INDEX($AM$1005:$BM$1005,1,MATCH(COLUMNS($AM$1006:AR1006),$AM$1006:$BM$1006,0))&gt;=100000), " ",IF(INDEX($AM$2:$BM$1001,MATCH(ROWS($AF$2:AF170),$AF$2:$AF$1001,0),MATCH(COLUMNS($AM$1006:AR1006),$AM$1006:$BM$1006,0)), HYPERLINK("#",""), HYPERLINK(CONCATENATE("#metadata!", ADDRESS(INDEX($AH$2:$AH$1001,MATCH(ROWS($AF$2:AF170),$AF$2:$AF$1001,0),0), INDEX($AM$1004:$BM$1004,1,MATCH(COLUMNS($AM$1006:AR1006),$AM$1006:$BM$1006,0)))),"Fix")))</f>
        <v xml:space="preserve"> </v>
      </c>
      <c r="H170" s="4" t="str">
        <f ca="1">IF(OR(INDEX($AG$2:$AG$1001,MATCH(ROWS($AF$2:AF170),$AF$2:$AF$1001,0),1)&gt;=100000,INDEX($AM$1005:$BM$1005,1,MATCH(COLUMNS($AM$1006:AS1006),$AM$1006:$BM$1006,0))&gt;=100000), " ",IF(INDEX($AM$2:$BM$1001,MATCH(ROWS($AF$2:AF170),$AF$2:$AF$1001,0),MATCH(COLUMNS($AM$1006:AS1006),$AM$1006:$BM$1006,0)), HYPERLINK("#",""), HYPERLINK(CONCATENATE("#metadata!", ADDRESS(INDEX($AH$2:$AH$1001,MATCH(ROWS($AF$2:AF170),$AF$2:$AF$1001,0),0), INDEX($AM$1004:$BM$1004,1,MATCH(COLUMNS($AM$1006:AS1006),$AM$1006:$BM$1006,0)))),"Fix")))</f>
        <v xml:space="preserve"> </v>
      </c>
      <c r="I170" s="4" t="str">
        <f ca="1">IF(OR(INDEX($AG$2:$AG$1001,MATCH(ROWS($AF$2:AF170),$AF$2:$AF$1001,0),1)&gt;=100000,INDEX($AM$1005:$BM$1005,1,MATCH(COLUMNS($AM$1006:AT1006),$AM$1006:$BM$1006,0))&gt;=100000), " ",IF(INDEX($AM$2:$BM$1001,MATCH(ROWS($AF$2:AF170),$AF$2:$AF$1001,0),MATCH(COLUMNS($AM$1006:AT1006),$AM$1006:$BM$1006,0)), HYPERLINK("#",""), HYPERLINK(CONCATENATE("#metadata!", ADDRESS(INDEX($AH$2:$AH$1001,MATCH(ROWS($AF$2:AF170),$AF$2:$AF$1001,0),0), INDEX($AM$1004:$BM$1004,1,MATCH(COLUMNS($AM$1006:AT1006),$AM$1006:$BM$1006,0)))),"Fix")))</f>
        <v xml:space="preserve"> </v>
      </c>
      <c r="J170" s="4" t="str">
        <f ca="1">IF(OR(INDEX($AG$2:$AG$1001,MATCH(ROWS($AF$2:AF170),$AF$2:$AF$1001,0),1)&gt;=100000,INDEX($AM$1005:$BM$1005,1,MATCH(COLUMNS($AM$1006:AU1006),$AM$1006:$BM$1006,0))&gt;=100000), " ",IF(INDEX($AM$2:$BM$1001,MATCH(ROWS($AF$2:AF170),$AF$2:$AF$1001,0),MATCH(COLUMNS($AM$1006:AU1006),$AM$1006:$BM$1006,0)), HYPERLINK("#",""), HYPERLINK(CONCATENATE("#metadata!", ADDRESS(INDEX($AH$2:$AH$1001,MATCH(ROWS($AF$2:AF170),$AF$2:$AF$1001,0),0), INDEX($AM$1004:$BM$1004,1,MATCH(COLUMNS($AM$1006:AU1006),$AM$1006:$BM$1006,0)))),"Fix")))</f>
        <v xml:space="preserve"> </v>
      </c>
      <c r="K170" s="4" t="str">
        <f ca="1">IF(OR(INDEX($AG$2:$AG$1001,MATCH(ROWS($AF$2:AF170),$AF$2:$AF$1001,0),1)&gt;=100000,INDEX($AM$1005:$BM$1005,1,MATCH(COLUMNS($AM$1006:AV1006),$AM$1006:$BM$1006,0))&gt;=100000), " ",IF(INDEX($AM$2:$BM$1001,MATCH(ROWS($AF$2:AF170),$AF$2:$AF$1001,0),MATCH(COLUMNS($AM$1006:AV1006),$AM$1006:$BM$1006,0)), HYPERLINK("#",""), HYPERLINK(CONCATENATE("#metadata!", ADDRESS(INDEX($AH$2:$AH$1001,MATCH(ROWS($AF$2:AF170),$AF$2:$AF$1001,0),0), INDEX($AM$1004:$BM$1004,1,MATCH(COLUMNS($AM$1006:AV1006),$AM$1006:$BM$1006,0)))),"Fix")))</f>
        <v xml:space="preserve"> </v>
      </c>
      <c r="L170" s="4" t="str">
        <f ca="1">IF(OR(INDEX($AG$2:$AG$1001,MATCH(ROWS($AF$2:AF170),$AF$2:$AF$1001,0),1)&gt;=100000,INDEX($AM$1005:$BM$1005,1,MATCH(COLUMNS($AM$1006:AW1006),$AM$1006:$BM$1006,0))&gt;=100000), " ",IF(INDEX($AM$2:$BM$1001,MATCH(ROWS($AF$2:AF170),$AF$2:$AF$1001,0),MATCH(COLUMNS($AM$1006:AW1006),$AM$1006:$BM$1006,0)), HYPERLINK("#",""), HYPERLINK(CONCATENATE("#metadata!", ADDRESS(INDEX($AH$2:$AH$1001,MATCH(ROWS($AF$2:AF170),$AF$2:$AF$1001,0),0), INDEX($AM$1004:$BM$1004,1,MATCH(COLUMNS($AM$1006:AW1006),$AM$1006:$BM$1006,0)))),"Fix")))</f>
        <v xml:space="preserve"> </v>
      </c>
      <c r="M170" s="4" t="str">
        <f ca="1">IF(OR(INDEX($AG$2:$AG$1001,MATCH(ROWS($AF$2:AF170),$AF$2:$AF$1001,0),1)&gt;=100000,INDEX($AM$1005:$BM$1005,1,MATCH(COLUMNS($AM$1006:AX1006),$AM$1006:$BM$1006,0))&gt;=100000), " ",IF(INDEX($AM$2:$BM$1001,MATCH(ROWS($AF$2:AF170),$AF$2:$AF$1001,0),MATCH(COLUMNS($AM$1006:AX1006),$AM$1006:$BM$1006,0)), HYPERLINK("#",""), HYPERLINK(CONCATENATE("#metadata!", ADDRESS(INDEX($AH$2:$AH$1001,MATCH(ROWS($AF$2:AF170),$AF$2:$AF$1001,0),0), INDEX($AM$1004:$BM$1004,1,MATCH(COLUMNS($AM$1006:AX1006),$AM$1006:$BM$1006,0)))),"Fix")))</f>
        <v xml:space="preserve"> </v>
      </c>
      <c r="N170" s="4" t="str">
        <f ca="1">IF(OR(INDEX($AG$2:$AG$1001,MATCH(ROWS($AF$2:AF170),$AF$2:$AF$1001,0),1)&gt;=100000,INDEX($AM$1005:$BM$1005,1,MATCH(COLUMNS($AM$1006:AY1006),$AM$1006:$BM$1006,0))&gt;=100000), " ",IF(INDEX($AM$2:$BM$1001,MATCH(ROWS($AF$2:AF170),$AF$2:$AF$1001,0),MATCH(COLUMNS($AM$1006:AY1006),$AM$1006:$BM$1006,0)), HYPERLINK("#",""), HYPERLINK(CONCATENATE("#metadata!", ADDRESS(INDEX($AH$2:$AH$1001,MATCH(ROWS($AF$2:AF170),$AF$2:$AF$1001,0),0), INDEX($AM$1004:$BM$1004,1,MATCH(COLUMNS($AM$1006:AY1006),$AM$1006:$BM$1006,0)))),"Fix")))</f>
        <v xml:space="preserve"> </v>
      </c>
      <c r="O170" s="4" t="str">
        <f ca="1">IF(OR(INDEX($AG$2:$AG$1001,MATCH(ROWS($AF$2:AF170),$AF$2:$AF$1001,0),1)&gt;=100000,INDEX($AM$1005:$BM$1005,1,MATCH(COLUMNS($AM$1006:AZ1006),$AM$1006:$BM$1006,0))&gt;=100000), " ",IF(INDEX($AM$2:$BM$1001,MATCH(ROWS($AF$2:AF170),$AF$2:$AF$1001,0),MATCH(COLUMNS($AM$1006:AZ1006),$AM$1006:$BM$1006,0)), HYPERLINK("#",""), HYPERLINK(CONCATENATE("#metadata!", ADDRESS(INDEX($AH$2:$AH$1001,MATCH(ROWS($AF$2:AF170),$AF$2:$AF$1001,0),0), INDEX($AM$1004:$BM$1004,1,MATCH(COLUMNS($AM$1006:AZ1006),$AM$1006:$BM$1006,0)))),"Fix")))</f>
        <v xml:space="preserve"> </v>
      </c>
      <c r="P170" s="4" t="str">
        <f ca="1">IF(OR(INDEX($AG$2:$AG$1001,MATCH(ROWS($AF$2:AF170),$AF$2:$AF$1001,0),1)&gt;=100000,INDEX($AM$1005:$BM$1005,1,MATCH(COLUMNS($AM$1006:BA1006),$AM$1006:$BM$1006,0))&gt;=100000), " ",IF(INDEX($AM$2:$BM$1001,MATCH(ROWS($AF$2:AF170),$AF$2:$AF$1001,0),MATCH(COLUMNS($AM$1006:BA1006),$AM$1006:$BM$1006,0)), HYPERLINK("#",""), HYPERLINK(CONCATENATE("#metadata!", ADDRESS(INDEX($AH$2:$AH$1001,MATCH(ROWS($AF$2:AF170),$AF$2:$AF$1001,0),0), INDEX($AM$1004:$BM$1004,1,MATCH(COLUMNS($AM$1006:BA1006),$AM$1006:$BM$1006,0)))),"Fix")))</f>
        <v xml:space="preserve"> </v>
      </c>
      <c r="Q170" s="4" t="str">
        <f ca="1">IF(OR(INDEX($AG$2:$AG$1001,MATCH(ROWS($AF$2:AF170),$AF$2:$AF$1001,0),1)&gt;=100000,INDEX($AM$1005:$BM$1005,1,MATCH(COLUMNS($AM$1006:BB1006),$AM$1006:$BM$1006,0))&gt;=100000), " ",IF(INDEX($AM$2:$BM$1001,MATCH(ROWS($AF$2:AF170),$AF$2:$AF$1001,0),MATCH(COLUMNS($AM$1006:BB1006),$AM$1006:$BM$1006,0)), HYPERLINK("#",""), HYPERLINK(CONCATENATE("#metadata!", ADDRESS(INDEX($AH$2:$AH$1001,MATCH(ROWS($AF$2:AF170),$AF$2:$AF$1001,0),0), INDEX($AM$1004:$BM$1004,1,MATCH(COLUMNS($AM$1006:BB1006),$AM$1006:$BM$1006,0)))),"Fix")))</f>
        <v xml:space="preserve"> </v>
      </c>
      <c r="R170" s="4" t="str">
        <f ca="1">IF(OR(INDEX($AG$2:$AG$1001,MATCH(ROWS($AF$2:AF170),$AF$2:$AF$1001,0),1)&gt;=100000,INDEX($AM$1005:$BM$1005,1,MATCH(COLUMNS($AM$1006:BC1006),$AM$1006:$BM$1006,0))&gt;=100000), " ",IF(INDEX($AM$2:$BM$1001,MATCH(ROWS($AF$2:AF170),$AF$2:$AF$1001,0),MATCH(COLUMNS($AM$1006:BC1006),$AM$1006:$BM$1006,0)), HYPERLINK("#",""), HYPERLINK(CONCATENATE("#metadata!", ADDRESS(INDEX($AH$2:$AH$1001,MATCH(ROWS($AF$2:AF170),$AF$2:$AF$1001,0),0), INDEX($AM$1004:$BM$1004,1,MATCH(COLUMNS($AM$1006:BC1006),$AM$1006:$BM$1006,0)))),"Fix")))</f>
        <v xml:space="preserve"> </v>
      </c>
      <c r="S170" s="4" t="str">
        <f ca="1">IF(OR(INDEX($AG$2:$AG$1001,MATCH(ROWS($AF$2:AF170),$AF$2:$AF$1001,0),1)&gt;=100000,INDEX($AM$1005:$BM$1005,1,MATCH(COLUMNS($AM$1006:BD1006),$AM$1006:$BM$1006,0))&gt;=100000), " ",IF(INDEX($AM$2:$BM$1001,MATCH(ROWS($AF$2:AF170),$AF$2:$AF$1001,0),MATCH(COLUMNS($AM$1006:BD1006),$AM$1006:$BM$1006,0)), HYPERLINK("#",""), HYPERLINK(CONCATENATE("#metadata!", ADDRESS(INDEX($AH$2:$AH$1001,MATCH(ROWS($AF$2:AF170),$AF$2:$AF$1001,0),0), INDEX($AM$1004:$BM$1004,1,MATCH(COLUMNS($AM$1006:BD1006),$AM$1006:$BM$1006,0)))),"Fix")))</f>
        <v xml:space="preserve"> </v>
      </c>
      <c r="T170" s="4" t="str">
        <f ca="1">IF(OR(INDEX($AG$2:$AG$1001,MATCH(ROWS($AF$2:AF170),$AF$2:$AF$1001,0),1)&gt;=100000,INDEX($AM$1005:$BM$1005,1,MATCH(COLUMNS($AM$1006:BE1006),$AM$1006:$BM$1006,0))&gt;=100000), " ",IF(INDEX($AM$2:$BM$1001,MATCH(ROWS($AF$2:AF170),$AF$2:$AF$1001,0),MATCH(COLUMNS($AM$1006:BE1006),$AM$1006:$BM$1006,0)), HYPERLINK("#",""), HYPERLINK(CONCATENATE("#metadata!", ADDRESS(INDEX($AH$2:$AH$1001,MATCH(ROWS($AF$2:AF170),$AF$2:$AF$1001,0),0), INDEX($AM$1004:$BM$1004,1,MATCH(COLUMNS($AM$1006:BE1006),$AM$1006:$BM$1006,0)))),"Fix")))</f>
        <v xml:space="preserve"> </v>
      </c>
      <c r="U170" s="4" t="str">
        <f ca="1">IF(OR(INDEX($AG$2:$AG$1001,MATCH(ROWS($AF$2:AF170),$AF$2:$AF$1001,0),1)&gt;=100000,INDEX($AM$1005:$BM$1005,1,MATCH(COLUMNS($AM$1006:BF1006),$AM$1006:$BM$1006,0))&gt;=100000), " ",IF(INDEX($AM$2:$BM$1001,MATCH(ROWS($AF$2:AF170),$AF$2:$AF$1001,0),MATCH(COLUMNS($AM$1006:BF1006),$AM$1006:$BM$1006,0)), HYPERLINK("#",""), HYPERLINK(CONCATENATE("#metadata!", ADDRESS(INDEX($AH$2:$AH$1001,MATCH(ROWS($AF$2:AF170),$AF$2:$AF$1001,0),0), INDEX($AM$1004:$BM$1004,1,MATCH(COLUMNS($AM$1006:BF1006),$AM$1006:$BM$1006,0)))),"Fix")))</f>
        <v xml:space="preserve"> </v>
      </c>
      <c r="V170" s="4" t="str">
        <f ca="1">IF(OR(INDEX($AG$2:$AG$1001,MATCH(ROWS($AF$2:AF170),$AF$2:$AF$1001,0),1)&gt;=100000,INDEX($AM$1005:$BM$1005,1,MATCH(COLUMNS($AM$1006:BG1006),$AM$1006:$BM$1006,0))&gt;=100000), " ",IF(INDEX($AM$2:$BM$1001,MATCH(ROWS($AF$2:AF170),$AF$2:$AF$1001,0),MATCH(COLUMNS($AM$1006:BG1006),$AM$1006:$BM$1006,0)), HYPERLINK("#",""), HYPERLINK(CONCATENATE("#metadata!", ADDRESS(INDEX($AH$2:$AH$1001,MATCH(ROWS($AF$2:AF170),$AF$2:$AF$1001,0),0), INDEX($AM$1004:$BM$1004,1,MATCH(COLUMNS($AM$1006:BG1006),$AM$1006:$BM$1006,0)))),"Fix")))</f>
        <v xml:space="preserve"> </v>
      </c>
      <c r="W170" s="4" t="str">
        <f ca="1">IF(OR(INDEX($AG$2:$AG$1001,MATCH(ROWS($AF$2:AF170),$AF$2:$AF$1001,0),1)&gt;=100000,INDEX($AM$1005:$BM$1005,1,MATCH(COLUMNS($AM$1006:BH1006),$AM$1006:$BM$1006,0))&gt;=100000), " ",IF(INDEX($AM$2:$BM$1001,MATCH(ROWS($AF$2:AF170),$AF$2:$AF$1001,0),MATCH(COLUMNS($AM$1006:BH1006),$AM$1006:$BM$1006,0)), HYPERLINK("#",""), HYPERLINK(CONCATENATE("#metadata!", ADDRESS(INDEX($AH$2:$AH$1001,MATCH(ROWS($AF$2:AF170),$AF$2:$AF$1001,0),0), INDEX($AM$1004:$BM$1004,1,MATCH(COLUMNS($AM$1006:BH1006),$AM$1006:$BM$1006,0)))),"Fix")))</f>
        <v xml:space="preserve"> </v>
      </c>
      <c r="X170" s="4" t="str">
        <f ca="1">IF(OR(INDEX($AG$2:$AG$1001,MATCH(ROWS($AF$2:AF170),$AF$2:$AF$1001,0),1)&gt;=100000,INDEX($AM$1005:$BM$1005,1,MATCH(COLUMNS($AM$1006:BI1006),$AM$1006:$BM$1006,0))&gt;=100000), " ",IF(INDEX($AM$2:$BM$1001,MATCH(ROWS($AF$2:AF170),$AF$2:$AF$1001,0),MATCH(COLUMNS($AM$1006:BI1006),$AM$1006:$BM$1006,0)), HYPERLINK("#",""), HYPERLINK(CONCATENATE("#metadata!", ADDRESS(INDEX($AH$2:$AH$1001,MATCH(ROWS($AF$2:AF170),$AF$2:$AF$1001,0),0), INDEX($AM$1004:$BM$1004,1,MATCH(COLUMNS($AM$1006:BI1006),$AM$1006:$BM$1006,0)))),"Fix")))</f>
        <v xml:space="preserve"> </v>
      </c>
      <c r="Y170" s="4" t="str">
        <f ca="1">IF(OR(INDEX($AG$2:$AG$1001,MATCH(ROWS($AF$2:AF170),$AF$2:$AF$1001,0),1)&gt;=100000,INDEX($AM$1005:$BM$1005,1,MATCH(COLUMNS($AM$1006:BJ1006),$AM$1006:$BM$1006,0))&gt;=100000), " ",IF(INDEX($AM$2:$BM$1001,MATCH(ROWS($AF$2:AF170),$AF$2:$AF$1001,0),MATCH(COLUMNS($AM$1006:BJ1006),$AM$1006:$BM$1006,0)), HYPERLINK("#",""), HYPERLINK(CONCATENATE("#metadata!", ADDRESS(INDEX($AH$2:$AH$1001,MATCH(ROWS($AF$2:AF170),$AF$2:$AF$1001,0),0), INDEX($AM$1004:$BM$1004,1,MATCH(COLUMNS($AM$1006:BJ1006),$AM$1006:$BM$1006,0)))),"Fix")))</f>
        <v xml:space="preserve"> </v>
      </c>
      <c r="Z170" s="4" t="str">
        <f ca="1">IF(OR(INDEX($AG$2:$AG$1001,MATCH(ROWS($AF$2:AF170),$AF$2:$AF$1001,0),1)&gt;=100000,INDEX($AM$1005:$BM$1005,1,MATCH(COLUMNS($AM$1006:BK1006),$AM$1006:$BM$1006,0))&gt;=100000), " ",IF(INDEX($AM$2:$BM$1001,MATCH(ROWS($AF$2:AF170),$AF$2:$AF$1001,0),MATCH(COLUMNS($AM$1006:BK1006),$AM$1006:$BM$1006,0)), HYPERLINK("#",""), HYPERLINK(CONCATENATE("#metadata!", ADDRESS(INDEX($AH$2:$AH$1001,MATCH(ROWS($AF$2:AF170),$AF$2:$AF$1001,0),0), INDEX($AM$1004:$BM$1004,1,MATCH(COLUMNS($AM$1006:BK1006),$AM$1006:$BM$1006,0)))),"Fix")))</f>
        <v xml:space="preserve"> </v>
      </c>
      <c r="AA170" s="4" t="str">
        <f ca="1">IF(OR(INDEX($AG$2:$AG$1001,MATCH(ROWS($AF$2:AF170),$AF$2:$AF$1001,0),1)&gt;=100000,INDEX($AM$1005:$BM$1005,1,MATCH(COLUMNS($AM$1006:BL1006),$AM$1006:$BM$1006,0))&gt;=100000), " ",IF(INDEX($AM$2:$BM$1001,MATCH(ROWS($AF$2:AF170),$AF$2:$AF$1001,0),MATCH(COLUMNS($AM$1006:BL1006),$AM$1006:$BM$1006,0)), HYPERLINK("#",""), HYPERLINK(CONCATENATE("#metadata!", ADDRESS(INDEX($AH$2:$AH$1001,MATCH(ROWS($AF$2:AF170),$AF$2:$AF$1001,0),0), INDEX($AM$1004:$BM$1004,1,MATCH(COLUMNS($AM$1006:BL1006),$AM$1006:$BM$1006,0)))),"Fix")))</f>
        <v xml:space="preserve"> </v>
      </c>
      <c r="AB170" s="4" t="str">
        <f ca="1">IF(OR(INDEX($AG$2:$AG$1001,MATCH(ROWS($AF$2:AF170),$AF$2:$AF$1001,0),1)&gt;=100000,INDEX($AM$1005:$BM$1005,1,MATCH(COLUMNS($AM$1006:BM1006),$AM$1006:$BM$1006,0))&gt;=100000), " ",IF(INDEX($AM$2:$BM$1001,MATCH(ROWS($AF$2:AF170),$AF$2:$AF$1001,0),MATCH(COLUMNS($AM$1006:BM1006),$AM$1006:$BM$1006,0)), HYPERLINK("#",""), HYPERLINK(CONCATENATE("#metadata!", ADDRESS(INDEX($AH$2:$AH$1001,MATCH(ROWS($AF$2:AF170),$AF$2:$AF$1001,0),0), INDEX($AM$1004:$BM$1004,1,MATCH(COLUMNS($AM$1006:BM1006),$AM$1006:$BM$1006,0)))),"Fix")))</f>
        <v xml:space="preserve"> </v>
      </c>
      <c r="AF170">
        <v>169</v>
      </c>
      <c r="AG170">
        <v>100170</v>
      </c>
      <c r="AH170">
        <v>170</v>
      </c>
      <c r="AI170" t="b">
        <f t="shared" si="2"/>
        <v>1</v>
      </c>
      <c r="AJ170" t="b">
        <f>COUNTBLANK(metadata!B170:AB170)=COLUMNS(metadata!B170:AB170)</f>
        <v>1</v>
      </c>
      <c r="AK170" t="str">
        <v/>
      </c>
      <c r="AM170" t="b">
        <f ca="1">AND(IF(metadata!B170="",FALSE,TRUE),COUNTIF(metadata!B:B, metadata!B170) = 1,NOT(ISERROR(SUMPRODUCT(SEARCH(MID(metadata!B170,ROW(INDIRECT("1:"&amp;LEN(metadata!B170))), 1),"0123456789abcdefghijklmnopqrstuvwxyzABCDEFGHIJKLMNOPQRSTUVWXYZ.")))))</f>
        <v>0</v>
      </c>
      <c r="AN170" t="b">
        <f ca="1">OR(AND(IF(metadata!C170="",FALSE,TRUE),OR(EXACT(metadata!C170,"missing: not collected"),EXACT(metadata!C170,"missing: not provided"),EXACT(metadata!C170,"missing: restricted access"))),AND(IF(metadata!C170="",FALSE,TRUE),AND(AND(IFERROR(INT(LEFT(metadata!C170,4))&gt;1900,FALSE),IFERROR(INT(LEFT(metadata!C170,4))&lt;=YEAR(NOW()),FALSE)), OR(MID(metadata!C170,5,1)="", AND(AND(MID(metadata!C170,5,1)="-",IFERROR(INT(MID(metadata!C170,6,1))&gt;=0,FALSE),IFERROR(INT(MID(metadata!C170,6,1))&lt;=1,FALSE),NOT(MID(metadata!C170,7,1)=""),IFERROR(INT(MID(metadata!C170,6,2))&gt;=1,FALSE),IFERROR(INT(MID(metadata!C170,6,2))&lt;=12,FALSE)), OR(MID(metadata!C170,8,1)="", AND(AND(MID(metadata!C170,8,1)="-",IFERROR(INT(MID(metadata!C170,9,1))&gt;=0,FALSE),IFERROR(INT(MID(metadata!C170,9,1))&lt;=3,FALSE),NOT(MID(metadata!C170,10,1)=""),IFERROR(INT(MID(metadata!C170,9,2))&gt;=1,FALSE),IFERROR(INT(MID(metadata!C170,9,2))&lt;=31,FALSE)), OR(MID(metadata!C170,11,1)="", AND(AND(MID(metadata!C170,11,1)=" ",IFERROR(INT(MID(metadata!C170,12,1))&gt;=0,FALSE),IFERROR(INT(MID(metadata!C170,12,1))&lt;=2,FALSE),NOT(MID(metadata!C170,13,1)=""),IFERROR(INT(MID(metadata!C170,12,2))&gt;=0,FALSE),IFERROR(INT(MID(metadata!C170,12,2))&lt;=23,FALSE)), OR(MID(metadata!C170,14,1)="", AND(AND(MID(metadata!C170,14,1)=":",IFERROR(INT(MID(metadata!C170,15,1))&gt;=0,FALSE),IFERROR(INT(MID(metadata!C170,15,1))&lt;=5,FALSE),NOT(MID(metadata!C170,16,1)=""),IFERROR(INT(MID(metadata!C170,15,2))&gt;=0,FALSE),IFERROR(INT(MID(metadata!C170,15,2))&lt;=59,FALSE)), OR(MID(metadata!C170,17,1)="", AND(AND(MID(metadata!C170,17,1)=":",IFERROR(INT(MID(metadata!C170,18,1))&gt;=0,FALSE),IFERROR(INT(MID(metadata!C170,18,1))&lt;=5,FALSE),NOT(MID(metadata!C170,19,1)=""),IFERROR(INT(MID(metadata!C170,18,2))&gt;=0,FALSE),IFERROR(INT(MID(metadata!C170,18,2))&lt;=59,FALSE)), LEN(metadata!C170)&lt;=19)))))))))))))</f>
        <v>0</v>
      </c>
      <c r="AO170" t="b">
        <f>AND(IF(metadata!D170="",FALSE,TRUE),EXACT(metadata!D170,"Not applicable"))</f>
        <v>0</v>
      </c>
      <c r="AP170" t="b">
        <f>IF(metadata!E170="",FALSE,TRUE)</f>
        <v>0</v>
      </c>
      <c r="AQ170" t="b">
        <f>OR(AND(IF(metadata!F170="",FALSE,TRUE),OR(EXACT(metadata!F170,"missing: not collected"),EXACT(metadata!F170,"missing: not provided"))),AND(IF(metadata!F170="",FALSE,TRUE),OR(EXACT(metadata!F170,"TRUE"),EXACT(metadata!F170,"FALSE"))))</f>
        <v>0</v>
      </c>
      <c r="AR170" t="b">
        <f>OR(AND(IF(metadata!G170="",FALSE,TRUE),OR(EXACT(metadata!G170,"missing: not collected"),EXACT(metadata!G170,"missing: not provided"),EXACT(metadata!G170,"missing: restricted access"))),AND(IF(metadata!G170="",FALSE,ISNUMBER(VALUE(metadata!G170))),metadata!G170&gt;=-413))</f>
        <v>0</v>
      </c>
      <c r="AS170" t="b">
        <f>AND(IF(metadata!H170="",FALSE,TRUE),EXACT(metadata!H170,"meters"))</f>
        <v>0</v>
      </c>
      <c r="AT170" t="b">
        <f>AND(IF(metadata!I170="",FALSE,TRUE),OR(EXACT(metadata!I170,"Host-associated"),EXACT(metadata!I170,"Free-living")))</f>
        <v>0</v>
      </c>
      <c r="AU170" t="b">
        <f>AND(IF(metadata!J170="",FALSE,TRUE),OR(EXACT(metadata!J170,"Animal"),EXACT(metadata!J170,"Fungus"),EXACT(metadata!J170,"Plant"),EXACT(metadata!J170,"Saline"),EXACT(metadata!J170,"Non-saline")))</f>
        <v>0</v>
      </c>
      <c r="AV170" t="b">
        <f>AND(IF(metadata!K170="",FALSE,TRUE),OR(EXACT(metadata!K170,"Plant secretion"),EXACT(metadata!K170,"Plant rhizosphere"),EXACT(metadata!K170,"Plant surface"),EXACT(metadata!K170,"Plant corpus"),EXACT(metadata!K170,"Fungus surface"),EXACT(metadata!K170,"Fungus corpus"),EXACT(metadata!K170,"Animal surface"),EXACT(metadata!K170,"Animal proximal gut"),EXACT(metadata!K170,"Animal corpus"),EXACT(metadata!K170,"Animal distal gut"),EXACT(metadata!K170,"Animal secretion"),EXACT(metadata!K170,"Sub-surface (non-saline)"),EXACT(metadata!K170,"Surface (non-saline)"),EXACT(metadata!K170,"Water (non-saline)"),EXACT(metadata!K170,"Soil (non-saline)"),EXACT(metadata!K170,"Aerosol (non-saline)"),EXACT(metadata!K170,"Sediment (non-saline)"),EXACT(metadata!K170,"Surface (saline)"),EXACT(metadata!K170,"Water (saline)"),EXACT(metadata!K170,"Hypersaline (saline)"),EXACT(metadata!K170,"Aerosol (saline)"),EXACT(metadata!K170,"Sediment (saline)")))</f>
        <v>0</v>
      </c>
      <c r="AW170" t="b">
        <f>IF(metadata!L170="",FALSE,TRUE)</f>
        <v>0</v>
      </c>
      <c r="AX170" t="b">
        <f>IF(metadata!M170="",FALSE,TRUE)</f>
        <v>0</v>
      </c>
      <c r="AY170" t="b">
        <f>IF(metadata!N170="",FALSE,TRUE)</f>
        <v>0</v>
      </c>
      <c r="AZ170" t="b">
        <f>OR(AND(IF(metadata!O170="",FALSE,TRUE),OR(EXACT(metadata!O170,"missing: not collected"),EXACT(metadata!O170,"missing: not provided"),EXACT(metadata!O170,"missing: restricted access"))),AND(IF(metadata!O170="",FALSE,TRUE),OR(EXACT(metadata!O170,"air"),EXACT(metadata!O170,"built environment"),EXACT(metadata!O170,"host-associated"),EXACT(metadata!O170,"human-associated"),EXACT(metadata!O170,"human-skin"),EXACT(metadata!O170,"human-oral"),EXACT(metadata!O170,"human-gut"),EXACT(metadata!O170,"human-vaginal"),EXACT(metadata!O170,"microbial mat/biofilm"),EXACT(metadata!O170,"misc environment"),EXACT(metadata!O170,"plant-associated"),EXACT(metadata!O170,"sediment"),EXACT(metadata!O170,"soil"),EXACT(metadata!O170,"wastewater/sludge"),EXACT(metadata!O170,"water"))))</f>
        <v>0</v>
      </c>
      <c r="BA170" t="b">
        <f>IF(metadata!P170="",FALSE,TRUE)</f>
        <v>0</v>
      </c>
      <c r="BB170" t="b">
        <f>IF(metadata!Q170="",FALSE,TRUE)</f>
        <v>0</v>
      </c>
      <c r="BC170" t="b">
        <f>OR(AND(IF(metadata!R170="",FALSE,TRUE),OR(EXACT(metadata!R170,"missing: not collected"),EXACT(metadata!R170,"missing: not provided"),EXACT(metadata!R170,"missing: restricted access"))),AND(IF(metadata!R170="",FALSE,ISNUMBER(VALUE(metadata!R170))),metadata!R170&gt;=-90,metadata!R170&lt;=90))</f>
        <v>0</v>
      </c>
      <c r="BD170" t="b">
        <f>AND(IF(metadata!S170="",FALSE,TRUE),EXACT(metadata!S170,"Decimal degrees"))</f>
        <v>0</v>
      </c>
      <c r="BE170" t="b">
        <f>OR(AND(IF(metadata!T170="",FALSE,TRUE),OR(EXACT(metadata!T170,"missing: not collected"),EXACT(metadata!T170,"missing: not provided"),EXACT(metadata!T170,"missing: restricted access"))),AND(IF(metadata!T170="",FALSE,ISNUMBER(VALUE(metadata!T170))),metadata!T170&gt;=-180,metadata!T170&lt;=180))</f>
        <v>0</v>
      </c>
      <c r="BF170" t="b">
        <f>AND(IF(metadata!U170="",FALSE,TRUE),EXACT(metadata!U170,"Decimal degrees"))</f>
        <v>0</v>
      </c>
      <c r="BG170" t="b">
        <f>IF(metadata!V170="",FALSE,TRUE)</f>
        <v>0</v>
      </c>
      <c r="BH170" t="b">
        <f>OR(AND(IF(metadata!W170="",FALSE,TRUE),OR(EXACT(metadata!W170,"missing: not collected"),EXACT(metadata!W170,"missing: not provided"),EXACT(metadata!W170,"missing: restricted access"))),AND(IF(metadata!W170="",FALSE,TRUE),OR(EXACT(metadata!W170,"TRUE"),EXACT(metadata!W170,"FALSE"))))</f>
        <v>0</v>
      </c>
      <c r="BI170" t="b">
        <f>AND(IF(metadata!X170="",FALSE,TRUE),EXACT(metadata!X170,"other"))</f>
        <v>0</v>
      </c>
      <c r="BJ170" t="b">
        <f>IF(metadata!Y170="",FALSE,TRUE)</f>
        <v>0</v>
      </c>
      <c r="BK170" t="b">
        <f>OR(AND(IF(metadata!Z170="",FALSE,TRUE),OR(EXACT(metadata!Z170,"missing: not collected"),EXACT(metadata!Z170,"missing: not provided"))),AND(IF(metadata!Z170="",FALSE,IF(ISERROR(INT(metadata!Z170)),FALSE,INT(metadata!Z170)=metadata!Z170)),metadata!Z170&gt;0))</f>
        <v>0</v>
      </c>
      <c r="BL170" t="b">
        <f>AND(IF(metadata!AA170="",FALSE,TRUE),EXACT(metadata!AA170,"Not applicable"))</f>
        <v>0</v>
      </c>
      <c r="BM170" t="b">
        <f>IF(metadata!AB170="",FALSE,TRUE)</f>
        <v>0</v>
      </c>
    </row>
    <row r="171" spans="1:65" x14ac:dyDescent="0.2">
      <c r="A171" s="5" t="str">
        <f ca="1">IF(B171=" "," ",HYPERLINK(CONCATENATE("#metadata!",ADDRESS(INDEX($AH$2:$AH$1001,MATCH(ROWS($AF$2:AF171),$AF$2:$AF$1001,0),0),1)),INDEX($AK$2:$AK$1001,MATCH(ROWS($AF$2:AF171),$AF$2:$AF$1001,0),0)))</f>
        <v xml:space="preserve"> </v>
      </c>
      <c r="B171" s="4" t="str">
        <f ca="1">IF(OR(INDEX($AG$2:$AG$1001,MATCH(ROWS($AF$2:AF171),$AF$2:$AF$1001,0),1)&gt;=100000,INDEX($AM$1005:$BM$1005,1,MATCH(COLUMNS($AM$1006:AM1006),$AM$1006:$BM$1006,0))&gt;=100000), " ",IF(INDEX($AM$2:$BM$1001,MATCH(ROWS($AF$2:AF171),$AF$2:$AF$1001,0),MATCH(COLUMNS($AM$1006:AM1006),$AM$1006:$BM$1006,0)), HYPERLINK("#",""), HYPERLINK(CONCATENATE("#metadata!", ADDRESS(INDEX($AH$2:$AH$1001,MATCH(ROWS($AF$2:AF171),$AF$2:$AF$1001,0),0), INDEX($AM$1004:$BM$1004,1,MATCH(COLUMNS($AM$1006:AM1006),$AM$1006:$BM$1006,0)))),"Fix")))</f>
        <v xml:space="preserve"> </v>
      </c>
      <c r="C171" s="4" t="str">
        <f ca="1">IF(OR(INDEX($AG$2:$AG$1001,MATCH(ROWS($AF$2:AF171),$AF$2:$AF$1001,0),1)&gt;=100000,INDEX($AM$1005:$BM$1005,1,MATCH(COLUMNS($AM$1006:AN1006),$AM$1006:$BM$1006,0))&gt;=100000), " ",IF(INDEX($AM$2:$BM$1001,MATCH(ROWS($AF$2:AF171),$AF$2:$AF$1001,0),MATCH(COLUMNS($AM$1006:AN1006),$AM$1006:$BM$1006,0)), HYPERLINK("#",""), HYPERLINK(CONCATENATE("#metadata!", ADDRESS(INDEX($AH$2:$AH$1001,MATCH(ROWS($AF$2:AF171),$AF$2:$AF$1001,0),0), INDEX($AM$1004:$BM$1004,1,MATCH(COLUMNS($AM$1006:AN1006),$AM$1006:$BM$1006,0)))),"Fix")))</f>
        <v xml:space="preserve"> </v>
      </c>
      <c r="D171" s="4" t="str">
        <f ca="1">IF(OR(INDEX($AG$2:$AG$1001,MATCH(ROWS($AF$2:AF171),$AF$2:$AF$1001,0),1)&gt;=100000,INDEX($AM$1005:$BM$1005,1,MATCH(COLUMNS($AM$1006:AO1006),$AM$1006:$BM$1006,0))&gt;=100000), " ",IF(INDEX($AM$2:$BM$1001,MATCH(ROWS($AF$2:AF171),$AF$2:$AF$1001,0),MATCH(COLUMNS($AM$1006:AO1006),$AM$1006:$BM$1006,0)), HYPERLINK("#",""), HYPERLINK(CONCATENATE("#metadata!", ADDRESS(INDEX($AH$2:$AH$1001,MATCH(ROWS($AF$2:AF171),$AF$2:$AF$1001,0),0), INDEX($AM$1004:$BM$1004,1,MATCH(COLUMNS($AM$1006:AO1006),$AM$1006:$BM$1006,0)))),"Fix")))</f>
        <v xml:space="preserve"> </v>
      </c>
      <c r="E171" s="4" t="str">
        <f ca="1">IF(OR(INDEX($AG$2:$AG$1001,MATCH(ROWS($AF$2:AF171),$AF$2:$AF$1001,0),1)&gt;=100000,INDEX($AM$1005:$BM$1005,1,MATCH(COLUMNS($AM$1006:AP1006),$AM$1006:$BM$1006,0))&gt;=100000), " ",IF(INDEX($AM$2:$BM$1001,MATCH(ROWS($AF$2:AF171),$AF$2:$AF$1001,0),MATCH(COLUMNS($AM$1006:AP1006),$AM$1006:$BM$1006,0)), HYPERLINK("#",""), HYPERLINK(CONCATENATE("#metadata!", ADDRESS(INDEX($AH$2:$AH$1001,MATCH(ROWS($AF$2:AF171),$AF$2:$AF$1001,0),0), INDEX($AM$1004:$BM$1004,1,MATCH(COLUMNS($AM$1006:AP1006),$AM$1006:$BM$1006,0)))),"Fix")))</f>
        <v xml:space="preserve"> </v>
      </c>
      <c r="F171" s="4" t="str">
        <f ca="1">IF(OR(INDEX($AG$2:$AG$1001,MATCH(ROWS($AF$2:AF171),$AF$2:$AF$1001,0),1)&gt;=100000,INDEX($AM$1005:$BM$1005,1,MATCH(COLUMNS($AM$1006:AQ1006),$AM$1006:$BM$1006,0))&gt;=100000), " ",IF(INDEX($AM$2:$BM$1001,MATCH(ROWS($AF$2:AF171),$AF$2:$AF$1001,0),MATCH(COLUMNS($AM$1006:AQ1006),$AM$1006:$BM$1006,0)), HYPERLINK("#",""), HYPERLINK(CONCATENATE("#metadata!", ADDRESS(INDEX($AH$2:$AH$1001,MATCH(ROWS($AF$2:AF171),$AF$2:$AF$1001,0),0), INDEX($AM$1004:$BM$1004,1,MATCH(COLUMNS($AM$1006:AQ1006),$AM$1006:$BM$1006,0)))),"Fix")))</f>
        <v xml:space="preserve"> </v>
      </c>
      <c r="G171" s="4" t="str">
        <f ca="1">IF(OR(INDEX($AG$2:$AG$1001,MATCH(ROWS($AF$2:AF171),$AF$2:$AF$1001,0),1)&gt;=100000,INDEX($AM$1005:$BM$1005,1,MATCH(COLUMNS($AM$1006:AR1006),$AM$1006:$BM$1006,0))&gt;=100000), " ",IF(INDEX($AM$2:$BM$1001,MATCH(ROWS($AF$2:AF171),$AF$2:$AF$1001,0),MATCH(COLUMNS($AM$1006:AR1006),$AM$1006:$BM$1006,0)), HYPERLINK("#",""), HYPERLINK(CONCATENATE("#metadata!", ADDRESS(INDEX($AH$2:$AH$1001,MATCH(ROWS($AF$2:AF171),$AF$2:$AF$1001,0),0), INDEX($AM$1004:$BM$1004,1,MATCH(COLUMNS($AM$1006:AR1006),$AM$1006:$BM$1006,0)))),"Fix")))</f>
        <v xml:space="preserve"> </v>
      </c>
      <c r="H171" s="4" t="str">
        <f ca="1">IF(OR(INDEX($AG$2:$AG$1001,MATCH(ROWS($AF$2:AF171),$AF$2:$AF$1001,0),1)&gt;=100000,INDEX($AM$1005:$BM$1005,1,MATCH(COLUMNS($AM$1006:AS1006),$AM$1006:$BM$1006,0))&gt;=100000), " ",IF(INDEX($AM$2:$BM$1001,MATCH(ROWS($AF$2:AF171),$AF$2:$AF$1001,0),MATCH(COLUMNS($AM$1006:AS1006),$AM$1006:$BM$1006,0)), HYPERLINK("#",""), HYPERLINK(CONCATENATE("#metadata!", ADDRESS(INDEX($AH$2:$AH$1001,MATCH(ROWS($AF$2:AF171),$AF$2:$AF$1001,0),0), INDEX($AM$1004:$BM$1004,1,MATCH(COLUMNS($AM$1006:AS1006),$AM$1006:$BM$1006,0)))),"Fix")))</f>
        <v xml:space="preserve"> </v>
      </c>
      <c r="I171" s="4" t="str">
        <f ca="1">IF(OR(INDEX($AG$2:$AG$1001,MATCH(ROWS($AF$2:AF171),$AF$2:$AF$1001,0),1)&gt;=100000,INDEX($AM$1005:$BM$1005,1,MATCH(COLUMNS($AM$1006:AT1006),$AM$1006:$BM$1006,0))&gt;=100000), " ",IF(INDEX($AM$2:$BM$1001,MATCH(ROWS($AF$2:AF171),$AF$2:$AF$1001,0),MATCH(COLUMNS($AM$1006:AT1006),$AM$1006:$BM$1006,0)), HYPERLINK("#",""), HYPERLINK(CONCATENATE("#metadata!", ADDRESS(INDEX($AH$2:$AH$1001,MATCH(ROWS($AF$2:AF171),$AF$2:$AF$1001,0),0), INDEX($AM$1004:$BM$1004,1,MATCH(COLUMNS($AM$1006:AT1006),$AM$1006:$BM$1006,0)))),"Fix")))</f>
        <v xml:space="preserve"> </v>
      </c>
      <c r="J171" s="4" t="str">
        <f ca="1">IF(OR(INDEX($AG$2:$AG$1001,MATCH(ROWS($AF$2:AF171),$AF$2:$AF$1001,0),1)&gt;=100000,INDEX($AM$1005:$BM$1005,1,MATCH(COLUMNS($AM$1006:AU1006),$AM$1006:$BM$1006,0))&gt;=100000), " ",IF(INDEX($AM$2:$BM$1001,MATCH(ROWS($AF$2:AF171),$AF$2:$AF$1001,0),MATCH(COLUMNS($AM$1006:AU1006),$AM$1006:$BM$1006,0)), HYPERLINK("#",""), HYPERLINK(CONCATENATE("#metadata!", ADDRESS(INDEX($AH$2:$AH$1001,MATCH(ROWS($AF$2:AF171),$AF$2:$AF$1001,0),0), INDEX($AM$1004:$BM$1004,1,MATCH(COLUMNS($AM$1006:AU1006),$AM$1006:$BM$1006,0)))),"Fix")))</f>
        <v xml:space="preserve"> </v>
      </c>
      <c r="K171" s="4" t="str">
        <f ca="1">IF(OR(INDEX($AG$2:$AG$1001,MATCH(ROWS($AF$2:AF171),$AF$2:$AF$1001,0),1)&gt;=100000,INDEX($AM$1005:$BM$1005,1,MATCH(COLUMNS($AM$1006:AV1006),$AM$1006:$BM$1006,0))&gt;=100000), " ",IF(INDEX($AM$2:$BM$1001,MATCH(ROWS($AF$2:AF171),$AF$2:$AF$1001,0),MATCH(COLUMNS($AM$1006:AV1006),$AM$1006:$BM$1006,0)), HYPERLINK("#",""), HYPERLINK(CONCATENATE("#metadata!", ADDRESS(INDEX($AH$2:$AH$1001,MATCH(ROWS($AF$2:AF171),$AF$2:$AF$1001,0),0), INDEX($AM$1004:$BM$1004,1,MATCH(COLUMNS($AM$1006:AV1006),$AM$1006:$BM$1006,0)))),"Fix")))</f>
        <v xml:space="preserve"> </v>
      </c>
      <c r="L171" s="4" t="str">
        <f ca="1">IF(OR(INDEX($AG$2:$AG$1001,MATCH(ROWS($AF$2:AF171),$AF$2:$AF$1001,0),1)&gt;=100000,INDEX($AM$1005:$BM$1005,1,MATCH(COLUMNS($AM$1006:AW1006),$AM$1006:$BM$1006,0))&gt;=100000), " ",IF(INDEX($AM$2:$BM$1001,MATCH(ROWS($AF$2:AF171),$AF$2:$AF$1001,0),MATCH(COLUMNS($AM$1006:AW1006),$AM$1006:$BM$1006,0)), HYPERLINK("#",""), HYPERLINK(CONCATENATE("#metadata!", ADDRESS(INDEX($AH$2:$AH$1001,MATCH(ROWS($AF$2:AF171),$AF$2:$AF$1001,0),0), INDEX($AM$1004:$BM$1004,1,MATCH(COLUMNS($AM$1006:AW1006),$AM$1006:$BM$1006,0)))),"Fix")))</f>
        <v xml:space="preserve"> </v>
      </c>
      <c r="M171" s="4" t="str">
        <f ca="1">IF(OR(INDEX($AG$2:$AG$1001,MATCH(ROWS($AF$2:AF171),$AF$2:$AF$1001,0),1)&gt;=100000,INDEX($AM$1005:$BM$1005,1,MATCH(COLUMNS($AM$1006:AX1006),$AM$1006:$BM$1006,0))&gt;=100000), " ",IF(INDEX($AM$2:$BM$1001,MATCH(ROWS($AF$2:AF171),$AF$2:$AF$1001,0),MATCH(COLUMNS($AM$1006:AX1006),$AM$1006:$BM$1006,0)), HYPERLINK("#",""), HYPERLINK(CONCATENATE("#metadata!", ADDRESS(INDEX($AH$2:$AH$1001,MATCH(ROWS($AF$2:AF171),$AF$2:$AF$1001,0),0), INDEX($AM$1004:$BM$1004,1,MATCH(COLUMNS($AM$1006:AX1006),$AM$1006:$BM$1006,0)))),"Fix")))</f>
        <v xml:space="preserve"> </v>
      </c>
      <c r="N171" s="4" t="str">
        <f ca="1">IF(OR(INDEX($AG$2:$AG$1001,MATCH(ROWS($AF$2:AF171),$AF$2:$AF$1001,0),1)&gt;=100000,INDEX($AM$1005:$BM$1005,1,MATCH(COLUMNS($AM$1006:AY1006),$AM$1006:$BM$1006,0))&gt;=100000), " ",IF(INDEX($AM$2:$BM$1001,MATCH(ROWS($AF$2:AF171),$AF$2:$AF$1001,0),MATCH(COLUMNS($AM$1006:AY1006),$AM$1006:$BM$1006,0)), HYPERLINK("#",""), HYPERLINK(CONCATENATE("#metadata!", ADDRESS(INDEX($AH$2:$AH$1001,MATCH(ROWS($AF$2:AF171),$AF$2:$AF$1001,0),0), INDEX($AM$1004:$BM$1004,1,MATCH(COLUMNS($AM$1006:AY1006),$AM$1006:$BM$1006,0)))),"Fix")))</f>
        <v xml:space="preserve"> </v>
      </c>
      <c r="O171" s="4" t="str">
        <f ca="1">IF(OR(INDEX($AG$2:$AG$1001,MATCH(ROWS($AF$2:AF171),$AF$2:$AF$1001,0),1)&gt;=100000,INDEX($AM$1005:$BM$1005,1,MATCH(COLUMNS($AM$1006:AZ1006),$AM$1006:$BM$1006,0))&gt;=100000), " ",IF(INDEX($AM$2:$BM$1001,MATCH(ROWS($AF$2:AF171),$AF$2:$AF$1001,0),MATCH(COLUMNS($AM$1006:AZ1006),$AM$1006:$BM$1006,0)), HYPERLINK("#",""), HYPERLINK(CONCATENATE("#metadata!", ADDRESS(INDEX($AH$2:$AH$1001,MATCH(ROWS($AF$2:AF171),$AF$2:$AF$1001,0),0), INDEX($AM$1004:$BM$1004,1,MATCH(COLUMNS($AM$1006:AZ1006),$AM$1006:$BM$1006,0)))),"Fix")))</f>
        <v xml:space="preserve"> </v>
      </c>
      <c r="P171" s="4" t="str">
        <f ca="1">IF(OR(INDEX($AG$2:$AG$1001,MATCH(ROWS($AF$2:AF171),$AF$2:$AF$1001,0),1)&gt;=100000,INDEX($AM$1005:$BM$1005,1,MATCH(COLUMNS($AM$1006:BA1006),$AM$1006:$BM$1006,0))&gt;=100000), " ",IF(INDEX($AM$2:$BM$1001,MATCH(ROWS($AF$2:AF171),$AF$2:$AF$1001,0),MATCH(COLUMNS($AM$1006:BA1006),$AM$1006:$BM$1006,0)), HYPERLINK("#",""), HYPERLINK(CONCATENATE("#metadata!", ADDRESS(INDEX($AH$2:$AH$1001,MATCH(ROWS($AF$2:AF171),$AF$2:$AF$1001,0),0), INDEX($AM$1004:$BM$1004,1,MATCH(COLUMNS($AM$1006:BA1006),$AM$1006:$BM$1006,0)))),"Fix")))</f>
        <v xml:space="preserve"> </v>
      </c>
      <c r="Q171" s="4" t="str">
        <f ca="1">IF(OR(INDEX($AG$2:$AG$1001,MATCH(ROWS($AF$2:AF171),$AF$2:$AF$1001,0),1)&gt;=100000,INDEX($AM$1005:$BM$1005,1,MATCH(COLUMNS($AM$1006:BB1006),$AM$1006:$BM$1006,0))&gt;=100000), " ",IF(INDEX($AM$2:$BM$1001,MATCH(ROWS($AF$2:AF171),$AF$2:$AF$1001,0),MATCH(COLUMNS($AM$1006:BB1006),$AM$1006:$BM$1006,0)), HYPERLINK("#",""), HYPERLINK(CONCATENATE("#metadata!", ADDRESS(INDEX($AH$2:$AH$1001,MATCH(ROWS($AF$2:AF171),$AF$2:$AF$1001,0),0), INDEX($AM$1004:$BM$1004,1,MATCH(COLUMNS($AM$1006:BB1006),$AM$1006:$BM$1006,0)))),"Fix")))</f>
        <v xml:space="preserve"> </v>
      </c>
      <c r="R171" s="4" t="str">
        <f ca="1">IF(OR(INDEX($AG$2:$AG$1001,MATCH(ROWS($AF$2:AF171),$AF$2:$AF$1001,0),1)&gt;=100000,INDEX($AM$1005:$BM$1005,1,MATCH(COLUMNS($AM$1006:BC1006),$AM$1006:$BM$1006,0))&gt;=100000), " ",IF(INDEX($AM$2:$BM$1001,MATCH(ROWS($AF$2:AF171),$AF$2:$AF$1001,0),MATCH(COLUMNS($AM$1006:BC1006),$AM$1006:$BM$1006,0)), HYPERLINK("#",""), HYPERLINK(CONCATENATE("#metadata!", ADDRESS(INDEX($AH$2:$AH$1001,MATCH(ROWS($AF$2:AF171),$AF$2:$AF$1001,0),0), INDEX($AM$1004:$BM$1004,1,MATCH(COLUMNS($AM$1006:BC1006),$AM$1006:$BM$1006,0)))),"Fix")))</f>
        <v xml:space="preserve"> </v>
      </c>
      <c r="S171" s="4" t="str">
        <f ca="1">IF(OR(INDEX($AG$2:$AG$1001,MATCH(ROWS($AF$2:AF171),$AF$2:$AF$1001,0),1)&gt;=100000,INDEX($AM$1005:$BM$1005,1,MATCH(COLUMNS($AM$1006:BD1006),$AM$1006:$BM$1006,0))&gt;=100000), " ",IF(INDEX($AM$2:$BM$1001,MATCH(ROWS($AF$2:AF171),$AF$2:$AF$1001,0),MATCH(COLUMNS($AM$1006:BD1006),$AM$1006:$BM$1006,0)), HYPERLINK("#",""), HYPERLINK(CONCATENATE("#metadata!", ADDRESS(INDEX($AH$2:$AH$1001,MATCH(ROWS($AF$2:AF171),$AF$2:$AF$1001,0),0), INDEX($AM$1004:$BM$1004,1,MATCH(COLUMNS($AM$1006:BD1006),$AM$1006:$BM$1006,0)))),"Fix")))</f>
        <v xml:space="preserve"> </v>
      </c>
      <c r="T171" s="4" t="str">
        <f ca="1">IF(OR(INDEX($AG$2:$AG$1001,MATCH(ROWS($AF$2:AF171),$AF$2:$AF$1001,0),1)&gt;=100000,INDEX($AM$1005:$BM$1005,1,MATCH(COLUMNS($AM$1006:BE1006),$AM$1006:$BM$1006,0))&gt;=100000), " ",IF(INDEX($AM$2:$BM$1001,MATCH(ROWS($AF$2:AF171),$AF$2:$AF$1001,0),MATCH(COLUMNS($AM$1006:BE1006),$AM$1006:$BM$1006,0)), HYPERLINK("#",""), HYPERLINK(CONCATENATE("#metadata!", ADDRESS(INDEX($AH$2:$AH$1001,MATCH(ROWS($AF$2:AF171),$AF$2:$AF$1001,0),0), INDEX($AM$1004:$BM$1004,1,MATCH(COLUMNS($AM$1006:BE1006),$AM$1006:$BM$1006,0)))),"Fix")))</f>
        <v xml:space="preserve"> </v>
      </c>
      <c r="U171" s="4" t="str">
        <f ca="1">IF(OR(INDEX($AG$2:$AG$1001,MATCH(ROWS($AF$2:AF171),$AF$2:$AF$1001,0),1)&gt;=100000,INDEX($AM$1005:$BM$1005,1,MATCH(COLUMNS($AM$1006:BF1006),$AM$1006:$BM$1006,0))&gt;=100000), " ",IF(INDEX($AM$2:$BM$1001,MATCH(ROWS($AF$2:AF171),$AF$2:$AF$1001,0),MATCH(COLUMNS($AM$1006:BF1006),$AM$1006:$BM$1006,0)), HYPERLINK("#",""), HYPERLINK(CONCATENATE("#metadata!", ADDRESS(INDEX($AH$2:$AH$1001,MATCH(ROWS($AF$2:AF171),$AF$2:$AF$1001,0),0), INDEX($AM$1004:$BM$1004,1,MATCH(COLUMNS($AM$1006:BF1006),$AM$1006:$BM$1006,0)))),"Fix")))</f>
        <v xml:space="preserve"> </v>
      </c>
      <c r="V171" s="4" t="str">
        <f ca="1">IF(OR(INDEX($AG$2:$AG$1001,MATCH(ROWS($AF$2:AF171),$AF$2:$AF$1001,0),1)&gt;=100000,INDEX($AM$1005:$BM$1005,1,MATCH(COLUMNS($AM$1006:BG1006),$AM$1006:$BM$1006,0))&gt;=100000), " ",IF(INDEX($AM$2:$BM$1001,MATCH(ROWS($AF$2:AF171),$AF$2:$AF$1001,0),MATCH(COLUMNS($AM$1006:BG1006),$AM$1006:$BM$1006,0)), HYPERLINK("#",""), HYPERLINK(CONCATENATE("#metadata!", ADDRESS(INDEX($AH$2:$AH$1001,MATCH(ROWS($AF$2:AF171),$AF$2:$AF$1001,0),0), INDEX($AM$1004:$BM$1004,1,MATCH(COLUMNS($AM$1006:BG1006),$AM$1006:$BM$1006,0)))),"Fix")))</f>
        <v xml:space="preserve"> </v>
      </c>
      <c r="W171" s="4" t="str">
        <f ca="1">IF(OR(INDEX($AG$2:$AG$1001,MATCH(ROWS($AF$2:AF171),$AF$2:$AF$1001,0),1)&gt;=100000,INDEX($AM$1005:$BM$1005,1,MATCH(COLUMNS($AM$1006:BH1006),$AM$1006:$BM$1006,0))&gt;=100000), " ",IF(INDEX($AM$2:$BM$1001,MATCH(ROWS($AF$2:AF171),$AF$2:$AF$1001,0),MATCH(COLUMNS($AM$1006:BH1006),$AM$1006:$BM$1006,0)), HYPERLINK("#",""), HYPERLINK(CONCATENATE("#metadata!", ADDRESS(INDEX($AH$2:$AH$1001,MATCH(ROWS($AF$2:AF171),$AF$2:$AF$1001,0),0), INDEX($AM$1004:$BM$1004,1,MATCH(COLUMNS($AM$1006:BH1006),$AM$1006:$BM$1006,0)))),"Fix")))</f>
        <v xml:space="preserve"> </v>
      </c>
      <c r="X171" s="4" t="str">
        <f ca="1">IF(OR(INDEX($AG$2:$AG$1001,MATCH(ROWS($AF$2:AF171),$AF$2:$AF$1001,0),1)&gt;=100000,INDEX($AM$1005:$BM$1005,1,MATCH(COLUMNS($AM$1006:BI1006),$AM$1006:$BM$1006,0))&gt;=100000), " ",IF(INDEX($AM$2:$BM$1001,MATCH(ROWS($AF$2:AF171),$AF$2:$AF$1001,0),MATCH(COLUMNS($AM$1006:BI1006),$AM$1006:$BM$1006,0)), HYPERLINK("#",""), HYPERLINK(CONCATENATE("#metadata!", ADDRESS(INDEX($AH$2:$AH$1001,MATCH(ROWS($AF$2:AF171),$AF$2:$AF$1001,0),0), INDEX($AM$1004:$BM$1004,1,MATCH(COLUMNS($AM$1006:BI1006),$AM$1006:$BM$1006,0)))),"Fix")))</f>
        <v xml:space="preserve"> </v>
      </c>
      <c r="Y171" s="4" t="str">
        <f ca="1">IF(OR(INDEX($AG$2:$AG$1001,MATCH(ROWS($AF$2:AF171),$AF$2:$AF$1001,0),1)&gt;=100000,INDEX($AM$1005:$BM$1005,1,MATCH(COLUMNS($AM$1006:BJ1006),$AM$1006:$BM$1006,0))&gt;=100000), " ",IF(INDEX($AM$2:$BM$1001,MATCH(ROWS($AF$2:AF171),$AF$2:$AF$1001,0),MATCH(COLUMNS($AM$1006:BJ1006),$AM$1006:$BM$1006,0)), HYPERLINK("#",""), HYPERLINK(CONCATENATE("#metadata!", ADDRESS(INDEX($AH$2:$AH$1001,MATCH(ROWS($AF$2:AF171),$AF$2:$AF$1001,0),0), INDEX($AM$1004:$BM$1004,1,MATCH(COLUMNS($AM$1006:BJ1006),$AM$1006:$BM$1006,0)))),"Fix")))</f>
        <v xml:space="preserve"> </v>
      </c>
      <c r="Z171" s="4" t="str">
        <f ca="1">IF(OR(INDEX($AG$2:$AG$1001,MATCH(ROWS($AF$2:AF171),$AF$2:$AF$1001,0),1)&gt;=100000,INDEX($AM$1005:$BM$1005,1,MATCH(COLUMNS($AM$1006:BK1006),$AM$1006:$BM$1006,0))&gt;=100000), " ",IF(INDEX($AM$2:$BM$1001,MATCH(ROWS($AF$2:AF171),$AF$2:$AF$1001,0),MATCH(COLUMNS($AM$1006:BK1006),$AM$1006:$BM$1006,0)), HYPERLINK("#",""), HYPERLINK(CONCATENATE("#metadata!", ADDRESS(INDEX($AH$2:$AH$1001,MATCH(ROWS($AF$2:AF171),$AF$2:$AF$1001,0),0), INDEX($AM$1004:$BM$1004,1,MATCH(COLUMNS($AM$1006:BK1006),$AM$1006:$BM$1006,0)))),"Fix")))</f>
        <v xml:space="preserve"> </v>
      </c>
      <c r="AA171" s="4" t="str">
        <f ca="1">IF(OR(INDEX($AG$2:$AG$1001,MATCH(ROWS($AF$2:AF171),$AF$2:$AF$1001,0),1)&gt;=100000,INDEX($AM$1005:$BM$1005,1,MATCH(COLUMNS($AM$1006:BL1006),$AM$1006:$BM$1006,0))&gt;=100000), " ",IF(INDEX($AM$2:$BM$1001,MATCH(ROWS($AF$2:AF171),$AF$2:$AF$1001,0),MATCH(COLUMNS($AM$1006:BL1006),$AM$1006:$BM$1006,0)), HYPERLINK("#",""), HYPERLINK(CONCATENATE("#metadata!", ADDRESS(INDEX($AH$2:$AH$1001,MATCH(ROWS($AF$2:AF171),$AF$2:$AF$1001,0),0), INDEX($AM$1004:$BM$1004,1,MATCH(COLUMNS($AM$1006:BL1006),$AM$1006:$BM$1006,0)))),"Fix")))</f>
        <v xml:space="preserve"> </v>
      </c>
      <c r="AB171" s="4" t="str">
        <f ca="1">IF(OR(INDEX($AG$2:$AG$1001,MATCH(ROWS($AF$2:AF171),$AF$2:$AF$1001,0),1)&gt;=100000,INDEX($AM$1005:$BM$1005,1,MATCH(COLUMNS($AM$1006:BM1006),$AM$1006:$BM$1006,0))&gt;=100000), " ",IF(INDEX($AM$2:$BM$1001,MATCH(ROWS($AF$2:AF171),$AF$2:$AF$1001,0),MATCH(COLUMNS($AM$1006:BM1006),$AM$1006:$BM$1006,0)), HYPERLINK("#",""), HYPERLINK(CONCATENATE("#metadata!", ADDRESS(INDEX($AH$2:$AH$1001,MATCH(ROWS($AF$2:AF171),$AF$2:$AF$1001,0),0), INDEX($AM$1004:$BM$1004,1,MATCH(COLUMNS($AM$1006:BM1006),$AM$1006:$BM$1006,0)))),"Fix")))</f>
        <v xml:space="preserve"> </v>
      </c>
      <c r="AF171">
        <v>170</v>
      </c>
      <c r="AG171">
        <v>100171</v>
      </c>
      <c r="AH171">
        <v>171</v>
      </c>
      <c r="AI171" t="b">
        <f t="shared" si="2"/>
        <v>1</v>
      </c>
      <c r="AJ171" t="b">
        <f>COUNTBLANK(metadata!B171:AB171)=COLUMNS(metadata!B171:AB171)</f>
        <v>1</v>
      </c>
      <c r="AK171" t="str">
        <v/>
      </c>
      <c r="AM171" t="b">
        <f ca="1">AND(IF(metadata!B171="",FALSE,TRUE),COUNTIF(metadata!B:B, metadata!B171) = 1,NOT(ISERROR(SUMPRODUCT(SEARCH(MID(metadata!B171,ROW(INDIRECT("1:"&amp;LEN(metadata!B171))), 1),"0123456789abcdefghijklmnopqrstuvwxyzABCDEFGHIJKLMNOPQRSTUVWXYZ.")))))</f>
        <v>0</v>
      </c>
      <c r="AN171" t="b">
        <f ca="1">OR(AND(IF(metadata!C171="",FALSE,TRUE),OR(EXACT(metadata!C171,"missing: not collected"),EXACT(metadata!C171,"missing: not provided"),EXACT(metadata!C171,"missing: restricted access"))),AND(IF(metadata!C171="",FALSE,TRUE),AND(AND(IFERROR(INT(LEFT(metadata!C171,4))&gt;1900,FALSE),IFERROR(INT(LEFT(metadata!C171,4))&lt;=YEAR(NOW()),FALSE)), OR(MID(metadata!C171,5,1)="", AND(AND(MID(metadata!C171,5,1)="-",IFERROR(INT(MID(metadata!C171,6,1))&gt;=0,FALSE),IFERROR(INT(MID(metadata!C171,6,1))&lt;=1,FALSE),NOT(MID(metadata!C171,7,1)=""),IFERROR(INT(MID(metadata!C171,6,2))&gt;=1,FALSE),IFERROR(INT(MID(metadata!C171,6,2))&lt;=12,FALSE)), OR(MID(metadata!C171,8,1)="", AND(AND(MID(metadata!C171,8,1)="-",IFERROR(INT(MID(metadata!C171,9,1))&gt;=0,FALSE),IFERROR(INT(MID(metadata!C171,9,1))&lt;=3,FALSE),NOT(MID(metadata!C171,10,1)=""),IFERROR(INT(MID(metadata!C171,9,2))&gt;=1,FALSE),IFERROR(INT(MID(metadata!C171,9,2))&lt;=31,FALSE)), OR(MID(metadata!C171,11,1)="", AND(AND(MID(metadata!C171,11,1)=" ",IFERROR(INT(MID(metadata!C171,12,1))&gt;=0,FALSE),IFERROR(INT(MID(metadata!C171,12,1))&lt;=2,FALSE),NOT(MID(metadata!C171,13,1)=""),IFERROR(INT(MID(metadata!C171,12,2))&gt;=0,FALSE),IFERROR(INT(MID(metadata!C171,12,2))&lt;=23,FALSE)), OR(MID(metadata!C171,14,1)="", AND(AND(MID(metadata!C171,14,1)=":",IFERROR(INT(MID(metadata!C171,15,1))&gt;=0,FALSE),IFERROR(INT(MID(metadata!C171,15,1))&lt;=5,FALSE),NOT(MID(metadata!C171,16,1)=""),IFERROR(INT(MID(metadata!C171,15,2))&gt;=0,FALSE),IFERROR(INT(MID(metadata!C171,15,2))&lt;=59,FALSE)), OR(MID(metadata!C171,17,1)="", AND(AND(MID(metadata!C171,17,1)=":",IFERROR(INT(MID(metadata!C171,18,1))&gt;=0,FALSE),IFERROR(INT(MID(metadata!C171,18,1))&lt;=5,FALSE),NOT(MID(metadata!C171,19,1)=""),IFERROR(INT(MID(metadata!C171,18,2))&gt;=0,FALSE),IFERROR(INT(MID(metadata!C171,18,2))&lt;=59,FALSE)), LEN(metadata!C171)&lt;=19)))))))))))))</f>
        <v>0</v>
      </c>
      <c r="AO171" t="b">
        <f>AND(IF(metadata!D171="",FALSE,TRUE),EXACT(metadata!D171,"Not applicable"))</f>
        <v>0</v>
      </c>
      <c r="AP171" t="b">
        <f>IF(metadata!E171="",FALSE,TRUE)</f>
        <v>0</v>
      </c>
      <c r="AQ171" t="b">
        <f>OR(AND(IF(metadata!F171="",FALSE,TRUE),OR(EXACT(metadata!F171,"missing: not collected"),EXACT(metadata!F171,"missing: not provided"))),AND(IF(metadata!F171="",FALSE,TRUE),OR(EXACT(metadata!F171,"TRUE"),EXACT(metadata!F171,"FALSE"))))</f>
        <v>0</v>
      </c>
      <c r="AR171" t="b">
        <f>OR(AND(IF(metadata!G171="",FALSE,TRUE),OR(EXACT(metadata!G171,"missing: not collected"),EXACT(metadata!G171,"missing: not provided"),EXACT(metadata!G171,"missing: restricted access"))),AND(IF(metadata!G171="",FALSE,ISNUMBER(VALUE(metadata!G171))),metadata!G171&gt;=-413))</f>
        <v>0</v>
      </c>
      <c r="AS171" t="b">
        <f>AND(IF(metadata!H171="",FALSE,TRUE),EXACT(metadata!H171,"meters"))</f>
        <v>0</v>
      </c>
      <c r="AT171" t="b">
        <f>AND(IF(metadata!I171="",FALSE,TRUE),OR(EXACT(metadata!I171,"Host-associated"),EXACT(metadata!I171,"Free-living")))</f>
        <v>0</v>
      </c>
      <c r="AU171" t="b">
        <f>AND(IF(metadata!J171="",FALSE,TRUE),OR(EXACT(metadata!J171,"Animal"),EXACT(metadata!J171,"Fungus"),EXACT(metadata!J171,"Plant"),EXACT(metadata!J171,"Saline"),EXACT(metadata!J171,"Non-saline")))</f>
        <v>0</v>
      </c>
      <c r="AV171" t="b">
        <f>AND(IF(metadata!K171="",FALSE,TRUE),OR(EXACT(metadata!K171,"Plant secretion"),EXACT(metadata!K171,"Plant rhizosphere"),EXACT(metadata!K171,"Plant surface"),EXACT(metadata!K171,"Plant corpus"),EXACT(metadata!K171,"Fungus surface"),EXACT(metadata!K171,"Fungus corpus"),EXACT(metadata!K171,"Animal surface"),EXACT(metadata!K171,"Animal proximal gut"),EXACT(metadata!K171,"Animal corpus"),EXACT(metadata!K171,"Animal distal gut"),EXACT(metadata!K171,"Animal secretion"),EXACT(metadata!K171,"Sub-surface (non-saline)"),EXACT(metadata!K171,"Surface (non-saline)"),EXACT(metadata!K171,"Water (non-saline)"),EXACT(metadata!K171,"Soil (non-saline)"),EXACT(metadata!K171,"Aerosol (non-saline)"),EXACT(metadata!K171,"Sediment (non-saline)"),EXACT(metadata!K171,"Surface (saline)"),EXACT(metadata!K171,"Water (saline)"),EXACT(metadata!K171,"Hypersaline (saline)"),EXACT(metadata!K171,"Aerosol (saline)"),EXACT(metadata!K171,"Sediment (saline)")))</f>
        <v>0</v>
      </c>
      <c r="AW171" t="b">
        <f>IF(metadata!L171="",FALSE,TRUE)</f>
        <v>0</v>
      </c>
      <c r="AX171" t="b">
        <f>IF(metadata!M171="",FALSE,TRUE)</f>
        <v>0</v>
      </c>
      <c r="AY171" t="b">
        <f>IF(metadata!N171="",FALSE,TRUE)</f>
        <v>0</v>
      </c>
      <c r="AZ171" t="b">
        <f>OR(AND(IF(metadata!O171="",FALSE,TRUE),OR(EXACT(metadata!O171,"missing: not collected"),EXACT(metadata!O171,"missing: not provided"),EXACT(metadata!O171,"missing: restricted access"))),AND(IF(metadata!O171="",FALSE,TRUE),OR(EXACT(metadata!O171,"air"),EXACT(metadata!O171,"built environment"),EXACT(metadata!O171,"host-associated"),EXACT(metadata!O171,"human-associated"),EXACT(metadata!O171,"human-skin"),EXACT(metadata!O171,"human-oral"),EXACT(metadata!O171,"human-gut"),EXACT(metadata!O171,"human-vaginal"),EXACT(metadata!O171,"microbial mat/biofilm"),EXACT(metadata!O171,"misc environment"),EXACT(metadata!O171,"plant-associated"),EXACT(metadata!O171,"sediment"),EXACT(metadata!O171,"soil"),EXACT(metadata!O171,"wastewater/sludge"),EXACT(metadata!O171,"water"))))</f>
        <v>0</v>
      </c>
      <c r="BA171" t="b">
        <f>IF(metadata!P171="",FALSE,TRUE)</f>
        <v>0</v>
      </c>
      <c r="BB171" t="b">
        <f>IF(metadata!Q171="",FALSE,TRUE)</f>
        <v>0</v>
      </c>
      <c r="BC171" t="b">
        <f>OR(AND(IF(metadata!R171="",FALSE,TRUE),OR(EXACT(metadata!R171,"missing: not collected"),EXACT(metadata!R171,"missing: not provided"),EXACT(metadata!R171,"missing: restricted access"))),AND(IF(metadata!R171="",FALSE,ISNUMBER(VALUE(metadata!R171))),metadata!R171&gt;=-90,metadata!R171&lt;=90))</f>
        <v>0</v>
      </c>
      <c r="BD171" t="b">
        <f>AND(IF(metadata!S171="",FALSE,TRUE),EXACT(metadata!S171,"Decimal degrees"))</f>
        <v>0</v>
      </c>
      <c r="BE171" t="b">
        <f>OR(AND(IF(metadata!T171="",FALSE,TRUE),OR(EXACT(metadata!T171,"missing: not collected"),EXACT(metadata!T171,"missing: not provided"),EXACT(metadata!T171,"missing: restricted access"))),AND(IF(metadata!T171="",FALSE,ISNUMBER(VALUE(metadata!T171))),metadata!T171&gt;=-180,metadata!T171&lt;=180))</f>
        <v>0</v>
      </c>
      <c r="BF171" t="b">
        <f>AND(IF(metadata!U171="",FALSE,TRUE),EXACT(metadata!U171,"Decimal degrees"))</f>
        <v>0</v>
      </c>
      <c r="BG171" t="b">
        <f>IF(metadata!V171="",FALSE,TRUE)</f>
        <v>0</v>
      </c>
      <c r="BH171" t="b">
        <f>OR(AND(IF(metadata!W171="",FALSE,TRUE),OR(EXACT(metadata!W171,"missing: not collected"),EXACT(metadata!W171,"missing: not provided"),EXACT(metadata!W171,"missing: restricted access"))),AND(IF(metadata!W171="",FALSE,TRUE),OR(EXACT(metadata!W171,"TRUE"),EXACT(metadata!W171,"FALSE"))))</f>
        <v>0</v>
      </c>
      <c r="BI171" t="b">
        <f>AND(IF(metadata!X171="",FALSE,TRUE),EXACT(metadata!X171,"other"))</f>
        <v>0</v>
      </c>
      <c r="BJ171" t="b">
        <f>IF(metadata!Y171="",FALSE,TRUE)</f>
        <v>0</v>
      </c>
      <c r="BK171" t="b">
        <f>OR(AND(IF(metadata!Z171="",FALSE,TRUE),OR(EXACT(metadata!Z171,"missing: not collected"),EXACT(metadata!Z171,"missing: not provided"))),AND(IF(metadata!Z171="",FALSE,IF(ISERROR(INT(metadata!Z171)),FALSE,INT(metadata!Z171)=metadata!Z171)),metadata!Z171&gt;0))</f>
        <v>0</v>
      </c>
      <c r="BL171" t="b">
        <f>AND(IF(metadata!AA171="",FALSE,TRUE),EXACT(metadata!AA171,"Not applicable"))</f>
        <v>0</v>
      </c>
      <c r="BM171" t="b">
        <f>IF(metadata!AB171="",FALSE,TRUE)</f>
        <v>0</v>
      </c>
    </row>
    <row r="172" spans="1:65" x14ac:dyDescent="0.2">
      <c r="A172" s="5" t="str">
        <f ca="1">IF(B172=" "," ",HYPERLINK(CONCATENATE("#metadata!",ADDRESS(INDEX($AH$2:$AH$1001,MATCH(ROWS($AF$2:AF172),$AF$2:$AF$1001,0),0),1)),INDEX($AK$2:$AK$1001,MATCH(ROWS($AF$2:AF172),$AF$2:$AF$1001,0),0)))</f>
        <v xml:space="preserve"> </v>
      </c>
      <c r="B172" s="4" t="str">
        <f ca="1">IF(OR(INDEX($AG$2:$AG$1001,MATCH(ROWS($AF$2:AF172),$AF$2:$AF$1001,0),1)&gt;=100000,INDEX($AM$1005:$BM$1005,1,MATCH(COLUMNS($AM$1006:AM1006),$AM$1006:$BM$1006,0))&gt;=100000), " ",IF(INDEX($AM$2:$BM$1001,MATCH(ROWS($AF$2:AF172),$AF$2:$AF$1001,0),MATCH(COLUMNS($AM$1006:AM1006),$AM$1006:$BM$1006,0)), HYPERLINK("#",""), HYPERLINK(CONCATENATE("#metadata!", ADDRESS(INDEX($AH$2:$AH$1001,MATCH(ROWS($AF$2:AF172),$AF$2:$AF$1001,0),0), INDEX($AM$1004:$BM$1004,1,MATCH(COLUMNS($AM$1006:AM1006),$AM$1006:$BM$1006,0)))),"Fix")))</f>
        <v xml:space="preserve"> </v>
      </c>
      <c r="C172" s="4" t="str">
        <f ca="1">IF(OR(INDEX($AG$2:$AG$1001,MATCH(ROWS($AF$2:AF172),$AF$2:$AF$1001,0),1)&gt;=100000,INDEX($AM$1005:$BM$1005,1,MATCH(COLUMNS($AM$1006:AN1006),$AM$1006:$BM$1006,0))&gt;=100000), " ",IF(INDEX($AM$2:$BM$1001,MATCH(ROWS($AF$2:AF172),$AF$2:$AF$1001,0),MATCH(COLUMNS($AM$1006:AN1006),$AM$1006:$BM$1006,0)), HYPERLINK("#",""), HYPERLINK(CONCATENATE("#metadata!", ADDRESS(INDEX($AH$2:$AH$1001,MATCH(ROWS($AF$2:AF172),$AF$2:$AF$1001,0),0), INDEX($AM$1004:$BM$1004,1,MATCH(COLUMNS($AM$1006:AN1006),$AM$1006:$BM$1006,0)))),"Fix")))</f>
        <v xml:space="preserve"> </v>
      </c>
      <c r="D172" s="4" t="str">
        <f ca="1">IF(OR(INDEX($AG$2:$AG$1001,MATCH(ROWS($AF$2:AF172),$AF$2:$AF$1001,0),1)&gt;=100000,INDEX($AM$1005:$BM$1005,1,MATCH(COLUMNS($AM$1006:AO1006),$AM$1006:$BM$1006,0))&gt;=100000), " ",IF(INDEX($AM$2:$BM$1001,MATCH(ROWS($AF$2:AF172),$AF$2:$AF$1001,0),MATCH(COLUMNS($AM$1006:AO1006),$AM$1006:$BM$1006,0)), HYPERLINK("#",""), HYPERLINK(CONCATENATE("#metadata!", ADDRESS(INDEX($AH$2:$AH$1001,MATCH(ROWS($AF$2:AF172),$AF$2:$AF$1001,0),0), INDEX($AM$1004:$BM$1004,1,MATCH(COLUMNS($AM$1006:AO1006),$AM$1006:$BM$1006,0)))),"Fix")))</f>
        <v xml:space="preserve"> </v>
      </c>
      <c r="E172" s="4" t="str">
        <f ca="1">IF(OR(INDEX($AG$2:$AG$1001,MATCH(ROWS($AF$2:AF172),$AF$2:$AF$1001,0),1)&gt;=100000,INDEX($AM$1005:$BM$1005,1,MATCH(COLUMNS($AM$1006:AP1006),$AM$1006:$BM$1006,0))&gt;=100000), " ",IF(INDEX($AM$2:$BM$1001,MATCH(ROWS($AF$2:AF172),$AF$2:$AF$1001,0),MATCH(COLUMNS($AM$1006:AP1006),$AM$1006:$BM$1006,0)), HYPERLINK("#",""), HYPERLINK(CONCATENATE("#metadata!", ADDRESS(INDEX($AH$2:$AH$1001,MATCH(ROWS($AF$2:AF172),$AF$2:$AF$1001,0),0), INDEX($AM$1004:$BM$1004,1,MATCH(COLUMNS($AM$1006:AP1006),$AM$1006:$BM$1006,0)))),"Fix")))</f>
        <v xml:space="preserve"> </v>
      </c>
      <c r="F172" s="4" t="str">
        <f ca="1">IF(OR(INDEX($AG$2:$AG$1001,MATCH(ROWS($AF$2:AF172),$AF$2:$AF$1001,0),1)&gt;=100000,INDEX($AM$1005:$BM$1005,1,MATCH(COLUMNS($AM$1006:AQ1006),$AM$1006:$BM$1006,0))&gt;=100000), " ",IF(INDEX($AM$2:$BM$1001,MATCH(ROWS($AF$2:AF172),$AF$2:$AF$1001,0),MATCH(COLUMNS($AM$1006:AQ1006),$AM$1006:$BM$1006,0)), HYPERLINK("#",""), HYPERLINK(CONCATENATE("#metadata!", ADDRESS(INDEX($AH$2:$AH$1001,MATCH(ROWS($AF$2:AF172),$AF$2:$AF$1001,0),0), INDEX($AM$1004:$BM$1004,1,MATCH(COLUMNS($AM$1006:AQ1006),$AM$1006:$BM$1006,0)))),"Fix")))</f>
        <v xml:space="preserve"> </v>
      </c>
      <c r="G172" s="4" t="str">
        <f ca="1">IF(OR(INDEX($AG$2:$AG$1001,MATCH(ROWS($AF$2:AF172),$AF$2:$AF$1001,0),1)&gt;=100000,INDEX($AM$1005:$BM$1005,1,MATCH(COLUMNS($AM$1006:AR1006),$AM$1006:$BM$1006,0))&gt;=100000), " ",IF(INDEX($AM$2:$BM$1001,MATCH(ROWS($AF$2:AF172),$AF$2:$AF$1001,0),MATCH(COLUMNS($AM$1006:AR1006),$AM$1006:$BM$1006,0)), HYPERLINK("#",""), HYPERLINK(CONCATENATE("#metadata!", ADDRESS(INDEX($AH$2:$AH$1001,MATCH(ROWS($AF$2:AF172),$AF$2:$AF$1001,0),0), INDEX($AM$1004:$BM$1004,1,MATCH(COLUMNS($AM$1006:AR1006),$AM$1006:$BM$1006,0)))),"Fix")))</f>
        <v xml:space="preserve"> </v>
      </c>
      <c r="H172" s="4" t="str">
        <f ca="1">IF(OR(INDEX($AG$2:$AG$1001,MATCH(ROWS($AF$2:AF172),$AF$2:$AF$1001,0),1)&gt;=100000,INDEX($AM$1005:$BM$1005,1,MATCH(COLUMNS($AM$1006:AS1006),$AM$1006:$BM$1006,0))&gt;=100000), " ",IF(INDEX($AM$2:$BM$1001,MATCH(ROWS($AF$2:AF172),$AF$2:$AF$1001,0),MATCH(COLUMNS($AM$1006:AS1006),$AM$1006:$BM$1006,0)), HYPERLINK("#",""), HYPERLINK(CONCATENATE("#metadata!", ADDRESS(INDEX($AH$2:$AH$1001,MATCH(ROWS($AF$2:AF172),$AF$2:$AF$1001,0),0), INDEX($AM$1004:$BM$1004,1,MATCH(COLUMNS($AM$1006:AS1006),$AM$1006:$BM$1006,0)))),"Fix")))</f>
        <v xml:space="preserve"> </v>
      </c>
      <c r="I172" s="4" t="str">
        <f ca="1">IF(OR(INDEX($AG$2:$AG$1001,MATCH(ROWS($AF$2:AF172),$AF$2:$AF$1001,0),1)&gt;=100000,INDEX($AM$1005:$BM$1005,1,MATCH(COLUMNS($AM$1006:AT1006),$AM$1006:$BM$1006,0))&gt;=100000), " ",IF(INDEX($AM$2:$BM$1001,MATCH(ROWS($AF$2:AF172),$AF$2:$AF$1001,0),MATCH(COLUMNS($AM$1006:AT1006),$AM$1006:$BM$1006,0)), HYPERLINK("#",""), HYPERLINK(CONCATENATE("#metadata!", ADDRESS(INDEX($AH$2:$AH$1001,MATCH(ROWS($AF$2:AF172),$AF$2:$AF$1001,0),0), INDEX($AM$1004:$BM$1004,1,MATCH(COLUMNS($AM$1006:AT1006),$AM$1006:$BM$1006,0)))),"Fix")))</f>
        <v xml:space="preserve"> </v>
      </c>
      <c r="J172" s="4" t="str">
        <f ca="1">IF(OR(INDEX($AG$2:$AG$1001,MATCH(ROWS($AF$2:AF172),$AF$2:$AF$1001,0),1)&gt;=100000,INDEX($AM$1005:$BM$1005,1,MATCH(COLUMNS($AM$1006:AU1006),$AM$1006:$BM$1006,0))&gt;=100000), " ",IF(INDEX($AM$2:$BM$1001,MATCH(ROWS($AF$2:AF172),$AF$2:$AF$1001,0),MATCH(COLUMNS($AM$1006:AU1006),$AM$1006:$BM$1006,0)), HYPERLINK("#",""), HYPERLINK(CONCATENATE("#metadata!", ADDRESS(INDEX($AH$2:$AH$1001,MATCH(ROWS($AF$2:AF172),$AF$2:$AF$1001,0),0), INDEX($AM$1004:$BM$1004,1,MATCH(COLUMNS($AM$1006:AU1006),$AM$1006:$BM$1006,0)))),"Fix")))</f>
        <v xml:space="preserve"> </v>
      </c>
      <c r="K172" s="4" t="str">
        <f ca="1">IF(OR(INDEX($AG$2:$AG$1001,MATCH(ROWS($AF$2:AF172),$AF$2:$AF$1001,0),1)&gt;=100000,INDEX($AM$1005:$BM$1005,1,MATCH(COLUMNS($AM$1006:AV1006),$AM$1006:$BM$1006,0))&gt;=100000), " ",IF(INDEX($AM$2:$BM$1001,MATCH(ROWS($AF$2:AF172),$AF$2:$AF$1001,0),MATCH(COLUMNS($AM$1006:AV1006),$AM$1006:$BM$1006,0)), HYPERLINK("#",""), HYPERLINK(CONCATENATE("#metadata!", ADDRESS(INDEX($AH$2:$AH$1001,MATCH(ROWS($AF$2:AF172),$AF$2:$AF$1001,0),0), INDEX($AM$1004:$BM$1004,1,MATCH(COLUMNS($AM$1006:AV1006),$AM$1006:$BM$1006,0)))),"Fix")))</f>
        <v xml:space="preserve"> </v>
      </c>
      <c r="L172" s="4" t="str">
        <f ca="1">IF(OR(INDEX($AG$2:$AG$1001,MATCH(ROWS($AF$2:AF172),$AF$2:$AF$1001,0),1)&gt;=100000,INDEX($AM$1005:$BM$1005,1,MATCH(COLUMNS($AM$1006:AW1006),$AM$1006:$BM$1006,0))&gt;=100000), " ",IF(INDEX($AM$2:$BM$1001,MATCH(ROWS($AF$2:AF172),$AF$2:$AF$1001,0),MATCH(COLUMNS($AM$1006:AW1006),$AM$1006:$BM$1006,0)), HYPERLINK("#",""), HYPERLINK(CONCATENATE("#metadata!", ADDRESS(INDEX($AH$2:$AH$1001,MATCH(ROWS($AF$2:AF172),$AF$2:$AF$1001,0),0), INDEX($AM$1004:$BM$1004,1,MATCH(COLUMNS($AM$1006:AW1006),$AM$1006:$BM$1006,0)))),"Fix")))</f>
        <v xml:space="preserve"> </v>
      </c>
      <c r="M172" s="4" t="str">
        <f ca="1">IF(OR(INDEX($AG$2:$AG$1001,MATCH(ROWS($AF$2:AF172),$AF$2:$AF$1001,0),1)&gt;=100000,INDEX($AM$1005:$BM$1005,1,MATCH(COLUMNS($AM$1006:AX1006),$AM$1006:$BM$1006,0))&gt;=100000), " ",IF(INDEX($AM$2:$BM$1001,MATCH(ROWS($AF$2:AF172),$AF$2:$AF$1001,0),MATCH(COLUMNS($AM$1006:AX1006),$AM$1006:$BM$1006,0)), HYPERLINK("#",""), HYPERLINK(CONCATENATE("#metadata!", ADDRESS(INDEX($AH$2:$AH$1001,MATCH(ROWS($AF$2:AF172),$AF$2:$AF$1001,0),0), INDEX($AM$1004:$BM$1004,1,MATCH(COLUMNS($AM$1006:AX1006),$AM$1006:$BM$1006,0)))),"Fix")))</f>
        <v xml:space="preserve"> </v>
      </c>
      <c r="N172" s="4" t="str">
        <f ca="1">IF(OR(INDEX($AG$2:$AG$1001,MATCH(ROWS($AF$2:AF172),$AF$2:$AF$1001,0),1)&gt;=100000,INDEX($AM$1005:$BM$1005,1,MATCH(COLUMNS($AM$1006:AY1006),$AM$1006:$BM$1006,0))&gt;=100000), " ",IF(INDEX($AM$2:$BM$1001,MATCH(ROWS($AF$2:AF172),$AF$2:$AF$1001,0),MATCH(COLUMNS($AM$1006:AY1006),$AM$1006:$BM$1006,0)), HYPERLINK("#",""), HYPERLINK(CONCATENATE("#metadata!", ADDRESS(INDEX($AH$2:$AH$1001,MATCH(ROWS($AF$2:AF172),$AF$2:$AF$1001,0),0), INDEX($AM$1004:$BM$1004,1,MATCH(COLUMNS($AM$1006:AY1006),$AM$1006:$BM$1006,0)))),"Fix")))</f>
        <v xml:space="preserve"> </v>
      </c>
      <c r="O172" s="4" t="str">
        <f ca="1">IF(OR(INDEX($AG$2:$AG$1001,MATCH(ROWS($AF$2:AF172),$AF$2:$AF$1001,0),1)&gt;=100000,INDEX($AM$1005:$BM$1005,1,MATCH(COLUMNS($AM$1006:AZ1006),$AM$1006:$BM$1006,0))&gt;=100000), " ",IF(INDEX($AM$2:$BM$1001,MATCH(ROWS($AF$2:AF172),$AF$2:$AF$1001,0),MATCH(COLUMNS($AM$1006:AZ1006),$AM$1006:$BM$1006,0)), HYPERLINK("#",""), HYPERLINK(CONCATENATE("#metadata!", ADDRESS(INDEX($AH$2:$AH$1001,MATCH(ROWS($AF$2:AF172),$AF$2:$AF$1001,0),0), INDEX($AM$1004:$BM$1004,1,MATCH(COLUMNS($AM$1006:AZ1006),$AM$1006:$BM$1006,0)))),"Fix")))</f>
        <v xml:space="preserve"> </v>
      </c>
      <c r="P172" s="4" t="str">
        <f ca="1">IF(OR(INDEX($AG$2:$AG$1001,MATCH(ROWS($AF$2:AF172),$AF$2:$AF$1001,0),1)&gt;=100000,INDEX($AM$1005:$BM$1005,1,MATCH(COLUMNS($AM$1006:BA1006),$AM$1006:$BM$1006,0))&gt;=100000), " ",IF(INDEX($AM$2:$BM$1001,MATCH(ROWS($AF$2:AF172),$AF$2:$AF$1001,0),MATCH(COLUMNS($AM$1006:BA1006),$AM$1006:$BM$1006,0)), HYPERLINK("#",""), HYPERLINK(CONCATENATE("#metadata!", ADDRESS(INDEX($AH$2:$AH$1001,MATCH(ROWS($AF$2:AF172),$AF$2:$AF$1001,0),0), INDEX($AM$1004:$BM$1004,1,MATCH(COLUMNS($AM$1006:BA1006),$AM$1006:$BM$1006,0)))),"Fix")))</f>
        <v xml:space="preserve"> </v>
      </c>
      <c r="Q172" s="4" t="str">
        <f ca="1">IF(OR(INDEX($AG$2:$AG$1001,MATCH(ROWS($AF$2:AF172),$AF$2:$AF$1001,0),1)&gt;=100000,INDEX($AM$1005:$BM$1005,1,MATCH(COLUMNS($AM$1006:BB1006),$AM$1006:$BM$1006,0))&gt;=100000), " ",IF(INDEX($AM$2:$BM$1001,MATCH(ROWS($AF$2:AF172),$AF$2:$AF$1001,0),MATCH(COLUMNS($AM$1006:BB1006),$AM$1006:$BM$1006,0)), HYPERLINK("#",""), HYPERLINK(CONCATENATE("#metadata!", ADDRESS(INDEX($AH$2:$AH$1001,MATCH(ROWS($AF$2:AF172),$AF$2:$AF$1001,0),0), INDEX($AM$1004:$BM$1004,1,MATCH(COLUMNS($AM$1006:BB1006),$AM$1006:$BM$1006,0)))),"Fix")))</f>
        <v xml:space="preserve"> </v>
      </c>
      <c r="R172" s="4" t="str">
        <f ca="1">IF(OR(INDEX($AG$2:$AG$1001,MATCH(ROWS($AF$2:AF172),$AF$2:$AF$1001,0),1)&gt;=100000,INDEX($AM$1005:$BM$1005,1,MATCH(COLUMNS($AM$1006:BC1006),$AM$1006:$BM$1006,0))&gt;=100000), " ",IF(INDEX($AM$2:$BM$1001,MATCH(ROWS($AF$2:AF172),$AF$2:$AF$1001,0),MATCH(COLUMNS($AM$1006:BC1006),$AM$1006:$BM$1006,0)), HYPERLINK("#",""), HYPERLINK(CONCATENATE("#metadata!", ADDRESS(INDEX($AH$2:$AH$1001,MATCH(ROWS($AF$2:AF172),$AF$2:$AF$1001,0),0), INDEX($AM$1004:$BM$1004,1,MATCH(COLUMNS($AM$1006:BC1006),$AM$1006:$BM$1006,0)))),"Fix")))</f>
        <v xml:space="preserve"> </v>
      </c>
      <c r="S172" s="4" t="str">
        <f ca="1">IF(OR(INDEX($AG$2:$AG$1001,MATCH(ROWS($AF$2:AF172),$AF$2:$AF$1001,0),1)&gt;=100000,INDEX($AM$1005:$BM$1005,1,MATCH(COLUMNS($AM$1006:BD1006),$AM$1006:$BM$1006,0))&gt;=100000), " ",IF(INDEX($AM$2:$BM$1001,MATCH(ROWS($AF$2:AF172),$AF$2:$AF$1001,0),MATCH(COLUMNS($AM$1006:BD1006),$AM$1006:$BM$1006,0)), HYPERLINK("#",""), HYPERLINK(CONCATENATE("#metadata!", ADDRESS(INDEX($AH$2:$AH$1001,MATCH(ROWS($AF$2:AF172),$AF$2:$AF$1001,0),0), INDEX($AM$1004:$BM$1004,1,MATCH(COLUMNS($AM$1006:BD1006),$AM$1006:$BM$1006,0)))),"Fix")))</f>
        <v xml:space="preserve"> </v>
      </c>
      <c r="T172" s="4" t="str">
        <f ca="1">IF(OR(INDEX($AG$2:$AG$1001,MATCH(ROWS($AF$2:AF172),$AF$2:$AF$1001,0),1)&gt;=100000,INDEX($AM$1005:$BM$1005,1,MATCH(COLUMNS($AM$1006:BE1006),$AM$1006:$BM$1006,0))&gt;=100000), " ",IF(INDEX($AM$2:$BM$1001,MATCH(ROWS($AF$2:AF172),$AF$2:$AF$1001,0),MATCH(COLUMNS($AM$1006:BE1006),$AM$1006:$BM$1006,0)), HYPERLINK("#",""), HYPERLINK(CONCATENATE("#metadata!", ADDRESS(INDEX($AH$2:$AH$1001,MATCH(ROWS($AF$2:AF172),$AF$2:$AF$1001,0),0), INDEX($AM$1004:$BM$1004,1,MATCH(COLUMNS($AM$1006:BE1006),$AM$1006:$BM$1006,0)))),"Fix")))</f>
        <v xml:space="preserve"> </v>
      </c>
      <c r="U172" s="4" t="str">
        <f ca="1">IF(OR(INDEX($AG$2:$AG$1001,MATCH(ROWS($AF$2:AF172),$AF$2:$AF$1001,0),1)&gt;=100000,INDEX($AM$1005:$BM$1005,1,MATCH(COLUMNS($AM$1006:BF1006),$AM$1006:$BM$1006,0))&gt;=100000), " ",IF(INDEX($AM$2:$BM$1001,MATCH(ROWS($AF$2:AF172),$AF$2:$AF$1001,0),MATCH(COLUMNS($AM$1006:BF1006),$AM$1006:$BM$1006,0)), HYPERLINK("#",""), HYPERLINK(CONCATENATE("#metadata!", ADDRESS(INDEX($AH$2:$AH$1001,MATCH(ROWS($AF$2:AF172),$AF$2:$AF$1001,0),0), INDEX($AM$1004:$BM$1004,1,MATCH(COLUMNS($AM$1006:BF1006),$AM$1006:$BM$1006,0)))),"Fix")))</f>
        <v xml:space="preserve"> </v>
      </c>
      <c r="V172" s="4" t="str">
        <f ca="1">IF(OR(INDEX($AG$2:$AG$1001,MATCH(ROWS($AF$2:AF172),$AF$2:$AF$1001,0),1)&gt;=100000,INDEX($AM$1005:$BM$1005,1,MATCH(COLUMNS($AM$1006:BG1006),$AM$1006:$BM$1006,0))&gt;=100000), " ",IF(INDEX($AM$2:$BM$1001,MATCH(ROWS($AF$2:AF172),$AF$2:$AF$1001,0),MATCH(COLUMNS($AM$1006:BG1006),$AM$1006:$BM$1006,0)), HYPERLINK("#",""), HYPERLINK(CONCATENATE("#metadata!", ADDRESS(INDEX($AH$2:$AH$1001,MATCH(ROWS($AF$2:AF172),$AF$2:$AF$1001,0),0), INDEX($AM$1004:$BM$1004,1,MATCH(COLUMNS($AM$1006:BG1006),$AM$1006:$BM$1006,0)))),"Fix")))</f>
        <v xml:space="preserve"> </v>
      </c>
      <c r="W172" s="4" t="str">
        <f ca="1">IF(OR(INDEX($AG$2:$AG$1001,MATCH(ROWS($AF$2:AF172),$AF$2:$AF$1001,0),1)&gt;=100000,INDEX($AM$1005:$BM$1005,1,MATCH(COLUMNS($AM$1006:BH1006),$AM$1006:$BM$1006,0))&gt;=100000), " ",IF(INDEX($AM$2:$BM$1001,MATCH(ROWS($AF$2:AF172),$AF$2:$AF$1001,0),MATCH(COLUMNS($AM$1006:BH1006),$AM$1006:$BM$1006,0)), HYPERLINK("#",""), HYPERLINK(CONCATENATE("#metadata!", ADDRESS(INDEX($AH$2:$AH$1001,MATCH(ROWS($AF$2:AF172),$AF$2:$AF$1001,0),0), INDEX($AM$1004:$BM$1004,1,MATCH(COLUMNS($AM$1006:BH1006),$AM$1006:$BM$1006,0)))),"Fix")))</f>
        <v xml:space="preserve"> </v>
      </c>
      <c r="X172" s="4" t="str">
        <f ca="1">IF(OR(INDEX($AG$2:$AG$1001,MATCH(ROWS($AF$2:AF172),$AF$2:$AF$1001,0),1)&gt;=100000,INDEX($AM$1005:$BM$1005,1,MATCH(COLUMNS($AM$1006:BI1006),$AM$1006:$BM$1006,0))&gt;=100000), " ",IF(INDEX($AM$2:$BM$1001,MATCH(ROWS($AF$2:AF172),$AF$2:$AF$1001,0),MATCH(COLUMNS($AM$1006:BI1006),$AM$1006:$BM$1006,0)), HYPERLINK("#",""), HYPERLINK(CONCATENATE("#metadata!", ADDRESS(INDEX($AH$2:$AH$1001,MATCH(ROWS($AF$2:AF172),$AF$2:$AF$1001,0),0), INDEX($AM$1004:$BM$1004,1,MATCH(COLUMNS($AM$1006:BI1006),$AM$1006:$BM$1006,0)))),"Fix")))</f>
        <v xml:space="preserve"> </v>
      </c>
      <c r="Y172" s="4" t="str">
        <f ca="1">IF(OR(INDEX($AG$2:$AG$1001,MATCH(ROWS($AF$2:AF172),$AF$2:$AF$1001,0),1)&gt;=100000,INDEX($AM$1005:$BM$1005,1,MATCH(COLUMNS($AM$1006:BJ1006),$AM$1006:$BM$1006,0))&gt;=100000), " ",IF(INDEX($AM$2:$BM$1001,MATCH(ROWS($AF$2:AF172),$AF$2:$AF$1001,0),MATCH(COLUMNS($AM$1006:BJ1006),$AM$1006:$BM$1006,0)), HYPERLINK("#",""), HYPERLINK(CONCATENATE("#metadata!", ADDRESS(INDEX($AH$2:$AH$1001,MATCH(ROWS($AF$2:AF172),$AF$2:$AF$1001,0),0), INDEX($AM$1004:$BM$1004,1,MATCH(COLUMNS($AM$1006:BJ1006),$AM$1006:$BM$1006,0)))),"Fix")))</f>
        <v xml:space="preserve"> </v>
      </c>
      <c r="Z172" s="4" t="str">
        <f ca="1">IF(OR(INDEX($AG$2:$AG$1001,MATCH(ROWS($AF$2:AF172),$AF$2:$AF$1001,0),1)&gt;=100000,INDEX($AM$1005:$BM$1005,1,MATCH(COLUMNS($AM$1006:BK1006),$AM$1006:$BM$1006,0))&gt;=100000), " ",IF(INDEX($AM$2:$BM$1001,MATCH(ROWS($AF$2:AF172),$AF$2:$AF$1001,0),MATCH(COLUMNS($AM$1006:BK1006),$AM$1006:$BM$1006,0)), HYPERLINK("#",""), HYPERLINK(CONCATENATE("#metadata!", ADDRESS(INDEX($AH$2:$AH$1001,MATCH(ROWS($AF$2:AF172),$AF$2:$AF$1001,0),0), INDEX($AM$1004:$BM$1004,1,MATCH(COLUMNS($AM$1006:BK1006),$AM$1006:$BM$1006,0)))),"Fix")))</f>
        <v xml:space="preserve"> </v>
      </c>
      <c r="AA172" s="4" t="str">
        <f ca="1">IF(OR(INDEX($AG$2:$AG$1001,MATCH(ROWS($AF$2:AF172),$AF$2:$AF$1001,0),1)&gt;=100000,INDEX($AM$1005:$BM$1005,1,MATCH(COLUMNS($AM$1006:BL1006),$AM$1006:$BM$1006,0))&gt;=100000), " ",IF(INDEX($AM$2:$BM$1001,MATCH(ROWS($AF$2:AF172),$AF$2:$AF$1001,0),MATCH(COLUMNS($AM$1006:BL1006),$AM$1006:$BM$1006,0)), HYPERLINK("#",""), HYPERLINK(CONCATENATE("#metadata!", ADDRESS(INDEX($AH$2:$AH$1001,MATCH(ROWS($AF$2:AF172),$AF$2:$AF$1001,0),0), INDEX($AM$1004:$BM$1004,1,MATCH(COLUMNS($AM$1006:BL1006),$AM$1006:$BM$1006,0)))),"Fix")))</f>
        <v xml:space="preserve"> </v>
      </c>
      <c r="AB172" s="4" t="str">
        <f ca="1">IF(OR(INDEX($AG$2:$AG$1001,MATCH(ROWS($AF$2:AF172),$AF$2:$AF$1001,0),1)&gt;=100000,INDEX($AM$1005:$BM$1005,1,MATCH(COLUMNS($AM$1006:BM1006),$AM$1006:$BM$1006,0))&gt;=100000), " ",IF(INDEX($AM$2:$BM$1001,MATCH(ROWS($AF$2:AF172),$AF$2:$AF$1001,0),MATCH(COLUMNS($AM$1006:BM1006),$AM$1006:$BM$1006,0)), HYPERLINK("#",""), HYPERLINK(CONCATENATE("#metadata!", ADDRESS(INDEX($AH$2:$AH$1001,MATCH(ROWS($AF$2:AF172),$AF$2:$AF$1001,0),0), INDEX($AM$1004:$BM$1004,1,MATCH(COLUMNS($AM$1006:BM1006),$AM$1006:$BM$1006,0)))),"Fix")))</f>
        <v xml:space="preserve"> </v>
      </c>
      <c r="AF172">
        <v>171</v>
      </c>
      <c r="AG172">
        <v>100172</v>
      </c>
      <c r="AH172">
        <v>172</v>
      </c>
      <c r="AI172" t="b">
        <f t="shared" si="2"/>
        <v>1</v>
      </c>
      <c r="AJ172" t="b">
        <f>COUNTBLANK(metadata!B172:AB172)=COLUMNS(metadata!B172:AB172)</f>
        <v>1</v>
      </c>
      <c r="AK172" t="str">
        <v/>
      </c>
      <c r="AM172" t="b">
        <f ca="1">AND(IF(metadata!B172="",FALSE,TRUE),COUNTIF(metadata!B:B, metadata!B172) = 1,NOT(ISERROR(SUMPRODUCT(SEARCH(MID(metadata!B172,ROW(INDIRECT("1:"&amp;LEN(metadata!B172))), 1),"0123456789abcdefghijklmnopqrstuvwxyzABCDEFGHIJKLMNOPQRSTUVWXYZ.")))))</f>
        <v>0</v>
      </c>
      <c r="AN172" t="b">
        <f ca="1">OR(AND(IF(metadata!C172="",FALSE,TRUE),OR(EXACT(metadata!C172,"missing: not collected"),EXACT(metadata!C172,"missing: not provided"),EXACT(metadata!C172,"missing: restricted access"))),AND(IF(metadata!C172="",FALSE,TRUE),AND(AND(IFERROR(INT(LEFT(metadata!C172,4))&gt;1900,FALSE),IFERROR(INT(LEFT(metadata!C172,4))&lt;=YEAR(NOW()),FALSE)), OR(MID(metadata!C172,5,1)="", AND(AND(MID(metadata!C172,5,1)="-",IFERROR(INT(MID(metadata!C172,6,1))&gt;=0,FALSE),IFERROR(INT(MID(metadata!C172,6,1))&lt;=1,FALSE),NOT(MID(metadata!C172,7,1)=""),IFERROR(INT(MID(metadata!C172,6,2))&gt;=1,FALSE),IFERROR(INT(MID(metadata!C172,6,2))&lt;=12,FALSE)), OR(MID(metadata!C172,8,1)="", AND(AND(MID(metadata!C172,8,1)="-",IFERROR(INT(MID(metadata!C172,9,1))&gt;=0,FALSE),IFERROR(INT(MID(metadata!C172,9,1))&lt;=3,FALSE),NOT(MID(metadata!C172,10,1)=""),IFERROR(INT(MID(metadata!C172,9,2))&gt;=1,FALSE),IFERROR(INT(MID(metadata!C172,9,2))&lt;=31,FALSE)), OR(MID(metadata!C172,11,1)="", AND(AND(MID(metadata!C172,11,1)=" ",IFERROR(INT(MID(metadata!C172,12,1))&gt;=0,FALSE),IFERROR(INT(MID(metadata!C172,12,1))&lt;=2,FALSE),NOT(MID(metadata!C172,13,1)=""),IFERROR(INT(MID(metadata!C172,12,2))&gt;=0,FALSE),IFERROR(INT(MID(metadata!C172,12,2))&lt;=23,FALSE)), OR(MID(metadata!C172,14,1)="", AND(AND(MID(metadata!C172,14,1)=":",IFERROR(INT(MID(metadata!C172,15,1))&gt;=0,FALSE),IFERROR(INT(MID(metadata!C172,15,1))&lt;=5,FALSE),NOT(MID(metadata!C172,16,1)=""),IFERROR(INT(MID(metadata!C172,15,2))&gt;=0,FALSE),IFERROR(INT(MID(metadata!C172,15,2))&lt;=59,FALSE)), OR(MID(metadata!C172,17,1)="", AND(AND(MID(metadata!C172,17,1)=":",IFERROR(INT(MID(metadata!C172,18,1))&gt;=0,FALSE),IFERROR(INT(MID(metadata!C172,18,1))&lt;=5,FALSE),NOT(MID(metadata!C172,19,1)=""),IFERROR(INT(MID(metadata!C172,18,2))&gt;=0,FALSE),IFERROR(INT(MID(metadata!C172,18,2))&lt;=59,FALSE)), LEN(metadata!C172)&lt;=19)))))))))))))</f>
        <v>0</v>
      </c>
      <c r="AO172" t="b">
        <f>AND(IF(metadata!D172="",FALSE,TRUE),EXACT(metadata!D172,"Not applicable"))</f>
        <v>0</v>
      </c>
      <c r="AP172" t="b">
        <f>IF(metadata!E172="",FALSE,TRUE)</f>
        <v>0</v>
      </c>
      <c r="AQ172" t="b">
        <f>OR(AND(IF(metadata!F172="",FALSE,TRUE),OR(EXACT(metadata!F172,"missing: not collected"),EXACT(metadata!F172,"missing: not provided"))),AND(IF(metadata!F172="",FALSE,TRUE),OR(EXACT(metadata!F172,"TRUE"),EXACT(metadata!F172,"FALSE"))))</f>
        <v>0</v>
      </c>
      <c r="AR172" t="b">
        <f>OR(AND(IF(metadata!G172="",FALSE,TRUE),OR(EXACT(metadata!G172,"missing: not collected"),EXACT(metadata!G172,"missing: not provided"),EXACT(metadata!G172,"missing: restricted access"))),AND(IF(metadata!G172="",FALSE,ISNUMBER(VALUE(metadata!G172))),metadata!G172&gt;=-413))</f>
        <v>0</v>
      </c>
      <c r="AS172" t="b">
        <f>AND(IF(metadata!H172="",FALSE,TRUE),EXACT(metadata!H172,"meters"))</f>
        <v>0</v>
      </c>
      <c r="AT172" t="b">
        <f>AND(IF(metadata!I172="",FALSE,TRUE),OR(EXACT(metadata!I172,"Host-associated"),EXACT(metadata!I172,"Free-living")))</f>
        <v>0</v>
      </c>
      <c r="AU172" t="b">
        <f>AND(IF(metadata!J172="",FALSE,TRUE),OR(EXACT(metadata!J172,"Animal"),EXACT(metadata!J172,"Fungus"),EXACT(metadata!J172,"Plant"),EXACT(metadata!J172,"Saline"),EXACT(metadata!J172,"Non-saline")))</f>
        <v>0</v>
      </c>
      <c r="AV172" t="b">
        <f>AND(IF(metadata!K172="",FALSE,TRUE),OR(EXACT(metadata!K172,"Plant secretion"),EXACT(metadata!K172,"Plant rhizosphere"),EXACT(metadata!K172,"Plant surface"),EXACT(metadata!K172,"Plant corpus"),EXACT(metadata!K172,"Fungus surface"),EXACT(metadata!K172,"Fungus corpus"),EXACT(metadata!K172,"Animal surface"),EXACT(metadata!K172,"Animal proximal gut"),EXACT(metadata!K172,"Animal corpus"),EXACT(metadata!K172,"Animal distal gut"),EXACT(metadata!K172,"Animal secretion"),EXACT(metadata!K172,"Sub-surface (non-saline)"),EXACT(metadata!K172,"Surface (non-saline)"),EXACT(metadata!K172,"Water (non-saline)"),EXACT(metadata!K172,"Soil (non-saline)"),EXACT(metadata!K172,"Aerosol (non-saline)"),EXACT(metadata!K172,"Sediment (non-saline)"),EXACT(metadata!K172,"Surface (saline)"),EXACT(metadata!K172,"Water (saline)"),EXACT(metadata!K172,"Hypersaline (saline)"),EXACT(metadata!K172,"Aerosol (saline)"),EXACT(metadata!K172,"Sediment (saline)")))</f>
        <v>0</v>
      </c>
      <c r="AW172" t="b">
        <f>IF(metadata!L172="",FALSE,TRUE)</f>
        <v>0</v>
      </c>
      <c r="AX172" t="b">
        <f>IF(metadata!M172="",FALSE,TRUE)</f>
        <v>0</v>
      </c>
      <c r="AY172" t="b">
        <f>IF(metadata!N172="",FALSE,TRUE)</f>
        <v>0</v>
      </c>
      <c r="AZ172" t="b">
        <f>OR(AND(IF(metadata!O172="",FALSE,TRUE),OR(EXACT(metadata!O172,"missing: not collected"),EXACT(metadata!O172,"missing: not provided"),EXACT(metadata!O172,"missing: restricted access"))),AND(IF(metadata!O172="",FALSE,TRUE),OR(EXACT(metadata!O172,"air"),EXACT(metadata!O172,"built environment"),EXACT(metadata!O172,"host-associated"),EXACT(metadata!O172,"human-associated"),EXACT(metadata!O172,"human-skin"),EXACT(metadata!O172,"human-oral"),EXACT(metadata!O172,"human-gut"),EXACT(metadata!O172,"human-vaginal"),EXACT(metadata!O172,"microbial mat/biofilm"),EXACT(metadata!O172,"misc environment"),EXACT(metadata!O172,"plant-associated"),EXACT(metadata!O172,"sediment"),EXACT(metadata!O172,"soil"),EXACT(metadata!O172,"wastewater/sludge"),EXACT(metadata!O172,"water"))))</f>
        <v>0</v>
      </c>
      <c r="BA172" t="b">
        <f>IF(metadata!P172="",FALSE,TRUE)</f>
        <v>0</v>
      </c>
      <c r="BB172" t="b">
        <f>IF(metadata!Q172="",FALSE,TRUE)</f>
        <v>0</v>
      </c>
      <c r="BC172" t="b">
        <f>OR(AND(IF(metadata!R172="",FALSE,TRUE),OR(EXACT(metadata!R172,"missing: not collected"),EXACT(metadata!R172,"missing: not provided"),EXACT(metadata!R172,"missing: restricted access"))),AND(IF(metadata!R172="",FALSE,ISNUMBER(VALUE(metadata!R172))),metadata!R172&gt;=-90,metadata!R172&lt;=90))</f>
        <v>0</v>
      </c>
      <c r="BD172" t="b">
        <f>AND(IF(metadata!S172="",FALSE,TRUE),EXACT(metadata!S172,"Decimal degrees"))</f>
        <v>0</v>
      </c>
      <c r="BE172" t="b">
        <f>OR(AND(IF(metadata!T172="",FALSE,TRUE),OR(EXACT(metadata!T172,"missing: not collected"),EXACT(metadata!T172,"missing: not provided"),EXACT(metadata!T172,"missing: restricted access"))),AND(IF(metadata!T172="",FALSE,ISNUMBER(VALUE(metadata!T172))),metadata!T172&gt;=-180,metadata!T172&lt;=180))</f>
        <v>0</v>
      </c>
      <c r="BF172" t="b">
        <f>AND(IF(metadata!U172="",FALSE,TRUE),EXACT(metadata!U172,"Decimal degrees"))</f>
        <v>0</v>
      </c>
      <c r="BG172" t="b">
        <f>IF(metadata!V172="",FALSE,TRUE)</f>
        <v>0</v>
      </c>
      <c r="BH172" t="b">
        <f>OR(AND(IF(metadata!W172="",FALSE,TRUE),OR(EXACT(metadata!W172,"missing: not collected"),EXACT(metadata!W172,"missing: not provided"),EXACT(metadata!W172,"missing: restricted access"))),AND(IF(metadata!W172="",FALSE,TRUE),OR(EXACT(metadata!W172,"TRUE"),EXACT(metadata!W172,"FALSE"))))</f>
        <v>0</v>
      </c>
      <c r="BI172" t="b">
        <f>AND(IF(metadata!X172="",FALSE,TRUE),EXACT(metadata!X172,"other"))</f>
        <v>0</v>
      </c>
      <c r="BJ172" t="b">
        <f>IF(metadata!Y172="",FALSE,TRUE)</f>
        <v>0</v>
      </c>
      <c r="BK172" t="b">
        <f>OR(AND(IF(metadata!Z172="",FALSE,TRUE),OR(EXACT(metadata!Z172,"missing: not collected"),EXACT(metadata!Z172,"missing: not provided"))),AND(IF(metadata!Z172="",FALSE,IF(ISERROR(INT(metadata!Z172)),FALSE,INT(metadata!Z172)=metadata!Z172)),metadata!Z172&gt;0))</f>
        <v>0</v>
      </c>
      <c r="BL172" t="b">
        <f>AND(IF(metadata!AA172="",FALSE,TRUE),EXACT(metadata!AA172,"Not applicable"))</f>
        <v>0</v>
      </c>
      <c r="BM172" t="b">
        <f>IF(metadata!AB172="",FALSE,TRUE)</f>
        <v>0</v>
      </c>
    </row>
    <row r="173" spans="1:65" x14ac:dyDescent="0.2">
      <c r="A173" s="5" t="str">
        <f ca="1">IF(B173=" "," ",HYPERLINK(CONCATENATE("#metadata!",ADDRESS(INDEX($AH$2:$AH$1001,MATCH(ROWS($AF$2:AF173),$AF$2:$AF$1001,0),0),1)),INDEX($AK$2:$AK$1001,MATCH(ROWS($AF$2:AF173),$AF$2:$AF$1001,0),0)))</f>
        <v xml:space="preserve"> </v>
      </c>
      <c r="B173" s="4" t="str">
        <f ca="1">IF(OR(INDEX($AG$2:$AG$1001,MATCH(ROWS($AF$2:AF173),$AF$2:$AF$1001,0),1)&gt;=100000,INDEX($AM$1005:$BM$1005,1,MATCH(COLUMNS($AM$1006:AM1006),$AM$1006:$BM$1006,0))&gt;=100000), " ",IF(INDEX($AM$2:$BM$1001,MATCH(ROWS($AF$2:AF173),$AF$2:$AF$1001,0),MATCH(COLUMNS($AM$1006:AM1006),$AM$1006:$BM$1006,0)), HYPERLINK("#",""), HYPERLINK(CONCATENATE("#metadata!", ADDRESS(INDEX($AH$2:$AH$1001,MATCH(ROWS($AF$2:AF173),$AF$2:$AF$1001,0),0), INDEX($AM$1004:$BM$1004,1,MATCH(COLUMNS($AM$1006:AM1006),$AM$1006:$BM$1006,0)))),"Fix")))</f>
        <v xml:space="preserve"> </v>
      </c>
      <c r="C173" s="4" t="str">
        <f ca="1">IF(OR(INDEX($AG$2:$AG$1001,MATCH(ROWS($AF$2:AF173),$AF$2:$AF$1001,0),1)&gt;=100000,INDEX($AM$1005:$BM$1005,1,MATCH(COLUMNS($AM$1006:AN1006),$AM$1006:$BM$1006,0))&gt;=100000), " ",IF(INDEX($AM$2:$BM$1001,MATCH(ROWS($AF$2:AF173),$AF$2:$AF$1001,0),MATCH(COLUMNS($AM$1006:AN1006),$AM$1006:$BM$1006,0)), HYPERLINK("#",""), HYPERLINK(CONCATENATE("#metadata!", ADDRESS(INDEX($AH$2:$AH$1001,MATCH(ROWS($AF$2:AF173),$AF$2:$AF$1001,0),0), INDEX($AM$1004:$BM$1004,1,MATCH(COLUMNS($AM$1006:AN1006),$AM$1006:$BM$1006,0)))),"Fix")))</f>
        <v xml:space="preserve"> </v>
      </c>
      <c r="D173" s="4" t="str">
        <f ca="1">IF(OR(INDEX($AG$2:$AG$1001,MATCH(ROWS($AF$2:AF173),$AF$2:$AF$1001,0),1)&gt;=100000,INDEX($AM$1005:$BM$1005,1,MATCH(COLUMNS($AM$1006:AO1006),$AM$1006:$BM$1006,0))&gt;=100000), " ",IF(INDEX($AM$2:$BM$1001,MATCH(ROWS($AF$2:AF173),$AF$2:$AF$1001,0),MATCH(COLUMNS($AM$1006:AO1006),$AM$1006:$BM$1006,0)), HYPERLINK("#",""), HYPERLINK(CONCATENATE("#metadata!", ADDRESS(INDEX($AH$2:$AH$1001,MATCH(ROWS($AF$2:AF173),$AF$2:$AF$1001,0),0), INDEX($AM$1004:$BM$1004,1,MATCH(COLUMNS($AM$1006:AO1006),$AM$1006:$BM$1006,0)))),"Fix")))</f>
        <v xml:space="preserve"> </v>
      </c>
      <c r="E173" s="4" t="str">
        <f ca="1">IF(OR(INDEX($AG$2:$AG$1001,MATCH(ROWS($AF$2:AF173),$AF$2:$AF$1001,0),1)&gt;=100000,INDEX($AM$1005:$BM$1005,1,MATCH(COLUMNS($AM$1006:AP1006),$AM$1006:$BM$1006,0))&gt;=100000), " ",IF(INDEX($AM$2:$BM$1001,MATCH(ROWS($AF$2:AF173),$AF$2:$AF$1001,0),MATCH(COLUMNS($AM$1006:AP1006),$AM$1006:$BM$1006,0)), HYPERLINK("#",""), HYPERLINK(CONCATENATE("#metadata!", ADDRESS(INDEX($AH$2:$AH$1001,MATCH(ROWS($AF$2:AF173),$AF$2:$AF$1001,0),0), INDEX($AM$1004:$BM$1004,1,MATCH(COLUMNS($AM$1006:AP1006),$AM$1006:$BM$1006,0)))),"Fix")))</f>
        <v xml:space="preserve"> </v>
      </c>
      <c r="F173" s="4" t="str">
        <f ca="1">IF(OR(INDEX($AG$2:$AG$1001,MATCH(ROWS($AF$2:AF173),$AF$2:$AF$1001,0),1)&gt;=100000,INDEX($AM$1005:$BM$1005,1,MATCH(COLUMNS($AM$1006:AQ1006),$AM$1006:$BM$1006,0))&gt;=100000), " ",IF(INDEX($AM$2:$BM$1001,MATCH(ROWS($AF$2:AF173),$AF$2:$AF$1001,0),MATCH(COLUMNS($AM$1006:AQ1006),$AM$1006:$BM$1006,0)), HYPERLINK("#",""), HYPERLINK(CONCATENATE("#metadata!", ADDRESS(INDEX($AH$2:$AH$1001,MATCH(ROWS($AF$2:AF173),$AF$2:$AF$1001,0),0), INDEX($AM$1004:$BM$1004,1,MATCH(COLUMNS($AM$1006:AQ1006),$AM$1006:$BM$1006,0)))),"Fix")))</f>
        <v xml:space="preserve"> </v>
      </c>
      <c r="G173" s="4" t="str">
        <f ca="1">IF(OR(INDEX($AG$2:$AG$1001,MATCH(ROWS($AF$2:AF173),$AF$2:$AF$1001,0),1)&gt;=100000,INDEX($AM$1005:$BM$1005,1,MATCH(COLUMNS($AM$1006:AR1006),$AM$1006:$BM$1006,0))&gt;=100000), " ",IF(INDEX($AM$2:$BM$1001,MATCH(ROWS($AF$2:AF173),$AF$2:$AF$1001,0),MATCH(COLUMNS($AM$1006:AR1006),$AM$1006:$BM$1006,0)), HYPERLINK("#",""), HYPERLINK(CONCATENATE("#metadata!", ADDRESS(INDEX($AH$2:$AH$1001,MATCH(ROWS($AF$2:AF173),$AF$2:$AF$1001,0),0), INDEX($AM$1004:$BM$1004,1,MATCH(COLUMNS($AM$1006:AR1006),$AM$1006:$BM$1006,0)))),"Fix")))</f>
        <v xml:space="preserve"> </v>
      </c>
      <c r="H173" s="4" t="str">
        <f ca="1">IF(OR(INDEX($AG$2:$AG$1001,MATCH(ROWS($AF$2:AF173),$AF$2:$AF$1001,0),1)&gt;=100000,INDEX($AM$1005:$BM$1005,1,MATCH(COLUMNS($AM$1006:AS1006),$AM$1006:$BM$1006,0))&gt;=100000), " ",IF(INDEX($AM$2:$BM$1001,MATCH(ROWS($AF$2:AF173),$AF$2:$AF$1001,0),MATCH(COLUMNS($AM$1006:AS1006),$AM$1006:$BM$1006,0)), HYPERLINK("#",""), HYPERLINK(CONCATENATE("#metadata!", ADDRESS(INDEX($AH$2:$AH$1001,MATCH(ROWS($AF$2:AF173),$AF$2:$AF$1001,0),0), INDEX($AM$1004:$BM$1004,1,MATCH(COLUMNS($AM$1006:AS1006),$AM$1006:$BM$1006,0)))),"Fix")))</f>
        <v xml:space="preserve"> </v>
      </c>
      <c r="I173" s="4" t="str">
        <f ca="1">IF(OR(INDEX($AG$2:$AG$1001,MATCH(ROWS($AF$2:AF173),$AF$2:$AF$1001,0),1)&gt;=100000,INDEX($AM$1005:$BM$1005,1,MATCH(COLUMNS($AM$1006:AT1006),$AM$1006:$BM$1006,0))&gt;=100000), " ",IF(INDEX($AM$2:$BM$1001,MATCH(ROWS($AF$2:AF173),$AF$2:$AF$1001,0),MATCH(COLUMNS($AM$1006:AT1006),$AM$1006:$BM$1006,0)), HYPERLINK("#",""), HYPERLINK(CONCATENATE("#metadata!", ADDRESS(INDEX($AH$2:$AH$1001,MATCH(ROWS($AF$2:AF173),$AF$2:$AF$1001,0),0), INDEX($AM$1004:$BM$1004,1,MATCH(COLUMNS($AM$1006:AT1006),$AM$1006:$BM$1006,0)))),"Fix")))</f>
        <v xml:space="preserve"> </v>
      </c>
      <c r="J173" s="4" t="str">
        <f ca="1">IF(OR(INDEX($AG$2:$AG$1001,MATCH(ROWS($AF$2:AF173),$AF$2:$AF$1001,0),1)&gt;=100000,INDEX($AM$1005:$BM$1005,1,MATCH(COLUMNS($AM$1006:AU1006),$AM$1006:$BM$1006,0))&gt;=100000), " ",IF(INDEX($AM$2:$BM$1001,MATCH(ROWS($AF$2:AF173),$AF$2:$AF$1001,0),MATCH(COLUMNS($AM$1006:AU1006),$AM$1006:$BM$1006,0)), HYPERLINK("#",""), HYPERLINK(CONCATENATE("#metadata!", ADDRESS(INDEX($AH$2:$AH$1001,MATCH(ROWS($AF$2:AF173),$AF$2:$AF$1001,0),0), INDEX($AM$1004:$BM$1004,1,MATCH(COLUMNS($AM$1006:AU1006),$AM$1006:$BM$1006,0)))),"Fix")))</f>
        <v xml:space="preserve"> </v>
      </c>
      <c r="K173" s="4" t="str">
        <f ca="1">IF(OR(INDEX($AG$2:$AG$1001,MATCH(ROWS($AF$2:AF173),$AF$2:$AF$1001,0),1)&gt;=100000,INDEX($AM$1005:$BM$1005,1,MATCH(COLUMNS($AM$1006:AV1006),$AM$1006:$BM$1006,0))&gt;=100000), " ",IF(INDEX($AM$2:$BM$1001,MATCH(ROWS($AF$2:AF173),$AF$2:$AF$1001,0),MATCH(COLUMNS($AM$1006:AV1006),$AM$1006:$BM$1006,0)), HYPERLINK("#",""), HYPERLINK(CONCATENATE("#metadata!", ADDRESS(INDEX($AH$2:$AH$1001,MATCH(ROWS($AF$2:AF173),$AF$2:$AF$1001,0),0), INDEX($AM$1004:$BM$1004,1,MATCH(COLUMNS($AM$1006:AV1006),$AM$1006:$BM$1006,0)))),"Fix")))</f>
        <v xml:space="preserve"> </v>
      </c>
      <c r="L173" s="4" t="str">
        <f ca="1">IF(OR(INDEX($AG$2:$AG$1001,MATCH(ROWS($AF$2:AF173),$AF$2:$AF$1001,0),1)&gt;=100000,INDEX($AM$1005:$BM$1005,1,MATCH(COLUMNS($AM$1006:AW1006),$AM$1006:$BM$1006,0))&gt;=100000), " ",IF(INDEX($AM$2:$BM$1001,MATCH(ROWS($AF$2:AF173),$AF$2:$AF$1001,0),MATCH(COLUMNS($AM$1006:AW1006),$AM$1006:$BM$1006,0)), HYPERLINK("#",""), HYPERLINK(CONCATENATE("#metadata!", ADDRESS(INDEX($AH$2:$AH$1001,MATCH(ROWS($AF$2:AF173),$AF$2:$AF$1001,0),0), INDEX($AM$1004:$BM$1004,1,MATCH(COLUMNS($AM$1006:AW1006),$AM$1006:$BM$1006,0)))),"Fix")))</f>
        <v xml:space="preserve"> </v>
      </c>
      <c r="M173" s="4" t="str">
        <f ca="1">IF(OR(INDEX($AG$2:$AG$1001,MATCH(ROWS($AF$2:AF173),$AF$2:$AF$1001,0),1)&gt;=100000,INDEX($AM$1005:$BM$1005,1,MATCH(COLUMNS($AM$1006:AX1006),$AM$1006:$BM$1006,0))&gt;=100000), " ",IF(INDEX($AM$2:$BM$1001,MATCH(ROWS($AF$2:AF173),$AF$2:$AF$1001,0),MATCH(COLUMNS($AM$1006:AX1006),$AM$1006:$BM$1006,0)), HYPERLINK("#",""), HYPERLINK(CONCATENATE("#metadata!", ADDRESS(INDEX($AH$2:$AH$1001,MATCH(ROWS($AF$2:AF173),$AF$2:$AF$1001,0),0), INDEX($AM$1004:$BM$1004,1,MATCH(COLUMNS($AM$1006:AX1006),$AM$1006:$BM$1006,0)))),"Fix")))</f>
        <v xml:space="preserve"> </v>
      </c>
      <c r="N173" s="4" t="str">
        <f ca="1">IF(OR(INDEX($AG$2:$AG$1001,MATCH(ROWS($AF$2:AF173),$AF$2:$AF$1001,0),1)&gt;=100000,INDEX($AM$1005:$BM$1005,1,MATCH(COLUMNS($AM$1006:AY1006),$AM$1006:$BM$1006,0))&gt;=100000), " ",IF(INDEX($AM$2:$BM$1001,MATCH(ROWS($AF$2:AF173),$AF$2:$AF$1001,0),MATCH(COLUMNS($AM$1006:AY1006),$AM$1006:$BM$1006,0)), HYPERLINK("#",""), HYPERLINK(CONCATENATE("#metadata!", ADDRESS(INDEX($AH$2:$AH$1001,MATCH(ROWS($AF$2:AF173),$AF$2:$AF$1001,0),0), INDEX($AM$1004:$BM$1004,1,MATCH(COLUMNS($AM$1006:AY1006),$AM$1006:$BM$1006,0)))),"Fix")))</f>
        <v xml:space="preserve"> </v>
      </c>
      <c r="O173" s="4" t="str">
        <f ca="1">IF(OR(INDEX($AG$2:$AG$1001,MATCH(ROWS($AF$2:AF173),$AF$2:$AF$1001,0),1)&gt;=100000,INDEX($AM$1005:$BM$1005,1,MATCH(COLUMNS($AM$1006:AZ1006),$AM$1006:$BM$1006,0))&gt;=100000), " ",IF(INDEX($AM$2:$BM$1001,MATCH(ROWS($AF$2:AF173),$AF$2:$AF$1001,0),MATCH(COLUMNS($AM$1006:AZ1006),$AM$1006:$BM$1006,0)), HYPERLINK("#",""), HYPERLINK(CONCATENATE("#metadata!", ADDRESS(INDEX($AH$2:$AH$1001,MATCH(ROWS($AF$2:AF173),$AF$2:$AF$1001,0),0), INDEX($AM$1004:$BM$1004,1,MATCH(COLUMNS($AM$1006:AZ1006),$AM$1006:$BM$1006,0)))),"Fix")))</f>
        <v xml:space="preserve"> </v>
      </c>
      <c r="P173" s="4" t="str">
        <f ca="1">IF(OR(INDEX($AG$2:$AG$1001,MATCH(ROWS($AF$2:AF173),$AF$2:$AF$1001,0),1)&gt;=100000,INDEX($AM$1005:$BM$1005,1,MATCH(COLUMNS($AM$1006:BA1006),$AM$1006:$BM$1006,0))&gt;=100000), " ",IF(INDEX($AM$2:$BM$1001,MATCH(ROWS($AF$2:AF173),$AF$2:$AF$1001,0),MATCH(COLUMNS($AM$1006:BA1006),$AM$1006:$BM$1006,0)), HYPERLINK("#",""), HYPERLINK(CONCATENATE("#metadata!", ADDRESS(INDEX($AH$2:$AH$1001,MATCH(ROWS($AF$2:AF173),$AF$2:$AF$1001,0),0), INDEX($AM$1004:$BM$1004,1,MATCH(COLUMNS($AM$1006:BA1006),$AM$1006:$BM$1006,0)))),"Fix")))</f>
        <v xml:space="preserve"> </v>
      </c>
      <c r="Q173" s="4" t="str">
        <f ca="1">IF(OR(INDEX($AG$2:$AG$1001,MATCH(ROWS($AF$2:AF173),$AF$2:$AF$1001,0),1)&gt;=100000,INDEX($AM$1005:$BM$1005,1,MATCH(COLUMNS($AM$1006:BB1006),$AM$1006:$BM$1006,0))&gt;=100000), " ",IF(INDEX($AM$2:$BM$1001,MATCH(ROWS($AF$2:AF173),$AF$2:$AF$1001,0),MATCH(COLUMNS($AM$1006:BB1006),$AM$1006:$BM$1006,0)), HYPERLINK("#",""), HYPERLINK(CONCATENATE("#metadata!", ADDRESS(INDEX($AH$2:$AH$1001,MATCH(ROWS($AF$2:AF173),$AF$2:$AF$1001,0),0), INDEX($AM$1004:$BM$1004,1,MATCH(COLUMNS($AM$1006:BB1006),$AM$1006:$BM$1006,0)))),"Fix")))</f>
        <v xml:space="preserve"> </v>
      </c>
      <c r="R173" s="4" t="str">
        <f ca="1">IF(OR(INDEX($AG$2:$AG$1001,MATCH(ROWS($AF$2:AF173),$AF$2:$AF$1001,0),1)&gt;=100000,INDEX($AM$1005:$BM$1005,1,MATCH(COLUMNS($AM$1006:BC1006),$AM$1006:$BM$1006,0))&gt;=100000), " ",IF(INDEX($AM$2:$BM$1001,MATCH(ROWS($AF$2:AF173),$AF$2:$AF$1001,0),MATCH(COLUMNS($AM$1006:BC1006),$AM$1006:$BM$1006,0)), HYPERLINK("#",""), HYPERLINK(CONCATENATE("#metadata!", ADDRESS(INDEX($AH$2:$AH$1001,MATCH(ROWS($AF$2:AF173),$AF$2:$AF$1001,0),0), INDEX($AM$1004:$BM$1004,1,MATCH(COLUMNS($AM$1006:BC1006),$AM$1006:$BM$1006,0)))),"Fix")))</f>
        <v xml:space="preserve"> </v>
      </c>
      <c r="S173" s="4" t="str">
        <f ca="1">IF(OR(INDEX($AG$2:$AG$1001,MATCH(ROWS($AF$2:AF173),$AF$2:$AF$1001,0),1)&gt;=100000,INDEX($AM$1005:$BM$1005,1,MATCH(COLUMNS($AM$1006:BD1006),$AM$1006:$BM$1006,0))&gt;=100000), " ",IF(INDEX($AM$2:$BM$1001,MATCH(ROWS($AF$2:AF173),$AF$2:$AF$1001,0),MATCH(COLUMNS($AM$1006:BD1006),$AM$1006:$BM$1006,0)), HYPERLINK("#",""), HYPERLINK(CONCATENATE("#metadata!", ADDRESS(INDEX($AH$2:$AH$1001,MATCH(ROWS($AF$2:AF173),$AF$2:$AF$1001,0),0), INDEX($AM$1004:$BM$1004,1,MATCH(COLUMNS($AM$1006:BD1006),$AM$1006:$BM$1006,0)))),"Fix")))</f>
        <v xml:space="preserve"> </v>
      </c>
      <c r="T173" s="4" t="str">
        <f ca="1">IF(OR(INDEX($AG$2:$AG$1001,MATCH(ROWS($AF$2:AF173),$AF$2:$AF$1001,0),1)&gt;=100000,INDEX($AM$1005:$BM$1005,1,MATCH(COLUMNS($AM$1006:BE1006),$AM$1006:$BM$1006,0))&gt;=100000), " ",IF(INDEX($AM$2:$BM$1001,MATCH(ROWS($AF$2:AF173),$AF$2:$AF$1001,0),MATCH(COLUMNS($AM$1006:BE1006),$AM$1006:$BM$1006,0)), HYPERLINK("#",""), HYPERLINK(CONCATENATE("#metadata!", ADDRESS(INDEX($AH$2:$AH$1001,MATCH(ROWS($AF$2:AF173),$AF$2:$AF$1001,0),0), INDEX($AM$1004:$BM$1004,1,MATCH(COLUMNS($AM$1006:BE1006),$AM$1006:$BM$1006,0)))),"Fix")))</f>
        <v xml:space="preserve"> </v>
      </c>
      <c r="U173" s="4" t="str">
        <f ca="1">IF(OR(INDEX($AG$2:$AG$1001,MATCH(ROWS($AF$2:AF173),$AF$2:$AF$1001,0),1)&gt;=100000,INDEX($AM$1005:$BM$1005,1,MATCH(COLUMNS($AM$1006:BF1006),$AM$1006:$BM$1006,0))&gt;=100000), " ",IF(INDEX($AM$2:$BM$1001,MATCH(ROWS($AF$2:AF173),$AF$2:$AF$1001,0),MATCH(COLUMNS($AM$1006:BF1006),$AM$1006:$BM$1006,0)), HYPERLINK("#",""), HYPERLINK(CONCATENATE("#metadata!", ADDRESS(INDEX($AH$2:$AH$1001,MATCH(ROWS($AF$2:AF173),$AF$2:$AF$1001,0),0), INDEX($AM$1004:$BM$1004,1,MATCH(COLUMNS($AM$1006:BF1006),$AM$1006:$BM$1006,0)))),"Fix")))</f>
        <v xml:space="preserve"> </v>
      </c>
      <c r="V173" s="4" t="str">
        <f ca="1">IF(OR(INDEX($AG$2:$AG$1001,MATCH(ROWS($AF$2:AF173),$AF$2:$AF$1001,0),1)&gt;=100000,INDEX($AM$1005:$BM$1005,1,MATCH(COLUMNS($AM$1006:BG1006),$AM$1006:$BM$1006,0))&gt;=100000), " ",IF(INDEX($AM$2:$BM$1001,MATCH(ROWS($AF$2:AF173),$AF$2:$AF$1001,0),MATCH(COLUMNS($AM$1006:BG1006),$AM$1006:$BM$1006,0)), HYPERLINK("#",""), HYPERLINK(CONCATENATE("#metadata!", ADDRESS(INDEX($AH$2:$AH$1001,MATCH(ROWS($AF$2:AF173),$AF$2:$AF$1001,0),0), INDEX($AM$1004:$BM$1004,1,MATCH(COLUMNS($AM$1006:BG1006),$AM$1006:$BM$1006,0)))),"Fix")))</f>
        <v xml:space="preserve"> </v>
      </c>
      <c r="W173" s="4" t="str">
        <f ca="1">IF(OR(INDEX($AG$2:$AG$1001,MATCH(ROWS($AF$2:AF173),$AF$2:$AF$1001,0),1)&gt;=100000,INDEX($AM$1005:$BM$1005,1,MATCH(COLUMNS($AM$1006:BH1006),$AM$1006:$BM$1006,0))&gt;=100000), " ",IF(INDEX($AM$2:$BM$1001,MATCH(ROWS($AF$2:AF173),$AF$2:$AF$1001,0),MATCH(COLUMNS($AM$1006:BH1006),$AM$1006:$BM$1006,0)), HYPERLINK("#",""), HYPERLINK(CONCATENATE("#metadata!", ADDRESS(INDEX($AH$2:$AH$1001,MATCH(ROWS($AF$2:AF173),$AF$2:$AF$1001,0),0), INDEX($AM$1004:$BM$1004,1,MATCH(COLUMNS($AM$1006:BH1006),$AM$1006:$BM$1006,0)))),"Fix")))</f>
        <v xml:space="preserve"> </v>
      </c>
      <c r="X173" s="4" t="str">
        <f ca="1">IF(OR(INDEX($AG$2:$AG$1001,MATCH(ROWS($AF$2:AF173),$AF$2:$AF$1001,0),1)&gt;=100000,INDEX($AM$1005:$BM$1005,1,MATCH(COLUMNS($AM$1006:BI1006),$AM$1006:$BM$1006,0))&gt;=100000), " ",IF(INDEX($AM$2:$BM$1001,MATCH(ROWS($AF$2:AF173),$AF$2:$AF$1001,0),MATCH(COLUMNS($AM$1006:BI1006),$AM$1006:$BM$1006,0)), HYPERLINK("#",""), HYPERLINK(CONCATENATE("#metadata!", ADDRESS(INDEX($AH$2:$AH$1001,MATCH(ROWS($AF$2:AF173),$AF$2:$AF$1001,0),0), INDEX($AM$1004:$BM$1004,1,MATCH(COLUMNS($AM$1006:BI1006),$AM$1006:$BM$1006,0)))),"Fix")))</f>
        <v xml:space="preserve"> </v>
      </c>
      <c r="Y173" s="4" t="str">
        <f ca="1">IF(OR(INDEX($AG$2:$AG$1001,MATCH(ROWS($AF$2:AF173),$AF$2:$AF$1001,0),1)&gt;=100000,INDEX($AM$1005:$BM$1005,1,MATCH(COLUMNS($AM$1006:BJ1006),$AM$1006:$BM$1006,0))&gt;=100000), " ",IF(INDEX($AM$2:$BM$1001,MATCH(ROWS($AF$2:AF173),$AF$2:$AF$1001,0),MATCH(COLUMNS($AM$1006:BJ1006),$AM$1006:$BM$1006,0)), HYPERLINK("#",""), HYPERLINK(CONCATENATE("#metadata!", ADDRESS(INDEX($AH$2:$AH$1001,MATCH(ROWS($AF$2:AF173),$AF$2:$AF$1001,0),0), INDEX($AM$1004:$BM$1004,1,MATCH(COLUMNS($AM$1006:BJ1006),$AM$1006:$BM$1006,0)))),"Fix")))</f>
        <v xml:space="preserve"> </v>
      </c>
      <c r="Z173" s="4" t="str">
        <f ca="1">IF(OR(INDEX($AG$2:$AG$1001,MATCH(ROWS($AF$2:AF173),$AF$2:$AF$1001,0),1)&gt;=100000,INDEX($AM$1005:$BM$1005,1,MATCH(COLUMNS($AM$1006:BK1006),$AM$1006:$BM$1006,0))&gt;=100000), " ",IF(INDEX($AM$2:$BM$1001,MATCH(ROWS($AF$2:AF173),$AF$2:$AF$1001,0),MATCH(COLUMNS($AM$1006:BK1006),$AM$1006:$BM$1006,0)), HYPERLINK("#",""), HYPERLINK(CONCATENATE("#metadata!", ADDRESS(INDEX($AH$2:$AH$1001,MATCH(ROWS($AF$2:AF173),$AF$2:$AF$1001,0),0), INDEX($AM$1004:$BM$1004,1,MATCH(COLUMNS($AM$1006:BK1006),$AM$1006:$BM$1006,0)))),"Fix")))</f>
        <v xml:space="preserve"> </v>
      </c>
      <c r="AA173" s="4" t="str">
        <f ca="1">IF(OR(INDEX($AG$2:$AG$1001,MATCH(ROWS($AF$2:AF173),$AF$2:$AF$1001,0),1)&gt;=100000,INDEX($AM$1005:$BM$1005,1,MATCH(COLUMNS($AM$1006:BL1006),$AM$1006:$BM$1006,0))&gt;=100000), " ",IF(INDEX($AM$2:$BM$1001,MATCH(ROWS($AF$2:AF173),$AF$2:$AF$1001,0),MATCH(COLUMNS($AM$1006:BL1006),$AM$1006:$BM$1006,0)), HYPERLINK("#",""), HYPERLINK(CONCATENATE("#metadata!", ADDRESS(INDEX($AH$2:$AH$1001,MATCH(ROWS($AF$2:AF173),$AF$2:$AF$1001,0),0), INDEX($AM$1004:$BM$1004,1,MATCH(COLUMNS($AM$1006:BL1006),$AM$1006:$BM$1006,0)))),"Fix")))</f>
        <v xml:space="preserve"> </v>
      </c>
      <c r="AB173" s="4" t="str">
        <f ca="1">IF(OR(INDEX($AG$2:$AG$1001,MATCH(ROWS($AF$2:AF173),$AF$2:$AF$1001,0),1)&gt;=100000,INDEX($AM$1005:$BM$1005,1,MATCH(COLUMNS($AM$1006:BM1006),$AM$1006:$BM$1006,0))&gt;=100000), " ",IF(INDEX($AM$2:$BM$1001,MATCH(ROWS($AF$2:AF173),$AF$2:$AF$1001,0),MATCH(COLUMNS($AM$1006:BM1006),$AM$1006:$BM$1006,0)), HYPERLINK("#",""), HYPERLINK(CONCATENATE("#metadata!", ADDRESS(INDEX($AH$2:$AH$1001,MATCH(ROWS($AF$2:AF173),$AF$2:$AF$1001,0),0), INDEX($AM$1004:$BM$1004,1,MATCH(COLUMNS($AM$1006:BM1006),$AM$1006:$BM$1006,0)))),"Fix")))</f>
        <v xml:space="preserve"> </v>
      </c>
      <c r="AF173">
        <v>172</v>
      </c>
      <c r="AG173">
        <v>100173</v>
      </c>
      <c r="AH173">
        <v>173</v>
      </c>
      <c r="AI173" t="b">
        <f t="shared" si="2"/>
        <v>1</v>
      </c>
      <c r="AJ173" t="b">
        <f>COUNTBLANK(metadata!B173:AB173)=COLUMNS(metadata!B173:AB173)</f>
        <v>1</v>
      </c>
      <c r="AK173" t="str">
        <v/>
      </c>
      <c r="AM173" t="b">
        <f ca="1">AND(IF(metadata!B173="",FALSE,TRUE),COUNTIF(metadata!B:B, metadata!B173) = 1,NOT(ISERROR(SUMPRODUCT(SEARCH(MID(metadata!B173,ROW(INDIRECT("1:"&amp;LEN(metadata!B173))), 1),"0123456789abcdefghijklmnopqrstuvwxyzABCDEFGHIJKLMNOPQRSTUVWXYZ.")))))</f>
        <v>0</v>
      </c>
      <c r="AN173" t="b">
        <f ca="1">OR(AND(IF(metadata!C173="",FALSE,TRUE),OR(EXACT(metadata!C173,"missing: not collected"),EXACT(metadata!C173,"missing: not provided"),EXACT(metadata!C173,"missing: restricted access"))),AND(IF(metadata!C173="",FALSE,TRUE),AND(AND(IFERROR(INT(LEFT(metadata!C173,4))&gt;1900,FALSE),IFERROR(INT(LEFT(metadata!C173,4))&lt;=YEAR(NOW()),FALSE)), OR(MID(metadata!C173,5,1)="", AND(AND(MID(metadata!C173,5,1)="-",IFERROR(INT(MID(metadata!C173,6,1))&gt;=0,FALSE),IFERROR(INT(MID(metadata!C173,6,1))&lt;=1,FALSE),NOT(MID(metadata!C173,7,1)=""),IFERROR(INT(MID(metadata!C173,6,2))&gt;=1,FALSE),IFERROR(INT(MID(metadata!C173,6,2))&lt;=12,FALSE)), OR(MID(metadata!C173,8,1)="", AND(AND(MID(metadata!C173,8,1)="-",IFERROR(INT(MID(metadata!C173,9,1))&gt;=0,FALSE),IFERROR(INT(MID(metadata!C173,9,1))&lt;=3,FALSE),NOT(MID(metadata!C173,10,1)=""),IFERROR(INT(MID(metadata!C173,9,2))&gt;=1,FALSE),IFERROR(INT(MID(metadata!C173,9,2))&lt;=31,FALSE)), OR(MID(metadata!C173,11,1)="", AND(AND(MID(metadata!C173,11,1)=" ",IFERROR(INT(MID(metadata!C173,12,1))&gt;=0,FALSE),IFERROR(INT(MID(metadata!C173,12,1))&lt;=2,FALSE),NOT(MID(metadata!C173,13,1)=""),IFERROR(INT(MID(metadata!C173,12,2))&gt;=0,FALSE),IFERROR(INT(MID(metadata!C173,12,2))&lt;=23,FALSE)), OR(MID(metadata!C173,14,1)="", AND(AND(MID(metadata!C173,14,1)=":",IFERROR(INT(MID(metadata!C173,15,1))&gt;=0,FALSE),IFERROR(INT(MID(metadata!C173,15,1))&lt;=5,FALSE),NOT(MID(metadata!C173,16,1)=""),IFERROR(INT(MID(metadata!C173,15,2))&gt;=0,FALSE),IFERROR(INT(MID(metadata!C173,15,2))&lt;=59,FALSE)), OR(MID(metadata!C173,17,1)="", AND(AND(MID(metadata!C173,17,1)=":",IFERROR(INT(MID(metadata!C173,18,1))&gt;=0,FALSE),IFERROR(INT(MID(metadata!C173,18,1))&lt;=5,FALSE),NOT(MID(metadata!C173,19,1)=""),IFERROR(INT(MID(metadata!C173,18,2))&gt;=0,FALSE),IFERROR(INT(MID(metadata!C173,18,2))&lt;=59,FALSE)), LEN(metadata!C173)&lt;=19)))))))))))))</f>
        <v>0</v>
      </c>
      <c r="AO173" t="b">
        <f>AND(IF(metadata!D173="",FALSE,TRUE),EXACT(metadata!D173,"Not applicable"))</f>
        <v>0</v>
      </c>
      <c r="AP173" t="b">
        <f>IF(metadata!E173="",FALSE,TRUE)</f>
        <v>0</v>
      </c>
      <c r="AQ173" t="b">
        <f>OR(AND(IF(metadata!F173="",FALSE,TRUE),OR(EXACT(metadata!F173,"missing: not collected"),EXACT(metadata!F173,"missing: not provided"))),AND(IF(metadata!F173="",FALSE,TRUE),OR(EXACT(metadata!F173,"TRUE"),EXACT(metadata!F173,"FALSE"))))</f>
        <v>0</v>
      </c>
      <c r="AR173" t="b">
        <f>OR(AND(IF(metadata!G173="",FALSE,TRUE),OR(EXACT(metadata!G173,"missing: not collected"),EXACT(metadata!G173,"missing: not provided"),EXACT(metadata!G173,"missing: restricted access"))),AND(IF(metadata!G173="",FALSE,ISNUMBER(VALUE(metadata!G173))),metadata!G173&gt;=-413))</f>
        <v>0</v>
      </c>
      <c r="AS173" t="b">
        <f>AND(IF(metadata!H173="",FALSE,TRUE),EXACT(metadata!H173,"meters"))</f>
        <v>0</v>
      </c>
      <c r="AT173" t="b">
        <f>AND(IF(metadata!I173="",FALSE,TRUE),OR(EXACT(metadata!I173,"Host-associated"),EXACT(metadata!I173,"Free-living")))</f>
        <v>0</v>
      </c>
      <c r="AU173" t="b">
        <f>AND(IF(metadata!J173="",FALSE,TRUE),OR(EXACT(metadata!J173,"Animal"),EXACT(metadata!J173,"Fungus"),EXACT(metadata!J173,"Plant"),EXACT(metadata!J173,"Saline"),EXACT(metadata!J173,"Non-saline")))</f>
        <v>0</v>
      </c>
      <c r="AV173" t="b">
        <f>AND(IF(metadata!K173="",FALSE,TRUE),OR(EXACT(metadata!K173,"Plant secretion"),EXACT(metadata!K173,"Plant rhizosphere"),EXACT(metadata!K173,"Plant surface"),EXACT(metadata!K173,"Plant corpus"),EXACT(metadata!K173,"Fungus surface"),EXACT(metadata!K173,"Fungus corpus"),EXACT(metadata!K173,"Animal surface"),EXACT(metadata!K173,"Animal proximal gut"),EXACT(metadata!K173,"Animal corpus"),EXACT(metadata!K173,"Animal distal gut"),EXACT(metadata!K173,"Animal secretion"),EXACT(metadata!K173,"Sub-surface (non-saline)"),EXACT(metadata!K173,"Surface (non-saline)"),EXACT(metadata!K173,"Water (non-saline)"),EXACT(metadata!K173,"Soil (non-saline)"),EXACT(metadata!K173,"Aerosol (non-saline)"),EXACT(metadata!K173,"Sediment (non-saline)"),EXACT(metadata!K173,"Surface (saline)"),EXACT(metadata!K173,"Water (saline)"),EXACT(metadata!K173,"Hypersaline (saline)"),EXACT(metadata!K173,"Aerosol (saline)"),EXACT(metadata!K173,"Sediment (saline)")))</f>
        <v>0</v>
      </c>
      <c r="AW173" t="b">
        <f>IF(metadata!L173="",FALSE,TRUE)</f>
        <v>0</v>
      </c>
      <c r="AX173" t="b">
        <f>IF(metadata!M173="",FALSE,TRUE)</f>
        <v>0</v>
      </c>
      <c r="AY173" t="b">
        <f>IF(metadata!N173="",FALSE,TRUE)</f>
        <v>0</v>
      </c>
      <c r="AZ173" t="b">
        <f>OR(AND(IF(metadata!O173="",FALSE,TRUE),OR(EXACT(metadata!O173,"missing: not collected"),EXACT(metadata!O173,"missing: not provided"),EXACT(metadata!O173,"missing: restricted access"))),AND(IF(metadata!O173="",FALSE,TRUE),OR(EXACT(metadata!O173,"air"),EXACT(metadata!O173,"built environment"),EXACT(metadata!O173,"host-associated"),EXACT(metadata!O173,"human-associated"),EXACT(metadata!O173,"human-skin"),EXACT(metadata!O173,"human-oral"),EXACT(metadata!O173,"human-gut"),EXACT(metadata!O173,"human-vaginal"),EXACT(metadata!O173,"microbial mat/biofilm"),EXACT(metadata!O173,"misc environment"),EXACT(metadata!O173,"plant-associated"),EXACT(metadata!O173,"sediment"),EXACT(metadata!O173,"soil"),EXACT(metadata!O173,"wastewater/sludge"),EXACT(metadata!O173,"water"))))</f>
        <v>0</v>
      </c>
      <c r="BA173" t="b">
        <f>IF(metadata!P173="",FALSE,TRUE)</f>
        <v>0</v>
      </c>
      <c r="BB173" t="b">
        <f>IF(metadata!Q173="",FALSE,TRUE)</f>
        <v>0</v>
      </c>
      <c r="BC173" t="b">
        <f>OR(AND(IF(metadata!R173="",FALSE,TRUE),OR(EXACT(metadata!R173,"missing: not collected"),EXACT(metadata!R173,"missing: not provided"),EXACT(metadata!R173,"missing: restricted access"))),AND(IF(metadata!R173="",FALSE,ISNUMBER(VALUE(metadata!R173))),metadata!R173&gt;=-90,metadata!R173&lt;=90))</f>
        <v>0</v>
      </c>
      <c r="BD173" t="b">
        <f>AND(IF(metadata!S173="",FALSE,TRUE),EXACT(metadata!S173,"Decimal degrees"))</f>
        <v>0</v>
      </c>
      <c r="BE173" t="b">
        <f>OR(AND(IF(metadata!T173="",FALSE,TRUE),OR(EXACT(metadata!T173,"missing: not collected"),EXACT(metadata!T173,"missing: not provided"),EXACT(metadata!T173,"missing: restricted access"))),AND(IF(metadata!T173="",FALSE,ISNUMBER(VALUE(metadata!T173))),metadata!T173&gt;=-180,metadata!T173&lt;=180))</f>
        <v>0</v>
      </c>
      <c r="BF173" t="b">
        <f>AND(IF(metadata!U173="",FALSE,TRUE),EXACT(metadata!U173,"Decimal degrees"))</f>
        <v>0</v>
      </c>
      <c r="BG173" t="b">
        <f>IF(metadata!V173="",FALSE,TRUE)</f>
        <v>0</v>
      </c>
      <c r="BH173" t="b">
        <f>OR(AND(IF(metadata!W173="",FALSE,TRUE),OR(EXACT(metadata!W173,"missing: not collected"),EXACT(metadata!W173,"missing: not provided"),EXACT(metadata!W173,"missing: restricted access"))),AND(IF(metadata!W173="",FALSE,TRUE),OR(EXACT(metadata!W173,"TRUE"),EXACT(metadata!W173,"FALSE"))))</f>
        <v>0</v>
      </c>
      <c r="BI173" t="b">
        <f>AND(IF(metadata!X173="",FALSE,TRUE),EXACT(metadata!X173,"other"))</f>
        <v>0</v>
      </c>
      <c r="BJ173" t="b">
        <f>IF(metadata!Y173="",FALSE,TRUE)</f>
        <v>0</v>
      </c>
      <c r="BK173" t="b">
        <f>OR(AND(IF(metadata!Z173="",FALSE,TRUE),OR(EXACT(metadata!Z173,"missing: not collected"),EXACT(metadata!Z173,"missing: not provided"))),AND(IF(metadata!Z173="",FALSE,IF(ISERROR(INT(metadata!Z173)),FALSE,INT(metadata!Z173)=metadata!Z173)),metadata!Z173&gt;0))</f>
        <v>0</v>
      </c>
      <c r="BL173" t="b">
        <f>AND(IF(metadata!AA173="",FALSE,TRUE),EXACT(metadata!AA173,"Not applicable"))</f>
        <v>0</v>
      </c>
      <c r="BM173" t="b">
        <f>IF(metadata!AB173="",FALSE,TRUE)</f>
        <v>0</v>
      </c>
    </row>
    <row r="174" spans="1:65" x14ac:dyDescent="0.2">
      <c r="A174" s="5" t="str">
        <f ca="1">IF(B174=" "," ",HYPERLINK(CONCATENATE("#metadata!",ADDRESS(INDEX($AH$2:$AH$1001,MATCH(ROWS($AF$2:AF174),$AF$2:$AF$1001,0),0),1)),INDEX($AK$2:$AK$1001,MATCH(ROWS($AF$2:AF174),$AF$2:$AF$1001,0),0)))</f>
        <v xml:space="preserve"> </v>
      </c>
      <c r="B174" s="4" t="str">
        <f ca="1">IF(OR(INDEX($AG$2:$AG$1001,MATCH(ROWS($AF$2:AF174),$AF$2:$AF$1001,0),1)&gt;=100000,INDEX($AM$1005:$BM$1005,1,MATCH(COLUMNS($AM$1006:AM1006),$AM$1006:$BM$1006,0))&gt;=100000), " ",IF(INDEX($AM$2:$BM$1001,MATCH(ROWS($AF$2:AF174),$AF$2:$AF$1001,0),MATCH(COLUMNS($AM$1006:AM1006),$AM$1006:$BM$1006,0)), HYPERLINK("#",""), HYPERLINK(CONCATENATE("#metadata!", ADDRESS(INDEX($AH$2:$AH$1001,MATCH(ROWS($AF$2:AF174),$AF$2:$AF$1001,0),0), INDEX($AM$1004:$BM$1004,1,MATCH(COLUMNS($AM$1006:AM1006),$AM$1006:$BM$1006,0)))),"Fix")))</f>
        <v xml:space="preserve"> </v>
      </c>
      <c r="C174" s="4" t="str">
        <f ca="1">IF(OR(INDEX($AG$2:$AG$1001,MATCH(ROWS($AF$2:AF174),$AF$2:$AF$1001,0),1)&gt;=100000,INDEX($AM$1005:$BM$1005,1,MATCH(COLUMNS($AM$1006:AN1006),$AM$1006:$BM$1006,0))&gt;=100000), " ",IF(INDEX($AM$2:$BM$1001,MATCH(ROWS($AF$2:AF174),$AF$2:$AF$1001,0),MATCH(COLUMNS($AM$1006:AN1006),$AM$1006:$BM$1006,0)), HYPERLINK("#",""), HYPERLINK(CONCATENATE("#metadata!", ADDRESS(INDEX($AH$2:$AH$1001,MATCH(ROWS($AF$2:AF174),$AF$2:$AF$1001,0),0), INDEX($AM$1004:$BM$1004,1,MATCH(COLUMNS($AM$1006:AN1006),$AM$1006:$BM$1006,0)))),"Fix")))</f>
        <v xml:space="preserve"> </v>
      </c>
      <c r="D174" s="4" t="str">
        <f ca="1">IF(OR(INDEX($AG$2:$AG$1001,MATCH(ROWS($AF$2:AF174),$AF$2:$AF$1001,0),1)&gt;=100000,INDEX($AM$1005:$BM$1005,1,MATCH(COLUMNS($AM$1006:AO1006),$AM$1006:$BM$1006,0))&gt;=100000), " ",IF(INDEX($AM$2:$BM$1001,MATCH(ROWS($AF$2:AF174),$AF$2:$AF$1001,0),MATCH(COLUMNS($AM$1006:AO1006),$AM$1006:$BM$1006,0)), HYPERLINK("#",""), HYPERLINK(CONCATENATE("#metadata!", ADDRESS(INDEX($AH$2:$AH$1001,MATCH(ROWS($AF$2:AF174),$AF$2:$AF$1001,0),0), INDEX($AM$1004:$BM$1004,1,MATCH(COLUMNS($AM$1006:AO1006),$AM$1006:$BM$1006,0)))),"Fix")))</f>
        <v xml:space="preserve"> </v>
      </c>
      <c r="E174" s="4" t="str">
        <f ca="1">IF(OR(INDEX($AG$2:$AG$1001,MATCH(ROWS($AF$2:AF174),$AF$2:$AF$1001,0),1)&gt;=100000,INDEX($AM$1005:$BM$1005,1,MATCH(COLUMNS($AM$1006:AP1006),$AM$1006:$BM$1006,0))&gt;=100000), " ",IF(INDEX($AM$2:$BM$1001,MATCH(ROWS($AF$2:AF174),$AF$2:$AF$1001,0),MATCH(COLUMNS($AM$1006:AP1006),$AM$1006:$BM$1006,0)), HYPERLINK("#",""), HYPERLINK(CONCATENATE("#metadata!", ADDRESS(INDEX($AH$2:$AH$1001,MATCH(ROWS($AF$2:AF174),$AF$2:$AF$1001,0),0), INDEX($AM$1004:$BM$1004,1,MATCH(COLUMNS($AM$1006:AP1006),$AM$1006:$BM$1006,0)))),"Fix")))</f>
        <v xml:space="preserve"> </v>
      </c>
      <c r="F174" s="4" t="str">
        <f ca="1">IF(OR(INDEX($AG$2:$AG$1001,MATCH(ROWS($AF$2:AF174),$AF$2:$AF$1001,0),1)&gt;=100000,INDEX($AM$1005:$BM$1005,1,MATCH(COLUMNS($AM$1006:AQ1006),$AM$1006:$BM$1006,0))&gt;=100000), " ",IF(INDEX($AM$2:$BM$1001,MATCH(ROWS($AF$2:AF174),$AF$2:$AF$1001,0),MATCH(COLUMNS($AM$1006:AQ1006),$AM$1006:$BM$1006,0)), HYPERLINK("#",""), HYPERLINK(CONCATENATE("#metadata!", ADDRESS(INDEX($AH$2:$AH$1001,MATCH(ROWS($AF$2:AF174),$AF$2:$AF$1001,0),0), INDEX($AM$1004:$BM$1004,1,MATCH(COLUMNS($AM$1006:AQ1006),$AM$1006:$BM$1006,0)))),"Fix")))</f>
        <v xml:space="preserve"> </v>
      </c>
      <c r="G174" s="4" t="str">
        <f ca="1">IF(OR(INDEX($AG$2:$AG$1001,MATCH(ROWS($AF$2:AF174),$AF$2:$AF$1001,0),1)&gt;=100000,INDEX($AM$1005:$BM$1005,1,MATCH(COLUMNS($AM$1006:AR1006),$AM$1006:$BM$1006,0))&gt;=100000), " ",IF(INDEX($AM$2:$BM$1001,MATCH(ROWS($AF$2:AF174),$AF$2:$AF$1001,0),MATCH(COLUMNS($AM$1006:AR1006),$AM$1006:$BM$1006,0)), HYPERLINK("#",""), HYPERLINK(CONCATENATE("#metadata!", ADDRESS(INDEX($AH$2:$AH$1001,MATCH(ROWS($AF$2:AF174),$AF$2:$AF$1001,0),0), INDEX($AM$1004:$BM$1004,1,MATCH(COLUMNS($AM$1006:AR1006),$AM$1006:$BM$1006,0)))),"Fix")))</f>
        <v xml:space="preserve"> </v>
      </c>
      <c r="H174" s="4" t="str">
        <f ca="1">IF(OR(INDEX($AG$2:$AG$1001,MATCH(ROWS($AF$2:AF174),$AF$2:$AF$1001,0),1)&gt;=100000,INDEX($AM$1005:$BM$1005,1,MATCH(COLUMNS($AM$1006:AS1006),$AM$1006:$BM$1006,0))&gt;=100000), " ",IF(INDEX($AM$2:$BM$1001,MATCH(ROWS($AF$2:AF174),$AF$2:$AF$1001,0),MATCH(COLUMNS($AM$1006:AS1006),$AM$1006:$BM$1006,0)), HYPERLINK("#",""), HYPERLINK(CONCATENATE("#metadata!", ADDRESS(INDEX($AH$2:$AH$1001,MATCH(ROWS($AF$2:AF174),$AF$2:$AF$1001,0),0), INDEX($AM$1004:$BM$1004,1,MATCH(COLUMNS($AM$1006:AS1006),$AM$1006:$BM$1006,0)))),"Fix")))</f>
        <v xml:space="preserve"> </v>
      </c>
      <c r="I174" s="4" t="str">
        <f ca="1">IF(OR(INDEX($AG$2:$AG$1001,MATCH(ROWS($AF$2:AF174),$AF$2:$AF$1001,0),1)&gt;=100000,INDEX($AM$1005:$BM$1005,1,MATCH(COLUMNS($AM$1006:AT1006),$AM$1006:$BM$1006,0))&gt;=100000), " ",IF(INDEX($AM$2:$BM$1001,MATCH(ROWS($AF$2:AF174),$AF$2:$AF$1001,0),MATCH(COLUMNS($AM$1006:AT1006),$AM$1006:$BM$1006,0)), HYPERLINK("#",""), HYPERLINK(CONCATENATE("#metadata!", ADDRESS(INDEX($AH$2:$AH$1001,MATCH(ROWS($AF$2:AF174),$AF$2:$AF$1001,0),0), INDEX($AM$1004:$BM$1004,1,MATCH(COLUMNS($AM$1006:AT1006),$AM$1006:$BM$1006,0)))),"Fix")))</f>
        <v xml:space="preserve"> </v>
      </c>
      <c r="J174" s="4" t="str">
        <f ca="1">IF(OR(INDEX($AG$2:$AG$1001,MATCH(ROWS($AF$2:AF174),$AF$2:$AF$1001,0),1)&gt;=100000,INDEX($AM$1005:$BM$1005,1,MATCH(COLUMNS($AM$1006:AU1006),$AM$1006:$BM$1006,0))&gt;=100000), " ",IF(INDEX($AM$2:$BM$1001,MATCH(ROWS($AF$2:AF174),$AF$2:$AF$1001,0),MATCH(COLUMNS($AM$1006:AU1006),$AM$1006:$BM$1006,0)), HYPERLINK("#",""), HYPERLINK(CONCATENATE("#metadata!", ADDRESS(INDEX($AH$2:$AH$1001,MATCH(ROWS($AF$2:AF174),$AF$2:$AF$1001,0),0), INDEX($AM$1004:$BM$1004,1,MATCH(COLUMNS($AM$1006:AU1006),$AM$1006:$BM$1006,0)))),"Fix")))</f>
        <v xml:space="preserve"> </v>
      </c>
      <c r="K174" s="4" t="str">
        <f ca="1">IF(OR(INDEX($AG$2:$AG$1001,MATCH(ROWS($AF$2:AF174),$AF$2:$AF$1001,0),1)&gt;=100000,INDEX($AM$1005:$BM$1005,1,MATCH(COLUMNS($AM$1006:AV1006),$AM$1006:$BM$1006,0))&gt;=100000), " ",IF(INDEX($AM$2:$BM$1001,MATCH(ROWS($AF$2:AF174),$AF$2:$AF$1001,0),MATCH(COLUMNS($AM$1006:AV1006),$AM$1006:$BM$1006,0)), HYPERLINK("#",""), HYPERLINK(CONCATENATE("#metadata!", ADDRESS(INDEX($AH$2:$AH$1001,MATCH(ROWS($AF$2:AF174),$AF$2:$AF$1001,0),0), INDEX($AM$1004:$BM$1004,1,MATCH(COLUMNS($AM$1006:AV1006),$AM$1006:$BM$1006,0)))),"Fix")))</f>
        <v xml:space="preserve"> </v>
      </c>
      <c r="L174" s="4" t="str">
        <f ca="1">IF(OR(INDEX($AG$2:$AG$1001,MATCH(ROWS($AF$2:AF174),$AF$2:$AF$1001,0),1)&gt;=100000,INDEX($AM$1005:$BM$1005,1,MATCH(COLUMNS($AM$1006:AW1006),$AM$1006:$BM$1006,0))&gt;=100000), " ",IF(INDEX($AM$2:$BM$1001,MATCH(ROWS($AF$2:AF174),$AF$2:$AF$1001,0),MATCH(COLUMNS($AM$1006:AW1006),$AM$1006:$BM$1006,0)), HYPERLINK("#",""), HYPERLINK(CONCATENATE("#metadata!", ADDRESS(INDEX($AH$2:$AH$1001,MATCH(ROWS($AF$2:AF174),$AF$2:$AF$1001,0),0), INDEX($AM$1004:$BM$1004,1,MATCH(COLUMNS($AM$1006:AW1006),$AM$1006:$BM$1006,0)))),"Fix")))</f>
        <v xml:space="preserve"> </v>
      </c>
      <c r="M174" s="4" t="str">
        <f ca="1">IF(OR(INDEX($AG$2:$AG$1001,MATCH(ROWS($AF$2:AF174),$AF$2:$AF$1001,0),1)&gt;=100000,INDEX($AM$1005:$BM$1005,1,MATCH(COLUMNS($AM$1006:AX1006),$AM$1006:$BM$1006,0))&gt;=100000), " ",IF(INDEX($AM$2:$BM$1001,MATCH(ROWS($AF$2:AF174),$AF$2:$AF$1001,0),MATCH(COLUMNS($AM$1006:AX1006),$AM$1006:$BM$1006,0)), HYPERLINK("#",""), HYPERLINK(CONCATENATE("#metadata!", ADDRESS(INDEX($AH$2:$AH$1001,MATCH(ROWS($AF$2:AF174),$AF$2:$AF$1001,0),0), INDEX($AM$1004:$BM$1004,1,MATCH(COLUMNS($AM$1006:AX1006),$AM$1006:$BM$1006,0)))),"Fix")))</f>
        <v xml:space="preserve"> </v>
      </c>
      <c r="N174" s="4" t="str">
        <f ca="1">IF(OR(INDEX($AG$2:$AG$1001,MATCH(ROWS($AF$2:AF174),$AF$2:$AF$1001,0),1)&gt;=100000,INDEX($AM$1005:$BM$1005,1,MATCH(COLUMNS($AM$1006:AY1006),$AM$1006:$BM$1006,0))&gt;=100000), " ",IF(INDEX($AM$2:$BM$1001,MATCH(ROWS($AF$2:AF174),$AF$2:$AF$1001,0),MATCH(COLUMNS($AM$1006:AY1006),$AM$1006:$BM$1006,0)), HYPERLINK("#",""), HYPERLINK(CONCATENATE("#metadata!", ADDRESS(INDEX($AH$2:$AH$1001,MATCH(ROWS($AF$2:AF174),$AF$2:$AF$1001,0),0), INDEX($AM$1004:$BM$1004,1,MATCH(COLUMNS($AM$1006:AY1006),$AM$1006:$BM$1006,0)))),"Fix")))</f>
        <v xml:space="preserve"> </v>
      </c>
      <c r="O174" s="4" t="str">
        <f ca="1">IF(OR(INDEX($AG$2:$AG$1001,MATCH(ROWS($AF$2:AF174),$AF$2:$AF$1001,0),1)&gt;=100000,INDEX($AM$1005:$BM$1005,1,MATCH(COLUMNS($AM$1006:AZ1006),$AM$1006:$BM$1006,0))&gt;=100000), " ",IF(INDEX($AM$2:$BM$1001,MATCH(ROWS($AF$2:AF174),$AF$2:$AF$1001,0),MATCH(COLUMNS($AM$1006:AZ1006),$AM$1006:$BM$1006,0)), HYPERLINK("#",""), HYPERLINK(CONCATENATE("#metadata!", ADDRESS(INDEX($AH$2:$AH$1001,MATCH(ROWS($AF$2:AF174),$AF$2:$AF$1001,0),0), INDEX($AM$1004:$BM$1004,1,MATCH(COLUMNS($AM$1006:AZ1006),$AM$1006:$BM$1006,0)))),"Fix")))</f>
        <v xml:space="preserve"> </v>
      </c>
      <c r="P174" s="4" t="str">
        <f ca="1">IF(OR(INDEX($AG$2:$AG$1001,MATCH(ROWS($AF$2:AF174),$AF$2:$AF$1001,0),1)&gt;=100000,INDEX($AM$1005:$BM$1005,1,MATCH(COLUMNS($AM$1006:BA1006),$AM$1006:$BM$1006,0))&gt;=100000), " ",IF(INDEX($AM$2:$BM$1001,MATCH(ROWS($AF$2:AF174),$AF$2:$AF$1001,0),MATCH(COLUMNS($AM$1006:BA1006),$AM$1006:$BM$1006,0)), HYPERLINK("#",""), HYPERLINK(CONCATENATE("#metadata!", ADDRESS(INDEX($AH$2:$AH$1001,MATCH(ROWS($AF$2:AF174),$AF$2:$AF$1001,0),0), INDEX($AM$1004:$BM$1004,1,MATCH(COLUMNS($AM$1006:BA1006),$AM$1006:$BM$1006,0)))),"Fix")))</f>
        <v xml:space="preserve"> </v>
      </c>
      <c r="Q174" s="4" t="str">
        <f ca="1">IF(OR(INDEX($AG$2:$AG$1001,MATCH(ROWS($AF$2:AF174),$AF$2:$AF$1001,0),1)&gt;=100000,INDEX($AM$1005:$BM$1005,1,MATCH(COLUMNS($AM$1006:BB1006),$AM$1006:$BM$1006,0))&gt;=100000), " ",IF(INDEX($AM$2:$BM$1001,MATCH(ROWS($AF$2:AF174),$AF$2:$AF$1001,0),MATCH(COLUMNS($AM$1006:BB1006),$AM$1006:$BM$1006,0)), HYPERLINK("#",""), HYPERLINK(CONCATENATE("#metadata!", ADDRESS(INDEX($AH$2:$AH$1001,MATCH(ROWS($AF$2:AF174),$AF$2:$AF$1001,0),0), INDEX($AM$1004:$BM$1004,1,MATCH(COLUMNS($AM$1006:BB1006),$AM$1006:$BM$1006,0)))),"Fix")))</f>
        <v xml:space="preserve"> </v>
      </c>
      <c r="R174" s="4" t="str">
        <f ca="1">IF(OR(INDEX($AG$2:$AG$1001,MATCH(ROWS($AF$2:AF174),$AF$2:$AF$1001,0),1)&gt;=100000,INDEX($AM$1005:$BM$1005,1,MATCH(COLUMNS($AM$1006:BC1006),$AM$1006:$BM$1006,0))&gt;=100000), " ",IF(INDEX($AM$2:$BM$1001,MATCH(ROWS($AF$2:AF174),$AF$2:$AF$1001,0),MATCH(COLUMNS($AM$1006:BC1006),$AM$1006:$BM$1006,0)), HYPERLINK("#",""), HYPERLINK(CONCATENATE("#metadata!", ADDRESS(INDEX($AH$2:$AH$1001,MATCH(ROWS($AF$2:AF174),$AF$2:$AF$1001,0),0), INDEX($AM$1004:$BM$1004,1,MATCH(COLUMNS($AM$1006:BC1006),$AM$1006:$BM$1006,0)))),"Fix")))</f>
        <v xml:space="preserve"> </v>
      </c>
      <c r="S174" s="4" t="str">
        <f ca="1">IF(OR(INDEX($AG$2:$AG$1001,MATCH(ROWS($AF$2:AF174),$AF$2:$AF$1001,0),1)&gt;=100000,INDEX($AM$1005:$BM$1005,1,MATCH(COLUMNS($AM$1006:BD1006),$AM$1006:$BM$1006,0))&gt;=100000), " ",IF(INDEX($AM$2:$BM$1001,MATCH(ROWS($AF$2:AF174),$AF$2:$AF$1001,0),MATCH(COLUMNS($AM$1006:BD1006),$AM$1006:$BM$1006,0)), HYPERLINK("#",""), HYPERLINK(CONCATENATE("#metadata!", ADDRESS(INDEX($AH$2:$AH$1001,MATCH(ROWS($AF$2:AF174),$AF$2:$AF$1001,0),0), INDEX($AM$1004:$BM$1004,1,MATCH(COLUMNS($AM$1006:BD1006),$AM$1006:$BM$1006,0)))),"Fix")))</f>
        <v xml:space="preserve"> </v>
      </c>
      <c r="T174" s="4" t="str">
        <f ca="1">IF(OR(INDEX($AG$2:$AG$1001,MATCH(ROWS($AF$2:AF174),$AF$2:$AF$1001,0),1)&gt;=100000,INDEX($AM$1005:$BM$1005,1,MATCH(COLUMNS($AM$1006:BE1006),$AM$1006:$BM$1006,0))&gt;=100000), " ",IF(INDEX($AM$2:$BM$1001,MATCH(ROWS($AF$2:AF174),$AF$2:$AF$1001,0),MATCH(COLUMNS($AM$1006:BE1006),$AM$1006:$BM$1006,0)), HYPERLINK("#",""), HYPERLINK(CONCATENATE("#metadata!", ADDRESS(INDEX($AH$2:$AH$1001,MATCH(ROWS($AF$2:AF174),$AF$2:$AF$1001,0),0), INDEX($AM$1004:$BM$1004,1,MATCH(COLUMNS($AM$1006:BE1006),$AM$1006:$BM$1006,0)))),"Fix")))</f>
        <v xml:space="preserve"> </v>
      </c>
      <c r="U174" s="4" t="str">
        <f ca="1">IF(OR(INDEX($AG$2:$AG$1001,MATCH(ROWS($AF$2:AF174),$AF$2:$AF$1001,0),1)&gt;=100000,INDEX($AM$1005:$BM$1005,1,MATCH(COLUMNS($AM$1006:BF1006),$AM$1006:$BM$1006,0))&gt;=100000), " ",IF(INDEX($AM$2:$BM$1001,MATCH(ROWS($AF$2:AF174),$AF$2:$AF$1001,0),MATCH(COLUMNS($AM$1006:BF1006),$AM$1006:$BM$1006,0)), HYPERLINK("#",""), HYPERLINK(CONCATENATE("#metadata!", ADDRESS(INDEX($AH$2:$AH$1001,MATCH(ROWS($AF$2:AF174),$AF$2:$AF$1001,0),0), INDEX($AM$1004:$BM$1004,1,MATCH(COLUMNS($AM$1006:BF1006),$AM$1006:$BM$1006,0)))),"Fix")))</f>
        <v xml:space="preserve"> </v>
      </c>
      <c r="V174" s="4" t="str">
        <f ca="1">IF(OR(INDEX($AG$2:$AG$1001,MATCH(ROWS($AF$2:AF174),$AF$2:$AF$1001,0),1)&gt;=100000,INDEX($AM$1005:$BM$1005,1,MATCH(COLUMNS($AM$1006:BG1006),$AM$1006:$BM$1006,0))&gt;=100000), " ",IF(INDEX($AM$2:$BM$1001,MATCH(ROWS($AF$2:AF174),$AF$2:$AF$1001,0),MATCH(COLUMNS($AM$1006:BG1006),$AM$1006:$BM$1006,0)), HYPERLINK("#",""), HYPERLINK(CONCATENATE("#metadata!", ADDRESS(INDEX($AH$2:$AH$1001,MATCH(ROWS($AF$2:AF174),$AF$2:$AF$1001,0),0), INDEX($AM$1004:$BM$1004,1,MATCH(COLUMNS($AM$1006:BG1006),$AM$1006:$BM$1006,0)))),"Fix")))</f>
        <v xml:space="preserve"> </v>
      </c>
      <c r="W174" s="4" t="str">
        <f ca="1">IF(OR(INDEX($AG$2:$AG$1001,MATCH(ROWS($AF$2:AF174),$AF$2:$AF$1001,0),1)&gt;=100000,INDEX($AM$1005:$BM$1005,1,MATCH(COLUMNS($AM$1006:BH1006),$AM$1006:$BM$1006,0))&gt;=100000), " ",IF(INDEX($AM$2:$BM$1001,MATCH(ROWS($AF$2:AF174),$AF$2:$AF$1001,0),MATCH(COLUMNS($AM$1006:BH1006),$AM$1006:$BM$1006,0)), HYPERLINK("#",""), HYPERLINK(CONCATENATE("#metadata!", ADDRESS(INDEX($AH$2:$AH$1001,MATCH(ROWS($AF$2:AF174),$AF$2:$AF$1001,0),0), INDEX($AM$1004:$BM$1004,1,MATCH(COLUMNS($AM$1006:BH1006),$AM$1006:$BM$1006,0)))),"Fix")))</f>
        <v xml:space="preserve"> </v>
      </c>
      <c r="X174" s="4" t="str">
        <f ca="1">IF(OR(INDEX($AG$2:$AG$1001,MATCH(ROWS($AF$2:AF174),$AF$2:$AF$1001,0),1)&gt;=100000,INDEX($AM$1005:$BM$1005,1,MATCH(COLUMNS($AM$1006:BI1006),$AM$1006:$BM$1006,0))&gt;=100000), " ",IF(INDEX($AM$2:$BM$1001,MATCH(ROWS($AF$2:AF174),$AF$2:$AF$1001,0),MATCH(COLUMNS($AM$1006:BI1006),$AM$1006:$BM$1006,0)), HYPERLINK("#",""), HYPERLINK(CONCATENATE("#metadata!", ADDRESS(INDEX($AH$2:$AH$1001,MATCH(ROWS($AF$2:AF174),$AF$2:$AF$1001,0),0), INDEX($AM$1004:$BM$1004,1,MATCH(COLUMNS($AM$1006:BI1006),$AM$1006:$BM$1006,0)))),"Fix")))</f>
        <v xml:space="preserve"> </v>
      </c>
      <c r="Y174" s="4" t="str">
        <f ca="1">IF(OR(INDEX($AG$2:$AG$1001,MATCH(ROWS($AF$2:AF174),$AF$2:$AF$1001,0),1)&gt;=100000,INDEX($AM$1005:$BM$1005,1,MATCH(COLUMNS($AM$1006:BJ1006),$AM$1006:$BM$1006,0))&gt;=100000), " ",IF(INDEX($AM$2:$BM$1001,MATCH(ROWS($AF$2:AF174),$AF$2:$AF$1001,0),MATCH(COLUMNS($AM$1006:BJ1006),$AM$1006:$BM$1006,0)), HYPERLINK("#",""), HYPERLINK(CONCATENATE("#metadata!", ADDRESS(INDEX($AH$2:$AH$1001,MATCH(ROWS($AF$2:AF174),$AF$2:$AF$1001,0),0), INDEX($AM$1004:$BM$1004,1,MATCH(COLUMNS($AM$1006:BJ1006),$AM$1006:$BM$1006,0)))),"Fix")))</f>
        <v xml:space="preserve"> </v>
      </c>
      <c r="Z174" s="4" t="str">
        <f ca="1">IF(OR(INDEX($AG$2:$AG$1001,MATCH(ROWS($AF$2:AF174),$AF$2:$AF$1001,0),1)&gt;=100000,INDEX($AM$1005:$BM$1005,1,MATCH(COLUMNS($AM$1006:BK1006),$AM$1006:$BM$1006,0))&gt;=100000), " ",IF(INDEX($AM$2:$BM$1001,MATCH(ROWS($AF$2:AF174),$AF$2:$AF$1001,0),MATCH(COLUMNS($AM$1006:BK1006),$AM$1006:$BM$1006,0)), HYPERLINK("#",""), HYPERLINK(CONCATENATE("#metadata!", ADDRESS(INDEX($AH$2:$AH$1001,MATCH(ROWS($AF$2:AF174),$AF$2:$AF$1001,0),0), INDEX($AM$1004:$BM$1004,1,MATCH(COLUMNS($AM$1006:BK1006),$AM$1006:$BM$1006,0)))),"Fix")))</f>
        <v xml:space="preserve"> </v>
      </c>
      <c r="AA174" s="4" t="str">
        <f ca="1">IF(OR(INDEX($AG$2:$AG$1001,MATCH(ROWS($AF$2:AF174),$AF$2:$AF$1001,0),1)&gt;=100000,INDEX($AM$1005:$BM$1005,1,MATCH(COLUMNS($AM$1006:BL1006),$AM$1006:$BM$1006,0))&gt;=100000), " ",IF(INDEX($AM$2:$BM$1001,MATCH(ROWS($AF$2:AF174),$AF$2:$AF$1001,0),MATCH(COLUMNS($AM$1006:BL1006),$AM$1006:$BM$1006,0)), HYPERLINK("#",""), HYPERLINK(CONCATENATE("#metadata!", ADDRESS(INDEX($AH$2:$AH$1001,MATCH(ROWS($AF$2:AF174),$AF$2:$AF$1001,0),0), INDEX($AM$1004:$BM$1004,1,MATCH(COLUMNS($AM$1006:BL1006),$AM$1006:$BM$1006,0)))),"Fix")))</f>
        <v xml:space="preserve"> </v>
      </c>
      <c r="AB174" s="4" t="str">
        <f ca="1">IF(OR(INDEX($AG$2:$AG$1001,MATCH(ROWS($AF$2:AF174),$AF$2:$AF$1001,0),1)&gt;=100000,INDEX($AM$1005:$BM$1005,1,MATCH(COLUMNS($AM$1006:BM1006),$AM$1006:$BM$1006,0))&gt;=100000), " ",IF(INDEX($AM$2:$BM$1001,MATCH(ROWS($AF$2:AF174),$AF$2:$AF$1001,0),MATCH(COLUMNS($AM$1006:BM1006),$AM$1006:$BM$1006,0)), HYPERLINK("#",""), HYPERLINK(CONCATENATE("#metadata!", ADDRESS(INDEX($AH$2:$AH$1001,MATCH(ROWS($AF$2:AF174),$AF$2:$AF$1001,0),0), INDEX($AM$1004:$BM$1004,1,MATCH(COLUMNS($AM$1006:BM1006),$AM$1006:$BM$1006,0)))),"Fix")))</f>
        <v xml:space="preserve"> </v>
      </c>
      <c r="AF174">
        <v>173</v>
      </c>
      <c r="AG174">
        <v>100174</v>
      </c>
      <c r="AH174">
        <v>174</v>
      </c>
      <c r="AI174" t="b">
        <f t="shared" si="2"/>
        <v>1</v>
      </c>
      <c r="AJ174" t="b">
        <f>COUNTBLANK(metadata!B174:AB174)=COLUMNS(metadata!B174:AB174)</f>
        <v>1</v>
      </c>
      <c r="AK174" t="str">
        <v/>
      </c>
      <c r="AM174" t="b">
        <f ca="1">AND(IF(metadata!B174="",FALSE,TRUE),COUNTIF(metadata!B:B, metadata!B174) = 1,NOT(ISERROR(SUMPRODUCT(SEARCH(MID(metadata!B174,ROW(INDIRECT("1:"&amp;LEN(metadata!B174))), 1),"0123456789abcdefghijklmnopqrstuvwxyzABCDEFGHIJKLMNOPQRSTUVWXYZ.")))))</f>
        <v>0</v>
      </c>
      <c r="AN174" t="b">
        <f ca="1">OR(AND(IF(metadata!C174="",FALSE,TRUE),OR(EXACT(metadata!C174,"missing: not collected"),EXACT(metadata!C174,"missing: not provided"),EXACT(metadata!C174,"missing: restricted access"))),AND(IF(metadata!C174="",FALSE,TRUE),AND(AND(IFERROR(INT(LEFT(metadata!C174,4))&gt;1900,FALSE),IFERROR(INT(LEFT(metadata!C174,4))&lt;=YEAR(NOW()),FALSE)), OR(MID(metadata!C174,5,1)="", AND(AND(MID(metadata!C174,5,1)="-",IFERROR(INT(MID(metadata!C174,6,1))&gt;=0,FALSE),IFERROR(INT(MID(metadata!C174,6,1))&lt;=1,FALSE),NOT(MID(metadata!C174,7,1)=""),IFERROR(INT(MID(metadata!C174,6,2))&gt;=1,FALSE),IFERROR(INT(MID(metadata!C174,6,2))&lt;=12,FALSE)), OR(MID(metadata!C174,8,1)="", AND(AND(MID(metadata!C174,8,1)="-",IFERROR(INT(MID(metadata!C174,9,1))&gt;=0,FALSE),IFERROR(INT(MID(metadata!C174,9,1))&lt;=3,FALSE),NOT(MID(metadata!C174,10,1)=""),IFERROR(INT(MID(metadata!C174,9,2))&gt;=1,FALSE),IFERROR(INT(MID(metadata!C174,9,2))&lt;=31,FALSE)), OR(MID(metadata!C174,11,1)="", AND(AND(MID(metadata!C174,11,1)=" ",IFERROR(INT(MID(metadata!C174,12,1))&gt;=0,FALSE),IFERROR(INT(MID(metadata!C174,12,1))&lt;=2,FALSE),NOT(MID(metadata!C174,13,1)=""),IFERROR(INT(MID(metadata!C174,12,2))&gt;=0,FALSE),IFERROR(INT(MID(metadata!C174,12,2))&lt;=23,FALSE)), OR(MID(metadata!C174,14,1)="", AND(AND(MID(metadata!C174,14,1)=":",IFERROR(INT(MID(metadata!C174,15,1))&gt;=0,FALSE),IFERROR(INT(MID(metadata!C174,15,1))&lt;=5,FALSE),NOT(MID(metadata!C174,16,1)=""),IFERROR(INT(MID(metadata!C174,15,2))&gt;=0,FALSE),IFERROR(INT(MID(metadata!C174,15,2))&lt;=59,FALSE)), OR(MID(metadata!C174,17,1)="", AND(AND(MID(metadata!C174,17,1)=":",IFERROR(INT(MID(metadata!C174,18,1))&gt;=0,FALSE),IFERROR(INT(MID(metadata!C174,18,1))&lt;=5,FALSE),NOT(MID(metadata!C174,19,1)=""),IFERROR(INT(MID(metadata!C174,18,2))&gt;=0,FALSE),IFERROR(INT(MID(metadata!C174,18,2))&lt;=59,FALSE)), LEN(metadata!C174)&lt;=19)))))))))))))</f>
        <v>0</v>
      </c>
      <c r="AO174" t="b">
        <f>AND(IF(metadata!D174="",FALSE,TRUE),EXACT(metadata!D174,"Not applicable"))</f>
        <v>0</v>
      </c>
      <c r="AP174" t="b">
        <f>IF(metadata!E174="",FALSE,TRUE)</f>
        <v>0</v>
      </c>
      <c r="AQ174" t="b">
        <f>OR(AND(IF(metadata!F174="",FALSE,TRUE),OR(EXACT(metadata!F174,"missing: not collected"),EXACT(metadata!F174,"missing: not provided"))),AND(IF(metadata!F174="",FALSE,TRUE),OR(EXACT(metadata!F174,"TRUE"),EXACT(metadata!F174,"FALSE"))))</f>
        <v>0</v>
      </c>
      <c r="AR174" t="b">
        <f>OR(AND(IF(metadata!G174="",FALSE,TRUE),OR(EXACT(metadata!G174,"missing: not collected"),EXACT(metadata!G174,"missing: not provided"),EXACT(metadata!G174,"missing: restricted access"))),AND(IF(metadata!G174="",FALSE,ISNUMBER(VALUE(metadata!G174))),metadata!G174&gt;=-413))</f>
        <v>0</v>
      </c>
      <c r="AS174" t="b">
        <f>AND(IF(metadata!H174="",FALSE,TRUE),EXACT(metadata!H174,"meters"))</f>
        <v>0</v>
      </c>
      <c r="AT174" t="b">
        <f>AND(IF(metadata!I174="",FALSE,TRUE),OR(EXACT(metadata!I174,"Host-associated"),EXACT(metadata!I174,"Free-living")))</f>
        <v>0</v>
      </c>
      <c r="AU174" t="b">
        <f>AND(IF(metadata!J174="",FALSE,TRUE),OR(EXACT(metadata!J174,"Animal"),EXACT(metadata!J174,"Fungus"),EXACT(metadata!J174,"Plant"),EXACT(metadata!J174,"Saline"),EXACT(metadata!J174,"Non-saline")))</f>
        <v>0</v>
      </c>
      <c r="AV174" t="b">
        <f>AND(IF(metadata!K174="",FALSE,TRUE),OR(EXACT(metadata!K174,"Plant secretion"),EXACT(metadata!K174,"Plant rhizosphere"),EXACT(metadata!K174,"Plant surface"),EXACT(metadata!K174,"Plant corpus"),EXACT(metadata!K174,"Fungus surface"),EXACT(metadata!K174,"Fungus corpus"),EXACT(metadata!K174,"Animal surface"),EXACT(metadata!K174,"Animal proximal gut"),EXACT(metadata!K174,"Animal corpus"),EXACT(metadata!K174,"Animal distal gut"),EXACT(metadata!K174,"Animal secretion"),EXACT(metadata!K174,"Sub-surface (non-saline)"),EXACT(metadata!K174,"Surface (non-saline)"),EXACT(metadata!K174,"Water (non-saline)"),EXACT(metadata!K174,"Soil (non-saline)"),EXACT(metadata!K174,"Aerosol (non-saline)"),EXACT(metadata!K174,"Sediment (non-saline)"),EXACT(metadata!K174,"Surface (saline)"),EXACT(metadata!K174,"Water (saline)"),EXACT(metadata!K174,"Hypersaline (saline)"),EXACT(metadata!K174,"Aerosol (saline)"),EXACT(metadata!K174,"Sediment (saline)")))</f>
        <v>0</v>
      </c>
      <c r="AW174" t="b">
        <f>IF(metadata!L174="",FALSE,TRUE)</f>
        <v>0</v>
      </c>
      <c r="AX174" t="b">
        <f>IF(metadata!M174="",FALSE,TRUE)</f>
        <v>0</v>
      </c>
      <c r="AY174" t="b">
        <f>IF(metadata!N174="",FALSE,TRUE)</f>
        <v>0</v>
      </c>
      <c r="AZ174" t="b">
        <f>OR(AND(IF(metadata!O174="",FALSE,TRUE),OR(EXACT(metadata!O174,"missing: not collected"),EXACT(metadata!O174,"missing: not provided"),EXACT(metadata!O174,"missing: restricted access"))),AND(IF(metadata!O174="",FALSE,TRUE),OR(EXACT(metadata!O174,"air"),EXACT(metadata!O174,"built environment"),EXACT(metadata!O174,"host-associated"),EXACT(metadata!O174,"human-associated"),EXACT(metadata!O174,"human-skin"),EXACT(metadata!O174,"human-oral"),EXACT(metadata!O174,"human-gut"),EXACT(metadata!O174,"human-vaginal"),EXACT(metadata!O174,"microbial mat/biofilm"),EXACT(metadata!O174,"misc environment"),EXACT(metadata!O174,"plant-associated"),EXACT(metadata!O174,"sediment"),EXACT(metadata!O174,"soil"),EXACT(metadata!O174,"wastewater/sludge"),EXACT(metadata!O174,"water"))))</f>
        <v>0</v>
      </c>
      <c r="BA174" t="b">
        <f>IF(metadata!P174="",FALSE,TRUE)</f>
        <v>0</v>
      </c>
      <c r="BB174" t="b">
        <f>IF(metadata!Q174="",FALSE,TRUE)</f>
        <v>0</v>
      </c>
      <c r="BC174" t="b">
        <f>OR(AND(IF(metadata!R174="",FALSE,TRUE),OR(EXACT(metadata!R174,"missing: not collected"),EXACT(metadata!R174,"missing: not provided"),EXACT(metadata!R174,"missing: restricted access"))),AND(IF(metadata!R174="",FALSE,ISNUMBER(VALUE(metadata!R174))),metadata!R174&gt;=-90,metadata!R174&lt;=90))</f>
        <v>0</v>
      </c>
      <c r="BD174" t="b">
        <f>AND(IF(metadata!S174="",FALSE,TRUE),EXACT(metadata!S174,"Decimal degrees"))</f>
        <v>0</v>
      </c>
      <c r="BE174" t="b">
        <f>OR(AND(IF(metadata!T174="",FALSE,TRUE),OR(EXACT(metadata!T174,"missing: not collected"),EXACT(metadata!T174,"missing: not provided"),EXACT(metadata!T174,"missing: restricted access"))),AND(IF(metadata!T174="",FALSE,ISNUMBER(VALUE(metadata!T174))),metadata!T174&gt;=-180,metadata!T174&lt;=180))</f>
        <v>0</v>
      </c>
      <c r="BF174" t="b">
        <f>AND(IF(metadata!U174="",FALSE,TRUE),EXACT(metadata!U174,"Decimal degrees"))</f>
        <v>0</v>
      </c>
      <c r="BG174" t="b">
        <f>IF(metadata!V174="",FALSE,TRUE)</f>
        <v>0</v>
      </c>
      <c r="BH174" t="b">
        <f>OR(AND(IF(metadata!W174="",FALSE,TRUE),OR(EXACT(metadata!W174,"missing: not collected"),EXACT(metadata!W174,"missing: not provided"),EXACT(metadata!W174,"missing: restricted access"))),AND(IF(metadata!W174="",FALSE,TRUE),OR(EXACT(metadata!W174,"TRUE"),EXACT(metadata!W174,"FALSE"))))</f>
        <v>0</v>
      </c>
      <c r="BI174" t="b">
        <f>AND(IF(metadata!X174="",FALSE,TRUE),EXACT(metadata!X174,"other"))</f>
        <v>0</v>
      </c>
      <c r="BJ174" t="b">
        <f>IF(metadata!Y174="",FALSE,TRUE)</f>
        <v>0</v>
      </c>
      <c r="BK174" t="b">
        <f>OR(AND(IF(metadata!Z174="",FALSE,TRUE),OR(EXACT(metadata!Z174,"missing: not collected"),EXACT(metadata!Z174,"missing: not provided"))),AND(IF(metadata!Z174="",FALSE,IF(ISERROR(INT(metadata!Z174)),FALSE,INT(metadata!Z174)=metadata!Z174)),metadata!Z174&gt;0))</f>
        <v>0</v>
      </c>
      <c r="BL174" t="b">
        <f>AND(IF(metadata!AA174="",FALSE,TRUE),EXACT(metadata!AA174,"Not applicable"))</f>
        <v>0</v>
      </c>
      <c r="BM174" t="b">
        <f>IF(metadata!AB174="",FALSE,TRUE)</f>
        <v>0</v>
      </c>
    </row>
    <row r="175" spans="1:65" x14ac:dyDescent="0.2">
      <c r="A175" s="5" t="str">
        <f ca="1">IF(B175=" "," ",HYPERLINK(CONCATENATE("#metadata!",ADDRESS(INDEX($AH$2:$AH$1001,MATCH(ROWS($AF$2:AF175),$AF$2:$AF$1001,0),0),1)),INDEX($AK$2:$AK$1001,MATCH(ROWS($AF$2:AF175),$AF$2:$AF$1001,0),0)))</f>
        <v xml:space="preserve"> </v>
      </c>
      <c r="B175" s="4" t="str">
        <f ca="1">IF(OR(INDEX($AG$2:$AG$1001,MATCH(ROWS($AF$2:AF175),$AF$2:$AF$1001,0),1)&gt;=100000,INDEX($AM$1005:$BM$1005,1,MATCH(COLUMNS($AM$1006:AM1006),$AM$1006:$BM$1006,0))&gt;=100000), " ",IF(INDEX($AM$2:$BM$1001,MATCH(ROWS($AF$2:AF175),$AF$2:$AF$1001,0),MATCH(COLUMNS($AM$1006:AM1006),$AM$1006:$BM$1006,0)), HYPERLINK("#",""), HYPERLINK(CONCATENATE("#metadata!", ADDRESS(INDEX($AH$2:$AH$1001,MATCH(ROWS($AF$2:AF175),$AF$2:$AF$1001,0),0), INDEX($AM$1004:$BM$1004,1,MATCH(COLUMNS($AM$1006:AM1006),$AM$1006:$BM$1006,0)))),"Fix")))</f>
        <v xml:space="preserve"> </v>
      </c>
      <c r="C175" s="4" t="str">
        <f ca="1">IF(OR(INDEX($AG$2:$AG$1001,MATCH(ROWS($AF$2:AF175),$AF$2:$AF$1001,0),1)&gt;=100000,INDEX($AM$1005:$BM$1005,1,MATCH(COLUMNS($AM$1006:AN1006),$AM$1006:$BM$1006,0))&gt;=100000), " ",IF(INDEX($AM$2:$BM$1001,MATCH(ROWS($AF$2:AF175),$AF$2:$AF$1001,0),MATCH(COLUMNS($AM$1006:AN1006),$AM$1006:$BM$1006,0)), HYPERLINK("#",""), HYPERLINK(CONCATENATE("#metadata!", ADDRESS(INDEX($AH$2:$AH$1001,MATCH(ROWS($AF$2:AF175),$AF$2:$AF$1001,0),0), INDEX($AM$1004:$BM$1004,1,MATCH(COLUMNS($AM$1006:AN1006),$AM$1006:$BM$1006,0)))),"Fix")))</f>
        <v xml:space="preserve"> </v>
      </c>
      <c r="D175" s="4" t="str">
        <f ca="1">IF(OR(INDEX($AG$2:$AG$1001,MATCH(ROWS($AF$2:AF175),$AF$2:$AF$1001,0),1)&gt;=100000,INDEX($AM$1005:$BM$1005,1,MATCH(COLUMNS($AM$1006:AO1006),$AM$1006:$BM$1006,0))&gt;=100000), " ",IF(INDEX($AM$2:$BM$1001,MATCH(ROWS($AF$2:AF175),$AF$2:$AF$1001,0),MATCH(COLUMNS($AM$1006:AO1006),$AM$1006:$BM$1006,0)), HYPERLINK("#",""), HYPERLINK(CONCATENATE("#metadata!", ADDRESS(INDEX($AH$2:$AH$1001,MATCH(ROWS($AF$2:AF175),$AF$2:$AF$1001,0),0), INDEX($AM$1004:$BM$1004,1,MATCH(COLUMNS($AM$1006:AO1006),$AM$1006:$BM$1006,0)))),"Fix")))</f>
        <v xml:space="preserve"> </v>
      </c>
      <c r="E175" s="4" t="str">
        <f ca="1">IF(OR(INDEX($AG$2:$AG$1001,MATCH(ROWS($AF$2:AF175),$AF$2:$AF$1001,0),1)&gt;=100000,INDEX($AM$1005:$BM$1005,1,MATCH(COLUMNS($AM$1006:AP1006),$AM$1006:$BM$1006,0))&gt;=100000), " ",IF(INDEX($AM$2:$BM$1001,MATCH(ROWS($AF$2:AF175),$AF$2:$AF$1001,0),MATCH(COLUMNS($AM$1006:AP1006),$AM$1006:$BM$1006,0)), HYPERLINK("#",""), HYPERLINK(CONCATENATE("#metadata!", ADDRESS(INDEX($AH$2:$AH$1001,MATCH(ROWS($AF$2:AF175),$AF$2:$AF$1001,0),0), INDEX($AM$1004:$BM$1004,1,MATCH(COLUMNS($AM$1006:AP1006),$AM$1006:$BM$1006,0)))),"Fix")))</f>
        <v xml:space="preserve"> </v>
      </c>
      <c r="F175" s="4" t="str">
        <f ca="1">IF(OR(INDEX($AG$2:$AG$1001,MATCH(ROWS($AF$2:AF175),$AF$2:$AF$1001,0),1)&gt;=100000,INDEX($AM$1005:$BM$1005,1,MATCH(COLUMNS($AM$1006:AQ1006),$AM$1006:$BM$1006,0))&gt;=100000), " ",IF(INDEX($AM$2:$BM$1001,MATCH(ROWS($AF$2:AF175),$AF$2:$AF$1001,0),MATCH(COLUMNS($AM$1006:AQ1006),$AM$1006:$BM$1006,0)), HYPERLINK("#",""), HYPERLINK(CONCATENATE("#metadata!", ADDRESS(INDEX($AH$2:$AH$1001,MATCH(ROWS($AF$2:AF175),$AF$2:$AF$1001,0),0), INDEX($AM$1004:$BM$1004,1,MATCH(COLUMNS($AM$1006:AQ1006),$AM$1006:$BM$1006,0)))),"Fix")))</f>
        <v xml:space="preserve"> </v>
      </c>
      <c r="G175" s="4" t="str">
        <f ca="1">IF(OR(INDEX($AG$2:$AG$1001,MATCH(ROWS($AF$2:AF175),$AF$2:$AF$1001,0),1)&gt;=100000,INDEX($AM$1005:$BM$1005,1,MATCH(COLUMNS($AM$1006:AR1006),$AM$1006:$BM$1006,0))&gt;=100000), " ",IF(INDEX($AM$2:$BM$1001,MATCH(ROWS($AF$2:AF175),$AF$2:$AF$1001,0),MATCH(COLUMNS($AM$1006:AR1006),$AM$1006:$BM$1006,0)), HYPERLINK("#",""), HYPERLINK(CONCATENATE("#metadata!", ADDRESS(INDEX($AH$2:$AH$1001,MATCH(ROWS($AF$2:AF175),$AF$2:$AF$1001,0),0), INDEX($AM$1004:$BM$1004,1,MATCH(COLUMNS($AM$1006:AR1006),$AM$1006:$BM$1006,0)))),"Fix")))</f>
        <v xml:space="preserve"> </v>
      </c>
      <c r="H175" s="4" t="str">
        <f ca="1">IF(OR(INDEX($AG$2:$AG$1001,MATCH(ROWS($AF$2:AF175),$AF$2:$AF$1001,0),1)&gt;=100000,INDEX($AM$1005:$BM$1005,1,MATCH(COLUMNS($AM$1006:AS1006),$AM$1006:$BM$1006,0))&gt;=100000), " ",IF(INDEX($AM$2:$BM$1001,MATCH(ROWS($AF$2:AF175),$AF$2:$AF$1001,0),MATCH(COLUMNS($AM$1006:AS1006),$AM$1006:$BM$1006,0)), HYPERLINK("#",""), HYPERLINK(CONCATENATE("#metadata!", ADDRESS(INDEX($AH$2:$AH$1001,MATCH(ROWS($AF$2:AF175),$AF$2:$AF$1001,0),0), INDEX($AM$1004:$BM$1004,1,MATCH(COLUMNS($AM$1006:AS1006),$AM$1006:$BM$1006,0)))),"Fix")))</f>
        <v xml:space="preserve"> </v>
      </c>
      <c r="I175" s="4" t="str">
        <f ca="1">IF(OR(INDEX($AG$2:$AG$1001,MATCH(ROWS($AF$2:AF175),$AF$2:$AF$1001,0),1)&gt;=100000,INDEX($AM$1005:$BM$1005,1,MATCH(COLUMNS($AM$1006:AT1006),$AM$1006:$BM$1006,0))&gt;=100000), " ",IF(INDEX($AM$2:$BM$1001,MATCH(ROWS($AF$2:AF175),$AF$2:$AF$1001,0),MATCH(COLUMNS($AM$1006:AT1006),$AM$1006:$BM$1006,0)), HYPERLINK("#",""), HYPERLINK(CONCATENATE("#metadata!", ADDRESS(INDEX($AH$2:$AH$1001,MATCH(ROWS($AF$2:AF175),$AF$2:$AF$1001,0),0), INDEX($AM$1004:$BM$1004,1,MATCH(COLUMNS($AM$1006:AT1006),$AM$1006:$BM$1006,0)))),"Fix")))</f>
        <v xml:space="preserve"> </v>
      </c>
      <c r="J175" s="4" t="str">
        <f ca="1">IF(OR(INDEX($AG$2:$AG$1001,MATCH(ROWS($AF$2:AF175),$AF$2:$AF$1001,0),1)&gt;=100000,INDEX($AM$1005:$BM$1005,1,MATCH(COLUMNS($AM$1006:AU1006),$AM$1006:$BM$1006,0))&gt;=100000), " ",IF(INDEX($AM$2:$BM$1001,MATCH(ROWS($AF$2:AF175),$AF$2:$AF$1001,0),MATCH(COLUMNS($AM$1006:AU1006),$AM$1006:$BM$1006,0)), HYPERLINK("#",""), HYPERLINK(CONCATENATE("#metadata!", ADDRESS(INDEX($AH$2:$AH$1001,MATCH(ROWS($AF$2:AF175),$AF$2:$AF$1001,0),0), INDEX($AM$1004:$BM$1004,1,MATCH(COLUMNS($AM$1006:AU1006),$AM$1006:$BM$1006,0)))),"Fix")))</f>
        <v xml:space="preserve"> </v>
      </c>
      <c r="K175" s="4" t="str">
        <f ca="1">IF(OR(INDEX($AG$2:$AG$1001,MATCH(ROWS($AF$2:AF175),$AF$2:$AF$1001,0),1)&gt;=100000,INDEX($AM$1005:$BM$1005,1,MATCH(COLUMNS($AM$1006:AV1006),$AM$1006:$BM$1006,0))&gt;=100000), " ",IF(INDEX($AM$2:$BM$1001,MATCH(ROWS($AF$2:AF175),$AF$2:$AF$1001,0),MATCH(COLUMNS($AM$1006:AV1006),$AM$1006:$BM$1006,0)), HYPERLINK("#",""), HYPERLINK(CONCATENATE("#metadata!", ADDRESS(INDEX($AH$2:$AH$1001,MATCH(ROWS($AF$2:AF175),$AF$2:$AF$1001,0),0), INDEX($AM$1004:$BM$1004,1,MATCH(COLUMNS($AM$1006:AV1006),$AM$1006:$BM$1006,0)))),"Fix")))</f>
        <v xml:space="preserve"> </v>
      </c>
      <c r="L175" s="4" t="str">
        <f ca="1">IF(OR(INDEX($AG$2:$AG$1001,MATCH(ROWS($AF$2:AF175),$AF$2:$AF$1001,0),1)&gt;=100000,INDEX($AM$1005:$BM$1005,1,MATCH(COLUMNS($AM$1006:AW1006),$AM$1006:$BM$1006,0))&gt;=100000), " ",IF(INDEX($AM$2:$BM$1001,MATCH(ROWS($AF$2:AF175),$AF$2:$AF$1001,0),MATCH(COLUMNS($AM$1006:AW1006),$AM$1006:$BM$1006,0)), HYPERLINK("#",""), HYPERLINK(CONCATENATE("#metadata!", ADDRESS(INDEX($AH$2:$AH$1001,MATCH(ROWS($AF$2:AF175),$AF$2:$AF$1001,0),0), INDEX($AM$1004:$BM$1004,1,MATCH(COLUMNS($AM$1006:AW1006),$AM$1006:$BM$1006,0)))),"Fix")))</f>
        <v xml:space="preserve"> </v>
      </c>
      <c r="M175" s="4" t="str">
        <f ca="1">IF(OR(INDEX($AG$2:$AG$1001,MATCH(ROWS($AF$2:AF175),$AF$2:$AF$1001,0),1)&gt;=100000,INDEX($AM$1005:$BM$1005,1,MATCH(COLUMNS($AM$1006:AX1006),$AM$1006:$BM$1006,0))&gt;=100000), " ",IF(INDEX($AM$2:$BM$1001,MATCH(ROWS($AF$2:AF175),$AF$2:$AF$1001,0),MATCH(COLUMNS($AM$1006:AX1006),$AM$1006:$BM$1006,0)), HYPERLINK("#",""), HYPERLINK(CONCATENATE("#metadata!", ADDRESS(INDEX($AH$2:$AH$1001,MATCH(ROWS($AF$2:AF175),$AF$2:$AF$1001,0),0), INDEX($AM$1004:$BM$1004,1,MATCH(COLUMNS($AM$1006:AX1006),$AM$1006:$BM$1006,0)))),"Fix")))</f>
        <v xml:space="preserve"> </v>
      </c>
      <c r="N175" s="4" t="str">
        <f ca="1">IF(OR(INDEX($AG$2:$AG$1001,MATCH(ROWS($AF$2:AF175),$AF$2:$AF$1001,0),1)&gt;=100000,INDEX($AM$1005:$BM$1005,1,MATCH(COLUMNS($AM$1006:AY1006),$AM$1006:$BM$1006,0))&gt;=100000), " ",IF(INDEX($AM$2:$BM$1001,MATCH(ROWS($AF$2:AF175),$AF$2:$AF$1001,0),MATCH(COLUMNS($AM$1006:AY1006),$AM$1006:$BM$1006,0)), HYPERLINK("#",""), HYPERLINK(CONCATENATE("#metadata!", ADDRESS(INDEX($AH$2:$AH$1001,MATCH(ROWS($AF$2:AF175),$AF$2:$AF$1001,0),0), INDEX($AM$1004:$BM$1004,1,MATCH(COLUMNS($AM$1006:AY1006),$AM$1006:$BM$1006,0)))),"Fix")))</f>
        <v xml:space="preserve"> </v>
      </c>
      <c r="O175" s="4" t="str">
        <f ca="1">IF(OR(INDEX($AG$2:$AG$1001,MATCH(ROWS($AF$2:AF175),$AF$2:$AF$1001,0),1)&gt;=100000,INDEX($AM$1005:$BM$1005,1,MATCH(COLUMNS($AM$1006:AZ1006),$AM$1006:$BM$1006,0))&gt;=100000), " ",IF(INDEX($AM$2:$BM$1001,MATCH(ROWS($AF$2:AF175),$AF$2:$AF$1001,0),MATCH(COLUMNS($AM$1006:AZ1006),$AM$1006:$BM$1006,0)), HYPERLINK("#",""), HYPERLINK(CONCATENATE("#metadata!", ADDRESS(INDEX($AH$2:$AH$1001,MATCH(ROWS($AF$2:AF175),$AF$2:$AF$1001,0),0), INDEX($AM$1004:$BM$1004,1,MATCH(COLUMNS($AM$1006:AZ1006),$AM$1006:$BM$1006,0)))),"Fix")))</f>
        <v xml:space="preserve"> </v>
      </c>
      <c r="P175" s="4" t="str">
        <f ca="1">IF(OR(INDEX($AG$2:$AG$1001,MATCH(ROWS($AF$2:AF175),$AF$2:$AF$1001,0),1)&gt;=100000,INDEX($AM$1005:$BM$1005,1,MATCH(COLUMNS($AM$1006:BA1006),$AM$1006:$BM$1006,0))&gt;=100000), " ",IF(INDEX($AM$2:$BM$1001,MATCH(ROWS($AF$2:AF175),$AF$2:$AF$1001,0),MATCH(COLUMNS($AM$1006:BA1006),$AM$1006:$BM$1006,0)), HYPERLINK("#",""), HYPERLINK(CONCATENATE("#metadata!", ADDRESS(INDEX($AH$2:$AH$1001,MATCH(ROWS($AF$2:AF175),$AF$2:$AF$1001,0),0), INDEX($AM$1004:$BM$1004,1,MATCH(COLUMNS($AM$1006:BA1006),$AM$1006:$BM$1006,0)))),"Fix")))</f>
        <v xml:space="preserve"> </v>
      </c>
      <c r="Q175" s="4" t="str">
        <f ca="1">IF(OR(INDEX($AG$2:$AG$1001,MATCH(ROWS($AF$2:AF175),$AF$2:$AF$1001,0),1)&gt;=100000,INDEX($AM$1005:$BM$1005,1,MATCH(COLUMNS($AM$1006:BB1006),$AM$1006:$BM$1006,0))&gt;=100000), " ",IF(INDEX($AM$2:$BM$1001,MATCH(ROWS($AF$2:AF175),$AF$2:$AF$1001,0),MATCH(COLUMNS($AM$1006:BB1006),$AM$1006:$BM$1006,0)), HYPERLINK("#",""), HYPERLINK(CONCATENATE("#metadata!", ADDRESS(INDEX($AH$2:$AH$1001,MATCH(ROWS($AF$2:AF175),$AF$2:$AF$1001,0),0), INDEX($AM$1004:$BM$1004,1,MATCH(COLUMNS($AM$1006:BB1006),$AM$1006:$BM$1006,0)))),"Fix")))</f>
        <v xml:space="preserve"> </v>
      </c>
      <c r="R175" s="4" t="str">
        <f ca="1">IF(OR(INDEX($AG$2:$AG$1001,MATCH(ROWS($AF$2:AF175),$AF$2:$AF$1001,0),1)&gt;=100000,INDEX($AM$1005:$BM$1005,1,MATCH(COLUMNS($AM$1006:BC1006),$AM$1006:$BM$1006,0))&gt;=100000), " ",IF(INDEX($AM$2:$BM$1001,MATCH(ROWS($AF$2:AF175),$AF$2:$AF$1001,0),MATCH(COLUMNS($AM$1006:BC1006),$AM$1006:$BM$1006,0)), HYPERLINK("#",""), HYPERLINK(CONCATENATE("#metadata!", ADDRESS(INDEX($AH$2:$AH$1001,MATCH(ROWS($AF$2:AF175),$AF$2:$AF$1001,0),0), INDEX($AM$1004:$BM$1004,1,MATCH(COLUMNS($AM$1006:BC1006),$AM$1006:$BM$1006,0)))),"Fix")))</f>
        <v xml:space="preserve"> </v>
      </c>
      <c r="S175" s="4" t="str">
        <f ca="1">IF(OR(INDEX($AG$2:$AG$1001,MATCH(ROWS($AF$2:AF175),$AF$2:$AF$1001,0),1)&gt;=100000,INDEX($AM$1005:$BM$1005,1,MATCH(COLUMNS($AM$1006:BD1006),$AM$1006:$BM$1006,0))&gt;=100000), " ",IF(INDEX($AM$2:$BM$1001,MATCH(ROWS($AF$2:AF175),$AF$2:$AF$1001,0),MATCH(COLUMNS($AM$1006:BD1006),$AM$1006:$BM$1006,0)), HYPERLINK("#",""), HYPERLINK(CONCATENATE("#metadata!", ADDRESS(INDEX($AH$2:$AH$1001,MATCH(ROWS($AF$2:AF175),$AF$2:$AF$1001,0),0), INDEX($AM$1004:$BM$1004,1,MATCH(COLUMNS($AM$1006:BD1006),$AM$1006:$BM$1006,0)))),"Fix")))</f>
        <v xml:space="preserve"> </v>
      </c>
      <c r="T175" s="4" t="str">
        <f ca="1">IF(OR(INDEX($AG$2:$AG$1001,MATCH(ROWS($AF$2:AF175),$AF$2:$AF$1001,0),1)&gt;=100000,INDEX($AM$1005:$BM$1005,1,MATCH(COLUMNS($AM$1006:BE1006),$AM$1006:$BM$1006,0))&gt;=100000), " ",IF(INDEX($AM$2:$BM$1001,MATCH(ROWS($AF$2:AF175),$AF$2:$AF$1001,0),MATCH(COLUMNS($AM$1006:BE1006),$AM$1006:$BM$1006,0)), HYPERLINK("#",""), HYPERLINK(CONCATENATE("#metadata!", ADDRESS(INDEX($AH$2:$AH$1001,MATCH(ROWS($AF$2:AF175),$AF$2:$AF$1001,0),0), INDEX($AM$1004:$BM$1004,1,MATCH(COLUMNS($AM$1006:BE1006),$AM$1006:$BM$1006,0)))),"Fix")))</f>
        <v xml:space="preserve"> </v>
      </c>
      <c r="U175" s="4" t="str">
        <f ca="1">IF(OR(INDEX($AG$2:$AG$1001,MATCH(ROWS($AF$2:AF175),$AF$2:$AF$1001,0),1)&gt;=100000,INDEX($AM$1005:$BM$1005,1,MATCH(COLUMNS($AM$1006:BF1006),$AM$1006:$BM$1006,0))&gt;=100000), " ",IF(INDEX($AM$2:$BM$1001,MATCH(ROWS($AF$2:AF175),$AF$2:$AF$1001,0),MATCH(COLUMNS($AM$1006:BF1006),$AM$1006:$BM$1006,0)), HYPERLINK("#",""), HYPERLINK(CONCATENATE("#metadata!", ADDRESS(INDEX($AH$2:$AH$1001,MATCH(ROWS($AF$2:AF175),$AF$2:$AF$1001,0),0), INDEX($AM$1004:$BM$1004,1,MATCH(COLUMNS($AM$1006:BF1006),$AM$1006:$BM$1006,0)))),"Fix")))</f>
        <v xml:space="preserve"> </v>
      </c>
      <c r="V175" s="4" t="str">
        <f ca="1">IF(OR(INDEX($AG$2:$AG$1001,MATCH(ROWS($AF$2:AF175),$AF$2:$AF$1001,0),1)&gt;=100000,INDEX($AM$1005:$BM$1005,1,MATCH(COLUMNS($AM$1006:BG1006),$AM$1006:$BM$1006,0))&gt;=100000), " ",IF(INDEX($AM$2:$BM$1001,MATCH(ROWS($AF$2:AF175),$AF$2:$AF$1001,0),MATCH(COLUMNS($AM$1006:BG1006),$AM$1006:$BM$1006,0)), HYPERLINK("#",""), HYPERLINK(CONCATENATE("#metadata!", ADDRESS(INDEX($AH$2:$AH$1001,MATCH(ROWS($AF$2:AF175),$AF$2:$AF$1001,0),0), INDEX($AM$1004:$BM$1004,1,MATCH(COLUMNS($AM$1006:BG1006),$AM$1006:$BM$1006,0)))),"Fix")))</f>
        <v xml:space="preserve"> </v>
      </c>
      <c r="W175" s="4" t="str">
        <f ca="1">IF(OR(INDEX($AG$2:$AG$1001,MATCH(ROWS($AF$2:AF175),$AF$2:$AF$1001,0),1)&gt;=100000,INDEX($AM$1005:$BM$1005,1,MATCH(COLUMNS($AM$1006:BH1006),$AM$1006:$BM$1006,0))&gt;=100000), " ",IF(INDEX($AM$2:$BM$1001,MATCH(ROWS($AF$2:AF175),$AF$2:$AF$1001,0),MATCH(COLUMNS($AM$1006:BH1006),$AM$1006:$BM$1006,0)), HYPERLINK("#",""), HYPERLINK(CONCATENATE("#metadata!", ADDRESS(INDEX($AH$2:$AH$1001,MATCH(ROWS($AF$2:AF175),$AF$2:$AF$1001,0),0), INDEX($AM$1004:$BM$1004,1,MATCH(COLUMNS($AM$1006:BH1006),$AM$1006:$BM$1006,0)))),"Fix")))</f>
        <v xml:space="preserve"> </v>
      </c>
      <c r="X175" s="4" t="str">
        <f ca="1">IF(OR(INDEX($AG$2:$AG$1001,MATCH(ROWS($AF$2:AF175),$AF$2:$AF$1001,0),1)&gt;=100000,INDEX($AM$1005:$BM$1005,1,MATCH(COLUMNS($AM$1006:BI1006),$AM$1006:$BM$1006,0))&gt;=100000), " ",IF(INDEX($AM$2:$BM$1001,MATCH(ROWS($AF$2:AF175),$AF$2:$AF$1001,0),MATCH(COLUMNS($AM$1006:BI1006),$AM$1006:$BM$1006,0)), HYPERLINK("#",""), HYPERLINK(CONCATENATE("#metadata!", ADDRESS(INDEX($AH$2:$AH$1001,MATCH(ROWS($AF$2:AF175),$AF$2:$AF$1001,0),0), INDEX($AM$1004:$BM$1004,1,MATCH(COLUMNS($AM$1006:BI1006),$AM$1006:$BM$1006,0)))),"Fix")))</f>
        <v xml:space="preserve"> </v>
      </c>
      <c r="Y175" s="4" t="str">
        <f ca="1">IF(OR(INDEX($AG$2:$AG$1001,MATCH(ROWS($AF$2:AF175),$AF$2:$AF$1001,0),1)&gt;=100000,INDEX($AM$1005:$BM$1005,1,MATCH(COLUMNS($AM$1006:BJ1006),$AM$1006:$BM$1006,0))&gt;=100000), " ",IF(INDEX($AM$2:$BM$1001,MATCH(ROWS($AF$2:AF175),$AF$2:$AF$1001,0),MATCH(COLUMNS($AM$1006:BJ1006),$AM$1006:$BM$1006,0)), HYPERLINK("#",""), HYPERLINK(CONCATENATE("#metadata!", ADDRESS(INDEX($AH$2:$AH$1001,MATCH(ROWS($AF$2:AF175),$AF$2:$AF$1001,0),0), INDEX($AM$1004:$BM$1004,1,MATCH(COLUMNS($AM$1006:BJ1006),$AM$1006:$BM$1006,0)))),"Fix")))</f>
        <v xml:space="preserve"> </v>
      </c>
      <c r="Z175" s="4" t="str">
        <f ca="1">IF(OR(INDEX($AG$2:$AG$1001,MATCH(ROWS($AF$2:AF175),$AF$2:$AF$1001,0),1)&gt;=100000,INDEX($AM$1005:$BM$1005,1,MATCH(COLUMNS($AM$1006:BK1006),$AM$1006:$BM$1006,0))&gt;=100000), " ",IF(INDEX($AM$2:$BM$1001,MATCH(ROWS($AF$2:AF175),$AF$2:$AF$1001,0),MATCH(COLUMNS($AM$1006:BK1006),$AM$1006:$BM$1006,0)), HYPERLINK("#",""), HYPERLINK(CONCATENATE("#metadata!", ADDRESS(INDEX($AH$2:$AH$1001,MATCH(ROWS($AF$2:AF175),$AF$2:$AF$1001,0),0), INDEX($AM$1004:$BM$1004,1,MATCH(COLUMNS($AM$1006:BK1006),$AM$1006:$BM$1006,0)))),"Fix")))</f>
        <v xml:space="preserve"> </v>
      </c>
      <c r="AA175" s="4" t="str">
        <f ca="1">IF(OR(INDEX($AG$2:$AG$1001,MATCH(ROWS($AF$2:AF175),$AF$2:$AF$1001,0),1)&gt;=100000,INDEX($AM$1005:$BM$1005,1,MATCH(COLUMNS($AM$1006:BL1006),$AM$1006:$BM$1006,0))&gt;=100000), " ",IF(INDEX($AM$2:$BM$1001,MATCH(ROWS($AF$2:AF175),$AF$2:$AF$1001,0),MATCH(COLUMNS($AM$1006:BL1006),$AM$1006:$BM$1006,0)), HYPERLINK("#",""), HYPERLINK(CONCATENATE("#metadata!", ADDRESS(INDEX($AH$2:$AH$1001,MATCH(ROWS($AF$2:AF175),$AF$2:$AF$1001,0),0), INDEX($AM$1004:$BM$1004,1,MATCH(COLUMNS($AM$1006:BL1006),$AM$1006:$BM$1006,0)))),"Fix")))</f>
        <v xml:space="preserve"> </v>
      </c>
      <c r="AB175" s="4" t="str">
        <f ca="1">IF(OR(INDEX($AG$2:$AG$1001,MATCH(ROWS($AF$2:AF175),$AF$2:$AF$1001,0),1)&gt;=100000,INDEX($AM$1005:$BM$1005,1,MATCH(COLUMNS($AM$1006:BM1006),$AM$1006:$BM$1006,0))&gt;=100000), " ",IF(INDEX($AM$2:$BM$1001,MATCH(ROWS($AF$2:AF175),$AF$2:$AF$1001,0),MATCH(COLUMNS($AM$1006:BM1006),$AM$1006:$BM$1006,0)), HYPERLINK("#",""), HYPERLINK(CONCATENATE("#metadata!", ADDRESS(INDEX($AH$2:$AH$1001,MATCH(ROWS($AF$2:AF175),$AF$2:$AF$1001,0),0), INDEX($AM$1004:$BM$1004,1,MATCH(COLUMNS($AM$1006:BM1006),$AM$1006:$BM$1006,0)))),"Fix")))</f>
        <v xml:space="preserve"> </v>
      </c>
      <c r="AF175">
        <v>174</v>
      </c>
      <c r="AG175">
        <v>100175</v>
      </c>
      <c r="AH175">
        <v>175</v>
      </c>
      <c r="AI175" t="b">
        <f t="shared" si="2"/>
        <v>1</v>
      </c>
      <c r="AJ175" t="b">
        <f>COUNTBLANK(metadata!B175:AB175)=COLUMNS(metadata!B175:AB175)</f>
        <v>1</v>
      </c>
      <c r="AK175" t="str">
        <v/>
      </c>
      <c r="AM175" t="b">
        <f ca="1">AND(IF(metadata!B175="",FALSE,TRUE),COUNTIF(metadata!B:B, metadata!B175) = 1,NOT(ISERROR(SUMPRODUCT(SEARCH(MID(metadata!B175,ROW(INDIRECT("1:"&amp;LEN(metadata!B175))), 1),"0123456789abcdefghijklmnopqrstuvwxyzABCDEFGHIJKLMNOPQRSTUVWXYZ.")))))</f>
        <v>0</v>
      </c>
      <c r="AN175" t="b">
        <f ca="1">OR(AND(IF(metadata!C175="",FALSE,TRUE),OR(EXACT(metadata!C175,"missing: not collected"),EXACT(metadata!C175,"missing: not provided"),EXACT(metadata!C175,"missing: restricted access"))),AND(IF(metadata!C175="",FALSE,TRUE),AND(AND(IFERROR(INT(LEFT(metadata!C175,4))&gt;1900,FALSE),IFERROR(INT(LEFT(metadata!C175,4))&lt;=YEAR(NOW()),FALSE)), OR(MID(metadata!C175,5,1)="", AND(AND(MID(metadata!C175,5,1)="-",IFERROR(INT(MID(metadata!C175,6,1))&gt;=0,FALSE),IFERROR(INT(MID(metadata!C175,6,1))&lt;=1,FALSE),NOT(MID(metadata!C175,7,1)=""),IFERROR(INT(MID(metadata!C175,6,2))&gt;=1,FALSE),IFERROR(INT(MID(metadata!C175,6,2))&lt;=12,FALSE)), OR(MID(metadata!C175,8,1)="", AND(AND(MID(metadata!C175,8,1)="-",IFERROR(INT(MID(metadata!C175,9,1))&gt;=0,FALSE),IFERROR(INT(MID(metadata!C175,9,1))&lt;=3,FALSE),NOT(MID(metadata!C175,10,1)=""),IFERROR(INT(MID(metadata!C175,9,2))&gt;=1,FALSE),IFERROR(INT(MID(metadata!C175,9,2))&lt;=31,FALSE)), OR(MID(metadata!C175,11,1)="", AND(AND(MID(metadata!C175,11,1)=" ",IFERROR(INT(MID(metadata!C175,12,1))&gt;=0,FALSE),IFERROR(INT(MID(metadata!C175,12,1))&lt;=2,FALSE),NOT(MID(metadata!C175,13,1)=""),IFERROR(INT(MID(metadata!C175,12,2))&gt;=0,FALSE),IFERROR(INT(MID(metadata!C175,12,2))&lt;=23,FALSE)), OR(MID(metadata!C175,14,1)="", AND(AND(MID(metadata!C175,14,1)=":",IFERROR(INT(MID(metadata!C175,15,1))&gt;=0,FALSE),IFERROR(INT(MID(metadata!C175,15,1))&lt;=5,FALSE),NOT(MID(metadata!C175,16,1)=""),IFERROR(INT(MID(metadata!C175,15,2))&gt;=0,FALSE),IFERROR(INT(MID(metadata!C175,15,2))&lt;=59,FALSE)), OR(MID(metadata!C175,17,1)="", AND(AND(MID(metadata!C175,17,1)=":",IFERROR(INT(MID(metadata!C175,18,1))&gt;=0,FALSE),IFERROR(INT(MID(metadata!C175,18,1))&lt;=5,FALSE),NOT(MID(metadata!C175,19,1)=""),IFERROR(INT(MID(metadata!C175,18,2))&gt;=0,FALSE),IFERROR(INT(MID(metadata!C175,18,2))&lt;=59,FALSE)), LEN(metadata!C175)&lt;=19)))))))))))))</f>
        <v>0</v>
      </c>
      <c r="AO175" t="b">
        <f>AND(IF(metadata!D175="",FALSE,TRUE),EXACT(metadata!D175,"Not applicable"))</f>
        <v>0</v>
      </c>
      <c r="AP175" t="b">
        <f>IF(metadata!E175="",FALSE,TRUE)</f>
        <v>0</v>
      </c>
      <c r="AQ175" t="b">
        <f>OR(AND(IF(metadata!F175="",FALSE,TRUE),OR(EXACT(metadata!F175,"missing: not collected"),EXACT(metadata!F175,"missing: not provided"))),AND(IF(metadata!F175="",FALSE,TRUE),OR(EXACT(metadata!F175,"TRUE"),EXACT(metadata!F175,"FALSE"))))</f>
        <v>0</v>
      </c>
      <c r="AR175" t="b">
        <f>OR(AND(IF(metadata!G175="",FALSE,TRUE),OR(EXACT(metadata!G175,"missing: not collected"),EXACT(metadata!G175,"missing: not provided"),EXACT(metadata!G175,"missing: restricted access"))),AND(IF(metadata!G175="",FALSE,ISNUMBER(VALUE(metadata!G175))),metadata!G175&gt;=-413))</f>
        <v>0</v>
      </c>
      <c r="AS175" t="b">
        <f>AND(IF(metadata!H175="",FALSE,TRUE),EXACT(metadata!H175,"meters"))</f>
        <v>0</v>
      </c>
      <c r="AT175" t="b">
        <f>AND(IF(metadata!I175="",FALSE,TRUE),OR(EXACT(metadata!I175,"Host-associated"),EXACT(metadata!I175,"Free-living")))</f>
        <v>0</v>
      </c>
      <c r="AU175" t="b">
        <f>AND(IF(metadata!J175="",FALSE,TRUE),OR(EXACT(metadata!J175,"Animal"),EXACT(metadata!J175,"Fungus"),EXACT(metadata!J175,"Plant"),EXACT(metadata!J175,"Saline"),EXACT(metadata!J175,"Non-saline")))</f>
        <v>0</v>
      </c>
      <c r="AV175" t="b">
        <f>AND(IF(metadata!K175="",FALSE,TRUE),OR(EXACT(metadata!K175,"Plant secretion"),EXACT(metadata!K175,"Plant rhizosphere"),EXACT(metadata!K175,"Plant surface"),EXACT(metadata!K175,"Plant corpus"),EXACT(metadata!K175,"Fungus surface"),EXACT(metadata!K175,"Fungus corpus"),EXACT(metadata!K175,"Animal surface"),EXACT(metadata!K175,"Animal proximal gut"),EXACT(metadata!K175,"Animal corpus"),EXACT(metadata!K175,"Animal distal gut"),EXACT(metadata!K175,"Animal secretion"),EXACT(metadata!K175,"Sub-surface (non-saline)"),EXACT(metadata!K175,"Surface (non-saline)"),EXACT(metadata!K175,"Water (non-saline)"),EXACT(metadata!K175,"Soil (non-saline)"),EXACT(metadata!K175,"Aerosol (non-saline)"),EXACT(metadata!K175,"Sediment (non-saline)"),EXACT(metadata!K175,"Surface (saline)"),EXACT(metadata!K175,"Water (saline)"),EXACT(metadata!K175,"Hypersaline (saline)"),EXACT(metadata!K175,"Aerosol (saline)"),EXACT(metadata!K175,"Sediment (saline)")))</f>
        <v>0</v>
      </c>
      <c r="AW175" t="b">
        <f>IF(metadata!L175="",FALSE,TRUE)</f>
        <v>0</v>
      </c>
      <c r="AX175" t="b">
        <f>IF(metadata!M175="",FALSE,TRUE)</f>
        <v>0</v>
      </c>
      <c r="AY175" t="b">
        <f>IF(metadata!N175="",FALSE,TRUE)</f>
        <v>0</v>
      </c>
      <c r="AZ175" t="b">
        <f>OR(AND(IF(metadata!O175="",FALSE,TRUE),OR(EXACT(metadata!O175,"missing: not collected"),EXACT(metadata!O175,"missing: not provided"),EXACT(metadata!O175,"missing: restricted access"))),AND(IF(metadata!O175="",FALSE,TRUE),OR(EXACT(metadata!O175,"air"),EXACT(metadata!O175,"built environment"),EXACT(metadata!O175,"host-associated"),EXACT(metadata!O175,"human-associated"),EXACT(metadata!O175,"human-skin"),EXACT(metadata!O175,"human-oral"),EXACT(metadata!O175,"human-gut"),EXACT(metadata!O175,"human-vaginal"),EXACT(metadata!O175,"microbial mat/biofilm"),EXACT(metadata!O175,"misc environment"),EXACT(metadata!O175,"plant-associated"),EXACT(metadata!O175,"sediment"),EXACT(metadata!O175,"soil"),EXACT(metadata!O175,"wastewater/sludge"),EXACT(metadata!O175,"water"))))</f>
        <v>0</v>
      </c>
      <c r="BA175" t="b">
        <f>IF(metadata!P175="",FALSE,TRUE)</f>
        <v>0</v>
      </c>
      <c r="BB175" t="b">
        <f>IF(metadata!Q175="",FALSE,TRUE)</f>
        <v>0</v>
      </c>
      <c r="BC175" t="b">
        <f>OR(AND(IF(metadata!R175="",FALSE,TRUE),OR(EXACT(metadata!R175,"missing: not collected"),EXACT(metadata!R175,"missing: not provided"),EXACT(metadata!R175,"missing: restricted access"))),AND(IF(metadata!R175="",FALSE,ISNUMBER(VALUE(metadata!R175))),metadata!R175&gt;=-90,metadata!R175&lt;=90))</f>
        <v>0</v>
      </c>
      <c r="BD175" t="b">
        <f>AND(IF(metadata!S175="",FALSE,TRUE),EXACT(metadata!S175,"Decimal degrees"))</f>
        <v>0</v>
      </c>
      <c r="BE175" t="b">
        <f>OR(AND(IF(metadata!T175="",FALSE,TRUE),OR(EXACT(metadata!T175,"missing: not collected"),EXACT(metadata!T175,"missing: not provided"),EXACT(metadata!T175,"missing: restricted access"))),AND(IF(metadata!T175="",FALSE,ISNUMBER(VALUE(metadata!T175))),metadata!T175&gt;=-180,metadata!T175&lt;=180))</f>
        <v>0</v>
      </c>
      <c r="BF175" t="b">
        <f>AND(IF(metadata!U175="",FALSE,TRUE),EXACT(metadata!U175,"Decimal degrees"))</f>
        <v>0</v>
      </c>
      <c r="BG175" t="b">
        <f>IF(metadata!V175="",FALSE,TRUE)</f>
        <v>0</v>
      </c>
      <c r="BH175" t="b">
        <f>OR(AND(IF(metadata!W175="",FALSE,TRUE),OR(EXACT(metadata!W175,"missing: not collected"),EXACT(metadata!W175,"missing: not provided"),EXACT(metadata!W175,"missing: restricted access"))),AND(IF(metadata!W175="",FALSE,TRUE),OR(EXACT(metadata!W175,"TRUE"),EXACT(metadata!W175,"FALSE"))))</f>
        <v>0</v>
      </c>
      <c r="BI175" t="b">
        <f>AND(IF(metadata!X175="",FALSE,TRUE),EXACT(metadata!X175,"other"))</f>
        <v>0</v>
      </c>
      <c r="BJ175" t="b">
        <f>IF(metadata!Y175="",FALSE,TRUE)</f>
        <v>0</v>
      </c>
      <c r="BK175" t="b">
        <f>OR(AND(IF(metadata!Z175="",FALSE,TRUE),OR(EXACT(metadata!Z175,"missing: not collected"),EXACT(metadata!Z175,"missing: not provided"))),AND(IF(metadata!Z175="",FALSE,IF(ISERROR(INT(metadata!Z175)),FALSE,INT(metadata!Z175)=metadata!Z175)),metadata!Z175&gt;0))</f>
        <v>0</v>
      </c>
      <c r="BL175" t="b">
        <f>AND(IF(metadata!AA175="",FALSE,TRUE),EXACT(metadata!AA175,"Not applicable"))</f>
        <v>0</v>
      </c>
      <c r="BM175" t="b">
        <f>IF(metadata!AB175="",FALSE,TRUE)</f>
        <v>0</v>
      </c>
    </row>
    <row r="176" spans="1:65" x14ac:dyDescent="0.2">
      <c r="A176" s="5" t="str">
        <f ca="1">IF(B176=" "," ",HYPERLINK(CONCATENATE("#metadata!",ADDRESS(INDEX($AH$2:$AH$1001,MATCH(ROWS($AF$2:AF176),$AF$2:$AF$1001,0),0),1)),INDEX($AK$2:$AK$1001,MATCH(ROWS($AF$2:AF176),$AF$2:$AF$1001,0),0)))</f>
        <v xml:space="preserve"> </v>
      </c>
      <c r="B176" s="4" t="str">
        <f ca="1">IF(OR(INDEX($AG$2:$AG$1001,MATCH(ROWS($AF$2:AF176),$AF$2:$AF$1001,0),1)&gt;=100000,INDEX($AM$1005:$BM$1005,1,MATCH(COLUMNS($AM$1006:AM1006),$AM$1006:$BM$1006,0))&gt;=100000), " ",IF(INDEX($AM$2:$BM$1001,MATCH(ROWS($AF$2:AF176),$AF$2:$AF$1001,0),MATCH(COLUMNS($AM$1006:AM1006),$AM$1006:$BM$1006,0)), HYPERLINK("#",""), HYPERLINK(CONCATENATE("#metadata!", ADDRESS(INDEX($AH$2:$AH$1001,MATCH(ROWS($AF$2:AF176),$AF$2:$AF$1001,0),0), INDEX($AM$1004:$BM$1004,1,MATCH(COLUMNS($AM$1006:AM1006),$AM$1006:$BM$1006,0)))),"Fix")))</f>
        <v xml:space="preserve"> </v>
      </c>
      <c r="C176" s="4" t="str">
        <f ca="1">IF(OR(INDEX($AG$2:$AG$1001,MATCH(ROWS($AF$2:AF176),$AF$2:$AF$1001,0),1)&gt;=100000,INDEX($AM$1005:$BM$1005,1,MATCH(COLUMNS($AM$1006:AN1006),$AM$1006:$BM$1006,0))&gt;=100000), " ",IF(INDEX($AM$2:$BM$1001,MATCH(ROWS($AF$2:AF176),$AF$2:$AF$1001,0),MATCH(COLUMNS($AM$1006:AN1006),$AM$1006:$BM$1006,0)), HYPERLINK("#",""), HYPERLINK(CONCATENATE("#metadata!", ADDRESS(INDEX($AH$2:$AH$1001,MATCH(ROWS($AF$2:AF176),$AF$2:$AF$1001,0),0), INDEX($AM$1004:$BM$1004,1,MATCH(COLUMNS($AM$1006:AN1006),$AM$1006:$BM$1006,0)))),"Fix")))</f>
        <v xml:space="preserve"> </v>
      </c>
      <c r="D176" s="4" t="str">
        <f ca="1">IF(OR(INDEX($AG$2:$AG$1001,MATCH(ROWS($AF$2:AF176),$AF$2:$AF$1001,0),1)&gt;=100000,INDEX($AM$1005:$BM$1005,1,MATCH(COLUMNS($AM$1006:AO1006),$AM$1006:$BM$1006,0))&gt;=100000), " ",IF(INDEX($AM$2:$BM$1001,MATCH(ROWS($AF$2:AF176),$AF$2:$AF$1001,0),MATCH(COLUMNS($AM$1006:AO1006),$AM$1006:$BM$1006,0)), HYPERLINK("#",""), HYPERLINK(CONCATENATE("#metadata!", ADDRESS(INDEX($AH$2:$AH$1001,MATCH(ROWS($AF$2:AF176),$AF$2:$AF$1001,0),0), INDEX($AM$1004:$BM$1004,1,MATCH(COLUMNS($AM$1006:AO1006),$AM$1006:$BM$1006,0)))),"Fix")))</f>
        <v xml:space="preserve"> </v>
      </c>
      <c r="E176" s="4" t="str">
        <f ca="1">IF(OR(INDEX($AG$2:$AG$1001,MATCH(ROWS($AF$2:AF176),$AF$2:$AF$1001,0),1)&gt;=100000,INDEX($AM$1005:$BM$1005,1,MATCH(COLUMNS($AM$1006:AP1006),$AM$1006:$BM$1006,0))&gt;=100000), " ",IF(INDEX($AM$2:$BM$1001,MATCH(ROWS($AF$2:AF176),$AF$2:$AF$1001,0),MATCH(COLUMNS($AM$1006:AP1006),$AM$1006:$BM$1006,0)), HYPERLINK("#",""), HYPERLINK(CONCATENATE("#metadata!", ADDRESS(INDEX($AH$2:$AH$1001,MATCH(ROWS($AF$2:AF176),$AF$2:$AF$1001,0),0), INDEX($AM$1004:$BM$1004,1,MATCH(COLUMNS($AM$1006:AP1006),$AM$1006:$BM$1006,0)))),"Fix")))</f>
        <v xml:space="preserve"> </v>
      </c>
      <c r="F176" s="4" t="str">
        <f ca="1">IF(OR(INDEX($AG$2:$AG$1001,MATCH(ROWS($AF$2:AF176),$AF$2:$AF$1001,0),1)&gt;=100000,INDEX($AM$1005:$BM$1005,1,MATCH(COLUMNS($AM$1006:AQ1006),$AM$1006:$BM$1006,0))&gt;=100000), " ",IF(INDEX($AM$2:$BM$1001,MATCH(ROWS($AF$2:AF176),$AF$2:$AF$1001,0),MATCH(COLUMNS($AM$1006:AQ1006),$AM$1006:$BM$1006,0)), HYPERLINK("#",""), HYPERLINK(CONCATENATE("#metadata!", ADDRESS(INDEX($AH$2:$AH$1001,MATCH(ROWS($AF$2:AF176),$AF$2:$AF$1001,0),0), INDEX($AM$1004:$BM$1004,1,MATCH(COLUMNS($AM$1006:AQ1006),$AM$1006:$BM$1006,0)))),"Fix")))</f>
        <v xml:space="preserve"> </v>
      </c>
      <c r="G176" s="4" t="str">
        <f ca="1">IF(OR(INDEX($AG$2:$AG$1001,MATCH(ROWS($AF$2:AF176),$AF$2:$AF$1001,0),1)&gt;=100000,INDEX($AM$1005:$BM$1005,1,MATCH(COLUMNS($AM$1006:AR1006),$AM$1006:$BM$1006,0))&gt;=100000), " ",IF(INDEX($AM$2:$BM$1001,MATCH(ROWS($AF$2:AF176),$AF$2:$AF$1001,0),MATCH(COLUMNS($AM$1006:AR1006),$AM$1006:$BM$1006,0)), HYPERLINK("#",""), HYPERLINK(CONCATENATE("#metadata!", ADDRESS(INDEX($AH$2:$AH$1001,MATCH(ROWS($AF$2:AF176),$AF$2:$AF$1001,0),0), INDEX($AM$1004:$BM$1004,1,MATCH(COLUMNS($AM$1006:AR1006),$AM$1006:$BM$1006,0)))),"Fix")))</f>
        <v xml:space="preserve"> </v>
      </c>
      <c r="H176" s="4" t="str">
        <f ca="1">IF(OR(INDEX($AG$2:$AG$1001,MATCH(ROWS($AF$2:AF176),$AF$2:$AF$1001,0),1)&gt;=100000,INDEX($AM$1005:$BM$1005,1,MATCH(COLUMNS($AM$1006:AS1006),$AM$1006:$BM$1006,0))&gt;=100000), " ",IF(INDEX($AM$2:$BM$1001,MATCH(ROWS($AF$2:AF176),$AF$2:$AF$1001,0),MATCH(COLUMNS($AM$1006:AS1006),$AM$1006:$BM$1006,0)), HYPERLINK("#",""), HYPERLINK(CONCATENATE("#metadata!", ADDRESS(INDEX($AH$2:$AH$1001,MATCH(ROWS($AF$2:AF176),$AF$2:$AF$1001,0),0), INDEX($AM$1004:$BM$1004,1,MATCH(COLUMNS($AM$1006:AS1006),$AM$1006:$BM$1006,0)))),"Fix")))</f>
        <v xml:space="preserve"> </v>
      </c>
      <c r="I176" s="4" t="str">
        <f ca="1">IF(OR(INDEX($AG$2:$AG$1001,MATCH(ROWS($AF$2:AF176),$AF$2:$AF$1001,0),1)&gt;=100000,INDEX($AM$1005:$BM$1005,1,MATCH(COLUMNS($AM$1006:AT1006),$AM$1006:$BM$1006,0))&gt;=100000), " ",IF(INDEX($AM$2:$BM$1001,MATCH(ROWS($AF$2:AF176),$AF$2:$AF$1001,0),MATCH(COLUMNS($AM$1006:AT1006),$AM$1006:$BM$1006,0)), HYPERLINK("#",""), HYPERLINK(CONCATENATE("#metadata!", ADDRESS(INDEX($AH$2:$AH$1001,MATCH(ROWS($AF$2:AF176),$AF$2:$AF$1001,0),0), INDEX($AM$1004:$BM$1004,1,MATCH(COLUMNS($AM$1006:AT1006),$AM$1006:$BM$1006,0)))),"Fix")))</f>
        <v xml:space="preserve"> </v>
      </c>
      <c r="J176" s="4" t="str">
        <f ca="1">IF(OR(INDEX($AG$2:$AG$1001,MATCH(ROWS($AF$2:AF176),$AF$2:$AF$1001,0),1)&gt;=100000,INDEX($AM$1005:$BM$1005,1,MATCH(COLUMNS($AM$1006:AU1006),$AM$1006:$BM$1006,0))&gt;=100000), " ",IF(INDEX($AM$2:$BM$1001,MATCH(ROWS($AF$2:AF176),$AF$2:$AF$1001,0),MATCH(COLUMNS($AM$1006:AU1006),$AM$1006:$BM$1006,0)), HYPERLINK("#",""), HYPERLINK(CONCATENATE("#metadata!", ADDRESS(INDEX($AH$2:$AH$1001,MATCH(ROWS($AF$2:AF176),$AF$2:$AF$1001,0),0), INDEX($AM$1004:$BM$1004,1,MATCH(COLUMNS($AM$1006:AU1006),$AM$1006:$BM$1006,0)))),"Fix")))</f>
        <v xml:space="preserve"> </v>
      </c>
      <c r="K176" s="4" t="str">
        <f ca="1">IF(OR(INDEX($AG$2:$AG$1001,MATCH(ROWS($AF$2:AF176),$AF$2:$AF$1001,0),1)&gt;=100000,INDEX($AM$1005:$BM$1005,1,MATCH(COLUMNS($AM$1006:AV1006),$AM$1006:$BM$1006,0))&gt;=100000), " ",IF(INDEX($AM$2:$BM$1001,MATCH(ROWS($AF$2:AF176),$AF$2:$AF$1001,0),MATCH(COLUMNS($AM$1006:AV1006),$AM$1006:$BM$1006,0)), HYPERLINK("#",""), HYPERLINK(CONCATENATE("#metadata!", ADDRESS(INDEX($AH$2:$AH$1001,MATCH(ROWS($AF$2:AF176),$AF$2:$AF$1001,0),0), INDEX($AM$1004:$BM$1004,1,MATCH(COLUMNS($AM$1006:AV1006),$AM$1006:$BM$1006,0)))),"Fix")))</f>
        <v xml:space="preserve"> </v>
      </c>
      <c r="L176" s="4" t="str">
        <f ca="1">IF(OR(INDEX($AG$2:$AG$1001,MATCH(ROWS($AF$2:AF176),$AF$2:$AF$1001,0),1)&gt;=100000,INDEX($AM$1005:$BM$1005,1,MATCH(COLUMNS($AM$1006:AW1006),$AM$1006:$BM$1006,0))&gt;=100000), " ",IF(INDEX($AM$2:$BM$1001,MATCH(ROWS($AF$2:AF176),$AF$2:$AF$1001,0),MATCH(COLUMNS($AM$1006:AW1006),$AM$1006:$BM$1006,0)), HYPERLINK("#",""), HYPERLINK(CONCATENATE("#metadata!", ADDRESS(INDEX($AH$2:$AH$1001,MATCH(ROWS($AF$2:AF176),$AF$2:$AF$1001,0),0), INDEX($AM$1004:$BM$1004,1,MATCH(COLUMNS($AM$1006:AW1006),$AM$1006:$BM$1006,0)))),"Fix")))</f>
        <v xml:space="preserve"> </v>
      </c>
      <c r="M176" s="4" t="str">
        <f ca="1">IF(OR(INDEX($AG$2:$AG$1001,MATCH(ROWS($AF$2:AF176),$AF$2:$AF$1001,0),1)&gt;=100000,INDEX($AM$1005:$BM$1005,1,MATCH(COLUMNS($AM$1006:AX1006),$AM$1006:$BM$1006,0))&gt;=100000), " ",IF(INDEX($AM$2:$BM$1001,MATCH(ROWS($AF$2:AF176),$AF$2:$AF$1001,0),MATCH(COLUMNS($AM$1006:AX1006),$AM$1006:$BM$1006,0)), HYPERLINK("#",""), HYPERLINK(CONCATENATE("#metadata!", ADDRESS(INDEX($AH$2:$AH$1001,MATCH(ROWS($AF$2:AF176),$AF$2:$AF$1001,0),0), INDEX($AM$1004:$BM$1004,1,MATCH(COLUMNS($AM$1006:AX1006),$AM$1006:$BM$1006,0)))),"Fix")))</f>
        <v xml:space="preserve"> </v>
      </c>
      <c r="N176" s="4" t="str">
        <f ca="1">IF(OR(INDEX($AG$2:$AG$1001,MATCH(ROWS($AF$2:AF176),$AF$2:$AF$1001,0),1)&gt;=100000,INDEX($AM$1005:$BM$1005,1,MATCH(COLUMNS($AM$1006:AY1006),$AM$1006:$BM$1006,0))&gt;=100000), " ",IF(INDEX($AM$2:$BM$1001,MATCH(ROWS($AF$2:AF176),$AF$2:$AF$1001,0),MATCH(COLUMNS($AM$1006:AY1006),$AM$1006:$BM$1006,0)), HYPERLINK("#",""), HYPERLINK(CONCATENATE("#metadata!", ADDRESS(INDEX($AH$2:$AH$1001,MATCH(ROWS($AF$2:AF176),$AF$2:$AF$1001,0),0), INDEX($AM$1004:$BM$1004,1,MATCH(COLUMNS($AM$1006:AY1006),$AM$1006:$BM$1006,0)))),"Fix")))</f>
        <v xml:space="preserve"> </v>
      </c>
      <c r="O176" s="4" t="str">
        <f ca="1">IF(OR(INDEX($AG$2:$AG$1001,MATCH(ROWS($AF$2:AF176),$AF$2:$AF$1001,0),1)&gt;=100000,INDEX($AM$1005:$BM$1005,1,MATCH(COLUMNS($AM$1006:AZ1006),$AM$1006:$BM$1006,0))&gt;=100000), " ",IF(INDEX($AM$2:$BM$1001,MATCH(ROWS($AF$2:AF176),$AF$2:$AF$1001,0),MATCH(COLUMNS($AM$1006:AZ1006),$AM$1006:$BM$1006,0)), HYPERLINK("#",""), HYPERLINK(CONCATENATE("#metadata!", ADDRESS(INDEX($AH$2:$AH$1001,MATCH(ROWS($AF$2:AF176),$AF$2:$AF$1001,0),0), INDEX($AM$1004:$BM$1004,1,MATCH(COLUMNS($AM$1006:AZ1006),$AM$1006:$BM$1006,0)))),"Fix")))</f>
        <v xml:space="preserve"> </v>
      </c>
      <c r="P176" s="4" t="str">
        <f ca="1">IF(OR(INDEX($AG$2:$AG$1001,MATCH(ROWS($AF$2:AF176),$AF$2:$AF$1001,0),1)&gt;=100000,INDEX($AM$1005:$BM$1005,1,MATCH(COLUMNS($AM$1006:BA1006),$AM$1006:$BM$1006,0))&gt;=100000), " ",IF(INDEX($AM$2:$BM$1001,MATCH(ROWS($AF$2:AF176),$AF$2:$AF$1001,0),MATCH(COLUMNS($AM$1006:BA1006),$AM$1006:$BM$1006,0)), HYPERLINK("#",""), HYPERLINK(CONCATENATE("#metadata!", ADDRESS(INDEX($AH$2:$AH$1001,MATCH(ROWS($AF$2:AF176),$AF$2:$AF$1001,0),0), INDEX($AM$1004:$BM$1004,1,MATCH(COLUMNS($AM$1006:BA1006),$AM$1006:$BM$1006,0)))),"Fix")))</f>
        <v xml:space="preserve"> </v>
      </c>
      <c r="Q176" s="4" t="str">
        <f ca="1">IF(OR(INDEX($AG$2:$AG$1001,MATCH(ROWS($AF$2:AF176),$AF$2:$AF$1001,0),1)&gt;=100000,INDEX($AM$1005:$BM$1005,1,MATCH(COLUMNS($AM$1006:BB1006),$AM$1006:$BM$1006,0))&gt;=100000), " ",IF(INDEX($AM$2:$BM$1001,MATCH(ROWS($AF$2:AF176),$AF$2:$AF$1001,0),MATCH(COLUMNS($AM$1006:BB1006),$AM$1006:$BM$1006,0)), HYPERLINK("#",""), HYPERLINK(CONCATENATE("#metadata!", ADDRESS(INDEX($AH$2:$AH$1001,MATCH(ROWS($AF$2:AF176),$AF$2:$AF$1001,0),0), INDEX($AM$1004:$BM$1004,1,MATCH(COLUMNS($AM$1006:BB1006),$AM$1006:$BM$1006,0)))),"Fix")))</f>
        <v xml:space="preserve"> </v>
      </c>
      <c r="R176" s="4" t="str">
        <f ca="1">IF(OR(INDEX($AG$2:$AG$1001,MATCH(ROWS($AF$2:AF176),$AF$2:$AF$1001,0),1)&gt;=100000,INDEX($AM$1005:$BM$1005,1,MATCH(COLUMNS($AM$1006:BC1006),$AM$1006:$BM$1006,0))&gt;=100000), " ",IF(INDEX($AM$2:$BM$1001,MATCH(ROWS($AF$2:AF176),$AF$2:$AF$1001,0),MATCH(COLUMNS($AM$1006:BC1006),$AM$1006:$BM$1006,0)), HYPERLINK("#",""), HYPERLINK(CONCATENATE("#metadata!", ADDRESS(INDEX($AH$2:$AH$1001,MATCH(ROWS($AF$2:AF176),$AF$2:$AF$1001,0),0), INDEX($AM$1004:$BM$1004,1,MATCH(COLUMNS($AM$1006:BC1006),$AM$1006:$BM$1006,0)))),"Fix")))</f>
        <v xml:space="preserve"> </v>
      </c>
      <c r="S176" s="4" t="str">
        <f ca="1">IF(OR(INDEX($AG$2:$AG$1001,MATCH(ROWS($AF$2:AF176),$AF$2:$AF$1001,0),1)&gt;=100000,INDEX($AM$1005:$BM$1005,1,MATCH(COLUMNS($AM$1006:BD1006),$AM$1006:$BM$1006,0))&gt;=100000), " ",IF(INDEX($AM$2:$BM$1001,MATCH(ROWS($AF$2:AF176),$AF$2:$AF$1001,0),MATCH(COLUMNS($AM$1006:BD1006),$AM$1006:$BM$1006,0)), HYPERLINK("#",""), HYPERLINK(CONCATENATE("#metadata!", ADDRESS(INDEX($AH$2:$AH$1001,MATCH(ROWS($AF$2:AF176),$AF$2:$AF$1001,0),0), INDEX($AM$1004:$BM$1004,1,MATCH(COLUMNS($AM$1006:BD1006),$AM$1006:$BM$1006,0)))),"Fix")))</f>
        <v xml:space="preserve"> </v>
      </c>
      <c r="T176" s="4" t="str">
        <f ca="1">IF(OR(INDEX($AG$2:$AG$1001,MATCH(ROWS($AF$2:AF176),$AF$2:$AF$1001,0),1)&gt;=100000,INDEX($AM$1005:$BM$1005,1,MATCH(COLUMNS($AM$1006:BE1006),$AM$1006:$BM$1006,0))&gt;=100000), " ",IF(INDEX($AM$2:$BM$1001,MATCH(ROWS($AF$2:AF176),$AF$2:$AF$1001,0),MATCH(COLUMNS($AM$1006:BE1006),$AM$1006:$BM$1006,0)), HYPERLINK("#",""), HYPERLINK(CONCATENATE("#metadata!", ADDRESS(INDEX($AH$2:$AH$1001,MATCH(ROWS($AF$2:AF176),$AF$2:$AF$1001,0),0), INDEX($AM$1004:$BM$1004,1,MATCH(COLUMNS($AM$1006:BE1006),$AM$1006:$BM$1006,0)))),"Fix")))</f>
        <v xml:space="preserve"> </v>
      </c>
      <c r="U176" s="4" t="str">
        <f ca="1">IF(OR(INDEX($AG$2:$AG$1001,MATCH(ROWS($AF$2:AF176),$AF$2:$AF$1001,0),1)&gt;=100000,INDEX($AM$1005:$BM$1005,1,MATCH(COLUMNS($AM$1006:BF1006),$AM$1006:$BM$1006,0))&gt;=100000), " ",IF(INDEX($AM$2:$BM$1001,MATCH(ROWS($AF$2:AF176),$AF$2:$AF$1001,0),MATCH(COLUMNS($AM$1006:BF1006),$AM$1006:$BM$1006,0)), HYPERLINK("#",""), HYPERLINK(CONCATENATE("#metadata!", ADDRESS(INDEX($AH$2:$AH$1001,MATCH(ROWS($AF$2:AF176),$AF$2:$AF$1001,0),0), INDEX($AM$1004:$BM$1004,1,MATCH(COLUMNS($AM$1006:BF1006),$AM$1006:$BM$1006,0)))),"Fix")))</f>
        <v xml:space="preserve"> </v>
      </c>
      <c r="V176" s="4" t="str">
        <f ca="1">IF(OR(INDEX($AG$2:$AG$1001,MATCH(ROWS($AF$2:AF176),$AF$2:$AF$1001,0),1)&gt;=100000,INDEX($AM$1005:$BM$1005,1,MATCH(COLUMNS($AM$1006:BG1006),$AM$1006:$BM$1006,0))&gt;=100000), " ",IF(INDEX($AM$2:$BM$1001,MATCH(ROWS($AF$2:AF176),$AF$2:$AF$1001,0),MATCH(COLUMNS($AM$1006:BG1006),$AM$1006:$BM$1006,0)), HYPERLINK("#",""), HYPERLINK(CONCATENATE("#metadata!", ADDRESS(INDEX($AH$2:$AH$1001,MATCH(ROWS($AF$2:AF176),$AF$2:$AF$1001,0),0), INDEX($AM$1004:$BM$1004,1,MATCH(COLUMNS($AM$1006:BG1006),$AM$1006:$BM$1006,0)))),"Fix")))</f>
        <v xml:space="preserve"> </v>
      </c>
      <c r="W176" s="4" t="str">
        <f ca="1">IF(OR(INDEX($AG$2:$AG$1001,MATCH(ROWS($AF$2:AF176),$AF$2:$AF$1001,0),1)&gt;=100000,INDEX($AM$1005:$BM$1005,1,MATCH(COLUMNS($AM$1006:BH1006),$AM$1006:$BM$1006,0))&gt;=100000), " ",IF(INDEX($AM$2:$BM$1001,MATCH(ROWS($AF$2:AF176),$AF$2:$AF$1001,0),MATCH(COLUMNS($AM$1006:BH1006),$AM$1006:$BM$1006,0)), HYPERLINK("#",""), HYPERLINK(CONCATENATE("#metadata!", ADDRESS(INDEX($AH$2:$AH$1001,MATCH(ROWS($AF$2:AF176),$AF$2:$AF$1001,0),0), INDEX($AM$1004:$BM$1004,1,MATCH(COLUMNS($AM$1006:BH1006),$AM$1006:$BM$1006,0)))),"Fix")))</f>
        <v xml:space="preserve"> </v>
      </c>
      <c r="X176" s="4" t="str">
        <f ca="1">IF(OR(INDEX($AG$2:$AG$1001,MATCH(ROWS($AF$2:AF176),$AF$2:$AF$1001,0),1)&gt;=100000,INDEX($AM$1005:$BM$1005,1,MATCH(COLUMNS($AM$1006:BI1006),$AM$1006:$BM$1006,0))&gt;=100000), " ",IF(INDEX($AM$2:$BM$1001,MATCH(ROWS($AF$2:AF176),$AF$2:$AF$1001,0),MATCH(COLUMNS($AM$1006:BI1006),$AM$1006:$BM$1006,0)), HYPERLINK("#",""), HYPERLINK(CONCATENATE("#metadata!", ADDRESS(INDEX($AH$2:$AH$1001,MATCH(ROWS($AF$2:AF176),$AF$2:$AF$1001,0),0), INDEX($AM$1004:$BM$1004,1,MATCH(COLUMNS($AM$1006:BI1006),$AM$1006:$BM$1006,0)))),"Fix")))</f>
        <v xml:space="preserve"> </v>
      </c>
      <c r="Y176" s="4" t="str">
        <f ca="1">IF(OR(INDEX($AG$2:$AG$1001,MATCH(ROWS($AF$2:AF176),$AF$2:$AF$1001,0),1)&gt;=100000,INDEX($AM$1005:$BM$1005,1,MATCH(COLUMNS($AM$1006:BJ1006),$AM$1006:$BM$1006,0))&gt;=100000), " ",IF(INDEX($AM$2:$BM$1001,MATCH(ROWS($AF$2:AF176),$AF$2:$AF$1001,0),MATCH(COLUMNS($AM$1006:BJ1006),$AM$1006:$BM$1006,0)), HYPERLINK("#",""), HYPERLINK(CONCATENATE("#metadata!", ADDRESS(INDEX($AH$2:$AH$1001,MATCH(ROWS($AF$2:AF176),$AF$2:$AF$1001,0),0), INDEX($AM$1004:$BM$1004,1,MATCH(COLUMNS($AM$1006:BJ1006),$AM$1006:$BM$1006,0)))),"Fix")))</f>
        <v xml:space="preserve"> </v>
      </c>
      <c r="Z176" s="4" t="str">
        <f ca="1">IF(OR(INDEX($AG$2:$AG$1001,MATCH(ROWS($AF$2:AF176),$AF$2:$AF$1001,0),1)&gt;=100000,INDEX($AM$1005:$BM$1005,1,MATCH(COLUMNS($AM$1006:BK1006),$AM$1006:$BM$1006,0))&gt;=100000), " ",IF(INDEX($AM$2:$BM$1001,MATCH(ROWS($AF$2:AF176),$AF$2:$AF$1001,0),MATCH(COLUMNS($AM$1006:BK1006),$AM$1006:$BM$1006,0)), HYPERLINK("#",""), HYPERLINK(CONCATENATE("#metadata!", ADDRESS(INDEX($AH$2:$AH$1001,MATCH(ROWS($AF$2:AF176),$AF$2:$AF$1001,0),0), INDEX($AM$1004:$BM$1004,1,MATCH(COLUMNS($AM$1006:BK1006),$AM$1006:$BM$1006,0)))),"Fix")))</f>
        <v xml:space="preserve"> </v>
      </c>
      <c r="AA176" s="4" t="str">
        <f ca="1">IF(OR(INDEX($AG$2:$AG$1001,MATCH(ROWS($AF$2:AF176),$AF$2:$AF$1001,0),1)&gt;=100000,INDEX($AM$1005:$BM$1005,1,MATCH(COLUMNS($AM$1006:BL1006),$AM$1006:$BM$1006,0))&gt;=100000), " ",IF(INDEX($AM$2:$BM$1001,MATCH(ROWS($AF$2:AF176),$AF$2:$AF$1001,0),MATCH(COLUMNS($AM$1006:BL1006),$AM$1006:$BM$1006,0)), HYPERLINK("#",""), HYPERLINK(CONCATENATE("#metadata!", ADDRESS(INDEX($AH$2:$AH$1001,MATCH(ROWS($AF$2:AF176),$AF$2:$AF$1001,0),0), INDEX($AM$1004:$BM$1004,1,MATCH(COLUMNS($AM$1006:BL1006),$AM$1006:$BM$1006,0)))),"Fix")))</f>
        <v xml:space="preserve"> </v>
      </c>
      <c r="AB176" s="4" t="str">
        <f ca="1">IF(OR(INDEX($AG$2:$AG$1001,MATCH(ROWS($AF$2:AF176),$AF$2:$AF$1001,0),1)&gt;=100000,INDEX($AM$1005:$BM$1005,1,MATCH(COLUMNS($AM$1006:BM1006),$AM$1006:$BM$1006,0))&gt;=100000), " ",IF(INDEX($AM$2:$BM$1001,MATCH(ROWS($AF$2:AF176),$AF$2:$AF$1001,0),MATCH(COLUMNS($AM$1006:BM1006),$AM$1006:$BM$1006,0)), HYPERLINK("#",""), HYPERLINK(CONCATENATE("#metadata!", ADDRESS(INDEX($AH$2:$AH$1001,MATCH(ROWS($AF$2:AF176),$AF$2:$AF$1001,0),0), INDEX($AM$1004:$BM$1004,1,MATCH(COLUMNS($AM$1006:BM1006),$AM$1006:$BM$1006,0)))),"Fix")))</f>
        <v xml:space="preserve"> </v>
      </c>
      <c r="AF176">
        <v>175</v>
      </c>
      <c r="AG176">
        <v>100176</v>
      </c>
      <c r="AH176">
        <v>176</v>
      </c>
      <c r="AI176" t="b">
        <f t="shared" si="2"/>
        <v>1</v>
      </c>
      <c r="AJ176" t="b">
        <f>COUNTBLANK(metadata!B176:AB176)=COLUMNS(metadata!B176:AB176)</f>
        <v>1</v>
      </c>
      <c r="AK176" t="str">
        <v/>
      </c>
      <c r="AM176" t="b">
        <f ca="1">AND(IF(metadata!B176="",FALSE,TRUE),COUNTIF(metadata!B:B, metadata!B176) = 1,NOT(ISERROR(SUMPRODUCT(SEARCH(MID(metadata!B176,ROW(INDIRECT("1:"&amp;LEN(metadata!B176))), 1),"0123456789abcdefghijklmnopqrstuvwxyzABCDEFGHIJKLMNOPQRSTUVWXYZ.")))))</f>
        <v>0</v>
      </c>
      <c r="AN176" t="b">
        <f ca="1">OR(AND(IF(metadata!C176="",FALSE,TRUE),OR(EXACT(metadata!C176,"missing: not collected"),EXACT(metadata!C176,"missing: not provided"),EXACT(metadata!C176,"missing: restricted access"))),AND(IF(metadata!C176="",FALSE,TRUE),AND(AND(IFERROR(INT(LEFT(metadata!C176,4))&gt;1900,FALSE),IFERROR(INT(LEFT(metadata!C176,4))&lt;=YEAR(NOW()),FALSE)), OR(MID(metadata!C176,5,1)="", AND(AND(MID(metadata!C176,5,1)="-",IFERROR(INT(MID(metadata!C176,6,1))&gt;=0,FALSE),IFERROR(INT(MID(metadata!C176,6,1))&lt;=1,FALSE),NOT(MID(metadata!C176,7,1)=""),IFERROR(INT(MID(metadata!C176,6,2))&gt;=1,FALSE),IFERROR(INT(MID(metadata!C176,6,2))&lt;=12,FALSE)), OR(MID(metadata!C176,8,1)="", AND(AND(MID(metadata!C176,8,1)="-",IFERROR(INT(MID(metadata!C176,9,1))&gt;=0,FALSE),IFERROR(INT(MID(metadata!C176,9,1))&lt;=3,FALSE),NOT(MID(metadata!C176,10,1)=""),IFERROR(INT(MID(metadata!C176,9,2))&gt;=1,FALSE),IFERROR(INT(MID(metadata!C176,9,2))&lt;=31,FALSE)), OR(MID(metadata!C176,11,1)="", AND(AND(MID(metadata!C176,11,1)=" ",IFERROR(INT(MID(metadata!C176,12,1))&gt;=0,FALSE),IFERROR(INT(MID(metadata!C176,12,1))&lt;=2,FALSE),NOT(MID(metadata!C176,13,1)=""),IFERROR(INT(MID(metadata!C176,12,2))&gt;=0,FALSE),IFERROR(INT(MID(metadata!C176,12,2))&lt;=23,FALSE)), OR(MID(metadata!C176,14,1)="", AND(AND(MID(metadata!C176,14,1)=":",IFERROR(INT(MID(metadata!C176,15,1))&gt;=0,FALSE),IFERROR(INT(MID(metadata!C176,15,1))&lt;=5,FALSE),NOT(MID(metadata!C176,16,1)=""),IFERROR(INT(MID(metadata!C176,15,2))&gt;=0,FALSE),IFERROR(INT(MID(metadata!C176,15,2))&lt;=59,FALSE)), OR(MID(metadata!C176,17,1)="", AND(AND(MID(metadata!C176,17,1)=":",IFERROR(INT(MID(metadata!C176,18,1))&gt;=0,FALSE),IFERROR(INT(MID(metadata!C176,18,1))&lt;=5,FALSE),NOT(MID(metadata!C176,19,1)=""),IFERROR(INT(MID(metadata!C176,18,2))&gt;=0,FALSE),IFERROR(INT(MID(metadata!C176,18,2))&lt;=59,FALSE)), LEN(metadata!C176)&lt;=19)))))))))))))</f>
        <v>0</v>
      </c>
      <c r="AO176" t="b">
        <f>AND(IF(metadata!D176="",FALSE,TRUE),EXACT(metadata!D176,"Not applicable"))</f>
        <v>0</v>
      </c>
      <c r="AP176" t="b">
        <f>IF(metadata!E176="",FALSE,TRUE)</f>
        <v>0</v>
      </c>
      <c r="AQ176" t="b">
        <f>OR(AND(IF(metadata!F176="",FALSE,TRUE),OR(EXACT(metadata!F176,"missing: not collected"),EXACT(metadata!F176,"missing: not provided"))),AND(IF(metadata!F176="",FALSE,TRUE),OR(EXACT(metadata!F176,"TRUE"),EXACT(metadata!F176,"FALSE"))))</f>
        <v>0</v>
      </c>
      <c r="AR176" t="b">
        <f>OR(AND(IF(metadata!G176="",FALSE,TRUE),OR(EXACT(metadata!G176,"missing: not collected"),EXACT(metadata!G176,"missing: not provided"),EXACT(metadata!G176,"missing: restricted access"))),AND(IF(metadata!G176="",FALSE,ISNUMBER(VALUE(metadata!G176))),metadata!G176&gt;=-413))</f>
        <v>0</v>
      </c>
      <c r="AS176" t="b">
        <f>AND(IF(metadata!H176="",FALSE,TRUE),EXACT(metadata!H176,"meters"))</f>
        <v>0</v>
      </c>
      <c r="AT176" t="b">
        <f>AND(IF(metadata!I176="",FALSE,TRUE),OR(EXACT(metadata!I176,"Host-associated"),EXACT(metadata!I176,"Free-living")))</f>
        <v>0</v>
      </c>
      <c r="AU176" t="b">
        <f>AND(IF(metadata!J176="",FALSE,TRUE),OR(EXACT(metadata!J176,"Animal"),EXACT(metadata!J176,"Fungus"),EXACT(metadata!J176,"Plant"),EXACT(metadata!J176,"Saline"),EXACT(metadata!J176,"Non-saline")))</f>
        <v>0</v>
      </c>
      <c r="AV176" t="b">
        <f>AND(IF(metadata!K176="",FALSE,TRUE),OR(EXACT(metadata!K176,"Plant secretion"),EXACT(metadata!K176,"Plant rhizosphere"),EXACT(metadata!K176,"Plant surface"),EXACT(metadata!K176,"Plant corpus"),EXACT(metadata!K176,"Fungus surface"),EXACT(metadata!K176,"Fungus corpus"),EXACT(metadata!K176,"Animal surface"),EXACT(metadata!K176,"Animal proximal gut"),EXACT(metadata!K176,"Animal corpus"),EXACT(metadata!K176,"Animal distal gut"),EXACT(metadata!K176,"Animal secretion"),EXACT(metadata!K176,"Sub-surface (non-saline)"),EXACT(metadata!K176,"Surface (non-saline)"),EXACT(metadata!K176,"Water (non-saline)"),EXACT(metadata!K176,"Soil (non-saline)"),EXACT(metadata!K176,"Aerosol (non-saline)"),EXACT(metadata!K176,"Sediment (non-saline)"),EXACT(metadata!K176,"Surface (saline)"),EXACT(metadata!K176,"Water (saline)"),EXACT(metadata!K176,"Hypersaline (saline)"),EXACT(metadata!K176,"Aerosol (saline)"),EXACT(metadata!K176,"Sediment (saline)")))</f>
        <v>0</v>
      </c>
      <c r="AW176" t="b">
        <f>IF(metadata!L176="",FALSE,TRUE)</f>
        <v>0</v>
      </c>
      <c r="AX176" t="b">
        <f>IF(metadata!M176="",FALSE,TRUE)</f>
        <v>0</v>
      </c>
      <c r="AY176" t="b">
        <f>IF(metadata!N176="",FALSE,TRUE)</f>
        <v>0</v>
      </c>
      <c r="AZ176" t="b">
        <f>OR(AND(IF(metadata!O176="",FALSE,TRUE),OR(EXACT(metadata!O176,"missing: not collected"),EXACT(metadata!O176,"missing: not provided"),EXACT(metadata!O176,"missing: restricted access"))),AND(IF(metadata!O176="",FALSE,TRUE),OR(EXACT(metadata!O176,"air"),EXACT(metadata!O176,"built environment"),EXACT(metadata!O176,"host-associated"),EXACT(metadata!O176,"human-associated"),EXACT(metadata!O176,"human-skin"),EXACT(metadata!O176,"human-oral"),EXACT(metadata!O176,"human-gut"),EXACT(metadata!O176,"human-vaginal"),EXACT(metadata!O176,"microbial mat/biofilm"),EXACT(metadata!O176,"misc environment"),EXACT(metadata!O176,"plant-associated"),EXACT(metadata!O176,"sediment"),EXACT(metadata!O176,"soil"),EXACT(metadata!O176,"wastewater/sludge"),EXACT(metadata!O176,"water"))))</f>
        <v>0</v>
      </c>
      <c r="BA176" t="b">
        <f>IF(metadata!P176="",FALSE,TRUE)</f>
        <v>0</v>
      </c>
      <c r="BB176" t="b">
        <f>IF(metadata!Q176="",FALSE,TRUE)</f>
        <v>0</v>
      </c>
      <c r="BC176" t="b">
        <f>OR(AND(IF(metadata!R176="",FALSE,TRUE),OR(EXACT(metadata!R176,"missing: not collected"),EXACT(metadata!R176,"missing: not provided"),EXACT(metadata!R176,"missing: restricted access"))),AND(IF(metadata!R176="",FALSE,ISNUMBER(VALUE(metadata!R176))),metadata!R176&gt;=-90,metadata!R176&lt;=90))</f>
        <v>0</v>
      </c>
      <c r="BD176" t="b">
        <f>AND(IF(metadata!S176="",FALSE,TRUE),EXACT(metadata!S176,"Decimal degrees"))</f>
        <v>0</v>
      </c>
      <c r="BE176" t="b">
        <f>OR(AND(IF(metadata!T176="",FALSE,TRUE),OR(EXACT(metadata!T176,"missing: not collected"),EXACT(metadata!T176,"missing: not provided"),EXACT(metadata!T176,"missing: restricted access"))),AND(IF(metadata!T176="",FALSE,ISNUMBER(VALUE(metadata!T176))),metadata!T176&gt;=-180,metadata!T176&lt;=180))</f>
        <v>0</v>
      </c>
      <c r="BF176" t="b">
        <f>AND(IF(metadata!U176="",FALSE,TRUE),EXACT(metadata!U176,"Decimal degrees"))</f>
        <v>0</v>
      </c>
      <c r="BG176" t="b">
        <f>IF(metadata!V176="",FALSE,TRUE)</f>
        <v>0</v>
      </c>
      <c r="BH176" t="b">
        <f>OR(AND(IF(metadata!W176="",FALSE,TRUE),OR(EXACT(metadata!W176,"missing: not collected"),EXACT(metadata!W176,"missing: not provided"),EXACT(metadata!W176,"missing: restricted access"))),AND(IF(metadata!W176="",FALSE,TRUE),OR(EXACT(metadata!W176,"TRUE"),EXACT(metadata!W176,"FALSE"))))</f>
        <v>0</v>
      </c>
      <c r="BI176" t="b">
        <f>AND(IF(metadata!X176="",FALSE,TRUE),EXACT(metadata!X176,"other"))</f>
        <v>0</v>
      </c>
      <c r="BJ176" t="b">
        <f>IF(metadata!Y176="",FALSE,TRUE)</f>
        <v>0</v>
      </c>
      <c r="BK176" t="b">
        <f>OR(AND(IF(metadata!Z176="",FALSE,TRUE),OR(EXACT(metadata!Z176,"missing: not collected"),EXACT(metadata!Z176,"missing: not provided"))),AND(IF(metadata!Z176="",FALSE,IF(ISERROR(INT(metadata!Z176)),FALSE,INT(metadata!Z176)=metadata!Z176)),metadata!Z176&gt;0))</f>
        <v>0</v>
      </c>
      <c r="BL176" t="b">
        <f>AND(IF(metadata!AA176="",FALSE,TRUE),EXACT(metadata!AA176,"Not applicable"))</f>
        <v>0</v>
      </c>
      <c r="BM176" t="b">
        <f>IF(metadata!AB176="",FALSE,TRUE)</f>
        <v>0</v>
      </c>
    </row>
    <row r="177" spans="1:65" x14ac:dyDescent="0.2">
      <c r="A177" s="5" t="str">
        <f ca="1">IF(B177=" "," ",HYPERLINK(CONCATENATE("#metadata!",ADDRESS(INDEX($AH$2:$AH$1001,MATCH(ROWS($AF$2:AF177),$AF$2:$AF$1001,0),0),1)),INDEX($AK$2:$AK$1001,MATCH(ROWS($AF$2:AF177),$AF$2:$AF$1001,0),0)))</f>
        <v xml:space="preserve"> </v>
      </c>
      <c r="B177" s="4" t="str">
        <f ca="1">IF(OR(INDEX($AG$2:$AG$1001,MATCH(ROWS($AF$2:AF177),$AF$2:$AF$1001,0),1)&gt;=100000,INDEX($AM$1005:$BM$1005,1,MATCH(COLUMNS($AM$1006:AM1006),$AM$1006:$BM$1006,0))&gt;=100000), " ",IF(INDEX($AM$2:$BM$1001,MATCH(ROWS($AF$2:AF177),$AF$2:$AF$1001,0),MATCH(COLUMNS($AM$1006:AM1006),$AM$1006:$BM$1006,0)), HYPERLINK("#",""), HYPERLINK(CONCATENATE("#metadata!", ADDRESS(INDEX($AH$2:$AH$1001,MATCH(ROWS($AF$2:AF177),$AF$2:$AF$1001,0),0), INDEX($AM$1004:$BM$1004,1,MATCH(COLUMNS($AM$1006:AM1006),$AM$1006:$BM$1006,0)))),"Fix")))</f>
        <v xml:space="preserve"> </v>
      </c>
      <c r="C177" s="4" t="str">
        <f ca="1">IF(OR(INDEX($AG$2:$AG$1001,MATCH(ROWS($AF$2:AF177),$AF$2:$AF$1001,0),1)&gt;=100000,INDEX($AM$1005:$BM$1005,1,MATCH(COLUMNS($AM$1006:AN1006),$AM$1006:$BM$1006,0))&gt;=100000), " ",IF(INDEX($AM$2:$BM$1001,MATCH(ROWS($AF$2:AF177),$AF$2:$AF$1001,0),MATCH(COLUMNS($AM$1006:AN1006),$AM$1006:$BM$1006,0)), HYPERLINK("#",""), HYPERLINK(CONCATENATE("#metadata!", ADDRESS(INDEX($AH$2:$AH$1001,MATCH(ROWS($AF$2:AF177),$AF$2:$AF$1001,0),0), INDEX($AM$1004:$BM$1004,1,MATCH(COLUMNS($AM$1006:AN1006),$AM$1006:$BM$1006,0)))),"Fix")))</f>
        <v xml:space="preserve"> </v>
      </c>
      <c r="D177" s="4" t="str">
        <f ca="1">IF(OR(INDEX($AG$2:$AG$1001,MATCH(ROWS($AF$2:AF177),$AF$2:$AF$1001,0),1)&gt;=100000,INDEX($AM$1005:$BM$1005,1,MATCH(COLUMNS($AM$1006:AO1006),$AM$1006:$BM$1006,0))&gt;=100000), " ",IF(INDEX($AM$2:$BM$1001,MATCH(ROWS($AF$2:AF177),$AF$2:$AF$1001,0),MATCH(COLUMNS($AM$1006:AO1006),$AM$1006:$BM$1006,0)), HYPERLINK("#",""), HYPERLINK(CONCATENATE("#metadata!", ADDRESS(INDEX($AH$2:$AH$1001,MATCH(ROWS($AF$2:AF177),$AF$2:$AF$1001,0),0), INDEX($AM$1004:$BM$1004,1,MATCH(COLUMNS($AM$1006:AO1006),$AM$1006:$BM$1006,0)))),"Fix")))</f>
        <v xml:space="preserve"> </v>
      </c>
      <c r="E177" s="4" t="str">
        <f ca="1">IF(OR(INDEX($AG$2:$AG$1001,MATCH(ROWS($AF$2:AF177),$AF$2:$AF$1001,0),1)&gt;=100000,INDEX($AM$1005:$BM$1005,1,MATCH(COLUMNS($AM$1006:AP1006),$AM$1006:$BM$1006,0))&gt;=100000), " ",IF(INDEX($AM$2:$BM$1001,MATCH(ROWS($AF$2:AF177),$AF$2:$AF$1001,0),MATCH(COLUMNS($AM$1006:AP1006),$AM$1006:$BM$1006,0)), HYPERLINK("#",""), HYPERLINK(CONCATENATE("#metadata!", ADDRESS(INDEX($AH$2:$AH$1001,MATCH(ROWS($AF$2:AF177),$AF$2:$AF$1001,0),0), INDEX($AM$1004:$BM$1004,1,MATCH(COLUMNS($AM$1006:AP1006),$AM$1006:$BM$1006,0)))),"Fix")))</f>
        <v xml:space="preserve"> </v>
      </c>
      <c r="F177" s="4" t="str">
        <f ca="1">IF(OR(INDEX($AG$2:$AG$1001,MATCH(ROWS($AF$2:AF177),$AF$2:$AF$1001,0),1)&gt;=100000,INDEX($AM$1005:$BM$1005,1,MATCH(COLUMNS($AM$1006:AQ1006),$AM$1006:$BM$1006,0))&gt;=100000), " ",IF(INDEX($AM$2:$BM$1001,MATCH(ROWS($AF$2:AF177),$AF$2:$AF$1001,0),MATCH(COLUMNS($AM$1006:AQ1006),$AM$1006:$BM$1006,0)), HYPERLINK("#",""), HYPERLINK(CONCATENATE("#metadata!", ADDRESS(INDEX($AH$2:$AH$1001,MATCH(ROWS($AF$2:AF177),$AF$2:$AF$1001,0),0), INDEX($AM$1004:$BM$1004,1,MATCH(COLUMNS($AM$1006:AQ1006),$AM$1006:$BM$1006,0)))),"Fix")))</f>
        <v xml:space="preserve"> </v>
      </c>
      <c r="G177" s="4" t="str">
        <f ca="1">IF(OR(INDEX($AG$2:$AG$1001,MATCH(ROWS($AF$2:AF177),$AF$2:$AF$1001,0),1)&gt;=100000,INDEX($AM$1005:$BM$1005,1,MATCH(COLUMNS($AM$1006:AR1006),$AM$1006:$BM$1006,0))&gt;=100000), " ",IF(INDEX($AM$2:$BM$1001,MATCH(ROWS($AF$2:AF177),$AF$2:$AF$1001,0),MATCH(COLUMNS($AM$1006:AR1006),$AM$1006:$BM$1006,0)), HYPERLINK("#",""), HYPERLINK(CONCATENATE("#metadata!", ADDRESS(INDEX($AH$2:$AH$1001,MATCH(ROWS($AF$2:AF177),$AF$2:$AF$1001,0),0), INDEX($AM$1004:$BM$1004,1,MATCH(COLUMNS($AM$1006:AR1006),$AM$1006:$BM$1006,0)))),"Fix")))</f>
        <v xml:space="preserve"> </v>
      </c>
      <c r="H177" s="4" t="str">
        <f ca="1">IF(OR(INDEX($AG$2:$AG$1001,MATCH(ROWS($AF$2:AF177),$AF$2:$AF$1001,0),1)&gt;=100000,INDEX($AM$1005:$BM$1005,1,MATCH(COLUMNS($AM$1006:AS1006),$AM$1006:$BM$1006,0))&gt;=100000), " ",IF(INDEX($AM$2:$BM$1001,MATCH(ROWS($AF$2:AF177),$AF$2:$AF$1001,0),MATCH(COLUMNS($AM$1006:AS1006),$AM$1006:$BM$1006,0)), HYPERLINK("#",""), HYPERLINK(CONCATENATE("#metadata!", ADDRESS(INDEX($AH$2:$AH$1001,MATCH(ROWS($AF$2:AF177),$AF$2:$AF$1001,0),0), INDEX($AM$1004:$BM$1004,1,MATCH(COLUMNS($AM$1006:AS1006),$AM$1006:$BM$1006,0)))),"Fix")))</f>
        <v xml:space="preserve"> </v>
      </c>
      <c r="I177" s="4" t="str">
        <f ca="1">IF(OR(INDEX($AG$2:$AG$1001,MATCH(ROWS($AF$2:AF177),$AF$2:$AF$1001,0),1)&gt;=100000,INDEX($AM$1005:$BM$1005,1,MATCH(COLUMNS($AM$1006:AT1006),$AM$1006:$BM$1006,0))&gt;=100000), " ",IF(INDEX($AM$2:$BM$1001,MATCH(ROWS($AF$2:AF177),$AF$2:$AF$1001,0),MATCH(COLUMNS($AM$1006:AT1006),$AM$1006:$BM$1006,0)), HYPERLINK("#",""), HYPERLINK(CONCATENATE("#metadata!", ADDRESS(INDEX($AH$2:$AH$1001,MATCH(ROWS($AF$2:AF177),$AF$2:$AF$1001,0),0), INDEX($AM$1004:$BM$1004,1,MATCH(COLUMNS($AM$1006:AT1006),$AM$1006:$BM$1006,0)))),"Fix")))</f>
        <v xml:space="preserve"> </v>
      </c>
      <c r="J177" s="4" t="str">
        <f ca="1">IF(OR(INDEX($AG$2:$AG$1001,MATCH(ROWS($AF$2:AF177),$AF$2:$AF$1001,0),1)&gt;=100000,INDEX($AM$1005:$BM$1005,1,MATCH(COLUMNS($AM$1006:AU1006),$AM$1006:$BM$1006,0))&gt;=100000), " ",IF(INDEX($AM$2:$BM$1001,MATCH(ROWS($AF$2:AF177),$AF$2:$AF$1001,0),MATCH(COLUMNS($AM$1006:AU1006),$AM$1006:$BM$1006,0)), HYPERLINK("#",""), HYPERLINK(CONCATENATE("#metadata!", ADDRESS(INDEX($AH$2:$AH$1001,MATCH(ROWS($AF$2:AF177),$AF$2:$AF$1001,0),0), INDEX($AM$1004:$BM$1004,1,MATCH(COLUMNS($AM$1006:AU1006),$AM$1006:$BM$1006,0)))),"Fix")))</f>
        <v xml:space="preserve"> </v>
      </c>
      <c r="K177" s="4" t="str">
        <f ca="1">IF(OR(INDEX($AG$2:$AG$1001,MATCH(ROWS($AF$2:AF177),$AF$2:$AF$1001,0),1)&gt;=100000,INDEX($AM$1005:$BM$1005,1,MATCH(COLUMNS($AM$1006:AV1006),$AM$1006:$BM$1006,0))&gt;=100000), " ",IF(INDEX($AM$2:$BM$1001,MATCH(ROWS($AF$2:AF177),$AF$2:$AF$1001,0),MATCH(COLUMNS($AM$1006:AV1006),$AM$1006:$BM$1006,0)), HYPERLINK("#",""), HYPERLINK(CONCATENATE("#metadata!", ADDRESS(INDEX($AH$2:$AH$1001,MATCH(ROWS($AF$2:AF177),$AF$2:$AF$1001,0),0), INDEX($AM$1004:$BM$1004,1,MATCH(COLUMNS($AM$1006:AV1006),$AM$1006:$BM$1006,0)))),"Fix")))</f>
        <v xml:space="preserve"> </v>
      </c>
      <c r="L177" s="4" t="str">
        <f ca="1">IF(OR(INDEX($AG$2:$AG$1001,MATCH(ROWS($AF$2:AF177),$AF$2:$AF$1001,0),1)&gt;=100000,INDEX($AM$1005:$BM$1005,1,MATCH(COLUMNS($AM$1006:AW1006),$AM$1006:$BM$1006,0))&gt;=100000), " ",IF(INDEX($AM$2:$BM$1001,MATCH(ROWS($AF$2:AF177),$AF$2:$AF$1001,0),MATCH(COLUMNS($AM$1006:AW1006),$AM$1006:$BM$1006,0)), HYPERLINK("#",""), HYPERLINK(CONCATENATE("#metadata!", ADDRESS(INDEX($AH$2:$AH$1001,MATCH(ROWS($AF$2:AF177),$AF$2:$AF$1001,0),0), INDEX($AM$1004:$BM$1004,1,MATCH(COLUMNS($AM$1006:AW1006),$AM$1006:$BM$1006,0)))),"Fix")))</f>
        <v xml:space="preserve"> </v>
      </c>
      <c r="M177" s="4" t="str">
        <f ca="1">IF(OR(INDEX($AG$2:$AG$1001,MATCH(ROWS($AF$2:AF177),$AF$2:$AF$1001,0),1)&gt;=100000,INDEX($AM$1005:$BM$1005,1,MATCH(COLUMNS($AM$1006:AX1006),$AM$1006:$BM$1006,0))&gt;=100000), " ",IF(INDEX($AM$2:$BM$1001,MATCH(ROWS($AF$2:AF177),$AF$2:$AF$1001,0),MATCH(COLUMNS($AM$1006:AX1006),$AM$1006:$BM$1006,0)), HYPERLINK("#",""), HYPERLINK(CONCATENATE("#metadata!", ADDRESS(INDEX($AH$2:$AH$1001,MATCH(ROWS($AF$2:AF177),$AF$2:$AF$1001,0),0), INDEX($AM$1004:$BM$1004,1,MATCH(COLUMNS($AM$1006:AX1006),$AM$1006:$BM$1006,0)))),"Fix")))</f>
        <v xml:space="preserve"> </v>
      </c>
      <c r="N177" s="4" t="str">
        <f ca="1">IF(OR(INDEX($AG$2:$AG$1001,MATCH(ROWS($AF$2:AF177),$AF$2:$AF$1001,0),1)&gt;=100000,INDEX($AM$1005:$BM$1005,1,MATCH(COLUMNS($AM$1006:AY1006),$AM$1006:$BM$1006,0))&gt;=100000), " ",IF(INDEX($AM$2:$BM$1001,MATCH(ROWS($AF$2:AF177),$AF$2:$AF$1001,0),MATCH(COLUMNS($AM$1006:AY1006),$AM$1006:$BM$1006,0)), HYPERLINK("#",""), HYPERLINK(CONCATENATE("#metadata!", ADDRESS(INDEX($AH$2:$AH$1001,MATCH(ROWS($AF$2:AF177),$AF$2:$AF$1001,0),0), INDEX($AM$1004:$BM$1004,1,MATCH(COLUMNS($AM$1006:AY1006),$AM$1006:$BM$1006,0)))),"Fix")))</f>
        <v xml:space="preserve"> </v>
      </c>
      <c r="O177" s="4" t="str">
        <f ca="1">IF(OR(INDEX($AG$2:$AG$1001,MATCH(ROWS($AF$2:AF177),$AF$2:$AF$1001,0),1)&gt;=100000,INDEX($AM$1005:$BM$1005,1,MATCH(COLUMNS($AM$1006:AZ1006),$AM$1006:$BM$1006,0))&gt;=100000), " ",IF(INDEX($AM$2:$BM$1001,MATCH(ROWS($AF$2:AF177),$AF$2:$AF$1001,0),MATCH(COLUMNS($AM$1006:AZ1006),$AM$1006:$BM$1006,0)), HYPERLINK("#",""), HYPERLINK(CONCATENATE("#metadata!", ADDRESS(INDEX($AH$2:$AH$1001,MATCH(ROWS($AF$2:AF177),$AF$2:$AF$1001,0),0), INDEX($AM$1004:$BM$1004,1,MATCH(COLUMNS($AM$1006:AZ1006),$AM$1006:$BM$1006,0)))),"Fix")))</f>
        <v xml:space="preserve"> </v>
      </c>
      <c r="P177" s="4" t="str">
        <f ca="1">IF(OR(INDEX($AG$2:$AG$1001,MATCH(ROWS($AF$2:AF177),$AF$2:$AF$1001,0),1)&gt;=100000,INDEX($AM$1005:$BM$1005,1,MATCH(COLUMNS($AM$1006:BA1006),$AM$1006:$BM$1006,0))&gt;=100000), " ",IF(INDEX($AM$2:$BM$1001,MATCH(ROWS($AF$2:AF177),$AF$2:$AF$1001,0),MATCH(COLUMNS($AM$1006:BA1006),$AM$1006:$BM$1006,0)), HYPERLINK("#",""), HYPERLINK(CONCATENATE("#metadata!", ADDRESS(INDEX($AH$2:$AH$1001,MATCH(ROWS($AF$2:AF177),$AF$2:$AF$1001,0),0), INDEX($AM$1004:$BM$1004,1,MATCH(COLUMNS($AM$1006:BA1006),$AM$1006:$BM$1006,0)))),"Fix")))</f>
        <v xml:space="preserve"> </v>
      </c>
      <c r="Q177" s="4" t="str">
        <f ca="1">IF(OR(INDEX($AG$2:$AG$1001,MATCH(ROWS($AF$2:AF177),$AF$2:$AF$1001,0),1)&gt;=100000,INDEX($AM$1005:$BM$1005,1,MATCH(COLUMNS($AM$1006:BB1006),$AM$1006:$BM$1006,0))&gt;=100000), " ",IF(INDEX($AM$2:$BM$1001,MATCH(ROWS($AF$2:AF177),$AF$2:$AF$1001,0),MATCH(COLUMNS($AM$1006:BB1006),$AM$1006:$BM$1006,0)), HYPERLINK("#",""), HYPERLINK(CONCATENATE("#metadata!", ADDRESS(INDEX($AH$2:$AH$1001,MATCH(ROWS($AF$2:AF177),$AF$2:$AF$1001,0),0), INDEX($AM$1004:$BM$1004,1,MATCH(COLUMNS($AM$1006:BB1006),$AM$1006:$BM$1006,0)))),"Fix")))</f>
        <v xml:space="preserve"> </v>
      </c>
      <c r="R177" s="4" t="str">
        <f ca="1">IF(OR(INDEX($AG$2:$AG$1001,MATCH(ROWS($AF$2:AF177),$AF$2:$AF$1001,0),1)&gt;=100000,INDEX($AM$1005:$BM$1005,1,MATCH(COLUMNS($AM$1006:BC1006),$AM$1006:$BM$1006,0))&gt;=100000), " ",IF(INDEX($AM$2:$BM$1001,MATCH(ROWS($AF$2:AF177),$AF$2:$AF$1001,0),MATCH(COLUMNS($AM$1006:BC1006),$AM$1006:$BM$1006,0)), HYPERLINK("#",""), HYPERLINK(CONCATENATE("#metadata!", ADDRESS(INDEX($AH$2:$AH$1001,MATCH(ROWS($AF$2:AF177),$AF$2:$AF$1001,0),0), INDEX($AM$1004:$BM$1004,1,MATCH(COLUMNS($AM$1006:BC1006),$AM$1006:$BM$1006,0)))),"Fix")))</f>
        <v xml:space="preserve"> </v>
      </c>
      <c r="S177" s="4" t="str">
        <f ca="1">IF(OR(INDEX($AG$2:$AG$1001,MATCH(ROWS($AF$2:AF177),$AF$2:$AF$1001,0),1)&gt;=100000,INDEX($AM$1005:$BM$1005,1,MATCH(COLUMNS($AM$1006:BD1006),$AM$1006:$BM$1006,0))&gt;=100000), " ",IF(INDEX($AM$2:$BM$1001,MATCH(ROWS($AF$2:AF177),$AF$2:$AF$1001,0),MATCH(COLUMNS($AM$1006:BD1006),$AM$1006:$BM$1006,0)), HYPERLINK("#",""), HYPERLINK(CONCATENATE("#metadata!", ADDRESS(INDEX($AH$2:$AH$1001,MATCH(ROWS($AF$2:AF177),$AF$2:$AF$1001,0),0), INDEX($AM$1004:$BM$1004,1,MATCH(COLUMNS($AM$1006:BD1006),$AM$1006:$BM$1006,0)))),"Fix")))</f>
        <v xml:space="preserve"> </v>
      </c>
      <c r="T177" s="4" t="str">
        <f ca="1">IF(OR(INDEX($AG$2:$AG$1001,MATCH(ROWS($AF$2:AF177),$AF$2:$AF$1001,0),1)&gt;=100000,INDEX($AM$1005:$BM$1005,1,MATCH(COLUMNS($AM$1006:BE1006),$AM$1006:$BM$1006,0))&gt;=100000), " ",IF(INDEX($AM$2:$BM$1001,MATCH(ROWS($AF$2:AF177),$AF$2:$AF$1001,0),MATCH(COLUMNS($AM$1006:BE1006),$AM$1006:$BM$1006,0)), HYPERLINK("#",""), HYPERLINK(CONCATENATE("#metadata!", ADDRESS(INDEX($AH$2:$AH$1001,MATCH(ROWS($AF$2:AF177),$AF$2:$AF$1001,0),0), INDEX($AM$1004:$BM$1004,1,MATCH(COLUMNS($AM$1006:BE1006),$AM$1006:$BM$1006,0)))),"Fix")))</f>
        <v xml:space="preserve"> </v>
      </c>
      <c r="U177" s="4" t="str">
        <f ca="1">IF(OR(INDEX($AG$2:$AG$1001,MATCH(ROWS($AF$2:AF177),$AF$2:$AF$1001,0),1)&gt;=100000,INDEX($AM$1005:$BM$1005,1,MATCH(COLUMNS($AM$1006:BF1006),$AM$1006:$BM$1006,0))&gt;=100000), " ",IF(INDEX($AM$2:$BM$1001,MATCH(ROWS($AF$2:AF177),$AF$2:$AF$1001,0),MATCH(COLUMNS($AM$1006:BF1006),$AM$1006:$BM$1006,0)), HYPERLINK("#",""), HYPERLINK(CONCATENATE("#metadata!", ADDRESS(INDEX($AH$2:$AH$1001,MATCH(ROWS($AF$2:AF177),$AF$2:$AF$1001,0),0), INDEX($AM$1004:$BM$1004,1,MATCH(COLUMNS($AM$1006:BF1006),$AM$1006:$BM$1006,0)))),"Fix")))</f>
        <v xml:space="preserve"> </v>
      </c>
      <c r="V177" s="4" t="str">
        <f ca="1">IF(OR(INDEX($AG$2:$AG$1001,MATCH(ROWS($AF$2:AF177),$AF$2:$AF$1001,0),1)&gt;=100000,INDEX($AM$1005:$BM$1005,1,MATCH(COLUMNS($AM$1006:BG1006),$AM$1006:$BM$1006,0))&gt;=100000), " ",IF(INDEX($AM$2:$BM$1001,MATCH(ROWS($AF$2:AF177),$AF$2:$AF$1001,0),MATCH(COLUMNS($AM$1006:BG1006),$AM$1006:$BM$1006,0)), HYPERLINK("#",""), HYPERLINK(CONCATENATE("#metadata!", ADDRESS(INDEX($AH$2:$AH$1001,MATCH(ROWS($AF$2:AF177),$AF$2:$AF$1001,0),0), INDEX($AM$1004:$BM$1004,1,MATCH(COLUMNS($AM$1006:BG1006),$AM$1006:$BM$1006,0)))),"Fix")))</f>
        <v xml:space="preserve"> </v>
      </c>
      <c r="W177" s="4" t="str">
        <f ca="1">IF(OR(INDEX($AG$2:$AG$1001,MATCH(ROWS($AF$2:AF177),$AF$2:$AF$1001,0),1)&gt;=100000,INDEX($AM$1005:$BM$1005,1,MATCH(COLUMNS($AM$1006:BH1006),$AM$1006:$BM$1006,0))&gt;=100000), " ",IF(INDEX($AM$2:$BM$1001,MATCH(ROWS($AF$2:AF177),$AF$2:$AF$1001,0),MATCH(COLUMNS($AM$1006:BH1006),$AM$1006:$BM$1006,0)), HYPERLINK("#",""), HYPERLINK(CONCATENATE("#metadata!", ADDRESS(INDEX($AH$2:$AH$1001,MATCH(ROWS($AF$2:AF177),$AF$2:$AF$1001,0),0), INDEX($AM$1004:$BM$1004,1,MATCH(COLUMNS($AM$1006:BH1006),$AM$1006:$BM$1006,0)))),"Fix")))</f>
        <v xml:space="preserve"> </v>
      </c>
      <c r="X177" s="4" t="str">
        <f ca="1">IF(OR(INDEX($AG$2:$AG$1001,MATCH(ROWS($AF$2:AF177),$AF$2:$AF$1001,0),1)&gt;=100000,INDEX($AM$1005:$BM$1005,1,MATCH(COLUMNS($AM$1006:BI1006),$AM$1006:$BM$1006,0))&gt;=100000), " ",IF(INDEX($AM$2:$BM$1001,MATCH(ROWS($AF$2:AF177),$AF$2:$AF$1001,0),MATCH(COLUMNS($AM$1006:BI1006),$AM$1006:$BM$1006,0)), HYPERLINK("#",""), HYPERLINK(CONCATENATE("#metadata!", ADDRESS(INDEX($AH$2:$AH$1001,MATCH(ROWS($AF$2:AF177),$AF$2:$AF$1001,0),0), INDEX($AM$1004:$BM$1004,1,MATCH(COLUMNS($AM$1006:BI1006),$AM$1006:$BM$1006,0)))),"Fix")))</f>
        <v xml:space="preserve"> </v>
      </c>
      <c r="Y177" s="4" t="str">
        <f ca="1">IF(OR(INDEX($AG$2:$AG$1001,MATCH(ROWS($AF$2:AF177),$AF$2:$AF$1001,0),1)&gt;=100000,INDEX($AM$1005:$BM$1005,1,MATCH(COLUMNS($AM$1006:BJ1006),$AM$1006:$BM$1006,0))&gt;=100000), " ",IF(INDEX($AM$2:$BM$1001,MATCH(ROWS($AF$2:AF177),$AF$2:$AF$1001,0),MATCH(COLUMNS($AM$1006:BJ1006),$AM$1006:$BM$1006,0)), HYPERLINK("#",""), HYPERLINK(CONCATENATE("#metadata!", ADDRESS(INDEX($AH$2:$AH$1001,MATCH(ROWS($AF$2:AF177),$AF$2:$AF$1001,0),0), INDEX($AM$1004:$BM$1004,1,MATCH(COLUMNS($AM$1006:BJ1006),$AM$1006:$BM$1006,0)))),"Fix")))</f>
        <v xml:space="preserve"> </v>
      </c>
      <c r="Z177" s="4" t="str">
        <f ca="1">IF(OR(INDEX($AG$2:$AG$1001,MATCH(ROWS($AF$2:AF177),$AF$2:$AF$1001,0),1)&gt;=100000,INDEX($AM$1005:$BM$1005,1,MATCH(COLUMNS($AM$1006:BK1006),$AM$1006:$BM$1006,0))&gt;=100000), " ",IF(INDEX($AM$2:$BM$1001,MATCH(ROWS($AF$2:AF177),$AF$2:$AF$1001,0),MATCH(COLUMNS($AM$1006:BK1006),$AM$1006:$BM$1006,0)), HYPERLINK("#",""), HYPERLINK(CONCATENATE("#metadata!", ADDRESS(INDEX($AH$2:$AH$1001,MATCH(ROWS($AF$2:AF177),$AF$2:$AF$1001,0),0), INDEX($AM$1004:$BM$1004,1,MATCH(COLUMNS($AM$1006:BK1006),$AM$1006:$BM$1006,0)))),"Fix")))</f>
        <v xml:space="preserve"> </v>
      </c>
      <c r="AA177" s="4" t="str">
        <f ca="1">IF(OR(INDEX($AG$2:$AG$1001,MATCH(ROWS($AF$2:AF177),$AF$2:$AF$1001,0),1)&gt;=100000,INDEX($AM$1005:$BM$1005,1,MATCH(COLUMNS($AM$1006:BL1006),$AM$1006:$BM$1006,0))&gt;=100000), " ",IF(INDEX($AM$2:$BM$1001,MATCH(ROWS($AF$2:AF177),$AF$2:$AF$1001,0),MATCH(COLUMNS($AM$1006:BL1006),$AM$1006:$BM$1006,0)), HYPERLINK("#",""), HYPERLINK(CONCATENATE("#metadata!", ADDRESS(INDEX($AH$2:$AH$1001,MATCH(ROWS($AF$2:AF177),$AF$2:$AF$1001,0),0), INDEX($AM$1004:$BM$1004,1,MATCH(COLUMNS($AM$1006:BL1006),$AM$1006:$BM$1006,0)))),"Fix")))</f>
        <v xml:space="preserve"> </v>
      </c>
      <c r="AB177" s="4" t="str">
        <f ca="1">IF(OR(INDEX($AG$2:$AG$1001,MATCH(ROWS($AF$2:AF177),$AF$2:$AF$1001,0),1)&gt;=100000,INDEX($AM$1005:$BM$1005,1,MATCH(COLUMNS($AM$1006:BM1006),$AM$1006:$BM$1006,0))&gt;=100000), " ",IF(INDEX($AM$2:$BM$1001,MATCH(ROWS($AF$2:AF177),$AF$2:$AF$1001,0),MATCH(COLUMNS($AM$1006:BM1006),$AM$1006:$BM$1006,0)), HYPERLINK("#",""), HYPERLINK(CONCATENATE("#metadata!", ADDRESS(INDEX($AH$2:$AH$1001,MATCH(ROWS($AF$2:AF177),$AF$2:$AF$1001,0),0), INDEX($AM$1004:$BM$1004,1,MATCH(COLUMNS($AM$1006:BM1006),$AM$1006:$BM$1006,0)))),"Fix")))</f>
        <v xml:space="preserve"> </v>
      </c>
      <c r="AF177">
        <v>176</v>
      </c>
      <c r="AG177">
        <v>100177</v>
      </c>
      <c r="AH177">
        <v>177</v>
      </c>
      <c r="AI177" t="b">
        <f t="shared" si="2"/>
        <v>1</v>
      </c>
      <c r="AJ177" t="b">
        <f>COUNTBLANK(metadata!B177:AB177)=COLUMNS(metadata!B177:AB177)</f>
        <v>1</v>
      </c>
      <c r="AK177" t="str">
        <v/>
      </c>
      <c r="AM177" t="b">
        <f ca="1">AND(IF(metadata!B177="",FALSE,TRUE),COUNTIF(metadata!B:B, metadata!B177) = 1,NOT(ISERROR(SUMPRODUCT(SEARCH(MID(metadata!B177,ROW(INDIRECT("1:"&amp;LEN(metadata!B177))), 1),"0123456789abcdefghijklmnopqrstuvwxyzABCDEFGHIJKLMNOPQRSTUVWXYZ.")))))</f>
        <v>0</v>
      </c>
      <c r="AN177" t="b">
        <f ca="1">OR(AND(IF(metadata!C177="",FALSE,TRUE),OR(EXACT(metadata!C177,"missing: not collected"),EXACT(metadata!C177,"missing: not provided"),EXACT(metadata!C177,"missing: restricted access"))),AND(IF(metadata!C177="",FALSE,TRUE),AND(AND(IFERROR(INT(LEFT(metadata!C177,4))&gt;1900,FALSE),IFERROR(INT(LEFT(metadata!C177,4))&lt;=YEAR(NOW()),FALSE)), OR(MID(metadata!C177,5,1)="", AND(AND(MID(metadata!C177,5,1)="-",IFERROR(INT(MID(metadata!C177,6,1))&gt;=0,FALSE),IFERROR(INT(MID(metadata!C177,6,1))&lt;=1,FALSE),NOT(MID(metadata!C177,7,1)=""),IFERROR(INT(MID(metadata!C177,6,2))&gt;=1,FALSE),IFERROR(INT(MID(metadata!C177,6,2))&lt;=12,FALSE)), OR(MID(metadata!C177,8,1)="", AND(AND(MID(metadata!C177,8,1)="-",IFERROR(INT(MID(metadata!C177,9,1))&gt;=0,FALSE),IFERROR(INT(MID(metadata!C177,9,1))&lt;=3,FALSE),NOT(MID(metadata!C177,10,1)=""),IFERROR(INT(MID(metadata!C177,9,2))&gt;=1,FALSE),IFERROR(INT(MID(metadata!C177,9,2))&lt;=31,FALSE)), OR(MID(metadata!C177,11,1)="", AND(AND(MID(metadata!C177,11,1)=" ",IFERROR(INT(MID(metadata!C177,12,1))&gt;=0,FALSE),IFERROR(INT(MID(metadata!C177,12,1))&lt;=2,FALSE),NOT(MID(metadata!C177,13,1)=""),IFERROR(INT(MID(metadata!C177,12,2))&gt;=0,FALSE),IFERROR(INT(MID(metadata!C177,12,2))&lt;=23,FALSE)), OR(MID(metadata!C177,14,1)="", AND(AND(MID(metadata!C177,14,1)=":",IFERROR(INT(MID(metadata!C177,15,1))&gt;=0,FALSE),IFERROR(INT(MID(metadata!C177,15,1))&lt;=5,FALSE),NOT(MID(metadata!C177,16,1)=""),IFERROR(INT(MID(metadata!C177,15,2))&gt;=0,FALSE),IFERROR(INT(MID(metadata!C177,15,2))&lt;=59,FALSE)), OR(MID(metadata!C177,17,1)="", AND(AND(MID(metadata!C177,17,1)=":",IFERROR(INT(MID(metadata!C177,18,1))&gt;=0,FALSE),IFERROR(INT(MID(metadata!C177,18,1))&lt;=5,FALSE),NOT(MID(metadata!C177,19,1)=""),IFERROR(INT(MID(metadata!C177,18,2))&gt;=0,FALSE),IFERROR(INT(MID(metadata!C177,18,2))&lt;=59,FALSE)), LEN(metadata!C177)&lt;=19)))))))))))))</f>
        <v>0</v>
      </c>
      <c r="AO177" t="b">
        <f>AND(IF(metadata!D177="",FALSE,TRUE),EXACT(metadata!D177,"Not applicable"))</f>
        <v>0</v>
      </c>
      <c r="AP177" t="b">
        <f>IF(metadata!E177="",FALSE,TRUE)</f>
        <v>0</v>
      </c>
      <c r="AQ177" t="b">
        <f>OR(AND(IF(metadata!F177="",FALSE,TRUE),OR(EXACT(metadata!F177,"missing: not collected"),EXACT(metadata!F177,"missing: not provided"))),AND(IF(metadata!F177="",FALSE,TRUE),OR(EXACT(metadata!F177,"TRUE"),EXACT(metadata!F177,"FALSE"))))</f>
        <v>0</v>
      </c>
      <c r="AR177" t="b">
        <f>OR(AND(IF(metadata!G177="",FALSE,TRUE),OR(EXACT(metadata!G177,"missing: not collected"),EXACT(metadata!G177,"missing: not provided"),EXACT(metadata!G177,"missing: restricted access"))),AND(IF(metadata!G177="",FALSE,ISNUMBER(VALUE(metadata!G177))),metadata!G177&gt;=-413))</f>
        <v>0</v>
      </c>
      <c r="AS177" t="b">
        <f>AND(IF(metadata!H177="",FALSE,TRUE),EXACT(metadata!H177,"meters"))</f>
        <v>0</v>
      </c>
      <c r="AT177" t="b">
        <f>AND(IF(metadata!I177="",FALSE,TRUE),OR(EXACT(metadata!I177,"Host-associated"),EXACT(metadata!I177,"Free-living")))</f>
        <v>0</v>
      </c>
      <c r="AU177" t="b">
        <f>AND(IF(metadata!J177="",FALSE,TRUE),OR(EXACT(metadata!J177,"Animal"),EXACT(metadata!J177,"Fungus"),EXACT(metadata!J177,"Plant"),EXACT(metadata!J177,"Saline"),EXACT(metadata!J177,"Non-saline")))</f>
        <v>0</v>
      </c>
      <c r="AV177" t="b">
        <f>AND(IF(metadata!K177="",FALSE,TRUE),OR(EXACT(metadata!K177,"Plant secretion"),EXACT(metadata!K177,"Plant rhizosphere"),EXACT(metadata!K177,"Plant surface"),EXACT(metadata!K177,"Plant corpus"),EXACT(metadata!K177,"Fungus surface"),EXACT(metadata!K177,"Fungus corpus"),EXACT(metadata!K177,"Animal surface"),EXACT(metadata!K177,"Animal proximal gut"),EXACT(metadata!K177,"Animal corpus"),EXACT(metadata!K177,"Animal distal gut"),EXACT(metadata!K177,"Animal secretion"),EXACT(metadata!K177,"Sub-surface (non-saline)"),EXACT(metadata!K177,"Surface (non-saline)"),EXACT(metadata!K177,"Water (non-saline)"),EXACT(metadata!K177,"Soil (non-saline)"),EXACT(metadata!K177,"Aerosol (non-saline)"),EXACT(metadata!K177,"Sediment (non-saline)"),EXACT(metadata!K177,"Surface (saline)"),EXACT(metadata!K177,"Water (saline)"),EXACT(metadata!K177,"Hypersaline (saline)"),EXACT(metadata!K177,"Aerosol (saline)"),EXACT(metadata!K177,"Sediment (saline)")))</f>
        <v>0</v>
      </c>
      <c r="AW177" t="b">
        <f>IF(metadata!L177="",FALSE,TRUE)</f>
        <v>0</v>
      </c>
      <c r="AX177" t="b">
        <f>IF(metadata!M177="",FALSE,TRUE)</f>
        <v>0</v>
      </c>
      <c r="AY177" t="b">
        <f>IF(metadata!N177="",FALSE,TRUE)</f>
        <v>0</v>
      </c>
      <c r="AZ177" t="b">
        <f>OR(AND(IF(metadata!O177="",FALSE,TRUE),OR(EXACT(metadata!O177,"missing: not collected"),EXACT(metadata!O177,"missing: not provided"),EXACT(metadata!O177,"missing: restricted access"))),AND(IF(metadata!O177="",FALSE,TRUE),OR(EXACT(metadata!O177,"air"),EXACT(metadata!O177,"built environment"),EXACT(metadata!O177,"host-associated"),EXACT(metadata!O177,"human-associated"),EXACT(metadata!O177,"human-skin"),EXACT(metadata!O177,"human-oral"),EXACT(metadata!O177,"human-gut"),EXACT(metadata!O177,"human-vaginal"),EXACT(metadata!O177,"microbial mat/biofilm"),EXACT(metadata!O177,"misc environment"),EXACT(metadata!O177,"plant-associated"),EXACT(metadata!O177,"sediment"),EXACT(metadata!O177,"soil"),EXACT(metadata!O177,"wastewater/sludge"),EXACT(metadata!O177,"water"))))</f>
        <v>0</v>
      </c>
      <c r="BA177" t="b">
        <f>IF(metadata!P177="",FALSE,TRUE)</f>
        <v>0</v>
      </c>
      <c r="BB177" t="b">
        <f>IF(metadata!Q177="",FALSE,TRUE)</f>
        <v>0</v>
      </c>
      <c r="BC177" t="b">
        <f>OR(AND(IF(metadata!R177="",FALSE,TRUE),OR(EXACT(metadata!R177,"missing: not collected"),EXACT(metadata!R177,"missing: not provided"),EXACT(metadata!R177,"missing: restricted access"))),AND(IF(metadata!R177="",FALSE,ISNUMBER(VALUE(metadata!R177))),metadata!R177&gt;=-90,metadata!R177&lt;=90))</f>
        <v>0</v>
      </c>
      <c r="BD177" t="b">
        <f>AND(IF(metadata!S177="",FALSE,TRUE),EXACT(metadata!S177,"Decimal degrees"))</f>
        <v>0</v>
      </c>
      <c r="BE177" t="b">
        <f>OR(AND(IF(metadata!T177="",FALSE,TRUE),OR(EXACT(metadata!T177,"missing: not collected"),EXACT(metadata!T177,"missing: not provided"),EXACT(metadata!T177,"missing: restricted access"))),AND(IF(metadata!T177="",FALSE,ISNUMBER(VALUE(metadata!T177))),metadata!T177&gt;=-180,metadata!T177&lt;=180))</f>
        <v>0</v>
      </c>
      <c r="BF177" t="b">
        <f>AND(IF(metadata!U177="",FALSE,TRUE),EXACT(metadata!U177,"Decimal degrees"))</f>
        <v>0</v>
      </c>
      <c r="BG177" t="b">
        <f>IF(metadata!V177="",FALSE,TRUE)</f>
        <v>0</v>
      </c>
      <c r="BH177" t="b">
        <f>OR(AND(IF(metadata!W177="",FALSE,TRUE),OR(EXACT(metadata!W177,"missing: not collected"),EXACT(metadata!W177,"missing: not provided"),EXACT(metadata!W177,"missing: restricted access"))),AND(IF(metadata!W177="",FALSE,TRUE),OR(EXACT(metadata!W177,"TRUE"),EXACT(metadata!W177,"FALSE"))))</f>
        <v>0</v>
      </c>
      <c r="BI177" t="b">
        <f>AND(IF(metadata!X177="",FALSE,TRUE),EXACT(metadata!X177,"other"))</f>
        <v>0</v>
      </c>
      <c r="BJ177" t="b">
        <f>IF(metadata!Y177="",FALSE,TRUE)</f>
        <v>0</v>
      </c>
      <c r="BK177" t="b">
        <f>OR(AND(IF(metadata!Z177="",FALSE,TRUE),OR(EXACT(metadata!Z177,"missing: not collected"),EXACT(metadata!Z177,"missing: not provided"))),AND(IF(metadata!Z177="",FALSE,IF(ISERROR(INT(metadata!Z177)),FALSE,INT(metadata!Z177)=metadata!Z177)),metadata!Z177&gt;0))</f>
        <v>0</v>
      </c>
      <c r="BL177" t="b">
        <f>AND(IF(metadata!AA177="",FALSE,TRUE),EXACT(metadata!AA177,"Not applicable"))</f>
        <v>0</v>
      </c>
      <c r="BM177" t="b">
        <f>IF(metadata!AB177="",FALSE,TRUE)</f>
        <v>0</v>
      </c>
    </row>
    <row r="178" spans="1:65" x14ac:dyDescent="0.2">
      <c r="A178" s="5" t="str">
        <f ca="1">IF(B178=" "," ",HYPERLINK(CONCATENATE("#metadata!",ADDRESS(INDEX($AH$2:$AH$1001,MATCH(ROWS($AF$2:AF178),$AF$2:$AF$1001,0),0),1)),INDEX($AK$2:$AK$1001,MATCH(ROWS($AF$2:AF178),$AF$2:$AF$1001,0),0)))</f>
        <v xml:space="preserve"> </v>
      </c>
      <c r="B178" s="4" t="str">
        <f ca="1">IF(OR(INDEX($AG$2:$AG$1001,MATCH(ROWS($AF$2:AF178),$AF$2:$AF$1001,0),1)&gt;=100000,INDEX($AM$1005:$BM$1005,1,MATCH(COLUMNS($AM$1006:AM1006),$AM$1006:$BM$1006,0))&gt;=100000), " ",IF(INDEX($AM$2:$BM$1001,MATCH(ROWS($AF$2:AF178),$AF$2:$AF$1001,0),MATCH(COLUMNS($AM$1006:AM1006),$AM$1006:$BM$1006,0)), HYPERLINK("#",""), HYPERLINK(CONCATENATE("#metadata!", ADDRESS(INDEX($AH$2:$AH$1001,MATCH(ROWS($AF$2:AF178),$AF$2:$AF$1001,0),0), INDEX($AM$1004:$BM$1004,1,MATCH(COLUMNS($AM$1006:AM1006),$AM$1006:$BM$1006,0)))),"Fix")))</f>
        <v xml:space="preserve"> </v>
      </c>
      <c r="C178" s="4" t="str">
        <f ca="1">IF(OR(INDEX($AG$2:$AG$1001,MATCH(ROWS($AF$2:AF178),$AF$2:$AF$1001,0),1)&gt;=100000,INDEX($AM$1005:$BM$1005,1,MATCH(COLUMNS($AM$1006:AN1006),$AM$1006:$BM$1006,0))&gt;=100000), " ",IF(INDEX($AM$2:$BM$1001,MATCH(ROWS($AF$2:AF178),$AF$2:$AF$1001,0),MATCH(COLUMNS($AM$1006:AN1006),$AM$1006:$BM$1006,0)), HYPERLINK("#",""), HYPERLINK(CONCATENATE("#metadata!", ADDRESS(INDEX($AH$2:$AH$1001,MATCH(ROWS($AF$2:AF178),$AF$2:$AF$1001,0),0), INDEX($AM$1004:$BM$1004,1,MATCH(COLUMNS($AM$1006:AN1006),$AM$1006:$BM$1006,0)))),"Fix")))</f>
        <v xml:space="preserve"> </v>
      </c>
      <c r="D178" s="4" t="str">
        <f ca="1">IF(OR(INDEX($AG$2:$AG$1001,MATCH(ROWS($AF$2:AF178),$AF$2:$AF$1001,0),1)&gt;=100000,INDEX($AM$1005:$BM$1005,1,MATCH(COLUMNS($AM$1006:AO1006),$AM$1006:$BM$1006,0))&gt;=100000), " ",IF(INDEX($AM$2:$BM$1001,MATCH(ROWS($AF$2:AF178),$AF$2:$AF$1001,0),MATCH(COLUMNS($AM$1006:AO1006),$AM$1006:$BM$1006,0)), HYPERLINK("#",""), HYPERLINK(CONCATENATE("#metadata!", ADDRESS(INDEX($AH$2:$AH$1001,MATCH(ROWS($AF$2:AF178),$AF$2:$AF$1001,0),0), INDEX($AM$1004:$BM$1004,1,MATCH(COLUMNS($AM$1006:AO1006),$AM$1006:$BM$1006,0)))),"Fix")))</f>
        <v xml:space="preserve"> </v>
      </c>
      <c r="E178" s="4" t="str">
        <f ca="1">IF(OR(INDEX($AG$2:$AG$1001,MATCH(ROWS($AF$2:AF178),$AF$2:$AF$1001,0),1)&gt;=100000,INDEX($AM$1005:$BM$1005,1,MATCH(COLUMNS($AM$1006:AP1006),$AM$1006:$BM$1006,0))&gt;=100000), " ",IF(INDEX($AM$2:$BM$1001,MATCH(ROWS($AF$2:AF178),$AF$2:$AF$1001,0),MATCH(COLUMNS($AM$1006:AP1006),$AM$1006:$BM$1006,0)), HYPERLINK("#",""), HYPERLINK(CONCATENATE("#metadata!", ADDRESS(INDEX($AH$2:$AH$1001,MATCH(ROWS($AF$2:AF178),$AF$2:$AF$1001,0),0), INDEX($AM$1004:$BM$1004,1,MATCH(COLUMNS($AM$1006:AP1006),$AM$1006:$BM$1006,0)))),"Fix")))</f>
        <v xml:space="preserve"> </v>
      </c>
      <c r="F178" s="4" t="str">
        <f ca="1">IF(OR(INDEX($AG$2:$AG$1001,MATCH(ROWS($AF$2:AF178),$AF$2:$AF$1001,0),1)&gt;=100000,INDEX($AM$1005:$BM$1005,1,MATCH(COLUMNS($AM$1006:AQ1006),$AM$1006:$BM$1006,0))&gt;=100000), " ",IF(INDEX($AM$2:$BM$1001,MATCH(ROWS($AF$2:AF178),$AF$2:$AF$1001,0),MATCH(COLUMNS($AM$1006:AQ1006),$AM$1006:$BM$1006,0)), HYPERLINK("#",""), HYPERLINK(CONCATENATE("#metadata!", ADDRESS(INDEX($AH$2:$AH$1001,MATCH(ROWS($AF$2:AF178),$AF$2:$AF$1001,0),0), INDEX($AM$1004:$BM$1004,1,MATCH(COLUMNS($AM$1006:AQ1006),$AM$1006:$BM$1006,0)))),"Fix")))</f>
        <v xml:space="preserve"> </v>
      </c>
      <c r="G178" s="4" t="str">
        <f ca="1">IF(OR(INDEX($AG$2:$AG$1001,MATCH(ROWS($AF$2:AF178),$AF$2:$AF$1001,0),1)&gt;=100000,INDEX($AM$1005:$BM$1005,1,MATCH(COLUMNS($AM$1006:AR1006),$AM$1006:$BM$1006,0))&gt;=100000), " ",IF(INDEX($AM$2:$BM$1001,MATCH(ROWS($AF$2:AF178),$AF$2:$AF$1001,0),MATCH(COLUMNS($AM$1006:AR1006),$AM$1006:$BM$1006,0)), HYPERLINK("#",""), HYPERLINK(CONCATENATE("#metadata!", ADDRESS(INDEX($AH$2:$AH$1001,MATCH(ROWS($AF$2:AF178),$AF$2:$AF$1001,0),0), INDEX($AM$1004:$BM$1004,1,MATCH(COLUMNS($AM$1006:AR1006),$AM$1006:$BM$1006,0)))),"Fix")))</f>
        <v xml:space="preserve"> </v>
      </c>
      <c r="H178" s="4" t="str">
        <f ca="1">IF(OR(INDEX($AG$2:$AG$1001,MATCH(ROWS($AF$2:AF178),$AF$2:$AF$1001,0),1)&gt;=100000,INDEX($AM$1005:$BM$1005,1,MATCH(COLUMNS($AM$1006:AS1006),$AM$1006:$BM$1006,0))&gt;=100000), " ",IF(INDEX($AM$2:$BM$1001,MATCH(ROWS($AF$2:AF178),$AF$2:$AF$1001,0),MATCH(COLUMNS($AM$1006:AS1006),$AM$1006:$BM$1006,0)), HYPERLINK("#",""), HYPERLINK(CONCATENATE("#metadata!", ADDRESS(INDEX($AH$2:$AH$1001,MATCH(ROWS($AF$2:AF178),$AF$2:$AF$1001,0),0), INDEX($AM$1004:$BM$1004,1,MATCH(COLUMNS($AM$1006:AS1006),$AM$1006:$BM$1006,0)))),"Fix")))</f>
        <v xml:space="preserve"> </v>
      </c>
      <c r="I178" s="4" t="str">
        <f ca="1">IF(OR(INDEX($AG$2:$AG$1001,MATCH(ROWS($AF$2:AF178),$AF$2:$AF$1001,0),1)&gt;=100000,INDEX($AM$1005:$BM$1005,1,MATCH(COLUMNS($AM$1006:AT1006),$AM$1006:$BM$1006,0))&gt;=100000), " ",IF(INDEX($AM$2:$BM$1001,MATCH(ROWS($AF$2:AF178),$AF$2:$AF$1001,0),MATCH(COLUMNS($AM$1006:AT1006),$AM$1006:$BM$1006,0)), HYPERLINK("#",""), HYPERLINK(CONCATENATE("#metadata!", ADDRESS(INDEX($AH$2:$AH$1001,MATCH(ROWS($AF$2:AF178),$AF$2:$AF$1001,0),0), INDEX($AM$1004:$BM$1004,1,MATCH(COLUMNS($AM$1006:AT1006),$AM$1006:$BM$1006,0)))),"Fix")))</f>
        <v xml:space="preserve"> </v>
      </c>
      <c r="J178" s="4" t="str">
        <f ca="1">IF(OR(INDEX($AG$2:$AG$1001,MATCH(ROWS($AF$2:AF178),$AF$2:$AF$1001,0),1)&gt;=100000,INDEX($AM$1005:$BM$1005,1,MATCH(COLUMNS($AM$1006:AU1006),$AM$1006:$BM$1006,0))&gt;=100000), " ",IF(INDEX($AM$2:$BM$1001,MATCH(ROWS($AF$2:AF178),$AF$2:$AF$1001,0),MATCH(COLUMNS($AM$1006:AU1006),$AM$1006:$BM$1006,0)), HYPERLINK("#",""), HYPERLINK(CONCATENATE("#metadata!", ADDRESS(INDEX($AH$2:$AH$1001,MATCH(ROWS($AF$2:AF178),$AF$2:$AF$1001,0),0), INDEX($AM$1004:$BM$1004,1,MATCH(COLUMNS($AM$1006:AU1006),$AM$1006:$BM$1006,0)))),"Fix")))</f>
        <v xml:space="preserve"> </v>
      </c>
      <c r="K178" s="4" t="str">
        <f ca="1">IF(OR(INDEX($AG$2:$AG$1001,MATCH(ROWS($AF$2:AF178),$AF$2:$AF$1001,0),1)&gt;=100000,INDEX($AM$1005:$BM$1005,1,MATCH(COLUMNS($AM$1006:AV1006),$AM$1006:$BM$1006,0))&gt;=100000), " ",IF(INDEX($AM$2:$BM$1001,MATCH(ROWS($AF$2:AF178),$AF$2:$AF$1001,0),MATCH(COLUMNS($AM$1006:AV1006),$AM$1006:$BM$1006,0)), HYPERLINK("#",""), HYPERLINK(CONCATENATE("#metadata!", ADDRESS(INDEX($AH$2:$AH$1001,MATCH(ROWS($AF$2:AF178),$AF$2:$AF$1001,0),0), INDEX($AM$1004:$BM$1004,1,MATCH(COLUMNS($AM$1006:AV1006),$AM$1006:$BM$1006,0)))),"Fix")))</f>
        <v xml:space="preserve"> </v>
      </c>
      <c r="L178" s="4" t="str">
        <f ca="1">IF(OR(INDEX($AG$2:$AG$1001,MATCH(ROWS($AF$2:AF178),$AF$2:$AF$1001,0),1)&gt;=100000,INDEX($AM$1005:$BM$1005,1,MATCH(COLUMNS($AM$1006:AW1006),$AM$1006:$BM$1006,0))&gt;=100000), " ",IF(INDEX($AM$2:$BM$1001,MATCH(ROWS($AF$2:AF178),$AF$2:$AF$1001,0),MATCH(COLUMNS($AM$1006:AW1006),$AM$1006:$BM$1006,0)), HYPERLINK("#",""), HYPERLINK(CONCATENATE("#metadata!", ADDRESS(INDEX($AH$2:$AH$1001,MATCH(ROWS($AF$2:AF178),$AF$2:$AF$1001,0),0), INDEX($AM$1004:$BM$1004,1,MATCH(COLUMNS($AM$1006:AW1006),$AM$1006:$BM$1006,0)))),"Fix")))</f>
        <v xml:space="preserve"> </v>
      </c>
      <c r="M178" s="4" t="str">
        <f ca="1">IF(OR(INDEX($AG$2:$AG$1001,MATCH(ROWS($AF$2:AF178),$AF$2:$AF$1001,0),1)&gt;=100000,INDEX($AM$1005:$BM$1005,1,MATCH(COLUMNS($AM$1006:AX1006),$AM$1006:$BM$1006,0))&gt;=100000), " ",IF(INDEX($AM$2:$BM$1001,MATCH(ROWS($AF$2:AF178),$AF$2:$AF$1001,0),MATCH(COLUMNS($AM$1006:AX1006),$AM$1006:$BM$1006,0)), HYPERLINK("#",""), HYPERLINK(CONCATENATE("#metadata!", ADDRESS(INDEX($AH$2:$AH$1001,MATCH(ROWS($AF$2:AF178),$AF$2:$AF$1001,0),0), INDEX($AM$1004:$BM$1004,1,MATCH(COLUMNS($AM$1006:AX1006),$AM$1006:$BM$1006,0)))),"Fix")))</f>
        <v xml:space="preserve"> </v>
      </c>
      <c r="N178" s="4" t="str">
        <f ca="1">IF(OR(INDEX($AG$2:$AG$1001,MATCH(ROWS($AF$2:AF178),$AF$2:$AF$1001,0),1)&gt;=100000,INDEX($AM$1005:$BM$1005,1,MATCH(COLUMNS($AM$1006:AY1006),$AM$1006:$BM$1006,0))&gt;=100000), " ",IF(INDEX($AM$2:$BM$1001,MATCH(ROWS($AF$2:AF178),$AF$2:$AF$1001,0),MATCH(COLUMNS($AM$1006:AY1006),$AM$1006:$BM$1006,0)), HYPERLINK("#",""), HYPERLINK(CONCATENATE("#metadata!", ADDRESS(INDEX($AH$2:$AH$1001,MATCH(ROWS($AF$2:AF178),$AF$2:$AF$1001,0),0), INDEX($AM$1004:$BM$1004,1,MATCH(COLUMNS($AM$1006:AY1006),$AM$1006:$BM$1006,0)))),"Fix")))</f>
        <v xml:space="preserve"> </v>
      </c>
      <c r="O178" s="4" t="str">
        <f ca="1">IF(OR(INDEX($AG$2:$AG$1001,MATCH(ROWS($AF$2:AF178),$AF$2:$AF$1001,0),1)&gt;=100000,INDEX($AM$1005:$BM$1005,1,MATCH(COLUMNS($AM$1006:AZ1006),$AM$1006:$BM$1006,0))&gt;=100000), " ",IF(INDEX($AM$2:$BM$1001,MATCH(ROWS($AF$2:AF178),$AF$2:$AF$1001,0),MATCH(COLUMNS($AM$1006:AZ1006),$AM$1006:$BM$1006,0)), HYPERLINK("#",""), HYPERLINK(CONCATENATE("#metadata!", ADDRESS(INDEX($AH$2:$AH$1001,MATCH(ROWS($AF$2:AF178),$AF$2:$AF$1001,0),0), INDEX($AM$1004:$BM$1004,1,MATCH(COLUMNS($AM$1006:AZ1006),$AM$1006:$BM$1006,0)))),"Fix")))</f>
        <v xml:space="preserve"> </v>
      </c>
      <c r="P178" s="4" t="str">
        <f ca="1">IF(OR(INDEX($AG$2:$AG$1001,MATCH(ROWS($AF$2:AF178),$AF$2:$AF$1001,0),1)&gt;=100000,INDEX($AM$1005:$BM$1005,1,MATCH(COLUMNS($AM$1006:BA1006),$AM$1006:$BM$1006,0))&gt;=100000), " ",IF(INDEX($AM$2:$BM$1001,MATCH(ROWS($AF$2:AF178),$AF$2:$AF$1001,0),MATCH(COLUMNS($AM$1006:BA1006),$AM$1006:$BM$1006,0)), HYPERLINK("#",""), HYPERLINK(CONCATENATE("#metadata!", ADDRESS(INDEX($AH$2:$AH$1001,MATCH(ROWS($AF$2:AF178),$AF$2:$AF$1001,0),0), INDEX($AM$1004:$BM$1004,1,MATCH(COLUMNS($AM$1006:BA1006),$AM$1006:$BM$1006,0)))),"Fix")))</f>
        <v xml:space="preserve"> </v>
      </c>
      <c r="Q178" s="4" t="str">
        <f ca="1">IF(OR(INDEX($AG$2:$AG$1001,MATCH(ROWS($AF$2:AF178),$AF$2:$AF$1001,0),1)&gt;=100000,INDEX($AM$1005:$BM$1005,1,MATCH(COLUMNS($AM$1006:BB1006),$AM$1006:$BM$1006,0))&gt;=100000), " ",IF(INDEX($AM$2:$BM$1001,MATCH(ROWS($AF$2:AF178),$AF$2:$AF$1001,0),MATCH(COLUMNS($AM$1006:BB1006),$AM$1006:$BM$1006,0)), HYPERLINK("#",""), HYPERLINK(CONCATENATE("#metadata!", ADDRESS(INDEX($AH$2:$AH$1001,MATCH(ROWS($AF$2:AF178),$AF$2:$AF$1001,0),0), INDEX($AM$1004:$BM$1004,1,MATCH(COLUMNS($AM$1006:BB1006),$AM$1006:$BM$1006,0)))),"Fix")))</f>
        <v xml:space="preserve"> </v>
      </c>
      <c r="R178" s="4" t="str">
        <f ca="1">IF(OR(INDEX($AG$2:$AG$1001,MATCH(ROWS($AF$2:AF178),$AF$2:$AF$1001,0),1)&gt;=100000,INDEX($AM$1005:$BM$1005,1,MATCH(COLUMNS($AM$1006:BC1006),$AM$1006:$BM$1006,0))&gt;=100000), " ",IF(INDEX($AM$2:$BM$1001,MATCH(ROWS($AF$2:AF178),$AF$2:$AF$1001,0),MATCH(COLUMNS($AM$1006:BC1006),$AM$1006:$BM$1006,0)), HYPERLINK("#",""), HYPERLINK(CONCATENATE("#metadata!", ADDRESS(INDEX($AH$2:$AH$1001,MATCH(ROWS($AF$2:AF178),$AF$2:$AF$1001,0),0), INDEX($AM$1004:$BM$1004,1,MATCH(COLUMNS($AM$1006:BC1006),$AM$1006:$BM$1006,0)))),"Fix")))</f>
        <v xml:space="preserve"> </v>
      </c>
      <c r="S178" s="4" t="str">
        <f ca="1">IF(OR(INDEX($AG$2:$AG$1001,MATCH(ROWS($AF$2:AF178),$AF$2:$AF$1001,0),1)&gt;=100000,INDEX($AM$1005:$BM$1005,1,MATCH(COLUMNS($AM$1006:BD1006),$AM$1006:$BM$1006,0))&gt;=100000), " ",IF(INDEX($AM$2:$BM$1001,MATCH(ROWS($AF$2:AF178),$AF$2:$AF$1001,0),MATCH(COLUMNS($AM$1006:BD1006),$AM$1006:$BM$1006,0)), HYPERLINK("#",""), HYPERLINK(CONCATENATE("#metadata!", ADDRESS(INDEX($AH$2:$AH$1001,MATCH(ROWS($AF$2:AF178),$AF$2:$AF$1001,0),0), INDEX($AM$1004:$BM$1004,1,MATCH(COLUMNS($AM$1006:BD1006),$AM$1006:$BM$1006,0)))),"Fix")))</f>
        <v xml:space="preserve"> </v>
      </c>
      <c r="T178" s="4" t="str">
        <f ca="1">IF(OR(INDEX($AG$2:$AG$1001,MATCH(ROWS($AF$2:AF178),$AF$2:$AF$1001,0),1)&gt;=100000,INDEX($AM$1005:$BM$1005,1,MATCH(COLUMNS($AM$1006:BE1006),$AM$1006:$BM$1006,0))&gt;=100000), " ",IF(INDEX($AM$2:$BM$1001,MATCH(ROWS($AF$2:AF178),$AF$2:$AF$1001,0),MATCH(COLUMNS($AM$1006:BE1006),$AM$1006:$BM$1006,0)), HYPERLINK("#",""), HYPERLINK(CONCATENATE("#metadata!", ADDRESS(INDEX($AH$2:$AH$1001,MATCH(ROWS($AF$2:AF178),$AF$2:$AF$1001,0),0), INDEX($AM$1004:$BM$1004,1,MATCH(COLUMNS($AM$1006:BE1006),$AM$1006:$BM$1006,0)))),"Fix")))</f>
        <v xml:space="preserve"> </v>
      </c>
      <c r="U178" s="4" t="str">
        <f ca="1">IF(OR(INDEX($AG$2:$AG$1001,MATCH(ROWS($AF$2:AF178),$AF$2:$AF$1001,0),1)&gt;=100000,INDEX($AM$1005:$BM$1005,1,MATCH(COLUMNS($AM$1006:BF1006),$AM$1006:$BM$1006,0))&gt;=100000), " ",IF(INDEX($AM$2:$BM$1001,MATCH(ROWS($AF$2:AF178),$AF$2:$AF$1001,0),MATCH(COLUMNS($AM$1006:BF1006),$AM$1006:$BM$1006,0)), HYPERLINK("#",""), HYPERLINK(CONCATENATE("#metadata!", ADDRESS(INDEX($AH$2:$AH$1001,MATCH(ROWS($AF$2:AF178),$AF$2:$AF$1001,0),0), INDEX($AM$1004:$BM$1004,1,MATCH(COLUMNS($AM$1006:BF1006),$AM$1006:$BM$1006,0)))),"Fix")))</f>
        <v xml:space="preserve"> </v>
      </c>
      <c r="V178" s="4" t="str">
        <f ca="1">IF(OR(INDEX($AG$2:$AG$1001,MATCH(ROWS($AF$2:AF178),$AF$2:$AF$1001,0),1)&gt;=100000,INDEX($AM$1005:$BM$1005,1,MATCH(COLUMNS($AM$1006:BG1006),$AM$1006:$BM$1006,0))&gt;=100000), " ",IF(INDEX($AM$2:$BM$1001,MATCH(ROWS($AF$2:AF178),$AF$2:$AF$1001,0),MATCH(COLUMNS($AM$1006:BG1006),$AM$1006:$BM$1006,0)), HYPERLINK("#",""), HYPERLINK(CONCATENATE("#metadata!", ADDRESS(INDEX($AH$2:$AH$1001,MATCH(ROWS($AF$2:AF178),$AF$2:$AF$1001,0),0), INDEX($AM$1004:$BM$1004,1,MATCH(COLUMNS($AM$1006:BG1006),$AM$1006:$BM$1006,0)))),"Fix")))</f>
        <v xml:space="preserve"> </v>
      </c>
      <c r="W178" s="4" t="str">
        <f ca="1">IF(OR(INDEX($AG$2:$AG$1001,MATCH(ROWS($AF$2:AF178),$AF$2:$AF$1001,0),1)&gt;=100000,INDEX($AM$1005:$BM$1005,1,MATCH(COLUMNS($AM$1006:BH1006),$AM$1006:$BM$1006,0))&gt;=100000), " ",IF(INDEX($AM$2:$BM$1001,MATCH(ROWS($AF$2:AF178),$AF$2:$AF$1001,0),MATCH(COLUMNS($AM$1006:BH1006),$AM$1006:$BM$1006,0)), HYPERLINK("#",""), HYPERLINK(CONCATENATE("#metadata!", ADDRESS(INDEX($AH$2:$AH$1001,MATCH(ROWS($AF$2:AF178),$AF$2:$AF$1001,0),0), INDEX($AM$1004:$BM$1004,1,MATCH(COLUMNS($AM$1006:BH1006),$AM$1006:$BM$1006,0)))),"Fix")))</f>
        <v xml:space="preserve"> </v>
      </c>
      <c r="X178" s="4" t="str">
        <f ca="1">IF(OR(INDEX($AG$2:$AG$1001,MATCH(ROWS($AF$2:AF178),$AF$2:$AF$1001,0),1)&gt;=100000,INDEX($AM$1005:$BM$1005,1,MATCH(COLUMNS($AM$1006:BI1006),$AM$1006:$BM$1006,0))&gt;=100000), " ",IF(INDEX($AM$2:$BM$1001,MATCH(ROWS($AF$2:AF178),$AF$2:$AF$1001,0),MATCH(COLUMNS($AM$1006:BI1006),$AM$1006:$BM$1006,0)), HYPERLINK("#",""), HYPERLINK(CONCATENATE("#metadata!", ADDRESS(INDEX($AH$2:$AH$1001,MATCH(ROWS($AF$2:AF178),$AF$2:$AF$1001,0),0), INDEX($AM$1004:$BM$1004,1,MATCH(COLUMNS($AM$1006:BI1006),$AM$1006:$BM$1006,0)))),"Fix")))</f>
        <v xml:space="preserve"> </v>
      </c>
      <c r="Y178" s="4" t="str">
        <f ca="1">IF(OR(INDEX($AG$2:$AG$1001,MATCH(ROWS($AF$2:AF178),$AF$2:$AF$1001,0),1)&gt;=100000,INDEX($AM$1005:$BM$1005,1,MATCH(COLUMNS($AM$1006:BJ1006),$AM$1006:$BM$1006,0))&gt;=100000), " ",IF(INDEX($AM$2:$BM$1001,MATCH(ROWS($AF$2:AF178),$AF$2:$AF$1001,0),MATCH(COLUMNS($AM$1006:BJ1006),$AM$1006:$BM$1006,0)), HYPERLINK("#",""), HYPERLINK(CONCATENATE("#metadata!", ADDRESS(INDEX($AH$2:$AH$1001,MATCH(ROWS($AF$2:AF178),$AF$2:$AF$1001,0),0), INDEX($AM$1004:$BM$1004,1,MATCH(COLUMNS($AM$1006:BJ1006),$AM$1006:$BM$1006,0)))),"Fix")))</f>
        <v xml:space="preserve"> </v>
      </c>
      <c r="Z178" s="4" t="str">
        <f ca="1">IF(OR(INDEX($AG$2:$AG$1001,MATCH(ROWS($AF$2:AF178),$AF$2:$AF$1001,0),1)&gt;=100000,INDEX($AM$1005:$BM$1005,1,MATCH(COLUMNS($AM$1006:BK1006),$AM$1006:$BM$1006,0))&gt;=100000), " ",IF(INDEX($AM$2:$BM$1001,MATCH(ROWS($AF$2:AF178),$AF$2:$AF$1001,0),MATCH(COLUMNS($AM$1006:BK1006),$AM$1006:$BM$1006,0)), HYPERLINK("#",""), HYPERLINK(CONCATENATE("#metadata!", ADDRESS(INDEX($AH$2:$AH$1001,MATCH(ROWS($AF$2:AF178),$AF$2:$AF$1001,0),0), INDEX($AM$1004:$BM$1004,1,MATCH(COLUMNS($AM$1006:BK1006),$AM$1006:$BM$1006,0)))),"Fix")))</f>
        <v xml:space="preserve"> </v>
      </c>
      <c r="AA178" s="4" t="str">
        <f ca="1">IF(OR(INDEX($AG$2:$AG$1001,MATCH(ROWS($AF$2:AF178),$AF$2:$AF$1001,0),1)&gt;=100000,INDEX($AM$1005:$BM$1005,1,MATCH(COLUMNS($AM$1006:BL1006),$AM$1006:$BM$1006,0))&gt;=100000), " ",IF(INDEX($AM$2:$BM$1001,MATCH(ROWS($AF$2:AF178),$AF$2:$AF$1001,0),MATCH(COLUMNS($AM$1006:BL1006),$AM$1006:$BM$1006,0)), HYPERLINK("#",""), HYPERLINK(CONCATENATE("#metadata!", ADDRESS(INDEX($AH$2:$AH$1001,MATCH(ROWS($AF$2:AF178),$AF$2:$AF$1001,0),0), INDEX($AM$1004:$BM$1004,1,MATCH(COLUMNS($AM$1006:BL1006),$AM$1006:$BM$1006,0)))),"Fix")))</f>
        <v xml:space="preserve"> </v>
      </c>
      <c r="AB178" s="4" t="str">
        <f ca="1">IF(OR(INDEX($AG$2:$AG$1001,MATCH(ROWS($AF$2:AF178),$AF$2:$AF$1001,0),1)&gt;=100000,INDEX($AM$1005:$BM$1005,1,MATCH(COLUMNS($AM$1006:BM1006),$AM$1006:$BM$1006,0))&gt;=100000), " ",IF(INDEX($AM$2:$BM$1001,MATCH(ROWS($AF$2:AF178),$AF$2:$AF$1001,0),MATCH(COLUMNS($AM$1006:BM1006),$AM$1006:$BM$1006,0)), HYPERLINK("#",""), HYPERLINK(CONCATENATE("#metadata!", ADDRESS(INDEX($AH$2:$AH$1001,MATCH(ROWS($AF$2:AF178),$AF$2:$AF$1001,0),0), INDEX($AM$1004:$BM$1004,1,MATCH(COLUMNS($AM$1006:BM1006),$AM$1006:$BM$1006,0)))),"Fix")))</f>
        <v xml:space="preserve"> </v>
      </c>
      <c r="AF178">
        <v>177</v>
      </c>
      <c r="AG178">
        <v>100178</v>
      </c>
      <c r="AH178">
        <v>178</v>
      </c>
      <c r="AI178" t="b">
        <f t="shared" si="2"/>
        <v>1</v>
      </c>
      <c r="AJ178" t="b">
        <f>COUNTBLANK(metadata!B178:AB178)=COLUMNS(metadata!B178:AB178)</f>
        <v>1</v>
      </c>
      <c r="AK178" t="str">
        <v/>
      </c>
      <c r="AM178" t="b">
        <f ca="1">AND(IF(metadata!B178="",FALSE,TRUE),COUNTIF(metadata!B:B, metadata!B178) = 1,NOT(ISERROR(SUMPRODUCT(SEARCH(MID(metadata!B178,ROW(INDIRECT("1:"&amp;LEN(metadata!B178))), 1),"0123456789abcdefghijklmnopqrstuvwxyzABCDEFGHIJKLMNOPQRSTUVWXYZ.")))))</f>
        <v>0</v>
      </c>
      <c r="AN178" t="b">
        <f ca="1">OR(AND(IF(metadata!C178="",FALSE,TRUE),OR(EXACT(metadata!C178,"missing: not collected"),EXACT(metadata!C178,"missing: not provided"),EXACT(metadata!C178,"missing: restricted access"))),AND(IF(metadata!C178="",FALSE,TRUE),AND(AND(IFERROR(INT(LEFT(metadata!C178,4))&gt;1900,FALSE),IFERROR(INT(LEFT(metadata!C178,4))&lt;=YEAR(NOW()),FALSE)), OR(MID(metadata!C178,5,1)="", AND(AND(MID(metadata!C178,5,1)="-",IFERROR(INT(MID(metadata!C178,6,1))&gt;=0,FALSE),IFERROR(INT(MID(metadata!C178,6,1))&lt;=1,FALSE),NOT(MID(metadata!C178,7,1)=""),IFERROR(INT(MID(metadata!C178,6,2))&gt;=1,FALSE),IFERROR(INT(MID(metadata!C178,6,2))&lt;=12,FALSE)), OR(MID(metadata!C178,8,1)="", AND(AND(MID(metadata!C178,8,1)="-",IFERROR(INT(MID(metadata!C178,9,1))&gt;=0,FALSE),IFERROR(INT(MID(metadata!C178,9,1))&lt;=3,FALSE),NOT(MID(metadata!C178,10,1)=""),IFERROR(INT(MID(metadata!C178,9,2))&gt;=1,FALSE),IFERROR(INT(MID(metadata!C178,9,2))&lt;=31,FALSE)), OR(MID(metadata!C178,11,1)="", AND(AND(MID(metadata!C178,11,1)=" ",IFERROR(INT(MID(metadata!C178,12,1))&gt;=0,FALSE),IFERROR(INT(MID(metadata!C178,12,1))&lt;=2,FALSE),NOT(MID(metadata!C178,13,1)=""),IFERROR(INT(MID(metadata!C178,12,2))&gt;=0,FALSE),IFERROR(INT(MID(metadata!C178,12,2))&lt;=23,FALSE)), OR(MID(metadata!C178,14,1)="", AND(AND(MID(metadata!C178,14,1)=":",IFERROR(INT(MID(metadata!C178,15,1))&gt;=0,FALSE),IFERROR(INT(MID(metadata!C178,15,1))&lt;=5,FALSE),NOT(MID(metadata!C178,16,1)=""),IFERROR(INT(MID(metadata!C178,15,2))&gt;=0,FALSE),IFERROR(INT(MID(metadata!C178,15,2))&lt;=59,FALSE)), OR(MID(metadata!C178,17,1)="", AND(AND(MID(metadata!C178,17,1)=":",IFERROR(INT(MID(metadata!C178,18,1))&gt;=0,FALSE),IFERROR(INT(MID(metadata!C178,18,1))&lt;=5,FALSE),NOT(MID(metadata!C178,19,1)=""),IFERROR(INT(MID(metadata!C178,18,2))&gt;=0,FALSE),IFERROR(INT(MID(metadata!C178,18,2))&lt;=59,FALSE)), LEN(metadata!C178)&lt;=19)))))))))))))</f>
        <v>0</v>
      </c>
      <c r="AO178" t="b">
        <f>AND(IF(metadata!D178="",FALSE,TRUE),EXACT(metadata!D178,"Not applicable"))</f>
        <v>0</v>
      </c>
      <c r="AP178" t="b">
        <f>IF(metadata!E178="",FALSE,TRUE)</f>
        <v>0</v>
      </c>
      <c r="AQ178" t="b">
        <f>OR(AND(IF(metadata!F178="",FALSE,TRUE),OR(EXACT(metadata!F178,"missing: not collected"),EXACT(metadata!F178,"missing: not provided"))),AND(IF(metadata!F178="",FALSE,TRUE),OR(EXACT(metadata!F178,"TRUE"),EXACT(metadata!F178,"FALSE"))))</f>
        <v>0</v>
      </c>
      <c r="AR178" t="b">
        <f>OR(AND(IF(metadata!G178="",FALSE,TRUE),OR(EXACT(metadata!G178,"missing: not collected"),EXACT(metadata!G178,"missing: not provided"),EXACT(metadata!G178,"missing: restricted access"))),AND(IF(metadata!G178="",FALSE,ISNUMBER(VALUE(metadata!G178))),metadata!G178&gt;=-413))</f>
        <v>0</v>
      </c>
      <c r="AS178" t="b">
        <f>AND(IF(metadata!H178="",FALSE,TRUE),EXACT(metadata!H178,"meters"))</f>
        <v>0</v>
      </c>
      <c r="AT178" t="b">
        <f>AND(IF(metadata!I178="",FALSE,TRUE),OR(EXACT(metadata!I178,"Host-associated"),EXACT(metadata!I178,"Free-living")))</f>
        <v>0</v>
      </c>
      <c r="AU178" t="b">
        <f>AND(IF(metadata!J178="",FALSE,TRUE),OR(EXACT(metadata!J178,"Animal"),EXACT(metadata!J178,"Fungus"),EXACT(metadata!J178,"Plant"),EXACT(metadata!J178,"Saline"),EXACT(metadata!J178,"Non-saline")))</f>
        <v>0</v>
      </c>
      <c r="AV178" t="b">
        <f>AND(IF(metadata!K178="",FALSE,TRUE),OR(EXACT(metadata!K178,"Plant secretion"),EXACT(metadata!K178,"Plant rhizosphere"),EXACT(metadata!K178,"Plant surface"),EXACT(metadata!K178,"Plant corpus"),EXACT(metadata!K178,"Fungus surface"),EXACT(metadata!K178,"Fungus corpus"),EXACT(metadata!K178,"Animal surface"),EXACT(metadata!K178,"Animal proximal gut"),EXACT(metadata!K178,"Animal corpus"),EXACT(metadata!K178,"Animal distal gut"),EXACT(metadata!K178,"Animal secretion"),EXACT(metadata!K178,"Sub-surface (non-saline)"),EXACT(metadata!K178,"Surface (non-saline)"),EXACT(metadata!K178,"Water (non-saline)"),EXACT(metadata!K178,"Soil (non-saline)"),EXACT(metadata!K178,"Aerosol (non-saline)"),EXACT(metadata!K178,"Sediment (non-saline)"),EXACT(metadata!K178,"Surface (saline)"),EXACT(metadata!K178,"Water (saline)"),EXACT(metadata!K178,"Hypersaline (saline)"),EXACT(metadata!K178,"Aerosol (saline)"),EXACT(metadata!K178,"Sediment (saline)")))</f>
        <v>0</v>
      </c>
      <c r="AW178" t="b">
        <f>IF(metadata!L178="",FALSE,TRUE)</f>
        <v>0</v>
      </c>
      <c r="AX178" t="b">
        <f>IF(metadata!M178="",FALSE,TRUE)</f>
        <v>0</v>
      </c>
      <c r="AY178" t="b">
        <f>IF(metadata!N178="",FALSE,TRUE)</f>
        <v>0</v>
      </c>
      <c r="AZ178" t="b">
        <f>OR(AND(IF(metadata!O178="",FALSE,TRUE),OR(EXACT(metadata!O178,"missing: not collected"),EXACT(metadata!O178,"missing: not provided"),EXACT(metadata!O178,"missing: restricted access"))),AND(IF(metadata!O178="",FALSE,TRUE),OR(EXACT(metadata!O178,"air"),EXACT(metadata!O178,"built environment"),EXACT(metadata!O178,"host-associated"),EXACT(metadata!O178,"human-associated"),EXACT(metadata!O178,"human-skin"),EXACT(metadata!O178,"human-oral"),EXACT(metadata!O178,"human-gut"),EXACT(metadata!O178,"human-vaginal"),EXACT(metadata!O178,"microbial mat/biofilm"),EXACT(metadata!O178,"misc environment"),EXACT(metadata!O178,"plant-associated"),EXACT(metadata!O178,"sediment"),EXACT(metadata!O178,"soil"),EXACT(metadata!O178,"wastewater/sludge"),EXACT(metadata!O178,"water"))))</f>
        <v>0</v>
      </c>
      <c r="BA178" t="b">
        <f>IF(metadata!P178="",FALSE,TRUE)</f>
        <v>0</v>
      </c>
      <c r="BB178" t="b">
        <f>IF(metadata!Q178="",FALSE,TRUE)</f>
        <v>0</v>
      </c>
      <c r="BC178" t="b">
        <f>OR(AND(IF(metadata!R178="",FALSE,TRUE),OR(EXACT(metadata!R178,"missing: not collected"),EXACT(metadata!R178,"missing: not provided"),EXACT(metadata!R178,"missing: restricted access"))),AND(IF(metadata!R178="",FALSE,ISNUMBER(VALUE(metadata!R178))),metadata!R178&gt;=-90,metadata!R178&lt;=90))</f>
        <v>0</v>
      </c>
      <c r="BD178" t="b">
        <f>AND(IF(metadata!S178="",FALSE,TRUE),EXACT(metadata!S178,"Decimal degrees"))</f>
        <v>0</v>
      </c>
      <c r="BE178" t="b">
        <f>OR(AND(IF(metadata!T178="",FALSE,TRUE),OR(EXACT(metadata!T178,"missing: not collected"),EXACT(metadata!T178,"missing: not provided"),EXACT(metadata!T178,"missing: restricted access"))),AND(IF(metadata!T178="",FALSE,ISNUMBER(VALUE(metadata!T178))),metadata!T178&gt;=-180,metadata!T178&lt;=180))</f>
        <v>0</v>
      </c>
      <c r="BF178" t="b">
        <f>AND(IF(metadata!U178="",FALSE,TRUE),EXACT(metadata!U178,"Decimal degrees"))</f>
        <v>0</v>
      </c>
      <c r="BG178" t="b">
        <f>IF(metadata!V178="",FALSE,TRUE)</f>
        <v>0</v>
      </c>
      <c r="BH178" t="b">
        <f>OR(AND(IF(metadata!W178="",FALSE,TRUE),OR(EXACT(metadata!W178,"missing: not collected"),EXACT(metadata!W178,"missing: not provided"),EXACT(metadata!W178,"missing: restricted access"))),AND(IF(metadata!W178="",FALSE,TRUE),OR(EXACT(metadata!W178,"TRUE"),EXACT(metadata!W178,"FALSE"))))</f>
        <v>0</v>
      </c>
      <c r="BI178" t="b">
        <f>AND(IF(metadata!X178="",FALSE,TRUE),EXACT(metadata!X178,"other"))</f>
        <v>0</v>
      </c>
      <c r="BJ178" t="b">
        <f>IF(metadata!Y178="",FALSE,TRUE)</f>
        <v>0</v>
      </c>
      <c r="BK178" t="b">
        <f>OR(AND(IF(metadata!Z178="",FALSE,TRUE),OR(EXACT(metadata!Z178,"missing: not collected"),EXACT(metadata!Z178,"missing: not provided"))),AND(IF(metadata!Z178="",FALSE,IF(ISERROR(INT(metadata!Z178)),FALSE,INT(metadata!Z178)=metadata!Z178)),metadata!Z178&gt;0))</f>
        <v>0</v>
      </c>
      <c r="BL178" t="b">
        <f>AND(IF(metadata!AA178="",FALSE,TRUE),EXACT(metadata!AA178,"Not applicable"))</f>
        <v>0</v>
      </c>
      <c r="BM178" t="b">
        <f>IF(metadata!AB178="",FALSE,TRUE)</f>
        <v>0</v>
      </c>
    </row>
    <row r="179" spans="1:65" x14ac:dyDescent="0.2">
      <c r="A179" s="5" t="str">
        <f ca="1">IF(B179=" "," ",HYPERLINK(CONCATENATE("#metadata!",ADDRESS(INDEX($AH$2:$AH$1001,MATCH(ROWS($AF$2:AF179),$AF$2:$AF$1001,0),0),1)),INDEX($AK$2:$AK$1001,MATCH(ROWS($AF$2:AF179),$AF$2:$AF$1001,0),0)))</f>
        <v xml:space="preserve"> </v>
      </c>
      <c r="B179" s="4" t="str">
        <f ca="1">IF(OR(INDEX($AG$2:$AG$1001,MATCH(ROWS($AF$2:AF179),$AF$2:$AF$1001,0),1)&gt;=100000,INDEX($AM$1005:$BM$1005,1,MATCH(COLUMNS($AM$1006:AM1006),$AM$1006:$BM$1006,0))&gt;=100000), " ",IF(INDEX($AM$2:$BM$1001,MATCH(ROWS($AF$2:AF179),$AF$2:$AF$1001,0),MATCH(COLUMNS($AM$1006:AM1006),$AM$1006:$BM$1006,0)), HYPERLINK("#",""), HYPERLINK(CONCATENATE("#metadata!", ADDRESS(INDEX($AH$2:$AH$1001,MATCH(ROWS($AF$2:AF179),$AF$2:$AF$1001,0),0), INDEX($AM$1004:$BM$1004,1,MATCH(COLUMNS($AM$1006:AM1006),$AM$1006:$BM$1006,0)))),"Fix")))</f>
        <v xml:space="preserve"> </v>
      </c>
      <c r="C179" s="4" t="str">
        <f ca="1">IF(OR(INDEX($AG$2:$AG$1001,MATCH(ROWS($AF$2:AF179),$AF$2:$AF$1001,0),1)&gt;=100000,INDEX($AM$1005:$BM$1005,1,MATCH(COLUMNS($AM$1006:AN1006),$AM$1006:$BM$1006,0))&gt;=100000), " ",IF(INDEX($AM$2:$BM$1001,MATCH(ROWS($AF$2:AF179),$AF$2:$AF$1001,0),MATCH(COLUMNS($AM$1006:AN1006),$AM$1006:$BM$1006,0)), HYPERLINK("#",""), HYPERLINK(CONCATENATE("#metadata!", ADDRESS(INDEX($AH$2:$AH$1001,MATCH(ROWS($AF$2:AF179),$AF$2:$AF$1001,0),0), INDEX($AM$1004:$BM$1004,1,MATCH(COLUMNS($AM$1006:AN1006),$AM$1006:$BM$1006,0)))),"Fix")))</f>
        <v xml:space="preserve"> </v>
      </c>
      <c r="D179" s="4" t="str">
        <f ca="1">IF(OR(INDEX($AG$2:$AG$1001,MATCH(ROWS($AF$2:AF179),$AF$2:$AF$1001,0),1)&gt;=100000,INDEX($AM$1005:$BM$1005,1,MATCH(COLUMNS($AM$1006:AO1006),$AM$1006:$BM$1006,0))&gt;=100000), " ",IF(INDEX($AM$2:$BM$1001,MATCH(ROWS($AF$2:AF179),$AF$2:$AF$1001,0),MATCH(COLUMNS($AM$1006:AO1006),$AM$1006:$BM$1006,0)), HYPERLINK("#",""), HYPERLINK(CONCATENATE("#metadata!", ADDRESS(INDEX($AH$2:$AH$1001,MATCH(ROWS($AF$2:AF179),$AF$2:$AF$1001,0),0), INDEX($AM$1004:$BM$1004,1,MATCH(COLUMNS($AM$1006:AO1006),$AM$1006:$BM$1006,0)))),"Fix")))</f>
        <v xml:space="preserve"> </v>
      </c>
      <c r="E179" s="4" t="str">
        <f ca="1">IF(OR(INDEX($AG$2:$AG$1001,MATCH(ROWS($AF$2:AF179),$AF$2:$AF$1001,0),1)&gt;=100000,INDEX($AM$1005:$BM$1005,1,MATCH(COLUMNS($AM$1006:AP1006),$AM$1006:$BM$1006,0))&gt;=100000), " ",IF(INDEX($AM$2:$BM$1001,MATCH(ROWS($AF$2:AF179),$AF$2:$AF$1001,0),MATCH(COLUMNS($AM$1006:AP1006),$AM$1006:$BM$1006,0)), HYPERLINK("#",""), HYPERLINK(CONCATENATE("#metadata!", ADDRESS(INDEX($AH$2:$AH$1001,MATCH(ROWS($AF$2:AF179),$AF$2:$AF$1001,0),0), INDEX($AM$1004:$BM$1004,1,MATCH(COLUMNS($AM$1006:AP1006),$AM$1006:$BM$1006,0)))),"Fix")))</f>
        <v xml:space="preserve"> </v>
      </c>
      <c r="F179" s="4" t="str">
        <f ca="1">IF(OR(INDEX($AG$2:$AG$1001,MATCH(ROWS($AF$2:AF179),$AF$2:$AF$1001,0),1)&gt;=100000,INDEX($AM$1005:$BM$1005,1,MATCH(COLUMNS($AM$1006:AQ1006),$AM$1006:$BM$1006,0))&gt;=100000), " ",IF(INDEX($AM$2:$BM$1001,MATCH(ROWS($AF$2:AF179),$AF$2:$AF$1001,0),MATCH(COLUMNS($AM$1006:AQ1006),$AM$1006:$BM$1006,0)), HYPERLINK("#",""), HYPERLINK(CONCATENATE("#metadata!", ADDRESS(INDEX($AH$2:$AH$1001,MATCH(ROWS($AF$2:AF179),$AF$2:$AF$1001,0),0), INDEX($AM$1004:$BM$1004,1,MATCH(COLUMNS($AM$1006:AQ1006),$AM$1006:$BM$1006,0)))),"Fix")))</f>
        <v xml:space="preserve"> </v>
      </c>
      <c r="G179" s="4" t="str">
        <f ca="1">IF(OR(INDEX($AG$2:$AG$1001,MATCH(ROWS($AF$2:AF179),$AF$2:$AF$1001,0),1)&gt;=100000,INDEX($AM$1005:$BM$1005,1,MATCH(COLUMNS($AM$1006:AR1006),$AM$1006:$BM$1006,0))&gt;=100000), " ",IF(INDEX($AM$2:$BM$1001,MATCH(ROWS($AF$2:AF179),$AF$2:$AF$1001,0),MATCH(COLUMNS($AM$1006:AR1006),$AM$1006:$BM$1006,0)), HYPERLINK("#",""), HYPERLINK(CONCATENATE("#metadata!", ADDRESS(INDEX($AH$2:$AH$1001,MATCH(ROWS($AF$2:AF179),$AF$2:$AF$1001,0),0), INDEX($AM$1004:$BM$1004,1,MATCH(COLUMNS($AM$1006:AR1006),$AM$1006:$BM$1006,0)))),"Fix")))</f>
        <v xml:space="preserve"> </v>
      </c>
      <c r="H179" s="4" t="str">
        <f ca="1">IF(OR(INDEX($AG$2:$AG$1001,MATCH(ROWS($AF$2:AF179),$AF$2:$AF$1001,0),1)&gt;=100000,INDEX($AM$1005:$BM$1005,1,MATCH(COLUMNS($AM$1006:AS1006),$AM$1006:$BM$1006,0))&gt;=100000), " ",IF(INDEX($AM$2:$BM$1001,MATCH(ROWS($AF$2:AF179),$AF$2:$AF$1001,0),MATCH(COLUMNS($AM$1006:AS1006),$AM$1006:$BM$1006,0)), HYPERLINK("#",""), HYPERLINK(CONCATENATE("#metadata!", ADDRESS(INDEX($AH$2:$AH$1001,MATCH(ROWS($AF$2:AF179),$AF$2:$AF$1001,0),0), INDEX($AM$1004:$BM$1004,1,MATCH(COLUMNS($AM$1006:AS1006),$AM$1006:$BM$1006,0)))),"Fix")))</f>
        <v xml:space="preserve"> </v>
      </c>
      <c r="I179" s="4" t="str">
        <f ca="1">IF(OR(INDEX($AG$2:$AG$1001,MATCH(ROWS($AF$2:AF179),$AF$2:$AF$1001,0),1)&gt;=100000,INDEX($AM$1005:$BM$1005,1,MATCH(COLUMNS($AM$1006:AT1006),$AM$1006:$BM$1006,0))&gt;=100000), " ",IF(INDEX($AM$2:$BM$1001,MATCH(ROWS($AF$2:AF179),$AF$2:$AF$1001,0),MATCH(COLUMNS($AM$1006:AT1006),$AM$1006:$BM$1006,0)), HYPERLINK("#",""), HYPERLINK(CONCATENATE("#metadata!", ADDRESS(INDEX($AH$2:$AH$1001,MATCH(ROWS($AF$2:AF179),$AF$2:$AF$1001,0),0), INDEX($AM$1004:$BM$1004,1,MATCH(COLUMNS($AM$1006:AT1006),$AM$1006:$BM$1006,0)))),"Fix")))</f>
        <v xml:space="preserve"> </v>
      </c>
      <c r="J179" s="4" t="str">
        <f ca="1">IF(OR(INDEX($AG$2:$AG$1001,MATCH(ROWS($AF$2:AF179),$AF$2:$AF$1001,0),1)&gt;=100000,INDEX($AM$1005:$BM$1005,1,MATCH(COLUMNS($AM$1006:AU1006),$AM$1006:$BM$1006,0))&gt;=100000), " ",IF(INDEX($AM$2:$BM$1001,MATCH(ROWS($AF$2:AF179),$AF$2:$AF$1001,0),MATCH(COLUMNS($AM$1006:AU1006),$AM$1006:$BM$1006,0)), HYPERLINK("#",""), HYPERLINK(CONCATENATE("#metadata!", ADDRESS(INDEX($AH$2:$AH$1001,MATCH(ROWS($AF$2:AF179),$AF$2:$AF$1001,0),0), INDEX($AM$1004:$BM$1004,1,MATCH(COLUMNS($AM$1006:AU1006),$AM$1006:$BM$1006,0)))),"Fix")))</f>
        <v xml:space="preserve"> </v>
      </c>
      <c r="K179" s="4" t="str">
        <f ca="1">IF(OR(INDEX($AG$2:$AG$1001,MATCH(ROWS($AF$2:AF179),$AF$2:$AF$1001,0),1)&gt;=100000,INDEX($AM$1005:$BM$1005,1,MATCH(COLUMNS($AM$1006:AV1006),$AM$1006:$BM$1006,0))&gt;=100000), " ",IF(INDEX($AM$2:$BM$1001,MATCH(ROWS($AF$2:AF179),$AF$2:$AF$1001,0),MATCH(COLUMNS($AM$1006:AV1006),$AM$1006:$BM$1006,0)), HYPERLINK("#",""), HYPERLINK(CONCATENATE("#metadata!", ADDRESS(INDEX($AH$2:$AH$1001,MATCH(ROWS($AF$2:AF179),$AF$2:$AF$1001,0),0), INDEX($AM$1004:$BM$1004,1,MATCH(COLUMNS($AM$1006:AV1006),$AM$1006:$BM$1006,0)))),"Fix")))</f>
        <v xml:space="preserve"> </v>
      </c>
      <c r="L179" s="4" t="str">
        <f ca="1">IF(OR(INDEX($AG$2:$AG$1001,MATCH(ROWS($AF$2:AF179),$AF$2:$AF$1001,0),1)&gt;=100000,INDEX($AM$1005:$BM$1005,1,MATCH(COLUMNS($AM$1006:AW1006),$AM$1006:$BM$1006,0))&gt;=100000), " ",IF(INDEX($AM$2:$BM$1001,MATCH(ROWS($AF$2:AF179),$AF$2:$AF$1001,0),MATCH(COLUMNS($AM$1006:AW1006),$AM$1006:$BM$1006,0)), HYPERLINK("#",""), HYPERLINK(CONCATENATE("#metadata!", ADDRESS(INDEX($AH$2:$AH$1001,MATCH(ROWS($AF$2:AF179),$AF$2:$AF$1001,0),0), INDEX($AM$1004:$BM$1004,1,MATCH(COLUMNS($AM$1006:AW1006),$AM$1006:$BM$1006,0)))),"Fix")))</f>
        <v xml:space="preserve"> </v>
      </c>
      <c r="M179" s="4" t="str">
        <f ca="1">IF(OR(INDEX($AG$2:$AG$1001,MATCH(ROWS($AF$2:AF179),$AF$2:$AF$1001,0),1)&gt;=100000,INDEX($AM$1005:$BM$1005,1,MATCH(COLUMNS($AM$1006:AX1006),$AM$1006:$BM$1006,0))&gt;=100000), " ",IF(INDEX($AM$2:$BM$1001,MATCH(ROWS($AF$2:AF179),$AF$2:$AF$1001,0),MATCH(COLUMNS($AM$1006:AX1006),$AM$1006:$BM$1006,0)), HYPERLINK("#",""), HYPERLINK(CONCATENATE("#metadata!", ADDRESS(INDEX($AH$2:$AH$1001,MATCH(ROWS($AF$2:AF179),$AF$2:$AF$1001,0),0), INDEX($AM$1004:$BM$1004,1,MATCH(COLUMNS($AM$1006:AX1006),$AM$1006:$BM$1006,0)))),"Fix")))</f>
        <v xml:space="preserve"> </v>
      </c>
      <c r="N179" s="4" t="str">
        <f ca="1">IF(OR(INDEX($AG$2:$AG$1001,MATCH(ROWS($AF$2:AF179),$AF$2:$AF$1001,0),1)&gt;=100000,INDEX($AM$1005:$BM$1005,1,MATCH(COLUMNS($AM$1006:AY1006),$AM$1006:$BM$1006,0))&gt;=100000), " ",IF(INDEX($AM$2:$BM$1001,MATCH(ROWS($AF$2:AF179),$AF$2:$AF$1001,0),MATCH(COLUMNS($AM$1006:AY1006),$AM$1006:$BM$1006,0)), HYPERLINK("#",""), HYPERLINK(CONCATENATE("#metadata!", ADDRESS(INDEX($AH$2:$AH$1001,MATCH(ROWS($AF$2:AF179),$AF$2:$AF$1001,0),0), INDEX($AM$1004:$BM$1004,1,MATCH(COLUMNS($AM$1006:AY1006),$AM$1006:$BM$1006,0)))),"Fix")))</f>
        <v xml:space="preserve"> </v>
      </c>
      <c r="O179" s="4" t="str">
        <f ca="1">IF(OR(INDEX($AG$2:$AG$1001,MATCH(ROWS($AF$2:AF179),$AF$2:$AF$1001,0),1)&gt;=100000,INDEX($AM$1005:$BM$1005,1,MATCH(COLUMNS($AM$1006:AZ1006),$AM$1006:$BM$1006,0))&gt;=100000), " ",IF(INDEX($AM$2:$BM$1001,MATCH(ROWS($AF$2:AF179),$AF$2:$AF$1001,0),MATCH(COLUMNS($AM$1006:AZ1006),$AM$1006:$BM$1006,0)), HYPERLINK("#",""), HYPERLINK(CONCATENATE("#metadata!", ADDRESS(INDEX($AH$2:$AH$1001,MATCH(ROWS($AF$2:AF179),$AF$2:$AF$1001,0),0), INDEX($AM$1004:$BM$1004,1,MATCH(COLUMNS($AM$1006:AZ1006),$AM$1006:$BM$1006,0)))),"Fix")))</f>
        <v xml:space="preserve"> </v>
      </c>
      <c r="P179" s="4" t="str">
        <f ca="1">IF(OR(INDEX($AG$2:$AG$1001,MATCH(ROWS($AF$2:AF179),$AF$2:$AF$1001,0),1)&gt;=100000,INDEX($AM$1005:$BM$1005,1,MATCH(COLUMNS($AM$1006:BA1006),$AM$1006:$BM$1006,0))&gt;=100000), " ",IF(INDEX($AM$2:$BM$1001,MATCH(ROWS($AF$2:AF179),$AF$2:$AF$1001,0),MATCH(COLUMNS($AM$1006:BA1006),$AM$1006:$BM$1006,0)), HYPERLINK("#",""), HYPERLINK(CONCATENATE("#metadata!", ADDRESS(INDEX($AH$2:$AH$1001,MATCH(ROWS($AF$2:AF179),$AF$2:$AF$1001,0),0), INDEX($AM$1004:$BM$1004,1,MATCH(COLUMNS($AM$1006:BA1006),$AM$1006:$BM$1006,0)))),"Fix")))</f>
        <v xml:space="preserve"> </v>
      </c>
      <c r="Q179" s="4" t="str">
        <f ca="1">IF(OR(INDEX($AG$2:$AG$1001,MATCH(ROWS($AF$2:AF179),$AF$2:$AF$1001,0),1)&gt;=100000,INDEX($AM$1005:$BM$1005,1,MATCH(COLUMNS($AM$1006:BB1006),$AM$1006:$BM$1006,0))&gt;=100000), " ",IF(INDEX($AM$2:$BM$1001,MATCH(ROWS($AF$2:AF179),$AF$2:$AF$1001,0),MATCH(COLUMNS($AM$1006:BB1006),$AM$1006:$BM$1006,0)), HYPERLINK("#",""), HYPERLINK(CONCATENATE("#metadata!", ADDRESS(INDEX($AH$2:$AH$1001,MATCH(ROWS($AF$2:AF179),$AF$2:$AF$1001,0),0), INDEX($AM$1004:$BM$1004,1,MATCH(COLUMNS($AM$1006:BB1006),$AM$1006:$BM$1006,0)))),"Fix")))</f>
        <v xml:space="preserve"> </v>
      </c>
      <c r="R179" s="4" t="str">
        <f ca="1">IF(OR(INDEX($AG$2:$AG$1001,MATCH(ROWS($AF$2:AF179),$AF$2:$AF$1001,0),1)&gt;=100000,INDEX($AM$1005:$BM$1005,1,MATCH(COLUMNS($AM$1006:BC1006),$AM$1006:$BM$1006,0))&gt;=100000), " ",IF(INDEX($AM$2:$BM$1001,MATCH(ROWS($AF$2:AF179),$AF$2:$AF$1001,0),MATCH(COLUMNS($AM$1006:BC1006),$AM$1006:$BM$1006,0)), HYPERLINK("#",""), HYPERLINK(CONCATENATE("#metadata!", ADDRESS(INDEX($AH$2:$AH$1001,MATCH(ROWS($AF$2:AF179),$AF$2:$AF$1001,0),0), INDEX($AM$1004:$BM$1004,1,MATCH(COLUMNS($AM$1006:BC1006),$AM$1006:$BM$1006,0)))),"Fix")))</f>
        <v xml:space="preserve"> </v>
      </c>
      <c r="S179" s="4" t="str">
        <f ca="1">IF(OR(INDEX($AG$2:$AG$1001,MATCH(ROWS($AF$2:AF179),$AF$2:$AF$1001,0),1)&gt;=100000,INDEX($AM$1005:$BM$1005,1,MATCH(COLUMNS($AM$1006:BD1006),$AM$1006:$BM$1006,0))&gt;=100000), " ",IF(INDEX($AM$2:$BM$1001,MATCH(ROWS($AF$2:AF179),$AF$2:$AF$1001,0),MATCH(COLUMNS($AM$1006:BD1006),$AM$1006:$BM$1006,0)), HYPERLINK("#",""), HYPERLINK(CONCATENATE("#metadata!", ADDRESS(INDEX($AH$2:$AH$1001,MATCH(ROWS($AF$2:AF179),$AF$2:$AF$1001,0),0), INDEX($AM$1004:$BM$1004,1,MATCH(COLUMNS($AM$1006:BD1006),$AM$1006:$BM$1006,0)))),"Fix")))</f>
        <v xml:space="preserve"> </v>
      </c>
      <c r="T179" s="4" t="str">
        <f ca="1">IF(OR(INDEX($AG$2:$AG$1001,MATCH(ROWS($AF$2:AF179),$AF$2:$AF$1001,0),1)&gt;=100000,INDEX($AM$1005:$BM$1005,1,MATCH(COLUMNS($AM$1006:BE1006),$AM$1006:$BM$1006,0))&gt;=100000), " ",IF(INDEX($AM$2:$BM$1001,MATCH(ROWS($AF$2:AF179),$AF$2:$AF$1001,0),MATCH(COLUMNS($AM$1006:BE1006),$AM$1006:$BM$1006,0)), HYPERLINK("#",""), HYPERLINK(CONCATENATE("#metadata!", ADDRESS(INDEX($AH$2:$AH$1001,MATCH(ROWS($AF$2:AF179),$AF$2:$AF$1001,0),0), INDEX($AM$1004:$BM$1004,1,MATCH(COLUMNS($AM$1006:BE1006),$AM$1006:$BM$1006,0)))),"Fix")))</f>
        <v xml:space="preserve"> </v>
      </c>
      <c r="U179" s="4" t="str">
        <f ca="1">IF(OR(INDEX($AG$2:$AG$1001,MATCH(ROWS($AF$2:AF179),$AF$2:$AF$1001,0),1)&gt;=100000,INDEX($AM$1005:$BM$1005,1,MATCH(COLUMNS($AM$1006:BF1006),$AM$1006:$BM$1006,0))&gt;=100000), " ",IF(INDEX($AM$2:$BM$1001,MATCH(ROWS($AF$2:AF179),$AF$2:$AF$1001,0),MATCH(COLUMNS($AM$1006:BF1006),$AM$1006:$BM$1006,0)), HYPERLINK("#",""), HYPERLINK(CONCATENATE("#metadata!", ADDRESS(INDEX($AH$2:$AH$1001,MATCH(ROWS($AF$2:AF179),$AF$2:$AF$1001,0),0), INDEX($AM$1004:$BM$1004,1,MATCH(COLUMNS($AM$1006:BF1006),$AM$1006:$BM$1006,0)))),"Fix")))</f>
        <v xml:space="preserve"> </v>
      </c>
      <c r="V179" s="4" t="str">
        <f ca="1">IF(OR(INDEX($AG$2:$AG$1001,MATCH(ROWS($AF$2:AF179),$AF$2:$AF$1001,0),1)&gt;=100000,INDEX($AM$1005:$BM$1005,1,MATCH(COLUMNS($AM$1006:BG1006),$AM$1006:$BM$1006,0))&gt;=100000), " ",IF(INDEX($AM$2:$BM$1001,MATCH(ROWS($AF$2:AF179),$AF$2:$AF$1001,0),MATCH(COLUMNS($AM$1006:BG1006),$AM$1006:$BM$1006,0)), HYPERLINK("#",""), HYPERLINK(CONCATENATE("#metadata!", ADDRESS(INDEX($AH$2:$AH$1001,MATCH(ROWS($AF$2:AF179),$AF$2:$AF$1001,0),0), INDEX($AM$1004:$BM$1004,1,MATCH(COLUMNS($AM$1006:BG1006),$AM$1006:$BM$1006,0)))),"Fix")))</f>
        <v xml:space="preserve"> </v>
      </c>
      <c r="W179" s="4" t="str">
        <f ca="1">IF(OR(INDEX($AG$2:$AG$1001,MATCH(ROWS($AF$2:AF179),$AF$2:$AF$1001,0),1)&gt;=100000,INDEX($AM$1005:$BM$1005,1,MATCH(COLUMNS($AM$1006:BH1006),$AM$1006:$BM$1006,0))&gt;=100000), " ",IF(INDEX($AM$2:$BM$1001,MATCH(ROWS($AF$2:AF179),$AF$2:$AF$1001,0),MATCH(COLUMNS($AM$1006:BH1006),$AM$1006:$BM$1006,0)), HYPERLINK("#",""), HYPERLINK(CONCATENATE("#metadata!", ADDRESS(INDEX($AH$2:$AH$1001,MATCH(ROWS($AF$2:AF179),$AF$2:$AF$1001,0),0), INDEX($AM$1004:$BM$1004,1,MATCH(COLUMNS($AM$1006:BH1006),$AM$1006:$BM$1006,0)))),"Fix")))</f>
        <v xml:space="preserve"> </v>
      </c>
      <c r="X179" s="4" t="str">
        <f ca="1">IF(OR(INDEX($AG$2:$AG$1001,MATCH(ROWS($AF$2:AF179),$AF$2:$AF$1001,0),1)&gt;=100000,INDEX($AM$1005:$BM$1005,1,MATCH(COLUMNS($AM$1006:BI1006),$AM$1006:$BM$1006,0))&gt;=100000), " ",IF(INDEX($AM$2:$BM$1001,MATCH(ROWS($AF$2:AF179),$AF$2:$AF$1001,0),MATCH(COLUMNS($AM$1006:BI1006),$AM$1006:$BM$1006,0)), HYPERLINK("#",""), HYPERLINK(CONCATENATE("#metadata!", ADDRESS(INDEX($AH$2:$AH$1001,MATCH(ROWS($AF$2:AF179),$AF$2:$AF$1001,0),0), INDEX($AM$1004:$BM$1004,1,MATCH(COLUMNS($AM$1006:BI1006),$AM$1006:$BM$1006,0)))),"Fix")))</f>
        <v xml:space="preserve"> </v>
      </c>
      <c r="Y179" s="4" t="str">
        <f ca="1">IF(OR(INDEX($AG$2:$AG$1001,MATCH(ROWS($AF$2:AF179),$AF$2:$AF$1001,0),1)&gt;=100000,INDEX($AM$1005:$BM$1005,1,MATCH(COLUMNS($AM$1006:BJ1006),$AM$1006:$BM$1006,0))&gt;=100000), " ",IF(INDEX($AM$2:$BM$1001,MATCH(ROWS($AF$2:AF179),$AF$2:$AF$1001,0),MATCH(COLUMNS($AM$1006:BJ1006),$AM$1006:$BM$1006,0)), HYPERLINK("#",""), HYPERLINK(CONCATENATE("#metadata!", ADDRESS(INDEX($AH$2:$AH$1001,MATCH(ROWS($AF$2:AF179),$AF$2:$AF$1001,0),0), INDEX($AM$1004:$BM$1004,1,MATCH(COLUMNS($AM$1006:BJ1006),$AM$1006:$BM$1006,0)))),"Fix")))</f>
        <v xml:space="preserve"> </v>
      </c>
      <c r="Z179" s="4" t="str">
        <f ca="1">IF(OR(INDEX($AG$2:$AG$1001,MATCH(ROWS($AF$2:AF179),$AF$2:$AF$1001,0),1)&gt;=100000,INDEX($AM$1005:$BM$1005,1,MATCH(COLUMNS($AM$1006:BK1006),$AM$1006:$BM$1006,0))&gt;=100000), " ",IF(INDEX($AM$2:$BM$1001,MATCH(ROWS($AF$2:AF179),$AF$2:$AF$1001,0),MATCH(COLUMNS($AM$1006:BK1006),$AM$1006:$BM$1006,0)), HYPERLINK("#",""), HYPERLINK(CONCATENATE("#metadata!", ADDRESS(INDEX($AH$2:$AH$1001,MATCH(ROWS($AF$2:AF179),$AF$2:$AF$1001,0),0), INDEX($AM$1004:$BM$1004,1,MATCH(COLUMNS($AM$1006:BK1006),$AM$1006:$BM$1006,0)))),"Fix")))</f>
        <v xml:space="preserve"> </v>
      </c>
      <c r="AA179" s="4" t="str">
        <f ca="1">IF(OR(INDEX($AG$2:$AG$1001,MATCH(ROWS($AF$2:AF179),$AF$2:$AF$1001,0),1)&gt;=100000,INDEX($AM$1005:$BM$1005,1,MATCH(COLUMNS($AM$1006:BL1006),$AM$1006:$BM$1006,0))&gt;=100000), " ",IF(INDEX($AM$2:$BM$1001,MATCH(ROWS($AF$2:AF179),$AF$2:$AF$1001,0),MATCH(COLUMNS($AM$1006:BL1006),$AM$1006:$BM$1006,0)), HYPERLINK("#",""), HYPERLINK(CONCATENATE("#metadata!", ADDRESS(INDEX($AH$2:$AH$1001,MATCH(ROWS($AF$2:AF179),$AF$2:$AF$1001,0),0), INDEX($AM$1004:$BM$1004,1,MATCH(COLUMNS($AM$1006:BL1006),$AM$1006:$BM$1006,0)))),"Fix")))</f>
        <v xml:space="preserve"> </v>
      </c>
      <c r="AB179" s="4" t="str">
        <f ca="1">IF(OR(INDEX($AG$2:$AG$1001,MATCH(ROWS($AF$2:AF179),$AF$2:$AF$1001,0),1)&gt;=100000,INDEX($AM$1005:$BM$1005,1,MATCH(COLUMNS($AM$1006:BM1006),$AM$1006:$BM$1006,0))&gt;=100000), " ",IF(INDEX($AM$2:$BM$1001,MATCH(ROWS($AF$2:AF179),$AF$2:$AF$1001,0),MATCH(COLUMNS($AM$1006:BM1006),$AM$1006:$BM$1006,0)), HYPERLINK("#",""), HYPERLINK(CONCATENATE("#metadata!", ADDRESS(INDEX($AH$2:$AH$1001,MATCH(ROWS($AF$2:AF179),$AF$2:$AF$1001,0),0), INDEX($AM$1004:$BM$1004,1,MATCH(COLUMNS($AM$1006:BM1006),$AM$1006:$BM$1006,0)))),"Fix")))</f>
        <v xml:space="preserve"> </v>
      </c>
      <c r="AF179">
        <v>178</v>
      </c>
      <c r="AG179">
        <v>100179</v>
      </c>
      <c r="AH179">
        <v>179</v>
      </c>
      <c r="AI179" t="b">
        <f t="shared" si="2"/>
        <v>1</v>
      </c>
      <c r="AJ179" t="b">
        <f>COUNTBLANK(metadata!B179:AB179)=COLUMNS(metadata!B179:AB179)</f>
        <v>1</v>
      </c>
      <c r="AK179" t="str">
        <v/>
      </c>
      <c r="AM179" t="b">
        <f ca="1">AND(IF(metadata!B179="",FALSE,TRUE),COUNTIF(metadata!B:B, metadata!B179) = 1,NOT(ISERROR(SUMPRODUCT(SEARCH(MID(metadata!B179,ROW(INDIRECT("1:"&amp;LEN(metadata!B179))), 1),"0123456789abcdefghijklmnopqrstuvwxyzABCDEFGHIJKLMNOPQRSTUVWXYZ.")))))</f>
        <v>0</v>
      </c>
      <c r="AN179" t="b">
        <f ca="1">OR(AND(IF(metadata!C179="",FALSE,TRUE),OR(EXACT(metadata!C179,"missing: not collected"),EXACT(metadata!C179,"missing: not provided"),EXACT(metadata!C179,"missing: restricted access"))),AND(IF(metadata!C179="",FALSE,TRUE),AND(AND(IFERROR(INT(LEFT(metadata!C179,4))&gt;1900,FALSE),IFERROR(INT(LEFT(metadata!C179,4))&lt;=YEAR(NOW()),FALSE)), OR(MID(metadata!C179,5,1)="", AND(AND(MID(metadata!C179,5,1)="-",IFERROR(INT(MID(metadata!C179,6,1))&gt;=0,FALSE),IFERROR(INT(MID(metadata!C179,6,1))&lt;=1,FALSE),NOT(MID(metadata!C179,7,1)=""),IFERROR(INT(MID(metadata!C179,6,2))&gt;=1,FALSE),IFERROR(INT(MID(metadata!C179,6,2))&lt;=12,FALSE)), OR(MID(metadata!C179,8,1)="", AND(AND(MID(metadata!C179,8,1)="-",IFERROR(INT(MID(metadata!C179,9,1))&gt;=0,FALSE),IFERROR(INT(MID(metadata!C179,9,1))&lt;=3,FALSE),NOT(MID(metadata!C179,10,1)=""),IFERROR(INT(MID(metadata!C179,9,2))&gt;=1,FALSE),IFERROR(INT(MID(metadata!C179,9,2))&lt;=31,FALSE)), OR(MID(metadata!C179,11,1)="", AND(AND(MID(metadata!C179,11,1)=" ",IFERROR(INT(MID(metadata!C179,12,1))&gt;=0,FALSE),IFERROR(INT(MID(metadata!C179,12,1))&lt;=2,FALSE),NOT(MID(metadata!C179,13,1)=""),IFERROR(INT(MID(metadata!C179,12,2))&gt;=0,FALSE),IFERROR(INT(MID(metadata!C179,12,2))&lt;=23,FALSE)), OR(MID(metadata!C179,14,1)="", AND(AND(MID(metadata!C179,14,1)=":",IFERROR(INT(MID(metadata!C179,15,1))&gt;=0,FALSE),IFERROR(INT(MID(metadata!C179,15,1))&lt;=5,FALSE),NOT(MID(metadata!C179,16,1)=""),IFERROR(INT(MID(metadata!C179,15,2))&gt;=0,FALSE),IFERROR(INT(MID(metadata!C179,15,2))&lt;=59,FALSE)), OR(MID(metadata!C179,17,1)="", AND(AND(MID(metadata!C179,17,1)=":",IFERROR(INT(MID(metadata!C179,18,1))&gt;=0,FALSE),IFERROR(INT(MID(metadata!C179,18,1))&lt;=5,FALSE),NOT(MID(metadata!C179,19,1)=""),IFERROR(INT(MID(metadata!C179,18,2))&gt;=0,FALSE),IFERROR(INT(MID(metadata!C179,18,2))&lt;=59,FALSE)), LEN(metadata!C179)&lt;=19)))))))))))))</f>
        <v>0</v>
      </c>
      <c r="AO179" t="b">
        <f>AND(IF(metadata!D179="",FALSE,TRUE),EXACT(metadata!D179,"Not applicable"))</f>
        <v>0</v>
      </c>
      <c r="AP179" t="b">
        <f>IF(metadata!E179="",FALSE,TRUE)</f>
        <v>0</v>
      </c>
      <c r="AQ179" t="b">
        <f>OR(AND(IF(metadata!F179="",FALSE,TRUE),OR(EXACT(metadata!F179,"missing: not collected"),EXACT(metadata!F179,"missing: not provided"))),AND(IF(metadata!F179="",FALSE,TRUE),OR(EXACT(metadata!F179,"TRUE"),EXACT(metadata!F179,"FALSE"))))</f>
        <v>0</v>
      </c>
      <c r="AR179" t="b">
        <f>OR(AND(IF(metadata!G179="",FALSE,TRUE),OR(EXACT(metadata!G179,"missing: not collected"),EXACT(metadata!G179,"missing: not provided"),EXACT(metadata!G179,"missing: restricted access"))),AND(IF(metadata!G179="",FALSE,ISNUMBER(VALUE(metadata!G179))),metadata!G179&gt;=-413))</f>
        <v>0</v>
      </c>
      <c r="AS179" t="b">
        <f>AND(IF(metadata!H179="",FALSE,TRUE),EXACT(metadata!H179,"meters"))</f>
        <v>0</v>
      </c>
      <c r="AT179" t="b">
        <f>AND(IF(metadata!I179="",FALSE,TRUE),OR(EXACT(metadata!I179,"Host-associated"),EXACT(metadata!I179,"Free-living")))</f>
        <v>0</v>
      </c>
      <c r="AU179" t="b">
        <f>AND(IF(metadata!J179="",FALSE,TRUE),OR(EXACT(metadata!J179,"Animal"),EXACT(metadata!J179,"Fungus"),EXACT(metadata!J179,"Plant"),EXACT(metadata!J179,"Saline"),EXACT(metadata!J179,"Non-saline")))</f>
        <v>0</v>
      </c>
      <c r="AV179" t="b">
        <f>AND(IF(metadata!K179="",FALSE,TRUE),OR(EXACT(metadata!K179,"Plant secretion"),EXACT(metadata!K179,"Plant rhizosphere"),EXACT(metadata!K179,"Plant surface"),EXACT(metadata!K179,"Plant corpus"),EXACT(metadata!K179,"Fungus surface"),EXACT(metadata!K179,"Fungus corpus"),EXACT(metadata!K179,"Animal surface"),EXACT(metadata!K179,"Animal proximal gut"),EXACT(metadata!K179,"Animal corpus"),EXACT(metadata!K179,"Animal distal gut"),EXACT(metadata!K179,"Animal secretion"),EXACT(metadata!K179,"Sub-surface (non-saline)"),EXACT(metadata!K179,"Surface (non-saline)"),EXACT(metadata!K179,"Water (non-saline)"),EXACT(metadata!K179,"Soil (non-saline)"),EXACT(metadata!K179,"Aerosol (non-saline)"),EXACT(metadata!K179,"Sediment (non-saline)"),EXACT(metadata!K179,"Surface (saline)"),EXACT(metadata!K179,"Water (saline)"),EXACT(metadata!K179,"Hypersaline (saline)"),EXACT(metadata!K179,"Aerosol (saline)"),EXACT(metadata!K179,"Sediment (saline)")))</f>
        <v>0</v>
      </c>
      <c r="AW179" t="b">
        <f>IF(metadata!L179="",FALSE,TRUE)</f>
        <v>0</v>
      </c>
      <c r="AX179" t="b">
        <f>IF(metadata!M179="",FALSE,TRUE)</f>
        <v>0</v>
      </c>
      <c r="AY179" t="b">
        <f>IF(metadata!N179="",FALSE,TRUE)</f>
        <v>0</v>
      </c>
      <c r="AZ179" t="b">
        <f>OR(AND(IF(metadata!O179="",FALSE,TRUE),OR(EXACT(metadata!O179,"missing: not collected"),EXACT(metadata!O179,"missing: not provided"),EXACT(metadata!O179,"missing: restricted access"))),AND(IF(metadata!O179="",FALSE,TRUE),OR(EXACT(metadata!O179,"air"),EXACT(metadata!O179,"built environment"),EXACT(metadata!O179,"host-associated"),EXACT(metadata!O179,"human-associated"),EXACT(metadata!O179,"human-skin"),EXACT(metadata!O179,"human-oral"),EXACT(metadata!O179,"human-gut"),EXACT(metadata!O179,"human-vaginal"),EXACT(metadata!O179,"microbial mat/biofilm"),EXACT(metadata!O179,"misc environment"),EXACT(metadata!O179,"plant-associated"),EXACT(metadata!O179,"sediment"),EXACT(metadata!O179,"soil"),EXACT(metadata!O179,"wastewater/sludge"),EXACT(metadata!O179,"water"))))</f>
        <v>0</v>
      </c>
      <c r="BA179" t="b">
        <f>IF(metadata!P179="",FALSE,TRUE)</f>
        <v>0</v>
      </c>
      <c r="BB179" t="b">
        <f>IF(metadata!Q179="",FALSE,TRUE)</f>
        <v>0</v>
      </c>
      <c r="BC179" t="b">
        <f>OR(AND(IF(metadata!R179="",FALSE,TRUE),OR(EXACT(metadata!R179,"missing: not collected"),EXACT(metadata!R179,"missing: not provided"),EXACT(metadata!R179,"missing: restricted access"))),AND(IF(metadata!R179="",FALSE,ISNUMBER(VALUE(metadata!R179))),metadata!R179&gt;=-90,metadata!R179&lt;=90))</f>
        <v>0</v>
      </c>
      <c r="BD179" t="b">
        <f>AND(IF(metadata!S179="",FALSE,TRUE),EXACT(metadata!S179,"Decimal degrees"))</f>
        <v>0</v>
      </c>
      <c r="BE179" t="b">
        <f>OR(AND(IF(metadata!T179="",FALSE,TRUE),OR(EXACT(metadata!T179,"missing: not collected"),EXACT(metadata!T179,"missing: not provided"),EXACT(metadata!T179,"missing: restricted access"))),AND(IF(metadata!T179="",FALSE,ISNUMBER(VALUE(metadata!T179))),metadata!T179&gt;=-180,metadata!T179&lt;=180))</f>
        <v>0</v>
      </c>
      <c r="BF179" t="b">
        <f>AND(IF(metadata!U179="",FALSE,TRUE),EXACT(metadata!U179,"Decimal degrees"))</f>
        <v>0</v>
      </c>
      <c r="BG179" t="b">
        <f>IF(metadata!V179="",FALSE,TRUE)</f>
        <v>0</v>
      </c>
      <c r="BH179" t="b">
        <f>OR(AND(IF(metadata!W179="",FALSE,TRUE),OR(EXACT(metadata!W179,"missing: not collected"),EXACT(metadata!W179,"missing: not provided"),EXACT(metadata!W179,"missing: restricted access"))),AND(IF(metadata!W179="",FALSE,TRUE),OR(EXACT(metadata!W179,"TRUE"),EXACT(metadata!W179,"FALSE"))))</f>
        <v>0</v>
      </c>
      <c r="BI179" t="b">
        <f>AND(IF(metadata!X179="",FALSE,TRUE),EXACT(metadata!X179,"other"))</f>
        <v>0</v>
      </c>
      <c r="BJ179" t="b">
        <f>IF(metadata!Y179="",FALSE,TRUE)</f>
        <v>0</v>
      </c>
      <c r="BK179" t="b">
        <f>OR(AND(IF(metadata!Z179="",FALSE,TRUE),OR(EXACT(metadata!Z179,"missing: not collected"),EXACT(metadata!Z179,"missing: not provided"))),AND(IF(metadata!Z179="",FALSE,IF(ISERROR(INT(metadata!Z179)),FALSE,INT(metadata!Z179)=metadata!Z179)),metadata!Z179&gt;0))</f>
        <v>0</v>
      </c>
      <c r="BL179" t="b">
        <f>AND(IF(metadata!AA179="",FALSE,TRUE),EXACT(metadata!AA179,"Not applicable"))</f>
        <v>0</v>
      </c>
      <c r="BM179" t="b">
        <f>IF(metadata!AB179="",FALSE,TRUE)</f>
        <v>0</v>
      </c>
    </row>
    <row r="180" spans="1:65" x14ac:dyDescent="0.2">
      <c r="A180" s="5" t="str">
        <f ca="1">IF(B180=" "," ",HYPERLINK(CONCATENATE("#metadata!",ADDRESS(INDEX($AH$2:$AH$1001,MATCH(ROWS($AF$2:AF180),$AF$2:$AF$1001,0),0),1)),INDEX($AK$2:$AK$1001,MATCH(ROWS($AF$2:AF180),$AF$2:$AF$1001,0),0)))</f>
        <v xml:space="preserve"> </v>
      </c>
      <c r="B180" s="4" t="str">
        <f ca="1">IF(OR(INDEX($AG$2:$AG$1001,MATCH(ROWS($AF$2:AF180),$AF$2:$AF$1001,0),1)&gt;=100000,INDEX($AM$1005:$BM$1005,1,MATCH(COLUMNS($AM$1006:AM1006),$AM$1006:$BM$1006,0))&gt;=100000), " ",IF(INDEX($AM$2:$BM$1001,MATCH(ROWS($AF$2:AF180),$AF$2:$AF$1001,0),MATCH(COLUMNS($AM$1006:AM1006),$AM$1006:$BM$1006,0)), HYPERLINK("#",""), HYPERLINK(CONCATENATE("#metadata!", ADDRESS(INDEX($AH$2:$AH$1001,MATCH(ROWS($AF$2:AF180),$AF$2:$AF$1001,0),0), INDEX($AM$1004:$BM$1004,1,MATCH(COLUMNS($AM$1006:AM1006),$AM$1006:$BM$1006,0)))),"Fix")))</f>
        <v xml:space="preserve"> </v>
      </c>
      <c r="C180" s="4" t="str">
        <f ca="1">IF(OR(INDEX($AG$2:$AG$1001,MATCH(ROWS($AF$2:AF180),$AF$2:$AF$1001,0),1)&gt;=100000,INDEX($AM$1005:$BM$1005,1,MATCH(COLUMNS($AM$1006:AN1006),$AM$1006:$BM$1006,0))&gt;=100000), " ",IF(INDEX($AM$2:$BM$1001,MATCH(ROWS($AF$2:AF180),$AF$2:$AF$1001,0),MATCH(COLUMNS($AM$1006:AN1006),$AM$1006:$BM$1006,0)), HYPERLINK("#",""), HYPERLINK(CONCATENATE("#metadata!", ADDRESS(INDEX($AH$2:$AH$1001,MATCH(ROWS($AF$2:AF180),$AF$2:$AF$1001,0),0), INDEX($AM$1004:$BM$1004,1,MATCH(COLUMNS($AM$1006:AN1006),$AM$1006:$BM$1006,0)))),"Fix")))</f>
        <v xml:space="preserve"> </v>
      </c>
      <c r="D180" s="4" t="str">
        <f ca="1">IF(OR(INDEX($AG$2:$AG$1001,MATCH(ROWS($AF$2:AF180),$AF$2:$AF$1001,0),1)&gt;=100000,INDEX($AM$1005:$BM$1005,1,MATCH(COLUMNS($AM$1006:AO1006),$AM$1006:$BM$1006,0))&gt;=100000), " ",IF(INDEX($AM$2:$BM$1001,MATCH(ROWS($AF$2:AF180),$AF$2:$AF$1001,0),MATCH(COLUMNS($AM$1006:AO1006),$AM$1006:$BM$1006,0)), HYPERLINK("#",""), HYPERLINK(CONCATENATE("#metadata!", ADDRESS(INDEX($AH$2:$AH$1001,MATCH(ROWS($AF$2:AF180),$AF$2:$AF$1001,0),0), INDEX($AM$1004:$BM$1004,1,MATCH(COLUMNS($AM$1006:AO1006),$AM$1006:$BM$1006,0)))),"Fix")))</f>
        <v xml:space="preserve"> </v>
      </c>
      <c r="E180" s="4" t="str">
        <f ca="1">IF(OR(INDEX($AG$2:$AG$1001,MATCH(ROWS($AF$2:AF180),$AF$2:$AF$1001,0),1)&gt;=100000,INDEX($AM$1005:$BM$1005,1,MATCH(COLUMNS($AM$1006:AP1006),$AM$1006:$BM$1006,0))&gt;=100000), " ",IF(INDEX($AM$2:$BM$1001,MATCH(ROWS($AF$2:AF180),$AF$2:$AF$1001,0),MATCH(COLUMNS($AM$1006:AP1006),$AM$1006:$BM$1006,0)), HYPERLINK("#",""), HYPERLINK(CONCATENATE("#metadata!", ADDRESS(INDEX($AH$2:$AH$1001,MATCH(ROWS($AF$2:AF180),$AF$2:$AF$1001,0),0), INDEX($AM$1004:$BM$1004,1,MATCH(COLUMNS($AM$1006:AP1006),$AM$1006:$BM$1006,0)))),"Fix")))</f>
        <v xml:space="preserve"> </v>
      </c>
      <c r="F180" s="4" t="str">
        <f ca="1">IF(OR(INDEX($AG$2:$AG$1001,MATCH(ROWS($AF$2:AF180),$AF$2:$AF$1001,0),1)&gt;=100000,INDEX($AM$1005:$BM$1005,1,MATCH(COLUMNS($AM$1006:AQ1006),$AM$1006:$BM$1006,0))&gt;=100000), " ",IF(INDEX($AM$2:$BM$1001,MATCH(ROWS($AF$2:AF180),$AF$2:$AF$1001,0),MATCH(COLUMNS($AM$1006:AQ1006),$AM$1006:$BM$1006,0)), HYPERLINK("#",""), HYPERLINK(CONCATENATE("#metadata!", ADDRESS(INDEX($AH$2:$AH$1001,MATCH(ROWS($AF$2:AF180),$AF$2:$AF$1001,0),0), INDEX($AM$1004:$BM$1004,1,MATCH(COLUMNS($AM$1006:AQ1006),$AM$1006:$BM$1006,0)))),"Fix")))</f>
        <v xml:space="preserve"> </v>
      </c>
      <c r="G180" s="4" t="str">
        <f ca="1">IF(OR(INDEX($AG$2:$AG$1001,MATCH(ROWS($AF$2:AF180),$AF$2:$AF$1001,0),1)&gt;=100000,INDEX($AM$1005:$BM$1005,1,MATCH(COLUMNS($AM$1006:AR1006),$AM$1006:$BM$1006,0))&gt;=100000), " ",IF(INDEX($AM$2:$BM$1001,MATCH(ROWS($AF$2:AF180),$AF$2:$AF$1001,0),MATCH(COLUMNS($AM$1006:AR1006),$AM$1006:$BM$1006,0)), HYPERLINK("#",""), HYPERLINK(CONCATENATE("#metadata!", ADDRESS(INDEX($AH$2:$AH$1001,MATCH(ROWS($AF$2:AF180),$AF$2:$AF$1001,0),0), INDEX($AM$1004:$BM$1004,1,MATCH(COLUMNS($AM$1006:AR1006),$AM$1006:$BM$1006,0)))),"Fix")))</f>
        <v xml:space="preserve"> </v>
      </c>
      <c r="H180" s="4" t="str">
        <f ca="1">IF(OR(INDEX($AG$2:$AG$1001,MATCH(ROWS($AF$2:AF180),$AF$2:$AF$1001,0),1)&gt;=100000,INDEX($AM$1005:$BM$1005,1,MATCH(COLUMNS($AM$1006:AS1006),$AM$1006:$BM$1006,0))&gt;=100000), " ",IF(INDEX($AM$2:$BM$1001,MATCH(ROWS($AF$2:AF180),$AF$2:$AF$1001,0),MATCH(COLUMNS($AM$1006:AS1006),$AM$1006:$BM$1006,0)), HYPERLINK("#",""), HYPERLINK(CONCATENATE("#metadata!", ADDRESS(INDEX($AH$2:$AH$1001,MATCH(ROWS($AF$2:AF180),$AF$2:$AF$1001,0),0), INDEX($AM$1004:$BM$1004,1,MATCH(COLUMNS($AM$1006:AS1006),$AM$1006:$BM$1006,0)))),"Fix")))</f>
        <v xml:space="preserve"> </v>
      </c>
      <c r="I180" s="4" t="str">
        <f ca="1">IF(OR(INDEX($AG$2:$AG$1001,MATCH(ROWS($AF$2:AF180),$AF$2:$AF$1001,0),1)&gt;=100000,INDEX($AM$1005:$BM$1005,1,MATCH(COLUMNS($AM$1006:AT1006),$AM$1006:$BM$1006,0))&gt;=100000), " ",IF(INDEX($AM$2:$BM$1001,MATCH(ROWS($AF$2:AF180),$AF$2:$AF$1001,0),MATCH(COLUMNS($AM$1006:AT1006),$AM$1006:$BM$1006,0)), HYPERLINK("#",""), HYPERLINK(CONCATENATE("#metadata!", ADDRESS(INDEX($AH$2:$AH$1001,MATCH(ROWS($AF$2:AF180),$AF$2:$AF$1001,0),0), INDEX($AM$1004:$BM$1004,1,MATCH(COLUMNS($AM$1006:AT1006),$AM$1006:$BM$1006,0)))),"Fix")))</f>
        <v xml:space="preserve"> </v>
      </c>
      <c r="J180" s="4" t="str">
        <f ca="1">IF(OR(INDEX($AG$2:$AG$1001,MATCH(ROWS($AF$2:AF180),$AF$2:$AF$1001,0),1)&gt;=100000,INDEX($AM$1005:$BM$1005,1,MATCH(COLUMNS($AM$1006:AU1006),$AM$1006:$BM$1006,0))&gt;=100000), " ",IF(INDEX($AM$2:$BM$1001,MATCH(ROWS($AF$2:AF180),$AF$2:$AF$1001,0),MATCH(COLUMNS($AM$1006:AU1006),$AM$1006:$BM$1006,0)), HYPERLINK("#",""), HYPERLINK(CONCATENATE("#metadata!", ADDRESS(INDEX($AH$2:$AH$1001,MATCH(ROWS($AF$2:AF180),$AF$2:$AF$1001,0),0), INDEX($AM$1004:$BM$1004,1,MATCH(COLUMNS($AM$1006:AU1006),$AM$1006:$BM$1006,0)))),"Fix")))</f>
        <v xml:space="preserve"> </v>
      </c>
      <c r="K180" s="4" t="str">
        <f ca="1">IF(OR(INDEX($AG$2:$AG$1001,MATCH(ROWS($AF$2:AF180),$AF$2:$AF$1001,0),1)&gt;=100000,INDEX($AM$1005:$BM$1005,1,MATCH(COLUMNS($AM$1006:AV1006),$AM$1006:$BM$1006,0))&gt;=100000), " ",IF(INDEX($AM$2:$BM$1001,MATCH(ROWS($AF$2:AF180),$AF$2:$AF$1001,0),MATCH(COLUMNS($AM$1006:AV1006),$AM$1006:$BM$1006,0)), HYPERLINK("#",""), HYPERLINK(CONCATENATE("#metadata!", ADDRESS(INDEX($AH$2:$AH$1001,MATCH(ROWS($AF$2:AF180),$AF$2:$AF$1001,0),0), INDEX($AM$1004:$BM$1004,1,MATCH(COLUMNS($AM$1006:AV1006),$AM$1006:$BM$1006,0)))),"Fix")))</f>
        <v xml:space="preserve"> </v>
      </c>
      <c r="L180" s="4" t="str">
        <f ca="1">IF(OR(INDEX($AG$2:$AG$1001,MATCH(ROWS($AF$2:AF180),$AF$2:$AF$1001,0),1)&gt;=100000,INDEX($AM$1005:$BM$1005,1,MATCH(COLUMNS($AM$1006:AW1006),$AM$1006:$BM$1006,0))&gt;=100000), " ",IF(INDEX($AM$2:$BM$1001,MATCH(ROWS($AF$2:AF180),$AF$2:$AF$1001,0),MATCH(COLUMNS($AM$1006:AW1006),$AM$1006:$BM$1006,0)), HYPERLINK("#",""), HYPERLINK(CONCATENATE("#metadata!", ADDRESS(INDEX($AH$2:$AH$1001,MATCH(ROWS($AF$2:AF180),$AF$2:$AF$1001,0),0), INDEX($AM$1004:$BM$1004,1,MATCH(COLUMNS($AM$1006:AW1006),$AM$1006:$BM$1006,0)))),"Fix")))</f>
        <v xml:space="preserve"> </v>
      </c>
      <c r="M180" s="4" t="str">
        <f ca="1">IF(OR(INDEX($AG$2:$AG$1001,MATCH(ROWS($AF$2:AF180),$AF$2:$AF$1001,0),1)&gt;=100000,INDEX($AM$1005:$BM$1005,1,MATCH(COLUMNS($AM$1006:AX1006),$AM$1006:$BM$1006,0))&gt;=100000), " ",IF(INDEX($AM$2:$BM$1001,MATCH(ROWS($AF$2:AF180),$AF$2:$AF$1001,0),MATCH(COLUMNS($AM$1006:AX1006),$AM$1006:$BM$1006,0)), HYPERLINK("#",""), HYPERLINK(CONCATENATE("#metadata!", ADDRESS(INDEX($AH$2:$AH$1001,MATCH(ROWS($AF$2:AF180),$AF$2:$AF$1001,0),0), INDEX($AM$1004:$BM$1004,1,MATCH(COLUMNS($AM$1006:AX1006),$AM$1006:$BM$1006,0)))),"Fix")))</f>
        <v xml:space="preserve"> </v>
      </c>
      <c r="N180" s="4" t="str">
        <f ca="1">IF(OR(INDEX($AG$2:$AG$1001,MATCH(ROWS($AF$2:AF180),$AF$2:$AF$1001,0),1)&gt;=100000,INDEX($AM$1005:$BM$1005,1,MATCH(COLUMNS($AM$1006:AY1006),$AM$1006:$BM$1006,0))&gt;=100000), " ",IF(INDEX($AM$2:$BM$1001,MATCH(ROWS($AF$2:AF180),$AF$2:$AF$1001,0),MATCH(COLUMNS($AM$1006:AY1006),$AM$1006:$BM$1006,0)), HYPERLINK("#",""), HYPERLINK(CONCATENATE("#metadata!", ADDRESS(INDEX($AH$2:$AH$1001,MATCH(ROWS($AF$2:AF180),$AF$2:$AF$1001,0),0), INDEX($AM$1004:$BM$1004,1,MATCH(COLUMNS($AM$1006:AY1006),$AM$1006:$BM$1006,0)))),"Fix")))</f>
        <v xml:space="preserve"> </v>
      </c>
      <c r="O180" s="4" t="str">
        <f ca="1">IF(OR(INDEX($AG$2:$AG$1001,MATCH(ROWS($AF$2:AF180),$AF$2:$AF$1001,0),1)&gt;=100000,INDEX($AM$1005:$BM$1005,1,MATCH(COLUMNS($AM$1006:AZ1006),$AM$1006:$BM$1006,0))&gt;=100000), " ",IF(INDEX($AM$2:$BM$1001,MATCH(ROWS($AF$2:AF180),$AF$2:$AF$1001,0),MATCH(COLUMNS($AM$1006:AZ1006),$AM$1006:$BM$1006,0)), HYPERLINK("#",""), HYPERLINK(CONCATENATE("#metadata!", ADDRESS(INDEX($AH$2:$AH$1001,MATCH(ROWS($AF$2:AF180),$AF$2:$AF$1001,0),0), INDEX($AM$1004:$BM$1004,1,MATCH(COLUMNS($AM$1006:AZ1006),$AM$1006:$BM$1006,0)))),"Fix")))</f>
        <v xml:space="preserve"> </v>
      </c>
      <c r="P180" s="4" t="str">
        <f ca="1">IF(OR(INDEX($AG$2:$AG$1001,MATCH(ROWS($AF$2:AF180),$AF$2:$AF$1001,0),1)&gt;=100000,INDEX($AM$1005:$BM$1005,1,MATCH(COLUMNS($AM$1006:BA1006),$AM$1006:$BM$1006,0))&gt;=100000), " ",IF(INDEX($AM$2:$BM$1001,MATCH(ROWS($AF$2:AF180),$AF$2:$AF$1001,0),MATCH(COLUMNS($AM$1006:BA1006),$AM$1006:$BM$1006,0)), HYPERLINK("#",""), HYPERLINK(CONCATENATE("#metadata!", ADDRESS(INDEX($AH$2:$AH$1001,MATCH(ROWS($AF$2:AF180),$AF$2:$AF$1001,0),0), INDEX($AM$1004:$BM$1004,1,MATCH(COLUMNS($AM$1006:BA1006),$AM$1006:$BM$1006,0)))),"Fix")))</f>
        <v xml:space="preserve"> </v>
      </c>
      <c r="Q180" s="4" t="str">
        <f ca="1">IF(OR(INDEX($AG$2:$AG$1001,MATCH(ROWS($AF$2:AF180),$AF$2:$AF$1001,0),1)&gt;=100000,INDEX($AM$1005:$BM$1005,1,MATCH(COLUMNS($AM$1006:BB1006),$AM$1006:$BM$1006,0))&gt;=100000), " ",IF(INDEX($AM$2:$BM$1001,MATCH(ROWS($AF$2:AF180),$AF$2:$AF$1001,0),MATCH(COLUMNS($AM$1006:BB1006),$AM$1006:$BM$1006,0)), HYPERLINK("#",""), HYPERLINK(CONCATENATE("#metadata!", ADDRESS(INDEX($AH$2:$AH$1001,MATCH(ROWS($AF$2:AF180),$AF$2:$AF$1001,0),0), INDEX($AM$1004:$BM$1004,1,MATCH(COLUMNS($AM$1006:BB1006),$AM$1006:$BM$1006,0)))),"Fix")))</f>
        <v xml:space="preserve"> </v>
      </c>
      <c r="R180" s="4" t="str">
        <f ca="1">IF(OR(INDEX($AG$2:$AG$1001,MATCH(ROWS($AF$2:AF180),$AF$2:$AF$1001,0),1)&gt;=100000,INDEX($AM$1005:$BM$1005,1,MATCH(COLUMNS($AM$1006:BC1006),$AM$1006:$BM$1006,0))&gt;=100000), " ",IF(INDEX($AM$2:$BM$1001,MATCH(ROWS($AF$2:AF180),$AF$2:$AF$1001,0),MATCH(COLUMNS($AM$1006:BC1006),$AM$1006:$BM$1006,0)), HYPERLINK("#",""), HYPERLINK(CONCATENATE("#metadata!", ADDRESS(INDEX($AH$2:$AH$1001,MATCH(ROWS($AF$2:AF180),$AF$2:$AF$1001,0),0), INDEX($AM$1004:$BM$1004,1,MATCH(COLUMNS($AM$1006:BC1006),$AM$1006:$BM$1006,0)))),"Fix")))</f>
        <v xml:space="preserve"> </v>
      </c>
      <c r="S180" s="4" t="str">
        <f ca="1">IF(OR(INDEX($AG$2:$AG$1001,MATCH(ROWS($AF$2:AF180),$AF$2:$AF$1001,0),1)&gt;=100000,INDEX($AM$1005:$BM$1005,1,MATCH(COLUMNS($AM$1006:BD1006),$AM$1006:$BM$1006,0))&gt;=100000), " ",IF(INDEX($AM$2:$BM$1001,MATCH(ROWS($AF$2:AF180),$AF$2:$AF$1001,0),MATCH(COLUMNS($AM$1006:BD1006),$AM$1006:$BM$1006,0)), HYPERLINK("#",""), HYPERLINK(CONCATENATE("#metadata!", ADDRESS(INDEX($AH$2:$AH$1001,MATCH(ROWS($AF$2:AF180),$AF$2:$AF$1001,0),0), INDEX($AM$1004:$BM$1004,1,MATCH(COLUMNS($AM$1006:BD1006),$AM$1006:$BM$1006,0)))),"Fix")))</f>
        <v xml:space="preserve"> </v>
      </c>
      <c r="T180" s="4" t="str">
        <f ca="1">IF(OR(INDEX($AG$2:$AG$1001,MATCH(ROWS($AF$2:AF180),$AF$2:$AF$1001,0),1)&gt;=100000,INDEX($AM$1005:$BM$1005,1,MATCH(COLUMNS($AM$1006:BE1006),$AM$1006:$BM$1006,0))&gt;=100000), " ",IF(INDEX($AM$2:$BM$1001,MATCH(ROWS($AF$2:AF180),$AF$2:$AF$1001,0),MATCH(COLUMNS($AM$1006:BE1006),$AM$1006:$BM$1006,0)), HYPERLINK("#",""), HYPERLINK(CONCATENATE("#metadata!", ADDRESS(INDEX($AH$2:$AH$1001,MATCH(ROWS($AF$2:AF180),$AF$2:$AF$1001,0),0), INDEX($AM$1004:$BM$1004,1,MATCH(COLUMNS($AM$1006:BE1006),$AM$1006:$BM$1006,0)))),"Fix")))</f>
        <v xml:space="preserve"> </v>
      </c>
      <c r="U180" s="4" t="str">
        <f ca="1">IF(OR(INDEX($AG$2:$AG$1001,MATCH(ROWS($AF$2:AF180),$AF$2:$AF$1001,0),1)&gt;=100000,INDEX($AM$1005:$BM$1005,1,MATCH(COLUMNS($AM$1006:BF1006),$AM$1006:$BM$1006,0))&gt;=100000), " ",IF(INDEX($AM$2:$BM$1001,MATCH(ROWS($AF$2:AF180),$AF$2:$AF$1001,0),MATCH(COLUMNS($AM$1006:BF1006),$AM$1006:$BM$1006,0)), HYPERLINK("#",""), HYPERLINK(CONCATENATE("#metadata!", ADDRESS(INDEX($AH$2:$AH$1001,MATCH(ROWS($AF$2:AF180),$AF$2:$AF$1001,0),0), INDEX($AM$1004:$BM$1004,1,MATCH(COLUMNS($AM$1006:BF1006),$AM$1006:$BM$1006,0)))),"Fix")))</f>
        <v xml:space="preserve"> </v>
      </c>
      <c r="V180" s="4" t="str">
        <f ca="1">IF(OR(INDEX($AG$2:$AG$1001,MATCH(ROWS($AF$2:AF180),$AF$2:$AF$1001,0),1)&gt;=100000,INDEX($AM$1005:$BM$1005,1,MATCH(COLUMNS($AM$1006:BG1006),$AM$1006:$BM$1006,0))&gt;=100000), " ",IF(INDEX($AM$2:$BM$1001,MATCH(ROWS($AF$2:AF180),$AF$2:$AF$1001,0),MATCH(COLUMNS($AM$1006:BG1006),$AM$1006:$BM$1006,0)), HYPERLINK("#",""), HYPERLINK(CONCATENATE("#metadata!", ADDRESS(INDEX($AH$2:$AH$1001,MATCH(ROWS($AF$2:AF180),$AF$2:$AF$1001,0),0), INDEX($AM$1004:$BM$1004,1,MATCH(COLUMNS($AM$1006:BG1006),$AM$1006:$BM$1006,0)))),"Fix")))</f>
        <v xml:space="preserve"> </v>
      </c>
      <c r="W180" s="4" t="str">
        <f ca="1">IF(OR(INDEX($AG$2:$AG$1001,MATCH(ROWS($AF$2:AF180),$AF$2:$AF$1001,0),1)&gt;=100000,INDEX($AM$1005:$BM$1005,1,MATCH(COLUMNS($AM$1006:BH1006),$AM$1006:$BM$1006,0))&gt;=100000), " ",IF(INDEX($AM$2:$BM$1001,MATCH(ROWS($AF$2:AF180),$AF$2:$AF$1001,0),MATCH(COLUMNS($AM$1006:BH1006),$AM$1006:$BM$1006,0)), HYPERLINK("#",""), HYPERLINK(CONCATENATE("#metadata!", ADDRESS(INDEX($AH$2:$AH$1001,MATCH(ROWS($AF$2:AF180),$AF$2:$AF$1001,0),0), INDEX($AM$1004:$BM$1004,1,MATCH(COLUMNS($AM$1006:BH1006),$AM$1006:$BM$1006,0)))),"Fix")))</f>
        <v xml:space="preserve"> </v>
      </c>
      <c r="X180" s="4" t="str">
        <f ca="1">IF(OR(INDEX($AG$2:$AG$1001,MATCH(ROWS($AF$2:AF180),$AF$2:$AF$1001,0),1)&gt;=100000,INDEX($AM$1005:$BM$1005,1,MATCH(COLUMNS($AM$1006:BI1006),$AM$1006:$BM$1006,0))&gt;=100000), " ",IF(INDEX($AM$2:$BM$1001,MATCH(ROWS($AF$2:AF180),$AF$2:$AF$1001,0),MATCH(COLUMNS($AM$1006:BI1006),$AM$1006:$BM$1006,0)), HYPERLINK("#",""), HYPERLINK(CONCATENATE("#metadata!", ADDRESS(INDEX($AH$2:$AH$1001,MATCH(ROWS($AF$2:AF180),$AF$2:$AF$1001,0),0), INDEX($AM$1004:$BM$1004,1,MATCH(COLUMNS($AM$1006:BI1006),$AM$1006:$BM$1006,0)))),"Fix")))</f>
        <v xml:space="preserve"> </v>
      </c>
      <c r="Y180" s="4" t="str">
        <f ca="1">IF(OR(INDEX($AG$2:$AG$1001,MATCH(ROWS($AF$2:AF180),$AF$2:$AF$1001,0),1)&gt;=100000,INDEX($AM$1005:$BM$1005,1,MATCH(COLUMNS($AM$1006:BJ1006),$AM$1006:$BM$1006,0))&gt;=100000), " ",IF(INDEX($AM$2:$BM$1001,MATCH(ROWS($AF$2:AF180),$AF$2:$AF$1001,0),MATCH(COLUMNS($AM$1006:BJ1006),$AM$1006:$BM$1006,0)), HYPERLINK("#",""), HYPERLINK(CONCATENATE("#metadata!", ADDRESS(INDEX($AH$2:$AH$1001,MATCH(ROWS($AF$2:AF180),$AF$2:$AF$1001,0),0), INDEX($AM$1004:$BM$1004,1,MATCH(COLUMNS($AM$1006:BJ1006),$AM$1006:$BM$1006,0)))),"Fix")))</f>
        <v xml:space="preserve"> </v>
      </c>
      <c r="Z180" s="4" t="str">
        <f ca="1">IF(OR(INDEX($AG$2:$AG$1001,MATCH(ROWS($AF$2:AF180),$AF$2:$AF$1001,0),1)&gt;=100000,INDEX($AM$1005:$BM$1005,1,MATCH(COLUMNS($AM$1006:BK1006),$AM$1006:$BM$1006,0))&gt;=100000), " ",IF(INDEX($AM$2:$BM$1001,MATCH(ROWS($AF$2:AF180),$AF$2:$AF$1001,0),MATCH(COLUMNS($AM$1006:BK1006),$AM$1006:$BM$1006,0)), HYPERLINK("#",""), HYPERLINK(CONCATENATE("#metadata!", ADDRESS(INDEX($AH$2:$AH$1001,MATCH(ROWS($AF$2:AF180),$AF$2:$AF$1001,0),0), INDEX($AM$1004:$BM$1004,1,MATCH(COLUMNS($AM$1006:BK1006),$AM$1006:$BM$1006,0)))),"Fix")))</f>
        <v xml:space="preserve"> </v>
      </c>
      <c r="AA180" s="4" t="str">
        <f ca="1">IF(OR(INDEX($AG$2:$AG$1001,MATCH(ROWS($AF$2:AF180),$AF$2:$AF$1001,0),1)&gt;=100000,INDEX($AM$1005:$BM$1005,1,MATCH(COLUMNS($AM$1006:BL1006),$AM$1006:$BM$1006,0))&gt;=100000), " ",IF(INDEX($AM$2:$BM$1001,MATCH(ROWS($AF$2:AF180),$AF$2:$AF$1001,0),MATCH(COLUMNS($AM$1006:BL1006),$AM$1006:$BM$1006,0)), HYPERLINK("#",""), HYPERLINK(CONCATENATE("#metadata!", ADDRESS(INDEX($AH$2:$AH$1001,MATCH(ROWS($AF$2:AF180),$AF$2:$AF$1001,0),0), INDEX($AM$1004:$BM$1004,1,MATCH(COLUMNS($AM$1006:BL1006),$AM$1006:$BM$1006,0)))),"Fix")))</f>
        <v xml:space="preserve"> </v>
      </c>
      <c r="AB180" s="4" t="str">
        <f ca="1">IF(OR(INDEX($AG$2:$AG$1001,MATCH(ROWS($AF$2:AF180),$AF$2:$AF$1001,0),1)&gt;=100000,INDEX($AM$1005:$BM$1005,1,MATCH(COLUMNS($AM$1006:BM1006),$AM$1006:$BM$1006,0))&gt;=100000), " ",IF(INDEX($AM$2:$BM$1001,MATCH(ROWS($AF$2:AF180),$AF$2:$AF$1001,0),MATCH(COLUMNS($AM$1006:BM1006),$AM$1006:$BM$1006,0)), HYPERLINK("#",""), HYPERLINK(CONCATENATE("#metadata!", ADDRESS(INDEX($AH$2:$AH$1001,MATCH(ROWS($AF$2:AF180),$AF$2:$AF$1001,0),0), INDEX($AM$1004:$BM$1004,1,MATCH(COLUMNS($AM$1006:BM1006),$AM$1006:$BM$1006,0)))),"Fix")))</f>
        <v xml:space="preserve"> </v>
      </c>
      <c r="AF180">
        <v>179</v>
      </c>
      <c r="AG180">
        <v>100180</v>
      </c>
      <c r="AH180">
        <v>180</v>
      </c>
      <c r="AI180" t="b">
        <f t="shared" si="2"/>
        <v>1</v>
      </c>
      <c r="AJ180" t="b">
        <f>COUNTBLANK(metadata!B180:AB180)=COLUMNS(metadata!B180:AB180)</f>
        <v>1</v>
      </c>
      <c r="AK180" t="str">
        <v/>
      </c>
      <c r="AM180" t="b">
        <f ca="1">AND(IF(metadata!B180="",FALSE,TRUE),COUNTIF(metadata!B:B, metadata!B180) = 1,NOT(ISERROR(SUMPRODUCT(SEARCH(MID(metadata!B180,ROW(INDIRECT("1:"&amp;LEN(metadata!B180))), 1),"0123456789abcdefghijklmnopqrstuvwxyzABCDEFGHIJKLMNOPQRSTUVWXYZ.")))))</f>
        <v>0</v>
      </c>
      <c r="AN180" t="b">
        <f ca="1">OR(AND(IF(metadata!C180="",FALSE,TRUE),OR(EXACT(metadata!C180,"missing: not collected"),EXACT(metadata!C180,"missing: not provided"),EXACT(metadata!C180,"missing: restricted access"))),AND(IF(metadata!C180="",FALSE,TRUE),AND(AND(IFERROR(INT(LEFT(metadata!C180,4))&gt;1900,FALSE),IFERROR(INT(LEFT(metadata!C180,4))&lt;=YEAR(NOW()),FALSE)), OR(MID(metadata!C180,5,1)="", AND(AND(MID(metadata!C180,5,1)="-",IFERROR(INT(MID(metadata!C180,6,1))&gt;=0,FALSE),IFERROR(INT(MID(metadata!C180,6,1))&lt;=1,FALSE),NOT(MID(metadata!C180,7,1)=""),IFERROR(INT(MID(metadata!C180,6,2))&gt;=1,FALSE),IFERROR(INT(MID(metadata!C180,6,2))&lt;=12,FALSE)), OR(MID(metadata!C180,8,1)="", AND(AND(MID(metadata!C180,8,1)="-",IFERROR(INT(MID(metadata!C180,9,1))&gt;=0,FALSE),IFERROR(INT(MID(metadata!C180,9,1))&lt;=3,FALSE),NOT(MID(metadata!C180,10,1)=""),IFERROR(INT(MID(metadata!C180,9,2))&gt;=1,FALSE),IFERROR(INT(MID(metadata!C180,9,2))&lt;=31,FALSE)), OR(MID(metadata!C180,11,1)="", AND(AND(MID(metadata!C180,11,1)=" ",IFERROR(INT(MID(metadata!C180,12,1))&gt;=0,FALSE),IFERROR(INT(MID(metadata!C180,12,1))&lt;=2,FALSE),NOT(MID(metadata!C180,13,1)=""),IFERROR(INT(MID(metadata!C180,12,2))&gt;=0,FALSE),IFERROR(INT(MID(metadata!C180,12,2))&lt;=23,FALSE)), OR(MID(metadata!C180,14,1)="", AND(AND(MID(metadata!C180,14,1)=":",IFERROR(INT(MID(metadata!C180,15,1))&gt;=0,FALSE),IFERROR(INT(MID(metadata!C180,15,1))&lt;=5,FALSE),NOT(MID(metadata!C180,16,1)=""),IFERROR(INT(MID(metadata!C180,15,2))&gt;=0,FALSE),IFERROR(INT(MID(metadata!C180,15,2))&lt;=59,FALSE)), OR(MID(metadata!C180,17,1)="", AND(AND(MID(metadata!C180,17,1)=":",IFERROR(INT(MID(metadata!C180,18,1))&gt;=0,FALSE),IFERROR(INT(MID(metadata!C180,18,1))&lt;=5,FALSE),NOT(MID(metadata!C180,19,1)=""),IFERROR(INT(MID(metadata!C180,18,2))&gt;=0,FALSE),IFERROR(INT(MID(metadata!C180,18,2))&lt;=59,FALSE)), LEN(metadata!C180)&lt;=19)))))))))))))</f>
        <v>0</v>
      </c>
      <c r="AO180" t="b">
        <f>AND(IF(metadata!D180="",FALSE,TRUE),EXACT(metadata!D180,"Not applicable"))</f>
        <v>0</v>
      </c>
      <c r="AP180" t="b">
        <f>IF(metadata!E180="",FALSE,TRUE)</f>
        <v>0</v>
      </c>
      <c r="AQ180" t="b">
        <f>OR(AND(IF(metadata!F180="",FALSE,TRUE),OR(EXACT(metadata!F180,"missing: not collected"),EXACT(metadata!F180,"missing: not provided"))),AND(IF(metadata!F180="",FALSE,TRUE),OR(EXACT(metadata!F180,"TRUE"),EXACT(metadata!F180,"FALSE"))))</f>
        <v>0</v>
      </c>
      <c r="AR180" t="b">
        <f>OR(AND(IF(metadata!G180="",FALSE,TRUE),OR(EXACT(metadata!G180,"missing: not collected"),EXACT(metadata!G180,"missing: not provided"),EXACT(metadata!G180,"missing: restricted access"))),AND(IF(metadata!G180="",FALSE,ISNUMBER(VALUE(metadata!G180))),metadata!G180&gt;=-413))</f>
        <v>0</v>
      </c>
      <c r="AS180" t="b">
        <f>AND(IF(metadata!H180="",FALSE,TRUE),EXACT(metadata!H180,"meters"))</f>
        <v>0</v>
      </c>
      <c r="AT180" t="b">
        <f>AND(IF(metadata!I180="",FALSE,TRUE),OR(EXACT(metadata!I180,"Host-associated"),EXACT(metadata!I180,"Free-living")))</f>
        <v>0</v>
      </c>
      <c r="AU180" t="b">
        <f>AND(IF(metadata!J180="",FALSE,TRUE),OR(EXACT(metadata!J180,"Animal"),EXACT(metadata!J180,"Fungus"),EXACT(metadata!J180,"Plant"),EXACT(metadata!J180,"Saline"),EXACT(metadata!J180,"Non-saline")))</f>
        <v>0</v>
      </c>
      <c r="AV180" t="b">
        <f>AND(IF(metadata!K180="",FALSE,TRUE),OR(EXACT(metadata!K180,"Plant secretion"),EXACT(metadata!K180,"Plant rhizosphere"),EXACT(metadata!K180,"Plant surface"),EXACT(metadata!K180,"Plant corpus"),EXACT(metadata!K180,"Fungus surface"),EXACT(metadata!K180,"Fungus corpus"),EXACT(metadata!K180,"Animal surface"),EXACT(metadata!K180,"Animal proximal gut"),EXACT(metadata!K180,"Animal corpus"),EXACT(metadata!K180,"Animal distal gut"),EXACT(metadata!K180,"Animal secretion"),EXACT(metadata!K180,"Sub-surface (non-saline)"),EXACT(metadata!K180,"Surface (non-saline)"),EXACT(metadata!K180,"Water (non-saline)"),EXACT(metadata!K180,"Soil (non-saline)"),EXACT(metadata!K180,"Aerosol (non-saline)"),EXACT(metadata!K180,"Sediment (non-saline)"),EXACT(metadata!K180,"Surface (saline)"),EXACT(metadata!K180,"Water (saline)"),EXACT(metadata!K180,"Hypersaline (saline)"),EXACT(metadata!K180,"Aerosol (saline)"),EXACT(metadata!K180,"Sediment (saline)")))</f>
        <v>0</v>
      </c>
      <c r="AW180" t="b">
        <f>IF(metadata!L180="",FALSE,TRUE)</f>
        <v>0</v>
      </c>
      <c r="AX180" t="b">
        <f>IF(metadata!M180="",FALSE,TRUE)</f>
        <v>0</v>
      </c>
      <c r="AY180" t="b">
        <f>IF(metadata!N180="",FALSE,TRUE)</f>
        <v>0</v>
      </c>
      <c r="AZ180" t="b">
        <f>OR(AND(IF(metadata!O180="",FALSE,TRUE),OR(EXACT(metadata!O180,"missing: not collected"),EXACT(metadata!O180,"missing: not provided"),EXACT(metadata!O180,"missing: restricted access"))),AND(IF(metadata!O180="",FALSE,TRUE),OR(EXACT(metadata!O180,"air"),EXACT(metadata!O180,"built environment"),EXACT(metadata!O180,"host-associated"),EXACT(metadata!O180,"human-associated"),EXACT(metadata!O180,"human-skin"),EXACT(metadata!O180,"human-oral"),EXACT(metadata!O180,"human-gut"),EXACT(metadata!O180,"human-vaginal"),EXACT(metadata!O180,"microbial mat/biofilm"),EXACT(metadata!O180,"misc environment"),EXACT(metadata!O180,"plant-associated"),EXACT(metadata!O180,"sediment"),EXACT(metadata!O180,"soil"),EXACT(metadata!O180,"wastewater/sludge"),EXACT(metadata!O180,"water"))))</f>
        <v>0</v>
      </c>
      <c r="BA180" t="b">
        <f>IF(metadata!P180="",FALSE,TRUE)</f>
        <v>0</v>
      </c>
      <c r="BB180" t="b">
        <f>IF(metadata!Q180="",FALSE,TRUE)</f>
        <v>0</v>
      </c>
      <c r="BC180" t="b">
        <f>OR(AND(IF(metadata!R180="",FALSE,TRUE),OR(EXACT(metadata!R180,"missing: not collected"),EXACT(metadata!R180,"missing: not provided"),EXACT(metadata!R180,"missing: restricted access"))),AND(IF(metadata!R180="",FALSE,ISNUMBER(VALUE(metadata!R180))),metadata!R180&gt;=-90,metadata!R180&lt;=90))</f>
        <v>0</v>
      </c>
      <c r="BD180" t="b">
        <f>AND(IF(metadata!S180="",FALSE,TRUE),EXACT(metadata!S180,"Decimal degrees"))</f>
        <v>0</v>
      </c>
      <c r="BE180" t="b">
        <f>OR(AND(IF(metadata!T180="",FALSE,TRUE),OR(EXACT(metadata!T180,"missing: not collected"),EXACT(metadata!T180,"missing: not provided"),EXACT(metadata!T180,"missing: restricted access"))),AND(IF(metadata!T180="",FALSE,ISNUMBER(VALUE(metadata!T180))),metadata!T180&gt;=-180,metadata!T180&lt;=180))</f>
        <v>0</v>
      </c>
      <c r="BF180" t="b">
        <f>AND(IF(metadata!U180="",FALSE,TRUE),EXACT(metadata!U180,"Decimal degrees"))</f>
        <v>0</v>
      </c>
      <c r="BG180" t="b">
        <f>IF(metadata!V180="",FALSE,TRUE)</f>
        <v>0</v>
      </c>
      <c r="BH180" t="b">
        <f>OR(AND(IF(metadata!W180="",FALSE,TRUE),OR(EXACT(metadata!W180,"missing: not collected"),EXACT(metadata!W180,"missing: not provided"),EXACT(metadata!W180,"missing: restricted access"))),AND(IF(metadata!W180="",FALSE,TRUE),OR(EXACT(metadata!W180,"TRUE"),EXACT(metadata!W180,"FALSE"))))</f>
        <v>0</v>
      </c>
      <c r="BI180" t="b">
        <f>AND(IF(metadata!X180="",FALSE,TRUE),EXACT(metadata!X180,"other"))</f>
        <v>0</v>
      </c>
      <c r="BJ180" t="b">
        <f>IF(metadata!Y180="",FALSE,TRUE)</f>
        <v>0</v>
      </c>
      <c r="BK180" t="b">
        <f>OR(AND(IF(metadata!Z180="",FALSE,TRUE),OR(EXACT(metadata!Z180,"missing: not collected"),EXACT(metadata!Z180,"missing: not provided"))),AND(IF(metadata!Z180="",FALSE,IF(ISERROR(INT(metadata!Z180)),FALSE,INT(metadata!Z180)=metadata!Z180)),metadata!Z180&gt;0))</f>
        <v>0</v>
      </c>
      <c r="BL180" t="b">
        <f>AND(IF(metadata!AA180="",FALSE,TRUE),EXACT(metadata!AA180,"Not applicable"))</f>
        <v>0</v>
      </c>
      <c r="BM180" t="b">
        <f>IF(metadata!AB180="",FALSE,TRUE)</f>
        <v>0</v>
      </c>
    </row>
    <row r="181" spans="1:65" x14ac:dyDescent="0.2">
      <c r="A181" s="5" t="str">
        <f ca="1">IF(B181=" "," ",HYPERLINK(CONCATENATE("#metadata!",ADDRESS(INDEX($AH$2:$AH$1001,MATCH(ROWS($AF$2:AF181),$AF$2:$AF$1001,0),0),1)),INDEX($AK$2:$AK$1001,MATCH(ROWS($AF$2:AF181),$AF$2:$AF$1001,0),0)))</f>
        <v xml:space="preserve"> </v>
      </c>
      <c r="B181" s="4" t="str">
        <f ca="1">IF(OR(INDEX($AG$2:$AG$1001,MATCH(ROWS($AF$2:AF181),$AF$2:$AF$1001,0),1)&gt;=100000,INDEX($AM$1005:$BM$1005,1,MATCH(COLUMNS($AM$1006:AM1006),$AM$1006:$BM$1006,0))&gt;=100000), " ",IF(INDEX($AM$2:$BM$1001,MATCH(ROWS($AF$2:AF181),$AF$2:$AF$1001,0),MATCH(COLUMNS($AM$1006:AM1006),$AM$1006:$BM$1006,0)), HYPERLINK("#",""), HYPERLINK(CONCATENATE("#metadata!", ADDRESS(INDEX($AH$2:$AH$1001,MATCH(ROWS($AF$2:AF181),$AF$2:$AF$1001,0),0), INDEX($AM$1004:$BM$1004,1,MATCH(COLUMNS($AM$1006:AM1006),$AM$1006:$BM$1006,0)))),"Fix")))</f>
        <v xml:space="preserve"> </v>
      </c>
      <c r="C181" s="4" t="str">
        <f ca="1">IF(OR(INDEX($AG$2:$AG$1001,MATCH(ROWS($AF$2:AF181),$AF$2:$AF$1001,0),1)&gt;=100000,INDEX($AM$1005:$BM$1005,1,MATCH(COLUMNS($AM$1006:AN1006),$AM$1006:$BM$1006,0))&gt;=100000), " ",IF(INDEX($AM$2:$BM$1001,MATCH(ROWS($AF$2:AF181),$AF$2:$AF$1001,0),MATCH(COLUMNS($AM$1006:AN1006),$AM$1006:$BM$1006,0)), HYPERLINK("#",""), HYPERLINK(CONCATENATE("#metadata!", ADDRESS(INDEX($AH$2:$AH$1001,MATCH(ROWS($AF$2:AF181),$AF$2:$AF$1001,0),0), INDEX($AM$1004:$BM$1004,1,MATCH(COLUMNS($AM$1006:AN1006),$AM$1006:$BM$1006,0)))),"Fix")))</f>
        <v xml:space="preserve"> </v>
      </c>
      <c r="D181" s="4" t="str">
        <f ca="1">IF(OR(INDEX($AG$2:$AG$1001,MATCH(ROWS($AF$2:AF181),$AF$2:$AF$1001,0),1)&gt;=100000,INDEX($AM$1005:$BM$1005,1,MATCH(COLUMNS($AM$1006:AO1006),$AM$1006:$BM$1006,0))&gt;=100000), " ",IF(INDEX($AM$2:$BM$1001,MATCH(ROWS($AF$2:AF181),$AF$2:$AF$1001,0),MATCH(COLUMNS($AM$1006:AO1006),$AM$1006:$BM$1006,0)), HYPERLINK("#",""), HYPERLINK(CONCATENATE("#metadata!", ADDRESS(INDEX($AH$2:$AH$1001,MATCH(ROWS($AF$2:AF181),$AF$2:$AF$1001,0),0), INDEX($AM$1004:$BM$1004,1,MATCH(COLUMNS($AM$1006:AO1006),$AM$1006:$BM$1006,0)))),"Fix")))</f>
        <v xml:space="preserve"> </v>
      </c>
      <c r="E181" s="4" t="str">
        <f ca="1">IF(OR(INDEX($AG$2:$AG$1001,MATCH(ROWS($AF$2:AF181),$AF$2:$AF$1001,0),1)&gt;=100000,INDEX($AM$1005:$BM$1005,1,MATCH(COLUMNS($AM$1006:AP1006),$AM$1006:$BM$1006,0))&gt;=100000), " ",IF(INDEX($AM$2:$BM$1001,MATCH(ROWS($AF$2:AF181),$AF$2:$AF$1001,0),MATCH(COLUMNS($AM$1006:AP1006),$AM$1006:$BM$1006,0)), HYPERLINK("#",""), HYPERLINK(CONCATENATE("#metadata!", ADDRESS(INDEX($AH$2:$AH$1001,MATCH(ROWS($AF$2:AF181),$AF$2:$AF$1001,0),0), INDEX($AM$1004:$BM$1004,1,MATCH(COLUMNS($AM$1006:AP1006),$AM$1006:$BM$1006,0)))),"Fix")))</f>
        <v xml:space="preserve"> </v>
      </c>
      <c r="F181" s="4" t="str">
        <f ca="1">IF(OR(INDEX($AG$2:$AG$1001,MATCH(ROWS($AF$2:AF181),$AF$2:$AF$1001,0),1)&gt;=100000,INDEX($AM$1005:$BM$1005,1,MATCH(COLUMNS($AM$1006:AQ1006),$AM$1006:$BM$1006,0))&gt;=100000), " ",IF(INDEX($AM$2:$BM$1001,MATCH(ROWS($AF$2:AF181),$AF$2:$AF$1001,0),MATCH(COLUMNS($AM$1006:AQ1006),$AM$1006:$BM$1006,0)), HYPERLINK("#",""), HYPERLINK(CONCATENATE("#metadata!", ADDRESS(INDEX($AH$2:$AH$1001,MATCH(ROWS($AF$2:AF181),$AF$2:$AF$1001,0),0), INDEX($AM$1004:$BM$1004,1,MATCH(COLUMNS($AM$1006:AQ1006),$AM$1006:$BM$1006,0)))),"Fix")))</f>
        <v xml:space="preserve"> </v>
      </c>
      <c r="G181" s="4" t="str">
        <f ca="1">IF(OR(INDEX($AG$2:$AG$1001,MATCH(ROWS($AF$2:AF181),$AF$2:$AF$1001,0),1)&gt;=100000,INDEX($AM$1005:$BM$1005,1,MATCH(COLUMNS($AM$1006:AR1006),$AM$1006:$BM$1006,0))&gt;=100000), " ",IF(INDEX($AM$2:$BM$1001,MATCH(ROWS($AF$2:AF181),$AF$2:$AF$1001,0),MATCH(COLUMNS($AM$1006:AR1006),$AM$1006:$BM$1006,0)), HYPERLINK("#",""), HYPERLINK(CONCATENATE("#metadata!", ADDRESS(INDEX($AH$2:$AH$1001,MATCH(ROWS($AF$2:AF181),$AF$2:$AF$1001,0),0), INDEX($AM$1004:$BM$1004,1,MATCH(COLUMNS($AM$1006:AR1006),$AM$1006:$BM$1006,0)))),"Fix")))</f>
        <v xml:space="preserve"> </v>
      </c>
      <c r="H181" s="4" t="str">
        <f ca="1">IF(OR(INDEX($AG$2:$AG$1001,MATCH(ROWS($AF$2:AF181),$AF$2:$AF$1001,0),1)&gt;=100000,INDEX($AM$1005:$BM$1005,1,MATCH(COLUMNS($AM$1006:AS1006),$AM$1006:$BM$1006,0))&gt;=100000), " ",IF(INDEX($AM$2:$BM$1001,MATCH(ROWS($AF$2:AF181),$AF$2:$AF$1001,0),MATCH(COLUMNS($AM$1006:AS1006),$AM$1006:$BM$1006,0)), HYPERLINK("#",""), HYPERLINK(CONCATENATE("#metadata!", ADDRESS(INDEX($AH$2:$AH$1001,MATCH(ROWS($AF$2:AF181),$AF$2:$AF$1001,0),0), INDEX($AM$1004:$BM$1004,1,MATCH(COLUMNS($AM$1006:AS1006),$AM$1006:$BM$1006,0)))),"Fix")))</f>
        <v xml:space="preserve"> </v>
      </c>
      <c r="I181" s="4" t="str">
        <f ca="1">IF(OR(INDEX($AG$2:$AG$1001,MATCH(ROWS($AF$2:AF181),$AF$2:$AF$1001,0),1)&gt;=100000,INDEX($AM$1005:$BM$1005,1,MATCH(COLUMNS($AM$1006:AT1006),$AM$1006:$BM$1006,0))&gt;=100000), " ",IF(INDEX($AM$2:$BM$1001,MATCH(ROWS($AF$2:AF181),$AF$2:$AF$1001,0),MATCH(COLUMNS($AM$1006:AT1006),$AM$1006:$BM$1006,0)), HYPERLINK("#",""), HYPERLINK(CONCATENATE("#metadata!", ADDRESS(INDEX($AH$2:$AH$1001,MATCH(ROWS($AF$2:AF181),$AF$2:$AF$1001,0),0), INDEX($AM$1004:$BM$1004,1,MATCH(COLUMNS($AM$1006:AT1006),$AM$1006:$BM$1006,0)))),"Fix")))</f>
        <v xml:space="preserve"> </v>
      </c>
      <c r="J181" s="4" t="str">
        <f ca="1">IF(OR(INDEX($AG$2:$AG$1001,MATCH(ROWS($AF$2:AF181),$AF$2:$AF$1001,0),1)&gt;=100000,INDEX($AM$1005:$BM$1005,1,MATCH(COLUMNS($AM$1006:AU1006),$AM$1006:$BM$1006,0))&gt;=100000), " ",IF(INDEX($AM$2:$BM$1001,MATCH(ROWS($AF$2:AF181),$AF$2:$AF$1001,0),MATCH(COLUMNS($AM$1006:AU1006),$AM$1006:$BM$1006,0)), HYPERLINK("#",""), HYPERLINK(CONCATENATE("#metadata!", ADDRESS(INDEX($AH$2:$AH$1001,MATCH(ROWS($AF$2:AF181),$AF$2:$AF$1001,0),0), INDEX($AM$1004:$BM$1004,1,MATCH(COLUMNS($AM$1006:AU1006),$AM$1006:$BM$1006,0)))),"Fix")))</f>
        <v xml:space="preserve"> </v>
      </c>
      <c r="K181" s="4" t="str">
        <f ca="1">IF(OR(INDEX($AG$2:$AG$1001,MATCH(ROWS($AF$2:AF181),$AF$2:$AF$1001,0),1)&gt;=100000,INDEX($AM$1005:$BM$1005,1,MATCH(COLUMNS($AM$1006:AV1006),$AM$1006:$BM$1006,0))&gt;=100000), " ",IF(INDEX($AM$2:$BM$1001,MATCH(ROWS($AF$2:AF181),$AF$2:$AF$1001,0),MATCH(COLUMNS($AM$1006:AV1006),$AM$1006:$BM$1006,0)), HYPERLINK("#",""), HYPERLINK(CONCATENATE("#metadata!", ADDRESS(INDEX($AH$2:$AH$1001,MATCH(ROWS($AF$2:AF181),$AF$2:$AF$1001,0),0), INDEX($AM$1004:$BM$1004,1,MATCH(COLUMNS($AM$1006:AV1006),$AM$1006:$BM$1006,0)))),"Fix")))</f>
        <v xml:space="preserve"> </v>
      </c>
      <c r="L181" s="4" t="str">
        <f ca="1">IF(OR(INDEX($AG$2:$AG$1001,MATCH(ROWS($AF$2:AF181),$AF$2:$AF$1001,0),1)&gt;=100000,INDEX($AM$1005:$BM$1005,1,MATCH(COLUMNS($AM$1006:AW1006),$AM$1006:$BM$1006,0))&gt;=100000), " ",IF(INDEX($AM$2:$BM$1001,MATCH(ROWS($AF$2:AF181),$AF$2:$AF$1001,0),MATCH(COLUMNS($AM$1006:AW1006),$AM$1006:$BM$1006,0)), HYPERLINK("#",""), HYPERLINK(CONCATENATE("#metadata!", ADDRESS(INDEX($AH$2:$AH$1001,MATCH(ROWS($AF$2:AF181),$AF$2:$AF$1001,0),0), INDEX($AM$1004:$BM$1004,1,MATCH(COLUMNS($AM$1006:AW1006),$AM$1006:$BM$1006,0)))),"Fix")))</f>
        <v xml:space="preserve"> </v>
      </c>
      <c r="M181" s="4" t="str">
        <f ca="1">IF(OR(INDEX($AG$2:$AG$1001,MATCH(ROWS($AF$2:AF181),$AF$2:$AF$1001,0),1)&gt;=100000,INDEX($AM$1005:$BM$1005,1,MATCH(COLUMNS($AM$1006:AX1006),$AM$1006:$BM$1006,0))&gt;=100000), " ",IF(INDEX($AM$2:$BM$1001,MATCH(ROWS($AF$2:AF181),$AF$2:$AF$1001,0),MATCH(COLUMNS($AM$1006:AX1006),$AM$1006:$BM$1006,0)), HYPERLINK("#",""), HYPERLINK(CONCATENATE("#metadata!", ADDRESS(INDEX($AH$2:$AH$1001,MATCH(ROWS($AF$2:AF181),$AF$2:$AF$1001,0),0), INDEX($AM$1004:$BM$1004,1,MATCH(COLUMNS($AM$1006:AX1006),$AM$1006:$BM$1006,0)))),"Fix")))</f>
        <v xml:space="preserve"> </v>
      </c>
      <c r="N181" s="4" t="str">
        <f ca="1">IF(OR(INDEX($AG$2:$AG$1001,MATCH(ROWS($AF$2:AF181),$AF$2:$AF$1001,0),1)&gt;=100000,INDEX($AM$1005:$BM$1005,1,MATCH(COLUMNS($AM$1006:AY1006),$AM$1006:$BM$1006,0))&gt;=100000), " ",IF(INDEX($AM$2:$BM$1001,MATCH(ROWS($AF$2:AF181),$AF$2:$AF$1001,0),MATCH(COLUMNS($AM$1006:AY1006),$AM$1006:$BM$1006,0)), HYPERLINK("#",""), HYPERLINK(CONCATENATE("#metadata!", ADDRESS(INDEX($AH$2:$AH$1001,MATCH(ROWS($AF$2:AF181),$AF$2:$AF$1001,0),0), INDEX($AM$1004:$BM$1004,1,MATCH(COLUMNS($AM$1006:AY1006),$AM$1006:$BM$1006,0)))),"Fix")))</f>
        <v xml:space="preserve"> </v>
      </c>
      <c r="O181" s="4" t="str">
        <f ca="1">IF(OR(INDEX($AG$2:$AG$1001,MATCH(ROWS($AF$2:AF181),$AF$2:$AF$1001,0),1)&gt;=100000,INDEX($AM$1005:$BM$1005,1,MATCH(COLUMNS($AM$1006:AZ1006),$AM$1006:$BM$1006,0))&gt;=100000), " ",IF(INDEX($AM$2:$BM$1001,MATCH(ROWS($AF$2:AF181),$AF$2:$AF$1001,0),MATCH(COLUMNS($AM$1006:AZ1006),$AM$1006:$BM$1006,0)), HYPERLINK("#",""), HYPERLINK(CONCATENATE("#metadata!", ADDRESS(INDEX($AH$2:$AH$1001,MATCH(ROWS($AF$2:AF181),$AF$2:$AF$1001,0),0), INDEX($AM$1004:$BM$1004,1,MATCH(COLUMNS($AM$1006:AZ1006),$AM$1006:$BM$1006,0)))),"Fix")))</f>
        <v xml:space="preserve"> </v>
      </c>
      <c r="P181" s="4" t="str">
        <f ca="1">IF(OR(INDEX($AG$2:$AG$1001,MATCH(ROWS($AF$2:AF181),$AF$2:$AF$1001,0),1)&gt;=100000,INDEX($AM$1005:$BM$1005,1,MATCH(COLUMNS($AM$1006:BA1006),$AM$1006:$BM$1006,0))&gt;=100000), " ",IF(INDEX($AM$2:$BM$1001,MATCH(ROWS($AF$2:AF181),$AF$2:$AF$1001,0),MATCH(COLUMNS($AM$1006:BA1006),$AM$1006:$BM$1006,0)), HYPERLINK("#",""), HYPERLINK(CONCATENATE("#metadata!", ADDRESS(INDEX($AH$2:$AH$1001,MATCH(ROWS($AF$2:AF181),$AF$2:$AF$1001,0),0), INDEX($AM$1004:$BM$1004,1,MATCH(COLUMNS($AM$1006:BA1006),$AM$1006:$BM$1006,0)))),"Fix")))</f>
        <v xml:space="preserve"> </v>
      </c>
      <c r="Q181" s="4" t="str">
        <f ca="1">IF(OR(INDEX($AG$2:$AG$1001,MATCH(ROWS($AF$2:AF181),$AF$2:$AF$1001,0),1)&gt;=100000,INDEX($AM$1005:$BM$1005,1,MATCH(COLUMNS($AM$1006:BB1006),$AM$1006:$BM$1006,0))&gt;=100000), " ",IF(INDEX($AM$2:$BM$1001,MATCH(ROWS($AF$2:AF181),$AF$2:$AF$1001,0),MATCH(COLUMNS($AM$1006:BB1006),$AM$1006:$BM$1006,0)), HYPERLINK("#",""), HYPERLINK(CONCATENATE("#metadata!", ADDRESS(INDEX($AH$2:$AH$1001,MATCH(ROWS($AF$2:AF181),$AF$2:$AF$1001,0),0), INDEX($AM$1004:$BM$1004,1,MATCH(COLUMNS($AM$1006:BB1006),$AM$1006:$BM$1006,0)))),"Fix")))</f>
        <v xml:space="preserve"> </v>
      </c>
      <c r="R181" s="4" t="str">
        <f ca="1">IF(OR(INDEX($AG$2:$AG$1001,MATCH(ROWS($AF$2:AF181),$AF$2:$AF$1001,0),1)&gt;=100000,INDEX($AM$1005:$BM$1005,1,MATCH(COLUMNS($AM$1006:BC1006),$AM$1006:$BM$1006,0))&gt;=100000), " ",IF(INDEX($AM$2:$BM$1001,MATCH(ROWS($AF$2:AF181),$AF$2:$AF$1001,0),MATCH(COLUMNS($AM$1006:BC1006),$AM$1006:$BM$1006,0)), HYPERLINK("#",""), HYPERLINK(CONCATENATE("#metadata!", ADDRESS(INDEX($AH$2:$AH$1001,MATCH(ROWS($AF$2:AF181),$AF$2:$AF$1001,0),0), INDEX($AM$1004:$BM$1004,1,MATCH(COLUMNS($AM$1006:BC1006),$AM$1006:$BM$1006,0)))),"Fix")))</f>
        <v xml:space="preserve"> </v>
      </c>
      <c r="S181" s="4" t="str">
        <f ca="1">IF(OR(INDEX($AG$2:$AG$1001,MATCH(ROWS($AF$2:AF181),$AF$2:$AF$1001,0),1)&gt;=100000,INDEX($AM$1005:$BM$1005,1,MATCH(COLUMNS($AM$1006:BD1006),$AM$1006:$BM$1006,0))&gt;=100000), " ",IF(INDEX($AM$2:$BM$1001,MATCH(ROWS($AF$2:AF181),$AF$2:$AF$1001,0),MATCH(COLUMNS($AM$1006:BD1006),$AM$1006:$BM$1006,0)), HYPERLINK("#",""), HYPERLINK(CONCATENATE("#metadata!", ADDRESS(INDEX($AH$2:$AH$1001,MATCH(ROWS($AF$2:AF181),$AF$2:$AF$1001,0),0), INDEX($AM$1004:$BM$1004,1,MATCH(COLUMNS($AM$1006:BD1006),$AM$1006:$BM$1006,0)))),"Fix")))</f>
        <v xml:space="preserve"> </v>
      </c>
      <c r="T181" s="4" t="str">
        <f ca="1">IF(OR(INDEX($AG$2:$AG$1001,MATCH(ROWS($AF$2:AF181),$AF$2:$AF$1001,0),1)&gt;=100000,INDEX($AM$1005:$BM$1005,1,MATCH(COLUMNS($AM$1006:BE1006),$AM$1006:$BM$1006,0))&gt;=100000), " ",IF(INDEX($AM$2:$BM$1001,MATCH(ROWS($AF$2:AF181),$AF$2:$AF$1001,0),MATCH(COLUMNS($AM$1006:BE1006),$AM$1006:$BM$1006,0)), HYPERLINK("#",""), HYPERLINK(CONCATENATE("#metadata!", ADDRESS(INDEX($AH$2:$AH$1001,MATCH(ROWS($AF$2:AF181),$AF$2:$AF$1001,0),0), INDEX($AM$1004:$BM$1004,1,MATCH(COLUMNS($AM$1006:BE1006),$AM$1006:$BM$1006,0)))),"Fix")))</f>
        <v xml:space="preserve"> </v>
      </c>
      <c r="U181" s="4" t="str">
        <f ca="1">IF(OR(INDEX($AG$2:$AG$1001,MATCH(ROWS($AF$2:AF181),$AF$2:$AF$1001,0),1)&gt;=100000,INDEX($AM$1005:$BM$1005,1,MATCH(COLUMNS($AM$1006:BF1006),$AM$1006:$BM$1006,0))&gt;=100000), " ",IF(INDEX($AM$2:$BM$1001,MATCH(ROWS($AF$2:AF181),$AF$2:$AF$1001,0),MATCH(COLUMNS($AM$1006:BF1006),$AM$1006:$BM$1006,0)), HYPERLINK("#",""), HYPERLINK(CONCATENATE("#metadata!", ADDRESS(INDEX($AH$2:$AH$1001,MATCH(ROWS($AF$2:AF181),$AF$2:$AF$1001,0),0), INDEX($AM$1004:$BM$1004,1,MATCH(COLUMNS($AM$1006:BF1006),$AM$1006:$BM$1006,0)))),"Fix")))</f>
        <v xml:space="preserve"> </v>
      </c>
      <c r="V181" s="4" t="str">
        <f ca="1">IF(OR(INDEX($AG$2:$AG$1001,MATCH(ROWS($AF$2:AF181),$AF$2:$AF$1001,0),1)&gt;=100000,INDEX($AM$1005:$BM$1005,1,MATCH(COLUMNS($AM$1006:BG1006),$AM$1006:$BM$1006,0))&gt;=100000), " ",IF(INDEX($AM$2:$BM$1001,MATCH(ROWS($AF$2:AF181),$AF$2:$AF$1001,0),MATCH(COLUMNS($AM$1006:BG1006),$AM$1006:$BM$1006,0)), HYPERLINK("#",""), HYPERLINK(CONCATENATE("#metadata!", ADDRESS(INDEX($AH$2:$AH$1001,MATCH(ROWS($AF$2:AF181),$AF$2:$AF$1001,0),0), INDEX($AM$1004:$BM$1004,1,MATCH(COLUMNS($AM$1006:BG1006),$AM$1006:$BM$1006,0)))),"Fix")))</f>
        <v xml:space="preserve"> </v>
      </c>
      <c r="W181" s="4" t="str">
        <f ca="1">IF(OR(INDEX($AG$2:$AG$1001,MATCH(ROWS($AF$2:AF181),$AF$2:$AF$1001,0),1)&gt;=100000,INDEX($AM$1005:$BM$1005,1,MATCH(COLUMNS($AM$1006:BH1006),$AM$1006:$BM$1006,0))&gt;=100000), " ",IF(INDEX($AM$2:$BM$1001,MATCH(ROWS($AF$2:AF181),$AF$2:$AF$1001,0),MATCH(COLUMNS($AM$1006:BH1006),$AM$1006:$BM$1006,0)), HYPERLINK("#",""), HYPERLINK(CONCATENATE("#metadata!", ADDRESS(INDEX($AH$2:$AH$1001,MATCH(ROWS($AF$2:AF181),$AF$2:$AF$1001,0),0), INDEX($AM$1004:$BM$1004,1,MATCH(COLUMNS($AM$1006:BH1006),$AM$1006:$BM$1006,0)))),"Fix")))</f>
        <v xml:space="preserve"> </v>
      </c>
      <c r="X181" s="4" t="str">
        <f ca="1">IF(OR(INDEX($AG$2:$AG$1001,MATCH(ROWS($AF$2:AF181),$AF$2:$AF$1001,0),1)&gt;=100000,INDEX($AM$1005:$BM$1005,1,MATCH(COLUMNS($AM$1006:BI1006),$AM$1006:$BM$1006,0))&gt;=100000), " ",IF(INDEX($AM$2:$BM$1001,MATCH(ROWS($AF$2:AF181),$AF$2:$AF$1001,0),MATCH(COLUMNS($AM$1006:BI1006),$AM$1006:$BM$1006,0)), HYPERLINK("#",""), HYPERLINK(CONCATENATE("#metadata!", ADDRESS(INDEX($AH$2:$AH$1001,MATCH(ROWS($AF$2:AF181),$AF$2:$AF$1001,0),0), INDEX($AM$1004:$BM$1004,1,MATCH(COLUMNS($AM$1006:BI1006),$AM$1006:$BM$1006,0)))),"Fix")))</f>
        <v xml:space="preserve"> </v>
      </c>
      <c r="Y181" s="4" t="str">
        <f ca="1">IF(OR(INDEX($AG$2:$AG$1001,MATCH(ROWS($AF$2:AF181),$AF$2:$AF$1001,0),1)&gt;=100000,INDEX($AM$1005:$BM$1005,1,MATCH(COLUMNS($AM$1006:BJ1006),$AM$1006:$BM$1006,0))&gt;=100000), " ",IF(INDEX($AM$2:$BM$1001,MATCH(ROWS($AF$2:AF181),$AF$2:$AF$1001,0),MATCH(COLUMNS($AM$1006:BJ1006),$AM$1006:$BM$1006,0)), HYPERLINK("#",""), HYPERLINK(CONCATENATE("#metadata!", ADDRESS(INDEX($AH$2:$AH$1001,MATCH(ROWS($AF$2:AF181),$AF$2:$AF$1001,0),0), INDEX($AM$1004:$BM$1004,1,MATCH(COLUMNS($AM$1006:BJ1006),$AM$1006:$BM$1006,0)))),"Fix")))</f>
        <v xml:space="preserve"> </v>
      </c>
      <c r="Z181" s="4" t="str">
        <f ca="1">IF(OR(INDEX($AG$2:$AG$1001,MATCH(ROWS($AF$2:AF181),$AF$2:$AF$1001,0),1)&gt;=100000,INDEX($AM$1005:$BM$1005,1,MATCH(COLUMNS($AM$1006:BK1006),$AM$1006:$BM$1006,0))&gt;=100000), " ",IF(INDEX($AM$2:$BM$1001,MATCH(ROWS($AF$2:AF181),$AF$2:$AF$1001,0),MATCH(COLUMNS($AM$1006:BK1006),$AM$1006:$BM$1006,0)), HYPERLINK("#",""), HYPERLINK(CONCATENATE("#metadata!", ADDRESS(INDEX($AH$2:$AH$1001,MATCH(ROWS($AF$2:AF181),$AF$2:$AF$1001,0),0), INDEX($AM$1004:$BM$1004,1,MATCH(COLUMNS($AM$1006:BK1006),$AM$1006:$BM$1006,0)))),"Fix")))</f>
        <v xml:space="preserve"> </v>
      </c>
      <c r="AA181" s="4" t="str">
        <f ca="1">IF(OR(INDEX($AG$2:$AG$1001,MATCH(ROWS($AF$2:AF181),$AF$2:$AF$1001,0),1)&gt;=100000,INDEX($AM$1005:$BM$1005,1,MATCH(COLUMNS($AM$1006:BL1006),$AM$1006:$BM$1006,0))&gt;=100000), " ",IF(INDEX($AM$2:$BM$1001,MATCH(ROWS($AF$2:AF181),$AF$2:$AF$1001,0),MATCH(COLUMNS($AM$1006:BL1006),$AM$1006:$BM$1006,0)), HYPERLINK("#",""), HYPERLINK(CONCATENATE("#metadata!", ADDRESS(INDEX($AH$2:$AH$1001,MATCH(ROWS($AF$2:AF181),$AF$2:$AF$1001,0),0), INDEX($AM$1004:$BM$1004,1,MATCH(COLUMNS($AM$1006:BL1006),$AM$1006:$BM$1006,0)))),"Fix")))</f>
        <v xml:space="preserve"> </v>
      </c>
      <c r="AB181" s="4" t="str">
        <f ca="1">IF(OR(INDEX($AG$2:$AG$1001,MATCH(ROWS($AF$2:AF181),$AF$2:$AF$1001,0),1)&gt;=100000,INDEX($AM$1005:$BM$1005,1,MATCH(COLUMNS($AM$1006:BM1006),$AM$1006:$BM$1006,0))&gt;=100000), " ",IF(INDEX($AM$2:$BM$1001,MATCH(ROWS($AF$2:AF181),$AF$2:$AF$1001,0),MATCH(COLUMNS($AM$1006:BM1006),$AM$1006:$BM$1006,0)), HYPERLINK("#",""), HYPERLINK(CONCATENATE("#metadata!", ADDRESS(INDEX($AH$2:$AH$1001,MATCH(ROWS($AF$2:AF181),$AF$2:$AF$1001,0),0), INDEX($AM$1004:$BM$1004,1,MATCH(COLUMNS($AM$1006:BM1006),$AM$1006:$BM$1006,0)))),"Fix")))</f>
        <v xml:space="preserve"> </v>
      </c>
      <c r="AF181">
        <v>180</v>
      </c>
      <c r="AG181">
        <v>100181</v>
      </c>
      <c r="AH181">
        <v>181</v>
      </c>
      <c r="AI181" t="b">
        <f t="shared" si="2"/>
        <v>1</v>
      </c>
      <c r="AJ181" t="b">
        <f>COUNTBLANK(metadata!B181:AB181)=COLUMNS(metadata!B181:AB181)</f>
        <v>1</v>
      </c>
      <c r="AK181" t="str">
        <v/>
      </c>
      <c r="AM181" t="b">
        <f ca="1">AND(IF(metadata!B181="",FALSE,TRUE),COUNTIF(metadata!B:B, metadata!B181) = 1,NOT(ISERROR(SUMPRODUCT(SEARCH(MID(metadata!B181,ROW(INDIRECT("1:"&amp;LEN(metadata!B181))), 1),"0123456789abcdefghijklmnopqrstuvwxyzABCDEFGHIJKLMNOPQRSTUVWXYZ.")))))</f>
        <v>0</v>
      </c>
      <c r="AN181" t="b">
        <f ca="1">OR(AND(IF(metadata!C181="",FALSE,TRUE),OR(EXACT(metadata!C181,"missing: not collected"),EXACT(metadata!C181,"missing: not provided"),EXACT(metadata!C181,"missing: restricted access"))),AND(IF(metadata!C181="",FALSE,TRUE),AND(AND(IFERROR(INT(LEFT(metadata!C181,4))&gt;1900,FALSE),IFERROR(INT(LEFT(metadata!C181,4))&lt;=YEAR(NOW()),FALSE)), OR(MID(metadata!C181,5,1)="", AND(AND(MID(metadata!C181,5,1)="-",IFERROR(INT(MID(metadata!C181,6,1))&gt;=0,FALSE),IFERROR(INT(MID(metadata!C181,6,1))&lt;=1,FALSE),NOT(MID(metadata!C181,7,1)=""),IFERROR(INT(MID(metadata!C181,6,2))&gt;=1,FALSE),IFERROR(INT(MID(metadata!C181,6,2))&lt;=12,FALSE)), OR(MID(metadata!C181,8,1)="", AND(AND(MID(metadata!C181,8,1)="-",IFERROR(INT(MID(metadata!C181,9,1))&gt;=0,FALSE),IFERROR(INT(MID(metadata!C181,9,1))&lt;=3,FALSE),NOT(MID(metadata!C181,10,1)=""),IFERROR(INT(MID(metadata!C181,9,2))&gt;=1,FALSE),IFERROR(INT(MID(metadata!C181,9,2))&lt;=31,FALSE)), OR(MID(metadata!C181,11,1)="", AND(AND(MID(metadata!C181,11,1)=" ",IFERROR(INT(MID(metadata!C181,12,1))&gt;=0,FALSE),IFERROR(INT(MID(metadata!C181,12,1))&lt;=2,FALSE),NOT(MID(metadata!C181,13,1)=""),IFERROR(INT(MID(metadata!C181,12,2))&gt;=0,FALSE),IFERROR(INT(MID(metadata!C181,12,2))&lt;=23,FALSE)), OR(MID(metadata!C181,14,1)="", AND(AND(MID(metadata!C181,14,1)=":",IFERROR(INT(MID(metadata!C181,15,1))&gt;=0,FALSE),IFERROR(INT(MID(metadata!C181,15,1))&lt;=5,FALSE),NOT(MID(metadata!C181,16,1)=""),IFERROR(INT(MID(metadata!C181,15,2))&gt;=0,FALSE),IFERROR(INT(MID(metadata!C181,15,2))&lt;=59,FALSE)), OR(MID(metadata!C181,17,1)="", AND(AND(MID(metadata!C181,17,1)=":",IFERROR(INT(MID(metadata!C181,18,1))&gt;=0,FALSE),IFERROR(INT(MID(metadata!C181,18,1))&lt;=5,FALSE),NOT(MID(metadata!C181,19,1)=""),IFERROR(INT(MID(metadata!C181,18,2))&gt;=0,FALSE),IFERROR(INT(MID(metadata!C181,18,2))&lt;=59,FALSE)), LEN(metadata!C181)&lt;=19)))))))))))))</f>
        <v>0</v>
      </c>
      <c r="AO181" t="b">
        <f>AND(IF(metadata!D181="",FALSE,TRUE),EXACT(metadata!D181,"Not applicable"))</f>
        <v>0</v>
      </c>
      <c r="AP181" t="b">
        <f>IF(metadata!E181="",FALSE,TRUE)</f>
        <v>0</v>
      </c>
      <c r="AQ181" t="b">
        <f>OR(AND(IF(metadata!F181="",FALSE,TRUE),OR(EXACT(metadata!F181,"missing: not collected"),EXACT(metadata!F181,"missing: not provided"))),AND(IF(metadata!F181="",FALSE,TRUE),OR(EXACT(metadata!F181,"TRUE"),EXACT(metadata!F181,"FALSE"))))</f>
        <v>0</v>
      </c>
      <c r="AR181" t="b">
        <f>OR(AND(IF(metadata!G181="",FALSE,TRUE),OR(EXACT(metadata!G181,"missing: not collected"),EXACT(metadata!G181,"missing: not provided"),EXACT(metadata!G181,"missing: restricted access"))),AND(IF(metadata!G181="",FALSE,ISNUMBER(VALUE(metadata!G181))),metadata!G181&gt;=-413))</f>
        <v>0</v>
      </c>
      <c r="AS181" t="b">
        <f>AND(IF(metadata!H181="",FALSE,TRUE),EXACT(metadata!H181,"meters"))</f>
        <v>0</v>
      </c>
      <c r="AT181" t="b">
        <f>AND(IF(metadata!I181="",FALSE,TRUE),OR(EXACT(metadata!I181,"Host-associated"),EXACT(metadata!I181,"Free-living")))</f>
        <v>0</v>
      </c>
      <c r="AU181" t="b">
        <f>AND(IF(metadata!J181="",FALSE,TRUE),OR(EXACT(metadata!J181,"Animal"),EXACT(metadata!J181,"Fungus"),EXACT(metadata!J181,"Plant"),EXACT(metadata!J181,"Saline"),EXACT(metadata!J181,"Non-saline")))</f>
        <v>0</v>
      </c>
      <c r="AV181" t="b">
        <f>AND(IF(metadata!K181="",FALSE,TRUE),OR(EXACT(metadata!K181,"Plant secretion"),EXACT(metadata!K181,"Plant rhizosphere"),EXACT(metadata!K181,"Plant surface"),EXACT(metadata!K181,"Plant corpus"),EXACT(metadata!K181,"Fungus surface"),EXACT(metadata!K181,"Fungus corpus"),EXACT(metadata!K181,"Animal surface"),EXACT(metadata!K181,"Animal proximal gut"),EXACT(metadata!K181,"Animal corpus"),EXACT(metadata!K181,"Animal distal gut"),EXACT(metadata!K181,"Animal secretion"),EXACT(metadata!K181,"Sub-surface (non-saline)"),EXACT(metadata!K181,"Surface (non-saline)"),EXACT(metadata!K181,"Water (non-saline)"),EXACT(metadata!K181,"Soil (non-saline)"),EXACT(metadata!K181,"Aerosol (non-saline)"),EXACT(metadata!K181,"Sediment (non-saline)"),EXACT(metadata!K181,"Surface (saline)"),EXACT(metadata!K181,"Water (saline)"),EXACT(metadata!K181,"Hypersaline (saline)"),EXACT(metadata!K181,"Aerosol (saline)"),EXACT(metadata!K181,"Sediment (saline)")))</f>
        <v>0</v>
      </c>
      <c r="AW181" t="b">
        <f>IF(metadata!L181="",FALSE,TRUE)</f>
        <v>0</v>
      </c>
      <c r="AX181" t="b">
        <f>IF(metadata!M181="",FALSE,TRUE)</f>
        <v>0</v>
      </c>
      <c r="AY181" t="b">
        <f>IF(metadata!N181="",FALSE,TRUE)</f>
        <v>0</v>
      </c>
      <c r="AZ181" t="b">
        <f>OR(AND(IF(metadata!O181="",FALSE,TRUE),OR(EXACT(metadata!O181,"missing: not collected"),EXACT(metadata!O181,"missing: not provided"),EXACT(metadata!O181,"missing: restricted access"))),AND(IF(metadata!O181="",FALSE,TRUE),OR(EXACT(metadata!O181,"air"),EXACT(metadata!O181,"built environment"),EXACT(metadata!O181,"host-associated"),EXACT(metadata!O181,"human-associated"),EXACT(metadata!O181,"human-skin"),EXACT(metadata!O181,"human-oral"),EXACT(metadata!O181,"human-gut"),EXACT(metadata!O181,"human-vaginal"),EXACT(metadata!O181,"microbial mat/biofilm"),EXACT(metadata!O181,"misc environment"),EXACT(metadata!O181,"plant-associated"),EXACT(metadata!O181,"sediment"),EXACT(metadata!O181,"soil"),EXACT(metadata!O181,"wastewater/sludge"),EXACT(metadata!O181,"water"))))</f>
        <v>0</v>
      </c>
      <c r="BA181" t="b">
        <f>IF(metadata!P181="",FALSE,TRUE)</f>
        <v>0</v>
      </c>
      <c r="BB181" t="b">
        <f>IF(metadata!Q181="",FALSE,TRUE)</f>
        <v>0</v>
      </c>
      <c r="BC181" t="b">
        <f>OR(AND(IF(metadata!R181="",FALSE,TRUE),OR(EXACT(metadata!R181,"missing: not collected"),EXACT(metadata!R181,"missing: not provided"),EXACT(metadata!R181,"missing: restricted access"))),AND(IF(metadata!R181="",FALSE,ISNUMBER(VALUE(metadata!R181))),metadata!R181&gt;=-90,metadata!R181&lt;=90))</f>
        <v>0</v>
      </c>
      <c r="BD181" t="b">
        <f>AND(IF(metadata!S181="",FALSE,TRUE),EXACT(metadata!S181,"Decimal degrees"))</f>
        <v>0</v>
      </c>
      <c r="BE181" t="b">
        <f>OR(AND(IF(metadata!T181="",FALSE,TRUE),OR(EXACT(metadata!T181,"missing: not collected"),EXACT(metadata!T181,"missing: not provided"),EXACT(metadata!T181,"missing: restricted access"))),AND(IF(metadata!T181="",FALSE,ISNUMBER(VALUE(metadata!T181))),metadata!T181&gt;=-180,metadata!T181&lt;=180))</f>
        <v>0</v>
      </c>
      <c r="BF181" t="b">
        <f>AND(IF(metadata!U181="",FALSE,TRUE),EXACT(metadata!U181,"Decimal degrees"))</f>
        <v>0</v>
      </c>
      <c r="BG181" t="b">
        <f>IF(metadata!V181="",FALSE,TRUE)</f>
        <v>0</v>
      </c>
      <c r="BH181" t="b">
        <f>OR(AND(IF(metadata!W181="",FALSE,TRUE),OR(EXACT(metadata!W181,"missing: not collected"),EXACT(metadata!W181,"missing: not provided"),EXACT(metadata!W181,"missing: restricted access"))),AND(IF(metadata!W181="",FALSE,TRUE),OR(EXACT(metadata!W181,"TRUE"),EXACT(metadata!W181,"FALSE"))))</f>
        <v>0</v>
      </c>
      <c r="BI181" t="b">
        <f>AND(IF(metadata!X181="",FALSE,TRUE),EXACT(metadata!X181,"other"))</f>
        <v>0</v>
      </c>
      <c r="BJ181" t="b">
        <f>IF(metadata!Y181="",FALSE,TRUE)</f>
        <v>0</v>
      </c>
      <c r="BK181" t="b">
        <f>OR(AND(IF(metadata!Z181="",FALSE,TRUE),OR(EXACT(metadata!Z181,"missing: not collected"),EXACT(metadata!Z181,"missing: not provided"))),AND(IF(metadata!Z181="",FALSE,IF(ISERROR(INT(metadata!Z181)),FALSE,INT(metadata!Z181)=metadata!Z181)),metadata!Z181&gt;0))</f>
        <v>0</v>
      </c>
      <c r="BL181" t="b">
        <f>AND(IF(metadata!AA181="",FALSE,TRUE),EXACT(metadata!AA181,"Not applicable"))</f>
        <v>0</v>
      </c>
      <c r="BM181" t="b">
        <f>IF(metadata!AB181="",FALSE,TRUE)</f>
        <v>0</v>
      </c>
    </row>
    <row r="182" spans="1:65" x14ac:dyDescent="0.2">
      <c r="A182" s="5" t="str">
        <f ca="1">IF(B182=" "," ",HYPERLINK(CONCATENATE("#metadata!",ADDRESS(INDEX($AH$2:$AH$1001,MATCH(ROWS($AF$2:AF182),$AF$2:$AF$1001,0),0),1)),INDEX($AK$2:$AK$1001,MATCH(ROWS($AF$2:AF182),$AF$2:$AF$1001,0),0)))</f>
        <v xml:space="preserve"> </v>
      </c>
      <c r="B182" s="4" t="str">
        <f ca="1">IF(OR(INDEX($AG$2:$AG$1001,MATCH(ROWS($AF$2:AF182),$AF$2:$AF$1001,0),1)&gt;=100000,INDEX($AM$1005:$BM$1005,1,MATCH(COLUMNS($AM$1006:AM1006),$AM$1006:$BM$1006,0))&gt;=100000), " ",IF(INDEX($AM$2:$BM$1001,MATCH(ROWS($AF$2:AF182),$AF$2:$AF$1001,0),MATCH(COLUMNS($AM$1006:AM1006),$AM$1006:$BM$1006,0)), HYPERLINK("#",""), HYPERLINK(CONCATENATE("#metadata!", ADDRESS(INDEX($AH$2:$AH$1001,MATCH(ROWS($AF$2:AF182),$AF$2:$AF$1001,0),0), INDEX($AM$1004:$BM$1004,1,MATCH(COLUMNS($AM$1006:AM1006),$AM$1006:$BM$1006,0)))),"Fix")))</f>
        <v xml:space="preserve"> </v>
      </c>
      <c r="C182" s="4" t="str">
        <f ca="1">IF(OR(INDEX($AG$2:$AG$1001,MATCH(ROWS($AF$2:AF182),$AF$2:$AF$1001,0),1)&gt;=100000,INDEX($AM$1005:$BM$1005,1,MATCH(COLUMNS($AM$1006:AN1006),$AM$1006:$BM$1006,0))&gt;=100000), " ",IF(INDEX($AM$2:$BM$1001,MATCH(ROWS($AF$2:AF182),$AF$2:$AF$1001,0),MATCH(COLUMNS($AM$1006:AN1006),$AM$1006:$BM$1006,0)), HYPERLINK("#",""), HYPERLINK(CONCATENATE("#metadata!", ADDRESS(INDEX($AH$2:$AH$1001,MATCH(ROWS($AF$2:AF182),$AF$2:$AF$1001,0),0), INDEX($AM$1004:$BM$1004,1,MATCH(COLUMNS($AM$1006:AN1006),$AM$1006:$BM$1006,0)))),"Fix")))</f>
        <v xml:space="preserve"> </v>
      </c>
      <c r="D182" s="4" t="str">
        <f ca="1">IF(OR(INDEX($AG$2:$AG$1001,MATCH(ROWS($AF$2:AF182),$AF$2:$AF$1001,0),1)&gt;=100000,INDEX($AM$1005:$BM$1005,1,MATCH(COLUMNS($AM$1006:AO1006),$AM$1006:$BM$1006,0))&gt;=100000), " ",IF(INDEX($AM$2:$BM$1001,MATCH(ROWS($AF$2:AF182),$AF$2:$AF$1001,0),MATCH(COLUMNS($AM$1006:AO1006),$AM$1006:$BM$1006,0)), HYPERLINK("#",""), HYPERLINK(CONCATENATE("#metadata!", ADDRESS(INDEX($AH$2:$AH$1001,MATCH(ROWS($AF$2:AF182),$AF$2:$AF$1001,0),0), INDEX($AM$1004:$BM$1004,1,MATCH(COLUMNS($AM$1006:AO1006),$AM$1006:$BM$1006,0)))),"Fix")))</f>
        <v xml:space="preserve"> </v>
      </c>
      <c r="E182" s="4" t="str">
        <f ca="1">IF(OR(INDEX($AG$2:$AG$1001,MATCH(ROWS($AF$2:AF182),$AF$2:$AF$1001,0),1)&gt;=100000,INDEX($AM$1005:$BM$1005,1,MATCH(COLUMNS($AM$1006:AP1006),$AM$1006:$BM$1006,0))&gt;=100000), " ",IF(INDEX($AM$2:$BM$1001,MATCH(ROWS($AF$2:AF182),$AF$2:$AF$1001,0),MATCH(COLUMNS($AM$1006:AP1006),$AM$1006:$BM$1006,0)), HYPERLINK("#",""), HYPERLINK(CONCATENATE("#metadata!", ADDRESS(INDEX($AH$2:$AH$1001,MATCH(ROWS($AF$2:AF182),$AF$2:$AF$1001,0),0), INDEX($AM$1004:$BM$1004,1,MATCH(COLUMNS($AM$1006:AP1006),$AM$1006:$BM$1006,0)))),"Fix")))</f>
        <v xml:space="preserve"> </v>
      </c>
      <c r="F182" s="4" t="str">
        <f ca="1">IF(OR(INDEX($AG$2:$AG$1001,MATCH(ROWS($AF$2:AF182),$AF$2:$AF$1001,0),1)&gt;=100000,INDEX($AM$1005:$BM$1005,1,MATCH(COLUMNS($AM$1006:AQ1006),$AM$1006:$BM$1006,0))&gt;=100000), " ",IF(INDEX($AM$2:$BM$1001,MATCH(ROWS($AF$2:AF182),$AF$2:$AF$1001,0),MATCH(COLUMNS($AM$1006:AQ1006),$AM$1006:$BM$1006,0)), HYPERLINK("#",""), HYPERLINK(CONCATENATE("#metadata!", ADDRESS(INDEX($AH$2:$AH$1001,MATCH(ROWS($AF$2:AF182),$AF$2:$AF$1001,0),0), INDEX($AM$1004:$BM$1004,1,MATCH(COLUMNS($AM$1006:AQ1006),$AM$1006:$BM$1006,0)))),"Fix")))</f>
        <v xml:space="preserve"> </v>
      </c>
      <c r="G182" s="4" t="str">
        <f ca="1">IF(OR(INDEX($AG$2:$AG$1001,MATCH(ROWS($AF$2:AF182),$AF$2:$AF$1001,0),1)&gt;=100000,INDEX($AM$1005:$BM$1005,1,MATCH(COLUMNS($AM$1006:AR1006),$AM$1006:$BM$1006,0))&gt;=100000), " ",IF(INDEX($AM$2:$BM$1001,MATCH(ROWS($AF$2:AF182),$AF$2:$AF$1001,0),MATCH(COLUMNS($AM$1006:AR1006),$AM$1006:$BM$1006,0)), HYPERLINK("#",""), HYPERLINK(CONCATENATE("#metadata!", ADDRESS(INDEX($AH$2:$AH$1001,MATCH(ROWS($AF$2:AF182),$AF$2:$AF$1001,0),0), INDEX($AM$1004:$BM$1004,1,MATCH(COLUMNS($AM$1006:AR1006),$AM$1006:$BM$1006,0)))),"Fix")))</f>
        <v xml:space="preserve"> </v>
      </c>
      <c r="H182" s="4" t="str">
        <f ca="1">IF(OR(INDEX($AG$2:$AG$1001,MATCH(ROWS($AF$2:AF182),$AF$2:$AF$1001,0),1)&gt;=100000,INDEX($AM$1005:$BM$1005,1,MATCH(COLUMNS($AM$1006:AS1006),$AM$1006:$BM$1006,0))&gt;=100000), " ",IF(INDEX($AM$2:$BM$1001,MATCH(ROWS($AF$2:AF182),$AF$2:$AF$1001,0),MATCH(COLUMNS($AM$1006:AS1006),$AM$1006:$BM$1006,0)), HYPERLINK("#",""), HYPERLINK(CONCATENATE("#metadata!", ADDRESS(INDEX($AH$2:$AH$1001,MATCH(ROWS($AF$2:AF182),$AF$2:$AF$1001,0),0), INDEX($AM$1004:$BM$1004,1,MATCH(COLUMNS($AM$1006:AS1006),$AM$1006:$BM$1006,0)))),"Fix")))</f>
        <v xml:space="preserve"> </v>
      </c>
      <c r="I182" s="4" t="str">
        <f ca="1">IF(OR(INDEX($AG$2:$AG$1001,MATCH(ROWS($AF$2:AF182),$AF$2:$AF$1001,0),1)&gt;=100000,INDEX($AM$1005:$BM$1005,1,MATCH(COLUMNS($AM$1006:AT1006),$AM$1006:$BM$1006,0))&gt;=100000), " ",IF(INDEX($AM$2:$BM$1001,MATCH(ROWS($AF$2:AF182),$AF$2:$AF$1001,0),MATCH(COLUMNS($AM$1006:AT1006),$AM$1006:$BM$1006,0)), HYPERLINK("#",""), HYPERLINK(CONCATENATE("#metadata!", ADDRESS(INDEX($AH$2:$AH$1001,MATCH(ROWS($AF$2:AF182),$AF$2:$AF$1001,0),0), INDEX($AM$1004:$BM$1004,1,MATCH(COLUMNS($AM$1006:AT1006),$AM$1006:$BM$1006,0)))),"Fix")))</f>
        <v xml:space="preserve"> </v>
      </c>
      <c r="J182" s="4" t="str">
        <f ca="1">IF(OR(INDEX($AG$2:$AG$1001,MATCH(ROWS($AF$2:AF182),$AF$2:$AF$1001,0),1)&gt;=100000,INDEX($AM$1005:$BM$1005,1,MATCH(COLUMNS($AM$1006:AU1006),$AM$1006:$BM$1006,0))&gt;=100000), " ",IF(INDEX($AM$2:$BM$1001,MATCH(ROWS($AF$2:AF182),$AF$2:$AF$1001,0),MATCH(COLUMNS($AM$1006:AU1006),$AM$1006:$BM$1006,0)), HYPERLINK("#",""), HYPERLINK(CONCATENATE("#metadata!", ADDRESS(INDEX($AH$2:$AH$1001,MATCH(ROWS($AF$2:AF182),$AF$2:$AF$1001,0),0), INDEX($AM$1004:$BM$1004,1,MATCH(COLUMNS($AM$1006:AU1006),$AM$1006:$BM$1006,0)))),"Fix")))</f>
        <v xml:space="preserve"> </v>
      </c>
      <c r="K182" s="4" t="str">
        <f ca="1">IF(OR(INDEX($AG$2:$AG$1001,MATCH(ROWS($AF$2:AF182),$AF$2:$AF$1001,0),1)&gt;=100000,INDEX($AM$1005:$BM$1005,1,MATCH(COLUMNS($AM$1006:AV1006),$AM$1006:$BM$1006,0))&gt;=100000), " ",IF(INDEX($AM$2:$BM$1001,MATCH(ROWS($AF$2:AF182),$AF$2:$AF$1001,0),MATCH(COLUMNS($AM$1006:AV1006),$AM$1006:$BM$1006,0)), HYPERLINK("#",""), HYPERLINK(CONCATENATE("#metadata!", ADDRESS(INDEX($AH$2:$AH$1001,MATCH(ROWS($AF$2:AF182),$AF$2:$AF$1001,0),0), INDEX($AM$1004:$BM$1004,1,MATCH(COLUMNS($AM$1006:AV1006),$AM$1006:$BM$1006,0)))),"Fix")))</f>
        <v xml:space="preserve"> </v>
      </c>
      <c r="L182" s="4" t="str">
        <f ca="1">IF(OR(INDEX($AG$2:$AG$1001,MATCH(ROWS($AF$2:AF182),$AF$2:$AF$1001,0),1)&gt;=100000,INDEX($AM$1005:$BM$1005,1,MATCH(COLUMNS($AM$1006:AW1006),$AM$1006:$BM$1006,0))&gt;=100000), " ",IF(INDEX($AM$2:$BM$1001,MATCH(ROWS($AF$2:AF182),$AF$2:$AF$1001,0),MATCH(COLUMNS($AM$1006:AW1006),$AM$1006:$BM$1006,0)), HYPERLINK("#",""), HYPERLINK(CONCATENATE("#metadata!", ADDRESS(INDEX($AH$2:$AH$1001,MATCH(ROWS($AF$2:AF182),$AF$2:$AF$1001,0),0), INDEX($AM$1004:$BM$1004,1,MATCH(COLUMNS($AM$1006:AW1006),$AM$1006:$BM$1006,0)))),"Fix")))</f>
        <v xml:space="preserve"> </v>
      </c>
      <c r="M182" s="4" t="str">
        <f ca="1">IF(OR(INDEX($AG$2:$AG$1001,MATCH(ROWS($AF$2:AF182),$AF$2:$AF$1001,0),1)&gt;=100000,INDEX($AM$1005:$BM$1005,1,MATCH(COLUMNS($AM$1006:AX1006),$AM$1006:$BM$1006,0))&gt;=100000), " ",IF(INDEX($AM$2:$BM$1001,MATCH(ROWS($AF$2:AF182),$AF$2:$AF$1001,0),MATCH(COLUMNS($AM$1006:AX1006),$AM$1006:$BM$1006,0)), HYPERLINK("#",""), HYPERLINK(CONCATENATE("#metadata!", ADDRESS(INDEX($AH$2:$AH$1001,MATCH(ROWS($AF$2:AF182),$AF$2:$AF$1001,0),0), INDEX($AM$1004:$BM$1004,1,MATCH(COLUMNS($AM$1006:AX1006),$AM$1006:$BM$1006,0)))),"Fix")))</f>
        <v xml:space="preserve"> </v>
      </c>
      <c r="N182" s="4" t="str">
        <f ca="1">IF(OR(INDEX($AG$2:$AG$1001,MATCH(ROWS($AF$2:AF182),$AF$2:$AF$1001,0),1)&gt;=100000,INDEX($AM$1005:$BM$1005,1,MATCH(COLUMNS($AM$1006:AY1006),$AM$1006:$BM$1006,0))&gt;=100000), " ",IF(INDEX($AM$2:$BM$1001,MATCH(ROWS($AF$2:AF182),$AF$2:$AF$1001,0),MATCH(COLUMNS($AM$1006:AY1006),$AM$1006:$BM$1006,0)), HYPERLINK("#",""), HYPERLINK(CONCATENATE("#metadata!", ADDRESS(INDEX($AH$2:$AH$1001,MATCH(ROWS($AF$2:AF182),$AF$2:$AF$1001,0),0), INDEX($AM$1004:$BM$1004,1,MATCH(COLUMNS($AM$1006:AY1006),$AM$1006:$BM$1006,0)))),"Fix")))</f>
        <v xml:space="preserve"> </v>
      </c>
      <c r="O182" s="4" t="str">
        <f ca="1">IF(OR(INDEX($AG$2:$AG$1001,MATCH(ROWS($AF$2:AF182),$AF$2:$AF$1001,0),1)&gt;=100000,INDEX($AM$1005:$BM$1005,1,MATCH(COLUMNS($AM$1006:AZ1006),$AM$1006:$BM$1006,0))&gt;=100000), " ",IF(INDEX($AM$2:$BM$1001,MATCH(ROWS($AF$2:AF182),$AF$2:$AF$1001,0),MATCH(COLUMNS($AM$1006:AZ1006),$AM$1006:$BM$1006,0)), HYPERLINK("#",""), HYPERLINK(CONCATENATE("#metadata!", ADDRESS(INDEX($AH$2:$AH$1001,MATCH(ROWS($AF$2:AF182),$AF$2:$AF$1001,0),0), INDEX($AM$1004:$BM$1004,1,MATCH(COLUMNS($AM$1006:AZ1006),$AM$1006:$BM$1006,0)))),"Fix")))</f>
        <v xml:space="preserve"> </v>
      </c>
      <c r="P182" s="4" t="str">
        <f ca="1">IF(OR(INDEX($AG$2:$AG$1001,MATCH(ROWS($AF$2:AF182),$AF$2:$AF$1001,0),1)&gt;=100000,INDEX($AM$1005:$BM$1005,1,MATCH(COLUMNS($AM$1006:BA1006),$AM$1006:$BM$1006,0))&gt;=100000), " ",IF(INDEX($AM$2:$BM$1001,MATCH(ROWS($AF$2:AF182),$AF$2:$AF$1001,0),MATCH(COLUMNS($AM$1006:BA1006),$AM$1006:$BM$1006,0)), HYPERLINK("#",""), HYPERLINK(CONCATENATE("#metadata!", ADDRESS(INDEX($AH$2:$AH$1001,MATCH(ROWS($AF$2:AF182),$AF$2:$AF$1001,0),0), INDEX($AM$1004:$BM$1004,1,MATCH(COLUMNS($AM$1006:BA1006),$AM$1006:$BM$1006,0)))),"Fix")))</f>
        <v xml:space="preserve"> </v>
      </c>
      <c r="Q182" s="4" t="str">
        <f ca="1">IF(OR(INDEX($AG$2:$AG$1001,MATCH(ROWS($AF$2:AF182),$AF$2:$AF$1001,0),1)&gt;=100000,INDEX($AM$1005:$BM$1005,1,MATCH(COLUMNS($AM$1006:BB1006),$AM$1006:$BM$1006,0))&gt;=100000), " ",IF(INDEX($AM$2:$BM$1001,MATCH(ROWS($AF$2:AF182),$AF$2:$AF$1001,0),MATCH(COLUMNS($AM$1006:BB1006),$AM$1006:$BM$1006,0)), HYPERLINK("#",""), HYPERLINK(CONCATENATE("#metadata!", ADDRESS(INDEX($AH$2:$AH$1001,MATCH(ROWS($AF$2:AF182),$AF$2:$AF$1001,0),0), INDEX($AM$1004:$BM$1004,1,MATCH(COLUMNS($AM$1006:BB1006),$AM$1006:$BM$1006,0)))),"Fix")))</f>
        <v xml:space="preserve"> </v>
      </c>
      <c r="R182" s="4" t="str">
        <f ca="1">IF(OR(INDEX($AG$2:$AG$1001,MATCH(ROWS($AF$2:AF182),$AF$2:$AF$1001,0),1)&gt;=100000,INDEX($AM$1005:$BM$1005,1,MATCH(COLUMNS($AM$1006:BC1006),$AM$1006:$BM$1006,0))&gt;=100000), " ",IF(INDEX($AM$2:$BM$1001,MATCH(ROWS($AF$2:AF182),$AF$2:$AF$1001,0),MATCH(COLUMNS($AM$1006:BC1006),$AM$1006:$BM$1006,0)), HYPERLINK("#",""), HYPERLINK(CONCATENATE("#metadata!", ADDRESS(INDEX($AH$2:$AH$1001,MATCH(ROWS($AF$2:AF182),$AF$2:$AF$1001,0),0), INDEX($AM$1004:$BM$1004,1,MATCH(COLUMNS($AM$1006:BC1006),$AM$1006:$BM$1006,0)))),"Fix")))</f>
        <v xml:space="preserve"> </v>
      </c>
      <c r="S182" s="4" t="str">
        <f ca="1">IF(OR(INDEX($AG$2:$AG$1001,MATCH(ROWS($AF$2:AF182),$AF$2:$AF$1001,0),1)&gt;=100000,INDEX($AM$1005:$BM$1005,1,MATCH(COLUMNS($AM$1006:BD1006),$AM$1006:$BM$1006,0))&gt;=100000), " ",IF(INDEX($AM$2:$BM$1001,MATCH(ROWS($AF$2:AF182),$AF$2:$AF$1001,0),MATCH(COLUMNS($AM$1006:BD1006),$AM$1006:$BM$1006,0)), HYPERLINK("#",""), HYPERLINK(CONCATENATE("#metadata!", ADDRESS(INDEX($AH$2:$AH$1001,MATCH(ROWS($AF$2:AF182),$AF$2:$AF$1001,0),0), INDEX($AM$1004:$BM$1004,1,MATCH(COLUMNS($AM$1006:BD1006),$AM$1006:$BM$1006,0)))),"Fix")))</f>
        <v xml:space="preserve"> </v>
      </c>
      <c r="T182" s="4" t="str">
        <f ca="1">IF(OR(INDEX($AG$2:$AG$1001,MATCH(ROWS($AF$2:AF182),$AF$2:$AF$1001,0),1)&gt;=100000,INDEX($AM$1005:$BM$1005,1,MATCH(COLUMNS($AM$1006:BE1006),$AM$1006:$BM$1006,0))&gt;=100000), " ",IF(INDEX($AM$2:$BM$1001,MATCH(ROWS($AF$2:AF182),$AF$2:$AF$1001,0),MATCH(COLUMNS($AM$1006:BE1006),$AM$1006:$BM$1006,0)), HYPERLINK("#",""), HYPERLINK(CONCATENATE("#metadata!", ADDRESS(INDEX($AH$2:$AH$1001,MATCH(ROWS($AF$2:AF182),$AF$2:$AF$1001,0),0), INDEX($AM$1004:$BM$1004,1,MATCH(COLUMNS($AM$1006:BE1006),$AM$1006:$BM$1006,0)))),"Fix")))</f>
        <v xml:space="preserve"> </v>
      </c>
      <c r="U182" s="4" t="str">
        <f ca="1">IF(OR(INDEX($AG$2:$AG$1001,MATCH(ROWS($AF$2:AF182),$AF$2:$AF$1001,0),1)&gt;=100000,INDEX($AM$1005:$BM$1005,1,MATCH(COLUMNS($AM$1006:BF1006),$AM$1006:$BM$1006,0))&gt;=100000), " ",IF(INDEX($AM$2:$BM$1001,MATCH(ROWS($AF$2:AF182),$AF$2:$AF$1001,0),MATCH(COLUMNS($AM$1006:BF1006),$AM$1006:$BM$1006,0)), HYPERLINK("#",""), HYPERLINK(CONCATENATE("#metadata!", ADDRESS(INDEX($AH$2:$AH$1001,MATCH(ROWS($AF$2:AF182),$AF$2:$AF$1001,0),0), INDEX($AM$1004:$BM$1004,1,MATCH(COLUMNS($AM$1006:BF1006),$AM$1006:$BM$1006,0)))),"Fix")))</f>
        <v xml:space="preserve"> </v>
      </c>
      <c r="V182" s="4" t="str">
        <f ca="1">IF(OR(INDEX($AG$2:$AG$1001,MATCH(ROWS($AF$2:AF182),$AF$2:$AF$1001,0),1)&gt;=100000,INDEX($AM$1005:$BM$1005,1,MATCH(COLUMNS($AM$1006:BG1006),$AM$1006:$BM$1006,0))&gt;=100000), " ",IF(INDEX($AM$2:$BM$1001,MATCH(ROWS($AF$2:AF182),$AF$2:$AF$1001,0),MATCH(COLUMNS($AM$1006:BG1006),$AM$1006:$BM$1006,0)), HYPERLINK("#",""), HYPERLINK(CONCATENATE("#metadata!", ADDRESS(INDEX($AH$2:$AH$1001,MATCH(ROWS($AF$2:AF182),$AF$2:$AF$1001,0),0), INDEX($AM$1004:$BM$1004,1,MATCH(COLUMNS($AM$1006:BG1006),$AM$1006:$BM$1006,0)))),"Fix")))</f>
        <v xml:space="preserve"> </v>
      </c>
      <c r="W182" s="4" t="str">
        <f ca="1">IF(OR(INDEX($AG$2:$AG$1001,MATCH(ROWS($AF$2:AF182),$AF$2:$AF$1001,0),1)&gt;=100000,INDEX($AM$1005:$BM$1005,1,MATCH(COLUMNS($AM$1006:BH1006),$AM$1006:$BM$1006,0))&gt;=100000), " ",IF(INDEX($AM$2:$BM$1001,MATCH(ROWS($AF$2:AF182),$AF$2:$AF$1001,0),MATCH(COLUMNS($AM$1006:BH1006),$AM$1006:$BM$1006,0)), HYPERLINK("#",""), HYPERLINK(CONCATENATE("#metadata!", ADDRESS(INDEX($AH$2:$AH$1001,MATCH(ROWS($AF$2:AF182),$AF$2:$AF$1001,0),0), INDEX($AM$1004:$BM$1004,1,MATCH(COLUMNS($AM$1006:BH1006),$AM$1006:$BM$1006,0)))),"Fix")))</f>
        <v xml:space="preserve"> </v>
      </c>
      <c r="X182" s="4" t="str">
        <f ca="1">IF(OR(INDEX($AG$2:$AG$1001,MATCH(ROWS($AF$2:AF182),$AF$2:$AF$1001,0),1)&gt;=100000,INDEX($AM$1005:$BM$1005,1,MATCH(COLUMNS($AM$1006:BI1006),$AM$1006:$BM$1006,0))&gt;=100000), " ",IF(INDEX($AM$2:$BM$1001,MATCH(ROWS($AF$2:AF182),$AF$2:$AF$1001,0),MATCH(COLUMNS($AM$1006:BI1006),$AM$1006:$BM$1006,0)), HYPERLINK("#",""), HYPERLINK(CONCATENATE("#metadata!", ADDRESS(INDEX($AH$2:$AH$1001,MATCH(ROWS($AF$2:AF182),$AF$2:$AF$1001,0),0), INDEX($AM$1004:$BM$1004,1,MATCH(COLUMNS($AM$1006:BI1006),$AM$1006:$BM$1006,0)))),"Fix")))</f>
        <v xml:space="preserve"> </v>
      </c>
      <c r="Y182" s="4" t="str">
        <f ca="1">IF(OR(INDEX($AG$2:$AG$1001,MATCH(ROWS($AF$2:AF182),$AF$2:$AF$1001,0),1)&gt;=100000,INDEX($AM$1005:$BM$1005,1,MATCH(COLUMNS($AM$1006:BJ1006),$AM$1006:$BM$1006,0))&gt;=100000), " ",IF(INDEX($AM$2:$BM$1001,MATCH(ROWS($AF$2:AF182),$AF$2:$AF$1001,0),MATCH(COLUMNS($AM$1006:BJ1006),$AM$1006:$BM$1006,0)), HYPERLINK("#",""), HYPERLINK(CONCATENATE("#metadata!", ADDRESS(INDEX($AH$2:$AH$1001,MATCH(ROWS($AF$2:AF182),$AF$2:$AF$1001,0),0), INDEX($AM$1004:$BM$1004,1,MATCH(COLUMNS($AM$1006:BJ1006),$AM$1006:$BM$1006,0)))),"Fix")))</f>
        <v xml:space="preserve"> </v>
      </c>
      <c r="Z182" s="4" t="str">
        <f ca="1">IF(OR(INDEX($AG$2:$AG$1001,MATCH(ROWS($AF$2:AF182),$AF$2:$AF$1001,0),1)&gt;=100000,INDEX($AM$1005:$BM$1005,1,MATCH(COLUMNS($AM$1006:BK1006),$AM$1006:$BM$1006,0))&gt;=100000), " ",IF(INDEX($AM$2:$BM$1001,MATCH(ROWS($AF$2:AF182),$AF$2:$AF$1001,0),MATCH(COLUMNS($AM$1006:BK1006),$AM$1006:$BM$1006,0)), HYPERLINK("#",""), HYPERLINK(CONCATENATE("#metadata!", ADDRESS(INDEX($AH$2:$AH$1001,MATCH(ROWS($AF$2:AF182),$AF$2:$AF$1001,0),0), INDEX($AM$1004:$BM$1004,1,MATCH(COLUMNS($AM$1006:BK1006),$AM$1006:$BM$1006,0)))),"Fix")))</f>
        <v xml:space="preserve"> </v>
      </c>
      <c r="AA182" s="4" t="str">
        <f ca="1">IF(OR(INDEX($AG$2:$AG$1001,MATCH(ROWS($AF$2:AF182),$AF$2:$AF$1001,0),1)&gt;=100000,INDEX($AM$1005:$BM$1005,1,MATCH(COLUMNS($AM$1006:BL1006),$AM$1006:$BM$1006,0))&gt;=100000), " ",IF(INDEX($AM$2:$BM$1001,MATCH(ROWS($AF$2:AF182),$AF$2:$AF$1001,0),MATCH(COLUMNS($AM$1006:BL1006),$AM$1006:$BM$1006,0)), HYPERLINK("#",""), HYPERLINK(CONCATENATE("#metadata!", ADDRESS(INDEX($AH$2:$AH$1001,MATCH(ROWS($AF$2:AF182),$AF$2:$AF$1001,0),0), INDEX($AM$1004:$BM$1004,1,MATCH(COLUMNS($AM$1006:BL1006),$AM$1006:$BM$1006,0)))),"Fix")))</f>
        <v xml:space="preserve"> </v>
      </c>
      <c r="AB182" s="4" t="str">
        <f ca="1">IF(OR(INDEX($AG$2:$AG$1001,MATCH(ROWS($AF$2:AF182),$AF$2:$AF$1001,0),1)&gt;=100000,INDEX($AM$1005:$BM$1005,1,MATCH(COLUMNS($AM$1006:BM1006),$AM$1006:$BM$1006,0))&gt;=100000), " ",IF(INDEX($AM$2:$BM$1001,MATCH(ROWS($AF$2:AF182),$AF$2:$AF$1001,0),MATCH(COLUMNS($AM$1006:BM1006),$AM$1006:$BM$1006,0)), HYPERLINK("#",""), HYPERLINK(CONCATENATE("#metadata!", ADDRESS(INDEX($AH$2:$AH$1001,MATCH(ROWS($AF$2:AF182),$AF$2:$AF$1001,0),0), INDEX($AM$1004:$BM$1004,1,MATCH(COLUMNS($AM$1006:BM1006),$AM$1006:$BM$1006,0)))),"Fix")))</f>
        <v xml:space="preserve"> </v>
      </c>
      <c r="AF182">
        <v>181</v>
      </c>
      <c r="AG182">
        <v>100182</v>
      </c>
      <c r="AH182">
        <v>182</v>
      </c>
      <c r="AI182" t="b">
        <f t="shared" si="2"/>
        <v>1</v>
      </c>
      <c r="AJ182" t="b">
        <f>COUNTBLANK(metadata!B182:AB182)=COLUMNS(metadata!B182:AB182)</f>
        <v>1</v>
      </c>
      <c r="AK182" t="str">
        <v/>
      </c>
      <c r="AM182" t="b">
        <f ca="1">AND(IF(metadata!B182="",FALSE,TRUE),COUNTIF(metadata!B:B, metadata!B182) = 1,NOT(ISERROR(SUMPRODUCT(SEARCH(MID(metadata!B182,ROW(INDIRECT("1:"&amp;LEN(metadata!B182))), 1),"0123456789abcdefghijklmnopqrstuvwxyzABCDEFGHIJKLMNOPQRSTUVWXYZ.")))))</f>
        <v>0</v>
      </c>
      <c r="AN182" t="b">
        <f ca="1">OR(AND(IF(metadata!C182="",FALSE,TRUE),OR(EXACT(metadata!C182,"missing: not collected"),EXACT(metadata!C182,"missing: not provided"),EXACT(metadata!C182,"missing: restricted access"))),AND(IF(metadata!C182="",FALSE,TRUE),AND(AND(IFERROR(INT(LEFT(metadata!C182,4))&gt;1900,FALSE),IFERROR(INT(LEFT(metadata!C182,4))&lt;=YEAR(NOW()),FALSE)), OR(MID(metadata!C182,5,1)="", AND(AND(MID(metadata!C182,5,1)="-",IFERROR(INT(MID(metadata!C182,6,1))&gt;=0,FALSE),IFERROR(INT(MID(metadata!C182,6,1))&lt;=1,FALSE),NOT(MID(metadata!C182,7,1)=""),IFERROR(INT(MID(metadata!C182,6,2))&gt;=1,FALSE),IFERROR(INT(MID(metadata!C182,6,2))&lt;=12,FALSE)), OR(MID(metadata!C182,8,1)="", AND(AND(MID(metadata!C182,8,1)="-",IFERROR(INT(MID(metadata!C182,9,1))&gt;=0,FALSE),IFERROR(INT(MID(metadata!C182,9,1))&lt;=3,FALSE),NOT(MID(metadata!C182,10,1)=""),IFERROR(INT(MID(metadata!C182,9,2))&gt;=1,FALSE),IFERROR(INT(MID(metadata!C182,9,2))&lt;=31,FALSE)), OR(MID(metadata!C182,11,1)="", AND(AND(MID(metadata!C182,11,1)=" ",IFERROR(INT(MID(metadata!C182,12,1))&gt;=0,FALSE),IFERROR(INT(MID(metadata!C182,12,1))&lt;=2,FALSE),NOT(MID(metadata!C182,13,1)=""),IFERROR(INT(MID(metadata!C182,12,2))&gt;=0,FALSE),IFERROR(INT(MID(metadata!C182,12,2))&lt;=23,FALSE)), OR(MID(metadata!C182,14,1)="", AND(AND(MID(metadata!C182,14,1)=":",IFERROR(INT(MID(metadata!C182,15,1))&gt;=0,FALSE),IFERROR(INT(MID(metadata!C182,15,1))&lt;=5,FALSE),NOT(MID(metadata!C182,16,1)=""),IFERROR(INT(MID(metadata!C182,15,2))&gt;=0,FALSE),IFERROR(INT(MID(metadata!C182,15,2))&lt;=59,FALSE)), OR(MID(metadata!C182,17,1)="", AND(AND(MID(metadata!C182,17,1)=":",IFERROR(INT(MID(metadata!C182,18,1))&gt;=0,FALSE),IFERROR(INT(MID(metadata!C182,18,1))&lt;=5,FALSE),NOT(MID(metadata!C182,19,1)=""),IFERROR(INT(MID(metadata!C182,18,2))&gt;=0,FALSE),IFERROR(INT(MID(metadata!C182,18,2))&lt;=59,FALSE)), LEN(metadata!C182)&lt;=19)))))))))))))</f>
        <v>0</v>
      </c>
      <c r="AO182" t="b">
        <f>AND(IF(metadata!D182="",FALSE,TRUE),EXACT(metadata!D182,"Not applicable"))</f>
        <v>0</v>
      </c>
      <c r="AP182" t="b">
        <f>IF(metadata!E182="",FALSE,TRUE)</f>
        <v>0</v>
      </c>
      <c r="AQ182" t="b">
        <f>OR(AND(IF(metadata!F182="",FALSE,TRUE),OR(EXACT(metadata!F182,"missing: not collected"),EXACT(metadata!F182,"missing: not provided"))),AND(IF(metadata!F182="",FALSE,TRUE),OR(EXACT(metadata!F182,"TRUE"),EXACT(metadata!F182,"FALSE"))))</f>
        <v>0</v>
      </c>
      <c r="AR182" t="b">
        <f>OR(AND(IF(metadata!G182="",FALSE,TRUE),OR(EXACT(metadata!G182,"missing: not collected"),EXACT(metadata!G182,"missing: not provided"),EXACT(metadata!G182,"missing: restricted access"))),AND(IF(metadata!G182="",FALSE,ISNUMBER(VALUE(metadata!G182))),metadata!G182&gt;=-413))</f>
        <v>0</v>
      </c>
      <c r="AS182" t="b">
        <f>AND(IF(metadata!H182="",FALSE,TRUE),EXACT(metadata!H182,"meters"))</f>
        <v>0</v>
      </c>
      <c r="AT182" t="b">
        <f>AND(IF(metadata!I182="",FALSE,TRUE),OR(EXACT(metadata!I182,"Host-associated"),EXACT(metadata!I182,"Free-living")))</f>
        <v>0</v>
      </c>
      <c r="AU182" t="b">
        <f>AND(IF(metadata!J182="",FALSE,TRUE),OR(EXACT(metadata!J182,"Animal"),EXACT(metadata!J182,"Fungus"),EXACT(metadata!J182,"Plant"),EXACT(metadata!J182,"Saline"),EXACT(metadata!J182,"Non-saline")))</f>
        <v>0</v>
      </c>
      <c r="AV182" t="b">
        <f>AND(IF(metadata!K182="",FALSE,TRUE),OR(EXACT(metadata!K182,"Plant secretion"),EXACT(metadata!K182,"Plant rhizosphere"),EXACT(metadata!K182,"Plant surface"),EXACT(metadata!K182,"Plant corpus"),EXACT(metadata!K182,"Fungus surface"),EXACT(metadata!K182,"Fungus corpus"),EXACT(metadata!K182,"Animal surface"),EXACT(metadata!K182,"Animal proximal gut"),EXACT(metadata!K182,"Animal corpus"),EXACT(metadata!K182,"Animal distal gut"),EXACT(metadata!K182,"Animal secretion"),EXACT(metadata!K182,"Sub-surface (non-saline)"),EXACT(metadata!K182,"Surface (non-saline)"),EXACT(metadata!K182,"Water (non-saline)"),EXACT(metadata!K182,"Soil (non-saline)"),EXACT(metadata!K182,"Aerosol (non-saline)"),EXACT(metadata!K182,"Sediment (non-saline)"),EXACT(metadata!K182,"Surface (saline)"),EXACT(metadata!K182,"Water (saline)"),EXACT(metadata!K182,"Hypersaline (saline)"),EXACT(metadata!K182,"Aerosol (saline)"),EXACT(metadata!K182,"Sediment (saline)")))</f>
        <v>0</v>
      </c>
      <c r="AW182" t="b">
        <f>IF(metadata!L182="",FALSE,TRUE)</f>
        <v>0</v>
      </c>
      <c r="AX182" t="b">
        <f>IF(metadata!M182="",FALSE,TRUE)</f>
        <v>0</v>
      </c>
      <c r="AY182" t="b">
        <f>IF(metadata!N182="",FALSE,TRUE)</f>
        <v>0</v>
      </c>
      <c r="AZ182" t="b">
        <f>OR(AND(IF(metadata!O182="",FALSE,TRUE),OR(EXACT(metadata!O182,"missing: not collected"),EXACT(metadata!O182,"missing: not provided"),EXACT(metadata!O182,"missing: restricted access"))),AND(IF(metadata!O182="",FALSE,TRUE),OR(EXACT(metadata!O182,"air"),EXACT(metadata!O182,"built environment"),EXACT(metadata!O182,"host-associated"),EXACT(metadata!O182,"human-associated"),EXACT(metadata!O182,"human-skin"),EXACT(metadata!O182,"human-oral"),EXACT(metadata!O182,"human-gut"),EXACT(metadata!O182,"human-vaginal"),EXACT(metadata!O182,"microbial mat/biofilm"),EXACT(metadata!O182,"misc environment"),EXACT(metadata!O182,"plant-associated"),EXACT(metadata!O182,"sediment"),EXACT(metadata!O182,"soil"),EXACT(metadata!O182,"wastewater/sludge"),EXACT(metadata!O182,"water"))))</f>
        <v>0</v>
      </c>
      <c r="BA182" t="b">
        <f>IF(metadata!P182="",FALSE,TRUE)</f>
        <v>0</v>
      </c>
      <c r="BB182" t="b">
        <f>IF(metadata!Q182="",FALSE,TRUE)</f>
        <v>0</v>
      </c>
      <c r="BC182" t="b">
        <f>OR(AND(IF(metadata!R182="",FALSE,TRUE),OR(EXACT(metadata!R182,"missing: not collected"),EXACT(metadata!R182,"missing: not provided"),EXACT(metadata!R182,"missing: restricted access"))),AND(IF(metadata!R182="",FALSE,ISNUMBER(VALUE(metadata!R182))),metadata!R182&gt;=-90,metadata!R182&lt;=90))</f>
        <v>0</v>
      </c>
      <c r="BD182" t="b">
        <f>AND(IF(metadata!S182="",FALSE,TRUE),EXACT(metadata!S182,"Decimal degrees"))</f>
        <v>0</v>
      </c>
      <c r="BE182" t="b">
        <f>OR(AND(IF(metadata!T182="",FALSE,TRUE),OR(EXACT(metadata!T182,"missing: not collected"),EXACT(metadata!T182,"missing: not provided"),EXACT(metadata!T182,"missing: restricted access"))),AND(IF(metadata!T182="",FALSE,ISNUMBER(VALUE(metadata!T182))),metadata!T182&gt;=-180,metadata!T182&lt;=180))</f>
        <v>0</v>
      </c>
      <c r="BF182" t="b">
        <f>AND(IF(metadata!U182="",FALSE,TRUE),EXACT(metadata!U182,"Decimal degrees"))</f>
        <v>0</v>
      </c>
      <c r="BG182" t="b">
        <f>IF(metadata!V182="",FALSE,TRUE)</f>
        <v>0</v>
      </c>
      <c r="BH182" t="b">
        <f>OR(AND(IF(metadata!W182="",FALSE,TRUE),OR(EXACT(metadata!W182,"missing: not collected"),EXACT(metadata!W182,"missing: not provided"),EXACT(metadata!W182,"missing: restricted access"))),AND(IF(metadata!W182="",FALSE,TRUE),OR(EXACT(metadata!W182,"TRUE"),EXACT(metadata!W182,"FALSE"))))</f>
        <v>0</v>
      </c>
      <c r="BI182" t="b">
        <f>AND(IF(metadata!X182="",FALSE,TRUE),EXACT(metadata!X182,"other"))</f>
        <v>0</v>
      </c>
      <c r="BJ182" t="b">
        <f>IF(metadata!Y182="",FALSE,TRUE)</f>
        <v>0</v>
      </c>
      <c r="BK182" t="b">
        <f>OR(AND(IF(metadata!Z182="",FALSE,TRUE),OR(EXACT(metadata!Z182,"missing: not collected"),EXACT(metadata!Z182,"missing: not provided"))),AND(IF(metadata!Z182="",FALSE,IF(ISERROR(INT(metadata!Z182)),FALSE,INT(metadata!Z182)=metadata!Z182)),metadata!Z182&gt;0))</f>
        <v>0</v>
      </c>
      <c r="BL182" t="b">
        <f>AND(IF(metadata!AA182="",FALSE,TRUE),EXACT(metadata!AA182,"Not applicable"))</f>
        <v>0</v>
      </c>
      <c r="BM182" t="b">
        <f>IF(metadata!AB182="",FALSE,TRUE)</f>
        <v>0</v>
      </c>
    </row>
    <row r="183" spans="1:65" x14ac:dyDescent="0.2">
      <c r="A183" s="5" t="str">
        <f ca="1">IF(B183=" "," ",HYPERLINK(CONCATENATE("#metadata!",ADDRESS(INDEX($AH$2:$AH$1001,MATCH(ROWS($AF$2:AF183),$AF$2:$AF$1001,0),0),1)),INDEX($AK$2:$AK$1001,MATCH(ROWS($AF$2:AF183),$AF$2:$AF$1001,0),0)))</f>
        <v xml:space="preserve"> </v>
      </c>
      <c r="B183" s="4" t="str">
        <f ca="1">IF(OR(INDEX($AG$2:$AG$1001,MATCH(ROWS($AF$2:AF183),$AF$2:$AF$1001,0),1)&gt;=100000,INDEX($AM$1005:$BM$1005,1,MATCH(COLUMNS($AM$1006:AM1006),$AM$1006:$BM$1006,0))&gt;=100000), " ",IF(INDEX($AM$2:$BM$1001,MATCH(ROWS($AF$2:AF183),$AF$2:$AF$1001,0),MATCH(COLUMNS($AM$1006:AM1006),$AM$1006:$BM$1006,0)), HYPERLINK("#",""), HYPERLINK(CONCATENATE("#metadata!", ADDRESS(INDEX($AH$2:$AH$1001,MATCH(ROWS($AF$2:AF183),$AF$2:$AF$1001,0),0), INDEX($AM$1004:$BM$1004,1,MATCH(COLUMNS($AM$1006:AM1006),$AM$1006:$BM$1006,0)))),"Fix")))</f>
        <v xml:space="preserve"> </v>
      </c>
      <c r="C183" s="4" t="str">
        <f ca="1">IF(OR(INDEX($AG$2:$AG$1001,MATCH(ROWS($AF$2:AF183),$AF$2:$AF$1001,0),1)&gt;=100000,INDEX($AM$1005:$BM$1005,1,MATCH(COLUMNS($AM$1006:AN1006),$AM$1006:$BM$1006,0))&gt;=100000), " ",IF(INDEX($AM$2:$BM$1001,MATCH(ROWS($AF$2:AF183),$AF$2:$AF$1001,0),MATCH(COLUMNS($AM$1006:AN1006),$AM$1006:$BM$1006,0)), HYPERLINK("#",""), HYPERLINK(CONCATENATE("#metadata!", ADDRESS(INDEX($AH$2:$AH$1001,MATCH(ROWS($AF$2:AF183),$AF$2:$AF$1001,0),0), INDEX($AM$1004:$BM$1004,1,MATCH(COLUMNS($AM$1006:AN1006),$AM$1006:$BM$1006,0)))),"Fix")))</f>
        <v xml:space="preserve"> </v>
      </c>
      <c r="D183" s="4" t="str">
        <f ca="1">IF(OR(INDEX($AG$2:$AG$1001,MATCH(ROWS($AF$2:AF183),$AF$2:$AF$1001,0),1)&gt;=100000,INDEX($AM$1005:$BM$1005,1,MATCH(COLUMNS($AM$1006:AO1006),$AM$1006:$BM$1006,0))&gt;=100000), " ",IF(INDEX($AM$2:$BM$1001,MATCH(ROWS($AF$2:AF183),$AF$2:$AF$1001,0),MATCH(COLUMNS($AM$1006:AO1006),$AM$1006:$BM$1006,0)), HYPERLINK("#",""), HYPERLINK(CONCATENATE("#metadata!", ADDRESS(INDEX($AH$2:$AH$1001,MATCH(ROWS($AF$2:AF183),$AF$2:$AF$1001,0),0), INDEX($AM$1004:$BM$1004,1,MATCH(COLUMNS($AM$1006:AO1006),$AM$1006:$BM$1006,0)))),"Fix")))</f>
        <v xml:space="preserve"> </v>
      </c>
      <c r="E183" s="4" t="str">
        <f ca="1">IF(OR(INDEX($AG$2:$AG$1001,MATCH(ROWS($AF$2:AF183),$AF$2:$AF$1001,0),1)&gt;=100000,INDEX($AM$1005:$BM$1005,1,MATCH(COLUMNS($AM$1006:AP1006),$AM$1006:$BM$1006,0))&gt;=100000), " ",IF(INDEX($AM$2:$BM$1001,MATCH(ROWS($AF$2:AF183),$AF$2:$AF$1001,0),MATCH(COLUMNS($AM$1006:AP1006),$AM$1006:$BM$1006,0)), HYPERLINK("#",""), HYPERLINK(CONCATENATE("#metadata!", ADDRESS(INDEX($AH$2:$AH$1001,MATCH(ROWS($AF$2:AF183),$AF$2:$AF$1001,0),0), INDEX($AM$1004:$BM$1004,1,MATCH(COLUMNS($AM$1006:AP1006),$AM$1006:$BM$1006,0)))),"Fix")))</f>
        <v xml:space="preserve"> </v>
      </c>
      <c r="F183" s="4" t="str">
        <f ca="1">IF(OR(INDEX($AG$2:$AG$1001,MATCH(ROWS($AF$2:AF183),$AF$2:$AF$1001,0),1)&gt;=100000,INDEX($AM$1005:$BM$1005,1,MATCH(COLUMNS($AM$1006:AQ1006),$AM$1006:$BM$1006,0))&gt;=100000), " ",IF(INDEX($AM$2:$BM$1001,MATCH(ROWS($AF$2:AF183),$AF$2:$AF$1001,0),MATCH(COLUMNS($AM$1006:AQ1006),$AM$1006:$BM$1006,0)), HYPERLINK("#",""), HYPERLINK(CONCATENATE("#metadata!", ADDRESS(INDEX($AH$2:$AH$1001,MATCH(ROWS($AF$2:AF183),$AF$2:$AF$1001,0),0), INDEX($AM$1004:$BM$1004,1,MATCH(COLUMNS($AM$1006:AQ1006),$AM$1006:$BM$1006,0)))),"Fix")))</f>
        <v xml:space="preserve"> </v>
      </c>
      <c r="G183" s="4" t="str">
        <f ca="1">IF(OR(INDEX($AG$2:$AG$1001,MATCH(ROWS($AF$2:AF183),$AF$2:$AF$1001,0),1)&gt;=100000,INDEX($AM$1005:$BM$1005,1,MATCH(COLUMNS($AM$1006:AR1006),$AM$1006:$BM$1006,0))&gt;=100000), " ",IF(INDEX($AM$2:$BM$1001,MATCH(ROWS($AF$2:AF183),$AF$2:$AF$1001,0),MATCH(COLUMNS($AM$1006:AR1006),$AM$1006:$BM$1006,0)), HYPERLINK("#",""), HYPERLINK(CONCATENATE("#metadata!", ADDRESS(INDEX($AH$2:$AH$1001,MATCH(ROWS($AF$2:AF183),$AF$2:$AF$1001,0),0), INDEX($AM$1004:$BM$1004,1,MATCH(COLUMNS($AM$1006:AR1006),$AM$1006:$BM$1006,0)))),"Fix")))</f>
        <v xml:space="preserve"> </v>
      </c>
      <c r="H183" s="4" t="str">
        <f ca="1">IF(OR(INDEX($AG$2:$AG$1001,MATCH(ROWS($AF$2:AF183),$AF$2:$AF$1001,0),1)&gt;=100000,INDEX($AM$1005:$BM$1005,1,MATCH(COLUMNS($AM$1006:AS1006),$AM$1006:$BM$1006,0))&gt;=100000), " ",IF(INDEX($AM$2:$BM$1001,MATCH(ROWS($AF$2:AF183),$AF$2:$AF$1001,0),MATCH(COLUMNS($AM$1006:AS1006),$AM$1006:$BM$1006,0)), HYPERLINK("#",""), HYPERLINK(CONCATENATE("#metadata!", ADDRESS(INDEX($AH$2:$AH$1001,MATCH(ROWS($AF$2:AF183),$AF$2:$AF$1001,0),0), INDEX($AM$1004:$BM$1004,1,MATCH(COLUMNS($AM$1006:AS1006),$AM$1006:$BM$1006,0)))),"Fix")))</f>
        <v xml:space="preserve"> </v>
      </c>
      <c r="I183" s="4" t="str">
        <f ca="1">IF(OR(INDEX($AG$2:$AG$1001,MATCH(ROWS($AF$2:AF183),$AF$2:$AF$1001,0),1)&gt;=100000,INDEX($AM$1005:$BM$1005,1,MATCH(COLUMNS($AM$1006:AT1006),$AM$1006:$BM$1006,0))&gt;=100000), " ",IF(INDEX($AM$2:$BM$1001,MATCH(ROWS($AF$2:AF183),$AF$2:$AF$1001,0),MATCH(COLUMNS($AM$1006:AT1006),$AM$1006:$BM$1006,0)), HYPERLINK("#",""), HYPERLINK(CONCATENATE("#metadata!", ADDRESS(INDEX($AH$2:$AH$1001,MATCH(ROWS($AF$2:AF183),$AF$2:$AF$1001,0),0), INDEX($AM$1004:$BM$1004,1,MATCH(COLUMNS($AM$1006:AT1006),$AM$1006:$BM$1006,0)))),"Fix")))</f>
        <v xml:space="preserve"> </v>
      </c>
      <c r="J183" s="4" t="str">
        <f ca="1">IF(OR(INDEX($AG$2:$AG$1001,MATCH(ROWS($AF$2:AF183),$AF$2:$AF$1001,0),1)&gt;=100000,INDEX($AM$1005:$BM$1005,1,MATCH(COLUMNS($AM$1006:AU1006),$AM$1006:$BM$1006,0))&gt;=100000), " ",IF(INDEX($AM$2:$BM$1001,MATCH(ROWS($AF$2:AF183),$AF$2:$AF$1001,0),MATCH(COLUMNS($AM$1006:AU1006),$AM$1006:$BM$1006,0)), HYPERLINK("#",""), HYPERLINK(CONCATENATE("#metadata!", ADDRESS(INDEX($AH$2:$AH$1001,MATCH(ROWS($AF$2:AF183),$AF$2:$AF$1001,0),0), INDEX($AM$1004:$BM$1004,1,MATCH(COLUMNS($AM$1006:AU1006),$AM$1006:$BM$1006,0)))),"Fix")))</f>
        <v xml:space="preserve"> </v>
      </c>
      <c r="K183" s="4" t="str">
        <f ca="1">IF(OR(INDEX($AG$2:$AG$1001,MATCH(ROWS($AF$2:AF183),$AF$2:$AF$1001,0),1)&gt;=100000,INDEX($AM$1005:$BM$1005,1,MATCH(COLUMNS($AM$1006:AV1006),$AM$1006:$BM$1006,0))&gt;=100000), " ",IF(INDEX($AM$2:$BM$1001,MATCH(ROWS($AF$2:AF183),$AF$2:$AF$1001,0),MATCH(COLUMNS($AM$1006:AV1006),$AM$1006:$BM$1006,0)), HYPERLINK("#",""), HYPERLINK(CONCATENATE("#metadata!", ADDRESS(INDEX($AH$2:$AH$1001,MATCH(ROWS($AF$2:AF183),$AF$2:$AF$1001,0),0), INDEX($AM$1004:$BM$1004,1,MATCH(COLUMNS($AM$1006:AV1006),$AM$1006:$BM$1006,0)))),"Fix")))</f>
        <v xml:space="preserve"> </v>
      </c>
      <c r="L183" s="4" t="str">
        <f ca="1">IF(OR(INDEX($AG$2:$AG$1001,MATCH(ROWS($AF$2:AF183),$AF$2:$AF$1001,0),1)&gt;=100000,INDEX($AM$1005:$BM$1005,1,MATCH(COLUMNS($AM$1006:AW1006),$AM$1006:$BM$1006,0))&gt;=100000), " ",IF(INDEX($AM$2:$BM$1001,MATCH(ROWS($AF$2:AF183),$AF$2:$AF$1001,0),MATCH(COLUMNS($AM$1006:AW1006),$AM$1006:$BM$1006,0)), HYPERLINK("#",""), HYPERLINK(CONCATENATE("#metadata!", ADDRESS(INDEX($AH$2:$AH$1001,MATCH(ROWS($AF$2:AF183),$AF$2:$AF$1001,0),0), INDEX($AM$1004:$BM$1004,1,MATCH(COLUMNS($AM$1006:AW1006),$AM$1006:$BM$1006,0)))),"Fix")))</f>
        <v xml:space="preserve"> </v>
      </c>
      <c r="M183" s="4" t="str">
        <f ca="1">IF(OR(INDEX($AG$2:$AG$1001,MATCH(ROWS($AF$2:AF183),$AF$2:$AF$1001,0),1)&gt;=100000,INDEX($AM$1005:$BM$1005,1,MATCH(COLUMNS($AM$1006:AX1006),$AM$1006:$BM$1006,0))&gt;=100000), " ",IF(INDEX($AM$2:$BM$1001,MATCH(ROWS($AF$2:AF183),$AF$2:$AF$1001,0),MATCH(COLUMNS($AM$1006:AX1006),$AM$1006:$BM$1006,0)), HYPERLINK("#",""), HYPERLINK(CONCATENATE("#metadata!", ADDRESS(INDEX($AH$2:$AH$1001,MATCH(ROWS($AF$2:AF183),$AF$2:$AF$1001,0),0), INDEX($AM$1004:$BM$1004,1,MATCH(COLUMNS($AM$1006:AX1006),$AM$1006:$BM$1006,0)))),"Fix")))</f>
        <v xml:space="preserve"> </v>
      </c>
      <c r="N183" s="4" t="str">
        <f ca="1">IF(OR(INDEX($AG$2:$AG$1001,MATCH(ROWS($AF$2:AF183),$AF$2:$AF$1001,0),1)&gt;=100000,INDEX($AM$1005:$BM$1005,1,MATCH(COLUMNS($AM$1006:AY1006),$AM$1006:$BM$1006,0))&gt;=100000), " ",IF(INDEX($AM$2:$BM$1001,MATCH(ROWS($AF$2:AF183),$AF$2:$AF$1001,0),MATCH(COLUMNS($AM$1006:AY1006),$AM$1006:$BM$1006,0)), HYPERLINK("#",""), HYPERLINK(CONCATENATE("#metadata!", ADDRESS(INDEX($AH$2:$AH$1001,MATCH(ROWS($AF$2:AF183),$AF$2:$AF$1001,0),0), INDEX($AM$1004:$BM$1004,1,MATCH(COLUMNS($AM$1006:AY1006),$AM$1006:$BM$1006,0)))),"Fix")))</f>
        <v xml:space="preserve"> </v>
      </c>
      <c r="O183" s="4" t="str">
        <f ca="1">IF(OR(INDEX($AG$2:$AG$1001,MATCH(ROWS($AF$2:AF183),$AF$2:$AF$1001,0),1)&gt;=100000,INDEX($AM$1005:$BM$1005,1,MATCH(COLUMNS($AM$1006:AZ1006),$AM$1006:$BM$1006,0))&gt;=100000), " ",IF(INDEX($AM$2:$BM$1001,MATCH(ROWS($AF$2:AF183),$AF$2:$AF$1001,0),MATCH(COLUMNS($AM$1006:AZ1006),$AM$1006:$BM$1006,0)), HYPERLINK("#",""), HYPERLINK(CONCATENATE("#metadata!", ADDRESS(INDEX($AH$2:$AH$1001,MATCH(ROWS($AF$2:AF183),$AF$2:$AF$1001,0),0), INDEX($AM$1004:$BM$1004,1,MATCH(COLUMNS($AM$1006:AZ1006),$AM$1006:$BM$1006,0)))),"Fix")))</f>
        <v xml:space="preserve"> </v>
      </c>
      <c r="P183" s="4" t="str">
        <f ca="1">IF(OR(INDEX($AG$2:$AG$1001,MATCH(ROWS($AF$2:AF183),$AF$2:$AF$1001,0),1)&gt;=100000,INDEX($AM$1005:$BM$1005,1,MATCH(COLUMNS($AM$1006:BA1006),$AM$1006:$BM$1006,0))&gt;=100000), " ",IF(INDEX($AM$2:$BM$1001,MATCH(ROWS($AF$2:AF183),$AF$2:$AF$1001,0),MATCH(COLUMNS($AM$1006:BA1006),$AM$1006:$BM$1006,0)), HYPERLINK("#",""), HYPERLINK(CONCATENATE("#metadata!", ADDRESS(INDEX($AH$2:$AH$1001,MATCH(ROWS($AF$2:AF183),$AF$2:$AF$1001,0),0), INDEX($AM$1004:$BM$1004,1,MATCH(COLUMNS($AM$1006:BA1006),$AM$1006:$BM$1006,0)))),"Fix")))</f>
        <v xml:space="preserve"> </v>
      </c>
      <c r="Q183" s="4" t="str">
        <f ca="1">IF(OR(INDEX($AG$2:$AG$1001,MATCH(ROWS($AF$2:AF183),$AF$2:$AF$1001,0),1)&gt;=100000,INDEX($AM$1005:$BM$1005,1,MATCH(COLUMNS($AM$1006:BB1006),$AM$1006:$BM$1006,0))&gt;=100000), " ",IF(INDEX($AM$2:$BM$1001,MATCH(ROWS($AF$2:AF183),$AF$2:$AF$1001,0),MATCH(COLUMNS($AM$1006:BB1006),$AM$1006:$BM$1006,0)), HYPERLINK("#",""), HYPERLINK(CONCATENATE("#metadata!", ADDRESS(INDEX($AH$2:$AH$1001,MATCH(ROWS($AF$2:AF183),$AF$2:$AF$1001,0),0), INDEX($AM$1004:$BM$1004,1,MATCH(COLUMNS($AM$1006:BB1006),$AM$1006:$BM$1006,0)))),"Fix")))</f>
        <v xml:space="preserve"> </v>
      </c>
      <c r="R183" s="4" t="str">
        <f ca="1">IF(OR(INDEX($AG$2:$AG$1001,MATCH(ROWS($AF$2:AF183),$AF$2:$AF$1001,0),1)&gt;=100000,INDEX($AM$1005:$BM$1005,1,MATCH(COLUMNS($AM$1006:BC1006),$AM$1006:$BM$1006,0))&gt;=100000), " ",IF(INDEX($AM$2:$BM$1001,MATCH(ROWS($AF$2:AF183),$AF$2:$AF$1001,0),MATCH(COLUMNS($AM$1006:BC1006),$AM$1006:$BM$1006,0)), HYPERLINK("#",""), HYPERLINK(CONCATENATE("#metadata!", ADDRESS(INDEX($AH$2:$AH$1001,MATCH(ROWS($AF$2:AF183),$AF$2:$AF$1001,0),0), INDEX($AM$1004:$BM$1004,1,MATCH(COLUMNS($AM$1006:BC1006),$AM$1006:$BM$1006,0)))),"Fix")))</f>
        <v xml:space="preserve"> </v>
      </c>
      <c r="S183" s="4" t="str">
        <f ca="1">IF(OR(INDEX($AG$2:$AG$1001,MATCH(ROWS($AF$2:AF183),$AF$2:$AF$1001,0),1)&gt;=100000,INDEX($AM$1005:$BM$1005,1,MATCH(COLUMNS($AM$1006:BD1006),$AM$1006:$BM$1006,0))&gt;=100000), " ",IF(INDEX($AM$2:$BM$1001,MATCH(ROWS($AF$2:AF183),$AF$2:$AF$1001,0),MATCH(COLUMNS($AM$1006:BD1006),$AM$1006:$BM$1006,0)), HYPERLINK("#",""), HYPERLINK(CONCATENATE("#metadata!", ADDRESS(INDEX($AH$2:$AH$1001,MATCH(ROWS($AF$2:AF183),$AF$2:$AF$1001,0),0), INDEX($AM$1004:$BM$1004,1,MATCH(COLUMNS($AM$1006:BD1006),$AM$1006:$BM$1006,0)))),"Fix")))</f>
        <v xml:space="preserve"> </v>
      </c>
      <c r="T183" s="4" t="str">
        <f ca="1">IF(OR(INDEX($AG$2:$AG$1001,MATCH(ROWS($AF$2:AF183),$AF$2:$AF$1001,0),1)&gt;=100000,INDEX($AM$1005:$BM$1005,1,MATCH(COLUMNS($AM$1006:BE1006),$AM$1006:$BM$1006,0))&gt;=100000), " ",IF(INDEX($AM$2:$BM$1001,MATCH(ROWS($AF$2:AF183),$AF$2:$AF$1001,0),MATCH(COLUMNS($AM$1006:BE1006),$AM$1006:$BM$1006,0)), HYPERLINK("#",""), HYPERLINK(CONCATENATE("#metadata!", ADDRESS(INDEX($AH$2:$AH$1001,MATCH(ROWS($AF$2:AF183),$AF$2:$AF$1001,0),0), INDEX($AM$1004:$BM$1004,1,MATCH(COLUMNS($AM$1006:BE1006),$AM$1006:$BM$1006,0)))),"Fix")))</f>
        <v xml:space="preserve"> </v>
      </c>
      <c r="U183" s="4" t="str">
        <f ca="1">IF(OR(INDEX($AG$2:$AG$1001,MATCH(ROWS($AF$2:AF183),$AF$2:$AF$1001,0),1)&gt;=100000,INDEX($AM$1005:$BM$1005,1,MATCH(COLUMNS($AM$1006:BF1006),$AM$1006:$BM$1006,0))&gt;=100000), " ",IF(INDEX($AM$2:$BM$1001,MATCH(ROWS($AF$2:AF183),$AF$2:$AF$1001,0),MATCH(COLUMNS($AM$1006:BF1006),$AM$1006:$BM$1006,0)), HYPERLINK("#",""), HYPERLINK(CONCATENATE("#metadata!", ADDRESS(INDEX($AH$2:$AH$1001,MATCH(ROWS($AF$2:AF183),$AF$2:$AF$1001,0),0), INDEX($AM$1004:$BM$1004,1,MATCH(COLUMNS($AM$1006:BF1006),$AM$1006:$BM$1006,0)))),"Fix")))</f>
        <v xml:space="preserve"> </v>
      </c>
      <c r="V183" s="4" t="str">
        <f ca="1">IF(OR(INDEX($AG$2:$AG$1001,MATCH(ROWS($AF$2:AF183),$AF$2:$AF$1001,0),1)&gt;=100000,INDEX($AM$1005:$BM$1005,1,MATCH(COLUMNS($AM$1006:BG1006),$AM$1006:$BM$1006,0))&gt;=100000), " ",IF(INDEX($AM$2:$BM$1001,MATCH(ROWS($AF$2:AF183),$AF$2:$AF$1001,0),MATCH(COLUMNS($AM$1006:BG1006),$AM$1006:$BM$1006,0)), HYPERLINK("#",""), HYPERLINK(CONCATENATE("#metadata!", ADDRESS(INDEX($AH$2:$AH$1001,MATCH(ROWS($AF$2:AF183),$AF$2:$AF$1001,0),0), INDEX($AM$1004:$BM$1004,1,MATCH(COLUMNS($AM$1006:BG1006),$AM$1006:$BM$1006,0)))),"Fix")))</f>
        <v xml:space="preserve"> </v>
      </c>
      <c r="W183" s="4" t="str">
        <f ca="1">IF(OR(INDEX($AG$2:$AG$1001,MATCH(ROWS($AF$2:AF183),$AF$2:$AF$1001,0),1)&gt;=100000,INDEX($AM$1005:$BM$1005,1,MATCH(COLUMNS($AM$1006:BH1006),$AM$1006:$BM$1006,0))&gt;=100000), " ",IF(INDEX($AM$2:$BM$1001,MATCH(ROWS($AF$2:AF183),$AF$2:$AF$1001,0),MATCH(COLUMNS($AM$1006:BH1006),$AM$1006:$BM$1006,0)), HYPERLINK("#",""), HYPERLINK(CONCATENATE("#metadata!", ADDRESS(INDEX($AH$2:$AH$1001,MATCH(ROWS($AF$2:AF183),$AF$2:$AF$1001,0),0), INDEX($AM$1004:$BM$1004,1,MATCH(COLUMNS($AM$1006:BH1006),$AM$1006:$BM$1006,0)))),"Fix")))</f>
        <v xml:space="preserve"> </v>
      </c>
      <c r="X183" s="4" t="str">
        <f ca="1">IF(OR(INDEX($AG$2:$AG$1001,MATCH(ROWS($AF$2:AF183),$AF$2:$AF$1001,0),1)&gt;=100000,INDEX($AM$1005:$BM$1005,1,MATCH(COLUMNS($AM$1006:BI1006),$AM$1006:$BM$1006,0))&gt;=100000), " ",IF(INDEX($AM$2:$BM$1001,MATCH(ROWS($AF$2:AF183),$AF$2:$AF$1001,0),MATCH(COLUMNS($AM$1006:BI1006),$AM$1006:$BM$1006,0)), HYPERLINK("#",""), HYPERLINK(CONCATENATE("#metadata!", ADDRESS(INDEX($AH$2:$AH$1001,MATCH(ROWS($AF$2:AF183),$AF$2:$AF$1001,0),0), INDEX($AM$1004:$BM$1004,1,MATCH(COLUMNS($AM$1006:BI1006),$AM$1006:$BM$1006,0)))),"Fix")))</f>
        <v xml:space="preserve"> </v>
      </c>
      <c r="Y183" s="4" t="str">
        <f ca="1">IF(OR(INDEX($AG$2:$AG$1001,MATCH(ROWS($AF$2:AF183),$AF$2:$AF$1001,0),1)&gt;=100000,INDEX($AM$1005:$BM$1005,1,MATCH(COLUMNS($AM$1006:BJ1006),$AM$1006:$BM$1006,0))&gt;=100000), " ",IF(INDEX($AM$2:$BM$1001,MATCH(ROWS($AF$2:AF183),$AF$2:$AF$1001,0),MATCH(COLUMNS($AM$1006:BJ1006),$AM$1006:$BM$1006,0)), HYPERLINK("#",""), HYPERLINK(CONCATENATE("#metadata!", ADDRESS(INDEX($AH$2:$AH$1001,MATCH(ROWS($AF$2:AF183),$AF$2:$AF$1001,0),0), INDEX($AM$1004:$BM$1004,1,MATCH(COLUMNS($AM$1006:BJ1006),$AM$1006:$BM$1006,0)))),"Fix")))</f>
        <v xml:space="preserve"> </v>
      </c>
      <c r="Z183" s="4" t="str">
        <f ca="1">IF(OR(INDEX($AG$2:$AG$1001,MATCH(ROWS($AF$2:AF183),$AF$2:$AF$1001,0),1)&gt;=100000,INDEX($AM$1005:$BM$1005,1,MATCH(COLUMNS($AM$1006:BK1006),$AM$1006:$BM$1006,0))&gt;=100000), " ",IF(INDEX($AM$2:$BM$1001,MATCH(ROWS($AF$2:AF183),$AF$2:$AF$1001,0),MATCH(COLUMNS($AM$1006:BK1006),$AM$1006:$BM$1006,0)), HYPERLINK("#",""), HYPERLINK(CONCATENATE("#metadata!", ADDRESS(INDEX($AH$2:$AH$1001,MATCH(ROWS($AF$2:AF183),$AF$2:$AF$1001,0),0), INDEX($AM$1004:$BM$1004,1,MATCH(COLUMNS($AM$1006:BK1006),$AM$1006:$BM$1006,0)))),"Fix")))</f>
        <v xml:space="preserve"> </v>
      </c>
      <c r="AA183" s="4" t="str">
        <f ca="1">IF(OR(INDEX($AG$2:$AG$1001,MATCH(ROWS($AF$2:AF183),$AF$2:$AF$1001,0),1)&gt;=100000,INDEX($AM$1005:$BM$1005,1,MATCH(COLUMNS($AM$1006:BL1006),$AM$1006:$BM$1006,0))&gt;=100000), " ",IF(INDEX($AM$2:$BM$1001,MATCH(ROWS($AF$2:AF183),$AF$2:$AF$1001,0),MATCH(COLUMNS($AM$1006:BL1006),$AM$1006:$BM$1006,0)), HYPERLINK("#",""), HYPERLINK(CONCATENATE("#metadata!", ADDRESS(INDEX($AH$2:$AH$1001,MATCH(ROWS($AF$2:AF183),$AF$2:$AF$1001,0),0), INDEX($AM$1004:$BM$1004,1,MATCH(COLUMNS($AM$1006:BL1006),$AM$1006:$BM$1006,0)))),"Fix")))</f>
        <v xml:space="preserve"> </v>
      </c>
      <c r="AB183" s="4" t="str">
        <f ca="1">IF(OR(INDEX($AG$2:$AG$1001,MATCH(ROWS($AF$2:AF183),$AF$2:$AF$1001,0),1)&gt;=100000,INDEX($AM$1005:$BM$1005,1,MATCH(COLUMNS($AM$1006:BM1006),$AM$1006:$BM$1006,0))&gt;=100000), " ",IF(INDEX($AM$2:$BM$1001,MATCH(ROWS($AF$2:AF183),$AF$2:$AF$1001,0),MATCH(COLUMNS($AM$1006:BM1006),$AM$1006:$BM$1006,0)), HYPERLINK("#",""), HYPERLINK(CONCATENATE("#metadata!", ADDRESS(INDEX($AH$2:$AH$1001,MATCH(ROWS($AF$2:AF183),$AF$2:$AF$1001,0),0), INDEX($AM$1004:$BM$1004,1,MATCH(COLUMNS($AM$1006:BM1006),$AM$1006:$BM$1006,0)))),"Fix")))</f>
        <v xml:space="preserve"> </v>
      </c>
      <c r="AF183">
        <v>182</v>
      </c>
      <c r="AG183">
        <v>100183</v>
      </c>
      <c r="AH183">
        <v>183</v>
      </c>
      <c r="AI183" t="b">
        <f t="shared" si="2"/>
        <v>1</v>
      </c>
      <c r="AJ183" t="b">
        <f>COUNTBLANK(metadata!B183:AB183)=COLUMNS(metadata!B183:AB183)</f>
        <v>1</v>
      </c>
      <c r="AK183" t="str">
        <v/>
      </c>
      <c r="AM183" t="b">
        <f ca="1">AND(IF(metadata!B183="",FALSE,TRUE),COUNTIF(metadata!B:B, metadata!B183) = 1,NOT(ISERROR(SUMPRODUCT(SEARCH(MID(metadata!B183,ROW(INDIRECT("1:"&amp;LEN(metadata!B183))), 1),"0123456789abcdefghijklmnopqrstuvwxyzABCDEFGHIJKLMNOPQRSTUVWXYZ.")))))</f>
        <v>0</v>
      </c>
      <c r="AN183" t="b">
        <f ca="1">OR(AND(IF(metadata!C183="",FALSE,TRUE),OR(EXACT(metadata!C183,"missing: not collected"),EXACT(metadata!C183,"missing: not provided"),EXACT(metadata!C183,"missing: restricted access"))),AND(IF(metadata!C183="",FALSE,TRUE),AND(AND(IFERROR(INT(LEFT(metadata!C183,4))&gt;1900,FALSE),IFERROR(INT(LEFT(metadata!C183,4))&lt;=YEAR(NOW()),FALSE)), OR(MID(metadata!C183,5,1)="", AND(AND(MID(metadata!C183,5,1)="-",IFERROR(INT(MID(metadata!C183,6,1))&gt;=0,FALSE),IFERROR(INT(MID(metadata!C183,6,1))&lt;=1,FALSE),NOT(MID(metadata!C183,7,1)=""),IFERROR(INT(MID(metadata!C183,6,2))&gt;=1,FALSE),IFERROR(INT(MID(metadata!C183,6,2))&lt;=12,FALSE)), OR(MID(metadata!C183,8,1)="", AND(AND(MID(metadata!C183,8,1)="-",IFERROR(INT(MID(metadata!C183,9,1))&gt;=0,FALSE),IFERROR(INT(MID(metadata!C183,9,1))&lt;=3,FALSE),NOT(MID(metadata!C183,10,1)=""),IFERROR(INT(MID(metadata!C183,9,2))&gt;=1,FALSE),IFERROR(INT(MID(metadata!C183,9,2))&lt;=31,FALSE)), OR(MID(metadata!C183,11,1)="", AND(AND(MID(metadata!C183,11,1)=" ",IFERROR(INT(MID(metadata!C183,12,1))&gt;=0,FALSE),IFERROR(INT(MID(metadata!C183,12,1))&lt;=2,FALSE),NOT(MID(metadata!C183,13,1)=""),IFERROR(INT(MID(metadata!C183,12,2))&gt;=0,FALSE),IFERROR(INT(MID(metadata!C183,12,2))&lt;=23,FALSE)), OR(MID(metadata!C183,14,1)="", AND(AND(MID(metadata!C183,14,1)=":",IFERROR(INT(MID(metadata!C183,15,1))&gt;=0,FALSE),IFERROR(INT(MID(metadata!C183,15,1))&lt;=5,FALSE),NOT(MID(metadata!C183,16,1)=""),IFERROR(INT(MID(metadata!C183,15,2))&gt;=0,FALSE),IFERROR(INT(MID(metadata!C183,15,2))&lt;=59,FALSE)), OR(MID(metadata!C183,17,1)="", AND(AND(MID(metadata!C183,17,1)=":",IFERROR(INT(MID(metadata!C183,18,1))&gt;=0,FALSE),IFERROR(INT(MID(metadata!C183,18,1))&lt;=5,FALSE),NOT(MID(metadata!C183,19,1)=""),IFERROR(INT(MID(metadata!C183,18,2))&gt;=0,FALSE),IFERROR(INT(MID(metadata!C183,18,2))&lt;=59,FALSE)), LEN(metadata!C183)&lt;=19)))))))))))))</f>
        <v>0</v>
      </c>
      <c r="AO183" t="b">
        <f>AND(IF(metadata!D183="",FALSE,TRUE),EXACT(metadata!D183,"Not applicable"))</f>
        <v>0</v>
      </c>
      <c r="AP183" t="b">
        <f>IF(metadata!E183="",FALSE,TRUE)</f>
        <v>0</v>
      </c>
      <c r="AQ183" t="b">
        <f>OR(AND(IF(metadata!F183="",FALSE,TRUE),OR(EXACT(metadata!F183,"missing: not collected"),EXACT(metadata!F183,"missing: not provided"))),AND(IF(metadata!F183="",FALSE,TRUE),OR(EXACT(metadata!F183,"TRUE"),EXACT(metadata!F183,"FALSE"))))</f>
        <v>0</v>
      </c>
      <c r="AR183" t="b">
        <f>OR(AND(IF(metadata!G183="",FALSE,TRUE),OR(EXACT(metadata!G183,"missing: not collected"),EXACT(metadata!G183,"missing: not provided"),EXACT(metadata!G183,"missing: restricted access"))),AND(IF(metadata!G183="",FALSE,ISNUMBER(VALUE(metadata!G183))),metadata!G183&gt;=-413))</f>
        <v>0</v>
      </c>
      <c r="AS183" t="b">
        <f>AND(IF(metadata!H183="",FALSE,TRUE),EXACT(metadata!H183,"meters"))</f>
        <v>0</v>
      </c>
      <c r="AT183" t="b">
        <f>AND(IF(metadata!I183="",FALSE,TRUE),OR(EXACT(metadata!I183,"Host-associated"),EXACT(metadata!I183,"Free-living")))</f>
        <v>0</v>
      </c>
      <c r="AU183" t="b">
        <f>AND(IF(metadata!J183="",FALSE,TRUE),OR(EXACT(metadata!J183,"Animal"),EXACT(metadata!J183,"Fungus"),EXACT(metadata!J183,"Plant"),EXACT(metadata!J183,"Saline"),EXACT(metadata!J183,"Non-saline")))</f>
        <v>0</v>
      </c>
      <c r="AV183" t="b">
        <f>AND(IF(metadata!K183="",FALSE,TRUE),OR(EXACT(metadata!K183,"Plant secretion"),EXACT(metadata!K183,"Plant rhizosphere"),EXACT(metadata!K183,"Plant surface"),EXACT(metadata!K183,"Plant corpus"),EXACT(metadata!K183,"Fungus surface"),EXACT(metadata!K183,"Fungus corpus"),EXACT(metadata!K183,"Animal surface"),EXACT(metadata!K183,"Animal proximal gut"),EXACT(metadata!K183,"Animal corpus"),EXACT(metadata!K183,"Animal distal gut"),EXACT(metadata!K183,"Animal secretion"),EXACT(metadata!K183,"Sub-surface (non-saline)"),EXACT(metadata!K183,"Surface (non-saline)"),EXACT(metadata!K183,"Water (non-saline)"),EXACT(metadata!K183,"Soil (non-saline)"),EXACT(metadata!K183,"Aerosol (non-saline)"),EXACT(metadata!K183,"Sediment (non-saline)"),EXACT(metadata!K183,"Surface (saline)"),EXACT(metadata!K183,"Water (saline)"),EXACT(metadata!K183,"Hypersaline (saline)"),EXACT(metadata!K183,"Aerosol (saline)"),EXACT(metadata!K183,"Sediment (saline)")))</f>
        <v>0</v>
      </c>
      <c r="AW183" t="b">
        <f>IF(metadata!L183="",FALSE,TRUE)</f>
        <v>0</v>
      </c>
      <c r="AX183" t="b">
        <f>IF(metadata!M183="",FALSE,TRUE)</f>
        <v>0</v>
      </c>
      <c r="AY183" t="b">
        <f>IF(metadata!N183="",FALSE,TRUE)</f>
        <v>0</v>
      </c>
      <c r="AZ183" t="b">
        <f>OR(AND(IF(metadata!O183="",FALSE,TRUE),OR(EXACT(metadata!O183,"missing: not collected"),EXACT(metadata!O183,"missing: not provided"),EXACT(metadata!O183,"missing: restricted access"))),AND(IF(metadata!O183="",FALSE,TRUE),OR(EXACT(metadata!O183,"air"),EXACT(metadata!O183,"built environment"),EXACT(metadata!O183,"host-associated"),EXACT(metadata!O183,"human-associated"),EXACT(metadata!O183,"human-skin"),EXACT(metadata!O183,"human-oral"),EXACT(metadata!O183,"human-gut"),EXACT(metadata!O183,"human-vaginal"),EXACT(metadata!O183,"microbial mat/biofilm"),EXACT(metadata!O183,"misc environment"),EXACT(metadata!O183,"plant-associated"),EXACT(metadata!O183,"sediment"),EXACT(metadata!O183,"soil"),EXACT(metadata!O183,"wastewater/sludge"),EXACT(metadata!O183,"water"))))</f>
        <v>0</v>
      </c>
      <c r="BA183" t="b">
        <f>IF(metadata!P183="",FALSE,TRUE)</f>
        <v>0</v>
      </c>
      <c r="BB183" t="b">
        <f>IF(metadata!Q183="",FALSE,TRUE)</f>
        <v>0</v>
      </c>
      <c r="BC183" t="b">
        <f>OR(AND(IF(metadata!R183="",FALSE,TRUE),OR(EXACT(metadata!R183,"missing: not collected"),EXACT(metadata!R183,"missing: not provided"),EXACT(metadata!R183,"missing: restricted access"))),AND(IF(metadata!R183="",FALSE,ISNUMBER(VALUE(metadata!R183))),metadata!R183&gt;=-90,metadata!R183&lt;=90))</f>
        <v>0</v>
      </c>
      <c r="BD183" t="b">
        <f>AND(IF(metadata!S183="",FALSE,TRUE),EXACT(metadata!S183,"Decimal degrees"))</f>
        <v>0</v>
      </c>
      <c r="BE183" t="b">
        <f>OR(AND(IF(metadata!T183="",FALSE,TRUE),OR(EXACT(metadata!T183,"missing: not collected"),EXACT(metadata!T183,"missing: not provided"),EXACT(metadata!T183,"missing: restricted access"))),AND(IF(metadata!T183="",FALSE,ISNUMBER(VALUE(metadata!T183))),metadata!T183&gt;=-180,metadata!T183&lt;=180))</f>
        <v>0</v>
      </c>
      <c r="BF183" t="b">
        <f>AND(IF(metadata!U183="",FALSE,TRUE),EXACT(metadata!U183,"Decimal degrees"))</f>
        <v>0</v>
      </c>
      <c r="BG183" t="b">
        <f>IF(metadata!V183="",FALSE,TRUE)</f>
        <v>0</v>
      </c>
      <c r="BH183" t="b">
        <f>OR(AND(IF(metadata!W183="",FALSE,TRUE),OR(EXACT(metadata!W183,"missing: not collected"),EXACT(metadata!W183,"missing: not provided"),EXACT(metadata!W183,"missing: restricted access"))),AND(IF(metadata!W183="",FALSE,TRUE),OR(EXACT(metadata!W183,"TRUE"),EXACT(metadata!W183,"FALSE"))))</f>
        <v>0</v>
      </c>
      <c r="BI183" t="b">
        <f>AND(IF(metadata!X183="",FALSE,TRUE),EXACT(metadata!X183,"other"))</f>
        <v>0</v>
      </c>
      <c r="BJ183" t="b">
        <f>IF(metadata!Y183="",FALSE,TRUE)</f>
        <v>0</v>
      </c>
      <c r="BK183" t="b">
        <f>OR(AND(IF(metadata!Z183="",FALSE,TRUE),OR(EXACT(metadata!Z183,"missing: not collected"),EXACT(metadata!Z183,"missing: not provided"))),AND(IF(metadata!Z183="",FALSE,IF(ISERROR(INT(metadata!Z183)),FALSE,INT(metadata!Z183)=metadata!Z183)),metadata!Z183&gt;0))</f>
        <v>0</v>
      </c>
      <c r="BL183" t="b">
        <f>AND(IF(metadata!AA183="",FALSE,TRUE),EXACT(metadata!AA183,"Not applicable"))</f>
        <v>0</v>
      </c>
      <c r="BM183" t="b">
        <f>IF(metadata!AB183="",FALSE,TRUE)</f>
        <v>0</v>
      </c>
    </row>
    <row r="184" spans="1:65" x14ac:dyDescent="0.2">
      <c r="A184" s="5" t="str">
        <f ca="1">IF(B184=" "," ",HYPERLINK(CONCATENATE("#metadata!",ADDRESS(INDEX($AH$2:$AH$1001,MATCH(ROWS($AF$2:AF184),$AF$2:$AF$1001,0),0),1)),INDEX($AK$2:$AK$1001,MATCH(ROWS($AF$2:AF184),$AF$2:$AF$1001,0),0)))</f>
        <v xml:space="preserve"> </v>
      </c>
      <c r="B184" s="4" t="str">
        <f ca="1">IF(OR(INDEX($AG$2:$AG$1001,MATCH(ROWS($AF$2:AF184),$AF$2:$AF$1001,0),1)&gt;=100000,INDEX($AM$1005:$BM$1005,1,MATCH(COLUMNS($AM$1006:AM1006),$AM$1006:$BM$1006,0))&gt;=100000), " ",IF(INDEX($AM$2:$BM$1001,MATCH(ROWS($AF$2:AF184),$AF$2:$AF$1001,0),MATCH(COLUMNS($AM$1006:AM1006),$AM$1006:$BM$1006,0)), HYPERLINK("#",""), HYPERLINK(CONCATENATE("#metadata!", ADDRESS(INDEX($AH$2:$AH$1001,MATCH(ROWS($AF$2:AF184),$AF$2:$AF$1001,0),0), INDEX($AM$1004:$BM$1004,1,MATCH(COLUMNS($AM$1006:AM1006),$AM$1006:$BM$1006,0)))),"Fix")))</f>
        <v xml:space="preserve"> </v>
      </c>
      <c r="C184" s="4" t="str">
        <f ca="1">IF(OR(INDEX($AG$2:$AG$1001,MATCH(ROWS($AF$2:AF184),$AF$2:$AF$1001,0),1)&gt;=100000,INDEX($AM$1005:$BM$1005,1,MATCH(COLUMNS($AM$1006:AN1006),$AM$1006:$BM$1006,0))&gt;=100000), " ",IF(INDEX($AM$2:$BM$1001,MATCH(ROWS($AF$2:AF184),$AF$2:$AF$1001,0),MATCH(COLUMNS($AM$1006:AN1006),$AM$1006:$BM$1006,0)), HYPERLINK("#",""), HYPERLINK(CONCATENATE("#metadata!", ADDRESS(INDEX($AH$2:$AH$1001,MATCH(ROWS($AF$2:AF184),$AF$2:$AF$1001,0),0), INDEX($AM$1004:$BM$1004,1,MATCH(COLUMNS($AM$1006:AN1006),$AM$1006:$BM$1006,0)))),"Fix")))</f>
        <v xml:space="preserve"> </v>
      </c>
      <c r="D184" s="4" t="str">
        <f ca="1">IF(OR(INDEX($AG$2:$AG$1001,MATCH(ROWS($AF$2:AF184),$AF$2:$AF$1001,0),1)&gt;=100000,INDEX($AM$1005:$BM$1005,1,MATCH(COLUMNS($AM$1006:AO1006),$AM$1006:$BM$1006,0))&gt;=100000), " ",IF(INDEX($AM$2:$BM$1001,MATCH(ROWS($AF$2:AF184),$AF$2:$AF$1001,0),MATCH(COLUMNS($AM$1006:AO1006),$AM$1006:$BM$1006,0)), HYPERLINK("#",""), HYPERLINK(CONCATENATE("#metadata!", ADDRESS(INDEX($AH$2:$AH$1001,MATCH(ROWS($AF$2:AF184),$AF$2:$AF$1001,0),0), INDEX($AM$1004:$BM$1004,1,MATCH(COLUMNS($AM$1006:AO1006),$AM$1006:$BM$1006,0)))),"Fix")))</f>
        <v xml:space="preserve"> </v>
      </c>
      <c r="E184" s="4" t="str">
        <f ca="1">IF(OR(INDEX($AG$2:$AG$1001,MATCH(ROWS($AF$2:AF184),$AF$2:$AF$1001,0),1)&gt;=100000,INDEX($AM$1005:$BM$1005,1,MATCH(COLUMNS($AM$1006:AP1006),$AM$1006:$BM$1006,0))&gt;=100000), " ",IF(INDEX($AM$2:$BM$1001,MATCH(ROWS($AF$2:AF184),$AF$2:$AF$1001,0),MATCH(COLUMNS($AM$1006:AP1006),$AM$1006:$BM$1006,0)), HYPERLINK("#",""), HYPERLINK(CONCATENATE("#metadata!", ADDRESS(INDEX($AH$2:$AH$1001,MATCH(ROWS($AF$2:AF184),$AF$2:$AF$1001,0),0), INDEX($AM$1004:$BM$1004,1,MATCH(COLUMNS($AM$1006:AP1006),$AM$1006:$BM$1006,0)))),"Fix")))</f>
        <v xml:space="preserve"> </v>
      </c>
      <c r="F184" s="4" t="str">
        <f ca="1">IF(OR(INDEX($AG$2:$AG$1001,MATCH(ROWS($AF$2:AF184),$AF$2:$AF$1001,0),1)&gt;=100000,INDEX($AM$1005:$BM$1005,1,MATCH(COLUMNS($AM$1006:AQ1006),$AM$1006:$BM$1006,0))&gt;=100000), " ",IF(INDEX($AM$2:$BM$1001,MATCH(ROWS($AF$2:AF184),$AF$2:$AF$1001,0),MATCH(COLUMNS($AM$1006:AQ1006),$AM$1006:$BM$1006,0)), HYPERLINK("#",""), HYPERLINK(CONCATENATE("#metadata!", ADDRESS(INDEX($AH$2:$AH$1001,MATCH(ROWS($AF$2:AF184),$AF$2:$AF$1001,0),0), INDEX($AM$1004:$BM$1004,1,MATCH(COLUMNS($AM$1006:AQ1006),$AM$1006:$BM$1006,0)))),"Fix")))</f>
        <v xml:space="preserve"> </v>
      </c>
      <c r="G184" s="4" t="str">
        <f ca="1">IF(OR(INDEX($AG$2:$AG$1001,MATCH(ROWS($AF$2:AF184),$AF$2:$AF$1001,0),1)&gt;=100000,INDEX($AM$1005:$BM$1005,1,MATCH(COLUMNS($AM$1006:AR1006),$AM$1006:$BM$1006,0))&gt;=100000), " ",IF(INDEX($AM$2:$BM$1001,MATCH(ROWS($AF$2:AF184),$AF$2:$AF$1001,0),MATCH(COLUMNS($AM$1006:AR1006),$AM$1006:$BM$1006,0)), HYPERLINK("#",""), HYPERLINK(CONCATENATE("#metadata!", ADDRESS(INDEX($AH$2:$AH$1001,MATCH(ROWS($AF$2:AF184),$AF$2:$AF$1001,0),0), INDEX($AM$1004:$BM$1004,1,MATCH(COLUMNS($AM$1006:AR1006),$AM$1006:$BM$1006,0)))),"Fix")))</f>
        <v xml:space="preserve"> </v>
      </c>
      <c r="H184" s="4" t="str">
        <f ca="1">IF(OR(INDEX($AG$2:$AG$1001,MATCH(ROWS($AF$2:AF184),$AF$2:$AF$1001,0),1)&gt;=100000,INDEX($AM$1005:$BM$1005,1,MATCH(COLUMNS($AM$1006:AS1006),$AM$1006:$BM$1006,0))&gt;=100000), " ",IF(INDEX($AM$2:$BM$1001,MATCH(ROWS($AF$2:AF184),$AF$2:$AF$1001,0),MATCH(COLUMNS($AM$1006:AS1006),$AM$1006:$BM$1006,0)), HYPERLINK("#",""), HYPERLINK(CONCATENATE("#metadata!", ADDRESS(INDEX($AH$2:$AH$1001,MATCH(ROWS($AF$2:AF184),$AF$2:$AF$1001,0),0), INDEX($AM$1004:$BM$1004,1,MATCH(COLUMNS($AM$1006:AS1006),$AM$1006:$BM$1006,0)))),"Fix")))</f>
        <v xml:space="preserve"> </v>
      </c>
      <c r="I184" s="4" t="str">
        <f ca="1">IF(OR(INDEX($AG$2:$AG$1001,MATCH(ROWS($AF$2:AF184),$AF$2:$AF$1001,0),1)&gt;=100000,INDEX($AM$1005:$BM$1005,1,MATCH(COLUMNS($AM$1006:AT1006),$AM$1006:$BM$1006,0))&gt;=100000), " ",IF(INDEX($AM$2:$BM$1001,MATCH(ROWS($AF$2:AF184),$AF$2:$AF$1001,0),MATCH(COLUMNS($AM$1006:AT1006),$AM$1006:$BM$1006,0)), HYPERLINK("#",""), HYPERLINK(CONCATENATE("#metadata!", ADDRESS(INDEX($AH$2:$AH$1001,MATCH(ROWS($AF$2:AF184),$AF$2:$AF$1001,0),0), INDEX($AM$1004:$BM$1004,1,MATCH(COLUMNS($AM$1006:AT1006),$AM$1006:$BM$1006,0)))),"Fix")))</f>
        <v xml:space="preserve"> </v>
      </c>
      <c r="J184" s="4" t="str">
        <f ca="1">IF(OR(INDEX($AG$2:$AG$1001,MATCH(ROWS($AF$2:AF184),$AF$2:$AF$1001,0),1)&gt;=100000,INDEX($AM$1005:$BM$1005,1,MATCH(COLUMNS($AM$1006:AU1006),$AM$1006:$BM$1006,0))&gt;=100000), " ",IF(INDEX($AM$2:$BM$1001,MATCH(ROWS($AF$2:AF184),$AF$2:$AF$1001,0),MATCH(COLUMNS($AM$1006:AU1006),$AM$1006:$BM$1006,0)), HYPERLINK("#",""), HYPERLINK(CONCATENATE("#metadata!", ADDRESS(INDEX($AH$2:$AH$1001,MATCH(ROWS($AF$2:AF184),$AF$2:$AF$1001,0),0), INDEX($AM$1004:$BM$1004,1,MATCH(COLUMNS($AM$1006:AU1006),$AM$1006:$BM$1006,0)))),"Fix")))</f>
        <v xml:space="preserve"> </v>
      </c>
      <c r="K184" s="4" t="str">
        <f ca="1">IF(OR(INDEX($AG$2:$AG$1001,MATCH(ROWS($AF$2:AF184),$AF$2:$AF$1001,0),1)&gt;=100000,INDEX($AM$1005:$BM$1005,1,MATCH(COLUMNS($AM$1006:AV1006),$AM$1006:$BM$1006,0))&gt;=100000), " ",IF(INDEX($AM$2:$BM$1001,MATCH(ROWS($AF$2:AF184),$AF$2:$AF$1001,0),MATCH(COLUMNS($AM$1006:AV1006),$AM$1006:$BM$1006,0)), HYPERLINK("#",""), HYPERLINK(CONCATENATE("#metadata!", ADDRESS(INDEX($AH$2:$AH$1001,MATCH(ROWS($AF$2:AF184),$AF$2:$AF$1001,0),0), INDEX($AM$1004:$BM$1004,1,MATCH(COLUMNS($AM$1006:AV1006),$AM$1006:$BM$1006,0)))),"Fix")))</f>
        <v xml:space="preserve"> </v>
      </c>
      <c r="L184" s="4" t="str">
        <f ca="1">IF(OR(INDEX($AG$2:$AG$1001,MATCH(ROWS($AF$2:AF184),$AF$2:$AF$1001,0),1)&gt;=100000,INDEX($AM$1005:$BM$1005,1,MATCH(COLUMNS($AM$1006:AW1006),$AM$1006:$BM$1006,0))&gt;=100000), " ",IF(INDEX($AM$2:$BM$1001,MATCH(ROWS($AF$2:AF184),$AF$2:$AF$1001,0),MATCH(COLUMNS($AM$1006:AW1006),$AM$1006:$BM$1006,0)), HYPERLINK("#",""), HYPERLINK(CONCATENATE("#metadata!", ADDRESS(INDEX($AH$2:$AH$1001,MATCH(ROWS($AF$2:AF184),$AF$2:$AF$1001,0),0), INDEX($AM$1004:$BM$1004,1,MATCH(COLUMNS($AM$1006:AW1006),$AM$1006:$BM$1006,0)))),"Fix")))</f>
        <v xml:space="preserve"> </v>
      </c>
      <c r="M184" s="4" t="str">
        <f ca="1">IF(OR(INDEX($AG$2:$AG$1001,MATCH(ROWS($AF$2:AF184),$AF$2:$AF$1001,0),1)&gt;=100000,INDEX($AM$1005:$BM$1005,1,MATCH(COLUMNS($AM$1006:AX1006),$AM$1006:$BM$1006,0))&gt;=100000), " ",IF(INDEX($AM$2:$BM$1001,MATCH(ROWS($AF$2:AF184),$AF$2:$AF$1001,0),MATCH(COLUMNS($AM$1006:AX1006),$AM$1006:$BM$1006,0)), HYPERLINK("#",""), HYPERLINK(CONCATENATE("#metadata!", ADDRESS(INDEX($AH$2:$AH$1001,MATCH(ROWS($AF$2:AF184),$AF$2:$AF$1001,0),0), INDEX($AM$1004:$BM$1004,1,MATCH(COLUMNS($AM$1006:AX1006),$AM$1006:$BM$1006,0)))),"Fix")))</f>
        <v xml:space="preserve"> </v>
      </c>
      <c r="N184" s="4" t="str">
        <f ca="1">IF(OR(INDEX($AG$2:$AG$1001,MATCH(ROWS($AF$2:AF184),$AF$2:$AF$1001,0),1)&gt;=100000,INDEX($AM$1005:$BM$1005,1,MATCH(COLUMNS($AM$1006:AY1006),$AM$1006:$BM$1006,0))&gt;=100000), " ",IF(INDEX($AM$2:$BM$1001,MATCH(ROWS($AF$2:AF184),$AF$2:$AF$1001,0),MATCH(COLUMNS($AM$1006:AY1006),$AM$1006:$BM$1006,0)), HYPERLINK("#",""), HYPERLINK(CONCATENATE("#metadata!", ADDRESS(INDEX($AH$2:$AH$1001,MATCH(ROWS($AF$2:AF184),$AF$2:$AF$1001,0),0), INDEX($AM$1004:$BM$1004,1,MATCH(COLUMNS($AM$1006:AY1006),$AM$1006:$BM$1006,0)))),"Fix")))</f>
        <v xml:space="preserve"> </v>
      </c>
      <c r="O184" s="4" t="str">
        <f ca="1">IF(OR(INDEX($AG$2:$AG$1001,MATCH(ROWS($AF$2:AF184),$AF$2:$AF$1001,0),1)&gt;=100000,INDEX($AM$1005:$BM$1005,1,MATCH(COLUMNS($AM$1006:AZ1006),$AM$1006:$BM$1006,0))&gt;=100000), " ",IF(INDEX($AM$2:$BM$1001,MATCH(ROWS($AF$2:AF184),$AF$2:$AF$1001,0),MATCH(COLUMNS($AM$1006:AZ1006),$AM$1006:$BM$1006,0)), HYPERLINK("#",""), HYPERLINK(CONCATENATE("#metadata!", ADDRESS(INDEX($AH$2:$AH$1001,MATCH(ROWS($AF$2:AF184),$AF$2:$AF$1001,0),0), INDEX($AM$1004:$BM$1004,1,MATCH(COLUMNS($AM$1006:AZ1006),$AM$1006:$BM$1006,0)))),"Fix")))</f>
        <v xml:space="preserve"> </v>
      </c>
      <c r="P184" s="4" t="str">
        <f ca="1">IF(OR(INDEX($AG$2:$AG$1001,MATCH(ROWS($AF$2:AF184),$AF$2:$AF$1001,0),1)&gt;=100000,INDEX($AM$1005:$BM$1005,1,MATCH(COLUMNS($AM$1006:BA1006),$AM$1006:$BM$1006,0))&gt;=100000), " ",IF(INDEX($AM$2:$BM$1001,MATCH(ROWS($AF$2:AF184),$AF$2:$AF$1001,0),MATCH(COLUMNS($AM$1006:BA1006),$AM$1006:$BM$1006,0)), HYPERLINK("#",""), HYPERLINK(CONCATENATE("#metadata!", ADDRESS(INDEX($AH$2:$AH$1001,MATCH(ROWS($AF$2:AF184),$AF$2:$AF$1001,0),0), INDEX($AM$1004:$BM$1004,1,MATCH(COLUMNS($AM$1006:BA1006),$AM$1006:$BM$1006,0)))),"Fix")))</f>
        <v xml:space="preserve"> </v>
      </c>
      <c r="Q184" s="4" t="str">
        <f ca="1">IF(OR(INDEX($AG$2:$AG$1001,MATCH(ROWS($AF$2:AF184),$AF$2:$AF$1001,0),1)&gt;=100000,INDEX($AM$1005:$BM$1005,1,MATCH(COLUMNS($AM$1006:BB1006),$AM$1006:$BM$1006,0))&gt;=100000), " ",IF(INDEX($AM$2:$BM$1001,MATCH(ROWS($AF$2:AF184),$AF$2:$AF$1001,0),MATCH(COLUMNS($AM$1006:BB1006),$AM$1006:$BM$1006,0)), HYPERLINK("#",""), HYPERLINK(CONCATENATE("#metadata!", ADDRESS(INDEX($AH$2:$AH$1001,MATCH(ROWS($AF$2:AF184),$AF$2:$AF$1001,0),0), INDEX($AM$1004:$BM$1004,1,MATCH(COLUMNS($AM$1006:BB1006),$AM$1006:$BM$1006,0)))),"Fix")))</f>
        <v xml:space="preserve"> </v>
      </c>
      <c r="R184" s="4" t="str">
        <f ca="1">IF(OR(INDEX($AG$2:$AG$1001,MATCH(ROWS($AF$2:AF184),$AF$2:$AF$1001,0),1)&gt;=100000,INDEX($AM$1005:$BM$1005,1,MATCH(COLUMNS($AM$1006:BC1006),$AM$1006:$BM$1006,0))&gt;=100000), " ",IF(INDEX($AM$2:$BM$1001,MATCH(ROWS($AF$2:AF184),$AF$2:$AF$1001,0),MATCH(COLUMNS($AM$1006:BC1006),$AM$1006:$BM$1006,0)), HYPERLINK("#",""), HYPERLINK(CONCATENATE("#metadata!", ADDRESS(INDEX($AH$2:$AH$1001,MATCH(ROWS($AF$2:AF184),$AF$2:$AF$1001,0),0), INDEX($AM$1004:$BM$1004,1,MATCH(COLUMNS($AM$1006:BC1006),$AM$1006:$BM$1006,0)))),"Fix")))</f>
        <v xml:space="preserve"> </v>
      </c>
      <c r="S184" s="4" t="str">
        <f ca="1">IF(OR(INDEX($AG$2:$AG$1001,MATCH(ROWS($AF$2:AF184),$AF$2:$AF$1001,0),1)&gt;=100000,INDEX($AM$1005:$BM$1005,1,MATCH(COLUMNS($AM$1006:BD1006),$AM$1006:$BM$1006,0))&gt;=100000), " ",IF(INDEX($AM$2:$BM$1001,MATCH(ROWS($AF$2:AF184),$AF$2:$AF$1001,0),MATCH(COLUMNS($AM$1006:BD1006),$AM$1006:$BM$1006,0)), HYPERLINK("#",""), HYPERLINK(CONCATENATE("#metadata!", ADDRESS(INDEX($AH$2:$AH$1001,MATCH(ROWS($AF$2:AF184),$AF$2:$AF$1001,0),0), INDEX($AM$1004:$BM$1004,1,MATCH(COLUMNS($AM$1006:BD1006),$AM$1006:$BM$1006,0)))),"Fix")))</f>
        <v xml:space="preserve"> </v>
      </c>
      <c r="T184" s="4" t="str">
        <f ca="1">IF(OR(INDEX($AG$2:$AG$1001,MATCH(ROWS($AF$2:AF184),$AF$2:$AF$1001,0),1)&gt;=100000,INDEX($AM$1005:$BM$1005,1,MATCH(COLUMNS($AM$1006:BE1006),$AM$1006:$BM$1006,0))&gt;=100000), " ",IF(INDEX($AM$2:$BM$1001,MATCH(ROWS($AF$2:AF184),$AF$2:$AF$1001,0),MATCH(COLUMNS($AM$1006:BE1006),$AM$1006:$BM$1006,0)), HYPERLINK("#",""), HYPERLINK(CONCATENATE("#metadata!", ADDRESS(INDEX($AH$2:$AH$1001,MATCH(ROWS($AF$2:AF184),$AF$2:$AF$1001,0),0), INDEX($AM$1004:$BM$1004,1,MATCH(COLUMNS($AM$1006:BE1006),$AM$1006:$BM$1006,0)))),"Fix")))</f>
        <v xml:space="preserve"> </v>
      </c>
      <c r="U184" s="4" t="str">
        <f ca="1">IF(OR(INDEX($AG$2:$AG$1001,MATCH(ROWS($AF$2:AF184),$AF$2:$AF$1001,0),1)&gt;=100000,INDEX($AM$1005:$BM$1005,1,MATCH(COLUMNS($AM$1006:BF1006),$AM$1006:$BM$1006,0))&gt;=100000), " ",IF(INDEX($AM$2:$BM$1001,MATCH(ROWS($AF$2:AF184),$AF$2:$AF$1001,0),MATCH(COLUMNS($AM$1006:BF1006),$AM$1006:$BM$1006,0)), HYPERLINK("#",""), HYPERLINK(CONCATENATE("#metadata!", ADDRESS(INDEX($AH$2:$AH$1001,MATCH(ROWS($AF$2:AF184),$AF$2:$AF$1001,0),0), INDEX($AM$1004:$BM$1004,1,MATCH(COLUMNS($AM$1006:BF1006),$AM$1006:$BM$1006,0)))),"Fix")))</f>
        <v xml:space="preserve"> </v>
      </c>
      <c r="V184" s="4" t="str">
        <f ca="1">IF(OR(INDEX($AG$2:$AG$1001,MATCH(ROWS($AF$2:AF184),$AF$2:$AF$1001,0),1)&gt;=100000,INDEX($AM$1005:$BM$1005,1,MATCH(COLUMNS($AM$1006:BG1006),$AM$1006:$BM$1006,0))&gt;=100000), " ",IF(INDEX($AM$2:$BM$1001,MATCH(ROWS($AF$2:AF184),$AF$2:$AF$1001,0),MATCH(COLUMNS($AM$1006:BG1006),$AM$1006:$BM$1006,0)), HYPERLINK("#",""), HYPERLINK(CONCATENATE("#metadata!", ADDRESS(INDEX($AH$2:$AH$1001,MATCH(ROWS($AF$2:AF184),$AF$2:$AF$1001,0),0), INDEX($AM$1004:$BM$1004,1,MATCH(COLUMNS($AM$1006:BG1006),$AM$1006:$BM$1006,0)))),"Fix")))</f>
        <v xml:space="preserve"> </v>
      </c>
      <c r="W184" s="4" t="str">
        <f ca="1">IF(OR(INDEX($AG$2:$AG$1001,MATCH(ROWS($AF$2:AF184),$AF$2:$AF$1001,0),1)&gt;=100000,INDEX($AM$1005:$BM$1005,1,MATCH(COLUMNS($AM$1006:BH1006),$AM$1006:$BM$1006,0))&gt;=100000), " ",IF(INDEX($AM$2:$BM$1001,MATCH(ROWS($AF$2:AF184),$AF$2:$AF$1001,0),MATCH(COLUMNS($AM$1006:BH1006),$AM$1006:$BM$1006,0)), HYPERLINK("#",""), HYPERLINK(CONCATENATE("#metadata!", ADDRESS(INDEX($AH$2:$AH$1001,MATCH(ROWS($AF$2:AF184),$AF$2:$AF$1001,0),0), INDEX($AM$1004:$BM$1004,1,MATCH(COLUMNS($AM$1006:BH1006),$AM$1006:$BM$1006,0)))),"Fix")))</f>
        <v xml:space="preserve"> </v>
      </c>
      <c r="X184" s="4" t="str">
        <f ca="1">IF(OR(INDEX($AG$2:$AG$1001,MATCH(ROWS($AF$2:AF184),$AF$2:$AF$1001,0),1)&gt;=100000,INDEX($AM$1005:$BM$1005,1,MATCH(COLUMNS($AM$1006:BI1006),$AM$1006:$BM$1006,0))&gt;=100000), " ",IF(INDEX($AM$2:$BM$1001,MATCH(ROWS($AF$2:AF184),$AF$2:$AF$1001,0),MATCH(COLUMNS($AM$1006:BI1006),$AM$1006:$BM$1006,0)), HYPERLINK("#",""), HYPERLINK(CONCATENATE("#metadata!", ADDRESS(INDEX($AH$2:$AH$1001,MATCH(ROWS($AF$2:AF184),$AF$2:$AF$1001,0),0), INDEX($AM$1004:$BM$1004,1,MATCH(COLUMNS($AM$1006:BI1006),$AM$1006:$BM$1006,0)))),"Fix")))</f>
        <v xml:space="preserve"> </v>
      </c>
      <c r="Y184" s="4" t="str">
        <f ca="1">IF(OR(INDEX($AG$2:$AG$1001,MATCH(ROWS($AF$2:AF184),$AF$2:$AF$1001,0),1)&gt;=100000,INDEX($AM$1005:$BM$1005,1,MATCH(COLUMNS($AM$1006:BJ1006),$AM$1006:$BM$1006,0))&gt;=100000), " ",IF(INDEX($AM$2:$BM$1001,MATCH(ROWS($AF$2:AF184),$AF$2:$AF$1001,0),MATCH(COLUMNS($AM$1006:BJ1006),$AM$1006:$BM$1006,0)), HYPERLINK("#",""), HYPERLINK(CONCATENATE("#metadata!", ADDRESS(INDEX($AH$2:$AH$1001,MATCH(ROWS($AF$2:AF184),$AF$2:$AF$1001,0),0), INDEX($AM$1004:$BM$1004,1,MATCH(COLUMNS($AM$1006:BJ1006),$AM$1006:$BM$1006,0)))),"Fix")))</f>
        <v xml:space="preserve"> </v>
      </c>
      <c r="Z184" s="4" t="str">
        <f ca="1">IF(OR(INDEX($AG$2:$AG$1001,MATCH(ROWS($AF$2:AF184),$AF$2:$AF$1001,0),1)&gt;=100000,INDEX($AM$1005:$BM$1005,1,MATCH(COLUMNS($AM$1006:BK1006),$AM$1006:$BM$1006,0))&gt;=100000), " ",IF(INDEX($AM$2:$BM$1001,MATCH(ROWS($AF$2:AF184),$AF$2:$AF$1001,0),MATCH(COLUMNS($AM$1006:BK1006),$AM$1006:$BM$1006,0)), HYPERLINK("#",""), HYPERLINK(CONCATENATE("#metadata!", ADDRESS(INDEX($AH$2:$AH$1001,MATCH(ROWS($AF$2:AF184),$AF$2:$AF$1001,0),0), INDEX($AM$1004:$BM$1004,1,MATCH(COLUMNS($AM$1006:BK1006),$AM$1006:$BM$1006,0)))),"Fix")))</f>
        <v xml:space="preserve"> </v>
      </c>
      <c r="AA184" s="4" t="str">
        <f ca="1">IF(OR(INDEX($AG$2:$AG$1001,MATCH(ROWS($AF$2:AF184),$AF$2:$AF$1001,0),1)&gt;=100000,INDEX($AM$1005:$BM$1005,1,MATCH(COLUMNS($AM$1006:BL1006),$AM$1006:$BM$1006,0))&gt;=100000), " ",IF(INDEX($AM$2:$BM$1001,MATCH(ROWS($AF$2:AF184),$AF$2:$AF$1001,0),MATCH(COLUMNS($AM$1006:BL1006),$AM$1006:$BM$1006,0)), HYPERLINK("#",""), HYPERLINK(CONCATENATE("#metadata!", ADDRESS(INDEX($AH$2:$AH$1001,MATCH(ROWS($AF$2:AF184),$AF$2:$AF$1001,0),0), INDEX($AM$1004:$BM$1004,1,MATCH(COLUMNS($AM$1006:BL1006),$AM$1006:$BM$1006,0)))),"Fix")))</f>
        <v xml:space="preserve"> </v>
      </c>
      <c r="AB184" s="4" t="str">
        <f ca="1">IF(OR(INDEX($AG$2:$AG$1001,MATCH(ROWS($AF$2:AF184),$AF$2:$AF$1001,0),1)&gt;=100000,INDEX($AM$1005:$BM$1005,1,MATCH(COLUMNS($AM$1006:BM1006),$AM$1006:$BM$1006,0))&gt;=100000), " ",IF(INDEX($AM$2:$BM$1001,MATCH(ROWS($AF$2:AF184),$AF$2:$AF$1001,0),MATCH(COLUMNS($AM$1006:BM1006),$AM$1006:$BM$1006,0)), HYPERLINK("#",""), HYPERLINK(CONCATENATE("#metadata!", ADDRESS(INDEX($AH$2:$AH$1001,MATCH(ROWS($AF$2:AF184),$AF$2:$AF$1001,0),0), INDEX($AM$1004:$BM$1004,1,MATCH(COLUMNS($AM$1006:BM1006),$AM$1006:$BM$1006,0)))),"Fix")))</f>
        <v xml:space="preserve"> </v>
      </c>
      <c r="AF184">
        <v>183</v>
      </c>
      <c r="AG184">
        <v>100184</v>
      </c>
      <c r="AH184">
        <v>184</v>
      </c>
      <c r="AI184" t="b">
        <f t="shared" si="2"/>
        <v>1</v>
      </c>
      <c r="AJ184" t="b">
        <f>COUNTBLANK(metadata!B184:AB184)=COLUMNS(metadata!B184:AB184)</f>
        <v>1</v>
      </c>
      <c r="AK184" t="str">
        <v/>
      </c>
      <c r="AM184" t="b">
        <f ca="1">AND(IF(metadata!B184="",FALSE,TRUE),COUNTIF(metadata!B:B, metadata!B184) = 1,NOT(ISERROR(SUMPRODUCT(SEARCH(MID(metadata!B184,ROW(INDIRECT("1:"&amp;LEN(metadata!B184))), 1),"0123456789abcdefghijklmnopqrstuvwxyzABCDEFGHIJKLMNOPQRSTUVWXYZ.")))))</f>
        <v>0</v>
      </c>
      <c r="AN184" t="b">
        <f ca="1">OR(AND(IF(metadata!C184="",FALSE,TRUE),OR(EXACT(metadata!C184,"missing: not collected"),EXACT(metadata!C184,"missing: not provided"),EXACT(metadata!C184,"missing: restricted access"))),AND(IF(metadata!C184="",FALSE,TRUE),AND(AND(IFERROR(INT(LEFT(metadata!C184,4))&gt;1900,FALSE),IFERROR(INT(LEFT(metadata!C184,4))&lt;=YEAR(NOW()),FALSE)), OR(MID(metadata!C184,5,1)="", AND(AND(MID(metadata!C184,5,1)="-",IFERROR(INT(MID(metadata!C184,6,1))&gt;=0,FALSE),IFERROR(INT(MID(metadata!C184,6,1))&lt;=1,FALSE),NOT(MID(metadata!C184,7,1)=""),IFERROR(INT(MID(metadata!C184,6,2))&gt;=1,FALSE),IFERROR(INT(MID(metadata!C184,6,2))&lt;=12,FALSE)), OR(MID(metadata!C184,8,1)="", AND(AND(MID(metadata!C184,8,1)="-",IFERROR(INT(MID(metadata!C184,9,1))&gt;=0,FALSE),IFERROR(INT(MID(metadata!C184,9,1))&lt;=3,FALSE),NOT(MID(metadata!C184,10,1)=""),IFERROR(INT(MID(metadata!C184,9,2))&gt;=1,FALSE),IFERROR(INT(MID(metadata!C184,9,2))&lt;=31,FALSE)), OR(MID(metadata!C184,11,1)="", AND(AND(MID(metadata!C184,11,1)=" ",IFERROR(INT(MID(metadata!C184,12,1))&gt;=0,FALSE),IFERROR(INT(MID(metadata!C184,12,1))&lt;=2,FALSE),NOT(MID(metadata!C184,13,1)=""),IFERROR(INT(MID(metadata!C184,12,2))&gt;=0,FALSE),IFERROR(INT(MID(metadata!C184,12,2))&lt;=23,FALSE)), OR(MID(metadata!C184,14,1)="", AND(AND(MID(metadata!C184,14,1)=":",IFERROR(INT(MID(metadata!C184,15,1))&gt;=0,FALSE),IFERROR(INT(MID(metadata!C184,15,1))&lt;=5,FALSE),NOT(MID(metadata!C184,16,1)=""),IFERROR(INT(MID(metadata!C184,15,2))&gt;=0,FALSE),IFERROR(INT(MID(metadata!C184,15,2))&lt;=59,FALSE)), OR(MID(metadata!C184,17,1)="", AND(AND(MID(metadata!C184,17,1)=":",IFERROR(INT(MID(metadata!C184,18,1))&gt;=0,FALSE),IFERROR(INT(MID(metadata!C184,18,1))&lt;=5,FALSE),NOT(MID(metadata!C184,19,1)=""),IFERROR(INT(MID(metadata!C184,18,2))&gt;=0,FALSE),IFERROR(INT(MID(metadata!C184,18,2))&lt;=59,FALSE)), LEN(metadata!C184)&lt;=19)))))))))))))</f>
        <v>0</v>
      </c>
      <c r="AO184" t="b">
        <f>AND(IF(metadata!D184="",FALSE,TRUE),EXACT(metadata!D184,"Not applicable"))</f>
        <v>0</v>
      </c>
      <c r="AP184" t="b">
        <f>IF(metadata!E184="",FALSE,TRUE)</f>
        <v>0</v>
      </c>
      <c r="AQ184" t="b">
        <f>OR(AND(IF(metadata!F184="",FALSE,TRUE),OR(EXACT(metadata!F184,"missing: not collected"),EXACT(metadata!F184,"missing: not provided"))),AND(IF(metadata!F184="",FALSE,TRUE),OR(EXACT(metadata!F184,"TRUE"),EXACT(metadata!F184,"FALSE"))))</f>
        <v>0</v>
      </c>
      <c r="AR184" t="b">
        <f>OR(AND(IF(metadata!G184="",FALSE,TRUE),OR(EXACT(metadata!G184,"missing: not collected"),EXACT(metadata!G184,"missing: not provided"),EXACT(metadata!G184,"missing: restricted access"))),AND(IF(metadata!G184="",FALSE,ISNUMBER(VALUE(metadata!G184))),metadata!G184&gt;=-413))</f>
        <v>0</v>
      </c>
      <c r="AS184" t="b">
        <f>AND(IF(metadata!H184="",FALSE,TRUE),EXACT(metadata!H184,"meters"))</f>
        <v>0</v>
      </c>
      <c r="AT184" t="b">
        <f>AND(IF(metadata!I184="",FALSE,TRUE),OR(EXACT(metadata!I184,"Host-associated"),EXACT(metadata!I184,"Free-living")))</f>
        <v>0</v>
      </c>
      <c r="AU184" t="b">
        <f>AND(IF(metadata!J184="",FALSE,TRUE),OR(EXACT(metadata!J184,"Animal"),EXACT(metadata!J184,"Fungus"),EXACT(metadata!J184,"Plant"),EXACT(metadata!J184,"Saline"),EXACT(metadata!J184,"Non-saline")))</f>
        <v>0</v>
      </c>
      <c r="AV184" t="b">
        <f>AND(IF(metadata!K184="",FALSE,TRUE),OR(EXACT(metadata!K184,"Plant secretion"),EXACT(metadata!K184,"Plant rhizosphere"),EXACT(metadata!K184,"Plant surface"),EXACT(metadata!K184,"Plant corpus"),EXACT(metadata!K184,"Fungus surface"),EXACT(metadata!K184,"Fungus corpus"),EXACT(metadata!K184,"Animal surface"),EXACT(metadata!K184,"Animal proximal gut"),EXACT(metadata!K184,"Animal corpus"),EXACT(metadata!K184,"Animal distal gut"),EXACT(metadata!K184,"Animal secretion"),EXACT(metadata!K184,"Sub-surface (non-saline)"),EXACT(metadata!K184,"Surface (non-saline)"),EXACT(metadata!K184,"Water (non-saline)"),EXACT(metadata!K184,"Soil (non-saline)"),EXACT(metadata!K184,"Aerosol (non-saline)"),EXACT(metadata!K184,"Sediment (non-saline)"),EXACT(metadata!K184,"Surface (saline)"),EXACT(metadata!K184,"Water (saline)"),EXACT(metadata!K184,"Hypersaline (saline)"),EXACT(metadata!K184,"Aerosol (saline)"),EXACT(metadata!K184,"Sediment (saline)")))</f>
        <v>0</v>
      </c>
      <c r="AW184" t="b">
        <f>IF(metadata!L184="",FALSE,TRUE)</f>
        <v>0</v>
      </c>
      <c r="AX184" t="b">
        <f>IF(metadata!M184="",FALSE,TRUE)</f>
        <v>0</v>
      </c>
      <c r="AY184" t="b">
        <f>IF(metadata!N184="",FALSE,TRUE)</f>
        <v>0</v>
      </c>
      <c r="AZ184" t="b">
        <f>OR(AND(IF(metadata!O184="",FALSE,TRUE),OR(EXACT(metadata!O184,"missing: not collected"),EXACT(metadata!O184,"missing: not provided"),EXACT(metadata!O184,"missing: restricted access"))),AND(IF(metadata!O184="",FALSE,TRUE),OR(EXACT(metadata!O184,"air"),EXACT(metadata!O184,"built environment"),EXACT(metadata!O184,"host-associated"),EXACT(metadata!O184,"human-associated"),EXACT(metadata!O184,"human-skin"),EXACT(metadata!O184,"human-oral"),EXACT(metadata!O184,"human-gut"),EXACT(metadata!O184,"human-vaginal"),EXACT(metadata!O184,"microbial mat/biofilm"),EXACT(metadata!O184,"misc environment"),EXACT(metadata!O184,"plant-associated"),EXACT(metadata!O184,"sediment"),EXACT(metadata!O184,"soil"),EXACT(metadata!O184,"wastewater/sludge"),EXACT(metadata!O184,"water"))))</f>
        <v>0</v>
      </c>
      <c r="BA184" t="b">
        <f>IF(metadata!P184="",FALSE,TRUE)</f>
        <v>0</v>
      </c>
      <c r="BB184" t="b">
        <f>IF(metadata!Q184="",FALSE,TRUE)</f>
        <v>0</v>
      </c>
      <c r="BC184" t="b">
        <f>OR(AND(IF(metadata!R184="",FALSE,TRUE),OR(EXACT(metadata!R184,"missing: not collected"),EXACT(metadata!R184,"missing: not provided"),EXACT(metadata!R184,"missing: restricted access"))),AND(IF(metadata!R184="",FALSE,ISNUMBER(VALUE(metadata!R184))),metadata!R184&gt;=-90,metadata!R184&lt;=90))</f>
        <v>0</v>
      </c>
      <c r="BD184" t="b">
        <f>AND(IF(metadata!S184="",FALSE,TRUE),EXACT(metadata!S184,"Decimal degrees"))</f>
        <v>0</v>
      </c>
      <c r="BE184" t="b">
        <f>OR(AND(IF(metadata!T184="",FALSE,TRUE),OR(EXACT(metadata!T184,"missing: not collected"),EXACT(metadata!T184,"missing: not provided"),EXACT(metadata!T184,"missing: restricted access"))),AND(IF(metadata!T184="",FALSE,ISNUMBER(VALUE(metadata!T184))),metadata!T184&gt;=-180,metadata!T184&lt;=180))</f>
        <v>0</v>
      </c>
      <c r="BF184" t="b">
        <f>AND(IF(metadata!U184="",FALSE,TRUE),EXACT(metadata!U184,"Decimal degrees"))</f>
        <v>0</v>
      </c>
      <c r="BG184" t="b">
        <f>IF(metadata!V184="",FALSE,TRUE)</f>
        <v>0</v>
      </c>
      <c r="BH184" t="b">
        <f>OR(AND(IF(metadata!W184="",FALSE,TRUE),OR(EXACT(metadata!W184,"missing: not collected"),EXACT(metadata!W184,"missing: not provided"),EXACT(metadata!W184,"missing: restricted access"))),AND(IF(metadata!W184="",FALSE,TRUE),OR(EXACT(metadata!W184,"TRUE"),EXACT(metadata!W184,"FALSE"))))</f>
        <v>0</v>
      </c>
      <c r="BI184" t="b">
        <f>AND(IF(metadata!X184="",FALSE,TRUE),EXACT(metadata!X184,"other"))</f>
        <v>0</v>
      </c>
      <c r="BJ184" t="b">
        <f>IF(metadata!Y184="",FALSE,TRUE)</f>
        <v>0</v>
      </c>
      <c r="BK184" t="b">
        <f>OR(AND(IF(metadata!Z184="",FALSE,TRUE),OR(EXACT(metadata!Z184,"missing: not collected"),EXACT(metadata!Z184,"missing: not provided"))),AND(IF(metadata!Z184="",FALSE,IF(ISERROR(INT(metadata!Z184)),FALSE,INT(metadata!Z184)=metadata!Z184)),metadata!Z184&gt;0))</f>
        <v>0</v>
      </c>
      <c r="BL184" t="b">
        <f>AND(IF(metadata!AA184="",FALSE,TRUE),EXACT(metadata!AA184,"Not applicable"))</f>
        <v>0</v>
      </c>
      <c r="BM184" t="b">
        <f>IF(metadata!AB184="",FALSE,TRUE)</f>
        <v>0</v>
      </c>
    </row>
    <row r="185" spans="1:65" x14ac:dyDescent="0.2">
      <c r="A185" s="5" t="str">
        <f ca="1">IF(B185=" "," ",HYPERLINK(CONCATENATE("#metadata!",ADDRESS(INDEX($AH$2:$AH$1001,MATCH(ROWS($AF$2:AF185),$AF$2:$AF$1001,0),0),1)),INDEX($AK$2:$AK$1001,MATCH(ROWS($AF$2:AF185),$AF$2:$AF$1001,0),0)))</f>
        <v xml:space="preserve"> </v>
      </c>
      <c r="B185" s="4" t="str">
        <f ca="1">IF(OR(INDEX($AG$2:$AG$1001,MATCH(ROWS($AF$2:AF185),$AF$2:$AF$1001,0),1)&gt;=100000,INDEX($AM$1005:$BM$1005,1,MATCH(COLUMNS($AM$1006:AM1006),$AM$1006:$BM$1006,0))&gt;=100000), " ",IF(INDEX($AM$2:$BM$1001,MATCH(ROWS($AF$2:AF185),$AF$2:$AF$1001,0),MATCH(COLUMNS($AM$1006:AM1006),$AM$1006:$BM$1006,0)), HYPERLINK("#",""), HYPERLINK(CONCATENATE("#metadata!", ADDRESS(INDEX($AH$2:$AH$1001,MATCH(ROWS($AF$2:AF185),$AF$2:$AF$1001,0),0), INDEX($AM$1004:$BM$1004,1,MATCH(COLUMNS($AM$1006:AM1006),$AM$1006:$BM$1006,0)))),"Fix")))</f>
        <v xml:space="preserve"> </v>
      </c>
      <c r="C185" s="4" t="str">
        <f ca="1">IF(OR(INDEX($AG$2:$AG$1001,MATCH(ROWS($AF$2:AF185),$AF$2:$AF$1001,0),1)&gt;=100000,INDEX($AM$1005:$BM$1005,1,MATCH(COLUMNS($AM$1006:AN1006),$AM$1006:$BM$1006,0))&gt;=100000), " ",IF(INDEX($AM$2:$BM$1001,MATCH(ROWS($AF$2:AF185),$AF$2:$AF$1001,0),MATCH(COLUMNS($AM$1006:AN1006),$AM$1006:$BM$1006,0)), HYPERLINK("#",""), HYPERLINK(CONCATENATE("#metadata!", ADDRESS(INDEX($AH$2:$AH$1001,MATCH(ROWS($AF$2:AF185),$AF$2:$AF$1001,0),0), INDEX($AM$1004:$BM$1004,1,MATCH(COLUMNS($AM$1006:AN1006),$AM$1006:$BM$1006,0)))),"Fix")))</f>
        <v xml:space="preserve"> </v>
      </c>
      <c r="D185" s="4" t="str">
        <f ca="1">IF(OR(INDEX($AG$2:$AG$1001,MATCH(ROWS($AF$2:AF185),$AF$2:$AF$1001,0),1)&gt;=100000,INDEX($AM$1005:$BM$1005,1,MATCH(COLUMNS($AM$1006:AO1006),$AM$1006:$BM$1006,0))&gt;=100000), " ",IF(INDEX($AM$2:$BM$1001,MATCH(ROWS($AF$2:AF185),$AF$2:$AF$1001,0),MATCH(COLUMNS($AM$1006:AO1006),$AM$1006:$BM$1006,0)), HYPERLINK("#",""), HYPERLINK(CONCATENATE("#metadata!", ADDRESS(INDEX($AH$2:$AH$1001,MATCH(ROWS($AF$2:AF185),$AF$2:$AF$1001,0),0), INDEX($AM$1004:$BM$1004,1,MATCH(COLUMNS($AM$1006:AO1006),$AM$1006:$BM$1006,0)))),"Fix")))</f>
        <v xml:space="preserve"> </v>
      </c>
      <c r="E185" s="4" t="str">
        <f ca="1">IF(OR(INDEX($AG$2:$AG$1001,MATCH(ROWS($AF$2:AF185),$AF$2:$AF$1001,0),1)&gt;=100000,INDEX($AM$1005:$BM$1005,1,MATCH(COLUMNS($AM$1006:AP1006),$AM$1006:$BM$1006,0))&gt;=100000), " ",IF(INDEX($AM$2:$BM$1001,MATCH(ROWS($AF$2:AF185),$AF$2:$AF$1001,0),MATCH(COLUMNS($AM$1006:AP1006),$AM$1006:$BM$1006,0)), HYPERLINK("#",""), HYPERLINK(CONCATENATE("#metadata!", ADDRESS(INDEX($AH$2:$AH$1001,MATCH(ROWS($AF$2:AF185),$AF$2:$AF$1001,0),0), INDEX($AM$1004:$BM$1004,1,MATCH(COLUMNS($AM$1006:AP1006),$AM$1006:$BM$1006,0)))),"Fix")))</f>
        <v xml:space="preserve"> </v>
      </c>
      <c r="F185" s="4" t="str">
        <f ca="1">IF(OR(INDEX($AG$2:$AG$1001,MATCH(ROWS($AF$2:AF185),$AF$2:$AF$1001,0),1)&gt;=100000,INDEX($AM$1005:$BM$1005,1,MATCH(COLUMNS($AM$1006:AQ1006),$AM$1006:$BM$1006,0))&gt;=100000), " ",IF(INDEX($AM$2:$BM$1001,MATCH(ROWS($AF$2:AF185),$AF$2:$AF$1001,0),MATCH(COLUMNS($AM$1006:AQ1006),$AM$1006:$BM$1006,0)), HYPERLINK("#",""), HYPERLINK(CONCATENATE("#metadata!", ADDRESS(INDEX($AH$2:$AH$1001,MATCH(ROWS($AF$2:AF185),$AF$2:$AF$1001,0),0), INDEX($AM$1004:$BM$1004,1,MATCH(COLUMNS($AM$1006:AQ1006),$AM$1006:$BM$1006,0)))),"Fix")))</f>
        <v xml:space="preserve"> </v>
      </c>
      <c r="G185" s="4" t="str">
        <f ca="1">IF(OR(INDEX($AG$2:$AG$1001,MATCH(ROWS($AF$2:AF185),$AF$2:$AF$1001,0),1)&gt;=100000,INDEX($AM$1005:$BM$1005,1,MATCH(COLUMNS($AM$1006:AR1006),$AM$1006:$BM$1006,0))&gt;=100000), " ",IF(INDEX($AM$2:$BM$1001,MATCH(ROWS($AF$2:AF185),$AF$2:$AF$1001,0),MATCH(COLUMNS($AM$1006:AR1006),$AM$1006:$BM$1006,0)), HYPERLINK("#",""), HYPERLINK(CONCATENATE("#metadata!", ADDRESS(INDEX($AH$2:$AH$1001,MATCH(ROWS($AF$2:AF185),$AF$2:$AF$1001,0),0), INDEX($AM$1004:$BM$1004,1,MATCH(COLUMNS($AM$1006:AR1006),$AM$1006:$BM$1006,0)))),"Fix")))</f>
        <v xml:space="preserve"> </v>
      </c>
      <c r="H185" s="4" t="str">
        <f ca="1">IF(OR(INDEX($AG$2:$AG$1001,MATCH(ROWS($AF$2:AF185),$AF$2:$AF$1001,0),1)&gt;=100000,INDEX($AM$1005:$BM$1005,1,MATCH(COLUMNS($AM$1006:AS1006),$AM$1006:$BM$1006,0))&gt;=100000), " ",IF(INDEX($AM$2:$BM$1001,MATCH(ROWS($AF$2:AF185),$AF$2:$AF$1001,0),MATCH(COLUMNS($AM$1006:AS1006),$AM$1006:$BM$1006,0)), HYPERLINK("#",""), HYPERLINK(CONCATENATE("#metadata!", ADDRESS(INDEX($AH$2:$AH$1001,MATCH(ROWS($AF$2:AF185),$AF$2:$AF$1001,0),0), INDEX($AM$1004:$BM$1004,1,MATCH(COLUMNS($AM$1006:AS1006),$AM$1006:$BM$1006,0)))),"Fix")))</f>
        <v xml:space="preserve"> </v>
      </c>
      <c r="I185" s="4" t="str">
        <f ca="1">IF(OR(INDEX($AG$2:$AG$1001,MATCH(ROWS($AF$2:AF185),$AF$2:$AF$1001,0),1)&gt;=100000,INDEX($AM$1005:$BM$1005,1,MATCH(COLUMNS($AM$1006:AT1006),$AM$1006:$BM$1006,0))&gt;=100000), " ",IF(INDEX($AM$2:$BM$1001,MATCH(ROWS($AF$2:AF185),$AF$2:$AF$1001,0),MATCH(COLUMNS($AM$1006:AT1006),$AM$1006:$BM$1006,0)), HYPERLINK("#",""), HYPERLINK(CONCATENATE("#metadata!", ADDRESS(INDEX($AH$2:$AH$1001,MATCH(ROWS($AF$2:AF185),$AF$2:$AF$1001,0),0), INDEX($AM$1004:$BM$1004,1,MATCH(COLUMNS($AM$1006:AT1006),$AM$1006:$BM$1006,0)))),"Fix")))</f>
        <v xml:space="preserve"> </v>
      </c>
      <c r="J185" s="4" t="str">
        <f ca="1">IF(OR(INDEX($AG$2:$AG$1001,MATCH(ROWS($AF$2:AF185),$AF$2:$AF$1001,0),1)&gt;=100000,INDEX($AM$1005:$BM$1005,1,MATCH(COLUMNS($AM$1006:AU1006),$AM$1006:$BM$1006,0))&gt;=100000), " ",IF(INDEX($AM$2:$BM$1001,MATCH(ROWS($AF$2:AF185),$AF$2:$AF$1001,0),MATCH(COLUMNS($AM$1006:AU1006),$AM$1006:$BM$1006,0)), HYPERLINK("#",""), HYPERLINK(CONCATENATE("#metadata!", ADDRESS(INDEX($AH$2:$AH$1001,MATCH(ROWS($AF$2:AF185),$AF$2:$AF$1001,0),0), INDEX($AM$1004:$BM$1004,1,MATCH(COLUMNS($AM$1006:AU1006),$AM$1006:$BM$1006,0)))),"Fix")))</f>
        <v xml:space="preserve"> </v>
      </c>
      <c r="K185" s="4" t="str">
        <f ca="1">IF(OR(INDEX($AG$2:$AG$1001,MATCH(ROWS($AF$2:AF185),$AF$2:$AF$1001,0),1)&gt;=100000,INDEX($AM$1005:$BM$1005,1,MATCH(COLUMNS($AM$1006:AV1006),$AM$1006:$BM$1006,0))&gt;=100000), " ",IF(INDEX($AM$2:$BM$1001,MATCH(ROWS($AF$2:AF185),$AF$2:$AF$1001,0),MATCH(COLUMNS($AM$1006:AV1006),$AM$1006:$BM$1006,0)), HYPERLINK("#",""), HYPERLINK(CONCATENATE("#metadata!", ADDRESS(INDEX($AH$2:$AH$1001,MATCH(ROWS($AF$2:AF185),$AF$2:$AF$1001,0),0), INDEX($AM$1004:$BM$1004,1,MATCH(COLUMNS($AM$1006:AV1006),$AM$1006:$BM$1006,0)))),"Fix")))</f>
        <v xml:space="preserve"> </v>
      </c>
      <c r="L185" s="4" t="str">
        <f ca="1">IF(OR(INDEX($AG$2:$AG$1001,MATCH(ROWS($AF$2:AF185),$AF$2:$AF$1001,0),1)&gt;=100000,INDEX($AM$1005:$BM$1005,1,MATCH(COLUMNS($AM$1006:AW1006),$AM$1006:$BM$1006,0))&gt;=100000), " ",IF(INDEX($AM$2:$BM$1001,MATCH(ROWS($AF$2:AF185),$AF$2:$AF$1001,0),MATCH(COLUMNS($AM$1006:AW1006),$AM$1006:$BM$1006,0)), HYPERLINK("#",""), HYPERLINK(CONCATENATE("#metadata!", ADDRESS(INDEX($AH$2:$AH$1001,MATCH(ROWS($AF$2:AF185),$AF$2:$AF$1001,0),0), INDEX($AM$1004:$BM$1004,1,MATCH(COLUMNS($AM$1006:AW1006),$AM$1006:$BM$1006,0)))),"Fix")))</f>
        <v xml:space="preserve"> </v>
      </c>
      <c r="M185" s="4" t="str">
        <f ca="1">IF(OR(INDEX($AG$2:$AG$1001,MATCH(ROWS($AF$2:AF185),$AF$2:$AF$1001,0),1)&gt;=100000,INDEX($AM$1005:$BM$1005,1,MATCH(COLUMNS($AM$1006:AX1006),$AM$1006:$BM$1006,0))&gt;=100000), " ",IF(INDEX($AM$2:$BM$1001,MATCH(ROWS($AF$2:AF185),$AF$2:$AF$1001,0),MATCH(COLUMNS($AM$1006:AX1006),$AM$1006:$BM$1006,0)), HYPERLINK("#",""), HYPERLINK(CONCATENATE("#metadata!", ADDRESS(INDEX($AH$2:$AH$1001,MATCH(ROWS($AF$2:AF185),$AF$2:$AF$1001,0),0), INDEX($AM$1004:$BM$1004,1,MATCH(COLUMNS($AM$1006:AX1006),$AM$1006:$BM$1006,0)))),"Fix")))</f>
        <v xml:space="preserve"> </v>
      </c>
      <c r="N185" s="4" t="str">
        <f ca="1">IF(OR(INDEX($AG$2:$AG$1001,MATCH(ROWS($AF$2:AF185),$AF$2:$AF$1001,0),1)&gt;=100000,INDEX($AM$1005:$BM$1005,1,MATCH(COLUMNS($AM$1006:AY1006),$AM$1006:$BM$1006,0))&gt;=100000), " ",IF(INDEX($AM$2:$BM$1001,MATCH(ROWS($AF$2:AF185),$AF$2:$AF$1001,0),MATCH(COLUMNS($AM$1006:AY1006),$AM$1006:$BM$1006,0)), HYPERLINK("#",""), HYPERLINK(CONCATENATE("#metadata!", ADDRESS(INDEX($AH$2:$AH$1001,MATCH(ROWS($AF$2:AF185),$AF$2:$AF$1001,0),0), INDEX($AM$1004:$BM$1004,1,MATCH(COLUMNS($AM$1006:AY1006),$AM$1006:$BM$1006,0)))),"Fix")))</f>
        <v xml:space="preserve"> </v>
      </c>
      <c r="O185" s="4" t="str">
        <f ca="1">IF(OR(INDEX($AG$2:$AG$1001,MATCH(ROWS($AF$2:AF185),$AF$2:$AF$1001,0),1)&gt;=100000,INDEX($AM$1005:$BM$1005,1,MATCH(COLUMNS($AM$1006:AZ1006),$AM$1006:$BM$1006,0))&gt;=100000), " ",IF(INDEX($AM$2:$BM$1001,MATCH(ROWS($AF$2:AF185),$AF$2:$AF$1001,0),MATCH(COLUMNS($AM$1006:AZ1006),$AM$1006:$BM$1006,0)), HYPERLINK("#",""), HYPERLINK(CONCATENATE("#metadata!", ADDRESS(INDEX($AH$2:$AH$1001,MATCH(ROWS($AF$2:AF185),$AF$2:$AF$1001,0),0), INDEX($AM$1004:$BM$1004,1,MATCH(COLUMNS($AM$1006:AZ1006),$AM$1006:$BM$1006,0)))),"Fix")))</f>
        <v xml:space="preserve"> </v>
      </c>
      <c r="P185" s="4" t="str">
        <f ca="1">IF(OR(INDEX($AG$2:$AG$1001,MATCH(ROWS($AF$2:AF185),$AF$2:$AF$1001,0),1)&gt;=100000,INDEX($AM$1005:$BM$1005,1,MATCH(COLUMNS($AM$1006:BA1006),$AM$1006:$BM$1006,0))&gt;=100000), " ",IF(INDEX($AM$2:$BM$1001,MATCH(ROWS($AF$2:AF185),$AF$2:$AF$1001,0),MATCH(COLUMNS($AM$1006:BA1006),$AM$1006:$BM$1006,0)), HYPERLINK("#",""), HYPERLINK(CONCATENATE("#metadata!", ADDRESS(INDEX($AH$2:$AH$1001,MATCH(ROWS($AF$2:AF185),$AF$2:$AF$1001,0),0), INDEX($AM$1004:$BM$1004,1,MATCH(COLUMNS($AM$1006:BA1006),$AM$1006:$BM$1006,0)))),"Fix")))</f>
        <v xml:space="preserve"> </v>
      </c>
      <c r="Q185" s="4" t="str">
        <f ca="1">IF(OR(INDEX($AG$2:$AG$1001,MATCH(ROWS($AF$2:AF185),$AF$2:$AF$1001,0),1)&gt;=100000,INDEX($AM$1005:$BM$1005,1,MATCH(COLUMNS($AM$1006:BB1006),$AM$1006:$BM$1006,0))&gt;=100000), " ",IF(INDEX($AM$2:$BM$1001,MATCH(ROWS($AF$2:AF185),$AF$2:$AF$1001,0),MATCH(COLUMNS($AM$1006:BB1006),$AM$1006:$BM$1006,0)), HYPERLINK("#",""), HYPERLINK(CONCATENATE("#metadata!", ADDRESS(INDEX($AH$2:$AH$1001,MATCH(ROWS($AF$2:AF185),$AF$2:$AF$1001,0),0), INDEX($AM$1004:$BM$1004,1,MATCH(COLUMNS($AM$1006:BB1006),$AM$1006:$BM$1006,0)))),"Fix")))</f>
        <v xml:space="preserve"> </v>
      </c>
      <c r="R185" s="4" t="str">
        <f ca="1">IF(OR(INDEX($AG$2:$AG$1001,MATCH(ROWS($AF$2:AF185),$AF$2:$AF$1001,0),1)&gt;=100000,INDEX($AM$1005:$BM$1005,1,MATCH(COLUMNS($AM$1006:BC1006),$AM$1006:$BM$1006,0))&gt;=100000), " ",IF(INDEX($AM$2:$BM$1001,MATCH(ROWS($AF$2:AF185),$AF$2:$AF$1001,0),MATCH(COLUMNS($AM$1006:BC1006),$AM$1006:$BM$1006,0)), HYPERLINK("#",""), HYPERLINK(CONCATENATE("#metadata!", ADDRESS(INDEX($AH$2:$AH$1001,MATCH(ROWS($AF$2:AF185),$AF$2:$AF$1001,0),0), INDEX($AM$1004:$BM$1004,1,MATCH(COLUMNS($AM$1006:BC1006),$AM$1006:$BM$1006,0)))),"Fix")))</f>
        <v xml:space="preserve"> </v>
      </c>
      <c r="S185" s="4" t="str">
        <f ca="1">IF(OR(INDEX($AG$2:$AG$1001,MATCH(ROWS($AF$2:AF185),$AF$2:$AF$1001,0),1)&gt;=100000,INDEX($AM$1005:$BM$1005,1,MATCH(COLUMNS($AM$1006:BD1006),$AM$1006:$BM$1006,0))&gt;=100000), " ",IF(INDEX($AM$2:$BM$1001,MATCH(ROWS($AF$2:AF185),$AF$2:$AF$1001,0),MATCH(COLUMNS($AM$1006:BD1006),$AM$1006:$BM$1006,0)), HYPERLINK("#",""), HYPERLINK(CONCATENATE("#metadata!", ADDRESS(INDEX($AH$2:$AH$1001,MATCH(ROWS($AF$2:AF185),$AF$2:$AF$1001,0),0), INDEX($AM$1004:$BM$1004,1,MATCH(COLUMNS($AM$1006:BD1006),$AM$1006:$BM$1006,0)))),"Fix")))</f>
        <v xml:space="preserve"> </v>
      </c>
      <c r="T185" s="4" t="str">
        <f ca="1">IF(OR(INDEX($AG$2:$AG$1001,MATCH(ROWS($AF$2:AF185),$AF$2:$AF$1001,0),1)&gt;=100000,INDEX($AM$1005:$BM$1005,1,MATCH(COLUMNS($AM$1006:BE1006),$AM$1006:$BM$1006,0))&gt;=100000), " ",IF(INDEX($AM$2:$BM$1001,MATCH(ROWS($AF$2:AF185),$AF$2:$AF$1001,0),MATCH(COLUMNS($AM$1006:BE1006),$AM$1006:$BM$1006,0)), HYPERLINK("#",""), HYPERLINK(CONCATENATE("#metadata!", ADDRESS(INDEX($AH$2:$AH$1001,MATCH(ROWS($AF$2:AF185),$AF$2:$AF$1001,0),0), INDEX($AM$1004:$BM$1004,1,MATCH(COLUMNS($AM$1006:BE1006),$AM$1006:$BM$1006,0)))),"Fix")))</f>
        <v xml:space="preserve"> </v>
      </c>
      <c r="U185" s="4" t="str">
        <f ca="1">IF(OR(INDEX($AG$2:$AG$1001,MATCH(ROWS($AF$2:AF185),$AF$2:$AF$1001,0),1)&gt;=100000,INDEX($AM$1005:$BM$1005,1,MATCH(COLUMNS($AM$1006:BF1006),$AM$1006:$BM$1006,0))&gt;=100000), " ",IF(INDEX($AM$2:$BM$1001,MATCH(ROWS($AF$2:AF185),$AF$2:$AF$1001,0),MATCH(COLUMNS($AM$1006:BF1006),$AM$1006:$BM$1006,0)), HYPERLINK("#",""), HYPERLINK(CONCATENATE("#metadata!", ADDRESS(INDEX($AH$2:$AH$1001,MATCH(ROWS($AF$2:AF185),$AF$2:$AF$1001,0),0), INDEX($AM$1004:$BM$1004,1,MATCH(COLUMNS($AM$1006:BF1006),$AM$1006:$BM$1006,0)))),"Fix")))</f>
        <v xml:space="preserve"> </v>
      </c>
      <c r="V185" s="4" t="str">
        <f ca="1">IF(OR(INDEX($AG$2:$AG$1001,MATCH(ROWS($AF$2:AF185),$AF$2:$AF$1001,0),1)&gt;=100000,INDEX($AM$1005:$BM$1005,1,MATCH(COLUMNS($AM$1006:BG1006),$AM$1006:$BM$1006,0))&gt;=100000), " ",IF(INDEX($AM$2:$BM$1001,MATCH(ROWS($AF$2:AF185),$AF$2:$AF$1001,0),MATCH(COLUMNS($AM$1006:BG1006),$AM$1006:$BM$1006,0)), HYPERLINK("#",""), HYPERLINK(CONCATENATE("#metadata!", ADDRESS(INDEX($AH$2:$AH$1001,MATCH(ROWS($AF$2:AF185),$AF$2:$AF$1001,0),0), INDEX($AM$1004:$BM$1004,1,MATCH(COLUMNS($AM$1006:BG1006),$AM$1006:$BM$1006,0)))),"Fix")))</f>
        <v xml:space="preserve"> </v>
      </c>
      <c r="W185" s="4" t="str">
        <f ca="1">IF(OR(INDEX($AG$2:$AG$1001,MATCH(ROWS($AF$2:AF185),$AF$2:$AF$1001,0),1)&gt;=100000,INDEX($AM$1005:$BM$1005,1,MATCH(COLUMNS($AM$1006:BH1006),$AM$1006:$BM$1006,0))&gt;=100000), " ",IF(INDEX($AM$2:$BM$1001,MATCH(ROWS($AF$2:AF185),$AF$2:$AF$1001,0),MATCH(COLUMNS($AM$1006:BH1006),$AM$1006:$BM$1006,0)), HYPERLINK("#",""), HYPERLINK(CONCATENATE("#metadata!", ADDRESS(INDEX($AH$2:$AH$1001,MATCH(ROWS($AF$2:AF185),$AF$2:$AF$1001,0),0), INDEX($AM$1004:$BM$1004,1,MATCH(COLUMNS($AM$1006:BH1006),$AM$1006:$BM$1006,0)))),"Fix")))</f>
        <v xml:space="preserve"> </v>
      </c>
      <c r="X185" s="4" t="str">
        <f ca="1">IF(OR(INDEX($AG$2:$AG$1001,MATCH(ROWS($AF$2:AF185),$AF$2:$AF$1001,0),1)&gt;=100000,INDEX($AM$1005:$BM$1005,1,MATCH(COLUMNS($AM$1006:BI1006),$AM$1006:$BM$1006,0))&gt;=100000), " ",IF(INDEX($AM$2:$BM$1001,MATCH(ROWS($AF$2:AF185),$AF$2:$AF$1001,0),MATCH(COLUMNS($AM$1006:BI1006),$AM$1006:$BM$1006,0)), HYPERLINK("#",""), HYPERLINK(CONCATENATE("#metadata!", ADDRESS(INDEX($AH$2:$AH$1001,MATCH(ROWS($AF$2:AF185),$AF$2:$AF$1001,0),0), INDEX($AM$1004:$BM$1004,1,MATCH(COLUMNS($AM$1006:BI1006),$AM$1006:$BM$1006,0)))),"Fix")))</f>
        <v xml:space="preserve"> </v>
      </c>
      <c r="Y185" s="4" t="str">
        <f ca="1">IF(OR(INDEX($AG$2:$AG$1001,MATCH(ROWS($AF$2:AF185),$AF$2:$AF$1001,0),1)&gt;=100000,INDEX($AM$1005:$BM$1005,1,MATCH(COLUMNS($AM$1006:BJ1006),$AM$1006:$BM$1006,0))&gt;=100000), " ",IF(INDEX($AM$2:$BM$1001,MATCH(ROWS($AF$2:AF185),$AF$2:$AF$1001,0),MATCH(COLUMNS($AM$1006:BJ1006),$AM$1006:$BM$1006,0)), HYPERLINK("#",""), HYPERLINK(CONCATENATE("#metadata!", ADDRESS(INDEX($AH$2:$AH$1001,MATCH(ROWS($AF$2:AF185),$AF$2:$AF$1001,0),0), INDEX($AM$1004:$BM$1004,1,MATCH(COLUMNS($AM$1006:BJ1006),$AM$1006:$BM$1006,0)))),"Fix")))</f>
        <v xml:space="preserve"> </v>
      </c>
      <c r="Z185" s="4" t="str">
        <f ca="1">IF(OR(INDEX($AG$2:$AG$1001,MATCH(ROWS($AF$2:AF185),$AF$2:$AF$1001,0),1)&gt;=100000,INDEX($AM$1005:$BM$1005,1,MATCH(COLUMNS($AM$1006:BK1006),$AM$1006:$BM$1006,0))&gt;=100000), " ",IF(INDEX($AM$2:$BM$1001,MATCH(ROWS($AF$2:AF185),$AF$2:$AF$1001,0),MATCH(COLUMNS($AM$1006:BK1006),$AM$1006:$BM$1006,0)), HYPERLINK("#",""), HYPERLINK(CONCATENATE("#metadata!", ADDRESS(INDEX($AH$2:$AH$1001,MATCH(ROWS($AF$2:AF185),$AF$2:$AF$1001,0),0), INDEX($AM$1004:$BM$1004,1,MATCH(COLUMNS($AM$1006:BK1006),$AM$1006:$BM$1006,0)))),"Fix")))</f>
        <v xml:space="preserve"> </v>
      </c>
      <c r="AA185" s="4" t="str">
        <f ca="1">IF(OR(INDEX($AG$2:$AG$1001,MATCH(ROWS($AF$2:AF185),$AF$2:$AF$1001,0),1)&gt;=100000,INDEX($AM$1005:$BM$1005,1,MATCH(COLUMNS($AM$1006:BL1006),$AM$1006:$BM$1006,0))&gt;=100000), " ",IF(INDEX($AM$2:$BM$1001,MATCH(ROWS($AF$2:AF185),$AF$2:$AF$1001,0),MATCH(COLUMNS($AM$1006:BL1006),$AM$1006:$BM$1006,0)), HYPERLINK("#",""), HYPERLINK(CONCATENATE("#metadata!", ADDRESS(INDEX($AH$2:$AH$1001,MATCH(ROWS($AF$2:AF185),$AF$2:$AF$1001,0),0), INDEX($AM$1004:$BM$1004,1,MATCH(COLUMNS($AM$1006:BL1006),$AM$1006:$BM$1006,0)))),"Fix")))</f>
        <v xml:space="preserve"> </v>
      </c>
      <c r="AB185" s="4" t="str">
        <f ca="1">IF(OR(INDEX($AG$2:$AG$1001,MATCH(ROWS($AF$2:AF185),$AF$2:$AF$1001,0),1)&gt;=100000,INDEX($AM$1005:$BM$1005,1,MATCH(COLUMNS($AM$1006:BM1006),$AM$1006:$BM$1006,0))&gt;=100000), " ",IF(INDEX($AM$2:$BM$1001,MATCH(ROWS($AF$2:AF185),$AF$2:$AF$1001,0),MATCH(COLUMNS($AM$1006:BM1006),$AM$1006:$BM$1006,0)), HYPERLINK("#",""), HYPERLINK(CONCATENATE("#metadata!", ADDRESS(INDEX($AH$2:$AH$1001,MATCH(ROWS($AF$2:AF185),$AF$2:$AF$1001,0),0), INDEX($AM$1004:$BM$1004,1,MATCH(COLUMNS($AM$1006:BM1006),$AM$1006:$BM$1006,0)))),"Fix")))</f>
        <v xml:space="preserve"> </v>
      </c>
      <c r="AF185">
        <v>184</v>
      </c>
      <c r="AG185">
        <v>100185</v>
      </c>
      <c r="AH185">
        <v>185</v>
      </c>
      <c r="AI185" t="b">
        <f t="shared" si="2"/>
        <v>1</v>
      </c>
      <c r="AJ185" t="b">
        <f>COUNTBLANK(metadata!B185:AB185)=COLUMNS(metadata!B185:AB185)</f>
        <v>1</v>
      </c>
      <c r="AK185" t="str">
        <v/>
      </c>
      <c r="AM185" t="b">
        <f ca="1">AND(IF(metadata!B185="",FALSE,TRUE),COUNTIF(metadata!B:B, metadata!B185) = 1,NOT(ISERROR(SUMPRODUCT(SEARCH(MID(metadata!B185,ROW(INDIRECT("1:"&amp;LEN(metadata!B185))), 1),"0123456789abcdefghijklmnopqrstuvwxyzABCDEFGHIJKLMNOPQRSTUVWXYZ.")))))</f>
        <v>0</v>
      </c>
      <c r="AN185" t="b">
        <f ca="1">OR(AND(IF(metadata!C185="",FALSE,TRUE),OR(EXACT(metadata!C185,"missing: not collected"),EXACT(metadata!C185,"missing: not provided"),EXACT(metadata!C185,"missing: restricted access"))),AND(IF(metadata!C185="",FALSE,TRUE),AND(AND(IFERROR(INT(LEFT(metadata!C185,4))&gt;1900,FALSE),IFERROR(INT(LEFT(metadata!C185,4))&lt;=YEAR(NOW()),FALSE)), OR(MID(metadata!C185,5,1)="", AND(AND(MID(metadata!C185,5,1)="-",IFERROR(INT(MID(metadata!C185,6,1))&gt;=0,FALSE),IFERROR(INT(MID(metadata!C185,6,1))&lt;=1,FALSE),NOT(MID(metadata!C185,7,1)=""),IFERROR(INT(MID(metadata!C185,6,2))&gt;=1,FALSE),IFERROR(INT(MID(metadata!C185,6,2))&lt;=12,FALSE)), OR(MID(metadata!C185,8,1)="", AND(AND(MID(metadata!C185,8,1)="-",IFERROR(INT(MID(metadata!C185,9,1))&gt;=0,FALSE),IFERROR(INT(MID(metadata!C185,9,1))&lt;=3,FALSE),NOT(MID(metadata!C185,10,1)=""),IFERROR(INT(MID(metadata!C185,9,2))&gt;=1,FALSE),IFERROR(INT(MID(metadata!C185,9,2))&lt;=31,FALSE)), OR(MID(metadata!C185,11,1)="", AND(AND(MID(metadata!C185,11,1)=" ",IFERROR(INT(MID(metadata!C185,12,1))&gt;=0,FALSE),IFERROR(INT(MID(metadata!C185,12,1))&lt;=2,FALSE),NOT(MID(metadata!C185,13,1)=""),IFERROR(INT(MID(metadata!C185,12,2))&gt;=0,FALSE),IFERROR(INT(MID(metadata!C185,12,2))&lt;=23,FALSE)), OR(MID(metadata!C185,14,1)="", AND(AND(MID(metadata!C185,14,1)=":",IFERROR(INT(MID(metadata!C185,15,1))&gt;=0,FALSE),IFERROR(INT(MID(metadata!C185,15,1))&lt;=5,FALSE),NOT(MID(metadata!C185,16,1)=""),IFERROR(INT(MID(metadata!C185,15,2))&gt;=0,FALSE),IFERROR(INT(MID(metadata!C185,15,2))&lt;=59,FALSE)), OR(MID(metadata!C185,17,1)="", AND(AND(MID(metadata!C185,17,1)=":",IFERROR(INT(MID(metadata!C185,18,1))&gt;=0,FALSE),IFERROR(INT(MID(metadata!C185,18,1))&lt;=5,FALSE),NOT(MID(metadata!C185,19,1)=""),IFERROR(INT(MID(metadata!C185,18,2))&gt;=0,FALSE),IFERROR(INT(MID(metadata!C185,18,2))&lt;=59,FALSE)), LEN(metadata!C185)&lt;=19)))))))))))))</f>
        <v>0</v>
      </c>
      <c r="AO185" t="b">
        <f>AND(IF(metadata!D185="",FALSE,TRUE),EXACT(metadata!D185,"Not applicable"))</f>
        <v>0</v>
      </c>
      <c r="AP185" t="b">
        <f>IF(metadata!E185="",FALSE,TRUE)</f>
        <v>0</v>
      </c>
      <c r="AQ185" t="b">
        <f>OR(AND(IF(metadata!F185="",FALSE,TRUE),OR(EXACT(metadata!F185,"missing: not collected"),EXACT(metadata!F185,"missing: not provided"))),AND(IF(metadata!F185="",FALSE,TRUE),OR(EXACT(metadata!F185,"TRUE"),EXACT(metadata!F185,"FALSE"))))</f>
        <v>0</v>
      </c>
      <c r="AR185" t="b">
        <f>OR(AND(IF(metadata!G185="",FALSE,TRUE),OR(EXACT(metadata!G185,"missing: not collected"),EXACT(metadata!G185,"missing: not provided"),EXACT(metadata!G185,"missing: restricted access"))),AND(IF(metadata!G185="",FALSE,ISNUMBER(VALUE(metadata!G185))),metadata!G185&gt;=-413))</f>
        <v>0</v>
      </c>
      <c r="AS185" t="b">
        <f>AND(IF(metadata!H185="",FALSE,TRUE),EXACT(metadata!H185,"meters"))</f>
        <v>0</v>
      </c>
      <c r="AT185" t="b">
        <f>AND(IF(metadata!I185="",FALSE,TRUE),OR(EXACT(metadata!I185,"Host-associated"),EXACT(metadata!I185,"Free-living")))</f>
        <v>0</v>
      </c>
      <c r="AU185" t="b">
        <f>AND(IF(metadata!J185="",FALSE,TRUE),OR(EXACT(metadata!J185,"Animal"),EXACT(metadata!J185,"Fungus"),EXACT(metadata!J185,"Plant"),EXACT(metadata!J185,"Saline"),EXACT(metadata!J185,"Non-saline")))</f>
        <v>0</v>
      </c>
      <c r="AV185" t="b">
        <f>AND(IF(metadata!K185="",FALSE,TRUE),OR(EXACT(metadata!K185,"Plant secretion"),EXACT(metadata!K185,"Plant rhizosphere"),EXACT(metadata!K185,"Plant surface"),EXACT(metadata!K185,"Plant corpus"),EXACT(metadata!K185,"Fungus surface"),EXACT(metadata!K185,"Fungus corpus"),EXACT(metadata!K185,"Animal surface"),EXACT(metadata!K185,"Animal proximal gut"),EXACT(metadata!K185,"Animal corpus"),EXACT(metadata!K185,"Animal distal gut"),EXACT(metadata!K185,"Animal secretion"),EXACT(metadata!K185,"Sub-surface (non-saline)"),EXACT(metadata!K185,"Surface (non-saline)"),EXACT(metadata!K185,"Water (non-saline)"),EXACT(metadata!K185,"Soil (non-saline)"),EXACT(metadata!K185,"Aerosol (non-saline)"),EXACT(metadata!K185,"Sediment (non-saline)"),EXACT(metadata!K185,"Surface (saline)"),EXACT(metadata!K185,"Water (saline)"),EXACT(metadata!K185,"Hypersaline (saline)"),EXACT(metadata!K185,"Aerosol (saline)"),EXACT(metadata!K185,"Sediment (saline)")))</f>
        <v>0</v>
      </c>
      <c r="AW185" t="b">
        <f>IF(metadata!L185="",FALSE,TRUE)</f>
        <v>0</v>
      </c>
      <c r="AX185" t="b">
        <f>IF(metadata!M185="",FALSE,TRUE)</f>
        <v>0</v>
      </c>
      <c r="AY185" t="b">
        <f>IF(metadata!N185="",FALSE,TRUE)</f>
        <v>0</v>
      </c>
      <c r="AZ185" t="b">
        <f>OR(AND(IF(metadata!O185="",FALSE,TRUE),OR(EXACT(metadata!O185,"missing: not collected"),EXACT(metadata!O185,"missing: not provided"),EXACT(metadata!O185,"missing: restricted access"))),AND(IF(metadata!O185="",FALSE,TRUE),OR(EXACT(metadata!O185,"air"),EXACT(metadata!O185,"built environment"),EXACT(metadata!O185,"host-associated"),EXACT(metadata!O185,"human-associated"),EXACT(metadata!O185,"human-skin"),EXACT(metadata!O185,"human-oral"),EXACT(metadata!O185,"human-gut"),EXACT(metadata!O185,"human-vaginal"),EXACT(metadata!O185,"microbial mat/biofilm"),EXACT(metadata!O185,"misc environment"),EXACT(metadata!O185,"plant-associated"),EXACT(metadata!O185,"sediment"),EXACT(metadata!O185,"soil"),EXACT(metadata!O185,"wastewater/sludge"),EXACT(metadata!O185,"water"))))</f>
        <v>0</v>
      </c>
      <c r="BA185" t="b">
        <f>IF(metadata!P185="",FALSE,TRUE)</f>
        <v>0</v>
      </c>
      <c r="BB185" t="b">
        <f>IF(metadata!Q185="",FALSE,TRUE)</f>
        <v>0</v>
      </c>
      <c r="BC185" t="b">
        <f>OR(AND(IF(metadata!R185="",FALSE,TRUE),OR(EXACT(metadata!R185,"missing: not collected"),EXACT(metadata!R185,"missing: not provided"),EXACT(metadata!R185,"missing: restricted access"))),AND(IF(metadata!R185="",FALSE,ISNUMBER(VALUE(metadata!R185))),metadata!R185&gt;=-90,metadata!R185&lt;=90))</f>
        <v>0</v>
      </c>
      <c r="BD185" t="b">
        <f>AND(IF(metadata!S185="",FALSE,TRUE),EXACT(metadata!S185,"Decimal degrees"))</f>
        <v>0</v>
      </c>
      <c r="BE185" t="b">
        <f>OR(AND(IF(metadata!T185="",FALSE,TRUE),OR(EXACT(metadata!T185,"missing: not collected"),EXACT(metadata!T185,"missing: not provided"),EXACT(metadata!T185,"missing: restricted access"))),AND(IF(metadata!T185="",FALSE,ISNUMBER(VALUE(metadata!T185))),metadata!T185&gt;=-180,metadata!T185&lt;=180))</f>
        <v>0</v>
      </c>
      <c r="BF185" t="b">
        <f>AND(IF(metadata!U185="",FALSE,TRUE),EXACT(metadata!U185,"Decimal degrees"))</f>
        <v>0</v>
      </c>
      <c r="BG185" t="b">
        <f>IF(metadata!V185="",FALSE,TRUE)</f>
        <v>0</v>
      </c>
      <c r="BH185" t="b">
        <f>OR(AND(IF(metadata!W185="",FALSE,TRUE),OR(EXACT(metadata!W185,"missing: not collected"),EXACT(metadata!W185,"missing: not provided"),EXACT(metadata!W185,"missing: restricted access"))),AND(IF(metadata!W185="",FALSE,TRUE),OR(EXACT(metadata!W185,"TRUE"),EXACT(metadata!W185,"FALSE"))))</f>
        <v>0</v>
      </c>
      <c r="BI185" t="b">
        <f>AND(IF(metadata!X185="",FALSE,TRUE),EXACT(metadata!X185,"other"))</f>
        <v>0</v>
      </c>
      <c r="BJ185" t="b">
        <f>IF(metadata!Y185="",FALSE,TRUE)</f>
        <v>0</v>
      </c>
      <c r="BK185" t="b">
        <f>OR(AND(IF(metadata!Z185="",FALSE,TRUE),OR(EXACT(metadata!Z185,"missing: not collected"),EXACT(metadata!Z185,"missing: not provided"))),AND(IF(metadata!Z185="",FALSE,IF(ISERROR(INT(metadata!Z185)),FALSE,INT(metadata!Z185)=metadata!Z185)),metadata!Z185&gt;0))</f>
        <v>0</v>
      </c>
      <c r="BL185" t="b">
        <f>AND(IF(metadata!AA185="",FALSE,TRUE),EXACT(metadata!AA185,"Not applicable"))</f>
        <v>0</v>
      </c>
      <c r="BM185" t="b">
        <f>IF(metadata!AB185="",FALSE,TRUE)</f>
        <v>0</v>
      </c>
    </row>
    <row r="186" spans="1:65" x14ac:dyDescent="0.2">
      <c r="A186" s="5" t="str">
        <f ca="1">IF(B186=" "," ",HYPERLINK(CONCATENATE("#metadata!",ADDRESS(INDEX($AH$2:$AH$1001,MATCH(ROWS($AF$2:AF186),$AF$2:$AF$1001,0),0),1)),INDEX($AK$2:$AK$1001,MATCH(ROWS($AF$2:AF186),$AF$2:$AF$1001,0),0)))</f>
        <v xml:space="preserve"> </v>
      </c>
      <c r="B186" s="4" t="str">
        <f ca="1">IF(OR(INDEX($AG$2:$AG$1001,MATCH(ROWS($AF$2:AF186),$AF$2:$AF$1001,0),1)&gt;=100000,INDEX($AM$1005:$BM$1005,1,MATCH(COLUMNS($AM$1006:AM1006),$AM$1006:$BM$1006,0))&gt;=100000), " ",IF(INDEX($AM$2:$BM$1001,MATCH(ROWS($AF$2:AF186),$AF$2:$AF$1001,0),MATCH(COLUMNS($AM$1006:AM1006),$AM$1006:$BM$1006,0)), HYPERLINK("#",""), HYPERLINK(CONCATENATE("#metadata!", ADDRESS(INDEX($AH$2:$AH$1001,MATCH(ROWS($AF$2:AF186),$AF$2:$AF$1001,0),0), INDEX($AM$1004:$BM$1004,1,MATCH(COLUMNS($AM$1006:AM1006),$AM$1006:$BM$1006,0)))),"Fix")))</f>
        <v xml:space="preserve"> </v>
      </c>
      <c r="C186" s="4" t="str">
        <f ca="1">IF(OR(INDEX($AG$2:$AG$1001,MATCH(ROWS($AF$2:AF186),$AF$2:$AF$1001,0),1)&gt;=100000,INDEX($AM$1005:$BM$1005,1,MATCH(COLUMNS($AM$1006:AN1006),$AM$1006:$BM$1006,0))&gt;=100000), " ",IF(INDEX($AM$2:$BM$1001,MATCH(ROWS($AF$2:AF186),$AF$2:$AF$1001,0),MATCH(COLUMNS($AM$1006:AN1006),$AM$1006:$BM$1006,0)), HYPERLINK("#",""), HYPERLINK(CONCATENATE("#metadata!", ADDRESS(INDEX($AH$2:$AH$1001,MATCH(ROWS($AF$2:AF186),$AF$2:$AF$1001,0),0), INDEX($AM$1004:$BM$1004,1,MATCH(COLUMNS($AM$1006:AN1006),$AM$1006:$BM$1006,0)))),"Fix")))</f>
        <v xml:space="preserve"> </v>
      </c>
      <c r="D186" s="4" t="str">
        <f ca="1">IF(OR(INDEX($AG$2:$AG$1001,MATCH(ROWS($AF$2:AF186),$AF$2:$AF$1001,0),1)&gt;=100000,INDEX($AM$1005:$BM$1005,1,MATCH(COLUMNS($AM$1006:AO1006),$AM$1006:$BM$1006,0))&gt;=100000), " ",IF(INDEX($AM$2:$BM$1001,MATCH(ROWS($AF$2:AF186),$AF$2:$AF$1001,0),MATCH(COLUMNS($AM$1006:AO1006),$AM$1006:$BM$1006,0)), HYPERLINK("#",""), HYPERLINK(CONCATENATE("#metadata!", ADDRESS(INDEX($AH$2:$AH$1001,MATCH(ROWS($AF$2:AF186),$AF$2:$AF$1001,0),0), INDEX($AM$1004:$BM$1004,1,MATCH(COLUMNS($AM$1006:AO1006),$AM$1006:$BM$1006,0)))),"Fix")))</f>
        <v xml:space="preserve"> </v>
      </c>
      <c r="E186" s="4" t="str">
        <f ca="1">IF(OR(INDEX($AG$2:$AG$1001,MATCH(ROWS($AF$2:AF186),$AF$2:$AF$1001,0),1)&gt;=100000,INDEX($AM$1005:$BM$1005,1,MATCH(COLUMNS($AM$1006:AP1006),$AM$1006:$BM$1006,0))&gt;=100000), " ",IF(INDEX($AM$2:$BM$1001,MATCH(ROWS($AF$2:AF186),$AF$2:$AF$1001,0),MATCH(COLUMNS($AM$1006:AP1006),$AM$1006:$BM$1006,0)), HYPERLINK("#",""), HYPERLINK(CONCATENATE("#metadata!", ADDRESS(INDEX($AH$2:$AH$1001,MATCH(ROWS($AF$2:AF186),$AF$2:$AF$1001,0),0), INDEX($AM$1004:$BM$1004,1,MATCH(COLUMNS($AM$1006:AP1006),$AM$1006:$BM$1006,0)))),"Fix")))</f>
        <v xml:space="preserve"> </v>
      </c>
      <c r="F186" s="4" t="str">
        <f ca="1">IF(OR(INDEX($AG$2:$AG$1001,MATCH(ROWS($AF$2:AF186),$AF$2:$AF$1001,0),1)&gt;=100000,INDEX($AM$1005:$BM$1005,1,MATCH(COLUMNS($AM$1006:AQ1006),$AM$1006:$BM$1006,0))&gt;=100000), " ",IF(INDEX($AM$2:$BM$1001,MATCH(ROWS($AF$2:AF186),$AF$2:$AF$1001,0),MATCH(COLUMNS($AM$1006:AQ1006),$AM$1006:$BM$1006,0)), HYPERLINK("#",""), HYPERLINK(CONCATENATE("#metadata!", ADDRESS(INDEX($AH$2:$AH$1001,MATCH(ROWS($AF$2:AF186),$AF$2:$AF$1001,0),0), INDEX($AM$1004:$BM$1004,1,MATCH(COLUMNS($AM$1006:AQ1006),$AM$1006:$BM$1006,0)))),"Fix")))</f>
        <v xml:space="preserve"> </v>
      </c>
      <c r="G186" s="4" t="str">
        <f ca="1">IF(OR(INDEX($AG$2:$AG$1001,MATCH(ROWS($AF$2:AF186),$AF$2:$AF$1001,0),1)&gt;=100000,INDEX($AM$1005:$BM$1005,1,MATCH(COLUMNS($AM$1006:AR1006),$AM$1006:$BM$1006,0))&gt;=100000), " ",IF(INDEX($AM$2:$BM$1001,MATCH(ROWS($AF$2:AF186),$AF$2:$AF$1001,0),MATCH(COLUMNS($AM$1006:AR1006),$AM$1006:$BM$1006,0)), HYPERLINK("#",""), HYPERLINK(CONCATENATE("#metadata!", ADDRESS(INDEX($AH$2:$AH$1001,MATCH(ROWS($AF$2:AF186),$AF$2:$AF$1001,0),0), INDEX($AM$1004:$BM$1004,1,MATCH(COLUMNS($AM$1006:AR1006),$AM$1006:$BM$1006,0)))),"Fix")))</f>
        <v xml:space="preserve"> </v>
      </c>
      <c r="H186" s="4" t="str">
        <f ca="1">IF(OR(INDEX($AG$2:$AG$1001,MATCH(ROWS($AF$2:AF186),$AF$2:$AF$1001,0),1)&gt;=100000,INDEX($AM$1005:$BM$1005,1,MATCH(COLUMNS($AM$1006:AS1006),$AM$1006:$BM$1006,0))&gt;=100000), " ",IF(INDEX($AM$2:$BM$1001,MATCH(ROWS($AF$2:AF186),$AF$2:$AF$1001,0),MATCH(COLUMNS($AM$1006:AS1006),$AM$1006:$BM$1006,0)), HYPERLINK("#",""), HYPERLINK(CONCATENATE("#metadata!", ADDRESS(INDEX($AH$2:$AH$1001,MATCH(ROWS($AF$2:AF186),$AF$2:$AF$1001,0),0), INDEX($AM$1004:$BM$1004,1,MATCH(COLUMNS($AM$1006:AS1006),$AM$1006:$BM$1006,0)))),"Fix")))</f>
        <v xml:space="preserve"> </v>
      </c>
      <c r="I186" s="4" t="str">
        <f ca="1">IF(OR(INDEX($AG$2:$AG$1001,MATCH(ROWS($AF$2:AF186),$AF$2:$AF$1001,0),1)&gt;=100000,INDEX($AM$1005:$BM$1005,1,MATCH(COLUMNS($AM$1006:AT1006),$AM$1006:$BM$1006,0))&gt;=100000), " ",IF(INDEX($AM$2:$BM$1001,MATCH(ROWS($AF$2:AF186),$AF$2:$AF$1001,0),MATCH(COLUMNS($AM$1006:AT1006),$AM$1006:$BM$1006,0)), HYPERLINK("#",""), HYPERLINK(CONCATENATE("#metadata!", ADDRESS(INDEX($AH$2:$AH$1001,MATCH(ROWS($AF$2:AF186),$AF$2:$AF$1001,0),0), INDEX($AM$1004:$BM$1004,1,MATCH(COLUMNS($AM$1006:AT1006),$AM$1006:$BM$1006,0)))),"Fix")))</f>
        <v xml:space="preserve"> </v>
      </c>
      <c r="J186" s="4" t="str">
        <f ca="1">IF(OR(INDEX($AG$2:$AG$1001,MATCH(ROWS($AF$2:AF186),$AF$2:$AF$1001,0),1)&gt;=100000,INDEX($AM$1005:$BM$1005,1,MATCH(COLUMNS($AM$1006:AU1006),$AM$1006:$BM$1006,0))&gt;=100000), " ",IF(INDEX($AM$2:$BM$1001,MATCH(ROWS($AF$2:AF186),$AF$2:$AF$1001,0),MATCH(COLUMNS($AM$1006:AU1006),$AM$1006:$BM$1006,0)), HYPERLINK("#",""), HYPERLINK(CONCATENATE("#metadata!", ADDRESS(INDEX($AH$2:$AH$1001,MATCH(ROWS($AF$2:AF186),$AF$2:$AF$1001,0),0), INDEX($AM$1004:$BM$1004,1,MATCH(COLUMNS($AM$1006:AU1006),$AM$1006:$BM$1006,0)))),"Fix")))</f>
        <v xml:space="preserve"> </v>
      </c>
      <c r="K186" s="4" t="str">
        <f ca="1">IF(OR(INDEX($AG$2:$AG$1001,MATCH(ROWS($AF$2:AF186),$AF$2:$AF$1001,0),1)&gt;=100000,INDEX($AM$1005:$BM$1005,1,MATCH(COLUMNS($AM$1006:AV1006),$AM$1006:$BM$1006,0))&gt;=100000), " ",IF(INDEX($AM$2:$BM$1001,MATCH(ROWS($AF$2:AF186),$AF$2:$AF$1001,0),MATCH(COLUMNS($AM$1006:AV1006),$AM$1006:$BM$1006,0)), HYPERLINK("#",""), HYPERLINK(CONCATENATE("#metadata!", ADDRESS(INDEX($AH$2:$AH$1001,MATCH(ROWS($AF$2:AF186),$AF$2:$AF$1001,0),0), INDEX($AM$1004:$BM$1004,1,MATCH(COLUMNS($AM$1006:AV1006),$AM$1006:$BM$1006,0)))),"Fix")))</f>
        <v xml:space="preserve"> </v>
      </c>
      <c r="L186" s="4" t="str">
        <f ca="1">IF(OR(INDEX($AG$2:$AG$1001,MATCH(ROWS($AF$2:AF186),$AF$2:$AF$1001,0),1)&gt;=100000,INDEX($AM$1005:$BM$1005,1,MATCH(COLUMNS($AM$1006:AW1006),$AM$1006:$BM$1006,0))&gt;=100000), " ",IF(INDEX($AM$2:$BM$1001,MATCH(ROWS($AF$2:AF186),$AF$2:$AF$1001,0),MATCH(COLUMNS($AM$1006:AW1006),$AM$1006:$BM$1006,0)), HYPERLINK("#",""), HYPERLINK(CONCATENATE("#metadata!", ADDRESS(INDEX($AH$2:$AH$1001,MATCH(ROWS($AF$2:AF186),$AF$2:$AF$1001,0),0), INDEX($AM$1004:$BM$1004,1,MATCH(COLUMNS($AM$1006:AW1006),$AM$1006:$BM$1006,0)))),"Fix")))</f>
        <v xml:space="preserve"> </v>
      </c>
      <c r="M186" s="4" t="str">
        <f ca="1">IF(OR(INDEX($AG$2:$AG$1001,MATCH(ROWS($AF$2:AF186),$AF$2:$AF$1001,0),1)&gt;=100000,INDEX($AM$1005:$BM$1005,1,MATCH(COLUMNS($AM$1006:AX1006),$AM$1006:$BM$1006,0))&gt;=100000), " ",IF(INDEX($AM$2:$BM$1001,MATCH(ROWS($AF$2:AF186),$AF$2:$AF$1001,0),MATCH(COLUMNS($AM$1006:AX1006),$AM$1006:$BM$1006,0)), HYPERLINK("#",""), HYPERLINK(CONCATENATE("#metadata!", ADDRESS(INDEX($AH$2:$AH$1001,MATCH(ROWS($AF$2:AF186),$AF$2:$AF$1001,0),0), INDEX($AM$1004:$BM$1004,1,MATCH(COLUMNS($AM$1006:AX1006),$AM$1006:$BM$1006,0)))),"Fix")))</f>
        <v xml:space="preserve"> </v>
      </c>
      <c r="N186" s="4" t="str">
        <f ca="1">IF(OR(INDEX($AG$2:$AG$1001,MATCH(ROWS($AF$2:AF186),$AF$2:$AF$1001,0),1)&gt;=100000,INDEX($AM$1005:$BM$1005,1,MATCH(COLUMNS($AM$1006:AY1006),$AM$1006:$BM$1006,0))&gt;=100000), " ",IF(INDEX($AM$2:$BM$1001,MATCH(ROWS($AF$2:AF186),$AF$2:$AF$1001,0),MATCH(COLUMNS($AM$1006:AY1006),$AM$1006:$BM$1006,0)), HYPERLINK("#",""), HYPERLINK(CONCATENATE("#metadata!", ADDRESS(INDEX($AH$2:$AH$1001,MATCH(ROWS($AF$2:AF186),$AF$2:$AF$1001,0),0), INDEX($AM$1004:$BM$1004,1,MATCH(COLUMNS($AM$1006:AY1006),$AM$1006:$BM$1006,0)))),"Fix")))</f>
        <v xml:space="preserve"> </v>
      </c>
      <c r="O186" s="4" t="str">
        <f ca="1">IF(OR(INDEX($AG$2:$AG$1001,MATCH(ROWS($AF$2:AF186),$AF$2:$AF$1001,0),1)&gt;=100000,INDEX($AM$1005:$BM$1005,1,MATCH(COLUMNS($AM$1006:AZ1006),$AM$1006:$BM$1006,0))&gt;=100000), " ",IF(INDEX($AM$2:$BM$1001,MATCH(ROWS($AF$2:AF186),$AF$2:$AF$1001,0),MATCH(COLUMNS($AM$1006:AZ1006),$AM$1006:$BM$1006,0)), HYPERLINK("#",""), HYPERLINK(CONCATENATE("#metadata!", ADDRESS(INDEX($AH$2:$AH$1001,MATCH(ROWS($AF$2:AF186),$AF$2:$AF$1001,0),0), INDEX($AM$1004:$BM$1004,1,MATCH(COLUMNS($AM$1006:AZ1006),$AM$1006:$BM$1006,0)))),"Fix")))</f>
        <v xml:space="preserve"> </v>
      </c>
      <c r="P186" s="4" t="str">
        <f ca="1">IF(OR(INDEX($AG$2:$AG$1001,MATCH(ROWS($AF$2:AF186),$AF$2:$AF$1001,0),1)&gt;=100000,INDEX($AM$1005:$BM$1005,1,MATCH(COLUMNS($AM$1006:BA1006),$AM$1006:$BM$1006,0))&gt;=100000), " ",IF(INDEX($AM$2:$BM$1001,MATCH(ROWS($AF$2:AF186),$AF$2:$AF$1001,0),MATCH(COLUMNS($AM$1006:BA1006),$AM$1006:$BM$1006,0)), HYPERLINK("#",""), HYPERLINK(CONCATENATE("#metadata!", ADDRESS(INDEX($AH$2:$AH$1001,MATCH(ROWS($AF$2:AF186),$AF$2:$AF$1001,0),0), INDEX($AM$1004:$BM$1004,1,MATCH(COLUMNS($AM$1006:BA1006),$AM$1006:$BM$1006,0)))),"Fix")))</f>
        <v xml:space="preserve"> </v>
      </c>
      <c r="Q186" s="4" t="str">
        <f ca="1">IF(OR(INDEX($AG$2:$AG$1001,MATCH(ROWS($AF$2:AF186),$AF$2:$AF$1001,0),1)&gt;=100000,INDEX($AM$1005:$BM$1005,1,MATCH(COLUMNS($AM$1006:BB1006),$AM$1006:$BM$1006,0))&gt;=100000), " ",IF(INDEX($AM$2:$BM$1001,MATCH(ROWS($AF$2:AF186),$AF$2:$AF$1001,0),MATCH(COLUMNS($AM$1006:BB1006),$AM$1006:$BM$1006,0)), HYPERLINK("#",""), HYPERLINK(CONCATENATE("#metadata!", ADDRESS(INDEX($AH$2:$AH$1001,MATCH(ROWS($AF$2:AF186),$AF$2:$AF$1001,0),0), INDEX($AM$1004:$BM$1004,1,MATCH(COLUMNS($AM$1006:BB1006),$AM$1006:$BM$1006,0)))),"Fix")))</f>
        <v xml:space="preserve"> </v>
      </c>
      <c r="R186" s="4" t="str">
        <f ca="1">IF(OR(INDEX($AG$2:$AG$1001,MATCH(ROWS($AF$2:AF186),$AF$2:$AF$1001,0),1)&gt;=100000,INDEX($AM$1005:$BM$1005,1,MATCH(COLUMNS($AM$1006:BC1006),$AM$1006:$BM$1006,0))&gt;=100000), " ",IF(INDEX($AM$2:$BM$1001,MATCH(ROWS($AF$2:AF186),$AF$2:$AF$1001,0),MATCH(COLUMNS($AM$1006:BC1006),$AM$1006:$BM$1006,0)), HYPERLINK("#",""), HYPERLINK(CONCATENATE("#metadata!", ADDRESS(INDEX($AH$2:$AH$1001,MATCH(ROWS($AF$2:AF186),$AF$2:$AF$1001,0),0), INDEX($AM$1004:$BM$1004,1,MATCH(COLUMNS($AM$1006:BC1006),$AM$1006:$BM$1006,0)))),"Fix")))</f>
        <v xml:space="preserve"> </v>
      </c>
      <c r="S186" s="4" t="str">
        <f ca="1">IF(OR(INDEX($AG$2:$AG$1001,MATCH(ROWS($AF$2:AF186),$AF$2:$AF$1001,0),1)&gt;=100000,INDEX($AM$1005:$BM$1005,1,MATCH(COLUMNS($AM$1006:BD1006),$AM$1006:$BM$1006,0))&gt;=100000), " ",IF(INDEX($AM$2:$BM$1001,MATCH(ROWS($AF$2:AF186),$AF$2:$AF$1001,0),MATCH(COLUMNS($AM$1006:BD1006),$AM$1006:$BM$1006,0)), HYPERLINK("#",""), HYPERLINK(CONCATENATE("#metadata!", ADDRESS(INDEX($AH$2:$AH$1001,MATCH(ROWS($AF$2:AF186),$AF$2:$AF$1001,0),0), INDEX($AM$1004:$BM$1004,1,MATCH(COLUMNS($AM$1006:BD1006),$AM$1006:$BM$1006,0)))),"Fix")))</f>
        <v xml:space="preserve"> </v>
      </c>
      <c r="T186" s="4" t="str">
        <f ca="1">IF(OR(INDEX($AG$2:$AG$1001,MATCH(ROWS($AF$2:AF186),$AF$2:$AF$1001,0),1)&gt;=100000,INDEX($AM$1005:$BM$1005,1,MATCH(COLUMNS($AM$1006:BE1006),$AM$1006:$BM$1006,0))&gt;=100000), " ",IF(INDEX($AM$2:$BM$1001,MATCH(ROWS($AF$2:AF186),$AF$2:$AF$1001,0),MATCH(COLUMNS($AM$1006:BE1006),$AM$1006:$BM$1006,0)), HYPERLINK("#",""), HYPERLINK(CONCATENATE("#metadata!", ADDRESS(INDEX($AH$2:$AH$1001,MATCH(ROWS($AF$2:AF186),$AF$2:$AF$1001,0),0), INDEX($AM$1004:$BM$1004,1,MATCH(COLUMNS($AM$1006:BE1006),$AM$1006:$BM$1006,0)))),"Fix")))</f>
        <v xml:space="preserve"> </v>
      </c>
      <c r="U186" s="4" t="str">
        <f ca="1">IF(OR(INDEX($AG$2:$AG$1001,MATCH(ROWS($AF$2:AF186),$AF$2:$AF$1001,0),1)&gt;=100000,INDEX($AM$1005:$BM$1005,1,MATCH(COLUMNS($AM$1006:BF1006),$AM$1006:$BM$1006,0))&gt;=100000), " ",IF(INDEX($AM$2:$BM$1001,MATCH(ROWS($AF$2:AF186),$AF$2:$AF$1001,0),MATCH(COLUMNS($AM$1006:BF1006),$AM$1006:$BM$1006,0)), HYPERLINK("#",""), HYPERLINK(CONCATENATE("#metadata!", ADDRESS(INDEX($AH$2:$AH$1001,MATCH(ROWS($AF$2:AF186),$AF$2:$AF$1001,0),0), INDEX($AM$1004:$BM$1004,1,MATCH(COLUMNS($AM$1006:BF1006),$AM$1006:$BM$1006,0)))),"Fix")))</f>
        <v xml:space="preserve"> </v>
      </c>
      <c r="V186" s="4" t="str">
        <f ca="1">IF(OR(INDEX($AG$2:$AG$1001,MATCH(ROWS($AF$2:AF186),$AF$2:$AF$1001,0),1)&gt;=100000,INDEX($AM$1005:$BM$1005,1,MATCH(COLUMNS($AM$1006:BG1006),$AM$1006:$BM$1006,0))&gt;=100000), " ",IF(INDEX($AM$2:$BM$1001,MATCH(ROWS($AF$2:AF186),$AF$2:$AF$1001,0),MATCH(COLUMNS($AM$1006:BG1006),$AM$1006:$BM$1006,0)), HYPERLINK("#",""), HYPERLINK(CONCATENATE("#metadata!", ADDRESS(INDEX($AH$2:$AH$1001,MATCH(ROWS($AF$2:AF186),$AF$2:$AF$1001,0),0), INDEX($AM$1004:$BM$1004,1,MATCH(COLUMNS($AM$1006:BG1006),$AM$1006:$BM$1006,0)))),"Fix")))</f>
        <v xml:space="preserve"> </v>
      </c>
      <c r="W186" s="4" t="str">
        <f ca="1">IF(OR(INDEX($AG$2:$AG$1001,MATCH(ROWS($AF$2:AF186),$AF$2:$AF$1001,0),1)&gt;=100000,INDEX($AM$1005:$BM$1005,1,MATCH(COLUMNS($AM$1006:BH1006),$AM$1006:$BM$1006,0))&gt;=100000), " ",IF(INDEX($AM$2:$BM$1001,MATCH(ROWS($AF$2:AF186),$AF$2:$AF$1001,0),MATCH(COLUMNS($AM$1006:BH1006),$AM$1006:$BM$1006,0)), HYPERLINK("#",""), HYPERLINK(CONCATENATE("#metadata!", ADDRESS(INDEX($AH$2:$AH$1001,MATCH(ROWS($AF$2:AF186),$AF$2:$AF$1001,0),0), INDEX($AM$1004:$BM$1004,1,MATCH(COLUMNS($AM$1006:BH1006),$AM$1006:$BM$1006,0)))),"Fix")))</f>
        <v xml:space="preserve"> </v>
      </c>
      <c r="X186" s="4" t="str">
        <f ca="1">IF(OR(INDEX($AG$2:$AG$1001,MATCH(ROWS($AF$2:AF186),$AF$2:$AF$1001,0),1)&gt;=100000,INDEX($AM$1005:$BM$1005,1,MATCH(COLUMNS($AM$1006:BI1006),$AM$1006:$BM$1006,0))&gt;=100000), " ",IF(INDEX($AM$2:$BM$1001,MATCH(ROWS($AF$2:AF186),$AF$2:$AF$1001,0),MATCH(COLUMNS($AM$1006:BI1006),$AM$1006:$BM$1006,0)), HYPERLINK("#",""), HYPERLINK(CONCATENATE("#metadata!", ADDRESS(INDEX($AH$2:$AH$1001,MATCH(ROWS($AF$2:AF186),$AF$2:$AF$1001,0),0), INDEX($AM$1004:$BM$1004,1,MATCH(COLUMNS($AM$1006:BI1006),$AM$1006:$BM$1006,0)))),"Fix")))</f>
        <v xml:space="preserve"> </v>
      </c>
      <c r="Y186" s="4" t="str">
        <f ca="1">IF(OR(INDEX($AG$2:$AG$1001,MATCH(ROWS($AF$2:AF186),$AF$2:$AF$1001,0),1)&gt;=100000,INDEX($AM$1005:$BM$1005,1,MATCH(COLUMNS($AM$1006:BJ1006),$AM$1006:$BM$1006,0))&gt;=100000), " ",IF(INDEX($AM$2:$BM$1001,MATCH(ROWS($AF$2:AF186),$AF$2:$AF$1001,0),MATCH(COLUMNS($AM$1006:BJ1006),$AM$1006:$BM$1006,0)), HYPERLINK("#",""), HYPERLINK(CONCATENATE("#metadata!", ADDRESS(INDEX($AH$2:$AH$1001,MATCH(ROWS($AF$2:AF186),$AF$2:$AF$1001,0),0), INDEX($AM$1004:$BM$1004,1,MATCH(COLUMNS($AM$1006:BJ1006),$AM$1006:$BM$1006,0)))),"Fix")))</f>
        <v xml:space="preserve"> </v>
      </c>
      <c r="Z186" s="4" t="str">
        <f ca="1">IF(OR(INDEX($AG$2:$AG$1001,MATCH(ROWS($AF$2:AF186),$AF$2:$AF$1001,0),1)&gt;=100000,INDEX($AM$1005:$BM$1005,1,MATCH(COLUMNS($AM$1006:BK1006),$AM$1006:$BM$1006,0))&gt;=100000), " ",IF(INDEX($AM$2:$BM$1001,MATCH(ROWS($AF$2:AF186),$AF$2:$AF$1001,0),MATCH(COLUMNS($AM$1006:BK1006),$AM$1006:$BM$1006,0)), HYPERLINK("#",""), HYPERLINK(CONCATENATE("#metadata!", ADDRESS(INDEX($AH$2:$AH$1001,MATCH(ROWS($AF$2:AF186),$AF$2:$AF$1001,0),0), INDEX($AM$1004:$BM$1004,1,MATCH(COLUMNS($AM$1006:BK1006),$AM$1006:$BM$1006,0)))),"Fix")))</f>
        <v xml:space="preserve"> </v>
      </c>
      <c r="AA186" s="4" t="str">
        <f ca="1">IF(OR(INDEX($AG$2:$AG$1001,MATCH(ROWS($AF$2:AF186),$AF$2:$AF$1001,0),1)&gt;=100000,INDEX($AM$1005:$BM$1005,1,MATCH(COLUMNS($AM$1006:BL1006),$AM$1006:$BM$1006,0))&gt;=100000), " ",IF(INDEX($AM$2:$BM$1001,MATCH(ROWS($AF$2:AF186),$AF$2:$AF$1001,0),MATCH(COLUMNS($AM$1006:BL1006),$AM$1006:$BM$1006,0)), HYPERLINK("#",""), HYPERLINK(CONCATENATE("#metadata!", ADDRESS(INDEX($AH$2:$AH$1001,MATCH(ROWS($AF$2:AF186),$AF$2:$AF$1001,0),0), INDEX($AM$1004:$BM$1004,1,MATCH(COLUMNS($AM$1006:BL1006),$AM$1006:$BM$1006,0)))),"Fix")))</f>
        <v xml:space="preserve"> </v>
      </c>
      <c r="AB186" s="4" t="str">
        <f ca="1">IF(OR(INDEX($AG$2:$AG$1001,MATCH(ROWS($AF$2:AF186),$AF$2:$AF$1001,0),1)&gt;=100000,INDEX($AM$1005:$BM$1005,1,MATCH(COLUMNS($AM$1006:BM1006),$AM$1006:$BM$1006,0))&gt;=100000), " ",IF(INDEX($AM$2:$BM$1001,MATCH(ROWS($AF$2:AF186),$AF$2:$AF$1001,0),MATCH(COLUMNS($AM$1006:BM1006),$AM$1006:$BM$1006,0)), HYPERLINK("#",""), HYPERLINK(CONCATENATE("#metadata!", ADDRESS(INDEX($AH$2:$AH$1001,MATCH(ROWS($AF$2:AF186),$AF$2:$AF$1001,0),0), INDEX($AM$1004:$BM$1004,1,MATCH(COLUMNS($AM$1006:BM1006),$AM$1006:$BM$1006,0)))),"Fix")))</f>
        <v xml:space="preserve"> </v>
      </c>
      <c r="AF186">
        <v>185</v>
      </c>
      <c r="AG186">
        <v>100186</v>
      </c>
      <c r="AH186">
        <v>186</v>
      </c>
      <c r="AI186" t="b">
        <f t="shared" si="2"/>
        <v>1</v>
      </c>
      <c r="AJ186" t="b">
        <f>COUNTBLANK(metadata!B186:AB186)=COLUMNS(metadata!B186:AB186)</f>
        <v>1</v>
      </c>
      <c r="AK186" t="str">
        <v/>
      </c>
      <c r="AM186" t="b">
        <f ca="1">AND(IF(metadata!B186="",FALSE,TRUE),COUNTIF(metadata!B:B, metadata!B186) = 1,NOT(ISERROR(SUMPRODUCT(SEARCH(MID(metadata!B186,ROW(INDIRECT("1:"&amp;LEN(metadata!B186))), 1),"0123456789abcdefghijklmnopqrstuvwxyzABCDEFGHIJKLMNOPQRSTUVWXYZ.")))))</f>
        <v>0</v>
      </c>
      <c r="AN186" t="b">
        <f ca="1">OR(AND(IF(metadata!C186="",FALSE,TRUE),OR(EXACT(metadata!C186,"missing: not collected"),EXACT(metadata!C186,"missing: not provided"),EXACT(metadata!C186,"missing: restricted access"))),AND(IF(metadata!C186="",FALSE,TRUE),AND(AND(IFERROR(INT(LEFT(metadata!C186,4))&gt;1900,FALSE),IFERROR(INT(LEFT(metadata!C186,4))&lt;=YEAR(NOW()),FALSE)), OR(MID(metadata!C186,5,1)="", AND(AND(MID(metadata!C186,5,1)="-",IFERROR(INT(MID(metadata!C186,6,1))&gt;=0,FALSE),IFERROR(INT(MID(metadata!C186,6,1))&lt;=1,FALSE),NOT(MID(metadata!C186,7,1)=""),IFERROR(INT(MID(metadata!C186,6,2))&gt;=1,FALSE),IFERROR(INT(MID(metadata!C186,6,2))&lt;=12,FALSE)), OR(MID(metadata!C186,8,1)="", AND(AND(MID(metadata!C186,8,1)="-",IFERROR(INT(MID(metadata!C186,9,1))&gt;=0,FALSE),IFERROR(INT(MID(metadata!C186,9,1))&lt;=3,FALSE),NOT(MID(metadata!C186,10,1)=""),IFERROR(INT(MID(metadata!C186,9,2))&gt;=1,FALSE),IFERROR(INT(MID(metadata!C186,9,2))&lt;=31,FALSE)), OR(MID(metadata!C186,11,1)="", AND(AND(MID(metadata!C186,11,1)=" ",IFERROR(INT(MID(metadata!C186,12,1))&gt;=0,FALSE),IFERROR(INT(MID(metadata!C186,12,1))&lt;=2,FALSE),NOT(MID(metadata!C186,13,1)=""),IFERROR(INT(MID(metadata!C186,12,2))&gt;=0,FALSE),IFERROR(INT(MID(metadata!C186,12,2))&lt;=23,FALSE)), OR(MID(metadata!C186,14,1)="", AND(AND(MID(metadata!C186,14,1)=":",IFERROR(INT(MID(metadata!C186,15,1))&gt;=0,FALSE),IFERROR(INT(MID(metadata!C186,15,1))&lt;=5,FALSE),NOT(MID(metadata!C186,16,1)=""),IFERROR(INT(MID(metadata!C186,15,2))&gt;=0,FALSE),IFERROR(INT(MID(metadata!C186,15,2))&lt;=59,FALSE)), OR(MID(metadata!C186,17,1)="", AND(AND(MID(metadata!C186,17,1)=":",IFERROR(INT(MID(metadata!C186,18,1))&gt;=0,FALSE),IFERROR(INT(MID(metadata!C186,18,1))&lt;=5,FALSE),NOT(MID(metadata!C186,19,1)=""),IFERROR(INT(MID(metadata!C186,18,2))&gt;=0,FALSE),IFERROR(INT(MID(metadata!C186,18,2))&lt;=59,FALSE)), LEN(metadata!C186)&lt;=19)))))))))))))</f>
        <v>0</v>
      </c>
      <c r="AO186" t="b">
        <f>AND(IF(metadata!D186="",FALSE,TRUE),EXACT(metadata!D186,"Not applicable"))</f>
        <v>0</v>
      </c>
      <c r="AP186" t="b">
        <f>IF(metadata!E186="",FALSE,TRUE)</f>
        <v>0</v>
      </c>
      <c r="AQ186" t="b">
        <f>OR(AND(IF(metadata!F186="",FALSE,TRUE),OR(EXACT(metadata!F186,"missing: not collected"),EXACT(metadata!F186,"missing: not provided"))),AND(IF(metadata!F186="",FALSE,TRUE),OR(EXACT(metadata!F186,"TRUE"),EXACT(metadata!F186,"FALSE"))))</f>
        <v>0</v>
      </c>
      <c r="AR186" t="b">
        <f>OR(AND(IF(metadata!G186="",FALSE,TRUE),OR(EXACT(metadata!G186,"missing: not collected"),EXACT(metadata!G186,"missing: not provided"),EXACT(metadata!G186,"missing: restricted access"))),AND(IF(metadata!G186="",FALSE,ISNUMBER(VALUE(metadata!G186))),metadata!G186&gt;=-413))</f>
        <v>0</v>
      </c>
      <c r="AS186" t="b">
        <f>AND(IF(metadata!H186="",FALSE,TRUE),EXACT(metadata!H186,"meters"))</f>
        <v>0</v>
      </c>
      <c r="AT186" t="b">
        <f>AND(IF(metadata!I186="",FALSE,TRUE),OR(EXACT(metadata!I186,"Host-associated"),EXACT(metadata!I186,"Free-living")))</f>
        <v>0</v>
      </c>
      <c r="AU186" t="b">
        <f>AND(IF(metadata!J186="",FALSE,TRUE),OR(EXACT(metadata!J186,"Animal"),EXACT(metadata!J186,"Fungus"),EXACT(metadata!J186,"Plant"),EXACT(metadata!J186,"Saline"),EXACT(metadata!J186,"Non-saline")))</f>
        <v>0</v>
      </c>
      <c r="AV186" t="b">
        <f>AND(IF(metadata!K186="",FALSE,TRUE),OR(EXACT(metadata!K186,"Plant secretion"),EXACT(metadata!K186,"Plant rhizosphere"),EXACT(metadata!K186,"Plant surface"),EXACT(metadata!K186,"Plant corpus"),EXACT(metadata!K186,"Fungus surface"),EXACT(metadata!K186,"Fungus corpus"),EXACT(metadata!K186,"Animal surface"),EXACT(metadata!K186,"Animal proximal gut"),EXACT(metadata!K186,"Animal corpus"),EXACT(metadata!K186,"Animal distal gut"),EXACT(metadata!K186,"Animal secretion"),EXACT(metadata!K186,"Sub-surface (non-saline)"),EXACT(metadata!K186,"Surface (non-saline)"),EXACT(metadata!K186,"Water (non-saline)"),EXACT(metadata!K186,"Soil (non-saline)"),EXACT(metadata!K186,"Aerosol (non-saline)"),EXACT(metadata!K186,"Sediment (non-saline)"),EXACT(metadata!K186,"Surface (saline)"),EXACT(metadata!K186,"Water (saline)"),EXACT(metadata!K186,"Hypersaline (saline)"),EXACT(metadata!K186,"Aerosol (saline)"),EXACT(metadata!K186,"Sediment (saline)")))</f>
        <v>0</v>
      </c>
      <c r="AW186" t="b">
        <f>IF(metadata!L186="",FALSE,TRUE)</f>
        <v>0</v>
      </c>
      <c r="AX186" t="b">
        <f>IF(metadata!M186="",FALSE,TRUE)</f>
        <v>0</v>
      </c>
      <c r="AY186" t="b">
        <f>IF(metadata!N186="",FALSE,TRUE)</f>
        <v>0</v>
      </c>
      <c r="AZ186" t="b">
        <f>OR(AND(IF(metadata!O186="",FALSE,TRUE),OR(EXACT(metadata!O186,"missing: not collected"),EXACT(metadata!O186,"missing: not provided"),EXACT(metadata!O186,"missing: restricted access"))),AND(IF(metadata!O186="",FALSE,TRUE),OR(EXACT(metadata!O186,"air"),EXACT(metadata!O186,"built environment"),EXACT(metadata!O186,"host-associated"),EXACT(metadata!O186,"human-associated"),EXACT(metadata!O186,"human-skin"),EXACT(metadata!O186,"human-oral"),EXACT(metadata!O186,"human-gut"),EXACT(metadata!O186,"human-vaginal"),EXACT(metadata!O186,"microbial mat/biofilm"),EXACT(metadata!O186,"misc environment"),EXACT(metadata!O186,"plant-associated"),EXACT(metadata!O186,"sediment"),EXACT(metadata!O186,"soil"),EXACT(metadata!O186,"wastewater/sludge"),EXACT(metadata!O186,"water"))))</f>
        <v>0</v>
      </c>
      <c r="BA186" t="b">
        <f>IF(metadata!P186="",FALSE,TRUE)</f>
        <v>0</v>
      </c>
      <c r="BB186" t="b">
        <f>IF(metadata!Q186="",FALSE,TRUE)</f>
        <v>0</v>
      </c>
      <c r="BC186" t="b">
        <f>OR(AND(IF(metadata!R186="",FALSE,TRUE),OR(EXACT(metadata!R186,"missing: not collected"),EXACT(metadata!R186,"missing: not provided"),EXACT(metadata!R186,"missing: restricted access"))),AND(IF(metadata!R186="",FALSE,ISNUMBER(VALUE(metadata!R186))),metadata!R186&gt;=-90,metadata!R186&lt;=90))</f>
        <v>0</v>
      </c>
      <c r="BD186" t="b">
        <f>AND(IF(metadata!S186="",FALSE,TRUE),EXACT(metadata!S186,"Decimal degrees"))</f>
        <v>0</v>
      </c>
      <c r="BE186" t="b">
        <f>OR(AND(IF(metadata!T186="",FALSE,TRUE),OR(EXACT(metadata!T186,"missing: not collected"),EXACT(metadata!T186,"missing: not provided"),EXACT(metadata!T186,"missing: restricted access"))),AND(IF(metadata!T186="",FALSE,ISNUMBER(VALUE(metadata!T186))),metadata!T186&gt;=-180,metadata!T186&lt;=180))</f>
        <v>0</v>
      </c>
      <c r="BF186" t="b">
        <f>AND(IF(metadata!U186="",FALSE,TRUE),EXACT(metadata!U186,"Decimal degrees"))</f>
        <v>0</v>
      </c>
      <c r="BG186" t="b">
        <f>IF(metadata!V186="",FALSE,TRUE)</f>
        <v>0</v>
      </c>
      <c r="BH186" t="b">
        <f>OR(AND(IF(metadata!W186="",FALSE,TRUE),OR(EXACT(metadata!W186,"missing: not collected"),EXACT(metadata!W186,"missing: not provided"),EXACT(metadata!W186,"missing: restricted access"))),AND(IF(metadata!W186="",FALSE,TRUE),OR(EXACT(metadata!W186,"TRUE"),EXACT(metadata!W186,"FALSE"))))</f>
        <v>0</v>
      </c>
      <c r="BI186" t="b">
        <f>AND(IF(metadata!X186="",FALSE,TRUE),EXACT(metadata!X186,"other"))</f>
        <v>0</v>
      </c>
      <c r="BJ186" t="b">
        <f>IF(metadata!Y186="",FALSE,TRUE)</f>
        <v>0</v>
      </c>
      <c r="BK186" t="b">
        <f>OR(AND(IF(metadata!Z186="",FALSE,TRUE),OR(EXACT(metadata!Z186,"missing: not collected"),EXACT(metadata!Z186,"missing: not provided"))),AND(IF(metadata!Z186="",FALSE,IF(ISERROR(INT(metadata!Z186)),FALSE,INT(metadata!Z186)=metadata!Z186)),metadata!Z186&gt;0))</f>
        <v>0</v>
      </c>
      <c r="BL186" t="b">
        <f>AND(IF(metadata!AA186="",FALSE,TRUE),EXACT(metadata!AA186,"Not applicable"))</f>
        <v>0</v>
      </c>
      <c r="BM186" t="b">
        <f>IF(metadata!AB186="",FALSE,TRUE)</f>
        <v>0</v>
      </c>
    </row>
    <row r="187" spans="1:65" x14ac:dyDescent="0.2">
      <c r="A187" s="5" t="str">
        <f ca="1">IF(B187=" "," ",HYPERLINK(CONCATENATE("#metadata!",ADDRESS(INDEX($AH$2:$AH$1001,MATCH(ROWS($AF$2:AF187),$AF$2:$AF$1001,0),0),1)),INDEX($AK$2:$AK$1001,MATCH(ROWS($AF$2:AF187),$AF$2:$AF$1001,0),0)))</f>
        <v xml:space="preserve"> </v>
      </c>
      <c r="B187" s="4" t="str">
        <f ca="1">IF(OR(INDEX($AG$2:$AG$1001,MATCH(ROWS($AF$2:AF187),$AF$2:$AF$1001,0),1)&gt;=100000,INDEX($AM$1005:$BM$1005,1,MATCH(COLUMNS($AM$1006:AM1006),$AM$1006:$BM$1006,0))&gt;=100000), " ",IF(INDEX($AM$2:$BM$1001,MATCH(ROWS($AF$2:AF187),$AF$2:$AF$1001,0),MATCH(COLUMNS($AM$1006:AM1006),$AM$1006:$BM$1006,0)), HYPERLINK("#",""), HYPERLINK(CONCATENATE("#metadata!", ADDRESS(INDEX($AH$2:$AH$1001,MATCH(ROWS($AF$2:AF187),$AF$2:$AF$1001,0),0), INDEX($AM$1004:$BM$1004,1,MATCH(COLUMNS($AM$1006:AM1006),$AM$1006:$BM$1006,0)))),"Fix")))</f>
        <v xml:space="preserve"> </v>
      </c>
      <c r="C187" s="4" t="str">
        <f ca="1">IF(OR(INDEX($AG$2:$AG$1001,MATCH(ROWS($AF$2:AF187),$AF$2:$AF$1001,0),1)&gt;=100000,INDEX($AM$1005:$BM$1005,1,MATCH(COLUMNS($AM$1006:AN1006),$AM$1006:$BM$1006,0))&gt;=100000), " ",IF(INDEX($AM$2:$BM$1001,MATCH(ROWS($AF$2:AF187),$AF$2:$AF$1001,0),MATCH(COLUMNS($AM$1006:AN1006),$AM$1006:$BM$1006,0)), HYPERLINK("#",""), HYPERLINK(CONCATENATE("#metadata!", ADDRESS(INDEX($AH$2:$AH$1001,MATCH(ROWS($AF$2:AF187),$AF$2:$AF$1001,0),0), INDEX($AM$1004:$BM$1004,1,MATCH(COLUMNS($AM$1006:AN1006),$AM$1006:$BM$1006,0)))),"Fix")))</f>
        <v xml:space="preserve"> </v>
      </c>
      <c r="D187" s="4" t="str">
        <f ca="1">IF(OR(INDEX($AG$2:$AG$1001,MATCH(ROWS($AF$2:AF187),$AF$2:$AF$1001,0),1)&gt;=100000,INDEX($AM$1005:$BM$1005,1,MATCH(COLUMNS($AM$1006:AO1006),$AM$1006:$BM$1006,0))&gt;=100000), " ",IF(INDEX($AM$2:$BM$1001,MATCH(ROWS($AF$2:AF187),$AF$2:$AF$1001,0),MATCH(COLUMNS($AM$1006:AO1006),$AM$1006:$BM$1006,0)), HYPERLINK("#",""), HYPERLINK(CONCATENATE("#metadata!", ADDRESS(INDEX($AH$2:$AH$1001,MATCH(ROWS($AF$2:AF187),$AF$2:$AF$1001,0),0), INDEX($AM$1004:$BM$1004,1,MATCH(COLUMNS($AM$1006:AO1006),$AM$1006:$BM$1006,0)))),"Fix")))</f>
        <v xml:space="preserve"> </v>
      </c>
      <c r="E187" s="4" t="str">
        <f ca="1">IF(OR(INDEX($AG$2:$AG$1001,MATCH(ROWS($AF$2:AF187),$AF$2:$AF$1001,0),1)&gt;=100000,INDEX($AM$1005:$BM$1005,1,MATCH(COLUMNS($AM$1006:AP1006),$AM$1006:$BM$1006,0))&gt;=100000), " ",IF(INDEX($AM$2:$BM$1001,MATCH(ROWS($AF$2:AF187),$AF$2:$AF$1001,0),MATCH(COLUMNS($AM$1006:AP1006),$AM$1006:$BM$1006,0)), HYPERLINK("#",""), HYPERLINK(CONCATENATE("#metadata!", ADDRESS(INDEX($AH$2:$AH$1001,MATCH(ROWS($AF$2:AF187),$AF$2:$AF$1001,0),0), INDEX($AM$1004:$BM$1004,1,MATCH(COLUMNS($AM$1006:AP1006),$AM$1006:$BM$1006,0)))),"Fix")))</f>
        <v xml:space="preserve"> </v>
      </c>
      <c r="F187" s="4" t="str">
        <f ca="1">IF(OR(INDEX($AG$2:$AG$1001,MATCH(ROWS($AF$2:AF187),$AF$2:$AF$1001,0),1)&gt;=100000,INDEX($AM$1005:$BM$1005,1,MATCH(COLUMNS($AM$1006:AQ1006),$AM$1006:$BM$1006,0))&gt;=100000), " ",IF(INDEX($AM$2:$BM$1001,MATCH(ROWS($AF$2:AF187),$AF$2:$AF$1001,0),MATCH(COLUMNS($AM$1006:AQ1006),$AM$1006:$BM$1006,0)), HYPERLINK("#",""), HYPERLINK(CONCATENATE("#metadata!", ADDRESS(INDEX($AH$2:$AH$1001,MATCH(ROWS($AF$2:AF187),$AF$2:$AF$1001,0),0), INDEX($AM$1004:$BM$1004,1,MATCH(COLUMNS($AM$1006:AQ1006),$AM$1006:$BM$1006,0)))),"Fix")))</f>
        <v xml:space="preserve"> </v>
      </c>
      <c r="G187" s="4" t="str">
        <f ca="1">IF(OR(INDEX($AG$2:$AG$1001,MATCH(ROWS($AF$2:AF187),$AF$2:$AF$1001,0),1)&gt;=100000,INDEX($AM$1005:$BM$1005,1,MATCH(COLUMNS($AM$1006:AR1006),$AM$1006:$BM$1006,0))&gt;=100000), " ",IF(INDEX($AM$2:$BM$1001,MATCH(ROWS($AF$2:AF187),$AF$2:$AF$1001,0),MATCH(COLUMNS($AM$1006:AR1006),$AM$1006:$BM$1006,0)), HYPERLINK("#",""), HYPERLINK(CONCATENATE("#metadata!", ADDRESS(INDEX($AH$2:$AH$1001,MATCH(ROWS($AF$2:AF187),$AF$2:$AF$1001,0),0), INDEX($AM$1004:$BM$1004,1,MATCH(COLUMNS($AM$1006:AR1006),$AM$1006:$BM$1006,0)))),"Fix")))</f>
        <v xml:space="preserve"> </v>
      </c>
      <c r="H187" s="4" t="str">
        <f ca="1">IF(OR(INDEX($AG$2:$AG$1001,MATCH(ROWS($AF$2:AF187),$AF$2:$AF$1001,0),1)&gt;=100000,INDEX($AM$1005:$BM$1005,1,MATCH(COLUMNS($AM$1006:AS1006),$AM$1006:$BM$1006,0))&gt;=100000), " ",IF(INDEX($AM$2:$BM$1001,MATCH(ROWS($AF$2:AF187),$AF$2:$AF$1001,0),MATCH(COLUMNS($AM$1006:AS1006),$AM$1006:$BM$1006,0)), HYPERLINK("#",""), HYPERLINK(CONCATENATE("#metadata!", ADDRESS(INDEX($AH$2:$AH$1001,MATCH(ROWS($AF$2:AF187),$AF$2:$AF$1001,0),0), INDEX($AM$1004:$BM$1004,1,MATCH(COLUMNS($AM$1006:AS1006),$AM$1006:$BM$1006,0)))),"Fix")))</f>
        <v xml:space="preserve"> </v>
      </c>
      <c r="I187" s="4" t="str">
        <f ca="1">IF(OR(INDEX($AG$2:$AG$1001,MATCH(ROWS($AF$2:AF187),$AF$2:$AF$1001,0),1)&gt;=100000,INDEX($AM$1005:$BM$1005,1,MATCH(COLUMNS($AM$1006:AT1006),$AM$1006:$BM$1006,0))&gt;=100000), " ",IF(INDEX($AM$2:$BM$1001,MATCH(ROWS($AF$2:AF187),$AF$2:$AF$1001,0),MATCH(COLUMNS($AM$1006:AT1006),$AM$1006:$BM$1006,0)), HYPERLINK("#",""), HYPERLINK(CONCATENATE("#metadata!", ADDRESS(INDEX($AH$2:$AH$1001,MATCH(ROWS($AF$2:AF187),$AF$2:$AF$1001,0),0), INDEX($AM$1004:$BM$1004,1,MATCH(COLUMNS($AM$1006:AT1006),$AM$1006:$BM$1006,0)))),"Fix")))</f>
        <v xml:space="preserve"> </v>
      </c>
      <c r="J187" s="4" t="str">
        <f ca="1">IF(OR(INDEX($AG$2:$AG$1001,MATCH(ROWS($AF$2:AF187),$AF$2:$AF$1001,0),1)&gt;=100000,INDEX($AM$1005:$BM$1005,1,MATCH(COLUMNS($AM$1006:AU1006),$AM$1006:$BM$1006,0))&gt;=100000), " ",IF(INDEX($AM$2:$BM$1001,MATCH(ROWS($AF$2:AF187),$AF$2:$AF$1001,0),MATCH(COLUMNS($AM$1006:AU1006),$AM$1006:$BM$1006,0)), HYPERLINK("#",""), HYPERLINK(CONCATENATE("#metadata!", ADDRESS(INDEX($AH$2:$AH$1001,MATCH(ROWS($AF$2:AF187),$AF$2:$AF$1001,0),0), INDEX($AM$1004:$BM$1004,1,MATCH(COLUMNS($AM$1006:AU1006),$AM$1006:$BM$1006,0)))),"Fix")))</f>
        <v xml:space="preserve"> </v>
      </c>
      <c r="K187" s="4" t="str">
        <f ca="1">IF(OR(INDEX($AG$2:$AG$1001,MATCH(ROWS($AF$2:AF187),$AF$2:$AF$1001,0),1)&gt;=100000,INDEX($AM$1005:$BM$1005,1,MATCH(COLUMNS($AM$1006:AV1006),$AM$1006:$BM$1006,0))&gt;=100000), " ",IF(INDEX($AM$2:$BM$1001,MATCH(ROWS($AF$2:AF187),$AF$2:$AF$1001,0),MATCH(COLUMNS($AM$1006:AV1006),$AM$1006:$BM$1006,0)), HYPERLINK("#",""), HYPERLINK(CONCATENATE("#metadata!", ADDRESS(INDEX($AH$2:$AH$1001,MATCH(ROWS($AF$2:AF187),$AF$2:$AF$1001,0),0), INDEX($AM$1004:$BM$1004,1,MATCH(COLUMNS($AM$1006:AV1006),$AM$1006:$BM$1006,0)))),"Fix")))</f>
        <v xml:space="preserve"> </v>
      </c>
      <c r="L187" s="4" t="str">
        <f ca="1">IF(OR(INDEX($AG$2:$AG$1001,MATCH(ROWS($AF$2:AF187),$AF$2:$AF$1001,0),1)&gt;=100000,INDEX($AM$1005:$BM$1005,1,MATCH(COLUMNS($AM$1006:AW1006),$AM$1006:$BM$1006,0))&gt;=100000), " ",IF(INDEX($AM$2:$BM$1001,MATCH(ROWS($AF$2:AF187),$AF$2:$AF$1001,0),MATCH(COLUMNS($AM$1006:AW1006),$AM$1006:$BM$1006,0)), HYPERLINK("#",""), HYPERLINK(CONCATENATE("#metadata!", ADDRESS(INDEX($AH$2:$AH$1001,MATCH(ROWS($AF$2:AF187),$AF$2:$AF$1001,0),0), INDEX($AM$1004:$BM$1004,1,MATCH(COLUMNS($AM$1006:AW1006),$AM$1006:$BM$1006,0)))),"Fix")))</f>
        <v xml:space="preserve"> </v>
      </c>
      <c r="M187" s="4" t="str">
        <f ca="1">IF(OR(INDEX($AG$2:$AG$1001,MATCH(ROWS($AF$2:AF187),$AF$2:$AF$1001,0),1)&gt;=100000,INDEX($AM$1005:$BM$1005,1,MATCH(COLUMNS($AM$1006:AX1006),$AM$1006:$BM$1006,0))&gt;=100000), " ",IF(INDEX($AM$2:$BM$1001,MATCH(ROWS($AF$2:AF187),$AF$2:$AF$1001,0),MATCH(COLUMNS($AM$1006:AX1006),$AM$1006:$BM$1006,0)), HYPERLINK("#",""), HYPERLINK(CONCATENATE("#metadata!", ADDRESS(INDEX($AH$2:$AH$1001,MATCH(ROWS($AF$2:AF187),$AF$2:$AF$1001,0),0), INDEX($AM$1004:$BM$1004,1,MATCH(COLUMNS($AM$1006:AX1006),$AM$1006:$BM$1006,0)))),"Fix")))</f>
        <v xml:space="preserve"> </v>
      </c>
      <c r="N187" s="4" t="str">
        <f ca="1">IF(OR(INDEX($AG$2:$AG$1001,MATCH(ROWS($AF$2:AF187),$AF$2:$AF$1001,0),1)&gt;=100000,INDEX($AM$1005:$BM$1005,1,MATCH(COLUMNS($AM$1006:AY1006),$AM$1006:$BM$1006,0))&gt;=100000), " ",IF(INDEX($AM$2:$BM$1001,MATCH(ROWS($AF$2:AF187),$AF$2:$AF$1001,0),MATCH(COLUMNS($AM$1006:AY1006),$AM$1006:$BM$1006,0)), HYPERLINK("#",""), HYPERLINK(CONCATENATE("#metadata!", ADDRESS(INDEX($AH$2:$AH$1001,MATCH(ROWS($AF$2:AF187),$AF$2:$AF$1001,0),0), INDEX($AM$1004:$BM$1004,1,MATCH(COLUMNS($AM$1006:AY1006),$AM$1006:$BM$1006,0)))),"Fix")))</f>
        <v xml:space="preserve"> </v>
      </c>
      <c r="O187" s="4" t="str">
        <f ca="1">IF(OR(INDEX($AG$2:$AG$1001,MATCH(ROWS($AF$2:AF187),$AF$2:$AF$1001,0),1)&gt;=100000,INDEX($AM$1005:$BM$1005,1,MATCH(COLUMNS($AM$1006:AZ1006),$AM$1006:$BM$1006,0))&gt;=100000), " ",IF(INDEX($AM$2:$BM$1001,MATCH(ROWS($AF$2:AF187),$AF$2:$AF$1001,0),MATCH(COLUMNS($AM$1006:AZ1006),$AM$1006:$BM$1006,0)), HYPERLINK("#",""), HYPERLINK(CONCATENATE("#metadata!", ADDRESS(INDEX($AH$2:$AH$1001,MATCH(ROWS($AF$2:AF187),$AF$2:$AF$1001,0),0), INDEX($AM$1004:$BM$1004,1,MATCH(COLUMNS($AM$1006:AZ1006),$AM$1006:$BM$1006,0)))),"Fix")))</f>
        <v xml:space="preserve"> </v>
      </c>
      <c r="P187" s="4" t="str">
        <f ca="1">IF(OR(INDEX($AG$2:$AG$1001,MATCH(ROWS($AF$2:AF187),$AF$2:$AF$1001,0),1)&gt;=100000,INDEX($AM$1005:$BM$1005,1,MATCH(COLUMNS($AM$1006:BA1006),$AM$1006:$BM$1006,0))&gt;=100000), " ",IF(INDEX($AM$2:$BM$1001,MATCH(ROWS($AF$2:AF187),$AF$2:$AF$1001,0),MATCH(COLUMNS($AM$1006:BA1006),$AM$1006:$BM$1006,0)), HYPERLINK("#",""), HYPERLINK(CONCATENATE("#metadata!", ADDRESS(INDEX($AH$2:$AH$1001,MATCH(ROWS($AF$2:AF187),$AF$2:$AF$1001,0),0), INDEX($AM$1004:$BM$1004,1,MATCH(COLUMNS($AM$1006:BA1006),$AM$1006:$BM$1006,0)))),"Fix")))</f>
        <v xml:space="preserve"> </v>
      </c>
      <c r="Q187" s="4" t="str">
        <f ca="1">IF(OR(INDEX($AG$2:$AG$1001,MATCH(ROWS($AF$2:AF187),$AF$2:$AF$1001,0),1)&gt;=100000,INDEX($AM$1005:$BM$1005,1,MATCH(COLUMNS($AM$1006:BB1006),$AM$1006:$BM$1006,0))&gt;=100000), " ",IF(INDEX($AM$2:$BM$1001,MATCH(ROWS($AF$2:AF187),$AF$2:$AF$1001,0),MATCH(COLUMNS($AM$1006:BB1006),$AM$1006:$BM$1006,0)), HYPERLINK("#",""), HYPERLINK(CONCATENATE("#metadata!", ADDRESS(INDEX($AH$2:$AH$1001,MATCH(ROWS($AF$2:AF187),$AF$2:$AF$1001,0),0), INDEX($AM$1004:$BM$1004,1,MATCH(COLUMNS($AM$1006:BB1006),$AM$1006:$BM$1006,0)))),"Fix")))</f>
        <v xml:space="preserve"> </v>
      </c>
      <c r="R187" s="4" t="str">
        <f ca="1">IF(OR(INDEX($AG$2:$AG$1001,MATCH(ROWS($AF$2:AF187),$AF$2:$AF$1001,0),1)&gt;=100000,INDEX($AM$1005:$BM$1005,1,MATCH(COLUMNS($AM$1006:BC1006),$AM$1006:$BM$1006,0))&gt;=100000), " ",IF(INDEX($AM$2:$BM$1001,MATCH(ROWS($AF$2:AF187),$AF$2:$AF$1001,0),MATCH(COLUMNS($AM$1006:BC1006),$AM$1006:$BM$1006,0)), HYPERLINK("#",""), HYPERLINK(CONCATENATE("#metadata!", ADDRESS(INDEX($AH$2:$AH$1001,MATCH(ROWS($AF$2:AF187),$AF$2:$AF$1001,0),0), INDEX($AM$1004:$BM$1004,1,MATCH(COLUMNS($AM$1006:BC1006),$AM$1006:$BM$1006,0)))),"Fix")))</f>
        <v xml:space="preserve"> </v>
      </c>
      <c r="S187" s="4" t="str">
        <f ca="1">IF(OR(INDEX($AG$2:$AG$1001,MATCH(ROWS($AF$2:AF187),$AF$2:$AF$1001,0),1)&gt;=100000,INDEX($AM$1005:$BM$1005,1,MATCH(COLUMNS($AM$1006:BD1006),$AM$1006:$BM$1006,0))&gt;=100000), " ",IF(INDEX($AM$2:$BM$1001,MATCH(ROWS($AF$2:AF187),$AF$2:$AF$1001,0),MATCH(COLUMNS($AM$1006:BD1006),$AM$1006:$BM$1006,0)), HYPERLINK("#",""), HYPERLINK(CONCATENATE("#metadata!", ADDRESS(INDEX($AH$2:$AH$1001,MATCH(ROWS($AF$2:AF187),$AF$2:$AF$1001,0),0), INDEX($AM$1004:$BM$1004,1,MATCH(COLUMNS($AM$1006:BD1006),$AM$1006:$BM$1006,0)))),"Fix")))</f>
        <v xml:space="preserve"> </v>
      </c>
      <c r="T187" s="4" t="str">
        <f ca="1">IF(OR(INDEX($AG$2:$AG$1001,MATCH(ROWS($AF$2:AF187),$AF$2:$AF$1001,0),1)&gt;=100000,INDEX($AM$1005:$BM$1005,1,MATCH(COLUMNS($AM$1006:BE1006),$AM$1006:$BM$1006,0))&gt;=100000), " ",IF(INDEX($AM$2:$BM$1001,MATCH(ROWS($AF$2:AF187),$AF$2:$AF$1001,0),MATCH(COLUMNS($AM$1006:BE1006),$AM$1006:$BM$1006,0)), HYPERLINK("#",""), HYPERLINK(CONCATENATE("#metadata!", ADDRESS(INDEX($AH$2:$AH$1001,MATCH(ROWS($AF$2:AF187),$AF$2:$AF$1001,0),0), INDEX($AM$1004:$BM$1004,1,MATCH(COLUMNS($AM$1006:BE1006),$AM$1006:$BM$1006,0)))),"Fix")))</f>
        <v xml:space="preserve"> </v>
      </c>
      <c r="U187" s="4" t="str">
        <f ca="1">IF(OR(INDEX($AG$2:$AG$1001,MATCH(ROWS($AF$2:AF187),$AF$2:$AF$1001,0),1)&gt;=100000,INDEX($AM$1005:$BM$1005,1,MATCH(COLUMNS($AM$1006:BF1006),$AM$1006:$BM$1006,0))&gt;=100000), " ",IF(INDEX($AM$2:$BM$1001,MATCH(ROWS($AF$2:AF187),$AF$2:$AF$1001,0),MATCH(COLUMNS($AM$1006:BF1006),$AM$1006:$BM$1006,0)), HYPERLINK("#",""), HYPERLINK(CONCATENATE("#metadata!", ADDRESS(INDEX($AH$2:$AH$1001,MATCH(ROWS($AF$2:AF187),$AF$2:$AF$1001,0),0), INDEX($AM$1004:$BM$1004,1,MATCH(COLUMNS($AM$1006:BF1006),$AM$1006:$BM$1006,0)))),"Fix")))</f>
        <v xml:space="preserve"> </v>
      </c>
      <c r="V187" s="4" t="str">
        <f ca="1">IF(OR(INDEX($AG$2:$AG$1001,MATCH(ROWS($AF$2:AF187),$AF$2:$AF$1001,0),1)&gt;=100000,INDEX($AM$1005:$BM$1005,1,MATCH(COLUMNS($AM$1006:BG1006),$AM$1006:$BM$1006,0))&gt;=100000), " ",IF(INDEX($AM$2:$BM$1001,MATCH(ROWS($AF$2:AF187),$AF$2:$AF$1001,0),MATCH(COLUMNS($AM$1006:BG1006),$AM$1006:$BM$1006,0)), HYPERLINK("#",""), HYPERLINK(CONCATENATE("#metadata!", ADDRESS(INDEX($AH$2:$AH$1001,MATCH(ROWS($AF$2:AF187),$AF$2:$AF$1001,0),0), INDEX($AM$1004:$BM$1004,1,MATCH(COLUMNS($AM$1006:BG1006),$AM$1006:$BM$1006,0)))),"Fix")))</f>
        <v xml:space="preserve"> </v>
      </c>
      <c r="W187" s="4" t="str">
        <f ca="1">IF(OR(INDEX($AG$2:$AG$1001,MATCH(ROWS($AF$2:AF187),$AF$2:$AF$1001,0),1)&gt;=100000,INDEX($AM$1005:$BM$1005,1,MATCH(COLUMNS($AM$1006:BH1006),$AM$1006:$BM$1006,0))&gt;=100000), " ",IF(INDEX($AM$2:$BM$1001,MATCH(ROWS($AF$2:AF187),$AF$2:$AF$1001,0),MATCH(COLUMNS($AM$1006:BH1006),$AM$1006:$BM$1006,0)), HYPERLINK("#",""), HYPERLINK(CONCATENATE("#metadata!", ADDRESS(INDEX($AH$2:$AH$1001,MATCH(ROWS($AF$2:AF187),$AF$2:$AF$1001,0),0), INDEX($AM$1004:$BM$1004,1,MATCH(COLUMNS($AM$1006:BH1006),$AM$1006:$BM$1006,0)))),"Fix")))</f>
        <v xml:space="preserve"> </v>
      </c>
      <c r="X187" s="4" t="str">
        <f ca="1">IF(OR(INDEX($AG$2:$AG$1001,MATCH(ROWS($AF$2:AF187),$AF$2:$AF$1001,0),1)&gt;=100000,INDEX($AM$1005:$BM$1005,1,MATCH(COLUMNS($AM$1006:BI1006),$AM$1006:$BM$1006,0))&gt;=100000), " ",IF(INDEX($AM$2:$BM$1001,MATCH(ROWS($AF$2:AF187),$AF$2:$AF$1001,0),MATCH(COLUMNS($AM$1006:BI1006),$AM$1006:$BM$1006,0)), HYPERLINK("#",""), HYPERLINK(CONCATENATE("#metadata!", ADDRESS(INDEX($AH$2:$AH$1001,MATCH(ROWS($AF$2:AF187),$AF$2:$AF$1001,0),0), INDEX($AM$1004:$BM$1004,1,MATCH(COLUMNS($AM$1006:BI1006),$AM$1006:$BM$1006,0)))),"Fix")))</f>
        <v xml:space="preserve"> </v>
      </c>
      <c r="Y187" s="4" t="str">
        <f ca="1">IF(OR(INDEX($AG$2:$AG$1001,MATCH(ROWS($AF$2:AF187),$AF$2:$AF$1001,0),1)&gt;=100000,INDEX($AM$1005:$BM$1005,1,MATCH(COLUMNS($AM$1006:BJ1006),$AM$1006:$BM$1006,0))&gt;=100000), " ",IF(INDEX($AM$2:$BM$1001,MATCH(ROWS($AF$2:AF187),$AF$2:$AF$1001,0),MATCH(COLUMNS($AM$1006:BJ1006),$AM$1006:$BM$1006,0)), HYPERLINK("#",""), HYPERLINK(CONCATENATE("#metadata!", ADDRESS(INDEX($AH$2:$AH$1001,MATCH(ROWS($AF$2:AF187),$AF$2:$AF$1001,0),0), INDEX($AM$1004:$BM$1004,1,MATCH(COLUMNS($AM$1006:BJ1006),$AM$1006:$BM$1006,0)))),"Fix")))</f>
        <v xml:space="preserve"> </v>
      </c>
      <c r="Z187" s="4" t="str">
        <f ca="1">IF(OR(INDEX($AG$2:$AG$1001,MATCH(ROWS($AF$2:AF187),$AF$2:$AF$1001,0),1)&gt;=100000,INDEX($AM$1005:$BM$1005,1,MATCH(COLUMNS($AM$1006:BK1006),$AM$1006:$BM$1006,0))&gt;=100000), " ",IF(INDEX($AM$2:$BM$1001,MATCH(ROWS($AF$2:AF187),$AF$2:$AF$1001,0),MATCH(COLUMNS($AM$1006:BK1006),$AM$1006:$BM$1006,0)), HYPERLINK("#",""), HYPERLINK(CONCATENATE("#metadata!", ADDRESS(INDEX($AH$2:$AH$1001,MATCH(ROWS($AF$2:AF187),$AF$2:$AF$1001,0),0), INDEX($AM$1004:$BM$1004,1,MATCH(COLUMNS($AM$1006:BK1006),$AM$1006:$BM$1006,0)))),"Fix")))</f>
        <v xml:space="preserve"> </v>
      </c>
      <c r="AA187" s="4" t="str">
        <f ca="1">IF(OR(INDEX($AG$2:$AG$1001,MATCH(ROWS($AF$2:AF187),$AF$2:$AF$1001,0),1)&gt;=100000,INDEX($AM$1005:$BM$1005,1,MATCH(COLUMNS($AM$1006:BL1006),$AM$1006:$BM$1006,0))&gt;=100000), " ",IF(INDEX($AM$2:$BM$1001,MATCH(ROWS($AF$2:AF187),$AF$2:$AF$1001,0),MATCH(COLUMNS($AM$1006:BL1006),$AM$1006:$BM$1006,0)), HYPERLINK("#",""), HYPERLINK(CONCATENATE("#metadata!", ADDRESS(INDEX($AH$2:$AH$1001,MATCH(ROWS($AF$2:AF187),$AF$2:$AF$1001,0),0), INDEX($AM$1004:$BM$1004,1,MATCH(COLUMNS($AM$1006:BL1006),$AM$1006:$BM$1006,0)))),"Fix")))</f>
        <v xml:space="preserve"> </v>
      </c>
      <c r="AB187" s="4" t="str">
        <f ca="1">IF(OR(INDEX($AG$2:$AG$1001,MATCH(ROWS($AF$2:AF187),$AF$2:$AF$1001,0),1)&gt;=100000,INDEX($AM$1005:$BM$1005,1,MATCH(COLUMNS($AM$1006:BM1006),$AM$1006:$BM$1006,0))&gt;=100000), " ",IF(INDEX($AM$2:$BM$1001,MATCH(ROWS($AF$2:AF187),$AF$2:$AF$1001,0),MATCH(COLUMNS($AM$1006:BM1006),$AM$1006:$BM$1006,0)), HYPERLINK("#",""), HYPERLINK(CONCATENATE("#metadata!", ADDRESS(INDEX($AH$2:$AH$1001,MATCH(ROWS($AF$2:AF187),$AF$2:$AF$1001,0),0), INDEX($AM$1004:$BM$1004,1,MATCH(COLUMNS($AM$1006:BM1006),$AM$1006:$BM$1006,0)))),"Fix")))</f>
        <v xml:space="preserve"> </v>
      </c>
      <c r="AF187">
        <v>186</v>
      </c>
      <c r="AG187">
        <v>100187</v>
      </c>
      <c r="AH187">
        <v>187</v>
      </c>
      <c r="AI187" t="b">
        <f t="shared" si="2"/>
        <v>1</v>
      </c>
      <c r="AJ187" t="b">
        <f>COUNTBLANK(metadata!B187:AB187)=COLUMNS(metadata!B187:AB187)</f>
        <v>1</v>
      </c>
      <c r="AK187" t="str">
        <v/>
      </c>
      <c r="AM187" t="b">
        <f ca="1">AND(IF(metadata!B187="",FALSE,TRUE),COUNTIF(metadata!B:B, metadata!B187) = 1,NOT(ISERROR(SUMPRODUCT(SEARCH(MID(metadata!B187,ROW(INDIRECT("1:"&amp;LEN(metadata!B187))), 1),"0123456789abcdefghijklmnopqrstuvwxyzABCDEFGHIJKLMNOPQRSTUVWXYZ.")))))</f>
        <v>0</v>
      </c>
      <c r="AN187" t="b">
        <f ca="1">OR(AND(IF(metadata!C187="",FALSE,TRUE),OR(EXACT(metadata!C187,"missing: not collected"),EXACT(metadata!C187,"missing: not provided"),EXACT(metadata!C187,"missing: restricted access"))),AND(IF(metadata!C187="",FALSE,TRUE),AND(AND(IFERROR(INT(LEFT(metadata!C187,4))&gt;1900,FALSE),IFERROR(INT(LEFT(metadata!C187,4))&lt;=YEAR(NOW()),FALSE)), OR(MID(metadata!C187,5,1)="", AND(AND(MID(metadata!C187,5,1)="-",IFERROR(INT(MID(metadata!C187,6,1))&gt;=0,FALSE),IFERROR(INT(MID(metadata!C187,6,1))&lt;=1,FALSE),NOT(MID(metadata!C187,7,1)=""),IFERROR(INT(MID(metadata!C187,6,2))&gt;=1,FALSE),IFERROR(INT(MID(metadata!C187,6,2))&lt;=12,FALSE)), OR(MID(metadata!C187,8,1)="", AND(AND(MID(metadata!C187,8,1)="-",IFERROR(INT(MID(metadata!C187,9,1))&gt;=0,FALSE),IFERROR(INT(MID(metadata!C187,9,1))&lt;=3,FALSE),NOT(MID(metadata!C187,10,1)=""),IFERROR(INT(MID(metadata!C187,9,2))&gt;=1,FALSE),IFERROR(INT(MID(metadata!C187,9,2))&lt;=31,FALSE)), OR(MID(metadata!C187,11,1)="", AND(AND(MID(metadata!C187,11,1)=" ",IFERROR(INT(MID(metadata!C187,12,1))&gt;=0,FALSE),IFERROR(INT(MID(metadata!C187,12,1))&lt;=2,FALSE),NOT(MID(metadata!C187,13,1)=""),IFERROR(INT(MID(metadata!C187,12,2))&gt;=0,FALSE),IFERROR(INT(MID(metadata!C187,12,2))&lt;=23,FALSE)), OR(MID(metadata!C187,14,1)="", AND(AND(MID(metadata!C187,14,1)=":",IFERROR(INT(MID(metadata!C187,15,1))&gt;=0,FALSE),IFERROR(INT(MID(metadata!C187,15,1))&lt;=5,FALSE),NOT(MID(metadata!C187,16,1)=""),IFERROR(INT(MID(metadata!C187,15,2))&gt;=0,FALSE),IFERROR(INT(MID(metadata!C187,15,2))&lt;=59,FALSE)), OR(MID(metadata!C187,17,1)="", AND(AND(MID(metadata!C187,17,1)=":",IFERROR(INT(MID(metadata!C187,18,1))&gt;=0,FALSE),IFERROR(INT(MID(metadata!C187,18,1))&lt;=5,FALSE),NOT(MID(metadata!C187,19,1)=""),IFERROR(INT(MID(metadata!C187,18,2))&gt;=0,FALSE),IFERROR(INT(MID(metadata!C187,18,2))&lt;=59,FALSE)), LEN(metadata!C187)&lt;=19)))))))))))))</f>
        <v>0</v>
      </c>
      <c r="AO187" t="b">
        <f>AND(IF(metadata!D187="",FALSE,TRUE),EXACT(metadata!D187,"Not applicable"))</f>
        <v>0</v>
      </c>
      <c r="AP187" t="b">
        <f>IF(metadata!E187="",FALSE,TRUE)</f>
        <v>0</v>
      </c>
      <c r="AQ187" t="b">
        <f>OR(AND(IF(metadata!F187="",FALSE,TRUE),OR(EXACT(metadata!F187,"missing: not collected"),EXACT(metadata!F187,"missing: not provided"))),AND(IF(metadata!F187="",FALSE,TRUE),OR(EXACT(metadata!F187,"TRUE"),EXACT(metadata!F187,"FALSE"))))</f>
        <v>0</v>
      </c>
      <c r="AR187" t="b">
        <f>OR(AND(IF(metadata!G187="",FALSE,TRUE),OR(EXACT(metadata!G187,"missing: not collected"),EXACT(metadata!G187,"missing: not provided"),EXACT(metadata!G187,"missing: restricted access"))),AND(IF(metadata!G187="",FALSE,ISNUMBER(VALUE(metadata!G187))),metadata!G187&gt;=-413))</f>
        <v>0</v>
      </c>
      <c r="AS187" t="b">
        <f>AND(IF(metadata!H187="",FALSE,TRUE),EXACT(metadata!H187,"meters"))</f>
        <v>0</v>
      </c>
      <c r="AT187" t="b">
        <f>AND(IF(metadata!I187="",FALSE,TRUE),OR(EXACT(metadata!I187,"Host-associated"),EXACT(metadata!I187,"Free-living")))</f>
        <v>0</v>
      </c>
      <c r="AU187" t="b">
        <f>AND(IF(metadata!J187="",FALSE,TRUE),OR(EXACT(metadata!J187,"Animal"),EXACT(metadata!J187,"Fungus"),EXACT(metadata!J187,"Plant"),EXACT(metadata!J187,"Saline"),EXACT(metadata!J187,"Non-saline")))</f>
        <v>0</v>
      </c>
      <c r="AV187" t="b">
        <f>AND(IF(metadata!K187="",FALSE,TRUE),OR(EXACT(metadata!K187,"Plant secretion"),EXACT(metadata!K187,"Plant rhizosphere"),EXACT(metadata!K187,"Plant surface"),EXACT(metadata!K187,"Plant corpus"),EXACT(metadata!K187,"Fungus surface"),EXACT(metadata!K187,"Fungus corpus"),EXACT(metadata!K187,"Animal surface"),EXACT(metadata!K187,"Animal proximal gut"),EXACT(metadata!K187,"Animal corpus"),EXACT(metadata!K187,"Animal distal gut"),EXACT(metadata!K187,"Animal secretion"),EXACT(metadata!K187,"Sub-surface (non-saline)"),EXACT(metadata!K187,"Surface (non-saline)"),EXACT(metadata!K187,"Water (non-saline)"),EXACT(metadata!K187,"Soil (non-saline)"),EXACT(metadata!K187,"Aerosol (non-saline)"),EXACT(metadata!K187,"Sediment (non-saline)"),EXACT(metadata!K187,"Surface (saline)"),EXACT(metadata!K187,"Water (saline)"),EXACT(metadata!K187,"Hypersaline (saline)"),EXACT(metadata!K187,"Aerosol (saline)"),EXACT(metadata!K187,"Sediment (saline)")))</f>
        <v>0</v>
      </c>
      <c r="AW187" t="b">
        <f>IF(metadata!L187="",FALSE,TRUE)</f>
        <v>0</v>
      </c>
      <c r="AX187" t="b">
        <f>IF(metadata!M187="",FALSE,TRUE)</f>
        <v>0</v>
      </c>
      <c r="AY187" t="b">
        <f>IF(metadata!N187="",FALSE,TRUE)</f>
        <v>0</v>
      </c>
      <c r="AZ187" t="b">
        <f>OR(AND(IF(metadata!O187="",FALSE,TRUE),OR(EXACT(metadata!O187,"missing: not collected"),EXACT(metadata!O187,"missing: not provided"),EXACT(metadata!O187,"missing: restricted access"))),AND(IF(metadata!O187="",FALSE,TRUE),OR(EXACT(metadata!O187,"air"),EXACT(metadata!O187,"built environment"),EXACT(metadata!O187,"host-associated"),EXACT(metadata!O187,"human-associated"),EXACT(metadata!O187,"human-skin"),EXACT(metadata!O187,"human-oral"),EXACT(metadata!O187,"human-gut"),EXACT(metadata!O187,"human-vaginal"),EXACT(metadata!O187,"microbial mat/biofilm"),EXACT(metadata!O187,"misc environment"),EXACT(metadata!O187,"plant-associated"),EXACT(metadata!O187,"sediment"),EXACT(metadata!O187,"soil"),EXACT(metadata!O187,"wastewater/sludge"),EXACT(metadata!O187,"water"))))</f>
        <v>0</v>
      </c>
      <c r="BA187" t="b">
        <f>IF(metadata!P187="",FALSE,TRUE)</f>
        <v>0</v>
      </c>
      <c r="BB187" t="b">
        <f>IF(metadata!Q187="",FALSE,TRUE)</f>
        <v>0</v>
      </c>
      <c r="BC187" t="b">
        <f>OR(AND(IF(metadata!R187="",FALSE,TRUE),OR(EXACT(metadata!R187,"missing: not collected"),EXACT(metadata!R187,"missing: not provided"),EXACT(metadata!R187,"missing: restricted access"))),AND(IF(metadata!R187="",FALSE,ISNUMBER(VALUE(metadata!R187))),metadata!R187&gt;=-90,metadata!R187&lt;=90))</f>
        <v>0</v>
      </c>
      <c r="BD187" t="b">
        <f>AND(IF(metadata!S187="",FALSE,TRUE),EXACT(metadata!S187,"Decimal degrees"))</f>
        <v>0</v>
      </c>
      <c r="BE187" t="b">
        <f>OR(AND(IF(metadata!T187="",FALSE,TRUE),OR(EXACT(metadata!T187,"missing: not collected"),EXACT(metadata!T187,"missing: not provided"),EXACT(metadata!T187,"missing: restricted access"))),AND(IF(metadata!T187="",FALSE,ISNUMBER(VALUE(metadata!T187))),metadata!T187&gt;=-180,metadata!T187&lt;=180))</f>
        <v>0</v>
      </c>
      <c r="BF187" t="b">
        <f>AND(IF(metadata!U187="",FALSE,TRUE),EXACT(metadata!U187,"Decimal degrees"))</f>
        <v>0</v>
      </c>
      <c r="BG187" t="b">
        <f>IF(metadata!V187="",FALSE,TRUE)</f>
        <v>0</v>
      </c>
      <c r="BH187" t="b">
        <f>OR(AND(IF(metadata!W187="",FALSE,TRUE),OR(EXACT(metadata!W187,"missing: not collected"),EXACT(metadata!W187,"missing: not provided"),EXACT(metadata!W187,"missing: restricted access"))),AND(IF(metadata!W187="",FALSE,TRUE),OR(EXACT(metadata!W187,"TRUE"),EXACT(metadata!W187,"FALSE"))))</f>
        <v>0</v>
      </c>
      <c r="BI187" t="b">
        <f>AND(IF(metadata!X187="",FALSE,TRUE),EXACT(metadata!X187,"other"))</f>
        <v>0</v>
      </c>
      <c r="BJ187" t="b">
        <f>IF(metadata!Y187="",FALSE,TRUE)</f>
        <v>0</v>
      </c>
      <c r="BK187" t="b">
        <f>OR(AND(IF(metadata!Z187="",FALSE,TRUE),OR(EXACT(metadata!Z187,"missing: not collected"),EXACT(metadata!Z187,"missing: not provided"))),AND(IF(metadata!Z187="",FALSE,IF(ISERROR(INT(metadata!Z187)),FALSE,INT(metadata!Z187)=metadata!Z187)),metadata!Z187&gt;0))</f>
        <v>0</v>
      </c>
      <c r="BL187" t="b">
        <f>AND(IF(metadata!AA187="",FALSE,TRUE),EXACT(metadata!AA187,"Not applicable"))</f>
        <v>0</v>
      </c>
      <c r="BM187" t="b">
        <f>IF(metadata!AB187="",FALSE,TRUE)</f>
        <v>0</v>
      </c>
    </row>
    <row r="188" spans="1:65" x14ac:dyDescent="0.2">
      <c r="A188" s="5" t="str">
        <f ca="1">IF(B188=" "," ",HYPERLINK(CONCATENATE("#metadata!",ADDRESS(INDEX($AH$2:$AH$1001,MATCH(ROWS($AF$2:AF188),$AF$2:$AF$1001,0),0),1)),INDEX($AK$2:$AK$1001,MATCH(ROWS($AF$2:AF188),$AF$2:$AF$1001,0),0)))</f>
        <v xml:space="preserve"> </v>
      </c>
      <c r="B188" s="4" t="str">
        <f ca="1">IF(OR(INDEX($AG$2:$AG$1001,MATCH(ROWS($AF$2:AF188),$AF$2:$AF$1001,0),1)&gt;=100000,INDEX($AM$1005:$BM$1005,1,MATCH(COLUMNS($AM$1006:AM1006),$AM$1006:$BM$1006,0))&gt;=100000), " ",IF(INDEX($AM$2:$BM$1001,MATCH(ROWS($AF$2:AF188),$AF$2:$AF$1001,0),MATCH(COLUMNS($AM$1006:AM1006),$AM$1006:$BM$1006,0)), HYPERLINK("#",""), HYPERLINK(CONCATENATE("#metadata!", ADDRESS(INDEX($AH$2:$AH$1001,MATCH(ROWS($AF$2:AF188),$AF$2:$AF$1001,0),0), INDEX($AM$1004:$BM$1004,1,MATCH(COLUMNS($AM$1006:AM1006),$AM$1006:$BM$1006,0)))),"Fix")))</f>
        <v xml:space="preserve"> </v>
      </c>
      <c r="C188" s="4" t="str">
        <f ca="1">IF(OR(INDEX($AG$2:$AG$1001,MATCH(ROWS($AF$2:AF188),$AF$2:$AF$1001,0),1)&gt;=100000,INDEX($AM$1005:$BM$1005,1,MATCH(COLUMNS($AM$1006:AN1006),$AM$1006:$BM$1006,0))&gt;=100000), " ",IF(INDEX($AM$2:$BM$1001,MATCH(ROWS($AF$2:AF188),$AF$2:$AF$1001,0),MATCH(COLUMNS($AM$1006:AN1006),$AM$1006:$BM$1006,0)), HYPERLINK("#",""), HYPERLINK(CONCATENATE("#metadata!", ADDRESS(INDEX($AH$2:$AH$1001,MATCH(ROWS($AF$2:AF188),$AF$2:$AF$1001,0),0), INDEX($AM$1004:$BM$1004,1,MATCH(COLUMNS($AM$1006:AN1006),$AM$1006:$BM$1006,0)))),"Fix")))</f>
        <v xml:space="preserve"> </v>
      </c>
      <c r="D188" s="4" t="str">
        <f ca="1">IF(OR(INDEX($AG$2:$AG$1001,MATCH(ROWS($AF$2:AF188),$AF$2:$AF$1001,0),1)&gt;=100000,INDEX($AM$1005:$BM$1005,1,MATCH(COLUMNS($AM$1006:AO1006),$AM$1006:$BM$1006,0))&gt;=100000), " ",IF(INDEX($AM$2:$BM$1001,MATCH(ROWS($AF$2:AF188),$AF$2:$AF$1001,0),MATCH(COLUMNS($AM$1006:AO1006),$AM$1006:$BM$1006,0)), HYPERLINK("#",""), HYPERLINK(CONCATENATE("#metadata!", ADDRESS(INDEX($AH$2:$AH$1001,MATCH(ROWS($AF$2:AF188),$AF$2:$AF$1001,0),0), INDEX($AM$1004:$BM$1004,1,MATCH(COLUMNS($AM$1006:AO1006),$AM$1006:$BM$1006,0)))),"Fix")))</f>
        <v xml:space="preserve"> </v>
      </c>
      <c r="E188" s="4" t="str">
        <f ca="1">IF(OR(INDEX($AG$2:$AG$1001,MATCH(ROWS($AF$2:AF188),$AF$2:$AF$1001,0),1)&gt;=100000,INDEX($AM$1005:$BM$1005,1,MATCH(COLUMNS($AM$1006:AP1006),$AM$1006:$BM$1006,0))&gt;=100000), " ",IF(INDEX($AM$2:$BM$1001,MATCH(ROWS($AF$2:AF188),$AF$2:$AF$1001,0),MATCH(COLUMNS($AM$1006:AP1006),$AM$1006:$BM$1006,0)), HYPERLINK("#",""), HYPERLINK(CONCATENATE("#metadata!", ADDRESS(INDEX($AH$2:$AH$1001,MATCH(ROWS($AF$2:AF188),$AF$2:$AF$1001,0),0), INDEX($AM$1004:$BM$1004,1,MATCH(COLUMNS($AM$1006:AP1006),$AM$1006:$BM$1006,0)))),"Fix")))</f>
        <v xml:space="preserve"> </v>
      </c>
      <c r="F188" s="4" t="str">
        <f ca="1">IF(OR(INDEX($AG$2:$AG$1001,MATCH(ROWS($AF$2:AF188),$AF$2:$AF$1001,0),1)&gt;=100000,INDEX($AM$1005:$BM$1005,1,MATCH(COLUMNS($AM$1006:AQ1006),$AM$1006:$BM$1006,0))&gt;=100000), " ",IF(INDEX($AM$2:$BM$1001,MATCH(ROWS($AF$2:AF188),$AF$2:$AF$1001,0),MATCH(COLUMNS($AM$1006:AQ1006),$AM$1006:$BM$1006,0)), HYPERLINK("#",""), HYPERLINK(CONCATENATE("#metadata!", ADDRESS(INDEX($AH$2:$AH$1001,MATCH(ROWS($AF$2:AF188),$AF$2:$AF$1001,0),0), INDEX($AM$1004:$BM$1004,1,MATCH(COLUMNS($AM$1006:AQ1006),$AM$1006:$BM$1006,0)))),"Fix")))</f>
        <v xml:space="preserve"> </v>
      </c>
      <c r="G188" s="4" t="str">
        <f ca="1">IF(OR(INDEX($AG$2:$AG$1001,MATCH(ROWS($AF$2:AF188),$AF$2:$AF$1001,0),1)&gt;=100000,INDEX($AM$1005:$BM$1005,1,MATCH(COLUMNS($AM$1006:AR1006),$AM$1006:$BM$1006,0))&gt;=100000), " ",IF(INDEX($AM$2:$BM$1001,MATCH(ROWS($AF$2:AF188),$AF$2:$AF$1001,0),MATCH(COLUMNS($AM$1006:AR1006),$AM$1006:$BM$1006,0)), HYPERLINK("#",""), HYPERLINK(CONCATENATE("#metadata!", ADDRESS(INDEX($AH$2:$AH$1001,MATCH(ROWS($AF$2:AF188),$AF$2:$AF$1001,0),0), INDEX($AM$1004:$BM$1004,1,MATCH(COLUMNS($AM$1006:AR1006),$AM$1006:$BM$1006,0)))),"Fix")))</f>
        <v xml:space="preserve"> </v>
      </c>
      <c r="H188" s="4" t="str">
        <f ca="1">IF(OR(INDEX($AG$2:$AG$1001,MATCH(ROWS($AF$2:AF188),$AF$2:$AF$1001,0),1)&gt;=100000,INDEX($AM$1005:$BM$1005,1,MATCH(COLUMNS($AM$1006:AS1006),$AM$1006:$BM$1006,0))&gt;=100000), " ",IF(INDEX($AM$2:$BM$1001,MATCH(ROWS($AF$2:AF188),$AF$2:$AF$1001,0),MATCH(COLUMNS($AM$1006:AS1006),$AM$1006:$BM$1006,0)), HYPERLINK("#",""), HYPERLINK(CONCATENATE("#metadata!", ADDRESS(INDEX($AH$2:$AH$1001,MATCH(ROWS($AF$2:AF188),$AF$2:$AF$1001,0),0), INDEX($AM$1004:$BM$1004,1,MATCH(COLUMNS($AM$1006:AS1006),$AM$1006:$BM$1006,0)))),"Fix")))</f>
        <v xml:space="preserve"> </v>
      </c>
      <c r="I188" s="4" t="str">
        <f ca="1">IF(OR(INDEX($AG$2:$AG$1001,MATCH(ROWS($AF$2:AF188),$AF$2:$AF$1001,0),1)&gt;=100000,INDEX($AM$1005:$BM$1005,1,MATCH(COLUMNS($AM$1006:AT1006),$AM$1006:$BM$1006,0))&gt;=100000), " ",IF(INDEX($AM$2:$BM$1001,MATCH(ROWS($AF$2:AF188),$AF$2:$AF$1001,0),MATCH(COLUMNS($AM$1006:AT1006),$AM$1006:$BM$1006,0)), HYPERLINK("#",""), HYPERLINK(CONCATENATE("#metadata!", ADDRESS(INDEX($AH$2:$AH$1001,MATCH(ROWS($AF$2:AF188),$AF$2:$AF$1001,0),0), INDEX($AM$1004:$BM$1004,1,MATCH(COLUMNS($AM$1006:AT1006),$AM$1006:$BM$1006,0)))),"Fix")))</f>
        <v xml:space="preserve"> </v>
      </c>
      <c r="J188" s="4" t="str">
        <f ca="1">IF(OR(INDEX($AG$2:$AG$1001,MATCH(ROWS($AF$2:AF188),$AF$2:$AF$1001,0),1)&gt;=100000,INDEX($AM$1005:$BM$1005,1,MATCH(COLUMNS($AM$1006:AU1006),$AM$1006:$BM$1006,0))&gt;=100000), " ",IF(INDEX($AM$2:$BM$1001,MATCH(ROWS($AF$2:AF188),$AF$2:$AF$1001,0),MATCH(COLUMNS($AM$1006:AU1006),$AM$1006:$BM$1006,0)), HYPERLINK("#",""), HYPERLINK(CONCATENATE("#metadata!", ADDRESS(INDEX($AH$2:$AH$1001,MATCH(ROWS($AF$2:AF188),$AF$2:$AF$1001,0),0), INDEX($AM$1004:$BM$1004,1,MATCH(COLUMNS($AM$1006:AU1006),$AM$1006:$BM$1006,0)))),"Fix")))</f>
        <v xml:space="preserve"> </v>
      </c>
      <c r="K188" s="4" t="str">
        <f ca="1">IF(OR(INDEX($AG$2:$AG$1001,MATCH(ROWS($AF$2:AF188),$AF$2:$AF$1001,0),1)&gt;=100000,INDEX($AM$1005:$BM$1005,1,MATCH(COLUMNS($AM$1006:AV1006),$AM$1006:$BM$1006,0))&gt;=100000), " ",IF(INDEX($AM$2:$BM$1001,MATCH(ROWS($AF$2:AF188),$AF$2:$AF$1001,0),MATCH(COLUMNS($AM$1006:AV1006),$AM$1006:$BM$1006,0)), HYPERLINK("#",""), HYPERLINK(CONCATENATE("#metadata!", ADDRESS(INDEX($AH$2:$AH$1001,MATCH(ROWS($AF$2:AF188),$AF$2:$AF$1001,0),0), INDEX($AM$1004:$BM$1004,1,MATCH(COLUMNS($AM$1006:AV1006),$AM$1006:$BM$1006,0)))),"Fix")))</f>
        <v xml:space="preserve"> </v>
      </c>
      <c r="L188" s="4" t="str">
        <f ca="1">IF(OR(INDEX($AG$2:$AG$1001,MATCH(ROWS($AF$2:AF188),$AF$2:$AF$1001,0),1)&gt;=100000,INDEX($AM$1005:$BM$1005,1,MATCH(COLUMNS($AM$1006:AW1006),$AM$1006:$BM$1006,0))&gt;=100000), " ",IF(INDEX($AM$2:$BM$1001,MATCH(ROWS($AF$2:AF188),$AF$2:$AF$1001,0),MATCH(COLUMNS($AM$1006:AW1006),$AM$1006:$BM$1006,0)), HYPERLINK("#",""), HYPERLINK(CONCATENATE("#metadata!", ADDRESS(INDEX($AH$2:$AH$1001,MATCH(ROWS($AF$2:AF188),$AF$2:$AF$1001,0),0), INDEX($AM$1004:$BM$1004,1,MATCH(COLUMNS($AM$1006:AW1006),$AM$1006:$BM$1006,0)))),"Fix")))</f>
        <v xml:space="preserve"> </v>
      </c>
      <c r="M188" s="4" t="str">
        <f ca="1">IF(OR(INDEX($AG$2:$AG$1001,MATCH(ROWS($AF$2:AF188),$AF$2:$AF$1001,0),1)&gt;=100000,INDEX($AM$1005:$BM$1005,1,MATCH(COLUMNS($AM$1006:AX1006),$AM$1006:$BM$1006,0))&gt;=100000), " ",IF(INDEX($AM$2:$BM$1001,MATCH(ROWS($AF$2:AF188),$AF$2:$AF$1001,0),MATCH(COLUMNS($AM$1006:AX1006),$AM$1006:$BM$1006,0)), HYPERLINK("#",""), HYPERLINK(CONCATENATE("#metadata!", ADDRESS(INDEX($AH$2:$AH$1001,MATCH(ROWS($AF$2:AF188),$AF$2:$AF$1001,0),0), INDEX($AM$1004:$BM$1004,1,MATCH(COLUMNS($AM$1006:AX1006),$AM$1006:$BM$1006,0)))),"Fix")))</f>
        <v xml:space="preserve"> </v>
      </c>
      <c r="N188" s="4" t="str">
        <f ca="1">IF(OR(INDEX($AG$2:$AG$1001,MATCH(ROWS($AF$2:AF188),$AF$2:$AF$1001,0),1)&gt;=100000,INDEX($AM$1005:$BM$1005,1,MATCH(COLUMNS($AM$1006:AY1006),$AM$1006:$BM$1006,0))&gt;=100000), " ",IF(INDEX($AM$2:$BM$1001,MATCH(ROWS($AF$2:AF188),$AF$2:$AF$1001,0),MATCH(COLUMNS($AM$1006:AY1006),$AM$1006:$BM$1006,0)), HYPERLINK("#",""), HYPERLINK(CONCATENATE("#metadata!", ADDRESS(INDEX($AH$2:$AH$1001,MATCH(ROWS($AF$2:AF188),$AF$2:$AF$1001,0),0), INDEX($AM$1004:$BM$1004,1,MATCH(COLUMNS($AM$1006:AY1006),$AM$1006:$BM$1006,0)))),"Fix")))</f>
        <v xml:space="preserve"> </v>
      </c>
      <c r="O188" s="4" t="str">
        <f ca="1">IF(OR(INDEX($AG$2:$AG$1001,MATCH(ROWS($AF$2:AF188),$AF$2:$AF$1001,0),1)&gt;=100000,INDEX($AM$1005:$BM$1005,1,MATCH(COLUMNS($AM$1006:AZ1006),$AM$1006:$BM$1006,0))&gt;=100000), " ",IF(INDEX($AM$2:$BM$1001,MATCH(ROWS($AF$2:AF188),$AF$2:$AF$1001,0),MATCH(COLUMNS($AM$1006:AZ1006),$AM$1006:$BM$1006,0)), HYPERLINK("#",""), HYPERLINK(CONCATENATE("#metadata!", ADDRESS(INDEX($AH$2:$AH$1001,MATCH(ROWS($AF$2:AF188),$AF$2:$AF$1001,0),0), INDEX($AM$1004:$BM$1004,1,MATCH(COLUMNS($AM$1006:AZ1006),$AM$1006:$BM$1006,0)))),"Fix")))</f>
        <v xml:space="preserve"> </v>
      </c>
      <c r="P188" s="4" t="str">
        <f ca="1">IF(OR(INDEX($AG$2:$AG$1001,MATCH(ROWS($AF$2:AF188),$AF$2:$AF$1001,0),1)&gt;=100000,INDEX($AM$1005:$BM$1005,1,MATCH(COLUMNS($AM$1006:BA1006),$AM$1006:$BM$1006,0))&gt;=100000), " ",IF(INDEX($AM$2:$BM$1001,MATCH(ROWS($AF$2:AF188),$AF$2:$AF$1001,0),MATCH(COLUMNS($AM$1006:BA1006),$AM$1006:$BM$1006,0)), HYPERLINK("#",""), HYPERLINK(CONCATENATE("#metadata!", ADDRESS(INDEX($AH$2:$AH$1001,MATCH(ROWS($AF$2:AF188),$AF$2:$AF$1001,0),0), INDEX($AM$1004:$BM$1004,1,MATCH(COLUMNS($AM$1006:BA1006),$AM$1006:$BM$1006,0)))),"Fix")))</f>
        <v xml:space="preserve"> </v>
      </c>
      <c r="Q188" s="4" t="str">
        <f ca="1">IF(OR(INDEX($AG$2:$AG$1001,MATCH(ROWS($AF$2:AF188),$AF$2:$AF$1001,0),1)&gt;=100000,INDEX($AM$1005:$BM$1005,1,MATCH(COLUMNS($AM$1006:BB1006),$AM$1006:$BM$1006,0))&gt;=100000), " ",IF(INDEX($AM$2:$BM$1001,MATCH(ROWS($AF$2:AF188),$AF$2:$AF$1001,0),MATCH(COLUMNS($AM$1006:BB1006),$AM$1006:$BM$1006,0)), HYPERLINK("#",""), HYPERLINK(CONCATENATE("#metadata!", ADDRESS(INDEX($AH$2:$AH$1001,MATCH(ROWS($AF$2:AF188),$AF$2:$AF$1001,0),0), INDEX($AM$1004:$BM$1004,1,MATCH(COLUMNS($AM$1006:BB1006),$AM$1006:$BM$1006,0)))),"Fix")))</f>
        <v xml:space="preserve"> </v>
      </c>
      <c r="R188" s="4" t="str">
        <f ca="1">IF(OR(INDEX($AG$2:$AG$1001,MATCH(ROWS($AF$2:AF188),$AF$2:$AF$1001,0),1)&gt;=100000,INDEX($AM$1005:$BM$1005,1,MATCH(COLUMNS($AM$1006:BC1006),$AM$1006:$BM$1006,0))&gt;=100000), " ",IF(INDEX($AM$2:$BM$1001,MATCH(ROWS($AF$2:AF188),$AF$2:$AF$1001,0),MATCH(COLUMNS($AM$1006:BC1006),$AM$1006:$BM$1006,0)), HYPERLINK("#",""), HYPERLINK(CONCATENATE("#metadata!", ADDRESS(INDEX($AH$2:$AH$1001,MATCH(ROWS($AF$2:AF188),$AF$2:$AF$1001,0),0), INDEX($AM$1004:$BM$1004,1,MATCH(COLUMNS($AM$1006:BC1006),$AM$1006:$BM$1006,0)))),"Fix")))</f>
        <v xml:space="preserve"> </v>
      </c>
      <c r="S188" s="4" t="str">
        <f ca="1">IF(OR(INDEX($AG$2:$AG$1001,MATCH(ROWS($AF$2:AF188),$AF$2:$AF$1001,0),1)&gt;=100000,INDEX($AM$1005:$BM$1005,1,MATCH(COLUMNS($AM$1006:BD1006),$AM$1006:$BM$1006,0))&gt;=100000), " ",IF(INDEX($AM$2:$BM$1001,MATCH(ROWS($AF$2:AF188),$AF$2:$AF$1001,0),MATCH(COLUMNS($AM$1006:BD1006),$AM$1006:$BM$1006,0)), HYPERLINK("#",""), HYPERLINK(CONCATENATE("#metadata!", ADDRESS(INDEX($AH$2:$AH$1001,MATCH(ROWS($AF$2:AF188),$AF$2:$AF$1001,0),0), INDEX($AM$1004:$BM$1004,1,MATCH(COLUMNS($AM$1006:BD1006),$AM$1006:$BM$1006,0)))),"Fix")))</f>
        <v xml:space="preserve"> </v>
      </c>
      <c r="T188" s="4" t="str">
        <f ca="1">IF(OR(INDEX($AG$2:$AG$1001,MATCH(ROWS($AF$2:AF188),$AF$2:$AF$1001,0),1)&gt;=100000,INDEX($AM$1005:$BM$1005,1,MATCH(COLUMNS($AM$1006:BE1006),$AM$1006:$BM$1006,0))&gt;=100000), " ",IF(INDEX($AM$2:$BM$1001,MATCH(ROWS($AF$2:AF188),$AF$2:$AF$1001,0),MATCH(COLUMNS($AM$1006:BE1006),$AM$1006:$BM$1006,0)), HYPERLINK("#",""), HYPERLINK(CONCATENATE("#metadata!", ADDRESS(INDEX($AH$2:$AH$1001,MATCH(ROWS($AF$2:AF188),$AF$2:$AF$1001,0),0), INDEX($AM$1004:$BM$1004,1,MATCH(COLUMNS($AM$1006:BE1006),$AM$1006:$BM$1006,0)))),"Fix")))</f>
        <v xml:space="preserve"> </v>
      </c>
      <c r="U188" s="4" t="str">
        <f ca="1">IF(OR(INDEX($AG$2:$AG$1001,MATCH(ROWS($AF$2:AF188),$AF$2:$AF$1001,0),1)&gt;=100000,INDEX($AM$1005:$BM$1005,1,MATCH(COLUMNS($AM$1006:BF1006),$AM$1006:$BM$1006,0))&gt;=100000), " ",IF(INDEX($AM$2:$BM$1001,MATCH(ROWS($AF$2:AF188),$AF$2:$AF$1001,0),MATCH(COLUMNS($AM$1006:BF1006),$AM$1006:$BM$1006,0)), HYPERLINK("#",""), HYPERLINK(CONCATENATE("#metadata!", ADDRESS(INDEX($AH$2:$AH$1001,MATCH(ROWS($AF$2:AF188),$AF$2:$AF$1001,0),0), INDEX($AM$1004:$BM$1004,1,MATCH(COLUMNS($AM$1006:BF1006),$AM$1006:$BM$1006,0)))),"Fix")))</f>
        <v xml:space="preserve"> </v>
      </c>
      <c r="V188" s="4" t="str">
        <f ca="1">IF(OR(INDEX($AG$2:$AG$1001,MATCH(ROWS($AF$2:AF188),$AF$2:$AF$1001,0),1)&gt;=100000,INDEX($AM$1005:$BM$1005,1,MATCH(COLUMNS($AM$1006:BG1006),$AM$1006:$BM$1006,0))&gt;=100000), " ",IF(INDEX($AM$2:$BM$1001,MATCH(ROWS($AF$2:AF188),$AF$2:$AF$1001,0),MATCH(COLUMNS($AM$1006:BG1006),$AM$1006:$BM$1006,0)), HYPERLINK("#",""), HYPERLINK(CONCATENATE("#metadata!", ADDRESS(INDEX($AH$2:$AH$1001,MATCH(ROWS($AF$2:AF188),$AF$2:$AF$1001,0),0), INDEX($AM$1004:$BM$1004,1,MATCH(COLUMNS($AM$1006:BG1006),$AM$1006:$BM$1006,0)))),"Fix")))</f>
        <v xml:space="preserve"> </v>
      </c>
      <c r="W188" s="4" t="str">
        <f ca="1">IF(OR(INDEX($AG$2:$AG$1001,MATCH(ROWS($AF$2:AF188),$AF$2:$AF$1001,0),1)&gt;=100000,INDEX($AM$1005:$BM$1005,1,MATCH(COLUMNS($AM$1006:BH1006),$AM$1006:$BM$1006,0))&gt;=100000), " ",IF(INDEX($AM$2:$BM$1001,MATCH(ROWS($AF$2:AF188),$AF$2:$AF$1001,0),MATCH(COLUMNS($AM$1006:BH1006),$AM$1006:$BM$1006,0)), HYPERLINK("#",""), HYPERLINK(CONCATENATE("#metadata!", ADDRESS(INDEX($AH$2:$AH$1001,MATCH(ROWS($AF$2:AF188),$AF$2:$AF$1001,0),0), INDEX($AM$1004:$BM$1004,1,MATCH(COLUMNS($AM$1006:BH1006),$AM$1006:$BM$1006,0)))),"Fix")))</f>
        <v xml:space="preserve"> </v>
      </c>
      <c r="X188" s="4" t="str">
        <f ca="1">IF(OR(INDEX($AG$2:$AG$1001,MATCH(ROWS($AF$2:AF188),$AF$2:$AF$1001,0),1)&gt;=100000,INDEX($AM$1005:$BM$1005,1,MATCH(COLUMNS($AM$1006:BI1006),$AM$1006:$BM$1006,0))&gt;=100000), " ",IF(INDEX($AM$2:$BM$1001,MATCH(ROWS($AF$2:AF188),$AF$2:$AF$1001,0),MATCH(COLUMNS($AM$1006:BI1006),$AM$1006:$BM$1006,0)), HYPERLINK("#",""), HYPERLINK(CONCATENATE("#metadata!", ADDRESS(INDEX($AH$2:$AH$1001,MATCH(ROWS($AF$2:AF188),$AF$2:$AF$1001,0),0), INDEX($AM$1004:$BM$1004,1,MATCH(COLUMNS($AM$1006:BI1006),$AM$1006:$BM$1006,0)))),"Fix")))</f>
        <v xml:space="preserve"> </v>
      </c>
      <c r="Y188" s="4" t="str">
        <f ca="1">IF(OR(INDEX($AG$2:$AG$1001,MATCH(ROWS($AF$2:AF188),$AF$2:$AF$1001,0),1)&gt;=100000,INDEX($AM$1005:$BM$1005,1,MATCH(COLUMNS($AM$1006:BJ1006),$AM$1006:$BM$1006,0))&gt;=100000), " ",IF(INDEX($AM$2:$BM$1001,MATCH(ROWS($AF$2:AF188),$AF$2:$AF$1001,0),MATCH(COLUMNS($AM$1006:BJ1006),$AM$1006:$BM$1006,0)), HYPERLINK("#",""), HYPERLINK(CONCATENATE("#metadata!", ADDRESS(INDEX($AH$2:$AH$1001,MATCH(ROWS($AF$2:AF188),$AF$2:$AF$1001,0),0), INDEX($AM$1004:$BM$1004,1,MATCH(COLUMNS($AM$1006:BJ1006),$AM$1006:$BM$1006,0)))),"Fix")))</f>
        <v xml:space="preserve"> </v>
      </c>
      <c r="Z188" s="4" t="str">
        <f ca="1">IF(OR(INDEX($AG$2:$AG$1001,MATCH(ROWS($AF$2:AF188),$AF$2:$AF$1001,0),1)&gt;=100000,INDEX($AM$1005:$BM$1005,1,MATCH(COLUMNS($AM$1006:BK1006),$AM$1006:$BM$1006,0))&gt;=100000), " ",IF(INDEX($AM$2:$BM$1001,MATCH(ROWS($AF$2:AF188),$AF$2:$AF$1001,0),MATCH(COLUMNS($AM$1006:BK1006),$AM$1006:$BM$1006,0)), HYPERLINK("#",""), HYPERLINK(CONCATENATE("#metadata!", ADDRESS(INDEX($AH$2:$AH$1001,MATCH(ROWS($AF$2:AF188),$AF$2:$AF$1001,0),0), INDEX($AM$1004:$BM$1004,1,MATCH(COLUMNS($AM$1006:BK1006),$AM$1006:$BM$1006,0)))),"Fix")))</f>
        <v xml:space="preserve"> </v>
      </c>
      <c r="AA188" s="4" t="str">
        <f ca="1">IF(OR(INDEX($AG$2:$AG$1001,MATCH(ROWS($AF$2:AF188),$AF$2:$AF$1001,0),1)&gt;=100000,INDEX($AM$1005:$BM$1005,1,MATCH(COLUMNS($AM$1006:BL1006),$AM$1006:$BM$1006,0))&gt;=100000), " ",IF(INDEX($AM$2:$BM$1001,MATCH(ROWS($AF$2:AF188),$AF$2:$AF$1001,0),MATCH(COLUMNS($AM$1006:BL1006),$AM$1006:$BM$1006,0)), HYPERLINK("#",""), HYPERLINK(CONCATENATE("#metadata!", ADDRESS(INDEX($AH$2:$AH$1001,MATCH(ROWS($AF$2:AF188),$AF$2:$AF$1001,0),0), INDEX($AM$1004:$BM$1004,1,MATCH(COLUMNS($AM$1006:BL1006),$AM$1006:$BM$1006,0)))),"Fix")))</f>
        <v xml:space="preserve"> </v>
      </c>
      <c r="AB188" s="4" t="str">
        <f ca="1">IF(OR(INDEX($AG$2:$AG$1001,MATCH(ROWS($AF$2:AF188),$AF$2:$AF$1001,0),1)&gt;=100000,INDEX($AM$1005:$BM$1005,1,MATCH(COLUMNS($AM$1006:BM1006),$AM$1006:$BM$1006,0))&gt;=100000), " ",IF(INDEX($AM$2:$BM$1001,MATCH(ROWS($AF$2:AF188),$AF$2:$AF$1001,0),MATCH(COLUMNS($AM$1006:BM1006),$AM$1006:$BM$1006,0)), HYPERLINK("#",""), HYPERLINK(CONCATENATE("#metadata!", ADDRESS(INDEX($AH$2:$AH$1001,MATCH(ROWS($AF$2:AF188),$AF$2:$AF$1001,0),0), INDEX($AM$1004:$BM$1004,1,MATCH(COLUMNS($AM$1006:BM1006),$AM$1006:$BM$1006,0)))),"Fix")))</f>
        <v xml:space="preserve"> </v>
      </c>
      <c r="AF188">
        <v>187</v>
      </c>
      <c r="AG188">
        <v>100188</v>
      </c>
      <c r="AH188">
        <v>188</v>
      </c>
      <c r="AI188" t="b">
        <f t="shared" si="2"/>
        <v>1</v>
      </c>
      <c r="AJ188" t="b">
        <f>COUNTBLANK(metadata!B188:AB188)=COLUMNS(metadata!B188:AB188)</f>
        <v>1</v>
      </c>
      <c r="AK188" t="str">
        <v/>
      </c>
      <c r="AM188" t="b">
        <f ca="1">AND(IF(metadata!B188="",FALSE,TRUE),COUNTIF(metadata!B:B, metadata!B188) = 1,NOT(ISERROR(SUMPRODUCT(SEARCH(MID(metadata!B188,ROW(INDIRECT("1:"&amp;LEN(metadata!B188))), 1),"0123456789abcdefghijklmnopqrstuvwxyzABCDEFGHIJKLMNOPQRSTUVWXYZ.")))))</f>
        <v>0</v>
      </c>
      <c r="AN188" t="b">
        <f ca="1">OR(AND(IF(metadata!C188="",FALSE,TRUE),OR(EXACT(metadata!C188,"missing: not collected"),EXACT(metadata!C188,"missing: not provided"),EXACT(metadata!C188,"missing: restricted access"))),AND(IF(metadata!C188="",FALSE,TRUE),AND(AND(IFERROR(INT(LEFT(metadata!C188,4))&gt;1900,FALSE),IFERROR(INT(LEFT(metadata!C188,4))&lt;=YEAR(NOW()),FALSE)), OR(MID(metadata!C188,5,1)="", AND(AND(MID(metadata!C188,5,1)="-",IFERROR(INT(MID(metadata!C188,6,1))&gt;=0,FALSE),IFERROR(INT(MID(metadata!C188,6,1))&lt;=1,FALSE),NOT(MID(metadata!C188,7,1)=""),IFERROR(INT(MID(metadata!C188,6,2))&gt;=1,FALSE),IFERROR(INT(MID(metadata!C188,6,2))&lt;=12,FALSE)), OR(MID(metadata!C188,8,1)="", AND(AND(MID(metadata!C188,8,1)="-",IFERROR(INT(MID(metadata!C188,9,1))&gt;=0,FALSE),IFERROR(INT(MID(metadata!C188,9,1))&lt;=3,FALSE),NOT(MID(metadata!C188,10,1)=""),IFERROR(INT(MID(metadata!C188,9,2))&gt;=1,FALSE),IFERROR(INT(MID(metadata!C188,9,2))&lt;=31,FALSE)), OR(MID(metadata!C188,11,1)="", AND(AND(MID(metadata!C188,11,1)=" ",IFERROR(INT(MID(metadata!C188,12,1))&gt;=0,FALSE),IFERROR(INT(MID(metadata!C188,12,1))&lt;=2,FALSE),NOT(MID(metadata!C188,13,1)=""),IFERROR(INT(MID(metadata!C188,12,2))&gt;=0,FALSE),IFERROR(INT(MID(metadata!C188,12,2))&lt;=23,FALSE)), OR(MID(metadata!C188,14,1)="", AND(AND(MID(metadata!C188,14,1)=":",IFERROR(INT(MID(metadata!C188,15,1))&gt;=0,FALSE),IFERROR(INT(MID(metadata!C188,15,1))&lt;=5,FALSE),NOT(MID(metadata!C188,16,1)=""),IFERROR(INT(MID(metadata!C188,15,2))&gt;=0,FALSE),IFERROR(INT(MID(metadata!C188,15,2))&lt;=59,FALSE)), OR(MID(metadata!C188,17,1)="", AND(AND(MID(metadata!C188,17,1)=":",IFERROR(INT(MID(metadata!C188,18,1))&gt;=0,FALSE),IFERROR(INT(MID(metadata!C188,18,1))&lt;=5,FALSE),NOT(MID(metadata!C188,19,1)=""),IFERROR(INT(MID(metadata!C188,18,2))&gt;=0,FALSE),IFERROR(INT(MID(metadata!C188,18,2))&lt;=59,FALSE)), LEN(metadata!C188)&lt;=19)))))))))))))</f>
        <v>0</v>
      </c>
      <c r="AO188" t="b">
        <f>AND(IF(metadata!D188="",FALSE,TRUE),EXACT(metadata!D188,"Not applicable"))</f>
        <v>0</v>
      </c>
      <c r="AP188" t="b">
        <f>IF(metadata!E188="",FALSE,TRUE)</f>
        <v>0</v>
      </c>
      <c r="AQ188" t="b">
        <f>OR(AND(IF(metadata!F188="",FALSE,TRUE),OR(EXACT(metadata!F188,"missing: not collected"),EXACT(metadata!F188,"missing: not provided"))),AND(IF(metadata!F188="",FALSE,TRUE),OR(EXACT(metadata!F188,"TRUE"),EXACT(metadata!F188,"FALSE"))))</f>
        <v>0</v>
      </c>
      <c r="AR188" t="b">
        <f>OR(AND(IF(metadata!G188="",FALSE,TRUE),OR(EXACT(metadata!G188,"missing: not collected"),EXACT(metadata!G188,"missing: not provided"),EXACT(metadata!G188,"missing: restricted access"))),AND(IF(metadata!G188="",FALSE,ISNUMBER(VALUE(metadata!G188))),metadata!G188&gt;=-413))</f>
        <v>0</v>
      </c>
      <c r="AS188" t="b">
        <f>AND(IF(metadata!H188="",FALSE,TRUE),EXACT(metadata!H188,"meters"))</f>
        <v>0</v>
      </c>
      <c r="AT188" t="b">
        <f>AND(IF(metadata!I188="",FALSE,TRUE),OR(EXACT(metadata!I188,"Host-associated"),EXACT(metadata!I188,"Free-living")))</f>
        <v>0</v>
      </c>
      <c r="AU188" t="b">
        <f>AND(IF(metadata!J188="",FALSE,TRUE),OR(EXACT(metadata!J188,"Animal"),EXACT(metadata!J188,"Fungus"),EXACT(metadata!J188,"Plant"),EXACT(metadata!J188,"Saline"),EXACT(metadata!J188,"Non-saline")))</f>
        <v>0</v>
      </c>
      <c r="AV188" t="b">
        <f>AND(IF(metadata!K188="",FALSE,TRUE),OR(EXACT(metadata!K188,"Plant secretion"),EXACT(metadata!K188,"Plant rhizosphere"),EXACT(metadata!K188,"Plant surface"),EXACT(metadata!K188,"Plant corpus"),EXACT(metadata!K188,"Fungus surface"),EXACT(metadata!K188,"Fungus corpus"),EXACT(metadata!K188,"Animal surface"),EXACT(metadata!K188,"Animal proximal gut"),EXACT(metadata!K188,"Animal corpus"),EXACT(metadata!K188,"Animal distal gut"),EXACT(metadata!K188,"Animal secretion"),EXACT(metadata!K188,"Sub-surface (non-saline)"),EXACT(metadata!K188,"Surface (non-saline)"),EXACT(metadata!K188,"Water (non-saline)"),EXACT(metadata!K188,"Soil (non-saline)"),EXACT(metadata!K188,"Aerosol (non-saline)"),EXACT(metadata!K188,"Sediment (non-saline)"),EXACT(metadata!K188,"Surface (saline)"),EXACT(metadata!K188,"Water (saline)"),EXACT(metadata!K188,"Hypersaline (saline)"),EXACT(metadata!K188,"Aerosol (saline)"),EXACT(metadata!K188,"Sediment (saline)")))</f>
        <v>0</v>
      </c>
      <c r="AW188" t="b">
        <f>IF(metadata!L188="",FALSE,TRUE)</f>
        <v>0</v>
      </c>
      <c r="AX188" t="b">
        <f>IF(metadata!M188="",FALSE,TRUE)</f>
        <v>0</v>
      </c>
      <c r="AY188" t="b">
        <f>IF(metadata!N188="",FALSE,TRUE)</f>
        <v>0</v>
      </c>
      <c r="AZ188" t="b">
        <f>OR(AND(IF(metadata!O188="",FALSE,TRUE),OR(EXACT(metadata!O188,"missing: not collected"),EXACT(metadata!O188,"missing: not provided"),EXACT(metadata!O188,"missing: restricted access"))),AND(IF(metadata!O188="",FALSE,TRUE),OR(EXACT(metadata!O188,"air"),EXACT(metadata!O188,"built environment"),EXACT(metadata!O188,"host-associated"),EXACT(metadata!O188,"human-associated"),EXACT(metadata!O188,"human-skin"),EXACT(metadata!O188,"human-oral"),EXACT(metadata!O188,"human-gut"),EXACT(metadata!O188,"human-vaginal"),EXACT(metadata!O188,"microbial mat/biofilm"),EXACT(metadata!O188,"misc environment"),EXACT(metadata!O188,"plant-associated"),EXACT(metadata!O188,"sediment"),EXACT(metadata!O188,"soil"),EXACT(metadata!O188,"wastewater/sludge"),EXACT(metadata!O188,"water"))))</f>
        <v>0</v>
      </c>
      <c r="BA188" t="b">
        <f>IF(metadata!P188="",FALSE,TRUE)</f>
        <v>0</v>
      </c>
      <c r="BB188" t="b">
        <f>IF(metadata!Q188="",FALSE,TRUE)</f>
        <v>0</v>
      </c>
      <c r="BC188" t="b">
        <f>OR(AND(IF(metadata!R188="",FALSE,TRUE),OR(EXACT(metadata!R188,"missing: not collected"),EXACT(metadata!R188,"missing: not provided"),EXACT(metadata!R188,"missing: restricted access"))),AND(IF(metadata!R188="",FALSE,ISNUMBER(VALUE(metadata!R188))),metadata!R188&gt;=-90,metadata!R188&lt;=90))</f>
        <v>0</v>
      </c>
      <c r="BD188" t="b">
        <f>AND(IF(metadata!S188="",FALSE,TRUE),EXACT(metadata!S188,"Decimal degrees"))</f>
        <v>0</v>
      </c>
      <c r="BE188" t="b">
        <f>OR(AND(IF(metadata!T188="",FALSE,TRUE),OR(EXACT(metadata!T188,"missing: not collected"),EXACT(metadata!T188,"missing: not provided"),EXACT(metadata!T188,"missing: restricted access"))),AND(IF(metadata!T188="",FALSE,ISNUMBER(VALUE(metadata!T188))),metadata!T188&gt;=-180,metadata!T188&lt;=180))</f>
        <v>0</v>
      </c>
      <c r="BF188" t="b">
        <f>AND(IF(metadata!U188="",FALSE,TRUE),EXACT(metadata!U188,"Decimal degrees"))</f>
        <v>0</v>
      </c>
      <c r="BG188" t="b">
        <f>IF(metadata!V188="",FALSE,TRUE)</f>
        <v>0</v>
      </c>
      <c r="BH188" t="b">
        <f>OR(AND(IF(metadata!W188="",FALSE,TRUE),OR(EXACT(metadata!W188,"missing: not collected"),EXACT(metadata!W188,"missing: not provided"),EXACT(metadata!W188,"missing: restricted access"))),AND(IF(metadata!W188="",FALSE,TRUE),OR(EXACT(metadata!W188,"TRUE"),EXACT(metadata!W188,"FALSE"))))</f>
        <v>0</v>
      </c>
      <c r="BI188" t="b">
        <f>AND(IF(metadata!X188="",FALSE,TRUE),EXACT(metadata!X188,"other"))</f>
        <v>0</v>
      </c>
      <c r="BJ188" t="b">
        <f>IF(metadata!Y188="",FALSE,TRUE)</f>
        <v>0</v>
      </c>
      <c r="BK188" t="b">
        <f>OR(AND(IF(metadata!Z188="",FALSE,TRUE),OR(EXACT(metadata!Z188,"missing: not collected"),EXACT(metadata!Z188,"missing: not provided"))),AND(IF(metadata!Z188="",FALSE,IF(ISERROR(INT(metadata!Z188)),FALSE,INT(metadata!Z188)=metadata!Z188)),metadata!Z188&gt;0))</f>
        <v>0</v>
      </c>
      <c r="BL188" t="b">
        <f>AND(IF(metadata!AA188="",FALSE,TRUE),EXACT(metadata!AA188,"Not applicable"))</f>
        <v>0</v>
      </c>
      <c r="BM188" t="b">
        <f>IF(metadata!AB188="",FALSE,TRUE)</f>
        <v>0</v>
      </c>
    </row>
    <row r="189" spans="1:65" x14ac:dyDescent="0.2">
      <c r="A189" s="5" t="str">
        <f ca="1">IF(B189=" "," ",HYPERLINK(CONCATENATE("#metadata!",ADDRESS(INDEX($AH$2:$AH$1001,MATCH(ROWS($AF$2:AF189),$AF$2:$AF$1001,0),0),1)),INDEX($AK$2:$AK$1001,MATCH(ROWS($AF$2:AF189),$AF$2:$AF$1001,0),0)))</f>
        <v xml:space="preserve"> </v>
      </c>
      <c r="B189" s="4" t="str">
        <f ca="1">IF(OR(INDEX($AG$2:$AG$1001,MATCH(ROWS($AF$2:AF189),$AF$2:$AF$1001,0),1)&gt;=100000,INDEX($AM$1005:$BM$1005,1,MATCH(COLUMNS($AM$1006:AM1006),$AM$1006:$BM$1006,0))&gt;=100000), " ",IF(INDEX($AM$2:$BM$1001,MATCH(ROWS($AF$2:AF189),$AF$2:$AF$1001,0),MATCH(COLUMNS($AM$1006:AM1006),$AM$1006:$BM$1006,0)), HYPERLINK("#",""), HYPERLINK(CONCATENATE("#metadata!", ADDRESS(INDEX($AH$2:$AH$1001,MATCH(ROWS($AF$2:AF189),$AF$2:$AF$1001,0),0), INDEX($AM$1004:$BM$1004,1,MATCH(COLUMNS($AM$1006:AM1006),$AM$1006:$BM$1006,0)))),"Fix")))</f>
        <v xml:space="preserve"> </v>
      </c>
      <c r="C189" s="4" t="str">
        <f ca="1">IF(OR(INDEX($AG$2:$AG$1001,MATCH(ROWS($AF$2:AF189),$AF$2:$AF$1001,0),1)&gt;=100000,INDEX($AM$1005:$BM$1005,1,MATCH(COLUMNS($AM$1006:AN1006),$AM$1006:$BM$1006,0))&gt;=100000), " ",IF(INDEX($AM$2:$BM$1001,MATCH(ROWS($AF$2:AF189),$AF$2:$AF$1001,0),MATCH(COLUMNS($AM$1006:AN1006),$AM$1006:$BM$1006,0)), HYPERLINK("#",""), HYPERLINK(CONCATENATE("#metadata!", ADDRESS(INDEX($AH$2:$AH$1001,MATCH(ROWS($AF$2:AF189),$AF$2:$AF$1001,0),0), INDEX($AM$1004:$BM$1004,1,MATCH(COLUMNS($AM$1006:AN1006),$AM$1006:$BM$1006,0)))),"Fix")))</f>
        <v xml:space="preserve"> </v>
      </c>
      <c r="D189" s="4" t="str">
        <f ca="1">IF(OR(INDEX($AG$2:$AG$1001,MATCH(ROWS($AF$2:AF189),$AF$2:$AF$1001,0),1)&gt;=100000,INDEX($AM$1005:$BM$1005,1,MATCH(COLUMNS($AM$1006:AO1006),$AM$1006:$BM$1006,0))&gt;=100000), " ",IF(INDEX($AM$2:$BM$1001,MATCH(ROWS($AF$2:AF189),$AF$2:$AF$1001,0),MATCH(COLUMNS($AM$1006:AO1006),$AM$1006:$BM$1006,0)), HYPERLINK("#",""), HYPERLINK(CONCATENATE("#metadata!", ADDRESS(INDEX($AH$2:$AH$1001,MATCH(ROWS($AF$2:AF189),$AF$2:$AF$1001,0),0), INDEX($AM$1004:$BM$1004,1,MATCH(COLUMNS($AM$1006:AO1006),$AM$1006:$BM$1006,0)))),"Fix")))</f>
        <v xml:space="preserve"> </v>
      </c>
      <c r="E189" s="4" t="str">
        <f ca="1">IF(OR(INDEX($AG$2:$AG$1001,MATCH(ROWS($AF$2:AF189),$AF$2:$AF$1001,0),1)&gt;=100000,INDEX($AM$1005:$BM$1005,1,MATCH(COLUMNS($AM$1006:AP1006),$AM$1006:$BM$1006,0))&gt;=100000), " ",IF(INDEX($AM$2:$BM$1001,MATCH(ROWS($AF$2:AF189),$AF$2:$AF$1001,0),MATCH(COLUMNS($AM$1006:AP1006),$AM$1006:$BM$1006,0)), HYPERLINK("#",""), HYPERLINK(CONCATENATE("#metadata!", ADDRESS(INDEX($AH$2:$AH$1001,MATCH(ROWS($AF$2:AF189),$AF$2:$AF$1001,0),0), INDEX($AM$1004:$BM$1004,1,MATCH(COLUMNS($AM$1006:AP1006),$AM$1006:$BM$1006,0)))),"Fix")))</f>
        <v xml:space="preserve"> </v>
      </c>
      <c r="F189" s="4" t="str">
        <f ca="1">IF(OR(INDEX($AG$2:$AG$1001,MATCH(ROWS($AF$2:AF189),$AF$2:$AF$1001,0),1)&gt;=100000,INDEX($AM$1005:$BM$1005,1,MATCH(COLUMNS($AM$1006:AQ1006),$AM$1006:$BM$1006,0))&gt;=100000), " ",IF(INDEX($AM$2:$BM$1001,MATCH(ROWS($AF$2:AF189),$AF$2:$AF$1001,0),MATCH(COLUMNS($AM$1006:AQ1006),$AM$1006:$BM$1006,0)), HYPERLINK("#",""), HYPERLINK(CONCATENATE("#metadata!", ADDRESS(INDEX($AH$2:$AH$1001,MATCH(ROWS($AF$2:AF189),$AF$2:$AF$1001,0),0), INDEX($AM$1004:$BM$1004,1,MATCH(COLUMNS($AM$1006:AQ1006),$AM$1006:$BM$1006,0)))),"Fix")))</f>
        <v xml:space="preserve"> </v>
      </c>
      <c r="G189" s="4" t="str">
        <f ca="1">IF(OR(INDEX($AG$2:$AG$1001,MATCH(ROWS($AF$2:AF189),$AF$2:$AF$1001,0),1)&gt;=100000,INDEX($AM$1005:$BM$1005,1,MATCH(COLUMNS($AM$1006:AR1006),$AM$1006:$BM$1006,0))&gt;=100000), " ",IF(INDEX($AM$2:$BM$1001,MATCH(ROWS($AF$2:AF189),$AF$2:$AF$1001,0),MATCH(COLUMNS($AM$1006:AR1006),$AM$1006:$BM$1006,0)), HYPERLINK("#",""), HYPERLINK(CONCATENATE("#metadata!", ADDRESS(INDEX($AH$2:$AH$1001,MATCH(ROWS($AF$2:AF189),$AF$2:$AF$1001,0),0), INDEX($AM$1004:$BM$1004,1,MATCH(COLUMNS($AM$1006:AR1006),$AM$1006:$BM$1006,0)))),"Fix")))</f>
        <v xml:space="preserve"> </v>
      </c>
      <c r="H189" s="4" t="str">
        <f ca="1">IF(OR(INDEX($AG$2:$AG$1001,MATCH(ROWS($AF$2:AF189),$AF$2:$AF$1001,0),1)&gt;=100000,INDEX($AM$1005:$BM$1005,1,MATCH(COLUMNS($AM$1006:AS1006),$AM$1006:$BM$1006,0))&gt;=100000), " ",IF(INDEX($AM$2:$BM$1001,MATCH(ROWS($AF$2:AF189),$AF$2:$AF$1001,0),MATCH(COLUMNS($AM$1006:AS1006),$AM$1006:$BM$1006,0)), HYPERLINK("#",""), HYPERLINK(CONCATENATE("#metadata!", ADDRESS(INDEX($AH$2:$AH$1001,MATCH(ROWS($AF$2:AF189),$AF$2:$AF$1001,0),0), INDEX($AM$1004:$BM$1004,1,MATCH(COLUMNS($AM$1006:AS1006),$AM$1006:$BM$1006,0)))),"Fix")))</f>
        <v xml:space="preserve"> </v>
      </c>
      <c r="I189" s="4" t="str">
        <f ca="1">IF(OR(INDEX($AG$2:$AG$1001,MATCH(ROWS($AF$2:AF189),$AF$2:$AF$1001,0),1)&gt;=100000,INDEX($AM$1005:$BM$1005,1,MATCH(COLUMNS($AM$1006:AT1006),$AM$1006:$BM$1006,0))&gt;=100000), " ",IF(INDEX($AM$2:$BM$1001,MATCH(ROWS($AF$2:AF189),$AF$2:$AF$1001,0),MATCH(COLUMNS($AM$1006:AT1006),$AM$1006:$BM$1006,0)), HYPERLINK("#",""), HYPERLINK(CONCATENATE("#metadata!", ADDRESS(INDEX($AH$2:$AH$1001,MATCH(ROWS($AF$2:AF189),$AF$2:$AF$1001,0),0), INDEX($AM$1004:$BM$1004,1,MATCH(COLUMNS($AM$1006:AT1006),$AM$1006:$BM$1006,0)))),"Fix")))</f>
        <v xml:space="preserve"> </v>
      </c>
      <c r="J189" s="4" t="str">
        <f ca="1">IF(OR(INDEX($AG$2:$AG$1001,MATCH(ROWS($AF$2:AF189),$AF$2:$AF$1001,0),1)&gt;=100000,INDEX($AM$1005:$BM$1005,1,MATCH(COLUMNS($AM$1006:AU1006),$AM$1006:$BM$1006,0))&gt;=100000), " ",IF(INDEX($AM$2:$BM$1001,MATCH(ROWS($AF$2:AF189),$AF$2:$AF$1001,0),MATCH(COLUMNS($AM$1006:AU1006),$AM$1006:$BM$1006,0)), HYPERLINK("#",""), HYPERLINK(CONCATENATE("#metadata!", ADDRESS(INDEX($AH$2:$AH$1001,MATCH(ROWS($AF$2:AF189),$AF$2:$AF$1001,0),0), INDEX($AM$1004:$BM$1004,1,MATCH(COLUMNS($AM$1006:AU1006),$AM$1006:$BM$1006,0)))),"Fix")))</f>
        <v xml:space="preserve"> </v>
      </c>
      <c r="K189" s="4" t="str">
        <f ca="1">IF(OR(INDEX($AG$2:$AG$1001,MATCH(ROWS($AF$2:AF189),$AF$2:$AF$1001,0),1)&gt;=100000,INDEX($AM$1005:$BM$1005,1,MATCH(COLUMNS($AM$1006:AV1006),$AM$1006:$BM$1006,0))&gt;=100000), " ",IF(INDEX($AM$2:$BM$1001,MATCH(ROWS($AF$2:AF189),$AF$2:$AF$1001,0),MATCH(COLUMNS($AM$1006:AV1006),$AM$1006:$BM$1006,0)), HYPERLINK("#",""), HYPERLINK(CONCATENATE("#metadata!", ADDRESS(INDEX($AH$2:$AH$1001,MATCH(ROWS($AF$2:AF189),$AF$2:$AF$1001,0),0), INDEX($AM$1004:$BM$1004,1,MATCH(COLUMNS($AM$1006:AV1006),$AM$1006:$BM$1006,0)))),"Fix")))</f>
        <v xml:space="preserve"> </v>
      </c>
      <c r="L189" s="4" t="str">
        <f ca="1">IF(OR(INDEX($AG$2:$AG$1001,MATCH(ROWS($AF$2:AF189),$AF$2:$AF$1001,0),1)&gt;=100000,INDEX($AM$1005:$BM$1005,1,MATCH(COLUMNS($AM$1006:AW1006),$AM$1006:$BM$1006,0))&gt;=100000), " ",IF(INDEX($AM$2:$BM$1001,MATCH(ROWS($AF$2:AF189),$AF$2:$AF$1001,0),MATCH(COLUMNS($AM$1006:AW1006),$AM$1006:$BM$1006,0)), HYPERLINK("#",""), HYPERLINK(CONCATENATE("#metadata!", ADDRESS(INDEX($AH$2:$AH$1001,MATCH(ROWS($AF$2:AF189),$AF$2:$AF$1001,0),0), INDEX($AM$1004:$BM$1004,1,MATCH(COLUMNS($AM$1006:AW1006),$AM$1006:$BM$1006,0)))),"Fix")))</f>
        <v xml:space="preserve"> </v>
      </c>
      <c r="M189" s="4" t="str">
        <f ca="1">IF(OR(INDEX($AG$2:$AG$1001,MATCH(ROWS($AF$2:AF189),$AF$2:$AF$1001,0),1)&gt;=100000,INDEX($AM$1005:$BM$1005,1,MATCH(COLUMNS($AM$1006:AX1006),$AM$1006:$BM$1006,0))&gt;=100000), " ",IF(INDEX($AM$2:$BM$1001,MATCH(ROWS($AF$2:AF189),$AF$2:$AF$1001,0),MATCH(COLUMNS($AM$1006:AX1006),$AM$1006:$BM$1006,0)), HYPERLINK("#",""), HYPERLINK(CONCATENATE("#metadata!", ADDRESS(INDEX($AH$2:$AH$1001,MATCH(ROWS($AF$2:AF189),$AF$2:$AF$1001,0),0), INDEX($AM$1004:$BM$1004,1,MATCH(COLUMNS($AM$1006:AX1006),$AM$1006:$BM$1006,0)))),"Fix")))</f>
        <v xml:space="preserve"> </v>
      </c>
      <c r="N189" s="4" t="str">
        <f ca="1">IF(OR(INDEX($AG$2:$AG$1001,MATCH(ROWS($AF$2:AF189),$AF$2:$AF$1001,0),1)&gt;=100000,INDEX($AM$1005:$BM$1005,1,MATCH(COLUMNS($AM$1006:AY1006),$AM$1006:$BM$1006,0))&gt;=100000), " ",IF(INDEX($AM$2:$BM$1001,MATCH(ROWS($AF$2:AF189),$AF$2:$AF$1001,0),MATCH(COLUMNS($AM$1006:AY1006),$AM$1006:$BM$1006,0)), HYPERLINK("#",""), HYPERLINK(CONCATENATE("#metadata!", ADDRESS(INDEX($AH$2:$AH$1001,MATCH(ROWS($AF$2:AF189),$AF$2:$AF$1001,0),0), INDEX($AM$1004:$BM$1004,1,MATCH(COLUMNS($AM$1006:AY1006),$AM$1006:$BM$1006,0)))),"Fix")))</f>
        <v xml:space="preserve"> </v>
      </c>
      <c r="O189" s="4" t="str">
        <f ca="1">IF(OR(INDEX($AG$2:$AG$1001,MATCH(ROWS($AF$2:AF189),$AF$2:$AF$1001,0),1)&gt;=100000,INDEX($AM$1005:$BM$1005,1,MATCH(COLUMNS($AM$1006:AZ1006),$AM$1006:$BM$1006,0))&gt;=100000), " ",IF(INDEX($AM$2:$BM$1001,MATCH(ROWS($AF$2:AF189),$AF$2:$AF$1001,0),MATCH(COLUMNS($AM$1006:AZ1006),$AM$1006:$BM$1006,0)), HYPERLINK("#",""), HYPERLINK(CONCATENATE("#metadata!", ADDRESS(INDEX($AH$2:$AH$1001,MATCH(ROWS($AF$2:AF189),$AF$2:$AF$1001,0),0), INDEX($AM$1004:$BM$1004,1,MATCH(COLUMNS($AM$1006:AZ1006),$AM$1006:$BM$1006,0)))),"Fix")))</f>
        <v xml:space="preserve"> </v>
      </c>
      <c r="P189" s="4" t="str">
        <f ca="1">IF(OR(INDEX($AG$2:$AG$1001,MATCH(ROWS($AF$2:AF189),$AF$2:$AF$1001,0),1)&gt;=100000,INDEX($AM$1005:$BM$1005,1,MATCH(COLUMNS($AM$1006:BA1006),$AM$1006:$BM$1006,0))&gt;=100000), " ",IF(INDEX($AM$2:$BM$1001,MATCH(ROWS($AF$2:AF189),$AF$2:$AF$1001,0),MATCH(COLUMNS($AM$1006:BA1006),$AM$1006:$BM$1006,0)), HYPERLINK("#",""), HYPERLINK(CONCATENATE("#metadata!", ADDRESS(INDEX($AH$2:$AH$1001,MATCH(ROWS($AF$2:AF189),$AF$2:$AF$1001,0),0), INDEX($AM$1004:$BM$1004,1,MATCH(COLUMNS($AM$1006:BA1006),$AM$1006:$BM$1006,0)))),"Fix")))</f>
        <v xml:space="preserve"> </v>
      </c>
      <c r="Q189" s="4" t="str">
        <f ca="1">IF(OR(INDEX($AG$2:$AG$1001,MATCH(ROWS($AF$2:AF189),$AF$2:$AF$1001,0),1)&gt;=100000,INDEX($AM$1005:$BM$1005,1,MATCH(COLUMNS($AM$1006:BB1006),$AM$1006:$BM$1006,0))&gt;=100000), " ",IF(INDEX($AM$2:$BM$1001,MATCH(ROWS($AF$2:AF189),$AF$2:$AF$1001,0),MATCH(COLUMNS($AM$1006:BB1006),$AM$1006:$BM$1006,0)), HYPERLINK("#",""), HYPERLINK(CONCATENATE("#metadata!", ADDRESS(INDEX($AH$2:$AH$1001,MATCH(ROWS($AF$2:AF189),$AF$2:$AF$1001,0),0), INDEX($AM$1004:$BM$1004,1,MATCH(COLUMNS($AM$1006:BB1006),$AM$1006:$BM$1006,0)))),"Fix")))</f>
        <v xml:space="preserve"> </v>
      </c>
      <c r="R189" s="4" t="str">
        <f ca="1">IF(OR(INDEX($AG$2:$AG$1001,MATCH(ROWS($AF$2:AF189),$AF$2:$AF$1001,0),1)&gt;=100000,INDEX($AM$1005:$BM$1005,1,MATCH(COLUMNS($AM$1006:BC1006),$AM$1006:$BM$1006,0))&gt;=100000), " ",IF(INDEX($AM$2:$BM$1001,MATCH(ROWS($AF$2:AF189),$AF$2:$AF$1001,0),MATCH(COLUMNS($AM$1006:BC1006),$AM$1006:$BM$1006,0)), HYPERLINK("#",""), HYPERLINK(CONCATENATE("#metadata!", ADDRESS(INDEX($AH$2:$AH$1001,MATCH(ROWS($AF$2:AF189),$AF$2:$AF$1001,0),0), INDEX($AM$1004:$BM$1004,1,MATCH(COLUMNS($AM$1006:BC1006),$AM$1006:$BM$1006,0)))),"Fix")))</f>
        <v xml:space="preserve"> </v>
      </c>
      <c r="S189" s="4" t="str">
        <f ca="1">IF(OR(INDEX($AG$2:$AG$1001,MATCH(ROWS($AF$2:AF189),$AF$2:$AF$1001,0),1)&gt;=100000,INDEX($AM$1005:$BM$1005,1,MATCH(COLUMNS($AM$1006:BD1006),$AM$1006:$BM$1006,0))&gt;=100000), " ",IF(INDEX($AM$2:$BM$1001,MATCH(ROWS($AF$2:AF189),$AF$2:$AF$1001,0),MATCH(COLUMNS($AM$1006:BD1006),$AM$1006:$BM$1006,0)), HYPERLINK("#",""), HYPERLINK(CONCATENATE("#metadata!", ADDRESS(INDEX($AH$2:$AH$1001,MATCH(ROWS($AF$2:AF189),$AF$2:$AF$1001,0),0), INDEX($AM$1004:$BM$1004,1,MATCH(COLUMNS($AM$1006:BD1006),$AM$1006:$BM$1006,0)))),"Fix")))</f>
        <v xml:space="preserve"> </v>
      </c>
      <c r="T189" s="4" t="str">
        <f ca="1">IF(OR(INDEX($AG$2:$AG$1001,MATCH(ROWS($AF$2:AF189),$AF$2:$AF$1001,0),1)&gt;=100000,INDEX($AM$1005:$BM$1005,1,MATCH(COLUMNS($AM$1006:BE1006),$AM$1006:$BM$1006,0))&gt;=100000), " ",IF(INDEX($AM$2:$BM$1001,MATCH(ROWS($AF$2:AF189),$AF$2:$AF$1001,0),MATCH(COLUMNS($AM$1006:BE1006),$AM$1006:$BM$1006,0)), HYPERLINK("#",""), HYPERLINK(CONCATENATE("#metadata!", ADDRESS(INDEX($AH$2:$AH$1001,MATCH(ROWS($AF$2:AF189),$AF$2:$AF$1001,0),0), INDEX($AM$1004:$BM$1004,1,MATCH(COLUMNS($AM$1006:BE1006),$AM$1006:$BM$1006,0)))),"Fix")))</f>
        <v xml:space="preserve"> </v>
      </c>
      <c r="U189" s="4" t="str">
        <f ca="1">IF(OR(INDEX($AG$2:$AG$1001,MATCH(ROWS($AF$2:AF189),$AF$2:$AF$1001,0),1)&gt;=100000,INDEX($AM$1005:$BM$1005,1,MATCH(COLUMNS($AM$1006:BF1006),$AM$1006:$BM$1006,0))&gt;=100000), " ",IF(INDEX($AM$2:$BM$1001,MATCH(ROWS($AF$2:AF189),$AF$2:$AF$1001,0),MATCH(COLUMNS($AM$1006:BF1006),$AM$1006:$BM$1006,0)), HYPERLINK("#",""), HYPERLINK(CONCATENATE("#metadata!", ADDRESS(INDEX($AH$2:$AH$1001,MATCH(ROWS($AF$2:AF189),$AF$2:$AF$1001,0),0), INDEX($AM$1004:$BM$1004,1,MATCH(COLUMNS($AM$1006:BF1006),$AM$1006:$BM$1006,0)))),"Fix")))</f>
        <v xml:space="preserve"> </v>
      </c>
      <c r="V189" s="4" t="str">
        <f ca="1">IF(OR(INDEX($AG$2:$AG$1001,MATCH(ROWS($AF$2:AF189),$AF$2:$AF$1001,0),1)&gt;=100000,INDEX($AM$1005:$BM$1005,1,MATCH(COLUMNS($AM$1006:BG1006),$AM$1006:$BM$1006,0))&gt;=100000), " ",IF(INDEX($AM$2:$BM$1001,MATCH(ROWS($AF$2:AF189),$AF$2:$AF$1001,0),MATCH(COLUMNS($AM$1006:BG1006),$AM$1006:$BM$1006,0)), HYPERLINK("#",""), HYPERLINK(CONCATENATE("#metadata!", ADDRESS(INDEX($AH$2:$AH$1001,MATCH(ROWS($AF$2:AF189),$AF$2:$AF$1001,0),0), INDEX($AM$1004:$BM$1004,1,MATCH(COLUMNS($AM$1006:BG1006),$AM$1006:$BM$1006,0)))),"Fix")))</f>
        <v xml:space="preserve"> </v>
      </c>
      <c r="W189" s="4" t="str">
        <f ca="1">IF(OR(INDEX($AG$2:$AG$1001,MATCH(ROWS($AF$2:AF189),$AF$2:$AF$1001,0),1)&gt;=100000,INDEX($AM$1005:$BM$1005,1,MATCH(COLUMNS($AM$1006:BH1006),$AM$1006:$BM$1006,0))&gt;=100000), " ",IF(INDEX($AM$2:$BM$1001,MATCH(ROWS($AF$2:AF189),$AF$2:$AF$1001,0),MATCH(COLUMNS($AM$1006:BH1006),$AM$1006:$BM$1006,0)), HYPERLINK("#",""), HYPERLINK(CONCATENATE("#metadata!", ADDRESS(INDEX($AH$2:$AH$1001,MATCH(ROWS($AF$2:AF189),$AF$2:$AF$1001,0),0), INDEX($AM$1004:$BM$1004,1,MATCH(COLUMNS($AM$1006:BH1006),$AM$1006:$BM$1006,0)))),"Fix")))</f>
        <v xml:space="preserve"> </v>
      </c>
      <c r="X189" s="4" t="str">
        <f ca="1">IF(OR(INDEX($AG$2:$AG$1001,MATCH(ROWS($AF$2:AF189),$AF$2:$AF$1001,0),1)&gt;=100000,INDEX($AM$1005:$BM$1005,1,MATCH(COLUMNS($AM$1006:BI1006),$AM$1006:$BM$1006,0))&gt;=100000), " ",IF(INDEX($AM$2:$BM$1001,MATCH(ROWS($AF$2:AF189),$AF$2:$AF$1001,0),MATCH(COLUMNS($AM$1006:BI1006),$AM$1006:$BM$1006,0)), HYPERLINK("#",""), HYPERLINK(CONCATENATE("#metadata!", ADDRESS(INDEX($AH$2:$AH$1001,MATCH(ROWS($AF$2:AF189),$AF$2:$AF$1001,0),0), INDEX($AM$1004:$BM$1004,1,MATCH(COLUMNS($AM$1006:BI1006),$AM$1006:$BM$1006,0)))),"Fix")))</f>
        <v xml:space="preserve"> </v>
      </c>
      <c r="Y189" s="4" t="str">
        <f ca="1">IF(OR(INDEX($AG$2:$AG$1001,MATCH(ROWS($AF$2:AF189),$AF$2:$AF$1001,0),1)&gt;=100000,INDEX($AM$1005:$BM$1005,1,MATCH(COLUMNS($AM$1006:BJ1006),$AM$1006:$BM$1006,0))&gt;=100000), " ",IF(INDEX($AM$2:$BM$1001,MATCH(ROWS($AF$2:AF189),$AF$2:$AF$1001,0),MATCH(COLUMNS($AM$1006:BJ1006),$AM$1006:$BM$1006,0)), HYPERLINK("#",""), HYPERLINK(CONCATENATE("#metadata!", ADDRESS(INDEX($AH$2:$AH$1001,MATCH(ROWS($AF$2:AF189),$AF$2:$AF$1001,0),0), INDEX($AM$1004:$BM$1004,1,MATCH(COLUMNS($AM$1006:BJ1006),$AM$1006:$BM$1006,0)))),"Fix")))</f>
        <v xml:space="preserve"> </v>
      </c>
      <c r="Z189" s="4" t="str">
        <f ca="1">IF(OR(INDEX($AG$2:$AG$1001,MATCH(ROWS($AF$2:AF189),$AF$2:$AF$1001,0),1)&gt;=100000,INDEX($AM$1005:$BM$1005,1,MATCH(COLUMNS($AM$1006:BK1006),$AM$1006:$BM$1006,0))&gt;=100000), " ",IF(INDEX($AM$2:$BM$1001,MATCH(ROWS($AF$2:AF189),$AF$2:$AF$1001,0),MATCH(COLUMNS($AM$1006:BK1006),$AM$1006:$BM$1006,0)), HYPERLINK("#",""), HYPERLINK(CONCATENATE("#metadata!", ADDRESS(INDEX($AH$2:$AH$1001,MATCH(ROWS($AF$2:AF189),$AF$2:$AF$1001,0),0), INDEX($AM$1004:$BM$1004,1,MATCH(COLUMNS($AM$1006:BK1006),$AM$1006:$BM$1006,0)))),"Fix")))</f>
        <v xml:space="preserve"> </v>
      </c>
      <c r="AA189" s="4" t="str">
        <f ca="1">IF(OR(INDEX($AG$2:$AG$1001,MATCH(ROWS($AF$2:AF189),$AF$2:$AF$1001,0),1)&gt;=100000,INDEX($AM$1005:$BM$1005,1,MATCH(COLUMNS($AM$1006:BL1006),$AM$1006:$BM$1006,0))&gt;=100000), " ",IF(INDEX($AM$2:$BM$1001,MATCH(ROWS($AF$2:AF189),$AF$2:$AF$1001,0),MATCH(COLUMNS($AM$1006:BL1006),$AM$1006:$BM$1006,0)), HYPERLINK("#",""), HYPERLINK(CONCATENATE("#metadata!", ADDRESS(INDEX($AH$2:$AH$1001,MATCH(ROWS($AF$2:AF189),$AF$2:$AF$1001,0),0), INDEX($AM$1004:$BM$1004,1,MATCH(COLUMNS($AM$1006:BL1006),$AM$1006:$BM$1006,0)))),"Fix")))</f>
        <v xml:space="preserve"> </v>
      </c>
      <c r="AB189" s="4" t="str">
        <f ca="1">IF(OR(INDEX($AG$2:$AG$1001,MATCH(ROWS($AF$2:AF189),$AF$2:$AF$1001,0),1)&gt;=100000,INDEX($AM$1005:$BM$1005,1,MATCH(COLUMNS($AM$1006:BM1006),$AM$1006:$BM$1006,0))&gt;=100000), " ",IF(INDEX($AM$2:$BM$1001,MATCH(ROWS($AF$2:AF189),$AF$2:$AF$1001,0),MATCH(COLUMNS($AM$1006:BM1006),$AM$1006:$BM$1006,0)), HYPERLINK("#",""), HYPERLINK(CONCATENATE("#metadata!", ADDRESS(INDEX($AH$2:$AH$1001,MATCH(ROWS($AF$2:AF189),$AF$2:$AF$1001,0),0), INDEX($AM$1004:$BM$1004,1,MATCH(COLUMNS($AM$1006:BM1006),$AM$1006:$BM$1006,0)))),"Fix")))</f>
        <v xml:space="preserve"> </v>
      </c>
      <c r="AF189">
        <v>188</v>
      </c>
      <c r="AG189">
        <v>100189</v>
      </c>
      <c r="AH189">
        <v>189</v>
      </c>
      <c r="AI189" t="b">
        <f t="shared" si="2"/>
        <v>1</v>
      </c>
      <c r="AJ189" t="b">
        <f>COUNTBLANK(metadata!B189:AB189)=COLUMNS(metadata!B189:AB189)</f>
        <v>1</v>
      </c>
      <c r="AK189" t="str">
        <v/>
      </c>
      <c r="AM189" t="b">
        <f ca="1">AND(IF(metadata!B189="",FALSE,TRUE),COUNTIF(metadata!B:B, metadata!B189) = 1,NOT(ISERROR(SUMPRODUCT(SEARCH(MID(metadata!B189,ROW(INDIRECT("1:"&amp;LEN(metadata!B189))), 1),"0123456789abcdefghijklmnopqrstuvwxyzABCDEFGHIJKLMNOPQRSTUVWXYZ.")))))</f>
        <v>0</v>
      </c>
      <c r="AN189" t="b">
        <f ca="1">OR(AND(IF(metadata!C189="",FALSE,TRUE),OR(EXACT(metadata!C189,"missing: not collected"),EXACT(metadata!C189,"missing: not provided"),EXACT(metadata!C189,"missing: restricted access"))),AND(IF(metadata!C189="",FALSE,TRUE),AND(AND(IFERROR(INT(LEFT(metadata!C189,4))&gt;1900,FALSE),IFERROR(INT(LEFT(metadata!C189,4))&lt;=YEAR(NOW()),FALSE)), OR(MID(metadata!C189,5,1)="", AND(AND(MID(metadata!C189,5,1)="-",IFERROR(INT(MID(metadata!C189,6,1))&gt;=0,FALSE),IFERROR(INT(MID(metadata!C189,6,1))&lt;=1,FALSE),NOT(MID(metadata!C189,7,1)=""),IFERROR(INT(MID(metadata!C189,6,2))&gt;=1,FALSE),IFERROR(INT(MID(metadata!C189,6,2))&lt;=12,FALSE)), OR(MID(metadata!C189,8,1)="", AND(AND(MID(metadata!C189,8,1)="-",IFERROR(INT(MID(metadata!C189,9,1))&gt;=0,FALSE),IFERROR(INT(MID(metadata!C189,9,1))&lt;=3,FALSE),NOT(MID(metadata!C189,10,1)=""),IFERROR(INT(MID(metadata!C189,9,2))&gt;=1,FALSE),IFERROR(INT(MID(metadata!C189,9,2))&lt;=31,FALSE)), OR(MID(metadata!C189,11,1)="", AND(AND(MID(metadata!C189,11,1)=" ",IFERROR(INT(MID(metadata!C189,12,1))&gt;=0,FALSE),IFERROR(INT(MID(metadata!C189,12,1))&lt;=2,FALSE),NOT(MID(metadata!C189,13,1)=""),IFERROR(INT(MID(metadata!C189,12,2))&gt;=0,FALSE),IFERROR(INT(MID(metadata!C189,12,2))&lt;=23,FALSE)), OR(MID(metadata!C189,14,1)="", AND(AND(MID(metadata!C189,14,1)=":",IFERROR(INT(MID(metadata!C189,15,1))&gt;=0,FALSE),IFERROR(INT(MID(metadata!C189,15,1))&lt;=5,FALSE),NOT(MID(metadata!C189,16,1)=""),IFERROR(INT(MID(metadata!C189,15,2))&gt;=0,FALSE),IFERROR(INT(MID(metadata!C189,15,2))&lt;=59,FALSE)), OR(MID(metadata!C189,17,1)="", AND(AND(MID(metadata!C189,17,1)=":",IFERROR(INT(MID(metadata!C189,18,1))&gt;=0,FALSE),IFERROR(INT(MID(metadata!C189,18,1))&lt;=5,FALSE),NOT(MID(metadata!C189,19,1)=""),IFERROR(INT(MID(metadata!C189,18,2))&gt;=0,FALSE),IFERROR(INT(MID(metadata!C189,18,2))&lt;=59,FALSE)), LEN(metadata!C189)&lt;=19)))))))))))))</f>
        <v>0</v>
      </c>
      <c r="AO189" t="b">
        <f>AND(IF(metadata!D189="",FALSE,TRUE),EXACT(metadata!D189,"Not applicable"))</f>
        <v>0</v>
      </c>
      <c r="AP189" t="b">
        <f>IF(metadata!E189="",FALSE,TRUE)</f>
        <v>0</v>
      </c>
      <c r="AQ189" t="b">
        <f>OR(AND(IF(metadata!F189="",FALSE,TRUE),OR(EXACT(metadata!F189,"missing: not collected"),EXACT(metadata!F189,"missing: not provided"))),AND(IF(metadata!F189="",FALSE,TRUE),OR(EXACT(metadata!F189,"TRUE"),EXACT(metadata!F189,"FALSE"))))</f>
        <v>0</v>
      </c>
      <c r="AR189" t="b">
        <f>OR(AND(IF(metadata!G189="",FALSE,TRUE),OR(EXACT(metadata!G189,"missing: not collected"),EXACT(metadata!G189,"missing: not provided"),EXACT(metadata!G189,"missing: restricted access"))),AND(IF(metadata!G189="",FALSE,ISNUMBER(VALUE(metadata!G189))),metadata!G189&gt;=-413))</f>
        <v>0</v>
      </c>
      <c r="AS189" t="b">
        <f>AND(IF(metadata!H189="",FALSE,TRUE),EXACT(metadata!H189,"meters"))</f>
        <v>0</v>
      </c>
      <c r="AT189" t="b">
        <f>AND(IF(metadata!I189="",FALSE,TRUE),OR(EXACT(metadata!I189,"Host-associated"),EXACT(metadata!I189,"Free-living")))</f>
        <v>0</v>
      </c>
      <c r="AU189" t="b">
        <f>AND(IF(metadata!J189="",FALSE,TRUE),OR(EXACT(metadata!J189,"Animal"),EXACT(metadata!J189,"Fungus"),EXACT(metadata!J189,"Plant"),EXACT(metadata!J189,"Saline"),EXACT(metadata!J189,"Non-saline")))</f>
        <v>0</v>
      </c>
      <c r="AV189" t="b">
        <f>AND(IF(metadata!K189="",FALSE,TRUE),OR(EXACT(metadata!K189,"Plant secretion"),EXACT(metadata!K189,"Plant rhizosphere"),EXACT(metadata!K189,"Plant surface"),EXACT(metadata!K189,"Plant corpus"),EXACT(metadata!K189,"Fungus surface"),EXACT(metadata!K189,"Fungus corpus"),EXACT(metadata!K189,"Animal surface"),EXACT(metadata!K189,"Animal proximal gut"),EXACT(metadata!K189,"Animal corpus"),EXACT(metadata!K189,"Animal distal gut"),EXACT(metadata!K189,"Animal secretion"),EXACT(metadata!K189,"Sub-surface (non-saline)"),EXACT(metadata!K189,"Surface (non-saline)"),EXACT(metadata!K189,"Water (non-saline)"),EXACT(metadata!K189,"Soil (non-saline)"),EXACT(metadata!K189,"Aerosol (non-saline)"),EXACT(metadata!K189,"Sediment (non-saline)"),EXACT(metadata!K189,"Surface (saline)"),EXACT(metadata!K189,"Water (saline)"),EXACT(metadata!K189,"Hypersaline (saline)"),EXACT(metadata!K189,"Aerosol (saline)"),EXACT(metadata!K189,"Sediment (saline)")))</f>
        <v>0</v>
      </c>
      <c r="AW189" t="b">
        <f>IF(metadata!L189="",FALSE,TRUE)</f>
        <v>0</v>
      </c>
      <c r="AX189" t="b">
        <f>IF(metadata!M189="",FALSE,TRUE)</f>
        <v>0</v>
      </c>
      <c r="AY189" t="b">
        <f>IF(metadata!N189="",FALSE,TRUE)</f>
        <v>0</v>
      </c>
      <c r="AZ189" t="b">
        <f>OR(AND(IF(metadata!O189="",FALSE,TRUE),OR(EXACT(metadata!O189,"missing: not collected"),EXACT(metadata!O189,"missing: not provided"),EXACT(metadata!O189,"missing: restricted access"))),AND(IF(metadata!O189="",FALSE,TRUE),OR(EXACT(metadata!O189,"air"),EXACT(metadata!O189,"built environment"),EXACT(metadata!O189,"host-associated"),EXACT(metadata!O189,"human-associated"),EXACT(metadata!O189,"human-skin"),EXACT(metadata!O189,"human-oral"),EXACT(metadata!O189,"human-gut"),EXACT(metadata!O189,"human-vaginal"),EXACT(metadata!O189,"microbial mat/biofilm"),EXACT(metadata!O189,"misc environment"),EXACT(metadata!O189,"plant-associated"),EXACT(metadata!O189,"sediment"),EXACT(metadata!O189,"soil"),EXACT(metadata!O189,"wastewater/sludge"),EXACT(metadata!O189,"water"))))</f>
        <v>0</v>
      </c>
      <c r="BA189" t="b">
        <f>IF(metadata!P189="",FALSE,TRUE)</f>
        <v>0</v>
      </c>
      <c r="BB189" t="b">
        <f>IF(metadata!Q189="",FALSE,TRUE)</f>
        <v>0</v>
      </c>
      <c r="BC189" t="b">
        <f>OR(AND(IF(metadata!R189="",FALSE,TRUE),OR(EXACT(metadata!R189,"missing: not collected"),EXACT(metadata!R189,"missing: not provided"),EXACT(metadata!R189,"missing: restricted access"))),AND(IF(metadata!R189="",FALSE,ISNUMBER(VALUE(metadata!R189))),metadata!R189&gt;=-90,metadata!R189&lt;=90))</f>
        <v>0</v>
      </c>
      <c r="BD189" t="b">
        <f>AND(IF(metadata!S189="",FALSE,TRUE),EXACT(metadata!S189,"Decimal degrees"))</f>
        <v>0</v>
      </c>
      <c r="BE189" t="b">
        <f>OR(AND(IF(metadata!T189="",FALSE,TRUE),OR(EXACT(metadata!T189,"missing: not collected"),EXACT(metadata!T189,"missing: not provided"),EXACT(metadata!T189,"missing: restricted access"))),AND(IF(metadata!T189="",FALSE,ISNUMBER(VALUE(metadata!T189))),metadata!T189&gt;=-180,metadata!T189&lt;=180))</f>
        <v>0</v>
      </c>
      <c r="BF189" t="b">
        <f>AND(IF(metadata!U189="",FALSE,TRUE),EXACT(metadata!U189,"Decimal degrees"))</f>
        <v>0</v>
      </c>
      <c r="BG189" t="b">
        <f>IF(metadata!V189="",FALSE,TRUE)</f>
        <v>0</v>
      </c>
      <c r="BH189" t="b">
        <f>OR(AND(IF(metadata!W189="",FALSE,TRUE),OR(EXACT(metadata!W189,"missing: not collected"),EXACT(metadata!W189,"missing: not provided"),EXACT(metadata!W189,"missing: restricted access"))),AND(IF(metadata!W189="",FALSE,TRUE),OR(EXACT(metadata!W189,"TRUE"),EXACT(metadata!W189,"FALSE"))))</f>
        <v>0</v>
      </c>
      <c r="BI189" t="b">
        <f>AND(IF(metadata!X189="",FALSE,TRUE),EXACT(metadata!X189,"other"))</f>
        <v>0</v>
      </c>
      <c r="BJ189" t="b">
        <f>IF(metadata!Y189="",FALSE,TRUE)</f>
        <v>0</v>
      </c>
      <c r="BK189" t="b">
        <f>OR(AND(IF(metadata!Z189="",FALSE,TRUE),OR(EXACT(metadata!Z189,"missing: not collected"),EXACT(metadata!Z189,"missing: not provided"))),AND(IF(metadata!Z189="",FALSE,IF(ISERROR(INT(metadata!Z189)),FALSE,INT(metadata!Z189)=metadata!Z189)),metadata!Z189&gt;0))</f>
        <v>0</v>
      </c>
      <c r="BL189" t="b">
        <f>AND(IF(metadata!AA189="",FALSE,TRUE),EXACT(metadata!AA189,"Not applicable"))</f>
        <v>0</v>
      </c>
      <c r="BM189" t="b">
        <f>IF(metadata!AB189="",FALSE,TRUE)</f>
        <v>0</v>
      </c>
    </row>
    <row r="190" spans="1:65" x14ac:dyDescent="0.2">
      <c r="A190" s="5" t="str">
        <f ca="1">IF(B190=" "," ",HYPERLINK(CONCATENATE("#metadata!",ADDRESS(INDEX($AH$2:$AH$1001,MATCH(ROWS($AF$2:AF190),$AF$2:$AF$1001,0),0),1)),INDEX($AK$2:$AK$1001,MATCH(ROWS($AF$2:AF190),$AF$2:$AF$1001,0),0)))</f>
        <v xml:space="preserve"> </v>
      </c>
      <c r="B190" s="4" t="str">
        <f ca="1">IF(OR(INDEX($AG$2:$AG$1001,MATCH(ROWS($AF$2:AF190),$AF$2:$AF$1001,0),1)&gt;=100000,INDEX($AM$1005:$BM$1005,1,MATCH(COLUMNS($AM$1006:AM1006),$AM$1006:$BM$1006,0))&gt;=100000), " ",IF(INDEX($AM$2:$BM$1001,MATCH(ROWS($AF$2:AF190),$AF$2:$AF$1001,0),MATCH(COLUMNS($AM$1006:AM1006),$AM$1006:$BM$1006,0)), HYPERLINK("#",""), HYPERLINK(CONCATENATE("#metadata!", ADDRESS(INDEX($AH$2:$AH$1001,MATCH(ROWS($AF$2:AF190),$AF$2:$AF$1001,0),0), INDEX($AM$1004:$BM$1004,1,MATCH(COLUMNS($AM$1006:AM1006),$AM$1006:$BM$1006,0)))),"Fix")))</f>
        <v xml:space="preserve"> </v>
      </c>
      <c r="C190" s="4" t="str">
        <f ca="1">IF(OR(INDEX($AG$2:$AG$1001,MATCH(ROWS($AF$2:AF190),$AF$2:$AF$1001,0),1)&gt;=100000,INDEX($AM$1005:$BM$1005,1,MATCH(COLUMNS($AM$1006:AN1006),$AM$1006:$BM$1006,0))&gt;=100000), " ",IF(INDEX($AM$2:$BM$1001,MATCH(ROWS($AF$2:AF190),$AF$2:$AF$1001,0),MATCH(COLUMNS($AM$1006:AN1006),$AM$1006:$BM$1006,0)), HYPERLINK("#",""), HYPERLINK(CONCATENATE("#metadata!", ADDRESS(INDEX($AH$2:$AH$1001,MATCH(ROWS($AF$2:AF190),$AF$2:$AF$1001,0),0), INDEX($AM$1004:$BM$1004,1,MATCH(COLUMNS($AM$1006:AN1006),$AM$1006:$BM$1006,0)))),"Fix")))</f>
        <v xml:space="preserve"> </v>
      </c>
      <c r="D190" s="4" t="str">
        <f ca="1">IF(OR(INDEX($AG$2:$AG$1001,MATCH(ROWS($AF$2:AF190),$AF$2:$AF$1001,0),1)&gt;=100000,INDEX($AM$1005:$BM$1005,1,MATCH(COLUMNS($AM$1006:AO1006),$AM$1006:$BM$1006,0))&gt;=100000), " ",IF(INDEX($AM$2:$BM$1001,MATCH(ROWS($AF$2:AF190),$AF$2:$AF$1001,0),MATCH(COLUMNS($AM$1006:AO1006),$AM$1006:$BM$1006,0)), HYPERLINK("#",""), HYPERLINK(CONCATENATE("#metadata!", ADDRESS(INDEX($AH$2:$AH$1001,MATCH(ROWS($AF$2:AF190),$AF$2:$AF$1001,0),0), INDEX($AM$1004:$BM$1004,1,MATCH(COLUMNS($AM$1006:AO1006),$AM$1006:$BM$1006,0)))),"Fix")))</f>
        <v xml:space="preserve"> </v>
      </c>
      <c r="E190" s="4" t="str">
        <f ca="1">IF(OR(INDEX($AG$2:$AG$1001,MATCH(ROWS($AF$2:AF190),$AF$2:$AF$1001,0),1)&gt;=100000,INDEX($AM$1005:$BM$1005,1,MATCH(COLUMNS($AM$1006:AP1006),$AM$1006:$BM$1006,0))&gt;=100000), " ",IF(INDEX($AM$2:$BM$1001,MATCH(ROWS($AF$2:AF190),$AF$2:$AF$1001,0),MATCH(COLUMNS($AM$1006:AP1006),$AM$1006:$BM$1006,0)), HYPERLINK("#",""), HYPERLINK(CONCATENATE("#metadata!", ADDRESS(INDEX($AH$2:$AH$1001,MATCH(ROWS($AF$2:AF190),$AF$2:$AF$1001,0),0), INDEX($AM$1004:$BM$1004,1,MATCH(COLUMNS($AM$1006:AP1006),$AM$1006:$BM$1006,0)))),"Fix")))</f>
        <v xml:space="preserve"> </v>
      </c>
      <c r="F190" s="4" t="str">
        <f ca="1">IF(OR(INDEX($AG$2:$AG$1001,MATCH(ROWS($AF$2:AF190),$AF$2:$AF$1001,0),1)&gt;=100000,INDEX($AM$1005:$BM$1005,1,MATCH(COLUMNS($AM$1006:AQ1006),$AM$1006:$BM$1006,0))&gt;=100000), " ",IF(INDEX($AM$2:$BM$1001,MATCH(ROWS($AF$2:AF190),$AF$2:$AF$1001,0),MATCH(COLUMNS($AM$1006:AQ1006),$AM$1006:$BM$1006,0)), HYPERLINK("#",""), HYPERLINK(CONCATENATE("#metadata!", ADDRESS(INDEX($AH$2:$AH$1001,MATCH(ROWS($AF$2:AF190),$AF$2:$AF$1001,0),0), INDEX($AM$1004:$BM$1004,1,MATCH(COLUMNS($AM$1006:AQ1006),$AM$1006:$BM$1006,0)))),"Fix")))</f>
        <v xml:space="preserve"> </v>
      </c>
      <c r="G190" s="4" t="str">
        <f ca="1">IF(OR(INDEX($AG$2:$AG$1001,MATCH(ROWS($AF$2:AF190),$AF$2:$AF$1001,0),1)&gt;=100000,INDEX($AM$1005:$BM$1005,1,MATCH(COLUMNS($AM$1006:AR1006),$AM$1006:$BM$1006,0))&gt;=100000), " ",IF(INDEX($AM$2:$BM$1001,MATCH(ROWS($AF$2:AF190),$AF$2:$AF$1001,0),MATCH(COLUMNS($AM$1006:AR1006),$AM$1006:$BM$1006,0)), HYPERLINK("#",""), HYPERLINK(CONCATENATE("#metadata!", ADDRESS(INDEX($AH$2:$AH$1001,MATCH(ROWS($AF$2:AF190),$AF$2:$AF$1001,0),0), INDEX($AM$1004:$BM$1004,1,MATCH(COLUMNS($AM$1006:AR1006),$AM$1006:$BM$1006,0)))),"Fix")))</f>
        <v xml:space="preserve"> </v>
      </c>
      <c r="H190" s="4" t="str">
        <f ca="1">IF(OR(INDEX($AG$2:$AG$1001,MATCH(ROWS($AF$2:AF190),$AF$2:$AF$1001,0),1)&gt;=100000,INDEX($AM$1005:$BM$1005,1,MATCH(COLUMNS($AM$1006:AS1006),$AM$1006:$BM$1006,0))&gt;=100000), " ",IF(INDEX($AM$2:$BM$1001,MATCH(ROWS($AF$2:AF190),$AF$2:$AF$1001,0),MATCH(COLUMNS($AM$1006:AS1006),$AM$1006:$BM$1006,0)), HYPERLINK("#",""), HYPERLINK(CONCATENATE("#metadata!", ADDRESS(INDEX($AH$2:$AH$1001,MATCH(ROWS($AF$2:AF190),$AF$2:$AF$1001,0),0), INDEX($AM$1004:$BM$1004,1,MATCH(COLUMNS($AM$1006:AS1006),$AM$1006:$BM$1006,0)))),"Fix")))</f>
        <v xml:space="preserve"> </v>
      </c>
      <c r="I190" s="4" t="str">
        <f ca="1">IF(OR(INDEX($AG$2:$AG$1001,MATCH(ROWS($AF$2:AF190),$AF$2:$AF$1001,0),1)&gt;=100000,INDEX($AM$1005:$BM$1005,1,MATCH(COLUMNS($AM$1006:AT1006),$AM$1006:$BM$1006,0))&gt;=100000), " ",IF(INDEX($AM$2:$BM$1001,MATCH(ROWS($AF$2:AF190),$AF$2:$AF$1001,0),MATCH(COLUMNS($AM$1006:AT1006),$AM$1006:$BM$1006,0)), HYPERLINK("#",""), HYPERLINK(CONCATENATE("#metadata!", ADDRESS(INDEX($AH$2:$AH$1001,MATCH(ROWS($AF$2:AF190),$AF$2:$AF$1001,0),0), INDEX($AM$1004:$BM$1004,1,MATCH(COLUMNS($AM$1006:AT1006),$AM$1006:$BM$1006,0)))),"Fix")))</f>
        <v xml:space="preserve"> </v>
      </c>
      <c r="J190" s="4" t="str">
        <f ca="1">IF(OR(INDEX($AG$2:$AG$1001,MATCH(ROWS($AF$2:AF190),$AF$2:$AF$1001,0),1)&gt;=100000,INDEX($AM$1005:$BM$1005,1,MATCH(COLUMNS($AM$1006:AU1006),$AM$1006:$BM$1006,0))&gt;=100000), " ",IF(INDEX($AM$2:$BM$1001,MATCH(ROWS($AF$2:AF190),$AF$2:$AF$1001,0),MATCH(COLUMNS($AM$1006:AU1006),$AM$1006:$BM$1006,0)), HYPERLINK("#",""), HYPERLINK(CONCATENATE("#metadata!", ADDRESS(INDEX($AH$2:$AH$1001,MATCH(ROWS($AF$2:AF190),$AF$2:$AF$1001,0),0), INDEX($AM$1004:$BM$1004,1,MATCH(COLUMNS($AM$1006:AU1006),$AM$1006:$BM$1006,0)))),"Fix")))</f>
        <v xml:space="preserve"> </v>
      </c>
      <c r="K190" s="4" t="str">
        <f ca="1">IF(OR(INDEX($AG$2:$AG$1001,MATCH(ROWS($AF$2:AF190),$AF$2:$AF$1001,0),1)&gt;=100000,INDEX($AM$1005:$BM$1005,1,MATCH(COLUMNS($AM$1006:AV1006),$AM$1006:$BM$1006,0))&gt;=100000), " ",IF(INDEX($AM$2:$BM$1001,MATCH(ROWS($AF$2:AF190),$AF$2:$AF$1001,0),MATCH(COLUMNS($AM$1006:AV1006),$AM$1006:$BM$1006,0)), HYPERLINK("#",""), HYPERLINK(CONCATENATE("#metadata!", ADDRESS(INDEX($AH$2:$AH$1001,MATCH(ROWS($AF$2:AF190),$AF$2:$AF$1001,0),0), INDEX($AM$1004:$BM$1004,1,MATCH(COLUMNS($AM$1006:AV1006),$AM$1006:$BM$1006,0)))),"Fix")))</f>
        <v xml:space="preserve"> </v>
      </c>
      <c r="L190" s="4" t="str">
        <f ca="1">IF(OR(INDEX($AG$2:$AG$1001,MATCH(ROWS($AF$2:AF190),$AF$2:$AF$1001,0),1)&gt;=100000,INDEX($AM$1005:$BM$1005,1,MATCH(COLUMNS($AM$1006:AW1006),$AM$1006:$BM$1006,0))&gt;=100000), " ",IF(INDEX($AM$2:$BM$1001,MATCH(ROWS($AF$2:AF190),$AF$2:$AF$1001,0),MATCH(COLUMNS($AM$1006:AW1006),$AM$1006:$BM$1006,0)), HYPERLINK("#",""), HYPERLINK(CONCATENATE("#metadata!", ADDRESS(INDEX($AH$2:$AH$1001,MATCH(ROWS($AF$2:AF190),$AF$2:$AF$1001,0),0), INDEX($AM$1004:$BM$1004,1,MATCH(COLUMNS($AM$1006:AW1006),$AM$1006:$BM$1006,0)))),"Fix")))</f>
        <v xml:space="preserve"> </v>
      </c>
      <c r="M190" s="4" t="str">
        <f ca="1">IF(OR(INDEX($AG$2:$AG$1001,MATCH(ROWS($AF$2:AF190),$AF$2:$AF$1001,0),1)&gt;=100000,INDEX($AM$1005:$BM$1005,1,MATCH(COLUMNS($AM$1006:AX1006),$AM$1006:$BM$1006,0))&gt;=100000), " ",IF(INDEX($AM$2:$BM$1001,MATCH(ROWS($AF$2:AF190),$AF$2:$AF$1001,0),MATCH(COLUMNS($AM$1006:AX1006),$AM$1006:$BM$1006,0)), HYPERLINK("#",""), HYPERLINK(CONCATENATE("#metadata!", ADDRESS(INDEX($AH$2:$AH$1001,MATCH(ROWS($AF$2:AF190),$AF$2:$AF$1001,0),0), INDEX($AM$1004:$BM$1004,1,MATCH(COLUMNS($AM$1006:AX1006),$AM$1006:$BM$1006,0)))),"Fix")))</f>
        <v xml:space="preserve"> </v>
      </c>
      <c r="N190" s="4" t="str">
        <f ca="1">IF(OR(INDEX($AG$2:$AG$1001,MATCH(ROWS($AF$2:AF190),$AF$2:$AF$1001,0),1)&gt;=100000,INDEX($AM$1005:$BM$1005,1,MATCH(COLUMNS($AM$1006:AY1006),$AM$1006:$BM$1006,0))&gt;=100000), " ",IF(INDEX($AM$2:$BM$1001,MATCH(ROWS($AF$2:AF190),$AF$2:$AF$1001,0),MATCH(COLUMNS($AM$1006:AY1006),$AM$1006:$BM$1006,0)), HYPERLINK("#",""), HYPERLINK(CONCATENATE("#metadata!", ADDRESS(INDEX($AH$2:$AH$1001,MATCH(ROWS($AF$2:AF190),$AF$2:$AF$1001,0),0), INDEX($AM$1004:$BM$1004,1,MATCH(COLUMNS($AM$1006:AY1006),$AM$1006:$BM$1006,0)))),"Fix")))</f>
        <v xml:space="preserve"> </v>
      </c>
      <c r="O190" s="4" t="str">
        <f ca="1">IF(OR(INDEX($AG$2:$AG$1001,MATCH(ROWS($AF$2:AF190),$AF$2:$AF$1001,0),1)&gt;=100000,INDEX($AM$1005:$BM$1005,1,MATCH(COLUMNS($AM$1006:AZ1006),$AM$1006:$BM$1006,0))&gt;=100000), " ",IF(INDEX($AM$2:$BM$1001,MATCH(ROWS($AF$2:AF190),$AF$2:$AF$1001,0),MATCH(COLUMNS($AM$1006:AZ1006),$AM$1006:$BM$1006,0)), HYPERLINK("#",""), HYPERLINK(CONCATENATE("#metadata!", ADDRESS(INDEX($AH$2:$AH$1001,MATCH(ROWS($AF$2:AF190),$AF$2:$AF$1001,0),0), INDEX($AM$1004:$BM$1004,1,MATCH(COLUMNS($AM$1006:AZ1006),$AM$1006:$BM$1006,0)))),"Fix")))</f>
        <v xml:space="preserve"> </v>
      </c>
      <c r="P190" s="4" t="str">
        <f ca="1">IF(OR(INDEX($AG$2:$AG$1001,MATCH(ROWS($AF$2:AF190),$AF$2:$AF$1001,0),1)&gt;=100000,INDEX($AM$1005:$BM$1005,1,MATCH(COLUMNS($AM$1006:BA1006),$AM$1006:$BM$1006,0))&gt;=100000), " ",IF(INDEX($AM$2:$BM$1001,MATCH(ROWS($AF$2:AF190),$AF$2:$AF$1001,0),MATCH(COLUMNS($AM$1006:BA1006),$AM$1006:$BM$1006,0)), HYPERLINK("#",""), HYPERLINK(CONCATENATE("#metadata!", ADDRESS(INDEX($AH$2:$AH$1001,MATCH(ROWS($AF$2:AF190),$AF$2:$AF$1001,0),0), INDEX($AM$1004:$BM$1004,1,MATCH(COLUMNS($AM$1006:BA1006),$AM$1006:$BM$1006,0)))),"Fix")))</f>
        <v xml:space="preserve"> </v>
      </c>
      <c r="Q190" s="4" t="str">
        <f ca="1">IF(OR(INDEX($AG$2:$AG$1001,MATCH(ROWS($AF$2:AF190),$AF$2:$AF$1001,0),1)&gt;=100000,INDEX($AM$1005:$BM$1005,1,MATCH(COLUMNS($AM$1006:BB1006),$AM$1006:$BM$1006,0))&gt;=100000), " ",IF(INDEX($AM$2:$BM$1001,MATCH(ROWS($AF$2:AF190),$AF$2:$AF$1001,0),MATCH(COLUMNS($AM$1006:BB1006),$AM$1006:$BM$1006,0)), HYPERLINK("#",""), HYPERLINK(CONCATENATE("#metadata!", ADDRESS(INDEX($AH$2:$AH$1001,MATCH(ROWS($AF$2:AF190),$AF$2:$AF$1001,0),0), INDEX($AM$1004:$BM$1004,1,MATCH(COLUMNS($AM$1006:BB1006),$AM$1006:$BM$1006,0)))),"Fix")))</f>
        <v xml:space="preserve"> </v>
      </c>
      <c r="R190" s="4" t="str">
        <f ca="1">IF(OR(INDEX($AG$2:$AG$1001,MATCH(ROWS($AF$2:AF190),$AF$2:$AF$1001,0),1)&gt;=100000,INDEX($AM$1005:$BM$1005,1,MATCH(COLUMNS($AM$1006:BC1006),$AM$1006:$BM$1006,0))&gt;=100000), " ",IF(INDEX($AM$2:$BM$1001,MATCH(ROWS($AF$2:AF190),$AF$2:$AF$1001,0),MATCH(COLUMNS($AM$1006:BC1006),$AM$1006:$BM$1006,0)), HYPERLINK("#",""), HYPERLINK(CONCATENATE("#metadata!", ADDRESS(INDEX($AH$2:$AH$1001,MATCH(ROWS($AF$2:AF190),$AF$2:$AF$1001,0),0), INDEX($AM$1004:$BM$1004,1,MATCH(COLUMNS($AM$1006:BC1006),$AM$1006:$BM$1006,0)))),"Fix")))</f>
        <v xml:space="preserve"> </v>
      </c>
      <c r="S190" s="4" t="str">
        <f ca="1">IF(OR(INDEX($AG$2:$AG$1001,MATCH(ROWS($AF$2:AF190),$AF$2:$AF$1001,0),1)&gt;=100000,INDEX($AM$1005:$BM$1005,1,MATCH(COLUMNS($AM$1006:BD1006),$AM$1006:$BM$1006,0))&gt;=100000), " ",IF(INDEX($AM$2:$BM$1001,MATCH(ROWS($AF$2:AF190),$AF$2:$AF$1001,0),MATCH(COLUMNS($AM$1006:BD1006),$AM$1006:$BM$1006,0)), HYPERLINK("#",""), HYPERLINK(CONCATENATE("#metadata!", ADDRESS(INDEX($AH$2:$AH$1001,MATCH(ROWS($AF$2:AF190),$AF$2:$AF$1001,0),0), INDEX($AM$1004:$BM$1004,1,MATCH(COLUMNS($AM$1006:BD1006),$AM$1006:$BM$1006,0)))),"Fix")))</f>
        <v xml:space="preserve"> </v>
      </c>
      <c r="T190" s="4" t="str">
        <f ca="1">IF(OR(INDEX($AG$2:$AG$1001,MATCH(ROWS($AF$2:AF190),$AF$2:$AF$1001,0),1)&gt;=100000,INDEX($AM$1005:$BM$1005,1,MATCH(COLUMNS($AM$1006:BE1006),$AM$1006:$BM$1006,0))&gt;=100000), " ",IF(INDEX($AM$2:$BM$1001,MATCH(ROWS($AF$2:AF190),$AF$2:$AF$1001,0),MATCH(COLUMNS($AM$1006:BE1006),$AM$1006:$BM$1006,0)), HYPERLINK("#",""), HYPERLINK(CONCATENATE("#metadata!", ADDRESS(INDEX($AH$2:$AH$1001,MATCH(ROWS($AF$2:AF190),$AF$2:$AF$1001,0),0), INDEX($AM$1004:$BM$1004,1,MATCH(COLUMNS($AM$1006:BE1006),$AM$1006:$BM$1006,0)))),"Fix")))</f>
        <v xml:space="preserve"> </v>
      </c>
      <c r="U190" s="4" t="str">
        <f ca="1">IF(OR(INDEX($AG$2:$AG$1001,MATCH(ROWS($AF$2:AF190),$AF$2:$AF$1001,0),1)&gt;=100000,INDEX($AM$1005:$BM$1005,1,MATCH(COLUMNS($AM$1006:BF1006),$AM$1006:$BM$1006,0))&gt;=100000), " ",IF(INDEX($AM$2:$BM$1001,MATCH(ROWS($AF$2:AF190),$AF$2:$AF$1001,0),MATCH(COLUMNS($AM$1006:BF1006),$AM$1006:$BM$1006,0)), HYPERLINK("#",""), HYPERLINK(CONCATENATE("#metadata!", ADDRESS(INDEX($AH$2:$AH$1001,MATCH(ROWS($AF$2:AF190),$AF$2:$AF$1001,0),0), INDEX($AM$1004:$BM$1004,1,MATCH(COLUMNS($AM$1006:BF1006),$AM$1006:$BM$1006,0)))),"Fix")))</f>
        <v xml:space="preserve"> </v>
      </c>
      <c r="V190" s="4" t="str">
        <f ca="1">IF(OR(INDEX($AG$2:$AG$1001,MATCH(ROWS($AF$2:AF190),$AF$2:$AF$1001,0),1)&gt;=100000,INDEX($AM$1005:$BM$1005,1,MATCH(COLUMNS($AM$1006:BG1006),$AM$1006:$BM$1006,0))&gt;=100000), " ",IF(INDEX($AM$2:$BM$1001,MATCH(ROWS($AF$2:AF190),$AF$2:$AF$1001,0),MATCH(COLUMNS($AM$1006:BG1006),$AM$1006:$BM$1006,0)), HYPERLINK("#",""), HYPERLINK(CONCATENATE("#metadata!", ADDRESS(INDEX($AH$2:$AH$1001,MATCH(ROWS($AF$2:AF190),$AF$2:$AF$1001,0),0), INDEX($AM$1004:$BM$1004,1,MATCH(COLUMNS($AM$1006:BG1006),$AM$1006:$BM$1006,0)))),"Fix")))</f>
        <v xml:space="preserve"> </v>
      </c>
      <c r="W190" s="4" t="str">
        <f ca="1">IF(OR(INDEX($AG$2:$AG$1001,MATCH(ROWS($AF$2:AF190),$AF$2:$AF$1001,0),1)&gt;=100000,INDEX($AM$1005:$BM$1005,1,MATCH(COLUMNS($AM$1006:BH1006),$AM$1006:$BM$1006,0))&gt;=100000), " ",IF(INDEX($AM$2:$BM$1001,MATCH(ROWS($AF$2:AF190),$AF$2:$AF$1001,0),MATCH(COLUMNS($AM$1006:BH1006),$AM$1006:$BM$1006,0)), HYPERLINK("#",""), HYPERLINK(CONCATENATE("#metadata!", ADDRESS(INDEX($AH$2:$AH$1001,MATCH(ROWS($AF$2:AF190),$AF$2:$AF$1001,0),0), INDEX($AM$1004:$BM$1004,1,MATCH(COLUMNS($AM$1006:BH1006),$AM$1006:$BM$1006,0)))),"Fix")))</f>
        <v xml:space="preserve"> </v>
      </c>
      <c r="X190" s="4" t="str">
        <f ca="1">IF(OR(INDEX($AG$2:$AG$1001,MATCH(ROWS($AF$2:AF190),$AF$2:$AF$1001,0),1)&gt;=100000,INDEX($AM$1005:$BM$1005,1,MATCH(COLUMNS($AM$1006:BI1006),$AM$1006:$BM$1006,0))&gt;=100000), " ",IF(INDEX($AM$2:$BM$1001,MATCH(ROWS($AF$2:AF190),$AF$2:$AF$1001,0),MATCH(COLUMNS($AM$1006:BI1006),$AM$1006:$BM$1006,0)), HYPERLINK("#",""), HYPERLINK(CONCATENATE("#metadata!", ADDRESS(INDEX($AH$2:$AH$1001,MATCH(ROWS($AF$2:AF190),$AF$2:$AF$1001,0),0), INDEX($AM$1004:$BM$1004,1,MATCH(COLUMNS($AM$1006:BI1006),$AM$1006:$BM$1006,0)))),"Fix")))</f>
        <v xml:space="preserve"> </v>
      </c>
      <c r="Y190" s="4" t="str">
        <f ca="1">IF(OR(INDEX($AG$2:$AG$1001,MATCH(ROWS($AF$2:AF190),$AF$2:$AF$1001,0),1)&gt;=100000,INDEX($AM$1005:$BM$1005,1,MATCH(COLUMNS($AM$1006:BJ1006),$AM$1006:$BM$1006,0))&gt;=100000), " ",IF(INDEX($AM$2:$BM$1001,MATCH(ROWS($AF$2:AF190),$AF$2:$AF$1001,0),MATCH(COLUMNS($AM$1006:BJ1006),$AM$1006:$BM$1006,0)), HYPERLINK("#",""), HYPERLINK(CONCATENATE("#metadata!", ADDRESS(INDEX($AH$2:$AH$1001,MATCH(ROWS($AF$2:AF190),$AF$2:$AF$1001,0),0), INDEX($AM$1004:$BM$1004,1,MATCH(COLUMNS($AM$1006:BJ1006),$AM$1006:$BM$1006,0)))),"Fix")))</f>
        <v xml:space="preserve"> </v>
      </c>
      <c r="Z190" s="4" t="str">
        <f ca="1">IF(OR(INDEX($AG$2:$AG$1001,MATCH(ROWS($AF$2:AF190),$AF$2:$AF$1001,0),1)&gt;=100000,INDEX($AM$1005:$BM$1005,1,MATCH(COLUMNS($AM$1006:BK1006),$AM$1006:$BM$1006,0))&gt;=100000), " ",IF(INDEX($AM$2:$BM$1001,MATCH(ROWS($AF$2:AF190),$AF$2:$AF$1001,0),MATCH(COLUMNS($AM$1006:BK1006),$AM$1006:$BM$1006,0)), HYPERLINK("#",""), HYPERLINK(CONCATENATE("#metadata!", ADDRESS(INDEX($AH$2:$AH$1001,MATCH(ROWS($AF$2:AF190),$AF$2:$AF$1001,0),0), INDEX($AM$1004:$BM$1004,1,MATCH(COLUMNS($AM$1006:BK1006),$AM$1006:$BM$1006,0)))),"Fix")))</f>
        <v xml:space="preserve"> </v>
      </c>
      <c r="AA190" s="4" t="str">
        <f ca="1">IF(OR(INDEX($AG$2:$AG$1001,MATCH(ROWS($AF$2:AF190),$AF$2:$AF$1001,0),1)&gt;=100000,INDEX($AM$1005:$BM$1005,1,MATCH(COLUMNS($AM$1006:BL1006),$AM$1006:$BM$1006,0))&gt;=100000), " ",IF(INDEX($AM$2:$BM$1001,MATCH(ROWS($AF$2:AF190),$AF$2:$AF$1001,0),MATCH(COLUMNS($AM$1006:BL1006),$AM$1006:$BM$1006,0)), HYPERLINK("#",""), HYPERLINK(CONCATENATE("#metadata!", ADDRESS(INDEX($AH$2:$AH$1001,MATCH(ROWS($AF$2:AF190),$AF$2:$AF$1001,0),0), INDEX($AM$1004:$BM$1004,1,MATCH(COLUMNS($AM$1006:BL1006),$AM$1006:$BM$1006,0)))),"Fix")))</f>
        <v xml:space="preserve"> </v>
      </c>
      <c r="AB190" s="4" t="str">
        <f ca="1">IF(OR(INDEX($AG$2:$AG$1001,MATCH(ROWS($AF$2:AF190),$AF$2:$AF$1001,0),1)&gt;=100000,INDEX($AM$1005:$BM$1005,1,MATCH(COLUMNS($AM$1006:BM1006),$AM$1006:$BM$1006,0))&gt;=100000), " ",IF(INDEX($AM$2:$BM$1001,MATCH(ROWS($AF$2:AF190),$AF$2:$AF$1001,0),MATCH(COLUMNS($AM$1006:BM1006),$AM$1006:$BM$1006,0)), HYPERLINK("#",""), HYPERLINK(CONCATENATE("#metadata!", ADDRESS(INDEX($AH$2:$AH$1001,MATCH(ROWS($AF$2:AF190),$AF$2:$AF$1001,0),0), INDEX($AM$1004:$BM$1004,1,MATCH(COLUMNS($AM$1006:BM1006),$AM$1006:$BM$1006,0)))),"Fix")))</f>
        <v xml:space="preserve"> </v>
      </c>
      <c r="AF190">
        <v>189</v>
      </c>
      <c r="AG190">
        <v>100190</v>
      </c>
      <c r="AH190">
        <v>190</v>
      </c>
      <c r="AI190" t="b">
        <f t="shared" si="2"/>
        <v>1</v>
      </c>
      <c r="AJ190" t="b">
        <f>COUNTBLANK(metadata!B190:AB190)=COLUMNS(metadata!B190:AB190)</f>
        <v>1</v>
      </c>
      <c r="AK190" t="str">
        <v/>
      </c>
      <c r="AM190" t="b">
        <f ca="1">AND(IF(metadata!B190="",FALSE,TRUE),COUNTIF(metadata!B:B, metadata!B190) = 1,NOT(ISERROR(SUMPRODUCT(SEARCH(MID(metadata!B190,ROW(INDIRECT("1:"&amp;LEN(metadata!B190))), 1),"0123456789abcdefghijklmnopqrstuvwxyzABCDEFGHIJKLMNOPQRSTUVWXYZ.")))))</f>
        <v>0</v>
      </c>
      <c r="AN190" t="b">
        <f ca="1">OR(AND(IF(metadata!C190="",FALSE,TRUE),OR(EXACT(metadata!C190,"missing: not collected"),EXACT(metadata!C190,"missing: not provided"),EXACT(metadata!C190,"missing: restricted access"))),AND(IF(metadata!C190="",FALSE,TRUE),AND(AND(IFERROR(INT(LEFT(metadata!C190,4))&gt;1900,FALSE),IFERROR(INT(LEFT(metadata!C190,4))&lt;=YEAR(NOW()),FALSE)), OR(MID(metadata!C190,5,1)="", AND(AND(MID(metadata!C190,5,1)="-",IFERROR(INT(MID(metadata!C190,6,1))&gt;=0,FALSE),IFERROR(INT(MID(metadata!C190,6,1))&lt;=1,FALSE),NOT(MID(metadata!C190,7,1)=""),IFERROR(INT(MID(metadata!C190,6,2))&gt;=1,FALSE),IFERROR(INT(MID(metadata!C190,6,2))&lt;=12,FALSE)), OR(MID(metadata!C190,8,1)="", AND(AND(MID(metadata!C190,8,1)="-",IFERROR(INT(MID(metadata!C190,9,1))&gt;=0,FALSE),IFERROR(INT(MID(metadata!C190,9,1))&lt;=3,FALSE),NOT(MID(metadata!C190,10,1)=""),IFERROR(INT(MID(metadata!C190,9,2))&gt;=1,FALSE),IFERROR(INT(MID(metadata!C190,9,2))&lt;=31,FALSE)), OR(MID(metadata!C190,11,1)="", AND(AND(MID(metadata!C190,11,1)=" ",IFERROR(INT(MID(metadata!C190,12,1))&gt;=0,FALSE),IFERROR(INT(MID(metadata!C190,12,1))&lt;=2,FALSE),NOT(MID(metadata!C190,13,1)=""),IFERROR(INT(MID(metadata!C190,12,2))&gt;=0,FALSE),IFERROR(INT(MID(metadata!C190,12,2))&lt;=23,FALSE)), OR(MID(metadata!C190,14,1)="", AND(AND(MID(metadata!C190,14,1)=":",IFERROR(INT(MID(metadata!C190,15,1))&gt;=0,FALSE),IFERROR(INT(MID(metadata!C190,15,1))&lt;=5,FALSE),NOT(MID(metadata!C190,16,1)=""),IFERROR(INT(MID(metadata!C190,15,2))&gt;=0,FALSE),IFERROR(INT(MID(metadata!C190,15,2))&lt;=59,FALSE)), OR(MID(metadata!C190,17,1)="", AND(AND(MID(metadata!C190,17,1)=":",IFERROR(INT(MID(metadata!C190,18,1))&gt;=0,FALSE),IFERROR(INT(MID(metadata!C190,18,1))&lt;=5,FALSE),NOT(MID(metadata!C190,19,1)=""),IFERROR(INT(MID(metadata!C190,18,2))&gt;=0,FALSE),IFERROR(INT(MID(metadata!C190,18,2))&lt;=59,FALSE)), LEN(metadata!C190)&lt;=19)))))))))))))</f>
        <v>0</v>
      </c>
      <c r="AO190" t="b">
        <f>AND(IF(metadata!D190="",FALSE,TRUE),EXACT(metadata!D190,"Not applicable"))</f>
        <v>0</v>
      </c>
      <c r="AP190" t="b">
        <f>IF(metadata!E190="",FALSE,TRUE)</f>
        <v>0</v>
      </c>
      <c r="AQ190" t="b">
        <f>OR(AND(IF(metadata!F190="",FALSE,TRUE),OR(EXACT(metadata!F190,"missing: not collected"),EXACT(metadata!F190,"missing: not provided"))),AND(IF(metadata!F190="",FALSE,TRUE),OR(EXACT(metadata!F190,"TRUE"),EXACT(metadata!F190,"FALSE"))))</f>
        <v>0</v>
      </c>
      <c r="AR190" t="b">
        <f>OR(AND(IF(metadata!G190="",FALSE,TRUE),OR(EXACT(metadata!G190,"missing: not collected"),EXACT(metadata!G190,"missing: not provided"),EXACT(metadata!G190,"missing: restricted access"))),AND(IF(metadata!G190="",FALSE,ISNUMBER(VALUE(metadata!G190))),metadata!G190&gt;=-413))</f>
        <v>0</v>
      </c>
      <c r="AS190" t="b">
        <f>AND(IF(metadata!H190="",FALSE,TRUE),EXACT(metadata!H190,"meters"))</f>
        <v>0</v>
      </c>
      <c r="AT190" t="b">
        <f>AND(IF(metadata!I190="",FALSE,TRUE),OR(EXACT(metadata!I190,"Host-associated"),EXACT(metadata!I190,"Free-living")))</f>
        <v>0</v>
      </c>
      <c r="AU190" t="b">
        <f>AND(IF(metadata!J190="",FALSE,TRUE),OR(EXACT(metadata!J190,"Animal"),EXACT(metadata!J190,"Fungus"),EXACT(metadata!J190,"Plant"),EXACT(metadata!J190,"Saline"),EXACT(metadata!J190,"Non-saline")))</f>
        <v>0</v>
      </c>
      <c r="AV190" t="b">
        <f>AND(IF(metadata!K190="",FALSE,TRUE),OR(EXACT(metadata!K190,"Plant secretion"),EXACT(metadata!K190,"Plant rhizosphere"),EXACT(metadata!K190,"Plant surface"),EXACT(metadata!K190,"Plant corpus"),EXACT(metadata!K190,"Fungus surface"),EXACT(metadata!K190,"Fungus corpus"),EXACT(metadata!K190,"Animal surface"),EXACT(metadata!K190,"Animal proximal gut"),EXACT(metadata!K190,"Animal corpus"),EXACT(metadata!K190,"Animal distal gut"),EXACT(metadata!K190,"Animal secretion"),EXACT(metadata!K190,"Sub-surface (non-saline)"),EXACT(metadata!K190,"Surface (non-saline)"),EXACT(metadata!K190,"Water (non-saline)"),EXACT(metadata!K190,"Soil (non-saline)"),EXACT(metadata!K190,"Aerosol (non-saline)"),EXACT(metadata!K190,"Sediment (non-saline)"),EXACT(metadata!K190,"Surface (saline)"),EXACT(metadata!K190,"Water (saline)"),EXACT(metadata!K190,"Hypersaline (saline)"),EXACT(metadata!K190,"Aerosol (saline)"),EXACT(metadata!K190,"Sediment (saline)")))</f>
        <v>0</v>
      </c>
      <c r="AW190" t="b">
        <f>IF(metadata!L190="",FALSE,TRUE)</f>
        <v>0</v>
      </c>
      <c r="AX190" t="b">
        <f>IF(metadata!M190="",FALSE,TRUE)</f>
        <v>0</v>
      </c>
      <c r="AY190" t="b">
        <f>IF(metadata!N190="",FALSE,TRUE)</f>
        <v>0</v>
      </c>
      <c r="AZ190" t="b">
        <f>OR(AND(IF(metadata!O190="",FALSE,TRUE),OR(EXACT(metadata!O190,"missing: not collected"),EXACT(metadata!O190,"missing: not provided"),EXACT(metadata!O190,"missing: restricted access"))),AND(IF(metadata!O190="",FALSE,TRUE),OR(EXACT(metadata!O190,"air"),EXACT(metadata!O190,"built environment"),EXACT(metadata!O190,"host-associated"),EXACT(metadata!O190,"human-associated"),EXACT(metadata!O190,"human-skin"),EXACT(metadata!O190,"human-oral"),EXACT(metadata!O190,"human-gut"),EXACT(metadata!O190,"human-vaginal"),EXACT(metadata!O190,"microbial mat/biofilm"),EXACT(metadata!O190,"misc environment"),EXACT(metadata!O190,"plant-associated"),EXACT(metadata!O190,"sediment"),EXACT(metadata!O190,"soil"),EXACT(metadata!O190,"wastewater/sludge"),EXACT(metadata!O190,"water"))))</f>
        <v>0</v>
      </c>
      <c r="BA190" t="b">
        <f>IF(metadata!P190="",FALSE,TRUE)</f>
        <v>0</v>
      </c>
      <c r="BB190" t="b">
        <f>IF(metadata!Q190="",FALSE,TRUE)</f>
        <v>0</v>
      </c>
      <c r="BC190" t="b">
        <f>OR(AND(IF(metadata!R190="",FALSE,TRUE),OR(EXACT(metadata!R190,"missing: not collected"),EXACT(metadata!R190,"missing: not provided"),EXACT(metadata!R190,"missing: restricted access"))),AND(IF(metadata!R190="",FALSE,ISNUMBER(VALUE(metadata!R190))),metadata!R190&gt;=-90,metadata!R190&lt;=90))</f>
        <v>0</v>
      </c>
      <c r="BD190" t="b">
        <f>AND(IF(metadata!S190="",FALSE,TRUE),EXACT(metadata!S190,"Decimal degrees"))</f>
        <v>0</v>
      </c>
      <c r="BE190" t="b">
        <f>OR(AND(IF(metadata!T190="",FALSE,TRUE),OR(EXACT(metadata!T190,"missing: not collected"),EXACT(metadata!T190,"missing: not provided"),EXACT(metadata!T190,"missing: restricted access"))),AND(IF(metadata!T190="",FALSE,ISNUMBER(VALUE(metadata!T190))),metadata!T190&gt;=-180,metadata!T190&lt;=180))</f>
        <v>0</v>
      </c>
      <c r="BF190" t="b">
        <f>AND(IF(metadata!U190="",FALSE,TRUE),EXACT(metadata!U190,"Decimal degrees"))</f>
        <v>0</v>
      </c>
      <c r="BG190" t="b">
        <f>IF(metadata!V190="",FALSE,TRUE)</f>
        <v>0</v>
      </c>
      <c r="BH190" t="b">
        <f>OR(AND(IF(metadata!W190="",FALSE,TRUE),OR(EXACT(metadata!W190,"missing: not collected"),EXACT(metadata!W190,"missing: not provided"),EXACT(metadata!W190,"missing: restricted access"))),AND(IF(metadata!W190="",FALSE,TRUE),OR(EXACT(metadata!W190,"TRUE"),EXACT(metadata!W190,"FALSE"))))</f>
        <v>0</v>
      </c>
      <c r="BI190" t="b">
        <f>AND(IF(metadata!X190="",FALSE,TRUE),EXACT(metadata!X190,"other"))</f>
        <v>0</v>
      </c>
      <c r="BJ190" t="b">
        <f>IF(metadata!Y190="",FALSE,TRUE)</f>
        <v>0</v>
      </c>
      <c r="BK190" t="b">
        <f>OR(AND(IF(metadata!Z190="",FALSE,TRUE),OR(EXACT(metadata!Z190,"missing: not collected"),EXACT(metadata!Z190,"missing: not provided"))),AND(IF(metadata!Z190="",FALSE,IF(ISERROR(INT(metadata!Z190)),FALSE,INT(metadata!Z190)=metadata!Z190)),metadata!Z190&gt;0))</f>
        <v>0</v>
      </c>
      <c r="BL190" t="b">
        <f>AND(IF(metadata!AA190="",FALSE,TRUE),EXACT(metadata!AA190,"Not applicable"))</f>
        <v>0</v>
      </c>
      <c r="BM190" t="b">
        <f>IF(metadata!AB190="",FALSE,TRUE)</f>
        <v>0</v>
      </c>
    </row>
    <row r="191" spans="1:65" x14ac:dyDescent="0.2">
      <c r="A191" s="5" t="str">
        <f ca="1">IF(B191=" "," ",HYPERLINK(CONCATENATE("#metadata!",ADDRESS(INDEX($AH$2:$AH$1001,MATCH(ROWS($AF$2:AF191),$AF$2:$AF$1001,0),0),1)),INDEX($AK$2:$AK$1001,MATCH(ROWS($AF$2:AF191),$AF$2:$AF$1001,0),0)))</f>
        <v xml:space="preserve"> </v>
      </c>
      <c r="B191" s="4" t="str">
        <f ca="1">IF(OR(INDEX($AG$2:$AG$1001,MATCH(ROWS($AF$2:AF191),$AF$2:$AF$1001,0),1)&gt;=100000,INDEX($AM$1005:$BM$1005,1,MATCH(COLUMNS($AM$1006:AM1006),$AM$1006:$BM$1006,0))&gt;=100000), " ",IF(INDEX($AM$2:$BM$1001,MATCH(ROWS($AF$2:AF191),$AF$2:$AF$1001,0),MATCH(COLUMNS($AM$1006:AM1006),$AM$1006:$BM$1006,0)), HYPERLINK("#",""), HYPERLINK(CONCATENATE("#metadata!", ADDRESS(INDEX($AH$2:$AH$1001,MATCH(ROWS($AF$2:AF191),$AF$2:$AF$1001,0),0), INDEX($AM$1004:$BM$1004,1,MATCH(COLUMNS($AM$1006:AM1006),$AM$1006:$BM$1006,0)))),"Fix")))</f>
        <v xml:space="preserve"> </v>
      </c>
      <c r="C191" s="4" t="str">
        <f ca="1">IF(OR(INDEX($AG$2:$AG$1001,MATCH(ROWS($AF$2:AF191),$AF$2:$AF$1001,0),1)&gt;=100000,INDEX($AM$1005:$BM$1005,1,MATCH(COLUMNS($AM$1006:AN1006),$AM$1006:$BM$1006,0))&gt;=100000), " ",IF(INDEX($AM$2:$BM$1001,MATCH(ROWS($AF$2:AF191),$AF$2:$AF$1001,0),MATCH(COLUMNS($AM$1006:AN1006),$AM$1006:$BM$1006,0)), HYPERLINK("#",""), HYPERLINK(CONCATENATE("#metadata!", ADDRESS(INDEX($AH$2:$AH$1001,MATCH(ROWS($AF$2:AF191),$AF$2:$AF$1001,0),0), INDEX($AM$1004:$BM$1004,1,MATCH(COLUMNS($AM$1006:AN1006),$AM$1006:$BM$1006,0)))),"Fix")))</f>
        <v xml:space="preserve"> </v>
      </c>
      <c r="D191" s="4" t="str">
        <f ca="1">IF(OR(INDEX($AG$2:$AG$1001,MATCH(ROWS($AF$2:AF191),$AF$2:$AF$1001,0),1)&gt;=100000,INDEX($AM$1005:$BM$1005,1,MATCH(COLUMNS($AM$1006:AO1006),$AM$1006:$BM$1006,0))&gt;=100000), " ",IF(INDEX($AM$2:$BM$1001,MATCH(ROWS($AF$2:AF191),$AF$2:$AF$1001,0),MATCH(COLUMNS($AM$1006:AO1006),$AM$1006:$BM$1006,0)), HYPERLINK("#",""), HYPERLINK(CONCATENATE("#metadata!", ADDRESS(INDEX($AH$2:$AH$1001,MATCH(ROWS($AF$2:AF191),$AF$2:$AF$1001,0),0), INDEX($AM$1004:$BM$1004,1,MATCH(COLUMNS($AM$1006:AO1006),$AM$1006:$BM$1006,0)))),"Fix")))</f>
        <v xml:space="preserve"> </v>
      </c>
      <c r="E191" s="4" t="str">
        <f ca="1">IF(OR(INDEX($AG$2:$AG$1001,MATCH(ROWS($AF$2:AF191),$AF$2:$AF$1001,0),1)&gt;=100000,INDEX($AM$1005:$BM$1005,1,MATCH(COLUMNS($AM$1006:AP1006),$AM$1006:$BM$1006,0))&gt;=100000), " ",IF(INDEX($AM$2:$BM$1001,MATCH(ROWS($AF$2:AF191),$AF$2:$AF$1001,0),MATCH(COLUMNS($AM$1006:AP1006),$AM$1006:$BM$1006,0)), HYPERLINK("#",""), HYPERLINK(CONCATENATE("#metadata!", ADDRESS(INDEX($AH$2:$AH$1001,MATCH(ROWS($AF$2:AF191),$AF$2:$AF$1001,0),0), INDEX($AM$1004:$BM$1004,1,MATCH(COLUMNS($AM$1006:AP1006),$AM$1006:$BM$1006,0)))),"Fix")))</f>
        <v xml:space="preserve"> </v>
      </c>
      <c r="F191" s="4" t="str">
        <f ca="1">IF(OR(INDEX($AG$2:$AG$1001,MATCH(ROWS($AF$2:AF191),$AF$2:$AF$1001,0),1)&gt;=100000,INDEX($AM$1005:$BM$1005,1,MATCH(COLUMNS($AM$1006:AQ1006),$AM$1006:$BM$1006,0))&gt;=100000), " ",IF(INDEX($AM$2:$BM$1001,MATCH(ROWS($AF$2:AF191),$AF$2:$AF$1001,0),MATCH(COLUMNS($AM$1006:AQ1006),$AM$1006:$BM$1006,0)), HYPERLINK("#",""), HYPERLINK(CONCATENATE("#metadata!", ADDRESS(INDEX($AH$2:$AH$1001,MATCH(ROWS($AF$2:AF191),$AF$2:$AF$1001,0),0), INDEX($AM$1004:$BM$1004,1,MATCH(COLUMNS($AM$1006:AQ1006),$AM$1006:$BM$1006,0)))),"Fix")))</f>
        <v xml:space="preserve"> </v>
      </c>
      <c r="G191" s="4" t="str">
        <f ca="1">IF(OR(INDEX($AG$2:$AG$1001,MATCH(ROWS($AF$2:AF191),$AF$2:$AF$1001,0),1)&gt;=100000,INDEX($AM$1005:$BM$1005,1,MATCH(COLUMNS($AM$1006:AR1006),$AM$1006:$BM$1006,0))&gt;=100000), " ",IF(INDEX($AM$2:$BM$1001,MATCH(ROWS($AF$2:AF191),$AF$2:$AF$1001,0),MATCH(COLUMNS($AM$1006:AR1006),$AM$1006:$BM$1006,0)), HYPERLINK("#",""), HYPERLINK(CONCATENATE("#metadata!", ADDRESS(INDEX($AH$2:$AH$1001,MATCH(ROWS($AF$2:AF191),$AF$2:$AF$1001,0),0), INDEX($AM$1004:$BM$1004,1,MATCH(COLUMNS($AM$1006:AR1006),$AM$1006:$BM$1006,0)))),"Fix")))</f>
        <v xml:space="preserve"> </v>
      </c>
      <c r="H191" s="4" t="str">
        <f ca="1">IF(OR(INDEX($AG$2:$AG$1001,MATCH(ROWS($AF$2:AF191),$AF$2:$AF$1001,0),1)&gt;=100000,INDEX($AM$1005:$BM$1005,1,MATCH(COLUMNS($AM$1006:AS1006),$AM$1006:$BM$1006,0))&gt;=100000), " ",IF(INDEX($AM$2:$BM$1001,MATCH(ROWS($AF$2:AF191),$AF$2:$AF$1001,0),MATCH(COLUMNS($AM$1006:AS1006),$AM$1006:$BM$1006,0)), HYPERLINK("#",""), HYPERLINK(CONCATENATE("#metadata!", ADDRESS(INDEX($AH$2:$AH$1001,MATCH(ROWS($AF$2:AF191),$AF$2:$AF$1001,0),0), INDEX($AM$1004:$BM$1004,1,MATCH(COLUMNS($AM$1006:AS1006),$AM$1006:$BM$1006,0)))),"Fix")))</f>
        <v xml:space="preserve"> </v>
      </c>
      <c r="I191" s="4" t="str">
        <f ca="1">IF(OR(INDEX($AG$2:$AG$1001,MATCH(ROWS($AF$2:AF191),$AF$2:$AF$1001,0),1)&gt;=100000,INDEX($AM$1005:$BM$1005,1,MATCH(COLUMNS($AM$1006:AT1006),$AM$1006:$BM$1006,0))&gt;=100000), " ",IF(INDEX($AM$2:$BM$1001,MATCH(ROWS($AF$2:AF191),$AF$2:$AF$1001,0),MATCH(COLUMNS($AM$1006:AT1006),$AM$1006:$BM$1006,0)), HYPERLINK("#",""), HYPERLINK(CONCATENATE("#metadata!", ADDRESS(INDEX($AH$2:$AH$1001,MATCH(ROWS($AF$2:AF191),$AF$2:$AF$1001,0),0), INDEX($AM$1004:$BM$1004,1,MATCH(COLUMNS($AM$1006:AT1006),$AM$1006:$BM$1006,0)))),"Fix")))</f>
        <v xml:space="preserve"> </v>
      </c>
      <c r="J191" s="4" t="str">
        <f ca="1">IF(OR(INDEX($AG$2:$AG$1001,MATCH(ROWS($AF$2:AF191),$AF$2:$AF$1001,0),1)&gt;=100000,INDEX($AM$1005:$BM$1005,1,MATCH(COLUMNS($AM$1006:AU1006),$AM$1006:$BM$1006,0))&gt;=100000), " ",IF(INDEX($AM$2:$BM$1001,MATCH(ROWS($AF$2:AF191),$AF$2:$AF$1001,0),MATCH(COLUMNS($AM$1006:AU1006),$AM$1006:$BM$1006,0)), HYPERLINK("#",""), HYPERLINK(CONCATENATE("#metadata!", ADDRESS(INDEX($AH$2:$AH$1001,MATCH(ROWS($AF$2:AF191),$AF$2:$AF$1001,0),0), INDEX($AM$1004:$BM$1004,1,MATCH(COLUMNS($AM$1006:AU1006),$AM$1006:$BM$1006,0)))),"Fix")))</f>
        <v xml:space="preserve"> </v>
      </c>
      <c r="K191" s="4" t="str">
        <f ca="1">IF(OR(INDEX($AG$2:$AG$1001,MATCH(ROWS($AF$2:AF191),$AF$2:$AF$1001,0),1)&gt;=100000,INDEX($AM$1005:$BM$1005,1,MATCH(COLUMNS($AM$1006:AV1006),$AM$1006:$BM$1006,0))&gt;=100000), " ",IF(INDEX($AM$2:$BM$1001,MATCH(ROWS($AF$2:AF191),$AF$2:$AF$1001,0),MATCH(COLUMNS($AM$1006:AV1006),$AM$1006:$BM$1006,0)), HYPERLINK("#",""), HYPERLINK(CONCATENATE("#metadata!", ADDRESS(INDEX($AH$2:$AH$1001,MATCH(ROWS($AF$2:AF191),$AF$2:$AF$1001,0),0), INDEX($AM$1004:$BM$1004,1,MATCH(COLUMNS($AM$1006:AV1006),$AM$1006:$BM$1006,0)))),"Fix")))</f>
        <v xml:space="preserve"> </v>
      </c>
      <c r="L191" s="4" t="str">
        <f ca="1">IF(OR(INDEX($AG$2:$AG$1001,MATCH(ROWS($AF$2:AF191),$AF$2:$AF$1001,0),1)&gt;=100000,INDEX($AM$1005:$BM$1005,1,MATCH(COLUMNS($AM$1006:AW1006),$AM$1006:$BM$1006,0))&gt;=100000), " ",IF(INDEX($AM$2:$BM$1001,MATCH(ROWS($AF$2:AF191),$AF$2:$AF$1001,0),MATCH(COLUMNS($AM$1006:AW1006),$AM$1006:$BM$1006,0)), HYPERLINK("#",""), HYPERLINK(CONCATENATE("#metadata!", ADDRESS(INDEX($AH$2:$AH$1001,MATCH(ROWS($AF$2:AF191),$AF$2:$AF$1001,0),0), INDEX($AM$1004:$BM$1004,1,MATCH(COLUMNS($AM$1006:AW1006),$AM$1006:$BM$1006,0)))),"Fix")))</f>
        <v xml:space="preserve"> </v>
      </c>
      <c r="M191" s="4" t="str">
        <f ca="1">IF(OR(INDEX($AG$2:$AG$1001,MATCH(ROWS($AF$2:AF191),$AF$2:$AF$1001,0),1)&gt;=100000,INDEX($AM$1005:$BM$1005,1,MATCH(COLUMNS($AM$1006:AX1006),$AM$1006:$BM$1006,0))&gt;=100000), " ",IF(INDEX($AM$2:$BM$1001,MATCH(ROWS($AF$2:AF191),$AF$2:$AF$1001,0),MATCH(COLUMNS($AM$1006:AX1006),$AM$1006:$BM$1006,0)), HYPERLINK("#",""), HYPERLINK(CONCATENATE("#metadata!", ADDRESS(INDEX($AH$2:$AH$1001,MATCH(ROWS($AF$2:AF191),$AF$2:$AF$1001,0),0), INDEX($AM$1004:$BM$1004,1,MATCH(COLUMNS($AM$1006:AX1006),$AM$1006:$BM$1006,0)))),"Fix")))</f>
        <v xml:space="preserve"> </v>
      </c>
      <c r="N191" s="4" t="str">
        <f ca="1">IF(OR(INDEX($AG$2:$AG$1001,MATCH(ROWS($AF$2:AF191),$AF$2:$AF$1001,0),1)&gt;=100000,INDEX($AM$1005:$BM$1005,1,MATCH(COLUMNS($AM$1006:AY1006),$AM$1006:$BM$1006,0))&gt;=100000), " ",IF(INDEX($AM$2:$BM$1001,MATCH(ROWS($AF$2:AF191),$AF$2:$AF$1001,0),MATCH(COLUMNS($AM$1006:AY1006),$AM$1006:$BM$1006,0)), HYPERLINK("#",""), HYPERLINK(CONCATENATE("#metadata!", ADDRESS(INDEX($AH$2:$AH$1001,MATCH(ROWS($AF$2:AF191),$AF$2:$AF$1001,0),0), INDEX($AM$1004:$BM$1004,1,MATCH(COLUMNS($AM$1006:AY1006),$AM$1006:$BM$1006,0)))),"Fix")))</f>
        <v xml:space="preserve"> </v>
      </c>
      <c r="O191" s="4" t="str">
        <f ca="1">IF(OR(INDEX($AG$2:$AG$1001,MATCH(ROWS($AF$2:AF191),$AF$2:$AF$1001,0),1)&gt;=100000,INDEX($AM$1005:$BM$1005,1,MATCH(COLUMNS($AM$1006:AZ1006),$AM$1006:$BM$1006,0))&gt;=100000), " ",IF(INDEX($AM$2:$BM$1001,MATCH(ROWS($AF$2:AF191),$AF$2:$AF$1001,0),MATCH(COLUMNS($AM$1006:AZ1006),$AM$1006:$BM$1006,0)), HYPERLINK("#",""), HYPERLINK(CONCATENATE("#metadata!", ADDRESS(INDEX($AH$2:$AH$1001,MATCH(ROWS($AF$2:AF191),$AF$2:$AF$1001,0),0), INDEX($AM$1004:$BM$1004,1,MATCH(COLUMNS($AM$1006:AZ1006),$AM$1006:$BM$1006,0)))),"Fix")))</f>
        <v xml:space="preserve"> </v>
      </c>
      <c r="P191" s="4" t="str">
        <f ca="1">IF(OR(INDEX($AG$2:$AG$1001,MATCH(ROWS($AF$2:AF191),$AF$2:$AF$1001,0),1)&gt;=100000,INDEX($AM$1005:$BM$1005,1,MATCH(COLUMNS($AM$1006:BA1006),$AM$1006:$BM$1006,0))&gt;=100000), " ",IF(INDEX($AM$2:$BM$1001,MATCH(ROWS($AF$2:AF191),$AF$2:$AF$1001,0),MATCH(COLUMNS($AM$1006:BA1006),$AM$1006:$BM$1006,0)), HYPERLINK("#",""), HYPERLINK(CONCATENATE("#metadata!", ADDRESS(INDEX($AH$2:$AH$1001,MATCH(ROWS($AF$2:AF191),$AF$2:$AF$1001,0),0), INDEX($AM$1004:$BM$1004,1,MATCH(COLUMNS($AM$1006:BA1006),$AM$1006:$BM$1006,0)))),"Fix")))</f>
        <v xml:space="preserve"> </v>
      </c>
      <c r="Q191" s="4" t="str">
        <f ca="1">IF(OR(INDEX($AG$2:$AG$1001,MATCH(ROWS($AF$2:AF191),$AF$2:$AF$1001,0),1)&gt;=100000,INDEX($AM$1005:$BM$1005,1,MATCH(COLUMNS($AM$1006:BB1006),$AM$1006:$BM$1006,0))&gt;=100000), " ",IF(INDEX($AM$2:$BM$1001,MATCH(ROWS($AF$2:AF191),$AF$2:$AF$1001,0),MATCH(COLUMNS($AM$1006:BB1006),$AM$1006:$BM$1006,0)), HYPERLINK("#",""), HYPERLINK(CONCATENATE("#metadata!", ADDRESS(INDEX($AH$2:$AH$1001,MATCH(ROWS($AF$2:AF191),$AF$2:$AF$1001,0),0), INDEX($AM$1004:$BM$1004,1,MATCH(COLUMNS($AM$1006:BB1006),$AM$1006:$BM$1006,0)))),"Fix")))</f>
        <v xml:space="preserve"> </v>
      </c>
      <c r="R191" s="4" t="str">
        <f ca="1">IF(OR(INDEX($AG$2:$AG$1001,MATCH(ROWS($AF$2:AF191),$AF$2:$AF$1001,0),1)&gt;=100000,INDEX($AM$1005:$BM$1005,1,MATCH(COLUMNS($AM$1006:BC1006),$AM$1006:$BM$1006,0))&gt;=100000), " ",IF(INDEX($AM$2:$BM$1001,MATCH(ROWS($AF$2:AF191),$AF$2:$AF$1001,0),MATCH(COLUMNS($AM$1006:BC1006),$AM$1006:$BM$1006,0)), HYPERLINK("#",""), HYPERLINK(CONCATENATE("#metadata!", ADDRESS(INDEX($AH$2:$AH$1001,MATCH(ROWS($AF$2:AF191),$AF$2:$AF$1001,0),0), INDEX($AM$1004:$BM$1004,1,MATCH(COLUMNS($AM$1006:BC1006),$AM$1006:$BM$1006,0)))),"Fix")))</f>
        <v xml:space="preserve"> </v>
      </c>
      <c r="S191" s="4" t="str">
        <f ca="1">IF(OR(INDEX($AG$2:$AG$1001,MATCH(ROWS($AF$2:AF191),$AF$2:$AF$1001,0),1)&gt;=100000,INDEX($AM$1005:$BM$1005,1,MATCH(COLUMNS($AM$1006:BD1006),$AM$1006:$BM$1006,0))&gt;=100000), " ",IF(INDEX($AM$2:$BM$1001,MATCH(ROWS($AF$2:AF191),$AF$2:$AF$1001,0),MATCH(COLUMNS($AM$1006:BD1006),$AM$1006:$BM$1006,0)), HYPERLINK("#",""), HYPERLINK(CONCATENATE("#metadata!", ADDRESS(INDEX($AH$2:$AH$1001,MATCH(ROWS($AF$2:AF191),$AF$2:$AF$1001,0),0), INDEX($AM$1004:$BM$1004,1,MATCH(COLUMNS($AM$1006:BD1006),$AM$1006:$BM$1006,0)))),"Fix")))</f>
        <v xml:space="preserve"> </v>
      </c>
      <c r="T191" s="4" t="str">
        <f ca="1">IF(OR(INDEX($AG$2:$AG$1001,MATCH(ROWS($AF$2:AF191),$AF$2:$AF$1001,0),1)&gt;=100000,INDEX($AM$1005:$BM$1005,1,MATCH(COLUMNS($AM$1006:BE1006),$AM$1006:$BM$1006,0))&gt;=100000), " ",IF(INDEX($AM$2:$BM$1001,MATCH(ROWS($AF$2:AF191),$AF$2:$AF$1001,0),MATCH(COLUMNS($AM$1006:BE1006),$AM$1006:$BM$1006,0)), HYPERLINK("#",""), HYPERLINK(CONCATENATE("#metadata!", ADDRESS(INDEX($AH$2:$AH$1001,MATCH(ROWS($AF$2:AF191),$AF$2:$AF$1001,0),0), INDEX($AM$1004:$BM$1004,1,MATCH(COLUMNS($AM$1006:BE1006),$AM$1006:$BM$1006,0)))),"Fix")))</f>
        <v xml:space="preserve"> </v>
      </c>
      <c r="U191" s="4" t="str">
        <f ca="1">IF(OR(INDEX($AG$2:$AG$1001,MATCH(ROWS($AF$2:AF191),$AF$2:$AF$1001,0),1)&gt;=100000,INDEX($AM$1005:$BM$1005,1,MATCH(COLUMNS($AM$1006:BF1006),$AM$1006:$BM$1006,0))&gt;=100000), " ",IF(INDEX($AM$2:$BM$1001,MATCH(ROWS($AF$2:AF191),$AF$2:$AF$1001,0),MATCH(COLUMNS($AM$1006:BF1006),$AM$1006:$BM$1006,0)), HYPERLINK("#",""), HYPERLINK(CONCATENATE("#metadata!", ADDRESS(INDEX($AH$2:$AH$1001,MATCH(ROWS($AF$2:AF191),$AF$2:$AF$1001,0),0), INDEX($AM$1004:$BM$1004,1,MATCH(COLUMNS($AM$1006:BF1006),$AM$1006:$BM$1006,0)))),"Fix")))</f>
        <v xml:space="preserve"> </v>
      </c>
      <c r="V191" s="4" t="str">
        <f ca="1">IF(OR(INDEX($AG$2:$AG$1001,MATCH(ROWS($AF$2:AF191),$AF$2:$AF$1001,0),1)&gt;=100000,INDEX($AM$1005:$BM$1005,1,MATCH(COLUMNS($AM$1006:BG1006),$AM$1006:$BM$1006,0))&gt;=100000), " ",IF(INDEX($AM$2:$BM$1001,MATCH(ROWS($AF$2:AF191),$AF$2:$AF$1001,0),MATCH(COLUMNS($AM$1006:BG1006),$AM$1006:$BM$1006,0)), HYPERLINK("#",""), HYPERLINK(CONCATENATE("#metadata!", ADDRESS(INDEX($AH$2:$AH$1001,MATCH(ROWS($AF$2:AF191),$AF$2:$AF$1001,0),0), INDEX($AM$1004:$BM$1004,1,MATCH(COLUMNS($AM$1006:BG1006),$AM$1006:$BM$1006,0)))),"Fix")))</f>
        <v xml:space="preserve"> </v>
      </c>
      <c r="W191" s="4" t="str">
        <f ca="1">IF(OR(INDEX($AG$2:$AG$1001,MATCH(ROWS($AF$2:AF191),$AF$2:$AF$1001,0),1)&gt;=100000,INDEX($AM$1005:$BM$1005,1,MATCH(COLUMNS($AM$1006:BH1006),$AM$1006:$BM$1006,0))&gt;=100000), " ",IF(INDEX($AM$2:$BM$1001,MATCH(ROWS($AF$2:AF191),$AF$2:$AF$1001,0),MATCH(COLUMNS($AM$1006:BH1006),$AM$1006:$BM$1006,0)), HYPERLINK("#",""), HYPERLINK(CONCATENATE("#metadata!", ADDRESS(INDEX($AH$2:$AH$1001,MATCH(ROWS($AF$2:AF191),$AF$2:$AF$1001,0),0), INDEX($AM$1004:$BM$1004,1,MATCH(COLUMNS($AM$1006:BH1006),$AM$1006:$BM$1006,0)))),"Fix")))</f>
        <v xml:space="preserve"> </v>
      </c>
      <c r="X191" s="4" t="str">
        <f ca="1">IF(OR(INDEX($AG$2:$AG$1001,MATCH(ROWS($AF$2:AF191),$AF$2:$AF$1001,0),1)&gt;=100000,INDEX($AM$1005:$BM$1005,1,MATCH(COLUMNS($AM$1006:BI1006),$AM$1006:$BM$1006,0))&gt;=100000), " ",IF(INDEX($AM$2:$BM$1001,MATCH(ROWS($AF$2:AF191),$AF$2:$AF$1001,0),MATCH(COLUMNS($AM$1006:BI1006),$AM$1006:$BM$1006,0)), HYPERLINK("#",""), HYPERLINK(CONCATENATE("#metadata!", ADDRESS(INDEX($AH$2:$AH$1001,MATCH(ROWS($AF$2:AF191),$AF$2:$AF$1001,0),0), INDEX($AM$1004:$BM$1004,1,MATCH(COLUMNS($AM$1006:BI1006),$AM$1006:$BM$1006,0)))),"Fix")))</f>
        <v xml:space="preserve"> </v>
      </c>
      <c r="Y191" s="4" t="str">
        <f ca="1">IF(OR(INDEX($AG$2:$AG$1001,MATCH(ROWS($AF$2:AF191),$AF$2:$AF$1001,0),1)&gt;=100000,INDEX($AM$1005:$BM$1005,1,MATCH(COLUMNS($AM$1006:BJ1006),$AM$1006:$BM$1006,0))&gt;=100000), " ",IF(INDEX($AM$2:$BM$1001,MATCH(ROWS($AF$2:AF191),$AF$2:$AF$1001,0),MATCH(COLUMNS($AM$1006:BJ1006),$AM$1006:$BM$1006,0)), HYPERLINK("#",""), HYPERLINK(CONCATENATE("#metadata!", ADDRESS(INDEX($AH$2:$AH$1001,MATCH(ROWS($AF$2:AF191),$AF$2:$AF$1001,0),0), INDEX($AM$1004:$BM$1004,1,MATCH(COLUMNS($AM$1006:BJ1006),$AM$1006:$BM$1006,0)))),"Fix")))</f>
        <v xml:space="preserve"> </v>
      </c>
      <c r="Z191" s="4" t="str">
        <f ca="1">IF(OR(INDEX($AG$2:$AG$1001,MATCH(ROWS($AF$2:AF191),$AF$2:$AF$1001,0),1)&gt;=100000,INDEX($AM$1005:$BM$1005,1,MATCH(COLUMNS($AM$1006:BK1006),$AM$1006:$BM$1006,0))&gt;=100000), " ",IF(INDEX($AM$2:$BM$1001,MATCH(ROWS($AF$2:AF191),$AF$2:$AF$1001,0),MATCH(COLUMNS($AM$1006:BK1006),$AM$1006:$BM$1006,0)), HYPERLINK("#",""), HYPERLINK(CONCATENATE("#metadata!", ADDRESS(INDEX($AH$2:$AH$1001,MATCH(ROWS($AF$2:AF191),$AF$2:$AF$1001,0),0), INDEX($AM$1004:$BM$1004,1,MATCH(COLUMNS($AM$1006:BK1006),$AM$1006:$BM$1006,0)))),"Fix")))</f>
        <v xml:space="preserve"> </v>
      </c>
      <c r="AA191" s="4" t="str">
        <f ca="1">IF(OR(INDEX($AG$2:$AG$1001,MATCH(ROWS($AF$2:AF191),$AF$2:$AF$1001,0),1)&gt;=100000,INDEX($AM$1005:$BM$1005,1,MATCH(COLUMNS($AM$1006:BL1006),$AM$1006:$BM$1006,0))&gt;=100000), " ",IF(INDEX($AM$2:$BM$1001,MATCH(ROWS($AF$2:AF191),$AF$2:$AF$1001,0),MATCH(COLUMNS($AM$1006:BL1006),$AM$1006:$BM$1006,0)), HYPERLINK("#",""), HYPERLINK(CONCATENATE("#metadata!", ADDRESS(INDEX($AH$2:$AH$1001,MATCH(ROWS($AF$2:AF191),$AF$2:$AF$1001,0),0), INDEX($AM$1004:$BM$1004,1,MATCH(COLUMNS($AM$1006:BL1006),$AM$1006:$BM$1006,0)))),"Fix")))</f>
        <v xml:space="preserve"> </v>
      </c>
      <c r="AB191" s="4" t="str">
        <f ca="1">IF(OR(INDEX($AG$2:$AG$1001,MATCH(ROWS($AF$2:AF191),$AF$2:$AF$1001,0),1)&gt;=100000,INDEX($AM$1005:$BM$1005,1,MATCH(COLUMNS($AM$1006:BM1006),$AM$1006:$BM$1006,0))&gt;=100000), " ",IF(INDEX($AM$2:$BM$1001,MATCH(ROWS($AF$2:AF191),$AF$2:$AF$1001,0),MATCH(COLUMNS($AM$1006:BM1006),$AM$1006:$BM$1006,0)), HYPERLINK("#",""), HYPERLINK(CONCATENATE("#metadata!", ADDRESS(INDEX($AH$2:$AH$1001,MATCH(ROWS($AF$2:AF191),$AF$2:$AF$1001,0),0), INDEX($AM$1004:$BM$1004,1,MATCH(COLUMNS($AM$1006:BM1006),$AM$1006:$BM$1006,0)))),"Fix")))</f>
        <v xml:space="preserve"> </v>
      </c>
      <c r="AF191">
        <v>190</v>
      </c>
      <c r="AG191">
        <v>100191</v>
      </c>
      <c r="AH191">
        <v>191</v>
      </c>
      <c r="AI191" t="b">
        <f t="shared" si="2"/>
        <v>1</v>
      </c>
      <c r="AJ191" t="b">
        <f>COUNTBLANK(metadata!B191:AB191)=COLUMNS(metadata!B191:AB191)</f>
        <v>1</v>
      </c>
      <c r="AK191" t="str">
        <v/>
      </c>
      <c r="AM191" t="b">
        <f ca="1">AND(IF(metadata!B191="",FALSE,TRUE),COUNTIF(metadata!B:B, metadata!B191) = 1,NOT(ISERROR(SUMPRODUCT(SEARCH(MID(metadata!B191,ROW(INDIRECT("1:"&amp;LEN(metadata!B191))), 1),"0123456789abcdefghijklmnopqrstuvwxyzABCDEFGHIJKLMNOPQRSTUVWXYZ.")))))</f>
        <v>0</v>
      </c>
      <c r="AN191" t="b">
        <f ca="1">OR(AND(IF(metadata!C191="",FALSE,TRUE),OR(EXACT(metadata!C191,"missing: not collected"),EXACT(metadata!C191,"missing: not provided"),EXACT(metadata!C191,"missing: restricted access"))),AND(IF(metadata!C191="",FALSE,TRUE),AND(AND(IFERROR(INT(LEFT(metadata!C191,4))&gt;1900,FALSE),IFERROR(INT(LEFT(metadata!C191,4))&lt;=YEAR(NOW()),FALSE)), OR(MID(metadata!C191,5,1)="", AND(AND(MID(metadata!C191,5,1)="-",IFERROR(INT(MID(metadata!C191,6,1))&gt;=0,FALSE),IFERROR(INT(MID(metadata!C191,6,1))&lt;=1,FALSE),NOT(MID(metadata!C191,7,1)=""),IFERROR(INT(MID(metadata!C191,6,2))&gt;=1,FALSE),IFERROR(INT(MID(metadata!C191,6,2))&lt;=12,FALSE)), OR(MID(metadata!C191,8,1)="", AND(AND(MID(metadata!C191,8,1)="-",IFERROR(INT(MID(metadata!C191,9,1))&gt;=0,FALSE),IFERROR(INT(MID(metadata!C191,9,1))&lt;=3,FALSE),NOT(MID(metadata!C191,10,1)=""),IFERROR(INT(MID(metadata!C191,9,2))&gt;=1,FALSE),IFERROR(INT(MID(metadata!C191,9,2))&lt;=31,FALSE)), OR(MID(metadata!C191,11,1)="", AND(AND(MID(metadata!C191,11,1)=" ",IFERROR(INT(MID(metadata!C191,12,1))&gt;=0,FALSE),IFERROR(INT(MID(metadata!C191,12,1))&lt;=2,FALSE),NOT(MID(metadata!C191,13,1)=""),IFERROR(INT(MID(metadata!C191,12,2))&gt;=0,FALSE),IFERROR(INT(MID(metadata!C191,12,2))&lt;=23,FALSE)), OR(MID(metadata!C191,14,1)="", AND(AND(MID(metadata!C191,14,1)=":",IFERROR(INT(MID(metadata!C191,15,1))&gt;=0,FALSE),IFERROR(INT(MID(metadata!C191,15,1))&lt;=5,FALSE),NOT(MID(metadata!C191,16,1)=""),IFERROR(INT(MID(metadata!C191,15,2))&gt;=0,FALSE),IFERROR(INT(MID(metadata!C191,15,2))&lt;=59,FALSE)), OR(MID(metadata!C191,17,1)="", AND(AND(MID(metadata!C191,17,1)=":",IFERROR(INT(MID(metadata!C191,18,1))&gt;=0,FALSE),IFERROR(INT(MID(metadata!C191,18,1))&lt;=5,FALSE),NOT(MID(metadata!C191,19,1)=""),IFERROR(INT(MID(metadata!C191,18,2))&gt;=0,FALSE),IFERROR(INT(MID(metadata!C191,18,2))&lt;=59,FALSE)), LEN(metadata!C191)&lt;=19)))))))))))))</f>
        <v>0</v>
      </c>
      <c r="AO191" t="b">
        <f>AND(IF(metadata!D191="",FALSE,TRUE),EXACT(metadata!D191,"Not applicable"))</f>
        <v>0</v>
      </c>
      <c r="AP191" t="b">
        <f>IF(metadata!E191="",FALSE,TRUE)</f>
        <v>0</v>
      </c>
      <c r="AQ191" t="b">
        <f>OR(AND(IF(metadata!F191="",FALSE,TRUE),OR(EXACT(metadata!F191,"missing: not collected"),EXACT(metadata!F191,"missing: not provided"))),AND(IF(metadata!F191="",FALSE,TRUE),OR(EXACT(metadata!F191,"TRUE"),EXACT(metadata!F191,"FALSE"))))</f>
        <v>0</v>
      </c>
      <c r="AR191" t="b">
        <f>OR(AND(IF(metadata!G191="",FALSE,TRUE),OR(EXACT(metadata!G191,"missing: not collected"),EXACT(metadata!G191,"missing: not provided"),EXACT(metadata!G191,"missing: restricted access"))),AND(IF(metadata!G191="",FALSE,ISNUMBER(VALUE(metadata!G191))),metadata!G191&gt;=-413))</f>
        <v>0</v>
      </c>
      <c r="AS191" t="b">
        <f>AND(IF(metadata!H191="",FALSE,TRUE),EXACT(metadata!H191,"meters"))</f>
        <v>0</v>
      </c>
      <c r="AT191" t="b">
        <f>AND(IF(metadata!I191="",FALSE,TRUE),OR(EXACT(metadata!I191,"Host-associated"),EXACT(metadata!I191,"Free-living")))</f>
        <v>0</v>
      </c>
      <c r="AU191" t="b">
        <f>AND(IF(metadata!J191="",FALSE,TRUE),OR(EXACT(metadata!J191,"Animal"),EXACT(metadata!J191,"Fungus"),EXACT(metadata!J191,"Plant"),EXACT(metadata!J191,"Saline"),EXACT(metadata!J191,"Non-saline")))</f>
        <v>0</v>
      </c>
      <c r="AV191" t="b">
        <f>AND(IF(metadata!K191="",FALSE,TRUE),OR(EXACT(metadata!K191,"Plant secretion"),EXACT(metadata!K191,"Plant rhizosphere"),EXACT(metadata!K191,"Plant surface"),EXACT(metadata!K191,"Plant corpus"),EXACT(metadata!K191,"Fungus surface"),EXACT(metadata!K191,"Fungus corpus"),EXACT(metadata!K191,"Animal surface"),EXACT(metadata!K191,"Animal proximal gut"),EXACT(metadata!K191,"Animal corpus"),EXACT(metadata!K191,"Animal distal gut"),EXACT(metadata!K191,"Animal secretion"),EXACT(metadata!K191,"Sub-surface (non-saline)"),EXACT(metadata!K191,"Surface (non-saline)"),EXACT(metadata!K191,"Water (non-saline)"),EXACT(metadata!K191,"Soil (non-saline)"),EXACT(metadata!K191,"Aerosol (non-saline)"),EXACT(metadata!K191,"Sediment (non-saline)"),EXACT(metadata!K191,"Surface (saline)"),EXACT(metadata!K191,"Water (saline)"),EXACT(metadata!K191,"Hypersaline (saline)"),EXACT(metadata!K191,"Aerosol (saline)"),EXACT(metadata!K191,"Sediment (saline)")))</f>
        <v>0</v>
      </c>
      <c r="AW191" t="b">
        <f>IF(metadata!L191="",FALSE,TRUE)</f>
        <v>0</v>
      </c>
      <c r="AX191" t="b">
        <f>IF(metadata!M191="",FALSE,TRUE)</f>
        <v>0</v>
      </c>
      <c r="AY191" t="b">
        <f>IF(metadata!N191="",FALSE,TRUE)</f>
        <v>0</v>
      </c>
      <c r="AZ191" t="b">
        <f>OR(AND(IF(metadata!O191="",FALSE,TRUE),OR(EXACT(metadata!O191,"missing: not collected"),EXACT(metadata!O191,"missing: not provided"),EXACT(metadata!O191,"missing: restricted access"))),AND(IF(metadata!O191="",FALSE,TRUE),OR(EXACT(metadata!O191,"air"),EXACT(metadata!O191,"built environment"),EXACT(metadata!O191,"host-associated"),EXACT(metadata!O191,"human-associated"),EXACT(metadata!O191,"human-skin"),EXACT(metadata!O191,"human-oral"),EXACT(metadata!O191,"human-gut"),EXACT(metadata!O191,"human-vaginal"),EXACT(metadata!O191,"microbial mat/biofilm"),EXACT(metadata!O191,"misc environment"),EXACT(metadata!O191,"plant-associated"),EXACT(metadata!O191,"sediment"),EXACT(metadata!O191,"soil"),EXACT(metadata!O191,"wastewater/sludge"),EXACT(metadata!O191,"water"))))</f>
        <v>0</v>
      </c>
      <c r="BA191" t="b">
        <f>IF(metadata!P191="",FALSE,TRUE)</f>
        <v>0</v>
      </c>
      <c r="BB191" t="b">
        <f>IF(metadata!Q191="",FALSE,TRUE)</f>
        <v>0</v>
      </c>
      <c r="BC191" t="b">
        <f>OR(AND(IF(metadata!R191="",FALSE,TRUE),OR(EXACT(metadata!R191,"missing: not collected"),EXACT(metadata!R191,"missing: not provided"),EXACT(metadata!R191,"missing: restricted access"))),AND(IF(metadata!R191="",FALSE,ISNUMBER(VALUE(metadata!R191))),metadata!R191&gt;=-90,metadata!R191&lt;=90))</f>
        <v>0</v>
      </c>
      <c r="BD191" t="b">
        <f>AND(IF(metadata!S191="",FALSE,TRUE),EXACT(metadata!S191,"Decimal degrees"))</f>
        <v>0</v>
      </c>
      <c r="BE191" t="b">
        <f>OR(AND(IF(metadata!T191="",FALSE,TRUE),OR(EXACT(metadata!T191,"missing: not collected"),EXACT(metadata!T191,"missing: not provided"),EXACT(metadata!T191,"missing: restricted access"))),AND(IF(metadata!T191="",FALSE,ISNUMBER(VALUE(metadata!T191))),metadata!T191&gt;=-180,metadata!T191&lt;=180))</f>
        <v>0</v>
      </c>
      <c r="BF191" t="b">
        <f>AND(IF(metadata!U191="",FALSE,TRUE),EXACT(metadata!U191,"Decimal degrees"))</f>
        <v>0</v>
      </c>
      <c r="BG191" t="b">
        <f>IF(metadata!V191="",FALSE,TRUE)</f>
        <v>0</v>
      </c>
      <c r="BH191" t="b">
        <f>OR(AND(IF(metadata!W191="",FALSE,TRUE),OR(EXACT(metadata!W191,"missing: not collected"),EXACT(metadata!W191,"missing: not provided"),EXACT(metadata!W191,"missing: restricted access"))),AND(IF(metadata!W191="",FALSE,TRUE),OR(EXACT(metadata!W191,"TRUE"),EXACT(metadata!W191,"FALSE"))))</f>
        <v>0</v>
      </c>
      <c r="BI191" t="b">
        <f>AND(IF(metadata!X191="",FALSE,TRUE),EXACT(metadata!X191,"other"))</f>
        <v>0</v>
      </c>
      <c r="BJ191" t="b">
        <f>IF(metadata!Y191="",FALSE,TRUE)</f>
        <v>0</v>
      </c>
      <c r="BK191" t="b">
        <f>OR(AND(IF(metadata!Z191="",FALSE,TRUE),OR(EXACT(metadata!Z191,"missing: not collected"),EXACT(metadata!Z191,"missing: not provided"))),AND(IF(metadata!Z191="",FALSE,IF(ISERROR(INT(metadata!Z191)),FALSE,INT(metadata!Z191)=metadata!Z191)),metadata!Z191&gt;0))</f>
        <v>0</v>
      </c>
      <c r="BL191" t="b">
        <f>AND(IF(metadata!AA191="",FALSE,TRUE),EXACT(metadata!AA191,"Not applicable"))</f>
        <v>0</v>
      </c>
      <c r="BM191" t="b">
        <f>IF(metadata!AB191="",FALSE,TRUE)</f>
        <v>0</v>
      </c>
    </row>
    <row r="192" spans="1:65" x14ac:dyDescent="0.2">
      <c r="A192" s="5" t="str">
        <f ca="1">IF(B192=" "," ",HYPERLINK(CONCATENATE("#metadata!",ADDRESS(INDEX($AH$2:$AH$1001,MATCH(ROWS($AF$2:AF192),$AF$2:$AF$1001,0),0),1)),INDEX($AK$2:$AK$1001,MATCH(ROWS($AF$2:AF192),$AF$2:$AF$1001,0),0)))</f>
        <v xml:space="preserve"> </v>
      </c>
      <c r="B192" s="4" t="str">
        <f ca="1">IF(OR(INDEX($AG$2:$AG$1001,MATCH(ROWS($AF$2:AF192),$AF$2:$AF$1001,0),1)&gt;=100000,INDEX($AM$1005:$BM$1005,1,MATCH(COLUMNS($AM$1006:AM1006),$AM$1006:$BM$1006,0))&gt;=100000), " ",IF(INDEX($AM$2:$BM$1001,MATCH(ROWS($AF$2:AF192),$AF$2:$AF$1001,0),MATCH(COLUMNS($AM$1006:AM1006),$AM$1006:$BM$1006,0)), HYPERLINK("#",""), HYPERLINK(CONCATENATE("#metadata!", ADDRESS(INDEX($AH$2:$AH$1001,MATCH(ROWS($AF$2:AF192),$AF$2:$AF$1001,0),0), INDEX($AM$1004:$BM$1004,1,MATCH(COLUMNS($AM$1006:AM1006),$AM$1006:$BM$1006,0)))),"Fix")))</f>
        <v xml:space="preserve"> </v>
      </c>
      <c r="C192" s="4" t="str">
        <f ca="1">IF(OR(INDEX($AG$2:$AG$1001,MATCH(ROWS($AF$2:AF192),$AF$2:$AF$1001,0),1)&gt;=100000,INDEX($AM$1005:$BM$1005,1,MATCH(COLUMNS($AM$1006:AN1006),$AM$1006:$BM$1006,0))&gt;=100000), " ",IF(INDEX($AM$2:$BM$1001,MATCH(ROWS($AF$2:AF192),$AF$2:$AF$1001,0),MATCH(COLUMNS($AM$1006:AN1006),$AM$1006:$BM$1006,0)), HYPERLINK("#",""), HYPERLINK(CONCATENATE("#metadata!", ADDRESS(INDEX($AH$2:$AH$1001,MATCH(ROWS($AF$2:AF192),$AF$2:$AF$1001,0),0), INDEX($AM$1004:$BM$1004,1,MATCH(COLUMNS($AM$1006:AN1006),$AM$1006:$BM$1006,0)))),"Fix")))</f>
        <v xml:space="preserve"> </v>
      </c>
      <c r="D192" s="4" t="str">
        <f ca="1">IF(OR(INDEX($AG$2:$AG$1001,MATCH(ROWS($AF$2:AF192),$AF$2:$AF$1001,0),1)&gt;=100000,INDEX($AM$1005:$BM$1005,1,MATCH(COLUMNS($AM$1006:AO1006),$AM$1006:$BM$1006,0))&gt;=100000), " ",IF(INDEX($AM$2:$BM$1001,MATCH(ROWS($AF$2:AF192),$AF$2:$AF$1001,0),MATCH(COLUMNS($AM$1006:AO1006),$AM$1006:$BM$1006,0)), HYPERLINK("#",""), HYPERLINK(CONCATENATE("#metadata!", ADDRESS(INDEX($AH$2:$AH$1001,MATCH(ROWS($AF$2:AF192),$AF$2:$AF$1001,0),0), INDEX($AM$1004:$BM$1004,1,MATCH(COLUMNS($AM$1006:AO1006),$AM$1006:$BM$1006,0)))),"Fix")))</f>
        <v xml:space="preserve"> </v>
      </c>
      <c r="E192" s="4" t="str">
        <f ca="1">IF(OR(INDEX($AG$2:$AG$1001,MATCH(ROWS($AF$2:AF192),$AF$2:$AF$1001,0),1)&gt;=100000,INDEX($AM$1005:$BM$1005,1,MATCH(COLUMNS($AM$1006:AP1006),$AM$1006:$BM$1006,0))&gt;=100000), " ",IF(INDEX($AM$2:$BM$1001,MATCH(ROWS($AF$2:AF192),$AF$2:$AF$1001,0),MATCH(COLUMNS($AM$1006:AP1006),$AM$1006:$BM$1006,0)), HYPERLINK("#",""), HYPERLINK(CONCATENATE("#metadata!", ADDRESS(INDEX($AH$2:$AH$1001,MATCH(ROWS($AF$2:AF192),$AF$2:$AF$1001,0),0), INDEX($AM$1004:$BM$1004,1,MATCH(COLUMNS($AM$1006:AP1006),$AM$1006:$BM$1006,0)))),"Fix")))</f>
        <v xml:space="preserve"> </v>
      </c>
      <c r="F192" s="4" t="str">
        <f ca="1">IF(OR(INDEX($AG$2:$AG$1001,MATCH(ROWS($AF$2:AF192),$AF$2:$AF$1001,0),1)&gt;=100000,INDEX($AM$1005:$BM$1005,1,MATCH(COLUMNS($AM$1006:AQ1006),$AM$1006:$BM$1006,0))&gt;=100000), " ",IF(INDEX($AM$2:$BM$1001,MATCH(ROWS($AF$2:AF192),$AF$2:$AF$1001,0),MATCH(COLUMNS($AM$1006:AQ1006),$AM$1006:$BM$1006,0)), HYPERLINK("#",""), HYPERLINK(CONCATENATE("#metadata!", ADDRESS(INDEX($AH$2:$AH$1001,MATCH(ROWS($AF$2:AF192),$AF$2:$AF$1001,0),0), INDEX($AM$1004:$BM$1004,1,MATCH(COLUMNS($AM$1006:AQ1006),$AM$1006:$BM$1006,0)))),"Fix")))</f>
        <v xml:space="preserve"> </v>
      </c>
      <c r="G192" s="4" t="str">
        <f ca="1">IF(OR(INDEX($AG$2:$AG$1001,MATCH(ROWS($AF$2:AF192),$AF$2:$AF$1001,0),1)&gt;=100000,INDEX($AM$1005:$BM$1005,1,MATCH(COLUMNS($AM$1006:AR1006),$AM$1006:$BM$1006,0))&gt;=100000), " ",IF(INDEX($AM$2:$BM$1001,MATCH(ROWS($AF$2:AF192),$AF$2:$AF$1001,0),MATCH(COLUMNS($AM$1006:AR1006),$AM$1006:$BM$1006,0)), HYPERLINK("#",""), HYPERLINK(CONCATENATE("#metadata!", ADDRESS(INDEX($AH$2:$AH$1001,MATCH(ROWS($AF$2:AF192),$AF$2:$AF$1001,0),0), INDEX($AM$1004:$BM$1004,1,MATCH(COLUMNS($AM$1006:AR1006),$AM$1006:$BM$1006,0)))),"Fix")))</f>
        <v xml:space="preserve"> </v>
      </c>
      <c r="H192" s="4" t="str">
        <f ca="1">IF(OR(INDEX($AG$2:$AG$1001,MATCH(ROWS($AF$2:AF192),$AF$2:$AF$1001,0),1)&gt;=100000,INDEX($AM$1005:$BM$1005,1,MATCH(COLUMNS($AM$1006:AS1006),$AM$1006:$BM$1006,0))&gt;=100000), " ",IF(INDEX($AM$2:$BM$1001,MATCH(ROWS($AF$2:AF192),$AF$2:$AF$1001,0),MATCH(COLUMNS($AM$1006:AS1006),$AM$1006:$BM$1006,0)), HYPERLINK("#",""), HYPERLINK(CONCATENATE("#metadata!", ADDRESS(INDEX($AH$2:$AH$1001,MATCH(ROWS($AF$2:AF192),$AF$2:$AF$1001,0),0), INDEX($AM$1004:$BM$1004,1,MATCH(COLUMNS($AM$1006:AS1006),$AM$1006:$BM$1006,0)))),"Fix")))</f>
        <v xml:space="preserve"> </v>
      </c>
      <c r="I192" s="4" t="str">
        <f ca="1">IF(OR(INDEX($AG$2:$AG$1001,MATCH(ROWS($AF$2:AF192),$AF$2:$AF$1001,0),1)&gt;=100000,INDEX($AM$1005:$BM$1005,1,MATCH(COLUMNS($AM$1006:AT1006),$AM$1006:$BM$1006,0))&gt;=100000), " ",IF(INDEX($AM$2:$BM$1001,MATCH(ROWS($AF$2:AF192),$AF$2:$AF$1001,0),MATCH(COLUMNS($AM$1006:AT1006),$AM$1006:$BM$1006,0)), HYPERLINK("#",""), HYPERLINK(CONCATENATE("#metadata!", ADDRESS(INDEX($AH$2:$AH$1001,MATCH(ROWS($AF$2:AF192),$AF$2:$AF$1001,0),0), INDEX($AM$1004:$BM$1004,1,MATCH(COLUMNS($AM$1006:AT1006),$AM$1006:$BM$1006,0)))),"Fix")))</f>
        <v xml:space="preserve"> </v>
      </c>
      <c r="J192" s="4" t="str">
        <f ca="1">IF(OR(INDEX($AG$2:$AG$1001,MATCH(ROWS($AF$2:AF192),$AF$2:$AF$1001,0),1)&gt;=100000,INDEX($AM$1005:$BM$1005,1,MATCH(COLUMNS($AM$1006:AU1006),$AM$1006:$BM$1006,0))&gt;=100000), " ",IF(INDEX($AM$2:$BM$1001,MATCH(ROWS($AF$2:AF192),$AF$2:$AF$1001,0),MATCH(COLUMNS($AM$1006:AU1006),$AM$1006:$BM$1006,0)), HYPERLINK("#",""), HYPERLINK(CONCATENATE("#metadata!", ADDRESS(INDEX($AH$2:$AH$1001,MATCH(ROWS($AF$2:AF192),$AF$2:$AF$1001,0),0), INDEX($AM$1004:$BM$1004,1,MATCH(COLUMNS($AM$1006:AU1006),$AM$1006:$BM$1006,0)))),"Fix")))</f>
        <v xml:space="preserve"> </v>
      </c>
      <c r="K192" s="4" t="str">
        <f ca="1">IF(OR(INDEX($AG$2:$AG$1001,MATCH(ROWS($AF$2:AF192),$AF$2:$AF$1001,0),1)&gt;=100000,INDEX($AM$1005:$BM$1005,1,MATCH(COLUMNS($AM$1006:AV1006),$AM$1006:$BM$1006,0))&gt;=100000), " ",IF(INDEX($AM$2:$BM$1001,MATCH(ROWS($AF$2:AF192),$AF$2:$AF$1001,0),MATCH(COLUMNS($AM$1006:AV1006),$AM$1006:$BM$1006,0)), HYPERLINK("#",""), HYPERLINK(CONCATENATE("#metadata!", ADDRESS(INDEX($AH$2:$AH$1001,MATCH(ROWS($AF$2:AF192),$AF$2:$AF$1001,0),0), INDEX($AM$1004:$BM$1004,1,MATCH(COLUMNS($AM$1006:AV1006),$AM$1006:$BM$1006,0)))),"Fix")))</f>
        <v xml:space="preserve"> </v>
      </c>
      <c r="L192" s="4" t="str">
        <f ca="1">IF(OR(INDEX($AG$2:$AG$1001,MATCH(ROWS($AF$2:AF192),$AF$2:$AF$1001,0),1)&gt;=100000,INDEX($AM$1005:$BM$1005,1,MATCH(COLUMNS($AM$1006:AW1006),$AM$1006:$BM$1006,0))&gt;=100000), " ",IF(INDEX($AM$2:$BM$1001,MATCH(ROWS($AF$2:AF192),$AF$2:$AF$1001,0),MATCH(COLUMNS($AM$1006:AW1006),$AM$1006:$BM$1006,0)), HYPERLINK("#",""), HYPERLINK(CONCATENATE("#metadata!", ADDRESS(INDEX($AH$2:$AH$1001,MATCH(ROWS($AF$2:AF192),$AF$2:$AF$1001,0),0), INDEX($AM$1004:$BM$1004,1,MATCH(COLUMNS($AM$1006:AW1006),$AM$1006:$BM$1006,0)))),"Fix")))</f>
        <v xml:space="preserve"> </v>
      </c>
      <c r="M192" s="4" t="str">
        <f ca="1">IF(OR(INDEX($AG$2:$AG$1001,MATCH(ROWS($AF$2:AF192),$AF$2:$AF$1001,0),1)&gt;=100000,INDEX($AM$1005:$BM$1005,1,MATCH(COLUMNS($AM$1006:AX1006),$AM$1006:$BM$1006,0))&gt;=100000), " ",IF(INDEX($AM$2:$BM$1001,MATCH(ROWS($AF$2:AF192),$AF$2:$AF$1001,0),MATCH(COLUMNS($AM$1006:AX1006),$AM$1006:$BM$1006,0)), HYPERLINK("#",""), HYPERLINK(CONCATENATE("#metadata!", ADDRESS(INDEX($AH$2:$AH$1001,MATCH(ROWS($AF$2:AF192),$AF$2:$AF$1001,0),0), INDEX($AM$1004:$BM$1004,1,MATCH(COLUMNS($AM$1006:AX1006),$AM$1006:$BM$1006,0)))),"Fix")))</f>
        <v xml:space="preserve"> </v>
      </c>
      <c r="N192" s="4" t="str">
        <f ca="1">IF(OR(INDEX($AG$2:$AG$1001,MATCH(ROWS($AF$2:AF192),$AF$2:$AF$1001,0),1)&gt;=100000,INDEX($AM$1005:$BM$1005,1,MATCH(COLUMNS($AM$1006:AY1006),$AM$1006:$BM$1006,0))&gt;=100000), " ",IF(INDEX($AM$2:$BM$1001,MATCH(ROWS($AF$2:AF192),$AF$2:$AF$1001,0),MATCH(COLUMNS($AM$1006:AY1006),$AM$1006:$BM$1006,0)), HYPERLINK("#",""), HYPERLINK(CONCATENATE("#metadata!", ADDRESS(INDEX($AH$2:$AH$1001,MATCH(ROWS($AF$2:AF192),$AF$2:$AF$1001,0),0), INDEX($AM$1004:$BM$1004,1,MATCH(COLUMNS($AM$1006:AY1006),$AM$1006:$BM$1006,0)))),"Fix")))</f>
        <v xml:space="preserve"> </v>
      </c>
      <c r="O192" s="4" t="str">
        <f ca="1">IF(OR(INDEX($AG$2:$AG$1001,MATCH(ROWS($AF$2:AF192),$AF$2:$AF$1001,0),1)&gt;=100000,INDEX($AM$1005:$BM$1005,1,MATCH(COLUMNS($AM$1006:AZ1006),$AM$1006:$BM$1006,0))&gt;=100000), " ",IF(INDEX($AM$2:$BM$1001,MATCH(ROWS($AF$2:AF192),$AF$2:$AF$1001,0),MATCH(COLUMNS($AM$1006:AZ1006),$AM$1006:$BM$1006,0)), HYPERLINK("#",""), HYPERLINK(CONCATENATE("#metadata!", ADDRESS(INDEX($AH$2:$AH$1001,MATCH(ROWS($AF$2:AF192),$AF$2:$AF$1001,0),0), INDEX($AM$1004:$BM$1004,1,MATCH(COLUMNS($AM$1006:AZ1006),$AM$1006:$BM$1006,0)))),"Fix")))</f>
        <v xml:space="preserve"> </v>
      </c>
      <c r="P192" s="4" t="str">
        <f ca="1">IF(OR(INDEX($AG$2:$AG$1001,MATCH(ROWS($AF$2:AF192),$AF$2:$AF$1001,0),1)&gt;=100000,INDEX($AM$1005:$BM$1005,1,MATCH(COLUMNS($AM$1006:BA1006),$AM$1006:$BM$1006,0))&gt;=100000), " ",IF(INDEX($AM$2:$BM$1001,MATCH(ROWS($AF$2:AF192),$AF$2:$AF$1001,0),MATCH(COLUMNS($AM$1006:BA1006),$AM$1006:$BM$1006,0)), HYPERLINK("#",""), HYPERLINK(CONCATENATE("#metadata!", ADDRESS(INDEX($AH$2:$AH$1001,MATCH(ROWS($AF$2:AF192),$AF$2:$AF$1001,0),0), INDEX($AM$1004:$BM$1004,1,MATCH(COLUMNS($AM$1006:BA1006),$AM$1006:$BM$1006,0)))),"Fix")))</f>
        <v xml:space="preserve"> </v>
      </c>
      <c r="Q192" s="4" t="str">
        <f ca="1">IF(OR(INDEX($AG$2:$AG$1001,MATCH(ROWS($AF$2:AF192),$AF$2:$AF$1001,0),1)&gt;=100000,INDEX($AM$1005:$BM$1005,1,MATCH(COLUMNS($AM$1006:BB1006),$AM$1006:$BM$1006,0))&gt;=100000), " ",IF(INDEX($AM$2:$BM$1001,MATCH(ROWS($AF$2:AF192),$AF$2:$AF$1001,0),MATCH(COLUMNS($AM$1006:BB1006),$AM$1006:$BM$1006,0)), HYPERLINK("#",""), HYPERLINK(CONCATENATE("#metadata!", ADDRESS(INDEX($AH$2:$AH$1001,MATCH(ROWS($AF$2:AF192),$AF$2:$AF$1001,0),0), INDEX($AM$1004:$BM$1004,1,MATCH(COLUMNS($AM$1006:BB1006),$AM$1006:$BM$1006,0)))),"Fix")))</f>
        <v xml:space="preserve"> </v>
      </c>
      <c r="R192" s="4" t="str">
        <f ca="1">IF(OR(INDEX($AG$2:$AG$1001,MATCH(ROWS($AF$2:AF192),$AF$2:$AF$1001,0),1)&gt;=100000,INDEX($AM$1005:$BM$1005,1,MATCH(COLUMNS($AM$1006:BC1006),$AM$1006:$BM$1006,0))&gt;=100000), " ",IF(INDEX($AM$2:$BM$1001,MATCH(ROWS($AF$2:AF192),$AF$2:$AF$1001,0),MATCH(COLUMNS($AM$1006:BC1006),$AM$1006:$BM$1006,0)), HYPERLINK("#",""), HYPERLINK(CONCATENATE("#metadata!", ADDRESS(INDEX($AH$2:$AH$1001,MATCH(ROWS($AF$2:AF192),$AF$2:$AF$1001,0),0), INDEX($AM$1004:$BM$1004,1,MATCH(COLUMNS($AM$1006:BC1006),$AM$1006:$BM$1006,0)))),"Fix")))</f>
        <v xml:space="preserve"> </v>
      </c>
      <c r="S192" s="4" t="str">
        <f ca="1">IF(OR(INDEX($AG$2:$AG$1001,MATCH(ROWS($AF$2:AF192),$AF$2:$AF$1001,0),1)&gt;=100000,INDEX($AM$1005:$BM$1005,1,MATCH(COLUMNS($AM$1006:BD1006),$AM$1006:$BM$1006,0))&gt;=100000), " ",IF(INDEX($AM$2:$BM$1001,MATCH(ROWS($AF$2:AF192),$AF$2:$AF$1001,0),MATCH(COLUMNS($AM$1006:BD1006),$AM$1006:$BM$1006,0)), HYPERLINK("#",""), HYPERLINK(CONCATENATE("#metadata!", ADDRESS(INDEX($AH$2:$AH$1001,MATCH(ROWS($AF$2:AF192),$AF$2:$AF$1001,0),0), INDEX($AM$1004:$BM$1004,1,MATCH(COLUMNS($AM$1006:BD1006),$AM$1006:$BM$1006,0)))),"Fix")))</f>
        <v xml:space="preserve"> </v>
      </c>
      <c r="T192" s="4" t="str">
        <f ca="1">IF(OR(INDEX($AG$2:$AG$1001,MATCH(ROWS($AF$2:AF192),$AF$2:$AF$1001,0),1)&gt;=100000,INDEX($AM$1005:$BM$1005,1,MATCH(COLUMNS($AM$1006:BE1006),$AM$1006:$BM$1006,0))&gt;=100000), " ",IF(INDEX($AM$2:$BM$1001,MATCH(ROWS($AF$2:AF192),$AF$2:$AF$1001,0),MATCH(COLUMNS($AM$1006:BE1006),$AM$1006:$BM$1006,0)), HYPERLINK("#",""), HYPERLINK(CONCATENATE("#metadata!", ADDRESS(INDEX($AH$2:$AH$1001,MATCH(ROWS($AF$2:AF192),$AF$2:$AF$1001,0),0), INDEX($AM$1004:$BM$1004,1,MATCH(COLUMNS($AM$1006:BE1006),$AM$1006:$BM$1006,0)))),"Fix")))</f>
        <v xml:space="preserve"> </v>
      </c>
      <c r="U192" s="4" t="str">
        <f ca="1">IF(OR(INDEX($AG$2:$AG$1001,MATCH(ROWS($AF$2:AF192),$AF$2:$AF$1001,0),1)&gt;=100000,INDEX($AM$1005:$BM$1005,1,MATCH(COLUMNS($AM$1006:BF1006),$AM$1006:$BM$1006,0))&gt;=100000), " ",IF(INDEX($AM$2:$BM$1001,MATCH(ROWS($AF$2:AF192),$AF$2:$AF$1001,0),MATCH(COLUMNS($AM$1006:BF1006),$AM$1006:$BM$1006,0)), HYPERLINK("#",""), HYPERLINK(CONCATENATE("#metadata!", ADDRESS(INDEX($AH$2:$AH$1001,MATCH(ROWS($AF$2:AF192),$AF$2:$AF$1001,0),0), INDEX($AM$1004:$BM$1004,1,MATCH(COLUMNS($AM$1006:BF1006),$AM$1006:$BM$1006,0)))),"Fix")))</f>
        <v xml:space="preserve"> </v>
      </c>
      <c r="V192" s="4" t="str">
        <f ca="1">IF(OR(INDEX($AG$2:$AG$1001,MATCH(ROWS($AF$2:AF192),$AF$2:$AF$1001,0),1)&gt;=100000,INDEX($AM$1005:$BM$1005,1,MATCH(COLUMNS($AM$1006:BG1006),$AM$1006:$BM$1006,0))&gt;=100000), " ",IF(INDEX($AM$2:$BM$1001,MATCH(ROWS($AF$2:AF192),$AF$2:$AF$1001,0),MATCH(COLUMNS($AM$1006:BG1006),$AM$1006:$BM$1006,0)), HYPERLINK("#",""), HYPERLINK(CONCATENATE("#metadata!", ADDRESS(INDEX($AH$2:$AH$1001,MATCH(ROWS($AF$2:AF192),$AF$2:$AF$1001,0),0), INDEX($AM$1004:$BM$1004,1,MATCH(COLUMNS($AM$1006:BG1006),$AM$1006:$BM$1006,0)))),"Fix")))</f>
        <v xml:space="preserve"> </v>
      </c>
      <c r="W192" s="4" t="str">
        <f ca="1">IF(OR(INDEX($AG$2:$AG$1001,MATCH(ROWS($AF$2:AF192),$AF$2:$AF$1001,0),1)&gt;=100000,INDEX($AM$1005:$BM$1005,1,MATCH(COLUMNS($AM$1006:BH1006),$AM$1006:$BM$1006,0))&gt;=100000), " ",IF(INDEX($AM$2:$BM$1001,MATCH(ROWS($AF$2:AF192),$AF$2:$AF$1001,0),MATCH(COLUMNS($AM$1006:BH1006),$AM$1006:$BM$1006,0)), HYPERLINK("#",""), HYPERLINK(CONCATENATE("#metadata!", ADDRESS(INDEX($AH$2:$AH$1001,MATCH(ROWS($AF$2:AF192),$AF$2:$AF$1001,0),0), INDEX($AM$1004:$BM$1004,1,MATCH(COLUMNS($AM$1006:BH1006),$AM$1006:$BM$1006,0)))),"Fix")))</f>
        <v xml:space="preserve"> </v>
      </c>
      <c r="X192" s="4" t="str">
        <f ca="1">IF(OR(INDEX($AG$2:$AG$1001,MATCH(ROWS($AF$2:AF192),$AF$2:$AF$1001,0),1)&gt;=100000,INDEX($AM$1005:$BM$1005,1,MATCH(COLUMNS($AM$1006:BI1006),$AM$1006:$BM$1006,0))&gt;=100000), " ",IF(INDEX($AM$2:$BM$1001,MATCH(ROWS($AF$2:AF192),$AF$2:$AF$1001,0),MATCH(COLUMNS($AM$1006:BI1006),$AM$1006:$BM$1006,0)), HYPERLINK("#",""), HYPERLINK(CONCATENATE("#metadata!", ADDRESS(INDEX($AH$2:$AH$1001,MATCH(ROWS($AF$2:AF192),$AF$2:$AF$1001,0),0), INDEX($AM$1004:$BM$1004,1,MATCH(COLUMNS($AM$1006:BI1006),$AM$1006:$BM$1006,0)))),"Fix")))</f>
        <v xml:space="preserve"> </v>
      </c>
      <c r="Y192" s="4" t="str">
        <f ca="1">IF(OR(INDEX($AG$2:$AG$1001,MATCH(ROWS($AF$2:AF192),$AF$2:$AF$1001,0),1)&gt;=100000,INDEX($AM$1005:$BM$1005,1,MATCH(COLUMNS($AM$1006:BJ1006),$AM$1006:$BM$1006,0))&gt;=100000), " ",IF(INDEX($AM$2:$BM$1001,MATCH(ROWS($AF$2:AF192),$AF$2:$AF$1001,0),MATCH(COLUMNS($AM$1006:BJ1006),$AM$1006:$BM$1006,0)), HYPERLINK("#",""), HYPERLINK(CONCATENATE("#metadata!", ADDRESS(INDEX($AH$2:$AH$1001,MATCH(ROWS($AF$2:AF192),$AF$2:$AF$1001,0),0), INDEX($AM$1004:$BM$1004,1,MATCH(COLUMNS($AM$1006:BJ1006),$AM$1006:$BM$1006,0)))),"Fix")))</f>
        <v xml:space="preserve"> </v>
      </c>
      <c r="Z192" s="4" t="str">
        <f ca="1">IF(OR(INDEX($AG$2:$AG$1001,MATCH(ROWS($AF$2:AF192),$AF$2:$AF$1001,0),1)&gt;=100000,INDEX($AM$1005:$BM$1005,1,MATCH(COLUMNS($AM$1006:BK1006),$AM$1006:$BM$1006,0))&gt;=100000), " ",IF(INDEX($AM$2:$BM$1001,MATCH(ROWS($AF$2:AF192),$AF$2:$AF$1001,0),MATCH(COLUMNS($AM$1006:BK1006),$AM$1006:$BM$1006,0)), HYPERLINK("#",""), HYPERLINK(CONCATENATE("#metadata!", ADDRESS(INDEX($AH$2:$AH$1001,MATCH(ROWS($AF$2:AF192),$AF$2:$AF$1001,0),0), INDEX($AM$1004:$BM$1004,1,MATCH(COLUMNS($AM$1006:BK1006),$AM$1006:$BM$1006,0)))),"Fix")))</f>
        <v xml:space="preserve"> </v>
      </c>
      <c r="AA192" s="4" t="str">
        <f ca="1">IF(OR(INDEX($AG$2:$AG$1001,MATCH(ROWS($AF$2:AF192),$AF$2:$AF$1001,0),1)&gt;=100000,INDEX($AM$1005:$BM$1005,1,MATCH(COLUMNS($AM$1006:BL1006),$AM$1006:$BM$1006,0))&gt;=100000), " ",IF(INDEX($AM$2:$BM$1001,MATCH(ROWS($AF$2:AF192),$AF$2:$AF$1001,0),MATCH(COLUMNS($AM$1006:BL1006),$AM$1006:$BM$1006,0)), HYPERLINK("#",""), HYPERLINK(CONCATENATE("#metadata!", ADDRESS(INDEX($AH$2:$AH$1001,MATCH(ROWS($AF$2:AF192),$AF$2:$AF$1001,0),0), INDEX($AM$1004:$BM$1004,1,MATCH(COLUMNS($AM$1006:BL1006),$AM$1006:$BM$1006,0)))),"Fix")))</f>
        <v xml:space="preserve"> </v>
      </c>
      <c r="AB192" s="4" t="str">
        <f ca="1">IF(OR(INDEX($AG$2:$AG$1001,MATCH(ROWS($AF$2:AF192),$AF$2:$AF$1001,0),1)&gt;=100000,INDEX($AM$1005:$BM$1005,1,MATCH(COLUMNS($AM$1006:BM1006),$AM$1006:$BM$1006,0))&gt;=100000), " ",IF(INDEX($AM$2:$BM$1001,MATCH(ROWS($AF$2:AF192),$AF$2:$AF$1001,0),MATCH(COLUMNS($AM$1006:BM1006),$AM$1006:$BM$1006,0)), HYPERLINK("#",""), HYPERLINK(CONCATENATE("#metadata!", ADDRESS(INDEX($AH$2:$AH$1001,MATCH(ROWS($AF$2:AF192),$AF$2:$AF$1001,0),0), INDEX($AM$1004:$BM$1004,1,MATCH(COLUMNS($AM$1006:BM1006),$AM$1006:$BM$1006,0)))),"Fix")))</f>
        <v xml:space="preserve"> </v>
      </c>
      <c r="AF192">
        <v>191</v>
      </c>
      <c r="AG192">
        <v>100192</v>
      </c>
      <c r="AH192">
        <v>192</v>
      </c>
      <c r="AI192" t="b">
        <f t="shared" si="2"/>
        <v>1</v>
      </c>
      <c r="AJ192" t="b">
        <f>COUNTBLANK(metadata!B192:AB192)=COLUMNS(metadata!B192:AB192)</f>
        <v>1</v>
      </c>
      <c r="AK192" t="str">
        <v/>
      </c>
      <c r="AM192" t="b">
        <f ca="1">AND(IF(metadata!B192="",FALSE,TRUE),COUNTIF(metadata!B:B, metadata!B192) = 1,NOT(ISERROR(SUMPRODUCT(SEARCH(MID(metadata!B192,ROW(INDIRECT("1:"&amp;LEN(metadata!B192))), 1),"0123456789abcdefghijklmnopqrstuvwxyzABCDEFGHIJKLMNOPQRSTUVWXYZ.")))))</f>
        <v>0</v>
      </c>
      <c r="AN192" t="b">
        <f ca="1">OR(AND(IF(metadata!C192="",FALSE,TRUE),OR(EXACT(metadata!C192,"missing: not collected"),EXACT(metadata!C192,"missing: not provided"),EXACT(metadata!C192,"missing: restricted access"))),AND(IF(metadata!C192="",FALSE,TRUE),AND(AND(IFERROR(INT(LEFT(metadata!C192,4))&gt;1900,FALSE),IFERROR(INT(LEFT(metadata!C192,4))&lt;=YEAR(NOW()),FALSE)), OR(MID(metadata!C192,5,1)="", AND(AND(MID(metadata!C192,5,1)="-",IFERROR(INT(MID(metadata!C192,6,1))&gt;=0,FALSE),IFERROR(INT(MID(metadata!C192,6,1))&lt;=1,FALSE),NOT(MID(metadata!C192,7,1)=""),IFERROR(INT(MID(metadata!C192,6,2))&gt;=1,FALSE),IFERROR(INT(MID(metadata!C192,6,2))&lt;=12,FALSE)), OR(MID(metadata!C192,8,1)="", AND(AND(MID(metadata!C192,8,1)="-",IFERROR(INT(MID(metadata!C192,9,1))&gt;=0,FALSE),IFERROR(INT(MID(metadata!C192,9,1))&lt;=3,FALSE),NOT(MID(metadata!C192,10,1)=""),IFERROR(INT(MID(metadata!C192,9,2))&gt;=1,FALSE),IFERROR(INT(MID(metadata!C192,9,2))&lt;=31,FALSE)), OR(MID(metadata!C192,11,1)="", AND(AND(MID(metadata!C192,11,1)=" ",IFERROR(INT(MID(metadata!C192,12,1))&gt;=0,FALSE),IFERROR(INT(MID(metadata!C192,12,1))&lt;=2,FALSE),NOT(MID(metadata!C192,13,1)=""),IFERROR(INT(MID(metadata!C192,12,2))&gt;=0,FALSE),IFERROR(INT(MID(metadata!C192,12,2))&lt;=23,FALSE)), OR(MID(metadata!C192,14,1)="", AND(AND(MID(metadata!C192,14,1)=":",IFERROR(INT(MID(metadata!C192,15,1))&gt;=0,FALSE),IFERROR(INT(MID(metadata!C192,15,1))&lt;=5,FALSE),NOT(MID(metadata!C192,16,1)=""),IFERROR(INT(MID(metadata!C192,15,2))&gt;=0,FALSE),IFERROR(INT(MID(metadata!C192,15,2))&lt;=59,FALSE)), OR(MID(metadata!C192,17,1)="", AND(AND(MID(metadata!C192,17,1)=":",IFERROR(INT(MID(metadata!C192,18,1))&gt;=0,FALSE),IFERROR(INT(MID(metadata!C192,18,1))&lt;=5,FALSE),NOT(MID(metadata!C192,19,1)=""),IFERROR(INT(MID(metadata!C192,18,2))&gt;=0,FALSE),IFERROR(INT(MID(metadata!C192,18,2))&lt;=59,FALSE)), LEN(metadata!C192)&lt;=19)))))))))))))</f>
        <v>0</v>
      </c>
      <c r="AO192" t="b">
        <f>AND(IF(metadata!D192="",FALSE,TRUE),EXACT(metadata!D192,"Not applicable"))</f>
        <v>0</v>
      </c>
      <c r="AP192" t="b">
        <f>IF(metadata!E192="",FALSE,TRUE)</f>
        <v>0</v>
      </c>
      <c r="AQ192" t="b">
        <f>OR(AND(IF(metadata!F192="",FALSE,TRUE),OR(EXACT(metadata!F192,"missing: not collected"),EXACT(metadata!F192,"missing: not provided"))),AND(IF(metadata!F192="",FALSE,TRUE),OR(EXACT(metadata!F192,"TRUE"),EXACT(metadata!F192,"FALSE"))))</f>
        <v>0</v>
      </c>
      <c r="AR192" t="b">
        <f>OR(AND(IF(metadata!G192="",FALSE,TRUE),OR(EXACT(metadata!G192,"missing: not collected"),EXACT(metadata!G192,"missing: not provided"),EXACT(metadata!G192,"missing: restricted access"))),AND(IF(metadata!G192="",FALSE,ISNUMBER(VALUE(metadata!G192))),metadata!G192&gt;=-413))</f>
        <v>0</v>
      </c>
      <c r="AS192" t="b">
        <f>AND(IF(metadata!H192="",FALSE,TRUE),EXACT(metadata!H192,"meters"))</f>
        <v>0</v>
      </c>
      <c r="AT192" t="b">
        <f>AND(IF(metadata!I192="",FALSE,TRUE),OR(EXACT(metadata!I192,"Host-associated"),EXACT(metadata!I192,"Free-living")))</f>
        <v>0</v>
      </c>
      <c r="AU192" t="b">
        <f>AND(IF(metadata!J192="",FALSE,TRUE),OR(EXACT(metadata!J192,"Animal"),EXACT(metadata!J192,"Fungus"),EXACT(metadata!J192,"Plant"),EXACT(metadata!J192,"Saline"),EXACT(metadata!J192,"Non-saline")))</f>
        <v>0</v>
      </c>
      <c r="AV192" t="b">
        <f>AND(IF(metadata!K192="",FALSE,TRUE),OR(EXACT(metadata!K192,"Plant secretion"),EXACT(metadata!K192,"Plant rhizosphere"),EXACT(metadata!K192,"Plant surface"),EXACT(metadata!K192,"Plant corpus"),EXACT(metadata!K192,"Fungus surface"),EXACT(metadata!K192,"Fungus corpus"),EXACT(metadata!K192,"Animal surface"),EXACT(metadata!K192,"Animal proximal gut"),EXACT(metadata!K192,"Animal corpus"),EXACT(metadata!K192,"Animal distal gut"),EXACT(metadata!K192,"Animal secretion"),EXACT(metadata!K192,"Sub-surface (non-saline)"),EXACT(metadata!K192,"Surface (non-saline)"),EXACT(metadata!K192,"Water (non-saline)"),EXACT(metadata!K192,"Soil (non-saline)"),EXACT(metadata!K192,"Aerosol (non-saline)"),EXACT(metadata!K192,"Sediment (non-saline)"),EXACT(metadata!K192,"Surface (saline)"),EXACT(metadata!K192,"Water (saline)"),EXACT(metadata!K192,"Hypersaline (saline)"),EXACT(metadata!K192,"Aerosol (saline)"),EXACT(metadata!K192,"Sediment (saline)")))</f>
        <v>0</v>
      </c>
      <c r="AW192" t="b">
        <f>IF(metadata!L192="",FALSE,TRUE)</f>
        <v>0</v>
      </c>
      <c r="AX192" t="b">
        <f>IF(metadata!M192="",FALSE,TRUE)</f>
        <v>0</v>
      </c>
      <c r="AY192" t="b">
        <f>IF(metadata!N192="",FALSE,TRUE)</f>
        <v>0</v>
      </c>
      <c r="AZ192" t="b">
        <f>OR(AND(IF(metadata!O192="",FALSE,TRUE),OR(EXACT(metadata!O192,"missing: not collected"),EXACT(metadata!O192,"missing: not provided"),EXACT(metadata!O192,"missing: restricted access"))),AND(IF(metadata!O192="",FALSE,TRUE),OR(EXACT(metadata!O192,"air"),EXACT(metadata!O192,"built environment"),EXACT(metadata!O192,"host-associated"),EXACT(metadata!O192,"human-associated"),EXACT(metadata!O192,"human-skin"),EXACT(metadata!O192,"human-oral"),EXACT(metadata!O192,"human-gut"),EXACT(metadata!O192,"human-vaginal"),EXACT(metadata!O192,"microbial mat/biofilm"),EXACT(metadata!O192,"misc environment"),EXACT(metadata!O192,"plant-associated"),EXACT(metadata!O192,"sediment"),EXACT(metadata!O192,"soil"),EXACT(metadata!O192,"wastewater/sludge"),EXACT(metadata!O192,"water"))))</f>
        <v>0</v>
      </c>
      <c r="BA192" t="b">
        <f>IF(metadata!P192="",FALSE,TRUE)</f>
        <v>0</v>
      </c>
      <c r="BB192" t="b">
        <f>IF(metadata!Q192="",FALSE,TRUE)</f>
        <v>0</v>
      </c>
      <c r="BC192" t="b">
        <f>OR(AND(IF(metadata!R192="",FALSE,TRUE),OR(EXACT(metadata!R192,"missing: not collected"),EXACT(metadata!R192,"missing: not provided"),EXACT(metadata!R192,"missing: restricted access"))),AND(IF(metadata!R192="",FALSE,ISNUMBER(VALUE(metadata!R192))),metadata!R192&gt;=-90,metadata!R192&lt;=90))</f>
        <v>0</v>
      </c>
      <c r="BD192" t="b">
        <f>AND(IF(metadata!S192="",FALSE,TRUE),EXACT(metadata!S192,"Decimal degrees"))</f>
        <v>0</v>
      </c>
      <c r="BE192" t="b">
        <f>OR(AND(IF(metadata!T192="",FALSE,TRUE),OR(EXACT(metadata!T192,"missing: not collected"),EXACT(metadata!T192,"missing: not provided"),EXACT(metadata!T192,"missing: restricted access"))),AND(IF(metadata!T192="",FALSE,ISNUMBER(VALUE(metadata!T192))),metadata!T192&gt;=-180,metadata!T192&lt;=180))</f>
        <v>0</v>
      </c>
      <c r="BF192" t="b">
        <f>AND(IF(metadata!U192="",FALSE,TRUE),EXACT(metadata!U192,"Decimal degrees"))</f>
        <v>0</v>
      </c>
      <c r="BG192" t="b">
        <f>IF(metadata!V192="",FALSE,TRUE)</f>
        <v>0</v>
      </c>
      <c r="BH192" t="b">
        <f>OR(AND(IF(metadata!W192="",FALSE,TRUE),OR(EXACT(metadata!W192,"missing: not collected"),EXACT(metadata!W192,"missing: not provided"),EXACT(metadata!W192,"missing: restricted access"))),AND(IF(metadata!W192="",FALSE,TRUE),OR(EXACT(metadata!W192,"TRUE"),EXACT(metadata!W192,"FALSE"))))</f>
        <v>0</v>
      </c>
      <c r="BI192" t="b">
        <f>AND(IF(metadata!X192="",FALSE,TRUE),EXACT(metadata!X192,"other"))</f>
        <v>0</v>
      </c>
      <c r="BJ192" t="b">
        <f>IF(metadata!Y192="",FALSE,TRUE)</f>
        <v>0</v>
      </c>
      <c r="BK192" t="b">
        <f>OR(AND(IF(metadata!Z192="",FALSE,TRUE),OR(EXACT(metadata!Z192,"missing: not collected"),EXACT(metadata!Z192,"missing: not provided"))),AND(IF(metadata!Z192="",FALSE,IF(ISERROR(INT(metadata!Z192)),FALSE,INT(metadata!Z192)=metadata!Z192)),metadata!Z192&gt;0))</f>
        <v>0</v>
      </c>
      <c r="BL192" t="b">
        <f>AND(IF(metadata!AA192="",FALSE,TRUE),EXACT(metadata!AA192,"Not applicable"))</f>
        <v>0</v>
      </c>
      <c r="BM192" t="b">
        <f>IF(metadata!AB192="",FALSE,TRUE)</f>
        <v>0</v>
      </c>
    </row>
    <row r="193" spans="1:65" x14ac:dyDescent="0.2">
      <c r="A193" s="5" t="str">
        <f ca="1">IF(B193=" "," ",HYPERLINK(CONCATENATE("#metadata!",ADDRESS(INDEX($AH$2:$AH$1001,MATCH(ROWS($AF$2:AF193),$AF$2:$AF$1001,0),0),1)),INDEX($AK$2:$AK$1001,MATCH(ROWS($AF$2:AF193),$AF$2:$AF$1001,0),0)))</f>
        <v xml:space="preserve"> </v>
      </c>
      <c r="B193" s="4" t="str">
        <f ca="1">IF(OR(INDEX($AG$2:$AG$1001,MATCH(ROWS($AF$2:AF193),$AF$2:$AF$1001,0),1)&gt;=100000,INDEX($AM$1005:$BM$1005,1,MATCH(COLUMNS($AM$1006:AM1006),$AM$1006:$BM$1006,0))&gt;=100000), " ",IF(INDEX($AM$2:$BM$1001,MATCH(ROWS($AF$2:AF193),$AF$2:$AF$1001,0),MATCH(COLUMNS($AM$1006:AM1006),$AM$1006:$BM$1006,0)), HYPERLINK("#",""), HYPERLINK(CONCATENATE("#metadata!", ADDRESS(INDEX($AH$2:$AH$1001,MATCH(ROWS($AF$2:AF193),$AF$2:$AF$1001,0),0), INDEX($AM$1004:$BM$1004,1,MATCH(COLUMNS($AM$1006:AM1006),$AM$1006:$BM$1006,0)))),"Fix")))</f>
        <v xml:space="preserve"> </v>
      </c>
      <c r="C193" s="4" t="str">
        <f ca="1">IF(OR(INDEX($AG$2:$AG$1001,MATCH(ROWS($AF$2:AF193),$AF$2:$AF$1001,0),1)&gt;=100000,INDEX($AM$1005:$BM$1005,1,MATCH(COLUMNS($AM$1006:AN1006),$AM$1006:$BM$1006,0))&gt;=100000), " ",IF(INDEX($AM$2:$BM$1001,MATCH(ROWS($AF$2:AF193),$AF$2:$AF$1001,0),MATCH(COLUMNS($AM$1006:AN1006),$AM$1006:$BM$1006,0)), HYPERLINK("#",""), HYPERLINK(CONCATENATE("#metadata!", ADDRESS(INDEX($AH$2:$AH$1001,MATCH(ROWS($AF$2:AF193),$AF$2:$AF$1001,0),0), INDEX($AM$1004:$BM$1004,1,MATCH(COLUMNS($AM$1006:AN1006),$AM$1006:$BM$1006,0)))),"Fix")))</f>
        <v xml:space="preserve"> </v>
      </c>
      <c r="D193" s="4" t="str">
        <f ca="1">IF(OR(INDEX($AG$2:$AG$1001,MATCH(ROWS($AF$2:AF193),$AF$2:$AF$1001,0),1)&gt;=100000,INDEX($AM$1005:$BM$1005,1,MATCH(COLUMNS($AM$1006:AO1006),$AM$1006:$BM$1006,0))&gt;=100000), " ",IF(INDEX($AM$2:$BM$1001,MATCH(ROWS($AF$2:AF193),$AF$2:$AF$1001,0),MATCH(COLUMNS($AM$1006:AO1006),$AM$1006:$BM$1006,0)), HYPERLINK("#",""), HYPERLINK(CONCATENATE("#metadata!", ADDRESS(INDEX($AH$2:$AH$1001,MATCH(ROWS($AF$2:AF193),$AF$2:$AF$1001,0),0), INDEX($AM$1004:$BM$1004,1,MATCH(COLUMNS($AM$1006:AO1006),$AM$1006:$BM$1006,0)))),"Fix")))</f>
        <v xml:space="preserve"> </v>
      </c>
      <c r="E193" s="4" t="str">
        <f ca="1">IF(OR(INDEX($AG$2:$AG$1001,MATCH(ROWS($AF$2:AF193),$AF$2:$AF$1001,0),1)&gt;=100000,INDEX($AM$1005:$BM$1005,1,MATCH(COLUMNS($AM$1006:AP1006),$AM$1006:$BM$1006,0))&gt;=100000), " ",IF(INDEX($AM$2:$BM$1001,MATCH(ROWS($AF$2:AF193),$AF$2:$AF$1001,0),MATCH(COLUMNS($AM$1006:AP1006),$AM$1006:$BM$1006,0)), HYPERLINK("#",""), HYPERLINK(CONCATENATE("#metadata!", ADDRESS(INDEX($AH$2:$AH$1001,MATCH(ROWS($AF$2:AF193),$AF$2:$AF$1001,0),0), INDEX($AM$1004:$BM$1004,1,MATCH(COLUMNS($AM$1006:AP1006),$AM$1006:$BM$1006,0)))),"Fix")))</f>
        <v xml:space="preserve"> </v>
      </c>
      <c r="F193" s="4" t="str">
        <f ca="1">IF(OR(INDEX($AG$2:$AG$1001,MATCH(ROWS($AF$2:AF193),$AF$2:$AF$1001,0),1)&gt;=100000,INDEX($AM$1005:$BM$1005,1,MATCH(COLUMNS($AM$1006:AQ1006),$AM$1006:$BM$1006,0))&gt;=100000), " ",IF(INDEX($AM$2:$BM$1001,MATCH(ROWS($AF$2:AF193),$AF$2:$AF$1001,0),MATCH(COLUMNS($AM$1006:AQ1006),$AM$1006:$BM$1006,0)), HYPERLINK("#",""), HYPERLINK(CONCATENATE("#metadata!", ADDRESS(INDEX($AH$2:$AH$1001,MATCH(ROWS($AF$2:AF193),$AF$2:$AF$1001,0),0), INDEX($AM$1004:$BM$1004,1,MATCH(COLUMNS($AM$1006:AQ1006),$AM$1006:$BM$1006,0)))),"Fix")))</f>
        <v xml:space="preserve"> </v>
      </c>
      <c r="G193" s="4" t="str">
        <f ca="1">IF(OR(INDEX($AG$2:$AG$1001,MATCH(ROWS($AF$2:AF193),$AF$2:$AF$1001,0),1)&gt;=100000,INDEX($AM$1005:$BM$1005,1,MATCH(COLUMNS($AM$1006:AR1006),$AM$1006:$BM$1006,0))&gt;=100000), " ",IF(INDEX($AM$2:$BM$1001,MATCH(ROWS($AF$2:AF193),$AF$2:$AF$1001,0),MATCH(COLUMNS($AM$1006:AR1006),$AM$1006:$BM$1006,0)), HYPERLINK("#",""), HYPERLINK(CONCATENATE("#metadata!", ADDRESS(INDEX($AH$2:$AH$1001,MATCH(ROWS($AF$2:AF193),$AF$2:$AF$1001,0),0), INDEX($AM$1004:$BM$1004,1,MATCH(COLUMNS($AM$1006:AR1006),$AM$1006:$BM$1006,0)))),"Fix")))</f>
        <v xml:space="preserve"> </v>
      </c>
      <c r="H193" s="4" t="str">
        <f ca="1">IF(OR(INDEX($AG$2:$AG$1001,MATCH(ROWS($AF$2:AF193),$AF$2:$AF$1001,0),1)&gt;=100000,INDEX($AM$1005:$BM$1005,1,MATCH(COLUMNS($AM$1006:AS1006),$AM$1006:$BM$1006,0))&gt;=100000), " ",IF(INDEX($AM$2:$BM$1001,MATCH(ROWS($AF$2:AF193),$AF$2:$AF$1001,0),MATCH(COLUMNS($AM$1006:AS1006),$AM$1006:$BM$1006,0)), HYPERLINK("#",""), HYPERLINK(CONCATENATE("#metadata!", ADDRESS(INDEX($AH$2:$AH$1001,MATCH(ROWS($AF$2:AF193),$AF$2:$AF$1001,0),0), INDEX($AM$1004:$BM$1004,1,MATCH(COLUMNS($AM$1006:AS1006),$AM$1006:$BM$1006,0)))),"Fix")))</f>
        <v xml:space="preserve"> </v>
      </c>
      <c r="I193" s="4" t="str">
        <f ca="1">IF(OR(INDEX($AG$2:$AG$1001,MATCH(ROWS($AF$2:AF193),$AF$2:$AF$1001,0),1)&gt;=100000,INDEX($AM$1005:$BM$1005,1,MATCH(COLUMNS($AM$1006:AT1006),$AM$1006:$BM$1006,0))&gt;=100000), " ",IF(INDEX($AM$2:$BM$1001,MATCH(ROWS($AF$2:AF193),$AF$2:$AF$1001,0),MATCH(COLUMNS($AM$1006:AT1006),$AM$1006:$BM$1006,0)), HYPERLINK("#",""), HYPERLINK(CONCATENATE("#metadata!", ADDRESS(INDEX($AH$2:$AH$1001,MATCH(ROWS($AF$2:AF193),$AF$2:$AF$1001,0),0), INDEX($AM$1004:$BM$1004,1,MATCH(COLUMNS($AM$1006:AT1006),$AM$1006:$BM$1006,0)))),"Fix")))</f>
        <v xml:space="preserve"> </v>
      </c>
      <c r="J193" s="4" t="str">
        <f ca="1">IF(OR(INDEX($AG$2:$AG$1001,MATCH(ROWS($AF$2:AF193),$AF$2:$AF$1001,0),1)&gt;=100000,INDEX($AM$1005:$BM$1005,1,MATCH(COLUMNS($AM$1006:AU1006),$AM$1006:$BM$1006,0))&gt;=100000), " ",IF(INDEX($AM$2:$BM$1001,MATCH(ROWS($AF$2:AF193),$AF$2:$AF$1001,0),MATCH(COLUMNS($AM$1006:AU1006),$AM$1006:$BM$1006,0)), HYPERLINK("#",""), HYPERLINK(CONCATENATE("#metadata!", ADDRESS(INDEX($AH$2:$AH$1001,MATCH(ROWS($AF$2:AF193),$AF$2:$AF$1001,0),0), INDEX($AM$1004:$BM$1004,1,MATCH(COLUMNS($AM$1006:AU1006),$AM$1006:$BM$1006,0)))),"Fix")))</f>
        <v xml:space="preserve"> </v>
      </c>
      <c r="K193" s="4" t="str">
        <f ca="1">IF(OR(INDEX($AG$2:$AG$1001,MATCH(ROWS($AF$2:AF193),$AF$2:$AF$1001,0),1)&gt;=100000,INDEX($AM$1005:$BM$1005,1,MATCH(COLUMNS($AM$1006:AV1006),$AM$1006:$BM$1006,0))&gt;=100000), " ",IF(INDEX($AM$2:$BM$1001,MATCH(ROWS($AF$2:AF193),$AF$2:$AF$1001,0),MATCH(COLUMNS($AM$1006:AV1006),$AM$1006:$BM$1006,0)), HYPERLINK("#",""), HYPERLINK(CONCATENATE("#metadata!", ADDRESS(INDEX($AH$2:$AH$1001,MATCH(ROWS($AF$2:AF193),$AF$2:$AF$1001,0),0), INDEX($AM$1004:$BM$1004,1,MATCH(COLUMNS($AM$1006:AV1006),$AM$1006:$BM$1006,0)))),"Fix")))</f>
        <v xml:space="preserve"> </v>
      </c>
      <c r="L193" s="4" t="str">
        <f ca="1">IF(OR(INDEX($AG$2:$AG$1001,MATCH(ROWS($AF$2:AF193),$AF$2:$AF$1001,0),1)&gt;=100000,INDEX($AM$1005:$BM$1005,1,MATCH(COLUMNS($AM$1006:AW1006),$AM$1006:$BM$1006,0))&gt;=100000), " ",IF(INDEX($AM$2:$BM$1001,MATCH(ROWS($AF$2:AF193),$AF$2:$AF$1001,0),MATCH(COLUMNS($AM$1006:AW1006),$AM$1006:$BM$1006,0)), HYPERLINK("#",""), HYPERLINK(CONCATENATE("#metadata!", ADDRESS(INDEX($AH$2:$AH$1001,MATCH(ROWS($AF$2:AF193),$AF$2:$AF$1001,0),0), INDEX($AM$1004:$BM$1004,1,MATCH(COLUMNS($AM$1006:AW1006),$AM$1006:$BM$1006,0)))),"Fix")))</f>
        <v xml:space="preserve"> </v>
      </c>
      <c r="M193" s="4" t="str">
        <f ca="1">IF(OR(INDEX($AG$2:$AG$1001,MATCH(ROWS($AF$2:AF193),$AF$2:$AF$1001,0),1)&gt;=100000,INDEX($AM$1005:$BM$1005,1,MATCH(COLUMNS($AM$1006:AX1006),$AM$1006:$BM$1006,0))&gt;=100000), " ",IF(INDEX($AM$2:$BM$1001,MATCH(ROWS($AF$2:AF193),$AF$2:$AF$1001,0),MATCH(COLUMNS($AM$1006:AX1006),$AM$1006:$BM$1006,0)), HYPERLINK("#",""), HYPERLINK(CONCATENATE("#metadata!", ADDRESS(INDEX($AH$2:$AH$1001,MATCH(ROWS($AF$2:AF193),$AF$2:$AF$1001,0),0), INDEX($AM$1004:$BM$1004,1,MATCH(COLUMNS($AM$1006:AX1006),$AM$1006:$BM$1006,0)))),"Fix")))</f>
        <v xml:space="preserve"> </v>
      </c>
      <c r="N193" s="4" t="str">
        <f ca="1">IF(OR(INDEX($AG$2:$AG$1001,MATCH(ROWS($AF$2:AF193),$AF$2:$AF$1001,0),1)&gt;=100000,INDEX($AM$1005:$BM$1005,1,MATCH(COLUMNS($AM$1006:AY1006),$AM$1006:$BM$1006,0))&gt;=100000), " ",IF(INDEX($AM$2:$BM$1001,MATCH(ROWS($AF$2:AF193),$AF$2:$AF$1001,0),MATCH(COLUMNS($AM$1006:AY1006),$AM$1006:$BM$1006,0)), HYPERLINK("#",""), HYPERLINK(CONCATENATE("#metadata!", ADDRESS(INDEX($AH$2:$AH$1001,MATCH(ROWS($AF$2:AF193),$AF$2:$AF$1001,0),0), INDEX($AM$1004:$BM$1004,1,MATCH(COLUMNS($AM$1006:AY1006),$AM$1006:$BM$1006,0)))),"Fix")))</f>
        <v xml:space="preserve"> </v>
      </c>
      <c r="O193" s="4" t="str">
        <f ca="1">IF(OR(INDEX($AG$2:$AG$1001,MATCH(ROWS($AF$2:AF193),$AF$2:$AF$1001,0),1)&gt;=100000,INDEX($AM$1005:$BM$1005,1,MATCH(COLUMNS($AM$1006:AZ1006),$AM$1006:$BM$1006,0))&gt;=100000), " ",IF(INDEX($AM$2:$BM$1001,MATCH(ROWS($AF$2:AF193),$AF$2:$AF$1001,0),MATCH(COLUMNS($AM$1006:AZ1006),$AM$1006:$BM$1006,0)), HYPERLINK("#",""), HYPERLINK(CONCATENATE("#metadata!", ADDRESS(INDEX($AH$2:$AH$1001,MATCH(ROWS($AF$2:AF193),$AF$2:$AF$1001,0),0), INDEX($AM$1004:$BM$1004,1,MATCH(COLUMNS($AM$1006:AZ1006),$AM$1006:$BM$1006,0)))),"Fix")))</f>
        <v xml:space="preserve"> </v>
      </c>
      <c r="P193" s="4" t="str">
        <f ca="1">IF(OR(INDEX($AG$2:$AG$1001,MATCH(ROWS($AF$2:AF193),$AF$2:$AF$1001,0),1)&gt;=100000,INDEX($AM$1005:$BM$1005,1,MATCH(COLUMNS($AM$1006:BA1006),$AM$1006:$BM$1006,0))&gt;=100000), " ",IF(INDEX($AM$2:$BM$1001,MATCH(ROWS($AF$2:AF193),$AF$2:$AF$1001,0),MATCH(COLUMNS($AM$1006:BA1006),$AM$1006:$BM$1006,0)), HYPERLINK("#",""), HYPERLINK(CONCATENATE("#metadata!", ADDRESS(INDEX($AH$2:$AH$1001,MATCH(ROWS($AF$2:AF193),$AF$2:$AF$1001,0),0), INDEX($AM$1004:$BM$1004,1,MATCH(COLUMNS($AM$1006:BA1006),$AM$1006:$BM$1006,0)))),"Fix")))</f>
        <v xml:space="preserve"> </v>
      </c>
      <c r="Q193" s="4" t="str">
        <f ca="1">IF(OR(INDEX($AG$2:$AG$1001,MATCH(ROWS($AF$2:AF193),$AF$2:$AF$1001,0),1)&gt;=100000,INDEX($AM$1005:$BM$1005,1,MATCH(COLUMNS($AM$1006:BB1006),$AM$1006:$BM$1006,0))&gt;=100000), " ",IF(INDEX($AM$2:$BM$1001,MATCH(ROWS($AF$2:AF193),$AF$2:$AF$1001,0),MATCH(COLUMNS($AM$1006:BB1006),$AM$1006:$BM$1006,0)), HYPERLINK("#",""), HYPERLINK(CONCATENATE("#metadata!", ADDRESS(INDEX($AH$2:$AH$1001,MATCH(ROWS($AF$2:AF193),$AF$2:$AF$1001,0),0), INDEX($AM$1004:$BM$1004,1,MATCH(COLUMNS($AM$1006:BB1006),$AM$1006:$BM$1006,0)))),"Fix")))</f>
        <v xml:space="preserve"> </v>
      </c>
      <c r="R193" s="4" t="str">
        <f ca="1">IF(OR(INDEX($AG$2:$AG$1001,MATCH(ROWS($AF$2:AF193),$AF$2:$AF$1001,0),1)&gt;=100000,INDEX($AM$1005:$BM$1005,1,MATCH(COLUMNS($AM$1006:BC1006),$AM$1006:$BM$1006,0))&gt;=100000), " ",IF(INDEX($AM$2:$BM$1001,MATCH(ROWS($AF$2:AF193),$AF$2:$AF$1001,0),MATCH(COLUMNS($AM$1006:BC1006),$AM$1006:$BM$1006,0)), HYPERLINK("#",""), HYPERLINK(CONCATENATE("#metadata!", ADDRESS(INDEX($AH$2:$AH$1001,MATCH(ROWS($AF$2:AF193),$AF$2:$AF$1001,0),0), INDEX($AM$1004:$BM$1004,1,MATCH(COLUMNS($AM$1006:BC1006),$AM$1006:$BM$1006,0)))),"Fix")))</f>
        <v xml:space="preserve"> </v>
      </c>
      <c r="S193" s="4" t="str">
        <f ca="1">IF(OR(INDEX($AG$2:$AG$1001,MATCH(ROWS($AF$2:AF193),$AF$2:$AF$1001,0),1)&gt;=100000,INDEX($AM$1005:$BM$1005,1,MATCH(COLUMNS($AM$1006:BD1006),$AM$1006:$BM$1006,0))&gt;=100000), " ",IF(INDEX($AM$2:$BM$1001,MATCH(ROWS($AF$2:AF193),$AF$2:$AF$1001,0),MATCH(COLUMNS($AM$1006:BD1006),$AM$1006:$BM$1006,0)), HYPERLINK("#",""), HYPERLINK(CONCATENATE("#metadata!", ADDRESS(INDEX($AH$2:$AH$1001,MATCH(ROWS($AF$2:AF193),$AF$2:$AF$1001,0),0), INDEX($AM$1004:$BM$1004,1,MATCH(COLUMNS($AM$1006:BD1006),$AM$1006:$BM$1006,0)))),"Fix")))</f>
        <v xml:space="preserve"> </v>
      </c>
      <c r="T193" s="4" t="str">
        <f ca="1">IF(OR(INDEX($AG$2:$AG$1001,MATCH(ROWS($AF$2:AF193),$AF$2:$AF$1001,0),1)&gt;=100000,INDEX($AM$1005:$BM$1005,1,MATCH(COLUMNS($AM$1006:BE1006),$AM$1006:$BM$1006,0))&gt;=100000), " ",IF(INDEX($AM$2:$BM$1001,MATCH(ROWS($AF$2:AF193),$AF$2:$AF$1001,0),MATCH(COLUMNS($AM$1006:BE1006),$AM$1006:$BM$1006,0)), HYPERLINK("#",""), HYPERLINK(CONCATENATE("#metadata!", ADDRESS(INDEX($AH$2:$AH$1001,MATCH(ROWS($AF$2:AF193),$AF$2:$AF$1001,0),0), INDEX($AM$1004:$BM$1004,1,MATCH(COLUMNS($AM$1006:BE1006),$AM$1006:$BM$1006,0)))),"Fix")))</f>
        <v xml:space="preserve"> </v>
      </c>
      <c r="U193" s="4" t="str">
        <f ca="1">IF(OR(INDEX($AG$2:$AG$1001,MATCH(ROWS($AF$2:AF193),$AF$2:$AF$1001,0),1)&gt;=100000,INDEX($AM$1005:$BM$1005,1,MATCH(COLUMNS($AM$1006:BF1006),$AM$1006:$BM$1006,0))&gt;=100000), " ",IF(INDEX($AM$2:$BM$1001,MATCH(ROWS($AF$2:AF193),$AF$2:$AF$1001,0),MATCH(COLUMNS($AM$1006:BF1006),$AM$1006:$BM$1006,0)), HYPERLINK("#",""), HYPERLINK(CONCATENATE("#metadata!", ADDRESS(INDEX($AH$2:$AH$1001,MATCH(ROWS($AF$2:AF193),$AF$2:$AF$1001,0),0), INDEX($AM$1004:$BM$1004,1,MATCH(COLUMNS($AM$1006:BF1006),$AM$1006:$BM$1006,0)))),"Fix")))</f>
        <v xml:space="preserve"> </v>
      </c>
      <c r="V193" s="4" t="str">
        <f ca="1">IF(OR(INDEX($AG$2:$AG$1001,MATCH(ROWS($AF$2:AF193),$AF$2:$AF$1001,0),1)&gt;=100000,INDEX($AM$1005:$BM$1005,1,MATCH(COLUMNS($AM$1006:BG1006),$AM$1006:$BM$1006,0))&gt;=100000), " ",IF(INDEX($AM$2:$BM$1001,MATCH(ROWS($AF$2:AF193),$AF$2:$AF$1001,0),MATCH(COLUMNS($AM$1006:BG1006),$AM$1006:$BM$1006,0)), HYPERLINK("#",""), HYPERLINK(CONCATENATE("#metadata!", ADDRESS(INDEX($AH$2:$AH$1001,MATCH(ROWS($AF$2:AF193),$AF$2:$AF$1001,0),0), INDEX($AM$1004:$BM$1004,1,MATCH(COLUMNS($AM$1006:BG1006),$AM$1006:$BM$1006,0)))),"Fix")))</f>
        <v xml:space="preserve"> </v>
      </c>
      <c r="W193" s="4" t="str">
        <f ca="1">IF(OR(INDEX($AG$2:$AG$1001,MATCH(ROWS($AF$2:AF193),$AF$2:$AF$1001,0),1)&gt;=100000,INDEX($AM$1005:$BM$1005,1,MATCH(COLUMNS($AM$1006:BH1006),$AM$1006:$BM$1006,0))&gt;=100000), " ",IF(INDEX($AM$2:$BM$1001,MATCH(ROWS($AF$2:AF193),$AF$2:$AF$1001,0),MATCH(COLUMNS($AM$1006:BH1006),$AM$1006:$BM$1006,0)), HYPERLINK("#",""), HYPERLINK(CONCATENATE("#metadata!", ADDRESS(INDEX($AH$2:$AH$1001,MATCH(ROWS($AF$2:AF193),$AF$2:$AF$1001,0),0), INDEX($AM$1004:$BM$1004,1,MATCH(COLUMNS($AM$1006:BH1006),$AM$1006:$BM$1006,0)))),"Fix")))</f>
        <v xml:space="preserve"> </v>
      </c>
      <c r="X193" s="4" t="str">
        <f ca="1">IF(OR(INDEX($AG$2:$AG$1001,MATCH(ROWS($AF$2:AF193),$AF$2:$AF$1001,0),1)&gt;=100000,INDEX($AM$1005:$BM$1005,1,MATCH(COLUMNS($AM$1006:BI1006),$AM$1006:$BM$1006,0))&gt;=100000), " ",IF(INDEX($AM$2:$BM$1001,MATCH(ROWS($AF$2:AF193),$AF$2:$AF$1001,0),MATCH(COLUMNS($AM$1006:BI1006),$AM$1006:$BM$1006,0)), HYPERLINK("#",""), HYPERLINK(CONCATENATE("#metadata!", ADDRESS(INDEX($AH$2:$AH$1001,MATCH(ROWS($AF$2:AF193),$AF$2:$AF$1001,0),0), INDEX($AM$1004:$BM$1004,1,MATCH(COLUMNS($AM$1006:BI1006),$AM$1006:$BM$1006,0)))),"Fix")))</f>
        <v xml:space="preserve"> </v>
      </c>
      <c r="Y193" s="4" t="str">
        <f ca="1">IF(OR(INDEX($AG$2:$AG$1001,MATCH(ROWS($AF$2:AF193),$AF$2:$AF$1001,0),1)&gt;=100000,INDEX($AM$1005:$BM$1005,1,MATCH(COLUMNS($AM$1006:BJ1006),$AM$1006:$BM$1006,0))&gt;=100000), " ",IF(INDEX($AM$2:$BM$1001,MATCH(ROWS($AF$2:AF193),$AF$2:$AF$1001,0),MATCH(COLUMNS($AM$1006:BJ1006),$AM$1006:$BM$1006,0)), HYPERLINK("#",""), HYPERLINK(CONCATENATE("#metadata!", ADDRESS(INDEX($AH$2:$AH$1001,MATCH(ROWS($AF$2:AF193),$AF$2:$AF$1001,0),0), INDEX($AM$1004:$BM$1004,1,MATCH(COLUMNS($AM$1006:BJ1006),$AM$1006:$BM$1006,0)))),"Fix")))</f>
        <v xml:space="preserve"> </v>
      </c>
      <c r="Z193" s="4" t="str">
        <f ca="1">IF(OR(INDEX($AG$2:$AG$1001,MATCH(ROWS($AF$2:AF193),$AF$2:$AF$1001,0),1)&gt;=100000,INDEX($AM$1005:$BM$1005,1,MATCH(COLUMNS($AM$1006:BK1006),$AM$1006:$BM$1006,0))&gt;=100000), " ",IF(INDEX($AM$2:$BM$1001,MATCH(ROWS($AF$2:AF193),$AF$2:$AF$1001,0),MATCH(COLUMNS($AM$1006:BK1006),$AM$1006:$BM$1006,0)), HYPERLINK("#",""), HYPERLINK(CONCATENATE("#metadata!", ADDRESS(INDEX($AH$2:$AH$1001,MATCH(ROWS($AF$2:AF193),$AF$2:$AF$1001,0),0), INDEX($AM$1004:$BM$1004,1,MATCH(COLUMNS($AM$1006:BK1006),$AM$1006:$BM$1006,0)))),"Fix")))</f>
        <v xml:space="preserve"> </v>
      </c>
      <c r="AA193" s="4" t="str">
        <f ca="1">IF(OR(INDEX($AG$2:$AG$1001,MATCH(ROWS($AF$2:AF193),$AF$2:$AF$1001,0),1)&gt;=100000,INDEX($AM$1005:$BM$1005,1,MATCH(COLUMNS($AM$1006:BL1006),$AM$1006:$BM$1006,0))&gt;=100000), " ",IF(INDEX($AM$2:$BM$1001,MATCH(ROWS($AF$2:AF193),$AF$2:$AF$1001,0),MATCH(COLUMNS($AM$1006:BL1006),$AM$1006:$BM$1006,0)), HYPERLINK("#",""), HYPERLINK(CONCATENATE("#metadata!", ADDRESS(INDEX($AH$2:$AH$1001,MATCH(ROWS($AF$2:AF193),$AF$2:$AF$1001,0),0), INDEX($AM$1004:$BM$1004,1,MATCH(COLUMNS($AM$1006:BL1006),$AM$1006:$BM$1006,0)))),"Fix")))</f>
        <v xml:space="preserve"> </v>
      </c>
      <c r="AB193" s="4" t="str">
        <f ca="1">IF(OR(INDEX($AG$2:$AG$1001,MATCH(ROWS($AF$2:AF193),$AF$2:$AF$1001,0),1)&gt;=100000,INDEX($AM$1005:$BM$1005,1,MATCH(COLUMNS($AM$1006:BM1006),$AM$1006:$BM$1006,0))&gt;=100000), " ",IF(INDEX($AM$2:$BM$1001,MATCH(ROWS($AF$2:AF193),$AF$2:$AF$1001,0),MATCH(COLUMNS($AM$1006:BM1006),$AM$1006:$BM$1006,0)), HYPERLINK("#",""), HYPERLINK(CONCATENATE("#metadata!", ADDRESS(INDEX($AH$2:$AH$1001,MATCH(ROWS($AF$2:AF193),$AF$2:$AF$1001,0),0), INDEX($AM$1004:$BM$1004,1,MATCH(COLUMNS($AM$1006:BM1006),$AM$1006:$BM$1006,0)))),"Fix")))</f>
        <v xml:space="preserve"> </v>
      </c>
      <c r="AF193">
        <v>192</v>
      </c>
      <c r="AG193">
        <v>100193</v>
      </c>
      <c r="AH193">
        <v>193</v>
      </c>
      <c r="AI193" t="b">
        <f t="shared" si="2"/>
        <v>1</v>
      </c>
      <c r="AJ193" t="b">
        <f>COUNTBLANK(metadata!B193:AB193)=COLUMNS(metadata!B193:AB193)</f>
        <v>1</v>
      </c>
      <c r="AK193" t="str">
        <v/>
      </c>
      <c r="AM193" t="b">
        <f ca="1">AND(IF(metadata!B193="",FALSE,TRUE),COUNTIF(metadata!B:B, metadata!B193) = 1,NOT(ISERROR(SUMPRODUCT(SEARCH(MID(metadata!B193,ROW(INDIRECT("1:"&amp;LEN(metadata!B193))), 1),"0123456789abcdefghijklmnopqrstuvwxyzABCDEFGHIJKLMNOPQRSTUVWXYZ.")))))</f>
        <v>0</v>
      </c>
      <c r="AN193" t="b">
        <f ca="1">OR(AND(IF(metadata!C193="",FALSE,TRUE),OR(EXACT(metadata!C193,"missing: not collected"),EXACT(metadata!C193,"missing: not provided"),EXACT(metadata!C193,"missing: restricted access"))),AND(IF(metadata!C193="",FALSE,TRUE),AND(AND(IFERROR(INT(LEFT(metadata!C193,4))&gt;1900,FALSE),IFERROR(INT(LEFT(metadata!C193,4))&lt;=YEAR(NOW()),FALSE)), OR(MID(metadata!C193,5,1)="", AND(AND(MID(metadata!C193,5,1)="-",IFERROR(INT(MID(metadata!C193,6,1))&gt;=0,FALSE),IFERROR(INT(MID(metadata!C193,6,1))&lt;=1,FALSE),NOT(MID(metadata!C193,7,1)=""),IFERROR(INT(MID(metadata!C193,6,2))&gt;=1,FALSE),IFERROR(INT(MID(metadata!C193,6,2))&lt;=12,FALSE)), OR(MID(metadata!C193,8,1)="", AND(AND(MID(metadata!C193,8,1)="-",IFERROR(INT(MID(metadata!C193,9,1))&gt;=0,FALSE),IFERROR(INT(MID(metadata!C193,9,1))&lt;=3,FALSE),NOT(MID(metadata!C193,10,1)=""),IFERROR(INT(MID(metadata!C193,9,2))&gt;=1,FALSE),IFERROR(INT(MID(metadata!C193,9,2))&lt;=31,FALSE)), OR(MID(metadata!C193,11,1)="", AND(AND(MID(metadata!C193,11,1)=" ",IFERROR(INT(MID(metadata!C193,12,1))&gt;=0,FALSE),IFERROR(INT(MID(metadata!C193,12,1))&lt;=2,FALSE),NOT(MID(metadata!C193,13,1)=""),IFERROR(INT(MID(metadata!C193,12,2))&gt;=0,FALSE),IFERROR(INT(MID(metadata!C193,12,2))&lt;=23,FALSE)), OR(MID(metadata!C193,14,1)="", AND(AND(MID(metadata!C193,14,1)=":",IFERROR(INT(MID(metadata!C193,15,1))&gt;=0,FALSE),IFERROR(INT(MID(metadata!C193,15,1))&lt;=5,FALSE),NOT(MID(metadata!C193,16,1)=""),IFERROR(INT(MID(metadata!C193,15,2))&gt;=0,FALSE),IFERROR(INT(MID(metadata!C193,15,2))&lt;=59,FALSE)), OR(MID(metadata!C193,17,1)="", AND(AND(MID(metadata!C193,17,1)=":",IFERROR(INT(MID(metadata!C193,18,1))&gt;=0,FALSE),IFERROR(INT(MID(metadata!C193,18,1))&lt;=5,FALSE),NOT(MID(metadata!C193,19,1)=""),IFERROR(INT(MID(metadata!C193,18,2))&gt;=0,FALSE),IFERROR(INT(MID(metadata!C193,18,2))&lt;=59,FALSE)), LEN(metadata!C193)&lt;=19)))))))))))))</f>
        <v>0</v>
      </c>
      <c r="AO193" t="b">
        <f>AND(IF(metadata!D193="",FALSE,TRUE),EXACT(metadata!D193,"Not applicable"))</f>
        <v>0</v>
      </c>
      <c r="AP193" t="b">
        <f>IF(metadata!E193="",FALSE,TRUE)</f>
        <v>0</v>
      </c>
      <c r="AQ193" t="b">
        <f>OR(AND(IF(metadata!F193="",FALSE,TRUE),OR(EXACT(metadata!F193,"missing: not collected"),EXACT(metadata!F193,"missing: not provided"))),AND(IF(metadata!F193="",FALSE,TRUE),OR(EXACT(metadata!F193,"TRUE"),EXACT(metadata!F193,"FALSE"))))</f>
        <v>0</v>
      </c>
      <c r="AR193" t="b">
        <f>OR(AND(IF(metadata!G193="",FALSE,TRUE),OR(EXACT(metadata!G193,"missing: not collected"),EXACT(metadata!G193,"missing: not provided"),EXACT(metadata!G193,"missing: restricted access"))),AND(IF(metadata!G193="",FALSE,ISNUMBER(VALUE(metadata!G193))),metadata!G193&gt;=-413))</f>
        <v>0</v>
      </c>
      <c r="AS193" t="b">
        <f>AND(IF(metadata!H193="",FALSE,TRUE),EXACT(metadata!H193,"meters"))</f>
        <v>0</v>
      </c>
      <c r="AT193" t="b">
        <f>AND(IF(metadata!I193="",FALSE,TRUE),OR(EXACT(metadata!I193,"Host-associated"),EXACT(metadata!I193,"Free-living")))</f>
        <v>0</v>
      </c>
      <c r="AU193" t="b">
        <f>AND(IF(metadata!J193="",FALSE,TRUE),OR(EXACT(metadata!J193,"Animal"),EXACT(metadata!J193,"Fungus"),EXACT(metadata!J193,"Plant"),EXACT(metadata!J193,"Saline"),EXACT(metadata!J193,"Non-saline")))</f>
        <v>0</v>
      </c>
      <c r="AV193" t="b">
        <f>AND(IF(metadata!K193="",FALSE,TRUE),OR(EXACT(metadata!K193,"Plant secretion"),EXACT(metadata!K193,"Plant rhizosphere"),EXACT(metadata!K193,"Plant surface"),EXACT(metadata!K193,"Plant corpus"),EXACT(metadata!K193,"Fungus surface"),EXACT(metadata!K193,"Fungus corpus"),EXACT(metadata!K193,"Animal surface"),EXACT(metadata!K193,"Animal proximal gut"),EXACT(metadata!K193,"Animal corpus"),EXACT(metadata!K193,"Animal distal gut"),EXACT(metadata!K193,"Animal secretion"),EXACT(metadata!K193,"Sub-surface (non-saline)"),EXACT(metadata!K193,"Surface (non-saline)"),EXACT(metadata!K193,"Water (non-saline)"),EXACT(metadata!K193,"Soil (non-saline)"),EXACT(metadata!K193,"Aerosol (non-saline)"),EXACT(metadata!K193,"Sediment (non-saline)"),EXACT(metadata!K193,"Surface (saline)"),EXACT(metadata!K193,"Water (saline)"),EXACT(metadata!K193,"Hypersaline (saline)"),EXACT(metadata!K193,"Aerosol (saline)"),EXACT(metadata!K193,"Sediment (saline)")))</f>
        <v>0</v>
      </c>
      <c r="AW193" t="b">
        <f>IF(metadata!L193="",FALSE,TRUE)</f>
        <v>0</v>
      </c>
      <c r="AX193" t="b">
        <f>IF(metadata!M193="",FALSE,TRUE)</f>
        <v>0</v>
      </c>
      <c r="AY193" t="b">
        <f>IF(metadata!N193="",FALSE,TRUE)</f>
        <v>0</v>
      </c>
      <c r="AZ193" t="b">
        <f>OR(AND(IF(metadata!O193="",FALSE,TRUE),OR(EXACT(metadata!O193,"missing: not collected"),EXACT(metadata!O193,"missing: not provided"),EXACT(metadata!O193,"missing: restricted access"))),AND(IF(metadata!O193="",FALSE,TRUE),OR(EXACT(metadata!O193,"air"),EXACT(metadata!O193,"built environment"),EXACT(metadata!O193,"host-associated"),EXACT(metadata!O193,"human-associated"),EXACT(metadata!O193,"human-skin"),EXACT(metadata!O193,"human-oral"),EXACT(metadata!O193,"human-gut"),EXACT(metadata!O193,"human-vaginal"),EXACT(metadata!O193,"microbial mat/biofilm"),EXACT(metadata!O193,"misc environment"),EXACT(metadata!O193,"plant-associated"),EXACT(metadata!O193,"sediment"),EXACT(metadata!O193,"soil"),EXACT(metadata!O193,"wastewater/sludge"),EXACT(metadata!O193,"water"))))</f>
        <v>0</v>
      </c>
      <c r="BA193" t="b">
        <f>IF(metadata!P193="",FALSE,TRUE)</f>
        <v>0</v>
      </c>
      <c r="BB193" t="b">
        <f>IF(metadata!Q193="",FALSE,TRUE)</f>
        <v>0</v>
      </c>
      <c r="BC193" t="b">
        <f>OR(AND(IF(metadata!R193="",FALSE,TRUE),OR(EXACT(metadata!R193,"missing: not collected"),EXACT(metadata!R193,"missing: not provided"),EXACT(metadata!R193,"missing: restricted access"))),AND(IF(metadata!R193="",FALSE,ISNUMBER(VALUE(metadata!R193))),metadata!R193&gt;=-90,metadata!R193&lt;=90))</f>
        <v>0</v>
      </c>
      <c r="BD193" t="b">
        <f>AND(IF(metadata!S193="",FALSE,TRUE),EXACT(metadata!S193,"Decimal degrees"))</f>
        <v>0</v>
      </c>
      <c r="BE193" t="b">
        <f>OR(AND(IF(metadata!T193="",FALSE,TRUE),OR(EXACT(metadata!T193,"missing: not collected"),EXACT(metadata!T193,"missing: not provided"),EXACT(metadata!T193,"missing: restricted access"))),AND(IF(metadata!T193="",FALSE,ISNUMBER(VALUE(metadata!T193))),metadata!T193&gt;=-180,metadata!T193&lt;=180))</f>
        <v>0</v>
      </c>
      <c r="BF193" t="b">
        <f>AND(IF(metadata!U193="",FALSE,TRUE),EXACT(metadata!U193,"Decimal degrees"))</f>
        <v>0</v>
      </c>
      <c r="BG193" t="b">
        <f>IF(metadata!V193="",FALSE,TRUE)</f>
        <v>0</v>
      </c>
      <c r="BH193" t="b">
        <f>OR(AND(IF(metadata!W193="",FALSE,TRUE),OR(EXACT(metadata!W193,"missing: not collected"),EXACT(metadata!W193,"missing: not provided"),EXACT(metadata!W193,"missing: restricted access"))),AND(IF(metadata!W193="",FALSE,TRUE),OR(EXACT(metadata!W193,"TRUE"),EXACT(metadata!W193,"FALSE"))))</f>
        <v>0</v>
      </c>
      <c r="BI193" t="b">
        <f>AND(IF(metadata!X193="",FALSE,TRUE),EXACT(metadata!X193,"other"))</f>
        <v>0</v>
      </c>
      <c r="BJ193" t="b">
        <f>IF(metadata!Y193="",FALSE,TRUE)</f>
        <v>0</v>
      </c>
      <c r="BK193" t="b">
        <f>OR(AND(IF(metadata!Z193="",FALSE,TRUE),OR(EXACT(metadata!Z193,"missing: not collected"),EXACT(metadata!Z193,"missing: not provided"))),AND(IF(metadata!Z193="",FALSE,IF(ISERROR(INT(metadata!Z193)),FALSE,INT(metadata!Z193)=metadata!Z193)),metadata!Z193&gt;0))</f>
        <v>0</v>
      </c>
      <c r="BL193" t="b">
        <f>AND(IF(metadata!AA193="",FALSE,TRUE),EXACT(metadata!AA193,"Not applicable"))</f>
        <v>0</v>
      </c>
      <c r="BM193" t="b">
        <f>IF(metadata!AB193="",FALSE,TRUE)</f>
        <v>0</v>
      </c>
    </row>
    <row r="194" spans="1:65" x14ac:dyDescent="0.2">
      <c r="A194" s="5" t="str">
        <f ca="1">IF(B194=" "," ",HYPERLINK(CONCATENATE("#metadata!",ADDRESS(INDEX($AH$2:$AH$1001,MATCH(ROWS($AF$2:AF194),$AF$2:$AF$1001,0),0),1)),INDEX($AK$2:$AK$1001,MATCH(ROWS($AF$2:AF194),$AF$2:$AF$1001,0),0)))</f>
        <v xml:space="preserve"> </v>
      </c>
      <c r="B194" s="4" t="str">
        <f ca="1">IF(OR(INDEX($AG$2:$AG$1001,MATCH(ROWS($AF$2:AF194),$AF$2:$AF$1001,0),1)&gt;=100000,INDEX($AM$1005:$BM$1005,1,MATCH(COLUMNS($AM$1006:AM1006),$AM$1006:$BM$1006,0))&gt;=100000), " ",IF(INDEX($AM$2:$BM$1001,MATCH(ROWS($AF$2:AF194),$AF$2:$AF$1001,0),MATCH(COLUMNS($AM$1006:AM1006),$AM$1006:$BM$1006,0)), HYPERLINK("#",""), HYPERLINK(CONCATENATE("#metadata!", ADDRESS(INDEX($AH$2:$AH$1001,MATCH(ROWS($AF$2:AF194),$AF$2:$AF$1001,0),0), INDEX($AM$1004:$BM$1004,1,MATCH(COLUMNS($AM$1006:AM1006),$AM$1006:$BM$1006,0)))),"Fix")))</f>
        <v xml:space="preserve"> </v>
      </c>
      <c r="C194" s="4" t="str">
        <f ca="1">IF(OR(INDEX($AG$2:$AG$1001,MATCH(ROWS($AF$2:AF194),$AF$2:$AF$1001,0),1)&gt;=100000,INDEX($AM$1005:$BM$1005,1,MATCH(COLUMNS($AM$1006:AN1006),$AM$1006:$BM$1006,0))&gt;=100000), " ",IF(INDEX($AM$2:$BM$1001,MATCH(ROWS($AF$2:AF194),$AF$2:$AF$1001,0),MATCH(COLUMNS($AM$1006:AN1006),$AM$1006:$BM$1006,0)), HYPERLINK("#",""), HYPERLINK(CONCATENATE("#metadata!", ADDRESS(INDEX($AH$2:$AH$1001,MATCH(ROWS($AF$2:AF194),$AF$2:$AF$1001,0),0), INDEX($AM$1004:$BM$1004,1,MATCH(COLUMNS($AM$1006:AN1006),$AM$1006:$BM$1006,0)))),"Fix")))</f>
        <v xml:space="preserve"> </v>
      </c>
      <c r="D194" s="4" t="str">
        <f ca="1">IF(OR(INDEX($AG$2:$AG$1001,MATCH(ROWS($AF$2:AF194),$AF$2:$AF$1001,0),1)&gt;=100000,INDEX($AM$1005:$BM$1005,1,MATCH(COLUMNS($AM$1006:AO1006),$AM$1006:$BM$1006,0))&gt;=100000), " ",IF(INDEX($AM$2:$BM$1001,MATCH(ROWS($AF$2:AF194),$AF$2:$AF$1001,0),MATCH(COLUMNS($AM$1006:AO1006),$AM$1006:$BM$1006,0)), HYPERLINK("#",""), HYPERLINK(CONCATENATE("#metadata!", ADDRESS(INDEX($AH$2:$AH$1001,MATCH(ROWS($AF$2:AF194),$AF$2:$AF$1001,0),0), INDEX($AM$1004:$BM$1004,1,MATCH(COLUMNS($AM$1006:AO1006),$AM$1006:$BM$1006,0)))),"Fix")))</f>
        <v xml:space="preserve"> </v>
      </c>
      <c r="E194" s="4" t="str">
        <f ca="1">IF(OR(INDEX($AG$2:$AG$1001,MATCH(ROWS($AF$2:AF194),$AF$2:$AF$1001,0),1)&gt;=100000,INDEX($AM$1005:$BM$1005,1,MATCH(COLUMNS($AM$1006:AP1006),$AM$1006:$BM$1006,0))&gt;=100000), " ",IF(INDEX($AM$2:$BM$1001,MATCH(ROWS($AF$2:AF194),$AF$2:$AF$1001,0),MATCH(COLUMNS($AM$1006:AP1006),$AM$1006:$BM$1006,0)), HYPERLINK("#",""), HYPERLINK(CONCATENATE("#metadata!", ADDRESS(INDEX($AH$2:$AH$1001,MATCH(ROWS($AF$2:AF194),$AF$2:$AF$1001,0),0), INDEX($AM$1004:$BM$1004,1,MATCH(COLUMNS($AM$1006:AP1006),$AM$1006:$BM$1006,0)))),"Fix")))</f>
        <v xml:space="preserve"> </v>
      </c>
      <c r="F194" s="4" t="str">
        <f ca="1">IF(OR(INDEX($AG$2:$AG$1001,MATCH(ROWS($AF$2:AF194),$AF$2:$AF$1001,0),1)&gt;=100000,INDEX($AM$1005:$BM$1005,1,MATCH(COLUMNS($AM$1006:AQ1006),$AM$1006:$BM$1006,0))&gt;=100000), " ",IF(INDEX($AM$2:$BM$1001,MATCH(ROWS($AF$2:AF194),$AF$2:$AF$1001,0),MATCH(COLUMNS($AM$1006:AQ1006),$AM$1006:$BM$1006,0)), HYPERLINK("#",""), HYPERLINK(CONCATENATE("#metadata!", ADDRESS(INDEX($AH$2:$AH$1001,MATCH(ROWS($AF$2:AF194),$AF$2:$AF$1001,0),0), INDEX($AM$1004:$BM$1004,1,MATCH(COLUMNS($AM$1006:AQ1006),$AM$1006:$BM$1006,0)))),"Fix")))</f>
        <v xml:space="preserve"> </v>
      </c>
      <c r="G194" s="4" t="str">
        <f ca="1">IF(OR(INDEX($AG$2:$AG$1001,MATCH(ROWS($AF$2:AF194),$AF$2:$AF$1001,0),1)&gt;=100000,INDEX($AM$1005:$BM$1005,1,MATCH(COLUMNS($AM$1006:AR1006),$AM$1006:$BM$1006,0))&gt;=100000), " ",IF(INDEX($AM$2:$BM$1001,MATCH(ROWS($AF$2:AF194),$AF$2:$AF$1001,0),MATCH(COLUMNS($AM$1006:AR1006),$AM$1006:$BM$1006,0)), HYPERLINK("#",""), HYPERLINK(CONCATENATE("#metadata!", ADDRESS(INDEX($AH$2:$AH$1001,MATCH(ROWS($AF$2:AF194),$AF$2:$AF$1001,0),0), INDEX($AM$1004:$BM$1004,1,MATCH(COLUMNS($AM$1006:AR1006),$AM$1006:$BM$1006,0)))),"Fix")))</f>
        <v xml:space="preserve"> </v>
      </c>
      <c r="H194" s="4" t="str">
        <f ca="1">IF(OR(INDEX($AG$2:$AG$1001,MATCH(ROWS($AF$2:AF194),$AF$2:$AF$1001,0),1)&gt;=100000,INDEX($AM$1005:$BM$1005,1,MATCH(COLUMNS($AM$1006:AS1006),$AM$1006:$BM$1006,0))&gt;=100000), " ",IF(INDEX($AM$2:$BM$1001,MATCH(ROWS($AF$2:AF194),$AF$2:$AF$1001,0),MATCH(COLUMNS($AM$1006:AS1006),$AM$1006:$BM$1006,0)), HYPERLINK("#",""), HYPERLINK(CONCATENATE("#metadata!", ADDRESS(INDEX($AH$2:$AH$1001,MATCH(ROWS($AF$2:AF194),$AF$2:$AF$1001,0),0), INDEX($AM$1004:$BM$1004,1,MATCH(COLUMNS($AM$1006:AS1006),$AM$1006:$BM$1006,0)))),"Fix")))</f>
        <v xml:space="preserve"> </v>
      </c>
      <c r="I194" s="4" t="str">
        <f ca="1">IF(OR(INDEX($AG$2:$AG$1001,MATCH(ROWS($AF$2:AF194),$AF$2:$AF$1001,0),1)&gt;=100000,INDEX($AM$1005:$BM$1005,1,MATCH(COLUMNS($AM$1006:AT1006),$AM$1006:$BM$1006,0))&gt;=100000), " ",IF(INDEX($AM$2:$BM$1001,MATCH(ROWS($AF$2:AF194),$AF$2:$AF$1001,0),MATCH(COLUMNS($AM$1006:AT1006),$AM$1006:$BM$1006,0)), HYPERLINK("#",""), HYPERLINK(CONCATENATE("#metadata!", ADDRESS(INDEX($AH$2:$AH$1001,MATCH(ROWS($AF$2:AF194),$AF$2:$AF$1001,0),0), INDEX($AM$1004:$BM$1004,1,MATCH(COLUMNS($AM$1006:AT1006),$AM$1006:$BM$1006,0)))),"Fix")))</f>
        <v xml:space="preserve"> </v>
      </c>
      <c r="J194" s="4" t="str">
        <f ca="1">IF(OR(INDEX($AG$2:$AG$1001,MATCH(ROWS($AF$2:AF194),$AF$2:$AF$1001,0),1)&gt;=100000,INDEX($AM$1005:$BM$1005,1,MATCH(COLUMNS($AM$1006:AU1006),$AM$1006:$BM$1006,0))&gt;=100000), " ",IF(INDEX($AM$2:$BM$1001,MATCH(ROWS($AF$2:AF194),$AF$2:$AF$1001,0),MATCH(COLUMNS($AM$1006:AU1006),$AM$1006:$BM$1006,0)), HYPERLINK("#",""), HYPERLINK(CONCATENATE("#metadata!", ADDRESS(INDEX($AH$2:$AH$1001,MATCH(ROWS($AF$2:AF194),$AF$2:$AF$1001,0),0), INDEX($AM$1004:$BM$1004,1,MATCH(COLUMNS($AM$1006:AU1006),$AM$1006:$BM$1006,0)))),"Fix")))</f>
        <v xml:space="preserve"> </v>
      </c>
      <c r="K194" s="4" t="str">
        <f ca="1">IF(OR(INDEX($AG$2:$AG$1001,MATCH(ROWS($AF$2:AF194),$AF$2:$AF$1001,0),1)&gt;=100000,INDEX($AM$1005:$BM$1005,1,MATCH(COLUMNS($AM$1006:AV1006),$AM$1006:$BM$1006,0))&gt;=100000), " ",IF(INDEX($AM$2:$BM$1001,MATCH(ROWS($AF$2:AF194),$AF$2:$AF$1001,0),MATCH(COLUMNS($AM$1006:AV1006),$AM$1006:$BM$1006,0)), HYPERLINK("#",""), HYPERLINK(CONCATENATE("#metadata!", ADDRESS(INDEX($AH$2:$AH$1001,MATCH(ROWS($AF$2:AF194),$AF$2:$AF$1001,0),0), INDEX($AM$1004:$BM$1004,1,MATCH(COLUMNS($AM$1006:AV1006),$AM$1006:$BM$1006,0)))),"Fix")))</f>
        <v xml:space="preserve"> </v>
      </c>
      <c r="L194" s="4" t="str">
        <f ca="1">IF(OR(INDEX($AG$2:$AG$1001,MATCH(ROWS($AF$2:AF194),$AF$2:$AF$1001,0),1)&gt;=100000,INDEX($AM$1005:$BM$1005,1,MATCH(COLUMNS($AM$1006:AW1006),$AM$1006:$BM$1006,0))&gt;=100000), " ",IF(INDEX($AM$2:$BM$1001,MATCH(ROWS($AF$2:AF194),$AF$2:$AF$1001,0),MATCH(COLUMNS($AM$1006:AW1006),$AM$1006:$BM$1006,0)), HYPERLINK("#",""), HYPERLINK(CONCATENATE("#metadata!", ADDRESS(INDEX($AH$2:$AH$1001,MATCH(ROWS($AF$2:AF194),$AF$2:$AF$1001,0),0), INDEX($AM$1004:$BM$1004,1,MATCH(COLUMNS($AM$1006:AW1006),$AM$1006:$BM$1006,0)))),"Fix")))</f>
        <v xml:space="preserve"> </v>
      </c>
      <c r="M194" s="4" t="str">
        <f ca="1">IF(OR(INDEX($AG$2:$AG$1001,MATCH(ROWS($AF$2:AF194),$AF$2:$AF$1001,0),1)&gt;=100000,INDEX($AM$1005:$BM$1005,1,MATCH(COLUMNS($AM$1006:AX1006),$AM$1006:$BM$1006,0))&gt;=100000), " ",IF(INDEX($AM$2:$BM$1001,MATCH(ROWS($AF$2:AF194),$AF$2:$AF$1001,0),MATCH(COLUMNS($AM$1006:AX1006),$AM$1006:$BM$1006,0)), HYPERLINK("#",""), HYPERLINK(CONCATENATE("#metadata!", ADDRESS(INDEX($AH$2:$AH$1001,MATCH(ROWS($AF$2:AF194),$AF$2:$AF$1001,0),0), INDEX($AM$1004:$BM$1004,1,MATCH(COLUMNS($AM$1006:AX1006),$AM$1006:$BM$1006,0)))),"Fix")))</f>
        <v xml:space="preserve"> </v>
      </c>
      <c r="N194" s="4" t="str">
        <f ca="1">IF(OR(INDEX($AG$2:$AG$1001,MATCH(ROWS($AF$2:AF194),$AF$2:$AF$1001,0),1)&gt;=100000,INDEX($AM$1005:$BM$1005,1,MATCH(COLUMNS($AM$1006:AY1006),$AM$1006:$BM$1006,0))&gt;=100000), " ",IF(INDEX($AM$2:$BM$1001,MATCH(ROWS($AF$2:AF194),$AF$2:$AF$1001,0),MATCH(COLUMNS($AM$1006:AY1006),$AM$1006:$BM$1006,0)), HYPERLINK("#",""), HYPERLINK(CONCATENATE("#metadata!", ADDRESS(INDEX($AH$2:$AH$1001,MATCH(ROWS($AF$2:AF194),$AF$2:$AF$1001,0),0), INDEX($AM$1004:$BM$1004,1,MATCH(COLUMNS($AM$1006:AY1006),$AM$1006:$BM$1006,0)))),"Fix")))</f>
        <v xml:space="preserve"> </v>
      </c>
      <c r="O194" s="4" t="str">
        <f ca="1">IF(OR(INDEX($AG$2:$AG$1001,MATCH(ROWS($AF$2:AF194),$AF$2:$AF$1001,0),1)&gt;=100000,INDEX($AM$1005:$BM$1005,1,MATCH(COLUMNS($AM$1006:AZ1006),$AM$1006:$BM$1006,0))&gt;=100000), " ",IF(INDEX($AM$2:$BM$1001,MATCH(ROWS($AF$2:AF194),$AF$2:$AF$1001,0),MATCH(COLUMNS($AM$1006:AZ1006),$AM$1006:$BM$1006,0)), HYPERLINK("#",""), HYPERLINK(CONCATENATE("#metadata!", ADDRESS(INDEX($AH$2:$AH$1001,MATCH(ROWS($AF$2:AF194),$AF$2:$AF$1001,0),0), INDEX($AM$1004:$BM$1004,1,MATCH(COLUMNS($AM$1006:AZ1006),$AM$1006:$BM$1006,0)))),"Fix")))</f>
        <v xml:space="preserve"> </v>
      </c>
      <c r="P194" s="4" t="str">
        <f ca="1">IF(OR(INDEX($AG$2:$AG$1001,MATCH(ROWS($AF$2:AF194),$AF$2:$AF$1001,0),1)&gt;=100000,INDEX($AM$1005:$BM$1005,1,MATCH(COLUMNS($AM$1006:BA1006),$AM$1006:$BM$1006,0))&gt;=100000), " ",IF(INDEX($AM$2:$BM$1001,MATCH(ROWS($AF$2:AF194),$AF$2:$AF$1001,0),MATCH(COLUMNS($AM$1006:BA1006),$AM$1006:$BM$1006,0)), HYPERLINK("#",""), HYPERLINK(CONCATENATE("#metadata!", ADDRESS(INDEX($AH$2:$AH$1001,MATCH(ROWS($AF$2:AF194),$AF$2:$AF$1001,0),0), INDEX($AM$1004:$BM$1004,1,MATCH(COLUMNS($AM$1006:BA1006),$AM$1006:$BM$1006,0)))),"Fix")))</f>
        <v xml:space="preserve"> </v>
      </c>
      <c r="Q194" s="4" t="str">
        <f ca="1">IF(OR(INDEX($AG$2:$AG$1001,MATCH(ROWS($AF$2:AF194),$AF$2:$AF$1001,0),1)&gt;=100000,INDEX($AM$1005:$BM$1005,1,MATCH(COLUMNS($AM$1006:BB1006),$AM$1006:$BM$1006,0))&gt;=100000), " ",IF(INDEX($AM$2:$BM$1001,MATCH(ROWS($AF$2:AF194),$AF$2:$AF$1001,0),MATCH(COLUMNS($AM$1006:BB1006),$AM$1006:$BM$1006,0)), HYPERLINK("#",""), HYPERLINK(CONCATENATE("#metadata!", ADDRESS(INDEX($AH$2:$AH$1001,MATCH(ROWS($AF$2:AF194),$AF$2:$AF$1001,0),0), INDEX($AM$1004:$BM$1004,1,MATCH(COLUMNS($AM$1006:BB1006),$AM$1006:$BM$1006,0)))),"Fix")))</f>
        <v xml:space="preserve"> </v>
      </c>
      <c r="R194" s="4" t="str">
        <f ca="1">IF(OR(INDEX($AG$2:$AG$1001,MATCH(ROWS($AF$2:AF194),$AF$2:$AF$1001,0),1)&gt;=100000,INDEX($AM$1005:$BM$1005,1,MATCH(COLUMNS($AM$1006:BC1006),$AM$1006:$BM$1006,0))&gt;=100000), " ",IF(INDEX($AM$2:$BM$1001,MATCH(ROWS($AF$2:AF194),$AF$2:$AF$1001,0),MATCH(COLUMNS($AM$1006:BC1006),$AM$1006:$BM$1006,0)), HYPERLINK("#",""), HYPERLINK(CONCATENATE("#metadata!", ADDRESS(INDEX($AH$2:$AH$1001,MATCH(ROWS($AF$2:AF194),$AF$2:$AF$1001,0),0), INDEX($AM$1004:$BM$1004,1,MATCH(COLUMNS($AM$1006:BC1006),$AM$1006:$BM$1006,0)))),"Fix")))</f>
        <v xml:space="preserve"> </v>
      </c>
      <c r="S194" s="4" t="str">
        <f ca="1">IF(OR(INDEX($AG$2:$AG$1001,MATCH(ROWS($AF$2:AF194),$AF$2:$AF$1001,0),1)&gt;=100000,INDEX($AM$1005:$BM$1005,1,MATCH(COLUMNS($AM$1006:BD1006),$AM$1006:$BM$1006,0))&gt;=100000), " ",IF(INDEX($AM$2:$BM$1001,MATCH(ROWS($AF$2:AF194),$AF$2:$AF$1001,0),MATCH(COLUMNS($AM$1006:BD1006),$AM$1006:$BM$1006,0)), HYPERLINK("#",""), HYPERLINK(CONCATENATE("#metadata!", ADDRESS(INDEX($AH$2:$AH$1001,MATCH(ROWS($AF$2:AF194),$AF$2:$AF$1001,0),0), INDEX($AM$1004:$BM$1004,1,MATCH(COLUMNS($AM$1006:BD1006),$AM$1006:$BM$1006,0)))),"Fix")))</f>
        <v xml:space="preserve"> </v>
      </c>
      <c r="T194" s="4" t="str">
        <f ca="1">IF(OR(INDEX($AG$2:$AG$1001,MATCH(ROWS($AF$2:AF194),$AF$2:$AF$1001,0),1)&gt;=100000,INDEX($AM$1005:$BM$1005,1,MATCH(COLUMNS($AM$1006:BE1006),$AM$1006:$BM$1006,0))&gt;=100000), " ",IF(INDEX($AM$2:$BM$1001,MATCH(ROWS($AF$2:AF194),$AF$2:$AF$1001,0),MATCH(COLUMNS($AM$1006:BE1006),$AM$1006:$BM$1006,0)), HYPERLINK("#",""), HYPERLINK(CONCATENATE("#metadata!", ADDRESS(INDEX($AH$2:$AH$1001,MATCH(ROWS($AF$2:AF194),$AF$2:$AF$1001,0),0), INDEX($AM$1004:$BM$1004,1,MATCH(COLUMNS($AM$1006:BE1006),$AM$1006:$BM$1006,0)))),"Fix")))</f>
        <v xml:space="preserve"> </v>
      </c>
      <c r="U194" s="4" t="str">
        <f ca="1">IF(OR(INDEX($AG$2:$AG$1001,MATCH(ROWS($AF$2:AF194),$AF$2:$AF$1001,0),1)&gt;=100000,INDEX($AM$1005:$BM$1005,1,MATCH(COLUMNS($AM$1006:BF1006),$AM$1006:$BM$1006,0))&gt;=100000), " ",IF(INDEX($AM$2:$BM$1001,MATCH(ROWS($AF$2:AF194),$AF$2:$AF$1001,0),MATCH(COLUMNS($AM$1006:BF1006),$AM$1006:$BM$1006,0)), HYPERLINK("#",""), HYPERLINK(CONCATENATE("#metadata!", ADDRESS(INDEX($AH$2:$AH$1001,MATCH(ROWS($AF$2:AF194),$AF$2:$AF$1001,0),0), INDEX($AM$1004:$BM$1004,1,MATCH(COLUMNS($AM$1006:BF1006),$AM$1006:$BM$1006,0)))),"Fix")))</f>
        <v xml:space="preserve"> </v>
      </c>
      <c r="V194" s="4" t="str">
        <f ca="1">IF(OR(INDEX($AG$2:$AG$1001,MATCH(ROWS($AF$2:AF194),$AF$2:$AF$1001,0),1)&gt;=100000,INDEX($AM$1005:$BM$1005,1,MATCH(COLUMNS($AM$1006:BG1006),$AM$1006:$BM$1006,0))&gt;=100000), " ",IF(INDEX($AM$2:$BM$1001,MATCH(ROWS($AF$2:AF194),$AF$2:$AF$1001,0),MATCH(COLUMNS($AM$1006:BG1006),$AM$1006:$BM$1006,0)), HYPERLINK("#",""), HYPERLINK(CONCATENATE("#metadata!", ADDRESS(INDEX($AH$2:$AH$1001,MATCH(ROWS($AF$2:AF194),$AF$2:$AF$1001,0),0), INDEX($AM$1004:$BM$1004,1,MATCH(COLUMNS($AM$1006:BG1006),$AM$1006:$BM$1006,0)))),"Fix")))</f>
        <v xml:space="preserve"> </v>
      </c>
      <c r="W194" s="4" t="str">
        <f ca="1">IF(OR(INDEX($AG$2:$AG$1001,MATCH(ROWS($AF$2:AF194),$AF$2:$AF$1001,0),1)&gt;=100000,INDEX($AM$1005:$BM$1005,1,MATCH(COLUMNS($AM$1006:BH1006),$AM$1006:$BM$1006,0))&gt;=100000), " ",IF(INDEX($AM$2:$BM$1001,MATCH(ROWS($AF$2:AF194),$AF$2:$AF$1001,0),MATCH(COLUMNS($AM$1006:BH1006),$AM$1006:$BM$1006,0)), HYPERLINK("#",""), HYPERLINK(CONCATENATE("#metadata!", ADDRESS(INDEX($AH$2:$AH$1001,MATCH(ROWS($AF$2:AF194),$AF$2:$AF$1001,0),0), INDEX($AM$1004:$BM$1004,1,MATCH(COLUMNS($AM$1006:BH1006),$AM$1006:$BM$1006,0)))),"Fix")))</f>
        <v xml:space="preserve"> </v>
      </c>
      <c r="X194" s="4" t="str">
        <f ca="1">IF(OR(INDEX($AG$2:$AG$1001,MATCH(ROWS($AF$2:AF194),$AF$2:$AF$1001,0),1)&gt;=100000,INDEX($AM$1005:$BM$1005,1,MATCH(COLUMNS($AM$1006:BI1006),$AM$1006:$BM$1006,0))&gt;=100000), " ",IF(INDEX($AM$2:$BM$1001,MATCH(ROWS($AF$2:AF194),$AF$2:$AF$1001,0),MATCH(COLUMNS($AM$1006:BI1006),$AM$1006:$BM$1006,0)), HYPERLINK("#",""), HYPERLINK(CONCATENATE("#metadata!", ADDRESS(INDEX($AH$2:$AH$1001,MATCH(ROWS($AF$2:AF194),$AF$2:$AF$1001,0),0), INDEX($AM$1004:$BM$1004,1,MATCH(COLUMNS($AM$1006:BI1006),$AM$1006:$BM$1006,0)))),"Fix")))</f>
        <v xml:space="preserve"> </v>
      </c>
      <c r="Y194" s="4" t="str">
        <f ca="1">IF(OR(INDEX($AG$2:$AG$1001,MATCH(ROWS($AF$2:AF194),$AF$2:$AF$1001,0),1)&gt;=100000,INDEX($AM$1005:$BM$1005,1,MATCH(COLUMNS($AM$1006:BJ1006),$AM$1006:$BM$1006,0))&gt;=100000), " ",IF(INDEX($AM$2:$BM$1001,MATCH(ROWS($AF$2:AF194),$AF$2:$AF$1001,0),MATCH(COLUMNS($AM$1006:BJ1006),$AM$1006:$BM$1006,0)), HYPERLINK("#",""), HYPERLINK(CONCATENATE("#metadata!", ADDRESS(INDEX($AH$2:$AH$1001,MATCH(ROWS($AF$2:AF194),$AF$2:$AF$1001,0),0), INDEX($AM$1004:$BM$1004,1,MATCH(COLUMNS($AM$1006:BJ1006),$AM$1006:$BM$1006,0)))),"Fix")))</f>
        <v xml:space="preserve"> </v>
      </c>
      <c r="Z194" s="4" t="str">
        <f ca="1">IF(OR(INDEX($AG$2:$AG$1001,MATCH(ROWS($AF$2:AF194),$AF$2:$AF$1001,0),1)&gt;=100000,INDEX($AM$1005:$BM$1005,1,MATCH(COLUMNS($AM$1006:BK1006),$AM$1006:$BM$1006,0))&gt;=100000), " ",IF(INDEX($AM$2:$BM$1001,MATCH(ROWS($AF$2:AF194),$AF$2:$AF$1001,0),MATCH(COLUMNS($AM$1006:BK1006),$AM$1006:$BM$1006,0)), HYPERLINK("#",""), HYPERLINK(CONCATENATE("#metadata!", ADDRESS(INDEX($AH$2:$AH$1001,MATCH(ROWS($AF$2:AF194),$AF$2:$AF$1001,0),0), INDEX($AM$1004:$BM$1004,1,MATCH(COLUMNS($AM$1006:BK1006),$AM$1006:$BM$1006,0)))),"Fix")))</f>
        <v xml:space="preserve"> </v>
      </c>
      <c r="AA194" s="4" t="str">
        <f ca="1">IF(OR(INDEX($AG$2:$AG$1001,MATCH(ROWS($AF$2:AF194),$AF$2:$AF$1001,0),1)&gt;=100000,INDEX($AM$1005:$BM$1005,1,MATCH(COLUMNS($AM$1006:BL1006),$AM$1006:$BM$1006,0))&gt;=100000), " ",IF(INDEX($AM$2:$BM$1001,MATCH(ROWS($AF$2:AF194),$AF$2:$AF$1001,0),MATCH(COLUMNS($AM$1006:BL1006),$AM$1006:$BM$1006,0)), HYPERLINK("#",""), HYPERLINK(CONCATENATE("#metadata!", ADDRESS(INDEX($AH$2:$AH$1001,MATCH(ROWS($AF$2:AF194),$AF$2:$AF$1001,0),0), INDEX($AM$1004:$BM$1004,1,MATCH(COLUMNS($AM$1006:BL1006),$AM$1006:$BM$1006,0)))),"Fix")))</f>
        <v xml:space="preserve"> </v>
      </c>
      <c r="AB194" s="4" t="str">
        <f ca="1">IF(OR(INDEX($AG$2:$AG$1001,MATCH(ROWS($AF$2:AF194),$AF$2:$AF$1001,0),1)&gt;=100000,INDEX($AM$1005:$BM$1005,1,MATCH(COLUMNS($AM$1006:BM1006),$AM$1006:$BM$1006,0))&gt;=100000), " ",IF(INDEX($AM$2:$BM$1001,MATCH(ROWS($AF$2:AF194),$AF$2:$AF$1001,0),MATCH(COLUMNS($AM$1006:BM1006),$AM$1006:$BM$1006,0)), HYPERLINK("#",""), HYPERLINK(CONCATENATE("#metadata!", ADDRESS(INDEX($AH$2:$AH$1001,MATCH(ROWS($AF$2:AF194),$AF$2:$AF$1001,0),0), INDEX($AM$1004:$BM$1004,1,MATCH(COLUMNS($AM$1006:BM1006),$AM$1006:$BM$1006,0)))),"Fix")))</f>
        <v xml:space="preserve"> </v>
      </c>
      <c r="AF194">
        <v>193</v>
      </c>
      <c r="AG194">
        <v>100194</v>
      </c>
      <c r="AH194">
        <v>194</v>
      </c>
      <c r="AI194" t="b">
        <f t="shared" ref="AI194:AI257" si="3">IF(AJ194,TRUE,AND(AM194:BM194))</f>
        <v>1</v>
      </c>
      <c r="AJ194" t="b">
        <f>COUNTBLANK(metadata!B194:AB194)=COLUMNS(metadata!B194:AB194)</f>
        <v>1</v>
      </c>
      <c r="AK194" t="str">
        <v/>
      </c>
      <c r="AM194" t="b">
        <f ca="1">AND(IF(metadata!B194="",FALSE,TRUE),COUNTIF(metadata!B:B, metadata!B194) = 1,NOT(ISERROR(SUMPRODUCT(SEARCH(MID(metadata!B194,ROW(INDIRECT("1:"&amp;LEN(metadata!B194))), 1),"0123456789abcdefghijklmnopqrstuvwxyzABCDEFGHIJKLMNOPQRSTUVWXYZ.")))))</f>
        <v>0</v>
      </c>
      <c r="AN194" t="b">
        <f ca="1">OR(AND(IF(metadata!C194="",FALSE,TRUE),OR(EXACT(metadata!C194,"missing: not collected"),EXACT(metadata!C194,"missing: not provided"),EXACT(metadata!C194,"missing: restricted access"))),AND(IF(metadata!C194="",FALSE,TRUE),AND(AND(IFERROR(INT(LEFT(metadata!C194,4))&gt;1900,FALSE),IFERROR(INT(LEFT(metadata!C194,4))&lt;=YEAR(NOW()),FALSE)), OR(MID(metadata!C194,5,1)="", AND(AND(MID(metadata!C194,5,1)="-",IFERROR(INT(MID(metadata!C194,6,1))&gt;=0,FALSE),IFERROR(INT(MID(metadata!C194,6,1))&lt;=1,FALSE),NOT(MID(metadata!C194,7,1)=""),IFERROR(INT(MID(metadata!C194,6,2))&gt;=1,FALSE),IFERROR(INT(MID(metadata!C194,6,2))&lt;=12,FALSE)), OR(MID(metadata!C194,8,1)="", AND(AND(MID(metadata!C194,8,1)="-",IFERROR(INT(MID(metadata!C194,9,1))&gt;=0,FALSE),IFERROR(INT(MID(metadata!C194,9,1))&lt;=3,FALSE),NOT(MID(metadata!C194,10,1)=""),IFERROR(INT(MID(metadata!C194,9,2))&gt;=1,FALSE),IFERROR(INT(MID(metadata!C194,9,2))&lt;=31,FALSE)), OR(MID(metadata!C194,11,1)="", AND(AND(MID(metadata!C194,11,1)=" ",IFERROR(INT(MID(metadata!C194,12,1))&gt;=0,FALSE),IFERROR(INT(MID(metadata!C194,12,1))&lt;=2,FALSE),NOT(MID(metadata!C194,13,1)=""),IFERROR(INT(MID(metadata!C194,12,2))&gt;=0,FALSE),IFERROR(INT(MID(metadata!C194,12,2))&lt;=23,FALSE)), OR(MID(metadata!C194,14,1)="", AND(AND(MID(metadata!C194,14,1)=":",IFERROR(INT(MID(metadata!C194,15,1))&gt;=0,FALSE),IFERROR(INT(MID(metadata!C194,15,1))&lt;=5,FALSE),NOT(MID(metadata!C194,16,1)=""),IFERROR(INT(MID(metadata!C194,15,2))&gt;=0,FALSE),IFERROR(INT(MID(metadata!C194,15,2))&lt;=59,FALSE)), OR(MID(metadata!C194,17,1)="", AND(AND(MID(metadata!C194,17,1)=":",IFERROR(INT(MID(metadata!C194,18,1))&gt;=0,FALSE),IFERROR(INT(MID(metadata!C194,18,1))&lt;=5,FALSE),NOT(MID(metadata!C194,19,1)=""),IFERROR(INT(MID(metadata!C194,18,2))&gt;=0,FALSE),IFERROR(INT(MID(metadata!C194,18,2))&lt;=59,FALSE)), LEN(metadata!C194)&lt;=19)))))))))))))</f>
        <v>0</v>
      </c>
      <c r="AO194" t="b">
        <f>AND(IF(metadata!D194="",FALSE,TRUE),EXACT(metadata!D194,"Not applicable"))</f>
        <v>0</v>
      </c>
      <c r="AP194" t="b">
        <f>IF(metadata!E194="",FALSE,TRUE)</f>
        <v>0</v>
      </c>
      <c r="AQ194" t="b">
        <f>OR(AND(IF(metadata!F194="",FALSE,TRUE),OR(EXACT(metadata!F194,"missing: not collected"),EXACT(metadata!F194,"missing: not provided"))),AND(IF(metadata!F194="",FALSE,TRUE),OR(EXACT(metadata!F194,"TRUE"),EXACT(metadata!F194,"FALSE"))))</f>
        <v>0</v>
      </c>
      <c r="AR194" t="b">
        <f>OR(AND(IF(metadata!G194="",FALSE,TRUE),OR(EXACT(metadata!G194,"missing: not collected"),EXACT(metadata!G194,"missing: not provided"),EXACT(metadata!G194,"missing: restricted access"))),AND(IF(metadata!G194="",FALSE,ISNUMBER(VALUE(metadata!G194))),metadata!G194&gt;=-413))</f>
        <v>0</v>
      </c>
      <c r="AS194" t="b">
        <f>AND(IF(metadata!H194="",FALSE,TRUE),EXACT(metadata!H194,"meters"))</f>
        <v>0</v>
      </c>
      <c r="AT194" t="b">
        <f>AND(IF(metadata!I194="",FALSE,TRUE),OR(EXACT(metadata!I194,"Host-associated"),EXACT(metadata!I194,"Free-living")))</f>
        <v>0</v>
      </c>
      <c r="AU194" t="b">
        <f>AND(IF(metadata!J194="",FALSE,TRUE),OR(EXACT(metadata!J194,"Animal"),EXACT(metadata!J194,"Fungus"),EXACT(metadata!J194,"Plant"),EXACT(metadata!J194,"Saline"),EXACT(metadata!J194,"Non-saline")))</f>
        <v>0</v>
      </c>
      <c r="AV194" t="b">
        <f>AND(IF(metadata!K194="",FALSE,TRUE),OR(EXACT(metadata!K194,"Plant secretion"),EXACT(metadata!K194,"Plant rhizosphere"),EXACT(metadata!K194,"Plant surface"),EXACT(metadata!K194,"Plant corpus"),EXACT(metadata!K194,"Fungus surface"),EXACT(metadata!K194,"Fungus corpus"),EXACT(metadata!K194,"Animal surface"),EXACT(metadata!K194,"Animal proximal gut"),EXACT(metadata!K194,"Animal corpus"),EXACT(metadata!K194,"Animal distal gut"),EXACT(metadata!K194,"Animal secretion"),EXACT(metadata!K194,"Sub-surface (non-saline)"),EXACT(metadata!K194,"Surface (non-saline)"),EXACT(metadata!K194,"Water (non-saline)"),EXACT(metadata!K194,"Soil (non-saline)"),EXACT(metadata!K194,"Aerosol (non-saline)"),EXACT(metadata!K194,"Sediment (non-saline)"),EXACT(metadata!K194,"Surface (saline)"),EXACT(metadata!K194,"Water (saline)"),EXACT(metadata!K194,"Hypersaline (saline)"),EXACT(metadata!K194,"Aerosol (saline)"),EXACT(metadata!K194,"Sediment (saline)")))</f>
        <v>0</v>
      </c>
      <c r="AW194" t="b">
        <f>IF(metadata!L194="",FALSE,TRUE)</f>
        <v>0</v>
      </c>
      <c r="AX194" t="b">
        <f>IF(metadata!M194="",FALSE,TRUE)</f>
        <v>0</v>
      </c>
      <c r="AY194" t="b">
        <f>IF(metadata!N194="",FALSE,TRUE)</f>
        <v>0</v>
      </c>
      <c r="AZ194" t="b">
        <f>OR(AND(IF(metadata!O194="",FALSE,TRUE),OR(EXACT(metadata!O194,"missing: not collected"),EXACT(metadata!O194,"missing: not provided"),EXACT(metadata!O194,"missing: restricted access"))),AND(IF(metadata!O194="",FALSE,TRUE),OR(EXACT(metadata!O194,"air"),EXACT(metadata!O194,"built environment"),EXACT(metadata!O194,"host-associated"),EXACT(metadata!O194,"human-associated"),EXACT(metadata!O194,"human-skin"),EXACT(metadata!O194,"human-oral"),EXACT(metadata!O194,"human-gut"),EXACT(metadata!O194,"human-vaginal"),EXACT(metadata!O194,"microbial mat/biofilm"),EXACT(metadata!O194,"misc environment"),EXACT(metadata!O194,"plant-associated"),EXACT(metadata!O194,"sediment"),EXACT(metadata!O194,"soil"),EXACT(metadata!O194,"wastewater/sludge"),EXACT(metadata!O194,"water"))))</f>
        <v>0</v>
      </c>
      <c r="BA194" t="b">
        <f>IF(metadata!P194="",FALSE,TRUE)</f>
        <v>0</v>
      </c>
      <c r="BB194" t="b">
        <f>IF(metadata!Q194="",FALSE,TRUE)</f>
        <v>0</v>
      </c>
      <c r="BC194" t="b">
        <f>OR(AND(IF(metadata!R194="",FALSE,TRUE),OR(EXACT(metadata!R194,"missing: not collected"),EXACT(metadata!R194,"missing: not provided"),EXACT(metadata!R194,"missing: restricted access"))),AND(IF(metadata!R194="",FALSE,ISNUMBER(VALUE(metadata!R194))),metadata!R194&gt;=-90,metadata!R194&lt;=90))</f>
        <v>0</v>
      </c>
      <c r="BD194" t="b">
        <f>AND(IF(metadata!S194="",FALSE,TRUE),EXACT(metadata!S194,"Decimal degrees"))</f>
        <v>0</v>
      </c>
      <c r="BE194" t="b">
        <f>OR(AND(IF(metadata!T194="",FALSE,TRUE),OR(EXACT(metadata!T194,"missing: not collected"),EXACT(metadata!T194,"missing: not provided"),EXACT(metadata!T194,"missing: restricted access"))),AND(IF(metadata!T194="",FALSE,ISNUMBER(VALUE(metadata!T194))),metadata!T194&gt;=-180,metadata!T194&lt;=180))</f>
        <v>0</v>
      </c>
      <c r="BF194" t="b">
        <f>AND(IF(metadata!U194="",FALSE,TRUE),EXACT(metadata!U194,"Decimal degrees"))</f>
        <v>0</v>
      </c>
      <c r="BG194" t="b">
        <f>IF(metadata!V194="",FALSE,TRUE)</f>
        <v>0</v>
      </c>
      <c r="BH194" t="b">
        <f>OR(AND(IF(metadata!W194="",FALSE,TRUE),OR(EXACT(metadata!W194,"missing: not collected"),EXACT(metadata!W194,"missing: not provided"),EXACT(metadata!W194,"missing: restricted access"))),AND(IF(metadata!W194="",FALSE,TRUE),OR(EXACT(metadata!W194,"TRUE"),EXACT(metadata!W194,"FALSE"))))</f>
        <v>0</v>
      </c>
      <c r="BI194" t="b">
        <f>AND(IF(metadata!X194="",FALSE,TRUE),EXACT(metadata!X194,"other"))</f>
        <v>0</v>
      </c>
      <c r="BJ194" t="b">
        <f>IF(metadata!Y194="",FALSE,TRUE)</f>
        <v>0</v>
      </c>
      <c r="BK194" t="b">
        <f>OR(AND(IF(metadata!Z194="",FALSE,TRUE),OR(EXACT(metadata!Z194,"missing: not collected"),EXACT(metadata!Z194,"missing: not provided"))),AND(IF(metadata!Z194="",FALSE,IF(ISERROR(INT(metadata!Z194)),FALSE,INT(metadata!Z194)=metadata!Z194)),metadata!Z194&gt;0))</f>
        <v>0</v>
      </c>
      <c r="BL194" t="b">
        <f>AND(IF(metadata!AA194="",FALSE,TRUE),EXACT(metadata!AA194,"Not applicable"))</f>
        <v>0</v>
      </c>
      <c r="BM194" t="b">
        <f>IF(metadata!AB194="",FALSE,TRUE)</f>
        <v>0</v>
      </c>
    </row>
    <row r="195" spans="1:65" x14ac:dyDescent="0.2">
      <c r="A195" s="5" t="str">
        <f ca="1">IF(B195=" "," ",HYPERLINK(CONCATENATE("#metadata!",ADDRESS(INDEX($AH$2:$AH$1001,MATCH(ROWS($AF$2:AF195),$AF$2:$AF$1001,0),0),1)),INDEX($AK$2:$AK$1001,MATCH(ROWS($AF$2:AF195),$AF$2:$AF$1001,0),0)))</f>
        <v xml:space="preserve"> </v>
      </c>
      <c r="B195" s="4" t="str">
        <f ca="1">IF(OR(INDEX($AG$2:$AG$1001,MATCH(ROWS($AF$2:AF195),$AF$2:$AF$1001,0),1)&gt;=100000,INDEX($AM$1005:$BM$1005,1,MATCH(COLUMNS($AM$1006:AM1006),$AM$1006:$BM$1006,0))&gt;=100000), " ",IF(INDEX($AM$2:$BM$1001,MATCH(ROWS($AF$2:AF195),$AF$2:$AF$1001,0),MATCH(COLUMNS($AM$1006:AM1006),$AM$1006:$BM$1006,0)), HYPERLINK("#",""), HYPERLINK(CONCATENATE("#metadata!", ADDRESS(INDEX($AH$2:$AH$1001,MATCH(ROWS($AF$2:AF195),$AF$2:$AF$1001,0),0), INDEX($AM$1004:$BM$1004,1,MATCH(COLUMNS($AM$1006:AM1006),$AM$1006:$BM$1006,0)))),"Fix")))</f>
        <v xml:space="preserve"> </v>
      </c>
      <c r="C195" s="4" t="str">
        <f ca="1">IF(OR(INDEX($AG$2:$AG$1001,MATCH(ROWS($AF$2:AF195),$AF$2:$AF$1001,0),1)&gt;=100000,INDEX($AM$1005:$BM$1005,1,MATCH(COLUMNS($AM$1006:AN1006),$AM$1006:$BM$1006,0))&gt;=100000), " ",IF(INDEX($AM$2:$BM$1001,MATCH(ROWS($AF$2:AF195),$AF$2:$AF$1001,0),MATCH(COLUMNS($AM$1006:AN1006),$AM$1006:$BM$1006,0)), HYPERLINK("#",""), HYPERLINK(CONCATENATE("#metadata!", ADDRESS(INDEX($AH$2:$AH$1001,MATCH(ROWS($AF$2:AF195),$AF$2:$AF$1001,0),0), INDEX($AM$1004:$BM$1004,1,MATCH(COLUMNS($AM$1006:AN1006),$AM$1006:$BM$1006,0)))),"Fix")))</f>
        <v xml:space="preserve"> </v>
      </c>
      <c r="D195" s="4" t="str">
        <f ca="1">IF(OR(INDEX($AG$2:$AG$1001,MATCH(ROWS($AF$2:AF195),$AF$2:$AF$1001,0),1)&gt;=100000,INDEX($AM$1005:$BM$1005,1,MATCH(COLUMNS($AM$1006:AO1006),$AM$1006:$BM$1006,0))&gt;=100000), " ",IF(INDEX($AM$2:$BM$1001,MATCH(ROWS($AF$2:AF195),$AF$2:$AF$1001,0),MATCH(COLUMNS($AM$1006:AO1006),$AM$1006:$BM$1006,0)), HYPERLINK("#",""), HYPERLINK(CONCATENATE("#metadata!", ADDRESS(INDEX($AH$2:$AH$1001,MATCH(ROWS($AF$2:AF195),$AF$2:$AF$1001,0),0), INDEX($AM$1004:$BM$1004,1,MATCH(COLUMNS($AM$1006:AO1006),$AM$1006:$BM$1006,0)))),"Fix")))</f>
        <v xml:space="preserve"> </v>
      </c>
      <c r="E195" s="4" t="str">
        <f ca="1">IF(OR(INDEX($AG$2:$AG$1001,MATCH(ROWS($AF$2:AF195),$AF$2:$AF$1001,0),1)&gt;=100000,INDEX($AM$1005:$BM$1005,1,MATCH(COLUMNS($AM$1006:AP1006),$AM$1006:$BM$1006,0))&gt;=100000), " ",IF(INDEX($AM$2:$BM$1001,MATCH(ROWS($AF$2:AF195),$AF$2:$AF$1001,0),MATCH(COLUMNS($AM$1006:AP1006),$AM$1006:$BM$1006,0)), HYPERLINK("#",""), HYPERLINK(CONCATENATE("#metadata!", ADDRESS(INDEX($AH$2:$AH$1001,MATCH(ROWS($AF$2:AF195),$AF$2:$AF$1001,0),0), INDEX($AM$1004:$BM$1004,1,MATCH(COLUMNS($AM$1006:AP1006),$AM$1006:$BM$1006,0)))),"Fix")))</f>
        <v xml:space="preserve"> </v>
      </c>
      <c r="F195" s="4" t="str">
        <f ca="1">IF(OR(INDEX($AG$2:$AG$1001,MATCH(ROWS($AF$2:AF195),$AF$2:$AF$1001,0),1)&gt;=100000,INDEX($AM$1005:$BM$1005,1,MATCH(COLUMNS($AM$1006:AQ1006),$AM$1006:$BM$1006,0))&gt;=100000), " ",IF(INDEX($AM$2:$BM$1001,MATCH(ROWS($AF$2:AF195),$AF$2:$AF$1001,0),MATCH(COLUMNS($AM$1006:AQ1006),$AM$1006:$BM$1006,0)), HYPERLINK("#",""), HYPERLINK(CONCATENATE("#metadata!", ADDRESS(INDEX($AH$2:$AH$1001,MATCH(ROWS($AF$2:AF195),$AF$2:$AF$1001,0),0), INDEX($AM$1004:$BM$1004,1,MATCH(COLUMNS($AM$1006:AQ1006),$AM$1006:$BM$1006,0)))),"Fix")))</f>
        <v xml:space="preserve"> </v>
      </c>
      <c r="G195" s="4" t="str">
        <f ca="1">IF(OR(INDEX($AG$2:$AG$1001,MATCH(ROWS($AF$2:AF195),$AF$2:$AF$1001,0),1)&gt;=100000,INDEX($AM$1005:$BM$1005,1,MATCH(COLUMNS($AM$1006:AR1006),$AM$1006:$BM$1006,0))&gt;=100000), " ",IF(INDEX($AM$2:$BM$1001,MATCH(ROWS($AF$2:AF195),$AF$2:$AF$1001,0),MATCH(COLUMNS($AM$1006:AR1006),$AM$1006:$BM$1006,0)), HYPERLINK("#",""), HYPERLINK(CONCATENATE("#metadata!", ADDRESS(INDEX($AH$2:$AH$1001,MATCH(ROWS($AF$2:AF195),$AF$2:$AF$1001,0),0), INDEX($AM$1004:$BM$1004,1,MATCH(COLUMNS($AM$1006:AR1006),$AM$1006:$BM$1006,0)))),"Fix")))</f>
        <v xml:space="preserve"> </v>
      </c>
      <c r="H195" s="4" t="str">
        <f ca="1">IF(OR(INDEX($AG$2:$AG$1001,MATCH(ROWS($AF$2:AF195),$AF$2:$AF$1001,0),1)&gt;=100000,INDEX($AM$1005:$BM$1005,1,MATCH(COLUMNS($AM$1006:AS1006),$AM$1006:$BM$1006,0))&gt;=100000), " ",IF(INDEX($AM$2:$BM$1001,MATCH(ROWS($AF$2:AF195),$AF$2:$AF$1001,0),MATCH(COLUMNS($AM$1006:AS1006),$AM$1006:$BM$1006,0)), HYPERLINK("#",""), HYPERLINK(CONCATENATE("#metadata!", ADDRESS(INDEX($AH$2:$AH$1001,MATCH(ROWS($AF$2:AF195),$AF$2:$AF$1001,0),0), INDEX($AM$1004:$BM$1004,1,MATCH(COLUMNS($AM$1006:AS1006),$AM$1006:$BM$1006,0)))),"Fix")))</f>
        <v xml:space="preserve"> </v>
      </c>
      <c r="I195" s="4" t="str">
        <f ca="1">IF(OR(INDEX($AG$2:$AG$1001,MATCH(ROWS($AF$2:AF195),$AF$2:$AF$1001,0),1)&gt;=100000,INDEX($AM$1005:$BM$1005,1,MATCH(COLUMNS($AM$1006:AT1006),$AM$1006:$BM$1006,0))&gt;=100000), " ",IF(INDEX($AM$2:$BM$1001,MATCH(ROWS($AF$2:AF195),$AF$2:$AF$1001,0),MATCH(COLUMNS($AM$1006:AT1006),$AM$1006:$BM$1006,0)), HYPERLINK("#",""), HYPERLINK(CONCATENATE("#metadata!", ADDRESS(INDEX($AH$2:$AH$1001,MATCH(ROWS($AF$2:AF195),$AF$2:$AF$1001,0),0), INDEX($AM$1004:$BM$1004,1,MATCH(COLUMNS($AM$1006:AT1006),$AM$1006:$BM$1006,0)))),"Fix")))</f>
        <v xml:space="preserve"> </v>
      </c>
      <c r="J195" s="4" t="str">
        <f ca="1">IF(OR(INDEX($AG$2:$AG$1001,MATCH(ROWS($AF$2:AF195),$AF$2:$AF$1001,0),1)&gt;=100000,INDEX($AM$1005:$BM$1005,1,MATCH(COLUMNS($AM$1006:AU1006),$AM$1006:$BM$1006,0))&gt;=100000), " ",IF(INDEX($AM$2:$BM$1001,MATCH(ROWS($AF$2:AF195),$AF$2:$AF$1001,0),MATCH(COLUMNS($AM$1006:AU1006),$AM$1006:$BM$1006,0)), HYPERLINK("#",""), HYPERLINK(CONCATENATE("#metadata!", ADDRESS(INDEX($AH$2:$AH$1001,MATCH(ROWS($AF$2:AF195),$AF$2:$AF$1001,0),0), INDEX($AM$1004:$BM$1004,1,MATCH(COLUMNS($AM$1006:AU1006),$AM$1006:$BM$1006,0)))),"Fix")))</f>
        <v xml:space="preserve"> </v>
      </c>
      <c r="K195" s="4" t="str">
        <f ca="1">IF(OR(INDEX($AG$2:$AG$1001,MATCH(ROWS($AF$2:AF195),$AF$2:$AF$1001,0),1)&gt;=100000,INDEX($AM$1005:$BM$1005,1,MATCH(COLUMNS($AM$1006:AV1006),$AM$1006:$BM$1006,0))&gt;=100000), " ",IF(INDEX($AM$2:$BM$1001,MATCH(ROWS($AF$2:AF195),$AF$2:$AF$1001,0),MATCH(COLUMNS($AM$1006:AV1006),$AM$1006:$BM$1006,0)), HYPERLINK("#",""), HYPERLINK(CONCATENATE("#metadata!", ADDRESS(INDEX($AH$2:$AH$1001,MATCH(ROWS($AF$2:AF195),$AF$2:$AF$1001,0),0), INDEX($AM$1004:$BM$1004,1,MATCH(COLUMNS($AM$1006:AV1006),$AM$1006:$BM$1006,0)))),"Fix")))</f>
        <v xml:space="preserve"> </v>
      </c>
      <c r="L195" s="4" t="str">
        <f ca="1">IF(OR(INDEX($AG$2:$AG$1001,MATCH(ROWS($AF$2:AF195),$AF$2:$AF$1001,0),1)&gt;=100000,INDEX($AM$1005:$BM$1005,1,MATCH(COLUMNS($AM$1006:AW1006),$AM$1006:$BM$1006,0))&gt;=100000), " ",IF(INDEX($AM$2:$BM$1001,MATCH(ROWS($AF$2:AF195),$AF$2:$AF$1001,0),MATCH(COLUMNS($AM$1006:AW1006),$AM$1006:$BM$1006,0)), HYPERLINK("#",""), HYPERLINK(CONCATENATE("#metadata!", ADDRESS(INDEX($AH$2:$AH$1001,MATCH(ROWS($AF$2:AF195),$AF$2:$AF$1001,0),0), INDEX($AM$1004:$BM$1004,1,MATCH(COLUMNS($AM$1006:AW1006),$AM$1006:$BM$1006,0)))),"Fix")))</f>
        <v xml:space="preserve"> </v>
      </c>
      <c r="M195" s="4" t="str">
        <f ca="1">IF(OR(INDEX($AG$2:$AG$1001,MATCH(ROWS($AF$2:AF195),$AF$2:$AF$1001,0),1)&gt;=100000,INDEX($AM$1005:$BM$1005,1,MATCH(COLUMNS($AM$1006:AX1006),$AM$1006:$BM$1006,0))&gt;=100000), " ",IF(INDEX($AM$2:$BM$1001,MATCH(ROWS($AF$2:AF195),$AF$2:$AF$1001,0),MATCH(COLUMNS($AM$1006:AX1006),$AM$1006:$BM$1006,0)), HYPERLINK("#",""), HYPERLINK(CONCATENATE("#metadata!", ADDRESS(INDEX($AH$2:$AH$1001,MATCH(ROWS($AF$2:AF195),$AF$2:$AF$1001,0),0), INDEX($AM$1004:$BM$1004,1,MATCH(COLUMNS($AM$1006:AX1006),$AM$1006:$BM$1006,0)))),"Fix")))</f>
        <v xml:space="preserve"> </v>
      </c>
      <c r="N195" s="4" t="str">
        <f ca="1">IF(OR(INDEX($AG$2:$AG$1001,MATCH(ROWS($AF$2:AF195),$AF$2:$AF$1001,0),1)&gt;=100000,INDEX($AM$1005:$BM$1005,1,MATCH(COLUMNS($AM$1006:AY1006),$AM$1006:$BM$1006,0))&gt;=100000), " ",IF(INDEX($AM$2:$BM$1001,MATCH(ROWS($AF$2:AF195),$AF$2:$AF$1001,0),MATCH(COLUMNS($AM$1006:AY1006),$AM$1006:$BM$1006,0)), HYPERLINK("#",""), HYPERLINK(CONCATENATE("#metadata!", ADDRESS(INDEX($AH$2:$AH$1001,MATCH(ROWS($AF$2:AF195),$AF$2:$AF$1001,0),0), INDEX($AM$1004:$BM$1004,1,MATCH(COLUMNS($AM$1006:AY1006),$AM$1006:$BM$1006,0)))),"Fix")))</f>
        <v xml:space="preserve"> </v>
      </c>
      <c r="O195" s="4" t="str">
        <f ca="1">IF(OR(INDEX($AG$2:$AG$1001,MATCH(ROWS($AF$2:AF195),$AF$2:$AF$1001,0),1)&gt;=100000,INDEX($AM$1005:$BM$1005,1,MATCH(COLUMNS($AM$1006:AZ1006),$AM$1006:$BM$1006,0))&gt;=100000), " ",IF(INDEX($AM$2:$BM$1001,MATCH(ROWS($AF$2:AF195),$AF$2:$AF$1001,0),MATCH(COLUMNS($AM$1006:AZ1006),$AM$1006:$BM$1006,0)), HYPERLINK("#",""), HYPERLINK(CONCATENATE("#metadata!", ADDRESS(INDEX($AH$2:$AH$1001,MATCH(ROWS($AF$2:AF195),$AF$2:$AF$1001,0),0), INDEX($AM$1004:$BM$1004,1,MATCH(COLUMNS($AM$1006:AZ1006),$AM$1006:$BM$1006,0)))),"Fix")))</f>
        <v xml:space="preserve"> </v>
      </c>
      <c r="P195" s="4" t="str">
        <f ca="1">IF(OR(INDEX($AG$2:$AG$1001,MATCH(ROWS($AF$2:AF195),$AF$2:$AF$1001,0),1)&gt;=100000,INDEX($AM$1005:$BM$1005,1,MATCH(COLUMNS($AM$1006:BA1006),$AM$1006:$BM$1006,0))&gt;=100000), " ",IF(INDEX($AM$2:$BM$1001,MATCH(ROWS($AF$2:AF195),$AF$2:$AF$1001,0),MATCH(COLUMNS($AM$1006:BA1006),$AM$1006:$BM$1006,0)), HYPERLINK("#",""), HYPERLINK(CONCATENATE("#metadata!", ADDRESS(INDEX($AH$2:$AH$1001,MATCH(ROWS($AF$2:AF195),$AF$2:$AF$1001,0),0), INDEX($AM$1004:$BM$1004,1,MATCH(COLUMNS($AM$1006:BA1006),$AM$1006:$BM$1006,0)))),"Fix")))</f>
        <v xml:space="preserve"> </v>
      </c>
      <c r="Q195" s="4" t="str">
        <f ca="1">IF(OR(INDEX($AG$2:$AG$1001,MATCH(ROWS($AF$2:AF195),$AF$2:$AF$1001,0),1)&gt;=100000,INDEX($AM$1005:$BM$1005,1,MATCH(COLUMNS($AM$1006:BB1006),$AM$1006:$BM$1006,0))&gt;=100000), " ",IF(INDEX($AM$2:$BM$1001,MATCH(ROWS($AF$2:AF195),$AF$2:$AF$1001,0),MATCH(COLUMNS($AM$1006:BB1006),$AM$1006:$BM$1006,0)), HYPERLINK("#",""), HYPERLINK(CONCATENATE("#metadata!", ADDRESS(INDEX($AH$2:$AH$1001,MATCH(ROWS($AF$2:AF195),$AF$2:$AF$1001,0),0), INDEX($AM$1004:$BM$1004,1,MATCH(COLUMNS($AM$1006:BB1006),$AM$1006:$BM$1006,0)))),"Fix")))</f>
        <v xml:space="preserve"> </v>
      </c>
      <c r="R195" s="4" t="str">
        <f ca="1">IF(OR(INDEX($AG$2:$AG$1001,MATCH(ROWS($AF$2:AF195),$AF$2:$AF$1001,0),1)&gt;=100000,INDEX($AM$1005:$BM$1005,1,MATCH(COLUMNS($AM$1006:BC1006),$AM$1006:$BM$1006,0))&gt;=100000), " ",IF(INDEX($AM$2:$BM$1001,MATCH(ROWS($AF$2:AF195),$AF$2:$AF$1001,0),MATCH(COLUMNS($AM$1006:BC1006),$AM$1006:$BM$1006,0)), HYPERLINK("#",""), HYPERLINK(CONCATENATE("#metadata!", ADDRESS(INDEX($AH$2:$AH$1001,MATCH(ROWS($AF$2:AF195),$AF$2:$AF$1001,0),0), INDEX($AM$1004:$BM$1004,1,MATCH(COLUMNS($AM$1006:BC1006),$AM$1006:$BM$1006,0)))),"Fix")))</f>
        <v xml:space="preserve"> </v>
      </c>
      <c r="S195" s="4" t="str">
        <f ca="1">IF(OR(INDEX($AG$2:$AG$1001,MATCH(ROWS($AF$2:AF195),$AF$2:$AF$1001,0),1)&gt;=100000,INDEX($AM$1005:$BM$1005,1,MATCH(COLUMNS($AM$1006:BD1006),$AM$1006:$BM$1006,0))&gt;=100000), " ",IF(INDEX($AM$2:$BM$1001,MATCH(ROWS($AF$2:AF195),$AF$2:$AF$1001,0),MATCH(COLUMNS($AM$1006:BD1006),$AM$1006:$BM$1006,0)), HYPERLINK("#",""), HYPERLINK(CONCATENATE("#metadata!", ADDRESS(INDEX($AH$2:$AH$1001,MATCH(ROWS($AF$2:AF195),$AF$2:$AF$1001,0),0), INDEX($AM$1004:$BM$1004,1,MATCH(COLUMNS($AM$1006:BD1006),$AM$1006:$BM$1006,0)))),"Fix")))</f>
        <v xml:space="preserve"> </v>
      </c>
      <c r="T195" s="4" t="str">
        <f ca="1">IF(OR(INDEX($AG$2:$AG$1001,MATCH(ROWS($AF$2:AF195),$AF$2:$AF$1001,0),1)&gt;=100000,INDEX($AM$1005:$BM$1005,1,MATCH(COLUMNS($AM$1006:BE1006),$AM$1006:$BM$1006,0))&gt;=100000), " ",IF(INDEX($AM$2:$BM$1001,MATCH(ROWS($AF$2:AF195),$AF$2:$AF$1001,0),MATCH(COLUMNS($AM$1006:BE1006),$AM$1006:$BM$1006,0)), HYPERLINK("#",""), HYPERLINK(CONCATENATE("#metadata!", ADDRESS(INDEX($AH$2:$AH$1001,MATCH(ROWS($AF$2:AF195),$AF$2:$AF$1001,0),0), INDEX($AM$1004:$BM$1004,1,MATCH(COLUMNS($AM$1006:BE1006),$AM$1006:$BM$1006,0)))),"Fix")))</f>
        <v xml:space="preserve"> </v>
      </c>
      <c r="U195" s="4" t="str">
        <f ca="1">IF(OR(INDEX($AG$2:$AG$1001,MATCH(ROWS($AF$2:AF195),$AF$2:$AF$1001,0),1)&gt;=100000,INDEX($AM$1005:$BM$1005,1,MATCH(COLUMNS($AM$1006:BF1006),$AM$1006:$BM$1006,0))&gt;=100000), " ",IF(INDEX($AM$2:$BM$1001,MATCH(ROWS($AF$2:AF195),$AF$2:$AF$1001,0),MATCH(COLUMNS($AM$1006:BF1006),$AM$1006:$BM$1006,0)), HYPERLINK("#",""), HYPERLINK(CONCATENATE("#metadata!", ADDRESS(INDEX($AH$2:$AH$1001,MATCH(ROWS($AF$2:AF195),$AF$2:$AF$1001,0),0), INDEX($AM$1004:$BM$1004,1,MATCH(COLUMNS($AM$1006:BF1006),$AM$1006:$BM$1006,0)))),"Fix")))</f>
        <v xml:space="preserve"> </v>
      </c>
      <c r="V195" s="4" t="str">
        <f ca="1">IF(OR(INDEX($AG$2:$AG$1001,MATCH(ROWS($AF$2:AF195),$AF$2:$AF$1001,0),1)&gt;=100000,INDEX($AM$1005:$BM$1005,1,MATCH(COLUMNS($AM$1006:BG1006),$AM$1006:$BM$1006,0))&gt;=100000), " ",IF(INDEX($AM$2:$BM$1001,MATCH(ROWS($AF$2:AF195),$AF$2:$AF$1001,0),MATCH(COLUMNS($AM$1006:BG1006),$AM$1006:$BM$1006,0)), HYPERLINK("#",""), HYPERLINK(CONCATENATE("#metadata!", ADDRESS(INDEX($AH$2:$AH$1001,MATCH(ROWS($AF$2:AF195),$AF$2:$AF$1001,0),0), INDEX($AM$1004:$BM$1004,1,MATCH(COLUMNS($AM$1006:BG1006),$AM$1006:$BM$1006,0)))),"Fix")))</f>
        <v xml:space="preserve"> </v>
      </c>
      <c r="W195" s="4" t="str">
        <f ca="1">IF(OR(INDEX($AG$2:$AG$1001,MATCH(ROWS($AF$2:AF195),$AF$2:$AF$1001,0),1)&gt;=100000,INDEX($AM$1005:$BM$1005,1,MATCH(COLUMNS($AM$1006:BH1006),$AM$1006:$BM$1006,0))&gt;=100000), " ",IF(INDEX($AM$2:$BM$1001,MATCH(ROWS($AF$2:AF195),$AF$2:$AF$1001,0),MATCH(COLUMNS($AM$1006:BH1006),$AM$1006:$BM$1006,0)), HYPERLINK("#",""), HYPERLINK(CONCATENATE("#metadata!", ADDRESS(INDEX($AH$2:$AH$1001,MATCH(ROWS($AF$2:AF195),$AF$2:$AF$1001,0),0), INDEX($AM$1004:$BM$1004,1,MATCH(COLUMNS($AM$1006:BH1006),$AM$1006:$BM$1006,0)))),"Fix")))</f>
        <v xml:space="preserve"> </v>
      </c>
      <c r="X195" s="4" t="str">
        <f ca="1">IF(OR(INDEX($AG$2:$AG$1001,MATCH(ROWS($AF$2:AF195),$AF$2:$AF$1001,0),1)&gt;=100000,INDEX($AM$1005:$BM$1005,1,MATCH(COLUMNS($AM$1006:BI1006),$AM$1006:$BM$1006,0))&gt;=100000), " ",IF(INDEX($AM$2:$BM$1001,MATCH(ROWS($AF$2:AF195),$AF$2:$AF$1001,0),MATCH(COLUMNS($AM$1006:BI1006),$AM$1006:$BM$1006,0)), HYPERLINK("#",""), HYPERLINK(CONCATENATE("#metadata!", ADDRESS(INDEX($AH$2:$AH$1001,MATCH(ROWS($AF$2:AF195),$AF$2:$AF$1001,0),0), INDEX($AM$1004:$BM$1004,1,MATCH(COLUMNS($AM$1006:BI1006),$AM$1006:$BM$1006,0)))),"Fix")))</f>
        <v xml:space="preserve"> </v>
      </c>
      <c r="Y195" s="4" t="str">
        <f ca="1">IF(OR(INDEX($AG$2:$AG$1001,MATCH(ROWS($AF$2:AF195),$AF$2:$AF$1001,0),1)&gt;=100000,INDEX($AM$1005:$BM$1005,1,MATCH(COLUMNS($AM$1006:BJ1006),$AM$1006:$BM$1006,0))&gt;=100000), " ",IF(INDEX($AM$2:$BM$1001,MATCH(ROWS($AF$2:AF195),$AF$2:$AF$1001,0),MATCH(COLUMNS($AM$1006:BJ1006),$AM$1006:$BM$1006,0)), HYPERLINK("#",""), HYPERLINK(CONCATENATE("#metadata!", ADDRESS(INDEX($AH$2:$AH$1001,MATCH(ROWS($AF$2:AF195),$AF$2:$AF$1001,0),0), INDEX($AM$1004:$BM$1004,1,MATCH(COLUMNS($AM$1006:BJ1006),$AM$1006:$BM$1006,0)))),"Fix")))</f>
        <v xml:space="preserve"> </v>
      </c>
      <c r="Z195" s="4" t="str">
        <f ca="1">IF(OR(INDEX($AG$2:$AG$1001,MATCH(ROWS($AF$2:AF195),$AF$2:$AF$1001,0),1)&gt;=100000,INDEX($AM$1005:$BM$1005,1,MATCH(COLUMNS($AM$1006:BK1006),$AM$1006:$BM$1006,0))&gt;=100000), " ",IF(INDEX($AM$2:$BM$1001,MATCH(ROWS($AF$2:AF195),$AF$2:$AF$1001,0),MATCH(COLUMNS($AM$1006:BK1006),$AM$1006:$BM$1006,0)), HYPERLINK("#",""), HYPERLINK(CONCATENATE("#metadata!", ADDRESS(INDEX($AH$2:$AH$1001,MATCH(ROWS($AF$2:AF195),$AF$2:$AF$1001,0),0), INDEX($AM$1004:$BM$1004,1,MATCH(COLUMNS($AM$1006:BK1006),$AM$1006:$BM$1006,0)))),"Fix")))</f>
        <v xml:space="preserve"> </v>
      </c>
      <c r="AA195" s="4" t="str">
        <f ca="1">IF(OR(INDEX($AG$2:$AG$1001,MATCH(ROWS($AF$2:AF195),$AF$2:$AF$1001,0),1)&gt;=100000,INDEX($AM$1005:$BM$1005,1,MATCH(COLUMNS($AM$1006:BL1006),$AM$1006:$BM$1006,0))&gt;=100000), " ",IF(INDEX($AM$2:$BM$1001,MATCH(ROWS($AF$2:AF195),$AF$2:$AF$1001,0),MATCH(COLUMNS($AM$1006:BL1006),$AM$1006:$BM$1006,0)), HYPERLINK("#",""), HYPERLINK(CONCATENATE("#metadata!", ADDRESS(INDEX($AH$2:$AH$1001,MATCH(ROWS($AF$2:AF195),$AF$2:$AF$1001,0),0), INDEX($AM$1004:$BM$1004,1,MATCH(COLUMNS($AM$1006:BL1006),$AM$1006:$BM$1006,0)))),"Fix")))</f>
        <v xml:space="preserve"> </v>
      </c>
      <c r="AB195" s="4" t="str">
        <f ca="1">IF(OR(INDEX($AG$2:$AG$1001,MATCH(ROWS($AF$2:AF195),$AF$2:$AF$1001,0),1)&gt;=100000,INDEX($AM$1005:$BM$1005,1,MATCH(COLUMNS($AM$1006:BM1006),$AM$1006:$BM$1006,0))&gt;=100000), " ",IF(INDEX($AM$2:$BM$1001,MATCH(ROWS($AF$2:AF195),$AF$2:$AF$1001,0),MATCH(COLUMNS($AM$1006:BM1006),$AM$1006:$BM$1006,0)), HYPERLINK("#",""), HYPERLINK(CONCATENATE("#metadata!", ADDRESS(INDEX($AH$2:$AH$1001,MATCH(ROWS($AF$2:AF195),$AF$2:$AF$1001,0),0), INDEX($AM$1004:$BM$1004,1,MATCH(COLUMNS($AM$1006:BM1006),$AM$1006:$BM$1006,0)))),"Fix")))</f>
        <v xml:space="preserve"> </v>
      </c>
      <c r="AF195">
        <v>194</v>
      </c>
      <c r="AG195">
        <v>100195</v>
      </c>
      <c r="AH195">
        <v>195</v>
      </c>
      <c r="AI195" t="b">
        <f t="shared" si="3"/>
        <v>1</v>
      </c>
      <c r="AJ195" t="b">
        <f>COUNTBLANK(metadata!B195:AB195)=COLUMNS(metadata!B195:AB195)</f>
        <v>1</v>
      </c>
      <c r="AK195" t="str">
        <v/>
      </c>
      <c r="AM195" t="b">
        <f ca="1">AND(IF(metadata!B195="",FALSE,TRUE),COUNTIF(metadata!B:B, metadata!B195) = 1,NOT(ISERROR(SUMPRODUCT(SEARCH(MID(metadata!B195,ROW(INDIRECT("1:"&amp;LEN(metadata!B195))), 1),"0123456789abcdefghijklmnopqrstuvwxyzABCDEFGHIJKLMNOPQRSTUVWXYZ.")))))</f>
        <v>0</v>
      </c>
      <c r="AN195" t="b">
        <f ca="1">OR(AND(IF(metadata!C195="",FALSE,TRUE),OR(EXACT(metadata!C195,"missing: not collected"),EXACT(metadata!C195,"missing: not provided"),EXACT(metadata!C195,"missing: restricted access"))),AND(IF(metadata!C195="",FALSE,TRUE),AND(AND(IFERROR(INT(LEFT(metadata!C195,4))&gt;1900,FALSE),IFERROR(INT(LEFT(metadata!C195,4))&lt;=YEAR(NOW()),FALSE)), OR(MID(metadata!C195,5,1)="", AND(AND(MID(metadata!C195,5,1)="-",IFERROR(INT(MID(metadata!C195,6,1))&gt;=0,FALSE),IFERROR(INT(MID(metadata!C195,6,1))&lt;=1,FALSE),NOT(MID(metadata!C195,7,1)=""),IFERROR(INT(MID(metadata!C195,6,2))&gt;=1,FALSE),IFERROR(INT(MID(metadata!C195,6,2))&lt;=12,FALSE)), OR(MID(metadata!C195,8,1)="", AND(AND(MID(metadata!C195,8,1)="-",IFERROR(INT(MID(metadata!C195,9,1))&gt;=0,FALSE),IFERROR(INT(MID(metadata!C195,9,1))&lt;=3,FALSE),NOT(MID(metadata!C195,10,1)=""),IFERROR(INT(MID(metadata!C195,9,2))&gt;=1,FALSE),IFERROR(INT(MID(metadata!C195,9,2))&lt;=31,FALSE)), OR(MID(metadata!C195,11,1)="", AND(AND(MID(metadata!C195,11,1)=" ",IFERROR(INT(MID(metadata!C195,12,1))&gt;=0,FALSE),IFERROR(INT(MID(metadata!C195,12,1))&lt;=2,FALSE),NOT(MID(metadata!C195,13,1)=""),IFERROR(INT(MID(metadata!C195,12,2))&gt;=0,FALSE),IFERROR(INT(MID(metadata!C195,12,2))&lt;=23,FALSE)), OR(MID(metadata!C195,14,1)="", AND(AND(MID(metadata!C195,14,1)=":",IFERROR(INT(MID(metadata!C195,15,1))&gt;=0,FALSE),IFERROR(INT(MID(metadata!C195,15,1))&lt;=5,FALSE),NOT(MID(metadata!C195,16,1)=""),IFERROR(INT(MID(metadata!C195,15,2))&gt;=0,FALSE),IFERROR(INT(MID(metadata!C195,15,2))&lt;=59,FALSE)), OR(MID(metadata!C195,17,1)="", AND(AND(MID(metadata!C195,17,1)=":",IFERROR(INT(MID(metadata!C195,18,1))&gt;=0,FALSE),IFERROR(INT(MID(metadata!C195,18,1))&lt;=5,FALSE),NOT(MID(metadata!C195,19,1)=""),IFERROR(INT(MID(metadata!C195,18,2))&gt;=0,FALSE),IFERROR(INT(MID(metadata!C195,18,2))&lt;=59,FALSE)), LEN(metadata!C195)&lt;=19)))))))))))))</f>
        <v>0</v>
      </c>
      <c r="AO195" t="b">
        <f>AND(IF(metadata!D195="",FALSE,TRUE),EXACT(metadata!D195,"Not applicable"))</f>
        <v>0</v>
      </c>
      <c r="AP195" t="b">
        <f>IF(metadata!E195="",FALSE,TRUE)</f>
        <v>0</v>
      </c>
      <c r="AQ195" t="b">
        <f>OR(AND(IF(metadata!F195="",FALSE,TRUE),OR(EXACT(metadata!F195,"missing: not collected"),EXACT(metadata!F195,"missing: not provided"))),AND(IF(metadata!F195="",FALSE,TRUE),OR(EXACT(metadata!F195,"TRUE"),EXACT(metadata!F195,"FALSE"))))</f>
        <v>0</v>
      </c>
      <c r="AR195" t="b">
        <f>OR(AND(IF(metadata!G195="",FALSE,TRUE),OR(EXACT(metadata!G195,"missing: not collected"),EXACT(metadata!G195,"missing: not provided"),EXACT(metadata!G195,"missing: restricted access"))),AND(IF(metadata!G195="",FALSE,ISNUMBER(VALUE(metadata!G195))),metadata!G195&gt;=-413))</f>
        <v>0</v>
      </c>
      <c r="AS195" t="b">
        <f>AND(IF(metadata!H195="",FALSE,TRUE),EXACT(metadata!H195,"meters"))</f>
        <v>0</v>
      </c>
      <c r="AT195" t="b">
        <f>AND(IF(metadata!I195="",FALSE,TRUE),OR(EXACT(metadata!I195,"Host-associated"),EXACT(metadata!I195,"Free-living")))</f>
        <v>0</v>
      </c>
      <c r="AU195" t="b">
        <f>AND(IF(metadata!J195="",FALSE,TRUE),OR(EXACT(metadata!J195,"Animal"),EXACT(metadata!J195,"Fungus"),EXACT(metadata!J195,"Plant"),EXACT(metadata!J195,"Saline"),EXACT(metadata!J195,"Non-saline")))</f>
        <v>0</v>
      </c>
      <c r="AV195" t="b">
        <f>AND(IF(metadata!K195="",FALSE,TRUE),OR(EXACT(metadata!K195,"Plant secretion"),EXACT(metadata!K195,"Plant rhizosphere"),EXACT(metadata!K195,"Plant surface"),EXACT(metadata!K195,"Plant corpus"),EXACT(metadata!K195,"Fungus surface"),EXACT(metadata!K195,"Fungus corpus"),EXACT(metadata!K195,"Animal surface"),EXACT(metadata!K195,"Animal proximal gut"),EXACT(metadata!K195,"Animal corpus"),EXACT(metadata!K195,"Animal distal gut"),EXACT(metadata!K195,"Animal secretion"),EXACT(metadata!K195,"Sub-surface (non-saline)"),EXACT(metadata!K195,"Surface (non-saline)"),EXACT(metadata!K195,"Water (non-saline)"),EXACT(metadata!K195,"Soil (non-saline)"),EXACT(metadata!K195,"Aerosol (non-saline)"),EXACT(metadata!K195,"Sediment (non-saline)"),EXACT(metadata!K195,"Surface (saline)"),EXACT(metadata!K195,"Water (saline)"),EXACT(metadata!K195,"Hypersaline (saline)"),EXACT(metadata!K195,"Aerosol (saline)"),EXACT(metadata!K195,"Sediment (saline)")))</f>
        <v>0</v>
      </c>
      <c r="AW195" t="b">
        <f>IF(metadata!L195="",FALSE,TRUE)</f>
        <v>0</v>
      </c>
      <c r="AX195" t="b">
        <f>IF(metadata!M195="",FALSE,TRUE)</f>
        <v>0</v>
      </c>
      <c r="AY195" t="b">
        <f>IF(metadata!N195="",FALSE,TRUE)</f>
        <v>0</v>
      </c>
      <c r="AZ195" t="b">
        <f>OR(AND(IF(metadata!O195="",FALSE,TRUE),OR(EXACT(metadata!O195,"missing: not collected"),EXACT(metadata!O195,"missing: not provided"),EXACT(metadata!O195,"missing: restricted access"))),AND(IF(metadata!O195="",FALSE,TRUE),OR(EXACT(metadata!O195,"air"),EXACT(metadata!O195,"built environment"),EXACT(metadata!O195,"host-associated"),EXACT(metadata!O195,"human-associated"),EXACT(metadata!O195,"human-skin"),EXACT(metadata!O195,"human-oral"),EXACT(metadata!O195,"human-gut"),EXACT(metadata!O195,"human-vaginal"),EXACT(metadata!O195,"microbial mat/biofilm"),EXACT(metadata!O195,"misc environment"),EXACT(metadata!O195,"plant-associated"),EXACT(metadata!O195,"sediment"),EXACT(metadata!O195,"soil"),EXACT(metadata!O195,"wastewater/sludge"),EXACT(metadata!O195,"water"))))</f>
        <v>0</v>
      </c>
      <c r="BA195" t="b">
        <f>IF(metadata!P195="",FALSE,TRUE)</f>
        <v>0</v>
      </c>
      <c r="BB195" t="b">
        <f>IF(metadata!Q195="",FALSE,TRUE)</f>
        <v>0</v>
      </c>
      <c r="BC195" t="b">
        <f>OR(AND(IF(metadata!R195="",FALSE,TRUE),OR(EXACT(metadata!R195,"missing: not collected"),EXACT(metadata!R195,"missing: not provided"),EXACT(metadata!R195,"missing: restricted access"))),AND(IF(metadata!R195="",FALSE,ISNUMBER(VALUE(metadata!R195))),metadata!R195&gt;=-90,metadata!R195&lt;=90))</f>
        <v>0</v>
      </c>
      <c r="BD195" t="b">
        <f>AND(IF(metadata!S195="",FALSE,TRUE),EXACT(metadata!S195,"Decimal degrees"))</f>
        <v>0</v>
      </c>
      <c r="BE195" t="b">
        <f>OR(AND(IF(metadata!T195="",FALSE,TRUE),OR(EXACT(metadata!T195,"missing: not collected"),EXACT(metadata!T195,"missing: not provided"),EXACT(metadata!T195,"missing: restricted access"))),AND(IF(metadata!T195="",FALSE,ISNUMBER(VALUE(metadata!T195))),metadata!T195&gt;=-180,metadata!T195&lt;=180))</f>
        <v>0</v>
      </c>
      <c r="BF195" t="b">
        <f>AND(IF(metadata!U195="",FALSE,TRUE),EXACT(metadata!U195,"Decimal degrees"))</f>
        <v>0</v>
      </c>
      <c r="BG195" t="b">
        <f>IF(metadata!V195="",FALSE,TRUE)</f>
        <v>0</v>
      </c>
      <c r="BH195" t="b">
        <f>OR(AND(IF(metadata!W195="",FALSE,TRUE),OR(EXACT(metadata!W195,"missing: not collected"),EXACT(metadata!W195,"missing: not provided"),EXACT(metadata!W195,"missing: restricted access"))),AND(IF(metadata!W195="",FALSE,TRUE),OR(EXACT(metadata!W195,"TRUE"),EXACT(metadata!W195,"FALSE"))))</f>
        <v>0</v>
      </c>
      <c r="BI195" t="b">
        <f>AND(IF(metadata!X195="",FALSE,TRUE),EXACT(metadata!X195,"other"))</f>
        <v>0</v>
      </c>
      <c r="BJ195" t="b">
        <f>IF(metadata!Y195="",FALSE,TRUE)</f>
        <v>0</v>
      </c>
      <c r="BK195" t="b">
        <f>OR(AND(IF(metadata!Z195="",FALSE,TRUE),OR(EXACT(metadata!Z195,"missing: not collected"),EXACT(metadata!Z195,"missing: not provided"))),AND(IF(metadata!Z195="",FALSE,IF(ISERROR(INT(metadata!Z195)),FALSE,INT(metadata!Z195)=metadata!Z195)),metadata!Z195&gt;0))</f>
        <v>0</v>
      </c>
      <c r="BL195" t="b">
        <f>AND(IF(metadata!AA195="",FALSE,TRUE),EXACT(metadata!AA195,"Not applicable"))</f>
        <v>0</v>
      </c>
      <c r="BM195" t="b">
        <f>IF(metadata!AB195="",FALSE,TRUE)</f>
        <v>0</v>
      </c>
    </row>
    <row r="196" spans="1:65" x14ac:dyDescent="0.2">
      <c r="A196" s="5" t="str">
        <f ca="1">IF(B196=" "," ",HYPERLINK(CONCATENATE("#metadata!",ADDRESS(INDEX($AH$2:$AH$1001,MATCH(ROWS($AF$2:AF196),$AF$2:$AF$1001,0),0),1)),INDEX($AK$2:$AK$1001,MATCH(ROWS($AF$2:AF196),$AF$2:$AF$1001,0),0)))</f>
        <v xml:space="preserve"> </v>
      </c>
      <c r="B196" s="4" t="str">
        <f ca="1">IF(OR(INDEX($AG$2:$AG$1001,MATCH(ROWS($AF$2:AF196),$AF$2:$AF$1001,0),1)&gt;=100000,INDEX($AM$1005:$BM$1005,1,MATCH(COLUMNS($AM$1006:AM1006),$AM$1006:$BM$1006,0))&gt;=100000), " ",IF(INDEX($AM$2:$BM$1001,MATCH(ROWS($AF$2:AF196),$AF$2:$AF$1001,0),MATCH(COLUMNS($AM$1006:AM1006),$AM$1006:$BM$1006,0)), HYPERLINK("#",""), HYPERLINK(CONCATENATE("#metadata!", ADDRESS(INDEX($AH$2:$AH$1001,MATCH(ROWS($AF$2:AF196),$AF$2:$AF$1001,0),0), INDEX($AM$1004:$BM$1004,1,MATCH(COLUMNS($AM$1006:AM1006),$AM$1006:$BM$1006,0)))),"Fix")))</f>
        <v xml:space="preserve"> </v>
      </c>
      <c r="C196" s="4" t="str">
        <f ca="1">IF(OR(INDEX($AG$2:$AG$1001,MATCH(ROWS($AF$2:AF196),$AF$2:$AF$1001,0),1)&gt;=100000,INDEX($AM$1005:$BM$1005,1,MATCH(COLUMNS($AM$1006:AN1006),$AM$1006:$BM$1006,0))&gt;=100000), " ",IF(INDEX($AM$2:$BM$1001,MATCH(ROWS($AF$2:AF196),$AF$2:$AF$1001,0),MATCH(COLUMNS($AM$1006:AN1006),$AM$1006:$BM$1006,0)), HYPERLINK("#",""), HYPERLINK(CONCATENATE("#metadata!", ADDRESS(INDEX($AH$2:$AH$1001,MATCH(ROWS($AF$2:AF196),$AF$2:$AF$1001,0),0), INDEX($AM$1004:$BM$1004,1,MATCH(COLUMNS($AM$1006:AN1006),$AM$1006:$BM$1006,0)))),"Fix")))</f>
        <v xml:space="preserve"> </v>
      </c>
      <c r="D196" s="4" t="str">
        <f ca="1">IF(OR(INDEX($AG$2:$AG$1001,MATCH(ROWS($AF$2:AF196),$AF$2:$AF$1001,0),1)&gt;=100000,INDEX($AM$1005:$BM$1005,1,MATCH(COLUMNS($AM$1006:AO1006),$AM$1006:$BM$1006,0))&gt;=100000), " ",IF(INDEX($AM$2:$BM$1001,MATCH(ROWS($AF$2:AF196),$AF$2:$AF$1001,0),MATCH(COLUMNS($AM$1006:AO1006),$AM$1006:$BM$1006,0)), HYPERLINK("#",""), HYPERLINK(CONCATENATE("#metadata!", ADDRESS(INDEX($AH$2:$AH$1001,MATCH(ROWS($AF$2:AF196),$AF$2:$AF$1001,0),0), INDEX($AM$1004:$BM$1004,1,MATCH(COLUMNS($AM$1006:AO1006),$AM$1006:$BM$1006,0)))),"Fix")))</f>
        <v xml:space="preserve"> </v>
      </c>
      <c r="E196" s="4" t="str">
        <f ca="1">IF(OR(INDEX($AG$2:$AG$1001,MATCH(ROWS($AF$2:AF196),$AF$2:$AF$1001,0),1)&gt;=100000,INDEX($AM$1005:$BM$1005,1,MATCH(COLUMNS($AM$1006:AP1006),$AM$1006:$BM$1006,0))&gt;=100000), " ",IF(INDEX($AM$2:$BM$1001,MATCH(ROWS($AF$2:AF196),$AF$2:$AF$1001,0),MATCH(COLUMNS($AM$1006:AP1006),$AM$1006:$BM$1006,0)), HYPERLINK("#",""), HYPERLINK(CONCATENATE("#metadata!", ADDRESS(INDEX($AH$2:$AH$1001,MATCH(ROWS($AF$2:AF196),$AF$2:$AF$1001,0),0), INDEX($AM$1004:$BM$1004,1,MATCH(COLUMNS($AM$1006:AP1006),$AM$1006:$BM$1006,0)))),"Fix")))</f>
        <v xml:space="preserve"> </v>
      </c>
      <c r="F196" s="4" t="str">
        <f ca="1">IF(OR(INDEX($AG$2:$AG$1001,MATCH(ROWS($AF$2:AF196),$AF$2:$AF$1001,0),1)&gt;=100000,INDEX($AM$1005:$BM$1005,1,MATCH(COLUMNS($AM$1006:AQ1006),$AM$1006:$BM$1006,0))&gt;=100000), " ",IF(INDEX($AM$2:$BM$1001,MATCH(ROWS($AF$2:AF196),$AF$2:$AF$1001,0),MATCH(COLUMNS($AM$1006:AQ1006),$AM$1006:$BM$1006,0)), HYPERLINK("#",""), HYPERLINK(CONCATENATE("#metadata!", ADDRESS(INDEX($AH$2:$AH$1001,MATCH(ROWS($AF$2:AF196),$AF$2:$AF$1001,0),0), INDEX($AM$1004:$BM$1004,1,MATCH(COLUMNS($AM$1006:AQ1006),$AM$1006:$BM$1006,0)))),"Fix")))</f>
        <v xml:space="preserve"> </v>
      </c>
      <c r="G196" s="4" t="str">
        <f ca="1">IF(OR(INDEX($AG$2:$AG$1001,MATCH(ROWS($AF$2:AF196),$AF$2:$AF$1001,0),1)&gt;=100000,INDEX($AM$1005:$BM$1005,1,MATCH(COLUMNS($AM$1006:AR1006),$AM$1006:$BM$1006,0))&gt;=100000), " ",IF(INDEX($AM$2:$BM$1001,MATCH(ROWS($AF$2:AF196),$AF$2:$AF$1001,0),MATCH(COLUMNS($AM$1006:AR1006),$AM$1006:$BM$1006,0)), HYPERLINK("#",""), HYPERLINK(CONCATENATE("#metadata!", ADDRESS(INDEX($AH$2:$AH$1001,MATCH(ROWS($AF$2:AF196),$AF$2:$AF$1001,0),0), INDEX($AM$1004:$BM$1004,1,MATCH(COLUMNS($AM$1006:AR1006),$AM$1006:$BM$1006,0)))),"Fix")))</f>
        <v xml:space="preserve"> </v>
      </c>
      <c r="H196" s="4" t="str">
        <f ca="1">IF(OR(INDEX($AG$2:$AG$1001,MATCH(ROWS($AF$2:AF196),$AF$2:$AF$1001,0),1)&gt;=100000,INDEX($AM$1005:$BM$1005,1,MATCH(COLUMNS($AM$1006:AS1006),$AM$1006:$BM$1006,0))&gt;=100000), " ",IF(INDEX($AM$2:$BM$1001,MATCH(ROWS($AF$2:AF196),$AF$2:$AF$1001,0),MATCH(COLUMNS($AM$1006:AS1006),$AM$1006:$BM$1006,0)), HYPERLINK("#",""), HYPERLINK(CONCATENATE("#metadata!", ADDRESS(INDEX($AH$2:$AH$1001,MATCH(ROWS($AF$2:AF196),$AF$2:$AF$1001,0),0), INDEX($AM$1004:$BM$1004,1,MATCH(COLUMNS($AM$1006:AS1006),$AM$1006:$BM$1006,0)))),"Fix")))</f>
        <v xml:space="preserve"> </v>
      </c>
      <c r="I196" s="4" t="str">
        <f ca="1">IF(OR(INDEX($AG$2:$AG$1001,MATCH(ROWS($AF$2:AF196),$AF$2:$AF$1001,0),1)&gt;=100000,INDEX($AM$1005:$BM$1005,1,MATCH(COLUMNS($AM$1006:AT1006),$AM$1006:$BM$1006,0))&gt;=100000), " ",IF(INDEX($AM$2:$BM$1001,MATCH(ROWS($AF$2:AF196),$AF$2:$AF$1001,0),MATCH(COLUMNS($AM$1006:AT1006),$AM$1006:$BM$1006,0)), HYPERLINK("#",""), HYPERLINK(CONCATENATE("#metadata!", ADDRESS(INDEX($AH$2:$AH$1001,MATCH(ROWS($AF$2:AF196),$AF$2:$AF$1001,0),0), INDEX($AM$1004:$BM$1004,1,MATCH(COLUMNS($AM$1006:AT1006),$AM$1006:$BM$1006,0)))),"Fix")))</f>
        <v xml:space="preserve"> </v>
      </c>
      <c r="J196" s="4" t="str">
        <f ca="1">IF(OR(INDEX($AG$2:$AG$1001,MATCH(ROWS($AF$2:AF196),$AF$2:$AF$1001,0),1)&gt;=100000,INDEX($AM$1005:$BM$1005,1,MATCH(COLUMNS($AM$1006:AU1006),$AM$1006:$BM$1006,0))&gt;=100000), " ",IF(INDEX($AM$2:$BM$1001,MATCH(ROWS($AF$2:AF196),$AF$2:$AF$1001,0),MATCH(COLUMNS($AM$1006:AU1006),$AM$1006:$BM$1006,0)), HYPERLINK("#",""), HYPERLINK(CONCATENATE("#metadata!", ADDRESS(INDEX($AH$2:$AH$1001,MATCH(ROWS($AF$2:AF196),$AF$2:$AF$1001,0),0), INDEX($AM$1004:$BM$1004,1,MATCH(COLUMNS($AM$1006:AU1006),$AM$1006:$BM$1006,0)))),"Fix")))</f>
        <v xml:space="preserve"> </v>
      </c>
      <c r="K196" s="4" t="str">
        <f ca="1">IF(OR(INDEX($AG$2:$AG$1001,MATCH(ROWS($AF$2:AF196),$AF$2:$AF$1001,0),1)&gt;=100000,INDEX($AM$1005:$BM$1005,1,MATCH(COLUMNS($AM$1006:AV1006),$AM$1006:$BM$1006,0))&gt;=100000), " ",IF(INDEX($AM$2:$BM$1001,MATCH(ROWS($AF$2:AF196),$AF$2:$AF$1001,0),MATCH(COLUMNS($AM$1006:AV1006),$AM$1006:$BM$1006,0)), HYPERLINK("#",""), HYPERLINK(CONCATENATE("#metadata!", ADDRESS(INDEX($AH$2:$AH$1001,MATCH(ROWS($AF$2:AF196),$AF$2:$AF$1001,0),0), INDEX($AM$1004:$BM$1004,1,MATCH(COLUMNS($AM$1006:AV1006),$AM$1006:$BM$1006,0)))),"Fix")))</f>
        <v xml:space="preserve"> </v>
      </c>
      <c r="L196" s="4" t="str">
        <f ca="1">IF(OR(INDEX($AG$2:$AG$1001,MATCH(ROWS($AF$2:AF196),$AF$2:$AF$1001,0),1)&gt;=100000,INDEX($AM$1005:$BM$1005,1,MATCH(COLUMNS($AM$1006:AW1006),$AM$1006:$BM$1006,0))&gt;=100000), " ",IF(INDEX($AM$2:$BM$1001,MATCH(ROWS($AF$2:AF196),$AF$2:$AF$1001,0),MATCH(COLUMNS($AM$1006:AW1006),$AM$1006:$BM$1006,0)), HYPERLINK("#",""), HYPERLINK(CONCATENATE("#metadata!", ADDRESS(INDEX($AH$2:$AH$1001,MATCH(ROWS($AF$2:AF196),$AF$2:$AF$1001,0),0), INDEX($AM$1004:$BM$1004,1,MATCH(COLUMNS($AM$1006:AW1006),$AM$1006:$BM$1006,0)))),"Fix")))</f>
        <v xml:space="preserve"> </v>
      </c>
      <c r="M196" s="4" t="str">
        <f ca="1">IF(OR(INDEX($AG$2:$AG$1001,MATCH(ROWS($AF$2:AF196),$AF$2:$AF$1001,0),1)&gt;=100000,INDEX($AM$1005:$BM$1005,1,MATCH(COLUMNS($AM$1006:AX1006),$AM$1006:$BM$1006,0))&gt;=100000), " ",IF(INDEX($AM$2:$BM$1001,MATCH(ROWS($AF$2:AF196),$AF$2:$AF$1001,0),MATCH(COLUMNS($AM$1006:AX1006),$AM$1006:$BM$1006,0)), HYPERLINK("#",""), HYPERLINK(CONCATENATE("#metadata!", ADDRESS(INDEX($AH$2:$AH$1001,MATCH(ROWS($AF$2:AF196),$AF$2:$AF$1001,0),0), INDEX($AM$1004:$BM$1004,1,MATCH(COLUMNS($AM$1006:AX1006),$AM$1006:$BM$1006,0)))),"Fix")))</f>
        <v xml:space="preserve"> </v>
      </c>
      <c r="N196" s="4" t="str">
        <f ca="1">IF(OR(INDEX($AG$2:$AG$1001,MATCH(ROWS($AF$2:AF196),$AF$2:$AF$1001,0),1)&gt;=100000,INDEX($AM$1005:$BM$1005,1,MATCH(COLUMNS($AM$1006:AY1006),$AM$1006:$BM$1006,0))&gt;=100000), " ",IF(INDEX($AM$2:$BM$1001,MATCH(ROWS($AF$2:AF196),$AF$2:$AF$1001,0),MATCH(COLUMNS($AM$1006:AY1006),$AM$1006:$BM$1006,0)), HYPERLINK("#",""), HYPERLINK(CONCATENATE("#metadata!", ADDRESS(INDEX($AH$2:$AH$1001,MATCH(ROWS($AF$2:AF196),$AF$2:$AF$1001,0),0), INDEX($AM$1004:$BM$1004,1,MATCH(COLUMNS($AM$1006:AY1006),$AM$1006:$BM$1006,0)))),"Fix")))</f>
        <v xml:space="preserve"> </v>
      </c>
      <c r="O196" s="4" t="str">
        <f ca="1">IF(OR(INDEX($AG$2:$AG$1001,MATCH(ROWS($AF$2:AF196),$AF$2:$AF$1001,0),1)&gt;=100000,INDEX($AM$1005:$BM$1005,1,MATCH(COLUMNS($AM$1006:AZ1006),$AM$1006:$BM$1006,0))&gt;=100000), " ",IF(INDEX($AM$2:$BM$1001,MATCH(ROWS($AF$2:AF196),$AF$2:$AF$1001,0),MATCH(COLUMNS($AM$1006:AZ1006),$AM$1006:$BM$1006,0)), HYPERLINK("#",""), HYPERLINK(CONCATENATE("#metadata!", ADDRESS(INDEX($AH$2:$AH$1001,MATCH(ROWS($AF$2:AF196),$AF$2:$AF$1001,0),0), INDEX($AM$1004:$BM$1004,1,MATCH(COLUMNS($AM$1006:AZ1006),$AM$1006:$BM$1006,0)))),"Fix")))</f>
        <v xml:space="preserve"> </v>
      </c>
      <c r="P196" s="4" t="str">
        <f ca="1">IF(OR(INDEX($AG$2:$AG$1001,MATCH(ROWS($AF$2:AF196),$AF$2:$AF$1001,0),1)&gt;=100000,INDEX($AM$1005:$BM$1005,1,MATCH(COLUMNS($AM$1006:BA1006),$AM$1006:$BM$1006,0))&gt;=100000), " ",IF(INDEX($AM$2:$BM$1001,MATCH(ROWS($AF$2:AF196),$AF$2:$AF$1001,0),MATCH(COLUMNS($AM$1006:BA1006),$AM$1006:$BM$1006,0)), HYPERLINK("#",""), HYPERLINK(CONCATENATE("#metadata!", ADDRESS(INDEX($AH$2:$AH$1001,MATCH(ROWS($AF$2:AF196),$AF$2:$AF$1001,0),0), INDEX($AM$1004:$BM$1004,1,MATCH(COLUMNS($AM$1006:BA1006),$AM$1006:$BM$1006,0)))),"Fix")))</f>
        <v xml:space="preserve"> </v>
      </c>
      <c r="Q196" s="4" t="str">
        <f ca="1">IF(OR(INDEX($AG$2:$AG$1001,MATCH(ROWS($AF$2:AF196),$AF$2:$AF$1001,0),1)&gt;=100000,INDEX($AM$1005:$BM$1005,1,MATCH(COLUMNS($AM$1006:BB1006),$AM$1006:$BM$1006,0))&gt;=100000), " ",IF(INDEX($AM$2:$BM$1001,MATCH(ROWS($AF$2:AF196),$AF$2:$AF$1001,0),MATCH(COLUMNS($AM$1006:BB1006),$AM$1006:$BM$1006,0)), HYPERLINK("#",""), HYPERLINK(CONCATENATE("#metadata!", ADDRESS(INDEX($AH$2:$AH$1001,MATCH(ROWS($AF$2:AF196),$AF$2:$AF$1001,0),0), INDEX($AM$1004:$BM$1004,1,MATCH(COLUMNS($AM$1006:BB1006),$AM$1006:$BM$1006,0)))),"Fix")))</f>
        <v xml:space="preserve"> </v>
      </c>
      <c r="R196" s="4" t="str">
        <f ca="1">IF(OR(INDEX($AG$2:$AG$1001,MATCH(ROWS($AF$2:AF196),$AF$2:$AF$1001,0),1)&gt;=100000,INDEX($AM$1005:$BM$1005,1,MATCH(COLUMNS($AM$1006:BC1006),$AM$1006:$BM$1006,0))&gt;=100000), " ",IF(INDEX($AM$2:$BM$1001,MATCH(ROWS($AF$2:AF196),$AF$2:$AF$1001,0),MATCH(COLUMNS($AM$1006:BC1006),$AM$1006:$BM$1006,0)), HYPERLINK("#",""), HYPERLINK(CONCATENATE("#metadata!", ADDRESS(INDEX($AH$2:$AH$1001,MATCH(ROWS($AF$2:AF196),$AF$2:$AF$1001,0),0), INDEX($AM$1004:$BM$1004,1,MATCH(COLUMNS($AM$1006:BC1006),$AM$1006:$BM$1006,0)))),"Fix")))</f>
        <v xml:space="preserve"> </v>
      </c>
      <c r="S196" s="4" t="str">
        <f ca="1">IF(OR(INDEX($AG$2:$AG$1001,MATCH(ROWS($AF$2:AF196),$AF$2:$AF$1001,0),1)&gt;=100000,INDEX($AM$1005:$BM$1005,1,MATCH(COLUMNS($AM$1006:BD1006),$AM$1006:$BM$1006,0))&gt;=100000), " ",IF(INDEX($AM$2:$BM$1001,MATCH(ROWS($AF$2:AF196),$AF$2:$AF$1001,0),MATCH(COLUMNS($AM$1006:BD1006),$AM$1006:$BM$1006,0)), HYPERLINK("#",""), HYPERLINK(CONCATENATE("#metadata!", ADDRESS(INDEX($AH$2:$AH$1001,MATCH(ROWS($AF$2:AF196),$AF$2:$AF$1001,0),0), INDEX($AM$1004:$BM$1004,1,MATCH(COLUMNS($AM$1006:BD1006),$AM$1006:$BM$1006,0)))),"Fix")))</f>
        <v xml:space="preserve"> </v>
      </c>
      <c r="T196" s="4" t="str">
        <f ca="1">IF(OR(INDEX($AG$2:$AG$1001,MATCH(ROWS($AF$2:AF196),$AF$2:$AF$1001,0),1)&gt;=100000,INDEX($AM$1005:$BM$1005,1,MATCH(COLUMNS($AM$1006:BE1006),$AM$1006:$BM$1006,0))&gt;=100000), " ",IF(INDEX($AM$2:$BM$1001,MATCH(ROWS($AF$2:AF196),$AF$2:$AF$1001,0),MATCH(COLUMNS($AM$1006:BE1006),$AM$1006:$BM$1006,0)), HYPERLINK("#",""), HYPERLINK(CONCATENATE("#metadata!", ADDRESS(INDEX($AH$2:$AH$1001,MATCH(ROWS($AF$2:AF196),$AF$2:$AF$1001,0),0), INDEX($AM$1004:$BM$1004,1,MATCH(COLUMNS($AM$1006:BE1006),$AM$1006:$BM$1006,0)))),"Fix")))</f>
        <v xml:space="preserve"> </v>
      </c>
      <c r="U196" s="4" t="str">
        <f ca="1">IF(OR(INDEX($AG$2:$AG$1001,MATCH(ROWS($AF$2:AF196),$AF$2:$AF$1001,0),1)&gt;=100000,INDEX($AM$1005:$BM$1005,1,MATCH(COLUMNS($AM$1006:BF1006),$AM$1006:$BM$1006,0))&gt;=100000), " ",IF(INDEX($AM$2:$BM$1001,MATCH(ROWS($AF$2:AF196),$AF$2:$AF$1001,0),MATCH(COLUMNS($AM$1006:BF1006),$AM$1006:$BM$1006,0)), HYPERLINK("#",""), HYPERLINK(CONCATENATE("#metadata!", ADDRESS(INDEX($AH$2:$AH$1001,MATCH(ROWS($AF$2:AF196),$AF$2:$AF$1001,0),0), INDEX($AM$1004:$BM$1004,1,MATCH(COLUMNS($AM$1006:BF1006),$AM$1006:$BM$1006,0)))),"Fix")))</f>
        <v xml:space="preserve"> </v>
      </c>
      <c r="V196" s="4" t="str">
        <f ca="1">IF(OR(INDEX($AG$2:$AG$1001,MATCH(ROWS($AF$2:AF196),$AF$2:$AF$1001,0),1)&gt;=100000,INDEX($AM$1005:$BM$1005,1,MATCH(COLUMNS($AM$1006:BG1006),$AM$1006:$BM$1006,0))&gt;=100000), " ",IF(INDEX($AM$2:$BM$1001,MATCH(ROWS($AF$2:AF196),$AF$2:$AF$1001,0),MATCH(COLUMNS($AM$1006:BG1006),$AM$1006:$BM$1006,0)), HYPERLINK("#",""), HYPERLINK(CONCATENATE("#metadata!", ADDRESS(INDEX($AH$2:$AH$1001,MATCH(ROWS($AF$2:AF196),$AF$2:$AF$1001,0),0), INDEX($AM$1004:$BM$1004,1,MATCH(COLUMNS($AM$1006:BG1006),$AM$1006:$BM$1006,0)))),"Fix")))</f>
        <v xml:space="preserve"> </v>
      </c>
      <c r="W196" s="4" t="str">
        <f ca="1">IF(OR(INDEX($AG$2:$AG$1001,MATCH(ROWS($AF$2:AF196),$AF$2:$AF$1001,0),1)&gt;=100000,INDEX($AM$1005:$BM$1005,1,MATCH(COLUMNS($AM$1006:BH1006),$AM$1006:$BM$1006,0))&gt;=100000), " ",IF(INDEX($AM$2:$BM$1001,MATCH(ROWS($AF$2:AF196),$AF$2:$AF$1001,0),MATCH(COLUMNS($AM$1006:BH1006),$AM$1006:$BM$1006,0)), HYPERLINK("#",""), HYPERLINK(CONCATENATE("#metadata!", ADDRESS(INDEX($AH$2:$AH$1001,MATCH(ROWS($AF$2:AF196),$AF$2:$AF$1001,0),0), INDEX($AM$1004:$BM$1004,1,MATCH(COLUMNS($AM$1006:BH1006),$AM$1006:$BM$1006,0)))),"Fix")))</f>
        <v xml:space="preserve"> </v>
      </c>
      <c r="X196" s="4" t="str">
        <f ca="1">IF(OR(INDEX($AG$2:$AG$1001,MATCH(ROWS($AF$2:AF196),$AF$2:$AF$1001,0),1)&gt;=100000,INDEX($AM$1005:$BM$1005,1,MATCH(COLUMNS($AM$1006:BI1006),$AM$1006:$BM$1006,0))&gt;=100000), " ",IF(INDEX($AM$2:$BM$1001,MATCH(ROWS($AF$2:AF196),$AF$2:$AF$1001,0),MATCH(COLUMNS($AM$1006:BI1006),$AM$1006:$BM$1006,0)), HYPERLINK("#",""), HYPERLINK(CONCATENATE("#metadata!", ADDRESS(INDEX($AH$2:$AH$1001,MATCH(ROWS($AF$2:AF196),$AF$2:$AF$1001,0),0), INDEX($AM$1004:$BM$1004,1,MATCH(COLUMNS($AM$1006:BI1006),$AM$1006:$BM$1006,0)))),"Fix")))</f>
        <v xml:space="preserve"> </v>
      </c>
      <c r="Y196" s="4" t="str">
        <f ca="1">IF(OR(INDEX($AG$2:$AG$1001,MATCH(ROWS($AF$2:AF196),$AF$2:$AF$1001,0),1)&gt;=100000,INDEX($AM$1005:$BM$1005,1,MATCH(COLUMNS($AM$1006:BJ1006),$AM$1006:$BM$1006,0))&gt;=100000), " ",IF(INDEX($AM$2:$BM$1001,MATCH(ROWS($AF$2:AF196),$AF$2:$AF$1001,0),MATCH(COLUMNS($AM$1006:BJ1006),$AM$1006:$BM$1006,0)), HYPERLINK("#",""), HYPERLINK(CONCATENATE("#metadata!", ADDRESS(INDEX($AH$2:$AH$1001,MATCH(ROWS($AF$2:AF196),$AF$2:$AF$1001,0),0), INDEX($AM$1004:$BM$1004,1,MATCH(COLUMNS($AM$1006:BJ1006),$AM$1006:$BM$1006,0)))),"Fix")))</f>
        <v xml:space="preserve"> </v>
      </c>
      <c r="Z196" s="4" t="str">
        <f ca="1">IF(OR(INDEX($AG$2:$AG$1001,MATCH(ROWS($AF$2:AF196),$AF$2:$AF$1001,0),1)&gt;=100000,INDEX($AM$1005:$BM$1005,1,MATCH(COLUMNS($AM$1006:BK1006),$AM$1006:$BM$1006,0))&gt;=100000), " ",IF(INDEX($AM$2:$BM$1001,MATCH(ROWS($AF$2:AF196),$AF$2:$AF$1001,0),MATCH(COLUMNS($AM$1006:BK1006),$AM$1006:$BM$1006,0)), HYPERLINK("#",""), HYPERLINK(CONCATENATE("#metadata!", ADDRESS(INDEX($AH$2:$AH$1001,MATCH(ROWS($AF$2:AF196),$AF$2:$AF$1001,0),0), INDEX($AM$1004:$BM$1004,1,MATCH(COLUMNS($AM$1006:BK1006),$AM$1006:$BM$1006,0)))),"Fix")))</f>
        <v xml:space="preserve"> </v>
      </c>
      <c r="AA196" s="4" t="str">
        <f ca="1">IF(OR(INDEX($AG$2:$AG$1001,MATCH(ROWS($AF$2:AF196),$AF$2:$AF$1001,0),1)&gt;=100000,INDEX($AM$1005:$BM$1005,1,MATCH(COLUMNS($AM$1006:BL1006),$AM$1006:$BM$1006,0))&gt;=100000), " ",IF(INDEX($AM$2:$BM$1001,MATCH(ROWS($AF$2:AF196),$AF$2:$AF$1001,0),MATCH(COLUMNS($AM$1006:BL1006),$AM$1006:$BM$1006,0)), HYPERLINK("#",""), HYPERLINK(CONCATENATE("#metadata!", ADDRESS(INDEX($AH$2:$AH$1001,MATCH(ROWS($AF$2:AF196),$AF$2:$AF$1001,0),0), INDEX($AM$1004:$BM$1004,1,MATCH(COLUMNS($AM$1006:BL1006),$AM$1006:$BM$1006,0)))),"Fix")))</f>
        <v xml:space="preserve"> </v>
      </c>
      <c r="AB196" s="4" t="str">
        <f ca="1">IF(OR(INDEX($AG$2:$AG$1001,MATCH(ROWS($AF$2:AF196),$AF$2:$AF$1001,0),1)&gt;=100000,INDEX($AM$1005:$BM$1005,1,MATCH(COLUMNS($AM$1006:BM1006),$AM$1006:$BM$1006,0))&gt;=100000), " ",IF(INDEX($AM$2:$BM$1001,MATCH(ROWS($AF$2:AF196),$AF$2:$AF$1001,0),MATCH(COLUMNS($AM$1006:BM1006),$AM$1006:$BM$1006,0)), HYPERLINK("#",""), HYPERLINK(CONCATENATE("#metadata!", ADDRESS(INDEX($AH$2:$AH$1001,MATCH(ROWS($AF$2:AF196),$AF$2:$AF$1001,0),0), INDEX($AM$1004:$BM$1004,1,MATCH(COLUMNS($AM$1006:BM1006),$AM$1006:$BM$1006,0)))),"Fix")))</f>
        <v xml:space="preserve"> </v>
      </c>
      <c r="AF196">
        <v>195</v>
      </c>
      <c r="AG196">
        <v>100196</v>
      </c>
      <c r="AH196">
        <v>196</v>
      </c>
      <c r="AI196" t="b">
        <f t="shared" si="3"/>
        <v>1</v>
      </c>
      <c r="AJ196" t="b">
        <f>COUNTBLANK(metadata!B196:AB196)=COLUMNS(metadata!B196:AB196)</f>
        <v>1</v>
      </c>
      <c r="AK196" t="str">
        <v/>
      </c>
      <c r="AM196" t="b">
        <f ca="1">AND(IF(metadata!B196="",FALSE,TRUE),COUNTIF(metadata!B:B, metadata!B196) = 1,NOT(ISERROR(SUMPRODUCT(SEARCH(MID(metadata!B196,ROW(INDIRECT("1:"&amp;LEN(metadata!B196))), 1),"0123456789abcdefghijklmnopqrstuvwxyzABCDEFGHIJKLMNOPQRSTUVWXYZ.")))))</f>
        <v>0</v>
      </c>
      <c r="AN196" t="b">
        <f ca="1">OR(AND(IF(metadata!C196="",FALSE,TRUE),OR(EXACT(metadata!C196,"missing: not collected"),EXACT(metadata!C196,"missing: not provided"),EXACT(metadata!C196,"missing: restricted access"))),AND(IF(metadata!C196="",FALSE,TRUE),AND(AND(IFERROR(INT(LEFT(metadata!C196,4))&gt;1900,FALSE),IFERROR(INT(LEFT(metadata!C196,4))&lt;=YEAR(NOW()),FALSE)), OR(MID(metadata!C196,5,1)="", AND(AND(MID(metadata!C196,5,1)="-",IFERROR(INT(MID(metadata!C196,6,1))&gt;=0,FALSE),IFERROR(INT(MID(metadata!C196,6,1))&lt;=1,FALSE),NOT(MID(metadata!C196,7,1)=""),IFERROR(INT(MID(metadata!C196,6,2))&gt;=1,FALSE),IFERROR(INT(MID(metadata!C196,6,2))&lt;=12,FALSE)), OR(MID(metadata!C196,8,1)="", AND(AND(MID(metadata!C196,8,1)="-",IFERROR(INT(MID(metadata!C196,9,1))&gt;=0,FALSE),IFERROR(INT(MID(metadata!C196,9,1))&lt;=3,FALSE),NOT(MID(metadata!C196,10,1)=""),IFERROR(INT(MID(metadata!C196,9,2))&gt;=1,FALSE),IFERROR(INT(MID(metadata!C196,9,2))&lt;=31,FALSE)), OR(MID(metadata!C196,11,1)="", AND(AND(MID(metadata!C196,11,1)=" ",IFERROR(INT(MID(metadata!C196,12,1))&gt;=0,FALSE),IFERROR(INT(MID(metadata!C196,12,1))&lt;=2,FALSE),NOT(MID(metadata!C196,13,1)=""),IFERROR(INT(MID(metadata!C196,12,2))&gt;=0,FALSE),IFERROR(INT(MID(metadata!C196,12,2))&lt;=23,FALSE)), OR(MID(metadata!C196,14,1)="", AND(AND(MID(metadata!C196,14,1)=":",IFERROR(INT(MID(metadata!C196,15,1))&gt;=0,FALSE),IFERROR(INT(MID(metadata!C196,15,1))&lt;=5,FALSE),NOT(MID(metadata!C196,16,1)=""),IFERROR(INT(MID(metadata!C196,15,2))&gt;=0,FALSE),IFERROR(INT(MID(metadata!C196,15,2))&lt;=59,FALSE)), OR(MID(metadata!C196,17,1)="", AND(AND(MID(metadata!C196,17,1)=":",IFERROR(INT(MID(metadata!C196,18,1))&gt;=0,FALSE),IFERROR(INT(MID(metadata!C196,18,1))&lt;=5,FALSE),NOT(MID(metadata!C196,19,1)=""),IFERROR(INT(MID(metadata!C196,18,2))&gt;=0,FALSE),IFERROR(INT(MID(metadata!C196,18,2))&lt;=59,FALSE)), LEN(metadata!C196)&lt;=19)))))))))))))</f>
        <v>0</v>
      </c>
      <c r="AO196" t="b">
        <f>AND(IF(metadata!D196="",FALSE,TRUE),EXACT(metadata!D196,"Not applicable"))</f>
        <v>0</v>
      </c>
      <c r="AP196" t="b">
        <f>IF(metadata!E196="",FALSE,TRUE)</f>
        <v>0</v>
      </c>
      <c r="AQ196" t="b">
        <f>OR(AND(IF(metadata!F196="",FALSE,TRUE),OR(EXACT(metadata!F196,"missing: not collected"),EXACT(metadata!F196,"missing: not provided"))),AND(IF(metadata!F196="",FALSE,TRUE),OR(EXACT(metadata!F196,"TRUE"),EXACT(metadata!F196,"FALSE"))))</f>
        <v>0</v>
      </c>
      <c r="AR196" t="b">
        <f>OR(AND(IF(metadata!G196="",FALSE,TRUE),OR(EXACT(metadata!G196,"missing: not collected"),EXACT(metadata!G196,"missing: not provided"),EXACT(metadata!G196,"missing: restricted access"))),AND(IF(metadata!G196="",FALSE,ISNUMBER(VALUE(metadata!G196))),metadata!G196&gt;=-413))</f>
        <v>0</v>
      </c>
      <c r="AS196" t="b">
        <f>AND(IF(metadata!H196="",FALSE,TRUE),EXACT(metadata!H196,"meters"))</f>
        <v>0</v>
      </c>
      <c r="AT196" t="b">
        <f>AND(IF(metadata!I196="",FALSE,TRUE),OR(EXACT(metadata!I196,"Host-associated"),EXACT(metadata!I196,"Free-living")))</f>
        <v>0</v>
      </c>
      <c r="AU196" t="b">
        <f>AND(IF(metadata!J196="",FALSE,TRUE),OR(EXACT(metadata!J196,"Animal"),EXACT(metadata!J196,"Fungus"),EXACT(metadata!J196,"Plant"),EXACT(metadata!J196,"Saline"),EXACT(metadata!J196,"Non-saline")))</f>
        <v>0</v>
      </c>
      <c r="AV196" t="b">
        <f>AND(IF(metadata!K196="",FALSE,TRUE),OR(EXACT(metadata!K196,"Plant secretion"),EXACT(metadata!K196,"Plant rhizosphere"),EXACT(metadata!K196,"Plant surface"),EXACT(metadata!K196,"Plant corpus"),EXACT(metadata!K196,"Fungus surface"),EXACT(metadata!K196,"Fungus corpus"),EXACT(metadata!K196,"Animal surface"),EXACT(metadata!K196,"Animal proximal gut"),EXACT(metadata!K196,"Animal corpus"),EXACT(metadata!K196,"Animal distal gut"),EXACT(metadata!K196,"Animal secretion"),EXACT(metadata!K196,"Sub-surface (non-saline)"),EXACT(metadata!K196,"Surface (non-saline)"),EXACT(metadata!K196,"Water (non-saline)"),EXACT(metadata!K196,"Soil (non-saline)"),EXACT(metadata!K196,"Aerosol (non-saline)"),EXACT(metadata!K196,"Sediment (non-saline)"),EXACT(metadata!K196,"Surface (saline)"),EXACT(metadata!K196,"Water (saline)"),EXACT(metadata!K196,"Hypersaline (saline)"),EXACT(metadata!K196,"Aerosol (saline)"),EXACT(metadata!K196,"Sediment (saline)")))</f>
        <v>0</v>
      </c>
      <c r="AW196" t="b">
        <f>IF(metadata!L196="",FALSE,TRUE)</f>
        <v>0</v>
      </c>
      <c r="AX196" t="b">
        <f>IF(metadata!M196="",FALSE,TRUE)</f>
        <v>0</v>
      </c>
      <c r="AY196" t="b">
        <f>IF(metadata!N196="",FALSE,TRUE)</f>
        <v>0</v>
      </c>
      <c r="AZ196" t="b">
        <f>OR(AND(IF(metadata!O196="",FALSE,TRUE),OR(EXACT(metadata!O196,"missing: not collected"),EXACT(metadata!O196,"missing: not provided"),EXACT(metadata!O196,"missing: restricted access"))),AND(IF(metadata!O196="",FALSE,TRUE),OR(EXACT(metadata!O196,"air"),EXACT(metadata!O196,"built environment"),EXACT(metadata!O196,"host-associated"),EXACT(metadata!O196,"human-associated"),EXACT(metadata!O196,"human-skin"),EXACT(metadata!O196,"human-oral"),EXACT(metadata!O196,"human-gut"),EXACT(metadata!O196,"human-vaginal"),EXACT(metadata!O196,"microbial mat/biofilm"),EXACT(metadata!O196,"misc environment"),EXACT(metadata!O196,"plant-associated"),EXACT(metadata!O196,"sediment"),EXACT(metadata!O196,"soil"),EXACT(metadata!O196,"wastewater/sludge"),EXACT(metadata!O196,"water"))))</f>
        <v>0</v>
      </c>
      <c r="BA196" t="b">
        <f>IF(metadata!P196="",FALSE,TRUE)</f>
        <v>0</v>
      </c>
      <c r="BB196" t="b">
        <f>IF(metadata!Q196="",FALSE,TRUE)</f>
        <v>0</v>
      </c>
      <c r="BC196" t="b">
        <f>OR(AND(IF(metadata!R196="",FALSE,TRUE),OR(EXACT(metadata!R196,"missing: not collected"),EXACT(metadata!R196,"missing: not provided"),EXACT(metadata!R196,"missing: restricted access"))),AND(IF(metadata!R196="",FALSE,ISNUMBER(VALUE(metadata!R196))),metadata!R196&gt;=-90,metadata!R196&lt;=90))</f>
        <v>0</v>
      </c>
      <c r="BD196" t="b">
        <f>AND(IF(metadata!S196="",FALSE,TRUE),EXACT(metadata!S196,"Decimal degrees"))</f>
        <v>0</v>
      </c>
      <c r="BE196" t="b">
        <f>OR(AND(IF(metadata!T196="",FALSE,TRUE),OR(EXACT(metadata!T196,"missing: not collected"),EXACT(metadata!T196,"missing: not provided"),EXACT(metadata!T196,"missing: restricted access"))),AND(IF(metadata!T196="",FALSE,ISNUMBER(VALUE(metadata!T196))),metadata!T196&gt;=-180,metadata!T196&lt;=180))</f>
        <v>0</v>
      </c>
      <c r="BF196" t="b">
        <f>AND(IF(metadata!U196="",FALSE,TRUE),EXACT(metadata!U196,"Decimal degrees"))</f>
        <v>0</v>
      </c>
      <c r="BG196" t="b">
        <f>IF(metadata!V196="",FALSE,TRUE)</f>
        <v>0</v>
      </c>
      <c r="BH196" t="b">
        <f>OR(AND(IF(metadata!W196="",FALSE,TRUE),OR(EXACT(metadata!W196,"missing: not collected"),EXACT(metadata!W196,"missing: not provided"),EXACT(metadata!W196,"missing: restricted access"))),AND(IF(metadata!W196="",FALSE,TRUE),OR(EXACT(metadata!W196,"TRUE"),EXACT(metadata!W196,"FALSE"))))</f>
        <v>0</v>
      </c>
      <c r="BI196" t="b">
        <f>AND(IF(metadata!X196="",FALSE,TRUE),EXACT(metadata!X196,"other"))</f>
        <v>0</v>
      </c>
      <c r="BJ196" t="b">
        <f>IF(metadata!Y196="",FALSE,TRUE)</f>
        <v>0</v>
      </c>
      <c r="BK196" t="b">
        <f>OR(AND(IF(metadata!Z196="",FALSE,TRUE),OR(EXACT(metadata!Z196,"missing: not collected"),EXACT(metadata!Z196,"missing: not provided"))),AND(IF(metadata!Z196="",FALSE,IF(ISERROR(INT(metadata!Z196)),FALSE,INT(metadata!Z196)=metadata!Z196)),metadata!Z196&gt;0))</f>
        <v>0</v>
      </c>
      <c r="BL196" t="b">
        <f>AND(IF(metadata!AA196="",FALSE,TRUE),EXACT(metadata!AA196,"Not applicable"))</f>
        <v>0</v>
      </c>
      <c r="BM196" t="b">
        <f>IF(metadata!AB196="",FALSE,TRUE)</f>
        <v>0</v>
      </c>
    </row>
    <row r="197" spans="1:65" x14ac:dyDescent="0.2">
      <c r="A197" s="5" t="str">
        <f ca="1">IF(B197=" "," ",HYPERLINK(CONCATENATE("#metadata!",ADDRESS(INDEX($AH$2:$AH$1001,MATCH(ROWS($AF$2:AF197),$AF$2:$AF$1001,0),0),1)),INDEX($AK$2:$AK$1001,MATCH(ROWS($AF$2:AF197),$AF$2:$AF$1001,0),0)))</f>
        <v xml:space="preserve"> </v>
      </c>
      <c r="B197" s="4" t="str">
        <f ca="1">IF(OR(INDEX($AG$2:$AG$1001,MATCH(ROWS($AF$2:AF197),$AF$2:$AF$1001,0),1)&gt;=100000,INDEX($AM$1005:$BM$1005,1,MATCH(COLUMNS($AM$1006:AM1006),$AM$1006:$BM$1006,0))&gt;=100000), " ",IF(INDEX($AM$2:$BM$1001,MATCH(ROWS($AF$2:AF197),$AF$2:$AF$1001,0),MATCH(COLUMNS($AM$1006:AM1006),$AM$1006:$BM$1006,0)), HYPERLINK("#",""), HYPERLINK(CONCATENATE("#metadata!", ADDRESS(INDEX($AH$2:$AH$1001,MATCH(ROWS($AF$2:AF197),$AF$2:$AF$1001,0),0), INDEX($AM$1004:$BM$1004,1,MATCH(COLUMNS($AM$1006:AM1006),$AM$1006:$BM$1006,0)))),"Fix")))</f>
        <v xml:space="preserve"> </v>
      </c>
      <c r="C197" s="4" t="str">
        <f ca="1">IF(OR(INDEX($AG$2:$AG$1001,MATCH(ROWS($AF$2:AF197),$AF$2:$AF$1001,0),1)&gt;=100000,INDEX($AM$1005:$BM$1005,1,MATCH(COLUMNS($AM$1006:AN1006),$AM$1006:$BM$1006,0))&gt;=100000), " ",IF(INDEX($AM$2:$BM$1001,MATCH(ROWS($AF$2:AF197),$AF$2:$AF$1001,0),MATCH(COLUMNS($AM$1006:AN1006),$AM$1006:$BM$1006,0)), HYPERLINK("#",""), HYPERLINK(CONCATENATE("#metadata!", ADDRESS(INDEX($AH$2:$AH$1001,MATCH(ROWS($AF$2:AF197),$AF$2:$AF$1001,0),0), INDEX($AM$1004:$BM$1004,1,MATCH(COLUMNS($AM$1006:AN1006),$AM$1006:$BM$1006,0)))),"Fix")))</f>
        <v xml:space="preserve"> </v>
      </c>
      <c r="D197" s="4" t="str">
        <f ca="1">IF(OR(INDEX($AG$2:$AG$1001,MATCH(ROWS($AF$2:AF197),$AF$2:$AF$1001,0),1)&gt;=100000,INDEX($AM$1005:$BM$1005,1,MATCH(COLUMNS($AM$1006:AO1006),$AM$1006:$BM$1006,0))&gt;=100000), " ",IF(INDEX($AM$2:$BM$1001,MATCH(ROWS($AF$2:AF197),$AF$2:$AF$1001,0),MATCH(COLUMNS($AM$1006:AO1006),$AM$1006:$BM$1006,0)), HYPERLINK("#",""), HYPERLINK(CONCATENATE("#metadata!", ADDRESS(INDEX($AH$2:$AH$1001,MATCH(ROWS($AF$2:AF197),$AF$2:$AF$1001,0),0), INDEX($AM$1004:$BM$1004,1,MATCH(COLUMNS($AM$1006:AO1006),$AM$1006:$BM$1006,0)))),"Fix")))</f>
        <v xml:space="preserve"> </v>
      </c>
      <c r="E197" s="4" t="str">
        <f ca="1">IF(OR(INDEX($AG$2:$AG$1001,MATCH(ROWS($AF$2:AF197),$AF$2:$AF$1001,0),1)&gt;=100000,INDEX($AM$1005:$BM$1005,1,MATCH(COLUMNS($AM$1006:AP1006),$AM$1006:$BM$1006,0))&gt;=100000), " ",IF(INDEX($AM$2:$BM$1001,MATCH(ROWS($AF$2:AF197),$AF$2:$AF$1001,0),MATCH(COLUMNS($AM$1006:AP1006),$AM$1006:$BM$1006,0)), HYPERLINK("#",""), HYPERLINK(CONCATENATE("#metadata!", ADDRESS(INDEX($AH$2:$AH$1001,MATCH(ROWS($AF$2:AF197),$AF$2:$AF$1001,0),0), INDEX($AM$1004:$BM$1004,1,MATCH(COLUMNS($AM$1006:AP1006),$AM$1006:$BM$1006,0)))),"Fix")))</f>
        <v xml:space="preserve"> </v>
      </c>
      <c r="F197" s="4" t="str">
        <f ca="1">IF(OR(INDEX($AG$2:$AG$1001,MATCH(ROWS($AF$2:AF197),$AF$2:$AF$1001,0),1)&gt;=100000,INDEX($AM$1005:$BM$1005,1,MATCH(COLUMNS($AM$1006:AQ1006),$AM$1006:$BM$1006,0))&gt;=100000), " ",IF(INDEX($AM$2:$BM$1001,MATCH(ROWS($AF$2:AF197),$AF$2:$AF$1001,0),MATCH(COLUMNS($AM$1006:AQ1006),$AM$1006:$BM$1006,0)), HYPERLINK("#",""), HYPERLINK(CONCATENATE("#metadata!", ADDRESS(INDEX($AH$2:$AH$1001,MATCH(ROWS($AF$2:AF197),$AF$2:$AF$1001,0),0), INDEX($AM$1004:$BM$1004,1,MATCH(COLUMNS($AM$1006:AQ1006),$AM$1006:$BM$1006,0)))),"Fix")))</f>
        <v xml:space="preserve"> </v>
      </c>
      <c r="G197" s="4" t="str">
        <f ca="1">IF(OR(INDEX($AG$2:$AG$1001,MATCH(ROWS($AF$2:AF197),$AF$2:$AF$1001,0),1)&gt;=100000,INDEX($AM$1005:$BM$1005,1,MATCH(COLUMNS($AM$1006:AR1006),$AM$1006:$BM$1006,0))&gt;=100000), " ",IF(INDEX($AM$2:$BM$1001,MATCH(ROWS($AF$2:AF197),$AF$2:$AF$1001,0),MATCH(COLUMNS($AM$1006:AR1006),$AM$1006:$BM$1006,0)), HYPERLINK("#",""), HYPERLINK(CONCATENATE("#metadata!", ADDRESS(INDEX($AH$2:$AH$1001,MATCH(ROWS($AF$2:AF197),$AF$2:$AF$1001,0),0), INDEX($AM$1004:$BM$1004,1,MATCH(COLUMNS($AM$1006:AR1006),$AM$1006:$BM$1006,0)))),"Fix")))</f>
        <v xml:space="preserve"> </v>
      </c>
      <c r="H197" s="4" t="str">
        <f ca="1">IF(OR(INDEX($AG$2:$AG$1001,MATCH(ROWS($AF$2:AF197),$AF$2:$AF$1001,0),1)&gt;=100000,INDEX($AM$1005:$BM$1005,1,MATCH(COLUMNS($AM$1006:AS1006),$AM$1006:$BM$1006,0))&gt;=100000), " ",IF(INDEX($AM$2:$BM$1001,MATCH(ROWS($AF$2:AF197),$AF$2:$AF$1001,0),MATCH(COLUMNS($AM$1006:AS1006),$AM$1006:$BM$1006,0)), HYPERLINK("#",""), HYPERLINK(CONCATENATE("#metadata!", ADDRESS(INDEX($AH$2:$AH$1001,MATCH(ROWS($AF$2:AF197),$AF$2:$AF$1001,0),0), INDEX($AM$1004:$BM$1004,1,MATCH(COLUMNS($AM$1006:AS1006),$AM$1006:$BM$1006,0)))),"Fix")))</f>
        <v xml:space="preserve"> </v>
      </c>
      <c r="I197" s="4" t="str">
        <f ca="1">IF(OR(INDEX($AG$2:$AG$1001,MATCH(ROWS($AF$2:AF197),$AF$2:$AF$1001,0),1)&gt;=100000,INDEX($AM$1005:$BM$1005,1,MATCH(COLUMNS($AM$1006:AT1006),$AM$1006:$BM$1006,0))&gt;=100000), " ",IF(INDEX($AM$2:$BM$1001,MATCH(ROWS($AF$2:AF197),$AF$2:$AF$1001,0),MATCH(COLUMNS($AM$1006:AT1006),$AM$1006:$BM$1006,0)), HYPERLINK("#",""), HYPERLINK(CONCATENATE("#metadata!", ADDRESS(INDEX($AH$2:$AH$1001,MATCH(ROWS($AF$2:AF197),$AF$2:$AF$1001,0),0), INDEX($AM$1004:$BM$1004,1,MATCH(COLUMNS($AM$1006:AT1006),$AM$1006:$BM$1006,0)))),"Fix")))</f>
        <v xml:space="preserve"> </v>
      </c>
      <c r="J197" s="4" t="str">
        <f ca="1">IF(OR(INDEX($AG$2:$AG$1001,MATCH(ROWS($AF$2:AF197),$AF$2:$AF$1001,0),1)&gt;=100000,INDEX($AM$1005:$BM$1005,1,MATCH(COLUMNS($AM$1006:AU1006),$AM$1006:$BM$1006,0))&gt;=100000), " ",IF(INDEX($AM$2:$BM$1001,MATCH(ROWS($AF$2:AF197),$AF$2:$AF$1001,0),MATCH(COLUMNS($AM$1006:AU1006),$AM$1006:$BM$1006,0)), HYPERLINK("#",""), HYPERLINK(CONCATENATE("#metadata!", ADDRESS(INDEX($AH$2:$AH$1001,MATCH(ROWS($AF$2:AF197),$AF$2:$AF$1001,0),0), INDEX($AM$1004:$BM$1004,1,MATCH(COLUMNS($AM$1006:AU1006),$AM$1006:$BM$1006,0)))),"Fix")))</f>
        <v xml:space="preserve"> </v>
      </c>
      <c r="K197" s="4" t="str">
        <f ca="1">IF(OR(INDEX($AG$2:$AG$1001,MATCH(ROWS($AF$2:AF197),$AF$2:$AF$1001,0),1)&gt;=100000,INDEX($AM$1005:$BM$1005,1,MATCH(COLUMNS($AM$1006:AV1006),$AM$1006:$BM$1006,0))&gt;=100000), " ",IF(INDEX($AM$2:$BM$1001,MATCH(ROWS($AF$2:AF197),$AF$2:$AF$1001,0),MATCH(COLUMNS($AM$1006:AV1006),$AM$1006:$BM$1006,0)), HYPERLINK("#",""), HYPERLINK(CONCATENATE("#metadata!", ADDRESS(INDEX($AH$2:$AH$1001,MATCH(ROWS($AF$2:AF197),$AF$2:$AF$1001,0),0), INDEX($AM$1004:$BM$1004,1,MATCH(COLUMNS($AM$1006:AV1006),$AM$1006:$BM$1006,0)))),"Fix")))</f>
        <v xml:space="preserve"> </v>
      </c>
      <c r="L197" s="4" t="str">
        <f ca="1">IF(OR(INDEX($AG$2:$AG$1001,MATCH(ROWS($AF$2:AF197),$AF$2:$AF$1001,0),1)&gt;=100000,INDEX($AM$1005:$BM$1005,1,MATCH(COLUMNS($AM$1006:AW1006),$AM$1006:$BM$1006,0))&gt;=100000), " ",IF(INDEX($AM$2:$BM$1001,MATCH(ROWS($AF$2:AF197),$AF$2:$AF$1001,0),MATCH(COLUMNS($AM$1006:AW1006),$AM$1006:$BM$1006,0)), HYPERLINK("#",""), HYPERLINK(CONCATENATE("#metadata!", ADDRESS(INDEX($AH$2:$AH$1001,MATCH(ROWS($AF$2:AF197),$AF$2:$AF$1001,0),0), INDEX($AM$1004:$BM$1004,1,MATCH(COLUMNS($AM$1006:AW1006),$AM$1006:$BM$1006,0)))),"Fix")))</f>
        <v xml:space="preserve"> </v>
      </c>
      <c r="M197" s="4" t="str">
        <f ca="1">IF(OR(INDEX($AG$2:$AG$1001,MATCH(ROWS($AF$2:AF197),$AF$2:$AF$1001,0),1)&gt;=100000,INDEX($AM$1005:$BM$1005,1,MATCH(COLUMNS($AM$1006:AX1006),$AM$1006:$BM$1006,0))&gt;=100000), " ",IF(INDEX($AM$2:$BM$1001,MATCH(ROWS($AF$2:AF197),$AF$2:$AF$1001,0),MATCH(COLUMNS($AM$1006:AX1006),$AM$1006:$BM$1006,0)), HYPERLINK("#",""), HYPERLINK(CONCATENATE("#metadata!", ADDRESS(INDEX($AH$2:$AH$1001,MATCH(ROWS($AF$2:AF197),$AF$2:$AF$1001,0),0), INDEX($AM$1004:$BM$1004,1,MATCH(COLUMNS($AM$1006:AX1006),$AM$1006:$BM$1006,0)))),"Fix")))</f>
        <v xml:space="preserve"> </v>
      </c>
      <c r="N197" s="4" t="str">
        <f ca="1">IF(OR(INDEX($AG$2:$AG$1001,MATCH(ROWS($AF$2:AF197),$AF$2:$AF$1001,0),1)&gt;=100000,INDEX($AM$1005:$BM$1005,1,MATCH(COLUMNS($AM$1006:AY1006),$AM$1006:$BM$1006,0))&gt;=100000), " ",IF(INDEX($AM$2:$BM$1001,MATCH(ROWS($AF$2:AF197),$AF$2:$AF$1001,0),MATCH(COLUMNS($AM$1006:AY1006),$AM$1006:$BM$1006,0)), HYPERLINK("#",""), HYPERLINK(CONCATENATE("#metadata!", ADDRESS(INDEX($AH$2:$AH$1001,MATCH(ROWS($AF$2:AF197),$AF$2:$AF$1001,0),0), INDEX($AM$1004:$BM$1004,1,MATCH(COLUMNS($AM$1006:AY1006),$AM$1006:$BM$1006,0)))),"Fix")))</f>
        <v xml:space="preserve"> </v>
      </c>
      <c r="O197" s="4" t="str">
        <f ca="1">IF(OR(INDEX($AG$2:$AG$1001,MATCH(ROWS($AF$2:AF197),$AF$2:$AF$1001,0),1)&gt;=100000,INDEX($AM$1005:$BM$1005,1,MATCH(COLUMNS($AM$1006:AZ1006),$AM$1006:$BM$1006,0))&gt;=100000), " ",IF(INDEX($AM$2:$BM$1001,MATCH(ROWS($AF$2:AF197),$AF$2:$AF$1001,0),MATCH(COLUMNS($AM$1006:AZ1006),$AM$1006:$BM$1006,0)), HYPERLINK("#",""), HYPERLINK(CONCATENATE("#metadata!", ADDRESS(INDEX($AH$2:$AH$1001,MATCH(ROWS($AF$2:AF197),$AF$2:$AF$1001,0),0), INDEX($AM$1004:$BM$1004,1,MATCH(COLUMNS($AM$1006:AZ1006),$AM$1006:$BM$1006,0)))),"Fix")))</f>
        <v xml:space="preserve"> </v>
      </c>
      <c r="P197" s="4" t="str">
        <f ca="1">IF(OR(INDEX($AG$2:$AG$1001,MATCH(ROWS($AF$2:AF197),$AF$2:$AF$1001,0),1)&gt;=100000,INDEX($AM$1005:$BM$1005,1,MATCH(COLUMNS($AM$1006:BA1006),$AM$1006:$BM$1006,0))&gt;=100000), " ",IF(INDEX($AM$2:$BM$1001,MATCH(ROWS($AF$2:AF197),$AF$2:$AF$1001,0),MATCH(COLUMNS($AM$1006:BA1006),$AM$1006:$BM$1006,0)), HYPERLINK("#",""), HYPERLINK(CONCATENATE("#metadata!", ADDRESS(INDEX($AH$2:$AH$1001,MATCH(ROWS($AF$2:AF197),$AF$2:$AF$1001,0),0), INDEX($AM$1004:$BM$1004,1,MATCH(COLUMNS($AM$1006:BA1006),$AM$1006:$BM$1006,0)))),"Fix")))</f>
        <v xml:space="preserve"> </v>
      </c>
      <c r="Q197" s="4" t="str">
        <f ca="1">IF(OR(INDEX($AG$2:$AG$1001,MATCH(ROWS($AF$2:AF197),$AF$2:$AF$1001,0),1)&gt;=100000,INDEX($AM$1005:$BM$1005,1,MATCH(COLUMNS($AM$1006:BB1006),$AM$1006:$BM$1006,0))&gt;=100000), " ",IF(INDEX($AM$2:$BM$1001,MATCH(ROWS($AF$2:AF197),$AF$2:$AF$1001,0),MATCH(COLUMNS($AM$1006:BB1006),$AM$1006:$BM$1006,0)), HYPERLINK("#",""), HYPERLINK(CONCATENATE("#metadata!", ADDRESS(INDEX($AH$2:$AH$1001,MATCH(ROWS($AF$2:AF197),$AF$2:$AF$1001,0),0), INDEX($AM$1004:$BM$1004,1,MATCH(COLUMNS($AM$1006:BB1006),$AM$1006:$BM$1006,0)))),"Fix")))</f>
        <v xml:space="preserve"> </v>
      </c>
      <c r="R197" s="4" t="str">
        <f ca="1">IF(OR(INDEX($AG$2:$AG$1001,MATCH(ROWS($AF$2:AF197),$AF$2:$AF$1001,0),1)&gt;=100000,INDEX($AM$1005:$BM$1005,1,MATCH(COLUMNS($AM$1006:BC1006),$AM$1006:$BM$1006,0))&gt;=100000), " ",IF(INDEX($AM$2:$BM$1001,MATCH(ROWS($AF$2:AF197),$AF$2:$AF$1001,0),MATCH(COLUMNS($AM$1006:BC1006),$AM$1006:$BM$1006,0)), HYPERLINK("#",""), HYPERLINK(CONCATENATE("#metadata!", ADDRESS(INDEX($AH$2:$AH$1001,MATCH(ROWS($AF$2:AF197),$AF$2:$AF$1001,0),0), INDEX($AM$1004:$BM$1004,1,MATCH(COLUMNS($AM$1006:BC1006),$AM$1006:$BM$1006,0)))),"Fix")))</f>
        <v xml:space="preserve"> </v>
      </c>
      <c r="S197" s="4" t="str">
        <f ca="1">IF(OR(INDEX($AG$2:$AG$1001,MATCH(ROWS($AF$2:AF197),$AF$2:$AF$1001,0),1)&gt;=100000,INDEX($AM$1005:$BM$1005,1,MATCH(COLUMNS($AM$1006:BD1006),$AM$1006:$BM$1006,0))&gt;=100000), " ",IF(INDEX($AM$2:$BM$1001,MATCH(ROWS($AF$2:AF197),$AF$2:$AF$1001,0),MATCH(COLUMNS($AM$1006:BD1006),$AM$1006:$BM$1006,0)), HYPERLINK("#",""), HYPERLINK(CONCATENATE("#metadata!", ADDRESS(INDEX($AH$2:$AH$1001,MATCH(ROWS($AF$2:AF197),$AF$2:$AF$1001,0),0), INDEX($AM$1004:$BM$1004,1,MATCH(COLUMNS($AM$1006:BD1006),$AM$1006:$BM$1006,0)))),"Fix")))</f>
        <v xml:space="preserve"> </v>
      </c>
      <c r="T197" s="4" t="str">
        <f ca="1">IF(OR(INDEX($AG$2:$AG$1001,MATCH(ROWS($AF$2:AF197),$AF$2:$AF$1001,0),1)&gt;=100000,INDEX($AM$1005:$BM$1005,1,MATCH(COLUMNS($AM$1006:BE1006),$AM$1006:$BM$1006,0))&gt;=100000), " ",IF(INDEX($AM$2:$BM$1001,MATCH(ROWS($AF$2:AF197),$AF$2:$AF$1001,0),MATCH(COLUMNS($AM$1006:BE1006),$AM$1006:$BM$1006,0)), HYPERLINK("#",""), HYPERLINK(CONCATENATE("#metadata!", ADDRESS(INDEX($AH$2:$AH$1001,MATCH(ROWS($AF$2:AF197),$AF$2:$AF$1001,0),0), INDEX($AM$1004:$BM$1004,1,MATCH(COLUMNS($AM$1006:BE1006),$AM$1006:$BM$1006,0)))),"Fix")))</f>
        <v xml:space="preserve"> </v>
      </c>
      <c r="U197" s="4" t="str">
        <f ca="1">IF(OR(INDEX($AG$2:$AG$1001,MATCH(ROWS($AF$2:AF197),$AF$2:$AF$1001,0),1)&gt;=100000,INDEX($AM$1005:$BM$1005,1,MATCH(COLUMNS($AM$1006:BF1006),$AM$1006:$BM$1006,0))&gt;=100000), " ",IF(INDEX($AM$2:$BM$1001,MATCH(ROWS($AF$2:AF197),$AF$2:$AF$1001,0),MATCH(COLUMNS($AM$1006:BF1006),$AM$1006:$BM$1006,0)), HYPERLINK("#",""), HYPERLINK(CONCATENATE("#metadata!", ADDRESS(INDEX($AH$2:$AH$1001,MATCH(ROWS($AF$2:AF197),$AF$2:$AF$1001,0),0), INDEX($AM$1004:$BM$1004,1,MATCH(COLUMNS($AM$1006:BF1006),$AM$1006:$BM$1006,0)))),"Fix")))</f>
        <v xml:space="preserve"> </v>
      </c>
      <c r="V197" s="4" t="str">
        <f ca="1">IF(OR(INDEX($AG$2:$AG$1001,MATCH(ROWS($AF$2:AF197),$AF$2:$AF$1001,0),1)&gt;=100000,INDEX($AM$1005:$BM$1005,1,MATCH(COLUMNS($AM$1006:BG1006),$AM$1006:$BM$1006,0))&gt;=100000), " ",IF(INDEX($AM$2:$BM$1001,MATCH(ROWS($AF$2:AF197),$AF$2:$AF$1001,0),MATCH(COLUMNS($AM$1006:BG1006),$AM$1006:$BM$1006,0)), HYPERLINK("#",""), HYPERLINK(CONCATENATE("#metadata!", ADDRESS(INDEX($AH$2:$AH$1001,MATCH(ROWS($AF$2:AF197),$AF$2:$AF$1001,0),0), INDEX($AM$1004:$BM$1004,1,MATCH(COLUMNS($AM$1006:BG1006),$AM$1006:$BM$1006,0)))),"Fix")))</f>
        <v xml:space="preserve"> </v>
      </c>
      <c r="W197" s="4" t="str">
        <f ca="1">IF(OR(INDEX($AG$2:$AG$1001,MATCH(ROWS($AF$2:AF197),$AF$2:$AF$1001,0),1)&gt;=100000,INDEX($AM$1005:$BM$1005,1,MATCH(COLUMNS($AM$1006:BH1006),$AM$1006:$BM$1006,0))&gt;=100000), " ",IF(INDEX($AM$2:$BM$1001,MATCH(ROWS($AF$2:AF197),$AF$2:$AF$1001,0),MATCH(COLUMNS($AM$1006:BH1006),$AM$1006:$BM$1006,0)), HYPERLINK("#",""), HYPERLINK(CONCATENATE("#metadata!", ADDRESS(INDEX($AH$2:$AH$1001,MATCH(ROWS($AF$2:AF197),$AF$2:$AF$1001,0),0), INDEX($AM$1004:$BM$1004,1,MATCH(COLUMNS($AM$1006:BH1006),$AM$1006:$BM$1006,0)))),"Fix")))</f>
        <v xml:space="preserve"> </v>
      </c>
      <c r="X197" s="4" t="str">
        <f ca="1">IF(OR(INDEX($AG$2:$AG$1001,MATCH(ROWS($AF$2:AF197),$AF$2:$AF$1001,0),1)&gt;=100000,INDEX($AM$1005:$BM$1005,1,MATCH(COLUMNS($AM$1006:BI1006),$AM$1006:$BM$1006,0))&gt;=100000), " ",IF(INDEX($AM$2:$BM$1001,MATCH(ROWS($AF$2:AF197),$AF$2:$AF$1001,0),MATCH(COLUMNS($AM$1006:BI1006),$AM$1006:$BM$1006,0)), HYPERLINK("#",""), HYPERLINK(CONCATENATE("#metadata!", ADDRESS(INDEX($AH$2:$AH$1001,MATCH(ROWS($AF$2:AF197),$AF$2:$AF$1001,0),0), INDEX($AM$1004:$BM$1004,1,MATCH(COLUMNS($AM$1006:BI1006),$AM$1006:$BM$1006,0)))),"Fix")))</f>
        <v xml:space="preserve"> </v>
      </c>
      <c r="Y197" s="4" t="str">
        <f ca="1">IF(OR(INDEX($AG$2:$AG$1001,MATCH(ROWS($AF$2:AF197),$AF$2:$AF$1001,0),1)&gt;=100000,INDEX($AM$1005:$BM$1005,1,MATCH(COLUMNS($AM$1006:BJ1006),$AM$1006:$BM$1006,0))&gt;=100000), " ",IF(INDEX($AM$2:$BM$1001,MATCH(ROWS($AF$2:AF197),$AF$2:$AF$1001,0),MATCH(COLUMNS($AM$1006:BJ1006),$AM$1006:$BM$1006,0)), HYPERLINK("#",""), HYPERLINK(CONCATENATE("#metadata!", ADDRESS(INDEX($AH$2:$AH$1001,MATCH(ROWS($AF$2:AF197),$AF$2:$AF$1001,0),0), INDEX($AM$1004:$BM$1004,1,MATCH(COLUMNS($AM$1006:BJ1006),$AM$1006:$BM$1006,0)))),"Fix")))</f>
        <v xml:space="preserve"> </v>
      </c>
      <c r="Z197" s="4" t="str">
        <f ca="1">IF(OR(INDEX($AG$2:$AG$1001,MATCH(ROWS($AF$2:AF197),$AF$2:$AF$1001,0),1)&gt;=100000,INDEX($AM$1005:$BM$1005,1,MATCH(COLUMNS($AM$1006:BK1006),$AM$1006:$BM$1006,0))&gt;=100000), " ",IF(INDEX($AM$2:$BM$1001,MATCH(ROWS($AF$2:AF197),$AF$2:$AF$1001,0),MATCH(COLUMNS($AM$1006:BK1006),$AM$1006:$BM$1006,0)), HYPERLINK("#",""), HYPERLINK(CONCATENATE("#metadata!", ADDRESS(INDEX($AH$2:$AH$1001,MATCH(ROWS($AF$2:AF197),$AF$2:$AF$1001,0),0), INDEX($AM$1004:$BM$1004,1,MATCH(COLUMNS($AM$1006:BK1006),$AM$1006:$BM$1006,0)))),"Fix")))</f>
        <v xml:space="preserve"> </v>
      </c>
      <c r="AA197" s="4" t="str">
        <f ca="1">IF(OR(INDEX($AG$2:$AG$1001,MATCH(ROWS($AF$2:AF197),$AF$2:$AF$1001,0),1)&gt;=100000,INDEX($AM$1005:$BM$1005,1,MATCH(COLUMNS($AM$1006:BL1006),$AM$1006:$BM$1006,0))&gt;=100000), " ",IF(INDEX($AM$2:$BM$1001,MATCH(ROWS($AF$2:AF197),$AF$2:$AF$1001,0),MATCH(COLUMNS($AM$1006:BL1006),$AM$1006:$BM$1006,0)), HYPERLINK("#",""), HYPERLINK(CONCATENATE("#metadata!", ADDRESS(INDEX($AH$2:$AH$1001,MATCH(ROWS($AF$2:AF197),$AF$2:$AF$1001,0),0), INDEX($AM$1004:$BM$1004,1,MATCH(COLUMNS($AM$1006:BL1006),$AM$1006:$BM$1006,0)))),"Fix")))</f>
        <v xml:space="preserve"> </v>
      </c>
      <c r="AB197" s="4" t="str">
        <f ca="1">IF(OR(INDEX($AG$2:$AG$1001,MATCH(ROWS($AF$2:AF197),$AF$2:$AF$1001,0),1)&gt;=100000,INDEX($AM$1005:$BM$1005,1,MATCH(COLUMNS($AM$1006:BM1006),$AM$1006:$BM$1006,0))&gt;=100000), " ",IF(INDEX($AM$2:$BM$1001,MATCH(ROWS($AF$2:AF197),$AF$2:$AF$1001,0),MATCH(COLUMNS($AM$1006:BM1006),$AM$1006:$BM$1006,0)), HYPERLINK("#",""), HYPERLINK(CONCATENATE("#metadata!", ADDRESS(INDEX($AH$2:$AH$1001,MATCH(ROWS($AF$2:AF197),$AF$2:$AF$1001,0),0), INDEX($AM$1004:$BM$1004,1,MATCH(COLUMNS($AM$1006:BM1006),$AM$1006:$BM$1006,0)))),"Fix")))</f>
        <v xml:space="preserve"> </v>
      </c>
      <c r="AF197">
        <v>196</v>
      </c>
      <c r="AG197">
        <v>100197</v>
      </c>
      <c r="AH197">
        <v>197</v>
      </c>
      <c r="AI197" t="b">
        <f t="shared" si="3"/>
        <v>1</v>
      </c>
      <c r="AJ197" t="b">
        <f>COUNTBLANK(metadata!B197:AB197)=COLUMNS(metadata!B197:AB197)</f>
        <v>1</v>
      </c>
      <c r="AK197" t="str">
        <v/>
      </c>
      <c r="AM197" t="b">
        <f ca="1">AND(IF(metadata!B197="",FALSE,TRUE),COUNTIF(metadata!B:B, metadata!B197) = 1,NOT(ISERROR(SUMPRODUCT(SEARCH(MID(metadata!B197,ROW(INDIRECT("1:"&amp;LEN(metadata!B197))), 1),"0123456789abcdefghijklmnopqrstuvwxyzABCDEFGHIJKLMNOPQRSTUVWXYZ.")))))</f>
        <v>0</v>
      </c>
      <c r="AN197" t="b">
        <f ca="1">OR(AND(IF(metadata!C197="",FALSE,TRUE),OR(EXACT(metadata!C197,"missing: not collected"),EXACT(metadata!C197,"missing: not provided"),EXACT(metadata!C197,"missing: restricted access"))),AND(IF(metadata!C197="",FALSE,TRUE),AND(AND(IFERROR(INT(LEFT(metadata!C197,4))&gt;1900,FALSE),IFERROR(INT(LEFT(metadata!C197,4))&lt;=YEAR(NOW()),FALSE)), OR(MID(metadata!C197,5,1)="", AND(AND(MID(metadata!C197,5,1)="-",IFERROR(INT(MID(metadata!C197,6,1))&gt;=0,FALSE),IFERROR(INT(MID(metadata!C197,6,1))&lt;=1,FALSE),NOT(MID(metadata!C197,7,1)=""),IFERROR(INT(MID(metadata!C197,6,2))&gt;=1,FALSE),IFERROR(INT(MID(metadata!C197,6,2))&lt;=12,FALSE)), OR(MID(metadata!C197,8,1)="", AND(AND(MID(metadata!C197,8,1)="-",IFERROR(INT(MID(metadata!C197,9,1))&gt;=0,FALSE),IFERROR(INT(MID(metadata!C197,9,1))&lt;=3,FALSE),NOT(MID(metadata!C197,10,1)=""),IFERROR(INT(MID(metadata!C197,9,2))&gt;=1,FALSE),IFERROR(INT(MID(metadata!C197,9,2))&lt;=31,FALSE)), OR(MID(metadata!C197,11,1)="", AND(AND(MID(metadata!C197,11,1)=" ",IFERROR(INT(MID(metadata!C197,12,1))&gt;=0,FALSE),IFERROR(INT(MID(metadata!C197,12,1))&lt;=2,FALSE),NOT(MID(metadata!C197,13,1)=""),IFERROR(INT(MID(metadata!C197,12,2))&gt;=0,FALSE),IFERROR(INT(MID(metadata!C197,12,2))&lt;=23,FALSE)), OR(MID(metadata!C197,14,1)="", AND(AND(MID(metadata!C197,14,1)=":",IFERROR(INT(MID(metadata!C197,15,1))&gt;=0,FALSE),IFERROR(INT(MID(metadata!C197,15,1))&lt;=5,FALSE),NOT(MID(metadata!C197,16,1)=""),IFERROR(INT(MID(metadata!C197,15,2))&gt;=0,FALSE),IFERROR(INT(MID(metadata!C197,15,2))&lt;=59,FALSE)), OR(MID(metadata!C197,17,1)="", AND(AND(MID(metadata!C197,17,1)=":",IFERROR(INT(MID(metadata!C197,18,1))&gt;=0,FALSE),IFERROR(INT(MID(metadata!C197,18,1))&lt;=5,FALSE),NOT(MID(metadata!C197,19,1)=""),IFERROR(INT(MID(metadata!C197,18,2))&gt;=0,FALSE),IFERROR(INT(MID(metadata!C197,18,2))&lt;=59,FALSE)), LEN(metadata!C197)&lt;=19)))))))))))))</f>
        <v>0</v>
      </c>
      <c r="AO197" t="b">
        <f>AND(IF(metadata!D197="",FALSE,TRUE),EXACT(metadata!D197,"Not applicable"))</f>
        <v>0</v>
      </c>
      <c r="AP197" t="b">
        <f>IF(metadata!E197="",FALSE,TRUE)</f>
        <v>0</v>
      </c>
      <c r="AQ197" t="b">
        <f>OR(AND(IF(metadata!F197="",FALSE,TRUE),OR(EXACT(metadata!F197,"missing: not collected"),EXACT(metadata!F197,"missing: not provided"))),AND(IF(metadata!F197="",FALSE,TRUE),OR(EXACT(metadata!F197,"TRUE"),EXACT(metadata!F197,"FALSE"))))</f>
        <v>0</v>
      </c>
      <c r="AR197" t="b">
        <f>OR(AND(IF(metadata!G197="",FALSE,TRUE),OR(EXACT(metadata!G197,"missing: not collected"),EXACT(metadata!G197,"missing: not provided"),EXACT(metadata!G197,"missing: restricted access"))),AND(IF(metadata!G197="",FALSE,ISNUMBER(VALUE(metadata!G197))),metadata!G197&gt;=-413))</f>
        <v>0</v>
      </c>
      <c r="AS197" t="b">
        <f>AND(IF(metadata!H197="",FALSE,TRUE),EXACT(metadata!H197,"meters"))</f>
        <v>0</v>
      </c>
      <c r="AT197" t="b">
        <f>AND(IF(metadata!I197="",FALSE,TRUE),OR(EXACT(metadata!I197,"Host-associated"),EXACT(metadata!I197,"Free-living")))</f>
        <v>0</v>
      </c>
      <c r="AU197" t="b">
        <f>AND(IF(metadata!J197="",FALSE,TRUE),OR(EXACT(metadata!J197,"Animal"),EXACT(metadata!J197,"Fungus"),EXACT(metadata!J197,"Plant"),EXACT(metadata!J197,"Saline"),EXACT(metadata!J197,"Non-saline")))</f>
        <v>0</v>
      </c>
      <c r="AV197" t="b">
        <f>AND(IF(metadata!K197="",FALSE,TRUE),OR(EXACT(metadata!K197,"Plant secretion"),EXACT(metadata!K197,"Plant rhizosphere"),EXACT(metadata!K197,"Plant surface"),EXACT(metadata!K197,"Plant corpus"),EXACT(metadata!K197,"Fungus surface"),EXACT(metadata!K197,"Fungus corpus"),EXACT(metadata!K197,"Animal surface"),EXACT(metadata!K197,"Animal proximal gut"),EXACT(metadata!K197,"Animal corpus"),EXACT(metadata!K197,"Animal distal gut"),EXACT(metadata!K197,"Animal secretion"),EXACT(metadata!K197,"Sub-surface (non-saline)"),EXACT(metadata!K197,"Surface (non-saline)"),EXACT(metadata!K197,"Water (non-saline)"),EXACT(metadata!K197,"Soil (non-saline)"),EXACT(metadata!K197,"Aerosol (non-saline)"),EXACT(metadata!K197,"Sediment (non-saline)"),EXACT(metadata!K197,"Surface (saline)"),EXACT(metadata!K197,"Water (saline)"),EXACT(metadata!K197,"Hypersaline (saline)"),EXACT(metadata!K197,"Aerosol (saline)"),EXACT(metadata!K197,"Sediment (saline)")))</f>
        <v>0</v>
      </c>
      <c r="AW197" t="b">
        <f>IF(metadata!L197="",FALSE,TRUE)</f>
        <v>0</v>
      </c>
      <c r="AX197" t="b">
        <f>IF(metadata!M197="",FALSE,TRUE)</f>
        <v>0</v>
      </c>
      <c r="AY197" t="b">
        <f>IF(metadata!N197="",FALSE,TRUE)</f>
        <v>0</v>
      </c>
      <c r="AZ197" t="b">
        <f>OR(AND(IF(metadata!O197="",FALSE,TRUE),OR(EXACT(metadata!O197,"missing: not collected"),EXACT(metadata!O197,"missing: not provided"),EXACT(metadata!O197,"missing: restricted access"))),AND(IF(metadata!O197="",FALSE,TRUE),OR(EXACT(metadata!O197,"air"),EXACT(metadata!O197,"built environment"),EXACT(metadata!O197,"host-associated"),EXACT(metadata!O197,"human-associated"),EXACT(metadata!O197,"human-skin"),EXACT(metadata!O197,"human-oral"),EXACT(metadata!O197,"human-gut"),EXACT(metadata!O197,"human-vaginal"),EXACT(metadata!O197,"microbial mat/biofilm"),EXACT(metadata!O197,"misc environment"),EXACT(metadata!O197,"plant-associated"),EXACT(metadata!O197,"sediment"),EXACT(metadata!O197,"soil"),EXACT(metadata!O197,"wastewater/sludge"),EXACT(metadata!O197,"water"))))</f>
        <v>0</v>
      </c>
      <c r="BA197" t="b">
        <f>IF(metadata!P197="",FALSE,TRUE)</f>
        <v>0</v>
      </c>
      <c r="BB197" t="b">
        <f>IF(metadata!Q197="",FALSE,TRUE)</f>
        <v>0</v>
      </c>
      <c r="BC197" t="b">
        <f>OR(AND(IF(metadata!R197="",FALSE,TRUE),OR(EXACT(metadata!R197,"missing: not collected"),EXACT(metadata!R197,"missing: not provided"),EXACT(metadata!R197,"missing: restricted access"))),AND(IF(metadata!R197="",FALSE,ISNUMBER(VALUE(metadata!R197))),metadata!R197&gt;=-90,metadata!R197&lt;=90))</f>
        <v>0</v>
      </c>
      <c r="BD197" t="b">
        <f>AND(IF(metadata!S197="",FALSE,TRUE),EXACT(metadata!S197,"Decimal degrees"))</f>
        <v>0</v>
      </c>
      <c r="BE197" t="b">
        <f>OR(AND(IF(metadata!T197="",FALSE,TRUE),OR(EXACT(metadata!T197,"missing: not collected"),EXACT(metadata!T197,"missing: not provided"),EXACT(metadata!T197,"missing: restricted access"))),AND(IF(metadata!T197="",FALSE,ISNUMBER(VALUE(metadata!T197))),metadata!T197&gt;=-180,metadata!T197&lt;=180))</f>
        <v>0</v>
      </c>
      <c r="BF197" t="b">
        <f>AND(IF(metadata!U197="",FALSE,TRUE),EXACT(metadata!U197,"Decimal degrees"))</f>
        <v>0</v>
      </c>
      <c r="BG197" t="b">
        <f>IF(metadata!V197="",FALSE,TRUE)</f>
        <v>0</v>
      </c>
      <c r="BH197" t="b">
        <f>OR(AND(IF(metadata!W197="",FALSE,TRUE),OR(EXACT(metadata!W197,"missing: not collected"),EXACT(metadata!W197,"missing: not provided"),EXACT(metadata!W197,"missing: restricted access"))),AND(IF(metadata!W197="",FALSE,TRUE),OR(EXACT(metadata!W197,"TRUE"),EXACT(metadata!W197,"FALSE"))))</f>
        <v>0</v>
      </c>
      <c r="BI197" t="b">
        <f>AND(IF(metadata!X197="",FALSE,TRUE),EXACT(metadata!X197,"other"))</f>
        <v>0</v>
      </c>
      <c r="BJ197" t="b">
        <f>IF(metadata!Y197="",FALSE,TRUE)</f>
        <v>0</v>
      </c>
      <c r="BK197" t="b">
        <f>OR(AND(IF(metadata!Z197="",FALSE,TRUE),OR(EXACT(metadata!Z197,"missing: not collected"),EXACT(metadata!Z197,"missing: not provided"))),AND(IF(metadata!Z197="",FALSE,IF(ISERROR(INT(metadata!Z197)),FALSE,INT(metadata!Z197)=metadata!Z197)),metadata!Z197&gt;0))</f>
        <v>0</v>
      </c>
      <c r="BL197" t="b">
        <f>AND(IF(metadata!AA197="",FALSE,TRUE),EXACT(metadata!AA197,"Not applicable"))</f>
        <v>0</v>
      </c>
      <c r="BM197" t="b">
        <f>IF(metadata!AB197="",FALSE,TRUE)</f>
        <v>0</v>
      </c>
    </row>
    <row r="198" spans="1:65" x14ac:dyDescent="0.2">
      <c r="A198" s="5" t="str">
        <f ca="1">IF(B198=" "," ",HYPERLINK(CONCATENATE("#metadata!",ADDRESS(INDEX($AH$2:$AH$1001,MATCH(ROWS($AF$2:AF198),$AF$2:$AF$1001,0),0),1)),INDEX($AK$2:$AK$1001,MATCH(ROWS($AF$2:AF198),$AF$2:$AF$1001,0),0)))</f>
        <v xml:space="preserve"> </v>
      </c>
      <c r="B198" s="4" t="str">
        <f ca="1">IF(OR(INDEX($AG$2:$AG$1001,MATCH(ROWS($AF$2:AF198),$AF$2:$AF$1001,0),1)&gt;=100000,INDEX($AM$1005:$BM$1005,1,MATCH(COLUMNS($AM$1006:AM1006),$AM$1006:$BM$1006,0))&gt;=100000), " ",IF(INDEX($AM$2:$BM$1001,MATCH(ROWS($AF$2:AF198),$AF$2:$AF$1001,0),MATCH(COLUMNS($AM$1006:AM1006),$AM$1006:$BM$1006,0)), HYPERLINK("#",""), HYPERLINK(CONCATENATE("#metadata!", ADDRESS(INDEX($AH$2:$AH$1001,MATCH(ROWS($AF$2:AF198),$AF$2:$AF$1001,0),0), INDEX($AM$1004:$BM$1004,1,MATCH(COLUMNS($AM$1006:AM1006),$AM$1006:$BM$1006,0)))),"Fix")))</f>
        <v xml:space="preserve"> </v>
      </c>
      <c r="C198" s="4" t="str">
        <f ca="1">IF(OR(INDEX($AG$2:$AG$1001,MATCH(ROWS($AF$2:AF198),$AF$2:$AF$1001,0),1)&gt;=100000,INDEX($AM$1005:$BM$1005,1,MATCH(COLUMNS($AM$1006:AN1006),$AM$1006:$BM$1006,0))&gt;=100000), " ",IF(INDEX($AM$2:$BM$1001,MATCH(ROWS($AF$2:AF198),$AF$2:$AF$1001,0),MATCH(COLUMNS($AM$1006:AN1006),$AM$1006:$BM$1006,0)), HYPERLINK("#",""), HYPERLINK(CONCATENATE("#metadata!", ADDRESS(INDEX($AH$2:$AH$1001,MATCH(ROWS($AF$2:AF198),$AF$2:$AF$1001,0),0), INDEX($AM$1004:$BM$1004,1,MATCH(COLUMNS($AM$1006:AN1006),$AM$1006:$BM$1006,0)))),"Fix")))</f>
        <v xml:space="preserve"> </v>
      </c>
      <c r="D198" s="4" t="str">
        <f ca="1">IF(OR(INDEX($AG$2:$AG$1001,MATCH(ROWS($AF$2:AF198),$AF$2:$AF$1001,0),1)&gt;=100000,INDEX($AM$1005:$BM$1005,1,MATCH(COLUMNS($AM$1006:AO1006),$AM$1006:$BM$1006,0))&gt;=100000), " ",IF(INDEX($AM$2:$BM$1001,MATCH(ROWS($AF$2:AF198),$AF$2:$AF$1001,0),MATCH(COLUMNS($AM$1006:AO1006),$AM$1006:$BM$1006,0)), HYPERLINK("#",""), HYPERLINK(CONCATENATE("#metadata!", ADDRESS(INDEX($AH$2:$AH$1001,MATCH(ROWS($AF$2:AF198),$AF$2:$AF$1001,0),0), INDEX($AM$1004:$BM$1004,1,MATCH(COLUMNS($AM$1006:AO1006),$AM$1006:$BM$1006,0)))),"Fix")))</f>
        <v xml:space="preserve"> </v>
      </c>
      <c r="E198" s="4" t="str">
        <f ca="1">IF(OR(INDEX($AG$2:$AG$1001,MATCH(ROWS($AF$2:AF198),$AF$2:$AF$1001,0),1)&gt;=100000,INDEX($AM$1005:$BM$1005,1,MATCH(COLUMNS($AM$1006:AP1006),$AM$1006:$BM$1006,0))&gt;=100000), " ",IF(INDEX($AM$2:$BM$1001,MATCH(ROWS($AF$2:AF198),$AF$2:$AF$1001,0),MATCH(COLUMNS($AM$1006:AP1006),$AM$1006:$BM$1006,0)), HYPERLINK("#",""), HYPERLINK(CONCATENATE("#metadata!", ADDRESS(INDEX($AH$2:$AH$1001,MATCH(ROWS($AF$2:AF198),$AF$2:$AF$1001,0),0), INDEX($AM$1004:$BM$1004,1,MATCH(COLUMNS($AM$1006:AP1006),$AM$1006:$BM$1006,0)))),"Fix")))</f>
        <v xml:space="preserve"> </v>
      </c>
      <c r="F198" s="4" t="str">
        <f ca="1">IF(OR(INDEX($AG$2:$AG$1001,MATCH(ROWS($AF$2:AF198),$AF$2:$AF$1001,0),1)&gt;=100000,INDEX($AM$1005:$BM$1005,1,MATCH(COLUMNS($AM$1006:AQ1006),$AM$1006:$BM$1006,0))&gt;=100000), " ",IF(INDEX($AM$2:$BM$1001,MATCH(ROWS($AF$2:AF198),$AF$2:$AF$1001,0),MATCH(COLUMNS($AM$1006:AQ1006),$AM$1006:$BM$1006,0)), HYPERLINK("#",""), HYPERLINK(CONCATENATE("#metadata!", ADDRESS(INDEX($AH$2:$AH$1001,MATCH(ROWS($AF$2:AF198),$AF$2:$AF$1001,0),0), INDEX($AM$1004:$BM$1004,1,MATCH(COLUMNS($AM$1006:AQ1006),$AM$1006:$BM$1006,0)))),"Fix")))</f>
        <v xml:space="preserve"> </v>
      </c>
      <c r="G198" s="4" t="str">
        <f ca="1">IF(OR(INDEX($AG$2:$AG$1001,MATCH(ROWS($AF$2:AF198),$AF$2:$AF$1001,0),1)&gt;=100000,INDEX($AM$1005:$BM$1005,1,MATCH(COLUMNS($AM$1006:AR1006),$AM$1006:$BM$1006,0))&gt;=100000), " ",IF(INDEX($AM$2:$BM$1001,MATCH(ROWS($AF$2:AF198),$AF$2:$AF$1001,0),MATCH(COLUMNS($AM$1006:AR1006),$AM$1006:$BM$1006,0)), HYPERLINK("#",""), HYPERLINK(CONCATENATE("#metadata!", ADDRESS(INDEX($AH$2:$AH$1001,MATCH(ROWS($AF$2:AF198),$AF$2:$AF$1001,0),0), INDEX($AM$1004:$BM$1004,1,MATCH(COLUMNS($AM$1006:AR1006),$AM$1006:$BM$1006,0)))),"Fix")))</f>
        <v xml:space="preserve"> </v>
      </c>
      <c r="H198" s="4" t="str">
        <f ca="1">IF(OR(INDEX($AG$2:$AG$1001,MATCH(ROWS($AF$2:AF198),$AF$2:$AF$1001,0),1)&gt;=100000,INDEX($AM$1005:$BM$1005,1,MATCH(COLUMNS($AM$1006:AS1006),$AM$1006:$BM$1006,0))&gt;=100000), " ",IF(INDEX($AM$2:$BM$1001,MATCH(ROWS($AF$2:AF198),$AF$2:$AF$1001,0),MATCH(COLUMNS($AM$1006:AS1006),$AM$1006:$BM$1006,0)), HYPERLINK("#",""), HYPERLINK(CONCATENATE("#metadata!", ADDRESS(INDEX($AH$2:$AH$1001,MATCH(ROWS($AF$2:AF198),$AF$2:$AF$1001,0),0), INDEX($AM$1004:$BM$1004,1,MATCH(COLUMNS($AM$1006:AS1006),$AM$1006:$BM$1006,0)))),"Fix")))</f>
        <v xml:space="preserve"> </v>
      </c>
      <c r="I198" s="4" t="str">
        <f ca="1">IF(OR(INDEX($AG$2:$AG$1001,MATCH(ROWS($AF$2:AF198),$AF$2:$AF$1001,0),1)&gt;=100000,INDEX($AM$1005:$BM$1005,1,MATCH(COLUMNS($AM$1006:AT1006),$AM$1006:$BM$1006,0))&gt;=100000), " ",IF(INDEX($AM$2:$BM$1001,MATCH(ROWS($AF$2:AF198),$AF$2:$AF$1001,0),MATCH(COLUMNS($AM$1006:AT1006),$AM$1006:$BM$1006,0)), HYPERLINK("#",""), HYPERLINK(CONCATENATE("#metadata!", ADDRESS(INDEX($AH$2:$AH$1001,MATCH(ROWS($AF$2:AF198),$AF$2:$AF$1001,0),0), INDEX($AM$1004:$BM$1004,1,MATCH(COLUMNS($AM$1006:AT1006),$AM$1006:$BM$1006,0)))),"Fix")))</f>
        <v xml:space="preserve"> </v>
      </c>
      <c r="J198" s="4" t="str">
        <f ca="1">IF(OR(INDEX($AG$2:$AG$1001,MATCH(ROWS($AF$2:AF198),$AF$2:$AF$1001,0),1)&gt;=100000,INDEX($AM$1005:$BM$1005,1,MATCH(COLUMNS($AM$1006:AU1006),$AM$1006:$BM$1006,0))&gt;=100000), " ",IF(INDEX($AM$2:$BM$1001,MATCH(ROWS($AF$2:AF198),$AF$2:$AF$1001,0),MATCH(COLUMNS($AM$1006:AU1006),$AM$1006:$BM$1006,0)), HYPERLINK("#",""), HYPERLINK(CONCATENATE("#metadata!", ADDRESS(INDEX($AH$2:$AH$1001,MATCH(ROWS($AF$2:AF198),$AF$2:$AF$1001,0),0), INDEX($AM$1004:$BM$1004,1,MATCH(COLUMNS($AM$1006:AU1006),$AM$1006:$BM$1006,0)))),"Fix")))</f>
        <v xml:space="preserve"> </v>
      </c>
      <c r="K198" s="4" t="str">
        <f ca="1">IF(OR(INDEX($AG$2:$AG$1001,MATCH(ROWS($AF$2:AF198),$AF$2:$AF$1001,0),1)&gt;=100000,INDEX($AM$1005:$BM$1005,1,MATCH(COLUMNS($AM$1006:AV1006),$AM$1006:$BM$1006,0))&gt;=100000), " ",IF(INDEX($AM$2:$BM$1001,MATCH(ROWS($AF$2:AF198),$AF$2:$AF$1001,0),MATCH(COLUMNS($AM$1006:AV1006),$AM$1006:$BM$1006,0)), HYPERLINK("#",""), HYPERLINK(CONCATENATE("#metadata!", ADDRESS(INDEX($AH$2:$AH$1001,MATCH(ROWS($AF$2:AF198),$AF$2:$AF$1001,0),0), INDEX($AM$1004:$BM$1004,1,MATCH(COLUMNS($AM$1006:AV1006),$AM$1006:$BM$1006,0)))),"Fix")))</f>
        <v xml:space="preserve"> </v>
      </c>
      <c r="L198" s="4" t="str">
        <f ca="1">IF(OR(INDEX($AG$2:$AG$1001,MATCH(ROWS($AF$2:AF198),$AF$2:$AF$1001,0),1)&gt;=100000,INDEX($AM$1005:$BM$1005,1,MATCH(COLUMNS($AM$1006:AW1006),$AM$1006:$BM$1006,0))&gt;=100000), " ",IF(INDEX($AM$2:$BM$1001,MATCH(ROWS($AF$2:AF198),$AF$2:$AF$1001,0),MATCH(COLUMNS($AM$1006:AW1006),$AM$1006:$BM$1006,0)), HYPERLINK("#",""), HYPERLINK(CONCATENATE("#metadata!", ADDRESS(INDEX($AH$2:$AH$1001,MATCH(ROWS($AF$2:AF198),$AF$2:$AF$1001,0),0), INDEX($AM$1004:$BM$1004,1,MATCH(COLUMNS($AM$1006:AW1006),$AM$1006:$BM$1006,0)))),"Fix")))</f>
        <v xml:space="preserve"> </v>
      </c>
      <c r="M198" s="4" t="str">
        <f ca="1">IF(OR(INDEX($AG$2:$AG$1001,MATCH(ROWS($AF$2:AF198),$AF$2:$AF$1001,0),1)&gt;=100000,INDEX($AM$1005:$BM$1005,1,MATCH(COLUMNS($AM$1006:AX1006),$AM$1006:$BM$1006,0))&gt;=100000), " ",IF(INDEX($AM$2:$BM$1001,MATCH(ROWS($AF$2:AF198),$AF$2:$AF$1001,0),MATCH(COLUMNS($AM$1006:AX1006),$AM$1006:$BM$1006,0)), HYPERLINK("#",""), HYPERLINK(CONCATENATE("#metadata!", ADDRESS(INDEX($AH$2:$AH$1001,MATCH(ROWS($AF$2:AF198),$AF$2:$AF$1001,0),0), INDEX($AM$1004:$BM$1004,1,MATCH(COLUMNS($AM$1006:AX1006),$AM$1006:$BM$1006,0)))),"Fix")))</f>
        <v xml:space="preserve"> </v>
      </c>
      <c r="N198" s="4" t="str">
        <f ca="1">IF(OR(INDEX($AG$2:$AG$1001,MATCH(ROWS($AF$2:AF198),$AF$2:$AF$1001,0),1)&gt;=100000,INDEX($AM$1005:$BM$1005,1,MATCH(COLUMNS($AM$1006:AY1006),$AM$1006:$BM$1006,0))&gt;=100000), " ",IF(INDEX($AM$2:$BM$1001,MATCH(ROWS($AF$2:AF198),$AF$2:$AF$1001,0),MATCH(COLUMNS($AM$1006:AY1006),$AM$1006:$BM$1006,0)), HYPERLINK("#",""), HYPERLINK(CONCATENATE("#metadata!", ADDRESS(INDEX($AH$2:$AH$1001,MATCH(ROWS($AF$2:AF198),$AF$2:$AF$1001,0),0), INDEX($AM$1004:$BM$1004,1,MATCH(COLUMNS($AM$1006:AY1006),$AM$1006:$BM$1006,0)))),"Fix")))</f>
        <v xml:space="preserve"> </v>
      </c>
      <c r="O198" s="4" t="str">
        <f ca="1">IF(OR(INDEX($AG$2:$AG$1001,MATCH(ROWS($AF$2:AF198),$AF$2:$AF$1001,0),1)&gt;=100000,INDEX($AM$1005:$BM$1005,1,MATCH(COLUMNS($AM$1006:AZ1006),$AM$1006:$BM$1006,0))&gt;=100000), " ",IF(INDEX($AM$2:$BM$1001,MATCH(ROWS($AF$2:AF198),$AF$2:$AF$1001,0),MATCH(COLUMNS($AM$1006:AZ1006),$AM$1006:$BM$1006,0)), HYPERLINK("#",""), HYPERLINK(CONCATENATE("#metadata!", ADDRESS(INDEX($AH$2:$AH$1001,MATCH(ROWS($AF$2:AF198),$AF$2:$AF$1001,0),0), INDEX($AM$1004:$BM$1004,1,MATCH(COLUMNS($AM$1006:AZ1006),$AM$1006:$BM$1006,0)))),"Fix")))</f>
        <v xml:space="preserve"> </v>
      </c>
      <c r="P198" s="4" t="str">
        <f ca="1">IF(OR(INDEX($AG$2:$AG$1001,MATCH(ROWS($AF$2:AF198),$AF$2:$AF$1001,0),1)&gt;=100000,INDEX($AM$1005:$BM$1005,1,MATCH(COLUMNS($AM$1006:BA1006),$AM$1006:$BM$1006,0))&gt;=100000), " ",IF(INDEX($AM$2:$BM$1001,MATCH(ROWS($AF$2:AF198),$AF$2:$AF$1001,0),MATCH(COLUMNS($AM$1006:BA1006),$AM$1006:$BM$1006,0)), HYPERLINK("#",""), HYPERLINK(CONCATENATE("#metadata!", ADDRESS(INDEX($AH$2:$AH$1001,MATCH(ROWS($AF$2:AF198),$AF$2:$AF$1001,0),0), INDEX($AM$1004:$BM$1004,1,MATCH(COLUMNS($AM$1006:BA1006),$AM$1006:$BM$1006,0)))),"Fix")))</f>
        <v xml:space="preserve"> </v>
      </c>
      <c r="Q198" s="4" t="str">
        <f ca="1">IF(OR(INDEX($AG$2:$AG$1001,MATCH(ROWS($AF$2:AF198),$AF$2:$AF$1001,0),1)&gt;=100000,INDEX($AM$1005:$BM$1005,1,MATCH(COLUMNS($AM$1006:BB1006),$AM$1006:$BM$1006,0))&gt;=100000), " ",IF(INDEX($AM$2:$BM$1001,MATCH(ROWS($AF$2:AF198),$AF$2:$AF$1001,0),MATCH(COLUMNS($AM$1006:BB1006),$AM$1006:$BM$1006,0)), HYPERLINK("#",""), HYPERLINK(CONCATENATE("#metadata!", ADDRESS(INDEX($AH$2:$AH$1001,MATCH(ROWS($AF$2:AF198),$AF$2:$AF$1001,0),0), INDEX($AM$1004:$BM$1004,1,MATCH(COLUMNS($AM$1006:BB1006),$AM$1006:$BM$1006,0)))),"Fix")))</f>
        <v xml:space="preserve"> </v>
      </c>
      <c r="R198" s="4" t="str">
        <f ca="1">IF(OR(INDEX($AG$2:$AG$1001,MATCH(ROWS($AF$2:AF198),$AF$2:$AF$1001,0),1)&gt;=100000,INDEX($AM$1005:$BM$1005,1,MATCH(COLUMNS($AM$1006:BC1006),$AM$1006:$BM$1006,0))&gt;=100000), " ",IF(INDEX($AM$2:$BM$1001,MATCH(ROWS($AF$2:AF198),$AF$2:$AF$1001,0),MATCH(COLUMNS($AM$1006:BC1006),$AM$1006:$BM$1006,0)), HYPERLINK("#",""), HYPERLINK(CONCATENATE("#metadata!", ADDRESS(INDEX($AH$2:$AH$1001,MATCH(ROWS($AF$2:AF198),$AF$2:$AF$1001,0),0), INDEX($AM$1004:$BM$1004,1,MATCH(COLUMNS($AM$1006:BC1006),$AM$1006:$BM$1006,0)))),"Fix")))</f>
        <v xml:space="preserve"> </v>
      </c>
      <c r="S198" s="4" t="str">
        <f ca="1">IF(OR(INDEX($AG$2:$AG$1001,MATCH(ROWS($AF$2:AF198),$AF$2:$AF$1001,0),1)&gt;=100000,INDEX($AM$1005:$BM$1005,1,MATCH(COLUMNS($AM$1006:BD1006),$AM$1006:$BM$1006,0))&gt;=100000), " ",IF(INDEX($AM$2:$BM$1001,MATCH(ROWS($AF$2:AF198),$AF$2:$AF$1001,0),MATCH(COLUMNS($AM$1006:BD1006),$AM$1006:$BM$1006,0)), HYPERLINK("#",""), HYPERLINK(CONCATENATE("#metadata!", ADDRESS(INDEX($AH$2:$AH$1001,MATCH(ROWS($AF$2:AF198),$AF$2:$AF$1001,0),0), INDEX($AM$1004:$BM$1004,1,MATCH(COLUMNS($AM$1006:BD1006),$AM$1006:$BM$1006,0)))),"Fix")))</f>
        <v xml:space="preserve"> </v>
      </c>
      <c r="T198" s="4" t="str">
        <f ca="1">IF(OR(INDEX($AG$2:$AG$1001,MATCH(ROWS($AF$2:AF198),$AF$2:$AF$1001,0),1)&gt;=100000,INDEX($AM$1005:$BM$1005,1,MATCH(COLUMNS($AM$1006:BE1006),$AM$1006:$BM$1006,0))&gt;=100000), " ",IF(INDEX($AM$2:$BM$1001,MATCH(ROWS($AF$2:AF198),$AF$2:$AF$1001,0),MATCH(COLUMNS($AM$1006:BE1006),$AM$1006:$BM$1006,0)), HYPERLINK("#",""), HYPERLINK(CONCATENATE("#metadata!", ADDRESS(INDEX($AH$2:$AH$1001,MATCH(ROWS($AF$2:AF198),$AF$2:$AF$1001,0),0), INDEX($AM$1004:$BM$1004,1,MATCH(COLUMNS($AM$1006:BE1006),$AM$1006:$BM$1006,0)))),"Fix")))</f>
        <v xml:space="preserve"> </v>
      </c>
      <c r="U198" s="4" t="str">
        <f ca="1">IF(OR(INDEX($AG$2:$AG$1001,MATCH(ROWS($AF$2:AF198),$AF$2:$AF$1001,0),1)&gt;=100000,INDEX($AM$1005:$BM$1005,1,MATCH(COLUMNS($AM$1006:BF1006),$AM$1006:$BM$1006,0))&gt;=100000), " ",IF(INDEX($AM$2:$BM$1001,MATCH(ROWS($AF$2:AF198),$AF$2:$AF$1001,0),MATCH(COLUMNS($AM$1006:BF1006),$AM$1006:$BM$1006,0)), HYPERLINK("#",""), HYPERLINK(CONCATENATE("#metadata!", ADDRESS(INDEX($AH$2:$AH$1001,MATCH(ROWS($AF$2:AF198),$AF$2:$AF$1001,0),0), INDEX($AM$1004:$BM$1004,1,MATCH(COLUMNS($AM$1006:BF1006),$AM$1006:$BM$1006,0)))),"Fix")))</f>
        <v xml:space="preserve"> </v>
      </c>
      <c r="V198" s="4" t="str">
        <f ca="1">IF(OR(INDEX($AG$2:$AG$1001,MATCH(ROWS($AF$2:AF198),$AF$2:$AF$1001,0),1)&gt;=100000,INDEX($AM$1005:$BM$1005,1,MATCH(COLUMNS($AM$1006:BG1006),$AM$1006:$BM$1006,0))&gt;=100000), " ",IF(INDEX($AM$2:$BM$1001,MATCH(ROWS($AF$2:AF198),$AF$2:$AF$1001,0),MATCH(COLUMNS($AM$1006:BG1006),$AM$1006:$BM$1006,0)), HYPERLINK("#",""), HYPERLINK(CONCATENATE("#metadata!", ADDRESS(INDEX($AH$2:$AH$1001,MATCH(ROWS($AF$2:AF198),$AF$2:$AF$1001,0),0), INDEX($AM$1004:$BM$1004,1,MATCH(COLUMNS($AM$1006:BG1006),$AM$1006:$BM$1006,0)))),"Fix")))</f>
        <v xml:space="preserve"> </v>
      </c>
      <c r="W198" s="4" t="str">
        <f ca="1">IF(OR(INDEX($AG$2:$AG$1001,MATCH(ROWS($AF$2:AF198),$AF$2:$AF$1001,0),1)&gt;=100000,INDEX($AM$1005:$BM$1005,1,MATCH(COLUMNS($AM$1006:BH1006),$AM$1006:$BM$1006,0))&gt;=100000), " ",IF(INDEX($AM$2:$BM$1001,MATCH(ROWS($AF$2:AF198),$AF$2:$AF$1001,0),MATCH(COLUMNS($AM$1006:BH1006),$AM$1006:$BM$1006,0)), HYPERLINK("#",""), HYPERLINK(CONCATENATE("#metadata!", ADDRESS(INDEX($AH$2:$AH$1001,MATCH(ROWS($AF$2:AF198),$AF$2:$AF$1001,0),0), INDEX($AM$1004:$BM$1004,1,MATCH(COLUMNS($AM$1006:BH1006),$AM$1006:$BM$1006,0)))),"Fix")))</f>
        <v xml:space="preserve"> </v>
      </c>
      <c r="X198" s="4" t="str">
        <f ca="1">IF(OR(INDEX($AG$2:$AG$1001,MATCH(ROWS($AF$2:AF198),$AF$2:$AF$1001,0),1)&gt;=100000,INDEX($AM$1005:$BM$1005,1,MATCH(COLUMNS($AM$1006:BI1006),$AM$1006:$BM$1006,0))&gt;=100000), " ",IF(INDEX($AM$2:$BM$1001,MATCH(ROWS($AF$2:AF198),$AF$2:$AF$1001,0),MATCH(COLUMNS($AM$1006:BI1006),$AM$1006:$BM$1006,0)), HYPERLINK("#",""), HYPERLINK(CONCATENATE("#metadata!", ADDRESS(INDEX($AH$2:$AH$1001,MATCH(ROWS($AF$2:AF198),$AF$2:$AF$1001,0),0), INDEX($AM$1004:$BM$1004,1,MATCH(COLUMNS($AM$1006:BI1006),$AM$1006:$BM$1006,0)))),"Fix")))</f>
        <v xml:space="preserve"> </v>
      </c>
      <c r="Y198" s="4" t="str">
        <f ca="1">IF(OR(INDEX($AG$2:$AG$1001,MATCH(ROWS($AF$2:AF198),$AF$2:$AF$1001,0),1)&gt;=100000,INDEX($AM$1005:$BM$1005,1,MATCH(COLUMNS($AM$1006:BJ1006),$AM$1006:$BM$1006,0))&gt;=100000), " ",IF(INDEX($AM$2:$BM$1001,MATCH(ROWS($AF$2:AF198),$AF$2:$AF$1001,0),MATCH(COLUMNS($AM$1006:BJ1006),$AM$1006:$BM$1006,0)), HYPERLINK("#",""), HYPERLINK(CONCATENATE("#metadata!", ADDRESS(INDEX($AH$2:$AH$1001,MATCH(ROWS($AF$2:AF198),$AF$2:$AF$1001,0),0), INDEX($AM$1004:$BM$1004,1,MATCH(COLUMNS($AM$1006:BJ1006),$AM$1006:$BM$1006,0)))),"Fix")))</f>
        <v xml:space="preserve"> </v>
      </c>
      <c r="Z198" s="4" t="str">
        <f ca="1">IF(OR(INDEX($AG$2:$AG$1001,MATCH(ROWS($AF$2:AF198),$AF$2:$AF$1001,0),1)&gt;=100000,INDEX($AM$1005:$BM$1005,1,MATCH(COLUMNS($AM$1006:BK1006),$AM$1006:$BM$1006,0))&gt;=100000), " ",IF(INDEX($AM$2:$BM$1001,MATCH(ROWS($AF$2:AF198),$AF$2:$AF$1001,0),MATCH(COLUMNS($AM$1006:BK1006),$AM$1006:$BM$1006,0)), HYPERLINK("#",""), HYPERLINK(CONCATENATE("#metadata!", ADDRESS(INDEX($AH$2:$AH$1001,MATCH(ROWS($AF$2:AF198),$AF$2:$AF$1001,0),0), INDEX($AM$1004:$BM$1004,1,MATCH(COLUMNS($AM$1006:BK1006),$AM$1006:$BM$1006,0)))),"Fix")))</f>
        <v xml:space="preserve"> </v>
      </c>
      <c r="AA198" s="4" t="str">
        <f ca="1">IF(OR(INDEX($AG$2:$AG$1001,MATCH(ROWS($AF$2:AF198),$AF$2:$AF$1001,0),1)&gt;=100000,INDEX($AM$1005:$BM$1005,1,MATCH(COLUMNS($AM$1006:BL1006),$AM$1006:$BM$1006,0))&gt;=100000), " ",IF(INDEX($AM$2:$BM$1001,MATCH(ROWS($AF$2:AF198),$AF$2:$AF$1001,0),MATCH(COLUMNS($AM$1006:BL1006),$AM$1006:$BM$1006,0)), HYPERLINK("#",""), HYPERLINK(CONCATENATE("#metadata!", ADDRESS(INDEX($AH$2:$AH$1001,MATCH(ROWS($AF$2:AF198),$AF$2:$AF$1001,0),0), INDEX($AM$1004:$BM$1004,1,MATCH(COLUMNS($AM$1006:BL1006),$AM$1006:$BM$1006,0)))),"Fix")))</f>
        <v xml:space="preserve"> </v>
      </c>
      <c r="AB198" s="4" t="str">
        <f ca="1">IF(OR(INDEX($AG$2:$AG$1001,MATCH(ROWS($AF$2:AF198),$AF$2:$AF$1001,0),1)&gt;=100000,INDEX($AM$1005:$BM$1005,1,MATCH(COLUMNS($AM$1006:BM1006),$AM$1006:$BM$1006,0))&gt;=100000), " ",IF(INDEX($AM$2:$BM$1001,MATCH(ROWS($AF$2:AF198),$AF$2:$AF$1001,0),MATCH(COLUMNS($AM$1006:BM1006),$AM$1006:$BM$1006,0)), HYPERLINK("#",""), HYPERLINK(CONCATENATE("#metadata!", ADDRESS(INDEX($AH$2:$AH$1001,MATCH(ROWS($AF$2:AF198),$AF$2:$AF$1001,0),0), INDEX($AM$1004:$BM$1004,1,MATCH(COLUMNS($AM$1006:BM1006),$AM$1006:$BM$1006,0)))),"Fix")))</f>
        <v xml:space="preserve"> </v>
      </c>
      <c r="AF198">
        <v>197</v>
      </c>
      <c r="AG198">
        <v>100198</v>
      </c>
      <c r="AH198">
        <v>198</v>
      </c>
      <c r="AI198" t="b">
        <f t="shared" si="3"/>
        <v>1</v>
      </c>
      <c r="AJ198" t="b">
        <f>COUNTBLANK(metadata!B198:AB198)=COLUMNS(metadata!B198:AB198)</f>
        <v>1</v>
      </c>
      <c r="AK198" t="str">
        <v/>
      </c>
      <c r="AM198" t="b">
        <f ca="1">AND(IF(metadata!B198="",FALSE,TRUE),COUNTIF(metadata!B:B, metadata!B198) = 1,NOT(ISERROR(SUMPRODUCT(SEARCH(MID(metadata!B198,ROW(INDIRECT("1:"&amp;LEN(metadata!B198))), 1),"0123456789abcdefghijklmnopqrstuvwxyzABCDEFGHIJKLMNOPQRSTUVWXYZ.")))))</f>
        <v>0</v>
      </c>
      <c r="AN198" t="b">
        <f ca="1">OR(AND(IF(metadata!C198="",FALSE,TRUE),OR(EXACT(metadata!C198,"missing: not collected"),EXACT(metadata!C198,"missing: not provided"),EXACT(metadata!C198,"missing: restricted access"))),AND(IF(metadata!C198="",FALSE,TRUE),AND(AND(IFERROR(INT(LEFT(metadata!C198,4))&gt;1900,FALSE),IFERROR(INT(LEFT(metadata!C198,4))&lt;=YEAR(NOW()),FALSE)), OR(MID(metadata!C198,5,1)="", AND(AND(MID(metadata!C198,5,1)="-",IFERROR(INT(MID(metadata!C198,6,1))&gt;=0,FALSE),IFERROR(INT(MID(metadata!C198,6,1))&lt;=1,FALSE),NOT(MID(metadata!C198,7,1)=""),IFERROR(INT(MID(metadata!C198,6,2))&gt;=1,FALSE),IFERROR(INT(MID(metadata!C198,6,2))&lt;=12,FALSE)), OR(MID(metadata!C198,8,1)="", AND(AND(MID(metadata!C198,8,1)="-",IFERROR(INT(MID(metadata!C198,9,1))&gt;=0,FALSE),IFERROR(INT(MID(metadata!C198,9,1))&lt;=3,FALSE),NOT(MID(metadata!C198,10,1)=""),IFERROR(INT(MID(metadata!C198,9,2))&gt;=1,FALSE),IFERROR(INT(MID(metadata!C198,9,2))&lt;=31,FALSE)), OR(MID(metadata!C198,11,1)="", AND(AND(MID(metadata!C198,11,1)=" ",IFERROR(INT(MID(metadata!C198,12,1))&gt;=0,FALSE),IFERROR(INT(MID(metadata!C198,12,1))&lt;=2,FALSE),NOT(MID(metadata!C198,13,1)=""),IFERROR(INT(MID(metadata!C198,12,2))&gt;=0,FALSE),IFERROR(INT(MID(metadata!C198,12,2))&lt;=23,FALSE)), OR(MID(metadata!C198,14,1)="", AND(AND(MID(metadata!C198,14,1)=":",IFERROR(INT(MID(metadata!C198,15,1))&gt;=0,FALSE),IFERROR(INT(MID(metadata!C198,15,1))&lt;=5,FALSE),NOT(MID(metadata!C198,16,1)=""),IFERROR(INT(MID(metadata!C198,15,2))&gt;=0,FALSE),IFERROR(INT(MID(metadata!C198,15,2))&lt;=59,FALSE)), OR(MID(metadata!C198,17,1)="", AND(AND(MID(metadata!C198,17,1)=":",IFERROR(INT(MID(metadata!C198,18,1))&gt;=0,FALSE),IFERROR(INT(MID(metadata!C198,18,1))&lt;=5,FALSE),NOT(MID(metadata!C198,19,1)=""),IFERROR(INT(MID(metadata!C198,18,2))&gt;=0,FALSE),IFERROR(INT(MID(metadata!C198,18,2))&lt;=59,FALSE)), LEN(metadata!C198)&lt;=19)))))))))))))</f>
        <v>0</v>
      </c>
      <c r="AO198" t="b">
        <f>AND(IF(metadata!D198="",FALSE,TRUE),EXACT(metadata!D198,"Not applicable"))</f>
        <v>0</v>
      </c>
      <c r="AP198" t="b">
        <f>IF(metadata!E198="",FALSE,TRUE)</f>
        <v>0</v>
      </c>
      <c r="AQ198" t="b">
        <f>OR(AND(IF(metadata!F198="",FALSE,TRUE),OR(EXACT(metadata!F198,"missing: not collected"),EXACT(metadata!F198,"missing: not provided"))),AND(IF(metadata!F198="",FALSE,TRUE),OR(EXACT(metadata!F198,"TRUE"),EXACT(metadata!F198,"FALSE"))))</f>
        <v>0</v>
      </c>
      <c r="AR198" t="b">
        <f>OR(AND(IF(metadata!G198="",FALSE,TRUE),OR(EXACT(metadata!G198,"missing: not collected"),EXACT(metadata!G198,"missing: not provided"),EXACT(metadata!G198,"missing: restricted access"))),AND(IF(metadata!G198="",FALSE,ISNUMBER(VALUE(metadata!G198))),metadata!G198&gt;=-413))</f>
        <v>0</v>
      </c>
      <c r="AS198" t="b">
        <f>AND(IF(metadata!H198="",FALSE,TRUE),EXACT(metadata!H198,"meters"))</f>
        <v>0</v>
      </c>
      <c r="AT198" t="b">
        <f>AND(IF(metadata!I198="",FALSE,TRUE),OR(EXACT(metadata!I198,"Host-associated"),EXACT(metadata!I198,"Free-living")))</f>
        <v>0</v>
      </c>
      <c r="AU198" t="b">
        <f>AND(IF(metadata!J198="",FALSE,TRUE),OR(EXACT(metadata!J198,"Animal"),EXACT(metadata!J198,"Fungus"),EXACT(metadata!J198,"Plant"),EXACT(metadata!J198,"Saline"),EXACT(metadata!J198,"Non-saline")))</f>
        <v>0</v>
      </c>
      <c r="AV198" t="b">
        <f>AND(IF(metadata!K198="",FALSE,TRUE),OR(EXACT(metadata!K198,"Plant secretion"),EXACT(metadata!K198,"Plant rhizosphere"),EXACT(metadata!K198,"Plant surface"),EXACT(metadata!K198,"Plant corpus"),EXACT(metadata!K198,"Fungus surface"),EXACT(metadata!K198,"Fungus corpus"),EXACT(metadata!K198,"Animal surface"),EXACT(metadata!K198,"Animal proximal gut"),EXACT(metadata!K198,"Animal corpus"),EXACT(metadata!K198,"Animal distal gut"),EXACT(metadata!K198,"Animal secretion"),EXACT(metadata!K198,"Sub-surface (non-saline)"),EXACT(metadata!K198,"Surface (non-saline)"),EXACT(metadata!K198,"Water (non-saline)"),EXACT(metadata!K198,"Soil (non-saline)"),EXACT(metadata!K198,"Aerosol (non-saline)"),EXACT(metadata!K198,"Sediment (non-saline)"),EXACT(metadata!K198,"Surface (saline)"),EXACT(metadata!K198,"Water (saline)"),EXACT(metadata!K198,"Hypersaline (saline)"),EXACT(metadata!K198,"Aerosol (saline)"),EXACT(metadata!K198,"Sediment (saline)")))</f>
        <v>0</v>
      </c>
      <c r="AW198" t="b">
        <f>IF(metadata!L198="",FALSE,TRUE)</f>
        <v>0</v>
      </c>
      <c r="AX198" t="b">
        <f>IF(metadata!M198="",FALSE,TRUE)</f>
        <v>0</v>
      </c>
      <c r="AY198" t="b">
        <f>IF(metadata!N198="",FALSE,TRUE)</f>
        <v>0</v>
      </c>
      <c r="AZ198" t="b">
        <f>OR(AND(IF(metadata!O198="",FALSE,TRUE),OR(EXACT(metadata!O198,"missing: not collected"),EXACT(metadata!O198,"missing: not provided"),EXACT(metadata!O198,"missing: restricted access"))),AND(IF(metadata!O198="",FALSE,TRUE),OR(EXACT(metadata!O198,"air"),EXACT(metadata!O198,"built environment"),EXACT(metadata!O198,"host-associated"),EXACT(metadata!O198,"human-associated"),EXACT(metadata!O198,"human-skin"),EXACT(metadata!O198,"human-oral"),EXACT(metadata!O198,"human-gut"),EXACT(metadata!O198,"human-vaginal"),EXACT(metadata!O198,"microbial mat/biofilm"),EXACT(metadata!O198,"misc environment"),EXACT(metadata!O198,"plant-associated"),EXACT(metadata!O198,"sediment"),EXACT(metadata!O198,"soil"),EXACT(metadata!O198,"wastewater/sludge"),EXACT(metadata!O198,"water"))))</f>
        <v>0</v>
      </c>
      <c r="BA198" t="b">
        <f>IF(metadata!P198="",FALSE,TRUE)</f>
        <v>0</v>
      </c>
      <c r="BB198" t="b">
        <f>IF(metadata!Q198="",FALSE,TRUE)</f>
        <v>0</v>
      </c>
      <c r="BC198" t="b">
        <f>OR(AND(IF(metadata!R198="",FALSE,TRUE),OR(EXACT(metadata!R198,"missing: not collected"),EXACT(metadata!R198,"missing: not provided"),EXACT(metadata!R198,"missing: restricted access"))),AND(IF(metadata!R198="",FALSE,ISNUMBER(VALUE(metadata!R198))),metadata!R198&gt;=-90,metadata!R198&lt;=90))</f>
        <v>0</v>
      </c>
      <c r="BD198" t="b">
        <f>AND(IF(metadata!S198="",FALSE,TRUE),EXACT(metadata!S198,"Decimal degrees"))</f>
        <v>0</v>
      </c>
      <c r="BE198" t="b">
        <f>OR(AND(IF(metadata!T198="",FALSE,TRUE),OR(EXACT(metadata!T198,"missing: not collected"),EXACT(metadata!T198,"missing: not provided"),EXACT(metadata!T198,"missing: restricted access"))),AND(IF(metadata!T198="",FALSE,ISNUMBER(VALUE(metadata!T198))),metadata!T198&gt;=-180,metadata!T198&lt;=180))</f>
        <v>0</v>
      </c>
      <c r="BF198" t="b">
        <f>AND(IF(metadata!U198="",FALSE,TRUE),EXACT(metadata!U198,"Decimal degrees"))</f>
        <v>0</v>
      </c>
      <c r="BG198" t="b">
        <f>IF(metadata!V198="",FALSE,TRUE)</f>
        <v>0</v>
      </c>
      <c r="BH198" t="b">
        <f>OR(AND(IF(metadata!W198="",FALSE,TRUE),OR(EXACT(metadata!W198,"missing: not collected"),EXACT(metadata!W198,"missing: not provided"),EXACT(metadata!W198,"missing: restricted access"))),AND(IF(metadata!W198="",FALSE,TRUE),OR(EXACT(metadata!W198,"TRUE"),EXACT(metadata!W198,"FALSE"))))</f>
        <v>0</v>
      </c>
      <c r="BI198" t="b">
        <f>AND(IF(metadata!X198="",FALSE,TRUE),EXACT(metadata!X198,"other"))</f>
        <v>0</v>
      </c>
      <c r="BJ198" t="b">
        <f>IF(metadata!Y198="",FALSE,TRUE)</f>
        <v>0</v>
      </c>
      <c r="BK198" t="b">
        <f>OR(AND(IF(metadata!Z198="",FALSE,TRUE),OR(EXACT(metadata!Z198,"missing: not collected"),EXACT(metadata!Z198,"missing: not provided"))),AND(IF(metadata!Z198="",FALSE,IF(ISERROR(INT(metadata!Z198)),FALSE,INT(metadata!Z198)=metadata!Z198)),metadata!Z198&gt;0))</f>
        <v>0</v>
      </c>
      <c r="BL198" t="b">
        <f>AND(IF(metadata!AA198="",FALSE,TRUE),EXACT(metadata!AA198,"Not applicable"))</f>
        <v>0</v>
      </c>
      <c r="BM198" t="b">
        <f>IF(metadata!AB198="",FALSE,TRUE)</f>
        <v>0</v>
      </c>
    </row>
    <row r="199" spans="1:65" x14ac:dyDescent="0.2">
      <c r="A199" s="5" t="str">
        <f ca="1">IF(B199=" "," ",HYPERLINK(CONCATENATE("#metadata!",ADDRESS(INDEX($AH$2:$AH$1001,MATCH(ROWS($AF$2:AF199),$AF$2:$AF$1001,0),0),1)),INDEX($AK$2:$AK$1001,MATCH(ROWS($AF$2:AF199),$AF$2:$AF$1001,0),0)))</f>
        <v xml:space="preserve"> </v>
      </c>
      <c r="B199" s="4" t="str">
        <f ca="1">IF(OR(INDEX($AG$2:$AG$1001,MATCH(ROWS($AF$2:AF199),$AF$2:$AF$1001,0),1)&gt;=100000,INDEX($AM$1005:$BM$1005,1,MATCH(COLUMNS($AM$1006:AM1006),$AM$1006:$BM$1006,0))&gt;=100000), " ",IF(INDEX($AM$2:$BM$1001,MATCH(ROWS($AF$2:AF199),$AF$2:$AF$1001,0),MATCH(COLUMNS($AM$1006:AM1006),$AM$1006:$BM$1006,0)), HYPERLINK("#",""), HYPERLINK(CONCATENATE("#metadata!", ADDRESS(INDEX($AH$2:$AH$1001,MATCH(ROWS($AF$2:AF199),$AF$2:$AF$1001,0),0), INDEX($AM$1004:$BM$1004,1,MATCH(COLUMNS($AM$1006:AM1006),$AM$1006:$BM$1006,0)))),"Fix")))</f>
        <v xml:space="preserve"> </v>
      </c>
      <c r="C199" s="4" t="str">
        <f ca="1">IF(OR(INDEX($AG$2:$AG$1001,MATCH(ROWS($AF$2:AF199),$AF$2:$AF$1001,0),1)&gt;=100000,INDEX($AM$1005:$BM$1005,1,MATCH(COLUMNS($AM$1006:AN1006),$AM$1006:$BM$1006,0))&gt;=100000), " ",IF(INDEX($AM$2:$BM$1001,MATCH(ROWS($AF$2:AF199),$AF$2:$AF$1001,0),MATCH(COLUMNS($AM$1006:AN1006),$AM$1006:$BM$1006,0)), HYPERLINK("#",""), HYPERLINK(CONCATENATE("#metadata!", ADDRESS(INDEX($AH$2:$AH$1001,MATCH(ROWS($AF$2:AF199),$AF$2:$AF$1001,0),0), INDEX($AM$1004:$BM$1004,1,MATCH(COLUMNS($AM$1006:AN1006),$AM$1006:$BM$1006,0)))),"Fix")))</f>
        <v xml:space="preserve"> </v>
      </c>
      <c r="D199" s="4" t="str">
        <f ca="1">IF(OR(INDEX($AG$2:$AG$1001,MATCH(ROWS($AF$2:AF199),$AF$2:$AF$1001,0),1)&gt;=100000,INDEX($AM$1005:$BM$1005,1,MATCH(COLUMNS($AM$1006:AO1006),$AM$1006:$BM$1006,0))&gt;=100000), " ",IF(INDEX($AM$2:$BM$1001,MATCH(ROWS($AF$2:AF199),$AF$2:$AF$1001,0),MATCH(COLUMNS($AM$1006:AO1006),$AM$1006:$BM$1006,0)), HYPERLINK("#",""), HYPERLINK(CONCATENATE("#metadata!", ADDRESS(INDEX($AH$2:$AH$1001,MATCH(ROWS($AF$2:AF199),$AF$2:$AF$1001,0),0), INDEX($AM$1004:$BM$1004,1,MATCH(COLUMNS($AM$1006:AO1006),$AM$1006:$BM$1006,0)))),"Fix")))</f>
        <v xml:space="preserve"> </v>
      </c>
      <c r="E199" s="4" t="str">
        <f ca="1">IF(OR(INDEX($AG$2:$AG$1001,MATCH(ROWS($AF$2:AF199),$AF$2:$AF$1001,0),1)&gt;=100000,INDEX($AM$1005:$BM$1005,1,MATCH(COLUMNS($AM$1006:AP1006),$AM$1006:$BM$1006,0))&gt;=100000), " ",IF(INDEX($AM$2:$BM$1001,MATCH(ROWS($AF$2:AF199),$AF$2:$AF$1001,0),MATCH(COLUMNS($AM$1006:AP1006),$AM$1006:$BM$1006,0)), HYPERLINK("#",""), HYPERLINK(CONCATENATE("#metadata!", ADDRESS(INDEX($AH$2:$AH$1001,MATCH(ROWS($AF$2:AF199),$AF$2:$AF$1001,0),0), INDEX($AM$1004:$BM$1004,1,MATCH(COLUMNS($AM$1006:AP1006),$AM$1006:$BM$1006,0)))),"Fix")))</f>
        <v xml:space="preserve"> </v>
      </c>
      <c r="F199" s="4" t="str">
        <f ca="1">IF(OR(INDEX($AG$2:$AG$1001,MATCH(ROWS($AF$2:AF199),$AF$2:$AF$1001,0),1)&gt;=100000,INDEX($AM$1005:$BM$1005,1,MATCH(COLUMNS($AM$1006:AQ1006),$AM$1006:$BM$1006,0))&gt;=100000), " ",IF(INDEX($AM$2:$BM$1001,MATCH(ROWS($AF$2:AF199),$AF$2:$AF$1001,0),MATCH(COLUMNS($AM$1006:AQ1006),$AM$1006:$BM$1006,0)), HYPERLINK("#",""), HYPERLINK(CONCATENATE("#metadata!", ADDRESS(INDEX($AH$2:$AH$1001,MATCH(ROWS($AF$2:AF199),$AF$2:$AF$1001,0),0), INDEX($AM$1004:$BM$1004,1,MATCH(COLUMNS($AM$1006:AQ1006),$AM$1006:$BM$1006,0)))),"Fix")))</f>
        <v xml:space="preserve"> </v>
      </c>
      <c r="G199" s="4" t="str">
        <f ca="1">IF(OR(INDEX($AG$2:$AG$1001,MATCH(ROWS($AF$2:AF199),$AF$2:$AF$1001,0),1)&gt;=100000,INDEX($AM$1005:$BM$1005,1,MATCH(COLUMNS($AM$1006:AR1006),$AM$1006:$BM$1006,0))&gt;=100000), " ",IF(INDEX($AM$2:$BM$1001,MATCH(ROWS($AF$2:AF199),$AF$2:$AF$1001,0),MATCH(COLUMNS($AM$1006:AR1006),$AM$1006:$BM$1006,0)), HYPERLINK("#",""), HYPERLINK(CONCATENATE("#metadata!", ADDRESS(INDEX($AH$2:$AH$1001,MATCH(ROWS($AF$2:AF199),$AF$2:$AF$1001,0),0), INDEX($AM$1004:$BM$1004,1,MATCH(COLUMNS($AM$1006:AR1006),$AM$1006:$BM$1006,0)))),"Fix")))</f>
        <v xml:space="preserve"> </v>
      </c>
      <c r="H199" s="4" t="str">
        <f ca="1">IF(OR(INDEX($AG$2:$AG$1001,MATCH(ROWS($AF$2:AF199),$AF$2:$AF$1001,0),1)&gt;=100000,INDEX($AM$1005:$BM$1005,1,MATCH(COLUMNS($AM$1006:AS1006),$AM$1006:$BM$1006,0))&gt;=100000), " ",IF(INDEX($AM$2:$BM$1001,MATCH(ROWS($AF$2:AF199),$AF$2:$AF$1001,0),MATCH(COLUMNS($AM$1006:AS1006),$AM$1006:$BM$1006,0)), HYPERLINK("#",""), HYPERLINK(CONCATENATE("#metadata!", ADDRESS(INDEX($AH$2:$AH$1001,MATCH(ROWS($AF$2:AF199),$AF$2:$AF$1001,0),0), INDEX($AM$1004:$BM$1004,1,MATCH(COLUMNS($AM$1006:AS1006),$AM$1006:$BM$1006,0)))),"Fix")))</f>
        <v xml:space="preserve"> </v>
      </c>
      <c r="I199" s="4" t="str">
        <f ca="1">IF(OR(INDEX($AG$2:$AG$1001,MATCH(ROWS($AF$2:AF199),$AF$2:$AF$1001,0),1)&gt;=100000,INDEX($AM$1005:$BM$1005,1,MATCH(COLUMNS($AM$1006:AT1006),$AM$1006:$BM$1006,0))&gt;=100000), " ",IF(INDEX($AM$2:$BM$1001,MATCH(ROWS($AF$2:AF199),$AF$2:$AF$1001,0),MATCH(COLUMNS($AM$1006:AT1006),$AM$1006:$BM$1006,0)), HYPERLINK("#",""), HYPERLINK(CONCATENATE("#metadata!", ADDRESS(INDEX($AH$2:$AH$1001,MATCH(ROWS($AF$2:AF199),$AF$2:$AF$1001,0),0), INDEX($AM$1004:$BM$1004,1,MATCH(COLUMNS($AM$1006:AT1006),$AM$1006:$BM$1006,0)))),"Fix")))</f>
        <v xml:space="preserve"> </v>
      </c>
      <c r="J199" s="4" t="str">
        <f ca="1">IF(OR(INDEX($AG$2:$AG$1001,MATCH(ROWS($AF$2:AF199),$AF$2:$AF$1001,0),1)&gt;=100000,INDEX($AM$1005:$BM$1005,1,MATCH(COLUMNS($AM$1006:AU1006),$AM$1006:$BM$1006,0))&gt;=100000), " ",IF(INDEX($AM$2:$BM$1001,MATCH(ROWS($AF$2:AF199),$AF$2:$AF$1001,0),MATCH(COLUMNS($AM$1006:AU1006),$AM$1006:$BM$1006,0)), HYPERLINK("#",""), HYPERLINK(CONCATENATE("#metadata!", ADDRESS(INDEX($AH$2:$AH$1001,MATCH(ROWS($AF$2:AF199),$AF$2:$AF$1001,0),0), INDEX($AM$1004:$BM$1004,1,MATCH(COLUMNS($AM$1006:AU1006),$AM$1006:$BM$1006,0)))),"Fix")))</f>
        <v xml:space="preserve"> </v>
      </c>
      <c r="K199" s="4" t="str">
        <f ca="1">IF(OR(INDEX($AG$2:$AG$1001,MATCH(ROWS($AF$2:AF199),$AF$2:$AF$1001,0),1)&gt;=100000,INDEX($AM$1005:$BM$1005,1,MATCH(COLUMNS($AM$1006:AV1006),$AM$1006:$BM$1006,0))&gt;=100000), " ",IF(INDEX($AM$2:$BM$1001,MATCH(ROWS($AF$2:AF199),$AF$2:$AF$1001,0),MATCH(COLUMNS($AM$1006:AV1006),$AM$1006:$BM$1006,0)), HYPERLINK("#",""), HYPERLINK(CONCATENATE("#metadata!", ADDRESS(INDEX($AH$2:$AH$1001,MATCH(ROWS($AF$2:AF199),$AF$2:$AF$1001,0),0), INDEX($AM$1004:$BM$1004,1,MATCH(COLUMNS($AM$1006:AV1006),$AM$1006:$BM$1006,0)))),"Fix")))</f>
        <v xml:space="preserve"> </v>
      </c>
      <c r="L199" s="4" t="str">
        <f ca="1">IF(OR(INDEX($AG$2:$AG$1001,MATCH(ROWS($AF$2:AF199),$AF$2:$AF$1001,0),1)&gt;=100000,INDEX($AM$1005:$BM$1005,1,MATCH(COLUMNS($AM$1006:AW1006),$AM$1006:$BM$1006,0))&gt;=100000), " ",IF(INDEX($AM$2:$BM$1001,MATCH(ROWS($AF$2:AF199),$AF$2:$AF$1001,0),MATCH(COLUMNS($AM$1006:AW1006),$AM$1006:$BM$1006,0)), HYPERLINK("#",""), HYPERLINK(CONCATENATE("#metadata!", ADDRESS(INDEX($AH$2:$AH$1001,MATCH(ROWS($AF$2:AF199),$AF$2:$AF$1001,0),0), INDEX($AM$1004:$BM$1004,1,MATCH(COLUMNS($AM$1006:AW1006),$AM$1006:$BM$1006,0)))),"Fix")))</f>
        <v xml:space="preserve"> </v>
      </c>
      <c r="M199" s="4" t="str">
        <f ca="1">IF(OR(INDEX($AG$2:$AG$1001,MATCH(ROWS($AF$2:AF199),$AF$2:$AF$1001,0),1)&gt;=100000,INDEX($AM$1005:$BM$1005,1,MATCH(COLUMNS($AM$1006:AX1006),$AM$1006:$BM$1006,0))&gt;=100000), " ",IF(INDEX($AM$2:$BM$1001,MATCH(ROWS($AF$2:AF199),$AF$2:$AF$1001,0),MATCH(COLUMNS($AM$1006:AX1006),$AM$1006:$BM$1006,0)), HYPERLINK("#",""), HYPERLINK(CONCATENATE("#metadata!", ADDRESS(INDEX($AH$2:$AH$1001,MATCH(ROWS($AF$2:AF199),$AF$2:$AF$1001,0),0), INDEX($AM$1004:$BM$1004,1,MATCH(COLUMNS($AM$1006:AX1006),$AM$1006:$BM$1006,0)))),"Fix")))</f>
        <v xml:space="preserve"> </v>
      </c>
      <c r="N199" s="4" t="str">
        <f ca="1">IF(OR(INDEX($AG$2:$AG$1001,MATCH(ROWS($AF$2:AF199),$AF$2:$AF$1001,0),1)&gt;=100000,INDEX($AM$1005:$BM$1005,1,MATCH(COLUMNS($AM$1006:AY1006),$AM$1006:$BM$1006,0))&gt;=100000), " ",IF(INDEX($AM$2:$BM$1001,MATCH(ROWS($AF$2:AF199),$AF$2:$AF$1001,0),MATCH(COLUMNS($AM$1006:AY1006),$AM$1006:$BM$1006,0)), HYPERLINK("#",""), HYPERLINK(CONCATENATE("#metadata!", ADDRESS(INDEX($AH$2:$AH$1001,MATCH(ROWS($AF$2:AF199),$AF$2:$AF$1001,0),0), INDEX($AM$1004:$BM$1004,1,MATCH(COLUMNS($AM$1006:AY1006),$AM$1006:$BM$1006,0)))),"Fix")))</f>
        <v xml:space="preserve"> </v>
      </c>
      <c r="O199" s="4" t="str">
        <f ca="1">IF(OR(INDEX($AG$2:$AG$1001,MATCH(ROWS($AF$2:AF199),$AF$2:$AF$1001,0),1)&gt;=100000,INDEX($AM$1005:$BM$1005,1,MATCH(COLUMNS($AM$1006:AZ1006),$AM$1006:$BM$1006,0))&gt;=100000), " ",IF(INDEX($AM$2:$BM$1001,MATCH(ROWS($AF$2:AF199),$AF$2:$AF$1001,0),MATCH(COLUMNS($AM$1006:AZ1006),$AM$1006:$BM$1006,0)), HYPERLINK("#",""), HYPERLINK(CONCATENATE("#metadata!", ADDRESS(INDEX($AH$2:$AH$1001,MATCH(ROWS($AF$2:AF199),$AF$2:$AF$1001,0),0), INDEX($AM$1004:$BM$1004,1,MATCH(COLUMNS($AM$1006:AZ1006),$AM$1006:$BM$1006,0)))),"Fix")))</f>
        <v xml:space="preserve"> </v>
      </c>
      <c r="P199" s="4" t="str">
        <f ca="1">IF(OR(INDEX($AG$2:$AG$1001,MATCH(ROWS($AF$2:AF199),$AF$2:$AF$1001,0),1)&gt;=100000,INDEX($AM$1005:$BM$1005,1,MATCH(COLUMNS($AM$1006:BA1006),$AM$1006:$BM$1006,0))&gt;=100000), " ",IF(INDEX($AM$2:$BM$1001,MATCH(ROWS($AF$2:AF199),$AF$2:$AF$1001,0),MATCH(COLUMNS($AM$1006:BA1006),$AM$1006:$BM$1006,0)), HYPERLINK("#",""), HYPERLINK(CONCATENATE("#metadata!", ADDRESS(INDEX($AH$2:$AH$1001,MATCH(ROWS($AF$2:AF199),$AF$2:$AF$1001,0),0), INDEX($AM$1004:$BM$1004,1,MATCH(COLUMNS($AM$1006:BA1006),$AM$1006:$BM$1006,0)))),"Fix")))</f>
        <v xml:space="preserve"> </v>
      </c>
      <c r="Q199" s="4" t="str">
        <f ca="1">IF(OR(INDEX($AG$2:$AG$1001,MATCH(ROWS($AF$2:AF199),$AF$2:$AF$1001,0),1)&gt;=100000,INDEX($AM$1005:$BM$1005,1,MATCH(COLUMNS($AM$1006:BB1006),$AM$1006:$BM$1006,0))&gt;=100000), " ",IF(INDEX($AM$2:$BM$1001,MATCH(ROWS($AF$2:AF199),$AF$2:$AF$1001,0),MATCH(COLUMNS($AM$1006:BB1006),$AM$1006:$BM$1006,0)), HYPERLINK("#",""), HYPERLINK(CONCATENATE("#metadata!", ADDRESS(INDEX($AH$2:$AH$1001,MATCH(ROWS($AF$2:AF199),$AF$2:$AF$1001,0),0), INDEX($AM$1004:$BM$1004,1,MATCH(COLUMNS($AM$1006:BB1006),$AM$1006:$BM$1006,0)))),"Fix")))</f>
        <v xml:space="preserve"> </v>
      </c>
      <c r="R199" s="4" t="str">
        <f ca="1">IF(OR(INDEX($AG$2:$AG$1001,MATCH(ROWS($AF$2:AF199),$AF$2:$AF$1001,0),1)&gt;=100000,INDEX($AM$1005:$BM$1005,1,MATCH(COLUMNS($AM$1006:BC1006),$AM$1006:$BM$1006,0))&gt;=100000), " ",IF(INDEX($AM$2:$BM$1001,MATCH(ROWS($AF$2:AF199),$AF$2:$AF$1001,0),MATCH(COLUMNS($AM$1006:BC1006),$AM$1006:$BM$1006,0)), HYPERLINK("#",""), HYPERLINK(CONCATENATE("#metadata!", ADDRESS(INDEX($AH$2:$AH$1001,MATCH(ROWS($AF$2:AF199),$AF$2:$AF$1001,0),0), INDEX($AM$1004:$BM$1004,1,MATCH(COLUMNS($AM$1006:BC1006),$AM$1006:$BM$1006,0)))),"Fix")))</f>
        <v xml:space="preserve"> </v>
      </c>
      <c r="S199" s="4" t="str">
        <f ca="1">IF(OR(INDEX($AG$2:$AG$1001,MATCH(ROWS($AF$2:AF199),$AF$2:$AF$1001,0),1)&gt;=100000,INDEX($AM$1005:$BM$1005,1,MATCH(COLUMNS($AM$1006:BD1006),$AM$1006:$BM$1006,0))&gt;=100000), " ",IF(INDEX($AM$2:$BM$1001,MATCH(ROWS($AF$2:AF199),$AF$2:$AF$1001,0),MATCH(COLUMNS($AM$1006:BD1006),$AM$1006:$BM$1006,0)), HYPERLINK("#",""), HYPERLINK(CONCATENATE("#metadata!", ADDRESS(INDEX($AH$2:$AH$1001,MATCH(ROWS($AF$2:AF199),$AF$2:$AF$1001,0),0), INDEX($AM$1004:$BM$1004,1,MATCH(COLUMNS($AM$1006:BD1006),$AM$1006:$BM$1006,0)))),"Fix")))</f>
        <v xml:space="preserve"> </v>
      </c>
      <c r="T199" s="4" t="str">
        <f ca="1">IF(OR(INDEX($AG$2:$AG$1001,MATCH(ROWS($AF$2:AF199),$AF$2:$AF$1001,0),1)&gt;=100000,INDEX($AM$1005:$BM$1005,1,MATCH(COLUMNS($AM$1006:BE1006),$AM$1006:$BM$1006,0))&gt;=100000), " ",IF(INDEX($AM$2:$BM$1001,MATCH(ROWS($AF$2:AF199),$AF$2:$AF$1001,0),MATCH(COLUMNS($AM$1006:BE1006),$AM$1006:$BM$1006,0)), HYPERLINK("#",""), HYPERLINK(CONCATENATE("#metadata!", ADDRESS(INDEX($AH$2:$AH$1001,MATCH(ROWS($AF$2:AF199),$AF$2:$AF$1001,0),0), INDEX($AM$1004:$BM$1004,1,MATCH(COLUMNS($AM$1006:BE1006),$AM$1006:$BM$1006,0)))),"Fix")))</f>
        <v xml:space="preserve"> </v>
      </c>
      <c r="U199" s="4" t="str">
        <f ca="1">IF(OR(INDEX($AG$2:$AG$1001,MATCH(ROWS($AF$2:AF199),$AF$2:$AF$1001,0),1)&gt;=100000,INDEX($AM$1005:$BM$1005,1,MATCH(COLUMNS($AM$1006:BF1006),$AM$1006:$BM$1006,0))&gt;=100000), " ",IF(INDEX($AM$2:$BM$1001,MATCH(ROWS($AF$2:AF199),$AF$2:$AF$1001,0),MATCH(COLUMNS($AM$1006:BF1006),$AM$1006:$BM$1006,0)), HYPERLINK("#",""), HYPERLINK(CONCATENATE("#metadata!", ADDRESS(INDEX($AH$2:$AH$1001,MATCH(ROWS($AF$2:AF199),$AF$2:$AF$1001,0),0), INDEX($AM$1004:$BM$1004,1,MATCH(COLUMNS($AM$1006:BF1006),$AM$1006:$BM$1006,0)))),"Fix")))</f>
        <v xml:space="preserve"> </v>
      </c>
      <c r="V199" s="4" t="str">
        <f ca="1">IF(OR(INDEX($AG$2:$AG$1001,MATCH(ROWS($AF$2:AF199),$AF$2:$AF$1001,0),1)&gt;=100000,INDEX($AM$1005:$BM$1005,1,MATCH(COLUMNS($AM$1006:BG1006),$AM$1006:$BM$1006,0))&gt;=100000), " ",IF(INDEX($AM$2:$BM$1001,MATCH(ROWS($AF$2:AF199),$AF$2:$AF$1001,0),MATCH(COLUMNS($AM$1006:BG1006),$AM$1006:$BM$1006,0)), HYPERLINK("#",""), HYPERLINK(CONCATENATE("#metadata!", ADDRESS(INDEX($AH$2:$AH$1001,MATCH(ROWS($AF$2:AF199),$AF$2:$AF$1001,0),0), INDEX($AM$1004:$BM$1004,1,MATCH(COLUMNS($AM$1006:BG1006),$AM$1006:$BM$1006,0)))),"Fix")))</f>
        <v xml:space="preserve"> </v>
      </c>
      <c r="W199" s="4" t="str">
        <f ca="1">IF(OR(INDEX($AG$2:$AG$1001,MATCH(ROWS($AF$2:AF199),$AF$2:$AF$1001,0),1)&gt;=100000,INDEX($AM$1005:$BM$1005,1,MATCH(COLUMNS($AM$1006:BH1006),$AM$1006:$BM$1006,0))&gt;=100000), " ",IF(INDEX($AM$2:$BM$1001,MATCH(ROWS($AF$2:AF199),$AF$2:$AF$1001,0),MATCH(COLUMNS($AM$1006:BH1006),$AM$1006:$BM$1006,0)), HYPERLINK("#",""), HYPERLINK(CONCATENATE("#metadata!", ADDRESS(INDEX($AH$2:$AH$1001,MATCH(ROWS($AF$2:AF199),$AF$2:$AF$1001,0),0), INDEX($AM$1004:$BM$1004,1,MATCH(COLUMNS($AM$1006:BH1006),$AM$1006:$BM$1006,0)))),"Fix")))</f>
        <v xml:space="preserve"> </v>
      </c>
      <c r="X199" s="4" t="str">
        <f ca="1">IF(OR(INDEX($AG$2:$AG$1001,MATCH(ROWS($AF$2:AF199),$AF$2:$AF$1001,0),1)&gt;=100000,INDEX($AM$1005:$BM$1005,1,MATCH(COLUMNS($AM$1006:BI1006),$AM$1006:$BM$1006,0))&gt;=100000), " ",IF(INDEX($AM$2:$BM$1001,MATCH(ROWS($AF$2:AF199),$AF$2:$AF$1001,0),MATCH(COLUMNS($AM$1006:BI1006),$AM$1006:$BM$1006,0)), HYPERLINK("#",""), HYPERLINK(CONCATENATE("#metadata!", ADDRESS(INDEX($AH$2:$AH$1001,MATCH(ROWS($AF$2:AF199),$AF$2:$AF$1001,0),0), INDEX($AM$1004:$BM$1004,1,MATCH(COLUMNS($AM$1006:BI1006),$AM$1006:$BM$1006,0)))),"Fix")))</f>
        <v xml:space="preserve"> </v>
      </c>
      <c r="Y199" s="4" t="str">
        <f ca="1">IF(OR(INDEX($AG$2:$AG$1001,MATCH(ROWS($AF$2:AF199),$AF$2:$AF$1001,0),1)&gt;=100000,INDEX($AM$1005:$BM$1005,1,MATCH(COLUMNS($AM$1006:BJ1006),$AM$1006:$BM$1006,0))&gt;=100000), " ",IF(INDEX($AM$2:$BM$1001,MATCH(ROWS($AF$2:AF199),$AF$2:$AF$1001,0),MATCH(COLUMNS($AM$1006:BJ1006),$AM$1006:$BM$1006,0)), HYPERLINK("#",""), HYPERLINK(CONCATENATE("#metadata!", ADDRESS(INDEX($AH$2:$AH$1001,MATCH(ROWS($AF$2:AF199),$AF$2:$AF$1001,0),0), INDEX($AM$1004:$BM$1004,1,MATCH(COLUMNS($AM$1006:BJ1006),$AM$1006:$BM$1006,0)))),"Fix")))</f>
        <v xml:space="preserve"> </v>
      </c>
      <c r="Z199" s="4" t="str">
        <f ca="1">IF(OR(INDEX($AG$2:$AG$1001,MATCH(ROWS($AF$2:AF199),$AF$2:$AF$1001,0),1)&gt;=100000,INDEX($AM$1005:$BM$1005,1,MATCH(COLUMNS($AM$1006:BK1006),$AM$1006:$BM$1006,0))&gt;=100000), " ",IF(INDEX($AM$2:$BM$1001,MATCH(ROWS($AF$2:AF199),$AF$2:$AF$1001,0),MATCH(COLUMNS($AM$1006:BK1006),$AM$1006:$BM$1006,0)), HYPERLINK("#",""), HYPERLINK(CONCATENATE("#metadata!", ADDRESS(INDEX($AH$2:$AH$1001,MATCH(ROWS($AF$2:AF199),$AF$2:$AF$1001,0),0), INDEX($AM$1004:$BM$1004,1,MATCH(COLUMNS($AM$1006:BK1006),$AM$1006:$BM$1006,0)))),"Fix")))</f>
        <v xml:space="preserve"> </v>
      </c>
      <c r="AA199" s="4" t="str">
        <f ca="1">IF(OR(INDEX($AG$2:$AG$1001,MATCH(ROWS($AF$2:AF199),$AF$2:$AF$1001,0),1)&gt;=100000,INDEX($AM$1005:$BM$1005,1,MATCH(COLUMNS($AM$1006:BL1006),$AM$1006:$BM$1006,0))&gt;=100000), " ",IF(INDEX($AM$2:$BM$1001,MATCH(ROWS($AF$2:AF199),$AF$2:$AF$1001,0),MATCH(COLUMNS($AM$1006:BL1006),$AM$1006:$BM$1006,0)), HYPERLINK("#",""), HYPERLINK(CONCATENATE("#metadata!", ADDRESS(INDEX($AH$2:$AH$1001,MATCH(ROWS($AF$2:AF199),$AF$2:$AF$1001,0),0), INDEX($AM$1004:$BM$1004,1,MATCH(COLUMNS($AM$1006:BL1006),$AM$1006:$BM$1006,0)))),"Fix")))</f>
        <v xml:space="preserve"> </v>
      </c>
      <c r="AB199" s="4" t="str">
        <f ca="1">IF(OR(INDEX($AG$2:$AG$1001,MATCH(ROWS($AF$2:AF199),$AF$2:$AF$1001,0),1)&gt;=100000,INDEX($AM$1005:$BM$1005,1,MATCH(COLUMNS($AM$1006:BM1006),$AM$1006:$BM$1006,0))&gt;=100000), " ",IF(INDEX($AM$2:$BM$1001,MATCH(ROWS($AF$2:AF199),$AF$2:$AF$1001,0),MATCH(COLUMNS($AM$1006:BM1006),$AM$1006:$BM$1006,0)), HYPERLINK("#",""), HYPERLINK(CONCATENATE("#metadata!", ADDRESS(INDEX($AH$2:$AH$1001,MATCH(ROWS($AF$2:AF199),$AF$2:$AF$1001,0),0), INDEX($AM$1004:$BM$1004,1,MATCH(COLUMNS($AM$1006:BM1006),$AM$1006:$BM$1006,0)))),"Fix")))</f>
        <v xml:space="preserve"> </v>
      </c>
      <c r="AF199">
        <v>198</v>
      </c>
      <c r="AG199">
        <v>100199</v>
      </c>
      <c r="AH199">
        <v>199</v>
      </c>
      <c r="AI199" t="b">
        <f t="shared" si="3"/>
        <v>1</v>
      </c>
      <c r="AJ199" t="b">
        <f>COUNTBLANK(metadata!B199:AB199)=COLUMNS(metadata!B199:AB199)</f>
        <v>1</v>
      </c>
      <c r="AK199" t="str">
        <v/>
      </c>
      <c r="AM199" t="b">
        <f ca="1">AND(IF(metadata!B199="",FALSE,TRUE),COUNTIF(metadata!B:B, metadata!B199) = 1,NOT(ISERROR(SUMPRODUCT(SEARCH(MID(metadata!B199,ROW(INDIRECT("1:"&amp;LEN(metadata!B199))), 1),"0123456789abcdefghijklmnopqrstuvwxyzABCDEFGHIJKLMNOPQRSTUVWXYZ.")))))</f>
        <v>0</v>
      </c>
      <c r="AN199" t="b">
        <f ca="1">OR(AND(IF(metadata!C199="",FALSE,TRUE),OR(EXACT(metadata!C199,"missing: not collected"),EXACT(metadata!C199,"missing: not provided"),EXACT(metadata!C199,"missing: restricted access"))),AND(IF(metadata!C199="",FALSE,TRUE),AND(AND(IFERROR(INT(LEFT(metadata!C199,4))&gt;1900,FALSE),IFERROR(INT(LEFT(metadata!C199,4))&lt;=YEAR(NOW()),FALSE)), OR(MID(metadata!C199,5,1)="", AND(AND(MID(metadata!C199,5,1)="-",IFERROR(INT(MID(metadata!C199,6,1))&gt;=0,FALSE),IFERROR(INT(MID(metadata!C199,6,1))&lt;=1,FALSE),NOT(MID(metadata!C199,7,1)=""),IFERROR(INT(MID(metadata!C199,6,2))&gt;=1,FALSE),IFERROR(INT(MID(metadata!C199,6,2))&lt;=12,FALSE)), OR(MID(metadata!C199,8,1)="", AND(AND(MID(metadata!C199,8,1)="-",IFERROR(INT(MID(metadata!C199,9,1))&gt;=0,FALSE),IFERROR(INT(MID(metadata!C199,9,1))&lt;=3,FALSE),NOT(MID(metadata!C199,10,1)=""),IFERROR(INT(MID(metadata!C199,9,2))&gt;=1,FALSE),IFERROR(INT(MID(metadata!C199,9,2))&lt;=31,FALSE)), OR(MID(metadata!C199,11,1)="", AND(AND(MID(metadata!C199,11,1)=" ",IFERROR(INT(MID(metadata!C199,12,1))&gt;=0,FALSE),IFERROR(INT(MID(metadata!C199,12,1))&lt;=2,FALSE),NOT(MID(metadata!C199,13,1)=""),IFERROR(INT(MID(metadata!C199,12,2))&gt;=0,FALSE),IFERROR(INT(MID(metadata!C199,12,2))&lt;=23,FALSE)), OR(MID(metadata!C199,14,1)="", AND(AND(MID(metadata!C199,14,1)=":",IFERROR(INT(MID(metadata!C199,15,1))&gt;=0,FALSE),IFERROR(INT(MID(metadata!C199,15,1))&lt;=5,FALSE),NOT(MID(metadata!C199,16,1)=""),IFERROR(INT(MID(metadata!C199,15,2))&gt;=0,FALSE),IFERROR(INT(MID(metadata!C199,15,2))&lt;=59,FALSE)), OR(MID(metadata!C199,17,1)="", AND(AND(MID(metadata!C199,17,1)=":",IFERROR(INT(MID(metadata!C199,18,1))&gt;=0,FALSE),IFERROR(INT(MID(metadata!C199,18,1))&lt;=5,FALSE),NOT(MID(metadata!C199,19,1)=""),IFERROR(INT(MID(metadata!C199,18,2))&gt;=0,FALSE),IFERROR(INT(MID(metadata!C199,18,2))&lt;=59,FALSE)), LEN(metadata!C199)&lt;=19)))))))))))))</f>
        <v>0</v>
      </c>
      <c r="AO199" t="b">
        <f>AND(IF(metadata!D199="",FALSE,TRUE),EXACT(metadata!D199,"Not applicable"))</f>
        <v>0</v>
      </c>
      <c r="AP199" t="b">
        <f>IF(metadata!E199="",FALSE,TRUE)</f>
        <v>0</v>
      </c>
      <c r="AQ199" t="b">
        <f>OR(AND(IF(metadata!F199="",FALSE,TRUE),OR(EXACT(metadata!F199,"missing: not collected"),EXACT(metadata!F199,"missing: not provided"))),AND(IF(metadata!F199="",FALSE,TRUE),OR(EXACT(metadata!F199,"TRUE"),EXACT(metadata!F199,"FALSE"))))</f>
        <v>0</v>
      </c>
      <c r="AR199" t="b">
        <f>OR(AND(IF(metadata!G199="",FALSE,TRUE),OR(EXACT(metadata!G199,"missing: not collected"),EXACT(metadata!G199,"missing: not provided"),EXACT(metadata!G199,"missing: restricted access"))),AND(IF(metadata!G199="",FALSE,ISNUMBER(VALUE(metadata!G199))),metadata!G199&gt;=-413))</f>
        <v>0</v>
      </c>
      <c r="AS199" t="b">
        <f>AND(IF(metadata!H199="",FALSE,TRUE),EXACT(metadata!H199,"meters"))</f>
        <v>0</v>
      </c>
      <c r="AT199" t="b">
        <f>AND(IF(metadata!I199="",FALSE,TRUE),OR(EXACT(metadata!I199,"Host-associated"),EXACT(metadata!I199,"Free-living")))</f>
        <v>0</v>
      </c>
      <c r="AU199" t="b">
        <f>AND(IF(metadata!J199="",FALSE,TRUE),OR(EXACT(metadata!J199,"Animal"),EXACT(metadata!J199,"Fungus"),EXACT(metadata!J199,"Plant"),EXACT(metadata!J199,"Saline"),EXACT(metadata!J199,"Non-saline")))</f>
        <v>0</v>
      </c>
      <c r="AV199" t="b">
        <f>AND(IF(metadata!K199="",FALSE,TRUE),OR(EXACT(metadata!K199,"Plant secretion"),EXACT(metadata!K199,"Plant rhizosphere"),EXACT(metadata!K199,"Plant surface"),EXACT(metadata!K199,"Plant corpus"),EXACT(metadata!K199,"Fungus surface"),EXACT(metadata!K199,"Fungus corpus"),EXACT(metadata!K199,"Animal surface"),EXACT(metadata!K199,"Animal proximal gut"),EXACT(metadata!K199,"Animal corpus"),EXACT(metadata!K199,"Animal distal gut"),EXACT(metadata!K199,"Animal secretion"),EXACT(metadata!K199,"Sub-surface (non-saline)"),EXACT(metadata!K199,"Surface (non-saline)"),EXACT(metadata!K199,"Water (non-saline)"),EXACT(metadata!K199,"Soil (non-saline)"),EXACT(metadata!K199,"Aerosol (non-saline)"),EXACT(metadata!K199,"Sediment (non-saline)"),EXACT(metadata!K199,"Surface (saline)"),EXACT(metadata!K199,"Water (saline)"),EXACT(metadata!K199,"Hypersaline (saline)"),EXACT(metadata!K199,"Aerosol (saline)"),EXACT(metadata!K199,"Sediment (saline)")))</f>
        <v>0</v>
      </c>
      <c r="AW199" t="b">
        <f>IF(metadata!L199="",FALSE,TRUE)</f>
        <v>0</v>
      </c>
      <c r="AX199" t="b">
        <f>IF(metadata!M199="",FALSE,TRUE)</f>
        <v>0</v>
      </c>
      <c r="AY199" t="b">
        <f>IF(metadata!N199="",FALSE,TRUE)</f>
        <v>0</v>
      </c>
      <c r="AZ199" t="b">
        <f>OR(AND(IF(metadata!O199="",FALSE,TRUE),OR(EXACT(metadata!O199,"missing: not collected"),EXACT(metadata!O199,"missing: not provided"),EXACT(metadata!O199,"missing: restricted access"))),AND(IF(metadata!O199="",FALSE,TRUE),OR(EXACT(metadata!O199,"air"),EXACT(metadata!O199,"built environment"),EXACT(metadata!O199,"host-associated"),EXACT(metadata!O199,"human-associated"),EXACT(metadata!O199,"human-skin"),EXACT(metadata!O199,"human-oral"),EXACT(metadata!O199,"human-gut"),EXACT(metadata!O199,"human-vaginal"),EXACT(metadata!O199,"microbial mat/biofilm"),EXACT(metadata!O199,"misc environment"),EXACT(metadata!O199,"plant-associated"),EXACT(metadata!O199,"sediment"),EXACT(metadata!O199,"soil"),EXACT(metadata!O199,"wastewater/sludge"),EXACT(metadata!O199,"water"))))</f>
        <v>0</v>
      </c>
      <c r="BA199" t="b">
        <f>IF(metadata!P199="",FALSE,TRUE)</f>
        <v>0</v>
      </c>
      <c r="BB199" t="b">
        <f>IF(metadata!Q199="",FALSE,TRUE)</f>
        <v>0</v>
      </c>
      <c r="BC199" t="b">
        <f>OR(AND(IF(metadata!R199="",FALSE,TRUE),OR(EXACT(metadata!R199,"missing: not collected"),EXACT(metadata!R199,"missing: not provided"),EXACT(metadata!R199,"missing: restricted access"))),AND(IF(metadata!R199="",FALSE,ISNUMBER(VALUE(metadata!R199))),metadata!R199&gt;=-90,metadata!R199&lt;=90))</f>
        <v>0</v>
      </c>
      <c r="BD199" t="b">
        <f>AND(IF(metadata!S199="",FALSE,TRUE),EXACT(metadata!S199,"Decimal degrees"))</f>
        <v>0</v>
      </c>
      <c r="BE199" t="b">
        <f>OR(AND(IF(metadata!T199="",FALSE,TRUE),OR(EXACT(metadata!T199,"missing: not collected"),EXACT(metadata!T199,"missing: not provided"),EXACT(metadata!T199,"missing: restricted access"))),AND(IF(metadata!T199="",FALSE,ISNUMBER(VALUE(metadata!T199))),metadata!T199&gt;=-180,metadata!T199&lt;=180))</f>
        <v>0</v>
      </c>
      <c r="BF199" t="b">
        <f>AND(IF(metadata!U199="",FALSE,TRUE),EXACT(metadata!U199,"Decimal degrees"))</f>
        <v>0</v>
      </c>
      <c r="BG199" t="b">
        <f>IF(metadata!V199="",FALSE,TRUE)</f>
        <v>0</v>
      </c>
      <c r="BH199" t="b">
        <f>OR(AND(IF(metadata!W199="",FALSE,TRUE),OR(EXACT(metadata!W199,"missing: not collected"),EXACT(metadata!W199,"missing: not provided"),EXACT(metadata!W199,"missing: restricted access"))),AND(IF(metadata!W199="",FALSE,TRUE),OR(EXACT(metadata!W199,"TRUE"),EXACT(metadata!W199,"FALSE"))))</f>
        <v>0</v>
      </c>
      <c r="BI199" t="b">
        <f>AND(IF(metadata!X199="",FALSE,TRUE),EXACT(metadata!X199,"other"))</f>
        <v>0</v>
      </c>
      <c r="BJ199" t="b">
        <f>IF(metadata!Y199="",FALSE,TRUE)</f>
        <v>0</v>
      </c>
      <c r="BK199" t="b">
        <f>OR(AND(IF(metadata!Z199="",FALSE,TRUE),OR(EXACT(metadata!Z199,"missing: not collected"),EXACT(metadata!Z199,"missing: not provided"))),AND(IF(metadata!Z199="",FALSE,IF(ISERROR(INT(metadata!Z199)),FALSE,INT(metadata!Z199)=metadata!Z199)),metadata!Z199&gt;0))</f>
        <v>0</v>
      </c>
      <c r="BL199" t="b">
        <f>AND(IF(metadata!AA199="",FALSE,TRUE),EXACT(metadata!AA199,"Not applicable"))</f>
        <v>0</v>
      </c>
      <c r="BM199" t="b">
        <f>IF(metadata!AB199="",FALSE,TRUE)</f>
        <v>0</v>
      </c>
    </row>
    <row r="200" spans="1:65" x14ac:dyDescent="0.2">
      <c r="A200" s="5" t="str">
        <f ca="1">IF(B200=" "," ",HYPERLINK(CONCATENATE("#metadata!",ADDRESS(INDEX($AH$2:$AH$1001,MATCH(ROWS($AF$2:AF200),$AF$2:$AF$1001,0),0),1)),INDEX($AK$2:$AK$1001,MATCH(ROWS($AF$2:AF200),$AF$2:$AF$1001,0),0)))</f>
        <v xml:space="preserve"> </v>
      </c>
      <c r="B200" s="4" t="str">
        <f ca="1">IF(OR(INDEX($AG$2:$AG$1001,MATCH(ROWS($AF$2:AF200),$AF$2:$AF$1001,0),1)&gt;=100000,INDEX($AM$1005:$BM$1005,1,MATCH(COLUMNS($AM$1006:AM1006),$AM$1006:$BM$1006,0))&gt;=100000), " ",IF(INDEX($AM$2:$BM$1001,MATCH(ROWS($AF$2:AF200),$AF$2:$AF$1001,0),MATCH(COLUMNS($AM$1006:AM1006),$AM$1006:$BM$1006,0)), HYPERLINK("#",""), HYPERLINK(CONCATENATE("#metadata!", ADDRESS(INDEX($AH$2:$AH$1001,MATCH(ROWS($AF$2:AF200),$AF$2:$AF$1001,0),0), INDEX($AM$1004:$BM$1004,1,MATCH(COLUMNS($AM$1006:AM1006),$AM$1006:$BM$1006,0)))),"Fix")))</f>
        <v xml:space="preserve"> </v>
      </c>
      <c r="C200" s="4" t="str">
        <f ca="1">IF(OR(INDEX($AG$2:$AG$1001,MATCH(ROWS($AF$2:AF200),$AF$2:$AF$1001,0),1)&gt;=100000,INDEX($AM$1005:$BM$1005,1,MATCH(COLUMNS($AM$1006:AN1006),$AM$1006:$BM$1006,0))&gt;=100000), " ",IF(INDEX($AM$2:$BM$1001,MATCH(ROWS($AF$2:AF200),$AF$2:$AF$1001,0),MATCH(COLUMNS($AM$1006:AN1006),$AM$1006:$BM$1006,0)), HYPERLINK("#",""), HYPERLINK(CONCATENATE("#metadata!", ADDRESS(INDEX($AH$2:$AH$1001,MATCH(ROWS($AF$2:AF200),$AF$2:$AF$1001,0),0), INDEX($AM$1004:$BM$1004,1,MATCH(COLUMNS($AM$1006:AN1006),$AM$1006:$BM$1006,0)))),"Fix")))</f>
        <v xml:space="preserve"> </v>
      </c>
      <c r="D200" s="4" t="str">
        <f ca="1">IF(OR(INDEX($AG$2:$AG$1001,MATCH(ROWS($AF$2:AF200),$AF$2:$AF$1001,0),1)&gt;=100000,INDEX($AM$1005:$BM$1005,1,MATCH(COLUMNS($AM$1006:AO1006),$AM$1006:$BM$1006,0))&gt;=100000), " ",IF(INDEX($AM$2:$BM$1001,MATCH(ROWS($AF$2:AF200),$AF$2:$AF$1001,0),MATCH(COLUMNS($AM$1006:AO1006),$AM$1006:$BM$1006,0)), HYPERLINK("#",""), HYPERLINK(CONCATENATE("#metadata!", ADDRESS(INDEX($AH$2:$AH$1001,MATCH(ROWS($AF$2:AF200),$AF$2:$AF$1001,0),0), INDEX($AM$1004:$BM$1004,1,MATCH(COLUMNS($AM$1006:AO1006),$AM$1006:$BM$1006,0)))),"Fix")))</f>
        <v xml:space="preserve"> </v>
      </c>
      <c r="E200" s="4" t="str">
        <f ca="1">IF(OR(INDEX($AG$2:$AG$1001,MATCH(ROWS($AF$2:AF200),$AF$2:$AF$1001,0),1)&gt;=100000,INDEX($AM$1005:$BM$1005,1,MATCH(COLUMNS($AM$1006:AP1006),$AM$1006:$BM$1006,0))&gt;=100000), " ",IF(INDEX($AM$2:$BM$1001,MATCH(ROWS($AF$2:AF200),$AF$2:$AF$1001,0),MATCH(COLUMNS($AM$1006:AP1006),$AM$1006:$BM$1006,0)), HYPERLINK("#",""), HYPERLINK(CONCATENATE("#metadata!", ADDRESS(INDEX($AH$2:$AH$1001,MATCH(ROWS($AF$2:AF200),$AF$2:$AF$1001,0),0), INDEX($AM$1004:$BM$1004,1,MATCH(COLUMNS($AM$1006:AP1006),$AM$1006:$BM$1006,0)))),"Fix")))</f>
        <v xml:space="preserve"> </v>
      </c>
      <c r="F200" s="4" t="str">
        <f ca="1">IF(OR(INDEX($AG$2:$AG$1001,MATCH(ROWS($AF$2:AF200),$AF$2:$AF$1001,0),1)&gt;=100000,INDEX($AM$1005:$BM$1005,1,MATCH(COLUMNS($AM$1006:AQ1006),$AM$1006:$BM$1006,0))&gt;=100000), " ",IF(INDEX($AM$2:$BM$1001,MATCH(ROWS($AF$2:AF200),$AF$2:$AF$1001,0),MATCH(COLUMNS($AM$1006:AQ1006),$AM$1006:$BM$1006,0)), HYPERLINK("#",""), HYPERLINK(CONCATENATE("#metadata!", ADDRESS(INDEX($AH$2:$AH$1001,MATCH(ROWS($AF$2:AF200),$AF$2:$AF$1001,0),0), INDEX($AM$1004:$BM$1004,1,MATCH(COLUMNS($AM$1006:AQ1006),$AM$1006:$BM$1006,0)))),"Fix")))</f>
        <v xml:space="preserve"> </v>
      </c>
      <c r="G200" s="4" t="str">
        <f ca="1">IF(OR(INDEX($AG$2:$AG$1001,MATCH(ROWS($AF$2:AF200),$AF$2:$AF$1001,0),1)&gt;=100000,INDEX($AM$1005:$BM$1005,1,MATCH(COLUMNS($AM$1006:AR1006),$AM$1006:$BM$1006,0))&gt;=100000), " ",IF(INDEX($AM$2:$BM$1001,MATCH(ROWS($AF$2:AF200),$AF$2:$AF$1001,0),MATCH(COLUMNS($AM$1006:AR1006),$AM$1006:$BM$1006,0)), HYPERLINK("#",""), HYPERLINK(CONCATENATE("#metadata!", ADDRESS(INDEX($AH$2:$AH$1001,MATCH(ROWS($AF$2:AF200),$AF$2:$AF$1001,0),0), INDEX($AM$1004:$BM$1004,1,MATCH(COLUMNS($AM$1006:AR1006),$AM$1006:$BM$1006,0)))),"Fix")))</f>
        <v xml:space="preserve"> </v>
      </c>
      <c r="H200" s="4" t="str">
        <f ca="1">IF(OR(INDEX($AG$2:$AG$1001,MATCH(ROWS($AF$2:AF200),$AF$2:$AF$1001,0),1)&gt;=100000,INDEX($AM$1005:$BM$1005,1,MATCH(COLUMNS($AM$1006:AS1006),$AM$1006:$BM$1006,0))&gt;=100000), " ",IF(INDEX($AM$2:$BM$1001,MATCH(ROWS($AF$2:AF200),$AF$2:$AF$1001,0),MATCH(COLUMNS($AM$1006:AS1006),$AM$1006:$BM$1006,0)), HYPERLINK("#",""), HYPERLINK(CONCATENATE("#metadata!", ADDRESS(INDEX($AH$2:$AH$1001,MATCH(ROWS($AF$2:AF200),$AF$2:$AF$1001,0),0), INDEX($AM$1004:$BM$1004,1,MATCH(COLUMNS($AM$1006:AS1006),$AM$1006:$BM$1006,0)))),"Fix")))</f>
        <v xml:space="preserve"> </v>
      </c>
      <c r="I200" s="4" t="str">
        <f ca="1">IF(OR(INDEX($AG$2:$AG$1001,MATCH(ROWS($AF$2:AF200),$AF$2:$AF$1001,0),1)&gt;=100000,INDEX($AM$1005:$BM$1005,1,MATCH(COLUMNS($AM$1006:AT1006),$AM$1006:$BM$1006,0))&gt;=100000), " ",IF(INDEX($AM$2:$BM$1001,MATCH(ROWS($AF$2:AF200),$AF$2:$AF$1001,0),MATCH(COLUMNS($AM$1006:AT1006),$AM$1006:$BM$1006,0)), HYPERLINK("#",""), HYPERLINK(CONCATENATE("#metadata!", ADDRESS(INDEX($AH$2:$AH$1001,MATCH(ROWS($AF$2:AF200),$AF$2:$AF$1001,0),0), INDEX($AM$1004:$BM$1004,1,MATCH(COLUMNS($AM$1006:AT1006),$AM$1006:$BM$1006,0)))),"Fix")))</f>
        <v xml:space="preserve"> </v>
      </c>
      <c r="J200" s="4" t="str">
        <f ca="1">IF(OR(INDEX($AG$2:$AG$1001,MATCH(ROWS($AF$2:AF200),$AF$2:$AF$1001,0),1)&gt;=100000,INDEX($AM$1005:$BM$1005,1,MATCH(COLUMNS($AM$1006:AU1006),$AM$1006:$BM$1006,0))&gt;=100000), " ",IF(INDEX($AM$2:$BM$1001,MATCH(ROWS($AF$2:AF200),$AF$2:$AF$1001,0),MATCH(COLUMNS($AM$1006:AU1006),$AM$1006:$BM$1006,0)), HYPERLINK("#",""), HYPERLINK(CONCATENATE("#metadata!", ADDRESS(INDEX($AH$2:$AH$1001,MATCH(ROWS($AF$2:AF200),$AF$2:$AF$1001,0),0), INDEX($AM$1004:$BM$1004,1,MATCH(COLUMNS($AM$1006:AU1006),$AM$1006:$BM$1006,0)))),"Fix")))</f>
        <v xml:space="preserve"> </v>
      </c>
      <c r="K200" s="4" t="str">
        <f ca="1">IF(OR(INDEX($AG$2:$AG$1001,MATCH(ROWS($AF$2:AF200),$AF$2:$AF$1001,0),1)&gt;=100000,INDEX($AM$1005:$BM$1005,1,MATCH(COLUMNS($AM$1006:AV1006),$AM$1006:$BM$1006,0))&gt;=100000), " ",IF(INDEX($AM$2:$BM$1001,MATCH(ROWS($AF$2:AF200),$AF$2:$AF$1001,0),MATCH(COLUMNS($AM$1006:AV1006),$AM$1006:$BM$1006,0)), HYPERLINK("#",""), HYPERLINK(CONCATENATE("#metadata!", ADDRESS(INDEX($AH$2:$AH$1001,MATCH(ROWS($AF$2:AF200),$AF$2:$AF$1001,0),0), INDEX($AM$1004:$BM$1004,1,MATCH(COLUMNS($AM$1006:AV1006),$AM$1006:$BM$1006,0)))),"Fix")))</f>
        <v xml:space="preserve"> </v>
      </c>
      <c r="L200" s="4" t="str">
        <f ca="1">IF(OR(INDEX($AG$2:$AG$1001,MATCH(ROWS($AF$2:AF200),$AF$2:$AF$1001,0),1)&gt;=100000,INDEX($AM$1005:$BM$1005,1,MATCH(COLUMNS($AM$1006:AW1006),$AM$1006:$BM$1006,0))&gt;=100000), " ",IF(INDEX($AM$2:$BM$1001,MATCH(ROWS($AF$2:AF200),$AF$2:$AF$1001,0),MATCH(COLUMNS($AM$1006:AW1006),$AM$1006:$BM$1006,0)), HYPERLINK("#",""), HYPERLINK(CONCATENATE("#metadata!", ADDRESS(INDEX($AH$2:$AH$1001,MATCH(ROWS($AF$2:AF200),$AF$2:$AF$1001,0),0), INDEX($AM$1004:$BM$1004,1,MATCH(COLUMNS($AM$1006:AW1006),$AM$1006:$BM$1006,0)))),"Fix")))</f>
        <v xml:space="preserve"> </v>
      </c>
      <c r="M200" s="4" t="str">
        <f ca="1">IF(OR(INDEX($AG$2:$AG$1001,MATCH(ROWS($AF$2:AF200),$AF$2:$AF$1001,0),1)&gt;=100000,INDEX($AM$1005:$BM$1005,1,MATCH(COLUMNS($AM$1006:AX1006),$AM$1006:$BM$1006,0))&gt;=100000), " ",IF(INDEX($AM$2:$BM$1001,MATCH(ROWS($AF$2:AF200),$AF$2:$AF$1001,0),MATCH(COLUMNS($AM$1006:AX1006),$AM$1006:$BM$1006,0)), HYPERLINK("#",""), HYPERLINK(CONCATENATE("#metadata!", ADDRESS(INDEX($AH$2:$AH$1001,MATCH(ROWS($AF$2:AF200),$AF$2:$AF$1001,0),0), INDEX($AM$1004:$BM$1004,1,MATCH(COLUMNS($AM$1006:AX1006),$AM$1006:$BM$1006,0)))),"Fix")))</f>
        <v xml:space="preserve"> </v>
      </c>
      <c r="N200" s="4" t="str">
        <f ca="1">IF(OR(INDEX($AG$2:$AG$1001,MATCH(ROWS($AF$2:AF200),$AF$2:$AF$1001,0),1)&gt;=100000,INDEX($AM$1005:$BM$1005,1,MATCH(COLUMNS($AM$1006:AY1006),$AM$1006:$BM$1006,0))&gt;=100000), " ",IF(INDEX($AM$2:$BM$1001,MATCH(ROWS($AF$2:AF200),$AF$2:$AF$1001,0),MATCH(COLUMNS($AM$1006:AY1006),$AM$1006:$BM$1006,0)), HYPERLINK("#",""), HYPERLINK(CONCATENATE("#metadata!", ADDRESS(INDEX($AH$2:$AH$1001,MATCH(ROWS($AF$2:AF200),$AF$2:$AF$1001,0),0), INDEX($AM$1004:$BM$1004,1,MATCH(COLUMNS($AM$1006:AY1006),$AM$1006:$BM$1006,0)))),"Fix")))</f>
        <v xml:space="preserve"> </v>
      </c>
      <c r="O200" s="4" t="str">
        <f ca="1">IF(OR(INDEX($AG$2:$AG$1001,MATCH(ROWS($AF$2:AF200),$AF$2:$AF$1001,0),1)&gt;=100000,INDEX($AM$1005:$BM$1005,1,MATCH(COLUMNS($AM$1006:AZ1006),$AM$1006:$BM$1006,0))&gt;=100000), " ",IF(INDEX($AM$2:$BM$1001,MATCH(ROWS($AF$2:AF200),$AF$2:$AF$1001,0),MATCH(COLUMNS($AM$1006:AZ1006),$AM$1006:$BM$1006,0)), HYPERLINK("#",""), HYPERLINK(CONCATENATE("#metadata!", ADDRESS(INDEX($AH$2:$AH$1001,MATCH(ROWS($AF$2:AF200),$AF$2:$AF$1001,0),0), INDEX($AM$1004:$BM$1004,1,MATCH(COLUMNS($AM$1006:AZ1006),$AM$1006:$BM$1006,0)))),"Fix")))</f>
        <v xml:space="preserve"> </v>
      </c>
      <c r="P200" s="4" t="str">
        <f ca="1">IF(OR(INDEX($AG$2:$AG$1001,MATCH(ROWS($AF$2:AF200),$AF$2:$AF$1001,0),1)&gt;=100000,INDEX($AM$1005:$BM$1005,1,MATCH(COLUMNS($AM$1006:BA1006),$AM$1006:$BM$1006,0))&gt;=100000), " ",IF(INDEX($AM$2:$BM$1001,MATCH(ROWS($AF$2:AF200),$AF$2:$AF$1001,0),MATCH(COLUMNS($AM$1006:BA1006),$AM$1006:$BM$1006,0)), HYPERLINK("#",""), HYPERLINK(CONCATENATE("#metadata!", ADDRESS(INDEX($AH$2:$AH$1001,MATCH(ROWS($AF$2:AF200),$AF$2:$AF$1001,0),0), INDEX($AM$1004:$BM$1004,1,MATCH(COLUMNS($AM$1006:BA1006),$AM$1006:$BM$1006,0)))),"Fix")))</f>
        <v xml:space="preserve"> </v>
      </c>
      <c r="Q200" s="4" t="str">
        <f ca="1">IF(OR(INDEX($AG$2:$AG$1001,MATCH(ROWS($AF$2:AF200),$AF$2:$AF$1001,0),1)&gt;=100000,INDEX($AM$1005:$BM$1005,1,MATCH(COLUMNS($AM$1006:BB1006),$AM$1006:$BM$1006,0))&gt;=100000), " ",IF(INDEX($AM$2:$BM$1001,MATCH(ROWS($AF$2:AF200),$AF$2:$AF$1001,0),MATCH(COLUMNS($AM$1006:BB1006),$AM$1006:$BM$1006,0)), HYPERLINK("#",""), HYPERLINK(CONCATENATE("#metadata!", ADDRESS(INDEX($AH$2:$AH$1001,MATCH(ROWS($AF$2:AF200),$AF$2:$AF$1001,0),0), INDEX($AM$1004:$BM$1004,1,MATCH(COLUMNS($AM$1006:BB1006),$AM$1006:$BM$1006,0)))),"Fix")))</f>
        <v xml:space="preserve"> </v>
      </c>
      <c r="R200" s="4" t="str">
        <f ca="1">IF(OR(INDEX($AG$2:$AG$1001,MATCH(ROWS($AF$2:AF200),$AF$2:$AF$1001,0),1)&gt;=100000,INDEX($AM$1005:$BM$1005,1,MATCH(COLUMNS($AM$1006:BC1006),$AM$1006:$BM$1006,0))&gt;=100000), " ",IF(INDEX($AM$2:$BM$1001,MATCH(ROWS($AF$2:AF200),$AF$2:$AF$1001,0),MATCH(COLUMNS($AM$1006:BC1006),$AM$1006:$BM$1006,0)), HYPERLINK("#",""), HYPERLINK(CONCATENATE("#metadata!", ADDRESS(INDEX($AH$2:$AH$1001,MATCH(ROWS($AF$2:AF200),$AF$2:$AF$1001,0),0), INDEX($AM$1004:$BM$1004,1,MATCH(COLUMNS($AM$1006:BC1006),$AM$1006:$BM$1006,0)))),"Fix")))</f>
        <v xml:space="preserve"> </v>
      </c>
      <c r="S200" s="4" t="str">
        <f ca="1">IF(OR(INDEX($AG$2:$AG$1001,MATCH(ROWS($AF$2:AF200),$AF$2:$AF$1001,0),1)&gt;=100000,INDEX($AM$1005:$BM$1005,1,MATCH(COLUMNS($AM$1006:BD1006),$AM$1006:$BM$1006,0))&gt;=100000), " ",IF(INDEX($AM$2:$BM$1001,MATCH(ROWS($AF$2:AF200),$AF$2:$AF$1001,0),MATCH(COLUMNS($AM$1006:BD1006),$AM$1006:$BM$1006,0)), HYPERLINK("#",""), HYPERLINK(CONCATENATE("#metadata!", ADDRESS(INDEX($AH$2:$AH$1001,MATCH(ROWS($AF$2:AF200),$AF$2:$AF$1001,0),0), INDEX($AM$1004:$BM$1004,1,MATCH(COLUMNS($AM$1006:BD1006),$AM$1006:$BM$1006,0)))),"Fix")))</f>
        <v xml:space="preserve"> </v>
      </c>
      <c r="T200" s="4" t="str">
        <f ca="1">IF(OR(INDEX($AG$2:$AG$1001,MATCH(ROWS($AF$2:AF200),$AF$2:$AF$1001,0),1)&gt;=100000,INDEX($AM$1005:$BM$1005,1,MATCH(COLUMNS($AM$1006:BE1006),$AM$1006:$BM$1006,0))&gt;=100000), " ",IF(INDEX($AM$2:$BM$1001,MATCH(ROWS($AF$2:AF200),$AF$2:$AF$1001,0),MATCH(COLUMNS($AM$1006:BE1006),$AM$1006:$BM$1006,0)), HYPERLINK("#",""), HYPERLINK(CONCATENATE("#metadata!", ADDRESS(INDEX($AH$2:$AH$1001,MATCH(ROWS($AF$2:AF200),$AF$2:$AF$1001,0),0), INDEX($AM$1004:$BM$1004,1,MATCH(COLUMNS($AM$1006:BE1006),$AM$1006:$BM$1006,0)))),"Fix")))</f>
        <v xml:space="preserve"> </v>
      </c>
      <c r="U200" s="4" t="str">
        <f ca="1">IF(OR(INDEX($AG$2:$AG$1001,MATCH(ROWS($AF$2:AF200),$AF$2:$AF$1001,0),1)&gt;=100000,INDEX($AM$1005:$BM$1005,1,MATCH(COLUMNS($AM$1006:BF1006),$AM$1006:$BM$1006,0))&gt;=100000), " ",IF(INDEX($AM$2:$BM$1001,MATCH(ROWS($AF$2:AF200),$AF$2:$AF$1001,0),MATCH(COLUMNS($AM$1006:BF1006),$AM$1006:$BM$1006,0)), HYPERLINK("#",""), HYPERLINK(CONCATENATE("#metadata!", ADDRESS(INDEX($AH$2:$AH$1001,MATCH(ROWS($AF$2:AF200),$AF$2:$AF$1001,0),0), INDEX($AM$1004:$BM$1004,1,MATCH(COLUMNS($AM$1006:BF1006),$AM$1006:$BM$1006,0)))),"Fix")))</f>
        <v xml:space="preserve"> </v>
      </c>
      <c r="V200" s="4" t="str">
        <f ca="1">IF(OR(INDEX($AG$2:$AG$1001,MATCH(ROWS($AF$2:AF200),$AF$2:$AF$1001,0),1)&gt;=100000,INDEX($AM$1005:$BM$1005,1,MATCH(COLUMNS($AM$1006:BG1006),$AM$1006:$BM$1006,0))&gt;=100000), " ",IF(INDEX($AM$2:$BM$1001,MATCH(ROWS($AF$2:AF200),$AF$2:$AF$1001,0),MATCH(COLUMNS($AM$1006:BG1006),$AM$1006:$BM$1006,0)), HYPERLINK("#",""), HYPERLINK(CONCATENATE("#metadata!", ADDRESS(INDEX($AH$2:$AH$1001,MATCH(ROWS($AF$2:AF200),$AF$2:$AF$1001,0),0), INDEX($AM$1004:$BM$1004,1,MATCH(COLUMNS($AM$1006:BG1006),$AM$1006:$BM$1006,0)))),"Fix")))</f>
        <v xml:space="preserve"> </v>
      </c>
      <c r="W200" s="4" t="str">
        <f ca="1">IF(OR(INDEX($AG$2:$AG$1001,MATCH(ROWS($AF$2:AF200),$AF$2:$AF$1001,0),1)&gt;=100000,INDEX($AM$1005:$BM$1005,1,MATCH(COLUMNS($AM$1006:BH1006),$AM$1006:$BM$1006,0))&gt;=100000), " ",IF(INDEX($AM$2:$BM$1001,MATCH(ROWS($AF$2:AF200),$AF$2:$AF$1001,0),MATCH(COLUMNS($AM$1006:BH1006),$AM$1006:$BM$1006,0)), HYPERLINK("#",""), HYPERLINK(CONCATENATE("#metadata!", ADDRESS(INDEX($AH$2:$AH$1001,MATCH(ROWS($AF$2:AF200),$AF$2:$AF$1001,0),0), INDEX($AM$1004:$BM$1004,1,MATCH(COLUMNS($AM$1006:BH1006),$AM$1006:$BM$1006,0)))),"Fix")))</f>
        <v xml:space="preserve"> </v>
      </c>
      <c r="X200" s="4" t="str">
        <f ca="1">IF(OR(INDEX($AG$2:$AG$1001,MATCH(ROWS($AF$2:AF200),$AF$2:$AF$1001,0),1)&gt;=100000,INDEX($AM$1005:$BM$1005,1,MATCH(COLUMNS($AM$1006:BI1006),$AM$1006:$BM$1006,0))&gt;=100000), " ",IF(INDEX($AM$2:$BM$1001,MATCH(ROWS($AF$2:AF200),$AF$2:$AF$1001,0),MATCH(COLUMNS($AM$1006:BI1006),$AM$1006:$BM$1006,0)), HYPERLINK("#",""), HYPERLINK(CONCATENATE("#metadata!", ADDRESS(INDEX($AH$2:$AH$1001,MATCH(ROWS($AF$2:AF200),$AF$2:$AF$1001,0),0), INDEX($AM$1004:$BM$1004,1,MATCH(COLUMNS($AM$1006:BI1006),$AM$1006:$BM$1006,0)))),"Fix")))</f>
        <v xml:space="preserve"> </v>
      </c>
      <c r="Y200" s="4" t="str">
        <f ca="1">IF(OR(INDEX($AG$2:$AG$1001,MATCH(ROWS($AF$2:AF200),$AF$2:$AF$1001,0),1)&gt;=100000,INDEX($AM$1005:$BM$1005,1,MATCH(COLUMNS($AM$1006:BJ1006),$AM$1006:$BM$1006,0))&gt;=100000), " ",IF(INDEX($AM$2:$BM$1001,MATCH(ROWS($AF$2:AF200),$AF$2:$AF$1001,0),MATCH(COLUMNS($AM$1006:BJ1006),$AM$1006:$BM$1006,0)), HYPERLINK("#",""), HYPERLINK(CONCATENATE("#metadata!", ADDRESS(INDEX($AH$2:$AH$1001,MATCH(ROWS($AF$2:AF200),$AF$2:$AF$1001,0),0), INDEX($AM$1004:$BM$1004,1,MATCH(COLUMNS($AM$1006:BJ1006),$AM$1006:$BM$1006,0)))),"Fix")))</f>
        <v xml:space="preserve"> </v>
      </c>
      <c r="Z200" s="4" t="str">
        <f ca="1">IF(OR(INDEX($AG$2:$AG$1001,MATCH(ROWS($AF$2:AF200),$AF$2:$AF$1001,0),1)&gt;=100000,INDEX($AM$1005:$BM$1005,1,MATCH(COLUMNS($AM$1006:BK1006),$AM$1006:$BM$1006,0))&gt;=100000), " ",IF(INDEX($AM$2:$BM$1001,MATCH(ROWS($AF$2:AF200),$AF$2:$AF$1001,0),MATCH(COLUMNS($AM$1006:BK1006),$AM$1006:$BM$1006,0)), HYPERLINK("#",""), HYPERLINK(CONCATENATE("#metadata!", ADDRESS(INDEX($AH$2:$AH$1001,MATCH(ROWS($AF$2:AF200),$AF$2:$AF$1001,0),0), INDEX($AM$1004:$BM$1004,1,MATCH(COLUMNS($AM$1006:BK1006),$AM$1006:$BM$1006,0)))),"Fix")))</f>
        <v xml:space="preserve"> </v>
      </c>
      <c r="AA200" s="4" t="str">
        <f ca="1">IF(OR(INDEX($AG$2:$AG$1001,MATCH(ROWS($AF$2:AF200),$AF$2:$AF$1001,0),1)&gt;=100000,INDEX($AM$1005:$BM$1005,1,MATCH(COLUMNS($AM$1006:BL1006),$AM$1006:$BM$1006,0))&gt;=100000), " ",IF(INDEX($AM$2:$BM$1001,MATCH(ROWS($AF$2:AF200),$AF$2:$AF$1001,0),MATCH(COLUMNS($AM$1006:BL1006),$AM$1006:$BM$1006,0)), HYPERLINK("#",""), HYPERLINK(CONCATENATE("#metadata!", ADDRESS(INDEX($AH$2:$AH$1001,MATCH(ROWS($AF$2:AF200),$AF$2:$AF$1001,0),0), INDEX($AM$1004:$BM$1004,1,MATCH(COLUMNS($AM$1006:BL1006),$AM$1006:$BM$1006,0)))),"Fix")))</f>
        <v xml:space="preserve"> </v>
      </c>
      <c r="AB200" s="4" t="str">
        <f ca="1">IF(OR(INDEX($AG$2:$AG$1001,MATCH(ROWS($AF$2:AF200),$AF$2:$AF$1001,0),1)&gt;=100000,INDEX($AM$1005:$BM$1005,1,MATCH(COLUMNS($AM$1006:BM1006),$AM$1006:$BM$1006,0))&gt;=100000), " ",IF(INDEX($AM$2:$BM$1001,MATCH(ROWS($AF$2:AF200),$AF$2:$AF$1001,0),MATCH(COLUMNS($AM$1006:BM1006),$AM$1006:$BM$1006,0)), HYPERLINK("#",""), HYPERLINK(CONCATENATE("#metadata!", ADDRESS(INDEX($AH$2:$AH$1001,MATCH(ROWS($AF$2:AF200),$AF$2:$AF$1001,0),0), INDEX($AM$1004:$BM$1004,1,MATCH(COLUMNS($AM$1006:BM1006),$AM$1006:$BM$1006,0)))),"Fix")))</f>
        <v xml:space="preserve"> </v>
      </c>
      <c r="AF200">
        <v>199</v>
      </c>
      <c r="AG200">
        <v>100200</v>
      </c>
      <c r="AH200">
        <v>200</v>
      </c>
      <c r="AI200" t="b">
        <f t="shared" si="3"/>
        <v>1</v>
      </c>
      <c r="AJ200" t="b">
        <f>COUNTBLANK(metadata!B200:AB200)=COLUMNS(metadata!B200:AB200)</f>
        <v>1</v>
      </c>
      <c r="AK200" t="str">
        <v/>
      </c>
      <c r="AM200" t="b">
        <f ca="1">AND(IF(metadata!B200="",FALSE,TRUE),COUNTIF(metadata!B:B, metadata!B200) = 1,NOT(ISERROR(SUMPRODUCT(SEARCH(MID(metadata!B200,ROW(INDIRECT("1:"&amp;LEN(metadata!B200))), 1),"0123456789abcdefghijklmnopqrstuvwxyzABCDEFGHIJKLMNOPQRSTUVWXYZ.")))))</f>
        <v>0</v>
      </c>
      <c r="AN200" t="b">
        <f ca="1">OR(AND(IF(metadata!C200="",FALSE,TRUE),OR(EXACT(metadata!C200,"missing: not collected"),EXACT(metadata!C200,"missing: not provided"),EXACT(metadata!C200,"missing: restricted access"))),AND(IF(metadata!C200="",FALSE,TRUE),AND(AND(IFERROR(INT(LEFT(metadata!C200,4))&gt;1900,FALSE),IFERROR(INT(LEFT(metadata!C200,4))&lt;=YEAR(NOW()),FALSE)), OR(MID(metadata!C200,5,1)="", AND(AND(MID(metadata!C200,5,1)="-",IFERROR(INT(MID(metadata!C200,6,1))&gt;=0,FALSE),IFERROR(INT(MID(metadata!C200,6,1))&lt;=1,FALSE),NOT(MID(metadata!C200,7,1)=""),IFERROR(INT(MID(metadata!C200,6,2))&gt;=1,FALSE),IFERROR(INT(MID(metadata!C200,6,2))&lt;=12,FALSE)), OR(MID(metadata!C200,8,1)="", AND(AND(MID(metadata!C200,8,1)="-",IFERROR(INT(MID(metadata!C200,9,1))&gt;=0,FALSE),IFERROR(INT(MID(metadata!C200,9,1))&lt;=3,FALSE),NOT(MID(metadata!C200,10,1)=""),IFERROR(INT(MID(metadata!C200,9,2))&gt;=1,FALSE),IFERROR(INT(MID(metadata!C200,9,2))&lt;=31,FALSE)), OR(MID(metadata!C200,11,1)="", AND(AND(MID(metadata!C200,11,1)=" ",IFERROR(INT(MID(metadata!C200,12,1))&gt;=0,FALSE),IFERROR(INT(MID(metadata!C200,12,1))&lt;=2,FALSE),NOT(MID(metadata!C200,13,1)=""),IFERROR(INT(MID(metadata!C200,12,2))&gt;=0,FALSE),IFERROR(INT(MID(metadata!C200,12,2))&lt;=23,FALSE)), OR(MID(metadata!C200,14,1)="", AND(AND(MID(metadata!C200,14,1)=":",IFERROR(INT(MID(metadata!C200,15,1))&gt;=0,FALSE),IFERROR(INT(MID(metadata!C200,15,1))&lt;=5,FALSE),NOT(MID(metadata!C200,16,1)=""),IFERROR(INT(MID(metadata!C200,15,2))&gt;=0,FALSE),IFERROR(INT(MID(metadata!C200,15,2))&lt;=59,FALSE)), OR(MID(metadata!C200,17,1)="", AND(AND(MID(metadata!C200,17,1)=":",IFERROR(INT(MID(metadata!C200,18,1))&gt;=0,FALSE),IFERROR(INT(MID(metadata!C200,18,1))&lt;=5,FALSE),NOT(MID(metadata!C200,19,1)=""),IFERROR(INT(MID(metadata!C200,18,2))&gt;=0,FALSE),IFERROR(INT(MID(metadata!C200,18,2))&lt;=59,FALSE)), LEN(metadata!C200)&lt;=19)))))))))))))</f>
        <v>0</v>
      </c>
      <c r="AO200" t="b">
        <f>AND(IF(metadata!D200="",FALSE,TRUE),EXACT(metadata!D200,"Not applicable"))</f>
        <v>0</v>
      </c>
      <c r="AP200" t="b">
        <f>IF(metadata!E200="",FALSE,TRUE)</f>
        <v>0</v>
      </c>
      <c r="AQ200" t="b">
        <f>OR(AND(IF(metadata!F200="",FALSE,TRUE),OR(EXACT(metadata!F200,"missing: not collected"),EXACT(metadata!F200,"missing: not provided"))),AND(IF(metadata!F200="",FALSE,TRUE),OR(EXACT(metadata!F200,"TRUE"),EXACT(metadata!F200,"FALSE"))))</f>
        <v>0</v>
      </c>
      <c r="AR200" t="b">
        <f>OR(AND(IF(metadata!G200="",FALSE,TRUE),OR(EXACT(metadata!G200,"missing: not collected"),EXACT(metadata!G200,"missing: not provided"),EXACT(metadata!G200,"missing: restricted access"))),AND(IF(metadata!G200="",FALSE,ISNUMBER(VALUE(metadata!G200))),metadata!G200&gt;=-413))</f>
        <v>0</v>
      </c>
      <c r="AS200" t="b">
        <f>AND(IF(metadata!H200="",FALSE,TRUE),EXACT(metadata!H200,"meters"))</f>
        <v>0</v>
      </c>
      <c r="AT200" t="b">
        <f>AND(IF(metadata!I200="",FALSE,TRUE),OR(EXACT(metadata!I200,"Host-associated"),EXACT(metadata!I200,"Free-living")))</f>
        <v>0</v>
      </c>
      <c r="AU200" t="b">
        <f>AND(IF(metadata!J200="",FALSE,TRUE),OR(EXACT(metadata!J200,"Animal"),EXACT(metadata!J200,"Fungus"),EXACT(metadata!J200,"Plant"),EXACT(metadata!J200,"Saline"),EXACT(metadata!J200,"Non-saline")))</f>
        <v>0</v>
      </c>
      <c r="AV200" t="b">
        <f>AND(IF(metadata!K200="",FALSE,TRUE),OR(EXACT(metadata!K200,"Plant secretion"),EXACT(metadata!K200,"Plant rhizosphere"),EXACT(metadata!K200,"Plant surface"),EXACT(metadata!K200,"Plant corpus"),EXACT(metadata!K200,"Fungus surface"),EXACT(metadata!K200,"Fungus corpus"),EXACT(metadata!K200,"Animal surface"),EXACT(metadata!K200,"Animal proximal gut"),EXACT(metadata!K200,"Animal corpus"),EXACT(metadata!K200,"Animal distal gut"),EXACT(metadata!K200,"Animal secretion"),EXACT(metadata!K200,"Sub-surface (non-saline)"),EXACT(metadata!K200,"Surface (non-saline)"),EXACT(metadata!K200,"Water (non-saline)"),EXACT(metadata!K200,"Soil (non-saline)"),EXACT(metadata!K200,"Aerosol (non-saline)"),EXACT(metadata!K200,"Sediment (non-saline)"),EXACT(metadata!K200,"Surface (saline)"),EXACT(metadata!K200,"Water (saline)"),EXACT(metadata!K200,"Hypersaline (saline)"),EXACT(metadata!K200,"Aerosol (saline)"),EXACT(metadata!K200,"Sediment (saline)")))</f>
        <v>0</v>
      </c>
      <c r="AW200" t="b">
        <f>IF(metadata!L200="",FALSE,TRUE)</f>
        <v>0</v>
      </c>
      <c r="AX200" t="b">
        <f>IF(metadata!M200="",FALSE,TRUE)</f>
        <v>0</v>
      </c>
      <c r="AY200" t="b">
        <f>IF(metadata!N200="",FALSE,TRUE)</f>
        <v>0</v>
      </c>
      <c r="AZ200" t="b">
        <f>OR(AND(IF(metadata!O200="",FALSE,TRUE),OR(EXACT(metadata!O200,"missing: not collected"),EXACT(metadata!O200,"missing: not provided"),EXACT(metadata!O200,"missing: restricted access"))),AND(IF(metadata!O200="",FALSE,TRUE),OR(EXACT(metadata!O200,"air"),EXACT(metadata!O200,"built environment"),EXACT(metadata!O200,"host-associated"),EXACT(metadata!O200,"human-associated"),EXACT(metadata!O200,"human-skin"),EXACT(metadata!O200,"human-oral"),EXACT(metadata!O200,"human-gut"),EXACT(metadata!O200,"human-vaginal"),EXACT(metadata!O200,"microbial mat/biofilm"),EXACT(metadata!O200,"misc environment"),EXACT(metadata!O200,"plant-associated"),EXACT(metadata!O200,"sediment"),EXACT(metadata!O200,"soil"),EXACT(metadata!O200,"wastewater/sludge"),EXACT(metadata!O200,"water"))))</f>
        <v>0</v>
      </c>
      <c r="BA200" t="b">
        <f>IF(metadata!P200="",FALSE,TRUE)</f>
        <v>0</v>
      </c>
      <c r="BB200" t="b">
        <f>IF(metadata!Q200="",FALSE,TRUE)</f>
        <v>0</v>
      </c>
      <c r="BC200" t="b">
        <f>OR(AND(IF(metadata!R200="",FALSE,TRUE),OR(EXACT(metadata!R200,"missing: not collected"),EXACT(metadata!R200,"missing: not provided"),EXACT(metadata!R200,"missing: restricted access"))),AND(IF(metadata!R200="",FALSE,ISNUMBER(VALUE(metadata!R200))),metadata!R200&gt;=-90,metadata!R200&lt;=90))</f>
        <v>0</v>
      </c>
      <c r="BD200" t="b">
        <f>AND(IF(metadata!S200="",FALSE,TRUE),EXACT(metadata!S200,"Decimal degrees"))</f>
        <v>0</v>
      </c>
      <c r="BE200" t="b">
        <f>OR(AND(IF(metadata!T200="",FALSE,TRUE),OR(EXACT(metadata!T200,"missing: not collected"),EXACT(metadata!T200,"missing: not provided"),EXACT(metadata!T200,"missing: restricted access"))),AND(IF(metadata!T200="",FALSE,ISNUMBER(VALUE(metadata!T200))),metadata!T200&gt;=-180,metadata!T200&lt;=180))</f>
        <v>0</v>
      </c>
      <c r="BF200" t="b">
        <f>AND(IF(metadata!U200="",FALSE,TRUE),EXACT(metadata!U200,"Decimal degrees"))</f>
        <v>0</v>
      </c>
      <c r="BG200" t="b">
        <f>IF(metadata!V200="",FALSE,TRUE)</f>
        <v>0</v>
      </c>
      <c r="BH200" t="b">
        <f>OR(AND(IF(metadata!W200="",FALSE,TRUE),OR(EXACT(metadata!W200,"missing: not collected"),EXACT(metadata!W200,"missing: not provided"),EXACT(metadata!W200,"missing: restricted access"))),AND(IF(metadata!W200="",FALSE,TRUE),OR(EXACT(metadata!W200,"TRUE"),EXACT(metadata!W200,"FALSE"))))</f>
        <v>0</v>
      </c>
      <c r="BI200" t="b">
        <f>AND(IF(metadata!X200="",FALSE,TRUE),EXACT(metadata!X200,"other"))</f>
        <v>0</v>
      </c>
      <c r="BJ200" t="b">
        <f>IF(metadata!Y200="",FALSE,TRUE)</f>
        <v>0</v>
      </c>
      <c r="BK200" t="b">
        <f>OR(AND(IF(metadata!Z200="",FALSE,TRUE),OR(EXACT(metadata!Z200,"missing: not collected"),EXACT(metadata!Z200,"missing: not provided"))),AND(IF(metadata!Z200="",FALSE,IF(ISERROR(INT(metadata!Z200)),FALSE,INT(metadata!Z200)=metadata!Z200)),metadata!Z200&gt;0))</f>
        <v>0</v>
      </c>
      <c r="BL200" t="b">
        <f>AND(IF(metadata!AA200="",FALSE,TRUE),EXACT(metadata!AA200,"Not applicable"))</f>
        <v>0</v>
      </c>
      <c r="BM200" t="b">
        <f>IF(metadata!AB200="",FALSE,TRUE)</f>
        <v>0</v>
      </c>
    </row>
    <row r="201" spans="1:65" x14ac:dyDescent="0.2">
      <c r="A201" s="5" t="str">
        <f ca="1">IF(B201=" "," ",HYPERLINK(CONCATENATE("#metadata!",ADDRESS(INDEX($AH$2:$AH$1001,MATCH(ROWS($AF$2:AF201),$AF$2:$AF$1001,0),0),1)),INDEX($AK$2:$AK$1001,MATCH(ROWS($AF$2:AF201),$AF$2:$AF$1001,0),0)))</f>
        <v xml:space="preserve"> </v>
      </c>
      <c r="B201" s="4" t="str">
        <f ca="1">IF(OR(INDEX($AG$2:$AG$1001,MATCH(ROWS($AF$2:AF201),$AF$2:$AF$1001,0),1)&gt;=100000,INDEX($AM$1005:$BM$1005,1,MATCH(COLUMNS($AM$1006:AM1006),$AM$1006:$BM$1006,0))&gt;=100000), " ",IF(INDEX($AM$2:$BM$1001,MATCH(ROWS($AF$2:AF201),$AF$2:$AF$1001,0),MATCH(COLUMNS($AM$1006:AM1006),$AM$1006:$BM$1006,0)), HYPERLINK("#",""), HYPERLINK(CONCATENATE("#metadata!", ADDRESS(INDEX($AH$2:$AH$1001,MATCH(ROWS($AF$2:AF201),$AF$2:$AF$1001,0),0), INDEX($AM$1004:$BM$1004,1,MATCH(COLUMNS($AM$1006:AM1006),$AM$1006:$BM$1006,0)))),"Fix")))</f>
        <v xml:space="preserve"> </v>
      </c>
      <c r="C201" s="4" t="str">
        <f ca="1">IF(OR(INDEX($AG$2:$AG$1001,MATCH(ROWS($AF$2:AF201),$AF$2:$AF$1001,0),1)&gt;=100000,INDEX($AM$1005:$BM$1005,1,MATCH(COLUMNS($AM$1006:AN1006),$AM$1006:$BM$1006,0))&gt;=100000), " ",IF(INDEX($AM$2:$BM$1001,MATCH(ROWS($AF$2:AF201),$AF$2:$AF$1001,0),MATCH(COLUMNS($AM$1006:AN1006),$AM$1006:$BM$1006,0)), HYPERLINK("#",""), HYPERLINK(CONCATENATE("#metadata!", ADDRESS(INDEX($AH$2:$AH$1001,MATCH(ROWS($AF$2:AF201),$AF$2:$AF$1001,0),0), INDEX($AM$1004:$BM$1004,1,MATCH(COLUMNS($AM$1006:AN1006),$AM$1006:$BM$1006,0)))),"Fix")))</f>
        <v xml:space="preserve"> </v>
      </c>
      <c r="D201" s="4" t="str">
        <f ca="1">IF(OR(INDEX($AG$2:$AG$1001,MATCH(ROWS($AF$2:AF201),$AF$2:$AF$1001,0),1)&gt;=100000,INDEX($AM$1005:$BM$1005,1,MATCH(COLUMNS($AM$1006:AO1006),$AM$1006:$BM$1006,0))&gt;=100000), " ",IF(INDEX($AM$2:$BM$1001,MATCH(ROWS($AF$2:AF201),$AF$2:$AF$1001,0),MATCH(COLUMNS($AM$1006:AO1006),$AM$1006:$BM$1006,0)), HYPERLINK("#",""), HYPERLINK(CONCATENATE("#metadata!", ADDRESS(INDEX($AH$2:$AH$1001,MATCH(ROWS($AF$2:AF201),$AF$2:$AF$1001,0),0), INDEX($AM$1004:$BM$1004,1,MATCH(COLUMNS($AM$1006:AO1006),$AM$1006:$BM$1006,0)))),"Fix")))</f>
        <v xml:space="preserve"> </v>
      </c>
      <c r="E201" s="4" t="str">
        <f ca="1">IF(OR(INDEX($AG$2:$AG$1001,MATCH(ROWS($AF$2:AF201),$AF$2:$AF$1001,0),1)&gt;=100000,INDEX($AM$1005:$BM$1005,1,MATCH(COLUMNS($AM$1006:AP1006),$AM$1006:$BM$1006,0))&gt;=100000), " ",IF(INDEX($AM$2:$BM$1001,MATCH(ROWS($AF$2:AF201),$AF$2:$AF$1001,0),MATCH(COLUMNS($AM$1006:AP1006),$AM$1006:$BM$1006,0)), HYPERLINK("#",""), HYPERLINK(CONCATENATE("#metadata!", ADDRESS(INDEX($AH$2:$AH$1001,MATCH(ROWS($AF$2:AF201),$AF$2:$AF$1001,0),0), INDEX($AM$1004:$BM$1004,1,MATCH(COLUMNS($AM$1006:AP1006),$AM$1006:$BM$1006,0)))),"Fix")))</f>
        <v xml:space="preserve"> </v>
      </c>
      <c r="F201" s="4" t="str">
        <f ca="1">IF(OR(INDEX($AG$2:$AG$1001,MATCH(ROWS($AF$2:AF201),$AF$2:$AF$1001,0),1)&gt;=100000,INDEX($AM$1005:$BM$1005,1,MATCH(COLUMNS($AM$1006:AQ1006),$AM$1006:$BM$1006,0))&gt;=100000), " ",IF(INDEX($AM$2:$BM$1001,MATCH(ROWS($AF$2:AF201),$AF$2:$AF$1001,0),MATCH(COLUMNS($AM$1006:AQ1006),$AM$1006:$BM$1006,0)), HYPERLINK("#",""), HYPERLINK(CONCATENATE("#metadata!", ADDRESS(INDEX($AH$2:$AH$1001,MATCH(ROWS($AF$2:AF201),$AF$2:$AF$1001,0),0), INDEX($AM$1004:$BM$1004,1,MATCH(COLUMNS($AM$1006:AQ1006),$AM$1006:$BM$1006,0)))),"Fix")))</f>
        <v xml:space="preserve"> </v>
      </c>
      <c r="G201" s="4" t="str">
        <f ca="1">IF(OR(INDEX($AG$2:$AG$1001,MATCH(ROWS($AF$2:AF201),$AF$2:$AF$1001,0),1)&gt;=100000,INDEX($AM$1005:$BM$1005,1,MATCH(COLUMNS($AM$1006:AR1006),$AM$1006:$BM$1006,0))&gt;=100000), " ",IF(INDEX($AM$2:$BM$1001,MATCH(ROWS($AF$2:AF201),$AF$2:$AF$1001,0),MATCH(COLUMNS($AM$1006:AR1006),$AM$1006:$BM$1006,0)), HYPERLINK("#",""), HYPERLINK(CONCATENATE("#metadata!", ADDRESS(INDEX($AH$2:$AH$1001,MATCH(ROWS($AF$2:AF201),$AF$2:$AF$1001,0),0), INDEX($AM$1004:$BM$1004,1,MATCH(COLUMNS($AM$1006:AR1006),$AM$1006:$BM$1006,0)))),"Fix")))</f>
        <v xml:space="preserve"> </v>
      </c>
      <c r="H201" s="4" t="str">
        <f ca="1">IF(OR(INDEX($AG$2:$AG$1001,MATCH(ROWS($AF$2:AF201),$AF$2:$AF$1001,0),1)&gt;=100000,INDEX($AM$1005:$BM$1005,1,MATCH(COLUMNS($AM$1006:AS1006),$AM$1006:$BM$1006,0))&gt;=100000), " ",IF(INDEX($AM$2:$BM$1001,MATCH(ROWS($AF$2:AF201),$AF$2:$AF$1001,0),MATCH(COLUMNS($AM$1006:AS1006),$AM$1006:$BM$1006,0)), HYPERLINK("#",""), HYPERLINK(CONCATENATE("#metadata!", ADDRESS(INDEX($AH$2:$AH$1001,MATCH(ROWS($AF$2:AF201),$AF$2:$AF$1001,0),0), INDEX($AM$1004:$BM$1004,1,MATCH(COLUMNS($AM$1006:AS1006),$AM$1006:$BM$1006,0)))),"Fix")))</f>
        <v xml:space="preserve"> </v>
      </c>
      <c r="I201" s="4" t="str">
        <f ca="1">IF(OR(INDEX($AG$2:$AG$1001,MATCH(ROWS($AF$2:AF201),$AF$2:$AF$1001,0),1)&gt;=100000,INDEX($AM$1005:$BM$1005,1,MATCH(COLUMNS($AM$1006:AT1006),$AM$1006:$BM$1006,0))&gt;=100000), " ",IF(INDEX($AM$2:$BM$1001,MATCH(ROWS($AF$2:AF201),$AF$2:$AF$1001,0),MATCH(COLUMNS($AM$1006:AT1006),$AM$1006:$BM$1006,0)), HYPERLINK("#",""), HYPERLINK(CONCATENATE("#metadata!", ADDRESS(INDEX($AH$2:$AH$1001,MATCH(ROWS($AF$2:AF201),$AF$2:$AF$1001,0),0), INDEX($AM$1004:$BM$1004,1,MATCH(COLUMNS($AM$1006:AT1006),$AM$1006:$BM$1006,0)))),"Fix")))</f>
        <v xml:space="preserve"> </v>
      </c>
      <c r="J201" s="4" t="str">
        <f ca="1">IF(OR(INDEX($AG$2:$AG$1001,MATCH(ROWS($AF$2:AF201),$AF$2:$AF$1001,0),1)&gt;=100000,INDEX($AM$1005:$BM$1005,1,MATCH(COLUMNS($AM$1006:AU1006),$AM$1006:$BM$1006,0))&gt;=100000), " ",IF(INDEX($AM$2:$BM$1001,MATCH(ROWS($AF$2:AF201),$AF$2:$AF$1001,0),MATCH(COLUMNS($AM$1006:AU1006),$AM$1006:$BM$1006,0)), HYPERLINK("#",""), HYPERLINK(CONCATENATE("#metadata!", ADDRESS(INDEX($AH$2:$AH$1001,MATCH(ROWS($AF$2:AF201),$AF$2:$AF$1001,0),0), INDEX($AM$1004:$BM$1004,1,MATCH(COLUMNS($AM$1006:AU1006),$AM$1006:$BM$1006,0)))),"Fix")))</f>
        <v xml:space="preserve"> </v>
      </c>
      <c r="K201" s="4" t="str">
        <f ca="1">IF(OR(INDEX($AG$2:$AG$1001,MATCH(ROWS($AF$2:AF201),$AF$2:$AF$1001,0),1)&gt;=100000,INDEX($AM$1005:$BM$1005,1,MATCH(COLUMNS($AM$1006:AV1006),$AM$1006:$BM$1006,0))&gt;=100000), " ",IF(INDEX($AM$2:$BM$1001,MATCH(ROWS($AF$2:AF201),$AF$2:$AF$1001,0),MATCH(COLUMNS($AM$1006:AV1006),$AM$1006:$BM$1006,0)), HYPERLINK("#",""), HYPERLINK(CONCATENATE("#metadata!", ADDRESS(INDEX($AH$2:$AH$1001,MATCH(ROWS($AF$2:AF201),$AF$2:$AF$1001,0),0), INDEX($AM$1004:$BM$1004,1,MATCH(COLUMNS($AM$1006:AV1006),$AM$1006:$BM$1006,0)))),"Fix")))</f>
        <v xml:space="preserve"> </v>
      </c>
      <c r="L201" s="4" t="str">
        <f ca="1">IF(OR(INDEX($AG$2:$AG$1001,MATCH(ROWS($AF$2:AF201),$AF$2:$AF$1001,0),1)&gt;=100000,INDEX($AM$1005:$BM$1005,1,MATCH(COLUMNS($AM$1006:AW1006),$AM$1006:$BM$1006,0))&gt;=100000), " ",IF(INDEX($AM$2:$BM$1001,MATCH(ROWS($AF$2:AF201),$AF$2:$AF$1001,0),MATCH(COLUMNS($AM$1006:AW1006),$AM$1006:$BM$1006,0)), HYPERLINK("#",""), HYPERLINK(CONCATENATE("#metadata!", ADDRESS(INDEX($AH$2:$AH$1001,MATCH(ROWS($AF$2:AF201),$AF$2:$AF$1001,0),0), INDEX($AM$1004:$BM$1004,1,MATCH(COLUMNS($AM$1006:AW1006),$AM$1006:$BM$1006,0)))),"Fix")))</f>
        <v xml:space="preserve"> </v>
      </c>
      <c r="M201" s="4" t="str">
        <f ca="1">IF(OR(INDEX($AG$2:$AG$1001,MATCH(ROWS($AF$2:AF201),$AF$2:$AF$1001,0),1)&gt;=100000,INDEX($AM$1005:$BM$1005,1,MATCH(COLUMNS($AM$1006:AX1006),$AM$1006:$BM$1006,0))&gt;=100000), " ",IF(INDEX($AM$2:$BM$1001,MATCH(ROWS($AF$2:AF201),$AF$2:$AF$1001,0),MATCH(COLUMNS($AM$1006:AX1006),$AM$1006:$BM$1006,0)), HYPERLINK("#",""), HYPERLINK(CONCATENATE("#metadata!", ADDRESS(INDEX($AH$2:$AH$1001,MATCH(ROWS($AF$2:AF201),$AF$2:$AF$1001,0),0), INDEX($AM$1004:$BM$1004,1,MATCH(COLUMNS($AM$1006:AX1006),$AM$1006:$BM$1006,0)))),"Fix")))</f>
        <v xml:space="preserve"> </v>
      </c>
      <c r="N201" s="4" t="str">
        <f ca="1">IF(OR(INDEX($AG$2:$AG$1001,MATCH(ROWS($AF$2:AF201),$AF$2:$AF$1001,0),1)&gt;=100000,INDEX($AM$1005:$BM$1005,1,MATCH(COLUMNS($AM$1006:AY1006),$AM$1006:$BM$1006,0))&gt;=100000), " ",IF(INDEX($AM$2:$BM$1001,MATCH(ROWS($AF$2:AF201),$AF$2:$AF$1001,0),MATCH(COLUMNS($AM$1006:AY1006),$AM$1006:$BM$1006,0)), HYPERLINK("#",""), HYPERLINK(CONCATENATE("#metadata!", ADDRESS(INDEX($AH$2:$AH$1001,MATCH(ROWS($AF$2:AF201),$AF$2:$AF$1001,0),0), INDEX($AM$1004:$BM$1004,1,MATCH(COLUMNS($AM$1006:AY1006),$AM$1006:$BM$1006,0)))),"Fix")))</f>
        <v xml:space="preserve"> </v>
      </c>
      <c r="O201" s="4" t="str">
        <f ca="1">IF(OR(INDEX($AG$2:$AG$1001,MATCH(ROWS($AF$2:AF201),$AF$2:$AF$1001,0),1)&gt;=100000,INDEX($AM$1005:$BM$1005,1,MATCH(COLUMNS($AM$1006:AZ1006),$AM$1006:$BM$1006,0))&gt;=100000), " ",IF(INDEX($AM$2:$BM$1001,MATCH(ROWS($AF$2:AF201),$AF$2:$AF$1001,0),MATCH(COLUMNS($AM$1006:AZ1006),$AM$1006:$BM$1006,0)), HYPERLINK("#",""), HYPERLINK(CONCATENATE("#metadata!", ADDRESS(INDEX($AH$2:$AH$1001,MATCH(ROWS($AF$2:AF201),$AF$2:$AF$1001,0),0), INDEX($AM$1004:$BM$1004,1,MATCH(COLUMNS($AM$1006:AZ1006),$AM$1006:$BM$1006,0)))),"Fix")))</f>
        <v xml:space="preserve"> </v>
      </c>
      <c r="P201" s="4" t="str">
        <f ca="1">IF(OR(INDEX($AG$2:$AG$1001,MATCH(ROWS($AF$2:AF201),$AF$2:$AF$1001,0),1)&gt;=100000,INDEX($AM$1005:$BM$1005,1,MATCH(COLUMNS($AM$1006:BA1006),$AM$1006:$BM$1006,0))&gt;=100000), " ",IF(INDEX($AM$2:$BM$1001,MATCH(ROWS($AF$2:AF201),$AF$2:$AF$1001,0),MATCH(COLUMNS($AM$1006:BA1006),$AM$1006:$BM$1006,0)), HYPERLINK("#",""), HYPERLINK(CONCATENATE("#metadata!", ADDRESS(INDEX($AH$2:$AH$1001,MATCH(ROWS($AF$2:AF201),$AF$2:$AF$1001,0),0), INDEX($AM$1004:$BM$1004,1,MATCH(COLUMNS($AM$1006:BA1006),$AM$1006:$BM$1006,0)))),"Fix")))</f>
        <v xml:space="preserve"> </v>
      </c>
      <c r="Q201" s="4" t="str">
        <f ca="1">IF(OR(INDEX($AG$2:$AG$1001,MATCH(ROWS($AF$2:AF201),$AF$2:$AF$1001,0),1)&gt;=100000,INDEX($AM$1005:$BM$1005,1,MATCH(COLUMNS($AM$1006:BB1006),$AM$1006:$BM$1006,0))&gt;=100000), " ",IF(INDEX($AM$2:$BM$1001,MATCH(ROWS($AF$2:AF201),$AF$2:$AF$1001,0),MATCH(COLUMNS($AM$1006:BB1006),$AM$1006:$BM$1006,0)), HYPERLINK("#",""), HYPERLINK(CONCATENATE("#metadata!", ADDRESS(INDEX($AH$2:$AH$1001,MATCH(ROWS($AF$2:AF201),$AF$2:$AF$1001,0),0), INDEX($AM$1004:$BM$1004,1,MATCH(COLUMNS($AM$1006:BB1006),$AM$1006:$BM$1006,0)))),"Fix")))</f>
        <v xml:space="preserve"> </v>
      </c>
      <c r="R201" s="4" t="str">
        <f ca="1">IF(OR(INDEX($AG$2:$AG$1001,MATCH(ROWS($AF$2:AF201),$AF$2:$AF$1001,0),1)&gt;=100000,INDEX($AM$1005:$BM$1005,1,MATCH(COLUMNS($AM$1006:BC1006),$AM$1006:$BM$1006,0))&gt;=100000), " ",IF(INDEX($AM$2:$BM$1001,MATCH(ROWS($AF$2:AF201),$AF$2:$AF$1001,0),MATCH(COLUMNS($AM$1006:BC1006),$AM$1006:$BM$1006,0)), HYPERLINK("#",""), HYPERLINK(CONCATENATE("#metadata!", ADDRESS(INDEX($AH$2:$AH$1001,MATCH(ROWS($AF$2:AF201),$AF$2:$AF$1001,0),0), INDEX($AM$1004:$BM$1004,1,MATCH(COLUMNS($AM$1006:BC1006),$AM$1006:$BM$1006,0)))),"Fix")))</f>
        <v xml:space="preserve"> </v>
      </c>
      <c r="S201" s="4" t="str">
        <f ca="1">IF(OR(INDEX($AG$2:$AG$1001,MATCH(ROWS($AF$2:AF201),$AF$2:$AF$1001,0),1)&gt;=100000,INDEX($AM$1005:$BM$1005,1,MATCH(COLUMNS($AM$1006:BD1006),$AM$1006:$BM$1006,0))&gt;=100000), " ",IF(INDEX($AM$2:$BM$1001,MATCH(ROWS($AF$2:AF201),$AF$2:$AF$1001,0),MATCH(COLUMNS($AM$1006:BD1006),$AM$1006:$BM$1006,0)), HYPERLINK("#",""), HYPERLINK(CONCATENATE("#metadata!", ADDRESS(INDEX($AH$2:$AH$1001,MATCH(ROWS($AF$2:AF201),$AF$2:$AF$1001,0),0), INDEX($AM$1004:$BM$1004,1,MATCH(COLUMNS($AM$1006:BD1006),$AM$1006:$BM$1006,0)))),"Fix")))</f>
        <v xml:space="preserve"> </v>
      </c>
      <c r="T201" s="4" t="str">
        <f ca="1">IF(OR(INDEX($AG$2:$AG$1001,MATCH(ROWS($AF$2:AF201),$AF$2:$AF$1001,0),1)&gt;=100000,INDEX($AM$1005:$BM$1005,1,MATCH(COLUMNS($AM$1006:BE1006),$AM$1006:$BM$1006,0))&gt;=100000), " ",IF(INDEX($AM$2:$BM$1001,MATCH(ROWS($AF$2:AF201),$AF$2:$AF$1001,0),MATCH(COLUMNS($AM$1006:BE1006),$AM$1006:$BM$1006,0)), HYPERLINK("#",""), HYPERLINK(CONCATENATE("#metadata!", ADDRESS(INDEX($AH$2:$AH$1001,MATCH(ROWS($AF$2:AF201),$AF$2:$AF$1001,0),0), INDEX($AM$1004:$BM$1004,1,MATCH(COLUMNS($AM$1006:BE1006),$AM$1006:$BM$1006,0)))),"Fix")))</f>
        <v xml:space="preserve"> </v>
      </c>
      <c r="U201" s="4" t="str">
        <f ca="1">IF(OR(INDEX($AG$2:$AG$1001,MATCH(ROWS($AF$2:AF201),$AF$2:$AF$1001,0),1)&gt;=100000,INDEX($AM$1005:$BM$1005,1,MATCH(COLUMNS($AM$1006:BF1006),$AM$1006:$BM$1006,0))&gt;=100000), " ",IF(INDEX($AM$2:$BM$1001,MATCH(ROWS($AF$2:AF201),$AF$2:$AF$1001,0),MATCH(COLUMNS($AM$1006:BF1006),$AM$1006:$BM$1006,0)), HYPERLINK("#",""), HYPERLINK(CONCATENATE("#metadata!", ADDRESS(INDEX($AH$2:$AH$1001,MATCH(ROWS($AF$2:AF201),$AF$2:$AF$1001,0),0), INDEX($AM$1004:$BM$1004,1,MATCH(COLUMNS($AM$1006:BF1006),$AM$1006:$BM$1006,0)))),"Fix")))</f>
        <v xml:space="preserve"> </v>
      </c>
      <c r="V201" s="4" t="str">
        <f ca="1">IF(OR(INDEX($AG$2:$AG$1001,MATCH(ROWS($AF$2:AF201),$AF$2:$AF$1001,0),1)&gt;=100000,INDEX($AM$1005:$BM$1005,1,MATCH(COLUMNS($AM$1006:BG1006),$AM$1006:$BM$1006,0))&gt;=100000), " ",IF(INDEX($AM$2:$BM$1001,MATCH(ROWS($AF$2:AF201),$AF$2:$AF$1001,0),MATCH(COLUMNS($AM$1006:BG1006),$AM$1006:$BM$1006,0)), HYPERLINK("#",""), HYPERLINK(CONCATENATE("#metadata!", ADDRESS(INDEX($AH$2:$AH$1001,MATCH(ROWS($AF$2:AF201),$AF$2:$AF$1001,0),0), INDEX($AM$1004:$BM$1004,1,MATCH(COLUMNS($AM$1006:BG1006),$AM$1006:$BM$1006,0)))),"Fix")))</f>
        <v xml:space="preserve"> </v>
      </c>
      <c r="W201" s="4" t="str">
        <f ca="1">IF(OR(INDEX($AG$2:$AG$1001,MATCH(ROWS($AF$2:AF201),$AF$2:$AF$1001,0),1)&gt;=100000,INDEX($AM$1005:$BM$1005,1,MATCH(COLUMNS($AM$1006:BH1006),$AM$1006:$BM$1006,0))&gt;=100000), " ",IF(INDEX($AM$2:$BM$1001,MATCH(ROWS($AF$2:AF201),$AF$2:$AF$1001,0),MATCH(COLUMNS($AM$1006:BH1006),$AM$1006:$BM$1006,0)), HYPERLINK("#",""), HYPERLINK(CONCATENATE("#metadata!", ADDRESS(INDEX($AH$2:$AH$1001,MATCH(ROWS($AF$2:AF201),$AF$2:$AF$1001,0),0), INDEX($AM$1004:$BM$1004,1,MATCH(COLUMNS($AM$1006:BH1006),$AM$1006:$BM$1006,0)))),"Fix")))</f>
        <v xml:space="preserve"> </v>
      </c>
      <c r="X201" s="4" t="str">
        <f ca="1">IF(OR(INDEX($AG$2:$AG$1001,MATCH(ROWS($AF$2:AF201),$AF$2:$AF$1001,0),1)&gt;=100000,INDEX($AM$1005:$BM$1005,1,MATCH(COLUMNS($AM$1006:BI1006),$AM$1006:$BM$1006,0))&gt;=100000), " ",IF(INDEX($AM$2:$BM$1001,MATCH(ROWS($AF$2:AF201),$AF$2:$AF$1001,0),MATCH(COLUMNS($AM$1006:BI1006),$AM$1006:$BM$1006,0)), HYPERLINK("#",""), HYPERLINK(CONCATENATE("#metadata!", ADDRESS(INDEX($AH$2:$AH$1001,MATCH(ROWS($AF$2:AF201),$AF$2:$AF$1001,0),0), INDEX($AM$1004:$BM$1004,1,MATCH(COLUMNS($AM$1006:BI1006),$AM$1006:$BM$1006,0)))),"Fix")))</f>
        <v xml:space="preserve"> </v>
      </c>
      <c r="Y201" s="4" t="str">
        <f ca="1">IF(OR(INDEX($AG$2:$AG$1001,MATCH(ROWS($AF$2:AF201),$AF$2:$AF$1001,0),1)&gt;=100000,INDEX($AM$1005:$BM$1005,1,MATCH(COLUMNS($AM$1006:BJ1006),$AM$1006:$BM$1006,0))&gt;=100000), " ",IF(INDEX($AM$2:$BM$1001,MATCH(ROWS($AF$2:AF201),$AF$2:$AF$1001,0),MATCH(COLUMNS($AM$1006:BJ1006),$AM$1006:$BM$1006,0)), HYPERLINK("#",""), HYPERLINK(CONCATENATE("#metadata!", ADDRESS(INDEX($AH$2:$AH$1001,MATCH(ROWS($AF$2:AF201),$AF$2:$AF$1001,0),0), INDEX($AM$1004:$BM$1004,1,MATCH(COLUMNS($AM$1006:BJ1006),$AM$1006:$BM$1006,0)))),"Fix")))</f>
        <v xml:space="preserve"> </v>
      </c>
      <c r="Z201" s="4" t="str">
        <f ca="1">IF(OR(INDEX($AG$2:$AG$1001,MATCH(ROWS($AF$2:AF201),$AF$2:$AF$1001,0),1)&gt;=100000,INDEX($AM$1005:$BM$1005,1,MATCH(COLUMNS($AM$1006:BK1006),$AM$1006:$BM$1006,0))&gt;=100000), " ",IF(INDEX($AM$2:$BM$1001,MATCH(ROWS($AF$2:AF201),$AF$2:$AF$1001,0),MATCH(COLUMNS($AM$1006:BK1006),$AM$1006:$BM$1006,0)), HYPERLINK("#",""), HYPERLINK(CONCATENATE("#metadata!", ADDRESS(INDEX($AH$2:$AH$1001,MATCH(ROWS($AF$2:AF201),$AF$2:$AF$1001,0),0), INDEX($AM$1004:$BM$1004,1,MATCH(COLUMNS($AM$1006:BK1006),$AM$1006:$BM$1006,0)))),"Fix")))</f>
        <v xml:space="preserve"> </v>
      </c>
      <c r="AA201" s="4" t="str">
        <f ca="1">IF(OR(INDEX($AG$2:$AG$1001,MATCH(ROWS($AF$2:AF201),$AF$2:$AF$1001,0),1)&gt;=100000,INDEX($AM$1005:$BM$1005,1,MATCH(COLUMNS($AM$1006:BL1006),$AM$1006:$BM$1006,0))&gt;=100000), " ",IF(INDEX($AM$2:$BM$1001,MATCH(ROWS($AF$2:AF201),$AF$2:$AF$1001,0),MATCH(COLUMNS($AM$1006:BL1006),$AM$1006:$BM$1006,0)), HYPERLINK("#",""), HYPERLINK(CONCATENATE("#metadata!", ADDRESS(INDEX($AH$2:$AH$1001,MATCH(ROWS($AF$2:AF201),$AF$2:$AF$1001,0),0), INDEX($AM$1004:$BM$1004,1,MATCH(COLUMNS($AM$1006:BL1006),$AM$1006:$BM$1006,0)))),"Fix")))</f>
        <v xml:space="preserve"> </v>
      </c>
      <c r="AB201" s="4" t="str">
        <f ca="1">IF(OR(INDEX($AG$2:$AG$1001,MATCH(ROWS($AF$2:AF201),$AF$2:$AF$1001,0),1)&gt;=100000,INDEX($AM$1005:$BM$1005,1,MATCH(COLUMNS($AM$1006:BM1006),$AM$1006:$BM$1006,0))&gt;=100000), " ",IF(INDEX($AM$2:$BM$1001,MATCH(ROWS($AF$2:AF201),$AF$2:$AF$1001,0),MATCH(COLUMNS($AM$1006:BM1006),$AM$1006:$BM$1006,0)), HYPERLINK("#",""), HYPERLINK(CONCATENATE("#metadata!", ADDRESS(INDEX($AH$2:$AH$1001,MATCH(ROWS($AF$2:AF201),$AF$2:$AF$1001,0),0), INDEX($AM$1004:$BM$1004,1,MATCH(COLUMNS($AM$1006:BM1006),$AM$1006:$BM$1006,0)))),"Fix")))</f>
        <v xml:space="preserve"> </v>
      </c>
      <c r="AF201">
        <v>200</v>
      </c>
      <c r="AG201">
        <v>100201</v>
      </c>
      <c r="AH201">
        <v>201</v>
      </c>
      <c r="AI201" t="b">
        <f t="shared" si="3"/>
        <v>1</v>
      </c>
      <c r="AJ201" t="b">
        <f>COUNTBLANK(metadata!B201:AB201)=COLUMNS(metadata!B201:AB201)</f>
        <v>1</v>
      </c>
      <c r="AK201" t="str">
        <v/>
      </c>
      <c r="AM201" t="b">
        <f ca="1">AND(IF(metadata!B201="",FALSE,TRUE),COUNTIF(metadata!B:B, metadata!B201) = 1,NOT(ISERROR(SUMPRODUCT(SEARCH(MID(metadata!B201,ROW(INDIRECT("1:"&amp;LEN(metadata!B201))), 1),"0123456789abcdefghijklmnopqrstuvwxyzABCDEFGHIJKLMNOPQRSTUVWXYZ.")))))</f>
        <v>0</v>
      </c>
      <c r="AN201" t="b">
        <f ca="1">OR(AND(IF(metadata!C201="",FALSE,TRUE),OR(EXACT(metadata!C201,"missing: not collected"),EXACT(metadata!C201,"missing: not provided"),EXACT(metadata!C201,"missing: restricted access"))),AND(IF(metadata!C201="",FALSE,TRUE),AND(AND(IFERROR(INT(LEFT(metadata!C201,4))&gt;1900,FALSE),IFERROR(INT(LEFT(metadata!C201,4))&lt;=YEAR(NOW()),FALSE)), OR(MID(metadata!C201,5,1)="", AND(AND(MID(metadata!C201,5,1)="-",IFERROR(INT(MID(metadata!C201,6,1))&gt;=0,FALSE),IFERROR(INT(MID(metadata!C201,6,1))&lt;=1,FALSE),NOT(MID(metadata!C201,7,1)=""),IFERROR(INT(MID(metadata!C201,6,2))&gt;=1,FALSE),IFERROR(INT(MID(metadata!C201,6,2))&lt;=12,FALSE)), OR(MID(metadata!C201,8,1)="", AND(AND(MID(metadata!C201,8,1)="-",IFERROR(INT(MID(metadata!C201,9,1))&gt;=0,FALSE),IFERROR(INT(MID(metadata!C201,9,1))&lt;=3,FALSE),NOT(MID(metadata!C201,10,1)=""),IFERROR(INT(MID(metadata!C201,9,2))&gt;=1,FALSE),IFERROR(INT(MID(metadata!C201,9,2))&lt;=31,FALSE)), OR(MID(metadata!C201,11,1)="", AND(AND(MID(metadata!C201,11,1)=" ",IFERROR(INT(MID(metadata!C201,12,1))&gt;=0,FALSE),IFERROR(INT(MID(metadata!C201,12,1))&lt;=2,FALSE),NOT(MID(metadata!C201,13,1)=""),IFERROR(INT(MID(metadata!C201,12,2))&gt;=0,FALSE),IFERROR(INT(MID(metadata!C201,12,2))&lt;=23,FALSE)), OR(MID(metadata!C201,14,1)="", AND(AND(MID(metadata!C201,14,1)=":",IFERROR(INT(MID(metadata!C201,15,1))&gt;=0,FALSE),IFERROR(INT(MID(metadata!C201,15,1))&lt;=5,FALSE),NOT(MID(metadata!C201,16,1)=""),IFERROR(INT(MID(metadata!C201,15,2))&gt;=0,FALSE),IFERROR(INT(MID(metadata!C201,15,2))&lt;=59,FALSE)), OR(MID(metadata!C201,17,1)="", AND(AND(MID(metadata!C201,17,1)=":",IFERROR(INT(MID(metadata!C201,18,1))&gt;=0,FALSE),IFERROR(INT(MID(metadata!C201,18,1))&lt;=5,FALSE),NOT(MID(metadata!C201,19,1)=""),IFERROR(INT(MID(metadata!C201,18,2))&gt;=0,FALSE),IFERROR(INT(MID(metadata!C201,18,2))&lt;=59,FALSE)), LEN(metadata!C201)&lt;=19)))))))))))))</f>
        <v>0</v>
      </c>
      <c r="AO201" t="b">
        <f>AND(IF(metadata!D201="",FALSE,TRUE),EXACT(metadata!D201,"Not applicable"))</f>
        <v>0</v>
      </c>
      <c r="AP201" t="b">
        <f>IF(metadata!E201="",FALSE,TRUE)</f>
        <v>0</v>
      </c>
      <c r="AQ201" t="b">
        <f>OR(AND(IF(metadata!F201="",FALSE,TRUE),OR(EXACT(metadata!F201,"missing: not collected"),EXACT(metadata!F201,"missing: not provided"))),AND(IF(metadata!F201="",FALSE,TRUE),OR(EXACT(metadata!F201,"TRUE"),EXACT(metadata!F201,"FALSE"))))</f>
        <v>0</v>
      </c>
      <c r="AR201" t="b">
        <f>OR(AND(IF(metadata!G201="",FALSE,TRUE),OR(EXACT(metadata!G201,"missing: not collected"),EXACT(metadata!G201,"missing: not provided"),EXACT(metadata!G201,"missing: restricted access"))),AND(IF(metadata!G201="",FALSE,ISNUMBER(VALUE(metadata!G201))),metadata!G201&gt;=-413))</f>
        <v>0</v>
      </c>
      <c r="AS201" t="b">
        <f>AND(IF(metadata!H201="",FALSE,TRUE),EXACT(metadata!H201,"meters"))</f>
        <v>0</v>
      </c>
      <c r="AT201" t="b">
        <f>AND(IF(metadata!I201="",FALSE,TRUE),OR(EXACT(metadata!I201,"Host-associated"),EXACT(metadata!I201,"Free-living")))</f>
        <v>0</v>
      </c>
      <c r="AU201" t="b">
        <f>AND(IF(metadata!J201="",FALSE,TRUE),OR(EXACT(metadata!J201,"Animal"),EXACT(metadata!J201,"Fungus"),EXACT(metadata!J201,"Plant"),EXACT(metadata!J201,"Saline"),EXACT(metadata!J201,"Non-saline")))</f>
        <v>0</v>
      </c>
      <c r="AV201" t="b">
        <f>AND(IF(metadata!K201="",FALSE,TRUE),OR(EXACT(metadata!K201,"Plant secretion"),EXACT(metadata!K201,"Plant rhizosphere"),EXACT(metadata!K201,"Plant surface"),EXACT(metadata!K201,"Plant corpus"),EXACT(metadata!K201,"Fungus surface"),EXACT(metadata!K201,"Fungus corpus"),EXACT(metadata!K201,"Animal surface"),EXACT(metadata!K201,"Animal proximal gut"),EXACT(metadata!K201,"Animal corpus"),EXACT(metadata!K201,"Animal distal gut"),EXACT(metadata!K201,"Animal secretion"),EXACT(metadata!K201,"Sub-surface (non-saline)"),EXACT(metadata!K201,"Surface (non-saline)"),EXACT(metadata!K201,"Water (non-saline)"),EXACT(metadata!K201,"Soil (non-saline)"),EXACT(metadata!K201,"Aerosol (non-saline)"),EXACT(metadata!K201,"Sediment (non-saline)"),EXACT(metadata!K201,"Surface (saline)"),EXACT(metadata!K201,"Water (saline)"),EXACT(metadata!K201,"Hypersaline (saline)"),EXACT(metadata!K201,"Aerosol (saline)"),EXACT(metadata!K201,"Sediment (saline)")))</f>
        <v>0</v>
      </c>
      <c r="AW201" t="b">
        <f>IF(metadata!L201="",FALSE,TRUE)</f>
        <v>0</v>
      </c>
      <c r="AX201" t="b">
        <f>IF(metadata!M201="",FALSE,TRUE)</f>
        <v>0</v>
      </c>
      <c r="AY201" t="b">
        <f>IF(metadata!N201="",FALSE,TRUE)</f>
        <v>0</v>
      </c>
      <c r="AZ201" t="b">
        <f>OR(AND(IF(metadata!O201="",FALSE,TRUE),OR(EXACT(metadata!O201,"missing: not collected"),EXACT(metadata!O201,"missing: not provided"),EXACT(metadata!O201,"missing: restricted access"))),AND(IF(metadata!O201="",FALSE,TRUE),OR(EXACT(metadata!O201,"air"),EXACT(metadata!O201,"built environment"),EXACT(metadata!O201,"host-associated"),EXACT(metadata!O201,"human-associated"),EXACT(metadata!O201,"human-skin"),EXACT(metadata!O201,"human-oral"),EXACT(metadata!O201,"human-gut"),EXACT(metadata!O201,"human-vaginal"),EXACT(metadata!O201,"microbial mat/biofilm"),EXACT(metadata!O201,"misc environment"),EXACT(metadata!O201,"plant-associated"),EXACT(metadata!O201,"sediment"),EXACT(metadata!O201,"soil"),EXACT(metadata!O201,"wastewater/sludge"),EXACT(metadata!O201,"water"))))</f>
        <v>0</v>
      </c>
      <c r="BA201" t="b">
        <f>IF(metadata!P201="",FALSE,TRUE)</f>
        <v>0</v>
      </c>
      <c r="BB201" t="b">
        <f>IF(metadata!Q201="",FALSE,TRUE)</f>
        <v>0</v>
      </c>
      <c r="BC201" t="b">
        <f>OR(AND(IF(metadata!R201="",FALSE,TRUE),OR(EXACT(metadata!R201,"missing: not collected"),EXACT(metadata!R201,"missing: not provided"),EXACT(metadata!R201,"missing: restricted access"))),AND(IF(metadata!R201="",FALSE,ISNUMBER(VALUE(metadata!R201))),metadata!R201&gt;=-90,metadata!R201&lt;=90))</f>
        <v>0</v>
      </c>
      <c r="BD201" t="b">
        <f>AND(IF(metadata!S201="",FALSE,TRUE),EXACT(metadata!S201,"Decimal degrees"))</f>
        <v>0</v>
      </c>
      <c r="BE201" t="b">
        <f>OR(AND(IF(metadata!T201="",FALSE,TRUE),OR(EXACT(metadata!T201,"missing: not collected"),EXACT(metadata!T201,"missing: not provided"),EXACT(metadata!T201,"missing: restricted access"))),AND(IF(metadata!T201="",FALSE,ISNUMBER(VALUE(metadata!T201))),metadata!T201&gt;=-180,metadata!T201&lt;=180))</f>
        <v>0</v>
      </c>
      <c r="BF201" t="b">
        <f>AND(IF(metadata!U201="",FALSE,TRUE),EXACT(metadata!U201,"Decimal degrees"))</f>
        <v>0</v>
      </c>
      <c r="BG201" t="b">
        <f>IF(metadata!V201="",FALSE,TRUE)</f>
        <v>0</v>
      </c>
      <c r="BH201" t="b">
        <f>OR(AND(IF(metadata!W201="",FALSE,TRUE),OR(EXACT(metadata!W201,"missing: not collected"),EXACT(metadata!W201,"missing: not provided"),EXACT(metadata!W201,"missing: restricted access"))),AND(IF(metadata!W201="",FALSE,TRUE),OR(EXACT(metadata!W201,"TRUE"),EXACT(metadata!W201,"FALSE"))))</f>
        <v>0</v>
      </c>
      <c r="BI201" t="b">
        <f>AND(IF(metadata!X201="",FALSE,TRUE),EXACT(metadata!X201,"other"))</f>
        <v>0</v>
      </c>
      <c r="BJ201" t="b">
        <f>IF(metadata!Y201="",FALSE,TRUE)</f>
        <v>0</v>
      </c>
      <c r="BK201" t="b">
        <f>OR(AND(IF(metadata!Z201="",FALSE,TRUE),OR(EXACT(metadata!Z201,"missing: not collected"),EXACT(metadata!Z201,"missing: not provided"))),AND(IF(metadata!Z201="",FALSE,IF(ISERROR(INT(metadata!Z201)),FALSE,INT(metadata!Z201)=metadata!Z201)),metadata!Z201&gt;0))</f>
        <v>0</v>
      </c>
      <c r="BL201" t="b">
        <f>AND(IF(metadata!AA201="",FALSE,TRUE),EXACT(metadata!AA201,"Not applicable"))</f>
        <v>0</v>
      </c>
      <c r="BM201" t="b">
        <f>IF(metadata!AB201="",FALSE,TRUE)</f>
        <v>0</v>
      </c>
    </row>
    <row r="202" spans="1:65" x14ac:dyDescent="0.2">
      <c r="A202" s="5" t="str">
        <f ca="1">IF(B202=" "," ",HYPERLINK(CONCATENATE("#metadata!",ADDRESS(INDEX($AH$2:$AH$1001,MATCH(ROWS($AF$2:AF202),$AF$2:$AF$1001,0),0),1)),INDEX($AK$2:$AK$1001,MATCH(ROWS($AF$2:AF202),$AF$2:$AF$1001,0),0)))</f>
        <v xml:space="preserve"> </v>
      </c>
      <c r="B202" s="4" t="str">
        <f ca="1">IF(OR(INDEX($AG$2:$AG$1001,MATCH(ROWS($AF$2:AF202),$AF$2:$AF$1001,0),1)&gt;=100000,INDEX($AM$1005:$BM$1005,1,MATCH(COLUMNS($AM$1006:AM1006),$AM$1006:$BM$1006,0))&gt;=100000), " ",IF(INDEX($AM$2:$BM$1001,MATCH(ROWS($AF$2:AF202),$AF$2:$AF$1001,0),MATCH(COLUMNS($AM$1006:AM1006),$AM$1006:$BM$1006,0)), HYPERLINK("#",""), HYPERLINK(CONCATENATE("#metadata!", ADDRESS(INDEX($AH$2:$AH$1001,MATCH(ROWS($AF$2:AF202),$AF$2:$AF$1001,0),0), INDEX($AM$1004:$BM$1004,1,MATCH(COLUMNS($AM$1006:AM1006),$AM$1006:$BM$1006,0)))),"Fix")))</f>
        <v xml:space="preserve"> </v>
      </c>
      <c r="C202" s="4" t="str">
        <f ca="1">IF(OR(INDEX($AG$2:$AG$1001,MATCH(ROWS($AF$2:AF202),$AF$2:$AF$1001,0),1)&gt;=100000,INDEX($AM$1005:$BM$1005,1,MATCH(COLUMNS($AM$1006:AN1006),$AM$1006:$BM$1006,0))&gt;=100000), " ",IF(INDEX($AM$2:$BM$1001,MATCH(ROWS($AF$2:AF202),$AF$2:$AF$1001,0),MATCH(COLUMNS($AM$1006:AN1006),$AM$1006:$BM$1006,0)), HYPERLINK("#",""), HYPERLINK(CONCATENATE("#metadata!", ADDRESS(INDEX($AH$2:$AH$1001,MATCH(ROWS($AF$2:AF202),$AF$2:$AF$1001,0),0), INDEX($AM$1004:$BM$1004,1,MATCH(COLUMNS($AM$1006:AN1006),$AM$1006:$BM$1006,0)))),"Fix")))</f>
        <v xml:space="preserve"> </v>
      </c>
      <c r="D202" s="4" t="str">
        <f ca="1">IF(OR(INDEX($AG$2:$AG$1001,MATCH(ROWS($AF$2:AF202),$AF$2:$AF$1001,0),1)&gt;=100000,INDEX($AM$1005:$BM$1005,1,MATCH(COLUMNS($AM$1006:AO1006),$AM$1006:$BM$1006,0))&gt;=100000), " ",IF(INDEX($AM$2:$BM$1001,MATCH(ROWS($AF$2:AF202),$AF$2:$AF$1001,0),MATCH(COLUMNS($AM$1006:AO1006),$AM$1006:$BM$1006,0)), HYPERLINK("#",""), HYPERLINK(CONCATENATE("#metadata!", ADDRESS(INDEX($AH$2:$AH$1001,MATCH(ROWS($AF$2:AF202),$AF$2:$AF$1001,0),0), INDEX($AM$1004:$BM$1004,1,MATCH(COLUMNS($AM$1006:AO1006),$AM$1006:$BM$1006,0)))),"Fix")))</f>
        <v xml:space="preserve"> </v>
      </c>
      <c r="E202" s="4" t="str">
        <f ca="1">IF(OR(INDEX($AG$2:$AG$1001,MATCH(ROWS($AF$2:AF202),$AF$2:$AF$1001,0),1)&gt;=100000,INDEX($AM$1005:$BM$1005,1,MATCH(COLUMNS($AM$1006:AP1006),$AM$1006:$BM$1006,0))&gt;=100000), " ",IF(INDEX($AM$2:$BM$1001,MATCH(ROWS($AF$2:AF202),$AF$2:$AF$1001,0),MATCH(COLUMNS($AM$1006:AP1006),$AM$1006:$BM$1006,0)), HYPERLINK("#",""), HYPERLINK(CONCATENATE("#metadata!", ADDRESS(INDEX($AH$2:$AH$1001,MATCH(ROWS($AF$2:AF202),$AF$2:$AF$1001,0),0), INDEX($AM$1004:$BM$1004,1,MATCH(COLUMNS($AM$1006:AP1006),$AM$1006:$BM$1006,0)))),"Fix")))</f>
        <v xml:space="preserve"> </v>
      </c>
      <c r="F202" s="4" t="str">
        <f ca="1">IF(OR(INDEX($AG$2:$AG$1001,MATCH(ROWS($AF$2:AF202),$AF$2:$AF$1001,0),1)&gt;=100000,INDEX($AM$1005:$BM$1005,1,MATCH(COLUMNS($AM$1006:AQ1006),$AM$1006:$BM$1006,0))&gt;=100000), " ",IF(INDEX($AM$2:$BM$1001,MATCH(ROWS($AF$2:AF202),$AF$2:$AF$1001,0),MATCH(COLUMNS($AM$1006:AQ1006),$AM$1006:$BM$1006,0)), HYPERLINK("#",""), HYPERLINK(CONCATENATE("#metadata!", ADDRESS(INDEX($AH$2:$AH$1001,MATCH(ROWS($AF$2:AF202),$AF$2:$AF$1001,0),0), INDEX($AM$1004:$BM$1004,1,MATCH(COLUMNS($AM$1006:AQ1006),$AM$1006:$BM$1006,0)))),"Fix")))</f>
        <v xml:space="preserve"> </v>
      </c>
      <c r="G202" s="4" t="str">
        <f ca="1">IF(OR(INDEX($AG$2:$AG$1001,MATCH(ROWS($AF$2:AF202),$AF$2:$AF$1001,0),1)&gt;=100000,INDEX($AM$1005:$BM$1005,1,MATCH(COLUMNS($AM$1006:AR1006),$AM$1006:$BM$1006,0))&gt;=100000), " ",IF(INDEX($AM$2:$BM$1001,MATCH(ROWS($AF$2:AF202),$AF$2:$AF$1001,0),MATCH(COLUMNS($AM$1006:AR1006),$AM$1006:$BM$1006,0)), HYPERLINK("#",""), HYPERLINK(CONCATENATE("#metadata!", ADDRESS(INDEX($AH$2:$AH$1001,MATCH(ROWS($AF$2:AF202),$AF$2:$AF$1001,0),0), INDEX($AM$1004:$BM$1004,1,MATCH(COLUMNS($AM$1006:AR1006),$AM$1006:$BM$1006,0)))),"Fix")))</f>
        <v xml:space="preserve"> </v>
      </c>
      <c r="H202" s="4" t="str">
        <f ca="1">IF(OR(INDEX($AG$2:$AG$1001,MATCH(ROWS($AF$2:AF202),$AF$2:$AF$1001,0),1)&gt;=100000,INDEX($AM$1005:$BM$1005,1,MATCH(COLUMNS($AM$1006:AS1006),$AM$1006:$BM$1006,0))&gt;=100000), " ",IF(INDEX($AM$2:$BM$1001,MATCH(ROWS($AF$2:AF202),$AF$2:$AF$1001,0),MATCH(COLUMNS($AM$1006:AS1006),$AM$1006:$BM$1006,0)), HYPERLINK("#",""), HYPERLINK(CONCATENATE("#metadata!", ADDRESS(INDEX($AH$2:$AH$1001,MATCH(ROWS($AF$2:AF202),$AF$2:$AF$1001,0),0), INDEX($AM$1004:$BM$1004,1,MATCH(COLUMNS($AM$1006:AS1006),$AM$1006:$BM$1006,0)))),"Fix")))</f>
        <v xml:space="preserve"> </v>
      </c>
      <c r="I202" s="4" t="str">
        <f ca="1">IF(OR(INDEX($AG$2:$AG$1001,MATCH(ROWS($AF$2:AF202),$AF$2:$AF$1001,0),1)&gt;=100000,INDEX($AM$1005:$BM$1005,1,MATCH(COLUMNS($AM$1006:AT1006),$AM$1006:$BM$1006,0))&gt;=100000), " ",IF(INDEX($AM$2:$BM$1001,MATCH(ROWS($AF$2:AF202),$AF$2:$AF$1001,0),MATCH(COLUMNS($AM$1006:AT1006),$AM$1006:$BM$1006,0)), HYPERLINK("#",""), HYPERLINK(CONCATENATE("#metadata!", ADDRESS(INDEX($AH$2:$AH$1001,MATCH(ROWS($AF$2:AF202),$AF$2:$AF$1001,0),0), INDEX($AM$1004:$BM$1004,1,MATCH(COLUMNS($AM$1006:AT1006),$AM$1006:$BM$1006,0)))),"Fix")))</f>
        <v xml:space="preserve"> </v>
      </c>
      <c r="J202" s="4" t="str">
        <f ca="1">IF(OR(INDEX($AG$2:$AG$1001,MATCH(ROWS($AF$2:AF202),$AF$2:$AF$1001,0),1)&gt;=100000,INDEX($AM$1005:$BM$1005,1,MATCH(COLUMNS($AM$1006:AU1006),$AM$1006:$BM$1006,0))&gt;=100000), " ",IF(INDEX($AM$2:$BM$1001,MATCH(ROWS($AF$2:AF202),$AF$2:$AF$1001,0),MATCH(COLUMNS($AM$1006:AU1006),$AM$1006:$BM$1006,0)), HYPERLINK("#",""), HYPERLINK(CONCATENATE("#metadata!", ADDRESS(INDEX($AH$2:$AH$1001,MATCH(ROWS($AF$2:AF202),$AF$2:$AF$1001,0),0), INDEX($AM$1004:$BM$1004,1,MATCH(COLUMNS($AM$1006:AU1006),$AM$1006:$BM$1006,0)))),"Fix")))</f>
        <v xml:space="preserve"> </v>
      </c>
      <c r="K202" s="4" t="str">
        <f ca="1">IF(OR(INDEX($AG$2:$AG$1001,MATCH(ROWS($AF$2:AF202),$AF$2:$AF$1001,0),1)&gt;=100000,INDEX($AM$1005:$BM$1005,1,MATCH(COLUMNS($AM$1006:AV1006),$AM$1006:$BM$1006,0))&gt;=100000), " ",IF(INDEX($AM$2:$BM$1001,MATCH(ROWS($AF$2:AF202),$AF$2:$AF$1001,0),MATCH(COLUMNS($AM$1006:AV1006),$AM$1006:$BM$1006,0)), HYPERLINK("#",""), HYPERLINK(CONCATENATE("#metadata!", ADDRESS(INDEX($AH$2:$AH$1001,MATCH(ROWS($AF$2:AF202),$AF$2:$AF$1001,0),0), INDEX($AM$1004:$BM$1004,1,MATCH(COLUMNS($AM$1006:AV1006),$AM$1006:$BM$1006,0)))),"Fix")))</f>
        <v xml:space="preserve"> </v>
      </c>
      <c r="L202" s="4" t="str">
        <f ca="1">IF(OR(INDEX($AG$2:$AG$1001,MATCH(ROWS($AF$2:AF202),$AF$2:$AF$1001,0),1)&gt;=100000,INDEX($AM$1005:$BM$1005,1,MATCH(COLUMNS($AM$1006:AW1006),$AM$1006:$BM$1006,0))&gt;=100000), " ",IF(INDEX($AM$2:$BM$1001,MATCH(ROWS($AF$2:AF202),$AF$2:$AF$1001,0),MATCH(COLUMNS($AM$1006:AW1006),$AM$1006:$BM$1006,0)), HYPERLINK("#",""), HYPERLINK(CONCATENATE("#metadata!", ADDRESS(INDEX($AH$2:$AH$1001,MATCH(ROWS($AF$2:AF202),$AF$2:$AF$1001,0),0), INDEX($AM$1004:$BM$1004,1,MATCH(COLUMNS($AM$1006:AW1006),$AM$1006:$BM$1006,0)))),"Fix")))</f>
        <v xml:space="preserve"> </v>
      </c>
      <c r="M202" s="4" t="str">
        <f ca="1">IF(OR(INDEX($AG$2:$AG$1001,MATCH(ROWS($AF$2:AF202),$AF$2:$AF$1001,0),1)&gt;=100000,INDEX($AM$1005:$BM$1005,1,MATCH(COLUMNS($AM$1006:AX1006),$AM$1006:$BM$1006,0))&gt;=100000), " ",IF(INDEX($AM$2:$BM$1001,MATCH(ROWS($AF$2:AF202),$AF$2:$AF$1001,0),MATCH(COLUMNS($AM$1006:AX1006),$AM$1006:$BM$1006,0)), HYPERLINK("#",""), HYPERLINK(CONCATENATE("#metadata!", ADDRESS(INDEX($AH$2:$AH$1001,MATCH(ROWS($AF$2:AF202),$AF$2:$AF$1001,0),0), INDEX($AM$1004:$BM$1004,1,MATCH(COLUMNS($AM$1006:AX1006),$AM$1006:$BM$1006,0)))),"Fix")))</f>
        <v xml:space="preserve"> </v>
      </c>
      <c r="N202" s="4" t="str">
        <f ca="1">IF(OR(INDEX($AG$2:$AG$1001,MATCH(ROWS($AF$2:AF202),$AF$2:$AF$1001,0),1)&gt;=100000,INDEX($AM$1005:$BM$1005,1,MATCH(COLUMNS($AM$1006:AY1006),$AM$1006:$BM$1006,0))&gt;=100000), " ",IF(INDEX($AM$2:$BM$1001,MATCH(ROWS($AF$2:AF202),$AF$2:$AF$1001,0),MATCH(COLUMNS($AM$1006:AY1006),$AM$1006:$BM$1006,0)), HYPERLINK("#",""), HYPERLINK(CONCATENATE("#metadata!", ADDRESS(INDEX($AH$2:$AH$1001,MATCH(ROWS($AF$2:AF202),$AF$2:$AF$1001,0),0), INDEX($AM$1004:$BM$1004,1,MATCH(COLUMNS($AM$1006:AY1006),$AM$1006:$BM$1006,0)))),"Fix")))</f>
        <v xml:space="preserve"> </v>
      </c>
      <c r="O202" s="4" t="str">
        <f ca="1">IF(OR(INDEX($AG$2:$AG$1001,MATCH(ROWS($AF$2:AF202),$AF$2:$AF$1001,0),1)&gt;=100000,INDEX($AM$1005:$BM$1005,1,MATCH(COLUMNS($AM$1006:AZ1006),$AM$1006:$BM$1006,0))&gt;=100000), " ",IF(INDEX($AM$2:$BM$1001,MATCH(ROWS($AF$2:AF202),$AF$2:$AF$1001,0),MATCH(COLUMNS($AM$1006:AZ1006),$AM$1006:$BM$1006,0)), HYPERLINK("#",""), HYPERLINK(CONCATENATE("#metadata!", ADDRESS(INDEX($AH$2:$AH$1001,MATCH(ROWS($AF$2:AF202),$AF$2:$AF$1001,0),0), INDEX($AM$1004:$BM$1004,1,MATCH(COLUMNS($AM$1006:AZ1006),$AM$1006:$BM$1006,0)))),"Fix")))</f>
        <v xml:space="preserve"> </v>
      </c>
      <c r="P202" s="4" t="str">
        <f ca="1">IF(OR(INDEX($AG$2:$AG$1001,MATCH(ROWS($AF$2:AF202),$AF$2:$AF$1001,0),1)&gt;=100000,INDEX($AM$1005:$BM$1005,1,MATCH(COLUMNS($AM$1006:BA1006),$AM$1006:$BM$1006,0))&gt;=100000), " ",IF(INDEX($AM$2:$BM$1001,MATCH(ROWS($AF$2:AF202),$AF$2:$AF$1001,0),MATCH(COLUMNS($AM$1006:BA1006),$AM$1006:$BM$1006,0)), HYPERLINK("#",""), HYPERLINK(CONCATENATE("#metadata!", ADDRESS(INDEX($AH$2:$AH$1001,MATCH(ROWS($AF$2:AF202),$AF$2:$AF$1001,0),0), INDEX($AM$1004:$BM$1004,1,MATCH(COLUMNS($AM$1006:BA1006),$AM$1006:$BM$1006,0)))),"Fix")))</f>
        <v xml:space="preserve"> </v>
      </c>
      <c r="Q202" s="4" t="str">
        <f ca="1">IF(OR(INDEX($AG$2:$AG$1001,MATCH(ROWS($AF$2:AF202),$AF$2:$AF$1001,0),1)&gt;=100000,INDEX($AM$1005:$BM$1005,1,MATCH(COLUMNS($AM$1006:BB1006),$AM$1006:$BM$1006,0))&gt;=100000), " ",IF(INDEX($AM$2:$BM$1001,MATCH(ROWS($AF$2:AF202),$AF$2:$AF$1001,0),MATCH(COLUMNS($AM$1006:BB1006),$AM$1006:$BM$1006,0)), HYPERLINK("#",""), HYPERLINK(CONCATENATE("#metadata!", ADDRESS(INDEX($AH$2:$AH$1001,MATCH(ROWS($AF$2:AF202),$AF$2:$AF$1001,0),0), INDEX($AM$1004:$BM$1004,1,MATCH(COLUMNS($AM$1006:BB1006),$AM$1006:$BM$1006,0)))),"Fix")))</f>
        <v xml:space="preserve"> </v>
      </c>
      <c r="R202" s="4" t="str">
        <f ca="1">IF(OR(INDEX($AG$2:$AG$1001,MATCH(ROWS($AF$2:AF202),$AF$2:$AF$1001,0),1)&gt;=100000,INDEX($AM$1005:$BM$1005,1,MATCH(COLUMNS($AM$1006:BC1006),$AM$1006:$BM$1006,0))&gt;=100000), " ",IF(INDEX($AM$2:$BM$1001,MATCH(ROWS($AF$2:AF202),$AF$2:$AF$1001,0),MATCH(COLUMNS($AM$1006:BC1006),$AM$1006:$BM$1006,0)), HYPERLINK("#",""), HYPERLINK(CONCATENATE("#metadata!", ADDRESS(INDEX($AH$2:$AH$1001,MATCH(ROWS($AF$2:AF202),$AF$2:$AF$1001,0),0), INDEX($AM$1004:$BM$1004,1,MATCH(COLUMNS($AM$1006:BC1006),$AM$1006:$BM$1006,0)))),"Fix")))</f>
        <v xml:space="preserve"> </v>
      </c>
      <c r="S202" s="4" t="str">
        <f ca="1">IF(OR(INDEX($AG$2:$AG$1001,MATCH(ROWS($AF$2:AF202),$AF$2:$AF$1001,0),1)&gt;=100000,INDEX($AM$1005:$BM$1005,1,MATCH(COLUMNS($AM$1006:BD1006),$AM$1006:$BM$1006,0))&gt;=100000), " ",IF(INDEX($AM$2:$BM$1001,MATCH(ROWS($AF$2:AF202),$AF$2:$AF$1001,0),MATCH(COLUMNS($AM$1006:BD1006),$AM$1006:$BM$1006,0)), HYPERLINK("#",""), HYPERLINK(CONCATENATE("#metadata!", ADDRESS(INDEX($AH$2:$AH$1001,MATCH(ROWS($AF$2:AF202),$AF$2:$AF$1001,0),0), INDEX($AM$1004:$BM$1004,1,MATCH(COLUMNS($AM$1006:BD1006),$AM$1006:$BM$1006,0)))),"Fix")))</f>
        <v xml:space="preserve"> </v>
      </c>
      <c r="T202" s="4" t="str">
        <f ca="1">IF(OR(INDEX($AG$2:$AG$1001,MATCH(ROWS($AF$2:AF202),$AF$2:$AF$1001,0),1)&gt;=100000,INDEX($AM$1005:$BM$1005,1,MATCH(COLUMNS($AM$1006:BE1006),$AM$1006:$BM$1006,0))&gt;=100000), " ",IF(INDEX($AM$2:$BM$1001,MATCH(ROWS($AF$2:AF202),$AF$2:$AF$1001,0),MATCH(COLUMNS($AM$1006:BE1006),$AM$1006:$BM$1006,0)), HYPERLINK("#",""), HYPERLINK(CONCATENATE("#metadata!", ADDRESS(INDEX($AH$2:$AH$1001,MATCH(ROWS($AF$2:AF202),$AF$2:$AF$1001,0),0), INDEX($AM$1004:$BM$1004,1,MATCH(COLUMNS($AM$1006:BE1006),$AM$1006:$BM$1006,0)))),"Fix")))</f>
        <v xml:space="preserve"> </v>
      </c>
      <c r="U202" s="4" t="str">
        <f ca="1">IF(OR(INDEX($AG$2:$AG$1001,MATCH(ROWS($AF$2:AF202),$AF$2:$AF$1001,0),1)&gt;=100000,INDEX($AM$1005:$BM$1005,1,MATCH(COLUMNS($AM$1006:BF1006),$AM$1006:$BM$1006,0))&gt;=100000), " ",IF(INDEX($AM$2:$BM$1001,MATCH(ROWS($AF$2:AF202),$AF$2:$AF$1001,0),MATCH(COLUMNS($AM$1006:BF1006),$AM$1006:$BM$1006,0)), HYPERLINK("#",""), HYPERLINK(CONCATENATE("#metadata!", ADDRESS(INDEX($AH$2:$AH$1001,MATCH(ROWS($AF$2:AF202),$AF$2:$AF$1001,0),0), INDEX($AM$1004:$BM$1004,1,MATCH(COLUMNS($AM$1006:BF1006),$AM$1006:$BM$1006,0)))),"Fix")))</f>
        <v xml:space="preserve"> </v>
      </c>
      <c r="V202" s="4" t="str">
        <f ca="1">IF(OR(INDEX($AG$2:$AG$1001,MATCH(ROWS($AF$2:AF202),$AF$2:$AF$1001,0),1)&gt;=100000,INDEX($AM$1005:$BM$1005,1,MATCH(COLUMNS($AM$1006:BG1006),$AM$1006:$BM$1006,0))&gt;=100000), " ",IF(INDEX($AM$2:$BM$1001,MATCH(ROWS($AF$2:AF202),$AF$2:$AF$1001,0),MATCH(COLUMNS($AM$1006:BG1006),$AM$1006:$BM$1006,0)), HYPERLINK("#",""), HYPERLINK(CONCATENATE("#metadata!", ADDRESS(INDEX($AH$2:$AH$1001,MATCH(ROWS($AF$2:AF202),$AF$2:$AF$1001,0),0), INDEX($AM$1004:$BM$1004,1,MATCH(COLUMNS($AM$1006:BG1006),$AM$1006:$BM$1006,0)))),"Fix")))</f>
        <v xml:space="preserve"> </v>
      </c>
      <c r="W202" s="4" t="str">
        <f ca="1">IF(OR(INDEX($AG$2:$AG$1001,MATCH(ROWS($AF$2:AF202),$AF$2:$AF$1001,0),1)&gt;=100000,INDEX($AM$1005:$BM$1005,1,MATCH(COLUMNS($AM$1006:BH1006),$AM$1006:$BM$1006,0))&gt;=100000), " ",IF(INDEX($AM$2:$BM$1001,MATCH(ROWS($AF$2:AF202),$AF$2:$AF$1001,0),MATCH(COLUMNS($AM$1006:BH1006),$AM$1006:$BM$1006,0)), HYPERLINK("#",""), HYPERLINK(CONCATENATE("#metadata!", ADDRESS(INDEX($AH$2:$AH$1001,MATCH(ROWS($AF$2:AF202),$AF$2:$AF$1001,0),0), INDEX($AM$1004:$BM$1004,1,MATCH(COLUMNS($AM$1006:BH1006),$AM$1006:$BM$1006,0)))),"Fix")))</f>
        <v xml:space="preserve"> </v>
      </c>
      <c r="X202" s="4" t="str">
        <f ca="1">IF(OR(INDEX($AG$2:$AG$1001,MATCH(ROWS($AF$2:AF202),$AF$2:$AF$1001,0),1)&gt;=100000,INDEX($AM$1005:$BM$1005,1,MATCH(COLUMNS($AM$1006:BI1006),$AM$1006:$BM$1006,0))&gt;=100000), " ",IF(INDEX($AM$2:$BM$1001,MATCH(ROWS($AF$2:AF202),$AF$2:$AF$1001,0),MATCH(COLUMNS($AM$1006:BI1006),$AM$1006:$BM$1006,0)), HYPERLINK("#",""), HYPERLINK(CONCATENATE("#metadata!", ADDRESS(INDEX($AH$2:$AH$1001,MATCH(ROWS($AF$2:AF202),$AF$2:$AF$1001,0),0), INDEX($AM$1004:$BM$1004,1,MATCH(COLUMNS($AM$1006:BI1006),$AM$1006:$BM$1006,0)))),"Fix")))</f>
        <v xml:space="preserve"> </v>
      </c>
      <c r="Y202" s="4" t="str">
        <f ca="1">IF(OR(INDEX($AG$2:$AG$1001,MATCH(ROWS($AF$2:AF202),$AF$2:$AF$1001,0),1)&gt;=100000,INDEX($AM$1005:$BM$1005,1,MATCH(COLUMNS($AM$1006:BJ1006),$AM$1006:$BM$1006,0))&gt;=100000), " ",IF(INDEX($AM$2:$BM$1001,MATCH(ROWS($AF$2:AF202),$AF$2:$AF$1001,0),MATCH(COLUMNS($AM$1006:BJ1006),$AM$1006:$BM$1006,0)), HYPERLINK("#",""), HYPERLINK(CONCATENATE("#metadata!", ADDRESS(INDEX($AH$2:$AH$1001,MATCH(ROWS($AF$2:AF202),$AF$2:$AF$1001,0),0), INDEX($AM$1004:$BM$1004,1,MATCH(COLUMNS($AM$1006:BJ1006),$AM$1006:$BM$1006,0)))),"Fix")))</f>
        <v xml:space="preserve"> </v>
      </c>
      <c r="Z202" s="4" t="str">
        <f ca="1">IF(OR(INDEX($AG$2:$AG$1001,MATCH(ROWS($AF$2:AF202),$AF$2:$AF$1001,0),1)&gt;=100000,INDEX($AM$1005:$BM$1005,1,MATCH(COLUMNS($AM$1006:BK1006),$AM$1006:$BM$1006,0))&gt;=100000), " ",IF(INDEX($AM$2:$BM$1001,MATCH(ROWS($AF$2:AF202),$AF$2:$AF$1001,0),MATCH(COLUMNS($AM$1006:BK1006),$AM$1006:$BM$1006,0)), HYPERLINK("#",""), HYPERLINK(CONCATENATE("#metadata!", ADDRESS(INDEX($AH$2:$AH$1001,MATCH(ROWS($AF$2:AF202),$AF$2:$AF$1001,0),0), INDEX($AM$1004:$BM$1004,1,MATCH(COLUMNS($AM$1006:BK1006),$AM$1006:$BM$1006,0)))),"Fix")))</f>
        <v xml:space="preserve"> </v>
      </c>
      <c r="AA202" s="4" t="str">
        <f ca="1">IF(OR(INDEX($AG$2:$AG$1001,MATCH(ROWS($AF$2:AF202),$AF$2:$AF$1001,0),1)&gt;=100000,INDEX($AM$1005:$BM$1005,1,MATCH(COLUMNS($AM$1006:BL1006),$AM$1006:$BM$1006,0))&gt;=100000), " ",IF(INDEX($AM$2:$BM$1001,MATCH(ROWS($AF$2:AF202),$AF$2:$AF$1001,0),MATCH(COLUMNS($AM$1006:BL1006),$AM$1006:$BM$1006,0)), HYPERLINK("#",""), HYPERLINK(CONCATENATE("#metadata!", ADDRESS(INDEX($AH$2:$AH$1001,MATCH(ROWS($AF$2:AF202),$AF$2:$AF$1001,0),0), INDEX($AM$1004:$BM$1004,1,MATCH(COLUMNS($AM$1006:BL1006),$AM$1006:$BM$1006,0)))),"Fix")))</f>
        <v xml:space="preserve"> </v>
      </c>
      <c r="AB202" s="4" t="str">
        <f ca="1">IF(OR(INDEX($AG$2:$AG$1001,MATCH(ROWS($AF$2:AF202),$AF$2:$AF$1001,0),1)&gt;=100000,INDEX($AM$1005:$BM$1005,1,MATCH(COLUMNS($AM$1006:BM1006),$AM$1006:$BM$1006,0))&gt;=100000), " ",IF(INDEX($AM$2:$BM$1001,MATCH(ROWS($AF$2:AF202),$AF$2:$AF$1001,0),MATCH(COLUMNS($AM$1006:BM1006),$AM$1006:$BM$1006,0)), HYPERLINK("#",""), HYPERLINK(CONCATENATE("#metadata!", ADDRESS(INDEX($AH$2:$AH$1001,MATCH(ROWS($AF$2:AF202),$AF$2:$AF$1001,0),0), INDEX($AM$1004:$BM$1004,1,MATCH(COLUMNS($AM$1006:BM1006),$AM$1006:$BM$1006,0)))),"Fix")))</f>
        <v xml:space="preserve"> </v>
      </c>
      <c r="AF202">
        <v>201</v>
      </c>
      <c r="AG202">
        <v>100202</v>
      </c>
      <c r="AH202">
        <v>202</v>
      </c>
      <c r="AI202" t="b">
        <f t="shared" si="3"/>
        <v>1</v>
      </c>
      <c r="AJ202" t="b">
        <f>COUNTBLANK(metadata!B202:AB202)=COLUMNS(metadata!B202:AB202)</f>
        <v>1</v>
      </c>
      <c r="AK202" t="str">
        <v/>
      </c>
      <c r="AM202" t="b">
        <f ca="1">AND(IF(metadata!B202="",FALSE,TRUE),COUNTIF(metadata!B:B, metadata!B202) = 1,NOT(ISERROR(SUMPRODUCT(SEARCH(MID(metadata!B202,ROW(INDIRECT("1:"&amp;LEN(metadata!B202))), 1),"0123456789abcdefghijklmnopqrstuvwxyzABCDEFGHIJKLMNOPQRSTUVWXYZ.")))))</f>
        <v>0</v>
      </c>
      <c r="AN202" t="b">
        <f ca="1">OR(AND(IF(metadata!C202="",FALSE,TRUE),OR(EXACT(metadata!C202,"missing: not collected"),EXACT(metadata!C202,"missing: not provided"),EXACT(metadata!C202,"missing: restricted access"))),AND(IF(metadata!C202="",FALSE,TRUE),AND(AND(IFERROR(INT(LEFT(metadata!C202,4))&gt;1900,FALSE),IFERROR(INT(LEFT(metadata!C202,4))&lt;=YEAR(NOW()),FALSE)), OR(MID(metadata!C202,5,1)="", AND(AND(MID(metadata!C202,5,1)="-",IFERROR(INT(MID(metadata!C202,6,1))&gt;=0,FALSE),IFERROR(INT(MID(metadata!C202,6,1))&lt;=1,FALSE),NOT(MID(metadata!C202,7,1)=""),IFERROR(INT(MID(metadata!C202,6,2))&gt;=1,FALSE),IFERROR(INT(MID(metadata!C202,6,2))&lt;=12,FALSE)), OR(MID(metadata!C202,8,1)="", AND(AND(MID(metadata!C202,8,1)="-",IFERROR(INT(MID(metadata!C202,9,1))&gt;=0,FALSE),IFERROR(INT(MID(metadata!C202,9,1))&lt;=3,FALSE),NOT(MID(metadata!C202,10,1)=""),IFERROR(INT(MID(metadata!C202,9,2))&gt;=1,FALSE),IFERROR(INT(MID(metadata!C202,9,2))&lt;=31,FALSE)), OR(MID(metadata!C202,11,1)="", AND(AND(MID(metadata!C202,11,1)=" ",IFERROR(INT(MID(metadata!C202,12,1))&gt;=0,FALSE),IFERROR(INT(MID(metadata!C202,12,1))&lt;=2,FALSE),NOT(MID(metadata!C202,13,1)=""),IFERROR(INT(MID(metadata!C202,12,2))&gt;=0,FALSE),IFERROR(INT(MID(metadata!C202,12,2))&lt;=23,FALSE)), OR(MID(metadata!C202,14,1)="", AND(AND(MID(metadata!C202,14,1)=":",IFERROR(INT(MID(metadata!C202,15,1))&gt;=0,FALSE),IFERROR(INT(MID(metadata!C202,15,1))&lt;=5,FALSE),NOT(MID(metadata!C202,16,1)=""),IFERROR(INT(MID(metadata!C202,15,2))&gt;=0,FALSE),IFERROR(INT(MID(metadata!C202,15,2))&lt;=59,FALSE)), OR(MID(metadata!C202,17,1)="", AND(AND(MID(metadata!C202,17,1)=":",IFERROR(INT(MID(metadata!C202,18,1))&gt;=0,FALSE),IFERROR(INT(MID(metadata!C202,18,1))&lt;=5,FALSE),NOT(MID(metadata!C202,19,1)=""),IFERROR(INT(MID(metadata!C202,18,2))&gt;=0,FALSE),IFERROR(INT(MID(metadata!C202,18,2))&lt;=59,FALSE)), LEN(metadata!C202)&lt;=19)))))))))))))</f>
        <v>0</v>
      </c>
      <c r="AO202" t="b">
        <f>AND(IF(metadata!D202="",FALSE,TRUE),EXACT(metadata!D202,"Not applicable"))</f>
        <v>0</v>
      </c>
      <c r="AP202" t="b">
        <f>IF(metadata!E202="",FALSE,TRUE)</f>
        <v>0</v>
      </c>
      <c r="AQ202" t="b">
        <f>OR(AND(IF(metadata!F202="",FALSE,TRUE),OR(EXACT(metadata!F202,"missing: not collected"),EXACT(metadata!F202,"missing: not provided"))),AND(IF(metadata!F202="",FALSE,TRUE),OR(EXACT(metadata!F202,"TRUE"),EXACT(metadata!F202,"FALSE"))))</f>
        <v>0</v>
      </c>
      <c r="AR202" t="b">
        <f>OR(AND(IF(metadata!G202="",FALSE,TRUE),OR(EXACT(metadata!G202,"missing: not collected"),EXACT(metadata!G202,"missing: not provided"),EXACT(metadata!G202,"missing: restricted access"))),AND(IF(metadata!G202="",FALSE,ISNUMBER(VALUE(metadata!G202))),metadata!G202&gt;=-413))</f>
        <v>0</v>
      </c>
      <c r="AS202" t="b">
        <f>AND(IF(metadata!H202="",FALSE,TRUE),EXACT(metadata!H202,"meters"))</f>
        <v>0</v>
      </c>
      <c r="AT202" t="b">
        <f>AND(IF(metadata!I202="",FALSE,TRUE),OR(EXACT(metadata!I202,"Host-associated"),EXACT(metadata!I202,"Free-living")))</f>
        <v>0</v>
      </c>
      <c r="AU202" t="b">
        <f>AND(IF(metadata!J202="",FALSE,TRUE),OR(EXACT(metadata!J202,"Animal"),EXACT(metadata!J202,"Fungus"),EXACT(metadata!J202,"Plant"),EXACT(metadata!J202,"Saline"),EXACT(metadata!J202,"Non-saline")))</f>
        <v>0</v>
      </c>
      <c r="AV202" t="b">
        <f>AND(IF(metadata!K202="",FALSE,TRUE),OR(EXACT(metadata!K202,"Plant secretion"),EXACT(metadata!K202,"Plant rhizosphere"),EXACT(metadata!K202,"Plant surface"),EXACT(metadata!K202,"Plant corpus"),EXACT(metadata!K202,"Fungus surface"),EXACT(metadata!K202,"Fungus corpus"),EXACT(metadata!K202,"Animal surface"),EXACT(metadata!K202,"Animal proximal gut"),EXACT(metadata!K202,"Animal corpus"),EXACT(metadata!K202,"Animal distal gut"),EXACT(metadata!K202,"Animal secretion"),EXACT(metadata!K202,"Sub-surface (non-saline)"),EXACT(metadata!K202,"Surface (non-saline)"),EXACT(metadata!K202,"Water (non-saline)"),EXACT(metadata!K202,"Soil (non-saline)"),EXACT(metadata!K202,"Aerosol (non-saline)"),EXACT(metadata!K202,"Sediment (non-saline)"),EXACT(metadata!K202,"Surface (saline)"),EXACT(metadata!K202,"Water (saline)"),EXACT(metadata!K202,"Hypersaline (saline)"),EXACT(metadata!K202,"Aerosol (saline)"),EXACT(metadata!K202,"Sediment (saline)")))</f>
        <v>0</v>
      </c>
      <c r="AW202" t="b">
        <f>IF(metadata!L202="",FALSE,TRUE)</f>
        <v>0</v>
      </c>
      <c r="AX202" t="b">
        <f>IF(metadata!M202="",FALSE,TRUE)</f>
        <v>0</v>
      </c>
      <c r="AY202" t="b">
        <f>IF(metadata!N202="",FALSE,TRUE)</f>
        <v>0</v>
      </c>
      <c r="AZ202" t="b">
        <f>OR(AND(IF(metadata!O202="",FALSE,TRUE),OR(EXACT(metadata!O202,"missing: not collected"),EXACT(metadata!O202,"missing: not provided"),EXACT(metadata!O202,"missing: restricted access"))),AND(IF(metadata!O202="",FALSE,TRUE),OR(EXACT(metadata!O202,"air"),EXACT(metadata!O202,"built environment"),EXACT(metadata!O202,"host-associated"),EXACT(metadata!O202,"human-associated"),EXACT(metadata!O202,"human-skin"),EXACT(metadata!O202,"human-oral"),EXACT(metadata!O202,"human-gut"),EXACT(metadata!O202,"human-vaginal"),EXACT(metadata!O202,"microbial mat/biofilm"),EXACT(metadata!O202,"misc environment"),EXACT(metadata!O202,"plant-associated"),EXACT(metadata!O202,"sediment"),EXACT(metadata!O202,"soil"),EXACT(metadata!O202,"wastewater/sludge"),EXACT(metadata!O202,"water"))))</f>
        <v>0</v>
      </c>
      <c r="BA202" t="b">
        <f>IF(metadata!P202="",FALSE,TRUE)</f>
        <v>0</v>
      </c>
      <c r="BB202" t="b">
        <f>IF(metadata!Q202="",FALSE,TRUE)</f>
        <v>0</v>
      </c>
      <c r="BC202" t="b">
        <f>OR(AND(IF(metadata!R202="",FALSE,TRUE),OR(EXACT(metadata!R202,"missing: not collected"),EXACT(metadata!R202,"missing: not provided"),EXACT(metadata!R202,"missing: restricted access"))),AND(IF(metadata!R202="",FALSE,ISNUMBER(VALUE(metadata!R202))),metadata!R202&gt;=-90,metadata!R202&lt;=90))</f>
        <v>0</v>
      </c>
      <c r="BD202" t="b">
        <f>AND(IF(metadata!S202="",FALSE,TRUE),EXACT(metadata!S202,"Decimal degrees"))</f>
        <v>0</v>
      </c>
      <c r="BE202" t="b">
        <f>OR(AND(IF(metadata!T202="",FALSE,TRUE),OR(EXACT(metadata!T202,"missing: not collected"),EXACT(metadata!T202,"missing: not provided"),EXACT(metadata!T202,"missing: restricted access"))),AND(IF(metadata!T202="",FALSE,ISNUMBER(VALUE(metadata!T202))),metadata!T202&gt;=-180,metadata!T202&lt;=180))</f>
        <v>0</v>
      </c>
      <c r="BF202" t="b">
        <f>AND(IF(metadata!U202="",FALSE,TRUE),EXACT(metadata!U202,"Decimal degrees"))</f>
        <v>0</v>
      </c>
      <c r="BG202" t="b">
        <f>IF(metadata!V202="",FALSE,TRUE)</f>
        <v>0</v>
      </c>
      <c r="BH202" t="b">
        <f>OR(AND(IF(metadata!W202="",FALSE,TRUE),OR(EXACT(metadata!W202,"missing: not collected"),EXACT(metadata!W202,"missing: not provided"),EXACT(metadata!W202,"missing: restricted access"))),AND(IF(metadata!W202="",FALSE,TRUE),OR(EXACT(metadata!W202,"TRUE"),EXACT(metadata!W202,"FALSE"))))</f>
        <v>0</v>
      </c>
      <c r="BI202" t="b">
        <f>AND(IF(metadata!X202="",FALSE,TRUE),EXACT(metadata!X202,"other"))</f>
        <v>0</v>
      </c>
      <c r="BJ202" t="b">
        <f>IF(metadata!Y202="",FALSE,TRUE)</f>
        <v>0</v>
      </c>
      <c r="BK202" t="b">
        <f>OR(AND(IF(metadata!Z202="",FALSE,TRUE),OR(EXACT(metadata!Z202,"missing: not collected"),EXACT(metadata!Z202,"missing: not provided"))),AND(IF(metadata!Z202="",FALSE,IF(ISERROR(INT(metadata!Z202)),FALSE,INT(metadata!Z202)=metadata!Z202)),metadata!Z202&gt;0))</f>
        <v>0</v>
      </c>
      <c r="BL202" t="b">
        <f>AND(IF(metadata!AA202="",FALSE,TRUE),EXACT(metadata!AA202,"Not applicable"))</f>
        <v>0</v>
      </c>
      <c r="BM202" t="b">
        <f>IF(metadata!AB202="",FALSE,TRUE)</f>
        <v>0</v>
      </c>
    </row>
    <row r="203" spans="1:65" x14ac:dyDescent="0.2">
      <c r="A203" s="5" t="str">
        <f ca="1">IF(B203=" "," ",HYPERLINK(CONCATENATE("#metadata!",ADDRESS(INDEX($AH$2:$AH$1001,MATCH(ROWS($AF$2:AF203),$AF$2:$AF$1001,0),0),1)),INDEX($AK$2:$AK$1001,MATCH(ROWS($AF$2:AF203),$AF$2:$AF$1001,0),0)))</f>
        <v xml:space="preserve"> </v>
      </c>
      <c r="B203" s="4" t="str">
        <f ca="1">IF(OR(INDEX($AG$2:$AG$1001,MATCH(ROWS($AF$2:AF203),$AF$2:$AF$1001,0),1)&gt;=100000,INDEX($AM$1005:$BM$1005,1,MATCH(COLUMNS($AM$1006:AM1006),$AM$1006:$BM$1006,0))&gt;=100000), " ",IF(INDEX($AM$2:$BM$1001,MATCH(ROWS($AF$2:AF203),$AF$2:$AF$1001,0),MATCH(COLUMNS($AM$1006:AM1006),$AM$1006:$BM$1006,0)), HYPERLINK("#",""), HYPERLINK(CONCATENATE("#metadata!", ADDRESS(INDEX($AH$2:$AH$1001,MATCH(ROWS($AF$2:AF203),$AF$2:$AF$1001,0),0), INDEX($AM$1004:$BM$1004,1,MATCH(COLUMNS($AM$1006:AM1006),$AM$1006:$BM$1006,0)))),"Fix")))</f>
        <v xml:space="preserve"> </v>
      </c>
      <c r="C203" s="4" t="str">
        <f ca="1">IF(OR(INDEX($AG$2:$AG$1001,MATCH(ROWS($AF$2:AF203),$AF$2:$AF$1001,0),1)&gt;=100000,INDEX($AM$1005:$BM$1005,1,MATCH(COLUMNS($AM$1006:AN1006),$AM$1006:$BM$1006,0))&gt;=100000), " ",IF(INDEX($AM$2:$BM$1001,MATCH(ROWS($AF$2:AF203),$AF$2:$AF$1001,0),MATCH(COLUMNS($AM$1006:AN1006),$AM$1006:$BM$1006,0)), HYPERLINK("#",""), HYPERLINK(CONCATENATE("#metadata!", ADDRESS(INDEX($AH$2:$AH$1001,MATCH(ROWS($AF$2:AF203),$AF$2:$AF$1001,0),0), INDEX($AM$1004:$BM$1004,1,MATCH(COLUMNS($AM$1006:AN1006),$AM$1006:$BM$1006,0)))),"Fix")))</f>
        <v xml:space="preserve"> </v>
      </c>
      <c r="D203" s="4" t="str">
        <f ca="1">IF(OR(INDEX($AG$2:$AG$1001,MATCH(ROWS($AF$2:AF203),$AF$2:$AF$1001,0),1)&gt;=100000,INDEX($AM$1005:$BM$1005,1,MATCH(COLUMNS($AM$1006:AO1006),$AM$1006:$BM$1006,0))&gt;=100000), " ",IF(INDEX($AM$2:$BM$1001,MATCH(ROWS($AF$2:AF203),$AF$2:$AF$1001,0),MATCH(COLUMNS($AM$1006:AO1006),$AM$1006:$BM$1006,0)), HYPERLINK("#",""), HYPERLINK(CONCATENATE("#metadata!", ADDRESS(INDEX($AH$2:$AH$1001,MATCH(ROWS($AF$2:AF203),$AF$2:$AF$1001,0),0), INDEX($AM$1004:$BM$1004,1,MATCH(COLUMNS($AM$1006:AO1006),$AM$1006:$BM$1006,0)))),"Fix")))</f>
        <v xml:space="preserve"> </v>
      </c>
      <c r="E203" s="4" t="str">
        <f ca="1">IF(OR(INDEX($AG$2:$AG$1001,MATCH(ROWS($AF$2:AF203),$AF$2:$AF$1001,0),1)&gt;=100000,INDEX($AM$1005:$BM$1005,1,MATCH(COLUMNS($AM$1006:AP1006),$AM$1006:$BM$1006,0))&gt;=100000), " ",IF(INDEX($AM$2:$BM$1001,MATCH(ROWS($AF$2:AF203),$AF$2:$AF$1001,0),MATCH(COLUMNS($AM$1006:AP1006),$AM$1006:$BM$1006,0)), HYPERLINK("#",""), HYPERLINK(CONCATENATE("#metadata!", ADDRESS(INDEX($AH$2:$AH$1001,MATCH(ROWS($AF$2:AF203),$AF$2:$AF$1001,0),0), INDEX($AM$1004:$BM$1004,1,MATCH(COLUMNS($AM$1006:AP1006),$AM$1006:$BM$1006,0)))),"Fix")))</f>
        <v xml:space="preserve"> </v>
      </c>
      <c r="F203" s="4" t="str">
        <f ca="1">IF(OR(INDEX($AG$2:$AG$1001,MATCH(ROWS($AF$2:AF203),$AF$2:$AF$1001,0),1)&gt;=100000,INDEX($AM$1005:$BM$1005,1,MATCH(COLUMNS($AM$1006:AQ1006),$AM$1006:$BM$1006,0))&gt;=100000), " ",IF(INDEX($AM$2:$BM$1001,MATCH(ROWS($AF$2:AF203),$AF$2:$AF$1001,0),MATCH(COLUMNS($AM$1006:AQ1006),$AM$1006:$BM$1006,0)), HYPERLINK("#",""), HYPERLINK(CONCATENATE("#metadata!", ADDRESS(INDEX($AH$2:$AH$1001,MATCH(ROWS($AF$2:AF203),$AF$2:$AF$1001,0),0), INDEX($AM$1004:$BM$1004,1,MATCH(COLUMNS($AM$1006:AQ1006),$AM$1006:$BM$1006,0)))),"Fix")))</f>
        <v xml:space="preserve"> </v>
      </c>
      <c r="G203" s="4" t="str">
        <f ca="1">IF(OR(INDEX($AG$2:$AG$1001,MATCH(ROWS($AF$2:AF203),$AF$2:$AF$1001,0),1)&gt;=100000,INDEX($AM$1005:$BM$1005,1,MATCH(COLUMNS($AM$1006:AR1006),$AM$1006:$BM$1006,0))&gt;=100000), " ",IF(INDEX($AM$2:$BM$1001,MATCH(ROWS($AF$2:AF203),$AF$2:$AF$1001,0),MATCH(COLUMNS($AM$1006:AR1006),$AM$1006:$BM$1006,0)), HYPERLINK("#",""), HYPERLINK(CONCATENATE("#metadata!", ADDRESS(INDEX($AH$2:$AH$1001,MATCH(ROWS($AF$2:AF203),$AF$2:$AF$1001,0),0), INDEX($AM$1004:$BM$1004,1,MATCH(COLUMNS($AM$1006:AR1006),$AM$1006:$BM$1006,0)))),"Fix")))</f>
        <v xml:space="preserve"> </v>
      </c>
      <c r="H203" s="4" t="str">
        <f ca="1">IF(OR(INDEX($AG$2:$AG$1001,MATCH(ROWS($AF$2:AF203),$AF$2:$AF$1001,0),1)&gt;=100000,INDEX($AM$1005:$BM$1005,1,MATCH(COLUMNS($AM$1006:AS1006),$AM$1006:$BM$1006,0))&gt;=100000), " ",IF(INDEX($AM$2:$BM$1001,MATCH(ROWS($AF$2:AF203),$AF$2:$AF$1001,0),MATCH(COLUMNS($AM$1006:AS1006),$AM$1006:$BM$1006,0)), HYPERLINK("#",""), HYPERLINK(CONCATENATE("#metadata!", ADDRESS(INDEX($AH$2:$AH$1001,MATCH(ROWS($AF$2:AF203),$AF$2:$AF$1001,0),0), INDEX($AM$1004:$BM$1004,1,MATCH(COLUMNS($AM$1006:AS1006),$AM$1006:$BM$1006,0)))),"Fix")))</f>
        <v xml:space="preserve"> </v>
      </c>
      <c r="I203" s="4" t="str">
        <f ca="1">IF(OR(INDEX($AG$2:$AG$1001,MATCH(ROWS($AF$2:AF203),$AF$2:$AF$1001,0),1)&gt;=100000,INDEX($AM$1005:$BM$1005,1,MATCH(COLUMNS($AM$1006:AT1006),$AM$1006:$BM$1006,0))&gt;=100000), " ",IF(INDEX($AM$2:$BM$1001,MATCH(ROWS($AF$2:AF203),$AF$2:$AF$1001,0),MATCH(COLUMNS($AM$1006:AT1006),$AM$1006:$BM$1006,0)), HYPERLINK("#",""), HYPERLINK(CONCATENATE("#metadata!", ADDRESS(INDEX($AH$2:$AH$1001,MATCH(ROWS($AF$2:AF203),$AF$2:$AF$1001,0),0), INDEX($AM$1004:$BM$1004,1,MATCH(COLUMNS($AM$1006:AT1006),$AM$1006:$BM$1006,0)))),"Fix")))</f>
        <v xml:space="preserve"> </v>
      </c>
      <c r="J203" s="4" t="str">
        <f ca="1">IF(OR(INDEX($AG$2:$AG$1001,MATCH(ROWS($AF$2:AF203),$AF$2:$AF$1001,0),1)&gt;=100000,INDEX($AM$1005:$BM$1005,1,MATCH(COLUMNS($AM$1006:AU1006),$AM$1006:$BM$1006,0))&gt;=100000), " ",IF(INDEX($AM$2:$BM$1001,MATCH(ROWS($AF$2:AF203),$AF$2:$AF$1001,0),MATCH(COLUMNS($AM$1006:AU1006),$AM$1006:$BM$1006,0)), HYPERLINK("#",""), HYPERLINK(CONCATENATE("#metadata!", ADDRESS(INDEX($AH$2:$AH$1001,MATCH(ROWS($AF$2:AF203),$AF$2:$AF$1001,0),0), INDEX($AM$1004:$BM$1004,1,MATCH(COLUMNS($AM$1006:AU1006),$AM$1006:$BM$1006,0)))),"Fix")))</f>
        <v xml:space="preserve"> </v>
      </c>
      <c r="K203" s="4" t="str">
        <f ca="1">IF(OR(INDEX($AG$2:$AG$1001,MATCH(ROWS($AF$2:AF203),$AF$2:$AF$1001,0),1)&gt;=100000,INDEX($AM$1005:$BM$1005,1,MATCH(COLUMNS($AM$1006:AV1006),$AM$1006:$BM$1006,0))&gt;=100000), " ",IF(INDEX($AM$2:$BM$1001,MATCH(ROWS($AF$2:AF203),$AF$2:$AF$1001,0),MATCH(COLUMNS($AM$1006:AV1006),$AM$1006:$BM$1006,0)), HYPERLINK("#",""), HYPERLINK(CONCATENATE("#metadata!", ADDRESS(INDEX($AH$2:$AH$1001,MATCH(ROWS($AF$2:AF203),$AF$2:$AF$1001,0),0), INDEX($AM$1004:$BM$1004,1,MATCH(COLUMNS($AM$1006:AV1006),$AM$1006:$BM$1006,0)))),"Fix")))</f>
        <v xml:space="preserve"> </v>
      </c>
      <c r="L203" s="4" t="str">
        <f ca="1">IF(OR(INDEX($AG$2:$AG$1001,MATCH(ROWS($AF$2:AF203),$AF$2:$AF$1001,0),1)&gt;=100000,INDEX($AM$1005:$BM$1005,1,MATCH(COLUMNS($AM$1006:AW1006),$AM$1006:$BM$1006,0))&gt;=100000), " ",IF(INDEX($AM$2:$BM$1001,MATCH(ROWS($AF$2:AF203),$AF$2:$AF$1001,0),MATCH(COLUMNS($AM$1006:AW1006),$AM$1006:$BM$1006,0)), HYPERLINK("#",""), HYPERLINK(CONCATENATE("#metadata!", ADDRESS(INDEX($AH$2:$AH$1001,MATCH(ROWS($AF$2:AF203),$AF$2:$AF$1001,0),0), INDEX($AM$1004:$BM$1004,1,MATCH(COLUMNS($AM$1006:AW1006),$AM$1006:$BM$1006,0)))),"Fix")))</f>
        <v xml:space="preserve"> </v>
      </c>
      <c r="M203" s="4" t="str">
        <f ca="1">IF(OR(INDEX($AG$2:$AG$1001,MATCH(ROWS($AF$2:AF203),$AF$2:$AF$1001,0),1)&gt;=100000,INDEX($AM$1005:$BM$1005,1,MATCH(COLUMNS($AM$1006:AX1006),$AM$1006:$BM$1006,0))&gt;=100000), " ",IF(INDEX($AM$2:$BM$1001,MATCH(ROWS($AF$2:AF203),$AF$2:$AF$1001,0),MATCH(COLUMNS($AM$1006:AX1006),$AM$1006:$BM$1006,0)), HYPERLINK("#",""), HYPERLINK(CONCATENATE("#metadata!", ADDRESS(INDEX($AH$2:$AH$1001,MATCH(ROWS($AF$2:AF203),$AF$2:$AF$1001,0),0), INDEX($AM$1004:$BM$1004,1,MATCH(COLUMNS($AM$1006:AX1006),$AM$1006:$BM$1006,0)))),"Fix")))</f>
        <v xml:space="preserve"> </v>
      </c>
      <c r="N203" s="4" t="str">
        <f ca="1">IF(OR(INDEX($AG$2:$AG$1001,MATCH(ROWS($AF$2:AF203),$AF$2:$AF$1001,0),1)&gt;=100000,INDEX($AM$1005:$BM$1005,1,MATCH(COLUMNS($AM$1006:AY1006),$AM$1006:$BM$1006,0))&gt;=100000), " ",IF(INDEX($AM$2:$BM$1001,MATCH(ROWS($AF$2:AF203),$AF$2:$AF$1001,0),MATCH(COLUMNS($AM$1006:AY1006),$AM$1006:$BM$1006,0)), HYPERLINK("#",""), HYPERLINK(CONCATENATE("#metadata!", ADDRESS(INDEX($AH$2:$AH$1001,MATCH(ROWS($AF$2:AF203),$AF$2:$AF$1001,0),0), INDEX($AM$1004:$BM$1004,1,MATCH(COLUMNS($AM$1006:AY1006),$AM$1006:$BM$1006,0)))),"Fix")))</f>
        <v xml:space="preserve"> </v>
      </c>
      <c r="O203" s="4" t="str">
        <f ca="1">IF(OR(INDEX($AG$2:$AG$1001,MATCH(ROWS($AF$2:AF203),$AF$2:$AF$1001,0),1)&gt;=100000,INDEX($AM$1005:$BM$1005,1,MATCH(COLUMNS($AM$1006:AZ1006),$AM$1006:$BM$1006,0))&gt;=100000), " ",IF(INDEX($AM$2:$BM$1001,MATCH(ROWS($AF$2:AF203),$AF$2:$AF$1001,0),MATCH(COLUMNS($AM$1006:AZ1006),$AM$1006:$BM$1006,0)), HYPERLINK("#",""), HYPERLINK(CONCATENATE("#metadata!", ADDRESS(INDEX($AH$2:$AH$1001,MATCH(ROWS($AF$2:AF203),$AF$2:$AF$1001,0),0), INDEX($AM$1004:$BM$1004,1,MATCH(COLUMNS($AM$1006:AZ1006),$AM$1006:$BM$1006,0)))),"Fix")))</f>
        <v xml:space="preserve"> </v>
      </c>
      <c r="P203" s="4" t="str">
        <f ca="1">IF(OR(INDEX($AG$2:$AG$1001,MATCH(ROWS($AF$2:AF203),$AF$2:$AF$1001,0),1)&gt;=100000,INDEX($AM$1005:$BM$1005,1,MATCH(COLUMNS($AM$1006:BA1006),$AM$1006:$BM$1006,0))&gt;=100000), " ",IF(INDEX($AM$2:$BM$1001,MATCH(ROWS($AF$2:AF203),$AF$2:$AF$1001,0),MATCH(COLUMNS($AM$1006:BA1006),$AM$1006:$BM$1006,0)), HYPERLINK("#",""), HYPERLINK(CONCATENATE("#metadata!", ADDRESS(INDEX($AH$2:$AH$1001,MATCH(ROWS($AF$2:AF203),$AF$2:$AF$1001,0),0), INDEX($AM$1004:$BM$1004,1,MATCH(COLUMNS($AM$1006:BA1006),$AM$1006:$BM$1006,0)))),"Fix")))</f>
        <v xml:space="preserve"> </v>
      </c>
      <c r="Q203" s="4" t="str">
        <f ca="1">IF(OR(INDEX($AG$2:$AG$1001,MATCH(ROWS($AF$2:AF203),$AF$2:$AF$1001,0),1)&gt;=100000,INDEX($AM$1005:$BM$1005,1,MATCH(COLUMNS($AM$1006:BB1006),$AM$1006:$BM$1006,0))&gt;=100000), " ",IF(INDEX($AM$2:$BM$1001,MATCH(ROWS($AF$2:AF203),$AF$2:$AF$1001,0),MATCH(COLUMNS($AM$1006:BB1006),$AM$1006:$BM$1006,0)), HYPERLINK("#",""), HYPERLINK(CONCATENATE("#metadata!", ADDRESS(INDEX($AH$2:$AH$1001,MATCH(ROWS($AF$2:AF203),$AF$2:$AF$1001,0),0), INDEX($AM$1004:$BM$1004,1,MATCH(COLUMNS($AM$1006:BB1006),$AM$1006:$BM$1006,0)))),"Fix")))</f>
        <v xml:space="preserve"> </v>
      </c>
      <c r="R203" s="4" t="str">
        <f ca="1">IF(OR(INDEX($AG$2:$AG$1001,MATCH(ROWS($AF$2:AF203),$AF$2:$AF$1001,0),1)&gt;=100000,INDEX($AM$1005:$BM$1005,1,MATCH(COLUMNS($AM$1006:BC1006),$AM$1006:$BM$1006,0))&gt;=100000), " ",IF(INDEX($AM$2:$BM$1001,MATCH(ROWS($AF$2:AF203),$AF$2:$AF$1001,0),MATCH(COLUMNS($AM$1006:BC1006),$AM$1006:$BM$1006,0)), HYPERLINK("#",""), HYPERLINK(CONCATENATE("#metadata!", ADDRESS(INDEX($AH$2:$AH$1001,MATCH(ROWS($AF$2:AF203),$AF$2:$AF$1001,0),0), INDEX($AM$1004:$BM$1004,1,MATCH(COLUMNS($AM$1006:BC1006),$AM$1006:$BM$1006,0)))),"Fix")))</f>
        <v xml:space="preserve"> </v>
      </c>
      <c r="S203" s="4" t="str">
        <f ca="1">IF(OR(INDEX($AG$2:$AG$1001,MATCH(ROWS($AF$2:AF203),$AF$2:$AF$1001,0),1)&gt;=100000,INDEX($AM$1005:$BM$1005,1,MATCH(COLUMNS($AM$1006:BD1006),$AM$1006:$BM$1006,0))&gt;=100000), " ",IF(INDEX($AM$2:$BM$1001,MATCH(ROWS($AF$2:AF203),$AF$2:$AF$1001,0),MATCH(COLUMNS($AM$1006:BD1006),$AM$1006:$BM$1006,0)), HYPERLINK("#",""), HYPERLINK(CONCATENATE("#metadata!", ADDRESS(INDEX($AH$2:$AH$1001,MATCH(ROWS($AF$2:AF203),$AF$2:$AF$1001,0),0), INDEX($AM$1004:$BM$1004,1,MATCH(COLUMNS($AM$1006:BD1006),$AM$1006:$BM$1006,0)))),"Fix")))</f>
        <v xml:space="preserve"> </v>
      </c>
      <c r="T203" s="4" t="str">
        <f ca="1">IF(OR(INDEX($AG$2:$AG$1001,MATCH(ROWS($AF$2:AF203),$AF$2:$AF$1001,0),1)&gt;=100000,INDEX($AM$1005:$BM$1005,1,MATCH(COLUMNS($AM$1006:BE1006),$AM$1006:$BM$1006,0))&gt;=100000), " ",IF(INDEX($AM$2:$BM$1001,MATCH(ROWS($AF$2:AF203),$AF$2:$AF$1001,0),MATCH(COLUMNS($AM$1006:BE1006),$AM$1006:$BM$1006,0)), HYPERLINK("#",""), HYPERLINK(CONCATENATE("#metadata!", ADDRESS(INDEX($AH$2:$AH$1001,MATCH(ROWS($AF$2:AF203),$AF$2:$AF$1001,0),0), INDEX($AM$1004:$BM$1004,1,MATCH(COLUMNS($AM$1006:BE1006),$AM$1006:$BM$1006,0)))),"Fix")))</f>
        <v xml:space="preserve"> </v>
      </c>
      <c r="U203" s="4" t="str">
        <f ca="1">IF(OR(INDEX($AG$2:$AG$1001,MATCH(ROWS($AF$2:AF203),$AF$2:$AF$1001,0),1)&gt;=100000,INDEX($AM$1005:$BM$1005,1,MATCH(COLUMNS($AM$1006:BF1006),$AM$1006:$BM$1006,0))&gt;=100000), " ",IF(INDEX($AM$2:$BM$1001,MATCH(ROWS($AF$2:AF203),$AF$2:$AF$1001,0),MATCH(COLUMNS($AM$1006:BF1006),$AM$1006:$BM$1006,0)), HYPERLINK("#",""), HYPERLINK(CONCATENATE("#metadata!", ADDRESS(INDEX($AH$2:$AH$1001,MATCH(ROWS($AF$2:AF203),$AF$2:$AF$1001,0),0), INDEX($AM$1004:$BM$1004,1,MATCH(COLUMNS($AM$1006:BF1006),$AM$1006:$BM$1006,0)))),"Fix")))</f>
        <v xml:space="preserve"> </v>
      </c>
      <c r="V203" s="4" t="str">
        <f ca="1">IF(OR(INDEX($AG$2:$AG$1001,MATCH(ROWS($AF$2:AF203),$AF$2:$AF$1001,0),1)&gt;=100000,INDEX($AM$1005:$BM$1005,1,MATCH(COLUMNS($AM$1006:BG1006),$AM$1006:$BM$1006,0))&gt;=100000), " ",IF(INDEX($AM$2:$BM$1001,MATCH(ROWS($AF$2:AF203),$AF$2:$AF$1001,0),MATCH(COLUMNS($AM$1006:BG1006),$AM$1006:$BM$1006,0)), HYPERLINK("#",""), HYPERLINK(CONCATENATE("#metadata!", ADDRESS(INDEX($AH$2:$AH$1001,MATCH(ROWS($AF$2:AF203),$AF$2:$AF$1001,0),0), INDEX($AM$1004:$BM$1004,1,MATCH(COLUMNS($AM$1006:BG1006),$AM$1006:$BM$1006,0)))),"Fix")))</f>
        <v xml:space="preserve"> </v>
      </c>
      <c r="W203" s="4" t="str">
        <f ca="1">IF(OR(INDEX($AG$2:$AG$1001,MATCH(ROWS($AF$2:AF203),$AF$2:$AF$1001,0),1)&gt;=100000,INDEX($AM$1005:$BM$1005,1,MATCH(COLUMNS($AM$1006:BH1006),$AM$1006:$BM$1006,0))&gt;=100000), " ",IF(INDEX($AM$2:$BM$1001,MATCH(ROWS($AF$2:AF203),$AF$2:$AF$1001,0),MATCH(COLUMNS($AM$1006:BH1006),$AM$1006:$BM$1006,0)), HYPERLINK("#",""), HYPERLINK(CONCATENATE("#metadata!", ADDRESS(INDEX($AH$2:$AH$1001,MATCH(ROWS($AF$2:AF203),$AF$2:$AF$1001,0),0), INDEX($AM$1004:$BM$1004,1,MATCH(COLUMNS($AM$1006:BH1006),$AM$1006:$BM$1006,0)))),"Fix")))</f>
        <v xml:space="preserve"> </v>
      </c>
      <c r="X203" s="4" t="str">
        <f ca="1">IF(OR(INDEX($AG$2:$AG$1001,MATCH(ROWS($AF$2:AF203),$AF$2:$AF$1001,0),1)&gt;=100000,INDEX($AM$1005:$BM$1005,1,MATCH(COLUMNS($AM$1006:BI1006),$AM$1006:$BM$1006,0))&gt;=100000), " ",IF(INDEX($AM$2:$BM$1001,MATCH(ROWS($AF$2:AF203),$AF$2:$AF$1001,0),MATCH(COLUMNS($AM$1006:BI1006),$AM$1006:$BM$1006,0)), HYPERLINK("#",""), HYPERLINK(CONCATENATE("#metadata!", ADDRESS(INDEX($AH$2:$AH$1001,MATCH(ROWS($AF$2:AF203),$AF$2:$AF$1001,0),0), INDEX($AM$1004:$BM$1004,1,MATCH(COLUMNS($AM$1006:BI1006),$AM$1006:$BM$1006,0)))),"Fix")))</f>
        <v xml:space="preserve"> </v>
      </c>
      <c r="Y203" s="4" t="str">
        <f ca="1">IF(OR(INDEX($AG$2:$AG$1001,MATCH(ROWS($AF$2:AF203),$AF$2:$AF$1001,0),1)&gt;=100000,INDEX($AM$1005:$BM$1005,1,MATCH(COLUMNS($AM$1006:BJ1006),$AM$1006:$BM$1006,0))&gt;=100000), " ",IF(INDEX($AM$2:$BM$1001,MATCH(ROWS($AF$2:AF203),$AF$2:$AF$1001,0),MATCH(COLUMNS($AM$1006:BJ1006),$AM$1006:$BM$1006,0)), HYPERLINK("#",""), HYPERLINK(CONCATENATE("#metadata!", ADDRESS(INDEX($AH$2:$AH$1001,MATCH(ROWS($AF$2:AF203),$AF$2:$AF$1001,0),0), INDEX($AM$1004:$BM$1004,1,MATCH(COLUMNS($AM$1006:BJ1006),$AM$1006:$BM$1006,0)))),"Fix")))</f>
        <v xml:space="preserve"> </v>
      </c>
      <c r="Z203" s="4" t="str">
        <f ca="1">IF(OR(INDEX($AG$2:$AG$1001,MATCH(ROWS($AF$2:AF203),$AF$2:$AF$1001,0),1)&gt;=100000,INDEX($AM$1005:$BM$1005,1,MATCH(COLUMNS($AM$1006:BK1006),$AM$1006:$BM$1006,0))&gt;=100000), " ",IF(INDEX($AM$2:$BM$1001,MATCH(ROWS($AF$2:AF203),$AF$2:$AF$1001,0),MATCH(COLUMNS($AM$1006:BK1006),$AM$1006:$BM$1006,0)), HYPERLINK("#",""), HYPERLINK(CONCATENATE("#metadata!", ADDRESS(INDEX($AH$2:$AH$1001,MATCH(ROWS($AF$2:AF203),$AF$2:$AF$1001,0),0), INDEX($AM$1004:$BM$1004,1,MATCH(COLUMNS($AM$1006:BK1006),$AM$1006:$BM$1006,0)))),"Fix")))</f>
        <v xml:space="preserve"> </v>
      </c>
      <c r="AA203" s="4" t="str">
        <f ca="1">IF(OR(INDEX($AG$2:$AG$1001,MATCH(ROWS($AF$2:AF203),$AF$2:$AF$1001,0),1)&gt;=100000,INDEX($AM$1005:$BM$1005,1,MATCH(COLUMNS($AM$1006:BL1006),$AM$1006:$BM$1006,0))&gt;=100000), " ",IF(INDEX($AM$2:$BM$1001,MATCH(ROWS($AF$2:AF203),$AF$2:$AF$1001,0),MATCH(COLUMNS($AM$1006:BL1006),$AM$1006:$BM$1006,0)), HYPERLINK("#",""), HYPERLINK(CONCATENATE("#metadata!", ADDRESS(INDEX($AH$2:$AH$1001,MATCH(ROWS($AF$2:AF203),$AF$2:$AF$1001,0),0), INDEX($AM$1004:$BM$1004,1,MATCH(COLUMNS($AM$1006:BL1006),$AM$1006:$BM$1006,0)))),"Fix")))</f>
        <v xml:space="preserve"> </v>
      </c>
      <c r="AB203" s="4" t="str">
        <f ca="1">IF(OR(INDEX($AG$2:$AG$1001,MATCH(ROWS($AF$2:AF203),$AF$2:$AF$1001,0),1)&gt;=100000,INDEX($AM$1005:$BM$1005,1,MATCH(COLUMNS($AM$1006:BM1006),$AM$1006:$BM$1006,0))&gt;=100000), " ",IF(INDEX($AM$2:$BM$1001,MATCH(ROWS($AF$2:AF203),$AF$2:$AF$1001,0),MATCH(COLUMNS($AM$1006:BM1006),$AM$1006:$BM$1006,0)), HYPERLINK("#",""), HYPERLINK(CONCATENATE("#metadata!", ADDRESS(INDEX($AH$2:$AH$1001,MATCH(ROWS($AF$2:AF203),$AF$2:$AF$1001,0),0), INDEX($AM$1004:$BM$1004,1,MATCH(COLUMNS($AM$1006:BM1006),$AM$1006:$BM$1006,0)))),"Fix")))</f>
        <v xml:space="preserve"> </v>
      </c>
      <c r="AF203">
        <v>202</v>
      </c>
      <c r="AG203">
        <v>100203</v>
      </c>
      <c r="AH203">
        <v>203</v>
      </c>
      <c r="AI203" t="b">
        <f t="shared" si="3"/>
        <v>1</v>
      </c>
      <c r="AJ203" t="b">
        <f>COUNTBLANK(metadata!B203:AB203)=COLUMNS(metadata!B203:AB203)</f>
        <v>1</v>
      </c>
      <c r="AK203" t="str">
        <v/>
      </c>
      <c r="AM203" t="b">
        <f ca="1">AND(IF(metadata!B203="",FALSE,TRUE),COUNTIF(metadata!B:B, metadata!B203) = 1,NOT(ISERROR(SUMPRODUCT(SEARCH(MID(metadata!B203,ROW(INDIRECT("1:"&amp;LEN(metadata!B203))), 1),"0123456789abcdefghijklmnopqrstuvwxyzABCDEFGHIJKLMNOPQRSTUVWXYZ.")))))</f>
        <v>0</v>
      </c>
      <c r="AN203" t="b">
        <f ca="1">OR(AND(IF(metadata!C203="",FALSE,TRUE),OR(EXACT(metadata!C203,"missing: not collected"),EXACT(metadata!C203,"missing: not provided"),EXACT(metadata!C203,"missing: restricted access"))),AND(IF(metadata!C203="",FALSE,TRUE),AND(AND(IFERROR(INT(LEFT(metadata!C203,4))&gt;1900,FALSE),IFERROR(INT(LEFT(metadata!C203,4))&lt;=YEAR(NOW()),FALSE)), OR(MID(metadata!C203,5,1)="", AND(AND(MID(metadata!C203,5,1)="-",IFERROR(INT(MID(metadata!C203,6,1))&gt;=0,FALSE),IFERROR(INT(MID(metadata!C203,6,1))&lt;=1,FALSE),NOT(MID(metadata!C203,7,1)=""),IFERROR(INT(MID(metadata!C203,6,2))&gt;=1,FALSE),IFERROR(INT(MID(metadata!C203,6,2))&lt;=12,FALSE)), OR(MID(metadata!C203,8,1)="", AND(AND(MID(metadata!C203,8,1)="-",IFERROR(INT(MID(metadata!C203,9,1))&gt;=0,FALSE),IFERROR(INT(MID(metadata!C203,9,1))&lt;=3,FALSE),NOT(MID(metadata!C203,10,1)=""),IFERROR(INT(MID(metadata!C203,9,2))&gt;=1,FALSE),IFERROR(INT(MID(metadata!C203,9,2))&lt;=31,FALSE)), OR(MID(metadata!C203,11,1)="", AND(AND(MID(metadata!C203,11,1)=" ",IFERROR(INT(MID(metadata!C203,12,1))&gt;=0,FALSE),IFERROR(INT(MID(metadata!C203,12,1))&lt;=2,FALSE),NOT(MID(metadata!C203,13,1)=""),IFERROR(INT(MID(metadata!C203,12,2))&gt;=0,FALSE),IFERROR(INT(MID(metadata!C203,12,2))&lt;=23,FALSE)), OR(MID(metadata!C203,14,1)="", AND(AND(MID(metadata!C203,14,1)=":",IFERROR(INT(MID(metadata!C203,15,1))&gt;=0,FALSE),IFERROR(INT(MID(metadata!C203,15,1))&lt;=5,FALSE),NOT(MID(metadata!C203,16,1)=""),IFERROR(INT(MID(metadata!C203,15,2))&gt;=0,FALSE),IFERROR(INT(MID(metadata!C203,15,2))&lt;=59,FALSE)), OR(MID(metadata!C203,17,1)="", AND(AND(MID(metadata!C203,17,1)=":",IFERROR(INT(MID(metadata!C203,18,1))&gt;=0,FALSE),IFERROR(INT(MID(metadata!C203,18,1))&lt;=5,FALSE),NOT(MID(metadata!C203,19,1)=""),IFERROR(INT(MID(metadata!C203,18,2))&gt;=0,FALSE),IFERROR(INT(MID(metadata!C203,18,2))&lt;=59,FALSE)), LEN(metadata!C203)&lt;=19)))))))))))))</f>
        <v>0</v>
      </c>
      <c r="AO203" t="b">
        <f>AND(IF(metadata!D203="",FALSE,TRUE),EXACT(metadata!D203,"Not applicable"))</f>
        <v>0</v>
      </c>
      <c r="AP203" t="b">
        <f>IF(metadata!E203="",FALSE,TRUE)</f>
        <v>0</v>
      </c>
      <c r="AQ203" t="b">
        <f>OR(AND(IF(metadata!F203="",FALSE,TRUE),OR(EXACT(metadata!F203,"missing: not collected"),EXACT(metadata!F203,"missing: not provided"))),AND(IF(metadata!F203="",FALSE,TRUE),OR(EXACT(metadata!F203,"TRUE"),EXACT(metadata!F203,"FALSE"))))</f>
        <v>0</v>
      </c>
      <c r="AR203" t="b">
        <f>OR(AND(IF(metadata!G203="",FALSE,TRUE),OR(EXACT(metadata!G203,"missing: not collected"),EXACT(metadata!G203,"missing: not provided"),EXACT(metadata!G203,"missing: restricted access"))),AND(IF(metadata!G203="",FALSE,ISNUMBER(VALUE(metadata!G203))),metadata!G203&gt;=-413))</f>
        <v>0</v>
      </c>
      <c r="AS203" t="b">
        <f>AND(IF(metadata!H203="",FALSE,TRUE),EXACT(metadata!H203,"meters"))</f>
        <v>0</v>
      </c>
      <c r="AT203" t="b">
        <f>AND(IF(metadata!I203="",FALSE,TRUE),OR(EXACT(metadata!I203,"Host-associated"),EXACT(metadata!I203,"Free-living")))</f>
        <v>0</v>
      </c>
      <c r="AU203" t="b">
        <f>AND(IF(metadata!J203="",FALSE,TRUE),OR(EXACT(metadata!J203,"Animal"),EXACT(metadata!J203,"Fungus"),EXACT(metadata!J203,"Plant"),EXACT(metadata!J203,"Saline"),EXACT(metadata!J203,"Non-saline")))</f>
        <v>0</v>
      </c>
      <c r="AV203" t="b">
        <f>AND(IF(metadata!K203="",FALSE,TRUE),OR(EXACT(metadata!K203,"Plant secretion"),EXACT(metadata!K203,"Plant rhizosphere"),EXACT(metadata!K203,"Plant surface"),EXACT(metadata!K203,"Plant corpus"),EXACT(metadata!K203,"Fungus surface"),EXACT(metadata!K203,"Fungus corpus"),EXACT(metadata!K203,"Animal surface"),EXACT(metadata!K203,"Animal proximal gut"),EXACT(metadata!K203,"Animal corpus"),EXACT(metadata!K203,"Animal distal gut"),EXACT(metadata!K203,"Animal secretion"),EXACT(metadata!K203,"Sub-surface (non-saline)"),EXACT(metadata!K203,"Surface (non-saline)"),EXACT(metadata!K203,"Water (non-saline)"),EXACT(metadata!K203,"Soil (non-saline)"),EXACT(metadata!K203,"Aerosol (non-saline)"),EXACT(metadata!K203,"Sediment (non-saline)"),EXACT(metadata!K203,"Surface (saline)"),EXACT(metadata!K203,"Water (saline)"),EXACT(metadata!K203,"Hypersaline (saline)"),EXACT(metadata!K203,"Aerosol (saline)"),EXACT(metadata!K203,"Sediment (saline)")))</f>
        <v>0</v>
      </c>
      <c r="AW203" t="b">
        <f>IF(metadata!L203="",FALSE,TRUE)</f>
        <v>0</v>
      </c>
      <c r="AX203" t="b">
        <f>IF(metadata!M203="",FALSE,TRUE)</f>
        <v>0</v>
      </c>
      <c r="AY203" t="b">
        <f>IF(metadata!N203="",FALSE,TRUE)</f>
        <v>0</v>
      </c>
      <c r="AZ203" t="b">
        <f>OR(AND(IF(metadata!O203="",FALSE,TRUE),OR(EXACT(metadata!O203,"missing: not collected"),EXACT(metadata!O203,"missing: not provided"),EXACT(metadata!O203,"missing: restricted access"))),AND(IF(metadata!O203="",FALSE,TRUE),OR(EXACT(metadata!O203,"air"),EXACT(metadata!O203,"built environment"),EXACT(metadata!O203,"host-associated"),EXACT(metadata!O203,"human-associated"),EXACT(metadata!O203,"human-skin"),EXACT(metadata!O203,"human-oral"),EXACT(metadata!O203,"human-gut"),EXACT(metadata!O203,"human-vaginal"),EXACT(metadata!O203,"microbial mat/biofilm"),EXACT(metadata!O203,"misc environment"),EXACT(metadata!O203,"plant-associated"),EXACT(metadata!O203,"sediment"),EXACT(metadata!O203,"soil"),EXACT(metadata!O203,"wastewater/sludge"),EXACT(metadata!O203,"water"))))</f>
        <v>0</v>
      </c>
      <c r="BA203" t="b">
        <f>IF(metadata!P203="",FALSE,TRUE)</f>
        <v>0</v>
      </c>
      <c r="BB203" t="b">
        <f>IF(metadata!Q203="",FALSE,TRUE)</f>
        <v>0</v>
      </c>
      <c r="BC203" t="b">
        <f>OR(AND(IF(metadata!R203="",FALSE,TRUE),OR(EXACT(metadata!R203,"missing: not collected"),EXACT(metadata!R203,"missing: not provided"),EXACT(metadata!R203,"missing: restricted access"))),AND(IF(metadata!R203="",FALSE,ISNUMBER(VALUE(metadata!R203))),metadata!R203&gt;=-90,metadata!R203&lt;=90))</f>
        <v>0</v>
      </c>
      <c r="BD203" t="b">
        <f>AND(IF(metadata!S203="",FALSE,TRUE),EXACT(metadata!S203,"Decimal degrees"))</f>
        <v>0</v>
      </c>
      <c r="BE203" t="b">
        <f>OR(AND(IF(metadata!T203="",FALSE,TRUE),OR(EXACT(metadata!T203,"missing: not collected"),EXACT(metadata!T203,"missing: not provided"),EXACT(metadata!T203,"missing: restricted access"))),AND(IF(metadata!T203="",FALSE,ISNUMBER(VALUE(metadata!T203))),metadata!T203&gt;=-180,metadata!T203&lt;=180))</f>
        <v>0</v>
      </c>
      <c r="BF203" t="b">
        <f>AND(IF(metadata!U203="",FALSE,TRUE),EXACT(metadata!U203,"Decimal degrees"))</f>
        <v>0</v>
      </c>
      <c r="BG203" t="b">
        <f>IF(metadata!V203="",FALSE,TRUE)</f>
        <v>0</v>
      </c>
      <c r="BH203" t="b">
        <f>OR(AND(IF(metadata!W203="",FALSE,TRUE),OR(EXACT(metadata!W203,"missing: not collected"),EXACT(metadata!W203,"missing: not provided"),EXACT(metadata!W203,"missing: restricted access"))),AND(IF(metadata!W203="",FALSE,TRUE),OR(EXACT(metadata!W203,"TRUE"),EXACT(metadata!W203,"FALSE"))))</f>
        <v>0</v>
      </c>
      <c r="BI203" t="b">
        <f>AND(IF(metadata!X203="",FALSE,TRUE),EXACT(metadata!X203,"other"))</f>
        <v>0</v>
      </c>
      <c r="BJ203" t="b">
        <f>IF(metadata!Y203="",FALSE,TRUE)</f>
        <v>0</v>
      </c>
      <c r="BK203" t="b">
        <f>OR(AND(IF(metadata!Z203="",FALSE,TRUE),OR(EXACT(metadata!Z203,"missing: not collected"),EXACT(metadata!Z203,"missing: not provided"))),AND(IF(metadata!Z203="",FALSE,IF(ISERROR(INT(metadata!Z203)),FALSE,INT(metadata!Z203)=metadata!Z203)),metadata!Z203&gt;0))</f>
        <v>0</v>
      </c>
      <c r="BL203" t="b">
        <f>AND(IF(metadata!AA203="",FALSE,TRUE),EXACT(metadata!AA203,"Not applicable"))</f>
        <v>0</v>
      </c>
      <c r="BM203" t="b">
        <f>IF(metadata!AB203="",FALSE,TRUE)</f>
        <v>0</v>
      </c>
    </row>
    <row r="204" spans="1:65" x14ac:dyDescent="0.2">
      <c r="A204" s="5" t="str">
        <f ca="1">IF(B204=" "," ",HYPERLINK(CONCATENATE("#metadata!",ADDRESS(INDEX($AH$2:$AH$1001,MATCH(ROWS($AF$2:AF204),$AF$2:$AF$1001,0),0),1)),INDEX($AK$2:$AK$1001,MATCH(ROWS($AF$2:AF204),$AF$2:$AF$1001,0),0)))</f>
        <v xml:space="preserve"> </v>
      </c>
      <c r="B204" s="4" t="str">
        <f ca="1">IF(OR(INDEX($AG$2:$AG$1001,MATCH(ROWS($AF$2:AF204),$AF$2:$AF$1001,0),1)&gt;=100000,INDEX($AM$1005:$BM$1005,1,MATCH(COLUMNS($AM$1006:AM1006),$AM$1006:$BM$1006,0))&gt;=100000), " ",IF(INDEX($AM$2:$BM$1001,MATCH(ROWS($AF$2:AF204),$AF$2:$AF$1001,0),MATCH(COLUMNS($AM$1006:AM1006),$AM$1006:$BM$1006,0)), HYPERLINK("#",""), HYPERLINK(CONCATENATE("#metadata!", ADDRESS(INDEX($AH$2:$AH$1001,MATCH(ROWS($AF$2:AF204),$AF$2:$AF$1001,0),0), INDEX($AM$1004:$BM$1004,1,MATCH(COLUMNS($AM$1006:AM1006),$AM$1006:$BM$1006,0)))),"Fix")))</f>
        <v xml:space="preserve"> </v>
      </c>
      <c r="C204" s="4" t="str">
        <f ca="1">IF(OR(INDEX($AG$2:$AG$1001,MATCH(ROWS($AF$2:AF204),$AF$2:$AF$1001,0),1)&gt;=100000,INDEX($AM$1005:$BM$1005,1,MATCH(COLUMNS($AM$1006:AN1006),$AM$1006:$BM$1006,0))&gt;=100000), " ",IF(INDEX($AM$2:$BM$1001,MATCH(ROWS($AF$2:AF204),$AF$2:$AF$1001,0),MATCH(COLUMNS($AM$1006:AN1006),$AM$1006:$BM$1006,0)), HYPERLINK("#",""), HYPERLINK(CONCATENATE("#metadata!", ADDRESS(INDEX($AH$2:$AH$1001,MATCH(ROWS($AF$2:AF204),$AF$2:$AF$1001,0),0), INDEX($AM$1004:$BM$1004,1,MATCH(COLUMNS($AM$1006:AN1006),$AM$1006:$BM$1006,0)))),"Fix")))</f>
        <v xml:space="preserve"> </v>
      </c>
      <c r="D204" s="4" t="str">
        <f ca="1">IF(OR(INDEX($AG$2:$AG$1001,MATCH(ROWS($AF$2:AF204),$AF$2:$AF$1001,0),1)&gt;=100000,INDEX($AM$1005:$BM$1005,1,MATCH(COLUMNS($AM$1006:AO1006),$AM$1006:$BM$1006,0))&gt;=100000), " ",IF(INDEX($AM$2:$BM$1001,MATCH(ROWS($AF$2:AF204),$AF$2:$AF$1001,0),MATCH(COLUMNS($AM$1006:AO1006),$AM$1006:$BM$1006,0)), HYPERLINK("#",""), HYPERLINK(CONCATENATE("#metadata!", ADDRESS(INDEX($AH$2:$AH$1001,MATCH(ROWS($AF$2:AF204),$AF$2:$AF$1001,0),0), INDEX($AM$1004:$BM$1004,1,MATCH(COLUMNS($AM$1006:AO1006),$AM$1006:$BM$1006,0)))),"Fix")))</f>
        <v xml:space="preserve"> </v>
      </c>
      <c r="E204" s="4" t="str">
        <f ca="1">IF(OR(INDEX($AG$2:$AG$1001,MATCH(ROWS($AF$2:AF204),$AF$2:$AF$1001,0),1)&gt;=100000,INDEX($AM$1005:$BM$1005,1,MATCH(COLUMNS($AM$1006:AP1006),$AM$1006:$BM$1006,0))&gt;=100000), " ",IF(INDEX($AM$2:$BM$1001,MATCH(ROWS($AF$2:AF204),$AF$2:$AF$1001,0),MATCH(COLUMNS($AM$1006:AP1006),$AM$1006:$BM$1006,0)), HYPERLINK("#",""), HYPERLINK(CONCATENATE("#metadata!", ADDRESS(INDEX($AH$2:$AH$1001,MATCH(ROWS($AF$2:AF204),$AF$2:$AF$1001,0),0), INDEX($AM$1004:$BM$1004,1,MATCH(COLUMNS($AM$1006:AP1006),$AM$1006:$BM$1006,0)))),"Fix")))</f>
        <v xml:space="preserve"> </v>
      </c>
      <c r="F204" s="4" t="str">
        <f ca="1">IF(OR(INDEX($AG$2:$AG$1001,MATCH(ROWS($AF$2:AF204),$AF$2:$AF$1001,0),1)&gt;=100000,INDEX($AM$1005:$BM$1005,1,MATCH(COLUMNS($AM$1006:AQ1006),$AM$1006:$BM$1006,0))&gt;=100000), " ",IF(INDEX($AM$2:$BM$1001,MATCH(ROWS($AF$2:AF204),$AF$2:$AF$1001,0),MATCH(COLUMNS($AM$1006:AQ1006),$AM$1006:$BM$1006,0)), HYPERLINK("#",""), HYPERLINK(CONCATENATE("#metadata!", ADDRESS(INDEX($AH$2:$AH$1001,MATCH(ROWS($AF$2:AF204),$AF$2:$AF$1001,0),0), INDEX($AM$1004:$BM$1004,1,MATCH(COLUMNS($AM$1006:AQ1006),$AM$1006:$BM$1006,0)))),"Fix")))</f>
        <v xml:space="preserve"> </v>
      </c>
      <c r="G204" s="4" t="str">
        <f ca="1">IF(OR(INDEX($AG$2:$AG$1001,MATCH(ROWS($AF$2:AF204),$AF$2:$AF$1001,0),1)&gt;=100000,INDEX($AM$1005:$BM$1005,1,MATCH(COLUMNS($AM$1006:AR1006),$AM$1006:$BM$1006,0))&gt;=100000), " ",IF(INDEX($AM$2:$BM$1001,MATCH(ROWS($AF$2:AF204),$AF$2:$AF$1001,0),MATCH(COLUMNS($AM$1006:AR1006),$AM$1006:$BM$1006,0)), HYPERLINK("#",""), HYPERLINK(CONCATENATE("#metadata!", ADDRESS(INDEX($AH$2:$AH$1001,MATCH(ROWS($AF$2:AF204),$AF$2:$AF$1001,0),0), INDEX($AM$1004:$BM$1004,1,MATCH(COLUMNS($AM$1006:AR1006),$AM$1006:$BM$1006,0)))),"Fix")))</f>
        <v xml:space="preserve"> </v>
      </c>
      <c r="H204" s="4" t="str">
        <f ca="1">IF(OR(INDEX($AG$2:$AG$1001,MATCH(ROWS($AF$2:AF204),$AF$2:$AF$1001,0),1)&gt;=100000,INDEX($AM$1005:$BM$1005,1,MATCH(COLUMNS($AM$1006:AS1006),$AM$1006:$BM$1006,0))&gt;=100000), " ",IF(INDEX($AM$2:$BM$1001,MATCH(ROWS($AF$2:AF204),$AF$2:$AF$1001,0),MATCH(COLUMNS($AM$1006:AS1006),$AM$1006:$BM$1006,0)), HYPERLINK("#",""), HYPERLINK(CONCATENATE("#metadata!", ADDRESS(INDEX($AH$2:$AH$1001,MATCH(ROWS($AF$2:AF204),$AF$2:$AF$1001,0),0), INDEX($AM$1004:$BM$1004,1,MATCH(COLUMNS($AM$1006:AS1006),$AM$1006:$BM$1006,0)))),"Fix")))</f>
        <v xml:space="preserve"> </v>
      </c>
      <c r="I204" s="4" t="str">
        <f ca="1">IF(OR(INDEX($AG$2:$AG$1001,MATCH(ROWS($AF$2:AF204),$AF$2:$AF$1001,0),1)&gt;=100000,INDEX($AM$1005:$BM$1005,1,MATCH(COLUMNS($AM$1006:AT1006),$AM$1006:$BM$1006,0))&gt;=100000), " ",IF(INDEX($AM$2:$BM$1001,MATCH(ROWS($AF$2:AF204),$AF$2:$AF$1001,0),MATCH(COLUMNS($AM$1006:AT1006),$AM$1006:$BM$1006,0)), HYPERLINK("#",""), HYPERLINK(CONCATENATE("#metadata!", ADDRESS(INDEX($AH$2:$AH$1001,MATCH(ROWS($AF$2:AF204),$AF$2:$AF$1001,0),0), INDEX($AM$1004:$BM$1004,1,MATCH(COLUMNS($AM$1006:AT1006),$AM$1006:$BM$1006,0)))),"Fix")))</f>
        <v xml:space="preserve"> </v>
      </c>
      <c r="J204" s="4" t="str">
        <f ca="1">IF(OR(INDEX($AG$2:$AG$1001,MATCH(ROWS($AF$2:AF204),$AF$2:$AF$1001,0),1)&gt;=100000,INDEX($AM$1005:$BM$1005,1,MATCH(COLUMNS($AM$1006:AU1006),$AM$1006:$BM$1006,0))&gt;=100000), " ",IF(INDEX($AM$2:$BM$1001,MATCH(ROWS($AF$2:AF204),$AF$2:$AF$1001,0),MATCH(COLUMNS($AM$1006:AU1006),$AM$1006:$BM$1006,0)), HYPERLINK("#",""), HYPERLINK(CONCATENATE("#metadata!", ADDRESS(INDEX($AH$2:$AH$1001,MATCH(ROWS($AF$2:AF204),$AF$2:$AF$1001,0),0), INDEX($AM$1004:$BM$1004,1,MATCH(COLUMNS($AM$1006:AU1006),$AM$1006:$BM$1006,0)))),"Fix")))</f>
        <v xml:space="preserve"> </v>
      </c>
      <c r="K204" s="4" t="str">
        <f ca="1">IF(OR(INDEX($AG$2:$AG$1001,MATCH(ROWS($AF$2:AF204),$AF$2:$AF$1001,0),1)&gt;=100000,INDEX($AM$1005:$BM$1005,1,MATCH(COLUMNS($AM$1006:AV1006),$AM$1006:$BM$1006,0))&gt;=100000), " ",IF(INDEX($AM$2:$BM$1001,MATCH(ROWS($AF$2:AF204),$AF$2:$AF$1001,0),MATCH(COLUMNS($AM$1006:AV1006),$AM$1006:$BM$1006,0)), HYPERLINK("#",""), HYPERLINK(CONCATENATE("#metadata!", ADDRESS(INDEX($AH$2:$AH$1001,MATCH(ROWS($AF$2:AF204),$AF$2:$AF$1001,0),0), INDEX($AM$1004:$BM$1004,1,MATCH(COLUMNS($AM$1006:AV1006),$AM$1006:$BM$1006,0)))),"Fix")))</f>
        <v xml:space="preserve"> </v>
      </c>
      <c r="L204" s="4" t="str">
        <f ca="1">IF(OR(INDEX($AG$2:$AG$1001,MATCH(ROWS($AF$2:AF204),$AF$2:$AF$1001,0),1)&gt;=100000,INDEX($AM$1005:$BM$1005,1,MATCH(COLUMNS($AM$1006:AW1006),$AM$1006:$BM$1006,0))&gt;=100000), " ",IF(INDEX($AM$2:$BM$1001,MATCH(ROWS($AF$2:AF204),$AF$2:$AF$1001,0),MATCH(COLUMNS($AM$1006:AW1006),$AM$1006:$BM$1006,0)), HYPERLINK("#",""), HYPERLINK(CONCATENATE("#metadata!", ADDRESS(INDEX($AH$2:$AH$1001,MATCH(ROWS($AF$2:AF204),$AF$2:$AF$1001,0),0), INDEX($AM$1004:$BM$1004,1,MATCH(COLUMNS($AM$1006:AW1006),$AM$1006:$BM$1006,0)))),"Fix")))</f>
        <v xml:space="preserve"> </v>
      </c>
      <c r="M204" s="4" t="str">
        <f ca="1">IF(OR(INDEX($AG$2:$AG$1001,MATCH(ROWS($AF$2:AF204),$AF$2:$AF$1001,0),1)&gt;=100000,INDEX($AM$1005:$BM$1005,1,MATCH(COLUMNS($AM$1006:AX1006),$AM$1006:$BM$1006,0))&gt;=100000), " ",IF(INDEX($AM$2:$BM$1001,MATCH(ROWS($AF$2:AF204),$AF$2:$AF$1001,0),MATCH(COLUMNS($AM$1006:AX1006),$AM$1006:$BM$1006,0)), HYPERLINK("#",""), HYPERLINK(CONCATENATE("#metadata!", ADDRESS(INDEX($AH$2:$AH$1001,MATCH(ROWS($AF$2:AF204),$AF$2:$AF$1001,0),0), INDEX($AM$1004:$BM$1004,1,MATCH(COLUMNS($AM$1006:AX1006),$AM$1006:$BM$1006,0)))),"Fix")))</f>
        <v xml:space="preserve"> </v>
      </c>
      <c r="N204" s="4" t="str">
        <f ca="1">IF(OR(INDEX($AG$2:$AG$1001,MATCH(ROWS($AF$2:AF204),$AF$2:$AF$1001,0),1)&gt;=100000,INDEX($AM$1005:$BM$1005,1,MATCH(COLUMNS($AM$1006:AY1006),$AM$1006:$BM$1006,0))&gt;=100000), " ",IF(INDEX($AM$2:$BM$1001,MATCH(ROWS($AF$2:AF204),$AF$2:$AF$1001,0),MATCH(COLUMNS($AM$1006:AY1006),$AM$1006:$BM$1006,0)), HYPERLINK("#",""), HYPERLINK(CONCATENATE("#metadata!", ADDRESS(INDEX($AH$2:$AH$1001,MATCH(ROWS($AF$2:AF204),$AF$2:$AF$1001,0),0), INDEX($AM$1004:$BM$1004,1,MATCH(COLUMNS($AM$1006:AY1006),$AM$1006:$BM$1006,0)))),"Fix")))</f>
        <v xml:space="preserve"> </v>
      </c>
      <c r="O204" s="4" t="str">
        <f ca="1">IF(OR(INDEX($AG$2:$AG$1001,MATCH(ROWS($AF$2:AF204),$AF$2:$AF$1001,0),1)&gt;=100000,INDEX($AM$1005:$BM$1005,1,MATCH(COLUMNS($AM$1006:AZ1006),$AM$1006:$BM$1006,0))&gt;=100000), " ",IF(INDEX($AM$2:$BM$1001,MATCH(ROWS($AF$2:AF204),$AF$2:$AF$1001,0),MATCH(COLUMNS($AM$1006:AZ1006),$AM$1006:$BM$1006,0)), HYPERLINK("#",""), HYPERLINK(CONCATENATE("#metadata!", ADDRESS(INDEX($AH$2:$AH$1001,MATCH(ROWS($AF$2:AF204),$AF$2:$AF$1001,0),0), INDEX($AM$1004:$BM$1004,1,MATCH(COLUMNS($AM$1006:AZ1006),$AM$1006:$BM$1006,0)))),"Fix")))</f>
        <v xml:space="preserve"> </v>
      </c>
      <c r="P204" s="4" t="str">
        <f ca="1">IF(OR(INDEX($AG$2:$AG$1001,MATCH(ROWS($AF$2:AF204),$AF$2:$AF$1001,0),1)&gt;=100000,INDEX($AM$1005:$BM$1005,1,MATCH(COLUMNS($AM$1006:BA1006),$AM$1006:$BM$1006,0))&gt;=100000), " ",IF(INDEX($AM$2:$BM$1001,MATCH(ROWS($AF$2:AF204),$AF$2:$AF$1001,0),MATCH(COLUMNS($AM$1006:BA1006),$AM$1006:$BM$1006,0)), HYPERLINK("#",""), HYPERLINK(CONCATENATE("#metadata!", ADDRESS(INDEX($AH$2:$AH$1001,MATCH(ROWS($AF$2:AF204),$AF$2:$AF$1001,0),0), INDEX($AM$1004:$BM$1004,1,MATCH(COLUMNS($AM$1006:BA1006),$AM$1006:$BM$1006,0)))),"Fix")))</f>
        <v xml:space="preserve"> </v>
      </c>
      <c r="Q204" s="4" t="str">
        <f ca="1">IF(OR(INDEX($AG$2:$AG$1001,MATCH(ROWS($AF$2:AF204),$AF$2:$AF$1001,0),1)&gt;=100000,INDEX($AM$1005:$BM$1005,1,MATCH(COLUMNS($AM$1006:BB1006),$AM$1006:$BM$1006,0))&gt;=100000), " ",IF(INDEX($AM$2:$BM$1001,MATCH(ROWS($AF$2:AF204),$AF$2:$AF$1001,0),MATCH(COLUMNS($AM$1006:BB1006),$AM$1006:$BM$1006,0)), HYPERLINK("#",""), HYPERLINK(CONCATENATE("#metadata!", ADDRESS(INDEX($AH$2:$AH$1001,MATCH(ROWS($AF$2:AF204),$AF$2:$AF$1001,0),0), INDEX($AM$1004:$BM$1004,1,MATCH(COLUMNS($AM$1006:BB1006),$AM$1006:$BM$1006,0)))),"Fix")))</f>
        <v xml:space="preserve"> </v>
      </c>
      <c r="R204" s="4" t="str">
        <f ca="1">IF(OR(INDEX($AG$2:$AG$1001,MATCH(ROWS($AF$2:AF204),$AF$2:$AF$1001,0),1)&gt;=100000,INDEX($AM$1005:$BM$1005,1,MATCH(COLUMNS($AM$1006:BC1006),$AM$1006:$BM$1006,0))&gt;=100000), " ",IF(INDEX($AM$2:$BM$1001,MATCH(ROWS($AF$2:AF204),$AF$2:$AF$1001,0),MATCH(COLUMNS($AM$1006:BC1006),$AM$1006:$BM$1006,0)), HYPERLINK("#",""), HYPERLINK(CONCATENATE("#metadata!", ADDRESS(INDEX($AH$2:$AH$1001,MATCH(ROWS($AF$2:AF204),$AF$2:$AF$1001,0),0), INDEX($AM$1004:$BM$1004,1,MATCH(COLUMNS($AM$1006:BC1006),$AM$1006:$BM$1006,0)))),"Fix")))</f>
        <v xml:space="preserve"> </v>
      </c>
      <c r="S204" s="4" t="str">
        <f ca="1">IF(OR(INDEX($AG$2:$AG$1001,MATCH(ROWS($AF$2:AF204),$AF$2:$AF$1001,0),1)&gt;=100000,INDEX($AM$1005:$BM$1005,1,MATCH(COLUMNS($AM$1006:BD1006),$AM$1006:$BM$1006,0))&gt;=100000), " ",IF(INDEX($AM$2:$BM$1001,MATCH(ROWS($AF$2:AF204),$AF$2:$AF$1001,0),MATCH(COLUMNS($AM$1006:BD1006),$AM$1006:$BM$1006,0)), HYPERLINK("#",""), HYPERLINK(CONCATENATE("#metadata!", ADDRESS(INDEX($AH$2:$AH$1001,MATCH(ROWS($AF$2:AF204),$AF$2:$AF$1001,0),0), INDEX($AM$1004:$BM$1004,1,MATCH(COLUMNS($AM$1006:BD1006),$AM$1006:$BM$1006,0)))),"Fix")))</f>
        <v xml:space="preserve"> </v>
      </c>
      <c r="T204" s="4" t="str">
        <f ca="1">IF(OR(INDEX($AG$2:$AG$1001,MATCH(ROWS($AF$2:AF204),$AF$2:$AF$1001,0),1)&gt;=100000,INDEX($AM$1005:$BM$1005,1,MATCH(COLUMNS($AM$1006:BE1006),$AM$1006:$BM$1006,0))&gt;=100000), " ",IF(INDEX($AM$2:$BM$1001,MATCH(ROWS($AF$2:AF204),$AF$2:$AF$1001,0),MATCH(COLUMNS($AM$1006:BE1006),$AM$1006:$BM$1006,0)), HYPERLINK("#",""), HYPERLINK(CONCATENATE("#metadata!", ADDRESS(INDEX($AH$2:$AH$1001,MATCH(ROWS($AF$2:AF204),$AF$2:$AF$1001,0),0), INDEX($AM$1004:$BM$1004,1,MATCH(COLUMNS($AM$1006:BE1006),$AM$1006:$BM$1006,0)))),"Fix")))</f>
        <v xml:space="preserve"> </v>
      </c>
      <c r="U204" s="4" t="str">
        <f ca="1">IF(OR(INDEX($AG$2:$AG$1001,MATCH(ROWS($AF$2:AF204),$AF$2:$AF$1001,0),1)&gt;=100000,INDEX($AM$1005:$BM$1005,1,MATCH(COLUMNS($AM$1006:BF1006),$AM$1006:$BM$1006,0))&gt;=100000), " ",IF(INDEX($AM$2:$BM$1001,MATCH(ROWS($AF$2:AF204),$AF$2:$AF$1001,0),MATCH(COLUMNS($AM$1006:BF1006),$AM$1006:$BM$1006,0)), HYPERLINK("#",""), HYPERLINK(CONCATENATE("#metadata!", ADDRESS(INDEX($AH$2:$AH$1001,MATCH(ROWS($AF$2:AF204),$AF$2:$AF$1001,0),0), INDEX($AM$1004:$BM$1004,1,MATCH(COLUMNS($AM$1006:BF1006),$AM$1006:$BM$1006,0)))),"Fix")))</f>
        <v xml:space="preserve"> </v>
      </c>
      <c r="V204" s="4" t="str">
        <f ca="1">IF(OR(INDEX($AG$2:$AG$1001,MATCH(ROWS($AF$2:AF204),$AF$2:$AF$1001,0),1)&gt;=100000,INDEX($AM$1005:$BM$1005,1,MATCH(COLUMNS($AM$1006:BG1006),$AM$1006:$BM$1006,0))&gt;=100000), " ",IF(INDEX($AM$2:$BM$1001,MATCH(ROWS($AF$2:AF204),$AF$2:$AF$1001,0),MATCH(COLUMNS($AM$1006:BG1006),$AM$1006:$BM$1006,0)), HYPERLINK("#",""), HYPERLINK(CONCATENATE("#metadata!", ADDRESS(INDEX($AH$2:$AH$1001,MATCH(ROWS($AF$2:AF204),$AF$2:$AF$1001,0),0), INDEX($AM$1004:$BM$1004,1,MATCH(COLUMNS($AM$1006:BG1006),$AM$1006:$BM$1006,0)))),"Fix")))</f>
        <v xml:space="preserve"> </v>
      </c>
      <c r="W204" s="4" t="str">
        <f ca="1">IF(OR(INDEX($AG$2:$AG$1001,MATCH(ROWS($AF$2:AF204),$AF$2:$AF$1001,0),1)&gt;=100000,INDEX($AM$1005:$BM$1005,1,MATCH(COLUMNS($AM$1006:BH1006),$AM$1006:$BM$1006,0))&gt;=100000), " ",IF(INDEX($AM$2:$BM$1001,MATCH(ROWS($AF$2:AF204),$AF$2:$AF$1001,0),MATCH(COLUMNS($AM$1006:BH1006),$AM$1006:$BM$1006,0)), HYPERLINK("#",""), HYPERLINK(CONCATENATE("#metadata!", ADDRESS(INDEX($AH$2:$AH$1001,MATCH(ROWS($AF$2:AF204),$AF$2:$AF$1001,0),0), INDEX($AM$1004:$BM$1004,1,MATCH(COLUMNS($AM$1006:BH1006),$AM$1006:$BM$1006,0)))),"Fix")))</f>
        <v xml:space="preserve"> </v>
      </c>
      <c r="X204" s="4" t="str">
        <f ca="1">IF(OR(INDEX($AG$2:$AG$1001,MATCH(ROWS($AF$2:AF204),$AF$2:$AF$1001,0),1)&gt;=100000,INDEX($AM$1005:$BM$1005,1,MATCH(COLUMNS($AM$1006:BI1006),$AM$1006:$BM$1006,0))&gt;=100000), " ",IF(INDEX($AM$2:$BM$1001,MATCH(ROWS($AF$2:AF204),$AF$2:$AF$1001,0),MATCH(COLUMNS($AM$1006:BI1006),$AM$1006:$BM$1006,0)), HYPERLINK("#",""), HYPERLINK(CONCATENATE("#metadata!", ADDRESS(INDEX($AH$2:$AH$1001,MATCH(ROWS($AF$2:AF204),$AF$2:$AF$1001,0),0), INDEX($AM$1004:$BM$1004,1,MATCH(COLUMNS($AM$1006:BI1006),$AM$1006:$BM$1006,0)))),"Fix")))</f>
        <v xml:space="preserve"> </v>
      </c>
      <c r="Y204" s="4" t="str">
        <f ca="1">IF(OR(INDEX($AG$2:$AG$1001,MATCH(ROWS($AF$2:AF204),$AF$2:$AF$1001,0),1)&gt;=100000,INDEX($AM$1005:$BM$1005,1,MATCH(COLUMNS($AM$1006:BJ1006),$AM$1006:$BM$1006,0))&gt;=100000), " ",IF(INDEX($AM$2:$BM$1001,MATCH(ROWS($AF$2:AF204),$AF$2:$AF$1001,0),MATCH(COLUMNS($AM$1006:BJ1006),$AM$1006:$BM$1006,0)), HYPERLINK("#",""), HYPERLINK(CONCATENATE("#metadata!", ADDRESS(INDEX($AH$2:$AH$1001,MATCH(ROWS($AF$2:AF204),$AF$2:$AF$1001,0),0), INDEX($AM$1004:$BM$1004,1,MATCH(COLUMNS($AM$1006:BJ1006),$AM$1006:$BM$1006,0)))),"Fix")))</f>
        <v xml:space="preserve"> </v>
      </c>
      <c r="Z204" s="4" t="str">
        <f ca="1">IF(OR(INDEX($AG$2:$AG$1001,MATCH(ROWS($AF$2:AF204),$AF$2:$AF$1001,0),1)&gt;=100000,INDEX($AM$1005:$BM$1005,1,MATCH(COLUMNS($AM$1006:BK1006),$AM$1006:$BM$1006,0))&gt;=100000), " ",IF(INDEX($AM$2:$BM$1001,MATCH(ROWS($AF$2:AF204),$AF$2:$AF$1001,0),MATCH(COLUMNS($AM$1006:BK1006),$AM$1006:$BM$1006,0)), HYPERLINK("#",""), HYPERLINK(CONCATENATE("#metadata!", ADDRESS(INDEX($AH$2:$AH$1001,MATCH(ROWS($AF$2:AF204),$AF$2:$AF$1001,0),0), INDEX($AM$1004:$BM$1004,1,MATCH(COLUMNS($AM$1006:BK1006),$AM$1006:$BM$1006,0)))),"Fix")))</f>
        <v xml:space="preserve"> </v>
      </c>
      <c r="AA204" s="4" t="str">
        <f ca="1">IF(OR(INDEX($AG$2:$AG$1001,MATCH(ROWS($AF$2:AF204),$AF$2:$AF$1001,0),1)&gt;=100000,INDEX($AM$1005:$BM$1005,1,MATCH(COLUMNS($AM$1006:BL1006),$AM$1006:$BM$1006,0))&gt;=100000), " ",IF(INDEX($AM$2:$BM$1001,MATCH(ROWS($AF$2:AF204),$AF$2:$AF$1001,0),MATCH(COLUMNS($AM$1006:BL1006),$AM$1006:$BM$1006,0)), HYPERLINK("#",""), HYPERLINK(CONCATENATE("#metadata!", ADDRESS(INDEX($AH$2:$AH$1001,MATCH(ROWS($AF$2:AF204),$AF$2:$AF$1001,0),0), INDEX($AM$1004:$BM$1004,1,MATCH(COLUMNS($AM$1006:BL1006),$AM$1006:$BM$1006,0)))),"Fix")))</f>
        <v xml:space="preserve"> </v>
      </c>
      <c r="AB204" s="4" t="str">
        <f ca="1">IF(OR(INDEX($AG$2:$AG$1001,MATCH(ROWS($AF$2:AF204),$AF$2:$AF$1001,0),1)&gt;=100000,INDEX($AM$1005:$BM$1005,1,MATCH(COLUMNS($AM$1006:BM1006),$AM$1006:$BM$1006,0))&gt;=100000), " ",IF(INDEX($AM$2:$BM$1001,MATCH(ROWS($AF$2:AF204),$AF$2:$AF$1001,0),MATCH(COLUMNS($AM$1006:BM1006),$AM$1006:$BM$1006,0)), HYPERLINK("#",""), HYPERLINK(CONCATENATE("#metadata!", ADDRESS(INDEX($AH$2:$AH$1001,MATCH(ROWS($AF$2:AF204),$AF$2:$AF$1001,0),0), INDEX($AM$1004:$BM$1004,1,MATCH(COLUMNS($AM$1006:BM1006),$AM$1006:$BM$1006,0)))),"Fix")))</f>
        <v xml:space="preserve"> </v>
      </c>
      <c r="AF204">
        <v>203</v>
      </c>
      <c r="AG204">
        <v>100204</v>
      </c>
      <c r="AH204">
        <v>204</v>
      </c>
      <c r="AI204" t="b">
        <f t="shared" si="3"/>
        <v>1</v>
      </c>
      <c r="AJ204" t="b">
        <f>COUNTBLANK(metadata!B204:AB204)=COLUMNS(metadata!B204:AB204)</f>
        <v>1</v>
      </c>
      <c r="AK204" t="str">
        <v/>
      </c>
      <c r="AM204" t="b">
        <f ca="1">AND(IF(metadata!B204="",FALSE,TRUE),COUNTIF(metadata!B:B, metadata!B204) = 1,NOT(ISERROR(SUMPRODUCT(SEARCH(MID(metadata!B204,ROW(INDIRECT("1:"&amp;LEN(metadata!B204))), 1),"0123456789abcdefghijklmnopqrstuvwxyzABCDEFGHIJKLMNOPQRSTUVWXYZ.")))))</f>
        <v>0</v>
      </c>
      <c r="AN204" t="b">
        <f ca="1">OR(AND(IF(metadata!C204="",FALSE,TRUE),OR(EXACT(metadata!C204,"missing: not collected"),EXACT(metadata!C204,"missing: not provided"),EXACT(metadata!C204,"missing: restricted access"))),AND(IF(metadata!C204="",FALSE,TRUE),AND(AND(IFERROR(INT(LEFT(metadata!C204,4))&gt;1900,FALSE),IFERROR(INT(LEFT(metadata!C204,4))&lt;=YEAR(NOW()),FALSE)), OR(MID(metadata!C204,5,1)="", AND(AND(MID(metadata!C204,5,1)="-",IFERROR(INT(MID(metadata!C204,6,1))&gt;=0,FALSE),IFERROR(INT(MID(metadata!C204,6,1))&lt;=1,FALSE),NOT(MID(metadata!C204,7,1)=""),IFERROR(INT(MID(metadata!C204,6,2))&gt;=1,FALSE),IFERROR(INT(MID(metadata!C204,6,2))&lt;=12,FALSE)), OR(MID(metadata!C204,8,1)="", AND(AND(MID(metadata!C204,8,1)="-",IFERROR(INT(MID(metadata!C204,9,1))&gt;=0,FALSE),IFERROR(INT(MID(metadata!C204,9,1))&lt;=3,FALSE),NOT(MID(metadata!C204,10,1)=""),IFERROR(INT(MID(metadata!C204,9,2))&gt;=1,FALSE),IFERROR(INT(MID(metadata!C204,9,2))&lt;=31,FALSE)), OR(MID(metadata!C204,11,1)="", AND(AND(MID(metadata!C204,11,1)=" ",IFERROR(INT(MID(metadata!C204,12,1))&gt;=0,FALSE),IFERROR(INT(MID(metadata!C204,12,1))&lt;=2,FALSE),NOT(MID(metadata!C204,13,1)=""),IFERROR(INT(MID(metadata!C204,12,2))&gt;=0,FALSE),IFERROR(INT(MID(metadata!C204,12,2))&lt;=23,FALSE)), OR(MID(metadata!C204,14,1)="", AND(AND(MID(metadata!C204,14,1)=":",IFERROR(INT(MID(metadata!C204,15,1))&gt;=0,FALSE),IFERROR(INT(MID(metadata!C204,15,1))&lt;=5,FALSE),NOT(MID(metadata!C204,16,1)=""),IFERROR(INT(MID(metadata!C204,15,2))&gt;=0,FALSE),IFERROR(INT(MID(metadata!C204,15,2))&lt;=59,FALSE)), OR(MID(metadata!C204,17,1)="", AND(AND(MID(metadata!C204,17,1)=":",IFERROR(INT(MID(metadata!C204,18,1))&gt;=0,FALSE),IFERROR(INT(MID(metadata!C204,18,1))&lt;=5,FALSE),NOT(MID(metadata!C204,19,1)=""),IFERROR(INT(MID(metadata!C204,18,2))&gt;=0,FALSE),IFERROR(INT(MID(metadata!C204,18,2))&lt;=59,FALSE)), LEN(metadata!C204)&lt;=19)))))))))))))</f>
        <v>0</v>
      </c>
      <c r="AO204" t="b">
        <f>AND(IF(metadata!D204="",FALSE,TRUE),EXACT(metadata!D204,"Not applicable"))</f>
        <v>0</v>
      </c>
      <c r="AP204" t="b">
        <f>IF(metadata!E204="",FALSE,TRUE)</f>
        <v>0</v>
      </c>
      <c r="AQ204" t="b">
        <f>OR(AND(IF(metadata!F204="",FALSE,TRUE),OR(EXACT(metadata!F204,"missing: not collected"),EXACT(metadata!F204,"missing: not provided"))),AND(IF(metadata!F204="",FALSE,TRUE),OR(EXACT(metadata!F204,"TRUE"),EXACT(metadata!F204,"FALSE"))))</f>
        <v>0</v>
      </c>
      <c r="AR204" t="b">
        <f>OR(AND(IF(metadata!G204="",FALSE,TRUE),OR(EXACT(metadata!G204,"missing: not collected"),EXACT(metadata!G204,"missing: not provided"),EXACT(metadata!G204,"missing: restricted access"))),AND(IF(metadata!G204="",FALSE,ISNUMBER(VALUE(metadata!G204))),metadata!G204&gt;=-413))</f>
        <v>0</v>
      </c>
      <c r="AS204" t="b">
        <f>AND(IF(metadata!H204="",FALSE,TRUE),EXACT(metadata!H204,"meters"))</f>
        <v>0</v>
      </c>
      <c r="AT204" t="b">
        <f>AND(IF(metadata!I204="",FALSE,TRUE),OR(EXACT(metadata!I204,"Host-associated"),EXACT(metadata!I204,"Free-living")))</f>
        <v>0</v>
      </c>
      <c r="AU204" t="b">
        <f>AND(IF(metadata!J204="",FALSE,TRUE),OR(EXACT(metadata!J204,"Animal"),EXACT(metadata!J204,"Fungus"),EXACT(metadata!J204,"Plant"),EXACT(metadata!J204,"Saline"),EXACT(metadata!J204,"Non-saline")))</f>
        <v>0</v>
      </c>
      <c r="AV204" t="b">
        <f>AND(IF(metadata!K204="",FALSE,TRUE),OR(EXACT(metadata!K204,"Plant secretion"),EXACT(metadata!K204,"Plant rhizosphere"),EXACT(metadata!K204,"Plant surface"),EXACT(metadata!K204,"Plant corpus"),EXACT(metadata!K204,"Fungus surface"),EXACT(metadata!K204,"Fungus corpus"),EXACT(metadata!K204,"Animal surface"),EXACT(metadata!K204,"Animal proximal gut"),EXACT(metadata!K204,"Animal corpus"),EXACT(metadata!K204,"Animal distal gut"),EXACT(metadata!K204,"Animal secretion"),EXACT(metadata!K204,"Sub-surface (non-saline)"),EXACT(metadata!K204,"Surface (non-saline)"),EXACT(metadata!K204,"Water (non-saline)"),EXACT(metadata!K204,"Soil (non-saline)"),EXACT(metadata!K204,"Aerosol (non-saline)"),EXACT(metadata!K204,"Sediment (non-saline)"),EXACT(metadata!K204,"Surface (saline)"),EXACT(metadata!K204,"Water (saline)"),EXACT(metadata!K204,"Hypersaline (saline)"),EXACT(metadata!K204,"Aerosol (saline)"),EXACT(metadata!K204,"Sediment (saline)")))</f>
        <v>0</v>
      </c>
      <c r="AW204" t="b">
        <f>IF(metadata!L204="",FALSE,TRUE)</f>
        <v>0</v>
      </c>
      <c r="AX204" t="b">
        <f>IF(metadata!M204="",FALSE,TRUE)</f>
        <v>0</v>
      </c>
      <c r="AY204" t="b">
        <f>IF(metadata!N204="",FALSE,TRUE)</f>
        <v>0</v>
      </c>
      <c r="AZ204" t="b">
        <f>OR(AND(IF(metadata!O204="",FALSE,TRUE),OR(EXACT(metadata!O204,"missing: not collected"),EXACT(metadata!O204,"missing: not provided"),EXACT(metadata!O204,"missing: restricted access"))),AND(IF(metadata!O204="",FALSE,TRUE),OR(EXACT(metadata!O204,"air"),EXACT(metadata!O204,"built environment"),EXACT(metadata!O204,"host-associated"),EXACT(metadata!O204,"human-associated"),EXACT(metadata!O204,"human-skin"),EXACT(metadata!O204,"human-oral"),EXACT(metadata!O204,"human-gut"),EXACT(metadata!O204,"human-vaginal"),EXACT(metadata!O204,"microbial mat/biofilm"),EXACT(metadata!O204,"misc environment"),EXACT(metadata!O204,"plant-associated"),EXACT(metadata!O204,"sediment"),EXACT(metadata!O204,"soil"),EXACT(metadata!O204,"wastewater/sludge"),EXACT(metadata!O204,"water"))))</f>
        <v>0</v>
      </c>
      <c r="BA204" t="b">
        <f>IF(metadata!P204="",FALSE,TRUE)</f>
        <v>0</v>
      </c>
      <c r="BB204" t="b">
        <f>IF(metadata!Q204="",FALSE,TRUE)</f>
        <v>0</v>
      </c>
      <c r="BC204" t="b">
        <f>OR(AND(IF(metadata!R204="",FALSE,TRUE),OR(EXACT(metadata!R204,"missing: not collected"),EXACT(metadata!R204,"missing: not provided"),EXACT(metadata!R204,"missing: restricted access"))),AND(IF(metadata!R204="",FALSE,ISNUMBER(VALUE(metadata!R204))),metadata!R204&gt;=-90,metadata!R204&lt;=90))</f>
        <v>0</v>
      </c>
      <c r="BD204" t="b">
        <f>AND(IF(metadata!S204="",FALSE,TRUE),EXACT(metadata!S204,"Decimal degrees"))</f>
        <v>0</v>
      </c>
      <c r="BE204" t="b">
        <f>OR(AND(IF(metadata!T204="",FALSE,TRUE),OR(EXACT(metadata!T204,"missing: not collected"),EXACT(metadata!T204,"missing: not provided"),EXACT(metadata!T204,"missing: restricted access"))),AND(IF(metadata!T204="",FALSE,ISNUMBER(VALUE(metadata!T204))),metadata!T204&gt;=-180,metadata!T204&lt;=180))</f>
        <v>0</v>
      </c>
      <c r="BF204" t="b">
        <f>AND(IF(metadata!U204="",FALSE,TRUE),EXACT(metadata!U204,"Decimal degrees"))</f>
        <v>0</v>
      </c>
      <c r="BG204" t="b">
        <f>IF(metadata!V204="",FALSE,TRUE)</f>
        <v>0</v>
      </c>
      <c r="BH204" t="b">
        <f>OR(AND(IF(metadata!W204="",FALSE,TRUE),OR(EXACT(metadata!W204,"missing: not collected"),EXACT(metadata!W204,"missing: not provided"),EXACT(metadata!W204,"missing: restricted access"))),AND(IF(metadata!W204="",FALSE,TRUE),OR(EXACT(metadata!W204,"TRUE"),EXACT(metadata!W204,"FALSE"))))</f>
        <v>0</v>
      </c>
      <c r="BI204" t="b">
        <f>AND(IF(metadata!X204="",FALSE,TRUE),EXACT(metadata!X204,"other"))</f>
        <v>0</v>
      </c>
      <c r="BJ204" t="b">
        <f>IF(metadata!Y204="",FALSE,TRUE)</f>
        <v>0</v>
      </c>
      <c r="BK204" t="b">
        <f>OR(AND(IF(metadata!Z204="",FALSE,TRUE),OR(EXACT(metadata!Z204,"missing: not collected"),EXACT(metadata!Z204,"missing: not provided"))),AND(IF(metadata!Z204="",FALSE,IF(ISERROR(INT(metadata!Z204)),FALSE,INT(metadata!Z204)=metadata!Z204)),metadata!Z204&gt;0))</f>
        <v>0</v>
      </c>
      <c r="BL204" t="b">
        <f>AND(IF(metadata!AA204="",FALSE,TRUE),EXACT(metadata!AA204,"Not applicable"))</f>
        <v>0</v>
      </c>
      <c r="BM204" t="b">
        <f>IF(metadata!AB204="",FALSE,TRUE)</f>
        <v>0</v>
      </c>
    </row>
    <row r="205" spans="1:65" x14ac:dyDescent="0.2">
      <c r="A205" s="5" t="str">
        <f ca="1">IF(B205=" "," ",HYPERLINK(CONCATENATE("#metadata!",ADDRESS(INDEX($AH$2:$AH$1001,MATCH(ROWS($AF$2:AF205),$AF$2:$AF$1001,0),0),1)),INDEX($AK$2:$AK$1001,MATCH(ROWS($AF$2:AF205),$AF$2:$AF$1001,0),0)))</f>
        <v xml:space="preserve"> </v>
      </c>
      <c r="B205" s="4" t="str">
        <f ca="1">IF(OR(INDEX($AG$2:$AG$1001,MATCH(ROWS($AF$2:AF205),$AF$2:$AF$1001,0),1)&gt;=100000,INDEX($AM$1005:$BM$1005,1,MATCH(COLUMNS($AM$1006:AM1006),$AM$1006:$BM$1006,0))&gt;=100000), " ",IF(INDEX($AM$2:$BM$1001,MATCH(ROWS($AF$2:AF205),$AF$2:$AF$1001,0),MATCH(COLUMNS($AM$1006:AM1006),$AM$1006:$BM$1006,0)), HYPERLINK("#",""), HYPERLINK(CONCATENATE("#metadata!", ADDRESS(INDEX($AH$2:$AH$1001,MATCH(ROWS($AF$2:AF205),$AF$2:$AF$1001,0),0), INDEX($AM$1004:$BM$1004,1,MATCH(COLUMNS($AM$1006:AM1006),$AM$1006:$BM$1006,0)))),"Fix")))</f>
        <v xml:space="preserve"> </v>
      </c>
      <c r="C205" s="4" t="str">
        <f ca="1">IF(OR(INDEX($AG$2:$AG$1001,MATCH(ROWS($AF$2:AF205),$AF$2:$AF$1001,0),1)&gt;=100000,INDEX($AM$1005:$BM$1005,1,MATCH(COLUMNS($AM$1006:AN1006),$AM$1006:$BM$1006,0))&gt;=100000), " ",IF(INDEX($AM$2:$BM$1001,MATCH(ROWS($AF$2:AF205),$AF$2:$AF$1001,0),MATCH(COLUMNS($AM$1006:AN1006),$AM$1006:$BM$1006,0)), HYPERLINK("#",""), HYPERLINK(CONCATENATE("#metadata!", ADDRESS(INDEX($AH$2:$AH$1001,MATCH(ROWS($AF$2:AF205),$AF$2:$AF$1001,0),0), INDEX($AM$1004:$BM$1004,1,MATCH(COLUMNS($AM$1006:AN1006),$AM$1006:$BM$1006,0)))),"Fix")))</f>
        <v xml:space="preserve"> </v>
      </c>
      <c r="D205" s="4" t="str">
        <f ca="1">IF(OR(INDEX($AG$2:$AG$1001,MATCH(ROWS($AF$2:AF205),$AF$2:$AF$1001,0),1)&gt;=100000,INDEX($AM$1005:$BM$1005,1,MATCH(COLUMNS($AM$1006:AO1006),$AM$1006:$BM$1006,0))&gt;=100000), " ",IF(INDEX($AM$2:$BM$1001,MATCH(ROWS($AF$2:AF205),$AF$2:$AF$1001,0),MATCH(COLUMNS($AM$1006:AO1006),$AM$1006:$BM$1006,0)), HYPERLINK("#",""), HYPERLINK(CONCATENATE("#metadata!", ADDRESS(INDEX($AH$2:$AH$1001,MATCH(ROWS($AF$2:AF205),$AF$2:$AF$1001,0),0), INDEX($AM$1004:$BM$1004,1,MATCH(COLUMNS($AM$1006:AO1006),$AM$1006:$BM$1006,0)))),"Fix")))</f>
        <v xml:space="preserve"> </v>
      </c>
      <c r="E205" s="4" t="str">
        <f ca="1">IF(OR(INDEX($AG$2:$AG$1001,MATCH(ROWS($AF$2:AF205),$AF$2:$AF$1001,0),1)&gt;=100000,INDEX($AM$1005:$BM$1005,1,MATCH(COLUMNS($AM$1006:AP1006),$AM$1006:$BM$1006,0))&gt;=100000), " ",IF(INDEX($AM$2:$BM$1001,MATCH(ROWS($AF$2:AF205),$AF$2:$AF$1001,0),MATCH(COLUMNS($AM$1006:AP1006),$AM$1006:$BM$1006,0)), HYPERLINK("#",""), HYPERLINK(CONCATENATE("#metadata!", ADDRESS(INDEX($AH$2:$AH$1001,MATCH(ROWS($AF$2:AF205),$AF$2:$AF$1001,0),0), INDEX($AM$1004:$BM$1004,1,MATCH(COLUMNS($AM$1006:AP1006),$AM$1006:$BM$1006,0)))),"Fix")))</f>
        <v xml:space="preserve"> </v>
      </c>
      <c r="F205" s="4" t="str">
        <f ca="1">IF(OR(INDEX($AG$2:$AG$1001,MATCH(ROWS($AF$2:AF205),$AF$2:$AF$1001,0),1)&gt;=100000,INDEX($AM$1005:$BM$1005,1,MATCH(COLUMNS($AM$1006:AQ1006),$AM$1006:$BM$1006,0))&gt;=100000), " ",IF(INDEX($AM$2:$BM$1001,MATCH(ROWS($AF$2:AF205),$AF$2:$AF$1001,0),MATCH(COLUMNS($AM$1006:AQ1006),$AM$1006:$BM$1006,0)), HYPERLINK("#",""), HYPERLINK(CONCATENATE("#metadata!", ADDRESS(INDEX($AH$2:$AH$1001,MATCH(ROWS($AF$2:AF205),$AF$2:$AF$1001,0),0), INDEX($AM$1004:$BM$1004,1,MATCH(COLUMNS($AM$1006:AQ1006),$AM$1006:$BM$1006,0)))),"Fix")))</f>
        <v xml:space="preserve"> </v>
      </c>
      <c r="G205" s="4" t="str">
        <f ca="1">IF(OR(INDEX($AG$2:$AG$1001,MATCH(ROWS($AF$2:AF205),$AF$2:$AF$1001,0),1)&gt;=100000,INDEX($AM$1005:$BM$1005,1,MATCH(COLUMNS($AM$1006:AR1006),$AM$1006:$BM$1006,0))&gt;=100000), " ",IF(INDEX($AM$2:$BM$1001,MATCH(ROWS($AF$2:AF205),$AF$2:$AF$1001,0),MATCH(COLUMNS($AM$1006:AR1006),$AM$1006:$BM$1006,0)), HYPERLINK("#",""), HYPERLINK(CONCATENATE("#metadata!", ADDRESS(INDEX($AH$2:$AH$1001,MATCH(ROWS($AF$2:AF205),$AF$2:$AF$1001,0),0), INDEX($AM$1004:$BM$1004,1,MATCH(COLUMNS($AM$1006:AR1006),$AM$1006:$BM$1006,0)))),"Fix")))</f>
        <v xml:space="preserve"> </v>
      </c>
      <c r="H205" s="4" t="str">
        <f ca="1">IF(OR(INDEX($AG$2:$AG$1001,MATCH(ROWS($AF$2:AF205),$AF$2:$AF$1001,0),1)&gt;=100000,INDEX($AM$1005:$BM$1005,1,MATCH(COLUMNS($AM$1006:AS1006),$AM$1006:$BM$1006,0))&gt;=100000), " ",IF(INDEX($AM$2:$BM$1001,MATCH(ROWS($AF$2:AF205),$AF$2:$AF$1001,0),MATCH(COLUMNS($AM$1006:AS1006),$AM$1006:$BM$1006,0)), HYPERLINK("#",""), HYPERLINK(CONCATENATE("#metadata!", ADDRESS(INDEX($AH$2:$AH$1001,MATCH(ROWS($AF$2:AF205),$AF$2:$AF$1001,0),0), INDEX($AM$1004:$BM$1004,1,MATCH(COLUMNS($AM$1006:AS1006),$AM$1006:$BM$1006,0)))),"Fix")))</f>
        <v xml:space="preserve"> </v>
      </c>
      <c r="I205" s="4" t="str">
        <f ca="1">IF(OR(INDEX($AG$2:$AG$1001,MATCH(ROWS($AF$2:AF205),$AF$2:$AF$1001,0),1)&gt;=100000,INDEX($AM$1005:$BM$1005,1,MATCH(COLUMNS($AM$1006:AT1006),$AM$1006:$BM$1006,0))&gt;=100000), " ",IF(INDEX($AM$2:$BM$1001,MATCH(ROWS($AF$2:AF205),$AF$2:$AF$1001,0),MATCH(COLUMNS($AM$1006:AT1006),$AM$1006:$BM$1006,0)), HYPERLINK("#",""), HYPERLINK(CONCATENATE("#metadata!", ADDRESS(INDEX($AH$2:$AH$1001,MATCH(ROWS($AF$2:AF205),$AF$2:$AF$1001,0),0), INDEX($AM$1004:$BM$1004,1,MATCH(COLUMNS($AM$1006:AT1006),$AM$1006:$BM$1006,0)))),"Fix")))</f>
        <v xml:space="preserve"> </v>
      </c>
      <c r="J205" s="4" t="str">
        <f ca="1">IF(OR(INDEX($AG$2:$AG$1001,MATCH(ROWS($AF$2:AF205),$AF$2:$AF$1001,0),1)&gt;=100000,INDEX($AM$1005:$BM$1005,1,MATCH(COLUMNS($AM$1006:AU1006),$AM$1006:$BM$1006,0))&gt;=100000), " ",IF(INDEX($AM$2:$BM$1001,MATCH(ROWS($AF$2:AF205),$AF$2:$AF$1001,0),MATCH(COLUMNS($AM$1006:AU1006),$AM$1006:$BM$1006,0)), HYPERLINK("#",""), HYPERLINK(CONCATENATE("#metadata!", ADDRESS(INDEX($AH$2:$AH$1001,MATCH(ROWS($AF$2:AF205),$AF$2:$AF$1001,0),0), INDEX($AM$1004:$BM$1004,1,MATCH(COLUMNS($AM$1006:AU1006),$AM$1006:$BM$1006,0)))),"Fix")))</f>
        <v xml:space="preserve"> </v>
      </c>
      <c r="K205" s="4" t="str">
        <f ca="1">IF(OR(INDEX($AG$2:$AG$1001,MATCH(ROWS($AF$2:AF205),$AF$2:$AF$1001,0),1)&gt;=100000,INDEX($AM$1005:$BM$1005,1,MATCH(COLUMNS($AM$1006:AV1006),$AM$1006:$BM$1006,0))&gt;=100000), " ",IF(INDEX($AM$2:$BM$1001,MATCH(ROWS($AF$2:AF205),$AF$2:$AF$1001,0),MATCH(COLUMNS($AM$1006:AV1006),$AM$1006:$BM$1006,0)), HYPERLINK("#",""), HYPERLINK(CONCATENATE("#metadata!", ADDRESS(INDEX($AH$2:$AH$1001,MATCH(ROWS($AF$2:AF205),$AF$2:$AF$1001,0),0), INDEX($AM$1004:$BM$1004,1,MATCH(COLUMNS($AM$1006:AV1006),$AM$1006:$BM$1006,0)))),"Fix")))</f>
        <v xml:space="preserve"> </v>
      </c>
      <c r="L205" s="4" t="str">
        <f ca="1">IF(OR(INDEX($AG$2:$AG$1001,MATCH(ROWS($AF$2:AF205),$AF$2:$AF$1001,0),1)&gt;=100000,INDEX($AM$1005:$BM$1005,1,MATCH(COLUMNS($AM$1006:AW1006),$AM$1006:$BM$1006,0))&gt;=100000), " ",IF(INDEX($AM$2:$BM$1001,MATCH(ROWS($AF$2:AF205),$AF$2:$AF$1001,0),MATCH(COLUMNS($AM$1006:AW1006),$AM$1006:$BM$1006,0)), HYPERLINK("#",""), HYPERLINK(CONCATENATE("#metadata!", ADDRESS(INDEX($AH$2:$AH$1001,MATCH(ROWS($AF$2:AF205),$AF$2:$AF$1001,0),0), INDEX($AM$1004:$BM$1004,1,MATCH(COLUMNS($AM$1006:AW1006),$AM$1006:$BM$1006,0)))),"Fix")))</f>
        <v xml:space="preserve"> </v>
      </c>
      <c r="M205" s="4" t="str">
        <f ca="1">IF(OR(INDEX($AG$2:$AG$1001,MATCH(ROWS($AF$2:AF205),$AF$2:$AF$1001,0),1)&gt;=100000,INDEX($AM$1005:$BM$1005,1,MATCH(COLUMNS($AM$1006:AX1006),$AM$1006:$BM$1006,0))&gt;=100000), " ",IF(INDEX($AM$2:$BM$1001,MATCH(ROWS($AF$2:AF205),$AF$2:$AF$1001,0),MATCH(COLUMNS($AM$1006:AX1006),$AM$1006:$BM$1006,0)), HYPERLINK("#",""), HYPERLINK(CONCATENATE("#metadata!", ADDRESS(INDEX($AH$2:$AH$1001,MATCH(ROWS($AF$2:AF205),$AF$2:$AF$1001,0),0), INDEX($AM$1004:$BM$1004,1,MATCH(COLUMNS($AM$1006:AX1006),$AM$1006:$BM$1006,0)))),"Fix")))</f>
        <v xml:space="preserve"> </v>
      </c>
      <c r="N205" s="4" t="str">
        <f ca="1">IF(OR(INDEX($AG$2:$AG$1001,MATCH(ROWS($AF$2:AF205),$AF$2:$AF$1001,0),1)&gt;=100000,INDEX($AM$1005:$BM$1005,1,MATCH(COLUMNS($AM$1006:AY1006),$AM$1006:$BM$1006,0))&gt;=100000), " ",IF(INDEX($AM$2:$BM$1001,MATCH(ROWS($AF$2:AF205),$AF$2:$AF$1001,0),MATCH(COLUMNS($AM$1006:AY1006),$AM$1006:$BM$1006,0)), HYPERLINK("#",""), HYPERLINK(CONCATENATE("#metadata!", ADDRESS(INDEX($AH$2:$AH$1001,MATCH(ROWS($AF$2:AF205),$AF$2:$AF$1001,0),0), INDEX($AM$1004:$BM$1004,1,MATCH(COLUMNS($AM$1006:AY1006),$AM$1006:$BM$1006,0)))),"Fix")))</f>
        <v xml:space="preserve"> </v>
      </c>
      <c r="O205" s="4" t="str">
        <f ca="1">IF(OR(INDEX($AG$2:$AG$1001,MATCH(ROWS($AF$2:AF205),$AF$2:$AF$1001,0),1)&gt;=100000,INDEX($AM$1005:$BM$1005,1,MATCH(COLUMNS($AM$1006:AZ1006),$AM$1006:$BM$1006,0))&gt;=100000), " ",IF(INDEX($AM$2:$BM$1001,MATCH(ROWS($AF$2:AF205),$AF$2:$AF$1001,0),MATCH(COLUMNS($AM$1006:AZ1006),$AM$1006:$BM$1006,0)), HYPERLINK("#",""), HYPERLINK(CONCATENATE("#metadata!", ADDRESS(INDEX($AH$2:$AH$1001,MATCH(ROWS($AF$2:AF205),$AF$2:$AF$1001,0),0), INDEX($AM$1004:$BM$1004,1,MATCH(COLUMNS($AM$1006:AZ1006),$AM$1006:$BM$1006,0)))),"Fix")))</f>
        <v xml:space="preserve"> </v>
      </c>
      <c r="P205" s="4" t="str">
        <f ca="1">IF(OR(INDEX($AG$2:$AG$1001,MATCH(ROWS($AF$2:AF205),$AF$2:$AF$1001,0),1)&gt;=100000,INDEX($AM$1005:$BM$1005,1,MATCH(COLUMNS($AM$1006:BA1006),$AM$1006:$BM$1006,0))&gt;=100000), " ",IF(INDEX($AM$2:$BM$1001,MATCH(ROWS($AF$2:AF205),$AF$2:$AF$1001,0),MATCH(COLUMNS($AM$1006:BA1006),$AM$1006:$BM$1006,0)), HYPERLINK("#",""), HYPERLINK(CONCATENATE("#metadata!", ADDRESS(INDEX($AH$2:$AH$1001,MATCH(ROWS($AF$2:AF205),$AF$2:$AF$1001,0),0), INDEX($AM$1004:$BM$1004,1,MATCH(COLUMNS($AM$1006:BA1006),$AM$1006:$BM$1006,0)))),"Fix")))</f>
        <v xml:space="preserve"> </v>
      </c>
      <c r="Q205" s="4" t="str">
        <f ca="1">IF(OR(INDEX($AG$2:$AG$1001,MATCH(ROWS($AF$2:AF205),$AF$2:$AF$1001,0),1)&gt;=100000,INDEX($AM$1005:$BM$1005,1,MATCH(COLUMNS($AM$1006:BB1006),$AM$1006:$BM$1006,0))&gt;=100000), " ",IF(INDEX($AM$2:$BM$1001,MATCH(ROWS($AF$2:AF205),$AF$2:$AF$1001,0),MATCH(COLUMNS($AM$1006:BB1006),$AM$1006:$BM$1006,0)), HYPERLINK("#",""), HYPERLINK(CONCATENATE("#metadata!", ADDRESS(INDEX($AH$2:$AH$1001,MATCH(ROWS($AF$2:AF205),$AF$2:$AF$1001,0),0), INDEX($AM$1004:$BM$1004,1,MATCH(COLUMNS($AM$1006:BB1006),$AM$1006:$BM$1006,0)))),"Fix")))</f>
        <v xml:space="preserve"> </v>
      </c>
      <c r="R205" s="4" t="str">
        <f ca="1">IF(OR(INDEX($AG$2:$AG$1001,MATCH(ROWS($AF$2:AF205),$AF$2:$AF$1001,0),1)&gt;=100000,INDEX($AM$1005:$BM$1005,1,MATCH(COLUMNS($AM$1006:BC1006),$AM$1006:$BM$1006,0))&gt;=100000), " ",IF(INDEX($AM$2:$BM$1001,MATCH(ROWS($AF$2:AF205),$AF$2:$AF$1001,0),MATCH(COLUMNS($AM$1006:BC1006),$AM$1006:$BM$1006,0)), HYPERLINK("#",""), HYPERLINK(CONCATENATE("#metadata!", ADDRESS(INDEX($AH$2:$AH$1001,MATCH(ROWS($AF$2:AF205),$AF$2:$AF$1001,0),0), INDEX($AM$1004:$BM$1004,1,MATCH(COLUMNS($AM$1006:BC1006),$AM$1006:$BM$1006,0)))),"Fix")))</f>
        <v xml:space="preserve"> </v>
      </c>
      <c r="S205" s="4" t="str">
        <f ca="1">IF(OR(INDEX($AG$2:$AG$1001,MATCH(ROWS($AF$2:AF205),$AF$2:$AF$1001,0),1)&gt;=100000,INDEX($AM$1005:$BM$1005,1,MATCH(COLUMNS($AM$1006:BD1006),$AM$1006:$BM$1006,0))&gt;=100000), " ",IF(INDEX($AM$2:$BM$1001,MATCH(ROWS($AF$2:AF205),$AF$2:$AF$1001,0),MATCH(COLUMNS($AM$1006:BD1006),$AM$1006:$BM$1006,0)), HYPERLINK("#",""), HYPERLINK(CONCATENATE("#metadata!", ADDRESS(INDEX($AH$2:$AH$1001,MATCH(ROWS($AF$2:AF205),$AF$2:$AF$1001,0),0), INDEX($AM$1004:$BM$1004,1,MATCH(COLUMNS($AM$1006:BD1006),$AM$1006:$BM$1006,0)))),"Fix")))</f>
        <v xml:space="preserve"> </v>
      </c>
      <c r="T205" s="4" t="str">
        <f ca="1">IF(OR(INDEX($AG$2:$AG$1001,MATCH(ROWS($AF$2:AF205),$AF$2:$AF$1001,0),1)&gt;=100000,INDEX($AM$1005:$BM$1005,1,MATCH(COLUMNS($AM$1006:BE1006),$AM$1006:$BM$1006,0))&gt;=100000), " ",IF(INDEX($AM$2:$BM$1001,MATCH(ROWS($AF$2:AF205),$AF$2:$AF$1001,0),MATCH(COLUMNS($AM$1006:BE1006),$AM$1006:$BM$1006,0)), HYPERLINK("#",""), HYPERLINK(CONCATENATE("#metadata!", ADDRESS(INDEX($AH$2:$AH$1001,MATCH(ROWS($AF$2:AF205),$AF$2:$AF$1001,0),0), INDEX($AM$1004:$BM$1004,1,MATCH(COLUMNS($AM$1006:BE1006),$AM$1006:$BM$1006,0)))),"Fix")))</f>
        <v xml:space="preserve"> </v>
      </c>
      <c r="U205" s="4" t="str">
        <f ca="1">IF(OR(INDEX($AG$2:$AG$1001,MATCH(ROWS($AF$2:AF205),$AF$2:$AF$1001,0),1)&gt;=100000,INDEX($AM$1005:$BM$1005,1,MATCH(COLUMNS($AM$1006:BF1006),$AM$1006:$BM$1006,0))&gt;=100000), " ",IF(INDEX($AM$2:$BM$1001,MATCH(ROWS($AF$2:AF205),$AF$2:$AF$1001,0),MATCH(COLUMNS($AM$1006:BF1006),$AM$1006:$BM$1006,0)), HYPERLINK("#",""), HYPERLINK(CONCATENATE("#metadata!", ADDRESS(INDEX($AH$2:$AH$1001,MATCH(ROWS($AF$2:AF205),$AF$2:$AF$1001,0),0), INDEX($AM$1004:$BM$1004,1,MATCH(COLUMNS($AM$1006:BF1006),$AM$1006:$BM$1006,0)))),"Fix")))</f>
        <v xml:space="preserve"> </v>
      </c>
      <c r="V205" s="4" t="str">
        <f ca="1">IF(OR(INDEX($AG$2:$AG$1001,MATCH(ROWS($AF$2:AF205),$AF$2:$AF$1001,0),1)&gt;=100000,INDEX($AM$1005:$BM$1005,1,MATCH(COLUMNS($AM$1006:BG1006),$AM$1006:$BM$1006,0))&gt;=100000), " ",IF(INDEX($AM$2:$BM$1001,MATCH(ROWS($AF$2:AF205),$AF$2:$AF$1001,0),MATCH(COLUMNS($AM$1006:BG1006),$AM$1006:$BM$1006,0)), HYPERLINK("#",""), HYPERLINK(CONCATENATE("#metadata!", ADDRESS(INDEX($AH$2:$AH$1001,MATCH(ROWS($AF$2:AF205),$AF$2:$AF$1001,0),0), INDEX($AM$1004:$BM$1004,1,MATCH(COLUMNS($AM$1006:BG1006),$AM$1006:$BM$1006,0)))),"Fix")))</f>
        <v xml:space="preserve"> </v>
      </c>
      <c r="W205" s="4" t="str">
        <f ca="1">IF(OR(INDEX($AG$2:$AG$1001,MATCH(ROWS($AF$2:AF205),$AF$2:$AF$1001,0),1)&gt;=100000,INDEX($AM$1005:$BM$1005,1,MATCH(COLUMNS($AM$1006:BH1006),$AM$1006:$BM$1006,0))&gt;=100000), " ",IF(INDEX($AM$2:$BM$1001,MATCH(ROWS($AF$2:AF205),$AF$2:$AF$1001,0),MATCH(COLUMNS($AM$1006:BH1006),$AM$1006:$BM$1006,0)), HYPERLINK("#",""), HYPERLINK(CONCATENATE("#metadata!", ADDRESS(INDEX($AH$2:$AH$1001,MATCH(ROWS($AF$2:AF205),$AF$2:$AF$1001,0),0), INDEX($AM$1004:$BM$1004,1,MATCH(COLUMNS($AM$1006:BH1006),$AM$1006:$BM$1006,0)))),"Fix")))</f>
        <v xml:space="preserve"> </v>
      </c>
      <c r="X205" s="4" t="str">
        <f ca="1">IF(OR(INDEX($AG$2:$AG$1001,MATCH(ROWS($AF$2:AF205),$AF$2:$AF$1001,0),1)&gt;=100000,INDEX($AM$1005:$BM$1005,1,MATCH(COLUMNS($AM$1006:BI1006),$AM$1006:$BM$1006,0))&gt;=100000), " ",IF(INDEX($AM$2:$BM$1001,MATCH(ROWS($AF$2:AF205),$AF$2:$AF$1001,0),MATCH(COLUMNS($AM$1006:BI1006),$AM$1006:$BM$1006,0)), HYPERLINK("#",""), HYPERLINK(CONCATENATE("#metadata!", ADDRESS(INDEX($AH$2:$AH$1001,MATCH(ROWS($AF$2:AF205),$AF$2:$AF$1001,0),0), INDEX($AM$1004:$BM$1004,1,MATCH(COLUMNS($AM$1006:BI1006),$AM$1006:$BM$1006,0)))),"Fix")))</f>
        <v xml:space="preserve"> </v>
      </c>
      <c r="Y205" s="4" t="str">
        <f ca="1">IF(OR(INDEX($AG$2:$AG$1001,MATCH(ROWS($AF$2:AF205),$AF$2:$AF$1001,0),1)&gt;=100000,INDEX($AM$1005:$BM$1005,1,MATCH(COLUMNS($AM$1006:BJ1006),$AM$1006:$BM$1006,0))&gt;=100000), " ",IF(INDEX($AM$2:$BM$1001,MATCH(ROWS($AF$2:AF205),$AF$2:$AF$1001,0),MATCH(COLUMNS($AM$1006:BJ1006),$AM$1006:$BM$1006,0)), HYPERLINK("#",""), HYPERLINK(CONCATENATE("#metadata!", ADDRESS(INDEX($AH$2:$AH$1001,MATCH(ROWS($AF$2:AF205),$AF$2:$AF$1001,0),0), INDEX($AM$1004:$BM$1004,1,MATCH(COLUMNS($AM$1006:BJ1006),$AM$1006:$BM$1006,0)))),"Fix")))</f>
        <v xml:space="preserve"> </v>
      </c>
      <c r="Z205" s="4" t="str">
        <f ca="1">IF(OR(INDEX($AG$2:$AG$1001,MATCH(ROWS($AF$2:AF205),$AF$2:$AF$1001,0),1)&gt;=100000,INDEX($AM$1005:$BM$1005,1,MATCH(COLUMNS($AM$1006:BK1006),$AM$1006:$BM$1006,0))&gt;=100000), " ",IF(INDEX($AM$2:$BM$1001,MATCH(ROWS($AF$2:AF205),$AF$2:$AF$1001,0),MATCH(COLUMNS($AM$1006:BK1006),$AM$1006:$BM$1006,0)), HYPERLINK("#",""), HYPERLINK(CONCATENATE("#metadata!", ADDRESS(INDEX($AH$2:$AH$1001,MATCH(ROWS($AF$2:AF205),$AF$2:$AF$1001,0),0), INDEX($AM$1004:$BM$1004,1,MATCH(COLUMNS($AM$1006:BK1006),$AM$1006:$BM$1006,0)))),"Fix")))</f>
        <v xml:space="preserve"> </v>
      </c>
      <c r="AA205" s="4" t="str">
        <f ca="1">IF(OR(INDEX($AG$2:$AG$1001,MATCH(ROWS($AF$2:AF205),$AF$2:$AF$1001,0),1)&gt;=100000,INDEX($AM$1005:$BM$1005,1,MATCH(COLUMNS($AM$1006:BL1006),$AM$1006:$BM$1006,0))&gt;=100000), " ",IF(INDEX($AM$2:$BM$1001,MATCH(ROWS($AF$2:AF205),$AF$2:$AF$1001,0),MATCH(COLUMNS($AM$1006:BL1006),$AM$1006:$BM$1006,0)), HYPERLINK("#",""), HYPERLINK(CONCATENATE("#metadata!", ADDRESS(INDEX($AH$2:$AH$1001,MATCH(ROWS($AF$2:AF205),$AF$2:$AF$1001,0),0), INDEX($AM$1004:$BM$1004,1,MATCH(COLUMNS($AM$1006:BL1006),$AM$1006:$BM$1006,0)))),"Fix")))</f>
        <v xml:space="preserve"> </v>
      </c>
      <c r="AB205" s="4" t="str">
        <f ca="1">IF(OR(INDEX($AG$2:$AG$1001,MATCH(ROWS($AF$2:AF205),$AF$2:$AF$1001,0),1)&gt;=100000,INDEX($AM$1005:$BM$1005,1,MATCH(COLUMNS($AM$1006:BM1006),$AM$1006:$BM$1006,0))&gt;=100000), " ",IF(INDEX($AM$2:$BM$1001,MATCH(ROWS($AF$2:AF205),$AF$2:$AF$1001,0),MATCH(COLUMNS($AM$1006:BM1006),$AM$1006:$BM$1006,0)), HYPERLINK("#",""), HYPERLINK(CONCATENATE("#metadata!", ADDRESS(INDEX($AH$2:$AH$1001,MATCH(ROWS($AF$2:AF205),$AF$2:$AF$1001,0),0), INDEX($AM$1004:$BM$1004,1,MATCH(COLUMNS($AM$1006:BM1006),$AM$1006:$BM$1006,0)))),"Fix")))</f>
        <v xml:space="preserve"> </v>
      </c>
      <c r="AF205">
        <v>204</v>
      </c>
      <c r="AG205">
        <v>100205</v>
      </c>
      <c r="AH205">
        <v>205</v>
      </c>
      <c r="AI205" t="b">
        <f t="shared" si="3"/>
        <v>1</v>
      </c>
      <c r="AJ205" t="b">
        <f>COUNTBLANK(metadata!B205:AB205)=COLUMNS(metadata!B205:AB205)</f>
        <v>1</v>
      </c>
      <c r="AK205" t="str">
        <v/>
      </c>
      <c r="AM205" t="b">
        <f ca="1">AND(IF(metadata!B205="",FALSE,TRUE),COUNTIF(metadata!B:B, metadata!B205) = 1,NOT(ISERROR(SUMPRODUCT(SEARCH(MID(metadata!B205,ROW(INDIRECT("1:"&amp;LEN(metadata!B205))), 1),"0123456789abcdefghijklmnopqrstuvwxyzABCDEFGHIJKLMNOPQRSTUVWXYZ.")))))</f>
        <v>0</v>
      </c>
      <c r="AN205" t="b">
        <f ca="1">OR(AND(IF(metadata!C205="",FALSE,TRUE),OR(EXACT(metadata!C205,"missing: not collected"),EXACT(metadata!C205,"missing: not provided"),EXACT(metadata!C205,"missing: restricted access"))),AND(IF(metadata!C205="",FALSE,TRUE),AND(AND(IFERROR(INT(LEFT(metadata!C205,4))&gt;1900,FALSE),IFERROR(INT(LEFT(metadata!C205,4))&lt;=YEAR(NOW()),FALSE)), OR(MID(metadata!C205,5,1)="", AND(AND(MID(metadata!C205,5,1)="-",IFERROR(INT(MID(metadata!C205,6,1))&gt;=0,FALSE),IFERROR(INT(MID(metadata!C205,6,1))&lt;=1,FALSE),NOT(MID(metadata!C205,7,1)=""),IFERROR(INT(MID(metadata!C205,6,2))&gt;=1,FALSE),IFERROR(INT(MID(metadata!C205,6,2))&lt;=12,FALSE)), OR(MID(metadata!C205,8,1)="", AND(AND(MID(metadata!C205,8,1)="-",IFERROR(INT(MID(metadata!C205,9,1))&gt;=0,FALSE),IFERROR(INT(MID(metadata!C205,9,1))&lt;=3,FALSE),NOT(MID(metadata!C205,10,1)=""),IFERROR(INT(MID(metadata!C205,9,2))&gt;=1,FALSE),IFERROR(INT(MID(metadata!C205,9,2))&lt;=31,FALSE)), OR(MID(metadata!C205,11,1)="", AND(AND(MID(metadata!C205,11,1)=" ",IFERROR(INT(MID(metadata!C205,12,1))&gt;=0,FALSE),IFERROR(INT(MID(metadata!C205,12,1))&lt;=2,FALSE),NOT(MID(metadata!C205,13,1)=""),IFERROR(INT(MID(metadata!C205,12,2))&gt;=0,FALSE),IFERROR(INT(MID(metadata!C205,12,2))&lt;=23,FALSE)), OR(MID(metadata!C205,14,1)="", AND(AND(MID(metadata!C205,14,1)=":",IFERROR(INT(MID(metadata!C205,15,1))&gt;=0,FALSE),IFERROR(INT(MID(metadata!C205,15,1))&lt;=5,FALSE),NOT(MID(metadata!C205,16,1)=""),IFERROR(INT(MID(metadata!C205,15,2))&gt;=0,FALSE),IFERROR(INT(MID(metadata!C205,15,2))&lt;=59,FALSE)), OR(MID(metadata!C205,17,1)="", AND(AND(MID(metadata!C205,17,1)=":",IFERROR(INT(MID(metadata!C205,18,1))&gt;=0,FALSE),IFERROR(INT(MID(metadata!C205,18,1))&lt;=5,FALSE),NOT(MID(metadata!C205,19,1)=""),IFERROR(INT(MID(metadata!C205,18,2))&gt;=0,FALSE),IFERROR(INT(MID(metadata!C205,18,2))&lt;=59,FALSE)), LEN(metadata!C205)&lt;=19)))))))))))))</f>
        <v>0</v>
      </c>
      <c r="AO205" t="b">
        <f>AND(IF(metadata!D205="",FALSE,TRUE),EXACT(metadata!D205,"Not applicable"))</f>
        <v>0</v>
      </c>
      <c r="AP205" t="b">
        <f>IF(metadata!E205="",FALSE,TRUE)</f>
        <v>0</v>
      </c>
      <c r="AQ205" t="b">
        <f>OR(AND(IF(metadata!F205="",FALSE,TRUE),OR(EXACT(metadata!F205,"missing: not collected"),EXACT(metadata!F205,"missing: not provided"))),AND(IF(metadata!F205="",FALSE,TRUE),OR(EXACT(metadata!F205,"TRUE"),EXACT(metadata!F205,"FALSE"))))</f>
        <v>0</v>
      </c>
      <c r="AR205" t="b">
        <f>OR(AND(IF(metadata!G205="",FALSE,TRUE),OR(EXACT(metadata!G205,"missing: not collected"),EXACT(metadata!G205,"missing: not provided"),EXACT(metadata!G205,"missing: restricted access"))),AND(IF(metadata!G205="",FALSE,ISNUMBER(VALUE(metadata!G205))),metadata!G205&gt;=-413))</f>
        <v>0</v>
      </c>
      <c r="AS205" t="b">
        <f>AND(IF(metadata!H205="",FALSE,TRUE),EXACT(metadata!H205,"meters"))</f>
        <v>0</v>
      </c>
      <c r="AT205" t="b">
        <f>AND(IF(metadata!I205="",FALSE,TRUE),OR(EXACT(metadata!I205,"Host-associated"),EXACT(metadata!I205,"Free-living")))</f>
        <v>0</v>
      </c>
      <c r="AU205" t="b">
        <f>AND(IF(metadata!J205="",FALSE,TRUE),OR(EXACT(metadata!J205,"Animal"),EXACT(metadata!J205,"Fungus"),EXACT(metadata!J205,"Plant"),EXACT(metadata!J205,"Saline"),EXACT(metadata!J205,"Non-saline")))</f>
        <v>0</v>
      </c>
      <c r="AV205" t="b">
        <f>AND(IF(metadata!K205="",FALSE,TRUE),OR(EXACT(metadata!K205,"Plant secretion"),EXACT(metadata!K205,"Plant rhizosphere"),EXACT(metadata!K205,"Plant surface"),EXACT(metadata!K205,"Plant corpus"),EXACT(metadata!K205,"Fungus surface"),EXACT(metadata!K205,"Fungus corpus"),EXACT(metadata!K205,"Animal surface"),EXACT(metadata!K205,"Animal proximal gut"),EXACT(metadata!K205,"Animal corpus"),EXACT(metadata!K205,"Animal distal gut"),EXACT(metadata!K205,"Animal secretion"),EXACT(metadata!K205,"Sub-surface (non-saline)"),EXACT(metadata!K205,"Surface (non-saline)"),EXACT(metadata!K205,"Water (non-saline)"),EXACT(metadata!K205,"Soil (non-saline)"),EXACT(metadata!K205,"Aerosol (non-saline)"),EXACT(metadata!K205,"Sediment (non-saline)"),EXACT(metadata!K205,"Surface (saline)"),EXACT(metadata!K205,"Water (saline)"),EXACT(metadata!K205,"Hypersaline (saline)"),EXACT(metadata!K205,"Aerosol (saline)"),EXACT(metadata!K205,"Sediment (saline)")))</f>
        <v>0</v>
      </c>
      <c r="AW205" t="b">
        <f>IF(metadata!L205="",FALSE,TRUE)</f>
        <v>0</v>
      </c>
      <c r="AX205" t="b">
        <f>IF(metadata!M205="",FALSE,TRUE)</f>
        <v>0</v>
      </c>
      <c r="AY205" t="b">
        <f>IF(metadata!N205="",FALSE,TRUE)</f>
        <v>0</v>
      </c>
      <c r="AZ205" t="b">
        <f>OR(AND(IF(metadata!O205="",FALSE,TRUE),OR(EXACT(metadata!O205,"missing: not collected"),EXACT(metadata!O205,"missing: not provided"),EXACT(metadata!O205,"missing: restricted access"))),AND(IF(metadata!O205="",FALSE,TRUE),OR(EXACT(metadata!O205,"air"),EXACT(metadata!O205,"built environment"),EXACT(metadata!O205,"host-associated"),EXACT(metadata!O205,"human-associated"),EXACT(metadata!O205,"human-skin"),EXACT(metadata!O205,"human-oral"),EXACT(metadata!O205,"human-gut"),EXACT(metadata!O205,"human-vaginal"),EXACT(metadata!O205,"microbial mat/biofilm"),EXACT(metadata!O205,"misc environment"),EXACT(metadata!O205,"plant-associated"),EXACT(metadata!O205,"sediment"),EXACT(metadata!O205,"soil"),EXACT(metadata!O205,"wastewater/sludge"),EXACT(metadata!O205,"water"))))</f>
        <v>0</v>
      </c>
      <c r="BA205" t="b">
        <f>IF(metadata!P205="",FALSE,TRUE)</f>
        <v>0</v>
      </c>
      <c r="BB205" t="b">
        <f>IF(metadata!Q205="",FALSE,TRUE)</f>
        <v>0</v>
      </c>
      <c r="BC205" t="b">
        <f>OR(AND(IF(metadata!R205="",FALSE,TRUE),OR(EXACT(metadata!R205,"missing: not collected"),EXACT(metadata!R205,"missing: not provided"),EXACT(metadata!R205,"missing: restricted access"))),AND(IF(metadata!R205="",FALSE,ISNUMBER(VALUE(metadata!R205))),metadata!R205&gt;=-90,metadata!R205&lt;=90))</f>
        <v>0</v>
      </c>
      <c r="BD205" t="b">
        <f>AND(IF(metadata!S205="",FALSE,TRUE),EXACT(metadata!S205,"Decimal degrees"))</f>
        <v>0</v>
      </c>
      <c r="BE205" t="b">
        <f>OR(AND(IF(metadata!T205="",FALSE,TRUE),OR(EXACT(metadata!T205,"missing: not collected"),EXACT(metadata!T205,"missing: not provided"),EXACT(metadata!T205,"missing: restricted access"))),AND(IF(metadata!T205="",FALSE,ISNUMBER(VALUE(metadata!T205))),metadata!T205&gt;=-180,metadata!T205&lt;=180))</f>
        <v>0</v>
      </c>
      <c r="BF205" t="b">
        <f>AND(IF(metadata!U205="",FALSE,TRUE),EXACT(metadata!U205,"Decimal degrees"))</f>
        <v>0</v>
      </c>
      <c r="BG205" t="b">
        <f>IF(metadata!V205="",FALSE,TRUE)</f>
        <v>0</v>
      </c>
      <c r="BH205" t="b">
        <f>OR(AND(IF(metadata!W205="",FALSE,TRUE),OR(EXACT(metadata!W205,"missing: not collected"),EXACT(metadata!W205,"missing: not provided"),EXACT(metadata!W205,"missing: restricted access"))),AND(IF(metadata!W205="",FALSE,TRUE),OR(EXACT(metadata!W205,"TRUE"),EXACT(metadata!W205,"FALSE"))))</f>
        <v>0</v>
      </c>
      <c r="BI205" t="b">
        <f>AND(IF(metadata!X205="",FALSE,TRUE),EXACT(metadata!X205,"other"))</f>
        <v>0</v>
      </c>
      <c r="BJ205" t="b">
        <f>IF(metadata!Y205="",FALSE,TRUE)</f>
        <v>0</v>
      </c>
      <c r="BK205" t="b">
        <f>OR(AND(IF(metadata!Z205="",FALSE,TRUE),OR(EXACT(metadata!Z205,"missing: not collected"),EXACT(metadata!Z205,"missing: not provided"))),AND(IF(metadata!Z205="",FALSE,IF(ISERROR(INT(metadata!Z205)),FALSE,INT(metadata!Z205)=metadata!Z205)),metadata!Z205&gt;0))</f>
        <v>0</v>
      </c>
      <c r="BL205" t="b">
        <f>AND(IF(metadata!AA205="",FALSE,TRUE),EXACT(metadata!AA205,"Not applicable"))</f>
        <v>0</v>
      </c>
      <c r="BM205" t="b">
        <f>IF(metadata!AB205="",FALSE,TRUE)</f>
        <v>0</v>
      </c>
    </row>
    <row r="206" spans="1:65" x14ac:dyDescent="0.2">
      <c r="A206" s="5" t="str">
        <f ca="1">IF(B206=" "," ",HYPERLINK(CONCATENATE("#metadata!",ADDRESS(INDEX($AH$2:$AH$1001,MATCH(ROWS($AF$2:AF206),$AF$2:$AF$1001,0),0),1)),INDEX($AK$2:$AK$1001,MATCH(ROWS($AF$2:AF206),$AF$2:$AF$1001,0),0)))</f>
        <v xml:space="preserve"> </v>
      </c>
      <c r="B206" s="4" t="str">
        <f ca="1">IF(OR(INDEX($AG$2:$AG$1001,MATCH(ROWS($AF$2:AF206),$AF$2:$AF$1001,0),1)&gt;=100000,INDEX($AM$1005:$BM$1005,1,MATCH(COLUMNS($AM$1006:AM1006),$AM$1006:$BM$1006,0))&gt;=100000), " ",IF(INDEX($AM$2:$BM$1001,MATCH(ROWS($AF$2:AF206),$AF$2:$AF$1001,0),MATCH(COLUMNS($AM$1006:AM1006),$AM$1006:$BM$1006,0)), HYPERLINK("#",""), HYPERLINK(CONCATENATE("#metadata!", ADDRESS(INDEX($AH$2:$AH$1001,MATCH(ROWS($AF$2:AF206),$AF$2:$AF$1001,0),0), INDEX($AM$1004:$BM$1004,1,MATCH(COLUMNS($AM$1006:AM1006),$AM$1006:$BM$1006,0)))),"Fix")))</f>
        <v xml:space="preserve"> </v>
      </c>
      <c r="C206" s="4" t="str">
        <f ca="1">IF(OR(INDEX($AG$2:$AG$1001,MATCH(ROWS($AF$2:AF206),$AF$2:$AF$1001,0),1)&gt;=100000,INDEX($AM$1005:$BM$1005,1,MATCH(COLUMNS($AM$1006:AN1006),$AM$1006:$BM$1006,0))&gt;=100000), " ",IF(INDEX($AM$2:$BM$1001,MATCH(ROWS($AF$2:AF206),$AF$2:$AF$1001,0),MATCH(COLUMNS($AM$1006:AN1006),$AM$1006:$BM$1006,0)), HYPERLINK("#",""), HYPERLINK(CONCATENATE("#metadata!", ADDRESS(INDEX($AH$2:$AH$1001,MATCH(ROWS($AF$2:AF206),$AF$2:$AF$1001,0),0), INDEX($AM$1004:$BM$1004,1,MATCH(COLUMNS($AM$1006:AN1006),$AM$1006:$BM$1006,0)))),"Fix")))</f>
        <v xml:space="preserve"> </v>
      </c>
      <c r="D206" s="4" t="str">
        <f ca="1">IF(OR(INDEX($AG$2:$AG$1001,MATCH(ROWS($AF$2:AF206),$AF$2:$AF$1001,0),1)&gt;=100000,INDEX($AM$1005:$BM$1005,1,MATCH(COLUMNS($AM$1006:AO1006),$AM$1006:$BM$1006,0))&gt;=100000), " ",IF(INDEX($AM$2:$BM$1001,MATCH(ROWS($AF$2:AF206),$AF$2:$AF$1001,0),MATCH(COLUMNS($AM$1006:AO1006),$AM$1006:$BM$1006,0)), HYPERLINK("#",""), HYPERLINK(CONCATENATE("#metadata!", ADDRESS(INDEX($AH$2:$AH$1001,MATCH(ROWS($AF$2:AF206),$AF$2:$AF$1001,0),0), INDEX($AM$1004:$BM$1004,1,MATCH(COLUMNS($AM$1006:AO1006),$AM$1006:$BM$1006,0)))),"Fix")))</f>
        <v xml:space="preserve"> </v>
      </c>
      <c r="E206" s="4" t="str">
        <f ca="1">IF(OR(INDEX($AG$2:$AG$1001,MATCH(ROWS($AF$2:AF206),$AF$2:$AF$1001,0),1)&gt;=100000,INDEX($AM$1005:$BM$1005,1,MATCH(COLUMNS($AM$1006:AP1006),$AM$1006:$BM$1006,0))&gt;=100000), " ",IF(INDEX($AM$2:$BM$1001,MATCH(ROWS($AF$2:AF206),$AF$2:$AF$1001,0),MATCH(COLUMNS($AM$1006:AP1006),$AM$1006:$BM$1006,0)), HYPERLINK("#",""), HYPERLINK(CONCATENATE("#metadata!", ADDRESS(INDEX($AH$2:$AH$1001,MATCH(ROWS($AF$2:AF206),$AF$2:$AF$1001,0),0), INDEX($AM$1004:$BM$1004,1,MATCH(COLUMNS($AM$1006:AP1006),$AM$1006:$BM$1006,0)))),"Fix")))</f>
        <v xml:space="preserve"> </v>
      </c>
      <c r="F206" s="4" t="str">
        <f ca="1">IF(OR(INDEX($AG$2:$AG$1001,MATCH(ROWS($AF$2:AF206),$AF$2:$AF$1001,0),1)&gt;=100000,INDEX($AM$1005:$BM$1005,1,MATCH(COLUMNS($AM$1006:AQ1006),$AM$1006:$BM$1006,0))&gt;=100000), " ",IF(INDEX($AM$2:$BM$1001,MATCH(ROWS($AF$2:AF206),$AF$2:$AF$1001,0),MATCH(COLUMNS($AM$1006:AQ1006),$AM$1006:$BM$1006,0)), HYPERLINK("#",""), HYPERLINK(CONCATENATE("#metadata!", ADDRESS(INDEX($AH$2:$AH$1001,MATCH(ROWS($AF$2:AF206),$AF$2:$AF$1001,0),0), INDEX($AM$1004:$BM$1004,1,MATCH(COLUMNS($AM$1006:AQ1006),$AM$1006:$BM$1006,0)))),"Fix")))</f>
        <v xml:space="preserve"> </v>
      </c>
      <c r="G206" s="4" t="str">
        <f ca="1">IF(OR(INDEX($AG$2:$AG$1001,MATCH(ROWS($AF$2:AF206),$AF$2:$AF$1001,0),1)&gt;=100000,INDEX($AM$1005:$BM$1005,1,MATCH(COLUMNS($AM$1006:AR1006),$AM$1006:$BM$1006,0))&gt;=100000), " ",IF(INDEX($AM$2:$BM$1001,MATCH(ROWS($AF$2:AF206),$AF$2:$AF$1001,0),MATCH(COLUMNS($AM$1006:AR1006),$AM$1006:$BM$1006,0)), HYPERLINK("#",""), HYPERLINK(CONCATENATE("#metadata!", ADDRESS(INDEX($AH$2:$AH$1001,MATCH(ROWS($AF$2:AF206),$AF$2:$AF$1001,0),0), INDEX($AM$1004:$BM$1004,1,MATCH(COLUMNS($AM$1006:AR1006),$AM$1006:$BM$1006,0)))),"Fix")))</f>
        <v xml:space="preserve"> </v>
      </c>
      <c r="H206" s="4" t="str">
        <f ca="1">IF(OR(INDEX($AG$2:$AG$1001,MATCH(ROWS($AF$2:AF206),$AF$2:$AF$1001,0),1)&gt;=100000,INDEX($AM$1005:$BM$1005,1,MATCH(COLUMNS($AM$1006:AS1006),$AM$1006:$BM$1006,0))&gt;=100000), " ",IF(INDEX($AM$2:$BM$1001,MATCH(ROWS($AF$2:AF206),$AF$2:$AF$1001,0),MATCH(COLUMNS($AM$1006:AS1006),$AM$1006:$BM$1006,0)), HYPERLINK("#",""), HYPERLINK(CONCATENATE("#metadata!", ADDRESS(INDEX($AH$2:$AH$1001,MATCH(ROWS($AF$2:AF206),$AF$2:$AF$1001,0),0), INDEX($AM$1004:$BM$1004,1,MATCH(COLUMNS($AM$1006:AS1006),$AM$1006:$BM$1006,0)))),"Fix")))</f>
        <v xml:space="preserve"> </v>
      </c>
      <c r="I206" s="4" t="str">
        <f ca="1">IF(OR(INDEX($AG$2:$AG$1001,MATCH(ROWS($AF$2:AF206),$AF$2:$AF$1001,0),1)&gt;=100000,INDEX($AM$1005:$BM$1005,1,MATCH(COLUMNS($AM$1006:AT1006),$AM$1006:$BM$1006,0))&gt;=100000), " ",IF(INDEX($AM$2:$BM$1001,MATCH(ROWS($AF$2:AF206),$AF$2:$AF$1001,0),MATCH(COLUMNS($AM$1006:AT1006),$AM$1006:$BM$1006,0)), HYPERLINK("#",""), HYPERLINK(CONCATENATE("#metadata!", ADDRESS(INDEX($AH$2:$AH$1001,MATCH(ROWS($AF$2:AF206),$AF$2:$AF$1001,0),0), INDEX($AM$1004:$BM$1004,1,MATCH(COLUMNS($AM$1006:AT1006),$AM$1006:$BM$1006,0)))),"Fix")))</f>
        <v xml:space="preserve"> </v>
      </c>
      <c r="J206" s="4" t="str">
        <f ca="1">IF(OR(INDEX($AG$2:$AG$1001,MATCH(ROWS($AF$2:AF206),$AF$2:$AF$1001,0),1)&gt;=100000,INDEX($AM$1005:$BM$1005,1,MATCH(COLUMNS($AM$1006:AU1006),$AM$1006:$BM$1006,0))&gt;=100000), " ",IF(INDEX($AM$2:$BM$1001,MATCH(ROWS($AF$2:AF206),$AF$2:$AF$1001,0),MATCH(COLUMNS($AM$1006:AU1006),$AM$1006:$BM$1006,0)), HYPERLINK("#",""), HYPERLINK(CONCATENATE("#metadata!", ADDRESS(INDEX($AH$2:$AH$1001,MATCH(ROWS($AF$2:AF206),$AF$2:$AF$1001,0),0), INDEX($AM$1004:$BM$1004,1,MATCH(COLUMNS($AM$1006:AU1006),$AM$1006:$BM$1006,0)))),"Fix")))</f>
        <v xml:space="preserve"> </v>
      </c>
      <c r="K206" s="4" t="str">
        <f ca="1">IF(OR(INDEX($AG$2:$AG$1001,MATCH(ROWS($AF$2:AF206),$AF$2:$AF$1001,0),1)&gt;=100000,INDEX($AM$1005:$BM$1005,1,MATCH(COLUMNS($AM$1006:AV1006),$AM$1006:$BM$1006,0))&gt;=100000), " ",IF(INDEX($AM$2:$BM$1001,MATCH(ROWS($AF$2:AF206),$AF$2:$AF$1001,0),MATCH(COLUMNS($AM$1006:AV1006),$AM$1006:$BM$1006,0)), HYPERLINK("#",""), HYPERLINK(CONCATENATE("#metadata!", ADDRESS(INDEX($AH$2:$AH$1001,MATCH(ROWS($AF$2:AF206),$AF$2:$AF$1001,0),0), INDEX($AM$1004:$BM$1004,1,MATCH(COLUMNS($AM$1006:AV1006),$AM$1006:$BM$1006,0)))),"Fix")))</f>
        <v xml:space="preserve"> </v>
      </c>
      <c r="L206" s="4" t="str">
        <f ca="1">IF(OR(INDEX($AG$2:$AG$1001,MATCH(ROWS($AF$2:AF206),$AF$2:$AF$1001,0),1)&gt;=100000,INDEX($AM$1005:$BM$1005,1,MATCH(COLUMNS($AM$1006:AW1006),$AM$1006:$BM$1006,0))&gt;=100000), " ",IF(INDEX($AM$2:$BM$1001,MATCH(ROWS($AF$2:AF206),$AF$2:$AF$1001,0),MATCH(COLUMNS($AM$1006:AW1006),$AM$1006:$BM$1006,0)), HYPERLINK("#",""), HYPERLINK(CONCATENATE("#metadata!", ADDRESS(INDEX($AH$2:$AH$1001,MATCH(ROWS($AF$2:AF206),$AF$2:$AF$1001,0),0), INDEX($AM$1004:$BM$1004,1,MATCH(COLUMNS($AM$1006:AW1006),$AM$1006:$BM$1006,0)))),"Fix")))</f>
        <v xml:space="preserve"> </v>
      </c>
      <c r="M206" s="4" t="str">
        <f ca="1">IF(OR(INDEX($AG$2:$AG$1001,MATCH(ROWS($AF$2:AF206),$AF$2:$AF$1001,0),1)&gt;=100000,INDEX($AM$1005:$BM$1005,1,MATCH(COLUMNS($AM$1006:AX1006),$AM$1006:$BM$1006,0))&gt;=100000), " ",IF(INDEX($AM$2:$BM$1001,MATCH(ROWS($AF$2:AF206),$AF$2:$AF$1001,0),MATCH(COLUMNS($AM$1006:AX1006),$AM$1006:$BM$1006,0)), HYPERLINK("#",""), HYPERLINK(CONCATENATE("#metadata!", ADDRESS(INDEX($AH$2:$AH$1001,MATCH(ROWS($AF$2:AF206),$AF$2:$AF$1001,0),0), INDEX($AM$1004:$BM$1004,1,MATCH(COLUMNS($AM$1006:AX1006),$AM$1006:$BM$1006,0)))),"Fix")))</f>
        <v xml:space="preserve"> </v>
      </c>
      <c r="N206" s="4" t="str">
        <f ca="1">IF(OR(INDEX($AG$2:$AG$1001,MATCH(ROWS($AF$2:AF206),$AF$2:$AF$1001,0),1)&gt;=100000,INDEX($AM$1005:$BM$1005,1,MATCH(COLUMNS($AM$1006:AY1006),$AM$1006:$BM$1006,0))&gt;=100000), " ",IF(INDEX($AM$2:$BM$1001,MATCH(ROWS($AF$2:AF206),$AF$2:$AF$1001,0),MATCH(COLUMNS($AM$1006:AY1006),$AM$1006:$BM$1006,0)), HYPERLINK("#",""), HYPERLINK(CONCATENATE("#metadata!", ADDRESS(INDEX($AH$2:$AH$1001,MATCH(ROWS($AF$2:AF206),$AF$2:$AF$1001,0),0), INDEX($AM$1004:$BM$1004,1,MATCH(COLUMNS($AM$1006:AY1006),$AM$1006:$BM$1006,0)))),"Fix")))</f>
        <v xml:space="preserve"> </v>
      </c>
      <c r="O206" s="4" t="str">
        <f ca="1">IF(OR(INDEX($AG$2:$AG$1001,MATCH(ROWS($AF$2:AF206),$AF$2:$AF$1001,0),1)&gt;=100000,INDEX($AM$1005:$BM$1005,1,MATCH(COLUMNS($AM$1006:AZ1006),$AM$1006:$BM$1006,0))&gt;=100000), " ",IF(INDEX($AM$2:$BM$1001,MATCH(ROWS($AF$2:AF206),$AF$2:$AF$1001,0),MATCH(COLUMNS($AM$1006:AZ1006),$AM$1006:$BM$1006,0)), HYPERLINK("#",""), HYPERLINK(CONCATENATE("#metadata!", ADDRESS(INDEX($AH$2:$AH$1001,MATCH(ROWS($AF$2:AF206),$AF$2:$AF$1001,0),0), INDEX($AM$1004:$BM$1004,1,MATCH(COLUMNS($AM$1006:AZ1006),$AM$1006:$BM$1006,0)))),"Fix")))</f>
        <v xml:space="preserve"> </v>
      </c>
      <c r="P206" s="4" t="str">
        <f ca="1">IF(OR(INDEX($AG$2:$AG$1001,MATCH(ROWS($AF$2:AF206),$AF$2:$AF$1001,0),1)&gt;=100000,INDEX($AM$1005:$BM$1005,1,MATCH(COLUMNS($AM$1006:BA1006),$AM$1006:$BM$1006,0))&gt;=100000), " ",IF(INDEX($AM$2:$BM$1001,MATCH(ROWS($AF$2:AF206),$AF$2:$AF$1001,0),MATCH(COLUMNS($AM$1006:BA1006),$AM$1006:$BM$1006,0)), HYPERLINK("#",""), HYPERLINK(CONCATENATE("#metadata!", ADDRESS(INDEX($AH$2:$AH$1001,MATCH(ROWS($AF$2:AF206),$AF$2:$AF$1001,0),0), INDEX($AM$1004:$BM$1004,1,MATCH(COLUMNS($AM$1006:BA1006),$AM$1006:$BM$1006,0)))),"Fix")))</f>
        <v xml:space="preserve"> </v>
      </c>
      <c r="Q206" s="4" t="str">
        <f ca="1">IF(OR(INDEX($AG$2:$AG$1001,MATCH(ROWS($AF$2:AF206),$AF$2:$AF$1001,0),1)&gt;=100000,INDEX($AM$1005:$BM$1005,1,MATCH(COLUMNS($AM$1006:BB1006),$AM$1006:$BM$1006,0))&gt;=100000), " ",IF(INDEX($AM$2:$BM$1001,MATCH(ROWS($AF$2:AF206),$AF$2:$AF$1001,0),MATCH(COLUMNS($AM$1006:BB1006),$AM$1006:$BM$1006,0)), HYPERLINK("#",""), HYPERLINK(CONCATENATE("#metadata!", ADDRESS(INDEX($AH$2:$AH$1001,MATCH(ROWS($AF$2:AF206),$AF$2:$AF$1001,0),0), INDEX($AM$1004:$BM$1004,1,MATCH(COLUMNS($AM$1006:BB1006),$AM$1006:$BM$1006,0)))),"Fix")))</f>
        <v xml:space="preserve"> </v>
      </c>
      <c r="R206" s="4" t="str">
        <f ca="1">IF(OR(INDEX($AG$2:$AG$1001,MATCH(ROWS($AF$2:AF206),$AF$2:$AF$1001,0),1)&gt;=100000,INDEX($AM$1005:$BM$1005,1,MATCH(COLUMNS($AM$1006:BC1006),$AM$1006:$BM$1006,0))&gt;=100000), " ",IF(INDEX($AM$2:$BM$1001,MATCH(ROWS($AF$2:AF206),$AF$2:$AF$1001,0),MATCH(COLUMNS($AM$1006:BC1006),$AM$1006:$BM$1006,0)), HYPERLINK("#",""), HYPERLINK(CONCATENATE("#metadata!", ADDRESS(INDEX($AH$2:$AH$1001,MATCH(ROWS($AF$2:AF206),$AF$2:$AF$1001,0),0), INDEX($AM$1004:$BM$1004,1,MATCH(COLUMNS($AM$1006:BC1006),$AM$1006:$BM$1006,0)))),"Fix")))</f>
        <v xml:space="preserve"> </v>
      </c>
      <c r="S206" s="4" t="str">
        <f ca="1">IF(OR(INDEX($AG$2:$AG$1001,MATCH(ROWS($AF$2:AF206),$AF$2:$AF$1001,0),1)&gt;=100000,INDEX($AM$1005:$BM$1005,1,MATCH(COLUMNS($AM$1006:BD1006),$AM$1006:$BM$1006,0))&gt;=100000), " ",IF(INDEX($AM$2:$BM$1001,MATCH(ROWS($AF$2:AF206),$AF$2:$AF$1001,0),MATCH(COLUMNS($AM$1006:BD1006),$AM$1006:$BM$1006,0)), HYPERLINK("#",""), HYPERLINK(CONCATENATE("#metadata!", ADDRESS(INDEX($AH$2:$AH$1001,MATCH(ROWS($AF$2:AF206),$AF$2:$AF$1001,0),0), INDEX($AM$1004:$BM$1004,1,MATCH(COLUMNS($AM$1006:BD1006),$AM$1006:$BM$1006,0)))),"Fix")))</f>
        <v xml:space="preserve"> </v>
      </c>
      <c r="T206" s="4" t="str">
        <f ca="1">IF(OR(INDEX($AG$2:$AG$1001,MATCH(ROWS($AF$2:AF206),$AF$2:$AF$1001,0),1)&gt;=100000,INDEX($AM$1005:$BM$1005,1,MATCH(COLUMNS($AM$1006:BE1006),$AM$1006:$BM$1006,0))&gt;=100000), " ",IF(INDEX($AM$2:$BM$1001,MATCH(ROWS($AF$2:AF206),$AF$2:$AF$1001,0),MATCH(COLUMNS($AM$1006:BE1006),$AM$1006:$BM$1006,0)), HYPERLINK("#",""), HYPERLINK(CONCATENATE("#metadata!", ADDRESS(INDEX($AH$2:$AH$1001,MATCH(ROWS($AF$2:AF206),$AF$2:$AF$1001,0),0), INDEX($AM$1004:$BM$1004,1,MATCH(COLUMNS($AM$1006:BE1006),$AM$1006:$BM$1006,0)))),"Fix")))</f>
        <v xml:space="preserve"> </v>
      </c>
      <c r="U206" s="4" t="str">
        <f ca="1">IF(OR(INDEX($AG$2:$AG$1001,MATCH(ROWS($AF$2:AF206),$AF$2:$AF$1001,0),1)&gt;=100000,INDEX($AM$1005:$BM$1005,1,MATCH(COLUMNS($AM$1006:BF1006),$AM$1006:$BM$1006,0))&gt;=100000), " ",IF(INDEX($AM$2:$BM$1001,MATCH(ROWS($AF$2:AF206),$AF$2:$AF$1001,0),MATCH(COLUMNS($AM$1006:BF1006),$AM$1006:$BM$1006,0)), HYPERLINK("#",""), HYPERLINK(CONCATENATE("#metadata!", ADDRESS(INDEX($AH$2:$AH$1001,MATCH(ROWS($AF$2:AF206),$AF$2:$AF$1001,0),0), INDEX($AM$1004:$BM$1004,1,MATCH(COLUMNS($AM$1006:BF1006),$AM$1006:$BM$1006,0)))),"Fix")))</f>
        <v xml:space="preserve"> </v>
      </c>
      <c r="V206" s="4" t="str">
        <f ca="1">IF(OR(INDEX($AG$2:$AG$1001,MATCH(ROWS($AF$2:AF206),$AF$2:$AF$1001,0),1)&gt;=100000,INDEX($AM$1005:$BM$1005,1,MATCH(COLUMNS($AM$1006:BG1006),$AM$1006:$BM$1006,0))&gt;=100000), " ",IF(INDEX($AM$2:$BM$1001,MATCH(ROWS($AF$2:AF206),$AF$2:$AF$1001,0),MATCH(COLUMNS($AM$1006:BG1006),$AM$1006:$BM$1006,0)), HYPERLINK("#",""), HYPERLINK(CONCATENATE("#metadata!", ADDRESS(INDEX($AH$2:$AH$1001,MATCH(ROWS($AF$2:AF206),$AF$2:$AF$1001,0),0), INDEX($AM$1004:$BM$1004,1,MATCH(COLUMNS($AM$1006:BG1006),$AM$1006:$BM$1006,0)))),"Fix")))</f>
        <v xml:space="preserve"> </v>
      </c>
      <c r="W206" s="4" t="str">
        <f ca="1">IF(OR(INDEX($AG$2:$AG$1001,MATCH(ROWS($AF$2:AF206),$AF$2:$AF$1001,0),1)&gt;=100000,INDEX($AM$1005:$BM$1005,1,MATCH(COLUMNS($AM$1006:BH1006),$AM$1006:$BM$1006,0))&gt;=100000), " ",IF(INDEX($AM$2:$BM$1001,MATCH(ROWS($AF$2:AF206),$AF$2:$AF$1001,0),MATCH(COLUMNS($AM$1006:BH1006),$AM$1006:$BM$1006,0)), HYPERLINK("#",""), HYPERLINK(CONCATENATE("#metadata!", ADDRESS(INDEX($AH$2:$AH$1001,MATCH(ROWS($AF$2:AF206),$AF$2:$AF$1001,0),0), INDEX($AM$1004:$BM$1004,1,MATCH(COLUMNS($AM$1006:BH1006),$AM$1006:$BM$1006,0)))),"Fix")))</f>
        <v xml:space="preserve"> </v>
      </c>
      <c r="X206" s="4" t="str">
        <f ca="1">IF(OR(INDEX($AG$2:$AG$1001,MATCH(ROWS($AF$2:AF206),$AF$2:$AF$1001,0),1)&gt;=100000,INDEX($AM$1005:$BM$1005,1,MATCH(COLUMNS($AM$1006:BI1006),$AM$1006:$BM$1006,0))&gt;=100000), " ",IF(INDEX($AM$2:$BM$1001,MATCH(ROWS($AF$2:AF206),$AF$2:$AF$1001,0),MATCH(COLUMNS($AM$1006:BI1006),$AM$1006:$BM$1006,0)), HYPERLINK("#",""), HYPERLINK(CONCATENATE("#metadata!", ADDRESS(INDEX($AH$2:$AH$1001,MATCH(ROWS($AF$2:AF206),$AF$2:$AF$1001,0),0), INDEX($AM$1004:$BM$1004,1,MATCH(COLUMNS($AM$1006:BI1006),$AM$1006:$BM$1006,0)))),"Fix")))</f>
        <v xml:space="preserve"> </v>
      </c>
      <c r="Y206" s="4" t="str">
        <f ca="1">IF(OR(INDEX($AG$2:$AG$1001,MATCH(ROWS($AF$2:AF206),$AF$2:$AF$1001,0),1)&gt;=100000,INDEX($AM$1005:$BM$1005,1,MATCH(COLUMNS($AM$1006:BJ1006),$AM$1006:$BM$1006,0))&gt;=100000), " ",IF(INDEX($AM$2:$BM$1001,MATCH(ROWS($AF$2:AF206),$AF$2:$AF$1001,0),MATCH(COLUMNS($AM$1006:BJ1006),$AM$1006:$BM$1006,0)), HYPERLINK("#",""), HYPERLINK(CONCATENATE("#metadata!", ADDRESS(INDEX($AH$2:$AH$1001,MATCH(ROWS($AF$2:AF206),$AF$2:$AF$1001,0),0), INDEX($AM$1004:$BM$1004,1,MATCH(COLUMNS($AM$1006:BJ1006),$AM$1006:$BM$1006,0)))),"Fix")))</f>
        <v xml:space="preserve"> </v>
      </c>
      <c r="Z206" s="4" t="str">
        <f ca="1">IF(OR(INDEX($AG$2:$AG$1001,MATCH(ROWS($AF$2:AF206),$AF$2:$AF$1001,0),1)&gt;=100000,INDEX($AM$1005:$BM$1005,1,MATCH(COLUMNS($AM$1006:BK1006),$AM$1006:$BM$1006,0))&gt;=100000), " ",IF(INDEX($AM$2:$BM$1001,MATCH(ROWS($AF$2:AF206),$AF$2:$AF$1001,0),MATCH(COLUMNS($AM$1006:BK1006),$AM$1006:$BM$1006,0)), HYPERLINK("#",""), HYPERLINK(CONCATENATE("#metadata!", ADDRESS(INDEX($AH$2:$AH$1001,MATCH(ROWS($AF$2:AF206),$AF$2:$AF$1001,0),0), INDEX($AM$1004:$BM$1004,1,MATCH(COLUMNS($AM$1006:BK1006),$AM$1006:$BM$1006,0)))),"Fix")))</f>
        <v xml:space="preserve"> </v>
      </c>
      <c r="AA206" s="4" t="str">
        <f ca="1">IF(OR(INDEX($AG$2:$AG$1001,MATCH(ROWS($AF$2:AF206),$AF$2:$AF$1001,0),1)&gt;=100000,INDEX($AM$1005:$BM$1005,1,MATCH(COLUMNS($AM$1006:BL1006),$AM$1006:$BM$1006,0))&gt;=100000), " ",IF(INDEX($AM$2:$BM$1001,MATCH(ROWS($AF$2:AF206),$AF$2:$AF$1001,0),MATCH(COLUMNS($AM$1006:BL1006),$AM$1006:$BM$1006,0)), HYPERLINK("#",""), HYPERLINK(CONCATENATE("#metadata!", ADDRESS(INDEX($AH$2:$AH$1001,MATCH(ROWS($AF$2:AF206),$AF$2:$AF$1001,0),0), INDEX($AM$1004:$BM$1004,1,MATCH(COLUMNS($AM$1006:BL1006),$AM$1006:$BM$1006,0)))),"Fix")))</f>
        <v xml:space="preserve"> </v>
      </c>
      <c r="AB206" s="4" t="str">
        <f ca="1">IF(OR(INDEX($AG$2:$AG$1001,MATCH(ROWS($AF$2:AF206),$AF$2:$AF$1001,0),1)&gt;=100000,INDEX($AM$1005:$BM$1005,1,MATCH(COLUMNS($AM$1006:BM1006),$AM$1006:$BM$1006,0))&gt;=100000), " ",IF(INDEX($AM$2:$BM$1001,MATCH(ROWS($AF$2:AF206),$AF$2:$AF$1001,0),MATCH(COLUMNS($AM$1006:BM1006),$AM$1006:$BM$1006,0)), HYPERLINK("#",""), HYPERLINK(CONCATENATE("#metadata!", ADDRESS(INDEX($AH$2:$AH$1001,MATCH(ROWS($AF$2:AF206),$AF$2:$AF$1001,0),0), INDEX($AM$1004:$BM$1004,1,MATCH(COLUMNS($AM$1006:BM1006),$AM$1006:$BM$1006,0)))),"Fix")))</f>
        <v xml:space="preserve"> </v>
      </c>
      <c r="AF206">
        <v>205</v>
      </c>
      <c r="AG206">
        <v>100206</v>
      </c>
      <c r="AH206">
        <v>206</v>
      </c>
      <c r="AI206" t="b">
        <f t="shared" si="3"/>
        <v>1</v>
      </c>
      <c r="AJ206" t="b">
        <f>COUNTBLANK(metadata!B206:AB206)=COLUMNS(metadata!B206:AB206)</f>
        <v>1</v>
      </c>
      <c r="AK206" t="str">
        <v/>
      </c>
      <c r="AM206" t="b">
        <f ca="1">AND(IF(metadata!B206="",FALSE,TRUE),COUNTIF(metadata!B:B, metadata!B206) = 1,NOT(ISERROR(SUMPRODUCT(SEARCH(MID(metadata!B206,ROW(INDIRECT("1:"&amp;LEN(metadata!B206))), 1),"0123456789abcdefghijklmnopqrstuvwxyzABCDEFGHIJKLMNOPQRSTUVWXYZ.")))))</f>
        <v>0</v>
      </c>
      <c r="AN206" t="b">
        <f ca="1">OR(AND(IF(metadata!C206="",FALSE,TRUE),OR(EXACT(metadata!C206,"missing: not collected"),EXACT(metadata!C206,"missing: not provided"),EXACT(metadata!C206,"missing: restricted access"))),AND(IF(metadata!C206="",FALSE,TRUE),AND(AND(IFERROR(INT(LEFT(metadata!C206,4))&gt;1900,FALSE),IFERROR(INT(LEFT(metadata!C206,4))&lt;=YEAR(NOW()),FALSE)), OR(MID(metadata!C206,5,1)="", AND(AND(MID(metadata!C206,5,1)="-",IFERROR(INT(MID(metadata!C206,6,1))&gt;=0,FALSE),IFERROR(INT(MID(metadata!C206,6,1))&lt;=1,FALSE),NOT(MID(metadata!C206,7,1)=""),IFERROR(INT(MID(metadata!C206,6,2))&gt;=1,FALSE),IFERROR(INT(MID(metadata!C206,6,2))&lt;=12,FALSE)), OR(MID(metadata!C206,8,1)="", AND(AND(MID(metadata!C206,8,1)="-",IFERROR(INT(MID(metadata!C206,9,1))&gt;=0,FALSE),IFERROR(INT(MID(metadata!C206,9,1))&lt;=3,FALSE),NOT(MID(metadata!C206,10,1)=""),IFERROR(INT(MID(metadata!C206,9,2))&gt;=1,FALSE),IFERROR(INT(MID(metadata!C206,9,2))&lt;=31,FALSE)), OR(MID(metadata!C206,11,1)="", AND(AND(MID(metadata!C206,11,1)=" ",IFERROR(INT(MID(metadata!C206,12,1))&gt;=0,FALSE),IFERROR(INT(MID(metadata!C206,12,1))&lt;=2,FALSE),NOT(MID(metadata!C206,13,1)=""),IFERROR(INT(MID(metadata!C206,12,2))&gt;=0,FALSE),IFERROR(INT(MID(metadata!C206,12,2))&lt;=23,FALSE)), OR(MID(metadata!C206,14,1)="", AND(AND(MID(metadata!C206,14,1)=":",IFERROR(INT(MID(metadata!C206,15,1))&gt;=0,FALSE),IFERROR(INT(MID(metadata!C206,15,1))&lt;=5,FALSE),NOT(MID(metadata!C206,16,1)=""),IFERROR(INT(MID(metadata!C206,15,2))&gt;=0,FALSE),IFERROR(INT(MID(metadata!C206,15,2))&lt;=59,FALSE)), OR(MID(metadata!C206,17,1)="", AND(AND(MID(metadata!C206,17,1)=":",IFERROR(INT(MID(metadata!C206,18,1))&gt;=0,FALSE),IFERROR(INT(MID(metadata!C206,18,1))&lt;=5,FALSE),NOT(MID(metadata!C206,19,1)=""),IFERROR(INT(MID(metadata!C206,18,2))&gt;=0,FALSE),IFERROR(INT(MID(metadata!C206,18,2))&lt;=59,FALSE)), LEN(metadata!C206)&lt;=19)))))))))))))</f>
        <v>0</v>
      </c>
      <c r="AO206" t="b">
        <f>AND(IF(metadata!D206="",FALSE,TRUE),EXACT(metadata!D206,"Not applicable"))</f>
        <v>0</v>
      </c>
      <c r="AP206" t="b">
        <f>IF(metadata!E206="",FALSE,TRUE)</f>
        <v>0</v>
      </c>
      <c r="AQ206" t="b">
        <f>OR(AND(IF(metadata!F206="",FALSE,TRUE),OR(EXACT(metadata!F206,"missing: not collected"),EXACT(metadata!F206,"missing: not provided"))),AND(IF(metadata!F206="",FALSE,TRUE),OR(EXACT(metadata!F206,"TRUE"),EXACT(metadata!F206,"FALSE"))))</f>
        <v>0</v>
      </c>
      <c r="AR206" t="b">
        <f>OR(AND(IF(metadata!G206="",FALSE,TRUE),OR(EXACT(metadata!G206,"missing: not collected"),EXACT(metadata!G206,"missing: not provided"),EXACT(metadata!G206,"missing: restricted access"))),AND(IF(metadata!G206="",FALSE,ISNUMBER(VALUE(metadata!G206))),metadata!G206&gt;=-413))</f>
        <v>0</v>
      </c>
      <c r="AS206" t="b">
        <f>AND(IF(metadata!H206="",FALSE,TRUE),EXACT(metadata!H206,"meters"))</f>
        <v>0</v>
      </c>
      <c r="AT206" t="b">
        <f>AND(IF(metadata!I206="",FALSE,TRUE),OR(EXACT(metadata!I206,"Host-associated"),EXACT(metadata!I206,"Free-living")))</f>
        <v>0</v>
      </c>
      <c r="AU206" t="b">
        <f>AND(IF(metadata!J206="",FALSE,TRUE),OR(EXACT(metadata!J206,"Animal"),EXACT(metadata!J206,"Fungus"),EXACT(metadata!J206,"Plant"),EXACT(metadata!J206,"Saline"),EXACT(metadata!J206,"Non-saline")))</f>
        <v>0</v>
      </c>
      <c r="AV206" t="b">
        <f>AND(IF(metadata!K206="",FALSE,TRUE),OR(EXACT(metadata!K206,"Plant secretion"),EXACT(metadata!K206,"Plant rhizosphere"),EXACT(metadata!K206,"Plant surface"),EXACT(metadata!K206,"Plant corpus"),EXACT(metadata!K206,"Fungus surface"),EXACT(metadata!K206,"Fungus corpus"),EXACT(metadata!K206,"Animal surface"),EXACT(metadata!K206,"Animal proximal gut"),EXACT(metadata!K206,"Animal corpus"),EXACT(metadata!K206,"Animal distal gut"),EXACT(metadata!K206,"Animal secretion"),EXACT(metadata!K206,"Sub-surface (non-saline)"),EXACT(metadata!K206,"Surface (non-saline)"),EXACT(metadata!K206,"Water (non-saline)"),EXACT(metadata!K206,"Soil (non-saline)"),EXACT(metadata!K206,"Aerosol (non-saline)"),EXACT(metadata!K206,"Sediment (non-saline)"),EXACT(metadata!K206,"Surface (saline)"),EXACT(metadata!K206,"Water (saline)"),EXACT(metadata!K206,"Hypersaline (saline)"),EXACT(metadata!K206,"Aerosol (saline)"),EXACT(metadata!K206,"Sediment (saline)")))</f>
        <v>0</v>
      </c>
      <c r="AW206" t="b">
        <f>IF(metadata!L206="",FALSE,TRUE)</f>
        <v>0</v>
      </c>
      <c r="AX206" t="b">
        <f>IF(metadata!M206="",FALSE,TRUE)</f>
        <v>0</v>
      </c>
      <c r="AY206" t="b">
        <f>IF(metadata!N206="",FALSE,TRUE)</f>
        <v>0</v>
      </c>
      <c r="AZ206" t="b">
        <f>OR(AND(IF(metadata!O206="",FALSE,TRUE),OR(EXACT(metadata!O206,"missing: not collected"),EXACT(metadata!O206,"missing: not provided"),EXACT(metadata!O206,"missing: restricted access"))),AND(IF(metadata!O206="",FALSE,TRUE),OR(EXACT(metadata!O206,"air"),EXACT(metadata!O206,"built environment"),EXACT(metadata!O206,"host-associated"),EXACT(metadata!O206,"human-associated"),EXACT(metadata!O206,"human-skin"),EXACT(metadata!O206,"human-oral"),EXACT(metadata!O206,"human-gut"),EXACT(metadata!O206,"human-vaginal"),EXACT(metadata!O206,"microbial mat/biofilm"),EXACT(metadata!O206,"misc environment"),EXACT(metadata!O206,"plant-associated"),EXACT(metadata!O206,"sediment"),EXACT(metadata!O206,"soil"),EXACT(metadata!O206,"wastewater/sludge"),EXACT(metadata!O206,"water"))))</f>
        <v>0</v>
      </c>
      <c r="BA206" t="b">
        <f>IF(metadata!P206="",FALSE,TRUE)</f>
        <v>0</v>
      </c>
      <c r="BB206" t="b">
        <f>IF(metadata!Q206="",FALSE,TRUE)</f>
        <v>0</v>
      </c>
      <c r="BC206" t="b">
        <f>OR(AND(IF(metadata!R206="",FALSE,TRUE),OR(EXACT(metadata!R206,"missing: not collected"),EXACT(metadata!R206,"missing: not provided"),EXACT(metadata!R206,"missing: restricted access"))),AND(IF(metadata!R206="",FALSE,ISNUMBER(VALUE(metadata!R206))),metadata!R206&gt;=-90,metadata!R206&lt;=90))</f>
        <v>0</v>
      </c>
      <c r="BD206" t="b">
        <f>AND(IF(metadata!S206="",FALSE,TRUE),EXACT(metadata!S206,"Decimal degrees"))</f>
        <v>0</v>
      </c>
      <c r="BE206" t="b">
        <f>OR(AND(IF(metadata!T206="",FALSE,TRUE),OR(EXACT(metadata!T206,"missing: not collected"),EXACT(metadata!T206,"missing: not provided"),EXACT(metadata!T206,"missing: restricted access"))),AND(IF(metadata!T206="",FALSE,ISNUMBER(VALUE(metadata!T206))),metadata!T206&gt;=-180,metadata!T206&lt;=180))</f>
        <v>0</v>
      </c>
      <c r="BF206" t="b">
        <f>AND(IF(metadata!U206="",FALSE,TRUE),EXACT(metadata!U206,"Decimal degrees"))</f>
        <v>0</v>
      </c>
      <c r="BG206" t="b">
        <f>IF(metadata!V206="",FALSE,TRUE)</f>
        <v>0</v>
      </c>
      <c r="BH206" t="b">
        <f>OR(AND(IF(metadata!W206="",FALSE,TRUE),OR(EXACT(metadata!W206,"missing: not collected"),EXACT(metadata!W206,"missing: not provided"),EXACT(metadata!W206,"missing: restricted access"))),AND(IF(metadata!W206="",FALSE,TRUE),OR(EXACT(metadata!W206,"TRUE"),EXACT(metadata!W206,"FALSE"))))</f>
        <v>0</v>
      </c>
      <c r="BI206" t="b">
        <f>AND(IF(metadata!X206="",FALSE,TRUE),EXACT(metadata!X206,"other"))</f>
        <v>0</v>
      </c>
      <c r="BJ206" t="b">
        <f>IF(metadata!Y206="",FALSE,TRUE)</f>
        <v>0</v>
      </c>
      <c r="BK206" t="b">
        <f>OR(AND(IF(metadata!Z206="",FALSE,TRUE),OR(EXACT(metadata!Z206,"missing: not collected"),EXACT(metadata!Z206,"missing: not provided"))),AND(IF(metadata!Z206="",FALSE,IF(ISERROR(INT(metadata!Z206)),FALSE,INT(metadata!Z206)=metadata!Z206)),metadata!Z206&gt;0))</f>
        <v>0</v>
      </c>
      <c r="BL206" t="b">
        <f>AND(IF(metadata!AA206="",FALSE,TRUE),EXACT(metadata!AA206,"Not applicable"))</f>
        <v>0</v>
      </c>
      <c r="BM206" t="b">
        <f>IF(metadata!AB206="",FALSE,TRUE)</f>
        <v>0</v>
      </c>
    </row>
    <row r="207" spans="1:65" x14ac:dyDescent="0.2">
      <c r="A207" s="5" t="str">
        <f ca="1">IF(B207=" "," ",HYPERLINK(CONCATENATE("#metadata!",ADDRESS(INDEX($AH$2:$AH$1001,MATCH(ROWS($AF$2:AF207),$AF$2:$AF$1001,0),0),1)),INDEX($AK$2:$AK$1001,MATCH(ROWS($AF$2:AF207),$AF$2:$AF$1001,0),0)))</f>
        <v xml:space="preserve"> </v>
      </c>
      <c r="B207" s="4" t="str">
        <f ca="1">IF(OR(INDEX($AG$2:$AG$1001,MATCH(ROWS($AF$2:AF207),$AF$2:$AF$1001,0),1)&gt;=100000,INDEX($AM$1005:$BM$1005,1,MATCH(COLUMNS($AM$1006:AM1006),$AM$1006:$BM$1006,0))&gt;=100000), " ",IF(INDEX($AM$2:$BM$1001,MATCH(ROWS($AF$2:AF207),$AF$2:$AF$1001,0),MATCH(COLUMNS($AM$1006:AM1006),$AM$1006:$BM$1006,0)), HYPERLINK("#",""), HYPERLINK(CONCATENATE("#metadata!", ADDRESS(INDEX($AH$2:$AH$1001,MATCH(ROWS($AF$2:AF207),$AF$2:$AF$1001,0),0), INDEX($AM$1004:$BM$1004,1,MATCH(COLUMNS($AM$1006:AM1006),$AM$1006:$BM$1006,0)))),"Fix")))</f>
        <v xml:space="preserve"> </v>
      </c>
      <c r="C207" s="4" t="str">
        <f ca="1">IF(OR(INDEX($AG$2:$AG$1001,MATCH(ROWS($AF$2:AF207),$AF$2:$AF$1001,0),1)&gt;=100000,INDEX($AM$1005:$BM$1005,1,MATCH(COLUMNS($AM$1006:AN1006),$AM$1006:$BM$1006,0))&gt;=100000), " ",IF(INDEX($AM$2:$BM$1001,MATCH(ROWS($AF$2:AF207),$AF$2:$AF$1001,0),MATCH(COLUMNS($AM$1006:AN1006),$AM$1006:$BM$1006,0)), HYPERLINK("#",""), HYPERLINK(CONCATENATE("#metadata!", ADDRESS(INDEX($AH$2:$AH$1001,MATCH(ROWS($AF$2:AF207),$AF$2:$AF$1001,0),0), INDEX($AM$1004:$BM$1004,1,MATCH(COLUMNS($AM$1006:AN1006),$AM$1006:$BM$1006,0)))),"Fix")))</f>
        <v xml:space="preserve"> </v>
      </c>
      <c r="D207" s="4" t="str">
        <f ca="1">IF(OR(INDEX($AG$2:$AG$1001,MATCH(ROWS($AF$2:AF207),$AF$2:$AF$1001,0),1)&gt;=100000,INDEX($AM$1005:$BM$1005,1,MATCH(COLUMNS($AM$1006:AO1006),$AM$1006:$BM$1006,0))&gt;=100000), " ",IF(INDEX($AM$2:$BM$1001,MATCH(ROWS($AF$2:AF207),$AF$2:$AF$1001,0),MATCH(COLUMNS($AM$1006:AO1006),$AM$1006:$BM$1006,0)), HYPERLINK("#",""), HYPERLINK(CONCATENATE("#metadata!", ADDRESS(INDEX($AH$2:$AH$1001,MATCH(ROWS($AF$2:AF207),$AF$2:$AF$1001,0),0), INDEX($AM$1004:$BM$1004,1,MATCH(COLUMNS($AM$1006:AO1006),$AM$1006:$BM$1006,0)))),"Fix")))</f>
        <v xml:space="preserve"> </v>
      </c>
      <c r="E207" s="4" t="str">
        <f ca="1">IF(OR(INDEX($AG$2:$AG$1001,MATCH(ROWS($AF$2:AF207),$AF$2:$AF$1001,0),1)&gt;=100000,INDEX($AM$1005:$BM$1005,1,MATCH(COLUMNS($AM$1006:AP1006),$AM$1006:$BM$1006,0))&gt;=100000), " ",IF(INDEX($AM$2:$BM$1001,MATCH(ROWS($AF$2:AF207),$AF$2:$AF$1001,0),MATCH(COLUMNS($AM$1006:AP1006),$AM$1006:$BM$1006,0)), HYPERLINK("#",""), HYPERLINK(CONCATENATE("#metadata!", ADDRESS(INDEX($AH$2:$AH$1001,MATCH(ROWS($AF$2:AF207),$AF$2:$AF$1001,0),0), INDEX($AM$1004:$BM$1004,1,MATCH(COLUMNS($AM$1006:AP1006),$AM$1006:$BM$1006,0)))),"Fix")))</f>
        <v xml:space="preserve"> </v>
      </c>
      <c r="F207" s="4" t="str">
        <f ca="1">IF(OR(INDEX($AG$2:$AG$1001,MATCH(ROWS($AF$2:AF207),$AF$2:$AF$1001,0),1)&gt;=100000,INDEX($AM$1005:$BM$1005,1,MATCH(COLUMNS($AM$1006:AQ1006),$AM$1006:$BM$1006,0))&gt;=100000), " ",IF(INDEX($AM$2:$BM$1001,MATCH(ROWS($AF$2:AF207),$AF$2:$AF$1001,0),MATCH(COLUMNS($AM$1006:AQ1006),$AM$1006:$BM$1006,0)), HYPERLINK("#",""), HYPERLINK(CONCATENATE("#metadata!", ADDRESS(INDEX($AH$2:$AH$1001,MATCH(ROWS($AF$2:AF207),$AF$2:$AF$1001,0),0), INDEX($AM$1004:$BM$1004,1,MATCH(COLUMNS($AM$1006:AQ1006),$AM$1006:$BM$1006,0)))),"Fix")))</f>
        <v xml:space="preserve"> </v>
      </c>
      <c r="G207" s="4" t="str">
        <f ca="1">IF(OR(INDEX($AG$2:$AG$1001,MATCH(ROWS($AF$2:AF207),$AF$2:$AF$1001,0),1)&gt;=100000,INDEX($AM$1005:$BM$1005,1,MATCH(COLUMNS($AM$1006:AR1006),$AM$1006:$BM$1006,0))&gt;=100000), " ",IF(INDEX($AM$2:$BM$1001,MATCH(ROWS($AF$2:AF207),$AF$2:$AF$1001,0),MATCH(COLUMNS($AM$1006:AR1006),$AM$1006:$BM$1006,0)), HYPERLINK("#",""), HYPERLINK(CONCATENATE("#metadata!", ADDRESS(INDEX($AH$2:$AH$1001,MATCH(ROWS($AF$2:AF207),$AF$2:$AF$1001,0),0), INDEX($AM$1004:$BM$1004,1,MATCH(COLUMNS($AM$1006:AR1006),$AM$1006:$BM$1006,0)))),"Fix")))</f>
        <v xml:space="preserve"> </v>
      </c>
      <c r="H207" s="4" t="str">
        <f ca="1">IF(OR(INDEX($AG$2:$AG$1001,MATCH(ROWS($AF$2:AF207),$AF$2:$AF$1001,0),1)&gt;=100000,INDEX($AM$1005:$BM$1005,1,MATCH(COLUMNS($AM$1006:AS1006),$AM$1006:$BM$1006,0))&gt;=100000), " ",IF(INDEX($AM$2:$BM$1001,MATCH(ROWS($AF$2:AF207),$AF$2:$AF$1001,0),MATCH(COLUMNS($AM$1006:AS1006),$AM$1006:$BM$1006,0)), HYPERLINK("#",""), HYPERLINK(CONCATENATE("#metadata!", ADDRESS(INDEX($AH$2:$AH$1001,MATCH(ROWS($AF$2:AF207),$AF$2:$AF$1001,0),0), INDEX($AM$1004:$BM$1004,1,MATCH(COLUMNS($AM$1006:AS1006),$AM$1006:$BM$1006,0)))),"Fix")))</f>
        <v xml:space="preserve"> </v>
      </c>
      <c r="I207" s="4" t="str">
        <f ca="1">IF(OR(INDEX($AG$2:$AG$1001,MATCH(ROWS($AF$2:AF207),$AF$2:$AF$1001,0),1)&gt;=100000,INDEX($AM$1005:$BM$1005,1,MATCH(COLUMNS($AM$1006:AT1006),$AM$1006:$BM$1006,0))&gt;=100000), " ",IF(INDEX($AM$2:$BM$1001,MATCH(ROWS($AF$2:AF207),$AF$2:$AF$1001,0),MATCH(COLUMNS($AM$1006:AT1006),$AM$1006:$BM$1006,0)), HYPERLINK("#",""), HYPERLINK(CONCATENATE("#metadata!", ADDRESS(INDEX($AH$2:$AH$1001,MATCH(ROWS($AF$2:AF207),$AF$2:$AF$1001,0),0), INDEX($AM$1004:$BM$1004,1,MATCH(COLUMNS($AM$1006:AT1006),$AM$1006:$BM$1006,0)))),"Fix")))</f>
        <v xml:space="preserve"> </v>
      </c>
      <c r="J207" s="4" t="str">
        <f ca="1">IF(OR(INDEX($AG$2:$AG$1001,MATCH(ROWS($AF$2:AF207),$AF$2:$AF$1001,0),1)&gt;=100000,INDEX($AM$1005:$BM$1005,1,MATCH(COLUMNS($AM$1006:AU1006),$AM$1006:$BM$1006,0))&gt;=100000), " ",IF(INDEX($AM$2:$BM$1001,MATCH(ROWS($AF$2:AF207),$AF$2:$AF$1001,0),MATCH(COLUMNS($AM$1006:AU1006),$AM$1006:$BM$1006,0)), HYPERLINK("#",""), HYPERLINK(CONCATENATE("#metadata!", ADDRESS(INDEX($AH$2:$AH$1001,MATCH(ROWS($AF$2:AF207),$AF$2:$AF$1001,0),0), INDEX($AM$1004:$BM$1004,1,MATCH(COLUMNS($AM$1006:AU1006),$AM$1006:$BM$1006,0)))),"Fix")))</f>
        <v xml:space="preserve"> </v>
      </c>
      <c r="K207" s="4" t="str">
        <f ca="1">IF(OR(INDEX($AG$2:$AG$1001,MATCH(ROWS($AF$2:AF207),$AF$2:$AF$1001,0),1)&gt;=100000,INDEX($AM$1005:$BM$1005,1,MATCH(COLUMNS($AM$1006:AV1006),$AM$1006:$BM$1006,0))&gt;=100000), " ",IF(INDEX($AM$2:$BM$1001,MATCH(ROWS($AF$2:AF207),$AF$2:$AF$1001,0),MATCH(COLUMNS($AM$1006:AV1006),$AM$1006:$BM$1006,0)), HYPERLINK("#",""), HYPERLINK(CONCATENATE("#metadata!", ADDRESS(INDEX($AH$2:$AH$1001,MATCH(ROWS($AF$2:AF207),$AF$2:$AF$1001,0),0), INDEX($AM$1004:$BM$1004,1,MATCH(COLUMNS($AM$1006:AV1006),$AM$1006:$BM$1006,0)))),"Fix")))</f>
        <v xml:space="preserve"> </v>
      </c>
      <c r="L207" s="4" t="str">
        <f ca="1">IF(OR(INDEX($AG$2:$AG$1001,MATCH(ROWS($AF$2:AF207),$AF$2:$AF$1001,0),1)&gt;=100000,INDEX($AM$1005:$BM$1005,1,MATCH(COLUMNS($AM$1006:AW1006),$AM$1006:$BM$1006,0))&gt;=100000), " ",IF(INDEX($AM$2:$BM$1001,MATCH(ROWS($AF$2:AF207),$AF$2:$AF$1001,0),MATCH(COLUMNS($AM$1006:AW1006),$AM$1006:$BM$1006,0)), HYPERLINK("#",""), HYPERLINK(CONCATENATE("#metadata!", ADDRESS(INDEX($AH$2:$AH$1001,MATCH(ROWS($AF$2:AF207),$AF$2:$AF$1001,0),0), INDEX($AM$1004:$BM$1004,1,MATCH(COLUMNS($AM$1006:AW1006),$AM$1006:$BM$1006,0)))),"Fix")))</f>
        <v xml:space="preserve"> </v>
      </c>
      <c r="M207" s="4" t="str">
        <f ca="1">IF(OR(INDEX($AG$2:$AG$1001,MATCH(ROWS($AF$2:AF207),$AF$2:$AF$1001,0),1)&gt;=100000,INDEX($AM$1005:$BM$1005,1,MATCH(COLUMNS($AM$1006:AX1006),$AM$1006:$BM$1006,0))&gt;=100000), " ",IF(INDEX($AM$2:$BM$1001,MATCH(ROWS($AF$2:AF207),$AF$2:$AF$1001,0),MATCH(COLUMNS($AM$1006:AX1006),$AM$1006:$BM$1006,0)), HYPERLINK("#",""), HYPERLINK(CONCATENATE("#metadata!", ADDRESS(INDEX($AH$2:$AH$1001,MATCH(ROWS($AF$2:AF207),$AF$2:$AF$1001,0),0), INDEX($AM$1004:$BM$1004,1,MATCH(COLUMNS($AM$1006:AX1006),$AM$1006:$BM$1006,0)))),"Fix")))</f>
        <v xml:space="preserve"> </v>
      </c>
      <c r="N207" s="4" t="str">
        <f ca="1">IF(OR(INDEX($AG$2:$AG$1001,MATCH(ROWS($AF$2:AF207),$AF$2:$AF$1001,0),1)&gt;=100000,INDEX($AM$1005:$BM$1005,1,MATCH(COLUMNS($AM$1006:AY1006),$AM$1006:$BM$1006,0))&gt;=100000), " ",IF(INDEX($AM$2:$BM$1001,MATCH(ROWS($AF$2:AF207),$AF$2:$AF$1001,0),MATCH(COLUMNS($AM$1006:AY1006),$AM$1006:$BM$1006,0)), HYPERLINK("#",""), HYPERLINK(CONCATENATE("#metadata!", ADDRESS(INDEX($AH$2:$AH$1001,MATCH(ROWS($AF$2:AF207),$AF$2:$AF$1001,0),0), INDEX($AM$1004:$BM$1004,1,MATCH(COLUMNS($AM$1006:AY1006),$AM$1006:$BM$1006,0)))),"Fix")))</f>
        <v xml:space="preserve"> </v>
      </c>
      <c r="O207" s="4" t="str">
        <f ca="1">IF(OR(INDEX($AG$2:$AG$1001,MATCH(ROWS($AF$2:AF207),$AF$2:$AF$1001,0),1)&gt;=100000,INDEX($AM$1005:$BM$1005,1,MATCH(COLUMNS($AM$1006:AZ1006),$AM$1006:$BM$1006,0))&gt;=100000), " ",IF(INDEX($AM$2:$BM$1001,MATCH(ROWS($AF$2:AF207),$AF$2:$AF$1001,0),MATCH(COLUMNS($AM$1006:AZ1006),$AM$1006:$BM$1006,0)), HYPERLINK("#",""), HYPERLINK(CONCATENATE("#metadata!", ADDRESS(INDEX($AH$2:$AH$1001,MATCH(ROWS($AF$2:AF207),$AF$2:$AF$1001,0),0), INDEX($AM$1004:$BM$1004,1,MATCH(COLUMNS($AM$1006:AZ1006),$AM$1006:$BM$1006,0)))),"Fix")))</f>
        <v xml:space="preserve"> </v>
      </c>
      <c r="P207" s="4" t="str">
        <f ca="1">IF(OR(INDEX($AG$2:$AG$1001,MATCH(ROWS($AF$2:AF207),$AF$2:$AF$1001,0),1)&gt;=100000,INDEX($AM$1005:$BM$1005,1,MATCH(COLUMNS($AM$1006:BA1006),$AM$1006:$BM$1006,0))&gt;=100000), " ",IF(INDEX($AM$2:$BM$1001,MATCH(ROWS($AF$2:AF207),$AF$2:$AF$1001,0),MATCH(COLUMNS($AM$1006:BA1006),$AM$1006:$BM$1006,0)), HYPERLINK("#",""), HYPERLINK(CONCATENATE("#metadata!", ADDRESS(INDEX($AH$2:$AH$1001,MATCH(ROWS($AF$2:AF207),$AF$2:$AF$1001,0),0), INDEX($AM$1004:$BM$1004,1,MATCH(COLUMNS($AM$1006:BA1006),$AM$1006:$BM$1006,0)))),"Fix")))</f>
        <v xml:space="preserve"> </v>
      </c>
      <c r="Q207" s="4" t="str">
        <f ca="1">IF(OR(INDEX($AG$2:$AG$1001,MATCH(ROWS($AF$2:AF207),$AF$2:$AF$1001,0),1)&gt;=100000,INDEX($AM$1005:$BM$1005,1,MATCH(COLUMNS($AM$1006:BB1006),$AM$1006:$BM$1006,0))&gt;=100000), " ",IF(INDEX($AM$2:$BM$1001,MATCH(ROWS($AF$2:AF207),$AF$2:$AF$1001,0),MATCH(COLUMNS($AM$1006:BB1006),$AM$1006:$BM$1006,0)), HYPERLINK("#",""), HYPERLINK(CONCATENATE("#metadata!", ADDRESS(INDEX($AH$2:$AH$1001,MATCH(ROWS($AF$2:AF207),$AF$2:$AF$1001,0),0), INDEX($AM$1004:$BM$1004,1,MATCH(COLUMNS($AM$1006:BB1006),$AM$1006:$BM$1006,0)))),"Fix")))</f>
        <v xml:space="preserve"> </v>
      </c>
      <c r="R207" s="4" t="str">
        <f ca="1">IF(OR(INDEX($AG$2:$AG$1001,MATCH(ROWS($AF$2:AF207),$AF$2:$AF$1001,0),1)&gt;=100000,INDEX($AM$1005:$BM$1005,1,MATCH(COLUMNS($AM$1006:BC1006),$AM$1006:$BM$1006,0))&gt;=100000), " ",IF(INDEX($AM$2:$BM$1001,MATCH(ROWS($AF$2:AF207),$AF$2:$AF$1001,0),MATCH(COLUMNS($AM$1006:BC1006),$AM$1006:$BM$1006,0)), HYPERLINK("#",""), HYPERLINK(CONCATENATE("#metadata!", ADDRESS(INDEX($AH$2:$AH$1001,MATCH(ROWS($AF$2:AF207),$AF$2:$AF$1001,0),0), INDEX($AM$1004:$BM$1004,1,MATCH(COLUMNS($AM$1006:BC1006),$AM$1006:$BM$1006,0)))),"Fix")))</f>
        <v xml:space="preserve"> </v>
      </c>
      <c r="S207" s="4" t="str">
        <f ca="1">IF(OR(INDEX($AG$2:$AG$1001,MATCH(ROWS($AF$2:AF207),$AF$2:$AF$1001,0),1)&gt;=100000,INDEX($AM$1005:$BM$1005,1,MATCH(COLUMNS($AM$1006:BD1006),$AM$1006:$BM$1006,0))&gt;=100000), " ",IF(INDEX($AM$2:$BM$1001,MATCH(ROWS($AF$2:AF207),$AF$2:$AF$1001,0),MATCH(COLUMNS($AM$1006:BD1006),$AM$1006:$BM$1006,0)), HYPERLINK("#",""), HYPERLINK(CONCATENATE("#metadata!", ADDRESS(INDEX($AH$2:$AH$1001,MATCH(ROWS($AF$2:AF207),$AF$2:$AF$1001,0),0), INDEX($AM$1004:$BM$1004,1,MATCH(COLUMNS($AM$1006:BD1006),$AM$1006:$BM$1006,0)))),"Fix")))</f>
        <v xml:space="preserve"> </v>
      </c>
      <c r="T207" s="4" t="str">
        <f ca="1">IF(OR(INDEX($AG$2:$AG$1001,MATCH(ROWS($AF$2:AF207),$AF$2:$AF$1001,0),1)&gt;=100000,INDEX($AM$1005:$BM$1005,1,MATCH(COLUMNS($AM$1006:BE1006),$AM$1006:$BM$1006,0))&gt;=100000), " ",IF(INDEX($AM$2:$BM$1001,MATCH(ROWS($AF$2:AF207),$AF$2:$AF$1001,0),MATCH(COLUMNS($AM$1006:BE1006),$AM$1006:$BM$1006,0)), HYPERLINK("#",""), HYPERLINK(CONCATENATE("#metadata!", ADDRESS(INDEX($AH$2:$AH$1001,MATCH(ROWS($AF$2:AF207),$AF$2:$AF$1001,0),0), INDEX($AM$1004:$BM$1004,1,MATCH(COLUMNS($AM$1006:BE1006),$AM$1006:$BM$1006,0)))),"Fix")))</f>
        <v xml:space="preserve"> </v>
      </c>
      <c r="U207" s="4" t="str">
        <f ca="1">IF(OR(INDEX($AG$2:$AG$1001,MATCH(ROWS($AF$2:AF207),$AF$2:$AF$1001,0),1)&gt;=100000,INDEX($AM$1005:$BM$1005,1,MATCH(COLUMNS($AM$1006:BF1006),$AM$1006:$BM$1006,0))&gt;=100000), " ",IF(INDEX($AM$2:$BM$1001,MATCH(ROWS($AF$2:AF207),$AF$2:$AF$1001,0),MATCH(COLUMNS($AM$1006:BF1006),$AM$1006:$BM$1006,0)), HYPERLINK("#",""), HYPERLINK(CONCATENATE("#metadata!", ADDRESS(INDEX($AH$2:$AH$1001,MATCH(ROWS($AF$2:AF207),$AF$2:$AF$1001,0),0), INDEX($AM$1004:$BM$1004,1,MATCH(COLUMNS($AM$1006:BF1006),$AM$1006:$BM$1006,0)))),"Fix")))</f>
        <v xml:space="preserve"> </v>
      </c>
      <c r="V207" s="4" t="str">
        <f ca="1">IF(OR(INDEX($AG$2:$AG$1001,MATCH(ROWS($AF$2:AF207),$AF$2:$AF$1001,0),1)&gt;=100000,INDEX($AM$1005:$BM$1005,1,MATCH(COLUMNS($AM$1006:BG1006),$AM$1006:$BM$1006,0))&gt;=100000), " ",IF(INDEX($AM$2:$BM$1001,MATCH(ROWS($AF$2:AF207),$AF$2:$AF$1001,0),MATCH(COLUMNS($AM$1006:BG1006),$AM$1006:$BM$1006,0)), HYPERLINK("#",""), HYPERLINK(CONCATENATE("#metadata!", ADDRESS(INDEX($AH$2:$AH$1001,MATCH(ROWS($AF$2:AF207),$AF$2:$AF$1001,0),0), INDEX($AM$1004:$BM$1004,1,MATCH(COLUMNS($AM$1006:BG1006),$AM$1006:$BM$1006,0)))),"Fix")))</f>
        <v xml:space="preserve"> </v>
      </c>
      <c r="W207" s="4" t="str">
        <f ca="1">IF(OR(INDEX($AG$2:$AG$1001,MATCH(ROWS($AF$2:AF207),$AF$2:$AF$1001,0),1)&gt;=100000,INDEX($AM$1005:$BM$1005,1,MATCH(COLUMNS($AM$1006:BH1006),$AM$1006:$BM$1006,0))&gt;=100000), " ",IF(INDEX($AM$2:$BM$1001,MATCH(ROWS($AF$2:AF207),$AF$2:$AF$1001,0),MATCH(COLUMNS($AM$1006:BH1006),$AM$1006:$BM$1006,0)), HYPERLINK("#",""), HYPERLINK(CONCATENATE("#metadata!", ADDRESS(INDEX($AH$2:$AH$1001,MATCH(ROWS($AF$2:AF207),$AF$2:$AF$1001,0),0), INDEX($AM$1004:$BM$1004,1,MATCH(COLUMNS($AM$1006:BH1006),$AM$1006:$BM$1006,0)))),"Fix")))</f>
        <v xml:space="preserve"> </v>
      </c>
      <c r="X207" s="4" t="str">
        <f ca="1">IF(OR(INDEX($AG$2:$AG$1001,MATCH(ROWS($AF$2:AF207),$AF$2:$AF$1001,0),1)&gt;=100000,INDEX($AM$1005:$BM$1005,1,MATCH(COLUMNS($AM$1006:BI1006),$AM$1006:$BM$1006,0))&gt;=100000), " ",IF(INDEX($AM$2:$BM$1001,MATCH(ROWS($AF$2:AF207),$AF$2:$AF$1001,0),MATCH(COLUMNS($AM$1006:BI1006),$AM$1006:$BM$1006,0)), HYPERLINK("#",""), HYPERLINK(CONCATENATE("#metadata!", ADDRESS(INDEX($AH$2:$AH$1001,MATCH(ROWS($AF$2:AF207),$AF$2:$AF$1001,0),0), INDEX($AM$1004:$BM$1004,1,MATCH(COLUMNS($AM$1006:BI1006),$AM$1006:$BM$1006,0)))),"Fix")))</f>
        <v xml:space="preserve"> </v>
      </c>
      <c r="Y207" s="4" t="str">
        <f ca="1">IF(OR(INDEX($AG$2:$AG$1001,MATCH(ROWS($AF$2:AF207),$AF$2:$AF$1001,0),1)&gt;=100000,INDEX($AM$1005:$BM$1005,1,MATCH(COLUMNS($AM$1006:BJ1006),$AM$1006:$BM$1006,0))&gt;=100000), " ",IF(INDEX($AM$2:$BM$1001,MATCH(ROWS($AF$2:AF207),$AF$2:$AF$1001,0),MATCH(COLUMNS($AM$1006:BJ1006),$AM$1006:$BM$1006,0)), HYPERLINK("#",""), HYPERLINK(CONCATENATE("#metadata!", ADDRESS(INDEX($AH$2:$AH$1001,MATCH(ROWS($AF$2:AF207),$AF$2:$AF$1001,0),0), INDEX($AM$1004:$BM$1004,1,MATCH(COLUMNS($AM$1006:BJ1006),$AM$1006:$BM$1006,0)))),"Fix")))</f>
        <v xml:space="preserve"> </v>
      </c>
      <c r="Z207" s="4" t="str">
        <f ca="1">IF(OR(INDEX($AG$2:$AG$1001,MATCH(ROWS($AF$2:AF207),$AF$2:$AF$1001,0),1)&gt;=100000,INDEX($AM$1005:$BM$1005,1,MATCH(COLUMNS($AM$1006:BK1006),$AM$1006:$BM$1006,0))&gt;=100000), " ",IF(INDEX($AM$2:$BM$1001,MATCH(ROWS($AF$2:AF207),$AF$2:$AF$1001,0),MATCH(COLUMNS($AM$1006:BK1006),$AM$1006:$BM$1006,0)), HYPERLINK("#",""), HYPERLINK(CONCATENATE("#metadata!", ADDRESS(INDEX($AH$2:$AH$1001,MATCH(ROWS($AF$2:AF207),$AF$2:$AF$1001,0),0), INDEX($AM$1004:$BM$1004,1,MATCH(COLUMNS($AM$1006:BK1006),$AM$1006:$BM$1006,0)))),"Fix")))</f>
        <v xml:space="preserve"> </v>
      </c>
      <c r="AA207" s="4" t="str">
        <f ca="1">IF(OR(INDEX($AG$2:$AG$1001,MATCH(ROWS($AF$2:AF207),$AF$2:$AF$1001,0),1)&gt;=100000,INDEX($AM$1005:$BM$1005,1,MATCH(COLUMNS($AM$1006:BL1006),$AM$1006:$BM$1006,0))&gt;=100000), " ",IF(INDEX($AM$2:$BM$1001,MATCH(ROWS($AF$2:AF207),$AF$2:$AF$1001,0),MATCH(COLUMNS($AM$1006:BL1006),$AM$1006:$BM$1006,0)), HYPERLINK("#",""), HYPERLINK(CONCATENATE("#metadata!", ADDRESS(INDEX($AH$2:$AH$1001,MATCH(ROWS($AF$2:AF207),$AF$2:$AF$1001,0),0), INDEX($AM$1004:$BM$1004,1,MATCH(COLUMNS($AM$1006:BL1006),$AM$1006:$BM$1006,0)))),"Fix")))</f>
        <v xml:space="preserve"> </v>
      </c>
      <c r="AB207" s="4" t="str">
        <f ca="1">IF(OR(INDEX($AG$2:$AG$1001,MATCH(ROWS($AF$2:AF207),$AF$2:$AF$1001,0),1)&gt;=100000,INDEX($AM$1005:$BM$1005,1,MATCH(COLUMNS($AM$1006:BM1006),$AM$1006:$BM$1006,0))&gt;=100000), " ",IF(INDEX($AM$2:$BM$1001,MATCH(ROWS($AF$2:AF207),$AF$2:$AF$1001,0),MATCH(COLUMNS($AM$1006:BM1006),$AM$1006:$BM$1006,0)), HYPERLINK("#",""), HYPERLINK(CONCATENATE("#metadata!", ADDRESS(INDEX($AH$2:$AH$1001,MATCH(ROWS($AF$2:AF207),$AF$2:$AF$1001,0),0), INDEX($AM$1004:$BM$1004,1,MATCH(COLUMNS($AM$1006:BM1006),$AM$1006:$BM$1006,0)))),"Fix")))</f>
        <v xml:space="preserve"> </v>
      </c>
      <c r="AF207">
        <v>206</v>
      </c>
      <c r="AG207">
        <v>100207</v>
      </c>
      <c r="AH207">
        <v>207</v>
      </c>
      <c r="AI207" t="b">
        <f t="shared" si="3"/>
        <v>1</v>
      </c>
      <c r="AJ207" t="b">
        <f>COUNTBLANK(metadata!B207:AB207)=COLUMNS(metadata!B207:AB207)</f>
        <v>1</v>
      </c>
      <c r="AK207" t="str">
        <v/>
      </c>
      <c r="AM207" t="b">
        <f ca="1">AND(IF(metadata!B207="",FALSE,TRUE),COUNTIF(metadata!B:B, metadata!B207) = 1,NOT(ISERROR(SUMPRODUCT(SEARCH(MID(metadata!B207,ROW(INDIRECT("1:"&amp;LEN(metadata!B207))), 1),"0123456789abcdefghijklmnopqrstuvwxyzABCDEFGHIJKLMNOPQRSTUVWXYZ.")))))</f>
        <v>0</v>
      </c>
      <c r="AN207" t="b">
        <f ca="1">OR(AND(IF(metadata!C207="",FALSE,TRUE),OR(EXACT(metadata!C207,"missing: not collected"),EXACT(metadata!C207,"missing: not provided"),EXACT(metadata!C207,"missing: restricted access"))),AND(IF(metadata!C207="",FALSE,TRUE),AND(AND(IFERROR(INT(LEFT(metadata!C207,4))&gt;1900,FALSE),IFERROR(INT(LEFT(metadata!C207,4))&lt;=YEAR(NOW()),FALSE)), OR(MID(metadata!C207,5,1)="", AND(AND(MID(metadata!C207,5,1)="-",IFERROR(INT(MID(metadata!C207,6,1))&gt;=0,FALSE),IFERROR(INT(MID(metadata!C207,6,1))&lt;=1,FALSE),NOT(MID(metadata!C207,7,1)=""),IFERROR(INT(MID(metadata!C207,6,2))&gt;=1,FALSE),IFERROR(INT(MID(metadata!C207,6,2))&lt;=12,FALSE)), OR(MID(metadata!C207,8,1)="", AND(AND(MID(metadata!C207,8,1)="-",IFERROR(INT(MID(metadata!C207,9,1))&gt;=0,FALSE),IFERROR(INT(MID(metadata!C207,9,1))&lt;=3,FALSE),NOT(MID(metadata!C207,10,1)=""),IFERROR(INT(MID(metadata!C207,9,2))&gt;=1,FALSE),IFERROR(INT(MID(metadata!C207,9,2))&lt;=31,FALSE)), OR(MID(metadata!C207,11,1)="", AND(AND(MID(metadata!C207,11,1)=" ",IFERROR(INT(MID(metadata!C207,12,1))&gt;=0,FALSE),IFERROR(INT(MID(metadata!C207,12,1))&lt;=2,FALSE),NOT(MID(metadata!C207,13,1)=""),IFERROR(INT(MID(metadata!C207,12,2))&gt;=0,FALSE),IFERROR(INT(MID(metadata!C207,12,2))&lt;=23,FALSE)), OR(MID(metadata!C207,14,1)="", AND(AND(MID(metadata!C207,14,1)=":",IFERROR(INT(MID(metadata!C207,15,1))&gt;=0,FALSE),IFERROR(INT(MID(metadata!C207,15,1))&lt;=5,FALSE),NOT(MID(metadata!C207,16,1)=""),IFERROR(INT(MID(metadata!C207,15,2))&gt;=0,FALSE),IFERROR(INT(MID(metadata!C207,15,2))&lt;=59,FALSE)), OR(MID(metadata!C207,17,1)="", AND(AND(MID(metadata!C207,17,1)=":",IFERROR(INT(MID(metadata!C207,18,1))&gt;=0,FALSE),IFERROR(INT(MID(metadata!C207,18,1))&lt;=5,FALSE),NOT(MID(metadata!C207,19,1)=""),IFERROR(INT(MID(metadata!C207,18,2))&gt;=0,FALSE),IFERROR(INT(MID(metadata!C207,18,2))&lt;=59,FALSE)), LEN(metadata!C207)&lt;=19)))))))))))))</f>
        <v>0</v>
      </c>
      <c r="AO207" t="b">
        <f>AND(IF(metadata!D207="",FALSE,TRUE),EXACT(metadata!D207,"Not applicable"))</f>
        <v>0</v>
      </c>
      <c r="AP207" t="b">
        <f>IF(metadata!E207="",FALSE,TRUE)</f>
        <v>0</v>
      </c>
      <c r="AQ207" t="b">
        <f>OR(AND(IF(metadata!F207="",FALSE,TRUE),OR(EXACT(metadata!F207,"missing: not collected"),EXACT(metadata!F207,"missing: not provided"))),AND(IF(metadata!F207="",FALSE,TRUE),OR(EXACT(metadata!F207,"TRUE"),EXACT(metadata!F207,"FALSE"))))</f>
        <v>0</v>
      </c>
      <c r="AR207" t="b">
        <f>OR(AND(IF(metadata!G207="",FALSE,TRUE),OR(EXACT(metadata!G207,"missing: not collected"),EXACT(metadata!G207,"missing: not provided"),EXACT(metadata!G207,"missing: restricted access"))),AND(IF(metadata!G207="",FALSE,ISNUMBER(VALUE(metadata!G207))),metadata!G207&gt;=-413))</f>
        <v>0</v>
      </c>
      <c r="AS207" t="b">
        <f>AND(IF(metadata!H207="",FALSE,TRUE),EXACT(metadata!H207,"meters"))</f>
        <v>0</v>
      </c>
      <c r="AT207" t="b">
        <f>AND(IF(metadata!I207="",FALSE,TRUE),OR(EXACT(metadata!I207,"Host-associated"),EXACT(metadata!I207,"Free-living")))</f>
        <v>0</v>
      </c>
      <c r="AU207" t="b">
        <f>AND(IF(metadata!J207="",FALSE,TRUE),OR(EXACT(metadata!J207,"Animal"),EXACT(metadata!J207,"Fungus"),EXACT(metadata!J207,"Plant"),EXACT(metadata!J207,"Saline"),EXACT(metadata!J207,"Non-saline")))</f>
        <v>0</v>
      </c>
      <c r="AV207" t="b">
        <f>AND(IF(metadata!K207="",FALSE,TRUE),OR(EXACT(metadata!K207,"Plant secretion"),EXACT(metadata!K207,"Plant rhizosphere"),EXACT(metadata!K207,"Plant surface"),EXACT(metadata!K207,"Plant corpus"),EXACT(metadata!K207,"Fungus surface"),EXACT(metadata!K207,"Fungus corpus"),EXACT(metadata!K207,"Animal surface"),EXACT(metadata!K207,"Animal proximal gut"),EXACT(metadata!K207,"Animal corpus"),EXACT(metadata!K207,"Animal distal gut"),EXACT(metadata!K207,"Animal secretion"),EXACT(metadata!K207,"Sub-surface (non-saline)"),EXACT(metadata!K207,"Surface (non-saline)"),EXACT(metadata!K207,"Water (non-saline)"),EXACT(metadata!K207,"Soil (non-saline)"),EXACT(metadata!K207,"Aerosol (non-saline)"),EXACT(metadata!K207,"Sediment (non-saline)"),EXACT(metadata!K207,"Surface (saline)"),EXACT(metadata!K207,"Water (saline)"),EXACT(metadata!K207,"Hypersaline (saline)"),EXACT(metadata!K207,"Aerosol (saline)"),EXACT(metadata!K207,"Sediment (saline)")))</f>
        <v>0</v>
      </c>
      <c r="AW207" t="b">
        <f>IF(metadata!L207="",FALSE,TRUE)</f>
        <v>0</v>
      </c>
      <c r="AX207" t="b">
        <f>IF(metadata!M207="",FALSE,TRUE)</f>
        <v>0</v>
      </c>
      <c r="AY207" t="b">
        <f>IF(metadata!N207="",FALSE,TRUE)</f>
        <v>0</v>
      </c>
      <c r="AZ207" t="b">
        <f>OR(AND(IF(metadata!O207="",FALSE,TRUE),OR(EXACT(metadata!O207,"missing: not collected"),EXACT(metadata!O207,"missing: not provided"),EXACT(metadata!O207,"missing: restricted access"))),AND(IF(metadata!O207="",FALSE,TRUE),OR(EXACT(metadata!O207,"air"),EXACT(metadata!O207,"built environment"),EXACT(metadata!O207,"host-associated"),EXACT(metadata!O207,"human-associated"),EXACT(metadata!O207,"human-skin"),EXACT(metadata!O207,"human-oral"),EXACT(metadata!O207,"human-gut"),EXACT(metadata!O207,"human-vaginal"),EXACT(metadata!O207,"microbial mat/biofilm"),EXACT(metadata!O207,"misc environment"),EXACT(metadata!O207,"plant-associated"),EXACT(metadata!O207,"sediment"),EXACT(metadata!O207,"soil"),EXACT(metadata!O207,"wastewater/sludge"),EXACT(metadata!O207,"water"))))</f>
        <v>0</v>
      </c>
      <c r="BA207" t="b">
        <f>IF(metadata!P207="",FALSE,TRUE)</f>
        <v>0</v>
      </c>
      <c r="BB207" t="b">
        <f>IF(metadata!Q207="",FALSE,TRUE)</f>
        <v>0</v>
      </c>
      <c r="BC207" t="b">
        <f>OR(AND(IF(metadata!R207="",FALSE,TRUE),OR(EXACT(metadata!R207,"missing: not collected"),EXACT(metadata!R207,"missing: not provided"),EXACT(metadata!R207,"missing: restricted access"))),AND(IF(metadata!R207="",FALSE,ISNUMBER(VALUE(metadata!R207))),metadata!R207&gt;=-90,metadata!R207&lt;=90))</f>
        <v>0</v>
      </c>
      <c r="BD207" t="b">
        <f>AND(IF(metadata!S207="",FALSE,TRUE),EXACT(metadata!S207,"Decimal degrees"))</f>
        <v>0</v>
      </c>
      <c r="BE207" t="b">
        <f>OR(AND(IF(metadata!T207="",FALSE,TRUE),OR(EXACT(metadata!T207,"missing: not collected"),EXACT(metadata!T207,"missing: not provided"),EXACT(metadata!T207,"missing: restricted access"))),AND(IF(metadata!T207="",FALSE,ISNUMBER(VALUE(metadata!T207))),metadata!T207&gt;=-180,metadata!T207&lt;=180))</f>
        <v>0</v>
      </c>
      <c r="BF207" t="b">
        <f>AND(IF(metadata!U207="",FALSE,TRUE),EXACT(metadata!U207,"Decimal degrees"))</f>
        <v>0</v>
      </c>
      <c r="BG207" t="b">
        <f>IF(metadata!V207="",FALSE,TRUE)</f>
        <v>0</v>
      </c>
      <c r="BH207" t="b">
        <f>OR(AND(IF(metadata!W207="",FALSE,TRUE),OR(EXACT(metadata!W207,"missing: not collected"),EXACT(metadata!W207,"missing: not provided"),EXACT(metadata!W207,"missing: restricted access"))),AND(IF(metadata!W207="",FALSE,TRUE),OR(EXACT(metadata!W207,"TRUE"),EXACT(metadata!W207,"FALSE"))))</f>
        <v>0</v>
      </c>
      <c r="BI207" t="b">
        <f>AND(IF(metadata!X207="",FALSE,TRUE),EXACT(metadata!X207,"other"))</f>
        <v>0</v>
      </c>
      <c r="BJ207" t="b">
        <f>IF(metadata!Y207="",FALSE,TRUE)</f>
        <v>0</v>
      </c>
      <c r="BK207" t="b">
        <f>OR(AND(IF(metadata!Z207="",FALSE,TRUE),OR(EXACT(metadata!Z207,"missing: not collected"),EXACT(metadata!Z207,"missing: not provided"))),AND(IF(metadata!Z207="",FALSE,IF(ISERROR(INT(metadata!Z207)),FALSE,INT(metadata!Z207)=metadata!Z207)),metadata!Z207&gt;0))</f>
        <v>0</v>
      </c>
      <c r="BL207" t="b">
        <f>AND(IF(metadata!AA207="",FALSE,TRUE),EXACT(metadata!AA207,"Not applicable"))</f>
        <v>0</v>
      </c>
      <c r="BM207" t="b">
        <f>IF(metadata!AB207="",FALSE,TRUE)</f>
        <v>0</v>
      </c>
    </row>
    <row r="208" spans="1:65" x14ac:dyDescent="0.2">
      <c r="A208" s="5" t="str">
        <f ca="1">IF(B208=" "," ",HYPERLINK(CONCATENATE("#metadata!",ADDRESS(INDEX($AH$2:$AH$1001,MATCH(ROWS($AF$2:AF208),$AF$2:$AF$1001,0),0),1)),INDEX($AK$2:$AK$1001,MATCH(ROWS($AF$2:AF208),$AF$2:$AF$1001,0),0)))</f>
        <v xml:space="preserve"> </v>
      </c>
      <c r="B208" s="4" t="str">
        <f ca="1">IF(OR(INDEX($AG$2:$AG$1001,MATCH(ROWS($AF$2:AF208),$AF$2:$AF$1001,0),1)&gt;=100000,INDEX($AM$1005:$BM$1005,1,MATCH(COLUMNS($AM$1006:AM1006),$AM$1006:$BM$1006,0))&gt;=100000), " ",IF(INDEX($AM$2:$BM$1001,MATCH(ROWS($AF$2:AF208),$AF$2:$AF$1001,0),MATCH(COLUMNS($AM$1006:AM1006),$AM$1006:$BM$1006,0)), HYPERLINK("#",""), HYPERLINK(CONCATENATE("#metadata!", ADDRESS(INDEX($AH$2:$AH$1001,MATCH(ROWS($AF$2:AF208),$AF$2:$AF$1001,0),0), INDEX($AM$1004:$BM$1004,1,MATCH(COLUMNS($AM$1006:AM1006),$AM$1006:$BM$1006,0)))),"Fix")))</f>
        <v xml:space="preserve"> </v>
      </c>
      <c r="C208" s="4" t="str">
        <f ca="1">IF(OR(INDEX($AG$2:$AG$1001,MATCH(ROWS($AF$2:AF208),$AF$2:$AF$1001,0),1)&gt;=100000,INDEX($AM$1005:$BM$1005,1,MATCH(COLUMNS($AM$1006:AN1006),$AM$1006:$BM$1006,0))&gt;=100000), " ",IF(INDEX($AM$2:$BM$1001,MATCH(ROWS($AF$2:AF208),$AF$2:$AF$1001,0),MATCH(COLUMNS($AM$1006:AN1006),$AM$1006:$BM$1006,0)), HYPERLINK("#",""), HYPERLINK(CONCATENATE("#metadata!", ADDRESS(INDEX($AH$2:$AH$1001,MATCH(ROWS($AF$2:AF208),$AF$2:$AF$1001,0),0), INDEX($AM$1004:$BM$1004,1,MATCH(COLUMNS($AM$1006:AN1006),$AM$1006:$BM$1006,0)))),"Fix")))</f>
        <v xml:space="preserve"> </v>
      </c>
      <c r="D208" s="4" t="str">
        <f ca="1">IF(OR(INDEX($AG$2:$AG$1001,MATCH(ROWS($AF$2:AF208),$AF$2:$AF$1001,0),1)&gt;=100000,INDEX($AM$1005:$BM$1005,1,MATCH(COLUMNS($AM$1006:AO1006),$AM$1006:$BM$1006,0))&gt;=100000), " ",IF(INDEX($AM$2:$BM$1001,MATCH(ROWS($AF$2:AF208),$AF$2:$AF$1001,0),MATCH(COLUMNS($AM$1006:AO1006),$AM$1006:$BM$1006,0)), HYPERLINK("#",""), HYPERLINK(CONCATENATE("#metadata!", ADDRESS(INDEX($AH$2:$AH$1001,MATCH(ROWS($AF$2:AF208),$AF$2:$AF$1001,0),0), INDEX($AM$1004:$BM$1004,1,MATCH(COLUMNS($AM$1006:AO1006),$AM$1006:$BM$1006,0)))),"Fix")))</f>
        <v xml:space="preserve"> </v>
      </c>
      <c r="E208" s="4" t="str">
        <f ca="1">IF(OR(INDEX($AG$2:$AG$1001,MATCH(ROWS($AF$2:AF208),$AF$2:$AF$1001,0),1)&gt;=100000,INDEX($AM$1005:$BM$1005,1,MATCH(COLUMNS($AM$1006:AP1006),$AM$1006:$BM$1006,0))&gt;=100000), " ",IF(INDEX($AM$2:$BM$1001,MATCH(ROWS($AF$2:AF208),$AF$2:$AF$1001,0),MATCH(COLUMNS($AM$1006:AP1006),$AM$1006:$BM$1006,0)), HYPERLINK("#",""), HYPERLINK(CONCATENATE("#metadata!", ADDRESS(INDEX($AH$2:$AH$1001,MATCH(ROWS($AF$2:AF208),$AF$2:$AF$1001,0),0), INDEX($AM$1004:$BM$1004,1,MATCH(COLUMNS($AM$1006:AP1006),$AM$1006:$BM$1006,0)))),"Fix")))</f>
        <v xml:space="preserve"> </v>
      </c>
      <c r="F208" s="4" t="str">
        <f ca="1">IF(OR(INDEX($AG$2:$AG$1001,MATCH(ROWS($AF$2:AF208),$AF$2:$AF$1001,0),1)&gt;=100000,INDEX($AM$1005:$BM$1005,1,MATCH(COLUMNS($AM$1006:AQ1006),$AM$1006:$BM$1006,0))&gt;=100000), " ",IF(INDEX($AM$2:$BM$1001,MATCH(ROWS($AF$2:AF208),$AF$2:$AF$1001,0),MATCH(COLUMNS($AM$1006:AQ1006),$AM$1006:$BM$1006,0)), HYPERLINK("#",""), HYPERLINK(CONCATENATE("#metadata!", ADDRESS(INDEX($AH$2:$AH$1001,MATCH(ROWS($AF$2:AF208),$AF$2:$AF$1001,0),0), INDEX($AM$1004:$BM$1004,1,MATCH(COLUMNS($AM$1006:AQ1006),$AM$1006:$BM$1006,0)))),"Fix")))</f>
        <v xml:space="preserve"> </v>
      </c>
      <c r="G208" s="4" t="str">
        <f ca="1">IF(OR(INDEX($AG$2:$AG$1001,MATCH(ROWS($AF$2:AF208),$AF$2:$AF$1001,0),1)&gt;=100000,INDEX($AM$1005:$BM$1005,1,MATCH(COLUMNS($AM$1006:AR1006),$AM$1006:$BM$1006,0))&gt;=100000), " ",IF(INDEX($AM$2:$BM$1001,MATCH(ROWS($AF$2:AF208),$AF$2:$AF$1001,0),MATCH(COLUMNS($AM$1006:AR1006),$AM$1006:$BM$1006,0)), HYPERLINK("#",""), HYPERLINK(CONCATENATE("#metadata!", ADDRESS(INDEX($AH$2:$AH$1001,MATCH(ROWS($AF$2:AF208),$AF$2:$AF$1001,0),0), INDEX($AM$1004:$BM$1004,1,MATCH(COLUMNS($AM$1006:AR1006),$AM$1006:$BM$1006,0)))),"Fix")))</f>
        <v xml:space="preserve"> </v>
      </c>
      <c r="H208" s="4" t="str">
        <f ca="1">IF(OR(INDEX($AG$2:$AG$1001,MATCH(ROWS($AF$2:AF208),$AF$2:$AF$1001,0),1)&gt;=100000,INDEX($AM$1005:$BM$1005,1,MATCH(COLUMNS($AM$1006:AS1006),$AM$1006:$BM$1006,0))&gt;=100000), " ",IF(INDEX($AM$2:$BM$1001,MATCH(ROWS($AF$2:AF208),$AF$2:$AF$1001,0),MATCH(COLUMNS($AM$1006:AS1006),$AM$1006:$BM$1006,0)), HYPERLINK("#",""), HYPERLINK(CONCATENATE("#metadata!", ADDRESS(INDEX($AH$2:$AH$1001,MATCH(ROWS($AF$2:AF208),$AF$2:$AF$1001,0),0), INDEX($AM$1004:$BM$1004,1,MATCH(COLUMNS($AM$1006:AS1006),$AM$1006:$BM$1006,0)))),"Fix")))</f>
        <v xml:space="preserve"> </v>
      </c>
      <c r="I208" s="4" t="str">
        <f ca="1">IF(OR(INDEX($AG$2:$AG$1001,MATCH(ROWS($AF$2:AF208),$AF$2:$AF$1001,0),1)&gt;=100000,INDEX($AM$1005:$BM$1005,1,MATCH(COLUMNS($AM$1006:AT1006),$AM$1006:$BM$1006,0))&gt;=100000), " ",IF(INDEX($AM$2:$BM$1001,MATCH(ROWS($AF$2:AF208),$AF$2:$AF$1001,0),MATCH(COLUMNS($AM$1006:AT1006),$AM$1006:$BM$1006,0)), HYPERLINK("#",""), HYPERLINK(CONCATENATE("#metadata!", ADDRESS(INDEX($AH$2:$AH$1001,MATCH(ROWS($AF$2:AF208),$AF$2:$AF$1001,0),0), INDEX($AM$1004:$BM$1004,1,MATCH(COLUMNS($AM$1006:AT1006),$AM$1006:$BM$1006,0)))),"Fix")))</f>
        <v xml:space="preserve"> </v>
      </c>
      <c r="J208" s="4" t="str">
        <f ca="1">IF(OR(INDEX($AG$2:$AG$1001,MATCH(ROWS($AF$2:AF208),$AF$2:$AF$1001,0),1)&gt;=100000,INDEX($AM$1005:$BM$1005,1,MATCH(COLUMNS($AM$1006:AU1006),$AM$1006:$BM$1006,0))&gt;=100000), " ",IF(INDEX($AM$2:$BM$1001,MATCH(ROWS($AF$2:AF208),$AF$2:$AF$1001,0),MATCH(COLUMNS($AM$1006:AU1006),$AM$1006:$BM$1006,0)), HYPERLINK("#",""), HYPERLINK(CONCATENATE("#metadata!", ADDRESS(INDEX($AH$2:$AH$1001,MATCH(ROWS($AF$2:AF208),$AF$2:$AF$1001,0),0), INDEX($AM$1004:$BM$1004,1,MATCH(COLUMNS($AM$1006:AU1006),$AM$1006:$BM$1006,0)))),"Fix")))</f>
        <v xml:space="preserve"> </v>
      </c>
      <c r="K208" s="4" t="str">
        <f ca="1">IF(OR(INDEX($AG$2:$AG$1001,MATCH(ROWS($AF$2:AF208),$AF$2:$AF$1001,0),1)&gt;=100000,INDEX($AM$1005:$BM$1005,1,MATCH(COLUMNS($AM$1006:AV1006),$AM$1006:$BM$1006,0))&gt;=100000), " ",IF(INDEX($AM$2:$BM$1001,MATCH(ROWS($AF$2:AF208),$AF$2:$AF$1001,0),MATCH(COLUMNS($AM$1006:AV1006),$AM$1006:$BM$1006,0)), HYPERLINK("#",""), HYPERLINK(CONCATENATE("#metadata!", ADDRESS(INDEX($AH$2:$AH$1001,MATCH(ROWS($AF$2:AF208),$AF$2:$AF$1001,0),0), INDEX($AM$1004:$BM$1004,1,MATCH(COLUMNS($AM$1006:AV1006),$AM$1006:$BM$1006,0)))),"Fix")))</f>
        <v xml:space="preserve"> </v>
      </c>
      <c r="L208" s="4" t="str">
        <f ca="1">IF(OR(INDEX($AG$2:$AG$1001,MATCH(ROWS($AF$2:AF208),$AF$2:$AF$1001,0),1)&gt;=100000,INDEX($AM$1005:$BM$1005,1,MATCH(COLUMNS($AM$1006:AW1006),$AM$1006:$BM$1006,0))&gt;=100000), " ",IF(INDEX($AM$2:$BM$1001,MATCH(ROWS($AF$2:AF208),$AF$2:$AF$1001,0),MATCH(COLUMNS($AM$1006:AW1006),$AM$1006:$BM$1006,0)), HYPERLINK("#",""), HYPERLINK(CONCATENATE("#metadata!", ADDRESS(INDEX($AH$2:$AH$1001,MATCH(ROWS($AF$2:AF208),$AF$2:$AF$1001,0),0), INDEX($AM$1004:$BM$1004,1,MATCH(COLUMNS($AM$1006:AW1006),$AM$1006:$BM$1006,0)))),"Fix")))</f>
        <v xml:space="preserve"> </v>
      </c>
      <c r="M208" s="4" t="str">
        <f ca="1">IF(OR(INDEX($AG$2:$AG$1001,MATCH(ROWS($AF$2:AF208),$AF$2:$AF$1001,0),1)&gt;=100000,INDEX($AM$1005:$BM$1005,1,MATCH(COLUMNS($AM$1006:AX1006),$AM$1006:$BM$1006,0))&gt;=100000), " ",IF(INDEX($AM$2:$BM$1001,MATCH(ROWS($AF$2:AF208),$AF$2:$AF$1001,0),MATCH(COLUMNS($AM$1006:AX1006),$AM$1006:$BM$1006,0)), HYPERLINK("#",""), HYPERLINK(CONCATENATE("#metadata!", ADDRESS(INDEX($AH$2:$AH$1001,MATCH(ROWS($AF$2:AF208),$AF$2:$AF$1001,0),0), INDEX($AM$1004:$BM$1004,1,MATCH(COLUMNS($AM$1006:AX1006),$AM$1006:$BM$1006,0)))),"Fix")))</f>
        <v xml:space="preserve"> </v>
      </c>
      <c r="N208" s="4" t="str">
        <f ca="1">IF(OR(INDEX($AG$2:$AG$1001,MATCH(ROWS($AF$2:AF208),$AF$2:$AF$1001,0),1)&gt;=100000,INDEX($AM$1005:$BM$1005,1,MATCH(COLUMNS($AM$1006:AY1006),$AM$1006:$BM$1006,0))&gt;=100000), " ",IF(INDEX($AM$2:$BM$1001,MATCH(ROWS($AF$2:AF208),$AF$2:$AF$1001,0),MATCH(COLUMNS($AM$1006:AY1006),$AM$1006:$BM$1006,0)), HYPERLINK("#",""), HYPERLINK(CONCATENATE("#metadata!", ADDRESS(INDEX($AH$2:$AH$1001,MATCH(ROWS($AF$2:AF208),$AF$2:$AF$1001,0),0), INDEX($AM$1004:$BM$1004,1,MATCH(COLUMNS($AM$1006:AY1006),$AM$1006:$BM$1006,0)))),"Fix")))</f>
        <v xml:space="preserve"> </v>
      </c>
      <c r="O208" s="4" t="str">
        <f ca="1">IF(OR(INDEX($AG$2:$AG$1001,MATCH(ROWS($AF$2:AF208),$AF$2:$AF$1001,0),1)&gt;=100000,INDEX($AM$1005:$BM$1005,1,MATCH(COLUMNS($AM$1006:AZ1006),$AM$1006:$BM$1006,0))&gt;=100000), " ",IF(INDEX($AM$2:$BM$1001,MATCH(ROWS($AF$2:AF208),$AF$2:$AF$1001,0),MATCH(COLUMNS($AM$1006:AZ1006),$AM$1006:$BM$1006,0)), HYPERLINK("#",""), HYPERLINK(CONCATENATE("#metadata!", ADDRESS(INDEX($AH$2:$AH$1001,MATCH(ROWS($AF$2:AF208),$AF$2:$AF$1001,0),0), INDEX($AM$1004:$BM$1004,1,MATCH(COLUMNS($AM$1006:AZ1006),$AM$1006:$BM$1006,0)))),"Fix")))</f>
        <v xml:space="preserve"> </v>
      </c>
      <c r="P208" s="4" t="str">
        <f ca="1">IF(OR(INDEX($AG$2:$AG$1001,MATCH(ROWS($AF$2:AF208),$AF$2:$AF$1001,0),1)&gt;=100000,INDEX($AM$1005:$BM$1005,1,MATCH(COLUMNS($AM$1006:BA1006),$AM$1006:$BM$1006,0))&gt;=100000), " ",IF(INDEX($AM$2:$BM$1001,MATCH(ROWS($AF$2:AF208),$AF$2:$AF$1001,0),MATCH(COLUMNS($AM$1006:BA1006),$AM$1006:$BM$1006,0)), HYPERLINK("#",""), HYPERLINK(CONCATENATE("#metadata!", ADDRESS(INDEX($AH$2:$AH$1001,MATCH(ROWS($AF$2:AF208),$AF$2:$AF$1001,0),0), INDEX($AM$1004:$BM$1004,1,MATCH(COLUMNS($AM$1006:BA1006),$AM$1006:$BM$1006,0)))),"Fix")))</f>
        <v xml:space="preserve"> </v>
      </c>
      <c r="Q208" s="4" t="str">
        <f ca="1">IF(OR(INDEX($AG$2:$AG$1001,MATCH(ROWS($AF$2:AF208),$AF$2:$AF$1001,0),1)&gt;=100000,INDEX($AM$1005:$BM$1005,1,MATCH(COLUMNS($AM$1006:BB1006),$AM$1006:$BM$1006,0))&gt;=100000), " ",IF(INDEX($AM$2:$BM$1001,MATCH(ROWS($AF$2:AF208),$AF$2:$AF$1001,0),MATCH(COLUMNS($AM$1006:BB1006),$AM$1006:$BM$1006,0)), HYPERLINK("#",""), HYPERLINK(CONCATENATE("#metadata!", ADDRESS(INDEX($AH$2:$AH$1001,MATCH(ROWS($AF$2:AF208),$AF$2:$AF$1001,0),0), INDEX($AM$1004:$BM$1004,1,MATCH(COLUMNS($AM$1006:BB1006),$AM$1006:$BM$1006,0)))),"Fix")))</f>
        <v xml:space="preserve"> </v>
      </c>
      <c r="R208" s="4" t="str">
        <f ca="1">IF(OR(INDEX($AG$2:$AG$1001,MATCH(ROWS($AF$2:AF208),$AF$2:$AF$1001,0),1)&gt;=100000,INDEX($AM$1005:$BM$1005,1,MATCH(COLUMNS($AM$1006:BC1006),$AM$1006:$BM$1006,0))&gt;=100000), " ",IF(INDEX($AM$2:$BM$1001,MATCH(ROWS($AF$2:AF208),$AF$2:$AF$1001,0),MATCH(COLUMNS($AM$1006:BC1006),$AM$1006:$BM$1006,0)), HYPERLINK("#",""), HYPERLINK(CONCATENATE("#metadata!", ADDRESS(INDEX($AH$2:$AH$1001,MATCH(ROWS($AF$2:AF208),$AF$2:$AF$1001,0),0), INDEX($AM$1004:$BM$1004,1,MATCH(COLUMNS($AM$1006:BC1006),$AM$1006:$BM$1006,0)))),"Fix")))</f>
        <v xml:space="preserve"> </v>
      </c>
      <c r="S208" s="4" t="str">
        <f ca="1">IF(OR(INDEX($AG$2:$AG$1001,MATCH(ROWS($AF$2:AF208),$AF$2:$AF$1001,0),1)&gt;=100000,INDEX($AM$1005:$BM$1005,1,MATCH(COLUMNS($AM$1006:BD1006),$AM$1006:$BM$1006,0))&gt;=100000), " ",IF(INDEX($AM$2:$BM$1001,MATCH(ROWS($AF$2:AF208),$AF$2:$AF$1001,0),MATCH(COLUMNS($AM$1006:BD1006),$AM$1006:$BM$1006,0)), HYPERLINK("#",""), HYPERLINK(CONCATENATE("#metadata!", ADDRESS(INDEX($AH$2:$AH$1001,MATCH(ROWS($AF$2:AF208),$AF$2:$AF$1001,0),0), INDEX($AM$1004:$BM$1004,1,MATCH(COLUMNS($AM$1006:BD1006),$AM$1006:$BM$1006,0)))),"Fix")))</f>
        <v xml:space="preserve"> </v>
      </c>
      <c r="T208" s="4" t="str">
        <f ca="1">IF(OR(INDEX($AG$2:$AG$1001,MATCH(ROWS($AF$2:AF208),$AF$2:$AF$1001,0),1)&gt;=100000,INDEX($AM$1005:$BM$1005,1,MATCH(COLUMNS($AM$1006:BE1006),$AM$1006:$BM$1006,0))&gt;=100000), " ",IF(INDEX($AM$2:$BM$1001,MATCH(ROWS($AF$2:AF208),$AF$2:$AF$1001,0),MATCH(COLUMNS($AM$1006:BE1006),$AM$1006:$BM$1006,0)), HYPERLINK("#",""), HYPERLINK(CONCATENATE("#metadata!", ADDRESS(INDEX($AH$2:$AH$1001,MATCH(ROWS($AF$2:AF208),$AF$2:$AF$1001,0),0), INDEX($AM$1004:$BM$1004,1,MATCH(COLUMNS($AM$1006:BE1006),$AM$1006:$BM$1006,0)))),"Fix")))</f>
        <v xml:space="preserve"> </v>
      </c>
      <c r="U208" s="4" t="str">
        <f ca="1">IF(OR(INDEX($AG$2:$AG$1001,MATCH(ROWS($AF$2:AF208),$AF$2:$AF$1001,0),1)&gt;=100000,INDEX($AM$1005:$BM$1005,1,MATCH(COLUMNS($AM$1006:BF1006),$AM$1006:$BM$1006,0))&gt;=100000), " ",IF(INDEX($AM$2:$BM$1001,MATCH(ROWS($AF$2:AF208),$AF$2:$AF$1001,0),MATCH(COLUMNS($AM$1006:BF1006),$AM$1006:$BM$1006,0)), HYPERLINK("#",""), HYPERLINK(CONCATENATE("#metadata!", ADDRESS(INDEX($AH$2:$AH$1001,MATCH(ROWS($AF$2:AF208),$AF$2:$AF$1001,0),0), INDEX($AM$1004:$BM$1004,1,MATCH(COLUMNS($AM$1006:BF1006),$AM$1006:$BM$1006,0)))),"Fix")))</f>
        <v xml:space="preserve"> </v>
      </c>
      <c r="V208" s="4" t="str">
        <f ca="1">IF(OR(INDEX($AG$2:$AG$1001,MATCH(ROWS($AF$2:AF208),$AF$2:$AF$1001,0),1)&gt;=100000,INDEX($AM$1005:$BM$1005,1,MATCH(COLUMNS($AM$1006:BG1006),$AM$1006:$BM$1006,0))&gt;=100000), " ",IF(INDEX($AM$2:$BM$1001,MATCH(ROWS($AF$2:AF208),$AF$2:$AF$1001,0),MATCH(COLUMNS($AM$1006:BG1006),$AM$1006:$BM$1006,0)), HYPERLINK("#",""), HYPERLINK(CONCATENATE("#metadata!", ADDRESS(INDEX($AH$2:$AH$1001,MATCH(ROWS($AF$2:AF208),$AF$2:$AF$1001,0),0), INDEX($AM$1004:$BM$1004,1,MATCH(COLUMNS($AM$1006:BG1006),$AM$1006:$BM$1006,0)))),"Fix")))</f>
        <v xml:space="preserve"> </v>
      </c>
      <c r="W208" s="4" t="str">
        <f ca="1">IF(OR(INDEX($AG$2:$AG$1001,MATCH(ROWS($AF$2:AF208),$AF$2:$AF$1001,0),1)&gt;=100000,INDEX($AM$1005:$BM$1005,1,MATCH(COLUMNS($AM$1006:BH1006),$AM$1006:$BM$1006,0))&gt;=100000), " ",IF(INDEX($AM$2:$BM$1001,MATCH(ROWS($AF$2:AF208),$AF$2:$AF$1001,0),MATCH(COLUMNS($AM$1006:BH1006),$AM$1006:$BM$1006,0)), HYPERLINK("#",""), HYPERLINK(CONCATENATE("#metadata!", ADDRESS(INDEX($AH$2:$AH$1001,MATCH(ROWS($AF$2:AF208),$AF$2:$AF$1001,0),0), INDEX($AM$1004:$BM$1004,1,MATCH(COLUMNS($AM$1006:BH1006),$AM$1006:$BM$1006,0)))),"Fix")))</f>
        <v xml:space="preserve"> </v>
      </c>
      <c r="X208" s="4" t="str">
        <f ca="1">IF(OR(INDEX($AG$2:$AG$1001,MATCH(ROWS($AF$2:AF208),$AF$2:$AF$1001,0),1)&gt;=100000,INDEX($AM$1005:$BM$1005,1,MATCH(COLUMNS($AM$1006:BI1006),$AM$1006:$BM$1006,0))&gt;=100000), " ",IF(INDEX($AM$2:$BM$1001,MATCH(ROWS($AF$2:AF208),$AF$2:$AF$1001,0),MATCH(COLUMNS($AM$1006:BI1006),$AM$1006:$BM$1006,0)), HYPERLINK("#",""), HYPERLINK(CONCATENATE("#metadata!", ADDRESS(INDEX($AH$2:$AH$1001,MATCH(ROWS($AF$2:AF208),$AF$2:$AF$1001,0),0), INDEX($AM$1004:$BM$1004,1,MATCH(COLUMNS($AM$1006:BI1006),$AM$1006:$BM$1006,0)))),"Fix")))</f>
        <v xml:space="preserve"> </v>
      </c>
      <c r="Y208" s="4" t="str">
        <f ca="1">IF(OR(INDEX($AG$2:$AG$1001,MATCH(ROWS($AF$2:AF208),$AF$2:$AF$1001,0),1)&gt;=100000,INDEX($AM$1005:$BM$1005,1,MATCH(COLUMNS($AM$1006:BJ1006),$AM$1006:$BM$1006,0))&gt;=100000), " ",IF(INDEX($AM$2:$BM$1001,MATCH(ROWS($AF$2:AF208),$AF$2:$AF$1001,0),MATCH(COLUMNS($AM$1006:BJ1006),$AM$1006:$BM$1006,0)), HYPERLINK("#",""), HYPERLINK(CONCATENATE("#metadata!", ADDRESS(INDEX($AH$2:$AH$1001,MATCH(ROWS($AF$2:AF208),$AF$2:$AF$1001,0),0), INDEX($AM$1004:$BM$1004,1,MATCH(COLUMNS($AM$1006:BJ1006),$AM$1006:$BM$1006,0)))),"Fix")))</f>
        <v xml:space="preserve"> </v>
      </c>
      <c r="Z208" s="4" t="str">
        <f ca="1">IF(OR(INDEX($AG$2:$AG$1001,MATCH(ROWS($AF$2:AF208),$AF$2:$AF$1001,0),1)&gt;=100000,INDEX($AM$1005:$BM$1005,1,MATCH(COLUMNS($AM$1006:BK1006),$AM$1006:$BM$1006,0))&gt;=100000), " ",IF(INDEX($AM$2:$BM$1001,MATCH(ROWS($AF$2:AF208),$AF$2:$AF$1001,0),MATCH(COLUMNS($AM$1006:BK1006),$AM$1006:$BM$1006,0)), HYPERLINK("#",""), HYPERLINK(CONCATENATE("#metadata!", ADDRESS(INDEX($AH$2:$AH$1001,MATCH(ROWS($AF$2:AF208),$AF$2:$AF$1001,0),0), INDEX($AM$1004:$BM$1004,1,MATCH(COLUMNS($AM$1006:BK1006),$AM$1006:$BM$1006,0)))),"Fix")))</f>
        <v xml:space="preserve"> </v>
      </c>
      <c r="AA208" s="4" t="str">
        <f ca="1">IF(OR(INDEX($AG$2:$AG$1001,MATCH(ROWS($AF$2:AF208),$AF$2:$AF$1001,0),1)&gt;=100000,INDEX($AM$1005:$BM$1005,1,MATCH(COLUMNS($AM$1006:BL1006),$AM$1006:$BM$1006,0))&gt;=100000), " ",IF(INDEX($AM$2:$BM$1001,MATCH(ROWS($AF$2:AF208),$AF$2:$AF$1001,0),MATCH(COLUMNS($AM$1006:BL1006),$AM$1006:$BM$1006,0)), HYPERLINK("#",""), HYPERLINK(CONCATENATE("#metadata!", ADDRESS(INDEX($AH$2:$AH$1001,MATCH(ROWS($AF$2:AF208),$AF$2:$AF$1001,0),0), INDEX($AM$1004:$BM$1004,1,MATCH(COLUMNS($AM$1006:BL1006),$AM$1006:$BM$1006,0)))),"Fix")))</f>
        <v xml:space="preserve"> </v>
      </c>
      <c r="AB208" s="4" t="str">
        <f ca="1">IF(OR(INDEX($AG$2:$AG$1001,MATCH(ROWS($AF$2:AF208),$AF$2:$AF$1001,0),1)&gt;=100000,INDEX($AM$1005:$BM$1005,1,MATCH(COLUMNS($AM$1006:BM1006),$AM$1006:$BM$1006,0))&gt;=100000), " ",IF(INDEX($AM$2:$BM$1001,MATCH(ROWS($AF$2:AF208),$AF$2:$AF$1001,0),MATCH(COLUMNS($AM$1006:BM1006),$AM$1006:$BM$1006,0)), HYPERLINK("#",""), HYPERLINK(CONCATENATE("#metadata!", ADDRESS(INDEX($AH$2:$AH$1001,MATCH(ROWS($AF$2:AF208),$AF$2:$AF$1001,0),0), INDEX($AM$1004:$BM$1004,1,MATCH(COLUMNS($AM$1006:BM1006),$AM$1006:$BM$1006,0)))),"Fix")))</f>
        <v xml:space="preserve"> </v>
      </c>
      <c r="AF208">
        <v>207</v>
      </c>
      <c r="AG208">
        <v>100208</v>
      </c>
      <c r="AH208">
        <v>208</v>
      </c>
      <c r="AI208" t="b">
        <f t="shared" si="3"/>
        <v>1</v>
      </c>
      <c r="AJ208" t="b">
        <f>COUNTBLANK(metadata!B208:AB208)=COLUMNS(metadata!B208:AB208)</f>
        <v>1</v>
      </c>
      <c r="AK208" t="str">
        <v/>
      </c>
      <c r="AM208" t="b">
        <f ca="1">AND(IF(metadata!B208="",FALSE,TRUE),COUNTIF(metadata!B:B, metadata!B208) = 1,NOT(ISERROR(SUMPRODUCT(SEARCH(MID(metadata!B208,ROW(INDIRECT("1:"&amp;LEN(metadata!B208))), 1),"0123456789abcdefghijklmnopqrstuvwxyzABCDEFGHIJKLMNOPQRSTUVWXYZ.")))))</f>
        <v>0</v>
      </c>
      <c r="AN208" t="b">
        <f ca="1">OR(AND(IF(metadata!C208="",FALSE,TRUE),OR(EXACT(metadata!C208,"missing: not collected"),EXACT(metadata!C208,"missing: not provided"),EXACT(metadata!C208,"missing: restricted access"))),AND(IF(metadata!C208="",FALSE,TRUE),AND(AND(IFERROR(INT(LEFT(metadata!C208,4))&gt;1900,FALSE),IFERROR(INT(LEFT(metadata!C208,4))&lt;=YEAR(NOW()),FALSE)), OR(MID(metadata!C208,5,1)="", AND(AND(MID(metadata!C208,5,1)="-",IFERROR(INT(MID(metadata!C208,6,1))&gt;=0,FALSE),IFERROR(INT(MID(metadata!C208,6,1))&lt;=1,FALSE),NOT(MID(metadata!C208,7,1)=""),IFERROR(INT(MID(metadata!C208,6,2))&gt;=1,FALSE),IFERROR(INT(MID(metadata!C208,6,2))&lt;=12,FALSE)), OR(MID(metadata!C208,8,1)="", AND(AND(MID(metadata!C208,8,1)="-",IFERROR(INT(MID(metadata!C208,9,1))&gt;=0,FALSE),IFERROR(INT(MID(metadata!C208,9,1))&lt;=3,FALSE),NOT(MID(metadata!C208,10,1)=""),IFERROR(INT(MID(metadata!C208,9,2))&gt;=1,FALSE),IFERROR(INT(MID(metadata!C208,9,2))&lt;=31,FALSE)), OR(MID(metadata!C208,11,1)="", AND(AND(MID(metadata!C208,11,1)=" ",IFERROR(INT(MID(metadata!C208,12,1))&gt;=0,FALSE),IFERROR(INT(MID(metadata!C208,12,1))&lt;=2,FALSE),NOT(MID(metadata!C208,13,1)=""),IFERROR(INT(MID(metadata!C208,12,2))&gt;=0,FALSE),IFERROR(INT(MID(metadata!C208,12,2))&lt;=23,FALSE)), OR(MID(metadata!C208,14,1)="", AND(AND(MID(metadata!C208,14,1)=":",IFERROR(INT(MID(metadata!C208,15,1))&gt;=0,FALSE),IFERROR(INT(MID(metadata!C208,15,1))&lt;=5,FALSE),NOT(MID(metadata!C208,16,1)=""),IFERROR(INT(MID(metadata!C208,15,2))&gt;=0,FALSE),IFERROR(INT(MID(metadata!C208,15,2))&lt;=59,FALSE)), OR(MID(metadata!C208,17,1)="", AND(AND(MID(metadata!C208,17,1)=":",IFERROR(INT(MID(metadata!C208,18,1))&gt;=0,FALSE),IFERROR(INT(MID(metadata!C208,18,1))&lt;=5,FALSE),NOT(MID(metadata!C208,19,1)=""),IFERROR(INT(MID(metadata!C208,18,2))&gt;=0,FALSE),IFERROR(INT(MID(metadata!C208,18,2))&lt;=59,FALSE)), LEN(metadata!C208)&lt;=19)))))))))))))</f>
        <v>0</v>
      </c>
      <c r="AO208" t="b">
        <f>AND(IF(metadata!D208="",FALSE,TRUE),EXACT(metadata!D208,"Not applicable"))</f>
        <v>0</v>
      </c>
      <c r="AP208" t="b">
        <f>IF(metadata!E208="",FALSE,TRUE)</f>
        <v>0</v>
      </c>
      <c r="AQ208" t="b">
        <f>OR(AND(IF(metadata!F208="",FALSE,TRUE),OR(EXACT(metadata!F208,"missing: not collected"),EXACT(metadata!F208,"missing: not provided"))),AND(IF(metadata!F208="",FALSE,TRUE),OR(EXACT(metadata!F208,"TRUE"),EXACT(metadata!F208,"FALSE"))))</f>
        <v>0</v>
      </c>
      <c r="AR208" t="b">
        <f>OR(AND(IF(metadata!G208="",FALSE,TRUE),OR(EXACT(metadata!G208,"missing: not collected"),EXACT(metadata!G208,"missing: not provided"),EXACT(metadata!G208,"missing: restricted access"))),AND(IF(metadata!G208="",FALSE,ISNUMBER(VALUE(metadata!G208))),metadata!G208&gt;=-413))</f>
        <v>0</v>
      </c>
      <c r="AS208" t="b">
        <f>AND(IF(metadata!H208="",FALSE,TRUE),EXACT(metadata!H208,"meters"))</f>
        <v>0</v>
      </c>
      <c r="AT208" t="b">
        <f>AND(IF(metadata!I208="",FALSE,TRUE),OR(EXACT(metadata!I208,"Host-associated"),EXACT(metadata!I208,"Free-living")))</f>
        <v>0</v>
      </c>
      <c r="AU208" t="b">
        <f>AND(IF(metadata!J208="",FALSE,TRUE),OR(EXACT(metadata!J208,"Animal"),EXACT(metadata!J208,"Fungus"),EXACT(metadata!J208,"Plant"),EXACT(metadata!J208,"Saline"),EXACT(metadata!J208,"Non-saline")))</f>
        <v>0</v>
      </c>
      <c r="AV208" t="b">
        <f>AND(IF(metadata!K208="",FALSE,TRUE),OR(EXACT(metadata!K208,"Plant secretion"),EXACT(metadata!K208,"Plant rhizosphere"),EXACT(metadata!K208,"Plant surface"),EXACT(metadata!K208,"Plant corpus"),EXACT(metadata!K208,"Fungus surface"),EXACT(metadata!K208,"Fungus corpus"),EXACT(metadata!K208,"Animal surface"),EXACT(metadata!K208,"Animal proximal gut"),EXACT(metadata!K208,"Animal corpus"),EXACT(metadata!K208,"Animal distal gut"),EXACT(metadata!K208,"Animal secretion"),EXACT(metadata!K208,"Sub-surface (non-saline)"),EXACT(metadata!K208,"Surface (non-saline)"),EXACT(metadata!K208,"Water (non-saline)"),EXACT(metadata!K208,"Soil (non-saline)"),EXACT(metadata!K208,"Aerosol (non-saline)"),EXACT(metadata!K208,"Sediment (non-saline)"),EXACT(metadata!K208,"Surface (saline)"),EXACT(metadata!K208,"Water (saline)"),EXACT(metadata!K208,"Hypersaline (saline)"),EXACT(metadata!K208,"Aerosol (saline)"),EXACT(metadata!K208,"Sediment (saline)")))</f>
        <v>0</v>
      </c>
      <c r="AW208" t="b">
        <f>IF(metadata!L208="",FALSE,TRUE)</f>
        <v>0</v>
      </c>
      <c r="AX208" t="b">
        <f>IF(metadata!M208="",FALSE,TRUE)</f>
        <v>0</v>
      </c>
      <c r="AY208" t="b">
        <f>IF(metadata!N208="",FALSE,TRUE)</f>
        <v>0</v>
      </c>
      <c r="AZ208" t="b">
        <f>OR(AND(IF(metadata!O208="",FALSE,TRUE),OR(EXACT(metadata!O208,"missing: not collected"),EXACT(metadata!O208,"missing: not provided"),EXACT(metadata!O208,"missing: restricted access"))),AND(IF(metadata!O208="",FALSE,TRUE),OR(EXACT(metadata!O208,"air"),EXACT(metadata!O208,"built environment"),EXACT(metadata!O208,"host-associated"),EXACT(metadata!O208,"human-associated"),EXACT(metadata!O208,"human-skin"),EXACT(metadata!O208,"human-oral"),EXACT(metadata!O208,"human-gut"),EXACT(metadata!O208,"human-vaginal"),EXACT(metadata!O208,"microbial mat/biofilm"),EXACT(metadata!O208,"misc environment"),EXACT(metadata!O208,"plant-associated"),EXACT(metadata!O208,"sediment"),EXACT(metadata!O208,"soil"),EXACT(metadata!O208,"wastewater/sludge"),EXACT(metadata!O208,"water"))))</f>
        <v>0</v>
      </c>
      <c r="BA208" t="b">
        <f>IF(metadata!P208="",FALSE,TRUE)</f>
        <v>0</v>
      </c>
      <c r="BB208" t="b">
        <f>IF(metadata!Q208="",FALSE,TRUE)</f>
        <v>0</v>
      </c>
      <c r="BC208" t="b">
        <f>OR(AND(IF(metadata!R208="",FALSE,TRUE),OR(EXACT(metadata!R208,"missing: not collected"),EXACT(metadata!R208,"missing: not provided"),EXACT(metadata!R208,"missing: restricted access"))),AND(IF(metadata!R208="",FALSE,ISNUMBER(VALUE(metadata!R208))),metadata!R208&gt;=-90,metadata!R208&lt;=90))</f>
        <v>0</v>
      </c>
      <c r="BD208" t="b">
        <f>AND(IF(metadata!S208="",FALSE,TRUE),EXACT(metadata!S208,"Decimal degrees"))</f>
        <v>0</v>
      </c>
      <c r="BE208" t="b">
        <f>OR(AND(IF(metadata!T208="",FALSE,TRUE),OR(EXACT(metadata!T208,"missing: not collected"),EXACT(metadata!T208,"missing: not provided"),EXACT(metadata!T208,"missing: restricted access"))),AND(IF(metadata!T208="",FALSE,ISNUMBER(VALUE(metadata!T208))),metadata!T208&gt;=-180,metadata!T208&lt;=180))</f>
        <v>0</v>
      </c>
      <c r="BF208" t="b">
        <f>AND(IF(metadata!U208="",FALSE,TRUE),EXACT(metadata!U208,"Decimal degrees"))</f>
        <v>0</v>
      </c>
      <c r="BG208" t="b">
        <f>IF(metadata!V208="",FALSE,TRUE)</f>
        <v>0</v>
      </c>
      <c r="BH208" t="b">
        <f>OR(AND(IF(metadata!W208="",FALSE,TRUE),OR(EXACT(metadata!W208,"missing: not collected"),EXACT(metadata!W208,"missing: not provided"),EXACT(metadata!W208,"missing: restricted access"))),AND(IF(metadata!W208="",FALSE,TRUE),OR(EXACT(metadata!W208,"TRUE"),EXACT(metadata!W208,"FALSE"))))</f>
        <v>0</v>
      </c>
      <c r="BI208" t="b">
        <f>AND(IF(metadata!X208="",FALSE,TRUE),EXACT(metadata!X208,"other"))</f>
        <v>0</v>
      </c>
      <c r="BJ208" t="b">
        <f>IF(metadata!Y208="",FALSE,TRUE)</f>
        <v>0</v>
      </c>
      <c r="BK208" t="b">
        <f>OR(AND(IF(metadata!Z208="",FALSE,TRUE),OR(EXACT(metadata!Z208,"missing: not collected"),EXACT(metadata!Z208,"missing: not provided"))),AND(IF(metadata!Z208="",FALSE,IF(ISERROR(INT(metadata!Z208)),FALSE,INT(metadata!Z208)=metadata!Z208)),metadata!Z208&gt;0))</f>
        <v>0</v>
      </c>
      <c r="BL208" t="b">
        <f>AND(IF(metadata!AA208="",FALSE,TRUE),EXACT(metadata!AA208,"Not applicable"))</f>
        <v>0</v>
      </c>
      <c r="BM208" t="b">
        <f>IF(metadata!AB208="",FALSE,TRUE)</f>
        <v>0</v>
      </c>
    </row>
    <row r="209" spans="1:65" x14ac:dyDescent="0.2">
      <c r="A209" s="5" t="str">
        <f ca="1">IF(B209=" "," ",HYPERLINK(CONCATENATE("#metadata!",ADDRESS(INDEX($AH$2:$AH$1001,MATCH(ROWS($AF$2:AF209),$AF$2:$AF$1001,0),0),1)),INDEX($AK$2:$AK$1001,MATCH(ROWS($AF$2:AF209),$AF$2:$AF$1001,0),0)))</f>
        <v xml:space="preserve"> </v>
      </c>
      <c r="B209" s="4" t="str">
        <f ca="1">IF(OR(INDEX($AG$2:$AG$1001,MATCH(ROWS($AF$2:AF209),$AF$2:$AF$1001,0),1)&gt;=100000,INDEX($AM$1005:$BM$1005,1,MATCH(COLUMNS($AM$1006:AM1006),$AM$1006:$BM$1006,0))&gt;=100000), " ",IF(INDEX($AM$2:$BM$1001,MATCH(ROWS($AF$2:AF209),$AF$2:$AF$1001,0),MATCH(COLUMNS($AM$1006:AM1006),$AM$1006:$BM$1006,0)), HYPERLINK("#",""), HYPERLINK(CONCATENATE("#metadata!", ADDRESS(INDEX($AH$2:$AH$1001,MATCH(ROWS($AF$2:AF209),$AF$2:$AF$1001,0),0), INDEX($AM$1004:$BM$1004,1,MATCH(COLUMNS($AM$1006:AM1006),$AM$1006:$BM$1006,0)))),"Fix")))</f>
        <v xml:space="preserve"> </v>
      </c>
      <c r="C209" s="4" t="str">
        <f ca="1">IF(OR(INDEX($AG$2:$AG$1001,MATCH(ROWS($AF$2:AF209),$AF$2:$AF$1001,0),1)&gt;=100000,INDEX($AM$1005:$BM$1005,1,MATCH(COLUMNS($AM$1006:AN1006),$AM$1006:$BM$1006,0))&gt;=100000), " ",IF(INDEX($AM$2:$BM$1001,MATCH(ROWS($AF$2:AF209),$AF$2:$AF$1001,0),MATCH(COLUMNS($AM$1006:AN1006),$AM$1006:$BM$1006,0)), HYPERLINK("#",""), HYPERLINK(CONCATENATE("#metadata!", ADDRESS(INDEX($AH$2:$AH$1001,MATCH(ROWS($AF$2:AF209),$AF$2:$AF$1001,0),0), INDEX($AM$1004:$BM$1004,1,MATCH(COLUMNS($AM$1006:AN1006),$AM$1006:$BM$1006,0)))),"Fix")))</f>
        <v xml:space="preserve"> </v>
      </c>
      <c r="D209" s="4" t="str">
        <f ca="1">IF(OR(INDEX($AG$2:$AG$1001,MATCH(ROWS($AF$2:AF209),$AF$2:$AF$1001,0),1)&gt;=100000,INDEX($AM$1005:$BM$1005,1,MATCH(COLUMNS($AM$1006:AO1006),$AM$1006:$BM$1006,0))&gt;=100000), " ",IF(INDEX($AM$2:$BM$1001,MATCH(ROWS($AF$2:AF209),$AF$2:$AF$1001,0),MATCH(COLUMNS($AM$1006:AO1006),$AM$1006:$BM$1006,0)), HYPERLINK("#",""), HYPERLINK(CONCATENATE("#metadata!", ADDRESS(INDEX($AH$2:$AH$1001,MATCH(ROWS($AF$2:AF209),$AF$2:$AF$1001,0),0), INDEX($AM$1004:$BM$1004,1,MATCH(COLUMNS($AM$1006:AO1006),$AM$1006:$BM$1006,0)))),"Fix")))</f>
        <v xml:space="preserve"> </v>
      </c>
      <c r="E209" s="4" t="str">
        <f ca="1">IF(OR(INDEX($AG$2:$AG$1001,MATCH(ROWS($AF$2:AF209),$AF$2:$AF$1001,0),1)&gt;=100000,INDEX($AM$1005:$BM$1005,1,MATCH(COLUMNS($AM$1006:AP1006),$AM$1006:$BM$1006,0))&gt;=100000), " ",IF(INDEX($AM$2:$BM$1001,MATCH(ROWS($AF$2:AF209),$AF$2:$AF$1001,0),MATCH(COLUMNS($AM$1006:AP1006),$AM$1006:$BM$1006,0)), HYPERLINK("#",""), HYPERLINK(CONCATENATE("#metadata!", ADDRESS(INDEX($AH$2:$AH$1001,MATCH(ROWS($AF$2:AF209),$AF$2:$AF$1001,0),0), INDEX($AM$1004:$BM$1004,1,MATCH(COLUMNS($AM$1006:AP1006),$AM$1006:$BM$1006,0)))),"Fix")))</f>
        <v xml:space="preserve"> </v>
      </c>
      <c r="F209" s="4" t="str">
        <f ca="1">IF(OR(INDEX($AG$2:$AG$1001,MATCH(ROWS($AF$2:AF209),$AF$2:$AF$1001,0),1)&gt;=100000,INDEX($AM$1005:$BM$1005,1,MATCH(COLUMNS($AM$1006:AQ1006),$AM$1006:$BM$1006,0))&gt;=100000), " ",IF(INDEX($AM$2:$BM$1001,MATCH(ROWS($AF$2:AF209),$AF$2:$AF$1001,0),MATCH(COLUMNS($AM$1006:AQ1006),$AM$1006:$BM$1006,0)), HYPERLINK("#",""), HYPERLINK(CONCATENATE("#metadata!", ADDRESS(INDEX($AH$2:$AH$1001,MATCH(ROWS($AF$2:AF209),$AF$2:$AF$1001,0),0), INDEX($AM$1004:$BM$1004,1,MATCH(COLUMNS($AM$1006:AQ1006),$AM$1006:$BM$1006,0)))),"Fix")))</f>
        <v xml:space="preserve"> </v>
      </c>
      <c r="G209" s="4" t="str">
        <f ca="1">IF(OR(INDEX($AG$2:$AG$1001,MATCH(ROWS($AF$2:AF209),$AF$2:$AF$1001,0),1)&gt;=100000,INDEX($AM$1005:$BM$1005,1,MATCH(COLUMNS($AM$1006:AR1006),$AM$1006:$BM$1006,0))&gt;=100000), " ",IF(INDEX($AM$2:$BM$1001,MATCH(ROWS($AF$2:AF209),$AF$2:$AF$1001,0),MATCH(COLUMNS($AM$1006:AR1006),$AM$1006:$BM$1006,0)), HYPERLINK("#",""), HYPERLINK(CONCATENATE("#metadata!", ADDRESS(INDEX($AH$2:$AH$1001,MATCH(ROWS($AF$2:AF209),$AF$2:$AF$1001,0),0), INDEX($AM$1004:$BM$1004,1,MATCH(COLUMNS($AM$1006:AR1006),$AM$1006:$BM$1006,0)))),"Fix")))</f>
        <v xml:space="preserve"> </v>
      </c>
      <c r="H209" s="4" t="str">
        <f ca="1">IF(OR(INDEX($AG$2:$AG$1001,MATCH(ROWS($AF$2:AF209),$AF$2:$AF$1001,0),1)&gt;=100000,INDEX($AM$1005:$BM$1005,1,MATCH(COLUMNS($AM$1006:AS1006),$AM$1006:$BM$1006,0))&gt;=100000), " ",IF(INDEX($AM$2:$BM$1001,MATCH(ROWS($AF$2:AF209),$AF$2:$AF$1001,0),MATCH(COLUMNS($AM$1006:AS1006),$AM$1006:$BM$1006,0)), HYPERLINK("#",""), HYPERLINK(CONCATENATE("#metadata!", ADDRESS(INDEX($AH$2:$AH$1001,MATCH(ROWS($AF$2:AF209),$AF$2:$AF$1001,0),0), INDEX($AM$1004:$BM$1004,1,MATCH(COLUMNS($AM$1006:AS1006),$AM$1006:$BM$1006,0)))),"Fix")))</f>
        <v xml:space="preserve"> </v>
      </c>
      <c r="I209" s="4" t="str">
        <f ca="1">IF(OR(INDEX($AG$2:$AG$1001,MATCH(ROWS($AF$2:AF209),$AF$2:$AF$1001,0),1)&gt;=100000,INDEX($AM$1005:$BM$1005,1,MATCH(COLUMNS($AM$1006:AT1006),$AM$1006:$BM$1006,0))&gt;=100000), " ",IF(INDEX($AM$2:$BM$1001,MATCH(ROWS($AF$2:AF209),$AF$2:$AF$1001,0),MATCH(COLUMNS($AM$1006:AT1006),$AM$1006:$BM$1006,0)), HYPERLINK("#",""), HYPERLINK(CONCATENATE("#metadata!", ADDRESS(INDEX($AH$2:$AH$1001,MATCH(ROWS($AF$2:AF209),$AF$2:$AF$1001,0),0), INDEX($AM$1004:$BM$1004,1,MATCH(COLUMNS($AM$1006:AT1006),$AM$1006:$BM$1006,0)))),"Fix")))</f>
        <v xml:space="preserve"> </v>
      </c>
      <c r="J209" s="4" t="str">
        <f ca="1">IF(OR(INDEX($AG$2:$AG$1001,MATCH(ROWS($AF$2:AF209),$AF$2:$AF$1001,0),1)&gt;=100000,INDEX($AM$1005:$BM$1005,1,MATCH(COLUMNS($AM$1006:AU1006),$AM$1006:$BM$1006,0))&gt;=100000), " ",IF(INDEX($AM$2:$BM$1001,MATCH(ROWS($AF$2:AF209),$AF$2:$AF$1001,0),MATCH(COLUMNS($AM$1006:AU1006),$AM$1006:$BM$1006,0)), HYPERLINK("#",""), HYPERLINK(CONCATENATE("#metadata!", ADDRESS(INDEX($AH$2:$AH$1001,MATCH(ROWS($AF$2:AF209),$AF$2:$AF$1001,0),0), INDEX($AM$1004:$BM$1004,1,MATCH(COLUMNS($AM$1006:AU1006),$AM$1006:$BM$1006,0)))),"Fix")))</f>
        <v xml:space="preserve"> </v>
      </c>
      <c r="K209" s="4" t="str">
        <f ca="1">IF(OR(INDEX($AG$2:$AG$1001,MATCH(ROWS($AF$2:AF209),$AF$2:$AF$1001,0),1)&gt;=100000,INDEX($AM$1005:$BM$1005,1,MATCH(COLUMNS($AM$1006:AV1006),$AM$1006:$BM$1006,0))&gt;=100000), " ",IF(INDEX($AM$2:$BM$1001,MATCH(ROWS($AF$2:AF209),$AF$2:$AF$1001,0),MATCH(COLUMNS($AM$1006:AV1006),$AM$1006:$BM$1006,0)), HYPERLINK("#",""), HYPERLINK(CONCATENATE("#metadata!", ADDRESS(INDEX($AH$2:$AH$1001,MATCH(ROWS($AF$2:AF209),$AF$2:$AF$1001,0),0), INDEX($AM$1004:$BM$1004,1,MATCH(COLUMNS($AM$1006:AV1006),$AM$1006:$BM$1006,0)))),"Fix")))</f>
        <v xml:space="preserve"> </v>
      </c>
      <c r="L209" s="4" t="str">
        <f ca="1">IF(OR(INDEX($AG$2:$AG$1001,MATCH(ROWS($AF$2:AF209),$AF$2:$AF$1001,0),1)&gt;=100000,INDEX($AM$1005:$BM$1005,1,MATCH(COLUMNS($AM$1006:AW1006),$AM$1006:$BM$1006,0))&gt;=100000), " ",IF(INDEX($AM$2:$BM$1001,MATCH(ROWS($AF$2:AF209),$AF$2:$AF$1001,0),MATCH(COLUMNS($AM$1006:AW1006),$AM$1006:$BM$1006,0)), HYPERLINK("#",""), HYPERLINK(CONCATENATE("#metadata!", ADDRESS(INDEX($AH$2:$AH$1001,MATCH(ROWS($AF$2:AF209),$AF$2:$AF$1001,0),0), INDEX($AM$1004:$BM$1004,1,MATCH(COLUMNS($AM$1006:AW1006),$AM$1006:$BM$1006,0)))),"Fix")))</f>
        <v xml:space="preserve"> </v>
      </c>
      <c r="M209" s="4" t="str">
        <f ca="1">IF(OR(INDEX($AG$2:$AG$1001,MATCH(ROWS($AF$2:AF209),$AF$2:$AF$1001,0),1)&gt;=100000,INDEX($AM$1005:$BM$1005,1,MATCH(COLUMNS($AM$1006:AX1006),$AM$1006:$BM$1006,0))&gt;=100000), " ",IF(INDEX($AM$2:$BM$1001,MATCH(ROWS($AF$2:AF209),$AF$2:$AF$1001,0),MATCH(COLUMNS($AM$1006:AX1006),$AM$1006:$BM$1006,0)), HYPERLINK("#",""), HYPERLINK(CONCATENATE("#metadata!", ADDRESS(INDEX($AH$2:$AH$1001,MATCH(ROWS($AF$2:AF209),$AF$2:$AF$1001,0),0), INDEX($AM$1004:$BM$1004,1,MATCH(COLUMNS($AM$1006:AX1006),$AM$1006:$BM$1006,0)))),"Fix")))</f>
        <v xml:space="preserve"> </v>
      </c>
      <c r="N209" s="4" t="str">
        <f ca="1">IF(OR(INDEX($AG$2:$AG$1001,MATCH(ROWS($AF$2:AF209),$AF$2:$AF$1001,0),1)&gt;=100000,INDEX($AM$1005:$BM$1005,1,MATCH(COLUMNS($AM$1006:AY1006),$AM$1006:$BM$1006,0))&gt;=100000), " ",IF(INDEX($AM$2:$BM$1001,MATCH(ROWS($AF$2:AF209),$AF$2:$AF$1001,0),MATCH(COLUMNS($AM$1006:AY1006),$AM$1006:$BM$1006,0)), HYPERLINK("#",""), HYPERLINK(CONCATENATE("#metadata!", ADDRESS(INDEX($AH$2:$AH$1001,MATCH(ROWS($AF$2:AF209),$AF$2:$AF$1001,0),0), INDEX($AM$1004:$BM$1004,1,MATCH(COLUMNS($AM$1006:AY1006),$AM$1006:$BM$1006,0)))),"Fix")))</f>
        <v xml:space="preserve"> </v>
      </c>
      <c r="O209" s="4" t="str">
        <f ca="1">IF(OR(INDEX($AG$2:$AG$1001,MATCH(ROWS($AF$2:AF209),$AF$2:$AF$1001,0),1)&gt;=100000,INDEX($AM$1005:$BM$1005,1,MATCH(COLUMNS($AM$1006:AZ1006),$AM$1006:$BM$1006,0))&gt;=100000), " ",IF(INDEX($AM$2:$BM$1001,MATCH(ROWS($AF$2:AF209),$AF$2:$AF$1001,0),MATCH(COLUMNS($AM$1006:AZ1006),$AM$1006:$BM$1006,0)), HYPERLINK("#",""), HYPERLINK(CONCATENATE("#metadata!", ADDRESS(INDEX($AH$2:$AH$1001,MATCH(ROWS($AF$2:AF209),$AF$2:$AF$1001,0),0), INDEX($AM$1004:$BM$1004,1,MATCH(COLUMNS($AM$1006:AZ1006),$AM$1006:$BM$1006,0)))),"Fix")))</f>
        <v xml:space="preserve"> </v>
      </c>
      <c r="P209" s="4" t="str">
        <f ca="1">IF(OR(INDEX($AG$2:$AG$1001,MATCH(ROWS($AF$2:AF209),$AF$2:$AF$1001,0),1)&gt;=100000,INDEX($AM$1005:$BM$1005,1,MATCH(COLUMNS($AM$1006:BA1006),$AM$1006:$BM$1006,0))&gt;=100000), " ",IF(INDEX($AM$2:$BM$1001,MATCH(ROWS($AF$2:AF209),$AF$2:$AF$1001,0),MATCH(COLUMNS($AM$1006:BA1006),$AM$1006:$BM$1006,0)), HYPERLINK("#",""), HYPERLINK(CONCATENATE("#metadata!", ADDRESS(INDEX($AH$2:$AH$1001,MATCH(ROWS($AF$2:AF209),$AF$2:$AF$1001,0),0), INDEX($AM$1004:$BM$1004,1,MATCH(COLUMNS($AM$1006:BA1006),$AM$1006:$BM$1006,0)))),"Fix")))</f>
        <v xml:space="preserve"> </v>
      </c>
      <c r="Q209" s="4" t="str">
        <f ca="1">IF(OR(INDEX($AG$2:$AG$1001,MATCH(ROWS($AF$2:AF209),$AF$2:$AF$1001,0),1)&gt;=100000,INDEX($AM$1005:$BM$1005,1,MATCH(COLUMNS($AM$1006:BB1006),$AM$1006:$BM$1006,0))&gt;=100000), " ",IF(INDEX($AM$2:$BM$1001,MATCH(ROWS($AF$2:AF209),$AF$2:$AF$1001,0),MATCH(COLUMNS($AM$1006:BB1006),$AM$1006:$BM$1006,0)), HYPERLINK("#",""), HYPERLINK(CONCATENATE("#metadata!", ADDRESS(INDEX($AH$2:$AH$1001,MATCH(ROWS($AF$2:AF209),$AF$2:$AF$1001,0),0), INDEX($AM$1004:$BM$1004,1,MATCH(COLUMNS($AM$1006:BB1006),$AM$1006:$BM$1006,0)))),"Fix")))</f>
        <v xml:space="preserve"> </v>
      </c>
      <c r="R209" s="4" t="str">
        <f ca="1">IF(OR(INDEX($AG$2:$AG$1001,MATCH(ROWS($AF$2:AF209),$AF$2:$AF$1001,0),1)&gt;=100000,INDEX($AM$1005:$BM$1005,1,MATCH(COLUMNS($AM$1006:BC1006),$AM$1006:$BM$1006,0))&gt;=100000), " ",IF(INDEX($AM$2:$BM$1001,MATCH(ROWS($AF$2:AF209),$AF$2:$AF$1001,0),MATCH(COLUMNS($AM$1006:BC1006),$AM$1006:$BM$1006,0)), HYPERLINK("#",""), HYPERLINK(CONCATENATE("#metadata!", ADDRESS(INDEX($AH$2:$AH$1001,MATCH(ROWS($AF$2:AF209),$AF$2:$AF$1001,0),0), INDEX($AM$1004:$BM$1004,1,MATCH(COLUMNS($AM$1006:BC1006),$AM$1006:$BM$1006,0)))),"Fix")))</f>
        <v xml:space="preserve"> </v>
      </c>
      <c r="S209" s="4" t="str">
        <f ca="1">IF(OR(INDEX($AG$2:$AG$1001,MATCH(ROWS($AF$2:AF209),$AF$2:$AF$1001,0),1)&gt;=100000,INDEX($AM$1005:$BM$1005,1,MATCH(COLUMNS($AM$1006:BD1006),$AM$1006:$BM$1006,0))&gt;=100000), " ",IF(INDEX($AM$2:$BM$1001,MATCH(ROWS($AF$2:AF209),$AF$2:$AF$1001,0),MATCH(COLUMNS($AM$1006:BD1006),$AM$1006:$BM$1006,0)), HYPERLINK("#",""), HYPERLINK(CONCATENATE("#metadata!", ADDRESS(INDEX($AH$2:$AH$1001,MATCH(ROWS($AF$2:AF209),$AF$2:$AF$1001,0),0), INDEX($AM$1004:$BM$1004,1,MATCH(COLUMNS($AM$1006:BD1006),$AM$1006:$BM$1006,0)))),"Fix")))</f>
        <v xml:space="preserve"> </v>
      </c>
      <c r="T209" s="4" t="str">
        <f ca="1">IF(OR(INDEX($AG$2:$AG$1001,MATCH(ROWS($AF$2:AF209),$AF$2:$AF$1001,0),1)&gt;=100000,INDEX($AM$1005:$BM$1005,1,MATCH(COLUMNS($AM$1006:BE1006),$AM$1006:$BM$1006,0))&gt;=100000), " ",IF(INDEX($AM$2:$BM$1001,MATCH(ROWS($AF$2:AF209),$AF$2:$AF$1001,0),MATCH(COLUMNS($AM$1006:BE1006),$AM$1006:$BM$1006,0)), HYPERLINK("#",""), HYPERLINK(CONCATENATE("#metadata!", ADDRESS(INDEX($AH$2:$AH$1001,MATCH(ROWS($AF$2:AF209),$AF$2:$AF$1001,0),0), INDEX($AM$1004:$BM$1004,1,MATCH(COLUMNS($AM$1006:BE1006),$AM$1006:$BM$1006,0)))),"Fix")))</f>
        <v xml:space="preserve"> </v>
      </c>
      <c r="U209" s="4" t="str">
        <f ca="1">IF(OR(INDEX($AG$2:$AG$1001,MATCH(ROWS($AF$2:AF209),$AF$2:$AF$1001,0),1)&gt;=100000,INDEX($AM$1005:$BM$1005,1,MATCH(COLUMNS($AM$1006:BF1006),$AM$1006:$BM$1006,0))&gt;=100000), " ",IF(INDEX($AM$2:$BM$1001,MATCH(ROWS($AF$2:AF209),$AF$2:$AF$1001,0),MATCH(COLUMNS($AM$1006:BF1006),$AM$1006:$BM$1006,0)), HYPERLINK("#",""), HYPERLINK(CONCATENATE("#metadata!", ADDRESS(INDEX($AH$2:$AH$1001,MATCH(ROWS($AF$2:AF209),$AF$2:$AF$1001,0),0), INDEX($AM$1004:$BM$1004,1,MATCH(COLUMNS($AM$1006:BF1006),$AM$1006:$BM$1006,0)))),"Fix")))</f>
        <v xml:space="preserve"> </v>
      </c>
      <c r="V209" s="4" t="str">
        <f ca="1">IF(OR(INDEX($AG$2:$AG$1001,MATCH(ROWS($AF$2:AF209),$AF$2:$AF$1001,0),1)&gt;=100000,INDEX($AM$1005:$BM$1005,1,MATCH(COLUMNS($AM$1006:BG1006),$AM$1006:$BM$1006,0))&gt;=100000), " ",IF(INDEX($AM$2:$BM$1001,MATCH(ROWS($AF$2:AF209),$AF$2:$AF$1001,0),MATCH(COLUMNS($AM$1006:BG1006),$AM$1006:$BM$1006,0)), HYPERLINK("#",""), HYPERLINK(CONCATENATE("#metadata!", ADDRESS(INDEX($AH$2:$AH$1001,MATCH(ROWS($AF$2:AF209),$AF$2:$AF$1001,0),0), INDEX($AM$1004:$BM$1004,1,MATCH(COLUMNS($AM$1006:BG1006),$AM$1006:$BM$1006,0)))),"Fix")))</f>
        <v xml:space="preserve"> </v>
      </c>
      <c r="W209" s="4" t="str">
        <f ca="1">IF(OR(INDEX($AG$2:$AG$1001,MATCH(ROWS($AF$2:AF209),$AF$2:$AF$1001,0),1)&gt;=100000,INDEX($AM$1005:$BM$1005,1,MATCH(COLUMNS($AM$1006:BH1006),$AM$1006:$BM$1006,0))&gt;=100000), " ",IF(INDEX($AM$2:$BM$1001,MATCH(ROWS($AF$2:AF209),$AF$2:$AF$1001,0),MATCH(COLUMNS($AM$1006:BH1006),$AM$1006:$BM$1006,0)), HYPERLINK("#",""), HYPERLINK(CONCATENATE("#metadata!", ADDRESS(INDEX($AH$2:$AH$1001,MATCH(ROWS($AF$2:AF209),$AF$2:$AF$1001,0),0), INDEX($AM$1004:$BM$1004,1,MATCH(COLUMNS($AM$1006:BH1006),$AM$1006:$BM$1006,0)))),"Fix")))</f>
        <v xml:space="preserve"> </v>
      </c>
      <c r="X209" s="4" t="str">
        <f ca="1">IF(OR(INDEX($AG$2:$AG$1001,MATCH(ROWS($AF$2:AF209),$AF$2:$AF$1001,0),1)&gt;=100000,INDEX($AM$1005:$BM$1005,1,MATCH(COLUMNS($AM$1006:BI1006),$AM$1006:$BM$1006,0))&gt;=100000), " ",IF(INDEX($AM$2:$BM$1001,MATCH(ROWS($AF$2:AF209),$AF$2:$AF$1001,0),MATCH(COLUMNS($AM$1006:BI1006),$AM$1006:$BM$1006,0)), HYPERLINK("#",""), HYPERLINK(CONCATENATE("#metadata!", ADDRESS(INDEX($AH$2:$AH$1001,MATCH(ROWS($AF$2:AF209),$AF$2:$AF$1001,0),0), INDEX($AM$1004:$BM$1004,1,MATCH(COLUMNS($AM$1006:BI1006),$AM$1006:$BM$1006,0)))),"Fix")))</f>
        <v xml:space="preserve"> </v>
      </c>
      <c r="Y209" s="4" t="str">
        <f ca="1">IF(OR(INDEX($AG$2:$AG$1001,MATCH(ROWS($AF$2:AF209),$AF$2:$AF$1001,0),1)&gt;=100000,INDEX($AM$1005:$BM$1005,1,MATCH(COLUMNS($AM$1006:BJ1006),$AM$1006:$BM$1006,0))&gt;=100000), " ",IF(INDEX($AM$2:$BM$1001,MATCH(ROWS($AF$2:AF209),$AF$2:$AF$1001,0),MATCH(COLUMNS($AM$1006:BJ1006),$AM$1006:$BM$1006,0)), HYPERLINK("#",""), HYPERLINK(CONCATENATE("#metadata!", ADDRESS(INDEX($AH$2:$AH$1001,MATCH(ROWS($AF$2:AF209),$AF$2:$AF$1001,0),0), INDEX($AM$1004:$BM$1004,1,MATCH(COLUMNS($AM$1006:BJ1006),$AM$1006:$BM$1006,0)))),"Fix")))</f>
        <v xml:space="preserve"> </v>
      </c>
      <c r="Z209" s="4" t="str">
        <f ca="1">IF(OR(INDEX($AG$2:$AG$1001,MATCH(ROWS($AF$2:AF209),$AF$2:$AF$1001,0),1)&gt;=100000,INDEX($AM$1005:$BM$1005,1,MATCH(COLUMNS($AM$1006:BK1006),$AM$1006:$BM$1006,0))&gt;=100000), " ",IF(INDEX($AM$2:$BM$1001,MATCH(ROWS($AF$2:AF209),$AF$2:$AF$1001,0),MATCH(COLUMNS($AM$1006:BK1006),$AM$1006:$BM$1006,0)), HYPERLINK("#",""), HYPERLINK(CONCATENATE("#metadata!", ADDRESS(INDEX($AH$2:$AH$1001,MATCH(ROWS($AF$2:AF209),$AF$2:$AF$1001,0),0), INDEX($AM$1004:$BM$1004,1,MATCH(COLUMNS($AM$1006:BK1006),$AM$1006:$BM$1006,0)))),"Fix")))</f>
        <v xml:space="preserve"> </v>
      </c>
      <c r="AA209" s="4" t="str">
        <f ca="1">IF(OR(INDEX($AG$2:$AG$1001,MATCH(ROWS($AF$2:AF209),$AF$2:$AF$1001,0),1)&gt;=100000,INDEX($AM$1005:$BM$1005,1,MATCH(COLUMNS($AM$1006:BL1006),$AM$1006:$BM$1006,0))&gt;=100000), " ",IF(INDEX($AM$2:$BM$1001,MATCH(ROWS($AF$2:AF209),$AF$2:$AF$1001,0),MATCH(COLUMNS($AM$1006:BL1006),$AM$1006:$BM$1006,0)), HYPERLINK("#",""), HYPERLINK(CONCATENATE("#metadata!", ADDRESS(INDEX($AH$2:$AH$1001,MATCH(ROWS($AF$2:AF209),$AF$2:$AF$1001,0),0), INDEX($AM$1004:$BM$1004,1,MATCH(COLUMNS($AM$1006:BL1006),$AM$1006:$BM$1006,0)))),"Fix")))</f>
        <v xml:space="preserve"> </v>
      </c>
      <c r="AB209" s="4" t="str">
        <f ca="1">IF(OR(INDEX($AG$2:$AG$1001,MATCH(ROWS($AF$2:AF209),$AF$2:$AF$1001,0),1)&gt;=100000,INDEX($AM$1005:$BM$1005,1,MATCH(COLUMNS($AM$1006:BM1006),$AM$1006:$BM$1006,0))&gt;=100000), " ",IF(INDEX($AM$2:$BM$1001,MATCH(ROWS($AF$2:AF209),$AF$2:$AF$1001,0),MATCH(COLUMNS($AM$1006:BM1006),$AM$1006:$BM$1006,0)), HYPERLINK("#",""), HYPERLINK(CONCATENATE("#metadata!", ADDRESS(INDEX($AH$2:$AH$1001,MATCH(ROWS($AF$2:AF209),$AF$2:$AF$1001,0),0), INDEX($AM$1004:$BM$1004,1,MATCH(COLUMNS($AM$1006:BM1006),$AM$1006:$BM$1006,0)))),"Fix")))</f>
        <v xml:space="preserve"> </v>
      </c>
      <c r="AF209">
        <v>208</v>
      </c>
      <c r="AG209">
        <v>100209</v>
      </c>
      <c r="AH209">
        <v>209</v>
      </c>
      <c r="AI209" t="b">
        <f t="shared" si="3"/>
        <v>1</v>
      </c>
      <c r="AJ209" t="b">
        <f>COUNTBLANK(metadata!B209:AB209)=COLUMNS(metadata!B209:AB209)</f>
        <v>1</v>
      </c>
      <c r="AK209" t="str">
        <v/>
      </c>
      <c r="AM209" t="b">
        <f ca="1">AND(IF(metadata!B209="",FALSE,TRUE),COUNTIF(metadata!B:B, metadata!B209) = 1,NOT(ISERROR(SUMPRODUCT(SEARCH(MID(metadata!B209,ROW(INDIRECT("1:"&amp;LEN(metadata!B209))), 1),"0123456789abcdefghijklmnopqrstuvwxyzABCDEFGHIJKLMNOPQRSTUVWXYZ.")))))</f>
        <v>0</v>
      </c>
      <c r="AN209" t="b">
        <f ca="1">OR(AND(IF(metadata!C209="",FALSE,TRUE),OR(EXACT(metadata!C209,"missing: not collected"),EXACT(metadata!C209,"missing: not provided"),EXACT(metadata!C209,"missing: restricted access"))),AND(IF(metadata!C209="",FALSE,TRUE),AND(AND(IFERROR(INT(LEFT(metadata!C209,4))&gt;1900,FALSE),IFERROR(INT(LEFT(metadata!C209,4))&lt;=YEAR(NOW()),FALSE)), OR(MID(metadata!C209,5,1)="", AND(AND(MID(metadata!C209,5,1)="-",IFERROR(INT(MID(metadata!C209,6,1))&gt;=0,FALSE),IFERROR(INT(MID(metadata!C209,6,1))&lt;=1,FALSE),NOT(MID(metadata!C209,7,1)=""),IFERROR(INT(MID(metadata!C209,6,2))&gt;=1,FALSE),IFERROR(INT(MID(metadata!C209,6,2))&lt;=12,FALSE)), OR(MID(metadata!C209,8,1)="", AND(AND(MID(metadata!C209,8,1)="-",IFERROR(INT(MID(metadata!C209,9,1))&gt;=0,FALSE),IFERROR(INT(MID(metadata!C209,9,1))&lt;=3,FALSE),NOT(MID(metadata!C209,10,1)=""),IFERROR(INT(MID(metadata!C209,9,2))&gt;=1,FALSE),IFERROR(INT(MID(metadata!C209,9,2))&lt;=31,FALSE)), OR(MID(metadata!C209,11,1)="", AND(AND(MID(metadata!C209,11,1)=" ",IFERROR(INT(MID(metadata!C209,12,1))&gt;=0,FALSE),IFERROR(INT(MID(metadata!C209,12,1))&lt;=2,FALSE),NOT(MID(metadata!C209,13,1)=""),IFERROR(INT(MID(metadata!C209,12,2))&gt;=0,FALSE),IFERROR(INT(MID(metadata!C209,12,2))&lt;=23,FALSE)), OR(MID(metadata!C209,14,1)="", AND(AND(MID(metadata!C209,14,1)=":",IFERROR(INT(MID(metadata!C209,15,1))&gt;=0,FALSE),IFERROR(INT(MID(metadata!C209,15,1))&lt;=5,FALSE),NOT(MID(metadata!C209,16,1)=""),IFERROR(INT(MID(metadata!C209,15,2))&gt;=0,FALSE),IFERROR(INT(MID(metadata!C209,15,2))&lt;=59,FALSE)), OR(MID(metadata!C209,17,1)="", AND(AND(MID(metadata!C209,17,1)=":",IFERROR(INT(MID(metadata!C209,18,1))&gt;=0,FALSE),IFERROR(INT(MID(metadata!C209,18,1))&lt;=5,FALSE),NOT(MID(metadata!C209,19,1)=""),IFERROR(INT(MID(metadata!C209,18,2))&gt;=0,FALSE),IFERROR(INT(MID(metadata!C209,18,2))&lt;=59,FALSE)), LEN(metadata!C209)&lt;=19)))))))))))))</f>
        <v>0</v>
      </c>
      <c r="AO209" t="b">
        <f>AND(IF(metadata!D209="",FALSE,TRUE),EXACT(metadata!D209,"Not applicable"))</f>
        <v>0</v>
      </c>
      <c r="AP209" t="b">
        <f>IF(metadata!E209="",FALSE,TRUE)</f>
        <v>0</v>
      </c>
      <c r="AQ209" t="b">
        <f>OR(AND(IF(metadata!F209="",FALSE,TRUE),OR(EXACT(metadata!F209,"missing: not collected"),EXACT(metadata!F209,"missing: not provided"))),AND(IF(metadata!F209="",FALSE,TRUE),OR(EXACT(metadata!F209,"TRUE"),EXACT(metadata!F209,"FALSE"))))</f>
        <v>0</v>
      </c>
      <c r="AR209" t="b">
        <f>OR(AND(IF(metadata!G209="",FALSE,TRUE),OR(EXACT(metadata!G209,"missing: not collected"),EXACT(metadata!G209,"missing: not provided"),EXACT(metadata!G209,"missing: restricted access"))),AND(IF(metadata!G209="",FALSE,ISNUMBER(VALUE(metadata!G209))),metadata!G209&gt;=-413))</f>
        <v>0</v>
      </c>
      <c r="AS209" t="b">
        <f>AND(IF(metadata!H209="",FALSE,TRUE),EXACT(metadata!H209,"meters"))</f>
        <v>0</v>
      </c>
      <c r="AT209" t="b">
        <f>AND(IF(metadata!I209="",FALSE,TRUE),OR(EXACT(metadata!I209,"Host-associated"),EXACT(metadata!I209,"Free-living")))</f>
        <v>0</v>
      </c>
      <c r="AU209" t="b">
        <f>AND(IF(metadata!J209="",FALSE,TRUE),OR(EXACT(metadata!J209,"Animal"),EXACT(metadata!J209,"Fungus"),EXACT(metadata!J209,"Plant"),EXACT(metadata!J209,"Saline"),EXACT(metadata!J209,"Non-saline")))</f>
        <v>0</v>
      </c>
      <c r="AV209" t="b">
        <f>AND(IF(metadata!K209="",FALSE,TRUE),OR(EXACT(metadata!K209,"Plant secretion"),EXACT(metadata!K209,"Plant rhizosphere"),EXACT(metadata!K209,"Plant surface"),EXACT(metadata!K209,"Plant corpus"),EXACT(metadata!K209,"Fungus surface"),EXACT(metadata!K209,"Fungus corpus"),EXACT(metadata!K209,"Animal surface"),EXACT(metadata!K209,"Animal proximal gut"),EXACT(metadata!K209,"Animal corpus"),EXACT(metadata!K209,"Animal distal gut"),EXACT(metadata!K209,"Animal secretion"),EXACT(metadata!K209,"Sub-surface (non-saline)"),EXACT(metadata!K209,"Surface (non-saline)"),EXACT(metadata!K209,"Water (non-saline)"),EXACT(metadata!K209,"Soil (non-saline)"),EXACT(metadata!K209,"Aerosol (non-saline)"),EXACT(metadata!K209,"Sediment (non-saline)"),EXACT(metadata!K209,"Surface (saline)"),EXACT(metadata!K209,"Water (saline)"),EXACT(metadata!K209,"Hypersaline (saline)"),EXACT(metadata!K209,"Aerosol (saline)"),EXACT(metadata!K209,"Sediment (saline)")))</f>
        <v>0</v>
      </c>
      <c r="AW209" t="b">
        <f>IF(metadata!L209="",FALSE,TRUE)</f>
        <v>0</v>
      </c>
      <c r="AX209" t="b">
        <f>IF(metadata!M209="",FALSE,TRUE)</f>
        <v>0</v>
      </c>
      <c r="AY209" t="b">
        <f>IF(metadata!N209="",FALSE,TRUE)</f>
        <v>0</v>
      </c>
      <c r="AZ209" t="b">
        <f>OR(AND(IF(metadata!O209="",FALSE,TRUE),OR(EXACT(metadata!O209,"missing: not collected"),EXACT(metadata!O209,"missing: not provided"),EXACT(metadata!O209,"missing: restricted access"))),AND(IF(metadata!O209="",FALSE,TRUE),OR(EXACT(metadata!O209,"air"),EXACT(metadata!O209,"built environment"),EXACT(metadata!O209,"host-associated"),EXACT(metadata!O209,"human-associated"),EXACT(metadata!O209,"human-skin"),EXACT(metadata!O209,"human-oral"),EXACT(metadata!O209,"human-gut"),EXACT(metadata!O209,"human-vaginal"),EXACT(metadata!O209,"microbial mat/biofilm"),EXACT(metadata!O209,"misc environment"),EXACT(metadata!O209,"plant-associated"),EXACT(metadata!O209,"sediment"),EXACT(metadata!O209,"soil"),EXACT(metadata!O209,"wastewater/sludge"),EXACT(metadata!O209,"water"))))</f>
        <v>0</v>
      </c>
      <c r="BA209" t="b">
        <f>IF(metadata!P209="",FALSE,TRUE)</f>
        <v>0</v>
      </c>
      <c r="BB209" t="b">
        <f>IF(metadata!Q209="",FALSE,TRUE)</f>
        <v>0</v>
      </c>
      <c r="BC209" t="b">
        <f>OR(AND(IF(metadata!R209="",FALSE,TRUE),OR(EXACT(metadata!R209,"missing: not collected"),EXACT(metadata!R209,"missing: not provided"),EXACT(metadata!R209,"missing: restricted access"))),AND(IF(metadata!R209="",FALSE,ISNUMBER(VALUE(metadata!R209))),metadata!R209&gt;=-90,metadata!R209&lt;=90))</f>
        <v>0</v>
      </c>
      <c r="BD209" t="b">
        <f>AND(IF(metadata!S209="",FALSE,TRUE),EXACT(metadata!S209,"Decimal degrees"))</f>
        <v>0</v>
      </c>
      <c r="BE209" t="b">
        <f>OR(AND(IF(metadata!T209="",FALSE,TRUE),OR(EXACT(metadata!T209,"missing: not collected"),EXACT(metadata!T209,"missing: not provided"),EXACT(metadata!T209,"missing: restricted access"))),AND(IF(metadata!T209="",FALSE,ISNUMBER(VALUE(metadata!T209))),metadata!T209&gt;=-180,metadata!T209&lt;=180))</f>
        <v>0</v>
      </c>
      <c r="BF209" t="b">
        <f>AND(IF(metadata!U209="",FALSE,TRUE),EXACT(metadata!U209,"Decimal degrees"))</f>
        <v>0</v>
      </c>
      <c r="BG209" t="b">
        <f>IF(metadata!V209="",FALSE,TRUE)</f>
        <v>0</v>
      </c>
      <c r="BH209" t="b">
        <f>OR(AND(IF(metadata!W209="",FALSE,TRUE),OR(EXACT(metadata!W209,"missing: not collected"),EXACT(metadata!W209,"missing: not provided"),EXACT(metadata!W209,"missing: restricted access"))),AND(IF(metadata!W209="",FALSE,TRUE),OR(EXACT(metadata!W209,"TRUE"),EXACT(metadata!W209,"FALSE"))))</f>
        <v>0</v>
      </c>
      <c r="BI209" t="b">
        <f>AND(IF(metadata!X209="",FALSE,TRUE),EXACT(metadata!X209,"other"))</f>
        <v>0</v>
      </c>
      <c r="BJ209" t="b">
        <f>IF(metadata!Y209="",FALSE,TRUE)</f>
        <v>0</v>
      </c>
      <c r="BK209" t="b">
        <f>OR(AND(IF(metadata!Z209="",FALSE,TRUE),OR(EXACT(metadata!Z209,"missing: not collected"),EXACT(metadata!Z209,"missing: not provided"))),AND(IF(metadata!Z209="",FALSE,IF(ISERROR(INT(metadata!Z209)),FALSE,INT(metadata!Z209)=metadata!Z209)),metadata!Z209&gt;0))</f>
        <v>0</v>
      </c>
      <c r="BL209" t="b">
        <f>AND(IF(metadata!AA209="",FALSE,TRUE),EXACT(metadata!AA209,"Not applicable"))</f>
        <v>0</v>
      </c>
      <c r="BM209" t="b">
        <f>IF(metadata!AB209="",FALSE,TRUE)</f>
        <v>0</v>
      </c>
    </row>
    <row r="210" spans="1:65" x14ac:dyDescent="0.2">
      <c r="A210" s="5" t="str">
        <f ca="1">IF(B210=" "," ",HYPERLINK(CONCATENATE("#metadata!",ADDRESS(INDEX($AH$2:$AH$1001,MATCH(ROWS($AF$2:AF210),$AF$2:$AF$1001,0),0),1)),INDEX($AK$2:$AK$1001,MATCH(ROWS($AF$2:AF210),$AF$2:$AF$1001,0),0)))</f>
        <v xml:space="preserve"> </v>
      </c>
      <c r="B210" s="4" t="str">
        <f ca="1">IF(OR(INDEX($AG$2:$AG$1001,MATCH(ROWS($AF$2:AF210),$AF$2:$AF$1001,0),1)&gt;=100000,INDEX($AM$1005:$BM$1005,1,MATCH(COLUMNS($AM$1006:AM1006),$AM$1006:$BM$1006,0))&gt;=100000), " ",IF(INDEX($AM$2:$BM$1001,MATCH(ROWS($AF$2:AF210),$AF$2:$AF$1001,0),MATCH(COLUMNS($AM$1006:AM1006),$AM$1006:$BM$1006,0)), HYPERLINK("#",""), HYPERLINK(CONCATENATE("#metadata!", ADDRESS(INDEX($AH$2:$AH$1001,MATCH(ROWS($AF$2:AF210),$AF$2:$AF$1001,0),0), INDEX($AM$1004:$BM$1004,1,MATCH(COLUMNS($AM$1006:AM1006),$AM$1006:$BM$1006,0)))),"Fix")))</f>
        <v xml:space="preserve"> </v>
      </c>
      <c r="C210" s="4" t="str">
        <f ca="1">IF(OR(INDEX($AG$2:$AG$1001,MATCH(ROWS($AF$2:AF210),$AF$2:$AF$1001,0),1)&gt;=100000,INDEX($AM$1005:$BM$1005,1,MATCH(COLUMNS($AM$1006:AN1006),$AM$1006:$BM$1006,0))&gt;=100000), " ",IF(INDEX($AM$2:$BM$1001,MATCH(ROWS($AF$2:AF210),$AF$2:$AF$1001,0),MATCH(COLUMNS($AM$1006:AN1006),$AM$1006:$BM$1006,0)), HYPERLINK("#",""), HYPERLINK(CONCATENATE("#metadata!", ADDRESS(INDEX($AH$2:$AH$1001,MATCH(ROWS($AF$2:AF210),$AF$2:$AF$1001,0),0), INDEX($AM$1004:$BM$1004,1,MATCH(COLUMNS($AM$1006:AN1006),$AM$1006:$BM$1006,0)))),"Fix")))</f>
        <v xml:space="preserve"> </v>
      </c>
      <c r="D210" s="4" t="str">
        <f ca="1">IF(OR(INDEX($AG$2:$AG$1001,MATCH(ROWS($AF$2:AF210),$AF$2:$AF$1001,0),1)&gt;=100000,INDEX($AM$1005:$BM$1005,1,MATCH(COLUMNS($AM$1006:AO1006),$AM$1006:$BM$1006,0))&gt;=100000), " ",IF(INDEX($AM$2:$BM$1001,MATCH(ROWS($AF$2:AF210),$AF$2:$AF$1001,0),MATCH(COLUMNS($AM$1006:AO1006),$AM$1006:$BM$1006,0)), HYPERLINK("#",""), HYPERLINK(CONCATENATE("#metadata!", ADDRESS(INDEX($AH$2:$AH$1001,MATCH(ROWS($AF$2:AF210),$AF$2:$AF$1001,0),0), INDEX($AM$1004:$BM$1004,1,MATCH(COLUMNS($AM$1006:AO1006),$AM$1006:$BM$1006,0)))),"Fix")))</f>
        <v xml:space="preserve"> </v>
      </c>
      <c r="E210" s="4" t="str">
        <f ca="1">IF(OR(INDEX($AG$2:$AG$1001,MATCH(ROWS($AF$2:AF210),$AF$2:$AF$1001,0),1)&gt;=100000,INDEX($AM$1005:$BM$1005,1,MATCH(COLUMNS($AM$1006:AP1006),$AM$1006:$BM$1006,0))&gt;=100000), " ",IF(INDEX($AM$2:$BM$1001,MATCH(ROWS($AF$2:AF210),$AF$2:$AF$1001,0),MATCH(COLUMNS($AM$1006:AP1006),$AM$1006:$BM$1006,0)), HYPERLINK("#",""), HYPERLINK(CONCATENATE("#metadata!", ADDRESS(INDEX($AH$2:$AH$1001,MATCH(ROWS($AF$2:AF210),$AF$2:$AF$1001,0),0), INDEX($AM$1004:$BM$1004,1,MATCH(COLUMNS($AM$1006:AP1006),$AM$1006:$BM$1006,0)))),"Fix")))</f>
        <v xml:space="preserve"> </v>
      </c>
      <c r="F210" s="4" t="str">
        <f ca="1">IF(OR(INDEX($AG$2:$AG$1001,MATCH(ROWS($AF$2:AF210),$AF$2:$AF$1001,0),1)&gt;=100000,INDEX($AM$1005:$BM$1005,1,MATCH(COLUMNS($AM$1006:AQ1006),$AM$1006:$BM$1006,0))&gt;=100000), " ",IF(INDEX($AM$2:$BM$1001,MATCH(ROWS($AF$2:AF210),$AF$2:$AF$1001,0),MATCH(COLUMNS($AM$1006:AQ1006),$AM$1006:$BM$1006,0)), HYPERLINK("#",""), HYPERLINK(CONCATENATE("#metadata!", ADDRESS(INDEX($AH$2:$AH$1001,MATCH(ROWS($AF$2:AF210),$AF$2:$AF$1001,0),0), INDEX($AM$1004:$BM$1004,1,MATCH(COLUMNS($AM$1006:AQ1006),$AM$1006:$BM$1006,0)))),"Fix")))</f>
        <v xml:space="preserve"> </v>
      </c>
      <c r="G210" s="4" t="str">
        <f ca="1">IF(OR(INDEX($AG$2:$AG$1001,MATCH(ROWS($AF$2:AF210),$AF$2:$AF$1001,0),1)&gt;=100000,INDEX($AM$1005:$BM$1005,1,MATCH(COLUMNS($AM$1006:AR1006),$AM$1006:$BM$1006,0))&gt;=100000), " ",IF(INDEX($AM$2:$BM$1001,MATCH(ROWS($AF$2:AF210),$AF$2:$AF$1001,0),MATCH(COLUMNS($AM$1006:AR1006),$AM$1006:$BM$1006,0)), HYPERLINK("#",""), HYPERLINK(CONCATENATE("#metadata!", ADDRESS(INDEX($AH$2:$AH$1001,MATCH(ROWS($AF$2:AF210),$AF$2:$AF$1001,0),0), INDEX($AM$1004:$BM$1004,1,MATCH(COLUMNS($AM$1006:AR1006),$AM$1006:$BM$1006,0)))),"Fix")))</f>
        <v xml:space="preserve"> </v>
      </c>
      <c r="H210" s="4" t="str">
        <f ca="1">IF(OR(INDEX($AG$2:$AG$1001,MATCH(ROWS($AF$2:AF210),$AF$2:$AF$1001,0),1)&gt;=100000,INDEX($AM$1005:$BM$1005,1,MATCH(COLUMNS($AM$1006:AS1006),$AM$1006:$BM$1006,0))&gt;=100000), " ",IF(INDEX($AM$2:$BM$1001,MATCH(ROWS($AF$2:AF210),$AF$2:$AF$1001,0),MATCH(COLUMNS($AM$1006:AS1006),$AM$1006:$BM$1006,0)), HYPERLINK("#",""), HYPERLINK(CONCATENATE("#metadata!", ADDRESS(INDEX($AH$2:$AH$1001,MATCH(ROWS($AF$2:AF210),$AF$2:$AF$1001,0),0), INDEX($AM$1004:$BM$1004,1,MATCH(COLUMNS($AM$1006:AS1006),$AM$1006:$BM$1006,0)))),"Fix")))</f>
        <v xml:space="preserve"> </v>
      </c>
      <c r="I210" s="4" t="str">
        <f ca="1">IF(OR(INDEX($AG$2:$AG$1001,MATCH(ROWS($AF$2:AF210),$AF$2:$AF$1001,0),1)&gt;=100000,INDEX($AM$1005:$BM$1005,1,MATCH(COLUMNS($AM$1006:AT1006),$AM$1006:$BM$1006,0))&gt;=100000), " ",IF(INDEX($AM$2:$BM$1001,MATCH(ROWS($AF$2:AF210),$AF$2:$AF$1001,0),MATCH(COLUMNS($AM$1006:AT1006),$AM$1006:$BM$1006,0)), HYPERLINK("#",""), HYPERLINK(CONCATENATE("#metadata!", ADDRESS(INDEX($AH$2:$AH$1001,MATCH(ROWS($AF$2:AF210),$AF$2:$AF$1001,0),0), INDEX($AM$1004:$BM$1004,1,MATCH(COLUMNS($AM$1006:AT1006),$AM$1006:$BM$1006,0)))),"Fix")))</f>
        <v xml:space="preserve"> </v>
      </c>
      <c r="J210" s="4" t="str">
        <f ca="1">IF(OR(INDEX($AG$2:$AG$1001,MATCH(ROWS($AF$2:AF210),$AF$2:$AF$1001,0),1)&gt;=100000,INDEX($AM$1005:$BM$1005,1,MATCH(COLUMNS($AM$1006:AU1006),$AM$1006:$BM$1006,0))&gt;=100000), " ",IF(INDEX($AM$2:$BM$1001,MATCH(ROWS($AF$2:AF210),$AF$2:$AF$1001,0),MATCH(COLUMNS($AM$1006:AU1006),$AM$1006:$BM$1006,0)), HYPERLINK("#",""), HYPERLINK(CONCATENATE("#metadata!", ADDRESS(INDEX($AH$2:$AH$1001,MATCH(ROWS($AF$2:AF210),$AF$2:$AF$1001,0),0), INDEX($AM$1004:$BM$1004,1,MATCH(COLUMNS($AM$1006:AU1006),$AM$1006:$BM$1006,0)))),"Fix")))</f>
        <v xml:space="preserve"> </v>
      </c>
      <c r="K210" s="4" t="str">
        <f ca="1">IF(OR(INDEX($AG$2:$AG$1001,MATCH(ROWS($AF$2:AF210),$AF$2:$AF$1001,0),1)&gt;=100000,INDEX($AM$1005:$BM$1005,1,MATCH(COLUMNS($AM$1006:AV1006),$AM$1006:$BM$1006,0))&gt;=100000), " ",IF(INDEX($AM$2:$BM$1001,MATCH(ROWS($AF$2:AF210),$AF$2:$AF$1001,0),MATCH(COLUMNS($AM$1006:AV1006),$AM$1006:$BM$1006,0)), HYPERLINK("#",""), HYPERLINK(CONCATENATE("#metadata!", ADDRESS(INDEX($AH$2:$AH$1001,MATCH(ROWS($AF$2:AF210),$AF$2:$AF$1001,0),0), INDEX($AM$1004:$BM$1004,1,MATCH(COLUMNS($AM$1006:AV1006),$AM$1006:$BM$1006,0)))),"Fix")))</f>
        <v xml:space="preserve"> </v>
      </c>
      <c r="L210" s="4" t="str">
        <f ca="1">IF(OR(INDEX($AG$2:$AG$1001,MATCH(ROWS($AF$2:AF210),$AF$2:$AF$1001,0),1)&gt;=100000,INDEX($AM$1005:$BM$1005,1,MATCH(COLUMNS($AM$1006:AW1006),$AM$1006:$BM$1006,0))&gt;=100000), " ",IF(INDEX($AM$2:$BM$1001,MATCH(ROWS($AF$2:AF210),$AF$2:$AF$1001,0),MATCH(COLUMNS($AM$1006:AW1006),$AM$1006:$BM$1006,0)), HYPERLINK("#",""), HYPERLINK(CONCATENATE("#metadata!", ADDRESS(INDEX($AH$2:$AH$1001,MATCH(ROWS($AF$2:AF210),$AF$2:$AF$1001,0),0), INDEX($AM$1004:$BM$1004,1,MATCH(COLUMNS($AM$1006:AW1006),$AM$1006:$BM$1006,0)))),"Fix")))</f>
        <v xml:space="preserve"> </v>
      </c>
      <c r="M210" s="4" t="str">
        <f ca="1">IF(OR(INDEX($AG$2:$AG$1001,MATCH(ROWS($AF$2:AF210),$AF$2:$AF$1001,0),1)&gt;=100000,INDEX($AM$1005:$BM$1005,1,MATCH(COLUMNS($AM$1006:AX1006),$AM$1006:$BM$1006,0))&gt;=100000), " ",IF(INDEX($AM$2:$BM$1001,MATCH(ROWS($AF$2:AF210),$AF$2:$AF$1001,0),MATCH(COLUMNS($AM$1006:AX1006),$AM$1006:$BM$1006,0)), HYPERLINK("#",""), HYPERLINK(CONCATENATE("#metadata!", ADDRESS(INDEX($AH$2:$AH$1001,MATCH(ROWS($AF$2:AF210),$AF$2:$AF$1001,0),0), INDEX($AM$1004:$BM$1004,1,MATCH(COLUMNS($AM$1006:AX1006),$AM$1006:$BM$1006,0)))),"Fix")))</f>
        <v xml:space="preserve"> </v>
      </c>
      <c r="N210" s="4" t="str">
        <f ca="1">IF(OR(INDEX($AG$2:$AG$1001,MATCH(ROWS($AF$2:AF210),$AF$2:$AF$1001,0),1)&gt;=100000,INDEX($AM$1005:$BM$1005,1,MATCH(COLUMNS($AM$1006:AY1006),$AM$1006:$BM$1006,0))&gt;=100000), " ",IF(INDEX($AM$2:$BM$1001,MATCH(ROWS($AF$2:AF210),$AF$2:$AF$1001,0),MATCH(COLUMNS($AM$1006:AY1006),$AM$1006:$BM$1006,0)), HYPERLINK("#",""), HYPERLINK(CONCATENATE("#metadata!", ADDRESS(INDEX($AH$2:$AH$1001,MATCH(ROWS($AF$2:AF210),$AF$2:$AF$1001,0),0), INDEX($AM$1004:$BM$1004,1,MATCH(COLUMNS($AM$1006:AY1006),$AM$1006:$BM$1006,0)))),"Fix")))</f>
        <v xml:space="preserve"> </v>
      </c>
      <c r="O210" s="4" t="str">
        <f ca="1">IF(OR(INDEX($AG$2:$AG$1001,MATCH(ROWS($AF$2:AF210),$AF$2:$AF$1001,0),1)&gt;=100000,INDEX($AM$1005:$BM$1005,1,MATCH(COLUMNS($AM$1006:AZ1006),$AM$1006:$BM$1006,0))&gt;=100000), " ",IF(INDEX($AM$2:$BM$1001,MATCH(ROWS($AF$2:AF210),$AF$2:$AF$1001,0),MATCH(COLUMNS($AM$1006:AZ1006),$AM$1006:$BM$1006,0)), HYPERLINK("#",""), HYPERLINK(CONCATENATE("#metadata!", ADDRESS(INDEX($AH$2:$AH$1001,MATCH(ROWS($AF$2:AF210),$AF$2:$AF$1001,0),0), INDEX($AM$1004:$BM$1004,1,MATCH(COLUMNS($AM$1006:AZ1006),$AM$1006:$BM$1006,0)))),"Fix")))</f>
        <v xml:space="preserve"> </v>
      </c>
      <c r="P210" s="4" t="str">
        <f ca="1">IF(OR(INDEX($AG$2:$AG$1001,MATCH(ROWS($AF$2:AF210),$AF$2:$AF$1001,0),1)&gt;=100000,INDEX($AM$1005:$BM$1005,1,MATCH(COLUMNS($AM$1006:BA1006),$AM$1006:$BM$1006,0))&gt;=100000), " ",IF(INDEX($AM$2:$BM$1001,MATCH(ROWS($AF$2:AF210),$AF$2:$AF$1001,0),MATCH(COLUMNS($AM$1006:BA1006),$AM$1006:$BM$1006,0)), HYPERLINK("#",""), HYPERLINK(CONCATENATE("#metadata!", ADDRESS(INDEX($AH$2:$AH$1001,MATCH(ROWS($AF$2:AF210),$AF$2:$AF$1001,0),0), INDEX($AM$1004:$BM$1004,1,MATCH(COLUMNS($AM$1006:BA1006),$AM$1006:$BM$1006,0)))),"Fix")))</f>
        <v xml:space="preserve"> </v>
      </c>
      <c r="Q210" s="4" t="str">
        <f ca="1">IF(OR(INDEX($AG$2:$AG$1001,MATCH(ROWS($AF$2:AF210),$AF$2:$AF$1001,0),1)&gt;=100000,INDEX($AM$1005:$BM$1005,1,MATCH(COLUMNS($AM$1006:BB1006),$AM$1006:$BM$1006,0))&gt;=100000), " ",IF(INDEX($AM$2:$BM$1001,MATCH(ROWS($AF$2:AF210),$AF$2:$AF$1001,0),MATCH(COLUMNS($AM$1006:BB1006),$AM$1006:$BM$1006,0)), HYPERLINK("#",""), HYPERLINK(CONCATENATE("#metadata!", ADDRESS(INDEX($AH$2:$AH$1001,MATCH(ROWS($AF$2:AF210),$AF$2:$AF$1001,0),0), INDEX($AM$1004:$BM$1004,1,MATCH(COLUMNS($AM$1006:BB1006),$AM$1006:$BM$1006,0)))),"Fix")))</f>
        <v xml:space="preserve"> </v>
      </c>
      <c r="R210" s="4" t="str">
        <f ca="1">IF(OR(INDEX($AG$2:$AG$1001,MATCH(ROWS($AF$2:AF210),$AF$2:$AF$1001,0),1)&gt;=100000,INDEX($AM$1005:$BM$1005,1,MATCH(COLUMNS($AM$1006:BC1006),$AM$1006:$BM$1006,0))&gt;=100000), " ",IF(INDEX($AM$2:$BM$1001,MATCH(ROWS($AF$2:AF210),$AF$2:$AF$1001,0),MATCH(COLUMNS($AM$1006:BC1006),$AM$1006:$BM$1006,0)), HYPERLINK("#",""), HYPERLINK(CONCATENATE("#metadata!", ADDRESS(INDEX($AH$2:$AH$1001,MATCH(ROWS($AF$2:AF210),$AF$2:$AF$1001,0),0), INDEX($AM$1004:$BM$1004,1,MATCH(COLUMNS($AM$1006:BC1006),$AM$1006:$BM$1006,0)))),"Fix")))</f>
        <v xml:space="preserve"> </v>
      </c>
      <c r="S210" s="4" t="str">
        <f ca="1">IF(OR(INDEX($AG$2:$AG$1001,MATCH(ROWS($AF$2:AF210),$AF$2:$AF$1001,0),1)&gt;=100000,INDEX($AM$1005:$BM$1005,1,MATCH(COLUMNS($AM$1006:BD1006),$AM$1006:$BM$1006,0))&gt;=100000), " ",IF(INDEX($AM$2:$BM$1001,MATCH(ROWS($AF$2:AF210),$AF$2:$AF$1001,0),MATCH(COLUMNS($AM$1006:BD1006),$AM$1006:$BM$1006,0)), HYPERLINK("#",""), HYPERLINK(CONCATENATE("#metadata!", ADDRESS(INDEX($AH$2:$AH$1001,MATCH(ROWS($AF$2:AF210),$AF$2:$AF$1001,0),0), INDEX($AM$1004:$BM$1004,1,MATCH(COLUMNS($AM$1006:BD1006),$AM$1006:$BM$1006,0)))),"Fix")))</f>
        <v xml:space="preserve"> </v>
      </c>
      <c r="T210" s="4" t="str">
        <f ca="1">IF(OR(INDEX($AG$2:$AG$1001,MATCH(ROWS($AF$2:AF210),$AF$2:$AF$1001,0),1)&gt;=100000,INDEX($AM$1005:$BM$1005,1,MATCH(COLUMNS($AM$1006:BE1006),$AM$1006:$BM$1006,0))&gt;=100000), " ",IF(INDEX($AM$2:$BM$1001,MATCH(ROWS($AF$2:AF210),$AF$2:$AF$1001,0),MATCH(COLUMNS($AM$1006:BE1006),$AM$1006:$BM$1006,0)), HYPERLINK("#",""), HYPERLINK(CONCATENATE("#metadata!", ADDRESS(INDEX($AH$2:$AH$1001,MATCH(ROWS($AF$2:AF210),$AF$2:$AF$1001,0),0), INDEX($AM$1004:$BM$1004,1,MATCH(COLUMNS($AM$1006:BE1006),$AM$1006:$BM$1006,0)))),"Fix")))</f>
        <v xml:space="preserve"> </v>
      </c>
      <c r="U210" s="4" t="str">
        <f ca="1">IF(OR(INDEX($AG$2:$AG$1001,MATCH(ROWS($AF$2:AF210),$AF$2:$AF$1001,0),1)&gt;=100000,INDEX($AM$1005:$BM$1005,1,MATCH(COLUMNS($AM$1006:BF1006),$AM$1006:$BM$1006,0))&gt;=100000), " ",IF(INDEX($AM$2:$BM$1001,MATCH(ROWS($AF$2:AF210),$AF$2:$AF$1001,0),MATCH(COLUMNS($AM$1006:BF1006),$AM$1006:$BM$1006,0)), HYPERLINK("#",""), HYPERLINK(CONCATENATE("#metadata!", ADDRESS(INDEX($AH$2:$AH$1001,MATCH(ROWS($AF$2:AF210),$AF$2:$AF$1001,0),0), INDEX($AM$1004:$BM$1004,1,MATCH(COLUMNS($AM$1006:BF1006),$AM$1006:$BM$1006,0)))),"Fix")))</f>
        <v xml:space="preserve"> </v>
      </c>
      <c r="V210" s="4" t="str">
        <f ca="1">IF(OR(INDEX($AG$2:$AG$1001,MATCH(ROWS($AF$2:AF210),$AF$2:$AF$1001,0),1)&gt;=100000,INDEX($AM$1005:$BM$1005,1,MATCH(COLUMNS($AM$1006:BG1006),$AM$1006:$BM$1006,0))&gt;=100000), " ",IF(INDEX($AM$2:$BM$1001,MATCH(ROWS($AF$2:AF210),$AF$2:$AF$1001,0),MATCH(COLUMNS($AM$1006:BG1006),$AM$1006:$BM$1006,0)), HYPERLINK("#",""), HYPERLINK(CONCATENATE("#metadata!", ADDRESS(INDEX($AH$2:$AH$1001,MATCH(ROWS($AF$2:AF210),$AF$2:$AF$1001,0),0), INDEX($AM$1004:$BM$1004,1,MATCH(COLUMNS($AM$1006:BG1006),$AM$1006:$BM$1006,0)))),"Fix")))</f>
        <v xml:space="preserve"> </v>
      </c>
      <c r="W210" s="4" t="str">
        <f ca="1">IF(OR(INDEX($AG$2:$AG$1001,MATCH(ROWS($AF$2:AF210),$AF$2:$AF$1001,0),1)&gt;=100000,INDEX($AM$1005:$BM$1005,1,MATCH(COLUMNS($AM$1006:BH1006),$AM$1006:$BM$1006,0))&gt;=100000), " ",IF(INDEX($AM$2:$BM$1001,MATCH(ROWS($AF$2:AF210),$AF$2:$AF$1001,0),MATCH(COLUMNS($AM$1006:BH1006),$AM$1006:$BM$1006,0)), HYPERLINK("#",""), HYPERLINK(CONCATENATE("#metadata!", ADDRESS(INDEX($AH$2:$AH$1001,MATCH(ROWS($AF$2:AF210),$AF$2:$AF$1001,0),0), INDEX($AM$1004:$BM$1004,1,MATCH(COLUMNS($AM$1006:BH1006),$AM$1006:$BM$1006,0)))),"Fix")))</f>
        <v xml:space="preserve"> </v>
      </c>
      <c r="X210" s="4" t="str">
        <f ca="1">IF(OR(INDEX($AG$2:$AG$1001,MATCH(ROWS($AF$2:AF210),$AF$2:$AF$1001,0),1)&gt;=100000,INDEX($AM$1005:$BM$1005,1,MATCH(COLUMNS($AM$1006:BI1006),$AM$1006:$BM$1006,0))&gt;=100000), " ",IF(INDEX($AM$2:$BM$1001,MATCH(ROWS($AF$2:AF210),$AF$2:$AF$1001,0),MATCH(COLUMNS($AM$1006:BI1006),$AM$1006:$BM$1006,0)), HYPERLINK("#",""), HYPERLINK(CONCATENATE("#metadata!", ADDRESS(INDEX($AH$2:$AH$1001,MATCH(ROWS($AF$2:AF210),$AF$2:$AF$1001,0),0), INDEX($AM$1004:$BM$1004,1,MATCH(COLUMNS($AM$1006:BI1006),$AM$1006:$BM$1006,0)))),"Fix")))</f>
        <v xml:space="preserve"> </v>
      </c>
      <c r="Y210" s="4" t="str">
        <f ca="1">IF(OR(INDEX($AG$2:$AG$1001,MATCH(ROWS($AF$2:AF210),$AF$2:$AF$1001,0),1)&gt;=100000,INDEX($AM$1005:$BM$1005,1,MATCH(COLUMNS($AM$1006:BJ1006),$AM$1006:$BM$1006,0))&gt;=100000), " ",IF(INDEX($AM$2:$BM$1001,MATCH(ROWS($AF$2:AF210),$AF$2:$AF$1001,0),MATCH(COLUMNS($AM$1006:BJ1006),$AM$1006:$BM$1006,0)), HYPERLINK("#",""), HYPERLINK(CONCATENATE("#metadata!", ADDRESS(INDEX($AH$2:$AH$1001,MATCH(ROWS($AF$2:AF210),$AF$2:$AF$1001,0),0), INDEX($AM$1004:$BM$1004,1,MATCH(COLUMNS($AM$1006:BJ1006),$AM$1006:$BM$1006,0)))),"Fix")))</f>
        <v xml:space="preserve"> </v>
      </c>
      <c r="Z210" s="4" t="str">
        <f ca="1">IF(OR(INDEX($AG$2:$AG$1001,MATCH(ROWS($AF$2:AF210),$AF$2:$AF$1001,0),1)&gt;=100000,INDEX($AM$1005:$BM$1005,1,MATCH(COLUMNS($AM$1006:BK1006),$AM$1006:$BM$1006,0))&gt;=100000), " ",IF(INDEX($AM$2:$BM$1001,MATCH(ROWS($AF$2:AF210),$AF$2:$AF$1001,0),MATCH(COLUMNS($AM$1006:BK1006),$AM$1006:$BM$1006,0)), HYPERLINK("#",""), HYPERLINK(CONCATENATE("#metadata!", ADDRESS(INDEX($AH$2:$AH$1001,MATCH(ROWS($AF$2:AF210),$AF$2:$AF$1001,0),0), INDEX($AM$1004:$BM$1004,1,MATCH(COLUMNS($AM$1006:BK1006),$AM$1006:$BM$1006,0)))),"Fix")))</f>
        <v xml:space="preserve"> </v>
      </c>
      <c r="AA210" s="4" t="str">
        <f ca="1">IF(OR(INDEX($AG$2:$AG$1001,MATCH(ROWS($AF$2:AF210),$AF$2:$AF$1001,0),1)&gt;=100000,INDEX($AM$1005:$BM$1005,1,MATCH(COLUMNS($AM$1006:BL1006),$AM$1006:$BM$1006,0))&gt;=100000), " ",IF(INDEX($AM$2:$BM$1001,MATCH(ROWS($AF$2:AF210),$AF$2:$AF$1001,0),MATCH(COLUMNS($AM$1006:BL1006),$AM$1006:$BM$1006,0)), HYPERLINK("#",""), HYPERLINK(CONCATENATE("#metadata!", ADDRESS(INDEX($AH$2:$AH$1001,MATCH(ROWS($AF$2:AF210),$AF$2:$AF$1001,0),0), INDEX($AM$1004:$BM$1004,1,MATCH(COLUMNS($AM$1006:BL1006),$AM$1006:$BM$1006,0)))),"Fix")))</f>
        <v xml:space="preserve"> </v>
      </c>
      <c r="AB210" s="4" t="str">
        <f ca="1">IF(OR(INDEX($AG$2:$AG$1001,MATCH(ROWS($AF$2:AF210),$AF$2:$AF$1001,0),1)&gt;=100000,INDEX($AM$1005:$BM$1005,1,MATCH(COLUMNS($AM$1006:BM1006),$AM$1006:$BM$1006,0))&gt;=100000), " ",IF(INDEX($AM$2:$BM$1001,MATCH(ROWS($AF$2:AF210),$AF$2:$AF$1001,0),MATCH(COLUMNS($AM$1006:BM1006),$AM$1006:$BM$1006,0)), HYPERLINK("#",""), HYPERLINK(CONCATENATE("#metadata!", ADDRESS(INDEX($AH$2:$AH$1001,MATCH(ROWS($AF$2:AF210),$AF$2:$AF$1001,0),0), INDEX($AM$1004:$BM$1004,1,MATCH(COLUMNS($AM$1006:BM1006),$AM$1006:$BM$1006,0)))),"Fix")))</f>
        <v xml:space="preserve"> </v>
      </c>
      <c r="AF210">
        <v>209</v>
      </c>
      <c r="AG210">
        <v>100210</v>
      </c>
      <c r="AH210">
        <v>210</v>
      </c>
      <c r="AI210" t="b">
        <f t="shared" si="3"/>
        <v>1</v>
      </c>
      <c r="AJ210" t="b">
        <f>COUNTBLANK(metadata!B210:AB210)=COLUMNS(metadata!B210:AB210)</f>
        <v>1</v>
      </c>
      <c r="AK210" t="str">
        <v/>
      </c>
      <c r="AM210" t="b">
        <f ca="1">AND(IF(metadata!B210="",FALSE,TRUE),COUNTIF(metadata!B:B, metadata!B210) = 1,NOT(ISERROR(SUMPRODUCT(SEARCH(MID(metadata!B210,ROW(INDIRECT("1:"&amp;LEN(metadata!B210))), 1),"0123456789abcdefghijklmnopqrstuvwxyzABCDEFGHIJKLMNOPQRSTUVWXYZ.")))))</f>
        <v>0</v>
      </c>
      <c r="AN210" t="b">
        <f ca="1">OR(AND(IF(metadata!C210="",FALSE,TRUE),OR(EXACT(metadata!C210,"missing: not collected"),EXACT(metadata!C210,"missing: not provided"),EXACT(metadata!C210,"missing: restricted access"))),AND(IF(metadata!C210="",FALSE,TRUE),AND(AND(IFERROR(INT(LEFT(metadata!C210,4))&gt;1900,FALSE),IFERROR(INT(LEFT(metadata!C210,4))&lt;=YEAR(NOW()),FALSE)), OR(MID(metadata!C210,5,1)="", AND(AND(MID(metadata!C210,5,1)="-",IFERROR(INT(MID(metadata!C210,6,1))&gt;=0,FALSE),IFERROR(INT(MID(metadata!C210,6,1))&lt;=1,FALSE),NOT(MID(metadata!C210,7,1)=""),IFERROR(INT(MID(metadata!C210,6,2))&gt;=1,FALSE),IFERROR(INT(MID(metadata!C210,6,2))&lt;=12,FALSE)), OR(MID(metadata!C210,8,1)="", AND(AND(MID(metadata!C210,8,1)="-",IFERROR(INT(MID(metadata!C210,9,1))&gt;=0,FALSE),IFERROR(INT(MID(metadata!C210,9,1))&lt;=3,FALSE),NOT(MID(metadata!C210,10,1)=""),IFERROR(INT(MID(metadata!C210,9,2))&gt;=1,FALSE),IFERROR(INT(MID(metadata!C210,9,2))&lt;=31,FALSE)), OR(MID(metadata!C210,11,1)="", AND(AND(MID(metadata!C210,11,1)=" ",IFERROR(INT(MID(metadata!C210,12,1))&gt;=0,FALSE),IFERROR(INT(MID(metadata!C210,12,1))&lt;=2,FALSE),NOT(MID(metadata!C210,13,1)=""),IFERROR(INT(MID(metadata!C210,12,2))&gt;=0,FALSE),IFERROR(INT(MID(metadata!C210,12,2))&lt;=23,FALSE)), OR(MID(metadata!C210,14,1)="", AND(AND(MID(metadata!C210,14,1)=":",IFERROR(INT(MID(metadata!C210,15,1))&gt;=0,FALSE),IFERROR(INT(MID(metadata!C210,15,1))&lt;=5,FALSE),NOT(MID(metadata!C210,16,1)=""),IFERROR(INT(MID(metadata!C210,15,2))&gt;=0,FALSE),IFERROR(INT(MID(metadata!C210,15,2))&lt;=59,FALSE)), OR(MID(metadata!C210,17,1)="", AND(AND(MID(metadata!C210,17,1)=":",IFERROR(INT(MID(metadata!C210,18,1))&gt;=0,FALSE),IFERROR(INT(MID(metadata!C210,18,1))&lt;=5,FALSE),NOT(MID(metadata!C210,19,1)=""),IFERROR(INT(MID(metadata!C210,18,2))&gt;=0,FALSE),IFERROR(INT(MID(metadata!C210,18,2))&lt;=59,FALSE)), LEN(metadata!C210)&lt;=19)))))))))))))</f>
        <v>0</v>
      </c>
      <c r="AO210" t="b">
        <f>AND(IF(metadata!D210="",FALSE,TRUE),EXACT(metadata!D210,"Not applicable"))</f>
        <v>0</v>
      </c>
      <c r="AP210" t="b">
        <f>IF(metadata!E210="",FALSE,TRUE)</f>
        <v>0</v>
      </c>
      <c r="AQ210" t="b">
        <f>OR(AND(IF(metadata!F210="",FALSE,TRUE),OR(EXACT(metadata!F210,"missing: not collected"),EXACT(metadata!F210,"missing: not provided"))),AND(IF(metadata!F210="",FALSE,TRUE),OR(EXACT(metadata!F210,"TRUE"),EXACT(metadata!F210,"FALSE"))))</f>
        <v>0</v>
      </c>
      <c r="AR210" t="b">
        <f>OR(AND(IF(metadata!G210="",FALSE,TRUE),OR(EXACT(metadata!G210,"missing: not collected"),EXACT(metadata!G210,"missing: not provided"),EXACT(metadata!G210,"missing: restricted access"))),AND(IF(metadata!G210="",FALSE,ISNUMBER(VALUE(metadata!G210))),metadata!G210&gt;=-413))</f>
        <v>0</v>
      </c>
      <c r="AS210" t="b">
        <f>AND(IF(metadata!H210="",FALSE,TRUE),EXACT(metadata!H210,"meters"))</f>
        <v>0</v>
      </c>
      <c r="AT210" t="b">
        <f>AND(IF(metadata!I210="",FALSE,TRUE),OR(EXACT(metadata!I210,"Host-associated"),EXACT(metadata!I210,"Free-living")))</f>
        <v>0</v>
      </c>
      <c r="AU210" t="b">
        <f>AND(IF(metadata!J210="",FALSE,TRUE),OR(EXACT(metadata!J210,"Animal"),EXACT(metadata!J210,"Fungus"),EXACT(metadata!J210,"Plant"),EXACT(metadata!J210,"Saline"),EXACT(metadata!J210,"Non-saline")))</f>
        <v>0</v>
      </c>
      <c r="AV210" t="b">
        <f>AND(IF(metadata!K210="",FALSE,TRUE),OR(EXACT(metadata!K210,"Plant secretion"),EXACT(metadata!K210,"Plant rhizosphere"),EXACT(metadata!K210,"Plant surface"),EXACT(metadata!K210,"Plant corpus"),EXACT(metadata!K210,"Fungus surface"),EXACT(metadata!K210,"Fungus corpus"),EXACT(metadata!K210,"Animal surface"),EXACT(metadata!K210,"Animal proximal gut"),EXACT(metadata!K210,"Animal corpus"),EXACT(metadata!K210,"Animal distal gut"),EXACT(metadata!K210,"Animal secretion"),EXACT(metadata!K210,"Sub-surface (non-saline)"),EXACT(metadata!K210,"Surface (non-saline)"),EXACT(metadata!K210,"Water (non-saline)"),EXACT(metadata!K210,"Soil (non-saline)"),EXACT(metadata!K210,"Aerosol (non-saline)"),EXACT(metadata!K210,"Sediment (non-saline)"),EXACT(metadata!K210,"Surface (saline)"),EXACT(metadata!K210,"Water (saline)"),EXACT(metadata!K210,"Hypersaline (saline)"),EXACT(metadata!K210,"Aerosol (saline)"),EXACT(metadata!K210,"Sediment (saline)")))</f>
        <v>0</v>
      </c>
      <c r="AW210" t="b">
        <f>IF(metadata!L210="",FALSE,TRUE)</f>
        <v>0</v>
      </c>
      <c r="AX210" t="b">
        <f>IF(metadata!M210="",FALSE,TRUE)</f>
        <v>0</v>
      </c>
      <c r="AY210" t="b">
        <f>IF(metadata!N210="",FALSE,TRUE)</f>
        <v>0</v>
      </c>
      <c r="AZ210" t="b">
        <f>OR(AND(IF(metadata!O210="",FALSE,TRUE),OR(EXACT(metadata!O210,"missing: not collected"),EXACT(metadata!O210,"missing: not provided"),EXACT(metadata!O210,"missing: restricted access"))),AND(IF(metadata!O210="",FALSE,TRUE),OR(EXACT(metadata!O210,"air"),EXACT(metadata!O210,"built environment"),EXACT(metadata!O210,"host-associated"),EXACT(metadata!O210,"human-associated"),EXACT(metadata!O210,"human-skin"),EXACT(metadata!O210,"human-oral"),EXACT(metadata!O210,"human-gut"),EXACT(metadata!O210,"human-vaginal"),EXACT(metadata!O210,"microbial mat/biofilm"),EXACT(metadata!O210,"misc environment"),EXACT(metadata!O210,"plant-associated"),EXACT(metadata!O210,"sediment"),EXACT(metadata!O210,"soil"),EXACT(metadata!O210,"wastewater/sludge"),EXACT(metadata!O210,"water"))))</f>
        <v>0</v>
      </c>
      <c r="BA210" t="b">
        <f>IF(metadata!P210="",FALSE,TRUE)</f>
        <v>0</v>
      </c>
      <c r="BB210" t="b">
        <f>IF(metadata!Q210="",FALSE,TRUE)</f>
        <v>0</v>
      </c>
      <c r="BC210" t="b">
        <f>OR(AND(IF(metadata!R210="",FALSE,TRUE),OR(EXACT(metadata!R210,"missing: not collected"),EXACT(metadata!R210,"missing: not provided"),EXACT(metadata!R210,"missing: restricted access"))),AND(IF(metadata!R210="",FALSE,ISNUMBER(VALUE(metadata!R210))),metadata!R210&gt;=-90,metadata!R210&lt;=90))</f>
        <v>0</v>
      </c>
      <c r="BD210" t="b">
        <f>AND(IF(metadata!S210="",FALSE,TRUE),EXACT(metadata!S210,"Decimal degrees"))</f>
        <v>0</v>
      </c>
      <c r="BE210" t="b">
        <f>OR(AND(IF(metadata!T210="",FALSE,TRUE),OR(EXACT(metadata!T210,"missing: not collected"),EXACT(metadata!T210,"missing: not provided"),EXACT(metadata!T210,"missing: restricted access"))),AND(IF(metadata!T210="",FALSE,ISNUMBER(VALUE(metadata!T210))),metadata!T210&gt;=-180,metadata!T210&lt;=180))</f>
        <v>0</v>
      </c>
      <c r="BF210" t="b">
        <f>AND(IF(metadata!U210="",FALSE,TRUE),EXACT(metadata!U210,"Decimal degrees"))</f>
        <v>0</v>
      </c>
      <c r="BG210" t="b">
        <f>IF(metadata!V210="",FALSE,TRUE)</f>
        <v>0</v>
      </c>
      <c r="BH210" t="b">
        <f>OR(AND(IF(metadata!W210="",FALSE,TRUE),OR(EXACT(metadata!W210,"missing: not collected"),EXACT(metadata!W210,"missing: not provided"),EXACT(metadata!W210,"missing: restricted access"))),AND(IF(metadata!W210="",FALSE,TRUE),OR(EXACT(metadata!W210,"TRUE"),EXACT(metadata!W210,"FALSE"))))</f>
        <v>0</v>
      </c>
      <c r="BI210" t="b">
        <f>AND(IF(metadata!X210="",FALSE,TRUE),EXACT(metadata!X210,"other"))</f>
        <v>0</v>
      </c>
      <c r="BJ210" t="b">
        <f>IF(metadata!Y210="",FALSE,TRUE)</f>
        <v>0</v>
      </c>
      <c r="BK210" t="b">
        <f>OR(AND(IF(metadata!Z210="",FALSE,TRUE),OR(EXACT(metadata!Z210,"missing: not collected"),EXACT(metadata!Z210,"missing: not provided"))),AND(IF(metadata!Z210="",FALSE,IF(ISERROR(INT(metadata!Z210)),FALSE,INT(metadata!Z210)=metadata!Z210)),metadata!Z210&gt;0))</f>
        <v>0</v>
      </c>
      <c r="BL210" t="b">
        <f>AND(IF(metadata!AA210="",FALSE,TRUE),EXACT(metadata!AA210,"Not applicable"))</f>
        <v>0</v>
      </c>
      <c r="BM210" t="b">
        <f>IF(metadata!AB210="",FALSE,TRUE)</f>
        <v>0</v>
      </c>
    </row>
    <row r="211" spans="1:65" x14ac:dyDescent="0.2">
      <c r="A211" s="5" t="str">
        <f ca="1">IF(B211=" "," ",HYPERLINK(CONCATENATE("#metadata!",ADDRESS(INDEX($AH$2:$AH$1001,MATCH(ROWS($AF$2:AF211),$AF$2:$AF$1001,0),0),1)),INDEX($AK$2:$AK$1001,MATCH(ROWS($AF$2:AF211),$AF$2:$AF$1001,0),0)))</f>
        <v xml:space="preserve"> </v>
      </c>
      <c r="B211" s="4" t="str">
        <f ca="1">IF(OR(INDEX($AG$2:$AG$1001,MATCH(ROWS($AF$2:AF211),$AF$2:$AF$1001,0),1)&gt;=100000,INDEX($AM$1005:$BM$1005,1,MATCH(COLUMNS($AM$1006:AM1006),$AM$1006:$BM$1006,0))&gt;=100000), " ",IF(INDEX($AM$2:$BM$1001,MATCH(ROWS($AF$2:AF211),$AF$2:$AF$1001,0),MATCH(COLUMNS($AM$1006:AM1006),$AM$1006:$BM$1006,0)), HYPERLINK("#",""), HYPERLINK(CONCATENATE("#metadata!", ADDRESS(INDEX($AH$2:$AH$1001,MATCH(ROWS($AF$2:AF211),$AF$2:$AF$1001,0),0), INDEX($AM$1004:$BM$1004,1,MATCH(COLUMNS($AM$1006:AM1006),$AM$1006:$BM$1006,0)))),"Fix")))</f>
        <v xml:space="preserve"> </v>
      </c>
      <c r="C211" s="4" t="str">
        <f ca="1">IF(OR(INDEX($AG$2:$AG$1001,MATCH(ROWS($AF$2:AF211),$AF$2:$AF$1001,0),1)&gt;=100000,INDEX($AM$1005:$BM$1005,1,MATCH(COLUMNS($AM$1006:AN1006),$AM$1006:$BM$1006,0))&gt;=100000), " ",IF(INDEX($AM$2:$BM$1001,MATCH(ROWS($AF$2:AF211),$AF$2:$AF$1001,0),MATCH(COLUMNS($AM$1006:AN1006),$AM$1006:$BM$1006,0)), HYPERLINK("#",""), HYPERLINK(CONCATENATE("#metadata!", ADDRESS(INDEX($AH$2:$AH$1001,MATCH(ROWS($AF$2:AF211),$AF$2:$AF$1001,0),0), INDEX($AM$1004:$BM$1004,1,MATCH(COLUMNS($AM$1006:AN1006),$AM$1006:$BM$1006,0)))),"Fix")))</f>
        <v xml:space="preserve"> </v>
      </c>
      <c r="D211" s="4" t="str">
        <f ca="1">IF(OR(INDEX($AG$2:$AG$1001,MATCH(ROWS($AF$2:AF211),$AF$2:$AF$1001,0),1)&gt;=100000,INDEX($AM$1005:$BM$1005,1,MATCH(COLUMNS($AM$1006:AO1006),$AM$1006:$BM$1006,0))&gt;=100000), " ",IF(INDEX($AM$2:$BM$1001,MATCH(ROWS($AF$2:AF211),$AF$2:$AF$1001,0),MATCH(COLUMNS($AM$1006:AO1006),$AM$1006:$BM$1006,0)), HYPERLINK("#",""), HYPERLINK(CONCATENATE("#metadata!", ADDRESS(INDEX($AH$2:$AH$1001,MATCH(ROWS($AF$2:AF211),$AF$2:$AF$1001,0),0), INDEX($AM$1004:$BM$1004,1,MATCH(COLUMNS($AM$1006:AO1006),$AM$1006:$BM$1006,0)))),"Fix")))</f>
        <v xml:space="preserve"> </v>
      </c>
      <c r="E211" s="4" t="str">
        <f ca="1">IF(OR(INDEX($AG$2:$AG$1001,MATCH(ROWS($AF$2:AF211),$AF$2:$AF$1001,0),1)&gt;=100000,INDEX($AM$1005:$BM$1005,1,MATCH(COLUMNS($AM$1006:AP1006),$AM$1006:$BM$1006,0))&gt;=100000), " ",IF(INDEX($AM$2:$BM$1001,MATCH(ROWS($AF$2:AF211),$AF$2:$AF$1001,0),MATCH(COLUMNS($AM$1006:AP1006),$AM$1006:$BM$1006,0)), HYPERLINK("#",""), HYPERLINK(CONCATENATE("#metadata!", ADDRESS(INDEX($AH$2:$AH$1001,MATCH(ROWS($AF$2:AF211),$AF$2:$AF$1001,0),0), INDEX($AM$1004:$BM$1004,1,MATCH(COLUMNS($AM$1006:AP1006),$AM$1006:$BM$1006,0)))),"Fix")))</f>
        <v xml:space="preserve"> </v>
      </c>
      <c r="F211" s="4" t="str">
        <f ca="1">IF(OR(INDEX($AG$2:$AG$1001,MATCH(ROWS($AF$2:AF211),$AF$2:$AF$1001,0),1)&gt;=100000,INDEX($AM$1005:$BM$1005,1,MATCH(COLUMNS($AM$1006:AQ1006),$AM$1006:$BM$1006,0))&gt;=100000), " ",IF(INDEX($AM$2:$BM$1001,MATCH(ROWS($AF$2:AF211),$AF$2:$AF$1001,0),MATCH(COLUMNS($AM$1006:AQ1006),$AM$1006:$BM$1006,0)), HYPERLINK("#",""), HYPERLINK(CONCATENATE("#metadata!", ADDRESS(INDEX($AH$2:$AH$1001,MATCH(ROWS($AF$2:AF211),$AF$2:$AF$1001,0),0), INDEX($AM$1004:$BM$1004,1,MATCH(COLUMNS($AM$1006:AQ1006),$AM$1006:$BM$1006,0)))),"Fix")))</f>
        <v xml:space="preserve"> </v>
      </c>
      <c r="G211" s="4" t="str">
        <f ca="1">IF(OR(INDEX($AG$2:$AG$1001,MATCH(ROWS($AF$2:AF211),$AF$2:$AF$1001,0),1)&gt;=100000,INDEX($AM$1005:$BM$1005,1,MATCH(COLUMNS($AM$1006:AR1006),$AM$1006:$BM$1006,0))&gt;=100000), " ",IF(INDEX($AM$2:$BM$1001,MATCH(ROWS($AF$2:AF211),$AF$2:$AF$1001,0),MATCH(COLUMNS($AM$1006:AR1006),$AM$1006:$BM$1006,0)), HYPERLINK("#",""), HYPERLINK(CONCATENATE("#metadata!", ADDRESS(INDEX($AH$2:$AH$1001,MATCH(ROWS($AF$2:AF211),$AF$2:$AF$1001,0),0), INDEX($AM$1004:$BM$1004,1,MATCH(COLUMNS($AM$1006:AR1006),$AM$1006:$BM$1006,0)))),"Fix")))</f>
        <v xml:space="preserve"> </v>
      </c>
      <c r="H211" s="4" t="str">
        <f ca="1">IF(OR(INDEX($AG$2:$AG$1001,MATCH(ROWS($AF$2:AF211),$AF$2:$AF$1001,0),1)&gt;=100000,INDEX($AM$1005:$BM$1005,1,MATCH(COLUMNS($AM$1006:AS1006),$AM$1006:$BM$1006,0))&gt;=100000), " ",IF(INDEX($AM$2:$BM$1001,MATCH(ROWS($AF$2:AF211),$AF$2:$AF$1001,0),MATCH(COLUMNS($AM$1006:AS1006),$AM$1006:$BM$1006,0)), HYPERLINK("#",""), HYPERLINK(CONCATENATE("#metadata!", ADDRESS(INDEX($AH$2:$AH$1001,MATCH(ROWS($AF$2:AF211),$AF$2:$AF$1001,0),0), INDEX($AM$1004:$BM$1004,1,MATCH(COLUMNS($AM$1006:AS1006),$AM$1006:$BM$1006,0)))),"Fix")))</f>
        <v xml:space="preserve"> </v>
      </c>
      <c r="I211" s="4" t="str">
        <f ca="1">IF(OR(INDEX($AG$2:$AG$1001,MATCH(ROWS($AF$2:AF211),$AF$2:$AF$1001,0),1)&gt;=100000,INDEX($AM$1005:$BM$1005,1,MATCH(COLUMNS($AM$1006:AT1006),$AM$1006:$BM$1006,0))&gt;=100000), " ",IF(INDEX($AM$2:$BM$1001,MATCH(ROWS($AF$2:AF211),$AF$2:$AF$1001,0),MATCH(COLUMNS($AM$1006:AT1006),$AM$1006:$BM$1006,0)), HYPERLINK("#",""), HYPERLINK(CONCATENATE("#metadata!", ADDRESS(INDEX($AH$2:$AH$1001,MATCH(ROWS($AF$2:AF211),$AF$2:$AF$1001,0),0), INDEX($AM$1004:$BM$1004,1,MATCH(COLUMNS($AM$1006:AT1006),$AM$1006:$BM$1006,0)))),"Fix")))</f>
        <v xml:space="preserve"> </v>
      </c>
      <c r="J211" s="4" t="str">
        <f ca="1">IF(OR(INDEX($AG$2:$AG$1001,MATCH(ROWS($AF$2:AF211),$AF$2:$AF$1001,0),1)&gt;=100000,INDEX($AM$1005:$BM$1005,1,MATCH(COLUMNS($AM$1006:AU1006),$AM$1006:$BM$1006,0))&gt;=100000), " ",IF(INDEX($AM$2:$BM$1001,MATCH(ROWS($AF$2:AF211),$AF$2:$AF$1001,0),MATCH(COLUMNS($AM$1006:AU1006),$AM$1006:$BM$1006,0)), HYPERLINK("#",""), HYPERLINK(CONCATENATE("#metadata!", ADDRESS(INDEX($AH$2:$AH$1001,MATCH(ROWS($AF$2:AF211),$AF$2:$AF$1001,0),0), INDEX($AM$1004:$BM$1004,1,MATCH(COLUMNS($AM$1006:AU1006),$AM$1006:$BM$1006,0)))),"Fix")))</f>
        <v xml:space="preserve"> </v>
      </c>
      <c r="K211" s="4" t="str">
        <f ca="1">IF(OR(INDEX($AG$2:$AG$1001,MATCH(ROWS($AF$2:AF211),$AF$2:$AF$1001,0),1)&gt;=100000,INDEX($AM$1005:$BM$1005,1,MATCH(COLUMNS($AM$1006:AV1006),$AM$1006:$BM$1006,0))&gt;=100000), " ",IF(INDEX($AM$2:$BM$1001,MATCH(ROWS($AF$2:AF211),$AF$2:$AF$1001,0),MATCH(COLUMNS($AM$1006:AV1006),$AM$1006:$BM$1006,0)), HYPERLINK("#",""), HYPERLINK(CONCATENATE("#metadata!", ADDRESS(INDEX($AH$2:$AH$1001,MATCH(ROWS($AF$2:AF211),$AF$2:$AF$1001,0),0), INDEX($AM$1004:$BM$1004,1,MATCH(COLUMNS($AM$1006:AV1006),$AM$1006:$BM$1006,0)))),"Fix")))</f>
        <v xml:space="preserve"> </v>
      </c>
      <c r="L211" s="4" t="str">
        <f ca="1">IF(OR(INDEX($AG$2:$AG$1001,MATCH(ROWS($AF$2:AF211),$AF$2:$AF$1001,0),1)&gt;=100000,INDEX($AM$1005:$BM$1005,1,MATCH(COLUMNS($AM$1006:AW1006),$AM$1006:$BM$1006,0))&gt;=100000), " ",IF(INDEX($AM$2:$BM$1001,MATCH(ROWS($AF$2:AF211),$AF$2:$AF$1001,0),MATCH(COLUMNS($AM$1006:AW1006),$AM$1006:$BM$1006,0)), HYPERLINK("#",""), HYPERLINK(CONCATENATE("#metadata!", ADDRESS(INDEX($AH$2:$AH$1001,MATCH(ROWS($AF$2:AF211),$AF$2:$AF$1001,0),0), INDEX($AM$1004:$BM$1004,1,MATCH(COLUMNS($AM$1006:AW1006),$AM$1006:$BM$1006,0)))),"Fix")))</f>
        <v xml:space="preserve"> </v>
      </c>
      <c r="M211" s="4" t="str">
        <f ca="1">IF(OR(INDEX($AG$2:$AG$1001,MATCH(ROWS($AF$2:AF211),$AF$2:$AF$1001,0),1)&gt;=100000,INDEX($AM$1005:$BM$1005,1,MATCH(COLUMNS($AM$1006:AX1006),$AM$1006:$BM$1006,0))&gt;=100000), " ",IF(INDEX($AM$2:$BM$1001,MATCH(ROWS($AF$2:AF211),$AF$2:$AF$1001,0),MATCH(COLUMNS($AM$1006:AX1006),$AM$1006:$BM$1006,0)), HYPERLINK("#",""), HYPERLINK(CONCATENATE("#metadata!", ADDRESS(INDEX($AH$2:$AH$1001,MATCH(ROWS($AF$2:AF211),$AF$2:$AF$1001,0),0), INDEX($AM$1004:$BM$1004,1,MATCH(COLUMNS($AM$1006:AX1006),$AM$1006:$BM$1006,0)))),"Fix")))</f>
        <v xml:space="preserve"> </v>
      </c>
      <c r="N211" s="4" t="str">
        <f ca="1">IF(OR(INDEX($AG$2:$AG$1001,MATCH(ROWS($AF$2:AF211),$AF$2:$AF$1001,0),1)&gt;=100000,INDEX($AM$1005:$BM$1005,1,MATCH(COLUMNS($AM$1006:AY1006),$AM$1006:$BM$1006,0))&gt;=100000), " ",IF(INDEX($AM$2:$BM$1001,MATCH(ROWS($AF$2:AF211),$AF$2:$AF$1001,0),MATCH(COLUMNS($AM$1006:AY1006),$AM$1006:$BM$1006,0)), HYPERLINK("#",""), HYPERLINK(CONCATENATE("#metadata!", ADDRESS(INDEX($AH$2:$AH$1001,MATCH(ROWS($AF$2:AF211),$AF$2:$AF$1001,0),0), INDEX($AM$1004:$BM$1004,1,MATCH(COLUMNS($AM$1006:AY1006),$AM$1006:$BM$1006,0)))),"Fix")))</f>
        <v xml:space="preserve"> </v>
      </c>
      <c r="O211" s="4" t="str">
        <f ca="1">IF(OR(INDEX($AG$2:$AG$1001,MATCH(ROWS($AF$2:AF211),$AF$2:$AF$1001,0),1)&gt;=100000,INDEX($AM$1005:$BM$1005,1,MATCH(COLUMNS($AM$1006:AZ1006),$AM$1006:$BM$1006,0))&gt;=100000), " ",IF(INDEX($AM$2:$BM$1001,MATCH(ROWS($AF$2:AF211),$AF$2:$AF$1001,0),MATCH(COLUMNS($AM$1006:AZ1006),$AM$1006:$BM$1006,0)), HYPERLINK("#",""), HYPERLINK(CONCATENATE("#metadata!", ADDRESS(INDEX($AH$2:$AH$1001,MATCH(ROWS($AF$2:AF211),$AF$2:$AF$1001,0),0), INDEX($AM$1004:$BM$1004,1,MATCH(COLUMNS($AM$1006:AZ1006),$AM$1006:$BM$1006,0)))),"Fix")))</f>
        <v xml:space="preserve"> </v>
      </c>
      <c r="P211" s="4" t="str">
        <f ca="1">IF(OR(INDEX($AG$2:$AG$1001,MATCH(ROWS($AF$2:AF211),$AF$2:$AF$1001,0),1)&gt;=100000,INDEX($AM$1005:$BM$1005,1,MATCH(COLUMNS($AM$1006:BA1006),$AM$1006:$BM$1006,0))&gt;=100000), " ",IF(INDEX($AM$2:$BM$1001,MATCH(ROWS($AF$2:AF211),$AF$2:$AF$1001,0),MATCH(COLUMNS($AM$1006:BA1006),$AM$1006:$BM$1006,0)), HYPERLINK("#",""), HYPERLINK(CONCATENATE("#metadata!", ADDRESS(INDEX($AH$2:$AH$1001,MATCH(ROWS($AF$2:AF211),$AF$2:$AF$1001,0),0), INDEX($AM$1004:$BM$1004,1,MATCH(COLUMNS($AM$1006:BA1006),$AM$1006:$BM$1006,0)))),"Fix")))</f>
        <v xml:space="preserve"> </v>
      </c>
      <c r="Q211" s="4" t="str">
        <f ca="1">IF(OR(INDEX($AG$2:$AG$1001,MATCH(ROWS($AF$2:AF211),$AF$2:$AF$1001,0),1)&gt;=100000,INDEX($AM$1005:$BM$1005,1,MATCH(COLUMNS($AM$1006:BB1006),$AM$1006:$BM$1006,0))&gt;=100000), " ",IF(INDEX($AM$2:$BM$1001,MATCH(ROWS($AF$2:AF211),$AF$2:$AF$1001,0),MATCH(COLUMNS($AM$1006:BB1006),$AM$1006:$BM$1006,0)), HYPERLINK("#",""), HYPERLINK(CONCATENATE("#metadata!", ADDRESS(INDEX($AH$2:$AH$1001,MATCH(ROWS($AF$2:AF211),$AF$2:$AF$1001,0),0), INDEX($AM$1004:$BM$1004,1,MATCH(COLUMNS($AM$1006:BB1006),$AM$1006:$BM$1006,0)))),"Fix")))</f>
        <v xml:space="preserve"> </v>
      </c>
      <c r="R211" s="4" t="str">
        <f ca="1">IF(OR(INDEX($AG$2:$AG$1001,MATCH(ROWS($AF$2:AF211),$AF$2:$AF$1001,0),1)&gt;=100000,INDEX($AM$1005:$BM$1005,1,MATCH(COLUMNS($AM$1006:BC1006),$AM$1006:$BM$1006,0))&gt;=100000), " ",IF(INDEX($AM$2:$BM$1001,MATCH(ROWS($AF$2:AF211),$AF$2:$AF$1001,0),MATCH(COLUMNS($AM$1006:BC1006),$AM$1006:$BM$1006,0)), HYPERLINK("#",""), HYPERLINK(CONCATENATE("#metadata!", ADDRESS(INDEX($AH$2:$AH$1001,MATCH(ROWS($AF$2:AF211),$AF$2:$AF$1001,0),0), INDEX($AM$1004:$BM$1004,1,MATCH(COLUMNS($AM$1006:BC1006),$AM$1006:$BM$1006,0)))),"Fix")))</f>
        <v xml:space="preserve"> </v>
      </c>
      <c r="S211" s="4" t="str">
        <f ca="1">IF(OR(INDEX($AG$2:$AG$1001,MATCH(ROWS($AF$2:AF211),$AF$2:$AF$1001,0),1)&gt;=100000,INDEX($AM$1005:$BM$1005,1,MATCH(COLUMNS($AM$1006:BD1006),$AM$1006:$BM$1006,0))&gt;=100000), " ",IF(INDEX($AM$2:$BM$1001,MATCH(ROWS($AF$2:AF211),$AF$2:$AF$1001,0),MATCH(COLUMNS($AM$1006:BD1006),$AM$1006:$BM$1006,0)), HYPERLINK("#",""), HYPERLINK(CONCATENATE("#metadata!", ADDRESS(INDEX($AH$2:$AH$1001,MATCH(ROWS($AF$2:AF211),$AF$2:$AF$1001,0),0), INDEX($AM$1004:$BM$1004,1,MATCH(COLUMNS($AM$1006:BD1006),$AM$1006:$BM$1006,0)))),"Fix")))</f>
        <v xml:space="preserve"> </v>
      </c>
      <c r="T211" s="4" t="str">
        <f ca="1">IF(OR(INDEX($AG$2:$AG$1001,MATCH(ROWS($AF$2:AF211),$AF$2:$AF$1001,0),1)&gt;=100000,INDEX($AM$1005:$BM$1005,1,MATCH(COLUMNS($AM$1006:BE1006),$AM$1006:$BM$1006,0))&gt;=100000), " ",IF(INDEX($AM$2:$BM$1001,MATCH(ROWS($AF$2:AF211),$AF$2:$AF$1001,0),MATCH(COLUMNS($AM$1006:BE1006),$AM$1006:$BM$1006,0)), HYPERLINK("#",""), HYPERLINK(CONCATENATE("#metadata!", ADDRESS(INDEX($AH$2:$AH$1001,MATCH(ROWS($AF$2:AF211),$AF$2:$AF$1001,0),0), INDEX($AM$1004:$BM$1004,1,MATCH(COLUMNS($AM$1006:BE1006),$AM$1006:$BM$1006,0)))),"Fix")))</f>
        <v xml:space="preserve"> </v>
      </c>
      <c r="U211" s="4" t="str">
        <f ca="1">IF(OR(INDEX($AG$2:$AG$1001,MATCH(ROWS($AF$2:AF211),$AF$2:$AF$1001,0),1)&gt;=100000,INDEX($AM$1005:$BM$1005,1,MATCH(COLUMNS($AM$1006:BF1006),$AM$1006:$BM$1006,0))&gt;=100000), " ",IF(INDEX($AM$2:$BM$1001,MATCH(ROWS($AF$2:AF211),$AF$2:$AF$1001,0),MATCH(COLUMNS($AM$1006:BF1006),$AM$1006:$BM$1006,0)), HYPERLINK("#",""), HYPERLINK(CONCATENATE("#metadata!", ADDRESS(INDEX($AH$2:$AH$1001,MATCH(ROWS($AF$2:AF211),$AF$2:$AF$1001,0),0), INDEX($AM$1004:$BM$1004,1,MATCH(COLUMNS($AM$1006:BF1006),$AM$1006:$BM$1006,0)))),"Fix")))</f>
        <v xml:space="preserve"> </v>
      </c>
      <c r="V211" s="4" t="str">
        <f ca="1">IF(OR(INDEX($AG$2:$AG$1001,MATCH(ROWS($AF$2:AF211),$AF$2:$AF$1001,0),1)&gt;=100000,INDEX($AM$1005:$BM$1005,1,MATCH(COLUMNS($AM$1006:BG1006),$AM$1006:$BM$1006,0))&gt;=100000), " ",IF(INDEX($AM$2:$BM$1001,MATCH(ROWS($AF$2:AF211),$AF$2:$AF$1001,0),MATCH(COLUMNS($AM$1006:BG1006),$AM$1006:$BM$1006,0)), HYPERLINK("#",""), HYPERLINK(CONCATENATE("#metadata!", ADDRESS(INDEX($AH$2:$AH$1001,MATCH(ROWS($AF$2:AF211),$AF$2:$AF$1001,0),0), INDEX($AM$1004:$BM$1004,1,MATCH(COLUMNS($AM$1006:BG1006),$AM$1006:$BM$1006,0)))),"Fix")))</f>
        <v xml:space="preserve"> </v>
      </c>
      <c r="W211" s="4" t="str">
        <f ca="1">IF(OR(INDEX($AG$2:$AG$1001,MATCH(ROWS($AF$2:AF211),$AF$2:$AF$1001,0),1)&gt;=100000,INDEX($AM$1005:$BM$1005,1,MATCH(COLUMNS($AM$1006:BH1006),$AM$1006:$BM$1006,0))&gt;=100000), " ",IF(INDEX($AM$2:$BM$1001,MATCH(ROWS($AF$2:AF211),$AF$2:$AF$1001,0),MATCH(COLUMNS($AM$1006:BH1006),$AM$1006:$BM$1006,0)), HYPERLINK("#",""), HYPERLINK(CONCATENATE("#metadata!", ADDRESS(INDEX($AH$2:$AH$1001,MATCH(ROWS($AF$2:AF211),$AF$2:$AF$1001,0),0), INDEX($AM$1004:$BM$1004,1,MATCH(COLUMNS($AM$1006:BH1006),$AM$1006:$BM$1006,0)))),"Fix")))</f>
        <v xml:space="preserve"> </v>
      </c>
      <c r="X211" s="4" t="str">
        <f ca="1">IF(OR(INDEX($AG$2:$AG$1001,MATCH(ROWS($AF$2:AF211),$AF$2:$AF$1001,0),1)&gt;=100000,INDEX($AM$1005:$BM$1005,1,MATCH(COLUMNS($AM$1006:BI1006),$AM$1006:$BM$1006,0))&gt;=100000), " ",IF(INDEX($AM$2:$BM$1001,MATCH(ROWS($AF$2:AF211),$AF$2:$AF$1001,0),MATCH(COLUMNS($AM$1006:BI1006),$AM$1006:$BM$1006,0)), HYPERLINK("#",""), HYPERLINK(CONCATENATE("#metadata!", ADDRESS(INDEX($AH$2:$AH$1001,MATCH(ROWS($AF$2:AF211),$AF$2:$AF$1001,0),0), INDEX($AM$1004:$BM$1004,1,MATCH(COLUMNS($AM$1006:BI1006),$AM$1006:$BM$1006,0)))),"Fix")))</f>
        <v xml:space="preserve"> </v>
      </c>
      <c r="Y211" s="4" t="str">
        <f ca="1">IF(OR(INDEX($AG$2:$AG$1001,MATCH(ROWS($AF$2:AF211),$AF$2:$AF$1001,0),1)&gt;=100000,INDEX($AM$1005:$BM$1005,1,MATCH(COLUMNS($AM$1006:BJ1006),$AM$1006:$BM$1006,0))&gt;=100000), " ",IF(INDEX($AM$2:$BM$1001,MATCH(ROWS($AF$2:AF211),$AF$2:$AF$1001,0),MATCH(COLUMNS($AM$1006:BJ1006),$AM$1006:$BM$1006,0)), HYPERLINK("#",""), HYPERLINK(CONCATENATE("#metadata!", ADDRESS(INDEX($AH$2:$AH$1001,MATCH(ROWS($AF$2:AF211),$AF$2:$AF$1001,0),0), INDEX($AM$1004:$BM$1004,1,MATCH(COLUMNS($AM$1006:BJ1006),$AM$1006:$BM$1006,0)))),"Fix")))</f>
        <v xml:space="preserve"> </v>
      </c>
      <c r="Z211" s="4" t="str">
        <f ca="1">IF(OR(INDEX($AG$2:$AG$1001,MATCH(ROWS($AF$2:AF211),$AF$2:$AF$1001,0),1)&gt;=100000,INDEX($AM$1005:$BM$1005,1,MATCH(COLUMNS($AM$1006:BK1006),$AM$1006:$BM$1006,0))&gt;=100000), " ",IF(INDEX($AM$2:$BM$1001,MATCH(ROWS($AF$2:AF211),$AF$2:$AF$1001,0),MATCH(COLUMNS($AM$1006:BK1006),$AM$1006:$BM$1006,0)), HYPERLINK("#",""), HYPERLINK(CONCATENATE("#metadata!", ADDRESS(INDEX($AH$2:$AH$1001,MATCH(ROWS($AF$2:AF211),$AF$2:$AF$1001,0),0), INDEX($AM$1004:$BM$1004,1,MATCH(COLUMNS($AM$1006:BK1006),$AM$1006:$BM$1006,0)))),"Fix")))</f>
        <v xml:space="preserve"> </v>
      </c>
      <c r="AA211" s="4" t="str">
        <f ca="1">IF(OR(INDEX($AG$2:$AG$1001,MATCH(ROWS($AF$2:AF211),$AF$2:$AF$1001,0),1)&gt;=100000,INDEX($AM$1005:$BM$1005,1,MATCH(COLUMNS($AM$1006:BL1006),$AM$1006:$BM$1006,0))&gt;=100000), " ",IF(INDEX($AM$2:$BM$1001,MATCH(ROWS($AF$2:AF211),$AF$2:$AF$1001,0),MATCH(COLUMNS($AM$1006:BL1006),$AM$1006:$BM$1006,0)), HYPERLINK("#",""), HYPERLINK(CONCATENATE("#metadata!", ADDRESS(INDEX($AH$2:$AH$1001,MATCH(ROWS($AF$2:AF211),$AF$2:$AF$1001,0),0), INDEX($AM$1004:$BM$1004,1,MATCH(COLUMNS($AM$1006:BL1006),$AM$1006:$BM$1006,0)))),"Fix")))</f>
        <v xml:space="preserve"> </v>
      </c>
      <c r="AB211" s="4" t="str">
        <f ca="1">IF(OR(INDEX($AG$2:$AG$1001,MATCH(ROWS($AF$2:AF211),$AF$2:$AF$1001,0),1)&gt;=100000,INDEX($AM$1005:$BM$1005,1,MATCH(COLUMNS($AM$1006:BM1006),$AM$1006:$BM$1006,0))&gt;=100000), " ",IF(INDEX($AM$2:$BM$1001,MATCH(ROWS($AF$2:AF211),$AF$2:$AF$1001,0),MATCH(COLUMNS($AM$1006:BM1006),$AM$1006:$BM$1006,0)), HYPERLINK("#",""), HYPERLINK(CONCATENATE("#metadata!", ADDRESS(INDEX($AH$2:$AH$1001,MATCH(ROWS($AF$2:AF211),$AF$2:$AF$1001,0),0), INDEX($AM$1004:$BM$1004,1,MATCH(COLUMNS($AM$1006:BM1006),$AM$1006:$BM$1006,0)))),"Fix")))</f>
        <v xml:space="preserve"> </v>
      </c>
      <c r="AF211">
        <v>210</v>
      </c>
      <c r="AG211">
        <v>100211</v>
      </c>
      <c r="AH211">
        <v>211</v>
      </c>
      <c r="AI211" t="b">
        <f t="shared" si="3"/>
        <v>1</v>
      </c>
      <c r="AJ211" t="b">
        <f>COUNTBLANK(metadata!B211:AB211)=COLUMNS(metadata!B211:AB211)</f>
        <v>1</v>
      </c>
      <c r="AK211" t="str">
        <v/>
      </c>
      <c r="AM211" t="b">
        <f ca="1">AND(IF(metadata!B211="",FALSE,TRUE),COUNTIF(metadata!B:B, metadata!B211) = 1,NOT(ISERROR(SUMPRODUCT(SEARCH(MID(metadata!B211,ROW(INDIRECT("1:"&amp;LEN(metadata!B211))), 1),"0123456789abcdefghijklmnopqrstuvwxyzABCDEFGHIJKLMNOPQRSTUVWXYZ.")))))</f>
        <v>0</v>
      </c>
      <c r="AN211" t="b">
        <f ca="1">OR(AND(IF(metadata!C211="",FALSE,TRUE),OR(EXACT(metadata!C211,"missing: not collected"),EXACT(metadata!C211,"missing: not provided"),EXACT(metadata!C211,"missing: restricted access"))),AND(IF(metadata!C211="",FALSE,TRUE),AND(AND(IFERROR(INT(LEFT(metadata!C211,4))&gt;1900,FALSE),IFERROR(INT(LEFT(metadata!C211,4))&lt;=YEAR(NOW()),FALSE)), OR(MID(metadata!C211,5,1)="", AND(AND(MID(metadata!C211,5,1)="-",IFERROR(INT(MID(metadata!C211,6,1))&gt;=0,FALSE),IFERROR(INT(MID(metadata!C211,6,1))&lt;=1,FALSE),NOT(MID(metadata!C211,7,1)=""),IFERROR(INT(MID(metadata!C211,6,2))&gt;=1,FALSE),IFERROR(INT(MID(metadata!C211,6,2))&lt;=12,FALSE)), OR(MID(metadata!C211,8,1)="", AND(AND(MID(metadata!C211,8,1)="-",IFERROR(INT(MID(metadata!C211,9,1))&gt;=0,FALSE),IFERROR(INT(MID(metadata!C211,9,1))&lt;=3,FALSE),NOT(MID(metadata!C211,10,1)=""),IFERROR(INT(MID(metadata!C211,9,2))&gt;=1,FALSE),IFERROR(INT(MID(metadata!C211,9,2))&lt;=31,FALSE)), OR(MID(metadata!C211,11,1)="", AND(AND(MID(metadata!C211,11,1)=" ",IFERROR(INT(MID(metadata!C211,12,1))&gt;=0,FALSE),IFERROR(INT(MID(metadata!C211,12,1))&lt;=2,FALSE),NOT(MID(metadata!C211,13,1)=""),IFERROR(INT(MID(metadata!C211,12,2))&gt;=0,FALSE),IFERROR(INT(MID(metadata!C211,12,2))&lt;=23,FALSE)), OR(MID(metadata!C211,14,1)="", AND(AND(MID(metadata!C211,14,1)=":",IFERROR(INT(MID(metadata!C211,15,1))&gt;=0,FALSE),IFERROR(INT(MID(metadata!C211,15,1))&lt;=5,FALSE),NOT(MID(metadata!C211,16,1)=""),IFERROR(INT(MID(metadata!C211,15,2))&gt;=0,FALSE),IFERROR(INT(MID(metadata!C211,15,2))&lt;=59,FALSE)), OR(MID(metadata!C211,17,1)="", AND(AND(MID(metadata!C211,17,1)=":",IFERROR(INT(MID(metadata!C211,18,1))&gt;=0,FALSE),IFERROR(INT(MID(metadata!C211,18,1))&lt;=5,FALSE),NOT(MID(metadata!C211,19,1)=""),IFERROR(INT(MID(metadata!C211,18,2))&gt;=0,FALSE),IFERROR(INT(MID(metadata!C211,18,2))&lt;=59,FALSE)), LEN(metadata!C211)&lt;=19)))))))))))))</f>
        <v>0</v>
      </c>
      <c r="AO211" t="b">
        <f>AND(IF(metadata!D211="",FALSE,TRUE),EXACT(metadata!D211,"Not applicable"))</f>
        <v>0</v>
      </c>
      <c r="AP211" t="b">
        <f>IF(metadata!E211="",FALSE,TRUE)</f>
        <v>0</v>
      </c>
      <c r="AQ211" t="b">
        <f>OR(AND(IF(metadata!F211="",FALSE,TRUE),OR(EXACT(metadata!F211,"missing: not collected"),EXACT(metadata!F211,"missing: not provided"))),AND(IF(metadata!F211="",FALSE,TRUE),OR(EXACT(metadata!F211,"TRUE"),EXACT(metadata!F211,"FALSE"))))</f>
        <v>0</v>
      </c>
      <c r="AR211" t="b">
        <f>OR(AND(IF(metadata!G211="",FALSE,TRUE),OR(EXACT(metadata!G211,"missing: not collected"),EXACT(metadata!G211,"missing: not provided"),EXACT(metadata!G211,"missing: restricted access"))),AND(IF(metadata!G211="",FALSE,ISNUMBER(VALUE(metadata!G211))),metadata!G211&gt;=-413))</f>
        <v>0</v>
      </c>
      <c r="AS211" t="b">
        <f>AND(IF(metadata!H211="",FALSE,TRUE),EXACT(metadata!H211,"meters"))</f>
        <v>0</v>
      </c>
      <c r="AT211" t="b">
        <f>AND(IF(metadata!I211="",FALSE,TRUE),OR(EXACT(metadata!I211,"Host-associated"),EXACT(metadata!I211,"Free-living")))</f>
        <v>0</v>
      </c>
      <c r="AU211" t="b">
        <f>AND(IF(metadata!J211="",FALSE,TRUE),OR(EXACT(metadata!J211,"Animal"),EXACT(metadata!J211,"Fungus"),EXACT(metadata!J211,"Plant"),EXACT(metadata!J211,"Saline"),EXACT(metadata!J211,"Non-saline")))</f>
        <v>0</v>
      </c>
      <c r="AV211" t="b">
        <f>AND(IF(metadata!K211="",FALSE,TRUE),OR(EXACT(metadata!K211,"Plant secretion"),EXACT(metadata!K211,"Plant rhizosphere"),EXACT(metadata!K211,"Plant surface"),EXACT(metadata!K211,"Plant corpus"),EXACT(metadata!K211,"Fungus surface"),EXACT(metadata!K211,"Fungus corpus"),EXACT(metadata!K211,"Animal surface"),EXACT(metadata!K211,"Animal proximal gut"),EXACT(metadata!K211,"Animal corpus"),EXACT(metadata!K211,"Animal distal gut"),EXACT(metadata!K211,"Animal secretion"),EXACT(metadata!K211,"Sub-surface (non-saline)"),EXACT(metadata!K211,"Surface (non-saline)"),EXACT(metadata!K211,"Water (non-saline)"),EXACT(metadata!K211,"Soil (non-saline)"),EXACT(metadata!K211,"Aerosol (non-saline)"),EXACT(metadata!K211,"Sediment (non-saline)"),EXACT(metadata!K211,"Surface (saline)"),EXACT(metadata!K211,"Water (saline)"),EXACT(metadata!K211,"Hypersaline (saline)"),EXACT(metadata!K211,"Aerosol (saline)"),EXACT(metadata!K211,"Sediment (saline)")))</f>
        <v>0</v>
      </c>
      <c r="AW211" t="b">
        <f>IF(metadata!L211="",FALSE,TRUE)</f>
        <v>0</v>
      </c>
      <c r="AX211" t="b">
        <f>IF(metadata!M211="",FALSE,TRUE)</f>
        <v>0</v>
      </c>
      <c r="AY211" t="b">
        <f>IF(metadata!N211="",FALSE,TRUE)</f>
        <v>0</v>
      </c>
      <c r="AZ211" t="b">
        <f>OR(AND(IF(metadata!O211="",FALSE,TRUE),OR(EXACT(metadata!O211,"missing: not collected"),EXACT(metadata!O211,"missing: not provided"),EXACT(metadata!O211,"missing: restricted access"))),AND(IF(metadata!O211="",FALSE,TRUE),OR(EXACT(metadata!O211,"air"),EXACT(metadata!O211,"built environment"),EXACT(metadata!O211,"host-associated"),EXACT(metadata!O211,"human-associated"),EXACT(metadata!O211,"human-skin"),EXACT(metadata!O211,"human-oral"),EXACT(metadata!O211,"human-gut"),EXACT(metadata!O211,"human-vaginal"),EXACT(metadata!O211,"microbial mat/biofilm"),EXACT(metadata!O211,"misc environment"),EXACT(metadata!O211,"plant-associated"),EXACT(metadata!O211,"sediment"),EXACT(metadata!O211,"soil"),EXACT(metadata!O211,"wastewater/sludge"),EXACT(metadata!O211,"water"))))</f>
        <v>0</v>
      </c>
      <c r="BA211" t="b">
        <f>IF(metadata!P211="",FALSE,TRUE)</f>
        <v>0</v>
      </c>
      <c r="BB211" t="b">
        <f>IF(metadata!Q211="",FALSE,TRUE)</f>
        <v>0</v>
      </c>
      <c r="BC211" t="b">
        <f>OR(AND(IF(metadata!R211="",FALSE,TRUE),OR(EXACT(metadata!R211,"missing: not collected"),EXACT(metadata!R211,"missing: not provided"),EXACT(metadata!R211,"missing: restricted access"))),AND(IF(metadata!R211="",FALSE,ISNUMBER(VALUE(metadata!R211))),metadata!R211&gt;=-90,metadata!R211&lt;=90))</f>
        <v>0</v>
      </c>
      <c r="BD211" t="b">
        <f>AND(IF(metadata!S211="",FALSE,TRUE),EXACT(metadata!S211,"Decimal degrees"))</f>
        <v>0</v>
      </c>
      <c r="BE211" t="b">
        <f>OR(AND(IF(metadata!T211="",FALSE,TRUE),OR(EXACT(metadata!T211,"missing: not collected"),EXACT(metadata!T211,"missing: not provided"),EXACT(metadata!T211,"missing: restricted access"))),AND(IF(metadata!T211="",FALSE,ISNUMBER(VALUE(metadata!T211))),metadata!T211&gt;=-180,metadata!T211&lt;=180))</f>
        <v>0</v>
      </c>
      <c r="BF211" t="b">
        <f>AND(IF(metadata!U211="",FALSE,TRUE),EXACT(metadata!U211,"Decimal degrees"))</f>
        <v>0</v>
      </c>
      <c r="BG211" t="b">
        <f>IF(metadata!V211="",FALSE,TRUE)</f>
        <v>0</v>
      </c>
      <c r="BH211" t="b">
        <f>OR(AND(IF(metadata!W211="",FALSE,TRUE),OR(EXACT(metadata!W211,"missing: not collected"),EXACT(metadata!W211,"missing: not provided"),EXACT(metadata!W211,"missing: restricted access"))),AND(IF(metadata!W211="",FALSE,TRUE),OR(EXACT(metadata!W211,"TRUE"),EXACT(metadata!W211,"FALSE"))))</f>
        <v>0</v>
      </c>
      <c r="BI211" t="b">
        <f>AND(IF(metadata!X211="",FALSE,TRUE),EXACT(metadata!X211,"other"))</f>
        <v>0</v>
      </c>
      <c r="BJ211" t="b">
        <f>IF(metadata!Y211="",FALSE,TRUE)</f>
        <v>0</v>
      </c>
      <c r="BK211" t="b">
        <f>OR(AND(IF(metadata!Z211="",FALSE,TRUE),OR(EXACT(metadata!Z211,"missing: not collected"),EXACT(metadata!Z211,"missing: not provided"))),AND(IF(metadata!Z211="",FALSE,IF(ISERROR(INT(metadata!Z211)),FALSE,INT(metadata!Z211)=metadata!Z211)),metadata!Z211&gt;0))</f>
        <v>0</v>
      </c>
      <c r="BL211" t="b">
        <f>AND(IF(metadata!AA211="",FALSE,TRUE),EXACT(metadata!AA211,"Not applicable"))</f>
        <v>0</v>
      </c>
      <c r="BM211" t="b">
        <f>IF(metadata!AB211="",FALSE,TRUE)</f>
        <v>0</v>
      </c>
    </row>
    <row r="212" spans="1:65" x14ac:dyDescent="0.2">
      <c r="A212" s="5" t="str">
        <f ca="1">IF(B212=" "," ",HYPERLINK(CONCATENATE("#metadata!",ADDRESS(INDEX($AH$2:$AH$1001,MATCH(ROWS($AF$2:AF212),$AF$2:$AF$1001,0),0),1)),INDEX($AK$2:$AK$1001,MATCH(ROWS($AF$2:AF212),$AF$2:$AF$1001,0),0)))</f>
        <v xml:space="preserve"> </v>
      </c>
      <c r="B212" s="4" t="str">
        <f ca="1">IF(OR(INDEX($AG$2:$AG$1001,MATCH(ROWS($AF$2:AF212),$AF$2:$AF$1001,0),1)&gt;=100000,INDEX($AM$1005:$BM$1005,1,MATCH(COLUMNS($AM$1006:AM1006),$AM$1006:$BM$1006,0))&gt;=100000), " ",IF(INDEX($AM$2:$BM$1001,MATCH(ROWS($AF$2:AF212),$AF$2:$AF$1001,0),MATCH(COLUMNS($AM$1006:AM1006),$AM$1006:$BM$1006,0)), HYPERLINK("#",""), HYPERLINK(CONCATENATE("#metadata!", ADDRESS(INDEX($AH$2:$AH$1001,MATCH(ROWS($AF$2:AF212),$AF$2:$AF$1001,0),0), INDEX($AM$1004:$BM$1004,1,MATCH(COLUMNS($AM$1006:AM1006),$AM$1006:$BM$1006,0)))),"Fix")))</f>
        <v xml:space="preserve"> </v>
      </c>
      <c r="C212" s="4" t="str">
        <f ca="1">IF(OR(INDEX($AG$2:$AG$1001,MATCH(ROWS($AF$2:AF212),$AF$2:$AF$1001,0),1)&gt;=100000,INDEX($AM$1005:$BM$1005,1,MATCH(COLUMNS($AM$1006:AN1006),$AM$1006:$BM$1006,0))&gt;=100000), " ",IF(INDEX($AM$2:$BM$1001,MATCH(ROWS($AF$2:AF212),$AF$2:$AF$1001,0),MATCH(COLUMNS($AM$1006:AN1006),$AM$1006:$BM$1006,0)), HYPERLINK("#",""), HYPERLINK(CONCATENATE("#metadata!", ADDRESS(INDEX($AH$2:$AH$1001,MATCH(ROWS($AF$2:AF212),$AF$2:$AF$1001,0),0), INDEX($AM$1004:$BM$1004,1,MATCH(COLUMNS($AM$1006:AN1006),$AM$1006:$BM$1006,0)))),"Fix")))</f>
        <v xml:space="preserve"> </v>
      </c>
      <c r="D212" s="4" t="str">
        <f ca="1">IF(OR(INDEX($AG$2:$AG$1001,MATCH(ROWS($AF$2:AF212),$AF$2:$AF$1001,0),1)&gt;=100000,INDEX($AM$1005:$BM$1005,1,MATCH(COLUMNS($AM$1006:AO1006),$AM$1006:$BM$1006,0))&gt;=100000), " ",IF(INDEX($AM$2:$BM$1001,MATCH(ROWS($AF$2:AF212),$AF$2:$AF$1001,0),MATCH(COLUMNS($AM$1006:AO1006),$AM$1006:$BM$1006,0)), HYPERLINK("#",""), HYPERLINK(CONCATENATE("#metadata!", ADDRESS(INDEX($AH$2:$AH$1001,MATCH(ROWS($AF$2:AF212),$AF$2:$AF$1001,0),0), INDEX($AM$1004:$BM$1004,1,MATCH(COLUMNS($AM$1006:AO1006),$AM$1006:$BM$1006,0)))),"Fix")))</f>
        <v xml:space="preserve"> </v>
      </c>
      <c r="E212" s="4" t="str">
        <f ca="1">IF(OR(INDEX($AG$2:$AG$1001,MATCH(ROWS($AF$2:AF212),$AF$2:$AF$1001,0),1)&gt;=100000,INDEX($AM$1005:$BM$1005,1,MATCH(COLUMNS($AM$1006:AP1006),$AM$1006:$BM$1006,0))&gt;=100000), " ",IF(INDEX($AM$2:$BM$1001,MATCH(ROWS($AF$2:AF212),$AF$2:$AF$1001,0),MATCH(COLUMNS($AM$1006:AP1006),$AM$1006:$BM$1006,0)), HYPERLINK("#",""), HYPERLINK(CONCATENATE("#metadata!", ADDRESS(INDEX($AH$2:$AH$1001,MATCH(ROWS($AF$2:AF212),$AF$2:$AF$1001,0),0), INDEX($AM$1004:$BM$1004,1,MATCH(COLUMNS($AM$1006:AP1006),$AM$1006:$BM$1006,0)))),"Fix")))</f>
        <v xml:space="preserve"> </v>
      </c>
      <c r="F212" s="4" t="str">
        <f ca="1">IF(OR(INDEX($AG$2:$AG$1001,MATCH(ROWS($AF$2:AF212),$AF$2:$AF$1001,0),1)&gt;=100000,INDEX($AM$1005:$BM$1005,1,MATCH(COLUMNS($AM$1006:AQ1006),$AM$1006:$BM$1006,0))&gt;=100000), " ",IF(INDEX($AM$2:$BM$1001,MATCH(ROWS($AF$2:AF212),$AF$2:$AF$1001,0),MATCH(COLUMNS($AM$1006:AQ1006),$AM$1006:$BM$1006,0)), HYPERLINK("#",""), HYPERLINK(CONCATENATE("#metadata!", ADDRESS(INDEX($AH$2:$AH$1001,MATCH(ROWS($AF$2:AF212),$AF$2:$AF$1001,0),0), INDEX($AM$1004:$BM$1004,1,MATCH(COLUMNS($AM$1006:AQ1006),$AM$1006:$BM$1006,0)))),"Fix")))</f>
        <v xml:space="preserve"> </v>
      </c>
      <c r="G212" s="4" t="str">
        <f ca="1">IF(OR(INDEX($AG$2:$AG$1001,MATCH(ROWS($AF$2:AF212),$AF$2:$AF$1001,0),1)&gt;=100000,INDEX($AM$1005:$BM$1005,1,MATCH(COLUMNS($AM$1006:AR1006),$AM$1006:$BM$1006,0))&gt;=100000), " ",IF(INDEX($AM$2:$BM$1001,MATCH(ROWS($AF$2:AF212),$AF$2:$AF$1001,0),MATCH(COLUMNS($AM$1006:AR1006),$AM$1006:$BM$1006,0)), HYPERLINK("#",""), HYPERLINK(CONCATENATE("#metadata!", ADDRESS(INDEX($AH$2:$AH$1001,MATCH(ROWS($AF$2:AF212),$AF$2:$AF$1001,0),0), INDEX($AM$1004:$BM$1004,1,MATCH(COLUMNS($AM$1006:AR1006),$AM$1006:$BM$1006,0)))),"Fix")))</f>
        <v xml:space="preserve"> </v>
      </c>
      <c r="H212" s="4" t="str">
        <f ca="1">IF(OR(INDEX($AG$2:$AG$1001,MATCH(ROWS($AF$2:AF212),$AF$2:$AF$1001,0),1)&gt;=100000,INDEX($AM$1005:$BM$1005,1,MATCH(COLUMNS($AM$1006:AS1006),$AM$1006:$BM$1006,0))&gt;=100000), " ",IF(INDEX($AM$2:$BM$1001,MATCH(ROWS($AF$2:AF212),$AF$2:$AF$1001,0),MATCH(COLUMNS($AM$1006:AS1006),$AM$1006:$BM$1006,0)), HYPERLINK("#",""), HYPERLINK(CONCATENATE("#metadata!", ADDRESS(INDEX($AH$2:$AH$1001,MATCH(ROWS($AF$2:AF212),$AF$2:$AF$1001,0),0), INDEX($AM$1004:$BM$1004,1,MATCH(COLUMNS($AM$1006:AS1006),$AM$1006:$BM$1006,0)))),"Fix")))</f>
        <v xml:space="preserve"> </v>
      </c>
      <c r="I212" s="4" t="str">
        <f ca="1">IF(OR(INDEX($AG$2:$AG$1001,MATCH(ROWS($AF$2:AF212),$AF$2:$AF$1001,0),1)&gt;=100000,INDEX($AM$1005:$BM$1005,1,MATCH(COLUMNS($AM$1006:AT1006),$AM$1006:$BM$1006,0))&gt;=100000), " ",IF(INDEX($AM$2:$BM$1001,MATCH(ROWS($AF$2:AF212),$AF$2:$AF$1001,0),MATCH(COLUMNS($AM$1006:AT1006),$AM$1006:$BM$1006,0)), HYPERLINK("#",""), HYPERLINK(CONCATENATE("#metadata!", ADDRESS(INDEX($AH$2:$AH$1001,MATCH(ROWS($AF$2:AF212),$AF$2:$AF$1001,0),0), INDEX($AM$1004:$BM$1004,1,MATCH(COLUMNS($AM$1006:AT1006),$AM$1006:$BM$1006,0)))),"Fix")))</f>
        <v xml:space="preserve"> </v>
      </c>
      <c r="J212" s="4" t="str">
        <f ca="1">IF(OR(INDEX($AG$2:$AG$1001,MATCH(ROWS($AF$2:AF212),$AF$2:$AF$1001,0),1)&gt;=100000,INDEX($AM$1005:$BM$1005,1,MATCH(COLUMNS($AM$1006:AU1006),$AM$1006:$BM$1006,0))&gt;=100000), " ",IF(INDEX($AM$2:$BM$1001,MATCH(ROWS($AF$2:AF212),$AF$2:$AF$1001,0),MATCH(COLUMNS($AM$1006:AU1006),$AM$1006:$BM$1006,0)), HYPERLINK("#",""), HYPERLINK(CONCATENATE("#metadata!", ADDRESS(INDEX($AH$2:$AH$1001,MATCH(ROWS($AF$2:AF212),$AF$2:$AF$1001,0),0), INDEX($AM$1004:$BM$1004,1,MATCH(COLUMNS($AM$1006:AU1006),$AM$1006:$BM$1006,0)))),"Fix")))</f>
        <v xml:space="preserve"> </v>
      </c>
      <c r="K212" s="4" t="str">
        <f ca="1">IF(OR(INDEX($AG$2:$AG$1001,MATCH(ROWS($AF$2:AF212),$AF$2:$AF$1001,0),1)&gt;=100000,INDEX($AM$1005:$BM$1005,1,MATCH(COLUMNS($AM$1006:AV1006),$AM$1006:$BM$1006,0))&gt;=100000), " ",IF(INDEX($AM$2:$BM$1001,MATCH(ROWS($AF$2:AF212),$AF$2:$AF$1001,0),MATCH(COLUMNS($AM$1006:AV1006),$AM$1006:$BM$1006,0)), HYPERLINK("#",""), HYPERLINK(CONCATENATE("#metadata!", ADDRESS(INDEX($AH$2:$AH$1001,MATCH(ROWS($AF$2:AF212),$AF$2:$AF$1001,0),0), INDEX($AM$1004:$BM$1004,1,MATCH(COLUMNS($AM$1006:AV1006),$AM$1006:$BM$1006,0)))),"Fix")))</f>
        <v xml:space="preserve"> </v>
      </c>
      <c r="L212" s="4" t="str">
        <f ca="1">IF(OR(INDEX($AG$2:$AG$1001,MATCH(ROWS($AF$2:AF212),$AF$2:$AF$1001,0),1)&gt;=100000,INDEX($AM$1005:$BM$1005,1,MATCH(COLUMNS($AM$1006:AW1006),$AM$1006:$BM$1006,0))&gt;=100000), " ",IF(INDEX($AM$2:$BM$1001,MATCH(ROWS($AF$2:AF212),$AF$2:$AF$1001,0),MATCH(COLUMNS($AM$1006:AW1006),$AM$1006:$BM$1006,0)), HYPERLINK("#",""), HYPERLINK(CONCATENATE("#metadata!", ADDRESS(INDEX($AH$2:$AH$1001,MATCH(ROWS($AF$2:AF212),$AF$2:$AF$1001,0),0), INDEX($AM$1004:$BM$1004,1,MATCH(COLUMNS($AM$1006:AW1006),$AM$1006:$BM$1006,0)))),"Fix")))</f>
        <v xml:space="preserve"> </v>
      </c>
      <c r="M212" s="4" t="str">
        <f ca="1">IF(OR(INDEX($AG$2:$AG$1001,MATCH(ROWS($AF$2:AF212),$AF$2:$AF$1001,0),1)&gt;=100000,INDEX($AM$1005:$BM$1005,1,MATCH(COLUMNS($AM$1006:AX1006),$AM$1006:$BM$1006,0))&gt;=100000), " ",IF(INDEX($AM$2:$BM$1001,MATCH(ROWS($AF$2:AF212),$AF$2:$AF$1001,0),MATCH(COLUMNS($AM$1006:AX1006),$AM$1006:$BM$1006,0)), HYPERLINK("#",""), HYPERLINK(CONCATENATE("#metadata!", ADDRESS(INDEX($AH$2:$AH$1001,MATCH(ROWS($AF$2:AF212),$AF$2:$AF$1001,0),0), INDEX($AM$1004:$BM$1004,1,MATCH(COLUMNS($AM$1006:AX1006),$AM$1006:$BM$1006,0)))),"Fix")))</f>
        <v xml:space="preserve"> </v>
      </c>
      <c r="N212" s="4" t="str">
        <f ca="1">IF(OR(INDEX($AG$2:$AG$1001,MATCH(ROWS($AF$2:AF212),$AF$2:$AF$1001,0),1)&gt;=100000,INDEX($AM$1005:$BM$1005,1,MATCH(COLUMNS($AM$1006:AY1006),$AM$1006:$BM$1006,0))&gt;=100000), " ",IF(INDEX($AM$2:$BM$1001,MATCH(ROWS($AF$2:AF212),$AF$2:$AF$1001,0),MATCH(COLUMNS($AM$1006:AY1006),$AM$1006:$BM$1006,0)), HYPERLINK("#",""), HYPERLINK(CONCATENATE("#metadata!", ADDRESS(INDEX($AH$2:$AH$1001,MATCH(ROWS($AF$2:AF212),$AF$2:$AF$1001,0),0), INDEX($AM$1004:$BM$1004,1,MATCH(COLUMNS($AM$1006:AY1006),$AM$1006:$BM$1006,0)))),"Fix")))</f>
        <v xml:space="preserve"> </v>
      </c>
      <c r="O212" s="4" t="str">
        <f ca="1">IF(OR(INDEX($AG$2:$AG$1001,MATCH(ROWS($AF$2:AF212),$AF$2:$AF$1001,0),1)&gt;=100000,INDEX($AM$1005:$BM$1005,1,MATCH(COLUMNS($AM$1006:AZ1006),$AM$1006:$BM$1006,0))&gt;=100000), " ",IF(INDEX($AM$2:$BM$1001,MATCH(ROWS($AF$2:AF212),$AF$2:$AF$1001,0),MATCH(COLUMNS($AM$1006:AZ1006),$AM$1006:$BM$1006,0)), HYPERLINK("#",""), HYPERLINK(CONCATENATE("#metadata!", ADDRESS(INDEX($AH$2:$AH$1001,MATCH(ROWS($AF$2:AF212),$AF$2:$AF$1001,0),0), INDEX($AM$1004:$BM$1004,1,MATCH(COLUMNS($AM$1006:AZ1006),$AM$1006:$BM$1006,0)))),"Fix")))</f>
        <v xml:space="preserve"> </v>
      </c>
      <c r="P212" s="4" t="str">
        <f ca="1">IF(OR(INDEX($AG$2:$AG$1001,MATCH(ROWS($AF$2:AF212),$AF$2:$AF$1001,0),1)&gt;=100000,INDEX($AM$1005:$BM$1005,1,MATCH(COLUMNS($AM$1006:BA1006),$AM$1006:$BM$1006,0))&gt;=100000), " ",IF(INDEX($AM$2:$BM$1001,MATCH(ROWS($AF$2:AF212),$AF$2:$AF$1001,0),MATCH(COLUMNS($AM$1006:BA1006),$AM$1006:$BM$1006,0)), HYPERLINK("#",""), HYPERLINK(CONCATENATE("#metadata!", ADDRESS(INDEX($AH$2:$AH$1001,MATCH(ROWS($AF$2:AF212),$AF$2:$AF$1001,0),0), INDEX($AM$1004:$BM$1004,1,MATCH(COLUMNS($AM$1006:BA1006),$AM$1006:$BM$1006,0)))),"Fix")))</f>
        <v xml:space="preserve"> </v>
      </c>
      <c r="Q212" s="4" t="str">
        <f ca="1">IF(OR(INDEX($AG$2:$AG$1001,MATCH(ROWS($AF$2:AF212),$AF$2:$AF$1001,0),1)&gt;=100000,INDEX($AM$1005:$BM$1005,1,MATCH(COLUMNS($AM$1006:BB1006),$AM$1006:$BM$1006,0))&gt;=100000), " ",IF(INDEX($AM$2:$BM$1001,MATCH(ROWS($AF$2:AF212),$AF$2:$AF$1001,0),MATCH(COLUMNS($AM$1006:BB1006),$AM$1006:$BM$1006,0)), HYPERLINK("#",""), HYPERLINK(CONCATENATE("#metadata!", ADDRESS(INDEX($AH$2:$AH$1001,MATCH(ROWS($AF$2:AF212),$AF$2:$AF$1001,0),0), INDEX($AM$1004:$BM$1004,1,MATCH(COLUMNS($AM$1006:BB1006),$AM$1006:$BM$1006,0)))),"Fix")))</f>
        <v xml:space="preserve"> </v>
      </c>
      <c r="R212" s="4" t="str">
        <f ca="1">IF(OR(INDEX($AG$2:$AG$1001,MATCH(ROWS($AF$2:AF212),$AF$2:$AF$1001,0),1)&gt;=100000,INDEX($AM$1005:$BM$1005,1,MATCH(COLUMNS($AM$1006:BC1006),$AM$1006:$BM$1006,0))&gt;=100000), " ",IF(INDEX($AM$2:$BM$1001,MATCH(ROWS($AF$2:AF212),$AF$2:$AF$1001,0),MATCH(COLUMNS($AM$1006:BC1006),$AM$1006:$BM$1006,0)), HYPERLINK("#",""), HYPERLINK(CONCATENATE("#metadata!", ADDRESS(INDEX($AH$2:$AH$1001,MATCH(ROWS($AF$2:AF212),$AF$2:$AF$1001,0),0), INDEX($AM$1004:$BM$1004,1,MATCH(COLUMNS($AM$1006:BC1006),$AM$1006:$BM$1006,0)))),"Fix")))</f>
        <v xml:space="preserve"> </v>
      </c>
      <c r="S212" s="4" t="str">
        <f ca="1">IF(OR(INDEX($AG$2:$AG$1001,MATCH(ROWS($AF$2:AF212),$AF$2:$AF$1001,0),1)&gt;=100000,INDEX($AM$1005:$BM$1005,1,MATCH(COLUMNS($AM$1006:BD1006),$AM$1006:$BM$1006,0))&gt;=100000), " ",IF(INDEX($AM$2:$BM$1001,MATCH(ROWS($AF$2:AF212),$AF$2:$AF$1001,0),MATCH(COLUMNS($AM$1006:BD1006),$AM$1006:$BM$1006,0)), HYPERLINK("#",""), HYPERLINK(CONCATENATE("#metadata!", ADDRESS(INDEX($AH$2:$AH$1001,MATCH(ROWS($AF$2:AF212),$AF$2:$AF$1001,0),0), INDEX($AM$1004:$BM$1004,1,MATCH(COLUMNS($AM$1006:BD1006),$AM$1006:$BM$1006,0)))),"Fix")))</f>
        <v xml:space="preserve"> </v>
      </c>
      <c r="T212" s="4" t="str">
        <f ca="1">IF(OR(INDEX($AG$2:$AG$1001,MATCH(ROWS($AF$2:AF212),$AF$2:$AF$1001,0),1)&gt;=100000,INDEX($AM$1005:$BM$1005,1,MATCH(COLUMNS($AM$1006:BE1006),$AM$1006:$BM$1006,0))&gt;=100000), " ",IF(INDEX($AM$2:$BM$1001,MATCH(ROWS($AF$2:AF212),$AF$2:$AF$1001,0),MATCH(COLUMNS($AM$1006:BE1006),$AM$1006:$BM$1006,0)), HYPERLINK("#",""), HYPERLINK(CONCATENATE("#metadata!", ADDRESS(INDEX($AH$2:$AH$1001,MATCH(ROWS($AF$2:AF212),$AF$2:$AF$1001,0),0), INDEX($AM$1004:$BM$1004,1,MATCH(COLUMNS($AM$1006:BE1006),$AM$1006:$BM$1006,0)))),"Fix")))</f>
        <v xml:space="preserve"> </v>
      </c>
      <c r="U212" s="4" t="str">
        <f ca="1">IF(OR(INDEX($AG$2:$AG$1001,MATCH(ROWS($AF$2:AF212),$AF$2:$AF$1001,0),1)&gt;=100000,INDEX($AM$1005:$BM$1005,1,MATCH(COLUMNS($AM$1006:BF1006),$AM$1006:$BM$1006,0))&gt;=100000), " ",IF(INDEX($AM$2:$BM$1001,MATCH(ROWS($AF$2:AF212),$AF$2:$AF$1001,0),MATCH(COLUMNS($AM$1006:BF1006),$AM$1006:$BM$1006,0)), HYPERLINK("#",""), HYPERLINK(CONCATENATE("#metadata!", ADDRESS(INDEX($AH$2:$AH$1001,MATCH(ROWS($AF$2:AF212),$AF$2:$AF$1001,0),0), INDEX($AM$1004:$BM$1004,1,MATCH(COLUMNS($AM$1006:BF1006),$AM$1006:$BM$1006,0)))),"Fix")))</f>
        <v xml:space="preserve"> </v>
      </c>
      <c r="V212" s="4" t="str">
        <f ca="1">IF(OR(INDEX($AG$2:$AG$1001,MATCH(ROWS($AF$2:AF212),$AF$2:$AF$1001,0),1)&gt;=100000,INDEX($AM$1005:$BM$1005,1,MATCH(COLUMNS($AM$1006:BG1006),$AM$1006:$BM$1006,0))&gt;=100000), " ",IF(INDEX($AM$2:$BM$1001,MATCH(ROWS($AF$2:AF212),$AF$2:$AF$1001,0),MATCH(COLUMNS($AM$1006:BG1006),$AM$1006:$BM$1006,0)), HYPERLINK("#",""), HYPERLINK(CONCATENATE("#metadata!", ADDRESS(INDEX($AH$2:$AH$1001,MATCH(ROWS($AF$2:AF212),$AF$2:$AF$1001,0),0), INDEX($AM$1004:$BM$1004,1,MATCH(COLUMNS($AM$1006:BG1006),$AM$1006:$BM$1006,0)))),"Fix")))</f>
        <v xml:space="preserve"> </v>
      </c>
      <c r="W212" s="4" t="str">
        <f ca="1">IF(OR(INDEX($AG$2:$AG$1001,MATCH(ROWS($AF$2:AF212),$AF$2:$AF$1001,0),1)&gt;=100000,INDEX($AM$1005:$BM$1005,1,MATCH(COLUMNS($AM$1006:BH1006),$AM$1006:$BM$1006,0))&gt;=100000), " ",IF(INDEX($AM$2:$BM$1001,MATCH(ROWS($AF$2:AF212),$AF$2:$AF$1001,0),MATCH(COLUMNS($AM$1006:BH1006),$AM$1006:$BM$1006,0)), HYPERLINK("#",""), HYPERLINK(CONCATENATE("#metadata!", ADDRESS(INDEX($AH$2:$AH$1001,MATCH(ROWS($AF$2:AF212),$AF$2:$AF$1001,0),0), INDEX($AM$1004:$BM$1004,1,MATCH(COLUMNS($AM$1006:BH1006),$AM$1006:$BM$1006,0)))),"Fix")))</f>
        <v xml:space="preserve"> </v>
      </c>
      <c r="X212" s="4" t="str">
        <f ca="1">IF(OR(INDEX($AG$2:$AG$1001,MATCH(ROWS($AF$2:AF212),$AF$2:$AF$1001,0),1)&gt;=100000,INDEX($AM$1005:$BM$1005,1,MATCH(COLUMNS($AM$1006:BI1006),$AM$1006:$BM$1006,0))&gt;=100000), " ",IF(INDEX($AM$2:$BM$1001,MATCH(ROWS($AF$2:AF212),$AF$2:$AF$1001,0),MATCH(COLUMNS($AM$1006:BI1006),$AM$1006:$BM$1006,0)), HYPERLINK("#",""), HYPERLINK(CONCATENATE("#metadata!", ADDRESS(INDEX($AH$2:$AH$1001,MATCH(ROWS($AF$2:AF212),$AF$2:$AF$1001,0),0), INDEX($AM$1004:$BM$1004,1,MATCH(COLUMNS($AM$1006:BI1006),$AM$1006:$BM$1006,0)))),"Fix")))</f>
        <v xml:space="preserve"> </v>
      </c>
      <c r="Y212" s="4" t="str">
        <f ca="1">IF(OR(INDEX($AG$2:$AG$1001,MATCH(ROWS($AF$2:AF212),$AF$2:$AF$1001,0),1)&gt;=100000,INDEX($AM$1005:$BM$1005,1,MATCH(COLUMNS($AM$1006:BJ1006),$AM$1006:$BM$1006,0))&gt;=100000), " ",IF(INDEX($AM$2:$BM$1001,MATCH(ROWS($AF$2:AF212),$AF$2:$AF$1001,0),MATCH(COLUMNS($AM$1006:BJ1006),$AM$1006:$BM$1006,0)), HYPERLINK("#",""), HYPERLINK(CONCATENATE("#metadata!", ADDRESS(INDEX($AH$2:$AH$1001,MATCH(ROWS($AF$2:AF212),$AF$2:$AF$1001,0),0), INDEX($AM$1004:$BM$1004,1,MATCH(COLUMNS($AM$1006:BJ1006),$AM$1006:$BM$1006,0)))),"Fix")))</f>
        <v xml:space="preserve"> </v>
      </c>
      <c r="Z212" s="4" t="str">
        <f ca="1">IF(OR(INDEX($AG$2:$AG$1001,MATCH(ROWS($AF$2:AF212),$AF$2:$AF$1001,0),1)&gt;=100000,INDEX($AM$1005:$BM$1005,1,MATCH(COLUMNS($AM$1006:BK1006),$AM$1006:$BM$1006,0))&gt;=100000), " ",IF(INDEX($AM$2:$BM$1001,MATCH(ROWS($AF$2:AF212),$AF$2:$AF$1001,0),MATCH(COLUMNS($AM$1006:BK1006),$AM$1006:$BM$1006,0)), HYPERLINK("#",""), HYPERLINK(CONCATENATE("#metadata!", ADDRESS(INDEX($AH$2:$AH$1001,MATCH(ROWS($AF$2:AF212),$AF$2:$AF$1001,0),0), INDEX($AM$1004:$BM$1004,1,MATCH(COLUMNS($AM$1006:BK1006),$AM$1006:$BM$1006,0)))),"Fix")))</f>
        <v xml:space="preserve"> </v>
      </c>
      <c r="AA212" s="4" t="str">
        <f ca="1">IF(OR(INDEX($AG$2:$AG$1001,MATCH(ROWS($AF$2:AF212),$AF$2:$AF$1001,0),1)&gt;=100000,INDEX($AM$1005:$BM$1005,1,MATCH(COLUMNS($AM$1006:BL1006),$AM$1006:$BM$1006,0))&gt;=100000), " ",IF(INDEX($AM$2:$BM$1001,MATCH(ROWS($AF$2:AF212),$AF$2:$AF$1001,0),MATCH(COLUMNS($AM$1006:BL1006),$AM$1006:$BM$1006,0)), HYPERLINK("#",""), HYPERLINK(CONCATENATE("#metadata!", ADDRESS(INDEX($AH$2:$AH$1001,MATCH(ROWS($AF$2:AF212),$AF$2:$AF$1001,0),0), INDEX($AM$1004:$BM$1004,1,MATCH(COLUMNS($AM$1006:BL1006),$AM$1006:$BM$1006,0)))),"Fix")))</f>
        <v xml:space="preserve"> </v>
      </c>
      <c r="AB212" s="4" t="str">
        <f ca="1">IF(OR(INDEX($AG$2:$AG$1001,MATCH(ROWS($AF$2:AF212),$AF$2:$AF$1001,0),1)&gt;=100000,INDEX($AM$1005:$BM$1005,1,MATCH(COLUMNS($AM$1006:BM1006),$AM$1006:$BM$1006,0))&gt;=100000), " ",IF(INDEX($AM$2:$BM$1001,MATCH(ROWS($AF$2:AF212),$AF$2:$AF$1001,0),MATCH(COLUMNS($AM$1006:BM1006),$AM$1006:$BM$1006,0)), HYPERLINK("#",""), HYPERLINK(CONCATENATE("#metadata!", ADDRESS(INDEX($AH$2:$AH$1001,MATCH(ROWS($AF$2:AF212),$AF$2:$AF$1001,0),0), INDEX($AM$1004:$BM$1004,1,MATCH(COLUMNS($AM$1006:BM1006),$AM$1006:$BM$1006,0)))),"Fix")))</f>
        <v xml:space="preserve"> </v>
      </c>
      <c r="AF212">
        <v>211</v>
      </c>
      <c r="AG212">
        <v>100212</v>
      </c>
      <c r="AH212">
        <v>212</v>
      </c>
      <c r="AI212" t="b">
        <f t="shared" si="3"/>
        <v>1</v>
      </c>
      <c r="AJ212" t="b">
        <f>COUNTBLANK(metadata!B212:AB212)=COLUMNS(metadata!B212:AB212)</f>
        <v>1</v>
      </c>
      <c r="AK212" t="str">
        <v/>
      </c>
      <c r="AM212" t="b">
        <f ca="1">AND(IF(metadata!B212="",FALSE,TRUE),COUNTIF(metadata!B:B, metadata!B212) = 1,NOT(ISERROR(SUMPRODUCT(SEARCH(MID(metadata!B212,ROW(INDIRECT("1:"&amp;LEN(metadata!B212))), 1),"0123456789abcdefghijklmnopqrstuvwxyzABCDEFGHIJKLMNOPQRSTUVWXYZ.")))))</f>
        <v>0</v>
      </c>
      <c r="AN212" t="b">
        <f ca="1">OR(AND(IF(metadata!C212="",FALSE,TRUE),OR(EXACT(metadata!C212,"missing: not collected"),EXACT(metadata!C212,"missing: not provided"),EXACT(metadata!C212,"missing: restricted access"))),AND(IF(metadata!C212="",FALSE,TRUE),AND(AND(IFERROR(INT(LEFT(metadata!C212,4))&gt;1900,FALSE),IFERROR(INT(LEFT(metadata!C212,4))&lt;=YEAR(NOW()),FALSE)), OR(MID(metadata!C212,5,1)="", AND(AND(MID(metadata!C212,5,1)="-",IFERROR(INT(MID(metadata!C212,6,1))&gt;=0,FALSE),IFERROR(INT(MID(metadata!C212,6,1))&lt;=1,FALSE),NOT(MID(metadata!C212,7,1)=""),IFERROR(INT(MID(metadata!C212,6,2))&gt;=1,FALSE),IFERROR(INT(MID(metadata!C212,6,2))&lt;=12,FALSE)), OR(MID(metadata!C212,8,1)="", AND(AND(MID(metadata!C212,8,1)="-",IFERROR(INT(MID(metadata!C212,9,1))&gt;=0,FALSE),IFERROR(INT(MID(metadata!C212,9,1))&lt;=3,FALSE),NOT(MID(metadata!C212,10,1)=""),IFERROR(INT(MID(metadata!C212,9,2))&gt;=1,FALSE),IFERROR(INT(MID(metadata!C212,9,2))&lt;=31,FALSE)), OR(MID(metadata!C212,11,1)="", AND(AND(MID(metadata!C212,11,1)=" ",IFERROR(INT(MID(metadata!C212,12,1))&gt;=0,FALSE),IFERROR(INT(MID(metadata!C212,12,1))&lt;=2,FALSE),NOT(MID(metadata!C212,13,1)=""),IFERROR(INT(MID(metadata!C212,12,2))&gt;=0,FALSE),IFERROR(INT(MID(metadata!C212,12,2))&lt;=23,FALSE)), OR(MID(metadata!C212,14,1)="", AND(AND(MID(metadata!C212,14,1)=":",IFERROR(INT(MID(metadata!C212,15,1))&gt;=0,FALSE),IFERROR(INT(MID(metadata!C212,15,1))&lt;=5,FALSE),NOT(MID(metadata!C212,16,1)=""),IFERROR(INT(MID(metadata!C212,15,2))&gt;=0,FALSE),IFERROR(INT(MID(metadata!C212,15,2))&lt;=59,FALSE)), OR(MID(metadata!C212,17,1)="", AND(AND(MID(metadata!C212,17,1)=":",IFERROR(INT(MID(metadata!C212,18,1))&gt;=0,FALSE),IFERROR(INT(MID(metadata!C212,18,1))&lt;=5,FALSE),NOT(MID(metadata!C212,19,1)=""),IFERROR(INT(MID(metadata!C212,18,2))&gt;=0,FALSE),IFERROR(INT(MID(metadata!C212,18,2))&lt;=59,FALSE)), LEN(metadata!C212)&lt;=19)))))))))))))</f>
        <v>0</v>
      </c>
      <c r="AO212" t="b">
        <f>AND(IF(metadata!D212="",FALSE,TRUE),EXACT(metadata!D212,"Not applicable"))</f>
        <v>0</v>
      </c>
      <c r="AP212" t="b">
        <f>IF(metadata!E212="",FALSE,TRUE)</f>
        <v>0</v>
      </c>
      <c r="AQ212" t="b">
        <f>OR(AND(IF(metadata!F212="",FALSE,TRUE),OR(EXACT(metadata!F212,"missing: not collected"),EXACT(metadata!F212,"missing: not provided"))),AND(IF(metadata!F212="",FALSE,TRUE),OR(EXACT(metadata!F212,"TRUE"),EXACT(metadata!F212,"FALSE"))))</f>
        <v>0</v>
      </c>
      <c r="AR212" t="b">
        <f>OR(AND(IF(metadata!G212="",FALSE,TRUE),OR(EXACT(metadata!G212,"missing: not collected"),EXACT(metadata!G212,"missing: not provided"),EXACT(metadata!G212,"missing: restricted access"))),AND(IF(metadata!G212="",FALSE,ISNUMBER(VALUE(metadata!G212))),metadata!G212&gt;=-413))</f>
        <v>0</v>
      </c>
      <c r="AS212" t="b">
        <f>AND(IF(metadata!H212="",FALSE,TRUE),EXACT(metadata!H212,"meters"))</f>
        <v>0</v>
      </c>
      <c r="AT212" t="b">
        <f>AND(IF(metadata!I212="",FALSE,TRUE),OR(EXACT(metadata!I212,"Host-associated"),EXACT(metadata!I212,"Free-living")))</f>
        <v>0</v>
      </c>
      <c r="AU212" t="b">
        <f>AND(IF(metadata!J212="",FALSE,TRUE),OR(EXACT(metadata!J212,"Animal"),EXACT(metadata!J212,"Fungus"),EXACT(metadata!J212,"Plant"),EXACT(metadata!J212,"Saline"),EXACT(metadata!J212,"Non-saline")))</f>
        <v>0</v>
      </c>
      <c r="AV212" t="b">
        <f>AND(IF(metadata!K212="",FALSE,TRUE),OR(EXACT(metadata!K212,"Plant secretion"),EXACT(metadata!K212,"Plant rhizosphere"),EXACT(metadata!K212,"Plant surface"),EXACT(metadata!K212,"Plant corpus"),EXACT(metadata!K212,"Fungus surface"),EXACT(metadata!K212,"Fungus corpus"),EXACT(metadata!K212,"Animal surface"),EXACT(metadata!K212,"Animal proximal gut"),EXACT(metadata!K212,"Animal corpus"),EXACT(metadata!K212,"Animal distal gut"),EXACT(metadata!K212,"Animal secretion"),EXACT(metadata!K212,"Sub-surface (non-saline)"),EXACT(metadata!K212,"Surface (non-saline)"),EXACT(metadata!K212,"Water (non-saline)"),EXACT(metadata!K212,"Soil (non-saline)"),EXACT(metadata!K212,"Aerosol (non-saline)"),EXACT(metadata!K212,"Sediment (non-saline)"),EXACT(metadata!K212,"Surface (saline)"),EXACT(metadata!K212,"Water (saline)"),EXACT(metadata!K212,"Hypersaline (saline)"),EXACT(metadata!K212,"Aerosol (saline)"),EXACT(metadata!K212,"Sediment (saline)")))</f>
        <v>0</v>
      </c>
      <c r="AW212" t="b">
        <f>IF(metadata!L212="",FALSE,TRUE)</f>
        <v>0</v>
      </c>
      <c r="AX212" t="b">
        <f>IF(metadata!M212="",FALSE,TRUE)</f>
        <v>0</v>
      </c>
      <c r="AY212" t="b">
        <f>IF(metadata!N212="",FALSE,TRUE)</f>
        <v>0</v>
      </c>
      <c r="AZ212" t="b">
        <f>OR(AND(IF(metadata!O212="",FALSE,TRUE),OR(EXACT(metadata!O212,"missing: not collected"),EXACT(metadata!O212,"missing: not provided"),EXACT(metadata!O212,"missing: restricted access"))),AND(IF(metadata!O212="",FALSE,TRUE),OR(EXACT(metadata!O212,"air"),EXACT(metadata!O212,"built environment"),EXACT(metadata!O212,"host-associated"),EXACT(metadata!O212,"human-associated"),EXACT(metadata!O212,"human-skin"),EXACT(metadata!O212,"human-oral"),EXACT(metadata!O212,"human-gut"),EXACT(metadata!O212,"human-vaginal"),EXACT(metadata!O212,"microbial mat/biofilm"),EXACT(metadata!O212,"misc environment"),EXACT(metadata!O212,"plant-associated"),EXACT(metadata!O212,"sediment"),EXACT(metadata!O212,"soil"),EXACT(metadata!O212,"wastewater/sludge"),EXACT(metadata!O212,"water"))))</f>
        <v>0</v>
      </c>
      <c r="BA212" t="b">
        <f>IF(metadata!P212="",FALSE,TRUE)</f>
        <v>0</v>
      </c>
      <c r="BB212" t="b">
        <f>IF(metadata!Q212="",FALSE,TRUE)</f>
        <v>0</v>
      </c>
      <c r="BC212" t="b">
        <f>OR(AND(IF(metadata!R212="",FALSE,TRUE),OR(EXACT(metadata!R212,"missing: not collected"),EXACT(metadata!R212,"missing: not provided"),EXACT(metadata!R212,"missing: restricted access"))),AND(IF(metadata!R212="",FALSE,ISNUMBER(VALUE(metadata!R212))),metadata!R212&gt;=-90,metadata!R212&lt;=90))</f>
        <v>0</v>
      </c>
      <c r="BD212" t="b">
        <f>AND(IF(metadata!S212="",FALSE,TRUE),EXACT(metadata!S212,"Decimal degrees"))</f>
        <v>0</v>
      </c>
      <c r="BE212" t="b">
        <f>OR(AND(IF(metadata!T212="",FALSE,TRUE),OR(EXACT(metadata!T212,"missing: not collected"),EXACT(metadata!T212,"missing: not provided"),EXACT(metadata!T212,"missing: restricted access"))),AND(IF(metadata!T212="",FALSE,ISNUMBER(VALUE(metadata!T212))),metadata!T212&gt;=-180,metadata!T212&lt;=180))</f>
        <v>0</v>
      </c>
      <c r="BF212" t="b">
        <f>AND(IF(metadata!U212="",FALSE,TRUE),EXACT(metadata!U212,"Decimal degrees"))</f>
        <v>0</v>
      </c>
      <c r="BG212" t="b">
        <f>IF(metadata!V212="",FALSE,TRUE)</f>
        <v>0</v>
      </c>
      <c r="BH212" t="b">
        <f>OR(AND(IF(metadata!W212="",FALSE,TRUE),OR(EXACT(metadata!W212,"missing: not collected"),EXACT(metadata!W212,"missing: not provided"),EXACT(metadata!W212,"missing: restricted access"))),AND(IF(metadata!W212="",FALSE,TRUE),OR(EXACT(metadata!W212,"TRUE"),EXACT(metadata!W212,"FALSE"))))</f>
        <v>0</v>
      </c>
      <c r="BI212" t="b">
        <f>AND(IF(metadata!X212="",FALSE,TRUE),EXACT(metadata!X212,"other"))</f>
        <v>0</v>
      </c>
      <c r="BJ212" t="b">
        <f>IF(metadata!Y212="",FALSE,TRUE)</f>
        <v>0</v>
      </c>
      <c r="BK212" t="b">
        <f>OR(AND(IF(metadata!Z212="",FALSE,TRUE),OR(EXACT(metadata!Z212,"missing: not collected"),EXACT(metadata!Z212,"missing: not provided"))),AND(IF(metadata!Z212="",FALSE,IF(ISERROR(INT(metadata!Z212)),FALSE,INT(metadata!Z212)=metadata!Z212)),metadata!Z212&gt;0))</f>
        <v>0</v>
      </c>
      <c r="BL212" t="b">
        <f>AND(IF(metadata!AA212="",FALSE,TRUE),EXACT(metadata!AA212,"Not applicable"))</f>
        <v>0</v>
      </c>
      <c r="BM212" t="b">
        <f>IF(metadata!AB212="",FALSE,TRUE)</f>
        <v>0</v>
      </c>
    </row>
    <row r="213" spans="1:65" x14ac:dyDescent="0.2">
      <c r="A213" s="5" t="str">
        <f ca="1">IF(B213=" "," ",HYPERLINK(CONCATENATE("#metadata!",ADDRESS(INDEX($AH$2:$AH$1001,MATCH(ROWS($AF$2:AF213),$AF$2:$AF$1001,0),0),1)),INDEX($AK$2:$AK$1001,MATCH(ROWS($AF$2:AF213),$AF$2:$AF$1001,0),0)))</f>
        <v xml:space="preserve"> </v>
      </c>
      <c r="B213" s="4" t="str">
        <f ca="1">IF(OR(INDEX($AG$2:$AG$1001,MATCH(ROWS($AF$2:AF213),$AF$2:$AF$1001,0),1)&gt;=100000,INDEX($AM$1005:$BM$1005,1,MATCH(COLUMNS($AM$1006:AM1006),$AM$1006:$BM$1006,0))&gt;=100000), " ",IF(INDEX($AM$2:$BM$1001,MATCH(ROWS($AF$2:AF213),$AF$2:$AF$1001,0),MATCH(COLUMNS($AM$1006:AM1006),$AM$1006:$BM$1006,0)), HYPERLINK("#",""), HYPERLINK(CONCATENATE("#metadata!", ADDRESS(INDEX($AH$2:$AH$1001,MATCH(ROWS($AF$2:AF213),$AF$2:$AF$1001,0),0), INDEX($AM$1004:$BM$1004,1,MATCH(COLUMNS($AM$1006:AM1006),$AM$1006:$BM$1006,0)))),"Fix")))</f>
        <v xml:space="preserve"> </v>
      </c>
      <c r="C213" s="4" t="str">
        <f ca="1">IF(OR(INDEX($AG$2:$AG$1001,MATCH(ROWS($AF$2:AF213),$AF$2:$AF$1001,0),1)&gt;=100000,INDEX($AM$1005:$BM$1005,1,MATCH(COLUMNS($AM$1006:AN1006),$AM$1006:$BM$1006,0))&gt;=100000), " ",IF(INDEX($AM$2:$BM$1001,MATCH(ROWS($AF$2:AF213),$AF$2:$AF$1001,0),MATCH(COLUMNS($AM$1006:AN1006),$AM$1006:$BM$1006,0)), HYPERLINK("#",""), HYPERLINK(CONCATENATE("#metadata!", ADDRESS(INDEX($AH$2:$AH$1001,MATCH(ROWS($AF$2:AF213),$AF$2:$AF$1001,0),0), INDEX($AM$1004:$BM$1004,1,MATCH(COLUMNS($AM$1006:AN1006),$AM$1006:$BM$1006,0)))),"Fix")))</f>
        <v xml:space="preserve"> </v>
      </c>
      <c r="D213" s="4" t="str">
        <f ca="1">IF(OR(INDEX($AG$2:$AG$1001,MATCH(ROWS($AF$2:AF213),$AF$2:$AF$1001,0),1)&gt;=100000,INDEX($AM$1005:$BM$1005,1,MATCH(COLUMNS($AM$1006:AO1006),$AM$1006:$BM$1006,0))&gt;=100000), " ",IF(INDEX($AM$2:$BM$1001,MATCH(ROWS($AF$2:AF213),$AF$2:$AF$1001,0),MATCH(COLUMNS($AM$1006:AO1006),$AM$1006:$BM$1006,0)), HYPERLINK("#",""), HYPERLINK(CONCATENATE("#metadata!", ADDRESS(INDEX($AH$2:$AH$1001,MATCH(ROWS($AF$2:AF213),$AF$2:$AF$1001,0),0), INDEX($AM$1004:$BM$1004,1,MATCH(COLUMNS($AM$1006:AO1006),$AM$1006:$BM$1006,0)))),"Fix")))</f>
        <v xml:space="preserve"> </v>
      </c>
      <c r="E213" s="4" t="str">
        <f ca="1">IF(OR(INDEX($AG$2:$AG$1001,MATCH(ROWS($AF$2:AF213),$AF$2:$AF$1001,0),1)&gt;=100000,INDEX($AM$1005:$BM$1005,1,MATCH(COLUMNS($AM$1006:AP1006),$AM$1006:$BM$1006,0))&gt;=100000), " ",IF(INDEX($AM$2:$BM$1001,MATCH(ROWS($AF$2:AF213),$AF$2:$AF$1001,0),MATCH(COLUMNS($AM$1006:AP1006),$AM$1006:$BM$1006,0)), HYPERLINK("#",""), HYPERLINK(CONCATENATE("#metadata!", ADDRESS(INDEX($AH$2:$AH$1001,MATCH(ROWS($AF$2:AF213),$AF$2:$AF$1001,0),0), INDEX($AM$1004:$BM$1004,1,MATCH(COLUMNS($AM$1006:AP1006),$AM$1006:$BM$1006,0)))),"Fix")))</f>
        <v xml:space="preserve"> </v>
      </c>
      <c r="F213" s="4" t="str">
        <f ca="1">IF(OR(INDEX($AG$2:$AG$1001,MATCH(ROWS($AF$2:AF213),$AF$2:$AF$1001,0),1)&gt;=100000,INDEX($AM$1005:$BM$1005,1,MATCH(COLUMNS($AM$1006:AQ1006),$AM$1006:$BM$1006,0))&gt;=100000), " ",IF(INDEX($AM$2:$BM$1001,MATCH(ROWS($AF$2:AF213),$AF$2:$AF$1001,0),MATCH(COLUMNS($AM$1006:AQ1006),$AM$1006:$BM$1006,0)), HYPERLINK("#",""), HYPERLINK(CONCATENATE("#metadata!", ADDRESS(INDEX($AH$2:$AH$1001,MATCH(ROWS($AF$2:AF213),$AF$2:$AF$1001,0),0), INDEX($AM$1004:$BM$1004,1,MATCH(COLUMNS($AM$1006:AQ1006),$AM$1006:$BM$1006,0)))),"Fix")))</f>
        <v xml:space="preserve"> </v>
      </c>
      <c r="G213" s="4" t="str">
        <f ca="1">IF(OR(INDEX($AG$2:$AG$1001,MATCH(ROWS($AF$2:AF213),$AF$2:$AF$1001,0),1)&gt;=100000,INDEX($AM$1005:$BM$1005,1,MATCH(COLUMNS($AM$1006:AR1006),$AM$1006:$BM$1006,0))&gt;=100000), " ",IF(INDEX($AM$2:$BM$1001,MATCH(ROWS($AF$2:AF213),$AF$2:$AF$1001,0),MATCH(COLUMNS($AM$1006:AR1006),$AM$1006:$BM$1006,0)), HYPERLINK("#",""), HYPERLINK(CONCATENATE("#metadata!", ADDRESS(INDEX($AH$2:$AH$1001,MATCH(ROWS($AF$2:AF213),$AF$2:$AF$1001,0),0), INDEX($AM$1004:$BM$1004,1,MATCH(COLUMNS($AM$1006:AR1006),$AM$1006:$BM$1006,0)))),"Fix")))</f>
        <v xml:space="preserve"> </v>
      </c>
      <c r="H213" s="4" t="str">
        <f ca="1">IF(OR(INDEX($AG$2:$AG$1001,MATCH(ROWS($AF$2:AF213),$AF$2:$AF$1001,0),1)&gt;=100000,INDEX($AM$1005:$BM$1005,1,MATCH(COLUMNS($AM$1006:AS1006),$AM$1006:$BM$1006,0))&gt;=100000), " ",IF(INDEX($AM$2:$BM$1001,MATCH(ROWS($AF$2:AF213),$AF$2:$AF$1001,0),MATCH(COLUMNS($AM$1006:AS1006),$AM$1006:$BM$1006,0)), HYPERLINK("#",""), HYPERLINK(CONCATENATE("#metadata!", ADDRESS(INDEX($AH$2:$AH$1001,MATCH(ROWS($AF$2:AF213),$AF$2:$AF$1001,0),0), INDEX($AM$1004:$BM$1004,1,MATCH(COLUMNS($AM$1006:AS1006),$AM$1006:$BM$1006,0)))),"Fix")))</f>
        <v xml:space="preserve"> </v>
      </c>
      <c r="I213" s="4" t="str">
        <f ca="1">IF(OR(INDEX($AG$2:$AG$1001,MATCH(ROWS($AF$2:AF213),$AF$2:$AF$1001,0),1)&gt;=100000,INDEX($AM$1005:$BM$1005,1,MATCH(COLUMNS($AM$1006:AT1006),$AM$1006:$BM$1006,0))&gt;=100000), " ",IF(INDEX($AM$2:$BM$1001,MATCH(ROWS($AF$2:AF213),$AF$2:$AF$1001,0),MATCH(COLUMNS($AM$1006:AT1006),$AM$1006:$BM$1006,0)), HYPERLINK("#",""), HYPERLINK(CONCATENATE("#metadata!", ADDRESS(INDEX($AH$2:$AH$1001,MATCH(ROWS($AF$2:AF213),$AF$2:$AF$1001,0),0), INDEX($AM$1004:$BM$1004,1,MATCH(COLUMNS($AM$1006:AT1006),$AM$1006:$BM$1006,0)))),"Fix")))</f>
        <v xml:space="preserve"> </v>
      </c>
      <c r="J213" s="4" t="str">
        <f ca="1">IF(OR(INDEX($AG$2:$AG$1001,MATCH(ROWS($AF$2:AF213),$AF$2:$AF$1001,0),1)&gt;=100000,INDEX($AM$1005:$BM$1005,1,MATCH(COLUMNS($AM$1006:AU1006),$AM$1006:$BM$1006,0))&gt;=100000), " ",IF(INDEX($AM$2:$BM$1001,MATCH(ROWS($AF$2:AF213),$AF$2:$AF$1001,0),MATCH(COLUMNS($AM$1006:AU1006),$AM$1006:$BM$1006,0)), HYPERLINK("#",""), HYPERLINK(CONCATENATE("#metadata!", ADDRESS(INDEX($AH$2:$AH$1001,MATCH(ROWS($AF$2:AF213),$AF$2:$AF$1001,0),0), INDEX($AM$1004:$BM$1004,1,MATCH(COLUMNS($AM$1006:AU1006),$AM$1006:$BM$1006,0)))),"Fix")))</f>
        <v xml:space="preserve"> </v>
      </c>
      <c r="K213" s="4" t="str">
        <f ca="1">IF(OR(INDEX($AG$2:$AG$1001,MATCH(ROWS($AF$2:AF213),$AF$2:$AF$1001,0),1)&gt;=100000,INDEX($AM$1005:$BM$1005,1,MATCH(COLUMNS($AM$1006:AV1006),$AM$1006:$BM$1006,0))&gt;=100000), " ",IF(INDEX($AM$2:$BM$1001,MATCH(ROWS($AF$2:AF213),$AF$2:$AF$1001,0),MATCH(COLUMNS($AM$1006:AV1006),$AM$1006:$BM$1006,0)), HYPERLINK("#",""), HYPERLINK(CONCATENATE("#metadata!", ADDRESS(INDEX($AH$2:$AH$1001,MATCH(ROWS($AF$2:AF213),$AF$2:$AF$1001,0),0), INDEX($AM$1004:$BM$1004,1,MATCH(COLUMNS($AM$1006:AV1006),$AM$1006:$BM$1006,0)))),"Fix")))</f>
        <v xml:space="preserve"> </v>
      </c>
      <c r="L213" s="4" t="str">
        <f ca="1">IF(OR(INDEX($AG$2:$AG$1001,MATCH(ROWS($AF$2:AF213),$AF$2:$AF$1001,0),1)&gt;=100000,INDEX($AM$1005:$BM$1005,1,MATCH(COLUMNS($AM$1006:AW1006),$AM$1006:$BM$1006,0))&gt;=100000), " ",IF(INDEX($AM$2:$BM$1001,MATCH(ROWS($AF$2:AF213),$AF$2:$AF$1001,0),MATCH(COLUMNS($AM$1006:AW1006),$AM$1006:$BM$1006,0)), HYPERLINK("#",""), HYPERLINK(CONCATENATE("#metadata!", ADDRESS(INDEX($AH$2:$AH$1001,MATCH(ROWS($AF$2:AF213),$AF$2:$AF$1001,0),0), INDEX($AM$1004:$BM$1004,1,MATCH(COLUMNS($AM$1006:AW1006),$AM$1006:$BM$1006,0)))),"Fix")))</f>
        <v xml:space="preserve"> </v>
      </c>
      <c r="M213" s="4" t="str">
        <f ca="1">IF(OR(INDEX($AG$2:$AG$1001,MATCH(ROWS($AF$2:AF213),$AF$2:$AF$1001,0),1)&gt;=100000,INDEX($AM$1005:$BM$1005,1,MATCH(COLUMNS($AM$1006:AX1006),$AM$1006:$BM$1006,0))&gt;=100000), " ",IF(INDEX($AM$2:$BM$1001,MATCH(ROWS($AF$2:AF213),$AF$2:$AF$1001,0),MATCH(COLUMNS($AM$1006:AX1006),$AM$1006:$BM$1006,0)), HYPERLINK("#",""), HYPERLINK(CONCATENATE("#metadata!", ADDRESS(INDEX($AH$2:$AH$1001,MATCH(ROWS($AF$2:AF213),$AF$2:$AF$1001,0),0), INDEX($AM$1004:$BM$1004,1,MATCH(COLUMNS($AM$1006:AX1006),$AM$1006:$BM$1006,0)))),"Fix")))</f>
        <v xml:space="preserve"> </v>
      </c>
      <c r="N213" s="4" t="str">
        <f ca="1">IF(OR(INDEX($AG$2:$AG$1001,MATCH(ROWS($AF$2:AF213),$AF$2:$AF$1001,0),1)&gt;=100000,INDEX($AM$1005:$BM$1005,1,MATCH(COLUMNS($AM$1006:AY1006),$AM$1006:$BM$1006,0))&gt;=100000), " ",IF(INDEX($AM$2:$BM$1001,MATCH(ROWS($AF$2:AF213),$AF$2:$AF$1001,0),MATCH(COLUMNS($AM$1006:AY1006),$AM$1006:$BM$1006,0)), HYPERLINK("#",""), HYPERLINK(CONCATENATE("#metadata!", ADDRESS(INDEX($AH$2:$AH$1001,MATCH(ROWS($AF$2:AF213),$AF$2:$AF$1001,0),0), INDEX($AM$1004:$BM$1004,1,MATCH(COLUMNS($AM$1006:AY1006),$AM$1006:$BM$1006,0)))),"Fix")))</f>
        <v xml:space="preserve"> </v>
      </c>
      <c r="O213" s="4" t="str">
        <f ca="1">IF(OR(INDEX($AG$2:$AG$1001,MATCH(ROWS($AF$2:AF213),$AF$2:$AF$1001,0),1)&gt;=100000,INDEX($AM$1005:$BM$1005,1,MATCH(COLUMNS($AM$1006:AZ1006),$AM$1006:$BM$1006,0))&gt;=100000), " ",IF(INDEX($AM$2:$BM$1001,MATCH(ROWS($AF$2:AF213),$AF$2:$AF$1001,0),MATCH(COLUMNS($AM$1006:AZ1006),$AM$1006:$BM$1006,0)), HYPERLINK("#",""), HYPERLINK(CONCATENATE("#metadata!", ADDRESS(INDEX($AH$2:$AH$1001,MATCH(ROWS($AF$2:AF213),$AF$2:$AF$1001,0),0), INDEX($AM$1004:$BM$1004,1,MATCH(COLUMNS($AM$1006:AZ1006),$AM$1006:$BM$1006,0)))),"Fix")))</f>
        <v xml:space="preserve"> </v>
      </c>
      <c r="P213" s="4" t="str">
        <f ca="1">IF(OR(INDEX($AG$2:$AG$1001,MATCH(ROWS($AF$2:AF213),$AF$2:$AF$1001,0),1)&gt;=100000,INDEX($AM$1005:$BM$1005,1,MATCH(COLUMNS($AM$1006:BA1006),$AM$1006:$BM$1006,0))&gt;=100000), " ",IF(INDEX($AM$2:$BM$1001,MATCH(ROWS($AF$2:AF213),$AF$2:$AF$1001,0),MATCH(COLUMNS($AM$1006:BA1006),$AM$1006:$BM$1006,0)), HYPERLINK("#",""), HYPERLINK(CONCATENATE("#metadata!", ADDRESS(INDEX($AH$2:$AH$1001,MATCH(ROWS($AF$2:AF213),$AF$2:$AF$1001,0),0), INDEX($AM$1004:$BM$1004,1,MATCH(COLUMNS($AM$1006:BA1006),$AM$1006:$BM$1006,0)))),"Fix")))</f>
        <v xml:space="preserve"> </v>
      </c>
      <c r="Q213" s="4" t="str">
        <f ca="1">IF(OR(INDEX($AG$2:$AG$1001,MATCH(ROWS($AF$2:AF213),$AF$2:$AF$1001,0),1)&gt;=100000,INDEX($AM$1005:$BM$1005,1,MATCH(COLUMNS($AM$1006:BB1006),$AM$1006:$BM$1006,0))&gt;=100000), " ",IF(INDEX($AM$2:$BM$1001,MATCH(ROWS($AF$2:AF213),$AF$2:$AF$1001,0),MATCH(COLUMNS($AM$1006:BB1006),$AM$1006:$BM$1006,0)), HYPERLINK("#",""), HYPERLINK(CONCATENATE("#metadata!", ADDRESS(INDEX($AH$2:$AH$1001,MATCH(ROWS($AF$2:AF213),$AF$2:$AF$1001,0),0), INDEX($AM$1004:$BM$1004,1,MATCH(COLUMNS($AM$1006:BB1006),$AM$1006:$BM$1006,0)))),"Fix")))</f>
        <v xml:space="preserve"> </v>
      </c>
      <c r="R213" s="4" t="str">
        <f ca="1">IF(OR(INDEX($AG$2:$AG$1001,MATCH(ROWS($AF$2:AF213),$AF$2:$AF$1001,0),1)&gt;=100000,INDEX($AM$1005:$BM$1005,1,MATCH(COLUMNS($AM$1006:BC1006),$AM$1006:$BM$1006,0))&gt;=100000), " ",IF(INDEX($AM$2:$BM$1001,MATCH(ROWS($AF$2:AF213),$AF$2:$AF$1001,0),MATCH(COLUMNS($AM$1006:BC1006),$AM$1006:$BM$1006,0)), HYPERLINK("#",""), HYPERLINK(CONCATENATE("#metadata!", ADDRESS(INDEX($AH$2:$AH$1001,MATCH(ROWS($AF$2:AF213),$AF$2:$AF$1001,0),0), INDEX($AM$1004:$BM$1004,1,MATCH(COLUMNS($AM$1006:BC1006),$AM$1006:$BM$1006,0)))),"Fix")))</f>
        <v xml:space="preserve"> </v>
      </c>
      <c r="S213" s="4" t="str">
        <f ca="1">IF(OR(INDEX($AG$2:$AG$1001,MATCH(ROWS($AF$2:AF213),$AF$2:$AF$1001,0),1)&gt;=100000,INDEX($AM$1005:$BM$1005,1,MATCH(COLUMNS($AM$1006:BD1006),$AM$1006:$BM$1006,0))&gt;=100000), " ",IF(INDEX($AM$2:$BM$1001,MATCH(ROWS($AF$2:AF213),$AF$2:$AF$1001,0),MATCH(COLUMNS($AM$1006:BD1006),$AM$1006:$BM$1006,0)), HYPERLINK("#",""), HYPERLINK(CONCATENATE("#metadata!", ADDRESS(INDEX($AH$2:$AH$1001,MATCH(ROWS($AF$2:AF213),$AF$2:$AF$1001,0),0), INDEX($AM$1004:$BM$1004,1,MATCH(COLUMNS($AM$1006:BD1006),$AM$1006:$BM$1006,0)))),"Fix")))</f>
        <v xml:space="preserve"> </v>
      </c>
      <c r="T213" s="4" t="str">
        <f ca="1">IF(OR(INDEX($AG$2:$AG$1001,MATCH(ROWS($AF$2:AF213),$AF$2:$AF$1001,0),1)&gt;=100000,INDEX($AM$1005:$BM$1005,1,MATCH(COLUMNS($AM$1006:BE1006),$AM$1006:$BM$1006,0))&gt;=100000), " ",IF(INDEX($AM$2:$BM$1001,MATCH(ROWS($AF$2:AF213),$AF$2:$AF$1001,0),MATCH(COLUMNS($AM$1006:BE1006),$AM$1006:$BM$1006,0)), HYPERLINK("#",""), HYPERLINK(CONCATENATE("#metadata!", ADDRESS(INDEX($AH$2:$AH$1001,MATCH(ROWS($AF$2:AF213),$AF$2:$AF$1001,0),0), INDEX($AM$1004:$BM$1004,1,MATCH(COLUMNS($AM$1006:BE1006),$AM$1006:$BM$1006,0)))),"Fix")))</f>
        <v xml:space="preserve"> </v>
      </c>
      <c r="U213" s="4" t="str">
        <f ca="1">IF(OR(INDEX($AG$2:$AG$1001,MATCH(ROWS($AF$2:AF213),$AF$2:$AF$1001,0),1)&gt;=100000,INDEX($AM$1005:$BM$1005,1,MATCH(COLUMNS($AM$1006:BF1006),$AM$1006:$BM$1006,0))&gt;=100000), " ",IF(INDEX($AM$2:$BM$1001,MATCH(ROWS($AF$2:AF213),$AF$2:$AF$1001,0),MATCH(COLUMNS($AM$1006:BF1006),$AM$1006:$BM$1006,0)), HYPERLINK("#",""), HYPERLINK(CONCATENATE("#metadata!", ADDRESS(INDEX($AH$2:$AH$1001,MATCH(ROWS($AF$2:AF213),$AF$2:$AF$1001,0),0), INDEX($AM$1004:$BM$1004,1,MATCH(COLUMNS($AM$1006:BF1006),$AM$1006:$BM$1006,0)))),"Fix")))</f>
        <v xml:space="preserve"> </v>
      </c>
      <c r="V213" s="4" t="str">
        <f ca="1">IF(OR(INDEX($AG$2:$AG$1001,MATCH(ROWS($AF$2:AF213),$AF$2:$AF$1001,0),1)&gt;=100000,INDEX($AM$1005:$BM$1005,1,MATCH(COLUMNS($AM$1006:BG1006),$AM$1006:$BM$1006,0))&gt;=100000), " ",IF(INDEX($AM$2:$BM$1001,MATCH(ROWS($AF$2:AF213),$AF$2:$AF$1001,0),MATCH(COLUMNS($AM$1006:BG1006),$AM$1006:$BM$1006,0)), HYPERLINK("#",""), HYPERLINK(CONCATENATE("#metadata!", ADDRESS(INDEX($AH$2:$AH$1001,MATCH(ROWS($AF$2:AF213),$AF$2:$AF$1001,0),0), INDEX($AM$1004:$BM$1004,1,MATCH(COLUMNS($AM$1006:BG1006),$AM$1006:$BM$1006,0)))),"Fix")))</f>
        <v xml:space="preserve"> </v>
      </c>
      <c r="W213" s="4" t="str">
        <f ca="1">IF(OR(INDEX($AG$2:$AG$1001,MATCH(ROWS($AF$2:AF213),$AF$2:$AF$1001,0),1)&gt;=100000,INDEX($AM$1005:$BM$1005,1,MATCH(COLUMNS($AM$1006:BH1006),$AM$1006:$BM$1006,0))&gt;=100000), " ",IF(INDEX($AM$2:$BM$1001,MATCH(ROWS($AF$2:AF213),$AF$2:$AF$1001,0),MATCH(COLUMNS($AM$1006:BH1006),$AM$1006:$BM$1006,0)), HYPERLINK("#",""), HYPERLINK(CONCATENATE("#metadata!", ADDRESS(INDEX($AH$2:$AH$1001,MATCH(ROWS($AF$2:AF213),$AF$2:$AF$1001,0),0), INDEX($AM$1004:$BM$1004,1,MATCH(COLUMNS($AM$1006:BH1006),$AM$1006:$BM$1006,0)))),"Fix")))</f>
        <v xml:space="preserve"> </v>
      </c>
      <c r="X213" s="4" t="str">
        <f ca="1">IF(OR(INDEX($AG$2:$AG$1001,MATCH(ROWS($AF$2:AF213),$AF$2:$AF$1001,0),1)&gt;=100000,INDEX($AM$1005:$BM$1005,1,MATCH(COLUMNS($AM$1006:BI1006),$AM$1006:$BM$1006,0))&gt;=100000), " ",IF(INDEX($AM$2:$BM$1001,MATCH(ROWS($AF$2:AF213),$AF$2:$AF$1001,0),MATCH(COLUMNS($AM$1006:BI1006),$AM$1006:$BM$1006,0)), HYPERLINK("#",""), HYPERLINK(CONCATENATE("#metadata!", ADDRESS(INDEX($AH$2:$AH$1001,MATCH(ROWS($AF$2:AF213),$AF$2:$AF$1001,0),0), INDEX($AM$1004:$BM$1004,1,MATCH(COLUMNS($AM$1006:BI1006),$AM$1006:$BM$1006,0)))),"Fix")))</f>
        <v xml:space="preserve"> </v>
      </c>
      <c r="Y213" s="4" t="str">
        <f ca="1">IF(OR(INDEX($AG$2:$AG$1001,MATCH(ROWS($AF$2:AF213),$AF$2:$AF$1001,0),1)&gt;=100000,INDEX($AM$1005:$BM$1005,1,MATCH(COLUMNS($AM$1006:BJ1006),$AM$1006:$BM$1006,0))&gt;=100000), " ",IF(INDEX($AM$2:$BM$1001,MATCH(ROWS($AF$2:AF213),$AF$2:$AF$1001,0),MATCH(COLUMNS($AM$1006:BJ1006),$AM$1006:$BM$1006,0)), HYPERLINK("#",""), HYPERLINK(CONCATENATE("#metadata!", ADDRESS(INDEX($AH$2:$AH$1001,MATCH(ROWS($AF$2:AF213),$AF$2:$AF$1001,0),0), INDEX($AM$1004:$BM$1004,1,MATCH(COLUMNS($AM$1006:BJ1006),$AM$1006:$BM$1006,0)))),"Fix")))</f>
        <v xml:space="preserve"> </v>
      </c>
      <c r="Z213" s="4" t="str">
        <f ca="1">IF(OR(INDEX($AG$2:$AG$1001,MATCH(ROWS($AF$2:AF213),$AF$2:$AF$1001,0),1)&gt;=100000,INDEX($AM$1005:$BM$1005,1,MATCH(COLUMNS($AM$1006:BK1006),$AM$1006:$BM$1006,0))&gt;=100000), " ",IF(INDEX($AM$2:$BM$1001,MATCH(ROWS($AF$2:AF213),$AF$2:$AF$1001,0),MATCH(COLUMNS($AM$1006:BK1006),$AM$1006:$BM$1006,0)), HYPERLINK("#",""), HYPERLINK(CONCATENATE("#metadata!", ADDRESS(INDEX($AH$2:$AH$1001,MATCH(ROWS($AF$2:AF213),$AF$2:$AF$1001,0),0), INDEX($AM$1004:$BM$1004,1,MATCH(COLUMNS($AM$1006:BK1006),$AM$1006:$BM$1006,0)))),"Fix")))</f>
        <v xml:space="preserve"> </v>
      </c>
      <c r="AA213" s="4" t="str">
        <f ca="1">IF(OR(INDEX($AG$2:$AG$1001,MATCH(ROWS($AF$2:AF213),$AF$2:$AF$1001,0),1)&gt;=100000,INDEX($AM$1005:$BM$1005,1,MATCH(COLUMNS($AM$1006:BL1006),$AM$1006:$BM$1006,0))&gt;=100000), " ",IF(INDEX($AM$2:$BM$1001,MATCH(ROWS($AF$2:AF213),$AF$2:$AF$1001,0),MATCH(COLUMNS($AM$1006:BL1006),$AM$1006:$BM$1006,0)), HYPERLINK("#",""), HYPERLINK(CONCATENATE("#metadata!", ADDRESS(INDEX($AH$2:$AH$1001,MATCH(ROWS($AF$2:AF213),$AF$2:$AF$1001,0),0), INDEX($AM$1004:$BM$1004,1,MATCH(COLUMNS($AM$1006:BL1006),$AM$1006:$BM$1006,0)))),"Fix")))</f>
        <v xml:space="preserve"> </v>
      </c>
      <c r="AB213" s="4" t="str">
        <f ca="1">IF(OR(INDEX($AG$2:$AG$1001,MATCH(ROWS($AF$2:AF213),$AF$2:$AF$1001,0),1)&gt;=100000,INDEX($AM$1005:$BM$1005,1,MATCH(COLUMNS($AM$1006:BM1006),$AM$1006:$BM$1006,0))&gt;=100000), " ",IF(INDEX($AM$2:$BM$1001,MATCH(ROWS($AF$2:AF213),$AF$2:$AF$1001,0),MATCH(COLUMNS($AM$1006:BM1006),$AM$1006:$BM$1006,0)), HYPERLINK("#",""), HYPERLINK(CONCATENATE("#metadata!", ADDRESS(INDEX($AH$2:$AH$1001,MATCH(ROWS($AF$2:AF213),$AF$2:$AF$1001,0),0), INDEX($AM$1004:$BM$1004,1,MATCH(COLUMNS($AM$1006:BM1006),$AM$1006:$BM$1006,0)))),"Fix")))</f>
        <v xml:space="preserve"> </v>
      </c>
      <c r="AF213">
        <v>212</v>
      </c>
      <c r="AG213">
        <v>100213</v>
      </c>
      <c r="AH213">
        <v>213</v>
      </c>
      <c r="AI213" t="b">
        <f t="shared" si="3"/>
        <v>1</v>
      </c>
      <c r="AJ213" t="b">
        <f>COUNTBLANK(metadata!B213:AB213)=COLUMNS(metadata!B213:AB213)</f>
        <v>1</v>
      </c>
      <c r="AK213" t="str">
        <v/>
      </c>
      <c r="AM213" t="b">
        <f ca="1">AND(IF(metadata!B213="",FALSE,TRUE),COUNTIF(metadata!B:B, metadata!B213) = 1,NOT(ISERROR(SUMPRODUCT(SEARCH(MID(metadata!B213,ROW(INDIRECT("1:"&amp;LEN(metadata!B213))), 1),"0123456789abcdefghijklmnopqrstuvwxyzABCDEFGHIJKLMNOPQRSTUVWXYZ.")))))</f>
        <v>0</v>
      </c>
      <c r="AN213" t="b">
        <f ca="1">OR(AND(IF(metadata!C213="",FALSE,TRUE),OR(EXACT(metadata!C213,"missing: not collected"),EXACT(metadata!C213,"missing: not provided"),EXACT(metadata!C213,"missing: restricted access"))),AND(IF(metadata!C213="",FALSE,TRUE),AND(AND(IFERROR(INT(LEFT(metadata!C213,4))&gt;1900,FALSE),IFERROR(INT(LEFT(metadata!C213,4))&lt;=YEAR(NOW()),FALSE)), OR(MID(metadata!C213,5,1)="", AND(AND(MID(metadata!C213,5,1)="-",IFERROR(INT(MID(metadata!C213,6,1))&gt;=0,FALSE),IFERROR(INT(MID(metadata!C213,6,1))&lt;=1,FALSE),NOT(MID(metadata!C213,7,1)=""),IFERROR(INT(MID(metadata!C213,6,2))&gt;=1,FALSE),IFERROR(INT(MID(metadata!C213,6,2))&lt;=12,FALSE)), OR(MID(metadata!C213,8,1)="", AND(AND(MID(metadata!C213,8,1)="-",IFERROR(INT(MID(metadata!C213,9,1))&gt;=0,FALSE),IFERROR(INT(MID(metadata!C213,9,1))&lt;=3,FALSE),NOT(MID(metadata!C213,10,1)=""),IFERROR(INT(MID(metadata!C213,9,2))&gt;=1,FALSE),IFERROR(INT(MID(metadata!C213,9,2))&lt;=31,FALSE)), OR(MID(metadata!C213,11,1)="", AND(AND(MID(metadata!C213,11,1)=" ",IFERROR(INT(MID(metadata!C213,12,1))&gt;=0,FALSE),IFERROR(INT(MID(metadata!C213,12,1))&lt;=2,FALSE),NOT(MID(metadata!C213,13,1)=""),IFERROR(INT(MID(metadata!C213,12,2))&gt;=0,FALSE),IFERROR(INT(MID(metadata!C213,12,2))&lt;=23,FALSE)), OR(MID(metadata!C213,14,1)="", AND(AND(MID(metadata!C213,14,1)=":",IFERROR(INT(MID(metadata!C213,15,1))&gt;=0,FALSE),IFERROR(INT(MID(metadata!C213,15,1))&lt;=5,FALSE),NOT(MID(metadata!C213,16,1)=""),IFERROR(INT(MID(metadata!C213,15,2))&gt;=0,FALSE),IFERROR(INT(MID(metadata!C213,15,2))&lt;=59,FALSE)), OR(MID(metadata!C213,17,1)="", AND(AND(MID(metadata!C213,17,1)=":",IFERROR(INT(MID(metadata!C213,18,1))&gt;=0,FALSE),IFERROR(INT(MID(metadata!C213,18,1))&lt;=5,FALSE),NOT(MID(metadata!C213,19,1)=""),IFERROR(INT(MID(metadata!C213,18,2))&gt;=0,FALSE),IFERROR(INT(MID(metadata!C213,18,2))&lt;=59,FALSE)), LEN(metadata!C213)&lt;=19)))))))))))))</f>
        <v>0</v>
      </c>
      <c r="AO213" t="b">
        <f>AND(IF(metadata!D213="",FALSE,TRUE),EXACT(metadata!D213,"Not applicable"))</f>
        <v>0</v>
      </c>
      <c r="AP213" t="b">
        <f>IF(metadata!E213="",FALSE,TRUE)</f>
        <v>0</v>
      </c>
      <c r="AQ213" t="b">
        <f>OR(AND(IF(metadata!F213="",FALSE,TRUE),OR(EXACT(metadata!F213,"missing: not collected"),EXACT(metadata!F213,"missing: not provided"))),AND(IF(metadata!F213="",FALSE,TRUE),OR(EXACT(metadata!F213,"TRUE"),EXACT(metadata!F213,"FALSE"))))</f>
        <v>0</v>
      </c>
      <c r="AR213" t="b">
        <f>OR(AND(IF(metadata!G213="",FALSE,TRUE),OR(EXACT(metadata!G213,"missing: not collected"),EXACT(metadata!G213,"missing: not provided"),EXACT(metadata!G213,"missing: restricted access"))),AND(IF(metadata!G213="",FALSE,ISNUMBER(VALUE(metadata!G213))),metadata!G213&gt;=-413))</f>
        <v>0</v>
      </c>
      <c r="AS213" t="b">
        <f>AND(IF(metadata!H213="",FALSE,TRUE),EXACT(metadata!H213,"meters"))</f>
        <v>0</v>
      </c>
      <c r="AT213" t="b">
        <f>AND(IF(metadata!I213="",FALSE,TRUE),OR(EXACT(metadata!I213,"Host-associated"),EXACT(metadata!I213,"Free-living")))</f>
        <v>0</v>
      </c>
      <c r="AU213" t="b">
        <f>AND(IF(metadata!J213="",FALSE,TRUE),OR(EXACT(metadata!J213,"Animal"),EXACT(metadata!J213,"Fungus"),EXACT(metadata!J213,"Plant"),EXACT(metadata!J213,"Saline"),EXACT(metadata!J213,"Non-saline")))</f>
        <v>0</v>
      </c>
      <c r="AV213" t="b">
        <f>AND(IF(metadata!K213="",FALSE,TRUE),OR(EXACT(metadata!K213,"Plant secretion"),EXACT(metadata!K213,"Plant rhizosphere"),EXACT(metadata!K213,"Plant surface"),EXACT(metadata!K213,"Plant corpus"),EXACT(metadata!K213,"Fungus surface"),EXACT(metadata!K213,"Fungus corpus"),EXACT(metadata!K213,"Animal surface"),EXACT(metadata!K213,"Animal proximal gut"),EXACT(metadata!K213,"Animal corpus"),EXACT(metadata!K213,"Animal distal gut"),EXACT(metadata!K213,"Animal secretion"),EXACT(metadata!K213,"Sub-surface (non-saline)"),EXACT(metadata!K213,"Surface (non-saline)"),EXACT(metadata!K213,"Water (non-saline)"),EXACT(metadata!K213,"Soil (non-saline)"),EXACT(metadata!K213,"Aerosol (non-saline)"),EXACT(metadata!K213,"Sediment (non-saline)"),EXACT(metadata!K213,"Surface (saline)"),EXACT(metadata!K213,"Water (saline)"),EXACT(metadata!K213,"Hypersaline (saline)"),EXACT(metadata!K213,"Aerosol (saline)"),EXACT(metadata!K213,"Sediment (saline)")))</f>
        <v>0</v>
      </c>
      <c r="AW213" t="b">
        <f>IF(metadata!L213="",FALSE,TRUE)</f>
        <v>0</v>
      </c>
      <c r="AX213" t="b">
        <f>IF(metadata!M213="",FALSE,TRUE)</f>
        <v>0</v>
      </c>
      <c r="AY213" t="b">
        <f>IF(metadata!N213="",FALSE,TRUE)</f>
        <v>0</v>
      </c>
      <c r="AZ213" t="b">
        <f>OR(AND(IF(metadata!O213="",FALSE,TRUE),OR(EXACT(metadata!O213,"missing: not collected"),EXACT(metadata!O213,"missing: not provided"),EXACT(metadata!O213,"missing: restricted access"))),AND(IF(metadata!O213="",FALSE,TRUE),OR(EXACT(metadata!O213,"air"),EXACT(metadata!O213,"built environment"),EXACT(metadata!O213,"host-associated"),EXACT(metadata!O213,"human-associated"),EXACT(metadata!O213,"human-skin"),EXACT(metadata!O213,"human-oral"),EXACT(metadata!O213,"human-gut"),EXACT(metadata!O213,"human-vaginal"),EXACT(metadata!O213,"microbial mat/biofilm"),EXACT(metadata!O213,"misc environment"),EXACT(metadata!O213,"plant-associated"),EXACT(metadata!O213,"sediment"),EXACT(metadata!O213,"soil"),EXACT(metadata!O213,"wastewater/sludge"),EXACT(metadata!O213,"water"))))</f>
        <v>0</v>
      </c>
      <c r="BA213" t="b">
        <f>IF(metadata!P213="",FALSE,TRUE)</f>
        <v>0</v>
      </c>
      <c r="BB213" t="b">
        <f>IF(metadata!Q213="",FALSE,TRUE)</f>
        <v>0</v>
      </c>
      <c r="BC213" t="b">
        <f>OR(AND(IF(metadata!R213="",FALSE,TRUE),OR(EXACT(metadata!R213,"missing: not collected"),EXACT(metadata!R213,"missing: not provided"),EXACT(metadata!R213,"missing: restricted access"))),AND(IF(metadata!R213="",FALSE,ISNUMBER(VALUE(metadata!R213))),metadata!R213&gt;=-90,metadata!R213&lt;=90))</f>
        <v>0</v>
      </c>
      <c r="BD213" t="b">
        <f>AND(IF(metadata!S213="",FALSE,TRUE),EXACT(metadata!S213,"Decimal degrees"))</f>
        <v>0</v>
      </c>
      <c r="BE213" t="b">
        <f>OR(AND(IF(metadata!T213="",FALSE,TRUE),OR(EXACT(metadata!T213,"missing: not collected"),EXACT(metadata!T213,"missing: not provided"),EXACT(metadata!T213,"missing: restricted access"))),AND(IF(metadata!T213="",FALSE,ISNUMBER(VALUE(metadata!T213))),metadata!T213&gt;=-180,metadata!T213&lt;=180))</f>
        <v>0</v>
      </c>
      <c r="BF213" t="b">
        <f>AND(IF(metadata!U213="",FALSE,TRUE),EXACT(metadata!U213,"Decimal degrees"))</f>
        <v>0</v>
      </c>
      <c r="BG213" t="b">
        <f>IF(metadata!V213="",FALSE,TRUE)</f>
        <v>0</v>
      </c>
      <c r="BH213" t="b">
        <f>OR(AND(IF(metadata!W213="",FALSE,TRUE),OR(EXACT(metadata!W213,"missing: not collected"),EXACT(metadata!W213,"missing: not provided"),EXACT(metadata!W213,"missing: restricted access"))),AND(IF(metadata!W213="",FALSE,TRUE),OR(EXACT(metadata!W213,"TRUE"),EXACT(metadata!W213,"FALSE"))))</f>
        <v>0</v>
      </c>
      <c r="BI213" t="b">
        <f>AND(IF(metadata!X213="",FALSE,TRUE),EXACT(metadata!X213,"other"))</f>
        <v>0</v>
      </c>
      <c r="BJ213" t="b">
        <f>IF(metadata!Y213="",FALSE,TRUE)</f>
        <v>0</v>
      </c>
      <c r="BK213" t="b">
        <f>OR(AND(IF(metadata!Z213="",FALSE,TRUE),OR(EXACT(metadata!Z213,"missing: not collected"),EXACT(metadata!Z213,"missing: not provided"))),AND(IF(metadata!Z213="",FALSE,IF(ISERROR(INT(metadata!Z213)),FALSE,INT(metadata!Z213)=metadata!Z213)),metadata!Z213&gt;0))</f>
        <v>0</v>
      </c>
      <c r="BL213" t="b">
        <f>AND(IF(metadata!AA213="",FALSE,TRUE),EXACT(metadata!AA213,"Not applicable"))</f>
        <v>0</v>
      </c>
      <c r="BM213" t="b">
        <f>IF(metadata!AB213="",FALSE,TRUE)</f>
        <v>0</v>
      </c>
    </row>
    <row r="214" spans="1:65" x14ac:dyDescent="0.2">
      <c r="A214" s="5" t="str">
        <f ca="1">IF(B214=" "," ",HYPERLINK(CONCATENATE("#metadata!",ADDRESS(INDEX($AH$2:$AH$1001,MATCH(ROWS($AF$2:AF214),$AF$2:$AF$1001,0),0),1)),INDEX($AK$2:$AK$1001,MATCH(ROWS($AF$2:AF214),$AF$2:$AF$1001,0),0)))</f>
        <v xml:space="preserve"> </v>
      </c>
      <c r="B214" s="4" t="str">
        <f ca="1">IF(OR(INDEX($AG$2:$AG$1001,MATCH(ROWS($AF$2:AF214),$AF$2:$AF$1001,0),1)&gt;=100000,INDEX($AM$1005:$BM$1005,1,MATCH(COLUMNS($AM$1006:AM1006),$AM$1006:$BM$1006,0))&gt;=100000), " ",IF(INDEX($AM$2:$BM$1001,MATCH(ROWS($AF$2:AF214),$AF$2:$AF$1001,0),MATCH(COLUMNS($AM$1006:AM1006),$AM$1006:$BM$1006,0)), HYPERLINK("#",""), HYPERLINK(CONCATENATE("#metadata!", ADDRESS(INDEX($AH$2:$AH$1001,MATCH(ROWS($AF$2:AF214),$AF$2:$AF$1001,0),0), INDEX($AM$1004:$BM$1004,1,MATCH(COLUMNS($AM$1006:AM1006),$AM$1006:$BM$1006,0)))),"Fix")))</f>
        <v xml:space="preserve"> </v>
      </c>
      <c r="C214" s="4" t="str">
        <f ca="1">IF(OR(INDEX($AG$2:$AG$1001,MATCH(ROWS($AF$2:AF214),$AF$2:$AF$1001,0),1)&gt;=100000,INDEX($AM$1005:$BM$1005,1,MATCH(COLUMNS($AM$1006:AN1006),$AM$1006:$BM$1006,0))&gt;=100000), " ",IF(INDEX($AM$2:$BM$1001,MATCH(ROWS($AF$2:AF214),$AF$2:$AF$1001,0),MATCH(COLUMNS($AM$1006:AN1006),$AM$1006:$BM$1006,0)), HYPERLINK("#",""), HYPERLINK(CONCATENATE("#metadata!", ADDRESS(INDEX($AH$2:$AH$1001,MATCH(ROWS($AF$2:AF214),$AF$2:$AF$1001,0),0), INDEX($AM$1004:$BM$1004,1,MATCH(COLUMNS($AM$1006:AN1006),$AM$1006:$BM$1006,0)))),"Fix")))</f>
        <v xml:space="preserve"> </v>
      </c>
      <c r="D214" s="4" t="str">
        <f ca="1">IF(OR(INDEX($AG$2:$AG$1001,MATCH(ROWS($AF$2:AF214),$AF$2:$AF$1001,0),1)&gt;=100000,INDEX($AM$1005:$BM$1005,1,MATCH(COLUMNS($AM$1006:AO1006),$AM$1006:$BM$1006,0))&gt;=100000), " ",IF(INDEX($AM$2:$BM$1001,MATCH(ROWS($AF$2:AF214),$AF$2:$AF$1001,0),MATCH(COLUMNS($AM$1006:AO1006),$AM$1006:$BM$1006,0)), HYPERLINK("#",""), HYPERLINK(CONCATENATE("#metadata!", ADDRESS(INDEX($AH$2:$AH$1001,MATCH(ROWS($AF$2:AF214),$AF$2:$AF$1001,0),0), INDEX($AM$1004:$BM$1004,1,MATCH(COLUMNS($AM$1006:AO1006),$AM$1006:$BM$1006,0)))),"Fix")))</f>
        <v xml:space="preserve"> </v>
      </c>
      <c r="E214" s="4" t="str">
        <f ca="1">IF(OR(INDEX($AG$2:$AG$1001,MATCH(ROWS($AF$2:AF214),$AF$2:$AF$1001,0),1)&gt;=100000,INDEX($AM$1005:$BM$1005,1,MATCH(COLUMNS($AM$1006:AP1006),$AM$1006:$BM$1006,0))&gt;=100000), " ",IF(INDEX($AM$2:$BM$1001,MATCH(ROWS($AF$2:AF214),$AF$2:$AF$1001,0),MATCH(COLUMNS($AM$1006:AP1006),$AM$1006:$BM$1006,0)), HYPERLINK("#",""), HYPERLINK(CONCATENATE("#metadata!", ADDRESS(INDEX($AH$2:$AH$1001,MATCH(ROWS($AF$2:AF214),$AF$2:$AF$1001,0),0), INDEX($AM$1004:$BM$1004,1,MATCH(COLUMNS($AM$1006:AP1006),$AM$1006:$BM$1006,0)))),"Fix")))</f>
        <v xml:space="preserve"> </v>
      </c>
      <c r="F214" s="4" t="str">
        <f ca="1">IF(OR(INDEX($AG$2:$AG$1001,MATCH(ROWS($AF$2:AF214),$AF$2:$AF$1001,0),1)&gt;=100000,INDEX($AM$1005:$BM$1005,1,MATCH(COLUMNS($AM$1006:AQ1006),$AM$1006:$BM$1006,0))&gt;=100000), " ",IF(INDEX($AM$2:$BM$1001,MATCH(ROWS($AF$2:AF214),$AF$2:$AF$1001,0),MATCH(COLUMNS($AM$1006:AQ1006),$AM$1006:$BM$1006,0)), HYPERLINK("#",""), HYPERLINK(CONCATENATE("#metadata!", ADDRESS(INDEX($AH$2:$AH$1001,MATCH(ROWS($AF$2:AF214),$AF$2:$AF$1001,0),0), INDEX($AM$1004:$BM$1004,1,MATCH(COLUMNS($AM$1006:AQ1006),$AM$1006:$BM$1006,0)))),"Fix")))</f>
        <v xml:space="preserve"> </v>
      </c>
      <c r="G214" s="4" t="str">
        <f ca="1">IF(OR(INDEX($AG$2:$AG$1001,MATCH(ROWS($AF$2:AF214),$AF$2:$AF$1001,0),1)&gt;=100000,INDEX($AM$1005:$BM$1005,1,MATCH(COLUMNS($AM$1006:AR1006),$AM$1006:$BM$1006,0))&gt;=100000), " ",IF(INDEX($AM$2:$BM$1001,MATCH(ROWS($AF$2:AF214),$AF$2:$AF$1001,0),MATCH(COLUMNS($AM$1006:AR1006),$AM$1006:$BM$1006,0)), HYPERLINK("#",""), HYPERLINK(CONCATENATE("#metadata!", ADDRESS(INDEX($AH$2:$AH$1001,MATCH(ROWS($AF$2:AF214),$AF$2:$AF$1001,0),0), INDEX($AM$1004:$BM$1004,1,MATCH(COLUMNS($AM$1006:AR1006),$AM$1006:$BM$1006,0)))),"Fix")))</f>
        <v xml:space="preserve"> </v>
      </c>
      <c r="H214" s="4" t="str">
        <f ca="1">IF(OR(INDEX($AG$2:$AG$1001,MATCH(ROWS($AF$2:AF214),$AF$2:$AF$1001,0),1)&gt;=100000,INDEX($AM$1005:$BM$1005,1,MATCH(COLUMNS($AM$1006:AS1006),$AM$1006:$BM$1006,0))&gt;=100000), " ",IF(INDEX($AM$2:$BM$1001,MATCH(ROWS($AF$2:AF214),$AF$2:$AF$1001,0),MATCH(COLUMNS($AM$1006:AS1006),$AM$1006:$BM$1006,0)), HYPERLINK("#",""), HYPERLINK(CONCATENATE("#metadata!", ADDRESS(INDEX($AH$2:$AH$1001,MATCH(ROWS($AF$2:AF214),$AF$2:$AF$1001,0),0), INDEX($AM$1004:$BM$1004,1,MATCH(COLUMNS($AM$1006:AS1006),$AM$1006:$BM$1006,0)))),"Fix")))</f>
        <v xml:space="preserve"> </v>
      </c>
      <c r="I214" s="4" t="str">
        <f ca="1">IF(OR(INDEX($AG$2:$AG$1001,MATCH(ROWS($AF$2:AF214),$AF$2:$AF$1001,0),1)&gt;=100000,INDEX($AM$1005:$BM$1005,1,MATCH(COLUMNS($AM$1006:AT1006),$AM$1006:$BM$1006,0))&gt;=100000), " ",IF(INDEX($AM$2:$BM$1001,MATCH(ROWS($AF$2:AF214),$AF$2:$AF$1001,0),MATCH(COLUMNS($AM$1006:AT1006),$AM$1006:$BM$1006,0)), HYPERLINK("#",""), HYPERLINK(CONCATENATE("#metadata!", ADDRESS(INDEX($AH$2:$AH$1001,MATCH(ROWS($AF$2:AF214),$AF$2:$AF$1001,0),0), INDEX($AM$1004:$BM$1004,1,MATCH(COLUMNS($AM$1006:AT1006),$AM$1006:$BM$1006,0)))),"Fix")))</f>
        <v xml:space="preserve"> </v>
      </c>
      <c r="J214" s="4" t="str">
        <f ca="1">IF(OR(INDEX($AG$2:$AG$1001,MATCH(ROWS($AF$2:AF214),$AF$2:$AF$1001,0),1)&gt;=100000,INDEX($AM$1005:$BM$1005,1,MATCH(COLUMNS($AM$1006:AU1006),$AM$1006:$BM$1006,0))&gt;=100000), " ",IF(INDEX($AM$2:$BM$1001,MATCH(ROWS($AF$2:AF214),$AF$2:$AF$1001,0),MATCH(COLUMNS($AM$1006:AU1006),$AM$1006:$BM$1006,0)), HYPERLINK("#",""), HYPERLINK(CONCATENATE("#metadata!", ADDRESS(INDEX($AH$2:$AH$1001,MATCH(ROWS($AF$2:AF214),$AF$2:$AF$1001,0),0), INDEX($AM$1004:$BM$1004,1,MATCH(COLUMNS($AM$1006:AU1006),$AM$1006:$BM$1006,0)))),"Fix")))</f>
        <v xml:space="preserve"> </v>
      </c>
      <c r="K214" s="4" t="str">
        <f ca="1">IF(OR(INDEX($AG$2:$AG$1001,MATCH(ROWS($AF$2:AF214),$AF$2:$AF$1001,0),1)&gt;=100000,INDEX($AM$1005:$BM$1005,1,MATCH(COLUMNS($AM$1006:AV1006),$AM$1006:$BM$1006,0))&gt;=100000), " ",IF(INDEX($AM$2:$BM$1001,MATCH(ROWS($AF$2:AF214),$AF$2:$AF$1001,0),MATCH(COLUMNS($AM$1006:AV1006),$AM$1006:$BM$1006,0)), HYPERLINK("#",""), HYPERLINK(CONCATENATE("#metadata!", ADDRESS(INDEX($AH$2:$AH$1001,MATCH(ROWS($AF$2:AF214),$AF$2:$AF$1001,0),0), INDEX($AM$1004:$BM$1004,1,MATCH(COLUMNS($AM$1006:AV1006),$AM$1006:$BM$1006,0)))),"Fix")))</f>
        <v xml:space="preserve"> </v>
      </c>
      <c r="L214" s="4" t="str">
        <f ca="1">IF(OR(INDEX($AG$2:$AG$1001,MATCH(ROWS($AF$2:AF214),$AF$2:$AF$1001,0),1)&gt;=100000,INDEX($AM$1005:$BM$1005,1,MATCH(COLUMNS($AM$1006:AW1006),$AM$1006:$BM$1006,0))&gt;=100000), " ",IF(INDEX($AM$2:$BM$1001,MATCH(ROWS($AF$2:AF214),$AF$2:$AF$1001,0),MATCH(COLUMNS($AM$1006:AW1006),$AM$1006:$BM$1006,0)), HYPERLINK("#",""), HYPERLINK(CONCATENATE("#metadata!", ADDRESS(INDEX($AH$2:$AH$1001,MATCH(ROWS($AF$2:AF214),$AF$2:$AF$1001,0),0), INDEX($AM$1004:$BM$1004,1,MATCH(COLUMNS($AM$1006:AW1006),$AM$1006:$BM$1006,0)))),"Fix")))</f>
        <v xml:space="preserve"> </v>
      </c>
      <c r="M214" s="4" t="str">
        <f ca="1">IF(OR(INDEX($AG$2:$AG$1001,MATCH(ROWS($AF$2:AF214),$AF$2:$AF$1001,0),1)&gt;=100000,INDEX($AM$1005:$BM$1005,1,MATCH(COLUMNS($AM$1006:AX1006),$AM$1006:$BM$1006,0))&gt;=100000), " ",IF(INDEX($AM$2:$BM$1001,MATCH(ROWS($AF$2:AF214),$AF$2:$AF$1001,0),MATCH(COLUMNS($AM$1006:AX1006),$AM$1006:$BM$1006,0)), HYPERLINK("#",""), HYPERLINK(CONCATENATE("#metadata!", ADDRESS(INDEX($AH$2:$AH$1001,MATCH(ROWS($AF$2:AF214),$AF$2:$AF$1001,0),0), INDEX($AM$1004:$BM$1004,1,MATCH(COLUMNS($AM$1006:AX1006),$AM$1006:$BM$1006,0)))),"Fix")))</f>
        <v xml:space="preserve"> </v>
      </c>
      <c r="N214" s="4" t="str">
        <f ca="1">IF(OR(INDEX($AG$2:$AG$1001,MATCH(ROWS($AF$2:AF214),$AF$2:$AF$1001,0),1)&gt;=100000,INDEX($AM$1005:$BM$1005,1,MATCH(COLUMNS($AM$1006:AY1006),$AM$1006:$BM$1006,0))&gt;=100000), " ",IF(INDEX($AM$2:$BM$1001,MATCH(ROWS($AF$2:AF214),$AF$2:$AF$1001,0),MATCH(COLUMNS($AM$1006:AY1006),$AM$1006:$BM$1006,0)), HYPERLINK("#",""), HYPERLINK(CONCATENATE("#metadata!", ADDRESS(INDEX($AH$2:$AH$1001,MATCH(ROWS($AF$2:AF214),$AF$2:$AF$1001,0),0), INDEX($AM$1004:$BM$1004,1,MATCH(COLUMNS($AM$1006:AY1006),$AM$1006:$BM$1006,0)))),"Fix")))</f>
        <v xml:space="preserve"> </v>
      </c>
      <c r="O214" s="4" t="str">
        <f ca="1">IF(OR(INDEX($AG$2:$AG$1001,MATCH(ROWS($AF$2:AF214),$AF$2:$AF$1001,0),1)&gt;=100000,INDEX($AM$1005:$BM$1005,1,MATCH(COLUMNS($AM$1006:AZ1006),$AM$1006:$BM$1006,0))&gt;=100000), " ",IF(INDEX($AM$2:$BM$1001,MATCH(ROWS($AF$2:AF214),$AF$2:$AF$1001,0),MATCH(COLUMNS($AM$1006:AZ1006),$AM$1006:$BM$1006,0)), HYPERLINK("#",""), HYPERLINK(CONCATENATE("#metadata!", ADDRESS(INDEX($AH$2:$AH$1001,MATCH(ROWS($AF$2:AF214),$AF$2:$AF$1001,0),0), INDEX($AM$1004:$BM$1004,1,MATCH(COLUMNS($AM$1006:AZ1006),$AM$1006:$BM$1006,0)))),"Fix")))</f>
        <v xml:space="preserve"> </v>
      </c>
      <c r="P214" s="4" t="str">
        <f ca="1">IF(OR(INDEX($AG$2:$AG$1001,MATCH(ROWS($AF$2:AF214),$AF$2:$AF$1001,0),1)&gt;=100000,INDEX($AM$1005:$BM$1005,1,MATCH(COLUMNS($AM$1006:BA1006),$AM$1006:$BM$1006,0))&gt;=100000), " ",IF(INDEX($AM$2:$BM$1001,MATCH(ROWS($AF$2:AF214),$AF$2:$AF$1001,0),MATCH(COLUMNS($AM$1006:BA1006),$AM$1006:$BM$1006,0)), HYPERLINK("#",""), HYPERLINK(CONCATENATE("#metadata!", ADDRESS(INDEX($AH$2:$AH$1001,MATCH(ROWS($AF$2:AF214),$AF$2:$AF$1001,0),0), INDEX($AM$1004:$BM$1004,1,MATCH(COLUMNS($AM$1006:BA1006),$AM$1006:$BM$1006,0)))),"Fix")))</f>
        <v xml:space="preserve"> </v>
      </c>
      <c r="Q214" s="4" t="str">
        <f ca="1">IF(OR(INDEX($AG$2:$AG$1001,MATCH(ROWS($AF$2:AF214),$AF$2:$AF$1001,0),1)&gt;=100000,INDEX($AM$1005:$BM$1005,1,MATCH(COLUMNS($AM$1006:BB1006),$AM$1006:$BM$1006,0))&gt;=100000), " ",IF(INDEX($AM$2:$BM$1001,MATCH(ROWS($AF$2:AF214),$AF$2:$AF$1001,0),MATCH(COLUMNS($AM$1006:BB1006),$AM$1006:$BM$1006,0)), HYPERLINK("#",""), HYPERLINK(CONCATENATE("#metadata!", ADDRESS(INDEX($AH$2:$AH$1001,MATCH(ROWS($AF$2:AF214),$AF$2:$AF$1001,0),0), INDEX($AM$1004:$BM$1004,1,MATCH(COLUMNS($AM$1006:BB1006),$AM$1006:$BM$1006,0)))),"Fix")))</f>
        <v xml:space="preserve"> </v>
      </c>
      <c r="R214" s="4" t="str">
        <f ca="1">IF(OR(INDEX($AG$2:$AG$1001,MATCH(ROWS($AF$2:AF214),$AF$2:$AF$1001,0),1)&gt;=100000,INDEX($AM$1005:$BM$1005,1,MATCH(COLUMNS($AM$1006:BC1006),$AM$1006:$BM$1006,0))&gt;=100000), " ",IF(INDEX($AM$2:$BM$1001,MATCH(ROWS($AF$2:AF214),$AF$2:$AF$1001,0),MATCH(COLUMNS($AM$1006:BC1006),$AM$1006:$BM$1006,0)), HYPERLINK("#",""), HYPERLINK(CONCATENATE("#metadata!", ADDRESS(INDEX($AH$2:$AH$1001,MATCH(ROWS($AF$2:AF214),$AF$2:$AF$1001,0),0), INDEX($AM$1004:$BM$1004,1,MATCH(COLUMNS($AM$1006:BC1006),$AM$1006:$BM$1006,0)))),"Fix")))</f>
        <v xml:space="preserve"> </v>
      </c>
      <c r="S214" s="4" t="str">
        <f ca="1">IF(OR(INDEX($AG$2:$AG$1001,MATCH(ROWS($AF$2:AF214),$AF$2:$AF$1001,0),1)&gt;=100000,INDEX($AM$1005:$BM$1005,1,MATCH(COLUMNS($AM$1006:BD1006),$AM$1006:$BM$1006,0))&gt;=100000), " ",IF(INDEX($AM$2:$BM$1001,MATCH(ROWS($AF$2:AF214),$AF$2:$AF$1001,0),MATCH(COLUMNS($AM$1006:BD1006),$AM$1006:$BM$1006,0)), HYPERLINK("#",""), HYPERLINK(CONCATENATE("#metadata!", ADDRESS(INDEX($AH$2:$AH$1001,MATCH(ROWS($AF$2:AF214),$AF$2:$AF$1001,0),0), INDEX($AM$1004:$BM$1004,1,MATCH(COLUMNS($AM$1006:BD1006),$AM$1006:$BM$1006,0)))),"Fix")))</f>
        <v xml:space="preserve"> </v>
      </c>
      <c r="T214" s="4" t="str">
        <f ca="1">IF(OR(INDEX($AG$2:$AG$1001,MATCH(ROWS($AF$2:AF214),$AF$2:$AF$1001,0),1)&gt;=100000,INDEX($AM$1005:$BM$1005,1,MATCH(COLUMNS($AM$1006:BE1006),$AM$1006:$BM$1006,0))&gt;=100000), " ",IF(INDEX($AM$2:$BM$1001,MATCH(ROWS($AF$2:AF214),$AF$2:$AF$1001,0),MATCH(COLUMNS($AM$1006:BE1006),$AM$1006:$BM$1006,0)), HYPERLINK("#",""), HYPERLINK(CONCATENATE("#metadata!", ADDRESS(INDEX($AH$2:$AH$1001,MATCH(ROWS($AF$2:AF214),$AF$2:$AF$1001,0),0), INDEX($AM$1004:$BM$1004,1,MATCH(COLUMNS($AM$1006:BE1006),$AM$1006:$BM$1006,0)))),"Fix")))</f>
        <v xml:space="preserve"> </v>
      </c>
      <c r="U214" s="4" t="str">
        <f ca="1">IF(OR(INDEX($AG$2:$AG$1001,MATCH(ROWS($AF$2:AF214),$AF$2:$AF$1001,0),1)&gt;=100000,INDEX($AM$1005:$BM$1005,1,MATCH(COLUMNS($AM$1006:BF1006),$AM$1006:$BM$1006,0))&gt;=100000), " ",IF(INDEX($AM$2:$BM$1001,MATCH(ROWS($AF$2:AF214),$AF$2:$AF$1001,0),MATCH(COLUMNS($AM$1006:BF1006),$AM$1006:$BM$1006,0)), HYPERLINK("#",""), HYPERLINK(CONCATENATE("#metadata!", ADDRESS(INDEX($AH$2:$AH$1001,MATCH(ROWS($AF$2:AF214),$AF$2:$AF$1001,0),0), INDEX($AM$1004:$BM$1004,1,MATCH(COLUMNS($AM$1006:BF1006),$AM$1006:$BM$1006,0)))),"Fix")))</f>
        <v xml:space="preserve"> </v>
      </c>
      <c r="V214" s="4" t="str">
        <f ca="1">IF(OR(INDEX($AG$2:$AG$1001,MATCH(ROWS($AF$2:AF214),$AF$2:$AF$1001,0),1)&gt;=100000,INDEX($AM$1005:$BM$1005,1,MATCH(COLUMNS($AM$1006:BG1006),$AM$1006:$BM$1006,0))&gt;=100000), " ",IF(INDEX($AM$2:$BM$1001,MATCH(ROWS($AF$2:AF214),$AF$2:$AF$1001,0),MATCH(COLUMNS($AM$1006:BG1006),$AM$1006:$BM$1006,0)), HYPERLINK("#",""), HYPERLINK(CONCATENATE("#metadata!", ADDRESS(INDEX($AH$2:$AH$1001,MATCH(ROWS($AF$2:AF214),$AF$2:$AF$1001,0),0), INDEX($AM$1004:$BM$1004,1,MATCH(COLUMNS($AM$1006:BG1006),$AM$1006:$BM$1006,0)))),"Fix")))</f>
        <v xml:space="preserve"> </v>
      </c>
      <c r="W214" s="4" t="str">
        <f ca="1">IF(OR(INDEX($AG$2:$AG$1001,MATCH(ROWS($AF$2:AF214),$AF$2:$AF$1001,0),1)&gt;=100000,INDEX($AM$1005:$BM$1005,1,MATCH(COLUMNS($AM$1006:BH1006),$AM$1006:$BM$1006,0))&gt;=100000), " ",IF(INDEX($AM$2:$BM$1001,MATCH(ROWS($AF$2:AF214),$AF$2:$AF$1001,0),MATCH(COLUMNS($AM$1006:BH1006),$AM$1006:$BM$1006,0)), HYPERLINK("#",""), HYPERLINK(CONCATENATE("#metadata!", ADDRESS(INDEX($AH$2:$AH$1001,MATCH(ROWS($AF$2:AF214),$AF$2:$AF$1001,0),0), INDEX($AM$1004:$BM$1004,1,MATCH(COLUMNS($AM$1006:BH1006),$AM$1006:$BM$1006,0)))),"Fix")))</f>
        <v xml:space="preserve"> </v>
      </c>
      <c r="X214" s="4" t="str">
        <f ca="1">IF(OR(INDEX($AG$2:$AG$1001,MATCH(ROWS($AF$2:AF214),$AF$2:$AF$1001,0),1)&gt;=100000,INDEX($AM$1005:$BM$1005,1,MATCH(COLUMNS($AM$1006:BI1006),$AM$1006:$BM$1006,0))&gt;=100000), " ",IF(INDEX($AM$2:$BM$1001,MATCH(ROWS($AF$2:AF214),$AF$2:$AF$1001,0),MATCH(COLUMNS($AM$1006:BI1006),$AM$1006:$BM$1006,0)), HYPERLINK("#",""), HYPERLINK(CONCATENATE("#metadata!", ADDRESS(INDEX($AH$2:$AH$1001,MATCH(ROWS($AF$2:AF214),$AF$2:$AF$1001,0),0), INDEX($AM$1004:$BM$1004,1,MATCH(COLUMNS($AM$1006:BI1006),$AM$1006:$BM$1006,0)))),"Fix")))</f>
        <v xml:space="preserve"> </v>
      </c>
      <c r="Y214" s="4" t="str">
        <f ca="1">IF(OR(INDEX($AG$2:$AG$1001,MATCH(ROWS($AF$2:AF214),$AF$2:$AF$1001,0),1)&gt;=100000,INDEX($AM$1005:$BM$1005,1,MATCH(COLUMNS($AM$1006:BJ1006),$AM$1006:$BM$1006,0))&gt;=100000), " ",IF(INDEX($AM$2:$BM$1001,MATCH(ROWS($AF$2:AF214),$AF$2:$AF$1001,0),MATCH(COLUMNS($AM$1006:BJ1006),$AM$1006:$BM$1006,0)), HYPERLINK("#",""), HYPERLINK(CONCATENATE("#metadata!", ADDRESS(INDEX($AH$2:$AH$1001,MATCH(ROWS($AF$2:AF214),$AF$2:$AF$1001,0),0), INDEX($AM$1004:$BM$1004,1,MATCH(COLUMNS($AM$1006:BJ1006),$AM$1006:$BM$1006,0)))),"Fix")))</f>
        <v xml:space="preserve"> </v>
      </c>
      <c r="Z214" s="4" t="str">
        <f ca="1">IF(OR(INDEX($AG$2:$AG$1001,MATCH(ROWS($AF$2:AF214),$AF$2:$AF$1001,0),1)&gt;=100000,INDEX($AM$1005:$BM$1005,1,MATCH(COLUMNS($AM$1006:BK1006),$AM$1006:$BM$1006,0))&gt;=100000), " ",IF(INDEX($AM$2:$BM$1001,MATCH(ROWS($AF$2:AF214),$AF$2:$AF$1001,0),MATCH(COLUMNS($AM$1006:BK1006),$AM$1006:$BM$1006,0)), HYPERLINK("#",""), HYPERLINK(CONCATENATE("#metadata!", ADDRESS(INDEX($AH$2:$AH$1001,MATCH(ROWS($AF$2:AF214),$AF$2:$AF$1001,0),0), INDEX($AM$1004:$BM$1004,1,MATCH(COLUMNS($AM$1006:BK1006),$AM$1006:$BM$1006,0)))),"Fix")))</f>
        <v xml:space="preserve"> </v>
      </c>
      <c r="AA214" s="4" t="str">
        <f ca="1">IF(OR(INDEX($AG$2:$AG$1001,MATCH(ROWS($AF$2:AF214),$AF$2:$AF$1001,0),1)&gt;=100000,INDEX($AM$1005:$BM$1005,1,MATCH(COLUMNS($AM$1006:BL1006),$AM$1006:$BM$1006,0))&gt;=100000), " ",IF(INDEX($AM$2:$BM$1001,MATCH(ROWS($AF$2:AF214),$AF$2:$AF$1001,0),MATCH(COLUMNS($AM$1006:BL1006),$AM$1006:$BM$1006,0)), HYPERLINK("#",""), HYPERLINK(CONCATENATE("#metadata!", ADDRESS(INDEX($AH$2:$AH$1001,MATCH(ROWS($AF$2:AF214),$AF$2:$AF$1001,0),0), INDEX($AM$1004:$BM$1004,1,MATCH(COLUMNS($AM$1006:BL1006),$AM$1006:$BM$1006,0)))),"Fix")))</f>
        <v xml:space="preserve"> </v>
      </c>
      <c r="AB214" s="4" t="str">
        <f ca="1">IF(OR(INDEX($AG$2:$AG$1001,MATCH(ROWS($AF$2:AF214),$AF$2:$AF$1001,0),1)&gt;=100000,INDEX($AM$1005:$BM$1005,1,MATCH(COLUMNS($AM$1006:BM1006),$AM$1006:$BM$1006,0))&gt;=100000), " ",IF(INDEX($AM$2:$BM$1001,MATCH(ROWS($AF$2:AF214),$AF$2:$AF$1001,0),MATCH(COLUMNS($AM$1006:BM1006),$AM$1006:$BM$1006,0)), HYPERLINK("#",""), HYPERLINK(CONCATENATE("#metadata!", ADDRESS(INDEX($AH$2:$AH$1001,MATCH(ROWS($AF$2:AF214),$AF$2:$AF$1001,0),0), INDEX($AM$1004:$BM$1004,1,MATCH(COLUMNS($AM$1006:BM1006),$AM$1006:$BM$1006,0)))),"Fix")))</f>
        <v xml:space="preserve"> </v>
      </c>
      <c r="AF214">
        <v>213</v>
      </c>
      <c r="AG214">
        <v>100214</v>
      </c>
      <c r="AH214">
        <v>214</v>
      </c>
      <c r="AI214" t="b">
        <f t="shared" si="3"/>
        <v>1</v>
      </c>
      <c r="AJ214" t="b">
        <f>COUNTBLANK(metadata!B214:AB214)=COLUMNS(metadata!B214:AB214)</f>
        <v>1</v>
      </c>
      <c r="AK214" t="str">
        <v/>
      </c>
      <c r="AM214" t="b">
        <f ca="1">AND(IF(metadata!B214="",FALSE,TRUE),COUNTIF(metadata!B:B, metadata!B214) = 1,NOT(ISERROR(SUMPRODUCT(SEARCH(MID(metadata!B214,ROW(INDIRECT("1:"&amp;LEN(metadata!B214))), 1),"0123456789abcdefghijklmnopqrstuvwxyzABCDEFGHIJKLMNOPQRSTUVWXYZ.")))))</f>
        <v>0</v>
      </c>
      <c r="AN214" t="b">
        <f ca="1">OR(AND(IF(metadata!C214="",FALSE,TRUE),OR(EXACT(metadata!C214,"missing: not collected"),EXACT(metadata!C214,"missing: not provided"),EXACT(metadata!C214,"missing: restricted access"))),AND(IF(metadata!C214="",FALSE,TRUE),AND(AND(IFERROR(INT(LEFT(metadata!C214,4))&gt;1900,FALSE),IFERROR(INT(LEFT(metadata!C214,4))&lt;=YEAR(NOW()),FALSE)), OR(MID(metadata!C214,5,1)="", AND(AND(MID(metadata!C214,5,1)="-",IFERROR(INT(MID(metadata!C214,6,1))&gt;=0,FALSE),IFERROR(INT(MID(metadata!C214,6,1))&lt;=1,FALSE),NOT(MID(metadata!C214,7,1)=""),IFERROR(INT(MID(metadata!C214,6,2))&gt;=1,FALSE),IFERROR(INT(MID(metadata!C214,6,2))&lt;=12,FALSE)), OR(MID(metadata!C214,8,1)="", AND(AND(MID(metadata!C214,8,1)="-",IFERROR(INT(MID(metadata!C214,9,1))&gt;=0,FALSE),IFERROR(INT(MID(metadata!C214,9,1))&lt;=3,FALSE),NOT(MID(metadata!C214,10,1)=""),IFERROR(INT(MID(metadata!C214,9,2))&gt;=1,FALSE),IFERROR(INT(MID(metadata!C214,9,2))&lt;=31,FALSE)), OR(MID(metadata!C214,11,1)="", AND(AND(MID(metadata!C214,11,1)=" ",IFERROR(INT(MID(metadata!C214,12,1))&gt;=0,FALSE),IFERROR(INT(MID(metadata!C214,12,1))&lt;=2,FALSE),NOT(MID(metadata!C214,13,1)=""),IFERROR(INT(MID(metadata!C214,12,2))&gt;=0,FALSE),IFERROR(INT(MID(metadata!C214,12,2))&lt;=23,FALSE)), OR(MID(metadata!C214,14,1)="", AND(AND(MID(metadata!C214,14,1)=":",IFERROR(INT(MID(metadata!C214,15,1))&gt;=0,FALSE),IFERROR(INT(MID(metadata!C214,15,1))&lt;=5,FALSE),NOT(MID(metadata!C214,16,1)=""),IFERROR(INT(MID(metadata!C214,15,2))&gt;=0,FALSE),IFERROR(INT(MID(metadata!C214,15,2))&lt;=59,FALSE)), OR(MID(metadata!C214,17,1)="", AND(AND(MID(metadata!C214,17,1)=":",IFERROR(INT(MID(metadata!C214,18,1))&gt;=0,FALSE),IFERROR(INT(MID(metadata!C214,18,1))&lt;=5,FALSE),NOT(MID(metadata!C214,19,1)=""),IFERROR(INT(MID(metadata!C214,18,2))&gt;=0,FALSE),IFERROR(INT(MID(metadata!C214,18,2))&lt;=59,FALSE)), LEN(metadata!C214)&lt;=19)))))))))))))</f>
        <v>0</v>
      </c>
      <c r="AO214" t="b">
        <f>AND(IF(metadata!D214="",FALSE,TRUE),EXACT(metadata!D214,"Not applicable"))</f>
        <v>0</v>
      </c>
      <c r="AP214" t="b">
        <f>IF(metadata!E214="",FALSE,TRUE)</f>
        <v>0</v>
      </c>
      <c r="AQ214" t="b">
        <f>OR(AND(IF(metadata!F214="",FALSE,TRUE),OR(EXACT(metadata!F214,"missing: not collected"),EXACT(metadata!F214,"missing: not provided"))),AND(IF(metadata!F214="",FALSE,TRUE),OR(EXACT(metadata!F214,"TRUE"),EXACT(metadata!F214,"FALSE"))))</f>
        <v>0</v>
      </c>
      <c r="AR214" t="b">
        <f>OR(AND(IF(metadata!G214="",FALSE,TRUE),OR(EXACT(metadata!G214,"missing: not collected"),EXACT(metadata!G214,"missing: not provided"),EXACT(metadata!G214,"missing: restricted access"))),AND(IF(metadata!G214="",FALSE,ISNUMBER(VALUE(metadata!G214))),metadata!G214&gt;=-413))</f>
        <v>0</v>
      </c>
      <c r="AS214" t="b">
        <f>AND(IF(metadata!H214="",FALSE,TRUE),EXACT(metadata!H214,"meters"))</f>
        <v>0</v>
      </c>
      <c r="AT214" t="b">
        <f>AND(IF(metadata!I214="",FALSE,TRUE),OR(EXACT(metadata!I214,"Host-associated"),EXACT(metadata!I214,"Free-living")))</f>
        <v>0</v>
      </c>
      <c r="AU214" t="b">
        <f>AND(IF(metadata!J214="",FALSE,TRUE),OR(EXACT(metadata!J214,"Animal"),EXACT(metadata!J214,"Fungus"),EXACT(metadata!J214,"Plant"),EXACT(metadata!J214,"Saline"),EXACT(metadata!J214,"Non-saline")))</f>
        <v>0</v>
      </c>
      <c r="AV214" t="b">
        <f>AND(IF(metadata!K214="",FALSE,TRUE),OR(EXACT(metadata!K214,"Plant secretion"),EXACT(metadata!K214,"Plant rhizosphere"),EXACT(metadata!K214,"Plant surface"),EXACT(metadata!K214,"Plant corpus"),EXACT(metadata!K214,"Fungus surface"),EXACT(metadata!K214,"Fungus corpus"),EXACT(metadata!K214,"Animal surface"),EXACT(metadata!K214,"Animal proximal gut"),EXACT(metadata!K214,"Animal corpus"),EXACT(metadata!K214,"Animal distal gut"),EXACT(metadata!K214,"Animal secretion"),EXACT(metadata!K214,"Sub-surface (non-saline)"),EXACT(metadata!K214,"Surface (non-saline)"),EXACT(metadata!K214,"Water (non-saline)"),EXACT(metadata!K214,"Soil (non-saline)"),EXACT(metadata!K214,"Aerosol (non-saline)"),EXACT(metadata!K214,"Sediment (non-saline)"),EXACT(metadata!K214,"Surface (saline)"),EXACT(metadata!K214,"Water (saline)"),EXACT(metadata!K214,"Hypersaline (saline)"),EXACT(metadata!K214,"Aerosol (saline)"),EXACT(metadata!K214,"Sediment (saline)")))</f>
        <v>0</v>
      </c>
      <c r="AW214" t="b">
        <f>IF(metadata!L214="",FALSE,TRUE)</f>
        <v>0</v>
      </c>
      <c r="AX214" t="b">
        <f>IF(metadata!M214="",FALSE,TRUE)</f>
        <v>0</v>
      </c>
      <c r="AY214" t="b">
        <f>IF(metadata!N214="",FALSE,TRUE)</f>
        <v>0</v>
      </c>
      <c r="AZ214" t="b">
        <f>OR(AND(IF(metadata!O214="",FALSE,TRUE),OR(EXACT(metadata!O214,"missing: not collected"),EXACT(metadata!O214,"missing: not provided"),EXACT(metadata!O214,"missing: restricted access"))),AND(IF(metadata!O214="",FALSE,TRUE),OR(EXACT(metadata!O214,"air"),EXACT(metadata!O214,"built environment"),EXACT(metadata!O214,"host-associated"),EXACT(metadata!O214,"human-associated"),EXACT(metadata!O214,"human-skin"),EXACT(metadata!O214,"human-oral"),EXACT(metadata!O214,"human-gut"),EXACT(metadata!O214,"human-vaginal"),EXACT(metadata!O214,"microbial mat/biofilm"),EXACT(metadata!O214,"misc environment"),EXACT(metadata!O214,"plant-associated"),EXACT(metadata!O214,"sediment"),EXACT(metadata!O214,"soil"),EXACT(metadata!O214,"wastewater/sludge"),EXACT(metadata!O214,"water"))))</f>
        <v>0</v>
      </c>
      <c r="BA214" t="b">
        <f>IF(metadata!P214="",FALSE,TRUE)</f>
        <v>0</v>
      </c>
      <c r="BB214" t="b">
        <f>IF(metadata!Q214="",FALSE,TRUE)</f>
        <v>0</v>
      </c>
      <c r="BC214" t="b">
        <f>OR(AND(IF(metadata!R214="",FALSE,TRUE),OR(EXACT(metadata!R214,"missing: not collected"),EXACT(metadata!R214,"missing: not provided"),EXACT(metadata!R214,"missing: restricted access"))),AND(IF(metadata!R214="",FALSE,ISNUMBER(VALUE(metadata!R214))),metadata!R214&gt;=-90,metadata!R214&lt;=90))</f>
        <v>0</v>
      </c>
      <c r="BD214" t="b">
        <f>AND(IF(metadata!S214="",FALSE,TRUE),EXACT(metadata!S214,"Decimal degrees"))</f>
        <v>0</v>
      </c>
      <c r="BE214" t="b">
        <f>OR(AND(IF(metadata!T214="",FALSE,TRUE),OR(EXACT(metadata!T214,"missing: not collected"),EXACT(metadata!T214,"missing: not provided"),EXACT(metadata!T214,"missing: restricted access"))),AND(IF(metadata!T214="",FALSE,ISNUMBER(VALUE(metadata!T214))),metadata!T214&gt;=-180,metadata!T214&lt;=180))</f>
        <v>0</v>
      </c>
      <c r="BF214" t="b">
        <f>AND(IF(metadata!U214="",FALSE,TRUE),EXACT(metadata!U214,"Decimal degrees"))</f>
        <v>0</v>
      </c>
      <c r="BG214" t="b">
        <f>IF(metadata!V214="",FALSE,TRUE)</f>
        <v>0</v>
      </c>
      <c r="BH214" t="b">
        <f>OR(AND(IF(metadata!W214="",FALSE,TRUE),OR(EXACT(metadata!W214,"missing: not collected"),EXACT(metadata!W214,"missing: not provided"),EXACT(metadata!W214,"missing: restricted access"))),AND(IF(metadata!W214="",FALSE,TRUE),OR(EXACT(metadata!W214,"TRUE"),EXACT(metadata!W214,"FALSE"))))</f>
        <v>0</v>
      </c>
      <c r="BI214" t="b">
        <f>AND(IF(metadata!X214="",FALSE,TRUE),EXACT(metadata!X214,"other"))</f>
        <v>0</v>
      </c>
      <c r="BJ214" t="b">
        <f>IF(metadata!Y214="",FALSE,TRUE)</f>
        <v>0</v>
      </c>
      <c r="BK214" t="b">
        <f>OR(AND(IF(metadata!Z214="",FALSE,TRUE),OR(EXACT(metadata!Z214,"missing: not collected"),EXACT(metadata!Z214,"missing: not provided"))),AND(IF(metadata!Z214="",FALSE,IF(ISERROR(INT(metadata!Z214)),FALSE,INT(metadata!Z214)=metadata!Z214)),metadata!Z214&gt;0))</f>
        <v>0</v>
      </c>
      <c r="BL214" t="b">
        <f>AND(IF(metadata!AA214="",FALSE,TRUE),EXACT(metadata!AA214,"Not applicable"))</f>
        <v>0</v>
      </c>
      <c r="BM214" t="b">
        <f>IF(metadata!AB214="",FALSE,TRUE)</f>
        <v>0</v>
      </c>
    </row>
    <row r="215" spans="1:65" x14ac:dyDescent="0.2">
      <c r="A215" s="5" t="str">
        <f ca="1">IF(B215=" "," ",HYPERLINK(CONCATENATE("#metadata!",ADDRESS(INDEX($AH$2:$AH$1001,MATCH(ROWS($AF$2:AF215),$AF$2:$AF$1001,0),0),1)),INDEX($AK$2:$AK$1001,MATCH(ROWS($AF$2:AF215),$AF$2:$AF$1001,0),0)))</f>
        <v xml:space="preserve"> </v>
      </c>
      <c r="B215" s="4" t="str">
        <f ca="1">IF(OR(INDEX($AG$2:$AG$1001,MATCH(ROWS($AF$2:AF215),$AF$2:$AF$1001,0),1)&gt;=100000,INDEX($AM$1005:$BM$1005,1,MATCH(COLUMNS($AM$1006:AM1006),$AM$1006:$BM$1006,0))&gt;=100000), " ",IF(INDEX($AM$2:$BM$1001,MATCH(ROWS($AF$2:AF215),$AF$2:$AF$1001,0),MATCH(COLUMNS($AM$1006:AM1006),$AM$1006:$BM$1006,0)), HYPERLINK("#",""), HYPERLINK(CONCATENATE("#metadata!", ADDRESS(INDEX($AH$2:$AH$1001,MATCH(ROWS($AF$2:AF215),$AF$2:$AF$1001,0),0), INDEX($AM$1004:$BM$1004,1,MATCH(COLUMNS($AM$1006:AM1006),$AM$1006:$BM$1006,0)))),"Fix")))</f>
        <v xml:space="preserve"> </v>
      </c>
      <c r="C215" s="4" t="str">
        <f ca="1">IF(OR(INDEX($AG$2:$AG$1001,MATCH(ROWS($AF$2:AF215),$AF$2:$AF$1001,0),1)&gt;=100000,INDEX($AM$1005:$BM$1005,1,MATCH(COLUMNS($AM$1006:AN1006),$AM$1006:$BM$1006,0))&gt;=100000), " ",IF(INDEX($AM$2:$BM$1001,MATCH(ROWS($AF$2:AF215),$AF$2:$AF$1001,0),MATCH(COLUMNS($AM$1006:AN1006),$AM$1006:$BM$1006,0)), HYPERLINK("#",""), HYPERLINK(CONCATENATE("#metadata!", ADDRESS(INDEX($AH$2:$AH$1001,MATCH(ROWS($AF$2:AF215),$AF$2:$AF$1001,0),0), INDEX($AM$1004:$BM$1004,1,MATCH(COLUMNS($AM$1006:AN1006),$AM$1006:$BM$1006,0)))),"Fix")))</f>
        <v xml:space="preserve"> </v>
      </c>
      <c r="D215" s="4" t="str">
        <f ca="1">IF(OR(INDEX($AG$2:$AG$1001,MATCH(ROWS($AF$2:AF215),$AF$2:$AF$1001,0),1)&gt;=100000,INDEX($AM$1005:$BM$1005,1,MATCH(COLUMNS($AM$1006:AO1006),$AM$1006:$BM$1006,0))&gt;=100000), " ",IF(INDEX($AM$2:$BM$1001,MATCH(ROWS($AF$2:AF215),$AF$2:$AF$1001,0),MATCH(COLUMNS($AM$1006:AO1006),$AM$1006:$BM$1006,0)), HYPERLINK("#",""), HYPERLINK(CONCATENATE("#metadata!", ADDRESS(INDEX($AH$2:$AH$1001,MATCH(ROWS($AF$2:AF215),$AF$2:$AF$1001,0),0), INDEX($AM$1004:$BM$1004,1,MATCH(COLUMNS($AM$1006:AO1006),$AM$1006:$BM$1006,0)))),"Fix")))</f>
        <v xml:space="preserve"> </v>
      </c>
      <c r="E215" s="4" t="str">
        <f ca="1">IF(OR(INDEX($AG$2:$AG$1001,MATCH(ROWS($AF$2:AF215),$AF$2:$AF$1001,0),1)&gt;=100000,INDEX($AM$1005:$BM$1005,1,MATCH(COLUMNS($AM$1006:AP1006),$AM$1006:$BM$1006,0))&gt;=100000), " ",IF(INDEX($AM$2:$BM$1001,MATCH(ROWS($AF$2:AF215),$AF$2:$AF$1001,0),MATCH(COLUMNS($AM$1006:AP1006),$AM$1006:$BM$1006,0)), HYPERLINK("#",""), HYPERLINK(CONCATENATE("#metadata!", ADDRESS(INDEX($AH$2:$AH$1001,MATCH(ROWS($AF$2:AF215),$AF$2:$AF$1001,0),0), INDEX($AM$1004:$BM$1004,1,MATCH(COLUMNS($AM$1006:AP1006),$AM$1006:$BM$1006,0)))),"Fix")))</f>
        <v xml:space="preserve"> </v>
      </c>
      <c r="F215" s="4" t="str">
        <f ca="1">IF(OR(INDEX($AG$2:$AG$1001,MATCH(ROWS($AF$2:AF215),$AF$2:$AF$1001,0),1)&gt;=100000,INDEX($AM$1005:$BM$1005,1,MATCH(COLUMNS($AM$1006:AQ1006),$AM$1006:$BM$1006,0))&gt;=100000), " ",IF(INDEX($AM$2:$BM$1001,MATCH(ROWS($AF$2:AF215),$AF$2:$AF$1001,0),MATCH(COLUMNS($AM$1006:AQ1006),$AM$1006:$BM$1006,0)), HYPERLINK("#",""), HYPERLINK(CONCATENATE("#metadata!", ADDRESS(INDEX($AH$2:$AH$1001,MATCH(ROWS($AF$2:AF215),$AF$2:$AF$1001,0),0), INDEX($AM$1004:$BM$1004,1,MATCH(COLUMNS($AM$1006:AQ1006),$AM$1006:$BM$1006,0)))),"Fix")))</f>
        <v xml:space="preserve"> </v>
      </c>
      <c r="G215" s="4" t="str">
        <f ca="1">IF(OR(INDEX($AG$2:$AG$1001,MATCH(ROWS($AF$2:AF215),$AF$2:$AF$1001,0),1)&gt;=100000,INDEX($AM$1005:$BM$1005,1,MATCH(COLUMNS($AM$1006:AR1006),$AM$1006:$BM$1006,0))&gt;=100000), " ",IF(INDEX($AM$2:$BM$1001,MATCH(ROWS($AF$2:AF215),$AF$2:$AF$1001,0),MATCH(COLUMNS($AM$1006:AR1006),$AM$1006:$BM$1006,0)), HYPERLINK("#",""), HYPERLINK(CONCATENATE("#metadata!", ADDRESS(INDEX($AH$2:$AH$1001,MATCH(ROWS($AF$2:AF215),$AF$2:$AF$1001,0),0), INDEX($AM$1004:$BM$1004,1,MATCH(COLUMNS($AM$1006:AR1006),$AM$1006:$BM$1006,0)))),"Fix")))</f>
        <v xml:space="preserve"> </v>
      </c>
      <c r="H215" s="4" t="str">
        <f ca="1">IF(OR(INDEX($AG$2:$AG$1001,MATCH(ROWS($AF$2:AF215),$AF$2:$AF$1001,0),1)&gt;=100000,INDEX($AM$1005:$BM$1005,1,MATCH(COLUMNS($AM$1006:AS1006),$AM$1006:$BM$1006,0))&gt;=100000), " ",IF(INDEX($AM$2:$BM$1001,MATCH(ROWS($AF$2:AF215),$AF$2:$AF$1001,0),MATCH(COLUMNS($AM$1006:AS1006),$AM$1006:$BM$1006,0)), HYPERLINK("#",""), HYPERLINK(CONCATENATE("#metadata!", ADDRESS(INDEX($AH$2:$AH$1001,MATCH(ROWS($AF$2:AF215),$AF$2:$AF$1001,0),0), INDEX($AM$1004:$BM$1004,1,MATCH(COLUMNS($AM$1006:AS1006),$AM$1006:$BM$1006,0)))),"Fix")))</f>
        <v xml:space="preserve"> </v>
      </c>
      <c r="I215" s="4" t="str">
        <f ca="1">IF(OR(INDEX($AG$2:$AG$1001,MATCH(ROWS($AF$2:AF215),$AF$2:$AF$1001,0),1)&gt;=100000,INDEX($AM$1005:$BM$1005,1,MATCH(COLUMNS($AM$1006:AT1006),$AM$1006:$BM$1006,0))&gt;=100000), " ",IF(INDEX($AM$2:$BM$1001,MATCH(ROWS($AF$2:AF215),$AF$2:$AF$1001,0),MATCH(COLUMNS($AM$1006:AT1006),$AM$1006:$BM$1006,0)), HYPERLINK("#",""), HYPERLINK(CONCATENATE("#metadata!", ADDRESS(INDEX($AH$2:$AH$1001,MATCH(ROWS($AF$2:AF215),$AF$2:$AF$1001,0),0), INDEX($AM$1004:$BM$1004,1,MATCH(COLUMNS($AM$1006:AT1006),$AM$1006:$BM$1006,0)))),"Fix")))</f>
        <v xml:space="preserve"> </v>
      </c>
      <c r="J215" s="4" t="str">
        <f ca="1">IF(OR(INDEX($AG$2:$AG$1001,MATCH(ROWS($AF$2:AF215),$AF$2:$AF$1001,0),1)&gt;=100000,INDEX($AM$1005:$BM$1005,1,MATCH(COLUMNS($AM$1006:AU1006),$AM$1006:$BM$1006,0))&gt;=100000), " ",IF(INDEX($AM$2:$BM$1001,MATCH(ROWS($AF$2:AF215),$AF$2:$AF$1001,0),MATCH(COLUMNS($AM$1006:AU1006),$AM$1006:$BM$1006,0)), HYPERLINK("#",""), HYPERLINK(CONCATENATE("#metadata!", ADDRESS(INDEX($AH$2:$AH$1001,MATCH(ROWS($AF$2:AF215),$AF$2:$AF$1001,0),0), INDEX($AM$1004:$BM$1004,1,MATCH(COLUMNS($AM$1006:AU1006),$AM$1006:$BM$1006,0)))),"Fix")))</f>
        <v xml:space="preserve"> </v>
      </c>
      <c r="K215" s="4" t="str">
        <f ca="1">IF(OR(INDEX($AG$2:$AG$1001,MATCH(ROWS($AF$2:AF215),$AF$2:$AF$1001,0),1)&gt;=100000,INDEX($AM$1005:$BM$1005,1,MATCH(COLUMNS($AM$1006:AV1006),$AM$1006:$BM$1006,0))&gt;=100000), " ",IF(INDEX($AM$2:$BM$1001,MATCH(ROWS($AF$2:AF215),$AF$2:$AF$1001,0),MATCH(COLUMNS($AM$1006:AV1006),$AM$1006:$BM$1006,0)), HYPERLINK("#",""), HYPERLINK(CONCATENATE("#metadata!", ADDRESS(INDEX($AH$2:$AH$1001,MATCH(ROWS($AF$2:AF215),$AF$2:$AF$1001,0),0), INDEX($AM$1004:$BM$1004,1,MATCH(COLUMNS($AM$1006:AV1006),$AM$1006:$BM$1006,0)))),"Fix")))</f>
        <v xml:space="preserve"> </v>
      </c>
      <c r="L215" s="4" t="str">
        <f ca="1">IF(OR(INDEX($AG$2:$AG$1001,MATCH(ROWS($AF$2:AF215),$AF$2:$AF$1001,0),1)&gt;=100000,INDEX($AM$1005:$BM$1005,1,MATCH(COLUMNS($AM$1006:AW1006),$AM$1006:$BM$1006,0))&gt;=100000), " ",IF(INDEX($AM$2:$BM$1001,MATCH(ROWS($AF$2:AF215),$AF$2:$AF$1001,0),MATCH(COLUMNS($AM$1006:AW1006),$AM$1006:$BM$1006,0)), HYPERLINK("#",""), HYPERLINK(CONCATENATE("#metadata!", ADDRESS(INDEX($AH$2:$AH$1001,MATCH(ROWS($AF$2:AF215),$AF$2:$AF$1001,0),0), INDEX($AM$1004:$BM$1004,1,MATCH(COLUMNS($AM$1006:AW1006),$AM$1006:$BM$1006,0)))),"Fix")))</f>
        <v xml:space="preserve"> </v>
      </c>
      <c r="M215" s="4" t="str">
        <f ca="1">IF(OR(INDEX($AG$2:$AG$1001,MATCH(ROWS($AF$2:AF215),$AF$2:$AF$1001,0),1)&gt;=100000,INDEX($AM$1005:$BM$1005,1,MATCH(COLUMNS($AM$1006:AX1006),$AM$1006:$BM$1006,0))&gt;=100000), " ",IF(INDEX($AM$2:$BM$1001,MATCH(ROWS($AF$2:AF215),$AF$2:$AF$1001,0),MATCH(COLUMNS($AM$1006:AX1006),$AM$1006:$BM$1006,0)), HYPERLINK("#",""), HYPERLINK(CONCATENATE("#metadata!", ADDRESS(INDEX($AH$2:$AH$1001,MATCH(ROWS($AF$2:AF215),$AF$2:$AF$1001,0),0), INDEX($AM$1004:$BM$1004,1,MATCH(COLUMNS($AM$1006:AX1006),$AM$1006:$BM$1006,0)))),"Fix")))</f>
        <v xml:space="preserve"> </v>
      </c>
      <c r="N215" s="4" t="str">
        <f ca="1">IF(OR(INDEX($AG$2:$AG$1001,MATCH(ROWS($AF$2:AF215),$AF$2:$AF$1001,0),1)&gt;=100000,INDEX($AM$1005:$BM$1005,1,MATCH(COLUMNS($AM$1006:AY1006),$AM$1006:$BM$1006,0))&gt;=100000), " ",IF(INDEX($AM$2:$BM$1001,MATCH(ROWS($AF$2:AF215),$AF$2:$AF$1001,0),MATCH(COLUMNS($AM$1006:AY1006),$AM$1006:$BM$1006,0)), HYPERLINK("#",""), HYPERLINK(CONCATENATE("#metadata!", ADDRESS(INDEX($AH$2:$AH$1001,MATCH(ROWS($AF$2:AF215),$AF$2:$AF$1001,0),0), INDEX($AM$1004:$BM$1004,1,MATCH(COLUMNS($AM$1006:AY1006),$AM$1006:$BM$1006,0)))),"Fix")))</f>
        <v xml:space="preserve"> </v>
      </c>
      <c r="O215" s="4" t="str">
        <f ca="1">IF(OR(INDEX($AG$2:$AG$1001,MATCH(ROWS($AF$2:AF215),$AF$2:$AF$1001,0),1)&gt;=100000,INDEX($AM$1005:$BM$1005,1,MATCH(COLUMNS($AM$1006:AZ1006),$AM$1006:$BM$1006,0))&gt;=100000), " ",IF(INDEX($AM$2:$BM$1001,MATCH(ROWS($AF$2:AF215),$AF$2:$AF$1001,0),MATCH(COLUMNS($AM$1006:AZ1006),$AM$1006:$BM$1006,0)), HYPERLINK("#",""), HYPERLINK(CONCATENATE("#metadata!", ADDRESS(INDEX($AH$2:$AH$1001,MATCH(ROWS($AF$2:AF215),$AF$2:$AF$1001,0),0), INDEX($AM$1004:$BM$1004,1,MATCH(COLUMNS($AM$1006:AZ1006),$AM$1006:$BM$1006,0)))),"Fix")))</f>
        <v xml:space="preserve"> </v>
      </c>
      <c r="P215" s="4" t="str">
        <f ca="1">IF(OR(INDEX($AG$2:$AG$1001,MATCH(ROWS($AF$2:AF215),$AF$2:$AF$1001,0),1)&gt;=100000,INDEX($AM$1005:$BM$1005,1,MATCH(COLUMNS($AM$1006:BA1006),$AM$1006:$BM$1006,0))&gt;=100000), " ",IF(INDEX($AM$2:$BM$1001,MATCH(ROWS($AF$2:AF215),$AF$2:$AF$1001,0),MATCH(COLUMNS($AM$1006:BA1006),$AM$1006:$BM$1006,0)), HYPERLINK("#",""), HYPERLINK(CONCATENATE("#metadata!", ADDRESS(INDEX($AH$2:$AH$1001,MATCH(ROWS($AF$2:AF215),$AF$2:$AF$1001,0),0), INDEX($AM$1004:$BM$1004,1,MATCH(COLUMNS($AM$1006:BA1006),$AM$1006:$BM$1006,0)))),"Fix")))</f>
        <v xml:space="preserve"> </v>
      </c>
      <c r="Q215" s="4" t="str">
        <f ca="1">IF(OR(INDEX($AG$2:$AG$1001,MATCH(ROWS($AF$2:AF215),$AF$2:$AF$1001,0),1)&gt;=100000,INDEX($AM$1005:$BM$1005,1,MATCH(COLUMNS($AM$1006:BB1006),$AM$1006:$BM$1006,0))&gt;=100000), " ",IF(INDEX($AM$2:$BM$1001,MATCH(ROWS($AF$2:AF215),$AF$2:$AF$1001,0),MATCH(COLUMNS($AM$1006:BB1006),$AM$1006:$BM$1006,0)), HYPERLINK("#",""), HYPERLINK(CONCATENATE("#metadata!", ADDRESS(INDEX($AH$2:$AH$1001,MATCH(ROWS($AF$2:AF215),$AF$2:$AF$1001,0),0), INDEX($AM$1004:$BM$1004,1,MATCH(COLUMNS($AM$1006:BB1006),$AM$1006:$BM$1006,0)))),"Fix")))</f>
        <v xml:space="preserve"> </v>
      </c>
      <c r="R215" s="4" t="str">
        <f ca="1">IF(OR(INDEX($AG$2:$AG$1001,MATCH(ROWS($AF$2:AF215),$AF$2:$AF$1001,0),1)&gt;=100000,INDEX($AM$1005:$BM$1005,1,MATCH(COLUMNS($AM$1006:BC1006),$AM$1006:$BM$1006,0))&gt;=100000), " ",IF(INDEX($AM$2:$BM$1001,MATCH(ROWS($AF$2:AF215),$AF$2:$AF$1001,0),MATCH(COLUMNS($AM$1006:BC1006),$AM$1006:$BM$1006,0)), HYPERLINK("#",""), HYPERLINK(CONCATENATE("#metadata!", ADDRESS(INDEX($AH$2:$AH$1001,MATCH(ROWS($AF$2:AF215),$AF$2:$AF$1001,0),0), INDEX($AM$1004:$BM$1004,1,MATCH(COLUMNS($AM$1006:BC1006),$AM$1006:$BM$1006,0)))),"Fix")))</f>
        <v xml:space="preserve"> </v>
      </c>
      <c r="S215" s="4" t="str">
        <f ca="1">IF(OR(INDEX($AG$2:$AG$1001,MATCH(ROWS($AF$2:AF215),$AF$2:$AF$1001,0),1)&gt;=100000,INDEX($AM$1005:$BM$1005,1,MATCH(COLUMNS($AM$1006:BD1006),$AM$1006:$BM$1006,0))&gt;=100000), " ",IF(INDEX($AM$2:$BM$1001,MATCH(ROWS($AF$2:AF215),$AF$2:$AF$1001,0),MATCH(COLUMNS($AM$1006:BD1006),$AM$1006:$BM$1006,0)), HYPERLINK("#",""), HYPERLINK(CONCATENATE("#metadata!", ADDRESS(INDEX($AH$2:$AH$1001,MATCH(ROWS($AF$2:AF215),$AF$2:$AF$1001,0),0), INDEX($AM$1004:$BM$1004,1,MATCH(COLUMNS($AM$1006:BD1006),$AM$1006:$BM$1006,0)))),"Fix")))</f>
        <v xml:space="preserve"> </v>
      </c>
      <c r="T215" s="4" t="str">
        <f ca="1">IF(OR(INDEX($AG$2:$AG$1001,MATCH(ROWS($AF$2:AF215),$AF$2:$AF$1001,0),1)&gt;=100000,INDEX($AM$1005:$BM$1005,1,MATCH(COLUMNS($AM$1006:BE1006),$AM$1006:$BM$1006,0))&gt;=100000), " ",IF(INDEX($AM$2:$BM$1001,MATCH(ROWS($AF$2:AF215),$AF$2:$AF$1001,0),MATCH(COLUMNS($AM$1006:BE1006),$AM$1006:$BM$1006,0)), HYPERLINK("#",""), HYPERLINK(CONCATENATE("#metadata!", ADDRESS(INDEX($AH$2:$AH$1001,MATCH(ROWS($AF$2:AF215),$AF$2:$AF$1001,0),0), INDEX($AM$1004:$BM$1004,1,MATCH(COLUMNS($AM$1006:BE1006),$AM$1006:$BM$1006,0)))),"Fix")))</f>
        <v xml:space="preserve"> </v>
      </c>
      <c r="U215" s="4" t="str">
        <f ca="1">IF(OR(INDEX($AG$2:$AG$1001,MATCH(ROWS($AF$2:AF215),$AF$2:$AF$1001,0),1)&gt;=100000,INDEX($AM$1005:$BM$1005,1,MATCH(COLUMNS($AM$1006:BF1006),$AM$1006:$BM$1006,0))&gt;=100000), " ",IF(INDEX($AM$2:$BM$1001,MATCH(ROWS($AF$2:AF215),$AF$2:$AF$1001,0),MATCH(COLUMNS($AM$1006:BF1006),$AM$1006:$BM$1006,0)), HYPERLINK("#",""), HYPERLINK(CONCATENATE("#metadata!", ADDRESS(INDEX($AH$2:$AH$1001,MATCH(ROWS($AF$2:AF215),$AF$2:$AF$1001,0),0), INDEX($AM$1004:$BM$1004,1,MATCH(COLUMNS($AM$1006:BF1006),$AM$1006:$BM$1006,0)))),"Fix")))</f>
        <v xml:space="preserve"> </v>
      </c>
      <c r="V215" s="4" t="str">
        <f ca="1">IF(OR(INDEX($AG$2:$AG$1001,MATCH(ROWS($AF$2:AF215),$AF$2:$AF$1001,0),1)&gt;=100000,INDEX($AM$1005:$BM$1005,1,MATCH(COLUMNS($AM$1006:BG1006),$AM$1006:$BM$1006,0))&gt;=100000), " ",IF(INDEX($AM$2:$BM$1001,MATCH(ROWS($AF$2:AF215),$AF$2:$AF$1001,0),MATCH(COLUMNS($AM$1006:BG1006),$AM$1006:$BM$1006,0)), HYPERLINK("#",""), HYPERLINK(CONCATENATE("#metadata!", ADDRESS(INDEX($AH$2:$AH$1001,MATCH(ROWS($AF$2:AF215),$AF$2:$AF$1001,0),0), INDEX($AM$1004:$BM$1004,1,MATCH(COLUMNS($AM$1006:BG1006),$AM$1006:$BM$1006,0)))),"Fix")))</f>
        <v xml:space="preserve"> </v>
      </c>
      <c r="W215" s="4" t="str">
        <f ca="1">IF(OR(INDEX($AG$2:$AG$1001,MATCH(ROWS($AF$2:AF215),$AF$2:$AF$1001,0),1)&gt;=100000,INDEX($AM$1005:$BM$1005,1,MATCH(COLUMNS($AM$1006:BH1006),$AM$1006:$BM$1006,0))&gt;=100000), " ",IF(INDEX($AM$2:$BM$1001,MATCH(ROWS($AF$2:AF215),$AF$2:$AF$1001,0),MATCH(COLUMNS($AM$1006:BH1006),$AM$1006:$BM$1006,0)), HYPERLINK("#",""), HYPERLINK(CONCATENATE("#metadata!", ADDRESS(INDEX($AH$2:$AH$1001,MATCH(ROWS($AF$2:AF215),$AF$2:$AF$1001,0),0), INDEX($AM$1004:$BM$1004,1,MATCH(COLUMNS($AM$1006:BH1006),$AM$1006:$BM$1006,0)))),"Fix")))</f>
        <v xml:space="preserve"> </v>
      </c>
      <c r="X215" s="4" t="str">
        <f ca="1">IF(OR(INDEX($AG$2:$AG$1001,MATCH(ROWS($AF$2:AF215),$AF$2:$AF$1001,0),1)&gt;=100000,INDEX($AM$1005:$BM$1005,1,MATCH(COLUMNS($AM$1006:BI1006),$AM$1006:$BM$1006,0))&gt;=100000), " ",IF(INDEX($AM$2:$BM$1001,MATCH(ROWS($AF$2:AF215),$AF$2:$AF$1001,0),MATCH(COLUMNS($AM$1006:BI1006),$AM$1006:$BM$1006,0)), HYPERLINK("#",""), HYPERLINK(CONCATENATE("#metadata!", ADDRESS(INDEX($AH$2:$AH$1001,MATCH(ROWS($AF$2:AF215),$AF$2:$AF$1001,0),0), INDEX($AM$1004:$BM$1004,1,MATCH(COLUMNS($AM$1006:BI1006),$AM$1006:$BM$1006,0)))),"Fix")))</f>
        <v xml:space="preserve"> </v>
      </c>
      <c r="Y215" s="4" t="str">
        <f ca="1">IF(OR(INDEX($AG$2:$AG$1001,MATCH(ROWS($AF$2:AF215),$AF$2:$AF$1001,0),1)&gt;=100000,INDEX($AM$1005:$BM$1005,1,MATCH(COLUMNS($AM$1006:BJ1006),$AM$1006:$BM$1006,0))&gt;=100000), " ",IF(INDEX($AM$2:$BM$1001,MATCH(ROWS($AF$2:AF215),$AF$2:$AF$1001,0),MATCH(COLUMNS($AM$1006:BJ1006),$AM$1006:$BM$1006,0)), HYPERLINK("#",""), HYPERLINK(CONCATENATE("#metadata!", ADDRESS(INDEX($AH$2:$AH$1001,MATCH(ROWS($AF$2:AF215),$AF$2:$AF$1001,0),0), INDEX($AM$1004:$BM$1004,1,MATCH(COLUMNS($AM$1006:BJ1006),$AM$1006:$BM$1006,0)))),"Fix")))</f>
        <v xml:space="preserve"> </v>
      </c>
      <c r="Z215" s="4" t="str">
        <f ca="1">IF(OR(INDEX($AG$2:$AG$1001,MATCH(ROWS($AF$2:AF215),$AF$2:$AF$1001,0),1)&gt;=100000,INDEX($AM$1005:$BM$1005,1,MATCH(COLUMNS($AM$1006:BK1006),$AM$1006:$BM$1006,0))&gt;=100000), " ",IF(INDEX($AM$2:$BM$1001,MATCH(ROWS($AF$2:AF215),$AF$2:$AF$1001,0),MATCH(COLUMNS($AM$1006:BK1006),$AM$1006:$BM$1006,0)), HYPERLINK("#",""), HYPERLINK(CONCATENATE("#metadata!", ADDRESS(INDEX($AH$2:$AH$1001,MATCH(ROWS($AF$2:AF215),$AF$2:$AF$1001,0),0), INDEX($AM$1004:$BM$1004,1,MATCH(COLUMNS($AM$1006:BK1006),$AM$1006:$BM$1006,0)))),"Fix")))</f>
        <v xml:space="preserve"> </v>
      </c>
      <c r="AA215" s="4" t="str">
        <f ca="1">IF(OR(INDEX($AG$2:$AG$1001,MATCH(ROWS($AF$2:AF215),$AF$2:$AF$1001,0),1)&gt;=100000,INDEX($AM$1005:$BM$1005,1,MATCH(COLUMNS($AM$1006:BL1006),$AM$1006:$BM$1006,0))&gt;=100000), " ",IF(INDEX($AM$2:$BM$1001,MATCH(ROWS($AF$2:AF215),$AF$2:$AF$1001,0),MATCH(COLUMNS($AM$1006:BL1006),$AM$1006:$BM$1006,0)), HYPERLINK("#",""), HYPERLINK(CONCATENATE("#metadata!", ADDRESS(INDEX($AH$2:$AH$1001,MATCH(ROWS($AF$2:AF215),$AF$2:$AF$1001,0),0), INDEX($AM$1004:$BM$1004,1,MATCH(COLUMNS($AM$1006:BL1006),$AM$1006:$BM$1006,0)))),"Fix")))</f>
        <v xml:space="preserve"> </v>
      </c>
      <c r="AB215" s="4" t="str">
        <f ca="1">IF(OR(INDEX($AG$2:$AG$1001,MATCH(ROWS($AF$2:AF215),$AF$2:$AF$1001,0),1)&gt;=100000,INDEX($AM$1005:$BM$1005,1,MATCH(COLUMNS($AM$1006:BM1006),$AM$1006:$BM$1006,0))&gt;=100000), " ",IF(INDEX($AM$2:$BM$1001,MATCH(ROWS($AF$2:AF215),$AF$2:$AF$1001,0),MATCH(COLUMNS($AM$1006:BM1006),$AM$1006:$BM$1006,0)), HYPERLINK("#",""), HYPERLINK(CONCATENATE("#metadata!", ADDRESS(INDEX($AH$2:$AH$1001,MATCH(ROWS($AF$2:AF215),$AF$2:$AF$1001,0),0), INDEX($AM$1004:$BM$1004,1,MATCH(COLUMNS($AM$1006:BM1006),$AM$1006:$BM$1006,0)))),"Fix")))</f>
        <v xml:space="preserve"> </v>
      </c>
      <c r="AF215">
        <v>214</v>
      </c>
      <c r="AG215">
        <v>100215</v>
      </c>
      <c r="AH215">
        <v>215</v>
      </c>
      <c r="AI215" t="b">
        <f t="shared" si="3"/>
        <v>1</v>
      </c>
      <c r="AJ215" t="b">
        <f>COUNTBLANK(metadata!B215:AB215)=COLUMNS(metadata!B215:AB215)</f>
        <v>1</v>
      </c>
      <c r="AK215" t="str">
        <v/>
      </c>
      <c r="AM215" t="b">
        <f ca="1">AND(IF(metadata!B215="",FALSE,TRUE),COUNTIF(metadata!B:B, metadata!B215) = 1,NOT(ISERROR(SUMPRODUCT(SEARCH(MID(metadata!B215,ROW(INDIRECT("1:"&amp;LEN(metadata!B215))), 1),"0123456789abcdefghijklmnopqrstuvwxyzABCDEFGHIJKLMNOPQRSTUVWXYZ.")))))</f>
        <v>0</v>
      </c>
      <c r="AN215" t="b">
        <f ca="1">OR(AND(IF(metadata!C215="",FALSE,TRUE),OR(EXACT(metadata!C215,"missing: not collected"),EXACT(metadata!C215,"missing: not provided"),EXACT(metadata!C215,"missing: restricted access"))),AND(IF(metadata!C215="",FALSE,TRUE),AND(AND(IFERROR(INT(LEFT(metadata!C215,4))&gt;1900,FALSE),IFERROR(INT(LEFT(metadata!C215,4))&lt;=YEAR(NOW()),FALSE)), OR(MID(metadata!C215,5,1)="", AND(AND(MID(metadata!C215,5,1)="-",IFERROR(INT(MID(metadata!C215,6,1))&gt;=0,FALSE),IFERROR(INT(MID(metadata!C215,6,1))&lt;=1,FALSE),NOT(MID(metadata!C215,7,1)=""),IFERROR(INT(MID(metadata!C215,6,2))&gt;=1,FALSE),IFERROR(INT(MID(metadata!C215,6,2))&lt;=12,FALSE)), OR(MID(metadata!C215,8,1)="", AND(AND(MID(metadata!C215,8,1)="-",IFERROR(INT(MID(metadata!C215,9,1))&gt;=0,FALSE),IFERROR(INT(MID(metadata!C215,9,1))&lt;=3,FALSE),NOT(MID(metadata!C215,10,1)=""),IFERROR(INT(MID(metadata!C215,9,2))&gt;=1,FALSE),IFERROR(INT(MID(metadata!C215,9,2))&lt;=31,FALSE)), OR(MID(metadata!C215,11,1)="", AND(AND(MID(metadata!C215,11,1)=" ",IFERROR(INT(MID(metadata!C215,12,1))&gt;=0,FALSE),IFERROR(INT(MID(metadata!C215,12,1))&lt;=2,FALSE),NOT(MID(metadata!C215,13,1)=""),IFERROR(INT(MID(metadata!C215,12,2))&gt;=0,FALSE),IFERROR(INT(MID(metadata!C215,12,2))&lt;=23,FALSE)), OR(MID(metadata!C215,14,1)="", AND(AND(MID(metadata!C215,14,1)=":",IFERROR(INT(MID(metadata!C215,15,1))&gt;=0,FALSE),IFERROR(INT(MID(metadata!C215,15,1))&lt;=5,FALSE),NOT(MID(metadata!C215,16,1)=""),IFERROR(INT(MID(metadata!C215,15,2))&gt;=0,FALSE),IFERROR(INT(MID(metadata!C215,15,2))&lt;=59,FALSE)), OR(MID(metadata!C215,17,1)="", AND(AND(MID(metadata!C215,17,1)=":",IFERROR(INT(MID(metadata!C215,18,1))&gt;=0,FALSE),IFERROR(INT(MID(metadata!C215,18,1))&lt;=5,FALSE),NOT(MID(metadata!C215,19,1)=""),IFERROR(INT(MID(metadata!C215,18,2))&gt;=0,FALSE),IFERROR(INT(MID(metadata!C215,18,2))&lt;=59,FALSE)), LEN(metadata!C215)&lt;=19)))))))))))))</f>
        <v>0</v>
      </c>
      <c r="AO215" t="b">
        <f>AND(IF(metadata!D215="",FALSE,TRUE),EXACT(metadata!D215,"Not applicable"))</f>
        <v>0</v>
      </c>
      <c r="AP215" t="b">
        <f>IF(metadata!E215="",FALSE,TRUE)</f>
        <v>0</v>
      </c>
      <c r="AQ215" t="b">
        <f>OR(AND(IF(metadata!F215="",FALSE,TRUE),OR(EXACT(metadata!F215,"missing: not collected"),EXACT(metadata!F215,"missing: not provided"))),AND(IF(metadata!F215="",FALSE,TRUE),OR(EXACT(metadata!F215,"TRUE"),EXACT(metadata!F215,"FALSE"))))</f>
        <v>0</v>
      </c>
      <c r="AR215" t="b">
        <f>OR(AND(IF(metadata!G215="",FALSE,TRUE),OR(EXACT(metadata!G215,"missing: not collected"),EXACT(metadata!G215,"missing: not provided"),EXACT(metadata!G215,"missing: restricted access"))),AND(IF(metadata!G215="",FALSE,ISNUMBER(VALUE(metadata!G215))),metadata!G215&gt;=-413))</f>
        <v>0</v>
      </c>
      <c r="AS215" t="b">
        <f>AND(IF(metadata!H215="",FALSE,TRUE),EXACT(metadata!H215,"meters"))</f>
        <v>0</v>
      </c>
      <c r="AT215" t="b">
        <f>AND(IF(metadata!I215="",FALSE,TRUE),OR(EXACT(metadata!I215,"Host-associated"),EXACT(metadata!I215,"Free-living")))</f>
        <v>0</v>
      </c>
      <c r="AU215" t="b">
        <f>AND(IF(metadata!J215="",FALSE,TRUE),OR(EXACT(metadata!J215,"Animal"),EXACT(metadata!J215,"Fungus"),EXACT(metadata!J215,"Plant"),EXACT(metadata!J215,"Saline"),EXACT(metadata!J215,"Non-saline")))</f>
        <v>0</v>
      </c>
      <c r="AV215" t="b">
        <f>AND(IF(metadata!K215="",FALSE,TRUE),OR(EXACT(metadata!K215,"Plant secretion"),EXACT(metadata!K215,"Plant rhizosphere"),EXACT(metadata!K215,"Plant surface"),EXACT(metadata!K215,"Plant corpus"),EXACT(metadata!K215,"Fungus surface"),EXACT(metadata!K215,"Fungus corpus"),EXACT(metadata!K215,"Animal surface"),EXACT(metadata!K215,"Animal proximal gut"),EXACT(metadata!K215,"Animal corpus"),EXACT(metadata!K215,"Animal distal gut"),EXACT(metadata!K215,"Animal secretion"),EXACT(metadata!K215,"Sub-surface (non-saline)"),EXACT(metadata!K215,"Surface (non-saline)"),EXACT(metadata!K215,"Water (non-saline)"),EXACT(metadata!K215,"Soil (non-saline)"),EXACT(metadata!K215,"Aerosol (non-saline)"),EXACT(metadata!K215,"Sediment (non-saline)"),EXACT(metadata!K215,"Surface (saline)"),EXACT(metadata!K215,"Water (saline)"),EXACT(metadata!K215,"Hypersaline (saline)"),EXACT(metadata!K215,"Aerosol (saline)"),EXACT(metadata!K215,"Sediment (saline)")))</f>
        <v>0</v>
      </c>
      <c r="AW215" t="b">
        <f>IF(metadata!L215="",FALSE,TRUE)</f>
        <v>0</v>
      </c>
      <c r="AX215" t="b">
        <f>IF(metadata!M215="",FALSE,TRUE)</f>
        <v>0</v>
      </c>
      <c r="AY215" t="b">
        <f>IF(metadata!N215="",FALSE,TRUE)</f>
        <v>0</v>
      </c>
      <c r="AZ215" t="b">
        <f>OR(AND(IF(metadata!O215="",FALSE,TRUE),OR(EXACT(metadata!O215,"missing: not collected"),EXACT(metadata!O215,"missing: not provided"),EXACT(metadata!O215,"missing: restricted access"))),AND(IF(metadata!O215="",FALSE,TRUE),OR(EXACT(metadata!O215,"air"),EXACT(metadata!O215,"built environment"),EXACT(metadata!O215,"host-associated"),EXACT(metadata!O215,"human-associated"),EXACT(metadata!O215,"human-skin"),EXACT(metadata!O215,"human-oral"),EXACT(metadata!O215,"human-gut"),EXACT(metadata!O215,"human-vaginal"),EXACT(metadata!O215,"microbial mat/biofilm"),EXACT(metadata!O215,"misc environment"),EXACT(metadata!O215,"plant-associated"),EXACT(metadata!O215,"sediment"),EXACT(metadata!O215,"soil"),EXACT(metadata!O215,"wastewater/sludge"),EXACT(metadata!O215,"water"))))</f>
        <v>0</v>
      </c>
      <c r="BA215" t="b">
        <f>IF(metadata!P215="",FALSE,TRUE)</f>
        <v>0</v>
      </c>
      <c r="BB215" t="b">
        <f>IF(metadata!Q215="",FALSE,TRUE)</f>
        <v>0</v>
      </c>
      <c r="BC215" t="b">
        <f>OR(AND(IF(metadata!R215="",FALSE,TRUE),OR(EXACT(metadata!R215,"missing: not collected"),EXACT(metadata!R215,"missing: not provided"),EXACT(metadata!R215,"missing: restricted access"))),AND(IF(metadata!R215="",FALSE,ISNUMBER(VALUE(metadata!R215))),metadata!R215&gt;=-90,metadata!R215&lt;=90))</f>
        <v>0</v>
      </c>
      <c r="BD215" t="b">
        <f>AND(IF(metadata!S215="",FALSE,TRUE),EXACT(metadata!S215,"Decimal degrees"))</f>
        <v>0</v>
      </c>
      <c r="BE215" t="b">
        <f>OR(AND(IF(metadata!T215="",FALSE,TRUE),OR(EXACT(metadata!T215,"missing: not collected"),EXACT(metadata!T215,"missing: not provided"),EXACT(metadata!T215,"missing: restricted access"))),AND(IF(metadata!T215="",FALSE,ISNUMBER(VALUE(metadata!T215))),metadata!T215&gt;=-180,metadata!T215&lt;=180))</f>
        <v>0</v>
      </c>
      <c r="BF215" t="b">
        <f>AND(IF(metadata!U215="",FALSE,TRUE),EXACT(metadata!U215,"Decimal degrees"))</f>
        <v>0</v>
      </c>
      <c r="BG215" t="b">
        <f>IF(metadata!V215="",FALSE,TRUE)</f>
        <v>0</v>
      </c>
      <c r="BH215" t="b">
        <f>OR(AND(IF(metadata!W215="",FALSE,TRUE),OR(EXACT(metadata!W215,"missing: not collected"),EXACT(metadata!W215,"missing: not provided"),EXACT(metadata!W215,"missing: restricted access"))),AND(IF(metadata!W215="",FALSE,TRUE),OR(EXACT(metadata!W215,"TRUE"),EXACT(metadata!W215,"FALSE"))))</f>
        <v>0</v>
      </c>
      <c r="BI215" t="b">
        <f>AND(IF(metadata!X215="",FALSE,TRUE),EXACT(metadata!X215,"other"))</f>
        <v>0</v>
      </c>
      <c r="BJ215" t="b">
        <f>IF(metadata!Y215="",FALSE,TRUE)</f>
        <v>0</v>
      </c>
      <c r="BK215" t="b">
        <f>OR(AND(IF(metadata!Z215="",FALSE,TRUE),OR(EXACT(metadata!Z215,"missing: not collected"),EXACT(metadata!Z215,"missing: not provided"))),AND(IF(metadata!Z215="",FALSE,IF(ISERROR(INT(metadata!Z215)),FALSE,INT(metadata!Z215)=metadata!Z215)),metadata!Z215&gt;0))</f>
        <v>0</v>
      </c>
      <c r="BL215" t="b">
        <f>AND(IF(metadata!AA215="",FALSE,TRUE),EXACT(metadata!AA215,"Not applicable"))</f>
        <v>0</v>
      </c>
      <c r="BM215" t="b">
        <f>IF(metadata!AB215="",FALSE,TRUE)</f>
        <v>0</v>
      </c>
    </row>
    <row r="216" spans="1:65" x14ac:dyDescent="0.2">
      <c r="A216" s="5" t="str">
        <f ca="1">IF(B216=" "," ",HYPERLINK(CONCATENATE("#metadata!",ADDRESS(INDEX($AH$2:$AH$1001,MATCH(ROWS($AF$2:AF216),$AF$2:$AF$1001,0),0),1)),INDEX($AK$2:$AK$1001,MATCH(ROWS($AF$2:AF216),$AF$2:$AF$1001,0),0)))</f>
        <v xml:space="preserve"> </v>
      </c>
      <c r="B216" s="4" t="str">
        <f ca="1">IF(OR(INDEX($AG$2:$AG$1001,MATCH(ROWS($AF$2:AF216),$AF$2:$AF$1001,0),1)&gt;=100000,INDEX($AM$1005:$BM$1005,1,MATCH(COLUMNS($AM$1006:AM1006),$AM$1006:$BM$1006,0))&gt;=100000), " ",IF(INDEX($AM$2:$BM$1001,MATCH(ROWS($AF$2:AF216),$AF$2:$AF$1001,0),MATCH(COLUMNS($AM$1006:AM1006),$AM$1006:$BM$1006,0)), HYPERLINK("#",""), HYPERLINK(CONCATENATE("#metadata!", ADDRESS(INDEX($AH$2:$AH$1001,MATCH(ROWS($AF$2:AF216),$AF$2:$AF$1001,0),0), INDEX($AM$1004:$BM$1004,1,MATCH(COLUMNS($AM$1006:AM1006),$AM$1006:$BM$1006,0)))),"Fix")))</f>
        <v xml:space="preserve"> </v>
      </c>
      <c r="C216" s="4" t="str">
        <f ca="1">IF(OR(INDEX($AG$2:$AG$1001,MATCH(ROWS($AF$2:AF216),$AF$2:$AF$1001,0),1)&gt;=100000,INDEX($AM$1005:$BM$1005,1,MATCH(COLUMNS($AM$1006:AN1006),$AM$1006:$BM$1006,0))&gt;=100000), " ",IF(INDEX($AM$2:$BM$1001,MATCH(ROWS($AF$2:AF216),$AF$2:$AF$1001,0),MATCH(COLUMNS($AM$1006:AN1006),$AM$1006:$BM$1006,0)), HYPERLINK("#",""), HYPERLINK(CONCATENATE("#metadata!", ADDRESS(INDEX($AH$2:$AH$1001,MATCH(ROWS($AF$2:AF216),$AF$2:$AF$1001,0),0), INDEX($AM$1004:$BM$1004,1,MATCH(COLUMNS($AM$1006:AN1006),$AM$1006:$BM$1006,0)))),"Fix")))</f>
        <v xml:space="preserve"> </v>
      </c>
      <c r="D216" s="4" t="str">
        <f ca="1">IF(OR(INDEX($AG$2:$AG$1001,MATCH(ROWS($AF$2:AF216),$AF$2:$AF$1001,0),1)&gt;=100000,INDEX($AM$1005:$BM$1005,1,MATCH(COLUMNS($AM$1006:AO1006),$AM$1006:$BM$1006,0))&gt;=100000), " ",IF(INDEX($AM$2:$BM$1001,MATCH(ROWS($AF$2:AF216),$AF$2:$AF$1001,0),MATCH(COLUMNS($AM$1006:AO1006),$AM$1006:$BM$1006,0)), HYPERLINK("#",""), HYPERLINK(CONCATENATE("#metadata!", ADDRESS(INDEX($AH$2:$AH$1001,MATCH(ROWS($AF$2:AF216),$AF$2:$AF$1001,0),0), INDEX($AM$1004:$BM$1004,1,MATCH(COLUMNS($AM$1006:AO1006),$AM$1006:$BM$1006,0)))),"Fix")))</f>
        <v xml:space="preserve"> </v>
      </c>
      <c r="E216" s="4" t="str">
        <f ca="1">IF(OR(INDEX($AG$2:$AG$1001,MATCH(ROWS($AF$2:AF216),$AF$2:$AF$1001,0),1)&gt;=100000,INDEX($AM$1005:$BM$1005,1,MATCH(COLUMNS($AM$1006:AP1006),$AM$1006:$BM$1006,0))&gt;=100000), " ",IF(INDEX($AM$2:$BM$1001,MATCH(ROWS($AF$2:AF216),$AF$2:$AF$1001,0),MATCH(COLUMNS($AM$1006:AP1006),$AM$1006:$BM$1006,0)), HYPERLINK("#",""), HYPERLINK(CONCATENATE("#metadata!", ADDRESS(INDEX($AH$2:$AH$1001,MATCH(ROWS($AF$2:AF216),$AF$2:$AF$1001,0),0), INDEX($AM$1004:$BM$1004,1,MATCH(COLUMNS($AM$1006:AP1006),$AM$1006:$BM$1006,0)))),"Fix")))</f>
        <v xml:space="preserve"> </v>
      </c>
      <c r="F216" s="4" t="str">
        <f ca="1">IF(OR(INDEX($AG$2:$AG$1001,MATCH(ROWS($AF$2:AF216),$AF$2:$AF$1001,0),1)&gt;=100000,INDEX($AM$1005:$BM$1005,1,MATCH(COLUMNS($AM$1006:AQ1006),$AM$1006:$BM$1006,0))&gt;=100000), " ",IF(INDEX($AM$2:$BM$1001,MATCH(ROWS($AF$2:AF216),$AF$2:$AF$1001,0),MATCH(COLUMNS($AM$1006:AQ1006),$AM$1006:$BM$1006,0)), HYPERLINK("#",""), HYPERLINK(CONCATENATE("#metadata!", ADDRESS(INDEX($AH$2:$AH$1001,MATCH(ROWS($AF$2:AF216),$AF$2:$AF$1001,0),0), INDEX($AM$1004:$BM$1004,1,MATCH(COLUMNS($AM$1006:AQ1006),$AM$1006:$BM$1006,0)))),"Fix")))</f>
        <v xml:space="preserve"> </v>
      </c>
      <c r="G216" s="4" t="str">
        <f ca="1">IF(OR(INDEX($AG$2:$AG$1001,MATCH(ROWS($AF$2:AF216),$AF$2:$AF$1001,0),1)&gt;=100000,INDEX($AM$1005:$BM$1005,1,MATCH(COLUMNS($AM$1006:AR1006),$AM$1006:$BM$1006,0))&gt;=100000), " ",IF(INDEX($AM$2:$BM$1001,MATCH(ROWS($AF$2:AF216),$AF$2:$AF$1001,0),MATCH(COLUMNS($AM$1006:AR1006),$AM$1006:$BM$1006,0)), HYPERLINK("#",""), HYPERLINK(CONCATENATE("#metadata!", ADDRESS(INDEX($AH$2:$AH$1001,MATCH(ROWS($AF$2:AF216),$AF$2:$AF$1001,0),0), INDEX($AM$1004:$BM$1004,1,MATCH(COLUMNS($AM$1006:AR1006),$AM$1006:$BM$1006,0)))),"Fix")))</f>
        <v xml:space="preserve"> </v>
      </c>
      <c r="H216" s="4" t="str">
        <f ca="1">IF(OR(INDEX($AG$2:$AG$1001,MATCH(ROWS($AF$2:AF216),$AF$2:$AF$1001,0),1)&gt;=100000,INDEX($AM$1005:$BM$1005,1,MATCH(COLUMNS($AM$1006:AS1006),$AM$1006:$BM$1006,0))&gt;=100000), " ",IF(INDEX($AM$2:$BM$1001,MATCH(ROWS($AF$2:AF216),$AF$2:$AF$1001,0),MATCH(COLUMNS($AM$1006:AS1006),$AM$1006:$BM$1006,0)), HYPERLINK("#",""), HYPERLINK(CONCATENATE("#metadata!", ADDRESS(INDEX($AH$2:$AH$1001,MATCH(ROWS($AF$2:AF216),$AF$2:$AF$1001,0),0), INDEX($AM$1004:$BM$1004,1,MATCH(COLUMNS($AM$1006:AS1006),$AM$1006:$BM$1006,0)))),"Fix")))</f>
        <v xml:space="preserve"> </v>
      </c>
      <c r="I216" s="4" t="str">
        <f ca="1">IF(OR(INDEX($AG$2:$AG$1001,MATCH(ROWS($AF$2:AF216),$AF$2:$AF$1001,0),1)&gt;=100000,INDEX($AM$1005:$BM$1005,1,MATCH(COLUMNS($AM$1006:AT1006),$AM$1006:$BM$1006,0))&gt;=100000), " ",IF(INDEX($AM$2:$BM$1001,MATCH(ROWS($AF$2:AF216),$AF$2:$AF$1001,0),MATCH(COLUMNS($AM$1006:AT1006),$AM$1006:$BM$1006,0)), HYPERLINK("#",""), HYPERLINK(CONCATENATE("#metadata!", ADDRESS(INDEX($AH$2:$AH$1001,MATCH(ROWS($AF$2:AF216),$AF$2:$AF$1001,0),0), INDEX($AM$1004:$BM$1004,1,MATCH(COLUMNS($AM$1006:AT1006),$AM$1006:$BM$1006,0)))),"Fix")))</f>
        <v xml:space="preserve"> </v>
      </c>
      <c r="J216" s="4" t="str">
        <f ca="1">IF(OR(INDEX($AG$2:$AG$1001,MATCH(ROWS($AF$2:AF216),$AF$2:$AF$1001,0),1)&gt;=100000,INDEX($AM$1005:$BM$1005,1,MATCH(COLUMNS($AM$1006:AU1006),$AM$1006:$BM$1006,0))&gt;=100000), " ",IF(INDEX($AM$2:$BM$1001,MATCH(ROWS($AF$2:AF216),$AF$2:$AF$1001,0),MATCH(COLUMNS($AM$1006:AU1006),$AM$1006:$BM$1006,0)), HYPERLINK("#",""), HYPERLINK(CONCATENATE("#metadata!", ADDRESS(INDEX($AH$2:$AH$1001,MATCH(ROWS($AF$2:AF216),$AF$2:$AF$1001,0),0), INDEX($AM$1004:$BM$1004,1,MATCH(COLUMNS($AM$1006:AU1006),$AM$1006:$BM$1006,0)))),"Fix")))</f>
        <v xml:space="preserve"> </v>
      </c>
      <c r="K216" s="4" t="str">
        <f ca="1">IF(OR(INDEX($AG$2:$AG$1001,MATCH(ROWS($AF$2:AF216),$AF$2:$AF$1001,0),1)&gt;=100000,INDEX($AM$1005:$BM$1005,1,MATCH(COLUMNS($AM$1006:AV1006),$AM$1006:$BM$1006,0))&gt;=100000), " ",IF(INDEX($AM$2:$BM$1001,MATCH(ROWS($AF$2:AF216),$AF$2:$AF$1001,0),MATCH(COLUMNS($AM$1006:AV1006),$AM$1006:$BM$1006,0)), HYPERLINK("#",""), HYPERLINK(CONCATENATE("#metadata!", ADDRESS(INDEX($AH$2:$AH$1001,MATCH(ROWS($AF$2:AF216),$AF$2:$AF$1001,0),0), INDEX($AM$1004:$BM$1004,1,MATCH(COLUMNS($AM$1006:AV1006),$AM$1006:$BM$1006,0)))),"Fix")))</f>
        <v xml:space="preserve"> </v>
      </c>
      <c r="L216" s="4" t="str">
        <f ca="1">IF(OR(INDEX($AG$2:$AG$1001,MATCH(ROWS($AF$2:AF216),$AF$2:$AF$1001,0),1)&gt;=100000,INDEX($AM$1005:$BM$1005,1,MATCH(COLUMNS($AM$1006:AW1006),$AM$1006:$BM$1006,0))&gt;=100000), " ",IF(INDEX($AM$2:$BM$1001,MATCH(ROWS($AF$2:AF216),$AF$2:$AF$1001,0),MATCH(COLUMNS($AM$1006:AW1006),$AM$1006:$BM$1006,0)), HYPERLINK("#",""), HYPERLINK(CONCATENATE("#metadata!", ADDRESS(INDEX($AH$2:$AH$1001,MATCH(ROWS($AF$2:AF216),$AF$2:$AF$1001,0),0), INDEX($AM$1004:$BM$1004,1,MATCH(COLUMNS($AM$1006:AW1006),$AM$1006:$BM$1006,0)))),"Fix")))</f>
        <v xml:space="preserve"> </v>
      </c>
      <c r="M216" s="4" t="str">
        <f ca="1">IF(OR(INDEX($AG$2:$AG$1001,MATCH(ROWS($AF$2:AF216),$AF$2:$AF$1001,0),1)&gt;=100000,INDEX($AM$1005:$BM$1005,1,MATCH(COLUMNS($AM$1006:AX1006),$AM$1006:$BM$1006,0))&gt;=100000), " ",IF(INDEX($AM$2:$BM$1001,MATCH(ROWS($AF$2:AF216),$AF$2:$AF$1001,0),MATCH(COLUMNS($AM$1006:AX1006),$AM$1006:$BM$1006,0)), HYPERLINK("#",""), HYPERLINK(CONCATENATE("#metadata!", ADDRESS(INDEX($AH$2:$AH$1001,MATCH(ROWS($AF$2:AF216),$AF$2:$AF$1001,0),0), INDEX($AM$1004:$BM$1004,1,MATCH(COLUMNS($AM$1006:AX1006),$AM$1006:$BM$1006,0)))),"Fix")))</f>
        <v xml:space="preserve"> </v>
      </c>
      <c r="N216" s="4" t="str">
        <f ca="1">IF(OR(INDEX($AG$2:$AG$1001,MATCH(ROWS($AF$2:AF216),$AF$2:$AF$1001,0),1)&gt;=100000,INDEX($AM$1005:$BM$1005,1,MATCH(COLUMNS($AM$1006:AY1006),$AM$1006:$BM$1006,0))&gt;=100000), " ",IF(INDEX($AM$2:$BM$1001,MATCH(ROWS($AF$2:AF216),$AF$2:$AF$1001,0),MATCH(COLUMNS($AM$1006:AY1006),$AM$1006:$BM$1006,0)), HYPERLINK("#",""), HYPERLINK(CONCATENATE("#metadata!", ADDRESS(INDEX($AH$2:$AH$1001,MATCH(ROWS($AF$2:AF216),$AF$2:$AF$1001,0),0), INDEX($AM$1004:$BM$1004,1,MATCH(COLUMNS($AM$1006:AY1006),$AM$1006:$BM$1006,0)))),"Fix")))</f>
        <v xml:space="preserve"> </v>
      </c>
      <c r="O216" s="4" t="str">
        <f ca="1">IF(OR(INDEX($AG$2:$AG$1001,MATCH(ROWS($AF$2:AF216),$AF$2:$AF$1001,0),1)&gt;=100000,INDEX($AM$1005:$BM$1005,1,MATCH(COLUMNS($AM$1006:AZ1006),$AM$1006:$BM$1006,0))&gt;=100000), " ",IF(INDEX($AM$2:$BM$1001,MATCH(ROWS($AF$2:AF216),$AF$2:$AF$1001,0),MATCH(COLUMNS($AM$1006:AZ1006),$AM$1006:$BM$1006,0)), HYPERLINK("#",""), HYPERLINK(CONCATENATE("#metadata!", ADDRESS(INDEX($AH$2:$AH$1001,MATCH(ROWS($AF$2:AF216),$AF$2:$AF$1001,0),0), INDEX($AM$1004:$BM$1004,1,MATCH(COLUMNS($AM$1006:AZ1006),$AM$1006:$BM$1006,0)))),"Fix")))</f>
        <v xml:space="preserve"> </v>
      </c>
      <c r="P216" s="4" t="str">
        <f ca="1">IF(OR(INDEX($AG$2:$AG$1001,MATCH(ROWS($AF$2:AF216),$AF$2:$AF$1001,0),1)&gt;=100000,INDEX($AM$1005:$BM$1005,1,MATCH(COLUMNS($AM$1006:BA1006),$AM$1006:$BM$1006,0))&gt;=100000), " ",IF(INDEX($AM$2:$BM$1001,MATCH(ROWS($AF$2:AF216),$AF$2:$AF$1001,0),MATCH(COLUMNS($AM$1006:BA1006),$AM$1006:$BM$1006,0)), HYPERLINK("#",""), HYPERLINK(CONCATENATE("#metadata!", ADDRESS(INDEX($AH$2:$AH$1001,MATCH(ROWS($AF$2:AF216),$AF$2:$AF$1001,0),0), INDEX($AM$1004:$BM$1004,1,MATCH(COLUMNS($AM$1006:BA1006),$AM$1006:$BM$1006,0)))),"Fix")))</f>
        <v xml:space="preserve"> </v>
      </c>
      <c r="Q216" s="4" t="str">
        <f ca="1">IF(OR(INDEX($AG$2:$AG$1001,MATCH(ROWS($AF$2:AF216),$AF$2:$AF$1001,0),1)&gt;=100000,INDEX($AM$1005:$BM$1005,1,MATCH(COLUMNS($AM$1006:BB1006),$AM$1006:$BM$1006,0))&gt;=100000), " ",IF(INDEX($AM$2:$BM$1001,MATCH(ROWS($AF$2:AF216),$AF$2:$AF$1001,0),MATCH(COLUMNS($AM$1006:BB1006),$AM$1006:$BM$1006,0)), HYPERLINK("#",""), HYPERLINK(CONCATENATE("#metadata!", ADDRESS(INDEX($AH$2:$AH$1001,MATCH(ROWS($AF$2:AF216),$AF$2:$AF$1001,0),0), INDEX($AM$1004:$BM$1004,1,MATCH(COLUMNS($AM$1006:BB1006),$AM$1006:$BM$1006,0)))),"Fix")))</f>
        <v xml:space="preserve"> </v>
      </c>
      <c r="R216" s="4" t="str">
        <f ca="1">IF(OR(INDEX($AG$2:$AG$1001,MATCH(ROWS($AF$2:AF216),$AF$2:$AF$1001,0),1)&gt;=100000,INDEX($AM$1005:$BM$1005,1,MATCH(COLUMNS($AM$1006:BC1006),$AM$1006:$BM$1006,0))&gt;=100000), " ",IF(INDEX($AM$2:$BM$1001,MATCH(ROWS($AF$2:AF216),$AF$2:$AF$1001,0),MATCH(COLUMNS($AM$1006:BC1006),$AM$1006:$BM$1006,0)), HYPERLINK("#",""), HYPERLINK(CONCATENATE("#metadata!", ADDRESS(INDEX($AH$2:$AH$1001,MATCH(ROWS($AF$2:AF216),$AF$2:$AF$1001,0),0), INDEX($AM$1004:$BM$1004,1,MATCH(COLUMNS($AM$1006:BC1006),$AM$1006:$BM$1006,0)))),"Fix")))</f>
        <v xml:space="preserve"> </v>
      </c>
      <c r="S216" s="4" t="str">
        <f ca="1">IF(OR(INDEX($AG$2:$AG$1001,MATCH(ROWS($AF$2:AF216),$AF$2:$AF$1001,0),1)&gt;=100000,INDEX($AM$1005:$BM$1005,1,MATCH(COLUMNS($AM$1006:BD1006),$AM$1006:$BM$1006,0))&gt;=100000), " ",IF(INDEX($AM$2:$BM$1001,MATCH(ROWS($AF$2:AF216),$AF$2:$AF$1001,0),MATCH(COLUMNS($AM$1006:BD1006),$AM$1006:$BM$1006,0)), HYPERLINK("#",""), HYPERLINK(CONCATENATE("#metadata!", ADDRESS(INDEX($AH$2:$AH$1001,MATCH(ROWS($AF$2:AF216),$AF$2:$AF$1001,0),0), INDEX($AM$1004:$BM$1004,1,MATCH(COLUMNS($AM$1006:BD1006),$AM$1006:$BM$1006,0)))),"Fix")))</f>
        <v xml:space="preserve"> </v>
      </c>
      <c r="T216" s="4" t="str">
        <f ca="1">IF(OR(INDEX($AG$2:$AG$1001,MATCH(ROWS($AF$2:AF216),$AF$2:$AF$1001,0),1)&gt;=100000,INDEX($AM$1005:$BM$1005,1,MATCH(COLUMNS($AM$1006:BE1006),$AM$1006:$BM$1006,0))&gt;=100000), " ",IF(INDEX($AM$2:$BM$1001,MATCH(ROWS($AF$2:AF216),$AF$2:$AF$1001,0),MATCH(COLUMNS($AM$1006:BE1006),$AM$1006:$BM$1006,0)), HYPERLINK("#",""), HYPERLINK(CONCATENATE("#metadata!", ADDRESS(INDEX($AH$2:$AH$1001,MATCH(ROWS($AF$2:AF216),$AF$2:$AF$1001,0),0), INDEX($AM$1004:$BM$1004,1,MATCH(COLUMNS($AM$1006:BE1006),$AM$1006:$BM$1006,0)))),"Fix")))</f>
        <v xml:space="preserve"> </v>
      </c>
      <c r="U216" s="4" t="str">
        <f ca="1">IF(OR(INDEX($AG$2:$AG$1001,MATCH(ROWS($AF$2:AF216),$AF$2:$AF$1001,0),1)&gt;=100000,INDEX($AM$1005:$BM$1005,1,MATCH(COLUMNS($AM$1006:BF1006),$AM$1006:$BM$1006,0))&gt;=100000), " ",IF(INDEX($AM$2:$BM$1001,MATCH(ROWS($AF$2:AF216),$AF$2:$AF$1001,0),MATCH(COLUMNS($AM$1006:BF1006),$AM$1006:$BM$1006,0)), HYPERLINK("#",""), HYPERLINK(CONCATENATE("#metadata!", ADDRESS(INDEX($AH$2:$AH$1001,MATCH(ROWS($AF$2:AF216),$AF$2:$AF$1001,0),0), INDEX($AM$1004:$BM$1004,1,MATCH(COLUMNS($AM$1006:BF1006),$AM$1006:$BM$1006,0)))),"Fix")))</f>
        <v xml:space="preserve"> </v>
      </c>
      <c r="V216" s="4" t="str">
        <f ca="1">IF(OR(INDEX($AG$2:$AG$1001,MATCH(ROWS($AF$2:AF216),$AF$2:$AF$1001,0),1)&gt;=100000,INDEX($AM$1005:$BM$1005,1,MATCH(COLUMNS($AM$1006:BG1006),$AM$1006:$BM$1006,0))&gt;=100000), " ",IF(INDEX($AM$2:$BM$1001,MATCH(ROWS($AF$2:AF216),$AF$2:$AF$1001,0),MATCH(COLUMNS($AM$1006:BG1006),$AM$1006:$BM$1006,0)), HYPERLINK("#",""), HYPERLINK(CONCATENATE("#metadata!", ADDRESS(INDEX($AH$2:$AH$1001,MATCH(ROWS($AF$2:AF216),$AF$2:$AF$1001,0),0), INDEX($AM$1004:$BM$1004,1,MATCH(COLUMNS($AM$1006:BG1006),$AM$1006:$BM$1006,0)))),"Fix")))</f>
        <v xml:space="preserve"> </v>
      </c>
      <c r="W216" s="4" t="str">
        <f ca="1">IF(OR(INDEX($AG$2:$AG$1001,MATCH(ROWS($AF$2:AF216),$AF$2:$AF$1001,0),1)&gt;=100000,INDEX($AM$1005:$BM$1005,1,MATCH(COLUMNS($AM$1006:BH1006),$AM$1006:$BM$1006,0))&gt;=100000), " ",IF(INDEX($AM$2:$BM$1001,MATCH(ROWS($AF$2:AF216),$AF$2:$AF$1001,0),MATCH(COLUMNS($AM$1006:BH1006),$AM$1006:$BM$1006,0)), HYPERLINK("#",""), HYPERLINK(CONCATENATE("#metadata!", ADDRESS(INDEX($AH$2:$AH$1001,MATCH(ROWS($AF$2:AF216),$AF$2:$AF$1001,0),0), INDEX($AM$1004:$BM$1004,1,MATCH(COLUMNS($AM$1006:BH1006),$AM$1006:$BM$1006,0)))),"Fix")))</f>
        <v xml:space="preserve"> </v>
      </c>
      <c r="X216" s="4" t="str">
        <f ca="1">IF(OR(INDEX($AG$2:$AG$1001,MATCH(ROWS($AF$2:AF216),$AF$2:$AF$1001,0),1)&gt;=100000,INDEX($AM$1005:$BM$1005,1,MATCH(COLUMNS($AM$1006:BI1006),$AM$1006:$BM$1006,0))&gt;=100000), " ",IF(INDEX($AM$2:$BM$1001,MATCH(ROWS($AF$2:AF216),$AF$2:$AF$1001,0),MATCH(COLUMNS($AM$1006:BI1006),$AM$1006:$BM$1006,0)), HYPERLINK("#",""), HYPERLINK(CONCATENATE("#metadata!", ADDRESS(INDEX($AH$2:$AH$1001,MATCH(ROWS($AF$2:AF216),$AF$2:$AF$1001,0),0), INDEX($AM$1004:$BM$1004,1,MATCH(COLUMNS($AM$1006:BI1006),$AM$1006:$BM$1006,0)))),"Fix")))</f>
        <v xml:space="preserve"> </v>
      </c>
      <c r="Y216" s="4" t="str">
        <f ca="1">IF(OR(INDEX($AG$2:$AG$1001,MATCH(ROWS($AF$2:AF216),$AF$2:$AF$1001,0),1)&gt;=100000,INDEX($AM$1005:$BM$1005,1,MATCH(COLUMNS($AM$1006:BJ1006),$AM$1006:$BM$1006,0))&gt;=100000), " ",IF(INDEX($AM$2:$BM$1001,MATCH(ROWS($AF$2:AF216),$AF$2:$AF$1001,0),MATCH(COLUMNS($AM$1006:BJ1006),$AM$1006:$BM$1006,0)), HYPERLINK("#",""), HYPERLINK(CONCATENATE("#metadata!", ADDRESS(INDEX($AH$2:$AH$1001,MATCH(ROWS($AF$2:AF216),$AF$2:$AF$1001,0),0), INDEX($AM$1004:$BM$1004,1,MATCH(COLUMNS($AM$1006:BJ1006),$AM$1006:$BM$1006,0)))),"Fix")))</f>
        <v xml:space="preserve"> </v>
      </c>
      <c r="Z216" s="4" t="str">
        <f ca="1">IF(OR(INDEX($AG$2:$AG$1001,MATCH(ROWS($AF$2:AF216),$AF$2:$AF$1001,0),1)&gt;=100000,INDEX($AM$1005:$BM$1005,1,MATCH(COLUMNS($AM$1006:BK1006),$AM$1006:$BM$1006,0))&gt;=100000), " ",IF(INDEX($AM$2:$BM$1001,MATCH(ROWS($AF$2:AF216),$AF$2:$AF$1001,0),MATCH(COLUMNS($AM$1006:BK1006),$AM$1006:$BM$1006,0)), HYPERLINK("#",""), HYPERLINK(CONCATENATE("#metadata!", ADDRESS(INDEX($AH$2:$AH$1001,MATCH(ROWS($AF$2:AF216),$AF$2:$AF$1001,0),0), INDEX($AM$1004:$BM$1004,1,MATCH(COLUMNS($AM$1006:BK1006),$AM$1006:$BM$1006,0)))),"Fix")))</f>
        <v xml:space="preserve"> </v>
      </c>
      <c r="AA216" s="4" t="str">
        <f ca="1">IF(OR(INDEX($AG$2:$AG$1001,MATCH(ROWS($AF$2:AF216),$AF$2:$AF$1001,0),1)&gt;=100000,INDEX($AM$1005:$BM$1005,1,MATCH(COLUMNS($AM$1006:BL1006),$AM$1006:$BM$1006,0))&gt;=100000), " ",IF(INDEX($AM$2:$BM$1001,MATCH(ROWS($AF$2:AF216),$AF$2:$AF$1001,0),MATCH(COLUMNS($AM$1006:BL1006),$AM$1006:$BM$1006,0)), HYPERLINK("#",""), HYPERLINK(CONCATENATE("#metadata!", ADDRESS(INDEX($AH$2:$AH$1001,MATCH(ROWS($AF$2:AF216),$AF$2:$AF$1001,0),0), INDEX($AM$1004:$BM$1004,1,MATCH(COLUMNS($AM$1006:BL1006),$AM$1006:$BM$1006,0)))),"Fix")))</f>
        <v xml:space="preserve"> </v>
      </c>
      <c r="AB216" s="4" t="str">
        <f ca="1">IF(OR(INDEX($AG$2:$AG$1001,MATCH(ROWS($AF$2:AF216),$AF$2:$AF$1001,0),1)&gt;=100000,INDEX($AM$1005:$BM$1005,1,MATCH(COLUMNS($AM$1006:BM1006),$AM$1006:$BM$1006,0))&gt;=100000), " ",IF(INDEX($AM$2:$BM$1001,MATCH(ROWS($AF$2:AF216),$AF$2:$AF$1001,0),MATCH(COLUMNS($AM$1006:BM1006),$AM$1006:$BM$1006,0)), HYPERLINK("#",""), HYPERLINK(CONCATENATE("#metadata!", ADDRESS(INDEX($AH$2:$AH$1001,MATCH(ROWS($AF$2:AF216),$AF$2:$AF$1001,0),0), INDEX($AM$1004:$BM$1004,1,MATCH(COLUMNS($AM$1006:BM1006),$AM$1006:$BM$1006,0)))),"Fix")))</f>
        <v xml:space="preserve"> </v>
      </c>
      <c r="AF216">
        <v>215</v>
      </c>
      <c r="AG216">
        <v>100216</v>
      </c>
      <c r="AH216">
        <v>216</v>
      </c>
      <c r="AI216" t="b">
        <f t="shared" si="3"/>
        <v>1</v>
      </c>
      <c r="AJ216" t="b">
        <f>COUNTBLANK(metadata!B216:AB216)=COLUMNS(metadata!B216:AB216)</f>
        <v>1</v>
      </c>
      <c r="AK216" t="str">
        <v/>
      </c>
      <c r="AM216" t="b">
        <f ca="1">AND(IF(metadata!B216="",FALSE,TRUE),COUNTIF(metadata!B:B, metadata!B216) = 1,NOT(ISERROR(SUMPRODUCT(SEARCH(MID(metadata!B216,ROW(INDIRECT("1:"&amp;LEN(metadata!B216))), 1),"0123456789abcdefghijklmnopqrstuvwxyzABCDEFGHIJKLMNOPQRSTUVWXYZ.")))))</f>
        <v>0</v>
      </c>
      <c r="AN216" t="b">
        <f ca="1">OR(AND(IF(metadata!C216="",FALSE,TRUE),OR(EXACT(metadata!C216,"missing: not collected"),EXACT(metadata!C216,"missing: not provided"),EXACT(metadata!C216,"missing: restricted access"))),AND(IF(metadata!C216="",FALSE,TRUE),AND(AND(IFERROR(INT(LEFT(metadata!C216,4))&gt;1900,FALSE),IFERROR(INT(LEFT(metadata!C216,4))&lt;=YEAR(NOW()),FALSE)), OR(MID(metadata!C216,5,1)="", AND(AND(MID(metadata!C216,5,1)="-",IFERROR(INT(MID(metadata!C216,6,1))&gt;=0,FALSE),IFERROR(INT(MID(metadata!C216,6,1))&lt;=1,FALSE),NOT(MID(metadata!C216,7,1)=""),IFERROR(INT(MID(metadata!C216,6,2))&gt;=1,FALSE),IFERROR(INT(MID(metadata!C216,6,2))&lt;=12,FALSE)), OR(MID(metadata!C216,8,1)="", AND(AND(MID(metadata!C216,8,1)="-",IFERROR(INT(MID(metadata!C216,9,1))&gt;=0,FALSE),IFERROR(INT(MID(metadata!C216,9,1))&lt;=3,FALSE),NOT(MID(metadata!C216,10,1)=""),IFERROR(INT(MID(metadata!C216,9,2))&gt;=1,FALSE),IFERROR(INT(MID(metadata!C216,9,2))&lt;=31,FALSE)), OR(MID(metadata!C216,11,1)="", AND(AND(MID(metadata!C216,11,1)=" ",IFERROR(INT(MID(metadata!C216,12,1))&gt;=0,FALSE),IFERROR(INT(MID(metadata!C216,12,1))&lt;=2,FALSE),NOT(MID(metadata!C216,13,1)=""),IFERROR(INT(MID(metadata!C216,12,2))&gt;=0,FALSE),IFERROR(INT(MID(metadata!C216,12,2))&lt;=23,FALSE)), OR(MID(metadata!C216,14,1)="", AND(AND(MID(metadata!C216,14,1)=":",IFERROR(INT(MID(metadata!C216,15,1))&gt;=0,FALSE),IFERROR(INT(MID(metadata!C216,15,1))&lt;=5,FALSE),NOT(MID(metadata!C216,16,1)=""),IFERROR(INT(MID(metadata!C216,15,2))&gt;=0,FALSE),IFERROR(INT(MID(metadata!C216,15,2))&lt;=59,FALSE)), OR(MID(metadata!C216,17,1)="", AND(AND(MID(metadata!C216,17,1)=":",IFERROR(INT(MID(metadata!C216,18,1))&gt;=0,FALSE),IFERROR(INT(MID(metadata!C216,18,1))&lt;=5,FALSE),NOT(MID(metadata!C216,19,1)=""),IFERROR(INT(MID(metadata!C216,18,2))&gt;=0,FALSE),IFERROR(INT(MID(metadata!C216,18,2))&lt;=59,FALSE)), LEN(metadata!C216)&lt;=19)))))))))))))</f>
        <v>0</v>
      </c>
      <c r="AO216" t="b">
        <f>AND(IF(metadata!D216="",FALSE,TRUE),EXACT(metadata!D216,"Not applicable"))</f>
        <v>0</v>
      </c>
      <c r="AP216" t="b">
        <f>IF(metadata!E216="",FALSE,TRUE)</f>
        <v>0</v>
      </c>
      <c r="AQ216" t="b">
        <f>OR(AND(IF(metadata!F216="",FALSE,TRUE),OR(EXACT(metadata!F216,"missing: not collected"),EXACT(metadata!F216,"missing: not provided"))),AND(IF(metadata!F216="",FALSE,TRUE),OR(EXACT(metadata!F216,"TRUE"),EXACT(metadata!F216,"FALSE"))))</f>
        <v>0</v>
      </c>
      <c r="AR216" t="b">
        <f>OR(AND(IF(metadata!G216="",FALSE,TRUE),OR(EXACT(metadata!G216,"missing: not collected"),EXACT(metadata!G216,"missing: not provided"),EXACT(metadata!G216,"missing: restricted access"))),AND(IF(metadata!G216="",FALSE,ISNUMBER(VALUE(metadata!G216))),metadata!G216&gt;=-413))</f>
        <v>0</v>
      </c>
      <c r="AS216" t="b">
        <f>AND(IF(metadata!H216="",FALSE,TRUE),EXACT(metadata!H216,"meters"))</f>
        <v>0</v>
      </c>
      <c r="AT216" t="b">
        <f>AND(IF(metadata!I216="",FALSE,TRUE),OR(EXACT(metadata!I216,"Host-associated"),EXACT(metadata!I216,"Free-living")))</f>
        <v>0</v>
      </c>
      <c r="AU216" t="b">
        <f>AND(IF(metadata!J216="",FALSE,TRUE),OR(EXACT(metadata!J216,"Animal"),EXACT(metadata!J216,"Fungus"),EXACT(metadata!J216,"Plant"),EXACT(metadata!J216,"Saline"),EXACT(metadata!J216,"Non-saline")))</f>
        <v>0</v>
      </c>
      <c r="AV216" t="b">
        <f>AND(IF(metadata!K216="",FALSE,TRUE),OR(EXACT(metadata!K216,"Plant secretion"),EXACT(metadata!K216,"Plant rhizosphere"),EXACT(metadata!K216,"Plant surface"),EXACT(metadata!K216,"Plant corpus"),EXACT(metadata!K216,"Fungus surface"),EXACT(metadata!K216,"Fungus corpus"),EXACT(metadata!K216,"Animal surface"),EXACT(metadata!K216,"Animal proximal gut"),EXACT(metadata!K216,"Animal corpus"),EXACT(metadata!K216,"Animal distal gut"),EXACT(metadata!K216,"Animal secretion"),EXACT(metadata!K216,"Sub-surface (non-saline)"),EXACT(metadata!K216,"Surface (non-saline)"),EXACT(metadata!K216,"Water (non-saline)"),EXACT(metadata!K216,"Soil (non-saline)"),EXACT(metadata!K216,"Aerosol (non-saline)"),EXACT(metadata!K216,"Sediment (non-saline)"),EXACT(metadata!K216,"Surface (saline)"),EXACT(metadata!K216,"Water (saline)"),EXACT(metadata!K216,"Hypersaline (saline)"),EXACT(metadata!K216,"Aerosol (saline)"),EXACT(metadata!K216,"Sediment (saline)")))</f>
        <v>0</v>
      </c>
      <c r="AW216" t="b">
        <f>IF(metadata!L216="",FALSE,TRUE)</f>
        <v>0</v>
      </c>
      <c r="AX216" t="b">
        <f>IF(metadata!M216="",FALSE,TRUE)</f>
        <v>0</v>
      </c>
      <c r="AY216" t="b">
        <f>IF(metadata!N216="",FALSE,TRUE)</f>
        <v>0</v>
      </c>
      <c r="AZ216" t="b">
        <f>OR(AND(IF(metadata!O216="",FALSE,TRUE),OR(EXACT(metadata!O216,"missing: not collected"),EXACT(metadata!O216,"missing: not provided"),EXACT(metadata!O216,"missing: restricted access"))),AND(IF(metadata!O216="",FALSE,TRUE),OR(EXACT(metadata!O216,"air"),EXACT(metadata!O216,"built environment"),EXACT(metadata!O216,"host-associated"),EXACT(metadata!O216,"human-associated"),EXACT(metadata!O216,"human-skin"),EXACT(metadata!O216,"human-oral"),EXACT(metadata!O216,"human-gut"),EXACT(metadata!O216,"human-vaginal"),EXACT(metadata!O216,"microbial mat/biofilm"),EXACT(metadata!O216,"misc environment"),EXACT(metadata!O216,"plant-associated"),EXACT(metadata!O216,"sediment"),EXACT(metadata!O216,"soil"),EXACT(metadata!O216,"wastewater/sludge"),EXACT(metadata!O216,"water"))))</f>
        <v>0</v>
      </c>
      <c r="BA216" t="b">
        <f>IF(metadata!P216="",FALSE,TRUE)</f>
        <v>0</v>
      </c>
      <c r="BB216" t="b">
        <f>IF(metadata!Q216="",FALSE,TRUE)</f>
        <v>0</v>
      </c>
      <c r="BC216" t="b">
        <f>OR(AND(IF(metadata!R216="",FALSE,TRUE),OR(EXACT(metadata!R216,"missing: not collected"),EXACT(metadata!R216,"missing: not provided"),EXACT(metadata!R216,"missing: restricted access"))),AND(IF(metadata!R216="",FALSE,ISNUMBER(VALUE(metadata!R216))),metadata!R216&gt;=-90,metadata!R216&lt;=90))</f>
        <v>0</v>
      </c>
      <c r="BD216" t="b">
        <f>AND(IF(metadata!S216="",FALSE,TRUE),EXACT(metadata!S216,"Decimal degrees"))</f>
        <v>0</v>
      </c>
      <c r="BE216" t="b">
        <f>OR(AND(IF(metadata!T216="",FALSE,TRUE),OR(EXACT(metadata!T216,"missing: not collected"),EXACT(metadata!T216,"missing: not provided"),EXACT(metadata!T216,"missing: restricted access"))),AND(IF(metadata!T216="",FALSE,ISNUMBER(VALUE(metadata!T216))),metadata!T216&gt;=-180,metadata!T216&lt;=180))</f>
        <v>0</v>
      </c>
      <c r="BF216" t="b">
        <f>AND(IF(metadata!U216="",FALSE,TRUE),EXACT(metadata!U216,"Decimal degrees"))</f>
        <v>0</v>
      </c>
      <c r="BG216" t="b">
        <f>IF(metadata!V216="",FALSE,TRUE)</f>
        <v>0</v>
      </c>
      <c r="BH216" t="b">
        <f>OR(AND(IF(metadata!W216="",FALSE,TRUE),OR(EXACT(metadata!W216,"missing: not collected"),EXACT(metadata!W216,"missing: not provided"),EXACT(metadata!W216,"missing: restricted access"))),AND(IF(metadata!W216="",FALSE,TRUE),OR(EXACT(metadata!W216,"TRUE"),EXACT(metadata!W216,"FALSE"))))</f>
        <v>0</v>
      </c>
      <c r="BI216" t="b">
        <f>AND(IF(metadata!X216="",FALSE,TRUE),EXACT(metadata!X216,"other"))</f>
        <v>0</v>
      </c>
      <c r="BJ216" t="b">
        <f>IF(metadata!Y216="",FALSE,TRUE)</f>
        <v>0</v>
      </c>
      <c r="BK216" t="b">
        <f>OR(AND(IF(metadata!Z216="",FALSE,TRUE),OR(EXACT(metadata!Z216,"missing: not collected"),EXACT(metadata!Z216,"missing: not provided"))),AND(IF(metadata!Z216="",FALSE,IF(ISERROR(INT(metadata!Z216)),FALSE,INT(metadata!Z216)=metadata!Z216)),metadata!Z216&gt;0))</f>
        <v>0</v>
      </c>
      <c r="BL216" t="b">
        <f>AND(IF(metadata!AA216="",FALSE,TRUE),EXACT(metadata!AA216,"Not applicable"))</f>
        <v>0</v>
      </c>
      <c r="BM216" t="b">
        <f>IF(metadata!AB216="",FALSE,TRUE)</f>
        <v>0</v>
      </c>
    </row>
    <row r="217" spans="1:65" x14ac:dyDescent="0.2">
      <c r="A217" s="5" t="str">
        <f ca="1">IF(B217=" "," ",HYPERLINK(CONCATENATE("#metadata!",ADDRESS(INDEX($AH$2:$AH$1001,MATCH(ROWS($AF$2:AF217),$AF$2:$AF$1001,0),0),1)),INDEX($AK$2:$AK$1001,MATCH(ROWS($AF$2:AF217),$AF$2:$AF$1001,0),0)))</f>
        <v xml:space="preserve"> </v>
      </c>
      <c r="B217" s="4" t="str">
        <f ca="1">IF(OR(INDEX($AG$2:$AG$1001,MATCH(ROWS($AF$2:AF217),$AF$2:$AF$1001,0),1)&gt;=100000,INDEX($AM$1005:$BM$1005,1,MATCH(COLUMNS($AM$1006:AM1006),$AM$1006:$BM$1006,0))&gt;=100000), " ",IF(INDEX($AM$2:$BM$1001,MATCH(ROWS($AF$2:AF217),$AF$2:$AF$1001,0),MATCH(COLUMNS($AM$1006:AM1006),$AM$1006:$BM$1006,0)), HYPERLINK("#",""), HYPERLINK(CONCATENATE("#metadata!", ADDRESS(INDEX($AH$2:$AH$1001,MATCH(ROWS($AF$2:AF217),$AF$2:$AF$1001,0),0), INDEX($AM$1004:$BM$1004,1,MATCH(COLUMNS($AM$1006:AM1006),$AM$1006:$BM$1006,0)))),"Fix")))</f>
        <v xml:space="preserve"> </v>
      </c>
      <c r="C217" s="4" t="str">
        <f ca="1">IF(OR(INDEX($AG$2:$AG$1001,MATCH(ROWS($AF$2:AF217),$AF$2:$AF$1001,0),1)&gt;=100000,INDEX($AM$1005:$BM$1005,1,MATCH(COLUMNS($AM$1006:AN1006),$AM$1006:$BM$1006,0))&gt;=100000), " ",IF(INDEX($AM$2:$BM$1001,MATCH(ROWS($AF$2:AF217),$AF$2:$AF$1001,0),MATCH(COLUMNS($AM$1006:AN1006),$AM$1006:$BM$1006,0)), HYPERLINK("#",""), HYPERLINK(CONCATENATE("#metadata!", ADDRESS(INDEX($AH$2:$AH$1001,MATCH(ROWS($AF$2:AF217),$AF$2:$AF$1001,0),0), INDEX($AM$1004:$BM$1004,1,MATCH(COLUMNS($AM$1006:AN1006),$AM$1006:$BM$1006,0)))),"Fix")))</f>
        <v xml:space="preserve"> </v>
      </c>
      <c r="D217" s="4" t="str">
        <f ca="1">IF(OR(INDEX($AG$2:$AG$1001,MATCH(ROWS($AF$2:AF217),$AF$2:$AF$1001,0),1)&gt;=100000,INDEX($AM$1005:$BM$1005,1,MATCH(COLUMNS($AM$1006:AO1006),$AM$1006:$BM$1006,0))&gt;=100000), " ",IF(INDEX($AM$2:$BM$1001,MATCH(ROWS($AF$2:AF217),$AF$2:$AF$1001,0),MATCH(COLUMNS($AM$1006:AO1006),$AM$1006:$BM$1006,0)), HYPERLINK("#",""), HYPERLINK(CONCATENATE("#metadata!", ADDRESS(INDEX($AH$2:$AH$1001,MATCH(ROWS($AF$2:AF217),$AF$2:$AF$1001,0),0), INDEX($AM$1004:$BM$1004,1,MATCH(COLUMNS($AM$1006:AO1006),$AM$1006:$BM$1006,0)))),"Fix")))</f>
        <v xml:space="preserve"> </v>
      </c>
      <c r="E217" s="4" t="str">
        <f ca="1">IF(OR(INDEX($AG$2:$AG$1001,MATCH(ROWS($AF$2:AF217),$AF$2:$AF$1001,0),1)&gt;=100000,INDEX($AM$1005:$BM$1005,1,MATCH(COLUMNS($AM$1006:AP1006),$AM$1006:$BM$1006,0))&gt;=100000), " ",IF(INDEX($AM$2:$BM$1001,MATCH(ROWS($AF$2:AF217),$AF$2:$AF$1001,0),MATCH(COLUMNS($AM$1006:AP1006),$AM$1006:$BM$1006,0)), HYPERLINK("#",""), HYPERLINK(CONCATENATE("#metadata!", ADDRESS(INDEX($AH$2:$AH$1001,MATCH(ROWS($AF$2:AF217),$AF$2:$AF$1001,0),0), INDEX($AM$1004:$BM$1004,1,MATCH(COLUMNS($AM$1006:AP1006),$AM$1006:$BM$1006,0)))),"Fix")))</f>
        <v xml:space="preserve"> </v>
      </c>
      <c r="F217" s="4" t="str">
        <f ca="1">IF(OR(INDEX($AG$2:$AG$1001,MATCH(ROWS($AF$2:AF217),$AF$2:$AF$1001,0),1)&gt;=100000,INDEX($AM$1005:$BM$1005,1,MATCH(COLUMNS($AM$1006:AQ1006),$AM$1006:$BM$1006,0))&gt;=100000), " ",IF(INDEX($AM$2:$BM$1001,MATCH(ROWS($AF$2:AF217),$AF$2:$AF$1001,0),MATCH(COLUMNS($AM$1006:AQ1006),$AM$1006:$BM$1006,0)), HYPERLINK("#",""), HYPERLINK(CONCATENATE("#metadata!", ADDRESS(INDEX($AH$2:$AH$1001,MATCH(ROWS($AF$2:AF217),$AF$2:$AF$1001,0),0), INDEX($AM$1004:$BM$1004,1,MATCH(COLUMNS($AM$1006:AQ1006),$AM$1006:$BM$1006,0)))),"Fix")))</f>
        <v xml:space="preserve"> </v>
      </c>
      <c r="G217" s="4" t="str">
        <f ca="1">IF(OR(INDEX($AG$2:$AG$1001,MATCH(ROWS($AF$2:AF217),$AF$2:$AF$1001,0),1)&gt;=100000,INDEX($AM$1005:$BM$1005,1,MATCH(COLUMNS($AM$1006:AR1006),$AM$1006:$BM$1006,0))&gt;=100000), " ",IF(INDEX($AM$2:$BM$1001,MATCH(ROWS($AF$2:AF217),$AF$2:$AF$1001,0),MATCH(COLUMNS($AM$1006:AR1006),$AM$1006:$BM$1006,0)), HYPERLINK("#",""), HYPERLINK(CONCATENATE("#metadata!", ADDRESS(INDEX($AH$2:$AH$1001,MATCH(ROWS($AF$2:AF217),$AF$2:$AF$1001,0),0), INDEX($AM$1004:$BM$1004,1,MATCH(COLUMNS($AM$1006:AR1006),$AM$1006:$BM$1006,0)))),"Fix")))</f>
        <v xml:space="preserve"> </v>
      </c>
      <c r="H217" s="4" t="str">
        <f ca="1">IF(OR(INDEX($AG$2:$AG$1001,MATCH(ROWS($AF$2:AF217),$AF$2:$AF$1001,0),1)&gt;=100000,INDEX($AM$1005:$BM$1005,1,MATCH(COLUMNS($AM$1006:AS1006),$AM$1006:$BM$1006,0))&gt;=100000), " ",IF(INDEX($AM$2:$BM$1001,MATCH(ROWS($AF$2:AF217),$AF$2:$AF$1001,0),MATCH(COLUMNS($AM$1006:AS1006),$AM$1006:$BM$1006,0)), HYPERLINK("#",""), HYPERLINK(CONCATENATE("#metadata!", ADDRESS(INDEX($AH$2:$AH$1001,MATCH(ROWS($AF$2:AF217),$AF$2:$AF$1001,0),0), INDEX($AM$1004:$BM$1004,1,MATCH(COLUMNS($AM$1006:AS1006),$AM$1006:$BM$1006,0)))),"Fix")))</f>
        <v xml:space="preserve"> </v>
      </c>
      <c r="I217" s="4" t="str">
        <f ca="1">IF(OR(INDEX($AG$2:$AG$1001,MATCH(ROWS($AF$2:AF217),$AF$2:$AF$1001,0),1)&gt;=100000,INDEX($AM$1005:$BM$1005,1,MATCH(COLUMNS($AM$1006:AT1006),$AM$1006:$BM$1006,0))&gt;=100000), " ",IF(INDEX($AM$2:$BM$1001,MATCH(ROWS($AF$2:AF217),$AF$2:$AF$1001,0),MATCH(COLUMNS($AM$1006:AT1006),$AM$1006:$BM$1006,0)), HYPERLINK("#",""), HYPERLINK(CONCATENATE("#metadata!", ADDRESS(INDEX($AH$2:$AH$1001,MATCH(ROWS($AF$2:AF217),$AF$2:$AF$1001,0),0), INDEX($AM$1004:$BM$1004,1,MATCH(COLUMNS($AM$1006:AT1006),$AM$1006:$BM$1006,0)))),"Fix")))</f>
        <v xml:space="preserve"> </v>
      </c>
      <c r="J217" s="4" t="str">
        <f ca="1">IF(OR(INDEX($AG$2:$AG$1001,MATCH(ROWS($AF$2:AF217),$AF$2:$AF$1001,0),1)&gt;=100000,INDEX($AM$1005:$BM$1005,1,MATCH(COLUMNS($AM$1006:AU1006),$AM$1006:$BM$1006,0))&gt;=100000), " ",IF(INDEX($AM$2:$BM$1001,MATCH(ROWS($AF$2:AF217),$AF$2:$AF$1001,0),MATCH(COLUMNS($AM$1006:AU1006),$AM$1006:$BM$1006,0)), HYPERLINK("#",""), HYPERLINK(CONCATENATE("#metadata!", ADDRESS(INDEX($AH$2:$AH$1001,MATCH(ROWS($AF$2:AF217),$AF$2:$AF$1001,0),0), INDEX($AM$1004:$BM$1004,1,MATCH(COLUMNS($AM$1006:AU1006),$AM$1006:$BM$1006,0)))),"Fix")))</f>
        <v xml:space="preserve"> </v>
      </c>
      <c r="K217" s="4" t="str">
        <f ca="1">IF(OR(INDEX($AG$2:$AG$1001,MATCH(ROWS($AF$2:AF217),$AF$2:$AF$1001,0),1)&gt;=100000,INDEX($AM$1005:$BM$1005,1,MATCH(COLUMNS($AM$1006:AV1006),$AM$1006:$BM$1006,0))&gt;=100000), " ",IF(INDEX($AM$2:$BM$1001,MATCH(ROWS($AF$2:AF217),$AF$2:$AF$1001,0),MATCH(COLUMNS($AM$1006:AV1006),$AM$1006:$BM$1006,0)), HYPERLINK("#",""), HYPERLINK(CONCATENATE("#metadata!", ADDRESS(INDEX($AH$2:$AH$1001,MATCH(ROWS($AF$2:AF217),$AF$2:$AF$1001,0),0), INDEX($AM$1004:$BM$1004,1,MATCH(COLUMNS($AM$1006:AV1006),$AM$1006:$BM$1006,0)))),"Fix")))</f>
        <v xml:space="preserve"> </v>
      </c>
      <c r="L217" s="4" t="str">
        <f ca="1">IF(OR(INDEX($AG$2:$AG$1001,MATCH(ROWS($AF$2:AF217),$AF$2:$AF$1001,0),1)&gt;=100000,INDEX($AM$1005:$BM$1005,1,MATCH(COLUMNS($AM$1006:AW1006),$AM$1006:$BM$1006,0))&gt;=100000), " ",IF(INDEX($AM$2:$BM$1001,MATCH(ROWS($AF$2:AF217),$AF$2:$AF$1001,0),MATCH(COLUMNS($AM$1006:AW1006),$AM$1006:$BM$1006,0)), HYPERLINK("#",""), HYPERLINK(CONCATENATE("#metadata!", ADDRESS(INDEX($AH$2:$AH$1001,MATCH(ROWS($AF$2:AF217),$AF$2:$AF$1001,0),0), INDEX($AM$1004:$BM$1004,1,MATCH(COLUMNS($AM$1006:AW1006),$AM$1006:$BM$1006,0)))),"Fix")))</f>
        <v xml:space="preserve"> </v>
      </c>
      <c r="M217" s="4" t="str">
        <f ca="1">IF(OR(INDEX($AG$2:$AG$1001,MATCH(ROWS($AF$2:AF217),$AF$2:$AF$1001,0),1)&gt;=100000,INDEX($AM$1005:$BM$1005,1,MATCH(COLUMNS($AM$1006:AX1006),$AM$1006:$BM$1006,0))&gt;=100000), " ",IF(INDEX($AM$2:$BM$1001,MATCH(ROWS($AF$2:AF217),$AF$2:$AF$1001,0),MATCH(COLUMNS($AM$1006:AX1006),$AM$1006:$BM$1006,0)), HYPERLINK("#",""), HYPERLINK(CONCATENATE("#metadata!", ADDRESS(INDEX($AH$2:$AH$1001,MATCH(ROWS($AF$2:AF217),$AF$2:$AF$1001,0),0), INDEX($AM$1004:$BM$1004,1,MATCH(COLUMNS($AM$1006:AX1006),$AM$1006:$BM$1006,0)))),"Fix")))</f>
        <v xml:space="preserve"> </v>
      </c>
      <c r="N217" s="4" t="str">
        <f ca="1">IF(OR(INDEX($AG$2:$AG$1001,MATCH(ROWS($AF$2:AF217),$AF$2:$AF$1001,0),1)&gt;=100000,INDEX($AM$1005:$BM$1005,1,MATCH(COLUMNS($AM$1006:AY1006),$AM$1006:$BM$1006,0))&gt;=100000), " ",IF(INDEX($AM$2:$BM$1001,MATCH(ROWS($AF$2:AF217),$AF$2:$AF$1001,0),MATCH(COLUMNS($AM$1006:AY1006),$AM$1006:$BM$1006,0)), HYPERLINK("#",""), HYPERLINK(CONCATENATE("#metadata!", ADDRESS(INDEX($AH$2:$AH$1001,MATCH(ROWS($AF$2:AF217),$AF$2:$AF$1001,0),0), INDEX($AM$1004:$BM$1004,1,MATCH(COLUMNS($AM$1006:AY1006),$AM$1006:$BM$1006,0)))),"Fix")))</f>
        <v xml:space="preserve"> </v>
      </c>
      <c r="O217" s="4" t="str">
        <f ca="1">IF(OR(INDEX($AG$2:$AG$1001,MATCH(ROWS($AF$2:AF217),$AF$2:$AF$1001,0),1)&gt;=100000,INDEX($AM$1005:$BM$1005,1,MATCH(COLUMNS($AM$1006:AZ1006),$AM$1006:$BM$1006,0))&gt;=100000), " ",IF(INDEX($AM$2:$BM$1001,MATCH(ROWS($AF$2:AF217),$AF$2:$AF$1001,0),MATCH(COLUMNS($AM$1006:AZ1006),$AM$1006:$BM$1006,0)), HYPERLINK("#",""), HYPERLINK(CONCATENATE("#metadata!", ADDRESS(INDEX($AH$2:$AH$1001,MATCH(ROWS($AF$2:AF217),$AF$2:$AF$1001,0),0), INDEX($AM$1004:$BM$1004,1,MATCH(COLUMNS($AM$1006:AZ1006),$AM$1006:$BM$1006,0)))),"Fix")))</f>
        <v xml:space="preserve"> </v>
      </c>
      <c r="P217" s="4" t="str">
        <f ca="1">IF(OR(INDEX($AG$2:$AG$1001,MATCH(ROWS($AF$2:AF217),$AF$2:$AF$1001,0),1)&gt;=100000,INDEX($AM$1005:$BM$1005,1,MATCH(COLUMNS($AM$1006:BA1006),$AM$1006:$BM$1006,0))&gt;=100000), " ",IF(INDEX($AM$2:$BM$1001,MATCH(ROWS($AF$2:AF217),$AF$2:$AF$1001,0),MATCH(COLUMNS($AM$1006:BA1006),$AM$1006:$BM$1006,0)), HYPERLINK("#",""), HYPERLINK(CONCATENATE("#metadata!", ADDRESS(INDEX($AH$2:$AH$1001,MATCH(ROWS($AF$2:AF217),$AF$2:$AF$1001,0),0), INDEX($AM$1004:$BM$1004,1,MATCH(COLUMNS($AM$1006:BA1006),$AM$1006:$BM$1006,0)))),"Fix")))</f>
        <v xml:space="preserve"> </v>
      </c>
      <c r="Q217" s="4" t="str">
        <f ca="1">IF(OR(INDEX($AG$2:$AG$1001,MATCH(ROWS($AF$2:AF217),$AF$2:$AF$1001,0),1)&gt;=100000,INDEX($AM$1005:$BM$1005,1,MATCH(COLUMNS($AM$1006:BB1006),$AM$1006:$BM$1006,0))&gt;=100000), " ",IF(INDEX($AM$2:$BM$1001,MATCH(ROWS($AF$2:AF217),$AF$2:$AF$1001,0),MATCH(COLUMNS($AM$1006:BB1006),$AM$1006:$BM$1006,0)), HYPERLINK("#",""), HYPERLINK(CONCATENATE("#metadata!", ADDRESS(INDEX($AH$2:$AH$1001,MATCH(ROWS($AF$2:AF217),$AF$2:$AF$1001,0),0), INDEX($AM$1004:$BM$1004,1,MATCH(COLUMNS($AM$1006:BB1006),$AM$1006:$BM$1006,0)))),"Fix")))</f>
        <v xml:space="preserve"> </v>
      </c>
      <c r="R217" s="4" t="str">
        <f ca="1">IF(OR(INDEX($AG$2:$AG$1001,MATCH(ROWS($AF$2:AF217),$AF$2:$AF$1001,0),1)&gt;=100000,INDEX($AM$1005:$BM$1005,1,MATCH(COLUMNS($AM$1006:BC1006),$AM$1006:$BM$1006,0))&gt;=100000), " ",IF(INDEX($AM$2:$BM$1001,MATCH(ROWS($AF$2:AF217),$AF$2:$AF$1001,0),MATCH(COLUMNS($AM$1006:BC1006),$AM$1006:$BM$1006,0)), HYPERLINK("#",""), HYPERLINK(CONCATENATE("#metadata!", ADDRESS(INDEX($AH$2:$AH$1001,MATCH(ROWS($AF$2:AF217),$AF$2:$AF$1001,0),0), INDEX($AM$1004:$BM$1004,1,MATCH(COLUMNS($AM$1006:BC1006),$AM$1006:$BM$1006,0)))),"Fix")))</f>
        <v xml:space="preserve"> </v>
      </c>
      <c r="S217" s="4" t="str">
        <f ca="1">IF(OR(INDEX($AG$2:$AG$1001,MATCH(ROWS($AF$2:AF217),$AF$2:$AF$1001,0),1)&gt;=100000,INDEX($AM$1005:$BM$1005,1,MATCH(COLUMNS($AM$1006:BD1006),$AM$1006:$BM$1006,0))&gt;=100000), " ",IF(INDEX($AM$2:$BM$1001,MATCH(ROWS($AF$2:AF217),$AF$2:$AF$1001,0),MATCH(COLUMNS($AM$1006:BD1006),$AM$1006:$BM$1006,0)), HYPERLINK("#",""), HYPERLINK(CONCATENATE("#metadata!", ADDRESS(INDEX($AH$2:$AH$1001,MATCH(ROWS($AF$2:AF217),$AF$2:$AF$1001,0),0), INDEX($AM$1004:$BM$1004,1,MATCH(COLUMNS($AM$1006:BD1006),$AM$1006:$BM$1006,0)))),"Fix")))</f>
        <v xml:space="preserve"> </v>
      </c>
      <c r="T217" s="4" t="str">
        <f ca="1">IF(OR(INDEX($AG$2:$AG$1001,MATCH(ROWS($AF$2:AF217),$AF$2:$AF$1001,0),1)&gt;=100000,INDEX($AM$1005:$BM$1005,1,MATCH(COLUMNS($AM$1006:BE1006),$AM$1006:$BM$1006,0))&gt;=100000), " ",IF(INDEX($AM$2:$BM$1001,MATCH(ROWS($AF$2:AF217),$AF$2:$AF$1001,0),MATCH(COLUMNS($AM$1006:BE1006),$AM$1006:$BM$1006,0)), HYPERLINK("#",""), HYPERLINK(CONCATENATE("#metadata!", ADDRESS(INDEX($AH$2:$AH$1001,MATCH(ROWS($AF$2:AF217),$AF$2:$AF$1001,0),0), INDEX($AM$1004:$BM$1004,1,MATCH(COLUMNS($AM$1006:BE1006),$AM$1006:$BM$1006,0)))),"Fix")))</f>
        <v xml:space="preserve"> </v>
      </c>
      <c r="U217" s="4" t="str">
        <f ca="1">IF(OR(INDEX($AG$2:$AG$1001,MATCH(ROWS($AF$2:AF217),$AF$2:$AF$1001,0),1)&gt;=100000,INDEX($AM$1005:$BM$1005,1,MATCH(COLUMNS($AM$1006:BF1006),$AM$1006:$BM$1006,0))&gt;=100000), " ",IF(INDEX($AM$2:$BM$1001,MATCH(ROWS($AF$2:AF217),$AF$2:$AF$1001,0),MATCH(COLUMNS($AM$1006:BF1006),$AM$1006:$BM$1006,0)), HYPERLINK("#",""), HYPERLINK(CONCATENATE("#metadata!", ADDRESS(INDEX($AH$2:$AH$1001,MATCH(ROWS($AF$2:AF217),$AF$2:$AF$1001,0),0), INDEX($AM$1004:$BM$1004,1,MATCH(COLUMNS($AM$1006:BF1006),$AM$1006:$BM$1006,0)))),"Fix")))</f>
        <v xml:space="preserve"> </v>
      </c>
      <c r="V217" s="4" t="str">
        <f ca="1">IF(OR(INDEX($AG$2:$AG$1001,MATCH(ROWS($AF$2:AF217),$AF$2:$AF$1001,0),1)&gt;=100000,INDEX($AM$1005:$BM$1005,1,MATCH(COLUMNS($AM$1006:BG1006),$AM$1006:$BM$1006,0))&gt;=100000), " ",IF(INDEX($AM$2:$BM$1001,MATCH(ROWS($AF$2:AF217),$AF$2:$AF$1001,0),MATCH(COLUMNS($AM$1006:BG1006),$AM$1006:$BM$1006,0)), HYPERLINK("#",""), HYPERLINK(CONCATENATE("#metadata!", ADDRESS(INDEX($AH$2:$AH$1001,MATCH(ROWS($AF$2:AF217),$AF$2:$AF$1001,0),0), INDEX($AM$1004:$BM$1004,1,MATCH(COLUMNS($AM$1006:BG1006),$AM$1006:$BM$1006,0)))),"Fix")))</f>
        <v xml:space="preserve"> </v>
      </c>
      <c r="W217" s="4" t="str">
        <f ca="1">IF(OR(INDEX($AG$2:$AG$1001,MATCH(ROWS($AF$2:AF217),$AF$2:$AF$1001,0),1)&gt;=100000,INDEX($AM$1005:$BM$1005,1,MATCH(COLUMNS($AM$1006:BH1006),$AM$1006:$BM$1006,0))&gt;=100000), " ",IF(INDEX($AM$2:$BM$1001,MATCH(ROWS($AF$2:AF217),$AF$2:$AF$1001,0),MATCH(COLUMNS($AM$1006:BH1006),$AM$1006:$BM$1006,0)), HYPERLINK("#",""), HYPERLINK(CONCATENATE("#metadata!", ADDRESS(INDEX($AH$2:$AH$1001,MATCH(ROWS($AF$2:AF217),$AF$2:$AF$1001,0),0), INDEX($AM$1004:$BM$1004,1,MATCH(COLUMNS($AM$1006:BH1006),$AM$1006:$BM$1006,0)))),"Fix")))</f>
        <v xml:space="preserve"> </v>
      </c>
      <c r="X217" s="4" t="str">
        <f ca="1">IF(OR(INDEX($AG$2:$AG$1001,MATCH(ROWS($AF$2:AF217),$AF$2:$AF$1001,0),1)&gt;=100000,INDEX($AM$1005:$BM$1005,1,MATCH(COLUMNS($AM$1006:BI1006),$AM$1006:$BM$1006,0))&gt;=100000), " ",IF(INDEX($AM$2:$BM$1001,MATCH(ROWS($AF$2:AF217),$AF$2:$AF$1001,0),MATCH(COLUMNS($AM$1006:BI1006),$AM$1006:$BM$1006,0)), HYPERLINK("#",""), HYPERLINK(CONCATENATE("#metadata!", ADDRESS(INDEX($AH$2:$AH$1001,MATCH(ROWS($AF$2:AF217),$AF$2:$AF$1001,0),0), INDEX($AM$1004:$BM$1004,1,MATCH(COLUMNS($AM$1006:BI1006),$AM$1006:$BM$1006,0)))),"Fix")))</f>
        <v xml:space="preserve"> </v>
      </c>
      <c r="Y217" s="4" t="str">
        <f ca="1">IF(OR(INDEX($AG$2:$AG$1001,MATCH(ROWS($AF$2:AF217),$AF$2:$AF$1001,0),1)&gt;=100000,INDEX($AM$1005:$BM$1005,1,MATCH(COLUMNS($AM$1006:BJ1006),$AM$1006:$BM$1006,0))&gt;=100000), " ",IF(INDEX($AM$2:$BM$1001,MATCH(ROWS($AF$2:AF217),$AF$2:$AF$1001,0),MATCH(COLUMNS($AM$1006:BJ1006),$AM$1006:$BM$1006,0)), HYPERLINK("#",""), HYPERLINK(CONCATENATE("#metadata!", ADDRESS(INDEX($AH$2:$AH$1001,MATCH(ROWS($AF$2:AF217),$AF$2:$AF$1001,0),0), INDEX($AM$1004:$BM$1004,1,MATCH(COLUMNS($AM$1006:BJ1006),$AM$1006:$BM$1006,0)))),"Fix")))</f>
        <v xml:space="preserve"> </v>
      </c>
      <c r="Z217" s="4" t="str">
        <f ca="1">IF(OR(INDEX($AG$2:$AG$1001,MATCH(ROWS($AF$2:AF217),$AF$2:$AF$1001,0),1)&gt;=100000,INDEX($AM$1005:$BM$1005,1,MATCH(COLUMNS($AM$1006:BK1006),$AM$1006:$BM$1006,0))&gt;=100000), " ",IF(INDEX($AM$2:$BM$1001,MATCH(ROWS($AF$2:AF217),$AF$2:$AF$1001,0),MATCH(COLUMNS($AM$1006:BK1006),$AM$1006:$BM$1006,0)), HYPERLINK("#",""), HYPERLINK(CONCATENATE("#metadata!", ADDRESS(INDEX($AH$2:$AH$1001,MATCH(ROWS($AF$2:AF217),$AF$2:$AF$1001,0),0), INDEX($AM$1004:$BM$1004,1,MATCH(COLUMNS($AM$1006:BK1006),$AM$1006:$BM$1006,0)))),"Fix")))</f>
        <v xml:space="preserve"> </v>
      </c>
      <c r="AA217" s="4" t="str">
        <f ca="1">IF(OR(INDEX($AG$2:$AG$1001,MATCH(ROWS($AF$2:AF217),$AF$2:$AF$1001,0),1)&gt;=100000,INDEX($AM$1005:$BM$1005,1,MATCH(COLUMNS($AM$1006:BL1006),$AM$1006:$BM$1006,0))&gt;=100000), " ",IF(INDEX($AM$2:$BM$1001,MATCH(ROWS($AF$2:AF217),$AF$2:$AF$1001,0),MATCH(COLUMNS($AM$1006:BL1006),$AM$1006:$BM$1006,0)), HYPERLINK("#",""), HYPERLINK(CONCATENATE("#metadata!", ADDRESS(INDEX($AH$2:$AH$1001,MATCH(ROWS($AF$2:AF217),$AF$2:$AF$1001,0),0), INDEX($AM$1004:$BM$1004,1,MATCH(COLUMNS($AM$1006:BL1006),$AM$1006:$BM$1006,0)))),"Fix")))</f>
        <v xml:space="preserve"> </v>
      </c>
      <c r="AB217" s="4" t="str">
        <f ca="1">IF(OR(INDEX($AG$2:$AG$1001,MATCH(ROWS($AF$2:AF217),$AF$2:$AF$1001,0),1)&gt;=100000,INDEX($AM$1005:$BM$1005,1,MATCH(COLUMNS($AM$1006:BM1006),$AM$1006:$BM$1006,0))&gt;=100000), " ",IF(INDEX($AM$2:$BM$1001,MATCH(ROWS($AF$2:AF217),$AF$2:$AF$1001,0),MATCH(COLUMNS($AM$1006:BM1006),$AM$1006:$BM$1006,0)), HYPERLINK("#",""), HYPERLINK(CONCATENATE("#metadata!", ADDRESS(INDEX($AH$2:$AH$1001,MATCH(ROWS($AF$2:AF217),$AF$2:$AF$1001,0),0), INDEX($AM$1004:$BM$1004,1,MATCH(COLUMNS($AM$1006:BM1006),$AM$1006:$BM$1006,0)))),"Fix")))</f>
        <v xml:space="preserve"> </v>
      </c>
      <c r="AF217">
        <v>216</v>
      </c>
      <c r="AG217">
        <v>100217</v>
      </c>
      <c r="AH217">
        <v>217</v>
      </c>
      <c r="AI217" t="b">
        <f t="shared" si="3"/>
        <v>1</v>
      </c>
      <c r="AJ217" t="b">
        <f>COUNTBLANK(metadata!B217:AB217)=COLUMNS(metadata!B217:AB217)</f>
        <v>1</v>
      </c>
      <c r="AK217" t="str">
        <v/>
      </c>
      <c r="AM217" t="b">
        <f ca="1">AND(IF(metadata!B217="",FALSE,TRUE),COUNTIF(metadata!B:B, metadata!B217) = 1,NOT(ISERROR(SUMPRODUCT(SEARCH(MID(metadata!B217,ROW(INDIRECT("1:"&amp;LEN(metadata!B217))), 1),"0123456789abcdefghijklmnopqrstuvwxyzABCDEFGHIJKLMNOPQRSTUVWXYZ.")))))</f>
        <v>0</v>
      </c>
      <c r="AN217" t="b">
        <f ca="1">OR(AND(IF(metadata!C217="",FALSE,TRUE),OR(EXACT(metadata!C217,"missing: not collected"),EXACT(metadata!C217,"missing: not provided"),EXACT(metadata!C217,"missing: restricted access"))),AND(IF(metadata!C217="",FALSE,TRUE),AND(AND(IFERROR(INT(LEFT(metadata!C217,4))&gt;1900,FALSE),IFERROR(INT(LEFT(metadata!C217,4))&lt;=YEAR(NOW()),FALSE)), OR(MID(metadata!C217,5,1)="", AND(AND(MID(metadata!C217,5,1)="-",IFERROR(INT(MID(metadata!C217,6,1))&gt;=0,FALSE),IFERROR(INT(MID(metadata!C217,6,1))&lt;=1,FALSE),NOT(MID(metadata!C217,7,1)=""),IFERROR(INT(MID(metadata!C217,6,2))&gt;=1,FALSE),IFERROR(INT(MID(metadata!C217,6,2))&lt;=12,FALSE)), OR(MID(metadata!C217,8,1)="", AND(AND(MID(metadata!C217,8,1)="-",IFERROR(INT(MID(metadata!C217,9,1))&gt;=0,FALSE),IFERROR(INT(MID(metadata!C217,9,1))&lt;=3,FALSE),NOT(MID(metadata!C217,10,1)=""),IFERROR(INT(MID(metadata!C217,9,2))&gt;=1,FALSE),IFERROR(INT(MID(metadata!C217,9,2))&lt;=31,FALSE)), OR(MID(metadata!C217,11,1)="", AND(AND(MID(metadata!C217,11,1)=" ",IFERROR(INT(MID(metadata!C217,12,1))&gt;=0,FALSE),IFERROR(INT(MID(metadata!C217,12,1))&lt;=2,FALSE),NOT(MID(metadata!C217,13,1)=""),IFERROR(INT(MID(metadata!C217,12,2))&gt;=0,FALSE),IFERROR(INT(MID(metadata!C217,12,2))&lt;=23,FALSE)), OR(MID(metadata!C217,14,1)="", AND(AND(MID(metadata!C217,14,1)=":",IFERROR(INT(MID(metadata!C217,15,1))&gt;=0,FALSE),IFERROR(INT(MID(metadata!C217,15,1))&lt;=5,FALSE),NOT(MID(metadata!C217,16,1)=""),IFERROR(INT(MID(metadata!C217,15,2))&gt;=0,FALSE),IFERROR(INT(MID(metadata!C217,15,2))&lt;=59,FALSE)), OR(MID(metadata!C217,17,1)="", AND(AND(MID(metadata!C217,17,1)=":",IFERROR(INT(MID(metadata!C217,18,1))&gt;=0,FALSE),IFERROR(INT(MID(metadata!C217,18,1))&lt;=5,FALSE),NOT(MID(metadata!C217,19,1)=""),IFERROR(INT(MID(metadata!C217,18,2))&gt;=0,FALSE),IFERROR(INT(MID(metadata!C217,18,2))&lt;=59,FALSE)), LEN(metadata!C217)&lt;=19)))))))))))))</f>
        <v>0</v>
      </c>
      <c r="AO217" t="b">
        <f>AND(IF(metadata!D217="",FALSE,TRUE),EXACT(metadata!D217,"Not applicable"))</f>
        <v>0</v>
      </c>
      <c r="AP217" t="b">
        <f>IF(metadata!E217="",FALSE,TRUE)</f>
        <v>0</v>
      </c>
      <c r="AQ217" t="b">
        <f>OR(AND(IF(metadata!F217="",FALSE,TRUE),OR(EXACT(metadata!F217,"missing: not collected"),EXACT(metadata!F217,"missing: not provided"))),AND(IF(metadata!F217="",FALSE,TRUE),OR(EXACT(metadata!F217,"TRUE"),EXACT(metadata!F217,"FALSE"))))</f>
        <v>0</v>
      </c>
      <c r="AR217" t="b">
        <f>OR(AND(IF(metadata!G217="",FALSE,TRUE),OR(EXACT(metadata!G217,"missing: not collected"),EXACT(metadata!G217,"missing: not provided"),EXACT(metadata!G217,"missing: restricted access"))),AND(IF(metadata!G217="",FALSE,ISNUMBER(VALUE(metadata!G217))),metadata!G217&gt;=-413))</f>
        <v>0</v>
      </c>
      <c r="AS217" t="b">
        <f>AND(IF(metadata!H217="",FALSE,TRUE),EXACT(metadata!H217,"meters"))</f>
        <v>0</v>
      </c>
      <c r="AT217" t="b">
        <f>AND(IF(metadata!I217="",FALSE,TRUE),OR(EXACT(metadata!I217,"Host-associated"),EXACT(metadata!I217,"Free-living")))</f>
        <v>0</v>
      </c>
      <c r="AU217" t="b">
        <f>AND(IF(metadata!J217="",FALSE,TRUE),OR(EXACT(metadata!J217,"Animal"),EXACT(metadata!J217,"Fungus"),EXACT(metadata!J217,"Plant"),EXACT(metadata!J217,"Saline"),EXACT(metadata!J217,"Non-saline")))</f>
        <v>0</v>
      </c>
      <c r="AV217" t="b">
        <f>AND(IF(metadata!K217="",FALSE,TRUE),OR(EXACT(metadata!K217,"Plant secretion"),EXACT(metadata!K217,"Plant rhizosphere"),EXACT(metadata!K217,"Plant surface"),EXACT(metadata!K217,"Plant corpus"),EXACT(metadata!K217,"Fungus surface"),EXACT(metadata!K217,"Fungus corpus"),EXACT(metadata!K217,"Animal surface"),EXACT(metadata!K217,"Animal proximal gut"),EXACT(metadata!K217,"Animal corpus"),EXACT(metadata!K217,"Animal distal gut"),EXACT(metadata!K217,"Animal secretion"),EXACT(metadata!K217,"Sub-surface (non-saline)"),EXACT(metadata!K217,"Surface (non-saline)"),EXACT(metadata!K217,"Water (non-saline)"),EXACT(metadata!K217,"Soil (non-saline)"),EXACT(metadata!K217,"Aerosol (non-saline)"),EXACT(metadata!K217,"Sediment (non-saline)"),EXACT(metadata!K217,"Surface (saline)"),EXACT(metadata!K217,"Water (saline)"),EXACT(metadata!K217,"Hypersaline (saline)"),EXACT(metadata!K217,"Aerosol (saline)"),EXACT(metadata!K217,"Sediment (saline)")))</f>
        <v>0</v>
      </c>
      <c r="AW217" t="b">
        <f>IF(metadata!L217="",FALSE,TRUE)</f>
        <v>0</v>
      </c>
      <c r="AX217" t="b">
        <f>IF(metadata!M217="",FALSE,TRUE)</f>
        <v>0</v>
      </c>
      <c r="AY217" t="b">
        <f>IF(metadata!N217="",FALSE,TRUE)</f>
        <v>0</v>
      </c>
      <c r="AZ217" t="b">
        <f>OR(AND(IF(metadata!O217="",FALSE,TRUE),OR(EXACT(metadata!O217,"missing: not collected"),EXACT(metadata!O217,"missing: not provided"),EXACT(metadata!O217,"missing: restricted access"))),AND(IF(metadata!O217="",FALSE,TRUE),OR(EXACT(metadata!O217,"air"),EXACT(metadata!O217,"built environment"),EXACT(metadata!O217,"host-associated"),EXACT(metadata!O217,"human-associated"),EXACT(metadata!O217,"human-skin"),EXACT(metadata!O217,"human-oral"),EXACT(metadata!O217,"human-gut"),EXACT(metadata!O217,"human-vaginal"),EXACT(metadata!O217,"microbial mat/biofilm"),EXACT(metadata!O217,"misc environment"),EXACT(metadata!O217,"plant-associated"),EXACT(metadata!O217,"sediment"),EXACT(metadata!O217,"soil"),EXACT(metadata!O217,"wastewater/sludge"),EXACT(metadata!O217,"water"))))</f>
        <v>0</v>
      </c>
      <c r="BA217" t="b">
        <f>IF(metadata!P217="",FALSE,TRUE)</f>
        <v>0</v>
      </c>
      <c r="BB217" t="b">
        <f>IF(metadata!Q217="",FALSE,TRUE)</f>
        <v>0</v>
      </c>
      <c r="BC217" t="b">
        <f>OR(AND(IF(metadata!R217="",FALSE,TRUE),OR(EXACT(metadata!R217,"missing: not collected"),EXACT(metadata!R217,"missing: not provided"),EXACT(metadata!R217,"missing: restricted access"))),AND(IF(metadata!R217="",FALSE,ISNUMBER(VALUE(metadata!R217))),metadata!R217&gt;=-90,metadata!R217&lt;=90))</f>
        <v>0</v>
      </c>
      <c r="BD217" t="b">
        <f>AND(IF(metadata!S217="",FALSE,TRUE),EXACT(metadata!S217,"Decimal degrees"))</f>
        <v>0</v>
      </c>
      <c r="BE217" t="b">
        <f>OR(AND(IF(metadata!T217="",FALSE,TRUE),OR(EXACT(metadata!T217,"missing: not collected"),EXACT(metadata!T217,"missing: not provided"),EXACT(metadata!T217,"missing: restricted access"))),AND(IF(metadata!T217="",FALSE,ISNUMBER(VALUE(metadata!T217))),metadata!T217&gt;=-180,metadata!T217&lt;=180))</f>
        <v>0</v>
      </c>
      <c r="BF217" t="b">
        <f>AND(IF(metadata!U217="",FALSE,TRUE),EXACT(metadata!U217,"Decimal degrees"))</f>
        <v>0</v>
      </c>
      <c r="BG217" t="b">
        <f>IF(metadata!V217="",FALSE,TRUE)</f>
        <v>0</v>
      </c>
      <c r="BH217" t="b">
        <f>OR(AND(IF(metadata!W217="",FALSE,TRUE),OR(EXACT(metadata!W217,"missing: not collected"),EXACT(metadata!W217,"missing: not provided"),EXACT(metadata!W217,"missing: restricted access"))),AND(IF(metadata!W217="",FALSE,TRUE),OR(EXACT(metadata!W217,"TRUE"),EXACT(metadata!W217,"FALSE"))))</f>
        <v>0</v>
      </c>
      <c r="BI217" t="b">
        <f>AND(IF(metadata!X217="",FALSE,TRUE),EXACT(metadata!X217,"other"))</f>
        <v>0</v>
      </c>
      <c r="BJ217" t="b">
        <f>IF(metadata!Y217="",FALSE,TRUE)</f>
        <v>0</v>
      </c>
      <c r="BK217" t="b">
        <f>OR(AND(IF(metadata!Z217="",FALSE,TRUE),OR(EXACT(metadata!Z217,"missing: not collected"),EXACT(metadata!Z217,"missing: not provided"))),AND(IF(metadata!Z217="",FALSE,IF(ISERROR(INT(metadata!Z217)),FALSE,INT(metadata!Z217)=metadata!Z217)),metadata!Z217&gt;0))</f>
        <v>0</v>
      </c>
      <c r="BL217" t="b">
        <f>AND(IF(metadata!AA217="",FALSE,TRUE),EXACT(metadata!AA217,"Not applicable"))</f>
        <v>0</v>
      </c>
      <c r="BM217" t="b">
        <f>IF(metadata!AB217="",FALSE,TRUE)</f>
        <v>0</v>
      </c>
    </row>
    <row r="218" spans="1:65" x14ac:dyDescent="0.2">
      <c r="A218" s="5" t="str">
        <f ca="1">IF(B218=" "," ",HYPERLINK(CONCATENATE("#metadata!",ADDRESS(INDEX($AH$2:$AH$1001,MATCH(ROWS($AF$2:AF218),$AF$2:$AF$1001,0),0),1)),INDEX($AK$2:$AK$1001,MATCH(ROWS($AF$2:AF218),$AF$2:$AF$1001,0),0)))</f>
        <v xml:space="preserve"> </v>
      </c>
      <c r="B218" s="4" t="str">
        <f ca="1">IF(OR(INDEX($AG$2:$AG$1001,MATCH(ROWS($AF$2:AF218),$AF$2:$AF$1001,0),1)&gt;=100000,INDEX($AM$1005:$BM$1005,1,MATCH(COLUMNS($AM$1006:AM1006),$AM$1006:$BM$1006,0))&gt;=100000), " ",IF(INDEX($AM$2:$BM$1001,MATCH(ROWS($AF$2:AF218),$AF$2:$AF$1001,0),MATCH(COLUMNS($AM$1006:AM1006),$AM$1006:$BM$1006,0)), HYPERLINK("#",""), HYPERLINK(CONCATENATE("#metadata!", ADDRESS(INDEX($AH$2:$AH$1001,MATCH(ROWS($AF$2:AF218),$AF$2:$AF$1001,0),0), INDEX($AM$1004:$BM$1004,1,MATCH(COLUMNS($AM$1006:AM1006),$AM$1006:$BM$1006,0)))),"Fix")))</f>
        <v xml:space="preserve"> </v>
      </c>
      <c r="C218" s="4" t="str">
        <f ca="1">IF(OR(INDEX($AG$2:$AG$1001,MATCH(ROWS($AF$2:AF218),$AF$2:$AF$1001,0),1)&gt;=100000,INDEX($AM$1005:$BM$1005,1,MATCH(COLUMNS($AM$1006:AN1006),$AM$1006:$BM$1006,0))&gt;=100000), " ",IF(INDEX($AM$2:$BM$1001,MATCH(ROWS($AF$2:AF218),$AF$2:$AF$1001,0),MATCH(COLUMNS($AM$1006:AN1006),$AM$1006:$BM$1006,0)), HYPERLINK("#",""), HYPERLINK(CONCATENATE("#metadata!", ADDRESS(INDEX($AH$2:$AH$1001,MATCH(ROWS($AF$2:AF218),$AF$2:$AF$1001,0),0), INDEX($AM$1004:$BM$1004,1,MATCH(COLUMNS($AM$1006:AN1006),$AM$1006:$BM$1006,0)))),"Fix")))</f>
        <v xml:space="preserve"> </v>
      </c>
      <c r="D218" s="4" t="str">
        <f ca="1">IF(OR(INDEX($AG$2:$AG$1001,MATCH(ROWS($AF$2:AF218),$AF$2:$AF$1001,0),1)&gt;=100000,INDEX($AM$1005:$BM$1005,1,MATCH(COLUMNS($AM$1006:AO1006),$AM$1006:$BM$1006,0))&gt;=100000), " ",IF(INDEX($AM$2:$BM$1001,MATCH(ROWS($AF$2:AF218),$AF$2:$AF$1001,0),MATCH(COLUMNS($AM$1006:AO1006),$AM$1006:$BM$1006,0)), HYPERLINK("#",""), HYPERLINK(CONCATENATE("#metadata!", ADDRESS(INDEX($AH$2:$AH$1001,MATCH(ROWS($AF$2:AF218),$AF$2:$AF$1001,0),0), INDEX($AM$1004:$BM$1004,1,MATCH(COLUMNS($AM$1006:AO1006),$AM$1006:$BM$1006,0)))),"Fix")))</f>
        <v xml:space="preserve"> </v>
      </c>
      <c r="E218" s="4" t="str">
        <f ca="1">IF(OR(INDEX($AG$2:$AG$1001,MATCH(ROWS($AF$2:AF218),$AF$2:$AF$1001,0),1)&gt;=100000,INDEX($AM$1005:$BM$1005,1,MATCH(COLUMNS($AM$1006:AP1006),$AM$1006:$BM$1006,0))&gt;=100000), " ",IF(INDEX($AM$2:$BM$1001,MATCH(ROWS($AF$2:AF218),$AF$2:$AF$1001,0),MATCH(COLUMNS($AM$1006:AP1006),$AM$1006:$BM$1006,0)), HYPERLINK("#",""), HYPERLINK(CONCATENATE("#metadata!", ADDRESS(INDEX($AH$2:$AH$1001,MATCH(ROWS($AF$2:AF218),$AF$2:$AF$1001,0),0), INDEX($AM$1004:$BM$1004,1,MATCH(COLUMNS($AM$1006:AP1006),$AM$1006:$BM$1006,0)))),"Fix")))</f>
        <v xml:space="preserve"> </v>
      </c>
      <c r="F218" s="4" t="str">
        <f ca="1">IF(OR(INDEX($AG$2:$AG$1001,MATCH(ROWS($AF$2:AF218),$AF$2:$AF$1001,0),1)&gt;=100000,INDEX($AM$1005:$BM$1005,1,MATCH(COLUMNS($AM$1006:AQ1006),$AM$1006:$BM$1006,0))&gt;=100000), " ",IF(INDEX($AM$2:$BM$1001,MATCH(ROWS($AF$2:AF218),$AF$2:$AF$1001,0),MATCH(COLUMNS($AM$1006:AQ1006),$AM$1006:$BM$1006,0)), HYPERLINK("#",""), HYPERLINK(CONCATENATE("#metadata!", ADDRESS(INDEX($AH$2:$AH$1001,MATCH(ROWS($AF$2:AF218),$AF$2:$AF$1001,0),0), INDEX($AM$1004:$BM$1004,1,MATCH(COLUMNS($AM$1006:AQ1006),$AM$1006:$BM$1006,0)))),"Fix")))</f>
        <v xml:space="preserve"> </v>
      </c>
      <c r="G218" s="4" t="str">
        <f ca="1">IF(OR(INDEX($AG$2:$AG$1001,MATCH(ROWS($AF$2:AF218),$AF$2:$AF$1001,0),1)&gt;=100000,INDEX($AM$1005:$BM$1005,1,MATCH(COLUMNS($AM$1006:AR1006),$AM$1006:$BM$1006,0))&gt;=100000), " ",IF(INDEX($AM$2:$BM$1001,MATCH(ROWS($AF$2:AF218),$AF$2:$AF$1001,0),MATCH(COLUMNS($AM$1006:AR1006),$AM$1006:$BM$1006,0)), HYPERLINK("#",""), HYPERLINK(CONCATENATE("#metadata!", ADDRESS(INDEX($AH$2:$AH$1001,MATCH(ROWS($AF$2:AF218),$AF$2:$AF$1001,0),0), INDEX($AM$1004:$BM$1004,1,MATCH(COLUMNS($AM$1006:AR1006),$AM$1006:$BM$1006,0)))),"Fix")))</f>
        <v xml:space="preserve"> </v>
      </c>
      <c r="H218" s="4" t="str">
        <f ca="1">IF(OR(INDEX($AG$2:$AG$1001,MATCH(ROWS($AF$2:AF218),$AF$2:$AF$1001,0),1)&gt;=100000,INDEX($AM$1005:$BM$1005,1,MATCH(COLUMNS($AM$1006:AS1006),$AM$1006:$BM$1006,0))&gt;=100000), " ",IF(INDEX($AM$2:$BM$1001,MATCH(ROWS($AF$2:AF218),$AF$2:$AF$1001,0),MATCH(COLUMNS($AM$1006:AS1006),$AM$1006:$BM$1006,0)), HYPERLINK("#",""), HYPERLINK(CONCATENATE("#metadata!", ADDRESS(INDEX($AH$2:$AH$1001,MATCH(ROWS($AF$2:AF218),$AF$2:$AF$1001,0),0), INDEX($AM$1004:$BM$1004,1,MATCH(COLUMNS($AM$1006:AS1006),$AM$1006:$BM$1006,0)))),"Fix")))</f>
        <v xml:space="preserve"> </v>
      </c>
      <c r="I218" s="4" t="str">
        <f ca="1">IF(OR(INDEX($AG$2:$AG$1001,MATCH(ROWS($AF$2:AF218),$AF$2:$AF$1001,0),1)&gt;=100000,INDEX($AM$1005:$BM$1005,1,MATCH(COLUMNS($AM$1006:AT1006),$AM$1006:$BM$1006,0))&gt;=100000), " ",IF(INDEX($AM$2:$BM$1001,MATCH(ROWS($AF$2:AF218),$AF$2:$AF$1001,0),MATCH(COLUMNS($AM$1006:AT1006),$AM$1006:$BM$1006,0)), HYPERLINK("#",""), HYPERLINK(CONCATENATE("#metadata!", ADDRESS(INDEX($AH$2:$AH$1001,MATCH(ROWS($AF$2:AF218),$AF$2:$AF$1001,0),0), INDEX($AM$1004:$BM$1004,1,MATCH(COLUMNS($AM$1006:AT1006),$AM$1006:$BM$1006,0)))),"Fix")))</f>
        <v xml:space="preserve"> </v>
      </c>
      <c r="J218" s="4" t="str">
        <f ca="1">IF(OR(INDEX($AG$2:$AG$1001,MATCH(ROWS($AF$2:AF218),$AF$2:$AF$1001,0),1)&gt;=100000,INDEX($AM$1005:$BM$1005,1,MATCH(COLUMNS($AM$1006:AU1006),$AM$1006:$BM$1006,0))&gt;=100000), " ",IF(INDEX($AM$2:$BM$1001,MATCH(ROWS($AF$2:AF218),$AF$2:$AF$1001,0),MATCH(COLUMNS($AM$1006:AU1006),$AM$1006:$BM$1006,0)), HYPERLINK("#",""), HYPERLINK(CONCATENATE("#metadata!", ADDRESS(INDEX($AH$2:$AH$1001,MATCH(ROWS($AF$2:AF218),$AF$2:$AF$1001,0),0), INDEX($AM$1004:$BM$1004,1,MATCH(COLUMNS($AM$1006:AU1006),$AM$1006:$BM$1006,0)))),"Fix")))</f>
        <v xml:space="preserve"> </v>
      </c>
      <c r="K218" s="4" t="str">
        <f ca="1">IF(OR(INDEX($AG$2:$AG$1001,MATCH(ROWS($AF$2:AF218),$AF$2:$AF$1001,0),1)&gt;=100000,INDEX($AM$1005:$BM$1005,1,MATCH(COLUMNS($AM$1006:AV1006),$AM$1006:$BM$1006,0))&gt;=100000), " ",IF(INDEX($AM$2:$BM$1001,MATCH(ROWS($AF$2:AF218),$AF$2:$AF$1001,0),MATCH(COLUMNS($AM$1006:AV1006),$AM$1006:$BM$1006,0)), HYPERLINK("#",""), HYPERLINK(CONCATENATE("#metadata!", ADDRESS(INDEX($AH$2:$AH$1001,MATCH(ROWS($AF$2:AF218),$AF$2:$AF$1001,0),0), INDEX($AM$1004:$BM$1004,1,MATCH(COLUMNS($AM$1006:AV1006),$AM$1006:$BM$1006,0)))),"Fix")))</f>
        <v xml:space="preserve"> </v>
      </c>
      <c r="L218" s="4" t="str">
        <f ca="1">IF(OR(INDEX($AG$2:$AG$1001,MATCH(ROWS($AF$2:AF218),$AF$2:$AF$1001,0),1)&gt;=100000,INDEX($AM$1005:$BM$1005,1,MATCH(COLUMNS($AM$1006:AW1006),$AM$1006:$BM$1006,0))&gt;=100000), " ",IF(INDEX($AM$2:$BM$1001,MATCH(ROWS($AF$2:AF218),$AF$2:$AF$1001,0),MATCH(COLUMNS($AM$1006:AW1006),$AM$1006:$BM$1006,0)), HYPERLINK("#",""), HYPERLINK(CONCATENATE("#metadata!", ADDRESS(INDEX($AH$2:$AH$1001,MATCH(ROWS($AF$2:AF218),$AF$2:$AF$1001,0),0), INDEX($AM$1004:$BM$1004,1,MATCH(COLUMNS($AM$1006:AW1006),$AM$1006:$BM$1006,0)))),"Fix")))</f>
        <v xml:space="preserve"> </v>
      </c>
      <c r="M218" s="4" t="str">
        <f ca="1">IF(OR(INDEX($AG$2:$AG$1001,MATCH(ROWS($AF$2:AF218),$AF$2:$AF$1001,0),1)&gt;=100000,INDEX($AM$1005:$BM$1005,1,MATCH(COLUMNS($AM$1006:AX1006),$AM$1006:$BM$1006,0))&gt;=100000), " ",IF(INDEX($AM$2:$BM$1001,MATCH(ROWS($AF$2:AF218),$AF$2:$AF$1001,0),MATCH(COLUMNS($AM$1006:AX1006),$AM$1006:$BM$1006,0)), HYPERLINK("#",""), HYPERLINK(CONCATENATE("#metadata!", ADDRESS(INDEX($AH$2:$AH$1001,MATCH(ROWS($AF$2:AF218),$AF$2:$AF$1001,0),0), INDEX($AM$1004:$BM$1004,1,MATCH(COLUMNS($AM$1006:AX1006),$AM$1006:$BM$1006,0)))),"Fix")))</f>
        <v xml:space="preserve"> </v>
      </c>
      <c r="N218" s="4" t="str">
        <f ca="1">IF(OR(INDEX($AG$2:$AG$1001,MATCH(ROWS($AF$2:AF218),$AF$2:$AF$1001,0),1)&gt;=100000,INDEX($AM$1005:$BM$1005,1,MATCH(COLUMNS($AM$1006:AY1006),$AM$1006:$BM$1006,0))&gt;=100000), " ",IF(INDEX($AM$2:$BM$1001,MATCH(ROWS($AF$2:AF218),$AF$2:$AF$1001,0),MATCH(COLUMNS($AM$1006:AY1006),$AM$1006:$BM$1006,0)), HYPERLINK("#",""), HYPERLINK(CONCATENATE("#metadata!", ADDRESS(INDEX($AH$2:$AH$1001,MATCH(ROWS($AF$2:AF218),$AF$2:$AF$1001,0),0), INDEX($AM$1004:$BM$1004,1,MATCH(COLUMNS($AM$1006:AY1006),$AM$1006:$BM$1006,0)))),"Fix")))</f>
        <v xml:space="preserve"> </v>
      </c>
      <c r="O218" s="4" t="str">
        <f ca="1">IF(OR(INDEX($AG$2:$AG$1001,MATCH(ROWS($AF$2:AF218),$AF$2:$AF$1001,0),1)&gt;=100000,INDEX($AM$1005:$BM$1005,1,MATCH(COLUMNS($AM$1006:AZ1006),$AM$1006:$BM$1006,0))&gt;=100000), " ",IF(INDEX($AM$2:$BM$1001,MATCH(ROWS($AF$2:AF218),$AF$2:$AF$1001,0),MATCH(COLUMNS($AM$1006:AZ1006),$AM$1006:$BM$1006,0)), HYPERLINK("#",""), HYPERLINK(CONCATENATE("#metadata!", ADDRESS(INDEX($AH$2:$AH$1001,MATCH(ROWS($AF$2:AF218),$AF$2:$AF$1001,0),0), INDEX($AM$1004:$BM$1004,1,MATCH(COLUMNS($AM$1006:AZ1006),$AM$1006:$BM$1006,0)))),"Fix")))</f>
        <v xml:space="preserve"> </v>
      </c>
      <c r="P218" s="4" t="str">
        <f ca="1">IF(OR(INDEX($AG$2:$AG$1001,MATCH(ROWS($AF$2:AF218),$AF$2:$AF$1001,0),1)&gt;=100000,INDEX($AM$1005:$BM$1005,1,MATCH(COLUMNS($AM$1006:BA1006),$AM$1006:$BM$1006,0))&gt;=100000), " ",IF(INDEX($AM$2:$BM$1001,MATCH(ROWS($AF$2:AF218),$AF$2:$AF$1001,0),MATCH(COLUMNS($AM$1006:BA1006),$AM$1006:$BM$1006,0)), HYPERLINK("#",""), HYPERLINK(CONCATENATE("#metadata!", ADDRESS(INDEX($AH$2:$AH$1001,MATCH(ROWS($AF$2:AF218),$AF$2:$AF$1001,0),0), INDEX($AM$1004:$BM$1004,1,MATCH(COLUMNS($AM$1006:BA1006),$AM$1006:$BM$1006,0)))),"Fix")))</f>
        <v xml:space="preserve"> </v>
      </c>
      <c r="Q218" s="4" t="str">
        <f ca="1">IF(OR(INDEX($AG$2:$AG$1001,MATCH(ROWS($AF$2:AF218),$AF$2:$AF$1001,0),1)&gt;=100000,INDEX($AM$1005:$BM$1005,1,MATCH(COLUMNS($AM$1006:BB1006),$AM$1006:$BM$1006,0))&gt;=100000), " ",IF(INDEX($AM$2:$BM$1001,MATCH(ROWS($AF$2:AF218),$AF$2:$AF$1001,0),MATCH(COLUMNS($AM$1006:BB1006),$AM$1006:$BM$1006,0)), HYPERLINK("#",""), HYPERLINK(CONCATENATE("#metadata!", ADDRESS(INDEX($AH$2:$AH$1001,MATCH(ROWS($AF$2:AF218),$AF$2:$AF$1001,0),0), INDEX($AM$1004:$BM$1004,1,MATCH(COLUMNS($AM$1006:BB1006),$AM$1006:$BM$1006,0)))),"Fix")))</f>
        <v xml:space="preserve"> </v>
      </c>
      <c r="R218" s="4" t="str">
        <f ca="1">IF(OR(INDEX($AG$2:$AG$1001,MATCH(ROWS($AF$2:AF218),$AF$2:$AF$1001,0),1)&gt;=100000,INDEX($AM$1005:$BM$1005,1,MATCH(COLUMNS($AM$1006:BC1006),$AM$1006:$BM$1006,0))&gt;=100000), " ",IF(INDEX($AM$2:$BM$1001,MATCH(ROWS($AF$2:AF218),$AF$2:$AF$1001,0),MATCH(COLUMNS($AM$1006:BC1006),$AM$1006:$BM$1006,0)), HYPERLINK("#",""), HYPERLINK(CONCATENATE("#metadata!", ADDRESS(INDEX($AH$2:$AH$1001,MATCH(ROWS($AF$2:AF218),$AF$2:$AF$1001,0),0), INDEX($AM$1004:$BM$1004,1,MATCH(COLUMNS($AM$1006:BC1006),$AM$1006:$BM$1006,0)))),"Fix")))</f>
        <v xml:space="preserve"> </v>
      </c>
      <c r="S218" s="4" t="str">
        <f ca="1">IF(OR(INDEX($AG$2:$AG$1001,MATCH(ROWS($AF$2:AF218),$AF$2:$AF$1001,0),1)&gt;=100000,INDEX($AM$1005:$BM$1005,1,MATCH(COLUMNS($AM$1006:BD1006),$AM$1006:$BM$1006,0))&gt;=100000), " ",IF(INDEX($AM$2:$BM$1001,MATCH(ROWS($AF$2:AF218),$AF$2:$AF$1001,0),MATCH(COLUMNS($AM$1006:BD1006),$AM$1006:$BM$1006,0)), HYPERLINK("#",""), HYPERLINK(CONCATENATE("#metadata!", ADDRESS(INDEX($AH$2:$AH$1001,MATCH(ROWS($AF$2:AF218),$AF$2:$AF$1001,0),0), INDEX($AM$1004:$BM$1004,1,MATCH(COLUMNS($AM$1006:BD1006),$AM$1006:$BM$1006,0)))),"Fix")))</f>
        <v xml:space="preserve"> </v>
      </c>
      <c r="T218" s="4" t="str">
        <f ca="1">IF(OR(INDEX($AG$2:$AG$1001,MATCH(ROWS($AF$2:AF218),$AF$2:$AF$1001,0),1)&gt;=100000,INDEX($AM$1005:$BM$1005,1,MATCH(COLUMNS($AM$1006:BE1006),$AM$1006:$BM$1006,0))&gt;=100000), " ",IF(INDEX($AM$2:$BM$1001,MATCH(ROWS($AF$2:AF218),$AF$2:$AF$1001,0),MATCH(COLUMNS($AM$1006:BE1006),$AM$1006:$BM$1006,0)), HYPERLINK("#",""), HYPERLINK(CONCATENATE("#metadata!", ADDRESS(INDEX($AH$2:$AH$1001,MATCH(ROWS($AF$2:AF218),$AF$2:$AF$1001,0),0), INDEX($AM$1004:$BM$1004,1,MATCH(COLUMNS($AM$1006:BE1006),$AM$1006:$BM$1006,0)))),"Fix")))</f>
        <v xml:space="preserve"> </v>
      </c>
      <c r="U218" s="4" t="str">
        <f ca="1">IF(OR(INDEX($AG$2:$AG$1001,MATCH(ROWS($AF$2:AF218),$AF$2:$AF$1001,0),1)&gt;=100000,INDEX($AM$1005:$BM$1005,1,MATCH(COLUMNS($AM$1006:BF1006),$AM$1006:$BM$1006,0))&gt;=100000), " ",IF(INDEX($AM$2:$BM$1001,MATCH(ROWS($AF$2:AF218),$AF$2:$AF$1001,0),MATCH(COLUMNS($AM$1006:BF1006),$AM$1006:$BM$1006,0)), HYPERLINK("#",""), HYPERLINK(CONCATENATE("#metadata!", ADDRESS(INDEX($AH$2:$AH$1001,MATCH(ROWS($AF$2:AF218),$AF$2:$AF$1001,0),0), INDEX($AM$1004:$BM$1004,1,MATCH(COLUMNS($AM$1006:BF1006),$AM$1006:$BM$1006,0)))),"Fix")))</f>
        <v xml:space="preserve"> </v>
      </c>
      <c r="V218" s="4" t="str">
        <f ca="1">IF(OR(INDEX($AG$2:$AG$1001,MATCH(ROWS($AF$2:AF218),$AF$2:$AF$1001,0),1)&gt;=100000,INDEX($AM$1005:$BM$1005,1,MATCH(COLUMNS($AM$1006:BG1006),$AM$1006:$BM$1006,0))&gt;=100000), " ",IF(INDEX($AM$2:$BM$1001,MATCH(ROWS($AF$2:AF218),$AF$2:$AF$1001,0),MATCH(COLUMNS($AM$1006:BG1006),$AM$1006:$BM$1006,0)), HYPERLINK("#",""), HYPERLINK(CONCATENATE("#metadata!", ADDRESS(INDEX($AH$2:$AH$1001,MATCH(ROWS($AF$2:AF218),$AF$2:$AF$1001,0),0), INDEX($AM$1004:$BM$1004,1,MATCH(COLUMNS($AM$1006:BG1006),$AM$1006:$BM$1006,0)))),"Fix")))</f>
        <v xml:space="preserve"> </v>
      </c>
      <c r="W218" s="4" t="str">
        <f ca="1">IF(OR(INDEX($AG$2:$AG$1001,MATCH(ROWS($AF$2:AF218),$AF$2:$AF$1001,0),1)&gt;=100000,INDEX($AM$1005:$BM$1005,1,MATCH(COLUMNS($AM$1006:BH1006),$AM$1006:$BM$1006,0))&gt;=100000), " ",IF(INDEX($AM$2:$BM$1001,MATCH(ROWS($AF$2:AF218),$AF$2:$AF$1001,0),MATCH(COLUMNS($AM$1006:BH1006),$AM$1006:$BM$1006,0)), HYPERLINK("#",""), HYPERLINK(CONCATENATE("#metadata!", ADDRESS(INDEX($AH$2:$AH$1001,MATCH(ROWS($AF$2:AF218),$AF$2:$AF$1001,0),0), INDEX($AM$1004:$BM$1004,1,MATCH(COLUMNS($AM$1006:BH1006),$AM$1006:$BM$1006,0)))),"Fix")))</f>
        <v xml:space="preserve"> </v>
      </c>
      <c r="X218" s="4" t="str">
        <f ca="1">IF(OR(INDEX($AG$2:$AG$1001,MATCH(ROWS($AF$2:AF218),$AF$2:$AF$1001,0),1)&gt;=100000,INDEX($AM$1005:$BM$1005,1,MATCH(COLUMNS($AM$1006:BI1006),$AM$1006:$BM$1006,0))&gt;=100000), " ",IF(INDEX($AM$2:$BM$1001,MATCH(ROWS($AF$2:AF218),$AF$2:$AF$1001,0),MATCH(COLUMNS($AM$1006:BI1006),$AM$1006:$BM$1006,0)), HYPERLINK("#",""), HYPERLINK(CONCATENATE("#metadata!", ADDRESS(INDEX($AH$2:$AH$1001,MATCH(ROWS($AF$2:AF218),$AF$2:$AF$1001,0),0), INDEX($AM$1004:$BM$1004,1,MATCH(COLUMNS($AM$1006:BI1006),$AM$1006:$BM$1006,0)))),"Fix")))</f>
        <v xml:space="preserve"> </v>
      </c>
      <c r="Y218" s="4" t="str">
        <f ca="1">IF(OR(INDEX($AG$2:$AG$1001,MATCH(ROWS($AF$2:AF218),$AF$2:$AF$1001,0),1)&gt;=100000,INDEX($AM$1005:$BM$1005,1,MATCH(COLUMNS($AM$1006:BJ1006),$AM$1006:$BM$1006,0))&gt;=100000), " ",IF(INDEX($AM$2:$BM$1001,MATCH(ROWS($AF$2:AF218),$AF$2:$AF$1001,0),MATCH(COLUMNS($AM$1006:BJ1006),$AM$1006:$BM$1006,0)), HYPERLINK("#",""), HYPERLINK(CONCATENATE("#metadata!", ADDRESS(INDEX($AH$2:$AH$1001,MATCH(ROWS($AF$2:AF218),$AF$2:$AF$1001,0),0), INDEX($AM$1004:$BM$1004,1,MATCH(COLUMNS($AM$1006:BJ1006),$AM$1006:$BM$1006,0)))),"Fix")))</f>
        <v xml:space="preserve"> </v>
      </c>
      <c r="Z218" s="4" t="str">
        <f ca="1">IF(OR(INDEX($AG$2:$AG$1001,MATCH(ROWS($AF$2:AF218),$AF$2:$AF$1001,0),1)&gt;=100000,INDEX($AM$1005:$BM$1005,1,MATCH(COLUMNS($AM$1006:BK1006),$AM$1006:$BM$1006,0))&gt;=100000), " ",IF(INDEX($AM$2:$BM$1001,MATCH(ROWS($AF$2:AF218),$AF$2:$AF$1001,0),MATCH(COLUMNS($AM$1006:BK1006),$AM$1006:$BM$1006,0)), HYPERLINK("#",""), HYPERLINK(CONCATENATE("#metadata!", ADDRESS(INDEX($AH$2:$AH$1001,MATCH(ROWS($AF$2:AF218),$AF$2:$AF$1001,0),0), INDEX($AM$1004:$BM$1004,1,MATCH(COLUMNS($AM$1006:BK1006),$AM$1006:$BM$1006,0)))),"Fix")))</f>
        <v xml:space="preserve"> </v>
      </c>
      <c r="AA218" s="4" t="str">
        <f ca="1">IF(OR(INDEX($AG$2:$AG$1001,MATCH(ROWS($AF$2:AF218),$AF$2:$AF$1001,0),1)&gt;=100000,INDEX($AM$1005:$BM$1005,1,MATCH(COLUMNS($AM$1006:BL1006),$AM$1006:$BM$1006,0))&gt;=100000), " ",IF(INDEX($AM$2:$BM$1001,MATCH(ROWS($AF$2:AF218),$AF$2:$AF$1001,0),MATCH(COLUMNS($AM$1006:BL1006),$AM$1006:$BM$1006,0)), HYPERLINK("#",""), HYPERLINK(CONCATENATE("#metadata!", ADDRESS(INDEX($AH$2:$AH$1001,MATCH(ROWS($AF$2:AF218),$AF$2:$AF$1001,0),0), INDEX($AM$1004:$BM$1004,1,MATCH(COLUMNS($AM$1006:BL1006),$AM$1006:$BM$1006,0)))),"Fix")))</f>
        <v xml:space="preserve"> </v>
      </c>
      <c r="AB218" s="4" t="str">
        <f ca="1">IF(OR(INDEX($AG$2:$AG$1001,MATCH(ROWS($AF$2:AF218),$AF$2:$AF$1001,0),1)&gt;=100000,INDEX($AM$1005:$BM$1005,1,MATCH(COLUMNS($AM$1006:BM1006),$AM$1006:$BM$1006,0))&gt;=100000), " ",IF(INDEX($AM$2:$BM$1001,MATCH(ROWS($AF$2:AF218),$AF$2:$AF$1001,0),MATCH(COLUMNS($AM$1006:BM1006),$AM$1006:$BM$1006,0)), HYPERLINK("#",""), HYPERLINK(CONCATENATE("#metadata!", ADDRESS(INDEX($AH$2:$AH$1001,MATCH(ROWS($AF$2:AF218),$AF$2:$AF$1001,0),0), INDEX($AM$1004:$BM$1004,1,MATCH(COLUMNS($AM$1006:BM1006),$AM$1006:$BM$1006,0)))),"Fix")))</f>
        <v xml:space="preserve"> </v>
      </c>
      <c r="AF218">
        <v>217</v>
      </c>
      <c r="AG218">
        <v>100218</v>
      </c>
      <c r="AH218">
        <v>218</v>
      </c>
      <c r="AI218" t="b">
        <f t="shared" si="3"/>
        <v>1</v>
      </c>
      <c r="AJ218" t="b">
        <f>COUNTBLANK(metadata!B218:AB218)=COLUMNS(metadata!B218:AB218)</f>
        <v>1</v>
      </c>
      <c r="AK218" t="str">
        <v/>
      </c>
      <c r="AM218" t="b">
        <f ca="1">AND(IF(metadata!B218="",FALSE,TRUE),COUNTIF(metadata!B:B, metadata!B218) = 1,NOT(ISERROR(SUMPRODUCT(SEARCH(MID(metadata!B218,ROW(INDIRECT("1:"&amp;LEN(metadata!B218))), 1),"0123456789abcdefghijklmnopqrstuvwxyzABCDEFGHIJKLMNOPQRSTUVWXYZ.")))))</f>
        <v>0</v>
      </c>
      <c r="AN218" t="b">
        <f ca="1">OR(AND(IF(metadata!C218="",FALSE,TRUE),OR(EXACT(metadata!C218,"missing: not collected"),EXACT(metadata!C218,"missing: not provided"),EXACT(metadata!C218,"missing: restricted access"))),AND(IF(metadata!C218="",FALSE,TRUE),AND(AND(IFERROR(INT(LEFT(metadata!C218,4))&gt;1900,FALSE),IFERROR(INT(LEFT(metadata!C218,4))&lt;=YEAR(NOW()),FALSE)), OR(MID(metadata!C218,5,1)="", AND(AND(MID(metadata!C218,5,1)="-",IFERROR(INT(MID(metadata!C218,6,1))&gt;=0,FALSE),IFERROR(INT(MID(metadata!C218,6,1))&lt;=1,FALSE),NOT(MID(metadata!C218,7,1)=""),IFERROR(INT(MID(metadata!C218,6,2))&gt;=1,FALSE),IFERROR(INT(MID(metadata!C218,6,2))&lt;=12,FALSE)), OR(MID(metadata!C218,8,1)="", AND(AND(MID(metadata!C218,8,1)="-",IFERROR(INT(MID(metadata!C218,9,1))&gt;=0,FALSE),IFERROR(INT(MID(metadata!C218,9,1))&lt;=3,FALSE),NOT(MID(metadata!C218,10,1)=""),IFERROR(INT(MID(metadata!C218,9,2))&gt;=1,FALSE),IFERROR(INT(MID(metadata!C218,9,2))&lt;=31,FALSE)), OR(MID(metadata!C218,11,1)="", AND(AND(MID(metadata!C218,11,1)=" ",IFERROR(INT(MID(metadata!C218,12,1))&gt;=0,FALSE),IFERROR(INT(MID(metadata!C218,12,1))&lt;=2,FALSE),NOT(MID(metadata!C218,13,1)=""),IFERROR(INT(MID(metadata!C218,12,2))&gt;=0,FALSE),IFERROR(INT(MID(metadata!C218,12,2))&lt;=23,FALSE)), OR(MID(metadata!C218,14,1)="", AND(AND(MID(metadata!C218,14,1)=":",IFERROR(INT(MID(metadata!C218,15,1))&gt;=0,FALSE),IFERROR(INT(MID(metadata!C218,15,1))&lt;=5,FALSE),NOT(MID(metadata!C218,16,1)=""),IFERROR(INT(MID(metadata!C218,15,2))&gt;=0,FALSE),IFERROR(INT(MID(metadata!C218,15,2))&lt;=59,FALSE)), OR(MID(metadata!C218,17,1)="", AND(AND(MID(metadata!C218,17,1)=":",IFERROR(INT(MID(metadata!C218,18,1))&gt;=0,FALSE),IFERROR(INT(MID(metadata!C218,18,1))&lt;=5,FALSE),NOT(MID(metadata!C218,19,1)=""),IFERROR(INT(MID(metadata!C218,18,2))&gt;=0,FALSE),IFERROR(INT(MID(metadata!C218,18,2))&lt;=59,FALSE)), LEN(metadata!C218)&lt;=19)))))))))))))</f>
        <v>0</v>
      </c>
      <c r="AO218" t="b">
        <f>AND(IF(metadata!D218="",FALSE,TRUE),EXACT(metadata!D218,"Not applicable"))</f>
        <v>0</v>
      </c>
      <c r="AP218" t="b">
        <f>IF(metadata!E218="",FALSE,TRUE)</f>
        <v>0</v>
      </c>
      <c r="AQ218" t="b">
        <f>OR(AND(IF(metadata!F218="",FALSE,TRUE),OR(EXACT(metadata!F218,"missing: not collected"),EXACT(metadata!F218,"missing: not provided"))),AND(IF(metadata!F218="",FALSE,TRUE),OR(EXACT(metadata!F218,"TRUE"),EXACT(metadata!F218,"FALSE"))))</f>
        <v>0</v>
      </c>
      <c r="AR218" t="b">
        <f>OR(AND(IF(metadata!G218="",FALSE,TRUE),OR(EXACT(metadata!G218,"missing: not collected"),EXACT(metadata!G218,"missing: not provided"),EXACT(metadata!G218,"missing: restricted access"))),AND(IF(metadata!G218="",FALSE,ISNUMBER(VALUE(metadata!G218))),metadata!G218&gt;=-413))</f>
        <v>0</v>
      </c>
      <c r="AS218" t="b">
        <f>AND(IF(metadata!H218="",FALSE,TRUE),EXACT(metadata!H218,"meters"))</f>
        <v>0</v>
      </c>
      <c r="AT218" t="b">
        <f>AND(IF(metadata!I218="",FALSE,TRUE),OR(EXACT(metadata!I218,"Host-associated"),EXACT(metadata!I218,"Free-living")))</f>
        <v>0</v>
      </c>
      <c r="AU218" t="b">
        <f>AND(IF(metadata!J218="",FALSE,TRUE),OR(EXACT(metadata!J218,"Animal"),EXACT(metadata!J218,"Fungus"),EXACT(metadata!J218,"Plant"),EXACT(metadata!J218,"Saline"),EXACT(metadata!J218,"Non-saline")))</f>
        <v>0</v>
      </c>
      <c r="AV218" t="b">
        <f>AND(IF(metadata!K218="",FALSE,TRUE),OR(EXACT(metadata!K218,"Plant secretion"),EXACT(metadata!K218,"Plant rhizosphere"),EXACT(metadata!K218,"Plant surface"),EXACT(metadata!K218,"Plant corpus"),EXACT(metadata!K218,"Fungus surface"),EXACT(metadata!K218,"Fungus corpus"),EXACT(metadata!K218,"Animal surface"),EXACT(metadata!K218,"Animal proximal gut"),EXACT(metadata!K218,"Animal corpus"),EXACT(metadata!K218,"Animal distal gut"),EXACT(metadata!K218,"Animal secretion"),EXACT(metadata!K218,"Sub-surface (non-saline)"),EXACT(metadata!K218,"Surface (non-saline)"),EXACT(metadata!K218,"Water (non-saline)"),EXACT(metadata!K218,"Soil (non-saline)"),EXACT(metadata!K218,"Aerosol (non-saline)"),EXACT(metadata!K218,"Sediment (non-saline)"),EXACT(metadata!K218,"Surface (saline)"),EXACT(metadata!K218,"Water (saline)"),EXACT(metadata!K218,"Hypersaline (saline)"),EXACT(metadata!K218,"Aerosol (saline)"),EXACT(metadata!K218,"Sediment (saline)")))</f>
        <v>0</v>
      </c>
      <c r="AW218" t="b">
        <f>IF(metadata!L218="",FALSE,TRUE)</f>
        <v>0</v>
      </c>
      <c r="AX218" t="b">
        <f>IF(metadata!M218="",FALSE,TRUE)</f>
        <v>0</v>
      </c>
      <c r="AY218" t="b">
        <f>IF(metadata!N218="",FALSE,TRUE)</f>
        <v>0</v>
      </c>
      <c r="AZ218" t="b">
        <f>OR(AND(IF(metadata!O218="",FALSE,TRUE),OR(EXACT(metadata!O218,"missing: not collected"),EXACT(metadata!O218,"missing: not provided"),EXACT(metadata!O218,"missing: restricted access"))),AND(IF(metadata!O218="",FALSE,TRUE),OR(EXACT(metadata!O218,"air"),EXACT(metadata!O218,"built environment"),EXACT(metadata!O218,"host-associated"),EXACT(metadata!O218,"human-associated"),EXACT(metadata!O218,"human-skin"),EXACT(metadata!O218,"human-oral"),EXACT(metadata!O218,"human-gut"),EXACT(metadata!O218,"human-vaginal"),EXACT(metadata!O218,"microbial mat/biofilm"),EXACT(metadata!O218,"misc environment"),EXACT(metadata!O218,"plant-associated"),EXACT(metadata!O218,"sediment"),EXACT(metadata!O218,"soil"),EXACT(metadata!O218,"wastewater/sludge"),EXACT(metadata!O218,"water"))))</f>
        <v>0</v>
      </c>
      <c r="BA218" t="b">
        <f>IF(metadata!P218="",FALSE,TRUE)</f>
        <v>0</v>
      </c>
      <c r="BB218" t="b">
        <f>IF(metadata!Q218="",FALSE,TRUE)</f>
        <v>0</v>
      </c>
      <c r="BC218" t="b">
        <f>OR(AND(IF(metadata!R218="",FALSE,TRUE),OR(EXACT(metadata!R218,"missing: not collected"),EXACT(metadata!R218,"missing: not provided"),EXACT(metadata!R218,"missing: restricted access"))),AND(IF(metadata!R218="",FALSE,ISNUMBER(VALUE(metadata!R218))),metadata!R218&gt;=-90,metadata!R218&lt;=90))</f>
        <v>0</v>
      </c>
      <c r="BD218" t="b">
        <f>AND(IF(metadata!S218="",FALSE,TRUE),EXACT(metadata!S218,"Decimal degrees"))</f>
        <v>0</v>
      </c>
      <c r="BE218" t="b">
        <f>OR(AND(IF(metadata!T218="",FALSE,TRUE),OR(EXACT(metadata!T218,"missing: not collected"),EXACT(metadata!T218,"missing: not provided"),EXACT(metadata!T218,"missing: restricted access"))),AND(IF(metadata!T218="",FALSE,ISNUMBER(VALUE(metadata!T218))),metadata!T218&gt;=-180,metadata!T218&lt;=180))</f>
        <v>0</v>
      </c>
      <c r="BF218" t="b">
        <f>AND(IF(metadata!U218="",FALSE,TRUE),EXACT(metadata!U218,"Decimal degrees"))</f>
        <v>0</v>
      </c>
      <c r="BG218" t="b">
        <f>IF(metadata!V218="",FALSE,TRUE)</f>
        <v>0</v>
      </c>
      <c r="BH218" t="b">
        <f>OR(AND(IF(metadata!W218="",FALSE,TRUE),OR(EXACT(metadata!W218,"missing: not collected"),EXACT(metadata!W218,"missing: not provided"),EXACT(metadata!W218,"missing: restricted access"))),AND(IF(metadata!W218="",FALSE,TRUE),OR(EXACT(metadata!W218,"TRUE"),EXACT(metadata!W218,"FALSE"))))</f>
        <v>0</v>
      </c>
      <c r="BI218" t="b">
        <f>AND(IF(metadata!X218="",FALSE,TRUE),EXACT(metadata!X218,"other"))</f>
        <v>0</v>
      </c>
      <c r="BJ218" t="b">
        <f>IF(metadata!Y218="",FALSE,TRUE)</f>
        <v>0</v>
      </c>
      <c r="BK218" t="b">
        <f>OR(AND(IF(metadata!Z218="",FALSE,TRUE),OR(EXACT(metadata!Z218,"missing: not collected"),EXACT(metadata!Z218,"missing: not provided"))),AND(IF(metadata!Z218="",FALSE,IF(ISERROR(INT(metadata!Z218)),FALSE,INT(metadata!Z218)=metadata!Z218)),metadata!Z218&gt;0))</f>
        <v>0</v>
      </c>
      <c r="BL218" t="b">
        <f>AND(IF(metadata!AA218="",FALSE,TRUE),EXACT(metadata!AA218,"Not applicable"))</f>
        <v>0</v>
      </c>
      <c r="BM218" t="b">
        <f>IF(metadata!AB218="",FALSE,TRUE)</f>
        <v>0</v>
      </c>
    </row>
    <row r="219" spans="1:65" x14ac:dyDescent="0.2">
      <c r="A219" s="5" t="str">
        <f ca="1">IF(B219=" "," ",HYPERLINK(CONCATENATE("#metadata!",ADDRESS(INDEX($AH$2:$AH$1001,MATCH(ROWS($AF$2:AF219),$AF$2:$AF$1001,0),0),1)),INDEX($AK$2:$AK$1001,MATCH(ROWS($AF$2:AF219),$AF$2:$AF$1001,0),0)))</f>
        <v xml:space="preserve"> </v>
      </c>
      <c r="B219" s="4" t="str">
        <f ca="1">IF(OR(INDEX($AG$2:$AG$1001,MATCH(ROWS($AF$2:AF219),$AF$2:$AF$1001,0),1)&gt;=100000,INDEX($AM$1005:$BM$1005,1,MATCH(COLUMNS($AM$1006:AM1006),$AM$1006:$BM$1006,0))&gt;=100000), " ",IF(INDEX($AM$2:$BM$1001,MATCH(ROWS($AF$2:AF219),$AF$2:$AF$1001,0),MATCH(COLUMNS($AM$1006:AM1006),$AM$1006:$BM$1006,0)), HYPERLINK("#",""), HYPERLINK(CONCATENATE("#metadata!", ADDRESS(INDEX($AH$2:$AH$1001,MATCH(ROWS($AF$2:AF219),$AF$2:$AF$1001,0),0), INDEX($AM$1004:$BM$1004,1,MATCH(COLUMNS($AM$1006:AM1006),$AM$1006:$BM$1006,0)))),"Fix")))</f>
        <v xml:space="preserve"> </v>
      </c>
      <c r="C219" s="4" t="str">
        <f ca="1">IF(OR(INDEX($AG$2:$AG$1001,MATCH(ROWS($AF$2:AF219),$AF$2:$AF$1001,0),1)&gt;=100000,INDEX($AM$1005:$BM$1005,1,MATCH(COLUMNS($AM$1006:AN1006),$AM$1006:$BM$1006,0))&gt;=100000), " ",IF(INDEX($AM$2:$BM$1001,MATCH(ROWS($AF$2:AF219),$AF$2:$AF$1001,0),MATCH(COLUMNS($AM$1006:AN1006),$AM$1006:$BM$1006,0)), HYPERLINK("#",""), HYPERLINK(CONCATENATE("#metadata!", ADDRESS(INDEX($AH$2:$AH$1001,MATCH(ROWS($AF$2:AF219),$AF$2:$AF$1001,0),0), INDEX($AM$1004:$BM$1004,1,MATCH(COLUMNS($AM$1006:AN1006),$AM$1006:$BM$1006,0)))),"Fix")))</f>
        <v xml:space="preserve"> </v>
      </c>
      <c r="D219" s="4" t="str">
        <f ca="1">IF(OR(INDEX($AG$2:$AG$1001,MATCH(ROWS($AF$2:AF219),$AF$2:$AF$1001,0),1)&gt;=100000,INDEX($AM$1005:$BM$1005,1,MATCH(COLUMNS($AM$1006:AO1006),$AM$1006:$BM$1006,0))&gt;=100000), " ",IF(INDEX($AM$2:$BM$1001,MATCH(ROWS($AF$2:AF219),$AF$2:$AF$1001,0),MATCH(COLUMNS($AM$1006:AO1006),$AM$1006:$BM$1006,0)), HYPERLINK("#",""), HYPERLINK(CONCATENATE("#metadata!", ADDRESS(INDEX($AH$2:$AH$1001,MATCH(ROWS($AF$2:AF219),$AF$2:$AF$1001,0),0), INDEX($AM$1004:$BM$1004,1,MATCH(COLUMNS($AM$1006:AO1006),$AM$1006:$BM$1006,0)))),"Fix")))</f>
        <v xml:space="preserve"> </v>
      </c>
      <c r="E219" s="4" t="str">
        <f ca="1">IF(OR(INDEX($AG$2:$AG$1001,MATCH(ROWS($AF$2:AF219),$AF$2:$AF$1001,0),1)&gt;=100000,INDEX($AM$1005:$BM$1005,1,MATCH(COLUMNS($AM$1006:AP1006),$AM$1006:$BM$1006,0))&gt;=100000), " ",IF(INDEX($AM$2:$BM$1001,MATCH(ROWS($AF$2:AF219),$AF$2:$AF$1001,0),MATCH(COLUMNS($AM$1006:AP1006),$AM$1006:$BM$1006,0)), HYPERLINK("#",""), HYPERLINK(CONCATENATE("#metadata!", ADDRESS(INDEX($AH$2:$AH$1001,MATCH(ROWS($AF$2:AF219),$AF$2:$AF$1001,0),0), INDEX($AM$1004:$BM$1004,1,MATCH(COLUMNS($AM$1006:AP1006),$AM$1006:$BM$1006,0)))),"Fix")))</f>
        <v xml:space="preserve"> </v>
      </c>
      <c r="F219" s="4" t="str">
        <f ca="1">IF(OR(INDEX($AG$2:$AG$1001,MATCH(ROWS($AF$2:AF219),$AF$2:$AF$1001,0),1)&gt;=100000,INDEX($AM$1005:$BM$1005,1,MATCH(COLUMNS($AM$1006:AQ1006),$AM$1006:$BM$1006,0))&gt;=100000), " ",IF(INDEX($AM$2:$BM$1001,MATCH(ROWS($AF$2:AF219),$AF$2:$AF$1001,0),MATCH(COLUMNS($AM$1006:AQ1006),$AM$1006:$BM$1006,0)), HYPERLINK("#",""), HYPERLINK(CONCATENATE("#metadata!", ADDRESS(INDEX($AH$2:$AH$1001,MATCH(ROWS($AF$2:AF219),$AF$2:$AF$1001,0),0), INDEX($AM$1004:$BM$1004,1,MATCH(COLUMNS($AM$1006:AQ1006),$AM$1006:$BM$1006,0)))),"Fix")))</f>
        <v xml:space="preserve"> </v>
      </c>
      <c r="G219" s="4" t="str">
        <f ca="1">IF(OR(INDEX($AG$2:$AG$1001,MATCH(ROWS($AF$2:AF219),$AF$2:$AF$1001,0),1)&gt;=100000,INDEX($AM$1005:$BM$1005,1,MATCH(COLUMNS($AM$1006:AR1006),$AM$1006:$BM$1006,0))&gt;=100000), " ",IF(INDEX($AM$2:$BM$1001,MATCH(ROWS($AF$2:AF219),$AF$2:$AF$1001,0),MATCH(COLUMNS($AM$1006:AR1006),$AM$1006:$BM$1006,0)), HYPERLINK("#",""), HYPERLINK(CONCATENATE("#metadata!", ADDRESS(INDEX($AH$2:$AH$1001,MATCH(ROWS($AF$2:AF219),$AF$2:$AF$1001,0),0), INDEX($AM$1004:$BM$1004,1,MATCH(COLUMNS($AM$1006:AR1006),$AM$1006:$BM$1006,0)))),"Fix")))</f>
        <v xml:space="preserve"> </v>
      </c>
      <c r="H219" s="4" t="str">
        <f ca="1">IF(OR(INDEX($AG$2:$AG$1001,MATCH(ROWS($AF$2:AF219),$AF$2:$AF$1001,0),1)&gt;=100000,INDEX($AM$1005:$BM$1005,1,MATCH(COLUMNS($AM$1006:AS1006),$AM$1006:$BM$1006,0))&gt;=100000), " ",IF(INDEX($AM$2:$BM$1001,MATCH(ROWS($AF$2:AF219),$AF$2:$AF$1001,0),MATCH(COLUMNS($AM$1006:AS1006),$AM$1006:$BM$1006,0)), HYPERLINK("#",""), HYPERLINK(CONCATENATE("#metadata!", ADDRESS(INDEX($AH$2:$AH$1001,MATCH(ROWS($AF$2:AF219),$AF$2:$AF$1001,0),0), INDEX($AM$1004:$BM$1004,1,MATCH(COLUMNS($AM$1006:AS1006),$AM$1006:$BM$1006,0)))),"Fix")))</f>
        <v xml:space="preserve"> </v>
      </c>
      <c r="I219" s="4" t="str">
        <f ca="1">IF(OR(INDEX($AG$2:$AG$1001,MATCH(ROWS($AF$2:AF219),$AF$2:$AF$1001,0),1)&gt;=100000,INDEX($AM$1005:$BM$1005,1,MATCH(COLUMNS($AM$1006:AT1006),$AM$1006:$BM$1006,0))&gt;=100000), " ",IF(INDEX($AM$2:$BM$1001,MATCH(ROWS($AF$2:AF219),$AF$2:$AF$1001,0),MATCH(COLUMNS($AM$1006:AT1006),$AM$1006:$BM$1006,0)), HYPERLINK("#",""), HYPERLINK(CONCATENATE("#metadata!", ADDRESS(INDEX($AH$2:$AH$1001,MATCH(ROWS($AF$2:AF219),$AF$2:$AF$1001,0),0), INDEX($AM$1004:$BM$1004,1,MATCH(COLUMNS($AM$1006:AT1006),$AM$1006:$BM$1006,0)))),"Fix")))</f>
        <v xml:space="preserve"> </v>
      </c>
      <c r="J219" s="4" t="str">
        <f ca="1">IF(OR(INDEX($AG$2:$AG$1001,MATCH(ROWS($AF$2:AF219),$AF$2:$AF$1001,0),1)&gt;=100000,INDEX($AM$1005:$BM$1005,1,MATCH(COLUMNS($AM$1006:AU1006),$AM$1006:$BM$1006,0))&gt;=100000), " ",IF(INDEX($AM$2:$BM$1001,MATCH(ROWS($AF$2:AF219),$AF$2:$AF$1001,0),MATCH(COLUMNS($AM$1006:AU1006),$AM$1006:$BM$1006,0)), HYPERLINK("#",""), HYPERLINK(CONCATENATE("#metadata!", ADDRESS(INDEX($AH$2:$AH$1001,MATCH(ROWS($AF$2:AF219),$AF$2:$AF$1001,0),0), INDEX($AM$1004:$BM$1004,1,MATCH(COLUMNS($AM$1006:AU1006),$AM$1006:$BM$1006,0)))),"Fix")))</f>
        <v xml:space="preserve"> </v>
      </c>
      <c r="K219" s="4" t="str">
        <f ca="1">IF(OR(INDEX($AG$2:$AG$1001,MATCH(ROWS($AF$2:AF219),$AF$2:$AF$1001,0),1)&gt;=100000,INDEX($AM$1005:$BM$1005,1,MATCH(COLUMNS($AM$1006:AV1006),$AM$1006:$BM$1006,0))&gt;=100000), " ",IF(INDEX($AM$2:$BM$1001,MATCH(ROWS($AF$2:AF219),$AF$2:$AF$1001,0),MATCH(COLUMNS($AM$1006:AV1006),$AM$1006:$BM$1006,0)), HYPERLINK("#",""), HYPERLINK(CONCATENATE("#metadata!", ADDRESS(INDEX($AH$2:$AH$1001,MATCH(ROWS($AF$2:AF219),$AF$2:$AF$1001,0),0), INDEX($AM$1004:$BM$1004,1,MATCH(COLUMNS($AM$1006:AV1006),$AM$1006:$BM$1006,0)))),"Fix")))</f>
        <v xml:space="preserve"> </v>
      </c>
      <c r="L219" s="4" t="str">
        <f ca="1">IF(OR(INDEX($AG$2:$AG$1001,MATCH(ROWS($AF$2:AF219),$AF$2:$AF$1001,0),1)&gt;=100000,INDEX($AM$1005:$BM$1005,1,MATCH(COLUMNS($AM$1006:AW1006),$AM$1006:$BM$1006,0))&gt;=100000), " ",IF(INDEX($AM$2:$BM$1001,MATCH(ROWS($AF$2:AF219),$AF$2:$AF$1001,0),MATCH(COLUMNS($AM$1006:AW1006),$AM$1006:$BM$1006,0)), HYPERLINK("#",""), HYPERLINK(CONCATENATE("#metadata!", ADDRESS(INDEX($AH$2:$AH$1001,MATCH(ROWS($AF$2:AF219),$AF$2:$AF$1001,0),0), INDEX($AM$1004:$BM$1004,1,MATCH(COLUMNS($AM$1006:AW1006),$AM$1006:$BM$1006,0)))),"Fix")))</f>
        <v xml:space="preserve"> </v>
      </c>
      <c r="M219" s="4" t="str">
        <f ca="1">IF(OR(INDEX($AG$2:$AG$1001,MATCH(ROWS($AF$2:AF219),$AF$2:$AF$1001,0),1)&gt;=100000,INDEX($AM$1005:$BM$1005,1,MATCH(COLUMNS($AM$1006:AX1006),$AM$1006:$BM$1006,0))&gt;=100000), " ",IF(INDEX($AM$2:$BM$1001,MATCH(ROWS($AF$2:AF219),$AF$2:$AF$1001,0),MATCH(COLUMNS($AM$1006:AX1006),$AM$1006:$BM$1006,0)), HYPERLINK("#",""), HYPERLINK(CONCATENATE("#metadata!", ADDRESS(INDEX($AH$2:$AH$1001,MATCH(ROWS($AF$2:AF219),$AF$2:$AF$1001,0),0), INDEX($AM$1004:$BM$1004,1,MATCH(COLUMNS($AM$1006:AX1006),$AM$1006:$BM$1006,0)))),"Fix")))</f>
        <v xml:space="preserve"> </v>
      </c>
      <c r="N219" s="4" t="str">
        <f ca="1">IF(OR(INDEX($AG$2:$AG$1001,MATCH(ROWS($AF$2:AF219),$AF$2:$AF$1001,0),1)&gt;=100000,INDEX($AM$1005:$BM$1005,1,MATCH(COLUMNS($AM$1006:AY1006),$AM$1006:$BM$1006,0))&gt;=100000), " ",IF(INDEX($AM$2:$BM$1001,MATCH(ROWS($AF$2:AF219),$AF$2:$AF$1001,0),MATCH(COLUMNS($AM$1006:AY1006),$AM$1006:$BM$1006,0)), HYPERLINK("#",""), HYPERLINK(CONCATENATE("#metadata!", ADDRESS(INDEX($AH$2:$AH$1001,MATCH(ROWS($AF$2:AF219),$AF$2:$AF$1001,0),0), INDEX($AM$1004:$BM$1004,1,MATCH(COLUMNS($AM$1006:AY1006),$AM$1006:$BM$1006,0)))),"Fix")))</f>
        <v xml:space="preserve"> </v>
      </c>
      <c r="O219" s="4" t="str">
        <f ca="1">IF(OR(INDEX($AG$2:$AG$1001,MATCH(ROWS($AF$2:AF219),$AF$2:$AF$1001,0),1)&gt;=100000,INDEX($AM$1005:$BM$1005,1,MATCH(COLUMNS($AM$1006:AZ1006),$AM$1006:$BM$1006,0))&gt;=100000), " ",IF(INDEX($AM$2:$BM$1001,MATCH(ROWS($AF$2:AF219),$AF$2:$AF$1001,0),MATCH(COLUMNS($AM$1006:AZ1006),$AM$1006:$BM$1006,0)), HYPERLINK("#",""), HYPERLINK(CONCATENATE("#metadata!", ADDRESS(INDEX($AH$2:$AH$1001,MATCH(ROWS($AF$2:AF219),$AF$2:$AF$1001,0),0), INDEX($AM$1004:$BM$1004,1,MATCH(COLUMNS($AM$1006:AZ1006),$AM$1006:$BM$1006,0)))),"Fix")))</f>
        <v xml:space="preserve"> </v>
      </c>
      <c r="P219" s="4" t="str">
        <f ca="1">IF(OR(INDEX($AG$2:$AG$1001,MATCH(ROWS($AF$2:AF219),$AF$2:$AF$1001,0),1)&gt;=100000,INDEX($AM$1005:$BM$1005,1,MATCH(COLUMNS($AM$1006:BA1006),$AM$1006:$BM$1006,0))&gt;=100000), " ",IF(INDEX($AM$2:$BM$1001,MATCH(ROWS($AF$2:AF219),$AF$2:$AF$1001,0),MATCH(COLUMNS($AM$1006:BA1006),$AM$1006:$BM$1006,0)), HYPERLINK("#",""), HYPERLINK(CONCATENATE("#metadata!", ADDRESS(INDEX($AH$2:$AH$1001,MATCH(ROWS($AF$2:AF219),$AF$2:$AF$1001,0),0), INDEX($AM$1004:$BM$1004,1,MATCH(COLUMNS($AM$1006:BA1006),$AM$1006:$BM$1006,0)))),"Fix")))</f>
        <v xml:space="preserve"> </v>
      </c>
      <c r="Q219" s="4" t="str">
        <f ca="1">IF(OR(INDEX($AG$2:$AG$1001,MATCH(ROWS($AF$2:AF219),$AF$2:$AF$1001,0),1)&gt;=100000,INDEX($AM$1005:$BM$1005,1,MATCH(COLUMNS($AM$1006:BB1006),$AM$1006:$BM$1006,0))&gt;=100000), " ",IF(INDEX($AM$2:$BM$1001,MATCH(ROWS($AF$2:AF219),$AF$2:$AF$1001,0),MATCH(COLUMNS($AM$1006:BB1006),$AM$1006:$BM$1006,0)), HYPERLINK("#",""), HYPERLINK(CONCATENATE("#metadata!", ADDRESS(INDEX($AH$2:$AH$1001,MATCH(ROWS($AF$2:AF219),$AF$2:$AF$1001,0),0), INDEX($AM$1004:$BM$1004,1,MATCH(COLUMNS($AM$1006:BB1006),$AM$1006:$BM$1006,0)))),"Fix")))</f>
        <v xml:space="preserve"> </v>
      </c>
      <c r="R219" s="4" t="str">
        <f ca="1">IF(OR(INDEX($AG$2:$AG$1001,MATCH(ROWS($AF$2:AF219),$AF$2:$AF$1001,0),1)&gt;=100000,INDEX($AM$1005:$BM$1005,1,MATCH(COLUMNS($AM$1006:BC1006),$AM$1006:$BM$1006,0))&gt;=100000), " ",IF(INDEX($AM$2:$BM$1001,MATCH(ROWS($AF$2:AF219),$AF$2:$AF$1001,0),MATCH(COLUMNS($AM$1006:BC1006),$AM$1006:$BM$1006,0)), HYPERLINK("#",""), HYPERLINK(CONCATENATE("#metadata!", ADDRESS(INDEX($AH$2:$AH$1001,MATCH(ROWS($AF$2:AF219),$AF$2:$AF$1001,0),0), INDEX($AM$1004:$BM$1004,1,MATCH(COLUMNS($AM$1006:BC1006),$AM$1006:$BM$1006,0)))),"Fix")))</f>
        <v xml:space="preserve"> </v>
      </c>
      <c r="S219" s="4" t="str">
        <f ca="1">IF(OR(INDEX($AG$2:$AG$1001,MATCH(ROWS($AF$2:AF219),$AF$2:$AF$1001,0),1)&gt;=100000,INDEX($AM$1005:$BM$1005,1,MATCH(COLUMNS($AM$1006:BD1006),$AM$1006:$BM$1006,0))&gt;=100000), " ",IF(INDEX($AM$2:$BM$1001,MATCH(ROWS($AF$2:AF219),$AF$2:$AF$1001,0),MATCH(COLUMNS($AM$1006:BD1006),$AM$1006:$BM$1006,0)), HYPERLINK("#",""), HYPERLINK(CONCATENATE("#metadata!", ADDRESS(INDEX($AH$2:$AH$1001,MATCH(ROWS($AF$2:AF219),$AF$2:$AF$1001,0),0), INDEX($AM$1004:$BM$1004,1,MATCH(COLUMNS($AM$1006:BD1006),$AM$1006:$BM$1006,0)))),"Fix")))</f>
        <v xml:space="preserve"> </v>
      </c>
      <c r="T219" s="4" t="str">
        <f ca="1">IF(OR(INDEX($AG$2:$AG$1001,MATCH(ROWS($AF$2:AF219),$AF$2:$AF$1001,0),1)&gt;=100000,INDEX($AM$1005:$BM$1005,1,MATCH(COLUMNS($AM$1006:BE1006),$AM$1006:$BM$1006,0))&gt;=100000), " ",IF(INDEX($AM$2:$BM$1001,MATCH(ROWS($AF$2:AF219),$AF$2:$AF$1001,0),MATCH(COLUMNS($AM$1006:BE1006),$AM$1006:$BM$1006,0)), HYPERLINK("#",""), HYPERLINK(CONCATENATE("#metadata!", ADDRESS(INDEX($AH$2:$AH$1001,MATCH(ROWS($AF$2:AF219),$AF$2:$AF$1001,0),0), INDEX($AM$1004:$BM$1004,1,MATCH(COLUMNS($AM$1006:BE1006),$AM$1006:$BM$1006,0)))),"Fix")))</f>
        <v xml:space="preserve"> </v>
      </c>
      <c r="U219" s="4" t="str">
        <f ca="1">IF(OR(INDEX($AG$2:$AG$1001,MATCH(ROWS($AF$2:AF219),$AF$2:$AF$1001,0),1)&gt;=100000,INDEX($AM$1005:$BM$1005,1,MATCH(COLUMNS($AM$1006:BF1006),$AM$1006:$BM$1006,0))&gt;=100000), " ",IF(INDEX($AM$2:$BM$1001,MATCH(ROWS($AF$2:AF219),$AF$2:$AF$1001,0),MATCH(COLUMNS($AM$1006:BF1006),$AM$1006:$BM$1006,0)), HYPERLINK("#",""), HYPERLINK(CONCATENATE("#metadata!", ADDRESS(INDEX($AH$2:$AH$1001,MATCH(ROWS($AF$2:AF219),$AF$2:$AF$1001,0),0), INDEX($AM$1004:$BM$1004,1,MATCH(COLUMNS($AM$1006:BF1006),$AM$1006:$BM$1006,0)))),"Fix")))</f>
        <v xml:space="preserve"> </v>
      </c>
      <c r="V219" s="4" t="str">
        <f ca="1">IF(OR(INDEX($AG$2:$AG$1001,MATCH(ROWS($AF$2:AF219),$AF$2:$AF$1001,0),1)&gt;=100000,INDEX($AM$1005:$BM$1005,1,MATCH(COLUMNS($AM$1006:BG1006),$AM$1006:$BM$1006,0))&gt;=100000), " ",IF(INDEX($AM$2:$BM$1001,MATCH(ROWS($AF$2:AF219),$AF$2:$AF$1001,0),MATCH(COLUMNS($AM$1006:BG1006),$AM$1006:$BM$1006,0)), HYPERLINK("#",""), HYPERLINK(CONCATENATE("#metadata!", ADDRESS(INDEX($AH$2:$AH$1001,MATCH(ROWS($AF$2:AF219),$AF$2:$AF$1001,0),0), INDEX($AM$1004:$BM$1004,1,MATCH(COLUMNS($AM$1006:BG1006),$AM$1006:$BM$1006,0)))),"Fix")))</f>
        <v xml:space="preserve"> </v>
      </c>
      <c r="W219" s="4" t="str">
        <f ca="1">IF(OR(INDEX($AG$2:$AG$1001,MATCH(ROWS($AF$2:AF219),$AF$2:$AF$1001,0),1)&gt;=100000,INDEX($AM$1005:$BM$1005,1,MATCH(COLUMNS($AM$1006:BH1006),$AM$1006:$BM$1006,0))&gt;=100000), " ",IF(INDEX($AM$2:$BM$1001,MATCH(ROWS($AF$2:AF219),$AF$2:$AF$1001,0),MATCH(COLUMNS($AM$1006:BH1006),$AM$1006:$BM$1006,0)), HYPERLINK("#",""), HYPERLINK(CONCATENATE("#metadata!", ADDRESS(INDEX($AH$2:$AH$1001,MATCH(ROWS($AF$2:AF219),$AF$2:$AF$1001,0),0), INDEX($AM$1004:$BM$1004,1,MATCH(COLUMNS($AM$1006:BH1006),$AM$1006:$BM$1006,0)))),"Fix")))</f>
        <v xml:space="preserve"> </v>
      </c>
      <c r="X219" s="4" t="str">
        <f ca="1">IF(OR(INDEX($AG$2:$AG$1001,MATCH(ROWS($AF$2:AF219),$AF$2:$AF$1001,0),1)&gt;=100000,INDEX($AM$1005:$BM$1005,1,MATCH(COLUMNS($AM$1006:BI1006),$AM$1006:$BM$1006,0))&gt;=100000), " ",IF(INDEX($AM$2:$BM$1001,MATCH(ROWS($AF$2:AF219),$AF$2:$AF$1001,0),MATCH(COLUMNS($AM$1006:BI1006),$AM$1006:$BM$1006,0)), HYPERLINK("#",""), HYPERLINK(CONCATENATE("#metadata!", ADDRESS(INDEX($AH$2:$AH$1001,MATCH(ROWS($AF$2:AF219),$AF$2:$AF$1001,0),0), INDEX($AM$1004:$BM$1004,1,MATCH(COLUMNS($AM$1006:BI1006),$AM$1006:$BM$1006,0)))),"Fix")))</f>
        <v xml:space="preserve"> </v>
      </c>
      <c r="Y219" s="4" t="str">
        <f ca="1">IF(OR(INDEX($AG$2:$AG$1001,MATCH(ROWS($AF$2:AF219),$AF$2:$AF$1001,0),1)&gt;=100000,INDEX($AM$1005:$BM$1005,1,MATCH(COLUMNS($AM$1006:BJ1006),$AM$1006:$BM$1006,0))&gt;=100000), " ",IF(INDEX($AM$2:$BM$1001,MATCH(ROWS($AF$2:AF219),$AF$2:$AF$1001,0),MATCH(COLUMNS($AM$1006:BJ1006),$AM$1006:$BM$1006,0)), HYPERLINK("#",""), HYPERLINK(CONCATENATE("#metadata!", ADDRESS(INDEX($AH$2:$AH$1001,MATCH(ROWS($AF$2:AF219),$AF$2:$AF$1001,0),0), INDEX($AM$1004:$BM$1004,1,MATCH(COLUMNS($AM$1006:BJ1006),$AM$1006:$BM$1006,0)))),"Fix")))</f>
        <v xml:space="preserve"> </v>
      </c>
      <c r="Z219" s="4" t="str">
        <f ca="1">IF(OR(INDEX($AG$2:$AG$1001,MATCH(ROWS($AF$2:AF219),$AF$2:$AF$1001,0),1)&gt;=100000,INDEX($AM$1005:$BM$1005,1,MATCH(COLUMNS($AM$1006:BK1006),$AM$1006:$BM$1006,0))&gt;=100000), " ",IF(INDEX($AM$2:$BM$1001,MATCH(ROWS($AF$2:AF219),$AF$2:$AF$1001,0),MATCH(COLUMNS($AM$1006:BK1006),$AM$1006:$BM$1006,0)), HYPERLINK("#",""), HYPERLINK(CONCATENATE("#metadata!", ADDRESS(INDEX($AH$2:$AH$1001,MATCH(ROWS($AF$2:AF219),$AF$2:$AF$1001,0),0), INDEX($AM$1004:$BM$1004,1,MATCH(COLUMNS($AM$1006:BK1006),$AM$1006:$BM$1006,0)))),"Fix")))</f>
        <v xml:space="preserve"> </v>
      </c>
      <c r="AA219" s="4" t="str">
        <f ca="1">IF(OR(INDEX($AG$2:$AG$1001,MATCH(ROWS($AF$2:AF219),$AF$2:$AF$1001,0),1)&gt;=100000,INDEX($AM$1005:$BM$1005,1,MATCH(COLUMNS($AM$1006:BL1006),$AM$1006:$BM$1006,0))&gt;=100000), " ",IF(INDEX($AM$2:$BM$1001,MATCH(ROWS($AF$2:AF219),$AF$2:$AF$1001,0),MATCH(COLUMNS($AM$1006:BL1006),$AM$1006:$BM$1006,0)), HYPERLINK("#",""), HYPERLINK(CONCATENATE("#metadata!", ADDRESS(INDEX($AH$2:$AH$1001,MATCH(ROWS($AF$2:AF219),$AF$2:$AF$1001,0),0), INDEX($AM$1004:$BM$1004,1,MATCH(COLUMNS($AM$1006:BL1006),$AM$1006:$BM$1006,0)))),"Fix")))</f>
        <v xml:space="preserve"> </v>
      </c>
      <c r="AB219" s="4" t="str">
        <f ca="1">IF(OR(INDEX($AG$2:$AG$1001,MATCH(ROWS($AF$2:AF219),$AF$2:$AF$1001,0),1)&gt;=100000,INDEX($AM$1005:$BM$1005,1,MATCH(COLUMNS($AM$1006:BM1006),$AM$1006:$BM$1006,0))&gt;=100000), " ",IF(INDEX($AM$2:$BM$1001,MATCH(ROWS($AF$2:AF219),$AF$2:$AF$1001,0),MATCH(COLUMNS($AM$1006:BM1006),$AM$1006:$BM$1006,0)), HYPERLINK("#",""), HYPERLINK(CONCATENATE("#metadata!", ADDRESS(INDEX($AH$2:$AH$1001,MATCH(ROWS($AF$2:AF219),$AF$2:$AF$1001,0),0), INDEX($AM$1004:$BM$1004,1,MATCH(COLUMNS($AM$1006:BM1006),$AM$1006:$BM$1006,0)))),"Fix")))</f>
        <v xml:space="preserve"> </v>
      </c>
      <c r="AF219">
        <v>218</v>
      </c>
      <c r="AG219">
        <v>100219</v>
      </c>
      <c r="AH219">
        <v>219</v>
      </c>
      <c r="AI219" t="b">
        <f t="shared" si="3"/>
        <v>1</v>
      </c>
      <c r="AJ219" t="b">
        <f>COUNTBLANK(metadata!B219:AB219)=COLUMNS(metadata!B219:AB219)</f>
        <v>1</v>
      </c>
      <c r="AK219" t="str">
        <v/>
      </c>
      <c r="AM219" t="b">
        <f ca="1">AND(IF(metadata!B219="",FALSE,TRUE),COUNTIF(metadata!B:B, metadata!B219) = 1,NOT(ISERROR(SUMPRODUCT(SEARCH(MID(metadata!B219,ROW(INDIRECT("1:"&amp;LEN(metadata!B219))), 1),"0123456789abcdefghijklmnopqrstuvwxyzABCDEFGHIJKLMNOPQRSTUVWXYZ.")))))</f>
        <v>0</v>
      </c>
      <c r="AN219" t="b">
        <f ca="1">OR(AND(IF(metadata!C219="",FALSE,TRUE),OR(EXACT(metadata!C219,"missing: not collected"),EXACT(metadata!C219,"missing: not provided"),EXACT(metadata!C219,"missing: restricted access"))),AND(IF(metadata!C219="",FALSE,TRUE),AND(AND(IFERROR(INT(LEFT(metadata!C219,4))&gt;1900,FALSE),IFERROR(INT(LEFT(metadata!C219,4))&lt;=YEAR(NOW()),FALSE)), OR(MID(metadata!C219,5,1)="", AND(AND(MID(metadata!C219,5,1)="-",IFERROR(INT(MID(metadata!C219,6,1))&gt;=0,FALSE),IFERROR(INT(MID(metadata!C219,6,1))&lt;=1,FALSE),NOT(MID(metadata!C219,7,1)=""),IFERROR(INT(MID(metadata!C219,6,2))&gt;=1,FALSE),IFERROR(INT(MID(metadata!C219,6,2))&lt;=12,FALSE)), OR(MID(metadata!C219,8,1)="", AND(AND(MID(metadata!C219,8,1)="-",IFERROR(INT(MID(metadata!C219,9,1))&gt;=0,FALSE),IFERROR(INT(MID(metadata!C219,9,1))&lt;=3,FALSE),NOT(MID(metadata!C219,10,1)=""),IFERROR(INT(MID(metadata!C219,9,2))&gt;=1,FALSE),IFERROR(INT(MID(metadata!C219,9,2))&lt;=31,FALSE)), OR(MID(metadata!C219,11,1)="", AND(AND(MID(metadata!C219,11,1)=" ",IFERROR(INT(MID(metadata!C219,12,1))&gt;=0,FALSE),IFERROR(INT(MID(metadata!C219,12,1))&lt;=2,FALSE),NOT(MID(metadata!C219,13,1)=""),IFERROR(INT(MID(metadata!C219,12,2))&gt;=0,FALSE),IFERROR(INT(MID(metadata!C219,12,2))&lt;=23,FALSE)), OR(MID(metadata!C219,14,1)="", AND(AND(MID(metadata!C219,14,1)=":",IFERROR(INT(MID(metadata!C219,15,1))&gt;=0,FALSE),IFERROR(INT(MID(metadata!C219,15,1))&lt;=5,FALSE),NOT(MID(metadata!C219,16,1)=""),IFERROR(INT(MID(metadata!C219,15,2))&gt;=0,FALSE),IFERROR(INT(MID(metadata!C219,15,2))&lt;=59,FALSE)), OR(MID(metadata!C219,17,1)="", AND(AND(MID(metadata!C219,17,1)=":",IFERROR(INT(MID(metadata!C219,18,1))&gt;=0,FALSE),IFERROR(INT(MID(metadata!C219,18,1))&lt;=5,FALSE),NOT(MID(metadata!C219,19,1)=""),IFERROR(INT(MID(metadata!C219,18,2))&gt;=0,FALSE),IFERROR(INT(MID(metadata!C219,18,2))&lt;=59,FALSE)), LEN(metadata!C219)&lt;=19)))))))))))))</f>
        <v>0</v>
      </c>
      <c r="AO219" t="b">
        <f>AND(IF(metadata!D219="",FALSE,TRUE),EXACT(metadata!D219,"Not applicable"))</f>
        <v>0</v>
      </c>
      <c r="AP219" t="b">
        <f>IF(metadata!E219="",FALSE,TRUE)</f>
        <v>0</v>
      </c>
      <c r="AQ219" t="b">
        <f>OR(AND(IF(metadata!F219="",FALSE,TRUE),OR(EXACT(metadata!F219,"missing: not collected"),EXACT(metadata!F219,"missing: not provided"))),AND(IF(metadata!F219="",FALSE,TRUE),OR(EXACT(metadata!F219,"TRUE"),EXACT(metadata!F219,"FALSE"))))</f>
        <v>0</v>
      </c>
      <c r="AR219" t="b">
        <f>OR(AND(IF(metadata!G219="",FALSE,TRUE),OR(EXACT(metadata!G219,"missing: not collected"),EXACT(metadata!G219,"missing: not provided"),EXACT(metadata!G219,"missing: restricted access"))),AND(IF(metadata!G219="",FALSE,ISNUMBER(VALUE(metadata!G219))),metadata!G219&gt;=-413))</f>
        <v>0</v>
      </c>
      <c r="AS219" t="b">
        <f>AND(IF(metadata!H219="",FALSE,TRUE),EXACT(metadata!H219,"meters"))</f>
        <v>0</v>
      </c>
      <c r="AT219" t="b">
        <f>AND(IF(metadata!I219="",FALSE,TRUE),OR(EXACT(metadata!I219,"Host-associated"),EXACT(metadata!I219,"Free-living")))</f>
        <v>0</v>
      </c>
      <c r="AU219" t="b">
        <f>AND(IF(metadata!J219="",FALSE,TRUE),OR(EXACT(metadata!J219,"Animal"),EXACT(metadata!J219,"Fungus"),EXACT(metadata!J219,"Plant"),EXACT(metadata!J219,"Saline"),EXACT(metadata!J219,"Non-saline")))</f>
        <v>0</v>
      </c>
      <c r="AV219" t="b">
        <f>AND(IF(metadata!K219="",FALSE,TRUE),OR(EXACT(metadata!K219,"Plant secretion"),EXACT(metadata!K219,"Plant rhizosphere"),EXACT(metadata!K219,"Plant surface"),EXACT(metadata!K219,"Plant corpus"),EXACT(metadata!K219,"Fungus surface"),EXACT(metadata!K219,"Fungus corpus"),EXACT(metadata!K219,"Animal surface"),EXACT(metadata!K219,"Animal proximal gut"),EXACT(metadata!K219,"Animal corpus"),EXACT(metadata!K219,"Animal distal gut"),EXACT(metadata!K219,"Animal secretion"),EXACT(metadata!K219,"Sub-surface (non-saline)"),EXACT(metadata!K219,"Surface (non-saline)"),EXACT(metadata!K219,"Water (non-saline)"),EXACT(metadata!K219,"Soil (non-saline)"),EXACT(metadata!K219,"Aerosol (non-saline)"),EXACT(metadata!K219,"Sediment (non-saline)"),EXACT(metadata!K219,"Surface (saline)"),EXACT(metadata!K219,"Water (saline)"),EXACT(metadata!K219,"Hypersaline (saline)"),EXACT(metadata!K219,"Aerosol (saline)"),EXACT(metadata!K219,"Sediment (saline)")))</f>
        <v>0</v>
      </c>
      <c r="AW219" t="b">
        <f>IF(metadata!L219="",FALSE,TRUE)</f>
        <v>0</v>
      </c>
      <c r="AX219" t="b">
        <f>IF(metadata!M219="",FALSE,TRUE)</f>
        <v>0</v>
      </c>
      <c r="AY219" t="b">
        <f>IF(metadata!N219="",FALSE,TRUE)</f>
        <v>0</v>
      </c>
      <c r="AZ219" t="b">
        <f>OR(AND(IF(metadata!O219="",FALSE,TRUE),OR(EXACT(metadata!O219,"missing: not collected"),EXACT(metadata!O219,"missing: not provided"),EXACT(metadata!O219,"missing: restricted access"))),AND(IF(metadata!O219="",FALSE,TRUE),OR(EXACT(metadata!O219,"air"),EXACT(metadata!O219,"built environment"),EXACT(metadata!O219,"host-associated"),EXACT(metadata!O219,"human-associated"),EXACT(metadata!O219,"human-skin"),EXACT(metadata!O219,"human-oral"),EXACT(metadata!O219,"human-gut"),EXACT(metadata!O219,"human-vaginal"),EXACT(metadata!O219,"microbial mat/biofilm"),EXACT(metadata!O219,"misc environment"),EXACT(metadata!O219,"plant-associated"),EXACT(metadata!O219,"sediment"),EXACT(metadata!O219,"soil"),EXACT(metadata!O219,"wastewater/sludge"),EXACT(metadata!O219,"water"))))</f>
        <v>0</v>
      </c>
      <c r="BA219" t="b">
        <f>IF(metadata!P219="",FALSE,TRUE)</f>
        <v>0</v>
      </c>
      <c r="BB219" t="b">
        <f>IF(metadata!Q219="",FALSE,TRUE)</f>
        <v>0</v>
      </c>
      <c r="BC219" t="b">
        <f>OR(AND(IF(metadata!R219="",FALSE,TRUE),OR(EXACT(metadata!R219,"missing: not collected"),EXACT(metadata!R219,"missing: not provided"),EXACT(metadata!R219,"missing: restricted access"))),AND(IF(metadata!R219="",FALSE,ISNUMBER(VALUE(metadata!R219))),metadata!R219&gt;=-90,metadata!R219&lt;=90))</f>
        <v>0</v>
      </c>
      <c r="BD219" t="b">
        <f>AND(IF(metadata!S219="",FALSE,TRUE),EXACT(metadata!S219,"Decimal degrees"))</f>
        <v>0</v>
      </c>
      <c r="BE219" t="b">
        <f>OR(AND(IF(metadata!T219="",FALSE,TRUE),OR(EXACT(metadata!T219,"missing: not collected"),EXACT(metadata!T219,"missing: not provided"),EXACT(metadata!T219,"missing: restricted access"))),AND(IF(metadata!T219="",FALSE,ISNUMBER(VALUE(metadata!T219))),metadata!T219&gt;=-180,metadata!T219&lt;=180))</f>
        <v>0</v>
      </c>
      <c r="BF219" t="b">
        <f>AND(IF(metadata!U219="",FALSE,TRUE),EXACT(metadata!U219,"Decimal degrees"))</f>
        <v>0</v>
      </c>
      <c r="BG219" t="b">
        <f>IF(metadata!V219="",FALSE,TRUE)</f>
        <v>0</v>
      </c>
      <c r="BH219" t="b">
        <f>OR(AND(IF(metadata!W219="",FALSE,TRUE),OR(EXACT(metadata!W219,"missing: not collected"),EXACT(metadata!W219,"missing: not provided"),EXACT(metadata!W219,"missing: restricted access"))),AND(IF(metadata!W219="",FALSE,TRUE),OR(EXACT(metadata!W219,"TRUE"),EXACT(metadata!W219,"FALSE"))))</f>
        <v>0</v>
      </c>
      <c r="BI219" t="b">
        <f>AND(IF(metadata!X219="",FALSE,TRUE),EXACT(metadata!X219,"other"))</f>
        <v>0</v>
      </c>
      <c r="BJ219" t="b">
        <f>IF(metadata!Y219="",FALSE,TRUE)</f>
        <v>0</v>
      </c>
      <c r="BK219" t="b">
        <f>OR(AND(IF(metadata!Z219="",FALSE,TRUE),OR(EXACT(metadata!Z219,"missing: not collected"),EXACT(metadata!Z219,"missing: not provided"))),AND(IF(metadata!Z219="",FALSE,IF(ISERROR(INT(metadata!Z219)),FALSE,INT(metadata!Z219)=metadata!Z219)),metadata!Z219&gt;0))</f>
        <v>0</v>
      </c>
      <c r="BL219" t="b">
        <f>AND(IF(metadata!AA219="",FALSE,TRUE),EXACT(metadata!AA219,"Not applicable"))</f>
        <v>0</v>
      </c>
      <c r="BM219" t="b">
        <f>IF(metadata!AB219="",FALSE,TRUE)</f>
        <v>0</v>
      </c>
    </row>
    <row r="220" spans="1:65" x14ac:dyDescent="0.2">
      <c r="A220" s="5" t="str">
        <f ca="1">IF(B220=" "," ",HYPERLINK(CONCATENATE("#metadata!",ADDRESS(INDEX($AH$2:$AH$1001,MATCH(ROWS($AF$2:AF220),$AF$2:$AF$1001,0),0),1)),INDEX($AK$2:$AK$1001,MATCH(ROWS($AF$2:AF220),$AF$2:$AF$1001,0),0)))</f>
        <v xml:space="preserve"> </v>
      </c>
      <c r="B220" s="4" t="str">
        <f ca="1">IF(OR(INDEX($AG$2:$AG$1001,MATCH(ROWS($AF$2:AF220),$AF$2:$AF$1001,0),1)&gt;=100000,INDEX($AM$1005:$BM$1005,1,MATCH(COLUMNS($AM$1006:AM1006),$AM$1006:$BM$1006,0))&gt;=100000), " ",IF(INDEX($AM$2:$BM$1001,MATCH(ROWS($AF$2:AF220),$AF$2:$AF$1001,0),MATCH(COLUMNS($AM$1006:AM1006),$AM$1006:$BM$1006,0)), HYPERLINK("#",""), HYPERLINK(CONCATENATE("#metadata!", ADDRESS(INDEX($AH$2:$AH$1001,MATCH(ROWS($AF$2:AF220),$AF$2:$AF$1001,0),0), INDEX($AM$1004:$BM$1004,1,MATCH(COLUMNS($AM$1006:AM1006),$AM$1006:$BM$1006,0)))),"Fix")))</f>
        <v xml:space="preserve"> </v>
      </c>
      <c r="C220" s="4" t="str">
        <f ca="1">IF(OR(INDEX($AG$2:$AG$1001,MATCH(ROWS($AF$2:AF220),$AF$2:$AF$1001,0),1)&gt;=100000,INDEX($AM$1005:$BM$1005,1,MATCH(COLUMNS($AM$1006:AN1006),$AM$1006:$BM$1006,0))&gt;=100000), " ",IF(INDEX($AM$2:$BM$1001,MATCH(ROWS($AF$2:AF220),$AF$2:$AF$1001,0),MATCH(COLUMNS($AM$1006:AN1006),$AM$1006:$BM$1006,0)), HYPERLINK("#",""), HYPERLINK(CONCATENATE("#metadata!", ADDRESS(INDEX($AH$2:$AH$1001,MATCH(ROWS($AF$2:AF220),$AF$2:$AF$1001,0),0), INDEX($AM$1004:$BM$1004,1,MATCH(COLUMNS($AM$1006:AN1006),$AM$1006:$BM$1006,0)))),"Fix")))</f>
        <v xml:space="preserve"> </v>
      </c>
      <c r="D220" s="4" t="str">
        <f ca="1">IF(OR(INDEX($AG$2:$AG$1001,MATCH(ROWS($AF$2:AF220),$AF$2:$AF$1001,0),1)&gt;=100000,INDEX($AM$1005:$BM$1005,1,MATCH(COLUMNS($AM$1006:AO1006),$AM$1006:$BM$1006,0))&gt;=100000), " ",IF(INDEX($AM$2:$BM$1001,MATCH(ROWS($AF$2:AF220),$AF$2:$AF$1001,0),MATCH(COLUMNS($AM$1006:AO1006),$AM$1006:$BM$1006,0)), HYPERLINK("#",""), HYPERLINK(CONCATENATE("#metadata!", ADDRESS(INDEX($AH$2:$AH$1001,MATCH(ROWS($AF$2:AF220),$AF$2:$AF$1001,0),0), INDEX($AM$1004:$BM$1004,1,MATCH(COLUMNS($AM$1006:AO1006),$AM$1006:$BM$1006,0)))),"Fix")))</f>
        <v xml:space="preserve"> </v>
      </c>
      <c r="E220" s="4" t="str">
        <f ca="1">IF(OR(INDEX($AG$2:$AG$1001,MATCH(ROWS($AF$2:AF220),$AF$2:$AF$1001,0),1)&gt;=100000,INDEX($AM$1005:$BM$1005,1,MATCH(COLUMNS($AM$1006:AP1006),$AM$1006:$BM$1006,0))&gt;=100000), " ",IF(INDEX($AM$2:$BM$1001,MATCH(ROWS($AF$2:AF220),$AF$2:$AF$1001,0),MATCH(COLUMNS($AM$1006:AP1006),$AM$1006:$BM$1006,0)), HYPERLINK("#",""), HYPERLINK(CONCATENATE("#metadata!", ADDRESS(INDEX($AH$2:$AH$1001,MATCH(ROWS($AF$2:AF220),$AF$2:$AF$1001,0),0), INDEX($AM$1004:$BM$1004,1,MATCH(COLUMNS($AM$1006:AP1006),$AM$1006:$BM$1006,0)))),"Fix")))</f>
        <v xml:space="preserve"> </v>
      </c>
      <c r="F220" s="4" t="str">
        <f ca="1">IF(OR(INDEX($AG$2:$AG$1001,MATCH(ROWS($AF$2:AF220),$AF$2:$AF$1001,0),1)&gt;=100000,INDEX($AM$1005:$BM$1005,1,MATCH(COLUMNS($AM$1006:AQ1006),$AM$1006:$BM$1006,0))&gt;=100000), " ",IF(INDEX($AM$2:$BM$1001,MATCH(ROWS($AF$2:AF220),$AF$2:$AF$1001,0),MATCH(COLUMNS($AM$1006:AQ1006),$AM$1006:$BM$1006,0)), HYPERLINK("#",""), HYPERLINK(CONCATENATE("#metadata!", ADDRESS(INDEX($AH$2:$AH$1001,MATCH(ROWS($AF$2:AF220),$AF$2:$AF$1001,0),0), INDEX($AM$1004:$BM$1004,1,MATCH(COLUMNS($AM$1006:AQ1006),$AM$1006:$BM$1006,0)))),"Fix")))</f>
        <v xml:space="preserve"> </v>
      </c>
      <c r="G220" s="4" t="str">
        <f ca="1">IF(OR(INDEX($AG$2:$AG$1001,MATCH(ROWS($AF$2:AF220),$AF$2:$AF$1001,0),1)&gt;=100000,INDEX($AM$1005:$BM$1005,1,MATCH(COLUMNS($AM$1006:AR1006),$AM$1006:$BM$1006,0))&gt;=100000), " ",IF(INDEX($AM$2:$BM$1001,MATCH(ROWS($AF$2:AF220),$AF$2:$AF$1001,0),MATCH(COLUMNS($AM$1006:AR1006),$AM$1006:$BM$1006,0)), HYPERLINK("#",""), HYPERLINK(CONCATENATE("#metadata!", ADDRESS(INDEX($AH$2:$AH$1001,MATCH(ROWS($AF$2:AF220),$AF$2:$AF$1001,0),0), INDEX($AM$1004:$BM$1004,1,MATCH(COLUMNS($AM$1006:AR1006),$AM$1006:$BM$1006,0)))),"Fix")))</f>
        <v xml:space="preserve"> </v>
      </c>
      <c r="H220" s="4" t="str">
        <f ca="1">IF(OR(INDEX($AG$2:$AG$1001,MATCH(ROWS($AF$2:AF220),$AF$2:$AF$1001,0),1)&gt;=100000,INDEX($AM$1005:$BM$1005,1,MATCH(COLUMNS($AM$1006:AS1006),$AM$1006:$BM$1006,0))&gt;=100000), " ",IF(INDEX($AM$2:$BM$1001,MATCH(ROWS($AF$2:AF220),$AF$2:$AF$1001,0),MATCH(COLUMNS($AM$1006:AS1006),$AM$1006:$BM$1006,0)), HYPERLINK("#",""), HYPERLINK(CONCATENATE("#metadata!", ADDRESS(INDEX($AH$2:$AH$1001,MATCH(ROWS($AF$2:AF220),$AF$2:$AF$1001,0),0), INDEX($AM$1004:$BM$1004,1,MATCH(COLUMNS($AM$1006:AS1006),$AM$1006:$BM$1006,0)))),"Fix")))</f>
        <v xml:space="preserve"> </v>
      </c>
      <c r="I220" s="4" t="str">
        <f ca="1">IF(OR(INDEX($AG$2:$AG$1001,MATCH(ROWS($AF$2:AF220),$AF$2:$AF$1001,0),1)&gt;=100000,INDEX($AM$1005:$BM$1005,1,MATCH(COLUMNS($AM$1006:AT1006),$AM$1006:$BM$1006,0))&gt;=100000), " ",IF(INDEX($AM$2:$BM$1001,MATCH(ROWS($AF$2:AF220),$AF$2:$AF$1001,0),MATCH(COLUMNS($AM$1006:AT1006),$AM$1006:$BM$1006,0)), HYPERLINK("#",""), HYPERLINK(CONCATENATE("#metadata!", ADDRESS(INDEX($AH$2:$AH$1001,MATCH(ROWS($AF$2:AF220),$AF$2:$AF$1001,0),0), INDEX($AM$1004:$BM$1004,1,MATCH(COLUMNS($AM$1006:AT1006),$AM$1006:$BM$1006,0)))),"Fix")))</f>
        <v xml:space="preserve"> </v>
      </c>
      <c r="J220" s="4" t="str">
        <f ca="1">IF(OR(INDEX($AG$2:$AG$1001,MATCH(ROWS($AF$2:AF220),$AF$2:$AF$1001,0),1)&gt;=100000,INDEX($AM$1005:$BM$1005,1,MATCH(COLUMNS($AM$1006:AU1006),$AM$1006:$BM$1006,0))&gt;=100000), " ",IF(INDEX($AM$2:$BM$1001,MATCH(ROWS($AF$2:AF220),$AF$2:$AF$1001,0),MATCH(COLUMNS($AM$1006:AU1006),$AM$1006:$BM$1006,0)), HYPERLINK("#",""), HYPERLINK(CONCATENATE("#metadata!", ADDRESS(INDEX($AH$2:$AH$1001,MATCH(ROWS($AF$2:AF220),$AF$2:$AF$1001,0),0), INDEX($AM$1004:$BM$1004,1,MATCH(COLUMNS($AM$1006:AU1006),$AM$1006:$BM$1006,0)))),"Fix")))</f>
        <v xml:space="preserve"> </v>
      </c>
      <c r="K220" s="4" t="str">
        <f ca="1">IF(OR(INDEX($AG$2:$AG$1001,MATCH(ROWS($AF$2:AF220),$AF$2:$AF$1001,0),1)&gt;=100000,INDEX($AM$1005:$BM$1005,1,MATCH(COLUMNS($AM$1006:AV1006),$AM$1006:$BM$1006,0))&gt;=100000), " ",IF(INDEX($AM$2:$BM$1001,MATCH(ROWS($AF$2:AF220),$AF$2:$AF$1001,0),MATCH(COLUMNS($AM$1006:AV1006),$AM$1006:$BM$1006,0)), HYPERLINK("#",""), HYPERLINK(CONCATENATE("#metadata!", ADDRESS(INDEX($AH$2:$AH$1001,MATCH(ROWS($AF$2:AF220),$AF$2:$AF$1001,0),0), INDEX($AM$1004:$BM$1004,1,MATCH(COLUMNS($AM$1006:AV1006),$AM$1006:$BM$1006,0)))),"Fix")))</f>
        <v xml:space="preserve"> </v>
      </c>
      <c r="L220" s="4" t="str">
        <f ca="1">IF(OR(INDEX($AG$2:$AG$1001,MATCH(ROWS($AF$2:AF220),$AF$2:$AF$1001,0),1)&gt;=100000,INDEX($AM$1005:$BM$1005,1,MATCH(COLUMNS($AM$1006:AW1006),$AM$1006:$BM$1006,0))&gt;=100000), " ",IF(INDEX($AM$2:$BM$1001,MATCH(ROWS($AF$2:AF220),$AF$2:$AF$1001,0),MATCH(COLUMNS($AM$1006:AW1006),$AM$1006:$BM$1006,0)), HYPERLINK("#",""), HYPERLINK(CONCATENATE("#metadata!", ADDRESS(INDEX($AH$2:$AH$1001,MATCH(ROWS($AF$2:AF220),$AF$2:$AF$1001,0),0), INDEX($AM$1004:$BM$1004,1,MATCH(COLUMNS($AM$1006:AW1006),$AM$1006:$BM$1006,0)))),"Fix")))</f>
        <v xml:space="preserve"> </v>
      </c>
      <c r="M220" s="4" t="str">
        <f ca="1">IF(OR(INDEX($AG$2:$AG$1001,MATCH(ROWS($AF$2:AF220),$AF$2:$AF$1001,0),1)&gt;=100000,INDEX($AM$1005:$BM$1005,1,MATCH(COLUMNS($AM$1006:AX1006),$AM$1006:$BM$1006,0))&gt;=100000), " ",IF(INDEX($AM$2:$BM$1001,MATCH(ROWS($AF$2:AF220),$AF$2:$AF$1001,0),MATCH(COLUMNS($AM$1006:AX1006),$AM$1006:$BM$1006,0)), HYPERLINK("#",""), HYPERLINK(CONCATENATE("#metadata!", ADDRESS(INDEX($AH$2:$AH$1001,MATCH(ROWS($AF$2:AF220),$AF$2:$AF$1001,0),0), INDEX($AM$1004:$BM$1004,1,MATCH(COLUMNS($AM$1006:AX1006),$AM$1006:$BM$1006,0)))),"Fix")))</f>
        <v xml:space="preserve"> </v>
      </c>
      <c r="N220" s="4" t="str">
        <f ca="1">IF(OR(INDEX($AG$2:$AG$1001,MATCH(ROWS($AF$2:AF220),$AF$2:$AF$1001,0),1)&gt;=100000,INDEX($AM$1005:$BM$1005,1,MATCH(COLUMNS($AM$1006:AY1006),$AM$1006:$BM$1006,0))&gt;=100000), " ",IF(INDEX($AM$2:$BM$1001,MATCH(ROWS($AF$2:AF220),$AF$2:$AF$1001,0),MATCH(COLUMNS($AM$1006:AY1006),$AM$1006:$BM$1006,0)), HYPERLINK("#",""), HYPERLINK(CONCATENATE("#metadata!", ADDRESS(INDEX($AH$2:$AH$1001,MATCH(ROWS($AF$2:AF220),$AF$2:$AF$1001,0),0), INDEX($AM$1004:$BM$1004,1,MATCH(COLUMNS($AM$1006:AY1006),$AM$1006:$BM$1006,0)))),"Fix")))</f>
        <v xml:space="preserve"> </v>
      </c>
      <c r="O220" s="4" t="str">
        <f ca="1">IF(OR(INDEX($AG$2:$AG$1001,MATCH(ROWS($AF$2:AF220),$AF$2:$AF$1001,0),1)&gt;=100000,INDEX($AM$1005:$BM$1005,1,MATCH(COLUMNS($AM$1006:AZ1006),$AM$1006:$BM$1006,0))&gt;=100000), " ",IF(INDEX($AM$2:$BM$1001,MATCH(ROWS($AF$2:AF220),$AF$2:$AF$1001,0),MATCH(COLUMNS($AM$1006:AZ1006),$AM$1006:$BM$1006,0)), HYPERLINK("#",""), HYPERLINK(CONCATENATE("#metadata!", ADDRESS(INDEX($AH$2:$AH$1001,MATCH(ROWS($AF$2:AF220),$AF$2:$AF$1001,0),0), INDEX($AM$1004:$BM$1004,1,MATCH(COLUMNS($AM$1006:AZ1006),$AM$1006:$BM$1006,0)))),"Fix")))</f>
        <v xml:space="preserve"> </v>
      </c>
      <c r="P220" s="4" t="str">
        <f ca="1">IF(OR(INDEX($AG$2:$AG$1001,MATCH(ROWS($AF$2:AF220),$AF$2:$AF$1001,0),1)&gt;=100000,INDEX($AM$1005:$BM$1005,1,MATCH(COLUMNS($AM$1006:BA1006),$AM$1006:$BM$1006,0))&gt;=100000), " ",IF(INDEX($AM$2:$BM$1001,MATCH(ROWS($AF$2:AF220),$AF$2:$AF$1001,0),MATCH(COLUMNS($AM$1006:BA1006),$AM$1006:$BM$1006,0)), HYPERLINK("#",""), HYPERLINK(CONCATENATE("#metadata!", ADDRESS(INDEX($AH$2:$AH$1001,MATCH(ROWS($AF$2:AF220),$AF$2:$AF$1001,0),0), INDEX($AM$1004:$BM$1004,1,MATCH(COLUMNS($AM$1006:BA1006),$AM$1006:$BM$1006,0)))),"Fix")))</f>
        <v xml:space="preserve"> </v>
      </c>
      <c r="Q220" s="4" t="str">
        <f ca="1">IF(OR(INDEX($AG$2:$AG$1001,MATCH(ROWS($AF$2:AF220),$AF$2:$AF$1001,0),1)&gt;=100000,INDEX($AM$1005:$BM$1005,1,MATCH(COLUMNS($AM$1006:BB1006),$AM$1006:$BM$1006,0))&gt;=100000), " ",IF(INDEX($AM$2:$BM$1001,MATCH(ROWS($AF$2:AF220),$AF$2:$AF$1001,0),MATCH(COLUMNS($AM$1006:BB1006),$AM$1006:$BM$1006,0)), HYPERLINK("#",""), HYPERLINK(CONCATENATE("#metadata!", ADDRESS(INDEX($AH$2:$AH$1001,MATCH(ROWS($AF$2:AF220),$AF$2:$AF$1001,0),0), INDEX($AM$1004:$BM$1004,1,MATCH(COLUMNS($AM$1006:BB1006),$AM$1006:$BM$1006,0)))),"Fix")))</f>
        <v xml:space="preserve"> </v>
      </c>
      <c r="R220" s="4" t="str">
        <f ca="1">IF(OR(INDEX($AG$2:$AG$1001,MATCH(ROWS($AF$2:AF220),$AF$2:$AF$1001,0),1)&gt;=100000,INDEX($AM$1005:$BM$1005,1,MATCH(COLUMNS($AM$1006:BC1006),$AM$1006:$BM$1006,0))&gt;=100000), " ",IF(INDEX($AM$2:$BM$1001,MATCH(ROWS($AF$2:AF220),$AF$2:$AF$1001,0),MATCH(COLUMNS($AM$1006:BC1006),$AM$1006:$BM$1006,0)), HYPERLINK("#",""), HYPERLINK(CONCATENATE("#metadata!", ADDRESS(INDEX($AH$2:$AH$1001,MATCH(ROWS($AF$2:AF220),$AF$2:$AF$1001,0),0), INDEX($AM$1004:$BM$1004,1,MATCH(COLUMNS($AM$1006:BC1006),$AM$1006:$BM$1006,0)))),"Fix")))</f>
        <v xml:space="preserve"> </v>
      </c>
      <c r="S220" s="4" t="str">
        <f ca="1">IF(OR(INDEX($AG$2:$AG$1001,MATCH(ROWS($AF$2:AF220),$AF$2:$AF$1001,0),1)&gt;=100000,INDEX($AM$1005:$BM$1005,1,MATCH(COLUMNS($AM$1006:BD1006),$AM$1006:$BM$1006,0))&gt;=100000), " ",IF(INDEX($AM$2:$BM$1001,MATCH(ROWS($AF$2:AF220),$AF$2:$AF$1001,0),MATCH(COLUMNS($AM$1006:BD1006),$AM$1006:$BM$1006,0)), HYPERLINK("#",""), HYPERLINK(CONCATENATE("#metadata!", ADDRESS(INDEX($AH$2:$AH$1001,MATCH(ROWS($AF$2:AF220),$AF$2:$AF$1001,0),0), INDEX($AM$1004:$BM$1004,1,MATCH(COLUMNS($AM$1006:BD1006),$AM$1006:$BM$1006,0)))),"Fix")))</f>
        <v xml:space="preserve"> </v>
      </c>
      <c r="T220" s="4" t="str">
        <f ca="1">IF(OR(INDEX($AG$2:$AG$1001,MATCH(ROWS($AF$2:AF220),$AF$2:$AF$1001,0),1)&gt;=100000,INDEX($AM$1005:$BM$1005,1,MATCH(COLUMNS($AM$1006:BE1006),$AM$1006:$BM$1006,0))&gt;=100000), " ",IF(INDEX($AM$2:$BM$1001,MATCH(ROWS($AF$2:AF220),$AF$2:$AF$1001,0),MATCH(COLUMNS($AM$1006:BE1006),$AM$1006:$BM$1006,0)), HYPERLINK("#",""), HYPERLINK(CONCATENATE("#metadata!", ADDRESS(INDEX($AH$2:$AH$1001,MATCH(ROWS($AF$2:AF220),$AF$2:$AF$1001,0),0), INDEX($AM$1004:$BM$1004,1,MATCH(COLUMNS($AM$1006:BE1006),$AM$1006:$BM$1006,0)))),"Fix")))</f>
        <v xml:space="preserve"> </v>
      </c>
      <c r="U220" s="4" t="str">
        <f ca="1">IF(OR(INDEX($AG$2:$AG$1001,MATCH(ROWS($AF$2:AF220),$AF$2:$AF$1001,0),1)&gt;=100000,INDEX($AM$1005:$BM$1005,1,MATCH(COLUMNS($AM$1006:BF1006),$AM$1006:$BM$1006,0))&gt;=100000), " ",IF(INDEX($AM$2:$BM$1001,MATCH(ROWS($AF$2:AF220),$AF$2:$AF$1001,0),MATCH(COLUMNS($AM$1006:BF1006),$AM$1006:$BM$1006,0)), HYPERLINK("#",""), HYPERLINK(CONCATENATE("#metadata!", ADDRESS(INDEX($AH$2:$AH$1001,MATCH(ROWS($AF$2:AF220),$AF$2:$AF$1001,0),0), INDEX($AM$1004:$BM$1004,1,MATCH(COLUMNS($AM$1006:BF1006),$AM$1006:$BM$1006,0)))),"Fix")))</f>
        <v xml:space="preserve"> </v>
      </c>
      <c r="V220" s="4" t="str">
        <f ca="1">IF(OR(INDEX($AG$2:$AG$1001,MATCH(ROWS($AF$2:AF220),$AF$2:$AF$1001,0),1)&gt;=100000,INDEX($AM$1005:$BM$1005,1,MATCH(COLUMNS($AM$1006:BG1006),$AM$1006:$BM$1006,0))&gt;=100000), " ",IF(INDEX($AM$2:$BM$1001,MATCH(ROWS($AF$2:AF220),$AF$2:$AF$1001,0),MATCH(COLUMNS($AM$1006:BG1006),$AM$1006:$BM$1006,0)), HYPERLINK("#",""), HYPERLINK(CONCATENATE("#metadata!", ADDRESS(INDEX($AH$2:$AH$1001,MATCH(ROWS($AF$2:AF220),$AF$2:$AF$1001,0),0), INDEX($AM$1004:$BM$1004,1,MATCH(COLUMNS($AM$1006:BG1006),$AM$1006:$BM$1006,0)))),"Fix")))</f>
        <v xml:space="preserve"> </v>
      </c>
      <c r="W220" s="4" t="str">
        <f ca="1">IF(OR(INDEX($AG$2:$AG$1001,MATCH(ROWS($AF$2:AF220),$AF$2:$AF$1001,0),1)&gt;=100000,INDEX($AM$1005:$BM$1005,1,MATCH(COLUMNS($AM$1006:BH1006),$AM$1006:$BM$1006,0))&gt;=100000), " ",IF(INDEX($AM$2:$BM$1001,MATCH(ROWS($AF$2:AF220),$AF$2:$AF$1001,0),MATCH(COLUMNS($AM$1006:BH1006),$AM$1006:$BM$1006,0)), HYPERLINK("#",""), HYPERLINK(CONCATENATE("#metadata!", ADDRESS(INDEX($AH$2:$AH$1001,MATCH(ROWS($AF$2:AF220),$AF$2:$AF$1001,0),0), INDEX($AM$1004:$BM$1004,1,MATCH(COLUMNS($AM$1006:BH1006),$AM$1006:$BM$1006,0)))),"Fix")))</f>
        <v xml:space="preserve"> </v>
      </c>
      <c r="X220" s="4" t="str">
        <f ca="1">IF(OR(INDEX($AG$2:$AG$1001,MATCH(ROWS($AF$2:AF220),$AF$2:$AF$1001,0),1)&gt;=100000,INDEX($AM$1005:$BM$1005,1,MATCH(COLUMNS($AM$1006:BI1006),$AM$1006:$BM$1006,0))&gt;=100000), " ",IF(INDEX($AM$2:$BM$1001,MATCH(ROWS($AF$2:AF220),$AF$2:$AF$1001,0),MATCH(COLUMNS($AM$1006:BI1006),$AM$1006:$BM$1006,0)), HYPERLINK("#",""), HYPERLINK(CONCATENATE("#metadata!", ADDRESS(INDEX($AH$2:$AH$1001,MATCH(ROWS($AF$2:AF220),$AF$2:$AF$1001,0),0), INDEX($AM$1004:$BM$1004,1,MATCH(COLUMNS($AM$1006:BI1006),$AM$1006:$BM$1006,0)))),"Fix")))</f>
        <v xml:space="preserve"> </v>
      </c>
      <c r="Y220" s="4" t="str">
        <f ca="1">IF(OR(INDEX($AG$2:$AG$1001,MATCH(ROWS($AF$2:AF220),$AF$2:$AF$1001,0),1)&gt;=100000,INDEX($AM$1005:$BM$1005,1,MATCH(COLUMNS($AM$1006:BJ1006),$AM$1006:$BM$1006,0))&gt;=100000), " ",IF(INDEX($AM$2:$BM$1001,MATCH(ROWS($AF$2:AF220),$AF$2:$AF$1001,0),MATCH(COLUMNS($AM$1006:BJ1006),$AM$1006:$BM$1006,0)), HYPERLINK("#",""), HYPERLINK(CONCATENATE("#metadata!", ADDRESS(INDEX($AH$2:$AH$1001,MATCH(ROWS($AF$2:AF220),$AF$2:$AF$1001,0),0), INDEX($AM$1004:$BM$1004,1,MATCH(COLUMNS($AM$1006:BJ1006),$AM$1006:$BM$1006,0)))),"Fix")))</f>
        <v xml:space="preserve"> </v>
      </c>
      <c r="Z220" s="4" t="str">
        <f ca="1">IF(OR(INDEX($AG$2:$AG$1001,MATCH(ROWS($AF$2:AF220),$AF$2:$AF$1001,0),1)&gt;=100000,INDEX($AM$1005:$BM$1005,1,MATCH(COLUMNS($AM$1006:BK1006),$AM$1006:$BM$1006,0))&gt;=100000), " ",IF(INDEX($AM$2:$BM$1001,MATCH(ROWS($AF$2:AF220),$AF$2:$AF$1001,0),MATCH(COLUMNS($AM$1006:BK1006),$AM$1006:$BM$1006,0)), HYPERLINK("#",""), HYPERLINK(CONCATENATE("#metadata!", ADDRESS(INDEX($AH$2:$AH$1001,MATCH(ROWS($AF$2:AF220),$AF$2:$AF$1001,0),0), INDEX($AM$1004:$BM$1004,1,MATCH(COLUMNS($AM$1006:BK1006),$AM$1006:$BM$1006,0)))),"Fix")))</f>
        <v xml:space="preserve"> </v>
      </c>
      <c r="AA220" s="4" t="str">
        <f ca="1">IF(OR(INDEX($AG$2:$AG$1001,MATCH(ROWS($AF$2:AF220),$AF$2:$AF$1001,0),1)&gt;=100000,INDEX($AM$1005:$BM$1005,1,MATCH(COLUMNS($AM$1006:BL1006),$AM$1006:$BM$1006,0))&gt;=100000), " ",IF(INDEX($AM$2:$BM$1001,MATCH(ROWS($AF$2:AF220),$AF$2:$AF$1001,0),MATCH(COLUMNS($AM$1006:BL1006),$AM$1006:$BM$1006,0)), HYPERLINK("#",""), HYPERLINK(CONCATENATE("#metadata!", ADDRESS(INDEX($AH$2:$AH$1001,MATCH(ROWS($AF$2:AF220),$AF$2:$AF$1001,0),0), INDEX($AM$1004:$BM$1004,1,MATCH(COLUMNS($AM$1006:BL1006),$AM$1006:$BM$1006,0)))),"Fix")))</f>
        <v xml:space="preserve"> </v>
      </c>
      <c r="AB220" s="4" t="str">
        <f ca="1">IF(OR(INDEX($AG$2:$AG$1001,MATCH(ROWS($AF$2:AF220),$AF$2:$AF$1001,0),1)&gt;=100000,INDEX($AM$1005:$BM$1005,1,MATCH(COLUMNS($AM$1006:BM1006),$AM$1006:$BM$1006,0))&gt;=100000), " ",IF(INDEX($AM$2:$BM$1001,MATCH(ROWS($AF$2:AF220),$AF$2:$AF$1001,0),MATCH(COLUMNS($AM$1006:BM1006),$AM$1006:$BM$1006,0)), HYPERLINK("#",""), HYPERLINK(CONCATENATE("#metadata!", ADDRESS(INDEX($AH$2:$AH$1001,MATCH(ROWS($AF$2:AF220),$AF$2:$AF$1001,0),0), INDEX($AM$1004:$BM$1004,1,MATCH(COLUMNS($AM$1006:BM1006),$AM$1006:$BM$1006,0)))),"Fix")))</f>
        <v xml:space="preserve"> </v>
      </c>
      <c r="AF220">
        <v>219</v>
      </c>
      <c r="AG220">
        <v>100220</v>
      </c>
      <c r="AH220">
        <v>220</v>
      </c>
      <c r="AI220" t="b">
        <f t="shared" si="3"/>
        <v>1</v>
      </c>
      <c r="AJ220" t="b">
        <f>COUNTBLANK(metadata!B220:AB220)=COLUMNS(metadata!B220:AB220)</f>
        <v>1</v>
      </c>
      <c r="AK220" t="str">
        <v/>
      </c>
      <c r="AM220" t="b">
        <f ca="1">AND(IF(metadata!B220="",FALSE,TRUE),COUNTIF(metadata!B:B, metadata!B220) = 1,NOT(ISERROR(SUMPRODUCT(SEARCH(MID(metadata!B220,ROW(INDIRECT("1:"&amp;LEN(metadata!B220))), 1),"0123456789abcdefghijklmnopqrstuvwxyzABCDEFGHIJKLMNOPQRSTUVWXYZ.")))))</f>
        <v>0</v>
      </c>
      <c r="AN220" t="b">
        <f ca="1">OR(AND(IF(metadata!C220="",FALSE,TRUE),OR(EXACT(metadata!C220,"missing: not collected"),EXACT(metadata!C220,"missing: not provided"),EXACT(metadata!C220,"missing: restricted access"))),AND(IF(metadata!C220="",FALSE,TRUE),AND(AND(IFERROR(INT(LEFT(metadata!C220,4))&gt;1900,FALSE),IFERROR(INT(LEFT(metadata!C220,4))&lt;=YEAR(NOW()),FALSE)), OR(MID(metadata!C220,5,1)="", AND(AND(MID(metadata!C220,5,1)="-",IFERROR(INT(MID(metadata!C220,6,1))&gt;=0,FALSE),IFERROR(INT(MID(metadata!C220,6,1))&lt;=1,FALSE),NOT(MID(metadata!C220,7,1)=""),IFERROR(INT(MID(metadata!C220,6,2))&gt;=1,FALSE),IFERROR(INT(MID(metadata!C220,6,2))&lt;=12,FALSE)), OR(MID(metadata!C220,8,1)="", AND(AND(MID(metadata!C220,8,1)="-",IFERROR(INT(MID(metadata!C220,9,1))&gt;=0,FALSE),IFERROR(INT(MID(metadata!C220,9,1))&lt;=3,FALSE),NOT(MID(metadata!C220,10,1)=""),IFERROR(INT(MID(metadata!C220,9,2))&gt;=1,FALSE),IFERROR(INT(MID(metadata!C220,9,2))&lt;=31,FALSE)), OR(MID(metadata!C220,11,1)="", AND(AND(MID(metadata!C220,11,1)=" ",IFERROR(INT(MID(metadata!C220,12,1))&gt;=0,FALSE),IFERROR(INT(MID(metadata!C220,12,1))&lt;=2,FALSE),NOT(MID(metadata!C220,13,1)=""),IFERROR(INT(MID(metadata!C220,12,2))&gt;=0,FALSE),IFERROR(INT(MID(metadata!C220,12,2))&lt;=23,FALSE)), OR(MID(metadata!C220,14,1)="", AND(AND(MID(metadata!C220,14,1)=":",IFERROR(INT(MID(metadata!C220,15,1))&gt;=0,FALSE),IFERROR(INT(MID(metadata!C220,15,1))&lt;=5,FALSE),NOT(MID(metadata!C220,16,1)=""),IFERROR(INT(MID(metadata!C220,15,2))&gt;=0,FALSE),IFERROR(INT(MID(metadata!C220,15,2))&lt;=59,FALSE)), OR(MID(metadata!C220,17,1)="", AND(AND(MID(metadata!C220,17,1)=":",IFERROR(INT(MID(metadata!C220,18,1))&gt;=0,FALSE),IFERROR(INT(MID(metadata!C220,18,1))&lt;=5,FALSE),NOT(MID(metadata!C220,19,1)=""),IFERROR(INT(MID(metadata!C220,18,2))&gt;=0,FALSE),IFERROR(INT(MID(metadata!C220,18,2))&lt;=59,FALSE)), LEN(metadata!C220)&lt;=19)))))))))))))</f>
        <v>0</v>
      </c>
      <c r="AO220" t="b">
        <f>AND(IF(metadata!D220="",FALSE,TRUE),EXACT(metadata!D220,"Not applicable"))</f>
        <v>0</v>
      </c>
      <c r="AP220" t="b">
        <f>IF(metadata!E220="",FALSE,TRUE)</f>
        <v>0</v>
      </c>
      <c r="AQ220" t="b">
        <f>OR(AND(IF(metadata!F220="",FALSE,TRUE),OR(EXACT(metadata!F220,"missing: not collected"),EXACT(metadata!F220,"missing: not provided"))),AND(IF(metadata!F220="",FALSE,TRUE),OR(EXACT(metadata!F220,"TRUE"),EXACT(metadata!F220,"FALSE"))))</f>
        <v>0</v>
      </c>
      <c r="AR220" t="b">
        <f>OR(AND(IF(metadata!G220="",FALSE,TRUE),OR(EXACT(metadata!G220,"missing: not collected"),EXACT(metadata!G220,"missing: not provided"),EXACT(metadata!G220,"missing: restricted access"))),AND(IF(metadata!G220="",FALSE,ISNUMBER(VALUE(metadata!G220))),metadata!G220&gt;=-413))</f>
        <v>0</v>
      </c>
      <c r="AS220" t="b">
        <f>AND(IF(metadata!H220="",FALSE,TRUE),EXACT(metadata!H220,"meters"))</f>
        <v>0</v>
      </c>
      <c r="AT220" t="b">
        <f>AND(IF(metadata!I220="",FALSE,TRUE),OR(EXACT(metadata!I220,"Host-associated"),EXACT(metadata!I220,"Free-living")))</f>
        <v>0</v>
      </c>
      <c r="AU220" t="b">
        <f>AND(IF(metadata!J220="",FALSE,TRUE),OR(EXACT(metadata!J220,"Animal"),EXACT(metadata!J220,"Fungus"),EXACT(metadata!J220,"Plant"),EXACT(metadata!J220,"Saline"),EXACT(metadata!J220,"Non-saline")))</f>
        <v>0</v>
      </c>
      <c r="AV220" t="b">
        <f>AND(IF(metadata!K220="",FALSE,TRUE),OR(EXACT(metadata!K220,"Plant secretion"),EXACT(metadata!K220,"Plant rhizosphere"),EXACT(metadata!K220,"Plant surface"),EXACT(metadata!K220,"Plant corpus"),EXACT(metadata!K220,"Fungus surface"),EXACT(metadata!K220,"Fungus corpus"),EXACT(metadata!K220,"Animal surface"),EXACT(metadata!K220,"Animal proximal gut"),EXACT(metadata!K220,"Animal corpus"),EXACT(metadata!K220,"Animal distal gut"),EXACT(metadata!K220,"Animal secretion"),EXACT(metadata!K220,"Sub-surface (non-saline)"),EXACT(metadata!K220,"Surface (non-saline)"),EXACT(metadata!K220,"Water (non-saline)"),EXACT(metadata!K220,"Soil (non-saline)"),EXACT(metadata!K220,"Aerosol (non-saline)"),EXACT(metadata!K220,"Sediment (non-saline)"),EXACT(metadata!K220,"Surface (saline)"),EXACT(metadata!K220,"Water (saline)"),EXACT(metadata!K220,"Hypersaline (saline)"),EXACT(metadata!K220,"Aerosol (saline)"),EXACT(metadata!K220,"Sediment (saline)")))</f>
        <v>0</v>
      </c>
      <c r="AW220" t="b">
        <f>IF(metadata!L220="",FALSE,TRUE)</f>
        <v>0</v>
      </c>
      <c r="AX220" t="b">
        <f>IF(metadata!M220="",FALSE,TRUE)</f>
        <v>0</v>
      </c>
      <c r="AY220" t="b">
        <f>IF(metadata!N220="",FALSE,TRUE)</f>
        <v>0</v>
      </c>
      <c r="AZ220" t="b">
        <f>OR(AND(IF(metadata!O220="",FALSE,TRUE),OR(EXACT(metadata!O220,"missing: not collected"),EXACT(metadata!O220,"missing: not provided"),EXACT(metadata!O220,"missing: restricted access"))),AND(IF(metadata!O220="",FALSE,TRUE),OR(EXACT(metadata!O220,"air"),EXACT(metadata!O220,"built environment"),EXACT(metadata!O220,"host-associated"),EXACT(metadata!O220,"human-associated"),EXACT(metadata!O220,"human-skin"),EXACT(metadata!O220,"human-oral"),EXACT(metadata!O220,"human-gut"),EXACT(metadata!O220,"human-vaginal"),EXACT(metadata!O220,"microbial mat/biofilm"),EXACT(metadata!O220,"misc environment"),EXACT(metadata!O220,"plant-associated"),EXACT(metadata!O220,"sediment"),EXACT(metadata!O220,"soil"),EXACT(metadata!O220,"wastewater/sludge"),EXACT(metadata!O220,"water"))))</f>
        <v>0</v>
      </c>
      <c r="BA220" t="b">
        <f>IF(metadata!P220="",FALSE,TRUE)</f>
        <v>0</v>
      </c>
      <c r="BB220" t="b">
        <f>IF(metadata!Q220="",FALSE,TRUE)</f>
        <v>0</v>
      </c>
      <c r="BC220" t="b">
        <f>OR(AND(IF(metadata!R220="",FALSE,TRUE),OR(EXACT(metadata!R220,"missing: not collected"),EXACT(metadata!R220,"missing: not provided"),EXACT(metadata!R220,"missing: restricted access"))),AND(IF(metadata!R220="",FALSE,ISNUMBER(VALUE(metadata!R220))),metadata!R220&gt;=-90,metadata!R220&lt;=90))</f>
        <v>0</v>
      </c>
      <c r="BD220" t="b">
        <f>AND(IF(metadata!S220="",FALSE,TRUE),EXACT(metadata!S220,"Decimal degrees"))</f>
        <v>0</v>
      </c>
      <c r="BE220" t="b">
        <f>OR(AND(IF(metadata!T220="",FALSE,TRUE),OR(EXACT(metadata!T220,"missing: not collected"),EXACT(metadata!T220,"missing: not provided"),EXACT(metadata!T220,"missing: restricted access"))),AND(IF(metadata!T220="",FALSE,ISNUMBER(VALUE(metadata!T220))),metadata!T220&gt;=-180,metadata!T220&lt;=180))</f>
        <v>0</v>
      </c>
      <c r="BF220" t="b">
        <f>AND(IF(metadata!U220="",FALSE,TRUE),EXACT(metadata!U220,"Decimal degrees"))</f>
        <v>0</v>
      </c>
      <c r="BG220" t="b">
        <f>IF(metadata!V220="",FALSE,TRUE)</f>
        <v>0</v>
      </c>
      <c r="BH220" t="b">
        <f>OR(AND(IF(metadata!W220="",FALSE,TRUE),OR(EXACT(metadata!W220,"missing: not collected"),EXACT(metadata!W220,"missing: not provided"),EXACT(metadata!W220,"missing: restricted access"))),AND(IF(metadata!W220="",FALSE,TRUE),OR(EXACT(metadata!W220,"TRUE"),EXACT(metadata!W220,"FALSE"))))</f>
        <v>0</v>
      </c>
      <c r="BI220" t="b">
        <f>AND(IF(metadata!X220="",FALSE,TRUE),EXACT(metadata!X220,"other"))</f>
        <v>0</v>
      </c>
      <c r="BJ220" t="b">
        <f>IF(metadata!Y220="",FALSE,TRUE)</f>
        <v>0</v>
      </c>
      <c r="BK220" t="b">
        <f>OR(AND(IF(metadata!Z220="",FALSE,TRUE),OR(EXACT(metadata!Z220,"missing: not collected"),EXACT(metadata!Z220,"missing: not provided"))),AND(IF(metadata!Z220="",FALSE,IF(ISERROR(INT(metadata!Z220)),FALSE,INT(metadata!Z220)=metadata!Z220)),metadata!Z220&gt;0))</f>
        <v>0</v>
      </c>
      <c r="BL220" t="b">
        <f>AND(IF(metadata!AA220="",FALSE,TRUE),EXACT(metadata!AA220,"Not applicable"))</f>
        <v>0</v>
      </c>
      <c r="BM220" t="b">
        <f>IF(metadata!AB220="",FALSE,TRUE)</f>
        <v>0</v>
      </c>
    </row>
    <row r="221" spans="1:65" x14ac:dyDescent="0.2">
      <c r="A221" s="5" t="str">
        <f ca="1">IF(B221=" "," ",HYPERLINK(CONCATENATE("#metadata!",ADDRESS(INDEX($AH$2:$AH$1001,MATCH(ROWS($AF$2:AF221),$AF$2:$AF$1001,0),0),1)),INDEX($AK$2:$AK$1001,MATCH(ROWS($AF$2:AF221),$AF$2:$AF$1001,0),0)))</f>
        <v xml:space="preserve"> </v>
      </c>
      <c r="B221" s="4" t="str">
        <f ca="1">IF(OR(INDEX($AG$2:$AG$1001,MATCH(ROWS($AF$2:AF221),$AF$2:$AF$1001,0),1)&gt;=100000,INDEX($AM$1005:$BM$1005,1,MATCH(COLUMNS($AM$1006:AM1006),$AM$1006:$BM$1006,0))&gt;=100000), " ",IF(INDEX($AM$2:$BM$1001,MATCH(ROWS($AF$2:AF221),$AF$2:$AF$1001,0),MATCH(COLUMNS($AM$1006:AM1006),$AM$1006:$BM$1006,0)), HYPERLINK("#",""), HYPERLINK(CONCATENATE("#metadata!", ADDRESS(INDEX($AH$2:$AH$1001,MATCH(ROWS($AF$2:AF221),$AF$2:$AF$1001,0),0), INDEX($AM$1004:$BM$1004,1,MATCH(COLUMNS($AM$1006:AM1006),$AM$1006:$BM$1006,0)))),"Fix")))</f>
        <v xml:space="preserve"> </v>
      </c>
      <c r="C221" s="4" t="str">
        <f ca="1">IF(OR(INDEX($AG$2:$AG$1001,MATCH(ROWS($AF$2:AF221),$AF$2:$AF$1001,0),1)&gt;=100000,INDEX($AM$1005:$BM$1005,1,MATCH(COLUMNS($AM$1006:AN1006),$AM$1006:$BM$1006,0))&gt;=100000), " ",IF(INDEX($AM$2:$BM$1001,MATCH(ROWS($AF$2:AF221),$AF$2:$AF$1001,0),MATCH(COLUMNS($AM$1006:AN1006),$AM$1006:$BM$1006,0)), HYPERLINK("#",""), HYPERLINK(CONCATENATE("#metadata!", ADDRESS(INDEX($AH$2:$AH$1001,MATCH(ROWS($AF$2:AF221),$AF$2:$AF$1001,0),0), INDEX($AM$1004:$BM$1004,1,MATCH(COLUMNS($AM$1006:AN1006),$AM$1006:$BM$1006,0)))),"Fix")))</f>
        <v xml:space="preserve"> </v>
      </c>
      <c r="D221" s="4" t="str">
        <f ca="1">IF(OR(INDEX($AG$2:$AG$1001,MATCH(ROWS($AF$2:AF221),$AF$2:$AF$1001,0),1)&gt;=100000,INDEX($AM$1005:$BM$1005,1,MATCH(COLUMNS($AM$1006:AO1006),$AM$1006:$BM$1006,0))&gt;=100000), " ",IF(INDEX($AM$2:$BM$1001,MATCH(ROWS($AF$2:AF221),$AF$2:$AF$1001,0),MATCH(COLUMNS($AM$1006:AO1006),$AM$1006:$BM$1006,0)), HYPERLINK("#",""), HYPERLINK(CONCATENATE("#metadata!", ADDRESS(INDEX($AH$2:$AH$1001,MATCH(ROWS($AF$2:AF221),$AF$2:$AF$1001,0),0), INDEX($AM$1004:$BM$1004,1,MATCH(COLUMNS($AM$1006:AO1006),$AM$1006:$BM$1006,0)))),"Fix")))</f>
        <v xml:space="preserve"> </v>
      </c>
      <c r="E221" s="4" t="str">
        <f ca="1">IF(OR(INDEX($AG$2:$AG$1001,MATCH(ROWS($AF$2:AF221),$AF$2:$AF$1001,0),1)&gt;=100000,INDEX($AM$1005:$BM$1005,1,MATCH(COLUMNS($AM$1006:AP1006),$AM$1006:$BM$1006,0))&gt;=100000), " ",IF(INDEX($AM$2:$BM$1001,MATCH(ROWS($AF$2:AF221),$AF$2:$AF$1001,0),MATCH(COLUMNS($AM$1006:AP1006),$AM$1006:$BM$1006,0)), HYPERLINK("#",""), HYPERLINK(CONCATENATE("#metadata!", ADDRESS(INDEX($AH$2:$AH$1001,MATCH(ROWS($AF$2:AF221),$AF$2:$AF$1001,0),0), INDEX($AM$1004:$BM$1004,1,MATCH(COLUMNS($AM$1006:AP1006),$AM$1006:$BM$1006,0)))),"Fix")))</f>
        <v xml:space="preserve"> </v>
      </c>
      <c r="F221" s="4" t="str">
        <f ca="1">IF(OR(INDEX($AG$2:$AG$1001,MATCH(ROWS($AF$2:AF221),$AF$2:$AF$1001,0),1)&gt;=100000,INDEX($AM$1005:$BM$1005,1,MATCH(COLUMNS($AM$1006:AQ1006),$AM$1006:$BM$1006,0))&gt;=100000), " ",IF(INDEX($AM$2:$BM$1001,MATCH(ROWS($AF$2:AF221),$AF$2:$AF$1001,0),MATCH(COLUMNS($AM$1006:AQ1006),$AM$1006:$BM$1006,0)), HYPERLINK("#",""), HYPERLINK(CONCATENATE("#metadata!", ADDRESS(INDEX($AH$2:$AH$1001,MATCH(ROWS($AF$2:AF221),$AF$2:$AF$1001,0),0), INDEX($AM$1004:$BM$1004,1,MATCH(COLUMNS($AM$1006:AQ1006),$AM$1006:$BM$1006,0)))),"Fix")))</f>
        <v xml:space="preserve"> </v>
      </c>
      <c r="G221" s="4" t="str">
        <f ca="1">IF(OR(INDEX($AG$2:$AG$1001,MATCH(ROWS($AF$2:AF221),$AF$2:$AF$1001,0),1)&gt;=100000,INDEX($AM$1005:$BM$1005,1,MATCH(COLUMNS($AM$1006:AR1006),$AM$1006:$BM$1006,0))&gt;=100000), " ",IF(INDEX($AM$2:$BM$1001,MATCH(ROWS($AF$2:AF221),$AF$2:$AF$1001,0),MATCH(COLUMNS($AM$1006:AR1006),$AM$1006:$BM$1006,0)), HYPERLINK("#",""), HYPERLINK(CONCATENATE("#metadata!", ADDRESS(INDEX($AH$2:$AH$1001,MATCH(ROWS($AF$2:AF221),$AF$2:$AF$1001,0),0), INDEX($AM$1004:$BM$1004,1,MATCH(COLUMNS($AM$1006:AR1006),$AM$1006:$BM$1006,0)))),"Fix")))</f>
        <v xml:space="preserve"> </v>
      </c>
      <c r="H221" s="4" t="str">
        <f ca="1">IF(OR(INDEX($AG$2:$AG$1001,MATCH(ROWS($AF$2:AF221),$AF$2:$AF$1001,0),1)&gt;=100000,INDEX($AM$1005:$BM$1005,1,MATCH(COLUMNS($AM$1006:AS1006),$AM$1006:$BM$1006,0))&gt;=100000), " ",IF(INDEX($AM$2:$BM$1001,MATCH(ROWS($AF$2:AF221),$AF$2:$AF$1001,0),MATCH(COLUMNS($AM$1006:AS1006),$AM$1006:$BM$1006,0)), HYPERLINK("#",""), HYPERLINK(CONCATENATE("#metadata!", ADDRESS(INDEX($AH$2:$AH$1001,MATCH(ROWS($AF$2:AF221),$AF$2:$AF$1001,0),0), INDEX($AM$1004:$BM$1004,1,MATCH(COLUMNS($AM$1006:AS1006),$AM$1006:$BM$1006,0)))),"Fix")))</f>
        <v xml:space="preserve"> </v>
      </c>
      <c r="I221" s="4" t="str">
        <f ca="1">IF(OR(INDEX($AG$2:$AG$1001,MATCH(ROWS($AF$2:AF221),$AF$2:$AF$1001,0),1)&gt;=100000,INDEX($AM$1005:$BM$1005,1,MATCH(COLUMNS($AM$1006:AT1006),$AM$1006:$BM$1006,0))&gt;=100000), " ",IF(INDEX($AM$2:$BM$1001,MATCH(ROWS($AF$2:AF221),$AF$2:$AF$1001,0),MATCH(COLUMNS($AM$1006:AT1006),$AM$1006:$BM$1006,0)), HYPERLINK("#",""), HYPERLINK(CONCATENATE("#metadata!", ADDRESS(INDEX($AH$2:$AH$1001,MATCH(ROWS($AF$2:AF221),$AF$2:$AF$1001,0),0), INDEX($AM$1004:$BM$1004,1,MATCH(COLUMNS($AM$1006:AT1006),$AM$1006:$BM$1006,0)))),"Fix")))</f>
        <v xml:space="preserve"> </v>
      </c>
      <c r="J221" s="4" t="str">
        <f ca="1">IF(OR(INDEX($AG$2:$AG$1001,MATCH(ROWS($AF$2:AF221),$AF$2:$AF$1001,0),1)&gt;=100000,INDEX($AM$1005:$BM$1005,1,MATCH(COLUMNS($AM$1006:AU1006),$AM$1006:$BM$1006,0))&gt;=100000), " ",IF(INDEX($AM$2:$BM$1001,MATCH(ROWS($AF$2:AF221),$AF$2:$AF$1001,0),MATCH(COLUMNS($AM$1006:AU1006),$AM$1006:$BM$1006,0)), HYPERLINK("#",""), HYPERLINK(CONCATENATE("#metadata!", ADDRESS(INDEX($AH$2:$AH$1001,MATCH(ROWS($AF$2:AF221),$AF$2:$AF$1001,0),0), INDEX($AM$1004:$BM$1004,1,MATCH(COLUMNS($AM$1006:AU1006),$AM$1006:$BM$1006,0)))),"Fix")))</f>
        <v xml:space="preserve"> </v>
      </c>
      <c r="K221" s="4" t="str">
        <f ca="1">IF(OR(INDEX($AG$2:$AG$1001,MATCH(ROWS($AF$2:AF221),$AF$2:$AF$1001,0),1)&gt;=100000,INDEX($AM$1005:$BM$1005,1,MATCH(COLUMNS($AM$1006:AV1006),$AM$1006:$BM$1006,0))&gt;=100000), " ",IF(INDEX($AM$2:$BM$1001,MATCH(ROWS($AF$2:AF221),$AF$2:$AF$1001,0),MATCH(COLUMNS($AM$1006:AV1006),$AM$1006:$BM$1006,0)), HYPERLINK("#",""), HYPERLINK(CONCATENATE("#metadata!", ADDRESS(INDEX($AH$2:$AH$1001,MATCH(ROWS($AF$2:AF221),$AF$2:$AF$1001,0),0), INDEX($AM$1004:$BM$1004,1,MATCH(COLUMNS($AM$1006:AV1006),$AM$1006:$BM$1006,0)))),"Fix")))</f>
        <v xml:space="preserve"> </v>
      </c>
      <c r="L221" s="4" t="str">
        <f ca="1">IF(OR(INDEX($AG$2:$AG$1001,MATCH(ROWS($AF$2:AF221),$AF$2:$AF$1001,0),1)&gt;=100000,INDEX($AM$1005:$BM$1005,1,MATCH(COLUMNS($AM$1006:AW1006),$AM$1006:$BM$1006,0))&gt;=100000), " ",IF(INDEX($AM$2:$BM$1001,MATCH(ROWS($AF$2:AF221),$AF$2:$AF$1001,0),MATCH(COLUMNS($AM$1006:AW1006),$AM$1006:$BM$1006,0)), HYPERLINK("#",""), HYPERLINK(CONCATENATE("#metadata!", ADDRESS(INDEX($AH$2:$AH$1001,MATCH(ROWS($AF$2:AF221),$AF$2:$AF$1001,0),0), INDEX($AM$1004:$BM$1004,1,MATCH(COLUMNS($AM$1006:AW1006),$AM$1006:$BM$1006,0)))),"Fix")))</f>
        <v xml:space="preserve"> </v>
      </c>
      <c r="M221" s="4" t="str">
        <f ca="1">IF(OR(INDEX($AG$2:$AG$1001,MATCH(ROWS($AF$2:AF221),$AF$2:$AF$1001,0),1)&gt;=100000,INDEX($AM$1005:$BM$1005,1,MATCH(COLUMNS($AM$1006:AX1006),$AM$1006:$BM$1006,0))&gt;=100000), " ",IF(INDEX($AM$2:$BM$1001,MATCH(ROWS($AF$2:AF221),$AF$2:$AF$1001,0),MATCH(COLUMNS($AM$1006:AX1006),$AM$1006:$BM$1006,0)), HYPERLINK("#",""), HYPERLINK(CONCATENATE("#metadata!", ADDRESS(INDEX($AH$2:$AH$1001,MATCH(ROWS($AF$2:AF221),$AF$2:$AF$1001,0),0), INDEX($AM$1004:$BM$1004,1,MATCH(COLUMNS($AM$1006:AX1006),$AM$1006:$BM$1006,0)))),"Fix")))</f>
        <v xml:space="preserve"> </v>
      </c>
      <c r="N221" s="4" t="str">
        <f ca="1">IF(OR(INDEX($AG$2:$AG$1001,MATCH(ROWS($AF$2:AF221),$AF$2:$AF$1001,0),1)&gt;=100000,INDEX($AM$1005:$BM$1005,1,MATCH(COLUMNS($AM$1006:AY1006),$AM$1006:$BM$1006,0))&gt;=100000), " ",IF(INDEX($AM$2:$BM$1001,MATCH(ROWS($AF$2:AF221),$AF$2:$AF$1001,0),MATCH(COLUMNS($AM$1006:AY1006),$AM$1006:$BM$1006,0)), HYPERLINK("#",""), HYPERLINK(CONCATENATE("#metadata!", ADDRESS(INDEX($AH$2:$AH$1001,MATCH(ROWS($AF$2:AF221),$AF$2:$AF$1001,0),0), INDEX($AM$1004:$BM$1004,1,MATCH(COLUMNS($AM$1006:AY1006),$AM$1006:$BM$1006,0)))),"Fix")))</f>
        <v xml:space="preserve"> </v>
      </c>
      <c r="O221" s="4" t="str">
        <f ca="1">IF(OR(INDEX($AG$2:$AG$1001,MATCH(ROWS($AF$2:AF221),$AF$2:$AF$1001,0),1)&gt;=100000,INDEX($AM$1005:$BM$1005,1,MATCH(COLUMNS($AM$1006:AZ1006),$AM$1006:$BM$1006,0))&gt;=100000), " ",IF(INDEX($AM$2:$BM$1001,MATCH(ROWS($AF$2:AF221),$AF$2:$AF$1001,0),MATCH(COLUMNS($AM$1006:AZ1006),$AM$1006:$BM$1006,0)), HYPERLINK("#",""), HYPERLINK(CONCATENATE("#metadata!", ADDRESS(INDEX($AH$2:$AH$1001,MATCH(ROWS($AF$2:AF221),$AF$2:$AF$1001,0),0), INDEX($AM$1004:$BM$1004,1,MATCH(COLUMNS($AM$1006:AZ1006),$AM$1006:$BM$1006,0)))),"Fix")))</f>
        <v xml:space="preserve"> </v>
      </c>
      <c r="P221" s="4" t="str">
        <f ca="1">IF(OR(INDEX($AG$2:$AG$1001,MATCH(ROWS($AF$2:AF221),$AF$2:$AF$1001,0),1)&gt;=100000,INDEX($AM$1005:$BM$1005,1,MATCH(COLUMNS($AM$1006:BA1006),$AM$1006:$BM$1006,0))&gt;=100000), " ",IF(INDEX($AM$2:$BM$1001,MATCH(ROWS($AF$2:AF221),$AF$2:$AF$1001,0),MATCH(COLUMNS($AM$1006:BA1006),$AM$1006:$BM$1006,0)), HYPERLINK("#",""), HYPERLINK(CONCATENATE("#metadata!", ADDRESS(INDEX($AH$2:$AH$1001,MATCH(ROWS($AF$2:AF221),$AF$2:$AF$1001,0),0), INDEX($AM$1004:$BM$1004,1,MATCH(COLUMNS($AM$1006:BA1006),$AM$1006:$BM$1006,0)))),"Fix")))</f>
        <v xml:space="preserve"> </v>
      </c>
      <c r="Q221" s="4" t="str">
        <f ca="1">IF(OR(INDEX($AG$2:$AG$1001,MATCH(ROWS($AF$2:AF221),$AF$2:$AF$1001,0),1)&gt;=100000,INDEX($AM$1005:$BM$1005,1,MATCH(COLUMNS($AM$1006:BB1006),$AM$1006:$BM$1006,0))&gt;=100000), " ",IF(INDEX($AM$2:$BM$1001,MATCH(ROWS($AF$2:AF221),$AF$2:$AF$1001,0),MATCH(COLUMNS($AM$1006:BB1006),$AM$1006:$BM$1006,0)), HYPERLINK("#",""), HYPERLINK(CONCATENATE("#metadata!", ADDRESS(INDEX($AH$2:$AH$1001,MATCH(ROWS($AF$2:AF221),$AF$2:$AF$1001,0),0), INDEX($AM$1004:$BM$1004,1,MATCH(COLUMNS($AM$1006:BB1006),$AM$1006:$BM$1006,0)))),"Fix")))</f>
        <v xml:space="preserve"> </v>
      </c>
      <c r="R221" s="4" t="str">
        <f ca="1">IF(OR(INDEX($AG$2:$AG$1001,MATCH(ROWS($AF$2:AF221),$AF$2:$AF$1001,0),1)&gt;=100000,INDEX($AM$1005:$BM$1005,1,MATCH(COLUMNS($AM$1006:BC1006),$AM$1006:$BM$1006,0))&gt;=100000), " ",IF(INDEX($AM$2:$BM$1001,MATCH(ROWS($AF$2:AF221),$AF$2:$AF$1001,0),MATCH(COLUMNS($AM$1006:BC1006),$AM$1006:$BM$1006,0)), HYPERLINK("#",""), HYPERLINK(CONCATENATE("#metadata!", ADDRESS(INDEX($AH$2:$AH$1001,MATCH(ROWS($AF$2:AF221),$AF$2:$AF$1001,0),0), INDEX($AM$1004:$BM$1004,1,MATCH(COLUMNS($AM$1006:BC1006),$AM$1006:$BM$1006,0)))),"Fix")))</f>
        <v xml:space="preserve"> </v>
      </c>
      <c r="S221" s="4" t="str">
        <f ca="1">IF(OR(INDEX($AG$2:$AG$1001,MATCH(ROWS($AF$2:AF221),$AF$2:$AF$1001,0),1)&gt;=100000,INDEX($AM$1005:$BM$1005,1,MATCH(COLUMNS($AM$1006:BD1006),$AM$1006:$BM$1006,0))&gt;=100000), " ",IF(INDEX($AM$2:$BM$1001,MATCH(ROWS($AF$2:AF221),$AF$2:$AF$1001,0),MATCH(COLUMNS($AM$1006:BD1006),$AM$1006:$BM$1006,0)), HYPERLINK("#",""), HYPERLINK(CONCATENATE("#metadata!", ADDRESS(INDEX($AH$2:$AH$1001,MATCH(ROWS($AF$2:AF221),$AF$2:$AF$1001,0),0), INDEX($AM$1004:$BM$1004,1,MATCH(COLUMNS($AM$1006:BD1006),$AM$1006:$BM$1006,0)))),"Fix")))</f>
        <v xml:space="preserve"> </v>
      </c>
      <c r="T221" s="4" t="str">
        <f ca="1">IF(OR(INDEX($AG$2:$AG$1001,MATCH(ROWS($AF$2:AF221),$AF$2:$AF$1001,0),1)&gt;=100000,INDEX($AM$1005:$BM$1005,1,MATCH(COLUMNS($AM$1006:BE1006),$AM$1006:$BM$1006,0))&gt;=100000), " ",IF(INDEX($AM$2:$BM$1001,MATCH(ROWS($AF$2:AF221),$AF$2:$AF$1001,0),MATCH(COLUMNS($AM$1006:BE1006),$AM$1006:$BM$1006,0)), HYPERLINK("#",""), HYPERLINK(CONCATENATE("#metadata!", ADDRESS(INDEX($AH$2:$AH$1001,MATCH(ROWS($AF$2:AF221),$AF$2:$AF$1001,0),0), INDEX($AM$1004:$BM$1004,1,MATCH(COLUMNS($AM$1006:BE1006),$AM$1006:$BM$1006,0)))),"Fix")))</f>
        <v xml:space="preserve"> </v>
      </c>
      <c r="U221" s="4" t="str">
        <f ca="1">IF(OR(INDEX($AG$2:$AG$1001,MATCH(ROWS($AF$2:AF221),$AF$2:$AF$1001,0),1)&gt;=100000,INDEX($AM$1005:$BM$1005,1,MATCH(COLUMNS($AM$1006:BF1006),$AM$1006:$BM$1006,0))&gt;=100000), " ",IF(INDEX($AM$2:$BM$1001,MATCH(ROWS($AF$2:AF221),$AF$2:$AF$1001,0),MATCH(COLUMNS($AM$1006:BF1006),$AM$1006:$BM$1006,0)), HYPERLINK("#",""), HYPERLINK(CONCATENATE("#metadata!", ADDRESS(INDEX($AH$2:$AH$1001,MATCH(ROWS($AF$2:AF221),$AF$2:$AF$1001,0),0), INDEX($AM$1004:$BM$1004,1,MATCH(COLUMNS($AM$1006:BF1006),$AM$1006:$BM$1006,0)))),"Fix")))</f>
        <v xml:space="preserve"> </v>
      </c>
      <c r="V221" s="4" t="str">
        <f ca="1">IF(OR(INDEX($AG$2:$AG$1001,MATCH(ROWS($AF$2:AF221),$AF$2:$AF$1001,0),1)&gt;=100000,INDEX($AM$1005:$BM$1005,1,MATCH(COLUMNS($AM$1006:BG1006),$AM$1006:$BM$1006,0))&gt;=100000), " ",IF(INDEX($AM$2:$BM$1001,MATCH(ROWS($AF$2:AF221),$AF$2:$AF$1001,0),MATCH(COLUMNS($AM$1006:BG1006),$AM$1006:$BM$1006,0)), HYPERLINK("#",""), HYPERLINK(CONCATENATE("#metadata!", ADDRESS(INDEX($AH$2:$AH$1001,MATCH(ROWS($AF$2:AF221),$AF$2:$AF$1001,0),0), INDEX($AM$1004:$BM$1004,1,MATCH(COLUMNS($AM$1006:BG1006),$AM$1006:$BM$1006,0)))),"Fix")))</f>
        <v xml:space="preserve"> </v>
      </c>
      <c r="W221" s="4" t="str">
        <f ca="1">IF(OR(INDEX($AG$2:$AG$1001,MATCH(ROWS($AF$2:AF221),$AF$2:$AF$1001,0),1)&gt;=100000,INDEX($AM$1005:$BM$1005,1,MATCH(COLUMNS($AM$1006:BH1006),$AM$1006:$BM$1006,0))&gt;=100000), " ",IF(INDEX($AM$2:$BM$1001,MATCH(ROWS($AF$2:AF221),$AF$2:$AF$1001,0),MATCH(COLUMNS($AM$1006:BH1006),$AM$1006:$BM$1006,0)), HYPERLINK("#",""), HYPERLINK(CONCATENATE("#metadata!", ADDRESS(INDEX($AH$2:$AH$1001,MATCH(ROWS($AF$2:AF221),$AF$2:$AF$1001,0),0), INDEX($AM$1004:$BM$1004,1,MATCH(COLUMNS($AM$1006:BH1006),$AM$1006:$BM$1006,0)))),"Fix")))</f>
        <v xml:space="preserve"> </v>
      </c>
      <c r="X221" s="4" t="str">
        <f ca="1">IF(OR(INDEX($AG$2:$AG$1001,MATCH(ROWS($AF$2:AF221),$AF$2:$AF$1001,0),1)&gt;=100000,INDEX($AM$1005:$BM$1005,1,MATCH(COLUMNS($AM$1006:BI1006),$AM$1006:$BM$1006,0))&gt;=100000), " ",IF(INDEX($AM$2:$BM$1001,MATCH(ROWS($AF$2:AF221),$AF$2:$AF$1001,0),MATCH(COLUMNS($AM$1006:BI1006),$AM$1006:$BM$1006,0)), HYPERLINK("#",""), HYPERLINK(CONCATENATE("#metadata!", ADDRESS(INDEX($AH$2:$AH$1001,MATCH(ROWS($AF$2:AF221),$AF$2:$AF$1001,0),0), INDEX($AM$1004:$BM$1004,1,MATCH(COLUMNS($AM$1006:BI1006),$AM$1006:$BM$1006,0)))),"Fix")))</f>
        <v xml:space="preserve"> </v>
      </c>
      <c r="Y221" s="4" t="str">
        <f ca="1">IF(OR(INDEX($AG$2:$AG$1001,MATCH(ROWS($AF$2:AF221),$AF$2:$AF$1001,0),1)&gt;=100000,INDEX($AM$1005:$BM$1005,1,MATCH(COLUMNS($AM$1006:BJ1006),$AM$1006:$BM$1006,0))&gt;=100000), " ",IF(INDEX($AM$2:$BM$1001,MATCH(ROWS($AF$2:AF221),$AF$2:$AF$1001,0),MATCH(COLUMNS($AM$1006:BJ1006),$AM$1006:$BM$1006,0)), HYPERLINK("#",""), HYPERLINK(CONCATENATE("#metadata!", ADDRESS(INDEX($AH$2:$AH$1001,MATCH(ROWS($AF$2:AF221),$AF$2:$AF$1001,0),0), INDEX($AM$1004:$BM$1004,1,MATCH(COLUMNS($AM$1006:BJ1006),$AM$1006:$BM$1006,0)))),"Fix")))</f>
        <v xml:space="preserve"> </v>
      </c>
      <c r="Z221" s="4" t="str">
        <f ca="1">IF(OR(INDEX($AG$2:$AG$1001,MATCH(ROWS($AF$2:AF221),$AF$2:$AF$1001,0),1)&gt;=100000,INDEX($AM$1005:$BM$1005,1,MATCH(COLUMNS($AM$1006:BK1006),$AM$1006:$BM$1006,0))&gt;=100000), " ",IF(INDEX($AM$2:$BM$1001,MATCH(ROWS($AF$2:AF221),$AF$2:$AF$1001,0),MATCH(COLUMNS($AM$1006:BK1006),$AM$1006:$BM$1006,0)), HYPERLINK("#",""), HYPERLINK(CONCATENATE("#metadata!", ADDRESS(INDEX($AH$2:$AH$1001,MATCH(ROWS($AF$2:AF221),$AF$2:$AF$1001,0),0), INDEX($AM$1004:$BM$1004,1,MATCH(COLUMNS($AM$1006:BK1006),$AM$1006:$BM$1006,0)))),"Fix")))</f>
        <v xml:space="preserve"> </v>
      </c>
      <c r="AA221" s="4" t="str">
        <f ca="1">IF(OR(INDEX($AG$2:$AG$1001,MATCH(ROWS($AF$2:AF221),$AF$2:$AF$1001,0),1)&gt;=100000,INDEX($AM$1005:$BM$1005,1,MATCH(COLUMNS($AM$1006:BL1006),$AM$1006:$BM$1006,0))&gt;=100000), " ",IF(INDEX($AM$2:$BM$1001,MATCH(ROWS($AF$2:AF221),$AF$2:$AF$1001,0),MATCH(COLUMNS($AM$1006:BL1006),$AM$1006:$BM$1006,0)), HYPERLINK("#",""), HYPERLINK(CONCATENATE("#metadata!", ADDRESS(INDEX($AH$2:$AH$1001,MATCH(ROWS($AF$2:AF221),$AF$2:$AF$1001,0),0), INDEX($AM$1004:$BM$1004,1,MATCH(COLUMNS($AM$1006:BL1006),$AM$1006:$BM$1006,0)))),"Fix")))</f>
        <v xml:space="preserve"> </v>
      </c>
      <c r="AB221" s="4" t="str">
        <f ca="1">IF(OR(INDEX($AG$2:$AG$1001,MATCH(ROWS($AF$2:AF221),$AF$2:$AF$1001,0),1)&gt;=100000,INDEX($AM$1005:$BM$1005,1,MATCH(COLUMNS($AM$1006:BM1006),$AM$1006:$BM$1006,0))&gt;=100000), " ",IF(INDEX($AM$2:$BM$1001,MATCH(ROWS($AF$2:AF221),$AF$2:$AF$1001,0),MATCH(COLUMNS($AM$1006:BM1006),$AM$1006:$BM$1006,0)), HYPERLINK("#",""), HYPERLINK(CONCATENATE("#metadata!", ADDRESS(INDEX($AH$2:$AH$1001,MATCH(ROWS($AF$2:AF221),$AF$2:$AF$1001,0),0), INDEX($AM$1004:$BM$1004,1,MATCH(COLUMNS($AM$1006:BM1006),$AM$1006:$BM$1006,0)))),"Fix")))</f>
        <v xml:space="preserve"> </v>
      </c>
      <c r="AF221">
        <v>220</v>
      </c>
      <c r="AG221">
        <v>100221</v>
      </c>
      <c r="AH221">
        <v>221</v>
      </c>
      <c r="AI221" t="b">
        <f t="shared" si="3"/>
        <v>1</v>
      </c>
      <c r="AJ221" t="b">
        <f>COUNTBLANK(metadata!B221:AB221)=COLUMNS(metadata!B221:AB221)</f>
        <v>1</v>
      </c>
      <c r="AK221" t="str">
        <v/>
      </c>
      <c r="AM221" t="b">
        <f ca="1">AND(IF(metadata!B221="",FALSE,TRUE),COUNTIF(metadata!B:B, metadata!B221) = 1,NOT(ISERROR(SUMPRODUCT(SEARCH(MID(metadata!B221,ROW(INDIRECT("1:"&amp;LEN(metadata!B221))), 1),"0123456789abcdefghijklmnopqrstuvwxyzABCDEFGHIJKLMNOPQRSTUVWXYZ.")))))</f>
        <v>0</v>
      </c>
      <c r="AN221" t="b">
        <f ca="1">OR(AND(IF(metadata!C221="",FALSE,TRUE),OR(EXACT(metadata!C221,"missing: not collected"),EXACT(metadata!C221,"missing: not provided"),EXACT(metadata!C221,"missing: restricted access"))),AND(IF(metadata!C221="",FALSE,TRUE),AND(AND(IFERROR(INT(LEFT(metadata!C221,4))&gt;1900,FALSE),IFERROR(INT(LEFT(metadata!C221,4))&lt;=YEAR(NOW()),FALSE)), OR(MID(metadata!C221,5,1)="", AND(AND(MID(metadata!C221,5,1)="-",IFERROR(INT(MID(metadata!C221,6,1))&gt;=0,FALSE),IFERROR(INT(MID(metadata!C221,6,1))&lt;=1,FALSE),NOT(MID(metadata!C221,7,1)=""),IFERROR(INT(MID(metadata!C221,6,2))&gt;=1,FALSE),IFERROR(INT(MID(metadata!C221,6,2))&lt;=12,FALSE)), OR(MID(metadata!C221,8,1)="", AND(AND(MID(metadata!C221,8,1)="-",IFERROR(INT(MID(metadata!C221,9,1))&gt;=0,FALSE),IFERROR(INT(MID(metadata!C221,9,1))&lt;=3,FALSE),NOT(MID(metadata!C221,10,1)=""),IFERROR(INT(MID(metadata!C221,9,2))&gt;=1,FALSE),IFERROR(INT(MID(metadata!C221,9,2))&lt;=31,FALSE)), OR(MID(metadata!C221,11,1)="", AND(AND(MID(metadata!C221,11,1)=" ",IFERROR(INT(MID(metadata!C221,12,1))&gt;=0,FALSE),IFERROR(INT(MID(metadata!C221,12,1))&lt;=2,FALSE),NOT(MID(metadata!C221,13,1)=""),IFERROR(INT(MID(metadata!C221,12,2))&gt;=0,FALSE),IFERROR(INT(MID(metadata!C221,12,2))&lt;=23,FALSE)), OR(MID(metadata!C221,14,1)="", AND(AND(MID(metadata!C221,14,1)=":",IFERROR(INT(MID(metadata!C221,15,1))&gt;=0,FALSE),IFERROR(INT(MID(metadata!C221,15,1))&lt;=5,FALSE),NOT(MID(metadata!C221,16,1)=""),IFERROR(INT(MID(metadata!C221,15,2))&gt;=0,FALSE),IFERROR(INT(MID(metadata!C221,15,2))&lt;=59,FALSE)), OR(MID(metadata!C221,17,1)="", AND(AND(MID(metadata!C221,17,1)=":",IFERROR(INT(MID(metadata!C221,18,1))&gt;=0,FALSE),IFERROR(INT(MID(metadata!C221,18,1))&lt;=5,FALSE),NOT(MID(metadata!C221,19,1)=""),IFERROR(INT(MID(metadata!C221,18,2))&gt;=0,FALSE),IFERROR(INT(MID(metadata!C221,18,2))&lt;=59,FALSE)), LEN(metadata!C221)&lt;=19)))))))))))))</f>
        <v>0</v>
      </c>
      <c r="AO221" t="b">
        <f>AND(IF(metadata!D221="",FALSE,TRUE),EXACT(metadata!D221,"Not applicable"))</f>
        <v>0</v>
      </c>
      <c r="AP221" t="b">
        <f>IF(metadata!E221="",FALSE,TRUE)</f>
        <v>0</v>
      </c>
      <c r="AQ221" t="b">
        <f>OR(AND(IF(metadata!F221="",FALSE,TRUE),OR(EXACT(metadata!F221,"missing: not collected"),EXACT(metadata!F221,"missing: not provided"))),AND(IF(metadata!F221="",FALSE,TRUE),OR(EXACT(metadata!F221,"TRUE"),EXACT(metadata!F221,"FALSE"))))</f>
        <v>0</v>
      </c>
      <c r="AR221" t="b">
        <f>OR(AND(IF(metadata!G221="",FALSE,TRUE),OR(EXACT(metadata!G221,"missing: not collected"),EXACT(metadata!G221,"missing: not provided"),EXACT(metadata!G221,"missing: restricted access"))),AND(IF(metadata!G221="",FALSE,ISNUMBER(VALUE(metadata!G221))),metadata!G221&gt;=-413))</f>
        <v>0</v>
      </c>
      <c r="AS221" t="b">
        <f>AND(IF(metadata!H221="",FALSE,TRUE),EXACT(metadata!H221,"meters"))</f>
        <v>0</v>
      </c>
      <c r="AT221" t="b">
        <f>AND(IF(metadata!I221="",FALSE,TRUE),OR(EXACT(metadata!I221,"Host-associated"),EXACT(metadata!I221,"Free-living")))</f>
        <v>0</v>
      </c>
      <c r="AU221" t="b">
        <f>AND(IF(metadata!J221="",FALSE,TRUE),OR(EXACT(metadata!J221,"Animal"),EXACT(metadata!J221,"Fungus"),EXACT(metadata!J221,"Plant"),EXACT(metadata!J221,"Saline"),EXACT(metadata!J221,"Non-saline")))</f>
        <v>0</v>
      </c>
      <c r="AV221" t="b">
        <f>AND(IF(metadata!K221="",FALSE,TRUE),OR(EXACT(metadata!K221,"Plant secretion"),EXACT(metadata!K221,"Plant rhizosphere"),EXACT(metadata!K221,"Plant surface"),EXACT(metadata!K221,"Plant corpus"),EXACT(metadata!K221,"Fungus surface"),EXACT(metadata!K221,"Fungus corpus"),EXACT(metadata!K221,"Animal surface"),EXACT(metadata!K221,"Animal proximal gut"),EXACT(metadata!K221,"Animal corpus"),EXACT(metadata!K221,"Animal distal gut"),EXACT(metadata!K221,"Animal secretion"),EXACT(metadata!K221,"Sub-surface (non-saline)"),EXACT(metadata!K221,"Surface (non-saline)"),EXACT(metadata!K221,"Water (non-saline)"),EXACT(metadata!K221,"Soil (non-saline)"),EXACT(metadata!K221,"Aerosol (non-saline)"),EXACT(metadata!K221,"Sediment (non-saline)"),EXACT(metadata!K221,"Surface (saline)"),EXACT(metadata!K221,"Water (saline)"),EXACT(metadata!K221,"Hypersaline (saline)"),EXACT(metadata!K221,"Aerosol (saline)"),EXACT(metadata!K221,"Sediment (saline)")))</f>
        <v>0</v>
      </c>
      <c r="AW221" t="b">
        <f>IF(metadata!L221="",FALSE,TRUE)</f>
        <v>0</v>
      </c>
      <c r="AX221" t="b">
        <f>IF(metadata!M221="",FALSE,TRUE)</f>
        <v>0</v>
      </c>
      <c r="AY221" t="b">
        <f>IF(metadata!N221="",FALSE,TRUE)</f>
        <v>0</v>
      </c>
      <c r="AZ221" t="b">
        <f>OR(AND(IF(metadata!O221="",FALSE,TRUE),OR(EXACT(metadata!O221,"missing: not collected"),EXACT(metadata!O221,"missing: not provided"),EXACT(metadata!O221,"missing: restricted access"))),AND(IF(metadata!O221="",FALSE,TRUE),OR(EXACT(metadata!O221,"air"),EXACT(metadata!O221,"built environment"),EXACT(metadata!O221,"host-associated"),EXACT(metadata!O221,"human-associated"),EXACT(metadata!O221,"human-skin"),EXACT(metadata!O221,"human-oral"),EXACT(metadata!O221,"human-gut"),EXACT(metadata!O221,"human-vaginal"),EXACT(metadata!O221,"microbial mat/biofilm"),EXACT(metadata!O221,"misc environment"),EXACT(metadata!O221,"plant-associated"),EXACT(metadata!O221,"sediment"),EXACT(metadata!O221,"soil"),EXACT(metadata!O221,"wastewater/sludge"),EXACT(metadata!O221,"water"))))</f>
        <v>0</v>
      </c>
      <c r="BA221" t="b">
        <f>IF(metadata!P221="",FALSE,TRUE)</f>
        <v>0</v>
      </c>
      <c r="BB221" t="b">
        <f>IF(metadata!Q221="",FALSE,TRUE)</f>
        <v>0</v>
      </c>
      <c r="BC221" t="b">
        <f>OR(AND(IF(metadata!R221="",FALSE,TRUE),OR(EXACT(metadata!R221,"missing: not collected"),EXACT(metadata!R221,"missing: not provided"),EXACT(metadata!R221,"missing: restricted access"))),AND(IF(metadata!R221="",FALSE,ISNUMBER(VALUE(metadata!R221))),metadata!R221&gt;=-90,metadata!R221&lt;=90))</f>
        <v>0</v>
      </c>
      <c r="BD221" t="b">
        <f>AND(IF(metadata!S221="",FALSE,TRUE),EXACT(metadata!S221,"Decimal degrees"))</f>
        <v>0</v>
      </c>
      <c r="BE221" t="b">
        <f>OR(AND(IF(metadata!T221="",FALSE,TRUE),OR(EXACT(metadata!T221,"missing: not collected"),EXACT(metadata!T221,"missing: not provided"),EXACT(metadata!T221,"missing: restricted access"))),AND(IF(metadata!T221="",FALSE,ISNUMBER(VALUE(metadata!T221))),metadata!T221&gt;=-180,metadata!T221&lt;=180))</f>
        <v>0</v>
      </c>
      <c r="BF221" t="b">
        <f>AND(IF(metadata!U221="",FALSE,TRUE),EXACT(metadata!U221,"Decimal degrees"))</f>
        <v>0</v>
      </c>
      <c r="BG221" t="b">
        <f>IF(metadata!V221="",FALSE,TRUE)</f>
        <v>0</v>
      </c>
      <c r="BH221" t="b">
        <f>OR(AND(IF(metadata!W221="",FALSE,TRUE),OR(EXACT(metadata!W221,"missing: not collected"),EXACT(metadata!W221,"missing: not provided"),EXACT(metadata!W221,"missing: restricted access"))),AND(IF(metadata!W221="",FALSE,TRUE),OR(EXACT(metadata!W221,"TRUE"),EXACT(metadata!W221,"FALSE"))))</f>
        <v>0</v>
      </c>
      <c r="BI221" t="b">
        <f>AND(IF(metadata!X221="",FALSE,TRUE),EXACT(metadata!X221,"other"))</f>
        <v>0</v>
      </c>
      <c r="BJ221" t="b">
        <f>IF(metadata!Y221="",FALSE,TRUE)</f>
        <v>0</v>
      </c>
      <c r="BK221" t="b">
        <f>OR(AND(IF(metadata!Z221="",FALSE,TRUE),OR(EXACT(metadata!Z221,"missing: not collected"),EXACT(metadata!Z221,"missing: not provided"))),AND(IF(metadata!Z221="",FALSE,IF(ISERROR(INT(metadata!Z221)),FALSE,INT(metadata!Z221)=metadata!Z221)),metadata!Z221&gt;0))</f>
        <v>0</v>
      </c>
      <c r="BL221" t="b">
        <f>AND(IF(metadata!AA221="",FALSE,TRUE),EXACT(metadata!AA221,"Not applicable"))</f>
        <v>0</v>
      </c>
      <c r="BM221" t="b">
        <f>IF(metadata!AB221="",FALSE,TRUE)</f>
        <v>0</v>
      </c>
    </row>
    <row r="222" spans="1:65" x14ac:dyDescent="0.2">
      <c r="A222" s="5" t="str">
        <f ca="1">IF(B222=" "," ",HYPERLINK(CONCATENATE("#metadata!",ADDRESS(INDEX($AH$2:$AH$1001,MATCH(ROWS($AF$2:AF222),$AF$2:$AF$1001,0),0),1)),INDEX($AK$2:$AK$1001,MATCH(ROWS($AF$2:AF222),$AF$2:$AF$1001,0),0)))</f>
        <v xml:space="preserve"> </v>
      </c>
      <c r="B222" s="4" t="str">
        <f ca="1">IF(OR(INDEX($AG$2:$AG$1001,MATCH(ROWS($AF$2:AF222),$AF$2:$AF$1001,0),1)&gt;=100000,INDEX($AM$1005:$BM$1005,1,MATCH(COLUMNS($AM$1006:AM1006),$AM$1006:$BM$1006,0))&gt;=100000), " ",IF(INDEX($AM$2:$BM$1001,MATCH(ROWS($AF$2:AF222),$AF$2:$AF$1001,0),MATCH(COLUMNS($AM$1006:AM1006),$AM$1006:$BM$1006,0)), HYPERLINK("#",""), HYPERLINK(CONCATENATE("#metadata!", ADDRESS(INDEX($AH$2:$AH$1001,MATCH(ROWS($AF$2:AF222),$AF$2:$AF$1001,0),0), INDEX($AM$1004:$BM$1004,1,MATCH(COLUMNS($AM$1006:AM1006),$AM$1006:$BM$1006,0)))),"Fix")))</f>
        <v xml:space="preserve"> </v>
      </c>
      <c r="C222" s="4" t="str">
        <f ca="1">IF(OR(INDEX($AG$2:$AG$1001,MATCH(ROWS($AF$2:AF222),$AF$2:$AF$1001,0),1)&gt;=100000,INDEX($AM$1005:$BM$1005,1,MATCH(COLUMNS($AM$1006:AN1006),$AM$1006:$BM$1006,0))&gt;=100000), " ",IF(INDEX($AM$2:$BM$1001,MATCH(ROWS($AF$2:AF222),$AF$2:$AF$1001,0),MATCH(COLUMNS($AM$1006:AN1006),$AM$1006:$BM$1006,0)), HYPERLINK("#",""), HYPERLINK(CONCATENATE("#metadata!", ADDRESS(INDEX($AH$2:$AH$1001,MATCH(ROWS($AF$2:AF222),$AF$2:$AF$1001,0),0), INDEX($AM$1004:$BM$1004,1,MATCH(COLUMNS($AM$1006:AN1006),$AM$1006:$BM$1006,0)))),"Fix")))</f>
        <v xml:space="preserve"> </v>
      </c>
      <c r="D222" s="4" t="str">
        <f ca="1">IF(OR(INDEX($AG$2:$AG$1001,MATCH(ROWS($AF$2:AF222),$AF$2:$AF$1001,0),1)&gt;=100000,INDEX($AM$1005:$BM$1005,1,MATCH(COLUMNS($AM$1006:AO1006),$AM$1006:$BM$1006,0))&gt;=100000), " ",IF(INDEX($AM$2:$BM$1001,MATCH(ROWS($AF$2:AF222),$AF$2:$AF$1001,0),MATCH(COLUMNS($AM$1006:AO1006),$AM$1006:$BM$1006,0)), HYPERLINK("#",""), HYPERLINK(CONCATENATE("#metadata!", ADDRESS(INDEX($AH$2:$AH$1001,MATCH(ROWS($AF$2:AF222),$AF$2:$AF$1001,0),0), INDEX($AM$1004:$BM$1004,1,MATCH(COLUMNS($AM$1006:AO1006),$AM$1006:$BM$1006,0)))),"Fix")))</f>
        <v xml:space="preserve"> </v>
      </c>
      <c r="E222" s="4" t="str">
        <f ca="1">IF(OR(INDEX($AG$2:$AG$1001,MATCH(ROWS($AF$2:AF222),$AF$2:$AF$1001,0),1)&gt;=100000,INDEX($AM$1005:$BM$1005,1,MATCH(COLUMNS($AM$1006:AP1006),$AM$1006:$BM$1006,0))&gt;=100000), " ",IF(INDEX($AM$2:$BM$1001,MATCH(ROWS($AF$2:AF222),$AF$2:$AF$1001,0),MATCH(COLUMNS($AM$1006:AP1006),$AM$1006:$BM$1006,0)), HYPERLINK("#",""), HYPERLINK(CONCATENATE("#metadata!", ADDRESS(INDEX($AH$2:$AH$1001,MATCH(ROWS($AF$2:AF222),$AF$2:$AF$1001,0),0), INDEX($AM$1004:$BM$1004,1,MATCH(COLUMNS($AM$1006:AP1006),$AM$1006:$BM$1006,0)))),"Fix")))</f>
        <v xml:space="preserve"> </v>
      </c>
      <c r="F222" s="4" t="str">
        <f ca="1">IF(OR(INDEX($AG$2:$AG$1001,MATCH(ROWS($AF$2:AF222),$AF$2:$AF$1001,0),1)&gt;=100000,INDEX($AM$1005:$BM$1005,1,MATCH(COLUMNS($AM$1006:AQ1006),$AM$1006:$BM$1006,0))&gt;=100000), " ",IF(INDEX($AM$2:$BM$1001,MATCH(ROWS($AF$2:AF222),$AF$2:$AF$1001,0),MATCH(COLUMNS($AM$1006:AQ1006),$AM$1006:$BM$1006,0)), HYPERLINK("#",""), HYPERLINK(CONCATENATE("#metadata!", ADDRESS(INDEX($AH$2:$AH$1001,MATCH(ROWS($AF$2:AF222),$AF$2:$AF$1001,0),0), INDEX($AM$1004:$BM$1004,1,MATCH(COLUMNS($AM$1006:AQ1006),$AM$1006:$BM$1006,0)))),"Fix")))</f>
        <v xml:space="preserve"> </v>
      </c>
      <c r="G222" s="4" t="str">
        <f ca="1">IF(OR(INDEX($AG$2:$AG$1001,MATCH(ROWS($AF$2:AF222),$AF$2:$AF$1001,0),1)&gt;=100000,INDEX($AM$1005:$BM$1005,1,MATCH(COLUMNS($AM$1006:AR1006),$AM$1006:$BM$1006,0))&gt;=100000), " ",IF(INDEX($AM$2:$BM$1001,MATCH(ROWS($AF$2:AF222),$AF$2:$AF$1001,0),MATCH(COLUMNS($AM$1006:AR1006),$AM$1006:$BM$1006,0)), HYPERLINK("#",""), HYPERLINK(CONCATENATE("#metadata!", ADDRESS(INDEX($AH$2:$AH$1001,MATCH(ROWS($AF$2:AF222),$AF$2:$AF$1001,0),0), INDEX($AM$1004:$BM$1004,1,MATCH(COLUMNS($AM$1006:AR1006),$AM$1006:$BM$1006,0)))),"Fix")))</f>
        <v xml:space="preserve"> </v>
      </c>
      <c r="H222" s="4" t="str">
        <f ca="1">IF(OR(INDEX($AG$2:$AG$1001,MATCH(ROWS($AF$2:AF222),$AF$2:$AF$1001,0),1)&gt;=100000,INDEX($AM$1005:$BM$1005,1,MATCH(COLUMNS($AM$1006:AS1006),$AM$1006:$BM$1006,0))&gt;=100000), " ",IF(INDEX($AM$2:$BM$1001,MATCH(ROWS($AF$2:AF222),$AF$2:$AF$1001,0),MATCH(COLUMNS($AM$1006:AS1006),$AM$1006:$BM$1006,0)), HYPERLINK("#",""), HYPERLINK(CONCATENATE("#metadata!", ADDRESS(INDEX($AH$2:$AH$1001,MATCH(ROWS($AF$2:AF222),$AF$2:$AF$1001,0),0), INDEX($AM$1004:$BM$1004,1,MATCH(COLUMNS($AM$1006:AS1006),$AM$1006:$BM$1006,0)))),"Fix")))</f>
        <v xml:space="preserve"> </v>
      </c>
      <c r="I222" s="4" t="str">
        <f ca="1">IF(OR(INDEX($AG$2:$AG$1001,MATCH(ROWS($AF$2:AF222),$AF$2:$AF$1001,0),1)&gt;=100000,INDEX($AM$1005:$BM$1005,1,MATCH(COLUMNS($AM$1006:AT1006),$AM$1006:$BM$1006,0))&gt;=100000), " ",IF(INDEX($AM$2:$BM$1001,MATCH(ROWS($AF$2:AF222),$AF$2:$AF$1001,0),MATCH(COLUMNS($AM$1006:AT1006),$AM$1006:$BM$1006,0)), HYPERLINK("#",""), HYPERLINK(CONCATENATE("#metadata!", ADDRESS(INDEX($AH$2:$AH$1001,MATCH(ROWS($AF$2:AF222),$AF$2:$AF$1001,0),0), INDEX($AM$1004:$BM$1004,1,MATCH(COLUMNS($AM$1006:AT1006),$AM$1006:$BM$1006,0)))),"Fix")))</f>
        <v xml:space="preserve"> </v>
      </c>
      <c r="J222" s="4" t="str">
        <f ca="1">IF(OR(INDEX($AG$2:$AG$1001,MATCH(ROWS($AF$2:AF222),$AF$2:$AF$1001,0),1)&gt;=100000,INDEX($AM$1005:$BM$1005,1,MATCH(COLUMNS($AM$1006:AU1006),$AM$1006:$BM$1006,0))&gt;=100000), " ",IF(INDEX($AM$2:$BM$1001,MATCH(ROWS($AF$2:AF222),$AF$2:$AF$1001,0),MATCH(COLUMNS($AM$1006:AU1006),$AM$1006:$BM$1006,0)), HYPERLINK("#",""), HYPERLINK(CONCATENATE("#metadata!", ADDRESS(INDEX($AH$2:$AH$1001,MATCH(ROWS($AF$2:AF222),$AF$2:$AF$1001,0),0), INDEX($AM$1004:$BM$1004,1,MATCH(COLUMNS($AM$1006:AU1006),$AM$1006:$BM$1006,0)))),"Fix")))</f>
        <v xml:space="preserve"> </v>
      </c>
      <c r="K222" s="4" t="str">
        <f ca="1">IF(OR(INDEX($AG$2:$AG$1001,MATCH(ROWS($AF$2:AF222),$AF$2:$AF$1001,0),1)&gt;=100000,INDEX($AM$1005:$BM$1005,1,MATCH(COLUMNS($AM$1006:AV1006),$AM$1006:$BM$1006,0))&gt;=100000), " ",IF(INDEX($AM$2:$BM$1001,MATCH(ROWS($AF$2:AF222),$AF$2:$AF$1001,0),MATCH(COLUMNS($AM$1006:AV1006),$AM$1006:$BM$1006,0)), HYPERLINK("#",""), HYPERLINK(CONCATENATE("#metadata!", ADDRESS(INDEX($AH$2:$AH$1001,MATCH(ROWS($AF$2:AF222),$AF$2:$AF$1001,0),0), INDEX($AM$1004:$BM$1004,1,MATCH(COLUMNS($AM$1006:AV1006),$AM$1006:$BM$1006,0)))),"Fix")))</f>
        <v xml:space="preserve"> </v>
      </c>
      <c r="L222" s="4" t="str">
        <f ca="1">IF(OR(INDEX($AG$2:$AG$1001,MATCH(ROWS($AF$2:AF222),$AF$2:$AF$1001,0),1)&gt;=100000,INDEX($AM$1005:$BM$1005,1,MATCH(COLUMNS($AM$1006:AW1006),$AM$1006:$BM$1006,0))&gt;=100000), " ",IF(INDEX($AM$2:$BM$1001,MATCH(ROWS($AF$2:AF222),$AF$2:$AF$1001,0),MATCH(COLUMNS($AM$1006:AW1006),$AM$1006:$BM$1006,0)), HYPERLINK("#",""), HYPERLINK(CONCATENATE("#metadata!", ADDRESS(INDEX($AH$2:$AH$1001,MATCH(ROWS($AF$2:AF222),$AF$2:$AF$1001,0),0), INDEX($AM$1004:$BM$1004,1,MATCH(COLUMNS($AM$1006:AW1006),$AM$1006:$BM$1006,0)))),"Fix")))</f>
        <v xml:space="preserve"> </v>
      </c>
      <c r="M222" s="4" t="str">
        <f ca="1">IF(OR(INDEX($AG$2:$AG$1001,MATCH(ROWS($AF$2:AF222),$AF$2:$AF$1001,0),1)&gt;=100000,INDEX($AM$1005:$BM$1005,1,MATCH(COLUMNS($AM$1006:AX1006),$AM$1006:$BM$1006,0))&gt;=100000), " ",IF(INDEX($AM$2:$BM$1001,MATCH(ROWS($AF$2:AF222),$AF$2:$AF$1001,0),MATCH(COLUMNS($AM$1006:AX1006),$AM$1006:$BM$1006,0)), HYPERLINK("#",""), HYPERLINK(CONCATENATE("#metadata!", ADDRESS(INDEX($AH$2:$AH$1001,MATCH(ROWS($AF$2:AF222),$AF$2:$AF$1001,0),0), INDEX($AM$1004:$BM$1004,1,MATCH(COLUMNS($AM$1006:AX1006),$AM$1006:$BM$1006,0)))),"Fix")))</f>
        <v xml:space="preserve"> </v>
      </c>
      <c r="N222" s="4" t="str">
        <f ca="1">IF(OR(INDEX($AG$2:$AG$1001,MATCH(ROWS($AF$2:AF222),$AF$2:$AF$1001,0),1)&gt;=100000,INDEX($AM$1005:$BM$1005,1,MATCH(COLUMNS($AM$1006:AY1006),$AM$1006:$BM$1006,0))&gt;=100000), " ",IF(INDEX($AM$2:$BM$1001,MATCH(ROWS($AF$2:AF222),$AF$2:$AF$1001,0),MATCH(COLUMNS($AM$1006:AY1006),$AM$1006:$BM$1006,0)), HYPERLINK("#",""), HYPERLINK(CONCATENATE("#metadata!", ADDRESS(INDEX($AH$2:$AH$1001,MATCH(ROWS($AF$2:AF222),$AF$2:$AF$1001,0),0), INDEX($AM$1004:$BM$1004,1,MATCH(COLUMNS($AM$1006:AY1006),$AM$1006:$BM$1006,0)))),"Fix")))</f>
        <v xml:space="preserve"> </v>
      </c>
      <c r="O222" s="4" t="str">
        <f ca="1">IF(OR(INDEX($AG$2:$AG$1001,MATCH(ROWS($AF$2:AF222),$AF$2:$AF$1001,0),1)&gt;=100000,INDEX($AM$1005:$BM$1005,1,MATCH(COLUMNS($AM$1006:AZ1006),$AM$1006:$BM$1006,0))&gt;=100000), " ",IF(INDEX($AM$2:$BM$1001,MATCH(ROWS($AF$2:AF222),$AF$2:$AF$1001,0),MATCH(COLUMNS($AM$1006:AZ1006),$AM$1006:$BM$1006,0)), HYPERLINK("#",""), HYPERLINK(CONCATENATE("#metadata!", ADDRESS(INDEX($AH$2:$AH$1001,MATCH(ROWS($AF$2:AF222),$AF$2:$AF$1001,0),0), INDEX($AM$1004:$BM$1004,1,MATCH(COLUMNS($AM$1006:AZ1006),$AM$1006:$BM$1006,0)))),"Fix")))</f>
        <v xml:space="preserve"> </v>
      </c>
      <c r="P222" s="4" t="str">
        <f ca="1">IF(OR(INDEX($AG$2:$AG$1001,MATCH(ROWS($AF$2:AF222),$AF$2:$AF$1001,0),1)&gt;=100000,INDEX($AM$1005:$BM$1005,1,MATCH(COLUMNS($AM$1006:BA1006),$AM$1006:$BM$1006,0))&gt;=100000), " ",IF(INDEX($AM$2:$BM$1001,MATCH(ROWS($AF$2:AF222),$AF$2:$AF$1001,0),MATCH(COLUMNS($AM$1006:BA1006),$AM$1006:$BM$1006,0)), HYPERLINK("#",""), HYPERLINK(CONCATENATE("#metadata!", ADDRESS(INDEX($AH$2:$AH$1001,MATCH(ROWS($AF$2:AF222),$AF$2:$AF$1001,0),0), INDEX($AM$1004:$BM$1004,1,MATCH(COLUMNS($AM$1006:BA1006),$AM$1006:$BM$1006,0)))),"Fix")))</f>
        <v xml:space="preserve"> </v>
      </c>
      <c r="Q222" s="4" t="str">
        <f ca="1">IF(OR(INDEX($AG$2:$AG$1001,MATCH(ROWS($AF$2:AF222),$AF$2:$AF$1001,0),1)&gt;=100000,INDEX($AM$1005:$BM$1005,1,MATCH(COLUMNS($AM$1006:BB1006),$AM$1006:$BM$1006,0))&gt;=100000), " ",IF(INDEX($AM$2:$BM$1001,MATCH(ROWS($AF$2:AF222),$AF$2:$AF$1001,0),MATCH(COLUMNS($AM$1006:BB1006),$AM$1006:$BM$1006,0)), HYPERLINK("#",""), HYPERLINK(CONCATENATE("#metadata!", ADDRESS(INDEX($AH$2:$AH$1001,MATCH(ROWS($AF$2:AF222),$AF$2:$AF$1001,0),0), INDEX($AM$1004:$BM$1004,1,MATCH(COLUMNS($AM$1006:BB1006),$AM$1006:$BM$1006,0)))),"Fix")))</f>
        <v xml:space="preserve"> </v>
      </c>
      <c r="R222" s="4" t="str">
        <f ca="1">IF(OR(INDEX($AG$2:$AG$1001,MATCH(ROWS($AF$2:AF222),$AF$2:$AF$1001,0),1)&gt;=100000,INDEX($AM$1005:$BM$1005,1,MATCH(COLUMNS($AM$1006:BC1006),$AM$1006:$BM$1006,0))&gt;=100000), " ",IF(INDEX($AM$2:$BM$1001,MATCH(ROWS($AF$2:AF222),$AF$2:$AF$1001,0),MATCH(COLUMNS($AM$1006:BC1006),$AM$1006:$BM$1006,0)), HYPERLINK("#",""), HYPERLINK(CONCATENATE("#metadata!", ADDRESS(INDEX($AH$2:$AH$1001,MATCH(ROWS($AF$2:AF222),$AF$2:$AF$1001,0),0), INDEX($AM$1004:$BM$1004,1,MATCH(COLUMNS($AM$1006:BC1006),$AM$1006:$BM$1006,0)))),"Fix")))</f>
        <v xml:space="preserve"> </v>
      </c>
      <c r="S222" s="4" t="str">
        <f ca="1">IF(OR(INDEX($AG$2:$AG$1001,MATCH(ROWS($AF$2:AF222),$AF$2:$AF$1001,0),1)&gt;=100000,INDEX($AM$1005:$BM$1005,1,MATCH(COLUMNS($AM$1006:BD1006),$AM$1006:$BM$1006,0))&gt;=100000), " ",IF(INDEX($AM$2:$BM$1001,MATCH(ROWS($AF$2:AF222),$AF$2:$AF$1001,0),MATCH(COLUMNS($AM$1006:BD1006),$AM$1006:$BM$1006,0)), HYPERLINK("#",""), HYPERLINK(CONCATENATE("#metadata!", ADDRESS(INDEX($AH$2:$AH$1001,MATCH(ROWS($AF$2:AF222),$AF$2:$AF$1001,0),0), INDEX($AM$1004:$BM$1004,1,MATCH(COLUMNS($AM$1006:BD1006),$AM$1006:$BM$1006,0)))),"Fix")))</f>
        <v xml:space="preserve"> </v>
      </c>
      <c r="T222" s="4" t="str">
        <f ca="1">IF(OR(INDEX($AG$2:$AG$1001,MATCH(ROWS($AF$2:AF222),$AF$2:$AF$1001,0),1)&gt;=100000,INDEX($AM$1005:$BM$1005,1,MATCH(COLUMNS($AM$1006:BE1006),$AM$1006:$BM$1006,0))&gt;=100000), " ",IF(INDEX($AM$2:$BM$1001,MATCH(ROWS($AF$2:AF222),$AF$2:$AF$1001,0),MATCH(COLUMNS($AM$1006:BE1006),$AM$1006:$BM$1006,0)), HYPERLINK("#",""), HYPERLINK(CONCATENATE("#metadata!", ADDRESS(INDEX($AH$2:$AH$1001,MATCH(ROWS($AF$2:AF222),$AF$2:$AF$1001,0),0), INDEX($AM$1004:$BM$1004,1,MATCH(COLUMNS($AM$1006:BE1006),$AM$1006:$BM$1006,0)))),"Fix")))</f>
        <v xml:space="preserve"> </v>
      </c>
      <c r="U222" s="4" t="str">
        <f ca="1">IF(OR(INDEX($AG$2:$AG$1001,MATCH(ROWS($AF$2:AF222),$AF$2:$AF$1001,0),1)&gt;=100000,INDEX($AM$1005:$BM$1005,1,MATCH(COLUMNS($AM$1006:BF1006),$AM$1006:$BM$1006,0))&gt;=100000), " ",IF(INDEX($AM$2:$BM$1001,MATCH(ROWS($AF$2:AF222),$AF$2:$AF$1001,0),MATCH(COLUMNS($AM$1006:BF1006),$AM$1006:$BM$1006,0)), HYPERLINK("#",""), HYPERLINK(CONCATENATE("#metadata!", ADDRESS(INDEX($AH$2:$AH$1001,MATCH(ROWS($AF$2:AF222),$AF$2:$AF$1001,0),0), INDEX($AM$1004:$BM$1004,1,MATCH(COLUMNS($AM$1006:BF1006),$AM$1006:$BM$1006,0)))),"Fix")))</f>
        <v xml:space="preserve"> </v>
      </c>
      <c r="V222" s="4" t="str">
        <f ca="1">IF(OR(INDEX($AG$2:$AG$1001,MATCH(ROWS($AF$2:AF222),$AF$2:$AF$1001,0),1)&gt;=100000,INDEX($AM$1005:$BM$1005,1,MATCH(COLUMNS($AM$1006:BG1006),$AM$1006:$BM$1006,0))&gt;=100000), " ",IF(INDEX($AM$2:$BM$1001,MATCH(ROWS($AF$2:AF222),$AF$2:$AF$1001,0),MATCH(COLUMNS($AM$1006:BG1006),$AM$1006:$BM$1006,0)), HYPERLINK("#",""), HYPERLINK(CONCATENATE("#metadata!", ADDRESS(INDEX($AH$2:$AH$1001,MATCH(ROWS($AF$2:AF222),$AF$2:$AF$1001,0),0), INDEX($AM$1004:$BM$1004,1,MATCH(COLUMNS($AM$1006:BG1006),$AM$1006:$BM$1006,0)))),"Fix")))</f>
        <v xml:space="preserve"> </v>
      </c>
      <c r="W222" s="4" t="str">
        <f ca="1">IF(OR(INDEX($AG$2:$AG$1001,MATCH(ROWS($AF$2:AF222),$AF$2:$AF$1001,0),1)&gt;=100000,INDEX($AM$1005:$BM$1005,1,MATCH(COLUMNS($AM$1006:BH1006),$AM$1006:$BM$1006,0))&gt;=100000), " ",IF(INDEX($AM$2:$BM$1001,MATCH(ROWS($AF$2:AF222),$AF$2:$AF$1001,0),MATCH(COLUMNS($AM$1006:BH1006),$AM$1006:$BM$1006,0)), HYPERLINK("#",""), HYPERLINK(CONCATENATE("#metadata!", ADDRESS(INDEX($AH$2:$AH$1001,MATCH(ROWS($AF$2:AF222),$AF$2:$AF$1001,0),0), INDEX($AM$1004:$BM$1004,1,MATCH(COLUMNS($AM$1006:BH1006),$AM$1006:$BM$1006,0)))),"Fix")))</f>
        <v xml:space="preserve"> </v>
      </c>
      <c r="X222" s="4" t="str">
        <f ca="1">IF(OR(INDEX($AG$2:$AG$1001,MATCH(ROWS($AF$2:AF222),$AF$2:$AF$1001,0),1)&gt;=100000,INDEX($AM$1005:$BM$1005,1,MATCH(COLUMNS($AM$1006:BI1006),$AM$1006:$BM$1006,0))&gt;=100000), " ",IF(INDEX($AM$2:$BM$1001,MATCH(ROWS($AF$2:AF222),$AF$2:$AF$1001,0),MATCH(COLUMNS($AM$1006:BI1006),$AM$1006:$BM$1006,0)), HYPERLINK("#",""), HYPERLINK(CONCATENATE("#metadata!", ADDRESS(INDEX($AH$2:$AH$1001,MATCH(ROWS($AF$2:AF222),$AF$2:$AF$1001,0),0), INDEX($AM$1004:$BM$1004,1,MATCH(COLUMNS($AM$1006:BI1006),$AM$1006:$BM$1006,0)))),"Fix")))</f>
        <v xml:space="preserve"> </v>
      </c>
      <c r="Y222" s="4" t="str">
        <f ca="1">IF(OR(INDEX($AG$2:$AG$1001,MATCH(ROWS($AF$2:AF222),$AF$2:$AF$1001,0),1)&gt;=100000,INDEX($AM$1005:$BM$1005,1,MATCH(COLUMNS($AM$1006:BJ1006),$AM$1006:$BM$1006,0))&gt;=100000), " ",IF(INDEX($AM$2:$BM$1001,MATCH(ROWS($AF$2:AF222),$AF$2:$AF$1001,0),MATCH(COLUMNS($AM$1006:BJ1006),$AM$1006:$BM$1006,0)), HYPERLINK("#",""), HYPERLINK(CONCATENATE("#metadata!", ADDRESS(INDEX($AH$2:$AH$1001,MATCH(ROWS($AF$2:AF222),$AF$2:$AF$1001,0),0), INDEX($AM$1004:$BM$1004,1,MATCH(COLUMNS($AM$1006:BJ1006),$AM$1006:$BM$1006,0)))),"Fix")))</f>
        <v xml:space="preserve"> </v>
      </c>
      <c r="Z222" s="4" t="str">
        <f ca="1">IF(OR(INDEX($AG$2:$AG$1001,MATCH(ROWS($AF$2:AF222),$AF$2:$AF$1001,0),1)&gt;=100000,INDEX($AM$1005:$BM$1005,1,MATCH(COLUMNS($AM$1006:BK1006),$AM$1006:$BM$1006,0))&gt;=100000), " ",IF(INDEX($AM$2:$BM$1001,MATCH(ROWS($AF$2:AF222),$AF$2:$AF$1001,0),MATCH(COLUMNS($AM$1006:BK1006),$AM$1006:$BM$1006,0)), HYPERLINK("#",""), HYPERLINK(CONCATENATE("#metadata!", ADDRESS(INDEX($AH$2:$AH$1001,MATCH(ROWS($AF$2:AF222),$AF$2:$AF$1001,0),0), INDEX($AM$1004:$BM$1004,1,MATCH(COLUMNS($AM$1006:BK1006),$AM$1006:$BM$1006,0)))),"Fix")))</f>
        <v xml:space="preserve"> </v>
      </c>
      <c r="AA222" s="4" t="str">
        <f ca="1">IF(OR(INDEX($AG$2:$AG$1001,MATCH(ROWS($AF$2:AF222),$AF$2:$AF$1001,0),1)&gt;=100000,INDEX($AM$1005:$BM$1005,1,MATCH(COLUMNS($AM$1006:BL1006),$AM$1006:$BM$1006,0))&gt;=100000), " ",IF(INDEX($AM$2:$BM$1001,MATCH(ROWS($AF$2:AF222),$AF$2:$AF$1001,0),MATCH(COLUMNS($AM$1006:BL1006),$AM$1006:$BM$1006,0)), HYPERLINK("#",""), HYPERLINK(CONCATENATE("#metadata!", ADDRESS(INDEX($AH$2:$AH$1001,MATCH(ROWS($AF$2:AF222),$AF$2:$AF$1001,0),0), INDEX($AM$1004:$BM$1004,1,MATCH(COLUMNS($AM$1006:BL1006),$AM$1006:$BM$1006,0)))),"Fix")))</f>
        <v xml:space="preserve"> </v>
      </c>
      <c r="AB222" s="4" t="str">
        <f ca="1">IF(OR(INDEX($AG$2:$AG$1001,MATCH(ROWS($AF$2:AF222),$AF$2:$AF$1001,0),1)&gt;=100000,INDEX($AM$1005:$BM$1005,1,MATCH(COLUMNS($AM$1006:BM1006),$AM$1006:$BM$1006,0))&gt;=100000), " ",IF(INDEX($AM$2:$BM$1001,MATCH(ROWS($AF$2:AF222),$AF$2:$AF$1001,0),MATCH(COLUMNS($AM$1006:BM1006),$AM$1006:$BM$1006,0)), HYPERLINK("#",""), HYPERLINK(CONCATENATE("#metadata!", ADDRESS(INDEX($AH$2:$AH$1001,MATCH(ROWS($AF$2:AF222),$AF$2:$AF$1001,0),0), INDEX($AM$1004:$BM$1004,1,MATCH(COLUMNS($AM$1006:BM1006),$AM$1006:$BM$1006,0)))),"Fix")))</f>
        <v xml:space="preserve"> </v>
      </c>
      <c r="AF222">
        <v>221</v>
      </c>
      <c r="AG222">
        <v>100222</v>
      </c>
      <c r="AH222">
        <v>222</v>
      </c>
      <c r="AI222" t="b">
        <f t="shared" si="3"/>
        <v>1</v>
      </c>
      <c r="AJ222" t="b">
        <f>COUNTBLANK(metadata!B222:AB222)=COLUMNS(metadata!B222:AB222)</f>
        <v>1</v>
      </c>
      <c r="AK222" t="str">
        <v/>
      </c>
      <c r="AM222" t="b">
        <f ca="1">AND(IF(metadata!B222="",FALSE,TRUE),COUNTIF(metadata!B:B, metadata!B222) = 1,NOT(ISERROR(SUMPRODUCT(SEARCH(MID(metadata!B222,ROW(INDIRECT("1:"&amp;LEN(metadata!B222))), 1),"0123456789abcdefghijklmnopqrstuvwxyzABCDEFGHIJKLMNOPQRSTUVWXYZ.")))))</f>
        <v>0</v>
      </c>
      <c r="AN222" t="b">
        <f ca="1">OR(AND(IF(metadata!C222="",FALSE,TRUE),OR(EXACT(metadata!C222,"missing: not collected"),EXACT(metadata!C222,"missing: not provided"),EXACT(metadata!C222,"missing: restricted access"))),AND(IF(metadata!C222="",FALSE,TRUE),AND(AND(IFERROR(INT(LEFT(metadata!C222,4))&gt;1900,FALSE),IFERROR(INT(LEFT(metadata!C222,4))&lt;=YEAR(NOW()),FALSE)), OR(MID(metadata!C222,5,1)="", AND(AND(MID(metadata!C222,5,1)="-",IFERROR(INT(MID(metadata!C222,6,1))&gt;=0,FALSE),IFERROR(INT(MID(metadata!C222,6,1))&lt;=1,FALSE),NOT(MID(metadata!C222,7,1)=""),IFERROR(INT(MID(metadata!C222,6,2))&gt;=1,FALSE),IFERROR(INT(MID(metadata!C222,6,2))&lt;=12,FALSE)), OR(MID(metadata!C222,8,1)="", AND(AND(MID(metadata!C222,8,1)="-",IFERROR(INT(MID(metadata!C222,9,1))&gt;=0,FALSE),IFERROR(INT(MID(metadata!C222,9,1))&lt;=3,FALSE),NOT(MID(metadata!C222,10,1)=""),IFERROR(INT(MID(metadata!C222,9,2))&gt;=1,FALSE),IFERROR(INT(MID(metadata!C222,9,2))&lt;=31,FALSE)), OR(MID(metadata!C222,11,1)="", AND(AND(MID(metadata!C222,11,1)=" ",IFERROR(INT(MID(metadata!C222,12,1))&gt;=0,FALSE),IFERROR(INT(MID(metadata!C222,12,1))&lt;=2,FALSE),NOT(MID(metadata!C222,13,1)=""),IFERROR(INT(MID(metadata!C222,12,2))&gt;=0,FALSE),IFERROR(INT(MID(metadata!C222,12,2))&lt;=23,FALSE)), OR(MID(metadata!C222,14,1)="", AND(AND(MID(metadata!C222,14,1)=":",IFERROR(INT(MID(metadata!C222,15,1))&gt;=0,FALSE),IFERROR(INT(MID(metadata!C222,15,1))&lt;=5,FALSE),NOT(MID(metadata!C222,16,1)=""),IFERROR(INT(MID(metadata!C222,15,2))&gt;=0,FALSE),IFERROR(INT(MID(metadata!C222,15,2))&lt;=59,FALSE)), OR(MID(metadata!C222,17,1)="", AND(AND(MID(metadata!C222,17,1)=":",IFERROR(INT(MID(metadata!C222,18,1))&gt;=0,FALSE),IFERROR(INT(MID(metadata!C222,18,1))&lt;=5,FALSE),NOT(MID(metadata!C222,19,1)=""),IFERROR(INT(MID(metadata!C222,18,2))&gt;=0,FALSE),IFERROR(INT(MID(metadata!C222,18,2))&lt;=59,FALSE)), LEN(metadata!C222)&lt;=19)))))))))))))</f>
        <v>0</v>
      </c>
      <c r="AO222" t="b">
        <f>AND(IF(metadata!D222="",FALSE,TRUE),EXACT(metadata!D222,"Not applicable"))</f>
        <v>0</v>
      </c>
      <c r="AP222" t="b">
        <f>IF(metadata!E222="",FALSE,TRUE)</f>
        <v>0</v>
      </c>
      <c r="AQ222" t="b">
        <f>OR(AND(IF(metadata!F222="",FALSE,TRUE),OR(EXACT(metadata!F222,"missing: not collected"),EXACT(metadata!F222,"missing: not provided"))),AND(IF(metadata!F222="",FALSE,TRUE),OR(EXACT(metadata!F222,"TRUE"),EXACT(metadata!F222,"FALSE"))))</f>
        <v>0</v>
      </c>
      <c r="AR222" t="b">
        <f>OR(AND(IF(metadata!G222="",FALSE,TRUE),OR(EXACT(metadata!G222,"missing: not collected"),EXACT(metadata!G222,"missing: not provided"),EXACT(metadata!G222,"missing: restricted access"))),AND(IF(metadata!G222="",FALSE,ISNUMBER(VALUE(metadata!G222))),metadata!G222&gt;=-413))</f>
        <v>0</v>
      </c>
      <c r="AS222" t="b">
        <f>AND(IF(metadata!H222="",FALSE,TRUE),EXACT(metadata!H222,"meters"))</f>
        <v>0</v>
      </c>
      <c r="AT222" t="b">
        <f>AND(IF(metadata!I222="",FALSE,TRUE),OR(EXACT(metadata!I222,"Host-associated"),EXACT(metadata!I222,"Free-living")))</f>
        <v>0</v>
      </c>
      <c r="AU222" t="b">
        <f>AND(IF(metadata!J222="",FALSE,TRUE),OR(EXACT(metadata!J222,"Animal"),EXACT(metadata!J222,"Fungus"),EXACT(metadata!J222,"Plant"),EXACT(metadata!J222,"Saline"),EXACT(metadata!J222,"Non-saline")))</f>
        <v>0</v>
      </c>
      <c r="AV222" t="b">
        <f>AND(IF(metadata!K222="",FALSE,TRUE),OR(EXACT(metadata!K222,"Plant secretion"),EXACT(metadata!K222,"Plant rhizosphere"),EXACT(metadata!K222,"Plant surface"),EXACT(metadata!K222,"Plant corpus"),EXACT(metadata!K222,"Fungus surface"),EXACT(metadata!K222,"Fungus corpus"),EXACT(metadata!K222,"Animal surface"),EXACT(metadata!K222,"Animal proximal gut"),EXACT(metadata!K222,"Animal corpus"),EXACT(metadata!K222,"Animal distal gut"),EXACT(metadata!K222,"Animal secretion"),EXACT(metadata!K222,"Sub-surface (non-saline)"),EXACT(metadata!K222,"Surface (non-saline)"),EXACT(metadata!K222,"Water (non-saline)"),EXACT(metadata!K222,"Soil (non-saline)"),EXACT(metadata!K222,"Aerosol (non-saline)"),EXACT(metadata!K222,"Sediment (non-saline)"),EXACT(metadata!K222,"Surface (saline)"),EXACT(metadata!K222,"Water (saline)"),EXACT(metadata!K222,"Hypersaline (saline)"),EXACT(metadata!K222,"Aerosol (saline)"),EXACT(metadata!K222,"Sediment (saline)")))</f>
        <v>0</v>
      </c>
      <c r="AW222" t="b">
        <f>IF(metadata!L222="",FALSE,TRUE)</f>
        <v>0</v>
      </c>
      <c r="AX222" t="b">
        <f>IF(metadata!M222="",FALSE,TRUE)</f>
        <v>0</v>
      </c>
      <c r="AY222" t="b">
        <f>IF(metadata!N222="",FALSE,TRUE)</f>
        <v>0</v>
      </c>
      <c r="AZ222" t="b">
        <f>OR(AND(IF(metadata!O222="",FALSE,TRUE),OR(EXACT(metadata!O222,"missing: not collected"),EXACT(metadata!O222,"missing: not provided"),EXACT(metadata!O222,"missing: restricted access"))),AND(IF(metadata!O222="",FALSE,TRUE),OR(EXACT(metadata!O222,"air"),EXACT(metadata!O222,"built environment"),EXACT(metadata!O222,"host-associated"),EXACT(metadata!O222,"human-associated"),EXACT(metadata!O222,"human-skin"),EXACT(metadata!O222,"human-oral"),EXACT(metadata!O222,"human-gut"),EXACT(metadata!O222,"human-vaginal"),EXACT(metadata!O222,"microbial mat/biofilm"),EXACT(metadata!O222,"misc environment"),EXACT(metadata!O222,"plant-associated"),EXACT(metadata!O222,"sediment"),EXACT(metadata!O222,"soil"),EXACT(metadata!O222,"wastewater/sludge"),EXACT(metadata!O222,"water"))))</f>
        <v>0</v>
      </c>
      <c r="BA222" t="b">
        <f>IF(metadata!P222="",FALSE,TRUE)</f>
        <v>0</v>
      </c>
      <c r="BB222" t="b">
        <f>IF(metadata!Q222="",FALSE,TRUE)</f>
        <v>0</v>
      </c>
      <c r="BC222" t="b">
        <f>OR(AND(IF(metadata!R222="",FALSE,TRUE),OR(EXACT(metadata!R222,"missing: not collected"),EXACT(metadata!R222,"missing: not provided"),EXACT(metadata!R222,"missing: restricted access"))),AND(IF(metadata!R222="",FALSE,ISNUMBER(VALUE(metadata!R222))),metadata!R222&gt;=-90,metadata!R222&lt;=90))</f>
        <v>0</v>
      </c>
      <c r="BD222" t="b">
        <f>AND(IF(metadata!S222="",FALSE,TRUE),EXACT(metadata!S222,"Decimal degrees"))</f>
        <v>0</v>
      </c>
      <c r="BE222" t="b">
        <f>OR(AND(IF(metadata!T222="",FALSE,TRUE),OR(EXACT(metadata!T222,"missing: not collected"),EXACT(metadata!T222,"missing: not provided"),EXACT(metadata!T222,"missing: restricted access"))),AND(IF(metadata!T222="",FALSE,ISNUMBER(VALUE(metadata!T222))),metadata!T222&gt;=-180,metadata!T222&lt;=180))</f>
        <v>0</v>
      </c>
      <c r="BF222" t="b">
        <f>AND(IF(metadata!U222="",FALSE,TRUE),EXACT(metadata!U222,"Decimal degrees"))</f>
        <v>0</v>
      </c>
      <c r="BG222" t="b">
        <f>IF(metadata!V222="",FALSE,TRUE)</f>
        <v>0</v>
      </c>
      <c r="BH222" t="b">
        <f>OR(AND(IF(metadata!W222="",FALSE,TRUE),OR(EXACT(metadata!W222,"missing: not collected"),EXACT(metadata!W222,"missing: not provided"),EXACT(metadata!W222,"missing: restricted access"))),AND(IF(metadata!W222="",FALSE,TRUE),OR(EXACT(metadata!W222,"TRUE"),EXACT(metadata!W222,"FALSE"))))</f>
        <v>0</v>
      </c>
      <c r="BI222" t="b">
        <f>AND(IF(metadata!X222="",FALSE,TRUE),EXACT(metadata!X222,"other"))</f>
        <v>0</v>
      </c>
      <c r="BJ222" t="b">
        <f>IF(metadata!Y222="",FALSE,TRUE)</f>
        <v>0</v>
      </c>
      <c r="BK222" t="b">
        <f>OR(AND(IF(metadata!Z222="",FALSE,TRUE),OR(EXACT(metadata!Z222,"missing: not collected"),EXACT(metadata!Z222,"missing: not provided"))),AND(IF(metadata!Z222="",FALSE,IF(ISERROR(INT(metadata!Z222)),FALSE,INT(metadata!Z222)=metadata!Z222)),metadata!Z222&gt;0))</f>
        <v>0</v>
      </c>
      <c r="BL222" t="b">
        <f>AND(IF(metadata!AA222="",FALSE,TRUE),EXACT(metadata!AA222,"Not applicable"))</f>
        <v>0</v>
      </c>
      <c r="BM222" t="b">
        <f>IF(metadata!AB222="",FALSE,TRUE)</f>
        <v>0</v>
      </c>
    </row>
    <row r="223" spans="1:65" x14ac:dyDescent="0.2">
      <c r="A223" s="5" t="str">
        <f ca="1">IF(B223=" "," ",HYPERLINK(CONCATENATE("#metadata!",ADDRESS(INDEX($AH$2:$AH$1001,MATCH(ROWS($AF$2:AF223),$AF$2:$AF$1001,0),0),1)),INDEX($AK$2:$AK$1001,MATCH(ROWS($AF$2:AF223),$AF$2:$AF$1001,0),0)))</f>
        <v xml:space="preserve"> </v>
      </c>
      <c r="B223" s="4" t="str">
        <f ca="1">IF(OR(INDEX($AG$2:$AG$1001,MATCH(ROWS($AF$2:AF223),$AF$2:$AF$1001,0),1)&gt;=100000,INDEX($AM$1005:$BM$1005,1,MATCH(COLUMNS($AM$1006:AM1006),$AM$1006:$BM$1006,0))&gt;=100000), " ",IF(INDEX($AM$2:$BM$1001,MATCH(ROWS($AF$2:AF223),$AF$2:$AF$1001,0),MATCH(COLUMNS($AM$1006:AM1006),$AM$1006:$BM$1006,0)), HYPERLINK("#",""), HYPERLINK(CONCATENATE("#metadata!", ADDRESS(INDEX($AH$2:$AH$1001,MATCH(ROWS($AF$2:AF223),$AF$2:$AF$1001,0),0), INDEX($AM$1004:$BM$1004,1,MATCH(COLUMNS($AM$1006:AM1006),$AM$1006:$BM$1006,0)))),"Fix")))</f>
        <v xml:space="preserve"> </v>
      </c>
      <c r="C223" s="4" t="str">
        <f ca="1">IF(OR(INDEX($AG$2:$AG$1001,MATCH(ROWS($AF$2:AF223),$AF$2:$AF$1001,0),1)&gt;=100000,INDEX($AM$1005:$BM$1005,1,MATCH(COLUMNS($AM$1006:AN1006),$AM$1006:$BM$1006,0))&gt;=100000), " ",IF(INDEX($AM$2:$BM$1001,MATCH(ROWS($AF$2:AF223),$AF$2:$AF$1001,0),MATCH(COLUMNS($AM$1006:AN1006),$AM$1006:$BM$1006,0)), HYPERLINK("#",""), HYPERLINK(CONCATENATE("#metadata!", ADDRESS(INDEX($AH$2:$AH$1001,MATCH(ROWS($AF$2:AF223),$AF$2:$AF$1001,0),0), INDEX($AM$1004:$BM$1004,1,MATCH(COLUMNS($AM$1006:AN1006),$AM$1006:$BM$1006,0)))),"Fix")))</f>
        <v xml:space="preserve"> </v>
      </c>
      <c r="D223" s="4" t="str">
        <f ca="1">IF(OR(INDEX($AG$2:$AG$1001,MATCH(ROWS($AF$2:AF223),$AF$2:$AF$1001,0),1)&gt;=100000,INDEX($AM$1005:$BM$1005,1,MATCH(COLUMNS($AM$1006:AO1006),$AM$1006:$BM$1006,0))&gt;=100000), " ",IF(INDEX($AM$2:$BM$1001,MATCH(ROWS($AF$2:AF223),$AF$2:$AF$1001,0),MATCH(COLUMNS($AM$1006:AO1006),$AM$1006:$BM$1006,0)), HYPERLINK("#",""), HYPERLINK(CONCATENATE("#metadata!", ADDRESS(INDEX($AH$2:$AH$1001,MATCH(ROWS($AF$2:AF223),$AF$2:$AF$1001,0),0), INDEX($AM$1004:$BM$1004,1,MATCH(COLUMNS($AM$1006:AO1006),$AM$1006:$BM$1006,0)))),"Fix")))</f>
        <v xml:space="preserve"> </v>
      </c>
      <c r="E223" s="4" t="str">
        <f ca="1">IF(OR(INDEX($AG$2:$AG$1001,MATCH(ROWS($AF$2:AF223),$AF$2:$AF$1001,0),1)&gt;=100000,INDEX($AM$1005:$BM$1005,1,MATCH(COLUMNS($AM$1006:AP1006),$AM$1006:$BM$1006,0))&gt;=100000), " ",IF(INDEX($AM$2:$BM$1001,MATCH(ROWS($AF$2:AF223),$AF$2:$AF$1001,0),MATCH(COLUMNS($AM$1006:AP1006),$AM$1006:$BM$1006,0)), HYPERLINK("#",""), HYPERLINK(CONCATENATE("#metadata!", ADDRESS(INDEX($AH$2:$AH$1001,MATCH(ROWS($AF$2:AF223),$AF$2:$AF$1001,0),0), INDEX($AM$1004:$BM$1004,1,MATCH(COLUMNS($AM$1006:AP1006),$AM$1006:$BM$1006,0)))),"Fix")))</f>
        <v xml:space="preserve"> </v>
      </c>
      <c r="F223" s="4" t="str">
        <f ca="1">IF(OR(INDEX($AG$2:$AG$1001,MATCH(ROWS($AF$2:AF223),$AF$2:$AF$1001,0),1)&gt;=100000,INDEX($AM$1005:$BM$1005,1,MATCH(COLUMNS($AM$1006:AQ1006),$AM$1006:$BM$1006,0))&gt;=100000), " ",IF(INDEX($AM$2:$BM$1001,MATCH(ROWS($AF$2:AF223),$AF$2:$AF$1001,0),MATCH(COLUMNS($AM$1006:AQ1006),$AM$1006:$BM$1006,0)), HYPERLINK("#",""), HYPERLINK(CONCATENATE("#metadata!", ADDRESS(INDEX($AH$2:$AH$1001,MATCH(ROWS($AF$2:AF223),$AF$2:$AF$1001,0),0), INDEX($AM$1004:$BM$1004,1,MATCH(COLUMNS($AM$1006:AQ1006),$AM$1006:$BM$1006,0)))),"Fix")))</f>
        <v xml:space="preserve"> </v>
      </c>
      <c r="G223" s="4" t="str">
        <f ca="1">IF(OR(INDEX($AG$2:$AG$1001,MATCH(ROWS($AF$2:AF223),$AF$2:$AF$1001,0),1)&gt;=100000,INDEX($AM$1005:$BM$1005,1,MATCH(COLUMNS($AM$1006:AR1006),$AM$1006:$BM$1006,0))&gt;=100000), " ",IF(INDEX($AM$2:$BM$1001,MATCH(ROWS($AF$2:AF223),$AF$2:$AF$1001,0),MATCH(COLUMNS($AM$1006:AR1006),$AM$1006:$BM$1006,0)), HYPERLINK("#",""), HYPERLINK(CONCATENATE("#metadata!", ADDRESS(INDEX($AH$2:$AH$1001,MATCH(ROWS($AF$2:AF223),$AF$2:$AF$1001,0),0), INDEX($AM$1004:$BM$1004,1,MATCH(COLUMNS($AM$1006:AR1006),$AM$1006:$BM$1006,0)))),"Fix")))</f>
        <v xml:space="preserve"> </v>
      </c>
      <c r="H223" s="4" t="str">
        <f ca="1">IF(OR(INDEX($AG$2:$AG$1001,MATCH(ROWS($AF$2:AF223),$AF$2:$AF$1001,0),1)&gt;=100000,INDEX($AM$1005:$BM$1005,1,MATCH(COLUMNS($AM$1006:AS1006),$AM$1006:$BM$1006,0))&gt;=100000), " ",IF(INDEX($AM$2:$BM$1001,MATCH(ROWS($AF$2:AF223),$AF$2:$AF$1001,0),MATCH(COLUMNS($AM$1006:AS1006),$AM$1006:$BM$1006,0)), HYPERLINK("#",""), HYPERLINK(CONCATENATE("#metadata!", ADDRESS(INDEX($AH$2:$AH$1001,MATCH(ROWS($AF$2:AF223),$AF$2:$AF$1001,0),0), INDEX($AM$1004:$BM$1004,1,MATCH(COLUMNS($AM$1006:AS1006),$AM$1006:$BM$1006,0)))),"Fix")))</f>
        <v xml:space="preserve"> </v>
      </c>
      <c r="I223" s="4" t="str">
        <f ca="1">IF(OR(INDEX($AG$2:$AG$1001,MATCH(ROWS($AF$2:AF223),$AF$2:$AF$1001,0),1)&gt;=100000,INDEX($AM$1005:$BM$1005,1,MATCH(COLUMNS($AM$1006:AT1006),$AM$1006:$BM$1006,0))&gt;=100000), " ",IF(INDEX($AM$2:$BM$1001,MATCH(ROWS($AF$2:AF223),$AF$2:$AF$1001,0),MATCH(COLUMNS($AM$1006:AT1006),$AM$1006:$BM$1006,0)), HYPERLINK("#",""), HYPERLINK(CONCATENATE("#metadata!", ADDRESS(INDEX($AH$2:$AH$1001,MATCH(ROWS($AF$2:AF223),$AF$2:$AF$1001,0),0), INDEX($AM$1004:$BM$1004,1,MATCH(COLUMNS($AM$1006:AT1006),$AM$1006:$BM$1006,0)))),"Fix")))</f>
        <v xml:space="preserve"> </v>
      </c>
      <c r="J223" s="4" t="str">
        <f ca="1">IF(OR(INDEX($AG$2:$AG$1001,MATCH(ROWS($AF$2:AF223),$AF$2:$AF$1001,0),1)&gt;=100000,INDEX($AM$1005:$BM$1005,1,MATCH(COLUMNS($AM$1006:AU1006),$AM$1006:$BM$1006,0))&gt;=100000), " ",IF(INDEX($AM$2:$BM$1001,MATCH(ROWS($AF$2:AF223),$AF$2:$AF$1001,0),MATCH(COLUMNS($AM$1006:AU1006),$AM$1006:$BM$1006,0)), HYPERLINK("#",""), HYPERLINK(CONCATENATE("#metadata!", ADDRESS(INDEX($AH$2:$AH$1001,MATCH(ROWS($AF$2:AF223),$AF$2:$AF$1001,0),0), INDEX($AM$1004:$BM$1004,1,MATCH(COLUMNS($AM$1006:AU1006),$AM$1006:$BM$1006,0)))),"Fix")))</f>
        <v xml:space="preserve"> </v>
      </c>
      <c r="K223" s="4" t="str">
        <f ca="1">IF(OR(INDEX($AG$2:$AG$1001,MATCH(ROWS($AF$2:AF223),$AF$2:$AF$1001,0),1)&gt;=100000,INDEX($AM$1005:$BM$1005,1,MATCH(COLUMNS($AM$1006:AV1006),$AM$1006:$BM$1006,0))&gt;=100000), " ",IF(INDEX($AM$2:$BM$1001,MATCH(ROWS($AF$2:AF223),$AF$2:$AF$1001,0),MATCH(COLUMNS($AM$1006:AV1006),$AM$1006:$BM$1006,0)), HYPERLINK("#",""), HYPERLINK(CONCATENATE("#metadata!", ADDRESS(INDEX($AH$2:$AH$1001,MATCH(ROWS($AF$2:AF223),$AF$2:$AF$1001,0),0), INDEX($AM$1004:$BM$1004,1,MATCH(COLUMNS($AM$1006:AV1006),$AM$1006:$BM$1006,0)))),"Fix")))</f>
        <v xml:space="preserve"> </v>
      </c>
      <c r="L223" s="4" t="str">
        <f ca="1">IF(OR(INDEX($AG$2:$AG$1001,MATCH(ROWS($AF$2:AF223),$AF$2:$AF$1001,0),1)&gt;=100000,INDEX($AM$1005:$BM$1005,1,MATCH(COLUMNS($AM$1006:AW1006),$AM$1006:$BM$1006,0))&gt;=100000), " ",IF(INDEX($AM$2:$BM$1001,MATCH(ROWS($AF$2:AF223),$AF$2:$AF$1001,0),MATCH(COLUMNS($AM$1006:AW1006),$AM$1006:$BM$1006,0)), HYPERLINK("#",""), HYPERLINK(CONCATENATE("#metadata!", ADDRESS(INDEX($AH$2:$AH$1001,MATCH(ROWS($AF$2:AF223),$AF$2:$AF$1001,0),0), INDEX($AM$1004:$BM$1004,1,MATCH(COLUMNS($AM$1006:AW1006),$AM$1006:$BM$1006,0)))),"Fix")))</f>
        <v xml:space="preserve"> </v>
      </c>
      <c r="M223" s="4" t="str">
        <f ca="1">IF(OR(INDEX($AG$2:$AG$1001,MATCH(ROWS($AF$2:AF223),$AF$2:$AF$1001,0),1)&gt;=100000,INDEX($AM$1005:$BM$1005,1,MATCH(COLUMNS($AM$1006:AX1006),$AM$1006:$BM$1006,0))&gt;=100000), " ",IF(INDEX($AM$2:$BM$1001,MATCH(ROWS($AF$2:AF223),$AF$2:$AF$1001,0),MATCH(COLUMNS($AM$1006:AX1006),$AM$1006:$BM$1006,0)), HYPERLINK("#",""), HYPERLINK(CONCATENATE("#metadata!", ADDRESS(INDEX($AH$2:$AH$1001,MATCH(ROWS($AF$2:AF223),$AF$2:$AF$1001,0),0), INDEX($AM$1004:$BM$1004,1,MATCH(COLUMNS($AM$1006:AX1006),$AM$1006:$BM$1006,0)))),"Fix")))</f>
        <v xml:space="preserve"> </v>
      </c>
      <c r="N223" s="4" t="str">
        <f ca="1">IF(OR(INDEX($AG$2:$AG$1001,MATCH(ROWS($AF$2:AF223),$AF$2:$AF$1001,0),1)&gt;=100000,INDEX($AM$1005:$BM$1005,1,MATCH(COLUMNS($AM$1006:AY1006),$AM$1006:$BM$1006,0))&gt;=100000), " ",IF(INDEX($AM$2:$BM$1001,MATCH(ROWS($AF$2:AF223),$AF$2:$AF$1001,0),MATCH(COLUMNS($AM$1006:AY1006),$AM$1006:$BM$1006,0)), HYPERLINK("#",""), HYPERLINK(CONCATENATE("#metadata!", ADDRESS(INDEX($AH$2:$AH$1001,MATCH(ROWS($AF$2:AF223),$AF$2:$AF$1001,0),0), INDEX($AM$1004:$BM$1004,1,MATCH(COLUMNS($AM$1006:AY1006),$AM$1006:$BM$1006,0)))),"Fix")))</f>
        <v xml:space="preserve"> </v>
      </c>
      <c r="O223" s="4" t="str">
        <f ca="1">IF(OR(INDEX($AG$2:$AG$1001,MATCH(ROWS($AF$2:AF223),$AF$2:$AF$1001,0),1)&gt;=100000,INDEX($AM$1005:$BM$1005,1,MATCH(COLUMNS($AM$1006:AZ1006),$AM$1006:$BM$1006,0))&gt;=100000), " ",IF(INDEX($AM$2:$BM$1001,MATCH(ROWS($AF$2:AF223),$AF$2:$AF$1001,0),MATCH(COLUMNS($AM$1006:AZ1006),$AM$1006:$BM$1006,0)), HYPERLINK("#",""), HYPERLINK(CONCATENATE("#metadata!", ADDRESS(INDEX($AH$2:$AH$1001,MATCH(ROWS($AF$2:AF223),$AF$2:$AF$1001,0),0), INDEX($AM$1004:$BM$1004,1,MATCH(COLUMNS($AM$1006:AZ1006),$AM$1006:$BM$1006,0)))),"Fix")))</f>
        <v xml:space="preserve"> </v>
      </c>
      <c r="P223" s="4" t="str">
        <f ca="1">IF(OR(INDEX($AG$2:$AG$1001,MATCH(ROWS($AF$2:AF223),$AF$2:$AF$1001,0),1)&gt;=100000,INDEX($AM$1005:$BM$1005,1,MATCH(COLUMNS($AM$1006:BA1006),$AM$1006:$BM$1006,0))&gt;=100000), " ",IF(INDEX($AM$2:$BM$1001,MATCH(ROWS($AF$2:AF223),$AF$2:$AF$1001,0),MATCH(COLUMNS($AM$1006:BA1006),$AM$1006:$BM$1006,0)), HYPERLINK("#",""), HYPERLINK(CONCATENATE("#metadata!", ADDRESS(INDEX($AH$2:$AH$1001,MATCH(ROWS($AF$2:AF223),$AF$2:$AF$1001,0),0), INDEX($AM$1004:$BM$1004,1,MATCH(COLUMNS($AM$1006:BA1006),$AM$1006:$BM$1006,0)))),"Fix")))</f>
        <v xml:space="preserve"> </v>
      </c>
      <c r="Q223" s="4" t="str">
        <f ca="1">IF(OR(INDEX($AG$2:$AG$1001,MATCH(ROWS($AF$2:AF223),$AF$2:$AF$1001,0),1)&gt;=100000,INDEX($AM$1005:$BM$1005,1,MATCH(COLUMNS($AM$1006:BB1006),$AM$1006:$BM$1006,0))&gt;=100000), " ",IF(INDEX($AM$2:$BM$1001,MATCH(ROWS($AF$2:AF223),$AF$2:$AF$1001,0),MATCH(COLUMNS($AM$1006:BB1006),$AM$1006:$BM$1006,0)), HYPERLINK("#",""), HYPERLINK(CONCATENATE("#metadata!", ADDRESS(INDEX($AH$2:$AH$1001,MATCH(ROWS($AF$2:AF223),$AF$2:$AF$1001,0),0), INDEX($AM$1004:$BM$1004,1,MATCH(COLUMNS($AM$1006:BB1006),$AM$1006:$BM$1006,0)))),"Fix")))</f>
        <v xml:space="preserve"> </v>
      </c>
      <c r="R223" s="4" t="str">
        <f ca="1">IF(OR(INDEX($AG$2:$AG$1001,MATCH(ROWS($AF$2:AF223),$AF$2:$AF$1001,0),1)&gt;=100000,INDEX($AM$1005:$BM$1005,1,MATCH(COLUMNS($AM$1006:BC1006),$AM$1006:$BM$1006,0))&gt;=100000), " ",IF(INDEX($AM$2:$BM$1001,MATCH(ROWS($AF$2:AF223),$AF$2:$AF$1001,0),MATCH(COLUMNS($AM$1006:BC1006),$AM$1006:$BM$1006,0)), HYPERLINK("#",""), HYPERLINK(CONCATENATE("#metadata!", ADDRESS(INDEX($AH$2:$AH$1001,MATCH(ROWS($AF$2:AF223),$AF$2:$AF$1001,0),0), INDEX($AM$1004:$BM$1004,1,MATCH(COLUMNS($AM$1006:BC1006),$AM$1006:$BM$1006,0)))),"Fix")))</f>
        <v xml:space="preserve"> </v>
      </c>
      <c r="S223" s="4" t="str">
        <f ca="1">IF(OR(INDEX($AG$2:$AG$1001,MATCH(ROWS($AF$2:AF223),$AF$2:$AF$1001,0),1)&gt;=100000,INDEX($AM$1005:$BM$1005,1,MATCH(COLUMNS($AM$1006:BD1006),$AM$1006:$BM$1006,0))&gt;=100000), " ",IF(INDEX($AM$2:$BM$1001,MATCH(ROWS($AF$2:AF223),$AF$2:$AF$1001,0),MATCH(COLUMNS($AM$1006:BD1006),$AM$1006:$BM$1006,0)), HYPERLINK("#",""), HYPERLINK(CONCATENATE("#metadata!", ADDRESS(INDEX($AH$2:$AH$1001,MATCH(ROWS($AF$2:AF223),$AF$2:$AF$1001,0),0), INDEX($AM$1004:$BM$1004,1,MATCH(COLUMNS($AM$1006:BD1006),$AM$1006:$BM$1006,0)))),"Fix")))</f>
        <v xml:space="preserve"> </v>
      </c>
      <c r="T223" s="4" t="str">
        <f ca="1">IF(OR(INDEX($AG$2:$AG$1001,MATCH(ROWS($AF$2:AF223),$AF$2:$AF$1001,0),1)&gt;=100000,INDEX($AM$1005:$BM$1005,1,MATCH(COLUMNS($AM$1006:BE1006),$AM$1006:$BM$1006,0))&gt;=100000), " ",IF(INDEX($AM$2:$BM$1001,MATCH(ROWS($AF$2:AF223),$AF$2:$AF$1001,0),MATCH(COLUMNS($AM$1006:BE1006),$AM$1006:$BM$1006,0)), HYPERLINK("#",""), HYPERLINK(CONCATENATE("#metadata!", ADDRESS(INDEX($AH$2:$AH$1001,MATCH(ROWS($AF$2:AF223),$AF$2:$AF$1001,0),0), INDEX($AM$1004:$BM$1004,1,MATCH(COLUMNS($AM$1006:BE1006),$AM$1006:$BM$1006,0)))),"Fix")))</f>
        <v xml:space="preserve"> </v>
      </c>
      <c r="U223" s="4" t="str">
        <f ca="1">IF(OR(INDEX($AG$2:$AG$1001,MATCH(ROWS($AF$2:AF223),$AF$2:$AF$1001,0),1)&gt;=100000,INDEX($AM$1005:$BM$1005,1,MATCH(COLUMNS($AM$1006:BF1006),$AM$1006:$BM$1006,0))&gt;=100000), " ",IF(INDEX($AM$2:$BM$1001,MATCH(ROWS($AF$2:AF223),$AF$2:$AF$1001,0),MATCH(COLUMNS($AM$1006:BF1006),$AM$1006:$BM$1006,0)), HYPERLINK("#",""), HYPERLINK(CONCATENATE("#metadata!", ADDRESS(INDEX($AH$2:$AH$1001,MATCH(ROWS($AF$2:AF223),$AF$2:$AF$1001,0),0), INDEX($AM$1004:$BM$1004,1,MATCH(COLUMNS($AM$1006:BF1006),$AM$1006:$BM$1006,0)))),"Fix")))</f>
        <v xml:space="preserve"> </v>
      </c>
      <c r="V223" s="4" t="str">
        <f ca="1">IF(OR(INDEX($AG$2:$AG$1001,MATCH(ROWS($AF$2:AF223),$AF$2:$AF$1001,0),1)&gt;=100000,INDEX($AM$1005:$BM$1005,1,MATCH(COLUMNS($AM$1006:BG1006),$AM$1006:$BM$1006,0))&gt;=100000), " ",IF(INDEX($AM$2:$BM$1001,MATCH(ROWS($AF$2:AF223),$AF$2:$AF$1001,0),MATCH(COLUMNS($AM$1006:BG1006),$AM$1006:$BM$1006,0)), HYPERLINK("#",""), HYPERLINK(CONCATENATE("#metadata!", ADDRESS(INDEX($AH$2:$AH$1001,MATCH(ROWS($AF$2:AF223),$AF$2:$AF$1001,0),0), INDEX($AM$1004:$BM$1004,1,MATCH(COLUMNS($AM$1006:BG1006),$AM$1006:$BM$1006,0)))),"Fix")))</f>
        <v xml:space="preserve"> </v>
      </c>
      <c r="W223" s="4" t="str">
        <f ca="1">IF(OR(INDEX($AG$2:$AG$1001,MATCH(ROWS($AF$2:AF223),$AF$2:$AF$1001,0),1)&gt;=100000,INDEX($AM$1005:$BM$1005,1,MATCH(COLUMNS($AM$1006:BH1006),$AM$1006:$BM$1006,0))&gt;=100000), " ",IF(INDEX($AM$2:$BM$1001,MATCH(ROWS($AF$2:AF223),$AF$2:$AF$1001,0),MATCH(COLUMNS($AM$1006:BH1006),$AM$1006:$BM$1006,0)), HYPERLINK("#",""), HYPERLINK(CONCATENATE("#metadata!", ADDRESS(INDEX($AH$2:$AH$1001,MATCH(ROWS($AF$2:AF223),$AF$2:$AF$1001,0),0), INDEX($AM$1004:$BM$1004,1,MATCH(COLUMNS($AM$1006:BH1006),$AM$1006:$BM$1006,0)))),"Fix")))</f>
        <v xml:space="preserve"> </v>
      </c>
      <c r="X223" s="4" t="str">
        <f ca="1">IF(OR(INDEX($AG$2:$AG$1001,MATCH(ROWS($AF$2:AF223),$AF$2:$AF$1001,0),1)&gt;=100000,INDEX($AM$1005:$BM$1005,1,MATCH(COLUMNS($AM$1006:BI1006),$AM$1006:$BM$1006,0))&gt;=100000), " ",IF(INDEX($AM$2:$BM$1001,MATCH(ROWS($AF$2:AF223),$AF$2:$AF$1001,0),MATCH(COLUMNS($AM$1006:BI1006),$AM$1006:$BM$1006,0)), HYPERLINK("#",""), HYPERLINK(CONCATENATE("#metadata!", ADDRESS(INDEX($AH$2:$AH$1001,MATCH(ROWS($AF$2:AF223),$AF$2:$AF$1001,0),0), INDEX($AM$1004:$BM$1004,1,MATCH(COLUMNS($AM$1006:BI1006),$AM$1006:$BM$1006,0)))),"Fix")))</f>
        <v xml:space="preserve"> </v>
      </c>
      <c r="Y223" s="4" t="str">
        <f ca="1">IF(OR(INDEX($AG$2:$AG$1001,MATCH(ROWS($AF$2:AF223),$AF$2:$AF$1001,0),1)&gt;=100000,INDEX($AM$1005:$BM$1005,1,MATCH(COLUMNS($AM$1006:BJ1006),$AM$1006:$BM$1006,0))&gt;=100000), " ",IF(INDEX($AM$2:$BM$1001,MATCH(ROWS($AF$2:AF223),$AF$2:$AF$1001,0),MATCH(COLUMNS($AM$1006:BJ1006),$AM$1006:$BM$1006,0)), HYPERLINK("#",""), HYPERLINK(CONCATENATE("#metadata!", ADDRESS(INDEX($AH$2:$AH$1001,MATCH(ROWS($AF$2:AF223),$AF$2:$AF$1001,0),0), INDEX($AM$1004:$BM$1004,1,MATCH(COLUMNS($AM$1006:BJ1006),$AM$1006:$BM$1006,0)))),"Fix")))</f>
        <v xml:space="preserve"> </v>
      </c>
      <c r="Z223" s="4" t="str">
        <f ca="1">IF(OR(INDEX($AG$2:$AG$1001,MATCH(ROWS($AF$2:AF223),$AF$2:$AF$1001,0),1)&gt;=100000,INDEX($AM$1005:$BM$1005,1,MATCH(COLUMNS($AM$1006:BK1006),$AM$1006:$BM$1006,0))&gt;=100000), " ",IF(INDEX($AM$2:$BM$1001,MATCH(ROWS($AF$2:AF223),$AF$2:$AF$1001,0),MATCH(COLUMNS($AM$1006:BK1006),$AM$1006:$BM$1006,0)), HYPERLINK("#",""), HYPERLINK(CONCATENATE("#metadata!", ADDRESS(INDEX($AH$2:$AH$1001,MATCH(ROWS($AF$2:AF223),$AF$2:$AF$1001,0),0), INDEX($AM$1004:$BM$1004,1,MATCH(COLUMNS($AM$1006:BK1006),$AM$1006:$BM$1006,0)))),"Fix")))</f>
        <v xml:space="preserve"> </v>
      </c>
      <c r="AA223" s="4" t="str">
        <f ca="1">IF(OR(INDEX($AG$2:$AG$1001,MATCH(ROWS($AF$2:AF223),$AF$2:$AF$1001,0),1)&gt;=100000,INDEX($AM$1005:$BM$1005,1,MATCH(COLUMNS($AM$1006:BL1006),$AM$1006:$BM$1006,0))&gt;=100000), " ",IF(INDEX($AM$2:$BM$1001,MATCH(ROWS($AF$2:AF223),$AF$2:$AF$1001,0),MATCH(COLUMNS($AM$1006:BL1006),$AM$1006:$BM$1006,0)), HYPERLINK("#",""), HYPERLINK(CONCATENATE("#metadata!", ADDRESS(INDEX($AH$2:$AH$1001,MATCH(ROWS($AF$2:AF223),$AF$2:$AF$1001,0),0), INDEX($AM$1004:$BM$1004,1,MATCH(COLUMNS($AM$1006:BL1006),$AM$1006:$BM$1006,0)))),"Fix")))</f>
        <v xml:space="preserve"> </v>
      </c>
      <c r="AB223" s="4" t="str">
        <f ca="1">IF(OR(INDEX($AG$2:$AG$1001,MATCH(ROWS($AF$2:AF223),$AF$2:$AF$1001,0),1)&gt;=100000,INDEX($AM$1005:$BM$1005,1,MATCH(COLUMNS($AM$1006:BM1006),$AM$1006:$BM$1006,0))&gt;=100000), " ",IF(INDEX($AM$2:$BM$1001,MATCH(ROWS($AF$2:AF223),$AF$2:$AF$1001,0),MATCH(COLUMNS($AM$1006:BM1006),$AM$1006:$BM$1006,0)), HYPERLINK("#",""), HYPERLINK(CONCATENATE("#metadata!", ADDRESS(INDEX($AH$2:$AH$1001,MATCH(ROWS($AF$2:AF223),$AF$2:$AF$1001,0),0), INDEX($AM$1004:$BM$1004,1,MATCH(COLUMNS($AM$1006:BM1006),$AM$1006:$BM$1006,0)))),"Fix")))</f>
        <v xml:space="preserve"> </v>
      </c>
      <c r="AF223">
        <v>222</v>
      </c>
      <c r="AG223">
        <v>100223</v>
      </c>
      <c r="AH223">
        <v>223</v>
      </c>
      <c r="AI223" t="b">
        <f t="shared" si="3"/>
        <v>1</v>
      </c>
      <c r="AJ223" t="b">
        <f>COUNTBLANK(metadata!B223:AB223)=COLUMNS(metadata!B223:AB223)</f>
        <v>1</v>
      </c>
      <c r="AK223" t="str">
        <v/>
      </c>
      <c r="AM223" t="b">
        <f ca="1">AND(IF(metadata!B223="",FALSE,TRUE),COUNTIF(metadata!B:B, metadata!B223) = 1,NOT(ISERROR(SUMPRODUCT(SEARCH(MID(metadata!B223,ROW(INDIRECT("1:"&amp;LEN(metadata!B223))), 1),"0123456789abcdefghijklmnopqrstuvwxyzABCDEFGHIJKLMNOPQRSTUVWXYZ.")))))</f>
        <v>0</v>
      </c>
      <c r="AN223" t="b">
        <f ca="1">OR(AND(IF(metadata!C223="",FALSE,TRUE),OR(EXACT(metadata!C223,"missing: not collected"),EXACT(metadata!C223,"missing: not provided"),EXACT(metadata!C223,"missing: restricted access"))),AND(IF(metadata!C223="",FALSE,TRUE),AND(AND(IFERROR(INT(LEFT(metadata!C223,4))&gt;1900,FALSE),IFERROR(INT(LEFT(metadata!C223,4))&lt;=YEAR(NOW()),FALSE)), OR(MID(metadata!C223,5,1)="", AND(AND(MID(metadata!C223,5,1)="-",IFERROR(INT(MID(metadata!C223,6,1))&gt;=0,FALSE),IFERROR(INT(MID(metadata!C223,6,1))&lt;=1,FALSE),NOT(MID(metadata!C223,7,1)=""),IFERROR(INT(MID(metadata!C223,6,2))&gt;=1,FALSE),IFERROR(INT(MID(metadata!C223,6,2))&lt;=12,FALSE)), OR(MID(metadata!C223,8,1)="", AND(AND(MID(metadata!C223,8,1)="-",IFERROR(INT(MID(metadata!C223,9,1))&gt;=0,FALSE),IFERROR(INT(MID(metadata!C223,9,1))&lt;=3,FALSE),NOT(MID(metadata!C223,10,1)=""),IFERROR(INT(MID(metadata!C223,9,2))&gt;=1,FALSE),IFERROR(INT(MID(metadata!C223,9,2))&lt;=31,FALSE)), OR(MID(metadata!C223,11,1)="", AND(AND(MID(metadata!C223,11,1)=" ",IFERROR(INT(MID(metadata!C223,12,1))&gt;=0,FALSE),IFERROR(INT(MID(metadata!C223,12,1))&lt;=2,FALSE),NOT(MID(metadata!C223,13,1)=""),IFERROR(INT(MID(metadata!C223,12,2))&gt;=0,FALSE),IFERROR(INT(MID(metadata!C223,12,2))&lt;=23,FALSE)), OR(MID(metadata!C223,14,1)="", AND(AND(MID(metadata!C223,14,1)=":",IFERROR(INT(MID(metadata!C223,15,1))&gt;=0,FALSE),IFERROR(INT(MID(metadata!C223,15,1))&lt;=5,FALSE),NOT(MID(metadata!C223,16,1)=""),IFERROR(INT(MID(metadata!C223,15,2))&gt;=0,FALSE),IFERROR(INT(MID(metadata!C223,15,2))&lt;=59,FALSE)), OR(MID(metadata!C223,17,1)="", AND(AND(MID(metadata!C223,17,1)=":",IFERROR(INT(MID(metadata!C223,18,1))&gt;=0,FALSE),IFERROR(INT(MID(metadata!C223,18,1))&lt;=5,FALSE),NOT(MID(metadata!C223,19,1)=""),IFERROR(INT(MID(metadata!C223,18,2))&gt;=0,FALSE),IFERROR(INT(MID(metadata!C223,18,2))&lt;=59,FALSE)), LEN(metadata!C223)&lt;=19)))))))))))))</f>
        <v>0</v>
      </c>
      <c r="AO223" t="b">
        <f>AND(IF(metadata!D223="",FALSE,TRUE),EXACT(metadata!D223,"Not applicable"))</f>
        <v>0</v>
      </c>
      <c r="AP223" t="b">
        <f>IF(metadata!E223="",FALSE,TRUE)</f>
        <v>0</v>
      </c>
      <c r="AQ223" t="b">
        <f>OR(AND(IF(metadata!F223="",FALSE,TRUE),OR(EXACT(metadata!F223,"missing: not collected"),EXACT(metadata!F223,"missing: not provided"))),AND(IF(metadata!F223="",FALSE,TRUE),OR(EXACT(metadata!F223,"TRUE"),EXACT(metadata!F223,"FALSE"))))</f>
        <v>0</v>
      </c>
      <c r="AR223" t="b">
        <f>OR(AND(IF(metadata!G223="",FALSE,TRUE),OR(EXACT(metadata!G223,"missing: not collected"),EXACT(metadata!G223,"missing: not provided"),EXACT(metadata!G223,"missing: restricted access"))),AND(IF(metadata!G223="",FALSE,ISNUMBER(VALUE(metadata!G223))),metadata!G223&gt;=-413))</f>
        <v>0</v>
      </c>
      <c r="AS223" t="b">
        <f>AND(IF(metadata!H223="",FALSE,TRUE),EXACT(metadata!H223,"meters"))</f>
        <v>0</v>
      </c>
      <c r="AT223" t="b">
        <f>AND(IF(metadata!I223="",FALSE,TRUE),OR(EXACT(metadata!I223,"Host-associated"),EXACT(metadata!I223,"Free-living")))</f>
        <v>0</v>
      </c>
      <c r="AU223" t="b">
        <f>AND(IF(metadata!J223="",FALSE,TRUE),OR(EXACT(metadata!J223,"Animal"),EXACT(metadata!J223,"Fungus"),EXACT(metadata!J223,"Plant"),EXACT(metadata!J223,"Saline"),EXACT(metadata!J223,"Non-saline")))</f>
        <v>0</v>
      </c>
      <c r="AV223" t="b">
        <f>AND(IF(metadata!K223="",FALSE,TRUE),OR(EXACT(metadata!K223,"Plant secretion"),EXACT(metadata!K223,"Plant rhizosphere"),EXACT(metadata!K223,"Plant surface"),EXACT(metadata!K223,"Plant corpus"),EXACT(metadata!K223,"Fungus surface"),EXACT(metadata!K223,"Fungus corpus"),EXACT(metadata!K223,"Animal surface"),EXACT(metadata!K223,"Animal proximal gut"),EXACT(metadata!K223,"Animal corpus"),EXACT(metadata!K223,"Animal distal gut"),EXACT(metadata!K223,"Animal secretion"),EXACT(metadata!K223,"Sub-surface (non-saline)"),EXACT(metadata!K223,"Surface (non-saline)"),EXACT(metadata!K223,"Water (non-saline)"),EXACT(metadata!K223,"Soil (non-saline)"),EXACT(metadata!K223,"Aerosol (non-saline)"),EXACT(metadata!K223,"Sediment (non-saline)"),EXACT(metadata!K223,"Surface (saline)"),EXACT(metadata!K223,"Water (saline)"),EXACT(metadata!K223,"Hypersaline (saline)"),EXACT(metadata!K223,"Aerosol (saline)"),EXACT(metadata!K223,"Sediment (saline)")))</f>
        <v>0</v>
      </c>
      <c r="AW223" t="b">
        <f>IF(metadata!L223="",FALSE,TRUE)</f>
        <v>0</v>
      </c>
      <c r="AX223" t="b">
        <f>IF(metadata!M223="",FALSE,TRUE)</f>
        <v>0</v>
      </c>
      <c r="AY223" t="b">
        <f>IF(metadata!N223="",FALSE,TRUE)</f>
        <v>0</v>
      </c>
      <c r="AZ223" t="b">
        <f>OR(AND(IF(metadata!O223="",FALSE,TRUE),OR(EXACT(metadata!O223,"missing: not collected"),EXACT(metadata!O223,"missing: not provided"),EXACT(metadata!O223,"missing: restricted access"))),AND(IF(metadata!O223="",FALSE,TRUE),OR(EXACT(metadata!O223,"air"),EXACT(metadata!O223,"built environment"),EXACT(metadata!O223,"host-associated"),EXACT(metadata!O223,"human-associated"),EXACT(metadata!O223,"human-skin"),EXACT(metadata!O223,"human-oral"),EXACT(metadata!O223,"human-gut"),EXACT(metadata!O223,"human-vaginal"),EXACT(metadata!O223,"microbial mat/biofilm"),EXACT(metadata!O223,"misc environment"),EXACT(metadata!O223,"plant-associated"),EXACT(metadata!O223,"sediment"),EXACT(metadata!O223,"soil"),EXACT(metadata!O223,"wastewater/sludge"),EXACT(metadata!O223,"water"))))</f>
        <v>0</v>
      </c>
      <c r="BA223" t="b">
        <f>IF(metadata!P223="",FALSE,TRUE)</f>
        <v>0</v>
      </c>
      <c r="BB223" t="b">
        <f>IF(metadata!Q223="",FALSE,TRUE)</f>
        <v>0</v>
      </c>
      <c r="BC223" t="b">
        <f>OR(AND(IF(metadata!R223="",FALSE,TRUE),OR(EXACT(metadata!R223,"missing: not collected"),EXACT(metadata!R223,"missing: not provided"),EXACT(metadata!R223,"missing: restricted access"))),AND(IF(metadata!R223="",FALSE,ISNUMBER(VALUE(metadata!R223))),metadata!R223&gt;=-90,metadata!R223&lt;=90))</f>
        <v>0</v>
      </c>
      <c r="BD223" t="b">
        <f>AND(IF(metadata!S223="",FALSE,TRUE),EXACT(metadata!S223,"Decimal degrees"))</f>
        <v>0</v>
      </c>
      <c r="BE223" t="b">
        <f>OR(AND(IF(metadata!T223="",FALSE,TRUE),OR(EXACT(metadata!T223,"missing: not collected"),EXACT(metadata!T223,"missing: not provided"),EXACT(metadata!T223,"missing: restricted access"))),AND(IF(metadata!T223="",FALSE,ISNUMBER(VALUE(metadata!T223))),metadata!T223&gt;=-180,metadata!T223&lt;=180))</f>
        <v>0</v>
      </c>
      <c r="BF223" t="b">
        <f>AND(IF(metadata!U223="",FALSE,TRUE),EXACT(metadata!U223,"Decimal degrees"))</f>
        <v>0</v>
      </c>
      <c r="BG223" t="b">
        <f>IF(metadata!V223="",FALSE,TRUE)</f>
        <v>0</v>
      </c>
      <c r="BH223" t="b">
        <f>OR(AND(IF(metadata!W223="",FALSE,TRUE),OR(EXACT(metadata!W223,"missing: not collected"),EXACT(metadata!W223,"missing: not provided"),EXACT(metadata!W223,"missing: restricted access"))),AND(IF(metadata!W223="",FALSE,TRUE),OR(EXACT(metadata!W223,"TRUE"),EXACT(metadata!W223,"FALSE"))))</f>
        <v>0</v>
      </c>
      <c r="BI223" t="b">
        <f>AND(IF(metadata!X223="",FALSE,TRUE),EXACT(metadata!X223,"other"))</f>
        <v>0</v>
      </c>
      <c r="BJ223" t="b">
        <f>IF(metadata!Y223="",FALSE,TRUE)</f>
        <v>0</v>
      </c>
      <c r="BK223" t="b">
        <f>OR(AND(IF(metadata!Z223="",FALSE,TRUE),OR(EXACT(metadata!Z223,"missing: not collected"),EXACT(metadata!Z223,"missing: not provided"))),AND(IF(metadata!Z223="",FALSE,IF(ISERROR(INT(metadata!Z223)),FALSE,INT(metadata!Z223)=metadata!Z223)),metadata!Z223&gt;0))</f>
        <v>0</v>
      </c>
      <c r="BL223" t="b">
        <f>AND(IF(metadata!AA223="",FALSE,TRUE),EXACT(metadata!AA223,"Not applicable"))</f>
        <v>0</v>
      </c>
      <c r="BM223" t="b">
        <f>IF(metadata!AB223="",FALSE,TRUE)</f>
        <v>0</v>
      </c>
    </row>
    <row r="224" spans="1:65" x14ac:dyDescent="0.2">
      <c r="A224" s="5" t="str">
        <f ca="1">IF(B224=" "," ",HYPERLINK(CONCATENATE("#metadata!",ADDRESS(INDEX($AH$2:$AH$1001,MATCH(ROWS($AF$2:AF224),$AF$2:$AF$1001,0),0),1)),INDEX($AK$2:$AK$1001,MATCH(ROWS($AF$2:AF224),$AF$2:$AF$1001,0),0)))</f>
        <v xml:space="preserve"> </v>
      </c>
      <c r="B224" s="4" t="str">
        <f ca="1">IF(OR(INDEX($AG$2:$AG$1001,MATCH(ROWS($AF$2:AF224),$AF$2:$AF$1001,0),1)&gt;=100000,INDEX($AM$1005:$BM$1005,1,MATCH(COLUMNS($AM$1006:AM1006),$AM$1006:$BM$1006,0))&gt;=100000), " ",IF(INDEX($AM$2:$BM$1001,MATCH(ROWS($AF$2:AF224),$AF$2:$AF$1001,0),MATCH(COLUMNS($AM$1006:AM1006),$AM$1006:$BM$1006,0)), HYPERLINK("#",""), HYPERLINK(CONCATENATE("#metadata!", ADDRESS(INDEX($AH$2:$AH$1001,MATCH(ROWS($AF$2:AF224),$AF$2:$AF$1001,0),0), INDEX($AM$1004:$BM$1004,1,MATCH(COLUMNS($AM$1006:AM1006),$AM$1006:$BM$1006,0)))),"Fix")))</f>
        <v xml:space="preserve"> </v>
      </c>
      <c r="C224" s="4" t="str">
        <f ca="1">IF(OR(INDEX($AG$2:$AG$1001,MATCH(ROWS($AF$2:AF224),$AF$2:$AF$1001,0),1)&gt;=100000,INDEX($AM$1005:$BM$1005,1,MATCH(COLUMNS($AM$1006:AN1006),$AM$1006:$BM$1006,0))&gt;=100000), " ",IF(INDEX($AM$2:$BM$1001,MATCH(ROWS($AF$2:AF224),$AF$2:$AF$1001,0),MATCH(COLUMNS($AM$1006:AN1006),$AM$1006:$BM$1006,0)), HYPERLINK("#",""), HYPERLINK(CONCATENATE("#metadata!", ADDRESS(INDEX($AH$2:$AH$1001,MATCH(ROWS($AF$2:AF224),$AF$2:$AF$1001,0),0), INDEX($AM$1004:$BM$1004,1,MATCH(COLUMNS($AM$1006:AN1006),$AM$1006:$BM$1006,0)))),"Fix")))</f>
        <v xml:space="preserve"> </v>
      </c>
      <c r="D224" s="4" t="str">
        <f ca="1">IF(OR(INDEX($AG$2:$AG$1001,MATCH(ROWS($AF$2:AF224),$AF$2:$AF$1001,0),1)&gt;=100000,INDEX($AM$1005:$BM$1005,1,MATCH(COLUMNS($AM$1006:AO1006),$AM$1006:$BM$1006,0))&gt;=100000), " ",IF(INDEX($AM$2:$BM$1001,MATCH(ROWS($AF$2:AF224),$AF$2:$AF$1001,0),MATCH(COLUMNS($AM$1006:AO1006),$AM$1006:$BM$1006,0)), HYPERLINK("#",""), HYPERLINK(CONCATENATE("#metadata!", ADDRESS(INDEX($AH$2:$AH$1001,MATCH(ROWS($AF$2:AF224),$AF$2:$AF$1001,0),0), INDEX($AM$1004:$BM$1004,1,MATCH(COLUMNS($AM$1006:AO1006),$AM$1006:$BM$1006,0)))),"Fix")))</f>
        <v xml:space="preserve"> </v>
      </c>
      <c r="E224" s="4" t="str">
        <f ca="1">IF(OR(INDEX($AG$2:$AG$1001,MATCH(ROWS($AF$2:AF224),$AF$2:$AF$1001,0),1)&gt;=100000,INDEX($AM$1005:$BM$1005,1,MATCH(COLUMNS($AM$1006:AP1006),$AM$1006:$BM$1006,0))&gt;=100000), " ",IF(INDEX($AM$2:$BM$1001,MATCH(ROWS($AF$2:AF224),$AF$2:$AF$1001,0),MATCH(COLUMNS($AM$1006:AP1006),$AM$1006:$BM$1006,0)), HYPERLINK("#",""), HYPERLINK(CONCATENATE("#metadata!", ADDRESS(INDEX($AH$2:$AH$1001,MATCH(ROWS($AF$2:AF224),$AF$2:$AF$1001,0),0), INDEX($AM$1004:$BM$1004,1,MATCH(COLUMNS($AM$1006:AP1006),$AM$1006:$BM$1006,0)))),"Fix")))</f>
        <v xml:space="preserve"> </v>
      </c>
      <c r="F224" s="4" t="str">
        <f ca="1">IF(OR(INDEX($AG$2:$AG$1001,MATCH(ROWS($AF$2:AF224),$AF$2:$AF$1001,0),1)&gt;=100000,INDEX($AM$1005:$BM$1005,1,MATCH(COLUMNS($AM$1006:AQ1006),$AM$1006:$BM$1006,0))&gt;=100000), " ",IF(INDEX($AM$2:$BM$1001,MATCH(ROWS($AF$2:AF224),$AF$2:$AF$1001,0),MATCH(COLUMNS($AM$1006:AQ1006),$AM$1006:$BM$1006,0)), HYPERLINK("#",""), HYPERLINK(CONCATENATE("#metadata!", ADDRESS(INDEX($AH$2:$AH$1001,MATCH(ROWS($AF$2:AF224),$AF$2:$AF$1001,0),0), INDEX($AM$1004:$BM$1004,1,MATCH(COLUMNS($AM$1006:AQ1006),$AM$1006:$BM$1006,0)))),"Fix")))</f>
        <v xml:space="preserve"> </v>
      </c>
      <c r="G224" s="4" t="str">
        <f ca="1">IF(OR(INDEX($AG$2:$AG$1001,MATCH(ROWS($AF$2:AF224),$AF$2:$AF$1001,0),1)&gt;=100000,INDEX($AM$1005:$BM$1005,1,MATCH(COLUMNS($AM$1006:AR1006),$AM$1006:$BM$1006,0))&gt;=100000), " ",IF(INDEX($AM$2:$BM$1001,MATCH(ROWS($AF$2:AF224),$AF$2:$AF$1001,0),MATCH(COLUMNS($AM$1006:AR1006),$AM$1006:$BM$1006,0)), HYPERLINK("#",""), HYPERLINK(CONCATENATE("#metadata!", ADDRESS(INDEX($AH$2:$AH$1001,MATCH(ROWS($AF$2:AF224),$AF$2:$AF$1001,0),0), INDEX($AM$1004:$BM$1004,1,MATCH(COLUMNS($AM$1006:AR1006),$AM$1006:$BM$1006,0)))),"Fix")))</f>
        <v xml:space="preserve"> </v>
      </c>
      <c r="H224" s="4" t="str">
        <f ca="1">IF(OR(INDEX($AG$2:$AG$1001,MATCH(ROWS($AF$2:AF224),$AF$2:$AF$1001,0),1)&gt;=100000,INDEX($AM$1005:$BM$1005,1,MATCH(COLUMNS($AM$1006:AS1006),$AM$1006:$BM$1006,0))&gt;=100000), " ",IF(INDEX($AM$2:$BM$1001,MATCH(ROWS($AF$2:AF224),$AF$2:$AF$1001,0),MATCH(COLUMNS($AM$1006:AS1006),$AM$1006:$BM$1006,0)), HYPERLINK("#",""), HYPERLINK(CONCATENATE("#metadata!", ADDRESS(INDEX($AH$2:$AH$1001,MATCH(ROWS($AF$2:AF224),$AF$2:$AF$1001,0),0), INDEX($AM$1004:$BM$1004,1,MATCH(COLUMNS($AM$1006:AS1006),$AM$1006:$BM$1006,0)))),"Fix")))</f>
        <v xml:space="preserve"> </v>
      </c>
      <c r="I224" s="4" t="str">
        <f ca="1">IF(OR(INDEX($AG$2:$AG$1001,MATCH(ROWS($AF$2:AF224),$AF$2:$AF$1001,0),1)&gt;=100000,INDEX($AM$1005:$BM$1005,1,MATCH(COLUMNS($AM$1006:AT1006),$AM$1006:$BM$1006,0))&gt;=100000), " ",IF(INDEX($AM$2:$BM$1001,MATCH(ROWS($AF$2:AF224),$AF$2:$AF$1001,0),MATCH(COLUMNS($AM$1006:AT1006),$AM$1006:$BM$1006,0)), HYPERLINK("#",""), HYPERLINK(CONCATENATE("#metadata!", ADDRESS(INDEX($AH$2:$AH$1001,MATCH(ROWS($AF$2:AF224),$AF$2:$AF$1001,0),0), INDEX($AM$1004:$BM$1004,1,MATCH(COLUMNS($AM$1006:AT1006),$AM$1006:$BM$1006,0)))),"Fix")))</f>
        <v xml:space="preserve"> </v>
      </c>
      <c r="J224" s="4" t="str">
        <f ca="1">IF(OR(INDEX($AG$2:$AG$1001,MATCH(ROWS($AF$2:AF224),$AF$2:$AF$1001,0),1)&gt;=100000,INDEX($AM$1005:$BM$1005,1,MATCH(COLUMNS($AM$1006:AU1006),$AM$1006:$BM$1006,0))&gt;=100000), " ",IF(INDEX($AM$2:$BM$1001,MATCH(ROWS($AF$2:AF224),$AF$2:$AF$1001,0),MATCH(COLUMNS($AM$1006:AU1006),$AM$1006:$BM$1006,0)), HYPERLINK("#",""), HYPERLINK(CONCATENATE("#metadata!", ADDRESS(INDEX($AH$2:$AH$1001,MATCH(ROWS($AF$2:AF224),$AF$2:$AF$1001,0),0), INDEX($AM$1004:$BM$1004,1,MATCH(COLUMNS($AM$1006:AU1006),$AM$1006:$BM$1006,0)))),"Fix")))</f>
        <v xml:space="preserve"> </v>
      </c>
      <c r="K224" s="4" t="str">
        <f ca="1">IF(OR(INDEX($AG$2:$AG$1001,MATCH(ROWS($AF$2:AF224),$AF$2:$AF$1001,0),1)&gt;=100000,INDEX($AM$1005:$BM$1005,1,MATCH(COLUMNS($AM$1006:AV1006),$AM$1006:$BM$1006,0))&gt;=100000), " ",IF(INDEX($AM$2:$BM$1001,MATCH(ROWS($AF$2:AF224),$AF$2:$AF$1001,0),MATCH(COLUMNS($AM$1006:AV1006),$AM$1006:$BM$1006,0)), HYPERLINK("#",""), HYPERLINK(CONCATENATE("#metadata!", ADDRESS(INDEX($AH$2:$AH$1001,MATCH(ROWS($AF$2:AF224),$AF$2:$AF$1001,0),0), INDEX($AM$1004:$BM$1004,1,MATCH(COLUMNS($AM$1006:AV1006),$AM$1006:$BM$1006,0)))),"Fix")))</f>
        <v xml:space="preserve"> </v>
      </c>
      <c r="L224" s="4" t="str">
        <f ca="1">IF(OR(INDEX($AG$2:$AG$1001,MATCH(ROWS($AF$2:AF224),$AF$2:$AF$1001,0),1)&gt;=100000,INDEX($AM$1005:$BM$1005,1,MATCH(COLUMNS($AM$1006:AW1006),$AM$1006:$BM$1006,0))&gt;=100000), " ",IF(INDEX($AM$2:$BM$1001,MATCH(ROWS($AF$2:AF224),$AF$2:$AF$1001,0),MATCH(COLUMNS($AM$1006:AW1006),$AM$1006:$BM$1006,0)), HYPERLINK("#",""), HYPERLINK(CONCATENATE("#metadata!", ADDRESS(INDEX($AH$2:$AH$1001,MATCH(ROWS($AF$2:AF224),$AF$2:$AF$1001,0),0), INDEX($AM$1004:$BM$1004,1,MATCH(COLUMNS($AM$1006:AW1006),$AM$1006:$BM$1006,0)))),"Fix")))</f>
        <v xml:space="preserve"> </v>
      </c>
      <c r="M224" s="4" t="str">
        <f ca="1">IF(OR(INDEX($AG$2:$AG$1001,MATCH(ROWS($AF$2:AF224),$AF$2:$AF$1001,0),1)&gt;=100000,INDEX($AM$1005:$BM$1005,1,MATCH(COLUMNS($AM$1006:AX1006),$AM$1006:$BM$1006,0))&gt;=100000), " ",IF(INDEX($AM$2:$BM$1001,MATCH(ROWS($AF$2:AF224),$AF$2:$AF$1001,0),MATCH(COLUMNS($AM$1006:AX1006),$AM$1006:$BM$1006,0)), HYPERLINK("#",""), HYPERLINK(CONCATENATE("#metadata!", ADDRESS(INDEX($AH$2:$AH$1001,MATCH(ROWS($AF$2:AF224),$AF$2:$AF$1001,0),0), INDEX($AM$1004:$BM$1004,1,MATCH(COLUMNS($AM$1006:AX1006),$AM$1006:$BM$1006,0)))),"Fix")))</f>
        <v xml:space="preserve"> </v>
      </c>
      <c r="N224" s="4" t="str">
        <f ca="1">IF(OR(INDEX($AG$2:$AG$1001,MATCH(ROWS($AF$2:AF224),$AF$2:$AF$1001,0),1)&gt;=100000,INDEX($AM$1005:$BM$1005,1,MATCH(COLUMNS($AM$1006:AY1006),$AM$1006:$BM$1006,0))&gt;=100000), " ",IF(INDEX($AM$2:$BM$1001,MATCH(ROWS($AF$2:AF224),$AF$2:$AF$1001,0),MATCH(COLUMNS($AM$1006:AY1006),$AM$1006:$BM$1006,0)), HYPERLINK("#",""), HYPERLINK(CONCATENATE("#metadata!", ADDRESS(INDEX($AH$2:$AH$1001,MATCH(ROWS($AF$2:AF224),$AF$2:$AF$1001,0),0), INDEX($AM$1004:$BM$1004,1,MATCH(COLUMNS($AM$1006:AY1006),$AM$1006:$BM$1006,0)))),"Fix")))</f>
        <v xml:space="preserve"> </v>
      </c>
      <c r="O224" s="4" t="str">
        <f ca="1">IF(OR(INDEX($AG$2:$AG$1001,MATCH(ROWS($AF$2:AF224),$AF$2:$AF$1001,0),1)&gt;=100000,INDEX($AM$1005:$BM$1005,1,MATCH(COLUMNS($AM$1006:AZ1006),$AM$1006:$BM$1006,0))&gt;=100000), " ",IF(INDEX($AM$2:$BM$1001,MATCH(ROWS($AF$2:AF224),$AF$2:$AF$1001,0),MATCH(COLUMNS($AM$1006:AZ1006),$AM$1006:$BM$1006,0)), HYPERLINK("#",""), HYPERLINK(CONCATENATE("#metadata!", ADDRESS(INDEX($AH$2:$AH$1001,MATCH(ROWS($AF$2:AF224),$AF$2:$AF$1001,0),0), INDEX($AM$1004:$BM$1004,1,MATCH(COLUMNS($AM$1006:AZ1006),$AM$1006:$BM$1006,0)))),"Fix")))</f>
        <v xml:space="preserve"> </v>
      </c>
      <c r="P224" s="4" t="str">
        <f ca="1">IF(OR(INDEX($AG$2:$AG$1001,MATCH(ROWS($AF$2:AF224),$AF$2:$AF$1001,0),1)&gt;=100000,INDEX($AM$1005:$BM$1005,1,MATCH(COLUMNS($AM$1006:BA1006),$AM$1006:$BM$1006,0))&gt;=100000), " ",IF(INDEX($AM$2:$BM$1001,MATCH(ROWS($AF$2:AF224),$AF$2:$AF$1001,0),MATCH(COLUMNS($AM$1006:BA1006),$AM$1006:$BM$1006,0)), HYPERLINK("#",""), HYPERLINK(CONCATENATE("#metadata!", ADDRESS(INDEX($AH$2:$AH$1001,MATCH(ROWS($AF$2:AF224),$AF$2:$AF$1001,0),0), INDEX($AM$1004:$BM$1004,1,MATCH(COLUMNS($AM$1006:BA1006),$AM$1006:$BM$1006,0)))),"Fix")))</f>
        <v xml:space="preserve"> </v>
      </c>
      <c r="Q224" s="4" t="str">
        <f ca="1">IF(OR(INDEX($AG$2:$AG$1001,MATCH(ROWS($AF$2:AF224),$AF$2:$AF$1001,0),1)&gt;=100000,INDEX($AM$1005:$BM$1005,1,MATCH(COLUMNS($AM$1006:BB1006),$AM$1006:$BM$1006,0))&gt;=100000), " ",IF(INDEX($AM$2:$BM$1001,MATCH(ROWS($AF$2:AF224),$AF$2:$AF$1001,0),MATCH(COLUMNS($AM$1006:BB1006),$AM$1006:$BM$1006,0)), HYPERLINK("#",""), HYPERLINK(CONCATENATE("#metadata!", ADDRESS(INDEX($AH$2:$AH$1001,MATCH(ROWS($AF$2:AF224),$AF$2:$AF$1001,0),0), INDEX($AM$1004:$BM$1004,1,MATCH(COLUMNS($AM$1006:BB1006),$AM$1006:$BM$1006,0)))),"Fix")))</f>
        <v xml:space="preserve"> </v>
      </c>
      <c r="R224" s="4" t="str">
        <f ca="1">IF(OR(INDEX($AG$2:$AG$1001,MATCH(ROWS($AF$2:AF224),$AF$2:$AF$1001,0),1)&gt;=100000,INDEX($AM$1005:$BM$1005,1,MATCH(COLUMNS($AM$1006:BC1006),$AM$1006:$BM$1006,0))&gt;=100000), " ",IF(INDEX($AM$2:$BM$1001,MATCH(ROWS($AF$2:AF224),$AF$2:$AF$1001,0),MATCH(COLUMNS($AM$1006:BC1006),$AM$1006:$BM$1006,0)), HYPERLINK("#",""), HYPERLINK(CONCATENATE("#metadata!", ADDRESS(INDEX($AH$2:$AH$1001,MATCH(ROWS($AF$2:AF224),$AF$2:$AF$1001,0),0), INDEX($AM$1004:$BM$1004,1,MATCH(COLUMNS($AM$1006:BC1006),$AM$1006:$BM$1006,0)))),"Fix")))</f>
        <v xml:space="preserve"> </v>
      </c>
      <c r="S224" s="4" t="str">
        <f ca="1">IF(OR(INDEX($AG$2:$AG$1001,MATCH(ROWS($AF$2:AF224),$AF$2:$AF$1001,0),1)&gt;=100000,INDEX($AM$1005:$BM$1005,1,MATCH(COLUMNS($AM$1006:BD1006),$AM$1006:$BM$1006,0))&gt;=100000), " ",IF(INDEX($AM$2:$BM$1001,MATCH(ROWS($AF$2:AF224),$AF$2:$AF$1001,0),MATCH(COLUMNS($AM$1006:BD1006),$AM$1006:$BM$1006,0)), HYPERLINK("#",""), HYPERLINK(CONCATENATE("#metadata!", ADDRESS(INDEX($AH$2:$AH$1001,MATCH(ROWS($AF$2:AF224),$AF$2:$AF$1001,0),0), INDEX($AM$1004:$BM$1004,1,MATCH(COLUMNS($AM$1006:BD1006),$AM$1006:$BM$1006,0)))),"Fix")))</f>
        <v xml:space="preserve"> </v>
      </c>
      <c r="T224" s="4" t="str">
        <f ca="1">IF(OR(INDEX($AG$2:$AG$1001,MATCH(ROWS($AF$2:AF224),$AF$2:$AF$1001,0),1)&gt;=100000,INDEX($AM$1005:$BM$1005,1,MATCH(COLUMNS($AM$1006:BE1006),$AM$1006:$BM$1006,0))&gt;=100000), " ",IF(INDEX($AM$2:$BM$1001,MATCH(ROWS($AF$2:AF224),$AF$2:$AF$1001,0),MATCH(COLUMNS($AM$1006:BE1006),$AM$1006:$BM$1006,0)), HYPERLINK("#",""), HYPERLINK(CONCATENATE("#metadata!", ADDRESS(INDEX($AH$2:$AH$1001,MATCH(ROWS($AF$2:AF224),$AF$2:$AF$1001,0),0), INDEX($AM$1004:$BM$1004,1,MATCH(COLUMNS($AM$1006:BE1006),$AM$1006:$BM$1006,0)))),"Fix")))</f>
        <v xml:space="preserve"> </v>
      </c>
      <c r="U224" s="4" t="str">
        <f ca="1">IF(OR(INDEX($AG$2:$AG$1001,MATCH(ROWS($AF$2:AF224),$AF$2:$AF$1001,0),1)&gt;=100000,INDEX($AM$1005:$BM$1005,1,MATCH(COLUMNS($AM$1006:BF1006),$AM$1006:$BM$1006,0))&gt;=100000), " ",IF(INDEX($AM$2:$BM$1001,MATCH(ROWS($AF$2:AF224),$AF$2:$AF$1001,0),MATCH(COLUMNS($AM$1006:BF1006),$AM$1006:$BM$1006,0)), HYPERLINK("#",""), HYPERLINK(CONCATENATE("#metadata!", ADDRESS(INDEX($AH$2:$AH$1001,MATCH(ROWS($AF$2:AF224),$AF$2:$AF$1001,0),0), INDEX($AM$1004:$BM$1004,1,MATCH(COLUMNS($AM$1006:BF1006),$AM$1006:$BM$1006,0)))),"Fix")))</f>
        <v xml:space="preserve"> </v>
      </c>
      <c r="V224" s="4" t="str">
        <f ca="1">IF(OR(INDEX($AG$2:$AG$1001,MATCH(ROWS($AF$2:AF224),$AF$2:$AF$1001,0),1)&gt;=100000,INDEX($AM$1005:$BM$1005,1,MATCH(COLUMNS($AM$1006:BG1006),$AM$1006:$BM$1006,0))&gt;=100000), " ",IF(INDEX($AM$2:$BM$1001,MATCH(ROWS($AF$2:AF224),$AF$2:$AF$1001,0),MATCH(COLUMNS($AM$1006:BG1006),$AM$1006:$BM$1006,0)), HYPERLINK("#",""), HYPERLINK(CONCATENATE("#metadata!", ADDRESS(INDEX($AH$2:$AH$1001,MATCH(ROWS($AF$2:AF224),$AF$2:$AF$1001,0),0), INDEX($AM$1004:$BM$1004,1,MATCH(COLUMNS($AM$1006:BG1006),$AM$1006:$BM$1006,0)))),"Fix")))</f>
        <v xml:space="preserve"> </v>
      </c>
      <c r="W224" s="4" t="str">
        <f ca="1">IF(OR(INDEX($AG$2:$AG$1001,MATCH(ROWS($AF$2:AF224),$AF$2:$AF$1001,0),1)&gt;=100000,INDEX($AM$1005:$BM$1005,1,MATCH(COLUMNS($AM$1006:BH1006),$AM$1006:$BM$1006,0))&gt;=100000), " ",IF(INDEX($AM$2:$BM$1001,MATCH(ROWS($AF$2:AF224),$AF$2:$AF$1001,0),MATCH(COLUMNS($AM$1006:BH1006),$AM$1006:$BM$1006,0)), HYPERLINK("#",""), HYPERLINK(CONCATENATE("#metadata!", ADDRESS(INDEX($AH$2:$AH$1001,MATCH(ROWS($AF$2:AF224),$AF$2:$AF$1001,0),0), INDEX($AM$1004:$BM$1004,1,MATCH(COLUMNS($AM$1006:BH1006),$AM$1006:$BM$1006,0)))),"Fix")))</f>
        <v xml:space="preserve"> </v>
      </c>
      <c r="X224" s="4" t="str">
        <f ca="1">IF(OR(INDEX($AG$2:$AG$1001,MATCH(ROWS($AF$2:AF224),$AF$2:$AF$1001,0),1)&gt;=100000,INDEX($AM$1005:$BM$1005,1,MATCH(COLUMNS($AM$1006:BI1006),$AM$1006:$BM$1006,0))&gt;=100000), " ",IF(INDEX($AM$2:$BM$1001,MATCH(ROWS($AF$2:AF224),$AF$2:$AF$1001,0),MATCH(COLUMNS($AM$1006:BI1006),$AM$1006:$BM$1006,0)), HYPERLINK("#",""), HYPERLINK(CONCATENATE("#metadata!", ADDRESS(INDEX($AH$2:$AH$1001,MATCH(ROWS($AF$2:AF224),$AF$2:$AF$1001,0),0), INDEX($AM$1004:$BM$1004,1,MATCH(COLUMNS($AM$1006:BI1006),$AM$1006:$BM$1006,0)))),"Fix")))</f>
        <v xml:space="preserve"> </v>
      </c>
      <c r="Y224" s="4" t="str">
        <f ca="1">IF(OR(INDEX($AG$2:$AG$1001,MATCH(ROWS($AF$2:AF224),$AF$2:$AF$1001,0),1)&gt;=100000,INDEX($AM$1005:$BM$1005,1,MATCH(COLUMNS($AM$1006:BJ1006),$AM$1006:$BM$1006,0))&gt;=100000), " ",IF(INDEX($AM$2:$BM$1001,MATCH(ROWS($AF$2:AF224),$AF$2:$AF$1001,0),MATCH(COLUMNS($AM$1006:BJ1006),$AM$1006:$BM$1006,0)), HYPERLINK("#",""), HYPERLINK(CONCATENATE("#metadata!", ADDRESS(INDEX($AH$2:$AH$1001,MATCH(ROWS($AF$2:AF224),$AF$2:$AF$1001,0),0), INDEX($AM$1004:$BM$1004,1,MATCH(COLUMNS($AM$1006:BJ1006),$AM$1006:$BM$1006,0)))),"Fix")))</f>
        <v xml:space="preserve"> </v>
      </c>
      <c r="Z224" s="4" t="str">
        <f ca="1">IF(OR(INDEX($AG$2:$AG$1001,MATCH(ROWS($AF$2:AF224),$AF$2:$AF$1001,0),1)&gt;=100000,INDEX($AM$1005:$BM$1005,1,MATCH(COLUMNS($AM$1006:BK1006),$AM$1006:$BM$1006,0))&gt;=100000), " ",IF(INDEX($AM$2:$BM$1001,MATCH(ROWS($AF$2:AF224),$AF$2:$AF$1001,0),MATCH(COLUMNS($AM$1006:BK1006),$AM$1006:$BM$1006,0)), HYPERLINK("#",""), HYPERLINK(CONCATENATE("#metadata!", ADDRESS(INDEX($AH$2:$AH$1001,MATCH(ROWS($AF$2:AF224),$AF$2:$AF$1001,0),0), INDEX($AM$1004:$BM$1004,1,MATCH(COLUMNS($AM$1006:BK1006),$AM$1006:$BM$1006,0)))),"Fix")))</f>
        <v xml:space="preserve"> </v>
      </c>
      <c r="AA224" s="4" t="str">
        <f ca="1">IF(OR(INDEX($AG$2:$AG$1001,MATCH(ROWS($AF$2:AF224),$AF$2:$AF$1001,0),1)&gt;=100000,INDEX($AM$1005:$BM$1005,1,MATCH(COLUMNS($AM$1006:BL1006),$AM$1006:$BM$1006,0))&gt;=100000), " ",IF(INDEX($AM$2:$BM$1001,MATCH(ROWS($AF$2:AF224),$AF$2:$AF$1001,0),MATCH(COLUMNS($AM$1006:BL1006),$AM$1006:$BM$1006,0)), HYPERLINK("#",""), HYPERLINK(CONCATENATE("#metadata!", ADDRESS(INDEX($AH$2:$AH$1001,MATCH(ROWS($AF$2:AF224),$AF$2:$AF$1001,0),0), INDEX($AM$1004:$BM$1004,1,MATCH(COLUMNS($AM$1006:BL1006),$AM$1006:$BM$1006,0)))),"Fix")))</f>
        <v xml:space="preserve"> </v>
      </c>
      <c r="AB224" s="4" t="str">
        <f ca="1">IF(OR(INDEX($AG$2:$AG$1001,MATCH(ROWS($AF$2:AF224),$AF$2:$AF$1001,0),1)&gt;=100000,INDEX($AM$1005:$BM$1005,1,MATCH(COLUMNS($AM$1006:BM1006),$AM$1006:$BM$1006,0))&gt;=100000), " ",IF(INDEX($AM$2:$BM$1001,MATCH(ROWS($AF$2:AF224),$AF$2:$AF$1001,0),MATCH(COLUMNS($AM$1006:BM1006),$AM$1006:$BM$1006,0)), HYPERLINK("#",""), HYPERLINK(CONCATENATE("#metadata!", ADDRESS(INDEX($AH$2:$AH$1001,MATCH(ROWS($AF$2:AF224),$AF$2:$AF$1001,0),0), INDEX($AM$1004:$BM$1004,1,MATCH(COLUMNS($AM$1006:BM1006),$AM$1006:$BM$1006,0)))),"Fix")))</f>
        <v xml:space="preserve"> </v>
      </c>
      <c r="AF224">
        <v>223</v>
      </c>
      <c r="AG224">
        <v>100224</v>
      </c>
      <c r="AH224">
        <v>224</v>
      </c>
      <c r="AI224" t="b">
        <f t="shared" si="3"/>
        <v>1</v>
      </c>
      <c r="AJ224" t="b">
        <f>COUNTBLANK(metadata!B224:AB224)=COLUMNS(metadata!B224:AB224)</f>
        <v>1</v>
      </c>
      <c r="AK224" t="str">
        <v/>
      </c>
      <c r="AM224" t="b">
        <f ca="1">AND(IF(metadata!B224="",FALSE,TRUE),COUNTIF(metadata!B:B, metadata!B224) = 1,NOT(ISERROR(SUMPRODUCT(SEARCH(MID(metadata!B224,ROW(INDIRECT("1:"&amp;LEN(metadata!B224))), 1),"0123456789abcdefghijklmnopqrstuvwxyzABCDEFGHIJKLMNOPQRSTUVWXYZ.")))))</f>
        <v>0</v>
      </c>
      <c r="AN224" t="b">
        <f ca="1">OR(AND(IF(metadata!C224="",FALSE,TRUE),OR(EXACT(metadata!C224,"missing: not collected"),EXACT(metadata!C224,"missing: not provided"),EXACT(metadata!C224,"missing: restricted access"))),AND(IF(metadata!C224="",FALSE,TRUE),AND(AND(IFERROR(INT(LEFT(metadata!C224,4))&gt;1900,FALSE),IFERROR(INT(LEFT(metadata!C224,4))&lt;=YEAR(NOW()),FALSE)), OR(MID(metadata!C224,5,1)="", AND(AND(MID(metadata!C224,5,1)="-",IFERROR(INT(MID(metadata!C224,6,1))&gt;=0,FALSE),IFERROR(INT(MID(metadata!C224,6,1))&lt;=1,FALSE),NOT(MID(metadata!C224,7,1)=""),IFERROR(INT(MID(metadata!C224,6,2))&gt;=1,FALSE),IFERROR(INT(MID(metadata!C224,6,2))&lt;=12,FALSE)), OR(MID(metadata!C224,8,1)="", AND(AND(MID(metadata!C224,8,1)="-",IFERROR(INT(MID(metadata!C224,9,1))&gt;=0,FALSE),IFERROR(INT(MID(metadata!C224,9,1))&lt;=3,FALSE),NOT(MID(metadata!C224,10,1)=""),IFERROR(INT(MID(metadata!C224,9,2))&gt;=1,FALSE),IFERROR(INT(MID(metadata!C224,9,2))&lt;=31,FALSE)), OR(MID(metadata!C224,11,1)="", AND(AND(MID(metadata!C224,11,1)=" ",IFERROR(INT(MID(metadata!C224,12,1))&gt;=0,FALSE),IFERROR(INT(MID(metadata!C224,12,1))&lt;=2,FALSE),NOT(MID(metadata!C224,13,1)=""),IFERROR(INT(MID(metadata!C224,12,2))&gt;=0,FALSE),IFERROR(INT(MID(metadata!C224,12,2))&lt;=23,FALSE)), OR(MID(metadata!C224,14,1)="", AND(AND(MID(metadata!C224,14,1)=":",IFERROR(INT(MID(metadata!C224,15,1))&gt;=0,FALSE),IFERROR(INT(MID(metadata!C224,15,1))&lt;=5,FALSE),NOT(MID(metadata!C224,16,1)=""),IFERROR(INT(MID(metadata!C224,15,2))&gt;=0,FALSE),IFERROR(INT(MID(metadata!C224,15,2))&lt;=59,FALSE)), OR(MID(metadata!C224,17,1)="", AND(AND(MID(metadata!C224,17,1)=":",IFERROR(INT(MID(metadata!C224,18,1))&gt;=0,FALSE),IFERROR(INT(MID(metadata!C224,18,1))&lt;=5,FALSE),NOT(MID(metadata!C224,19,1)=""),IFERROR(INT(MID(metadata!C224,18,2))&gt;=0,FALSE),IFERROR(INT(MID(metadata!C224,18,2))&lt;=59,FALSE)), LEN(metadata!C224)&lt;=19)))))))))))))</f>
        <v>0</v>
      </c>
      <c r="AO224" t="b">
        <f>AND(IF(metadata!D224="",FALSE,TRUE),EXACT(metadata!D224,"Not applicable"))</f>
        <v>0</v>
      </c>
      <c r="AP224" t="b">
        <f>IF(metadata!E224="",FALSE,TRUE)</f>
        <v>0</v>
      </c>
      <c r="AQ224" t="b">
        <f>OR(AND(IF(metadata!F224="",FALSE,TRUE),OR(EXACT(metadata!F224,"missing: not collected"),EXACT(metadata!F224,"missing: not provided"))),AND(IF(metadata!F224="",FALSE,TRUE),OR(EXACT(metadata!F224,"TRUE"),EXACT(metadata!F224,"FALSE"))))</f>
        <v>0</v>
      </c>
      <c r="AR224" t="b">
        <f>OR(AND(IF(metadata!G224="",FALSE,TRUE),OR(EXACT(metadata!G224,"missing: not collected"),EXACT(metadata!G224,"missing: not provided"),EXACT(metadata!G224,"missing: restricted access"))),AND(IF(metadata!G224="",FALSE,ISNUMBER(VALUE(metadata!G224))),metadata!G224&gt;=-413))</f>
        <v>0</v>
      </c>
      <c r="AS224" t="b">
        <f>AND(IF(metadata!H224="",FALSE,TRUE),EXACT(metadata!H224,"meters"))</f>
        <v>0</v>
      </c>
      <c r="AT224" t="b">
        <f>AND(IF(metadata!I224="",FALSE,TRUE),OR(EXACT(metadata!I224,"Host-associated"),EXACT(metadata!I224,"Free-living")))</f>
        <v>0</v>
      </c>
      <c r="AU224" t="b">
        <f>AND(IF(metadata!J224="",FALSE,TRUE),OR(EXACT(metadata!J224,"Animal"),EXACT(metadata!J224,"Fungus"),EXACT(metadata!J224,"Plant"),EXACT(metadata!J224,"Saline"),EXACT(metadata!J224,"Non-saline")))</f>
        <v>0</v>
      </c>
      <c r="AV224" t="b">
        <f>AND(IF(metadata!K224="",FALSE,TRUE),OR(EXACT(metadata!K224,"Plant secretion"),EXACT(metadata!K224,"Plant rhizosphere"),EXACT(metadata!K224,"Plant surface"),EXACT(metadata!K224,"Plant corpus"),EXACT(metadata!K224,"Fungus surface"),EXACT(metadata!K224,"Fungus corpus"),EXACT(metadata!K224,"Animal surface"),EXACT(metadata!K224,"Animal proximal gut"),EXACT(metadata!K224,"Animal corpus"),EXACT(metadata!K224,"Animal distal gut"),EXACT(metadata!K224,"Animal secretion"),EXACT(metadata!K224,"Sub-surface (non-saline)"),EXACT(metadata!K224,"Surface (non-saline)"),EXACT(metadata!K224,"Water (non-saline)"),EXACT(metadata!K224,"Soil (non-saline)"),EXACT(metadata!K224,"Aerosol (non-saline)"),EXACT(metadata!K224,"Sediment (non-saline)"),EXACT(metadata!K224,"Surface (saline)"),EXACT(metadata!K224,"Water (saline)"),EXACT(metadata!K224,"Hypersaline (saline)"),EXACT(metadata!K224,"Aerosol (saline)"),EXACT(metadata!K224,"Sediment (saline)")))</f>
        <v>0</v>
      </c>
      <c r="AW224" t="b">
        <f>IF(metadata!L224="",FALSE,TRUE)</f>
        <v>0</v>
      </c>
      <c r="AX224" t="b">
        <f>IF(metadata!M224="",FALSE,TRUE)</f>
        <v>0</v>
      </c>
      <c r="AY224" t="b">
        <f>IF(metadata!N224="",FALSE,TRUE)</f>
        <v>0</v>
      </c>
      <c r="AZ224" t="b">
        <f>OR(AND(IF(metadata!O224="",FALSE,TRUE),OR(EXACT(metadata!O224,"missing: not collected"),EXACT(metadata!O224,"missing: not provided"),EXACT(metadata!O224,"missing: restricted access"))),AND(IF(metadata!O224="",FALSE,TRUE),OR(EXACT(metadata!O224,"air"),EXACT(metadata!O224,"built environment"),EXACT(metadata!O224,"host-associated"),EXACT(metadata!O224,"human-associated"),EXACT(metadata!O224,"human-skin"),EXACT(metadata!O224,"human-oral"),EXACT(metadata!O224,"human-gut"),EXACT(metadata!O224,"human-vaginal"),EXACT(metadata!O224,"microbial mat/biofilm"),EXACT(metadata!O224,"misc environment"),EXACT(metadata!O224,"plant-associated"),EXACT(metadata!O224,"sediment"),EXACT(metadata!O224,"soil"),EXACT(metadata!O224,"wastewater/sludge"),EXACT(metadata!O224,"water"))))</f>
        <v>0</v>
      </c>
      <c r="BA224" t="b">
        <f>IF(metadata!P224="",FALSE,TRUE)</f>
        <v>0</v>
      </c>
      <c r="BB224" t="b">
        <f>IF(metadata!Q224="",FALSE,TRUE)</f>
        <v>0</v>
      </c>
      <c r="BC224" t="b">
        <f>OR(AND(IF(metadata!R224="",FALSE,TRUE),OR(EXACT(metadata!R224,"missing: not collected"),EXACT(metadata!R224,"missing: not provided"),EXACT(metadata!R224,"missing: restricted access"))),AND(IF(metadata!R224="",FALSE,ISNUMBER(VALUE(metadata!R224))),metadata!R224&gt;=-90,metadata!R224&lt;=90))</f>
        <v>0</v>
      </c>
      <c r="BD224" t="b">
        <f>AND(IF(metadata!S224="",FALSE,TRUE),EXACT(metadata!S224,"Decimal degrees"))</f>
        <v>0</v>
      </c>
      <c r="BE224" t="b">
        <f>OR(AND(IF(metadata!T224="",FALSE,TRUE),OR(EXACT(metadata!T224,"missing: not collected"),EXACT(metadata!T224,"missing: not provided"),EXACT(metadata!T224,"missing: restricted access"))),AND(IF(metadata!T224="",FALSE,ISNUMBER(VALUE(metadata!T224))),metadata!T224&gt;=-180,metadata!T224&lt;=180))</f>
        <v>0</v>
      </c>
      <c r="BF224" t="b">
        <f>AND(IF(metadata!U224="",FALSE,TRUE),EXACT(metadata!U224,"Decimal degrees"))</f>
        <v>0</v>
      </c>
      <c r="BG224" t="b">
        <f>IF(metadata!V224="",FALSE,TRUE)</f>
        <v>0</v>
      </c>
      <c r="BH224" t="b">
        <f>OR(AND(IF(metadata!W224="",FALSE,TRUE),OR(EXACT(metadata!W224,"missing: not collected"),EXACT(metadata!W224,"missing: not provided"),EXACT(metadata!W224,"missing: restricted access"))),AND(IF(metadata!W224="",FALSE,TRUE),OR(EXACT(metadata!W224,"TRUE"),EXACT(metadata!W224,"FALSE"))))</f>
        <v>0</v>
      </c>
      <c r="BI224" t="b">
        <f>AND(IF(metadata!X224="",FALSE,TRUE),EXACT(metadata!X224,"other"))</f>
        <v>0</v>
      </c>
      <c r="BJ224" t="b">
        <f>IF(metadata!Y224="",FALSE,TRUE)</f>
        <v>0</v>
      </c>
      <c r="BK224" t="b">
        <f>OR(AND(IF(metadata!Z224="",FALSE,TRUE),OR(EXACT(metadata!Z224,"missing: not collected"),EXACT(metadata!Z224,"missing: not provided"))),AND(IF(metadata!Z224="",FALSE,IF(ISERROR(INT(metadata!Z224)),FALSE,INT(metadata!Z224)=metadata!Z224)),metadata!Z224&gt;0))</f>
        <v>0</v>
      </c>
      <c r="BL224" t="b">
        <f>AND(IF(metadata!AA224="",FALSE,TRUE),EXACT(metadata!AA224,"Not applicable"))</f>
        <v>0</v>
      </c>
      <c r="BM224" t="b">
        <f>IF(metadata!AB224="",FALSE,TRUE)</f>
        <v>0</v>
      </c>
    </row>
    <row r="225" spans="1:65" x14ac:dyDescent="0.2">
      <c r="A225" s="5" t="str">
        <f ca="1">IF(B225=" "," ",HYPERLINK(CONCATENATE("#metadata!",ADDRESS(INDEX($AH$2:$AH$1001,MATCH(ROWS($AF$2:AF225),$AF$2:$AF$1001,0),0),1)),INDEX($AK$2:$AK$1001,MATCH(ROWS($AF$2:AF225),$AF$2:$AF$1001,0),0)))</f>
        <v xml:space="preserve"> </v>
      </c>
      <c r="B225" s="4" t="str">
        <f ca="1">IF(OR(INDEX($AG$2:$AG$1001,MATCH(ROWS($AF$2:AF225),$AF$2:$AF$1001,0),1)&gt;=100000,INDEX($AM$1005:$BM$1005,1,MATCH(COLUMNS($AM$1006:AM1006),$AM$1006:$BM$1006,0))&gt;=100000), " ",IF(INDEX($AM$2:$BM$1001,MATCH(ROWS($AF$2:AF225),$AF$2:$AF$1001,0),MATCH(COLUMNS($AM$1006:AM1006),$AM$1006:$BM$1006,0)), HYPERLINK("#",""), HYPERLINK(CONCATENATE("#metadata!", ADDRESS(INDEX($AH$2:$AH$1001,MATCH(ROWS($AF$2:AF225),$AF$2:$AF$1001,0),0), INDEX($AM$1004:$BM$1004,1,MATCH(COLUMNS($AM$1006:AM1006),$AM$1006:$BM$1006,0)))),"Fix")))</f>
        <v xml:space="preserve"> </v>
      </c>
      <c r="C225" s="4" t="str">
        <f ca="1">IF(OR(INDEX($AG$2:$AG$1001,MATCH(ROWS($AF$2:AF225),$AF$2:$AF$1001,0),1)&gt;=100000,INDEX($AM$1005:$BM$1005,1,MATCH(COLUMNS($AM$1006:AN1006),$AM$1006:$BM$1006,0))&gt;=100000), " ",IF(INDEX($AM$2:$BM$1001,MATCH(ROWS($AF$2:AF225),$AF$2:$AF$1001,0),MATCH(COLUMNS($AM$1006:AN1006),$AM$1006:$BM$1006,0)), HYPERLINK("#",""), HYPERLINK(CONCATENATE("#metadata!", ADDRESS(INDEX($AH$2:$AH$1001,MATCH(ROWS($AF$2:AF225),$AF$2:$AF$1001,0),0), INDEX($AM$1004:$BM$1004,1,MATCH(COLUMNS($AM$1006:AN1006),$AM$1006:$BM$1006,0)))),"Fix")))</f>
        <v xml:space="preserve"> </v>
      </c>
      <c r="D225" s="4" t="str">
        <f ca="1">IF(OR(INDEX($AG$2:$AG$1001,MATCH(ROWS($AF$2:AF225),$AF$2:$AF$1001,0),1)&gt;=100000,INDEX($AM$1005:$BM$1005,1,MATCH(COLUMNS($AM$1006:AO1006),$AM$1006:$BM$1006,0))&gt;=100000), " ",IF(INDEX($AM$2:$BM$1001,MATCH(ROWS($AF$2:AF225),$AF$2:$AF$1001,0),MATCH(COLUMNS($AM$1006:AO1006),$AM$1006:$BM$1006,0)), HYPERLINK("#",""), HYPERLINK(CONCATENATE("#metadata!", ADDRESS(INDEX($AH$2:$AH$1001,MATCH(ROWS($AF$2:AF225),$AF$2:$AF$1001,0),0), INDEX($AM$1004:$BM$1004,1,MATCH(COLUMNS($AM$1006:AO1006),$AM$1006:$BM$1006,0)))),"Fix")))</f>
        <v xml:space="preserve"> </v>
      </c>
      <c r="E225" s="4" t="str">
        <f ca="1">IF(OR(INDEX($AG$2:$AG$1001,MATCH(ROWS($AF$2:AF225),$AF$2:$AF$1001,0),1)&gt;=100000,INDEX($AM$1005:$BM$1005,1,MATCH(COLUMNS($AM$1006:AP1006),$AM$1006:$BM$1006,0))&gt;=100000), " ",IF(INDEX($AM$2:$BM$1001,MATCH(ROWS($AF$2:AF225),$AF$2:$AF$1001,0),MATCH(COLUMNS($AM$1006:AP1006),$AM$1006:$BM$1006,0)), HYPERLINK("#",""), HYPERLINK(CONCATENATE("#metadata!", ADDRESS(INDEX($AH$2:$AH$1001,MATCH(ROWS($AF$2:AF225),$AF$2:$AF$1001,0),0), INDEX($AM$1004:$BM$1004,1,MATCH(COLUMNS($AM$1006:AP1006),$AM$1006:$BM$1006,0)))),"Fix")))</f>
        <v xml:space="preserve"> </v>
      </c>
      <c r="F225" s="4" t="str">
        <f ca="1">IF(OR(INDEX($AG$2:$AG$1001,MATCH(ROWS($AF$2:AF225),$AF$2:$AF$1001,0),1)&gt;=100000,INDEX($AM$1005:$BM$1005,1,MATCH(COLUMNS($AM$1006:AQ1006),$AM$1006:$BM$1006,0))&gt;=100000), " ",IF(INDEX($AM$2:$BM$1001,MATCH(ROWS($AF$2:AF225),$AF$2:$AF$1001,0),MATCH(COLUMNS($AM$1006:AQ1006),$AM$1006:$BM$1006,0)), HYPERLINK("#",""), HYPERLINK(CONCATENATE("#metadata!", ADDRESS(INDEX($AH$2:$AH$1001,MATCH(ROWS($AF$2:AF225),$AF$2:$AF$1001,0),0), INDEX($AM$1004:$BM$1004,1,MATCH(COLUMNS($AM$1006:AQ1006),$AM$1006:$BM$1006,0)))),"Fix")))</f>
        <v xml:space="preserve"> </v>
      </c>
      <c r="G225" s="4" t="str">
        <f ca="1">IF(OR(INDEX($AG$2:$AG$1001,MATCH(ROWS($AF$2:AF225),$AF$2:$AF$1001,0),1)&gt;=100000,INDEX($AM$1005:$BM$1005,1,MATCH(COLUMNS($AM$1006:AR1006),$AM$1006:$BM$1006,0))&gt;=100000), " ",IF(INDEX($AM$2:$BM$1001,MATCH(ROWS($AF$2:AF225),$AF$2:$AF$1001,0),MATCH(COLUMNS($AM$1006:AR1006),$AM$1006:$BM$1006,0)), HYPERLINK("#",""), HYPERLINK(CONCATENATE("#metadata!", ADDRESS(INDEX($AH$2:$AH$1001,MATCH(ROWS($AF$2:AF225),$AF$2:$AF$1001,0),0), INDEX($AM$1004:$BM$1004,1,MATCH(COLUMNS($AM$1006:AR1006),$AM$1006:$BM$1006,0)))),"Fix")))</f>
        <v xml:space="preserve"> </v>
      </c>
      <c r="H225" s="4" t="str">
        <f ca="1">IF(OR(INDEX($AG$2:$AG$1001,MATCH(ROWS($AF$2:AF225),$AF$2:$AF$1001,0),1)&gt;=100000,INDEX($AM$1005:$BM$1005,1,MATCH(COLUMNS($AM$1006:AS1006),$AM$1006:$BM$1006,0))&gt;=100000), " ",IF(INDEX($AM$2:$BM$1001,MATCH(ROWS($AF$2:AF225),$AF$2:$AF$1001,0),MATCH(COLUMNS($AM$1006:AS1006),$AM$1006:$BM$1006,0)), HYPERLINK("#",""), HYPERLINK(CONCATENATE("#metadata!", ADDRESS(INDEX($AH$2:$AH$1001,MATCH(ROWS($AF$2:AF225),$AF$2:$AF$1001,0),0), INDEX($AM$1004:$BM$1004,1,MATCH(COLUMNS($AM$1006:AS1006),$AM$1006:$BM$1006,0)))),"Fix")))</f>
        <v xml:space="preserve"> </v>
      </c>
      <c r="I225" s="4" t="str">
        <f ca="1">IF(OR(INDEX($AG$2:$AG$1001,MATCH(ROWS($AF$2:AF225),$AF$2:$AF$1001,0),1)&gt;=100000,INDEX($AM$1005:$BM$1005,1,MATCH(COLUMNS($AM$1006:AT1006),$AM$1006:$BM$1006,0))&gt;=100000), " ",IF(INDEX($AM$2:$BM$1001,MATCH(ROWS($AF$2:AF225),$AF$2:$AF$1001,0),MATCH(COLUMNS($AM$1006:AT1006),$AM$1006:$BM$1006,0)), HYPERLINK("#",""), HYPERLINK(CONCATENATE("#metadata!", ADDRESS(INDEX($AH$2:$AH$1001,MATCH(ROWS($AF$2:AF225),$AF$2:$AF$1001,0),0), INDEX($AM$1004:$BM$1004,1,MATCH(COLUMNS($AM$1006:AT1006),$AM$1006:$BM$1006,0)))),"Fix")))</f>
        <v xml:space="preserve"> </v>
      </c>
      <c r="J225" s="4" t="str">
        <f ca="1">IF(OR(INDEX($AG$2:$AG$1001,MATCH(ROWS($AF$2:AF225),$AF$2:$AF$1001,0),1)&gt;=100000,INDEX($AM$1005:$BM$1005,1,MATCH(COLUMNS($AM$1006:AU1006),$AM$1006:$BM$1006,0))&gt;=100000), " ",IF(INDEX($AM$2:$BM$1001,MATCH(ROWS($AF$2:AF225),$AF$2:$AF$1001,0),MATCH(COLUMNS($AM$1006:AU1006),$AM$1006:$BM$1006,0)), HYPERLINK("#",""), HYPERLINK(CONCATENATE("#metadata!", ADDRESS(INDEX($AH$2:$AH$1001,MATCH(ROWS($AF$2:AF225),$AF$2:$AF$1001,0),0), INDEX($AM$1004:$BM$1004,1,MATCH(COLUMNS($AM$1006:AU1006),$AM$1006:$BM$1006,0)))),"Fix")))</f>
        <v xml:space="preserve"> </v>
      </c>
      <c r="K225" s="4" t="str">
        <f ca="1">IF(OR(INDEX($AG$2:$AG$1001,MATCH(ROWS($AF$2:AF225),$AF$2:$AF$1001,0),1)&gt;=100000,INDEX($AM$1005:$BM$1005,1,MATCH(COLUMNS($AM$1006:AV1006),$AM$1006:$BM$1006,0))&gt;=100000), " ",IF(INDEX($AM$2:$BM$1001,MATCH(ROWS($AF$2:AF225),$AF$2:$AF$1001,0),MATCH(COLUMNS($AM$1006:AV1006),$AM$1006:$BM$1006,0)), HYPERLINK("#",""), HYPERLINK(CONCATENATE("#metadata!", ADDRESS(INDEX($AH$2:$AH$1001,MATCH(ROWS($AF$2:AF225),$AF$2:$AF$1001,0),0), INDEX($AM$1004:$BM$1004,1,MATCH(COLUMNS($AM$1006:AV1006),$AM$1006:$BM$1006,0)))),"Fix")))</f>
        <v xml:space="preserve"> </v>
      </c>
      <c r="L225" s="4" t="str">
        <f ca="1">IF(OR(INDEX($AG$2:$AG$1001,MATCH(ROWS($AF$2:AF225),$AF$2:$AF$1001,0),1)&gt;=100000,INDEX($AM$1005:$BM$1005,1,MATCH(COLUMNS($AM$1006:AW1006),$AM$1006:$BM$1006,0))&gt;=100000), " ",IF(INDEX($AM$2:$BM$1001,MATCH(ROWS($AF$2:AF225),$AF$2:$AF$1001,0),MATCH(COLUMNS($AM$1006:AW1006),$AM$1006:$BM$1006,0)), HYPERLINK("#",""), HYPERLINK(CONCATENATE("#metadata!", ADDRESS(INDEX($AH$2:$AH$1001,MATCH(ROWS($AF$2:AF225),$AF$2:$AF$1001,0),0), INDEX($AM$1004:$BM$1004,1,MATCH(COLUMNS($AM$1006:AW1006),$AM$1006:$BM$1006,0)))),"Fix")))</f>
        <v xml:space="preserve"> </v>
      </c>
      <c r="M225" s="4" t="str">
        <f ca="1">IF(OR(INDEX($AG$2:$AG$1001,MATCH(ROWS($AF$2:AF225),$AF$2:$AF$1001,0),1)&gt;=100000,INDEX($AM$1005:$BM$1005,1,MATCH(COLUMNS($AM$1006:AX1006),$AM$1006:$BM$1006,0))&gt;=100000), " ",IF(INDEX($AM$2:$BM$1001,MATCH(ROWS($AF$2:AF225),$AF$2:$AF$1001,0),MATCH(COLUMNS($AM$1006:AX1006),$AM$1006:$BM$1006,0)), HYPERLINK("#",""), HYPERLINK(CONCATENATE("#metadata!", ADDRESS(INDEX($AH$2:$AH$1001,MATCH(ROWS($AF$2:AF225),$AF$2:$AF$1001,0),0), INDEX($AM$1004:$BM$1004,1,MATCH(COLUMNS($AM$1006:AX1006),$AM$1006:$BM$1006,0)))),"Fix")))</f>
        <v xml:space="preserve"> </v>
      </c>
      <c r="N225" s="4" t="str">
        <f ca="1">IF(OR(INDEX($AG$2:$AG$1001,MATCH(ROWS($AF$2:AF225),$AF$2:$AF$1001,0),1)&gt;=100000,INDEX($AM$1005:$BM$1005,1,MATCH(COLUMNS($AM$1006:AY1006),$AM$1006:$BM$1006,0))&gt;=100000), " ",IF(INDEX($AM$2:$BM$1001,MATCH(ROWS($AF$2:AF225),$AF$2:$AF$1001,0),MATCH(COLUMNS($AM$1006:AY1006),$AM$1006:$BM$1006,0)), HYPERLINK("#",""), HYPERLINK(CONCATENATE("#metadata!", ADDRESS(INDEX($AH$2:$AH$1001,MATCH(ROWS($AF$2:AF225),$AF$2:$AF$1001,0),0), INDEX($AM$1004:$BM$1004,1,MATCH(COLUMNS($AM$1006:AY1006),$AM$1006:$BM$1006,0)))),"Fix")))</f>
        <v xml:space="preserve"> </v>
      </c>
      <c r="O225" s="4" t="str">
        <f ca="1">IF(OR(INDEX($AG$2:$AG$1001,MATCH(ROWS($AF$2:AF225),$AF$2:$AF$1001,0),1)&gt;=100000,INDEX($AM$1005:$BM$1005,1,MATCH(COLUMNS($AM$1006:AZ1006),$AM$1006:$BM$1006,0))&gt;=100000), " ",IF(INDEX($AM$2:$BM$1001,MATCH(ROWS($AF$2:AF225),$AF$2:$AF$1001,0),MATCH(COLUMNS($AM$1006:AZ1006),$AM$1006:$BM$1006,0)), HYPERLINK("#",""), HYPERLINK(CONCATENATE("#metadata!", ADDRESS(INDEX($AH$2:$AH$1001,MATCH(ROWS($AF$2:AF225),$AF$2:$AF$1001,0),0), INDEX($AM$1004:$BM$1004,1,MATCH(COLUMNS($AM$1006:AZ1006),$AM$1006:$BM$1006,0)))),"Fix")))</f>
        <v xml:space="preserve"> </v>
      </c>
      <c r="P225" s="4" t="str">
        <f ca="1">IF(OR(INDEX($AG$2:$AG$1001,MATCH(ROWS($AF$2:AF225),$AF$2:$AF$1001,0),1)&gt;=100000,INDEX($AM$1005:$BM$1005,1,MATCH(COLUMNS($AM$1006:BA1006),$AM$1006:$BM$1006,0))&gt;=100000), " ",IF(INDEX($AM$2:$BM$1001,MATCH(ROWS($AF$2:AF225),$AF$2:$AF$1001,0),MATCH(COLUMNS($AM$1006:BA1006),$AM$1006:$BM$1006,0)), HYPERLINK("#",""), HYPERLINK(CONCATENATE("#metadata!", ADDRESS(INDEX($AH$2:$AH$1001,MATCH(ROWS($AF$2:AF225),$AF$2:$AF$1001,0),0), INDEX($AM$1004:$BM$1004,1,MATCH(COLUMNS($AM$1006:BA1006),$AM$1006:$BM$1006,0)))),"Fix")))</f>
        <v xml:space="preserve"> </v>
      </c>
      <c r="Q225" s="4" t="str">
        <f ca="1">IF(OR(INDEX($AG$2:$AG$1001,MATCH(ROWS($AF$2:AF225),$AF$2:$AF$1001,0),1)&gt;=100000,INDEX($AM$1005:$BM$1005,1,MATCH(COLUMNS($AM$1006:BB1006),$AM$1006:$BM$1006,0))&gt;=100000), " ",IF(INDEX($AM$2:$BM$1001,MATCH(ROWS($AF$2:AF225),$AF$2:$AF$1001,0),MATCH(COLUMNS($AM$1006:BB1006),$AM$1006:$BM$1006,0)), HYPERLINK("#",""), HYPERLINK(CONCATENATE("#metadata!", ADDRESS(INDEX($AH$2:$AH$1001,MATCH(ROWS($AF$2:AF225),$AF$2:$AF$1001,0),0), INDEX($AM$1004:$BM$1004,1,MATCH(COLUMNS($AM$1006:BB1006),$AM$1006:$BM$1006,0)))),"Fix")))</f>
        <v xml:space="preserve"> </v>
      </c>
      <c r="R225" s="4" t="str">
        <f ca="1">IF(OR(INDEX($AG$2:$AG$1001,MATCH(ROWS($AF$2:AF225),$AF$2:$AF$1001,0),1)&gt;=100000,INDEX($AM$1005:$BM$1005,1,MATCH(COLUMNS($AM$1006:BC1006),$AM$1006:$BM$1006,0))&gt;=100000), " ",IF(INDEX($AM$2:$BM$1001,MATCH(ROWS($AF$2:AF225),$AF$2:$AF$1001,0),MATCH(COLUMNS($AM$1006:BC1006),$AM$1006:$BM$1006,0)), HYPERLINK("#",""), HYPERLINK(CONCATENATE("#metadata!", ADDRESS(INDEX($AH$2:$AH$1001,MATCH(ROWS($AF$2:AF225),$AF$2:$AF$1001,0),0), INDEX($AM$1004:$BM$1004,1,MATCH(COLUMNS($AM$1006:BC1006),$AM$1006:$BM$1006,0)))),"Fix")))</f>
        <v xml:space="preserve"> </v>
      </c>
      <c r="S225" s="4" t="str">
        <f ca="1">IF(OR(INDEX($AG$2:$AG$1001,MATCH(ROWS($AF$2:AF225),$AF$2:$AF$1001,0),1)&gt;=100000,INDEX($AM$1005:$BM$1005,1,MATCH(COLUMNS($AM$1006:BD1006),$AM$1006:$BM$1006,0))&gt;=100000), " ",IF(INDEX($AM$2:$BM$1001,MATCH(ROWS($AF$2:AF225),$AF$2:$AF$1001,0),MATCH(COLUMNS($AM$1006:BD1006),$AM$1006:$BM$1006,0)), HYPERLINK("#",""), HYPERLINK(CONCATENATE("#metadata!", ADDRESS(INDEX($AH$2:$AH$1001,MATCH(ROWS($AF$2:AF225),$AF$2:$AF$1001,0),0), INDEX($AM$1004:$BM$1004,1,MATCH(COLUMNS($AM$1006:BD1006),$AM$1006:$BM$1006,0)))),"Fix")))</f>
        <v xml:space="preserve"> </v>
      </c>
      <c r="T225" s="4" t="str">
        <f ca="1">IF(OR(INDEX($AG$2:$AG$1001,MATCH(ROWS($AF$2:AF225),$AF$2:$AF$1001,0),1)&gt;=100000,INDEX($AM$1005:$BM$1005,1,MATCH(COLUMNS($AM$1006:BE1006),$AM$1006:$BM$1006,0))&gt;=100000), " ",IF(INDEX($AM$2:$BM$1001,MATCH(ROWS($AF$2:AF225),$AF$2:$AF$1001,0),MATCH(COLUMNS($AM$1006:BE1006),$AM$1006:$BM$1006,0)), HYPERLINK("#",""), HYPERLINK(CONCATENATE("#metadata!", ADDRESS(INDEX($AH$2:$AH$1001,MATCH(ROWS($AF$2:AF225),$AF$2:$AF$1001,0),0), INDEX($AM$1004:$BM$1004,1,MATCH(COLUMNS($AM$1006:BE1006),$AM$1006:$BM$1006,0)))),"Fix")))</f>
        <v xml:space="preserve"> </v>
      </c>
      <c r="U225" s="4" t="str">
        <f ca="1">IF(OR(INDEX($AG$2:$AG$1001,MATCH(ROWS($AF$2:AF225),$AF$2:$AF$1001,0),1)&gt;=100000,INDEX($AM$1005:$BM$1005,1,MATCH(COLUMNS($AM$1006:BF1006),$AM$1006:$BM$1006,0))&gt;=100000), " ",IF(INDEX($AM$2:$BM$1001,MATCH(ROWS($AF$2:AF225),$AF$2:$AF$1001,0),MATCH(COLUMNS($AM$1006:BF1006),$AM$1006:$BM$1006,0)), HYPERLINK("#",""), HYPERLINK(CONCATENATE("#metadata!", ADDRESS(INDEX($AH$2:$AH$1001,MATCH(ROWS($AF$2:AF225),$AF$2:$AF$1001,0),0), INDEX($AM$1004:$BM$1004,1,MATCH(COLUMNS($AM$1006:BF1006),$AM$1006:$BM$1006,0)))),"Fix")))</f>
        <v xml:space="preserve"> </v>
      </c>
      <c r="V225" s="4" t="str">
        <f ca="1">IF(OR(INDEX($AG$2:$AG$1001,MATCH(ROWS($AF$2:AF225),$AF$2:$AF$1001,0),1)&gt;=100000,INDEX($AM$1005:$BM$1005,1,MATCH(COLUMNS($AM$1006:BG1006),$AM$1006:$BM$1006,0))&gt;=100000), " ",IF(INDEX($AM$2:$BM$1001,MATCH(ROWS($AF$2:AF225),$AF$2:$AF$1001,0),MATCH(COLUMNS($AM$1006:BG1006),$AM$1006:$BM$1006,0)), HYPERLINK("#",""), HYPERLINK(CONCATENATE("#metadata!", ADDRESS(INDEX($AH$2:$AH$1001,MATCH(ROWS($AF$2:AF225),$AF$2:$AF$1001,0),0), INDEX($AM$1004:$BM$1004,1,MATCH(COLUMNS($AM$1006:BG1006),$AM$1006:$BM$1006,0)))),"Fix")))</f>
        <v xml:space="preserve"> </v>
      </c>
      <c r="W225" s="4" t="str">
        <f ca="1">IF(OR(INDEX($AG$2:$AG$1001,MATCH(ROWS($AF$2:AF225),$AF$2:$AF$1001,0),1)&gt;=100000,INDEX($AM$1005:$BM$1005,1,MATCH(COLUMNS($AM$1006:BH1006),$AM$1006:$BM$1006,0))&gt;=100000), " ",IF(INDEX($AM$2:$BM$1001,MATCH(ROWS($AF$2:AF225),$AF$2:$AF$1001,0),MATCH(COLUMNS($AM$1006:BH1006),$AM$1006:$BM$1006,0)), HYPERLINK("#",""), HYPERLINK(CONCATENATE("#metadata!", ADDRESS(INDEX($AH$2:$AH$1001,MATCH(ROWS($AF$2:AF225),$AF$2:$AF$1001,0),0), INDEX($AM$1004:$BM$1004,1,MATCH(COLUMNS($AM$1006:BH1006),$AM$1006:$BM$1006,0)))),"Fix")))</f>
        <v xml:space="preserve"> </v>
      </c>
      <c r="X225" s="4" t="str">
        <f ca="1">IF(OR(INDEX($AG$2:$AG$1001,MATCH(ROWS($AF$2:AF225),$AF$2:$AF$1001,0),1)&gt;=100000,INDEX($AM$1005:$BM$1005,1,MATCH(COLUMNS($AM$1006:BI1006),$AM$1006:$BM$1006,0))&gt;=100000), " ",IF(INDEX($AM$2:$BM$1001,MATCH(ROWS($AF$2:AF225),$AF$2:$AF$1001,0),MATCH(COLUMNS($AM$1006:BI1006),$AM$1006:$BM$1006,0)), HYPERLINK("#",""), HYPERLINK(CONCATENATE("#metadata!", ADDRESS(INDEX($AH$2:$AH$1001,MATCH(ROWS($AF$2:AF225),$AF$2:$AF$1001,0),0), INDEX($AM$1004:$BM$1004,1,MATCH(COLUMNS($AM$1006:BI1006),$AM$1006:$BM$1006,0)))),"Fix")))</f>
        <v xml:space="preserve"> </v>
      </c>
      <c r="Y225" s="4" t="str">
        <f ca="1">IF(OR(INDEX($AG$2:$AG$1001,MATCH(ROWS($AF$2:AF225),$AF$2:$AF$1001,0),1)&gt;=100000,INDEX($AM$1005:$BM$1005,1,MATCH(COLUMNS($AM$1006:BJ1006),$AM$1006:$BM$1006,0))&gt;=100000), " ",IF(INDEX($AM$2:$BM$1001,MATCH(ROWS($AF$2:AF225),$AF$2:$AF$1001,0),MATCH(COLUMNS($AM$1006:BJ1006),$AM$1006:$BM$1006,0)), HYPERLINK("#",""), HYPERLINK(CONCATENATE("#metadata!", ADDRESS(INDEX($AH$2:$AH$1001,MATCH(ROWS($AF$2:AF225),$AF$2:$AF$1001,0),0), INDEX($AM$1004:$BM$1004,1,MATCH(COLUMNS($AM$1006:BJ1006),$AM$1006:$BM$1006,0)))),"Fix")))</f>
        <v xml:space="preserve"> </v>
      </c>
      <c r="Z225" s="4" t="str">
        <f ca="1">IF(OR(INDEX($AG$2:$AG$1001,MATCH(ROWS($AF$2:AF225),$AF$2:$AF$1001,0),1)&gt;=100000,INDEX($AM$1005:$BM$1005,1,MATCH(COLUMNS($AM$1006:BK1006),$AM$1006:$BM$1006,0))&gt;=100000), " ",IF(INDEX($AM$2:$BM$1001,MATCH(ROWS($AF$2:AF225),$AF$2:$AF$1001,0),MATCH(COLUMNS($AM$1006:BK1006),$AM$1006:$BM$1006,0)), HYPERLINK("#",""), HYPERLINK(CONCATENATE("#metadata!", ADDRESS(INDEX($AH$2:$AH$1001,MATCH(ROWS($AF$2:AF225),$AF$2:$AF$1001,0),0), INDEX($AM$1004:$BM$1004,1,MATCH(COLUMNS($AM$1006:BK1006),$AM$1006:$BM$1006,0)))),"Fix")))</f>
        <v xml:space="preserve"> </v>
      </c>
      <c r="AA225" s="4" t="str">
        <f ca="1">IF(OR(INDEX($AG$2:$AG$1001,MATCH(ROWS($AF$2:AF225),$AF$2:$AF$1001,0),1)&gt;=100000,INDEX($AM$1005:$BM$1005,1,MATCH(COLUMNS($AM$1006:BL1006),$AM$1006:$BM$1006,0))&gt;=100000), " ",IF(INDEX($AM$2:$BM$1001,MATCH(ROWS($AF$2:AF225),$AF$2:$AF$1001,0),MATCH(COLUMNS($AM$1006:BL1006),$AM$1006:$BM$1006,0)), HYPERLINK("#",""), HYPERLINK(CONCATENATE("#metadata!", ADDRESS(INDEX($AH$2:$AH$1001,MATCH(ROWS($AF$2:AF225),$AF$2:$AF$1001,0),0), INDEX($AM$1004:$BM$1004,1,MATCH(COLUMNS($AM$1006:BL1006),$AM$1006:$BM$1006,0)))),"Fix")))</f>
        <v xml:space="preserve"> </v>
      </c>
      <c r="AB225" s="4" t="str">
        <f ca="1">IF(OR(INDEX($AG$2:$AG$1001,MATCH(ROWS($AF$2:AF225),$AF$2:$AF$1001,0),1)&gt;=100000,INDEX($AM$1005:$BM$1005,1,MATCH(COLUMNS($AM$1006:BM1006),$AM$1006:$BM$1006,0))&gt;=100000), " ",IF(INDEX($AM$2:$BM$1001,MATCH(ROWS($AF$2:AF225),$AF$2:$AF$1001,0),MATCH(COLUMNS($AM$1006:BM1006),$AM$1006:$BM$1006,0)), HYPERLINK("#",""), HYPERLINK(CONCATENATE("#metadata!", ADDRESS(INDEX($AH$2:$AH$1001,MATCH(ROWS($AF$2:AF225),$AF$2:$AF$1001,0),0), INDEX($AM$1004:$BM$1004,1,MATCH(COLUMNS($AM$1006:BM1006),$AM$1006:$BM$1006,0)))),"Fix")))</f>
        <v xml:space="preserve"> </v>
      </c>
      <c r="AF225">
        <v>224</v>
      </c>
      <c r="AG225">
        <v>100225</v>
      </c>
      <c r="AH225">
        <v>225</v>
      </c>
      <c r="AI225" t="b">
        <f t="shared" si="3"/>
        <v>1</v>
      </c>
      <c r="AJ225" t="b">
        <f>COUNTBLANK(metadata!B225:AB225)=COLUMNS(metadata!B225:AB225)</f>
        <v>1</v>
      </c>
      <c r="AK225" t="str">
        <v/>
      </c>
      <c r="AM225" t="b">
        <f ca="1">AND(IF(metadata!B225="",FALSE,TRUE),COUNTIF(metadata!B:B, metadata!B225) = 1,NOT(ISERROR(SUMPRODUCT(SEARCH(MID(metadata!B225,ROW(INDIRECT("1:"&amp;LEN(metadata!B225))), 1),"0123456789abcdefghijklmnopqrstuvwxyzABCDEFGHIJKLMNOPQRSTUVWXYZ.")))))</f>
        <v>0</v>
      </c>
      <c r="AN225" t="b">
        <f ca="1">OR(AND(IF(metadata!C225="",FALSE,TRUE),OR(EXACT(metadata!C225,"missing: not collected"),EXACT(metadata!C225,"missing: not provided"),EXACT(metadata!C225,"missing: restricted access"))),AND(IF(metadata!C225="",FALSE,TRUE),AND(AND(IFERROR(INT(LEFT(metadata!C225,4))&gt;1900,FALSE),IFERROR(INT(LEFT(metadata!C225,4))&lt;=YEAR(NOW()),FALSE)), OR(MID(metadata!C225,5,1)="", AND(AND(MID(metadata!C225,5,1)="-",IFERROR(INT(MID(metadata!C225,6,1))&gt;=0,FALSE),IFERROR(INT(MID(metadata!C225,6,1))&lt;=1,FALSE),NOT(MID(metadata!C225,7,1)=""),IFERROR(INT(MID(metadata!C225,6,2))&gt;=1,FALSE),IFERROR(INT(MID(metadata!C225,6,2))&lt;=12,FALSE)), OR(MID(metadata!C225,8,1)="", AND(AND(MID(metadata!C225,8,1)="-",IFERROR(INT(MID(metadata!C225,9,1))&gt;=0,FALSE),IFERROR(INT(MID(metadata!C225,9,1))&lt;=3,FALSE),NOT(MID(metadata!C225,10,1)=""),IFERROR(INT(MID(metadata!C225,9,2))&gt;=1,FALSE),IFERROR(INT(MID(metadata!C225,9,2))&lt;=31,FALSE)), OR(MID(metadata!C225,11,1)="", AND(AND(MID(metadata!C225,11,1)=" ",IFERROR(INT(MID(metadata!C225,12,1))&gt;=0,FALSE),IFERROR(INT(MID(metadata!C225,12,1))&lt;=2,FALSE),NOT(MID(metadata!C225,13,1)=""),IFERROR(INT(MID(metadata!C225,12,2))&gt;=0,FALSE),IFERROR(INT(MID(metadata!C225,12,2))&lt;=23,FALSE)), OR(MID(metadata!C225,14,1)="", AND(AND(MID(metadata!C225,14,1)=":",IFERROR(INT(MID(metadata!C225,15,1))&gt;=0,FALSE),IFERROR(INT(MID(metadata!C225,15,1))&lt;=5,FALSE),NOT(MID(metadata!C225,16,1)=""),IFERROR(INT(MID(metadata!C225,15,2))&gt;=0,FALSE),IFERROR(INT(MID(metadata!C225,15,2))&lt;=59,FALSE)), OR(MID(metadata!C225,17,1)="", AND(AND(MID(metadata!C225,17,1)=":",IFERROR(INT(MID(metadata!C225,18,1))&gt;=0,FALSE),IFERROR(INT(MID(metadata!C225,18,1))&lt;=5,FALSE),NOT(MID(metadata!C225,19,1)=""),IFERROR(INT(MID(metadata!C225,18,2))&gt;=0,FALSE),IFERROR(INT(MID(metadata!C225,18,2))&lt;=59,FALSE)), LEN(metadata!C225)&lt;=19)))))))))))))</f>
        <v>0</v>
      </c>
      <c r="AO225" t="b">
        <f>AND(IF(metadata!D225="",FALSE,TRUE),EXACT(metadata!D225,"Not applicable"))</f>
        <v>0</v>
      </c>
      <c r="AP225" t="b">
        <f>IF(metadata!E225="",FALSE,TRUE)</f>
        <v>0</v>
      </c>
      <c r="AQ225" t="b">
        <f>OR(AND(IF(metadata!F225="",FALSE,TRUE),OR(EXACT(metadata!F225,"missing: not collected"),EXACT(metadata!F225,"missing: not provided"))),AND(IF(metadata!F225="",FALSE,TRUE),OR(EXACT(metadata!F225,"TRUE"),EXACT(metadata!F225,"FALSE"))))</f>
        <v>0</v>
      </c>
      <c r="AR225" t="b">
        <f>OR(AND(IF(metadata!G225="",FALSE,TRUE),OR(EXACT(metadata!G225,"missing: not collected"),EXACT(metadata!G225,"missing: not provided"),EXACT(metadata!G225,"missing: restricted access"))),AND(IF(metadata!G225="",FALSE,ISNUMBER(VALUE(metadata!G225))),metadata!G225&gt;=-413))</f>
        <v>0</v>
      </c>
      <c r="AS225" t="b">
        <f>AND(IF(metadata!H225="",FALSE,TRUE),EXACT(metadata!H225,"meters"))</f>
        <v>0</v>
      </c>
      <c r="AT225" t="b">
        <f>AND(IF(metadata!I225="",FALSE,TRUE),OR(EXACT(metadata!I225,"Host-associated"),EXACT(metadata!I225,"Free-living")))</f>
        <v>0</v>
      </c>
      <c r="AU225" t="b">
        <f>AND(IF(metadata!J225="",FALSE,TRUE),OR(EXACT(metadata!J225,"Animal"),EXACT(metadata!J225,"Fungus"),EXACT(metadata!J225,"Plant"),EXACT(metadata!J225,"Saline"),EXACT(metadata!J225,"Non-saline")))</f>
        <v>0</v>
      </c>
      <c r="AV225" t="b">
        <f>AND(IF(metadata!K225="",FALSE,TRUE),OR(EXACT(metadata!K225,"Plant secretion"),EXACT(metadata!K225,"Plant rhizosphere"),EXACT(metadata!K225,"Plant surface"),EXACT(metadata!K225,"Plant corpus"),EXACT(metadata!K225,"Fungus surface"),EXACT(metadata!K225,"Fungus corpus"),EXACT(metadata!K225,"Animal surface"),EXACT(metadata!K225,"Animal proximal gut"),EXACT(metadata!K225,"Animal corpus"),EXACT(metadata!K225,"Animal distal gut"),EXACT(metadata!K225,"Animal secretion"),EXACT(metadata!K225,"Sub-surface (non-saline)"),EXACT(metadata!K225,"Surface (non-saline)"),EXACT(metadata!K225,"Water (non-saline)"),EXACT(metadata!K225,"Soil (non-saline)"),EXACT(metadata!K225,"Aerosol (non-saline)"),EXACT(metadata!K225,"Sediment (non-saline)"),EXACT(metadata!K225,"Surface (saline)"),EXACT(metadata!K225,"Water (saline)"),EXACT(metadata!K225,"Hypersaline (saline)"),EXACT(metadata!K225,"Aerosol (saline)"),EXACT(metadata!K225,"Sediment (saline)")))</f>
        <v>0</v>
      </c>
      <c r="AW225" t="b">
        <f>IF(metadata!L225="",FALSE,TRUE)</f>
        <v>0</v>
      </c>
      <c r="AX225" t="b">
        <f>IF(metadata!M225="",FALSE,TRUE)</f>
        <v>0</v>
      </c>
      <c r="AY225" t="b">
        <f>IF(metadata!N225="",FALSE,TRUE)</f>
        <v>0</v>
      </c>
      <c r="AZ225" t="b">
        <f>OR(AND(IF(metadata!O225="",FALSE,TRUE),OR(EXACT(metadata!O225,"missing: not collected"),EXACT(metadata!O225,"missing: not provided"),EXACT(metadata!O225,"missing: restricted access"))),AND(IF(metadata!O225="",FALSE,TRUE),OR(EXACT(metadata!O225,"air"),EXACT(metadata!O225,"built environment"),EXACT(metadata!O225,"host-associated"),EXACT(metadata!O225,"human-associated"),EXACT(metadata!O225,"human-skin"),EXACT(metadata!O225,"human-oral"),EXACT(metadata!O225,"human-gut"),EXACT(metadata!O225,"human-vaginal"),EXACT(metadata!O225,"microbial mat/biofilm"),EXACT(metadata!O225,"misc environment"),EXACT(metadata!O225,"plant-associated"),EXACT(metadata!O225,"sediment"),EXACT(metadata!O225,"soil"),EXACT(metadata!O225,"wastewater/sludge"),EXACT(metadata!O225,"water"))))</f>
        <v>0</v>
      </c>
      <c r="BA225" t="b">
        <f>IF(metadata!P225="",FALSE,TRUE)</f>
        <v>0</v>
      </c>
      <c r="BB225" t="b">
        <f>IF(metadata!Q225="",FALSE,TRUE)</f>
        <v>0</v>
      </c>
      <c r="BC225" t="b">
        <f>OR(AND(IF(metadata!R225="",FALSE,TRUE),OR(EXACT(metadata!R225,"missing: not collected"),EXACT(metadata!R225,"missing: not provided"),EXACT(metadata!R225,"missing: restricted access"))),AND(IF(metadata!R225="",FALSE,ISNUMBER(VALUE(metadata!R225))),metadata!R225&gt;=-90,metadata!R225&lt;=90))</f>
        <v>0</v>
      </c>
      <c r="BD225" t="b">
        <f>AND(IF(metadata!S225="",FALSE,TRUE),EXACT(metadata!S225,"Decimal degrees"))</f>
        <v>0</v>
      </c>
      <c r="BE225" t="b">
        <f>OR(AND(IF(metadata!T225="",FALSE,TRUE),OR(EXACT(metadata!T225,"missing: not collected"),EXACT(metadata!T225,"missing: not provided"),EXACT(metadata!T225,"missing: restricted access"))),AND(IF(metadata!T225="",FALSE,ISNUMBER(VALUE(metadata!T225))),metadata!T225&gt;=-180,metadata!T225&lt;=180))</f>
        <v>0</v>
      </c>
      <c r="BF225" t="b">
        <f>AND(IF(metadata!U225="",FALSE,TRUE),EXACT(metadata!U225,"Decimal degrees"))</f>
        <v>0</v>
      </c>
      <c r="BG225" t="b">
        <f>IF(metadata!V225="",FALSE,TRUE)</f>
        <v>0</v>
      </c>
      <c r="BH225" t="b">
        <f>OR(AND(IF(metadata!W225="",FALSE,TRUE),OR(EXACT(metadata!W225,"missing: not collected"),EXACT(metadata!W225,"missing: not provided"),EXACT(metadata!W225,"missing: restricted access"))),AND(IF(metadata!W225="",FALSE,TRUE),OR(EXACT(metadata!W225,"TRUE"),EXACT(metadata!W225,"FALSE"))))</f>
        <v>0</v>
      </c>
      <c r="BI225" t="b">
        <f>AND(IF(metadata!X225="",FALSE,TRUE),EXACT(metadata!X225,"other"))</f>
        <v>0</v>
      </c>
      <c r="BJ225" t="b">
        <f>IF(metadata!Y225="",FALSE,TRUE)</f>
        <v>0</v>
      </c>
      <c r="BK225" t="b">
        <f>OR(AND(IF(metadata!Z225="",FALSE,TRUE),OR(EXACT(metadata!Z225,"missing: not collected"),EXACT(metadata!Z225,"missing: not provided"))),AND(IF(metadata!Z225="",FALSE,IF(ISERROR(INT(metadata!Z225)),FALSE,INT(metadata!Z225)=metadata!Z225)),metadata!Z225&gt;0))</f>
        <v>0</v>
      </c>
      <c r="BL225" t="b">
        <f>AND(IF(metadata!AA225="",FALSE,TRUE),EXACT(metadata!AA225,"Not applicable"))</f>
        <v>0</v>
      </c>
      <c r="BM225" t="b">
        <f>IF(metadata!AB225="",FALSE,TRUE)</f>
        <v>0</v>
      </c>
    </row>
    <row r="226" spans="1:65" x14ac:dyDescent="0.2">
      <c r="A226" s="5" t="str">
        <f ca="1">IF(B226=" "," ",HYPERLINK(CONCATENATE("#metadata!",ADDRESS(INDEX($AH$2:$AH$1001,MATCH(ROWS($AF$2:AF226),$AF$2:$AF$1001,0),0),1)),INDEX($AK$2:$AK$1001,MATCH(ROWS($AF$2:AF226),$AF$2:$AF$1001,0),0)))</f>
        <v xml:space="preserve"> </v>
      </c>
      <c r="B226" s="4" t="str">
        <f ca="1">IF(OR(INDEX($AG$2:$AG$1001,MATCH(ROWS($AF$2:AF226),$AF$2:$AF$1001,0),1)&gt;=100000,INDEX($AM$1005:$BM$1005,1,MATCH(COLUMNS($AM$1006:AM1006),$AM$1006:$BM$1006,0))&gt;=100000), " ",IF(INDEX($AM$2:$BM$1001,MATCH(ROWS($AF$2:AF226),$AF$2:$AF$1001,0),MATCH(COLUMNS($AM$1006:AM1006),$AM$1006:$BM$1006,0)), HYPERLINK("#",""), HYPERLINK(CONCATENATE("#metadata!", ADDRESS(INDEX($AH$2:$AH$1001,MATCH(ROWS($AF$2:AF226),$AF$2:$AF$1001,0),0), INDEX($AM$1004:$BM$1004,1,MATCH(COLUMNS($AM$1006:AM1006),$AM$1006:$BM$1006,0)))),"Fix")))</f>
        <v xml:space="preserve"> </v>
      </c>
      <c r="C226" s="4" t="str">
        <f ca="1">IF(OR(INDEX($AG$2:$AG$1001,MATCH(ROWS($AF$2:AF226),$AF$2:$AF$1001,0),1)&gt;=100000,INDEX($AM$1005:$BM$1005,1,MATCH(COLUMNS($AM$1006:AN1006),$AM$1006:$BM$1006,0))&gt;=100000), " ",IF(INDEX($AM$2:$BM$1001,MATCH(ROWS($AF$2:AF226),$AF$2:$AF$1001,0),MATCH(COLUMNS($AM$1006:AN1006),$AM$1006:$BM$1006,0)), HYPERLINK("#",""), HYPERLINK(CONCATENATE("#metadata!", ADDRESS(INDEX($AH$2:$AH$1001,MATCH(ROWS($AF$2:AF226),$AF$2:$AF$1001,0),0), INDEX($AM$1004:$BM$1004,1,MATCH(COLUMNS($AM$1006:AN1006),$AM$1006:$BM$1006,0)))),"Fix")))</f>
        <v xml:space="preserve"> </v>
      </c>
      <c r="D226" s="4" t="str">
        <f ca="1">IF(OR(INDEX($AG$2:$AG$1001,MATCH(ROWS($AF$2:AF226),$AF$2:$AF$1001,0),1)&gt;=100000,INDEX($AM$1005:$BM$1005,1,MATCH(COLUMNS($AM$1006:AO1006),$AM$1006:$BM$1006,0))&gt;=100000), " ",IF(INDEX($AM$2:$BM$1001,MATCH(ROWS($AF$2:AF226),$AF$2:$AF$1001,0),MATCH(COLUMNS($AM$1006:AO1006),$AM$1006:$BM$1006,0)), HYPERLINK("#",""), HYPERLINK(CONCATENATE("#metadata!", ADDRESS(INDEX($AH$2:$AH$1001,MATCH(ROWS($AF$2:AF226),$AF$2:$AF$1001,0),0), INDEX($AM$1004:$BM$1004,1,MATCH(COLUMNS($AM$1006:AO1006),$AM$1006:$BM$1006,0)))),"Fix")))</f>
        <v xml:space="preserve"> </v>
      </c>
      <c r="E226" s="4" t="str">
        <f ca="1">IF(OR(INDEX($AG$2:$AG$1001,MATCH(ROWS($AF$2:AF226),$AF$2:$AF$1001,0),1)&gt;=100000,INDEX($AM$1005:$BM$1005,1,MATCH(COLUMNS($AM$1006:AP1006),$AM$1006:$BM$1006,0))&gt;=100000), " ",IF(INDEX($AM$2:$BM$1001,MATCH(ROWS($AF$2:AF226),$AF$2:$AF$1001,0),MATCH(COLUMNS($AM$1006:AP1006),$AM$1006:$BM$1006,0)), HYPERLINK("#",""), HYPERLINK(CONCATENATE("#metadata!", ADDRESS(INDEX($AH$2:$AH$1001,MATCH(ROWS($AF$2:AF226),$AF$2:$AF$1001,0),0), INDEX($AM$1004:$BM$1004,1,MATCH(COLUMNS($AM$1006:AP1006),$AM$1006:$BM$1006,0)))),"Fix")))</f>
        <v xml:space="preserve"> </v>
      </c>
      <c r="F226" s="4" t="str">
        <f ca="1">IF(OR(INDEX($AG$2:$AG$1001,MATCH(ROWS($AF$2:AF226),$AF$2:$AF$1001,0),1)&gt;=100000,INDEX($AM$1005:$BM$1005,1,MATCH(COLUMNS($AM$1006:AQ1006),$AM$1006:$BM$1006,0))&gt;=100000), " ",IF(INDEX($AM$2:$BM$1001,MATCH(ROWS($AF$2:AF226),$AF$2:$AF$1001,0),MATCH(COLUMNS($AM$1006:AQ1006),$AM$1006:$BM$1006,0)), HYPERLINK("#",""), HYPERLINK(CONCATENATE("#metadata!", ADDRESS(INDEX($AH$2:$AH$1001,MATCH(ROWS($AF$2:AF226),$AF$2:$AF$1001,0),0), INDEX($AM$1004:$BM$1004,1,MATCH(COLUMNS($AM$1006:AQ1006),$AM$1006:$BM$1006,0)))),"Fix")))</f>
        <v xml:space="preserve"> </v>
      </c>
      <c r="G226" s="4" t="str">
        <f ca="1">IF(OR(INDEX($AG$2:$AG$1001,MATCH(ROWS($AF$2:AF226),$AF$2:$AF$1001,0),1)&gt;=100000,INDEX($AM$1005:$BM$1005,1,MATCH(COLUMNS($AM$1006:AR1006),$AM$1006:$BM$1006,0))&gt;=100000), " ",IF(INDEX($AM$2:$BM$1001,MATCH(ROWS($AF$2:AF226),$AF$2:$AF$1001,0),MATCH(COLUMNS($AM$1006:AR1006),$AM$1006:$BM$1006,0)), HYPERLINK("#",""), HYPERLINK(CONCATENATE("#metadata!", ADDRESS(INDEX($AH$2:$AH$1001,MATCH(ROWS($AF$2:AF226),$AF$2:$AF$1001,0),0), INDEX($AM$1004:$BM$1004,1,MATCH(COLUMNS($AM$1006:AR1006),$AM$1006:$BM$1006,0)))),"Fix")))</f>
        <v xml:space="preserve"> </v>
      </c>
      <c r="H226" s="4" t="str">
        <f ca="1">IF(OR(INDEX($AG$2:$AG$1001,MATCH(ROWS($AF$2:AF226),$AF$2:$AF$1001,0),1)&gt;=100000,INDEX($AM$1005:$BM$1005,1,MATCH(COLUMNS($AM$1006:AS1006),$AM$1006:$BM$1006,0))&gt;=100000), " ",IF(INDEX($AM$2:$BM$1001,MATCH(ROWS($AF$2:AF226),$AF$2:$AF$1001,0),MATCH(COLUMNS($AM$1006:AS1006),$AM$1006:$BM$1006,0)), HYPERLINK("#",""), HYPERLINK(CONCATENATE("#metadata!", ADDRESS(INDEX($AH$2:$AH$1001,MATCH(ROWS($AF$2:AF226),$AF$2:$AF$1001,0),0), INDEX($AM$1004:$BM$1004,1,MATCH(COLUMNS($AM$1006:AS1006),$AM$1006:$BM$1006,0)))),"Fix")))</f>
        <v xml:space="preserve"> </v>
      </c>
      <c r="I226" s="4" t="str">
        <f ca="1">IF(OR(INDEX($AG$2:$AG$1001,MATCH(ROWS($AF$2:AF226),$AF$2:$AF$1001,0),1)&gt;=100000,INDEX($AM$1005:$BM$1005,1,MATCH(COLUMNS($AM$1006:AT1006),$AM$1006:$BM$1006,0))&gt;=100000), " ",IF(INDEX($AM$2:$BM$1001,MATCH(ROWS($AF$2:AF226),$AF$2:$AF$1001,0),MATCH(COLUMNS($AM$1006:AT1006),$AM$1006:$BM$1006,0)), HYPERLINK("#",""), HYPERLINK(CONCATENATE("#metadata!", ADDRESS(INDEX($AH$2:$AH$1001,MATCH(ROWS($AF$2:AF226),$AF$2:$AF$1001,0),0), INDEX($AM$1004:$BM$1004,1,MATCH(COLUMNS($AM$1006:AT1006),$AM$1006:$BM$1006,0)))),"Fix")))</f>
        <v xml:space="preserve"> </v>
      </c>
      <c r="J226" s="4" t="str">
        <f ca="1">IF(OR(INDEX($AG$2:$AG$1001,MATCH(ROWS($AF$2:AF226),$AF$2:$AF$1001,0),1)&gt;=100000,INDEX($AM$1005:$BM$1005,1,MATCH(COLUMNS($AM$1006:AU1006),$AM$1006:$BM$1006,0))&gt;=100000), " ",IF(INDEX($AM$2:$BM$1001,MATCH(ROWS($AF$2:AF226),$AF$2:$AF$1001,0),MATCH(COLUMNS($AM$1006:AU1006),$AM$1006:$BM$1006,0)), HYPERLINK("#",""), HYPERLINK(CONCATENATE("#metadata!", ADDRESS(INDEX($AH$2:$AH$1001,MATCH(ROWS($AF$2:AF226),$AF$2:$AF$1001,0),0), INDEX($AM$1004:$BM$1004,1,MATCH(COLUMNS($AM$1006:AU1006),$AM$1006:$BM$1006,0)))),"Fix")))</f>
        <v xml:space="preserve"> </v>
      </c>
      <c r="K226" s="4" t="str">
        <f ca="1">IF(OR(INDEX($AG$2:$AG$1001,MATCH(ROWS($AF$2:AF226),$AF$2:$AF$1001,0),1)&gt;=100000,INDEX($AM$1005:$BM$1005,1,MATCH(COLUMNS($AM$1006:AV1006),$AM$1006:$BM$1006,0))&gt;=100000), " ",IF(INDEX($AM$2:$BM$1001,MATCH(ROWS($AF$2:AF226),$AF$2:$AF$1001,0),MATCH(COLUMNS($AM$1006:AV1006),$AM$1006:$BM$1006,0)), HYPERLINK("#",""), HYPERLINK(CONCATENATE("#metadata!", ADDRESS(INDEX($AH$2:$AH$1001,MATCH(ROWS($AF$2:AF226),$AF$2:$AF$1001,0),0), INDEX($AM$1004:$BM$1004,1,MATCH(COLUMNS($AM$1006:AV1006),$AM$1006:$BM$1006,0)))),"Fix")))</f>
        <v xml:space="preserve"> </v>
      </c>
      <c r="L226" s="4" t="str">
        <f ca="1">IF(OR(INDEX($AG$2:$AG$1001,MATCH(ROWS($AF$2:AF226),$AF$2:$AF$1001,0),1)&gt;=100000,INDEX($AM$1005:$BM$1005,1,MATCH(COLUMNS($AM$1006:AW1006),$AM$1006:$BM$1006,0))&gt;=100000), " ",IF(INDEX($AM$2:$BM$1001,MATCH(ROWS($AF$2:AF226),$AF$2:$AF$1001,0),MATCH(COLUMNS($AM$1006:AW1006),$AM$1006:$BM$1006,0)), HYPERLINK("#",""), HYPERLINK(CONCATENATE("#metadata!", ADDRESS(INDEX($AH$2:$AH$1001,MATCH(ROWS($AF$2:AF226),$AF$2:$AF$1001,0),0), INDEX($AM$1004:$BM$1004,1,MATCH(COLUMNS($AM$1006:AW1006),$AM$1006:$BM$1006,0)))),"Fix")))</f>
        <v xml:space="preserve"> </v>
      </c>
      <c r="M226" s="4" t="str">
        <f ca="1">IF(OR(INDEX($AG$2:$AG$1001,MATCH(ROWS($AF$2:AF226),$AF$2:$AF$1001,0),1)&gt;=100000,INDEX($AM$1005:$BM$1005,1,MATCH(COLUMNS($AM$1006:AX1006),$AM$1006:$BM$1006,0))&gt;=100000), " ",IF(INDEX($AM$2:$BM$1001,MATCH(ROWS($AF$2:AF226),$AF$2:$AF$1001,0),MATCH(COLUMNS($AM$1006:AX1006),$AM$1006:$BM$1006,0)), HYPERLINK("#",""), HYPERLINK(CONCATENATE("#metadata!", ADDRESS(INDEX($AH$2:$AH$1001,MATCH(ROWS($AF$2:AF226),$AF$2:$AF$1001,0),0), INDEX($AM$1004:$BM$1004,1,MATCH(COLUMNS($AM$1006:AX1006),$AM$1006:$BM$1006,0)))),"Fix")))</f>
        <v xml:space="preserve"> </v>
      </c>
      <c r="N226" s="4" t="str">
        <f ca="1">IF(OR(INDEX($AG$2:$AG$1001,MATCH(ROWS($AF$2:AF226),$AF$2:$AF$1001,0),1)&gt;=100000,INDEX($AM$1005:$BM$1005,1,MATCH(COLUMNS($AM$1006:AY1006),$AM$1006:$BM$1006,0))&gt;=100000), " ",IF(INDEX($AM$2:$BM$1001,MATCH(ROWS($AF$2:AF226),$AF$2:$AF$1001,0),MATCH(COLUMNS($AM$1006:AY1006),$AM$1006:$BM$1006,0)), HYPERLINK("#",""), HYPERLINK(CONCATENATE("#metadata!", ADDRESS(INDEX($AH$2:$AH$1001,MATCH(ROWS($AF$2:AF226),$AF$2:$AF$1001,0),0), INDEX($AM$1004:$BM$1004,1,MATCH(COLUMNS($AM$1006:AY1006),$AM$1006:$BM$1006,0)))),"Fix")))</f>
        <v xml:space="preserve"> </v>
      </c>
      <c r="O226" s="4" t="str">
        <f ca="1">IF(OR(INDEX($AG$2:$AG$1001,MATCH(ROWS($AF$2:AF226),$AF$2:$AF$1001,0),1)&gt;=100000,INDEX($AM$1005:$BM$1005,1,MATCH(COLUMNS($AM$1006:AZ1006),$AM$1006:$BM$1006,0))&gt;=100000), " ",IF(INDEX($AM$2:$BM$1001,MATCH(ROWS($AF$2:AF226),$AF$2:$AF$1001,0),MATCH(COLUMNS($AM$1006:AZ1006),$AM$1006:$BM$1006,0)), HYPERLINK("#",""), HYPERLINK(CONCATENATE("#metadata!", ADDRESS(INDEX($AH$2:$AH$1001,MATCH(ROWS($AF$2:AF226),$AF$2:$AF$1001,0),0), INDEX($AM$1004:$BM$1004,1,MATCH(COLUMNS($AM$1006:AZ1006),$AM$1006:$BM$1006,0)))),"Fix")))</f>
        <v xml:space="preserve"> </v>
      </c>
      <c r="P226" s="4" t="str">
        <f ca="1">IF(OR(INDEX($AG$2:$AG$1001,MATCH(ROWS($AF$2:AF226),$AF$2:$AF$1001,0),1)&gt;=100000,INDEX($AM$1005:$BM$1005,1,MATCH(COLUMNS($AM$1006:BA1006),$AM$1006:$BM$1006,0))&gt;=100000), " ",IF(INDEX($AM$2:$BM$1001,MATCH(ROWS($AF$2:AF226),$AF$2:$AF$1001,0),MATCH(COLUMNS($AM$1006:BA1006),$AM$1006:$BM$1006,0)), HYPERLINK("#",""), HYPERLINK(CONCATENATE("#metadata!", ADDRESS(INDEX($AH$2:$AH$1001,MATCH(ROWS($AF$2:AF226),$AF$2:$AF$1001,0),0), INDEX($AM$1004:$BM$1004,1,MATCH(COLUMNS($AM$1006:BA1006),$AM$1006:$BM$1006,0)))),"Fix")))</f>
        <v xml:space="preserve"> </v>
      </c>
      <c r="Q226" s="4" t="str">
        <f ca="1">IF(OR(INDEX($AG$2:$AG$1001,MATCH(ROWS($AF$2:AF226),$AF$2:$AF$1001,0),1)&gt;=100000,INDEX($AM$1005:$BM$1005,1,MATCH(COLUMNS($AM$1006:BB1006),$AM$1006:$BM$1006,0))&gt;=100000), " ",IF(INDEX($AM$2:$BM$1001,MATCH(ROWS($AF$2:AF226),$AF$2:$AF$1001,0),MATCH(COLUMNS($AM$1006:BB1006),$AM$1006:$BM$1006,0)), HYPERLINK("#",""), HYPERLINK(CONCATENATE("#metadata!", ADDRESS(INDEX($AH$2:$AH$1001,MATCH(ROWS($AF$2:AF226),$AF$2:$AF$1001,0),0), INDEX($AM$1004:$BM$1004,1,MATCH(COLUMNS($AM$1006:BB1006),$AM$1006:$BM$1006,0)))),"Fix")))</f>
        <v xml:space="preserve"> </v>
      </c>
      <c r="R226" s="4" t="str">
        <f ca="1">IF(OR(INDEX($AG$2:$AG$1001,MATCH(ROWS($AF$2:AF226),$AF$2:$AF$1001,0),1)&gt;=100000,INDEX($AM$1005:$BM$1005,1,MATCH(COLUMNS($AM$1006:BC1006),$AM$1006:$BM$1006,0))&gt;=100000), " ",IF(INDEX($AM$2:$BM$1001,MATCH(ROWS($AF$2:AF226),$AF$2:$AF$1001,0),MATCH(COLUMNS($AM$1006:BC1006),$AM$1006:$BM$1006,0)), HYPERLINK("#",""), HYPERLINK(CONCATENATE("#metadata!", ADDRESS(INDEX($AH$2:$AH$1001,MATCH(ROWS($AF$2:AF226),$AF$2:$AF$1001,0),0), INDEX($AM$1004:$BM$1004,1,MATCH(COLUMNS($AM$1006:BC1006),$AM$1006:$BM$1006,0)))),"Fix")))</f>
        <v xml:space="preserve"> </v>
      </c>
      <c r="S226" s="4" t="str">
        <f ca="1">IF(OR(INDEX($AG$2:$AG$1001,MATCH(ROWS($AF$2:AF226),$AF$2:$AF$1001,0),1)&gt;=100000,INDEX($AM$1005:$BM$1005,1,MATCH(COLUMNS($AM$1006:BD1006),$AM$1006:$BM$1006,0))&gt;=100000), " ",IF(INDEX($AM$2:$BM$1001,MATCH(ROWS($AF$2:AF226),$AF$2:$AF$1001,0),MATCH(COLUMNS($AM$1006:BD1006),$AM$1006:$BM$1006,0)), HYPERLINK("#",""), HYPERLINK(CONCATENATE("#metadata!", ADDRESS(INDEX($AH$2:$AH$1001,MATCH(ROWS($AF$2:AF226),$AF$2:$AF$1001,0),0), INDEX($AM$1004:$BM$1004,1,MATCH(COLUMNS($AM$1006:BD1006),$AM$1006:$BM$1006,0)))),"Fix")))</f>
        <v xml:space="preserve"> </v>
      </c>
      <c r="T226" s="4" t="str">
        <f ca="1">IF(OR(INDEX($AG$2:$AG$1001,MATCH(ROWS($AF$2:AF226),$AF$2:$AF$1001,0),1)&gt;=100000,INDEX($AM$1005:$BM$1005,1,MATCH(COLUMNS($AM$1006:BE1006),$AM$1006:$BM$1006,0))&gt;=100000), " ",IF(INDEX($AM$2:$BM$1001,MATCH(ROWS($AF$2:AF226),$AF$2:$AF$1001,0),MATCH(COLUMNS($AM$1006:BE1006),$AM$1006:$BM$1006,0)), HYPERLINK("#",""), HYPERLINK(CONCATENATE("#metadata!", ADDRESS(INDEX($AH$2:$AH$1001,MATCH(ROWS($AF$2:AF226),$AF$2:$AF$1001,0),0), INDEX($AM$1004:$BM$1004,1,MATCH(COLUMNS($AM$1006:BE1006),$AM$1006:$BM$1006,0)))),"Fix")))</f>
        <v xml:space="preserve"> </v>
      </c>
      <c r="U226" s="4" t="str">
        <f ca="1">IF(OR(INDEX($AG$2:$AG$1001,MATCH(ROWS($AF$2:AF226),$AF$2:$AF$1001,0),1)&gt;=100000,INDEX($AM$1005:$BM$1005,1,MATCH(COLUMNS($AM$1006:BF1006),$AM$1006:$BM$1006,0))&gt;=100000), " ",IF(INDEX($AM$2:$BM$1001,MATCH(ROWS($AF$2:AF226),$AF$2:$AF$1001,0),MATCH(COLUMNS($AM$1006:BF1006),$AM$1006:$BM$1006,0)), HYPERLINK("#",""), HYPERLINK(CONCATENATE("#metadata!", ADDRESS(INDEX($AH$2:$AH$1001,MATCH(ROWS($AF$2:AF226),$AF$2:$AF$1001,0),0), INDEX($AM$1004:$BM$1004,1,MATCH(COLUMNS($AM$1006:BF1006),$AM$1006:$BM$1006,0)))),"Fix")))</f>
        <v xml:space="preserve"> </v>
      </c>
      <c r="V226" s="4" t="str">
        <f ca="1">IF(OR(INDEX($AG$2:$AG$1001,MATCH(ROWS($AF$2:AF226),$AF$2:$AF$1001,0),1)&gt;=100000,INDEX($AM$1005:$BM$1005,1,MATCH(COLUMNS($AM$1006:BG1006),$AM$1006:$BM$1006,0))&gt;=100000), " ",IF(INDEX($AM$2:$BM$1001,MATCH(ROWS($AF$2:AF226),$AF$2:$AF$1001,0),MATCH(COLUMNS($AM$1006:BG1006),$AM$1006:$BM$1006,0)), HYPERLINK("#",""), HYPERLINK(CONCATENATE("#metadata!", ADDRESS(INDEX($AH$2:$AH$1001,MATCH(ROWS($AF$2:AF226),$AF$2:$AF$1001,0),0), INDEX($AM$1004:$BM$1004,1,MATCH(COLUMNS($AM$1006:BG1006),$AM$1006:$BM$1006,0)))),"Fix")))</f>
        <v xml:space="preserve"> </v>
      </c>
      <c r="W226" s="4" t="str">
        <f ca="1">IF(OR(INDEX($AG$2:$AG$1001,MATCH(ROWS($AF$2:AF226),$AF$2:$AF$1001,0),1)&gt;=100000,INDEX($AM$1005:$BM$1005,1,MATCH(COLUMNS($AM$1006:BH1006),$AM$1006:$BM$1006,0))&gt;=100000), " ",IF(INDEX($AM$2:$BM$1001,MATCH(ROWS($AF$2:AF226),$AF$2:$AF$1001,0),MATCH(COLUMNS($AM$1006:BH1006),$AM$1006:$BM$1006,0)), HYPERLINK("#",""), HYPERLINK(CONCATENATE("#metadata!", ADDRESS(INDEX($AH$2:$AH$1001,MATCH(ROWS($AF$2:AF226),$AF$2:$AF$1001,0),0), INDEX($AM$1004:$BM$1004,1,MATCH(COLUMNS($AM$1006:BH1006),$AM$1006:$BM$1006,0)))),"Fix")))</f>
        <v xml:space="preserve"> </v>
      </c>
      <c r="X226" s="4" t="str">
        <f ca="1">IF(OR(INDEX($AG$2:$AG$1001,MATCH(ROWS($AF$2:AF226),$AF$2:$AF$1001,0),1)&gt;=100000,INDEX($AM$1005:$BM$1005,1,MATCH(COLUMNS($AM$1006:BI1006),$AM$1006:$BM$1006,0))&gt;=100000), " ",IF(INDEX($AM$2:$BM$1001,MATCH(ROWS($AF$2:AF226),$AF$2:$AF$1001,0),MATCH(COLUMNS($AM$1006:BI1006),$AM$1006:$BM$1006,0)), HYPERLINK("#",""), HYPERLINK(CONCATENATE("#metadata!", ADDRESS(INDEX($AH$2:$AH$1001,MATCH(ROWS($AF$2:AF226),$AF$2:$AF$1001,0),0), INDEX($AM$1004:$BM$1004,1,MATCH(COLUMNS($AM$1006:BI1006),$AM$1006:$BM$1006,0)))),"Fix")))</f>
        <v xml:space="preserve"> </v>
      </c>
      <c r="Y226" s="4" t="str">
        <f ca="1">IF(OR(INDEX($AG$2:$AG$1001,MATCH(ROWS($AF$2:AF226),$AF$2:$AF$1001,0),1)&gt;=100000,INDEX($AM$1005:$BM$1005,1,MATCH(COLUMNS($AM$1006:BJ1006),$AM$1006:$BM$1006,0))&gt;=100000), " ",IF(INDEX($AM$2:$BM$1001,MATCH(ROWS($AF$2:AF226),$AF$2:$AF$1001,0),MATCH(COLUMNS($AM$1006:BJ1006),$AM$1006:$BM$1006,0)), HYPERLINK("#",""), HYPERLINK(CONCATENATE("#metadata!", ADDRESS(INDEX($AH$2:$AH$1001,MATCH(ROWS($AF$2:AF226),$AF$2:$AF$1001,0),0), INDEX($AM$1004:$BM$1004,1,MATCH(COLUMNS($AM$1006:BJ1006),$AM$1006:$BM$1006,0)))),"Fix")))</f>
        <v xml:space="preserve"> </v>
      </c>
      <c r="Z226" s="4" t="str">
        <f ca="1">IF(OR(INDEX($AG$2:$AG$1001,MATCH(ROWS($AF$2:AF226),$AF$2:$AF$1001,0),1)&gt;=100000,INDEX($AM$1005:$BM$1005,1,MATCH(COLUMNS($AM$1006:BK1006),$AM$1006:$BM$1006,0))&gt;=100000), " ",IF(INDEX($AM$2:$BM$1001,MATCH(ROWS($AF$2:AF226),$AF$2:$AF$1001,0),MATCH(COLUMNS($AM$1006:BK1006),$AM$1006:$BM$1006,0)), HYPERLINK("#",""), HYPERLINK(CONCATENATE("#metadata!", ADDRESS(INDEX($AH$2:$AH$1001,MATCH(ROWS($AF$2:AF226),$AF$2:$AF$1001,0),0), INDEX($AM$1004:$BM$1004,1,MATCH(COLUMNS($AM$1006:BK1006),$AM$1006:$BM$1006,0)))),"Fix")))</f>
        <v xml:space="preserve"> </v>
      </c>
      <c r="AA226" s="4" t="str">
        <f ca="1">IF(OR(INDEX($AG$2:$AG$1001,MATCH(ROWS($AF$2:AF226),$AF$2:$AF$1001,0),1)&gt;=100000,INDEX($AM$1005:$BM$1005,1,MATCH(COLUMNS($AM$1006:BL1006),$AM$1006:$BM$1006,0))&gt;=100000), " ",IF(INDEX($AM$2:$BM$1001,MATCH(ROWS($AF$2:AF226),$AF$2:$AF$1001,0),MATCH(COLUMNS($AM$1006:BL1006),$AM$1006:$BM$1006,0)), HYPERLINK("#",""), HYPERLINK(CONCATENATE("#metadata!", ADDRESS(INDEX($AH$2:$AH$1001,MATCH(ROWS($AF$2:AF226),$AF$2:$AF$1001,0),0), INDEX($AM$1004:$BM$1004,1,MATCH(COLUMNS($AM$1006:BL1006),$AM$1006:$BM$1006,0)))),"Fix")))</f>
        <v xml:space="preserve"> </v>
      </c>
      <c r="AB226" s="4" t="str">
        <f ca="1">IF(OR(INDEX($AG$2:$AG$1001,MATCH(ROWS($AF$2:AF226),$AF$2:$AF$1001,0),1)&gt;=100000,INDEX($AM$1005:$BM$1005,1,MATCH(COLUMNS($AM$1006:BM1006),$AM$1006:$BM$1006,0))&gt;=100000), " ",IF(INDEX($AM$2:$BM$1001,MATCH(ROWS($AF$2:AF226),$AF$2:$AF$1001,0),MATCH(COLUMNS($AM$1006:BM1006),$AM$1006:$BM$1006,0)), HYPERLINK("#",""), HYPERLINK(CONCATENATE("#metadata!", ADDRESS(INDEX($AH$2:$AH$1001,MATCH(ROWS($AF$2:AF226),$AF$2:$AF$1001,0),0), INDEX($AM$1004:$BM$1004,1,MATCH(COLUMNS($AM$1006:BM1006),$AM$1006:$BM$1006,0)))),"Fix")))</f>
        <v xml:space="preserve"> </v>
      </c>
      <c r="AF226">
        <v>225</v>
      </c>
      <c r="AG226">
        <v>100226</v>
      </c>
      <c r="AH226">
        <v>226</v>
      </c>
      <c r="AI226" t="b">
        <f t="shared" si="3"/>
        <v>1</v>
      </c>
      <c r="AJ226" t="b">
        <f>COUNTBLANK(metadata!B226:AB226)=COLUMNS(metadata!B226:AB226)</f>
        <v>1</v>
      </c>
      <c r="AK226" t="str">
        <v/>
      </c>
      <c r="AM226" t="b">
        <f ca="1">AND(IF(metadata!B226="",FALSE,TRUE),COUNTIF(metadata!B:B, metadata!B226) = 1,NOT(ISERROR(SUMPRODUCT(SEARCH(MID(metadata!B226,ROW(INDIRECT("1:"&amp;LEN(metadata!B226))), 1),"0123456789abcdefghijklmnopqrstuvwxyzABCDEFGHIJKLMNOPQRSTUVWXYZ.")))))</f>
        <v>0</v>
      </c>
      <c r="AN226" t="b">
        <f ca="1">OR(AND(IF(metadata!C226="",FALSE,TRUE),OR(EXACT(metadata!C226,"missing: not collected"),EXACT(metadata!C226,"missing: not provided"),EXACT(metadata!C226,"missing: restricted access"))),AND(IF(metadata!C226="",FALSE,TRUE),AND(AND(IFERROR(INT(LEFT(metadata!C226,4))&gt;1900,FALSE),IFERROR(INT(LEFT(metadata!C226,4))&lt;=YEAR(NOW()),FALSE)), OR(MID(metadata!C226,5,1)="", AND(AND(MID(metadata!C226,5,1)="-",IFERROR(INT(MID(metadata!C226,6,1))&gt;=0,FALSE),IFERROR(INT(MID(metadata!C226,6,1))&lt;=1,FALSE),NOT(MID(metadata!C226,7,1)=""),IFERROR(INT(MID(metadata!C226,6,2))&gt;=1,FALSE),IFERROR(INT(MID(metadata!C226,6,2))&lt;=12,FALSE)), OR(MID(metadata!C226,8,1)="", AND(AND(MID(metadata!C226,8,1)="-",IFERROR(INT(MID(metadata!C226,9,1))&gt;=0,FALSE),IFERROR(INT(MID(metadata!C226,9,1))&lt;=3,FALSE),NOT(MID(metadata!C226,10,1)=""),IFERROR(INT(MID(metadata!C226,9,2))&gt;=1,FALSE),IFERROR(INT(MID(metadata!C226,9,2))&lt;=31,FALSE)), OR(MID(metadata!C226,11,1)="", AND(AND(MID(metadata!C226,11,1)=" ",IFERROR(INT(MID(metadata!C226,12,1))&gt;=0,FALSE),IFERROR(INT(MID(metadata!C226,12,1))&lt;=2,FALSE),NOT(MID(metadata!C226,13,1)=""),IFERROR(INT(MID(metadata!C226,12,2))&gt;=0,FALSE),IFERROR(INT(MID(metadata!C226,12,2))&lt;=23,FALSE)), OR(MID(metadata!C226,14,1)="", AND(AND(MID(metadata!C226,14,1)=":",IFERROR(INT(MID(metadata!C226,15,1))&gt;=0,FALSE),IFERROR(INT(MID(metadata!C226,15,1))&lt;=5,FALSE),NOT(MID(metadata!C226,16,1)=""),IFERROR(INT(MID(metadata!C226,15,2))&gt;=0,FALSE),IFERROR(INT(MID(metadata!C226,15,2))&lt;=59,FALSE)), OR(MID(metadata!C226,17,1)="", AND(AND(MID(metadata!C226,17,1)=":",IFERROR(INT(MID(metadata!C226,18,1))&gt;=0,FALSE),IFERROR(INT(MID(metadata!C226,18,1))&lt;=5,FALSE),NOT(MID(metadata!C226,19,1)=""),IFERROR(INT(MID(metadata!C226,18,2))&gt;=0,FALSE),IFERROR(INT(MID(metadata!C226,18,2))&lt;=59,FALSE)), LEN(metadata!C226)&lt;=19)))))))))))))</f>
        <v>0</v>
      </c>
      <c r="AO226" t="b">
        <f>AND(IF(metadata!D226="",FALSE,TRUE),EXACT(metadata!D226,"Not applicable"))</f>
        <v>0</v>
      </c>
      <c r="AP226" t="b">
        <f>IF(metadata!E226="",FALSE,TRUE)</f>
        <v>0</v>
      </c>
      <c r="AQ226" t="b">
        <f>OR(AND(IF(metadata!F226="",FALSE,TRUE),OR(EXACT(metadata!F226,"missing: not collected"),EXACT(metadata!F226,"missing: not provided"))),AND(IF(metadata!F226="",FALSE,TRUE),OR(EXACT(metadata!F226,"TRUE"),EXACT(metadata!F226,"FALSE"))))</f>
        <v>0</v>
      </c>
      <c r="AR226" t="b">
        <f>OR(AND(IF(metadata!G226="",FALSE,TRUE),OR(EXACT(metadata!G226,"missing: not collected"),EXACT(metadata!G226,"missing: not provided"),EXACT(metadata!G226,"missing: restricted access"))),AND(IF(metadata!G226="",FALSE,ISNUMBER(VALUE(metadata!G226))),metadata!G226&gt;=-413))</f>
        <v>0</v>
      </c>
      <c r="AS226" t="b">
        <f>AND(IF(metadata!H226="",FALSE,TRUE),EXACT(metadata!H226,"meters"))</f>
        <v>0</v>
      </c>
      <c r="AT226" t="b">
        <f>AND(IF(metadata!I226="",FALSE,TRUE),OR(EXACT(metadata!I226,"Host-associated"),EXACT(metadata!I226,"Free-living")))</f>
        <v>0</v>
      </c>
      <c r="AU226" t="b">
        <f>AND(IF(metadata!J226="",FALSE,TRUE),OR(EXACT(metadata!J226,"Animal"),EXACT(metadata!J226,"Fungus"),EXACT(metadata!J226,"Plant"),EXACT(metadata!J226,"Saline"),EXACT(metadata!J226,"Non-saline")))</f>
        <v>0</v>
      </c>
      <c r="AV226" t="b">
        <f>AND(IF(metadata!K226="",FALSE,TRUE),OR(EXACT(metadata!K226,"Plant secretion"),EXACT(metadata!K226,"Plant rhizosphere"),EXACT(metadata!K226,"Plant surface"),EXACT(metadata!K226,"Plant corpus"),EXACT(metadata!K226,"Fungus surface"),EXACT(metadata!K226,"Fungus corpus"),EXACT(metadata!K226,"Animal surface"),EXACT(metadata!K226,"Animal proximal gut"),EXACT(metadata!K226,"Animal corpus"),EXACT(metadata!K226,"Animal distal gut"),EXACT(metadata!K226,"Animal secretion"),EXACT(metadata!K226,"Sub-surface (non-saline)"),EXACT(metadata!K226,"Surface (non-saline)"),EXACT(metadata!K226,"Water (non-saline)"),EXACT(metadata!K226,"Soil (non-saline)"),EXACT(metadata!K226,"Aerosol (non-saline)"),EXACT(metadata!K226,"Sediment (non-saline)"),EXACT(metadata!K226,"Surface (saline)"),EXACT(metadata!K226,"Water (saline)"),EXACT(metadata!K226,"Hypersaline (saline)"),EXACT(metadata!K226,"Aerosol (saline)"),EXACT(metadata!K226,"Sediment (saline)")))</f>
        <v>0</v>
      </c>
      <c r="AW226" t="b">
        <f>IF(metadata!L226="",FALSE,TRUE)</f>
        <v>0</v>
      </c>
      <c r="AX226" t="b">
        <f>IF(metadata!M226="",FALSE,TRUE)</f>
        <v>0</v>
      </c>
      <c r="AY226" t="b">
        <f>IF(metadata!N226="",FALSE,TRUE)</f>
        <v>0</v>
      </c>
      <c r="AZ226" t="b">
        <f>OR(AND(IF(metadata!O226="",FALSE,TRUE),OR(EXACT(metadata!O226,"missing: not collected"),EXACT(metadata!O226,"missing: not provided"),EXACT(metadata!O226,"missing: restricted access"))),AND(IF(metadata!O226="",FALSE,TRUE),OR(EXACT(metadata!O226,"air"),EXACT(metadata!O226,"built environment"),EXACT(metadata!O226,"host-associated"),EXACT(metadata!O226,"human-associated"),EXACT(metadata!O226,"human-skin"),EXACT(metadata!O226,"human-oral"),EXACT(metadata!O226,"human-gut"),EXACT(metadata!O226,"human-vaginal"),EXACT(metadata!O226,"microbial mat/biofilm"),EXACT(metadata!O226,"misc environment"),EXACT(metadata!O226,"plant-associated"),EXACT(metadata!O226,"sediment"),EXACT(metadata!O226,"soil"),EXACT(metadata!O226,"wastewater/sludge"),EXACT(metadata!O226,"water"))))</f>
        <v>0</v>
      </c>
      <c r="BA226" t="b">
        <f>IF(metadata!P226="",FALSE,TRUE)</f>
        <v>0</v>
      </c>
      <c r="BB226" t="b">
        <f>IF(metadata!Q226="",FALSE,TRUE)</f>
        <v>0</v>
      </c>
      <c r="BC226" t="b">
        <f>OR(AND(IF(metadata!R226="",FALSE,TRUE),OR(EXACT(metadata!R226,"missing: not collected"),EXACT(metadata!R226,"missing: not provided"),EXACT(metadata!R226,"missing: restricted access"))),AND(IF(metadata!R226="",FALSE,ISNUMBER(VALUE(metadata!R226))),metadata!R226&gt;=-90,metadata!R226&lt;=90))</f>
        <v>0</v>
      </c>
      <c r="BD226" t="b">
        <f>AND(IF(metadata!S226="",FALSE,TRUE),EXACT(metadata!S226,"Decimal degrees"))</f>
        <v>0</v>
      </c>
      <c r="BE226" t="b">
        <f>OR(AND(IF(metadata!T226="",FALSE,TRUE),OR(EXACT(metadata!T226,"missing: not collected"),EXACT(metadata!T226,"missing: not provided"),EXACT(metadata!T226,"missing: restricted access"))),AND(IF(metadata!T226="",FALSE,ISNUMBER(VALUE(metadata!T226))),metadata!T226&gt;=-180,metadata!T226&lt;=180))</f>
        <v>0</v>
      </c>
      <c r="BF226" t="b">
        <f>AND(IF(metadata!U226="",FALSE,TRUE),EXACT(metadata!U226,"Decimal degrees"))</f>
        <v>0</v>
      </c>
      <c r="BG226" t="b">
        <f>IF(metadata!V226="",FALSE,TRUE)</f>
        <v>0</v>
      </c>
      <c r="BH226" t="b">
        <f>OR(AND(IF(metadata!W226="",FALSE,TRUE),OR(EXACT(metadata!W226,"missing: not collected"),EXACT(metadata!W226,"missing: not provided"),EXACT(metadata!W226,"missing: restricted access"))),AND(IF(metadata!W226="",FALSE,TRUE),OR(EXACT(metadata!W226,"TRUE"),EXACT(metadata!W226,"FALSE"))))</f>
        <v>0</v>
      </c>
      <c r="BI226" t="b">
        <f>AND(IF(metadata!X226="",FALSE,TRUE),EXACT(metadata!X226,"other"))</f>
        <v>0</v>
      </c>
      <c r="BJ226" t="b">
        <f>IF(metadata!Y226="",FALSE,TRUE)</f>
        <v>0</v>
      </c>
      <c r="BK226" t="b">
        <f>OR(AND(IF(metadata!Z226="",FALSE,TRUE),OR(EXACT(metadata!Z226,"missing: not collected"),EXACT(metadata!Z226,"missing: not provided"))),AND(IF(metadata!Z226="",FALSE,IF(ISERROR(INT(metadata!Z226)),FALSE,INT(metadata!Z226)=metadata!Z226)),metadata!Z226&gt;0))</f>
        <v>0</v>
      </c>
      <c r="BL226" t="b">
        <f>AND(IF(metadata!AA226="",FALSE,TRUE),EXACT(metadata!AA226,"Not applicable"))</f>
        <v>0</v>
      </c>
      <c r="BM226" t="b">
        <f>IF(metadata!AB226="",FALSE,TRUE)</f>
        <v>0</v>
      </c>
    </row>
    <row r="227" spans="1:65" x14ac:dyDescent="0.2">
      <c r="A227" s="5" t="str">
        <f ca="1">IF(B227=" "," ",HYPERLINK(CONCATENATE("#metadata!",ADDRESS(INDEX($AH$2:$AH$1001,MATCH(ROWS($AF$2:AF227),$AF$2:$AF$1001,0),0),1)),INDEX($AK$2:$AK$1001,MATCH(ROWS($AF$2:AF227),$AF$2:$AF$1001,0),0)))</f>
        <v xml:space="preserve"> </v>
      </c>
      <c r="B227" s="4" t="str">
        <f ca="1">IF(OR(INDEX($AG$2:$AG$1001,MATCH(ROWS($AF$2:AF227),$AF$2:$AF$1001,0),1)&gt;=100000,INDEX($AM$1005:$BM$1005,1,MATCH(COLUMNS($AM$1006:AM1006),$AM$1006:$BM$1006,0))&gt;=100000), " ",IF(INDEX($AM$2:$BM$1001,MATCH(ROWS($AF$2:AF227),$AF$2:$AF$1001,0),MATCH(COLUMNS($AM$1006:AM1006),$AM$1006:$BM$1006,0)), HYPERLINK("#",""), HYPERLINK(CONCATENATE("#metadata!", ADDRESS(INDEX($AH$2:$AH$1001,MATCH(ROWS($AF$2:AF227),$AF$2:$AF$1001,0),0), INDEX($AM$1004:$BM$1004,1,MATCH(COLUMNS($AM$1006:AM1006),$AM$1006:$BM$1006,0)))),"Fix")))</f>
        <v xml:space="preserve"> </v>
      </c>
      <c r="C227" s="4" t="str">
        <f ca="1">IF(OR(INDEX($AG$2:$AG$1001,MATCH(ROWS($AF$2:AF227),$AF$2:$AF$1001,0),1)&gt;=100000,INDEX($AM$1005:$BM$1005,1,MATCH(COLUMNS($AM$1006:AN1006),$AM$1006:$BM$1006,0))&gt;=100000), " ",IF(INDEX($AM$2:$BM$1001,MATCH(ROWS($AF$2:AF227),$AF$2:$AF$1001,0),MATCH(COLUMNS($AM$1006:AN1006),$AM$1006:$BM$1006,0)), HYPERLINK("#",""), HYPERLINK(CONCATENATE("#metadata!", ADDRESS(INDEX($AH$2:$AH$1001,MATCH(ROWS($AF$2:AF227),$AF$2:$AF$1001,0),0), INDEX($AM$1004:$BM$1004,1,MATCH(COLUMNS($AM$1006:AN1006),$AM$1006:$BM$1006,0)))),"Fix")))</f>
        <v xml:space="preserve"> </v>
      </c>
      <c r="D227" s="4" t="str">
        <f ca="1">IF(OR(INDEX($AG$2:$AG$1001,MATCH(ROWS($AF$2:AF227),$AF$2:$AF$1001,0),1)&gt;=100000,INDEX($AM$1005:$BM$1005,1,MATCH(COLUMNS($AM$1006:AO1006),$AM$1006:$BM$1006,0))&gt;=100000), " ",IF(INDEX($AM$2:$BM$1001,MATCH(ROWS($AF$2:AF227),$AF$2:$AF$1001,0),MATCH(COLUMNS($AM$1006:AO1006),$AM$1006:$BM$1006,0)), HYPERLINK("#",""), HYPERLINK(CONCATENATE("#metadata!", ADDRESS(INDEX($AH$2:$AH$1001,MATCH(ROWS($AF$2:AF227),$AF$2:$AF$1001,0),0), INDEX($AM$1004:$BM$1004,1,MATCH(COLUMNS($AM$1006:AO1006),$AM$1006:$BM$1006,0)))),"Fix")))</f>
        <v xml:space="preserve"> </v>
      </c>
      <c r="E227" s="4" t="str">
        <f ca="1">IF(OR(INDEX($AG$2:$AG$1001,MATCH(ROWS($AF$2:AF227),$AF$2:$AF$1001,0),1)&gt;=100000,INDEX($AM$1005:$BM$1005,1,MATCH(COLUMNS($AM$1006:AP1006),$AM$1006:$BM$1006,0))&gt;=100000), " ",IF(INDEX($AM$2:$BM$1001,MATCH(ROWS($AF$2:AF227),$AF$2:$AF$1001,0),MATCH(COLUMNS($AM$1006:AP1006),$AM$1006:$BM$1006,0)), HYPERLINK("#",""), HYPERLINK(CONCATENATE("#metadata!", ADDRESS(INDEX($AH$2:$AH$1001,MATCH(ROWS($AF$2:AF227),$AF$2:$AF$1001,0),0), INDEX($AM$1004:$BM$1004,1,MATCH(COLUMNS($AM$1006:AP1006),$AM$1006:$BM$1006,0)))),"Fix")))</f>
        <v xml:space="preserve"> </v>
      </c>
      <c r="F227" s="4" t="str">
        <f ca="1">IF(OR(INDEX($AG$2:$AG$1001,MATCH(ROWS($AF$2:AF227),$AF$2:$AF$1001,0),1)&gt;=100000,INDEX($AM$1005:$BM$1005,1,MATCH(COLUMNS($AM$1006:AQ1006),$AM$1006:$BM$1006,0))&gt;=100000), " ",IF(INDEX($AM$2:$BM$1001,MATCH(ROWS($AF$2:AF227),$AF$2:$AF$1001,0),MATCH(COLUMNS($AM$1006:AQ1006),$AM$1006:$BM$1006,0)), HYPERLINK("#",""), HYPERLINK(CONCATENATE("#metadata!", ADDRESS(INDEX($AH$2:$AH$1001,MATCH(ROWS($AF$2:AF227),$AF$2:$AF$1001,0),0), INDEX($AM$1004:$BM$1004,1,MATCH(COLUMNS($AM$1006:AQ1006),$AM$1006:$BM$1006,0)))),"Fix")))</f>
        <v xml:space="preserve"> </v>
      </c>
      <c r="G227" s="4" t="str">
        <f ca="1">IF(OR(INDEX($AG$2:$AG$1001,MATCH(ROWS($AF$2:AF227),$AF$2:$AF$1001,0),1)&gt;=100000,INDEX($AM$1005:$BM$1005,1,MATCH(COLUMNS($AM$1006:AR1006),$AM$1006:$BM$1006,0))&gt;=100000), " ",IF(INDEX($AM$2:$BM$1001,MATCH(ROWS($AF$2:AF227),$AF$2:$AF$1001,0),MATCH(COLUMNS($AM$1006:AR1006),$AM$1006:$BM$1006,0)), HYPERLINK("#",""), HYPERLINK(CONCATENATE("#metadata!", ADDRESS(INDEX($AH$2:$AH$1001,MATCH(ROWS($AF$2:AF227),$AF$2:$AF$1001,0),0), INDEX($AM$1004:$BM$1004,1,MATCH(COLUMNS($AM$1006:AR1006),$AM$1006:$BM$1006,0)))),"Fix")))</f>
        <v xml:space="preserve"> </v>
      </c>
      <c r="H227" s="4" t="str">
        <f ca="1">IF(OR(INDEX($AG$2:$AG$1001,MATCH(ROWS($AF$2:AF227),$AF$2:$AF$1001,0),1)&gt;=100000,INDEX($AM$1005:$BM$1005,1,MATCH(COLUMNS($AM$1006:AS1006),$AM$1006:$BM$1006,0))&gt;=100000), " ",IF(INDEX($AM$2:$BM$1001,MATCH(ROWS($AF$2:AF227),$AF$2:$AF$1001,0),MATCH(COLUMNS($AM$1006:AS1006),$AM$1006:$BM$1006,0)), HYPERLINK("#",""), HYPERLINK(CONCATENATE("#metadata!", ADDRESS(INDEX($AH$2:$AH$1001,MATCH(ROWS($AF$2:AF227),$AF$2:$AF$1001,0),0), INDEX($AM$1004:$BM$1004,1,MATCH(COLUMNS($AM$1006:AS1006),$AM$1006:$BM$1006,0)))),"Fix")))</f>
        <v xml:space="preserve"> </v>
      </c>
      <c r="I227" s="4" t="str">
        <f ca="1">IF(OR(INDEX($AG$2:$AG$1001,MATCH(ROWS($AF$2:AF227),$AF$2:$AF$1001,0),1)&gt;=100000,INDEX($AM$1005:$BM$1005,1,MATCH(COLUMNS($AM$1006:AT1006),$AM$1006:$BM$1006,0))&gt;=100000), " ",IF(INDEX($AM$2:$BM$1001,MATCH(ROWS($AF$2:AF227),$AF$2:$AF$1001,0),MATCH(COLUMNS($AM$1006:AT1006),$AM$1006:$BM$1006,0)), HYPERLINK("#",""), HYPERLINK(CONCATENATE("#metadata!", ADDRESS(INDEX($AH$2:$AH$1001,MATCH(ROWS($AF$2:AF227),$AF$2:$AF$1001,0),0), INDEX($AM$1004:$BM$1004,1,MATCH(COLUMNS($AM$1006:AT1006),$AM$1006:$BM$1006,0)))),"Fix")))</f>
        <v xml:space="preserve"> </v>
      </c>
      <c r="J227" s="4" t="str">
        <f ca="1">IF(OR(INDEX($AG$2:$AG$1001,MATCH(ROWS($AF$2:AF227),$AF$2:$AF$1001,0),1)&gt;=100000,INDEX($AM$1005:$BM$1005,1,MATCH(COLUMNS($AM$1006:AU1006),$AM$1006:$BM$1006,0))&gt;=100000), " ",IF(INDEX($AM$2:$BM$1001,MATCH(ROWS($AF$2:AF227),$AF$2:$AF$1001,0),MATCH(COLUMNS($AM$1006:AU1006),$AM$1006:$BM$1006,0)), HYPERLINK("#",""), HYPERLINK(CONCATENATE("#metadata!", ADDRESS(INDEX($AH$2:$AH$1001,MATCH(ROWS($AF$2:AF227),$AF$2:$AF$1001,0),0), INDEX($AM$1004:$BM$1004,1,MATCH(COLUMNS($AM$1006:AU1006),$AM$1006:$BM$1006,0)))),"Fix")))</f>
        <v xml:space="preserve"> </v>
      </c>
      <c r="K227" s="4" t="str">
        <f ca="1">IF(OR(INDEX($AG$2:$AG$1001,MATCH(ROWS($AF$2:AF227),$AF$2:$AF$1001,0),1)&gt;=100000,INDEX($AM$1005:$BM$1005,1,MATCH(COLUMNS($AM$1006:AV1006),$AM$1006:$BM$1006,0))&gt;=100000), " ",IF(INDEX($AM$2:$BM$1001,MATCH(ROWS($AF$2:AF227),$AF$2:$AF$1001,0),MATCH(COLUMNS($AM$1006:AV1006),$AM$1006:$BM$1006,0)), HYPERLINK("#",""), HYPERLINK(CONCATENATE("#metadata!", ADDRESS(INDEX($AH$2:$AH$1001,MATCH(ROWS($AF$2:AF227),$AF$2:$AF$1001,0),0), INDEX($AM$1004:$BM$1004,1,MATCH(COLUMNS($AM$1006:AV1006),$AM$1006:$BM$1006,0)))),"Fix")))</f>
        <v xml:space="preserve"> </v>
      </c>
      <c r="L227" s="4" t="str">
        <f ca="1">IF(OR(INDEX($AG$2:$AG$1001,MATCH(ROWS($AF$2:AF227),$AF$2:$AF$1001,0),1)&gt;=100000,INDEX($AM$1005:$BM$1005,1,MATCH(COLUMNS($AM$1006:AW1006),$AM$1006:$BM$1006,0))&gt;=100000), " ",IF(INDEX($AM$2:$BM$1001,MATCH(ROWS($AF$2:AF227),$AF$2:$AF$1001,0),MATCH(COLUMNS($AM$1006:AW1006),$AM$1006:$BM$1006,0)), HYPERLINK("#",""), HYPERLINK(CONCATENATE("#metadata!", ADDRESS(INDEX($AH$2:$AH$1001,MATCH(ROWS($AF$2:AF227),$AF$2:$AF$1001,0),0), INDEX($AM$1004:$BM$1004,1,MATCH(COLUMNS($AM$1006:AW1006),$AM$1006:$BM$1006,0)))),"Fix")))</f>
        <v xml:space="preserve"> </v>
      </c>
      <c r="M227" s="4" t="str">
        <f ca="1">IF(OR(INDEX($AG$2:$AG$1001,MATCH(ROWS($AF$2:AF227),$AF$2:$AF$1001,0),1)&gt;=100000,INDEX($AM$1005:$BM$1005,1,MATCH(COLUMNS($AM$1006:AX1006),$AM$1006:$BM$1006,0))&gt;=100000), " ",IF(INDEX($AM$2:$BM$1001,MATCH(ROWS($AF$2:AF227),$AF$2:$AF$1001,0),MATCH(COLUMNS($AM$1006:AX1006),$AM$1006:$BM$1006,0)), HYPERLINK("#",""), HYPERLINK(CONCATENATE("#metadata!", ADDRESS(INDEX($AH$2:$AH$1001,MATCH(ROWS($AF$2:AF227),$AF$2:$AF$1001,0),0), INDEX($AM$1004:$BM$1004,1,MATCH(COLUMNS($AM$1006:AX1006),$AM$1006:$BM$1006,0)))),"Fix")))</f>
        <v xml:space="preserve"> </v>
      </c>
      <c r="N227" s="4" t="str">
        <f ca="1">IF(OR(INDEX($AG$2:$AG$1001,MATCH(ROWS($AF$2:AF227),$AF$2:$AF$1001,0),1)&gt;=100000,INDEX($AM$1005:$BM$1005,1,MATCH(COLUMNS($AM$1006:AY1006),$AM$1006:$BM$1006,0))&gt;=100000), " ",IF(INDEX($AM$2:$BM$1001,MATCH(ROWS($AF$2:AF227),$AF$2:$AF$1001,0),MATCH(COLUMNS($AM$1006:AY1006),$AM$1006:$BM$1006,0)), HYPERLINK("#",""), HYPERLINK(CONCATENATE("#metadata!", ADDRESS(INDEX($AH$2:$AH$1001,MATCH(ROWS($AF$2:AF227),$AF$2:$AF$1001,0),0), INDEX($AM$1004:$BM$1004,1,MATCH(COLUMNS($AM$1006:AY1006),$AM$1006:$BM$1006,0)))),"Fix")))</f>
        <v xml:space="preserve"> </v>
      </c>
      <c r="O227" s="4" t="str">
        <f ca="1">IF(OR(INDEX($AG$2:$AG$1001,MATCH(ROWS($AF$2:AF227),$AF$2:$AF$1001,0),1)&gt;=100000,INDEX($AM$1005:$BM$1005,1,MATCH(COLUMNS($AM$1006:AZ1006),$AM$1006:$BM$1006,0))&gt;=100000), " ",IF(INDEX($AM$2:$BM$1001,MATCH(ROWS($AF$2:AF227),$AF$2:$AF$1001,0),MATCH(COLUMNS($AM$1006:AZ1006),$AM$1006:$BM$1006,0)), HYPERLINK("#",""), HYPERLINK(CONCATENATE("#metadata!", ADDRESS(INDEX($AH$2:$AH$1001,MATCH(ROWS($AF$2:AF227),$AF$2:$AF$1001,0),0), INDEX($AM$1004:$BM$1004,1,MATCH(COLUMNS($AM$1006:AZ1006),$AM$1006:$BM$1006,0)))),"Fix")))</f>
        <v xml:space="preserve"> </v>
      </c>
      <c r="P227" s="4" t="str">
        <f ca="1">IF(OR(INDEX($AG$2:$AG$1001,MATCH(ROWS($AF$2:AF227),$AF$2:$AF$1001,0),1)&gt;=100000,INDEX($AM$1005:$BM$1005,1,MATCH(COLUMNS($AM$1006:BA1006),$AM$1006:$BM$1006,0))&gt;=100000), " ",IF(INDEX($AM$2:$BM$1001,MATCH(ROWS($AF$2:AF227),$AF$2:$AF$1001,0),MATCH(COLUMNS($AM$1006:BA1006),$AM$1006:$BM$1006,0)), HYPERLINK("#",""), HYPERLINK(CONCATENATE("#metadata!", ADDRESS(INDEX($AH$2:$AH$1001,MATCH(ROWS($AF$2:AF227),$AF$2:$AF$1001,0),0), INDEX($AM$1004:$BM$1004,1,MATCH(COLUMNS($AM$1006:BA1006),$AM$1006:$BM$1006,0)))),"Fix")))</f>
        <v xml:space="preserve"> </v>
      </c>
      <c r="Q227" s="4" t="str">
        <f ca="1">IF(OR(INDEX($AG$2:$AG$1001,MATCH(ROWS($AF$2:AF227),$AF$2:$AF$1001,0),1)&gt;=100000,INDEX($AM$1005:$BM$1005,1,MATCH(COLUMNS($AM$1006:BB1006),$AM$1006:$BM$1006,0))&gt;=100000), " ",IF(INDEX($AM$2:$BM$1001,MATCH(ROWS($AF$2:AF227),$AF$2:$AF$1001,0),MATCH(COLUMNS($AM$1006:BB1006),$AM$1006:$BM$1006,0)), HYPERLINK("#",""), HYPERLINK(CONCATENATE("#metadata!", ADDRESS(INDEX($AH$2:$AH$1001,MATCH(ROWS($AF$2:AF227),$AF$2:$AF$1001,0),0), INDEX($AM$1004:$BM$1004,1,MATCH(COLUMNS($AM$1006:BB1006),$AM$1006:$BM$1006,0)))),"Fix")))</f>
        <v xml:space="preserve"> </v>
      </c>
      <c r="R227" s="4" t="str">
        <f ca="1">IF(OR(INDEX($AG$2:$AG$1001,MATCH(ROWS($AF$2:AF227),$AF$2:$AF$1001,0),1)&gt;=100000,INDEX($AM$1005:$BM$1005,1,MATCH(COLUMNS($AM$1006:BC1006),$AM$1006:$BM$1006,0))&gt;=100000), " ",IF(INDEX($AM$2:$BM$1001,MATCH(ROWS($AF$2:AF227),$AF$2:$AF$1001,0),MATCH(COLUMNS($AM$1006:BC1006),$AM$1006:$BM$1006,0)), HYPERLINK("#",""), HYPERLINK(CONCATENATE("#metadata!", ADDRESS(INDEX($AH$2:$AH$1001,MATCH(ROWS($AF$2:AF227),$AF$2:$AF$1001,0),0), INDEX($AM$1004:$BM$1004,1,MATCH(COLUMNS($AM$1006:BC1006),$AM$1006:$BM$1006,0)))),"Fix")))</f>
        <v xml:space="preserve"> </v>
      </c>
      <c r="S227" s="4" t="str">
        <f ca="1">IF(OR(INDEX($AG$2:$AG$1001,MATCH(ROWS($AF$2:AF227),$AF$2:$AF$1001,0),1)&gt;=100000,INDEX($AM$1005:$BM$1005,1,MATCH(COLUMNS($AM$1006:BD1006),$AM$1006:$BM$1006,0))&gt;=100000), " ",IF(INDEX($AM$2:$BM$1001,MATCH(ROWS($AF$2:AF227),$AF$2:$AF$1001,0),MATCH(COLUMNS($AM$1006:BD1006),$AM$1006:$BM$1006,0)), HYPERLINK("#",""), HYPERLINK(CONCATENATE("#metadata!", ADDRESS(INDEX($AH$2:$AH$1001,MATCH(ROWS($AF$2:AF227),$AF$2:$AF$1001,0),0), INDEX($AM$1004:$BM$1004,1,MATCH(COLUMNS($AM$1006:BD1006),$AM$1006:$BM$1006,0)))),"Fix")))</f>
        <v xml:space="preserve"> </v>
      </c>
      <c r="T227" s="4" t="str">
        <f ca="1">IF(OR(INDEX($AG$2:$AG$1001,MATCH(ROWS($AF$2:AF227),$AF$2:$AF$1001,0),1)&gt;=100000,INDEX($AM$1005:$BM$1005,1,MATCH(COLUMNS($AM$1006:BE1006),$AM$1006:$BM$1006,0))&gt;=100000), " ",IF(INDEX($AM$2:$BM$1001,MATCH(ROWS($AF$2:AF227),$AF$2:$AF$1001,0),MATCH(COLUMNS($AM$1006:BE1006),$AM$1006:$BM$1006,0)), HYPERLINK("#",""), HYPERLINK(CONCATENATE("#metadata!", ADDRESS(INDEX($AH$2:$AH$1001,MATCH(ROWS($AF$2:AF227),$AF$2:$AF$1001,0),0), INDEX($AM$1004:$BM$1004,1,MATCH(COLUMNS($AM$1006:BE1006),$AM$1006:$BM$1006,0)))),"Fix")))</f>
        <v xml:space="preserve"> </v>
      </c>
      <c r="U227" s="4" t="str">
        <f ca="1">IF(OR(INDEX($AG$2:$AG$1001,MATCH(ROWS($AF$2:AF227),$AF$2:$AF$1001,0),1)&gt;=100000,INDEX($AM$1005:$BM$1005,1,MATCH(COLUMNS($AM$1006:BF1006),$AM$1006:$BM$1006,0))&gt;=100000), " ",IF(INDEX($AM$2:$BM$1001,MATCH(ROWS($AF$2:AF227),$AF$2:$AF$1001,0),MATCH(COLUMNS($AM$1006:BF1006),$AM$1006:$BM$1006,0)), HYPERLINK("#",""), HYPERLINK(CONCATENATE("#metadata!", ADDRESS(INDEX($AH$2:$AH$1001,MATCH(ROWS($AF$2:AF227),$AF$2:$AF$1001,0),0), INDEX($AM$1004:$BM$1004,1,MATCH(COLUMNS($AM$1006:BF1006),$AM$1006:$BM$1006,0)))),"Fix")))</f>
        <v xml:space="preserve"> </v>
      </c>
      <c r="V227" s="4" t="str">
        <f ca="1">IF(OR(INDEX($AG$2:$AG$1001,MATCH(ROWS($AF$2:AF227),$AF$2:$AF$1001,0),1)&gt;=100000,INDEX($AM$1005:$BM$1005,1,MATCH(COLUMNS($AM$1006:BG1006),$AM$1006:$BM$1006,0))&gt;=100000), " ",IF(INDEX($AM$2:$BM$1001,MATCH(ROWS($AF$2:AF227),$AF$2:$AF$1001,0),MATCH(COLUMNS($AM$1006:BG1006),$AM$1006:$BM$1006,0)), HYPERLINK("#",""), HYPERLINK(CONCATENATE("#metadata!", ADDRESS(INDEX($AH$2:$AH$1001,MATCH(ROWS($AF$2:AF227),$AF$2:$AF$1001,0),0), INDEX($AM$1004:$BM$1004,1,MATCH(COLUMNS($AM$1006:BG1006),$AM$1006:$BM$1006,0)))),"Fix")))</f>
        <v xml:space="preserve"> </v>
      </c>
      <c r="W227" s="4" t="str">
        <f ca="1">IF(OR(INDEX($AG$2:$AG$1001,MATCH(ROWS($AF$2:AF227),$AF$2:$AF$1001,0),1)&gt;=100000,INDEX($AM$1005:$BM$1005,1,MATCH(COLUMNS($AM$1006:BH1006),$AM$1006:$BM$1006,0))&gt;=100000), " ",IF(INDEX($AM$2:$BM$1001,MATCH(ROWS($AF$2:AF227),$AF$2:$AF$1001,0),MATCH(COLUMNS($AM$1006:BH1006),$AM$1006:$BM$1006,0)), HYPERLINK("#",""), HYPERLINK(CONCATENATE("#metadata!", ADDRESS(INDEX($AH$2:$AH$1001,MATCH(ROWS($AF$2:AF227),$AF$2:$AF$1001,0),0), INDEX($AM$1004:$BM$1004,1,MATCH(COLUMNS($AM$1006:BH1006),$AM$1006:$BM$1006,0)))),"Fix")))</f>
        <v xml:space="preserve"> </v>
      </c>
      <c r="X227" s="4" t="str">
        <f ca="1">IF(OR(INDEX($AG$2:$AG$1001,MATCH(ROWS($AF$2:AF227),$AF$2:$AF$1001,0),1)&gt;=100000,INDEX($AM$1005:$BM$1005,1,MATCH(COLUMNS($AM$1006:BI1006),$AM$1006:$BM$1006,0))&gt;=100000), " ",IF(INDEX($AM$2:$BM$1001,MATCH(ROWS($AF$2:AF227),$AF$2:$AF$1001,0),MATCH(COLUMNS($AM$1006:BI1006),$AM$1006:$BM$1006,0)), HYPERLINK("#",""), HYPERLINK(CONCATENATE("#metadata!", ADDRESS(INDEX($AH$2:$AH$1001,MATCH(ROWS($AF$2:AF227),$AF$2:$AF$1001,0),0), INDEX($AM$1004:$BM$1004,1,MATCH(COLUMNS($AM$1006:BI1006),$AM$1006:$BM$1006,0)))),"Fix")))</f>
        <v xml:space="preserve"> </v>
      </c>
      <c r="Y227" s="4" t="str">
        <f ca="1">IF(OR(INDEX($AG$2:$AG$1001,MATCH(ROWS($AF$2:AF227),$AF$2:$AF$1001,0),1)&gt;=100000,INDEX($AM$1005:$BM$1005,1,MATCH(COLUMNS($AM$1006:BJ1006),$AM$1006:$BM$1006,0))&gt;=100000), " ",IF(INDEX($AM$2:$BM$1001,MATCH(ROWS($AF$2:AF227),$AF$2:$AF$1001,0),MATCH(COLUMNS($AM$1006:BJ1006),$AM$1006:$BM$1006,0)), HYPERLINK("#",""), HYPERLINK(CONCATENATE("#metadata!", ADDRESS(INDEX($AH$2:$AH$1001,MATCH(ROWS($AF$2:AF227),$AF$2:$AF$1001,0),0), INDEX($AM$1004:$BM$1004,1,MATCH(COLUMNS($AM$1006:BJ1006),$AM$1006:$BM$1006,0)))),"Fix")))</f>
        <v xml:space="preserve"> </v>
      </c>
      <c r="Z227" s="4" t="str">
        <f ca="1">IF(OR(INDEX($AG$2:$AG$1001,MATCH(ROWS($AF$2:AF227),$AF$2:$AF$1001,0),1)&gt;=100000,INDEX($AM$1005:$BM$1005,1,MATCH(COLUMNS($AM$1006:BK1006),$AM$1006:$BM$1006,0))&gt;=100000), " ",IF(INDEX($AM$2:$BM$1001,MATCH(ROWS($AF$2:AF227),$AF$2:$AF$1001,0),MATCH(COLUMNS($AM$1006:BK1006),$AM$1006:$BM$1006,0)), HYPERLINK("#",""), HYPERLINK(CONCATENATE("#metadata!", ADDRESS(INDEX($AH$2:$AH$1001,MATCH(ROWS($AF$2:AF227),$AF$2:$AF$1001,0),0), INDEX($AM$1004:$BM$1004,1,MATCH(COLUMNS($AM$1006:BK1006),$AM$1006:$BM$1006,0)))),"Fix")))</f>
        <v xml:space="preserve"> </v>
      </c>
      <c r="AA227" s="4" t="str">
        <f ca="1">IF(OR(INDEX($AG$2:$AG$1001,MATCH(ROWS($AF$2:AF227),$AF$2:$AF$1001,0),1)&gt;=100000,INDEX($AM$1005:$BM$1005,1,MATCH(COLUMNS($AM$1006:BL1006),$AM$1006:$BM$1006,0))&gt;=100000), " ",IF(INDEX($AM$2:$BM$1001,MATCH(ROWS($AF$2:AF227),$AF$2:$AF$1001,0),MATCH(COLUMNS($AM$1006:BL1006),$AM$1006:$BM$1006,0)), HYPERLINK("#",""), HYPERLINK(CONCATENATE("#metadata!", ADDRESS(INDEX($AH$2:$AH$1001,MATCH(ROWS($AF$2:AF227),$AF$2:$AF$1001,0),0), INDEX($AM$1004:$BM$1004,1,MATCH(COLUMNS($AM$1006:BL1006),$AM$1006:$BM$1006,0)))),"Fix")))</f>
        <v xml:space="preserve"> </v>
      </c>
      <c r="AB227" s="4" t="str">
        <f ca="1">IF(OR(INDEX($AG$2:$AG$1001,MATCH(ROWS($AF$2:AF227),$AF$2:$AF$1001,0),1)&gt;=100000,INDEX($AM$1005:$BM$1005,1,MATCH(COLUMNS($AM$1006:BM1006),$AM$1006:$BM$1006,0))&gt;=100000), " ",IF(INDEX($AM$2:$BM$1001,MATCH(ROWS($AF$2:AF227),$AF$2:$AF$1001,0),MATCH(COLUMNS($AM$1006:BM1006),$AM$1006:$BM$1006,0)), HYPERLINK("#",""), HYPERLINK(CONCATENATE("#metadata!", ADDRESS(INDEX($AH$2:$AH$1001,MATCH(ROWS($AF$2:AF227),$AF$2:$AF$1001,0),0), INDEX($AM$1004:$BM$1004,1,MATCH(COLUMNS($AM$1006:BM1006),$AM$1006:$BM$1006,0)))),"Fix")))</f>
        <v xml:space="preserve"> </v>
      </c>
      <c r="AF227">
        <v>226</v>
      </c>
      <c r="AG227">
        <v>100227</v>
      </c>
      <c r="AH227">
        <v>227</v>
      </c>
      <c r="AI227" t="b">
        <f t="shared" si="3"/>
        <v>1</v>
      </c>
      <c r="AJ227" t="b">
        <f>COUNTBLANK(metadata!B227:AB227)=COLUMNS(metadata!B227:AB227)</f>
        <v>1</v>
      </c>
      <c r="AK227" t="str">
        <v/>
      </c>
      <c r="AM227" t="b">
        <f ca="1">AND(IF(metadata!B227="",FALSE,TRUE),COUNTIF(metadata!B:B, metadata!B227) = 1,NOT(ISERROR(SUMPRODUCT(SEARCH(MID(metadata!B227,ROW(INDIRECT("1:"&amp;LEN(metadata!B227))), 1),"0123456789abcdefghijklmnopqrstuvwxyzABCDEFGHIJKLMNOPQRSTUVWXYZ.")))))</f>
        <v>0</v>
      </c>
      <c r="AN227" t="b">
        <f ca="1">OR(AND(IF(metadata!C227="",FALSE,TRUE),OR(EXACT(metadata!C227,"missing: not collected"),EXACT(metadata!C227,"missing: not provided"),EXACT(metadata!C227,"missing: restricted access"))),AND(IF(metadata!C227="",FALSE,TRUE),AND(AND(IFERROR(INT(LEFT(metadata!C227,4))&gt;1900,FALSE),IFERROR(INT(LEFT(metadata!C227,4))&lt;=YEAR(NOW()),FALSE)), OR(MID(metadata!C227,5,1)="", AND(AND(MID(metadata!C227,5,1)="-",IFERROR(INT(MID(metadata!C227,6,1))&gt;=0,FALSE),IFERROR(INT(MID(metadata!C227,6,1))&lt;=1,FALSE),NOT(MID(metadata!C227,7,1)=""),IFERROR(INT(MID(metadata!C227,6,2))&gt;=1,FALSE),IFERROR(INT(MID(metadata!C227,6,2))&lt;=12,FALSE)), OR(MID(metadata!C227,8,1)="", AND(AND(MID(metadata!C227,8,1)="-",IFERROR(INT(MID(metadata!C227,9,1))&gt;=0,FALSE),IFERROR(INT(MID(metadata!C227,9,1))&lt;=3,FALSE),NOT(MID(metadata!C227,10,1)=""),IFERROR(INT(MID(metadata!C227,9,2))&gt;=1,FALSE),IFERROR(INT(MID(metadata!C227,9,2))&lt;=31,FALSE)), OR(MID(metadata!C227,11,1)="", AND(AND(MID(metadata!C227,11,1)=" ",IFERROR(INT(MID(metadata!C227,12,1))&gt;=0,FALSE),IFERROR(INT(MID(metadata!C227,12,1))&lt;=2,FALSE),NOT(MID(metadata!C227,13,1)=""),IFERROR(INT(MID(metadata!C227,12,2))&gt;=0,FALSE),IFERROR(INT(MID(metadata!C227,12,2))&lt;=23,FALSE)), OR(MID(metadata!C227,14,1)="", AND(AND(MID(metadata!C227,14,1)=":",IFERROR(INT(MID(metadata!C227,15,1))&gt;=0,FALSE),IFERROR(INT(MID(metadata!C227,15,1))&lt;=5,FALSE),NOT(MID(metadata!C227,16,1)=""),IFERROR(INT(MID(metadata!C227,15,2))&gt;=0,FALSE),IFERROR(INT(MID(metadata!C227,15,2))&lt;=59,FALSE)), OR(MID(metadata!C227,17,1)="", AND(AND(MID(metadata!C227,17,1)=":",IFERROR(INT(MID(metadata!C227,18,1))&gt;=0,FALSE),IFERROR(INT(MID(metadata!C227,18,1))&lt;=5,FALSE),NOT(MID(metadata!C227,19,1)=""),IFERROR(INT(MID(metadata!C227,18,2))&gt;=0,FALSE),IFERROR(INT(MID(metadata!C227,18,2))&lt;=59,FALSE)), LEN(metadata!C227)&lt;=19)))))))))))))</f>
        <v>0</v>
      </c>
      <c r="AO227" t="b">
        <f>AND(IF(metadata!D227="",FALSE,TRUE),EXACT(metadata!D227,"Not applicable"))</f>
        <v>0</v>
      </c>
      <c r="AP227" t="b">
        <f>IF(metadata!E227="",FALSE,TRUE)</f>
        <v>0</v>
      </c>
      <c r="AQ227" t="b">
        <f>OR(AND(IF(metadata!F227="",FALSE,TRUE),OR(EXACT(metadata!F227,"missing: not collected"),EXACT(metadata!F227,"missing: not provided"))),AND(IF(metadata!F227="",FALSE,TRUE),OR(EXACT(metadata!F227,"TRUE"),EXACT(metadata!F227,"FALSE"))))</f>
        <v>0</v>
      </c>
      <c r="AR227" t="b">
        <f>OR(AND(IF(metadata!G227="",FALSE,TRUE),OR(EXACT(metadata!G227,"missing: not collected"),EXACT(metadata!G227,"missing: not provided"),EXACT(metadata!G227,"missing: restricted access"))),AND(IF(metadata!G227="",FALSE,ISNUMBER(VALUE(metadata!G227))),metadata!G227&gt;=-413))</f>
        <v>0</v>
      </c>
      <c r="AS227" t="b">
        <f>AND(IF(metadata!H227="",FALSE,TRUE),EXACT(metadata!H227,"meters"))</f>
        <v>0</v>
      </c>
      <c r="AT227" t="b">
        <f>AND(IF(metadata!I227="",FALSE,TRUE),OR(EXACT(metadata!I227,"Host-associated"),EXACT(metadata!I227,"Free-living")))</f>
        <v>0</v>
      </c>
      <c r="AU227" t="b">
        <f>AND(IF(metadata!J227="",FALSE,TRUE),OR(EXACT(metadata!J227,"Animal"),EXACT(metadata!J227,"Fungus"),EXACT(metadata!J227,"Plant"),EXACT(metadata!J227,"Saline"),EXACT(metadata!J227,"Non-saline")))</f>
        <v>0</v>
      </c>
      <c r="AV227" t="b">
        <f>AND(IF(metadata!K227="",FALSE,TRUE),OR(EXACT(metadata!K227,"Plant secretion"),EXACT(metadata!K227,"Plant rhizosphere"),EXACT(metadata!K227,"Plant surface"),EXACT(metadata!K227,"Plant corpus"),EXACT(metadata!K227,"Fungus surface"),EXACT(metadata!K227,"Fungus corpus"),EXACT(metadata!K227,"Animal surface"),EXACT(metadata!K227,"Animal proximal gut"),EXACT(metadata!K227,"Animal corpus"),EXACT(metadata!K227,"Animal distal gut"),EXACT(metadata!K227,"Animal secretion"),EXACT(metadata!K227,"Sub-surface (non-saline)"),EXACT(metadata!K227,"Surface (non-saline)"),EXACT(metadata!K227,"Water (non-saline)"),EXACT(metadata!K227,"Soil (non-saline)"),EXACT(metadata!K227,"Aerosol (non-saline)"),EXACT(metadata!K227,"Sediment (non-saline)"),EXACT(metadata!K227,"Surface (saline)"),EXACT(metadata!K227,"Water (saline)"),EXACT(metadata!K227,"Hypersaline (saline)"),EXACT(metadata!K227,"Aerosol (saline)"),EXACT(metadata!K227,"Sediment (saline)")))</f>
        <v>0</v>
      </c>
      <c r="AW227" t="b">
        <f>IF(metadata!L227="",FALSE,TRUE)</f>
        <v>0</v>
      </c>
      <c r="AX227" t="b">
        <f>IF(metadata!M227="",FALSE,TRUE)</f>
        <v>0</v>
      </c>
      <c r="AY227" t="b">
        <f>IF(metadata!N227="",FALSE,TRUE)</f>
        <v>0</v>
      </c>
      <c r="AZ227" t="b">
        <f>OR(AND(IF(metadata!O227="",FALSE,TRUE),OR(EXACT(metadata!O227,"missing: not collected"),EXACT(metadata!O227,"missing: not provided"),EXACT(metadata!O227,"missing: restricted access"))),AND(IF(metadata!O227="",FALSE,TRUE),OR(EXACT(metadata!O227,"air"),EXACT(metadata!O227,"built environment"),EXACT(metadata!O227,"host-associated"),EXACT(metadata!O227,"human-associated"),EXACT(metadata!O227,"human-skin"),EXACT(metadata!O227,"human-oral"),EXACT(metadata!O227,"human-gut"),EXACT(metadata!O227,"human-vaginal"),EXACT(metadata!O227,"microbial mat/biofilm"),EXACT(metadata!O227,"misc environment"),EXACT(metadata!O227,"plant-associated"),EXACT(metadata!O227,"sediment"),EXACT(metadata!O227,"soil"),EXACT(metadata!O227,"wastewater/sludge"),EXACT(metadata!O227,"water"))))</f>
        <v>0</v>
      </c>
      <c r="BA227" t="b">
        <f>IF(metadata!P227="",FALSE,TRUE)</f>
        <v>0</v>
      </c>
      <c r="BB227" t="b">
        <f>IF(metadata!Q227="",FALSE,TRUE)</f>
        <v>0</v>
      </c>
      <c r="BC227" t="b">
        <f>OR(AND(IF(metadata!R227="",FALSE,TRUE),OR(EXACT(metadata!R227,"missing: not collected"),EXACT(metadata!R227,"missing: not provided"),EXACT(metadata!R227,"missing: restricted access"))),AND(IF(metadata!R227="",FALSE,ISNUMBER(VALUE(metadata!R227))),metadata!R227&gt;=-90,metadata!R227&lt;=90))</f>
        <v>0</v>
      </c>
      <c r="BD227" t="b">
        <f>AND(IF(metadata!S227="",FALSE,TRUE),EXACT(metadata!S227,"Decimal degrees"))</f>
        <v>0</v>
      </c>
      <c r="BE227" t="b">
        <f>OR(AND(IF(metadata!T227="",FALSE,TRUE),OR(EXACT(metadata!T227,"missing: not collected"),EXACT(metadata!T227,"missing: not provided"),EXACT(metadata!T227,"missing: restricted access"))),AND(IF(metadata!T227="",FALSE,ISNUMBER(VALUE(metadata!T227))),metadata!T227&gt;=-180,metadata!T227&lt;=180))</f>
        <v>0</v>
      </c>
      <c r="BF227" t="b">
        <f>AND(IF(metadata!U227="",FALSE,TRUE),EXACT(metadata!U227,"Decimal degrees"))</f>
        <v>0</v>
      </c>
      <c r="BG227" t="b">
        <f>IF(metadata!V227="",FALSE,TRUE)</f>
        <v>0</v>
      </c>
      <c r="BH227" t="b">
        <f>OR(AND(IF(metadata!W227="",FALSE,TRUE),OR(EXACT(metadata!W227,"missing: not collected"),EXACT(metadata!W227,"missing: not provided"),EXACT(metadata!W227,"missing: restricted access"))),AND(IF(metadata!W227="",FALSE,TRUE),OR(EXACT(metadata!W227,"TRUE"),EXACT(metadata!W227,"FALSE"))))</f>
        <v>0</v>
      </c>
      <c r="BI227" t="b">
        <f>AND(IF(metadata!X227="",FALSE,TRUE),EXACT(metadata!X227,"other"))</f>
        <v>0</v>
      </c>
      <c r="BJ227" t="b">
        <f>IF(metadata!Y227="",FALSE,TRUE)</f>
        <v>0</v>
      </c>
      <c r="BK227" t="b">
        <f>OR(AND(IF(metadata!Z227="",FALSE,TRUE),OR(EXACT(metadata!Z227,"missing: not collected"),EXACT(metadata!Z227,"missing: not provided"))),AND(IF(metadata!Z227="",FALSE,IF(ISERROR(INT(metadata!Z227)),FALSE,INT(metadata!Z227)=metadata!Z227)),metadata!Z227&gt;0))</f>
        <v>0</v>
      </c>
      <c r="BL227" t="b">
        <f>AND(IF(metadata!AA227="",FALSE,TRUE),EXACT(metadata!AA227,"Not applicable"))</f>
        <v>0</v>
      </c>
      <c r="BM227" t="b">
        <f>IF(metadata!AB227="",FALSE,TRUE)</f>
        <v>0</v>
      </c>
    </row>
    <row r="228" spans="1:65" x14ac:dyDescent="0.2">
      <c r="A228" s="5" t="str">
        <f ca="1">IF(B228=" "," ",HYPERLINK(CONCATENATE("#metadata!",ADDRESS(INDEX($AH$2:$AH$1001,MATCH(ROWS($AF$2:AF228),$AF$2:$AF$1001,0),0),1)),INDEX($AK$2:$AK$1001,MATCH(ROWS($AF$2:AF228),$AF$2:$AF$1001,0),0)))</f>
        <v xml:space="preserve"> </v>
      </c>
      <c r="B228" s="4" t="str">
        <f ca="1">IF(OR(INDEX($AG$2:$AG$1001,MATCH(ROWS($AF$2:AF228),$AF$2:$AF$1001,0),1)&gt;=100000,INDEX($AM$1005:$BM$1005,1,MATCH(COLUMNS($AM$1006:AM1006),$AM$1006:$BM$1006,0))&gt;=100000), " ",IF(INDEX($AM$2:$BM$1001,MATCH(ROWS($AF$2:AF228),$AF$2:$AF$1001,0),MATCH(COLUMNS($AM$1006:AM1006),$AM$1006:$BM$1006,0)), HYPERLINK("#",""), HYPERLINK(CONCATENATE("#metadata!", ADDRESS(INDEX($AH$2:$AH$1001,MATCH(ROWS($AF$2:AF228),$AF$2:$AF$1001,0),0), INDEX($AM$1004:$BM$1004,1,MATCH(COLUMNS($AM$1006:AM1006),$AM$1006:$BM$1006,0)))),"Fix")))</f>
        <v xml:space="preserve"> </v>
      </c>
      <c r="C228" s="4" t="str">
        <f ca="1">IF(OR(INDEX($AG$2:$AG$1001,MATCH(ROWS($AF$2:AF228),$AF$2:$AF$1001,0),1)&gt;=100000,INDEX($AM$1005:$BM$1005,1,MATCH(COLUMNS($AM$1006:AN1006),$AM$1006:$BM$1006,0))&gt;=100000), " ",IF(INDEX($AM$2:$BM$1001,MATCH(ROWS($AF$2:AF228),$AF$2:$AF$1001,0),MATCH(COLUMNS($AM$1006:AN1006),$AM$1006:$BM$1006,0)), HYPERLINK("#",""), HYPERLINK(CONCATENATE("#metadata!", ADDRESS(INDEX($AH$2:$AH$1001,MATCH(ROWS($AF$2:AF228),$AF$2:$AF$1001,0),0), INDEX($AM$1004:$BM$1004,1,MATCH(COLUMNS($AM$1006:AN1006),$AM$1006:$BM$1006,0)))),"Fix")))</f>
        <v xml:space="preserve"> </v>
      </c>
      <c r="D228" s="4" t="str">
        <f ca="1">IF(OR(INDEX($AG$2:$AG$1001,MATCH(ROWS($AF$2:AF228),$AF$2:$AF$1001,0),1)&gt;=100000,INDEX($AM$1005:$BM$1005,1,MATCH(COLUMNS($AM$1006:AO1006),$AM$1006:$BM$1006,0))&gt;=100000), " ",IF(INDEX($AM$2:$BM$1001,MATCH(ROWS($AF$2:AF228),$AF$2:$AF$1001,0),MATCH(COLUMNS($AM$1006:AO1006),$AM$1006:$BM$1006,0)), HYPERLINK("#",""), HYPERLINK(CONCATENATE("#metadata!", ADDRESS(INDEX($AH$2:$AH$1001,MATCH(ROWS($AF$2:AF228),$AF$2:$AF$1001,0),0), INDEX($AM$1004:$BM$1004,1,MATCH(COLUMNS($AM$1006:AO1006),$AM$1006:$BM$1006,0)))),"Fix")))</f>
        <v xml:space="preserve"> </v>
      </c>
      <c r="E228" s="4" t="str">
        <f ca="1">IF(OR(INDEX($AG$2:$AG$1001,MATCH(ROWS($AF$2:AF228),$AF$2:$AF$1001,0),1)&gt;=100000,INDEX($AM$1005:$BM$1005,1,MATCH(COLUMNS($AM$1006:AP1006),$AM$1006:$BM$1006,0))&gt;=100000), " ",IF(INDEX($AM$2:$BM$1001,MATCH(ROWS($AF$2:AF228),$AF$2:$AF$1001,0),MATCH(COLUMNS($AM$1006:AP1006),$AM$1006:$BM$1006,0)), HYPERLINK("#",""), HYPERLINK(CONCATENATE("#metadata!", ADDRESS(INDEX($AH$2:$AH$1001,MATCH(ROWS($AF$2:AF228),$AF$2:$AF$1001,0),0), INDEX($AM$1004:$BM$1004,1,MATCH(COLUMNS($AM$1006:AP1006),$AM$1006:$BM$1006,0)))),"Fix")))</f>
        <v xml:space="preserve"> </v>
      </c>
      <c r="F228" s="4" t="str">
        <f ca="1">IF(OR(INDEX($AG$2:$AG$1001,MATCH(ROWS($AF$2:AF228),$AF$2:$AF$1001,0),1)&gt;=100000,INDEX($AM$1005:$BM$1005,1,MATCH(COLUMNS($AM$1006:AQ1006),$AM$1006:$BM$1006,0))&gt;=100000), " ",IF(INDEX($AM$2:$BM$1001,MATCH(ROWS($AF$2:AF228),$AF$2:$AF$1001,0),MATCH(COLUMNS($AM$1006:AQ1006),$AM$1006:$BM$1006,0)), HYPERLINK("#",""), HYPERLINK(CONCATENATE("#metadata!", ADDRESS(INDEX($AH$2:$AH$1001,MATCH(ROWS($AF$2:AF228),$AF$2:$AF$1001,0),0), INDEX($AM$1004:$BM$1004,1,MATCH(COLUMNS($AM$1006:AQ1006),$AM$1006:$BM$1006,0)))),"Fix")))</f>
        <v xml:space="preserve"> </v>
      </c>
      <c r="G228" s="4" t="str">
        <f ca="1">IF(OR(INDEX($AG$2:$AG$1001,MATCH(ROWS($AF$2:AF228),$AF$2:$AF$1001,0),1)&gt;=100000,INDEX($AM$1005:$BM$1005,1,MATCH(COLUMNS($AM$1006:AR1006),$AM$1006:$BM$1006,0))&gt;=100000), " ",IF(INDEX($AM$2:$BM$1001,MATCH(ROWS($AF$2:AF228),$AF$2:$AF$1001,0),MATCH(COLUMNS($AM$1006:AR1006),$AM$1006:$BM$1006,0)), HYPERLINK("#",""), HYPERLINK(CONCATENATE("#metadata!", ADDRESS(INDEX($AH$2:$AH$1001,MATCH(ROWS($AF$2:AF228),$AF$2:$AF$1001,0),0), INDEX($AM$1004:$BM$1004,1,MATCH(COLUMNS($AM$1006:AR1006),$AM$1006:$BM$1006,0)))),"Fix")))</f>
        <v xml:space="preserve"> </v>
      </c>
      <c r="H228" s="4" t="str">
        <f ca="1">IF(OR(INDEX($AG$2:$AG$1001,MATCH(ROWS($AF$2:AF228),$AF$2:$AF$1001,0),1)&gt;=100000,INDEX($AM$1005:$BM$1005,1,MATCH(COLUMNS($AM$1006:AS1006),$AM$1006:$BM$1006,0))&gt;=100000), " ",IF(INDEX($AM$2:$BM$1001,MATCH(ROWS($AF$2:AF228),$AF$2:$AF$1001,0),MATCH(COLUMNS($AM$1006:AS1006),$AM$1006:$BM$1006,0)), HYPERLINK("#",""), HYPERLINK(CONCATENATE("#metadata!", ADDRESS(INDEX($AH$2:$AH$1001,MATCH(ROWS($AF$2:AF228),$AF$2:$AF$1001,0),0), INDEX($AM$1004:$BM$1004,1,MATCH(COLUMNS($AM$1006:AS1006),$AM$1006:$BM$1006,0)))),"Fix")))</f>
        <v xml:space="preserve"> </v>
      </c>
      <c r="I228" s="4" t="str">
        <f ca="1">IF(OR(INDEX($AG$2:$AG$1001,MATCH(ROWS($AF$2:AF228),$AF$2:$AF$1001,0),1)&gt;=100000,INDEX($AM$1005:$BM$1005,1,MATCH(COLUMNS($AM$1006:AT1006),$AM$1006:$BM$1006,0))&gt;=100000), " ",IF(INDEX($AM$2:$BM$1001,MATCH(ROWS($AF$2:AF228),$AF$2:$AF$1001,0),MATCH(COLUMNS($AM$1006:AT1006),$AM$1006:$BM$1006,0)), HYPERLINK("#",""), HYPERLINK(CONCATENATE("#metadata!", ADDRESS(INDEX($AH$2:$AH$1001,MATCH(ROWS($AF$2:AF228),$AF$2:$AF$1001,0),0), INDEX($AM$1004:$BM$1004,1,MATCH(COLUMNS($AM$1006:AT1006),$AM$1006:$BM$1006,0)))),"Fix")))</f>
        <v xml:space="preserve"> </v>
      </c>
      <c r="J228" s="4" t="str">
        <f ca="1">IF(OR(INDEX($AG$2:$AG$1001,MATCH(ROWS($AF$2:AF228),$AF$2:$AF$1001,0),1)&gt;=100000,INDEX($AM$1005:$BM$1005,1,MATCH(COLUMNS($AM$1006:AU1006),$AM$1006:$BM$1006,0))&gt;=100000), " ",IF(INDEX($AM$2:$BM$1001,MATCH(ROWS($AF$2:AF228),$AF$2:$AF$1001,0),MATCH(COLUMNS($AM$1006:AU1006),$AM$1006:$BM$1006,0)), HYPERLINK("#",""), HYPERLINK(CONCATENATE("#metadata!", ADDRESS(INDEX($AH$2:$AH$1001,MATCH(ROWS($AF$2:AF228),$AF$2:$AF$1001,0),0), INDEX($AM$1004:$BM$1004,1,MATCH(COLUMNS($AM$1006:AU1006),$AM$1006:$BM$1006,0)))),"Fix")))</f>
        <v xml:space="preserve"> </v>
      </c>
      <c r="K228" s="4" t="str">
        <f ca="1">IF(OR(INDEX($AG$2:$AG$1001,MATCH(ROWS($AF$2:AF228),$AF$2:$AF$1001,0),1)&gt;=100000,INDEX($AM$1005:$BM$1005,1,MATCH(COLUMNS($AM$1006:AV1006),$AM$1006:$BM$1006,0))&gt;=100000), " ",IF(INDEX($AM$2:$BM$1001,MATCH(ROWS($AF$2:AF228),$AF$2:$AF$1001,0),MATCH(COLUMNS($AM$1006:AV1006),$AM$1006:$BM$1006,0)), HYPERLINK("#",""), HYPERLINK(CONCATENATE("#metadata!", ADDRESS(INDEX($AH$2:$AH$1001,MATCH(ROWS($AF$2:AF228),$AF$2:$AF$1001,0),0), INDEX($AM$1004:$BM$1004,1,MATCH(COLUMNS($AM$1006:AV1006),$AM$1006:$BM$1006,0)))),"Fix")))</f>
        <v xml:space="preserve"> </v>
      </c>
      <c r="L228" s="4" t="str">
        <f ca="1">IF(OR(INDEX($AG$2:$AG$1001,MATCH(ROWS($AF$2:AF228),$AF$2:$AF$1001,0),1)&gt;=100000,INDEX($AM$1005:$BM$1005,1,MATCH(COLUMNS($AM$1006:AW1006),$AM$1006:$BM$1006,0))&gt;=100000), " ",IF(INDEX($AM$2:$BM$1001,MATCH(ROWS($AF$2:AF228),$AF$2:$AF$1001,0),MATCH(COLUMNS($AM$1006:AW1006),$AM$1006:$BM$1006,0)), HYPERLINK("#",""), HYPERLINK(CONCATENATE("#metadata!", ADDRESS(INDEX($AH$2:$AH$1001,MATCH(ROWS($AF$2:AF228),$AF$2:$AF$1001,0),0), INDEX($AM$1004:$BM$1004,1,MATCH(COLUMNS($AM$1006:AW1006),$AM$1006:$BM$1006,0)))),"Fix")))</f>
        <v xml:space="preserve"> </v>
      </c>
      <c r="M228" s="4" t="str">
        <f ca="1">IF(OR(INDEX($AG$2:$AG$1001,MATCH(ROWS($AF$2:AF228),$AF$2:$AF$1001,0),1)&gt;=100000,INDEX($AM$1005:$BM$1005,1,MATCH(COLUMNS($AM$1006:AX1006),$AM$1006:$BM$1006,0))&gt;=100000), " ",IF(INDEX($AM$2:$BM$1001,MATCH(ROWS($AF$2:AF228),$AF$2:$AF$1001,0),MATCH(COLUMNS($AM$1006:AX1006),$AM$1006:$BM$1006,0)), HYPERLINK("#",""), HYPERLINK(CONCATENATE("#metadata!", ADDRESS(INDEX($AH$2:$AH$1001,MATCH(ROWS($AF$2:AF228),$AF$2:$AF$1001,0),0), INDEX($AM$1004:$BM$1004,1,MATCH(COLUMNS($AM$1006:AX1006),$AM$1006:$BM$1006,0)))),"Fix")))</f>
        <v xml:space="preserve"> </v>
      </c>
      <c r="N228" s="4" t="str">
        <f ca="1">IF(OR(INDEX($AG$2:$AG$1001,MATCH(ROWS($AF$2:AF228),$AF$2:$AF$1001,0),1)&gt;=100000,INDEX($AM$1005:$BM$1005,1,MATCH(COLUMNS($AM$1006:AY1006),$AM$1006:$BM$1006,0))&gt;=100000), " ",IF(INDEX($AM$2:$BM$1001,MATCH(ROWS($AF$2:AF228),$AF$2:$AF$1001,0),MATCH(COLUMNS($AM$1006:AY1006),$AM$1006:$BM$1006,0)), HYPERLINK("#",""), HYPERLINK(CONCATENATE("#metadata!", ADDRESS(INDEX($AH$2:$AH$1001,MATCH(ROWS($AF$2:AF228),$AF$2:$AF$1001,0),0), INDEX($AM$1004:$BM$1004,1,MATCH(COLUMNS($AM$1006:AY1006),$AM$1006:$BM$1006,0)))),"Fix")))</f>
        <v xml:space="preserve"> </v>
      </c>
      <c r="O228" s="4" t="str">
        <f ca="1">IF(OR(INDEX($AG$2:$AG$1001,MATCH(ROWS($AF$2:AF228),$AF$2:$AF$1001,0),1)&gt;=100000,INDEX($AM$1005:$BM$1005,1,MATCH(COLUMNS($AM$1006:AZ1006),$AM$1006:$BM$1006,0))&gt;=100000), " ",IF(INDEX($AM$2:$BM$1001,MATCH(ROWS($AF$2:AF228),$AF$2:$AF$1001,0),MATCH(COLUMNS($AM$1006:AZ1006),$AM$1006:$BM$1006,0)), HYPERLINK("#",""), HYPERLINK(CONCATENATE("#metadata!", ADDRESS(INDEX($AH$2:$AH$1001,MATCH(ROWS($AF$2:AF228),$AF$2:$AF$1001,0),0), INDEX($AM$1004:$BM$1004,1,MATCH(COLUMNS($AM$1006:AZ1006),$AM$1006:$BM$1006,0)))),"Fix")))</f>
        <v xml:space="preserve"> </v>
      </c>
      <c r="P228" s="4" t="str">
        <f ca="1">IF(OR(INDEX($AG$2:$AG$1001,MATCH(ROWS($AF$2:AF228),$AF$2:$AF$1001,0),1)&gt;=100000,INDEX($AM$1005:$BM$1005,1,MATCH(COLUMNS($AM$1006:BA1006),$AM$1006:$BM$1006,0))&gt;=100000), " ",IF(INDEX($AM$2:$BM$1001,MATCH(ROWS($AF$2:AF228),$AF$2:$AF$1001,0),MATCH(COLUMNS($AM$1006:BA1006),$AM$1006:$BM$1006,0)), HYPERLINK("#",""), HYPERLINK(CONCATENATE("#metadata!", ADDRESS(INDEX($AH$2:$AH$1001,MATCH(ROWS($AF$2:AF228),$AF$2:$AF$1001,0),0), INDEX($AM$1004:$BM$1004,1,MATCH(COLUMNS($AM$1006:BA1006),$AM$1006:$BM$1006,0)))),"Fix")))</f>
        <v xml:space="preserve"> </v>
      </c>
      <c r="Q228" s="4" t="str">
        <f ca="1">IF(OR(INDEX($AG$2:$AG$1001,MATCH(ROWS($AF$2:AF228),$AF$2:$AF$1001,0),1)&gt;=100000,INDEX($AM$1005:$BM$1005,1,MATCH(COLUMNS($AM$1006:BB1006),$AM$1006:$BM$1006,0))&gt;=100000), " ",IF(INDEX($AM$2:$BM$1001,MATCH(ROWS($AF$2:AF228),$AF$2:$AF$1001,0),MATCH(COLUMNS($AM$1006:BB1006),$AM$1006:$BM$1006,0)), HYPERLINK("#",""), HYPERLINK(CONCATENATE("#metadata!", ADDRESS(INDEX($AH$2:$AH$1001,MATCH(ROWS($AF$2:AF228),$AF$2:$AF$1001,0),0), INDEX($AM$1004:$BM$1004,1,MATCH(COLUMNS($AM$1006:BB1006),$AM$1006:$BM$1006,0)))),"Fix")))</f>
        <v xml:space="preserve"> </v>
      </c>
      <c r="R228" s="4" t="str">
        <f ca="1">IF(OR(INDEX($AG$2:$AG$1001,MATCH(ROWS($AF$2:AF228),$AF$2:$AF$1001,0),1)&gt;=100000,INDEX($AM$1005:$BM$1005,1,MATCH(COLUMNS($AM$1006:BC1006),$AM$1006:$BM$1006,0))&gt;=100000), " ",IF(INDEX($AM$2:$BM$1001,MATCH(ROWS($AF$2:AF228),$AF$2:$AF$1001,0),MATCH(COLUMNS($AM$1006:BC1006),$AM$1006:$BM$1006,0)), HYPERLINK("#",""), HYPERLINK(CONCATENATE("#metadata!", ADDRESS(INDEX($AH$2:$AH$1001,MATCH(ROWS($AF$2:AF228),$AF$2:$AF$1001,0),0), INDEX($AM$1004:$BM$1004,1,MATCH(COLUMNS($AM$1006:BC1006),$AM$1006:$BM$1006,0)))),"Fix")))</f>
        <v xml:space="preserve"> </v>
      </c>
      <c r="S228" s="4" t="str">
        <f ca="1">IF(OR(INDEX($AG$2:$AG$1001,MATCH(ROWS($AF$2:AF228),$AF$2:$AF$1001,0),1)&gt;=100000,INDEX($AM$1005:$BM$1005,1,MATCH(COLUMNS($AM$1006:BD1006),$AM$1006:$BM$1006,0))&gt;=100000), " ",IF(INDEX($AM$2:$BM$1001,MATCH(ROWS($AF$2:AF228),$AF$2:$AF$1001,0),MATCH(COLUMNS($AM$1006:BD1006),$AM$1006:$BM$1006,0)), HYPERLINK("#",""), HYPERLINK(CONCATENATE("#metadata!", ADDRESS(INDEX($AH$2:$AH$1001,MATCH(ROWS($AF$2:AF228),$AF$2:$AF$1001,0),0), INDEX($AM$1004:$BM$1004,1,MATCH(COLUMNS($AM$1006:BD1006),$AM$1006:$BM$1006,0)))),"Fix")))</f>
        <v xml:space="preserve"> </v>
      </c>
      <c r="T228" s="4" t="str">
        <f ca="1">IF(OR(INDEX($AG$2:$AG$1001,MATCH(ROWS($AF$2:AF228),$AF$2:$AF$1001,0),1)&gt;=100000,INDEX($AM$1005:$BM$1005,1,MATCH(COLUMNS($AM$1006:BE1006),$AM$1006:$BM$1006,0))&gt;=100000), " ",IF(INDEX($AM$2:$BM$1001,MATCH(ROWS($AF$2:AF228),$AF$2:$AF$1001,0),MATCH(COLUMNS($AM$1006:BE1006),$AM$1006:$BM$1006,0)), HYPERLINK("#",""), HYPERLINK(CONCATENATE("#metadata!", ADDRESS(INDEX($AH$2:$AH$1001,MATCH(ROWS($AF$2:AF228),$AF$2:$AF$1001,0),0), INDEX($AM$1004:$BM$1004,1,MATCH(COLUMNS($AM$1006:BE1006),$AM$1006:$BM$1006,0)))),"Fix")))</f>
        <v xml:space="preserve"> </v>
      </c>
      <c r="U228" s="4" t="str">
        <f ca="1">IF(OR(INDEX($AG$2:$AG$1001,MATCH(ROWS($AF$2:AF228),$AF$2:$AF$1001,0),1)&gt;=100000,INDEX($AM$1005:$BM$1005,1,MATCH(COLUMNS($AM$1006:BF1006),$AM$1006:$BM$1006,0))&gt;=100000), " ",IF(INDEX($AM$2:$BM$1001,MATCH(ROWS($AF$2:AF228),$AF$2:$AF$1001,0),MATCH(COLUMNS($AM$1006:BF1006),$AM$1006:$BM$1006,0)), HYPERLINK("#",""), HYPERLINK(CONCATENATE("#metadata!", ADDRESS(INDEX($AH$2:$AH$1001,MATCH(ROWS($AF$2:AF228),$AF$2:$AF$1001,0),0), INDEX($AM$1004:$BM$1004,1,MATCH(COLUMNS($AM$1006:BF1006),$AM$1006:$BM$1006,0)))),"Fix")))</f>
        <v xml:space="preserve"> </v>
      </c>
      <c r="V228" s="4" t="str">
        <f ca="1">IF(OR(INDEX($AG$2:$AG$1001,MATCH(ROWS($AF$2:AF228),$AF$2:$AF$1001,0),1)&gt;=100000,INDEX($AM$1005:$BM$1005,1,MATCH(COLUMNS($AM$1006:BG1006),$AM$1006:$BM$1006,0))&gt;=100000), " ",IF(INDEX($AM$2:$BM$1001,MATCH(ROWS($AF$2:AF228),$AF$2:$AF$1001,0),MATCH(COLUMNS($AM$1006:BG1006),$AM$1006:$BM$1006,0)), HYPERLINK("#",""), HYPERLINK(CONCATENATE("#metadata!", ADDRESS(INDEX($AH$2:$AH$1001,MATCH(ROWS($AF$2:AF228),$AF$2:$AF$1001,0),0), INDEX($AM$1004:$BM$1004,1,MATCH(COLUMNS($AM$1006:BG1006),$AM$1006:$BM$1006,0)))),"Fix")))</f>
        <v xml:space="preserve"> </v>
      </c>
      <c r="W228" s="4" t="str">
        <f ca="1">IF(OR(INDEX($AG$2:$AG$1001,MATCH(ROWS($AF$2:AF228),$AF$2:$AF$1001,0),1)&gt;=100000,INDEX($AM$1005:$BM$1005,1,MATCH(COLUMNS($AM$1006:BH1006),$AM$1006:$BM$1006,0))&gt;=100000), " ",IF(INDEX($AM$2:$BM$1001,MATCH(ROWS($AF$2:AF228),$AF$2:$AF$1001,0),MATCH(COLUMNS($AM$1006:BH1006),$AM$1006:$BM$1006,0)), HYPERLINK("#",""), HYPERLINK(CONCATENATE("#metadata!", ADDRESS(INDEX($AH$2:$AH$1001,MATCH(ROWS($AF$2:AF228),$AF$2:$AF$1001,0),0), INDEX($AM$1004:$BM$1004,1,MATCH(COLUMNS($AM$1006:BH1006),$AM$1006:$BM$1006,0)))),"Fix")))</f>
        <v xml:space="preserve"> </v>
      </c>
      <c r="X228" s="4" t="str">
        <f ca="1">IF(OR(INDEX($AG$2:$AG$1001,MATCH(ROWS($AF$2:AF228),$AF$2:$AF$1001,0),1)&gt;=100000,INDEX($AM$1005:$BM$1005,1,MATCH(COLUMNS($AM$1006:BI1006),$AM$1006:$BM$1006,0))&gt;=100000), " ",IF(INDEX($AM$2:$BM$1001,MATCH(ROWS($AF$2:AF228),$AF$2:$AF$1001,0),MATCH(COLUMNS($AM$1006:BI1006),$AM$1006:$BM$1006,0)), HYPERLINK("#",""), HYPERLINK(CONCATENATE("#metadata!", ADDRESS(INDEX($AH$2:$AH$1001,MATCH(ROWS($AF$2:AF228),$AF$2:$AF$1001,0),0), INDEX($AM$1004:$BM$1004,1,MATCH(COLUMNS($AM$1006:BI1006),$AM$1006:$BM$1006,0)))),"Fix")))</f>
        <v xml:space="preserve"> </v>
      </c>
      <c r="Y228" s="4" t="str">
        <f ca="1">IF(OR(INDEX($AG$2:$AG$1001,MATCH(ROWS($AF$2:AF228),$AF$2:$AF$1001,0),1)&gt;=100000,INDEX($AM$1005:$BM$1005,1,MATCH(COLUMNS($AM$1006:BJ1006),$AM$1006:$BM$1006,0))&gt;=100000), " ",IF(INDEX($AM$2:$BM$1001,MATCH(ROWS($AF$2:AF228),$AF$2:$AF$1001,0),MATCH(COLUMNS($AM$1006:BJ1006),$AM$1006:$BM$1006,0)), HYPERLINK("#",""), HYPERLINK(CONCATENATE("#metadata!", ADDRESS(INDEX($AH$2:$AH$1001,MATCH(ROWS($AF$2:AF228),$AF$2:$AF$1001,0),0), INDEX($AM$1004:$BM$1004,1,MATCH(COLUMNS($AM$1006:BJ1006),$AM$1006:$BM$1006,0)))),"Fix")))</f>
        <v xml:space="preserve"> </v>
      </c>
      <c r="Z228" s="4" t="str">
        <f ca="1">IF(OR(INDEX($AG$2:$AG$1001,MATCH(ROWS($AF$2:AF228),$AF$2:$AF$1001,0),1)&gt;=100000,INDEX($AM$1005:$BM$1005,1,MATCH(COLUMNS($AM$1006:BK1006),$AM$1006:$BM$1006,0))&gt;=100000), " ",IF(INDEX($AM$2:$BM$1001,MATCH(ROWS($AF$2:AF228),$AF$2:$AF$1001,0),MATCH(COLUMNS($AM$1006:BK1006),$AM$1006:$BM$1006,0)), HYPERLINK("#",""), HYPERLINK(CONCATENATE("#metadata!", ADDRESS(INDEX($AH$2:$AH$1001,MATCH(ROWS($AF$2:AF228),$AF$2:$AF$1001,0),0), INDEX($AM$1004:$BM$1004,1,MATCH(COLUMNS($AM$1006:BK1006),$AM$1006:$BM$1006,0)))),"Fix")))</f>
        <v xml:space="preserve"> </v>
      </c>
      <c r="AA228" s="4" t="str">
        <f ca="1">IF(OR(INDEX($AG$2:$AG$1001,MATCH(ROWS($AF$2:AF228),$AF$2:$AF$1001,0),1)&gt;=100000,INDEX($AM$1005:$BM$1005,1,MATCH(COLUMNS($AM$1006:BL1006),$AM$1006:$BM$1006,0))&gt;=100000), " ",IF(INDEX($AM$2:$BM$1001,MATCH(ROWS($AF$2:AF228),$AF$2:$AF$1001,0),MATCH(COLUMNS($AM$1006:BL1006),$AM$1006:$BM$1006,0)), HYPERLINK("#",""), HYPERLINK(CONCATENATE("#metadata!", ADDRESS(INDEX($AH$2:$AH$1001,MATCH(ROWS($AF$2:AF228),$AF$2:$AF$1001,0),0), INDEX($AM$1004:$BM$1004,1,MATCH(COLUMNS($AM$1006:BL1006),$AM$1006:$BM$1006,0)))),"Fix")))</f>
        <v xml:space="preserve"> </v>
      </c>
      <c r="AB228" s="4" t="str">
        <f ca="1">IF(OR(INDEX($AG$2:$AG$1001,MATCH(ROWS($AF$2:AF228),$AF$2:$AF$1001,0),1)&gt;=100000,INDEX($AM$1005:$BM$1005,1,MATCH(COLUMNS($AM$1006:BM1006),$AM$1006:$BM$1006,0))&gt;=100000), " ",IF(INDEX($AM$2:$BM$1001,MATCH(ROWS($AF$2:AF228),$AF$2:$AF$1001,0),MATCH(COLUMNS($AM$1006:BM1006),$AM$1006:$BM$1006,0)), HYPERLINK("#",""), HYPERLINK(CONCATENATE("#metadata!", ADDRESS(INDEX($AH$2:$AH$1001,MATCH(ROWS($AF$2:AF228),$AF$2:$AF$1001,0),0), INDEX($AM$1004:$BM$1004,1,MATCH(COLUMNS($AM$1006:BM1006),$AM$1006:$BM$1006,0)))),"Fix")))</f>
        <v xml:space="preserve"> </v>
      </c>
      <c r="AF228">
        <v>227</v>
      </c>
      <c r="AG228">
        <v>100228</v>
      </c>
      <c r="AH228">
        <v>228</v>
      </c>
      <c r="AI228" t="b">
        <f t="shared" si="3"/>
        <v>1</v>
      </c>
      <c r="AJ228" t="b">
        <f>COUNTBLANK(metadata!B228:AB228)=COLUMNS(metadata!B228:AB228)</f>
        <v>1</v>
      </c>
      <c r="AK228" t="str">
        <v/>
      </c>
      <c r="AM228" t="b">
        <f ca="1">AND(IF(metadata!B228="",FALSE,TRUE),COUNTIF(metadata!B:B, metadata!B228) = 1,NOT(ISERROR(SUMPRODUCT(SEARCH(MID(metadata!B228,ROW(INDIRECT("1:"&amp;LEN(metadata!B228))), 1),"0123456789abcdefghijklmnopqrstuvwxyzABCDEFGHIJKLMNOPQRSTUVWXYZ.")))))</f>
        <v>0</v>
      </c>
      <c r="AN228" t="b">
        <f ca="1">OR(AND(IF(metadata!C228="",FALSE,TRUE),OR(EXACT(metadata!C228,"missing: not collected"),EXACT(metadata!C228,"missing: not provided"),EXACT(metadata!C228,"missing: restricted access"))),AND(IF(metadata!C228="",FALSE,TRUE),AND(AND(IFERROR(INT(LEFT(metadata!C228,4))&gt;1900,FALSE),IFERROR(INT(LEFT(metadata!C228,4))&lt;=YEAR(NOW()),FALSE)), OR(MID(metadata!C228,5,1)="", AND(AND(MID(metadata!C228,5,1)="-",IFERROR(INT(MID(metadata!C228,6,1))&gt;=0,FALSE),IFERROR(INT(MID(metadata!C228,6,1))&lt;=1,FALSE),NOT(MID(metadata!C228,7,1)=""),IFERROR(INT(MID(metadata!C228,6,2))&gt;=1,FALSE),IFERROR(INT(MID(metadata!C228,6,2))&lt;=12,FALSE)), OR(MID(metadata!C228,8,1)="", AND(AND(MID(metadata!C228,8,1)="-",IFERROR(INT(MID(metadata!C228,9,1))&gt;=0,FALSE),IFERROR(INT(MID(metadata!C228,9,1))&lt;=3,FALSE),NOT(MID(metadata!C228,10,1)=""),IFERROR(INT(MID(metadata!C228,9,2))&gt;=1,FALSE),IFERROR(INT(MID(metadata!C228,9,2))&lt;=31,FALSE)), OR(MID(metadata!C228,11,1)="", AND(AND(MID(metadata!C228,11,1)=" ",IFERROR(INT(MID(metadata!C228,12,1))&gt;=0,FALSE),IFERROR(INT(MID(metadata!C228,12,1))&lt;=2,FALSE),NOT(MID(metadata!C228,13,1)=""),IFERROR(INT(MID(metadata!C228,12,2))&gt;=0,FALSE),IFERROR(INT(MID(metadata!C228,12,2))&lt;=23,FALSE)), OR(MID(metadata!C228,14,1)="", AND(AND(MID(metadata!C228,14,1)=":",IFERROR(INT(MID(metadata!C228,15,1))&gt;=0,FALSE),IFERROR(INT(MID(metadata!C228,15,1))&lt;=5,FALSE),NOT(MID(metadata!C228,16,1)=""),IFERROR(INT(MID(metadata!C228,15,2))&gt;=0,FALSE),IFERROR(INT(MID(metadata!C228,15,2))&lt;=59,FALSE)), OR(MID(metadata!C228,17,1)="", AND(AND(MID(metadata!C228,17,1)=":",IFERROR(INT(MID(metadata!C228,18,1))&gt;=0,FALSE),IFERROR(INT(MID(metadata!C228,18,1))&lt;=5,FALSE),NOT(MID(metadata!C228,19,1)=""),IFERROR(INT(MID(metadata!C228,18,2))&gt;=0,FALSE),IFERROR(INT(MID(metadata!C228,18,2))&lt;=59,FALSE)), LEN(metadata!C228)&lt;=19)))))))))))))</f>
        <v>0</v>
      </c>
      <c r="AO228" t="b">
        <f>AND(IF(metadata!D228="",FALSE,TRUE),EXACT(metadata!D228,"Not applicable"))</f>
        <v>0</v>
      </c>
      <c r="AP228" t="b">
        <f>IF(metadata!E228="",FALSE,TRUE)</f>
        <v>0</v>
      </c>
      <c r="AQ228" t="b">
        <f>OR(AND(IF(metadata!F228="",FALSE,TRUE),OR(EXACT(metadata!F228,"missing: not collected"),EXACT(metadata!F228,"missing: not provided"))),AND(IF(metadata!F228="",FALSE,TRUE),OR(EXACT(metadata!F228,"TRUE"),EXACT(metadata!F228,"FALSE"))))</f>
        <v>0</v>
      </c>
      <c r="AR228" t="b">
        <f>OR(AND(IF(metadata!G228="",FALSE,TRUE),OR(EXACT(metadata!G228,"missing: not collected"),EXACT(metadata!G228,"missing: not provided"),EXACT(metadata!G228,"missing: restricted access"))),AND(IF(metadata!G228="",FALSE,ISNUMBER(VALUE(metadata!G228))),metadata!G228&gt;=-413))</f>
        <v>0</v>
      </c>
      <c r="AS228" t="b">
        <f>AND(IF(metadata!H228="",FALSE,TRUE),EXACT(metadata!H228,"meters"))</f>
        <v>0</v>
      </c>
      <c r="AT228" t="b">
        <f>AND(IF(metadata!I228="",FALSE,TRUE),OR(EXACT(metadata!I228,"Host-associated"),EXACT(metadata!I228,"Free-living")))</f>
        <v>0</v>
      </c>
      <c r="AU228" t="b">
        <f>AND(IF(metadata!J228="",FALSE,TRUE),OR(EXACT(metadata!J228,"Animal"),EXACT(metadata!J228,"Fungus"),EXACT(metadata!J228,"Plant"),EXACT(metadata!J228,"Saline"),EXACT(metadata!J228,"Non-saline")))</f>
        <v>0</v>
      </c>
      <c r="AV228" t="b">
        <f>AND(IF(metadata!K228="",FALSE,TRUE),OR(EXACT(metadata!K228,"Plant secretion"),EXACT(metadata!K228,"Plant rhizosphere"),EXACT(metadata!K228,"Plant surface"),EXACT(metadata!K228,"Plant corpus"),EXACT(metadata!K228,"Fungus surface"),EXACT(metadata!K228,"Fungus corpus"),EXACT(metadata!K228,"Animal surface"),EXACT(metadata!K228,"Animal proximal gut"),EXACT(metadata!K228,"Animal corpus"),EXACT(metadata!K228,"Animal distal gut"),EXACT(metadata!K228,"Animal secretion"),EXACT(metadata!K228,"Sub-surface (non-saline)"),EXACT(metadata!K228,"Surface (non-saline)"),EXACT(metadata!K228,"Water (non-saline)"),EXACT(metadata!K228,"Soil (non-saline)"),EXACT(metadata!K228,"Aerosol (non-saline)"),EXACT(metadata!K228,"Sediment (non-saline)"),EXACT(metadata!K228,"Surface (saline)"),EXACT(metadata!K228,"Water (saline)"),EXACT(metadata!K228,"Hypersaline (saline)"),EXACT(metadata!K228,"Aerosol (saline)"),EXACT(metadata!K228,"Sediment (saline)")))</f>
        <v>0</v>
      </c>
      <c r="AW228" t="b">
        <f>IF(metadata!L228="",FALSE,TRUE)</f>
        <v>0</v>
      </c>
      <c r="AX228" t="b">
        <f>IF(metadata!M228="",FALSE,TRUE)</f>
        <v>0</v>
      </c>
      <c r="AY228" t="b">
        <f>IF(metadata!N228="",FALSE,TRUE)</f>
        <v>0</v>
      </c>
      <c r="AZ228" t="b">
        <f>OR(AND(IF(metadata!O228="",FALSE,TRUE),OR(EXACT(metadata!O228,"missing: not collected"),EXACT(metadata!O228,"missing: not provided"),EXACT(metadata!O228,"missing: restricted access"))),AND(IF(metadata!O228="",FALSE,TRUE),OR(EXACT(metadata!O228,"air"),EXACT(metadata!O228,"built environment"),EXACT(metadata!O228,"host-associated"),EXACT(metadata!O228,"human-associated"),EXACT(metadata!O228,"human-skin"),EXACT(metadata!O228,"human-oral"),EXACT(metadata!O228,"human-gut"),EXACT(metadata!O228,"human-vaginal"),EXACT(metadata!O228,"microbial mat/biofilm"),EXACT(metadata!O228,"misc environment"),EXACT(metadata!O228,"plant-associated"),EXACT(metadata!O228,"sediment"),EXACT(metadata!O228,"soil"),EXACT(metadata!O228,"wastewater/sludge"),EXACT(metadata!O228,"water"))))</f>
        <v>0</v>
      </c>
      <c r="BA228" t="b">
        <f>IF(metadata!P228="",FALSE,TRUE)</f>
        <v>0</v>
      </c>
      <c r="BB228" t="b">
        <f>IF(metadata!Q228="",FALSE,TRUE)</f>
        <v>0</v>
      </c>
      <c r="BC228" t="b">
        <f>OR(AND(IF(metadata!R228="",FALSE,TRUE),OR(EXACT(metadata!R228,"missing: not collected"),EXACT(metadata!R228,"missing: not provided"),EXACT(metadata!R228,"missing: restricted access"))),AND(IF(metadata!R228="",FALSE,ISNUMBER(VALUE(metadata!R228))),metadata!R228&gt;=-90,metadata!R228&lt;=90))</f>
        <v>0</v>
      </c>
      <c r="BD228" t="b">
        <f>AND(IF(metadata!S228="",FALSE,TRUE),EXACT(metadata!S228,"Decimal degrees"))</f>
        <v>0</v>
      </c>
      <c r="BE228" t="b">
        <f>OR(AND(IF(metadata!T228="",FALSE,TRUE),OR(EXACT(metadata!T228,"missing: not collected"),EXACT(metadata!T228,"missing: not provided"),EXACT(metadata!T228,"missing: restricted access"))),AND(IF(metadata!T228="",FALSE,ISNUMBER(VALUE(metadata!T228))),metadata!T228&gt;=-180,metadata!T228&lt;=180))</f>
        <v>0</v>
      </c>
      <c r="BF228" t="b">
        <f>AND(IF(metadata!U228="",FALSE,TRUE),EXACT(metadata!U228,"Decimal degrees"))</f>
        <v>0</v>
      </c>
      <c r="BG228" t="b">
        <f>IF(metadata!V228="",FALSE,TRUE)</f>
        <v>0</v>
      </c>
      <c r="BH228" t="b">
        <f>OR(AND(IF(metadata!W228="",FALSE,TRUE),OR(EXACT(metadata!W228,"missing: not collected"),EXACT(metadata!W228,"missing: not provided"),EXACT(metadata!W228,"missing: restricted access"))),AND(IF(metadata!W228="",FALSE,TRUE),OR(EXACT(metadata!W228,"TRUE"),EXACT(metadata!W228,"FALSE"))))</f>
        <v>0</v>
      </c>
      <c r="BI228" t="b">
        <f>AND(IF(metadata!X228="",FALSE,TRUE),EXACT(metadata!X228,"other"))</f>
        <v>0</v>
      </c>
      <c r="BJ228" t="b">
        <f>IF(metadata!Y228="",FALSE,TRUE)</f>
        <v>0</v>
      </c>
      <c r="BK228" t="b">
        <f>OR(AND(IF(metadata!Z228="",FALSE,TRUE),OR(EXACT(metadata!Z228,"missing: not collected"),EXACT(metadata!Z228,"missing: not provided"))),AND(IF(metadata!Z228="",FALSE,IF(ISERROR(INT(metadata!Z228)),FALSE,INT(metadata!Z228)=metadata!Z228)),metadata!Z228&gt;0))</f>
        <v>0</v>
      </c>
      <c r="BL228" t="b">
        <f>AND(IF(metadata!AA228="",FALSE,TRUE),EXACT(metadata!AA228,"Not applicable"))</f>
        <v>0</v>
      </c>
      <c r="BM228" t="b">
        <f>IF(metadata!AB228="",FALSE,TRUE)</f>
        <v>0</v>
      </c>
    </row>
    <row r="229" spans="1:65" x14ac:dyDescent="0.2">
      <c r="A229" s="5" t="str">
        <f ca="1">IF(B229=" "," ",HYPERLINK(CONCATENATE("#metadata!",ADDRESS(INDEX($AH$2:$AH$1001,MATCH(ROWS($AF$2:AF229),$AF$2:$AF$1001,0),0),1)),INDEX($AK$2:$AK$1001,MATCH(ROWS($AF$2:AF229),$AF$2:$AF$1001,0),0)))</f>
        <v xml:space="preserve"> </v>
      </c>
      <c r="B229" s="4" t="str">
        <f ca="1">IF(OR(INDEX($AG$2:$AG$1001,MATCH(ROWS($AF$2:AF229),$AF$2:$AF$1001,0),1)&gt;=100000,INDEX($AM$1005:$BM$1005,1,MATCH(COLUMNS($AM$1006:AM1006),$AM$1006:$BM$1006,0))&gt;=100000), " ",IF(INDEX($AM$2:$BM$1001,MATCH(ROWS($AF$2:AF229),$AF$2:$AF$1001,0),MATCH(COLUMNS($AM$1006:AM1006),$AM$1006:$BM$1006,0)), HYPERLINK("#",""), HYPERLINK(CONCATENATE("#metadata!", ADDRESS(INDEX($AH$2:$AH$1001,MATCH(ROWS($AF$2:AF229),$AF$2:$AF$1001,0),0), INDEX($AM$1004:$BM$1004,1,MATCH(COLUMNS($AM$1006:AM1006),$AM$1006:$BM$1006,0)))),"Fix")))</f>
        <v xml:space="preserve"> </v>
      </c>
      <c r="C229" s="4" t="str">
        <f ca="1">IF(OR(INDEX($AG$2:$AG$1001,MATCH(ROWS($AF$2:AF229),$AF$2:$AF$1001,0),1)&gt;=100000,INDEX($AM$1005:$BM$1005,1,MATCH(COLUMNS($AM$1006:AN1006),$AM$1006:$BM$1006,0))&gt;=100000), " ",IF(INDEX($AM$2:$BM$1001,MATCH(ROWS($AF$2:AF229),$AF$2:$AF$1001,0),MATCH(COLUMNS($AM$1006:AN1006),$AM$1006:$BM$1006,0)), HYPERLINK("#",""), HYPERLINK(CONCATENATE("#metadata!", ADDRESS(INDEX($AH$2:$AH$1001,MATCH(ROWS($AF$2:AF229),$AF$2:$AF$1001,0),0), INDEX($AM$1004:$BM$1004,1,MATCH(COLUMNS($AM$1006:AN1006),$AM$1006:$BM$1006,0)))),"Fix")))</f>
        <v xml:space="preserve"> </v>
      </c>
      <c r="D229" s="4" t="str">
        <f ca="1">IF(OR(INDEX($AG$2:$AG$1001,MATCH(ROWS($AF$2:AF229),$AF$2:$AF$1001,0),1)&gt;=100000,INDEX($AM$1005:$BM$1005,1,MATCH(COLUMNS($AM$1006:AO1006),$AM$1006:$BM$1006,0))&gt;=100000), " ",IF(INDEX($AM$2:$BM$1001,MATCH(ROWS($AF$2:AF229),$AF$2:$AF$1001,0),MATCH(COLUMNS($AM$1006:AO1006),$AM$1006:$BM$1006,0)), HYPERLINK("#",""), HYPERLINK(CONCATENATE("#metadata!", ADDRESS(INDEX($AH$2:$AH$1001,MATCH(ROWS($AF$2:AF229),$AF$2:$AF$1001,0),0), INDEX($AM$1004:$BM$1004,1,MATCH(COLUMNS($AM$1006:AO1006),$AM$1006:$BM$1006,0)))),"Fix")))</f>
        <v xml:space="preserve"> </v>
      </c>
      <c r="E229" s="4" t="str">
        <f ca="1">IF(OR(INDEX($AG$2:$AG$1001,MATCH(ROWS($AF$2:AF229),$AF$2:$AF$1001,0),1)&gt;=100000,INDEX($AM$1005:$BM$1005,1,MATCH(COLUMNS($AM$1006:AP1006),$AM$1006:$BM$1006,0))&gt;=100000), " ",IF(INDEX($AM$2:$BM$1001,MATCH(ROWS($AF$2:AF229),$AF$2:$AF$1001,0),MATCH(COLUMNS($AM$1006:AP1006),$AM$1006:$BM$1006,0)), HYPERLINK("#",""), HYPERLINK(CONCATENATE("#metadata!", ADDRESS(INDEX($AH$2:$AH$1001,MATCH(ROWS($AF$2:AF229),$AF$2:$AF$1001,0),0), INDEX($AM$1004:$BM$1004,1,MATCH(COLUMNS($AM$1006:AP1006),$AM$1006:$BM$1006,0)))),"Fix")))</f>
        <v xml:space="preserve"> </v>
      </c>
      <c r="F229" s="4" t="str">
        <f ca="1">IF(OR(INDEX($AG$2:$AG$1001,MATCH(ROWS($AF$2:AF229),$AF$2:$AF$1001,0),1)&gt;=100000,INDEX($AM$1005:$BM$1005,1,MATCH(COLUMNS($AM$1006:AQ1006),$AM$1006:$BM$1006,0))&gt;=100000), " ",IF(INDEX($AM$2:$BM$1001,MATCH(ROWS($AF$2:AF229),$AF$2:$AF$1001,0),MATCH(COLUMNS($AM$1006:AQ1006),$AM$1006:$BM$1006,0)), HYPERLINK("#",""), HYPERLINK(CONCATENATE("#metadata!", ADDRESS(INDEX($AH$2:$AH$1001,MATCH(ROWS($AF$2:AF229),$AF$2:$AF$1001,0),0), INDEX($AM$1004:$BM$1004,1,MATCH(COLUMNS($AM$1006:AQ1006),$AM$1006:$BM$1006,0)))),"Fix")))</f>
        <v xml:space="preserve"> </v>
      </c>
      <c r="G229" s="4" t="str">
        <f ca="1">IF(OR(INDEX($AG$2:$AG$1001,MATCH(ROWS($AF$2:AF229),$AF$2:$AF$1001,0),1)&gt;=100000,INDEX($AM$1005:$BM$1005,1,MATCH(COLUMNS($AM$1006:AR1006),$AM$1006:$BM$1006,0))&gt;=100000), " ",IF(INDEX($AM$2:$BM$1001,MATCH(ROWS($AF$2:AF229),$AF$2:$AF$1001,0),MATCH(COLUMNS($AM$1006:AR1006),$AM$1006:$BM$1006,0)), HYPERLINK("#",""), HYPERLINK(CONCATENATE("#metadata!", ADDRESS(INDEX($AH$2:$AH$1001,MATCH(ROWS($AF$2:AF229),$AF$2:$AF$1001,0),0), INDEX($AM$1004:$BM$1004,1,MATCH(COLUMNS($AM$1006:AR1006),$AM$1006:$BM$1006,0)))),"Fix")))</f>
        <v xml:space="preserve"> </v>
      </c>
      <c r="H229" s="4" t="str">
        <f ca="1">IF(OR(INDEX($AG$2:$AG$1001,MATCH(ROWS($AF$2:AF229),$AF$2:$AF$1001,0),1)&gt;=100000,INDEX($AM$1005:$BM$1005,1,MATCH(COLUMNS($AM$1006:AS1006),$AM$1006:$BM$1006,0))&gt;=100000), " ",IF(INDEX($AM$2:$BM$1001,MATCH(ROWS($AF$2:AF229),$AF$2:$AF$1001,0),MATCH(COLUMNS($AM$1006:AS1006),$AM$1006:$BM$1006,0)), HYPERLINK("#",""), HYPERLINK(CONCATENATE("#metadata!", ADDRESS(INDEX($AH$2:$AH$1001,MATCH(ROWS($AF$2:AF229),$AF$2:$AF$1001,0),0), INDEX($AM$1004:$BM$1004,1,MATCH(COLUMNS($AM$1006:AS1006),$AM$1006:$BM$1006,0)))),"Fix")))</f>
        <v xml:space="preserve"> </v>
      </c>
      <c r="I229" s="4" t="str">
        <f ca="1">IF(OR(INDEX($AG$2:$AG$1001,MATCH(ROWS($AF$2:AF229),$AF$2:$AF$1001,0),1)&gt;=100000,INDEX($AM$1005:$BM$1005,1,MATCH(COLUMNS($AM$1006:AT1006),$AM$1006:$BM$1006,0))&gt;=100000), " ",IF(INDEX($AM$2:$BM$1001,MATCH(ROWS($AF$2:AF229),$AF$2:$AF$1001,0),MATCH(COLUMNS($AM$1006:AT1006),$AM$1006:$BM$1006,0)), HYPERLINK("#",""), HYPERLINK(CONCATENATE("#metadata!", ADDRESS(INDEX($AH$2:$AH$1001,MATCH(ROWS($AF$2:AF229),$AF$2:$AF$1001,0),0), INDEX($AM$1004:$BM$1004,1,MATCH(COLUMNS($AM$1006:AT1006),$AM$1006:$BM$1006,0)))),"Fix")))</f>
        <v xml:space="preserve"> </v>
      </c>
      <c r="J229" s="4" t="str">
        <f ca="1">IF(OR(INDEX($AG$2:$AG$1001,MATCH(ROWS($AF$2:AF229),$AF$2:$AF$1001,0),1)&gt;=100000,INDEX($AM$1005:$BM$1005,1,MATCH(COLUMNS($AM$1006:AU1006),$AM$1006:$BM$1006,0))&gt;=100000), " ",IF(INDEX($AM$2:$BM$1001,MATCH(ROWS($AF$2:AF229),$AF$2:$AF$1001,0),MATCH(COLUMNS($AM$1006:AU1006),$AM$1006:$BM$1006,0)), HYPERLINK("#",""), HYPERLINK(CONCATENATE("#metadata!", ADDRESS(INDEX($AH$2:$AH$1001,MATCH(ROWS($AF$2:AF229),$AF$2:$AF$1001,0),0), INDEX($AM$1004:$BM$1004,1,MATCH(COLUMNS($AM$1006:AU1006),$AM$1006:$BM$1006,0)))),"Fix")))</f>
        <v xml:space="preserve"> </v>
      </c>
      <c r="K229" s="4" t="str">
        <f ca="1">IF(OR(INDEX($AG$2:$AG$1001,MATCH(ROWS($AF$2:AF229),$AF$2:$AF$1001,0),1)&gt;=100000,INDEX($AM$1005:$BM$1005,1,MATCH(COLUMNS($AM$1006:AV1006),$AM$1006:$BM$1006,0))&gt;=100000), " ",IF(INDEX($AM$2:$BM$1001,MATCH(ROWS($AF$2:AF229),$AF$2:$AF$1001,0),MATCH(COLUMNS($AM$1006:AV1006),$AM$1006:$BM$1006,0)), HYPERLINK("#",""), HYPERLINK(CONCATENATE("#metadata!", ADDRESS(INDEX($AH$2:$AH$1001,MATCH(ROWS($AF$2:AF229),$AF$2:$AF$1001,0),0), INDEX($AM$1004:$BM$1004,1,MATCH(COLUMNS($AM$1006:AV1006),$AM$1006:$BM$1006,0)))),"Fix")))</f>
        <v xml:space="preserve"> </v>
      </c>
      <c r="L229" s="4" t="str">
        <f ca="1">IF(OR(INDEX($AG$2:$AG$1001,MATCH(ROWS($AF$2:AF229),$AF$2:$AF$1001,0),1)&gt;=100000,INDEX($AM$1005:$BM$1005,1,MATCH(COLUMNS($AM$1006:AW1006),$AM$1006:$BM$1006,0))&gt;=100000), " ",IF(INDEX($AM$2:$BM$1001,MATCH(ROWS($AF$2:AF229),$AF$2:$AF$1001,0),MATCH(COLUMNS($AM$1006:AW1006),$AM$1006:$BM$1006,0)), HYPERLINK("#",""), HYPERLINK(CONCATENATE("#metadata!", ADDRESS(INDEX($AH$2:$AH$1001,MATCH(ROWS($AF$2:AF229),$AF$2:$AF$1001,0),0), INDEX($AM$1004:$BM$1004,1,MATCH(COLUMNS($AM$1006:AW1006),$AM$1006:$BM$1006,0)))),"Fix")))</f>
        <v xml:space="preserve"> </v>
      </c>
      <c r="M229" s="4" t="str">
        <f ca="1">IF(OR(INDEX($AG$2:$AG$1001,MATCH(ROWS($AF$2:AF229),$AF$2:$AF$1001,0),1)&gt;=100000,INDEX($AM$1005:$BM$1005,1,MATCH(COLUMNS($AM$1006:AX1006),$AM$1006:$BM$1006,0))&gt;=100000), " ",IF(INDEX($AM$2:$BM$1001,MATCH(ROWS($AF$2:AF229),$AF$2:$AF$1001,0),MATCH(COLUMNS($AM$1006:AX1006),$AM$1006:$BM$1006,0)), HYPERLINK("#",""), HYPERLINK(CONCATENATE("#metadata!", ADDRESS(INDEX($AH$2:$AH$1001,MATCH(ROWS($AF$2:AF229),$AF$2:$AF$1001,0),0), INDEX($AM$1004:$BM$1004,1,MATCH(COLUMNS($AM$1006:AX1006),$AM$1006:$BM$1006,0)))),"Fix")))</f>
        <v xml:space="preserve"> </v>
      </c>
      <c r="N229" s="4" t="str">
        <f ca="1">IF(OR(INDEX($AG$2:$AG$1001,MATCH(ROWS($AF$2:AF229),$AF$2:$AF$1001,0),1)&gt;=100000,INDEX($AM$1005:$BM$1005,1,MATCH(COLUMNS($AM$1006:AY1006),$AM$1006:$BM$1006,0))&gt;=100000), " ",IF(INDEX($AM$2:$BM$1001,MATCH(ROWS($AF$2:AF229),$AF$2:$AF$1001,0),MATCH(COLUMNS($AM$1006:AY1006),$AM$1006:$BM$1006,0)), HYPERLINK("#",""), HYPERLINK(CONCATENATE("#metadata!", ADDRESS(INDEX($AH$2:$AH$1001,MATCH(ROWS($AF$2:AF229),$AF$2:$AF$1001,0),0), INDEX($AM$1004:$BM$1004,1,MATCH(COLUMNS($AM$1006:AY1006),$AM$1006:$BM$1006,0)))),"Fix")))</f>
        <v xml:space="preserve"> </v>
      </c>
      <c r="O229" s="4" t="str">
        <f ca="1">IF(OR(INDEX($AG$2:$AG$1001,MATCH(ROWS($AF$2:AF229),$AF$2:$AF$1001,0),1)&gt;=100000,INDEX($AM$1005:$BM$1005,1,MATCH(COLUMNS($AM$1006:AZ1006),$AM$1006:$BM$1006,0))&gt;=100000), " ",IF(INDEX($AM$2:$BM$1001,MATCH(ROWS($AF$2:AF229),$AF$2:$AF$1001,0),MATCH(COLUMNS($AM$1006:AZ1006),$AM$1006:$BM$1006,0)), HYPERLINK("#",""), HYPERLINK(CONCATENATE("#metadata!", ADDRESS(INDEX($AH$2:$AH$1001,MATCH(ROWS($AF$2:AF229),$AF$2:$AF$1001,0),0), INDEX($AM$1004:$BM$1004,1,MATCH(COLUMNS($AM$1006:AZ1006),$AM$1006:$BM$1006,0)))),"Fix")))</f>
        <v xml:space="preserve"> </v>
      </c>
      <c r="P229" s="4" t="str">
        <f ca="1">IF(OR(INDEX($AG$2:$AG$1001,MATCH(ROWS($AF$2:AF229),$AF$2:$AF$1001,0),1)&gt;=100000,INDEX($AM$1005:$BM$1005,1,MATCH(COLUMNS($AM$1006:BA1006),$AM$1006:$BM$1006,0))&gt;=100000), " ",IF(INDEX($AM$2:$BM$1001,MATCH(ROWS($AF$2:AF229),$AF$2:$AF$1001,0),MATCH(COLUMNS($AM$1006:BA1006),$AM$1006:$BM$1006,0)), HYPERLINK("#",""), HYPERLINK(CONCATENATE("#metadata!", ADDRESS(INDEX($AH$2:$AH$1001,MATCH(ROWS($AF$2:AF229),$AF$2:$AF$1001,0),0), INDEX($AM$1004:$BM$1004,1,MATCH(COLUMNS($AM$1006:BA1006),$AM$1006:$BM$1006,0)))),"Fix")))</f>
        <v xml:space="preserve"> </v>
      </c>
      <c r="Q229" s="4" t="str">
        <f ca="1">IF(OR(INDEX($AG$2:$AG$1001,MATCH(ROWS($AF$2:AF229),$AF$2:$AF$1001,0),1)&gt;=100000,INDEX($AM$1005:$BM$1005,1,MATCH(COLUMNS($AM$1006:BB1006),$AM$1006:$BM$1006,0))&gt;=100000), " ",IF(INDEX($AM$2:$BM$1001,MATCH(ROWS($AF$2:AF229),$AF$2:$AF$1001,0),MATCH(COLUMNS($AM$1006:BB1006),$AM$1006:$BM$1006,0)), HYPERLINK("#",""), HYPERLINK(CONCATENATE("#metadata!", ADDRESS(INDEX($AH$2:$AH$1001,MATCH(ROWS($AF$2:AF229),$AF$2:$AF$1001,0),0), INDEX($AM$1004:$BM$1004,1,MATCH(COLUMNS($AM$1006:BB1006),$AM$1006:$BM$1006,0)))),"Fix")))</f>
        <v xml:space="preserve"> </v>
      </c>
      <c r="R229" s="4" t="str">
        <f ca="1">IF(OR(INDEX($AG$2:$AG$1001,MATCH(ROWS($AF$2:AF229),$AF$2:$AF$1001,0),1)&gt;=100000,INDEX($AM$1005:$BM$1005,1,MATCH(COLUMNS($AM$1006:BC1006),$AM$1006:$BM$1006,0))&gt;=100000), " ",IF(INDEX($AM$2:$BM$1001,MATCH(ROWS($AF$2:AF229),$AF$2:$AF$1001,0),MATCH(COLUMNS($AM$1006:BC1006),$AM$1006:$BM$1006,0)), HYPERLINK("#",""), HYPERLINK(CONCATENATE("#metadata!", ADDRESS(INDEX($AH$2:$AH$1001,MATCH(ROWS($AF$2:AF229),$AF$2:$AF$1001,0),0), INDEX($AM$1004:$BM$1004,1,MATCH(COLUMNS($AM$1006:BC1006),$AM$1006:$BM$1006,0)))),"Fix")))</f>
        <v xml:space="preserve"> </v>
      </c>
      <c r="S229" s="4" t="str">
        <f ca="1">IF(OR(INDEX($AG$2:$AG$1001,MATCH(ROWS($AF$2:AF229),$AF$2:$AF$1001,0),1)&gt;=100000,INDEX($AM$1005:$BM$1005,1,MATCH(COLUMNS($AM$1006:BD1006),$AM$1006:$BM$1006,0))&gt;=100000), " ",IF(INDEX($AM$2:$BM$1001,MATCH(ROWS($AF$2:AF229),$AF$2:$AF$1001,0),MATCH(COLUMNS($AM$1006:BD1006),$AM$1006:$BM$1006,0)), HYPERLINK("#",""), HYPERLINK(CONCATENATE("#metadata!", ADDRESS(INDEX($AH$2:$AH$1001,MATCH(ROWS($AF$2:AF229),$AF$2:$AF$1001,0),0), INDEX($AM$1004:$BM$1004,1,MATCH(COLUMNS($AM$1006:BD1006),$AM$1006:$BM$1006,0)))),"Fix")))</f>
        <v xml:space="preserve"> </v>
      </c>
      <c r="T229" s="4" t="str">
        <f ca="1">IF(OR(INDEX($AG$2:$AG$1001,MATCH(ROWS($AF$2:AF229),$AF$2:$AF$1001,0),1)&gt;=100000,INDEX($AM$1005:$BM$1005,1,MATCH(COLUMNS($AM$1006:BE1006),$AM$1006:$BM$1006,0))&gt;=100000), " ",IF(INDEX($AM$2:$BM$1001,MATCH(ROWS($AF$2:AF229),$AF$2:$AF$1001,0),MATCH(COLUMNS($AM$1006:BE1006),$AM$1006:$BM$1006,0)), HYPERLINK("#",""), HYPERLINK(CONCATENATE("#metadata!", ADDRESS(INDEX($AH$2:$AH$1001,MATCH(ROWS($AF$2:AF229),$AF$2:$AF$1001,0),0), INDEX($AM$1004:$BM$1004,1,MATCH(COLUMNS($AM$1006:BE1006),$AM$1006:$BM$1006,0)))),"Fix")))</f>
        <v xml:space="preserve"> </v>
      </c>
      <c r="U229" s="4" t="str">
        <f ca="1">IF(OR(INDEX($AG$2:$AG$1001,MATCH(ROWS($AF$2:AF229),$AF$2:$AF$1001,0),1)&gt;=100000,INDEX($AM$1005:$BM$1005,1,MATCH(COLUMNS($AM$1006:BF1006),$AM$1006:$BM$1006,0))&gt;=100000), " ",IF(INDEX($AM$2:$BM$1001,MATCH(ROWS($AF$2:AF229),$AF$2:$AF$1001,0),MATCH(COLUMNS($AM$1006:BF1006),$AM$1006:$BM$1006,0)), HYPERLINK("#",""), HYPERLINK(CONCATENATE("#metadata!", ADDRESS(INDEX($AH$2:$AH$1001,MATCH(ROWS($AF$2:AF229),$AF$2:$AF$1001,0),0), INDEX($AM$1004:$BM$1004,1,MATCH(COLUMNS($AM$1006:BF1006),$AM$1006:$BM$1006,0)))),"Fix")))</f>
        <v xml:space="preserve"> </v>
      </c>
      <c r="V229" s="4" t="str">
        <f ca="1">IF(OR(INDEX($AG$2:$AG$1001,MATCH(ROWS($AF$2:AF229),$AF$2:$AF$1001,0),1)&gt;=100000,INDEX($AM$1005:$BM$1005,1,MATCH(COLUMNS($AM$1006:BG1006),$AM$1006:$BM$1006,0))&gt;=100000), " ",IF(INDEX($AM$2:$BM$1001,MATCH(ROWS($AF$2:AF229),$AF$2:$AF$1001,0),MATCH(COLUMNS($AM$1006:BG1006),$AM$1006:$BM$1006,0)), HYPERLINK("#",""), HYPERLINK(CONCATENATE("#metadata!", ADDRESS(INDEX($AH$2:$AH$1001,MATCH(ROWS($AF$2:AF229),$AF$2:$AF$1001,0),0), INDEX($AM$1004:$BM$1004,1,MATCH(COLUMNS($AM$1006:BG1006),$AM$1006:$BM$1006,0)))),"Fix")))</f>
        <v xml:space="preserve"> </v>
      </c>
      <c r="W229" s="4" t="str">
        <f ca="1">IF(OR(INDEX($AG$2:$AG$1001,MATCH(ROWS($AF$2:AF229),$AF$2:$AF$1001,0),1)&gt;=100000,INDEX($AM$1005:$BM$1005,1,MATCH(COLUMNS($AM$1006:BH1006),$AM$1006:$BM$1006,0))&gt;=100000), " ",IF(INDEX($AM$2:$BM$1001,MATCH(ROWS($AF$2:AF229),$AF$2:$AF$1001,0),MATCH(COLUMNS($AM$1006:BH1006),$AM$1006:$BM$1006,0)), HYPERLINK("#",""), HYPERLINK(CONCATENATE("#metadata!", ADDRESS(INDEX($AH$2:$AH$1001,MATCH(ROWS($AF$2:AF229),$AF$2:$AF$1001,0),0), INDEX($AM$1004:$BM$1004,1,MATCH(COLUMNS($AM$1006:BH1006),$AM$1006:$BM$1006,0)))),"Fix")))</f>
        <v xml:space="preserve"> </v>
      </c>
      <c r="X229" s="4" t="str">
        <f ca="1">IF(OR(INDEX($AG$2:$AG$1001,MATCH(ROWS($AF$2:AF229),$AF$2:$AF$1001,0),1)&gt;=100000,INDEX($AM$1005:$BM$1005,1,MATCH(COLUMNS($AM$1006:BI1006),$AM$1006:$BM$1006,0))&gt;=100000), " ",IF(INDEX($AM$2:$BM$1001,MATCH(ROWS($AF$2:AF229),$AF$2:$AF$1001,0),MATCH(COLUMNS($AM$1006:BI1006),$AM$1006:$BM$1006,0)), HYPERLINK("#",""), HYPERLINK(CONCATENATE("#metadata!", ADDRESS(INDEX($AH$2:$AH$1001,MATCH(ROWS($AF$2:AF229),$AF$2:$AF$1001,0),0), INDEX($AM$1004:$BM$1004,1,MATCH(COLUMNS($AM$1006:BI1006),$AM$1006:$BM$1006,0)))),"Fix")))</f>
        <v xml:space="preserve"> </v>
      </c>
      <c r="Y229" s="4" t="str">
        <f ca="1">IF(OR(INDEX($AG$2:$AG$1001,MATCH(ROWS($AF$2:AF229),$AF$2:$AF$1001,0),1)&gt;=100000,INDEX($AM$1005:$BM$1005,1,MATCH(COLUMNS($AM$1006:BJ1006),$AM$1006:$BM$1006,0))&gt;=100000), " ",IF(INDEX($AM$2:$BM$1001,MATCH(ROWS($AF$2:AF229),$AF$2:$AF$1001,0),MATCH(COLUMNS($AM$1006:BJ1006),$AM$1006:$BM$1006,0)), HYPERLINK("#",""), HYPERLINK(CONCATENATE("#metadata!", ADDRESS(INDEX($AH$2:$AH$1001,MATCH(ROWS($AF$2:AF229),$AF$2:$AF$1001,0),0), INDEX($AM$1004:$BM$1004,1,MATCH(COLUMNS($AM$1006:BJ1006),$AM$1006:$BM$1006,0)))),"Fix")))</f>
        <v xml:space="preserve"> </v>
      </c>
      <c r="Z229" s="4" t="str">
        <f ca="1">IF(OR(INDEX($AG$2:$AG$1001,MATCH(ROWS($AF$2:AF229),$AF$2:$AF$1001,0),1)&gt;=100000,INDEX($AM$1005:$BM$1005,1,MATCH(COLUMNS($AM$1006:BK1006),$AM$1006:$BM$1006,0))&gt;=100000), " ",IF(INDEX($AM$2:$BM$1001,MATCH(ROWS($AF$2:AF229),$AF$2:$AF$1001,0),MATCH(COLUMNS($AM$1006:BK1006),$AM$1006:$BM$1006,0)), HYPERLINK("#",""), HYPERLINK(CONCATENATE("#metadata!", ADDRESS(INDEX($AH$2:$AH$1001,MATCH(ROWS($AF$2:AF229),$AF$2:$AF$1001,0),0), INDEX($AM$1004:$BM$1004,1,MATCH(COLUMNS($AM$1006:BK1006),$AM$1006:$BM$1006,0)))),"Fix")))</f>
        <v xml:space="preserve"> </v>
      </c>
      <c r="AA229" s="4" t="str">
        <f ca="1">IF(OR(INDEX($AG$2:$AG$1001,MATCH(ROWS($AF$2:AF229),$AF$2:$AF$1001,0),1)&gt;=100000,INDEX($AM$1005:$BM$1005,1,MATCH(COLUMNS($AM$1006:BL1006),$AM$1006:$BM$1006,0))&gt;=100000), " ",IF(INDEX($AM$2:$BM$1001,MATCH(ROWS($AF$2:AF229),$AF$2:$AF$1001,0),MATCH(COLUMNS($AM$1006:BL1006),$AM$1006:$BM$1006,0)), HYPERLINK("#",""), HYPERLINK(CONCATENATE("#metadata!", ADDRESS(INDEX($AH$2:$AH$1001,MATCH(ROWS($AF$2:AF229),$AF$2:$AF$1001,0),0), INDEX($AM$1004:$BM$1004,1,MATCH(COLUMNS($AM$1006:BL1006),$AM$1006:$BM$1006,0)))),"Fix")))</f>
        <v xml:space="preserve"> </v>
      </c>
      <c r="AB229" s="4" t="str">
        <f ca="1">IF(OR(INDEX($AG$2:$AG$1001,MATCH(ROWS($AF$2:AF229),$AF$2:$AF$1001,0),1)&gt;=100000,INDEX($AM$1005:$BM$1005,1,MATCH(COLUMNS($AM$1006:BM1006),$AM$1006:$BM$1006,0))&gt;=100000), " ",IF(INDEX($AM$2:$BM$1001,MATCH(ROWS($AF$2:AF229),$AF$2:$AF$1001,0),MATCH(COLUMNS($AM$1006:BM1006),$AM$1006:$BM$1006,0)), HYPERLINK("#",""), HYPERLINK(CONCATENATE("#metadata!", ADDRESS(INDEX($AH$2:$AH$1001,MATCH(ROWS($AF$2:AF229),$AF$2:$AF$1001,0),0), INDEX($AM$1004:$BM$1004,1,MATCH(COLUMNS($AM$1006:BM1006),$AM$1006:$BM$1006,0)))),"Fix")))</f>
        <v xml:space="preserve"> </v>
      </c>
      <c r="AF229">
        <v>228</v>
      </c>
      <c r="AG229">
        <v>100229</v>
      </c>
      <c r="AH229">
        <v>229</v>
      </c>
      <c r="AI229" t="b">
        <f t="shared" si="3"/>
        <v>1</v>
      </c>
      <c r="AJ229" t="b">
        <f>COUNTBLANK(metadata!B229:AB229)=COLUMNS(metadata!B229:AB229)</f>
        <v>1</v>
      </c>
      <c r="AK229" t="str">
        <v/>
      </c>
      <c r="AM229" t="b">
        <f ca="1">AND(IF(metadata!B229="",FALSE,TRUE),COUNTIF(metadata!B:B, metadata!B229) = 1,NOT(ISERROR(SUMPRODUCT(SEARCH(MID(metadata!B229,ROW(INDIRECT("1:"&amp;LEN(metadata!B229))), 1),"0123456789abcdefghijklmnopqrstuvwxyzABCDEFGHIJKLMNOPQRSTUVWXYZ.")))))</f>
        <v>0</v>
      </c>
      <c r="AN229" t="b">
        <f ca="1">OR(AND(IF(metadata!C229="",FALSE,TRUE),OR(EXACT(metadata!C229,"missing: not collected"),EXACT(metadata!C229,"missing: not provided"),EXACT(metadata!C229,"missing: restricted access"))),AND(IF(metadata!C229="",FALSE,TRUE),AND(AND(IFERROR(INT(LEFT(metadata!C229,4))&gt;1900,FALSE),IFERROR(INT(LEFT(metadata!C229,4))&lt;=YEAR(NOW()),FALSE)), OR(MID(metadata!C229,5,1)="", AND(AND(MID(metadata!C229,5,1)="-",IFERROR(INT(MID(metadata!C229,6,1))&gt;=0,FALSE),IFERROR(INT(MID(metadata!C229,6,1))&lt;=1,FALSE),NOT(MID(metadata!C229,7,1)=""),IFERROR(INT(MID(metadata!C229,6,2))&gt;=1,FALSE),IFERROR(INT(MID(metadata!C229,6,2))&lt;=12,FALSE)), OR(MID(metadata!C229,8,1)="", AND(AND(MID(metadata!C229,8,1)="-",IFERROR(INT(MID(metadata!C229,9,1))&gt;=0,FALSE),IFERROR(INT(MID(metadata!C229,9,1))&lt;=3,FALSE),NOT(MID(metadata!C229,10,1)=""),IFERROR(INT(MID(metadata!C229,9,2))&gt;=1,FALSE),IFERROR(INT(MID(metadata!C229,9,2))&lt;=31,FALSE)), OR(MID(metadata!C229,11,1)="", AND(AND(MID(metadata!C229,11,1)=" ",IFERROR(INT(MID(metadata!C229,12,1))&gt;=0,FALSE),IFERROR(INT(MID(metadata!C229,12,1))&lt;=2,FALSE),NOT(MID(metadata!C229,13,1)=""),IFERROR(INT(MID(metadata!C229,12,2))&gt;=0,FALSE),IFERROR(INT(MID(metadata!C229,12,2))&lt;=23,FALSE)), OR(MID(metadata!C229,14,1)="", AND(AND(MID(metadata!C229,14,1)=":",IFERROR(INT(MID(metadata!C229,15,1))&gt;=0,FALSE),IFERROR(INT(MID(metadata!C229,15,1))&lt;=5,FALSE),NOT(MID(metadata!C229,16,1)=""),IFERROR(INT(MID(metadata!C229,15,2))&gt;=0,FALSE),IFERROR(INT(MID(metadata!C229,15,2))&lt;=59,FALSE)), OR(MID(metadata!C229,17,1)="", AND(AND(MID(metadata!C229,17,1)=":",IFERROR(INT(MID(metadata!C229,18,1))&gt;=0,FALSE),IFERROR(INT(MID(metadata!C229,18,1))&lt;=5,FALSE),NOT(MID(metadata!C229,19,1)=""),IFERROR(INT(MID(metadata!C229,18,2))&gt;=0,FALSE),IFERROR(INT(MID(metadata!C229,18,2))&lt;=59,FALSE)), LEN(metadata!C229)&lt;=19)))))))))))))</f>
        <v>0</v>
      </c>
      <c r="AO229" t="b">
        <f>AND(IF(metadata!D229="",FALSE,TRUE),EXACT(metadata!D229,"Not applicable"))</f>
        <v>0</v>
      </c>
      <c r="AP229" t="b">
        <f>IF(metadata!E229="",FALSE,TRUE)</f>
        <v>0</v>
      </c>
      <c r="AQ229" t="b">
        <f>OR(AND(IF(metadata!F229="",FALSE,TRUE),OR(EXACT(metadata!F229,"missing: not collected"),EXACT(metadata!F229,"missing: not provided"))),AND(IF(metadata!F229="",FALSE,TRUE),OR(EXACT(metadata!F229,"TRUE"),EXACT(metadata!F229,"FALSE"))))</f>
        <v>0</v>
      </c>
      <c r="AR229" t="b">
        <f>OR(AND(IF(metadata!G229="",FALSE,TRUE),OR(EXACT(metadata!G229,"missing: not collected"),EXACT(metadata!G229,"missing: not provided"),EXACT(metadata!G229,"missing: restricted access"))),AND(IF(metadata!G229="",FALSE,ISNUMBER(VALUE(metadata!G229))),metadata!G229&gt;=-413))</f>
        <v>0</v>
      </c>
      <c r="AS229" t="b">
        <f>AND(IF(metadata!H229="",FALSE,TRUE),EXACT(metadata!H229,"meters"))</f>
        <v>0</v>
      </c>
      <c r="AT229" t="b">
        <f>AND(IF(metadata!I229="",FALSE,TRUE),OR(EXACT(metadata!I229,"Host-associated"),EXACT(metadata!I229,"Free-living")))</f>
        <v>0</v>
      </c>
      <c r="AU229" t="b">
        <f>AND(IF(metadata!J229="",FALSE,TRUE),OR(EXACT(metadata!J229,"Animal"),EXACT(metadata!J229,"Fungus"),EXACT(metadata!J229,"Plant"),EXACT(metadata!J229,"Saline"),EXACT(metadata!J229,"Non-saline")))</f>
        <v>0</v>
      </c>
      <c r="AV229" t="b">
        <f>AND(IF(metadata!K229="",FALSE,TRUE),OR(EXACT(metadata!K229,"Plant secretion"),EXACT(metadata!K229,"Plant rhizosphere"),EXACT(metadata!K229,"Plant surface"),EXACT(metadata!K229,"Plant corpus"),EXACT(metadata!K229,"Fungus surface"),EXACT(metadata!K229,"Fungus corpus"),EXACT(metadata!K229,"Animal surface"),EXACT(metadata!K229,"Animal proximal gut"),EXACT(metadata!K229,"Animal corpus"),EXACT(metadata!K229,"Animal distal gut"),EXACT(metadata!K229,"Animal secretion"),EXACT(metadata!K229,"Sub-surface (non-saline)"),EXACT(metadata!K229,"Surface (non-saline)"),EXACT(metadata!K229,"Water (non-saline)"),EXACT(metadata!K229,"Soil (non-saline)"),EXACT(metadata!K229,"Aerosol (non-saline)"),EXACT(metadata!K229,"Sediment (non-saline)"),EXACT(metadata!K229,"Surface (saline)"),EXACT(metadata!K229,"Water (saline)"),EXACT(metadata!K229,"Hypersaline (saline)"),EXACT(metadata!K229,"Aerosol (saline)"),EXACT(metadata!K229,"Sediment (saline)")))</f>
        <v>0</v>
      </c>
      <c r="AW229" t="b">
        <f>IF(metadata!L229="",FALSE,TRUE)</f>
        <v>0</v>
      </c>
      <c r="AX229" t="b">
        <f>IF(metadata!M229="",FALSE,TRUE)</f>
        <v>0</v>
      </c>
      <c r="AY229" t="b">
        <f>IF(metadata!N229="",FALSE,TRUE)</f>
        <v>0</v>
      </c>
      <c r="AZ229" t="b">
        <f>OR(AND(IF(metadata!O229="",FALSE,TRUE),OR(EXACT(metadata!O229,"missing: not collected"),EXACT(metadata!O229,"missing: not provided"),EXACT(metadata!O229,"missing: restricted access"))),AND(IF(metadata!O229="",FALSE,TRUE),OR(EXACT(metadata!O229,"air"),EXACT(metadata!O229,"built environment"),EXACT(metadata!O229,"host-associated"),EXACT(metadata!O229,"human-associated"),EXACT(metadata!O229,"human-skin"),EXACT(metadata!O229,"human-oral"),EXACT(metadata!O229,"human-gut"),EXACT(metadata!O229,"human-vaginal"),EXACT(metadata!O229,"microbial mat/biofilm"),EXACT(metadata!O229,"misc environment"),EXACT(metadata!O229,"plant-associated"),EXACT(metadata!O229,"sediment"),EXACT(metadata!O229,"soil"),EXACT(metadata!O229,"wastewater/sludge"),EXACT(metadata!O229,"water"))))</f>
        <v>0</v>
      </c>
      <c r="BA229" t="b">
        <f>IF(metadata!P229="",FALSE,TRUE)</f>
        <v>0</v>
      </c>
      <c r="BB229" t="b">
        <f>IF(metadata!Q229="",FALSE,TRUE)</f>
        <v>0</v>
      </c>
      <c r="BC229" t="b">
        <f>OR(AND(IF(metadata!R229="",FALSE,TRUE),OR(EXACT(metadata!R229,"missing: not collected"),EXACT(metadata!R229,"missing: not provided"),EXACT(metadata!R229,"missing: restricted access"))),AND(IF(metadata!R229="",FALSE,ISNUMBER(VALUE(metadata!R229))),metadata!R229&gt;=-90,metadata!R229&lt;=90))</f>
        <v>0</v>
      </c>
      <c r="BD229" t="b">
        <f>AND(IF(metadata!S229="",FALSE,TRUE),EXACT(metadata!S229,"Decimal degrees"))</f>
        <v>0</v>
      </c>
      <c r="BE229" t="b">
        <f>OR(AND(IF(metadata!T229="",FALSE,TRUE),OR(EXACT(metadata!T229,"missing: not collected"),EXACT(metadata!T229,"missing: not provided"),EXACT(metadata!T229,"missing: restricted access"))),AND(IF(metadata!T229="",FALSE,ISNUMBER(VALUE(metadata!T229))),metadata!T229&gt;=-180,metadata!T229&lt;=180))</f>
        <v>0</v>
      </c>
      <c r="BF229" t="b">
        <f>AND(IF(metadata!U229="",FALSE,TRUE),EXACT(metadata!U229,"Decimal degrees"))</f>
        <v>0</v>
      </c>
      <c r="BG229" t="b">
        <f>IF(metadata!V229="",FALSE,TRUE)</f>
        <v>0</v>
      </c>
      <c r="BH229" t="b">
        <f>OR(AND(IF(metadata!W229="",FALSE,TRUE),OR(EXACT(metadata!W229,"missing: not collected"),EXACT(metadata!W229,"missing: not provided"),EXACT(metadata!W229,"missing: restricted access"))),AND(IF(metadata!W229="",FALSE,TRUE),OR(EXACT(metadata!W229,"TRUE"),EXACT(metadata!W229,"FALSE"))))</f>
        <v>0</v>
      </c>
      <c r="BI229" t="b">
        <f>AND(IF(metadata!X229="",FALSE,TRUE),EXACT(metadata!X229,"other"))</f>
        <v>0</v>
      </c>
      <c r="BJ229" t="b">
        <f>IF(metadata!Y229="",FALSE,TRUE)</f>
        <v>0</v>
      </c>
      <c r="BK229" t="b">
        <f>OR(AND(IF(metadata!Z229="",FALSE,TRUE),OR(EXACT(metadata!Z229,"missing: not collected"),EXACT(metadata!Z229,"missing: not provided"))),AND(IF(metadata!Z229="",FALSE,IF(ISERROR(INT(metadata!Z229)),FALSE,INT(metadata!Z229)=metadata!Z229)),metadata!Z229&gt;0))</f>
        <v>0</v>
      </c>
      <c r="BL229" t="b">
        <f>AND(IF(metadata!AA229="",FALSE,TRUE),EXACT(metadata!AA229,"Not applicable"))</f>
        <v>0</v>
      </c>
      <c r="BM229" t="b">
        <f>IF(metadata!AB229="",FALSE,TRUE)</f>
        <v>0</v>
      </c>
    </row>
    <row r="230" spans="1:65" x14ac:dyDescent="0.2">
      <c r="A230" s="5" t="str">
        <f ca="1">IF(B230=" "," ",HYPERLINK(CONCATENATE("#metadata!",ADDRESS(INDEX($AH$2:$AH$1001,MATCH(ROWS($AF$2:AF230),$AF$2:$AF$1001,0),0),1)),INDEX($AK$2:$AK$1001,MATCH(ROWS($AF$2:AF230),$AF$2:$AF$1001,0),0)))</f>
        <v xml:space="preserve"> </v>
      </c>
      <c r="B230" s="4" t="str">
        <f ca="1">IF(OR(INDEX($AG$2:$AG$1001,MATCH(ROWS($AF$2:AF230),$AF$2:$AF$1001,0),1)&gt;=100000,INDEX($AM$1005:$BM$1005,1,MATCH(COLUMNS($AM$1006:AM1006),$AM$1006:$BM$1006,0))&gt;=100000), " ",IF(INDEX($AM$2:$BM$1001,MATCH(ROWS($AF$2:AF230),$AF$2:$AF$1001,0),MATCH(COLUMNS($AM$1006:AM1006),$AM$1006:$BM$1006,0)), HYPERLINK("#",""), HYPERLINK(CONCATENATE("#metadata!", ADDRESS(INDEX($AH$2:$AH$1001,MATCH(ROWS($AF$2:AF230),$AF$2:$AF$1001,0),0), INDEX($AM$1004:$BM$1004,1,MATCH(COLUMNS($AM$1006:AM1006),$AM$1006:$BM$1006,0)))),"Fix")))</f>
        <v xml:space="preserve"> </v>
      </c>
      <c r="C230" s="4" t="str">
        <f ca="1">IF(OR(INDEX($AG$2:$AG$1001,MATCH(ROWS($AF$2:AF230),$AF$2:$AF$1001,0),1)&gt;=100000,INDEX($AM$1005:$BM$1005,1,MATCH(COLUMNS($AM$1006:AN1006),$AM$1006:$BM$1006,0))&gt;=100000), " ",IF(INDEX($AM$2:$BM$1001,MATCH(ROWS($AF$2:AF230),$AF$2:$AF$1001,0),MATCH(COLUMNS($AM$1006:AN1006),$AM$1006:$BM$1006,0)), HYPERLINK("#",""), HYPERLINK(CONCATENATE("#metadata!", ADDRESS(INDEX($AH$2:$AH$1001,MATCH(ROWS($AF$2:AF230),$AF$2:$AF$1001,0),0), INDEX($AM$1004:$BM$1004,1,MATCH(COLUMNS($AM$1006:AN1006),$AM$1006:$BM$1006,0)))),"Fix")))</f>
        <v xml:space="preserve"> </v>
      </c>
      <c r="D230" s="4" t="str">
        <f ca="1">IF(OR(INDEX($AG$2:$AG$1001,MATCH(ROWS($AF$2:AF230),$AF$2:$AF$1001,0),1)&gt;=100000,INDEX($AM$1005:$BM$1005,1,MATCH(COLUMNS($AM$1006:AO1006),$AM$1006:$BM$1006,0))&gt;=100000), " ",IF(INDEX($AM$2:$BM$1001,MATCH(ROWS($AF$2:AF230),$AF$2:$AF$1001,0),MATCH(COLUMNS($AM$1006:AO1006),$AM$1006:$BM$1006,0)), HYPERLINK("#",""), HYPERLINK(CONCATENATE("#metadata!", ADDRESS(INDEX($AH$2:$AH$1001,MATCH(ROWS($AF$2:AF230),$AF$2:$AF$1001,0),0), INDEX($AM$1004:$BM$1004,1,MATCH(COLUMNS($AM$1006:AO1006),$AM$1006:$BM$1006,0)))),"Fix")))</f>
        <v xml:space="preserve"> </v>
      </c>
      <c r="E230" s="4" t="str">
        <f ca="1">IF(OR(INDEX($AG$2:$AG$1001,MATCH(ROWS($AF$2:AF230),$AF$2:$AF$1001,0),1)&gt;=100000,INDEX($AM$1005:$BM$1005,1,MATCH(COLUMNS($AM$1006:AP1006),$AM$1006:$BM$1006,0))&gt;=100000), " ",IF(INDEX($AM$2:$BM$1001,MATCH(ROWS($AF$2:AF230),$AF$2:$AF$1001,0),MATCH(COLUMNS($AM$1006:AP1006),$AM$1006:$BM$1006,0)), HYPERLINK("#",""), HYPERLINK(CONCATENATE("#metadata!", ADDRESS(INDEX($AH$2:$AH$1001,MATCH(ROWS($AF$2:AF230),$AF$2:$AF$1001,0),0), INDEX($AM$1004:$BM$1004,1,MATCH(COLUMNS($AM$1006:AP1006),$AM$1006:$BM$1006,0)))),"Fix")))</f>
        <v xml:space="preserve"> </v>
      </c>
      <c r="F230" s="4" t="str">
        <f ca="1">IF(OR(INDEX($AG$2:$AG$1001,MATCH(ROWS($AF$2:AF230),$AF$2:$AF$1001,0),1)&gt;=100000,INDEX($AM$1005:$BM$1005,1,MATCH(COLUMNS($AM$1006:AQ1006),$AM$1006:$BM$1006,0))&gt;=100000), " ",IF(INDEX($AM$2:$BM$1001,MATCH(ROWS($AF$2:AF230),$AF$2:$AF$1001,0),MATCH(COLUMNS($AM$1006:AQ1006),$AM$1006:$BM$1006,0)), HYPERLINK("#",""), HYPERLINK(CONCATENATE("#metadata!", ADDRESS(INDEX($AH$2:$AH$1001,MATCH(ROWS($AF$2:AF230),$AF$2:$AF$1001,0),0), INDEX($AM$1004:$BM$1004,1,MATCH(COLUMNS($AM$1006:AQ1006),$AM$1006:$BM$1006,0)))),"Fix")))</f>
        <v xml:space="preserve"> </v>
      </c>
      <c r="G230" s="4" t="str">
        <f ca="1">IF(OR(INDEX($AG$2:$AG$1001,MATCH(ROWS($AF$2:AF230),$AF$2:$AF$1001,0),1)&gt;=100000,INDEX($AM$1005:$BM$1005,1,MATCH(COLUMNS($AM$1006:AR1006),$AM$1006:$BM$1006,0))&gt;=100000), " ",IF(INDEX($AM$2:$BM$1001,MATCH(ROWS($AF$2:AF230),$AF$2:$AF$1001,0),MATCH(COLUMNS($AM$1006:AR1006),$AM$1006:$BM$1006,0)), HYPERLINK("#",""), HYPERLINK(CONCATENATE("#metadata!", ADDRESS(INDEX($AH$2:$AH$1001,MATCH(ROWS($AF$2:AF230),$AF$2:$AF$1001,0),0), INDEX($AM$1004:$BM$1004,1,MATCH(COLUMNS($AM$1006:AR1006),$AM$1006:$BM$1006,0)))),"Fix")))</f>
        <v xml:space="preserve"> </v>
      </c>
      <c r="H230" s="4" t="str">
        <f ca="1">IF(OR(INDEX($AG$2:$AG$1001,MATCH(ROWS($AF$2:AF230),$AF$2:$AF$1001,0),1)&gt;=100000,INDEX($AM$1005:$BM$1005,1,MATCH(COLUMNS($AM$1006:AS1006),$AM$1006:$BM$1006,0))&gt;=100000), " ",IF(INDEX($AM$2:$BM$1001,MATCH(ROWS($AF$2:AF230),$AF$2:$AF$1001,0),MATCH(COLUMNS($AM$1006:AS1006),$AM$1006:$BM$1006,0)), HYPERLINK("#",""), HYPERLINK(CONCATENATE("#metadata!", ADDRESS(INDEX($AH$2:$AH$1001,MATCH(ROWS($AF$2:AF230),$AF$2:$AF$1001,0),0), INDEX($AM$1004:$BM$1004,1,MATCH(COLUMNS($AM$1006:AS1006),$AM$1006:$BM$1006,0)))),"Fix")))</f>
        <v xml:space="preserve"> </v>
      </c>
      <c r="I230" s="4" t="str">
        <f ca="1">IF(OR(INDEX($AG$2:$AG$1001,MATCH(ROWS($AF$2:AF230),$AF$2:$AF$1001,0),1)&gt;=100000,INDEX($AM$1005:$BM$1005,1,MATCH(COLUMNS($AM$1006:AT1006),$AM$1006:$BM$1006,0))&gt;=100000), " ",IF(INDEX($AM$2:$BM$1001,MATCH(ROWS($AF$2:AF230),$AF$2:$AF$1001,0),MATCH(COLUMNS($AM$1006:AT1006),$AM$1006:$BM$1006,0)), HYPERLINK("#",""), HYPERLINK(CONCATENATE("#metadata!", ADDRESS(INDEX($AH$2:$AH$1001,MATCH(ROWS($AF$2:AF230),$AF$2:$AF$1001,0),0), INDEX($AM$1004:$BM$1004,1,MATCH(COLUMNS($AM$1006:AT1006),$AM$1006:$BM$1006,0)))),"Fix")))</f>
        <v xml:space="preserve"> </v>
      </c>
      <c r="J230" s="4" t="str">
        <f ca="1">IF(OR(INDEX($AG$2:$AG$1001,MATCH(ROWS($AF$2:AF230),$AF$2:$AF$1001,0),1)&gt;=100000,INDEX($AM$1005:$BM$1005,1,MATCH(COLUMNS($AM$1006:AU1006),$AM$1006:$BM$1006,0))&gt;=100000), " ",IF(INDEX($AM$2:$BM$1001,MATCH(ROWS($AF$2:AF230),$AF$2:$AF$1001,0),MATCH(COLUMNS($AM$1006:AU1006),$AM$1006:$BM$1006,0)), HYPERLINK("#",""), HYPERLINK(CONCATENATE("#metadata!", ADDRESS(INDEX($AH$2:$AH$1001,MATCH(ROWS($AF$2:AF230),$AF$2:$AF$1001,0),0), INDEX($AM$1004:$BM$1004,1,MATCH(COLUMNS($AM$1006:AU1006),$AM$1006:$BM$1006,0)))),"Fix")))</f>
        <v xml:space="preserve"> </v>
      </c>
      <c r="K230" s="4" t="str">
        <f ca="1">IF(OR(INDEX($AG$2:$AG$1001,MATCH(ROWS($AF$2:AF230),$AF$2:$AF$1001,0),1)&gt;=100000,INDEX($AM$1005:$BM$1005,1,MATCH(COLUMNS($AM$1006:AV1006),$AM$1006:$BM$1006,0))&gt;=100000), " ",IF(INDEX($AM$2:$BM$1001,MATCH(ROWS($AF$2:AF230),$AF$2:$AF$1001,0),MATCH(COLUMNS($AM$1006:AV1006),$AM$1006:$BM$1006,0)), HYPERLINK("#",""), HYPERLINK(CONCATENATE("#metadata!", ADDRESS(INDEX($AH$2:$AH$1001,MATCH(ROWS($AF$2:AF230),$AF$2:$AF$1001,0),0), INDEX($AM$1004:$BM$1004,1,MATCH(COLUMNS($AM$1006:AV1006),$AM$1006:$BM$1006,0)))),"Fix")))</f>
        <v xml:space="preserve"> </v>
      </c>
      <c r="L230" s="4" t="str">
        <f ca="1">IF(OR(INDEX($AG$2:$AG$1001,MATCH(ROWS($AF$2:AF230),$AF$2:$AF$1001,0),1)&gt;=100000,INDEX($AM$1005:$BM$1005,1,MATCH(COLUMNS($AM$1006:AW1006),$AM$1006:$BM$1006,0))&gt;=100000), " ",IF(INDEX($AM$2:$BM$1001,MATCH(ROWS($AF$2:AF230),$AF$2:$AF$1001,0),MATCH(COLUMNS($AM$1006:AW1006),$AM$1006:$BM$1006,0)), HYPERLINK("#",""), HYPERLINK(CONCATENATE("#metadata!", ADDRESS(INDEX($AH$2:$AH$1001,MATCH(ROWS($AF$2:AF230),$AF$2:$AF$1001,0),0), INDEX($AM$1004:$BM$1004,1,MATCH(COLUMNS($AM$1006:AW1006),$AM$1006:$BM$1006,0)))),"Fix")))</f>
        <v xml:space="preserve"> </v>
      </c>
      <c r="M230" s="4" t="str">
        <f ca="1">IF(OR(INDEX($AG$2:$AG$1001,MATCH(ROWS($AF$2:AF230),$AF$2:$AF$1001,0),1)&gt;=100000,INDEX($AM$1005:$BM$1005,1,MATCH(COLUMNS($AM$1006:AX1006),$AM$1006:$BM$1006,0))&gt;=100000), " ",IF(INDEX($AM$2:$BM$1001,MATCH(ROWS($AF$2:AF230),$AF$2:$AF$1001,0),MATCH(COLUMNS($AM$1006:AX1006),$AM$1006:$BM$1006,0)), HYPERLINK("#",""), HYPERLINK(CONCATENATE("#metadata!", ADDRESS(INDEX($AH$2:$AH$1001,MATCH(ROWS($AF$2:AF230),$AF$2:$AF$1001,0),0), INDEX($AM$1004:$BM$1004,1,MATCH(COLUMNS($AM$1006:AX1006),$AM$1006:$BM$1006,0)))),"Fix")))</f>
        <v xml:space="preserve"> </v>
      </c>
      <c r="N230" s="4" t="str">
        <f ca="1">IF(OR(INDEX($AG$2:$AG$1001,MATCH(ROWS($AF$2:AF230),$AF$2:$AF$1001,0),1)&gt;=100000,INDEX($AM$1005:$BM$1005,1,MATCH(COLUMNS($AM$1006:AY1006),$AM$1006:$BM$1006,0))&gt;=100000), " ",IF(INDEX($AM$2:$BM$1001,MATCH(ROWS($AF$2:AF230),$AF$2:$AF$1001,0),MATCH(COLUMNS($AM$1006:AY1006),$AM$1006:$BM$1006,0)), HYPERLINK("#",""), HYPERLINK(CONCATENATE("#metadata!", ADDRESS(INDEX($AH$2:$AH$1001,MATCH(ROWS($AF$2:AF230),$AF$2:$AF$1001,0),0), INDEX($AM$1004:$BM$1004,1,MATCH(COLUMNS($AM$1006:AY1006),$AM$1006:$BM$1006,0)))),"Fix")))</f>
        <v xml:space="preserve"> </v>
      </c>
      <c r="O230" s="4" t="str">
        <f ca="1">IF(OR(INDEX($AG$2:$AG$1001,MATCH(ROWS($AF$2:AF230),$AF$2:$AF$1001,0),1)&gt;=100000,INDEX($AM$1005:$BM$1005,1,MATCH(COLUMNS($AM$1006:AZ1006),$AM$1006:$BM$1006,0))&gt;=100000), " ",IF(INDEX($AM$2:$BM$1001,MATCH(ROWS($AF$2:AF230),$AF$2:$AF$1001,0),MATCH(COLUMNS($AM$1006:AZ1006),$AM$1006:$BM$1006,0)), HYPERLINK("#",""), HYPERLINK(CONCATENATE("#metadata!", ADDRESS(INDEX($AH$2:$AH$1001,MATCH(ROWS($AF$2:AF230),$AF$2:$AF$1001,0),0), INDEX($AM$1004:$BM$1004,1,MATCH(COLUMNS($AM$1006:AZ1006),$AM$1006:$BM$1006,0)))),"Fix")))</f>
        <v xml:space="preserve"> </v>
      </c>
      <c r="P230" s="4" t="str">
        <f ca="1">IF(OR(INDEX($AG$2:$AG$1001,MATCH(ROWS($AF$2:AF230),$AF$2:$AF$1001,0),1)&gt;=100000,INDEX($AM$1005:$BM$1005,1,MATCH(COLUMNS($AM$1006:BA1006),$AM$1006:$BM$1006,0))&gt;=100000), " ",IF(INDEX($AM$2:$BM$1001,MATCH(ROWS($AF$2:AF230),$AF$2:$AF$1001,0),MATCH(COLUMNS($AM$1006:BA1006),$AM$1006:$BM$1006,0)), HYPERLINK("#",""), HYPERLINK(CONCATENATE("#metadata!", ADDRESS(INDEX($AH$2:$AH$1001,MATCH(ROWS($AF$2:AF230),$AF$2:$AF$1001,0),0), INDEX($AM$1004:$BM$1004,1,MATCH(COLUMNS($AM$1006:BA1006),$AM$1006:$BM$1006,0)))),"Fix")))</f>
        <v xml:space="preserve"> </v>
      </c>
      <c r="Q230" s="4" t="str">
        <f ca="1">IF(OR(INDEX($AG$2:$AG$1001,MATCH(ROWS($AF$2:AF230),$AF$2:$AF$1001,0),1)&gt;=100000,INDEX($AM$1005:$BM$1005,1,MATCH(COLUMNS($AM$1006:BB1006),$AM$1006:$BM$1006,0))&gt;=100000), " ",IF(INDEX($AM$2:$BM$1001,MATCH(ROWS($AF$2:AF230),$AF$2:$AF$1001,0),MATCH(COLUMNS($AM$1006:BB1006),$AM$1006:$BM$1006,0)), HYPERLINK("#",""), HYPERLINK(CONCATENATE("#metadata!", ADDRESS(INDEX($AH$2:$AH$1001,MATCH(ROWS($AF$2:AF230),$AF$2:$AF$1001,0),0), INDEX($AM$1004:$BM$1004,1,MATCH(COLUMNS($AM$1006:BB1006),$AM$1006:$BM$1006,0)))),"Fix")))</f>
        <v xml:space="preserve"> </v>
      </c>
      <c r="R230" s="4" t="str">
        <f ca="1">IF(OR(INDEX($AG$2:$AG$1001,MATCH(ROWS($AF$2:AF230),$AF$2:$AF$1001,0),1)&gt;=100000,INDEX($AM$1005:$BM$1005,1,MATCH(COLUMNS($AM$1006:BC1006),$AM$1006:$BM$1006,0))&gt;=100000), " ",IF(INDEX($AM$2:$BM$1001,MATCH(ROWS($AF$2:AF230),$AF$2:$AF$1001,0),MATCH(COLUMNS($AM$1006:BC1006),$AM$1006:$BM$1006,0)), HYPERLINK("#",""), HYPERLINK(CONCATENATE("#metadata!", ADDRESS(INDEX($AH$2:$AH$1001,MATCH(ROWS($AF$2:AF230),$AF$2:$AF$1001,0),0), INDEX($AM$1004:$BM$1004,1,MATCH(COLUMNS($AM$1006:BC1006),$AM$1006:$BM$1006,0)))),"Fix")))</f>
        <v xml:space="preserve"> </v>
      </c>
      <c r="S230" s="4" t="str">
        <f ca="1">IF(OR(INDEX($AG$2:$AG$1001,MATCH(ROWS($AF$2:AF230),$AF$2:$AF$1001,0),1)&gt;=100000,INDEX($AM$1005:$BM$1005,1,MATCH(COLUMNS($AM$1006:BD1006),$AM$1006:$BM$1006,0))&gt;=100000), " ",IF(INDEX($AM$2:$BM$1001,MATCH(ROWS($AF$2:AF230),$AF$2:$AF$1001,0),MATCH(COLUMNS($AM$1006:BD1006),$AM$1006:$BM$1006,0)), HYPERLINK("#",""), HYPERLINK(CONCATENATE("#metadata!", ADDRESS(INDEX($AH$2:$AH$1001,MATCH(ROWS($AF$2:AF230),$AF$2:$AF$1001,0),0), INDEX($AM$1004:$BM$1004,1,MATCH(COLUMNS($AM$1006:BD1006),$AM$1006:$BM$1006,0)))),"Fix")))</f>
        <v xml:space="preserve"> </v>
      </c>
      <c r="T230" s="4" t="str">
        <f ca="1">IF(OR(INDEX($AG$2:$AG$1001,MATCH(ROWS($AF$2:AF230),$AF$2:$AF$1001,0),1)&gt;=100000,INDEX($AM$1005:$BM$1005,1,MATCH(COLUMNS($AM$1006:BE1006),$AM$1006:$BM$1006,0))&gt;=100000), " ",IF(INDEX($AM$2:$BM$1001,MATCH(ROWS($AF$2:AF230),$AF$2:$AF$1001,0),MATCH(COLUMNS($AM$1006:BE1006),$AM$1006:$BM$1006,0)), HYPERLINK("#",""), HYPERLINK(CONCATENATE("#metadata!", ADDRESS(INDEX($AH$2:$AH$1001,MATCH(ROWS($AF$2:AF230),$AF$2:$AF$1001,0),0), INDEX($AM$1004:$BM$1004,1,MATCH(COLUMNS($AM$1006:BE1006),$AM$1006:$BM$1006,0)))),"Fix")))</f>
        <v xml:space="preserve"> </v>
      </c>
      <c r="U230" s="4" t="str">
        <f ca="1">IF(OR(INDEX($AG$2:$AG$1001,MATCH(ROWS($AF$2:AF230),$AF$2:$AF$1001,0),1)&gt;=100000,INDEX($AM$1005:$BM$1005,1,MATCH(COLUMNS($AM$1006:BF1006),$AM$1006:$BM$1006,0))&gt;=100000), " ",IF(INDEX($AM$2:$BM$1001,MATCH(ROWS($AF$2:AF230),$AF$2:$AF$1001,0),MATCH(COLUMNS($AM$1006:BF1006),$AM$1006:$BM$1006,0)), HYPERLINK("#",""), HYPERLINK(CONCATENATE("#metadata!", ADDRESS(INDEX($AH$2:$AH$1001,MATCH(ROWS($AF$2:AF230),$AF$2:$AF$1001,0),0), INDEX($AM$1004:$BM$1004,1,MATCH(COLUMNS($AM$1006:BF1006),$AM$1006:$BM$1006,0)))),"Fix")))</f>
        <v xml:space="preserve"> </v>
      </c>
      <c r="V230" s="4" t="str">
        <f ca="1">IF(OR(INDEX($AG$2:$AG$1001,MATCH(ROWS($AF$2:AF230),$AF$2:$AF$1001,0),1)&gt;=100000,INDEX($AM$1005:$BM$1005,1,MATCH(COLUMNS($AM$1006:BG1006),$AM$1006:$BM$1006,0))&gt;=100000), " ",IF(INDEX($AM$2:$BM$1001,MATCH(ROWS($AF$2:AF230),$AF$2:$AF$1001,0),MATCH(COLUMNS($AM$1006:BG1006),$AM$1006:$BM$1006,0)), HYPERLINK("#",""), HYPERLINK(CONCATENATE("#metadata!", ADDRESS(INDEX($AH$2:$AH$1001,MATCH(ROWS($AF$2:AF230),$AF$2:$AF$1001,0),0), INDEX($AM$1004:$BM$1004,1,MATCH(COLUMNS($AM$1006:BG1006),$AM$1006:$BM$1006,0)))),"Fix")))</f>
        <v xml:space="preserve"> </v>
      </c>
      <c r="W230" s="4" t="str">
        <f ca="1">IF(OR(INDEX($AG$2:$AG$1001,MATCH(ROWS($AF$2:AF230),$AF$2:$AF$1001,0),1)&gt;=100000,INDEX($AM$1005:$BM$1005,1,MATCH(COLUMNS($AM$1006:BH1006),$AM$1006:$BM$1006,0))&gt;=100000), " ",IF(INDEX($AM$2:$BM$1001,MATCH(ROWS($AF$2:AF230),$AF$2:$AF$1001,0),MATCH(COLUMNS($AM$1006:BH1006),$AM$1006:$BM$1006,0)), HYPERLINK("#",""), HYPERLINK(CONCATENATE("#metadata!", ADDRESS(INDEX($AH$2:$AH$1001,MATCH(ROWS($AF$2:AF230),$AF$2:$AF$1001,0),0), INDEX($AM$1004:$BM$1004,1,MATCH(COLUMNS($AM$1006:BH1006),$AM$1006:$BM$1006,0)))),"Fix")))</f>
        <v xml:space="preserve"> </v>
      </c>
      <c r="X230" s="4" t="str">
        <f ca="1">IF(OR(INDEX($AG$2:$AG$1001,MATCH(ROWS($AF$2:AF230),$AF$2:$AF$1001,0),1)&gt;=100000,INDEX($AM$1005:$BM$1005,1,MATCH(COLUMNS($AM$1006:BI1006),$AM$1006:$BM$1006,0))&gt;=100000), " ",IF(INDEX($AM$2:$BM$1001,MATCH(ROWS($AF$2:AF230),$AF$2:$AF$1001,0),MATCH(COLUMNS($AM$1006:BI1006),$AM$1006:$BM$1006,0)), HYPERLINK("#",""), HYPERLINK(CONCATENATE("#metadata!", ADDRESS(INDEX($AH$2:$AH$1001,MATCH(ROWS($AF$2:AF230),$AF$2:$AF$1001,0),0), INDEX($AM$1004:$BM$1004,1,MATCH(COLUMNS($AM$1006:BI1006),$AM$1006:$BM$1006,0)))),"Fix")))</f>
        <v xml:space="preserve"> </v>
      </c>
      <c r="Y230" s="4" t="str">
        <f ca="1">IF(OR(INDEX($AG$2:$AG$1001,MATCH(ROWS($AF$2:AF230),$AF$2:$AF$1001,0),1)&gt;=100000,INDEX($AM$1005:$BM$1005,1,MATCH(COLUMNS($AM$1006:BJ1006),$AM$1006:$BM$1006,0))&gt;=100000), " ",IF(INDEX($AM$2:$BM$1001,MATCH(ROWS($AF$2:AF230),$AF$2:$AF$1001,0),MATCH(COLUMNS($AM$1006:BJ1006),$AM$1006:$BM$1006,0)), HYPERLINK("#",""), HYPERLINK(CONCATENATE("#metadata!", ADDRESS(INDEX($AH$2:$AH$1001,MATCH(ROWS($AF$2:AF230),$AF$2:$AF$1001,0),0), INDEX($AM$1004:$BM$1004,1,MATCH(COLUMNS($AM$1006:BJ1006),$AM$1006:$BM$1006,0)))),"Fix")))</f>
        <v xml:space="preserve"> </v>
      </c>
      <c r="Z230" s="4" t="str">
        <f ca="1">IF(OR(INDEX($AG$2:$AG$1001,MATCH(ROWS($AF$2:AF230),$AF$2:$AF$1001,0),1)&gt;=100000,INDEX($AM$1005:$BM$1005,1,MATCH(COLUMNS($AM$1006:BK1006),$AM$1006:$BM$1006,0))&gt;=100000), " ",IF(INDEX($AM$2:$BM$1001,MATCH(ROWS($AF$2:AF230),$AF$2:$AF$1001,0),MATCH(COLUMNS($AM$1006:BK1006),$AM$1006:$BM$1006,0)), HYPERLINK("#",""), HYPERLINK(CONCATENATE("#metadata!", ADDRESS(INDEX($AH$2:$AH$1001,MATCH(ROWS($AF$2:AF230),$AF$2:$AF$1001,0),0), INDEX($AM$1004:$BM$1004,1,MATCH(COLUMNS($AM$1006:BK1006),$AM$1006:$BM$1006,0)))),"Fix")))</f>
        <v xml:space="preserve"> </v>
      </c>
      <c r="AA230" s="4" t="str">
        <f ca="1">IF(OR(INDEX($AG$2:$AG$1001,MATCH(ROWS($AF$2:AF230),$AF$2:$AF$1001,0),1)&gt;=100000,INDEX($AM$1005:$BM$1005,1,MATCH(COLUMNS($AM$1006:BL1006),$AM$1006:$BM$1006,0))&gt;=100000), " ",IF(INDEX($AM$2:$BM$1001,MATCH(ROWS($AF$2:AF230),$AF$2:$AF$1001,0),MATCH(COLUMNS($AM$1006:BL1006),$AM$1006:$BM$1006,0)), HYPERLINK("#",""), HYPERLINK(CONCATENATE("#metadata!", ADDRESS(INDEX($AH$2:$AH$1001,MATCH(ROWS($AF$2:AF230),$AF$2:$AF$1001,0),0), INDEX($AM$1004:$BM$1004,1,MATCH(COLUMNS($AM$1006:BL1006),$AM$1006:$BM$1006,0)))),"Fix")))</f>
        <v xml:space="preserve"> </v>
      </c>
      <c r="AB230" s="4" t="str">
        <f ca="1">IF(OR(INDEX($AG$2:$AG$1001,MATCH(ROWS($AF$2:AF230),$AF$2:$AF$1001,0),1)&gt;=100000,INDEX($AM$1005:$BM$1005,1,MATCH(COLUMNS($AM$1006:BM1006),$AM$1006:$BM$1006,0))&gt;=100000), " ",IF(INDEX($AM$2:$BM$1001,MATCH(ROWS($AF$2:AF230),$AF$2:$AF$1001,0),MATCH(COLUMNS($AM$1006:BM1006),$AM$1006:$BM$1006,0)), HYPERLINK("#",""), HYPERLINK(CONCATENATE("#metadata!", ADDRESS(INDEX($AH$2:$AH$1001,MATCH(ROWS($AF$2:AF230),$AF$2:$AF$1001,0),0), INDEX($AM$1004:$BM$1004,1,MATCH(COLUMNS($AM$1006:BM1006),$AM$1006:$BM$1006,0)))),"Fix")))</f>
        <v xml:space="preserve"> </v>
      </c>
      <c r="AF230">
        <v>229</v>
      </c>
      <c r="AG230">
        <v>100230</v>
      </c>
      <c r="AH230">
        <v>230</v>
      </c>
      <c r="AI230" t="b">
        <f t="shared" si="3"/>
        <v>1</v>
      </c>
      <c r="AJ230" t="b">
        <f>COUNTBLANK(metadata!B230:AB230)=COLUMNS(metadata!B230:AB230)</f>
        <v>1</v>
      </c>
      <c r="AK230" t="str">
        <v/>
      </c>
      <c r="AM230" t="b">
        <f ca="1">AND(IF(metadata!B230="",FALSE,TRUE),COUNTIF(metadata!B:B, metadata!B230) = 1,NOT(ISERROR(SUMPRODUCT(SEARCH(MID(metadata!B230,ROW(INDIRECT("1:"&amp;LEN(metadata!B230))), 1),"0123456789abcdefghijklmnopqrstuvwxyzABCDEFGHIJKLMNOPQRSTUVWXYZ.")))))</f>
        <v>0</v>
      </c>
      <c r="AN230" t="b">
        <f ca="1">OR(AND(IF(metadata!C230="",FALSE,TRUE),OR(EXACT(metadata!C230,"missing: not collected"),EXACT(metadata!C230,"missing: not provided"),EXACT(metadata!C230,"missing: restricted access"))),AND(IF(metadata!C230="",FALSE,TRUE),AND(AND(IFERROR(INT(LEFT(metadata!C230,4))&gt;1900,FALSE),IFERROR(INT(LEFT(metadata!C230,4))&lt;=YEAR(NOW()),FALSE)), OR(MID(metadata!C230,5,1)="", AND(AND(MID(metadata!C230,5,1)="-",IFERROR(INT(MID(metadata!C230,6,1))&gt;=0,FALSE),IFERROR(INT(MID(metadata!C230,6,1))&lt;=1,FALSE),NOT(MID(metadata!C230,7,1)=""),IFERROR(INT(MID(metadata!C230,6,2))&gt;=1,FALSE),IFERROR(INT(MID(metadata!C230,6,2))&lt;=12,FALSE)), OR(MID(metadata!C230,8,1)="", AND(AND(MID(metadata!C230,8,1)="-",IFERROR(INT(MID(metadata!C230,9,1))&gt;=0,FALSE),IFERROR(INT(MID(metadata!C230,9,1))&lt;=3,FALSE),NOT(MID(metadata!C230,10,1)=""),IFERROR(INT(MID(metadata!C230,9,2))&gt;=1,FALSE),IFERROR(INT(MID(metadata!C230,9,2))&lt;=31,FALSE)), OR(MID(metadata!C230,11,1)="", AND(AND(MID(metadata!C230,11,1)=" ",IFERROR(INT(MID(metadata!C230,12,1))&gt;=0,FALSE),IFERROR(INT(MID(metadata!C230,12,1))&lt;=2,FALSE),NOT(MID(metadata!C230,13,1)=""),IFERROR(INT(MID(metadata!C230,12,2))&gt;=0,FALSE),IFERROR(INT(MID(metadata!C230,12,2))&lt;=23,FALSE)), OR(MID(metadata!C230,14,1)="", AND(AND(MID(metadata!C230,14,1)=":",IFERROR(INT(MID(metadata!C230,15,1))&gt;=0,FALSE),IFERROR(INT(MID(metadata!C230,15,1))&lt;=5,FALSE),NOT(MID(metadata!C230,16,1)=""),IFERROR(INT(MID(metadata!C230,15,2))&gt;=0,FALSE),IFERROR(INT(MID(metadata!C230,15,2))&lt;=59,FALSE)), OR(MID(metadata!C230,17,1)="", AND(AND(MID(metadata!C230,17,1)=":",IFERROR(INT(MID(metadata!C230,18,1))&gt;=0,FALSE),IFERROR(INT(MID(metadata!C230,18,1))&lt;=5,FALSE),NOT(MID(metadata!C230,19,1)=""),IFERROR(INT(MID(metadata!C230,18,2))&gt;=0,FALSE),IFERROR(INT(MID(metadata!C230,18,2))&lt;=59,FALSE)), LEN(metadata!C230)&lt;=19)))))))))))))</f>
        <v>0</v>
      </c>
      <c r="AO230" t="b">
        <f>AND(IF(metadata!D230="",FALSE,TRUE),EXACT(metadata!D230,"Not applicable"))</f>
        <v>0</v>
      </c>
      <c r="AP230" t="b">
        <f>IF(metadata!E230="",FALSE,TRUE)</f>
        <v>0</v>
      </c>
      <c r="AQ230" t="b">
        <f>OR(AND(IF(metadata!F230="",FALSE,TRUE),OR(EXACT(metadata!F230,"missing: not collected"),EXACT(metadata!F230,"missing: not provided"))),AND(IF(metadata!F230="",FALSE,TRUE),OR(EXACT(metadata!F230,"TRUE"),EXACT(metadata!F230,"FALSE"))))</f>
        <v>0</v>
      </c>
      <c r="AR230" t="b">
        <f>OR(AND(IF(metadata!G230="",FALSE,TRUE),OR(EXACT(metadata!G230,"missing: not collected"),EXACT(metadata!G230,"missing: not provided"),EXACT(metadata!G230,"missing: restricted access"))),AND(IF(metadata!G230="",FALSE,ISNUMBER(VALUE(metadata!G230))),metadata!G230&gt;=-413))</f>
        <v>0</v>
      </c>
      <c r="AS230" t="b">
        <f>AND(IF(metadata!H230="",FALSE,TRUE),EXACT(metadata!H230,"meters"))</f>
        <v>0</v>
      </c>
      <c r="AT230" t="b">
        <f>AND(IF(metadata!I230="",FALSE,TRUE),OR(EXACT(metadata!I230,"Host-associated"),EXACT(metadata!I230,"Free-living")))</f>
        <v>0</v>
      </c>
      <c r="AU230" t="b">
        <f>AND(IF(metadata!J230="",FALSE,TRUE),OR(EXACT(metadata!J230,"Animal"),EXACT(metadata!J230,"Fungus"),EXACT(metadata!J230,"Plant"),EXACT(metadata!J230,"Saline"),EXACT(metadata!J230,"Non-saline")))</f>
        <v>0</v>
      </c>
      <c r="AV230" t="b">
        <f>AND(IF(metadata!K230="",FALSE,TRUE),OR(EXACT(metadata!K230,"Plant secretion"),EXACT(metadata!K230,"Plant rhizosphere"),EXACT(metadata!K230,"Plant surface"),EXACT(metadata!K230,"Plant corpus"),EXACT(metadata!K230,"Fungus surface"),EXACT(metadata!K230,"Fungus corpus"),EXACT(metadata!K230,"Animal surface"),EXACT(metadata!K230,"Animal proximal gut"),EXACT(metadata!K230,"Animal corpus"),EXACT(metadata!K230,"Animal distal gut"),EXACT(metadata!K230,"Animal secretion"),EXACT(metadata!K230,"Sub-surface (non-saline)"),EXACT(metadata!K230,"Surface (non-saline)"),EXACT(metadata!K230,"Water (non-saline)"),EXACT(metadata!K230,"Soil (non-saline)"),EXACT(metadata!K230,"Aerosol (non-saline)"),EXACT(metadata!K230,"Sediment (non-saline)"),EXACT(metadata!K230,"Surface (saline)"),EXACT(metadata!K230,"Water (saline)"),EXACT(metadata!K230,"Hypersaline (saline)"),EXACT(metadata!K230,"Aerosol (saline)"),EXACT(metadata!K230,"Sediment (saline)")))</f>
        <v>0</v>
      </c>
      <c r="AW230" t="b">
        <f>IF(metadata!L230="",FALSE,TRUE)</f>
        <v>0</v>
      </c>
      <c r="AX230" t="b">
        <f>IF(metadata!M230="",FALSE,TRUE)</f>
        <v>0</v>
      </c>
      <c r="AY230" t="b">
        <f>IF(metadata!N230="",FALSE,TRUE)</f>
        <v>0</v>
      </c>
      <c r="AZ230" t="b">
        <f>OR(AND(IF(metadata!O230="",FALSE,TRUE),OR(EXACT(metadata!O230,"missing: not collected"),EXACT(metadata!O230,"missing: not provided"),EXACT(metadata!O230,"missing: restricted access"))),AND(IF(metadata!O230="",FALSE,TRUE),OR(EXACT(metadata!O230,"air"),EXACT(metadata!O230,"built environment"),EXACT(metadata!O230,"host-associated"),EXACT(metadata!O230,"human-associated"),EXACT(metadata!O230,"human-skin"),EXACT(metadata!O230,"human-oral"),EXACT(metadata!O230,"human-gut"),EXACT(metadata!O230,"human-vaginal"),EXACT(metadata!O230,"microbial mat/biofilm"),EXACT(metadata!O230,"misc environment"),EXACT(metadata!O230,"plant-associated"),EXACT(metadata!O230,"sediment"),EXACT(metadata!O230,"soil"),EXACT(metadata!O230,"wastewater/sludge"),EXACT(metadata!O230,"water"))))</f>
        <v>0</v>
      </c>
      <c r="BA230" t="b">
        <f>IF(metadata!P230="",FALSE,TRUE)</f>
        <v>0</v>
      </c>
      <c r="BB230" t="b">
        <f>IF(metadata!Q230="",FALSE,TRUE)</f>
        <v>0</v>
      </c>
      <c r="BC230" t="b">
        <f>OR(AND(IF(metadata!R230="",FALSE,TRUE),OR(EXACT(metadata!R230,"missing: not collected"),EXACT(metadata!R230,"missing: not provided"),EXACT(metadata!R230,"missing: restricted access"))),AND(IF(metadata!R230="",FALSE,ISNUMBER(VALUE(metadata!R230))),metadata!R230&gt;=-90,metadata!R230&lt;=90))</f>
        <v>0</v>
      </c>
      <c r="BD230" t="b">
        <f>AND(IF(metadata!S230="",FALSE,TRUE),EXACT(metadata!S230,"Decimal degrees"))</f>
        <v>0</v>
      </c>
      <c r="BE230" t="b">
        <f>OR(AND(IF(metadata!T230="",FALSE,TRUE),OR(EXACT(metadata!T230,"missing: not collected"),EXACT(metadata!T230,"missing: not provided"),EXACT(metadata!T230,"missing: restricted access"))),AND(IF(metadata!T230="",FALSE,ISNUMBER(VALUE(metadata!T230))),metadata!T230&gt;=-180,metadata!T230&lt;=180))</f>
        <v>0</v>
      </c>
      <c r="BF230" t="b">
        <f>AND(IF(metadata!U230="",FALSE,TRUE),EXACT(metadata!U230,"Decimal degrees"))</f>
        <v>0</v>
      </c>
      <c r="BG230" t="b">
        <f>IF(metadata!V230="",FALSE,TRUE)</f>
        <v>0</v>
      </c>
      <c r="BH230" t="b">
        <f>OR(AND(IF(metadata!W230="",FALSE,TRUE),OR(EXACT(metadata!W230,"missing: not collected"),EXACT(metadata!W230,"missing: not provided"),EXACT(metadata!W230,"missing: restricted access"))),AND(IF(metadata!W230="",FALSE,TRUE),OR(EXACT(metadata!W230,"TRUE"),EXACT(metadata!W230,"FALSE"))))</f>
        <v>0</v>
      </c>
      <c r="BI230" t="b">
        <f>AND(IF(metadata!X230="",FALSE,TRUE),EXACT(metadata!X230,"other"))</f>
        <v>0</v>
      </c>
      <c r="BJ230" t="b">
        <f>IF(metadata!Y230="",FALSE,TRUE)</f>
        <v>0</v>
      </c>
      <c r="BK230" t="b">
        <f>OR(AND(IF(metadata!Z230="",FALSE,TRUE),OR(EXACT(metadata!Z230,"missing: not collected"),EXACT(metadata!Z230,"missing: not provided"))),AND(IF(metadata!Z230="",FALSE,IF(ISERROR(INT(metadata!Z230)),FALSE,INT(metadata!Z230)=metadata!Z230)),metadata!Z230&gt;0))</f>
        <v>0</v>
      </c>
      <c r="BL230" t="b">
        <f>AND(IF(metadata!AA230="",FALSE,TRUE),EXACT(metadata!AA230,"Not applicable"))</f>
        <v>0</v>
      </c>
      <c r="BM230" t="b">
        <f>IF(metadata!AB230="",FALSE,TRUE)</f>
        <v>0</v>
      </c>
    </row>
    <row r="231" spans="1:65" x14ac:dyDescent="0.2">
      <c r="A231" s="5" t="str">
        <f ca="1">IF(B231=" "," ",HYPERLINK(CONCATENATE("#metadata!",ADDRESS(INDEX($AH$2:$AH$1001,MATCH(ROWS($AF$2:AF231),$AF$2:$AF$1001,0),0),1)),INDEX($AK$2:$AK$1001,MATCH(ROWS($AF$2:AF231),$AF$2:$AF$1001,0),0)))</f>
        <v xml:space="preserve"> </v>
      </c>
      <c r="B231" s="4" t="str">
        <f ca="1">IF(OR(INDEX($AG$2:$AG$1001,MATCH(ROWS($AF$2:AF231),$AF$2:$AF$1001,0),1)&gt;=100000,INDEX($AM$1005:$BM$1005,1,MATCH(COLUMNS($AM$1006:AM1006),$AM$1006:$BM$1006,0))&gt;=100000), " ",IF(INDEX($AM$2:$BM$1001,MATCH(ROWS($AF$2:AF231),$AF$2:$AF$1001,0),MATCH(COLUMNS($AM$1006:AM1006),$AM$1006:$BM$1006,0)), HYPERLINK("#",""), HYPERLINK(CONCATENATE("#metadata!", ADDRESS(INDEX($AH$2:$AH$1001,MATCH(ROWS($AF$2:AF231),$AF$2:$AF$1001,0),0), INDEX($AM$1004:$BM$1004,1,MATCH(COLUMNS($AM$1006:AM1006),$AM$1006:$BM$1006,0)))),"Fix")))</f>
        <v xml:space="preserve"> </v>
      </c>
      <c r="C231" s="4" t="str">
        <f ca="1">IF(OR(INDEX($AG$2:$AG$1001,MATCH(ROWS($AF$2:AF231),$AF$2:$AF$1001,0),1)&gt;=100000,INDEX($AM$1005:$BM$1005,1,MATCH(COLUMNS($AM$1006:AN1006),$AM$1006:$BM$1006,0))&gt;=100000), " ",IF(INDEX($AM$2:$BM$1001,MATCH(ROWS($AF$2:AF231),$AF$2:$AF$1001,0),MATCH(COLUMNS($AM$1006:AN1006),$AM$1006:$BM$1006,0)), HYPERLINK("#",""), HYPERLINK(CONCATENATE("#metadata!", ADDRESS(INDEX($AH$2:$AH$1001,MATCH(ROWS($AF$2:AF231),$AF$2:$AF$1001,0),0), INDEX($AM$1004:$BM$1004,1,MATCH(COLUMNS($AM$1006:AN1006),$AM$1006:$BM$1006,0)))),"Fix")))</f>
        <v xml:space="preserve"> </v>
      </c>
      <c r="D231" s="4" t="str">
        <f ca="1">IF(OR(INDEX($AG$2:$AG$1001,MATCH(ROWS($AF$2:AF231),$AF$2:$AF$1001,0),1)&gt;=100000,INDEX($AM$1005:$BM$1005,1,MATCH(COLUMNS($AM$1006:AO1006),$AM$1006:$BM$1006,0))&gt;=100000), " ",IF(INDEX($AM$2:$BM$1001,MATCH(ROWS($AF$2:AF231),$AF$2:$AF$1001,0),MATCH(COLUMNS($AM$1006:AO1006),$AM$1006:$BM$1006,0)), HYPERLINK("#",""), HYPERLINK(CONCATENATE("#metadata!", ADDRESS(INDEX($AH$2:$AH$1001,MATCH(ROWS($AF$2:AF231),$AF$2:$AF$1001,0),0), INDEX($AM$1004:$BM$1004,1,MATCH(COLUMNS($AM$1006:AO1006),$AM$1006:$BM$1006,0)))),"Fix")))</f>
        <v xml:space="preserve"> </v>
      </c>
      <c r="E231" s="4" t="str">
        <f ca="1">IF(OR(INDEX($AG$2:$AG$1001,MATCH(ROWS($AF$2:AF231),$AF$2:$AF$1001,0),1)&gt;=100000,INDEX($AM$1005:$BM$1005,1,MATCH(COLUMNS($AM$1006:AP1006),$AM$1006:$BM$1006,0))&gt;=100000), " ",IF(INDEX($AM$2:$BM$1001,MATCH(ROWS($AF$2:AF231),$AF$2:$AF$1001,0),MATCH(COLUMNS($AM$1006:AP1006),$AM$1006:$BM$1006,0)), HYPERLINK("#",""), HYPERLINK(CONCATENATE("#metadata!", ADDRESS(INDEX($AH$2:$AH$1001,MATCH(ROWS($AF$2:AF231),$AF$2:$AF$1001,0),0), INDEX($AM$1004:$BM$1004,1,MATCH(COLUMNS($AM$1006:AP1006),$AM$1006:$BM$1006,0)))),"Fix")))</f>
        <v xml:space="preserve"> </v>
      </c>
      <c r="F231" s="4" t="str">
        <f ca="1">IF(OR(INDEX($AG$2:$AG$1001,MATCH(ROWS($AF$2:AF231),$AF$2:$AF$1001,0),1)&gt;=100000,INDEX($AM$1005:$BM$1005,1,MATCH(COLUMNS($AM$1006:AQ1006),$AM$1006:$BM$1006,0))&gt;=100000), " ",IF(INDEX($AM$2:$BM$1001,MATCH(ROWS($AF$2:AF231),$AF$2:$AF$1001,0),MATCH(COLUMNS($AM$1006:AQ1006),$AM$1006:$BM$1006,0)), HYPERLINK("#",""), HYPERLINK(CONCATENATE("#metadata!", ADDRESS(INDEX($AH$2:$AH$1001,MATCH(ROWS($AF$2:AF231),$AF$2:$AF$1001,0),0), INDEX($AM$1004:$BM$1004,1,MATCH(COLUMNS($AM$1006:AQ1006),$AM$1006:$BM$1006,0)))),"Fix")))</f>
        <v xml:space="preserve"> </v>
      </c>
      <c r="G231" s="4" t="str">
        <f ca="1">IF(OR(INDEX($AG$2:$AG$1001,MATCH(ROWS($AF$2:AF231),$AF$2:$AF$1001,0),1)&gt;=100000,INDEX($AM$1005:$BM$1005,1,MATCH(COLUMNS($AM$1006:AR1006),$AM$1006:$BM$1006,0))&gt;=100000), " ",IF(INDEX($AM$2:$BM$1001,MATCH(ROWS($AF$2:AF231),$AF$2:$AF$1001,0),MATCH(COLUMNS($AM$1006:AR1006),$AM$1006:$BM$1006,0)), HYPERLINK("#",""), HYPERLINK(CONCATENATE("#metadata!", ADDRESS(INDEX($AH$2:$AH$1001,MATCH(ROWS($AF$2:AF231),$AF$2:$AF$1001,0),0), INDEX($AM$1004:$BM$1004,1,MATCH(COLUMNS($AM$1006:AR1006),$AM$1006:$BM$1006,0)))),"Fix")))</f>
        <v xml:space="preserve"> </v>
      </c>
      <c r="H231" s="4" t="str">
        <f ca="1">IF(OR(INDEX($AG$2:$AG$1001,MATCH(ROWS($AF$2:AF231),$AF$2:$AF$1001,0),1)&gt;=100000,INDEX($AM$1005:$BM$1005,1,MATCH(COLUMNS($AM$1006:AS1006),$AM$1006:$BM$1006,0))&gt;=100000), " ",IF(INDEX($AM$2:$BM$1001,MATCH(ROWS($AF$2:AF231),$AF$2:$AF$1001,0),MATCH(COLUMNS($AM$1006:AS1006),$AM$1006:$BM$1006,0)), HYPERLINK("#",""), HYPERLINK(CONCATENATE("#metadata!", ADDRESS(INDEX($AH$2:$AH$1001,MATCH(ROWS($AF$2:AF231),$AF$2:$AF$1001,0),0), INDEX($AM$1004:$BM$1004,1,MATCH(COLUMNS($AM$1006:AS1006),$AM$1006:$BM$1006,0)))),"Fix")))</f>
        <v xml:space="preserve"> </v>
      </c>
      <c r="I231" s="4" t="str">
        <f ca="1">IF(OR(INDEX($AG$2:$AG$1001,MATCH(ROWS($AF$2:AF231),$AF$2:$AF$1001,0),1)&gt;=100000,INDEX($AM$1005:$BM$1005,1,MATCH(COLUMNS($AM$1006:AT1006),$AM$1006:$BM$1006,0))&gt;=100000), " ",IF(INDEX($AM$2:$BM$1001,MATCH(ROWS($AF$2:AF231),$AF$2:$AF$1001,0),MATCH(COLUMNS($AM$1006:AT1006),$AM$1006:$BM$1006,0)), HYPERLINK("#",""), HYPERLINK(CONCATENATE("#metadata!", ADDRESS(INDEX($AH$2:$AH$1001,MATCH(ROWS($AF$2:AF231),$AF$2:$AF$1001,0),0), INDEX($AM$1004:$BM$1004,1,MATCH(COLUMNS($AM$1006:AT1006),$AM$1006:$BM$1006,0)))),"Fix")))</f>
        <v xml:space="preserve"> </v>
      </c>
      <c r="J231" s="4" t="str">
        <f ca="1">IF(OR(INDEX($AG$2:$AG$1001,MATCH(ROWS($AF$2:AF231),$AF$2:$AF$1001,0),1)&gt;=100000,INDEX($AM$1005:$BM$1005,1,MATCH(COLUMNS($AM$1006:AU1006),$AM$1006:$BM$1006,0))&gt;=100000), " ",IF(INDEX($AM$2:$BM$1001,MATCH(ROWS($AF$2:AF231),$AF$2:$AF$1001,0),MATCH(COLUMNS($AM$1006:AU1006),$AM$1006:$BM$1006,0)), HYPERLINK("#",""), HYPERLINK(CONCATENATE("#metadata!", ADDRESS(INDEX($AH$2:$AH$1001,MATCH(ROWS($AF$2:AF231),$AF$2:$AF$1001,0),0), INDEX($AM$1004:$BM$1004,1,MATCH(COLUMNS($AM$1006:AU1006),$AM$1006:$BM$1006,0)))),"Fix")))</f>
        <v xml:space="preserve"> </v>
      </c>
      <c r="K231" s="4" t="str">
        <f ca="1">IF(OR(INDEX($AG$2:$AG$1001,MATCH(ROWS($AF$2:AF231),$AF$2:$AF$1001,0),1)&gt;=100000,INDEX($AM$1005:$BM$1005,1,MATCH(COLUMNS($AM$1006:AV1006),$AM$1006:$BM$1006,0))&gt;=100000), " ",IF(INDEX($AM$2:$BM$1001,MATCH(ROWS($AF$2:AF231),$AF$2:$AF$1001,0),MATCH(COLUMNS($AM$1006:AV1006),$AM$1006:$BM$1006,0)), HYPERLINK("#",""), HYPERLINK(CONCATENATE("#metadata!", ADDRESS(INDEX($AH$2:$AH$1001,MATCH(ROWS($AF$2:AF231),$AF$2:$AF$1001,0),0), INDEX($AM$1004:$BM$1004,1,MATCH(COLUMNS($AM$1006:AV1006),$AM$1006:$BM$1006,0)))),"Fix")))</f>
        <v xml:space="preserve"> </v>
      </c>
      <c r="L231" s="4" t="str">
        <f ca="1">IF(OR(INDEX($AG$2:$AG$1001,MATCH(ROWS($AF$2:AF231),$AF$2:$AF$1001,0),1)&gt;=100000,INDEX($AM$1005:$BM$1005,1,MATCH(COLUMNS($AM$1006:AW1006),$AM$1006:$BM$1006,0))&gt;=100000), " ",IF(INDEX($AM$2:$BM$1001,MATCH(ROWS($AF$2:AF231),$AF$2:$AF$1001,0),MATCH(COLUMNS($AM$1006:AW1006),$AM$1006:$BM$1006,0)), HYPERLINK("#",""), HYPERLINK(CONCATENATE("#metadata!", ADDRESS(INDEX($AH$2:$AH$1001,MATCH(ROWS($AF$2:AF231),$AF$2:$AF$1001,0),0), INDEX($AM$1004:$BM$1004,1,MATCH(COLUMNS($AM$1006:AW1006),$AM$1006:$BM$1006,0)))),"Fix")))</f>
        <v xml:space="preserve"> </v>
      </c>
      <c r="M231" s="4" t="str">
        <f ca="1">IF(OR(INDEX($AG$2:$AG$1001,MATCH(ROWS($AF$2:AF231),$AF$2:$AF$1001,0),1)&gt;=100000,INDEX($AM$1005:$BM$1005,1,MATCH(COLUMNS($AM$1006:AX1006),$AM$1006:$BM$1006,0))&gt;=100000), " ",IF(INDEX($AM$2:$BM$1001,MATCH(ROWS($AF$2:AF231),$AF$2:$AF$1001,0),MATCH(COLUMNS($AM$1006:AX1006),$AM$1006:$BM$1006,0)), HYPERLINK("#",""), HYPERLINK(CONCATENATE("#metadata!", ADDRESS(INDEX($AH$2:$AH$1001,MATCH(ROWS($AF$2:AF231),$AF$2:$AF$1001,0),0), INDEX($AM$1004:$BM$1004,1,MATCH(COLUMNS($AM$1006:AX1006),$AM$1006:$BM$1006,0)))),"Fix")))</f>
        <v xml:space="preserve"> </v>
      </c>
      <c r="N231" s="4" t="str">
        <f ca="1">IF(OR(INDEX($AG$2:$AG$1001,MATCH(ROWS($AF$2:AF231),$AF$2:$AF$1001,0),1)&gt;=100000,INDEX($AM$1005:$BM$1005,1,MATCH(COLUMNS($AM$1006:AY1006),$AM$1006:$BM$1006,0))&gt;=100000), " ",IF(INDEX($AM$2:$BM$1001,MATCH(ROWS($AF$2:AF231),$AF$2:$AF$1001,0),MATCH(COLUMNS($AM$1006:AY1006),$AM$1006:$BM$1006,0)), HYPERLINK("#",""), HYPERLINK(CONCATENATE("#metadata!", ADDRESS(INDEX($AH$2:$AH$1001,MATCH(ROWS($AF$2:AF231),$AF$2:$AF$1001,0),0), INDEX($AM$1004:$BM$1004,1,MATCH(COLUMNS($AM$1006:AY1006),$AM$1006:$BM$1006,0)))),"Fix")))</f>
        <v xml:space="preserve"> </v>
      </c>
      <c r="O231" s="4" t="str">
        <f ca="1">IF(OR(INDEX($AG$2:$AG$1001,MATCH(ROWS($AF$2:AF231),$AF$2:$AF$1001,0),1)&gt;=100000,INDEX($AM$1005:$BM$1005,1,MATCH(COLUMNS($AM$1006:AZ1006),$AM$1006:$BM$1006,0))&gt;=100000), " ",IF(INDEX($AM$2:$BM$1001,MATCH(ROWS($AF$2:AF231),$AF$2:$AF$1001,0),MATCH(COLUMNS($AM$1006:AZ1006),$AM$1006:$BM$1006,0)), HYPERLINK("#",""), HYPERLINK(CONCATENATE("#metadata!", ADDRESS(INDEX($AH$2:$AH$1001,MATCH(ROWS($AF$2:AF231),$AF$2:$AF$1001,0),0), INDEX($AM$1004:$BM$1004,1,MATCH(COLUMNS($AM$1006:AZ1006),$AM$1006:$BM$1006,0)))),"Fix")))</f>
        <v xml:space="preserve"> </v>
      </c>
      <c r="P231" s="4" t="str">
        <f ca="1">IF(OR(INDEX($AG$2:$AG$1001,MATCH(ROWS($AF$2:AF231),$AF$2:$AF$1001,0),1)&gt;=100000,INDEX($AM$1005:$BM$1005,1,MATCH(COLUMNS($AM$1006:BA1006),$AM$1006:$BM$1006,0))&gt;=100000), " ",IF(INDEX($AM$2:$BM$1001,MATCH(ROWS($AF$2:AF231),$AF$2:$AF$1001,0),MATCH(COLUMNS($AM$1006:BA1006),$AM$1006:$BM$1006,0)), HYPERLINK("#",""), HYPERLINK(CONCATENATE("#metadata!", ADDRESS(INDEX($AH$2:$AH$1001,MATCH(ROWS($AF$2:AF231),$AF$2:$AF$1001,0),0), INDEX($AM$1004:$BM$1004,1,MATCH(COLUMNS($AM$1006:BA1006),$AM$1006:$BM$1006,0)))),"Fix")))</f>
        <v xml:space="preserve"> </v>
      </c>
      <c r="Q231" s="4" t="str">
        <f ca="1">IF(OR(INDEX($AG$2:$AG$1001,MATCH(ROWS($AF$2:AF231),$AF$2:$AF$1001,0),1)&gt;=100000,INDEX($AM$1005:$BM$1005,1,MATCH(COLUMNS($AM$1006:BB1006),$AM$1006:$BM$1006,0))&gt;=100000), " ",IF(INDEX($AM$2:$BM$1001,MATCH(ROWS($AF$2:AF231),$AF$2:$AF$1001,0),MATCH(COLUMNS($AM$1006:BB1006),$AM$1006:$BM$1006,0)), HYPERLINK("#",""), HYPERLINK(CONCATENATE("#metadata!", ADDRESS(INDEX($AH$2:$AH$1001,MATCH(ROWS($AF$2:AF231),$AF$2:$AF$1001,0),0), INDEX($AM$1004:$BM$1004,1,MATCH(COLUMNS($AM$1006:BB1006),$AM$1006:$BM$1006,0)))),"Fix")))</f>
        <v xml:space="preserve"> </v>
      </c>
      <c r="R231" s="4" t="str">
        <f ca="1">IF(OR(INDEX($AG$2:$AG$1001,MATCH(ROWS($AF$2:AF231),$AF$2:$AF$1001,0),1)&gt;=100000,INDEX($AM$1005:$BM$1005,1,MATCH(COLUMNS($AM$1006:BC1006),$AM$1006:$BM$1006,0))&gt;=100000), " ",IF(INDEX($AM$2:$BM$1001,MATCH(ROWS($AF$2:AF231),$AF$2:$AF$1001,0),MATCH(COLUMNS($AM$1006:BC1006),$AM$1006:$BM$1006,0)), HYPERLINK("#",""), HYPERLINK(CONCATENATE("#metadata!", ADDRESS(INDEX($AH$2:$AH$1001,MATCH(ROWS($AF$2:AF231),$AF$2:$AF$1001,0),0), INDEX($AM$1004:$BM$1004,1,MATCH(COLUMNS($AM$1006:BC1006),$AM$1006:$BM$1006,0)))),"Fix")))</f>
        <v xml:space="preserve"> </v>
      </c>
      <c r="S231" s="4" t="str">
        <f ca="1">IF(OR(INDEX($AG$2:$AG$1001,MATCH(ROWS($AF$2:AF231),$AF$2:$AF$1001,0),1)&gt;=100000,INDEX($AM$1005:$BM$1005,1,MATCH(COLUMNS($AM$1006:BD1006),$AM$1006:$BM$1006,0))&gt;=100000), " ",IF(INDEX($AM$2:$BM$1001,MATCH(ROWS($AF$2:AF231),$AF$2:$AF$1001,0),MATCH(COLUMNS($AM$1006:BD1006),$AM$1006:$BM$1006,0)), HYPERLINK("#",""), HYPERLINK(CONCATENATE("#metadata!", ADDRESS(INDEX($AH$2:$AH$1001,MATCH(ROWS($AF$2:AF231),$AF$2:$AF$1001,0),0), INDEX($AM$1004:$BM$1004,1,MATCH(COLUMNS($AM$1006:BD1006),$AM$1006:$BM$1006,0)))),"Fix")))</f>
        <v xml:space="preserve"> </v>
      </c>
      <c r="T231" s="4" t="str">
        <f ca="1">IF(OR(INDEX($AG$2:$AG$1001,MATCH(ROWS($AF$2:AF231),$AF$2:$AF$1001,0),1)&gt;=100000,INDEX($AM$1005:$BM$1005,1,MATCH(COLUMNS($AM$1006:BE1006),$AM$1006:$BM$1006,0))&gt;=100000), " ",IF(INDEX($AM$2:$BM$1001,MATCH(ROWS($AF$2:AF231),$AF$2:$AF$1001,0),MATCH(COLUMNS($AM$1006:BE1006),$AM$1006:$BM$1006,0)), HYPERLINK("#",""), HYPERLINK(CONCATENATE("#metadata!", ADDRESS(INDEX($AH$2:$AH$1001,MATCH(ROWS($AF$2:AF231),$AF$2:$AF$1001,0),0), INDEX($AM$1004:$BM$1004,1,MATCH(COLUMNS($AM$1006:BE1006),$AM$1006:$BM$1006,0)))),"Fix")))</f>
        <v xml:space="preserve"> </v>
      </c>
      <c r="U231" s="4" t="str">
        <f ca="1">IF(OR(INDEX($AG$2:$AG$1001,MATCH(ROWS($AF$2:AF231),$AF$2:$AF$1001,0),1)&gt;=100000,INDEX($AM$1005:$BM$1005,1,MATCH(COLUMNS($AM$1006:BF1006),$AM$1006:$BM$1006,0))&gt;=100000), " ",IF(INDEX($AM$2:$BM$1001,MATCH(ROWS($AF$2:AF231),$AF$2:$AF$1001,0),MATCH(COLUMNS($AM$1006:BF1006),$AM$1006:$BM$1006,0)), HYPERLINK("#",""), HYPERLINK(CONCATENATE("#metadata!", ADDRESS(INDEX($AH$2:$AH$1001,MATCH(ROWS($AF$2:AF231),$AF$2:$AF$1001,0),0), INDEX($AM$1004:$BM$1004,1,MATCH(COLUMNS($AM$1006:BF1006),$AM$1006:$BM$1006,0)))),"Fix")))</f>
        <v xml:space="preserve"> </v>
      </c>
      <c r="V231" s="4" t="str">
        <f ca="1">IF(OR(INDEX($AG$2:$AG$1001,MATCH(ROWS($AF$2:AF231),$AF$2:$AF$1001,0),1)&gt;=100000,INDEX($AM$1005:$BM$1005,1,MATCH(COLUMNS($AM$1006:BG1006),$AM$1006:$BM$1006,0))&gt;=100000), " ",IF(INDEX($AM$2:$BM$1001,MATCH(ROWS($AF$2:AF231),$AF$2:$AF$1001,0),MATCH(COLUMNS($AM$1006:BG1006),$AM$1006:$BM$1006,0)), HYPERLINK("#",""), HYPERLINK(CONCATENATE("#metadata!", ADDRESS(INDEX($AH$2:$AH$1001,MATCH(ROWS($AF$2:AF231),$AF$2:$AF$1001,0),0), INDEX($AM$1004:$BM$1004,1,MATCH(COLUMNS($AM$1006:BG1006),$AM$1006:$BM$1006,0)))),"Fix")))</f>
        <v xml:space="preserve"> </v>
      </c>
      <c r="W231" s="4" t="str">
        <f ca="1">IF(OR(INDEX($AG$2:$AG$1001,MATCH(ROWS($AF$2:AF231),$AF$2:$AF$1001,0),1)&gt;=100000,INDEX($AM$1005:$BM$1005,1,MATCH(COLUMNS($AM$1006:BH1006),$AM$1006:$BM$1006,0))&gt;=100000), " ",IF(INDEX($AM$2:$BM$1001,MATCH(ROWS($AF$2:AF231),$AF$2:$AF$1001,0),MATCH(COLUMNS($AM$1006:BH1006),$AM$1006:$BM$1006,0)), HYPERLINK("#",""), HYPERLINK(CONCATENATE("#metadata!", ADDRESS(INDEX($AH$2:$AH$1001,MATCH(ROWS($AF$2:AF231),$AF$2:$AF$1001,0),0), INDEX($AM$1004:$BM$1004,1,MATCH(COLUMNS($AM$1006:BH1006),$AM$1006:$BM$1006,0)))),"Fix")))</f>
        <v xml:space="preserve"> </v>
      </c>
      <c r="X231" s="4" t="str">
        <f ca="1">IF(OR(INDEX($AG$2:$AG$1001,MATCH(ROWS($AF$2:AF231),$AF$2:$AF$1001,0),1)&gt;=100000,INDEX($AM$1005:$BM$1005,1,MATCH(COLUMNS($AM$1006:BI1006),$AM$1006:$BM$1006,0))&gt;=100000), " ",IF(INDEX($AM$2:$BM$1001,MATCH(ROWS($AF$2:AF231),$AF$2:$AF$1001,0),MATCH(COLUMNS($AM$1006:BI1006),$AM$1006:$BM$1006,0)), HYPERLINK("#",""), HYPERLINK(CONCATENATE("#metadata!", ADDRESS(INDEX($AH$2:$AH$1001,MATCH(ROWS($AF$2:AF231),$AF$2:$AF$1001,0),0), INDEX($AM$1004:$BM$1004,1,MATCH(COLUMNS($AM$1006:BI1006),$AM$1006:$BM$1006,0)))),"Fix")))</f>
        <v xml:space="preserve"> </v>
      </c>
      <c r="Y231" s="4" t="str">
        <f ca="1">IF(OR(INDEX($AG$2:$AG$1001,MATCH(ROWS($AF$2:AF231),$AF$2:$AF$1001,0),1)&gt;=100000,INDEX($AM$1005:$BM$1005,1,MATCH(COLUMNS($AM$1006:BJ1006),$AM$1006:$BM$1006,0))&gt;=100000), " ",IF(INDEX($AM$2:$BM$1001,MATCH(ROWS($AF$2:AF231),$AF$2:$AF$1001,0),MATCH(COLUMNS($AM$1006:BJ1006),$AM$1006:$BM$1006,0)), HYPERLINK("#",""), HYPERLINK(CONCATENATE("#metadata!", ADDRESS(INDEX($AH$2:$AH$1001,MATCH(ROWS($AF$2:AF231),$AF$2:$AF$1001,0),0), INDEX($AM$1004:$BM$1004,1,MATCH(COLUMNS($AM$1006:BJ1006),$AM$1006:$BM$1006,0)))),"Fix")))</f>
        <v xml:space="preserve"> </v>
      </c>
      <c r="Z231" s="4" t="str">
        <f ca="1">IF(OR(INDEX($AG$2:$AG$1001,MATCH(ROWS($AF$2:AF231),$AF$2:$AF$1001,0),1)&gt;=100000,INDEX($AM$1005:$BM$1005,1,MATCH(COLUMNS($AM$1006:BK1006),$AM$1006:$BM$1006,0))&gt;=100000), " ",IF(INDEX($AM$2:$BM$1001,MATCH(ROWS($AF$2:AF231),$AF$2:$AF$1001,0),MATCH(COLUMNS($AM$1006:BK1006),$AM$1006:$BM$1006,0)), HYPERLINK("#",""), HYPERLINK(CONCATENATE("#metadata!", ADDRESS(INDEX($AH$2:$AH$1001,MATCH(ROWS($AF$2:AF231),$AF$2:$AF$1001,0),0), INDEX($AM$1004:$BM$1004,1,MATCH(COLUMNS($AM$1006:BK1006),$AM$1006:$BM$1006,0)))),"Fix")))</f>
        <v xml:space="preserve"> </v>
      </c>
      <c r="AA231" s="4" t="str">
        <f ca="1">IF(OR(INDEX($AG$2:$AG$1001,MATCH(ROWS($AF$2:AF231),$AF$2:$AF$1001,0),1)&gt;=100000,INDEX($AM$1005:$BM$1005,1,MATCH(COLUMNS($AM$1006:BL1006),$AM$1006:$BM$1006,0))&gt;=100000), " ",IF(INDEX($AM$2:$BM$1001,MATCH(ROWS($AF$2:AF231),$AF$2:$AF$1001,0),MATCH(COLUMNS($AM$1006:BL1006),$AM$1006:$BM$1006,0)), HYPERLINK("#",""), HYPERLINK(CONCATENATE("#metadata!", ADDRESS(INDEX($AH$2:$AH$1001,MATCH(ROWS($AF$2:AF231),$AF$2:$AF$1001,0),0), INDEX($AM$1004:$BM$1004,1,MATCH(COLUMNS($AM$1006:BL1006),$AM$1006:$BM$1006,0)))),"Fix")))</f>
        <v xml:space="preserve"> </v>
      </c>
      <c r="AB231" s="4" t="str">
        <f ca="1">IF(OR(INDEX($AG$2:$AG$1001,MATCH(ROWS($AF$2:AF231),$AF$2:$AF$1001,0),1)&gt;=100000,INDEX($AM$1005:$BM$1005,1,MATCH(COLUMNS($AM$1006:BM1006),$AM$1006:$BM$1006,0))&gt;=100000), " ",IF(INDEX($AM$2:$BM$1001,MATCH(ROWS($AF$2:AF231),$AF$2:$AF$1001,0),MATCH(COLUMNS($AM$1006:BM1006),$AM$1006:$BM$1006,0)), HYPERLINK("#",""), HYPERLINK(CONCATENATE("#metadata!", ADDRESS(INDEX($AH$2:$AH$1001,MATCH(ROWS($AF$2:AF231),$AF$2:$AF$1001,0),0), INDEX($AM$1004:$BM$1004,1,MATCH(COLUMNS($AM$1006:BM1006),$AM$1006:$BM$1006,0)))),"Fix")))</f>
        <v xml:space="preserve"> </v>
      </c>
      <c r="AF231">
        <v>230</v>
      </c>
      <c r="AG231">
        <v>100231</v>
      </c>
      <c r="AH231">
        <v>231</v>
      </c>
      <c r="AI231" t="b">
        <f t="shared" si="3"/>
        <v>1</v>
      </c>
      <c r="AJ231" t="b">
        <f>COUNTBLANK(metadata!B231:AB231)=COLUMNS(metadata!B231:AB231)</f>
        <v>1</v>
      </c>
      <c r="AK231" t="str">
        <v/>
      </c>
      <c r="AM231" t="b">
        <f ca="1">AND(IF(metadata!B231="",FALSE,TRUE),COUNTIF(metadata!B:B, metadata!B231) = 1,NOT(ISERROR(SUMPRODUCT(SEARCH(MID(metadata!B231,ROW(INDIRECT("1:"&amp;LEN(metadata!B231))), 1),"0123456789abcdefghijklmnopqrstuvwxyzABCDEFGHIJKLMNOPQRSTUVWXYZ.")))))</f>
        <v>0</v>
      </c>
      <c r="AN231" t="b">
        <f ca="1">OR(AND(IF(metadata!C231="",FALSE,TRUE),OR(EXACT(metadata!C231,"missing: not collected"),EXACT(metadata!C231,"missing: not provided"),EXACT(metadata!C231,"missing: restricted access"))),AND(IF(metadata!C231="",FALSE,TRUE),AND(AND(IFERROR(INT(LEFT(metadata!C231,4))&gt;1900,FALSE),IFERROR(INT(LEFT(metadata!C231,4))&lt;=YEAR(NOW()),FALSE)), OR(MID(metadata!C231,5,1)="", AND(AND(MID(metadata!C231,5,1)="-",IFERROR(INT(MID(metadata!C231,6,1))&gt;=0,FALSE),IFERROR(INT(MID(metadata!C231,6,1))&lt;=1,FALSE),NOT(MID(metadata!C231,7,1)=""),IFERROR(INT(MID(metadata!C231,6,2))&gt;=1,FALSE),IFERROR(INT(MID(metadata!C231,6,2))&lt;=12,FALSE)), OR(MID(metadata!C231,8,1)="", AND(AND(MID(metadata!C231,8,1)="-",IFERROR(INT(MID(metadata!C231,9,1))&gt;=0,FALSE),IFERROR(INT(MID(metadata!C231,9,1))&lt;=3,FALSE),NOT(MID(metadata!C231,10,1)=""),IFERROR(INT(MID(metadata!C231,9,2))&gt;=1,FALSE),IFERROR(INT(MID(metadata!C231,9,2))&lt;=31,FALSE)), OR(MID(metadata!C231,11,1)="", AND(AND(MID(metadata!C231,11,1)=" ",IFERROR(INT(MID(metadata!C231,12,1))&gt;=0,FALSE),IFERROR(INT(MID(metadata!C231,12,1))&lt;=2,FALSE),NOT(MID(metadata!C231,13,1)=""),IFERROR(INT(MID(metadata!C231,12,2))&gt;=0,FALSE),IFERROR(INT(MID(metadata!C231,12,2))&lt;=23,FALSE)), OR(MID(metadata!C231,14,1)="", AND(AND(MID(metadata!C231,14,1)=":",IFERROR(INT(MID(metadata!C231,15,1))&gt;=0,FALSE),IFERROR(INT(MID(metadata!C231,15,1))&lt;=5,FALSE),NOT(MID(metadata!C231,16,1)=""),IFERROR(INT(MID(metadata!C231,15,2))&gt;=0,FALSE),IFERROR(INT(MID(metadata!C231,15,2))&lt;=59,FALSE)), OR(MID(metadata!C231,17,1)="", AND(AND(MID(metadata!C231,17,1)=":",IFERROR(INT(MID(metadata!C231,18,1))&gt;=0,FALSE),IFERROR(INT(MID(metadata!C231,18,1))&lt;=5,FALSE),NOT(MID(metadata!C231,19,1)=""),IFERROR(INT(MID(metadata!C231,18,2))&gt;=0,FALSE),IFERROR(INT(MID(metadata!C231,18,2))&lt;=59,FALSE)), LEN(metadata!C231)&lt;=19)))))))))))))</f>
        <v>0</v>
      </c>
      <c r="AO231" t="b">
        <f>AND(IF(metadata!D231="",FALSE,TRUE),EXACT(metadata!D231,"Not applicable"))</f>
        <v>0</v>
      </c>
      <c r="AP231" t="b">
        <f>IF(metadata!E231="",FALSE,TRUE)</f>
        <v>0</v>
      </c>
      <c r="AQ231" t="b">
        <f>OR(AND(IF(metadata!F231="",FALSE,TRUE),OR(EXACT(metadata!F231,"missing: not collected"),EXACT(metadata!F231,"missing: not provided"))),AND(IF(metadata!F231="",FALSE,TRUE),OR(EXACT(metadata!F231,"TRUE"),EXACT(metadata!F231,"FALSE"))))</f>
        <v>0</v>
      </c>
      <c r="AR231" t="b">
        <f>OR(AND(IF(metadata!G231="",FALSE,TRUE),OR(EXACT(metadata!G231,"missing: not collected"),EXACT(metadata!G231,"missing: not provided"),EXACT(metadata!G231,"missing: restricted access"))),AND(IF(metadata!G231="",FALSE,ISNUMBER(VALUE(metadata!G231))),metadata!G231&gt;=-413))</f>
        <v>0</v>
      </c>
      <c r="AS231" t="b">
        <f>AND(IF(metadata!H231="",FALSE,TRUE),EXACT(metadata!H231,"meters"))</f>
        <v>0</v>
      </c>
      <c r="AT231" t="b">
        <f>AND(IF(metadata!I231="",FALSE,TRUE),OR(EXACT(metadata!I231,"Host-associated"),EXACT(metadata!I231,"Free-living")))</f>
        <v>0</v>
      </c>
      <c r="AU231" t="b">
        <f>AND(IF(metadata!J231="",FALSE,TRUE),OR(EXACT(metadata!J231,"Animal"),EXACT(metadata!J231,"Fungus"),EXACT(metadata!J231,"Plant"),EXACT(metadata!J231,"Saline"),EXACT(metadata!J231,"Non-saline")))</f>
        <v>0</v>
      </c>
      <c r="AV231" t="b">
        <f>AND(IF(metadata!K231="",FALSE,TRUE),OR(EXACT(metadata!K231,"Plant secretion"),EXACT(metadata!K231,"Plant rhizosphere"),EXACT(metadata!K231,"Plant surface"),EXACT(metadata!K231,"Plant corpus"),EXACT(metadata!K231,"Fungus surface"),EXACT(metadata!K231,"Fungus corpus"),EXACT(metadata!K231,"Animal surface"),EXACT(metadata!K231,"Animal proximal gut"),EXACT(metadata!K231,"Animal corpus"),EXACT(metadata!K231,"Animal distal gut"),EXACT(metadata!K231,"Animal secretion"),EXACT(metadata!K231,"Sub-surface (non-saline)"),EXACT(metadata!K231,"Surface (non-saline)"),EXACT(metadata!K231,"Water (non-saline)"),EXACT(metadata!K231,"Soil (non-saline)"),EXACT(metadata!K231,"Aerosol (non-saline)"),EXACT(metadata!K231,"Sediment (non-saline)"),EXACT(metadata!K231,"Surface (saline)"),EXACT(metadata!K231,"Water (saline)"),EXACT(metadata!K231,"Hypersaline (saline)"),EXACT(metadata!K231,"Aerosol (saline)"),EXACT(metadata!K231,"Sediment (saline)")))</f>
        <v>0</v>
      </c>
      <c r="AW231" t="b">
        <f>IF(metadata!L231="",FALSE,TRUE)</f>
        <v>0</v>
      </c>
      <c r="AX231" t="b">
        <f>IF(metadata!M231="",FALSE,TRUE)</f>
        <v>0</v>
      </c>
      <c r="AY231" t="b">
        <f>IF(metadata!N231="",FALSE,TRUE)</f>
        <v>0</v>
      </c>
      <c r="AZ231" t="b">
        <f>OR(AND(IF(metadata!O231="",FALSE,TRUE),OR(EXACT(metadata!O231,"missing: not collected"),EXACT(metadata!O231,"missing: not provided"),EXACT(metadata!O231,"missing: restricted access"))),AND(IF(metadata!O231="",FALSE,TRUE),OR(EXACT(metadata!O231,"air"),EXACT(metadata!O231,"built environment"),EXACT(metadata!O231,"host-associated"),EXACT(metadata!O231,"human-associated"),EXACT(metadata!O231,"human-skin"),EXACT(metadata!O231,"human-oral"),EXACT(metadata!O231,"human-gut"),EXACT(metadata!O231,"human-vaginal"),EXACT(metadata!O231,"microbial mat/biofilm"),EXACT(metadata!O231,"misc environment"),EXACT(metadata!O231,"plant-associated"),EXACT(metadata!O231,"sediment"),EXACT(metadata!O231,"soil"),EXACT(metadata!O231,"wastewater/sludge"),EXACT(metadata!O231,"water"))))</f>
        <v>0</v>
      </c>
      <c r="BA231" t="b">
        <f>IF(metadata!P231="",FALSE,TRUE)</f>
        <v>0</v>
      </c>
      <c r="BB231" t="b">
        <f>IF(metadata!Q231="",FALSE,TRUE)</f>
        <v>0</v>
      </c>
      <c r="BC231" t="b">
        <f>OR(AND(IF(metadata!R231="",FALSE,TRUE),OR(EXACT(metadata!R231,"missing: not collected"),EXACT(metadata!R231,"missing: not provided"),EXACT(metadata!R231,"missing: restricted access"))),AND(IF(metadata!R231="",FALSE,ISNUMBER(VALUE(metadata!R231))),metadata!R231&gt;=-90,metadata!R231&lt;=90))</f>
        <v>0</v>
      </c>
      <c r="BD231" t="b">
        <f>AND(IF(metadata!S231="",FALSE,TRUE),EXACT(metadata!S231,"Decimal degrees"))</f>
        <v>0</v>
      </c>
      <c r="BE231" t="b">
        <f>OR(AND(IF(metadata!T231="",FALSE,TRUE),OR(EXACT(metadata!T231,"missing: not collected"),EXACT(metadata!T231,"missing: not provided"),EXACT(metadata!T231,"missing: restricted access"))),AND(IF(metadata!T231="",FALSE,ISNUMBER(VALUE(metadata!T231))),metadata!T231&gt;=-180,metadata!T231&lt;=180))</f>
        <v>0</v>
      </c>
      <c r="BF231" t="b">
        <f>AND(IF(metadata!U231="",FALSE,TRUE),EXACT(metadata!U231,"Decimal degrees"))</f>
        <v>0</v>
      </c>
      <c r="BG231" t="b">
        <f>IF(metadata!V231="",FALSE,TRUE)</f>
        <v>0</v>
      </c>
      <c r="BH231" t="b">
        <f>OR(AND(IF(metadata!W231="",FALSE,TRUE),OR(EXACT(metadata!W231,"missing: not collected"),EXACT(metadata!W231,"missing: not provided"),EXACT(metadata!W231,"missing: restricted access"))),AND(IF(metadata!W231="",FALSE,TRUE),OR(EXACT(metadata!W231,"TRUE"),EXACT(metadata!W231,"FALSE"))))</f>
        <v>0</v>
      </c>
      <c r="BI231" t="b">
        <f>AND(IF(metadata!X231="",FALSE,TRUE),EXACT(metadata!X231,"other"))</f>
        <v>0</v>
      </c>
      <c r="BJ231" t="b">
        <f>IF(metadata!Y231="",FALSE,TRUE)</f>
        <v>0</v>
      </c>
      <c r="BK231" t="b">
        <f>OR(AND(IF(metadata!Z231="",FALSE,TRUE),OR(EXACT(metadata!Z231,"missing: not collected"),EXACT(metadata!Z231,"missing: not provided"))),AND(IF(metadata!Z231="",FALSE,IF(ISERROR(INT(metadata!Z231)),FALSE,INT(metadata!Z231)=metadata!Z231)),metadata!Z231&gt;0))</f>
        <v>0</v>
      </c>
      <c r="BL231" t="b">
        <f>AND(IF(metadata!AA231="",FALSE,TRUE),EXACT(metadata!AA231,"Not applicable"))</f>
        <v>0</v>
      </c>
      <c r="BM231" t="b">
        <f>IF(metadata!AB231="",FALSE,TRUE)</f>
        <v>0</v>
      </c>
    </row>
    <row r="232" spans="1:65" x14ac:dyDescent="0.2">
      <c r="A232" s="5" t="str">
        <f ca="1">IF(B232=" "," ",HYPERLINK(CONCATENATE("#metadata!",ADDRESS(INDEX($AH$2:$AH$1001,MATCH(ROWS($AF$2:AF232),$AF$2:$AF$1001,0),0),1)),INDEX($AK$2:$AK$1001,MATCH(ROWS($AF$2:AF232),$AF$2:$AF$1001,0),0)))</f>
        <v xml:space="preserve"> </v>
      </c>
      <c r="B232" s="4" t="str">
        <f ca="1">IF(OR(INDEX($AG$2:$AG$1001,MATCH(ROWS($AF$2:AF232),$AF$2:$AF$1001,0),1)&gt;=100000,INDEX($AM$1005:$BM$1005,1,MATCH(COLUMNS($AM$1006:AM1006),$AM$1006:$BM$1006,0))&gt;=100000), " ",IF(INDEX($AM$2:$BM$1001,MATCH(ROWS($AF$2:AF232),$AF$2:$AF$1001,0),MATCH(COLUMNS($AM$1006:AM1006),$AM$1006:$BM$1006,0)), HYPERLINK("#",""), HYPERLINK(CONCATENATE("#metadata!", ADDRESS(INDEX($AH$2:$AH$1001,MATCH(ROWS($AF$2:AF232),$AF$2:$AF$1001,0),0), INDEX($AM$1004:$BM$1004,1,MATCH(COLUMNS($AM$1006:AM1006),$AM$1006:$BM$1006,0)))),"Fix")))</f>
        <v xml:space="preserve"> </v>
      </c>
      <c r="C232" s="4" t="str">
        <f ca="1">IF(OR(INDEX($AG$2:$AG$1001,MATCH(ROWS($AF$2:AF232),$AF$2:$AF$1001,0),1)&gt;=100000,INDEX($AM$1005:$BM$1005,1,MATCH(COLUMNS($AM$1006:AN1006),$AM$1006:$BM$1006,0))&gt;=100000), " ",IF(INDEX($AM$2:$BM$1001,MATCH(ROWS($AF$2:AF232),$AF$2:$AF$1001,0),MATCH(COLUMNS($AM$1006:AN1006),$AM$1006:$BM$1006,0)), HYPERLINK("#",""), HYPERLINK(CONCATENATE("#metadata!", ADDRESS(INDEX($AH$2:$AH$1001,MATCH(ROWS($AF$2:AF232),$AF$2:$AF$1001,0),0), INDEX($AM$1004:$BM$1004,1,MATCH(COLUMNS($AM$1006:AN1006),$AM$1006:$BM$1006,0)))),"Fix")))</f>
        <v xml:space="preserve"> </v>
      </c>
      <c r="D232" s="4" t="str">
        <f ca="1">IF(OR(INDEX($AG$2:$AG$1001,MATCH(ROWS($AF$2:AF232),$AF$2:$AF$1001,0),1)&gt;=100000,INDEX($AM$1005:$BM$1005,1,MATCH(COLUMNS($AM$1006:AO1006),$AM$1006:$BM$1006,0))&gt;=100000), " ",IF(INDEX($AM$2:$BM$1001,MATCH(ROWS($AF$2:AF232),$AF$2:$AF$1001,0),MATCH(COLUMNS($AM$1006:AO1006),$AM$1006:$BM$1006,0)), HYPERLINK("#",""), HYPERLINK(CONCATENATE("#metadata!", ADDRESS(INDEX($AH$2:$AH$1001,MATCH(ROWS($AF$2:AF232),$AF$2:$AF$1001,0),0), INDEX($AM$1004:$BM$1004,1,MATCH(COLUMNS($AM$1006:AO1006),$AM$1006:$BM$1006,0)))),"Fix")))</f>
        <v xml:space="preserve"> </v>
      </c>
      <c r="E232" s="4" t="str">
        <f ca="1">IF(OR(INDEX($AG$2:$AG$1001,MATCH(ROWS($AF$2:AF232),$AF$2:$AF$1001,0),1)&gt;=100000,INDEX($AM$1005:$BM$1005,1,MATCH(COLUMNS($AM$1006:AP1006),$AM$1006:$BM$1006,0))&gt;=100000), " ",IF(INDEX($AM$2:$BM$1001,MATCH(ROWS($AF$2:AF232),$AF$2:$AF$1001,0),MATCH(COLUMNS($AM$1006:AP1006),$AM$1006:$BM$1006,0)), HYPERLINK("#",""), HYPERLINK(CONCATENATE("#metadata!", ADDRESS(INDEX($AH$2:$AH$1001,MATCH(ROWS($AF$2:AF232),$AF$2:$AF$1001,0),0), INDEX($AM$1004:$BM$1004,1,MATCH(COLUMNS($AM$1006:AP1006),$AM$1006:$BM$1006,0)))),"Fix")))</f>
        <v xml:space="preserve"> </v>
      </c>
      <c r="F232" s="4" t="str">
        <f ca="1">IF(OR(INDEX($AG$2:$AG$1001,MATCH(ROWS($AF$2:AF232),$AF$2:$AF$1001,0),1)&gt;=100000,INDEX($AM$1005:$BM$1005,1,MATCH(COLUMNS($AM$1006:AQ1006),$AM$1006:$BM$1006,0))&gt;=100000), " ",IF(INDEX($AM$2:$BM$1001,MATCH(ROWS($AF$2:AF232),$AF$2:$AF$1001,0),MATCH(COLUMNS($AM$1006:AQ1006),$AM$1006:$BM$1006,0)), HYPERLINK("#",""), HYPERLINK(CONCATENATE("#metadata!", ADDRESS(INDEX($AH$2:$AH$1001,MATCH(ROWS($AF$2:AF232),$AF$2:$AF$1001,0),0), INDEX($AM$1004:$BM$1004,1,MATCH(COLUMNS($AM$1006:AQ1006),$AM$1006:$BM$1006,0)))),"Fix")))</f>
        <v xml:space="preserve"> </v>
      </c>
      <c r="G232" s="4" t="str">
        <f ca="1">IF(OR(INDEX($AG$2:$AG$1001,MATCH(ROWS($AF$2:AF232),$AF$2:$AF$1001,0),1)&gt;=100000,INDEX($AM$1005:$BM$1005,1,MATCH(COLUMNS($AM$1006:AR1006),$AM$1006:$BM$1006,0))&gt;=100000), " ",IF(INDEX($AM$2:$BM$1001,MATCH(ROWS($AF$2:AF232),$AF$2:$AF$1001,0),MATCH(COLUMNS($AM$1006:AR1006),$AM$1006:$BM$1006,0)), HYPERLINK("#",""), HYPERLINK(CONCATENATE("#metadata!", ADDRESS(INDEX($AH$2:$AH$1001,MATCH(ROWS($AF$2:AF232),$AF$2:$AF$1001,0),0), INDEX($AM$1004:$BM$1004,1,MATCH(COLUMNS($AM$1006:AR1006),$AM$1006:$BM$1006,0)))),"Fix")))</f>
        <v xml:space="preserve"> </v>
      </c>
      <c r="H232" s="4" t="str">
        <f ca="1">IF(OR(INDEX($AG$2:$AG$1001,MATCH(ROWS($AF$2:AF232),$AF$2:$AF$1001,0),1)&gt;=100000,INDEX($AM$1005:$BM$1005,1,MATCH(COLUMNS($AM$1006:AS1006),$AM$1006:$BM$1006,0))&gt;=100000), " ",IF(INDEX($AM$2:$BM$1001,MATCH(ROWS($AF$2:AF232),$AF$2:$AF$1001,0),MATCH(COLUMNS($AM$1006:AS1006),$AM$1006:$BM$1006,0)), HYPERLINK("#",""), HYPERLINK(CONCATENATE("#metadata!", ADDRESS(INDEX($AH$2:$AH$1001,MATCH(ROWS($AF$2:AF232),$AF$2:$AF$1001,0),0), INDEX($AM$1004:$BM$1004,1,MATCH(COLUMNS($AM$1006:AS1006),$AM$1006:$BM$1006,0)))),"Fix")))</f>
        <v xml:space="preserve"> </v>
      </c>
      <c r="I232" s="4" t="str">
        <f ca="1">IF(OR(INDEX($AG$2:$AG$1001,MATCH(ROWS($AF$2:AF232),$AF$2:$AF$1001,0),1)&gt;=100000,INDEX($AM$1005:$BM$1005,1,MATCH(COLUMNS($AM$1006:AT1006),$AM$1006:$BM$1006,0))&gt;=100000), " ",IF(INDEX($AM$2:$BM$1001,MATCH(ROWS($AF$2:AF232),$AF$2:$AF$1001,0),MATCH(COLUMNS($AM$1006:AT1006),$AM$1006:$BM$1006,0)), HYPERLINK("#",""), HYPERLINK(CONCATENATE("#metadata!", ADDRESS(INDEX($AH$2:$AH$1001,MATCH(ROWS($AF$2:AF232),$AF$2:$AF$1001,0),0), INDEX($AM$1004:$BM$1004,1,MATCH(COLUMNS($AM$1006:AT1006),$AM$1006:$BM$1006,0)))),"Fix")))</f>
        <v xml:space="preserve"> </v>
      </c>
      <c r="J232" s="4" t="str">
        <f ca="1">IF(OR(INDEX($AG$2:$AG$1001,MATCH(ROWS($AF$2:AF232),$AF$2:$AF$1001,0),1)&gt;=100000,INDEX($AM$1005:$BM$1005,1,MATCH(COLUMNS($AM$1006:AU1006),$AM$1006:$BM$1006,0))&gt;=100000), " ",IF(INDEX($AM$2:$BM$1001,MATCH(ROWS($AF$2:AF232),$AF$2:$AF$1001,0),MATCH(COLUMNS($AM$1006:AU1006),$AM$1006:$BM$1006,0)), HYPERLINK("#",""), HYPERLINK(CONCATENATE("#metadata!", ADDRESS(INDEX($AH$2:$AH$1001,MATCH(ROWS($AF$2:AF232),$AF$2:$AF$1001,0),0), INDEX($AM$1004:$BM$1004,1,MATCH(COLUMNS($AM$1006:AU1006),$AM$1006:$BM$1006,0)))),"Fix")))</f>
        <v xml:space="preserve"> </v>
      </c>
      <c r="K232" s="4" t="str">
        <f ca="1">IF(OR(INDEX($AG$2:$AG$1001,MATCH(ROWS($AF$2:AF232),$AF$2:$AF$1001,0),1)&gt;=100000,INDEX($AM$1005:$BM$1005,1,MATCH(COLUMNS($AM$1006:AV1006),$AM$1006:$BM$1006,0))&gt;=100000), " ",IF(INDEX($AM$2:$BM$1001,MATCH(ROWS($AF$2:AF232),$AF$2:$AF$1001,0),MATCH(COLUMNS($AM$1006:AV1006),$AM$1006:$BM$1006,0)), HYPERLINK("#",""), HYPERLINK(CONCATENATE("#metadata!", ADDRESS(INDEX($AH$2:$AH$1001,MATCH(ROWS($AF$2:AF232),$AF$2:$AF$1001,0),0), INDEX($AM$1004:$BM$1004,1,MATCH(COLUMNS($AM$1006:AV1006),$AM$1006:$BM$1006,0)))),"Fix")))</f>
        <v xml:space="preserve"> </v>
      </c>
      <c r="L232" s="4" t="str">
        <f ca="1">IF(OR(INDEX($AG$2:$AG$1001,MATCH(ROWS($AF$2:AF232),$AF$2:$AF$1001,0),1)&gt;=100000,INDEX($AM$1005:$BM$1005,1,MATCH(COLUMNS($AM$1006:AW1006),$AM$1006:$BM$1006,0))&gt;=100000), " ",IF(INDEX($AM$2:$BM$1001,MATCH(ROWS($AF$2:AF232),$AF$2:$AF$1001,0),MATCH(COLUMNS($AM$1006:AW1006),$AM$1006:$BM$1006,0)), HYPERLINK("#",""), HYPERLINK(CONCATENATE("#metadata!", ADDRESS(INDEX($AH$2:$AH$1001,MATCH(ROWS($AF$2:AF232),$AF$2:$AF$1001,0),0), INDEX($AM$1004:$BM$1004,1,MATCH(COLUMNS($AM$1006:AW1006),$AM$1006:$BM$1006,0)))),"Fix")))</f>
        <v xml:space="preserve"> </v>
      </c>
      <c r="M232" s="4" t="str">
        <f ca="1">IF(OR(INDEX($AG$2:$AG$1001,MATCH(ROWS($AF$2:AF232),$AF$2:$AF$1001,0),1)&gt;=100000,INDEX($AM$1005:$BM$1005,1,MATCH(COLUMNS($AM$1006:AX1006),$AM$1006:$BM$1006,0))&gt;=100000), " ",IF(INDEX($AM$2:$BM$1001,MATCH(ROWS($AF$2:AF232),$AF$2:$AF$1001,0),MATCH(COLUMNS($AM$1006:AX1006),$AM$1006:$BM$1006,0)), HYPERLINK("#",""), HYPERLINK(CONCATENATE("#metadata!", ADDRESS(INDEX($AH$2:$AH$1001,MATCH(ROWS($AF$2:AF232),$AF$2:$AF$1001,0),0), INDEX($AM$1004:$BM$1004,1,MATCH(COLUMNS($AM$1006:AX1006),$AM$1006:$BM$1006,0)))),"Fix")))</f>
        <v xml:space="preserve"> </v>
      </c>
      <c r="N232" s="4" t="str">
        <f ca="1">IF(OR(INDEX($AG$2:$AG$1001,MATCH(ROWS($AF$2:AF232),$AF$2:$AF$1001,0),1)&gt;=100000,INDEX($AM$1005:$BM$1005,1,MATCH(COLUMNS($AM$1006:AY1006),$AM$1006:$BM$1006,0))&gt;=100000), " ",IF(INDEX($AM$2:$BM$1001,MATCH(ROWS($AF$2:AF232),$AF$2:$AF$1001,0),MATCH(COLUMNS($AM$1006:AY1006),$AM$1006:$BM$1006,0)), HYPERLINK("#",""), HYPERLINK(CONCATENATE("#metadata!", ADDRESS(INDEX($AH$2:$AH$1001,MATCH(ROWS($AF$2:AF232),$AF$2:$AF$1001,0),0), INDEX($AM$1004:$BM$1004,1,MATCH(COLUMNS($AM$1006:AY1006),$AM$1006:$BM$1006,0)))),"Fix")))</f>
        <v xml:space="preserve"> </v>
      </c>
      <c r="O232" s="4" t="str">
        <f ca="1">IF(OR(INDEX($AG$2:$AG$1001,MATCH(ROWS($AF$2:AF232),$AF$2:$AF$1001,0),1)&gt;=100000,INDEX($AM$1005:$BM$1005,1,MATCH(COLUMNS($AM$1006:AZ1006),$AM$1006:$BM$1006,0))&gt;=100000), " ",IF(INDEX($AM$2:$BM$1001,MATCH(ROWS($AF$2:AF232),$AF$2:$AF$1001,0),MATCH(COLUMNS($AM$1006:AZ1006),$AM$1006:$BM$1006,0)), HYPERLINK("#",""), HYPERLINK(CONCATENATE("#metadata!", ADDRESS(INDEX($AH$2:$AH$1001,MATCH(ROWS($AF$2:AF232),$AF$2:$AF$1001,0),0), INDEX($AM$1004:$BM$1004,1,MATCH(COLUMNS($AM$1006:AZ1006),$AM$1006:$BM$1006,0)))),"Fix")))</f>
        <v xml:space="preserve"> </v>
      </c>
      <c r="P232" s="4" t="str">
        <f ca="1">IF(OR(INDEX($AG$2:$AG$1001,MATCH(ROWS($AF$2:AF232),$AF$2:$AF$1001,0),1)&gt;=100000,INDEX($AM$1005:$BM$1005,1,MATCH(COLUMNS($AM$1006:BA1006),$AM$1006:$BM$1006,0))&gt;=100000), " ",IF(INDEX($AM$2:$BM$1001,MATCH(ROWS($AF$2:AF232),$AF$2:$AF$1001,0),MATCH(COLUMNS($AM$1006:BA1006),$AM$1006:$BM$1006,0)), HYPERLINK("#",""), HYPERLINK(CONCATENATE("#metadata!", ADDRESS(INDEX($AH$2:$AH$1001,MATCH(ROWS($AF$2:AF232),$AF$2:$AF$1001,0),0), INDEX($AM$1004:$BM$1004,1,MATCH(COLUMNS($AM$1006:BA1006),$AM$1006:$BM$1006,0)))),"Fix")))</f>
        <v xml:space="preserve"> </v>
      </c>
      <c r="Q232" s="4" t="str">
        <f ca="1">IF(OR(INDEX($AG$2:$AG$1001,MATCH(ROWS($AF$2:AF232),$AF$2:$AF$1001,0),1)&gt;=100000,INDEX($AM$1005:$BM$1005,1,MATCH(COLUMNS($AM$1006:BB1006),$AM$1006:$BM$1006,0))&gt;=100000), " ",IF(INDEX($AM$2:$BM$1001,MATCH(ROWS($AF$2:AF232),$AF$2:$AF$1001,0),MATCH(COLUMNS($AM$1006:BB1006),$AM$1006:$BM$1006,0)), HYPERLINK("#",""), HYPERLINK(CONCATENATE("#metadata!", ADDRESS(INDEX($AH$2:$AH$1001,MATCH(ROWS($AF$2:AF232),$AF$2:$AF$1001,0),0), INDEX($AM$1004:$BM$1004,1,MATCH(COLUMNS($AM$1006:BB1006),$AM$1006:$BM$1006,0)))),"Fix")))</f>
        <v xml:space="preserve"> </v>
      </c>
      <c r="R232" s="4" t="str">
        <f ca="1">IF(OR(INDEX($AG$2:$AG$1001,MATCH(ROWS($AF$2:AF232),$AF$2:$AF$1001,0),1)&gt;=100000,INDEX($AM$1005:$BM$1005,1,MATCH(COLUMNS($AM$1006:BC1006),$AM$1006:$BM$1006,0))&gt;=100000), " ",IF(INDEX($AM$2:$BM$1001,MATCH(ROWS($AF$2:AF232),$AF$2:$AF$1001,0),MATCH(COLUMNS($AM$1006:BC1006),$AM$1006:$BM$1006,0)), HYPERLINK("#",""), HYPERLINK(CONCATENATE("#metadata!", ADDRESS(INDEX($AH$2:$AH$1001,MATCH(ROWS($AF$2:AF232),$AF$2:$AF$1001,0),0), INDEX($AM$1004:$BM$1004,1,MATCH(COLUMNS($AM$1006:BC1006),$AM$1006:$BM$1006,0)))),"Fix")))</f>
        <v xml:space="preserve"> </v>
      </c>
      <c r="S232" s="4" t="str">
        <f ca="1">IF(OR(INDEX($AG$2:$AG$1001,MATCH(ROWS($AF$2:AF232),$AF$2:$AF$1001,0),1)&gt;=100000,INDEX($AM$1005:$BM$1005,1,MATCH(COLUMNS($AM$1006:BD1006),$AM$1006:$BM$1006,0))&gt;=100000), " ",IF(INDEX($AM$2:$BM$1001,MATCH(ROWS($AF$2:AF232),$AF$2:$AF$1001,0),MATCH(COLUMNS($AM$1006:BD1006),$AM$1006:$BM$1006,0)), HYPERLINK("#",""), HYPERLINK(CONCATENATE("#metadata!", ADDRESS(INDEX($AH$2:$AH$1001,MATCH(ROWS($AF$2:AF232),$AF$2:$AF$1001,0),0), INDEX($AM$1004:$BM$1004,1,MATCH(COLUMNS($AM$1006:BD1006),$AM$1006:$BM$1006,0)))),"Fix")))</f>
        <v xml:space="preserve"> </v>
      </c>
      <c r="T232" s="4" t="str">
        <f ca="1">IF(OR(INDEX($AG$2:$AG$1001,MATCH(ROWS($AF$2:AF232),$AF$2:$AF$1001,0),1)&gt;=100000,INDEX($AM$1005:$BM$1005,1,MATCH(COLUMNS($AM$1006:BE1006),$AM$1006:$BM$1006,0))&gt;=100000), " ",IF(INDEX($AM$2:$BM$1001,MATCH(ROWS($AF$2:AF232),$AF$2:$AF$1001,0),MATCH(COLUMNS($AM$1006:BE1006),$AM$1006:$BM$1006,0)), HYPERLINK("#",""), HYPERLINK(CONCATENATE("#metadata!", ADDRESS(INDEX($AH$2:$AH$1001,MATCH(ROWS($AF$2:AF232),$AF$2:$AF$1001,0),0), INDEX($AM$1004:$BM$1004,1,MATCH(COLUMNS($AM$1006:BE1006),$AM$1006:$BM$1006,0)))),"Fix")))</f>
        <v xml:space="preserve"> </v>
      </c>
      <c r="U232" s="4" t="str">
        <f ca="1">IF(OR(INDEX($AG$2:$AG$1001,MATCH(ROWS($AF$2:AF232),$AF$2:$AF$1001,0),1)&gt;=100000,INDEX($AM$1005:$BM$1005,1,MATCH(COLUMNS($AM$1006:BF1006),$AM$1006:$BM$1006,0))&gt;=100000), " ",IF(INDEX($AM$2:$BM$1001,MATCH(ROWS($AF$2:AF232),$AF$2:$AF$1001,0),MATCH(COLUMNS($AM$1006:BF1006),$AM$1006:$BM$1006,0)), HYPERLINK("#",""), HYPERLINK(CONCATENATE("#metadata!", ADDRESS(INDEX($AH$2:$AH$1001,MATCH(ROWS($AF$2:AF232),$AF$2:$AF$1001,0),0), INDEX($AM$1004:$BM$1004,1,MATCH(COLUMNS($AM$1006:BF1006),$AM$1006:$BM$1006,0)))),"Fix")))</f>
        <v xml:space="preserve"> </v>
      </c>
      <c r="V232" s="4" t="str">
        <f ca="1">IF(OR(INDEX($AG$2:$AG$1001,MATCH(ROWS($AF$2:AF232),$AF$2:$AF$1001,0),1)&gt;=100000,INDEX($AM$1005:$BM$1005,1,MATCH(COLUMNS($AM$1006:BG1006),$AM$1006:$BM$1006,0))&gt;=100000), " ",IF(INDEX($AM$2:$BM$1001,MATCH(ROWS($AF$2:AF232),$AF$2:$AF$1001,0),MATCH(COLUMNS($AM$1006:BG1006),$AM$1006:$BM$1006,0)), HYPERLINK("#",""), HYPERLINK(CONCATENATE("#metadata!", ADDRESS(INDEX($AH$2:$AH$1001,MATCH(ROWS($AF$2:AF232),$AF$2:$AF$1001,0),0), INDEX($AM$1004:$BM$1004,1,MATCH(COLUMNS($AM$1006:BG1006),$AM$1006:$BM$1006,0)))),"Fix")))</f>
        <v xml:space="preserve"> </v>
      </c>
      <c r="W232" s="4" t="str">
        <f ca="1">IF(OR(INDEX($AG$2:$AG$1001,MATCH(ROWS($AF$2:AF232),$AF$2:$AF$1001,0),1)&gt;=100000,INDEX($AM$1005:$BM$1005,1,MATCH(COLUMNS($AM$1006:BH1006),$AM$1006:$BM$1006,0))&gt;=100000), " ",IF(INDEX($AM$2:$BM$1001,MATCH(ROWS($AF$2:AF232),$AF$2:$AF$1001,0),MATCH(COLUMNS($AM$1006:BH1006),$AM$1006:$BM$1006,0)), HYPERLINK("#",""), HYPERLINK(CONCATENATE("#metadata!", ADDRESS(INDEX($AH$2:$AH$1001,MATCH(ROWS($AF$2:AF232),$AF$2:$AF$1001,0),0), INDEX($AM$1004:$BM$1004,1,MATCH(COLUMNS($AM$1006:BH1006),$AM$1006:$BM$1006,0)))),"Fix")))</f>
        <v xml:space="preserve"> </v>
      </c>
      <c r="X232" s="4" t="str">
        <f ca="1">IF(OR(INDEX($AG$2:$AG$1001,MATCH(ROWS($AF$2:AF232),$AF$2:$AF$1001,0),1)&gt;=100000,INDEX($AM$1005:$BM$1005,1,MATCH(COLUMNS($AM$1006:BI1006),$AM$1006:$BM$1006,0))&gt;=100000), " ",IF(INDEX($AM$2:$BM$1001,MATCH(ROWS($AF$2:AF232),$AF$2:$AF$1001,0),MATCH(COLUMNS($AM$1006:BI1006),$AM$1006:$BM$1006,0)), HYPERLINK("#",""), HYPERLINK(CONCATENATE("#metadata!", ADDRESS(INDEX($AH$2:$AH$1001,MATCH(ROWS($AF$2:AF232),$AF$2:$AF$1001,0),0), INDEX($AM$1004:$BM$1004,1,MATCH(COLUMNS($AM$1006:BI1006),$AM$1006:$BM$1006,0)))),"Fix")))</f>
        <v xml:space="preserve"> </v>
      </c>
      <c r="Y232" s="4" t="str">
        <f ca="1">IF(OR(INDEX($AG$2:$AG$1001,MATCH(ROWS($AF$2:AF232),$AF$2:$AF$1001,0),1)&gt;=100000,INDEX($AM$1005:$BM$1005,1,MATCH(COLUMNS($AM$1006:BJ1006),$AM$1006:$BM$1006,0))&gt;=100000), " ",IF(INDEX($AM$2:$BM$1001,MATCH(ROWS($AF$2:AF232),$AF$2:$AF$1001,0),MATCH(COLUMNS($AM$1006:BJ1006),$AM$1006:$BM$1006,0)), HYPERLINK("#",""), HYPERLINK(CONCATENATE("#metadata!", ADDRESS(INDEX($AH$2:$AH$1001,MATCH(ROWS($AF$2:AF232),$AF$2:$AF$1001,0),0), INDEX($AM$1004:$BM$1004,1,MATCH(COLUMNS($AM$1006:BJ1006),$AM$1006:$BM$1006,0)))),"Fix")))</f>
        <v xml:space="preserve"> </v>
      </c>
      <c r="Z232" s="4" t="str">
        <f ca="1">IF(OR(INDEX($AG$2:$AG$1001,MATCH(ROWS($AF$2:AF232),$AF$2:$AF$1001,0),1)&gt;=100000,INDEX($AM$1005:$BM$1005,1,MATCH(COLUMNS($AM$1006:BK1006),$AM$1006:$BM$1006,0))&gt;=100000), " ",IF(INDEX($AM$2:$BM$1001,MATCH(ROWS($AF$2:AF232),$AF$2:$AF$1001,0),MATCH(COLUMNS($AM$1006:BK1006),$AM$1006:$BM$1006,0)), HYPERLINK("#",""), HYPERLINK(CONCATENATE("#metadata!", ADDRESS(INDEX($AH$2:$AH$1001,MATCH(ROWS($AF$2:AF232),$AF$2:$AF$1001,0),0), INDEX($AM$1004:$BM$1004,1,MATCH(COLUMNS($AM$1006:BK1006),$AM$1006:$BM$1006,0)))),"Fix")))</f>
        <v xml:space="preserve"> </v>
      </c>
      <c r="AA232" s="4" t="str">
        <f ca="1">IF(OR(INDEX($AG$2:$AG$1001,MATCH(ROWS($AF$2:AF232),$AF$2:$AF$1001,0),1)&gt;=100000,INDEX($AM$1005:$BM$1005,1,MATCH(COLUMNS($AM$1006:BL1006),$AM$1006:$BM$1006,0))&gt;=100000), " ",IF(INDEX($AM$2:$BM$1001,MATCH(ROWS($AF$2:AF232),$AF$2:$AF$1001,0),MATCH(COLUMNS($AM$1006:BL1006),$AM$1006:$BM$1006,0)), HYPERLINK("#",""), HYPERLINK(CONCATENATE("#metadata!", ADDRESS(INDEX($AH$2:$AH$1001,MATCH(ROWS($AF$2:AF232),$AF$2:$AF$1001,0),0), INDEX($AM$1004:$BM$1004,1,MATCH(COLUMNS($AM$1006:BL1006),$AM$1006:$BM$1006,0)))),"Fix")))</f>
        <v xml:space="preserve"> </v>
      </c>
      <c r="AB232" s="4" t="str">
        <f ca="1">IF(OR(INDEX($AG$2:$AG$1001,MATCH(ROWS($AF$2:AF232),$AF$2:$AF$1001,0),1)&gt;=100000,INDEX($AM$1005:$BM$1005,1,MATCH(COLUMNS($AM$1006:BM1006),$AM$1006:$BM$1006,0))&gt;=100000), " ",IF(INDEX($AM$2:$BM$1001,MATCH(ROWS($AF$2:AF232),$AF$2:$AF$1001,0),MATCH(COLUMNS($AM$1006:BM1006),$AM$1006:$BM$1006,0)), HYPERLINK("#",""), HYPERLINK(CONCATENATE("#metadata!", ADDRESS(INDEX($AH$2:$AH$1001,MATCH(ROWS($AF$2:AF232),$AF$2:$AF$1001,0),0), INDEX($AM$1004:$BM$1004,1,MATCH(COLUMNS($AM$1006:BM1006),$AM$1006:$BM$1006,0)))),"Fix")))</f>
        <v xml:space="preserve"> </v>
      </c>
      <c r="AF232">
        <v>231</v>
      </c>
      <c r="AG232">
        <v>100232</v>
      </c>
      <c r="AH232">
        <v>232</v>
      </c>
      <c r="AI232" t="b">
        <f t="shared" si="3"/>
        <v>1</v>
      </c>
      <c r="AJ232" t="b">
        <f>COUNTBLANK(metadata!B232:AB232)=COLUMNS(metadata!B232:AB232)</f>
        <v>1</v>
      </c>
      <c r="AK232" t="str">
        <v/>
      </c>
      <c r="AM232" t="b">
        <f ca="1">AND(IF(metadata!B232="",FALSE,TRUE),COUNTIF(metadata!B:B, metadata!B232) = 1,NOT(ISERROR(SUMPRODUCT(SEARCH(MID(metadata!B232,ROW(INDIRECT("1:"&amp;LEN(metadata!B232))), 1),"0123456789abcdefghijklmnopqrstuvwxyzABCDEFGHIJKLMNOPQRSTUVWXYZ.")))))</f>
        <v>0</v>
      </c>
      <c r="AN232" t="b">
        <f ca="1">OR(AND(IF(metadata!C232="",FALSE,TRUE),OR(EXACT(metadata!C232,"missing: not collected"),EXACT(metadata!C232,"missing: not provided"),EXACT(metadata!C232,"missing: restricted access"))),AND(IF(metadata!C232="",FALSE,TRUE),AND(AND(IFERROR(INT(LEFT(metadata!C232,4))&gt;1900,FALSE),IFERROR(INT(LEFT(metadata!C232,4))&lt;=YEAR(NOW()),FALSE)), OR(MID(metadata!C232,5,1)="", AND(AND(MID(metadata!C232,5,1)="-",IFERROR(INT(MID(metadata!C232,6,1))&gt;=0,FALSE),IFERROR(INT(MID(metadata!C232,6,1))&lt;=1,FALSE),NOT(MID(metadata!C232,7,1)=""),IFERROR(INT(MID(metadata!C232,6,2))&gt;=1,FALSE),IFERROR(INT(MID(metadata!C232,6,2))&lt;=12,FALSE)), OR(MID(metadata!C232,8,1)="", AND(AND(MID(metadata!C232,8,1)="-",IFERROR(INT(MID(metadata!C232,9,1))&gt;=0,FALSE),IFERROR(INT(MID(metadata!C232,9,1))&lt;=3,FALSE),NOT(MID(metadata!C232,10,1)=""),IFERROR(INT(MID(metadata!C232,9,2))&gt;=1,FALSE),IFERROR(INT(MID(metadata!C232,9,2))&lt;=31,FALSE)), OR(MID(metadata!C232,11,1)="", AND(AND(MID(metadata!C232,11,1)=" ",IFERROR(INT(MID(metadata!C232,12,1))&gt;=0,FALSE),IFERROR(INT(MID(metadata!C232,12,1))&lt;=2,FALSE),NOT(MID(metadata!C232,13,1)=""),IFERROR(INT(MID(metadata!C232,12,2))&gt;=0,FALSE),IFERROR(INT(MID(metadata!C232,12,2))&lt;=23,FALSE)), OR(MID(metadata!C232,14,1)="", AND(AND(MID(metadata!C232,14,1)=":",IFERROR(INT(MID(metadata!C232,15,1))&gt;=0,FALSE),IFERROR(INT(MID(metadata!C232,15,1))&lt;=5,FALSE),NOT(MID(metadata!C232,16,1)=""),IFERROR(INT(MID(metadata!C232,15,2))&gt;=0,FALSE),IFERROR(INT(MID(metadata!C232,15,2))&lt;=59,FALSE)), OR(MID(metadata!C232,17,1)="", AND(AND(MID(metadata!C232,17,1)=":",IFERROR(INT(MID(metadata!C232,18,1))&gt;=0,FALSE),IFERROR(INT(MID(metadata!C232,18,1))&lt;=5,FALSE),NOT(MID(metadata!C232,19,1)=""),IFERROR(INT(MID(metadata!C232,18,2))&gt;=0,FALSE),IFERROR(INT(MID(metadata!C232,18,2))&lt;=59,FALSE)), LEN(metadata!C232)&lt;=19)))))))))))))</f>
        <v>0</v>
      </c>
      <c r="AO232" t="b">
        <f>AND(IF(metadata!D232="",FALSE,TRUE),EXACT(metadata!D232,"Not applicable"))</f>
        <v>0</v>
      </c>
      <c r="AP232" t="b">
        <f>IF(metadata!E232="",FALSE,TRUE)</f>
        <v>0</v>
      </c>
      <c r="AQ232" t="b">
        <f>OR(AND(IF(metadata!F232="",FALSE,TRUE),OR(EXACT(metadata!F232,"missing: not collected"),EXACT(metadata!F232,"missing: not provided"))),AND(IF(metadata!F232="",FALSE,TRUE),OR(EXACT(metadata!F232,"TRUE"),EXACT(metadata!F232,"FALSE"))))</f>
        <v>0</v>
      </c>
      <c r="AR232" t="b">
        <f>OR(AND(IF(metadata!G232="",FALSE,TRUE),OR(EXACT(metadata!G232,"missing: not collected"),EXACT(metadata!G232,"missing: not provided"),EXACT(metadata!G232,"missing: restricted access"))),AND(IF(metadata!G232="",FALSE,ISNUMBER(VALUE(metadata!G232))),metadata!G232&gt;=-413))</f>
        <v>0</v>
      </c>
      <c r="AS232" t="b">
        <f>AND(IF(metadata!H232="",FALSE,TRUE),EXACT(metadata!H232,"meters"))</f>
        <v>0</v>
      </c>
      <c r="AT232" t="b">
        <f>AND(IF(metadata!I232="",FALSE,TRUE),OR(EXACT(metadata!I232,"Host-associated"),EXACT(metadata!I232,"Free-living")))</f>
        <v>0</v>
      </c>
      <c r="AU232" t="b">
        <f>AND(IF(metadata!J232="",FALSE,TRUE),OR(EXACT(metadata!J232,"Animal"),EXACT(metadata!J232,"Fungus"),EXACT(metadata!J232,"Plant"),EXACT(metadata!J232,"Saline"),EXACT(metadata!J232,"Non-saline")))</f>
        <v>0</v>
      </c>
      <c r="AV232" t="b">
        <f>AND(IF(metadata!K232="",FALSE,TRUE),OR(EXACT(metadata!K232,"Plant secretion"),EXACT(metadata!K232,"Plant rhizosphere"),EXACT(metadata!K232,"Plant surface"),EXACT(metadata!K232,"Plant corpus"),EXACT(metadata!K232,"Fungus surface"),EXACT(metadata!K232,"Fungus corpus"),EXACT(metadata!K232,"Animal surface"),EXACT(metadata!K232,"Animal proximal gut"),EXACT(metadata!K232,"Animal corpus"),EXACT(metadata!K232,"Animal distal gut"),EXACT(metadata!K232,"Animal secretion"),EXACT(metadata!K232,"Sub-surface (non-saline)"),EXACT(metadata!K232,"Surface (non-saline)"),EXACT(metadata!K232,"Water (non-saline)"),EXACT(metadata!K232,"Soil (non-saline)"),EXACT(metadata!K232,"Aerosol (non-saline)"),EXACT(metadata!K232,"Sediment (non-saline)"),EXACT(metadata!K232,"Surface (saline)"),EXACT(metadata!K232,"Water (saline)"),EXACT(metadata!K232,"Hypersaline (saline)"),EXACT(metadata!K232,"Aerosol (saline)"),EXACT(metadata!K232,"Sediment (saline)")))</f>
        <v>0</v>
      </c>
      <c r="AW232" t="b">
        <f>IF(metadata!L232="",FALSE,TRUE)</f>
        <v>0</v>
      </c>
      <c r="AX232" t="b">
        <f>IF(metadata!M232="",FALSE,TRUE)</f>
        <v>0</v>
      </c>
      <c r="AY232" t="b">
        <f>IF(metadata!N232="",FALSE,TRUE)</f>
        <v>0</v>
      </c>
      <c r="AZ232" t="b">
        <f>OR(AND(IF(metadata!O232="",FALSE,TRUE),OR(EXACT(metadata!O232,"missing: not collected"),EXACT(metadata!O232,"missing: not provided"),EXACT(metadata!O232,"missing: restricted access"))),AND(IF(metadata!O232="",FALSE,TRUE),OR(EXACT(metadata!O232,"air"),EXACT(metadata!O232,"built environment"),EXACT(metadata!O232,"host-associated"),EXACT(metadata!O232,"human-associated"),EXACT(metadata!O232,"human-skin"),EXACT(metadata!O232,"human-oral"),EXACT(metadata!O232,"human-gut"),EXACT(metadata!O232,"human-vaginal"),EXACT(metadata!O232,"microbial mat/biofilm"),EXACT(metadata!O232,"misc environment"),EXACT(metadata!O232,"plant-associated"),EXACT(metadata!O232,"sediment"),EXACT(metadata!O232,"soil"),EXACT(metadata!O232,"wastewater/sludge"),EXACT(metadata!O232,"water"))))</f>
        <v>0</v>
      </c>
      <c r="BA232" t="b">
        <f>IF(metadata!P232="",FALSE,TRUE)</f>
        <v>0</v>
      </c>
      <c r="BB232" t="b">
        <f>IF(metadata!Q232="",FALSE,TRUE)</f>
        <v>0</v>
      </c>
      <c r="BC232" t="b">
        <f>OR(AND(IF(metadata!R232="",FALSE,TRUE),OR(EXACT(metadata!R232,"missing: not collected"),EXACT(metadata!R232,"missing: not provided"),EXACT(metadata!R232,"missing: restricted access"))),AND(IF(metadata!R232="",FALSE,ISNUMBER(VALUE(metadata!R232))),metadata!R232&gt;=-90,metadata!R232&lt;=90))</f>
        <v>0</v>
      </c>
      <c r="BD232" t="b">
        <f>AND(IF(metadata!S232="",FALSE,TRUE),EXACT(metadata!S232,"Decimal degrees"))</f>
        <v>0</v>
      </c>
      <c r="BE232" t="b">
        <f>OR(AND(IF(metadata!T232="",FALSE,TRUE),OR(EXACT(metadata!T232,"missing: not collected"),EXACT(metadata!T232,"missing: not provided"),EXACT(metadata!T232,"missing: restricted access"))),AND(IF(metadata!T232="",FALSE,ISNUMBER(VALUE(metadata!T232))),metadata!T232&gt;=-180,metadata!T232&lt;=180))</f>
        <v>0</v>
      </c>
      <c r="BF232" t="b">
        <f>AND(IF(metadata!U232="",FALSE,TRUE),EXACT(metadata!U232,"Decimal degrees"))</f>
        <v>0</v>
      </c>
      <c r="BG232" t="b">
        <f>IF(metadata!V232="",FALSE,TRUE)</f>
        <v>0</v>
      </c>
      <c r="BH232" t="b">
        <f>OR(AND(IF(metadata!W232="",FALSE,TRUE),OR(EXACT(metadata!W232,"missing: not collected"),EXACT(metadata!W232,"missing: not provided"),EXACT(metadata!W232,"missing: restricted access"))),AND(IF(metadata!W232="",FALSE,TRUE),OR(EXACT(metadata!W232,"TRUE"),EXACT(metadata!W232,"FALSE"))))</f>
        <v>0</v>
      </c>
      <c r="BI232" t="b">
        <f>AND(IF(metadata!X232="",FALSE,TRUE),EXACT(metadata!X232,"other"))</f>
        <v>0</v>
      </c>
      <c r="BJ232" t="b">
        <f>IF(metadata!Y232="",FALSE,TRUE)</f>
        <v>0</v>
      </c>
      <c r="BK232" t="b">
        <f>OR(AND(IF(metadata!Z232="",FALSE,TRUE),OR(EXACT(metadata!Z232,"missing: not collected"),EXACT(metadata!Z232,"missing: not provided"))),AND(IF(metadata!Z232="",FALSE,IF(ISERROR(INT(metadata!Z232)),FALSE,INT(metadata!Z232)=metadata!Z232)),metadata!Z232&gt;0))</f>
        <v>0</v>
      </c>
      <c r="BL232" t="b">
        <f>AND(IF(metadata!AA232="",FALSE,TRUE),EXACT(metadata!AA232,"Not applicable"))</f>
        <v>0</v>
      </c>
      <c r="BM232" t="b">
        <f>IF(metadata!AB232="",FALSE,TRUE)</f>
        <v>0</v>
      </c>
    </row>
    <row r="233" spans="1:65" x14ac:dyDescent="0.2">
      <c r="A233" s="5" t="str">
        <f ca="1">IF(B233=" "," ",HYPERLINK(CONCATENATE("#metadata!",ADDRESS(INDEX($AH$2:$AH$1001,MATCH(ROWS($AF$2:AF233),$AF$2:$AF$1001,0),0),1)),INDEX($AK$2:$AK$1001,MATCH(ROWS($AF$2:AF233),$AF$2:$AF$1001,0),0)))</f>
        <v xml:space="preserve"> </v>
      </c>
      <c r="B233" s="4" t="str">
        <f ca="1">IF(OR(INDEX($AG$2:$AG$1001,MATCH(ROWS($AF$2:AF233),$AF$2:$AF$1001,0),1)&gt;=100000,INDEX($AM$1005:$BM$1005,1,MATCH(COLUMNS($AM$1006:AM1006),$AM$1006:$BM$1006,0))&gt;=100000), " ",IF(INDEX($AM$2:$BM$1001,MATCH(ROWS($AF$2:AF233),$AF$2:$AF$1001,0),MATCH(COLUMNS($AM$1006:AM1006),$AM$1006:$BM$1006,0)), HYPERLINK("#",""), HYPERLINK(CONCATENATE("#metadata!", ADDRESS(INDEX($AH$2:$AH$1001,MATCH(ROWS($AF$2:AF233),$AF$2:$AF$1001,0),0), INDEX($AM$1004:$BM$1004,1,MATCH(COLUMNS($AM$1006:AM1006),$AM$1006:$BM$1006,0)))),"Fix")))</f>
        <v xml:space="preserve"> </v>
      </c>
      <c r="C233" s="4" t="str">
        <f ca="1">IF(OR(INDEX($AG$2:$AG$1001,MATCH(ROWS($AF$2:AF233),$AF$2:$AF$1001,0),1)&gt;=100000,INDEX($AM$1005:$BM$1005,1,MATCH(COLUMNS($AM$1006:AN1006),$AM$1006:$BM$1006,0))&gt;=100000), " ",IF(INDEX($AM$2:$BM$1001,MATCH(ROWS($AF$2:AF233),$AF$2:$AF$1001,0),MATCH(COLUMNS($AM$1006:AN1006),$AM$1006:$BM$1006,0)), HYPERLINK("#",""), HYPERLINK(CONCATENATE("#metadata!", ADDRESS(INDEX($AH$2:$AH$1001,MATCH(ROWS($AF$2:AF233),$AF$2:$AF$1001,0),0), INDEX($AM$1004:$BM$1004,1,MATCH(COLUMNS($AM$1006:AN1006),$AM$1006:$BM$1006,0)))),"Fix")))</f>
        <v xml:space="preserve"> </v>
      </c>
      <c r="D233" s="4" t="str">
        <f ca="1">IF(OR(INDEX($AG$2:$AG$1001,MATCH(ROWS($AF$2:AF233),$AF$2:$AF$1001,0),1)&gt;=100000,INDEX($AM$1005:$BM$1005,1,MATCH(COLUMNS($AM$1006:AO1006),$AM$1006:$BM$1006,0))&gt;=100000), " ",IF(INDEX($AM$2:$BM$1001,MATCH(ROWS($AF$2:AF233),$AF$2:$AF$1001,0),MATCH(COLUMNS($AM$1006:AO1006),$AM$1006:$BM$1006,0)), HYPERLINK("#",""), HYPERLINK(CONCATENATE("#metadata!", ADDRESS(INDEX($AH$2:$AH$1001,MATCH(ROWS($AF$2:AF233),$AF$2:$AF$1001,0),0), INDEX($AM$1004:$BM$1004,1,MATCH(COLUMNS($AM$1006:AO1006),$AM$1006:$BM$1006,0)))),"Fix")))</f>
        <v xml:space="preserve"> </v>
      </c>
      <c r="E233" s="4" t="str">
        <f ca="1">IF(OR(INDEX($AG$2:$AG$1001,MATCH(ROWS($AF$2:AF233),$AF$2:$AF$1001,0),1)&gt;=100000,INDEX($AM$1005:$BM$1005,1,MATCH(COLUMNS($AM$1006:AP1006),$AM$1006:$BM$1006,0))&gt;=100000), " ",IF(INDEX($AM$2:$BM$1001,MATCH(ROWS($AF$2:AF233),$AF$2:$AF$1001,0),MATCH(COLUMNS($AM$1006:AP1006),$AM$1006:$BM$1006,0)), HYPERLINK("#",""), HYPERLINK(CONCATENATE("#metadata!", ADDRESS(INDEX($AH$2:$AH$1001,MATCH(ROWS($AF$2:AF233),$AF$2:$AF$1001,0),0), INDEX($AM$1004:$BM$1004,1,MATCH(COLUMNS($AM$1006:AP1006),$AM$1006:$BM$1006,0)))),"Fix")))</f>
        <v xml:space="preserve"> </v>
      </c>
      <c r="F233" s="4" t="str">
        <f ca="1">IF(OR(INDEX($AG$2:$AG$1001,MATCH(ROWS($AF$2:AF233),$AF$2:$AF$1001,0),1)&gt;=100000,INDEX($AM$1005:$BM$1005,1,MATCH(COLUMNS($AM$1006:AQ1006),$AM$1006:$BM$1006,0))&gt;=100000), " ",IF(INDEX($AM$2:$BM$1001,MATCH(ROWS($AF$2:AF233),$AF$2:$AF$1001,0),MATCH(COLUMNS($AM$1006:AQ1006),$AM$1006:$BM$1006,0)), HYPERLINK("#",""), HYPERLINK(CONCATENATE("#metadata!", ADDRESS(INDEX($AH$2:$AH$1001,MATCH(ROWS($AF$2:AF233),$AF$2:$AF$1001,0),0), INDEX($AM$1004:$BM$1004,1,MATCH(COLUMNS($AM$1006:AQ1006),$AM$1006:$BM$1006,0)))),"Fix")))</f>
        <v xml:space="preserve"> </v>
      </c>
      <c r="G233" s="4" t="str">
        <f ca="1">IF(OR(INDEX($AG$2:$AG$1001,MATCH(ROWS($AF$2:AF233),$AF$2:$AF$1001,0),1)&gt;=100000,INDEX($AM$1005:$BM$1005,1,MATCH(COLUMNS($AM$1006:AR1006),$AM$1006:$BM$1006,0))&gt;=100000), " ",IF(INDEX($AM$2:$BM$1001,MATCH(ROWS($AF$2:AF233),$AF$2:$AF$1001,0),MATCH(COLUMNS($AM$1006:AR1006),$AM$1006:$BM$1006,0)), HYPERLINK("#",""), HYPERLINK(CONCATENATE("#metadata!", ADDRESS(INDEX($AH$2:$AH$1001,MATCH(ROWS($AF$2:AF233),$AF$2:$AF$1001,0),0), INDEX($AM$1004:$BM$1004,1,MATCH(COLUMNS($AM$1006:AR1006),$AM$1006:$BM$1006,0)))),"Fix")))</f>
        <v xml:space="preserve"> </v>
      </c>
      <c r="H233" s="4" t="str">
        <f ca="1">IF(OR(INDEX($AG$2:$AG$1001,MATCH(ROWS($AF$2:AF233),$AF$2:$AF$1001,0),1)&gt;=100000,INDEX($AM$1005:$BM$1005,1,MATCH(COLUMNS($AM$1006:AS1006),$AM$1006:$BM$1006,0))&gt;=100000), " ",IF(INDEX($AM$2:$BM$1001,MATCH(ROWS($AF$2:AF233),$AF$2:$AF$1001,0),MATCH(COLUMNS($AM$1006:AS1006),$AM$1006:$BM$1006,0)), HYPERLINK("#",""), HYPERLINK(CONCATENATE("#metadata!", ADDRESS(INDEX($AH$2:$AH$1001,MATCH(ROWS($AF$2:AF233),$AF$2:$AF$1001,0),0), INDEX($AM$1004:$BM$1004,1,MATCH(COLUMNS($AM$1006:AS1006),$AM$1006:$BM$1006,0)))),"Fix")))</f>
        <v xml:space="preserve"> </v>
      </c>
      <c r="I233" s="4" t="str">
        <f ca="1">IF(OR(INDEX($AG$2:$AG$1001,MATCH(ROWS($AF$2:AF233),$AF$2:$AF$1001,0),1)&gt;=100000,INDEX($AM$1005:$BM$1005,1,MATCH(COLUMNS($AM$1006:AT1006),$AM$1006:$BM$1006,0))&gt;=100000), " ",IF(INDEX($AM$2:$BM$1001,MATCH(ROWS($AF$2:AF233),$AF$2:$AF$1001,0),MATCH(COLUMNS($AM$1006:AT1006),$AM$1006:$BM$1006,0)), HYPERLINK("#",""), HYPERLINK(CONCATENATE("#metadata!", ADDRESS(INDEX($AH$2:$AH$1001,MATCH(ROWS($AF$2:AF233),$AF$2:$AF$1001,0),0), INDEX($AM$1004:$BM$1004,1,MATCH(COLUMNS($AM$1006:AT1006),$AM$1006:$BM$1006,0)))),"Fix")))</f>
        <v xml:space="preserve"> </v>
      </c>
      <c r="J233" s="4" t="str">
        <f ca="1">IF(OR(INDEX($AG$2:$AG$1001,MATCH(ROWS($AF$2:AF233),$AF$2:$AF$1001,0),1)&gt;=100000,INDEX($AM$1005:$BM$1005,1,MATCH(COLUMNS($AM$1006:AU1006),$AM$1006:$BM$1006,0))&gt;=100000), " ",IF(INDEX($AM$2:$BM$1001,MATCH(ROWS($AF$2:AF233),$AF$2:$AF$1001,0),MATCH(COLUMNS($AM$1006:AU1006),$AM$1006:$BM$1006,0)), HYPERLINK("#",""), HYPERLINK(CONCATENATE("#metadata!", ADDRESS(INDEX($AH$2:$AH$1001,MATCH(ROWS($AF$2:AF233),$AF$2:$AF$1001,0),0), INDEX($AM$1004:$BM$1004,1,MATCH(COLUMNS($AM$1006:AU1006),$AM$1006:$BM$1006,0)))),"Fix")))</f>
        <v xml:space="preserve"> </v>
      </c>
      <c r="K233" s="4" t="str">
        <f ca="1">IF(OR(INDEX($AG$2:$AG$1001,MATCH(ROWS($AF$2:AF233),$AF$2:$AF$1001,0),1)&gt;=100000,INDEX($AM$1005:$BM$1005,1,MATCH(COLUMNS($AM$1006:AV1006),$AM$1006:$BM$1006,0))&gt;=100000), " ",IF(INDEX($AM$2:$BM$1001,MATCH(ROWS($AF$2:AF233),$AF$2:$AF$1001,0),MATCH(COLUMNS($AM$1006:AV1006),$AM$1006:$BM$1006,0)), HYPERLINK("#",""), HYPERLINK(CONCATENATE("#metadata!", ADDRESS(INDEX($AH$2:$AH$1001,MATCH(ROWS($AF$2:AF233),$AF$2:$AF$1001,0),0), INDEX($AM$1004:$BM$1004,1,MATCH(COLUMNS($AM$1006:AV1006),$AM$1006:$BM$1006,0)))),"Fix")))</f>
        <v xml:space="preserve"> </v>
      </c>
      <c r="L233" s="4" t="str">
        <f ca="1">IF(OR(INDEX($AG$2:$AG$1001,MATCH(ROWS($AF$2:AF233),$AF$2:$AF$1001,0),1)&gt;=100000,INDEX($AM$1005:$BM$1005,1,MATCH(COLUMNS($AM$1006:AW1006),$AM$1006:$BM$1006,0))&gt;=100000), " ",IF(INDEX($AM$2:$BM$1001,MATCH(ROWS($AF$2:AF233),$AF$2:$AF$1001,0),MATCH(COLUMNS($AM$1006:AW1006),$AM$1006:$BM$1006,0)), HYPERLINK("#",""), HYPERLINK(CONCATENATE("#metadata!", ADDRESS(INDEX($AH$2:$AH$1001,MATCH(ROWS($AF$2:AF233),$AF$2:$AF$1001,0),0), INDEX($AM$1004:$BM$1004,1,MATCH(COLUMNS($AM$1006:AW1006),$AM$1006:$BM$1006,0)))),"Fix")))</f>
        <v xml:space="preserve"> </v>
      </c>
      <c r="M233" s="4" t="str">
        <f ca="1">IF(OR(INDEX($AG$2:$AG$1001,MATCH(ROWS($AF$2:AF233),$AF$2:$AF$1001,0),1)&gt;=100000,INDEX($AM$1005:$BM$1005,1,MATCH(COLUMNS($AM$1006:AX1006),$AM$1006:$BM$1006,0))&gt;=100000), " ",IF(INDEX($AM$2:$BM$1001,MATCH(ROWS($AF$2:AF233),$AF$2:$AF$1001,0),MATCH(COLUMNS($AM$1006:AX1006),$AM$1006:$BM$1006,0)), HYPERLINK("#",""), HYPERLINK(CONCATENATE("#metadata!", ADDRESS(INDEX($AH$2:$AH$1001,MATCH(ROWS($AF$2:AF233),$AF$2:$AF$1001,0),0), INDEX($AM$1004:$BM$1004,1,MATCH(COLUMNS($AM$1006:AX1006),$AM$1006:$BM$1006,0)))),"Fix")))</f>
        <v xml:space="preserve"> </v>
      </c>
      <c r="N233" s="4" t="str">
        <f ca="1">IF(OR(INDEX($AG$2:$AG$1001,MATCH(ROWS($AF$2:AF233),$AF$2:$AF$1001,0),1)&gt;=100000,INDEX($AM$1005:$BM$1005,1,MATCH(COLUMNS($AM$1006:AY1006),$AM$1006:$BM$1006,0))&gt;=100000), " ",IF(INDEX($AM$2:$BM$1001,MATCH(ROWS($AF$2:AF233),$AF$2:$AF$1001,0),MATCH(COLUMNS($AM$1006:AY1006),$AM$1006:$BM$1006,0)), HYPERLINK("#",""), HYPERLINK(CONCATENATE("#metadata!", ADDRESS(INDEX($AH$2:$AH$1001,MATCH(ROWS($AF$2:AF233),$AF$2:$AF$1001,0),0), INDEX($AM$1004:$BM$1004,1,MATCH(COLUMNS($AM$1006:AY1006),$AM$1006:$BM$1006,0)))),"Fix")))</f>
        <v xml:space="preserve"> </v>
      </c>
      <c r="O233" s="4" t="str">
        <f ca="1">IF(OR(INDEX($AG$2:$AG$1001,MATCH(ROWS($AF$2:AF233),$AF$2:$AF$1001,0),1)&gt;=100000,INDEX($AM$1005:$BM$1005,1,MATCH(COLUMNS($AM$1006:AZ1006),$AM$1006:$BM$1006,0))&gt;=100000), " ",IF(INDEX($AM$2:$BM$1001,MATCH(ROWS($AF$2:AF233),$AF$2:$AF$1001,0),MATCH(COLUMNS($AM$1006:AZ1006),$AM$1006:$BM$1006,0)), HYPERLINK("#",""), HYPERLINK(CONCATENATE("#metadata!", ADDRESS(INDEX($AH$2:$AH$1001,MATCH(ROWS($AF$2:AF233),$AF$2:$AF$1001,0),0), INDEX($AM$1004:$BM$1004,1,MATCH(COLUMNS($AM$1006:AZ1006),$AM$1006:$BM$1006,0)))),"Fix")))</f>
        <v xml:space="preserve"> </v>
      </c>
      <c r="P233" s="4" t="str">
        <f ca="1">IF(OR(INDEX($AG$2:$AG$1001,MATCH(ROWS($AF$2:AF233),$AF$2:$AF$1001,0),1)&gt;=100000,INDEX($AM$1005:$BM$1005,1,MATCH(COLUMNS($AM$1006:BA1006),$AM$1006:$BM$1006,0))&gt;=100000), " ",IF(INDEX($AM$2:$BM$1001,MATCH(ROWS($AF$2:AF233),$AF$2:$AF$1001,0),MATCH(COLUMNS($AM$1006:BA1006),$AM$1006:$BM$1006,0)), HYPERLINK("#",""), HYPERLINK(CONCATENATE("#metadata!", ADDRESS(INDEX($AH$2:$AH$1001,MATCH(ROWS($AF$2:AF233),$AF$2:$AF$1001,0),0), INDEX($AM$1004:$BM$1004,1,MATCH(COLUMNS($AM$1006:BA1006),$AM$1006:$BM$1006,0)))),"Fix")))</f>
        <v xml:space="preserve"> </v>
      </c>
      <c r="Q233" s="4" t="str">
        <f ca="1">IF(OR(INDEX($AG$2:$AG$1001,MATCH(ROWS($AF$2:AF233),$AF$2:$AF$1001,0),1)&gt;=100000,INDEX($AM$1005:$BM$1005,1,MATCH(COLUMNS($AM$1006:BB1006),$AM$1006:$BM$1006,0))&gt;=100000), " ",IF(INDEX($AM$2:$BM$1001,MATCH(ROWS($AF$2:AF233),$AF$2:$AF$1001,0),MATCH(COLUMNS($AM$1006:BB1006),$AM$1006:$BM$1006,0)), HYPERLINK("#",""), HYPERLINK(CONCATENATE("#metadata!", ADDRESS(INDEX($AH$2:$AH$1001,MATCH(ROWS($AF$2:AF233),$AF$2:$AF$1001,0),0), INDEX($AM$1004:$BM$1004,1,MATCH(COLUMNS($AM$1006:BB1006),$AM$1006:$BM$1006,0)))),"Fix")))</f>
        <v xml:space="preserve"> </v>
      </c>
      <c r="R233" s="4" t="str">
        <f ca="1">IF(OR(INDEX($AG$2:$AG$1001,MATCH(ROWS($AF$2:AF233),$AF$2:$AF$1001,0),1)&gt;=100000,INDEX($AM$1005:$BM$1005,1,MATCH(COLUMNS($AM$1006:BC1006),$AM$1006:$BM$1006,0))&gt;=100000), " ",IF(INDEX($AM$2:$BM$1001,MATCH(ROWS($AF$2:AF233),$AF$2:$AF$1001,0),MATCH(COLUMNS($AM$1006:BC1006),$AM$1006:$BM$1006,0)), HYPERLINK("#",""), HYPERLINK(CONCATENATE("#metadata!", ADDRESS(INDEX($AH$2:$AH$1001,MATCH(ROWS($AF$2:AF233),$AF$2:$AF$1001,0),0), INDEX($AM$1004:$BM$1004,1,MATCH(COLUMNS($AM$1006:BC1006),$AM$1006:$BM$1006,0)))),"Fix")))</f>
        <v xml:space="preserve"> </v>
      </c>
      <c r="S233" s="4" t="str">
        <f ca="1">IF(OR(INDEX($AG$2:$AG$1001,MATCH(ROWS($AF$2:AF233),$AF$2:$AF$1001,0),1)&gt;=100000,INDEX($AM$1005:$BM$1005,1,MATCH(COLUMNS($AM$1006:BD1006),$AM$1006:$BM$1006,0))&gt;=100000), " ",IF(INDEX($AM$2:$BM$1001,MATCH(ROWS($AF$2:AF233),$AF$2:$AF$1001,0),MATCH(COLUMNS($AM$1006:BD1006),$AM$1006:$BM$1006,0)), HYPERLINK("#",""), HYPERLINK(CONCATENATE("#metadata!", ADDRESS(INDEX($AH$2:$AH$1001,MATCH(ROWS($AF$2:AF233),$AF$2:$AF$1001,0),0), INDEX($AM$1004:$BM$1004,1,MATCH(COLUMNS($AM$1006:BD1006),$AM$1006:$BM$1006,0)))),"Fix")))</f>
        <v xml:space="preserve"> </v>
      </c>
      <c r="T233" s="4" t="str">
        <f ca="1">IF(OR(INDEX($AG$2:$AG$1001,MATCH(ROWS($AF$2:AF233),$AF$2:$AF$1001,0),1)&gt;=100000,INDEX($AM$1005:$BM$1005,1,MATCH(COLUMNS($AM$1006:BE1006),$AM$1006:$BM$1006,0))&gt;=100000), " ",IF(INDEX($AM$2:$BM$1001,MATCH(ROWS($AF$2:AF233),$AF$2:$AF$1001,0),MATCH(COLUMNS($AM$1006:BE1006),$AM$1006:$BM$1006,0)), HYPERLINK("#",""), HYPERLINK(CONCATENATE("#metadata!", ADDRESS(INDEX($AH$2:$AH$1001,MATCH(ROWS($AF$2:AF233),$AF$2:$AF$1001,0),0), INDEX($AM$1004:$BM$1004,1,MATCH(COLUMNS($AM$1006:BE1006),$AM$1006:$BM$1006,0)))),"Fix")))</f>
        <v xml:space="preserve"> </v>
      </c>
      <c r="U233" s="4" t="str">
        <f ca="1">IF(OR(INDEX($AG$2:$AG$1001,MATCH(ROWS($AF$2:AF233),$AF$2:$AF$1001,0),1)&gt;=100000,INDEX($AM$1005:$BM$1005,1,MATCH(COLUMNS($AM$1006:BF1006),$AM$1006:$BM$1006,0))&gt;=100000), " ",IF(INDEX($AM$2:$BM$1001,MATCH(ROWS($AF$2:AF233),$AF$2:$AF$1001,0),MATCH(COLUMNS($AM$1006:BF1006),$AM$1006:$BM$1006,0)), HYPERLINK("#",""), HYPERLINK(CONCATENATE("#metadata!", ADDRESS(INDEX($AH$2:$AH$1001,MATCH(ROWS($AF$2:AF233),$AF$2:$AF$1001,0),0), INDEX($AM$1004:$BM$1004,1,MATCH(COLUMNS($AM$1006:BF1006),$AM$1006:$BM$1006,0)))),"Fix")))</f>
        <v xml:space="preserve"> </v>
      </c>
      <c r="V233" s="4" t="str">
        <f ca="1">IF(OR(INDEX($AG$2:$AG$1001,MATCH(ROWS($AF$2:AF233),$AF$2:$AF$1001,0),1)&gt;=100000,INDEX($AM$1005:$BM$1005,1,MATCH(COLUMNS($AM$1006:BG1006),$AM$1006:$BM$1006,0))&gt;=100000), " ",IF(INDEX($AM$2:$BM$1001,MATCH(ROWS($AF$2:AF233),$AF$2:$AF$1001,0),MATCH(COLUMNS($AM$1006:BG1006),$AM$1006:$BM$1006,0)), HYPERLINK("#",""), HYPERLINK(CONCATENATE("#metadata!", ADDRESS(INDEX($AH$2:$AH$1001,MATCH(ROWS($AF$2:AF233),$AF$2:$AF$1001,0),0), INDEX($AM$1004:$BM$1004,1,MATCH(COLUMNS($AM$1006:BG1006),$AM$1006:$BM$1006,0)))),"Fix")))</f>
        <v xml:space="preserve"> </v>
      </c>
      <c r="W233" s="4" t="str">
        <f ca="1">IF(OR(INDEX($AG$2:$AG$1001,MATCH(ROWS($AF$2:AF233),$AF$2:$AF$1001,0),1)&gt;=100000,INDEX($AM$1005:$BM$1005,1,MATCH(COLUMNS($AM$1006:BH1006),$AM$1006:$BM$1006,0))&gt;=100000), " ",IF(INDEX($AM$2:$BM$1001,MATCH(ROWS($AF$2:AF233),$AF$2:$AF$1001,0),MATCH(COLUMNS($AM$1006:BH1006),$AM$1006:$BM$1006,0)), HYPERLINK("#",""), HYPERLINK(CONCATENATE("#metadata!", ADDRESS(INDEX($AH$2:$AH$1001,MATCH(ROWS($AF$2:AF233),$AF$2:$AF$1001,0),0), INDEX($AM$1004:$BM$1004,1,MATCH(COLUMNS($AM$1006:BH1006),$AM$1006:$BM$1006,0)))),"Fix")))</f>
        <v xml:space="preserve"> </v>
      </c>
      <c r="X233" s="4" t="str">
        <f ca="1">IF(OR(INDEX($AG$2:$AG$1001,MATCH(ROWS($AF$2:AF233),$AF$2:$AF$1001,0),1)&gt;=100000,INDEX($AM$1005:$BM$1005,1,MATCH(COLUMNS($AM$1006:BI1006),$AM$1006:$BM$1006,0))&gt;=100000), " ",IF(INDEX($AM$2:$BM$1001,MATCH(ROWS($AF$2:AF233),$AF$2:$AF$1001,0),MATCH(COLUMNS($AM$1006:BI1006),$AM$1006:$BM$1006,0)), HYPERLINK("#",""), HYPERLINK(CONCATENATE("#metadata!", ADDRESS(INDEX($AH$2:$AH$1001,MATCH(ROWS($AF$2:AF233),$AF$2:$AF$1001,0),0), INDEX($AM$1004:$BM$1004,1,MATCH(COLUMNS($AM$1006:BI1006),$AM$1006:$BM$1006,0)))),"Fix")))</f>
        <v xml:space="preserve"> </v>
      </c>
      <c r="Y233" s="4" t="str">
        <f ca="1">IF(OR(INDEX($AG$2:$AG$1001,MATCH(ROWS($AF$2:AF233),$AF$2:$AF$1001,0),1)&gt;=100000,INDEX($AM$1005:$BM$1005,1,MATCH(COLUMNS($AM$1006:BJ1006),$AM$1006:$BM$1006,0))&gt;=100000), " ",IF(INDEX($AM$2:$BM$1001,MATCH(ROWS($AF$2:AF233),$AF$2:$AF$1001,0),MATCH(COLUMNS($AM$1006:BJ1006),$AM$1006:$BM$1006,0)), HYPERLINK("#",""), HYPERLINK(CONCATENATE("#metadata!", ADDRESS(INDEX($AH$2:$AH$1001,MATCH(ROWS($AF$2:AF233),$AF$2:$AF$1001,0),0), INDEX($AM$1004:$BM$1004,1,MATCH(COLUMNS($AM$1006:BJ1006),$AM$1006:$BM$1006,0)))),"Fix")))</f>
        <v xml:space="preserve"> </v>
      </c>
      <c r="Z233" s="4" t="str">
        <f ca="1">IF(OR(INDEX($AG$2:$AG$1001,MATCH(ROWS($AF$2:AF233),$AF$2:$AF$1001,0),1)&gt;=100000,INDEX($AM$1005:$BM$1005,1,MATCH(COLUMNS($AM$1006:BK1006),$AM$1006:$BM$1006,0))&gt;=100000), " ",IF(INDEX($AM$2:$BM$1001,MATCH(ROWS($AF$2:AF233),$AF$2:$AF$1001,0),MATCH(COLUMNS($AM$1006:BK1006),$AM$1006:$BM$1006,0)), HYPERLINK("#",""), HYPERLINK(CONCATENATE("#metadata!", ADDRESS(INDEX($AH$2:$AH$1001,MATCH(ROWS($AF$2:AF233),$AF$2:$AF$1001,0),0), INDEX($AM$1004:$BM$1004,1,MATCH(COLUMNS($AM$1006:BK1006),$AM$1006:$BM$1006,0)))),"Fix")))</f>
        <v xml:space="preserve"> </v>
      </c>
      <c r="AA233" s="4" t="str">
        <f ca="1">IF(OR(INDEX($AG$2:$AG$1001,MATCH(ROWS($AF$2:AF233),$AF$2:$AF$1001,0),1)&gt;=100000,INDEX($AM$1005:$BM$1005,1,MATCH(COLUMNS($AM$1006:BL1006),$AM$1006:$BM$1006,0))&gt;=100000), " ",IF(INDEX($AM$2:$BM$1001,MATCH(ROWS($AF$2:AF233),$AF$2:$AF$1001,0),MATCH(COLUMNS($AM$1006:BL1006),$AM$1006:$BM$1006,0)), HYPERLINK("#",""), HYPERLINK(CONCATENATE("#metadata!", ADDRESS(INDEX($AH$2:$AH$1001,MATCH(ROWS($AF$2:AF233),$AF$2:$AF$1001,0),0), INDEX($AM$1004:$BM$1004,1,MATCH(COLUMNS($AM$1006:BL1006),$AM$1006:$BM$1006,0)))),"Fix")))</f>
        <v xml:space="preserve"> </v>
      </c>
      <c r="AB233" s="4" t="str">
        <f ca="1">IF(OR(INDEX($AG$2:$AG$1001,MATCH(ROWS($AF$2:AF233),$AF$2:$AF$1001,0),1)&gt;=100000,INDEX($AM$1005:$BM$1005,1,MATCH(COLUMNS($AM$1006:BM1006),$AM$1006:$BM$1006,0))&gt;=100000), " ",IF(INDEX($AM$2:$BM$1001,MATCH(ROWS($AF$2:AF233),$AF$2:$AF$1001,0),MATCH(COLUMNS($AM$1006:BM1006),$AM$1006:$BM$1006,0)), HYPERLINK("#",""), HYPERLINK(CONCATENATE("#metadata!", ADDRESS(INDEX($AH$2:$AH$1001,MATCH(ROWS($AF$2:AF233),$AF$2:$AF$1001,0),0), INDEX($AM$1004:$BM$1004,1,MATCH(COLUMNS($AM$1006:BM1006),$AM$1006:$BM$1006,0)))),"Fix")))</f>
        <v xml:space="preserve"> </v>
      </c>
      <c r="AF233">
        <v>232</v>
      </c>
      <c r="AG233">
        <v>100233</v>
      </c>
      <c r="AH233">
        <v>233</v>
      </c>
      <c r="AI233" t="b">
        <f t="shared" si="3"/>
        <v>1</v>
      </c>
      <c r="AJ233" t="b">
        <f>COUNTBLANK(metadata!B233:AB233)=COLUMNS(metadata!B233:AB233)</f>
        <v>1</v>
      </c>
      <c r="AK233" t="str">
        <v/>
      </c>
      <c r="AM233" t="b">
        <f ca="1">AND(IF(metadata!B233="",FALSE,TRUE),COUNTIF(metadata!B:B, metadata!B233) = 1,NOT(ISERROR(SUMPRODUCT(SEARCH(MID(metadata!B233,ROW(INDIRECT("1:"&amp;LEN(metadata!B233))), 1),"0123456789abcdefghijklmnopqrstuvwxyzABCDEFGHIJKLMNOPQRSTUVWXYZ.")))))</f>
        <v>0</v>
      </c>
      <c r="AN233" t="b">
        <f ca="1">OR(AND(IF(metadata!C233="",FALSE,TRUE),OR(EXACT(metadata!C233,"missing: not collected"),EXACT(metadata!C233,"missing: not provided"),EXACT(metadata!C233,"missing: restricted access"))),AND(IF(metadata!C233="",FALSE,TRUE),AND(AND(IFERROR(INT(LEFT(metadata!C233,4))&gt;1900,FALSE),IFERROR(INT(LEFT(metadata!C233,4))&lt;=YEAR(NOW()),FALSE)), OR(MID(metadata!C233,5,1)="", AND(AND(MID(metadata!C233,5,1)="-",IFERROR(INT(MID(metadata!C233,6,1))&gt;=0,FALSE),IFERROR(INT(MID(metadata!C233,6,1))&lt;=1,FALSE),NOT(MID(metadata!C233,7,1)=""),IFERROR(INT(MID(metadata!C233,6,2))&gt;=1,FALSE),IFERROR(INT(MID(metadata!C233,6,2))&lt;=12,FALSE)), OR(MID(metadata!C233,8,1)="", AND(AND(MID(metadata!C233,8,1)="-",IFERROR(INT(MID(metadata!C233,9,1))&gt;=0,FALSE),IFERROR(INT(MID(metadata!C233,9,1))&lt;=3,FALSE),NOT(MID(metadata!C233,10,1)=""),IFERROR(INT(MID(metadata!C233,9,2))&gt;=1,FALSE),IFERROR(INT(MID(metadata!C233,9,2))&lt;=31,FALSE)), OR(MID(metadata!C233,11,1)="", AND(AND(MID(metadata!C233,11,1)=" ",IFERROR(INT(MID(metadata!C233,12,1))&gt;=0,FALSE),IFERROR(INT(MID(metadata!C233,12,1))&lt;=2,FALSE),NOT(MID(metadata!C233,13,1)=""),IFERROR(INT(MID(metadata!C233,12,2))&gt;=0,FALSE),IFERROR(INT(MID(metadata!C233,12,2))&lt;=23,FALSE)), OR(MID(metadata!C233,14,1)="", AND(AND(MID(metadata!C233,14,1)=":",IFERROR(INT(MID(metadata!C233,15,1))&gt;=0,FALSE),IFERROR(INT(MID(metadata!C233,15,1))&lt;=5,FALSE),NOT(MID(metadata!C233,16,1)=""),IFERROR(INT(MID(metadata!C233,15,2))&gt;=0,FALSE),IFERROR(INT(MID(metadata!C233,15,2))&lt;=59,FALSE)), OR(MID(metadata!C233,17,1)="", AND(AND(MID(metadata!C233,17,1)=":",IFERROR(INT(MID(metadata!C233,18,1))&gt;=0,FALSE),IFERROR(INT(MID(metadata!C233,18,1))&lt;=5,FALSE),NOT(MID(metadata!C233,19,1)=""),IFERROR(INT(MID(metadata!C233,18,2))&gt;=0,FALSE),IFERROR(INT(MID(metadata!C233,18,2))&lt;=59,FALSE)), LEN(metadata!C233)&lt;=19)))))))))))))</f>
        <v>0</v>
      </c>
      <c r="AO233" t="b">
        <f>AND(IF(metadata!D233="",FALSE,TRUE),EXACT(metadata!D233,"Not applicable"))</f>
        <v>0</v>
      </c>
      <c r="AP233" t="b">
        <f>IF(metadata!E233="",FALSE,TRUE)</f>
        <v>0</v>
      </c>
      <c r="AQ233" t="b">
        <f>OR(AND(IF(metadata!F233="",FALSE,TRUE),OR(EXACT(metadata!F233,"missing: not collected"),EXACT(metadata!F233,"missing: not provided"))),AND(IF(metadata!F233="",FALSE,TRUE),OR(EXACT(metadata!F233,"TRUE"),EXACT(metadata!F233,"FALSE"))))</f>
        <v>0</v>
      </c>
      <c r="AR233" t="b">
        <f>OR(AND(IF(metadata!G233="",FALSE,TRUE),OR(EXACT(metadata!G233,"missing: not collected"),EXACT(metadata!G233,"missing: not provided"),EXACT(metadata!G233,"missing: restricted access"))),AND(IF(metadata!G233="",FALSE,ISNUMBER(VALUE(metadata!G233))),metadata!G233&gt;=-413))</f>
        <v>0</v>
      </c>
      <c r="AS233" t="b">
        <f>AND(IF(metadata!H233="",FALSE,TRUE),EXACT(metadata!H233,"meters"))</f>
        <v>0</v>
      </c>
      <c r="AT233" t="b">
        <f>AND(IF(metadata!I233="",FALSE,TRUE),OR(EXACT(metadata!I233,"Host-associated"),EXACT(metadata!I233,"Free-living")))</f>
        <v>0</v>
      </c>
      <c r="AU233" t="b">
        <f>AND(IF(metadata!J233="",FALSE,TRUE),OR(EXACT(metadata!J233,"Animal"),EXACT(metadata!J233,"Fungus"),EXACT(metadata!J233,"Plant"),EXACT(metadata!J233,"Saline"),EXACT(metadata!J233,"Non-saline")))</f>
        <v>0</v>
      </c>
      <c r="AV233" t="b">
        <f>AND(IF(metadata!K233="",FALSE,TRUE),OR(EXACT(metadata!K233,"Plant secretion"),EXACT(metadata!K233,"Plant rhizosphere"),EXACT(metadata!K233,"Plant surface"),EXACT(metadata!K233,"Plant corpus"),EXACT(metadata!K233,"Fungus surface"),EXACT(metadata!K233,"Fungus corpus"),EXACT(metadata!K233,"Animal surface"),EXACT(metadata!K233,"Animal proximal gut"),EXACT(metadata!K233,"Animal corpus"),EXACT(metadata!K233,"Animal distal gut"),EXACT(metadata!K233,"Animal secretion"),EXACT(metadata!K233,"Sub-surface (non-saline)"),EXACT(metadata!K233,"Surface (non-saline)"),EXACT(metadata!K233,"Water (non-saline)"),EXACT(metadata!K233,"Soil (non-saline)"),EXACT(metadata!K233,"Aerosol (non-saline)"),EXACT(metadata!K233,"Sediment (non-saline)"),EXACT(metadata!K233,"Surface (saline)"),EXACT(metadata!K233,"Water (saline)"),EXACT(metadata!K233,"Hypersaline (saline)"),EXACT(metadata!K233,"Aerosol (saline)"),EXACT(metadata!K233,"Sediment (saline)")))</f>
        <v>0</v>
      </c>
      <c r="AW233" t="b">
        <f>IF(metadata!L233="",FALSE,TRUE)</f>
        <v>0</v>
      </c>
      <c r="AX233" t="b">
        <f>IF(metadata!M233="",FALSE,TRUE)</f>
        <v>0</v>
      </c>
      <c r="AY233" t="b">
        <f>IF(metadata!N233="",FALSE,TRUE)</f>
        <v>0</v>
      </c>
      <c r="AZ233" t="b">
        <f>OR(AND(IF(metadata!O233="",FALSE,TRUE),OR(EXACT(metadata!O233,"missing: not collected"),EXACT(metadata!O233,"missing: not provided"),EXACT(metadata!O233,"missing: restricted access"))),AND(IF(metadata!O233="",FALSE,TRUE),OR(EXACT(metadata!O233,"air"),EXACT(metadata!O233,"built environment"),EXACT(metadata!O233,"host-associated"),EXACT(metadata!O233,"human-associated"),EXACT(metadata!O233,"human-skin"),EXACT(metadata!O233,"human-oral"),EXACT(metadata!O233,"human-gut"),EXACT(metadata!O233,"human-vaginal"),EXACT(metadata!O233,"microbial mat/biofilm"),EXACT(metadata!O233,"misc environment"),EXACT(metadata!O233,"plant-associated"),EXACT(metadata!O233,"sediment"),EXACT(metadata!O233,"soil"),EXACT(metadata!O233,"wastewater/sludge"),EXACT(metadata!O233,"water"))))</f>
        <v>0</v>
      </c>
      <c r="BA233" t="b">
        <f>IF(metadata!P233="",FALSE,TRUE)</f>
        <v>0</v>
      </c>
      <c r="BB233" t="b">
        <f>IF(metadata!Q233="",FALSE,TRUE)</f>
        <v>0</v>
      </c>
      <c r="BC233" t="b">
        <f>OR(AND(IF(metadata!R233="",FALSE,TRUE),OR(EXACT(metadata!R233,"missing: not collected"),EXACT(metadata!R233,"missing: not provided"),EXACT(metadata!R233,"missing: restricted access"))),AND(IF(metadata!R233="",FALSE,ISNUMBER(VALUE(metadata!R233))),metadata!R233&gt;=-90,metadata!R233&lt;=90))</f>
        <v>0</v>
      </c>
      <c r="BD233" t="b">
        <f>AND(IF(metadata!S233="",FALSE,TRUE),EXACT(metadata!S233,"Decimal degrees"))</f>
        <v>0</v>
      </c>
      <c r="BE233" t="b">
        <f>OR(AND(IF(metadata!T233="",FALSE,TRUE),OR(EXACT(metadata!T233,"missing: not collected"),EXACT(metadata!T233,"missing: not provided"),EXACT(metadata!T233,"missing: restricted access"))),AND(IF(metadata!T233="",FALSE,ISNUMBER(VALUE(metadata!T233))),metadata!T233&gt;=-180,metadata!T233&lt;=180))</f>
        <v>0</v>
      </c>
      <c r="BF233" t="b">
        <f>AND(IF(metadata!U233="",FALSE,TRUE),EXACT(metadata!U233,"Decimal degrees"))</f>
        <v>0</v>
      </c>
      <c r="BG233" t="b">
        <f>IF(metadata!V233="",FALSE,TRUE)</f>
        <v>0</v>
      </c>
      <c r="BH233" t="b">
        <f>OR(AND(IF(metadata!W233="",FALSE,TRUE),OR(EXACT(metadata!W233,"missing: not collected"),EXACT(metadata!W233,"missing: not provided"),EXACT(metadata!W233,"missing: restricted access"))),AND(IF(metadata!W233="",FALSE,TRUE),OR(EXACT(metadata!W233,"TRUE"),EXACT(metadata!W233,"FALSE"))))</f>
        <v>0</v>
      </c>
      <c r="BI233" t="b">
        <f>AND(IF(metadata!X233="",FALSE,TRUE),EXACT(metadata!X233,"other"))</f>
        <v>0</v>
      </c>
      <c r="BJ233" t="b">
        <f>IF(metadata!Y233="",FALSE,TRUE)</f>
        <v>0</v>
      </c>
      <c r="BK233" t="b">
        <f>OR(AND(IF(metadata!Z233="",FALSE,TRUE),OR(EXACT(metadata!Z233,"missing: not collected"),EXACT(metadata!Z233,"missing: not provided"))),AND(IF(metadata!Z233="",FALSE,IF(ISERROR(INT(metadata!Z233)),FALSE,INT(metadata!Z233)=metadata!Z233)),metadata!Z233&gt;0))</f>
        <v>0</v>
      </c>
      <c r="BL233" t="b">
        <f>AND(IF(metadata!AA233="",FALSE,TRUE),EXACT(metadata!AA233,"Not applicable"))</f>
        <v>0</v>
      </c>
      <c r="BM233" t="b">
        <f>IF(metadata!AB233="",FALSE,TRUE)</f>
        <v>0</v>
      </c>
    </row>
    <row r="234" spans="1:65" x14ac:dyDescent="0.2">
      <c r="A234" s="5" t="str">
        <f ca="1">IF(B234=" "," ",HYPERLINK(CONCATENATE("#metadata!",ADDRESS(INDEX($AH$2:$AH$1001,MATCH(ROWS($AF$2:AF234),$AF$2:$AF$1001,0),0),1)),INDEX($AK$2:$AK$1001,MATCH(ROWS($AF$2:AF234),$AF$2:$AF$1001,0),0)))</f>
        <v xml:space="preserve"> </v>
      </c>
      <c r="B234" s="4" t="str">
        <f ca="1">IF(OR(INDEX($AG$2:$AG$1001,MATCH(ROWS($AF$2:AF234),$AF$2:$AF$1001,0),1)&gt;=100000,INDEX($AM$1005:$BM$1005,1,MATCH(COLUMNS($AM$1006:AM1006),$AM$1006:$BM$1006,0))&gt;=100000), " ",IF(INDEX($AM$2:$BM$1001,MATCH(ROWS($AF$2:AF234),$AF$2:$AF$1001,0),MATCH(COLUMNS($AM$1006:AM1006),$AM$1006:$BM$1006,0)), HYPERLINK("#",""), HYPERLINK(CONCATENATE("#metadata!", ADDRESS(INDEX($AH$2:$AH$1001,MATCH(ROWS($AF$2:AF234),$AF$2:$AF$1001,0),0), INDEX($AM$1004:$BM$1004,1,MATCH(COLUMNS($AM$1006:AM1006),$AM$1006:$BM$1006,0)))),"Fix")))</f>
        <v xml:space="preserve"> </v>
      </c>
      <c r="C234" s="4" t="str">
        <f ca="1">IF(OR(INDEX($AG$2:$AG$1001,MATCH(ROWS($AF$2:AF234),$AF$2:$AF$1001,0),1)&gt;=100000,INDEX($AM$1005:$BM$1005,1,MATCH(COLUMNS($AM$1006:AN1006),$AM$1006:$BM$1006,0))&gt;=100000), " ",IF(INDEX($AM$2:$BM$1001,MATCH(ROWS($AF$2:AF234),$AF$2:$AF$1001,0),MATCH(COLUMNS($AM$1006:AN1006),$AM$1006:$BM$1006,0)), HYPERLINK("#",""), HYPERLINK(CONCATENATE("#metadata!", ADDRESS(INDEX($AH$2:$AH$1001,MATCH(ROWS($AF$2:AF234),$AF$2:$AF$1001,0),0), INDEX($AM$1004:$BM$1004,1,MATCH(COLUMNS($AM$1006:AN1006),$AM$1006:$BM$1006,0)))),"Fix")))</f>
        <v xml:space="preserve"> </v>
      </c>
      <c r="D234" s="4" t="str">
        <f ca="1">IF(OR(INDEX($AG$2:$AG$1001,MATCH(ROWS($AF$2:AF234),$AF$2:$AF$1001,0),1)&gt;=100000,INDEX($AM$1005:$BM$1005,1,MATCH(COLUMNS($AM$1006:AO1006),$AM$1006:$BM$1006,0))&gt;=100000), " ",IF(INDEX($AM$2:$BM$1001,MATCH(ROWS($AF$2:AF234),$AF$2:$AF$1001,0),MATCH(COLUMNS($AM$1006:AO1006),$AM$1006:$BM$1006,0)), HYPERLINK("#",""), HYPERLINK(CONCATENATE("#metadata!", ADDRESS(INDEX($AH$2:$AH$1001,MATCH(ROWS($AF$2:AF234),$AF$2:$AF$1001,0),0), INDEX($AM$1004:$BM$1004,1,MATCH(COLUMNS($AM$1006:AO1006),$AM$1006:$BM$1006,0)))),"Fix")))</f>
        <v xml:space="preserve"> </v>
      </c>
      <c r="E234" s="4" t="str">
        <f ca="1">IF(OR(INDEX($AG$2:$AG$1001,MATCH(ROWS($AF$2:AF234),$AF$2:$AF$1001,0),1)&gt;=100000,INDEX($AM$1005:$BM$1005,1,MATCH(COLUMNS($AM$1006:AP1006),$AM$1006:$BM$1006,0))&gt;=100000), " ",IF(INDEX($AM$2:$BM$1001,MATCH(ROWS($AF$2:AF234),$AF$2:$AF$1001,0),MATCH(COLUMNS($AM$1006:AP1006),$AM$1006:$BM$1006,0)), HYPERLINK("#",""), HYPERLINK(CONCATENATE("#metadata!", ADDRESS(INDEX($AH$2:$AH$1001,MATCH(ROWS($AF$2:AF234),$AF$2:$AF$1001,0),0), INDEX($AM$1004:$BM$1004,1,MATCH(COLUMNS($AM$1006:AP1006),$AM$1006:$BM$1006,0)))),"Fix")))</f>
        <v xml:space="preserve"> </v>
      </c>
      <c r="F234" s="4" t="str">
        <f ca="1">IF(OR(INDEX($AG$2:$AG$1001,MATCH(ROWS($AF$2:AF234),$AF$2:$AF$1001,0),1)&gt;=100000,INDEX($AM$1005:$BM$1005,1,MATCH(COLUMNS($AM$1006:AQ1006),$AM$1006:$BM$1006,0))&gt;=100000), " ",IF(INDEX($AM$2:$BM$1001,MATCH(ROWS($AF$2:AF234),$AF$2:$AF$1001,0),MATCH(COLUMNS($AM$1006:AQ1006),$AM$1006:$BM$1006,0)), HYPERLINK("#",""), HYPERLINK(CONCATENATE("#metadata!", ADDRESS(INDEX($AH$2:$AH$1001,MATCH(ROWS($AF$2:AF234),$AF$2:$AF$1001,0),0), INDEX($AM$1004:$BM$1004,1,MATCH(COLUMNS($AM$1006:AQ1006),$AM$1006:$BM$1006,0)))),"Fix")))</f>
        <v xml:space="preserve"> </v>
      </c>
      <c r="G234" s="4" t="str">
        <f ca="1">IF(OR(INDEX($AG$2:$AG$1001,MATCH(ROWS($AF$2:AF234),$AF$2:$AF$1001,0),1)&gt;=100000,INDEX($AM$1005:$BM$1005,1,MATCH(COLUMNS($AM$1006:AR1006),$AM$1006:$BM$1006,0))&gt;=100000), " ",IF(INDEX($AM$2:$BM$1001,MATCH(ROWS($AF$2:AF234),$AF$2:$AF$1001,0),MATCH(COLUMNS($AM$1006:AR1006),$AM$1006:$BM$1006,0)), HYPERLINK("#",""), HYPERLINK(CONCATENATE("#metadata!", ADDRESS(INDEX($AH$2:$AH$1001,MATCH(ROWS($AF$2:AF234),$AF$2:$AF$1001,0),0), INDEX($AM$1004:$BM$1004,1,MATCH(COLUMNS($AM$1006:AR1006),$AM$1006:$BM$1006,0)))),"Fix")))</f>
        <v xml:space="preserve"> </v>
      </c>
      <c r="H234" s="4" t="str">
        <f ca="1">IF(OR(INDEX($AG$2:$AG$1001,MATCH(ROWS($AF$2:AF234),$AF$2:$AF$1001,0),1)&gt;=100000,INDEX($AM$1005:$BM$1005,1,MATCH(COLUMNS($AM$1006:AS1006),$AM$1006:$BM$1006,0))&gt;=100000), " ",IF(INDEX($AM$2:$BM$1001,MATCH(ROWS($AF$2:AF234),$AF$2:$AF$1001,0),MATCH(COLUMNS($AM$1006:AS1006),$AM$1006:$BM$1006,0)), HYPERLINK("#",""), HYPERLINK(CONCATENATE("#metadata!", ADDRESS(INDEX($AH$2:$AH$1001,MATCH(ROWS($AF$2:AF234),$AF$2:$AF$1001,0),0), INDEX($AM$1004:$BM$1004,1,MATCH(COLUMNS($AM$1006:AS1006),$AM$1006:$BM$1006,0)))),"Fix")))</f>
        <v xml:space="preserve"> </v>
      </c>
      <c r="I234" s="4" t="str">
        <f ca="1">IF(OR(INDEX($AG$2:$AG$1001,MATCH(ROWS($AF$2:AF234),$AF$2:$AF$1001,0),1)&gt;=100000,INDEX($AM$1005:$BM$1005,1,MATCH(COLUMNS($AM$1006:AT1006),$AM$1006:$BM$1006,0))&gt;=100000), " ",IF(INDEX($AM$2:$BM$1001,MATCH(ROWS($AF$2:AF234),$AF$2:$AF$1001,0),MATCH(COLUMNS($AM$1006:AT1006),$AM$1006:$BM$1006,0)), HYPERLINK("#",""), HYPERLINK(CONCATENATE("#metadata!", ADDRESS(INDEX($AH$2:$AH$1001,MATCH(ROWS($AF$2:AF234),$AF$2:$AF$1001,0),0), INDEX($AM$1004:$BM$1004,1,MATCH(COLUMNS($AM$1006:AT1006),$AM$1006:$BM$1006,0)))),"Fix")))</f>
        <v xml:space="preserve"> </v>
      </c>
      <c r="J234" s="4" t="str">
        <f ca="1">IF(OR(INDEX($AG$2:$AG$1001,MATCH(ROWS($AF$2:AF234),$AF$2:$AF$1001,0),1)&gt;=100000,INDEX($AM$1005:$BM$1005,1,MATCH(COLUMNS($AM$1006:AU1006),$AM$1006:$BM$1006,0))&gt;=100000), " ",IF(INDEX($AM$2:$BM$1001,MATCH(ROWS($AF$2:AF234),$AF$2:$AF$1001,0),MATCH(COLUMNS($AM$1006:AU1006),$AM$1006:$BM$1006,0)), HYPERLINK("#",""), HYPERLINK(CONCATENATE("#metadata!", ADDRESS(INDEX($AH$2:$AH$1001,MATCH(ROWS($AF$2:AF234),$AF$2:$AF$1001,0),0), INDEX($AM$1004:$BM$1004,1,MATCH(COLUMNS($AM$1006:AU1006),$AM$1006:$BM$1006,0)))),"Fix")))</f>
        <v xml:space="preserve"> </v>
      </c>
      <c r="K234" s="4" t="str">
        <f ca="1">IF(OR(INDEX($AG$2:$AG$1001,MATCH(ROWS($AF$2:AF234),$AF$2:$AF$1001,0),1)&gt;=100000,INDEX($AM$1005:$BM$1005,1,MATCH(COLUMNS($AM$1006:AV1006),$AM$1006:$BM$1006,0))&gt;=100000), " ",IF(INDEX($AM$2:$BM$1001,MATCH(ROWS($AF$2:AF234),$AF$2:$AF$1001,0),MATCH(COLUMNS($AM$1006:AV1006),$AM$1006:$BM$1006,0)), HYPERLINK("#",""), HYPERLINK(CONCATENATE("#metadata!", ADDRESS(INDEX($AH$2:$AH$1001,MATCH(ROWS($AF$2:AF234),$AF$2:$AF$1001,0),0), INDEX($AM$1004:$BM$1004,1,MATCH(COLUMNS($AM$1006:AV1006),$AM$1006:$BM$1006,0)))),"Fix")))</f>
        <v xml:space="preserve"> </v>
      </c>
      <c r="L234" s="4" t="str">
        <f ca="1">IF(OR(INDEX($AG$2:$AG$1001,MATCH(ROWS($AF$2:AF234),$AF$2:$AF$1001,0),1)&gt;=100000,INDEX($AM$1005:$BM$1005,1,MATCH(COLUMNS($AM$1006:AW1006),$AM$1006:$BM$1006,0))&gt;=100000), " ",IF(INDEX($AM$2:$BM$1001,MATCH(ROWS($AF$2:AF234),$AF$2:$AF$1001,0),MATCH(COLUMNS($AM$1006:AW1006),$AM$1006:$BM$1006,0)), HYPERLINK("#",""), HYPERLINK(CONCATENATE("#metadata!", ADDRESS(INDEX($AH$2:$AH$1001,MATCH(ROWS($AF$2:AF234),$AF$2:$AF$1001,0),0), INDEX($AM$1004:$BM$1004,1,MATCH(COLUMNS($AM$1006:AW1006),$AM$1006:$BM$1006,0)))),"Fix")))</f>
        <v xml:space="preserve"> </v>
      </c>
      <c r="M234" s="4" t="str">
        <f ca="1">IF(OR(INDEX($AG$2:$AG$1001,MATCH(ROWS($AF$2:AF234),$AF$2:$AF$1001,0),1)&gt;=100000,INDEX($AM$1005:$BM$1005,1,MATCH(COLUMNS($AM$1006:AX1006),$AM$1006:$BM$1006,0))&gt;=100000), " ",IF(INDEX($AM$2:$BM$1001,MATCH(ROWS($AF$2:AF234),$AF$2:$AF$1001,0),MATCH(COLUMNS($AM$1006:AX1006),$AM$1006:$BM$1006,0)), HYPERLINK("#",""), HYPERLINK(CONCATENATE("#metadata!", ADDRESS(INDEX($AH$2:$AH$1001,MATCH(ROWS($AF$2:AF234),$AF$2:$AF$1001,0),0), INDEX($AM$1004:$BM$1004,1,MATCH(COLUMNS($AM$1006:AX1006),$AM$1006:$BM$1006,0)))),"Fix")))</f>
        <v xml:space="preserve"> </v>
      </c>
      <c r="N234" s="4" t="str">
        <f ca="1">IF(OR(INDEX($AG$2:$AG$1001,MATCH(ROWS($AF$2:AF234),$AF$2:$AF$1001,0),1)&gt;=100000,INDEX($AM$1005:$BM$1005,1,MATCH(COLUMNS($AM$1006:AY1006),$AM$1006:$BM$1006,0))&gt;=100000), " ",IF(INDEX($AM$2:$BM$1001,MATCH(ROWS($AF$2:AF234),$AF$2:$AF$1001,0),MATCH(COLUMNS($AM$1006:AY1006),$AM$1006:$BM$1006,0)), HYPERLINK("#",""), HYPERLINK(CONCATENATE("#metadata!", ADDRESS(INDEX($AH$2:$AH$1001,MATCH(ROWS($AF$2:AF234),$AF$2:$AF$1001,0),0), INDEX($AM$1004:$BM$1004,1,MATCH(COLUMNS($AM$1006:AY1006),$AM$1006:$BM$1006,0)))),"Fix")))</f>
        <v xml:space="preserve"> </v>
      </c>
      <c r="O234" s="4" t="str">
        <f ca="1">IF(OR(INDEX($AG$2:$AG$1001,MATCH(ROWS($AF$2:AF234),$AF$2:$AF$1001,0),1)&gt;=100000,INDEX($AM$1005:$BM$1005,1,MATCH(COLUMNS($AM$1006:AZ1006),$AM$1006:$BM$1006,0))&gt;=100000), " ",IF(INDEX($AM$2:$BM$1001,MATCH(ROWS($AF$2:AF234),$AF$2:$AF$1001,0),MATCH(COLUMNS($AM$1006:AZ1006),$AM$1006:$BM$1006,0)), HYPERLINK("#",""), HYPERLINK(CONCATENATE("#metadata!", ADDRESS(INDEX($AH$2:$AH$1001,MATCH(ROWS($AF$2:AF234),$AF$2:$AF$1001,0),0), INDEX($AM$1004:$BM$1004,1,MATCH(COLUMNS($AM$1006:AZ1006),$AM$1006:$BM$1006,0)))),"Fix")))</f>
        <v xml:space="preserve"> </v>
      </c>
      <c r="P234" s="4" t="str">
        <f ca="1">IF(OR(INDEX($AG$2:$AG$1001,MATCH(ROWS($AF$2:AF234),$AF$2:$AF$1001,0),1)&gt;=100000,INDEX($AM$1005:$BM$1005,1,MATCH(COLUMNS($AM$1006:BA1006),$AM$1006:$BM$1006,0))&gt;=100000), " ",IF(INDEX($AM$2:$BM$1001,MATCH(ROWS($AF$2:AF234),$AF$2:$AF$1001,0),MATCH(COLUMNS($AM$1006:BA1006),$AM$1006:$BM$1006,0)), HYPERLINK("#",""), HYPERLINK(CONCATENATE("#metadata!", ADDRESS(INDEX($AH$2:$AH$1001,MATCH(ROWS($AF$2:AF234),$AF$2:$AF$1001,0),0), INDEX($AM$1004:$BM$1004,1,MATCH(COLUMNS($AM$1006:BA1006),$AM$1006:$BM$1006,0)))),"Fix")))</f>
        <v xml:space="preserve"> </v>
      </c>
      <c r="Q234" s="4" t="str">
        <f ca="1">IF(OR(INDEX($AG$2:$AG$1001,MATCH(ROWS($AF$2:AF234),$AF$2:$AF$1001,0),1)&gt;=100000,INDEX($AM$1005:$BM$1005,1,MATCH(COLUMNS($AM$1006:BB1006),$AM$1006:$BM$1006,0))&gt;=100000), " ",IF(INDEX($AM$2:$BM$1001,MATCH(ROWS($AF$2:AF234),$AF$2:$AF$1001,0),MATCH(COLUMNS($AM$1006:BB1006),$AM$1006:$BM$1006,0)), HYPERLINK("#",""), HYPERLINK(CONCATENATE("#metadata!", ADDRESS(INDEX($AH$2:$AH$1001,MATCH(ROWS($AF$2:AF234),$AF$2:$AF$1001,0),0), INDEX($AM$1004:$BM$1004,1,MATCH(COLUMNS($AM$1006:BB1006),$AM$1006:$BM$1006,0)))),"Fix")))</f>
        <v xml:space="preserve"> </v>
      </c>
      <c r="R234" s="4" t="str">
        <f ca="1">IF(OR(INDEX($AG$2:$AG$1001,MATCH(ROWS($AF$2:AF234),$AF$2:$AF$1001,0),1)&gt;=100000,INDEX($AM$1005:$BM$1005,1,MATCH(COLUMNS($AM$1006:BC1006),$AM$1006:$BM$1006,0))&gt;=100000), " ",IF(INDEX($AM$2:$BM$1001,MATCH(ROWS($AF$2:AF234),$AF$2:$AF$1001,0),MATCH(COLUMNS($AM$1006:BC1006),$AM$1006:$BM$1006,0)), HYPERLINK("#",""), HYPERLINK(CONCATENATE("#metadata!", ADDRESS(INDEX($AH$2:$AH$1001,MATCH(ROWS($AF$2:AF234),$AF$2:$AF$1001,0),0), INDEX($AM$1004:$BM$1004,1,MATCH(COLUMNS($AM$1006:BC1006),$AM$1006:$BM$1006,0)))),"Fix")))</f>
        <v xml:space="preserve"> </v>
      </c>
      <c r="S234" s="4" t="str">
        <f ca="1">IF(OR(INDEX($AG$2:$AG$1001,MATCH(ROWS($AF$2:AF234),$AF$2:$AF$1001,0),1)&gt;=100000,INDEX($AM$1005:$BM$1005,1,MATCH(COLUMNS($AM$1006:BD1006),$AM$1006:$BM$1006,0))&gt;=100000), " ",IF(INDEX($AM$2:$BM$1001,MATCH(ROWS($AF$2:AF234),$AF$2:$AF$1001,0),MATCH(COLUMNS($AM$1006:BD1006),$AM$1006:$BM$1006,0)), HYPERLINK("#",""), HYPERLINK(CONCATENATE("#metadata!", ADDRESS(INDEX($AH$2:$AH$1001,MATCH(ROWS($AF$2:AF234),$AF$2:$AF$1001,0),0), INDEX($AM$1004:$BM$1004,1,MATCH(COLUMNS($AM$1006:BD1006),$AM$1006:$BM$1006,0)))),"Fix")))</f>
        <v xml:space="preserve"> </v>
      </c>
      <c r="T234" s="4" t="str">
        <f ca="1">IF(OR(INDEX($AG$2:$AG$1001,MATCH(ROWS($AF$2:AF234),$AF$2:$AF$1001,0),1)&gt;=100000,INDEX($AM$1005:$BM$1005,1,MATCH(COLUMNS($AM$1006:BE1006),$AM$1006:$BM$1006,0))&gt;=100000), " ",IF(INDEX($AM$2:$BM$1001,MATCH(ROWS($AF$2:AF234),$AF$2:$AF$1001,0),MATCH(COLUMNS($AM$1006:BE1006),$AM$1006:$BM$1006,0)), HYPERLINK("#",""), HYPERLINK(CONCATENATE("#metadata!", ADDRESS(INDEX($AH$2:$AH$1001,MATCH(ROWS($AF$2:AF234),$AF$2:$AF$1001,0),0), INDEX($AM$1004:$BM$1004,1,MATCH(COLUMNS($AM$1006:BE1006),$AM$1006:$BM$1006,0)))),"Fix")))</f>
        <v xml:space="preserve"> </v>
      </c>
      <c r="U234" s="4" t="str">
        <f ca="1">IF(OR(INDEX($AG$2:$AG$1001,MATCH(ROWS($AF$2:AF234),$AF$2:$AF$1001,0),1)&gt;=100000,INDEX($AM$1005:$BM$1005,1,MATCH(COLUMNS($AM$1006:BF1006),$AM$1006:$BM$1006,0))&gt;=100000), " ",IF(INDEX($AM$2:$BM$1001,MATCH(ROWS($AF$2:AF234),$AF$2:$AF$1001,0),MATCH(COLUMNS($AM$1006:BF1006),$AM$1006:$BM$1006,0)), HYPERLINK("#",""), HYPERLINK(CONCATENATE("#metadata!", ADDRESS(INDEX($AH$2:$AH$1001,MATCH(ROWS($AF$2:AF234),$AF$2:$AF$1001,0),0), INDEX($AM$1004:$BM$1004,1,MATCH(COLUMNS($AM$1006:BF1006),$AM$1006:$BM$1006,0)))),"Fix")))</f>
        <v xml:space="preserve"> </v>
      </c>
      <c r="V234" s="4" t="str">
        <f ca="1">IF(OR(INDEX($AG$2:$AG$1001,MATCH(ROWS($AF$2:AF234),$AF$2:$AF$1001,0),1)&gt;=100000,INDEX($AM$1005:$BM$1005,1,MATCH(COLUMNS($AM$1006:BG1006),$AM$1006:$BM$1006,0))&gt;=100000), " ",IF(INDEX($AM$2:$BM$1001,MATCH(ROWS($AF$2:AF234),$AF$2:$AF$1001,0),MATCH(COLUMNS($AM$1006:BG1006),$AM$1006:$BM$1006,0)), HYPERLINK("#",""), HYPERLINK(CONCATENATE("#metadata!", ADDRESS(INDEX($AH$2:$AH$1001,MATCH(ROWS($AF$2:AF234),$AF$2:$AF$1001,0),0), INDEX($AM$1004:$BM$1004,1,MATCH(COLUMNS($AM$1006:BG1006),$AM$1006:$BM$1006,0)))),"Fix")))</f>
        <v xml:space="preserve"> </v>
      </c>
      <c r="W234" s="4" t="str">
        <f ca="1">IF(OR(INDEX($AG$2:$AG$1001,MATCH(ROWS($AF$2:AF234),$AF$2:$AF$1001,0),1)&gt;=100000,INDEX($AM$1005:$BM$1005,1,MATCH(COLUMNS($AM$1006:BH1006),$AM$1006:$BM$1006,0))&gt;=100000), " ",IF(INDEX($AM$2:$BM$1001,MATCH(ROWS($AF$2:AF234),$AF$2:$AF$1001,0),MATCH(COLUMNS($AM$1006:BH1006),$AM$1006:$BM$1006,0)), HYPERLINK("#",""), HYPERLINK(CONCATENATE("#metadata!", ADDRESS(INDEX($AH$2:$AH$1001,MATCH(ROWS($AF$2:AF234),$AF$2:$AF$1001,0),0), INDEX($AM$1004:$BM$1004,1,MATCH(COLUMNS($AM$1006:BH1006),$AM$1006:$BM$1006,0)))),"Fix")))</f>
        <v xml:space="preserve"> </v>
      </c>
      <c r="X234" s="4" t="str">
        <f ca="1">IF(OR(INDEX($AG$2:$AG$1001,MATCH(ROWS($AF$2:AF234),$AF$2:$AF$1001,0),1)&gt;=100000,INDEX($AM$1005:$BM$1005,1,MATCH(COLUMNS($AM$1006:BI1006),$AM$1006:$BM$1006,0))&gt;=100000), " ",IF(INDEX($AM$2:$BM$1001,MATCH(ROWS($AF$2:AF234),$AF$2:$AF$1001,0),MATCH(COLUMNS($AM$1006:BI1006),$AM$1006:$BM$1006,0)), HYPERLINK("#",""), HYPERLINK(CONCATENATE("#metadata!", ADDRESS(INDEX($AH$2:$AH$1001,MATCH(ROWS($AF$2:AF234),$AF$2:$AF$1001,0),0), INDEX($AM$1004:$BM$1004,1,MATCH(COLUMNS($AM$1006:BI1006),$AM$1006:$BM$1006,0)))),"Fix")))</f>
        <v xml:space="preserve"> </v>
      </c>
      <c r="Y234" s="4" t="str">
        <f ca="1">IF(OR(INDEX($AG$2:$AG$1001,MATCH(ROWS($AF$2:AF234),$AF$2:$AF$1001,0),1)&gt;=100000,INDEX($AM$1005:$BM$1005,1,MATCH(COLUMNS($AM$1006:BJ1006),$AM$1006:$BM$1006,0))&gt;=100000), " ",IF(INDEX($AM$2:$BM$1001,MATCH(ROWS($AF$2:AF234),$AF$2:$AF$1001,0),MATCH(COLUMNS($AM$1006:BJ1006),$AM$1006:$BM$1006,0)), HYPERLINK("#",""), HYPERLINK(CONCATENATE("#metadata!", ADDRESS(INDEX($AH$2:$AH$1001,MATCH(ROWS($AF$2:AF234),$AF$2:$AF$1001,0),0), INDEX($AM$1004:$BM$1004,1,MATCH(COLUMNS($AM$1006:BJ1006),$AM$1006:$BM$1006,0)))),"Fix")))</f>
        <v xml:space="preserve"> </v>
      </c>
      <c r="Z234" s="4" t="str">
        <f ca="1">IF(OR(INDEX($AG$2:$AG$1001,MATCH(ROWS($AF$2:AF234),$AF$2:$AF$1001,0),1)&gt;=100000,INDEX($AM$1005:$BM$1005,1,MATCH(COLUMNS($AM$1006:BK1006),$AM$1006:$BM$1006,0))&gt;=100000), " ",IF(INDEX($AM$2:$BM$1001,MATCH(ROWS($AF$2:AF234),$AF$2:$AF$1001,0),MATCH(COLUMNS($AM$1006:BK1006),$AM$1006:$BM$1006,0)), HYPERLINK("#",""), HYPERLINK(CONCATENATE("#metadata!", ADDRESS(INDEX($AH$2:$AH$1001,MATCH(ROWS($AF$2:AF234),$AF$2:$AF$1001,0),0), INDEX($AM$1004:$BM$1004,1,MATCH(COLUMNS($AM$1006:BK1006),$AM$1006:$BM$1006,0)))),"Fix")))</f>
        <v xml:space="preserve"> </v>
      </c>
      <c r="AA234" s="4" t="str">
        <f ca="1">IF(OR(INDEX($AG$2:$AG$1001,MATCH(ROWS($AF$2:AF234),$AF$2:$AF$1001,0),1)&gt;=100000,INDEX($AM$1005:$BM$1005,1,MATCH(COLUMNS($AM$1006:BL1006),$AM$1006:$BM$1006,0))&gt;=100000), " ",IF(INDEX($AM$2:$BM$1001,MATCH(ROWS($AF$2:AF234),$AF$2:$AF$1001,0),MATCH(COLUMNS($AM$1006:BL1006),$AM$1006:$BM$1006,0)), HYPERLINK("#",""), HYPERLINK(CONCATENATE("#metadata!", ADDRESS(INDEX($AH$2:$AH$1001,MATCH(ROWS($AF$2:AF234),$AF$2:$AF$1001,0),0), INDEX($AM$1004:$BM$1004,1,MATCH(COLUMNS($AM$1006:BL1006),$AM$1006:$BM$1006,0)))),"Fix")))</f>
        <v xml:space="preserve"> </v>
      </c>
      <c r="AB234" s="4" t="str">
        <f ca="1">IF(OR(INDEX($AG$2:$AG$1001,MATCH(ROWS($AF$2:AF234),$AF$2:$AF$1001,0),1)&gt;=100000,INDEX($AM$1005:$BM$1005,1,MATCH(COLUMNS($AM$1006:BM1006),$AM$1006:$BM$1006,0))&gt;=100000), " ",IF(INDEX($AM$2:$BM$1001,MATCH(ROWS($AF$2:AF234),$AF$2:$AF$1001,0),MATCH(COLUMNS($AM$1006:BM1006),$AM$1006:$BM$1006,0)), HYPERLINK("#",""), HYPERLINK(CONCATENATE("#metadata!", ADDRESS(INDEX($AH$2:$AH$1001,MATCH(ROWS($AF$2:AF234),$AF$2:$AF$1001,0),0), INDEX($AM$1004:$BM$1004,1,MATCH(COLUMNS($AM$1006:BM1006),$AM$1006:$BM$1006,0)))),"Fix")))</f>
        <v xml:space="preserve"> </v>
      </c>
      <c r="AF234">
        <v>233</v>
      </c>
      <c r="AG234">
        <v>100234</v>
      </c>
      <c r="AH234">
        <v>234</v>
      </c>
      <c r="AI234" t="b">
        <f t="shared" si="3"/>
        <v>1</v>
      </c>
      <c r="AJ234" t="b">
        <f>COUNTBLANK(metadata!B234:AB234)=COLUMNS(metadata!B234:AB234)</f>
        <v>1</v>
      </c>
      <c r="AK234" t="str">
        <v/>
      </c>
      <c r="AM234" t="b">
        <f ca="1">AND(IF(metadata!B234="",FALSE,TRUE),COUNTIF(metadata!B:B, metadata!B234) = 1,NOT(ISERROR(SUMPRODUCT(SEARCH(MID(metadata!B234,ROW(INDIRECT("1:"&amp;LEN(metadata!B234))), 1),"0123456789abcdefghijklmnopqrstuvwxyzABCDEFGHIJKLMNOPQRSTUVWXYZ.")))))</f>
        <v>0</v>
      </c>
      <c r="AN234" t="b">
        <f ca="1">OR(AND(IF(metadata!C234="",FALSE,TRUE),OR(EXACT(metadata!C234,"missing: not collected"),EXACT(metadata!C234,"missing: not provided"),EXACT(metadata!C234,"missing: restricted access"))),AND(IF(metadata!C234="",FALSE,TRUE),AND(AND(IFERROR(INT(LEFT(metadata!C234,4))&gt;1900,FALSE),IFERROR(INT(LEFT(metadata!C234,4))&lt;=YEAR(NOW()),FALSE)), OR(MID(metadata!C234,5,1)="", AND(AND(MID(metadata!C234,5,1)="-",IFERROR(INT(MID(metadata!C234,6,1))&gt;=0,FALSE),IFERROR(INT(MID(metadata!C234,6,1))&lt;=1,FALSE),NOT(MID(metadata!C234,7,1)=""),IFERROR(INT(MID(metadata!C234,6,2))&gt;=1,FALSE),IFERROR(INT(MID(metadata!C234,6,2))&lt;=12,FALSE)), OR(MID(metadata!C234,8,1)="", AND(AND(MID(metadata!C234,8,1)="-",IFERROR(INT(MID(metadata!C234,9,1))&gt;=0,FALSE),IFERROR(INT(MID(metadata!C234,9,1))&lt;=3,FALSE),NOT(MID(metadata!C234,10,1)=""),IFERROR(INT(MID(metadata!C234,9,2))&gt;=1,FALSE),IFERROR(INT(MID(metadata!C234,9,2))&lt;=31,FALSE)), OR(MID(metadata!C234,11,1)="", AND(AND(MID(metadata!C234,11,1)=" ",IFERROR(INT(MID(metadata!C234,12,1))&gt;=0,FALSE),IFERROR(INT(MID(metadata!C234,12,1))&lt;=2,FALSE),NOT(MID(metadata!C234,13,1)=""),IFERROR(INT(MID(metadata!C234,12,2))&gt;=0,FALSE),IFERROR(INT(MID(metadata!C234,12,2))&lt;=23,FALSE)), OR(MID(metadata!C234,14,1)="", AND(AND(MID(metadata!C234,14,1)=":",IFERROR(INT(MID(metadata!C234,15,1))&gt;=0,FALSE),IFERROR(INT(MID(metadata!C234,15,1))&lt;=5,FALSE),NOT(MID(metadata!C234,16,1)=""),IFERROR(INT(MID(metadata!C234,15,2))&gt;=0,FALSE),IFERROR(INT(MID(metadata!C234,15,2))&lt;=59,FALSE)), OR(MID(metadata!C234,17,1)="", AND(AND(MID(metadata!C234,17,1)=":",IFERROR(INT(MID(metadata!C234,18,1))&gt;=0,FALSE),IFERROR(INT(MID(metadata!C234,18,1))&lt;=5,FALSE),NOT(MID(metadata!C234,19,1)=""),IFERROR(INT(MID(metadata!C234,18,2))&gt;=0,FALSE),IFERROR(INT(MID(metadata!C234,18,2))&lt;=59,FALSE)), LEN(metadata!C234)&lt;=19)))))))))))))</f>
        <v>0</v>
      </c>
      <c r="AO234" t="b">
        <f>AND(IF(metadata!D234="",FALSE,TRUE),EXACT(metadata!D234,"Not applicable"))</f>
        <v>0</v>
      </c>
      <c r="AP234" t="b">
        <f>IF(metadata!E234="",FALSE,TRUE)</f>
        <v>0</v>
      </c>
      <c r="AQ234" t="b">
        <f>OR(AND(IF(metadata!F234="",FALSE,TRUE),OR(EXACT(metadata!F234,"missing: not collected"),EXACT(metadata!F234,"missing: not provided"))),AND(IF(metadata!F234="",FALSE,TRUE),OR(EXACT(metadata!F234,"TRUE"),EXACT(metadata!F234,"FALSE"))))</f>
        <v>0</v>
      </c>
      <c r="AR234" t="b">
        <f>OR(AND(IF(metadata!G234="",FALSE,TRUE),OR(EXACT(metadata!G234,"missing: not collected"),EXACT(metadata!G234,"missing: not provided"),EXACT(metadata!G234,"missing: restricted access"))),AND(IF(metadata!G234="",FALSE,ISNUMBER(VALUE(metadata!G234))),metadata!G234&gt;=-413))</f>
        <v>0</v>
      </c>
      <c r="AS234" t="b">
        <f>AND(IF(metadata!H234="",FALSE,TRUE),EXACT(metadata!H234,"meters"))</f>
        <v>0</v>
      </c>
      <c r="AT234" t="b">
        <f>AND(IF(metadata!I234="",FALSE,TRUE),OR(EXACT(metadata!I234,"Host-associated"),EXACT(metadata!I234,"Free-living")))</f>
        <v>0</v>
      </c>
      <c r="AU234" t="b">
        <f>AND(IF(metadata!J234="",FALSE,TRUE),OR(EXACT(metadata!J234,"Animal"),EXACT(metadata!J234,"Fungus"),EXACT(metadata!J234,"Plant"),EXACT(metadata!J234,"Saline"),EXACT(metadata!J234,"Non-saline")))</f>
        <v>0</v>
      </c>
      <c r="AV234" t="b">
        <f>AND(IF(metadata!K234="",FALSE,TRUE),OR(EXACT(metadata!K234,"Plant secretion"),EXACT(metadata!K234,"Plant rhizosphere"),EXACT(metadata!K234,"Plant surface"),EXACT(metadata!K234,"Plant corpus"),EXACT(metadata!K234,"Fungus surface"),EXACT(metadata!K234,"Fungus corpus"),EXACT(metadata!K234,"Animal surface"),EXACT(metadata!K234,"Animal proximal gut"),EXACT(metadata!K234,"Animal corpus"),EXACT(metadata!K234,"Animal distal gut"),EXACT(metadata!K234,"Animal secretion"),EXACT(metadata!K234,"Sub-surface (non-saline)"),EXACT(metadata!K234,"Surface (non-saline)"),EXACT(metadata!K234,"Water (non-saline)"),EXACT(metadata!K234,"Soil (non-saline)"),EXACT(metadata!K234,"Aerosol (non-saline)"),EXACT(metadata!K234,"Sediment (non-saline)"),EXACT(metadata!K234,"Surface (saline)"),EXACT(metadata!K234,"Water (saline)"),EXACT(metadata!K234,"Hypersaline (saline)"),EXACT(metadata!K234,"Aerosol (saline)"),EXACT(metadata!K234,"Sediment (saline)")))</f>
        <v>0</v>
      </c>
      <c r="AW234" t="b">
        <f>IF(metadata!L234="",FALSE,TRUE)</f>
        <v>0</v>
      </c>
      <c r="AX234" t="b">
        <f>IF(metadata!M234="",FALSE,TRUE)</f>
        <v>0</v>
      </c>
      <c r="AY234" t="b">
        <f>IF(metadata!N234="",FALSE,TRUE)</f>
        <v>0</v>
      </c>
      <c r="AZ234" t="b">
        <f>OR(AND(IF(metadata!O234="",FALSE,TRUE),OR(EXACT(metadata!O234,"missing: not collected"),EXACT(metadata!O234,"missing: not provided"),EXACT(metadata!O234,"missing: restricted access"))),AND(IF(metadata!O234="",FALSE,TRUE),OR(EXACT(metadata!O234,"air"),EXACT(metadata!O234,"built environment"),EXACT(metadata!O234,"host-associated"),EXACT(metadata!O234,"human-associated"),EXACT(metadata!O234,"human-skin"),EXACT(metadata!O234,"human-oral"),EXACT(metadata!O234,"human-gut"),EXACT(metadata!O234,"human-vaginal"),EXACT(metadata!O234,"microbial mat/biofilm"),EXACT(metadata!O234,"misc environment"),EXACT(metadata!O234,"plant-associated"),EXACT(metadata!O234,"sediment"),EXACT(metadata!O234,"soil"),EXACT(metadata!O234,"wastewater/sludge"),EXACT(metadata!O234,"water"))))</f>
        <v>0</v>
      </c>
      <c r="BA234" t="b">
        <f>IF(metadata!P234="",FALSE,TRUE)</f>
        <v>0</v>
      </c>
      <c r="BB234" t="b">
        <f>IF(metadata!Q234="",FALSE,TRUE)</f>
        <v>0</v>
      </c>
      <c r="BC234" t="b">
        <f>OR(AND(IF(metadata!R234="",FALSE,TRUE),OR(EXACT(metadata!R234,"missing: not collected"),EXACT(metadata!R234,"missing: not provided"),EXACT(metadata!R234,"missing: restricted access"))),AND(IF(metadata!R234="",FALSE,ISNUMBER(VALUE(metadata!R234))),metadata!R234&gt;=-90,metadata!R234&lt;=90))</f>
        <v>0</v>
      </c>
      <c r="BD234" t="b">
        <f>AND(IF(metadata!S234="",FALSE,TRUE),EXACT(metadata!S234,"Decimal degrees"))</f>
        <v>0</v>
      </c>
      <c r="BE234" t="b">
        <f>OR(AND(IF(metadata!T234="",FALSE,TRUE),OR(EXACT(metadata!T234,"missing: not collected"),EXACT(metadata!T234,"missing: not provided"),EXACT(metadata!T234,"missing: restricted access"))),AND(IF(metadata!T234="",FALSE,ISNUMBER(VALUE(metadata!T234))),metadata!T234&gt;=-180,metadata!T234&lt;=180))</f>
        <v>0</v>
      </c>
      <c r="BF234" t="b">
        <f>AND(IF(metadata!U234="",FALSE,TRUE),EXACT(metadata!U234,"Decimal degrees"))</f>
        <v>0</v>
      </c>
      <c r="BG234" t="b">
        <f>IF(metadata!V234="",FALSE,TRUE)</f>
        <v>0</v>
      </c>
      <c r="BH234" t="b">
        <f>OR(AND(IF(metadata!W234="",FALSE,TRUE),OR(EXACT(metadata!W234,"missing: not collected"),EXACT(metadata!W234,"missing: not provided"),EXACT(metadata!W234,"missing: restricted access"))),AND(IF(metadata!W234="",FALSE,TRUE),OR(EXACT(metadata!W234,"TRUE"),EXACT(metadata!W234,"FALSE"))))</f>
        <v>0</v>
      </c>
      <c r="BI234" t="b">
        <f>AND(IF(metadata!X234="",FALSE,TRUE),EXACT(metadata!X234,"other"))</f>
        <v>0</v>
      </c>
      <c r="BJ234" t="b">
        <f>IF(metadata!Y234="",FALSE,TRUE)</f>
        <v>0</v>
      </c>
      <c r="BK234" t="b">
        <f>OR(AND(IF(metadata!Z234="",FALSE,TRUE),OR(EXACT(metadata!Z234,"missing: not collected"),EXACT(metadata!Z234,"missing: not provided"))),AND(IF(metadata!Z234="",FALSE,IF(ISERROR(INT(metadata!Z234)),FALSE,INT(metadata!Z234)=metadata!Z234)),metadata!Z234&gt;0))</f>
        <v>0</v>
      </c>
      <c r="BL234" t="b">
        <f>AND(IF(metadata!AA234="",FALSE,TRUE),EXACT(metadata!AA234,"Not applicable"))</f>
        <v>0</v>
      </c>
      <c r="BM234" t="b">
        <f>IF(metadata!AB234="",FALSE,TRUE)</f>
        <v>0</v>
      </c>
    </row>
    <row r="235" spans="1:65" x14ac:dyDescent="0.2">
      <c r="A235" s="5" t="str">
        <f ca="1">IF(B235=" "," ",HYPERLINK(CONCATENATE("#metadata!",ADDRESS(INDEX($AH$2:$AH$1001,MATCH(ROWS($AF$2:AF235),$AF$2:$AF$1001,0),0),1)),INDEX($AK$2:$AK$1001,MATCH(ROWS($AF$2:AF235),$AF$2:$AF$1001,0),0)))</f>
        <v xml:space="preserve"> </v>
      </c>
      <c r="B235" s="4" t="str">
        <f ca="1">IF(OR(INDEX($AG$2:$AG$1001,MATCH(ROWS($AF$2:AF235),$AF$2:$AF$1001,0),1)&gt;=100000,INDEX($AM$1005:$BM$1005,1,MATCH(COLUMNS($AM$1006:AM1006),$AM$1006:$BM$1006,0))&gt;=100000), " ",IF(INDEX($AM$2:$BM$1001,MATCH(ROWS($AF$2:AF235),$AF$2:$AF$1001,0),MATCH(COLUMNS($AM$1006:AM1006),$AM$1006:$BM$1006,0)), HYPERLINK("#",""), HYPERLINK(CONCATENATE("#metadata!", ADDRESS(INDEX($AH$2:$AH$1001,MATCH(ROWS($AF$2:AF235),$AF$2:$AF$1001,0),0), INDEX($AM$1004:$BM$1004,1,MATCH(COLUMNS($AM$1006:AM1006),$AM$1006:$BM$1006,0)))),"Fix")))</f>
        <v xml:space="preserve"> </v>
      </c>
      <c r="C235" s="4" t="str">
        <f ca="1">IF(OR(INDEX($AG$2:$AG$1001,MATCH(ROWS($AF$2:AF235),$AF$2:$AF$1001,0),1)&gt;=100000,INDEX($AM$1005:$BM$1005,1,MATCH(COLUMNS($AM$1006:AN1006),$AM$1006:$BM$1006,0))&gt;=100000), " ",IF(INDEX($AM$2:$BM$1001,MATCH(ROWS($AF$2:AF235),$AF$2:$AF$1001,0),MATCH(COLUMNS($AM$1006:AN1006),$AM$1006:$BM$1006,0)), HYPERLINK("#",""), HYPERLINK(CONCATENATE("#metadata!", ADDRESS(INDEX($AH$2:$AH$1001,MATCH(ROWS($AF$2:AF235),$AF$2:$AF$1001,0),0), INDEX($AM$1004:$BM$1004,1,MATCH(COLUMNS($AM$1006:AN1006),$AM$1006:$BM$1006,0)))),"Fix")))</f>
        <v xml:space="preserve"> </v>
      </c>
      <c r="D235" s="4" t="str">
        <f ca="1">IF(OR(INDEX($AG$2:$AG$1001,MATCH(ROWS($AF$2:AF235),$AF$2:$AF$1001,0),1)&gt;=100000,INDEX($AM$1005:$BM$1005,1,MATCH(COLUMNS($AM$1006:AO1006),$AM$1006:$BM$1006,0))&gt;=100000), " ",IF(INDEX($AM$2:$BM$1001,MATCH(ROWS($AF$2:AF235),$AF$2:$AF$1001,0),MATCH(COLUMNS($AM$1006:AO1006),$AM$1006:$BM$1006,0)), HYPERLINK("#",""), HYPERLINK(CONCATENATE("#metadata!", ADDRESS(INDEX($AH$2:$AH$1001,MATCH(ROWS($AF$2:AF235),$AF$2:$AF$1001,0),0), INDEX($AM$1004:$BM$1004,1,MATCH(COLUMNS($AM$1006:AO1006),$AM$1006:$BM$1006,0)))),"Fix")))</f>
        <v xml:space="preserve"> </v>
      </c>
      <c r="E235" s="4" t="str">
        <f ca="1">IF(OR(INDEX($AG$2:$AG$1001,MATCH(ROWS($AF$2:AF235),$AF$2:$AF$1001,0),1)&gt;=100000,INDEX($AM$1005:$BM$1005,1,MATCH(COLUMNS($AM$1006:AP1006),$AM$1006:$BM$1006,0))&gt;=100000), " ",IF(INDEX($AM$2:$BM$1001,MATCH(ROWS($AF$2:AF235),$AF$2:$AF$1001,0),MATCH(COLUMNS($AM$1006:AP1006),$AM$1006:$BM$1006,0)), HYPERLINK("#",""), HYPERLINK(CONCATENATE("#metadata!", ADDRESS(INDEX($AH$2:$AH$1001,MATCH(ROWS($AF$2:AF235),$AF$2:$AF$1001,0),0), INDEX($AM$1004:$BM$1004,1,MATCH(COLUMNS($AM$1006:AP1006),$AM$1006:$BM$1006,0)))),"Fix")))</f>
        <v xml:space="preserve"> </v>
      </c>
      <c r="F235" s="4" t="str">
        <f ca="1">IF(OR(INDEX($AG$2:$AG$1001,MATCH(ROWS($AF$2:AF235),$AF$2:$AF$1001,0),1)&gt;=100000,INDEX($AM$1005:$BM$1005,1,MATCH(COLUMNS($AM$1006:AQ1006),$AM$1006:$BM$1006,0))&gt;=100000), " ",IF(INDEX($AM$2:$BM$1001,MATCH(ROWS($AF$2:AF235),$AF$2:$AF$1001,0),MATCH(COLUMNS($AM$1006:AQ1006),$AM$1006:$BM$1006,0)), HYPERLINK("#",""), HYPERLINK(CONCATENATE("#metadata!", ADDRESS(INDEX($AH$2:$AH$1001,MATCH(ROWS($AF$2:AF235),$AF$2:$AF$1001,0),0), INDEX($AM$1004:$BM$1004,1,MATCH(COLUMNS($AM$1006:AQ1006),$AM$1006:$BM$1006,0)))),"Fix")))</f>
        <v xml:space="preserve"> </v>
      </c>
      <c r="G235" s="4" t="str">
        <f ca="1">IF(OR(INDEX($AG$2:$AG$1001,MATCH(ROWS($AF$2:AF235),$AF$2:$AF$1001,0),1)&gt;=100000,INDEX($AM$1005:$BM$1005,1,MATCH(COLUMNS($AM$1006:AR1006),$AM$1006:$BM$1006,0))&gt;=100000), " ",IF(INDEX($AM$2:$BM$1001,MATCH(ROWS($AF$2:AF235),$AF$2:$AF$1001,0),MATCH(COLUMNS($AM$1006:AR1006),$AM$1006:$BM$1006,0)), HYPERLINK("#",""), HYPERLINK(CONCATENATE("#metadata!", ADDRESS(INDEX($AH$2:$AH$1001,MATCH(ROWS($AF$2:AF235),$AF$2:$AF$1001,0),0), INDEX($AM$1004:$BM$1004,1,MATCH(COLUMNS($AM$1006:AR1006),$AM$1006:$BM$1006,0)))),"Fix")))</f>
        <v xml:space="preserve"> </v>
      </c>
      <c r="H235" s="4" t="str">
        <f ca="1">IF(OR(INDEX($AG$2:$AG$1001,MATCH(ROWS($AF$2:AF235),$AF$2:$AF$1001,0),1)&gt;=100000,INDEX($AM$1005:$BM$1005,1,MATCH(COLUMNS($AM$1006:AS1006),$AM$1006:$BM$1006,0))&gt;=100000), " ",IF(INDEX($AM$2:$BM$1001,MATCH(ROWS($AF$2:AF235),$AF$2:$AF$1001,0),MATCH(COLUMNS($AM$1006:AS1006),$AM$1006:$BM$1006,0)), HYPERLINK("#",""), HYPERLINK(CONCATENATE("#metadata!", ADDRESS(INDEX($AH$2:$AH$1001,MATCH(ROWS($AF$2:AF235),$AF$2:$AF$1001,0),0), INDEX($AM$1004:$BM$1004,1,MATCH(COLUMNS($AM$1006:AS1006),$AM$1006:$BM$1006,0)))),"Fix")))</f>
        <v xml:space="preserve"> </v>
      </c>
      <c r="I235" s="4" t="str">
        <f ca="1">IF(OR(INDEX($AG$2:$AG$1001,MATCH(ROWS($AF$2:AF235),$AF$2:$AF$1001,0),1)&gt;=100000,INDEX($AM$1005:$BM$1005,1,MATCH(COLUMNS($AM$1006:AT1006),$AM$1006:$BM$1006,0))&gt;=100000), " ",IF(INDEX($AM$2:$BM$1001,MATCH(ROWS($AF$2:AF235),$AF$2:$AF$1001,0),MATCH(COLUMNS($AM$1006:AT1006),$AM$1006:$BM$1006,0)), HYPERLINK("#",""), HYPERLINK(CONCATENATE("#metadata!", ADDRESS(INDEX($AH$2:$AH$1001,MATCH(ROWS($AF$2:AF235),$AF$2:$AF$1001,0),0), INDEX($AM$1004:$BM$1004,1,MATCH(COLUMNS($AM$1006:AT1006),$AM$1006:$BM$1006,0)))),"Fix")))</f>
        <v xml:space="preserve"> </v>
      </c>
      <c r="J235" s="4" t="str">
        <f ca="1">IF(OR(INDEX($AG$2:$AG$1001,MATCH(ROWS($AF$2:AF235),$AF$2:$AF$1001,0),1)&gt;=100000,INDEX($AM$1005:$BM$1005,1,MATCH(COLUMNS($AM$1006:AU1006),$AM$1006:$BM$1006,0))&gt;=100000), " ",IF(INDEX($AM$2:$BM$1001,MATCH(ROWS($AF$2:AF235),$AF$2:$AF$1001,0),MATCH(COLUMNS($AM$1006:AU1006),$AM$1006:$BM$1006,0)), HYPERLINK("#",""), HYPERLINK(CONCATENATE("#metadata!", ADDRESS(INDEX($AH$2:$AH$1001,MATCH(ROWS($AF$2:AF235),$AF$2:$AF$1001,0),0), INDEX($AM$1004:$BM$1004,1,MATCH(COLUMNS($AM$1006:AU1006),$AM$1006:$BM$1006,0)))),"Fix")))</f>
        <v xml:space="preserve"> </v>
      </c>
      <c r="K235" s="4" t="str">
        <f ca="1">IF(OR(INDEX($AG$2:$AG$1001,MATCH(ROWS($AF$2:AF235),$AF$2:$AF$1001,0),1)&gt;=100000,INDEX($AM$1005:$BM$1005,1,MATCH(COLUMNS($AM$1006:AV1006),$AM$1006:$BM$1006,0))&gt;=100000), " ",IF(INDEX($AM$2:$BM$1001,MATCH(ROWS($AF$2:AF235),$AF$2:$AF$1001,0),MATCH(COLUMNS($AM$1006:AV1006),$AM$1006:$BM$1006,0)), HYPERLINK("#",""), HYPERLINK(CONCATENATE("#metadata!", ADDRESS(INDEX($AH$2:$AH$1001,MATCH(ROWS($AF$2:AF235),$AF$2:$AF$1001,0),0), INDEX($AM$1004:$BM$1004,1,MATCH(COLUMNS($AM$1006:AV1006),$AM$1006:$BM$1006,0)))),"Fix")))</f>
        <v xml:space="preserve"> </v>
      </c>
      <c r="L235" s="4" t="str">
        <f ca="1">IF(OR(INDEX($AG$2:$AG$1001,MATCH(ROWS($AF$2:AF235),$AF$2:$AF$1001,0),1)&gt;=100000,INDEX($AM$1005:$BM$1005,1,MATCH(COLUMNS($AM$1006:AW1006),$AM$1006:$BM$1006,0))&gt;=100000), " ",IF(INDEX($AM$2:$BM$1001,MATCH(ROWS($AF$2:AF235),$AF$2:$AF$1001,0),MATCH(COLUMNS($AM$1006:AW1006),$AM$1006:$BM$1006,0)), HYPERLINK("#",""), HYPERLINK(CONCATENATE("#metadata!", ADDRESS(INDEX($AH$2:$AH$1001,MATCH(ROWS($AF$2:AF235),$AF$2:$AF$1001,0),0), INDEX($AM$1004:$BM$1004,1,MATCH(COLUMNS($AM$1006:AW1006),$AM$1006:$BM$1006,0)))),"Fix")))</f>
        <v xml:space="preserve"> </v>
      </c>
      <c r="M235" s="4" t="str">
        <f ca="1">IF(OR(INDEX($AG$2:$AG$1001,MATCH(ROWS($AF$2:AF235),$AF$2:$AF$1001,0),1)&gt;=100000,INDEX($AM$1005:$BM$1005,1,MATCH(COLUMNS($AM$1006:AX1006),$AM$1006:$BM$1006,0))&gt;=100000), " ",IF(INDEX($AM$2:$BM$1001,MATCH(ROWS($AF$2:AF235),$AF$2:$AF$1001,0),MATCH(COLUMNS($AM$1006:AX1006),$AM$1006:$BM$1006,0)), HYPERLINK("#",""), HYPERLINK(CONCATENATE("#metadata!", ADDRESS(INDEX($AH$2:$AH$1001,MATCH(ROWS($AF$2:AF235),$AF$2:$AF$1001,0),0), INDEX($AM$1004:$BM$1004,1,MATCH(COLUMNS($AM$1006:AX1006),$AM$1006:$BM$1006,0)))),"Fix")))</f>
        <v xml:space="preserve"> </v>
      </c>
      <c r="N235" s="4" t="str">
        <f ca="1">IF(OR(INDEX($AG$2:$AG$1001,MATCH(ROWS($AF$2:AF235),$AF$2:$AF$1001,0),1)&gt;=100000,INDEX($AM$1005:$BM$1005,1,MATCH(COLUMNS($AM$1006:AY1006),$AM$1006:$BM$1006,0))&gt;=100000), " ",IF(INDEX($AM$2:$BM$1001,MATCH(ROWS($AF$2:AF235),$AF$2:$AF$1001,0),MATCH(COLUMNS($AM$1006:AY1006),$AM$1006:$BM$1006,0)), HYPERLINK("#",""), HYPERLINK(CONCATENATE("#metadata!", ADDRESS(INDEX($AH$2:$AH$1001,MATCH(ROWS($AF$2:AF235),$AF$2:$AF$1001,0),0), INDEX($AM$1004:$BM$1004,1,MATCH(COLUMNS($AM$1006:AY1006),$AM$1006:$BM$1006,0)))),"Fix")))</f>
        <v xml:space="preserve"> </v>
      </c>
      <c r="O235" s="4" t="str">
        <f ca="1">IF(OR(INDEX($AG$2:$AG$1001,MATCH(ROWS($AF$2:AF235),$AF$2:$AF$1001,0),1)&gt;=100000,INDEX($AM$1005:$BM$1005,1,MATCH(COLUMNS($AM$1006:AZ1006),$AM$1006:$BM$1006,0))&gt;=100000), " ",IF(INDEX($AM$2:$BM$1001,MATCH(ROWS($AF$2:AF235),$AF$2:$AF$1001,0),MATCH(COLUMNS($AM$1006:AZ1006),$AM$1006:$BM$1006,0)), HYPERLINK("#",""), HYPERLINK(CONCATENATE("#metadata!", ADDRESS(INDEX($AH$2:$AH$1001,MATCH(ROWS($AF$2:AF235),$AF$2:$AF$1001,0),0), INDEX($AM$1004:$BM$1004,1,MATCH(COLUMNS($AM$1006:AZ1006),$AM$1006:$BM$1006,0)))),"Fix")))</f>
        <v xml:space="preserve"> </v>
      </c>
      <c r="P235" s="4" t="str">
        <f ca="1">IF(OR(INDEX($AG$2:$AG$1001,MATCH(ROWS($AF$2:AF235),$AF$2:$AF$1001,0),1)&gt;=100000,INDEX($AM$1005:$BM$1005,1,MATCH(COLUMNS($AM$1006:BA1006),$AM$1006:$BM$1006,0))&gt;=100000), " ",IF(INDEX($AM$2:$BM$1001,MATCH(ROWS($AF$2:AF235),$AF$2:$AF$1001,0),MATCH(COLUMNS($AM$1006:BA1006),$AM$1006:$BM$1006,0)), HYPERLINK("#",""), HYPERLINK(CONCATENATE("#metadata!", ADDRESS(INDEX($AH$2:$AH$1001,MATCH(ROWS($AF$2:AF235),$AF$2:$AF$1001,0),0), INDEX($AM$1004:$BM$1004,1,MATCH(COLUMNS($AM$1006:BA1006),$AM$1006:$BM$1006,0)))),"Fix")))</f>
        <v xml:space="preserve"> </v>
      </c>
      <c r="Q235" s="4" t="str">
        <f ca="1">IF(OR(INDEX($AG$2:$AG$1001,MATCH(ROWS($AF$2:AF235),$AF$2:$AF$1001,0),1)&gt;=100000,INDEX($AM$1005:$BM$1005,1,MATCH(COLUMNS($AM$1006:BB1006),$AM$1006:$BM$1006,0))&gt;=100000), " ",IF(INDEX($AM$2:$BM$1001,MATCH(ROWS($AF$2:AF235),$AF$2:$AF$1001,0),MATCH(COLUMNS($AM$1006:BB1006),$AM$1006:$BM$1006,0)), HYPERLINK("#",""), HYPERLINK(CONCATENATE("#metadata!", ADDRESS(INDEX($AH$2:$AH$1001,MATCH(ROWS($AF$2:AF235),$AF$2:$AF$1001,0),0), INDEX($AM$1004:$BM$1004,1,MATCH(COLUMNS($AM$1006:BB1006),$AM$1006:$BM$1006,0)))),"Fix")))</f>
        <v xml:space="preserve"> </v>
      </c>
      <c r="R235" s="4" t="str">
        <f ca="1">IF(OR(INDEX($AG$2:$AG$1001,MATCH(ROWS($AF$2:AF235),$AF$2:$AF$1001,0),1)&gt;=100000,INDEX($AM$1005:$BM$1005,1,MATCH(COLUMNS($AM$1006:BC1006),$AM$1006:$BM$1006,0))&gt;=100000), " ",IF(INDEX($AM$2:$BM$1001,MATCH(ROWS($AF$2:AF235),$AF$2:$AF$1001,0),MATCH(COLUMNS($AM$1006:BC1006),$AM$1006:$BM$1006,0)), HYPERLINK("#",""), HYPERLINK(CONCATENATE("#metadata!", ADDRESS(INDEX($AH$2:$AH$1001,MATCH(ROWS($AF$2:AF235),$AF$2:$AF$1001,0),0), INDEX($AM$1004:$BM$1004,1,MATCH(COLUMNS($AM$1006:BC1006),$AM$1006:$BM$1006,0)))),"Fix")))</f>
        <v xml:space="preserve"> </v>
      </c>
      <c r="S235" s="4" t="str">
        <f ca="1">IF(OR(INDEX($AG$2:$AG$1001,MATCH(ROWS($AF$2:AF235),$AF$2:$AF$1001,0),1)&gt;=100000,INDEX($AM$1005:$BM$1005,1,MATCH(COLUMNS($AM$1006:BD1006),$AM$1006:$BM$1006,0))&gt;=100000), " ",IF(INDEX($AM$2:$BM$1001,MATCH(ROWS($AF$2:AF235),$AF$2:$AF$1001,0),MATCH(COLUMNS($AM$1006:BD1006),$AM$1006:$BM$1006,0)), HYPERLINK("#",""), HYPERLINK(CONCATENATE("#metadata!", ADDRESS(INDEX($AH$2:$AH$1001,MATCH(ROWS($AF$2:AF235),$AF$2:$AF$1001,0),0), INDEX($AM$1004:$BM$1004,1,MATCH(COLUMNS($AM$1006:BD1006),$AM$1006:$BM$1006,0)))),"Fix")))</f>
        <v xml:space="preserve"> </v>
      </c>
      <c r="T235" s="4" t="str">
        <f ca="1">IF(OR(INDEX($AG$2:$AG$1001,MATCH(ROWS($AF$2:AF235),$AF$2:$AF$1001,0),1)&gt;=100000,INDEX($AM$1005:$BM$1005,1,MATCH(COLUMNS($AM$1006:BE1006),$AM$1006:$BM$1006,0))&gt;=100000), " ",IF(INDEX($AM$2:$BM$1001,MATCH(ROWS($AF$2:AF235),$AF$2:$AF$1001,0),MATCH(COLUMNS($AM$1006:BE1006),$AM$1006:$BM$1006,0)), HYPERLINK("#",""), HYPERLINK(CONCATENATE("#metadata!", ADDRESS(INDEX($AH$2:$AH$1001,MATCH(ROWS($AF$2:AF235),$AF$2:$AF$1001,0),0), INDEX($AM$1004:$BM$1004,1,MATCH(COLUMNS($AM$1006:BE1006),$AM$1006:$BM$1006,0)))),"Fix")))</f>
        <v xml:space="preserve"> </v>
      </c>
      <c r="U235" s="4" t="str">
        <f ca="1">IF(OR(INDEX($AG$2:$AG$1001,MATCH(ROWS($AF$2:AF235),$AF$2:$AF$1001,0),1)&gt;=100000,INDEX($AM$1005:$BM$1005,1,MATCH(COLUMNS($AM$1006:BF1006),$AM$1006:$BM$1006,0))&gt;=100000), " ",IF(INDEX($AM$2:$BM$1001,MATCH(ROWS($AF$2:AF235),$AF$2:$AF$1001,0),MATCH(COLUMNS($AM$1006:BF1006),$AM$1006:$BM$1006,0)), HYPERLINK("#",""), HYPERLINK(CONCATENATE("#metadata!", ADDRESS(INDEX($AH$2:$AH$1001,MATCH(ROWS($AF$2:AF235),$AF$2:$AF$1001,0),0), INDEX($AM$1004:$BM$1004,1,MATCH(COLUMNS($AM$1006:BF1006),$AM$1006:$BM$1006,0)))),"Fix")))</f>
        <v xml:space="preserve"> </v>
      </c>
      <c r="V235" s="4" t="str">
        <f ca="1">IF(OR(INDEX($AG$2:$AG$1001,MATCH(ROWS($AF$2:AF235),$AF$2:$AF$1001,0),1)&gt;=100000,INDEX($AM$1005:$BM$1005,1,MATCH(COLUMNS($AM$1006:BG1006),$AM$1006:$BM$1006,0))&gt;=100000), " ",IF(INDEX($AM$2:$BM$1001,MATCH(ROWS($AF$2:AF235),$AF$2:$AF$1001,0),MATCH(COLUMNS($AM$1006:BG1006),$AM$1006:$BM$1006,0)), HYPERLINK("#",""), HYPERLINK(CONCATENATE("#metadata!", ADDRESS(INDEX($AH$2:$AH$1001,MATCH(ROWS($AF$2:AF235),$AF$2:$AF$1001,0),0), INDEX($AM$1004:$BM$1004,1,MATCH(COLUMNS($AM$1006:BG1006),$AM$1006:$BM$1006,0)))),"Fix")))</f>
        <v xml:space="preserve"> </v>
      </c>
      <c r="W235" s="4" t="str">
        <f ca="1">IF(OR(INDEX($AG$2:$AG$1001,MATCH(ROWS($AF$2:AF235),$AF$2:$AF$1001,0),1)&gt;=100000,INDEX($AM$1005:$BM$1005,1,MATCH(COLUMNS($AM$1006:BH1006),$AM$1006:$BM$1006,0))&gt;=100000), " ",IF(INDEX($AM$2:$BM$1001,MATCH(ROWS($AF$2:AF235),$AF$2:$AF$1001,0),MATCH(COLUMNS($AM$1006:BH1006),$AM$1006:$BM$1006,0)), HYPERLINK("#",""), HYPERLINK(CONCATENATE("#metadata!", ADDRESS(INDEX($AH$2:$AH$1001,MATCH(ROWS($AF$2:AF235),$AF$2:$AF$1001,0),0), INDEX($AM$1004:$BM$1004,1,MATCH(COLUMNS($AM$1006:BH1006),$AM$1006:$BM$1006,0)))),"Fix")))</f>
        <v xml:space="preserve"> </v>
      </c>
      <c r="X235" s="4" t="str">
        <f ca="1">IF(OR(INDEX($AG$2:$AG$1001,MATCH(ROWS($AF$2:AF235),$AF$2:$AF$1001,0),1)&gt;=100000,INDEX($AM$1005:$BM$1005,1,MATCH(COLUMNS($AM$1006:BI1006),$AM$1006:$BM$1006,0))&gt;=100000), " ",IF(INDEX($AM$2:$BM$1001,MATCH(ROWS($AF$2:AF235),$AF$2:$AF$1001,0),MATCH(COLUMNS($AM$1006:BI1006),$AM$1006:$BM$1006,0)), HYPERLINK("#",""), HYPERLINK(CONCATENATE("#metadata!", ADDRESS(INDEX($AH$2:$AH$1001,MATCH(ROWS($AF$2:AF235),$AF$2:$AF$1001,0),0), INDEX($AM$1004:$BM$1004,1,MATCH(COLUMNS($AM$1006:BI1006),$AM$1006:$BM$1006,0)))),"Fix")))</f>
        <v xml:space="preserve"> </v>
      </c>
      <c r="Y235" s="4" t="str">
        <f ca="1">IF(OR(INDEX($AG$2:$AG$1001,MATCH(ROWS($AF$2:AF235),$AF$2:$AF$1001,0),1)&gt;=100000,INDEX($AM$1005:$BM$1005,1,MATCH(COLUMNS($AM$1006:BJ1006),$AM$1006:$BM$1006,0))&gt;=100000), " ",IF(INDEX($AM$2:$BM$1001,MATCH(ROWS($AF$2:AF235),$AF$2:$AF$1001,0),MATCH(COLUMNS($AM$1006:BJ1006),$AM$1006:$BM$1006,0)), HYPERLINK("#",""), HYPERLINK(CONCATENATE("#metadata!", ADDRESS(INDEX($AH$2:$AH$1001,MATCH(ROWS($AF$2:AF235),$AF$2:$AF$1001,0),0), INDEX($AM$1004:$BM$1004,1,MATCH(COLUMNS($AM$1006:BJ1006),$AM$1006:$BM$1006,0)))),"Fix")))</f>
        <v xml:space="preserve"> </v>
      </c>
      <c r="Z235" s="4" t="str">
        <f ca="1">IF(OR(INDEX($AG$2:$AG$1001,MATCH(ROWS($AF$2:AF235),$AF$2:$AF$1001,0),1)&gt;=100000,INDEX($AM$1005:$BM$1005,1,MATCH(COLUMNS($AM$1006:BK1006),$AM$1006:$BM$1006,0))&gt;=100000), " ",IF(INDEX($AM$2:$BM$1001,MATCH(ROWS($AF$2:AF235),$AF$2:$AF$1001,0),MATCH(COLUMNS($AM$1006:BK1006),$AM$1006:$BM$1006,0)), HYPERLINK("#",""), HYPERLINK(CONCATENATE("#metadata!", ADDRESS(INDEX($AH$2:$AH$1001,MATCH(ROWS($AF$2:AF235),$AF$2:$AF$1001,0),0), INDEX($AM$1004:$BM$1004,1,MATCH(COLUMNS($AM$1006:BK1006),$AM$1006:$BM$1006,0)))),"Fix")))</f>
        <v xml:space="preserve"> </v>
      </c>
      <c r="AA235" s="4" t="str">
        <f ca="1">IF(OR(INDEX($AG$2:$AG$1001,MATCH(ROWS($AF$2:AF235),$AF$2:$AF$1001,0),1)&gt;=100000,INDEX($AM$1005:$BM$1005,1,MATCH(COLUMNS($AM$1006:BL1006),$AM$1006:$BM$1006,0))&gt;=100000), " ",IF(INDEX($AM$2:$BM$1001,MATCH(ROWS($AF$2:AF235),$AF$2:$AF$1001,0),MATCH(COLUMNS($AM$1006:BL1006),$AM$1006:$BM$1006,0)), HYPERLINK("#",""), HYPERLINK(CONCATENATE("#metadata!", ADDRESS(INDEX($AH$2:$AH$1001,MATCH(ROWS($AF$2:AF235),$AF$2:$AF$1001,0),0), INDEX($AM$1004:$BM$1004,1,MATCH(COLUMNS($AM$1006:BL1006),$AM$1006:$BM$1006,0)))),"Fix")))</f>
        <v xml:space="preserve"> </v>
      </c>
      <c r="AB235" s="4" t="str">
        <f ca="1">IF(OR(INDEX($AG$2:$AG$1001,MATCH(ROWS($AF$2:AF235),$AF$2:$AF$1001,0),1)&gt;=100000,INDEX($AM$1005:$BM$1005,1,MATCH(COLUMNS($AM$1006:BM1006),$AM$1006:$BM$1006,0))&gt;=100000), " ",IF(INDEX($AM$2:$BM$1001,MATCH(ROWS($AF$2:AF235),$AF$2:$AF$1001,0),MATCH(COLUMNS($AM$1006:BM1006),$AM$1006:$BM$1006,0)), HYPERLINK("#",""), HYPERLINK(CONCATENATE("#metadata!", ADDRESS(INDEX($AH$2:$AH$1001,MATCH(ROWS($AF$2:AF235),$AF$2:$AF$1001,0),0), INDEX($AM$1004:$BM$1004,1,MATCH(COLUMNS($AM$1006:BM1006),$AM$1006:$BM$1006,0)))),"Fix")))</f>
        <v xml:space="preserve"> </v>
      </c>
      <c r="AF235">
        <v>234</v>
      </c>
      <c r="AG235">
        <v>100235</v>
      </c>
      <c r="AH235">
        <v>235</v>
      </c>
      <c r="AI235" t="b">
        <f t="shared" si="3"/>
        <v>1</v>
      </c>
      <c r="AJ235" t="b">
        <f>COUNTBLANK(metadata!B235:AB235)=COLUMNS(metadata!B235:AB235)</f>
        <v>1</v>
      </c>
      <c r="AK235" t="str">
        <v/>
      </c>
      <c r="AM235" t="b">
        <f ca="1">AND(IF(metadata!B235="",FALSE,TRUE),COUNTIF(metadata!B:B, metadata!B235) = 1,NOT(ISERROR(SUMPRODUCT(SEARCH(MID(metadata!B235,ROW(INDIRECT("1:"&amp;LEN(metadata!B235))), 1),"0123456789abcdefghijklmnopqrstuvwxyzABCDEFGHIJKLMNOPQRSTUVWXYZ.")))))</f>
        <v>0</v>
      </c>
      <c r="AN235" t="b">
        <f ca="1">OR(AND(IF(metadata!C235="",FALSE,TRUE),OR(EXACT(metadata!C235,"missing: not collected"),EXACT(metadata!C235,"missing: not provided"),EXACT(metadata!C235,"missing: restricted access"))),AND(IF(metadata!C235="",FALSE,TRUE),AND(AND(IFERROR(INT(LEFT(metadata!C235,4))&gt;1900,FALSE),IFERROR(INT(LEFT(metadata!C235,4))&lt;=YEAR(NOW()),FALSE)), OR(MID(metadata!C235,5,1)="", AND(AND(MID(metadata!C235,5,1)="-",IFERROR(INT(MID(metadata!C235,6,1))&gt;=0,FALSE),IFERROR(INT(MID(metadata!C235,6,1))&lt;=1,FALSE),NOT(MID(metadata!C235,7,1)=""),IFERROR(INT(MID(metadata!C235,6,2))&gt;=1,FALSE),IFERROR(INT(MID(metadata!C235,6,2))&lt;=12,FALSE)), OR(MID(metadata!C235,8,1)="", AND(AND(MID(metadata!C235,8,1)="-",IFERROR(INT(MID(metadata!C235,9,1))&gt;=0,FALSE),IFERROR(INT(MID(metadata!C235,9,1))&lt;=3,FALSE),NOT(MID(metadata!C235,10,1)=""),IFERROR(INT(MID(metadata!C235,9,2))&gt;=1,FALSE),IFERROR(INT(MID(metadata!C235,9,2))&lt;=31,FALSE)), OR(MID(metadata!C235,11,1)="", AND(AND(MID(metadata!C235,11,1)=" ",IFERROR(INT(MID(metadata!C235,12,1))&gt;=0,FALSE),IFERROR(INT(MID(metadata!C235,12,1))&lt;=2,FALSE),NOT(MID(metadata!C235,13,1)=""),IFERROR(INT(MID(metadata!C235,12,2))&gt;=0,FALSE),IFERROR(INT(MID(metadata!C235,12,2))&lt;=23,FALSE)), OR(MID(metadata!C235,14,1)="", AND(AND(MID(metadata!C235,14,1)=":",IFERROR(INT(MID(metadata!C235,15,1))&gt;=0,FALSE),IFERROR(INT(MID(metadata!C235,15,1))&lt;=5,FALSE),NOT(MID(metadata!C235,16,1)=""),IFERROR(INT(MID(metadata!C235,15,2))&gt;=0,FALSE),IFERROR(INT(MID(metadata!C235,15,2))&lt;=59,FALSE)), OR(MID(metadata!C235,17,1)="", AND(AND(MID(metadata!C235,17,1)=":",IFERROR(INT(MID(metadata!C235,18,1))&gt;=0,FALSE),IFERROR(INT(MID(metadata!C235,18,1))&lt;=5,FALSE),NOT(MID(metadata!C235,19,1)=""),IFERROR(INT(MID(metadata!C235,18,2))&gt;=0,FALSE),IFERROR(INT(MID(metadata!C235,18,2))&lt;=59,FALSE)), LEN(metadata!C235)&lt;=19)))))))))))))</f>
        <v>0</v>
      </c>
      <c r="AO235" t="b">
        <f>AND(IF(metadata!D235="",FALSE,TRUE),EXACT(metadata!D235,"Not applicable"))</f>
        <v>0</v>
      </c>
      <c r="AP235" t="b">
        <f>IF(metadata!E235="",FALSE,TRUE)</f>
        <v>0</v>
      </c>
      <c r="AQ235" t="b">
        <f>OR(AND(IF(metadata!F235="",FALSE,TRUE),OR(EXACT(metadata!F235,"missing: not collected"),EXACT(metadata!F235,"missing: not provided"))),AND(IF(metadata!F235="",FALSE,TRUE),OR(EXACT(metadata!F235,"TRUE"),EXACT(metadata!F235,"FALSE"))))</f>
        <v>0</v>
      </c>
      <c r="AR235" t="b">
        <f>OR(AND(IF(metadata!G235="",FALSE,TRUE),OR(EXACT(metadata!G235,"missing: not collected"),EXACT(metadata!G235,"missing: not provided"),EXACT(metadata!G235,"missing: restricted access"))),AND(IF(metadata!G235="",FALSE,ISNUMBER(VALUE(metadata!G235))),metadata!G235&gt;=-413))</f>
        <v>0</v>
      </c>
      <c r="AS235" t="b">
        <f>AND(IF(metadata!H235="",FALSE,TRUE),EXACT(metadata!H235,"meters"))</f>
        <v>0</v>
      </c>
      <c r="AT235" t="b">
        <f>AND(IF(metadata!I235="",FALSE,TRUE),OR(EXACT(metadata!I235,"Host-associated"),EXACT(metadata!I235,"Free-living")))</f>
        <v>0</v>
      </c>
      <c r="AU235" t="b">
        <f>AND(IF(metadata!J235="",FALSE,TRUE),OR(EXACT(metadata!J235,"Animal"),EXACT(metadata!J235,"Fungus"),EXACT(metadata!J235,"Plant"),EXACT(metadata!J235,"Saline"),EXACT(metadata!J235,"Non-saline")))</f>
        <v>0</v>
      </c>
      <c r="AV235" t="b">
        <f>AND(IF(metadata!K235="",FALSE,TRUE),OR(EXACT(metadata!K235,"Plant secretion"),EXACT(metadata!K235,"Plant rhizosphere"),EXACT(metadata!K235,"Plant surface"),EXACT(metadata!K235,"Plant corpus"),EXACT(metadata!K235,"Fungus surface"),EXACT(metadata!K235,"Fungus corpus"),EXACT(metadata!K235,"Animal surface"),EXACT(metadata!K235,"Animal proximal gut"),EXACT(metadata!K235,"Animal corpus"),EXACT(metadata!K235,"Animal distal gut"),EXACT(metadata!K235,"Animal secretion"),EXACT(metadata!K235,"Sub-surface (non-saline)"),EXACT(metadata!K235,"Surface (non-saline)"),EXACT(metadata!K235,"Water (non-saline)"),EXACT(metadata!K235,"Soil (non-saline)"),EXACT(metadata!K235,"Aerosol (non-saline)"),EXACT(metadata!K235,"Sediment (non-saline)"),EXACT(metadata!K235,"Surface (saline)"),EXACT(metadata!K235,"Water (saline)"),EXACT(metadata!K235,"Hypersaline (saline)"),EXACT(metadata!K235,"Aerosol (saline)"),EXACT(metadata!K235,"Sediment (saline)")))</f>
        <v>0</v>
      </c>
      <c r="AW235" t="b">
        <f>IF(metadata!L235="",FALSE,TRUE)</f>
        <v>0</v>
      </c>
      <c r="AX235" t="b">
        <f>IF(metadata!M235="",FALSE,TRUE)</f>
        <v>0</v>
      </c>
      <c r="AY235" t="b">
        <f>IF(metadata!N235="",FALSE,TRUE)</f>
        <v>0</v>
      </c>
      <c r="AZ235" t="b">
        <f>OR(AND(IF(metadata!O235="",FALSE,TRUE),OR(EXACT(metadata!O235,"missing: not collected"),EXACT(metadata!O235,"missing: not provided"),EXACT(metadata!O235,"missing: restricted access"))),AND(IF(metadata!O235="",FALSE,TRUE),OR(EXACT(metadata!O235,"air"),EXACT(metadata!O235,"built environment"),EXACT(metadata!O235,"host-associated"),EXACT(metadata!O235,"human-associated"),EXACT(metadata!O235,"human-skin"),EXACT(metadata!O235,"human-oral"),EXACT(metadata!O235,"human-gut"),EXACT(metadata!O235,"human-vaginal"),EXACT(metadata!O235,"microbial mat/biofilm"),EXACT(metadata!O235,"misc environment"),EXACT(metadata!O235,"plant-associated"),EXACT(metadata!O235,"sediment"),EXACT(metadata!O235,"soil"),EXACT(metadata!O235,"wastewater/sludge"),EXACT(metadata!O235,"water"))))</f>
        <v>0</v>
      </c>
      <c r="BA235" t="b">
        <f>IF(metadata!P235="",FALSE,TRUE)</f>
        <v>0</v>
      </c>
      <c r="BB235" t="b">
        <f>IF(metadata!Q235="",FALSE,TRUE)</f>
        <v>0</v>
      </c>
      <c r="BC235" t="b">
        <f>OR(AND(IF(metadata!R235="",FALSE,TRUE),OR(EXACT(metadata!R235,"missing: not collected"),EXACT(metadata!R235,"missing: not provided"),EXACT(metadata!R235,"missing: restricted access"))),AND(IF(metadata!R235="",FALSE,ISNUMBER(VALUE(metadata!R235))),metadata!R235&gt;=-90,metadata!R235&lt;=90))</f>
        <v>0</v>
      </c>
      <c r="BD235" t="b">
        <f>AND(IF(metadata!S235="",FALSE,TRUE),EXACT(metadata!S235,"Decimal degrees"))</f>
        <v>0</v>
      </c>
      <c r="BE235" t="b">
        <f>OR(AND(IF(metadata!T235="",FALSE,TRUE),OR(EXACT(metadata!T235,"missing: not collected"),EXACT(metadata!T235,"missing: not provided"),EXACT(metadata!T235,"missing: restricted access"))),AND(IF(metadata!T235="",FALSE,ISNUMBER(VALUE(metadata!T235))),metadata!T235&gt;=-180,metadata!T235&lt;=180))</f>
        <v>0</v>
      </c>
      <c r="BF235" t="b">
        <f>AND(IF(metadata!U235="",FALSE,TRUE),EXACT(metadata!U235,"Decimal degrees"))</f>
        <v>0</v>
      </c>
      <c r="BG235" t="b">
        <f>IF(metadata!V235="",FALSE,TRUE)</f>
        <v>0</v>
      </c>
      <c r="BH235" t="b">
        <f>OR(AND(IF(metadata!W235="",FALSE,TRUE),OR(EXACT(metadata!W235,"missing: not collected"),EXACT(metadata!W235,"missing: not provided"),EXACT(metadata!W235,"missing: restricted access"))),AND(IF(metadata!W235="",FALSE,TRUE),OR(EXACT(metadata!W235,"TRUE"),EXACT(metadata!W235,"FALSE"))))</f>
        <v>0</v>
      </c>
      <c r="BI235" t="b">
        <f>AND(IF(metadata!X235="",FALSE,TRUE),EXACT(metadata!X235,"other"))</f>
        <v>0</v>
      </c>
      <c r="BJ235" t="b">
        <f>IF(metadata!Y235="",FALSE,TRUE)</f>
        <v>0</v>
      </c>
      <c r="BK235" t="b">
        <f>OR(AND(IF(metadata!Z235="",FALSE,TRUE),OR(EXACT(metadata!Z235,"missing: not collected"),EXACT(metadata!Z235,"missing: not provided"))),AND(IF(metadata!Z235="",FALSE,IF(ISERROR(INT(metadata!Z235)),FALSE,INT(metadata!Z235)=metadata!Z235)),metadata!Z235&gt;0))</f>
        <v>0</v>
      </c>
      <c r="BL235" t="b">
        <f>AND(IF(metadata!AA235="",FALSE,TRUE),EXACT(metadata!AA235,"Not applicable"))</f>
        <v>0</v>
      </c>
      <c r="BM235" t="b">
        <f>IF(metadata!AB235="",FALSE,TRUE)</f>
        <v>0</v>
      </c>
    </row>
    <row r="236" spans="1:65" x14ac:dyDescent="0.2">
      <c r="A236" s="5" t="str">
        <f ca="1">IF(B236=" "," ",HYPERLINK(CONCATENATE("#metadata!",ADDRESS(INDEX($AH$2:$AH$1001,MATCH(ROWS($AF$2:AF236),$AF$2:$AF$1001,0),0),1)),INDEX($AK$2:$AK$1001,MATCH(ROWS($AF$2:AF236),$AF$2:$AF$1001,0),0)))</f>
        <v xml:space="preserve"> </v>
      </c>
      <c r="B236" s="4" t="str">
        <f ca="1">IF(OR(INDEX($AG$2:$AG$1001,MATCH(ROWS($AF$2:AF236),$AF$2:$AF$1001,0),1)&gt;=100000,INDEX($AM$1005:$BM$1005,1,MATCH(COLUMNS($AM$1006:AM1006),$AM$1006:$BM$1006,0))&gt;=100000), " ",IF(INDEX($AM$2:$BM$1001,MATCH(ROWS($AF$2:AF236),$AF$2:$AF$1001,0),MATCH(COLUMNS($AM$1006:AM1006),$AM$1006:$BM$1006,0)), HYPERLINK("#",""), HYPERLINK(CONCATENATE("#metadata!", ADDRESS(INDEX($AH$2:$AH$1001,MATCH(ROWS($AF$2:AF236),$AF$2:$AF$1001,0),0), INDEX($AM$1004:$BM$1004,1,MATCH(COLUMNS($AM$1006:AM1006),$AM$1006:$BM$1006,0)))),"Fix")))</f>
        <v xml:space="preserve"> </v>
      </c>
      <c r="C236" s="4" t="str">
        <f ca="1">IF(OR(INDEX($AG$2:$AG$1001,MATCH(ROWS($AF$2:AF236),$AF$2:$AF$1001,0),1)&gt;=100000,INDEX($AM$1005:$BM$1005,1,MATCH(COLUMNS($AM$1006:AN1006),$AM$1006:$BM$1006,0))&gt;=100000), " ",IF(INDEX($AM$2:$BM$1001,MATCH(ROWS($AF$2:AF236),$AF$2:$AF$1001,0),MATCH(COLUMNS($AM$1006:AN1006),$AM$1006:$BM$1006,0)), HYPERLINK("#",""), HYPERLINK(CONCATENATE("#metadata!", ADDRESS(INDEX($AH$2:$AH$1001,MATCH(ROWS($AF$2:AF236),$AF$2:$AF$1001,0),0), INDEX($AM$1004:$BM$1004,1,MATCH(COLUMNS($AM$1006:AN1006),$AM$1006:$BM$1006,0)))),"Fix")))</f>
        <v xml:space="preserve"> </v>
      </c>
      <c r="D236" s="4" t="str">
        <f ca="1">IF(OR(INDEX($AG$2:$AG$1001,MATCH(ROWS($AF$2:AF236),$AF$2:$AF$1001,0),1)&gt;=100000,INDEX($AM$1005:$BM$1005,1,MATCH(COLUMNS($AM$1006:AO1006),$AM$1006:$BM$1006,0))&gt;=100000), " ",IF(INDEX($AM$2:$BM$1001,MATCH(ROWS($AF$2:AF236),$AF$2:$AF$1001,0),MATCH(COLUMNS($AM$1006:AO1006),$AM$1006:$BM$1006,0)), HYPERLINK("#",""), HYPERLINK(CONCATENATE("#metadata!", ADDRESS(INDEX($AH$2:$AH$1001,MATCH(ROWS($AF$2:AF236),$AF$2:$AF$1001,0),0), INDEX($AM$1004:$BM$1004,1,MATCH(COLUMNS($AM$1006:AO1006),$AM$1006:$BM$1006,0)))),"Fix")))</f>
        <v xml:space="preserve"> </v>
      </c>
      <c r="E236" s="4" t="str">
        <f ca="1">IF(OR(INDEX($AG$2:$AG$1001,MATCH(ROWS($AF$2:AF236),$AF$2:$AF$1001,0),1)&gt;=100000,INDEX($AM$1005:$BM$1005,1,MATCH(COLUMNS($AM$1006:AP1006),$AM$1006:$BM$1006,0))&gt;=100000), " ",IF(INDEX($AM$2:$BM$1001,MATCH(ROWS($AF$2:AF236),$AF$2:$AF$1001,0),MATCH(COLUMNS($AM$1006:AP1006),$AM$1006:$BM$1006,0)), HYPERLINK("#",""), HYPERLINK(CONCATENATE("#metadata!", ADDRESS(INDEX($AH$2:$AH$1001,MATCH(ROWS($AF$2:AF236),$AF$2:$AF$1001,0),0), INDEX($AM$1004:$BM$1004,1,MATCH(COLUMNS($AM$1006:AP1006),$AM$1006:$BM$1006,0)))),"Fix")))</f>
        <v xml:space="preserve"> </v>
      </c>
      <c r="F236" s="4" t="str">
        <f ca="1">IF(OR(INDEX($AG$2:$AG$1001,MATCH(ROWS($AF$2:AF236),$AF$2:$AF$1001,0),1)&gt;=100000,INDEX($AM$1005:$BM$1005,1,MATCH(COLUMNS($AM$1006:AQ1006),$AM$1006:$BM$1006,0))&gt;=100000), " ",IF(INDEX($AM$2:$BM$1001,MATCH(ROWS($AF$2:AF236),$AF$2:$AF$1001,0),MATCH(COLUMNS($AM$1006:AQ1006),$AM$1006:$BM$1006,0)), HYPERLINK("#",""), HYPERLINK(CONCATENATE("#metadata!", ADDRESS(INDEX($AH$2:$AH$1001,MATCH(ROWS($AF$2:AF236),$AF$2:$AF$1001,0),0), INDEX($AM$1004:$BM$1004,1,MATCH(COLUMNS($AM$1006:AQ1006),$AM$1006:$BM$1006,0)))),"Fix")))</f>
        <v xml:space="preserve"> </v>
      </c>
      <c r="G236" s="4" t="str">
        <f ca="1">IF(OR(INDEX($AG$2:$AG$1001,MATCH(ROWS($AF$2:AF236),$AF$2:$AF$1001,0),1)&gt;=100000,INDEX($AM$1005:$BM$1005,1,MATCH(COLUMNS($AM$1006:AR1006),$AM$1006:$BM$1006,0))&gt;=100000), " ",IF(INDEX($AM$2:$BM$1001,MATCH(ROWS($AF$2:AF236),$AF$2:$AF$1001,0),MATCH(COLUMNS($AM$1006:AR1006),$AM$1006:$BM$1006,0)), HYPERLINK("#",""), HYPERLINK(CONCATENATE("#metadata!", ADDRESS(INDEX($AH$2:$AH$1001,MATCH(ROWS($AF$2:AF236),$AF$2:$AF$1001,0),0), INDEX($AM$1004:$BM$1004,1,MATCH(COLUMNS($AM$1006:AR1006),$AM$1006:$BM$1006,0)))),"Fix")))</f>
        <v xml:space="preserve"> </v>
      </c>
      <c r="H236" s="4" t="str">
        <f ca="1">IF(OR(INDEX($AG$2:$AG$1001,MATCH(ROWS($AF$2:AF236),$AF$2:$AF$1001,0),1)&gt;=100000,INDEX($AM$1005:$BM$1005,1,MATCH(COLUMNS($AM$1006:AS1006),$AM$1006:$BM$1006,0))&gt;=100000), " ",IF(INDEX($AM$2:$BM$1001,MATCH(ROWS($AF$2:AF236),$AF$2:$AF$1001,0),MATCH(COLUMNS($AM$1006:AS1006),$AM$1006:$BM$1006,0)), HYPERLINK("#",""), HYPERLINK(CONCATENATE("#metadata!", ADDRESS(INDEX($AH$2:$AH$1001,MATCH(ROWS($AF$2:AF236),$AF$2:$AF$1001,0),0), INDEX($AM$1004:$BM$1004,1,MATCH(COLUMNS($AM$1006:AS1006),$AM$1006:$BM$1006,0)))),"Fix")))</f>
        <v xml:space="preserve"> </v>
      </c>
      <c r="I236" s="4" t="str">
        <f ca="1">IF(OR(INDEX($AG$2:$AG$1001,MATCH(ROWS($AF$2:AF236),$AF$2:$AF$1001,0),1)&gt;=100000,INDEX($AM$1005:$BM$1005,1,MATCH(COLUMNS($AM$1006:AT1006),$AM$1006:$BM$1006,0))&gt;=100000), " ",IF(INDEX($AM$2:$BM$1001,MATCH(ROWS($AF$2:AF236),$AF$2:$AF$1001,0),MATCH(COLUMNS($AM$1006:AT1006),$AM$1006:$BM$1006,0)), HYPERLINK("#",""), HYPERLINK(CONCATENATE("#metadata!", ADDRESS(INDEX($AH$2:$AH$1001,MATCH(ROWS($AF$2:AF236),$AF$2:$AF$1001,0),0), INDEX($AM$1004:$BM$1004,1,MATCH(COLUMNS($AM$1006:AT1006),$AM$1006:$BM$1006,0)))),"Fix")))</f>
        <v xml:space="preserve"> </v>
      </c>
      <c r="J236" s="4" t="str">
        <f ca="1">IF(OR(INDEX($AG$2:$AG$1001,MATCH(ROWS($AF$2:AF236),$AF$2:$AF$1001,0),1)&gt;=100000,INDEX($AM$1005:$BM$1005,1,MATCH(COLUMNS($AM$1006:AU1006),$AM$1006:$BM$1006,0))&gt;=100000), " ",IF(INDEX($AM$2:$BM$1001,MATCH(ROWS($AF$2:AF236),$AF$2:$AF$1001,0),MATCH(COLUMNS($AM$1006:AU1006),$AM$1006:$BM$1006,0)), HYPERLINK("#",""), HYPERLINK(CONCATENATE("#metadata!", ADDRESS(INDEX($AH$2:$AH$1001,MATCH(ROWS($AF$2:AF236),$AF$2:$AF$1001,0),0), INDEX($AM$1004:$BM$1004,1,MATCH(COLUMNS($AM$1006:AU1006),$AM$1006:$BM$1006,0)))),"Fix")))</f>
        <v xml:space="preserve"> </v>
      </c>
      <c r="K236" s="4" t="str">
        <f ca="1">IF(OR(INDEX($AG$2:$AG$1001,MATCH(ROWS($AF$2:AF236),$AF$2:$AF$1001,0),1)&gt;=100000,INDEX($AM$1005:$BM$1005,1,MATCH(COLUMNS($AM$1006:AV1006),$AM$1006:$BM$1006,0))&gt;=100000), " ",IF(INDEX($AM$2:$BM$1001,MATCH(ROWS($AF$2:AF236),$AF$2:$AF$1001,0),MATCH(COLUMNS($AM$1006:AV1006),$AM$1006:$BM$1006,0)), HYPERLINK("#",""), HYPERLINK(CONCATENATE("#metadata!", ADDRESS(INDEX($AH$2:$AH$1001,MATCH(ROWS($AF$2:AF236),$AF$2:$AF$1001,0),0), INDEX($AM$1004:$BM$1004,1,MATCH(COLUMNS($AM$1006:AV1006),$AM$1006:$BM$1006,0)))),"Fix")))</f>
        <v xml:space="preserve"> </v>
      </c>
      <c r="L236" s="4" t="str">
        <f ca="1">IF(OR(INDEX($AG$2:$AG$1001,MATCH(ROWS($AF$2:AF236),$AF$2:$AF$1001,0),1)&gt;=100000,INDEX($AM$1005:$BM$1005,1,MATCH(COLUMNS($AM$1006:AW1006),$AM$1006:$BM$1006,0))&gt;=100000), " ",IF(INDEX($AM$2:$BM$1001,MATCH(ROWS($AF$2:AF236),$AF$2:$AF$1001,0),MATCH(COLUMNS($AM$1006:AW1006),$AM$1006:$BM$1006,0)), HYPERLINK("#",""), HYPERLINK(CONCATENATE("#metadata!", ADDRESS(INDEX($AH$2:$AH$1001,MATCH(ROWS($AF$2:AF236),$AF$2:$AF$1001,0),0), INDEX($AM$1004:$BM$1004,1,MATCH(COLUMNS($AM$1006:AW1006),$AM$1006:$BM$1006,0)))),"Fix")))</f>
        <v xml:space="preserve"> </v>
      </c>
      <c r="M236" s="4" t="str">
        <f ca="1">IF(OR(INDEX($AG$2:$AG$1001,MATCH(ROWS($AF$2:AF236),$AF$2:$AF$1001,0),1)&gt;=100000,INDEX($AM$1005:$BM$1005,1,MATCH(COLUMNS($AM$1006:AX1006),$AM$1006:$BM$1006,0))&gt;=100000), " ",IF(INDEX($AM$2:$BM$1001,MATCH(ROWS($AF$2:AF236),$AF$2:$AF$1001,0),MATCH(COLUMNS($AM$1006:AX1006),$AM$1006:$BM$1006,0)), HYPERLINK("#",""), HYPERLINK(CONCATENATE("#metadata!", ADDRESS(INDEX($AH$2:$AH$1001,MATCH(ROWS($AF$2:AF236),$AF$2:$AF$1001,0),0), INDEX($AM$1004:$BM$1004,1,MATCH(COLUMNS($AM$1006:AX1006),$AM$1006:$BM$1006,0)))),"Fix")))</f>
        <v xml:space="preserve"> </v>
      </c>
      <c r="N236" s="4" t="str">
        <f ca="1">IF(OR(INDEX($AG$2:$AG$1001,MATCH(ROWS($AF$2:AF236),$AF$2:$AF$1001,0),1)&gt;=100000,INDEX($AM$1005:$BM$1005,1,MATCH(COLUMNS($AM$1006:AY1006),$AM$1006:$BM$1006,0))&gt;=100000), " ",IF(INDEX($AM$2:$BM$1001,MATCH(ROWS($AF$2:AF236),$AF$2:$AF$1001,0),MATCH(COLUMNS($AM$1006:AY1006),$AM$1006:$BM$1006,0)), HYPERLINK("#",""), HYPERLINK(CONCATENATE("#metadata!", ADDRESS(INDEX($AH$2:$AH$1001,MATCH(ROWS($AF$2:AF236),$AF$2:$AF$1001,0),0), INDEX($AM$1004:$BM$1004,1,MATCH(COLUMNS($AM$1006:AY1006),$AM$1006:$BM$1006,0)))),"Fix")))</f>
        <v xml:space="preserve"> </v>
      </c>
      <c r="O236" s="4" t="str">
        <f ca="1">IF(OR(INDEX($AG$2:$AG$1001,MATCH(ROWS($AF$2:AF236),$AF$2:$AF$1001,0),1)&gt;=100000,INDEX($AM$1005:$BM$1005,1,MATCH(COLUMNS($AM$1006:AZ1006),$AM$1006:$BM$1006,0))&gt;=100000), " ",IF(INDEX($AM$2:$BM$1001,MATCH(ROWS($AF$2:AF236),$AF$2:$AF$1001,0),MATCH(COLUMNS($AM$1006:AZ1006),$AM$1006:$BM$1006,0)), HYPERLINK("#",""), HYPERLINK(CONCATENATE("#metadata!", ADDRESS(INDEX($AH$2:$AH$1001,MATCH(ROWS($AF$2:AF236),$AF$2:$AF$1001,0),0), INDEX($AM$1004:$BM$1004,1,MATCH(COLUMNS($AM$1006:AZ1006),$AM$1006:$BM$1006,0)))),"Fix")))</f>
        <v xml:space="preserve"> </v>
      </c>
      <c r="P236" s="4" t="str">
        <f ca="1">IF(OR(INDEX($AG$2:$AG$1001,MATCH(ROWS($AF$2:AF236),$AF$2:$AF$1001,0),1)&gt;=100000,INDEX($AM$1005:$BM$1005,1,MATCH(COLUMNS($AM$1006:BA1006),$AM$1006:$BM$1006,0))&gt;=100000), " ",IF(INDEX($AM$2:$BM$1001,MATCH(ROWS($AF$2:AF236),$AF$2:$AF$1001,0),MATCH(COLUMNS($AM$1006:BA1006),$AM$1006:$BM$1006,0)), HYPERLINK("#",""), HYPERLINK(CONCATENATE("#metadata!", ADDRESS(INDEX($AH$2:$AH$1001,MATCH(ROWS($AF$2:AF236),$AF$2:$AF$1001,0),0), INDEX($AM$1004:$BM$1004,1,MATCH(COLUMNS($AM$1006:BA1006),$AM$1006:$BM$1006,0)))),"Fix")))</f>
        <v xml:space="preserve"> </v>
      </c>
      <c r="Q236" s="4" t="str">
        <f ca="1">IF(OR(INDEX($AG$2:$AG$1001,MATCH(ROWS($AF$2:AF236),$AF$2:$AF$1001,0),1)&gt;=100000,INDEX($AM$1005:$BM$1005,1,MATCH(COLUMNS($AM$1006:BB1006),$AM$1006:$BM$1006,0))&gt;=100000), " ",IF(INDEX($AM$2:$BM$1001,MATCH(ROWS($AF$2:AF236),$AF$2:$AF$1001,0),MATCH(COLUMNS($AM$1006:BB1006),$AM$1006:$BM$1006,0)), HYPERLINK("#",""), HYPERLINK(CONCATENATE("#metadata!", ADDRESS(INDEX($AH$2:$AH$1001,MATCH(ROWS($AF$2:AF236),$AF$2:$AF$1001,0),0), INDEX($AM$1004:$BM$1004,1,MATCH(COLUMNS($AM$1006:BB1006),$AM$1006:$BM$1006,0)))),"Fix")))</f>
        <v xml:space="preserve"> </v>
      </c>
      <c r="R236" s="4" t="str">
        <f ca="1">IF(OR(INDEX($AG$2:$AG$1001,MATCH(ROWS($AF$2:AF236),$AF$2:$AF$1001,0),1)&gt;=100000,INDEX($AM$1005:$BM$1005,1,MATCH(COLUMNS($AM$1006:BC1006),$AM$1006:$BM$1006,0))&gt;=100000), " ",IF(INDEX($AM$2:$BM$1001,MATCH(ROWS($AF$2:AF236),$AF$2:$AF$1001,0),MATCH(COLUMNS($AM$1006:BC1006),$AM$1006:$BM$1006,0)), HYPERLINK("#",""), HYPERLINK(CONCATENATE("#metadata!", ADDRESS(INDEX($AH$2:$AH$1001,MATCH(ROWS($AF$2:AF236),$AF$2:$AF$1001,0),0), INDEX($AM$1004:$BM$1004,1,MATCH(COLUMNS($AM$1006:BC1006),$AM$1006:$BM$1006,0)))),"Fix")))</f>
        <v xml:space="preserve"> </v>
      </c>
      <c r="S236" s="4" t="str">
        <f ca="1">IF(OR(INDEX($AG$2:$AG$1001,MATCH(ROWS($AF$2:AF236),$AF$2:$AF$1001,0),1)&gt;=100000,INDEX($AM$1005:$BM$1005,1,MATCH(COLUMNS($AM$1006:BD1006),$AM$1006:$BM$1006,0))&gt;=100000), " ",IF(INDEX($AM$2:$BM$1001,MATCH(ROWS($AF$2:AF236),$AF$2:$AF$1001,0),MATCH(COLUMNS($AM$1006:BD1006),$AM$1006:$BM$1006,0)), HYPERLINK("#",""), HYPERLINK(CONCATENATE("#metadata!", ADDRESS(INDEX($AH$2:$AH$1001,MATCH(ROWS($AF$2:AF236),$AF$2:$AF$1001,0),0), INDEX($AM$1004:$BM$1004,1,MATCH(COLUMNS($AM$1006:BD1006),$AM$1006:$BM$1006,0)))),"Fix")))</f>
        <v xml:space="preserve"> </v>
      </c>
      <c r="T236" s="4" t="str">
        <f ca="1">IF(OR(INDEX($AG$2:$AG$1001,MATCH(ROWS($AF$2:AF236),$AF$2:$AF$1001,0),1)&gt;=100000,INDEX($AM$1005:$BM$1005,1,MATCH(COLUMNS($AM$1006:BE1006),$AM$1006:$BM$1006,0))&gt;=100000), " ",IF(INDEX($AM$2:$BM$1001,MATCH(ROWS($AF$2:AF236),$AF$2:$AF$1001,0),MATCH(COLUMNS($AM$1006:BE1006),$AM$1006:$BM$1006,0)), HYPERLINK("#",""), HYPERLINK(CONCATENATE("#metadata!", ADDRESS(INDEX($AH$2:$AH$1001,MATCH(ROWS($AF$2:AF236),$AF$2:$AF$1001,0),0), INDEX($AM$1004:$BM$1004,1,MATCH(COLUMNS($AM$1006:BE1006),$AM$1006:$BM$1006,0)))),"Fix")))</f>
        <v xml:space="preserve"> </v>
      </c>
      <c r="U236" s="4" t="str">
        <f ca="1">IF(OR(INDEX($AG$2:$AG$1001,MATCH(ROWS($AF$2:AF236),$AF$2:$AF$1001,0),1)&gt;=100000,INDEX($AM$1005:$BM$1005,1,MATCH(COLUMNS($AM$1006:BF1006),$AM$1006:$BM$1006,0))&gt;=100000), " ",IF(INDEX($AM$2:$BM$1001,MATCH(ROWS($AF$2:AF236),$AF$2:$AF$1001,0),MATCH(COLUMNS($AM$1006:BF1006),$AM$1006:$BM$1006,0)), HYPERLINK("#",""), HYPERLINK(CONCATENATE("#metadata!", ADDRESS(INDEX($AH$2:$AH$1001,MATCH(ROWS($AF$2:AF236),$AF$2:$AF$1001,0),0), INDEX($AM$1004:$BM$1004,1,MATCH(COLUMNS($AM$1006:BF1006),$AM$1006:$BM$1006,0)))),"Fix")))</f>
        <v xml:space="preserve"> </v>
      </c>
      <c r="V236" s="4" t="str">
        <f ca="1">IF(OR(INDEX($AG$2:$AG$1001,MATCH(ROWS($AF$2:AF236),$AF$2:$AF$1001,0),1)&gt;=100000,INDEX($AM$1005:$BM$1005,1,MATCH(COLUMNS($AM$1006:BG1006),$AM$1006:$BM$1006,0))&gt;=100000), " ",IF(INDEX($AM$2:$BM$1001,MATCH(ROWS($AF$2:AF236),$AF$2:$AF$1001,0),MATCH(COLUMNS($AM$1006:BG1006),$AM$1006:$BM$1006,0)), HYPERLINK("#",""), HYPERLINK(CONCATENATE("#metadata!", ADDRESS(INDEX($AH$2:$AH$1001,MATCH(ROWS($AF$2:AF236),$AF$2:$AF$1001,0),0), INDEX($AM$1004:$BM$1004,1,MATCH(COLUMNS($AM$1006:BG1006),$AM$1006:$BM$1006,0)))),"Fix")))</f>
        <v xml:space="preserve"> </v>
      </c>
      <c r="W236" s="4" t="str">
        <f ca="1">IF(OR(INDEX($AG$2:$AG$1001,MATCH(ROWS($AF$2:AF236),$AF$2:$AF$1001,0),1)&gt;=100000,INDEX($AM$1005:$BM$1005,1,MATCH(COLUMNS($AM$1006:BH1006),$AM$1006:$BM$1006,0))&gt;=100000), " ",IF(INDEX($AM$2:$BM$1001,MATCH(ROWS($AF$2:AF236),$AF$2:$AF$1001,0),MATCH(COLUMNS($AM$1006:BH1006),$AM$1006:$BM$1006,0)), HYPERLINK("#",""), HYPERLINK(CONCATENATE("#metadata!", ADDRESS(INDEX($AH$2:$AH$1001,MATCH(ROWS($AF$2:AF236),$AF$2:$AF$1001,0),0), INDEX($AM$1004:$BM$1004,1,MATCH(COLUMNS($AM$1006:BH1006),$AM$1006:$BM$1006,0)))),"Fix")))</f>
        <v xml:space="preserve"> </v>
      </c>
      <c r="X236" s="4" t="str">
        <f ca="1">IF(OR(INDEX($AG$2:$AG$1001,MATCH(ROWS($AF$2:AF236),$AF$2:$AF$1001,0),1)&gt;=100000,INDEX($AM$1005:$BM$1005,1,MATCH(COLUMNS($AM$1006:BI1006),$AM$1006:$BM$1006,0))&gt;=100000), " ",IF(INDEX($AM$2:$BM$1001,MATCH(ROWS($AF$2:AF236),$AF$2:$AF$1001,0),MATCH(COLUMNS($AM$1006:BI1006),$AM$1006:$BM$1006,0)), HYPERLINK("#",""), HYPERLINK(CONCATENATE("#metadata!", ADDRESS(INDEX($AH$2:$AH$1001,MATCH(ROWS($AF$2:AF236),$AF$2:$AF$1001,0),0), INDEX($AM$1004:$BM$1004,1,MATCH(COLUMNS($AM$1006:BI1006),$AM$1006:$BM$1006,0)))),"Fix")))</f>
        <v xml:space="preserve"> </v>
      </c>
      <c r="Y236" s="4" t="str">
        <f ca="1">IF(OR(INDEX($AG$2:$AG$1001,MATCH(ROWS($AF$2:AF236),$AF$2:$AF$1001,0),1)&gt;=100000,INDEX($AM$1005:$BM$1005,1,MATCH(COLUMNS($AM$1006:BJ1006),$AM$1006:$BM$1006,0))&gt;=100000), " ",IF(INDEX($AM$2:$BM$1001,MATCH(ROWS($AF$2:AF236),$AF$2:$AF$1001,0),MATCH(COLUMNS($AM$1006:BJ1006),$AM$1006:$BM$1006,0)), HYPERLINK("#",""), HYPERLINK(CONCATENATE("#metadata!", ADDRESS(INDEX($AH$2:$AH$1001,MATCH(ROWS($AF$2:AF236),$AF$2:$AF$1001,0),0), INDEX($AM$1004:$BM$1004,1,MATCH(COLUMNS($AM$1006:BJ1006),$AM$1006:$BM$1006,0)))),"Fix")))</f>
        <v xml:space="preserve"> </v>
      </c>
      <c r="Z236" s="4" t="str">
        <f ca="1">IF(OR(INDEX($AG$2:$AG$1001,MATCH(ROWS($AF$2:AF236),$AF$2:$AF$1001,0),1)&gt;=100000,INDEX($AM$1005:$BM$1005,1,MATCH(COLUMNS($AM$1006:BK1006),$AM$1006:$BM$1006,0))&gt;=100000), " ",IF(INDEX($AM$2:$BM$1001,MATCH(ROWS($AF$2:AF236),$AF$2:$AF$1001,0),MATCH(COLUMNS($AM$1006:BK1006),$AM$1006:$BM$1006,0)), HYPERLINK("#",""), HYPERLINK(CONCATENATE("#metadata!", ADDRESS(INDEX($AH$2:$AH$1001,MATCH(ROWS($AF$2:AF236),$AF$2:$AF$1001,0),0), INDEX($AM$1004:$BM$1004,1,MATCH(COLUMNS($AM$1006:BK1006),$AM$1006:$BM$1006,0)))),"Fix")))</f>
        <v xml:space="preserve"> </v>
      </c>
      <c r="AA236" s="4" t="str">
        <f ca="1">IF(OR(INDEX($AG$2:$AG$1001,MATCH(ROWS($AF$2:AF236),$AF$2:$AF$1001,0),1)&gt;=100000,INDEX($AM$1005:$BM$1005,1,MATCH(COLUMNS($AM$1006:BL1006),$AM$1006:$BM$1006,0))&gt;=100000), " ",IF(INDEX($AM$2:$BM$1001,MATCH(ROWS($AF$2:AF236),$AF$2:$AF$1001,0),MATCH(COLUMNS($AM$1006:BL1006),$AM$1006:$BM$1006,0)), HYPERLINK("#",""), HYPERLINK(CONCATENATE("#metadata!", ADDRESS(INDEX($AH$2:$AH$1001,MATCH(ROWS($AF$2:AF236),$AF$2:$AF$1001,0),0), INDEX($AM$1004:$BM$1004,1,MATCH(COLUMNS($AM$1006:BL1006),$AM$1006:$BM$1006,0)))),"Fix")))</f>
        <v xml:space="preserve"> </v>
      </c>
      <c r="AB236" s="4" t="str">
        <f ca="1">IF(OR(INDEX($AG$2:$AG$1001,MATCH(ROWS($AF$2:AF236),$AF$2:$AF$1001,0),1)&gt;=100000,INDEX($AM$1005:$BM$1005,1,MATCH(COLUMNS($AM$1006:BM1006),$AM$1006:$BM$1006,0))&gt;=100000), " ",IF(INDEX($AM$2:$BM$1001,MATCH(ROWS($AF$2:AF236),$AF$2:$AF$1001,0),MATCH(COLUMNS($AM$1006:BM1006),$AM$1006:$BM$1006,0)), HYPERLINK("#",""), HYPERLINK(CONCATENATE("#metadata!", ADDRESS(INDEX($AH$2:$AH$1001,MATCH(ROWS($AF$2:AF236),$AF$2:$AF$1001,0),0), INDEX($AM$1004:$BM$1004,1,MATCH(COLUMNS($AM$1006:BM1006),$AM$1006:$BM$1006,0)))),"Fix")))</f>
        <v xml:space="preserve"> </v>
      </c>
      <c r="AF236">
        <v>235</v>
      </c>
      <c r="AG236">
        <v>100236</v>
      </c>
      <c r="AH236">
        <v>236</v>
      </c>
      <c r="AI236" t="b">
        <f t="shared" si="3"/>
        <v>1</v>
      </c>
      <c r="AJ236" t="b">
        <f>COUNTBLANK(metadata!B236:AB236)=COLUMNS(metadata!B236:AB236)</f>
        <v>1</v>
      </c>
      <c r="AK236" t="str">
        <v/>
      </c>
      <c r="AM236" t="b">
        <f ca="1">AND(IF(metadata!B236="",FALSE,TRUE),COUNTIF(metadata!B:B, metadata!B236) = 1,NOT(ISERROR(SUMPRODUCT(SEARCH(MID(metadata!B236,ROW(INDIRECT("1:"&amp;LEN(metadata!B236))), 1),"0123456789abcdefghijklmnopqrstuvwxyzABCDEFGHIJKLMNOPQRSTUVWXYZ.")))))</f>
        <v>0</v>
      </c>
      <c r="AN236" t="b">
        <f ca="1">OR(AND(IF(metadata!C236="",FALSE,TRUE),OR(EXACT(metadata!C236,"missing: not collected"),EXACT(metadata!C236,"missing: not provided"),EXACT(metadata!C236,"missing: restricted access"))),AND(IF(metadata!C236="",FALSE,TRUE),AND(AND(IFERROR(INT(LEFT(metadata!C236,4))&gt;1900,FALSE),IFERROR(INT(LEFT(metadata!C236,4))&lt;=YEAR(NOW()),FALSE)), OR(MID(metadata!C236,5,1)="", AND(AND(MID(metadata!C236,5,1)="-",IFERROR(INT(MID(metadata!C236,6,1))&gt;=0,FALSE),IFERROR(INT(MID(metadata!C236,6,1))&lt;=1,FALSE),NOT(MID(metadata!C236,7,1)=""),IFERROR(INT(MID(metadata!C236,6,2))&gt;=1,FALSE),IFERROR(INT(MID(metadata!C236,6,2))&lt;=12,FALSE)), OR(MID(metadata!C236,8,1)="", AND(AND(MID(metadata!C236,8,1)="-",IFERROR(INT(MID(metadata!C236,9,1))&gt;=0,FALSE),IFERROR(INT(MID(metadata!C236,9,1))&lt;=3,FALSE),NOT(MID(metadata!C236,10,1)=""),IFERROR(INT(MID(metadata!C236,9,2))&gt;=1,FALSE),IFERROR(INT(MID(metadata!C236,9,2))&lt;=31,FALSE)), OR(MID(metadata!C236,11,1)="", AND(AND(MID(metadata!C236,11,1)=" ",IFERROR(INT(MID(metadata!C236,12,1))&gt;=0,FALSE),IFERROR(INT(MID(metadata!C236,12,1))&lt;=2,FALSE),NOT(MID(metadata!C236,13,1)=""),IFERROR(INT(MID(metadata!C236,12,2))&gt;=0,FALSE),IFERROR(INT(MID(metadata!C236,12,2))&lt;=23,FALSE)), OR(MID(metadata!C236,14,1)="", AND(AND(MID(metadata!C236,14,1)=":",IFERROR(INT(MID(metadata!C236,15,1))&gt;=0,FALSE),IFERROR(INT(MID(metadata!C236,15,1))&lt;=5,FALSE),NOT(MID(metadata!C236,16,1)=""),IFERROR(INT(MID(metadata!C236,15,2))&gt;=0,FALSE),IFERROR(INT(MID(metadata!C236,15,2))&lt;=59,FALSE)), OR(MID(metadata!C236,17,1)="", AND(AND(MID(metadata!C236,17,1)=":",IFERROR(INT(MID(metadata!C236,18,1))&gt;=0,FALSE),IFERROR(INT(MID(metadata!C236,18,1))&lt;=5,FALSE),NOT(MID(metadata!C236,19,1)=""),IFERROR(INT(MID(metadata!C236,18,2))&gt;=0,FALSE),IFERROR(INT(MID(metadata!C236,18,2))&lt;=59,FALSE)), LEN(metadata!C236)&lt;=19)))))))))))))</f>
        <v>0</v>
      </c>
      <c r="AO236" t="b">
        <f>AND(IF(metadata!D236="",FALSE,TRUE),EXACT(metadata!D236,"Not applicable"))</f>
        <v>0</v>
      </c>
      <c r="AP236" t="b">
        <f>IF(metadata!E236="",FALSE,TRUE)</f>
        <v>0</v>
      </c>
      <c r="AQ236" t="b">
        <f>OR(AND(IF(metadata!F236="",FALSE,TRUE),OR(EXACT(metadata!F236,"missing: not collected"),EXACT(metadata!F236,"missing: not provided"))),AND(IF(metadata!F236="",FALSE,TRUE),OR(EXACT(metadata!F236,"TRUE"),EXACT(metadata!F236,"FALSE"))))</f>
        <v>0</v>
      </c>
      <c r="AR236" t="b">
        <f>OR(AND(IF(metadata!G236="",FALSE,TRUE),OR(EXACT(metadata!G236,"missing: not collected"),EXACT(metadata!G236,"missing: not provided"),EXACT(metadata!G236,"missing: restricted access"))),AND(IF(metadata!G236="",FALSE,ISNUMBER(VALUE(metadata!G236))),metadata!G236&gt;=-413))</f>
        <v>0</v>
      </c>
      <c r="AS236" t="b">
        <f>AND(IF(metadata!H236="",FALSE,TRUE),EXACT(metadata!H236,"meters"))</f>
        <v>0</v>
      </c>
      <c r="AT236" t="b">
        <f>AND(IF(metadata!I236="",FALSE,TRUE),OR(EXACT(metadata!I236,"Host-associated"),EXACT(metadata!I236,"Free-living")))</f>
        <v>0</v>
      </c>
      <c r="AU236" t="b">
        <f>AND(IF(metadata!J236="",FALSE,TRUE),OR(EXACT(metadata!J236,"Animal"),EXACT(metadata!J236,"Fungus"),EXACT(metadata!J236,"Plant"),EXACT(metadata!J236,"Saline"),EXACT(metadata!J236,"Non-saline")))</f>
        <v>0</v>
      </c>
      <c r="AV236" t="b">
        <f>AND(IF(metadata!K236="",FALSE,TRUE),OR(EXACT(metadata!K236,"Plant secretion"),EXACT(metadata!K236,"Plant rhizosphere"),EXACT(metadata!K236,"Plant surface"),EXACT(metadata!K236,"Plant corpus"),EXACT(metadata!K236,"Fungus surface"),EXACT(metadata!K236,"Fungus corpus"),EXACT(metadata!K236,"Animal surface"),EXACT(metadata!K236,"Animal proximal gut"),EXACT(metadata!K236,"Animal corpus"),EXACT(metadata!K236,"Animal distal gut"),EXACT(metadata!K236,"Animal secretion"),EXACT(metadata!K236,"Sub-surface (non-saline)"),EXACT(metadata!K236,"Surface (non-saline)"),EXACT(metadata!K236,"Water (non-saline)"),EXACT(metadata!K236,"Soil (non-saline)"),EXACT(metadata!K236,"Aerosol (non-saline)"),EXACT(metadata!K236,"Sediment (non-saline)"),EXACT(metadata!K236,"Surface (saline)"),EXACT(metadata!K236,"Water (saline)"),EXACT(metadata!K236,"Hypersaline (saline)"),EXACT(metadata!K236,"Aerosol (saline)"),EXACT(metadata!K236,"Sediment (saline)")))</f>
        <v>0</v>
      </c>
      <c r="AW236" t="b">
        <f>IF(metadata!L236="",FALSE,TRUE)</f>
        <v>0</v>
      </c>
      <c r="AX236" t="b">
        <f>IF(metadata!M236="",FALSE,TRUE)</f>
        <v>0</v>
      </c>
      <c r="AY236" t="b">
        <f>IF(metadata!N236="",FALSE,TRUE)</f>
        <v>0</v>
      </c>
      <c r="AZ236" t="b">
        <f>OR(AND(IF(metadata!O236="",FALSE,TRUE),OR(EXACT(metadata!O236,"missing: not collected"),EXACT(metadata!O236,"missing: not provided"),EXACT(metadata!O236,"missing: restricted access"))),AND(IF(metadata!O236="",FALSE,TRUE),OR(EXACT(metadata!O236,"air"),EXACT(metadata!O236,"built environment"),EXACT(metadata!O236,"host-associated"),EXACT(metadata!O236,"human-associated"),EXACT(metadata!O236,"human-skin"),EXACT(metadata!O236,"human-oral"),EXACT(metadata!O236,"human-gut"),EXACT(metadata!O236,"human-vaginal"),EXACT(metadata!O236,"microbial mat/biofilm"),EXACT(metadata!O236,"misc environment"),EXACT(metadata!O236,"plant-associated"),EXACT(metadata!O236,"sediment"),EXACT(metadata!O236,"soil"),EXACT(metadata!O236,"wastewater/sludge"),EXACT(metadata!O236,"water"))))</f>
        <v>0</v>
      </c>
      <c r="BA236" t="b">
        <f>IF(metadata!P236="",FALSE,TRUE)</f>
        <v>0</v>
      </c>
      <c r="BB236" t="b">
        <f>IF(metadata!Q236="",FALSE,TRUE)</f>
        <v>0</v>
      </c>
      <c r="BC236" t="b">
        <f>OR(AND(IF(metadata!R236="",FALSE,TRUE),OR(EXACT(metadata!R236,"missing: not collected"),EXACT(metadata!R236,"missing: not provided"),EXACT(metadata!R236,"missing: restricted access"))),AND(IF(metadata!R236="",FALSE,ISNUMBER(VALUE(metadata!R236))),metadata!R236&gt;=-90,metadata!R236&lt;=90))</f>
        <v>0</v>
      </c>
      <c r="BD236" t="b">
        <f>AND(IF(metadata!S236="",FALSE,TRUE),EXACT(metadata!S236,"Decimal degrees"))</f>
        <v>0</v>
      </c>
      <c r="BE236" t="b">
        <f>OR(AND(IF(metadata!T236="",FALSE,TRUE),OR(EXACT(metadata!T236,"missing: not collected"),EXACT(metadata!T236,"missing: not provided"),EXACT(metadata!T236,"missing: restricted access"))),AND(IF(metadata!T236="",FALSE,ISNUMBER(VALUE(metadata!T236))),metadata!T236&gt;=-180,metadata!T236&lt;=180))</f>
        <v>0</v>
      </c>
      <c r="BF236" t="b">
        <f>AND(IF(metadata!U236="",FALSE,TRUE),EXACT(metadata!U236,"Decimal degrees"))</f>
        <v>0</v>
      </c>
      <c r="BG236" t="b">
        <f>IF(metadata!V236="",FALSE,TRUE)</f>
        <v>0</v>
      </c>
      <c r="BH236" t="b">
        <f>OR(AND(IF(metadata!W236="",FALSE,TRUE),OR(EXACT(metadata!W236,"missing: not collected"),EXACT(metadata!W236,"missing: not provided"),EXACT(metadata!W236,"missing: restricted access"))),AND(IF(metadata!W236="",FALSE,TRUE),OR(EXACT(metadata!W236,"TRUE"),EXACT(metadata!W236,"FALSE"))))</f>
        <v>0</v>
      </c>
      <c r="BI236" t="b">
        <f>AND(IF(metadata!X236="",FALSE,TRUE),EXACT(metadata!X236,"other"))</f>
        <v>0</v>
      </c>
      <c r="BJ236" t="b">
        <f>IF(metadata!Y236="",FALSE,TRUE)</f>
        <v>0</v>
      </c>
      <c r="BK236" t="b">
        <f>OR(AND(IF(metadata!Z236="",FALSE,TRUE),OR(EXACT(metadata!Z236,"missing: not collected"),EXACT(metadata!Z236,"missing: not provided"))),AND(IF(metadata!Z236="",FALSE,IF(ISERROR(INT(metadata!Z236)),FALSE,INT(metadata!Z236)=metadata!Z236)),metadata!Z236&gt;0))</f>
        <v>0</v>
      </c>
      <c r="BL236" t="b">
        <f>AND(IF(metadata!AA236="",FALSE,TRUE),EXACT(metadata!AA236,"Not applicable"))</f>
        <v>0</v>
      </c>
      <c r="BM236" t="b">
        <f>IF(metadata!AB236="",FALSE,TRUE)</f>
        <v>0</v>
      </c>
    </row>
    <row r="237" spans="1:65" x14ac:dyDescent="0.2">
      <c r="A237" s="5" t="str">
        <f ca="1">IF(B237=" "," ",HYPERLINK(CONCATENATE("#metadata!",ADDRESS(INDEX($AH$2:$AH$1001,MATCH(ROWS($AF$2:AF237),$AF$2:$AF$1001,0),0),1)),INDEX($AK$2:$AK$1001,MATCH(ROWS($AF$2:AF237),$AF$2:$AF$1001,0),0)))</f>
        <v xml:space="preserve"> </v>
      </c>
      <c r="B237" s="4" t="str">
        <f ca="1">IF(OR(INDEX($AG$2:$AG$1001,MATCH(ROWS($AF$2:AF237),$AF$2:$AF$1001,0),1)&gt;=100000,INDEX($AM$1005:$BM$1005,1,MATCH(COLUMNS($AM$1006:AM1006),$AM$1006:$BM$1006,0))&gt;=100000), " ",IF(INDEX($AM$2:$BM$1001,MATCH(ROWS($AF$2:AF237),$AF$2:$AF$1001,0),MATCH(COLUMNS($AM$1006:AM1006),$AM$1006:$BM$1006,0)), HYPERLINK("#",""), HYPERLINK(CONCATENATE("#metadata!", ADDRESS(INDEX($AH$2:$AH$1001,MATCH(ROWS($AF$2:AF237),$AF$2:$AF$1001,0),0), INDEX($AM$1004:$BM$1004,1,MATCH(COLUMNS($AM$1006:AM1006),$AM$1006:$BM$1006,0)))),"Fix")))</f>
        <v xml:space="preserve"> </v>
      </c>
      <c r="C237" s="4" t="str">
        <f ca="1">IF(OR(INDEX($AG$2:$AG$1001,MATCH(ROWS($AF$2:AF237),$AF$2:$AF$1001,0),1)&gt;=100000,INDEX($AM$1005:$BM$1005,1,MATCH(COLUMNS($AM$1006:AN1006),$AM$1006:$BM$1006,0))&gt;=100000), " ",IF(INDEX($AM$2:$BM$1001,MATCH(ROWS($AF$2:AF237),$AF$2:$AF$1001,0),MATCH(COLUMNS($AM$1006:AN1006),$AM$1006:$BM$1006,0)), HYPERLINK("#",""), HYPERLINK(CONCATENATE("#metadata!", ADDRESS(INDEX($AH$2:$AH$1001,MATCH(ROWS($AF$2:AF237),$AF$2:$AF$1001,0),0), INDEX($AM$1004:$BM$1004,1,MATCH(COLUMNS($AM$1006:AN1006),$AM$1006:$BM$1006,0)))),"Fix")))</f>
        <v xml:space="preserve"> </v>
      </c>
      <c r="D237" s="4" t="str">
        <f ca="1">IF(OR(INDEX($AG$2:$AG$1001,MATCH(ROWS($AF$2:AF237),$AF$2:$AF$1001,0),1)&gt;=100000,INDEX($AM$1005:$BM$1005,1,MATCH(COLUMNS($AM$1006:AO1006),$AM$1006:$BM$1006,0))&gt;=100000), " ",IF(INDEX($AM$2:$BM$1001,MATCH(ROWS($AF$2:AF237),$AF$2:$AF$1001,0),MATCH(COLUMNS($AM$1006:AO1006),$AM$1006:$BM$1006,0)), HYPERLINK("#",""), HYPERLINK(CONCATENATE("#metadata!", ADDRESS(INDEX($AH$2:$AH$1001,MATCH(ROWS($AF$2:AF237),$AF$2:$AF$1001,0),0), INDEX($AM$1004:$BM$1004,1,MATCH(COLUMNS($AM$1006:AO1006),$AM$1006:$BM$1006,0)))),"Fix")))</f>
        <v xml:space="preserve"> </v>
      </c>
      <c r="E237" s="4" t="str">
        <f ca="1">IF(OR(INDEX($AG$2:$AG$1001,MATCH(ROWS($AF$2:AF237),$AF$2:$AF$1001,0),1)&gt;=100000,INDEX($AM$1005:$BM$1005,1,MATCH(COLUMNS($AM$1006:AP1006),$AM$1006:$BM$1006,0))&gt;=100000), " ",IF(INDEX($AM$2:$BM$1001,MATCH(ROWS($AF$2:AF237),$AF$2:$AF$1001,0),MATCH(COLUMNS($AM$1006:AP1006),$AM$1006:$BM$1006,0)), HYPERLINK("#",""), HYPERLINK(CONCATENATE("#metadata!", ADDRESS(INDEX($AH$2:$AH$1001,MATCH(ROWS($AF$2:AF237),$AF$2:$AF$1001,0),0), INDEX($AM$1004:$BM$1004,1,MATCH(COLUMNS($AM$1006:AP1006),$AM$1006:$BM$1006,0)))),"Fix")))</f>
        <v xml:space="preserve"> </v>
      </c>
      <c r="F237" s="4" t="str">
        <f ca="1">IF(OR(INDEX($AG$2:$AG$1001,MATCH(ROWS($AF$2:AF237),$AF$2:$AF$1001,0),1)&gt;=100000,INDEX($AM$1005:$BM$1005,1,MATCH(COLUMNS($AM$1006:AQ1006),$AM$1006:$BM$1006,0))&gt;=100000), " ",IF(INDEX($AM$2:$BM$1001,MATCH(ROWS($AF$2:AF237),$AF$2:$AF$1001,0),MATCH(COLUMNS($AM$1006:AQ1006),$AM$1006:$BM$1006,0)), HYPERLINK("#",""), HYPERLINK(CONCATENATE("#metadata!", ADDRESS(INDEX($AH$2:$AH$1001,MATCH(ROWS($AF$2:AF237),$AF$2:$AF$1001,0),0), INDEX($AM$1004:$BM$1004,1,MATCH(COLUMNS($AM$1006:AQ1006),$AM$1006:$BM$1006,0)))),"Fix")))</f>
        <v xml:space="preserve"> </v>
      </c>
      <c r="G237" s="4" t="str">
        <f ca="1">IF(OR(INDEX($AG$2:$AG$1001,MATCH(ROWS($AF$2:AF237),$AF$2:$AF$1001,0),1)&gt;=100000,INDEX($AM$1005:$BM$1005,1,MATCH(COLUMNS($AM$1006:AR1006),$AM$1006:$BM$1006,0))&gt;=100000), " ",IF(INDEX($AM$2:$BM$1001,MATCH(ROWS($AF$2:AF237),$AF$2:$AF$1001,0),MATCH(COLUMNS($AM$1006:AR1006),$AM$1006:$BM$1006,0)), HYPERLINK("#",""), HYPERLINK(CONCATENATE("#metadata!", ADDRESS(INDEX($AH$2:$AH$1001,MATCH(ROWS($AF$2:AF237),$AF$2:$AF$1001,0),0), INDEX($AM$1004:$BM$1004,1,MATCH(COLUMNS($AM$1006:AR1006),$AM$1006:$BM$1006,0)))),"Fix")))</f>
        <v xml:space="preserve"> </v>
      </c>
      <c r="H237" s="4" t="str">
        <f ca="1">IF(OR(INDEX($AG$2:$AG$1001,MATCH(ROWS($AF$2:AF237),$AF$2:$AF$1001,0),1)&gt;=100000,INDEX($AM$1005:$BM$1005,1,MATCH(COLUMNS($AM$1006:AS1006),$AM$1006:$BM$1006,0))&gt;=100000), " ",IF(INDEX($AM$2:$BM$1001,MATCH(ROWS($AF$2:AF237),$AF$2:$AF$1001,0),MATCH(COLUMNS($AM$1006:AS1006),$AM$1006:$BM$1006,0)), HYPERLINK("#",""), HYPERLINK(CONCATENATE("#metadata!", ADDRESS(INDEX($AH$2:$AH$1001,MATCH(ROWS($AF$2:AF237),$AF$2:$AF$1001,0),0), INDEX($AM$1004:$BM$1004,1,MATCH(COLUMNS($AM$1006:AS1006),$AM$1006:$BM$1006,0)))),"Fix")))</f>
        <v xml:space="preserve"> </v>
      </c>
      <c r="I237" s="4" t="str">
        <f ca="1">IF(OR(INDEX($AG$2:$AG$1001,MATCH(ROWS($AF$2:AF237),$AF$2:$AF$1001,0),1)&gt;=100000,INDEX($AM$1005:$BM$1005,1,MATCH(COLUMNS($AM$1006:AT1006),$AM$1006:$BM$1006,0))&gt;=100000), " ",IF(INDEX($AM$2:$BM$1001,MATCH(ROWS($AF$2:AF237),$AF$2:$AF$1001,0),MATCH(COLUMNS($AM$1006:AT1006),$AM$1006:$BM$1006,0)), HYPERLINK("#",""), HYPERLINK(CONCATENATE("#metadata!", ADDRESS(INDEX($AH$2:$AH$1001,MATCH(ROWS($AF$2:AF237),$AF$2:$AF$1001,0),0), INDEX($AM$1004:$BM$1004,1,MATCH(COLUMNS($AM$1006:AT1006),$AM$1006:$BM$1006,0)))),"Fix")))</f>
        <v xml:space="preserve"> </v>
      </c>
      <c r="J237" s="4" t="str">
        <f ca="1">IF(OR(INDEX($AG$2:$AG$1001,MATCH(ROWS($AF$2:AF237),$AF$2:$AF$1001,0),1)&gt;=100000,INDEX($AM$1005:$BM$1005,1,MATCH(COLUMNS($AM$1006:AU1006),$AM$1006:$BM$1006,0))&gt;=100000), " ",IF(INDEX($AM$2:$BM$1001,MATCH(ROWS($AF$2:AF237),$AF$2:$AF$1001,0),MATCH(COLUMNS($AM$1006:AU1006),$AM$1006:$BM$1006,0)), HYPERLINK("#",""), HYPERLINK(CONCATENATE("#metadata!", ADDRESS(INDEX($AH$2:$AH$1001,MATCH(ROWS($AF$2:AF237),$AF$2:$AF$1001,0),0), INDEX($AM$1004:$BM$1004,1,MATCH(COLUMNS($AM$1006:AU1006),$AM$1006:$BM$1006,0)))),"Fix")))</f>
        <v xml:space="preserve"> </v>
      </c>
      <c r="K237" s="4" t="str">
        <f ca="1">IF(OR(INDEX($AG$2:$AG$1001,MATCH(ROWS($AF$2:AF237),$AF$2:$AF$1001,0),1)&gt;=100000,INDEX($AM$1005:$BM$1005,1,MATCH(COLUMNS($AM$1006:AV1006),$AM$1006:$BM$1006,0))&gt;=100000), " ",IF(INDEX($AM$2:$BM$1001,MATCH(ROWS($AF$2:AF237),$AF$2:$AF$1001,0),MATCH(COLUMNS($AM$1006:AV1006),$AM$1006:$BM$1006,0)), HYPERLINK("#",""), HYPERLINK(CONCATENATE("#metadata!", ADDRESS(INDEX($AH$2:$AH$1001,MATCH(ROWS($AF$2:AF237),$AF$2:$AF$1001,0),0), INDEX($AM$1004:$BM$1004,1,MATCH(COLUMNS($AM$1006:AV1006),$AM$1006:$BM$1006,0)))),"Fix")))</f>
        <v xml:space="preserve"> </v>
      </c>
      <c r="L237" s="4" t="str">
        <f ca="1">IF(OR(INDEX($AG$2:$AG$1001,MATCH(ROWS($AF$2:AF237),$AF$2:$AF$1001,0),1)&gt;=100000,INDEX($AM$1005:$BM$1005,1,MATCH(COLUMNS($AM$1006:AW1006),$AM$1006:$BM$1006,0))&gt;=100000), " ",IF(INDEX($AM$2:$BM$1001,MATCH(ROWS($AF$2:AF237),$AF$2:$AF$1001,0),MATCH(COLUMNS($AM$1006:AW1006),$AM$1006:$BM$1006,0)), HYPERLINK("#",""), HYPERLINK(CONCATENATE("#metadata!", ADDRESS(INDEX($AH$2:$AH$1001,MATCH(ROWS($AF$2:AF237),$AF$2:$AF$1001,0),0), INDEX($AM$1004:$BM$1004,1,MATCH(COLUMNS($AM$1006:AW1006),$AM$1006:$BM$1006,0)))),"Fix")))</f>
        <v xml:space="preserve"> </v>
      </c>
      <c r="M237" s="4" t="str">
        <f ca="1">IF(OR(INDEX($AG$2:$AG$1001,MATCH(ROWS($AF$2:AF237),$AF$2:$AF$1001,0),1)&gt;=100000,INDEX($AM$1005:$BM$1005,1,MATCH(COLUMNS($AM$1006:AX1006),$AM$1006:$BM$1006,0))&gt;=100000), " ",IF(INDEX($AM$2:$BM$1001,MATCH(ROWS($AF$2:AF237),$AF$2:$AF$1001,0),MATCH(COLUMNS($AM$1006:AX1006),$AM$1006:$BM$1006,0)), HYPERLINK("#",""), HYPERLINK(CONCATENATE("#metadata!", ADDRESS(INDEX($AH$2:$AH$1001,MATCH(ROWS($AF$2:AF237),$AF$2:$AF$1001,0),0), INDEX($AM$1004:$BM$1004,1,MATCH(COLUMNS($AM$1006:AX1006),$AM$1006:$BM$1006,0)))),"Fix")))</f>
        <v xml:space="preserve"> </v>
      </c>
      <c r="N237" s="4" t="str">
        <f ca="1">IF(OR(INDEX($AG$2:$AG$1001,MATCH(ROWS($AF$2:AF237),$AF$2:$AF$1001,0),1)&gt;=100000,INDEX($AM$1005:$BM$1005,1,MATCH(COLUMNS($AM$1006:AY1006),$AM$1006:$BM$1006,0))&gt;=100000), " ",IF(INDEX($AM$2:$BM$1001,MATCH(ROWS($AF$2:AF237),$AF$2:$AF$1001,0),MATCH(COLUMNS($AM$1006:AY1006),$AM$1006:$BM$1006,0)), HYPERLINK("#",""), HYPERLINK(CONCATENATE("#metadata!", ADDRESS(INDEX($AH$2:$AH$1001,MATCH(ROWS($AF$2:AF237),$AF$2:$AF$1001,0),0), INDEX($AM$1004:$BM$1004,1,MATCH(COLUMNS($AM$1006:AY1006),$AM$1006:$BM$1006,0)))),"Fix")))</f>
        <v xml:space="preserve"> </v>
      </c>
      <c r="O237" s="4" t="str">
        <f ca="1">IF(OR(INDEX($AG$2:$AG$1001,MATCH(ROWS($AF$2:AF237),$AF$2:$AF$1001,0),1)&gt;=100000,INDEX($AM$1005:$BM$1005,1,MATCH(COLUMNS($AM$1006:AZ1006),$AM$1006:$BM$1006,0))&gt;=100000), " ",IF(INDEX($AM$2:$BM$1001,MATCH(ROWS($AF$2:AF237),$AF$2:$AF$1001,0),MATCH(COLUMNS($AM$1006:AZ1006),$AM$1006:$BM$1006,0)), HYPERLINK("#",""), HYPERLINK(CONCATENATE("#metadata!", ADDRESS(INDEX($AH$2:$AH$1001,MATCH(ROWS($AF$2:AF237),$AF$2:$AF$1001,0),0), INDEX($AM$1004:$BM$1004,1,MATCH(COLUMNS($AM$1006:AZ1006),$AM$1006:$BM$1006,0)))),"Fix")))</f>
        <v xml:space="preserve"> </v>
      </c>
      <c r="P237" s="4" t="str">
        <f ca="1">IF(OR(INDEX($AG$2:$AG$1001,MATCH(ROWS($AF$2:AF237),$AF$2:$AF$1001,0),1)&gt;=100000,INDEX($AM$1005:$BM$1005,1,MATCH(COLUMNS($AM$1006:BA1006),$AM$1006:$BM$1006,0))&gt;=100000), " ",IF(INDEX($AM$2:$BM$1001,MATCH(ROWS($AF$2:AF237),$AF$2:$AF$1001,0),MATCH(COLUMNS($AM$1006:BA1006),$AM$1006:$BM$1006,0)), HYPERLINK("#",""), HYPERLINK(CONCATENATE("#metadata!", ADDRESS(INDEX($AH$2:$AH$1001,MATCH(ROWS($AF$2:AF237),$AF$2:$AF$1001,0),0), INDEX($AM$1004:$BM$1004,1,MATCH(COLUMNS($AM$1006:BA1006),$AM$1006:$BM$1006,0)))),"Fix")))</f>
        <v xml:space="preserve"> </v>
      </c>
      <c r="Q237" s="4" t="str">
        <f ca="1">IF(OR(INDEX($AG$2:$AG$1001,MATCH(ROWS($AF$2:AF237),$AF$2:$AF$1001,0),1)&gt;=100000,INDEX($AM$1005:$BM$1005,1,MATCH(COLUMNS($AM$1006:BB1006),$AM$1006:$BM$1006,0))&gt;=100000), " ",IF(INDEX($AM$2:$BM$1001,MATCH(ROWS($AF$2:AF237),$AF$2:$AF$1001,0),MATCH(COLUMNS($AM$1006:BB1006),$AM$1006:$BM$1006,0)), HYPERLINK("#",""), HYPERLINK(CONCATENATE("#metadata!", ADDRESS(INDEX($AH$2:$AH$1001,MATCH(ROWS($AF$2:AF237),$AF$2:$AF$1001,0),0), INDEX($AM$1004:$BM$1004,1,MATCH(COLUMNS($AM$1006:BB1006),$AM$1006:$BM$1006,0)))),"Fix")))</f>
        <v xml:space="preserve"> </v>
      </c>
      <c r="R237" s="4" t="str">
        <f ca="1">IF(OR(INDEX($AG$2:$AG$1001,MATCH(ROWS($AF$2:AF237),$AF$2:$AF$1001,0),1)&gt;=100000,INDEX($AM$1005:$BM$1005,1,MATCH(COLUMNS($AM$1006:BC1006),$AM$1006:$BM$1006,0))&gt;=100000), " ",IF(INDEX($AM$2:$BM$1001,MATCH(ROWS($AF$2:AF237),$AF$2:$AF$1001,0),MATCH(COLUMNS($AM$1006:BC1006),$AM$1006:$BM$1006,0)), HYPERLINK("#",""), HYPERLINK(CONCATENATE("#metadata!", ADDRESS(INDEX($AH$2:$AH$1001,MATCH(ROWS($AF$2:AF237),$AF$2:$AF$1001,0),0), INDEX($AM$1004:$BM$1004,1,MATCH(COLUMNS($AM$1006:BC1006),$AM$1006:$BM$1006,0)))),"Fix")))</f>
        <v xml:space="preserve"> </v>
      </c>
      <c r="S237" s="4" t="str">
        <f ca="1">IF(OR(INDEX($AG$2:$AG$1001,MATCH(ROWS($AF$2:AF237),$AF$2:$AF$1001,0),1)&gt;=100000,INDEX($AM$1005:$BM$1005,1,MATCH(COLUMNS($AM$1006:BD1006),$AM$1006:$BM$1006,0))&gt;=100000), " ",IF(INDEX($AM$2:$BM$1001,MATCH(ROWS($AF$2:AF237),$AF$2:$AF$1001,0),MATCH(COLUMNS($AM$1006:BD1006),$AM$1006:$BM$1006,0)), HYPERLINK("#",""), HYPERLINK(CONCATENATE("#metadata!", ADDRESS(INDEX($AH$2:$AH$1001,MATCH(ROWS($AF$2:AF237),$AF$2:$AF$1001,0),0), INDEX($AM$1004:$BM$1004,1,MATCH(COLUMNS($AM$1006:BD1006),$AM$1006:$BM$1006,0)))),"Fix")))</f>
        <v xml:space="preserve"> </v>
      </c>
      <c r="T237" s="4" t="str">
        <f ca="1">IF(OR(INDEX($AG$2:$AG$1001,MATCH(ROWS($AF$2:AF237),$AF$2:$AF$1001,0),1)&gt;=100000,INDEX($AM$1005:$BM$1005,1,MATCH(COLUMNS($AM$1006:BE1006),$AM$1006:$BM$1006,0))&gt;=100000), " ",IF(INDEX($AM$2:$BM$1001,MATCH(ROWS($AF$2:AF237),$AF$2:$AF$1001,0),MATCH(COLUMNS($AM$1006:BE1006),$AM$1006:$BM$1006,0)), HYPERLINK("#",""), HYPERLINK(CONCATENATE("#metadata!", ADDRESS(INDEX($AH$2:$AH$1001,MATCH(ROWS($AF$2:AF237),$AF$2:$AF$1001,0),0), INDEX($AM$1004:$BM$1004,1,MATCH(COLUMNS($AM$1006:BE1006),$AM$1006:$BM$1006,0)))),"Fix")))</f>
        <v xml:space="preserve"> </v>
      </c>
      <c r="U237" s="4" t="str">
        <f ca="1">IF(OR(INDEX($AG$2:$AG$1001,MATCH(ROWS($AF$2:AF237),$AF$2:$AF$1001,0),1)&gt;=100000,INDEX($AM$1005:$BM$1005,1,MATCH(COLUMNS($AM$1006:BF1006),$AM$1006:$BM$1006,0))&gt;=100000), " ",IF(INDEX($AM$2:$BM$1001,MATCH(ROWS($AF$2:AF237),$AF$2:$AF$1001,0),MATCH(COLUMNS($AM$1006:BF1006),$AM$1006:$BM$1006,0)), HYPERLINK("#",""), HYPERLINK(CONCATENATE("#metadata!", ADDRESS(INDEX($AH$2:$AH$1001,MATCH(ROWS($AF$2:AF237),$AF$2:$AF$1001,0),0), INDEX($AM$1004:$BM$1004,1,MATCH(COLUMNS($AM$1006:BF1006),$AM$1006:$BM$1006,0)))),"Fix")))</f>
        <v xml:space="preserve"> </v>
      </c>
      <c r="V237" s="4" t="str">
        <f ca="1">IF(OR(INDEX($AG$2:$AG$1001,MATCH(ROWS($AF$2:AF237),$AF$2:$AF$1001,0),1)&gt;=100000,INDEX($AM$1005:$BM$1005,1,MATCH(COLUMNS($AM$1006:BG1006),$AM$1006:$BM$1006,0))&gt;=100000), " ",IF(INDEX($AM$2:$BM$1001,MATCH(ROWS($AF$2:AF237),$AF$2:$AF$1001,0),MATCH(COLUMNS($AM$1006:BG1006),$AM$1006:$BM$1006,0)), HYPERLINK("#",""), HYPERLINK(CONCATENATE("#metadata!", ADDRESS(INDEX($AH$2:$AH$1001,MATCH(ROWS($AF$2:AF237),$AF$2:$AF$1001,0),0), INDEX($AM$1004:$BM$1004,1,MATCH(COLUMNS($AM$1006:BG1006),$AM$1006:$BM$1006,0)))),"Fix")))</f>
        <v xml:space="preserve"> </v>
      </c>
      <c r="W237" s="4" t="str">
        <f ca="1">IF(OR(INDEX($AG$2:$AG$1001,MATCH(ROWS($AF$2:AF237),$AF$2:$AF$1001,0),1)&gt;=100000,INDEX($AM$1005:$BM$1005,1,MATCH(COLUMNS($AM$1006:BH1006),$AM$1006:$BM$1006,0))&gt;=100000), " ",IF(INDEX($AM$2:$BM$1001,MATCH(ROWS($AF$2:AF237),$AF$2:$AF$1001,0),MATCH(COLUMNS($AM$1006:BH1006),$AM$1006:$BM$1006,0)), HYPERLINK("#",""), HYPERLINK(CONCATENATE("#metadata!", ADDRESS(INDEX($AH$2:$AH$1001,MATCH(ROWS($AF$2:AF237),$AF$2:$AF$1001,0),0), INDEX($AM$1004:$BM$1004,1,MATCH(COLUMNS($AM$1006:BH1006),$AM$1006:$BM$1006,0)))),"Fix")))</f>
        <v xml:space="preserve"> </v>
      </c>
      <c r="X237" s="4" t="str">
        <f ca="1">IF(OR(INDEX($AG$2:$AG$1001,MATCH(ROWS($AF$2:AF237),$AF$2:$AF$1001,0),1)&gt;=100000,INDEX($AM$1005:$BM$1005,1,MATCH(COLUMNS($AM$1006:BI1006),$AM$1006:$BM$1006,0))&gt;=100000), " ",IF(INDEX($AM$2:$BM$1001,MATCH(ROWS($AF$2:AF237),$AF$2:$AF$1001,0),MATCH(COLUMNS($AM$1006:BI1006),$AM$1006:$BM$1006,0)), HYPERLINK("#",""), HYPERLINK(CONCATENATE("#metadata!", ADDRESS(INDEX($AH$2:$AH$1001,MATCH(ROWS($AF$2:AF237),$AF$2:$AF$1001,0),0), INDEX($AM$1004:$BM$1004,1,MATCH(COLUMNS($AM$1006:BI1006),$AM$1006:$BM$1006,0)))),"Fix")))</f>
        <v xml:space="preserve"> </v>
      </c>
      <c r="Y237" s="4" t="str">
        <f ca="1">IF(OR(INDEX($AG$2:$AG$1001,MATCH(ROWS($AF$2:AF237),$AF$2:$AF$1001,0),1)&gt;=100000,INDEX($AM$1005:$BM$1005,1,MATCH(COLUMNS($AM$1006:BJ1006),$AM$1006:$BM$1006,0))&gt;=100000), " ",IF(INDEX($AM$2:$BM$1001,MATCH(ROWS($AF$2:AF237),$AF$2:$AF$1001,0),MATCH(COLUMNS($AM$1006:BJ1006),$AM$1006:$BM$1006,0)), HYPERLINK("#",""), HYPERLINK(CONCATENATE("#metadata!", ADDRESS(INDEX($AH$2:$AH$1001,MATCH(ROWS($AF$2:AF237),$AF$2:$AF$1001,0),0), INDEX($AM$1004:$BM$1004,1,MATCH(COLUMNS($AM$1006:BJ1006),$AM$1006:$BM$1006,0)))),"Fix")))</f>
        <v xml:space="preserve"> </v>
      </c>
      <c r="Z237" s="4" t="str">
        <f ca="1">IF(OR(INDEX($AG$2:$AG$1001,MATCH(ROWS($AF$2:AF237),$AF$2:$AF$1001,0),1)&gt;=100000,INDEX($AM$1005:$BM$1005,1,MATCH(COLUMNS($AM$1006:BK1006),$AM$1006:$BM$1006,0))&gt;=100000), " ",IF(INDEX($AM$2:$BM$1001,MATCH(ROWS($AF$2:AF237),$AF$2:$AF$1001,0),MATCH(COLUMNS($AM$1006:BK1006),$AM$1006:$BM$1006,0)), HYPERLINK("#",""), HYPERLINK(CONCATENATE("#metadata!", ADDRESS(INDEX($AH$2:$AH$1001,MATCH(ROWS($AF$2:AF237),$AF$2:$AF$1001,0),0), INDEX($AM$1004:$BM$1004,1,MATCH(COLUMNS($AM$1006:BK1006),$AM$1006:$BM$1006,0)))),"Fix")))</f>
        <v xml:space="preserve"> </v>
      </c>
      <c r="AA237" s="4" t="str">
        <f ca="1">IF(OR(INDEX($AG$2:$AG$1001,MATCH(ROWS($AF$2:AF237),$AF$2:$AF$1001,0),1)&gt;=100000,INDEX($AM$1005:$BM$1005,1,MATCH(COLUMNS($AM$1006:BL1006),$AM$1006:$BM$1006,0))&gt;=100000), " ",IF(INDEX($AM$2:$BM$1001,MATCH(ROWS($AF$2:AF237),$AF$2:$AF$1001,0),MATCH(COLUMNS($AM$1006:BL1006),$AM$1006:$BM$1006,0)), HYPERLINK("#",""), HYPERLINK(CONCATENATE("#metadata!", ADDRESS(INDEX($AH$2:$AH$1001,MATCH(ROWS($AF$2:AF237),$AF$2:$AF$1001,0),0), INDEX($AM$1004:$BM$1004,1,MATCH(COLUMNS($AM$1006:BL1006),$AM$1006:$BM$1006,0)))),"Fix")))</f>
        <v xml:space="preserve"> </v>
      </c>
      <c r="AB237" s="4" t="str">
        <f ca="1">IF(OR(INDEX($AG$2:$AG$1001,MATCH(ROWS($AF$2:AF237),$AF$2:$AF$1001,0),1)&gt;=100000,INDEX($AM$1005:$BM$1005,1,MATCH(COLUMNS($AM$1006:BM1006),$AM$1006:$BM$1006,0))&gt;=100000), " ",IF(INDEX($AM$2:$BM$1001,MATCH(ROWS($AF$2:AF237),$AF$2:$AF$1001,0),MATCH(COLUMNS($AM$1006:BM1006),$AM$1006:$BM$1006,0)), HYPERLINK("#",""), HYPERLINK(CONCATENATE("#metadata!", ADDRESS(INDEX($AH$2:$AH$1001,MATCH(ROWS($AF$2:AF237),$AF$2:$AF$1001,0),0), INDEX($AM$1004:$BM$1004,1,MATCH(COLUMNS($AM$1006:BM1006),$AM$1006:$BM$1006,0)))),"Fix")))</f>
        <v xml:space="preserve"> </v>
      </c>
      <c r="AF237">
        <v>236</v>
      </c>
      <c r="AG237">
        <v>100237</v>
      </c>
      <c r="AH237">
        <v>237</v>
      </c>
      <c r="AI237" t="b">
        <f t="shared" si="3"/>
        <v>1</v>
      </c>
      <c r="AJ237" t="b">
        <f>COUNTBLANK(metadata!B237:AB237)=COLUMNS(metadata!B237:AB237)</f>
        <v>1</v>
      </c>
      <c r="AK237" t="str">
        <v/>
      </c>
      <c r="AM237" t="b">
        <f ca="1">AND(IF(metadata!B237="",FALSE,TRUE),COUNTIF(metadata!B:B, metadata!B237) = 1,NOT(ISERROR(SUMPRODUCT(SEARCH(MID(metadata!B237,ROW(INDIRECT("1:"&amp;LEN(metadata!B237))), 1),"0123456789abcdefghijklmnopqrstuvwxyzABCDEFGHIJKLMNOPQRSTUVWXYZ.")))))</f>
        <v>0</v>
      </c>
      <c r="AN237" t="b">
        <f ca="1">OR(AND(IF(metadata!C237="",FALSE,TRUE),OR(EXACT(metadata!C237,"missing: not collected"),EXACT(metadata!C237,"missing: not provided"),EXACT(metadata!C237,"missing: restricted access"))),AND(IF(metadata!C237="",FALSE,TRUE),AND(AND(IFERROR(INT(LEFT(metadata!C237,4))&gt;1900,FALSE),IFERROR(INT(LEFT(metadata!C237,4))&lt;=YEAR(NOW()),FALSE)), OR(MID(metadata!C237,5,1)="", AND(AND(MID(metadata!C237,5,1)="-",IFERROR(INT(MID(metadata!C237,6,1))&gt;=0,FALSE),IFERROR(INT(MID(metadata!C237,6,1))&lt;=1,FALSE),NOT(MID(metadata!C237,7,1)=""),IFERROR(INT(MID(metadata!C237,6,2))&gt;=1,FALSE),IFERROR(INT(MID(metadata!C237,6,2))&lt;=12,FALSE)), OR(MID(metadata!C237,8,1)="", AND(AND(MID(metadata!C237,8,1)="-",IFERROR(INT(MID(metadata!C237,9,1))&gt;=0,FALSE),IFERROR(INT(MID(metadata!C237,9,1))&lt;=3,FALSE),NOT(MID(metadata!C237,10,1)=""),IFERROR(INT(MID(metadata!C237,9,2))&gt;=1,FALSE),IFERROR(INT(MID(metadata!C237,9,2))&lt;=31,FALSE)), OR(MID(metadata!C237,11,1)="", AND(AND(MID(metadata!C237,11,1)=" ",IFERROR(INT(MID(metadata!C237,12,1))&gt;=0,FALSE),IFERROR(INT(MID(metadata!C237,12,1))&lt;=2,FALSE),NOT(MID(metadata!C237,13,1)=""),IFERROR(INT(MID(metadata!C237,12,2))&gt;=0,FALSE),IFERROR(INT(MID(metadata!C237,12,2))&lt;=23,FALSE)), OR(MID(metadata!C237,14,1)="", AND(AND(MID(metadata!C237,14,1)=":",IFERROR(INT(MID(metadata!C237,15,1))&gt;=0,FALSE),IFERROR(INT(MID(metadata!C237,15,1))&lt;=5,FALSE),NOT(MID(metadata!C237,16,1)=""),IFERROR(INT(MID(metadata!C237,15,2))&gt;=0,FALSE),IFERROR(INT(MID(metadata!C237,15,2))&lt;=59,FALSE)), OR(MID(metadata!C237,17,1)="", AND(AND(MID(metadata!C237,17,1)=":",IFERROR(INT(MID(metadata!C237,18,1))&gt;=0,FALSE),IFERROR(INT(MID(metadata!C237,18,1))&lt;=5,FALSE),NOT(MID(metadata!C237,19,1)=""),IFERROR(INT(MID(metadata!C237,18,2))&gt;=0,FALSE),IFERROR(INT(MID(metadata!C237,18,2))&lt;=59,FALSE)), LEN(metadata!C237)&lt;=19)))))))))))))</f>
        <v>0</v>
      </c>
      <c r="AO237" t="b">
        <f>AND(IF(metadata!D237="",FALSE,TRUE),EXACT(metadata!D237,"Not applicable"))</f>
        <v>0</v>
      </c>
      <c r="AP237" t="b">
        <f>IF(metadata!E237="",FALSE,TRUE)</f>
        <v>0</v>
      </c>
      <c r="AQ237" t="b">
        <f>OR(AND(IF(metadata!F237="",FALSE,TRUE),OR(EXACT(metadata!F237,"missing: not collected"),EXACT(metadata!F237,"missing: not provided"))),AND(IF(metadata!F237="",FALSE,TRUE),OR(EXACT(metadata!F237,"TRUE"),EXACT(metadata!F237,"FALSE"))))</f>
        <v>0</v>
      </c>
      <c r="AR237" t="b">
        <f>OR(AND(IF(metadata!G237="",FALSE,TRUE),OR(EXACT(metadata!G237,"missing: not collected"),EXACT(metadata!G237,"missing: not provided"),EXACT(metadata!G237,"missing: restricted access"))),AND(IF(metadata!G237="",FALSE,ISNUMBER(VALUE(metadata!G237))),metadata!G237&gt;=-413))</f>
        <v>0</v>
      </c>
      <c r="AS237" t="b">
        <f>AND(IF(metadata!H237="",FALSE,TRUE),EXACT(metadata!H237,"meters"))</f>
        <v>0</v>
      </c>
      <c r="AT237" t="b">
        <f>AND(IF(metadata!I237="",FALSE,TRUE),OR(EXACT(metadata!I237,"Host-associated"),EXACT(metadata!I237,"Free-living")))</f>
        <v>0</v>
      </c>
      <c r="AU237" t="b">
        <f>AND(IF(metadata!J237="",FALSE,TRUE),OR(EXACT(metadata!J237,"Animal"),EXACT(metadata!J237,"Fungus"),EXACT(metadata!J237,"Plant"),EXACT(metadata!J237,"Saline"),EXACT(metadata!J237,"Non-saline")))</f>
        <v>0</v>
      </c>
      <c r="AV237" t="b">
        <f>AND(IF(metadata!K237="",FALSE,TRUE),OR(EXACT(metadata!K237,"Plant secretion"),EXACT(metadata!K237,"Plant rhizosphere"),EXACT(metadata!K237,"Plant surface"),EXACT(metadata!K237,"Plant corpus"),EXACT(metadata!K237,"Fungus surface"),EXACT(metadata!K237,"Fungus corpus"),EXACT(metadata!K237,"Animal surface"),EXACT(metadata!K237,"Animal proximal gut"),EXACT(metadata!K237,"Animal corpus"),EXACT(metadata!K237,"Animal distal gut"),EXACT(metadata!K237,"Animal secretion"),EXACT(metadata!K237,"Sub-surface (non-saline)"),EXACT(metadata!K237,"Surface (non-saline)"),EXACT(metadata!K237,"Water (non-saline)"),EXACT(metadata!K237,"Soil (non-saline)"),EXACT(metadata!K237,"Aerosol (non-saline)"),EXACT(metadata!K237,"Sediment (non-saline)"),EXACT(metadata!K237,"Surface (saline)"),EXACT(metadata!K237,"Water (saline)"),EXACT(metadata!K237,"Hypersaline (saline)"),EXACT(metadata!K237,"Aerosol (saline)"),EXACT(metadata!K237,"Sediment (saline)")))</f>
        <v>0</v>
      </c>
      <c r="AW237" t="b">
        <f>IF(metadata!L237="",FALSE,TRUE)</f>
        <v>0</v>
      </c>
      <c r="AX237" t="b">
        <f>IF(metadata!M237="",FALSE,TRUE)</f>
        <v>0</v>
      </c>
      <c r="AY237" t="b">
        <f>IF(metadata!N237="",FALSE,TRUE)</f>
        <v>0</v>
      </c>
      <c r="AZ237" t="b">
        <f>OR(AND(IF(metadata!O237="",FALSE,TRUE),OR(EXACT(metadata!O237,"missing: not collected"),EXACT(metadata!O237,"missing: not provided"),EXACT(metadata!O237,"missing: restricted access"))),AND(IF(metadata!O237="",FALSE,TRUE),OR(EXACT(metadata!O237,"air"),EXACT(metadata!O237,"built environment"),EXACT(metadata!O237,"host-associated"),EXACT(metadata!O237,"human-associated"),EXACT(metadata!O237,"human-skin"),EXACT(metadata!O237,"human-oral"),EXACT(metadata!O237,"human-gut"),EXACT(metadata!O237,"human-vaginal"),EXACT(metadata!O237,"microbial mat/biofilm"),EXACT(metadata!O237,"misc environment"),EXACT(metadata!O237,"plant-associated"),EXACT(metadata!O237,"sediment"),EXACT(metadata!O237,"soil"),EXACT(metadata!O237,"wastewater/sludge"),EXACT(metadata!O237,"water"))))</f>
        <v>0</v>
      </c>
      <c r="BA237" t="b">
        <f>IF(metadata!P237="",FALSE,TRUE)</f>
        <v>0</v>
      </c>
      <c r="BB237" t="b">
        <f>IF(metadata!Q237="",FALSE,TRUE)</f>
        <v>0</v>
      </c>
      <c r="BC237" t="b">
        <f>OR(AND(IF(metadata!R237="",FALSE,TRUE),OR(EXACT(metadata!R237,"missing: not collected"),EXACT(metadata!R237,"missing: not provided"),EXACT(metadata!R237,"missing: restricted access"))),AND(IF(metadata!R237="",FALSE,ISNUMBER(VALUE(metadata!R237))),metadata!R237&gt;=-90,metadata!R237&lt;=90))</f>
        <v>0</v>
      </c>
      <c r="BD237" t="b">
        <f>AND(IF(metadata!S237="",FALSE,TRUE),EXACT(metadata!S237,"Decimal degrees"))</f>
        <v>0</v>
      </c>
      <c r="BE237" t="b">
        <f>OR(AND(IF(metadata!T237="",FALSE,TRUE),OR(EXACT(metadata!T237,"missing: not collected"),EXACT(metadata!T237,"missing: not provided"),EXACT(metadata!T237,"missing: restricted access"))),AND(IF(metadata!T237="",FALSE,ISNUMBER(VALUE(metadata!T237))),metadata!T237&gt;=-180,metadata!T237&lt;=180))</f>
        <v>0</v>
      </c>
      <c r="BF237" t="b">
        <f>AND(IF(metadata!U237="",FALSE,TRUE),EXACT(metadata!U237,"Decimal degrees"))</f>
        <v>0</v>
      </c>
      <c r="BG237" t="b">
        <f>IF(metadata!V237="",FALSE,TRUE)</f>
        <v>0</v>
      </c>
      <c r="BH237" t="b">
        <f>OR(AND(IF(metadata!W237="",FALSE,TRUE),OR(EXACT(metadata!W237,"missing: not collected"),EXACT(metadata!W237,"missing: not provided"),EXACT(metadata!W237,"missing: restricted access"))),AND(IF(metadata!W237="",FALSE,TRUE),OR(EXACT(metadata!W237,"TRUE"),EXACT(metadata!W237,"FALSE"))))</f>
        <v>0</v>
      </c>
      <c r="BI237" t="b">
        <f>AND(IF(metadata!X237="",FALSE,TRUE),EXACT(metadata!X237,"other"))</f>
        <v>0</v>
      </c>
      <c r="BJ237" t="b">
        <f>IF(metadata!Y237="",FALSE,TRUE)</f>
        <v>0</v>
      </c>
      <c r="BK237" t="b">
        <f>OR(AND(IF(metadata!Z237="",FALSE,TRUE),OR(EXACT(metadata!Z237,"missing: not collected"),EXACT(metadata!Z237,"missing: not provided"))),AND(IF(metadata!Z237="",FALSE,IF(ISERROR(INT(metadata!Z237)),FALSE,INT(metadata!Z237)=metadata!Z237)),metadata!Z237&gt;0))</f>
        <v>0</v>
      </c>
      <c r="BL237" t="b">
        <f>AND(IF(metadata!AA237="",FALSE,TRUE),EXACT(metadata!AA237,"Not applicable"))</f>
        <v>0</v>
      </c>
      <c r="BM237" t="b">
        <f>IF(metadata!AB237="",FALSE,TRUE)</f>
        <v>0</v>
      </c>
    </row>
    <row r="238" spans="1:65" x14ac:dyDescent="0.2">
      <c r="A238" s="5" t="str">
        <f ca="1">IF(B238=" "," ",HYPERLINK(CONCATENATE("#metadata!",ADDRESS(INDEX($AH$2:$AH$1001,MATCH(ROWS($AF$2:AF238),$AF$2:$AF$1001,0),0),1)),INDEX($AK$2:$AK$1001,MATCH(ROWS($AF$2:AF238),$AF$2:$AF$1001,0),0)))</f>
        <v xml:space="preserve"> </v>
      </c>
      <c r="B238" s="4" t="str">
        <f ca="1">IF(OR(INDEX($AG$2:$AG$1001,MATCH(ROWS($AF$2:AF238),$AF$2:$AF$1001,0),1)&gt;=100000,INDEX($AM$1005:$BM$1005,1,MATCH(COLUMNS($AM$1006:AM1006),$AM$1006:$BM$1006,0))&gt;=100000), " ",IF(INDEX($AM$2:$BM$1001,MATCH(ROWS($AF$2:AF238),$AF$2:$AF$1001,0),MATCH(COLUMNS($AM$1006:AM1006),$AM$1006:$BM$1006,0)), HYPERLINK("#",""), HYPERLINK(CONCATENATE("#metadata!", ADDRESS(INDEX($AH$2:$AH$1001,MATCH(ROWS($AF$2:AF238),$AF$2:$AF$1001,0),0), INDEX($AM$1004:$BM$1004,1,MATCH(COLUMNS($AM$1006:AM1006),$AM$1006:$BM$1006,0)))),"Fix")))</f>
        <v xml:space="preserve"> </v>
      </c>
      <c r="C238" s="4" t="str">
        <f ca="1">IF(OR(INDEX($AG$2:$AG$1001,MATCH(ROWS($AF$2:AF238),$AF$2:$AF$1001,0),1)&gt;=100000,INDEX($AM$1005:$BM$1005,1,MATCH(COLUMNS($AM$1006:AN1006),$AM$1006:$BM$1006,0))&gt;=100000), " ",IF(INDEX($AM$2:$BM$1001,MATCH(ROWS($AF$2:AF238),$AF$2:$AF$1001,0),MATCH(COLUMNS($AM$1006:AN1006),$AM$1006:$BM$1006,0)), HYPERLINK("#",""), HYPERLINK(CONCATENATE("#metadata!", ADDRESS(INDEX($AH$2:$AH$1001,MATCH(ROWS($AF$2:AF238),$AF$2:$AF$1001,0),0), INDEX($AM$1004:$BM$1004,1,MATCH(COLUMNS($AM$1006:AN1006),$AM$1006:$BM$1006,0)))),"Fix")))</f>
        <v xml:space="preserve"> </v>
      </c>
      <c r="D238" s="4" t="str">
        <f ca="1">IF(OR(INDEX($AG$2:$AG$1001,MATCH(ROWS($AF$2:AF238),$AF$2:$AF$1001,0),1)&gt;=100000,INDEX($AM$1005:$BM$1005,1,MATCH(COLUMNS($AM$1006:AO1006),$AM$1006:$BM$1006,0))&gt;=100000), " ",IF(INDEX($AM$2:$BM$1001,MATCH(ROWS($AF$2:AF238),$AF$2:$AF$1001,0),MATCH(COLUMNS($AM$1006:AO1006),$AM$1006:$BM$1006,0)), HYPERLINK("#",""), HYPERLINK(CONCATENATE("#metadata!", ADDRESS(INDEX($AH$2:$AH$1001,MATCH(ROWS($AF$2:AF238),$AF$2:$AF$1001,0),0), INDEX($AM$1004:$BM$1004,1,MATCH(COLUMNS($AM$1006:AO1006),$AM$1006:$BM$1006,0)))),"Fix")))</f>
        <v xml:space="preserve"> </v>
      </c>
      <c r="E238" s="4" t="str">
        <f ca="1">IF(OR(INDEX($AG$2:$AG$1001,MATCH(ROWS($AF$2:AF238),$AF$2:$AF$1001,0),1)&gt;=100000,INDEX($AM$1005:$BM$1005,1,MATCH(COLUMNS($AM$1006:AP1006),$AM$1006:$BM$1006,0))&gt;=100000), " ",IF(INDEX($AM$2:$BM$1001,MATCH(ROWS($AF$2:AF238),$AF$2:$AF$1001,0),MATCH(COLUMNS($AM$1006:AP1006),$AM$1006:$BM$1006,0)), HYPERLINK("#",""), HYPERLINK(CONCATENATE("#metadata!", ADDRESS(INDEX($AH$2:$AH$1001,MATCH(ROWS($AF$2:AF238),$AF$2:$AF$1001,0),0), INDEX($AM$1004:$BM$1004,1,MATCH(COLUMNS($AM$1006:AP1006),$AM$1006:$BM$1006,0)))),"Fix")))</f>
        <v xml:space="preserve"> </v>
      </c>
      <c r="F238" s="4" t="str">
        <f ca="1">IF(OR(INDEX($AG$2:$AG$1001,MATCH(ROWS($AF$2:AF238),$AF$2:$AF$1001,0),1)&gt;=100000,INDEX($AM$1005:$BM$1005,1,MATCH(COLUMNS($AM$1006:AQ1006),$AM$1006:$BM$1006,0))&gt;=100000), " ",IF(INDEX($AM$2:$BM$1001,MATCH(ROWS($AF$2:AF238),$AF$2:$AF$1001,0),MATCH(COLUMNS($AM$1006:AQ1006),$AM$1006:$BM$1006,0)), HYPERLINK("#",""), HYPERLINK(CONCATENATE("#metadata!", ADDRESS(INDEX($AH$2:$AH$1001,MATCH(ROWS($AF$2:AF238),$AF$2:$AF$1001,0),0), INDEX($AM$1004:$BM$1004,1,MATCH(COLUMNS($AM$1006:AQ1006),$AM$1006:$BM$1006,0)))),"Fix")))</f>
        <v xml:space="preserve"> </v>
      </c>
      <c r="G238" s="4" t="str">
        <f ca="1">IF(OR(INDEX($AG$2:$AG$1001,MATCH(ROWS($AF$2:AF238),$AF$2:$AF$1001,0),1)&gt;=100000,INDEX($AM$1005:$BM$1005,1,MATCH(COLUMNS($AM$1006:AR1006),$AM$1006:$BM$1006,0))&gt;=100000), " ",IF(INDEX($AM$2:$BM$1001,MATCH(ROWS($AF$2:AF238),$AF$2:$AF$1001,0),MATCH(COLUMNS($AM$1006:AR1006),$AM$1006:$BM$1006,0)), HYPERLINK("#",""), HYPERLINK(CONCATENATE("#metadata!", ADDRESS(INDEX($AH$2:$AH$1001,MATCH(ROWS($AF$2:AF238),$AF$2:$AF$1001,0),0), INDEX($AM$1004:$BM$1004,1,MATCH(COLUMNS($AM$1006:AR1006),$AM$1006:$BM$1006,0)))),"Fix")))</f>
        <v xml:space="preserve"> </v>
      </c>
      <c r="H238" s="4" t="str">
        <f ca="1">IF(OR(INDEX($AG$2:$AG$1001,MATCH(ROWS($AF$2:AF238),$AF$2:$AF$1001,0),1)&gt;=100000,INDEX($AM$1005:$BM$1005,1,MATCH(COLUMNS($AM$1006:AS1006),$AM$1006:$BM$1006,0))&gt;=100000), " ",IF(INDEX($AM$2:$BM$1001,MATCH(ROWS($AF$2:AF238),$AF$2:$AF$1001,0),MATCH(COLUMNS($AM$1006:AS1006),$AM$1006:$BM$1006,0)), HYPERLINK("#",""), HYPERLINK(CONCATENATE("#metadata!", ADDRESS(INDEX($AH$2:$AH$1001,MATCH(ROWS($AF$2:AF238),$AF$2:$AF$1001,0),0), INDEX($AM$1004:$BM$1004,1,MATCH(COLUMNS($AM$1006:AS1006),$AM$1006:$BM$1006,0)))),"Fix")))</f>
        <v xml:space="preserve"> </v>
      </c>
      <c r="I238" s="4" t="str">
        <f ca="1">IF(OR(INDEX($AG$2:$AG$1001,MATCH(ROWS($AF$2:AF238),$AF$2:$AF$1001,0),1)&gt;=100000,INDEX($AM$1005:$BM$1005,1,MATCH(COLUMNS($AM$1006:AT1006),$AM$1006:$BM$1006,0))&gt;=100000), " ",IF(INDEX($AM$2:$BM$1001,MATCH(ROWS($AF$2:AF238),$AF$2:$AF$1001,0),MATCH(COLUMNS($AM$1006:AT1006),$AM$1006:$BM$1006,0)), HYPERLINK("#",""), HYPERLINK(CONCATENATE("#metadata!", ADDRESS(INDEX($AH$2:$AH$1001,MATCH(ROWS($AF$2:AF238),$AF$2:$AF$1001,0),0), INDEX($AM$1004:$BM$1004,1,MATCH(COLUMNS($AM$1006:AT1006),$AM$1006:$BM$1006,0)))),"Fix")))</f>
        <v xml:space="preserve"> </v>
      </c>
      <c r="J238" s="4" t="str">
        <f ca="1">IF(OR(INDEX($AG$2:$AG$1001,MATCH(ROWS($AF$2:AF238),$AF$2:$AF$1001,0),1)&gt;=100000,INDEX($AM$1005:$BM$1005,1,MATCH(COLUMNS($AM$1006:AU1006),$AM$1006:$BM$1006,0))&gt;=100000), " ",IF(INDEX($AM$2:$BM$1001,MATCH(ROWS($AF$2:AF238),$AF$2:$AF$1001,0),MATCH(COLUMNS($AM$1006:AU1006),$AM$1006:$BM$1006,0)), HYPERLINK("#",""), HYPERLINK(CONCATENATE("#metadata!", ADDRESS(INDEX($AH$2:$AH$1001,MATCH(ROWS($AF$2:AF238),$AF$2:$AF$1001,0),0), INDEX($AM$1004:$BM$1004,1,MATCH(COLUMNS($AM$1006:AU1006),$AM$1006:$BM$1006,0)))),"Fix")))</f>
        <v xml:space="preserve"> </v>
      </c>
      <c r="K238" s="4" t="str">
        <f ca="1">IF(OR(INDEX($AG$2:$AG$1001,MATCH(ROWS($AF$2:AF238),$AF$2:$AF$1001,0),1)&gt;=100000,INDEX($AM$1005:$BM$1005,1,MATCH(COLUMNS($AM$1006:AV1006),$AM$1006:$BM$1006,0))&gt;=100000), " ",IF(INDEX($AM$2:$BM$1001,MATCH(ROWS($AF$2:AF238),$AF$2:$AF$1001,0),MATCH(COLUMNS($AM$1006:AV1006),$AM$1006:$BM$1006,0)), HYPERLINK("#",""), HYPERLINK(CONCATENATE("#metadata!", ADDRESS(INDEX($AH$2:$AH$1001,MATCH(ROWS($AF$2:AF238),$AF$2:$AF$1001,0),0), INDEX($AM$1004:$BM$1004,1,MATCH(COLUMNS($AM$1006:AV1006),$AM$1006:$BM$1006,0)))),"Fix")))</f>
        <v xml:space="preserve"> </v>
      </c>
      <c r="L238" s="4" t="str">
        <f ca="1">IF(OR(INDEX($AG$2:$AG$1001,MATCH(ROWS($AF$2:AF238),$AF$2:$AF$1001,0),1)&gt;=100000,INDEX($AM$1005:$BM$1005,1,MATCH(COLUMNS($AM$1006:AW1006),$AM$1006:$BM$1006,0))&gt;=100000), " ",IF(INDEX($AM$2:$BM$1001,MATCH(ROWS($AF$2:AF238),$AF$2:$AF$1001,0),MATCH(COLUMNS($AM$1006:AW1006),$AM$1006:$BM$1006,0)), HYPERLINK("#",""), HYPERLINK(CONCATENATE("#metadata!", ADDRESS(INDEX($AH$2:$AH$1001,MATCH(ROWS($AF$2:AF238),$AF$2:$AF$1001,0),0), INDEX($AM$1004:$BM$1004,1,MATCH(COLUMNS($AM$1006:AW1006),$AM$1006:$BM$1006,0)))),"Fix")))</f>
        <v xml:space="preserve"> </v>
      </c>
      <c r="M238" s="4" t="str">
        <f ca="1">IF(OR(INDEX($AG$2:$AG$1001,MATCH(ROWS($AF$2:AF238),$AF$2:$AF$1001,0),1)&gt;=100000,INDEX($AM$1005:$BM$1005,1,MATCH(COLUMNS($AM$1006:AX1006),$AM$1006:$BM$1006,0))&gt;=100000), " ",IF(INDEX($AM$2:$BM$1001,MATCH(ROWS($AF$2:AF238),$AF$2:$AF$1001,0),MATCH(COLUMNS($AM$1006:AX1006),$AM$1006:$BM$1006,0)), HYPERLINK("#",""), HYPERLINK(CONCATENATE("#metadata!", ADDRESS(INDEX($AH$2:$AH$1001,MATCH(ROWS($AF$2:AF238),$AF$2:$AF$1001,0),0), INDEX($AM$1004:$BM$1004,1,MATCH(COLUMNS($AM$1006:AX1006),$AM$1006:$BM$1006,0)))),"Fix")))</f>
        <v xml:space="preserve"> </v>
      </c>
      <c r="N238" s="4" t="str">
        <f ca="1">IF(OR(INDEX($AG$2:$AG$1001,MATCH(ROWS($AF$2:AF238),$AF$2:$AF$1001,0),1)&gt;=100000,INDEX($AM$1005:$BM$1005,1,MATCH(COLUMNS($AM$1006:AY1006),$AM$1006:$BM$1006,0))&gt;=100000), " ",IF(INDEX($AM$2:$BM$1001,MATCH(ROWS($AF$2:AF238),$AF$2:$AF$1001,0),MATCH(COLUMNS($AM$1006:AY1006),$AM$1006:$BM$1006,0)), HYPERLINK("#",""), HYPERLINK(CONCATENATE("#metadata!", ADDRESS(INDEX($AH$2:$AH$1001,MATCH(ROWS($AF$2:AF238),$AF$2:$AF$1001,0),0), INDEX($AM$1004:$BM$1004,1,MATCH(COLUMNS($AM$1006:AY1006),$AM$1006:$BM$1006,0)))),"Fix")))</f>
        <v xml:space="preserve"> </v>
      </c>
      <c r="O238" s="4" t="str">
        <f ca="1">IF(OR(INDEX($AG$2:$AG$1001,MATCH(ROWS($AF$2:AF238),$AF$2:$AF$1001,0),1)&gt;=100000,INDEX($AM$1005:$BM$1005,1,MATCH(COLUMNS($AM$1006:AZ1006),$AM$1006:$BM$1006,0))&gt;=100000), " ",IF(INDEX($AM$2:$BM$1001,MATCH(ROWS($AF$2:AF238),$AF$2:$AF$1001,0),MATCH(COLUMNS($AM$1006:AZ1006),$AM$1006:$BM$1006,0)), HYPERLINK("#",""), HYPERLINK(CONCATENATE("#metadata!", ADDRESS(INDEX($AH$2:$AH$1001,MATCH(ROWS($AF$2:AF238),$AF$2:$AF$1001,0),0), INDEX($AM$1004:$BM$1004,1,MATCH(COLUMNS($AM$1006:AZ1006),$AM$1006:$BM$1006,0)))),"Fix")))</f>
        <v xml:space="preserve"> </v>
      </c>
      <c r="P238" s="4" t="str">
        <f ca="1">IF(OR(INDEX($AG$2:$AG$1001,MATCH(ROWS($AF$2:AF238),$AF$2:$AF$1001,0),1)&gt;=100000,INDEX($AM$1005:$BM$1005,1,MATCH(COLUMNS($AM$1006:BA1006),$AM$1006:$BM$1006,0))&gt;=100000), " ",IF(INDEX($AM$2:$BM$1001,MATCH(ROWS($AF$2:AF238),$AF$2:$AF$1001,0),MATCH(COLUMNS($AM$1006:BA1006),$AM$1006:$BM$1006,0)), HYPERLINK("#",""), HYPERLINK(CONCATENATE("#metadata!", ADDRESS(INDEX($AH$2:$AH$1001,MATCH(ROWS($AF$2:AF238),$AF$2:$AF$1001,0),0), INDEX($AM$1004:$BM$1004,1,MATCH(COLUMNS($AM$1006:BA1006),$AM$1006:$BM$1006,0)))),"Fix")))</f>
        <v xml:space="preserve"> </v>
      </c>
      <c r="Q238" s="4" t="str">
        <f ca="1">IF(OR(INDEX($AG$2:$AG$1001,MATCH(ROWS($AF$2:AF238),$AF$2:$AF$1001,0),1)&gt;=100000,INDEX($AM$1005:$BM$1005,1,MATCH(COLUMNS($AM$1006:BB1006),$AM$1006:$BM$1006,0))&gt;=100000), " ",IF(INDEX($AM$2:$BM$1001,MATCH(ROWS($AF$2:AF238),$AF$2:$AF$1001,0),MATCH(COLUMNS($AM$1006:BB1006),$AM$1006:$BM$1006,0)), HYPERLINK("#",""), HYPERLINK(CONCATENATE("#metadata!", ADDRESS(INDEX($AH$2:$AH$1001,MATCH(ROWS($AF$2:AF238),$AF$2:$AF$1001,0),0), INDEX($AM$1004:$BM$1004,1,MATCH(COLUMNS($AM$1006:BB1006),$AM$1006:$BM$1006,0)))),"Fix")))</f>
        <v xml:space="preserve"> </v>
      </c>
      <c r="R238" s="4" t="str">
        <f ca="1">IF(OR(INDEX($AG$2:$AG$1001,MATCH(ROWS($AF$2:AF238),$AF$2:$AF$1001,0),1)&gt;=100000,INDEX($AM$1005:$BM$1005,1,MATCH(COLUMNS($AM$1006:BC1006),$AM$1006:$BM$1006,0))&gt;=100000), " ",IF(INDEX($AM$2:$BM$1001,MATCH(ROWS($AF$2:AF238),$AF$2:$AF$1001,0),MATCH(COLUMNS($AM$1006:BC1006),$AM$1006:$BM$1006,0)), HYPERLINK("#",""), HYPERLINK(CONCATENATE("#metadata!", ADDRESS(INDEX($AH$2:$AH$1001,MATCH(ROWS($AF$2:AF238),$AF$2:$AF$1001,0),0), INDEX($AM$1004:$BM$1004,1,MATCH(COLUMNS($AM$1006:BC1006),$AM$1006:$BM$1006,0)))),"Fix")))</f>
        <v xml:space="preserve"> </v>
      </c>
      <c r="S238" s="4" t="str">
        <f ca="1">IF(OR(INDEX($AG$2:$AG$1001,MATCH(ROWS($AF$2:AF238),$AF$2:$AF$1001,0),1)&gt;=100000,INDEX($AM$1005:$BM$1005,1,MATCH(COLUMNS($AM$1006:BD1006),$AM$1006:$BM$1006,0))&gt;=100000), " ",IF(INDEX($AM$2:$BM$1001,MATCH(ROWS($AF$2:AF238),$AF$2:$AF$1001,0),MATCH(COLUMNS($AM$1006:BD1006),$AM$1006:$BM$1006,0)), HYPERLINK("#",""), HYPERLINK(CONCATENATE("#metadata!", ADDRESS(INDEX($AH$2:$AH$1001,MATCH(ROWS($AF$2:AF238),$AF$2:$AF$1001,0),0), INDEX($AM$1004:$BM$1004,1,MATCH(COLUMNS($AM$1006:BD1006),$AM$1006:$BM$1006,0)))),"Fix")))</f>
        <v xml:space="preserve"> </v>
      </c>
      <c r="T238" s="4" t="str">
        <f ca="1">IF(OR(INDEX($AG$2:$AG$1001,MATCH(ROWS($AF$2:AF238),$AF$2:$AF$1001,0),1)&gt;=100000,INDEX($AM$1005:$BM$1005,1,MATCH(COLUMNS($AM$1006:BE1006),$AM$1006:$BM$1006,0))&gt;=100000), " ",IF(INDEX($AM$2:$BM$1001,MATCH(ROWS($AF$2:AF238),$AF$2:$AF$1001,0),MATCH(COLUMNS($AM$1006:BE1006),$AM$1006:$BM$1006,0)), HYPERLINK("#",""), HYPERLINK(CONCATENATE("#metadata!", ADDRESS(INDEX($AH$2:$AH$1001,MATCH(ROWS($AF$2:AF238),$AF$2:$AF$1001,0),0), INDEX($AM$1004:$BM$1004,1,MATCH(COLUMNS($AM$1006:BE1006),$AM$1006:$BM$1006,0)))),"Fix")))</f>
        <v xml:space="preserve"> </v>
      </c>
      <c r="U238" s="4" t="str">
        <f ca="1">IF(OR(INDEX($AG$2:$AG$1001,MATCH(ROWS($AF$2:AF238),$AF$2:$AF$1001,0),1)&gt;=100000,INDEX($AM$1005:$BM$1005,1,MATCH(COLUMNS($AM$1006:BF1006),$AM$1006:$BM$1006,0))&gt;=100000), " ",IF(INDEX($AM$2:$BM$1001,MATCH(ROWS($AF$2:AF238),$AF$2:$AF$1001,0),MATCH(COLUMNS($AM$1006:BF1006),$AM$1006:$BM$1006,0)), HYPERLINK("#",""), HYPERLINK(CONCATENATE("#metadata!", ADDRESS(INDEX($AH$2:$AH$1001,MATCH(ROWS($AF$2:AF238),$AF$2:$AF$1001,0),0), INDEX($AM$1004:$BM$1004,1,MATCH(COLUMNS($AM$1006:BF1006),$AM$1006:$BM$1006,0)))),"Fix")))</f>
        <v xml:space="preserve"> </v>
      </c>
      <c r="V238" s="4" t="str">
        <f ca="1">IF(OR(INDEX($AG$2:$AG$1001,MATCH(ROWS($AF$2:AF238),$AF$2:$AF$1001,0),1)&gt;=100000,INDEX($AM$1005:$BM$1005,1,MATCH(COLUMNS($AM$1006:BG1006),$AM$1006:$BM$1006,0))&gt;=100000), " ",IF(INDEX($AM$2:$BM$1001,MATCH(ROWS($AF$2:AF238),$AF$2:$AF$1001,0),MATCH(COLUMNS($AM$1006:BG1006),$AM$1006:$BM$1006,0)), HYPERLINK("#",""), HYPERLINK(CONCATENATE("#metadata!", ADDRESS(INDEX($AH$2:$AH$1001,MATCH(ROWS($AF$2:AF238),$AF$2:$AF$1001,0),0), INDEX($AM$1004:$BM$1004,1,MATCH(COLUMNS($AM$1006:BG1006),$AM$1006:$BM$1006,0)))),"Fix")))</f>
        <v xml:space="preserve"> </v>
      </c>
      <c r="W238" s="4" t="str">
        <f ca="1">IF(OR(INDEX($AG$2:$AG$1001,MATCH(ROWS($AF$2:AF238),$AF$2:$AF$1001,0),1)&gt;=100000,INDEX($AM$1005:$BM$1005,1,MATCH(COLUMNS($AM$1006:BH1006),$AM$1006:$BM$1006,0))&gt;=100000), " ",IF(INDEX($AM$2:$BM$1001,MATCH(ROWS($AF$2:AF238),$AF$2:$AF$1001,0),MATCH(COLUMNS($AM$1006:BH1006),$AM$1006:$BM$1006,0)), HYPERLINK("#",""), HYPERLINK(CONCATENATE("#metadata!", ADDRESS(INDEX($AH$2:$AH$1001,MATCH(ROWS($AF$2:AF238),$AF$2:$AF$1001,0),0), INDEX($AM$1004:$BM$1004,1,MATCH(COLUMNS($AM$1006:BH1006),$AM$1006:$BM$1006,0)))),"Fix")))</f>
        <v xml:space="preserve"> </v>
      </c>
      <c r="X238" s="4" t="str">
        <f ca="1">IF(OR(INDEX($AG$2:$AG$1001,MATCH(ROWS($AF$2:AF238),$AF$2:$AF$1001,0),1)&gt;=100000,INDEX($AM$1005:$BM$1005,1,MATCH(COLUMNS($AM$1006:BI1006),$AM$1006:$BM$1006,0))&gt;=100000), " ",IF(INDEX($AM$2:$BM$1001,MATCH(ROWS($AF$2:AF238),$AF$2:$AF$1001,0),MATCH(COLUMNS($AM$1006:BI1006),$AM$1006:$BM$1006,0)), HYPERLINK("#",""), HYPERLINK(CONCATENATE("#metadata!", ADDRESS(INDEX($AH$2:$AH$1001,MATCH(ROWS($AF$2:AF238),$AF$2:$AF$1001,0),0), INDEX($AM$1004:$BM$1004,1,MATCH(COLUMNS($AM$1006:BI1006),$AM$1006:$BM$1006,0)))),"Fix")))</f>
        <v xml:space="preserve"> </v>
      </c>
      <c r="Y238" s="4" t="str">
        <f ca="1">IF(OR(INDEX($AG$2:$AG$1001,MATCH(ROWS($AF$2:AF238),$AF$2:$AF$1001,0),1)&gt;=100000,INDEX($AM$1005:$BM$1005,1,MATCH(COLUMNS($AM$1006:BJ1006),$AM$1006:$BM$1006,0))&gt;=100000), " ",IF(INDEX($AM$2:$BM$1001,MATCH(ROWS($AF$2:AF238),$AF$2:$AF$1001,0),MATCH(COLUMNS($AM$1006:BJ1006),$AM$1006:$BM$1006,0)), HYPERLINK("#",""), HYPERLINK(CONCATENATE("#metadata!", ADDRESS(INDEX($AH$2:$AH$1001,MATCH(ROWS($AF$2:AF238),$AF$2:$AF$1001,0),0), INDEX($AM$1004:$BM$1004,1,MATCH(COLUMNS($AM$1006:BJ1006),$AM$1006:$BM$1006,0)))),"Fix")))</f>
        <v xml:space="preserve"> </v>
      </c>
      <c r="Z238" s="4" t="str">
        <f ca="1">IF(OR(INDEX($AG$2:$AG$1001,MATCH(ROWS($AF$2:AF238),$AF$2:$AF$1001,0),1)&gt;=100000,INDEX($AM$1005:$BM$1005,1,MATCH(COLUMNS($AM$1006:BK1006),$AM$1006:$BM$1006,0))&gt;=100000), " ",IF(INDEX($AM$2:$BM$1001,MATCH(ROWS($AF$2:AF238),$AF$2:$AF$1001,0),MATCH(COLUMNS($AM$1006:BK1006),$AM$1006:$BM$1006,0)), HYPERLINK("#",""), HYPERLINK(CONCATENATE("#metadata!", ADDRESS(INDEX($AH$2:$AH$1001,MATCH(ROWS($AF$2:AF238),$AF$2:$AF$1001,0),0), INDEX($AM$1004:$BM$1004,1,MATCH(COLUMNS($AM$1006:BK1006),$AM$1006:$BM$1006,0)))),"Fix")))</f>
        <v xml:space="preserve"> </v>
      </c>
      <c r="AA238" s="4" t="str">
        <f ca="1">IF(OR(INDEX($AG$2:$AG$1001,MATCH(ROWS($AF$2:AF238),$AF$2:$AF$1001,0),1)&gt;=100000,INDEX($AM$1005:$BM$1005,1,MATCH(COLUMNS($AM$1006:BL1006),$AM$1006:$BM$1006,0))&gt;=100000), " ",IF(INDEX($AM$2:$BM$1001,MATCH(ROWS($AF$2:AF238),$AF$2:$AF$1001,0),MATCH(COLUMNS($AM$1006:BL1006),$AM$1006:$BM$1006,0)), HYPERLINK("#",""), HYPERLINK(CONCATENATE("#metadata!", ADDRESS(INDEX($AH$2:$AH$1001,MATCH(ROWS($AF$2:AF238),$AF$2:$AF$1001,0),0), INDEX($AM$1004:$BM$1004,1,MATCH(COLUMNS($AM$1006:BL1006),$AM$1006:$BM$1006,0)))),"Fix")))</f>
        <v xml:space="preserve"> </v>
      </c>
      <c r="AB238" s="4" t="str">
        <f ca="1">IF(OR(INDEX($AG$2:$AG$1001,MATCH(ROWS($AF$2:AF238),$AF$2:$AF$1001,0),1)&gt;=100000,INDEX($AM$1005:$BM$1005,1,MATCH(COLUMNS($AM$1006:BM1006),$AM$1006:$BM$1006,0))&gt;=100000), " ",IF(INDEX($AM$2:$BM$1001,MATCH(ROWS($AF$2:AF238),$AF$2:$AF$1001,0),MATCH(COLUMNS($AM$1006:BM1006),$AM$1006:$BM$1006,0)), HYPERLINK("#",""), HYPERLINK(CONCATENATE("#metadata!", ADDRESS(INDEX($AH$2:$AH$1001,MATCH(ROWS($AF$2:AF238),$AF$2:$AF$1001,0),0), INDEX($AM$1004:$BM$1004,1,MATCH(COLUMNS($AM$1006:BM1006),$AM$1006:$BM$1006,0)))),"Fix")))</f>
        <v xml:space="preserve"> </v>
      </c>
      <c r="AF238">
        <v>237</v>
      </c>
      <c r="AG238">
        <v>100238</v>
      </c>
      <c r="AH238">
        <v>238</v>
      </c>
      <c r="AI238" t="b">
        <f t="shared" si="3"/>
        <v>1</v>
      </c>
      <c r="AJ238" t="b">
        <f>COUNTBLANK(metadata!B238:AB238)=COLUMNS(metadata!B238:AB238)</f>
        <v>1</v>
      </c>
      <c r="AK238" t="str">
        <v/>
      </c>
      <c r="AM238" t="b">
        <f ca="1">AND(IF(metadata!B238="",FALSE,TRUE),COUNTIF(metadata!B:B, metadata!B238) = 1,NOT(ISERROR(SUMPRODUCT(SEARCH(MID(metadata!B238,ROW(INDIRECT("1:"&amp;LEN(metadata!B238))), 1),"0123456789abcdefghijklmnopqrstuvwxyzABCDEFGHIJKLMNOPQRSTUVWXYZ.")))))</f>
        <v>0</v>
      </c>
      <c r="AN238" t="b">
        <f ca="1">OR(AND(IF(metadata!C238="",FALSE,TRUE),OR(EXACT(metadata!C238,"missing: not collected"),EXACT(metadata!C238,"missing: not provided"),EXACT(metadata!C238,"missing: restricted access"))),AND(IF(metadata!C238="",FALSE,TRUE),AND(AND(IFERROR(INT(LEFT(metadata!C238,4))&gt;1900,FALSE),IFERROR(INT(LEFT(metadata!C238,4))&lt;=YEAR(NOW()),FALSE)), OR(MID(metadata!C238,5,1)="", AND(AND(MID(metadata!C238,5,1)="-",IFERROR(INT(MID(metadata!C238,6,1))&gt;=0,FALSE),IFERROR(INT(MID(metadata!C238,6,1))&lt;=1,FALSE),NOT(MID(metadata!C238,7,1)=""),IFERROR(INT(MID(metadata!C238,6,2))&gt;=1,FALSE),IFERROR(INT(MID(metadata!C238,6,2))&lt;=12,FALSE)), OR(MID(metadata!C238,8,1)="", AND(AND(MID(metadata!C238,8,1)="-",IFERROR(INT(MID(metadata!C238,9,1))&gt;=0,FALSE),IFERROR(INT(MID(metadata!C238,9,1))&lt;=3,FALSE),NOT(MID(metadata!C238,10,1)=""),IFERROR(INT(MID(metadata!C238,9,2))&gt;=1,FALSE),IFERROR(INT(MID(metadata!C238,9,2))&lt;=31,FALSE)), OR(MID(metadata!C238,11,1)="", AND(AND(MID(metadata!C238,11,1)=" ",IFERROR(INT(MID(metadata!C238,12,1))&gt;=0,FALSE),IFERROR(INT(MID(metadata!C238,12,1))&lt;=2,FALSE),NOT(MID(metadata!C238,13,1)=""),IFERROR(INT(MID(metadata!C238,12,2))&gt;=0,FALSE),IFERROR(INT(MID(metadata!C238,12,2))&lt;=23,FALSE)), OR(MID(metadata!C238,14,1)="", AND(AND(MID(metadata!C238,14,1)=":",IFERROR(INT(MID(metadata!C238,15,1))&gt;=0,FALSE),IFERROR(INT(MID(metadata!C238,15,1))&lt;=5,FALSE),NOT(MID(metadata!C238,16,1)=""),IFERROR(INT(MID(metadata!C238,15,2))&gt;=0,FALSE),IFERROR(INT(MID(metadata!C238,15,2))&lt;=59,FALSE)), OR(MID(metadata!C238,17,1)="", AND(AND(MID(metadata!C238,17,1)=":",IFERROR(INT(MID(metadata!C238,18,1))&gt;=0,FALSE),IFERROR(INT(MID(metadata!C238,18,1))&lt;=5,FALSE),NOT(MID(metadata!C238,19,1)=""),IFERROR(INT(MID(metadata!C238,18,2))&gt;=0,FALSE),IFERROR(INT(MID(metadata!C238,18,2))&lt;=59,FALSE)), LEN(metadata!C238)&lt;=19)))))))))))))</f>
        <v>0</v>
      </c>
      <c r="AO238" t="b">
        <f>AND(IF(metadata!D238="",FALSE,TRUE),EXACT(metadata!D238,"Not applicable"))</f>
        <v>0</v>
      </c>
      <c r="AP238" t="b">
        <f>IF(metadata!E238="",FALSE,TRUE)</f>
        <v>0</v>
      </c>
      <c r="AQ238" t="b">
        <f>OR(AND(IF(metadata!F238="",FALSE,TRUE),OR(EXACT(metadata!F238,"missing: not collected"),EXACT(metadata!F238,"missing: not provided"))),AND(IF(metadata!F238="",FALSE,TRUE),OR(EXACT(metadata!F238,"TRUE"),EXACT(metadata!F238,"FALSE"))))</f>
        <v>0</v>
      </c>
      <c r="AR238" t="b">
        <f>OR(AND(IF(metadata!G238="",FALSE,TRUE),OR(EXACT(metadata!G238,"missing: not collected"),EXACT(metadata!G238,"missing: not provided"),EXACT(metadata!G238,"missing: restricted access"))),AND(IF(metadata!G238="",FALSE,ISNUMBER(VALUE(metadata!G238))),metadata!G238&gt;=-413))</f>
        <v>0</v>
      </c>
      <c r="AS238" t="b">
        <f>AND(IF(metadata!H238="",FALSE,TRUE),EXACT(metadata!H238,"meters"))</f>
        <v>0</v>
      </c>
      <c r="AT238" t="b">
        <f>AND(IF(metadata!I238="",FALSE,TRUE),OR(EXACT(metadata!I238,"Host-associated"),EXACT(metadata!I238,"Free-living")))</f>
        <v>0</v>
      </c>
      <c r="AU238" t="b">
        <f>AND(IF(metadata!J238="",FALSE,TRUE),OR(EXACT(metadata!J238,"Animal"),EXACT(metadata!J238,"Fungus"),EXACT(metadata!J238,"Plant"),EXACT(metadata!J238,"Saline"),EXACT(metadata!J238,"Non-saline")))</f>
        <v>0</v>
      </c>
      <c r="AV238" t="b">
        <f>AND(IF(metadata!K238="",FALSE,TRUE),OR(EXACT(metadata!K238,"Plant secretion"),EXACT(metadata!K238,"Plant rhizosphere"),EXACT(metadata!K238,"Plant surface"),EXACT(metadata!K238,"Plant corpus"),EXACT(metadata!K238,"Fungus surface"),EXACT(metadata!K238,"Fungus corpus"),EXACT(metadata!K238,"Animal surface"),EXACT(metadata!K238,"Animal proximal gut"),EXACT(metadata!K238,"Animal corpus"),EXACT(metadata!K238,"Animal distal gut"),EXACT(metadata!K238,"Animal secretion"),EXACT(metadata!K238,"Sub-surface (non-saline)"),EXACT(metadata!K238,"Surface (non-saline)"),EXACT(metadata!K238,"Water (non-saline)"),EXACT(metadata!K238,"Soil (non-saline)"),EXACT(metadata!K238,"Aerosol (non-saline)"),EXACT(metadata!K238,"Sediment (non-saline)"),EXACT(metadata!K238,"Surface (saline)"),EXACT(metadata!K238,"Water (saline)"),EXACT(metadata!K238,"Hypersaline (saline)"),EXACT(metadata!K238,"Aerosol (saline)"),EXACT(metadata!K238,"Sediment (saline)")))</f>
        <v>0</v>
      </c>
      <c r="AW238" t="b">
        <f>IF(metadata!L238="",FALSE,TRUE)</f>
        <v>0</v>
      </c>
      <c r="AX238" t="b">
        <f>IF(metadata!M238="",FALSE,TRUE)</f>
        <v>0</v>
      </c>
      <c r="AY238" t="b">
        <f>IF(metadata!N238="",FALSE,TRUE)</f>
        <v>0</v>
      </c>
      <c r="AZ238" t="b">
        <f>OR(AND(IF(metadata!O238="",FALSE,TRUE),OR(EXACT(metadata!O238,"missing: not collected"),EXACT(metadata!O238,"missing: not provided"),EXACT(metadata!O238,"missing: restricted access"))),AND(IF(metadata!O238="",FALSE,TRUE),OR(EXACT(metadata!O238,"air"),EXACT(metadata!O238,"built environment"),EXACT(metadata!O238,"host-associated"),EXACT(metadata!O238,"human-associated"),EXACT(metadata!O238,"human-skin"),EXACT(metadata!O238,"human-oral"),EXACT(metadata!O238,"human-gut"),EXACT(metadata!O238,"human-vaginal"),EXACT(metadata!O238,"microbial mat/biofilm"),EXACT(metadata!O238,"misc environment"),EXACT(metadata!O238,"plant-associated"),EXACT(metadata!O238,"sediment"),EXACT(metadata!O238,"soil"),EXACT(metadata!O238,"wastewater/sludge"),EXACT(metadata!O238,"water"))))</f>
        <v>0</v>
      </c>
      <c r="BA238" t="b">
        <f>IF(metadata!P238="",FALSE,TRUE)</f>
        <v>0</v>
      </c>
      <c r="BB238" t="b">
        <f>IF(metadata!Q238="",FALSE,TRUE)</f>
        <v>0</v>
      </c>
      <c r="BC238" t="b">
        <f>OR(AND(IF(metadata!R238="",FALSE,TRUE),OR(EXACT(metadata!R238,"missing: not collected"),EXACT(metadata!R238,"missing: not provided"),EXACT(metadata!R238,"missing: restricted access"))),AND(IF(metadata!R238="",FALSE,ISNUMBER(VALUE(metadata!R238))),metadata!R238&gt;=-90,metadata!R238&lt;=90))</f>
        <v>0</v>
      </c>
      <c r="BD238" t="b">
        <f>AND(IF(metadata!S238="",FALSE,TRUE),EXACT(metadata!S238,"Decimal degrees"))</f>
        <v>0</v>
      </c>
      <c r="BE238" t="b">
        <f>OR(AND(IF(metadata!T238="",FALSE,TRUE),OR(EXACT(metadata!T238,"missing: not collected"),EXACT(metadata!T238,"missing: not provided"),EXACT(metadata!T238,"missing: restricted access"))),AND(IF(metadata!T238="",FALSE,ISNUMBER(VALUE(metadata!T238))),metadata!T238&gt;=-180,metadata!T238&lt;=180))</f>
        <v>0</v>
      </c>
      <c r="BF238" t="b">
        <f>AND(IF(metadata!U238="",FALSE,TRUE),EXACT(metadata!U238,"Decimal degrees"))</f>
        <v>0</v>
      </c>
      <c r="BG238" t="b">
        <f>IF(metadata!V238="",FALSE,TRUE)</f>
        <v>0</v>
      </c>
      <c r="BH238" t="b">
        <f>OR(AND(IF(metadata!W238="",FALSE,TRUE),OR(EXACT(metadata!W238,"missing: not collected"),EXACT(metadata!W238,"missing: not provided"),EXACT(metadata!W238,"missing: restricted access"))),AND(IF(metadata!W238="",FALSE,TRUE),OR(EXACT(metadata!W238,"TRUE"),EXACT(metadata!W238,"FALSE"))))</f>
        <v>0</v>
      </c>
      <c r="BI238" t="b">
        <f>AND(IF(metadata!X238="",FALSE,TRUE),EXACT(metadata!X238,"other"))</f>
        <v>0</v>
      </c>
      <c r="BJ238" t="b">
        <f>IF(metadata!Y238="",FALSE,TRUE)</f>
        <v>0</v>
      </c>
      <c r="BK238" t="b">
        <f>OR(AND(IF(metadata!Z238="",FALSE,TRUE),OR(EXACT(metadata!Z238,"missing: not collected"),EXACT(metadata!Z238,"missing: not provided"))),AND(IF(metadata!Z238="",FALSE,IF(ISERROR(INT(metadata!Z238)),FALSE,INT(metadata!Z238)=metadata!Z238)),metadata!Z238&gt;0))</f>
        <v>0</v>
      </c>
      <c r="BL238" t="b">
        <f>AND(IF(metadata!AA238="",FALSE,TRUE),EXACT(metadata!AA238,"Not applicable"))</f>
        <v>0</v>
      </c>
      <c r="BM238" t="b">
        <f>IF(metadata!AB238="",FALSE,TRUE)</f>
        <v>0</v>
      </c>
    </row>
    <row r="239" spans="1:65" x14ac:dyDescent="0.2">
      <c r="A239" s="5" t="str">
        <f ca="1">IF(B239=" "," ",HYPERLINK(CONCATENATE("#metadata!",ADDRESS(INDEX($AH$2:$AH$1001,MATCH(ROWS($AF$2:AF239),$AF$2:$AF$1001,0),0),1)),INDEX($AK$2:$AK$1001,MATCH(ROWS($AF$2:AF239),$AF$2:$AF$1001,0),0)))</f>
        <v xml:space="preserve"> </v>
      </c>
      <c r="B239" s="4" t="str">
        <f ca="1">IF(OR(INDEX($AG$2:$AG$1001,MATCH(ROWS($AF$2:AF239),$AF$2:$AF$1001,0),1)&gt;=100000,INDEX($AM$1005:$BM$1005,1,MATCH(COLUMNS($AM$1006:AM1006),$AM$1006:$BM$1006,0))&gt;=100000), " ",IF(INDEX($AM$2:$BM$1001,MATCH(ROWS($AF$2:AF239),$AF$2:$AF$1001,0),MATCH(COLUMNS($AM$1006:AM1006),$AM$1006:$BM$1006,0)), HYPERLINK("#",""), HYPERLINK(CONCATENATE("#metadata!", ADDRESS(INDEX($AH$2:$AH$1001,MATCH(ROWS($AF$2:AF239),$AF$2:$AF$1001,0),0), INDEX($AM$1004:$BM$1004,1,MATCH(COLUMNS($AM$1006:AM1006),$AM$1006:$BM$1006,0)))),"Fix")))</f>
        <v xml:space="preserve"> </v>
      </c>
      <c r="C239" s="4" t="str">
        <f ca="1">IF(OR(INDEX($AG$2:$AG$1001,MATCH(ROWS($AF$2:AF239),$AF$2:$AF$1001,0),1)&gt;=100000,INDEX($AM$1005:$BM$1005,1,MATCH(COLUMNS($AM$1006:AN1006),$AM$1006:$BM$1006,0))&gt;=100000), " ",IF(INDEX($AM$2:$BM$1001,MATCH(ROWS($AF$2:AF239),$AF$2:$AF$1001,0),MATCH(COLUMNS($AM$1006:AN1006),$AM$1006:$BM$1006,0)), HYPERLINK("#",""), HYPERLINK(CONCATENATE("#metadata!", ADDRESS(INDEX($AH$2:$AH$1001,MATCH(ROWS($AF$2:AF239),$AF$2:$AF$1001,0),0), INDEX($AM$1004:$BM$1004,1,MATCH(COLUMNS($AM$1006:AN1006),$AM$1006:$BM$1006,0)))),"Fix")))</f>
        <v xml:space="preserve"> </v>
      </c>
      <c r="D239" s="4" t="str">
        <f ca="1">IF(OR(INDEX($AG$2:$AG$1001,MATCH(ROWS($AF$2:AF239),$AF$2:$AF$1001,0),1)&gt;=100000,INDEX($AM$1005:$BM$1005,1,MATCH(COLUMNS($AM$1006:AO1006),$AM$1006:$BM$1006,0))&gt;=100000), " ",IF(INDEX($AM$2:$BM$1001,MATCH(ROWS($AF$2:AF239),$AF$2:$AF$1001,0),MATCH(COLUMNS($AM$1006:AO1006),$AM$1006:$BM$1006,0)), HYPERLINK("#",""), HYPERLINK(CONCATENATE("#metadata!", ADDRESS(INDEX($AH$2:$AH$1001,MATCH(ROWS($AF$2:AF239),$AF$2:$AF$1001,0),0), INDEX($AM$1004:$BM$1004,1,MATCH(COLUMNS($AM$1006:AO1006),$AM$1006:$BM$1006,0)))),"Fix")))</f>
        <v xml:space="preserve"> </v>
      </c>
      <c r="E239" s="4" t="str">
        <f ca="1">IF(OR(INDEX($AG$2:$AG$1001,MATCH(ROWS($AF$2:AF239),$AF$2:$AF$1001,0),1)&gt;=100000,INDEX($AM$1005:$BM$1005,1,MATCH(COLUMNS($AM$1006:AP1006),$AM$1006:$BM$1006,0))&gt;=100000), " ",IF(INDEX($AM$2:$BM$1001,MATCH(ROWS($AF$2:AF239),$AF$2:$AF$1001,0),MATCH(COLUMNS($AM$1006:AP1006),$AM$1006:$BM$1006,0)), HYPERLINK("#",""), HYPERLINK(CONCATENATE("#metadata!", ADDRESS(INDEX($AH$2:$AH$1001,MATCH(ROWS($AF$2:AF239),$AF$2:$AF$1001,0),0), INDEX($AM$1004:$BM$1004,1,MATCH(COLUMNS($AM$1006:AP1006),$AM$1006:$BM$1006,0)))),"Fix")))</f>
        <v xml:space="preserve"> </v>
      </c>
      <c r="F239" s="4" t="str">
        <f ca="1">IF(OR(INDEX($AG$2:$AG$1001,MATCH(ROWS($AF$2:AF239),$AF$2:$AF$1001,0),1)&gt;=100000,INDEX($AM$1005:$BM$1005,1,MATCH(COLUMNS($AM$1006:AQ1006),$AM$1006:$BM$1006,0))&gt;=100000), " ",IF(INDEX($AM$2:$BM$1001,MATCH(ROWS($AF$2:AF239),$AF$2:$AF$1001,0),MATCH(COLUMNS($AM$1006:AQ1006),$AM$1006:$BM$1006,0)), HYPERLINK("#",""), HYPERLINK(CONCATENATE("#metadata!", ADDRESS(INDEX($AH$2:$AH$1001,MATCH(ROWS($AF$2:AF239),$AF$2:$AF$1001,0),0), INDEX($AM$1004:$BM$1004,1,MATCH(COLUMNS($AM$1006:AQ1006),$AM$1006:$BM$1006,0)))),"Fix")))</f>
        <v xml:space="preserve"> </v>
      </c>
      <c r="G239" s="4" t="str">
        <f ca="1">IF(OR(INDEX($AG$2:$AG$1001,MATCH(ROWS($AF$2:AF239),$AF$2:$AF$1001,0),1)&gt;=100000,INDEX($AM$1005:$BM$1005,1,MATCH(COLUMNS($AM$1006:AR1006),$AM$1006:$BM$1006,0))&gt;=100000), " ",IF(INDEX($AM$2:$BM$1001,MATCH(ROWS($AF$2:AF239),$AF$2:$AF$1001,0),MATCH(COLUMNS($AM$1006:AR1006),$AM$1006:$BM$1006,0)), HYPERLINK("#",""), HYPERLINK(CONCATENATE("#metadata!", ADDRESS(INDEX($AH$2:$AH$1001,MATCH(ROWS($AF$2:AF239),$AF$2:$AF$1001,0),0), INDEX($AM$1004:$BM$1004,1,MATCH(COLUMNS($AM$1006:AR1006),$AM$1006:$BM$1006,0)))),"Fix")))</f>
        <v xml:space="preserve"> </v>
      </c>
      <c r="H239" s="4" t="str">
        <f ca="1">IF(OR(INDEX($AG$2:$AG$1001,MATCH(ROWS($AF$2:AF239),$AF$2:$AF$1001,0),1)&gt;=100000,INDEX($AM$1005:$BM$1005,1,MATCH(COLUMNS($AM$1006:AS1006),$AM$1006:$BM$1006,0))&gt;=100000), " ",IF(INDEX($AM$2:$BM$1001,MATCH(ROWS($AF$2:AF239),$AF$2:$AF$1001,0),MATCH(COLUMNS($AM$1006:AS1006),$AM$1006:$BM$1006,0)), HYPERLINK("#",""), HYPERLINK(CONCATENATE("#metadata!", ADDRESS(INDEX($AH$2:$AH$1001,MATCH(ROWS($AF$2:AF239),$AF$2:$AF$1001,0),0), INDEX($AM$1004:$BM$1004,1,MATCH(COLUMNS($AM$1006:AS1006),$AM$1006:$BM$1006,0)))),"Fix")))</f>
        <v xml:space="preserve"> </v>
      </c>
      <c r="I239" s="4" t="str">
        <f ca="1">IF(OR(INDEX($AG$2:$AG$1001,MATCH(ROWS($AF$2:AF239),$AF$2:$AF$1001,0),1)&gt;=100000,INDEX($AM$1005:$BM$1005,1,MATCH(COLUMNS($AM$1006:AT1006),$AM$1006:$BM$1006,0))&gt;=100000), " ",IF(INDEX($AM$2:$BM$1001,MATCH(ROWS($AF$2:AF239),$AF$2:$AF$1001,0),MATCH(COLUMNS($AM$1006:AT1006),$AM$1006:$BM$1006,0)), HYPERLINK("#",""), HYPERLINK(CONCATENATE("#metadata!", ADDRESS(INDEX($AH$2:$AH$1001,MATCH(ROWS($AF$2:AF239),$AF$2:$AF$1001,0),0), INDEX($AM$1004:$BM$1004,1,MATCH(COLUMNS($AM$1006:AT1006),$AM$1006:$BM$1006,0)))),"Fix")))</f>
        <v xml:space="preserve"> </v>
      </c>
      <c r="J239" s="4" t="str">
        <f ca="1">IF(OR(INDEX($AG$2:$AG$1001,MATCH(ROWS($AF$2:AF239),$AF$2:$AF$1001,0),1)&gt;=100000,INDEX($AM$1005:$BM$1005,1,MATCH(COLUMNS($AM$1006:AU1006),$AM$1006:$BM$1006,0))&gt;=100000), " ",IF(INDEX($AM$2:$BM$1001,MATCH(ROWS($AF$2:AF239),$AF$2:$AF$1001,0),MATCH(COLUMNS($AM$1006:AU1006),$AM$1006:$BM$1006,0)), HYPERLINK("#",""), HYPERLINK(CONCATENATE("#metadata!", ADDRESS(INDEX($AH$2:$AH$1001,MATCH(ROWS($AF$2:AF239),$AF$2:$AF$1001,0),0), INDEX($AM$1004:$BM$1004,1,MATCH(COLUMNS($AM$1006:AU1006),$AM$1006:$BM$1006,0)))),"Fix")))</f>
        <v xml:space="preserve"> </v>
      </c>
      <c r="K239" s="4" t="str">
        <f ca="1">IF(OR(INDEX($AG$2:$AG$1001,MATCH(ROWS($AF$2:AF239),$AF$2:$AF$1001,0),1)&gt;=100000,INDEX($AM$1005:$BM$1005,1,MATCH(COLUMNS($AM$1006:AV1006),$AM$1006:$BM$1006,0))&gt;=100000), " ",IF(INDEX($AM$2:$BM$1001,MATCH(ROWS($AF$2:AF239),$AF$2:$AF$1001,0),MATCH(COLUMNS($AM$1006:AV1006),$AM$1006:$BM$1006,0)), HYPERLINK("#",""), HYPERLINK(CONCATENATE("#metadata!", ADDRESS(INDEX($AH$2:$AH$1001,MATCH(ROWS($AF$2:AF239),$AF$2:$AF$1001,0),0), INDEX($AM$1004:$BM$1004,1,MATCH(COLUMNS($AM$1006:AV1006),$AM$1006:$BM$1006,0)))),"Fix")))</f>
        <v xml:space="preserve"> </v>
      </c>
      <c r="L239" s="4" t="str">
        <f ca="1">IF(OR(INDEX($AG$2:$AG$1001,MATCH(ROWS($AF$2:AF239),$AF$2:$AF$1001,0),1)&gt;=100000,INDEX($AM$1005:$BM$1005,1,MATCH(COLUMNS($AM$1006:AW1006),$AM$1006:$BM$1006,0))&gt;=100000), " ",IF(INDEX($AM$2:$BM$1001,MATCH(ROWS($AF$2:AF239),$AF$2:$AF$1001,0),MATCH(COLUMNS($AM$1006:AW1006),$AM$1006:$BM$1006,0)), HYPERLINK("#",""), HYPERLINK(CONCATENATE("#metadata!", ADDRESS(INDEX($AH$2:$AH$1001,MATCH(ROWS($AF$2:AF239),$AF$2:$AF$1001,0),0), INDEX($AM$1004:$BM$1004,1,MATCH(COLUMNS($AM$1006:AW1006),$AM$1006:$BM$1006,0)))),"Fix")))</f>
        <v xml:space="preserve"> </v>
      </c>
      <c r="M239" s="4" t="str">
        <f ca="1">IF(OR(INDEX($AG$2:$AG$1001,MATCH(ROWS($AF$2:AF239),$AF$2:$AF$1001,0),1)&gt;=100000,INDEX($AM$1005:$BM$1005,1,MATCH(COLUMNS($AM$1006:AX1006),$AM$1006:$BM$1006,0))&gt;=100000), " ",IF(INDEX($AM$2:$BM$1001,MATCH(ROWS($AF$2:AF239),$AF$2:$AF$1001,0),MATCH(COLUMNS($AM$1006:AX1006),$AM$1006:$BM$1006,0)), HYPERLINK("#",""), HYPERLINK(CONCATENATE("#metadata!", ADDRESS(INDEX($AH$2:$AH$1001,MATCH(ROWS($AF$2:AF239),$AF$2:$AF$1001,0),0), INDEX($AM$1004:$BM$1004,1,MATCH(COLUMNS($AM$1006:AX1006),$AM$1006:$BM$1006,0)))),"Fix")))</f>
        <v xml:space="preserve"> </v>
      </c>
      <c r="N239" s="4" t="str">
        <f ca="1">IF(OR(INDEX($AG$2:$AG$1001,MATCH(ROWS($AF$2:AF239),$AF$2:$AF$1001,0),1)&gt;=100000,INDEX($AM$1005:$BM$1005,1,MATCH(COLUMNS($AM$1006:AY1006),$AM$1006:$BM$1006,0))&gt;=100000), " ",IF(INDEX($AM$2:$BM$1001,MATCH(ROWS($AF$2:AF239),$AF$2:$AF$1001,0),MATCH(COLUMNS($AM$1006:AY1006),$AM$1006:$BM$1006,0)), HYPERLINK("#",""), HYPERLINK(CONCATENATE("#metadata!", ADDRESS(INDEX($AH$2:$AH$1001,MATCH(ROWS($AF$2:AF239),$AF$2:$AF$1001,0),0), INDEX($AM$1004:$BM$1004,1,MATCH(COLUMNS($AM$1006:AY1006),$AM$1006:$BM$1006,0)))),"Fix")))</f>
        <v xml:space="preserve"> </v>
      </c>
      <c r="O239" s="4" t="str">
        <f ca="1">IF(OR(INDEX($AG$2:$AG$1001,MATCH(ROWS($AF$2:AF239),$AF$2:$AF$1001,0),1)&gt;=100000,INDEX($AM$1005:$BM$1005,1,MATCH(COLUMNS($AM$1006:AZ1006),$AM$1006:$BM$1006,0))&gt;=100000), " ",IF(INDEX($AM$2:$BM$1001,MATCH(ROWS($AF$2:AF239),$AF$2:$AF$1001,0),MATCH(COLUMNS($AM$1006:AZ1006),$AM$1006:$BM$1006,0)), HYPERLINK("#",""), HYPERLINK(CONCATENATE("#metadata!", ADDRESS(INDEX($AH$2:$AH$1001,MATCH(ROWS($AF$2:AF239),$AF$2:$AF$1001,0),0), INDEX($AM$1004:$BM$1004,1,MATCH(COLUMNS($AM$1006:AZ1006),$AM$1006:$BM$1006,0)))),"Fix")))</f>
        <v xml:space="preserve"> </v>
      </c>
      <c r="P239" s="4" t="str">
        <f ca="1">IF(OR(INDEX($AG$2:$AG$1001,MATCH(ROWS($AF$2:AF239),$AF$2:$AF$1001,0),1)&gt;=100000,INDEX($AM$1005:$BM$1005,1,MATCH(COLUMNS($AM$1006:BA1006),$AM$1006:$BM$1006,0))&gt;=100000), " ",IF(INDEX($AM$2:$BM$1001,MATCH(ROWS($AF$2:AF239),$AF$2:$AF$1001,0),MATCH(COLUMNS($AM$1006:BA1006),$AM$1006:$BM$1006,0)), HYPERLINK("#",""), HYPERLINK(CONCATENATE("#metadata!", ADDRESS(INDEX($AH$2:$AH$1001,MATCH(ROWS($AF$2:AF239),$AF$2:$AF$1001,0),0), INDEX($AM$1004:$BM$1004,1,MATCH(COLUMNS($AM$1006:BA1006),$AM$1006:$BM$1006,0)))),"Fix")))</f>
        <v xml:space="preserve"> </v>
      </c>
      <c r="Q239" s="4" t="str">
        <f ca="1">IF(OR(INDEX($AG$2:$AG$1001,MATCH(ROWS($AF$2:AF239),$AF$2:$AF$1001,0),1)&gt;=100000,INDEX($AM$1005:$BM$1005,1,MATCH(COLUMNS($AM$1006:BB1006),$AM$1006:$BM$1006,0))&gt;=100000), " ",IF(INDEX($AM$2:$BM$1001,MATCH(ROWS($AF$2:AF239),$AF$2:$AF$1001,0),MATCH(COLUMNS($AM$1006:BB1006),$AM$1006:$BM$1006,0)), HYPERLINK("#",""), HYPERLINK(CONCATENATE("#metadata!", ADDRESS(INDEX($AH$2:$AH$1001,MATCH(ROWS($AF$2:AF239),$AF$2:$AF$1001,0),0), INDEX($AM$1004:$BM$1004,1,MATCH(COLUMNS($AM$1006:BB1006),$AM$1006:$BM$1006,0)))),"Fix")))</f>
        <v xml:space="preserve"> </v>
      </c>
      <c r="R239" s="4" t="str">
        <f ca="1">IF(OR(INDEX($AG$2:$AG$1001,MATCH(ROWS($AF$2:AF239),$AF$2:$AF$1001,0),1)&gt;=100000,INDEX($AM$1005:$BM$1005,1,MATCH(COLUMNS($AM$1006:BC1006),$AM$1006:$BM$1006,0))&gt;=100000), " ",IF(INDEX($AM$2:$BM$1001,MATCH(ROWS($AF$2:AF239),$AF$2:$AF$1001,0),MATCH(COLUMNS($AM$1006:BC1006),$AM$1006:$BM$1006,0)), HYPERLINK("#",""), HYPERLINK(CONCATENATE("#metadata!", ADDRESS(INDEX($AH$2:$AH$1001,MATCH(ROWS($AF$2:AF239),$AF$2:$AF$1001,0),0), INDEX($AM$1004:$BM$1004,1,MATCH(COLUMNS($AM$1006:BC1006),$AM$1006:$BM$1006,0)))),"Fix")))</f>
        <v xml:space="preserve"> </v>
      </c>
      <c r="S239" s="4" t="str">
        <f ca="1">IF(OR(INDEX($AG$2:$AG$1001,MATCH(ROWS($AF$2:AF239),$AF$2:$AF$1001,0),1)&gt;=100000,INDEX($AM$1005:$BM$1005,1,MATCH(COLUMNS($AM$1006:BD1006),$AM$1006:$BM$1006,0))&gt;=100000), " ",IF(INDEX($AM$2:$BM$1001,MATCH(ROWS($AF$2:AF239),$AF$2:$AF$1001,0),MATCH(COLUMNS($AM$1006:BD1006),$AM$1006:$BM$1006,0)), HYPERLINK("#",""), HYPERLINK(CONCATENATE("#metadata!", ADDRESS(INDEX($AH$2:$AH$1001,MATCH(ROWS($AF$2:AF239),$AF$2:$AF$1001,0),0), INDEX($AM$1004:$BM$1004,1,MATCH(COLUMNS($AM$1006:BD1006),$AM$1006:$BM$1006,0)))),"Fix")))</f>
        <v xml:space="preserve"> </v>
      </c>
      <c r="T239" s="4" t="str">
        <f ca="1">IF(OR(INDEX($AG$2:$AG$1001,MATCH(ROWS($AF$2:AF239),$AF$2:$AF$1001,0),1)&gt;=100000,INDEX($AM$1005:$BM$1005,1,MATCH(COLUMNS($AM$1006:BE1006),$AM$1006:$BM$1006,0))&gt;=100000), " ",IF(INDEX($AM$2:$BM$1001,MATCH(ROWS($AF$2:AF239),$AF$2:$AF$1001,0),MATCH(COLUMNS($AM$1006:BE1006),$AM$1006:$BM$1006,0)), HYPERLINK("#",""), HYPERLINK(CONCATENATE("#metadata!", ADDRESS(INDEX($AH$2:$AH$1001,MATCH(ROWS($AF$2:AF239),$AF$2:$AF$1001,0),0), INDEX($AM$1004:$BM$1004,1,MATCH(COLUMNS($AM$1006:BE1006),$AM$1006:$BM$1006,0)))),"Fix")))</f>
        <v xml:space="preserve"> </v>
      </c>
      <c r="U239" s="4" t="str">
        <f ca="1">IF(OR(INDEX($AG$2:$AG$1001,MATCH(ROWS($AF$2:AF239),$AF$2:$AF$1001,0),1)&gt;=100000,INDEX($AM$1005:$BM$1005,1,MATCH(COLUMNS($AM$1006:BF1006),$AM$1006:$BM$1006,0))&gt;=100000), " ",IF(INDEX($AM$2:$BM$1001,MATCH(ROWS($AF$2:AF239),$AF$2:$AF$1001,0),MATCH(COLUMNS($AM$1006:BF1006),$AM$1006:$BM$1006,0)), HYPERLINK("#",""), HYPERLINK(CONCATENATE("#metadata!", ADDRESS(INDEX($AH$2:$AH$1001,MATCH(ROWS($AF$2:AF239),$AF$2:$AF$1001,0),0), INDEX($AM$1004:$BM$1004,1,MATCH(COLUMNS($AM$1006:BF1006),$AM$1006:$BM$1006,0)))),"Fix")))</f>
        <v xml:space="preserve"> </v>
      </c>
      <c r="V239" s="4" t="str">
        <f ca="1">IF(OR(INDEX($AG$2:$AG$1001,MATCH(ROWS($AF$2:AF239),$AF$2:$AF$1001,0),1)&gt;=100000,INDEX($AM$1005:$BM$1005,1,MATCH(COLUMNS($AM$1006:BG1006),$AM$1006:$BM$1006,0))&gt;=100000), " ",IF(INDEX($AM$2:$BM$1001,MATCH(ROWS($AF$2:AF239),$AF$2:$AF$1001,0),MATCH(COLUMNS($AM$1006:BG1006),$AM$1006:$BM$1006,0)), HYPERLINK("#",""), HYPERLINK(CONCATENATE("#metadata!", ADDRESS(INDEX($AH$2:$AH$1001,MATCH(ROWS($AF$2:AF239),$AF$2:$AF$1001,0),0), INDEX($AM$1004:$BM$1004,1,MATCH(COLUMNS($AM$1006:BG1006),$AM$1006:$BM$1006,0)))),"Fix")))</f>
        <v xml:space="preserve"> </v>
      </c>
      <c r="W239" s="4" t="str">
        <f ca="1">IF(OR(INDEX($AG$2:$AG$1001,MATCH(ROWS($AF$2:AF239),$AF$2:$AF$1001,0),1)&gt;=100000,INDEX($AM$1005:$BM$1005,1,MATCH(COLUMNS($AM$1006:BH1006),$AM$1006:$BM$1006,0))&gt;=100000), " ",IF(INDEX($AM$2:$BM$1001,MATCH(ROWS($AF$2:AF239),$AF$2:$AF$1001,0),MATCH(COLUMNS($AM$1006:BH1006),$AM$1006:$BM$1006,0)), HYPERLINK("#",""), HYPERLINK(CONCATENATE("#metadata!", ADDRESS(INDEX($AH$2:$AH$1001,MATCH(ROWS($AF$2:AF239),$AF$2:$AF$1001,0),0), INDEX($AM$1004:$BM$1004,1,MATCH(COLUMNS($AM$1006:BH1006),$AM$1006:$BM$1006,0)))),"Fix")))</f>
        <v xml:space="preserve"> </v>
      </c>
      <c r="X239" s="4" t="str">
        <f ca="1">IF(OR(INDEX($AG$2:$AG$1001,MATCH(ROWS($AF$2:AF239),$AF$2:$AF$1001,0),1)&gt;=100000,INDEX($AM$1005:$BM$1005,1,MATCH(COLUMNS($AM$1006:BI1006),$AM$1006:$BM$1006,0))&gt;=100000), " ",IF(INDEX($AM$2:$BM$1001,MATCH(ROWS($AF$2:AF239),$AF$2:$AF$1001,0),MATCH(COLUMNS($AM$1006:BI1006),$AM$1006:$BM$1006,0)), HYPERLINK("#",""), HYPERLINK(CONCATENATE("#metadata!", ADDRESS(INDEX($AH$2:$AH$1001,MATCH(ROWS($AF$2:AF239),$AF$2:$AF$1001,0),0), INDEX($AM$1004:$BM$1004,1,MATCH(COLUMNS($AM$1006:BI1006),$AM$1006:$BM$1006,0)))),"Fix")))</f>
        <v xml:space="preserve"> </v>
      </c>
      <c r="Y239" s="4" t="str">
        <f ca="1">IF(OR(INDEX($AG$2:$AG$1001,MATCH(ROWS($AF$2:AF239),$AF$2:$AF$1001,0),1)&gt;=100000,INDEX($AM$1005:$BM$1005,1,MATCH(COLUMNS($AM$1006:BJ1006),$AM$1006:$BM$1006,0))&gt;=100000), " ",IF(INDEX($AM$2:$BM$1001,MATCH(ROWS($AF$2:AF239),$AF$2:$AF$1001,0),MATCH(COLUMNS($AM$1006:BJ1006),$AM$1006:$BM$1006,0)), HYPERLINK("#",""), HYPERLINK(CONCATENATE("#metadata!", ADDRESS(INDEX($AH$2:$AH$1001,MATCH(ROWS($AF$2:AF239),$AF$2:$AF$1001,0),0), INDEX($AM$1004:$BM$1004,1,MATCH(COLUMNS($AM$1006:BJ1006),$AM$1006:$BM$1006,0)))),"Fix")))</f>
        <v xml:space="preserve"> </v>
      </c>
      <c r="Z239" s="4" t="str">
        <f ca="1">IF(OR(INDEX($AG$2:$AG$1001,MATCH(ROWS($AF$2:AF239),$AF$2:$AF$1001,0),1)&gt;=100000,INDEX($AM$1005:$BM$1005,1,MATCH(COLUMNS($AM$1006:BK1006),$AM$1006:$BM$1006,0))&gt;=100000), " ",IF(INDEX($AM$2:$BM$1001,MATCH(ROWS($AF$2:AF239),$AF$2:$AF$1001,0),MATCH(COLUMNS($AM$1006:BK1006),$AM$1006:$BM$1006,0)), HYPERLINK("#",""), HYPERLINK(CONCATENATE("#metadata!", ADDRESS(INDEX($AH$2:$AH$1001,MATCH(ROWS($AF$2:AF239),$AF$2:$AF$1001,0),0), INDEX($AM$1004:$BM$1004,1,MATCH(COLUMNS($AM$1006:BK1006),$AM$1006:$BM$1006,0)))),"Fix")))</f>
        <v xml:space="preserve"> </v>
      </c>
      <c r="AA239" s="4" t="str">
        <f ca="1">IF(OR(INDEX($AG$2:$AG$1001,MATCH(ROWS($AF$2:AF239),$AF$2:$AF$1001,0),1)&gt;=100000,INDEX($AM$1005:$BM$1005,1,MATCH(COLUMNS($AM$1006:BL1006),$AM$1006:$BM$1006,0))&gt;=100000), " ",IF(INDEX($AM$2:$BM$1001,MATCH(ROWS($AF$2:AF239),$AF$2:$AF$1001,0),MATCH(COLUMNS($AM$1006:BL1006),$AM$1006:$BM$1006,0)), HYPERLINK("#",""), HYPERLINK(CONCATENATE("#metadata!", ADDRESS(INDEX($AH$2:$AH$1001,MATCH(ROWS($AF$2:AF239),$AF$2:$AF$1001,0),0), INDEX($AM$1004:$BM$1004,1,MATCH(COLUMNS($AM$1006:BL1006),$AM$1006:$BM$1006,0)))),"Fix")))</f>
        <v xml:space="preserve"> </v>
      </c>
      <c r="AB239" s="4" t="str">
        <f ca="1">IF(OR(INDEX($AG$2:$AG$1001,MATCH(ROWS($AF$2:AF239),$AF$2:$AF$1001,0),1)&gt;=100000,INDEX($AM$1005:$BM$1005,1,MATCH(COLUMNS($AM$1006:BM1006),$AM$1006:$BM$1006,0))&gt;=100000), " ",IF(INDEX($AM$2:$BM$1001,MATCH(ROWS($AF$2:AF239),$AF$2:$AF$1001,0),MATCH(COLUMNS($AM$1006:BM1006),$AM$1006:$BM$1006,0)), HYPERLINK("#",""), HYPERLINK(CONCATENATE("#metadata!", ADDRESS(INDEX($AH$2:$AH$1001,MATCH(ROWS($AF$2:AF239),$AF$2:$AF$1001,0),0), INDEX($AM$1004:$BM$1004,1,MATCH(COLUMNS($AM$1006:BM1006),$AM$1006:$BM$1006,0)))),"Fix")))</f>
        <v xml:space="preserve"> </v>
      </c>
      <c r="AF239">
        <v>238</v>
      </c>
      <c r="AG239">
        <v>100239</v>
      </c>
      <c r="AH239">
        <v>239</v>
      </c>
      <c r="AI239" t="b">
        <f t="shared" si="3"/>
        <v>1</v>
      </c>
      <c r="AJ239" t="b">
        <f>COUNTBLANK(metadata!B239:AB239)=COLUMNS(metadata!B239:AB239)</f>
        <v>1</v>
      </c>
      <c r="AK239" t="str">
        <v/>
      </c>
      <c r="AM239" t="b">
        <f ca="1">AND(IF(metadata!B239="",FALSE,TRUE),COUNTIF(metadata!B:B, metadata!B239) = 1,NOT(ISERROR(SUMPRODUCT(SEARCH(MID(metadata!B239,ROW(INDIRECT("1:"&amp;LEN(metadata!B239))), 1),"0123456789abcdefghijklmnopqrstuvwxyzABCDEFGHIJKLMNOPQRSTUVWXYZ.")))))</f>
        <v>0</v>
      </c>
      <c r="AN239" t="b">
        <f ca="1">OR(AND(IF(metadata!C239="",FALSE,TRUE),OR(EXACT(metadata!C239,"missing: not collected"),EXACT(metadata!C239,"missing: not provided"),EXACT(metadata!C239,"missing: restricted access"))),AND(IF(metadata!C239="",FALSE,TRUE),AND(AND(IFERROR(INT(LEFT(metadata!C239,4))&gt;1900,FALSE),IFERROR(INT(LEFT(metadata!C239,4))&lt;=YEAR(NOW()),FALSE)), OR(MID(metadata!C239,5,1)="", AND(AND(MID(metadata!C239,5,1)="-",IFERROR(INT(MID(metadata!C239,6,1))&gt;=0,FALSE),IFERROR(INT(MID(metadata!C239,6,1))&lt;=1,FALSE),NOT(MID(metadata!C239,7,1)=""),IFERROR(INT(MID(metadata!C239,6,2))&gt;=1,FALSE),IFERROR(INT(MID(metadata!C239,6,2))&lt;=12,FALSE)), OR(MID(metadata!C239,8,1)="", AND(AND(MID(metadata!C239,8,1)="-",IFERROR(INT(MID(metadata!C239,9,1))&gt;=0,FALSE),IFERROR(INT(MID(metadata!C239,9,1))&lt;=3,FALSE),NOT(MID(metadata!C239,10,1)=""),IFERROR(INT(MID(metadata!C239,9,2))&gt;=1,FALSE),IFERROR(INT(MID(metadata!C239,9,2))&lt;=31,FALSE)), OR(MID(metadata!C239,11,1)="", AND(AND(MID(metadata!C239,11,1)=" ",IFERROR(INT(MID(metadata!C239,12,1))&gt;=0,FALSE),IFERROR(INT(MID(metadata!C239,12,1))&lt;=2,FALSE),NOT(MID(metadata!C239,13,1)=""),IFERROR(INT(MID(metadata!C239,12,2))&gt;=0,FALSE),IFERROR(INT(MID(metadata!C239,12,2))&lt;=23,FALSE)), OR(MID(metadata!C239,14,1)="", AND(AND(MID(metadata!C239,14,1)=":",IFERROR(INT(MID(metadata!C239,15,1))&gt;=0,FALSE),IFERROR(INT(MID(metadata!C239,15,1))&lt;=5,FALSE),NOT(MID(metadata!C239,16,1)=""),IFERROR(INT(MID(metadata!C239,15,2))&gt;=0,FALSE),IFERROR(INT(MID(metadata!C239,15,2))&lt;=59,FALSE)), OR(MID(metadata!C239,17,1)="", AND(AND(MID(metadata!C239,17,1)=":",IFERROR(INT(MID(metadata!C239,18,1))&gt;=0,FALSE),IFERROR(INT(MID(metadata!C239,18,1))&lt;=5,FALSE),NOT(MID(metadata!C239,19,1)=""),IFERROR(INT(MID(metadata!C239,18,2))&gt;=0,FALSE),IFERROR(INT(MID(metadata!C239,18,2))&lt;=59,FALSE)), LEN(metadata!C239)&lt;=19)))))))))))))</f>
        <v>0</v>
      </c>
      <c r="AO239" t="b">
        <f>AND(IF(metadata!D239="",FALSE,TRUE),EXACT(metadata!D239,"Not applicable"))</f>
        <v>0</v>
      </c>
      <c r="AP239" t="b">
        <f>IF(metadata!E239="",FALSE,TRUE)</f>
        <v>0</v>
      </c>
      <c r="AQ239" t="b">
        <f>OR(AND(IF(metadata!F239="",FALSE,TRUE),OR(EXACT(metadata!F239,"missing: not collected"),EXACT(metadata!F239,"missing: not provided"))),AND(IF(metadata!F239="",FALSE,TRUE),OR(EXACT(metadata!F239,"TRUE"),EXACT(metadata!F239,"FALSE"))))</f>
        <v>0</v>
      </c>
      <c r="AR239" t="b">
        <f>OR(AND(IF(metadata!G239="",FALSE,TRUE),OR(EXACT(metadata!G239,"missing: not collected"),EXACT(metadata!G239,"missing: not provided"),EXACT(metadata!G239,"missing: restricted access"))),AND(IF(metadata!G239="",FALSE,ISNUMBER(VALUE(metadata!G239))),metadata!G239&gt;=-413))</f>
        <v>0</v>
      </c>
      <c r="AS239" t="b">
        <f>AND(IF(metadata!H239="",FALSE,TRUE),EXACT(metadata!H239,"meters"))</f>
        <v>0</v>
      </c>
      <c r="AT239" t="b">
        <f>AND(IF(metadata!I239="",FALSE,TRUE),OR(EXACT(metadata!I239,"Host-associated"),EXACT(metadata!I239,"Free-living")))</f>
        <v>0</v>
      </c>
      <c r="AU239" t="b">
        <f>AND(IF(metadata!J239="",FALSE,TRUE),OR(EXACT(metadata!J239,"Animal"),EXACT(metadata!J239,"Fungus"),EXACT(metadata!J239,"Plant"),EXACT(metadata!J239,"Saline"),EXACT(metadata!J239,"Non-saline")))</f>
        <v>0</v>
      </c>
      <c r="AV239" t="b">
        <f>AND(IF(metadata!K239="",FALSE,TRUE),OR(EXACT(metadata!K239,"Plant secretion"),EXACT(metadata!K239,"Plant rhizosphere"),EXACT(metadata!K239,"Plant surface"),EXACT(metadata!K239,"Plant corpus"),EXACT(metadata!K239,"Fungus surface"),EXACT(metadata!K239,"Fungus corpus"),EXACT(metadata!K239,"Animal surface"),EXACT(metadata!K239,"Animal proximal gut"),EXACT(metadata!K239,"Animal corpus"),EXACT(metadata!K239,"Animal distal gut"),EXACT(metadata!K239,"Animal secretion"),EXACT(metadata!K239,"Sub-surface (non-saline)"),EXACT(metadata!K239,"Surface (non-saline)"),EXACT(metadata!K239,"Water (non-saline)"),EXACT(metadata!K239,"Soil (non-saline)"),EXACT(metadata!K239,"Aerosol (non-saline)"),EXACT(metadata!K239,"Sediment (non-saline)"),EXACT(metadata!K239,"Surface (saline)"),EXACT(metadata!K239,"Water (saline)"),EXACT(metadata!K239,"Hypersaline (saline)"),EXACT(metadata!K239,"Aerosol (saline)"),EXACT(metadata!K239,"Sediment (saline)")))</f>
        <v>0</v>
      </c>
      <c r="AW239" t="b">
        <f>IF(metadata!L239="",FALSE,TRUE)</f>
        <v>0</v>
      </c>
      <c r="AX239" t="b">
        <f>IF(metadata!M239="",FALSE,TRUE)</f>
        <v>0</v>
      </c>
      <c r="AY239" t="b">
        <f>IF(metadata!N239="",FALSE,TRUE)</f>
        <v>0</v>
      </c>
      <c r="AZ239" t="b">
        <f>OR(AND(IF(metadata!O239="",FALSE,TRUE),OR(EXACT(metadata!O239,"missing: not collected"),EXACT(metadata!O239,"missing: not provided"),EXACT(metadata!O239,"missing: restricted access"))),AND(IF(metadata!O239="",FALSE,TRUE),OR(EXACT(metadata!O239,"air"),EXACT(metadata!O239,"built environment"),EXACT(metadata!O239,"host-associated"),EXACT(metadata!O239,"human-associated"),EXACT(metadata!O239,"human-skin"),EXACT(metadata!O239,"human-oral"),EXACT(metadata!O239,"human-gut"),EXACT(metadata!O239,"human-vaginal"),EXACT(metadata!O239,"microbial mat/biofilm"),EXACT(metadata!O239,"misc environment"),EXACT(metadata!O239,"plant-associated"),EXACT(metadata!O239,"sediment"),EXACT(metadata!O239,"soil"),EXACT(metadata!O239,"wastewater/sludge"),EXACT(metadata!O239,"water"))))</f>
        <v>0</v>
      </c>
      <c r="BA239" t="b">
        <f>IF(metadata!P239="",FALSE,TRUE)</f>
        <v>0</v>
      </c>
      <c r="BB239" t="b">
        <f>IF(metadata!Q239="",FALSE,TRUE)</f>
        <v>0</v>
      </c>
      <c r="BC239" t="b">
        <f>OR(AND(IF(metadata!R239="",FALSE,TRUE),OR(EXACT(metadata!R239,"missing: not collected"),EXACT(metadata!R239,"missing: not provided"),EXACT(metadata!R239,"missing: restricted access"))),AND(IF(metadata!R239="",FALSE,ISNUMBER(VALUE(metadata!R239))),metadata!R239&gt;=-90,metadata!R239&lt;=90))</f>
        <v>0</v>
      </c>
      <c r="BD239" t="b">
        <f>AND(IF(metadata!S239="",FALSE,TRUE),EXACT(metadata!S239,"Decimal degrees"))</f>
        <v>0</v>
      </c>
      <c r="BE239" t="b">
        <f>OR(AND(IF(metadata!T239="",FALSE,TRUE),OR(EXACT(metadata!T239,"missing: not collected"),EXACT(metadata!T239,"missing: not provided"),EXACT(metadata!T239,"missing: restricted access"))),AND(IF(metadata!T239="",FALSE,ISNUMBER(VALUE(metadata!T239))),metadata!T239&gt;=-180,metadata!T239&lt;=180))</f>
        <v>0</v>
      </c>
      <c r="BF239" t="b">
        <f>AND(IF(metadata!U239="",FALSE,TRUE),EXACT(metadata!U239,"Decimal degrees"))</f>
        <v>0</v>
      </c>
      <c r="BG239" t="b">
        <f>IF(metadata!V239="",FALSE,TRUE)</f>
        <v>0</v>
      </c>
      <c r="BH239" t="b">
        <f>OR(AND(IF(metadata!W239="",FALSE,TRUE),OR(EXACT(metadata!W239,"missing: not collected"),EXACT(metadata!W239,"missing: not provided"),EXACT(metadata!W239,"missing: restricted access"))),AND(IF(metadata!W239="",FALSE,TRUE),OR(EXACT(metadata!W239,"TRUE"),EXACT(metadata!W239,"FALSE"))))</f>
        <v>0</v>
      </c>
      <c r="BI239" t="b">
        <f>AND(IF(metadata!X239="",FALSE,TRUE),EXACT(metadata!X239,"other"))</f>
        <v>0</v>
      </c>
      <c r="BJ239" t="b">
        <f>IF(metadata!Y239="",FALSE,TRUE)</f>
        <v>0</v>
      </c>
      <c r="BK239" t="b">
        <f>OR(AND(IF(metadata!Z239="",FALSE,TRUE),OR(EXACT(metadata!Z239,"missing: not collected"),EXACT(metadata!Z239,"missing: not provided"))),AND(IF(metadata!Z239="",FALSE,IF(ISERROR(INT(metadata!Z239)),FALSE,INT(metadata!Z239)=metadata!Z239)),metadata!Z239&gt;0))</f>
        <v>0</v>
      </c>
      <c r="BL239" t="b">
        <f>AND(IF(metadata!AA239="",FALSE,TRUE),EXACT(metadata!AA239,"Not applicable"))</f>
        <v>0</v>
      </c>
      <c r="BM239" t="b">
        <f>IF(metadata!AB239="",FALSE,TRUE)</f>
        <v>0</v>
      </c>
    </row>
    <row r="240" spans="1:65" x14ac:dyDescent="0.2">
      <c r="A240" s="5" t="str">
        <f ca="1">IF(B240=" "," ",HYPERLINK(CONCATENATE("#metadata!",ADDRESS(INDEX($AH$2:$AH$1001,MATCH(ROWS($AF$2:AF240),$AF$2:$AF$1001,0),0),1)),INDEX($AK$2:$AK$1001,MATCH(ROWS($AF$2:AF240),$AF$2:$AF$1001,0),0)))</f>
        <v xml:space="preserve"> </v>
      </c>
      <c r="B240" s="4" t="str">
        <f ca="1">IF(OR(INDEX($AG$2:$AG$1001,MATCH(ROWS($AF$2:AF240),$AF$2:$AF$1001,0),1)&gt;=100000,INDEX($AM$1005:$BM$1005,1,MATCH(COLUMNS($AM$1006:AM1006),$AM$1006:$BM$1006,0))&gt;=100000), " ",IF(INDEX($AM$2:$BM$1001,MATCH(ROWS($AF$2:AF240),$AF$2:$AF$1001,0),MATCH(COLUMNS($AM$1006:AM1006),$AM$1006:$BM$1006,0)), HYPERLINK("#",""), HYPERLINK(CONCATENATE("#metadata!", ADDRESS(INDEX($AH$2:$AH$1001,MATCH(ROWS($AF$2:AF240),$AF$2:$AF$1001,0),0), INDEX($AM$1004:$BM$1004,1,MATCH(COLUMNS($AM$1006:AM1006),$AM$1006:$BM$1006,0)))),"Fix")))</f>
        <v xml:space="preserve"> </v>
      </c>
      <c r="C240" s="4" t="str">
        <f ca="1">IF(OR(INDEX($AG$2:$AG$1001,MATCH(ROWS($AF$2:AF240),$AF$2:$AF$1001,0),1)&gt;=100000,INDEX($AM$1005:$BM$1005,1,MATCH(COLUMNS($AM$1006:AN1006),$AM$1006:$BM$1006,0))&gt;=100000), " ",IF(INDEX($AM$2:$BM$1001,MATCH(ROWS($AF$2:AF240),$AF$2:$AF$1001,0),MATCH(COLUMNS($AM$1006:AN1006),$AM$1006:$BM$1006,0)), HYPERLINK("#",""), HYPERLINK(CONCATENATE("#metadata!", ADDRESS(INDEX($AH$2:$AH$1001,MATCH(ROWS($AF$2:AF240),$AF$2:$AF$1001,0),0), INDEX($AM$1004:$BM$1004,1,MATCH(COLUMNS($AM$1006:AN1006),$AM$1006:$BM$1006,0)))),"Fix")))</f>
        <v xml:space="preserve"> </v>
      </c>
      <c r="D240" s="4" t="str">
        <f ca="1">IF(OR(INDEX($AG$2:$AG$1001,MATCH(ROWS($AF$2:AF240),$AF$2:$AF$1001,0),1)&gt;=100000,INDEX($AM$1005:$BM$1005,1,MATCH(COLUMNS($AM$1006:AO1006),$AM$1006:$BM$1006,0))&gt;=100000), " ",IF(INDEX($AM$2:$BM$1001,MATCH(ROWS($AF$2:AF240),$AF$2:$AF$1001,0),MATCH(COLUMNS($AM$1006:AO1006),$AM$1006:$BM$1006,0)), HYPERLINK("#",""), HYPERLINK(CONCATENATE("#metadata!", ADDRESS(INDEX($AH$2:$AH$1001,MATCH(ROWS($AF$2:AF240),$AF$2:$AF$1001,0),0), INDEX($AM$1004:$BM$1004,1,MATCH(COLUMNS($AM$1006:AO1006),$AM$1006:$BM$1006,0)))),"Fix")))</f>
        <v xml:space="preserve"> </v>
      </c>
      <c r="E240" s="4" t="str">
        <f ca="1">IF(OR(INDEX($AG$2:$AG$1001,MATCH(ROWS($AF$2:AF240),$AF$2:$AF$1001,0),1)&gt;=100000,INDEX($AM$1005:$BM$1005,1,MATCH(COLUMNS($AM$1006:AP1006),$AM$1006:$BM$1006,0))&gt;=100000), " ",IF(INDEX($AM$2:$BM$1001,MATCH(ROWS($AF$2:AF240),$AF$2:$AF$1001,0),MATCH(COLUMNS($AM$1006:AP1006),$AM$1006:$BM$1006,0)), HYPERLINK("#",""), HYPERLINK(CONCATENATE("#metadata!", ADDRESS(INDEX($AH$2:$AH$1001,MATCH(ROWS($AF$2:AF240),$AF$2:$AF$1001,0),0), INDEX($AM$1004:$BM$1004,1,MATCH(COLUMNS($AM$1006:AP1006),$AM$1006:$BM$1006,0)))),"Fix")))</f>
        <v xml:space="preserve"> </v>
      </c>
      <c r="F240" s="4" t="str">
        <f ca="1">IF(OR(INDEX($AG$2:$AG$1001,MATCH(ROWS($AF$2:AF240),$AF$2:$AF$1001,0),1)&gt;=100000,INDEX($AM$1005:$BM$1005,1,MATCH(COLUMNS($AM$1006:AQ1006),$AM$1006:$BM$1006,0))&gt;=100000), " ",IF(INDEX($AM$2:$BM$1001,MATCH(ROWS($AF$2:AF240),$AF$2:$AF$1001,0),MATCH(COLUMNS($AM$1006:AQ1006),$AM$1006:$BM$1006,0)), HYPERLINK("#",""), HYPERLINK(CONCATENATE("#metadata!", ADDRESS(INDEX($AH$2:$AH$1001,MATCH(ROWS($AF$2:AF240),$AF$2:$AF$1001,0),0), INDEX($AM$1004:$BM$1004,1,MATCH(COLUMNS($AM$1006:AQ1006),$AM$1006:$BM$1006,0)))),"Fix")))</f>
        <v xml:space="preserve"> </v>
      </c>
      <c r="G240" s="4" t="str">
        <f ca="1">IF(OR(INDEX($AG$2:$AG$1001,MATCH(ROWS($AF$2:AF240),$AF$2:$AF$1001,0),1)&gt;=100000,INDEX($AM$1005:$BM$1005,1,MATCH(COLUMNS($AM$1006:AR1006),$AM$1006:$BM$1006,0))&gt;=100000), " ",IF(INDEX($AM$2:$BM$1001,MATCH(ROWS($AF$2:AF240),$AF$2:$AF$1001,0),MATCH(COLUMNS($AM$1006:AR1006),$AM$1006:$BM$1006,0)), HYPERLINK("#",""), HYPERLINK(CONCATENATE("#metadata!", ADDRESS(INDEX($AH$2:$AH$1001,MATCH(ROWS($AF$2:AF240),$AF$2:$AF$1001,0),0), INDEX($AM$1004:$BM$1004,1,MATCH(COLUMNS($AM$1006:AR1006),$AM$1006:$BM$1006,0)))),"Fix")))</f>
        <v xml:space="preserve"> </v>
      </c>
      <c r="H240" s="4" t="str">
        <f ca="1">IF(OR(INDEX($AG$2:$AG$1001,MATCH(ROWS($AF$2:AF240),$AF$2:$AF$1001,0),1)&gt;=100000,INDEX($AM$1005:$BM$1005,1,MATCH(COLUMNS($AM$1006:AS1006),$AM$1006:$BM$1006,0))&gt;=100000), " ",IF(INDEX($AM$2:$BM$1001,MATCH(ROWS($AF$2:AF240),$AF$2:$AF$1001,0),MATCH(COLUMNS($AM$1006:AS1006),$AM$1006:$BM$1006,0)), HYPERLINK("#",""), HYPERLINK(CONCATENATE("#metadata!", ADDRESS(INDEX($AH$2:$AH$1001,MATCH(ROWS($AF$2:AF240),$AF$2:$AF$1001,0),0), INDEX($AM$1004:$BM$1004,1,MATCH(COLUMNS($AM$1006:AS1006),$AM$1006:$BM$1006,0)))),"Fix")))</f>
        <v xml:space="preserve"> </v>
      </c>
      <c r="I240" s="4" t="str">
        <f ca="1">IF(OR(INDEX($AG$2:$AG$1001,MATCH(ROWS($AF$2:AF240),$AF$2:$AF$1001,0),1)&gt;=100000,INDEX($AM$1005:$BM$1005,1,MATCH(COLUMNS($AM$1006:AT1006),$AM$1006:$BM$1006,0))&gt;=100000), " ",IF(INDEX($AM$2:$BM$1001,MATCH(ROWS($AF$2:AF240),$AF$2:$AF$1001,0),MATCH(COLUMNS($AM$1006:AT1006),$AM$1006:$BM$1006,0)), HYPERLINK("#",""), HYPERLINK(CONCATENATE("#metadata!", ADDRESS(INDEX($AH$2:$AH$1001,MATCH(ROWS($AF$2:AF240),$AF$2:$AF$1001,0),0), INDEX($AM$1004:$BM$1004,1,MATCH(COLUMNS($AM$1006:AT1006),$AM$1006:$BM$1006,0)))),"Fix")))</f>
        <v xml:space="preserve"> </v>
      </c>
      <c r="J240" s="4" t="str">
        <f ca="1">IF(OR(INDEX($AG$2:$AG$1001,MATCH(ROWS($AF$2:AF240),$AF$2:$AF$1001,0),1)&gt;=100000,INDEX($AM$1005:$BM$1005,1,MATCH(COLUMNS($AM$1006:AU1006),$AM$1006:$BM$1006,0))&gt;=100000), " ",IF(INDEX($AM$2:$BM$1001,MATCH(ROWS($AF$2:AF240),$AF$2:$AF$1001,0),MATCH(COLUMNS($AM$1006:AU1006),$AM$1006:$BM$1006,0)), HYPERLINK("#",""), HYPERLINK(CONCATENATE("#metadata!", ADDRESS(INDEX($AH$2:$AH$1001,MATCH(ROWS($AF$2:AF240),$AF$2:$AF$1001,0),0), INDEX($AM$1004:$BM$1004,1,MATCH(COLUMNS($AM$1006:AU1006),$AM$1006:$BM$1006,0)))),"Fix")))</f>
        <v xml:space="preserve"> </v>
      </c>
      <c r="K240" s="4" t="str">
        <f ca="1">IF(OR(INDEX($AG$2:$AG$1001,MATCH(ROWS($AF$2:AF240),$AF$2:$AF$1001,0),1)&gt;=100000,INDEX($AM$1005:$BM$1005,1,MATCH(COLUMNS($AM$1006:AV1006),$AM$1006:$BM$1006,0))&gt;=100000), " ",IF(INDEX($AM$2:$BM$1001,MATCH(ROWS($AF$2:AF240),$AF$2:$AF$1001,0),MATCH(COLUMNS($AM$1006:AV1006),$AM$1006:$BM$1006,0)), HYPERLINK("#",""), HYPERLINK(CONCATENATE("#metadata!", ADDRESS(INDEX($AH$2:$AH$1001,MATCH(ROWS($AF$2:AF240),$AF$2:$AF$1001,0),0), INDEX($AM$1004:$BM$1004,1,MATCH(COLUMNS($AM$1006:AV1006),$AM$1006:$BM$1006,0)))),"Fix")))</f>
        <v xml:space="preserve"> </v>
      </c>
      <c r="L240" s="4" t="str">
        <f ca="1">IF(OR(INDEX($AG$2:$AG$1001,MATCH(ROWS($AF$2:AF240),$AF$2:$AF$1001,0),1)&gt;=100000,INDEX($AM$1005:$BM$1005,1,MATCH(COLUMNS($AM$1006:AW1006),$AM$1006:$BM$1006,0))&gt;=100000), " ",IF(INDEX($AM$2:$BM$1001,MATCH(ROWS($AF$2:AF240),$AF$2:$AF$1001,0),MATCH(COLUMNS($AM$1006:AW1006),$AM$1006:$BM$1006,0)), HYPERLINK("#",""), HYPERLINK(CONCATENATE("#metadata!", ADDRESS(INDEX($AH$2:$AH$1001,MATCH(ROWS($AF$2:AF240),$AF$2:$AF$1001,0),0), INDEX($AM$1004:$BM$1004,1,MATCH(COLUMNS($AM$1006:AW1006),$AM$1006:$BM$1006,0)))),"Fix")))</f>
        <v xml:space="preserve"> </v>
      </c>
      <c r="M240" s="4" t="str">
        <f ca="1">IF(OR(INDEX($AG$2:$AG$1001,MATCH(ROWS($AF$2:AF240),$AF$2:$AF$1001,0),1)&gt;=100000,INDEX($AM$1005:$BM$1005,1,MATCH(COLUMNS($AM$1006:AX1006),$AM$1006:$BM$1006,0))&gt;=100000), " ",IF(INDEX($AM$2:$BM$1001,MATCH(ROWS($AF$2:AF240),$AF$2:$AF$1001,0),MATCH(COLUMNS($AM$1006:AX1006),$AM$1006:$BM$1006,0)), HYPERLINK("#",""), HYPERLINK(CONCATENATE("#metadata!", ADDRESS(INDEX($AH$2:$AH$1001,MATCH(ROWS($AF$2:AF240),$AF$2:$AF$1001,0),0), INDEX($AM$1004:$BM$1004,1,MATCH(COLUMNS($AM$1006:AX1006),$AM$1006:$BM$1006,0)))),"Fix")))</f>
        <v xml:space="preserve"> </v>
      </c>
      <c r="N240" s="4" t="str">
        <f ca="1">IF(OR(INDEX($AG$2:$AG$1001,MATCH(ROWS($AF$2:AF240),$AF$2:$AF$1001,0),1)&gt;=100000,INDEX($AM$1005:$BM$1005,1,MATCH(COLUMNS($AM$1006:AY1006),$AM$1006:$BM$1006,0))&gt;=100000), " ",IF(INDEX($AM$2:$BM$1001,MATCH(ROWS($AF$2:AF240),$AF$2:$AF$1001,0),MATCH(COLUMNS($AM$1006:AY1006),$AM$1006:$BM$1006,0)), HYPERLINK("#",""), HYPERLINK(CONCATENATE("#metadata!", ADDRESS(INDEX($AH$2:$AH$1001,MATCH(ROWS($AF$2:AF240),$AF$2:$AF$1001,0),0), INDEX($AM$1004:$BM$1004,1,MATCH(COLUMNS($AM$1006:AY1006),$AM$1006:$BM$1006,0)))),"Fix")))</f>
        <v xml:space="preserve"> </v>
      </c>
      <c r="O240" s="4" t="str">
        <f ca="1">IF(OR(INDEX($AG$2:$AG$1001,MATCH(ROWS($AF$2:AF240),$AF$2:$AF$1001,0),1)&gt;=100000,INDEX($AM$1005:$BM$1005,1,MATCH(COLUMNS($AM$1006:AZ1006),$AM$1006:$BM$1006,0))&gt;=100000), " ",IF(INDEX($AM$2:$BM$1001,MATCH(ROWS($AF$2:AF240),$AF$2:$AF$1001,0),MATCH(COLUMNS($AM$1006:AZ1006),$AM$1006:$BM$1006,0)), HYPERLINK("#",""), HYPERLINK(CONCATENATE("#metadata!", ADDRESS(INDEX($AH$2:$AH$1001,MATCH(ROWS($AF$2:AF240),$AF$2:$AF$1001,0),0), INDEX($AM$1004:$BM$1004,1,MATCH(COLUMNS($AM$1006:AZ1006),$AM$1006:$BM$1006,0)))),"Fix")))</f>
        <v xml:space="preserve"> </v>
      </c>
      <c r="P240" s="4" t="str">
        <f ca="1">IF(OR(INDEX($AG$2:$AG$1001,MATCH(ROWS($AF$2:AF240),$AF$2:$AF$1001,0),1)&gt;=100000,INDEX($AM$1005:$BM$1005,1,MATCH(COLUMNS($AM$1006:BA1006),$AM$1006:$BM$1006,0))&gt;=100000), " ",IF(INDEX($AM$2:$BM$1001,MATCH(ROWS($AF$2:AF240),$AF$2:$AF$1001,0),MATCH(COLUMNS($AM$1006:BA1006),$AM$1006:$BM$1006,0)), HYPERLINK("#",""), HYPERLINK(CONCATENATE("#metadata!", ADDRESS(INDEX($AH$2:$AH$1001,MATCH(ROWS($AF$2:AF240),$AF$2:$AF$1001,0),0), INDEX($AM$1004:$BM$1004,1,MATCH(COLUMNS($AM$1006:BA1006),$AM$1006:$BM$1006,0)))),"Fix")))</f>
        <v xml:space="preserve"> </v>
      </c>
      <c r="Q240" s="4" t="str">
        <f ca="1">IF(OR(INDEX($AG$2:$AG$1001,MATCH(ROWS($AF$2:AF240),$AF$2:$AF$1001,0),1)&gt;=100000,INDEX($AM$1005:$BM$1005,1,MATCH(COLUMNS($AM$1006:BB1006),$AM$1006:$BM$1006,0))&gt;=100000), " ",IF(INDEX($AM$2:$BM$1001,MATCH(ROWS($AF$2:AF240),$AF$2:$AF$1001,0),MATCH(COLUMNS($AM$1006:BB1006),$AM$1006:$BM$1006,0)), HYPERLINK("#",""), HYPERLINK(CONCATENATE("#metadata!", ADDRESS(INDEX($AH$2:$AH$1001,MATCH(ROWS($AF$2:AF240),$AF$2:$AF$1001,0),0), INDEX($AM$1004:$BM$1004,1,MATCH(COLUMNS($AM$1006:BB1006),$AM$1006:$BM$1006,0)))),"Fix")))</f>
        <v xml:space="preserve"> </v>
      </c>
      <c r="R240" s="4" t="str">
        <f ca="1">IF(OR(INDEX($AG$2:$AG$1001,MATCH(ROWS($AF$2:AF240),$AF$2:$AF$1001,0),1)&gt;=100000,INDEX($AM$1005:$BM$1005,1,MATCH(COLUMNS($AM$1006:BC1006),$AM$1006:$BM$1006,0))&gt;=100000), " ",IF(INDEX($AM$2:$BM$1001,MATCH(ROWS($AF$2:AF240),$AF$2:$AF$1001,0),MATCH(COLUMNS($AM$1006:BC1006),$AM$1006:$BM$1006,0)), HYPERLINK("#",""), HYPERLINK(CONCATENATE("#metadata!", ADDRESS(INDEX($AH$2:$AH$1001,MATCH(ROWS($AF$2:AF240),$AF$2:$AF$1001,0),0), INDEX($AM$1004:$BM$1004,1,MATCH(COLUMNS($AM$1006:BC1006),$AM$1006:$BM$1006,0)))),"Fix")))</f>
        <v xml:space="preserve"> </v>
      </c>
      <c r="S240" s="4" t="str">
        <f ca="1">IF(OR(INDEX($AG$2:$AG$1001,MATCH(ROWS($AF$2:AF240),$AF$2:$AF$1001,0),1)&gt;=100000,INDEX($AM$1005:$BM$1005,1,MATCH(COLUMNS($AM$1006:BD1006),$AM$1006:$BM$1006,0))&gt;=100000), " ",IF(INDEX($AM$2:$BM$1001,MATCH(ROWS($AF$2:AF240),$AF$2:$AF$1001,0),MATCH(COLUMNS($AM$1006:BD1006),$AM$1006:$BM$1006,0)), HYPERLINK("#",""), HYPERLINK(CONCATENATE("#metadata!", ADDRESS(INDEX($AH$2:$AH$1001,MATCH(ROWS($AF$2:AF240),$AF$2:$AF$1001,0),0), INDEX($AM$1004:$BM$1004,1,MATCH(COLUMNS($AM$1006:BD1006),$AM$1006:$BM$1006,0)))),"Fix")))</f>
        <v xml:space="preserve"> </v>
      </c>
      <c r="T240" s="4" t="str">
        <f ca="1">IF(OR(INDEX($AG$2:$AG$1001,MATCH(ROWS($AF$2:AF240),$AF$2:$AF$1001,0),1)&gt;=100000,INDEX($AM$1005:$BM$1005,1,MATCH(COLUMNS($AM$1006:BE1006),$AM$1006:$BM$1006,0))&gt;=100000), " ",IF(INDEX($AM$2:$BM$1001,MATCH(ROWS($AF$2:AF240),$AF$2:$AF$1001,0),MATCH(COLUMNS($AM$1006:BE1006),$AM$1006:$BM$1006,0)), HYPERLINK("#",""), HYPERLINK(CONCATENATE("#metadata!", ADDRESS(INDEX($AH$2:$AH$1001,MATCH(ROWS($AF$2:AF240),$AF$2:$AF$1001,0),0), INDEX($AM$1004:$BM$1004,1,MATCH(COLUMNS($AM$1006:BE1006),$AM$1006:$BM$1006,0)))),"Fix")))</f>
        <v xml:space="preserve"> </v>
      </c>
      <c r="U240" s="4" t="str">
        <f ca="1">IF(OR(INDEX($AG$2:$AG$1001,MATCH(ROWS($AF$2:AF240),$AF$2:$AF$1001,0),1)&gt;=100000,INDEX($AM$1005:$BM$1005,1,MATCH(COLUMNS($AM$1006:BF1006),$AM$1006:$BM$1006,0))&gt;=100000), " ",IF(INDEX($AM$2:$BM$1001,MATCH(ROWS($AF$2:AF240),$AF$2:$AF$1001,0),MATCH(COLUMNS($AM$1006:BF1006),$AM$1006:$BM$1006,0)), HYPERLINK("#",""), HYPERLINK(CONCATENATE("#metadata!", ADDRESS(INDEX($AH$2:$AH$1001,MATCH(ROWS($AF$2:AF240),$AF$2:$AF$1001,0),0), INDEX($AM$1004:$BM$1004,1,MATCH(COLUMNS($AM$1006:BF1006),$AM$1006:$BM$1006,0)))),"Fix")))</f>
        <v xml:space="preserve"> </v>
      </c>
      <c r="V240" s="4" t="str">
        <f ca="1">IF(OR(INDEX($AG$2:$AG$1001,MATCH(ROWS($AF$2:AF240),$AF$2:$AF$1001,0),1)&gt;=100000,INDEX($AM$1005:$BM$1005,1,MATCH(COLUMNS($AM$1006:BG1006),$AM$1006:$BM$1006,0))&gt;=100000), " ",IF(INDEX($AM$2:$BM$1001,MATCH(ROWS($AF$2:AF240),$AF$2:$AF$1001,0),MATCH(COLUMNS($AM$1006:BG1006),$AM$1006:$BM$1006,0)), HYPERLINK("#",""), HYPERLINK(CONCATENATE("#metadata!", ADDRESS(INDEX($AH$2:$AH$1001,MATCH(ROWS($AF$2:AF240),$AF$2:$AF$1001,0),0), INDEX($AM$1004:$BM$1004,1,MATCH(COLUMNS($AM$1006:BG1006),$AM$1006:$BM$1006,0)))),"Fix")))</f>
        <v xml:space="preserve"> </v>
      </c>
      <c r="W240" s="4" t="str">
        <f ca="1">IF(OR(INDEX($AG$2:$AG$1001,MATCH(ROWS($AF$2:AF240),$AF$2:$AF$1001,0),1)&gt;=100000,INDEX($AM$1005:$BM$1005,1,MATCH(COLUMNS($AM$1006:BH1006),$AM$1006:$BM$1006,0))&gt;=100000), " ",IF(INDEX($AM$2:$BM$1001,MATCH(ROWS($AF$2:AF240),$AF$2:$AF$1001,0),MATCH(COLUMNS($AM$1006:BH1006),$AM$1006:$BM$1006,0)), HYPERLINK("#",""), HYPERLINK(CONCATENATE("#metadata!", ADDRESS(INDEX($AH$2:$AH$1001,MATCH(ROWS($AF$2:AF240),$AF$2:$AF$1001,0),0), INDEX($AM$1004:$BM$1004,1,MATCH(COLUMNS($AM$1006:BH1006),$AM$1006:$BM$1006,0)))),"Fix")))</f>
        <v xml:space="preserve"> </v>
      </c>
      <c r="X240" s="4" t="str">
        <f ca="1">IF(OR(INDEX($AG$2:$AG$1001,MATCH(ROWS($AF$2:AF240),$AF$2:$AF$1001,0),1)&gt;=100000,INDEX($AM$1005:$BM$1005,1,MATCH(COLUMNS($AM$1006:BI1006),$AM$1006:$BM$1006,0))&gt;=100000), " ",IF(INDEX($AM$2:$BM$1001,MATCH(ROWS($AF$2:AF240),$AF$2:$AF$1001,0),MATCH(COLUMNS($AM$1006:BI1006),$AM$1006:$BM$1006,0)), HYPERLINK("#",""), HYPERLINK(CONCATENATE("#metadata!", ADDRESS(INDEX($AH$2:$AH$1001,MATCH(ROWS($AF$2:AF240),$AF$2:$AF$1001,0),0), INDEX($AM$1004:$BM$1004,1,MATCH(COLUMNS($AM$1006:BI1006),$AM$1006:$BM$1006,0)))),"Fix")))</f>
        <v xml:space="preserve"> </v>
      </c>
      <c r="Y240" s="4" t="str">
        <f ca="1">IF(OR(INDEX($AG$2:$AG$1001,MATCH(ROWS($AF$2:AF240),$AF$2:$AF$1001,0),1)&gt;=100000,INDEX($AM$1005:$BM$1005,1,MATCH(COLUMNS($AM$1006:BJ1006),$AM$1006:$BM$1006,0))&gt;=100000), " ",IF(INDEX($AM$2:$BM$1001,MATCH(ROWS($AF$2:AF240),$AF$2:$AF$1001,0),MATCH(COLUMNS($AM$1006:BJ1006),$AM$1006:$BM$1006,0)), HYPERLINK("#",""), HYPERLINK(CONCATENATE("#metadata!", ADDRESS(INDEX($AH$2:$AH$1001,MATCH(ROWS($AF$2:AF240),$AF$2:$AF$1001,0),0), INDEX($AM$1004:$BM$1004,1,MATCH(COLUMNS($AM$1006:BJ1006),$AM$1006:$BM$1006,0)))),"Fix")))</f>
        <v xml:space="preserve"> </v>
      </c>
      <c r="Z240" s="4" t="str">
        <f ca="1">IF(OR(INDEX($AG$2:$AG$1001,MATCH(ROWS($AF$2:AF240),$AF$2:$AF$1001,0),1)&gt;=100000,INDEX($AM$1005:$BM$1005,1,MATCH(COLUMNS($AM$1006:BK1006),$AM$1006:$BM$1006,0))&gt;=100000), " ",IF(INDEX($AM$2:$BM$1001,MATCH(ROWS($AF$2:AF240),$AF$2:$AF$1001,0),MATCH(COLUMNS($AM$1006:BK1006),$AM$1006:$BM$1006,0)), HYPERLINK("#",""), HYPERLINK(CONCATENATE("#metadata!", ADDRESS(INDEX($AH$2:$AH$1001,MATCH(ROWS($AF$2:AF240),$AF$2:$AF$1001,0),0), INDEX($AM$1004:$BM$1004,1,MATCH(COLUMNS($AM$1006:BK1006),$AM$1006:$BM$1006,0)))),"Fix")))</f>
        <v xml:space="preserve"> </v>
      </c>
      <c r="AA240" s="4" t="str">
        <f ca="1">IF(OR(INDEX($AG$2:$AG$1001,MATCH(ROWS($AF$2:AF240),$AF$2:$AF$1001,0),1)&gt;=100000,INDEX($AM$1005:$BM$1005,1,MATCH(COLUMNS($AM$1006:BL1006),$AM$1006:$BM$1006,0))&gt;=100000), " ",IF(INDEX($AM$2:$BM$1001,MATCH(ROWS($AF$2:AF240),$AF$2:$AF$1001,0),MATCH(COLUMNS($AM$1006:BL1006),$AM$1006:$BM$1006,0)), HYPERLINK("#",""), HYPERLINK(CONCATENATE("#metadata!", ADDRESS(INDEX($AH$2:$AH$1001,MATCH(ROWS($AF$2:AF240),$AF$2:$AF$1001,0),0), INDEX($AM$1004:$BM$1004,1,MATCH(COLUMNS($AM$1006:BL1006),$AM$1006:$BM$1006,0)))),"Fix")))</f>
        <v xml:space="preserve"> </v>
      </c>
      <c r="AB240" s="4" t="str">
        <f ca="1">IF(OR(INDEX($AG$2:$AG$1001,MATCH(ROWS($AF$2:AF240),$AF$2:$AF$1001,0),1)&gt;=100000,INDEX($AM$1005:$BM$1005,1,MATCH(COLUMNS($AM$1006:BM1006),$AM$1006:$BM$1006,0))&gt;=100000), " ",IF(INDEX($AM$2:$BM$1001,MATCH(ROWS($AF$2:AF240),$AF$2:$AF$1001,0),MATCH(COLUMNS($AM$1006:BM1006),$AM$1006:$BM$1006,0)), HYPERLINK("#",""), HYPERLINK(CONCATENATE("#metadata!", ADDRESS(INDEX($AH$2:$AH$1001,MATCH(ROWS($AF$2:AF240),$AF$2:$AF$1001,0),0), INDEX($AM$1004:$BM$1004,1,MATCH(COLUMNS($AM$1006:BM1006),$AM$1006:$BM$1006,0)))),"Fix")))</f>
        <v xml:space="preserve"> </v>
      </c>
      <c r="AF240">
        <v>239</v>
      </c>
      <c r="AG240">
        <v>100240</v>
      </c>
      <c r="AH240">
        <v>240</v>
      </c>
      <c r="AI240" t="b">
        <f t="shared" si="3"/>
        <v>1</v>
      </c>
      <c r="AJ240" t="b">
        <f>COUNTBLANK(metadata!B240:AB240)=COLUMNS(metadata!B240:AB240)</f>
        <v>1</v>
      </c>
      <c r="AK240" t="str">
        <v/>
      </c>
      <c r="AM240" t="b">
        <f ca="1">AND(IF(metadata!B240="",FALSE,TRUE),COUNTIF(metadata!B:B, metadata!B240) = 1,NOT(ISERROR(SUMPRODUCT(SEARCH(MID(metadata!B240,ROW(INDIRECT("1:"&amp;LEN(metadata!B240))), 1),"0123456789abcdefghijklmnopqrstuvwxyzABCDEFGHIJKLMNOPQRSTUVWXYZ.")))))</f>
        <v>0</v>
      </c>
      <c r="AN240" t="b">
        <f ca="1">OR(AND(IF(metadata!C240="",FALSE,TRUE),OR(EXACT(metadata!C240,"missing: not collected"),EXACT(metadata!C240,"missing: not provided"),EXACT(metadata!C240,"missing: restricted access"))),AND(IF(metadata!C240="",FALSE,TRUE),AND(AND(IFERROR(INT(LEFT(metadata!C240,4))&gt;1900,FALSE),IFERROR(INT(LEFT(metadata!C240,4))&lt;=YEAR(NOW()),FALSE)), OR(MID(metadata!C240,5,1)="", AND(AND(MID(metadata!C240,5,1)="-",IFERROR(INT(MID(metadata!C240,6,1))&gt;=0,FALSE),IFERROR(INT(MID(metadata!C240,6,1))&lt;=1,FALSE),NOT(MID(metadata!C240,7,1)=""),IFERROR(INT(MID(metadata!C240,6,2))&gt;=1,FALSE),IFERROR(INT(MID(metadata!C240,6,2))&lt;=12,FALSE)), OR(MID(metadata!C240,8,1)="", AND(AND(MID(metadata!C240,8,1)="-",IFERROR(INT(MID(metadata!C240,9,1))&gt;=0,FALSE),IFERROR(INT(MID(metadata!C240,9,1))&lt;=3,FALSE),NOT(MID(metadata!C240,10,1)=""),IFERROR(INT(MID(metadata!C240,9,2))&gt;=1,FALSE),IFERROR(INT(MID(metadata!C240,9,2))&lt;=31,FALSE)), OR(MID(metadata!C240,11,1)="", AND(AND(MID(metadata!C240,11,1)=" ",IFERROR(INT(MID(metadata!C240,12,1))&gt;=0,FALSE),IFERROR(INT(MID(metadata!C240,12,1))&lt;=2,FALSE),NOT(MID(metadata!C240,13,1)=""),IFERROR(INT(MID(metadata!C240,12,2))&gt;=0,FALSE),IFERROR(INT(MID(metadata!C240,12,2))&lt;=23,FALSE)), OR(MID(metadata!C240,14,1)="", AND(AND(MID(metadata!C240,14,1)=":",IFERROR(INT(MID(metadata!C240,15,1))&gt;=0,FALSE),IFERROR(INT(MID(metadata!C240,15,1))&lt;=5,FALSE),NOT(MID(metadata!C240,16,1)=""),IFERROR(INT(MID(metadata!C240,15,2))&gt;=0,FALSE),IFERROR(INT(MID(metadata!C240,15,2))&lt;=59,FALSE)), OR(MID(metadata!C240,17,1)="", AND(AND(MID(metadata!C240,17,1)=":",IFERROR(INT(MID(metadata!C240,18,1))&gt;=0,FALSE),IFERROR(INT(MID(metadata!C240,18,1))&lt;=5,FALSE),NOT(MID(metadata!C240,19,1)=""),IFERROR(INT(MID(metadata!C240,18,2))&gt;=0,FALSE),IFERROR(INT(MID(metadata!C240,18,2))&lt;=59,FALSE)), LEN(metadata!C240)&lt;=19)))))))))))))</f>
        <v>0</v>
      </c>
      <c r="AO240" t="b">
        <f>AND(IF(metadata!D240="",FALSE,TRUE),EXACT(metadata!D240,"Not applicable"))</f>
        <v>0</v>
      </c>
      <c r="AP240" t="b">
        <f>IF(metadata!E240="",FALSE,TRUE)</f>
        <v>0</v>
      </c>
      <c r="AQ240" t="b">
        <f>OR(AND(IF(metadata!F240="",FALSE,TRUE),OR(EXACT(metadata!F240,"missing: not collected"),EXACT(metadata!F240,"missing: not provided"))),AND(IF(metadata!F240="",FALSE,TRUE),OR(EXACT(metadata!F240,"TRUE"),EXACT(metadata!F240,"FALSE"))))</f>
        <v>0</v>
      </c>
      <c r="AR240" t="b">
        <f>OR(AND(IF(metadata!G240="",FALSE,TRUE),OR(EXACT(metadata!G240,"missing: not collected"),EXACT(metadata!G240,"missing: not provided"),EXACT(metadata!G240,"missing: restricted access"))),AND(IF(metadata!G240="",FALSE,ISNUMBER(VALUE(metadata!G240))),metadata!G240&gt;=-413))</f>
        <v>0</v>
      </c>
      <c r="AS240" t="b">
        <f>AND(IF(metadata!H240="",FALSE,TRUE),EXACT(metadata!H240,"meters"))</f>
        <v>0</v>
      </c>
      <c r="AT240" t="b">
        <f>AND(IF(metadata!I240="",FALSE,TRUE),OR(EXACT(metadata!I240,"Host-associated"),EXACT(metadata!I240,"Free-living")))</f>
        <v>0</v>
      </c>
      <c r="AU240" t="b">
        <f>AND(IF(metadata!J240="",FALSE,TRUE),OR(EXACT(metadata!J240,"Animal"),EXACT(metadata!J240,"Fungus"),EXACT(metadata!J240,"Plant"),EXACT(metadata!J240,"Saline"),EXACT(metadata!J240,"Non-saline")))</f>
        <v>0</v>
      </c>
      <c r="AV240" t="b">
        <f>AND(IF(metadata!K240="",FALSE,TRUE),OR(EXACT(metadata!K240,"Plant secretion"),EXACT(metadata!K240,"Plant rhizosphere"),EXACT(metadata!K240,"Plant surface"),EXACT(metadata!K240,"Plant corpus"),EXACT(metadata!K240,"Fungus surface"),EXACT(metadata!K240,"Fungus corpus"),EXACT(metadata!K240,"Animal surface"),EXACT(metadata!K240,"Animal proximal gut"),EXACT(metadata!K240,"Animal corpus"),EXACT(metadata!K240,"Animal distal gut"),EXACT(metadata!K240,"Animal secretion"),EXACT(metadata!K240,"Sub-surface (non-saline)"),EXACT(metadata!K240,"Surface (non-saline)"),EXACT(metadata!K240,"Water (non-saline)"),EXACT(metadata!K240,"Soil (non-saline)"),EXACT(metadata!K240,"Aerosol (non-saline)"),EXACT(metadata!K240,"Sediment (non-saline)"),EXACT(metadata!K240,"Surface (saline)"),EXACT(metadata!K240,"Water (saline)"),EXACT(metadata!K240,"Hypersaline (saline)"),EXACT(metadata!K240,"Aerosol (saline)"),EXACT(metadata!K240,"Sediment (saline)")))</f>
        <v>0</v>
      </c>
      <c r="AW240" t="b">
        <f>IF(metadata!L240="",FALSE,TRUE)</f>
        <v>0</v>
      </c>
      <c r="AX240" t="b">
        <f>IF(metadata!M240="",FALSE,TRUE)</f>
        <v>0</v>
      </c>
      <c r="AY240" t="b">
        <f>IF(metadata!N240="",FALSE,TRUE)</f>
        <v>0</v>
      </c>
      <c r="AZ240" t="b">
        <f>OR(AND(IF(metadata!O240="",FALSE,TRUE),OR(EXACT(metadata!O240,"missing: not collected"),EXACT(metadata!O240,"missing: not provided"),EXACT(metadata!O240,"missing: restricted access"))),AND(IF(metadata!O240="",FALSE,TRUE),OR(EXACT(metadata!O240,"air"),EXACT(metadata!O240,"built environment"),EXACT(metadata!O240,"host-associated"),EXACT(metadata!O240,"human-associated"),EXACT(metadata!O240,"human-skin"),EXACT(metadata!O240,"human-oral"),EXACT(metadata!O240,"human-gut"),EXACT(metadata!O240,"human-vaginal"),EXACT(metadata!O240,"microbial mat/biofilm"),EXACT(metadata!O240,"misc environment"),EXACT(metadata!O240,"plant-associated"),EXACT(metadata!O240,"sediment"),EXACT(metadata!O240,"soil"),EXACT(metadata!O240,"wastewater/sludge"),EXACT(metadata!O240,"water"))))</f>
        <v>0</v>
      </c>
      <c r="BA240" t="b">
        <f>IF(metadata!P240="",FALSE,TRUE)</f>
        <v>0</v>
      </c>
      <c r="BB240" t="b">
        <f>IF(metadata!Q240="",FALSE,TRUE)</f>
        <v>0</v>
      </c>
      <c r="BC240" t="b">
        <f>OR(AND(IF(metadata!R240="",FALSE,TRUE),OR(EXACT(metadata!R240,"missing: not collected"),EXACT(metadata!R240,"missing: not provided"),EXACT(metadata!R240,"missing: restricted access"))),AND(IF(metadata!R240="",FALSE,ISNUMBER(VALUE(metadata!R240))),metadata!R240&gt;=-90,metadata!R240&lt;=90))</f>
        <v>0</v>
      </c>
      <c r="BD240" t="b">
        <f>AND(IF(metadata!S240="",FALSE,TRUE),EXACT(metadata!S240,"Decimal degrees"))</f>
        <v>0</v>
      </c>
      <c r="BE240" t="b">
        <f>OR(AND(IF(metadata!T240="",FALSE,TRUE),OR(EXACT(metadata!T240,"missing: not collected"),EXACT(metadata!T240,"missing: not provided"),EXACT(metadata!T240,"missing: restricted access"))),AND(IF(metadata!T240="",FALSE,ISNUMBER(VALUE(metadata!T240))),metadata!T240&gt;=-180,metadata!T240&lt;=180))</f>
        <v>0</v>
      </c>
      <c r="BF240" t="b">
        <f>AND(IF(metadata!U240="",FALSE,TRUE),EXACT(metadata!U240,"Decimal degrees"))</f>
        <v>0</v>
      </c>
      <c r="BG240" t="b">
        <f>IF(metadata!V240="",FALSE,TRUE)</f>
        <v>0</v>
      </c>
      <c r="BH240" t="b">
        <f>OR(AND(IF(metadata!W240="",FALSE,TRUE),OR(EXACT(metadata!W240,"missing: not collected"),EXACT(metadata!W240,"missing: not provided"),EXACT(metadata!W240,"missing: restricted access"))),AND(IF(metadata!W240="",FALSE,TRUE),OR(EXACT(metadata!W240,"TRUE"),EXACT(metadata!W240,"FALSE"))))</f>
        <v>0</v>
      </c>
      <c r="BI240" t="b">
        <f>AND(IF(metadata!X240="",FALSE,TRUE),EXACT(metadata!X240,"other"))</f>
        <v>0</v>
      </c>
      <c r="BJ240" t="b">
        <f>IF(metadata!Y240="",FALSE,TRUE)</f>
        <v>0</v>
      </c>
      <c r="BK240" t="b">
        <f>OR(AND(IF(metadata!Z240="",FALSE,TRUE),OR(EXACT(metadata!Z240,"missing: not collected"),EXACT(metadata!Z240,"missing: not provided"))),AND(IF(metadata!Z240="",FALSE,IF(ISERROR(INT(metadata!Z240)),FALSE,INT(metadata!Z240)=metadata!Z240)),metadata!Z240&gt;0))</f>
        <v>0</v>
      </c>
      <c r="BL240" t="b">
        <f>AND(IF(metadata!AA240="",FALSE,TRUE),EXACT(metadata!AA240,"Not applicable"))</f>
        <v>0</v>
      </c>
      <c r="BM240" t="b">
        <f>IF(metadata!AB240="",FALSE,TRUE)</f>
        <v>0</v>
      </c>
    </row>
    <row r="241" spans="1:65" x14ac:dyDescent="0.2">
      <c r="A241" s="5" t="str">
        <f ca="1">IF(B241=" "," ",HYPERLINK(CONCATENATE("#metadata!",ADDRESS(INDEX($AH$2:$AH$1001,MATCH(ROWS($AF$2:AF241),$AF$2:$AF$1001,0),0),1)),INDEX($AK$2:$AK$1001,MATCH(ROWS($AF$2:AF241),$AF$2:$AF$1001,0),0)))</f>
        <v xml:space="preserve"> </v>
      </c>
      <c r="B241" s="4" t="str">
        <f ca="1">IF(OR(INDEX($AG$2:$AG$1001,MATCH(ROWS($AF$2:AF241),$AF$2:$AF$1001,0),1)&gt;=100000,INDEX($AM$1005:$BM$1005,1,MATCH(COLUMNS($AM$1006:AM1006),$AM$1006:$BM$1006,0))&gt;=100000), " ",IF(INDEX($AM$2:$BM$1001,MATCH(ROWS($AF$2:AF241),$AF$2:$AF$1001,0),MATCH(COLUMNS($AM$1006:AM1006),$AM$1006:$BM$1006,0)), HYPERLINK("#",""), HYPERLINK(CONCATENATE("#metadata!", ADDRESS(INDEX($AH$2:$AH$1001,MATCH(ROWS($AF$2:AF241),$AF$2:$AF$1001,0),0), INDEX($AM$1004:$BM$1004,1,MATCH(COLUMNS($AM$1006:AM1006),$AM$1006:$BM$1006,0)))),"Fix")))</f>
        <v xml:space="preserve"> </v>
      </c>
      <c r="C241" s="4" t="str">
        <f ca="1">IF(OR(INDEX($AG$2:$AG$1001,MATCH(ROWS($AF$2:AF241),$AF$2:$AF$1001,0),1)&gt;=100000,INDEX($AM$1005:$BM$1005,1,MATCH(COLUMNS($AM$1006:AN1006),$AM$1006:$BM$1006,0))&gt;=100000), " ",IF(INDEX($AM$2:$BM$1001,MATCH(ROWS($AF$2:AF241),$AF$2:$AF$1001,0),MATCH(COLUMNS($AM$1006:AN1006),$AM$1006:$BM$1006,0)), HYPERLINK("#",""), HYPERLINK(CONCATENATE("#metadata!", ADDRESS(INDEX($AH$2:$AH$1001,MATCH(ROWS($AF$2:AF241),$AF$2:$AF$1001,0),0), INDEX($AM$1004:$BM$1004,1,MATCH(COLUMNS($AM$1006:AN1006),$AM$1006:$BM$1006,0)))),"Fix")))</f>
        <v xml:space="preserve"> </v>
      </c>
      <c r="D241" s="4" t="str">
        <f ca="1">IF(OR(INDEX($AG$2:$AG$1001,MATCH(ROWS($AF$2:AF241),$AF$2:$AF$1001,0),1)&gt;=100000,INDEX($AM$1005:$BM$1005,1,MATCH(COLUMNS($AM$1006:AO1006),$AM$1006:$BM$1006,0))&gt;=100000), " ",IF(INDEX($AM$2:$BM$1001,MATCH(ROWS($AF$2:AF241),$AF$2:$AF$1001,0),MATCH(COLUMNS($AM$1006:AO1006),$AM$1006:$BM$1006,0)), HYPERLINK("#",""), HYPERLINK(CONCATENATE("#metadata!", ADDRESS(INDEX($AH$2:$AH$1001,MATCH(ROWS($AF$2:AF241),$AF$2:$AF$1001,0),0), INDEX($AM$1004:$BM$1004,1,MATCH(COLUMNS($AM$1006:AO1006),$AM$1006:$BM$1006,0)))),"Fix")))</f>
        <v xml:space="preserve"> </v>
      </c>
      <c r="E241" s="4" t="str">
        <f ca="1">IF(OR(INDEX($AG$2:$AG$1001,MATCH(ROWS($AF$2:AF241),$AF$2:$AF$1001,0),1)&gt;=100000,INDEX($AM$1005:$BM$1005,1,MATCH(COLUMNS($AM$1006:AP1006),$AM$1006:$BM$1006,0))&gt;=100000), " ",IF(INDEX($AM$2:$BM$1001,MATCH(ROWS($AF$2:AF241),$AF$2:$AF$1001,0),MATCH(COLUMNS($AM$1006:AP1006),$AM$1006:$BM$1006,0)), HYPERLINK("#",""), HYPERLINK(CONCATENATE("#metadata!", ADDRESS(INDEX($AH$2:$AH$1001,MATCH(ROWS($AF$2:AF241),$AF$2:$AF$1001,0),0), INDEX($AM$1004:$BM$1004,1,MATCH(COLUMNS($AM$1006:AP1006),$AM$1006:$BM$1006,0)))),"Fix")))</f>
        <v xml:space="preserve"> </v>
      </c>
      <c r="F241" s="4" t="str">
        <f ca="1">IF(OR(INDEX($AG$2:$AG$1001,MATCH(ROWS($AF$2:AF241),$AF$2:$AF$1001,0),1)&gt;=100000,INDEX($AM$1005:$BM$1005,1,MATCH(COLUMNS($AM$1006:AQ1006),$AM$1006:$BM$1006,0))&gt;=100000), " ",IF(INDEX($AM$2:$BM$1001,MATCH(ROWS($AF$2:AF241),$AF$2:$AF$1001,0),MATCH(COLUMNS($AM$1006:AQ1006),$AM$1006:$BM$1006,0)), HYPERLINK("#",""), HYPERLINK(CONCATENATE("#metadata!", ADDRESS(INDEX($AH$2:$AH$1001,MATCH(ROWS($AF$2:AF241),$AF$2:$AF$1001,0),0), INDEX($AM$1004:$BM$1004,1,MATCH(COLUMNS($AM$1006:AQ1006),$AM$1006:$BM$1006,0)))),"Fix")))</f>
        <v xml:space="preserve"> </v>
      </c>
      <c r="G241" s="4" t="str">
        <f ca="1">IF(OR(INDEX($AG$2:$AG$1001,MATCH(ROWS($AF$2:AF241),$AF$2:$AF$1001,0),1)&gt;=100000,INDEX($AM$1005:$BM$1005,1,MATCH(COLUMNS($AM$1006:AR1006),$AM$1006:$BM$1006,0))&gt;=100000), " ",IF(INDEX($AM$2:$BM$1001,MATCH(ROWS($AF$2:AF241),$AF$2:$AF$1001,0),MATCH(COLUMNS($AM$1006:AR1006),$AM$1006:$BM$1006,0)), HYPERLINK("#",""), HYPERLINK(CONCATENATE("#metadata!", ADDRESS(INDEX($AH$2:$AH$1001,MATCH(ROWS($AF$2:AF241),$AF$2:$AF$1001,0),0), INDEX($AM$1004:$BM$1004,1,MATCH(COLUMNS($AM$1006:AR1006),$AM$1006:$BM$1006,0)))),"Fix")))</f>
        <v xml:space="preserve"> </v>
      </c>
      <c r="H241" s="4" t="str">
        <f ca="1">IF(OR(INDEX($AG$2:$AG$1001,MATCH(ROWS($AF$2:AF241),$AF$2:$AF$1001,0),1)&gt;=100000,INDEX($AM$1005:$BM$1005,1,MATCH(COLUMNS($AM$1006:AS1006),$AM$1006:$BM$1006,0))&gt;=100000), " ",IF(INDEX($AM$2:$BM$1001,MATCH(ROWS($AF$2:AF241),$AF$2:$AF$1001,0),MATCH(COLUMNS($AM$1006:AS1006),$AM$1006:$BM$1006,0)), HYPERLINK("#",""), HYPERLINK(CONCATENATE("#metadata!", ADDRESS(INDEX($AH$2:$AH$1001,MATCH(ROWS($AF$2:AF241),$AF$2:$AF$1001,0),0), INDEX($AM$1004:$BM$1004,1,MATCH(COLUMNS($AM$1006:AS1006),$AM$1006:$BM$1006,0)))),"Fix")))</f>
        <v xml:space="preserve"> </v>
      </c>
      <c r="I241" s="4" t="str">
        <f ca="1">IF(OR(INDEX($AG$2:$AG$1001,MATCH(ROWS($AF$2:AF241),$AF$2:$AF$1001,0),1)&gt;=100000,INDEX($AM$1005:$BM$1005,1,MATCH(COLUMNS($AM$1006:AT1006),$AM$1006:$BM$1006,0))&gt;=100000), " ",IF(INDEX($AM$2:$BM$1001,MATCH(ROWS($AF$2:AF241),$AF$2:$AF$1001,0),MATCH(COLUMNS($AM$1006:AT1006),$AM$1006:$BM$1006,0)), HYPERLINK("#",""), HYPERLINK(CONCATENATE("#metadata!", ADDRESS(INDEX($AH$2:$AH$1001,MATCH(ROWS($AF$2:AF241),$AF$2:$AF$1001,0),0), INDEX($AM$1004:$BM$1004,1,MATCH(COLUMNS($AM$1006:AT1006),$AM$1006:$BM$1006,0)))),"Fix")))</f>
        <v xml:space="preserve"> </v>
      </c>
      <c r="J241" s="4" t="str">
        <f ca="1">IF(OR(INDEX($AG$2:$AG$1001,MATCH(ROWS($AF$2:AF241),$AF$2:$AF$1001,0),1)&gt;=100000,INDEX($AM$1005:$BM$1005,1,MATCH(COLUMNS($AM$1006:AU1006),$AM$1006:$BM$1006,0))&gt;=100000), " ",IF(INDEX($AM$2:$BM$1001,MATCH(ROWS($AF$2:AF241),$AF$2:$AF$1001,0),MATCH(COLUMNS($AM$1006:AU1006),$AM$1006:$BM$1006,0)), HYPERLINK("#",""), HYPERLINK(CONCATENATE("#metadata!", ADDRESS(INDEX($AH$2:$AH$1001,MATCH(ROWS($AF$2:AF241),$AF$2:$AF$1001,0),0), INDEX($AM$1004:$BM$1004,1,MATCH(COLUMNS($AM$1006:AU1006),$AM$1006:$BM$1006,0)))),"Fix")))</f>
        <v xml:space="preserve"> </v>
      </c>
      <c r="K241" s="4" t="str">
        <f ca="1">IF(OR(INDEX($AG$2:$AG$1001,MATCH(ROWS($AF$2:AF241),$AF$2:$AF$1001,0),1)&gt;=100000,INDEX($AM$1005:$BM$1005,1,MATCH(COLUMNS($AM$1006:AV1006),$AM$1006:$BM$1006,0))&gt;=100000), " ",IF(INDEX($AM$2:$BM$1001,MATCH(ROWS($AF$2:AF241),$AF$2:$AF$1001,0),MATCH(COLUMNS($AM$1006:AV1006),$AM$1006:$BM$1006,0)), HYPERLINK("#",""), HYPERLINK(CONCATENATE("#metadata!", ADDRESS(INDEX($AH$2:$AH$1001,MATCH(ROWS($AF$2:AF241),$AF$2:$AF$1001,0),0), INDEX($AM$1004:$BM$1004,1,MATCH(COLUMNS($AM$1006:AV1006),$AM$1006:$BM$1006,0)))),"Fix")))</f>
        <v xml:space="preserve"> </v>
      </c>
      <c r="L241" s="4" t="str">
        <f ca="1">IF(OR(INDEX($AG$2:$AG$1001,MATCH(ROWS($AF$2:AF241),$AF$2:$AF$1001,0),1)&gt;=100000,INDEX($AM$1005:$BM$1005,1,MATCH(COLUMNS($AM$1006:AW1006),$AM$1006:$BM$1006,0))&gt;=100000), " ",IF(INDEX($AM$2:$BM$1001,MATCH(ROWS($AF$2:AF241),$AF$2:$AF$1001,0),MATCH(COLUMNS($AM$1006:AW1006),$AM$1006:$BM$1006,0)), HYPERLINK("#",""), HYPERLINK(CONCATENATE("#metadata!", ADDRESS(INDEX($AH$2:$AH$1001,MATCH(ROWS($AF$2:AF241),$AF$2:$AF$1001,0),0), INDEX($AM$1004:$BM$1004,1,MATCH(COLUMNS($AM$1006:AW1006),$AM$1006:$BM$1006,0)))),"Fix")))</f>
        <v xml:space="preserve"> </v>
      </c>
      <c r="M241" s="4" t="str">
        <f ca="1">IF(OR(INDEX($AG$2:$AG$1001,MATCH(ROWS($AF$2:AF241),$AF$2:$AF$1001,0),1)&gt;=100000,INDEX($AM$1005:$BM$1005,1,MATCH(COLUMNS($AM$1006:AX1006),$AM$1006:$BM$1006,0))&gt;=100000), " ",IF(INDEX($AM$2:$BM$1001,MATCH(ROWS($AF$2:AF241),$AF$2:$AF$1001,0),MATCH(COLUMNS($AM$1006:AX1006),$AM$1006:$BM$1006,0)), HYPERLINK("#",""), HYPERLINK(CONCATENATE("#metadata!", ADDRESS(INDEX($AH$2:$AH$1001,MATCH(ROWS($AF$2:AF241),$AF$2:$AF$1001,0),0), INDEX($AM$1004:$BM$1004,1,MATCH(COLUMNS($AM$1006:AX1006),$AM$1006:$BM$1006,0)))),"Fix")))</f>
        <v xml:space="preserve"> </v>
      </c>
      <c r="N241" s="4" t="str">
        <f ca="1">IF(OR(INDEX($AG$2:$AG$1001,MATCH(ROWS($AF$2:AF241),$AF$2:$AF$1001,0),1)&gt;=100000,INDEX($AM$1005:$BM$1005,1,MATCH(COLUMNS($AM$1006:AY1006),$AM$1006:$BM$1006,0))&gt;=100000), " ",IF(INDEX($AM$2:$BM$1001,MATCH(ROWS($AF$2:AF241),$AF$2:$AF$1001,0),MATCH(COLUMNS($AM$1006:AY1006),$AM$1006:$BM$1006,0)), HYPERLINK("#",""), HYPERLINK(CONCATENATE("#metadata!", ADDRESS(INDEX($AH$2:$AH$1001,MATCH(ROWS($AF$2:AF241),$AF$2:$AF$1001,0),0), INDEX($AM$1004:$BM$1004,1,MATCH(COLUMNS($AM$1006:AY1006),$AM$1006:$BM$1006,0)))),"Fix")))</f>
        <v xml:space="preserve"> </v>
      </c>
      <c r="O241" s="4" t="str">
        <f ca="1">IF(OR(INDEX($AG$2:$AG$1001,MATCH(ROWS($AF$2:AF241),$AF$2:$AF$1001,0),1)&gt;=100000,INDEX($AM$1005:$BM$1005,1,MATCH(COLUMNS($AM$1006:AZ1006),$AM$1006:$BM$1006,0))&gt;=100000), " ",IF(INDEX($AM$2:$BM$1001,MATCH(ROWS($AF$2:AF241),$AF$2:$AF$1001,0),MATCH(COLUMNS($AM$1006:AZ1006),$AM$1006:$BM$1006,0)), HYPERLINK("#",""), HYPERLINK(CONCATENATE("#metadata!", ADDRESS(INDEX($AH$2:$AH$1001,MATCH(ROWS($AF$2:AF241),$AF$2:$AF$1001,0),0), INDEX($AM$1004:$BM$1004,1,MATCH(COLUMNS($AM$1006:AZ1006),$AM$1006:$BM$1006,0)))),"Fix")))</f>
        <v xml:space="preserve"> </v>
      </c>
      <c r="P241" s="4" t="str">
        <f ca="1">IF(OR(INDEX($AG$2:$AG$1001,MATCH(ROWS($AF$2:AF241),$AF$2:$AF$1001,0),1)&gt;=100000,INDEX($AM$1005:$BM$1005,1,MATCH(COLUMNS($AM$1006:BA1006),$AM$1006:$BM$1006,0))&gt;=100000), " ",IF(INDEX($AM$2:$BM$1001,MATCH(ROWS($AF$2:AF241),$AF$2:$AF$1001,0),MATCH(COLUMNS($AM$1006:BA1006),$AM$1006:$BM$1006,0)), HYPERLINK("#",""), HYPERLINK(CONCATENATE("#metadata!", ADDRESS(INDEX($AH$2:$AH$1001,MATCH(ROWS($AF$2:AF241),$AF$2:$AF$1001,0),0), INDEX($AM$1004:$BM$1004,1,MATCH(COLUMNS($AM$1006:BA1006),$AM$1006:$BM$1006,0)))),"Fix")))</f>
        <v xml:space="preserve"> </v>
      </c>
      <c r="Q241" s="4" t="str">
        <f ca="1">IF(OR(INDEX($AG$2:$AG$1001,MATCH(ROWS($AF$2:AF241),$AF$2:$AF$1001,0),1)&gt;=100000,INDEX($AM$1005:$BM$1005,1,MATCH(COLUMNS($AM$1006:BB1006),$AM$1006:$BM$1006,0))&gt;=100000), " ",IF(INDEX($AM$2:$BM$1001,MATCH(ROWS($AF$2:AF241),$AF$2:$AF$1001,0),MATCH(COLUMNS($AM$1006:BB1006),$AM$1006:$BM$1006,0)), HYPERLINK("#",""), HYPERLINK(CONCATENATE("#metadata!", ADDRESS(INDEX($AH$2:$AH$1001,MATCH(ROWS($AF$2:AF241),$AF$2:$AF$1001,0),0), INDEX($AM$1004:$BM$1004,1,MATCH(COLUMNS($AM$1006:BB1006),$AM$1006:$BM$1006,0)))),"Fix")))</f>
        <v xml:space="preserve"> </v>
      </c>
      <c r="R241" s="4" t="str">
        <f ca="1">IF(OR(INDEX($AG$2:$AG$1001,MATCH(ROWS($AF$2:AF241),$AF$2:$AF$1001,0),1)&gt;=100000,INDEX($AM$1005:$BM$1005,1,MATCH(COLUMNS($AM$1006:BC1006),$AM$1006:$BM$1006,0))&gt;=100000), " ",IF(INDEX($AM$2:$BM$1001,MATCH(ROWS($AF$2:AF241),$AF$2:$AF$1001,0),MATCH(COLUMNS($AM$1006:BC1006),$AM$1006:$BM$1006,0)), HYPERLINK("#",""), HYPERLINK(CONCATENATE("#metadata!", ADDRESS(INDEX($AH$2:$AH$1001,MATCH(ROWS($AF$2:AF241),$AF$2:$AF$1001,0),0), INDEX($AM$1004:$BM$1004,1,MATCH(COLUMNS($AM$1006:BC1006),$AM$1006:$BM$1006,0)))),"Fix")))</f>
        <v xml:space="preserve"> </v>
      </c>
      <c r="S241" s="4" t="str">
        <f ca="1">IF(OR(INDEX($AG$2:$AG$1001,MATCH(ROWS($AF$2:AF241),$AF$2:$AF$1001,0),1)&gt;=100000,INDEX($AM$1005:$BM$1005,1,MATCH(COLUMNS($AM$1006:BD1006),$AM$1006:$BM$1006,0))&gt;=100000), " ",IF(INDEX($AM$2:$BM$1001,MATCH(ROWS($AF$2:AF241),$AF$2:$AF$1001,0),MATCH(COLUMNS($AM$1006:BD1006),$AM$1006:$BM$1006,0)), HYPERLINK("#",""), HYPERLINK(CONCATENATE("#metadata!", ADDRESS(INDEX($AH$2:$AH$1001,MATCH(ROWS($AF$2:AF241),$AF$2:$AF$1001,0),0), INDEX($AM$1004:$BM$1004,1,MATCH(COLUMNS($AM$1006:BD1006),$AM$1006:$BM$1006,0)))),"Fix")))</f>
        <v xml:space="preserve"> </v>
      </c>
      <c r="T241" s="4" t="str">
        <f ca="1">IF(OR(INDEX($AG$2:$AG$1001,MATCH(ROWS($AF$2:AF241),$AF$2:$AF$1001,0),1)&gt;=100000,INDEX($AM$1005:$BM$1005,1,MATCH(COLUMNS($AM$1006:BE1006),$AM$1006:$BM$1006,0))&gt;=100000), " ",IF(INDEX($AM$2:$BM$1001,MATCH(ROWS($AF$2:AF241),$AF$2:$AF$1001,0),MATCH(COLUMNS($AM$1006:BE1006),$AM$1006:$BM$1006,0)), HYPERLINK("#",""), HYPERLINK(CONCATENATE("#metadata!", ADDRESS(INDEX($AH$2:$AH$1001,MATCH(ROWS($AF$2:AF241),$AF$2:$AF$1001,0),0), INDEX($AM$1004:$BM$1004,1,MATCH(COLUMNS($AM$1006:BE1006),$AM$1006:$BM$1006,0)))),"Fix")))</f>
        <v xml:space="preserve"> </v>
      </c>
      <c r="U241" s="4" t="str">
        <f ca="1">IF(OR(INDEX($AG$2:$AG$1001,MATCH(ROWS($AF$2:AF241),$AF$2:$AF$1001,0),1)&gt;=100000,INDEX($AM$1005:$BM$1005,1,MATCH(COLUMNS($AM$1006:BF1006),$AM$1006:$BM$1006,0))&gt;=100000), " ",IF(INDEX($AM$2:$BM$1001,MATCH(ROWS($AF$2:AF241),$AF$2:$AF$1001,0),MATCH(COLUMNS($AM$1006:BF1006),$AM$1006:$BM$1006,0)), HYPERLINK("#",""), HYPERLINK(CONCATENATE("#metadata!", ADDRESS(INDEX($AH$2:$AH$1001,MATCH(ROWS($AF$2:AF241),$AF$2:$AF$1001,0),0), INDEX($AM$1004:$BM$1004,1,MATCH(COLUMNS($AM$1006:BF1006),$AM$1006:$BM$1006,0)))),"Fix")))</f>
        <v xml:space="preserve"> </v>
      </c>
      <c r="V241" s="4" t="str">
        <f ca="1">IF(OR(INDEX($AG$2:$AG$1001,MATCH(ROWS($AF$2:AF241),$AF$2:$AF$1001,0),1)&gt;=100000,INDEX($AM$1005:$BM$1005,1,MATCH(COLUMNS($AM$1006:BG1006),$AM$1006:$BM$1006,0))&gt;=100000), " ",IF(INDEX($AM$2:$BM$1001,MATCH(ROWS($AF$2:AF241),$AF$2:$AF$1001,0),MATCH(COLUMNS($AM$1006:BG1006),$AM$1006:$BM$1006,0)), HYPERLINK("#",""), HYPERLINK(CONCATENATE("#metadata!", ADDRESS(INDEX($AH$2:$AH$1001,MATCH(ROWS($AF$2:AF241),$AF$2:$AF$1001,0),0), INDEX($AM$1004:$BM$1004,1,MATCH(COLUMNS($AM$1006:BG1006),$AM$1006:$BM$1006,0)))),"Fix")))</f>
        <v xml:space="preserve"> </v>
      </c>
      <c r="W241" s="4" t="str">
        <f ca="1">IF(OR(INDEX($AG$2:$AG$1001,MATCH(ROWS($AF$2:AF241),$AF$2:$AF$1001,0),1)&gt;=100000,INDEX($AM$1005:$BM$1005,1,MATCH(COLUMNS($AM$1006:BH1006),$AM$1006:$BM$1006,0))&gt;=100000), " ",IF(INDEX($AM$2:$BM$1001,MATCH(ROWS($AF$2:AF241),$AF$2:$AF$1001,0),MATCH(COLUMNS($AM$1006:BH1006),$AM$1006:$BM$1006,0)), HYPERLINK("#",""), HYPERLINK(CONCATENATE("#metadata!", ADDRESS(INDEX($AH$2:$AH$1001,MATCH(ROWS($AF$2:AF241),$AF$2:$AF$1001,0),0), INDEX($AM$1004:$BM$1004,1,MATCH(COLUMNS($AM$1006:BH1006),$AM$1006:$BM$1006,0)))),"Fix")))</f>
        <v xml:space="preserve"> </v>
      </c>
      <c r="X241" s="4" t="str">
        <f ca="1">IF(OR(INDEX($AG$2:$AG$1001,MATCH(ROWS($AF$2:AF241),$AF$2:$AF$1001,0),1)&gt;=100000,INDEX($AM$1005:$BM$1005,1,MATCH(COLUMNS($AM$1006:BI1006),$AM$1006:$BM$1006,0))&gt;=100000), " ",IF(INDEX($AM$2:$BM$1001,MATCH(ROWS($AF$2:AF241),$AF$2:$AF$1001,0),MATCH(COLUMNS($AM$1006:BI1006),$AM$1006:$BM$1006,0)), HYPERLINK("#",""), HYPERLINK(CONCATENATE("#metadata!", ADDRESS(INDEX($AH$2:$AH$1001,MATCH(ROWS($AF$2:AF241),$AF$2:$AF$1001,0),0), INDEX($AM$1004:$BM$1004,1,MATCH(COLUMNS($AM$1006:BI1006),$AM$1006:$BM$1006,0)))),"Fix")))</f>
        <v xml:space="preserve"> </v>
      </c>
      <c r="Y241" s="4" t="str">
        <f ca="1">IF(OR(INDEX($AG$2:$AG$1001,MATCH(ROWS($AF$2:AF241),$AF$2:$AF$1001,0),1)&gt;=100000,INDEX($AM$1005:$BM$1005,1,MATCH(COLUMNS($AM$1006:BJ1006),$AM$1006:$BM$1006,0))&gt;=100000), " ",IF(INDEX($AM$2:$BM$1001,MATCH(ROWS($AF$2:AF241),$AF$2:$AF$1001,0),MATCH(COLUMNS($AM$1006:BJ1006),$AM$1006:$BM$1006,0)), HYPERLINK("#",""), HYPERLINK(CONCATENATE("#metadata!", ADDRESS(INDEX($AH$2:$AH$1001,MATCH(ROWS($AF$2:AF241),$AF$2:$AF$1001,0),0), INDEX($AM$1004:$BM$1004,1,MATCH(COLUMNS($AM$1006:BJ1006),$AM$1006:$BM$1006,0)))),"Fix")))</f>
        <v xml:space="preserve"> </v>
      </c>
      <c r="Z241" s="4" t="str">
        <f ca="1">IF(OR(INDEX($AG$2:$AG$1001,MATCH(ROWS($AF$2:AF241),$AF$2:$AF$1001,0),1)&gt;=100000,INDEX($AM$1005:$BM$1005,1,MATCH(COLUMNS($AM$1006:BK1006),$AM$1006:$BM$1006,0))&gt;=100000), " ",IF(INDEX($AM$2:$BM$1001,MATCH(ROWS($AF$2:AF241),$AF$2:$AF$1001,0),MATCH(COLUMNS($AM$1006:BK1006),$AM$1006:$BM$1006,0)), HYPERLINK("#",""), HYPERLINK(CONCATENATE("#metadata!", ADDRESS(INDEX($AH$2:$AH$1001,MATCH(ROWS($AF$2:AF241),$AF$2:$AF$1001,0),0), INDEX($AM$1004:$BM$1004,1,MATCH(COLUMNS($AM$1006:BK1006),$AM$1006:$BM$1006,0)))),"Fix")))</f>
        <v xml:space="preserve"> </v>
      </c>
      <c r="AA241" s="4" t="str">
        <f ca="1">IF(OR(INDEX($AG$2:$AG$1001,MATCH(ROWS($AF$2:AF241),$AF$2:$AF$1001,0),1)&gt;=100000,INDEX($AM$1005:$BM$1005,1,MATCH(COLUMNS($AM$1006:BL1006),$AM$1006:$BM$1006,0))&gt;=100000), " ",IF(INDEX($AM$2:$BM$1001,MATCH(ROWS($AF$2:AF241),$AF$2:$AF$1001,0),MATCH(COLUMNS($AM$1006:BL1006),$AM$1006:$BM$1006,0)), HYPERLINK("#",""), HYPERLINK(CONCATENATE("#metadata!", ADDRESS(INDEX($AH$2:$AH$1001,MATCH(ROWS($AF$2:AF241),$AF$2:$AF$1001,0),0), INDEX($AM$1004:$BM$1004,1,MATCH(COLUMNS($AM$1006:BL1006),$AM$1006:$BM$1006,0)))),"Fix")))</f>
        <v xml:space="preserve"> </v>
      </c>
      <c r="AB241" s="4" t="str">
        <f ca="1">IF(OR(INDEX($AG$2:$AG$1001,MATCH(ROWS($AF$2:AF241),$AF$2:$AF$1001,0),1)&gt;=100000,INDEX($AM$1005:$BM$1005,1,MATCH(COLUMNS($AM$1006:BM1006),$AM$1006:$BM$1006,0))&gt;=100000), " ",IF(INDEX($AM$2:$BM$1001,MATCH(ROWS($AF$2:AF241),$AF$2:$AF$1001,0),MATCH(COLUMNS($AM$1006:BM1006),$AM$1006:$BM$1006,0)), HYPERLINK("#",""), HYPERLINK(CONCATENATE("#metadata!", ADDRESS(INDEX($AH$2:$AH$1001,MATCH(ROWS($AF$2:AF241),$AF$2:$AF$1001,0),0), INDEX($AM$1004:$BM$1004,1,MATCH(COLUMNS($AM$1006:BM1006),$AM$1006:$BM$1006,0)))),"Fix")))</f>
        <v xml:space="preserve"> </v>
      </c>
      <c r="AF241">
        <v>240</v>
      </c>
      <c r="AG241">
        <v>100241</v>
      </c>
      <c r="AH241">
        <v>241</v>
      </c>
      <c r="AI241" t="b">
        <f t="shared" si="3"/>
        <v>1</v>
      </c>
      <c r="AJ241" t="b">
        <f>COUNTBLANK(metadata!B241:AB241)=COLUMNS(metadata!B241:AB241)</f>
        <v>1</v>
      </c>
      <c r="AK241" t="str">
        <v/>
      </c>
      <c r="AM241" t="b">
        <f ca="1">AND(IF(metadata!B241="",FALSE,TRUE),COUNTIF(metadata!B:B, metadata!B241) = 1,NOT(ISERROR(SUMPRODUCT(SEARCH(MID(metadata!B241,ROW(INDIRECT("1:"&amp;LEN(metadata!B241))), 1),"0123456789abcdefghijklmnopqrstuvwxyzABCDEFGHIJKLMNOPQRSTUVWXYZ.")))))</f>
        <v>0</v>
      </c>
      <c r="AN241" t="b">
        <f ca="1">OR(AND(IF(metadata!C241="",FALSE,TRUE),OR(EXACT(metadata!C241,"missing: not collected"),EXACT(metadata!C241,"missing: not provided"),EXACT(metadata!C241,"missing: restricted access"))),AND(IF(metadata!C241="",FALSE,TRUE),AND(AND(IFERROR(INT(LEFT(metadata!C241,4))&gt;1900,FALSE),IFERROR(INT(LEFT(metadata!C241,4))&lt;=YEAR(NOW()),FALSE)), OR(MID(metadata!C241,5,1)="", AND(AND(MID(metadata!C241,5,1)="-",IFERROR(INT(MID(metadata!C241,6,1))&gt;=0,FALSE),IFERROR(INT(MID(metadata!C241,6,1))&lt;=1,FALSE),NOT(MID(metadata!C241,7,1)=""),IFERROR(INT(MID(metadata!C241,6,2))&gt;=1,FALSE),IFERROR(INT(MID(metadata!C241,6,2))&lt;=12,FALSE)), OR(MID(metadata!C241,8,1)="", AND(AND(MID(metadata!C241,8,1)="-",IFERROR(INT(MID(metadata!C241,9,1))&gt;=0,FALSE),IFERROR(INT(MID(metadata!C241,9,1))&lt;=3,FALSE),NOT(MID(metadata!C241,10,1)=""),IFERROR(INT(MID(metadata!C241,9,2))&gt;=1,FALSE),IFERROR(INT(MID(metadata!C241,9,2))&lt;=31,FALSE)), OR(MID(metadata!C241,11,1)="", AND(AND(MID(metadata!C241,11,1)=" ",IFERROR(INT(MID(metadata!C241,12,1))&gt;=0,FALSE),IFERROR(INT(MID(metadata!C241,12,1))&lt;=2,FALSE),NOT(MID(metadata!C241,13,1)=""),IFERROR(INT(MID(metadata!C241,12,2))&gt;=0,FALSE),IFERROR(INT(MID(metadata!C241,12,2))&lt;=23,FALSE)), OR(MID(metadata!C241,14,1)="", AND(AND(MID(metadata!C241,14,1)=":",IFERROR(INT(MID(metadata!C241,15,1))&gt;=0,FALSE),IFERROR(INT(MID(metadata!C241,15,1))&lt;=5,FALSE),NOT(MID(metadata!C241,16,1)=""),IFERROR(INT(MID(metadata!C241,15,2))&gt;=0,FALSE),IFERROR(INT(MID(metadata!C241,15,2))&lt;=59,FALSE)), OR(MID(metadata!C241,17,1)="", AND(AND(MID(metadata!C241,17,1)=":",IFERROR(INT(MID(metadata!C241,18,1))&gt;=0,FALSE),IFERROR(INT(MID(metadata!C241,18,1))&lt;=5,FALSE),NOT(MID(metadata!C241,19,1)=""),IFERROR(INT(MID(metadata!C241,18,2))&gt;=0,FALSE),IFERROR(INT(MID(metadata!C241,18,2))&lt;=59,FALSE)), LEN(metadata!C241)&lt;=19)))))))))))))</f>
        <v>0</v>
      </c>
      <c r="AO241" t="b">
        <f>AND(IF(metadata!D241="",FALSE,TRUE),EXACT(metadata!D241,"Not applicable"))</f>
        <v>0</v>
      </c>
      <c r="AP241" t="b">
        <f>IF(metadata!E241="",FALSE,TRUE)</f>
        <v>0</v>
      </c>
      <c r="AQ241" t="b">
        <f>OR(AND(IF(metadata!F241="",FALSE,TRUE),OR(EXACT(metadata!F241,"missing: not collected"),EXACT(metadata!F241,"missing: not provided"))),AND(IF(metadata!F241="",FALSE,TRUE),OR(EXACT(metadata!F241,"TRUE"),EXACT(metadata!F241,"FALSE"))))</f>
        <v>0</v>
      </c>
      <c r="AR241" t="b">
        <f>OR(AND(IF(metadata!G241="",FALSE,TRUE),OR(EXACT(metadata!G241,"missing: not collected"),EXACT(metadata!G241,"missing: not provided"),EXACT(metadata!G241,"missing: restricted access"))),AND(IF(metadata!G241="",FALSE,ISNUMBER(VALUE(metadata!G241))),metadata!G241&gt;=-413))</f>
        <v>0</v>
      </c>
      <c r="AS241" t="b">
        <f>AND(IF(metadata!H241="",FALSE,TRUE),EXACT(metadata!H241,"meters"))</f>
        <v>0</v>
      </c>
      <c r="AT241" t="b">
        <f>AND(IF(metadata!I241="",FALSE,TRUE),OR(EXACT(metadata!I241,"Host-associated"),EXACT(metadata!I241,"Free-living")))</f>
        <v>0</v>
      </c>
      <c r="AU241" t="b">
        <f>AND(IF(metadata!J241="",FALSE,TRUE),OR(EXACT(metadata!J241,"Animal"),EXACT(metadata!J241,"Fungus"),EXACT(metadata!J241,"Plant"),EXACT(metadata!J241,"Saline"),EXACT(metadata!J241,"Non-saline")))</f>
        <v>0</v>
      </c>
      <c r="AV241" t="b">
        <f>AND(IF(metadata!K241="",FALSE,TRUE),OR(EXACT(metadata!K241,"Plant secretion"),EXACT(metadata!K241,"Plant rhizosphere"),EXACT(metadata!K241,"Plant surface"),EXACT(metadata!K241,"Plant corpus"),EXACT(metadata!K241,"Fungus surface"),EXACT(metadata!K241,"Fungus corpus"),EXACT(metadata!K241,"Animal surface"),EXACT(metadata!K241,"Animal proximal gut"),EXACT(metadata!K241,"Animal corpus"),EXACT(metadata!K241,"Animal distal gut"),EXACT(metadata!K241,"Animal secretion"),EXACT(metadata!K241,"Sub-surface (non-saline)"),EXACT(metadata!K241,"Surface (non-saline)"),EXACT(metadata!K241,"Water (non-saline)"),EXACT(metadata!K241,"Soil (non-saline)"),EXACT(metadata!K241,"Aerosol (non-saline)"),EXACT(metadata!K241,"Sediment (non-saline)"),EXACT(metadata!K241,"Surface (saline)"),EXACT(metadata!K241,"Water (saline)"),EXACT(metadata!K241,"Hypersaline (saline)"),EXACT(metadata!K241,"Aerosol (saline)"),EXACT(metadata!K241,"Sediment (saline)")))</f>
        <v>0</v>
      </c>
      <c r="AW241" t="b">
        <f>IF(metadata!L241="",FALSE,TRUE)</f>
        <v>0</v>
      </c>
      <c r="AX241" t="b">
        <f>IF(metadata!M241="",FALSE,TRUE)</f>
        <v>0</v>
      </c>
      <c r="AY241" t="b">
        <f>IF(metadata!N241="",FALSE,TRUE)</f>
        <v>0</v>
      </c>
      <c r="AZ241" t="b">
        <f>OR(AND(IF(metadata!O241="",FALSE,TRUE),OR(EXACT(metadata!O241,"missing: not collected"),EXACT(metadata!O241,"missing: not provided"),EXACT(metadata!O241,"missing: restricted access"))),AND(IF(metadata!O241="",FALSE,TRUE),OR(EXACT(metadata!O241,"air"),EXACT(metadata!O241,"built environment"),EXACT(metadata!O241,"host-associated"),EXACT(metadata!O241,"human-associated"),EXACT(metadata!O241,"human-skin"),EXACT(metadata!O241,"human-oral"),EXACT(metadata!O241,"human-gut"),EXACT(metadata!O241,"human-vaginal"),EXACT(metadata!O241,"microbial mat/biofilm"),EXACT(metadata!O241,"misc environment"),EXACT(metadata!O241,"plant-associated"),EXACT(metadata!O241,"sediment"),EXACT(metadata!O241,"soil"),EXACT(metadata!O241,"wastewater/sludge"),EXACT(metadata!O241,"water"))))</f>
        <v>0</v>
      </c>
      <c r="BA241" t="b">
        <f>IF(metadata!P241="",FALSE,TRUE)</f>
        <v>0</v>
      </c>
      <c r="BB241" t="b">
        <f>IF(metadata!Q241="",FALSE,TRUE)</f>
        <v>0</v>
      </c>
      <c r="BC241" t="b">
        <f>OR(AND(IF(metadata!R241="",FALSE,TRUE),OR(EXACT(metadata!R241,"missing: not collected"),EXACT(metadata!R241,"missing: not provided"),EXACT(metadata!R241,"missing: restricted access"))),AND(IF(metadata!R241="",FALSE,ISNUMBER(VALUE(metadata!R241))),metadata!R241&gt;=-90,metadata!R241&lt;=90))</f>
        <v>0</v>
      </c>
      <c r="BD241" t="b">
        <f>AND(IF(metadata!S241="",FALSE,TRUE),EXACT(metadata!S241,"Decimal degrees"))</f>
        <v>0</v>
      </c>
      <c r="BE241" t="b">
        <f>OR(AND(IF(metadata!T241="",FALSE,TRUE),OR(EXACT(metadata!T241,"missing: not collected"),EXACT(metadata!T241,"missing: not provided"),EXACT(metadata!T241,"missing: restricted access"))),AND(IF(metadata!T241="",FALSE,ISNUMBER(VALUE(metadata!T241))),metadata!T241&gt;=-180,metadata!T241&lt;=180))</f>
        <v>0</v>
      </c>
      <c r="BF241" t="b">
        <f>AND(IF(metadata!U241="",FALSE,TRUE),EXACT(metadata!U241,"Decimal degrees"))</f>
        <v>0</v>
      </c>
      <c r="BG241" t="b">
        <f>IF(metadata!V241="",FALSE,TRUE)</f>
        <v>0</v>
      </c>
      <c r="BH241" t="b">
        <f>OR(AND(IF(metadata!W241="",FALSE,TRUE),OR(EXACT(metadata!W241,"missing: not collected"),EXACT(metadata!W241,"missing: not provided"),EXACT(metadata!W241,"missing: restricted access"))),AND(IF(metadata!W241="",FALSE,TRUE),OR(EXACT(metadata!W241,"TRUE"),EXACT(metadata!W241,"FALSE"))))</f>
        <v>0</v>
      </c>
      <c r="BI241" t="b">
        <f>AND(IF(metadata!X241="",FALSE,TRUE),EXACT(metadata!X241,"other"))</f>
        <v>0</v>
      </c>
      <c r="BJ241" t="b">
        <f>IF(metadata!Y241="",FALSE,TRUE)</f>
        <v>0</v>
      </c>
      <c r="BK241" t="b">
        <f>OR(AND(IF(metadata!Z241="",FALSE,TRUE),OR(EXACT(metadata!Z241,"missing: not collected"),EXACT(metadata!Z241,"missing: not provided"))),AND(IF(metadata!Z241="",FALSE,IF(ISERROR(INT(metadata!Z241)),FALSE,INT(metadata!Z241)=metadata!Z241)),metadata!Z241&gt;0))</f>
        <v>0</v>
      </c>
      <c r="BL241" t="b">
        <f>AND(IF(metadata!AA241="",FALSE,TRUE),EXACT(metadata!AA241,"Not applicable"))</f>
        <v>0</v>
      </c>
      <c r="BM241" t="b">
        <f>IF(metadata!AB241="",FALSE,TRUE)</f>
        <v>0</v>
      </c>
    </row>
    <row r="242" spans="1:65" x14ac:dyDescent="0.2">
      <c r="A242" s="5" t="str">
        <f ca="1">IF(B242=" "," ",HYPERLINK(CONCATENATE("#metadata!",ADDRESS(INDEX($AH$2:$AH$1001,MATCH(ROWS($AF$2:AF242),$AF$2:$AF$1001,0),0),1)),INDEX($AK$2:$AK$1001,MATCH(ROWS($AF$2:AF242),$AF$2:$AF$1001,0),0)))</f>
        <v xml:space="preserve"> </v>
      </c>
      <c r="B242" s="4" t="str">
        <f ca="1">IF(OR(INDEX($AG$2:$AG$1001,MATCH(ROWS($AF$2:AF242),$AF$2:$AF$1001,0),1)&gt;=100000,INDEX($AM$1005:$BM$1005,1,MATCH(COLUMNS($AM$1006:AM1006),$AM$1006:$BM$1006,0))&gt;=100000), " ",IF(INDEX($AM$2:$BM$1001,MATCH(ROWS($AF$2:AF242),$AF$2:$AF$1001,0),MATCH(COLUMNS($AM$1006:AM1006),$AM$1006:$BM$1006,0)), HYPERLINK("#",""), HYPERLINK(CONCATENATE("#metadata!", ADDRESS(INDEX($AH$2:$AH$1001,MATCH(ROWS($AF$2:AF242),$AF$2:$AF$1001,0),0), INDEX($AM$1004:$BM$1004,1,MATCH(COLUMNS($AM$1006:AM1006),$AM$1006:$BM$1006,0)))),"Fix")))</f>
        <v xml:space="preserve"> </v>
      </c>
      <c r="C242" s="4" t="str">
        <f ca="1">IF(OR(INDEX($AG$2:$AG$1001,MATCH(ROWS($AF$2:AF242),$AF$2:$AF$1001,0),1)&gt;=100000,INDEX($AM$1005:$BM$1005,1,MATCH(COLUMNS($AM$1006:AN1006),$AM$1006:$BM$1006,0))&gt;=100000), " ",IF(INDEX($AM$2:$BM$1001,MATCH(ROWS($AF$2:AF242),$AF$2:$AF$1001,0),MATCH(COLUMNS($AM$1006:AN1006),$AM$1006:$BM$1006,0)), HYPERLINK("#",""), HYPERLINK(CONCATENATE("#metadata!", ADDRESS(INDEX($AH$2:$AH$1001,MATCH(ROWS($AF$2:AF242),$AF$2:$AF$1001,0),0), INDEX($AM$1004:$BM$1004,1,MATCH(COLUMNS($AM$1006:AN1006),$AM$1006:$BM$1006,0)))),"Fix")))</f>
        <v xml:space="preserve"> </v>
      </c>
      <c r="D242" s="4" t="str">
        <f ca="1">IF(OR(INDEX($AG$2:$AG$1001,MATCH(ROWS($AF$2:AF242),$AF$2:$AF$1001,0),1)&gt;=100000,INDEX($AM$1005:$BM$1005,1,MATCH(COLUMNS($AM$1006:AO1006),$AM$1006:$BM$1006,0))&gt;=100000), " ",IF(INDEX($AM$2:$BM$1001,MATCH(ROWS($AF$2:AF242),$AF$2:$AF$1001,0),MATCH(COLUMNS($AM$1006:AO1006),$AM$1006:$BM$1006,0)), HYPERLINK("#",""), HYPERLINK(CONCATENATE("#metadata!", ADDRESS(INDEX($AH$2:$AH$1001,MATCH(ROWS($AF$2:AF242),$AF$2:$AF$1001,0),0), INDEX($AM$1004:$BM$1004,1,MATCH(COLUMNS($AM$1006:AO1006),$AM$1006:$BM$1006,0)))),"Fix")))</f>
        <v xml:space="preserve"> </v>
      </c>
      <c r="E242" s="4" t="str">
        <f ca="1">IF(OR(INDEX($AG$2:$AG$1001,MATCH(ROWS($AF$2:AF242),$AF$2:$AF$1001,0),1)&gt;=100000,INDEX($AM$1005:$BM$1005,1,MATCH(COLUMNS($AM$1006:AP1006),$AM$1006:$BM$1006,0))&gt;=100000), " ",IF(INDEX($AM$2:$BM$1001,MATCH(ROWS($AF$2:AF242),$AF$2:$AF$1001,0),MATCH(COLUMNS($AM$1006:AP1006),$AM$1006:$BM$1006,0)), HYPERLINK("#",""), HYPERLINK(CONCATENATE("#metadata!", ADDRESS(INDEX($AH$2:$AH$1001,MATCH(ROWS($AF$2:AF242),$AF$2:$AF$1001,0),0), INDEX($AM$1004:$BM$1004,1,MATCH(COLUMNS($AM$1006:AP1006),$AM$1006:$BM$1006,0)))),"Fix")))</f>
        <v xml:space="preserve"> </v>
      </c>
      <c r="F242" s="4" t="str">
        <f ca="1">IF(OR(INDEX($AG$2:$AG$1001,MATCH(ROWS($AF$2:AF242),$AF$2:$AF$1001,0),1)&gt;=100000,INDEX($AM$1005:$BM$1005,1,MATCH(COLUMNS($AM$1006:AQ1006),$AM$1006:$BM$1006,0))&gt;=100000), " ",IF(INDEX($AM$2:$BM$1001,MATCH(ROWS($AF$2:AF242),$AF$2:$AF$1001,0),MATCH(COLUMNS($AM$1006:AQ1006),$AM$1006:$BM$1006,0)), HYPERLINK("#",""), HYPERLINK(CONCATENATE("#metadata!", ADDRESS(INDEX($AH$2:$AH$1001,MATCH(ROWS($AF$2:AF242),$AF$2:$AF$1001,0),0), INDEX($AM$1004:$BM$1004,1,MATCH(COLUMNS($AM$1006:AQ1006),$AM$1006:$BM$1006,0)))),"Fix")))</f>
        <v xml:space="preserve"> </v>
      </c>
      <c r="G242" s="4" t="str">
        <f ca="1">IF(OR(INDEX($AG$2:$AG$1001,MATCH(ROWS($AF$2:AF242),$AF$2:$AF$1001,0),1)&gt;=100000,INDEX($AM$1005:$BM$1005,1,MATCH(COLUMNS($AM$1006:AR1006),$AM$1006:$BM$1006,0))&gt;=100000), " ",IF(INDEX($AM$2:$BM$1001,MATCH(ROWS($AF$2:AF242),$AF$2:$AF$1001,0),MATCH(COLUMNS($AM$1006:AR1006),$AM$1006:$BM$1006,0)), HYPERLINK("#",""), HYPERLINK(CONCATENATE("#metadata!", ADDRESS(INDEX($AH$2:$AH$1001,MATCH(ROWS($AF$2:AF242),$AF$2:$AF$1001,0),0), INDEX($AM$1004:$BM$1004,1,MATCH(COLUMNS($AM$1006:AR1006),$AM$1006:$BM$1006,0)))),"Fix")))</f>
        <v xml:space="preserve"> </v>
      </c>
      <c r="H242" s="4" t="str">
        <f ca="1">IF(OR(INDEX($AG$2:$AG$1001,MATCH(ROWS($AF$2:AF242),$AF$2:$AF$1001,0),1)&gt;=100000,INDEX($AM$1005:$BM$1005,1,MATCH(COLUMNS($AM$1006:AS1006),$AM$1006:$BM$1006,0))&gt;=100000), " ",IF(INDEX($AM$2:$BM$1001,MATCH(ROWS($AF$2:AF242),$AF$2:$AF$1001,0),MATCH(COLUMNS($AM$1006:AS1006),$AM$1006:$BM$1006,0)), HYPERLINK("#",""), HYPERLINK(CONCATENATE("#metadata!", ADDRESS(INDEX($AH$2:$AH$1001,MATCH(ROWS($AF$2:AF242),$AF$2:$AF$1001,0),0), INDEX($AM$1004:$BM$1004,1,MATCH(COLUMNS($AM$1006:AS1006),$AM$1006:$BM$1006,0)))),"Fix")))</f>
        <v xml:space="preserve"> </v>
      </c>
      <c r="I242" s="4" t="str">
        <f ca="1">IF(OR(INDEX($AG$2:$AG$1001,MATCH(ROWS($AF$2:AF242),$AF$2:$AF$1001,0),1)&gt;=100000,INDEX($AM$1005:$BM$1005,1,MATCH(COLUMNS($AM$1006:AT1006),$AM$1006:$BM$1006,0))&gt;=100000), " ",IF(INDEX($AM$2:$BM$1001,MATCH(ROWS($AF$2:AF242),$AF$2:$AF$1001,0),MATCH(COLUMNS($AM$1006:AT1006),$AM$1006:$BM$1006,0)), HYPERLINK("#",""), HYPERLINK(CONCATENATE("#metadata!", ADDRESS(INDEX($AH$2:$AH$1001,MATCH(ROWS($AF$2:AF242),$AF$2:$AF$1001,0),0), INDEX($AM$1004:$BM$1004,1,MATCH(COLUMNS($AM$1006:AT1006),$AM$1006:$BM$1006,0)))),"Fix")))</f>
        <v xml:space="preserve"> </v>
      </c>
      <c r="J242" s="4" t="str">
        <f ca="1">IF(OR(INDEX($AG$2:$AG$1001,MATCH(ROWS($AF$2:AF242),$AF$2:$AF$1001,0),1)&gt;=100000,INDEX($AM$1005:$BM$1005,1,MATCH(COLUMNS($AM$1006:AU1006),$AM$1006:$BM$1006,0))&gt;=100000), " ",IF(INDEX($AM$2:$BM$1001,MATCH(ROWS($AF$2:AF242),$AF$2:$AF$1001,0),MATCH(COLUMNS($AM$1006:AU1006),$AM$1006:$BM$1006,0)), HYPERLINK("#",""), HYPERLINK(CONCATENATE("#metadata!", ADDRESS(INDEX($AH$2:$AH$1001,MATCH(ROWS($AF$2:AF242),$AF$2:$AF$1001,0),0), INDEX($AM$1004:$BM$1004,1,MATCH(COLUMNS($AM$1006:AU1006),$AM$1006:$BM$1006,0)))),"Fix")))</f>
        <v xml:space="preserve"> </v>
      </c>
      <c r="K242" s="4" t="str">
        <f ca="1">IF(OR(INDEX($AG$2:$AG$1001,MATCH(ROWS($AF$2:AF242),$AF$2:$AF$1001,0),1)&gt;=100000,INDEX($AM$1005:$BM$1005,1,MATCH(COLUMNS($AM$1006:AV1006),$AM$1006:$BM$1006,0))&gt;=100000), " ",IF(INDEX($AM$2:$BM$1001,MATCH(ROWS($AF$2:AF242),$AF$2:$AF$1001,0),MATCH(COLUMNS($AM$1006:AV1006),$AM$1006:$BM$1006,0)), HYPERLINK("#",""), HYPERLINK(CONCATENATE("#metadata!", ADDRESS(INDEX($AH$2:$AH$1001,MATCH(ROWS($AF$2:AF242),$AF$2:$AF$1001,0),0), INDEX($AM$1004:$BM$1004,1,MATCH(COLUMNS($AM$1006:AV1006),$AM$1006:$BM$1006,0)))),"Fix")))</f>
        <v xml:space="preserve"> </v>
      </c>
      <c r="L242" s="4" t="str">
        <f ca="1">IF(OR(INDEX($AG$2:$AG$1001,MATCH(ROWS($AF$2:AF242),$AF$2:$AF$1001,0),1)&gt;=100000,INDEX($AM$1005:$BM$1005,1,MATCH(COLUMNS($AM$1006:AW1006),$AM$1006:$BM$1006,0))&gt;=100000), " ",IF(INDEX($AM$2:$BM$1001,MATCH(ROWS($AF$2:AF242),$AF$2:$AF$1001,0),MATCH(COLUMNS($AM$1006:AW1006),$AM$1006:$BM$1006,0)), HYPERLINK("#",""), HYPERLINK(CONCATENATE("#metadata!", ADDRESS(INDEX($AH$2:$AH$1001,MATCH(ROWS($AF$2:AF242),$AF$2:$AF$1001,0),0), INDEX($AM$1004:$BM$1004,1,MATCH(COLUMNS($AM$1006:AW1006),$AM$1006:$BM$1006,0)))),"Fix")))</f>
        <v xml:space="preserve"> </v>
      </c>
      <c r="M242" s="4" t="str">
        <f ca="1">IF(OR(INDEX($AG$2:$AG$1001,MATCH(ROWS($AF$2:AF242),$AF$2:$AF$1001,0),1)&gt;=100000,INDEX($AM$1005:$BM$1005,1,MATCH(COLUMNS($AM$1006:AX1006),$AM$1006:$BM$1006,0))&gt;=100000), " ",IF(INDEX($AM$2:$BM$1001,MATCH(ROWS($AF$2:AF242),$AF$2:$AF$1001,0),MATCH(COLUMNS($AM$1006:AX1006),$AM$1006:$BM$1006,0)), HYPERLINK("#",""), HYPERLINK(CONCATENATE("#metadata!", ADDRESS(INDEX($AH$2:$AH$1001,MATCH(ROWS($AF$2:AF242),$AF$2:$AF$1001,0),0), INDEX($AM$1004:$BM$1004,1,MATCH(COLUMNS($AM$1006:AX1006),$AM$1006:$BM$1006,0)))),"Fix")))</f>
        <v xml:space="preserve"> </v>
      </c>
      <c r="N242" s="4" t="str">
        <f ca="1">IF(OR(INDEX($AG$2:$AG$1001,MATCH(ROWS($AF$2:AF242),$AF$2:$AF$1001,0),1)&gt;=100000,INDEX($AM$1005:$BM$1005,1,MATCH(COLUMNS($AM$1006:AY1006),$AM$1006:$BM$1006,0))&gt;=100000), " ",IF(INDEX($AM$2:$BM$1001,MATCH(ROWS($AF$2:AF242),$AF$2:$AF$1001,0),MATCH(COLUMNS($AM$1006:AY1006),$AM$1006:$BM$1006,0)), HYPERLINK("#",""), HYPERLINK(CONCATENATE("#metadata!", ADDRESS(INDEX($AH$2:$AH$1001,MATCH(ROWS($AF$2:AF242),$AF$2:$AF$1001,0),0), INDEX($AM$1004:$BM$1004,1,MATCH(COLUMNS($AM$1006:AY1006),$AM$1006:$BM$1006,0)))),"Fix")))</f>
        <v xml:space="preserve"> </v>
      </c>
      <c r="O242" s="4" t="str">
        <f ca="1">IF(OR(INDEX($AG$2:$AG$1001,MATCH(ROWS($AF$2:AF242),$AF$2:$AF$1001,0),1)&gt;=100000,INDEX($AM$1005:$BM$1005,1,MATCH(COLUMNS($AM$1006:AZ1006),$AM$1006:$BM$1006,0))&gt;=100000), " ",IF(INDEX($AM$2:$BM$1001,MATCH(ROWS($AF$2:AF242),$AF$2:$AF$1001,0),MATCH(COLUMNS($AM$1006:AZ1006),$AM$1006:$BM$1006,0)), HYPERLINK("#",""), HYPERLINK(CONCATENATE("#metadata!", ADDRESS(INDEX($AH$2:$AH$1001,MATCH(ROWS($AF$2:AF242),$AF$2:$AF$1001,0),0), INDEX($AM$1004:$BM$1004,1,MATCH(COLUMNS($AM$1006:AZ1006),$AM$1006:$BM$1006,0)))),"Fix")))</f>
        <v xml:space="preserve"> </v>
      </c>
      <c r="P242" s="4" t="str">
        <f ca="1">IF(OR(INDEX($AG$2:$AG$1001,MATCH(ROWS($AF$2:AF242),$AF$2:$AF$1001,0),1)&gt;=100000,INDEX($AM$1005:$BM$1005,1,MATCH(COLUMNS($AM$1006:BA1006),$AM$1006:$BM$1006,0))&gt;=100000), " ",IF(INDEX($AM$2:$BM$1001,MATCH(ROWS($AF$2:AF242),$AF$2:$AF$1001,0),MATCH(COLUMNS($AM$1006:BA1006),$AM$1006:$BM$1006,0)), HYPERLINK("#",""), HYPERLINK(CONCATENATE("#metadata!", ADDRESS(INDEX($AH$2:$AH$1001,MATCH(ROWS($AF$2:AF242),$AF$2:$AF$1001,0),0), INDEX($AM$1004:$BM$1004,1,MATCH(COLUMNS($AM$1006:BA1006),$AM$1006:$BM$1006,0)))),"Fix")))</f>
        <v xml:space="preserve"> </v>
      </c>
      <c r="Q242" s="4" t="str">
        <f ca="1">IF(OR(INDEX($AG$2:$AG$1001,MATCH(ROWS($AF$2:AF242),$AF$2:$AF$1001,0),1)&gt;=100000,INDEX($AM$1005:$BM$1005,1,MATCH(COLUMNS($AM$1006:BB1006),$AM$1006:$BM$1006,0))&gt;=100000), " ",IF(INDEX($AM$2:$BM$1001,MATCH(ROWS($AF$2:AF242),$AF$2:$AF$1001,0),MATCH(COLUMNS($AM$1006:BB1006),$AM$1006:$BM$1006,0)), HYPERLINK("#",""), HYPERLINK(CONCATENATE("#metadata!", ADDRESS(INDEX($AH$2:$AH$1001,MATCH(ROWS($AF$2:AF242),$AF$2:$AF$1001,0),0), INDEX($AM$1004:$BM$1004,1,MATCH(COLUMNS($AM$1006:BB1006),$AM$1006:$BM$1006,0)))),"Fix")))</f>
        <v xml:space="preserve"> </v>
      </c>
      <c r="R242" s="4" t="str">
        <f ca="1">IF(OR(INDEX($AG$2:$AG$1001,MATCH(ROWS($AF$2:AF242),$AF$2:$AF$1001,0),1)&gt;=100000,INDEX($AM$1005:$BM$1005,1,MATCH(COLUMNS($AM$1006:BC1006),$AM$1006:$BM$1006,0))&gt;=100000), " ",IF(INDEX($AM$2:$BM$1001,MATCH(ROWS($AF$2:AF242),$AF$2:$AF$1001,0),MATCH(COLUMNS($AM$1006:BC1006),$AM$1006:$BM$1006,0)), HYPERLINK("#",""), HYPERLINK(CONCATENATE("#metadata!", ADDRESS(INDEX($AH$2:$AH$1001,MATCH(ROWS($AF$2:AF242),$AF$2:$AF$1001,0),0), INDEX($AM$1004:$BM$1004,1,MATCH(COLUMNS($AM$1006:BC1006),$AM$1006:$BM$1006,0)))),"Fix")))</f>
        <v xml:space="preserve"> </v>
      </c>
      <c r="S242" s="4" t="str">
        <f ca="1">IF(OR(INDEX($AG$2:$AG$1001,MATCH(ROWS($AF$2:AF242),$AF$2:$AF$1001,0),1)&gt;=100000,INDEX($AM$1005:$BM$1005,1,MATCH(COLUMNS($AM$1006:BD1006),$AM$1006:$BM$1006,0))&gt;=100000), " ",IF(INDEX($AM$2:$BM$1001,MATCH(ROWS($AF$2:AF242),$AF$2:$AF$1001,0),MATCH(COLUMNS($AM$1006:BD1006),$AM$1006:$BM$1006,0)), HYPERLINK("#",""), HYPERLINK(CONCATENATE("#metadata!", ADDRESS(INDEX($AH$2:$AH$1001,MATCH(ROWS($AF$2:AF242),$AF$2:$AF$1001,0),0), INDEX($AM$1004:$BM$1004,1,MATCH(COLUMNS($AM$1006:BD1006),$AM$1006:$BM$1006,0)))),"Fix")))</f>
        <v xml:space="preserve"> </v>
      </c>
      <c r="T242" s="4" t="str">
        <f ca="1">IF(OR(INDEX($AG$2:$AG$1001,MATCH(ROWS($AF$2:AF242),$AF$2:$AF$1001,0),1)&gt;=100000,INDEX($AM$1005:$BM$1005,1,MATCH(COLUMNS($AM$1006:BE1006),$AM$1006:$BM$1006,0))&gt;=100000), " ",IF(INDEX($AM$2:$BM$1001,MATCH(ROWS($AF$2:AF242),$AF$2:$AF$1001,0),MATCH(COLUMNS($AM$1006:BE1006),$AM$1006:$BM$1006,0)), HYPERLINK("#",""), HYPERLINK(CONCATENATE("#metadata!", ADDRESS(INDEX($AH$2:$AH$1001,MATCH(ROWS($AF$2:AF242),$AF$2:$AF$1001,0),0), INDEX($AM$1004:$BM$1004,1,MATCH(COLUMNS($AM$1006:BE1006),$AM$1006:$BM$1006,0)))),"Fix")))</f>
        <v xml:space="preserve"> </v>
      </c>
      <c r="U242" s="4" t="str">
        <f ca="1">IF(OR(INDEX($AG$2:$AG$1001,MATCH(ROWS($AF$2:AF242),$AF$2:$AF$1001,0),1)&gt;=100000,INDEX($AM$1005:$BM$1005,1,MATCH(COLUMNS($AM$1006:BF1006),$AM$1006:$BM$1006,0))&gt;=100000), " ",IF(INDEX($AM$2:$BM$1001,MATCH(ROWS($AF$2:AF242),$AF$2:$AF$1001,0),MATCH(COLUMNS($AM$1006:BF1006),$AM$1006:$BM$1006,0)), HYPERLINK("#",""), HYPERLINK(CONCATENATE("#metadata!", ADDRESS(INDEX($AH$2:$AH$1001,MATCH(ROWS($AF$2:AF242),$AF$2:$AF$1001,0),0), INDEX($AM$1004:$BM$1004,1,MATCH(COLUMNS($AM$1006:BF1006),$AM$1006:$BM$1006,0)))),"Fix")))</f>
        <v xml:space="preserve"> </v>
      </c>
      <c r="V242" s="4" t="str">
        <f ca="1">IF(OR(INDEX($AG$2:$AG$1001,MATCH(ROWS($AF$2:AF242),$AF$2:$AF$1001,0),1)&gt;=100000,INDEX($AM$1005:$BM$1005,1,MATCH(COLUMNS($AM$1006:BG1006),$AM$1006:$BM$1006,0))&gt;=100000), " ",IF(INDEX($AM$2:$BM$1001,MATCH(ROWS($AF$2:AF242),$AF$2:$AF$1001,0),MATCH(COLUMNS($AM$1006:BG1006),$AM$1006:$BM$1006,0)), HYPERLINK("#",""), HYPERLINK(CONCATENATE("#metadata!", ADDRESS(INDEX($AH$2:$AH$1001,MATCH(ROWS($AF$2:AF242),$AF$2:$AF$1001,0),0), INDEX($AM$1004:$BM$1004,1,MATCH(COLUMNS($AM$1006:BG1006),$AM$1006:$BM$1006,0)))),"Fix")))</f>
        <v xml:space="preserve"> </v>
      </c>
      <c r="W242" s="4" t="str">
        <f ca="1">IF(OR(INDEX($AG$2:$AG$1001,MATCH(ROWS($AF$2:AF242),$AF$2:$AF$1001,0),1)&gt;=100000,INDEX($AM$1005:$BM$1005,1,MATCH(COLUMNS($AM$1006:BH1006),$AM$1006:$BM$1006,0))&gt;=100000), " ",IF(INDEX($AM$2:$BM$1001,MATCH(ROWS($AF$2:AF242),$AF$2:$AF$1001,0),MATCH(COLUMNS($AM$1006:BH1006),$AM$1006:$BM$1006,0)), HYPERLINK("#",""), HYPERLINK(CONCATENATE("#metadata!", ADDRESS(INDEX($AH$2:$AH$1001,MATCH(ROWS($AF$2:AF242),$AF$2:$AF$1001,0),0), INDEX($AM$1004:$BM$1004,1,MATCH(COLUMNS($AM$1006:BH1006),$AM$1006:$BM$1006,0)))),"Fix")))</f>
        <v xml:space="preserve"> </v>
      </c>
      <c r="X242" s="4" t="str">
        <f ca="1">IF(OR(INDEX($AG$2:$AG$1001,MATCH(ROWS($AF$2:AF242),$AF$2:$AF$1001,0),1)&gt;=100000,INDEX($AM$1005:$BM$1005,1,MATCH(COLUMNS($AM$1006:BI1006),$AM$1006:$BM$1006,0))&gt;=100000), " ",IF(INDEX($AM$2:$BM$1001,MATCH(ROWS($AF$2:AF242),$AF$2:$AF$1001,0),MATCH(COLUMNS($AM$1006:BI1006),$AM$1006:$BM$1006,0)), HYPERLINK("#",""), HYPERLINK(CONCATENATE("#metadata!", ADDRESS(INDEX($AH$2:$AH$1001,MATCH(ROWS($AF$2:AF242),$AF$2:$AF$1001,0),0), INDEX($AM$1004:$BM$1004,1,MATCH(COLUMNS($AM$1006:BI1006),$AM$1006:$BM$1006,0)))),"Fix")))</f>
        <v xml:space="preserve"> </v>
      </c>
      <c r="Y242" s="4" t="str">
        <f ca="1">IF(OR(INDEX($AG$2:$AG$1001,MATCH(ROWS($AF$2:AF242),$AF$2:$AF$1001,0),1)&gt;=100000,INDEX($AM$1005:$BM$1005,1,MATCH(COLUMNS($AM$1006:BJ1006),$AM$1006:$BM$1006,0))&gt;=100000), " ",IF(INDEX($AM$2:$BM$1001,MATCH(ROWS($AF$2:AF242),$AF$2:$AF$1001,0),MATCH(COLUMNS($AM$1006:BJ1006),$AM$1006:$BM$1006,0)), HYPERLINK("#",""), HYPERLINK(CONCATENATE("#metadata!", ADDRESS(INDEX($AH$2:$AH$1001,MATCH(ROWS($AF$2:AF242),$AF$2:$AF$1001,0),0), INDEX($AM$1004:$BM$1004,1,MATCH(COLUMNS($AM$1006:BJ1006),$AM$1006:$BM$1006,0)))),"Fix")))</f>
        <v xml:space="preserve"> </v>
      </c>
      <c r="Z242" s="4" t="str">
        <f ca="1">IF(OR(INDEX($AG$2:$AG$1001,MATCH(ROWS($AF$2:AF242),$AF$2:$AF$1001,0),1)&gt;=100000,INDEX($AM$1005:$BM$1005,1,MATCH(COLUMNS($AM$1006:BK1006),$AM$1006:$BM$1006,0))&gt;=100000), " ",IF(INDEX($AM$2:$BM$1001,MATCH(ROWS($AF$2:AF242),$AF$2:$AF$1001,0),MATCH(COLUMNS($AM$1006:BK1006),$AM$1006:$BM$1006,0)), HYPERLINK("#",""), HYPERLINK(CONCATENATE("#metadata!", ADDRESS(INDEX($AH$2:$AH$1001,MATCH(ROWS($AF$2:AF242),$AF$2:$AF$1001,0),0), INDEX($AM$1004:$BM$1004,1,MATCH(COLUMNS($AM$1006:BK1006),$AM$1006:$BM$1006,0)))),"Fix")))</f>
        <v xml:space="preserve"> </v>
      </c>
      <c r="AA242" s="4" t="str">
        <f ca="1">IF(OR(INDEX($AG$2:$AG$1001,MATCH(ROWS($AF$2:AF242),$AF$2:$AF$1001,0),1)&gt;=100000,INDEX($AM$1005:$BM$1005,1,MATCH(COLUMNS($AM$1006:BL1006),$AM$1006:$BM$1006,0))&gt;=100000), " ",IF(INDEX($AM$2:$BM$1001,MATCH(ROWS($AF$2:AF242),$AF$2:$AF$1001,0),MATCH(COLUMNS($AM$1006:BL1006),$AM$1006:$BM$1006,0)), HYPERLINK("#",""), HYPERLINK(CONCATENATE("#metadata!", ADDRESS(INDEX($AH$2:$AH$1001,MATCH(ROWS($AF$2:AF242),$AF$2:$AF$1001,0),0), INDEX($AM$1004:$BM$1004,1,MATCH(COLUMNS($AM$1006:BL1006),$AM$1006:$BM$1006,0)))),"Fix")))</f>
        <v xml:space="preserve"> </v>
      </c>
      <c r="AB242" s="4" t="str">
        <f ca="1">IF(OR(INDEX($AG$2:$AG$1001,MATCH(ROWS($AF$2:AF242),$AF$2:$AF$1001,0),1)&gt;=100000,INDEX($AM$1005:$BM$1005,1,MATCH(COLUMNS($AM$1006:BM1006),$AM$1006:$BM$1006,0))&gt;=100000), " ",IF(INDEX($AM$2:$BM$1001,MATCH(ROWS($AF$2:AF242),$AF$2:$AF$1001,0),MATCH(COLUMNS($AM$1006:BM1006),$AM$1006:$BM$1006,0)), HYPERLINK("#",""), HYPERLINK(CONCATENATE("#metadata!", ADDRESS(INDEX($AH$2:$AH$1001,MATCH(ROWS($AF$2:AF242),$AF$2:$AF$1001,0),0), INDEX($AM$1004:$BM$1004,1,MATCH(COLUMNS($AM$1006:BM1006),$AM$1006:$BM$1006,0)))),"Fix")))</f>
        <v xml:space="preserve"> </v>
      </c>
      <c r="AF242">
        <v>241</v>
      </c>
      <c r="AG242">
        <v>100242</v>
      </c>
      <c r="AH242">
        <v>242</v>
      </c>
      <c r="AI242" t="b">
        <f t="shared" si="3"/>
        <v>1</v>
      </c>
      <c r="AJ242" t="b">
        <f>COUNTBLANK(metadata!B242:AB242)=COLUMNS(metadata!B242:AB242)</f>
        <v>1</v>
      </c>
      <c r="AK242" t="str">
        <v/>
      </c>
      <c r="AM242" t="b">
        <f ca="1">AND(IF(metadata!B242="",FALSE,TRUE),COUNTIF(metadata!B:B, metadata!B242) = 1,NOT(ISERROR(SUMPRODUCT(SEARCH(MID(metadata!B242,ROW(INDIRECT("1:"&amp;LEN(metadata!B242))), 1),"0123456789abcdefghijklmnopqrstuvwxyzABCDEFGHIJKLMNOPQRSTUVWXYZ.")))))</f>
        <v>0</v>
      </c>
      <c r="AN242" t="b">
        <f ca="1">OR(AND(IF(metadata!C242="",FALSE,TRUE),OR(EXACT(metadata!C242,"missing: not collected"),EXACT(metadata!C242,"missing: not provided"),EXACT(metadata!C242,"missing: restricted access"))),AND(IF(metadata!C242="",FALSE,TRUE),AND(AND(IFERROR(INT(LEFT(metadata!C242,4))&gt;1900,FALSE),IFERROR(INT(LEFT(metadata!C242,4))&lt;=YEAR(NOW()),FALSE)), OR(MID(metadata!C242,5,1)="", AND(AND(MID(metadata!C242,5,1)="-",IFERROR(INT(MID(metadata!C242,6,1))&gt;=0,FALSE),IFERROR(INT(MID(metadata!C242,6,1))&lt;=1,FALSE),NOT(MID(metadata!C242,7,1)=""),IFERROR(INT(MID(metadata!C242,6,2))&gt;=1,FALSE),IFERROR(INT(MID(metadata!C242,6,2))&lt;=12,FALSE)), OR(MID(metadata!C242,8,1)="", AND(AND(MID(metadata!C242,8,1)="-",IFERROR(INT(MID(metadata!C242,9,1))&gt;=0,FALSE),IFERROR(INT(MID(metadata!C242,9,1))&lt;=3,FALSE),NOT(MID(metadata!C242,10,1)=""),IFERROR(INT(MID(metadata!C242,9,2))&gt;=1,FALSE),IFERROR(INT(MID(metadata!C242,9,2))&lt;=31,FALSE)), OR(MID(metadata!C242,11,1)="", AND(AND(MID(metadata!C242,11,1)=" ",IFERROR(INT(MID(metadata!C242,12,1))&gt;=0,FALSE),IFERROR(INT(MID(metadata!C242,12,1))&lt;=2,FALSE),NOT(MID(metadata!C242,13,1)=""),IFERROR(INT(MID(metadata!C242,12,2))&gt;=0,FALSE),IFERROR(INT(MID(metadata!C242,12,2))&lt;=23,FALSE)), OR(MID(metadata!C242,14,1)="", AND(AND(MID(metadata!C242,14,1)=":",IFERROR(INT(MID(metadata!C242,15,1))&gt;=0,FALSE),IFERROR(INT(MID(metadata!C242,15,1))&lt;=5,FALSE),NOT(MID(metadata!C242,16,1)=""),IFERROR(INT(MID(metadata!C242,15,2))&gt;=0,FALSE),IFERROR(INT(MID(metadata!C242,15,2))&lt;=59,FALSE)), OR(MID(metadata!C242,17,1)="", AND(AND(MID(metadata!C242,17,1)=":",IFERROR(INT(MID(metadata!C242,18,1))&gt;=0,FALSE),IFERROR(INT(MID(metadata!C242,18,1))&lt;=5,FALSE),NOT(MID(metadata!C242,19,1)=""),IFERROR(INT(MID(metadata!C242,18,2))&gt;=0,FALSE),IFERROR(INT(MID(metadata!C242,18,2))&lt;=59,FALSE)), LEN(metadata!C242)&lt;=19)))))))))))))</f>
        <v>0</v>
      </c>
      <c r="AO242" t="b">
        <f>AND(IF(metadata!D242="",FALSE,TRUE),EXACT(metadata!D242,"Not applicable"))</f>
        <v>0</v>
      </c>
      <c r="AP242" t="b">
        <f>IF(metadata!E242="",FALSE,TRUE)</f>
        <v>0</v>
      </c>
      <c r="AQ242" t="b">
        <f>OR(AND(IF(metadata!F242="",FALSE,TRUE),OR(EXACT(metadata!F242,"missing: not collected"),EXACT(metadata!F242,"missing: not provided"))),AND(IF(metadata!F242="",FALSE,TRUE),OR(EXACT(metadata!F242,"TRUE"),EXACT(metadata!F242,"FALSE"))))</f>
        <v>0</v>
      </c>
      <c r="AR242" t="b">
        <f>OR(AND(IF(metadata!G242="",FALSE,TRUE),OR(EXACT(metadata!G242,"missing: not collected"),EXACT(metadata!G242,"missing: not provided"),EXACT(metadata!G242,"missing: restricted access"))),AND(IF(metadata!G242="",FALSE,ISNUMBER(VALUE(metadata!G242))),metadata!G242&gt;=-413))</f>
        <v>0</v>
      </c>
      <c r="AS242" t="b">
        <f>AND(IF(metadata!H242="",FALSE,TRUE),EXACT(metadata!H242,"meters"))</f>
        <v>0</v>
      </c>
      <c r="AT242" t="b">
        <f>AND(IF(metadata!I242="",FALSE,TRUE),OR(EXACT(metadata!I242,"Host-associated"),EXACT(metadata!I242,"Free-living")))</f>
        <v>0</v>
      </c>
      <c r="AU242" t="b">
        <f>AND(IF(metadata!J242="",FALSE,TRUE),OR(EXACT(metadata!J242,"Animal"),EXACT(metadata!J242,"Fungus"),EXACT(metadata!J242,"Plant"),EXACT(metadata!J242,"Saline"),EXACT(metadata!J242,"Non-saline")))</f>
        <v>0</v>
      </c>
      <c r="AV242" t="b">
        <f>AND(IF(metadata!K242="",FALSE,TRUE),OR(EXACT(metadata!K242,"Plant secretion"),EXACT(metadata!K242,"Plant rhizosphere"),EXACT(metadata!K242,"Plant surface"),EXACT(metadata!K242,"Plant corpus"),EXACT(metadata!K242,"Fungus surface"),EXACT(metadata!K242,"Fungus corpus"),EXACT(metadata!K242,"Animal surface"),EXACT(metadata!K242,"Animal proximal gut"),EXACT(metadata!K242,"Animal corpus"),EXACT(metadata!K242,"Animal distal gut"),EXACT(metadata!K242,"Animal secretion"),EXACT(metadata!K242,"Sub-surface (non-saline)"),EXACT(metadata!K242,"Surface (non-saline)"),EXACT(metadata!K242,"Water (non-saline)"),EXACT(metadata!K242,"Soil (non-saline)"),EXACT(metadata!K242,"Aerosol (non-saline)"),EXACT(metadata!K242,"Sediment (non-saline)"),EXACT(metadata!K242,"Surface (saline)"),EXACT(metadata!K242,"Water (saline)"),EXACT(metadata!K242,"Hypersaline (saline)"),EXACT(metadata!K242,"Aerosol (saline)"),EXACT(metadata!K242,"Sediment (saline)")))</f>
        <v>0</v>
      </c>
      <c r="AW242" t="b">
        <f>IF(metadata!L242="",FALSE,TRUE)</f>
        <v>0</v>
      </c>
      <c r="AX242" t="b">
        <f>IF(metadata!M242="",FALSE,TRUE)</f>
        <v>0</v>
      </c>
      <c r="AY242" t="b">
        <f>IF(metadata!N242="",FALSE,TRUE)</f>
        <v>0</v>
      </c>
      <c r="AZ242" t="b">
        <f>OR(AND(IF(metadata!O242="",FALSE,TRUE),OR(EXACT(metadata!O242,"missing: not collected"),EXACT(metadata!O242,"missing: not provided"),EXACT(metadata!O242,"missing: restricted access"))),AND(IF(metadata!O242="",FALSE,TRUE),OR(EXACT(metadata!O242,"air"),EXACT(metadata!O242,"built environment"),EXACT(metadata!O242,"host-associated"),EXACT(metadata!O242,"human-associated"),EXACT(metadata!O242,"human-skin"),EXACT(metadata!O242,"human-oral"),EXACT(metadata!O242,"human-gut"),EXACT(metadata!O242,"human-vaginal"),EXACT(metadata!O242,"microbial mat/biofilm"),EXACT(metadata!O242,"misc environment"),EXACT(metadata!O242,"plant-associated"),EXACT(metadata!O242,"sediment"),EXACT(metadata!O242,"soil"),EXACT(metadata!O242,"wastewater/sludge"),EXACT(metadata!O242,"water"))))</f>
        <v>0</v>
      </c>
      <c r="BA242" t="b">
        <f>IF(metadata!P242="",FALSE,TRUE)</f>
        <v>0</v>
      </c>
      <c r="BB242" t="b">
        <f>IF(metadata!Q242="",FALSE,TRUE)</f>
        <v>0</v>
      </c>
      <c r="BC242" t="b">
        <f>OR(AND(IF(metadata!R242="",FALSE,TRUE),OR(EXACT(metadata!R242,"missing: not collected"),EXACT(metadata!R242,"missing: not provided"),EXACT(metadata!R242,"missing: restricted access"))),AND(IF(metadata!R242="",FALSE,ISNUMBER(VALUE(metadata!R242))),metadata!R242&gt;=-90,metadata!R242&lt;=90))</f>
        <v>0</v>
      </c>
      <c r="BD242" t="b">
        <f>AND(IF(metadata!S242="",FALSE,TRUE),EXACT(metadata!S242,"Decimal degrees"))</f>
        <v>0</v>
      </c>
      <c r="BE242" t="b">
        <f>OR(AND(IF(metadata!T242="",FALSE,TRUE),OR(EXACT(metadata!T242,"missing: not collected"),EXACT(metadata!T242,"missing: not provided"),EXACT(metadata!T242,"missing: restricted access"))),AND(IF(metadata!T242="",FALSE,ISNUMBER(VALUE(metadata!T242))),metadata!T242&gt;=-180,metadata!T242&lt;=180))</f>
        <v>0</v>
      </c>
      <c r="BF242" t="b">
        <f>AND(IF(metadata!U242="",FALSE,TRUE),EXACT(metadata!U242,"Decimal degrees"))</f>
        <v>0</v>
      </c>
      <c r="BG242" t="b">
        <f>IF(metadata!V242="",FALSE,TRUE)</f>
        <v>0</v>
      </c>
      <c r="BH242" t="b">
        <f>OR(AND(IF(metadata!W242="",FALSE,TRUE),OR(EXACT(metadata!W242,"missing: not collected"),EXACT(metadata!W242,"missing: not provided"),EXACT(metadata!W242,"missing: restricted access"))),AND(IF(metadata!W242="",FALSE,TRUE),OR(EXACT(metadata!W242,"TRUE"),EXACT(metadata!W242,"FALSE"))))</f>
        <v>0</v>
      </c>
      <c r="BI242" t="b">
        <f>AND(IF(metadata!X242="",FALSE,TRUE),EXACT(metadata!X242,"other"))</f>
        <v>0</v>
      </c>
      <c r="BJ242" t="b">
        <f>IF(metadata!Y242="",FALSE,TRUE)</f>
        <v>0</v>
      </c>
      <c r="BK242" t="b">
        <f>OR(AND(IF(metadata!Z242="",FALSE,TRUE),OR(EXACT(metadata!Z242,"missing: not collected"),EXACT(metadata!Z242,"missing: not provided"))),AND(IF(metadata!Z242="",FALSE,IF(ISERROR(INT(metadata!Z242)),FALSE,INT(metadata!Z242)=metadata!Z242)),metadata!Z242&gt;0))</f>
        <v>0</v>
      </c>
      <c r="BL242" t="b">
        <f>AND(IF(metadata!AA242="",FALSE,TRUE),EXACT(metadata!AA242,"Not applicable"))</f>
        <v>0</v>
      </c>
      <c r="BM242" t="b">
        <f>IF(metadata!AB242="",FALSE,TRUE)</f>
        <v>0</v>
      </c>
    </row>
    <row r="243" spans="1:65" x14ac:dyDescent="0.2">
      <c r="A243" s="5" t="str">
        <f ca="1">IF(B243=" "," ",HYPERLINK(CONCATENATE("#metadata!",ADDRESS(INDEX($AH$2:$AH$1001,MATCH(ROWS($AF$2:AF243),$AF$2:$AF$1001,0),0),1)),INDEX($AK$2:$AK$1001,MATCH(ROWS($AF$2:AF243),$AF$2:$AF$1001,0),0)))</f>
        <v xml:space="preserve"> </v>
      </c>
      <c r="B243" s="4" t="str">
        <f ca="1">IF(OR(INDEX($AG$2:$AG$1001,MATCH(ROWS($AF$2:AF243),$AF$2:$AF$1001,0),1)&gt;=100000,INDEX($AM$1005:$BM$1005,1,MATCH(COLUMNS($AM$1006:AM1006),$AM$1006:$BM$1006,0))&gt;=100000), " ",IF(INDEX($AM$2:$BM$1001,MATCH(ROWS($AF$2:AF243),$AF$2:$AF$1001,0),MATCH(COLUMNS($AM$1006:AM1006),$AM$1006:$BM$1006,0)), HYPERLINK("#",""), HYPERLINK(CONCATENATE("#metadata!", ADDRESS(INDEX($AH$2:$AH$1001,MATCH(ROWS($AF$2:AF243),$AF$2:$AF$1001,0),0), INDEX($AM$1004:$BM$1004,1,MATCH(COLUMNS($AM$1006:AM1006),$AM$1006:$BM$1006,0)))),"Fix")))</f>
        <v xml:space="preserve"> </v>
      </c>
      <c r="C243" s="4" t="str">
        <f ca="1">IF(OR(INDEX($AG$2:$AG$1001,MATCH(ROWS($AF$2:AF243),$AF$2:$AF$1001,0),1)&gt;=100000,INDEX($AM$1005:$BM$1005,1,MATCH(COLUMNS($AM$1006:AN1006),$AM$1006:$BM$1006,0))&gt;=100000), " ",IF(INDEX($AM$2:$BM$1001,MATCH(ROWS($AF$2:AF243),$AF$2:$AF$1001,0),MATCH(COLUMNS($AM$1006:AN1006),$AM$1006:$BM$1006,0)), HYPERLINK("#",""), HYPERLINK(CONCATENATE("#metadata!", ADDRESS(INDEX($AH$2:$AH$1001,MATCH(ROWS($AF$2:AF243),$AF$2:$AF$1001,0),0), INDEX($AM$1004:$BM$1004,1,MATCH(COLUMNS($AM$1006:AN1006),$AM$1006:$BM$1006,0)))),"Fix")))</f>
        <v xml:space="preserve"> </v>
      </c>
      <c r="D243" s="4" t="str">
        <f ca="1">IF(OR(INDEX($AG$2:$AG$1001,MATCH(ROWS($AF$2:AF243),$AF$2:$AF$1001,0),1)&gt;=100000,INDEX($AM$1005:$BM$1005,1,MATCH(COLUMNS($AM$1006:AO1006),$AM$1006:$BM$1006,0))&gt;=100000), " ",IF(INDEX($AM$2:$BM$1001,MATCH(ROWS($AF$2:AF243),$AF$2:$AF$1001,0),MATCH(COLUMNS($AM$1006:AO1006),$AM$1006:$BM$1006,0)), HYPERLINK("#",""), HYPERLINK(CONCATENATE("#metadata!", ADDRESS(INDEX($AH$2:$AH$1001,MATCH(ROWS($AF$2:AF243),$AF$2:$AF$1001,0),0), INDEX($AM$1004:$BM$1004,1,MATCH(COLUMNS($AM$1006:AO1006),$AM$1006:$BM$1006,0)))),"Fix")))</f>
        <v xml:space="preserve"> </v>
      </c>
      <c r="E243" s="4" t="str">
        <f ca="1">IF(OR(INDEX($AG$2:$AG$1001,MATCH(ROWS($AF$2:AF243),$AF$2:$AF$1001,0),1)&gt;=100000,INDEX($AM$1005:$BM$1005,1,MATCH(COLUMNS($AM$1006:AP1006),$AM$1006:$BM$1006,0))&gt;=100000), " ",IF(INDEX($AM$2:$BM$1001,MATCH(ROWS($AF$2:AF243),$AF$2:$AF$1001,0),MATCH(COLUMNS($AM$1006:AP1006),$AM$1006:$BM$1006,0)), HYPERLINK("#",""), HYPERLINK(CONCATENATE("#metadata!", ADDRESS(INDEX($AH$2:$AH$1001,MATCH(ROWS($AF$2:AF243),$AF$2:$AF$1001,0),0), INDEX($AM$1004:$BM$1004,1,MATCH(COLUMNS($AM$1006:AP1006),$AM$1006:$BM$1006,0)))),"Fix")))</f>
        <v xml:space="preserve"> </v>
      </c>
      <c r="F243" s="4" t="str">
        <f ca="1">IF(OR(INDEX($AG$2:$AG$1001,MATCH(ROWS($AF$2:AF243),$AF$2:$AF$1001,0),1)&gt;=100000,INDEX($AM$1005:$BM$1005,1,MATCH(COLUMNS($AM$1006:AQ1006),$AM$1006:$BM$1006,0))&gt;=100000), " ",IF(INDEX($AM$2:$BM$1001,MATCH(ROWS($AF$2:AF243),$AF$2:$AF$1001,0),MATCH(COLUMNS($AM$1006:AQ1006),$AM$1006:$BM$1006,0)), HYPERLINK("#",""), HYPERLINK(CONCATENATE("#metadata!", ADDRESS(INDEX($AH$2:$AH$1001,MATCH(ROWS($AF$2:AF243),$AF$2:$AF$1001,0),0), INDEX($AM$1004:$BM$1004,1,MATCH(COLUMNS($AM$1006:AQ1006),$AM$1006:$BM$1006,0)))),"Fix")))</f>
        <v xml:space="preserve"> </v>
      </c>
      <c r="G243" s="4" t="str">
        <f ca="1">IF(OR(INDEX($AG$2:$AG$1001,MATCH(ROWS($AF$2:AF243),$AF$2:$AF$1001,0),1)&gt;=100000,INDEX($AM$1005:$BM$1005,1,MATCH(COLUMNS($AM$1006:AR1006),$AM$1006:$BM$1006,0))&gt;=100000), " ",IF(INDEX($AM$2:$BM$1001,MATCH(ROWS($AF$2:AF243),$AF$2:$AF$1001,0),MATCH(COLUMNS($AM$1006:AR1006),$AM$1006:$BM$1006,0)), HYPERLINK("#",""), HYPERLINK(CONCATENATE("#metadata!", ADDRESS(INDEX($AH$2:$AH$1001,MATCH(ROWS($AF$2:AF243),$AF$2:$AF$1001,0),0), INDEX($AM$1004:$BM$1004,1,MATCH(COLUMNS($AM$1006:AR1006),$AM$1006:$BM$1006,0)))),"Fix")))</f>
        <v xml:space="preserve"> </v>
      </c>
      <c r="H243" s="4" t="str">
        <f ca="1">IF(OR(INDEX($AG$2:$AG$1001,MATCH(ROWS($AF$2:AF243),$AF$2:$AF$1001,0),1)&gt;=100000,INDEX($AM$1005:$BM$1005,1,MATCH(COLUMNS($AM$1006:AS1006),$AM$1006:$BM$1006,0))&gt;=100000), " ",IF(INDEX($AM$2:$BM$1001,MATCH(ROWS($AF$2:AF243),$AF$2:$AF$1001,0),MATCH(COLUMNS($AM$1006:AS1006),$AM$1006:$BM$1006,0)), HYPERLINK("#",""), HYPERLINK(CONCATENATE("#metadata!", ADDRESS(INDEX($AH$2:$AH$1001,MATCH(ROWS($AF$2:AF243),$AF$2:$AF$1001,0),0), INDEX($AM$1004:$BM$1004,1,MATCH(COLUMNS($AM$1006:AS1006),$AM$1006:$BM$1006,0)))),"Fix")))</f>
        <v xml:space="preserve"> </v>
      </c>
      <c r="I243" s="4" t="str">
        <f ca="1">IF(OR(INDEX($AG$2:$AG$1001,MATCH(ROWS($AF$2:AF243),$AF$2:$AF$1001,0),1)&gt;=100000,INDEX($AM$1005:$BM$1005,1,MATCH(COLUMNS($AM$1006:AT1006),$AM$1006:$BM$1006,0))&gt;=100000), " ",IF(INDEX($AM$2:$BM$1001,MATCH(ROWS($AF$2:AF243),$AF$2:$AF$1001,0),MATCH(COLUMNS($AM$1006:AT1006),$AM$1006:$BM$1006,0)), HYPERLINK("#",""), HYPERLINK(CONCATENATE("#metadata!", ADDRESS(INDEX($AH$2:$AH$1001,MATCH(ROWS($AF$2:AF243),$AF$2:$AF$1001,0),0), INDEX($AM$1004:$BM$1004,1,MATCH(COLUMNS($AM$1006:AT1006),$AM$1006:$BM$1006,0)))),"Fix")))</f>
        <v xml:space="preserve"> </v>
      </c>
      <c r="J243" s="4" t="str">
        <f ca="1">IF(OR(INDEX($AG$2:$AG$1001,MATCH(ROWS($AF$2:AF243),$AF$2:$AF$1001,0),1)&gt;=100000,INDEX($AM$1005:$BM$1005,1,MATCH(COLUMNS($AM$1006:AU1006),$AM$1006:$BM$1006,0))&gt;=100000), " ",IF(INDEX($AM$2:$BM$1001,MATCH(ROWS($AF$2:AF243),$AF$2:$AF$1001,0),MATCH(COLUMNS($AM$1006:AU1006),$AM$1006:$BM$1006,0)), HYPERLINK("#",""), HYPERLINK(CONCATENATE("#metadata!", ADDRESS(INDEX($AH$2:$AH$1001,MATCH(ROWS($AF$2:AF243),$AF$2:$AF$1001,0),0), INDEX($AM$1004:$BM$1004,1,MATCH(COLUMNS($AM$1006:AU1006),$AM$1006:$BM$1006,0)))),"Fix")))</f>
        <v xml:space="preserve"> </v>
      </c>
      <c r="K243" s="4" t="str">
        <f ca="1">IF(OR(INDEX($AG$2:$AG$1001,MATCH(ROWS($AF$2:AF243),$AF$2:$AF$1001,0),1)&gt;=100000,INDEX($AM$1005:$BM$1005,1,MATCH(COLUMNS($AM$1006:AV1006),$AM$1006:$BM$1006,0))&gt;=100000), " ",IF(INDEX($AM$2:$BM$1001,MATCH(ROWS($AF$2:AF243),$AF$2:$AF$1001,0),MATCH(COLUMNS($AM$1006:AV1006),$AM$1006:$BM$1006,0)), HYPERLINK("#",""), HYPERLINK(CONCATENATE("#metadata!", ADDRESS(INDEX($AH$2:$AH$1001,MATCH(ROWS($AF$2:AF243),$AF$2:$AF$1001,0),0), INDEX($AM$1004:$BM$1004,1,MATCH(COLUMNS($AM$1006:AV1006),$AM$1006:$BM$1006,0)))),"Fix")))</f>
        <v xml:space="preserve"> </v>
      </c>
      <c r="L243" s="4" t="str">
        <f ca="1">IF(OR(INDEX($AG$2:$AG$1001,MATCH(ROWS($AF$2:AF243),$AF$2:$AF$1001,0),1)&gt;=100000,INDEX($AM$1005:$BM$1005,1,MATCH(COLUMNS($AM$1006:AW1006),$AM$1006:$BM$1006,0))&gt;=100000), " ",IF(INDEX($AM$2:$BM$1001,MATCH(ROWS($AF$2:AF243),$AF$2:$AF$1001,0),MATCH(COLUMNS($AM$1006:AW1006),$AM$1006:$BM$1006,0)), HYPERLINK("#",""), HYPERLINK(CONCATENATE("#metadata!", ADDRESS(INDEX($AH$2:$AH$1001,MATCH(ROWS($AF$2:AF243),$AF$2:$AF$1001,0),0), INDEX($AM$1004:$BM$1004,1,MATCH(COLUMNS($AM$1006:AW1006),$AM$1006:$BM$1006,0)))),"Fix")))</f>
        <v xml:space="preserve"> </v>
      </c>
      <c r="M243" s="4" t="str">
        <f ca="1">IF(OR(INDEX($AG$2:$AG$1001,MATCH(ROWS($AF$2:AF243),$AF$2:$AF$1001,0),1)&gt;=100000,INDEX($AM$1005:$BM$1005,1,MATCH(COLUMNS($AM$1006:AX1006),$AM$1006:$BM$1006,0))&gt;=100000), " ",IF(INDEX($AM$2:$BM$1001,MATCH(ROWS($AF$2:AF243),$AF$2:$AF$1001,0),MATCH(COLUMNS($AM$1006:AX1006),$AM$1006:$BM$1006,0)), HYPERLINK("#",""), HYPERLINK(CONCATENATE("#metadata!", ADDRESS(INDEX($AH$2:$AH$1001,MATCH(ROWS($AF$2:AF243),$AF$2:$AF$1001,0),0), INDEX($AM$1004:$BM$1004,1,MATCH(COLUMNS($AM$1006:AX1006),$AM$1006:$BM$1006,0)))),"Fix")))</f>
        <v xml:space="preserve"> </v>
      </c>
      <c r="N243" s="4" t="str">
        <f ca="1">IF(OR(INDEX($AG$2:$AG$1001,MATCH(ROWS($AF$2:AF243),$AF$2:$AF$1001,0),1)&gt;=100000,INDEX($AM$1005:$BM$1005,1,MATCH(COLUMNS($AM$1006:AY1006),$AM$1006:$BM$1006,0))&gt;=100000), " ",IF(INDEX($AM$2:$BM$1001,MATCH(ROWS($AF$2:AF243),$AF$2:$AF$1001,0),MATCH(COLUMNS($AM$1006:AY1006),$AM$1006:$BM$1006,0)), HYPERLINK("#",""), HYPERLINK(CONCATENATE("#metadata!", ADDRESS(INDEX($AH$2:$AH$1001,MATCH(ROWS($AF$2:AF243),$AF$2:$AF$1001,0),0), INDEX($AM$1004:$BM$1004,1,MATCH(COLUMNS($AM$1006:AY1006),$AM$1006:$BM$1006,0)))),"Fix")))</f>
        <v xml:space="preserve"> </v>
      </c>
      <c r="O243" s="4" t="str">
        <f ca="1">IF(OR(INDEX($AG$2:$AG$1001,MATCH(ROWS($AF$2:AF243),$AF$2:$AF$1001,0),1)&gt;=100000,INDEX($AM$1005:$BM$1005,1,MATCH(COLUMNS($AM$1006:AZ1006),$AM$1006:$BM$1006,0))&gt;=100000), " ",IF(INDEX($AM$2:$BM$1001,MATCH(ROWS($AF$2:AF243),$AF$2:$AF$1001,0),MATCH(COLUMNS($AM$1006:AZ1006),$AM$1006:$BM$1006,0)), HYPERLINK("#",""), HYPERLINK(CONCATENATE("#metadata!", ADDRESS(INDEX($AH$2:$AH$1001,MATCH(ROWS($AF$2:AF243),$AF$2:$AF$1001,0),0), INDEX($AM$1004:$BM$1004,1,MATCH(COLUMNS($AM$1006:AZ1006),$AM$1006:$BM$1006,0)))),"Fix")))</f>
        <v xml:space="preserve"> </v>
      </c>
      <c r="P243" s="4" t="str">
        <f ca="1">IF(OR(INDEX($AG$2:$AG$1001,MATCH(ROWS($AF$2:AF243),$AF$2:$AF$1001,0),1)&gt;=100000,INDEX($AM$1005:$BM$1005,1,MATCH(COLUMNS($AM$1006:BA1006),$AM$1006:$BM$1006,0))&gt;=100000), " ",IF(INDEX($AM$2:$BM$1001,MATCH(ROWS($AF$2:AF243),$AF$2:$AF$1001,0),MATCH(COLUMNS($AM$1006:BA1006),$AM$1006:$BM$1006,0)), HYPERLINK("#",""), HYPERLINK(CONCATENATE("#metadata!", ADDRESS(INDEX($AH$2:$AH$1001,MATCH(ROWS($AF$2:AF243),$AF$2:$AF$1001,0),0), INDEX($AM$1004:$BM$1004,1,MATCH(COLUMNS($AM$1006:BA1006),$AM$1006:$BM$1006,0)))),"Fix")))</f>
        <v xml:space="preserve"> </v>
      </c>
      <c r="Q243" s="4" t="str">
        <f ca="1">IF(OR(INDEX($AG$2:$AG$1001,MATCH(ROWS($AF$2:AF243),$AF$2:$AF$1001,0),1)&gt;=100000,INDEX($AM$1005:$BM$1005,1,MATCH(COLUMNS($AM$1006:BB1006),$AM$1006:$BM$1006,0))&gt;=100000), " ",IF(INDEX($AM$2:$BM$1001,MATCH(ROWS($AF$2:AF243),$AF$2:$AF$1001,0),MATCH(COLUMNS($AM$1006:BB1006),$AM$1006:$BM$1006,0)), HYPERLINK("#",""), HYPERLINK(CONCATENATE("#metadata!", ADDRESS(INDEX($AH$2:$AH$1001,MATCH(ROWS($AF$2:AF243),$AF$2:$AF$1001,0),0), INDEX($AM$1004:$BM$1004,1,MATCH(COLUMNS($AM$1006:BB1006),$AM$1006:$BM$1006,0)))),"Fix")))</f>
        <v xml:space="preserve"> </v>
      </c>
      <c r="R243" s="4" t="str">
        <f ca="1">IF(OR(INDEX($AG$2:$AG$1001,MATCH(ROWS($AF$2:AF243),$AF$2:$AF$1001,0),1)&gt;=100000,INDEX($AM$1005:$BM$1005,1,MATCH(COLUMNS($AM$1006:BC1006),$AM$1006:$BM$1006,0))&gt;=100000), " ",IF(INDEX($AM$2:$BM$1001,MATCH(ROWS($AF$2:AF243),$AF$2:$AF$1001,0),MATCH(COLUMNS($AM$1006:BC1006),$AM$1006:$BM$1006,0)), HYPERLINK("#",""), HYPERLINK(CONCATENATE("#metadata!", ADDRESS(INDEX($AH$2:$AH$1001,MATCH(ROWS($AF$2:AF243),$AF$2:$AF$1001,0),0), INDEX($AM$1004:$BM$1004,1,MATCH(COLUMNS($AM$1006:BC1006),$AM$1006:$BM$1006,0)))),"Fix")))</f>
        <v xml:space="preserve"> </v>
      </c>
      <c r="S243" s="4" t="str">
        <f ca="1">IF(OR(INDEX($AG$2:$AG$1001,MATCH(ROWS($AF$2:AF243),$AF$2:$AF$1001,0),1)&gt;=100000,INDEX($AM$1005:$BM$1005,1,MATCH(COLUMNS($AM$1006:BD1006),$AM$1006:$BM$1006,0))&gt;=100000), " ",IF(INDEX($AM$2:$BM$1001,MATCH(ROWS($AF$2:AF243),$AF$2:$AF$1001,0),MATCH(COLUMNS($AM$1006:BD1006),$AM$1006:$BM$1006,0)), HYPERLINK("#",""), HYPERLINK(CONCATENATE("#metadata!", ADDRESS(INDEX($AH$2:$AH$1001,MATCH(ROWS($AF$2:AF243),$AF$2:$AF$1001,0),0), INDEX($AM$1004:$BM$1004,1,MATCH(COLUMNS($AM$1006:BD1006),$AM$1006:$BM$1006,0)))),"Fix")))</f>
        <v xml:space="preserve"> </v>
      </c>
      <c r="T243" s="4" t="str">
        <f ca="1">IF(OR(INDEX($AG$2:$AG$1001,MATCH(ROWS($AF$2:AF243),$AF$2:$AF$1001,0),1)&gt;=100000,INDEX($AM$1005:$BM$1005,1,MATCH(COLUMNS($AM$1006:BE1006),$AM$1006:$BM$1006,0))&gt;=100000), " ",IF(INDEX($AM$2:$BM$1001,MATCH(ROWS($AF$2:AF243),$AF$2:$AF$1001,0),MATCH(COLUMNS($AM$1006:BE1006),$AM$1006:$BM$1006,0)), HYPERLINK("#",""), HYPERLINK(CONCATENATE("#metadata!", ADDRESS(INDEX($AH$2:$AH$1001,MATCH(ROWS($AF$2:AF243),$AF$2:$AF$1001,0),0), INDEX($AM$1004:$BM$1004,1,MATCH(COLUMNS($AM$1006:BE1006),$AM$1006:$BM$1006,0)))),"Fix")))</f>
        <v xml:space="preserve"> </v>
      </c>
      <c r="U243" s="4" t="str">
        <f ca="1">IF(OR(INDEX($AG$2:$AG$1001,MATCH(ROWS($AF$2:AF243),$AF$2:$AF$1001,0),1)&gt;=100000,INDEX($AM$1005:$BM$1005,1,MATCH(COLUMNS($AM$1006:BF1006),$AM$1006:$BM$1006,0))&gt;=100000), " ",IF(INDEX($AM$2:$BM$1001,MATCH(ROWS($AF$2:AF243),$AF$2:$AF$1001,0),MATCH(COLUMNS($AM$1006:BF1006),$AM$1006:$BM$1006,0)), HYPERLINK("#",""), HYPERLINK(CONCATENATE("#metadata!", ADDRESS(INDEX($AH$2:$AH$1001,MATCH(ROWS($AF$2:AF243),$AF$2:$AF$1001,0),0), INDEX($AM$1004:$BM$1004,1,MATCH(COLUMNS($AM$1006:BF1006),$AM$1006:$BM$1006,0)))),"Fix")))</f>
        <v xml:space="preserve"> </v>
      </c>
      <c r="V243" s="4" t="str">
        <f ca="1">IF(OR(INDEX($AG$2:$AG$1001,MATCH(ROWS($AF$2:AF243),$AF$2:$AF$1001,0),1)&gt;=100000,INDEX($AM$1005:$BM$1005,1,MATCH(COLUMNS($AM$1006:BG1006),$AM$1006:$BM$1006,0))&gt;=100000), " ",IF(INDEX($AM$2:$BM$1001,MATCH(ROWS($AF$2:AF243),$AF$2:$AF$1001,0),MATCH(COLUMNS($AM$1006:BG1006),$AM$1006:$BM$1006,0)), HYPERLINK("#",""), HYPERLINK(CONCATENATE("#metadata!", ADDRESS(INDEX($AH$2:$AH$1001,MATCH(ROWS($AF$2:AF243),$AF$2:$AF$1001,0),0), INDEX($AM$1004:$BM$1004,1,MATCH(COLUMNS($AM$1006:BG1006),$AM$1006:$BM$1006,0)))),"Fix")))</f>
        <v xml:space="preserve"> </v>
      </c>
      <c r="W243" s="4" t="str">
        <f ca="1">IF(OR(INDEX($AG$2:$AG$1001,MATCH(ROWS($AF$2:AF243),$AF$2:$AF$1001,0),1)&gt;=100000,INDEX($AM$1005:$BM$1005,1,MATCH(COLUMNS($AM$1006:BH1006),$AM$1006:$BM$1006,0))&gt;=100000), " ",IF(INDEX($AM$2:$BM$1001,MATCH(ROWS($AF$2:AF243),$AF$2:$AF$1001,0),MATCH(COLUMNS($AM$1006:BH1006),$AM$1006:$BM$1006,0)), HYPERLINK("#",""), HYPERLINK(CONCATENATE("#metadata!", ADDRESS(INDEX($AH$2:$AH$1001,MATCH(ROWS($AF$2:AF243),$AF$2:$AF$1001,0),0), INDEX($AM$1004:$BM$1004,1,MATCH(COLUMNS($AM$1006:BH1006),$AM$1006:$BM$1006,0)))),"Fix")))</f>
        <v xml:space="preserve"> </v>
      </c>
      <c r="X243" s="4" t="str">
        <f ca="1">IF(OR(INDEX($AG$2:$AG$1001,MATCH(ROWS($AF$2:AF243),$AF$2:$AF$1001,0),1)&gt;=100000,INDEX($AM$1005:$BM$1005,1,MATCH(COLUMNS($AM$1006:BI1006),$AM$1006:$BM$1006,0))&gt;=100000), " ",IF(INDEX($AM$2:$BM$1001,MATCH(ROWS($AF$2:AF243),$AF$2:$AF$1001,0),MATCH(COLUMNS($AM$1006:BI1006),$AM$1006:$BM$1006,0)), HYPERLINK("#",""), HYPERLINK(CONCATENATE("#metadata!", ADDRESS(INDEX($AH$2:$AH$1001,MATCH(ROWS($AF$2:AF243),$AF$2:$AF$1001,0),0), INDEX($AM$1004:$BM$1004,1,MATCH(COLUMNS($AM$1006:BI1006),$AM$1006:$BM$1006,0)))),"Fix")))</f>
        <v xml:space="preserve"> </v>
      </c>
      <c r="Y243" s="4" t="str">
        <f ca="1">IF(OR(INDEX($AG$2:$AG$1001,MATCH(ROWS($AF$2:AF243),$AF$2:$AF$1001,0),1)&gt;=100000,INDEX($AM$1005:$BM$1005,1,MATCH(COLUMNS($AM$1006:BJ1006),$AM$1006:$BM$1006,0))&gt;=100000), " ",IF(INDEX($AM$2:$BM$1001,MATCH(ROWS($AF$2:AF243),$AF$2:$AF$1001,0),MATCH(COLUMNS($AM$1006:BJ1006),$AM$1006:$BM$1006,0)), HYPERLINK("#",""), HYPERLINK(CONCATENATE("#metadata!", ADDRESS(INDEX($AH$2:$AH$1001,MATCH(ROWS($AF$2:AF243),$AF$2:$AF$1001,0),0), INDEX($AM$1004:$BM$1004,1,MATCH(COLUMNS($AM$1006:BJ1006),$AM$1006:$BM$1006,0)))),"Fix")))</f>
        <v xml:space="preserve"> </v>
      </c>
      <c r="Z243" s="4" t="str">
        <f ca="1">IF(OR(INDEX($AG$2:$AG$1001,MATCH(ROWS($AF$2:AF243),$AF$2:$AF$1001,0),1)&gt;=100000,INDEX($AM$1005:$BM$1005,1,MATCH(COLUMNS($AM$1006:BK1006),$AM$1006:$BM$1006,0))&gt;=100000), " ",IF(INDEX($AM$2:$BM$1001,MATCH(ROWS($AF$2:AF243),$AF$2:$AF$1001,0),MATCH(COLUMNS($AM$1006:BK1006),$AM$1006:$BM$1006,0)), HYPERLINK("#",""), HYPERLINK(CONCATENATE("#metadata!", ADDRESS(INDEX($AH$2:$AH$1001,MATCH(ROWS($AF$2:AF243),$AF$2:$AF$1001,0),0), INDEX($AM$1004:$BM$1004,1,MATCH(COLUMNS($AM$1006:BK1006),$AM$1006:$BM$1006,0)))),"Fix")))</f>
        <v xml:space="preserve"> </v>
      </c>
      <c r="AA243" s="4" t="str">
        <f ca="1">IF(OR(INDEX($AG$2:$AG$1001,MATCH(ROWS($AF$2:AF243),$AF$2:$AF$1001,0),1)&gt;=100000,INDEX($AM$1005:$BM$1005,1,MATCH(COLUMNS($AM$1006:BL1006),$AM$1006:$BM$1006,0))&gt;=100000), " ",IF(INDEX($AM$2:$BM$1001,MATCH(ROWS($AF$2:AF243),$AF$2:$AF$1001,0),MATCH(COLUMNS($AM$1006:BL1006),$AM$1006:$BM$1006,0)), HYPERLINK("#",""), HYPERLINK(CONCATENATE("#metadata!", ADDRESS(INDEX($AH$2:$AH$1001,MATCH(ROWS($AF$2:AF243),$AF$2:$AF$1001,0),0), INDEX($AM$1004:$BM$1004,1,MATCH(COLUMNS($AM$1006:BL1006),$AM$1006:$BM$1006,0)))),"Fix")))</f>
        <v xml:space="preserve"> </v>
      </c>
      <c r="AB243" s="4" t="str">
        <f ca="1">IF(OR(INDEX($AG$2:$AG$1001,MATCH(ROWS($AF$2:AF243),$AF$2:$AF$1001,0),1)&gt;=100000,INDEX($AM$1005:$BM$1005,1,MATCH(COLUMNS($AM$1006:BM1006),$AM$1006:$BM$1006,0))&gt;=100000), " ",IF(INDEX($AM$2:$BM$1001,MATCH(ROWS($AF$2:AF243),$AF$2:$AF$1001,0),MATCH(COLUMNS($AM$1006:BM1006),$AM$1006:$BM$1006,0)), HYPERLINK("#",""), HYPERLINK(CONCATENATE("#metadata!", ADDRESS(INDEX($AH$2:$AH$1001,MATCH(ROWS($AF$2:AF243),$AF$2:$AF$1001,0),0), INDEX($AM$1004:$BM$1004,1,MATCH(COLUMNS($AM$1006:BM1006),$AM$1006:$BM$1006,0)))),"Fix")))</f>
        <v xml:space="preserve"> </v>
      </c>
      <c r="AF243">
        <v>242</v>
      </c>
      <c r="AG243">
        <v>100243</v>
      </c>
      <c r="AH243">
        <v>243</v>
      </c>
      <c r="AI243" t="b">
        <f t="shared" si="3"/>
        <v>1</v>
      </c>
      <c r="AJ243" t="b">
        <f>COUNTBLANK(metadata!B243:AB243)=COLUMNS(metadata!B243:AB243)</f>
        <v>1</v>
      </c>
      <c r="AK243" t="str">
        <v/>
      </c>
      <c r="AM243" t="b">
        <f ca="1">AND(IF(metadata!B243="",FALSE,TRUE),COUNTIF(metadata!B:B, metadata!B243) = 1,NOT(ISERROR(SUMPRODUCT(SEARCH(MID(metadata!B243,ROW(INDIRECT("1:"&amp;LEN(metadata!B243))), 1),"0123456789abcdefghijklmnopqrstuvwxyzABCDEFGHIJKLMNOPQRSTUVWXYZ.")))))</f>
        <v>0</v>
      </c>
      <c r="AN243" t="b">
        <f ca="1">OR(AND(IF(metadata!C243="",FALSE,TRUE),OR(EXACT(metadata!C243,"missing: not collected"),EXACT(metadata!C243,"missing: not provided"),EXACT(metadata!C243,"missing: restricted access"))),AND(IF(metadata!C243="",FALSE,TRUE),AND(AND(IFERROR(INT(LEFT(metadata!C243,4))&gt;1900,FALSE),IFERROR(INT(LEFT(metadata!C243,4))&lt;=YEAR(NOW()),FALSE)), OR(MID(metadata!C243,5,1)="", AND(AND(MID(metadata!C243,5,1)="-",IFERROR(INT(MID(metadata!C243,6,1))&gt;=0,FALSE),IFERROR(INT(MID(metadata!C243,6,1))&lt;=1,FALSE),NOT(MID(metadata!C243,7,1)=""),IFERROR(INT(MID(metadata!C243,6,2))&gt;=1,FALSE),IFERROR(INT(MID(metadata!C243,6,2))&lt;=12,FALSE)), OR(MID(metadata!C243,8,1)="", AND(AND(MID(metadata!C243,8,1)="-",IFERROR(INT(MID(metadata!C243,9,1))&gt;=0,FALSE),IFERROR(INT(MID(metadata!C243,9,1))&lt;=3,FALSE),NOT(MID(metadata!C243,10,1)=""),IFERROR(INT(MID(metadata!C243,9,2))&gt;=1,FALSE),IFERROR(INT(MID(metadata!C243,9,2))&lt;=31,FALSE)), OR(MID(metadata!C243,11,1)="", AND(AND(MID(metadata!C243,11,1)=" ",IFERROR(INT(MID(metadata!C243,12,1))&gt;=0,FALSE),IFERROR(INT(MID(metadata!C243,12,1))&lt;=2,FALSE),NOT(MID(metadata!C243,13,1)=""),IFERROR(INT(MID(metadata!C243,12,2))&gt;=0,FALSE),IFERROR(INT(MID(metadata!C243,12,2))&lt;=23,FALSE)), OR(MID(metadata!C243,14,1)="", AND(AND(MID(metadata!C243,14,1)=":",IFERROR(INT(MID(metadata!C243,15,1))&gt;=0,FALSE),IFERROR(INT(MID(metadata!C243,15,1))&lt;=5,FALSE),NOT(MID(metadata!C243,16,1)=""),IFERROR(INT(MID(metadata!C243,15,2))&gt;=0,FALSE),IFERROR(INT(MID(metadata!C243,15,2))&lt;=59,FALSE)), OR(MID(metadata!C243,17,1)="", AND(AND(MID(metadata!C243,17,1)=":",IFERROR(INT(MID(metadata!C243,18,1))&gt;=0,FALSE),IFERROR(INT(MID(metadata!C243,18,1))&lt;=5,FALSE),NOT(MID(metadata!C243,19,1)=""),IFERROR(INT(MID(metadata!C243,18,2))&gt;=0,FALSE),IFERROR(INT(MID(metadata!C243,18,2))&lt;=59,FALSE)), LEN(metadata!C243)&lt;=19)))))))))))))</f>
        <v>0</v>
      </c>
      <c r="AO243" t="b">
        <f>AND(IF(metadata!D243="",FALSE,TRUE),EXACT(metadata!D243,"Not applicable"))</f>
        <v>0</v>
      </c>
      <c r="AP243" t="b">
        <f>IF(metadata!E243="",FALSE,TRUE)</f>
        <v>0</v>
      </c>
      <c r="AQ243" t="b">
        <f>OR(AND(IF(metadata!F243="",FALSE,TRUE),OR(EXACT(metadata!F243,"missing: not collected"),EXACT(metadata!F243,"missing: not provided"))),AND(IF(metadata!F243="",FALSE,TRUE),OR(EXACT(metadata!F243,"TRUE"),EXACT(metadata!F243,"FALSE"))))</f>
        <v>0</v>
      </c>
      <c r="AR243" t="b">
        <f>OR(AND(IF(metadata!G243="",FALSE,TRUE),OR(EXACT(metadata!G243,"missing: not collected"),EXACT(metadata!G243,"missing: not provided"),EXACT(metadata!G243,"missing: restricted access"))),AND(IF(metadata!G243="",FALSE,ISNUMBER(VALUE(metadata!G243))),metadata!G243&gt;=-413))</f>
        <v>0</v>
      </c>
      <c r="AS243" t="b">
        <f>AND(IF(metadata!H243="",FALSE,TRUE),EXACT(metadata!H243,"meters"))</f>
        <v>0</v>
      </c>
      <c r="AT243" t="b">
        <f>AND(IF(metadata!I243="",FALSE,TRUE),OR(EXACT(metadata!I243,"Host-associated"),EXACT(metadata!I243,"Free-living")))</f>
        <v>0</v>
      </c>
      <c r="AU243" t="b">
        <f>AND(IF(metadata!J243="",FALSE,TRUE),OR(EXACT(metadata!J243,"Animal"),EXACT(metadata!J243,"Fungus"),EXACT(metadata!J243,"Plant"),EXACT(metadata!J243,"Saline"),EXACT(metadata!J243,"Non-saline")))</f>
        <v>0</v>
      </c>
      <c r="AV243" t="b">
        <f>AND(IF(metadata!K243="",FALSE,TRUE),OR(EXACT(metadata!K243,"Plant secretion"),EXACT(metadata!K243,"Plant rhizosphere"),EXACT(metadata!K243,"Plant surface"),EXACT(metadata!K243,"Plant corpus"),EXACT(metadata!K243,"Fungus surface"),EXACT(metadata!K243,"Fungus corpus"),EXACT(metadata!K243,"Animal surface"),EXACT(metadata!K243,"Animal proximal gut"),EXACT(metadata!K243,"Animal corpus"),EXACT(metadata!K243,"Animal distal gut"),EXACT(metadata!K243,"Animal secretion"),EXACT(metadata!K243,"Sub-surface (non-saline)"),EXACT(metadata!K243,"Surface (non-saline)"),EXACT(metadata!K243,"Water (non-saline)"),EXACT(metadata!K243,"Soil (non-saline)"),EXACT(metadata!K243,"Aerosol (non-saline)"),EXACT(metadata!K243,"Sediment (non-saline)"),EXACT(metadata!K243,"Surface (saline)"),EXACT(metadata!K243,"Water (saline)"),EXACT(metadata!K243,"Hypersaline (saline)"),EXACT(metadata!K243,"Aerosol (saline)"),EXACT(metadata!K243,"Sediment (saline)")))</f>
        <v>0</v>
      </c>
      <c r="AW243" t="b">
        <f>IF(metadata!L243="",FALSE,TRUE)</f>
        <v>0</v>
      </c>
      <c r="AX243" t="b">
        <f>IF(metadata!M243="",FALSE,TRUE)</f>
        <v>0</v>
      </c>
      <c r="AY243" t="b">
        <f>IF(metadata!N243="",FALSE,TRUE)</f>
        <v>0</v>
      </c>
      <c r="AZ243" t="b">
        <f>OR(AND(IF(metadata!O243="",FALSE,TRUE),OR(EXACT(metadata!O243,"missing: not collected"),EXACT(metadata!O243,"missing: not provided"),EXACT(metadata!O243,"missing: restricted access"))),AND(IF(metadata!O243="",FALSE,TRUE),OR(EXACT(metadata!O243,"air"),EXACT(metadata!O243,"built environment"),EXACT(metadata!O243,"host-associated"),EXACT(metadata!O243,"human-associated"),EXACT(metadata!O243,"human-skin"),EXACT(metadata!O243,"human-oral"),EXACT(metadata!O243,"human-gut"),EXACT(metadata!O243,"human-vaginal"),EXACT(metadata!O243,"microbial mat/biofilm"),EXACT(metadata!O243,"misc environment"),EXACT(metadata!O243,"plant-associated"),EXACT(metadata!O243,"sediment"),EXACT(metadata!O243,"soil"),EXACT(metadata!O243,"wastewater/sludge"),EXACT(metadata!O243,"water"))))</f>
        <v>0</v>
      </c>
      <c r="BA243" t="b">
        <f>IF(metadata!P243="",FALSE,TRUE)</f>
        <v>0</v>
      </c>
      <c r="BB243" t="b">
        <f>IF(metadata!Q243="",FALSE,TRUE)</f>
        <v>0</v>
      </c>
      <c r="BC243" t="b">
        <f>OR(AND(IF(metadata!R243="",FALSE,TRUE),OR(EXACT(metadata!R243,"missing: not collected"),EXACT(metadata!R243,"missing: not provided"),EXACT(metadata!R243,"missing: restricted access"))),AND(IF(metadata!R243="",FALSE,ISNUMBER(VALUE(metadata!R243))),metadata!R243&gt;=-90,metadata!R243&lt;=90))</f>
        <v>0</v>
      </c>
      <c r="BD243" t="b">
        <f>AND(IF(metadata!S243="",FALSE,TRUE),EXACT(metadata!S243,"Decimal degrees"))</f>
        <v>0</v>
      </c>
      <c r="BE243" t="b">
        <f>OR(AND(IF(metadata!T243="",FALSE,TRUE),OR(EXACT(metadata!T243,"missing: not collected"),EXACT(metadata!T243,"missing: not provided"),EXACT(metadata!T243,"missing: restricted access"))),AND(IF(metadata!T243="",FALSE,ISNUMBER(VALUE(metadata!T243))),metadata!T243&gt;=-180,metadata!T243&lt;=180))</f>
        <v>0</v>
      </c>
      <c r="BF243" t="b">
        <f>AND(IF(metadata!U243="",FALSE,TRUE),EXACT(metadata!U243,"Decimal degrees"))</f>
        <v>0</v>
      </c>
      <c r="BG243" t="b">
        <f>IF(metadata!V243="",FALSE,TRUE)</f>
        <v>0</v>
      </c>
      <c r="BH243" t="b">
        <f>OR(AND(IF(metadata!W243="",FALSE,TRUE),OR(EXACT(metadata!W243,"missing: not collected"),EXACT(metadata!W243,"missing: not provided"),EXACT(metadata!W243,"missing: restricted access"))),AND(IF(metadata!W243="",FALSE,TRUE),OR(EXACT(metadata!W243,"TRUE"),EXACT(metadata!W243,"FALSE"))))</f>
        <v>0</v>
      </c>
      <c r="BI243" t="b">
        <f>AND(IF(metadata!X243="",FALSE,TRUE),EXACT(metadata!X243,"other"))</f>
        <v>0</v>
      </c>
      <c r="BJ243" t="b">
        <f>IF(metadata!Y243="",FALSE,TRUE)</f>
        <v>0</v>
      </c>
      <c r="BK243" t="b">
        <f>OR(AND(IF(metadata!Z243="",FALSE,TRUE),OR(EXACT(metadata!Z243,"missing: not collected"),EXACT(metadata!Z243,"missing: not provided"))),AND(IF(metadata!Z243="",FALSE,IF(ISERROR(INT(metadata!Z243)),FALSE,INT(metadata!Z243)=metadata!Z243)),metadata!Z243&gt;0))</f>
        <v>0</v>
      </c>
      <c r="BL243" t="b">
        <f>AND(IF(metadata!AA243="",FALSE,TRUE),EXACT(metadata!AA243,"Not applicable"))</f>
        <v>0</v>
      </c>
      <c r="BM243" t="b">
        <f>IF(metadata!AB243="",FALSE,TRUE)</f>
        <v>0</v>
      </c>
    </row>
    <row r="244" spans="1:65" x14ac:dyDescent="0.2">
      <c r="A244" s="5" t="str">
        <f ca="1">IF(B244=" "," ",HYPERLINK(CONCATENATE("#metadata!",ADDRESS(INDEX($AH$2:$AH$1001,MATCH(ROWS($AF$2:AF244),$AF$2:$AF$1001,0),0),1)),INDEX($AK$2:$AK$1001,MATCH(ROWS($AF$2:AF244),$AF$2:$AF$1001,0),0)))</f>
        <v xml:space="preserve"> </v>
      </c>
      <c r="B244" s="4" t="str">
        <f ca="1">IF(OR(INDEX($AG$2:$AG$1001,MATCH(ROWS($AF$2:AF244),$AF$2:$AF$1001,0),1)&gt;=100000,INDEX($AM$1005:$BM$1005,1,MATCH(COLUMNS($AM$1006:AM1006),$AM$1006:$BM$1006,0))&gt;=100000), " ",IF(INDEX($AM$2:$BM$1001,MATCH(ROWS($AF$2:AF244),$AF$2:$AF$1001,0),MATCH(COLUMNS($AM$1006:AM1006),$AM$1006:$BM$1006,0)), HYPERLINK("#",""), HYPERLINK(CONCATENATE("#metadata!", ADDRESS(INDEX($AH$2:$AH$1001,MATCH(ROWS($AF$2:AF244),$AF$2:$AF$1001,0),0), INDEX($AM$1004:$BM$1004,1,MATCH(COLUMNS($AM$1006:AM1006),$AM$1006:$BM$1006,0)))),"Fix")))</f>
        <v xml:space="preserve"> </v>
      </c>
      <c r="C244" s="4" t="str">
        <f ca="1">IF(OR(INDEX($AG$2:$AG$1001,MATCH(ROWS($AF$2:AF244),$AF$2:$AF$1001,0),1)&gt;=100000,INDEX($AM$1005:$BM$1005,1,MATCH(COLUMNS($AM$1006:AN1006),$AM$1006:$BM$1006,0))&gt;=100000), " ",IF(INDEX($AM$2:$BM$1001,MATCH(ROWS($AF$2:AF244),$AF$2:$AF$1001,0),MATCH(COLUMNS($AM$1006:AN1006),$AM$1006:$BM$1006,0)), HYPERLINK("#",""), HYPERLINK(CONCATENATE("#metadata!", ADDRESS(INDEX($AH$2:$AH$1001,MATCH(ROWS($AF$2:AF244),$AF$2:$AF$1001,0),0), INDEX($AM$1004:$BM$1004,1,MATCH(COLUMNS($AM$1006:AN1006),$AM$1006:$BM$1006,0)))),"Fix")))</f>
        <v xml:space="preserve"> </v>
      </c>
      <c r="D244" s="4" t="str">
        <f ca="1">IF(OR(INDEX($AG$2:$AG$1001,MATCH(ROWS($AF$2:AF244),$AF$2:$AF$1001,0),1)&gt;=100000,INDEX($AM$1005:$BM$1005,1,MATCH(COLUMNS($AM$1006:AO1006),$AM$1006:$BM$1006,0))&gt;=100000), " ",IF(INDEX($AM$2:$BM$1001,MATCH(ROWS($AF$2:AF244),$AF$2:$AF$1001,0),MATCH(COLUMNS($AM$1006:AO1006),$AM$1006:$BM$1006,0)), HYPERLINK("#",""), HYPERLINK(CONCATENATE("#metadata!", ADDRESS(INDEX($AH$2:$AH$1001,MATCH(ROWS($AF$2:AF244),$AF$2:$AF$1001,0),0), INDEX($AM$1004:$BM$1004,1,MATCH(COLUMNS($AM$1006:AO1006),$AM$1006:$BM$1006,0)))),"Fix")))</f>
        <v xml:space="preserve"> </v>
      </c>
      <c r="E244" s="4" t="str">
        <f ca="1">IF(OR(INDEX($AG$2:$AG$1001,MATCH(ROWS($AF$2:AF244),$AF$2:$AF$1001,0),1)&gt;=100000,INDEX($AM$1005:$BM$1005,1,MATCH(COLUMNS($AM$1006:AP1006),$AM$1006:$BM$1006,0))&gt;=100000), " ",IF(INDEX($AM$2:$BM$1001,MATCH(ROWS($AF$2:AF244),$AF$2:$AF$1001,0),MATCH(COLUMNS($AM$1006:AP1006),$AM$1006:$BM$1006,0)), HYPERLINK("#",""), HYPERLINK(CONCATENATE("#metadata!", ADDRESS(INDEX($AH$2:$AH$1001,MATCH(ROWS($AF$2:AF244),$AF$2:$AF$1001,0),0), INDEX($AM$1004:$BM$1004,1,MATCH(COLUMNS($AM$1006:AP1006),$AM$1006:$BM$1006,0)))),"Fix")))</f>
        <v xml:space="preserve"> </v>
      </c>
      <c r="F244" s="4" t="str">
        <f ca="1">IF(OR(INDEX($AG$2:$AG$1001,MATCH(ROWS($AF$2:AF244),$AF$2:$AF$1001,0),1)&gt;=100000,INDEX($AM$1005:$BM$1005,1,MATCH(COLUMNS($AM$1006:AQ1006),$AM$1006:$BM$1006,0))&gt;=100000), " ",IF(INDEX($AM$2:$BM$1001,MATCH(ROWS($AF$2:AF244),$AF$2:$AF$1001,0),MATCH(COLUMNS($AM$1006:AQ1006),$AM$1006:$BM$1006,0)), HYPERLINK("#",""), HYPERLINK(CONCATENATE("#metadata!", ADDRESS(INDEX($AH$2:$AH$1001,MATCH(ROWS($AF$2:AF244),$AF$2:$AF$1001,0),0), INDEX($AM$1004:$BM$1004,1,MATCH(COLUMNS($AM$1006:AQ1006),$AM$1006:$BM$1006,0)))),"Fix")))</f>
        <v xml:space="preserve"> </v>
      </c>
      <c r="G244" s="4" t="str">
        <f ca="1">IF(OR(INDEX($AG$2:$AG$1001,MATCH(ROWS($AF$2:AF244),$AF$2:$AF$1001,0),1)&gt;=100000,INDEX($AM$1005:$BM$1005,1,MATCH(COLUMNS($AM$1006:AR1006),$AM$1006:$BM$1006,0))&gt;=100000), " ",IF(INDEX($AM$2:$BM$1001,MATCH(ROWS($AF$2:AF244),$AF$2:$AF$1001,0),MATCH(COLUMNS($AM$1006:AR1006),$AM$1006:$BM$1006,0)), HYPERLINK("#",""), HYPERLINK(CONCATENATE("#metadata!", ADDRESS(INDEX($AH$2:$AH$1001,MATCH(ROWS($AF$2:AF244),$AF$2:$AF$1001,0),0), INDEX($AM$1004:$BM$1004,1,MATCH(COLUMNS($AM$1006:AR1006),$AM$1006:$BM$1006,0)))),"Fix")))</f>
        <v xml:space="preserve"> </v>
      </c>
      <c r="H244" s="4" t="str">
        <f ca="1">IF(OR(INDEX($AG$2:$AG$1001,MATCH(ROWS($AF$2:AF244),$AF$2:$AF$1001,0),1)&gt;=100000,INDEX($AM$1005:$BM$1005,1,MATCH(COLUMNS($AM$1006:AS1006),$AM$1006:$BM$1006,0))&gt;=100000), " ",IF(INDEX($AM$2:$BM$1001,MATCH(ROWS($AF$2:AF244),$AF$2:$AF$1001,0),MATCH(COLUMNS($AM$1006:AS1006),$AM$1006:$BM$1006,0)), HYPERLINK("#",""), HYPERLINK(CONCATENATE("#metadata!", ADDRESS(INDEX($AH$2:$AH$1001,MATCH(ROWS($AF$2:AF244),$AF$2:$AF$1001,0),0), INDEX($AM$1004:$BM$1004,1,MATCH(COLUMNS($AM$1006:AS1006),$AM$1006:$BM$1006,0)))),"Fix")))</f>
        <v xml:space="preserve"> </v>
      </c>
      <c r="I244" s="4" t="str">
        <f ca="1">IF(OR(INDEX($AG$2:$AG$1001,MATCH(ROWS($AF$2:AF244),$AF$2:$AF$1001,0),1)&gt;=100000,INDEX($AM$1005:$BM$1005,1,MATCH(COLUMNS($AM$1006:AT1006),$AM$1006:$BM$1006,0))&gt;=100000), " ",IF(INDEX($AM$2:$BM$1001,MATCH(ROWS($AF$2:AF244),$AF$2:$AF$1001,0),MATCH(COLUMNS($AM$1006:AT1006),$AM$1006:$BM$1006,0)), HYPERLINK("#",""), HYPERLINK(CONCATENATE("#metadata!", ADDRESS(INDEX($AH$2:$AH$1001,MATCH(ROWS($AF$2:AF244),$AF$2:$AF$1001,0),0), INDEX($AM$1004:$BM$1004,1,MATCH(COLUMNS($AM$1006:AT1006),$AM$1006:$BM$1006,0)))),"Fix")))</f>
        <v xml:space="preserve"> </v>
      </c>
      <c r="J244" s="4" t="str">
        <f ca="1">IF(OR(INDEX($AG$2:$AG$1001,MATCH(ROWS($AF$2:AF244),$AF$2:$AF$1001,0),1)&gt;=100000,INDEX($AM$1005:$BM$1005,1,MATCH(COLUMNS($AM$1006:AU1006),$AM$1006:$BM$1006,0))&gt;=100000), " ",IF(INDEX($AM$2:$BM$1001,MATCH(ROWS($AF$2:AF244),$AF$2:$AF$1001,0),MATCH(COLUMNS($AM$1006:AU1006),$AM$1006:$BM$1006,0)), HYPERLINK("#",""), HYPERLINK(CONCATENATE("#metadata!", ADDRESS(INDEX($AH$2:$AH$1001,MATCH(ROWS($AF$2:AF244),$AF$2:$AF$1001,0),0), INDEX($AM$1004:$BM$1004,1,MATCH(COLUMNS($AM$1006:AU1006),$AM$1006:$BM$1006,0)))),"Fix")))</f>
        <v xml:space="preserve"> </v>
      </c>
      <c r="K244" s="4" t="str">
        <f ca="1">IF(OR(INDEX($AG$2:$AG$1001,MATCH(ROWS($AF$2:AF244),$AF$2:$AF$1001,0),1)&gt;=100000,INDEX($AM$1005:$BM$1005,1,MATCH(COLUMNS($AM$1006:AV1006),$AM$1006:$BM$1006,0))&gt;=100000), " ",IF(INDEX($AM$2:$BM$1001,MATCH(ROWS($AF$2:AF244),$AF$2:$AF$1001,0),MATCH(COLUMNS($AM$1006:AV1006),$AM$1006:$BM$1006,0)), HYPERLINK("#",""), HYPERLINK(CONCATENATE("#metadata!", ADDRESS(INDEX($AH$2:$AH$1001,MATCH(ROWS($AF$2:AF244),$AF$2:$AF$1001,0),0), INDEX($AM$1004:$BM$1004,1,MATCH(COLUMNS($AM$1006:AV1006),$AM$1006:$BM$1006,0)))),"Fix")))</f>
        <v xml:space="preserve"> </v>
      </c>
      <c r="L244" s="4" t="str">
        <f ca="1">IF(OR(INDEX($AG$2:$AG$1001,MATCH(ROWS($AF$2:AF244),$AF$2:$AF$1001,0),1)&gt;=100000,INDEX($AM$1005:$BM$1005,1,MATCH(COLUMNS($AM$1006:AW1006),$AM$1006:$BM$1006,0))&gt;=100000), " ",IF(INDEX($AM$2:$BM$1001,MATCH(ROWS($AF$2:AF244),$AF$2:$AF$1001,0),MATCH(COLUMNS($AM$1006:AW1006),$AM$1006:$BM$1006,0)), HYPERLINK("#",""), HYPERLINK(CONCATENATE("#metadata!", ADDRESS(INDEX($AH$2:$AH$1001,MATCH(ROWS($AF$2:AF244),$AF$2:$AF$1001,0),0), INDEX($AM$1004:$BM$1004,1,MATCH(COLUMNS($AM$1006:AW1006),$AM$1006:$BM$1006,0)))),"Fix")))</f>
        <v xml:space="preserve"> </v>
      </c>
      <c r="M244" s="4" t="str">
        <f ca="1">IF(OR(INDEX($AG$2:$AG$1001,MATCH(ROWS($AF$2:AF244),$AF$2:$AF$1001,0),1)&gt;=100000,INDEX($AM$1005:$BM$1005,1,MATCH(COLUMNS($AM$1006:AX1006),$AM$1006:$BM$1006,0))&gt;=100000), " ",IF(INDEX($AM$2:$BM$1001,MATCH(ROWS($AF$2:AF244),$AF$2:$AF$1001,0),MATCH(COLUMNS($AM$1006:AX1006),$AM$1006:$BM$1006,0)), HYPERLINK("#",""), HYPERLINK(CONCATENATE("#metadata!", ADDRESS(INDEX($AH$2:$AH$1001,MATCH(ROWS($AF$2:AF244),$AF$2:$AF$1001,0),0), INDEX($AM$1004:$BM$1004,1,MATCH(COLUMNS($AM$1006:AX1006),$AM$1006:$BM$1006,0)))),"Fix")))</f>
        <v xml:space="preserve"> </v>
      </c>
      <c r="N244" s="4" t="str">
        <f ca="1">IF(OR(INDEX($AG$2:$AG$1001,MATCH(ROWS($AF$2:AF244),$AF$2:$AF$1001,0),1)&gt;=100000,INDEX($AM$1005:$BM$1005,1,MATCH(COLUMNS($AM$1006:AY1006),$AM$1006:$BM$1006,0))&gt;=100000), " ",IF(INDEX($AM$2:$BM$1001,MATCH(ROWS($AF$2:AF244),$AF$2:$AF$1001,0),MATCH(COLUMNS($AM$1006:AY1006),$AM$1006:$BM$1006,0)), HYPERLINK("#",""), HYPERLINK(CONCATENATE("#metadata!", ADDRESS(INDEX($AH$2:$AH$1001,MATCH(ROWS($AF$2:AF244),$AF$2:$AF$1001,0),0), INDEX($AM$1004:$BM$1004,1,MATCH(COLUMNS($AM$1006:AY1006),$AM$1006:$BM$1006,0)))),"Fix")))</f>
        <v xml:space="preserve"> </v>
      </c>
      <c r="O244" s="4" t="str">
        <f ca="1">IF(OR(INDEX($AG$2:$AG$1001,MATCH(ROWS($AF$2:AF244),$AF$2:$AF$1001,0),1)&gt;=100000,INDEX($AM$1005:$BM$1005,1,MATCH(COLUMNS($AM$1006:AZ1006),$AM$1006:$BM$1006,0))&gt;=100000), " ",IF(INDEX($AM$2:$BM$1001,MATCH(ROWS($AF$2:AF244),$AF$2:$AF$1001,0),MATCH(COLUMNS($AM$1006:AZ1006),$AM$1006:$BM$1006,0)), HYPERLINK("#",""), HYPERLINK(CONCATENATE("#metadata!", ADDRESS(INDEX($AH$2:$AH$1001,MATCH(ROWS($AF$2:AF244),$AF$2:$AF$1001,0),0), INDEX($AM$1004:$BM$1004,1,MATCH(COLUMNS($AM$1006:AZ1006),$AM$1006:$BM$1006,0)))),"Fix")))</f>
        <v xml:space="preserve"> </v>
      </c>
      <c r="P244" s="4" t="str">
        <f ca="1">IF(OR(INDEX($AG$2:$AG$1001,MATCH(ROWS($AF$2:AF244),$AF$2:$AF$1001,0),1)&gt;=100000,INDEX($AM$1005:$BM$1005,1,MATCH(COLUMNS($AM$1006:BA1006),$AM$1006:$BM$1006,0))&gt;=100000), " ",IF(INDEX($AM$2:$BM$1001,MATCH(ROWS($AF$2:AF244),$AF$2:$AF$1001,0),MATCH(COLUMNS($AM$1006:BA1006),$AM$1006:$BM$1006,0)), HYPERLINK("#",""), HYPERLINK(CONCATENATE("#metadata!", ADDRESS(INDEX($AH$2:$AH$1001,MATCH(ROWS($AF$2:AF244),$AF$2:$AF$1001,0),0), INDEX($AM$1004:$BM$1004,1,MATCH(COLUMNS($AM$1006:BA1006),$AM$1006:$BM$1006,0)))),"Fix")))</f>
        <v xml:space="preserve"> </v>
      </c>
      <c r="Q244" s="4" t="str">
        <f ca="1">IF(OR(INDEX($AG$2:$AG$1001,MATCH(ROWS($AF$2:AF244),$AF$2:$AF$1001,0),1)&gt;=100000,INDEX($AM$1005:$BM$1005,1,MATCH(COLUMNS($AM$1006:BB1006),$AM$1006:$BM$1006,0))&gt;=100000), " ",IF(INDEX($AM$2:$BM$1001,MATCH(ROWS($AF$2:AF244),$AF$2:$AF$1001,0),MATCH(COLUMNS($AM$1006:BB1006),$AM$1006:$BM$1006,0)), HYPERLINK("#",""), HYPERLINK(CONCATENATE("#metadata!", ADDRESS(INDEX($AH$2:$AH$1001,MATCH(ROWS($AF$2:AF244),$AF$2:$AF$1001,0),0), INDEX($AM$1004:$BM$1004,1,MATCH(COLUMNS($AM$1006:BB1006),$AM$1006:$BM$1006,0)))),"Fix")))</f>
        <v xml:space="preserve"> </v>
      </c>
      <c r="R244" s="4" t="str">
        <f ca="1">IF(OR(INDEX($AG$2:$AG$1001,MATCH(ROWS($AF$2:AF244),$AF$2:$AF$1001,0),1)&gt;=100000,INDEX($AM$1005:$BM$1005,1,MATCH(COLUMNS($AM$1006:BC1006),$AM$1006:$BM$1006,0))&gt;=100000), " ",IF(INDEX($AM$2:$BM$1001,MATCH(ROWS($AF$2:AF244),$AF$2:$AF$1001,0),MATCH(COLUMNS($AM$1006:BC1006),$AM$1006:$BM$1006,0)), HYPERLINK("#",""), HYPERLINK(CONCATENATE("#metadata!", ADDRESS(INDEX($AH$2:$AH$1001,MATCH(ROWS($AF$2:AF244),$AF$2:$AF$1001,0),0), INDEX($AM$1004:$BM$1004,1,MATCH(COLUMNS($AM$1006:BC1006),$AM$1006:$BM$1006,0)))),"Fix")))</f>
        <v xml:space="preserve"> </v>
      </c>
      <c r="S244" s="4" t="str">
        <f ca="1">IF(OR(INDEX($AG$2:$AG$1001,MATCH(ROWS($AF$2:AF244),$AF$2:$AF$1001,0),1)&gt;=100000,INDEX($AM$1005:$BM$1005,1,MATCH(COLUMNS($AM$1006:BD1006),$AM$1006:$BM$1006,0))&gt;=100000), " ",IF(INDEX($AM$2:$BM$1001,MATCH(ROWS($AF$2:AF244),$AF$2:$AF$1001,0),MATCH(COLUMNS($AM$1006:BD1006),$AM$1006:$BM$1006,0)), HYPERLINK("#",""), HYPERLINK(CONCATENATE("#metadata!", ADDRESS(INDEX($AH$2:$AH$1001,MATCH(ROWS($AF$2:AF244),$AF$2:$AF$1001,0),0), INDEX($AM$1004:$BM$1004,1,MATCH(COLUMNS($AM$1006:BD1006),$AM$1006:$BM$1006,0)))),"Fix")))</f>
        <v xml:space="preserve"> </v>
      </c>
      <c r="T244" s="4" t="str">
        <f ca="1">IF(OR(INDEX($AG$2:$AG$1001,MATCH(ROWS($AF$2:AF244),$AF$2:$AF$1001,0),1)&gt;=100000,INDEX($AM$1005:$BM$1005,1,MATCH(COLUMNS($AM$1006:BE1006),$AM$1006:$BM$1006,0))&gt;=100000), " ",IF(INDEX($AM$2:$BM$1001,MATCH(ROWS($AF$2:AF244),$AF$2:$AF$1001,0),MATCH(COLUMNS($AM$1006:BE1006),$AM$1006:$BM$1006,0)), HYPERLINK("#",""), HYPERLINK(CONCATENATE("#metadata!", ADDRESS(INDEX($AH$2:$AH$1001,MATCH(ROWS($AF$2:AF244),$AF$2:$AF$1001,0),0), INDEX($AM$1004:$BM$1004,1,MATCH(COLUMNS($AM$1006:BE1006),$AM$1006:$BM$1006,0)))),"Fix")))</f>
        <v xml:space="preserve"> </v>
      </c>
      <c r="U244" s="4" t="str">
        <f ca="1">IF(OR(INDEX($AG$2:$AG$1001,MATCH(ROWS($AF$2:AF244),$AF$2:$AF$1001,0),1)&gt;=100000,INDEX($AM$1005:$BM$1005,1,MATCH(COLUMNS($AM$1006:BF1006),$AM$1006:$BM$1006,0))&gt;=100000), " ",IF(INDEX($AM$2:$BM$1001,MATCH(ROWS($AF$2:AF244),$AF$2:$AF$1001,0),MATCH(COLUMNS($AM$1006:BF1006),$AM$1006:$BM$1006,0)), HYPERLINK("#",""), HYPERLINK(CONCATENATE("#metadata!", ADDRESS(INDEX($AH$2:$AH$1001,MATCH(ROWS($AF$2:AF244),$AF$2:$AF$1001,0),0), INDEX($AM$1004:$BM$1004,1,MATCH(COLUMNS($AM$1006:BF1006),$AM$1006:$BM$1006,0)))),"Fix")))</f>
        <v xml:space="preserve"> </v>
      </c>
      <c r="V244" s="4" t="str">
        <f ca="1">IF(OR(INDEX($AG$2:$AG$1001,MATCH(ROWS($AF$2:AF244),$AF$2:$AF$1001,0),1)&gt;=100000,INDEX($AM$1005:$BM$1005,1,MATCH(COLUMNS($AM$1006:BG1006),$AM$1006:$BM$1006,0))&gt;=100000), " ",IF(INDEX($AM$2:$BM$1001,MATCH(ROWS($AF$2:AF244),$AF$2:$AF$1001,0),MATCH(COLUMNS($AM$1006:BG1006),$AM$1006:$BM$1006,0)), HYPERLINK("#",""), HYPERLINK(CONCATENATE("#metadata!", ADDRESS(INDEX($AH$2:$AH$1001,MATCH(ROWS($AF$2:AF244),$AF$2:$AF$1001,0),0), INDEX($AM$1004:$BM$1004,1,MATCH(COLUMNS($AM$1006:BG1006),$AM$1006:$BM$1006,0)))),"Fix")))</f>
        <v xml:space="preserve"> </v>
      </c>
      <c r="W244" s="4" t="str">
        <f ca="1">IF(OR(INDEX($AG$2:$AG$1001,MATCH(ROWS($AF$2:AF244),$AF$2:$AF$1001,0),1)&gt;=100000,INDEX($AM$1005:$BM$1005,1,MATCH(COLUMNS($AM$1006:BH1006),$AM$1006:$BM$1006,0))&gt;=100000), " ",IF(INDEX($AM$2:$BM$1001,MATCH(ROWS($AF$2:AF244),$AF$2:$AF$1001,0),MATCH(COLUMNS($AM$1006:BH1006),$AM$1006:$BM$1006,0)), HYPERLINK("#",""), HYPERLINK(CONCATENATE("#metadata!", ADDRESS(INDEX($AH$2:$AH$1001,MATCH(ROWS($AF$2:AF244),$AF$2:$AF$1001,0),0), INDEX($AM$1004:$BM$1004,1,MATCH(COLUMNS($AM$1006:BH1006),$AM$1006:$BM$1006,0)))),"Fix")))</f>
        <v xml:space="preserve"> </v>
      </c>
      <c r="X244" s="4" t="str">
        <f ca="1">IF(OR(INDEX($AG$2:$AG$1001,MATCH(ROWS($AF$2:AF244),$AF$2:$AF$1001,0),1)&gt;=100000,INDEX($AM$1005:$BM$1005,1,MATCH(COLUMNS($AM$1006:BI1006),$AM$1006:$BM$1006,0))&gt;=100000), " ",IF(INDEX($AM$2:$BM$1001,MATCH(ROWS($AF$2:AF244),$AF$2:$AF$1001,0),MATCH(COLUMNS($AM$1006:BI1006),$AM$1006:$BM$1006,0)), HYPERLINK("#",""), HYPERLINK(CONCATENATE("#metadata!", ADDRESS(INDEX($AH$2:$AH$1001,MATCH(ROWS($AF$2:AF244),$AF$2:$AF$1001,0),0), INDEX($AM$1004:$BM$1004,1,MATCH(COLUMNS($AM$1006:BI1006),$AM$1006:$BM$1006,0)))),"Fix")))</f>
        <v xml:space="preserve"> </v>
      </c>
      <c r="Y244" s="4" t="str">
        <f ca="1">IF(OR(INDEX($AG$2:$AG$1001,MATCH(ROWS($AF$2:AF244),$AF$2:$AF$1001,0),1)&gt;=100000,INDEX($AM$1005:$BM$1005,1,MATCH(COLUMNS($AM$1006:BJ1006),$AM$1006:$BM$1006,0))&gt;=100000), " ",IF(INDEX($AM$2:$BM$1001,MATCH(ROWS($AF$2:AF244),$AF$2:$AF$1001,0),MATCH(COLUMNS($AM$1006:BJ1006),$AM$1006:$BM$1006,0)), HYPERLINK("#",""), HYPERLINK(CONCATENATE("#metadata!", ADDRESS(INDEX($AH$2:$AH$1001,MATCH(ROWS($AF$2:AF244),$AF$2:$AF$1001,0),0), INDEX($AM$1004:$BM$1004,1,MATCH(COLUMNS($AM$1006:BJ1006),$AM$1006:$BM$1006,0)))),"Fix")))</f>
        <v xml:space="preserve"> </v>
      </c>
      <c r="Z244" s="4" t="str">
        <f ca="1">IF(OR(INDEX($AG$2:$AG$1001,MATCH(ROWS($AF$2:AF244),$AF$2:$AF$1001,0),1)&gt;=100000,INDEX($AM$1005:$BM$1005,1,MATCH(COLUMNS($AM$1006:BK1006),$AM$1006:$BM$1006,0))&gt;=100000), " ",IF(INDEX($AM$2:$BM$1001,MATCH(ROWS($AF$2:AF244),$AF$2:$AF$1001,0),MATCH(COLUMNS($AM$1006:BK1006),$AM$1006:$BM$1006,0)), HYPERLINK("#",""), HYPERLINK(CONCATENATE("#metadata!", ADDRESS(INDEX($AH$2:$AH$1001,MATCH(ROWS($AF$2:AF244),$AF$2:$AF$1001,0),0), INDEX($AM$1004:$BM$1004,1,MATCH(COLUMNS($AM$1006:BK1006),$AM$1006:$BM$1006,0)))),"Fix")))</f>
        <v xml:space="preserve"> </v>
      </c>
      <c r="AA244" s="4" t="str">
        <f ca="1">IF(OR(INDEX($AG$2:$AG$1001,MATCH(ROWS($AF$2:AF244),$AF$2:$AF$1001,0),1)&gt;=100000,INDEX($AM$1005:$BM$1005,1,MATCH(COLUMNS($AM$1006:BL1006),$AM$1006:$BM$1006,0))&gt;=100000), " ",IF(INDEX($AM$2:$BM$1001,MATCH(ROWS($AF$2:AF244),$AF$2:$AF$1001,0),MATCH(COLUMNS($AM$1006:BL1006),$AM$1006:$BM$1006,0)), HYPERLINK("#",""), HYPERLINK(CONCATENATE("#metadata!", ADDRESS(INDEX($AH$2:$AH$1001,MATCH(ROWS($AF$2:AF244),$AF$2:$AF$1001,0),0), INDEX($AM$1004:$BM$1004,1,MATCH(COLUMNS($AM$1006:BL1006),$AM$1006:$BM$1006,0)))),"Fix")))</f>
        <v xml:space="preserve"> </v>
      </c>
      <c r="AB244" s="4" t="str">
        <f ca="1">IF(OR(INDEX($AG$2:$AG$1001,MATCH(ROWS($AF$2:AF244),$AF$2:$AF$1001,0),1)&gt;=100000,INDEX($AM$1005:$BM$1005,1,MATCH(COLUMNS($AM$1006:BM1006),$AM$1006:$BM$1006,0))&gt;=100000), " ",IF(INDEX($AM$2:$BM$1001,MATCH(ROWS($AF$2:AF244),$AF$2:$AF$1001,0),MATCH(COLUMNS($AM$1006:BM1006),$AM$1006:$BM$1006,0)), HYPERLINK("#",""), HYPERLINK(CONCATENATE("#metadata!", ADDRESS(INDEX($AH$2:$AH$1001,MATCH(ROWS($AF$2:AF244),$AF$2:$AF$1001,0),0), INDEX($AM$1004:$BM$1004,1,MATCH(COLUMNS($AM$1006:BM1006),$AM$1006:$BM$1006,0)))),"Fix")))</f>
        <v xml:space="preserve"> </v>
      </c>
      <c r="AF244">
        <v>243</v>
      </c>
      <c r="AG244">
        <v>100244</v>
      </c>
      <c r="AH244">
        <v>244</v>
      </c>
      <c r="AI244" t="b">
        <f t="shared" si="3"/>
        <v>1</v>
      </c>
      <c r="AJ244" t="b">
        <f>COUNTBLANK(metadata!B244:AB244)=COLUMNS(metadata!B244:AB244)</f>
        <v>1</v>
      </c>
      <c r="AK244" t="str">
        <v/>
      </c>
      <c r="AM244" t="b">
        <f ca="1">AND(IF(metadata!B244="",FALSE,TRUE),COUNTIF(metadata!B:B, metadata!B244) = 1,NOT(ISERROR(SUMPRODUCT(SEARCH(MID(metadata!B244,ROW(INDIRECT("1:"&amp;LEN(metadata!B244))), 1),"0123456789abcdefghijklmnopqrstuvwxyzABCDEFGHIJKLMNOPQRSTUVWXYZ.")))))</f>
        <v>0</v>
      </c>
      <c r="AN244" t="b">
        <f ca="1">OR(AND(IF(metadata!C244="",FALSE,TRUE),OR(EXACT(metadata!C244,"missing: not collected"),EXACT(metadata!C244,"missing: not provided"),EXACT(metadata!C244,"missing: restricted access"))),AND(IF(metadata!C244="",FALSE,TRUE),AND(AND(IFERROR(INT(LEFT(metadata!C244,4))&gt;1900,FALSE),IFERROR(INT(LEFT(metadata!C244,4))&lt;=YEAR(NOW()),FALSE)), OR(MID(metadata!C244,5,1)="", AND(AND(MID(metadata!C244,5,1)="-",IFERROR(INT(MID(metadata!C244,6,1))&gt;=0,FALSE),IFERROR(INT(MID(metadata!C244,6,1))&lt;=1,FALSE),NOT(MID(metadata!C244,7,1)=""),IFERROR(INT(MID(metadata!C244,6,2))&gt;=1,FALSE),IFERROR(INT(MID(metadata!C244,6,2))&lt;=12,FALSE)), OR(MID(metadata!C244,8,1)="", AND(AND(MID(metadata!C244,8,1)="-",IFERROR(INT(MID(metadata!C244,9,1))&gt;=0,FALSE),IFERROR(INT(MID(metadata!C244,9,1))&lt;=3,FALSE),NOT(MID(metadata!C244,10,1)=""),IFERROR(INT(MID(metadata!C244,9,2))&gt;=1,FALSE),IFERROR(INT(MID(metadata!C244,9,2))&lt;=31,FALSE)), OR(MID(metadata!C244,11,1)="", AND(AND(MID(metadata!C244,11,1)=" ",IFERROR(INT(MID(metadata!C244,12,1))&gt;=0,FALSE),IFERROR(INT(MID(metadata!C244,12,1))&lt;=2,FALSE),NOT(MID(metadata!C244,13,1)=""),IFERROR(INT(MID(metadata!C244,12,2))&gt;=0,FALSE),IFERROR(INT(MID(metadata!C244,12,2))&lt;=23,FALSE)), OR(MID(metadata!C244,14,1)="", AND(AND(MID(metadata!C244,14,1)=":",IFERROR(INT(MID(metadata!C244,15,1))&gt;=0,FALSE),IFERROR(INT(MID(metadata!C244,15,1))&lt;=5,FALSE),NOT(MID(metadata!C244,16,1)=""),IFERROR(INT(MID(metadata!C244,15,2))&gt;=0,FALSE),IFERROR(INT(MID(metadata!C244,15,2))&lt;=59,FALSE)), OR(MID(metadata!C244,17,1)="", AND(AND(MID(metadata!C244,17,1)=":",IFERROR(INT(MID(metadata!C244,18,1))&gt;=0,FALSE),IFERROR(INT(MID(metadata!C244,18,1))&lt;=5,FALSE),NOT(MID(metadata!C244,19,1)=""),IFERROR(INT(MID(metadata!C244,18,2))&gt;=0,FALSE),IFERROR(INT(MID(metadata!C244,18,2))&lt;=59,FALSE)), LEN(metadata!C244)&lt;=19)))))))))))))</f>
        <v>0</v>
      </c>
      <c r="AO244" t="b">
        <f>AND(IF(metadata!D244="",FALSE,TRUE),EXACT(metadata!D244,"Not applicable"))</f>
        <v>0</v>
      </c>
      <c r="AP244" t="b">
        <f>IF(metadata!E244="",FALSE,TRUE)</f>
        <v>0</v>
      </c>
      <c r="AQ244" t="b">
        <f>OR(AND(IF(metadata!F244="",FALSE,TRUE),OR(EXACT(metadata!F244,"missing: not collected"),EXACT(metadata!F244,"missing: not provided"))),AND(IF(metadata!F244="",FALSE,TRUE),OR(EXACT(metadata!F244,"TRUE"),EXACT(metadata!F244,"FALSE"))))</f>
        <v>0</v>
      </c>
      <c r="AR244" t="b">
        <f>OR(AND(IF(metadata!G244="",FALSE,TRUE),OR(EXACT(metadata!G244,"missing: not collected"),EXACT(metadata!G244,"missing: not provided"),EXACT(metadata!G244,"missing: restricted access"))),AND(IF(metadata!G244="",FALSE,ISNUMBER(VALUE(metadata!G244))),metadata!G244&gt;=-413))</f>
        <v>0</v>
      </c>
      <c r="AS244" t="b">
        <f>AND(IF(metadata!H244="",FALSE,TRUE),EXACT(metadata!H244,"meters"))</f>
        <v>0</v>
      </c>
      <c r="AT244" t="b">
        <f>AND(IF(metadata!I244="",FALSE,TRUE),OR(EXACT(metadata!I244,"Host-associated"),EXACT(metadata!I244,"Free-living")))</f>
        <v>0</v>
      </c>
      <c r="AU244" t="b">
        <f>AND(IF(metadata!J244="",FALSE,TRUE),OR(EXACT(metadata!J244,"Animal"),EXACT(metadata!J244,"Fungus"),EXACT(metadata!J244,"Plant"),EXACT(metadata!J244,"Saline"),EXACT(metadata!J244,"Non-saline")))</f>
        <v>0</v>
      </c>
      <c r="AV244" t="b">
        <f>AND(IF(metadata!K244="",FALSE,TRUE),OR(EXACT(metadata!K244,"Plant secretion"),EXACT(metadata!K244,"Plant rhizosphere"),EXACT(metadata!K244,"Plant surface"),EXACT(metadata!K244,"Plant corpus"),EXACT(metadata!K244,"Fungus surface"),EXACT(metadata!K244,"Fungus corpus"),EXACT(metadata!K244,"Animal surface"),EXACT(metadata!K244,"Animal proximal gut"),EXACT(metadata!K244,"Animal corpus"),EXACT(metadata!K244,"Animal distal gut"),EXACT(metadata!K244,"Animal secretion"),EXACT(metadata!K244,"Sub-surface (non-saline)"),EXACT(metadata!K244,"Surface (non-saline)"),EXACT(metadata!K244,"Water (non-saline)"),EXACT(metadata!K244,"Soil (non-saline)"),EXACT(metadata!K244,"Aerosol (non-saline)"),EXACT(metadata!K244,"Sediment (non-saline)"),EXACT(metadata!K244,"Surface (saline)"),EXACT(metadata!K244,"Water (saline)"),EXACT(metadata!K244,"Hypersaline (saline)"),EXACT(metadata!K244,"Aerosol (saline)"),EXACT(metadata!K244,"Sediment (saline)")))</f>
        <v>0</v>
      </c>
      <c r="AW244" t="b">
        <f>IF(metadata!L244="",FALSE,TRUE)</f>
        <v>0</v>
      </c>
      <c r="AX244" t="b">
        <f>IF(metadata!M244="",FALSE,TRUE)</f>
        <v>0</v>
      </c>
      <c r="AY244" t="b">
        <f>IF(metadata!N244="",FALSE,TRUE)</f>
        <v>0</v>
      </c>
      <c r="AZ244" t="b">
        <f>OR(AND(IF(metadata!O244="",FALSE,TRUE),OR(EXACT(metadata!O244,"missing: not collected"),EXACT(metadata!O244,"missing: not provided"),EXACT(metadata!O244,"missing: restricted access"))),AND(IF(metadata!O244="",FALSE,TRUE),OR(EXACT(metadata!O244,"air"),EXACT(metadata!O244,"built environment"),EXACT(metadata!O244,"host-associated"),EXACT(metadata!O244,"human-associated"),EXACT(metadata!O244,"human-skin"),EXACT(metadata!O244,"human-oral"),EXACT(metadata!O244,"human-gut"),EXACT(metadata!O244,"human-vaginal"),EXACT(metadata!O244,"microbial mat/biofilm"),EXACT(metadata!O244,"misc environment"),EXACT(metadata!O244,"plant-associated"),EXACT(metadata!O244,"sediment"),EXACT(metadata!O244,"soil"),EXACT(metadata!O244,"wastewater/sludge"),EXACT(metadata!O244,"water"))))</f>
        <v>0</v>
      </c>
      <c r="BA244" t="b">
        <f>IF(metadata!P244="",FALSE,TRUE)</f>
        <v>0</v>
      </c>
      <c r="BB244" t="b">
        <f>IF(metadata!Q244="",FALSE,TRUE)</f>
        <v>0</v>
      </c>
      <c r="BC244" t="b">
        <f>OR(AND(IF(metadata!R244="",FALSE,TRUE),OR(EXACT(metadata!R244,"missing: not collected"),EXACT(metadata!R244,"missing: not provided"),EXACT(metadata!R244,"missing: restricted access"))),AND(IF(metadata!R244="",FALSE,ISNUMBER(VALUE(metadata!R244))),metadata!R244&gt;=-90,metadata!R244&lt;=90))</f>
        <v>0</v>
      </c>
      <c r="BD244" t="b">
        <f>AND(IF(metadata!S244="",FALSE,TRUE),EXACT(metadata!S244,"Decimal degrees"))</f>
        <v>0</v>
      </c>
      <c r="BE244" t="b">
        <f>OR(AND(IF(metadata!T244="",FALSE,TRUE),OR(EXACT(metadata!T244,"missing: not collected"),EXACT(metadata!T244,"missing: not provided"),EXACT(metadata!T244,"missing: restricted access"))),AND(IF(metadata!T244="",FALSE,ISNUMBER(VALUE(metadata!T244))),metadata!T244&gt;=-180,metadata!T244&lt;=180))</f>
        <v>0</v>
      </c>
      <c r="BF244" t="b">
        <f>AND(IF(metadata!U244="",FALSE,TRUE),EXACT(metadata!U244,"Decimal degrees"))</f>
        <v>0</v>
      </c>
      <c r="BG244" t="b">
        <f>IF(metadata!V244="",FALSE,TRUE)</f>
        <v>0</v>
      </c>
      <c r="BH244" t="b">
        <f>OR(AND(IF(metadata!W244="",FALSE,TRUE),OR(EXACT(metadata!W244,"missing: not collected"),EXACT(metadata!W244,"missing: not provided"),EXACT(metadata!W244,"missing: restricted access"))),AND(IF(metadata!W244="",FALSE,TRUE),OR(EXACT(metadata!W244,"TRUE"),EXACT(metadata!W244,"FALSE"))))</f>
        <v>0</v>
      </c>
      <c r="BI244" t="b">
        <f>AND(IF(metadata!X244="",FALSE,TRUE),EXACT(metadata!X244,"other"))</f>
        <v>0</v>
      </c>
      <c r="BJ244" t="b">
        <f>IF(metadata!Y244="",FALSE,TRUE)</f>
        <v>0</v>
      </c>
      <c r="BK244" t="b">
        <f>OR(AND(IF(metadata!Z244="",FALSE,TRUE),OR(EXACT(metadata!Z244,"missing: not collected"),EXACT(metadata!Z244,"missing: not provided"))),AND(IF(metadata!Z244="",FALSE,IF(ISERROR(INT(metadata!Z244)),FALSE,INT(metadata!Z244)=metadata!Z244)),metadata!Z244&gt;0))</f>
        <v>0</v>
      </c>
      <c r="BL244" t="b">
        <f>AND(IF(metadata!AA244="",FALSE,TRUE),EXACT(metadata!AA244,"Not applicable"))</f>
        <v>0</v>
      </c>
      <c r="BM244" t="b">
        <f>IF(metadata!AB244="",FALSE,TRUE)</f>
        <v>0</v>
      </c>
    </row>
    <row r="245" spans="1:65" x14ac:dyDescent="0.2">
      <c r="A245" s="5" t="str">
        <f ca="1">IF(B245=" "," ",HYPERLINK(CONCATENATE("#metadata!",ADDRESS(INDEX($AH$2:$AH$1001,MATCH(ROWS($AF$2:AF245),$AF$2:$AF$1001,0),0),1)),INDEX($AK$2:$AK$1001,MATCH(ROWS($AF$2:AF245),$AF$2:$AF$1001,0),0)))</f>
        <v xml:space="preserve"> </v>
      </c>
      <c r="B245" s="4" t="str">
        <f ca="1">IF(OR(INDEX($AG$2:$AG$1001,MATCH(ROWS($AF$2:AF245),$AF$2:$AF$1001,0),1)&gt;=100000,INDEX($AM$1005:$BM$1005,1,MATCH(COLUMNS($AM$1006:AM1006),$AM$1006:$BM$1006,0))&gt;=100000), " ",IF(INDEX($AM$2:$BM$1001,MATCH(ROWS($AF$2:AF245),$AF$2:$AF$1001,0),MATCH(COLUMNS($AM$1006:AM1006),$AM$1006:$BM$1006,0)), HYPERLINK("#",""), HYPERLINK(CONCATENATE("#metadata!", ADDRESS(INDEX($AH$2:$AH$1001,MATCH(ROWS($AF$2:AF245),$AF$2:$AF$1001,0),0), INDEX($AM$1004:$BM$1004,1,MATCH(COLUMNS($AM$1006:AM1006),$AM$1006:$BM$1006,0)))),"Fix")))</f>
        <v xml:space="preserve"> </v>
      </c>
      <c r="C245" s="4" t="str">
        <f ca="1">IF(OR(INDEX($AG$2:$AG$1001,MATCH(ROWS($AF$2:AF245),$AF$2:$AF$1001,0),1)&gt;=100000,INDEX($AM$1005:$BM$1005,1,MATCH(COLUMNS($AM$1006:AN1006),$AM$1006:$BM$1006,0))&gt;=100000), " ",IF(INDEX($AM$2:$BM$1001,MATCH(ROWS($AF$2:AF245),$AF$2:$AF$1001,0),MATCH(COLUMNS($AM$1006:AN1006),$AM$1006:$BM$1006,0)), HYPERLINK("#",""), HYPERLINK(CONCATENATE("#metadata!", ADDRESS(INDEX($AH$2:$AH$1001,MATCH(ROWS($AF$2:AF245),$AF$2:$AF$1001,0),0), INDEX($AM$1004:$BM$1004,1,MATCH(COLUMNS($AM$1006:AN1006),$AM$1006:$BM$1006,0)))),"Fix")))</f>
        <v xml:space="preserve"> </v>
      </c>
      <c r="D245" s="4" t="str">
        <f ca="1">IF(OR(INDEX($AG$2:$AG$1001,MATCH(ROWS($AF$2:AF245),$AF$2:$AF$1001,0),1)&gt;=100000,INDEX($AM$1005:$BM$1005,1,MATCH(COLUMNS($AM$1006:AO1006),$AM$1006:$BM$1006,0))&gt;=100000), " ",IF(INDEX($AM$2:$BM$1001,MATCH(ROWS($AF$2:AF245),$AF$2:$AF$1001,0),MATCH(COLUMNS($AM$1006:AO1006),$AM$1006:$BM$1006,0)), HYPERLINK("#",""), HYPERLINK(CONCATENATE("#metadata!", ADDRESS(INDEX($AH$2:$AH$1001,MATCH(ROWS($AF$2:AF245),$AF$2:$AF$1001,0),0), INDEX($AM$1004:$BM$1004,1,MATCH(COLUMNS($AM$1006:AO1006),$AM$1006:$BM$1006,0)))),"Fix")))</f>
        <v xml:space="preserve"> </v>
      </c>
      <c r="E245" s="4" t="str">
        <f ca="1">IF(OR(INDEX($AG$2:$AG$1001,MATCH(ROWS($AF$2:AF245),$AF$2:$AF$1001,0),1)&gt;=100000,INDEX($AM$1005:$BM$1005,1,MATCH(COLUMNS($AM$1006:AP1006),$AM$1006:$BM$1006,0))&gt;=100000), " ",IF(INDEX($AM$2:$BM$1001,MATCH(ROWS($AF$2:AF245),$AF$2:$AF$1001,0),MATCH(COLUMNS($AM$1006:AP1006),$AM$1006:$BM$1006,0)), HYPERLINK("#",""), HYPERLINK(CONCATENATE("#metadata!", ADDRESS(INDEX($AH$2:$AH$1001,MATCH(ROWS($AF$2:AF245),$AF$2:$AF$1001,0),0), INDEX($AM$1004:$BM$1004,1,MATCH(COLUMNS($AM$1006:AP1006),$AM$1006:$BM$1006,0)))),"Fix")))</f>
        <v xml:space="preserve"> </v>
      </c>
      <c r="F245" s="4" t="str">
        <f ca="1">IF(OR(INDEX($AG$2:$AG$1001,MATCH(ROWS($AF$2:AF245),$AF$2:$AF$1001,0),1)&gt;=100000,INDEX($AM$1005:$BM$1005,1,MATCH(COLUMNS($AM$1006:AQ1006),$AM$1006:$BM$1006,0))&gt;=100000), " ",IF(INDEX($AM$2:$BM$1001,MATCH(ROWS($AF$2:AF245),$AF$2:$AF$1001,0),MATCH(COLUMNS($AM$1006:AQ1006),$AM$1006:$BM$1006,0)), HYPERLINK("#",""), HYPERLINK(CONCATENATE("#metadata!", ADDRESS(INDEX($AH$2:$AH$1001,MATCH(ROWS($AF$2:AF245),$AF$2:$AF$1001,0),0), INDEX($AM$1004:$BM$1004,1,MATCH(COLUMNS($AM$1006:AQ1006),$AM$1006:$BM$1006,0)))),"Fix")))</f>
        <v xml:space="preserve"> </v>
      </c>
      <c r="G245" s="4" t="str">
        <f ca="1">IF(OR(INDEX($AG$2:$AG$1001,MATCH(ROWS($AF$2:AF245),$AF$2:$AF$1001,0),1)&gt;=100000,INDEX($AM$1005:$BM$1005,1,MATCH(COLUMNS($AM$1006:AR1006),$AM$1006:$BM$1006,0))&gt;=100000), " ",IF(INDEX($AM$2:$BM$1001,MATCH(ROWS($AF$2:AF245),$AF$2:$AF$1001,0),MATCH(COLUMNS($AM$1006:AR1006),$AM$1006:$BM$1006,0)), HYPERLINK("#",""), HYPERLINK(CONCATENATE("#metadata!", ADDRESS(INDEX($AH$2:$AH$1001,MATCH(ROWS($AF$2:AF245),$AF$2:$AF$1001,0),0), INDEX($AM$1004:$BM$1004,1,MATCH(COLUMNS($AM$1006:AR1006),$AM$1006:$BM$1006,0)))),"Fix")))</f>
        <v xml:space="preserve"> </v>
      </c>
      <c r="H245" s="4" t="str">
        <f ca="1">IF(OR(INDEX($AG$2:$AG$1001,MATCH(ROWS($AF$2:AF245),$AF$2:$AF$1001,0),1)&gt;=100000,INDEX($AM$1005:$BM$1005,1,MATCH(COLUMNS($AM$1006:AS1006),$AM$1006:$BM$1006,0))&gt;=100000), " ",IF(INDEX($AM$2:$BM$1001,MATCH(ROWS($AF$2:AF245),$AF$2:$AF$1001,0),MATCH(COLUMNS($AM$1006:AS1006),$AM$1006:$BM$1006,0)), HYPERLINK("#",""), HYPERLINK(CONCATENATE("#metadata!", ADDRESS(INDEX($AH$2:$AH$1001,MATCH(ROWS($AF$2:AF245),$AF$2:$AF$1001,0),0), INDEX($AM$1004:$BM$1004,1,MATCH(COLUMNS($AM$1006:AS1006),$AM$1006:$BM$1006,0)))),"Fix")))</f>
        <v xml:space="preserve"> </v>
      </c>
      <c r="I245" s="4" t="str">
        <f ca="1">IF(OR(INDEX($AG$2:$AG$1001,MATCH(ROWS($AF$2:AF245),$AF$2:$AF$1001,0),1)&gt;=100000,INDEX($AM$1005:$BM$1005,1,MATCH(COLUMNS($AM$1006:AT1006),$AM$1006:$BM$1006,0))&gt;=100000), " ",IF(INDEX($AM$2:$BM$1001,MATCH(ROWS($AF$2:AF245),$AF$2:$AF$1001,0),MATCH(COLUMNS($AM$1006:AT1006),$AM$1006:$BM$1006,0)), HYPERLINK("#",""), HYPERLINK(CONCATENATE("#metadata!", ADDRESS(INDEX($AH$2:$AH$1001,MATCH(ROWS($AF$2:AF245),$AF$2:$AF$1001,0),0), INDEX($AM$1004:$BM$1004,1,MATCH(COLUMNS($AM$1006:AT1006),$AM$1006:$BM$1006,0)))),"Fix")))</f>
        <v xml:space="preserve"> </v>
      </c>
      <c r="J245" s="4" t="str">
        <f ca="1">IF(OR(INDEX($AG$2:$AG$1001,MATCH(ROWS($AF$2:AF245),$AF$2:$AF$1001,0),1)&gt;=100000,INDEX($AM$1005:$BM$1005,1,MATCH(COLUMNS($AM$1006:AU1006),$AM$1006:$BM$1006,0))&gt;=100000), " ",IF(INDEX($AM$2:$BM$1001,MATCH(ROWS($AF$2:AF245),$AF$2:$AF$1001,0),MATCH(COLUMNS($AM$1006:AU1006),$AM$1006:$BM$1006,0)), HYPERLINK("#",""), HYPERLINK(CONCATENATE("#metadata!", ADDRESS(INDEX($AH$2:$AH$1001,MATCH(ROWS($AF$2:AF245),$AF$2:$AF$1001,0),0), INDEX($AM$1004:$BM$1004,1,MATCH(COLUMNS($AM$1006:AU1006),$AM$1006:$BM$1006,0)))),"Fix")))</f>
        <v xml:space="preserve"> </v>
      </c>
      <c r="K245" s="4" t="str">
        <f ca="1">IF(OR(INDEX($AG$2:$AG$1001,MATCH(ROWS($AF$2:AF245),$AF$2:$AF$1001,0),1)&gt;=100000,INDEX($AM$1005:$BM$1005,1,MATCH(COLUMNS($AM$1006:AV1006),$AM$1006:$BM$1006,0))&gt;=100000), " ",IF(INDEX($AM$2:$BM$1001,MATCH(ROWS($AF$2:AF245),$AF$2:$AF$1001,0),MATCH(COLUMNS($AM$1006:AV1006),$AM$1006:$BM$1006,0)), HYPERLINK("#",""), HYPERLINK(CONCATENATE("#metadata!", ADDRESS(INDEX($AH$2:$AH$1001,MATCH(ROWS($AF$2:AF245),$AF$2:$AF$1001,0),0), INDEX($AM$1004:$BM$1004,1,MATCH(COLUMNS($AM$1006:AV1006),$AM$1006:$BM$1006,0)))),"Fix")))</f>
        <v xml:space="preserve"> </v>
      </c>
      <c r="L245" s="4" t="str">
        <f ca="1">IF(OR(INDEX($AG$2:$AG$1001,MATCH(ROWS($AF$2:AF245),$AF$2:$AF$1001,0),1)&gt;=100000,INDEX($AM$1005:$BM$1005,1,MATCH(COLUMNS($AM$1006:AW1006),$AM$1006:$BM$1006,0))&gt;=100000), " ",IF(INDEX($AM$2:$BM$1001,MATCH(ROWS($AF$2:AF245),$AF$2:$AF$1001,0),MATCH(COLUMNS($AM$1006:AW1006),$AM$1006:$BM$1006,0)), HYPERLINK("#",""), HYPERLINK(CONCATENATE("#metadata!", ADDRESS(INDEX($AH$2:$AH$1001,MATCH(ROWS($AF$2:AF245),$AF$2:$AF$1001,0),0), INDEX($AM$1004:$BM$1004,1,MATCH(COLUMNS($AM$1006:AW1006),$AM$1006:$BM$1006,0)))),"Fix")))</f>
        <v xml:space="preserve"> </v>
      </c>
      <c r="M245" s="4" t="str">
        <f ca="1">IF(OR(INDEX($AG$2:$AG$1001,MATCH(ROWS($AF$2:AF245),$AF$2:$AF$1001,0),1)&gt;=100000,INDEX($AM$1005:$BM$1005,1,MATCH(COLUMNS($AM$1006:AX1006),$AM$1006:$BM$1006,0))&gt;=100000), " ",IF(INDEX($AM$2:$BM$1001,MATCH(ROWS($AF$2:AF245),$AF$2:$AF$1001,0),MATCH(COLUMNS($AM$1006:AX1006),$AM$1006:$BM$1006,0)), HYPERLINK("#",""), HYPERLINK(CONCATENATE("#metadata!", ADDRESS(INDEX($AH$2:$AH$1001,MATCH(ROWS($AF$2:AF245),$AF$2:$AF$1001,0),0), INDEX($AM$1004:$BM$1004,1,MATCH(COLUMNS($AM$1006:AX1006),$AM$1006:$BM$1006,0)))),"Fix")))</f>
        <v xml:space="preserve"> </v>
      </c>
      <c r="N245" s="4" t="str">
        <f ca="1">IF(OR(INDEX($AG$2:$AG$1001,MATCH(ROWS($AF$2:AF245),$AF$2:$AF$1001,0),1)&gt;=100000,INDEX($AM$1005:$BM$1005,1,MATCH(COLUMNS($AM$1006:AY1006),$AM$1006:$BM$1006,0))&gt;=100000), " ",IF(INDEX($AM$2:$BM$1001,MATCH(ROWS($AF$2:AF245),$AF$2:$AF$1001,0),MATCH(COLUMNS($AM$1006:AY1006),$AM$1006:$BM$1006,0)), HYPERLINK("#",""), HYPERLINK(CONCATENATE("#metadata!", ADDRESS(INDEX($AH$2:$AH$1001,MATCH(ROWS($AF$2:AF245),$AF$2:$AF$1001,0),0), INDEX($AM$1004:$BM$1004,1,MATCH(COLUMNS($AM$1006:AY1006),$AM$1006:$BM$1006,0)))),"Fix")))</f>
        <v xml:space="preserve"> </v>
      </c>
      <c r="O245" s="4" t="str">
        <f ca="1">IF(OR(INDEX($AG$2:$AG$1001,MATCH(ROWS($AF$2:AF245),$AF$2:$AF$1001,0),1)&gt;=100000,INDEX($AM$1005:$BM$1005,1,MATCH(COLUMNS($AM$1006:AZ1006),$AM$1006:$BM$1006,0))&gt;=100000), " ",IF(INDEX($AM$2:$BM$1001,MATCH(ROWS($AF$2:AF245),$AF$2:$AF$1001,0),MATCH(COLUMNS($AM$1006:AZ1006),$AM$1006:$BM$1006,0)), HYPERLINK("#",""), HYPERLINK(CONCATENATE("#metadata!", ADDRESS(INDEX($AH$2:$AH$1001,MATCH(ROWS($AF$2:AF245),$AF$2:$AF$1001,0),0), INDEX($AM$1004:$BM$1004,1,MATCH(COLUMNS($AM$1006:AZ1006),$AM$1006:$BM$1006,0)))),"Fix")))</f>
        <v xml:space="preserve"> </v>
      </c>
      <c r="P245" s="4" t="str">
        <f ca="1">IF(OR(INDEX($AG$2:$AG$1001,MATCH(ROWS($AF$2:AF245),$AF$2:$AF$1001,0),1)&gt;=100000,INDEX($AM$1005:$BM$1005,1,MATCH(COLUMNS($AM$1006:BA1006),$AM$1006:$BM$1006,0))&gt;=100000), " ",IF(INDEX($AM$2:$BM$1001,MATCH(ROWS($AF$2:AF245),$AF$2:$AF$1001,0),MATCH(COLUMNS($AM$1006:BA1006),$AM$1006:$BM$1006,0)), HYPERLINK("#",""), HYPERLINK(CONCATENATE("#metadata!", ADDRESS(INDEX($AH$2:$AH$1001,MATCH(ROWS($AF$2:AF245),$AF$2:$AF$1001,0),0), INDEX($AM$1004:$BM$1004,1,MATCH(COLUMNS($AM$1006:BA1006),$AM$1006:$BM$1006,0)))),"Fix")))</f>
        <v xml:space="preserve"> </v>
      </c>
      <c r="Q245" s="4" t="str">
        <f ca="1">IF(OR(INDEX($AG$2:$AG$1001,MATCH(ROWS($AF$2:AF245),$AF$2:$AF$1001,0),1)&gt;=100000,INDEX($AM$1005:$BM$1005,1,MATCH(COLUMNS($AM$1006:BB1006),$AM$1006:$BM$1006,0))&gt;=100000), " ",IF(INDEX($AM$2:$BM$1001,MATCH(ROWS($AF$2:AF245),$AF$2:$AF$1001,0),MATCH(COLUMNS($AM$1006:BB1006),$AM$1006:$BM$1006,0)), HYPERLINK("#",""), HYPERLINK(CONCATENATE("#metadata!", ADDRESS(INDEX($AH$2:$AH$1001,MATCH(ROWS($AF$2:AF245),$AF$2:$AF$1001,0),0), INDEX($AM$1004:$BM$1004,1,MATCH(COLUMNS($AM$1006:BB1006),$AM$1006:$BM$1006,0)))),"Fix")))</f>
        <v xml:space="preserve"> </v>
      </c>
      <c r="R245" s="4" t="str">
        <f ca="1">IF(OR(INDEX($AG$2:$AG$1001,MATCH(ROWS($AF$2:AF245),$AF$2:$AF$1001,0),1)&gt;=100000,INDEX($AM$1005:$BM$1005,1,MATCH(COLUMNS($AM$1006:BC1006),$AM$1006:$BM$1006,0))&gt;=100000), " ",IF(INDEX($AM$2:$BM$1001,MATCH(ROWS($AF$2:AF245),$AF$2:$AF$1001,0),MATCH(COLUMNS($AM$1006:BC1006),$AM$1006:$BM$1006,0)), HYPERLINK("#",""), HYPERLINK(CONCATENATE("#metadata!", ADDRESS(INDEX($AH$2:$AH$1001,MATCH(ROWS($AF$2:AF245),$AF$2:$AF$1001,0),0), INDEX($AM$1004:$BM$1004,1,MATCH(COLUMNS($AM$1006:BC1006),$AM$1006:$BM$1006,0)))),"Fix")))</f>
        <v xml:space="preserve"> </v>
      </c>
      <c r="S245" s="4" t="str">
        <f ca="1">IF(OR(INDEX($AG$2:$AG$1001,MATCH(ROWS($AF$2:AF245),$AF$2:$AF$1001,0),1)&gt;=100000,INDEX($AM$1005:$BM$1005,1,MATCH(COLUMNS($AM$1006:BD1006),$AM$1006:$BM$1006,0))&gt;=100000), " ",IF(INDEX($AM$2:$BM$1001,MATCH(ROWS($AF$2:AF245),$AF$2:$AF$1001,0),MATCH(COLUMNS($AM$1006:BD1006),$AM$1006:$BM$1006,0)), HYPERLINK("#",""), HYPERLINK(CONCATENATE("#metadata!", ADDRESS(INDEX($AH$2:$AH$1001,MATCH(ROWS($AF$2:AF245),$AF$2:$AF$1001,0),0), INDEX($AM$1004:$BM$1004,1,MATCH(COLUMNS($AM$1006:BD1006),$AM$1006:$BM$1006,0)))),"Fix")))</f>
        <v xml:space="preserve"> </v>
      </c>
      <c r="T245" s="4" t="str">
        <f ca="1">IF(OR(INDEX($AG$2:$AG$1001,MATCH(ROWS($AF$2:AF245),$AF$2:$AF$1001,0),1)&gt;=100000,INDEX($AM$1005:$BM$1005,1,MATCH(COLUMNS($AM$1006:BE1006),$AM$1006:$BM$1006,0))&gt;=100000), " ",IF(INDEX($AM$2:$BM$1001,MATCH(ROWS($AF$2:AF245),$AF$2:$AF$1001,0),MATCH(COLUMNS($AM$1006:BE1006),$AM$1006:$BM$1006,0)), HYPERLINK("#",""), HYPERLINK(CONCATENATE("#metadata!", ADDRESS(INDEX($AH$2:$AH$1001,MATCH(ROWS($AF$2:AF245),$AF$2:$AF$1001,0),0), INDEX($AM$1004:$BM$1004,1,MATCH(COLUMNS($AM$1006:BE1006),$AM$1006:$BM$1006,0)))),"Fix")))</f>
        <v xml:space="preserve"> </v>
      </c>
      <c r="U245" s="4" t="str">
        <f ca="1">IF(OR(INDEX($AG$2:$AG$1001,MATCH(ROWS($AF$2:AF245),$AF$2:$AF$1001,0),1)&gt;=100000,INDEX($AM$1005:$BM$1005,1,MATCH(COLUMNS($AM$1006:BF1006),$AM$1006:$BM$1006,0))&gt;=100000), " ",IF(INDEX($AM$2:$BM$1001,MATCH(ROWS($AF$2:AF245),$AF$2:$AF$1001,0),MATCH(COLUMNS($AM$1006:BF1006),$AM$1006:$BM$1006,0)), HYPERLINK("#",""), HYPERLINK(CONCATENATE("#metadata!", ADDRESS(INDEX($AH$2:$AH$1001,MATCH(ROWS($AF$2:AF245),$AF$2:$AF$1001,0),0), INDEX($AM$1004:$BM$1004,1,MATCH(COLUMNS($AM$1006:BF1006),$AM$1006:$BM$1006,0)))),"Fix")))</f>
        <v xml:space="preserve"> </v>
      </c>
      <c r="V245" s="4" t="str">
        <f ca="1">IF(OR(INDEX($AG$2:$AG$1001,MATCH(ROWS($AF$2:AF245),$AF$2:$AF$1001,0),1)&gt;=100000,INDEX($AM$1005:$BM$1005,1,MATCH(COLUMNS($AM$1006:BG1006),$AM$1006:$BM$1006,0))&gt;=100000), " ",IF(INDEX($AM$2:$BM$1001,MATCH(ROWS($AF$2:AF245),$AF$2:$AF$1001,0),MATCH(COLUMNS($AM$1006:BG1006),$AM$1006:$BM$1006,0)), HYPERLINK("#",""), HYPERLINK(CONCATENATE("#metadata!", ADDRESS(INDEX($AH$2:$AH$1001,MATCH(ROWS($AF$2:AF245),$AF$2:$AF$1001,0),0), INDEX($AM$1004:$BM$1004,1,MATCH(COLUMNS($AM$1006:BG1006),$AM$1006:$BM$1006,0)))),"Fix")))</f>
        <v xml:space="preserve"> </v>
      </c>
      <c r="W245" s="4" t="str">
        <f ca="1">IF(OR(INDEX($AG$2:$AG$1001,MATCH(ROWS($AF$2:AF245),$AF$2:$AF$1001,0),1)&gt;=100000,INDEX($AM$1005:$BM$1005,1,MATCH(COLUMNS($AM$1006:BH1006),$AM$1006:$BM$1006,0))&gt;=100000), " ",IF(INDEX($AM$2:$BM$1001,MATCH(ROWS($AF$2:AF245),$AF$2:$AF$1001,0),MATCH(COLUMNS($AM$1006:BH1006),$AM$1006:$BM$1006,0)), HYPERLINK("#",""), HYPERLINK(CONCATENATE("#metadata!", ADDRESS(INDEX($AH$2:$AH$1001,MATCH(ROWS($AF$2:AF245),$AF$2:$AF$1001,0),0), INDEX($AM$1004:$BM$1004,1,MATCH(COLUMNS($AM$1006:BH1006),$AM$1006:$BM$1006,0)))),"Fix")))</f>
        <v xml:space="preserve"> </v>
      </c>
      <c r="X245" s="4" t="str">
        <f ca="1">IF(OR(INDEX($AG$2:$AG$1001,MATCH(ROWS($AF$2:AF245),$AF$2:$AF$1001,0),1)&gt;=100000,INDEX($AM$1005:$BM$1005,1,MATCH(COLUMNS($AM$1006:BI1006),$AM$1006:$BM$1006,0))&gt;=100000), " ",IF(INDEX($AM$2:$BM$1001,MATCH(ROWS($AF$2:AF245),$AF$2:$AF$1001,0),MATCH(COLUMNS($AM$1006:BI1006),$AM$1006:$BM$1006,0)), HYPERLINK("#",""), HYPERLINK(CONCATENATE("#metadata!", ADDRESS(INDEX($AH$2:$AH$1001,MATCH(ROWS($AF$2:AF245),$AF$2:$AF$1001,0),0), INDEX($AM$1004:$BM$1004,1,MATCH(COLUMNS($AM$1006:BI1006),$AM$1006:$BM$1006,0)))),"Fix")))</f>
        <v xml:space="preserve"> </v>
      </c>
      <c r="Y245" s="4" t="str">
        <f ca="1">IF(OR(INDEX($AG$2:$AG$1001,MATCH(ROWS($AF$2:AF245),$AF$2:$AF$1001,0),1)&gt;=100000,INDEX($AM$1005:$BM$1005,1,MATCH(COLUMNS($AM$1006:BJ1006),$AM$1006:$BM$1006,0))&gt;=100000), " ",IF(INDEX($AM$2:$BM$1001,MATCH(ROWS($AF$2:AF245),$AF$2:$AF$1001,0),MATCH(COLUMNS($AM$1006:BJ1006),$AM$1006:$BM$1006,0)), HYPERLINK("#",""), HYPERLINK(CONCATENATE("#metadata!", ADDRESS(INDEX($AH$2:$AH$1001,MATCH(ROWS($AF$2:AF245),$AF$2:$AF$1001,0),0), INDEX($AM$1004:$BM$1004,1,MATCH(COLUMNS($AM$1006:BJ1006),$AM$1006:$BM$1006,0)))),"Fix")))</f>
        <v xml:space="preserve"> </v>
      </c>
      <c r="Z245" s="4" t="str">
        <f ca="1">IF(OR(INDEX($AG$2:$AG$1001,MATCH(ROWS($AF$2:AF245),$AF$2:$AF$1001,0),1)&gt;=100000,INDEX($AM$1005:$BM$1005,1,MATCH(COLUMNS($AM$1006:BK1006),$AM$1006:$BM$1006,0))&gt;=100000), " ",IF(INDEX($AM$2:$BM$1001,MATCH(ROWS($AF$2:AF245),$AF$2:$AF$1001,0),MATCH(COLUMNS($AM$1006:BK1006),$AM$1006:$BM$1006,0)), HYPERLINK("#",""), HYPERLINK(CONCATENATE("#metadata!", ADDRESS(INDEX($AH$2:$AH$1001,MATCH(ROWS($AF$2:AF245),$AF$2:$AF$1001,0),0), INDEX($AM$1004:$BM$1004,1,MATCH(COLUMNS($AM$1006:BK1006),$AM$1006:$BM$1006,0)))),"Fix")))</f>
        <v xml:space="preserve"> </v>
      </c>
      <c r="AA245" s="4" t="str">
        <f ca="1">IF(OR(INDEX($AG$2:$AG$1001,MATCH(ROWS($AF$2:AF245),$AF$2:$AF$1001,0),1)&gt;=100000,INDEX($AM$1005:$BM$1005,1,MATCH(COLUMNS($AM$1006:BL1006),$AM$1006:$BM$1006,0))&gt;=100000), " ",IF(INDEX($AM$2:$BM$1001,MATCH(ROWS($AF$2:AF245),$AF$2:$AF$1001,0),MATCH(COLUMNS($AM$1006:BL1006),$AM$1006:$BM$1006,0)), HYPERLINK("#",""), HYPERLINK(CONCATENATE("#metadata!", ADDRESS(INDEX($AH$2:$AH$1001,MATCH(ROWS($AF$2:AF245),$AF$2:$AF$1001,0),0), INDEX($AM$1004:$BM$1004,1,MATCH(COLUMNS($AM$1006:BL1006),$AM$1006:$BM$1006,0)))),"Fix")))</f>
        <v xml:space="preserve"> </v>
      </c>
      <c r="AB245" s="4" t="str">
        <f ca="1">IF(OR(INDEX($AG$2:$AG$1001,MATCH(ROWS($AF$2:AF245),$AF$2:$AF$1001,0),1)&gt;=100000,INDEX($AM$1005:$BM$1005,1,MATCH(COLUMNS($AM$1006:BM1006),$AM$1006:$BM$1006,0))&gt;=100000), " ",IF(INDEX($AM$2:$BM$1001,MATCH(ROWS($AF$2:AF245),$AF$2:$AF$1001,0),MATCH(COLUMNS($AM$1006:BM1006),$AM$1006:$BM$1006,0)), HYPERLINK("#",""), HYPERLINK(CONCATENATE("#metadata!", ADDRESS(INDEX($AH$2:$AH$1001,MATCH(ROWS($AF$2:AF245),$AF$2:$AF$1001,0),0), INDEX($AM$1004:$BM$1004,1,MATCH(COLUMNS($AM$1006:BM1006),$AM$1006:$BM$1006,0)))),"Fix")))</f>
        <v xml:space="preserve"> </v>
      </c>
      <c r="AF245">
        <v>244</v>
      </c>
      <c r="AG245">
        <v>100245</v>
      </c>
      <c r="AH245">
        <v>245</v>
      </c>
      <c r="AI245" t="b">
        <f t="shared" si="3"/>
        <v>1</v>
      </c>
      <c r="AJ245" t="b">
        <f>COUNTBLANK(metadata!B245:AB245)=COLUMNS(metadata!B245:AB245)</f>
        <v>1</v>
      </c>
      <c r="AK245" t="str">
        <v/>
      </c>
      <c r="AM245" t="b">
        <f ca="1">AND(IF(metadata!B245="",FALSE,TRUE),COUNTIF(metadata!B:B, metadata!B245) = 1,NOT(ISERROR(SUMPRODUCT(SEARCH(MID(metadata!B245,ROW(INDIRECT("1:"&amp;LEN(metadata!B245))), 1),"0123456789abcdefghijklmnopqrstuvwxyzABCDEFGHIJKLMNOPQRSTUVWXYZ.")))))</f>
        <v>0</v>
      </c>
      <c r="AN245" t="b">
        <f ca="1">OR(AND(IF(metadata!C245="",FALSE,TRUE),OR(EXACT(metadata!C245,"missing: not collected"),EXACT(metadata!C245,"missing: not provided"),EXACT(metadata!C245,"missing: restricted access"))),AND(IF(metadata!C245="",FALSE,TRUE),AND(AND(IFERROR(INT(LEFT(metadata!C245,4))&gt;1900,FALSE),IFERROR(INT(LEFT(metadata!C245,4))&lt;=YEAR(NOW()),FALSE)), OR(MID(metadata!C245,5,1)="", AND(AND(MID(metadata!C245,5,1)="-",IFERROR(INT(MID(metadata!C245,6,1))&gt;=0,FALSE),IFERROR(INT(MID(metadata!C245,6,1))&lt;=1,FALSE),NOT(MID(metadata!C245,7,1)=""),IFERROR(INT(MID(metadata!C245,6,2))&gt;=1,FALSE),IFERROR(INT(MID(metadata!C245,6,2))&lt;=12,FALSE)), OR(MID(metadata!C245,8,1)="", AND(AND(MID(metadata!C245,8,1)="-",IFERROR(INT(MID(metadata!C245,9,1))&gt;=0,FALSE),IFERROR(INT(MID(metadata!C245,9,1))&lt;=3,FALSE),NOT(MID(metadata!C245,10,1)=""),IFERROR(INT(MID(metadata!C245,9,2))&gt;=1,FALSE),IFERROR(INT(MID(metadata!C245,9,2))&lt;=31,FALSE)), OR(MID(metadata!C245,11,1)="", AND(AND(MID(metadata!C245,11,1)=" ",IFERROR(INT(MID(metadata!C245,12,1))&gt;=0,FALSE),IFERROR(INT(MID(metadata!C245,12,1))&lt;=2,FALSE),NOT(MID(metadata!C245,13,1)=""),IFERROR(INT(MID(metadata!C245,12,2))&gt;=0,FALSE),IFERROR(INT(MID(metadata!C245,12,2))&lt;=23,FALSE)), OR(MID(metadata!C245,14,1)="", AND(AND(MID(metadata!C245,14,1)=":",IFERROR(INT(MID(metadata!C245,15,1))&gt;=0,FALSE),IFERROR(INT(MID(metadata!C245,15,1))&lt;=5,FALSE),NOT(MID(metadata!C245,16,1)=""),IFERROR(INT(MID(metadata!C245,15,2))&gt;=0,FALSE),IFERROR(INT(MID(metadata!C245,15,2))&lt;=59,FALSE)), OR(MID(metadata!C245,17,1)="", AND(AND(MID(metadata!C245,17,1)=":",IFERROR(INT(MID(metadata!C245,18,1))&gt;=0,FALSE),IFERROR(INT(MID(metadata!C245,18,1))&lt;=5,FALSE),NOT(MID(metadata!C245,19,1)=""),IFERROR(INT(MID(metadata!C245,18,2))&gt;=0,FALSE),IFERROR(INT(MID(metadata!C245,18,2))&lt;=59,FALSE)), LEN(metadata!C245)&lt;=19)))))))))))))</f>
        <v>0</v>
      </c>
      <c r="AO245" t="b">
        <f>AND(IF(metadata!D245="",FALSE,TRUE),EXACT(metadata!D245,"Not applicable"))</f>
        <v>0</v>
      </c>
      <c r="AP245" t="b">
        <f>IF(metadata!E245="",FALSE,TRUE)</f>
        <v>0</v>
      </c>
      <c r="AQ245" t="b">
        <f>OR(AND(IF(metadata!F245="",FALSE,TRUE),OR(EXACT(metadata!F245,"missing: not collected"),EXACT(metadata!F245,"missing: not provided"))),AND(IF(metadata!F245="",FALSE,TRUE),OR(EXACT(metadata!F245,"TRUE"),EXACT(metadata!F245,"FALSE"))))</f>
        <v>0</v>
      </c>
      <c r="AR245" t="b">
        <f>OR(AND(IF(metadata!G245="",FALSE,TRUE),OR(EXACT(metadata!G245,"missing: not collected"),EXACT(metadata!G245,"missing: not provided"),EXACT(metadata!G245,"missing: restricted access"))),AND(IF(metadata!G245="",FALSE,ISNUMBER(VALUE(metadata!G245))),metadata!G245&gt;=-413))</f>
        <v>0</v>
      </c>
      <c r="AS245" t="b">
        <f>AND(IF(metadata!H245="",FALSE,TRUE),EXACT(metadata!H245,"meters"))</f>
        <v>0</v>
      </c>
      <c r="AT245" t="b">
        <f>AND(IF(metadata!I245="",FALSE,TRUE),OR(EXACT(metadata!I245,"Host-associated"),EXACT(metadata!I245,"Free-living")))</f>
        <v>0</v>
      </c>
      <c r="AU245" t="b">
        <f>AND(IF(metadata!J245="",FALSE,TRUE),OR(EXACT(metadata!J245,"Animal"),EXACT(metadata!J245,"Fungus"),EXACT(metadata!J245,"Plant"),EXACT(metadata!J245,"Saline"),EXACT(metadata!J245,"Non-saline")))</f>
        <v>0</v>
      </c>
      <c r="AV245" t="b">
        <f>AND(IF(metadata!K245="",FALSE,TRUE),OR(EXACT(metadata!K245,"Plant secretion"),EXACT(metadata!K245,"Plant rhizosphere"),EXACT(metadata!K245,"Plant surface"),EXACT(metadata!K245,"Plant corpus"),EXACT(metadata!K245,"Fungus surface"),EXACT(metadata!K245,"Fungus corpus"),EXACT(metadata!K245,"Animal surface"),EXACT(metadata!K245,"Animal proximal gut"),EXACT(metadata!K245,"Animal corpus"),EXACT(metadata!K245,"Animal distal gut"),EXACT(metadata!K245,"Animal secretion"),EXACT(metadata!K245,"Sub-surface (non-saline)"),EXACT(metadata!K245,"Surface (non-saline)"),EXACT(metadata!K245,"Water (non-saline)"),EXACT(metadata!K245,"Soil (non-saline)"),EXACT(metadata!K245,"Aerosol (non-saline)"),EXACT(metadata!K245,"Sediment (non-saline)"),EXACT(metadata!K245,"Surface (saline)"),EXACT(metadata!K245,"Water (saline)"),EXACT(metadata!K245,"Hypersaline (saline)"),EXACT(metadata!K245,"Aerosol (saline)"),EXACT(metadata!K245,"Sediment (saline)")))</f>
        <v>0</v>
      </c>
      <c r="AW245" t="b">
        <f>IF(metadata!L245="",FALSE,TRUE)</f>
        <v>0</v>
      </c>
      <c r="AX245" t="b">
        <f>IF(metadata!M245="",FALSE,TRUE)</f>
        <v>0</v>
      </c>
      <c r="AY245" t="b">
        <f>IF(metadata!N245="",FALSE,TRUE)</f>
        <v>0</v>
      </c>
      <c r="AZ245" t="b">
        <f>OR(AND(IF(metadata!O245="",FALSE,TRUE),OR(EXACT(metadata!O245,"missing: not collected"),EXACT(metadata!O245,"missing: not provided"),EXACT(metadata!O245,"missing: restricted access"))),AND(IF(metadata!O245="",FALSE,TRUE),OR(EXACT(metadata!O245,"air"),EXACT(metadata!O245,"built environment"),EXACT(metadata!O245,"host-associated"),EXACT(metadata!O245,"human-associated"),EXACT(metadata!O245,"human-skin"),EXACT(metadata!O245,"human-oral"),EXACT(metadata!O245,"human-gut"),EXACT(metadata!O245,"human-vaginal"),EXACT(metadata!O245,"microbial mat/biofilm"),EXACT(metadata!O245,"misc environment"),EXACT(metadata!O245,"plant-associated"),EXACT(metadata!O245,"sediment"),EXACT(metadata!O245,"soil"),EXACT(metadata!O245,"wastewater/sludge"),EXACT(metadata!O245,"water"))))</f>
        <v>0</v>
      </c>
      <c r="BA245" t="b">
        <f>IF(metadata!P245="",FALSE,TRUE)</f>
        <v>0</v>
      </c>
      <c r="BB245" t="b">
        <f>IF(metadata!Q245="",FALSE,TRUE)</f>
        <v>0</v>
      </c>
      <c r="BC245" t="b">
        <f>OR(AND(IF(metadata!R245="",FALSE,TRUE),OR(EXACT(metadata!R245,"missing: not collected"),EXACT(metadata!R245,"missing: not provided"),EXACT(metadata!R245,"missing: restricted access"))),AND(IF(metadata!R245="",FALSE,ISNUMBER(VALUE(metadata!R245))),metadata!R245&gt;=-90,metadata!R245&lt;=90))</f>
        <v>0</v>
      </c>
      <c r="BD245" t="b">
        <f>AND(IF(metadata!S245="",FALSE,TRUE),EXACT(metadata!S245,"Decimal degrees"))</f>
        <v>0</v>
      </c>
      <c r="BE245" t="b">
        <f>OR(AND(IF(metadata!T245="",FALSE,TRUE),OR(EXACT(metadata!T245,"missing: not collected"),EXACT(metadata!T245,"missing: not provided"),EXACT(metadata!T245,"missing: restricted access"))),AND(IF(metadata!T245="",FALSE,ISNUMBER(VALUE(metadata!T245))),metadata!T245&gt;=-180,metadata!T245&lt;=180))</f>
        <v>0</v>
      </c>
      <c r="BF245" t="b">
        <f>AND(IF(metadata!U245="",FALSE,TRUE),EXACT(metadata!U245,"Decimal degrees"))</f>
        <v>0</v>
      </c>
      <c r="BG245" t="b">
        <f>IF(metadata!V245="",FALSE,TRUE)</f>
        <v>0</v>
      </c>
      <c r="BH245" t="b">
        <f>OR(AND(IF(metadata!W245="",FALSE,TRUE),OR(EXACT(metadata!W245,"missing: not collected"),EXACT(metadata!W245,"missing: not provided"),EXACT(metadata!W245,"missing: restricted access"))),AND(IF(metadata!W245="",FALSE,TRUE),OR(EXACT(metadata!W245,"TRUE"),EXACT(metadata!W245,"FALSE"))))</f>
        <v>0</v>
      </c>
      <c r="BI245" t="b">
        <f>AND(IF(metadata!X245="",FALSE,TRUE),EXACT(metadata!X245,"other"))</f>
        <v>0</v>
      </c>
      <c r="BJ245" t="b">
        <f>IF(metadata!Y245="",FALSE,TRUE)</f>
        <v>0</v>
      </c>
      <c r="BK245" t="b">
        <f>OR(AND(IF(metadata!Z245="",FALSE,TRUE),OR(EXACT(metadata!Z245,"missing: not collected"),EXACT(metadata!Z245,"missing: not provided"))),AND(IF(metadata!Z245="",FALSE,IF(ISERROR(INT(metadata!Z245)),FALSE,INT(metadata!Z245)=metadata!Z245)),metadata!Z245&gt;0))</f>
        <v>0</v>
      </c>
      <c r="BL245" t="b">
        <f>AND(IF(metadata!AA245="",FALSE,TRUE),EXACT(metadata!AA245,"Not applicable"))</f>
        <v>0</v>
      </c>
      <c r="BM245" t="b">
        <f>IF(metadata!AB245="",FALSE,TRUE)</f>
        <v>0</v>
      </c>
    </row>
    <row r="246" spans="1:65" x14ac:dyDescent="0.2">
      <c r="A246" s="5" t="str">
        <f ca="1">IF(B246=" "," ",HYPERLINK(CONCATENATE("#metadata!",ADDRESS(INDEX($AH$2:$AH$1001,MATCH(ROWS($AF$2:AF246),$AF$2:$AF$1001,0),0),1)),INDEX($AK$2:$AK$1001,MATCH(ROWS($AF$2:AF246),$AF$2:$AF$1001,0),0)))</f>
        <v xml:space="preserve"> </v>
      </c>
      <c r="B246" s="4" t="str">
        <f ca="1">IF(OR(INDEX($AG$2:$AG$1001,MATCH(ROWS($AF$2:AF246),$AF$2:$AF$1001,0),1)&gt;=100000,INDEX($AM$1005:$BM$1005,1,MATCH(COLUMNS($AM$1006:AM1006),$AM$1006:$BM$1006,0))&gt;=100000), " ",IF(INDEX($AM$2:$BM$1001,MATCH(ROWS($AF$2:AF246),$AF$2:$AF$1001,0),MATCH(COLUMNS($AM$1006:AM1006),$AM$1006:$BM$1006,0)), HYPERLINK("#",""), HYPERLINK(CONCATENATE("#metadata!", ADDRESS(INDEX($AH$2:$AH$1001,MATCH(ROWS($AF$2:AF246),$AF$2:$AF$1001,0),0), INDEX($AM$1004:$BM$1004,1,MATCH(COLUMNS($AM$1006:AM1006),$AM$1006:$BM$1006,0)))),"Fix")))</f>
        <v xml:space="preserve"> </v>
      </c>
      <c r="C246" s="4" t="str">
        <f ca="1">IF(OR(INDEX($AG$2:$AG$1001,MATCH(ROWS($AF$2:AF246),$AF$2:$AF$1001,0),1)&gt;=100000,INDEX($AM$1005:$BM$1005,1,MATCH(COLUMNS($AM$1006:AN1006),$AM$1006:$BM$1006,0))&gt;=100000), " ",IF(INDEX($AM$2:$BM$1001,MATCH(ROWS($AF$2:AF246),$AF$2:$AF$1001,0),MATCH(COLUMNS($AM$1006:AN1006),$AM$1006:$BM$1006,0)), HYPERLINK("#",""), HYPERLINK(CONCATENATE("#metadata!", ADDRESS(INDEX($AH$2:$AH$1001,MATCH(ROWS($AF$2:AF246),$AF$2:$AF$1001,0),0), INDEX($AM$1004:$BM$1004,1,MATCH(COLUMNS($AM$1006:AN1006),$AM$1006:$BM$1006,0)))),"Fix")))</f>
        <v xml:space="preserve"> </v>
      </c>
      <c r="D246" s="4" t="str">
        <f ca="1">IF(OR(INDEX($AG$2:$AG$1001,MATCH(ROWS($AF$2:AF246),$AF$2:$AF$1001,0),1)&gt;=100000,INDEX($AM$1005:$BM$1005,1,MATCH(COLUMNS($AM$1006:AO1006),$AM$1006:$BM$1006,0))&gt;=100000), " ",IF(INDEX($AM$2:$BM$1001,MATCH(ROWS($AF$2:AF246),$AF$2:$AF$1001,0),MATCH(COLUMNS($AM$1006:AO1006),$AM$1006:$BM$1006,0)), HYPERLINK("#",""), HYPERLINK(CONCATENATE("#metadata!", ADDRESS(INDEX($AH$2:$AH$1001,MATCH(ROWS($AF$2:AF246),$AF$2:$AF$1001,0),0), INDEX($AM$1004:$BM$1004,1,MATCH(COLUMNS($AM$1006:AO1006),$AM$1006:$BM$1006,0)))),"Fix")))</f>
        <v xml:space="preserve"> </v>
      </c>
      <c r="E246" s="4" t="str">
        <f ca="1">IF(OR(INDEX($AG$2:$AG$1001,MATCH(ROWS($AF$2:AF246),$AF$2:$AF$1001,0),1)&gt;=100000,INDEX($AM$1005:$BM$1005,1,MATCH(COLUMNS($AM$1006:AP1006),$AM$1006:$BM$1006,0))&gt;=100000), " ",IF(INDEX($AM$2:$BM$1001,MATCH(ROWS($AF$2:AF246),$AF$2:$AF$1001,0),MATCH(COLUMNS($AM$1006:AP1006),$AM$1006:$BM$1006,0)), HYPERLINK("#",""), HYPERLINK(CONCATENATE("#metadata!", ADDRESS(INDEX($AH$2:$AH$1001,MATCH(ROWS($AF$2:AF246),$AF$2:$AF$1001,0),0), INDEX($AM$1004:$BM$1004,1,MATCH(COLUMNS($AM$1006:AP1006),$AM$1006:$BM$1006,0)))),"Fix")))</f>
        <v xml:space="preserve"> </v>
      </c>
      <c r="F246" s="4" t="str">
        <f ca="1">IF(OR(INDEX($AG$2:$AG$1001,MATCH(ROWS($AF$2:AF246),$AF$2:$AF$1001,0),1)&gt;=100000,INDEX($AM$1005:$BM$1005,1,MATCH(COLUMNS($AM$1006:AQ1006),$AM$1006:$BM$1006,0))&gt;=100000), " ",IF(INDEX($AM$2:$BM$1001,MATCH(ROWS($AF$2:AF246),$AF$2:$AF$1001,0),MATCH(COLUMNS($AM$1006:AQ1006),$AM$1006:$BM$1006,0)), HYPERLINK("#",""), HYPERLINK(CONCATENATE("#metadata!", ADDRESS(INDEX($AH$2:$AH$1001,MATCH(ROWS($AF$2:AF246),$AF$2:$AF$1001,0),0), INDEX($AM$1004:$BM$1004,1,MATCH(COLUMNS($AM$1006:AQ1006),$AM$1006:$BM$1006,0)))),"Fix")))</f>
        <v xml:space="preserve"> </v>
      </c>
      <c r="G246" s="4" t="str">
        <f ca="1">IF(OR(INDEX($AG$2:$AG$1001,MATCH(ROWS($AF$2:AF246),$AF$2:$AF$1001,0),1)&gt;=100000,INDEX($AM$1005:$BM$1005,1,MATCH(COLUMNS($AM$1006:AR1006),$AM$1006:$BM$1006,0))&gt;=100000), " ",IF(INDEX($AM$2:$BM$1001,MATCH(ROWS($AF$2:AF246),$AF$2:$AF$1001,0),MATCH(COLUMNS($AM$1006:AR1006),$AM$1006:$BM$1006,0)), HYPERLINK("#",""), HYPERLINK(CONCATENATE("#metadata!", ADDRESS(INDEX($AH$2:$AH$1001,MATCH(ROWS($AF$2:AF246),$AF$2:$AF$1001,0),0), INDEX($AM$1004:$BM$1004,1,MATCH(COLUMNS($AM$1006:AR1006),$AM$1006:$BM$1006,0)))),"Fix")))</f>
        <v xml:space="preserve"> </v>
      </c>
      <c r="H246" s="4" t="str">
        <f ca="1">IF(OR(INDEX($AG$2:$AG$1001,MATCH(ROWS($AF$2:AF246),$AF$2:$AF$1001,0),1)&gt;=100000,INDEX($AM$1005:$BM$1005,1,MATCH(COLUMNS($AM$1006:AS1006),$AM$1006:$BM$1006,0))&gt;=100000), " ",IF(INDEX($AM$2:$BM$1001,MATCH(ROWS($AF$2:AF246),$AF$2:$AF$1001,0),MATCH(COLUMNS($AM$1006:AS1006),$AM$1006:$BM$1006,0)), HYPERLINK("#",""), HYPERLINK(CONCATENATE("#metadata!", ADDRESS(INDEX($AH$2:$AH$1001,MATCH(ROWS($AF$2:AF246),$AF$2:$AF$1001,0),0), INDEX($AM$1004:$BM$1004,1,MATCH(COLUMNS($AM$1006:AS1006),$AM$1006:$BM$1006,0)))),"Fix")))</f>
        <v xml:space="preserve"> </v>
      </c>
      <c r="I246" s="4" t="str">
        <f ca="1">IF(OR(INDEX($AG$2:$AG$1001,MATCH(ROWS($AF$2:AF246),$AF$2:$AF$1001,0),1)&gt;=100000,INDEX($AM$1005:$BM$1005,1,MATCH(COLUMNS($AM$1006:AT1006),$AM$1006:$BM$1006,0))&gt;=100000), " ",IF(INDEX($AM$2:$BM$1001,MATCH(ROWS($AF$2:AF246),$AF$2:$AF$1001,0),MATCH(COLUMNS($AM$1006:AT1006),$AM$1006:$BM$1006,0)), HYPERLINK("#",""), HYPERLINK(CONCATENATE("#metadata!", ADDRESS(INDEX($AH$2:$AH$1001,MATCH(ROWS($AF$2:AF246),$AF$2:$AF$1001,0),0), INDEX($AM$1004:$BM$1004,1,MATCH(COLUMNS($AM$1006:AT1006),$AM$1006:$BM$1006,0)))),"Fix")))</f>
        <v xml:space="preserve"> </v>
      </c>
      <c r="J246" s="4" t="str">
        <f ca="1">IF(OR(INDEX($AG$2:$AG$1001,MATCH(ROWS($AF$2:AF246),$AF$2:$AF$1001,0),1)&gt;=100000,INDEX($AM$1005:$BM$1005,1,MATCH(COLUMNS($AM$1006:AU1006),$AM$1006:$BM$1006,0))&gt;=100000), " ",IF(INDEX($AM$2:$BM$1001,MATCH(ROWS($AF$2:AF246),$AF$2:$AF$1001,0),MATCH(COLUMNS($AM$1006:AU1006),$AM$1006:$BM$1006,0)), HYPERLINK("#",""), HYPERLINK(CONCATENATE("#metadata!", ADDRESS(INDEX($AH$2:$AH$1001,MATCH(ROWS($AF$2:AF246),$AF$2:$AF$1001,0),0), INDEX($AM$1004:$BM$1004,1,MATCH(COLUMNS($AM$1006:AU1006),$AM$1006:$BM$1006,0)))),"Fix")))</f>
        <v xml:space="preserve"> </v>
      </c>
      <c r="K246" s="4" t="str">
        <f ca="1">IF(OR(INDEX($AG$2:$AG$1001,MATCH(ROWS($AF$2:AF246),$AF$2:$AF$1001,0),1)&gt;=100000,INDEX($AM$1005:$BM$1005,1,MATCH(COLUMNS($AM$1006:AV1006),$AM$1006:$BM$1006,0))&gt;=100000), " ",IF(INDEX($AM$2:$BM$1001,MATCH(ROWS($AF$2:AF246),$AF$2:$AF$1001,0),MATCH(COLUMNS($AM$1006:AV1006),$AM$1006:$BM$1006,0)), HYPERLINK("#",""), HYPERLINK(CONCATENATE("#metadata!", ADDRESS(INDEX($AH$2:$AH$1001,MATCH(ROWS($AF$2:AF246),$AF$2:$AF$1001,0),0), INDEX($AM$1004:$BM$1004,1,MATCH(COLUMNS($AM$1006:AV1006),$AM$1006:$BM$1006,0)))),"Fix")))</f>
        <v xml:space="preserve"> </v>
      </c>
      <c r="L246" s="4" t="str">
        <f ca="1">IF(OR(INDEX($AG$2:$AG$1001,MATCH(ROWS($AF$2:AF246),$AF$2:$AF$1001,0),1)&gt;=100000,INDEX($AM$1005:$BM$1005,1,MATCH(COLUMNS($AM$1006:AW1006),$AM$1006:$BM$1006,0))&gt;=100000), " ",IF(INDEX($AM$2:$BM$1001,MATCH(ROWS($AF$2:AF246),$AF$2:$AF$1001,0),MATCH(COLUMNS($AM$1006:AW1006),$AM$1006:$BM$1006,0)), HYPERLINK("#",""), HYPERLINK(CONCATENATE("#metadata!", ADDRESS(INDEX($AH$2:$AH$1001,MATCH(ROWS($AF$2:AF246),$AF$2:$AF$1001,0),0), INDEX($AM$1004:$BM$1004,1,MATCH(COLUMNS($AM$1006:AW1006),$AM$1006:$BM$1006,0)))),"Fix")))</f>
        <v xml:space="preserve"> </v>
      </c>
      <c r="M246" s="4" t="str">
        <f ca="1">IF(OR(INDEX($AG$2:$AG$1001,MATCH(ROWS($AF$2:AF246),$AF$2:$AF$1001,0),1)&gt;=100000,INDEX($AM$1005:$BM$1005,1,MATCH(COLUMNS($AM$1006:AX1006),$AM$1006:$BM$1006,0))&gt;=100000), " ",IF(INDEX($AM$2:$BM$1001,MATCH(ROWS($AF$2:AF246),$AF$2:$AF$1001,0),MATCH(COLUMNS($AM$1006:AX1006),$AM$1006:$BM$1006,0)), HYPERLINK("#",""), HYPERLINK(CONCATENATE("#metadata!", ADDRESS(INDEX($AH$2:$AH$1001,MATCH(ROWS($AF$2:AF246),$AF$2:$AF$1001,0),0), INDEX($AM$1004:$BM$1004,1,MATCH(COLUMNS($AM$1006:AX1006),$AM$1006:$BM$1006,0)))),"Fix")))</f>
        <v xml:space="preserve"> </v>
      </c>
      <c r="N246" s="4" t="str">
        <f ca="1">IF(OR(INDEX($AG$2:$AG$1001,MATCH(ROWS($AF$2:AF246),$AF$2:$AF$1001,0),1)&gt;=100000,INDEX($AM$1005:$BM$1005,1,MATCH(COLUMNS($AM$1006:AY1006),$AM$1006:$BM$1006,0))&gt;=100000), " ",IF(INDEX($AM$2:$BM$1001,MATCH(ROWS($AF$2:AF246),$AF$2:$AF$1001,0),MATCH(COLUMNS($AM$1006:AY1006),$AM$1006:$BM$1006,0)), HYPERLINK("#",""), HYPERLINK(CONCATENATE("#metadata!", ADDRESS(INDEX($AH$2:$AH$1001,MATCH(ROWS($AF$2:AF246),$AF$2:$AF$1001,0),0), INDEX($AM$1004:$BM$1004,1,MATCH(COLUMNS($AM$1006:AY1006),$AM$1006:$BM$1006,0)))),"Fix")))</f>
        <v xml:space="preserve"> </v>
      </c>
      <c r="O246" s="4" t="str">
        <f ca="1">IF(OR(INDEX($AG$2:$AG$1001,MATCH(ROWS($AF$2:AF246),$AF$2:$AF$1001,0),1)&gt;=100000,INDEX($AM$1005:$BM$1005,1,MATCH(COLUMNS($AM$1006:AZ1006),$AM$1006:$BM$1006,0))&gt;=100000), " ",IF(INDEX($AM$2:$BM$1001,MATCH(ROWS($AF$2:AF246),$AF$2:$AF$1001,0),MATCH(COLUMNS($AM$1006:AZ1006),$AM$1006:$BM$1006,0)), HYPERLINK("#",""), HYPERLINK(CONCATENATE("#metadata!", ADDRESS(INDEX($AH$2:$AH$1001,MATCH(ROWS($AF$2:AF246),$AF$2:$AF$1001,0),0), INDEX($AM$1004:$BM$1004,1,MATCH(COLUMNS($AM$1006:AZ1006),$AM$1006:$BM$1006,0)))),"Fix")))</f>
        <v xml:space="preserve"> </v>
      </c>
      <c r="P246" s="4" t="str">
        <f ca="1">IF(OR(INDEX($AG$2:$AG$1001,MATCH(ROWS($AF$2:AF246),$AF$2:$AF$1001,0),1)&gt;=100000,INDEX($AM$1005:$BM$1005,1,MATCH(COLUMNS($AM$1006:BA1006),$AM$1006:$BM$1006,0))&gt;=100000), " ",IF(INDEX($AM$2:$BM$1001,MATCH(ROWS($AF$2:AF246),$AF$2:$AF$1001,0),MATCH(COLUMNS($AM$1006:BA1006),$AM$1006:$BM$1006,0)), HYPERLINK("#",""), HYPERLINK(CONCATENATE("#metadata!", ADDRESS(INDEX($AH$2:$AH$1001,MATCH(ROWS($AF$2:AF246),$AF$2:$AF$1001,0),0), INDEX($AM$1004:$BM$1004,1,MATCH(COLUMNS($AM$1006:BA1006),$AM$1006:$BM$1006,0)))),"Fix")))</f>
        <v xml:space="preserve"> </v>
      </c>
      <c r="Q246" s="4" t="str">
        <f ca="1">IF(OR(INDEX($AG$2:$AG$1001,MATCH(ROWS($AF$2:AF246),$AF$2:$AF$1001,0),1)&gt;=100000,INDEX($AM$1005:$BM$1005,1,MATCH(COLUMNS($AM$1006:BB1006),$AM$1006:$BM$1006,0))&gt;=100000), " ",IF(INDEX($AM$2:$BM$1001,MATCH(ROWS($AF$2:AF246),$AF$2:$AF$1001,0),MATCH(COLUMNS($AM$1006:BB1006),$AM$1006:$BM$1006,0)), HYPERLINK("#",""), HYPERLINK(CONCATENATE("#metadata!", ADDRESS(INDEX($AH$2:$AH$1001,MATCH(ROWS($AF$2:AF246),$AF$2:$AF$1001,0),0), INDEX($AM$1004:$BM$1004,1,MATCH(COLUMNS($AM$1006:BB1006),$AM$1006:$BM$1006,0)))),"Fix")))</f>
        <v xml:space="preserve"> </v>
      </c>
      <c r="R246" s="4" t="str">
        <f ca="1">IF(OR(INDEX($AG$2:$AG$1001,MATCH(ROWS($AF$2:AF246),$AF$2:$AF$1001,0),1)&gt;=100000,INDEX($AM$1005:$BM$1005,1,MATCH(COLUMNS($AM$1006:BC1006),$AM$1006:$BM$1006,0))&gt;=100000), " ",IF(INDEX($AM$2:$BM$1001,MATCH(ROWS($AF$2:AF246),$AF$2:$AF$1001,0),MATCH(COLUMNS($AM$1006:BC1006),$AM$1006:$BM$1006,0)), HYPERLINK("#",""), HYPERLINK(CONCATENATE("#metadata!", ADDRESS(INDEX($AH$2:$AH$1001,MATCH(ROWS($AF$2:AF246),$AF$2:$AF$1001,0),0), INDEX($AM$1004:$BM$1004,1,MATCH(COLUMNS($AM$1006:BC1006),$AM$1006:$BM$1006,0)))),"Fix")))</f>
        <v xml:space="preserve"> </v>
      </c>
      <c r="S246" s="4" t="str">
        <f ca="1">IF(OR(INDEX($AG$2:$AG$1001,MATCH(ROWS($AF$2:AF246),$AF$2:$AF$1001,0),1)&gt;=100000,INDEX($AM$1005:$BM$1005,1,MATCH(COLUMNS($AM$1006:BD1006),$AM$1006:$BM$1006,0))&gt;=100000), " ",IF(INDEX($AM$2:$BM$1001,MATCH(ROWS($AF$2:AF246),$AF$2:$AF$1001,0),MATCH(COLUMNS($AM$1006:BD1006),$AM$1006:$BM$1006,0)), HYPERLINK("#",""), HYPERLINK(CONCATENATE("#metadata!", ADDRESS(INDEX($AH$2:$AH$1001,MATCH(ROWS($AF$2:AF246),$AF$2:$AF$1001,0),0), INDEX($AM$1004:$BM$1004,1,MATCH(COLUMNS($AM$1006:BD1006),$AM$1006:$BM$1006,0)))),"Fix")))</f>
        <v xml:space="preserve"> </v>
      </c>
      <c r="T246" s="4" t="str">
        <f ca="1">IF(OR(INDEX($AG$2:$AG$1001,MATCH(ROWS($AF$2:AF246),$AF$2:$AF$1001,0),1)&gt;=100000,INDEX($AM$1005:$BM$1005,1,MATCH(COLUMNS($AM$1006:BE1006),$AM$1006:$BM$1006,0))&gt;=100000), " ",IF(INDEX($AM$2:$BM$1001,MATCH(ROWS($AF$2:AF246),$AF$2:$AF$1001,0),MATCH(COLUMNS($AM$1006:BE1006),$AM$1006:$BM$1006,0)), HYPERLINK("#",""), HYPERLINK(CONCATENATE("#metadata!", ADDRESS(INDEX($AH$2:$AH$1001,MATCH(ROWS($AF$2:AF246),$AF$2:$AF$1001,0),0), INDEX($AM$1004:$BM$1004,1,MATCH(COLUMNS($AM$1006:BE1006),$AM$1006:$BM$1006,0)))),"Fix")))</f>
        <v xml:space="preserve"> </v>
      </c>
      <c r="U246" s="4" t="str">
        <f ca="1">IF(OR(INDEX($AG$2:$AG$1001,MATCH(ROWS($AF$2:AF246),$AF$2:$AF$1001,0),1)&gt;=100000,INDEX($AM$1005:$BM$1005,1,MATCH(COLUMNS($AM$1006:BF1006),$AM$1006:$BM$1006,0))&gt;=100000), " ",IF(INDEX($AM$2:$BM$1001,MATCH(ROWS($AF$2:AF246),$AF$2:$AF$1001,0),MATCH(COLUMNS($AM$1006:BF1006),$AM$1006:$BM$1006,0)), HYPERLINK("#",""), HYPERLINK(CONCATENATE("#metadata!", ADDRESS(INDEX($AH$2:$AH$1001,MATCH(ROWS($AF$2:AF246),$AF$2:$AF$1001,0),0), INDEX($AM$1004:$BM$1004,1,MATCH(COLUMNS($AM$1006:BF1006),$AM$1006:$BM$1006,0)))),"Fix")))</f>
        <v xml:space="preserve"> </v>
      </c>
      <c r="V246" s="4" t="str">
        <f ca="1">IF(OR(INDEX($AG$2:$AG$1001,MATCH(ROWS($AF$2:AF246),$AF$2:$AF$1001,0),1)&gt;=100000,INDEX($AM$1005:$BM$1005,1,MATCH(COLUMNS($AM$1006:BG1006),$AM$1006:$BM$1006,0))&gt;=100000), " ",IF(INDEX($AM$2:$BM$1001,MATCH(ROWS($AF$2:AF246),$AF$2:$AF$1001,0),MATCH(COLUMNS($AM$1006:BG1006),$AM$1006:$BM$1006,0)), HYPERLINK("#",""), HYPERLINK(CONCATENATE("#metadata!", ADDRESS(INDEX($AH$2:$AH$1001,MATCH(ROWS($AF$2:AF246),$AF$2:$AF$1001,0),0), INDEX($AM$1004:$BM$1004,1,MATCH(COLUMNS($AM$1006:BG1006),$AM$1006:$BM$1006,0)))),"Fix")))</f>
        <v xml:space="preserve"> </v>
      </c>
      <c r="W246" s="4" t="str">
        <f ca="1">IF(OR(INDEX($AG$2:$AG$1001,MATCH(ROWS($AF$2:AF246),$AF$2:$AF$1001,0),1)&gt;=100000,INDEX($AM$1005:$BM$1005,1,MATCH(COLUMNS($AM$1006:BH1006),$AM$1006:$BM$1006,0))&gt;=100000), " ",IF(INDEX($AM$2:$BM$1001,MATCH(ROWS($AF$2:AF246),$AF$2:$AF$1001,0),MATCH(COLUMNS($AM$1006:BH1006),$AM$1006:$BM$1006,0)), HYPERLINK("#",""), HYPERLINK(CONCATENATE("#metadata!", ADDRESS(INDEX($AH$2:$AH$1001,MATCH(ROWS($AF$2:AF246),$AF$2:$AF$1001,0),0), INDEX($AM$1004:$BM$1004,1,MATCH(COLUMNS($AM$1006:BH1006),$AM$1006:$BM$1006,0)))),"Fix")))</f>
        <v xml:space="preserve"> </v>
      </c>
      <c r="X246" s="4" t="str">
        <f ca="1">IF(OR(INDEX($AG$2:$AG$1001,MATCH(ROWS($AF$2:AF246),$AF$2:$AF$1001,0),1)&gt;=100000,INDEX($AM$1005:$BM$1005,1,MATCH(COLUMNS($AM$1006:BI1006),$AM$1006:$BM$1006,0))&gt;=100000), " ",IF(INDEX($AM$2:$BM$1001,MATCH(ROWS($AF$2:AF246),$AF$2:$AF$1001,0),MATCH(COLUMNS($AM$1006:BI1006),$AM$1006:$BM$1006,0)), HYPERLINK("#",""), HYPERLINK(CONCATENATE("#metadata!", ADDRESS(INDEX($AH$2:$AH$1001,MATCH(ROWS($AF$2:AF246),$AF$2:$AF$1001,0),0), INDEX($AM$1004:$BM$1004,1,MATCH(COLUMNS($AM$1006:BI1006),$AM$1006:$BM$1006,0)))),"Fix")))</f>
        <v xml:space="preserve"> </v>
      </c>
      <c r="Y246" s="4" t="str">
        <f ca="1">IF(OR(INDEX($AG$2:$AG$1001,MATCH(ROWS($AF$2:AF246),$AF$2:$AF$1001,0),1)&gt;=100000,INDEX($AM$1005:$BM$1005,1,MATCH(COLUMNS($AM$1006:BJ1006),$AM$1006:$BM$1006,0))&gt;=100000), " ",IF(INDEX($AM$2:$BM$1001,MATCH(ROWS($AF$2:AF246),$AF$2:$AF$1001,0),MATCH(COLUMNS($AM$1006:BJ1006),$AM$1006:$BM$1006,0)), HYPERLINK("#",""), HYPERLINK(CONCATENATE("#metadata!", ADDRESS(INDEX($AH$2:$AH$1001,MATCH(ROWS($AF$2:AF246),$AF$2:$AF$1001,0),0), INDEX($AM$1004:$BM$1004,1,MATCH(COLUMNS($AM$1006:BJ1006),$AM$1006:$BM$1006,0)))),"Fix")))</f>
        <v xml:space="preserve"> </v>
      </c>
      <c r="Z246" s="4" t="str">
        <f ca="1">IF(OR(INDEX($AG$2:$AG$1001,MATCH(ROWS($AF$2:AF246),$AF$2:$AF$1001,0),1)&gt;=100000,INDEX($AM$1005:$BM$1005,1,MATCH(COLUMNS($AM$1006:BK1006),$AM$1006:$BM$1006,0))&gt;=100000), " ",IF(INDEX($AM$2:$BM$1001,MATCH(ROWS($AF$2:AF246),$AF$2:$AF$1001,0),MATCH(COLUMNS($AM$1006:BK1006),$AM$1006:$BM$1006,0)), HYPERLINK("#",""), HYPERLINK(CONCATENATE("#metadata!", ADDRESS(INDEX($AH$2:$AH$1001,MATCH(ROWS($AF$2:AF246),$AF$2:$AF$1001,0),0), INDEX($AM$1004:$BM$1004,1,MATCH(COLUMNS($AM$1006:BK1006),$AM$1006:$BM$1006,0)))),"Fix")))</f>
        <v xml:space="preserve"> </v>
      </c>
      <c r="AA246" s="4" t="str">
        <f ca="1">IF(OR(INDEX($AG$2:$AG$1001,MATCH(ROWS($AF$2:AF246),$AF$2:$AF$1001,0),1)&gt;=100000,INDEX($AM$1005:$BM$1005,1,MATCH(COLUMNS($AM$1006:BL1006),$AM$1006:$BM$1006,0))&gt;=100000), " ",IF(INDEX($AM$2:$BM$1001,MATCH(ROWS($AF$2:AF246),$AF$2:$AF$1001,0),MATCH(COLUMNS($AM$1006:BL1006),$AM$1006:$BM$1006,0)), HYPERLINK("#",""), HYPERLINK(CONCATENATE("#metadata!", ADDRESS(INDEX($AH$2:$AH$1001,MATCH(ROWS($AF$2:AF246),$AF$2:$AF$1001,0),0), INDEX($AM$1004:$BM$1004,1,MATCH(COLUMNS($AM$1006:BL1006),$AM$1006:$BM$1006,0)))),"Fix")))</f>
        <v xml:space="preserve"> </v>
      </c>
      <c r="AB246" s="4" t="str">
        <f ca="1">IF(OR(INDEX($AG$2:$AG$1001,MATCH(ROWS($AF$2:AF246),$AF$2:$AF$1001,0),1)&gt;=100000,INDEX($AM$1005:$BM$1005,1,MATCH(COLUMNS($AM$1006:BM1006),$AM$1006:$BM$1006,0))&gt;=100000), " ",IF(INDEX($AM$2:$BM$1001,MATCH(ROWS($AF$2:AF246),$AF$2:$AF$1001,0),MATCH(COLUMNS($AM$1006:BM1006),$AM$1006:$BM$1006,0)), HYPERLINK("#",""), HYPERLINK(CONCATENATE("#metadata!", ADDRESS(INDEX($AH$2:$AH$1001,MATCH(ROWS($AF$2:AF246),$AF$2:$AF$1001,0),0), INDEX($AM$1004:$BM$1004,1,MATCH(COLUMNS($AM$1006:BM1006),$AM$1006:$BM$1006,0)))),"Fix")))</f>
        <v xml:space="preserve"> </v>
      </c>
      <c r="AF246">
        <v>245</v>
      </c>
      <c r="AG246">
        <v>100246</v>
      </c>
      <c r="AH246">
        <v>246</v>
      </c>
      <c r="AI246" t="b">
        <f t="shared" si="3"/>
        <v>1</v>
      </c>
      <c r="AJ246" t="b">
        <f>COUNTBLANK(metadata!B246:AB246)=COLUMNS(metadata!B246:AB246)</f>
        <v>1</v>
      </c>
      <c r="AK246" t="str">
        <v/>
      </c>
      <c r="AM246" t="b">
        <f ca="1">AND(IF(metadata!B246="",FALSE,TRUE),COUNTIF(metadata!B:B, metadata!B246) = 1,NOT(ISERROR(SUMPRODUCT(SEARCH(MID(metadata!B246,ROW(INDIRECT("1:"&amp;LEN(metadata!B246))), 1),"0123456789abcdefghijklmnopqrstuvwxyzABCDEFGHIJKLMNOPQRSTUVWXYZ.")))))</f>
        <v>0</v>
      </c>
      <c r="AN246" t="b">
        <f ca="1">OR(AND(IF(metadata!C246="",FALSE,TRUE),OR(EXACT(metadata!C246,"missing: not collected"),EXACT(metadata!C246,"missing: not provided"),EXACT(metadata!C246,"missing: restricted access"))),AND(IF(metadata!C246="",FALSE,TRUE),AND(AND(IFERROR(INT(LEFT(metadata!C246,4))&gt;1900,FALSE),IFERROR(INT(LEFT(metadata!C246,4))&lt;=YEAR(NOW()),FALSE)), OR(MID(metadata!C246,5,1)="", AND(AND(MID(metadata!C246,5,1)="-",IFERROR(INT(MID(metadata!C246,6,1))&gt;=0,FALSE),IFERROR(INT(MID(metadata!C246,6,1))&lt;=1,FALSE),NOT(MID(metadata!C246,7,1)=""),IFERROR(INT(MID(metadata!C246,6,2))&gt;=1,FALSE),IFERROR(INT(MID(metadata!C246,6,2))&lt;=12,FALSE)), OR(MID(metadata!C246,8,1)="", AND(AND(MID(metadata!C246,8,1)="-",IFERROR(INT(MID(metadata!C246,9,1))&gt;=0,FALSE),IFERROR(INT(MID(metadata!C246,9,1))&lt;=3,FALSE),NOT(MID(metadata!C246,10,1)=""),IFERROR(INT(MID(metadata!C246,9,2))&gt;=1,FALSE),IFERROR(INT(MID(metadata!C246,9,2))&lt;=31,FALSE)), OR(MID(metadata!C246,11,1)="", AND(AND(MID(metadata!C246,11,1)=" ",IFERROR(INT(MID(metadata!C246,12,1))&gt;=0,FALSE),IFERROR(INT(MID(metadata!C246,12,1))&lt;=2,FALSE),NOT(MID(metadata!C246,13,1)=""),IFERROR(INT(MID(metadata!C246,12,2))&gt;=0,FALSE),IFERROR(INT(MID(metadata!C246,12,2))&lt;=23,FALSE)), OR(MID(metadata!C246,14,1)="", AND(AND(MID(metadata!C246,14,1)=":",IFERROR(INT(MID(metadata!C246,15,1))&gt;=0,FALSE),IFERROR(INT(MID(metadata!C246,15,1))&lt;=5,FALSE),NOT(MID(metadata!C246,16,1)=""),IFERROR(INT(MID(metadata!C246,15,2))&gt;=0,FALSE),IFERROR(INT(MID(metadata!C246,15,2))&lt;=59,FALSE)), OR(MID(metadata!C246,17,1)="", AND(AND(MID(metadata!C246,17,1)=":",IFERROR(INT(MID(metadata!C246,18,1))&gt;=0,FALSE),IFERROR(INT(MID(metadata!C246,18,1))&lt;=5,FALSE),NOT(MID(metadata!C246,19,1)=""),IFERROR(INT(MID(metadata!C246,18,2))&gt;=0,FALSE),IFERROR(INT(MID(metadata!C246,18,2))&lt;=59,FALSE)), LEN(metadata!C246)&lt;=19)))))))))))))</f>
        <v>0</v>
      </c>
      <c r="AO246" t="b">
        <f>AND(IF(metadata!D246="",FALSE,TRUE),EXACT(metadata!D246,"Not applicable"))</f>
        <v>0</v>
      </c>
      <c r="AP246" t="b">
        <f>IF(metadata!E246="",FALSE,TRUE)</f>
        <v>0</v>
      </c>
      <c r="AQ246" t="b">
        <f>OR(AND(IF(metadata!F246="",FALSE,TRUE),OR(EXACT(metadata!F246,"missing: not collected"),EXACT(metadata!F246,"missing: not provided"))),AND(IF(metadata!F246="",FALSE,TRUE),OR(EXACT(metadata!F246,"TRUE"),EXACT(metadata!F246,"FALSE"))))</f>
        <v>0</v>
      </c>
      <c r="AR246" t="b">
        <f>OR(AND(IF(metadata!G246="",FALSE,TRUE),OR(EXACT(metadata!G246,"missing: not collected"),EXACT(metadata!G246,"missing: not provided"),EXACT(metadata!G246,"missing: restricted access"))),AND(IF(metadata!G246="",FALSE,ISNUMBER(VALUE(metadata!G246))),metadata!G246&gt;=-413))</f>
        <v>0</v>
      </c>
      <c r="AS246" t="b">
        <f>AND(IF(metadata!H246="",FALSE,TRUE),EXACT(metadata!H246,"meters"))</f>
        <v>0</v>
      </c>
      <c r="AT246" t="b">
        <f>AND(IF(metadata!I246="",FALSE,TRUE),OR(EXACT(metadata!I246,"Host-associated"),EXACT(metadata!I246,"Free-living")))</f>
        <v>0</v>
      </c>
      <c r="AU246" t="b">
        <f>AND(IF(metadata!J246="",FALSE,TRUE),OR(EXACT(metadata!J246,"Animal"),EXACT(metadata!J246,"Fungus"),EXACT(metadata!J246,"Plant"),EXACT(metadata!J246,"Saline"),EXACT(metadata!J246,"Non-saline")))</f>
        <v>0</v>
      </c>
      <c r="AV246" t="b">
        <f>AND(IF(metadata!K246="",FALSE,TRUE),OR(EXACT(metadata!K246,"Plant secretion"),EXACT(metadata!K246,"Plant rhizosphere"),EXACT(metadata!K246,"Plant surface"),EXACT(metadata!K246,"Plant corpus"),EXACT(metadata!K246,"Fungus surface"),EXACT(metadata!K246,"Fungus corpus"),EXACT(metadata!K246,"Animal surface"),EXACT(metadata!K246,"Animal proximal gut"),EXACT(metadata!K246,"Animal corpus"),EXACT(metadata!K246,"Animal distal gut"),EXACT(metadata!K246,"Animal secretion"),EXACT(metadata!K246,"Sub-surface (non-saline)"),EXACT(metadata!K246,"Surface (non-saline)"),EXACT(metadata!K246,"Water (non-saline)"),EXACT(metadata!K246,"Soil (non-saline)"),EXACT(metadata!K246,"Aerosol (non-saline)"),EXACT(metadata!K246,"Sediment (non-saline)"),EXACT(metadata!K246,"Surface (saline)"),EXACT(metadata!K246,"Water (saline)"),EXACT(metadata!K246,"Hypersaline (saline)"),EXACT(metadata!K246,"Aerosol (saline)"),EXACT(metadata!K246,"Sediment (saline)")))</f>
        <v>0</v>
      </c>
      <c r="AW246" t="b">
        <f>IF(metadata!L246="",FALSE,TRUE)</f>
        <v>0</v>
      </c>
      <c r="AX246" t="b">
        <f>IF(metadata!M246="",FALSE,TRUE)</f>
        <v>0</v>
      </c>
      <c r="AY246" t="b">
        <f>IF(metadata!N246="",FALSE,TRUE)</f>
        <v>0</v>
      </c>
      <c r="AZ246" t="b">
        <f>OR(AND(IF(metadata!O246="",FALSE,TRUE),OR(EXACT(metadata!O246,"missing: not collected"),EXACT(metadata!O246,"missing: not provided"),EXACT(metadata!O246,"missing: restricted access"))),AND(IF(metadata!O246="",FALSE,TRUE),OR(EXACT(metadata!O246,"air"),EXACT(metadata!O246,"built environment"),EXACT(metadata!O246,"host-associated"),EXACT(metadata!O246,"human-associated"),EXACT(metadata!O246,"human-skin"),EXACT(metadata!O246,"human-oral"),EXACT(metadata!O246,"human-gut"),EXACT(metadata!O246,"human-vaginal"),EXACT(metadata!O246,"microbial mat/biofilm"),EXACT(metadata!O246,"misc environment"),EXACT(metadata!O246,"plant-associated"),EXACT(metadata!O246,"sediment"),EXACT(metadata!O246,"soil"),EXACT(metadata!O246,"wastewater/sludge"),EXACT(metadata!O246,"water"))))</f>
        <v>0</v>
      </c>
      <c r="BA246" t="b">
        <f>IF(metadata!P246="",FALSE,TRUE)</f>
        <v>0</v>
      </c>
      <c r="BB246" t="b">
        <f>IF(metadata!Q246="",FALSE,TRUE)</f>
        <v>0</v>
      </c>
      <c r="BC246" t="b">
        <f>OR(AND(IF(metadata!R246="",FALSE,TRUE),OR(EXACT(metadata!R246,"missing: not collected"),EXACT(metadata!R246,"missing: not provided"),EXACT(metadata!R246,"missing: restricted access"))),AND(IF(metadata!R246="",FALSE,ISNUMBER(VALUE(metadata!R246))),metadata!R246&gt;=-90,metadata!R246&lt;=90))</f>
        <v>0</v>
      </c>
      <c r="BD246" t="b">
        <f>AND(IF(metadata!S246="",FALSE,TRUE),EXACT(metadata!S246,"Decimal degrees"))</f>
        <v>0</v>
      </c>
      <c r="BE246" t="b">
        <f>OR(AND(IF(metadata!T246="",FALSE,TRUE),OR(EXACT(metadata!T246,"missing: not collected"),EXACT(metadata!T246,"missing: not provided"),EXACT(metadata!T246,"missing: restricted access"))),AND(IF(metadata!T246="",FALSE,ISNUMBER(VALUE(metadata!T246))),metadata!T246&gt;=-180,metadata!T246&lt;=180))</f>
        <v>0</v>
      </c>
      <c r="BF246" t="b">
        <f>AND(IF(metadata!U246="",FALSE,TRUE),EXACT(metadata!U246,"Decimal degrees"))</f>
        <v>0</v>
      </c>
      <c r="BG246" t="b">
        <f>IF(metadata!V246="",FALSE,TRUE)</f>
        <v>0</v>
      </c>
      <c r="BH246" t="b">
        <f>OR(AND(IF(metadata!W246="",FALSE,TRUE),OR(EXACT(metadata!W246,"missing: not collected"),EXACT(metadata!W246,"missing: not provided"),EXACT(metadata!W246,"missing: restricted access"))),AND(IF(metadata!W246="",FALSE,TRUE),OR(EXACT(metadata!W246,"TRUE"),EXACT(metadata!W246,"FALSE"))))</f>
        <v>0</v>
      </c>
      <c r="BI246" t="b">
        <f>AND(IF(metadata!X246="",FALSE,TRUE),EXACT(metadata!X246,"other"))</f>
        <v>0</v>
      </c>
      <c r="BJ246" t="b">
        <f>IF(metadata!Y246="",FALSE,TRUE)</f>
        <v>0</v>
      </c>
      <c r="BK246" t="b">
        <f>OR(AND(IF(metadata!Z246="",FALSE,TRUE),OR(EXACT(metadata!Z246,"missing: not collected"),EXACT(metadata!Z246,"missing: not provided"))),AND(IF(metadata!Z246="",FALSE,IF(ISERROR(INT(metadata!Z246)),FALSE,INT(metadata!Z246)=metadata!Z246)),metadata!Z246&gt;0))</f>
        <v>0</v>
      </c>
      <c r="BL246" t="b">
        <f>AND(IF(metadata!AA246="",FALSE,TRUE),EXACT(metadata!AA246,"Not applicable"))</f>
        <v>0</v>
      </c>
      <c r="BM246" t="b">
        <f>IF(metadata!AB246="",FALSE,TRUE)</f>
        <v>0</v>
      </c>
    </row>
    <row r="247" spans="1:65" x14ac:dyDescent="0.2">
      <c r="A247" s="5" t="str">
        <f ca="1">IF(B247=" "," ",HYPERLINK(CONCATENATE("#metadata!",ADDRESS(INDEX($AH$2:$AH$1001,MATCH(ROWS($AF$2:AF247),$AF$2:$AF$1001,0),0),1)),INDEX($AK$2:$AK$1001,MATCH(ROWS($AF$2:AF247),$AF$2:$AF$1001,0),0)))</f>
        <v xml:space="preserve"> </v>
      </c>
      <c r="B247" s="4" t="str">
        <f ca="1">IF(OR(INDEX($AG$2:$AG$1001,MATCH(ROWS($AF$2:AF247),$AF$2:$AF$1001,0),1)&gt;=100000,INDEX($AM$1005:$BM$1005,1,MATCH(COLUMNS($AM$1006:AM1006),$AM$1006:$BM$1006,0))&gt;=100000), " ",IF(INDEX($AM$2:$BM$1001,MATCH(ROWS($AF$2:AF247),$AF$2:$AF$1001,0),MATCH(COLUMNS($AM$1006:AM1006),$AM$1006:$BM$1006,0)), HYPERLINK("#",""), HYPERLINK(CONCATENATE("#metadata!", ADDRESS(INDEX($AH$2:$AH$1001,MATCH(ROWS($AF$2:AF247),$AF$2:$AF$1001,0),0), INDEX($AM$1004:$BM$1004,1,MATCH(COLUMNS($AM$1006:AM1006),$AM$1006:$BM$1006,0)))),"Fix")))</f>
        <v xml:space="preserve"> </v>
      </c>
      <c r="C247" s="4" t="str">
        <f ca="1">IF(OR(INDEX($AG$2:$AG$1001,MATCH(ROWS($AF$2:AF247),$AF$2:$AF$1001,0),1)&gt;=100000,INDEX($AM$1005:$BM$1005,1,MATCH(COLUMNS($AM$1006:AN1006),$AM$1006:$BM$1006,0))&gt;=100000), " ",IF(INDEX($AM$2:$BM$1001,MATCH(ROWS($AF$2:AF247),$AF$2:$AF$1001,0),MATCH(COLUMNS($AM$1006:AN1006),$AM$1006:$BM$1006,0)), HYPERLINK("#",""), HYPERLINK(CONCATENATE("#metadata!", ADDRESS(INDEX($AH$2:$AH$1001,MATCH(ROWS($AF$2:AF247),$AF$2:$AF$1001,0),0), INDEX($AM$1004:$BM$1004,1,MATCH(COLUMNS($AM$1006:AN1006),$AM$1006:$BM$1006,0)))),"Fix")))</f>
        <v xml:space="preserve"> </v>
      </c>
      <c r="D247" s="4" t="str">
        <f ca="1">IF(OR(INDEX($AG$2:$AG$1001,MATCH(ROWS($AF$2:AF247),$AF$2:$AF$1001,0),1)&gt;=100000,INDEX($AM$1005:$BM$1005,1,MATCH(COLUMNS($AM$1006:AO1006),$AM$1006:$BM$1006,0))&gt;=100000), " ",IF(INDEX($AM$2:$BM$1001,MATCH(ROWS($AF$2:AF247),$AF$2:$AF$1001,0),MATCH(COLUMNS($AM$1006:AO1006),$AM$1006:$BM$1006,0)), HYPERLINK("#",""), HYPERLINK(CONCATENATE("#metadata!", ADDRESS(INDEX($AH$2:$AH$1001,MATCH(ROWS($AF$2:AF247),$AF$2:$AF$1001,0),0), INDEX($AM$1004:$BM$1004,1,MATCH(COLUMNS($AM$1006:AO1006),$AM$1006:$BM$1006,0)))),"Fix")))</f>
        <v xml:space="preserve"> </v>
      </c>
      <c r="E247" s="4" t="str">
        <f ca="1">IF(OR(INDEX($AG$2:$AG$1001,MATCH(ROWS($AF$2:AF247),$AF$2:$AF$1001,0),1)&gt;=100000,INDEX($AM$1005:$BM$1005,1,MATCH(COLUMNS($AM$1006:AP1006),$AM$1006:$BM$1006,0))&gt;=100000), " ",IF(INDEX($AM$2:$BM$1001,MATCH(ROWS($AF$2:AF247),$AF$2:$AF$1001,0),MATCH(COLUMNS($AM$1006:AP1006),$AM$1006:$BM$1006,0)), HYPERLINK("#",""), HYPERLINK(CONCATENATE("#metadata!", ADDRESS(INDEX($AH$2:$AH$1001,MATCH(ROWS($AF$2:AF247),$AF$2:$AF$1001,0),0), INDEX($AM$1004:$BM$1004,1,MATCH(COLUMNS($AM$1006:AP1006),$AM$1006:$BM$1006,0)))),"Fix")))</f>
        <v xml:space="preserve"> </v>
      </c>
      <c r="F247" s="4" t="str">
        <f ca="1">IF(OR(INDEX($AG$2:$AG$1001,MATCH(ROWS($AF$2:AF247),$AF$2:$AF$1001,0),1)&gt;=100000,INDEX($AM$1005:$BM$1005,1,MATCH(COLUMNS($AM$1006:AQ1006),$AM$1006:$BM$1006,0))&gt;=100000), " ",IF(INDEX($AM$2:$BM$1001,MATCH(ROWS($AF$2:AF247),$AF$2:$AF$1001,0),MATCH(COLUMNS($AM$1006:AQ1006),$AM$1006:$BM$1006,0)), HYPERLINK("#",""), HYPERLINK(CONCATENATE("#metadata!", ADDRESS(INDEX($AH$2:$AH$1001,MATCH(ROWS($AF$2:AF247),$AF$2:$AF$1001,0),0), INDEX($AM$1004:$BM$1004,1,MATCH(COLUMNS($AM$1006:AQ1006),$AM$1006:$BM$1006,0)))),"Fix")))</f>
        <v xml:space="preserve"> </v>
      </c>
      <c r="G247" s="4" t="str">
        <f ca="1">IF(OR(INDEX($AG$2:$AG$1001,MATCH(ROWS($AF$2:AF247),$AF$2:$AF$1001,0),1)&gt;=100000,INDEX($AM$1005:$BM$1005,1,MATCH(COLUMNS($AM$1006:AR1006),$AM$1006:$BM$1006,0))&gt;=100000), " ",IF(INDEX($AM$2:$BM$1001,MATCH(ROWS($AF$2:AF247),$AF$2:$AF$1001,0),MATCH(COLUMNS($AM$1006:AR1006),$AM$1006:$BM$1006,0)), HYPERLINK("#",""), HYPERLINK(CONCATENATE("#metadata!", ADDRESS(INDEX($AH$2:$AH$1001,MATCH(ROWS($AF$2:AF247),$AF$2:$AF$1001,0),0), INDEX($AM$1004:$BM$1004,1,MATCH(COLUMNS($AM$1006:AR1006),$AM$1006:$BM$1006,0)))),"Fix")))</f>
        <v xml:space="preserve"> </v>
      </c>
      <c r="H247" s="4" t="str">
        <f ca="1">IF(OR(INDEX($AG$2:$AG$1001,MATCH(ROWS($AF$2:AF247),$AF$2:$AF$1001,0),1)&gt;=100000,INDEX($AM$1005:$BM$1005,1,MATCH(COLUMNS($AM$1006:AS1006),$AM$1006:$BM$1006,0))&gt;=100000), " ",IF(INDEX($AM$2:$BM$1001,MATCH(ROWS($AF$2:AF247),$AF$2:$AF$1001,0),MATCH(COLUMNS($AM$1006:AS1006),$AM$1006:$BM$1006,0)), HYPERLINK("#",""), HYPERLINK(CONCATENATE("#metadata!", ADDRESS(INDEX($AH$2:$AH$1001,MATCH(ROWS($AF$2:AF247),$AF$2:$AF$1001,0),0), INDEX($AM$1004:$BM$1004,1,MATCH(COLUMNS($AM$1006:AS1006),$AM$1006:$BM$1006,0)))),"Fix")))</f>
        <v xml:space="preserve"> </v>
      </c>
      <c r="I247" s="4" t="str">
        <f ca="1">IF(OR(INDEX($AG$2:$AG$1001,MATCH(ROWS($AF$2:AF247),$AF$2:$AF$1001,0),1)&gt;=100000,INDEX($AM$1005:$BM$1005,1,MATCH(COLUMNS($AM$1006:AT1006),$AM$1006:$BM$1006,0))&gt;=100000), " ",IF(INDEX($AM$2:$BM$1001,MATCH(ROWS($AF$2:AF247),$AF$2:$AF$1001,0),MATCH(COLUMNS($AM$1006:AT1006),$AM$1006:$BM$1006,0)), HYPERLINK("#",""), HYPERLINK(CONCATENATE("#metadata!", ADDRESS(INDEX($AH$2:$AH$1001,MATCH(ROWS($AF$2:AF247),$AF$2:$AF$1001,0),0), INDEX($AM$1004:$BM$1004,1,MATCH(COLUMNS($AM$1006:AT1006),$AM$1006:$BM$1006,0)))),"Fix")))</f>
        <v xml:space="preserve"> </v>
      </c>
      <c r="J247" s="4" t="str">
        <f ca="1">IF(OR(INDEX($AG$2:$AG$1001,MATCH(ROWS($AF$2:AF247),$AF$2:$AF$1001,0),1)&gt;=100000,INDEX($AM$1005:$BM$1005,1,MATCH(COLUMNS($AM$1006:AU1006),$AM$1006:$BM$1006,0))&gt;=100000), " ",IF(INDEX($AM$2:$BM$1001,MATCH(ROWS($AF$2:AF247),$AF$2:$AF$1001,0),MATCH(COLUMNS($AM$1006:AU1006),$AM$1006:$BM$1006,0)), HYPERLINK("#",""), HYPERLINK(CONCATENATE("#metadata!", ADDRESS(INDEX($AH$2:$AH$1001,MATCH(ROWS($AF$2:AF247),$AF$2:$AF$1001,0),0), INDEX($AM$1004:$BM$1004,1,MATCH(COLUMNS($AM$1006:AU1006),$AM$1006:$BM$1006,0)))),"Fix")))</f>
        <v xml:space="preserve"> </v>
      </c>
      <c r="K247" s="4" t="str">
        <f ca="1">IF(OR(INDEX($AG$2:$AG$1001,MATCH(ROWS($AF$2:AF247),$AF$2:$AF$1001,0),1)&gt;=100000,INDEX($AM$1005:$BM$1005,1,MATCH(COLUMNS($AM$1006:AV1006),$AM$1006:$BM$1006,0))&gt;=100000), " ",IF(INDEX($AM$2:$BM$1001,MATCH(ROWS($AF$2:AF247),$AF$2:$AF$1001,0),MATCH(COLUMNS($AM$1006:AV1006),$AM$1006:$BM$1006,0)), HYPERLINK("#",""), HYPERLINK(CONCATENATE("#metadata!", ADDRESS(INDEX($AH$2:$AH$1001,MATCH(ROWS($AF$2:AF247),$AF$2:$AF$1001,0),0), INDEX($AM$1004:$BM$1004,1,MATCH(COLUMNS($AM$1006:AV1006),$AM$1006:$BM$1006,0)))),"Fix")))</f>
        <v xml:space="preserve"> </v>
      </c>
      <c r="L247" s="4" t="str">
        <f ca="1">IF(OR(INDEX($AG$2:$AG$1001,MATCH(ROWS($AF$2:AF247),$AF$2:$AF$1001,0),1)&gt;=100000,INDEX($AM$1005:$BM$1005,1,MATCH(COLUMNS($AM$1006:AW1006),$AM$1006:$BM$1006,0))&gt;=100000), " ",IF(INDEX($AM$2:$BM$1001,MATCH(ROWS($AF$2:AF247),$AF$2:$AF$1001,0),MATCH(COLUMNS($AM$1006:AW1006),$AM$1006:$BM$1006,0)), HYPERLINK("#",""), HYPERLINK(CONCATENATE("#metadata!", ADDRESS(INDEX($AH$2:$AH$1001,MATCH(ROWS($AF$2:AF247),$AF$2:$AF$1001,0),0), INDEX($AM$1004:$BM$1004,1,MATCH(COLUMNS($AM$1006:AW1006),$AM$1006:$BM$1006,0)))),"Fix")))</f>
        <v xml:space="preserve"> </v>
      </c>
      <c r="M247" s="4" t="str">
        <f ca="1">IF(OR(INDEX($AG$2:$AG$1001,MATCH(ROWS($AF$2:AF247),$AF$2:$AF$1001,0),1)&gt;=100000,INDEX($AM$1005:$BM$1005,1,MATCH(COLUMNS($AM$1006:AX1006),$AM$1006:$BM$1006,0))&gt;=100000), " ",IF(INDEX($AM$2:$BM$1001,MATCH(ROWS($AF$2:AF247),$AF$2:$AF$1001,0),MATCH(COLUMNS($AM$1006:AX1006),$AM$1006:$BM$1006,0)), HYPERLINK("#",""), HYPERLINK(CONCATENATE("#metadata!", ADDRESS(INDEX($AH$2:$AH$1001,MATCH(ROWS($AF$2:AF247),$AF$2:$AF$1001,0),0), INDEX($AM$1004:$BM$1004,1,MATCH(COLUMNS($AM$1006:AX1006),$AM$1006:$BM$1006,0)))),"Fix")))</f>
        <v xml:space="preserve"> </v>
      </c>
      <c r="N247" s="4" t="str">
        <f ca="1">IF(OR(INDEX($AG$2:$AG$1001,MATCH(ROWS($AF$2:AF247),$AF$2:$AF$1001,0),1)&gt;=100000,INDEX($AM$1005:$BM$1005,1,MATCH(COLUMNS($AM$1006:AY1006),$AM$1006:$BM$1006,0))&gt;=100000), " ",IF(INDEX($AM$2:$BM$1001,MATCH(ROWS($AF$2:AF247),$AF$2:$AF$1001,0),MATCH(COLUMNS($AM$1006:AY1006),$AM$1006:$BM$1006,0)), HYPERLINK("#",""), HYPERLINK(CONCATENATE("#metadata!", ADDRESS(INDEX($AH$2:$AH$1001,MATCH(ROWS($AF$2:AF247),$AF$2:$AF$1001,0),0), INDEX($AM$1004:$BM$1004,1,MATCH(COLUMNS($AM$1006:AY1006),$AM$1006:$BM$1006,0)))),"Fix")))</f>
        <v xml:space="preserve"> </v>
      </c>
      <c r="O247" s="4" t="str">
        <f ca="1">IF(OR(INDEX($AG$2:$AG$1001,MATCH(ROWS($AF$2:AF247),$AF$2:$AF$1001,0),1)&gt;=100000,INDEX($AM$1005:$BM$1005,1,MATCH(COLUMNS($AM$1006:AZ1006),$AM$1006:$BM$1006,0))&gt;=100000), " ",IF(INDEX($AM$2:$BM$1001,MATCH(ROWS($AF$2:AF247),$AF$2:$AF$1001,0),MATCH(COLUMNS($AM$1006:AZ1006),$AM$1006:$BM$1006,0)), HYPERLINK("#",""), HYPERLINK(CONCATENATE("#metadata!", ADDRESS(INDEX($AH$2:$AH$1001,MATCH(ROWS($AF$2:AF247),$AF$2:$AF$1001,0),0), INDEX($AM$1004:$BM$1004,1,MATCH(COLUMNS($AM$1006:AZ1006),$AM$1006:$BM$1006,0)))),"Fix")))</f>
        <v xml:space="preserve"> </v>
      </c>
      <c r="P247" s="4" t="str">
        <f ca="1">IF(OR(INDEX($AG$2:$AG$1001,MATCH(ROWS($AF$2:AF247),$AF$2:$AF$1001,0),1)&gt;=100000,INDEX($AM$1005:$BM$1005,1,MATCH(COLUMNS($AM$1006:BA1006),$AM$1006:$BM$1006,0))&gt;=100000), " ",IF(INDEX($AM$2:$BM$1001,MATCH(ROWS($AF$2:AF247),$AF$2:$AF$1001,0),MATCH(COLUMNS($AM$1006:BA1006),$AM$1006:$BM$1006,0)), HYPERLINK("#",""), HYPERLINK(CONCATENATE("#metadata!", ADDRESS(INDEX($AH$2:$AH$1001,MATCH(ROWS($AF$2:AF247),$AF$2:$AF$1001,0),0), INDEX($AM$1004:$BM$1004,1,MATCH(COLUMNS($AM$1006:BA1006),$AM$1006:$BM$1006,0)))),"Fix")))</f>
        <v xml:space="preserve"> </v>
      </c>
      <c r="Q247" s="4" t="str">
        <f ca="1">IF(OR(INDEX($AG$2:$AG$1001,MATCH(ROWS($AF$2:AF247),$AF$2:$AF$1001,0),1)&gt;=100000,INDEX($AM$1005:$BM$1005,1,MATCH(COLUMNS($AM$1006:BB1006),$AM$1006:$BM$1006,0))&gt;=100000), " ",IF(INDEX($AM$2:$BM$1001,MATCH(ROWS($AF$2:AF247),$AF$2:$AF$1001,0),MATCH(COLUMNS($AM$1006:BB1006),$AM$1006:$BM$1006,0)), HYPERLINK("#",""), HYPERLINK(CONCATENATE("#metadata!", ADDRESS(INDEX($AH$2:$AH$1001,MATCH(ROWS($AF$2:AF247),$AF$2:$AF$1001,0),0), INDEX($AM$1004:$BM$1004,1,MATCH(COLUMNS($AM$1006:BB1006),$AM$1006:$BM$1006,0)))),"Fix")))</f>
        <v xml:space="preserve"> </v>
      </c>
      <c r="R247" s="4" t="str">
        <f ca="1">IF(OR(INDEX($AG$2:$AG$1001,MATCH(ROWS($AF$2:AF247),$AF$2:$AF$1001,0),1)&gt;=100000,INDEX($AM$1005:$BM$1005,1,MATCH(COLUMNS($AM$1006:BC1006),$AM$1006:$BM$1006,0))&gt;=100000), " ",IF(INDEX($AM$2:$BM$1001,MATCH(ROWS($AF$2:AF247),$AF$2:$AF$1001,0),MATCH(COLUMNS($AM$1006:BC1006),$AM$1006:$BM$1006,0)), HYPERLINK("#",""), HYPERLINK(CONCATENATE("#metadata!", ADDRESS(INDEX($AH$2:$AH$1001,MATCH(ROWS($AF$2:AF247),$AF$2:$AF$1001,0),0), INDEX($AM$1004:$BM$1004,1,MATCH(COLUMNS($AM$1006:BC1006),$AM$1006:$BM$1006,0)))),"Fix")))</f>
        <v xml:space="preserve"> </v>
      </c>
      <c r="S247" s="4" t="str">
        <f ca="1">IF(OR(INDEX($AG$2:$AG$1001,MATCH(ROWS($AF$2:AF247),$AF$2:$AF$1001,0),1)&gt;=100000,INDEX($AM$1005:$BM$1005,1,MATCH(COLUMNS($AM$1006:BD1006),$AM$1006:$BM$1006,0))&gt;=100000), " ",IF(INDEX($AM$2:$BM$1001,MATCH(ROWS($AF$2:AF247),$AF$2:$AF$1001,0),MATCH(COLUMNS($AM$1006:BD1006),$AM$1006:$BM$1006,0)), HYPERLINK("#",""), HYPERLINK(CONCATENATE("#metadata!", ADDRESS(INDEX($AH$2:$AH$1001,MATCH(ROWS($AF$2:AF247),$AF$2:$AF$1001,0),0), INDEX($AM$1004:$BM$1004,1,MATCH(COLUMNS($AM$1006:BD1006),$AM$1006:$BM$1006,0)))),"Fix")))</f>
        <v xml:space="preserve"> </v>
      </c>
      <c r="T247" s="4" t="str">
        <f ca="1">IF(OR(INDEX($AG$2:$AG$1001,MATCH(ROWS($AF$2:AF247),$AF$2:$AF$1001,0),1)&gt;=100000,INDEX($AM$1005:$BM$1005,1,MATCH(COLUMNS($AM$1006:BE1006),$AM$1006:$BM$1006,0))&gt;=100000), " ",IF(INDEX($AM$2:$BM$1001,MATCH(ROWS($AF$2:AF247),$AF$2:$AF$1001,0),MATCH(COLUMNS($AM$1006:BE1006),$AM$1006:$BM$1006,0)), HYPERLINK("#",""), HYPERLINK(CONCATENATE("#metadata!", ADDRESS(INDEX($AH$2:$AH$1001,MATCH(ROWS($AF$2:AF247),$AF$2:$AF$1001,0),0), INDEX($AM$1004:$BM$1004,1,MATCH(COLUMNS($AM$1006:BE1006),$AM$1006:$BM$1006,0)))),"Fix")))</f>
        <v xml:space="preserve"> </v>
      </c>
      <c r="U247" s="4" t="str">
        <f ca="1">IF(OR(INDEX($AG$2:$AG$1001,MATCH(ROWS($AF$2:AF247),$AF$2:$AF$1001,0),1)&gt;=100000,INDEX($AM$1005:$BM$1005,1,MATCH(COLUMNS($AM$1006:BF1006),$AM$1006:$BM$1006,0))&gt;=100000), " ",IF(INDEX($AM$2:$BM$1001,MATCH(ROWS($AF$2:AF247),$AF$2:$AF$1001,0),MATCH(COLUMNS($AM$1006:BF1006),$AM$1006:$BM$1006,0)), HYPERLINK("#",""), HYPERLINK(CONCATENATE("#metadata!", ADDRESS(INDEX($AH$2:$AH$1001,MATCH(ROWS($AF$2:AF247),$AF$2:$AF$1001,0),0), INDEX($AM$1004:$BM$1004,1,MATCH(COLUMNS($AM$1006:BF1006),$AM$1006:$BM$1006,0)))),"Fix")))</f>
        <v xml:space="preserve"> </v>
      </c>
      <c r="V247" s="4" t="str">
        <f ca="1">IF(OR(INDEX($AG$2:$AG$1001,MATCH(ROWS($AF$2:AF247),$AF$2:$AF$1001,0),1)&gt;=100000,INDEX($AM$1005:$BM$1005,1,MATCH(COLUMNS($AM$1006:BG1006),$AM$1006:$BM$1006,0))&gt;=100000), " ",IF(INDEX($AM$2:$BM$1001,MATCH(ROWS($AF$2:AF247),$AF$2:$AF$1001,0),MATCH(COLUMNS($AM$1006:BG1006),$AM$1006:$BM$1006,0)), HYPERLINK("#",""), HYPERLINK(CONCATENATE("#metadata!", ADDRESS(INDEX($AH$2:$AH$1001,MATCH(ROWS($AF$2:AF247),$AF$2:$AF$1001,0),0), INDEX($AM$1004:$BM$1004,1,MATCH(COLUMNS($AM$1006:BG1006),$AM$1006:$BM$1006,0)))),"Fix")))</f>
        <v xml:space="preserve"> </v>
      </c>
      <c r="W247" s="4" t="str">
        <f ca="1">IF(OR(INDEX($AG$2:$AG$1001,MATCH(ROWS($AF$2:AF247),$AF$2:$AF$1001,0),1)&gt;=100000,INDEX($AM$1005:$BM$1005,1,MATCH(COLUMNS($AM$1006:BH1006),$AM$1006:$BM$1006,0))&gt;=100000), " ",IF(INDEX($AM$2:$BM$1001,MATCH(ROWS($AF$2:AF247),$AF$2:$AF$1001,0),MATCH(COLUMNS($AM$1006:BH1006),$AM$1006:$BM$1006,0)), HYPERLINK("#",""), HYPERLINK(CONCATENATE("#metadata!", ADDRESS(INDEX($AH$2:$AH$1001,MATCH(ROWS($AF$2:AF247),$AF$2:$AF$1001,0),0), INDEX($AM$1004:$BM$1004,1,MATCH(COLUMNS($AM$1006:BH1006),$AM$1006:$BM$1006,0)))),"Fix")))</f>
        <v xml:space="preserve"> </v>
      </c>
      <c r="X247" s="4" t="str">
        <f ca="1">IF(OR(INDEX($AG$2:$AG$1001,MATCH(ROWS($AF$2:AF247),$AF$2:$AF$1001,0),1)&gt;=100000,INDEX($AM$1005:$BM$1005,1,MATCH(COLUMNS($AM$1006:BI1006),$AM$1006:$BM$1006,0))&gt;=100000), " ",IF(INDEX($AM$2:$BM$1001,MATCH(ROWS($AF$2:AF247),$AF$2:$AF$1001,0),MATCH(COLUMNS($AM$1006:BI1006),$AM$1006:$BM$1006,0)), HYPERLINK("#",""), HYPERLINK(CONCATENATE("#metadata!", ADDRESS(INDEX($AH$2:$AH$1001,MATCH(ROWS($AF$2:AF247),$AF$2:$AF$1001,0),0), INDEX($AM$1004:$BM$1004,1,MATCH(COLUMNS($AM$1006:BI1006),$AM$1006:$BM$1006,0)))),"Fix")))</f>
        <v xml:space="preserve"> </v>
      </c>
      <c r="Y247" s="4" t="str">
        <f ca="1">IF(OR(INDEX($AG$2:$AG$1001,MATCH(ROWS($AF$2:AF247),$AF$2:$AF$1001,0),1)&gt;=100000,INDEX($AM$1005:$BM$1005,1,MATCH(COLUMNS($AM$1006:BJ1006),$AM$1006:$BM$1006,0))&gt;=100000), " ",IF(INDEX($AM$2:$BM$1001,MATCH(ROWS($AF$2:AF247),$AF$2:$AF$1001,0),MATCH(COLUMNS($AM$1006:BJ1006),$AM$1006:$BM$1006,0)), HYPERLINK("#",""), HYPERLINK(CONCATENATE("#metadata!", ADDRESS(INDEX($AH$2:$AH$1001,MATCH(ROWS($AF$2:AF247),$AF$2:$AF$1001,0),0), INDEX($AM$1004:$BM$1004,1,MATCH(COLUMNS($AM$1006:BJ1006),$AM$1006:$BM$1006,0)))),"Fix")))</f>
        <v xml:space="preserve"> </v>
      </c>
      <c r="Z247" s="4" t="str">
        <f ca="1">IF(OR(INDEX($AG$2:$AG$1001,MATCH(ROWS($AF$2:AF247),$AF$2:$AF$1001,0),1)&gt;=100000,INDEX($AM$1005:$BM$1005,1,MATCH(COLUMNS($AM$1006:BK1006),$AM$1006:$BM$1006,0))&gt;=100000), " ",IF(INDEX($AM$2:$BM$1001,MATCH(ROWS($AF$2:AF247),$AF$2:$AF$1001,0),MATCH(COLUMNS($AM$1006:BK1006),$AM$1006:$BM$1006,0)), HYPERLINK("#",""), HYPERLINK(CONCATENATE("#metadata!", ADDRESS(INDEX($AH$2:$AH$1001,MATCH(ROWS($AF$2:AF247),$AF$2:$AF$1001,0),0), INDEX($AM$1004:$BM$1004,1,MATCH(COLUMNS($AM$1006:BK1006),$AM$1006:$BM$1006,0)))),"Fix")))</f>
        <v xml:space="preserve"> </v>
      </c>
      <c r="AA247" s="4" t="str">
        <f ca="1">IF(OR(INDEX($AG$2:$AG$1001,MATCH(ROWS($AF$2:AF247),$AF$2:$AF$1001,0),1)&gt;=100000,INDEX($AM$1005:$BM$1005,1,MATCH(COLUMNS($AM$1006:BL1006),$AM$1006:$BM$1006,0))&gt;=100000), " ",IF(INDEX($AM$2:$BM$1001,MATCH(ROWS($AF$2:AF247),$AF$2:$AF$1001,0),MATCH(COLUMNS($AM$1006:BL1006),$AM$1006:$BM$1006,0)), HYPERLINK("#",""), HYPERLINK(CONCATENATE("#metadata!", ADDRESS(INDEX($AH$2:$AH$1001,MATCH(ROWS($AF$2:AF247),$AF$2:$AF$1001,0),0), INDEX($AM$1004:$BM$1004,1,MATCH(COLUMNS($AM$1006:BL1006),$AM$1006:$BM$1006,0)))),"Fix")))</f>
        <v xml:space="preserve"> </v>
      </c>
      <c r="AB247" s="4" t="str">
        <f ca="1">IF(OR(INDEX($AG$2:$AG$1001,MATCH(ROWS($AF$2:AF247),$AF$2:$AF$1001,0),1)&gt;=100000,INDEX($AM$1005:$BM$1005,1,MATCH(COLUMNS($AM$1006:BM1006),$AM$1006:$BM$1006,0))&gt;=100000), " ",IF(INDEX($AM$2:$BM$1001,MATCH(ROWS($AF$2:AF247),$AF$2:$AF$1001,0),MATCH(COLUMNS($AM$1006:BM1006),$AM$1006:$BM$1006,0)), HYPERLINK("#",""), HYPERLINK(CONCATENATE("#metadata!", ADDRESS(INDEX($AH$2:$AH$1001,MATCH(ROWS($AF$2:AF247),$AF$2:$AF$1001,0),0), INDEX($AM$1004:$BM$1004,1,MATCH(COLUMNS($AM$1006:BM1006),$AM$1006:$BM$1006,0)))),"Fix")))</f>
        <v xml:space="preserve"> </v>
      </c>
      <c r="AF247">
        <v>246</v>
      </c>
      <c r="AG247">
        <v>100247</v>
      </c>
      <c r="AH247">
        <v>247</v>
      </c>
      <c r="AI247" t="b">
        <f t="shared" si="3"/>
        <v>1</v>
      </c>
      <c r="AJ247" t="b">
        <f>COUNTBLANK(metadata!B247:AB247)=COLUMNS(metadata!B247:AB247)</f>
        <v>1</v>
      </c>
      <c r="AK247" t="str">
        <v/>
      </c>
      <c r="AM247" t="b">
        <f ca="1">AND(IF(metadata!B247="",FALSE,TRUE),COUNTIF(metadata!B:B, metadata!B247) = 1,NOT(ISERROR(SUMPRODUCT(SEARCH(MID(metadata!B247,ROW(INDIRECT("1:"&amp;LEN(metadata!B247))), 1),"0123456789abcdefghijklmnopqrstuvwxyzABCDEFGHIJKLMNOPQRSTUVWXYZ.")))))</f>
        <v>0</v>
      </c>
      <c r="AN247" t="b">
        <f ca="1">OR(AND(IF(metadata!C247="",FALSE,TRUE),OR(EXACT(metadata!C247,"missing: not collected"),EXACT(metadata!C247,"missing: not provided"),EXACT(metadata!C247,"missing: restricted access"))),AND(IF(metadata!C247="",FALSE,TRUE),AND(AND(IFERROR(INT(LEFT(metadata!C247,4))&gt;1900,FALSE),IFERROR(INT(LEFT(metadata!C247,4))&lt;=YEAR(NOW()),FALSE)), OR(MID(metadata!C247,5,1)="", AND(AND(MID(metadata!C247,5,1)="-",IFERROR(INT(MID(metadata!C247,6,1))&gt;=0,FALSE),IFERROR(INT(MID(metadata!C247,6,1))&lt;=1,FALSE),NOT(MID(metadata!C247,7,1)=""),IFERROR(INT(MID(metadata!C247,6,2))&gt;=1,FALSE),IFERROR(INT(MID(metadata!C247,6,2))&lt;=12,FALSE)), OR(MID(metadata!C247,8,1)="", AND(AND(MID(metadata!C247,8,1)="-",IFERROR(INT(MID(metadata!C247,9,1))&gt;=0,FALSE),IFERROR(INT(MID(metadata!C247,9,1))&lt;=3,FALSE),NOT(MID(metadata!C247,10,1)=""),IFERROR(INT(MID(metadata!C247,9,2))&gt;=1,FALSE),IFERROR(INT(MID(metadata!C247,9,2))&lt;=31,FALSE)), OR(MID(metadata!C247,11,1)="", AND(AND(MID(metadata!C247,11,1)=" ",IFERROR(INT(MID(metadata!C247,12,1))&gt;=0,FALSE),IFERROR(INT(MID(metadata!C247,12,1))&lt;=2,FALSE),NOT(MID(metadata!C247,13,1)=""),IFERROR(INT(MID(metadata!C247,12,2))&gt;=0,FALSE),IFERROR(INT(MID(metadata!C247,12,2))&lt;=23,FALSE)), OR(MID(metadata!C247,14,1)="", AND(AND(MID(metadata!C247,14,1)=":",IFERROR(INT(MID(metadata!C247,15,1))&gt;=0,FALSE),IFERROR(INT(MID(metadata!C247,15,1))&lt;=5,FALSE),NOT(MID(metadata!C247,16,1)=""),IFERROR(INT(MID(metadata!C247,15,2))&gt;=0,FALSE),IFERROR(INT(MID(metadata!C247,15,2))&lt;=59,FALSE)), OR(MID(metadata!C247,17,1)="", AND(AND(MID(metadata!C247,17,1)=":",IFERROR(INT(MID(metadata!C247,18,1))&gt;=0,FALSE),IFERROR(INT(MID(metadata!C247,18,1))&lt;=5,FALSE),NOT(MID(metadata!C247,19,1)=""),IFERROR(INT(MID(metadata!C247,18,2))&gt;=0,FALSE),IFERROR(INT(MID(metadata!C247,18,2))&lt;=59,FALSE)), LEN(metadata!C247)&lt;=19)))))))))))))</f>
        <v>0</v>
      </c>
      <c r="AO247" t="b">
        <f>AND(IF(metadata!D247="",FALSE,TRUE),EXACT(metadata!D247,"Not applicable"))</f>
        <v>0</v>
      </c>
      <c r="AP247" t="b">
        <f>IF(metadata!E247="",FALSE,TRUE)</f>
        <v>0</v>
      </c>
      <c r="AQ247" t="b">
        <f>OR(AND(IF(metadata!F247="",FALSE,TRUE),OR(EXACT(metadata!F247,"missing: not collected"),EXACT(metadata!F247,"missing: not provided"))),AND(IF(metadata!F247="",FALSE,TRUE),OR(EXACT(metadata!F247,"TRUE"),EXACT(metadata!F247,"FALSE"))))</f>
        <v>0</v>
      </c>
      <c r="AR247" t="b">
        <f>OR(AND(IF(metadata!G247="",FALSE,TRUE),OR(EXACT(metadata!G247,"missing: not collected"),EXACT(metadata!G247,"missing: not provided"),EXACT(metadata!G247,"missing: restricted access"))),AND(IF(metadata!G247="",FALSE,ISNUMBER(VALUE(metadata!G247))),metadata!G247&gt;=-413))</f>
        <v>0</v>
      </c>
      <c r="AS247" t="b">
        <f>AND(IF(metadata!H247="",FALSE,TRUE),EXACT(metadata!H247,"meters"))</f>
        <v>0</v>
      </c>
      <c r="AT247" t="b">
        <f>AND(IF(metadata!I247="",FALSE,TRUE),OR(EXACT(metadata!I247,"Host-associated"),EXACT(metadata!I247,"Free-living")))</f>
        <v>0</v>
      </c>
      <c r="AU247" t="b">
        <f>AND(IF(metadata!J247="",FALSE,TRUE),OR(EXACT(metadata!J247,"Animal"),EXACT(metadata!J247,"Fungus"),EXACT(metadata!J247,"Plant"),EXACT(metadata!J247,"Saline"),EXACT(metadata!J247,"Non-saline")))</f>
        <v>0</v>
      </c>
      <c r="AV247" t="b">
        <f>AND(IF(metadata!K247="",FALSE,TRUE),OR(EXACT(metadata!K247,"Plant secretion"),EXACT(metadata!K247,"Plant rhizosphere"),EXACT(metadata!K247,"Plant surface"),EXACT(metadata!K247,"Plant corpus"),EXACT(metadata!K247,"Fungus surface"),EXACT(metadata!K247,"Fungus corpus"),EXACT(metadata!K247,"Animal surface"),EXACT(metadata!K247,"Animal proximal gut"),EXACT(metadata!K247,"Animal corpus"),EXACT(metadata!K247,"Animal distal gut"),EXACT(metadata!K247,"Animal secretion"),EXACT(metadata!K247,"Sub-surface (non-saline)"),EXACT(metadata!K247,"Surface (non-saline)"),EXACT(metadata!K247,"Water (non-saline)"),EXACT(metadata!K247,"Soil (non-saline)"),EXACT(metadata!K247,"Aerosol (non-saline)"),EXACT(metadata!K247,"Sediment (non-saline)"),EXACT(metadata!K247,"Surface (saline)"),EXACT(metadata!K247,"Water (saline)"),EXACT(metadata!K247,"Hypersaline (saline)"),EXACT(metadata!K247,"Aerosol (saline)"),EXACT(metadata!K247,"Sediment (saline)")))</f>
        <v>0</v>
      </c>
      <c r="AW247" t="b">
        <f>IF(metadata!L247="",FALSE,TRUE)</f>
        <v>0</v>
      </c>
      <c r="AX247" t="b">
        <f>IF(metadata!M247="",FALSE,TRUE)</f>
        <v>0</v>
      </c>
      <c r="AY247" t="b">
        <f>IF(metadata!N247="",FALSE,TRUE)</f>
        <v>0</v>
      </c>
      <c r="AZ247" t="b">
        <f>OR(AND(IF(metadata!O247="",FALSE,TRUE),OR(EXACT(metadata!O247,"missing: not collected"),EXACT(metadata!O247,"missing: not provided"),EXACT(metadata!O247,"missing: restricted access"))),AND(IF(metadata!O247="",FALSE,TRUE),OR(EXACT(metadata!O247,"air"),EXACT(metadata!O247,"built environment"),EXACT(metadata!O247,"host-associated"),EXACT(metadata!O247,"human-associated"),EXACT(metadata!O247,"human-skin"),EXACT(metadata!O247,"human-oral"),EXACT(metadata!O247,"human-gut"),EXACT(metadata!O247,"human-vaginal"),EXACT(metadata!O247,"microbial mat/biofilm"),EXACT(metadata!O247,"misc environment"),EXACT(metadata!O247,"plant-associated"),EXACT(metadata!O247,"sediment"),EXACT(metadata!O247,"soil"),EXACT(metadata!O247,"wastewater/sludge"),EXACT(metadata!O247,"water"))))</f>
        <v>0</v>
      </c>
      <c r="BA247" t="b">
        <f>IF(metadata!P247="",FALSE,TRUE)</f>
        <v>0</v>
      </c>
      <c r="BB247" t="b">
        <f>IF(metadata!Q247="",FALSE,TRUE)</f>
        <v>0</v>
      </c>
      <c r="BC247" t="b">
        <f>OR(AND(IF(metadata!R247="",FALSE,TRUE),OR(EXACT(metadata!R247,"missing: not collected"),EXACT(metadata!R247,"missing: not provided"),EXACT(metadata!R247,"missing: restricted access"))),AND(IF(metadata!R247="",FALSE,ISNUMBER(VALUE(metadata!R247))),metadata!R247&gt;=-90,metadata!R247&lt;=90))</f>
        <v>0</v>
      </c>
      <c r="BD247" t="b">
        <f>AND(IF(metadata!S247="",FALSE,TRUE),EXACT(metadata!S247,"Decimal degrees"))</f>
        <v>0</v>
      </c>
      <c r="BE247" t="b">
        <f>OR(AND(IF(metadata!T247="",FALSE,TRUE),OR(EXACT(metadata!T247,"missing: not collected"),EXACT(metadata!T247,"missing: not provided"),EXACT(metadata!T247,"missing: restricted access"))),AND(IF(metadata!T247="",FALSE,ISNUMBER(VALUE(metadata!T247))),metadata!T247&gt;=-180,metadata!T247&lt;=180))</f>
        <v>0</v>
      </c>
      <c r="BF247" t="b">
        <f>AND(IF(metadata!U247="",FALSE,TRUE),EXACT(metadata!U247,"Decimal degrees"))</f>
        <v>0</v>
      </c>
      <c r="BG247" t="b">
        <f>IF(metadata!V247="",FALSE,TRUE)</f>
        <v>0</v>
      </c>
      <c r="BH247" t="b">
        <f>OR(AND(IF(metadata!W247="",FALSE,TRUE),OR(EXACT(metadata!W247,"missing: not collected"),EXACT(metadata!W247,"missing: not provided"),EXACT(metadata!W247,"missing: restricted access"))),AND(IF(metadata!W247="",FALSE,TRUE),OR(EXACT(metadata!W247,"TRUE"),EXACT(metadata!W247,"FALSE"))))</f>
        <v>0</v>
      </c>
      <c r="BI247" t="b">
        <f>AND(IF(metadata!X247="",FALSE,TRUE),EXACT(metadata!X247,"other"))</f>
        <v>0</v>
      </c>
      <c r="BJ247" t="b">
        <f>IF(metadata!Y247="",FALSE,TRUE)</f>
        <v>0</v>
      </c>
      <c r="BK247" t="b">
        <f>OR(AND(IF(metadata!Z247="",FALSE,TRUE),OR(EXACT(metadata!Z247,"missing: not collected"),EXACT(metadata!Z247,"missing: not provided"))),AND(IF(metadata!Z247="",FALSE,IF(ISERROR(INT(metadata!Z247)),FALSE,INT(metadata!Z247)=metadata!Z247)),metadata!Z247&gt;0))</f>
        <v>0</v>
      </c>
      <c r="BL247" t="b">
        <f>AND(IF(metadata!AA247="",FALSE,TRUE),EXACT(metadata!AA247,"Not applicable"))</f>
        <v>0</v>
      </c>
      <c r="BM247" t="b">
        <f>IF(metadata!AB247="",FALSE,TRUE)</f>
        <v>0</v>
      </c>
    </row>
    <row r="248" spans="1:65" x14ac:dyDescent="0.2">
      <c r="A248" s="5" t="str">
        <f ca="1">IF(B248=" "," ",HYPERLINK(CONCATENATE("#metadata!",ADDRESS(INDEX($AH$2:$AH$1001,MATCH(ROWS($AF$2:AF248),$AF$2:$AF$1001,0),0),1)),INDEX($AK$2:$AK$1001,MATCH(ROWS($AF$2:AF248),$AF$2:$AF$1001,0),0)))</f>
        <v xml:space="preserve"> </v>
      </c>
      <c r="B248" s="4" t="str">
        <f ca="1">IF(OR(INDEX($AG$2:$AG$1001,MATCH(ROWS($AF$2:AF248),$AF$2:$AF$1001,0),1)&gt;=100000,INDEX($AM$1005:$BM$1005,1,MATCH(COLUMNS($AM$1006:AM1006),$AM$1006:$BM$1006,0))&gt;=100000), " ",IF(INDEX($AM$2:$BM$1001,MATCH(ROWS($AF$2:AF248),$AF$2:$AF$1001,0),MATCH(COLUMNS($AM$1006:AM1006),$AM$1006:$BM$1006,0)), HYPERLINK("#",""), HYPERLINK(CONCATENATE("#metadata!", ADDRESS(INDEX($AH$2:$AH$1001,MATCH(ROWS($AF$2:AF248),$AF$2:$AF$1001,0),0), INDEX($AM$1004:$BM$1004,1,MATCH(COLUMNS($AM$1006:AM1006),$AM$1006:$BM$1006,0)))),"Fix")))</f>
        <v xml:space="preserve"> </v>
      </c>
      <c r="C248" s="4" t="str">
        <f ca="1">IF(OR(INDEX($AG$2:$AG$1001,MATCH(ROWS($AF$2:AF248),$AF$2:$AF$1001,0),1)&gt;=100000,INDEX($AM$1005:$BM$1005,1,MATCH(COLUMNS($AM$1006:AN1006),$AM$1006:$BM$1006,0))&gt;=100000), " ",IF(INDEX($AM$2:$BM$1001,MATCH(ROWS($AF$2:AF248),$AF$2:$AF$1001,0),MATCH(COLUMNS($AM$1006:AN1006),$AM$1006:$BM$1006,0)), HYPERLINK("#",""), HYPERLINK(CONCATENATE("#metadata!", ADDRESS(INDEX($AH$2:$AH$1001,MATCH(ROWS($AF$2:AF248),$AF$2:$AF$1001,0),0), INDEX($AM$1004:$BM$1004,1,MATCH(COLUMNS($AM$1006:AN1006),$AM$1006:$BM$1006,0)))),"Fix")))</f>
        <v xml:space="preserve"> </v>
      </c>
      <c r="D248" s="4" t="str">
        <f ca="1">IF(OR(INDEX($AG$2:$AG$1001,MATCH(ROWS($AF$2:AF248),$AF$2:$AF$1001,0),1)&gt;=100000,INDEX($AM$1005:$BM$1005,1,MATCH(COLUMNS($AM$1006:AO1006),$AM$1006:$BM$1006,0))&gt;=100000), " ",IF(INDEX($AM$2:$BM$1001,MATCH(ROWS($AF$2:AF248),$AF$2:$AF$1001,0),MATCH(COLUMNS($AM$1006:AO1006),$AM$1006:$BM$1006,0)), HYPERLINK("#",""), HYPERLINK(CONCATENATE("#metadata!", ADDRESS(INDEX($AH$2:$AH$1001,MATCH(ROWS($AF$2:AF248),$AF$2:$AF$1001,0),0), INDEX($AM$1004:$BM$1004,1,MATCH(COLUMNS($AM$1006:AO1006),$AM$1006:$BM$1006,0)))),"Fix")))</f>
        <v xml:space="preserve"> </v>
      </c>
      <c r="E248" s="4" t="str">
        <f ca="1">IF(OR(INDEX($AG$2:$AG$1001,MATCH(ROWS($AF$2:AF248),$AF$2:$AF$1001,0),1)&gt;=100000,INDEX($AM$1005:$BM$1005,1,MATCH(COLUMNS($AM$1006:AP1006),$AM$1006:$BM$1006,0))&gt;=100000), " ",IF(INDEX($AM$2:$BM$1001,MATCH(ROWS($AF$2:AF248),$AF$2:$AF$1001,0),MATCH(COLUMNS($AM$1006:AP1006),$AM$1006:$BM$1006,0)), HYPERLINK("#",""), HYPERLINK(CONCATENATE("#metadata!", ADDRESS(INDEX($AH$2:$AH$1001,MATCH(ROWS($AF$2:AF248),$AF$2:$AF$1001,0),0), INDEX($AM$1004:$BM$1004,1,MATCH(COLUMNS($AM$1006:AP1006),$AM$1006:$BM$1006,0)))),"Fix")))</f>
        <v xml:space="preserve"> </v>
      </c>
      <c r="F248" s="4" t="str">
        <f ca="1">IF(OR(INDEX($AG$2:$AG$1001,MATCH(ROWS($AF$2:AF248),$AF$2:$AF$1001,0),1)&gt;=100000,INDEX($AM$1005:$BM$1005,1,MATCH(COLUMNS($AM$1006:AQ1006),$AM$1006:$BM$1006,0))&gt;=100000), " ",IF(INDEX($AM$2:$BM$1001,MATCH(ROWS($AF$2:AF248),$AF$2:$AF$1001,0),MATCH(COLUMNS($AM$1006:AQ1006),$AM$1006:$BM$1006,0)), HYPERLINK("#",""), HYPERLINK(CONCATENATE("#metadata!", ADDRESS(INDEX($AH$2:$AH$1001,MATCH(ROWS($AF$2:AF248),$AF$2:$AF$1001,0),0), INDEX($AM$1004:$BM$1004,1,MATCH(COLUMNS($AM$1006:AQ1006),$AM$1006:$BM$1006,0)))),"Fix")))</f>
        <v xml:space="preserve"> </v>
      </c>
      <c r="G248" s="4" t="str">
        <f ca="1">IF(OR(INDEX($AG$2:$AG$1001,MATCH(ROWS($AF$2:AF248),$AF$2:$AF$1001,0),1)&gt;=100000,INDEX($AM$1005:$BM$1005,1,MATCH(COLUMNS($AM$1006:AR1006),$AM$1006:$BM$1006,0))&gt;=100000), " ",IF(INDEX($AM$2:$BM$1001,MATCH(ROWS($AF$2:AF248),$AF$2:$AF$1001,0),MATCH(COLUMNS($AM$1006:AR1006),$AM$1006:$BM$1006,0)), HYPERLINK("#",""), HYPERLINK(CONCATENATE("#metadata!", ADDRESS(INDEX($AH$2:$AH$1001,MATCH(ROWS($AF$2:AF248),$AF$2:$AF$1001,0),0), INDEX($AM$1004:$BM$1004,1,MATCH(COLUMNS($AM$1006:AR1006),$AM$1006:$BM$1006,0)))),"Fix")))</f>
        <v xml:space="preserve"> </v>
      </c>
      <c r="H248" s="4" t="str">
        <f ca="1">IF(OR(INDEX($AG$2:$AG$1001,MATCH(ROWS($AF$2:AF248),$AF$2:$AF$1001,0),1)&gt;=100000,INDEX($AM$1005:$BM$1005,1,MATCH(COLUMNS($AM$1006:AS1006),$AM$1006:$BM$1006,0))&gt;=100000), " ",IF(INDEX($AM$2:$BM$1001,MATCH(ROWS($AF$2:AF248),$AF$2:$AF$1001,0),MATCH(COLUMNS($AM$1006:AS1006),$AM$1006:$BM$1006,0)), HYPERLINK("#",""), HYPERLINK(CONCATENATE("#metadata!", ADDRESS(INDEX($AH$2:$AH$1001,MATCH(ROWS($AF$2:AF248),$AF$2:$AF$1001,0),0), INDEX($AM$1004:$BM$1004,1,MATCH(COLUMNS($AM$1006:AS1006),$AM$1006:$BM$1006,0)))),"Fix")))</f>
        <v xml:space="preserve"> </v>
      </c>
      <c r="I248" s="4" t="str">
        <f ca="1">IF(OR(INDEX($AG$2:$AG$1001,MATCH(ROWS($AF$2:AF248),$AF$2:$AF$1001,0),1)&gt;=100000,INDEX($AM$1005:$BM$1005,1,MATCH(COLUMNS($AM$1006:AT1006),$AM$1006:$BM$1006,0))&gt;=100000), " ",IF(INDEX($AM$2:$BM$1001,MATCH(ROWS($AF$2:AF248),$AF$2:$AF$1001,0),MATCH(COLUMNS($AM$1006:AT1006),$AM$1006:$BM$1006,0)), HYPERLINK("#",""), HYPERLINK(CONCATENATE("#metadata!", ADDRESS(INDEX($AH$2:$AH$1001,MATCH(ROWS($AF$2:AF248),$AF$2:$AF$1001,0),0), INDEX($AM$1004:$BM$1004,1,MATCH(COLUMNS($AM$1006:AT1006),$AM$1006:$BM$1006,0)))),"Fix")))</f>
        <v xml:space="preserve"> </v>
      </c>
      <c r="J248" s="4" t="str">
        <f ca="1">IF(OR(INDEX($AG$2:$AG$1001,MATCH(ROWS($AF$2:AF248),$AF$2:$AF$1001,0),1)&gt;=100000,INDEX($AM$1005:$BM$1005,1,MATCH(COLUMNS($AM$1006:AU1006),$AM$1006:$BM$1006,0))&gt;=100000), " ",IF(INDEX($AM$2:$BM$1001,MATCH(ROWS($AF$2:AF248),$AF$2:$AF$1001,0),MATCH(COLUMNS($AM$1006:AU1006),$AM$1006:$BM$1006,0)), HYPERLINK("#",""), HYPERLINK(CONCATENATE("#metadata!", ADDRESS(INDEX($AH$2:$AH$1001,MATCH(ROWS($AF$2:AF248),$AF$2:$AF$1001,0),0), INDEX($AM$1004:$BM$1004,1,MATCH(COLUMNS($AM$1006:AU1006),$AM$1006:$BM$1006,0)))),"Fix")))</f>
        <v xml:space="preserve"> </v>
      </c>
      <c r="K248" s="4" t="str">
        <f ca="1">IF(OR(INDEX($AG$2:$AG$1001,MATCH(ROWS($AF$2:AF248),$AF$2:$AF$1001,0),1)&gt;=100000,INDEX($AM$1005:$BM$1005,1,MATCH(COLUMNS($AM$1006:AV1006),$AM$1006:$BM$1006,0))&gt;=100000), " ",IF(INDEX($AM$2:$BM$1001,MATCH(ROWS($AF$2:AF248),$AF$2:$AF$1001,0),MATCH(COLUMNS($AM$1006:AV1006),$AM$1006:$BM$1006,0)), HYPERLINK("#",""), HYPERLINK(CONCATENATE("#metadata!", ADDRESS(INDEX($AH$2:$AH$1001,MATCH(ROWS($AF$2:AF248),$AF$2:$AF$1001,0),0), INDEX($AM$1004:$BM$1004,1,MATCH(COLUMNS($AM$1006:AV1006),$AM$1006:$BM$1006,0)))),"Fix")))</f>
        <v xml:space="preserve"> </v>
      </c>
      <c r="L248" s="4" t="str">
        <f ca="1">IF(OR(INDEX($AG$2:$AG$1001,MATCH(ROWS($AF$2:AF248),$AF$2:$AF$1001,0),1)&gt;=100000,INDEX($AM$1005:$BM$1005,1,MATCH(COLUMNS($AM$1006:AW1006),$AM$1006:$BM$1006,0))&gt;=100000), " ",IF(INDEX($AM$2:$BM$1001,MATCH(ROWS($AF$2:AF248),$AF$2:$AF$1001,0),MATCH(COLUMNS($AM$1006:AW1006),$AM$1006:$BM$1006,0)), HYPERLINK("#",""), HYPERLINK(CONCATENATE("#metadata!", ADDRESS(INDEX($AH$2:$AH$1001,MATCH(ROWS($AF$2:AF248),$AF$2:$AF$1001,0),0), INDEX($AM$1004:$BM$1004,1,MATCH(COLUMNS($AM$1006:AW1006),$AM$1006:$BM$1006,0)))),"Fix")))</f>
        <v xml:space="preserve"> </v>
      </c>
      <c r="M248" s="4" t="str">
        <f ca="1">IF(OR(INDEX($AG$2:$AG$1001,MATCH(ROWS($AF$2:AF248),$AF$2:$AF$1001,0),1)&gt;=100000,INDEX($AM$1005:$BM$1005,1,MATCH(COLUMNS($AM$1006:AX1006),$AM$1006:$BM$1006,0))&gt;=100000), " ",IF(INDEX($AM$2:$BM$1001,MATCH(ROWS($AF$2:AF248),$AF$2:$AF$1001,0),MATCH(COLUMNS($AM$1006:AX1006),$AM$1006:$BM$1006,0)), HYPERLINK("#",""), HYPERLINK(CONCATENATE("#metadata!", ADDRESS(INDEX($AH$2:$AH$1001,MATCH(ROWS($AF$2:AF248),$AF$2:$AF$1001,0),0), INDEX($AM$1004:$BM$1004,1,MATCH(COLUMNS($AM$1006:AX1006),$AM$1006:$BM$1006,0)))),"Fix")))</f>
        <v xml:space="preserve"> </v>
      </c>
      <c r="N248" s="4" t="str">
        <f ca="1">IF(OR(INDEX($AG$2:$AG$1001,MATCH(ROWS($AF$2:AF248),$AF$2:$AF$1001,0),1)&gt;=100000,INDEX($AM$1005:$BM$1005,1,MATCH(COLUMNS($AM$1006:AY1006),$AM$1006:$BM$1006,0))&gt;=100000), " ",IF(INDEX($AM$2:$BM$1001,MATCH(ROWS($AF$2:AF248),$AF$2:$AF$1001,0),MATCH(COLUMNS($AM$1006:AY1006),$AM$1006:$BM$1006,0)), HYPERLINK("#",""), HYPERLINK(CONCATENATE("#metadata!", ADDRESS(INDEX($AH$2:$AH$1001,MATCH(ROWS($AF$2:AF248),$AF$2:$AF$1001,0),0), INDEX($AM$1004:$BM$1004,1,MATCH(COLUMNS($AM$1006:AY1006),$AM$1006:$BM$1006,0)))),"Fix")))</f>
        <v xml:space="preserve"> </v>
      </c>
      <c r="O248" s="4" t="str">
        <f ca="1">IF(OR(INDEX($AG$2:$AG$1001,MATCH(ROWS($AF$2:AF248),$AF$2:$AF$1001,0),1)&gt;=100000,INDEX($AM$1005:$BM$1005,1,MATCH(COLUMNS($AM$1006:AZ1006),$AM$1006:$BM$1006,0))&gt;=100000), " ",IF(INDEX($AM$2:$BM$1001,MATCH(ROWS($AF$2:AF248),$AF$2:$AF$1001,0),MATCH(COLUMNS($AM$1006:AZ1006),$AM$1006:$BM$1006,0)), HYPERLINK("#",""), HYPERLINK(CONCATENATE("#metadata!", ADDRESS(INDEX($AH$2:$AH$1001,MATCH(ROWS($AF$2:AF248),$AF$2:$AF$1001,0),0), INDEX($AM$1004:$BM$1004,1,MATCH(COLUMNS($AM$1006:AZ1006),$AM$1006:$BM$1006,0)))),"Fix")))</f>
        <v xml:space="preserve"> </v>
      </c>
      <c r="P248" s="4" t="str">
        <f ca="1">IF(OR(INDEX($AG$2:$AG$1001,MATCH(ROWS($AF$2:AF248),$AF$2:$AF$1001,0),1)&gt;=100000,INDEX($AM$1005:$BM$1005,1,MATCH(COLUMNS($AM$1006:BA1006),$AM$1006:$BM$1006,0))&gt;=100000), " ",IF(INDEX($AM$2:$BM$1001,MATCH(ROWS($AF$2:AF248),$AF$2:$AF$1001,0),MATCH(COLUMNS($AM$1006:BA1006),$AM$1006:$BM$1006,0)), HYPERLINK("#",""), HYPERLINK(CONCATENATE("#metadata!", ADDRESS(INDEX($AH$2:$AH$1001,MATCH(ROWS($AF$2:AF248),$AF$2:$AF$1001,0),0), INDEX($AM$1004:$BM$1004,1,MATCH(COLUMNS($AM$1006:BA1006),$AM$1006:$BM$1006,0)))),"Fix")))</f>
        <v xml:space="preserve"> </v>
      </c>
      <c r="Q248" s="4" t="str">
        <f ca="1">IF(OR(INDEX($AG$2:$AG$1001,MATCH(ROWS($AF$2:AF248),$AF$2:$AF$1001,0),1)&gt;=100000,INDEX($AM$1005:$BM$1005,1,MATCH(COLUMNS($AM$1006:BB1006),$AM$1006:$BM$1006,0))&gt;=100000), " ",IF(INDEX($AM$2:$BM$1001,MATCH(ROWS($AF$2:AF248),$AF$2:$AF$1001,0),MATCH(COLUMNS($AM$1006:BB1006),$AM$1006:$BM$1006,0)), HYPERLINK("#",""), HYPERLINK(CONCATENATE("#metadata!", ADDRESS(INDEX($AH$2:$AH$1001,MATCH(ROWS($AF$2:AF248),$AF$2:$AF$1001,0),0), INDEX($AM$1004:$BM$1004,1,MATCH(COLUMNS($AM$1006:BB1006),$AM$1006:$BM$1006,0)))),"Fix")))</f>
        <v xml:space="preserve"> </v>
      </c>
      <c r="R248" s="4" t="str">
        <f ca="1">IF(OR(INDEX($AG$2:$AG$1001,MATCH(ROWS($AF$2:AF248),$AF$2:$AF$1001,0),1)&gt;=100000,INDEX($AM$1005:$BM$1005,1,MATCH(COLUMNS($AM$1006:BC1006),$AM$1006:$BM$1006,0))&gt;=100000), " ",IF(INDEX($AM$2:$BM$1001,MATCH(ROWS($AF$2:AF248),$AF$2:$AF$1001,0),MATCH(COLUMNS($AM$1006:BC1006),$AM$1006:$BM$1006,0)), HYPERLINK("#",""), HYPERLINK(CONCATENATE("#metadata!", ADDRESS(INDEX($AH$2:$AH$1001,MATCH(ROWS($AF$2:AF248),$AF$2:$AF$1001,0),0), INDEX($AM$1004:$BM$1004,1,MATCH(COLUMNS($AM$1006:BC1006),$AM$1006:$BM$1006,0)))),"Fix")))</f>
        <v xml:space="preserve"> </v>
      </c>
      <c r="S248" s="4" t="str">
        <f ca="1">IF(OR(INDEX($AG$2:$AG$1001,MATCH(ROWS($AF$2:AF248),$AF$2:$AF$1001,0),1)&gt;=100000,INDEX($AM$1005:$BM$1005,1,MATCH(COLUMNS($AM$1006:BD1006),$AM$1006:$BM$1006,0))&gt;=100000), " ",IF(INDEX($AM$2:$BM$1001,MATCH(ROWS($AF$2:AF248),$AF$2:$AF$1001,0),MATCH(COLUMNS($AM$1006:BD1006),$AM$1006:$BM$1006,0)), HYPERLINK("#",""), HYPERLINK(CONCATENATE("#metadata!", ADDRESS(INDEX($AH$2:$AH$1001,MATCH(ROWS($AF$2:AF248),$AF$2:$AF$1001,0),0), INDEX($AM$1004:$BM$1004,1,MATCH(COLUMNS($AM$1006:BD1006),$AM$1006:$BM$1006,0)))),"Fix")))</f>
        <v xml:space="preserve"> </v>
      </c>
      <c r="T248" s="4" t="str">
        <f ca="1">IF(OR(INDEX($AG$2:$AG$1001,MATCH(ROWS($AF$2:AF248),$AF$2:$AF$1001,0),1)&gt;=100000,INDEX($AM$1005:$BM$1005,1,MATCH(COLUMNS($AM$1006:BE1006),$AM$1006:$BM$1006,0))&gt;=100000), " ",IF(INDEX($AM$2:$BM$1001,MATCH(ROWS($AF$2:AF248),$AF$2:$AF$1001,0),MATCH(COLUMNS($AM$1006:BE1006),$AM$1006:$BM$1006,0)), HYPERLINK("#",""), HYPERLINK(CONCATENATE("#metadata!", ADDRESS(INDEX($AH$2:$AH$1001,MATCH(ROWS($AF$2:AF248),$AF$2:$AF$1001,0),0), INDEX($AM$1004:$BM$1004,1,MATCH(COLUMNS($AM$1006:BE1006),$AM$1006:$BM$1006,0)))),"Fix")))</f>
        <v xml:space="preserve"> </v>
      </c>
      <c r="U248" s="4" t="str">
        <f ca="1">IF(OR(INDEX($AG$2:$AG$1001,MATCH(ROWS($AF$2:AF248),$AF$2:$AF$1001,0),1)&gt;=100000,INDEX($AM$1005:$BM$1005,1,MATCH(COLUMNS($AM$1006:BF1006),$AM$1006:$BM$1006,0))&gt;=100000), " ",IF(INDEX($AM$2:$BM$1001,MATCH(ROWS($AF$2:AF248),$AF$2:$AF$1001,0),MATCH(COLUMNS($AM$1006:BF1006),$AM$1006:$BM$1006,0)), HYPERLINK("#",""), HYPERLINK(CONCATENATE("#metadata!", ADDRESS(INDEX($AH$2:$AH$1001,MATCH(ROWS($AF$2:AF248),$AF$2:$AF$1001,0),0), INDEX($AM$1004:$BM$1004,1,MATCH(COLUMNS($AM$1006:BF1006),$AM$1006:$BM$1006,0)))),"Fix")))</f>
        <v xml:space="preserve"> </v>
      </c>
      <c r="V248" s="4" t="str">
        <f ca="1">IF(OR(INDEX($AG$2:$AG$1001,MATCH(ROWS($AF$2:AF248),$AF$2:$AF$1001,0),1)&gt;=100000,INDEX($AM$1005:$BM$1005,1,MATCH(COLUMNS($AM$1006:BG1006),$AM$1006:$BM$1006,0))&gt;=100000), " ",IF(INDEX($AM$2:$BM$1001,MATCH(ROWS($AF$2:AF248),$AF$2:$AF$1001,0),MATCH(COLUMNS($AM$1006:BG1006),$AM$1006:$BM$1006,0)), HYPERLINK("#",""), HYPERLINK(CONCATENATE("#metadata!", ADDRESS(INDEX($AH$2:$AH$1001,MATCH(ROWS($AF$2:AF248),$AF$2:$AF$1001,0),0), INDEX($AM$1004:$BM$1004,1,MATCH(COLUMNS($AM$1006:BG1006),$AM$1006:$BM$1006,0)))),"Fix")))</f>
        <v xml:space="preserve"> </v>
      </c>
      <c r="W248" s="4" t="str">
        <f ca="1">IF(OR(INDEX($AG$2:$AG$1001,MATCH(ROWS($AF$2:AF248),$AF$2:$AF$1001,0),1)&gt;=100000,INDEX($AM$1005:$BM$1005,1,MATCH(COLUMNS($AM$1006:BH1006),$AM$1006:$BM$1006,0))&gt;=100000), " ",IF(INDEX($AM$2:$BM$1001,MATCH(ROWS($AF$2:AF248),$AF$2:$AF$1001,0),MATCH(COLUMNS($AM$1006:BH1006),$AM$1006:$BM$1006,0)), HYPERLINK("#",""), HYPERLINK(CONCATENATE("#metadata!", ADDRESS(INDEX($AH$2:$AH$1001,MATCH(ROWS($AF$2:AF248),$AF$2:$AF$1001,0),0), INDEX($AM$1004:$BM$1004,1,MATCH(COLUMNS($AM$1006:BH1006),$AM$1006:$BM$1006,0)))),"Fix")))</f>
        <v xml:space="preserve"> </v>
      </c>
      <c r="X248" s="4" t="str">
        <f ca="1">IF(OR(INDEX($AG$2:$AG$1001,MATCH(ROWS($AF$2:AF248),$AF$2:$AF$1001,0),1)&gt;=100000,INDEX($AM$1005:$BM$1005,1,MATCH(COLUMNS($AM$1006:BI1006),$AM$1006:$BM$1006,0))&gt;=100000), " ",IF(INDEX($AM$2:$BM$1001,MATCH(ROWS($AF$2:AF248),$AF$2:$AF$1001,0),MATCH(COLUMNS($AM$1006:BI1006),$AM$1006:$BM$1006,0)), HYPERLINK("#",""), HYPERLINK(CONCATENATE("#metadata!", ADDRESS(INDEX($AH$2:$AH$1001,MATCH(ROWS($AF$2:AF248),$AF$2:$AF$1001,0),0), INDEX($AM$1004:$BM$1004,1,MATCH(COLUMNS($AM$1006:BI1006),$AM$1006:$BM$1006,0)))),"Fix")))</f>
        <v xml:space="preserve"> </v>
      </c>
      <c r="Y248" s="4" t="str">
        <f ca="1">IF(OR(INDEX($AG$2:$AG$1001,MATCH(ROWS($AF$2:AF248),$AF$2:$AF$1001,0),1)&gt;=100000,INDEX($AM$1005:$BM$1005,1,MATCH(COLUMNS($AM$1006:BJ1006),$AM$1006:$BM$1006,0))&gt;=100000), " ",IF(INDEX($AM$2:$BM$1001,MATCH(ROWS($AF$2:AF248),$AF$2:$AF$1001,0),MATCH(COLUMNS($AM$1006:BJ1006),$AM$1006:$BM$1006,0)), HYPERLINK("#",""), HYPERLINK(CONCATENATE("#metadata!", ADDRESS(INDEX($AH$2:$AH$1001,MATCH(ROWS($AF$2:AF248),$AF$2:$AF$1001,0),0), INDEX($AM$1004:$BM$1004,1,MATCH(COLUMNS($AM$1006:BJ1006),$AM$1006:$BM$1006,0)))),"Fix")))</f>
        <v xml:space="preserve"> </v>
      </c>
      <c r="Z248" s="4" t="str">
        <f ca="1">IF(OR(INDEX($AG$2:$AG$1001,MATCH(ROWS($AF$2:AF248),$AF$2:$AF$1001,0),1)&gt;=100000,INDEX($AM$1005:$BM$1005,1,MATCH(COLUMNS($AM$1006:BK1006),$AM$1006:$BM$1006,0))&gt;=100000), " ",IF(INDEX($AM$2:$BM$1001,MATCH(ROWS($AF$2:AF248),$AF$2:$AF$1001,0),MATCH(COLUMNS($AM$1006:BK1006),$AM$1006:$BM$1006,0)), HYPERLINK("#",""), HYPERLINK(CONCATENATE("#metadata!", ADDRESS(INDEX($AH$2:$AH$1001,MATCH(ROWS($AF$2:AF248),$AF$2:$AF$1001,0),0), INDEX($AM$1004:$BM$1004,1,MATCH(COLUMNS($AM$1006:BK1006),$AM$1006:$BM$1006,0)))),"Fix")))</f>
        <v xml:space="preserve"> </v>
      </c>
      <c r="AA248" s="4" t="str">
        <f ca="1">IF(OR(INDEX($AG$2:$AG$1001,MATCH(ROWS($AF$2:AF248),$AF$2:$AF$1001,0),1)&gt;=100000,INDEX($AM$1005:$BM$1005,1,MATCH(COLUMNS($AM$1006:BL1006),$AM$1006:$BM$1006,0))&gt;=100000), " ",IF(INDEX($AM$2:$BM$1001,MATCH(ROWS($AF$2:AF248),$AF$2:$AF$1001,0),MATCH(COLUMNS($AM$1006:BL1006),$AM$1006:$BM$1006,0)), HYPERLINK("#",""), HYPERLINK(CONCATENATE("#metadata!", ADDRESS(INDEX($AH$2:$AH$1001,MATCH(ROWS($AF$2:AF248),$AF$2:$AF$1001,0),0), INDEX($AM$1004:$BM$1004,1,MATCH(COLUMNS($AM$1006:BL1006),$AM$1006:$BM$1006,0)))),"Fix")))</f>
        <v xml:space="preserve"> </v>
      </c>
      <c r="AB248" s="4" t="str">
        <f ca="1">IF(OR(INDEX($AG$2:$AG$1001,MATCH(ROWS($AF$2:AF248),$AF$2:$AF$1001,0),1)&gt;=100000,INDEX($AM$1005:$BM$1005,1,MATCH(COLUMNS($AM$1006:BM1006),$AM$1006:$BM$1006,0))&gt;=100000), " ",IF(INDEX($AM$2:$BM$1001,MATCH(ROWS($AF$2:AF248),$AF$2:$AF$1001,0),MATCH(COLUMNS($AM$1006:BM1006),$AM$1006:$BM$1006,0)), HYPERLINK("#",""), HYPERLINK(CONCATENATE("#metadata!", ADDRESS(INDEX($AH$2:$AH$1001,MATCH(ROWS($AF$2:AF248),$AF$2:$AF$1001,0),0), INDEX($AM$1004:$BM$1004,1,MATCH(COLUMNS($AM$1006:BM1006),$AM$1006:$BM$1006,0)))),"Fix")))</f>
        <v xml:space="preserve"> </v>
      </c>
      <c r="AF248">
        <v>247</v>
      </c>
      <c r="AG248">
        <v>100248</v>
      </c>
      <c r="AH248">
        <v>248</v>
      </c>
      <c r="AI248" t="b">
        <f t="shared" si="3"/>
        <v>1</v>
      </c>
      <c r="AJ248" t="b">
        <f>COUNTBLANK(metadata!B248:AB248)=COLUMNS(metadata!B248:AB248)</f>
        <v>1</v>
      </c>
      <c r="AK248" t="str">
        <v/>
      </c>
      <c r="AM248" t="b">
        <f ca="1">AND(IF(metadata!B248="",FALSE,TRUE),COUNTIF(metadata!B:B, metadata!B248) = 1,NOT(ISERROR(SUMPRODUCT(SEARCH(MID(metadata!B248,ROW(INDIRECT("1:"&amp;LEN(metadata!B248))), 1),"0123456789abcdefghijklmnopqrstuvwxyzABCDEFGHIJKLMNOPQRSTUVWXYZ.")))))</f>
        <v>0</v>
      </c>
      <c r="AN248" t="b">
        <f ca="1">OR(AND(IF(metadata!C248="",FALSE,TRUE),OR(EXACT(metadata!C248,"missing: not collected"),EXACT(metadata!C248,"missing: not provided"),EXACT(metadata!C248,"missing: restricted access"))),AND(IF(metadata!C248="",FALSE,TRUE),AND(AND(IFERROR(INT(LEFT(metadata!C248,4))&gt;1900,FALSE),IFERROR(INT(LEFT(metadata!C248,4))&lt;=YEAR(NOW()),FALSE)), OR(MID(metadata!C248,5,1)="", AND(AND(MID(metadata!C248,5,1)="-",IFERROR(INT(MID(metadata!C248,6,1))&gt;=0,FALSE),IFERROR(INT(MID(metadata!C248,6,1))&lt;=1,FALSE),NOT(MID(metadata!C248,7,1)=""),IFERROR(INT(MID(metadata!C248,6,2))&gt;=1,FALSE),IFERROR(INT(MID(metadata!C248,6,2))&lt;=12,FALSE)), OR(MID(metadata!C248,8,1)="", AND(AND(MID(metadata!C248,8,1)="-",IFERROR(INT(MID(metadata!C248,9,1))&gt;=0,FALSE),IFERROR(INT(MID(metadata!C248,9,1))&lt;=3,FALSE),NOT(MID(metadata!C248,10,1)=""),IFERROR(INT(MID(metadata!C248,9,2))&gt;=1,FALSE),IFERROR(INT(MID(metadata!C248,9,2))&lt;=31,FALSE)), OR(MID(metadata!C248,11,1)="", AND(AND(MID(metadata!C248,11,1)=" ",IFERROR(INT(MID(metadata!C248,12,1))&gt;=0,FALSE),IFERROR(INT(MID(metadata!C248,12,1))&lt;=2,FALSE),NOT(MID(metadata!C248,13,1)=""),IFERROR(INT(MID(metadata!C248,12,2))&gt;=0,FALSE),IFERROR(INT(MID(metadata!C248,12,2))&lt;=23,FALSE)), OR(MID(metadata!C248,14,1)="", AND(AND(MID(metadata!C248,14,1)=":",IFERROR(INT(MID(metadata!C248,15,1))&gt;=0,FALSE),IFERROR(INT(MID(metadata!C248,15,1))&lt;=5,FALSE),NOT(MID(metadata!C248,16,1)=""),IFERROR(INT(MID(metadata!C248,15,2))&gt;=0,FALSE),IFERROR(INT(MID(metadata!C248,15,2))&lt;=59,FALSE)), OR(MID(metadata!C248,17,1)="", AND(AND(MID(metadata!C248,17,1)=":",IFERROR(INT(MID(metadata!C248,18,1))&gt;=0,FALSE),IFERROR(INT(MID(metadata!C248,18,1))&lt;=5,FALSE),NOT(MID(metadata!C248,19,1)=""),IFERROR(INT(MID(metadata!C248,18,2))&gt;=0,FALSE),IFERROR(INT(MID(metadata!C248,18,2))&lt;=59,FALSE)), LEN(metadata!C248)&lt;=19)))))))))))))</f>
        <v>0</v>
      </c>
      <c r="AO248" t="b">
        <f>AND(IF(metadata!D248="",FALSE,TRUE),EXACT(metadata!D248,"Not applicable"))</f>
        <v>0</v>
      </c>
      <c r="AP248" t="b">
        <f>IF(metadata!E248="",FALSE,TRUE)</f>
        <v>0</v>
      </c>
      <c r="AQ248" t="b">
        <f>OR(AND(IF(metadata!F248="",FALSE,TRUE),OR(EXACT(metadata!F248,"missing: not collected"),EXACT(metadata!F248,"missing: not provided"))),AND(IF(metadata!F248="",FALSE,TRUE),OR(EXACT(metadata!F248,"TRUE"),EXACT(metadata!F248,"FALSE"))))</f>
        <v>0</v>
      </c>
      <c r="AR248" t="b">
        <f>OR(AND(IF(metadata!G248="",FALSE,TRUE),OR(EXACT(metadata!G248,"missing: not collected"),EXACT(metadata!G248,"missing: not provided"),EXACT(metadata!G248,"missing: restricted access"))),AND(IF(metadata!G248="",FALSE,ISNUMBER(VALUE(metadata!G248))),metadata!G248&gt;=-413))</f>
        <v>0</v>
      </c>
      <c r="AS248" t="b">
        <f>AND(IF(metadata!H248="",FALSE,TRUE),EXACT(metadata!H248,"meters"))</f>
        <v>0</v>
      </c>
      <c r="AT248" t="b">
        <f>AND(IF(metadata!I248="",FALSE,TRUE),OR(EXACT(metadata!I248,"Host-associated"),EXACT(metadata!I248,"Free-living")))</f>
        <v>0</v>
      </c>
      <c r="AU248" t="b">
        <f>AND(IF(metadata!J248="",FALSE,TRUE),OR(EXACT(metadata!J248,"Animal"),EXACT(metadata!J248,"Fungus"),EXACT(metadata!J248,"Plant"),EXACT(metadata!J248,"Saline"),EXACT(metadata!J248,"Non-saline")))</f>
        <v>0</v>
      </c>
      <c r="AV248" t="b">
        <f>AND(IF(metadata!K248="",FALSE,TRUE),OR(EXACT(metadata!K248,"Plant secretion"),EXACT(metadata!K248,"Plant rhizosphere"),EXACT(metadata!K248,"Plant surface"),EXACT(metadata!K248,"Plant corpus"),EXACT(metadata!K248,"Fungus surface"),EXACT(metadata!K248,"Fungus corpus"),EXACT(metadata!K248,"Animal surface"),EXACT(metadata!K248,"Animal proximal gut"),EXACT(metadata!K248,"Animal corpus"),EXACT(metadata!K248,"Animal distal gut"),EXACT(metadata!K248,"Animal secretion"),EXACT(metadata!K248,"Sub-surface (non-saline)"),EXACT(metadata!K248,"Surface (non-saline)"),EXACT(metadata!K248,"Water (non-saline)"),EXACT(metadata!K248,"Soil (non-saline)"),EXACT(metadata!K248,"Aerosol (non-saline)"),EXACT(metadata!K248,"Sediment (non-saline)"),EXACT(metadata!K248,"Surface (saline)"),EXACT(metadata!K248,"Water (saline)"),EXACT(metadata!K248,"Hypersaline (saline)"),EXACT(metadata!K248,"Aerosol (saline)"),EXACT(metadata!K248,"Sediment (saline)")))</f>
        <v>0</v>
      </c>
      <c r="AW248" t="b">
        <f>IF(metadata!L248="",FALSE,TRUE)</f>
        <v>0</v>
      </c>
      <c r="AX248" t="b">
        <f>IF(metadata!M248="",FALSE,TRUE)</f>
        <v>0</v>
      </c>
      <c r="AY248" t="b">
        <f>IF(metadata!N248="",FALSE,TRUE)</f>
        <v>0</v>
      </c>
      <c r="AZ248" t="b">
        <f>OR(AND(IF(metadata!O248="",FALSE,TRUE),OR(EXACT(metadata!O248,"missing: not collected"),EXACT(metadata!O248,"missing: not provided"),EXACT(metadata!O248,"missing: restricted access"))),AND(IF(metadata!O248="",FALSE,TRUE),OR(EXACT(metadata!O248,"air"),EXACT(metadata!O248,"built environment"),EXACT(metadata!O248,"host-associated"),EXACT(metadata!O248,"human-associated"),EXACT(metadata!O248,"human-skin"),EXACT(metadata!O248,"human-oral"),EXACT(metadata!O248,"human-gut"),EXACT(metadata!O248,"human-vaginal"),EXACT(metadata!O248,"microbial mat/biofilm"),EXACT(metadata!O248,"misc environment"),EXACT(metadata!O248,"plant-associated"),EXACT(metadata!O248,"sediment"),EXACT(metadata!O248,"soil"),EXACT(metadata!O248,"wastewater/sludge"),EXACT(metadata!O248,"water"))))</f>
        <v>0</v>
      </c>
      <c r="BA248" t="b">
        <f>IF(metadata!P248="",FALSE,TRUE)</f>
        <v>0</v>
      </c>
      <c r="BB248" t="b">
        <f>IF(metadata!Q248="",FALSE,TRUE)</f>
        <v>0</v>
      </c>
      <c r="BC248" t="b">
        <f>OR(AND(IF(metadata!R248="",FALSE,TRUE),OR(EXACT(metadata!R248,"missing: not collected"),EXACT(metadata!R248,"missing: not provided"),EXACT(metadata!R248,"missing: restricted access"))),AND(IF(metadata!R248="",FALSE,ISNUMBER(VALUE(metadata!R248))),metadata!R248&gt;=-90,metadata!R248&lt;=90))</f>
        <v>0</v>
      </c>
      <c r="BD248" t="b">
        <f>AND(IF(metadata!S248="",FALSE,TRUE),EXACT(metadata!S248,"Decimal degrees"))</f>
        <v>0</v>
      </c>
      <c r="BE248" t="b">
        <f>OR(AND(IF(metadata!T248="",FALSE,TRUE),OR(EXACT(metadata!T248,"missing: not collected"),EXACT(metadata!T248,"missing: not provided"),EXACT(metadata!T248,"missing: restricted access"))),AND(IF(metadata!T248="",FALSE,ISNUMBER(VALUE(metadata!T248))),metadata!T248&gt;=-180,metadata!T248&lt;=180))</f>
        <v>0</v>
      </c>
      <c r="BF248" t="b">
        <f>AND(IF(metadata!U248="",FALSE,TRUE),EXACT(metadata!U248,"Decimal degrees"))</f>
        <v>0</v>
      </c>
      <c r="BG248" t="b">
        <f>IF(metadata!V248="",FALSE,TRUE)</f>
        <v>0</v>
      </c>
      <c r="BH248" t="b">
        <f>OR(AND(IF(metadata!W248="",FALSE,TRUE),OR(EXACT(metadata!W248,"missing: not collected"),EXACT(metadata!W248,"missing: not provided"),EXACT(metadata!W248,"missing: restricted access"))),AND(IF(metadata!W248="",FALSE,TRUE),OR(EXACT(metadata!W248,"TRUE"),EXACT(metadata!W248,"FALSE"))))</f>
        <v>0</v>
      </c>
      <c r="BI248" t="b">
        <f>AND(IF(metadata!X248="",FALSE,TRUE),EXACT(metadata!X248,"other"))</f>
        <v>0</v>
      </c>
      <c r="BJ248" t="b">
        <f>IF(metadata!Y248="",FALSE,TRUE)</f>
        <v>0</v>
      </c>
      <c r="BK248" t="b">
        <f>OR(AND(IF(metadata!Z248="",FALSE,TRUE),OR(EXACT(metadata!Z248,"missing: not collected"),EXACT(metadata!Z248,"missing: not provided"))),AND(IF(metadata!Z248="",FALSE,IF(ISERROR(INT(metadata!Z248)),FALSE,INT(metadata!Z248)=metadata!Z248)),metadata!Z248&gt;0))</f>
        <v>0</v>
      </c>
      <c r="BL248" t="b">
        <f>AND(IF(metadata!AA248="",FALSE,TRUE),EXACT(metadata!AA248,"Not applicable"))</f>
        <v>0</v>
      </c>
      <c r="BM248" t="b">
        <f>IF(metadata!AB248="",FALSE,TRUE)</f>
        <v>0</v>
      </c>
    </row>
    <row r="249" spans="1:65" x14ac:dyDescent="0.2">
      <c r="A249" s="5" t="str">
        <f ca="1">IF(B249=" "," ",HYPERLINK(CONCATENATE("#metadata!",ADDRESS(INDEX($AH$2:$AH$1001,MATCH(ROWS($AF$2:AF249),$AF$2:$AF$1001,0),0),1)),INDEX($AK$2:$AK$1001,MATCH(ROWS($AF$2:AF249),$AF$2:$AF$1001,0),0)))</f>
        <v xml:space="preserve"> </v>
      </c>
      <c r="B249" s="4" t="str">
        <f ca="1">IF(OR(INDEX($AG$2:$AG$1001,MATCH(ROWS($AF$2:AF249),$AF$2:$AF$1001,0),1)&gt;=100000,INDEX($AM$1005:$BM$1005,1,MATCH(COLUMNS($AM$1006:AM1006),$AM$1006:$BM$1006,0))&gt;=100000), " ",IF(INDEX($AM$2:$BM$1001,MATCH(ROWS($AF$2:AF249),$AF$2:$AF$1001,0),MATCH(COLUMNS($AM$1006:AM1006),$AM$1006:$BM$1006,0)), HYPERLINK("#",""), HYPERLINK(CONCATENATE("#metadata!", ADDRESS(INDEX($AH$2:$AH$1001,MATCH(ROWS($AF$2:AF249),$AF$2:$AF$1001,0),0), INDEX($AM$1004:$BM$1004,1,MATCH(COLUMNS($AM$1006:AM1006),$AM$1006:$BM$1006,0)))),"Fix")))</f>
        <v xml:space="preserve"> </v>
      </c>
      <c r="C249" s="4" t="str">
        <f ca="1">IF(OR(INDEX($AG$2:$AG$1001,MATCH(ROWS($AF$2:AF249),$AF$2:$AF$1001,0),1)&gt;=100000,INDEX($AM$1005:$BM$1005,1,MATCH(COLUMNS($AM$1006:AN1006),$AM$1006:$BM$1006,0))&gt;=100000), " ",IF(INDEX($AM$2:$BM$1001,MATCH(ROWS($AF$2:AF249),$AF$2:$AF$1001,0),MATCH(COLUMNS($AM$1006:AN1006),$AM$1006:$BM$1006,0)), HYPERLINK("#",""), HYPERLINK(CONCATENATE("#metadata!", ADDRESS(INDEX($AH$2:$AH$1001,MATCH(ROWS($AF$2:AF249),$AF$2:$AF$1001,0),0), INDEX($AM$1004:$BM$1004,1,MATCH(COLUMNS($AM$1006:AN1006),$AM$1006:$BM$1006,0)))),"Fix")))</f>
        <v xml:space="preserve"> </v>
      </c>
      <c r="D249" s="4" t="str">
        <f ca="1">IF(OR(INDEX($AG$2:$AG$1001,MATCH(ROWS($AF$2:AF249),$AF$2:$AF$1001,0),1)&gt;=100000,INDEX($AM$1005:$BM$1005,1,MATCH(COLUMNS($AM$1006:AO1006),$AM$1006:$BM$1006,0))&gt;=100000), " ",IF(INDEX($AM$2:$BM$1001,MATCH(ROWS($AF$2:AF249),$AF$2:$AF$1001,0),MATCH(COLUMNS($AM$1006:AO1006),$AM$1006:$BM$1006,0)), HYPERLINK("#",""), HYPERLINK(CONCATENATE("#metadata!", ADDRESS(INDEX($AH$2:$AH$1001,MATCH(ROWS($AF$2:AF249),$AF$2:$AF$1001,0),0), INDEX($AM$1004:$BM$1004,1,MATCH(COLUMNS($AM$1006:AO1006),$AM$1006:$BM$1006,0)))),"Fix")))</f>
        <v xml:space="preserve"> </v>
      </c>
      <c r="E249" s="4" t="str">
        <f ca="1">IF(OR(INDEX($AG$2:$AG$1001,MATCH(ROWS($AF$2:AF249),$AF$2:$AF$1001,0),1)&gt;=100000,INDEX($AM$1005:$BM$1005,1,MATCH(COLUMNS($AM$1006:AP1006),$AM$1006:$BM$1006,0))&gt;=100000), " ",IF(INDEX($AM$2:$BM$1001,MATCH(ROWS($AF$2:AF249),$AF$2:$AF$1001,0),MATCH(COLUMNS($AM$1006:AP1006),$AM$1006:$BM$1006,0)), HYPERLINK("#",""), HYPERLINK(CONCATENATE("#metadata!", ADDRESS(INDEX($AH$2:$AH$1001,MATCH(ROWS($AF$2:AF249),$AF$2:$AF$1001,0),0), INDEX($AM$1004:$BM$1004,1,MATCH(COLUMNS($AM$1006:AP1006),$AM$1006:$BM$1006,0)))),"Fix")))</f>
        <v xml:space="preserve"> </v>
      </c>
      <c r="F249" s="4" t="str">
        <f ca="1">IF(OR(INDEX($AG$2:$AG$1001,MATCH(ROWS($AF$2:AF249),$AF$2:$AF$1001,0),1)&gt;=100000,INDEX($AM$1005:$BM$1005,1,MATCH(COLUMNS($AM$1006:AQ1006),$AM$1006:$BM$1006,0))&gt;=100000), " ",IF(INDEX($AM$2:$BM$1001,MATCH(ROWS($AF$2:AF249),$AF$2:$AF$1001,0),MATCH(COLUMNS($AM$1006:AQ1006),$AM$1006:$BM$1006,0)), HYPERLINK("#",""), HYPERLINK(CONCATENATE("#metadata!", ADDRESS(INDEX($AH$2:$AH$1001,MATCH(ROWS($AF$2:AF249),$AF$2:$AF$1001,0),0), INDEX($AM$1004:$BM$1004,1,MATCH(COLUMNS($AM$1006:AQ1006),$AM$1006:$BM$1006,0)))),"Fix")))</f>
        <v xml:space="preserve"> </v>
      </c>
      <c r="G249" s="4" t="str">
        <f ca="1">IF(OR(INDEX($AG$2:$AG$1001,MATCH(ROWS($AF$2:AF249),$AF$2:$AF$1001,0),1)&gt;=100000,INDEX($AM$1005:$BM$1005,1,MATCH(COLUMNS($AM$1006:AR1006),$AM$1006:$BM$1006,0))&gt;=100000), " ",IF(INDEX($AM$2:$BM$1001,MATCH(ROWS($AF$2:AF249),$AF$2:$AF$1001,0),MATCH(COLUMNS($AM$1006:AR1006),$AM$1006:$BM$1006,0)), HYPERLINK("#",""), HYPERLINK(CONCATENATE("#metadata!", ADDRESS(INDEX($AH$2:$AH$1001,MATCH(ROWS($AF$2:AF249),$AF$2:$AF$1001,0),0), INDEX($AM$1004:$BM$1004,1,MATCH(COLUMNS($AM$1006:AR1006),$AM$1006:$BM$1006,0)))),"Fix")))</f>
        <v xml:space="preserve"> </v>
      </c>
      <c r="H249" s="4" t="str">
        <f ca="1">IF(OR(INDEX($AG$2:$AG$1001,MATCH(ROWS($AF$2:AF249),$AF$2:$AF$1001,0),1)&gt;=100000,INDEX($AM$1005:$BM$1005,1,MATCH(COLUMNS($AM$1006:AS1006),$AM$1006:$BM$1006,0))&gt;=100000), " ",IF(INDEX($AM$2:$BM$1001,MATCH(ROWS($AF$2:AF249),$AF$2:$AF$1001,0),MATCH(COLUMNS($AM$1006:AS1006),$AM$1006:$BM$1006,0)), HYPERLINK("#",""), HYPERLINK(CONCATENATE("#metadata!", ADDRESS(INDEX($AH$2:$AH$1001,MATCH(ROWS($AF$2:AF249),$AF$2:$AF$1001,0),0), INDEX($AM$1004:$BM$1004,1,MATCH(COLUMNS($AM$1006:AS1006),$AM$1006:$BM$1006,0)))),"Fix")))</f>
        <v xml:space="preserve"> </v>
      </c>
      <c r="I249" s="4" t="str">
        <f ca="1">IF(OR(INDEX($AG$2:$AG$1001,MATCH(ROWS($AF$2:AF249),$AF$2:$AF$1001,0),1)&gt;=100000,INDEX($AM$1005:$BM$1005,1,MATCH(COLUMNS($AM$1006:AT1006),$AM$1006:$BM$1006,0))&gt;=100000), " ",IF(INDEX($AM$2:$BM$1001,MATCH(ROWS($AF$2:AF249),$AF$2:$AF$1001,0),MATCH(COLUMNS($AM$1006:AT1006),$AM$1006:$BM$1006,0)), HYPERLINK("#",""), HYPERLINK(CONCATENATE("#metadata!", ADDRESS(INDEX($AH$2:$AH$1001,MATCH(ROWS($AF$2:AF249),$AF$2:$AF$1001,0),0), INDEX($AM$1004:$BM$1004,1,MATCH(COLUMNS($AM$1006:AT1006),$AM$1006:$BM$1006,0)))),"Fix")))</f>
        <v xml:space="preserve"> </v>
      </c>
      <c r="J249" s="4" t="str">
        <f ca="1">IF(OR(INDEX($AG$2:$AG$1001,MATCH(ROWS($AF$2:AF249),$AF$2:$AF$1001,0),1)&gt;=100000,INDEX($AM$1005:$BM$1005,1,MATCH(COLUMNS($AM$1006:AU1006),$AM$1006:$BM$1006,0))&gt;=100000), " ",IF(INDEX($AM$2:$BM$1001,MATCH(ROWS($AF$2:AF249),$AF$2:$AF$1001,0),MATCH(COLUMNS($AM$1006:AU1006),$AM$1006:$BM$1006,0)), HYPERLINK("#",""), HYPERLINK(CONCATENATE("#metadata!", ADDRESS(INDEX($AH$2:$AH$1001,MATCH(ROWS($AF$2:AF249),$AF$2:$AF$1001,0),0), INDEX($AM$1004:$BM$1004,1,MATCH(COLUMNS($AM$1006:AU1006),$AM$1006:$BM$1006,0)))),"Fix")))</f>
        <v xml:space="preserve"> </v>
      </c>
      <c r="K249" s="4" t="str">
        <f ca="1">IF(OR(INDEX($AG$2:$AG$1001,MATCH(ROWS($AF$2:AF249),$AF$2:$AF$1001,0),1)&gt;=100000,INDEX($AM$1005:$BM$1005,1,MATCH(COLUMNS($AM$1006:AV1006),$AM$1006:$BM$1006,0))&gt;=100000), " ",IF(INDEX($AM$2:$BM$1001,MATCH(ROWS($AF$2:AF249),$AF$2:$AF$1001,0),MATCH(COLUMNS($AM$1006:AV1006),$AM$1006:$BM$1006,0)), HYPERLINK("#",""), HYPERLINK(CONCATENATE("#metadata!", ADDRESS(INDEX($AH$2:$AH$1001,MATCH(ROWS($AF$2:AF249),$AF$2:$AF$1001,0),0), INDEX($AM$1004:$BM$1004,1,MATCH(COLUMNS($AM$1006:AV1006),$AM$1006:$BM$1006,0)))),"Fix")))</f>
        <v xml:space="preserve"> </v>
      </c>
      <c r="L249" s="4" t="str">
        <f ca="1">IF(OR(INDEX($AG$2:$AG$1001,MATCH(ROWS($AF$2:AF249),$AF$2:$AF$1001,0),1)&gt;=100000,INDEX($AM$1005:$BM$1005,1,MATCH(COLUMNS($AM$1006:AW1006),$AM$1006:$BM$1006,0))&gt;=100000), " ",IF(INDEX($AM$2:$BM$1001,MATCH(ROWS($AF$2:AF249),$AF$2:$AF$1001,0),MATCH(COLUMNS($AM$1006:AW1006),$AM$1006:$BM$1006,0)), HYPERLINK("#",""), HYPERLINK(CONCATENATE("#metadata!", ADDRESS(INDEX($AH$2:$AH$1001,MATCH(ROWS($AF$2:AF249),$AF$2:$AF$1001,0),0), INDEX($AM$1004:$BM$1004,1,MATCH(COLUMNS($AM$1006:AW1006),$AM$1006:$BM$1006,0)))),"Fix")))</f>
        <v xml:space="preserve"> </v>
      </c>
      <c r="M249" s="4" t="str">
        <f ca="1">IF(OR(INDEX($AG$2:$AG$1001,MATCH(ROWS($AF$2:AF249),$AF$2:$AF$1001,0),1)&gt;=100000,INDEX($AM$1005:$BM$1005,1,MATCH(COLUMNS($AM$1006:AX1006),$AM$1006:$BM$1006,0))&gt;=100000), " ",IF(INDEX($AM$2:$BM$1001,MATCH(ROWS($AF$2:AF249),$AF$2:$AF$1001,0),MATCH(COLUMNS($AM$1006:AX1006),$AM$1006:$BM$1006,0)), HYPERLINK("#",""), HYPERLINK(CONCATENATE("#metadata!", ADDRESS(INDEX($AH$2:$AH$1001,MATCH(ROWS($AF$2:AF249),$AF$2:$AF$1001,0),0), INDEX($AM$1004:$BM$1004,1,MATCH(COLUMNS($AM$1006:AX1006),$AM$1006:$BM$1006,0)))),"Fix")))</f>
        <v xml:space="preserve"> </v>
      </c>
      <c r="N249" s="4" t="str">
        <f ca="1">IF(OR(INDEX($AG$2:$AG$1001,MATCH(ROWS($AF$2:AF249),$AF$2:$AF$1001,0),1)&gt;=100000,INDEX($AM$1005:$BM$1005,1,MATCH(COLUMNS($AM$1006:AY1006),$AM$1006:$BM$1006,0))&gt;=100000), " ",IF(INDEX($AM$2:$BM$1001,MATCH(ROWS($AF$2:AF249),$AF$2:$AF$1001,0),MATCH(COLUMNS($AM$1006:AY1006),$AM$1006:$BM$1006,0)), HYPERLINK("#",""), HYPERLINK(CONCATENATE("#metadata!", ADDRESS(INDEX($AH$2:$AH$1001,MATCH(ROWS($AF$2:AF249),$AF$2:$AF$1001,0),0), INDEX($AM$1004:$BM$1004,1,MATCH(COLUMNS($AM$1006:AY1006),$AM$1006:$BM$1006,0)))),"Fix")))</f>
        <v xml:space="preserve"> </v>
      </c>
      <c r="O249" s="4" t="str">
        <f ca="1">IF(OR(INDEX($AG$2:$AG$1001,MATCH(ROWS($AF$2:AF249),$AF$2:$AF$1001,0),1)&gt;=100000,INDEX($AM$1005:$BM$1005,1,MATCH(COLUMNS($AM$1006:AZ1006),$AM$1006:$BM$1006,0))&gt;=100000), " ",IF(INDEX($AM$2:$BM$1001,MATCH(ROWS($AF$2:AF249),$AF$2:$AF$1001,0),MATCH(COLUMNS($AM$1006:AZ1006),$AM$1006:$BM$1006,0)), HYPERLINK("#",""), HYPERLINK(CONCATENATE("#metadata!", ADDRESS(INDEX($AH$2:$AH$1001,MATCH(ROWS($AF$2:AF249),$AF$2:$AF$1001,0),0), INDEX($AM$1004:$BM$1004,1,MATCH(COLUMNS($AM$1006:AZ1006),$AM$1006:$BM$1006,0)))),"Fix")))</f>
        <v xml:space="preserve"> </v>
      </c>
      <c r="P249" s="4" t="str">
        <f ca="1">IF(OR(INDEX($AG$2:$AG$1001,MATCH(ROWS($AF$2:AF249),$AF$2:$AF$1001,0),1)&gt;=100000,INDEX($AM$1005:$BM$1005,1,MATCH(COLUMNS($AM$1006:BA1006),$AM$1006:$BM$1006,0))&gt;=100000), " ",IF(INDEX($AM$2:$BM$1001,MATCH(ROWS($AF$2:AF249),$AF$2:$AF$1001,0),MATCH(COLUMNS($AM$1006:BA1006),$AM$1006:$BM$1006,0)), HYPERLINK("#",""), HYPERLINK(CONCATENATE("#metadata!", ADDRESS(INDEX($AH$2:$AH$1001,MATCH(ROWS($AF$2:AF249),$AF$2:$AF$1001,0),0), INDEX($AM$1004:$BM$1004,1,MATCH(COLUMNS($AM$1006:BA1006),$AM$1006:$BM$1006,0)))),"Fix")))</f>
        <v xml:space="preserve"> </v>
      </c>
      <c r="Q249" s="4" t="str">
        <f ca="1">IF(OR(INDEX($AG$2:$AG$1001,MATCH(ROWS($AF$2:AF249),$AF$2:$AF$1001,0),1)&gt;=100000,INDEX($AM$1005:$BM$1005,1,MATCH(COLUMNS($AM$1006:BB1006),$AM$1006:$BM$1006,0))&gt;=100000), " ",IF(INDEX($AM$2:$BM$1001,MATCH(ROWS($AF$2:AF249),$AF$2:$AF$1001,0),MATCH(COLUMNS($AM$1006:BB1006),$AM$1006:$BM$1006,0)), HYPERLINK("#",""), HYPERLINK(CONCATENATE("#metadata!", ADDRESS(INDEX($AH$2:$AH$1001,MATCH(ROWS($AF$2:AF249),$AF$2:$AF$1001,0),0), INDEX($AM$1004:$BM$1004,1,MATCH(COLUMNS($AM$1006:BB1006),$AM$1006:$BM$1006,0)))),"Fix")))</f>
        <v xml:space="preserve"> </v>
      </c>
      <c r="R249" s="4" t="str">
        <f ca="1">IF(OR(INDEX($AG$2:$AG$1001,MATCH(ROWS($AF$2:AF249),$AF$2:$AF$1001,0),1)&gt;=100000,INDEX($AM$1005:$BM$1005,1,MATCH(COLUMNS($AM$1006:BC1006),$AM$1006:$BM$1006,0))&gt;=100000), " ",IF(INDEX($AM$2:$BM$1001,MATCH(ROWS($AF$2:AF249),$AF$2:$AF$1001,0),MATCH(COLUMNS($AM$1006:BC1006),$AM$1006:$BM$1006,0)), HYPERLINK("#",""), HYPERLINK(CONCATENATE("#metadata!", ADDRESS(INDEX($AH$2:$AH$1001,MATCH(ROWS($AF$2:AF249),$AF$2:$AF$1001,0),0), INDEX($AM$1004:$BM$1004,1,MATCH(COLUMNS($AM$1006:BC1006),$AM$1006:$BM$1006,0)))),"Fix")))</f>
        <v xml:space="preserve"> </v>
      </c>
      <c r="S249" s="4" t="str">
        <f ca="1">IF(OR(INDEX($AG$2:$AG$1001,MATCH(ROWS($AF$2:AF249),$AF$2:$AF$1001,0),1)&gt;=100000,INDEX($AM$1005:$BM$1005,1,MATCH(COLUMNS($AM$1006:BD1006),$AM$1006:$BM$1006,0))&gt;=100000), " ",IF(INDEX($AM$2:$BM$1001,MATCH(ROWS($AF$2:AF249),$AF$2:$AF$1001,0),MATCH(COLUMNS($AM$1006:BD1006),$AM$1006:$BM$1006,0)), HYPERLINK("#",""), HYPERLINK(CONCATENATE("#metadata!", ADDRESS(INDEX($AH$2:$AH$1001,MATCH(ROWS($AF$2:AF249),$AF$2:$AF$1001,0),0), INDEX($AM$1004:$BM$1004,1,MATCH(COLUMNS($AM$1006:BD1006),$AM$1006:$BM$1006,0)))),"Fix")))</f>
        <v xml:space="preserve"> </v>
      </c>
      <c r="T249" s="4" t="str">
        <f ca="1">IF(OR(INDEX($AG$2:$AG$1001,MATCH(ROWS($AF$2:AF249),$AF$2:$AF$1001,0),1)&gt;=100000,INDEX($AM$1005:$BM$1005,1,MATCH(COLUMNS($AM$1006:BE1006),$AM$1006:$BM$1006,0))&gt;=100000), " ",IF(INDEX($AM$2:$BM$1001,MATCH(ROWS($AF$2:AF249),$AF$2:$AF$1001,0),MATCH(COLUMNS($AM$1006:BE1006),$AM$1006:$BM$1006,0)), HYPERLINK("#",""), HYPERLINK(CONCATENATE("#metadata!", ADDRESS(INDEX($AH$2:$AH$1001,MATCH(ROWS($AF$2:AF249),$AF$2:$AF$1001,0),0), INDEX($AM$1004:$BM$1004,1,MATCH(COLUMNS($AM$1006:BE1006),$AM$1006:$BM$1006,0)))),"Fix")))</f>
        <v xml:space="preserve"> </v>
      </c>
      <c r="U249" s="4" t="str">
        <f ca="1">IF(OR(INDEX($AG$2:$AG$1001,MATCH(ROWS($AF$2:AF249),$AF$2:$AF$1001,0),1)&gt;=100000,INDEX($AM$1005:$BM$1005,1,MATCH(COLUMNS($AM$1006:BF1006),$AM$1006:$BM$1006,0))&gt;=100000), " ",IF(INDEX($AM$2:$BM$1001,MATCH(ROWS($AF$2:AF249),$AF$2:$AF$1001,0),MATCH(COLUMNS($AM$1006:BF1006),$AM$1006:$BM$1006,0)), HYPERLINK("#",""), HYPERLINK(CONCATENATE("#metadata!", ADDRESS(INDEX($AH$2:$AH$1001,MATCH(ROWS($AF$2:AF249),$AF$2:$AF$1001,0),0), INDEX($AM$1004:$BM$1004,1,MATCH(COLUMNS($AM$1006:BF1006),$AM$1006:$BM$1006,0)))),"Fix")))</f>
        <v xml:space="preserve"> </v>
      </c>
      <c r="V249" s="4" t="str">
        <f ca="1">IF(OR(INDEX($AG$2:$AG$1001,MATCH(ROWS($AF$2:AF249),$AF$2:$AF$1001,0),1)&gt;=100000,INDEX($AM$1005:$BM$1005,1,MATCH(COLUMNS($AM$1006:BG1006),$AM$1006:$BM$1006,0))&gt;=100000), " ",IF(INDEX($AM$2:$BM$1001,MATCH(ROWS($AF$2:AF249),$AF$2:$AF$1001,0),MATCH(COLUMNS($AM$1006:BG1006),$AM$1006:$BM$1006,0)), HYPERLINK("#",""), HYPERLINK(CONCATENATE("#metadata!", ADDRESS(INDEX($AH$2:$AH$1001,MATCH(ROWS($AF$2:AF249),$AF$2:$AF$1001,0),0), INDEX($AM$1004:$BM$1004,1,MATCH(COLUMNS($AM$1006:BG1006),$AM$1006:$BM$1006,0)))),"Fix")))</f>
        <v xml:space="preserve"> </v>
      </c>
      <c r="W249" s="4" t="str">
        <f ca="1">IF(OR(INDEX($AG$2:$AG$1001,MATCH(ROWS($AF$2:AF249),$AF$2:$AF$1001,0),1)&gt;=100000,INDEX($AM$1005:$BM$1005,1,MATCH(COLUMNS($AM$1006:BH1006),$AM$1006:$BM$1006,0))&gt;=100000), " ",IF(INDEX($AM$2:$BM$1001,MATCH(ROWS($AF$2:AF249),$AF$2:$AF$1001,0),MATCH(COLUMNS($AM$1006:BH1006),$AM$1006:$BM$1006,0)), HYPERLINK("#",""), HYPERLINK(CONCATENATE("#metadata!", ADDRESS(INDEX($AH$2:$AH$1001,MATCH(ROWS($AF$2:AF249),$AF$2:$AF$1001,0),0), INDEX($AM$1004:$BM$1004,1,MATCH(COLUMNS($AM$1006:BH1006),$AM$1006:$BM$1006,0)))),"Fix")))</f>
        <v xml:space="preserve"> </v>
      </c>
      <c r="X249" s="4" t="str">
        <f ca="1">IF(OR(INDEX($AG$2:$AG$1001,MATCH(ROWS($AF$2:AF249),$AF$2:$AF$1001,0),1)&gt;=100000,INDEX($AM$1005:$BM$1005,1,MATCH(COLUMNS($AM$1006:BI1006),$AM$1006:$BM$1006,0))&gt;=100000), " ",IF(INDEX($AM$2:$BM$1001,MATCH(ROWS($AF$2:AF249),$AF$2:$AF$1001,0),MATCH(COLUMNS($AM$1006:BI1006),$AM$1006:$BM$1006,0)), HYPERLINK("#",""), HYPERLINK(CONCATENATE("#metadata!", ADDRESS(INDEX($AH$2:$AH$1001,MATCH(ROWS($AF$2:AF249),$AF$2:$AF$1001,0),0), INDEX($AM$1004:$BM$1004,1,MATCH(COLUMNS($AM$1006:BI1006),$AM$1006:$BM$1006,0)))),"Fix")))</f>
        <v xml:space="preserve"> </v>
      </c>
      <c r="Y249" s="4" t="str">
        <f ca="1">IF(OR(INDEX($AG$2:$AG$1001,MATCH(ROWS($AF$2:AF249),$AF$2:$AF$1001,0),1)&gt;=100000,INDEX($AM$1005:$BM$1005,1,MATCH(COLUMNS($AM$1006:BJ1006),$AM$1006:$BM$1006,0))&gt;=100000), " ",IF(INDEX($AM$2:$BM$1001,MATCH(ROWS($AF$2:AF249),$AF$2:$AF$1001,0),MATCH(COLUMNS($AM$1006:BJ1006),$AM$1006:$BM$1006,0)), HYPERLINK("#",""), HYPERLINK(CONCATENATE("#metadata!", ADDRESS(INDEX($AH$2:$AH$1001,MATCH(ROWS($AF$2:AF249),$AF$2:$AF$1001,0),0), INDEX($AM$1004:$BM$1004,1,MATCH(COLUMNS($AM$1006:BJ1006),$AM$1006:$BM$1006,0)))),"Fix")))</f>
        <v xml:space="preserve"> </v>
      </c>
      <c r="Z249" s="4" t="str">
        <f ca="1">IF(OR(INDEX($AG$2:$AG$1001,MATCH(ROWS($AF$2:AF249),$AF$2:$AF$1001,0),1)&gt;=100000,INDEX($AM$1005:$BM$1005,1,MATCH(COLUMNS($AM$1006:BK1006),$AM$1006:$BM$1006,0))&gt;=100000), " ",IF(INDEX($AM$2:$BM$1001,MATCH(ROWS($AF$2:AF249),$AF$2:$AF$1001,0),MATCH(COLUMNS($AM$1006:BK1006),$AM$1006:$BM$1006,0)), HYPERLINK("#",""), HYPERLINK(CONCATENATE("#metadata!", ADDRESS(INDEX($AH$2:$AH$1001,MATCH(ROWS($AF$2:AF249),$AF$2:$AF$1001,0),0), INDEX($AM$1004:$BM$1004,1,MATCH(COLUMNS($AM$1006:BK1006),$AM$1006:$BM$1006,0)))),"Fix")))</f>
        <v xml:space="preserve"> </v>
      </c>
      <c r="AA249" s="4" t="str">
        <f ca="1">IF(OR(INDEX($AG$2:$AG$1001,MATCH(ROWS($AF$2:AF249),$AF$2:$AF$1001,0),1)&gt;=100000,INDEX($AM$1005:$BM$1005,1,MATCH(COLUMNS($AM$1006:BL1006),$AM$1006:$BM$1006,0))&gt;=100000), " ",IF(INDEX($AM$2:$BM$1001,MATCH(ROWS($AF$2:AF249),$AF$2:$AF$1001,0),MATCH(COLUMNS($AM$1006:BL1006),$AM$1006:$BM$1006,0)), HYPERLINK("#",""), HYPERLINK(CONCATENATE("#metadata!", ADDRESS(INDEX($AH$2:$AH$1001,MATCH(ROWS($AF$2:AF249),$AF$2:$AF$1001,0),0), INDEX($AM$1004:$BM$1004,1,MATCH(COLUMNS($AM$1006:BL1006),$AM$1006:$BM$1006,0)))),"Fix")))</f>
        <v xml:space="preserve"> </v>
      </c>
      <c r="AB249" s="4" t="str">
        <f ca="1">IF(OR(INDEX($AG$2:$AG$1001,MATCH(ROWS($AF$2:AF249),$AF$2:$AF$1001,0),1)&gt;=100000,INDEX($AM$1005:$BM$1005,1,MATCH(COLUMNS($AM$1006:BM1006),$AM$1006:$BM$1006,0))&gt;=100000), " ",IF(INDEX($AM$2:$BM$1001,MATCH(ROWS($AF$2:AF249),$AF$2:$AF$1001,0),MATCH(COLUMNS($AM$1006:BM1006),$AM$1006:$BM$1006,0)), HYPERLINK("#",""), HYPERLINK(CONCATENATE("#metadata!", ADDRESS(INDEX($AH$2:$AH$1001,MATCH(ROWS($AF$2:AF249),$AF$2:$AF$1001,0),0), INDEX($AM$1004:$BM$1004,1,MATCH(COLUMNS($AM$1006:BM1006),$AM$1006:$BM$1006,0)))),"Fix")))</f>
        <v xml:space="preserve"> </v>
      </c>
      <c r="AF249">
        <v>248</v>
      </c>
      <c r="AG249">
        <v>100249</v>
      </c>
      <c r="AH249">
        <v>249</v>
      </c>
      <c r="AI249" t="b">
        <f t="shared" si="3"/>
        <v>1</v>
      </c>
      <c r="AJ249" t="b">
        <f>COUNTBLANK(metadata!B249:AB249)=COLUMNS(metadata!B249:AB249)</f>
        <v>1</v>
      </c>
      <c r="AK249" t="str">
        <v/>
      </c>
      <c r="AM249" t="b">
        <f ca="1">AND(IF(metadata!B249="",FALSE,TRUE),COUNTIF(metadata!B:B, metadata!B249) = 1,NOT(ISERROR(SUMPRODUCT(SEARCH(MID(metadata!B249,ROW(INDIRECT("1:"&amp;LEN(metadata!B249))), 1),"0123456789abcdefghijklmnopqrstuvwxyzABCDEFGHIJKLMNOPQRSTUVWXYZ.")))))</f>
        <v>0</v>
      </c>
      <c r="AN249" t="b">
        <f ca="1">OR(AND(IF(metadata!C249="",FALSE,TRUE),OR(EXACT(metadata!C249,"missing: not collected"),EXACT(metadata!C249,"missing: not provided"),EXACT(metadata!C249,"missing: restricted access"))),AND(IF(metadata!C249="",FALSE,TRUE),AND(AND(IFERROR(INT(LEFT(metadata!C249,4))&gt;1900,FALSE),IFERROR(INT(LEFT(metadata!C249,4))&lt;=YEAR(NOW()),FALSE)), OR(MID(metadata!C249,5,1)="", AND(AND(MID(metadata!C249,5,1)="-",IFERROR(INT(MID(metadata!C249,6,1))&gt;=0,FALSE),IFERROR(INT(MID(metadata!C249,6,1))&lt;=1,FALSE),NOT(MID(metadata!C249,7,1)=""),IFERROR(INT(MID(metadata!C249,6,2))&gt;=1,FALSE),IFERROR(INT(MID(metadata!C249,6,2))&lt;=12,FALSE)), OR(MID(metadata!C249,8,1)="", AND(AND(MID(metadata!C249,8,1)="-",IFERROR(INT(MID(metadata!C249,9,1))&gt;=0,FALSE),IFERROR(INT(MID(metadata!C249,9,1))&lt;=3,FALSE),NOT(MID(metadata!C249,10,1)=""),IFERROR(INT(MID(metadata!C249,9,2))&gt;=1,FALSE),IFERROR(INT(MID(metadata!C249,9,2))&lt;=31,FALSE)), OR(MID(metadata!C249,11,1)="", AND(AND(MID(metadata!C249,11,1)=" ",IFERROR(INT(MID(metadata!C249,12,1))&gt;=0,FALSE),IFERROR(INT(MID(metadata!C249,12,1))&lt;=2,FALSE),NOT(MID(metadata!C249,13,1)=""),IFERROR(INT(MID(metadata!C249,12,2))&gt;=0,FALSE),IFERROR(INT(MID(metadata!C249,12,2))&lt;=23,FALSE)), OR(MID(metadata!C249,14,1)="", AND(AND(MID(metadata!C249,14,1)=":",IFERROR(INT(MID(metadata!C249,15,1))&gt;=0,FALSE),IFERROR(INT(MID(metadata!C249,15,1))&lt;=5,FALSE),NOT(MID(metadata!C249,16,1)=""),IFERROR(INT(MID(metadata!C249,15,2))&gt;=0,FALSE),IFERROR(INT(MID(metadata!C249,15,2))&lt;=59,FALSE)), OR(MID(metadata!C249,17,1)="", AND(AND(MID(metadata!C249,17,1)=":",IFERROR(INT(MID(metadata!C249,18,1))&gt;=0,FALSE),IFERROR(INT(MID(metadata!C249,18,1))&lt;=5,FALSE),NOT(MID(metadata!C249,19,1)=""),IFERROR(INT(MID(metadata!C249,18,2))&gt;=0,FALSE),IFERROR(INT(MID(metadata!C249,18,2))&lt;=59,FALSE)), LEN(metadata!C249)&lt;=19)))))))))))))</f>
        <v>0</v>
      </c>
      <c r="AO249" t="b">
        <f>AND(IF(metadata!D249="",FALSE,TRUE),EXACT(metadata!D249,"Not applicable"))</f>
        <v>0</v>
      </c>
      <c r="AP249" t="b">
        <f>IF(metadata!E249="",FALSE,TRUE)</f>
        <v>0</v>
      </c>
      <c r="AQ249" t="b">
        <f>OR(AND(IF(metadata!F249="",FALSE,TRUE),OR(EXACT(metadata!F249,"missing: not collected"),EXACT(metadata!F249,"missing: not provided"))),AND(IF(metadata!F249="",FALSE,TRUE),OR(EXACT(metadata!F249,"TRUE"),EXACT(metadata!F249,"FALSE"))))</f>
        <v>0</v>
      </c>
      <c r="AR249" t="b">
        <f>OR(AND(IF(metadata!G249="",FALSE,TRUE),OR(EXACT(metadata!G249,"missing: not collected"),EXACT(metadata!G249,"missing: not provided"),EXACT(metadata!G249,"missing: restricted access"))),AND(IF(metadata!G249="",FALSE,ISNUMBER(VALUE(metadata!G249))),metadata!G249&gt;=-413))</f>
        <v>0</v>
      </c>
      <c r="AS249" t="b">
        <f>AND(IF(metadata!H249="",FALSE,TRUE),EXACT(metadata!H249,"meters"))</f>
        <v>0</v>
      </c>
      <c r="AT249" t="b">
        <f>AND(IF(metadata!I249="",FALSE,TRUE),OR(EXACT(metadata!I249,"Host-associated"),EXACT(metadata!I249,"Free-living")))</f>
        <v>0</v>
      </c>
      <c r="AU249" t="b">
        <f>AND(IF(metadata!J249="",FALSE,TRUE),OR(EXACT(metadata!J249,"Animal"),EXACT(metadata!J249,"Fungus"),EXACT(metadata!J249,"Plant"),EXACT(metadata!J249,"Saline"),EXACT(metadata!J249,"Non-saline")))</f>
        <v>0</v>
      </c>
      <c r="AV249" t="b">
        <f>AND(IF(metadata!K249="",FALSE,TRUE),OR(EXACT(metadata!K249,"Plant secretion"),EXACT(metadata!K249,"Plant rhizosphere"),EXACT(metadata!K249,"Plant surface"),EXACT(metadata!K249,"Plant corpus"),EXACT(metadata!K249,"Fungus surface"),EXACT(metadata!K249,"Fungus corpus"),EXACT(metadata!K249,"Animal surface"),EXACT(metadata!K249,"Animal proximal gut"),EXACT(metadata!K249,"Animal corpus"),EXACT(metadata!K249,"Animal distal gut"),EXACT(metadata!K249,"Animal secretion"),EXACT(metadata!K249,"Sub-surface (non-saline)"),EXACT(metadata!K249,"Surface (non-saline)"),EXACT(metadata!K249,"Water (non-saline)"),EXACT(metadata!K249,"Soil (non-saline)"),EXACT(metadata!K249,"Aerosol (non-saline)"),EXACT(metadata!K249,"Sediment (non-saline)"),EXACT(metadata!K249,"Surface (saline)"),EXACT(metadata!K249,"Water (saline)"),EXACT(metadata!K249,"Hypersaline (saline)"),EXACT(metadata!K249,"Aerosol (saline)"),EXACT(metadata!K249,"Sediment (saline)")))</f>
        <v>0</v>
      </c>
      <c r="AW249" t="b">
        <f>IF(metadata!L249="",FALSE,TRUE)</f>
        <v>0</v>
      </c>
      <c r="AX249" t="b">
        <f>IF(metadata!M249="",FALSE,TRUE)</f>
        <v>0</v>
      </c>
      <c r="AY249" t="b">
        <f>IF(metadata!N249="",FALSE,TRUE)</f>
        <v>0</v>
      </c>
      <c r="AZ249" t="b">
        <f>OR(AND(IF(metadata!O249="",FALSE,TRUE),OR(EXACT(metadata!O249,"missing: not collected"),EXACT(metadata!O249,"missing: not provided"),EXACT(metadata!O249,"missing: restricted access"))),AND(IF(metadata!O249="",FALSE,TRUE),OR(EXACT(metadata!O249,"air"),EXACT(metadata!O249,"built environment"),EXACT(metadata!O249,"host-associated"),EXACT(metadata!O249,"human-associated"),EXACT(metadata!O249,"human-skin"),EXACT(metadata!O249,"human-oral"),EXACT(metadata!O249,"human-gut"),EXACT(metadata!O249,"human-vaginal"),EXACT(metadata!O249,"microbial mat/biofilm"),EXACT(metadata!O249,"misc environment"),EXACT(metadata!O249,"plant-associated"),EXACT(metadata!O249,"sediment"),EXACT(metadata!O249,"soil"),EXACT(metadata!O249,"wastewater/sludge"),EXACT(metadata!O249,"water"))))</f>
        <v>0</v>
      </c>
      <c r="BA249" t="b">
        <f>IF(metadata!P249="",FALSE,TRUE)</f>
        <v>0</v>
      </c>
      <c r="BB249" t="b">
        <f>IF(metadata!Q249="",FALSE,TRUE)</f>
        <v>0</v>
      </c>
      <c r="BC249" t="b">
        <f>OR(AND(IF(metadata!R249="",FALSE,TRUE),OR(EXACT(metadata!R249,"missing: not collected"),EXACT(metadata!R249,"missing: not provided"),EXACT(metadata!R249,"missing: restricted access"))),AND(IF(metadata!R249="",FALSE,ISNUMBER(VALUE(metadata!R249))),metadata!R249&gt;=-90,metadata!R249&lt;=90))</f>
        <v>0</v>
      </c>
      <c r="BD249" t="b">
        <f>AND(IF(metadata!S249="",FALSE,TRUE),EXACT(metadata!S249,"Decimal degrees"))</f>
        <v>0</v>
      </c>
      <c r="BE249" t="b">
        <f>OR(AND(IF(metadata!T249="",FALSE,TRUE),OR(EXACT(metadata!T249,"missing: not collected"),EXACT(metadata!T249,"missing: not provided"),EXACT(metadata!T249,"missing: restricted access"))),AND(IF(metadata!T249="",FALSE,ISNUMBER(VALUE(metadata!T249))),metadata!T249&gt;=-180,metadata!T249&lt;=180))</f>
        <v>0</v>
      </c>
      <c r="BF249" t="b">
        <f>AND(IF(metadata!U249="",FALSE,TRUE),EXACT(metadata!U249,"Decimal degrees"))</f>
        <v>0</v>
      </c>
      <c r="BG249" t="b">
        <f>IF(metadata!V249="",FALSE,TRUE)</f>
        <v>0</v>
      </c>
      <c r="BH249" t="b">
        <f>OR(AND(IF(metadata!W249="",FALSE,TRUE),OR(EXACT(metadata!W249,"missing: not collected"),EXACT(metadata!W249,"missing: not provided"),EXACT(metadata!W249,"missing: restricted access"))),AND(IF(metadata!W249="",FALSE,TRUE),OR(EXACT(metadata!W249,"TRUE"),EXACT(metadata!W249,"FALSE"))))</f>
        <v>0</v>
      </c>
      <c r="BI249" t="b">
        <f>AND(IF(metadata!X249="",FALSE,TRUE),EXACT(metadata!X249,"other"))</f>
        <v>0</v>
      </c>
      <c r="BJ249" t="b">
        <f>IF(metadata!Y249="",FALSE,TRUE)</f>
        <v>0</v>
      </c>
      <c r="BK249" t="b">
        <f>OR(AND(IF(metadata!Z249="",FALSE,TRUE),OR(EXACT(metadata!Z249,"missing: not collected"),EXACT(metadata!Z249,"missing: not provided"))),AND(IF(metadata!Z249="",FALSE,IF(ISERROR(INT(metadata!Z249)),FALSE,INT(metadata!Z249)=metadata!Z249)),metadata!Z249&gt;0))</f>
        <v>0</v>
      </c>
      <c r="BL249" t="b">
        <f>AND(IF(metadata!AA249="",FALSE,TRUE),EXACT(metadata!AA249,"Not applicable"))</f>
        <v>0</v>
      </c>
      <c r="BM249" t="b">
        <f>IF(metadata!AB249="",FALSE,TRUE)</f>
        <v>0</v>
      </c>
    </row>
    <row r="250" spans="1:65" x14ac:dyDescent="0.2">
      <c r="A250" s="5" t="str">
        <f ca="1">IF(B250=" "," ",HYPERLINK(CONCATENATE("#metadata!",ADDRESS(INDEX($AH$2:$AH$1001,MATCH(ROWS($AF$2:AF250),$AF$2:$AF$1001,0),0),1)),INDEX($AK$2:$AK$1001,MATCH(ROWS($AF$2:AF250),$AF$2:$AF$1001,0),0)))</f>
        <v xml:space="preserve"> </v>
      </c>
      <c r="B250" s="4" t="str">
        <f ca="1">IF(OR(INDEX($AG$2:$AG$1001,MATCH(ROWS($AF$2:AF250),$AF$2:$AF$1001,0),1)&gt;=100000,INDEX($AM$1005:$BM$1005,1,MATCH(COLUMNS($AM$1006:AM1006),$AM$1006:$BM$1006,0))&gt;=100000), " ",IF(INDEX($AM$2:$BM$1001,MATCH(ROWS($AF$2:AF250),$AF$2:$AF$1001,0),MATCH(COLUMNS($AM$1006:AM1006),$AM$1006:$BM$1006,0)), HYPERLINK("#",""), HYPERLINK(CONCATENATE("#metadata!", ADDRESS(INDEX($AH$2:$AH$1001,MATCH(ROWS($AF$2:AF250),$AF$2:$AF$1001,0),0), INDEX($AM$1004:$BM$1004,1,MATCH(COLUMNS($AM$1006:AM1006),$AM$1006:$BM$1006,0)))),"Fix")))</f>
        <v xml:space="preserve"> </v>
      </c>
      <c r="C250" s="4" t="str">
        <f ca="1">IF(OR(INDEX($AG$2:$AG$1001,MATCH(ROWS($AF$2:AF250),$AF$2:$AF$1001,0),1)&gt;=100000,INDEX($AM$1005:$BM$1005,1,MATCH(COLUMNS($AM$1006:AN1006),$AM$1006:$BM$1006,0))&gt;=100000), " ",IF(INDEX($AM$2:$BM$1001,MATCH(ROWS($AF$2:AF250),$AF$2:$AF$1001,0),MATCH(COLUMNS($AM$1006:AN1006),$AM$1006:$BM$1006,0)), HYPERLINK("#",""), HYPERLINK(CONCATENATE("#metadata!", ADDRESS(INDEX($AH$2:$AH$1001,MATCH(ROWS($AF$2:AF250),$AF$2:$AF$1001,0),0), INDEX($AM$1004:$BM$1004,1,MATCH(COLUMNS($AM$1006:AN1006),$AM$1006:$BM$1006,0)))),"Fix")))</f>
        <v xml:space="preserve"> </v>
      </c>
      <c r="D250" s="4" t="str">
        <f ca="1">IF(OR(INDEX($AG$2:$AG$1001,MATCH(ROWS($AF$2:AF250),$AF$2:$AF$1001,0),1)&gt;=100000,INDEX($AM$1005:$BM$1005,1,MATCH(COLUMNS($AM$1006:AO1006),$AM$1006:$BM$1006,0))&gt;=100000), " ",IF(INDEX($AM$2:$BM$1001,MATCH(ROWS($AF$2:AF250),$AF$2:$AF$1001,0),MATCH(COLUMNS($AM$1006:AO1006),$AM$1006:$BM$1006,0)), HYPERLINK("#",""), HYPERLINK(CONCATENATE("#metadata!", ADDRESS(INDEX($AH$2:$AH$1001,MATCH(ROWS($AF$2:AF250),$AF$2:$AF$1001,0),0), INDEX($AM$1004:$BM$1004,1,MATCH(COLUMNS($AM$1006:AO1006),$AM$1006:$BM$1006,0)))),"Fix")))</f>
        <v xml:space="preserve"> </v>
      </c>
      <c r="E250" s="4" t="str">
        <f ca="1">IF(OR(INDEX($AG$2:$AG$1001,MATCH(ROWS($AF$2:AF250),$AF$2:$AF$1001,0),1)&gt;=100000,INDEX($AM$1005:$BM$1005,1,MATCH(COLUMNS($AM$1006:AP1006),$AM$1006:$BM$1006,0))&gt;=100000), " ",IF(INDEX($AM$2:$BM$1001,MATCH(ROWS($AF$2:AF250),$AF$2:$AF$1001,0),MATCH(COLUMNS($AM$1006:AP1006),$AM$1006:$BM$1006,0)), HYPERLINK("#",""), HYPERLINK(CONCATENATE("#metadata!", ADDRESS(INDEX($AH$2:$AH$1001,MATCH(ROWS($AF$2:AF250),$AF$2:$AF$1001,0),0), INDEX($AM$1004:$BM$1004,1,MATCH(COLUMNS($AM$1006:AP1006),$AM$1006:$BM$1006,0)))),"Fix")))</f>
        <v xml:space="preserve"> </v>
      </c>
      <c r="F250" s="4" t="str">
        <f ca="1">IF(OR(INDEX($AG$2:$AG$1001,MATCH(ROWS($AF$2:AF250),$AF$2:$AF$1001,0),1)&gt;=100000,INDEX($AM$1005:$BM$1005,1,MATCH(COLUMNS($AM$1006:AQ1006),$AM$1006:$BM$1006,0))&gt;=100000), " ",IF(INDEX($AM$2:$BM$1001,MATCH(ROWS($AF$2:AF250),$AF$2:$AF$1001,0),MATCH(COLUMNS($AM$1006:AQ1006),$AM$1006:$BM$1006,0)), HYPERLINK("#",""), HYPERLINK(CONCATENATE("#metadata!", ADDRESS(INDEX($AH$2:$AH$1001,MATCH(ROWS($AF$2:AF250),$AF$2:$AF$1001,0),0), INDEX($AM$1004:$BM$1004,1,MATCH(COLUMNS($AM$1006:AQ1006),$AM$1006:$BM$1006,0)))),"Fix")))</f>
        <v xml:space="preserve"> </v>
      </c>
      <c r="G250" s="4" t="str">
        <f ca="1">IF(OR(INDEX($AG$2:$AG$1001,MATCH(ROWS($AF$2:AF250),$AF$2:$AF$1001,0),1)&gt;=100000,INDEX($AM$1005:$BM$1005,1,MATCH(COLUMNS($AM$1006:AR1006),$AM$1006:$BM$1006,0))&gt;=100000), " ",IF(INDEX($AM$2:$BM$1001,MATCH(ROWS($AF$2:AF250),$AF$2:$AF$1001,0),MATCH(COLUMNS($AM$1006:AR1006),$AM$1006:$BM$1006,0)), HYPERLINK("#",""), HYPERLINK(CONCATENATE("#metadata!", ADDRESS(INDEX($AH$2:$AH$1001,MATCH(ROWS($AF$2:AF250),$AF$2:$AF$1001,0),0), INDEX($AM$1004:$BM$1004,1,MATCH(COLUMNS($AM$1006:AR1006),$AM$1006:$BM$1006,0)))),"Fix")))</f>
        <v xml:space="preserve"> </v>
      </c>
      <c r="H250" s="4" t="str">
        <f ca="1">IF(OR(INDEX($AG$2:$AG$1001,MATCH(ROWS($AF$2:AF250),$AF$2:$AF$1001,0),1)&gt;=100000,INDEX($AM$1005:$BM$1005,1,MATCH(COLUMNS($AM$1006:AS1006),$AM$1006:$BM$1006,0))&gt;=100000), " ",IF(INDEX($AM$2:$BM$1001,MATCH(ROWS($AF$2:AF250),$AF$2:$AF$1001,0),MATCH(COLUMNS($AM$1006:AS1006),$AM$1006:$BM$1006,0)), HYPERLINK("#",""), HYPERLINK(CONCATENATE("#metadata!", ADDRESS(INDEX($AH$2:$AH$1001,MATCH(ROWS($AF$2:AF250),$AF$2:$AF$1001,0),0), INDEX($AM$1004:$BM$1004,1,MATCH(COLUMNS($AM$1006:AS1006),$AM$1006:$BM$1006,0)))),"Fix")))</f>
        <v xml:space="preserve"> </v>
      </c>
      <c r="I250" s="4" t="str">
        <f ca="1">IF(OR(INDEX($AG$2:$AG$1001,MATCH(ROWS($AF$2:AF250),$AF$2:$AF$1001,0),1)&gt;=100000,INDEX($AM$1005:$BM$1005,1,MATCH(COLUMNS($AM$1006:AT1006),$AM$1006:$BM$1006,0))&gt;=100000), " ",IF(INDEX($AM$2:$BM$1001,MATCH(ROWS($AF$2:AF250),$AF$2:$AF$1001,0),MATCH(COLUMNS($AM$1006:AT1006),$AM$1006:$BM$1006,0)), HYPERLINK("#",""), HYPERLINK(CONCATENATE("#metadata!", ADDRESS(INDEX($AH$2:$AH$1001,MATCH(ROWS($AF$2:AF250),$AF$2:$AF$1001,0),0), INDEX($AM$1004:$BM$1004,1,MATCH(COLUMNS($AM$1006:AT1006),$AM$1006:$BM$1006,0)))),"Fix")))</f>
        <v xml:space="preserve"> </v>
      </c>
      <c r="J250" s="4" t="str">
        <f ca="1">IF(OR(INDEX($AG$2:$AG$1001,MATCH(ROWS($AF$2:AF250),$AF$2:$AF$1001,0),1)&gt;=100000,INDEX($AM$1005:$BM$1005,1,MATCH(COLUMNS($AM$1006:AU1006),$AM$1006:$BM$1006,0))&gt;=100000), " ",IF(INDEX($AM$2:$BM$1001,MATCH(ROWS($AF$2:AF250),$AF$2:$AF$1001,0),MATCH(COLUMNS($AM$1006:AU1006),$AM$1006:$BM$1006,0)), HYPERLINK("#",""), HYPERLINK(CONCATENATE("#metadata!", ADDRESS(INDEX($AH$2:$AH$1001,MATCH(ROWS($AF$2:AF250),$AF$2:$AF$1001,0),0), INDEX($AM$1004:$BM$1004,1,MATCH(COLUMNS($AM$1006:AU1006),$AM$1006:$BM$1006,0)))),"Fix")))</f>
        <v xml:space="preserve"> </v>
      </c>
      <c r="K250" s="4" t="str">
        <f ca="1">IF(OR(INDEX($AG$2:$AG$1001,MATCH(ROWS($AF$2:AF250),$AF$2:$AF$1001,0),1)&gt;=100000,INDEX($AM$1005:$BM$1005,1,MATCH(COLUMNS($AM$1006:AV1006),$AM$1006:$BM$1006,0))&gt;=100000), " ",IF(INDEX($AM$2:$BM$1001,MATCH(ROWS($AF$2:AF250),$AF$2:$AF$1001,0),MATCH(COLUMNS($AM$1006:AV1006),$AM$1006:$BM$1006,0)), HYPERLINK("#",""), HYPERLINK(CONCATENATE("#metadata!", ADDRESS(INDEX($AH$2:$AH$1001,MATCH(ROWS($AF$2:AF250),$AF$2:$AF$1001,0),0), INDEX($AM$1004:$BM$1004,1,MATCH(COLUMNS($AM$1006:AV1006),$AM$1006:$BM$1006,0)))),"Fix")))</f>
        <v xml:space="preserve"> </v>
      </c>
      <c r="L250" s="4" t="str">
        <f ca="1">IF(OR(INDEX($AG$2:$AG$1001,MATCH(ROWS($AF$2:AF250),$AF$2:$AF$1001,0),1)&gt;=100000,INDEX($AM$1005:$BM$1005,1,MATCH(COLUMNS($AM$1006:AW1006),$AM$1006:$BM$1006,0))&gt;=100000), " ",IF(INDEX($AM$2:$BM$1001,MATCH(ROWS($AF$2:AF250),$AF$2:$AF$1001,0),MATCH(COLUMNS($AM$1006:AW1006),$AM$1006:$BM$1006,0)), HYPERLINK("#",""), HYPERLINK(CONCATENATE("#metadata!", ADDRESS(INDEX($AH$2:$AH$1001,MATCH(ROWS($AF$2:AF250),$AF$2:$AF$1001,0),0), INDEX($AM$1004:$BM$1004,1,MATCH(COLUMNS($AM$1006:AW1006),$AM$1006:$BM$1006,0)))),"Fix")))</f>
        <v xml:space="preserve"> </v>
      </c>
      <c r="M250" s="4" t="str">
        <f ca="1">IF(OR(INDEX($AG$2:$AG$1001,MATCH(ROWS($AF$2:AF250),$AF$2:$AF$1001,0),1)&gt;=100000,INDEX($AM$1005:$BM$1005,1,MATCH(COLUMNS($AM$1006:AX1006),$AM$1006:$BM$1006,0))&gt;=100000), " ",IF(INDEX($AM$2:$BM$1001,MATCH(ROWS($AF$2:AF250),$AF$2:$AF$1001,0),MATCH(COLUMNS($AM$1006:AX1006),$AM$1006:$BM$1006,0)), HYPERLINK("#",""), HYPERLINK(CONCATENATE("#metadata!", ADDRESS(INDEX($AH$2:$AH$1001,MATCH(ROWS($AF$2:AF250),$AF$2:$AF$1001,0),0), INDEX($AM$1004:$BM$1004,1,MATCH(COLUMNS($AM$1006:AX1006),$AM$1006:$BM$1006,0)))),"Fix")))</f>
        <v xml:space="preserve"> </v>
      </c>
      <c r="N250" s="4" t="str">
        <f ca="1">IF(OR(INDEX($AG$2:$AG$1001,MATCH(ROWS($AF$2:AF250),$AF$2:$AF$1001,0),1)&gt;=100000,INDEX($AM$1005:$BM$1005,1,MATCH(COLUMNS($AM$1006:AY1006),$AM$1006:$BM$1006,0))&gt;=100000), " ",IF(INDEX($AM$2:$BM$1001,MATCH(ROWS($AF$2:AF250),$AF$2:$AF$1001,0),MATCH(COLUMNS($AM$1006:AY1006),$AM$1006:$BM$1006,0)), HYPERLINK("#",""), HYPERLINK(CONCATENATE("#metadata!", ADDRESS(INDEX($AH$2:$AH$1001,MATCH(ROWS($AF$2:AF250),$AF$2:$AF$1001,0),0), INDEX($AM$1004:$BM$1004,1,MATCH(COLUMNS($AM$1006:AY1006),$AM$1006:$BM$1006,0)))),"Fix")))</f>
        <v xml:space="preserve"> </v>
      </c>
      <c r="O250" s="4" t="str">
        <f ca="1">IF(OR(INDEX($AG$2:$AG$1001,MATCH(ROWS($AF$2:AF250),$AF$2:$AF$1001,0),1)&gt;=100000,INDEX($AM$1005:$BM$1005,1,MATCH(COLUMNS($AM$1006:AZ1006),$AM$1006:$BM$1006,0))&gt;=100000), " ",IF(INDEX($AM$2:$BM$1001,MATCH(ROWS($AF$2:AF250),$AF$2:$AF$1001,0),MATCH(COLUMNS($AM$1006:AZ1006),$AM$1006:$BM$1006,0)), HYPERLINK("#",""), HYPERLINK(CONCATENATE("#metadata!", ADDRESS(INDEX($AH$2:$AH$1001,MATCH(ROWS($AF$2:AF250),$AF$2:$AF$1001,0),0), INDEX($AM$1004:$BM$1004,1,MATCH(COLUMNS($AM$1006:AZ1006),$AM$1006:$BM$1006,0)))),"Fix")))</f>
        <v xml:space="preserve"> </v>
      </c>
      <c r="P250" s="4" t="str">
        <f ca="1">IF(OR(INDEX($AG$2:$AG$1001,MATCH(ROWS($AF$2:AF250),$AF$2:$AF$1001,0),1)&gt;=100000,INDEX($AM$1005:$BM$1005,1,MATCH(COLUMNS($AM$1006:BA1006),$AM$1006:$BM$1006,0))&gt;=100000), " ",IF(INDEX($AM$2:$BM$1001,MATCH(ROWS($AF$2:AF250),$AF$2:$AF$1001,0),MATCH(COLUMNS($AM$1006:BA1006),$AM$1006:$BM$1006,0)), HYPERLINK("#",""), HYPERLINK(CONCATENATE("#metadata!", ADDRESS(INDEX($AH$2:$AH$1001,MATCH(ROWS($AF$2:AF250),$AF$2:$AF$1001,0),0), INDEX($AM$1004:$BM$1004,1,MATCH(COLUMNS($AM$1006:BA1006),$AM$1006:$BM$1006,0)))),"Fix")))</f>
        <v xml:space="preserve"> </v>
      </c>
      <c r="Q250" s="4" t="str">
        <f ca="1">IF(OR(INDEX($AG$2:$AG$1001,MATCH(ROWS($AF$2:AF250),$AF$2:$AF$1001,0),1)&gt;=100000,INDEX($AM$1005:$BM$1005,1,MATCH(COLUMNS($AM$1006:BB1006),$AM$1006:$BM$1006,0))&gt;=100000), " ",IF(INDEX($AM$2:$BM$1001,MATCH(ROWS($AF$2:AF250),$AF$2:$AF$1001,0),MATCH(COLUMNS($AM$1006:BB1006),$AM$1006:$BM$1006,0)), HYPERLINK("#",""), HYPERLINK(CONCATENATE("#metadata!", ADDRESS(INDEX($AH$2:$AH$1001,MATCH(ROWS($AF$2:AF250),$AF$2:$AF$1001,0),0), INDEX($AM$1004:$BM$1004,1,MATCH(COLUMNS($AM$1006:BB1006),$AM$1006:$BM$1006,0)))),"Fix")))</f>
        <v xml:space="preserve"> </v>
      </c>
      <c r="R250" s="4" t="str">
        <f ca="1">IF(OR(INDEX($AG$2:$AG$1001,MATCH(ROWS($AF$2:AF250),$AF$2:$AF$1001,0),1)&gt;=100000,INDEX($AM$1005:$BM$1005,1,MATCH(COLUMNS($AM$1006:BC1006),$AM$1006:$BM$1006,0))&gt;=100000), " ",IF(INDEX($AM$2:$BM$1001,MATCH(ROWS($AF$2:AF250),$AF$2:$AF$1001,0),MATCH(COLUMNS($AM$1006:BC1006),$AM$1006:$BM$1006,0)), HYPERLINK("#",""), HYPERLINK(CONCATENATE("#metadata!", ADDRESS(INDEX($AH$2:$AH$1001,MATCH(ROWS($AF$2:AF250),$AF$2:$AF$1001,0),0), INDEX($AM$1004:$BM$1004,1,MATCH(COLUMNS($AM$1006:BC1006),$AM$1006:$BM$1006,0)))),"Fix")))</f>
        <v xml:space="preserve"> </v>
      </c>
      <c r="S250" s="4" t="str">
        <f ca="1">IF(OR(INDEX($AG$2:$AG$1001,MATCH(ROWS($AF$2:AF250),$AF$2:$AF$1001,0),1)&gt;=100000,INDEX($AM$1005:$BM$1005,1,MATCH(COLUMNS($AM$1006:BD1006),$AM$1006:$BM$1006,0))&gt;=100000), " ",IF(INDEX($AM$2:$BM$1001,MATCH(ROWS($AF$2:AF250),$AF$2:$AF$1001,0),MATCH(COLUMNS($AM$1006:BD1006),$AM$1006:$BM$1006,0)), HYPERLINK("#",""), HYPERLINK(CONCATENATE("#metadata!", ADDRESS(INDEX($AH$2:$AH$1001,MATCH(ROWS($AF$2:AF250),$AF$2:$AF$1001,0),0), INDEX($AM$1004:$BM$1004,1,MATCH(COLUMNS($AM$1006:BD1006),$AM$1006:$BM$1006,0)))),"Fix")))</f>
        <v xml:space="preserve"> </v>
      </c>
      <c r="T250" s="4" t="str">
        <f ca="1">IF(OR(INDEX($AG$2:$AG$1001,MATCH(ROWS($AF$2:AF250),$AF$2:$AF$1001,0),1)&gt;=100000,INDEX($AM$1005:$BM$1005,1,MATCH(COLUMNS($AM$1006:BE1006),$AM$1006:$BM$1006,0))&gt;=100000), " ",IF(INDEX($AM$2:$BM$1001,MATCH(ROWS($AF$2:AF250),$AF$2:$AF$1001,0),MATCH(COLUMNS($AM$1006:BE1006),$AM$1006:$BM$1006,0)), HYPERLINK("#",""), HYPERLINK(CONCATENATE("#metadata!", ADDRESS(INDEX($AH$2:$AH$1001,MATCH(ROWS($AF$2:AF250),$AF$2:$AF$1001,0),0), INDEX($AM$1004:$BM$1004,1,MATCH(COLUMNS($AM$1006:BE1006),$AM$1006:$BM$1006,0)))),"Fix")))</f>
        <v xml:space="preserve"> </v>
      </c>
      <c r="U250" s="4" t="str">
        <f ca="1">IF(OR(INDEX($AG$2:$AG$1001,MATCH(ROWS($AF$2:AF250),$AF$2:$AF$1001,0),1)&gt;=100000,INDEX($AM$1005:$BM$1005,1,MATCH(COLUMNS($AM$1006:BF1006),$AM$1006:$BM$1006,0))&gt;=100000), " ",IF(INDEX($AM$2:$BM$1001,MATCH(ROWS($AF$2:AF250),$AF$2:$AF$1001,0),MATCH(COLUMNS($AM$1006:BF1006),$AM$1006:$BM$1006,0)), HYPERLINK("#",""), HYPERLINK(CONCATENATE("#metadata!", ADDRESS(INDEX($AH$2:$AH$1001,MATCH(ROWS($AF$2:AF250),$AF$2:$AF$1001,0),0), INDEX($AM$1004:$BM$1004,1,MATCH(COLUMNS($AM$1006:BF1006),$AM$1006:$BM$1006,0)))),"Fix")))</f>
        <v xml:space="preserve"> </v>
      </c>
      <c r="V250" s="4" t="str">
        <f ca="1">IF(OR(INDEX($AG$2:$AG$1001,MATCH(ROWS($AF$2:AF250),$AF$2:$AF$1001,0),1)&gt;=100000,INDEX($AM$1005:$BM$1005,1,MATCH(COLUMNS($AM$1006:BG1006),$AM$1006:$BM$1006,0))&gt;=100000), " ",IF(INDEX($AM$2:$BM$1001,MATCH(ROWS($AF$2:AF250),$AF$2:$AF$1001,0),MATCH(COLUMNS($AM$1006:BG1006),$AM$1006:$BM$1006,0)), HYPERLINK("#",""), HYPERLINK(CONCATENATE("#metadata!", ADDRESS(INDEX($AH$2:$AH$1001,MATCH(ROWS($AF$2:AF250),$AF$2:$AF$1001,0),0), INDEX($AM$1004:$BM$1004,1,MATCH(COLUMNS($AM$1006:BG1006),$AM$1006:$BM$1006,0)))),"Fix")))</f>
        <v xml:space="preserve"> </v>
      </c>
      <c r="W250" s="4" t="str">
        <f ca="1">IF(OR(INDEX($AG$2:$AG$1001,MATCH(ROWS($AF$2:AF250),$AF$2:$AF$1001,0),1)&gt;=100000,INDEX($AM$1005:$BM$1005,1,MATCH(COLUMNS($AM$1006:BH1006),$AM$1006:$BM$1006,0))&gt;=100000), " ",IF(INDEX($AM$2:$BM$1001,MATCH(ROWS($AF$2:AF250),$AF$2:$AF$1001,0),MATCH(COLUMNS($AM$1006:BH1006),$AM$1006:$BM$1006,0)), HYPERLINK("#",""), HYPERLINK(CONCATENATE("#metadata!", ADDRESS(INDEX($AH$2:$AH$1001,MATCH(ROWS($AF$2:AF250),$AF$2:$AF$1001,0),0), INDEX($AM$1004:$BM$1004,1,MATCH(COLUMNS($AM$1006:BH1006),$AM$1006:$BM$1006,0)))),"Fix")))</f>
        <v xml:space="preserve"> </v>
      </c>
      <c r="X250" s="4" t="str">
        <f ca="1">IF(OR(INDEX($AG$2:$AG$1001,MATCH(ROWS($AF$2:AF250),$AF$2:$AF$1001,0),1)&gt;=100000,INDEX($AM$1005:$BM$1005,1,MATCH(COLUMNS($AM$1006:BI1006),$AM$1006:$BM$1006,0))&gt;=100000), " ",IF(INDEX($AM$2:$BM$1001,MATCH(ROWS($AF$2:AF250),$AF$2:$AF$1001,0),MATCH(COLUMNS($AM$1006:BI1006),$AM$1006:$BM$1006,0)), HYPERLINK("#",""), HYPERLINK(CONCATENATE("#metadata!", ADDRESS(INDEX($AH$2:$AH$1001,MATCH(ROWS($AF$2:AF250),$AF$2:$AF$1001,0),0), INDEX($AM$1004:$BM$1004,1,MATCH(COLUMNS($AM$1006:BI1006),$AM$1006:$BM$1006,0)))),"Fix")))</f>
        <v xml:space="preserve"> </v>
      </c>
      <c r="Y250" s="4" t="str">
        <f ca="1">IF(OR(INDEX($AG$2:$AG$1001,MATCH(ROWS($AF$2:AF250),$AF$2:$AF$1001,0),1)&gt;=100000,INDEX($AM$1005:$BM$1005,1,MATCH(COLUMNS($AM$1006:BJ1006),$AM$1006:$BM$1006,0))&gt;=100000), " ",IF(INDEX($AM$2:$BM$1001,MATCH(ROWS($AF$2:AF250),$AF$2:$AF$1001,0),MATCH(COLUMNS($AM$1006:BJ1006),$AM$1006:$BM$1006,0)), HYPERLINK("#",""), HYPERLINK(CONCATENATE("#metadata!", ADDRESS(INDEX($AH$2:$AH$1001,MATCH(ROWS($AF$2:AF250),$AF$2:$AF$1001,0),0), INDEX($AM$1004:$BM$1004,1,MATCH(COLUMNS($AM$1006:BJ1006),$AM$1006:$BM$1006,0)))),"Fix")))</f>
        <v xml:space="preserve"> </v>
      </c>
      <c r="Z250" s="4" t="str">
        <f ca="1">IF(OR(INDEX($AG$2:$AG$1001,MATCH(ROWS($AF$2:AF250),$AF$2:$AF$1001,0),1)&gt;=100000,INDEX($AM$1005:$BM$1005,1,MATCH(COLUMNS($AM$1006:BK1006),$AM$1006:$BM$1006,0))&gt;=100000), " ",IF(INDEX($AM$2:$BM$1001,MATCH(ROWS($AF$2:AF250),$AF$2:$AF$1001,0),MATCH(COLUMNS($AM$1006:BK1006),$AM$1006:$BM$1006,0)), HYPERLINK("#",""), HYPERLINK(CONCATENATE("#metadata!", ADDRESS(INDEX($AH$2:$AH$1001,MATCH(ROWS($AF$2:AF250),$AF$2:$AF$1001,0),0), INDEX($AM$1004:$BM$1004,1,MATCH(COLUMNS($AM$1006:BK1006),$AM$1006:$BM$1006,0)))),"Fix")))</f>
        <v xml:space="preserve"> </v>
      </c>
      <c r="AA250" s="4" t="str">
        <f ca="1">IF(OR(INDEX($AG$2:$AG$1001,MATCH(ROWS($AF$2:AF250),$AF$2:$AF$1001,0),1)&gt;=100000,INDEX($AM$1005:$BM$1005,1,MATCH(COLUMNS($AM$1006:BL1006),$AM$1006:$BM$1006,0))&gt;=100000), " ",IF(INDEX($AM$2:$BM$1001,MATCH(ROWS($AF$2:AF250),$AF$2:$AF$1001,0),MATCH(COLUMNS($AM$1006:BL1006),$AM$1006:$BM$1006,0)), HYPERLINK("#",""), HYPERLINK(CONCATENATE("#metadata!", ADDRESS(INDEX($AH$2:$AH$1001,MATCH(ROWS($AF$2:AF250),$AF$2:$AF$1001,0),0), INDEX($AM$1004:$BM$1004,1,MATCH(COLUMNS($AM$1006:BL1006),$AM$1006:$BM$1006,0)))),"Fix")))</f>
        <v xml:space="preserve"> </v>
      </c>
      <c r="AB250" s="4" t="str">
        <f ca="1">IF(OR(INDEX($AG$2:$AG$1001,MATCH(ROWS($AF$2:AF250),$AF$2:$AF$1001,0),1)&gt;=100000,INDEX($AM$1005:$BM$1005,1,MATCH(COLUMNS($AM$1006:BM1006),$AM$1006:$BM$1006,0))&gt;=100000), " ",IF(INDEX($AM$2:$BM$1001,MATCH(ROWS($AF$2:AF250),$AF$2:$AF$1001,0),MATCH(COLUMNS($AM$1006:BM1006),$AM$1006:$BM$1006,0)), HYPERLINK("#",""), HYPERLINK(CONCATENATE("#metadata!", ADDRESS(INDEX($AH$2:$AH$1001,MATCH(ROWS($AF$2:AF250),$AF$2:$AF$1001,0),0), INDEX($AM$1004:$BM$1004,1,MATCH(COLUMNS($AM$1006:BM1006),$AM$1006:$BM$1006,0)))),"Fix")))</f>
        <v xml:space="preserve"> </v>
      </c>
      <c r="AF250">
        <v>249</v>
      </c>
      <c r="AG250">
        <v>100250</v>
      </c>
      <c r="AH250">
        <v>250</v>
      </c>
      <c r="AI250" t="b">
        <f t="shared" si="3"/>
        <v>1</v>
      </c>
      <c r="AJ250" t="b">
        <f>COUNTBLANK(metadata!B250:AB250)=COLUMNS(metadata!B250:AB250)</f>
        <v>1</v>
      </c>
      <c r="AK250" t="str">
        <v/>
      </c>
      <c r="AM250" t="b">
        <f ca="1">AND(IF(metadata!B250="",FALSE,TRUE),COUNTIF(metadata!B:B, metadata!B250) = 1,NOT(ISERROR(SUMPRODUCT(SEARCH(MID(metadata!B250,ROW(INDIRECT("1:"&amp;LEN(metadata!B250))), 1),"0123456789abcdefghijklmnopqrstuvwxyzABCDEFGHIJKLMNOPQRSTUVWXYZ.")))))</f>
        <v>0</v>
      </c>
      <c r="AN250" t="b">
        <f ca="1">OR(AND(IF(metadata!C250="",FALSE,TRUE),OR(EXACT(metadata!C250,"missing: not collected"),EXACT(metadata!C250,"missing: not provided"),EXACT(metadata!C250,"missing: restricted access"))),AND(IF(metadata!C250="",FALSE,TRUE),AND(AND(IFERROR(INT(LEFT(metadata!C250,4))&gt;1900,FALSE),IFERROR(INT(LEFT(metadata!C250,4))&lt;=YEAR(NOW()),FALSE)), OR(MID(metadata!C250,5,1)="", AND(AND(MID(metadata!C250,5,1)="-",IFERROR(INT(MID(metadata!C250,6,1))&gt;=0,FALSE),IFERROR(INT(MID(metadata!C250,6,1))&lt;=1,FALSE),NOT(MID(metadata!C250,7,1)=""),IFERROR(INT(MID(metadata!C250,6,2))&gt;=1,FALSE),IFERROR(INT(MID(metadata!C250,6,2))&lt;=12,FALSE)), OR(MID(metadata!C250,8,1)="", AND(AND(MID(metadata!C250,8,1)="-",IFERROR(INT(MID(metadata!C250,9,1))&gt;=0,FALSE),IFERROR(INT(MID(metadata!C250,9,1))&lt;=3,FALSE),NOT(MID(metadata!C250,10,1)=""),IFERROR(INT(MID(metadata!C250,9,2))&gt;=1,FALSE),IFERROR(INT(MID(metadata!C250,9,2))&lt;=31,FALSE)), OR(MID(metadata!C250,11,1)="", AND(AND(MID(metadata!C250,11,1)=" ",IFERROR(INT(MID(metadata!C250,12,1))&gt;=0,FALSE),IFERROR(INT(MID(metadata!C250,12,1))&lt;=2,FALSE),NOT(MID(metadata!C250,13,1)=""),IFERROR(INT(MID(metadata!C250,12,2))&gt;=0,FALSE),IFERROR(INT(MID(metadata!C250,12,2))&lt;=23,FALSE)), OR(MID(metadata!C250,14,1)="", AND(AND(MID(metadata!C250,14,1)=":",IFERROR(INT(MID(metadata!C250,15,1))&gt;=0,FALSE),IFERROR(INT(MID(metadata!C250,15,1))&lt;=5,FALSE),NOT(MID(metadata!C250,16,1)=""),IFERROR(INT(MID(metadata!C250,15,2))&gt;=0,FALSE),IFERROR(INT(MID(metadata!C250,15,2))&lt;=59,FALSE)), OR(MID(metadata!C250,17,1)="", AND(AND(MID(metadata!C250,17,1)=":",IFERROR(INT(MID(metadata!C250,18,1))&gt;=0,FALSE),IFERROR(INT(MID(metadata!C250,18,1))&lt;=5,FALSE),NOT(MID(metadata!C250,19,1)=""),IFERROR(INT(MID(metadata!C250,18,2))&gt;=0,FALSE),IFERROR(INT(MID(metadata!C250,18,2))&lt;=59,FALSE)), LEN(metadata!C250)&lt;=19)))))))))))))</f>
        <v>0</v>
      </c>
      <c r="AO250" t="b">
        <f>AND(IF(metadata!D250="",FALSE,TRUE),EXACT(metadata!D250,"Not applicable"))</f>
        <v>0</v>
      </c>
      <c r="AP250" t="b">
        <f>IF(metadata!E250="",FALSE,TRUE)</f>
        <v>0</v>
      </c>
      <c r="AQ250" t="b">
        <f>OR(AND(IF(metadata!F250="",FALSE,TRUE),OR(EXACT(metadata!F250,"missing: not collected"),EXACT(metadata!F250,"missing: not provided"))),AND(IF(metadata!F250="",FALSE,TRUE),OR(EXACT(metadata!F250,"TRUE"),EXACT(metadata!F250,"FALSE"))))</f>
        <v>0</v>
      </c>
      <c r="AR250" t="b">
        <f>OR(AND(IF(metadata!G250="",FALSE,TRUE),OR(EXACT(metadata!G250,"missing: not collected"),EXACT(metadata!G250,"missing: not provided"),EXACT(metadata!G250,"missing: restricted access"))),AND(IF(metadata!G250="",FALSE,ISNUMBER(VALUE(metadata!G250))),metadata!G250&gt;=-413))</f>
        <v>0</v>
      </c>
      <c r="AS250" t="b">
        <f>AND(IF(metadata!H250="",FALSE,TRUE),EXACT(metadata!H250,"meters"))</f>
        <v>0</v>
      </c>
      <c r="AT250" t="b">
        <f>AND(IF(metadata!I250="",FALSE,TRUE),OR(EXACT(metadata!I250,"Host-associated"),EXACT(metadata!I250,"Free-living")))</f>
        <v>0</v>
      </c>
      <c r="AU250" t="b">
        <f>AND(IF(metadata!J250="",FALSE,TRUE),OR(EXACT(metadata!J250,"Animal"),EXACT(metadata!J250,"Fungus"),EXACT(metadata!J250,"Plant"),EXACT(metadata!J250,"Saline"),EXACT(metadata!J250,"Non-saline")))</f>
        <v>0</v>
      </c>
      <c r="AV250" t="b">
        <f>AND(IF(metadata!K250="",FALSE,TRUE),OR(EXACT(metadata!K250,"Plant secretion"),EXACT(metadata!K250,"Plant rhizosphere"),EXACT(metadata!K250,"Plant surface"),EXACT(metadata!K250,"Plant corpus"),EXACT(metadata!K250,"Fungus surface"),EXACT(metadata!K250,"Fungus corpus"),EXACT(metadata!K250,"Animal surface"),EXACT(metadata!K250,"Animal proximal gut"),EXACT(metadata!K250,"Animal corpus"),EXACT(metadata!K250,"Animal distal gut"),EXACT(metadata!K250,"Animal secretion"),EXACT(metadata!K250,"Sub-surface (non-saline)"),EXACT(metadata!K250,"Surface (non-saline)"),EXACT(metadata!K250,"Water (non-saline)"),EXACT(metadata!K250,"Soil (non-saline)"),EXACT(metadata!K250,"Aerosol (non-saline)"),EXACT(metadata!K250,"Sediment (non-saline)"),EXACT(metadata!K250,"Surface (saline)"),EXACT(metadata!K250,"Water (saline)"),EXACT(metadata!K250,"Hypersaline (saline)"),EXACT(metadata!K250,"Aerosol (saline)"),EXACT(metadata!K250,"Sediment (saline)")))</f>
        <v>0</v>
      </c>
      <c r="AW250" t="b">
        <f>IF(metadata!L250="",FALSE,TRUE)</f>
        <v>0</v>
      </c>
      <c r="AX250" t="b">
        <f>IF(metadata!M250="",FALSE,TRUE)</f>
        <v>0</v>
      </c>
      <c r="AY250" t="b">
        <f>IF(metadata!N250="",FALSE,TRUE)</f>
        <v>0</v>
      </c>
      <c r="AZ250" t="b">
        <f>OR(AND(IF(metadata!O250="",FALSE,TRUE),OR(EXACT(metadata!O250,"missing: not collected"),EXACT(metadata!O250,"missing: not provided"),EXACT(metadata!O250,"missing: restricted access"))),AND(IF(metadata!O250="",FALSE,TRUE),OR(EXACT(metadata!O250,"air"),EXACT(metadata!O250,"built environment"),EXACT(metadata!O250,"host-associated"),EXACT(metadata!O250,"human-associated"),EXACT(metadata!O250,"human-skin"),EXACT(metadata!O250,"human-oral"),EXACT(metadata!O250,"human-gut"),EXACT(metadata!O250,"human-vaginal"),EXACT(metadata!O250,"microbial mat/biofilm"),EXACT(metadata!O250,"misc environment"),EXACT(metadata!O250,"plant-associated"),EXACT(metadata!O250,"sediment"),EXACT(metadata!O250,"soil"),EXACT(metadata!O250,"wastewater/sludge"),EXACT(metadata!O250,"water"))))</f>
        <v>0</v>
      </c>
      <c r="BA250" t="b">
        <f>IF(metadata!P250="",FALSE,TRUE)</f>
        <v>0</v>
      </c>
      <c r="BB250" t="b">
        <f>IF(metadata!Q250="",FALSE,TRUE)</f>
        <v>0</v>
      </c>
      <c r="BC250" t="b">
        <f>OR(AND(IF(metadata!R250="",FALSE,TRUE),OR(EXACT(metadata!R250,"missing: not collected"),EXACT(metadata!R250,"missing: not provided"),EXACT(metadata!R250,"missing: restricted access"))),AND(IF(metadata!R250="",FALSE,ISNUMBER(VALUE(metadata!R250))),metadata!R250&gt;=-90,metadata!R250&lt;=90))</f>
        <v>0</v>
      </c>
      <c r="BD250" t="b">
        <f>AND(IF(metadata!S250="",FALSE,TRUE),EXACT(metadata!S250,"Decimal degrees"))</f>
        <v>0</v>
      </c>
      <c r="BE250" t="b">
        <f>OR(AND(IF(metadata!T250="",FALSE,TRUE),OR(EXACT(metadata!T250,"missing: not collected"),EXACT(metadata!T250,"missing: not provided"),EXACT(metadata!T250,"missing: restricted access"))),AND(IF(metadata!T250="",FALSE,ISNUMBER(VALUE(metadata!T250))),metadata!T250&gt;=-180,metadata!T250&lt;=180))</f>
        <v>0</v>
      </c>
      <c r="BF250" t="b">
        <f>AND(IF(metadata!U250="",FALSE,TRUE),EXACT(metadata!U250,"Decimal degrees"))</f>
        <v>0</v>
      </c>
      <c r="BG250" t="b">
        <f>IF(metadata!V250="",FALSE,TRUE)</f>
        <v>0</v>
      </c>
      <c r="BH250" t="b">
        <f>OR(AND(IF(metadata!W250="",FALSE,TRUE),OR(EXACT(metadata!W250,"missing: not collected"),EXACT(metadata!W250,"missing: not provided"),EXACT(metadata!W250,"missing: restricted access"))),AND(IF(metadata!W250="",FALSE,TRUE),OR(EXACT(metadata!W250,"TRUE"),EXACT(metadata!W250,"FALSE"))))</f>
        <v>0</v>
      </c>
      <c r="BI250" t="b">
        <f>AND(IF(metadata!X250="",FALSE,TRUE),EXACT(metadata!X250,"other"))</f>
        <v>0</v>
      </c>
      <c r="BJ250" t="b">
        <f>IF(metadata!Y250="",FALSE,TRUE)</f>
        <v>0</v>
      </c>
      <c r="BK250" t="b">
        <f>OR(AND(IF(metadata!Z250="",FALSE,TRUE),OR(EXACT(metadata!Z250,"missing: not collected"),EXACT(metadata!Z250,"missing: not provided"))),AND(IF(metadata!Z250="",FALSE,IF(ISERROR(INT(metadata!Z250)),FALSE,INT(metadata!Z250)=metadata!Z250)),metadata!Z250&gt;0))</f>
        <v>0</v>
      </c>
      <c r="BL250" t="b">
        <f>AND(IF(metadata!AA250="",FALSE,TRUE),EXACT(metadata!AA250,"Not applicable"))</f>
        <v>0</v>
      </c>
      <c r="BM250" t="b">
        <f>IF(metadata!AB250="",FALSE,TRUE)</f>
        <v>0</v>
      </c>
    </row>
    <row r="251" spans="1:65" x14ac:dyDescent="0.2">
      <c r="A251" s="5" t="str">
        <f ca="1">IF(B251=" "," ",HYPERLINK(CONCATENATE("#metadata!",ADDRESS(INDEX($AH$2:$AH$1001,MATCH(ROWS($AF$2:AF251),$AF$2:$AF$1001,0),0),1)),INDEX($AK$2:$AK$1001,MATCH(ROWS($AF$2:AF251),$AF$2:$AF$1001,0),0)))</f>
        <v xml:space="preserve"> </v>
      </c>
      <c r="B251" s="4" t="str">
        <f ca="1">IF(OR(INDEX($AG$2:$AG$1001,MATCH(ROWS($AF$2:AF251),$AF$2:$AF$1001,0),1)&gt;=100000,INDEX($AM$1005:$BM$1005,1,MATCH(COLUMNS($AM$1006:AM1006),$AM$1006:$BM$1006,0))&gt;=100000), " ",IF(INDEX($AM$2:$BM$1001,MATCH(ROWS($AF$2:AF251),$AF$2:$AF$1001,0),MATCH(COLUMNS($AM$1006:AM1006),$AM$1006:$BM$1006,0)), HYPERLINK("#",""), HYPERLINK(CONCATENATE("#metadata!", ADDRESS(INDEX($AH$2:$AH$1001,MATCH(ROWS($AF$2:AF251),$AF$2:$AF$1001,0),0), INDEX($AM$1004:$BM$1004,1,MATCH(COLUMNS($AM$1006:AM1006),$AM$1006:$BM$1006,0)))),"Fix")))</f>
        <v xml:space="preserve"> </v>
      </c>
      <c r="C251" s="4" t="str">
        <f ca="1">IF(OR(INDEX($AG$2:$AG$1001,MATCH(ROWS($AF$2:AF251),$AF$2:$AF$1001,0),1)&gt;=100000,INDEX($AM$1005:$BM$1005,1,MATCH(COLUMNS($AM$1006:AN1006),$AM$1006:$BM$1006,0))&gt;=100000), " ",IF(INDEX($AM$2:$BM$1001,MATCH(ROWS($AF$2:AF251),$AF$2:$AF$1001,0),MATCH(COLUMNS($AM$1006:AN1006),$AM$1006:$BM$1006,0)), HYPERLINK("#",""), HYPERLINK(CONCATENATE("#metadata!", ADDRESS(INDEX($AH$2:$AH$1001,MATCH(ROWS($AF$2:AF251),$AF$2:$AF$1001,0),0), INDEX($AM$1004:$BM$1004,1,MATCH(COLUMNS($AM$1006:AN1006),$AM$1006:$BM$1006,0)))),"Fix")))</f>
        <v xml:space="preserve"> </v>
      </c>
      <c r="D251" s="4" t="str">
        <f ca="1">IF(OR(INDEX($AG$2:$AG$1001,MATCH(ROWS($AF$2:AF251),$AF$2:$AF$1001,0),1)&gt;=100000,INDEX($AM$1005:$BM$1005,1,MATCH(COLUMNS($AM$1006:AO1006),$AM$1006:$BM$1006,0))&gt;=100000), " ",IF(INDEX($AM$2:$BM$1001,MATCH(ROWS($AF$2:AF251),$AF$2:$AF$1001,0),MATCH(COLUMNS($AM$1006:AO1006),$AM$1006:$BM$1006,0)), HYPERLINK("#",""), HYPERLINK(CONCATENATE("#metadata!", ADDRESS(INDEX($AH$2:$AH$1001,MATCH(ROWS($AF$2:AF251),$AF$2:$AF$1001,0),0), INDEX($AM$1004:$BM$1004,1,MATCH(COLUMNS($AM$1006:AO1006),$AM$1006:$BM$1006,0)))),"Fix")))</f>
        <v xml:space="preserve"> </v>
      </c>
      <c r="E251" s="4" t="str">
        <f ca="1">IF(OR(INDEX($AG$2:$AG$1001,MATCH(ROWS($AF$2:AF251),$AF$2:$AF$1001,0),1)&gt;=100000,INDEX($AM$1005:$BM$1005,1,MATCH(COLUMNS($AM$1006:AP1006),$AM$1006:$BM$1006,0))&gt;=100000), " ",IF(INDEX($AM$2:$BM$1001,MATCH(ROWS($AF$2:AF251),$AF$2:$AF$1001,0),MATCH(COLUMNS($AM$1006:AP1006),$AM$1006:$BM$1006,0)), HYPERLINK("#",""), HYPERLINK(CONCATENATE("#metadata!", ADDRESS(INDEX($AH$2:$AH$1001,MATCH(ROWS($AF$2:AF251),$AF$2:$AF$1001,0),0), INDEX($AM$1004:$BM$1004,1,MATCH(COLUMNS($AM$1006:AP1006),$AM$1006:$BM$1006,0)))),"Fix")))</f>
        <v xml:space="preserve"> </v>
      </c>
      <c r="F251" s="4" t="str">
        <f ca="1">IF(OR(INDEX($AG$2:$AG$1001,MATCH(ROWS($AF$2:AF251),$AF$2:$AF$1001,0),1)&gt;=100000,INDEX($AM$1005:$BM$1005,1,MATCH(COLUMNS($AM$1006:AQ1006),$AM$1006:$BM$1006,0))&gt;=100000), " ",IF(INDEX($AM$2:$BM$1001,MATCH(ROWS($AF$2:AF251),$AF$2:$AF$1001,0),MATCH(COLUMNS($AM$1006:AQ1006),$AM$1006:$BM$1006,0)), HYPERLINK("#",""), HYPERLINK(CONCATENATE("#metadata!", ADDRESS(INDEX($AH$2:$AH$1001,MATCH(ROWS($AF$2:AF251),$AF$2:$AF$1001,0),0), INDEX($AM$1004:$BM$1004,1,MATCH(COLUMNS($AM$1006:AQ1006),$AM$1006:$BM$1006,0)))),"Fix")))</f>
        <v xml:space="preserve"> </v>
      </c>
      <c r="G251" s="4" t="str">
        <f ca="1">IF(OR(INDEX($AG$2:$AG$1001,MATCH(ROWS($AF$2:AF251),$AF$2:$AF$1001,0),1)&gt;=100000,INDEX($AM$1005:$BM$1005,1,MATCH(COLUMNS($AM$1006:AR1006),$AM$1006:$BM$1006,0))&gt;=100000), " ",IF(INDEX($AM$2:$BM$1001,MATCH(ROWS($AF$2:AF251),$AF$2:$AF$1001,0),MATCH(COLUMNS($AM$1006:AR1006),$AM$1006:$BM$1006,0)), HYPERLINK("#",""), HYPERLINK(CONCATENATE("#metadata!", ADDRESS(INDEX($AH$2:$AH$1001,MATCH(ROWS($AF$2:AF251),$AF$2:$AF$1001,0),0), INDEX($AM$1004:$BM$1004,1,MATCH(COLUMNS($AM$1006:AR1006),$AM$1006:$BM$1006,0)))),"Fix")))</f>
        <v xml:space="preserve"> </v>
      </c>
      <c r="H251" s="4" t="str">
        <f ca="1">IF(OR(INDEX($AG$2:$AG$1001,MATCH(ROWS($AF$2:AF251),$AF$2:$AF$1001,0),1)&gt;=100000,INDEX($AM$1005:$BM$1005,1,MATCH(COLUMNS($AM$1006:AS1006),$AM$1006:$BM$1006,0))&gt;=100000), " ",IF(INDEX($AM$2:$BM$1001,MATCH(ROWS($AF$2:AF251),$AF$2:$AF$1001,0),MATCH(COLUMNS($AM$1006:AS1006),$AM$1006:$BM$1006,0)), HYPERLINK("#",""), HYPERLINK(CONCATENATE("#metadata!", ADDRESS(INDEX($AH$2:$AH$1001,MATCH(ROWS($AF$2:AF251),$AF$2:$AF$1001,0),0), INDEX($AM$1004:$BM$1004,1,MATCH(COLUMNS($AM$1006:AS1006),$AM$1006:$BM$1006,0)))),"Fix")))</f>
        <v xml:space="preserve"> </v>
      </c>
      <c r="I251" s="4" t="str">
        <f ca="1">IF(OR(INDEX($AG$2:$AG$1001,MATCH(ROWS($AF$2:AF251),$AF$2:$AF$1001,0),1)&gt;=100000,INDEX($AM$1005:$BM$1005,1,MATCH(COLUMNS($AM$1006:AT1006),$AM$1006:$BM$1006,0))&gt;=100000), " ",IF(INDEX($AM$2:$BM$1001,MATCH(ROWS($AF$2:AF251),$AF$2:$AF$1001,0),MATCH(COLUMNS($AM$1006:AT1006),$AM$1006:$BM$1006,0)), HYPERLINK("#",""), HYPERLINK(CONCATENATE("#metadata!", ADDRESS(INDEX($AH$2:$AH$1001,MATCH(ROWS($AF$2:AF251),$AF$2:$AF$1001,0),0), INDEX($AM$1004:$BM$1004,1,MATCH(COLUMNS($AM$1006:AT1006),$AM$1006:$BM$1006,0)))),"Fix")))</f>
        <v xml:space="preserve"> </v>
      </c>
      <c r="J251" s="4" t="str">
        <f ca="1">IF(OR(INDEX($AG$2:$AG$1001,MATCH(ROWS($AF$2:AF251),$AF$2:$AF$1001,0),1)&gt;=100000,INDEX($AM$1005:$BM$1005,1,MATCH(COLUMNS($AM$1006:AU1006),$AM$1006:$BM$1006,0))&gt;=100000), " ",IF(INDEX($AM$2:$BM$1001,MATCH(ROWS($AF$2:AF251),$AF$2:$AF$1001,0),MATCH(COLUMNS($AM$1006:AU1006),$AM$1006:$BM$1006,0)), HYPERLINK("#",""), HYPERLINK(CONCATENATE("#metadata!", ADDRESS(INDEX($AH$2:$AH$1001,MATCH(ROWS($AF$2:AF251),$AF$2:$AF$1001,0),0), INDEX($AM$1004:$BM$1004,1,MATCH(COLUMNS($AM$1006:AU1006),$AM$1006:$BM$1006,0)))),"Fix")))</f>
        <v xml:space="preserve"> </v>
      </c>
      <c r="K251" s="4" t="str">
        <f ca="1">IF(OR(INDEX($AG$2:$AG$1001,MATCH(ROWS($AF$2:AF251),$AF$2:$AF$1001,0),1)&gt;=100000,INDEX($AM$1005:$BM$1005,1,MATCH(COLUMNS($AM$1006:AV1006),$AM$1006:$BM$1006,0))&gt;=100000), " ",IF(INDEX($AM$2:$BM$1001,MATCH(ROWS($AF$2:AF251),$AF$2:$AF$1001,0),MATCH(COLUMNS($AM$1006:AV1006),$AM$1006:$BM$1006,0)), HYPERLINK("#",""), HYPERLINK(CONCATENATE("#metadata!", ADDRESS(INDEX($AH$2:$AH$1001,MATCH(ROWS($AF$2:AF251),$AF$2:$AF$1001,0),0), INDEX($AM$1004:$BM$1004,1,MATCH(COLUMNS($AM$1006:AV1006),$AM$1006:$BM$1006,0)))),"Fix")))</f>
        <v xml:space="preserve"> </v>
      </c>
      <c r="L251" s="4" t="str">
        <f ca="1">IF(OR(INDEX($AG$2:$AG$1001,MATCH(ROWS($AF$2:AF251),$AF$2:$AF$1001,0),1)&gt;=100000,INDEX($AM$1005:$BM$1005,1,MATCH(COLUMNS($AM$1006:AW1006),$AM$1006:$BM$1006,0))&gt;=100000), " ",IF(INDEX($AM$2:$BM$1001,MATCH(ROWS($AF$2:AF251),$AF$2:$AF$1001,0),MATCH(COLUMNS($AM$1006:AW1006),$AM$1006:$BM$1006,0)), HYPERLINK("#",""), HYPERLINK(CONCATENATE("#metadata!", ADDRESS(INDEX($AH$2:$AH$1001,MATCH(ROWS($AF$2:AF251),$AF$2:$AF$1001,0),0), INDEX($AM$1004:$BM$1004,1,MATCH(COLUMNS($AM$1006:AW1006),$AM$1006:$BM$1006,0)))),"Fix")))</f>
        <v xml:space="preserve"> </v>
      </c>
      <c r="M251" s="4" t="str">
        <f ca="1">IF(OR(INDEX($AG$2:$AG$1001,MATCH(ROWS($AF$2:AF251),$AF$2:$AF$1001,0),1)&gt;=100000,INDEX($AM$1005:$BM$1005,1,MATCH(COLUMNS($AM$1006:AX1006),$AM$1006:$BM$1006,0))&gt;=100000), " ",IF(INDEX($AM$2:$BM$1001,MATCH(ROWS($AF$2:AF251),$AF$2:$AF$1001,0),MATCH(COLUMNS($AM$1006:AX1006),$AM$1006:$BM$1006,0)), HYPERLINK("#",""), HYPERLINK(CONCATENATE("#metadata!", ADDRESS(INDEX($AH$2:$AH$1001,MATCH(ROWS($AF$2:AF251),$AF$2:$AF$1001,0),0), INDEX($AM$1004:$BM$1004,1,MATCH(COLUMNS($AM$1006:AX1006),$AM$1006:$BM$1006,0)))),"Fix")))</f>
        <v xml:space="preserve"> </v>
      </c>
      <c r="N251" s="4" t="str">
        <f ca="1">IF(OR(INDEX($AG$2:$AG$1001,MATCH(ROWS($AF$2:AF251),$AF$2:$AF$1001,0),1)&gt;=100000,INDEX($AM$1005:$BM$1005,1,MATCH(COLUMNS($AM$1006:AY1006),$AM$1006:$BM$1006,0))&gt;=100000), " ",IF(INDEX($AM$2:$BM$1001,MATCH(ROWS($AF$2:AF251),$AF$2:$AF$1001,0),MATCH(COLUMNS($AM$1006:AY1006),$AM$1006:$BM$1006,0)), HYPERLINK("#",""), HYPERLINK(CONCATENATE("#metadata!", ADDRESS(INDEX($AH$2:$AH$1001,MATCH(ROWS($AF$2:AF251),$AF$2:$AF$1001,0),0), INDEX($AM$1004:$BM$1004,1,MATCH(COLUMNS($AM$1006:AY1006),$AM$1006:$BM$1006,0)))),"Fix")))</f>
        <v xml:space="preserve"> </v>
      </c>
      <c r="O251" s="4" t="str">
        <f ca="1">IF(OR(INDEX($AG$2:$AG$1001,MATCH(ROWS($AF$2:AF251),$AF$2:$AF$1001,0),1)&gt;=100000,INDEX($AM$1005:$BM$1005,1,MATCH(COLUMNS($AM$1006:AZ1006),$AM$1006:$BM$1006,0))&gt;=100000), " ",IF(INDEX($AM$2:$BM$1001,MATCH(ROWS($AF$2:AF251),$AF$2:$AF$1001,0),MATCH(COLUMNS($AM$1006:AZ1006),$AM$1006:$BM$1006,0)), HYPERLINK("#",""), HYPERLINK(CONCATENATE("#metadata!", ADDRESS(INDEX($AH$2:$AH$1001,MATCH(ROWS($AF$2:AF251),$AF$2:$AF$1001,0),0), INDEX($AM$1004:$BM$1004,1,MATCH(COLUMNS($AM$1006:AZ1006),$AM$1006:$BM$1006,0)))),"Fix")))</f>
        <v xml:space="preserve"> </v>
      </c>
      <c r="P251" s="4" t="str">
        <f ca="1">IF(OR(INDEX($AG$2:$AG$1001,MATCH(ROWS($AF$2:AF251),$AF$2:$AF$1001,0),1)&gt;=100000,INDEX($AM$1005:$BM$1005,1,MATCH(COLUMNS($AM$1006:BA1006),$AM$1006:$BM$1006,0))&gt;=100000), " ",IF(INDEX($AM$2:$BM$1001,MATCH(ROWS($AF$2:AF251),$AF$2:$AF$1001,0),MATCH(COLUMNS($AM$1006:BA1006),$AM$1006:$BM$1006,0)), HYPERLINK("#",""), HYPERLINK(CONCATENATE("#metadata!", ADDRESS(INDEX($AH$2:$AH$1001,MATCH(ROWS($AF$2:AF251),$AF$2:$AF$1001,0),0), INDEX($AM$1004:$BM$1004,1,MATCH(COLUMNS($AM$1006:BA1006),$AM$1006:$BM$1006,0)))),"Fix")))</f>
        <v xml:space="preserve"> </v>
      </c>
      <c r="Q251" s="4" t="str">
        <f ca="1">IF(OR(INDEX($AG$2:$AG$1001,MATCH(ROWS($AF$2:AF251),$AF$2:$AF$1001,0),1)&gt;=100000,INDEX($AM$1005:$BM$1005,1,MATCH(COLUMNS($AM$1006:BB1006),$AM$1006:$BM$1006,0))&gt;=100000), " ",IF(INDEX($AM$2:$BM$1001,MATCH(ROWS($AF$2:AF251),$AF$2:$AF$1001,0),MATCH(COLUMNS($AM$1006:BB1006),$AM$1006:$BM$1006,0)), HYPERLINK("#",""), HYPERLINK(CONCATENATE("#metadata!", ADDRESS(INDEX($AH$2:$AH$1001,MATCH(ROWS($AF$2:AF251),$AF$2:$AF$1001,0),0), INDEX($AM$1004:$BM$1004,1,MATCH(COLUMNS($AM$1006:BB1006),$AM$1006:$BM$1006,0)))),"Fix")))</f>
        <v xml:space="preserve"> </v>
      </c>
      <c r="R251" s="4" t="str">
        <f ca="1">IF(OR(INDEX($AG$2:$AG$1001,MATCH(ROWS($AF$2:AF251),$AF$2:$AF$1001,0),1)&gt;=100000,INDEX($AM$1005:$BM$1005,1,MATCH(COLUMNS($AM$1006:BC1006),$AM$1006:$BM$1006,0))&gt;=100000), " ",IF(INDEX($AM$2:$BM$1001,MATCH(ROWS($AF$2:AF251),$AF$2:$AF$1001,0),MATCH(COLUMNS($AM$1006:BC1006),$AM$1006:$BM$1006,0)), HYPERLINK("#",""), HYPERLINK(CONCATENATE("#metadata!", ADDRESS(INDEX($AH$2:$AH$1001,MATCH(ROWS($AF$2:AF251),$AF$2:$AF$1001,0),0), INDEX($AM$1004:$BM$1004,1,MATCH(COLUMNS($AM$1006:BC1006),$AM$1006:$BM$1006,0)))),"Fix")))</f>
        <v xml:space="preserve"> </v>
      </c>
      <c r="S251" s="4" t="str">
        <f ca="1">IF(OR(INDEX($AG$2:$AG$1001,MATCH(ROWS($AF$2:AF251),$AF$2:$AF$1001,0),1)&gt;=100000,INDEX($AM$1005:$BM$1005,1,MATCH(COLUMNS($AM$1006:BD1006),$AM$1006:$BM$1006,0))&gt;=100000), " ",IF(INDEX($AM$2:$BM$1001,MATCH(ROWS($AF$2:AF251),$AF$2:$AF$1001,0),MATCH(COLUMNS($AM$1006:BD1006),$AM$1006:$BM$1006,0)), HYPERLINK("#",""), HYPERLINK(CONCATENATE("#metadata!", ADDRESS(INDEX($AH$2:$AH$1001,MATCH(ROWS($AF$2:AF251),$AF$2:$AF$1001,0),0), INDEX($AM$1004:$BM$1004,1,MATCH(COLUMNS($AM$1006:BD1006),$AM$1006:$BM$1006,0)))),"Fix")))</f>
        <v xml:space="preserve"> </v>
      </c>
      <c r="T251" s="4" t="str">
        <f ca="1">IF(OR(INDEX($AG$2:$AG$1001,MATCH(ROWS($AF$2:AF251),$AF$2:$AF$1001,0),1)&gt;=100000,INDEX($AM$1005:$BM$1005,1,MATCH(COLUMNS($AM$1006:BE1006),$AM$1006:$BM$1006,0))&gt;=100000), " ",IF(INDEX($AM$2:$BM$1001,MATCH(ROWS($AF$2:AF251),$AF$2:$AF$1001,0),MATCH(COLUMNS($AM$1006:BE1006),$AM$1006:$BM$1006,0)), HYPERLINK("#",""), HYPERLINK(CONCATENATE("#metadata!", ADDRESS(INDEX($AH$2:$AH$1001,MATCH(ROWS($AF$2:AF251),$AF$2:$AF$1001,0),0), INDEX($AM$1004:$BM$1004,1,MATCH(COLUMNS($AM$1006:BE1006),$AM$1006:$BM$1006,0)))),"Fix")))</f>
        <v xml:space="preserve"> </v>
      </c>
      <c r="U251" s="4" t="str">
        <f ca="1">IF(OR(INDEX($AG$2:$AG$1001,MATCH(ROWS($AF$2:AF251),$AF$2:$AF$1001,0),1)&gt;=100000,INDEX($AM$1005:$BM$1005,1,MATCH(COLUMNS($AM$1006:BF1006),$AM$1006:$BM$1006,0))&gt;=100000), " ",IF(INDEX($AM$2:$BM$1001,MATCH(ROWS($AF$2:AF251),$AF$2:$AF$1001,0),MATCH(COLUMNS($AM$1006:BF1006),$AM$1006:$BM$1006,0)), HYPERLINK("#",""), HYPERLINK(CONCATENATE("#metadata!", ADDRESS(INDEX($AH$2:$AH$1001,MATCH(ROWS($AF$2:AF251),$AF$2:$AF$1001,0),0), INDEX($AM$1004:$BM$1004,1,MATCH(COLUMNS($AM$1006:BF1006),$AM$1006:$BM$1006,0)))),"Fix")))</f>
        <v xml:space="preserve"> </v>
      </c>
      <c r="V251" s="4" t="str">
        <f ca="1">IF(OR(INDEX($AG$2:$AG$1001,MATCH(ROWS($AF$2:AF251),$AF$2:$AF$1001,0),1)&gt;=100000,INDEX($AM$1005:$BM$1005,1,MATCH(COLUMNS($AM$1006:BG1006),$AM$1006:$BM$1006,0))&gt;=100000), " ",IF(INDEX($AM$2:$BM$1001,MATCH(ROWS($AF$2:AF251),$AF$2:$AF$1001,0),MATCH(COLUMNS($AM$1006:BG1006),$AM$1006:$BM$1006,0)), HYPERLINK("#",""), HYPERLINK(CONCATENATE("#metadata!", ADDRESS(INDEX($AH$2:$AH$1001,MATCH(ROWS($AF$2:AF251),$AF$2:$AF$1001,0),0), INDEX($AM$1004:$BM$1004,1,MATCH(COLUMNS($AM$1006:BG1006),$AM$1006:$BM$1006,0)))),"Fix")))</f>
        <v xml:space="preserve"> </v>
      </c>
      <c r="W251" s="4" t="str">
        <f ca="1">IF(OR(INDEX($AG$2:$AG$1001,MATCH(ROWS($AF$2:AF251),$AF$2:$AF$1001,0),1)&gt;=100000,INDEX($AM$1005:$BM$1005,1,MATCH(COLUMNS($AM$1006:BH1006),$AM$1006:$BM$1006,0))&gt;=100000), " ",IF(INDEX($AM$2:$BM$1001,MATCH(ROWS($AF$2:AF251),$AF$2:$AF$1001,0),MATCH(COLUMNS($AM$1006:BH1006),$AM$1006:$BM$1006,0)), HYPERLINK("#",""), HYPERLINK(CONCATENATE("#metadata!", ADDRESS(INDEX($AH$2:$AH$1001,MATCH(ROWS($AF$2:AF251),$AF$2:$AF$1001,0),0), INDEX($AM$1004:$BM$1004,1,MATCH(COLUMNS($AM$1006:BH1006),$AM$1006:$BM$1006,0)))),"Fix")))</f>
        <v xml:space="preserve"> </v>
      </c>
      <c r="X251" s="4" t="str">
        <f ca="1">IF(OR(INDEX($AG$2:$AG$1001,MATCH(ROWS($AF$2:AF251),$AF$2:$AF$1001,0),1)&gt;=100000,INDEX($AM$1005:$BM$1005,1,MATCH(COLUMNS($AM$1006:BI1006),$AM$1006:$BM$1006,0))&gt;=100000), " ",IF(INDEX($AM$2:$BM$1001,MATCH(ROWS($AF$2:AF251),$AF$2:$AF$1001,0),MATCH(COLUMNS($AM$1006:BI1006),$AM$1006:$BM$1006,0)), HYPERLINK("#",""), HYPERLINK(CONCATENATE("#metadata!", ADDRESS(INDEX($AH$2:$AH$1001,MATCH(ROWS($AF$2:AF251),$AF$2:$AF$1001,0),0), INDEX($AM$1004:$BM$1004,1,MATCH(COLUMNS($AM$1006:BI1006),$AM$1006:$BM$1006,0)))),"Fix")))</f>
        <v xml:space="preserve"> </v>
      </c>
      <c r="Y251" s="4" t="str">
        <f ca="1">IF(OR(INDEX($AG$2:$AG$1001,MATCH(ROWS($AF$2:AF251),$AF$2:$AF$1001,0),1)&gt;=100000,INDEX($AM$1005:$BM$1005,1,MATCH(COLUMNS($AM$1006:BJ1006),$AM$1006:$BM$1006,0))&gt;=100000), " ",IF(INDEX($AM$2:$BM$1001,MATCH(ROWS($AF$2:AF251),$AF$2:$AF$1001,0),MATCH(COLUMNS($AM$1006:BJ1006),$AM$1006:$BM$1006,0)), HYPERLINK("#",""), HYPERLINK(CONCATENATE("#metadata!", ADDRESS(INDEX($AH$2:$AH$1001,MATCH(ROWS($AF$2:AF251),$AF$2:$AF$1001,0),0), INDEX($AM$1004:$BM$1004,1,MATCH(COLUMNS($AM$1006:BJ1006),$AM$1006:$BM$1006,0)))),"Fix")))</f>
        <v xml:space="preserve"> </v>
      </c>
      <c r="Z251" s="4" t="str">
        <f ca="1">IF(OR(INDEX($AG$2:$AG$1001,MATCH(ROWS($AF$2:AF251),$AF$2:$AF$1001,0),1)&gt;=100000,INDEX($AM$1005:$BM$1005,1,MATCH(COLUMNS($AM$1006:BK1006),$AM$1006:$BM$1006,0))&gt;=100000), " ",IF(INDEX($AM$2:$BM$1001,MATCH(ROWS($AF$2:AF251),$AF$2:$AF$1001,0),MATCH(COLUMNS($AM$1006:BK1006),$AM$1006:$BM$1006,0)), HYPERLINK("#",""), HYPERLINK(CONCATENATE("#metadata!", ADDRESS(INDEX($AH$2:$AH$1001,MATCH(ROWS($AF$2:AF251),$AF$2:$AF$1001,0),0), INDEX($AM$1004:$BM$1004,1,MATCH(COLUMNS($AM$1006:BK1006),$AM$1006:$BM$1006,0)))),"Fix")))</f>
        <v xml:space="preserve"> </v>
      </c>
      <c r="AA251" s="4" t="str">
        <f ca="1">IF(OR(INDEX($AG$2:$AG$1001,MATCH(ROWS($AF$2:AF251),$AF$2:$AF$1001,0),1)&gt;=100000,INDEX($AM$1005:$BM$1005,1,MATCH(COLUMNS($AM$1006:BL1006),$AM$1006:$BM$1006,0))&gt;=100000), " ",IF(INDEX($AM$2:$BM$1001,MATCH(ROWS($AF$2:AF251),$AF$2:$AF$1001,0),MATCH(COLUMNS($AM$1006:BL1006),$AM$1006:$BM$1006,0)), HYPERLINK("#",""), HYPERLINK(CONCATENATE("#metadata!", ADDRESS(INDEX($AH$2:$AH$1001,MATCH(ROWS($AF$2:AF251),$AF$2:$AF$1001,0),0), INDEX($AM$1004:$BM$1004,1,MATCH(COLUMNS($AM$1006:BL1006),$AM$1006:$BM$1006,0)))),"Fix")))</f>
        <v xml:space="preserve"> </v>
      </c>
      <c r="AB251" s="4" t="str">
        <f ca="1">IF(OR(INDEX($AG$2:$AG$1001,MATCH(ROWS($AF$2:AF251),$AF$2:$AF$1001,0),1)&gt;=100000,INDEX($AM$1005:$BM$1005,1,MATCH(COLUMNS($AM$1006:BM1006),$AM$1006:$BM$1006,0))&gt;=100000), " ",IF(INDEX($AM$2:$BM$1001,MATCH(ROWS($AF$2:AF251),$AF$2:$AF$1001,0),MATCH(COLUMNS($AM$1006:BM1006),$AM$1006:$BM$1006,0)), HYPERLINK("#",""), HYPERLINK(CONCATENATE("#metadata!", ADDRESS(INDEX($AH$2:$AH$1001,MATCH(ROWS($AF$2:AF251),$AF$2:$AF$1001,0),0), INDEX($AM$1004:$BM$1004,1,MATCH(COLUMNS($AM$1006:BM1006),$AM$1006:$BM$1006,0)))),"Fix")))</f>
        <v xml:space="preserve"> </v>
      </c>
      <c r="AF251">
        <v>250</v>
      </c>
      <c r="AG251">
        <v>100251</v>
      </c>
      <c r="AH251">
        <v>251</v>
      </c>
      <c r="AI251" t="b">
        <f t="shared" si="3"/>
        <v>1</v>
      </c>
      <c r="AJ251" t="b">
        <f>COUNTBLANK(metadata!B251:AB251)=COLUMNS(metadata!B251:AB251)</f>
        <v>1</v>
      </c>
      <c r="AK251" t="str">
        <v/>
      </c>
      <c r="AM251" t="b">
        <f ca="1">AND(IF(metadata!B251="",FALSE,TRUE),COUNTIF(metadata!B:B, metadata!B251) = 1,NOT(ISERROR(SUMPRODUCT(SEARCH(MID(metadata!B251,ROW(INDIRECT("1:"&amp;LEN(metadata!B251))), 1),"0123456789abcdefghijklmnopqrstuvwxyzABCDEFGHIJKLMNOPQRSTUVWXYZ.")))))</f>
        <v>0</v>
      </c>
      <c r="AN251" t="b">
        <f ca="1">OR(AND(IF(metadata!C251="",FALSE,TRUE),OR(EXACT(metadata!C251,"missing: not collected"),EXACT(metadata!C251,"missing: not provided"),EXACT(metadata!C251,"missing: restricted access"))),AND(IF(metadata!C251="",FALSE,TRUE),AND(AND(IFERROR(INT(LEFT(metadata!C251,4))&gt;1900,FALSE),IFERROR(INT(LEFT(metadata!C251,4))&lt;=YEAR(NOW()),FALSE)), OR(MID(metadata!C251,5,1)="", AND(AND(MID(metadata!C251,5,1)="-",IFERROR(INT(MID(metadata!C251,6,1))&gt;=0,FALSE),IFERROR(INT(MID(metadata!C251,6,1))&lt;=1,FALSE),NOT(MID(metadata!C251,7,1)=""),IFERROR(INT(MID(metadata!C251,6,2))&gt;=1,FALSE),IFERROR(INT(MID(metadata!C251,6,2))&lt;=12,FALSE)), OR(MID(metadata!C251,8,1)="", AND(AND(MID(metadata!C251,8,1)="-",IFERROR(INT(MID(metadata!C251,9,1))&gt;=0,FALSE),IFERROR(INT(MID(metadata!C251,9,1))&lt;=3,FALSE),NOT(MID(metadata!C251,10,1)=""),IFERROR(INT(MID(metadata!C251,9,2))&gt;=1,FALSE),IFERROR(INT(MID(metadata!C251,9,2))&lt;=31,FALSE)), OR(MID(metadata!C251,11,1)="", AND(AND(MID(metadata!C251,11,1)=" ",IFERROR(INT(MID(metadata!C251,12,1))&gt;=0,FALSE),IFERROR(INT(MID(metadata!C251,12,1))&lt;=2,FALSE),NOT(MID(metadata!C251,13,1)=""),IFERROR(INT(MID(metadata!C251,12,2))&gt;=0,FALSE),IFERROR(INT(MID(metadata!C251,12,2))&lt;=23,FALSE)), OR(MID(metadata!C251,14,1)="", AND(AND(MID(metadata!C251,14,1)=":",IFERROR(INT(MID(metadata!C251,15,1))&gt;=0,FALSE),IFERROR(INT(MID(metadata!C251,15,1))&lt;=5,FALSE),NOT(MID(metadata!C251,16,1)=""),IFERROR(INT(MID(metadata!C251,15,2))&gt;=0,FALSE),IFERROR(INT(MID(metadata!C251,15,2))&lt;=59,FALSE)), OR(MID(metadata!C251,17,1)="", AND(AND(MID(metadata!C251,17,1)=":",IFERROR(INT(MID(metadata!C251,18,1))&gt;=0,FALSE),IFERROR(INT(MID(metadata!C251,18,1))&lt;=5,FALSE),NOT(MID(metadata!C251,19,1)=""),IFERROR(INT(MID(metadata!C251,18,2))&gt;=0,FALSE),IFERROR(INT(MID(metadata!C251,18,2))&lt;=59,FALSE)), LEN(metadata!C251)&lt;=19)))))))))))))</f>
        <v>0</v>
      </c>
      <c r="AO251" t="b">
        <f>AND(IF(metadata!D251="",FALSE,TRUE),EXACT(metadata!D251,"Not applicable"))</f>
        <v>0</v>
      </c>
      <c r="AP251" t="b">
        <f>IF(metadata!E251="",FALSE,TRUE)</f>
        <v>0</v>
      </c>
      <c r="AQ251" t="b">
        <f>OR(AND(IF(metadata!F251="",FALSE,TRUE),OR(EXACT(metadata!F251,"missing: not collected"),EXACT(metadata!F251,"missing: not provided"))),AND(IF(metadata!F251="",FALSE,TRUE),OR(EXACT(metadata!F251,"TRUE"),EXACT(metadata!F251,"FALSE"))))</f>
        <v>0</v>
      </c>
      <c r="AR251" t="b">
        <f>OR(AND(IF(metadata!G251="",FALSE,TRUE),OR(EXACT(metadata!G251,"missing: not collected"),EXACT(metadata!G251,"missing: not provided"),EXACT(metadata!G251,"missing: restricted access"))),AND(IF(metadata!G251="",FALSE,ISNUMBER(VALUE(metadata!G251))),metadata!G251&gt;=-413))</f>
        <v>0</v>
      </c>
      <c r="AS251" t="b">
        <f>AND(IF(metadata!H251="",FALSE,TRUE),EXACT(metadata!H251,"meters"))</f>
        <v>0</v>
      </c>
      <c r="AT251" t="b">
        <f>AND(IF(metadata!I251="",FALSE,TRUE),OR(EXACT(metadata!I251,"Host-associated"),EXACT(metadata!I251,"Free-living")))</f>
        <v>0</v>
      </c>
      <c r="AU251" t="b">
        <f>AND(IF(metadata!J251="",FALSE,TRUE),OR(EXACT(metadata!J251,"Animal"),EXACT(metadata!J251,"Fungus"),EXACT(metadata!J251,"Plant"),EXACT(metadata!J251,"Saline"),EXACT(metadata!J251,"Non-saline")))</f>
        <v>0</v>
      </c>
      <c r="AV251" t="b">
        <f>AND(IF(metadata!K251="",FALSE,TRUE),OR(EXACT(metadata!K251,"Plant secretion"),EXACT(metadata!K251,"Plant rhizosphere"),EXACT(metadata!K251,"Plant surface"),EXACT(metadata!K251,"Plant corpus"),EXACT(metadata!K251,"Fungus surface"),EXACT(metadata!K251,"Fungus corpus"),EXACT(metadata!K251,"Animal surface"),EXACT(metadata!K251,"Animal proximal gut"),EXACT(metadata!K251,"Animal corpus"),EXACT(metadata!K251,"Animal distal gut"),EXACT(metadata!K251,"Animal secretion"),EXACT(metadata!K251,"Sub-surface (non-saline)"),EXACT(metadata!K251,"Surface (non-saline)"),EXACT(metadata!K251,"Water (non-saline)"),EXACT(metadata!K251,"Soil (non-saline)"),EXACT(metadata!K251,"Aerosol (non-saline)"),EXACT(metadata!K251,"Sediment (non-saline)"),EXACT(metadata!K251,"Surface (saline)"),EXACT(metadata!K251,"Water (saline)"),EXACT(metadata!K251,"Hypersaline (saline)"),EXACT(metadata!K251,"Aerosol (saline)"),EXACT(metadata!K251,"Sediment (saline)")))</f>
        <v>0</v>
      </c>
      <c r="AW251" t="b">
        <f>IF(metadata!L251="",FALSE,TRUE)</f>
        <v>0</v>
      </c>
      <c r="AX251" t="b">
        <f>IF(metadata!M251="",FALSE,TRUE)</f>
        <v>0</v>
      </c>
      <c r="AY251" t="b">
        <f>IF(metadata!N251="",FALSE,TRUE)</f>
        <v>0</v>
      </c>
      <c r="AZ251" t="b">
        <f>OR(AND(IF(metadata!O251="",FALSE,TRUE),OR(EXACT(metadata!O251,"missing: not collected"),EXACT(metadata!O251,"missing: not provided"),EXACT(metadata!O251,"missing: restricted access"))),AND(IF(metadata!O251="",FALSE,TRUE),OR(EXACT(metadata!O251,"air"),EXACT(metadata!O251,"built environment"),EXACT(metadata!O251,"host-associated"),EXACT(metadata!O251,"human-associated"),EXACT(metadata!O251,"human-skin"),EXACT(metadata!O251,"human-oral"),EXACT(metadata!O251,"human-gut"),EXACT(metadata!O251,"human-vaginal"),EXACT(metadata!O251,"microbial mat/biofilm"),EXACT(metadata!O251,"misc environment"),EXACT(metadata!O251,"plant-associated"),EXACT(metadata!O251,"sediment"),EXACT(metadata!O251,"soil"),EXACT(metadata!O251,"wastewater/sludge"),EXACT(metadata!O251,"water"))))</f>
        <v>0</v>
      </c>
      <c r="BA251" t="b">
        <f>IF(metadata!P251="",FALSE,TRUE)</f>
        <v>0</v>
      </c>
      <c r="BB251" t="b">
        <f>IF(metadata!Q251="",FALSE,TRUE)</f>
        <v>0</v>
      </c>
      <c r="BC251" t="b">
        <f>OR(AND(IF(metadata!R251="",FALSE,TRUE),OR(EXACT(metadata!R251,"missing: not collected"),EXACT(metadata!R251,"missing: not provided"),EXACT(metadata!R251,"missing: restricted access"))),AND(IF(metadata!R251="",FALSE,ISNUMBER(VALUE(metadata!R251))),metadata!R251&gt;=-90,metadata!R251&lt;=90))</f>
        <v>0</v>
      </c>
      <c r="BD251" t="b">
        <f>AND(IF(metadata!S251="",FALSE,TRUE),EXACT(metadata!S251,"Decimal degrees"))</f>
        <v>0</v>
      </c>
      <c r="BE251" t="b">
        <f>OR(AND(IF(metadata!T251="",FALSE,TRUE),OR(EXACT(metadata!T251,"missing: not collected"),EXACT(metadata!T251,"missing: not provided"),EXACT(metadata!T251,"missing: restricted access"))),AND(IF(metadata!T251="",FALSE,ISNUMBER(VALUE(metadata!T251))),metadata!T251&gt;=-180,metadata!T251&lt;=180))</f>
        <v>0</v>
      </c>
      <c r="BF251" t="b">
        <f>AND(IF(metadata!U251="",FALSE,TRUE),EXACT(metadata!U251,"Decimal degrees"))</f>
        <v>0</v>
      </c>
      <c r="BG251" t="b">
        <f>IF(metadata!V251="",FALSE,TRUE)</f>
        <v>0</v>
      </c>
      <c r="BH251" t="b">
        <f>OR(AND(IF(metadata!W251="",FALSE,TRUE),OR(EXACT(metadata!W251,"missing: not collected"),EXACT(metadata!W251,"missing: not provided"),EXACT(metadata!W251,"missing: restricted access"))),AND(IF(metadata!W251="",FALSE,TRUE),OR(EXACT(metadata!W251,"TRUE"),EXACT(metadata!W251,"FALSE"))))</f>
        <v>0</v>
      </c>
      <c r="BI251" t="b">
        <f>AND(IF(metadata!X251="",FALSE,TRUE),EXACT(metadata!X251,"other"))</f>
        <v>0</v>
      </c>
      <c r="BJ251" t="b">
        <f>IF(metadata!Y251="",FALSE,TRUE)</f>
        <v>0</v>
      </c>
      <c r="BK251" t="b">
        <f>OR(AND(IF(metadata!Z251="",FALSE,TRUE),OR(EXACT(metadata!Z251,"missing: not collected"),EXACT(metadata!Z251,"missing: not provided"))),AND(IF(metadata!Z251="",FALSE,IF(ISERROR(INT(metadata!Z251)),FALSE,INT(metadata!Z251)=metadata!Z251)),metadata!Z251&gt;0))</f>
        <v>0</v>
      </c>
      <c r="BL251" t="b">
        <f>AND(IF(metadata!AA251="",FALSE,TRUE),EXACT(metadata!AA251,"Not applicable"))</f>
        <v>0</v>
      </c>
      <c r="BM251" t="b">
        <f>IF(metadata!AB251="",FALSE,TRUE)</f>
        <v>0</v>
      </c>
    </row>
    <row r="252" spans="1:65" x14ac:dyDescent="0.2">
      <c r="A252" s="5" t="str">
        <f ca="1">IF(B252=" "," ",HYPERLINK(CONCATENATE("#metadata!",ADDRESS(INDEX($AH$2:$AH$1001,MATCH(ROWS($AF$2:AF252),$AF$2:$AF$1001,0),0),1)),INDEX($AK$2:$AK$1001,MATCH(ROWS($AF$2:AF252),$AF$2:$AF$1001,0),0)))</f>
        <v xml:space="preserve"> </v>
      </c>
      <c r="B252" s="4" t="str">
        <f ca="1">IF(OR(INDEX($AG$2:$AG$1001,MATCH(ROWS($AF$2:AF252),$AF$2:$AF$1001,0),1)&gt;=100000,INDEX($AM$1005:$BM$1005,1,MATCH(COLUMNS($AM$1006:AM1006),$AM$1006:$BM$1006,0))&gt;=100000), " ",IF(INDEX($AM$2:$BM$1001,MATCH(ROWS($AF$2:AF252),$AF$2:$AF$1001,0),MATCH(COLUMNS($AM$1006:AM1006),$AM$1006:$BM$1006,0)), HYPERLINK("#",""), HYPERLINK(CONCATENATE("#metadata!", ADDRESS(INDEX($AH$2:$AH$1001,MATCH(ROWS($AF$2:AF252),$AF$2:$AF$1001,0),0), INDEX($AM$1004:$BM$1004,1,MATCH(COLUMNS($AM$1006:AM1006),$AM$1006:$BM$1006,0)))),"Fix")))</f>
        <v xml:space="preserve"> </v>
      </c>
      <c r="C252" s="4" t="str">
        <f ca="1">IF(OR(INDEX($AG$2:$AG$1001,MATCH(ROWS($AF$2:AF252),$AF$2:$AF$1001,0),1)&gt;=100000,INDEX($AM$1005:$BM$1005,1,MATCH(COLUMNS($AM$1006:AN1006),$AM$1006:$BM$1006,0))&gt;=100000), " ",IF(INDEX($AM$2:$BM$1001,MATCH(ROWS($AF$2:AF252),$AF$2:$AF$1001,0),MATCH(COLUMNS($AM$1006:AN1006),$AM$1006:$BM$1006,0)), HYPERLINK("#",""), HYPERLINK(CONCATENATE("#metadata!", ADDRESS(INDEX($AH$2:$AH$1001,MATCH(ROWS($AF$2:AF252),$AF$2:$AF$1001,0),0), INDEX($AM$1004:$BM$1004,1,MATCH(COLUMNS($AM$1006:AN1006),$AM$1006:$BM$1006,0)))),"Fix")))</f>
        <v xml:space="preserve"> </v>
      </c>
      <c r="D252" s="4" t="str">
        <f ca="1">IF(OR(INDEX($AG$2:$AG$1001,MATCH(ROWS($AF$2:AF252),$AF$2:$AF$1001,0),1)&gt;=100000,INDEX($AM$1005:$BM$1005,1,MATCH(COLUMNS($AM$1006:AO1006),$AM$1006:$BM$1006,0))&gt;=100000), " ",IF(INDEX($AM$2:$BM$1001,MATCH(ROWS($AF$2:AF252),$AF$2:$AF$1001,0),MATCH(COLUMNS($AM$1006:AO1006),$AM$1006:$BM$1006,0)), HYPERLINK("#",""), HYPERLINK(CONCATENATE("#metadata!", ADDRESS(INDEX($AH$2:$AH$1001,MATCH(ROWS($AF$2:AF252),$AF$2:$AF$1001,0),0), INDEX($AM$1004:$BM$1004,1,MATCH(COLUMNS($AM$1006:AO1006),$AM$1006:$BM$1006,0)))),"Fix")))</f>
        <v xml:space="preserve"> </v>
      </c>
      <c r="E252" s="4" t="str">
        <f ca="1">IF(OR(INDEX($AG$2:$AG$1001,MATCH(ROWS($AF$2:AF252),$AF$2:$AF$1001,0),1)&gt;=100000,INDEX($AM$1005:$BM$1005,1,MATCH(COLUMNS($AM$1006:AP1006),$AM$1006:$BM$1006,0))&gt;=100000), " ",IF(INDEX($AM$2:$BM$1001,MATCH(ROWS($AF$2:AF252),$AF$2:$AF$1001,0),MATCH(COLUMNS($AM$1006:AP1006),$AM$1006:$BM$1006,0)), HYPERLINK("#",""), HYPERLINK(CONCATENATE("#metadata!", ADDRESS(INDEX($AH$2:$AH$1001,MATCH(ROWS($AF$2:AF252),$AF$2:$AF$1001,0),0), INDEX($AM$1004:$BM$1004,1,MATCH(COLUMNS($AM$1006:AP1006),$AM$1006:$BM$1006,0)))),"Fix")))</f>
        <v xml:space="preserve"> </v>
      </c>
      <c r="F252" s="4" t="str">
        <f ca="1">IF(OR(INDEX($AG$2:$AG$1001,MATCH(ROWS($AF$2:AF252),$AF$2:$AF$1001,0),1)&gt;=100000,INDEX($AM$1005:$BM$1005,1,MATCH(COLUMNS($AM$1006:AQ1006),$AM$1006:$BM$1006,0))&gt;=100000), " ",IF(INDEX($AM$2:$BM$1001,MATCH(ROWS($AF$2:AF252),$AF$2:$AF$1001,0),MATCH(COLUMNS($AM$1006:AQ1006),$AM$1006:$BM$1006,0)), HYPERLINK("#",""), HYPERLINK(CONCATENATE("#metadata!", ADDRESS(INDEX($AH$2:$AH$1001,MATCH(ROWS($AF$2:AF252),$AF$2:$AF$1001,0),0), INDEX($AM$1004:$BM$1004,1,MATCH(COLUMNS($AM$1006:AQ1006),$AM$1006:$BM$1006,0)))),"Fix")))</f>
        <v xml:space="preserve"> </v>
      </c>
      <c r="G252" s="4" t="str">
        <f ca="1">IF(OR(INDEX($AG$2:$AG$1001,MATCH(ROWS($AF$2:AF252),$AF$2:$AF$1001,0),1)&gt;=100000,INDEX($AM$1005:$BM$1005,1,MATCH(COLUMNS($AM$1006:AR1006),$AM$1006:$BM$1006,0))&gt;=100000), " ",IF(INDEX($AM$2:$BM$1001,MATCH(ROWS($AF$2:AF252),$AF$2:$AF$1001,0),MATCH(COLUMNS($AM$1006:AR1006),$AM$1006:$BM$1006,0)), HYPERLINK("#",""), HYPERLINK(CONCATENATE("#metadata!", ADDRESS(INDEX($AH$2:$AH$1001,MATCH(ROWS($AF$2:AF252),$AF$2:$AF$1001,0),0), INDEX($AM$1004:$BM$1004,1,MATCH(COLUMNS($AM$1006:AR1006),$AM$1006:$BM$1006,0)))),"Fix")))</f>
        <v xml:space="preserve"> </v>
      </c>
      <c r="H252" s="4" t="str">
        <f ca="1">IF(OR(INDEX($AG$2:$AG$1001,MATCH(ROWS($AF$2:AF252),$AF$2:$AF$1001,0),1)&gt;=100000,INDEX($AM$1005:$BM$1005,1,MATCH(COLUMNS($AM$1006:AS1006),$AM$1006:$BM$1006,0))&gt;=100000), " ",IF(INDEX($AM$2:$BM$1001,MATCH(ROWS($AF$2:AF252),$AF$2:$AF$1001,0),MATCH(COLUMNS($AM$1006:AS1006),$AM$1006:$BM$1006,0)), HYPERLINK("#",""), HYPERLINK(CONCATENATE("#metadata!", ADDRESS(INDEX($AH$2:$AH$1001,MATCH(ROWS($AF$2:AF252),$AF$2:$AF$1001,0),0), INDEX($AM$1004:$BM$1004,1,MATCH(COLUMNS($AM$1006:AS1006),$AM$1006:$BM$1006,0)))),"Fix")))</f>
        <v xml:space="preserve"> </v>
      </c>
      <c r="I252" s="4" t="str">
        <f ca="1">IF(OR(INDEX($AG$2:$AG$1001,MATCH(ROWS($AF$2:AF252),$AF$2:$AF$1001,0),1)&gt;=100000,INDEX($AM$1005:$BM$1005,1,MATCH(COLUMNS($AM$1006:AT1006),$AM$1006:$BM$1006,0))&gt;=100000), " ",IF(INDEX($AM$2:$BM$1001,MATCH(ROWS($AF$2:AF252),$AF$2:$AF$1001,0),MATCH(COLUMNS($AM$1006:AT1006),$AM$1006:$BM$1006,0)), HYPERLINK("#",""), HYPERLINK(CONCATENATE("#metadata!", ADDRESS(INDEX($AH$2:$AH$1001,MATCH(ROWS($AF$2:AF252),$AF$2:$AF$1001,0),0), INDEX($AM$1004:$BM$1004,1,MATCH(COLUMNS($AM$1006:AT1006),$AM$1006:$BM$1006,0)))),"Fix")))</f>
        <v xml:space="preserve"> </v>
      </c>
      <c r="J252" s="4" t="str">
        <f ca="1">IF(OR(INDEX($AG$2:$AG$1001,MATCH(ROWS($AF$2:AF252),$AF$2:$AF$1001,0),1)&gt;=100000,INDEX($AM$1005:$BM$1005,1,MATCH(COLUMNS($AM$1006:AU1006),$AM$1006:$BM$1006,0))&gt;=100000), " ",IF(INDEX($AM$2:$BM$1001,MATCH(ROWS($AF$2:AF252),$AF$2:$AF$1001,0),MATCH(COLUMNS($AM$1006:AU1006),$AM$1006:$BM$1006,0)), HYPERLINK("#",""), HYPERLINK(CONCATENATE("#metadata!", ADDRESS(INDEX($AH$2:$AH$1001,MATCH(ROWS($AF$2:AF252),$AF$2:$AF$1001,0),0), INDEX($AM$1004:$BM$1004,1,MATCH(COLUMNS($AM$1006:AU1006),$AM$1006:$BM$1006,0)))),"Fix")))</f>
        <v xml:space="preserve"> </v>
      </c>
      <c r="K252" s="4" t="str">
        <f ca="1">IF(OR(INDEX($AG$2:$AG$1001,MATCH(ROWS($AF$2:AF252),$AF$2:$AF$1001,0),1)&gt;=100000,INDEX($AM$1005:$BM$1005,1,MATCH(COLUMNS($AM$1006:AV1006),$AM$1006:$BM$1006,0))&gt;=100000), " ",IF(INDEX($AM$2:$BM$1001,MATCH(ROWS($AF$2:AF252),$AF$2:$AF$1001,0),MATCH(COLUMNS($AM$1006:AV1006),$AM$1006:$BM$1006,0)), HYPERLINK("#",""), HYPERLINK(CONCATENATE("#metadata!", ADDRESS(INDEX($AH$2:$AH$1001,MATCH(ROWS($AF$2:AF252),$AF$2:$AF$1001,0),0), INDEX($AM$1004:$BM$1004,1,MATCH(COLUMNS($AM$1006:AV1006),$AM$1006:$BM$1006,0)))),"Fix")))</f>
        <v xml:space="preserve"> </v>
      </c>
      <c r="L252" s="4" t="str">
        <f ca="1">IF(OR(INDEX($AG$2:$AG$1001,MATCH(ROWS($AF$2:AF252),$AF$2:$AF$1001,0),1)&gt;=100000,INDEX($AM$1005:$BM$1005,1,MATCH(COLUMNS($AM$1006:AW1006),$AM$1006:$BM$1006,0))&gt;=100000), " ",IF(INDEX($AM$2:$BM$1001,MATCH(ROWS($AF$2:AF252),$AF$2:$AF$1001,0),MATCH(COLUMNS($AM$1006:AW1006),$AM$1006:$BM$1006,0)), HYPERLINK("#",""), HYPERLINK(CONCATENATE("#metadata!", ADDRESS(INDEX($AH$2:$AH$1001,MATCH(ROWS($AF$2:AF252),$AF$2:$AF$1001,0),0), INDEX($AM$1004:$BM$1004,1,MATCH(COLUMNS($AM$1006:AW1006),$AM$1006:$BM$1006,0)))),"Fix")))</f>
        <v xml:space="preserve"> </v>
      </c>
      <c r="M252" s="4" t="str">
        <f ca="1">IF(OR(INDEX($AG$2:$AG$1001,MATCH(ROWS($AF$2:AF252),$AF$2:$AF$1001,0),1)&gt;=100000,INDEX($AM$1005:$BM$1005,1,MATCH(COLUMNS($AM$1006:AX1006),$AM$1006:$BM$1006,0))&gt;=100000), " ",IF(INDEX($AM$2:$BM$1001,MATCH(ROWS($AF$2:AF252),$AF$2:$AF$1001,0),MATCH(COLUMNS($AM$1006:AX1006),$AM$1006:$BM$1006,0)), HYPERLINK("#",""), HYPERLINK(CONCATENATE("#metadata!", ADDRESS(INDEX($AH$2:$AH$1001,MATCH(ROWS($AF$2:AF252),$AF$2:$AF$1001,0),0), INDEX($AM$1004:$BM$1004,1,MATCH(COLUMNS($AM$1006:AX1006),$AM$1006:$BM$1006,0)))),"Fix")))</f>
        <v xml:space="preserve"> </v>
      </c>
      <c r="N252" s="4" t="str">
        <f ca="1">IF(OR(INDEX($AG$2:$AG$1001,MATCH(ROWS($AF$2:AF252),$AF$2:$AF$1001,0),1)&gt;=100000,INDEX($AM$1005:$BM$1005,1,MATCH(COLUMNS($AM$1006:AY1006),$AM$1006:$BM$1006,0))&gt;=100000), " ",IF(INDEX($AM$2:$BM$1001,MATCH(ROWS($AF$2:AF252),$AF$2:$AF$1001,0),MATCH(COLUMNS($AM$1006:AY1006),$AM$1006:$BM$1006,0)), HYPERLINK("#",""), HYPERLINK(CONCATENATE("#metadata!", ADDRESS(INDEX($AH$2:$AH$1001,MATCH(ROWS($AF$2:AF252),$AF$2:$AF$1001,0),0), INDEX($AM$1004:$BM$1004,1,MATCH(COLUMNS($AM$1006:AY1006),$AM$1006:$BM$1006,0)))),"Fix")))</f>
        <v xml:space="preserve"> </v>
      </c>
      <c r="O252" s="4" t="str">
        <f ca="1">IF(OR(INDEX($AG$2:$AG$1001,MATCH(ROWS($AF$2:AF252),$AF$2:$AF$1001,0),1)&gt;=100000,INDEX($AM$1005:$BM$1005,1,MATCH(COLUMNS($AM$1006:AZ1006),$AM$1006:$BM$1006,0))&gt;=100000), " ",IF(INDEX($AM$2:$BM$1001,MATCH(ROWS($AF$2:AF252),$AF$2:$AF$1001,0),MATCH(COLUMNS($AM$1006:AZ1006),$AM$1006:$BM$1006,0)), HYPERLINK("#",""), HYPERLINK(CONCATENATE("#metadata!", ADDRESS(INDEX($AH$2:$AH$1001,MATCH(ROWS($AF$2:AF252),$AF$2:$AF$1001,0),0), INDEX($AM$1004:$BM$1004,1,MATCH(COLUMNS($AM$1006:AZ1006),$AM$1006:$BM$1006,0)))),"Fix")))</f>
        <v xml:space="preserve"> </v>
      </c>
      <c r="P252" s="4" t="str">
        <f ca="1">IF(OR(INDEX($AG$2:$AG$1001,MATCH(ROWS($AF$2:AF252),$AF$2:$AF$1001,0),1)&gt;=100000,INDEX($AM$1005:$BM$1005,1,MATCH(COLUMNS($AM$1006:BA1006),$AM$1006:$BM$1006,0))&gt;=100000), " ",IF(INDEX($AM$2:$BM$1001,MATCH(ROWS($AF$2:AF252),$AF$2:$AF$1001,0),MATCH(COLUMNS($AM$1006:BA1006),$AM$1006:$BM$1006,0)), HYPERLINK("#",""), HYPERLINK(CONCATENATE("#metadata!", ADDRESS(INDEX($AH$2:$AH$1001,MATCH(ROWS($AF$2:AF252),$AF$2:$AF$1001,0),0), INDEX($AM$1004:$BM$1004,1,MATCH(COLUMNS($AM$1006:BA1006),$AM$1006:$BM$1006,0)))),"Fix")))</f>
        <v xml:space="preserve"> </v>
      </c>
      <c r="Q252" s="4" t="str">
        <f ca="1">IF(OR(INDEX($AG$2:$AG$1001,MATCH(ROWS($AF$2:AF252),$AF$2:$AF$1001,0),1)&gt;=100000,INDEX($AM$1005:$BM$1005,1,MATCH(COLUMNS($AM$1006:BB1006),$AM$1006:$BM$1006,0))&gt;=100000), " ",IF(INDEX($AM$2:$BM$1001,MATCH(ROWS($AF$2:AF252),$AF$2:$AF$1001,0),MATCH(COLUMNS($AM$1006:BB1006),$AM$1006:$BM$1006,0)), HYPERLINK("#",""), HYPERLINK(CONCATENATE("#metadata!", ADDRESS(INDEX($AH$2:$AH$1001,MATCH(ROWS($AF$2:AF252),$AF$2:$AF$1001,0),0), INDEX($AM$1004:$BM$1004,1,MATCH(COLUMNS($AM$1006:BB1006),$AM$1006:$BM$1006,0)))),"Fix")))</f>
        <v xml:space="preserve"> </v>
      </c>
      <c r="R252" s="4" t="str">
        <f ca="1">IF(OR(INDEX($AG$2:$AG$1001,MATCH(ROWS($AF$2:AF252),$AF$2:$AF$1001,0),1)&gt;=100000,INDEX($AM$1005:$BM$1005,1,MATCH(COLUMNS($AM$1006:BC1006),$AM$1006:$BM$1006,0))&gt;=100000), " ",IF(INDEX($AM$2:$BM$1001,MATCH(ROWS($AF$2:AF252),$AF$2:$AF$1001,0),MATCH(COLUMNS($AM$1006:BC1006),$AM$1006:$BM$1006,0)), HYPERLINK("#",""), HYPERLINK(CONCATENATE("#metadata!", ADDRESS(INDEX($AH$2:$AH$1001,MATCH(ROWS($AF$2:AF252),$AF$2:$AF$1001,0),0), INDEX($AM$1004:$BM$1004,1,MATCH(COLUMNS($AM$1006:BC1006),$AM$1006:$BM$1006,0)))),"Fix")))</f>
        <v xml:space="preserve"> </v>
      </c>
      <c r="S252" s="4" t="str">
        <f ca="1">IF(OR(INDEX($AG$2:$AG$1001,MATCH(ROWS($AF$2:AF252),$AF$2:$AF$1001,0),1)&gt;=100000,INDEX($AM$1005:$BM$1005,1,MATCH(COLUMNS($AM$1006:BD1006),$AM$1006:$BM$1006,0))&gt;=100000), " ",IF(INDEX($AM$2:$BM$1001,MATCH(ROWS($AF$2:AF252),$AF$2:$AF$1001,0),MATCH(COLUMNS($AM$1006:BD1006),$AM$1006:$BM$1006,0)), HYPERLINK("#",""), HYPERLINK(CONCATENATE("#metadata!", ADDRESS(INDEX($AH$2:$AH$1001,MATCH(ROWS($AF$2:AF252),$AF$2:$AF$1001,0),0), INDEX($AM$1004:$BM$1004,1,MATCH(COLUMNS($AM$1006:BD1006),$AM$1006:$BM$1006,0)))),"Fix")))</f>
        <v xml:space="preserve"> </v>
      </c>
      <c r="T252" s="4" t="str">
        <f ca="1">IF(OR(INDEX($AG$2:$AG$1001,MATCH(ROWS($AF$2:AF252),$AF$2:$AF$1001,0),1)&gt;=100000,INDEX($AM$1005:$BM$1005,1,MATCH(COLUMNS($AM$1006:BE1006),$AM$1006:$BM$1006,0))&gt;=100000), " ",IF(INDEX($AM$2:$BM$1001,MATCH(ROWS($AF$2:AF252),$AF$2:$AF$1001,0),MATCH(COLUMNS($AM$1006:BE1006),$AM$1006:$BM$1006,0)), HYPERLINK("#",""), HYPERLINK(CONCATENATE("#metadata!", ADDRESS(INDEX($AH$2:$AH$1001,MATCH(ROWS($AF$2:AF252),$AF$2:$AF$1001,0),0), INDEX($AM$1004:$BM$1004,1,MATCH(COLUMNS($AM$1006:BE1006),$AM$1006:$BM$1006,0)))),"Fix")))</f>
        <v xml:space="preserve"> </v>
      </c>
      <c r="U252" s="4" t="str">
        <f ca="1">IF(OR(INDEX($AG$2:$AG$1001,MATCH(ROWS($AF$2:AF252),$AF$2:$AF$1001,0),1)&gt;=100000,INDEX($AM$1005:$BM$1005,1,MATCH(COLUMNS($AM$1006:BF1006),$AM$1006:$BM$1006,0))&gt;=100000), " ",IF(INDEX($AM$2:$BM$1001,MATCH(ROWS($AF$2:AF252),$AF$2:$AF$1001,0),MATCH(COLUMNS($AM$1006:BF1006),$AM$1006:$BM$1006,0)), HYPERLINK("#",""), HYPERLINK(CONCATENATE("#metadata!", ADDRESS(INDEX($AH$2:$AH$1001,MATCH(ROWS($AF$2:AF252),$AF$2:$AF$1001,0),0), INDEX($AM$1004:$BM$1004,1,MATCH(COLUMNS($AM$1006:BF1006),$AM$1006:$BM$1006,0)))),"Fix")))</f>
        <v xml:space="preserve"> </v>
      </c>
      <c r="V252" s="4" t="str">
        <f ca="1">IF(OR(INDEX($AG$2:$AG$1001,MATCH(ROWS($AF$2:AF252),$AF$2:$AF$1001,0),1)&gt;=100000,INDEX($AM$1005:$BM$1005,1,MATCH(COLUMNS($AM$1006:BG1006),$AM$1006:$BM$1006,0))&gt;=100000), " ",IF(INDEX($AM$2:$BM$1001,MATCH(ROWS($AF$2:AF252),$AF$2:$AF$1001,0),MATCH(COLUMNS($AM$1006:BG1006),$AM$1006:$BM$1006,0)), HYPERLINK("#",""), HYPERLINK(CONCATENATE("#metadata!", ADDRESS(INDEX($AH$2:$AH$1001,MATCH(ROWS($AF$2:AF252),$AF$2:$AF$1001,0),0), INDEX($AM$1004:$BM$1004,1,MATCH(COLUMNS($AM$1006:BG1006),$AM$1006:$BM$1006,0)))),"Fix")))</f>
        <v xml:space="preserve"> </v>
      </c>
      <c r="W252" s="4" t="str">
        <f ca="1">IF(OR(INDEX($AG$2:$AG$1001,MATCH(ROWS($AF$2:AF252),$AF$2:$AF$1001,0),1)&gt;=100000,INDEX($AM$1005:$BM$1005,1,MATCH(COLUMNS($AM$1006:BH1006),$AM$1006:$BM$1006,0))&gt;=100000), " ",IF(INDEX($AM$2:$BM$1001,MATCH(ROWS($AF$2:AF252),$AF$2:$AF$1001,0),MATCH(COLUMNS($AM$1006:BH1006),$AM$1006:$BM$1006,0)), HYPERLINK("#",""), HYPERLINK(CONCATENATE("#metadata!", ADDRESS(INDEX($AH$2:$AH$1001,MATCH(ROWS($AF$2:AF252),$AF$2:$AF$1001,0),0), INDEX($AM$1004:$BM$1004,1,MATCH(COLUMNS($AM$1006:BH1006),$AM$1006:$BM$1006,0)))),"Fix")))</f>
        <v xml:space="preserve"> </v>
      </c>
      <c r="X252" s="4" t="str">
        <f ca="1">IF(OR(INDEX($AG$2:$AG$1001,MATCH(ROWS($AF$2:AF252),$AF$2:$AF$1001,0),1)&gt;=100000,INDEX($AM$1005:$BM$1005,1,MATCH(COLUMNS($AM$1006:BI1006),$AM$1006:$BM$1006,0))&gt;=100000), " ",IF(INDEX($AM$2:$BM$1001,MATCH(ROWS($AF$2:AF252),$AF$2:$AF$1001,0),MATCH(COLUMNS($AM$1006:BI1006),$AM$1006:$BM$1006,0)), HYPERLINK("#",""), HYPERLINK(CONCATENATE("#metadata!", ADDRESS(INDEX($AH$2:$AH$1001,MATCH(ROWS($AF$2:AF252),$AF$2:$AF$1001,0),0), INDEX($AM$1004:$BM$1004,1,MATCH(COLUMNS($AM$1006:BI1006),$AM$1006:$BM$1006,0)))),"Fix")))</f>
        <v xml:space="preserve"> </v>
      </c>
      <c r="Y252" s="4" t="str">
        <f ca="1">IF(OR(INDEX($AG$2:$AG$1001,MATCH(ROWS($AF$2:AF252),$AF$2:$AF$1001,0),1)&gt;=100000,INDEX($AM$1005:$BM$1005,1,MATCH(COLUMNS($AM$1006:BJ1006),$AM$1006:$BM$1006,0))&gt;=100000), " ",IF(INDEX($AM$2:$BM$1001,MATCH(ROWS($AF$2:AF252),$AF$2:$AF$1001,0),MATCH(COLUMNS($AM$1006:BJ1006),$AM$1006:$BM$1006,0)), HYPERLINK("#",""), HYPERLINK(CONCATENATE("#metadata!", ADDRESS(INDEX($AH$2:$AH$1001,MATCH(ROWS($AF$2:AF252),$AF$2:$AF$1001,0),0), INDEX($AM$1004:$BM$1004,1,MATCH(COLUMNS($AM$1006:BJ1006),$AM$1006:$BM$1006,0)))),"Fix")))</f>
        <v xml:space="preserve"> </v>
      </c>
      <c r="Z252" s="4" t="str">
        <f ca="1">IF(OR(INDEX($AG$2:$AG$1001,MATCH(ROWS($AF$2:AF252),$AF$2:$AF$1001,0),1)&gt;=100000,INDEX($AM$1005:$BM$1005,1,MATCH(COLUMNS($AM$1006:BK1006),$AM$1006:$BM$1006,0))&gt;=100000), " ",IF(INDEX($AM$2:$BM$1001,MATCH(ROWS($AF$2:AF252),$AF$2:$AF$1001,0),MATCH(COLUMNS($AM$1006:BK1006),$AM$1006:$BM$1006,0)), HYPERLINK("#",""), HYPERLINK(CONCATENATE("#metadata!", ADDRESS(INDEX($AH$2:$AH$1001,MATCH(ROWS($AF$2:AF252),$AF$2:$AF$1001,0),0), INDEX($AM$1004:$BM$1004,1,MATCH(COLUMNS($AM$1006:BK1006),$AM$1006:$BM$1006,0)))),"Fix")))</f>
        <v xml:space="preserve"> </v>
      </c>
      <c r="AA252" s="4" t="str">
        <f ca="1">IF(OR(INDEX($AG$2:$AG$1001,MATCH(ROWS($AF$2:AF252),$AF$2:$AF$1001,0),1)&gt;=100000,INDEX($AM$1005:$BM$1005,1,MATCH(COLUMNS($AM$1006:BL1006),$AM$1006:$BM$1006,0))&gt;=100000), " ",IF(INDEX($AM$2:$BM$1001,MATCH(ROWS($AF$2:AF252),$AF$2:$AF$1001,0),MATCH(COLUMNS($AM$1006:BL1006),$AM$1006:$BM$1006,0)), HYPERLINK("#",""), HYPERLINK(CONCATENATE("#metadata!", ADDRESS(INDEX($AH$2:$AH$1001,MATCH(ROWS($AF$2:AF252),$AF$2:$AF$1001,0),0), INDEX($AM$1004:$BM$1004,1,MATCH(COLUMNS($AM$1006:BL1006),$AM$1006:$BM$1006,0)))),"Fix")))</f>
        <v xml:space="preserve"> </v>
      </c>
      <c r="AB252" s="4" t="str">
        <f ca="1">IF(OR(INDEX($AG$2:$AG$1001,MATCH(ROWS($AF$2:AF252),$AF$2:$AF$1001,0),1)&gt;=100000,INDEX($AM$1005:$BM$1005,1,MATCH(COLUMNS($AM$1006:BM1006),$AM$1006:$BM$1006,0))&gt;=100000), " ",IF(INDEX($AM$2:$BM$1001,MATCH(ROWS($AF$2:AF252),$AF$2:$AF$1001,0),MATCH(COLUMNS($AM$1006:BM1006),$AM$1006:$BM$1006,0)), HYPERLINK("#",""), HYPERLINK(CONCATENATE("#metadata!", ADDRESS(INDEX($AH$2:$AH$1001,MATCH(ROWS($AF$2:AF252),$AF$2:$AF$1001,0),0), INDEX($AM$1004:$BM$1004,1,MATCH(COLUMNS($AM$1006:BM1006),$AM$1006:$BM$1006,0)))),"Fix")))</f>
        <v xml:space="preserve"> </v>
      </c>
      <c r="AF252">
        <v>251</v>
      </c>
      <c r="AG252">
        <v>100252</v>
      </c>
      <c r="AH252">
        <v>252</v>
      </c>
      <c r="AI252" t="b">
        <f t="shared" si="3"/>
        <v>1</v>
      </c>
      <c r="AJ252" t="b">
        <f>COUNTBLANK(metadata!B252:AB252)=COLUMNS(metadata!B252:AB252)</f>
        <v>1</v>
      </c>
      <c r="AK252" t="str">
        <v/>
      </c>
      <c r="AM252" t="b">
        <f ca="1">AND(IF(metadata!B252="",FALSE,TRUE),COUNTIF(metadata!B:B, metadata!B252) = 1,NOT(ISERROR(SUMPRODUCT(SEARCH(MID(metadata!B252,ROW(INDIRECT("1:"&amp;LEN(metadata!B252))), 1),"0123456789abcdefghijklmnopqrstuvwxyzABCDEFGHIJKLMNOPQRSTUVWXYZ.")))))</f>
        <v>0</v>
      </c>
      <c r="AN252" t="b">
        <f ca="1">OR(AND(IF(metadata!C252="",FALSE,TRUE),OR(EXACT(metadata!C252,"missing: not collected"),EXACT(metadata!C252,"missing: not provided"),EXACT(metadata!C252,"missing: restricted access"))),AND(IF(metadata!C252="",FALSE,TRUE),AND(AND(IFERROR(INT(LEFT(metadata!C252,4))&gt;1900,FALSE),IFERROR(INT(LEFT(metadata!C252,4))&lt;=YEAR(NOW()),FALSE)), OR(MID(metadata!C252,5,1)="", AND(AND(MID(metadata!C252,5,1)="-",IFERROR(INT(MID(metadata!C252,6,1))&gt;=0,FALSE),IFERROR(INT(MID(metadata!C252,6,1))&lt;=1,FALSE),NOT(MID(metadata!C252,7,1)=""),IFERROR(INT(MID(metadata!C252,6,2))&gt;=1,FALSE),IFERROR(INT(MID(metadata!C252,6,2))&lt;=12,FALSE)), OR(MID(metadata!C252,8,1)="", AND(AND(MID(metadata!C252,8,1)="-",IFERROR(INT(MID(metadata!C252,9,1))&gt;=0,FALSE),IFERROR(INT(MID(metadata!C252,9,1))&lt;=3,FALSE),NOT(MID(metadata!C252,10,1)=""),IFERROR(INT(MID(metadata!C252,9,2))&gt;=1,FALSE),IFERROR(INT(MID(metadata!C252,9,2))&lt;=31,FALSE)), OR(MID(metadata!C252,11,1)="", AND(AND(MID(metadata!C252,11,1)=" ",IFERROR(INT(MID(metadata!C252,12,1))&gt;=0,FALSE),IFERROR(INT(MID(metadata!C252,12,1))&lt;=2,FALSE),NOT(MID(metadata!C252,13,1)=""),IFERROR(INT(MID(metadata!C252,12,2))&gt;=0,FALSE),IFERROR(INT(MID(metadata!C252,12,2))&lt;=23,FALSE)), OR(MID(metadata!C252,14,1)="", AND(AND(MID(metadata!C252,14,1)=":",IFERROR(INT(MID(metadata!C252,15,1))&gt;=0,FALSE),IFERROR(INT(MID(metadata!C252,15,1))&lt;=5,FALSE),NOT(MID(metadata!C252,16,1)=""),IFERROR(INT(MID(metadata!C252,15,2))&gt;=0,FALSE),IFERROR(INT(MID(metadata!C252,15,2))&lt;=59,FALSE)), OR(MID(metadata!C252,17,1)="", AND(AND(MID(metadata!C252,17,1)=":",IFERROR(INT(MID(metadata!C252,18,1))&gt;=0,FALSE),IFERROR(INT(MID(metadata!C252,18,1))&lt;=5,FALSE),NOT(MID(metadata!C252,19,1)=""),IFERROR(INT(MID(metadata!C252,18,2))&gt;=0,FALSE),IFERROR(INT(MID(metadata!C252,18,2))&lt;=59,FALSE)), LEN(metadata!C252)&lt;=19)))))))))))))</f>
        <v>0</v>
      </c>
      <c r="AO252" t="b">
        <f>AND(IF(metadata!D252="",FALSE,TRUE),EXACT(metadata!D252,"Not applicable"))</f>
        <v>0</v>
      </c>
      <c r="AP252" t="b">
        <f>IF(metadata!E252="",FALSE,TRUE)</f>
        <v>0</v>
      </c>
      <c r="AQ252" t="b">
        <f>OR(AND(IF(metadata!F252="",FALSE,TRUE),OR(EXACT(metadata!F252,"missing: not collected"),EXACT(metadata!F252,"missing: not provided"))),AND(IF(metadata!F252="",FALSE,TRUE),OR(EXACT(metadata!F252,"TRUE"),EXACT(metadata!F252,"FALSE"))))</f>
        <v>0</v>
      </c>
      <c r="AR252" t="b">
        <f>OR(AND(IF(metadata!G252="",FALSE,TRUE),OR(EXACT(metadata!G252,"missing: not collected"),EXACT(metadata!G252,"missing: not provided"),EXACT(metadata!G252,"missing: restricted access"))),AND(IF(metadata!G252="",FALSE,ISNUMBER(VALUE(metadata!G252))),metadata!G252&gt;=-413))</f>
        <v>0</v>
      </c>
      <c r="AS252" t="b">
        <f>AND(IF(metadata!H252="",FALSE,TRUE),EXACT(metadata!H252,"meters"))</f>
        <v>0</v>
      </c>
      <c r="AT252" t="b">
        <f>AND(IF(metadata!I252="",FALSE,TRUE),OR(EXACT(metadata!I252,"Host-associated"),EXACT(metadata!I252,"Free-living")))</f>
        <v>0</v>
      </c>
      <c r="AU252" t="b">
        <f>AND(IF(metadata!J252="",FALSE,TRUE),OR(EXACT(metadata!J252,"Animal"),EXACT(metadata!J252,"Fungus"),EXACT(metadata!J252,"Plant"),EXACT(metadata!J252,"Saline"),EXACT(metadata!J252,"Non-saline")))</f>
        <v>0</v>
      </c>
      <c r="AV252" t="b">
        <f>AND(IF(metadata!K252="",FALSE,TRUE),OR(EXACT(metadata!K252,"Plant secretion"),EXACT(metadata!K252,"Plant rhizosphere"),EXACT(metadata!K252,"Plant surface"),EXACT(metadata!K252,"Plant corpus"),EXACT(metadata!K252,"Fungus surface"),EXACT(metadata!K252,"Fungus corpus"),EXACT(metadata!K252,"Animal surface"),EXACT(metadata!K252,"Animal proximal gut"),EXACT(metadata!K252,"Animal corpus"),EXACT(metadata!K252,"Animal distal gut"),EXACT(metadata!K252,"Animal secretion"),EXACT(metadata!K252,"Sub-surface (non-saline)"),EXACT(metadata!K252,"Surface (non-saline)"),EXACT(metadata!K252,"Water (non-saline)"),EXACT(metadata!K252,"Soil (non-saline)"),EXACT(metadata!K252,"Aerosol (non-saline)"),EXACT(metadata!K252,"Sediment (non-saline)"),EXACT(metadata!K252,"Surface (saline)"),EXACT(metadata!K252,"Water (saline)"),EXACT(metadata!K252,"Hypersaline (saline)"),EXACT(metadata!K252,"Aerosol (saline)"),EXACT(metadata!K252,"Sediment (saline)")))</f>
        <v>0</v>
      </c>
      <c r="AW252" t="b">
        <f>IF(metadata!L252="",FALSE,TRUE)</f>
        <v>0</v>
      </c>
      <c r="AX252" t="b">
        <f>IF(metadata!M252="",FALSE,TRUE)</f>
        <v>0</v>
      </c>
      <c r="AY252" t="b">
        <f>IF(metadata!N252="",FALSE,TRUE)</f>
        <v>0</v>
      </c>
      <c r="AZ252" t="b">
        <f>OR(AND(IF(metadata!O252="",FALSE,TRUE),OR(EXACT(metadata!O252,"missing: not collected"),EXACT(metadata!O252,"missing: not provided"),EXACT(metadata!O252,"missing: restricted access"))),AND(IF(metadata!O252="",FALSE,TRUE),OR(EXACT(metadata!O252,"air"),EXACT(metadata!O252,"built environment"),EXACT(metadata!O252,"host-associated"),EXACT(metadata!O252,"human-associated"),EXACT(metadata!O252,"human-skin"),EXACT(metadata!O252,"human-oral"),EXACT(metadata!O252,"human-gut"),EXACT(metadata!O252,"human-vaginal"),EXACT(metadata!O252,"microbial mat/biofilm"),EXACT(metadata!O252,"misc environment"),EXACT(metadata!O252,"plant-associated"),EXACT(metadata!O252,"sediment"),EXACT(metadata!O252,"soil"),EXACT(metadata!O252,"wastewater/sludge"),EXACT(metadata!O252,"water"))))</f>
        <v>0</v>
      </c>
      <c r="BA252" t="b">
        <f>IF(metadata!P252="",FALSE,TRUE)</f>
        <v>0</v>
      </c>
      <c r="BB252" t="b">
        <f>IF(metadata!Q252="",FALSE,TRUE)</f>
        <v>0</v>
      </c>
      <c r="BC252" t="b">
        <f>OR(AND(IF(metadata!R252="",FALSE,TRUE),OR(EXACT(metadata!R252,"missing: not collected"),EXACT(metadata!R252,"missing: not provided"),EXACT(metadata!R252,"missing: restricted access"))),AND(IF(metadata!R252="",FALSE,ISNUMBER(VALUE(metadata!R252))),metadata!R252&gt;=-90,metadata!R252&lt;=90))</f>
        <v>0</v>
      </c>
      <c r="BD252" t="b">
        <f>AND(IF(metadata!S252="",FALSE,TRUE),EXACT(metadata!S252,"Decimal degrees"))</f>
        <v>0</v>
      </c>
      <c r="BE252" t="b">
        <f>OR(AND(IF(metadata!T252="",FALSE,TRUE),OR(EXACT(metadata!T252,"missing: not collected"),EXACT(metadata!T252,"missing: not provided"),EXACT(metadata!T252,"missing: restricted access"))),AND(IF(metadata!T252="",FALSE,ISNUMBER(VALUE(metadata!T252))),metadata!T252&gt;=-180,metadata!T252&lt;=180))</f>
        <v>0</v>
      </c>
      <c r="BF252" t="b">
        <f>AND(IF(metadata!U252="",FALSE,TRUE),EXACT(metadata!U252,"Decimal degrees"))</f>
        <v>0</v>
      </c>
      <c r="BG252" t="b">
        <f>IF(metadata!V252="",FALSE,TRUE)</f>
        <v>0</v>
      </c>
      <c r="BH252" t="b">
        <f>OR(AND(IF(metadata!W252="",FALSE,TRUE),OR(EXACT(metadata!W252,"missing: not collected"),EXACT(metadata!W252,"missing: not provided"),EXACT(metadata!W252,"missing: restricted access"))),AND(IF(metadata!W252="",FALSE,TRUE),OR(EXACT(metadata!W252,"TRUE"),EXACT(metadata!W252,"FALSE"))))</f>
        <v>0</v>
      </c>
      <c r="BI252" t="b">
        <f>AND(IF(metadata!X252="",FALSE,TRUE),EXACT(metadata!X252,"other"))</f>
        <v>0</v>
      </c>
      <c r="BJ252" t="b">
        <f>IF(metadata!Y252="",FALSE,TRUE)</f>
        <v>0</v>
      </c>
      <c r="BK252" t="b">
        <f>OR(AND(IF(metadata!Z252="",FALSE,TRUE),OR(EXACT(metadata!Z252,"missing: not collected"),EXACT(metadata!Z252,"missing: not provided"))),AND(IF(metadata!Z252="",FALSE,IF(ISERROR(INT(metadata!Z252)),FALSE,INT(metadata!Z252)=metadata!Z252)),metadata!Z252&gt;0))</f>
        <v>0</v>
      </c>
      <c r="BL252" t="b">
        <f>AND(IF(metadata!AA252="",FALSE,TRUE),EXACT(metadata!AA252,"Not applicable"))</f>
        <v>0</v>
      </c>
      <c r="BM252" t="b">
        <f>IF(metadata!AB252="",FALSE,TRUE)</f>
        <v>0</v>
      </c>
    </row>
    <row r="253" spans="1:65" x14ac:dyDescent="0.2">
      <c r="A253" s="5" t="str">
        <f ca="1">IF(B253=" "," ",HYPERLINK(CONCATENATE("#metadata!",ADDRESS(INDEX($AH$2:$AH$1001,MATCH(ROWS($AF$2:AF253),$AF$2:$AF$1001,0),0),1)),INDEX($AK$2:$AK$1001,MATCH(ROWS($AF$2:AF253),$AF$2:$AF$1001,0),0)))</f>
        <v xml:space="preserve"> </v>
      </c>
      <c r="B253" s="4" t="str">
        <f ca="1">IF(OR(INDEX($AG$2:$AG$1001,MATCH(ROWS($AF$2:AF253),$AF$2:$AF$1001,0),1)&gt;=100000,INDEX($AM$1005:$BM$1005,1,MATCH(COLUMNS($AM$1006:AM1006),$AM$1006:$BM$1006,0))&gt;=100000), " ",IF(INDEX($AM$2:$BM$1001,MATCH(ROWS($AF$2:AF253),$AF$2:$AF$1001,0),MATCH(COLUMNS($AM$1006:AM1006),$AM$1006:$BM$1006,0)), HYPERLINK("#",""), HYPERLINK(CONCATENATE("#metadata!", ADDRESS(INDEX($AH$2:$AH$1001,MATCH(ROWS($AF$2:AF253),$AF$2:$AF$1001,0),0), INDEX($AM$1004:$BM$1004,1,MATCH(COLUMNS($AM$1006:AM1006),$AM$1006:$BM$1006,0)))),"Fix")))</f>
        <v xml:space="preserve"> </v>
      </c>
      <c r="C253" s="4" t="str">
        <f ca="1">IF(OR(INDEX($AG$2:$AG$1001,MATCH(ROWS($AF$2:AF253),$AF$2:$AF$1001,0),1)&gt;=100000,INDEX($AM$1005:$BM$1005,1,MATCH(COLUMNS($AM$1006:AN1006),$AM$1006:$BM$1006,0))&gt;=100000), " ",IF(INDEX($AM$2:$BM$1001,MATCH(ROWS($AF$2:AF253),$AF$2:$AF$1001,0),MATCH(COLUMNS($AM$1006:AN1006),$AM$1006:$BM$1006,0)), HYPERLINK("#",""), HYPERLINK(CONCATENATE("#metadata!", ADDRESS(INDEX($AH$2:$AH$1001,MATCH(ROWS($AF$2:AF253),$AF$2:$AF$1001,0),0), INDEX($AM$1004:$BM$1004,1,MATCH(COLUMNS($AM$1006:AN1006),$AM$1006:$BM$1006,0)))),"Fix")))</f>
        <v xml:space="preserve"> </v>
      </c>
      <c r="D253" s="4" t="str">
        <f ca="1">IF(OR(INDEX($AG$2:$AG$1001,MATCH(ROWS($AF$2:AF253),$AF$2:$AF$1001,0),1)&gt;=100000,INDEX($AM$1005:$BM$1005,1,MATCH(COLUMNS($AM$1006:AO1006),$AM$1006:$BM$1006,0))&gt;=100000), " ",IF(INDEX($AM$2:$BM$1001,MATCH(ROWS($AF$2:AF253),$AF$2:$AF$1001,0),MATCH(COLUMNS($AM$1006:AO1006),$AM$1006:$BM$1006,0)), HYPERLINK("#",""), HYPERLINK(CONCATENATE("#metadata!", ADDRESS(INDEX($AH$2:$AH$1001,MATCH(ROWS($AF$2:AF253),$AF$2:$AF$1001,0),0), INDEX($AM$1004:$BM$1004,1,MATCH(COLUMNS($AM$1006:AO1006),$AM$1006:$BM$1006,0)))),"Fix")))</f>
        <v xml:space="preserve"> </v>
      </c>
      <c r="E253" s="4" t="str">
        <f ca="1">IF(OR(INDEX($AG$2:$AG$1001,MATCH(ROWS($AF$2:AF253),$AF$2:$AF$1001,0),1)&gt;=100000,INDEX($AM$1005:$BM$1005,1,MATCH(COLUMNS($AM$1006:AP1006),$AM$1006:$BM$1006,0))&gt;=100000), " ",IF(INDEX($AM$2:$BM$1001,MATCH(ROWS($AF$2:AF253),$AF$2:$AF$1001,0),MATCH(COLUMNS($AM$1006:AP1006),$AM$1006:$BM$1006,0)), HYPERLINK("#",""), HYPERLINK(CONCATENATE("#metadata!", ADDRESS(INDEX($AH$2:$AH$1001,MATCH(ROWS($AF$2:AF253),$AF$2:$AF$1001,0),0), INDEX($AM$1004:$BM$1004,1,MATCH(COLUMNS($AM$1006:AP1006),$AM$1006:$BM$1006,0)))),"Fix")))</f>
        <v xml:space="preserve"> </v>
      </c>
      <c r="F253" s="4" t="str">
        <f ca="1">IF(OR(INDEX($AG$2:$AG$1001,MATCH(ROWS($AF$2:AF253),$AF$2:$AF$1001,0),1)&gt;=100000,INDEX($AM$1005:$BM$1005,1,MATCH(COLUMNS($AM$1006:AQ1006),$AM$1006:$BM$1006,0))&gt;=100000), " ",IF(INDEX($AM$2:$BM$1001,MATCH(ROWS($AF$2:AF253),$AF$2:$AF$1001,0),MATCH(COLUMNS($AM$1006:AQ1006),$AM$1006:$BM$1006,0)), HYPERLINK("#",""), HYPERLINK(CONCATENATE("#metadata!", ADDRESS(INDEX($AH$2:$AH$1001,MATCH(ROWS($AF$2:AF253),$AF$2:$AF$1001,0),0), INDEX($AM$1004:$BM$1004,1,MATCH(COLUMNS($AM$1006:AQ1006),$AM$1006:$BM$1006,0)))),"Fix")))</f>
        <v xml:space="preserve"> </v>
      </c>
      <c r="G253" s="4" t="str">
        <f ca="1">IF(OR(INDEX($AG$2:$AG$1001,MATCH(ROWS($AF$2:AF253),$AF$2:$AF$1001,0),1)&gt;=100000,INDEX($AM$1005:$BM$1005,1,MATCH(COLUMNS($AM$1006:AR1006),$AM$1006:$BM$1006,0))&gt;=100000), " ",IF(INDEX($AM$2:$BM$1001,MATCH(ROWS($AF$2:AF253),$AF$2:$AF$1001,0),MATCH(COLUMNS($AM$1006:AR1006),$AM$1006:$BM$1006,0)), HYPERLINK("#",""), HYPERLINK(CONCATENATE("#metadata!", ADDRESS(INDEX($AH$2:$AH$1001,MATCH(ROWS($AF$2:AF253),$AF$2:$AF$1001,0),0), INDEX($AM$1004:$BM$1004,1,MATCH(COLUMNS($AM$1006:AR1006),$AM$1006:$BM$1006,0)))),"Fix")))</f>
        <v xml:space="preserve"> </v>
      </c>
      <c r="H253" s="4" t="str">
        <f ca="1">IF(OR(INDEX($AG$2:$AG$1001,MATCH(ROWS($AF$2:AF253),$AF$2:$AF$1001,0),1)&gt;=100000,INDEX($AM$1005:$BM$1005,1,MATCH(COLUMNS($AM$1006:AS1006),$AM$1006:$BM$1006,0))&gt;=100000), " ",IF(INDEX($AM$2:$BM$1001,MATCH(ROWS($AF$2:AF253),$AF$2:$AF$1001,0),MATCH(COLUMNS($AM$1006:AS1006),$AM$1006:$BM$1006,0)), HYPERLINK("#",""), HYPERLINK(CONCATENATE("#metadata!", ADDRESS(INDEX($AH$2:$AH$1001,MATCH(ROWS($AF$2:AF253),$AF$2:$AF$1001,0),0), INDEX($AM$1004:$BM$1004,1,MATCH(COLUMNS($AM$1006:AS1006),$AM$1006:$BM$1006,0)))),"Fix")))</f>
        <v xml:space="preserve"> </v>
      </c>
      <c r="I253" s="4" t="str">
        <f ca="1">IF(OR(INDEX($AG$2:$AG$1001,MATCH(ROWS($AF$2:AF253),$AF$2:$AF$1001,0),1)&gt;=100000,INDEX($AM$1005:$BM$1005,1,MATCH(COLUMNS($AM$1006:AT1006),$AM$1006:$BM$1006,0))&gt;=100000), " ",IF(INDEX($AM$2:$BM$1001,MATCH(ROWS($AF$2:AF253),$AF$2:$AF$1001,0),MATCH(COLUMNS($AM$1006:AT1006),$AM$1006:$BM$1006,0)), HYPERLINK("#",""), HYPERLINK(CONCATENATE("#metadata!", ADDRESS(INDEX($AH$2:$AH$1001,MATCH(ROWS($AF$2:AF253),$AF$2:$AF$1001,0),0), INDEX($AM$1004:$BM$1004,1,MATCH(COLUMNS($AM$1006:AT1006),$AM$1006:$BM$1006,0)))),"Fix")))</f>
        <v xml:space="preserve"> </v>
      </c>
      <c r="J253" s="4" t="str">
        <f ca="1">IF(OR(INDEX($AG$2:$AG$1001,MATCH(ROWS($AF$2:AF253),$AF$2:$AF$1001,0),1)&gt;=100000,INDEX($AM$1005:$BM$1005,1,MATCH(COLUMNS($AM$1006:AU1006),$AM$1006:$BM$1006,0))&gt;=100000), " ",IF(INDEX($AM$2:$BM$1001,MATCH(ROWS($AF$2:AF253),$AF$2:$AF$1001,0),MATCH(COLUMNS($AM$1006:AU1006),$AM$1006:$BM$1006,0)), HYPERLINK("#",""), HYPERLINK(CONCATENATE("#metadata!", ADDRESS(INDEX($AH$2:$AH$1001,MATCH(ROWS($AF$2:AF253),$AF$2:$AF$1001,0),0), INDEX($AM$1004:$BM$1004,1,MATCH(COLUMNS($AM$1006:AU1006),$AM$1006:$BM$1006,0)))),"Fix")))</f>
        <v xml:space="preserve"> </v>
      </c>
      <c r="K253" s="4" t="str">
        <f ca="1">IF(OR(INDEX($AG$2:$AG$1001,MATCH(ROWS($AF$2:AF253),$AF$2:$AF$1001,0),1)&gt;=100000,INDEX($AM$1005:$BM$1005,1,MATCH(COLUMNS($AM$1006:AV1006),$AM$1006:$BM$1006,0))&gt;=100000), " ",IF(INDEX($AM$2:$BM$1001,MATCH(ROWS($AF$2:AF253),$AF$2:$AF$1001,0),MATCH(COLUMNS($AM$1006:AV1006),$AM$1006:$BM$1006,0)), HYPERLINK("#",""), HYPERLINK(CONCATENATE("#metadata!", ADDRESS(INDEX($AH$2:$AH$1001,MATCH(ROWS($AF$2:AF253),$AF$2:$AF$1001,0),0), INDEX($AM$1004:$BM$1004,1,MATCH(COLUMNS($AM$1006:AV1006),$AM$1006:$BM$1006,0)))),"Fix")))</f>
        <v xml:space="preserve"> </v>
      </c>
      <c r="L253" s="4" t="str">
        <f ca="1">IF(OR(INDEX($AG$2:$AG$1001,MATCH(ROWS($AF$2:AF253),$AF$2:$AF$1001,0),1)&gt;=100000,INDEX($AM$1005:$BM$1005,1,MATCH(COLUMNS($AM$1006:AW1006),$AM$1006:$BM$1006,0))&gt;=100000), " ",IF(INDEX($AM$2:$BM$1001,MATCH(ROWS($AF$2:AF253),$AF$2:$AF$1001,0),MATCH(COLUMNS($AM$1006:AW1006),$AM$1006:$BM$1006,0)), HYPERLINK("#",""), HYPERLINK(CONCATENATE("#metadata!", ADDRESS(INDEX($AH$2:$AH$1001,MATCH(ROWS($AF$2:AF253),$AF$2:$AF$1001,0),0), INDEX($AM$1004:$BM$1004,1,MATCH(COLUMNS($AM$1006:AW1006),$AM$1006:$BM$1006,0)))),"Fix")))</f>
        <v xml:space="preserve"> </v>
      </c>
      <c r="M253" s="4" t="str">
        <f ca="1">IF(OR(INDEX($AG$2:$AG$1001,MATCH(ROWS($AF$2:AF253),$AF$2:$AF$1001,0),1)&gt;=100000,INDEX($AM$1005:$BM$1005,1,MATCH(COLUMNS($AM$1006:AX1006),$AM$1006:$BM$1006,0))&gt;=100000), " ",IF(INDEX($AM$2:$BM$1001,MATCH(ROWS($AF$2:AF253),$AF$2:$AF$1001,0),MATCH(COLUMNS($AM$1006:AX1006),$AM$1006:$BM$1006,0)), HYPERLINK("#",""), HYPERLINK(CONCATENATE("#metadata!", ADDRESS(INDEX($AH$2:$AH$1001,MATCH(ROWS($AF$2:AF253),$AF$2:$AF$1001,0),0), INDEX($AM$1004:$BM$1004,1,MATCH(COLUMNS($AM$1006:AX1006),$AM$1006:$BM$1006,0)))),"Fix")))</f>
        <v xml:space="preserve"> </v>
      </c>
      <c r="N253" s="4" t="str">
        <f ca="1">IF(OR(INDEX($AG$2:$AG$1001,MATCH(ROWS($AF$2:AF253),$AF$2:$AF$1001,0),1)&gt;=100000,INDEX($AM$1005:$BM$1005,1,MATCH(COLUMNS($AM$1006:AY1006),$AM$1006:$BM$1006,0))&gt;=100000), " ",IF(INDEX($AM$2:$BM$1001,MATCH(ROWS($AF$2:AF253),$AF$2:$AF$1001,0),MATCH(COLUMNS($AM$1006:AY1006),$AM$1006:$BM$1006,0)), HYPERLINK("#",""), HYPERLINK(CONCATENATE("#metadata!", ADDRESS(INDEX($AH$2:$AH$1001,MATCH(ROWS($AF$2:AF253),$AF$2:$AF$1001,0),0), INDEX($AM$1004:$BM$1004,1,MATCH(COLUMNS($AM$1006:AY1006),$AM$1006:$BM$1006,0)))),"Fix")))</f>
        <v xml:space="preserve"> </v>
      </c>
      <c r="O253" s="4" t="str">
        <f ca="1">IF(OR(INDEX($AG$2:$AG$1001,MATCH(ROWS($AF$2:AF253),$AF$2:$AF$1001,0),1)&gt;=100000,INDEX($AM$1005:$BM$1005,1,MATCH(COLUMNS($AM$1006:AZ1006),$AM$1006:$BM$1006,0))&gt;=100000), " ",IF(INDEX($AM$2:$BM$1001,MATCH(ROWS($AF$2:AF253),$AF$2:$AF$1001,0),MATCH(COLUMNS($AM$1006:AZ1006),$AM$1006:$BM$1006,0)), HYPERLINK("#",""), HYPERLINK(CONCATENATE("#metadata!", ADDRESS(INDEX($AH$2:$AH$1001,MATCH(ROWS($AF$2:AF253),$AF$2:$AF$1001,0),0), INDEX($AM$1004:$BM$1004,1,MATCH(COLUMNS($AM$1006:AZ1006),$AM$1006:$BM$1006,0)))),"Fix")))</f>
        <v xml:space="preserve"> </v>
      </c>
      <c r="P253" s="4" t="str">
        <f ca="1">IF(OR(INDEX($AG$2:$AG$1001,MATCH(ROWS($AF$2:AF253),$AF$2:$AF$1001,0),1)&gt;=100000,INDEX($AM$1005:$BM$1005,1,MATCH(COLUMNS($AM$1006:BA1006),$AM$1006:$BM$1006,0))&gt;=100000), " ",IF(INDEX($AM$2:$BM$1001,MATCH(ROWS($AF$2:AF253),$AF$2:$AF$1001,0),MATCH(COLUMNS($AM$1006:BA1006),$AM$1006:$BM$1006,0)), HYPERLINK("#",""), HYPERLINK(CONCATENATE("#metadata!", ADDRESS(INDEX($AH$2:$AH$1001,MATCH(ROWS($AF$2:AF253),$AF$2:$AF$1001,0),0), INDEX($AM$1004:$BM$1004,1,MATCH(COLUMNS($AM$1006:BA1006),$AM$1006:$BM$1006,0)))),"Fix")))</f>
        <v xml:space="preserve"> </v>
      </c>
      <c r="Q253" s="4" t="str">
        <f ca="1">IF(OR(INDEX($AG$2:$AG$1001,MATCH(ROWS($AF$2:AF253),$AF$2:$AF$1001,0),1)&gt;=100000,INDEX($AM$1005:$BM$1005,1,MATCH(COLUMNS($AM$1006:BB1006),$AM$1006:$BM$1006,0))&gt;=100000), " ",IF(INDEX($AM$2:$BM$1001,MATCH(ROWS($AF$2:AF253),$AF$2:$AF$1001,0),MATCH(COLUMNS($AM$1006:BB1006),$AM$1006:$BM$1006,0)), HYPERLINK("#",""), HYPERLINK(CONCATENATE("#metadata!", ADDRESS(INDEX($AH$2:$AH$1001,MATCH(ROWS($AF$2:AF253),$AF$2:$AF$1001,0),0), INDEX($AM$1004:$BM$1004,1,MATCH(COLUMNS($AM$1006:BB1006),$AM$1006:$BM$1006,0)))),"Fix")))</f>
        <v xml:space="preserve"> </v>
      </c>
      <c r="R253" s="4" t="str">
        <f ca="1">IF(OR(INDEX($AG$2:$AG$1001,MATCH(ROWS($AF$2:AF253),$AF$2:$AF$1001,0),1)&gt;=100000,INDEX($AM$1005:$BM$1005,1,MATCH(COLUMNS($AM$1006:BC1006),$AM$1006:$BM$1006,0))&gt;=100000), " ",IF(INDEX($AM$2:$BM$1001,MATCH(ROWS($AF$2:AF253),$AF$2:$AF$1001,0),MATCH(COLUMNS($AM$1006:BC1006),$AM$1006:$BM$1006,0)), HYPERLINK("#",""), HYPERLINK(CONCATENATE("#metadata!", ADDRESS(INDEX($AH$2:$AH$1001,MATCH(ROWS($AF$2:AF253),$AF$2:$AF$1001,0),0), INDEX($AM$1004:$BM$1004,1,MATCH(COLUMNS($AM$1006:BC1006),$AM$1006:$BM$1006,0)))),"Fix")))</f>
        <v xml:space="preserve"> </v>
      </c>
      <c r="S253" s="4" t="str">
        <f ca="1">IF(OR(INDEX($AG$2:$AG$1001,MATCH(ROWS($AF$2:AF253),$AF$2:$AF$1001,0),1)&gt;=100000,INDEX($AM$1005:$BM$1005,1,MATCH(COLUMNS($AM$1006:BD1006),$AM$1006:$BM$1006,0))&gt;=100000), " ",IF(INDEX($AM$2:$BM$1001,MATCH(ROWS($AF$2:AF253),$AF$2:$AF$1001,0),MATCH(COLUMNS($AM$1006:BD1006),$AM$1006:$BM$1006,0)), HYPERLINK("#",""), HYPERLINK(CONCATENATE("#metadata!", ADDRESS(INDEX($AH$2:$AH$1001,MATCH(ROWS($AF$2:AF253),$AF$2:$AF$1001,0),0), INDEX($AM$1004:$BM$1004,1,MATCH(COLUMNS($AM$1006:BD1006),$AM$1006:$BM$1006,0)))),"Fix")))</f>
        <v xml:space="preserve"> </v>
      </c>
      <c r="T253" s="4" t="str">
        <f ca="1">IF(OR(INDEX($AG$2:$AG$1001,MATCH(ROWS($AF$2:AF253),$AF$2:$AF$1001,0),1)&gt;=100000,INDEX($AM$1005:$BM$1005,1,MATCH(COLUMNS($AM$1006:BE1006),$AM$1006:$BM$1006,0))&gt;=100000), " ",IF(INDEX($AM$2:$BM$1001,MATCH(ROWS($AF$2:AF253),$AF$2:$AF$1001,0),MATCH(COLUMNS($AM$1006:BE1006),$AM$1006:$BM$1006,0)), HYPERLINK("#",""), HYPERLINK(CONCATENATE("#metadata!", ADDRESS(INDEX($AH$2:$AH$1001,MATCH(ROWS($AF$2:AF253),$AF$2:$AF$1001,0),0), INDEX($AM$1004:$BM$1004,1,MATCH(COLUMNS($AM$1006:BE1006),$AM$1006:$BM$1006,0)))),"Fix")))</f>
        <v xml:space="preserve"> </v>
      </c>
      <c r="U253" s="4" t="str">
        <f ca="1">IF(OR(INDEX($AG$2:$AG$1001,MATCH(ROWS($AF$2:AF253),$AF$2:$AF$1001,0),1)&gt;=100000,INDEX($AM$1005:$BM$1005,1,MATCH(COLUMNS($AM$1006:BF1006),$AM$1006:$BM$1006,0))&gt;=100000), " ",IF(INDEX($AM$2:$BM$1001,MATCH(ROWS($AF$2:AF253),$AF$2:$AF$1001,0),MATCH(COLUMNS($AM$1006:BF1006),$AM$1006:$BM$1006,0)), HYPERLINK("#",""), HYPERLINK(CONCATENATE("#metadata!", ADDRESS(INDEX($AH$2:$AH$1001,MATCH(ROWS($AF$2:AF253),$AF$2:$AF$1001,0),0), INDEX($AM$1004:$BM$1004,1,MATCH(COLUMNS($AM$1006:BF1006),$AM$1006:$BM$1006,0)))),"Fix")))</f>
        <v xml:space="preserve"> </v>
      </c>
      <c r="V253" s="4" t="str">
        <f ca="1">IF(OR(INDEX($AG$2:$AG$1001,MATCH(ROWS($AF$2:AF253),$AF$2:$AF$1001,0),1)&gt;=100000,INDEX($AM$1005:$BM$1005,1,MATCH(COLUMNS($AM$1006:BG1006),$AM$1006:$BM$1006,0))&gt;=100000), " ",IF(INDEX($AM$2:$BM$1001,MATCH(ROWS($AF$2:AF253),$AF$2:$AF$1001,0),MATCH(COLUMNS($AM$1006:BG1006),$AM$1006:$BM$1006,0)), HYPERLINK("#",""), HYPERLINK(CONCATENATE("#metadata!", ADDRESS(INDEX($AH$2:$AH$1001,MATCH(ROWS($AF$2:AF253),$AF$2:$AF$1001,0),0), INDEX($AM$1004:$BM$1004,1,MATCH(COLUMNS($AM$1006:BG1006),$AM$1006:$BM$1006,0)))),"Fix")))</f>
        <v xml:space="preserve"> </v>
      </c>
      <c r="W253" s="4" t="str">
        <f ca="1">IF(OR(INDEX($AG$2:$AG$1001,MATCH(ROWS($AF$2:AF253),$AF$2:$AF$1001,0),1)&gt;=100000,INDEX($AM$1005:$BM$1005,1,MATCH(COLUMNS($AM$1006:BH1006),$AM$1006:$BM$1006,0))&gt;=100000), " ",IF(INDEX($AM$2:$BM$1001,MATCH(ROWS($AF$2:AF253),$AF$2:$AF$1001,0),MATCH(COLUMNS($AM$1006:BH1006),$AM$1006:$BM$1006,0)), HYPERLINK("#",""), HYPERLINK(CONCATENATE("#metadata!", ADDRESS(INDEX($AH$2:$AH$1001,MATCH(ROWS($AF$2:AF253),$AF$2:$AF$1001,0),0), INDEX($AM$1004:$BM$1004,1,MATCH(COLUMNS($AM$1006:BH1006),$AM$1006:$BM$1006,0)))),"Fix")))</f>
        <v xml:space="preserve"> </v>
      </c>
      <c r="X253" s="4" t="str">
        <f ca="1">IF(OR(INDEX($AG$2:$AG$1001,MATCH(ROWS($AF$2:AF253),$AF$2:$AF$1001,0),1)&gt;=100000,INDEX($AM$1005:$BM$1005,1,MATCH(COLUMNS($AM$1006:BI1006),$AM$1006:$BM$1006,0))&gt;=100000), " ",IF(INDEX($AM$2:$BM$1001,MATCH(ROWS($AF$2:AF253),$AF$2:$AF$1001,0),MATCH(COLUMNS($AM$1006:BI1006),$AM$1006:$BM$1006,0)), HYPERLINK("#",""), HYPERLINK(CONCATENATE("#metadata!", ADDRESS(INDEX($AH$2:$AH$1001,MATCH(ROWS($AF$2:AF253),$AF$2:$AF$1001,0),0), INDEX($AM$1004:$BM$1004,1,MATCH(COLUMNS($AM$1006:BI1006),$AM$1006:$BM$1006,0)))),"Fix")))</f>
        <v xml:space="preserve"> </v>
      </c>
      <c r="Y253" s="4" t="str">
        <f ca="1">IF(OR(INDEX($AG$2:$AG$1001,MATCH(ROWS($AF$2:AF253),$AF$2:$AF$1001,0),1)&gt;=100000,INDEX($AM$1005:$BM$1005,1,MATCH(COLUMNS($AM$1006:BJ1006),$AM$1006:$BM$1006,0))&gt;=100000), " ",IF(INDEX($AM$2:$BM$1001,MATCH(ROWS($AF$2:AF253),$AF$2:$AF$1001,0),MATCH(COLUMNS($AM$1006:BJ1006),$AM$1006:$BM$1006,0)), HYPERLINK("#",""), HYPERLINK(CONCATENATE("#metadata!", ADDRESS(INDEX($AH$2:$AH$1001,MATCH(ROWS($AF$2:AF253),$AF$2:$AF$1001,0),0), INDEX($AM$1004:$BM$1004,1,MATCH(COLUMNS($AM$1006:BJ1006),$AM$1006:$BM$1006,0)))),"Fix")))</f>
        <v xml:space="preserve"> </v>
      </c>
      <c r="Z253" s="4" t="str">
        <f ca="1">IF(OR(INDEX($AG$2:$AG$1001,MATCH(ROWS($AF$2:AF253),$AF$2:$AF$1001,0),1)&gt;=100000,INDEX($AM$1005:$BM$1005,1,MATCH(COLUMNS($AM$1006:BK1006),$AM$1006:$BM$1006,0))&gt;=100000), " ",IF(INDEX($AM$2:$BM$1001,MATCH(ROWS($AF$2:AF253),$AF$2:$AF$1001,0),MATCH(COLUMNS($AM$1006:BK1006),$AM$1006:$BM$1006,0)), HYPERLINK("#",""), HYPERLINK(CONCATENATE("#metadata!", ADDRESS(INDEX($AH$2:$AH$1001,MATCH(ROWS($AF$2:AF253),$AF$2:$AF$1001,0),0), INDEX($AM$1004:$BM$1004,1,MATCH(COLUMNS($AM$1006:BK1006),$AM$1006:$BM$1006,0)))),"Fix")))</f>
        <v xml:space="preserve"> </v>
      </c>
      <c r="AA253" s="4" t="str">
        <f ca="1">IF(OR(INDEX($AG$2:$AG$1001,MATCH(ROWS($AF$2:AF253),$AF$2:$AF$1001,0),1)&gt;=100000,INDEX($AM$1005:$BM$1005,1,MATCH(COLUMNS($AM$1006:BL1006),$AM$1006:$BM$1006,0))&gt;=100000), " ",IF(INDEX($AM$2:$BM$1001,MATCH(ROWS($AF$2:AF253),$AF$2:$AF$1001,0),MATCH(COLUMNS($AM$1006:BL1006),$AM$1006:$BM$1006,0)), HYPERLINK("#",""), HYPERLINK(CONCATENATE("#metadata!", ADDRESS(INDEX($AH$2:$AH$1001,MATCH(ROWS($AF$2:AF253),$AF$2:$AF$1001,0),0), INDEX($AM$1004:$BM$1004,1,MATCH(COLUMNS($AM$1006:BL1006),$AM$1006:$BM$1006,0)))),"Fix")))</f>
        <v xml:space="preserve"> </v>
      </c>
      <c r="AB253" s="4" t="str">
        <f ca="1">IF(OR(INDEX($AG$2:$AG$1001,MATCH(ROWS($AF$2:AF253),$AF$2:$AF$1001,0),1)&gt;=100000,INDEX($AM$1005:$BM$1005,1,MATCH(COLUMNS($AM$1006:BM1006),$AM$1006:$BM$1006,0))&gt;=100000), " ",IF(INDEX($AM$2:$BM$1001,MATCH(ROWS($AF$2:AF253),$AF$2:$AF$1001,0),MATCH(COLUMNS($AM$1006:BM1006),$AM$1006:$BM$1006,0)), HYPERLINK("#",""), HYPERLINK(CONCATENATE("#metadata!", ADDRESS(INDEX($AH$2:$AH$1001,MATCH(ROWS($AF$2:AF253),$AF$2:$AF$1001,0),0), INDEX($AM$1004:$BM$1004,1,MATCH(COLUMNS($AM$1006:BM1006),$AM$1006:$BM$1006,0)))),"Fix")))</f>
        <v xml:space="preserve"> </v>
      </c>
      <c r="AF253">
        <v>252</v>
      </c>
      <c r="AG253">
        <v>100253</v>
      </c>
      <c r="AH253">
        <v>253</v>
      </c>
      <c r="AI253" t="b">
        <f t="shared" si="3"/>
        <v>1</v>
      </c>
      <c r="AJ253" t="b">
        <f>COUNTBLANK(metadata!B253:AB253)=COLUMNS(metadata!B253:AB253)</f>
        <v>1</v>
      </c>
      <c r="AK253" t="str">
        <v/>
      </c>
      <c r="AM253" t="b">
        <f ca="1">AND(IF(metadata!B253="",FALSE,TRUE),COUNTIF(metadata!B:B, metadata!B253) = 1,NOT(ISERROR(SUMPRODUCT(SEARCH(MID(metadata!B253,ROW(INDIRECT("1:"&amp;LEN(metadata!B253))), 1),"0123456789abcdefghijklmnopqrstuvwxyzABCDEFGHIJKLMNOPQRSTUVWXYZ.")))))</f>
        <v>0</v>
      </c>
      <c r="AN253" t="b">
        <f ca="1">OR(AND(IF(metadata!C253="",FALSE,TRUE),OR(EXACT(metadata!C253,"missing: not collected"),EXACT(metadata!C253,"missing: not provided"),EXACT(metadata!C253,"missing: restricted access"))),AND(IF(metadata!C253="",FALSE,TRUE),AND(AND(IFERROR(INT(LEFT(metadata!C253,4))&gt;1900,FALSE),IFERROR(INT(LEFT(metadata!C253,4))&lt;=YEAR(NOW()),FALSE)), OR(MID(metadata!C253,5,1)="", AND(AND(MID(metadata!C253,5,1)="-",IFERROR(INT(MID(metadata!C253,6,1))&gt;=0,FALSE),IFERROR(INT(MID(metadata!C253,6,1))&lt;=1,FALSE),NOT(MID(metadata!C253,7,1)=""),IFERROR(INT(MID(metadata!C253,6,2))&gt;=1,FALSE),IFERROR(INT(MID(metadata!C253,6,2))&lt;=12,FALSE)), OR(MID(metadata!C253,8,1)="", AND(AND(MID(metadata!C253,8,1)="-",IFERROR(INT(MID(metadata!C253,9,1))&gt;=0,FALSE),IFERROR(INT(MID(metadata!C253,9,1))&lt;=3,FALSE),NOT(MID(metadata!C253,10,1)=""),IFERROR(INT(MID(metadata!C253,9,2))&gt;=1,FALSE),IFERROR(INT(MID(metadata!C253,9,2))&lt;=31,FALSE)), OR(MID(metadata!C253,11,1)="", AND(AND(MID(metadata!C253,11,1)=" ",IFERROR(INT(MID(metadata!C253,12,1))&gt;=0,FALSE),IFERROR(INT(MID(metadata!C253,12,1))&lt;=2,FALSE),NOT(MID(metadata!C253,13,1)=""),IFERROR(INT(MID(metadata!C253,12,2))&gt;=0,FALSE),IFERROR(INT(MID(metadata!C253,12,2))&lt;=23,FALSE)), OR(MID(metadata!C253,14,1)="", AND(AND(MID(metadata!C253,14,1)=":",IFERROR(INT(MID(metadata!C253,15,1))&gt;=0,FALSE),IFERROR(INT(MID(metadata!C253,15,1))&lt;=5,FALSE),NOT(MID(metadata!C253,16,1)=""),IFERROR(INT(MID(metadata!C253,15,2))&gt;=0,FALSE),IFERROR(INT(MID(metadata!C253,15,2))&lt;=59,FALSE)), OR(MID(metadata!C253,17,1)="", AND(AND(MID(metadata!C253,17,1)=":",IFERROR(INT(MID(metadata!C253,18,1))&gt;=0,FALSE),IFERROR(INT(MID(metadata!C253,18,1))&lt;=5,FALSE),NOT(MID(metadata!C253,19,1)=""),IFERROR(INT(MID(metadata!C253,18,2))&gt;=0,FALSE),IFERROR(INT(MID(metadata!C253,18,2))&lt;=59,FALSE)), LEN(metadata!C253)&lt;=19)))))))))))))</f>
        <v>0</v>
      </c>
      <c r="AO253" t="b">
        <f>AND(IF(metadata!D253="",FALSE,TRUE),EXACT(metadata!D253,"Not applicable"))</f>
        <v>0</v>
      </c>
      <c r="AP253" t="b">
        <f>IF(metadata!E253="",FALSE,TRUE)</f>
        <v>0</v>
      </c>
      <c r="AQ253" t="b">
        <f>OR(AND(IF(metadata!F253="",FALSE,TRUE),OR(EXACT(metadata!F253,"missing: not collected"),EXACT(metadata!F253,"missing: not provided"))),AND(IF(metadata!F253="",FALSE,TRUE),OR(EXACT(metadata!F253,"TRUE"),EXACT(metadata!F253,"FALSE"))))</f>
        <v>0</v>
      </c>
      <c r="AR253" t="b">
        <f>OR(AND(IF(metadata!G253="",FALSE,TRUE),OR(EXACT(metadata!G253,"missing: not collected"),EXACT(metadata!G253,"missing: not provided"),EXACT(metadata!G253,"missing: restricted access"))),AND(IF(metadata!G253="",FALSE,ISNUMBER(VALUE(metadata!G253))),metadata!G253&gt;=-413))</f>
        <v>0</v>
      </c>
      <c r="AS253" t="b">
        <f>AND(IF(metadata!H253="",FALSE,TRUE),EXACT(metadata!H253,"meters"))</f>
        <v>0</v>
      </c>
      <c r="AT253" t="b">
        <f>AND(IF(metadata!I253="",FALSE,TRUE),OR(EXACT(metadata!I253,"Host-associated"),EXACT(metadata!I253,"Free-living")))</f>
        <v>0</v>
      </c>
      <c r="AU253" t="b">
        <f>AND(IF(metadata!J253="",FALSE,TRUE),OR(EXACT(metadata!J253,"Animal"),EXACT(metadata!J253,"Fungus"),EXACT(metadata!J253,"Plant"),EXACT(metadata!J253,"Saline"),EXACT(metadata!J253,"Non-saline")))</f>
        <v>0</v>
      </c>
      <c r="AV253" t="b">
        <f>AND(IF(metadata!K253="",FALSE,TRUE),OR(EXACT(metadata!K253,"Plant secretion"),EXACT(metadata!K253,"Plant rhizosphere"),EXACT(metadata!K253,"Plant surface"),EXACT(metadata!K253,"Plant corpus"),EXACT(metadata!K253,"Fungus surface"),EXACT(metadata!K253,"Fungus corpus"),EXACT(metadata!K253,"Animal surface"),EXACT(metadata!K253,"Animal proximal gut"),EXACT(metadata!K253,"Animal corpus"),EXACT(metadata!K253,"Animal distal gut"),EXACT(metadata!K253,"Animal secretion"),EXACT(metadata!K253,"Sub-surface (non-saline)"),EXACT(metadata!K253,"Surface (non-saline)"),EXACT(metadata!K253,"Water (non-saline)"),EXACT(metadata!K253,"Soil (non-saline)"),EXACT(metadata!K253,"Aerosol (non-saline)"),EXACT(metadata!K253,"Sediment (non-saline)"),EXACT(metadata!K253,"Surface (saline)"),EXACT(metadata!K253,"Water (saline)"),EXACT(metadata!K253,"Hypersaline (saline)"),EXACT(metadata!K253,"Aerosol (saline)"),EXACT(metadata!K253,"Sediment (saline)")))</f>
        <v>0</v>
      </c>
      <c r="AW253" t="b">
        <f>IF(metadata!L253="",FALSE,TRUE)</f>
        <v>0</v>
      </c>
      <c r="AX253" t="b">
        <f>IF(metadata!M253="",FALSE,TRUE)</f>
        <v>0</v>
      </c>
      <c r="AY253" t="b">
        <f>IF(metadata!N253="",FALSE,TRUE)</f>
        <v>0</v>
      </c>
      <c r="AZ253" t="b">
        <f>OR(AND(IF(metadata!O253="",FALSE,TRUE),OR(EXACT(metadata!O253,"missing: not collected"),EXACT(metadata!O253,"missing: not provided"),EXACT(metadata!O253,"missing: restricted access"))),AND(IF(metadata!O253="",FALSE,TRUE),OR(EXACT(metadata!O253,"air"),EXACT(metadata!O253,"built environment"),EXACT(metadata!O253,"host-associated"),EXACT(metadata!O253,"human-associated"),EXACT(metadata!O253,"human-skin"),EXACT(metadata!O253,"human-oral"),EXACT(metadata!O253,"human-gut"),EXACT(metadata!O253,"human-vaginal"),EXACT(metadata!O253,"microbial mat/biofilm"),EXACT(metadata!O253,"misc environment"),EXACT(metadata!O253,"plant-associated"),EXACT(metadata!O253,"sediment"),EXACT(metadata!O253,"soil"),EXACT(metadata!O253,"wastewater/sludge"),EXACT(metadata!O253,"water"))))</f>
        <v>0</v>
      </c>
      <c r="BA253" t="b">
        <f>IF(metadata!P253="",FALSE,TRUE)</f>
        <v>0</v>
      </c>
      <c r="BB253" t="b">
        <f>IF(metadata!Q253="",FALSE,TRUE)</f>
        <v>0</v>
      </c>
      <c r="BC253" t="b">
        <f>OR(AND(IF(metadata!R253="",FALSE,TRUE),OR(EXACT(metadata!R253,"missing: not collected"),EXACT(metadata!R253,"missing: not provided"),EXACT(metadata!R253,"missing: restricted access"))),AND(IF(metadata!R253="",FALSE,ISNUMBER(VALUE(metadata!R253))),metadata!R253&gt;=-90,metadata!R253&lt;=90))</f>
        <v>0</v>
      </c>
      <c r="BD253" t="b">
        <f>AND(IF(metadata!S253="",FALSE,TRUE),EXACT(metadata!S253,"Decimal degrees"))</f>
        <v>0</v>
      </c>
      <c r="BE253" t="b">
        <f>OR(AND(IF(metadata!T253="",FALSE,TRUE),OR(EXACT(metadata!T253,"missing: not collected"),EXACT(metadata!T253,"missing: not provided"),EXACT(metadata!T253,"missing: restricted access"))),AND(IF(metadata!T253="",FALSE,ISNUMBER(VALUE(metadata!T253))),metadata!T253&gt;=-180,metadata!T253&lt;=180))</f>
        <v>0</v>
      </c>
      <c r="BF253" t="b">
        <f>AND(IF(metadata!U253="",FALSE,TRUE),EXACT(metadata!U253,"Decimal degrees"))</f>
        <v>0</v>
      </c>
      <c r="BG253" t="b">
        <f>IF(metadata!V253="",FALSE,TRUE)</f>
        <v>0</v>
      </c>
      <c r="BH253" t="b">
        <f>OR(AND(IF(metadata!W253="",FALSE,TRUE),OR(EXACT(metadata!W253,"missing: not collected"),EXACT(metadata!W253,"missing: not provided"),EXACT(metadata!W253,"missing: restricted access"))),AND(IF(metadata!W253="",FALSE,TRUE),OR(EXACT(metadata!W253,"TRUE"),EXACT(metadata!W253,"FALSE"))))</f>
        <v>0</v>
      </c>
      <c r="BI253" t="b">
        <f>AND(IF(metadata!X253="",FALSE,TRUE),EXACT(metadata!X253,"other"))</f>
        <v>0</v>
      </c>
      <c r="BJ253" t="b">
        <f>IF(metadata!Y253="",FALSE,TRUE)</f>
        <v>0</v>
      </c>
      <c r="BK253" t="b">
        <f>OR(AND(IF(metadata!Z253="",FALSE,TRUE),OR(EXACT(metadata!Z253,"missing: not collected"),EXACT(metadata!Z253,"missing: not provided"))),AND(IF(metadata!Z253="",FALSE,IF(ISERROR(INT(metadata!Z253)),FALSE,INT(metadata!Z253)=metadata!Z253)),metadata!Z253&gt;0))</f>
        <v>0</v>
      </c>
      <c r="BL253" t="b">
        <f>AND(IF(metadata!AA253="",FALSE,TRUE),EXACT(metadata!AA253,"Not applicable"))</f>
        <v>0</v>
      </c>
      <c r="BM253" t="b">
        <f>IF(metadata!AB253="",FALSE,TRUE)</f>
        <v>0</v>
      </c>
    </row>
    <row r="254" spans="1:65" x14ac:dyDescent="0.2">
      <c r="A254" s="5" t="str">
        <f ca="1">IF(B254=" "," ",HYPERLINK(CONCATENATE("#metadata!",ADDRESS(INDEX($AH$2:$AH$1001,MATCH(ROWS($AF$2:AF254),$AF$2:$AF$1001,0),0),1)),INDEX($AK$2:$AK$1001,MATCH(ROWS($AF$2:AF254),$AF$2:$AF$1001,0),0)))</f>
        <v xml:space="preserve"> </v>
      </c>
      <c r="B254" s="4" t="str">
        <f ca="1">IF(OR(INDEX($AG$2:$AG$1001,MATCH(ROWS($AF$2:AF254),$AF$2:$AF$1001,0),1)&gt;=100000,INDEX($AM$1005:$BM$1005,1,MATCH(COLUMNS($AM$1006:AM1006),$AM$1006:$BM$1006,0))&gt;=100000), " ",IF(INDEX($AM$2:$BM$1001,MATCH(ROWS($AF$2:AF254),$AF$2:$AF$1001,0),MATCH(COLUMNS($AM$1006:AM1006),$AM$1006:$BM$1006,0)), HYPERLINK("#",""), HYPERLINK(CONCATENATE("#metadata!", ADDRESS(INDEX($AH$2:$AH$1001,MATCH(ROWS($AF$2:AF254),$AF$2:$AF$1001,0),0), INDEX($AM$1004:$BM$1004,1,MATCH(COLUMNS($AM$1006:AM1006),$AM$1006:$BM$1006,0)))),"Fix")))</f>
        <v xml:space="preserve"> </v>
      </c>
      <c r="C254" s="4" t="str">
        <f ca="1">IF(OR(INDEX($AG$2:$AG$1001,MATCH(ROWS($AF$2:AF254),$AF$2:$AF$1001,0),1)&gt;=100000,INDEX($AM$1005:$BM$1005,1,MATCH(COLUMNS($AM$1006:AN1006),$AM$1006:$BM$1006,0))&gt;=100000), " ",IF(INDEX($AM$2:$BM$1001,MATCH(ROWS($AF$2:AF254),$AF$2:$AF$1001,0),MATCH(COLUMNS($AM$1006:AN1006),$AM$1006:$BM$1006,0)), HYPERLINK("#",""), HYPERLINK(CONCATENATE("#metadata!", ADDRESS(INDEX($AH$2:$AH$1001,MATCH(ROWS($AF$2:AF254),$AF$2:$AF$1001,0),0), INDEX($AM$1004:$BM$1004,1,MATCH(COLUMNS($AM$1006:AN1006),$AM$1006:$BM$1006,0)))),"Fix")))</f>
        <v xml:space="preserve"> </v>
      </c>
      <c r="D254" s="4" t="str">
        <f ca="1">IF(OR(INDEX($AG$2:$AG$1001,MATCH(ROWS($AF$2:AF254),$AF$2:$AF$1001,0),1)&gt;=100000,INDEX($AM$1005:$BM$1005,1,MATCH(COLUMNS($AM$1006:AO1006),$AM$1006:$BM$1006,0))&gt;=100000), " ",IF(INDEX($AM$2:$BM$1001,MATCH(ROWS($AF$2:AF254),$AF$2:$AF$1001,0),MATCH(COLUMNS($AM$1006:AO1006),$AM$1006:$BM$1006,0)), HYPERLINK("#",""), HYPERLINK(CONCATENATE("#metadata!", ADDRESS(INDEX($AH$2:$AH$1001,MATCH(ROWS($AF$2:AF254),$AF$2:$AF$1001,0),0), INDEX($AM$1004:$BM$1004,1,MATCH(COLUMNS($AM$1006:AO1006),$AM$1006:$BM$1006,0)))),"Fix")))</f>
        <v xml:space="preserve"> </v>
      </c>
      <c r="E254" s="4" t="str">
        <f ca="1">IF(OR(INDEX($AG$2:$AG$1001,MATCH(ROWS($AF$2:AF254),$AF$2:$AF$1001,0),1)&gt;=100000,INDEX($AM$1005:$BM$1005,1,MATCH(COLUMNS($AM$1006:AP1006),$AM$1006:$BM$1006,0))&gt;=100000), " ",IF(INDEX($AM$2:$BM$1001,MATCH(ROWS($AF$2:AF254),$AF$2:$AF$1001,0),MATCH(COLUMNS($AM$1006:AP1006),$AM$1006:$BM$1006,0)), HYPERLINK("#",""), HYPERLINK(CONCATENATE("#metadata!", ADDRESS(INDEX($AH$2:$AH$1001,MATCH(ROWS($AF$2:AF254),$AF$2:$AF$1001,0),0), INDEX($AM$1004:$BM$1004,1,MATCH(COLUMNS($AM$1006:AP1006),$AM$1006:$BM$1006,0)))),"Fix")))</f>
        <v xml:space="preserve"> </v>
      </c>
      <c r="F254" s="4" t="str">
        <f ca="1">IF(OR(INDEX($AG$2:$AG$1001,MATCH(ROWS($AF$2:AF254),$AF$2:$AF$1001,0),1)&gt;=100000,INDEX($AM$1005:$BM$1005,1,MATCH(COLUMNS($AM$1006:AQ1006),$AM$1006:$BM$1006,0))&gt;=100000), " ",IF(INDEX($AM$2:$BM$1001,MATCH(ROWS($AF$2:AF254),$AF$2:$AF$1001,0),MATCH(COLUMNS($AM$1006:AQ1006),$AM$1006:$BM$1006,0)), HYPERLINK("#",""), HYPERLINK(CONCATENATE("#metadata!", ADDRESS(INDEX($AH$2:$AH$1001,MATCH(ROWS($AF$2:AF254),$AF$2:$AF$1001,0),0), INDEX($AM$1004:$BM$1004,1,MATCH(COLUMNS($AM$1006:AQ1006),$AM$1006:$BM$1006,0)))),"Fix")))</f>
        <v xml:space="preserve"> </v>
      </c>
      <c r="G254" s="4" t="str">
        <f ca="1">IF(OR(INDEX($AG$2:$AG$1001,MATCH(ROWS($AF$2:AF254),$AF$2:$AF$1001,0),1)&gt;=100000,INDEX($AM$1005:$BM$1005,1,MATCH(COLUMNS($AM$1006:AR1006),$AM$1006:$BM$1006,0))&gt;=100000), " ",IF(INDEX($AM$2:$BM$1001,MATCH(ROWS($AF$2:AF254),$AF$2:$AF$1001,0),MATCH(COLUMNS($AM$1006:AR1006),$AM$1006:$BM$1006,0)), HYPERLINK("#",""), HYPERLINK(CONCATENATE("#metadata!", ADDRESS(INDEX($AH$2:$AH$1001,MATCH(ROWS($AF$2:AF254),$AF$2:$AF$1001,0),0), INDEX($AM$1004:$BM$1004,1,MATCH(COLUMNS($AM$1006:AR1006),$AM$1006:$BM$1006,0)))),"Fix")))</f>
        <v xml:space="preserve"> </v>
      </c>
      <c r="H254" s="4" t="str">
        <f ca="1">IF(OR(INDEX($AG$2:$AG$1001,MATCH(ROWS($AF$2:AF254),$AF$2:$AF$1001,0),1)&gt;=100000,INDEX($AM$1005:$BM$1005,1,MATCH(COLUMNS($AM$1006:AS1006),$AM$1006:$BM$1006,0))&gt;=100000), " ",IF(INDEX($AM$2:$BM$1001,MATCH(ROWS($AF$2:AF254),$AF$2:$AF$1001,0),MATCH(COLUMNS($AM$1006:AS1006),$AM$1006:$BM$1006,0)), HYPERLINK("#",""), HYPERLINK(CONCATENATE("#metadata!", ADDRESS(INDEX($AH$2:$AH$1001,MATCH(ROWS($AF$2:AF254),$AF$2:$AF$1001,0),0), INDEX($AM$1004:$BM$1004,1,MATCH(COLUMNS($AM$1006:AS1006),$AM$1006:$BM$1006,0)))),"Fix")))</f>
        <v xml:space="preserve"> </v>
      </c>
      <c r="I254" s="4" t="str">
        <f ca="1">IF(OR(INDEX($AG$2:$AG$1001,MATCH(ROWS($AF$2:AF254),$AF$2:$AF$1001,0),1)&gt;=100000,INDEX($AM$1005:$BM$1005,1,MATCH(COLUMNS($AM$1006:AT1006),$AM$1006:$BM$1006,0))&gt;=100000), " ",IF(INDEX($AM$2:$BM$1001,MATCH(ROWS($AF$2:AF254),$AF$2:$AF$1001,0),MATCH(COLUMNS($AM$1006:AT1006),$AM$1006:$BM$1006,0)), HYPERLINK("#",""), HYPERLINK(CONCATENATE("#metadata!", ADDRESS(INDEX($AH$2:$AH$1001,MATCH(ROWS($AF$2:AF254),$AF$2:$AF$1001,0),0), INDEX($AM$1004:$BM$1004,1,MATCH(COLUMNS($AM$1006:AT1006),$AM$1006:$BM$1006,0)))),"Fix")))</f>
        <v xml:space="preserve"> </v>
      </c>
      <c r="J254" s="4" t="str">
        <f ca="1">IF(OR(INDEX($AG$2:$AG$1001,MATCH(ROWS($AF$2:AF254),$AF$2:$AF$1001,0),1)&gt;=100000,INDEX($AM$1005:$BM$1005,1,MATCH(COLUMNS($AM$1006:AU1006),$AM$1006:$BM$1006,0))&gt;=100000), " ",IF(INDEX($AM$2:$BM$1001,MATCH(ROWS($AF$2:AF254),$AF$2:$AF$1001,0),MATCH(COLUMNS($AM$1006:AU1006),$AM$1006:$BM$1006,0)), HYPERLINK("#",""), HYPERLINK(CONCATENATE("#metadata!", ADDRESS(INDEX($AH$2:$AH$1001,MATCH(ROWS($AF$2:AF254),$AF$2:$AF$1001,0),0), INDEX($AM$1004:$BM$1004,1,MATCH(COLUMNS($AM$1006:AU1006),$AM$1006:$BM$1006,0)))),"Fix")))</f>
        <v xml:space="preserve"> </v>
      </c>
      <c r="K254" s="4" t="str">
        <f ca="1">IF(OR(INDEX($AG$2:$AG$1001,MATCH(ROWS($AF$2:AF254),$AF$2:$AF$1001,0),1)&gt;=100000,INDEX($AM$1005:$BM$1005,1,MATCH(COLUMNS($AM$1006:AV1006),$AM$1006:$BM$1006,0))&gt;=100000), " ",IF(INDEX($AM$2:$BM$1001,MATCH(ROWS($AF$2:AF254),$AF$2:$AF$1001,0),MATCH(COLUMNS($AM$1006:AV1006),$AM$1006:$BM$1006,0)), HYPERLINK("#",""), HYPERLINK(CONCATENATE("#metadata!", ADDRESS(INDEX($AH$2:$AH$1001,MATCH(ROWS($AF$2:AF254),$AF$2:$AF$1001,0),0), INDEX($AM$1004:$BM$1004,1,MATCH(COLUMNS($AM$1006:AV1006),$AM$1006:$BM$1006,0)))),"Fix")))</f>
        <v xml:space="preserve"> </v>
      </c>
      <c r="L254" s="4" t="str">
        <f ca="1">IF(OR(INDEX($AG$2:$AG$1001,MATCH(ROWS($AF$2:AF254),$AF$2:$AF$1001,0),1)&gt;=100000,INDEX($AM$1005:$BM$1005,1,MATCH(COLUMNS($AM$1006:AW1006),$AM$1006:$BM$1006,0))&gt;=100000), " ",IF(INDEX($AM$2:$BM$1001,MATCH(ROWS($AF$2:AF254),$AF$2:$AF$1001,0),MATCH(COLUMNS($AM$1006:AW1006),$AM$1006:$BM$1006,0)), HYPERLINK("#",""), HYPERLINK(CONCATENATE("#metadata!", ADDRESS(INDEX($AH$2:$AH$1001,MATCH(ROWS($AF$2:AF254),$AF$2:$AF$1001,0),0), INDEX($AM$1004:$BM$1004,1,MATCH(COLUMNS($AM$1006:AW1006),$AM$1006:$BM$1006,0)))),"Fix")))</f>
        <v xml:space="preserve"> </v>
      </c>
      <c r="M254" s="4" t="str">
        <f ca="1">IF(OR(INDEX($AG$2:$AG$1001,MATCH(ROWS($AF$2:AF254),$AF$2:$AF$1001,0),1)&gt;=100000,INDEX($AM$1005:$BM$1005,1,MATCH(COLUMNS($AM$1006:AX1006),$AM$1006:$BM$1006,0))&gt;=100000), " ",IF(INDEX($AM$2:$BM$1001,MATCH(ROWS($AF$2:AF254),$AF$2:$AF$1001,0),MATCH(COLUMNS($AM$1006:AX1006),$AM$1006:$BM$1006,0)), HYPERLINK("#",""), HYPERLINK(CONCATENATE("#metadata!", ADDRESS(INDEX($AH$2:$AH$1001,MATCH(ROWS($AF$2:AF254),$AF$2:$AF$1001,0),0), INDEX($AM$1004:$BM$1004,1,MATCH(COLUMNS($AM$1006:AX1006),$AM$1006:$BM$1006,0)))),"Fix")))</f>
        <v xml:space="preserve"> </v>
      </c>
      <c r="N254" s="4" t="str">
        <f ca="1">IF(OR(INDEX($AG$2:$AG$1001,MATCH(ROWS($AF$2:AF254),$AF$2:$AF$1001,0),1)&gt;=100000,INDEX($AM$1005:$BM$1005,1,MATCH(COLUMNS($AM$1006:AY1006),$AM$1006:$BM$1006,0))&gt;=100000), " ",IF(INDEX($AM$2:$BM$1001,MATCH(ROWS($AF$2:AF254),$AF$2:$AF$1001,0),MATCH(COLUMNS($AM$1006:AY1006),$AM$1006:$BM$1006,0)), HYPERLINK("#",""), HYPERLINK(CONCATENATE("#metadata!", ADDRESS(INDEX($AH$2:$AH$1001,MATCH(ROWS($AF$2:AF254),$AF$2:$AF$1001,0),0), INDEX($AM$1004:$BM$1004,1,MATCH(COLUMNS($AM$1006:AY1006),$AM$1006:$BM$1006,0)))),"Fix")))</f>
        <v xml:space="preserve"> </v>
      </c>
      <c r="O254" s="4" t="str">
        <f ca="1">IF(OR(INDEX($AG$2:$AG$1001,MATCH(ROWS($AF$2:AF254),$AF$2:$AF$1001,0),1)&gt;=100000,INDEX($AM$1005:$BM$1005,1,MATCH(COLUMNS($AM$1006:AZ1006),$AM$1006:$BM$1006,0))&gt;=100000), " ",IF(INDEX($AM$2:$BM$1001,MATCH(ROWS($AF$2:AF254),$AF$2:$AF$1001,0),MATCH(COLUMNS($AM$1006:AZ1006),$AM$1006:$BM$1006,0)), HYPERLINK("#",""), HYPERLINK(CONCATENATE("#metadata!", ADDRESS(INDEX($AH$2:$AH$1001,MATCH(ROWS($AF$2:AF254),$AF$2:$AF$1001,0),0), INDEX($AM$1004:$BM$1004,1,MATCH(COLUMNS($AM$1006:AZ1006),$AM$1006:$BM$1006,0)))),"Fix")))</f>
        <v xml:space="preserve"> </v>
      </c>
      <c r="P254" s="4" t="str">
        <f ca="1">IF(OR(INDEX($AG$2:$AG$1001,MATCH(ROWS($AF$2:AF254),$AF$2:$AF$1001,0),1)&gt;=100000,INDEX($AM$1005:$BM$1005,1,MATCH(COLUMNS($AM$1006:BA1006),$AM$1006:$BM$1006,0))&gt;=100000), " ",IF(INDEX($AM$2:$BM$1001,MATCH(ROWS($AF$2:AF254),$AF$2:$AF$1001,0),MATCH(COLUMNS($AM$1006:BA1006),$AM$1006:$BM$1006,0)), HYPERLINK("#",""), HYPERLINK(CONCATENATE("#metadata!", ADDRESS(INDEX($AH$2:$AH$1001,MATCH(ROWS($AF$2:AF254),$AF$2:$AF$1001,0),0), INDEX($AM$1004:$BM$1004,1,MATCH(COLUMNS($AM$1006:BA1006),$AM$1006:$BM$1006,0)))),"Fix")))</f>
        <v xml:space="preserve"> </v>
      </c>
      <c r="Q254" s="4" t="str">
        <f ca="1">IF(OR(INDEX($AG$2:$AG$1001,MATCH(ROWS($AF$2:AF254),$AF$2:$AF$1001,0),1)&gt;=100000,INDEX($AM$1005:$BM$1005,1,MATCH(COLUMNS($AM$1006:BB1006),$AM$1006:$BM$1006,0))&gt;=100000), " ",IF(INDEX($AM$2:$BM$1001,MATCH(ROWS($AF$2:AF254),$AF$2:$AF$1001,0),MATCH(COLUMNS($AM$1006:BB1006),$AM$1006:$BM$1006,0)), HYPERLINK("#",""), HYPERLINK(CONCATENATE("#metadata!", ADDRESS(INDEX($AH$2:$AH$1001,MATCH(ROWS($AF$2:AF254),$AF$2:$AF$1001,0),0), INDEX($AM$1004:$BM$1004,1,MATCH(COLUMNS($AM$1006:BB1006),$AM$1006:$BM$1006,0)))),"Fix")))</f>
        <v xml:space="preserve"> </v>
      </c>
      <c r="R254" s="4" t="str">
        <f ca="1">IF(OR(INDEX($AG$2:$AG$1001,MATCH(ROWS($AF$2:AF254),$AF$2:$AF$1001,0),1)&gt;=100000,INDEX($AM$1005:$BM$1005,1,MATCH(COLUMNS($AM$1006:BC1006),$AM$1006:$BM$1006,0))&gt;=100000), " ",IF(INDEX($AM$2:$BM$1001,MATCH(ROWS($AF$2:AF254),$AF$2:$AF$1001,0),MATCH(COLUMNS($AM$1006:BC1006),$AM$1006:$BM$1006,0)), HYPERLINK("#",""), HYPERLINK(CONCATENATE("#metadata!", ADDRESS(INDEX($AH$2:$AH$1001,MATCH(ROWS($AF$2:AF254),$AF$2:$AF$1001,0),0), INDEX($AM$1004:$BM$1004,1,MATCH(COLUMNS($AM$1006:BC1006),$AM$1006:$BM$1006,0)))),"Fix")))</f>
        <v xml:space="preserve"> </v>
      </c>
      <c r="S254" s="4" t="str">
        <f ca="1">IF(OR(INDEX($AG$2:$AG$1001,MATCH(ROWS($AF$2:AF254),$AF$2:$AF$1001,0),1)&gt;=100000,INDEX($AM$1005:$BM$1005,1,MATCH(COLUMNS($AM$1006:BD1006),$AM$1006:$BM$1006,0))&gt;=100000), " ",IF(INDEX($AM$2:$BM$1001,MATCH(ROWS($AF$2:AF254),$AF$2:$AF$1001,0),MATCH(COLUMNS($AM$1006:BD1006),$AM$1006:$BM$1006,0)), HYPERLINK("#",""), HYPERLINK(CONCATENATE("#metadata!", ADDRESS(INDEX($AH$2:$AH$1001,MATCH(ROWS($AF$2:AF254),$AF$2:$AF$1001,0),0), INDEX($AM$1004:$BM$1004,1,MATCH(COLUMNS($AM$1006:BD1006),$AM$1006:$BM$1006,0)))),"Fix")))</f>
        <v xml:space="preserve"> </v>
      </c>
      <c r="T254" s="4" t="str">
        <f ca="1">IF(OR(INDEX($AG$2:$AG$1001,MATCH(ROWS($AF$2:AF254),$AF$2:$AF$1001,0),1)&gt;=100000,INDEX($AM$1005:$BM$1005,1,MATCH(COLUMNS($AM$1006:BE1006),$AM$1006:$BM$1006,0))&gt;=100000), " ",IF(INDEX($AM$2:$BM$1001,MATCH(ROWS($AF$2:AF254),$AF$2:$AF$1001,0),MATCH(COLUMNS($AM$1006:BE1006),$AM$1006:$BM$1006,0)), HYPERLINK("#",""), HYPERLINK(CONCATENATE("#metadata!", ADDRESS(INDEX($AH$2:$AH$1001,MATCH(ROWS($AF$2:AF254),$AF$2:$AF$1001,0),0), INDEX($AM$1004:$BM$1004,1,MATCH(COLUMNS($AM$1006:BE1006),$AM$1006:$BM$1006,0)))),"Fix")))</f>
        <v xml:space="preserve"> </v>
      </c>
      <c r="U254" s="4" t="str">
        <f ca="1">IF(OR(INDEX($AG$2:$AG$1001,MATCH(ROWS($AF$2:AF254),$AF$2:$AF$1001,0),1)&gt;=100000,INDEX($AM$1005:$BM$1005,1,MATCH(COLUMNS($AM$1006:BF1006),$AM$1006:$BM$1006,0))&gt;=100000), " ",IF(INDEX($AM$2:$BM$1001,MATCH(ROWS($AF$2:AF254),$AF$2:$AF$1001,0),MATCH(COLUMNS($AM$1006:BF1006),$AM$1006:$BM$1006,0)), HYPERLINK("#",""), HYPERLINK(CONCATENATE("#metadata!", ADDRESS(INDEX($AH$2:$AH$1001,MATCH(ROWS($AF$2:AF254),$AF$2:$AF$1001,0),0), INDEX($AM$1004:$BM$1004,1,MATCH(COLUMNS($AM$1006:BF1006),$AM$1006:$BM$1006,0)))),"Fix")))</f>
        <v xml:space="preserve"> </v>
      </c>
      <c r="V254" s="4" t="str">
        <f ca="1">IF(OR(INDEX($AG$2:$AG$1001,MATCH(ROWS($AF$2:AF254),$AF$2:$AF$1001,0),1)&gt;=100000,INDEX($AM$1005:$BM$1005,1,MATCH(COLUMNS($AM$1006:BG1006),$AM$1006:$BM$1006,0))&gt;=100000), " ",IF(INDEX($AM$2:$BM$1001,MATCH(ROWS($AF$2:AF254),$AF$2:$AF$1001,0),MATCH(COLUMNS($AM$1006:BG1006),$AM$1006:$BM$1006,0)), HYPERLINK("#",""), HYPERLINK(CONCATENATE("#metadata!", ADDRESS(INDEX($AH$2:$AH$1001,MATCH(ROWS($AF$2:AF254),$AF$2:$AF$1001,0),0), INDEX($AM$1004:$BM$1004,1,MATCH(COLUMNS($AM$1006:BG1006),$AM$1006:$BM$1006,0)))),"Fix")))</f>
        <v xml:space="preserve"> </v>
      </c>
      <c r="W254" s="4" t="str">
        <f ca="1">IF(OR(INDEX($AG$2:$AG$1001,MATCH(ROWS($AF$2:AF254),$AF$2:$AF$1001,0),1)&gt;=100000,INDEX($AM$1005:$BM$1005,1,MATCH(COLUMNS($AM$1006:BH1006),$AM$1006:$BM$1006,0))&gt;=100000), " ",IF(INDEX($AM$2:$BM$1001,MATCH(ROWS($AF$2:AF254),$AF$2:$AF$1001,0),MATCH(COLUMNS($AM$1006:BH1006),$AM$1006:$BM$1006,0)), HYPERLINK("#",""), HYPERLINK(CONCATENATE("#metadata!", ADDRESS(INDEX($AH$2:$AH$1001,MATCH(ROWS($AF$2:AF254),$AF$2:$AF$1001,0),0), INDEX($AM$1004:$BM$1004,1,MATCH(COLUMNS($AM$1006:BH1006),$AM$1006:$BM$1006,0)))),"Fix")))</f>
        <v xml:space="preserve"> </v>
      </c>
      <c r="X254" s="4" t="str">
        <f ca="1">IF(OR(INDEX($AG$2:$AG$1001,MATCH(ROWS($AF$2:AF254),$AF$2:$AF$1001,0),1)&gt;=100000,INDEX($AM$1005:$BM$1005,1,MATCH(COLUMNS($AM$1006:BI1006),$AM$1006:$BM$1006,0))&gt;=100000), " ",IF(INDEX($AM$2:$BM$1001,MATCH(ROWS($AF$2:AF254),$AF$2:$AF$1001,0),MATCH(COLUMNS($AM$1006:BI1006),$AM$1006:$BM$1006,0)), HYPERLINK("#",""), HYPERLINK(CONCATENATE("#metadata!", ADDRESS(INDEX($AH$2:$AH$1001,MATCH(ROWS($AF$2:AF254),$AF$2:$AF$1001,0),0), INDEX($AM$1004:$BM$1004,1,MATCH(COLUMNS($AM$1006:BI1006),$AM$1006:$BM$1006,0)))),"Fix")))</f>
        <v xml:space="preserve"> </v>
      </c>
      <c r="Y254" s="4" t="str">
        <f ca="1">IF(OR(INDEX($AG$2:$AG$1001,MATCH(ROWS($AF$2:AF254),$AF$2:$AF$1001,0),1)&gt;=100000,INDEX($AM$1005:$BM$1005,1,MATCH(COLUMNS($AM$1006:BJ1006),$AM$1006:$BM$1006,0))&gt;=100000), " ",IF(INDEX($AM$2:$BM$1001,MATCH(ROWS($AF$2:AF254),$AF$2:$AF$1001,0),MATCH(COLUMNS($AM$1006:BJ1006),$AM$1006:$BM$1006,0)), HYPERLINK("#",""), HYPERLINK(CONCATENATE("#metadata!", ADDRESS(INDEX($AH$2:$AH$1001,MATCH(ROWS($AF$2:AF254),$AF$2:$AF$1001,0),0), INDEX($AM$1004:$BM$1004,1,MATCH(COLUMNS($AM$1006:BJ1006),$AM$1006:$BM$1006,0)))),"Fix")))</f>
        <v xml:space="preserve"> </v>
      </c>
      <c r="Z254" s="4" t="str">
        <f ca="1">IF(OR(INDEX($AG$2:$AG$1001,MATCH(ROWS($AF$2:AF254),$AF$2:$AF$1001,0),1)&gt;=100000,INDEX($AM$1005:$BM$1005,1,MATCH(COLUMNS($AM$1006:BK1006),$AM$1006:$BM$1006,0))&gt;=100000), " ",IF(INDEX($AM$2:$BM$1001,MATCH(ROWS($AF$2:AF254),$AF$2:$AF$1001,0),MATCH(COLUMNS($AM$1006:BK1006),$AM$1006:$BM$1006,0)), HYPERLINK("#",""), HYPERLINK(CONCATENATE("#metadata!", ADDRESS(INDEX($AH$2:$AH$1001,MATCH(ROWS($AF$2:AF254),$AF$2:$AF$1001,0),0), INDEX($AM$1004:$BM$1004,1,MATCH(COLUMNS($AM$1006:BK1006),$AM$1006:$BM$1006,0)))),"Fix")))</f>
        <v xml:space="preserve"> </v>
      </c>
      <c r="AA254" s="4" t="str">
        <f ca="1">IF(OR(INDEX($AG$2:$AG$1001,MATCH(ROWS($AF$2:AF254),$AF$2:$AF$1001,0),1)&gt;=100000,INDEX($AM$1005:$BM$1005,1,MATCH(COLUMNS($AM$1006:BL1006),$AM$1006:$BM$1006,0))&gt;=100000), " ",IF(INDEX($AM$2:$BM$1001,MATCH(ROWS($AF$2:AF254),$AF$2:$AF$1001,0),MATCH(COLUMNS($AM$1006:BL1006),$AM$1006:$BM$1006,0)), HYPERLINK("#",""), HYPERLINK(CONCATENATE("#metadata!", ADDRESS(INDEX($AH$2:$AH$1001,MATCH(ROWS($AF$2:AF254),$AF$2:$AF$1001,0),0), INDEX($AM$1004:$BM$1004,1,MATCH(COLUMNS($AM$1006:BL1006),$AM$1006:$BM$1006,0)))),"Fix")))</f>
        <v xml:space="preserve"> </v>
      </c>
      <c r="AB254" s="4" t="str">
        <f ca="1">IF(OR(INDEX($AG$2:$AG$1001,MATCH(ROWS($AF$2:AF254),$AF$2:$AF$1001,0),1)&gt;=100000,INDEX($AM$1005:$BM$1005,1,MATCH(COLUMNS($AM$1006:BM1006),$AM$1006:$BM$1006,0))&gt;=100000), " ",IF(INDEX($AM$2:$BM$1001,MATCH(ROWS($AF$2:AF254),$AF$2:$AF$1001,0),MATCH(COLUMNS($AM$1006:BM1006),$AM$1006:$BM$1006,0)), HYPERLINK("#",""), HYPERLINK(CONCATENATE("#metadata!", ADDRESS(INDEX($AH$2:$AH$1001,MATCH(ROWS($AF$2:AF254),$AF$2:$AF$1001,0),0), INDEX($AM$1004:$BM$1004,1,MATCH(COLUMNS($AM$1006:BM1006),$AM$1006:$BM$1006,0)))),"Fix")))</f>
        <v xml:space="preserve"> </v>
      </c>
      <c r="AF254">
        <v>253</v>
      </c>
      <c r="AG254">
        <v>100254</v>
      </c>
      <c r="AH254">
        <v>254</v>
      </c>
      <c r="AI254" t="b">
        <f t="shared" si="3"/>
        <v>1</v>
      </c>
      <c r="AJ254" t="b">
        <f>COUNTBLANK(metadata!B254:AB254)=COLUMNS(metadata!B254:AB254)</f>
        <v>1</v>
      </c>
      <c r="AK254" t="str">
        <v/>
      </c>
      <c r="AM254" t="b">
        <f ca="1">AND(IF(metadata!B254="",FALSE,TRUE),COUNTIF(metadata!B:B, metadata!B254) = 1,NOT(ISERROR(SUMPRODUCT(SEARCH(MID(metadata!B254,ROW(INDIRECT("1:"&amp;LEN(metadata!B254))), 1),"0123456789abcdefghijklmnopqrstuvwxyzABCDEFGHIJKLMNOPQRSTUVWXYZ.")))))</f>
        <v>0</v>
      </c>
      <c r="AN254" t="b">
        <f ca="1">OR(AND(IF(metadata!C254="",FALSE,TRUE),OR(EXACT(metadata!C254,"missing: not collected"),EXACT(metadata!C254,"missing: not provided"),EXACT(metadata!C254,"missing: restricted access"))),AND(IF(metadata!C254="",FALSE,TRUE),AND(AND(IFERROR(INT(LEFT(metadata!C254,4))&gt;1900,FALSE),IFERROR(INT(LEFT(metadata!C254,4))&lt;=YEAR(NOW()),FALSE)), OR(MID(metadata!C254,5,1)="", AND(AND(MID(metadata!C254,5,1)="-",IFERROR(INT(MID(metadata!C254,6,1))&gt;=0,FALSE),IFERROR(INT(MID(metadata!C254,6,1))&lt;=1,FALSE),NOT(MID(metadata!C254,7,1)=""),IFERROR(INT(MID(metadata!C254,6,2))&gt;=1,FALSE),IFERROR(INT(MID(metadata!C254,6,2))&lt;=12,FALSE)), OR(MID(metadata!C254,8,1)="", AND(AND(MID(metadata!C254,8,1)="-",IFERROR(INT(MID(metadata!C254,9,1))&gt;=0,FALSE),IFERROR(INT(MID(metadata!C254,9,1))&lt;=3,FALSE),NOT(MID(metadata!C254,10,1)=""),IFERROR(INT(MID(metadata!C254,9,2))&gt;=1,FALSE),IFERROR(INT(MID(metadata!C254,9,2))&lt;=31,FALSE)), OR(MID(metadata!C254,11,1)="", AND(AND(MID(metadata!C254,11,1)=" ",IFERROR(INT(MID(metadata!C254,12,1))&gt;=0,FALSE),IFERROR(INT(MID(metadata!C254,12,1))&lt;=2,FALSE),NOT(MID(metadata!C254,13,1)=""),IFERROR(INT(MID(metadata!C254,12,2))&gt;=0,FALSE),IFERROR(INT(MID(metadata!C254,12,2))&lt;=23,FALSE)), OR(MID(metadata!C254,14,1)="", AND(AND(MID(metadata!C254,14,1)=":",IFERROR(INT(MID(metadata!C254,15,1))&gt;=0,FALSE),IFERROR(INT(MID(metadata!C254,15,1))&lt;=5,FALSE),NOT(MID(metadata!C254,16,1)=""),IFERROR(INT(MID(metadata!C254,15,2))&gt;=0,FALSE),IFERROR(INT(MID(metadata!C254,15,2))&lt;=59,FALSE)), OR(MID(metadata!C254,17,1)="", AND(AND(MID(metadata!C254,17,1)=":",IFERROR(INT(MID(metadata!C254,18,1))&gt;=0,FALSE),IFERROR(INT(MID(metadata!C254,18,1))&lt;=5,FALSE),NOT(MID(metadata!C254,19,1)=""),IFERROR(INT(MID(metadata!C254,18,2))&gt;=0,FALSE),IFERROR(INT(MID(metadata!C254,18,2))&lt;=59,FALSE)), LEN(metadata!C254)&lt;=19)))))))))))))</f>
        <v>0</v>
      </c>
      <c r="AO254" t="b">
        <f>AND(IF(metadata!D254="",FALSE,TRUE),EXACT(metadata!D254,"Not applicable"))</f>
        <v>0</v>
      </c>
      <c r="AP254" t="b">
        <f>IF(metadata!E254="",FALSE,TRUE)</f>
        <v>0</v>
      </c>
      <c r="AQ254" t="b">
        <f>OR(AND(IF(metadata!F254="",FALSE,TRUE),OR(EXACT(metadata!F254,"missing: not collected"),EXACT(metadata!F254,"missing: not provided"))),AND(IF(metadata!F254="",FALSE,TRUE),OR(EXACT(metadata!F254,"TRUE"),EXACT(metadata!F254,"FALSE"))))</f>
        <v>0</v>
      </c>
      <c r="AR254" t="b">
        <f>OR(AND(IF(metadata!G254="",FALSE,TRUE),OR(EXACT(metadata!G254,"missing: not collected"),EXACT(metadata!G254,"missing: not provided"),EXACT(metadata!G254,"missing: restricted access"))),AND(IF(metadata!G254="",FALSE,ISNUMBER(VALUE(metadata!G254))),metadata!G254&gt;=-413))</f>
        <v>0</v>
      </c>
      <c r="AS254" t="b">
        <f>AND(IF(metadata!H254="",FALSE,TRUE),EXACT(metadata!H254,"meters"))</f>
        <v>0</v>
      </c>
      <c r="AT254" t="b">
        <f>AND(IF(metadata!I254="",FALSE,TRUE),OR(EXACT(metadata!I254,"Host-associated"),EXACT(metadata!I254,"Free-living")))</f>
        <v>0</v>
      </c>
      <c r="AU254" t="b">
        <f>AND(IF(metadata!J254="",FALSE,TRUE),OR(EXACT(metadata!J254,"Animal"),EXACT(metadata!J254,"Fungus"),EXACT(metadata!J254,"Plant"),EXACT(metadata!J254,"Saline"),EXACT(metadata!J254,"Non-saline")))</f>
        <v>0</v>
      </c>
      <c r="AV254" t="b">
        <f>AND(IF(metadata!K254="",FALSE,TRUE),OR(EXACT(metadata!K254,"Plant secretion"),EXACT(metadata!K254,"Plant rhizosphere"),EXACT(metadata!K254,"Plant surface"),EXACT(metadata!K254,"Plant corpus"),EXACT(metadata!K254,"Fungus surface"),EXACT(metadata!K254,"Fungus corpus"),EXACT(metadata!K254,"Animal surface"),EXACT(metadata!K254,"Animal proximal gut"),EXACT(metadata!K254,"Animal corpus"),EXACT(metadata!K254,"Animal distal gut"),EXACT(metadata!K254,"Animal secretion"),EXACT(metadata!K254,"Sub-surface (non-saline)"),EXACT(metadata!K254,"Surface (non-saline)"),EXACT(metadata!K254,"Water (non-saline)"),EXACT(metadata!K254,"Soil (non-saline)"),EXACT(metadata!K254,"Aerosol (non-saline)"),EXACT(metadata!K254,"Sediment (non-saline)"),EXACT(metadata!K254,"Surface (saline)"),EXACT(metadata!K254,"Water (saline)"),EXACT(metadata!K254,"Hypersaline (saline)"),EXACT(metadata!K254,"Aerosol (saline)"),EXACT(metadata!K254,"Sediment (saline)")))</f>
        <v>0</v>
      </c>
      <c r="AW254" t="b">
        <f>IF(metadata!L254="",FALSE,TRUE)</f>
        <v>0</v>
      </c>
      <c r="AX254" t="b">
        <f>IF(metadata!M254="",FALSE,TRUE)</f>
        <v>0</v>
      </c>
      <c r="AY254" t="b">
        <f>IF(metadata!N254="",FALSE,TRUE)</f>
        <v>0</v>
      </c>
      <c r="AZ254" t="b">
        <f>OR(AND(IF(metadata!O254="",FALSE,TRUE),OR(EXACT(metadata!O254,"missing: not collected"),EXACT(metadata!O254,"missing: not provided"),EXACT(metadata!O254,"missing: restricted access"))),AND(IF(metadata!O254="",FALSE,TRUE),OR(EXACT(metadata!O254,"air"),EXACT(metadata!O254,"built environment"),EXACT(metadata!O254,"host-associated"),EXACT(metadata!O254,"human-associated"),EXACT(metadata!O254,"human-skin"),EXACT(metadata!O254,"human-oral"),EXACT(metadata!O254,"human-gut"),EXACT(metadata!O254,"human-vaginal"),EXACT(metadata!O254,"microbial mat/biofilm"),EXACT(metadata!O254,"misc environment"),EXACT(metadata!O254,"plant-associated"),EXACT(metadata!O254,"sediment"),EXACT(metadata!O254,"soil"),EXACT(metadata!O254,"wastewater/sludge"),EXACT(metadata!O254,"water"))))</f>
        <v>0</v>
      </c>
      <c r="BA254" t="b">
        <f>IF(metadata!P254="",FALSE,TRUE)</f>
        <v>0</v>
      </c>
      <c r="BB254" t="b">
        <f>IF(metadata!Q254="",FALSE,TRUE)</f>
        <v>0</v>
      </c>
      <c r="BC254" t="b">
        <f>OR(AND(IF(metadata!R254="",FALSE,TRUE),OR(EXACT(metadata!R254,"missing: not collected"),EXACT(metadata!R254,"missing: not provided"),EXACT(metadata!R254,"missing: restricted access"))),AND(IF(metadata!R254="",FALSE,ISNUMBER(VALUE(metadata!R254))),metadata!R254&gt;=-90,metadata!R254&lt;=90))</f>
        <v>0</v>
      </c>
      <c r="BD254" t="b">
        <f>AND(IF(metadata!S254="",FALSE,TRUE),EXACT(metadata!S254,"Decimal degrees"))</f>
        <v>0</v>
      </c>
      <c r="BE254" t="b">
        <f>OR(AND(IF(metadata!T254="",FALSE,TRUE),OR(EXACT(metadata!T254,"missing: not collected"),EXACT(metadata!T254,"missing: not provided"),EXACT(metadata!T254,"missing: restricted access"))),AND(IF(metadata!T254="",FALSE,ISNUMBER(VALUE(metadata!T254))),metadata!T254&gt;=-180,metadata!T254&lt;=180))</f>
        <v>0</v>
      </c>
      <c r="BF254" t="b">
        <f>AND(IF(metadata!U254="",FALSE,TRUE),EXACT(metadata!U254,"Decimal degrees"))</f>
        <v>0</v>
      </c>
      <c r="BG254" t="b">
        <f>IF(metadata!V254="",FALSE,TRUE)</f>
        <v>0</v>
      </c>
      <c r="BH254" t="b">
        <f>OR(AND(IF(metadata!W254="",FALSE,TRUE),OR(EXACT(metadata!W254,"missing: not collected"),EXACT(metadata!W254,"missing: not provided"),EXACT(metadata!W254,"missing: restricted access"))),AND(IF(metadata!W254="",FALSE,TRUE),OR(EXACT(metadata!W254,"TRUE"),EXACT(metadata!W254,"FALSE"))))</f>
        <v>0</v>
      </c>
      <c r="BI254" t="b">
        <f>AND(IF(metadata!X254="",FALSE,TRUE),EXACT(metadata!X254,"other"))</f>
        <v>0</v>
      </c>
      <c r="BJ254" t="b">
        <f>IF(metadata!Y254="",FALSE,TRUE)</f>
        <v>0</v>
      </c>
      <c r="BK254" t="b">
        <f>OR(AND(IF(metadata!Z254="",FALSE,TRUE),OR(EXACT(metadata!Z254,"missing: not collected"),EXACT(metadata!Z254,"missing: not provided"))),AND(IF(metadata!Z254="",FALSE,IF(ISERROR(INT(metadata!Z254)),FALSE,INT(metadata!Z254)=metadata!Z254)),metadata!Z254&gt;0))</f>
        <v>0</v>
      </c>
      <c r="BL254" t="b">
        <f>AND(IF(metadata!AA254="",FALSE,TRUE),EXACT(metadata!AA254,"Not applicable"))</f>
        <v>0</v>
      </c>
      <c r="BM254" t="b">
        <f>IF(metadata!AB254="",FALSE,TRUE)</f>
        <v>0</v>
      </c>
    </row>
    <row r="255" spans="1:65" x14ac:dyDescent="0.2">
      <c r="A255" s="5" t="str">
        <f ca="1">IF(B255=" "," ",HYPERLINK(CONCATENATE("#metadata!",ADDRESS(INDEX($AH$2:$AH$1001,MATCH(ROWS($AF$2:AF255),$AF$2:$AF$1001,0),0),1)),INDEX($AK$2:$AK$1001,MATCH(ROWS($AF$2:AF255),$AF$2:$AF$1001,0),0)))</f>
        <v xml:space="preserve"> </v>
      </c>
      <c r="B255" s="4" t="str">
        <f ca="1">IF(OR(INDEX($AG$2:$AG$1001,MATCH(ROWS($AF$2:AF255),$AF$2:$AF$1001,0),1)&gt;=100000,INDEX($AM$1005:$BM$1005,1,MATCH(COLUMNS($AM$1006:AM1006),$AM$1006:$BM$1006,0))&gt;=100000), " ",IF(INDEX($AM$2:$BM$1001,MATCH(ROWS($AF$2:AF255),$AF$2:$AF$1001,0),MATCH(COLUMNS($AM$1006:AM1006),$AM$1006:$BM$1006,0)), HYPERLINK("#",""), HYPERLINK(CONCATENATE("#metadata!", ADDRESS(INDEX($AH$2:$AH$1001,MATCH(ROWS($AF$2:AF255),$AF$2:$AF$1001,0),0), INDEX($AM$1004:$BM$1004,1,MATCH(COLUMNS($AM$1006:AM1006),$AM$1006:$BM$1006,0)))),"Fix")))</f>
        <v xml:space="preserve"> </v>
      </c>
      <c r="C255" s="4" t="str">
        <f ca="1">IF(OR(INDEX($AG$2:$AG$1001,MATCH(ROWS($AF$2:AF255),$AF$2:$AF$1001,0),1)&gt;=100000,INDEX($AM$1005:$BM$1005,1,MATCH(COLUMNS($AM$1006:AN1006),$AM$1006:$BM$1006,0))&gt;=100000), " ",IF(INDEX($AM$2:$BM$1001,MATCH(ROWS($AF$2:AF255),$AF$2:$AF$1001,0),MATCH(COLUMNS($AM$1006:AN1006),$AM$1006:$BM$1006,0)), HYPERLINK("#",""), HYPERLINK(CONCATENATE("#metadata!", ADDRESS(INDEX($AH$2:$AH$1001,MATCH(ROWS($AF$2:AF255),$AF$2:$AF$1001,0),0), INDEX($AM$1004:$BM$1004,1,MATCH(COLUMNS($AM$1006:AN1006),$AM$1006:$BM$1006,0)))),"Fix")))</f>
        <v xml:space="preserve"> </v>
      </c>
      <c r="D255" s="4" t="str">
        <f ca="1">IF(OR(INDEX($AG$2:$AG$1001,MATCH(ROWS($AF$2:AF255),$AF$2:$AF$1001,0),1)&gt;=100000,INDEX($AM$1005:$BM$1005,1,MATCH(COLUMNS($AM$1006:AO1006),$AM$1006:$BM$1006,0))&gt;=100000), " ",IF(INDEX($AM$2:$BM$1001,MATCH(ROWS($AF$2:AF255),$AF$2:$AF$1001,0),MATCH(COLUMNS($AM$1006:AO1006),$AM$1006:$BM$1006,0)), HYPERLINK("#",""), HYPERLINK(CONCATENATE("#metadata!", ADDRESS(INDEX($AH$2:$AH$1001,MATCH(ROWS($AF$2:AF255),$AF$2:$AF$1001,0),0), INDEX($AM$1004:$BM$1004,1,MATCH(COLUMNS($AM$1006:AO1006),$AM$1006:$BM$1006,0)))),"Fix")))</f>
        <v xml:space="preserve"> </v>
      </c>
      <c r="E255" s="4" t="str">
        <f ca="1">IF(OR(INDEX($AG$2:$AG$1001,MATCH(ROWS($AF$2:AF255),$AF$2:$AF$1001,0),1)&gt;=100000,INDEX($AM$1005:$BM$1005,1,MATCH(COLUMNS($AM$1006:AP1006),$AM$1006:$BM$1006,0))&gt;=100000), " ",IF(INDEX($AM$2:$BM$1001,MATCH(ROWS($AF$2:AF255),$AF$2:$AF$1001,0),MATCH(COLUMNS($AM$1006:AP1006),$AM$1006:$BM$1006,0)), HYPERLINK("#",""), HYPERLINK(CONCATENATE("#metadata!", ADDRESS(INDEX($AH$2:$AH$1001,MATCH(ROWS($AF$2:AF255),$AF$2:$AF$1001,0),0), INDEX($AM$1004:$BM$1004,1,MATCH(COLUMNS($AM$1006:AP1006),$AM$1006:$BM$1006,0)))),"Fix")))</f>
        <v xml:space="preserve"> </v>
      </c>
      <c r="F255" s="4" t="str">
        <f ca="1">IF(OR(INDEX($AG$2:$AG$1001,MATCH(ROWS($AF$2:AF255),$AF$2:$AF$1001,0),1)&gt;=100000,INDEX($AM$1005:$BM$1005,1,MATCH(COLUMNS($AM$1006:AQ1006),$AM$1006:$BM$1006,0))&gt;=100000), " ",IF(INDEX($AM$2:$BM$1001,MATCH(ROWS($AF$2:AF255),$AF$2:$AF$1001,0),MATCH(COLUMNS($AM$1006:AQ1006),$AM$1006:$BM$1006,0)), HYPERLINK("#",""), HYPERLINK(CONCATENATE("#metadata!", ADDRESS(INDEX($AH$2:$AH$1001,MATCH(ROWS($AF$2:AF255),$AF$2:$AF$1001,0),0), INDEX($AM$1004:$BM$1004,1,MATCH(COLUMNS($AM$1006:AQ1006),$AM$1006:$BM$1006,0)))),"Fix")))</f>
        <v xml:space="preserve"> </v>
      </c>
      <c r="G255" s="4" t="str">
        <f ca="1">IF(OR(INDEX($AG$2:$AG$1001,MATCH(ROWS($AF$2:AF255),$AF$2:$AF$1001,0),1)&gt;=100000,INDEX($AM$1005:$BM$1005,1,MATCH(COLUMNS($AM$1006:AR1006),$AM$1006:$BM$1006,0))&gt;=100000), " ",IF(INDEX($AM$2:$BM$1001,MATCH(ROWS($AF$2:AF255),$AF$2:$AF$1001,0),MATCH(COLUMNS($AM$1006:AR1006),$AM$1006:$BM$1006,0)), HYPERLINK("#",""), HYPERLINK(CONCATENATE("#metadata!", ADDRESS(INDEX($AH$2:$AH$1001,MATCH(ROWS($AF$2:AF255),$AF$2:$AF$1001,0),0), INDEX($AM$1004:$BM$1004,1,MATCH(COLUMNS($AM$1006:AR1006),$AM$1006:$BM$1006,0)))),"Fix")))</f>
        <v xml:space="preserve"> </v>
      </c>
      <c r="H255" s="4" t="str">
        <f ca="1">IF(OR(INDEX($AG$2:$AG$1001,MATCH(ROWS($AF$2:AF255),$AF$2:$AF$1001,0),1)&gt;=100000,INDEX($AM$1005:$BM$1005,1,MATCH(COLUMNS($AM$1006:AS1006),$AM$1006:$BM$1006,0))&gt;=100000), " ",IF(INDEX($AM$2:$BM$1001,MATCH(ROWS($AF$2:AF255),$AF$2:$AF$1001,0),MATCH(COLUMNS($AM$1006:AS1006),$AM$1006:$BM$1006,0)), HYPERLINK("#",""), HYPERLINK(CONCATENATE("#metadata!", ADDRESS(INDEX($AH$2:$AH$1001,MATCH(ROWS($AF$2:AF255),$AF$2:$AF$1001,0),0), INDEX($AM$1004:$BM$1004,1,MATCH(COLUMNS($AM$1006:AS1006),$AM$1006:$BM$1006,0)))),"Fix")))</f>
        <v xml:space="preserve"> </v>
      </c>
      <c r="I255" s="4" t="str">
        <f ca="1">IF(OR(INDEX($AG$2:$AG$1001,MATCH(ROWS($AF$2:AF255),$AF$2:$AF$1001,0),1)&gt;=100000,INDEX($AM$1005:$BM$1005,1,MATCH(COLUMNS($AM$1006:AT1006),$AM$1006:$BM$1006,0))&gt;=100000), " ",IF(INDEX($AM$2:$BM$1001,MATCH(ROWS($AF$2:AF255),$AF$2:$AF$1001,0),MATCH(COLUMNS($AM$1006:AT1006),$AM$1006:$BM$1006,0)), HYPERLINK("#",""), HYPERLINK(CONCATENATE("#metadata!", ADDRESS(INDEX($AH$2:$AH$1001,MATCH(ROWS($AF$2:AF255),$AF$2:$AF$1001,0),0), INDEX($AM$1004:$BM$1004,1,MATCH(COLUMNS($AM$1006:AT1006),$AM$1006:$BM$1006,0)))),"Fix")))</f>
        <v xml:space="preserve"> </v>
      </c>
      <c r="J255" s="4" t="str">
        <f ca="1">IF(OR(INDEX($AG$2:$AG$1001,MATCH(ROWS($AF$2:AF255),$AF$2:$AF$1001,0),1)&gt;=100000,INDEX($AM$1005:$BM$1005,1,MATCH(COLUMNS($AM$1006:AU1006),$AM$1006:$BM$1006,0))&gt;=100000), " ",IF(INDEX($AM$2:$BM$1001,MATCH(ROWS($AF$2:AF255),$AF$2:$AF$1001,0),MATCH(COLUMNS($AM$1006:AU1006),$AM$1006:$BM$1006,0)), HYPERLINK("#",""), HYPERLINK(CONCATENATE("#metadata!", ADDRESS(INDEX($AH$2:$AH$1001,MATCH(ROWS($AF$2:AF255),$AF$2:$AF$1001,0),0), INDEX($AM$1004:$BM$1004,1,MATCH(COLUMNS($AM$1006:AU1006),$AM$1006:$BM$1006,0)))),"Fix")))</f>
        <v xml:space="preserve"> </v>
      </c>
      <c r="K255" s="4" t="str">
        <f ca="1">IF(OR(INDEX($AG$2:$AG$1001,MATCH(ROWS($AF$2:AF255),$AF$2:$AF$1001,0),1)&gt;=100000,INDEX($AM$1005:$BM$1005,1,MATCH(COLUMNS($AM$1006:AV1006),$AM$1006:$BM$1006,0))&gt;=100000), " ",IF(INDEX($AM$2:$BM$1001,MATCH(ROWS($AF$2:AF255),$AF$2:$AF$1001,0),MATCH(COLUMNS($AM$1006:AV1006),$AM$1006:$BM$1006,0)), HYPERLINK("#",""), HYPERLINK(CONCATENATE("#metadata!", ADDRESS(INDEX($AH$2:$AH$1001,MATCH(ROWS($AF$2:AF255),$AF$2:$AF$1001,0),0), INDEX($AM$1004:$BM$1004,1,MATCH(COLUMNS($AM$1006:AV1006),$AM$1006:$BM$1006,0)))),"Fix")))</f>
        <v xml:space="preserve"> </v>
      </c>
      <c r="L255" s="4" t="str">
        <f ca="1">IF(OR(INDEX($AG$2:$AG$1001,MATCH(ROWS($AF$2:AF255),$AF$2:$AF$1001,0),1)&gt;=100000,INDEX($AM$1005:$BM$1005,1,MATCH(COLUMNS($AM$1006:AW1006),$AM$1006:$BM$1006,0))&gt;=100000), " ",IF(INDEX($AM$2:$BM$1001,MATCH(ROWS($AF$2:AF255),$AF$2:$AF$1001,0),MATCH(COLUMNS($AM$1006:AW1006),$AM$1006:$BM$1006,0)), HYPERLINK("#",""), HYPERLINK(CONCATENATE("#metadata!", ADDRESS(INDEX($AH$2:$AH$1001,MATCH(ROWS($AF$2:AF255),$AF$2:$AF$1001,0),0), INDEX($AM$1004:$BM$1004,1,MATCH(COLUMNS($AM$1006:AW1006),$AM$1006:$BM$1006,0)))),"Fix")))</f>
        <v xml:space="preserve"> </v>
      </c>
      <c r="M255" s="4" t="str">
        <f ca="1">IF(OR(INDEX($AG$2:$AG$1001,MATCH(ROWS($AF$2:AF255),$AF$2:$AF$1001,0),1)&gt;=100000,INDEX($AM$1005:$BM$1005,1,MATCH(COLUMNS($AM$1006:AX1006),$AM$1006:$BM$1006,0))&gt;=100000), " ",IF(INDEX($AM$2:$BM$1001,MATCH(ROWS($AF$2:AF255),$AF$2:$AF$1001,0),MATCH(COLUMNS($AM$1006:AX1006),$AM$1006:$BM$1006,0)), HYPERLINK("#",""), HYPERLINK(CONCATENATE("#metadata!", ADDRESS(INDEX($AH$2:$AH$1001,MATCH(ROWS($AF$2:AF255),$AF$2:$AF$1001,0),0), INDEX($AM$1004:$BM$1004,1,MATCH(COLUMNS($AM$1006:AX1006),$AM$1006:$BM$1006,0)))),"Fix")))</f>
        <v xml:space="preserve"> </v>
      </c>
      <c r="N255" s="4" t="str">
        <f ca="1">IF(OR(INDEX($AG$2:$AG$1001,MATCH(ROWS($AF$2:AF255),$AF$2:$AF$1001,0),1)&gt;=100000,INDEX($AM$1005:$BM$1005,1,MATCH(COLUMNS($AM$1006:AY1006),$AM$1006:$BM$1006,0))&gt;=100000), " ",IF(INDEX($AM$2:$BM$1001,MATCH(ROWS($AF$2:AF255),$AF$2:$AF$1001,0),MATCH(COLUMNS($AM$1006:AY1006),$AM$1006:$BM$1006,0)), HYPERLINK("#",""), HYPERLINK(CONCATENATE("#metadata!", ADDRESS(INDEX($AH$2:$AH$1001,MATCH(ROWS($AF$2:AF255),$AF$2:$AF$1001,0),0), INDEX($AM$1004:$BM$1004,1,MATCH(COLUMNS($AM$1006:AY1006),$AM$1006:$BM$1006,0)))),"Fix")))</f>
        <v xml:space="preserve"> </v>
      </c>
      <c r="O255" s="4" t="str">
        <f ca="1">IF(OR(INDEX($AG$2:$AG$1001,MATCH(ROWS($AF$2:AF255),$AF$2:$AF$1001,0),1)&gt;=100000,INDEX($AM$1005:$BM$1005,1,MATCH(COLUMNS($AM$1006:AZ1006),$AM$1006:$BM$1006,0))&gt;=100000), " ",IF(INDEX($AM$2:$BM$1001,MATCH(ROWS($AF$2:AF255),$AF$2:$AF$1001,0),MATCH(COLUMNS($AM$1006:AZ1006),$AM$1006:$BM$1006,0)), HYPERLINK("#",""), HYPERLINK(CONCATENATE("#metadata!", ADDRESS(INDEX($AH$2:$AH$1001,MATCH(ROWS($AF$2:AF255),$AF$2:$AF$1001,0),0), INDEX($AM$1004:$BM$1004,1,MATCH(COLUMNS($AM$1006:AZ1006),$AM$1006:$BM$1006,0)))),"Fix")))</f>
        <v xml:space="preserve"> </v>
      </c>
      <c r="P255" s="4" t="str">
        <f ca="1">IF(OR(INDEX($AG$2:$AG$1001,MATCH(ROWS($AF$2:AF255),$AF$2:$AF$1001,0),1)&gt;=100000,INDEX($AM$1005:$BM$1005,1,MATCH(COLUMNS($AM$1006:BA1006),$AM$1006:$BM$1006,0))&gt;=100000), " ",IF(INDEX($AM$2:$BM$1001,MATCH(ROWS($AF$2:AF255),$AF$2:$AF$1001,0),MATCH(COLUMNS($AM$1006:BA1006),$AM$1006:$BM$1006,0)), HYPERLINK("#",""), HYPERLINK(CONCATENATE("#metadata!", ADDRESS(INDEX($AH$2:$AH$1001,MATCH(ROWS($AF$2:AF255),$AF$2:$AF$1001,0),0), INDEX($AM$1004:$BM$1004,1,MATCH(COLUMNS($AM$1006:BA1006),$AM$1006:$BM$1006,0)))),"Fix")))</f>
        <v xml:space="preserve"> </v>
      </c>
      <c r="Q255" s="4" t="str">
        <f ca="1">IF(OR(INDEX($AG$2:$AG$1001,MATCH(ROWS($AF$2:AF255),$AF$2:$AF$1001,0),1)&gt;=100000,INDEX($AM$1005:$BM$1005,1,MATCH(COLUMNS($AM$1006:BB1006),$AM$1006:$BM$1006,0))&gt;=100000), " ",IF(INDEX($AM$2:$BM$1001,MATCH(ROWS($AF$2:AF255),$AF$2:$AF$1001,0),MATCH(COLUMNS($AM$1006:BB1006),$AM$1006:$BM$1006,0)), HYPERLINK("#",""), HYPERLINK(CONCATENATE("#metadata!", ADDRESS(INDEX($AH$2:$AH$1001,MATCH(ROWS($AF$2:AF255),$AF$2:$AF$1001,0),0), INDEX($AM$1004:$BM$1004,1,MATCH(COLUMNS($AM$1006:BB1006),$AM$1006:$BM$1006,0)))),"Fix")))</f>
        <v xml:space="preserve"> </v>
      </c>
      <c r="R255" s="4" t="str">
        <f ca="1">IF(OR(INDEX($AG$2:$AG$1001,MATCH(ROWS($AF$2:AF255),$AF$2:$AF$1001,0),1)&gt;=100000,INDEX($AM$1005:$BM$1005,1,MATCH(COLUMNS($AM$1006:BC1006),$AM$1006:$BM$1006,0))&gt;=100000), " ",IF(INDEX($AM$2:$BM$1001,MATCH(ROWS($AF$2:AF255),$AF$2:$AF$1001,0),MATCH(COLUMNS($AM$1006:BC1006),$AM$1006:$BM$1006,0)), HYPERLINK("#",""), HYPERLINK(CONCATENATE("#metadata!", ADDRESS(INDEX($AH$2:$AH$1001,MATCH(ROWS($AF$2:AF255),$AF$2:$AF$1001,0),0), INDEX($AM$1004:$BM$1004,1,MATCH(COLUMNS($AM$1006:BC1006),$AM$1006:$BM$1006,0)))),"Fix")))</f>
        <v xml:space="preserve"> </v>
      </c>
      <c r="S255" s="4" t="str">
        <f ca="1">IF(OR(INDEX($AG$2:$AG$1001,MATCH(ROWS($AF$2:AF255),$AF$2:$AF$1001,0),1)&gt;=100000,INDEX($AM$1005:$BM$1005,1,MATCH(COLUMNS($AM$1006:BD1006),$AM$1006:$BM$1006,0))&gt;=100000), " ",IF(INDEX($AM$2:$BM$1001,MATCH(ROWS($AF$2:AF255),$AF$2:$AF$1001,0),MATCH(COLUMNS($AM$1006:BD1006),$AM$1006:$BM$1006,0)), HYPERLINK("#",""), HYPERLINK(CONCATENATE("#metadata!", ADDRESS(INDEX($AH$2:$AH$1001,MATCH(ROWS($AF$2:AF255),$AF$2:$AF$1001,0),0), INDEX($AM$1004:$BM$1004,1,MATCH(COLUMNS($AM$1006:BD1006),$AM$1006:$BM$1006,0)))),"Fix")))</f>
        <v xml:space="preserve"> </v>
      </c>
      <c r="T255" s="4" t="str">
        <f ca="1">IF(OR(INDEX($AG$2:$AG$1001,MATCH(ROWS($AF$2:AF255),$AF$2:$AF$1001,0),1)&gt;=100000,INDEX($AM$1005:$BM$1005,1,MATCH(COLUMNS($AM$1006:BE1006),$AM$1006:$BM$1006,0))&gt;=100000), " ",IF(INDEX($AM$2:$BM$1001,MATCH(ROWS($AF$2:AF255),$AF$2:$AF$1001,0),MATCH(COLUMNS($AM$1006:BE1006),$AM$1006:$BM$1006,0)), HYPERLINK("#",""), HYPERLINK(CONCATENATE("#metadata!", ADDRESS(INDEX($AH$2:$AH$1001,MATCH(ROWS($AF$2:AF255),$AF$2:$AF$1001,0),0), INDEX($AM$1004:$BM$1004,1,MATCH(COLUMNS($AM$1006:BE1006),$AM$1006:$BM$1006,0)))),"Fix")))</f>
        <v xml:space="preserve"> </v>
      </c>
      <c r="U255" s="4" t="str">
        <f ca="1">IF(OR(INDEX($AG$2:$AG$1001,MATCH(ROWS($AF$2:AF255),$AF$2:$AF$1001,0),1)&gt;=100000,INDEX($AM$1005:$BM$1005,1,MATCH(COLUMNS($AM$1006:BF1006),$AM$1006:$BM$1006,0))&gt;=100000), " ",IF(INDEX($AM$2:$BM$1001,MATCH(ROWS($AF$2:AF255),$AF$2:$AF$1001,0),MATCH(COLUMNS($AM$1006:BF1006),$AM$1006:$BM$1006,0)), HYPERLINK("#",""), HYPERLINK(CONCATENATE("#metadata!", ADDRESS(INDEX($AH$2:$AH$1001,MATCH(ROWS($AF$2:AF255),$AF$2:$AF$1001,0),0), INDEX($AM$1004:$BM$1004,1,MATCH(COLUMNS($AM$1006:BF1006),$AM$1006:$BM$1006,0)))),"Fix")))</f>
        <v xml:space="preserve"> </v>
      </c>
      <c r="V255" s="4" t="str">
        <f ca="1">IF(OR(INDEX($AG$2:$AG$1001,MATCH(ROWS($AF$2:AF255),$AF$2:$AF$1001,0),1)&gt;=100000,INDEX($AM$1005:$BM$1005,1,MATCH(COLUMNS($AM$1006:BG1006),$AM$1006:$BM$1006,0))&gt;=100000), " ",IF(INDEX($AM$2:$BM$1001,MATCH(ROWS($AF$2:AF255),$AF$2:$AF$1001,0),MATCH(COLUMNS($AM$1006:BG1006),$AM$1006:$BM$1006,0)), HYPERLINK("#",""), HYPERLINK(CONCATENATE("#metadata!", ADDRESS(INDEX($AH$2:$AH$1001,MATCH(ROWS($AF$2:AF255),$AF$2:$AF$1001,0),0), INDEX($AM$1004:$BM$1004,1,MATCH(COLUMNS($AM$1006:BG1006),$AM$1006:$BM$1006,0)))),"Fix")))</f>
        <v xml:space="preserve"> </v>
      </c>
      <c r="W255" s="4" t="str">
        <f ca="1">IF(OR(INDEX($AG$2:$AG$1001,MATCH(ROWS($AF$2:AF255),$AF$2:$AF$1001,0),1)&gt;=100000,INDEX($AM$1005:$BM$1005,1,MATCH(COLUMNS($AM$1006:BH1006),$AM$1006:$BM$1006,0))&gt;=100000), " ",IF(INDEX($AM$2:$BM$1001,MATCH(ROWS($AF$2:AF255),$AF$2:$AF$1001,0),MATCH(COLUMNS($AM$1006:BH1006),$AM$1006:$BM$1006,0)), HYPERLINK("#",""), HYPERLINK(CONCATENATE("#metadata!", ADDRESS(INDEX($AH$2:$AH$1001,MATCH(ROWS($AF$2:AF255),$AF$2:$AF$1001,0),0), INDEX($AM$1004:$BM$1004,1,MATCH(COLUMNS($AM$1006:BH1006),$AM$1006:$BM$1006,0)))),"Fix")))</f>
        <v xml:space="preserve"> </v>
      </c>
      <c r="X255" s="4" t="str">
        <f ca="1">IF(OR(INDEX($AG$2:$AG$1001,MATCH(ROWS($AF$2:AF255),$AF$2:$AF$1001,0),1)&gt;=100000,INDEX($AM$1005:$BM$1005,1,MATCH(COLUMNS($AM$1006:BI1006),$AM$1006:$BM$1006,0))&gt;=100000), " ",IF(INDEX($AM$2:$BM$1001,MATCH(ROWS($AF$2:AF255),$AF$2:$AF$1001,0),MATCH(COLUMNS($AM$1006:BI1006),$AM$1006:$BM$1006,0)), HYPERLINK("#",""), HYPERLINK(CONCATENATE("#metadata!", ADDRESS(INDEX($AH$2:$AH$1001,MATCH(ROWS($AF$2:AF255),$AF$2:$AF$1001,0),0), INDEX($AM$1004:$BM$1004,1,MATCH(COLUMNS($AM$1006:BI1006),$AM$1006:$BM$1006,0)))),"Fix")))</f>
        <v xml:space="preserve"> </v>
      </c>
      <c r="Y255" s="4" t="str">
        <f ca="1">IF(OR(INDEX($AG$2:$AG$1001,MATCH(ROWS($AF$2:AF255),$AF$2:$AF$1001,0),1)&gt;=100000,INDEX($AM$1005:$BM$1005,1,MATCH(COLUMNS($AM$1006:BJ1006),$AM$1006:$BM$1006,0))&gt;=100000), " ",IF(INDEX($AM$2:$BM$1001,MATCH(ROWS($AF$2:AF255),$AF$2:$AF$1001,0),MATCH(COLUMNS($AM$1006:BJ1006),$AM$1006:$BM$1006,0)), HYPERLINK("#",""), HYPERLINK(CONCATENATE("#metadata!", ADDRESS(INDEX($AH$2:$AH$1001,MATCH(ROWS($AF$2:AF255),$AF$2:$AF$1001,0),0), INDEX($AM$1004:$BM$1004,1,MATCH(COLUMNS($AM$1006:BJ1006),$AM$1006:$BM$1006,0)))),"Fix")))</f>
        <v xml:space="preserve"> </v>
      </c>
      <c r="Z255" s="4" t="str">
        <f ca="1">IF(OR(INDEX($AG$2:$AG$1001,MATCH(ROWS($AF$2:AF255),$AF$2:$AF$1001,0),1)&gt;=100000,INDEX($AM$1005:$BM$1005,1,MATCH(COLUMNS($AM$1006:BK1006),$AM$1006:$BM$1006,0))&gt;=100000), " ",IF(INDEX($AM$2:$BM$1001,MATCH(ROWS($AF$2:AF255),$AF$2:$AF$1001,0),MATCH(COLUMNS($AM$1006:BK1006),$AM$1006:$BM$1006,0)), HYPERLINK("#",""), HYPERLINK(CONCATENATE("#metadata!", ADDRESS(INDEX($AH$2:$AH$1001,MATCH(ROWS($AF$2:AF255),$AF$2:$AF$1001,0),0), INDEX($AM$1004:$BM$1004,1,MATCH(COLUMNS($AM$1006:BK1006),$AM$1006:$BM$1006,0)))),"Fix")))</f>
        <v xml:space="preserve"> </v>
      </c>
      <c r="AA255" s="4" t="str">
        <f ca="1">IF(OR(INDEX($AG$2:$AG$1001,MATCH(ROWS($AF$2:AF255),$AF$2:$AF$1001,0),1)&gt;=100000,INDEX($AM$1005:$BM$1005,1,MATCH(COLUMNS($AM$1006:BL1006),$AM$1006:$BM$1006,0))&gt;=100000), " ",IF(INDEX($AM$2:$BM$1001,MATCH(ROWS($AF$2:AF255),$AF$2:$AF$1001,0),MATCH(COLUMNS($AM$1006:BL1006),$AM$1006:$BM$1006,0)), HYPERLINK("#",""), HYPERLINK(CONCATENATE("#metadata!", ADDRESS(INDEX($AH$2:$AH$1001,MATCH(ROWS($AF$2:AF255),$AF$2:$AF$1001,0),0), INDEX($AM$1004:$BM$1004,1,MATCH(COLUMNS($AM$1006:BL1006),$AM$1006:$BM$1006,0)))),"Fix")))</f>
        <v xml:space="preserve"> </v>
      </c>
      <c r="AB255" s="4" t="str">
        <f ca="1">IF(OR(INDEX($AG$2:$AG$1001,MATCH(ROWS($AF$2:AF255),$AF$2:$AF$1001,0),1)&gt;=100000,INDEX($AM$1005:$BM$1005,1,MATCH(COLUMNS($AM$1006:BM1006),$AM$1006:$BM$1006,0))&gt;=100000), " ",IF(INDEX($AM$2:$BM$1001,MATCH(ROWS($AF$2:AF255),$AF$2:$AF$1001,0),MATCH(COLUMNS($AM$1006:BM1006),$AM$1006:$BM$1006,0)), HYPERLINK("#",""), HYPERLINK(CONCATENATE("#metadata!", ADDRESS(INDEX($AH$2:$AH$1001,MATCH(ROWS($AF$2:AF255),$AF$2:$AF$1001,0),0), INDEX($AM$1004:$BM$1004,1,MATCH(COLUMNS($AM$1006:BM1006),$AM$1006:$BM$1006,0)))),"Fix")))</f>
        <v xml:space="preserve"> </v>
      </c>
      <c r="AF255">
        <v>254</v>
      </c>
      <c r="AG255">
        <v>100255</v>
      </c>
      <c r="AH255">
        <v>255</v>
      </c>
      <c r="AI255" t="b">
        <f t="shared" si="3"/>
        <v>1</v>
      </c>
      <c r="AJ255" t="b">
        <f>COUNTBLANK(metadata!B255:AB255)=COLUMNS(metadata!B255:AB255)</f>
        <v>1</v>
      </c>
      <c r="AK255" t="str">
        <v/>
      </c>
      <c r="AM255" t="b">
        <f ca="1">AND(IF(metadata!B255="",FALSE,TRUE),COUNTIF(metadata!B:B, metadata!B255) = 1,NOT(ISERROR(SUMPRODUCT(SEARCH(MID(metadata!B255,ROW(INDIRECT("1:"&amp;LEN(metadata!B255))), 1),"0123456789abcdefghijklmnopqrstuvwxyzABCDEFGHIJKLMNOPQRSTUVWXYZ.")))))</f>
        <v>0</v>
      </c>
      <c r="AN255" t="b">
        <f ca="1">OR(AND(IF(metadata!C255="",FALSE,TRUE),OR(EXACT(metadata!C255,"missing: not collected"),EXACT(metadata!C255,"missing: not provided"),EXACT(metadata!C255,"missing: restricted access"))),AND(IF(metadata!C255="",FALSE,TRUE),AND(AND(IFERROR(INT(LEFT(metadata!C255,4))&gt;1900,FALSE),IFERROR(INT(LEFT(metadata!C255,4))&lt;=YEAR(NOW()),FALSE)), OR(MID(metadata!C255,5,1)="", AND(AND(MID(metadata!C255,5,1)="-",IFERROR(INT(MID(metadata!C255,6,1))&gt;=0,FALSE),IFERROR(INT(MID(metadata!C255,6,1))&lt;=1,FALSE),NOT(MID(metadata!C255,7,1)=""),IFERROR(INT(MID(metadata!C255,6,2))&gt;=1,FALSE),IFERROR(INT(MID(metadata!C255,6,2))&lt;=12,FALSE)), OR(MID(metadata!C255,8,1)="", AND(AND(MID(metadata!C255,8,1)="-",IFERROR(INT(MID(metadata!C255,9,1))&gt;=0,FALSE),IFERROR(INT(MID(metadata!C255,9,1))&lt;=3,FALSE),NOT(MID(metadata!C255,10,1)=""),IFERROR(INT(MID(metadata!C255,9,2))&gt;=1,FALSE),IFERROR(INT(MID(metadata!C255,9,2))&lt;=31,FALSE)), OR(MID(metadata!C255,11,1)="", AND(AND(MID(metadata!C255,11,1)=" ",IFERROR(INT(MID(metadata!C255,12,1))&gt;=0,FALSE),IFERROR(INT(MID(metadata!C255,12,1))&lt;=2,FALSE),NOT(MID(metadata!C255,13,1)=""),IFERROR(INT(MID(metadata!C255,12,2))&gt;=0,FALSE),IFERROR(INT(MID(metadata!C255,12,2))&lt;=23,FALSE)), OR(MID(metadata!C255,14,1)="", AND(AND(MID(metadata!C255,14,1)=":",IFERROR(INT(MID(metadata!C255,15,1))&gt;=0,FALSE),IFERROR(INT(MID(metadata!C255,15,1))&lt;=5,FALSE),NOT(MID(metadata!C255,16,1)=""),IFERROR(INT(MID(metadata!C255,15,2))&gt;=0,FALSE),IFERROR(INT(MID(metadata!C255,15,2))&lt;=59,FALSE)), OR(MID(metadata!C255,17,1)="", AND(AND(MID(metadata!C255,17,1)=":",IFERROR(INT(MID(metadata!C255,18,1))&gt;=0,FALSE),IFERROR(INT(MID(metadata!C255,18,1))&lt;=5,FALSE),NOT(MID(metadata!C255,19,1)=""),IFERROR(INT(MID(metadata!C255,18,2))&gt;=0,FALSE),IFERROR(INT(MID(metadata!C255,18,2))&lt;=59,FALSE)), LEN(metadata!C255)&lt;=19)))))))))))))</f>
        <v>0</v>
      </c>
      <c r="AO255" t="b">
        <f>AND(IF(metadata!D255="",FALSE,TRUE),EXACT(metadata!D255,"Not applicable"))</f>
        <v>0</v>
      </c>
      <c r="AP255" t="b">
        <f>IF(metadata!E255="",FALSE,TRUE)</f>
        <v>0</v>
      </c>
      <c r="AQ255" t="b">
        <f>OR(AND(IF(metadata!F255="",FALSE,TRUE),OR(EXACT(metadata!F255,"missing: not collected"),EXACT(metadata!F255,"missing: not provided"))),AND(IF(metadata!F255="",FALSE,TRUE),OR(EXACT(metadata!F255,"TRUE"),EXACT(metadata!F255,"FALSE"))))</f>
        <v>0</v>
      </c>
      <c r="AR255" t="b">
        <f>OR(AND(IF(metadata!G255="",FALSE,TRUE),OR(EXACT(metadata!G255,"missing: not collected"),EXACT(metadata!G255,"missing: not provided"),EXACT(metadata!G255,"missing: restricted access"))),AND(IF(metadata!G255="",FALSE,ISNUMBER(VALUE(metadata!G255))),metadata!G255&gt;=-413))</f>
        <v>0</v>
      </c>
      <c r="AS255" t="b">
        <f>AND(IF(metadata!H255="",FALSE,TRUE),EXACT(metadata!H255,"meters"))</f>
        <v>0</v>
      </c>
      <c r="AT255" t="b">
        <f>AND(IF(metadata!I255="",FALSE,TRUE),OR(EXACT(metadata!I255,"Host-associated"),EXACT(metadata!I255,"Free-living")))</f>
        <v>0</v>
      </c>
      <c r="AU255" t="b">
        <f>AND(IF(metadata!J255="",FALSE,TRUE),OR(EXACT(metadata!J255,"Animal"),EXACT(metadata!J255,"Fungus"),EXACT(metadata!J255,"Plant"),EXACT(metadata!J255,"Saline"),EXACT(metadata!J255,"Non-saline")))</f>
        <v>0</v>
      </c>
      <c r="AV255" t="b">
        <f>AND(IF(metadata!K255="",FALSE,TRUE),OR(EXACT(metadata!K255,"Plant secretion"),EXACT(metadata!K255,"Plant rhizosphere"),EXACT(metadata!K255,"Plant surface"),EXACT(metadata!K255,"Plant corpus"),EXACT(metadata!K255,"Fungus surface"),EXACT(metadata!K255,"Fungus corpus"),EXACT(metadata!K255,"Animal surface"),EXACT(metadata!K255,"Animal proximal gut"),EXACT(metadata!K255,"Animal corpus"),EXACT(metadata!K255,"Animal distal gut"),EXACT(metadata!K255,"Animal secretion"),EXACT(metadata!K255,"Sub-surface (non-saline)"),EXACT(metadata!K255,"Surface (non-saline)"),EXACT(metadata!K255,"Water (non-saline)"),EXACT(metadata!K255,"Soil (non-saline)"),EXACT(metadata!K255,"Aerosol (non-saline)"),EXACT(metadata!K255,"Sediment (non-saline)"),EXACT(metadata!K255,"Surface (saline)"),EXACT(metadata!K255,"Water (saline)"),EXACT(metadata!K255,"Hypersaline (saline)"),EXACT(metadata!K255,"Aerosol (saline)"),EXACT(metadata!K255,"Sediment (saline)")))</f>
        <v>0</v>
      </c>
      <c r="AW255" t="b">
        <f>IF(metadata!L255="",FALSE,TRUE)</f>
        <v>0</v>
      </c>
      <c r="AX255" t="b">
        <f>IF(metadata!M255="",FALSE,TRUE)</f>
        <v>0</v>
      </c>
      <c r="AY255" t="b">
        <f>IF(metadata!N255="",FALSE,TRUE)</f>
        <v>0</v>
      </c>
      <c r="AZ255" t="b">
        <f>OR(AND(IF(metadata!O255="",FALSE,TRUE),OR(EXACT(metadata!O255,"missing: not collected"),EXACT(metadata!O255,"missing: not provided"),EXACT(metadata!O255,"missing: restricted access"))),AND(IF(metadata!O255="",FALSE,TRUE),OR(EXACT(metadata!O255,"air"),EXACT(metadata!O255,"built environment"),EXACT(metadata!O255,"host-associated"),EXACT(metadata!O255,"human-associated"),EXACT(metadata!O255,"human-skin"),EXACT(metadata!O255,"human-oral"),EXACT(metadata!O255,"human-gut"),EXACT(metadata!O255,"human-vaginal"),EXACT(metadata!O255,"microbial mat/biofilm"),EXACT(metadata!O255,"misc environment"),EXACT(metadata!O255,"plant-associated"),EXACT(metadata!O255,"sediment"),EXACT(metadata!O255,"soil"),EXACT(metadata!O255,"wastewater/sludge"),EXACT(metadata!O255,"water"))))</f>
        <v>0</v>
      </c>
      <c r="BA255" t="b">
        <f>IF(metadata!P255="",FALSE,TRUE)</f>
        <v>0</v>
      </c>
      <c r="BB255" t="b">
        <f>IF(metadata!Q255="",FALSE,TRUE)</f>
        <v>0</v>
      </c>
      <c r="BC255" t="b">
        <f>OR(AND(IF(metadata!R255="",FALSE,TRUE),OR(EXACT(metadata!R255,"missing: not collected"),EXACT(metadata!R255,"missing: not provided"),EXACT(metadata!R255,"missing: restricted access"))),AND(IF(metadata!R255="",FALSE,ISNUMBER(VALUE(metadata!R255))),metadata!R255&gt;=-90,metadata!R255&lt;=90))</f>
        <v>0</v>
      </c>
      <c r="BD255" t="b">
        <f>AND(IF(metadata!S255="",FALSE,TRUE),EXACT(metadata!S255,"Decimal degrees"))</f>
        <v>0</v>
      </c>
      <c r="BE255" t="b">
        <f>OR(AND(IF(metadata!T255="",FALSE,TRUE),OR(EXACT(metadata!T255,"missing: not collected"),EXACT(metadata!T255,"missing: not provided"),EXACT(metadata!T255,"missing: restricted access"))),AND(IF(metadata!T255="",FALSE,ISNUMBER(VALUE(metadata!T255))),metadata!T255&gt;=-180,metadata!T255&lt;=180))</f>
        <v>0</v>
      </c>
      <c r="BF255" t="b">
        <f>AND(IF(metadata!U255="",FALSE,TRUE),EXACT(metadata!U255,"Decimal degrees"))</f>
        <v>0</v>
      </c>
      <c r="BG255" t="b">
        <f>IF(metadata!V255="",FALSE,TRUE)</f>
        <v>0</v>
      </c>
      <c r="BH255" t="b">
        <f>OR(AND(IF(metadata!W255="",FALSE,TRUE),OR(EXACT(metadata!W255,"missing: not collected"),EXACT(metadata!W255,"missing: not provided"),EXACT(metadata!W255,"missing: restricted access"))),AND(IF(metadata!W255="",FALSE,TRUE),OR(EXACT(metadata!W255,"TRUE"),EXACT(metadata!W255,"FALSE"))))</f>
        <v>0</v>
      </c>
      <c r="BI255" t="b">
        <f>AND(IF(metadata!X255="",FALSE,TRUE),EXACT(metadata!X255,"other"))</f>
        <v>0</v>
      </c>
      <c r="BJ255" t="b">
        <f>IF(metadata!Y255="",FALSE,TRUE)</f>
        <v>0</v>
      </c>
      <c r="BK255" t="b">
        <f>OR(AND(IF(metadata!Z255="",FALSE,TRUE),OR(EXACT(metadata!Z255,"missing: not collected"),EXACT(metadata!Z255,"missing: not provided"))),AND(IF(metadata!Z255="",FALSE,IF(ISERROR(INT(metadata!Z255)),FALSE,INT(metadata!Z255)=metadata!Z255)),metadata!Z255&gt;0))</f>
        <v>0</v>
      </c>
      <c r="BL255" t="b">
        <f>AND(IF(metadata!AA255="",FALSE,TRUE),EXACT(metadata!AA255,"Not applicable"))</f>
        <v>0</v>
      </c>
      <c r="BM255" t="b">
        <f>IF(metadata!AB255="",FALSE,TRUE)</f>
        <v>0</v>
      </c>
    </row>
    <row r="256" spans="1:65" x14ac:dyDescent="0.2">
      <c r="A256" s="5" t="str">
        <f ca="1">IF(B256=" "," ",HYPERLINK(CONCATENATE("#metadata!",ADDRESS(INDEX($AH$2:$AH$1001,MATCH(ROWS($AF$2:AF256),$AF$2:$AF$1001,0),0),1)),INDEX($AK$2:$AK$1001,MATCH(ROWS($AF$2:AF256),$AF$2:$AF$1001,0),0)))</f>
        <v xml:space="preserve"> </v>
      </c>
      <c r="B256" s="4" t="str">
        <f ca="1">IF(OR(INDEX($AG$2:$AG$1001,MATCH(ROWS($AF$2:AF256),$AF$2:$AF$1001,0),1)&gt;=100000,INDEX($AM$1005:$BM$1005,1,MATCH(COLUMNS($AM$1006:AM1006),$AM$1006:$BM$1006,0))&gt;=100000), " ",IF(INDEX($AM$2:$BM$1001,MATCH(ROWS($AF$2:AF256),$AF$2:$AF$1001,0),MATCH(COLUMNS($AM$1006:AM1006),$AM$1006:$BM$1006,0)), HYPERLINK("#",""), HYPERLINK(CONCATENATE("#metadata!", ADDRESS(INDEX($AH$2:$AH$1001,MATCH(ROWS($AF$2:AF256),$AF$2:$AF$1001,0),0), INDEX($AM$1004:$BM$1004,1,MATCH(COLUMNS($AM$1006:AM1006),$AM$1006:$BM$1006,0)))),"Fix")))</f>
        <v xml:space="preserve"> </v>
      </c>
      <c r="C256" s="4" t="str">
        <f ca="1">IF(OR(INDEX($AG$2:$AG$1001,MATCH(ROWS($AF$2:AF256),$AF$2:$AF$1001,0),1)&gt;=100000,INDEX($AM$1005:$BM$1005,1,MATCH(COLUMNS($AM$1006:AN1006),$AM$1006:$BM$1006,0))&gt;=100000), " ",IF(INDEX($AM$2:$BM$1001,MATCH(ROWS($AF$2:AF256),$AF$2:$AF$1001,0),MATCH(COLUMNS($AM$1006:AN1006),$AM$1006:$BM$1006,0)), HYPERLINK("#",""), HYPERLINK(CONCATENATE("#metadata!", ADDRESS(INDEX($AH$2:$AH$1001,MATCH(ROWS($AF$2:AF256),$AF$2:$AF$1001,0),0), INDEX($AM$1004:$BM$1004,1,MATCH(COLUMNS($AM$1006:AN1006),$AM$1006:$BM$1006,0)))),"Fix")))</f>
        <v xml:space="preserve"> </v>
      </c>
      <c r="D256" s="4" t="str">
        <f ca="1">IF(OR(INDEX($AG$2:$AG$1001,MATCH(ROWS($AF$2:AF256),$AF$2:$AF$1001,0),1)&gt;=100000,INDEX($AM$1005:$BM$1005,1,MATCH(COLUMNS($AM$1006:AO1006),$AM$1006:$BM$1006,0))&gt;=100000), " ",IF(INDEX($AM$2:$BM$1001,MATCH(ROWS($AF$2:AF256),$AF$2:$AF$1001,0),MATCH(COLUMNS($AM$1006:AO1006),$AM$1006:$BM$1006,0)), HYPERLINK("#",""), HYPERLINK(CONCATENATE("#metadata!", ADDRESS(INDEX($AH$2:$AH$1001,MATCH(ROWS($AF$2:AF256),$AF$2:$AF$1001,0),0), INDEX($AM$1004:$BM$1004,1,MATCH(COLUMNS($AM$1006:AO1006),$AM$1006:$BM$1006,0)))),"Fix")))</f>
        <v xml:space="preserve"> </v>
      </c>
      <c r="E256" s="4" t="str">
        <f ca="1">IF(OR(INDEX($AG$2:$AG$1001,MATCH(ROWS($AF$2:AF256),$AF$2:$AF$1001,0),1)&gt;=100000,INDEX($AM$1005:$BM$1005,1,MATCH(COLUMNS($AM$1006:AP1006),$AM$1006:$BM$1006,0))&gt;=100000), " ",IF(INDEX($AM$2:$BM$1001,MATCH(ROWS($AF$2:AF256),$AF$2:$AF$1001,0),MATCH(COLUMNS($AM$1006:AP1006),$AM$1006:$BM$1006,0)), HYPERLINK("#",""), HYPERLINK(CONCATENATE("#metadata!", ADDRESS(INDEX($AH$2:$AH$1001,MATCH(ROWS($AF$2:AF256),$AF$2:$AF$1001,0),0), INDEX($AM$1004:$BM$1004,1,MATCH(COLUMNS($AM$1006:AP1006),$AM$1006:$BM$1006,0)))),"Fix")))</f>
        <v xml:space="preserve"> </v>
      </c>
      <c r="F256" s="4" t="str">
        <f ca="1">IF(OR(INDEX($AG$2:$AG$1001,MATCH(ROWS($AF$2:AF256),$AF$2:$AF$1001,0),1)&gt;=100000,INDEX($AM$1005:$BM$1005,1,MATCH(COLUMNS($AM$1006:AQ1006),$AM$1006:$BM$1006,0))&gt;=100000), " ",IF(INDEX($AM$2:$BM$1001,MATCH(ROWS($AF$2:AF256),$AF$2:$AF$1001,0),MATCH(COLUMNS($AM$1006:AQ1006),$AM$1006:$BM$1006,0)), HYPERLINK("#",""), HYPERLINK(CONCATENATE("#metadata!", ADDRESS(INDEX($AH$2:$AH$1001,MATCH(ROWS($AF$2:AF256),$AF$2:$AF$1001,0),0), INDEX($AM$1004:$BM$1004,1,MATCH(COLUMNS($AM$1006:AQ1006),$AM$1006:$BM$1006,0)))),"Fix")))</f>
        <v xml:space="preserve"> </v>
      </c>
      <c r="G256" s="4" t="str">
        <f ca="1">IF(OR(INDEX($AG$2:$AG$1001,MATCH(ROWS($AF$2:AF256),$AF$2:$AF$1001,0),1)&gt;=100000,INDEX($AM$1005:$BM$1005,1,MATCH(COLUMNS($AM$1006:AR1006),$AM$1006:$BM$1006,0))&gt;=100000), " ",IF(INDEX($AM$2:$BM$1001,MATCH(ROWS($AF$2:AF256),$AF$2:$AF$1001,0),MATCH(COLUMNS($AM$1006:AR1006),$AM$1006:$BM$1006,0)), HYPERLINK("#",""), HYPERLINK(CONCATENATE("#metadata!", ADDRESS(INDEX($AH$2:$AH$1001,MATCH(ROWS($AF$2:AF256),$AF$2:$AF$1001,0),0), INDEX($AM$1004:$BM$1004,1,MATCH(COLUMNS($AM$1006:AR1006),$AM$1006:$BM$1006,0)))),"Fix")))</f>
        <v xml:space="preserve"> </v>
      </c>
      <c r="H256" s="4" t="str">
        <f ca="1">IF(OR(INDEX($AG$2:$AG$1001,MATCH(ROWS($AF$2:AF256),$AF$2:$AF$1001,0),1)&gt;=100000,INDEX($AM$1005:$BM$1005,1,MATCH(COLUMNS($AM$1006:AS1006),$AM$1006:$BM$1006,0))&gt;=100000), " ",IF(INDEX($AM$2:$BM$1001,MATCH(ROWS($AF$2:AF256),$AF$2:$AF$1001,0),MATCH(COLUMNS($AM$1006:AS1006),$AM$1006:$BM$1006,0)), HYPERLINK("#",""), HYPERLINK(CONCATENATE("#metadata!", ADDRESS(INDEX($AH$2:$AH$1001,MATCH(ROWS($AF$2:AF256),$AF$2:$AF$1001,0),0), INDEX($AM$1004:$BM$1004,1,MATCH(COLUMNS($AM$1006:AS1006),$AM$1006:$BM$1006,0)))),"Fix")))</f>
        <v xml:space="preserve"> </v>
      </c>
      <c r="I256" s="4" t="str">
        <f ca="1">IF(OR(INDEX($AG$2:$AG$1001,MATCH(ROWS($AF$2:AF256),$AF$2:$AF$1001,0),1)&gt;=100000,INDEX($AM$1005:$BM$1005,1,MATCH(COLUMNS($AM$1006:AT1006),$AM$1006:$BM$1006,0))&gt;=100000), " ",IF(INDEX($AM$2:$BM$1001,MATCH(ROWS($AF$2:AF256),$AF$2:$AF$1001,0),MATCH(COLUMNS($AM$1006:AT1006),$AM$1006:$BM$1006,0)), HYPERLINK("#",""), HYPERLINK(CONCATENATE("#metadata!", ADDRESS(INDEX($AH$2:$AH$1001,MATCH(ROWS($AF$2:AF256),$AF$2:$AF$1001,0),0), INDEX($AM$1004:$BM$1004,1,MATCH(COLUMNS($AM$1006:AT1006),$AM$1006:$BM$1006,0)))),"Fix")))</f>
        <v xml:space="preserve"> </v>
      </c>
      <c r="J256" s="4" t="str">
        <f ca="1">IF(OR(INDEX($AG$2:$AG$1001,MATCH(ROWS($AF$2:AF256),$AF$2:$AF$1001,0),1)&gt;=100000,INDEX($AM$1005:$BM$1005,1,MATCH(COLUMNS($AM$1006:AU1006),$AM$1006:$BM$1006,0))&gt;=100000), " ",IF(INDEX($AM$2:$BM$1001,MATCH(ROWS($AF$2:AF256),$AF$2:$AF$1001,0),MATCH(COLUMNS($AM$1006:AU1006),$AM$1006:$BM$1006,0)), HYPERLINK("#",""), HYPERLINK(CONCATENATE("#metadata!", ADDRESS(INDEX($AH$2:$AH$1001,MATCH(ROWS($AF$2:AF256),$AF$2:$AF$1001,0),0), INDEX($AM$1004:$BM$1004,1,MATCH(COLUMNS($AM$1006:AU1006),$AM$1006:$BM$1006,0)))),"Fix")))</f>
        <v xml:space="preserve"> </v>
      </c>
      <c r="K256" s="4" t="str">
        <f ca="1">IF(OR(INDEX($AG$2:$AG$1001,MATCH(ROWS($AF$2:AF256),$AF$2:$AF$1001,0),1)&gt;=100000,INDEX($AM$1005:$BM$1005,1,MATCH(COLUMNS($AM$1006:AV1006),$AM$1006:$BM$1006,0))&gt;=100000), " ",IF(INDEX($AM$2:$BM$1001,MATCH(ROWS($AF$2:AF256),$AF$2:$AF$1001,0),MATCH(COLUMNS($AM$1006:AV1006),$AM$1006:$BM$1006,0)), HYPERLINK("#",""), HYPERLINK(CONCATENATE("#metadata!", ADDRESS(INDEX($AH$2:$AH$1001,MATCH(ROWS($AF$2:AF256),$AF$2:$AF$1001,0),0), INDEX($AM$1004:$BM$1004,1,MATCH(COLUMNS($AM$1006:AV1006),$AM$1006:$BM$1006,0)))),"Fix")))</f>
        <v xml:space="preserve"> </v>
      </c>
      <c r="L256" s="4" t="str">
        <f ca="1">IF(OR(INDEX($AG$2:$AG$1001,MATCH(ROWS($AF$2:AF256),$AF$2:$AF$1001,0),1)&gt;=100000,INDEX($AM$1005:$BM$1005,1,MATCH(COLUMNS($AM$1006:AW1006),$AM$1006:$BM$1006,0))&gt;=100000), " ",IF(INDEX($AM$2:$BM$1001,MATCH(ROWS($AF$2:AF256),$AF$2:$AF$1001,0),MATCH(COLUMNS($AM$1006:AW1006),$AM$1006:$BM$1006,0)), HYPERLINK("#",""), HYPERLINK(CONCATENATE("#metadata!", ADDRESS(INDEX($AH$2:$AH$1001,MATCH(ROWS($AF$2:AF256),$AF$2:$AF$1001,0),0), INDEX($AM$1004:$BM$1004,1,MATCH(COLUMNS($AM$1006:AW1006),$AM$1006:$BM$1006,0)))),"Fix")))</f>
        <v xml:space="preserve"> </v>
      </c>
      <c r="M256" s="4" t="str">
        <f ca="1">IF(OR(INDEX($AG$2:$AG$1001,MATCH(ROWS($AF$2:AF256),$AF$2:$AF$1001,0),1)&gt;=100000,INDEX($AM$1005:$BM$1005,1,MATCH(COLUMNS($AM$1006:AX1006),$AM$1006:$BM$1006,0))&gt;=100000), " ",IF(INDEX($AM$2:$BM$1001,MATCH(ROWS($AF$2:AF256),$AF$2:$AF$1001,0),MATCH(COLUMNS($AM$1006:AX1006),$AM$1006:$BM$1006,0)), HYPERLINK("#",""), HYPERLINK(CONCATENATE("#metadata!", ADDRESS(INDEX($AH$2:$AH$1001,MATCH(ROWS($AF$2:AF256),$AF$2:$AF$1001,0),0), INDEX($AM$1004:$BM$1004,1,MATCH(COLUMNS($AM$1006:AX1006),$AM$1006:$BM$1006,0)))),"Fix")))</f>
        <v xml:space="preserve"> </v>
      </c>
      <c r="N256" s="4" t="str">
        <f ca="1">IF(OR(INDEX($AG$2:$AG$1001,MATCH(ROWS($AF$2:AF256),$AF$2:$AF$1001,0),1)&gt;=100000,INDEX($AM$1005:$BM$1005,1,MATCH(COLUMNS($AM$1006:AY1006),$AM$1006:$BM$1006,0))&gt;=100000), " ",IF(INDEX($AM$2:$BM$1001,MATCH(ROWS($AF$2:AF256),$AF$2:$AF$1001,0),MATCH(COLUMNS($AM$1006:AY1006),$AM$1006:$BM$1006,0)), HYPERLINK("#",""), HYPERLINK(CONCATENATE("#metadata!", ADDRESS(INDEX($AH$2:$AH$1001,MATCH(ROWS($AF$2:AF256),$AF$2:$AF$1001,0),0), INDEX($AM$1004:$BM$1004,1,MATCH(COLUMNS($AM$1006:AY1006),$AM$1006:$BM$1006,0)))),"Fix")))</f>
        <v xml:space="preserve"> </v>
      </c>
      <c r="O256" s="4" t="str">
        <f ca="1">IF(OR(INDEX($AG$2:$AG$1001,MATCH(ROWS($AF$2:AF256),$AF$2:$AF$1001,0),1)&gt;=100000,INDEX($AM$1005:$BM$1005,1,MATCH(COLUMNS($AM$1006:AZ1006),$AM$1006:$BM$1006,0))&gt;=100000), " ",IF(INDEX($AM$2:$BM$1001,MATCH(ROWS($AF$2:AF256),$AF$2:$AF$1001,0),MATCH(COLUMNS($AM$1006:AZ1006),$AM$1006:$BM$1006,0)), HYPERLINK("#",""), HYPERLINK(CONCATENATE("#metadata!", ADDRESS(INDEX($AH$2:$AH$1001,MATCH(ROWS($AF$2:AF256),$AF$2:$AF$1001,0),0), INDEX($AM$1004:$BM$1004,1,MATCH(COLUMNS($AM$1006:AZ1006),$AM$1006:$BM$1006,0)))),"Fix")))</f>
        <v xml:space="preserve"> </v>
      </c>
      <c r="P256" s="4" t="str">
        <f ca="1">IF(OR(INDEX($AG$2:$AG$1001,MATCH(ROWS($AF$2:AF256),$AF$2:$AF$1001,0),1)&gt;=100000,INDEX($AM$1005:$BM$1005,1,MATCH(COLUMNS($AM$1006:BA1006),$AM$1006:$BM$1006,0))&gt;=100000), " ",IF(INDEX($AM$2:$BM$1001,MATCH(ROWS($AF$2:AF256),$AF$2:$AF$1001,0),MATCH(COLUMNS($AM$1006:BA1006),$AM$1006:$BM$1006,0)), HYPERLINK("#",""), HYPERLINK(CONCATENATE("#metadata!", ADDRESS(INDEX($AH$2:$AH$1001,MATCH(ROWS($AF$2:AF256),$AF$2:$AF$1001,0),0), INDEX($AM$1004:$BM$1004,1,MATCH(COLUMNS($AM$1006:BA1006),$AM$1006:$BM$1006,0)))),"Fix")))</f>
        <v xml:space="preserve"> </v>
      </c>
      <c r="Q256" s="4" t="str">
        <f ca="1">IF(OR(INDEX($AG$2:$AG$1001,MATCH(ROWS($AF$2:AF256),$AF$2:$AF$1001,0),1)&gt;=100000,INDEX($AM$1005:$BM$1005,1,MATCH(COLUMNS($AM$1006:BB1006),$AM$1006:$BM$1006,0))&gt;=100000), " ",IF(INDEX($AM$2:$BM$1001,MATCH(ROWS($AF$2:AF256),$AF$2:$AF$1001,0),MATCH(COLUMNS($AM$1006:BB1006),$AM$1006:$BM$1006,0)), HYPERLINK("#",""), HYPERLINK(CONCATENATE("#metadata!", ADDRESS(INDEX($AH$2:$AH$1001,MATCH(ROWS($AF$2:AF256),$AF$2:$AF$1001,0),0), INDEX($AM$1004:$BM$1004,1,MATCH(COLUMNS($AM$1006:BB1006),$AM$1006:$BM$1006,0)))),"Fix")))</f>
        <v xml:space="preserve"> </v>
      </c>
      <c r="R256" s="4" t="str">
        <f ca="1">IF(OR(INDEX($AG$2:$AG$1001,MATCH(ROWS($AF$2:AF256),$AF$2:$AF$1001,0),1)&gt;=100000,INDEX($AM$1005:$BM$1005,1,MATCH(COLUMNS($AM$1006:BC1006),$AM$1006:$BM$1006,0))&gt;=100000), " ",IF(INDEX($AM$2:$BM$1001,MATCH(ROWS($AF$2:AF256),$AF$2:$AF$1001,0),MATCH(COLUMNS($AM$1006:BC1006),$AM$1006:$BM$1006,0)), HYPERLINK("#",""), HYPERLINK(CONCATENATE("#metadata!", ADDRESS(INDEX($AH$2:$AH$1001,MATCH(ROWS($AF$2:AF256),$AF$2:$AF$1001,0),0), INDEX($AM$1004:$BM$1004,1,MATCH(COLUMNS($AM$1006:BC1006),$AM$1006:$BM$1006,0)))),"Fix")))</f>
        <v xml:space="preserve"> </v>
      </c>
      <c r="S256" s="4" t="str">
        <f ca="1">IF(OR(INDEX($AG$2:$AG$1001,MATCH(ROWS($AF$2:AF256),$AF$2:$AF$1001,0),1)&gt;=100000,INDEX($AM$1005:$BM$1005,1,MATCH(COLUMNS($AM$1006:BD1006),$AM$1006:$BM$1006,0))&gt;=100000), " ",IF(INDEX($AM$2:$BM$1001,MATCH(ROWS($AF$2:AF256),$AF$2:$AF$1001,0),MATCH(COLUMNS($AM$1006:BD1006),$AM$1006:$BM$1006,0)), HYPERLINK("#",""), HYPERLINK(CONCATENATE("#metadata!", ADDRESS(INDEX($AH$2:$AH$1001,MATCH(ROWS($AF$2:AF256),$AF$2:$AF$1001,0),0), INDEX($AM$1004:$BM$1004,1,MATCH(COLUMNS($AM$1006:BD1006),$AM$1006:$BM$1006,0)))),"Fix")))</f>
        <v xml:space="preserve"> </v>
      </c>
      <c r="T256" s="4" t="str">
        <f ca="1">IF(OR(INDEX($AG$2:$AG$1001,MATCH(ROWS($AF$2:AF256),$AF$2:$AF$1001,0),1)&gt;=100000,INDEX($AM$1005:$BM$1005,1,MATCH(COLUMNS($AM$1006:BE1006),$AM$1006:$BM$1006,0))&gt;=100000), " ",IF(INDEX($AM$2:$BM$1001,MATCH(ROWS($AF$2:AF256),$AF$2:$AF$1001,0),MATCH(COLUMNS($AM$1006:BE1006),$AM$1006:$BM$1006,0)), HYPERLINK("#",""), HYPERLINK(CONCATENATE("#metadata!", ADDRESS(INDEX($AH$2:$AH$1001,MATCH(ROWS($AF$2:AF256),$AF$2:$AF$1001,0),0), INDEX($AM$1004:$BM$1004,1,MATCH(COLUMNS($AM$1006:BE1006),$AM$1006:$BM$1006,0)))),"Fix")))</f>
        <v xml:space="preserve"> </v>
      </c>
      <c r="U256" s="4" t="str">
        <f ca="1">IF(OR(INDEX($AG$2:$AG$1001,MATCH(ROWS($AF$2:AF256),$AF$2:$AF$1001,0),1)&gt;=100000,INDEX($AM$1005:$BM$1005,1,MATCH(COLUMNS($AM$1006:BF1006),$AM$1006:$BM$1006,0))&gt;=100000), " ",IF(INDEX($AM$2:$BM$1001,MATCH(ROWS($AF$2:AF256),$AF$2:$AF$1001,0),MATCH(COLUMNS($AM$1006:BF1006),$AM$1006:$BM$1006,0)), HYPERLINK("#",""), HYPERLINK(CONCATENATE("#metadata!", ADDRESS(INDEX($AH$2:$AH$1001,MATCH(ROWS($AF$2:AF256),$AF$2:$AF$1001,0),0), INDEX($AM$1004:$BM$1004,1,MATCH(COLUMNS($AM$1006:BF1006),$AM$1006:$BM$1006,0)))),"Fix")))</f>
        <v xml:space="preserve"> </v>
      </c>
      <c r="V256" s="4" t="str">
        <f ca="1">IF(OR(INDEX($AG$2:$AG$1001,MATCH(ROWS($AF$2:AF256),$AF$2:$AF$1001,0),1)&gt;=100000,INDEX($AM$1005:$BM$1005,1,MATCH(COLUMNS($AM$1006:BG1006),$AM$1006:$BM$1006,0))&gt;=100000), " ",IF(INDEX($AM$2:$BM$1001,MATCH(ROWS($AF$2:AF256),$AF$2:$AF$1001,0),MATCH(COLUMNS($AM$1006:BG1006),$AM$1006:$BM$1006,0)), HYPERLINK("#",""), HYPERLINK(CONCATENATE("#metadata!", ADDRESS(INDEX($AH$2:$AH$1001,MATCH(ROWS($AF$2:AF256),$AF$2:$AF$1001,0),0), INDEX($AM$1004:$BM$1004,1,MATCH(COLUMNS($AM$1006:BG1006),$AM$1006:$BM$1006,0)))),"Fix")))</f>
        <v xml:space="preserve"> </v>
      </c>
      <c r="W256" s="4" t="str">
        <f ca="1">IF(OR(INDEX($AG$2:$AG$1001,MATCH(ROWS($AF$2:AF256),$AF$2:$AF$1001,0),1)&gt;=100000,INDEX($AM$1005:$BM$1005,1,MATCH(COLUMNS($AM$1006:BH1006),$AM$1006:$BM$1006,0))&gt;=100000), " ",IF(INDEX($AM$2:$BM$1001,MATCH(ROWS($AF$2:AF256),$AF$2:$AF$1001,0),MATCH(COLUMNS($AM$1006:BH1006),$AM$1006:$BM$1006,0)), HYPERLINK("#",""), HYPERLINK(CONCATENATE("#metadata!", ADDRESS(INDEX($AH$2:$AH$1001,MATCH(ROWS($AF$2:AF256),$AF$2:$AF$1001,0),0), INDEX($AM$1004:$BM$1004,1,MATCH(COLUMNS($AM$1006:BH1006),$AM$1006:$BM$1006,0)))),"Fix")))</f>
        <v xml:space="preserve"> </v>
      </c>
      <c r="X256" s="4" t="str">
        <f ca="1">IF(OR(INDEX($AG$2:$AG$1001,MATCH(ROWS($AF$2:AF256),$AF$2:$AF$1001,0),1)&gt;=100000,INDEX($AM$1005:$BM$1005,1,MATCH(COLUMNS($AM$1006:BI1006),$AM$1006:$BM$1006,0))&gt;=100000), " ",IF(INDEX($AM$2:$BM$1001,MATCH(ROWS($AF$2:AF256),$AF$2:$AF$1001,0),MATCH(COLUMNS($AM$1006:BI1006),$AM$1006:$BM$1006,0)), HYPERLINK("#",""), HYPERLINK(CONCATENATE("#metadata!", ADDRESS(INDEX($AH$2:$AH$1001,MATCH(ROWS($AF$2:AF256),$AF$2:$AF$1001,0),0), INDEX($AM$1004:$BM$1004,1,MATCH(COLUMNS($AM$1006:BI1006),$AM$1006:$BM$1006,0)))),"Fix")))</f>
        <v xml:space="preserve"> </v>
      </c>
      <c r="Y256" s="4" t="str">
        <f ca="1">IF(OR(INDEX($AG$2:$AG$1001,MATCH(ROWS($AF$2:AF256),$AF$2:$AF$1001,0),1)&gt;=100000,INDEX($AM$1005:$BM$1005,1,MATCH(COLUMNS($AM$1006:BJ1006),$AM$1006:$BM$1006,0))&gt;=100000), " ",IF(INDEX($AM$2:$BM$1001,MATCH(ROWS($AF$2:AF256),$AF$2:$AF$1001,0),MATCH(COLUMNS($AM$1006:BJ1006),$AM$1006:$BM$1006,0)), HYPERLINK("#",""), HYPERLINK(CONCATENATE("#metadata!", ADDRESS(INDEX($AH$2:$AH$1001,MATCH(ROWS($AF$2:AF256),$AF$2:$AF$1001,0),0), INDEX($AM$1004:$BM$1004,1,MATCH(COLUMNS($AM$1006:BJ1006),$AM$1006:$BM$1006,0)))),"Fix")))</f>
        <v xml:space="preserve"> </v>
      </c>
      <c r="Z256" s="4" t="str">
        <f ca="1">IF(OR(INDEX($AG$2:$AG$1001,MATCH(ROWS($AF$2:AF256),$AF$2:$AF$1001,0),1)&gt;=100000,INDEX($AM$1005:$BM$1005,1,MATCH(COLUMNS($AM$1006:BK1006),$AM$1006:$BM$1006,0))&gt;=100000), " ",IF(INDEX($AM$2:$BM$1001,MATCH(ROWS($AF$2:AF256),$AF$2:$AF$1001,0),MATCH(COLUMNS($AM$1006:BK1006),$AM$1006:$BM$1006,0)), HYPERLINK("#",""), HYPERLINK(CONCATENATE("#metadata!", ADDRESS(INDEX($AH$2:$AH$1001,MATCH(ROWS($AF$2:AF256),$AF$2:$AF$1001,0),0), INDEX($AM$1004:$BM$1004,1,MATCH(COLUMNS($AM$1006:BK1006),$AM$1006:$BM$1006,0)))),"Fix")))</f>
        <v xml:space="preserve"> </v>
      </c>
      <c r="AA256" s="4" t="str">
        <f ca="1">IF(OR(INDEX($AG$2:$AG$1001,MATCH(ROWS($AF$2:AF256),$AF$2:$AF$1001,0),1)&gt;=100000,INDEX($AM$1005:$BM$1005,1,MATCH(COLUMNS($AM$1006:BL1006),$AM$1006:$BM$1006,0))&gt;=100000), " ",IF(INDEX($AM$2:$BM$1001,MATCH(ROWS($AF$2:AF256),$AF$2:$AF$1001,0),MATCH(COLUMNS($AM$1006:BL1006),$AM$1006:$BM$1006,0)), HYPERLINK("#",""), HYPERLINK(CONCATENATE("#metadata!", ADDRESS(INDEX($AH$2:$AH$1001,MATCH(ROWS($AF$2:AF256),$AF$2:$AF$1001,0),0), INDEX($AM$1004:$BM$1004,1,MATCH(COLUMNS($AM$1006:BL1006),$AM$1006:$BM$1006,0)))),"Fix")))</f>
        <v xml:space="preserve"> </v>
      </c>
      <c r="AB256" s="4" t="str">
        <f ca="1">IF(OR(INDEX($AG$2:$AG$1001,MATCH(ROWS($AF$2:AF256),$AF$2:$AF$1001,0),1)&gt;=100000,INDEX($AM$1005:$BM$1005,1,MATCH(COLUMNS($AM$1006:BM1006),$AM$1006:$BM$1006,0))&gt;=100000), " ",IF(INDEX($AM$2:$BM$1001,MATCH(ROWS($AF$2:AF256),$AF$2:$AF$1001,0),MATCH(COLUMNS($AM$1006:BM1006),$AM$1006:$BM$1006,0)), HYPERLINK("#",""), HYPERLINK(CONCATENATE("#metadata!", ADDRESS(INDEX($AH$2:$AH$1001,MATCH(ROWS($AF$2:AF256),$AF$2:$AF$1001,0),0), INDEX($AM$1004:$BM$1004,1,MATCH(COLUMNS($AM$1006:BM1006),$AM$1006:$BM$1006,0)))),"Fix")))</f>
        <v xml:space="preserve"> </v>
      </c>
      <c r="AF256">
        <v>255</v>
      </c>
      <c r="AG256">
        <v>100256</v>
      </c>
      <c r="AH256">
        <v>256</v>
      </c>
      <c r="AI256" t="b">
        <f t="shared" si="3"/>
        <v>1</v>
      </c>
      <c r="AJ256" t="b">
        <f>COUNTBLANK(metadata!B256:AB256)=COLUMNS(metadata!B256:AB256)</f>
        <v>1</v>
      </c>
      <c r="AK256" t="str">
        <v/>
      </c>
      <c r="AM256" t="b">
        <f ca="1">AND(IF(metadata!B256="",FALSE,TRUE),COUNTIF(metadata!B:B, metadata!B256) = 1,NOT(ISERROR(SUMPRODUCT(SEARCH(MID(metadata!B256,ROW(INDIRECT("1:"&amp;LEN(metadata!B256))), 1),"0123456789abcdefghijklmnopqrstuvwxyzABCDEFGHIJKLMNOPQRSTUVWXYZ.")))))</f>
        <v>0</v>
      </c>
      <c r="AN256" t="b">
        <f ca="1">OR(AND(IF(metadata!C256="",FALSE,TRUE),OR(EXACT(metadata!C256,"missing: not collected"),EXACT(metadata!C256,"missing: not provided"),EXACT(metadata!C256,"missing: restricted access"))),AND(IF(metadata!C256="",FALSE,TRUE),AND(AND(IFERROR(INT(LEFT(metadata!C256,4))&gt;1900,FALSE),IFERROR(INT(LEFT(metadata!C256,4))&lt;=YEAR(NOW()),FALSE)), OR(MID(metadata!C256,5,1)="", AND(AND(MID(metadata!C256,5,1)="-",IFERROR(INT(MID(metadata!C256,6,1))&gt;=0,FALSE),IFERROR(INT(MID(metadata!C256,6,1))&lt;=1,FALSE),NOT(MID(metadata!C256,7,1)=""),IFERROR(INT(MID(metadata!C256,6,2))&gt;=1,FALSE),IFERROR(INT(MID(metadata!C256,6,2))&lt;=12,FALSE)), OR(MID(metadata!C256,8,1)="", AND(AND(MID(metadata!C256,8,1)="-",IFERROR(INT(MID(metadata!C256,9,1))&gt;=0,FALSE),IFERROR(INT(MID(metadata!C256,9,1))&lt;=3,FALSE),NOT(MID(metadata!C256,10,1)=""),IFERROR(INT(MID(metadata!C256,9,2))&gt;=1,FALSE),IFERROR(INT(MID(metadata!C256,9,2))&lt;=31,FALSE)), OR(MID(metadata!C256,11,1)="", AND(AND(MID(metadata!C256,11,1)=" ",IFERROR(INT(MID(metadata!C256,12,1))&gt;=0,FALSE),IFERROR(INT(MID(metadata!C256,12,1))&lt;=2,FALSE),NOT(MID(metadata!C256,13,1)=""),IFERROR(INT(MID(metadata!C256,12,2))&gt;=0,FALSE),IFERROR(INT(MID(metadata!C256,12,2))&lt;=23,FALSE)), OR(MID(metadata!C256,14,1)="", AND(AND(MID(metadata!C256,14,1)=":",IFERROR(INT(MID(metadata!C256,15,1))&gt;=0,FALSE),IFERROR(INT(MID(metadata!C256,15,1))&lt;=5,FALSE),NOT(MID(metadata!C256,16,1)=""),IFERROR(INT(MID(metadata!C256,15,2))&gt;=0,FALSE),IFERROR(INT(MID(metadata!C256,15,2))&lt;=59,FALSE)), OR(MID(metadata!C256,17,1)="", AND(AND(MID(metadata!C256,17,1)=":",IFERROR(INT(MID(metadata!C256,18,1))&gt;=0,FALSE),IFERROR(INT(MID(metadata!C256,18,1))&lt;=5,FALSE),NOT(MID(metadata!C256,19,1)=""),IFERROR(INT(MID(metadata!C256,18,2))&gt;=0,FALSE),IFERROR(INT(MID(metadata!C256,18,2))&lt;=59,FALSE)), LEN(metadata!C256)&lt;=19)))))))))))))</f>
        <v>0</v>
      </c>
      <c r="AO256" t="b">
        <f>AND(IF(metadata!D256="",FALSE,TRUE),EXACT(metadata!D256,"Not applicable"))</f>
        <v>0</v>
      </c>
      <c r="AP256" t="b">
        <f>IF(metadata!E256="",FALSE,TRUE)</f>
        <v>0</v>
      </c>
      <c r="AQ256" t="b">
        <f>OR(AND(IF(metadata!F256="",FALSE,TRUE),OR(EXACT(metadata!F256,"missing: not collected"),EXACT(metadata!F256,"missing: not provided"))),AND(IF(metadata!F256="",FALSE,TRUE),OR(EXACT(metadata!F256,"TRUE"),EXACT(metadata!F256,"FALSE"))))</f>
        <v>0</v>
      </c>
      <c r="AR256" t="b">
        <f>OR(AND(IF(metadata!G256="",FALSE,TRUE),OR(EXACT(metadata!G256,"missing: not collected"),EXACT(metadata!G256,"missing: not provided"),EXACT(metadata!G256,"missing: restricted access"))),AND(IF(metadata!G256="",FALSE,ISNUMBER(VALUE(metadata!G256))),metadata!G256&gt;=-413))</f>
        <v>0</v>
      </c>
      <c r="AS256" t="b">
        <f>AND(IF(metadata!H256="",FALSE,TRUE),EXACT(metadata!H256,"meters"))</f>
        <v>0</v>
      </c>
      <c r="AT256" t="b">
        <f>AND(IF(metadata!I256="",FALSE,TRUE),OR(EXACT(metadata!I256,"Host-associated"),EXACT(metadata!I256,"Free-living")))</f>
        <v>0</v>
      </c>
      <c r="AU256" t="b">
        <f>AND(IF(metadata!J256="",FALSE,TRUE),OR(EXACT(metadata!J256,"Animal"),EXACT(metadata!J256,"Fungus"),EXACT(metadata!J256,"Plant"),EXACT(metadata!J256,"Saline"),EXACT(metadata!J256,"Non-saline")))</f>
        <v>0</v>
      </c>
      <c r="AV256" t="b">
        <f>AND(IF(metadata!K256="",FALSE,TRUE),OR(EXACT(metadata!K256,"Plant secretion"),EXACT(metadata!K256,"Plant rhizosphere"),EXACT(metadata!K256,"Plant surface"),EXACT(metadata!K256,"Plant corpus"),EXACT(metadata!K256,"Fungus surface"),EXACT(metadata!K256,"Fungus corpus"),EXACT(metadata!K256,"Animal surface"),EXACT(metadata!K256,"Animal proximal gut"),EXACT(metadata!K256,"Animal corpus"),EXACT(metadata!K256,"Animal distal gut"),EXACT(metadata!K256,"Animal secretion"),EXACT(metadata!K256,"Sub-surface (non-saline)"),EXACT(metadata!K256,"Surface (non-saline)"),EXACT(metadata!K256,"Water (non-saline)"),EXACT(metadata!K256,"Soil (non-saline)"),EXACT(metadata!K256,"Aerosol (non-saline)"),EXACT(metadata!K256,"Sediment (non-saline)"),EXACT(metadata!K256,"Surface (saline)"),EXACT(metadata!K256,"Water (saline)"),EXACT(metadata!K256,"Hypersaline (saline)"),EXACT(metadata!K256,"Aerosol (saline)"),EXACT(metadata!K256,"Sediment (saline)")))</f>
        <v>0</v>
      </c>
      <c r="AW256" t="b">
        <f>IF(metadata!L256="",FALSE,TRUE)</f>
        <v>0</v>
      </c>
      <c r="AX256" t="b">
        <f>IF(metadata!M256="",FALSE,TRUE)</f>
        <v>0</v>
      </c>
      <c r="AY256" t="b">
        <f>IF(metadata!N256="",FALSE,TRUE)</f>
        <v>0</v>
      </c>
      <c r="AZ256" t="b">
        <f>OR(AND(IF(metadata!O256="",FALSE,TRUE),OR(EXACT(metadata!O256,"missing: not collected"),EXACT(metadata!O256,"missing: not provided"),EXACT(metadata!O256,"missing: restricted access"))),AND(IF(metadata!O256="",FALSE,TRUE),OR(EXACT(metadata!O256,"air"),EXACT(metadata!O256,"built environment"),EXACT(metadata!O256,"host-associated"),EXACT(metadata!O256,"human-associated"),EXACT(metadata!O256,"human-skin"),EXACT(metadata!O256,"human-oral"),EXACT(metadata!O256,"human-gut"),EXACT(metadata!O256,"human-vaginal"),EXACT(metadata!O256,"microbial mat/biofilm"),EXACT(metadata!O256,"misc environment"),EXACT(metadata!O256,"plant-associated"),EXACT(metadata!O256,"sediment"),EXACT(metadata!O256,"soil"),EXACT(metadata!O256,"wastewater/sludge"),EXACT(metadata!O256,"water"))))</f>
        <v>0</v>
      </c>
      <c r="BA256" t="b">
        <f>IF(metadata!P256="",FALSE,TRUE)</f>
        <v>0</v>
      </c>
      <c r="BB256" t="b">
        <f>IF(metadata!Q256="",FALSE,TRUE)</f>
        <v>0</v>
      </c>
      <c r="BC256" t="b">
        <f>OR(AND(IF(metadata!R256="",FALSE,TRUE),OR(EXACT(metadata!R256,"missing: not collected"),EXACT(metadata!R256,"missing: not provided"),EXACT(metadata!R256,"missing: restricted access"))),AND(IF(metadata!R256="",FALSE,ISNUMBER(VALUE(metadata!R256))),metadata!R256&gt;=-90,metadata!R256&lt;=90))</f>
        <v>0</v>
      </c>
      <c r="BD256" t="b">
        <f>AND(IF(metadata!S256="",FALSE,TRUE),EXACT(metadata!S256,"Decimal degrees"))</f>
        <v>0</v>
      </c>
      <c r="BE256" t="b">
        <f>OR(AND(IF(metadata!T256="",FALSE,TRUE),OR(EXACT(metadata!T256,"missing: not collected"),EXACT(metadata!T256,"missing: not provided"),EXACT(metadata!T256,"missing: restricted access"))),AND(IF(metadata!T256="",FALSE,ISNUMBER(VALUE(metadata!T256))),metadata!T256&gt;=-180,metadata!T256&lt;=180))</f>
        <v>0</v>
      </c>
      <c r="BF256" t="b">
        <f>AND(IF(metadata!U256="",FALSE,TRUE),EXACT(metadata!U256,"Decimal degrees"))</f>
        <v>0</v>
      </c>
      <c r="BG256" t="b">
        <f>IF(metadata!V256="",FALSE,TRUE)</f>
        <v>0</v>
      </c>
      <c r="BH256" t="b">
        <f>OR(AND(IF(metadata!W256="",FALSE,TRUE),OR(EXACT(metadata!W256,"missing: not collected"),EXACT(metadata!W256,"missing: not provided"),EXACT(metadata!W256,"missing: restricted access"))),AND(IF(metadata!W256="",FALSE,TRUE),OR(EXACT(metadata!W256,"TRUE"),EXACT(metadata!W256,"FALSE"))))</f>
        <v>0</v>
      </c>
      <c r="BI256" t="b">
        <f>AND(IF(metadata!X256="",FALSE,TRUE),EXACT(metadata!X256,"other"))</f>
        <v>0</v>
      </c>
      <c r="BJ256" t="b">
        <f>IF(metadata!Y256="",FALSE,TRUE)</f>
        <v>0</v>
      </c>
      <c r="BK256" t="b">
        <f>OR(AND(IF(metadata!Z256="",FALSE,TRUE),OR(EXACT(metadata!Z256,"missing: not collected"),EXACT(metadata!Z256,"missing: not provided"))),AND(IF(metadata!Z256="",FALSE,IF(ISERROR(INT(metadata!Z256)),FALSE,INT(metadata!Z256)=metadata!Z256)),metadata!Z256&gt;0))</f>
        <v>0</v>
      </c>
      <c r="BL256" t="b">
        <f>AND(IF(metadata!AA256="",FALSE,TRUE),EXACT(metadata!AA256,"Not applicable"))</f>
        <v>0</v>
      </c>
      <c r="BM256" t="b">
        <f>IF(metadata!AB256="",FALSE,TRUE)</f>
        <v>0</v>
      </c>
    </row>
    <row r="257" spans="1:65" x14ac:dyDescent="0.2">
      <c r="A257" s="5" t="str">
        <f ca="1">IF(B257=" "," ",HYPERLINK(CONCATENATE("#metadata!",ADDRESS(INDEX($AH$2:$AH$1001,MATCH(ROWS($AF$2:AF257),$AF$2:$AF$1001,0),0),1)),INDEX($AK$2:$AK$1001,MATCH(ROWS($AF$2:AF257),$AF$2:$AF$1001,0),0)))</f>
        <v xml:space="preserve"> </v>
      </c>
      <c r="B257" s="4" t="str">
        <f ca="1">IF(OR(INDEX($AG$2:$AG$1001,MATCH(ROWS($AF$2:AF257),$AF$2:$AF$1001,0),1)&gt;=100000,INDEX($AM$1005:$BM$1005,1,MATCH(COLUMNS($AM$1006:AM1006),$AM$1006:$BM$1006,0))&gt;=100000), " ",IF(INDEX($AM$2:$BM$1001,MATCH(ROWS($AF$2:AF257),$AF$2:$AF$1001,0),MATCH(COLUMNS($AM$1006:AM1006),$AM$1006:$BM$1006,0)), HYPERLINK("#",""), HYPERLINK(CONCATENATE("#metadata!", ADDRESS(INDEX($AH$2:$AH$1001,MATCH(ROWS($AF$2:AF257),$AF$2:$AF$1001,0),0), INDEX($AM$1004:$BM$1004,1,MATCH(COLUMNS($AM$1006:AM1006),$AM$1006:$BM$1006,0)))),"Fix")))</f>
        <v xml:space="preserve"> </v>
      </c>
      <c r="C257" s="4" t="str">
        <f ca="1">IF(OR(INDEX($AG$2:$AG$1001,MATCH(ROWS($AF$2:AF257),$AF$2:$AF$1001,0),1)&gt;=100000,INDEX($AM$1005:$BM$1005,1,MATCH(COLUMNS($AM$1006:AN1006),$AM$1006:$BM$1006,0))&gt;=100000), " ",IF(INDEX($AM$2:$BM$1001,MATCH(ROWS($AF$2:AF257),$AF$2:$AF$1001,0),MATCH(COLUMNS($AM$1006:AN1006),$AM$1006:$BM$1006,0)), HYPERLINK("#",""), HYPERLINK(CONCATENATE("#metadata!", ADDRESS(INDEX($AH$2:$AH$1001,MATCH(ROWS($AF$2:AF257),$AF$2:$AF$1001,0),0), INDEX($AM$1004:$BM$1004,1,MATCH(COLUMNS($AM$1006:AN1006),$AM$1006:$BM$1006,0)))),"Fix")))</f>
        <v xml:space="preserve"> </v>
      </c>
      <c r="D257" s="4" t="str">
        <f ca="1">IF(OR(INDEX($AG$2:$AG$1001,MATCH(ROWS($AF$2:AF257),$AF$2:$AF$1001,0),1)&gt;=100000,INDEX($AM$1005:$BM$1005,1,MATCH(COLUMNS($AM$1006:AO1006),$AM$1006:$BM$1006,0))&gt;=100000), " ",IF(INDEX($AM$2:$BM$1001,MATCH(ROWS($AF$2:AF257),$AF$2:$AF$1001,0),MATCH(COLUMNS($AM$1006:AO1006),$AM$1006:$BM$1006,0)), HYPERLINK("#",""), HYPERLINK(CONCATENATE("#metadata!", ADDRESS(INDEX($AH$2:$AH$1001,MATCH(ROWS($AF$2:AF257),$AF$2:$AF$1001,0),0), INDEX($AM$1004:$BM$1004,1,MATCH(COLUMNS($AM$1006:AO1006),$AM$1006:$BM$1006,0)))),"Fix")))</f>
        <v xml:space="preserve"> </v>
      </c>
      <c r="E257" s="4" t="str">
        <f ca="1">IF(OR(INDEX($AG$2:$AG$1001,MATCH(ROWS($AF$2:AF257),$AF$2:$AF$1001,0),1)&gt;=100000,INDEX($AM$1005:$BM$1005,1,MATCH(COLUMNS($AM$1006:AP1006),$AM$1006:$BM$1006,0))&gt;=100000), " ",IF(INDEX($AM$2:$BM$1001,MATCH(ROWS($AF$2:AF257),$AF$2:$AF$1001,0),MATCH(COLUMNS($AM$1006:AP1006),$AM$1006:$BM$1006,0)), HYPERLINK("#",""), HYPERLINK(CONCATENATE("#metadata!", ADDRESS(INDEX($AH$2:$AH$1001,MATCH(ROWS($AF$2:AF257),$AF$2:$AF$1001,0),0), INDEX($AM$1004:$BM$1004,1,MATCH(COLUMNS($AM$1006:AP1006),$AM$1006:$BM$1006,0)))),"Fix")))</f>
        <v xml:space="preserve"> </v>
      </c>
      <c r="F257" s="4" t="str">
        <f ca="1">IF(OR(INDEX($AG$2:$AG$1001,MATCH(ROWS($AF$2:AF257),$AF$2:$AF$1001,0),1)&gt;=100000,INDEX($AM$1005:$BM$1005,1,MATCH(COLUMNS($AM$1006:AQ1006),$AM$1006:$BM$1006,0))&gt;=100000), " ",IF(INDEX($AM$2:$BM$1001,MATCH(ROWS($AF$2:AF257),$AF$2:$AF$1001,0),MATCH(COLUMNS($AM$1006:AQ1006),$AM$1006:$BM$1006,0)), HYPERLINK("#",""), HYPERLINK(CONCATENATE("#metadata!", ADDRESS(INDEX($AH$2:$AH$1001,MATCH(ROWS($AF$2:AF257),$AF$2:$AF$1001,0),0), INDEX($AM$1004:$BM$1004,1,MATCH(COLUMNS($AM$1006:AQ1006),$AM$1006:$BM$1006,0)))),"Fix")))</f>
        <v xml:space="preserve"> </v>
      </c>
      <c r="G257" s="4" t="str">
        <f ca="1">IF(OR(INDEX($AG$2:$AG$1001,MATCH(ROWS($AF$2:AF257),$AF$2:$AF$1001,0),1)&gt;=100000,INDEX($AM$1005:$BM$1005,1,MATCH(COLUMNS($AM$1006:AR1006),$AM$1006:$BM$1006,0))&gt;=100000), " ",IF(INDEX($AM$2:$BM$1001,MATCH(ROWS($AF$2:AF257),$AF$2:$AF$1001,0),MATCH(COLUMNS($AM$1006:AR1006),$AM$1006:$BM$1006,0)), HYPERLINK("#",""), HYPERLINK(CONCATENATE("#metadata!", ADDRESS(INDEX($AH$2:$AH$1001,MATCH(ROWS($AF$2:AF257),$AF$2:$AF$1001,0),0), INDEX($AM$1004:$BM$1004,1,MATCH(COLUMNS($AM$1006:AR1006),$AM$1006:$BM$1006,0)))),"Fix")))</f>
        <v xml:space="preserve"> </v>
      </c>
      <c r="H257" s="4" t="str">
        <f ca="1">IF(OR(INDEX($AG$2:$AG$1001,MATCH(ROWS($AF$2:AF257),$AF$2:$AF$1001,0),1)&gt;=100000,INDEX($AM$1005:$BM$1005,1,MATCH(COLUMNS($AM$1006:AS1006),$AM$1006:$BM$1006,0))&gt;=100000), " ",IF(INDEX($AM$2:$BM$1001,MATCH(ROWS($AF$2:AF257),$AF$2:$AF$1001,0),MATCH(COLUMNS($AM$1006:AS1006),$AM$1006:$BM$1006,0)), HYPERLINK("#",""), HYPERLINK(CONCATENATE("#metadata!", ADDRESS(INDEX($AH$2:$AH$1001,MATCH(ROWS($AF$2:AF257),$AF$2:$AF$1001,0),0), INDEX($AM$1004:$BM$1004,1,MATCH(COLUMNS($AM$1006:AS1006),$AM$1006:$BM$1006,0)))),"Fix")))</f>
        <v xml:space="preserve"> </v>
      </c>
      <c r="I257" s="4" t="str">
        <f ca="1">IF(OR(INDEX($AG$2:$AG$1001,MATCH(ROWS($AF$2:AF257),$AF$2:$AF$1001,0),1)&gt;=100000,INDEX($AM$1005:$BM$1005,1,MATCH(COLUMNS($AM$1006:AT1006),$AM$1006:$BM$1006,0))&gt;=100000), " ",IF(INDEX($AM$2:$BM$1001,MATCH(ROWS($AF$2:AF257),$AF$2:$AF$1001,0),MATCH(COLUMNS($AM$1006:AT1006),$AM$1006:$BM$1006,0)), HYPERLINK("#",""), HYPERLINK(CONCATENATE("#metadata!", ADDRESS(INDEX($AH$2:$AH$1001,MATCH(ROWS($AF$2:AF257),$AF$2:$AF$1001,0),0), INDEX($AM$1004:$BM$1004,1,MATCH(COLUMNS($AM$1006:AT1006),$AM$1006:$BM$1006,0)))),"Fix")))</f>
        <v xml:space="preserve"> </v>
      </c>
      <c r="J257" s="4" t="str">
        <f ca="1">IF(OR(INDEX($AG$2:$AG$1001,MATCH(ROWS($AF$2:AF257),$AF$2:$AF$1001,0),1)&gt;=100000,INDEX($AM$1005:$BM$1005,1,MATCH(COLUMNS($AM$1006:AU1006),$AM$1006:$BM$1006,0))&gt;=100000), " ",IF(INDEX($AM$2:$BM$1001,MATCH(ROWS($AF$2:AF257),$AF$2:$AF$1001,0),MATCH(COLUMNS($AM$1006:AU1006),$AM$1006:$BM$1006,0)), HYPERLINK("#",""), HYPERLINK(CONCATENATE("#metadata!", ADDRESS(INDEX($AH$2:$AH$1001,MATCH(ROWS($AF$2:AF257),$AF$2:$AF$1001,0),0), INDEX($AM$1004:$BM$1004,1,MATCH(COLUMNS($AM$1006:AU1006),$AM$1006:$BM$1006,0)))),"Fix")))</f>
        <v xml:space="preserve"> </v>
      </c>
      <c r="K257" s="4" t="str">
        <f ca="1">IF(OR(INDEX($AG$2:$AG$1001,MATCH(ROWS($AF$2:AF257),$AF$2:$AF$1001,0),1)&gt;=100000,INDEX($AM$1005:$BM$1005,1,MATCH(COLUMNS($AM$1006:AV1006),$AM$1006:$BM$1006,0))&gt;=100000), " ",IF(INDEX($AM$2:$BM$1001,MATCH(ROWS($AF$2:AF257),$AF$2:$AF$1001,0),MATCH(COLUMNS($AM$1006:AV1006),$AM$1006:$BM$1006,0)), HYPERLINK("#",""), HYPERLINK(CONCATENATE("#metadata!", ADDRESS(INDEX($AH$2:$AH$1001,MATCH(ROWS($AF$2:AF257),$AF$2:$AF$1001,0),0), INDEX($AM$1004:$BM$1004,1,MATCH(COLUMNS($AM$1006:AV1006),$AM$1006:$BM$1006,0)))),"Fix")))</f>
        <v xml:space="preserve"> </v>
      </c>
      <c r="L257" s="4" t="str">
        <f ca="1">IF(OR(INDEX($AG$2:$AG$1001,MATCH(ROWS($AF$2:AF257),$AF$2:$AF$1001,0),1)&gt;=100000,INDEX($AM$1005:$BM$1005,1,MATCH(COLUMNS($AM$1006:AW1006),$AM$1006:$BM$1006,0))&gt;=100000), " ",IF(INDEX($AM$2:$BM$1001,MATCH(ROWS($AF$2:AF257),$AF$2:$AF$1001,0),MATCH(COLUMNS($AM$1006:AW1006),$AM$1006:$BM$1006,0)), HYPERLINK("#",""), HYPERLINK(CONCATENATE("#metadata!", ADDRESS(INDEX($AH$2:$AH$1001,MATCH(ROWS($AF$2:AF257),$AF$2:$AF$1001,0),0), INDEX($AM$1004:$BM$1004,1,MATCH(COLUMNS($AM$1006:AW1006),$AM$1006:$BM$1006,0)))),"Fix")))</f>
        <v xml:space="preserve"> </v>
      </c>
      <c r="M257" s="4" t="str">
        <f ca="1">IF(OR(INDEX($AG$2:$AG$1001,MATCH(ROWS($AF$2:AF257),$AF$2:$AF$1001,0),1)&gt;=100000,INDEX($AM$1005:$BM$1005,1,MATCH(COLUMNS($AM$1006:AX1006),$AM$1006:$BM$1006,0))&gt;=100000), " ",IF(INDEX($AM$2:$BM$1001,MATCH(ROWS($AF$2:AF257),$AF$2:$AF$1001,0),MATCH(COLUMNS($AM$1006:AX1006),$AM$1006:$BM$1006,0)), HYPERLINK("#",""), HYPERLINK(CONCATENATE("#metadata!", ADDRESS(INDEX($AH$2:$AH$1001,MATCH(ROWS($AF$2:AF257),$AF$2:$AF$1001,0),0), INDEX($AM$1004:$BM$1004,1,MATCH(COLUMNS($AM$1006:AX1006),$AM$1006:$BM$1006,0)))),"Fix")))</f>
        <v xml:space="preserve"> </v>
      </c>
      <c r="N257" s="4" t="str">
        <f ca="1">IF(OR(INDEX($AG$2:$AG$1001,MATCH(ROWS($AF$2:AF257),$AF$2:$AF$1001,0),1)&gt;=100000,INDEX($AM$1005:$BM$1005,1,MATCH(COLUMNS($AM$1006:AY1006),$AM$1006:$BM$1006,0))&gt;=100000), " ",IF(INDEX($AM$2:$BM$1001,MATCH(ROWS($AF$2:AF257),$AF$2:$AF$1001,0),MATCH(COLUMNS($AM$1006:AY1006),$AM$1006:$BM$1006,0)), HYPERLINK("#",""), HYPERLINK(CONCATENATE("#metadata!", ADDRESS(INDEX($AH$2:$AH$1001,MATCH(ROWS($AF$2:AF257),$AF$2:$AF$1001,0),0), INDEX($AM$1004:$BM$1004,1,MATCH(COLUMNS($AM$1006:AY1006),$AM$1006:$BM$1006,0)))),"Fix")))</f>
        <v xml:space="preserve"> </v>
      </c>
      <c r="O257" s="4" t="str">
        <f ca="1">IF(OR(INDEX($AG$2:$AG$1001,MATCH(ROWS($AF$2:AF257),$AF$2:$AF$1001,0),1)&gt;=100000,INDEX($AM$1005:$BM$1005,1,MATCH(COLUMNS($AM$1006:AZ1006),$AM$1006:$BM$1006,0))&gt;=100000), " ",IF(INDEX($AM$2:$BM$1001,MATCH(ROWS($AF$2:AF257),$AF$2:$AF$1001,0),MATCH(COLUMNS($AM$1006:AZ1006),$AM$1006:$BM$1006,0)), HYPERLINK("#",""), HYPERLINK(CONCATENATE("#metadata!", ADDRESS(INDEX($AH$2:$AH$1001,MATCH(ROWS($AF$2:AF257),$AF$2:$AF$1001,0),0), INDEX($AM$1004:$BM$1004,1,MATCH(COLUMNS($AM$1006:AZ1006),$AM$1006:$BM$1006,0)))),"Fix")))</f>
        <v xml:space="preserve"> </v>
      </c>
      <c r="P257" s="4" t="str">
        <f ca="1">IF(OR(INDEX($AG$2:$AG$1001,MATCH(ROWS($AF$2:AF257),$AF$2:$AF$1001,0),1)&gt;=100000,INDEX($AM$1005:$BM$1005,1,MATCH(COLUMNS($AM$1006:BA1006),$AM$1006:$BM$1006,0))&gt;=100000), " ",IF(INDEX($AM$2:$BM$1001,MATCH(ROWS($AF$2:AF257),$AF$2:$AF$1001,0),MATCH(COLUMNS($AM$1006:BA1006),$AM$1006:$BM$1006,0)), HYPERLINK("#",""), HYPERLINK(CONCATENATE("#metadata!", ADDRESS(INDEX($AH$2:$AH$1001,MATCH(ROWS($AF$2:AF257),$AF$2:$AF$1001,0),0), INDEX($AM$1004:$BM$1004,1,MATCH(COLUMNS($AM$1006:BA1006),$AM$1006:$BM$1006,0)))),"Fix")))</f>
        <v xml:space="preserve"> </v>
      </c>
      <c r="Q257" s="4" t="str">
        <f ca="1">IF(OR(INDEX($AG$2:$AG$1001,MATCH(ROWS($AF$2:AF257),$AF$2:$AF$1001,0),1)&gt;=100000,INDEX($AM$1005:$BM$1005,1,MATCH(COLUMNS($AM$1006:BB1006),$AM$1006:$BM$1006,0))&gt;=100000), " ",IF(INDEX($AM$2:$BM$1001,MATCH(ROWS($AF$2:AF257),$AF$2:$AF$1001,0),MATCH(COLUMNS($AM$1006:BB1006),$AM$1006:$BM$1006,0)), HYPERLINK("#",""), HYPERLINK(CONCATENATE("#metadata!", ADDRESS(INDEX($AH$2:$AH$1001,MATCH(ROWS($AF$2:AF257),$AF$2:$AF$1001,0),0), INDEX($AM$1004:$BM$1004,1,MATCH(COLUMNS($AM$1006:BB1006),$AM$1006:$BM$1006,0)))),"Fix")))</f>
        <v xml:space="preserve"> </v>
      </c>
      <c r="R257" s="4" t="str">
        <f ca="1">IF(OR(INDEX($AG$2:$AG$1001,MATCH(ROWS($AF$2:AF257),$AF$2:$AF$1001,0),1)&gt;=100000,INDEX($AM$1005:$BM$1005,1,MATCH(COLUMNS($AM$1006:BC1006),$AM$1006:$BM$1006,0))&gt;=100000), " ",IF(INDEX($AM$2:$BM$1001,MATCH(ROWS($AF$2:AF257),$AF$2:$AF$1001,0),MATCH(COLUMNS($AM$1006:BC1006),$AM$1006:$BM$1006,0)), HYPERLINK("#",""), HYPERLINK(CONCATENATE("#metadata!", ADDRESS(INDEX($AH$2:$AH$1001,MATCH(ROWS($AF$2:AF257),$AF$2:$AF$1001,0),0), INDEX($AM$1004:$BM$1004,1,MATCH(COLUMNS($AM$1006:BC1006),$AM$1006:$BM$1006,0)))),"Fix")))</f>
        <v xml:space="preserve"> </v>
      </c>
      <c r="S257" s="4" t="str">
        <f ca="1">IF(OR(INDEX($AG$2:$AG$1001,MATCH(ROWS($AF$2:AF257),$AF$2:$AF$1001,0),1)&gt;=100000,INDEX($AM$1005:$BM$1005,1,MATCH(COLUMNS($AM$1006:BD1006),$AM$1006:$BM$1006,0))&gt;=100000), " ",IF(INDEX($AM$2:$BM$1001,MATCH(ROWS($AF$2:AF257),$AF$2:$AF$1001,0),MATCH(COLUMNS($AM$1006:BD1006),$AM$1006:$BM$1006,0)), HYPERLINK("#",""), HYPERLINK(CONCATENATE("#metadata!", ADDRESS(INDEX($AH$2:$AH$1001,MATCH(ROWS($AF$2:AF257),$AF$2:$AF$1001,0),0), INDEX($AM$1004:$BM$1004,1,MATCH(COLUMNS($AM$1006:BD1006),$AM$1006:$BM$1006,0)))),"Fix")))</f>
        <v xml:space="preserve"> </v>
      </c>
      <c r="T257" s="4" t="str">
        <f ca="1">IF(OR(INDEX($AG$2:$AG$1001,MATCH(ROWS($AF$2:AF257),$AF$2:$AF$1001,0),1)&gt;=100000,INDEX($AM$1005:$BM$1005,1,MATCH(COLUMNS($AM$1006:BE1006),$AM$1006:$BM$1006,0))&gt;=100000), " ",IF(INDEX($AM$2:$BM$1001,MATCH(ROWS($AF$2:AF257),$AF$2:$AF$1001,0),MATCH(COLUMNS($AM$1006:BE1006),$AM$1006:$BM$1006,0)), HYPERLINK("#",""), HYPERLINK(CONCATENATE("#metadata!", ADDRESS(INDEX($AH$2:$AH$1001,MATCH(ROWS($AF$2:AF257),$AF$2:$AF$1001,0),0), INDEX($AM$1004:$BM$1004,1,MATCH(COLUMNS($AM$1006:BE1006),$AM$1006:$BM$1006,0)))),"Fix")))</f>
        <v xml:space="preserve"> </v>
      </c>
      <c r="U257" s="4" t="str">
        <f ca="1">IF(OR(INDEX($AG$2:$AG$1001,MATCH(ROWS($AF$2:AF257),$AF$2:$AF$1001,0),1)&gt;=100000,INDEX($AM$1005:$BM$1005,1,MATCH(COLUMNS($AM$1006:BF1006),$AM$1006:$BM$1006,0))&gt;=100000), " ",IF(INDEX($AM$2:$BM$1001,MATCH(ROWS($AF$2:AF257),$AF$2:$AF$1001,0),MATCH(COLUMNS($AM$1006:BF1006),$AM$1006:$BM$1006,0)), HYPERLINK("#",""), HYPERLINK(CONCATENATE("#metadata!", ADDRESS(INDEX($AH$2:$AH$1001,MATCH(ROWS($AF$2:AF257),$AF$2:$AF$1001,0),0), INDEX($AM$1004:$BM$1004,1,MATCH(COLUMNS($AM$1006:BF1006),$AM$1006:$BM$1006,0)))),"Fix")))</f>
        <v xml:space="preserve"> </v>
      </c>
      <c r="V257" s="4" t="str">
        <f ca="1">IF(OR(INDEX($AG$2:$AG$1001,MATCH(ROWS($AF$2:AF257),$AF$2:$AF$1001,0),1)&gt;=100000,INDEX($AM$1005:$BM$1005,1,MATCH(COLUMNS($AM$1006:BG1006),$AM$1006:$BM$1006,0))&gt;=100000), " ",IF(INDEX($AM$2:$BM$1001,MATCH(ROWS($AF$2:AF257),$AF$2:$AF$1001,0),MATCH(COLUMNS($AM$1006:BG1006),$AM$1006:$BM$1006,0)), HYPERLINK("#",""), HYPERLINK(CONCATENATE("#metadata!", ADDRESS(INDEX($AH$2:$AH$1001,MATCH(ROWS($AF$2:AF257),$AF$2:$AF$1001,0),0), INDEX($AM$1004:$BM$1004,1,MATCH(COLUMNS($AM$1006:BG1006),$AM$1006:$BM$1006,0)))),"Fix")))</f>
        <v xml:space="preserve"> </v>
      </c>
      <c r="W257" s="4" t="str">
        <f ca="1">IF(OR(INDEX($AG$2:$AG$1001,MATCH(ROWS($AF$2:AF257),$AF$2:$AF$1001,0),1)&gt;=100000,INDEX($AM$1005:$BM$1005,1,MATCH(COLUMNS($AM$1006:BH1006),$AM$1006:$BM$1006,0))&gt;=100000), " ",IF(INDEX($AM$2:$BM$1001,MATCH(ROWS($AF$2:AF257),$AF$2:$AF$1001,0),MATCH(COLUMNS($AM$1006:BH1006),$AM$1006:$BM$1006,0)), HYPERLINK("#",""), HYPERLINK(CONCATENATE("#metadata!", ADDRESS(INDEX($AH$2:$AH$1001,MATCH(ROWS($AF$2:AF257),$AF$2:$AF$1001,0),0), INDEX($AM$1004:$BM$1004,1,MATCH(COLUMNS($AM$1006:BH1006),$AM$1006:$BM$1006,0)))),"Fix")))</f>
        <v xml:space="preserve"> </v>
      </c>
      <c r="X257" s="4" t="str">
        <f ca="1">IF(OR(INDEX($AG$2:$AG$1001,MATCH(ROWS($AF$2:AF257),$AF$2:$AF$1001,0),1)&gt;=100000,INDEX($AM$1005:$BM$1005,1,MATCH(COLUMNS($AM$1006:BI1006),$AM$1006:$BM$1006,0))&gt;=100000), " ",IF(INDEX($AM$2:$BM$1001,MATCH(ROWS($AF$2:AF257),$AF$2:$AF$1001,0),MATCH(COLUMNS($AM$1006:BI1006),$AM$1006:$BM$1006,0)), HYPERLINK("#",""), HYPERLINK(CONCATENATE("#metadata!", ADDRESS(INDEX($AH$2:$AH$1001,MATCH(ROWS($AF$2:AF257),$AF$2:$AF$1001,0),0), INDEX($AM$1004:$BM$1004,1,MATCH(COLUMNS($AM$1006:BI1006),$AM$1006:$BM$1006,0)))),"Fix")))</f>
        <v xml:space="preserve"> </v>
      </c>
      <c r="Y257" s="4" t="str">
        <f ca="1">IF(OR(INDEX($AG$2:$AG$1001,MATCH(ROWS($AF$2:AF257),$AF$2:$AF$1001,0),1)&gt;=100000,INDEX($AM$1005:$BM$1005,1,MATCH(COLUMNS($AM$1006:BJ1006),$AM$1006:$BM$1006,0))&gt;=100000), " ",IF(INDEX($AM$2:$BM$1001,MATCH(ROWS($AF$2:AF257),$AF$2:$AF$1001,0),MATCH(COLUMNS($AM$1006:BJ1006),$AM$1006:$BM$1006,0)), HYPERLINK("#",""), HYPERLINK(CONCATENATE("#metadata!", ADDRESS(INDEX($AH$2:$AH$1001,MATCH(ROWS($AF$2:AF257),$AF$2:$AF$1001,0),0), INDEX($AM$1004:$BM$1004,1,MATCH(COLUMNS($AM$1006:BJ1006),$AM$1006:$BM$1006,0)))),"Fix")))</f>
        <v xml:space="preserve"> </v>
      </c>
      <c r="Z257" s="4" t="str">
        <f ca="1">IF(OR(INDEX($AG$2:$AG$1001,MATCH(ROWS($AF$2:AF257),$AF$2:$AF$1001,0),1)&gt;=100000,INDEX($AM$1005:$BM$1005,1,MATCH(COLUMNS($AM$1006:BK1006),$AM$1006:$BM$1006,0))&gt;=100000), " ",IF(INDEX($AM$2:$BM$1001,MATCH(ROWS($AF$2:AF257),$AF$2:$AF$1001,0),MATCH(COLUMNS($AM$1006:BK1006),$AM$1006:$BM$1006,0)), HYPERLINK("#",""), HYPERLINK(CONCATENATE("#metadata!", ADDRESS(INDEX($AH$2:$AH$1001,MATCH(ROWS($AF$2:AF257),$AF$2:$AF$1001,0),0), INDEX($AM$1004:$BM$1004,1,MATCH(COLUMNS($AM$1006:BK1006),$AM$1006:$BM$1006,0)))),"Fix")))</f>
        <v xml:space="preserve"> </v>
      </c>
      <c r="AA257" s="4" t="str">
        <f ca="1">IF(OR(INDEX($AG$2:$AG$1001,MATCH(ROWS($AF$2:AF257),$AF$2:$AF$1001,0),1)&gt;=100000,INDEX($AM$1005:$BM$1005,1,MATCH(COLUMNS($AM$1006:BL1006),$AM$1006:$BM$1006,0))&gt;=100000), " ",IF(INDEX($AM$2:$BM$1001,MATCH(ROWS($AF$2:AF257),$AF$2:$AF$1001,0),MATCH(COLUMNS($AM$1006:BL1006),$AM$1006:$BM$1006,0)), HYPERLINK("#",""), HYPERLINK(CONCATENATE("#metadata!", ADDRESS(INDEX($AH$2:$AH$1001,MATCH(ROWS($AF$2:AF257),$AF$2:$AF$1001,0),0), INDEX($AM$1004:$BM$1004,1,MATCH(COLUMNS($AM$1006:BL1006),$AM$1006:$BM$1006,0)))),"Fix")))</f>
        <v xml:space="preserve"> </v>
      </c>
      <c r="AB257" s="4" t="str">
        <f ca="1">IF(OR(INDEX($AG$2:$AG$1001,MATCH(ROWS($AF$2:AF257),$AF$2:$AF$1001,0),1)&gt;=100000,INDEX($AM$1005:$BM$1005,1,MATCH(COLUMNS($AM$1006:BM1006),$AM$1006:$BM$1006,0))&gt;=100000), " ",IF(INDEX($AM$2:$BM$1001,MATCH(ROWS($AF$2:AF257),$AF$2:$AF$1001,0),MATCH(COLUMNS($AM$1006:BM1006),$AM$1006:$BM$1006,0)), HYPERLINK("#",""), HYPERLINK(CONCATENATE("#metadata!", ADDRESS(INDEX($AH$2:$AH$1001,MATCH(ROWS($AF$2:AF257),$AF$2:$AF$1001,0),0), INDEX($AM$1004:$BM$1004,1,MATCH(COLUMNS($AM$1006:BM1006),$AM$1006:$BM$1006,0)))),"Fix")))</f>
        <v xml:space="preserve"> </v>
      </c>
      <c r="AF257">
        <v>256</v>
      </c>
      <c r="AG257">
        <v>100257</v>
      </c>
      <c r="AH257">
        <v>257</v>
      </c>
      <c r="AI257" t="b">
        <f t="shared" si="3"/>
        <v>1</v>
      </c>
      <c r="AJ257" t="b">
        <f>COUNTBLANK(metadata!B257:AB257)=COLUMNS(metadata!B257:AB257)</f>
        <v>1</v>
      </c>
      <c r="AK257" t="str">
        <v/>
      </c>
      <c r="AM257" t="b">
        <f ca="1">AND(IF(metadata!B257="",FALSE,TRUE),COUNTIF(metadata!B:B, metadata!B257) = 1,NOT(ISERROR(SUMPRODUCT(SEARCH(MID(metadata!B257,ROW(INDIRECT("1:"&amp;LEN(metadata!B257))), 1),"0123456789abcdefghijklmnopqrstuvwxyzABCDEFGHIJKLMNOPQRSTUVWXYZ.")))))</f>
        <v>0</v>
      </c>
      <c r="AN257" t="b">
        <f ca="1">OR(AND(IF(metadata!C257="",FALSE,TRUE),OR(EXACT(metadata!C257,"missing: not collected"),EXACT(metadata!C257,"missing: not provided"),EXACT(metadata!C257,"missing: restricted access"))),AND(IF(metadata!C257="",FALSE,TRUE),AND(AND(IFERROR(INT(LEFT(metadata!C257,4))&gt;1900,FALSE),IFERROR(INT(LEFT(metadata!C257,4))&lt;=YEAR(NOW()),FALSE)), OR(MID(metadata!C257,5,1)="", AND(AND(MID(metadata!C257,5,1)="-",IFERROR(INT(MID(metadata!C257,6,1))&gt;=0,FALSE),IFERROR(INT(MID(metadata!C257,6,1))&lt;=1,FALSE),NOT(MID(metadata!C257,7,1)=""),IFERROR(INT(MID(metadata!C257,6,2))&gt;=1,FALSE),IFERROR(INT(MID(metadata!C257,6,2))&lt;=12,FALSE)), OR(MID(metadata!C257,8,1)="", AND(AND(MID(metadata!C257,8,1)="-",IFERROR(INT(MID(metadata!C257,9,1))&gt;=0,FALSE),IFERROR(INT(MID(metadata!C257,9,1))&lt;=3,FALSE),NOT(MID(metadata!C257,10,1)=""),IFERROR(INT(MID(metadata!C257,9,2))&gt;=1,FALSE),IFERROR(INT(MID(metadata!C257,9,2))&lt;=31,FALSE)), OR(MID(metadata!C257,11,1)="", AND(AND(MID(metadata!C257,11,1)=" ",IFERROR(INT(MID(metadata!C257,12,1))&gt;=0,FALSE),IFERROR(INT(MID(metadata!C257,12,1))&lt;=2,FALSE),NOT(MID(metadata!C257,13,1)=""),IFERROR(INT(MID(metadata!C257,12,2))&gt;=0,FALSE),IFERROR(INT(MID(metadata!C257,12,2))&lt;=23,FALSE)), OR(MID(metadata!C257,14,1)="", AND(AND(MID(metadata!C257,14,1)=":",IFERROR(INT(MID(metadata!C257,15,1))&gt;=0,FALSE),IFERROR(INT(MID(metadata!C257,15,1))&lt;=5,FALSE),NOT(MID(metadata!C257,16,1)=""),IFERROR(INT(MID(metadata!C257,15,2))&gt;=0,FALSE),IFERROR(INT(MID(metadata!C257,15,2))&lt;=59,FALSE)), OR(MID(metadata!C257,17,1)="", AND(AND(MID(metadata!C257,17,1)=":",IFERROR(INT(MID(metadata!C257,18,1))&gt;=0,FALSE),IFERROR(INT(MID(metadata!C257,18,1))&lt;=5,FALSE),NOT(MID(metadata!C257,19,1)=""),IFERROR(INT(MID(metadata!C257,18,2))&gt;=0,FALSE),IFERROR(INT(MID(metadata!C257,18,2))&lt;=59,FALSE)), LEN(metadata!C257)&lt;=19)))))))))))))</f>
        <v>0</v>
      </c>
      <c r="AO257" t="b">
        <f>AND(IF(metadata!D257="",FALSE,TRUE),EXACT(metadata!D257,"Not applicable"))</f>
        <v>0</v>
      </c>
      <c r="AP257" t="b">
        <f>IF(metadata!E257="",FALSE,TRUE)</f>
        <v>0</v>
      </c>
      <c r="AQ257" t="b">
        <f>OR(AND(IF(metadata!F257="",FALSE,TRUE),OR(EXACT(metadata!F257,"missing: not collected"),EXACT(metadata!F257,"missing: not provided"))),AND(IF(metadata!F257="",FALSE,TRUE),OR(EXACT(metadata!F257,"TRUE"),EXACT(metadata!F257,"FALSE"))))</f>
        <v>0</v>
      </c>
      <c r="AR257" t="b">
        <f>OR(AND(IF(metadata!G257="",FALSE,TRUE),OR(EXACT(metadata!G257,"missing: not collected"),EXACT(metadata!G257,"missing: not provided"),EXACT(metadata!G257,"missing: restricted access"))),AND(IF(metadata!G257="",FALSE,ISNUMBER(VALUE(metadata!G257))),metadata!G257&gt;=-413))</f>
        <v>0</v>
      </c>
      <c r="AS257" t="b">
        <f>AND(IF(metadata!H257="",FALSE,TRUE),EXACT(metadata!H257,"meters"))</f>
        <v>0</v>
      </c>
      <c r="AT257" t="b">
        <f>AND(IF(metadata!I257="",FALSE,TRUE),OR(EXACT(metadata!I257,"Host-associated"),EXACT(metadata!I257,"Free-living")))</f>
        <v>0</v>
      </c>
      <c r="AU257" t="b">
        <f>AND(IF(metadata!J257="",FALSE,TRUE),OR(EXACT(metadata!J257,"Animal"),EXACT(metadata!J257,"Fungus"),EXACT(metadata!J257,"Plant"),EXACT(metadata!J257,"Saline"),EXACT(metadata!J257,"Non-saline")))</f>
        <v>0</v>
      </c>
      <c r="AV257" t="b">
        <f>AND(IF(metadata!K257="",FALSE,TRUE),OR(EXACT(metadata!K257,"Plant secretion"),EXACT(metadata!K257,"Plant rhizosphere"),EXACT(metadata!K257,"Plant surface"),EXACT(metadata!K257,"Plant corpus"),EXACT(metadata!K257,"Fungus surface"),EXACT(metadata!K257,"Fungus corpus"),EXACT(metadata!K257,"Animal surface"),EXACT(metadata!K257,"Animal proximal gut"),EXACT(metadata!K257,"Animal corpus"),EXACT(metadata!K257,"Animal distal gut"),EXACT(metadata!K257,"Animal secretion"),EXACT(metadata!K257,"Sub-surface (non-saline)"),EXACT(metadata!K257,"Surface (non-saline)"),EXACT(metadata!K257,"Water (non-saline)"),EXACT(metadata!K257,"Soil (non-saline)"),EXACT(metadata!K257,"Aerosol (non-saline)"),EXACT(metadata!K257,"Sediment (non-saline)"),EXACT(metadata!K257,"Surface (saline)"),EXACT(metadata!K257,"Water (saline)"),EXACT(metadata!K257,"Hypersaline (saline)"),EXACT(metadata!K257,"Aerosol (saline)"),EXACT(metadata!K257,"Sediment (saline)")))</f>
        <v>0</v>
      </c>
      <c r="AW257" t="b">
        <f>IF(metadata!L257="",FALSE,TRUE)</f>
        <v>0</v>
      </c>
      <c r="AX257" t="b">
        <f>IF(metadata!M257="",FALSE,TRUE)</f>
        <v>0</v>
      </c>
      <c r="AY257" t="b">
        <f>IF(metadata!N257="",FALSE,TRUE)</f>
        <v>0</v>
      </c>
      <c r="AZ257" t="b">
        <f>OR(AND(IF(metadata!O257="",FALSE,TRUE),OR(EXACT(metadata!O257,"missing: not collected"),EXACT(metadata!O257,"missing: not provided"),EXACT(metadata!O257,"missing: restricted access"))),AND(IF(metadata!O257="",FALSE,TRUE),OR(EXACT(metadata!O257,"air"),EXACT(metadata!O257,"built environment"),EXACT(metadata!O257,"host-associated"),EXACT(metadata!O257,"human-associated"),EXACT(metadata!O257,"human-skin"),EXACT(metadata!O257,"human-oral"),EXACT(metadata!O257,"human-gut"),EXACT(metadata!O257,"human-vaginal"),EXACT(metadata!O257,"microbial mat/biofilm"),EXACT(metadata!O257,"misc environment"),EXACT(metadata!O257,"plant-associated"),EXACT(metadata!O257,"sediment"),EXACT(metadata!O257,"soil"),EXACT(metadata!O257,"wastewater/sludge"),EXACT(metadata!O257,"water"))))</f>
        <v>0</v>
      </c>
      <c r="BA257" t="b">
        <f>IF(metadata!P257="",FALSE,TRUE)</f>
        <v>0</v>
      </c>
      <c r="BB257" t="b">
        <f>IF(metadata!Q257="",FALSE,TRUE)</f>
        <v>0</v>
      </c>
      <c r="BC257" t="b">
        <f>OR(AND(IF(metadata!R257="",FALSE,TRUE),OR(EXACT(metadata!R257,"missing: not collected"),EXACT(metadata!R257,"missing: not provided"),EXACT(metadata!R257,"missing: restricted access"))),AND(IF(metadata!R257="",FALSE,ISNUMBER(VALUE(metadata!R257))),metadata!R257&gt;=-90,metadata!R257&lt;=90))</f>
        <v>0</v>
      </c>
      <c r="BD257" t="b">
        <f>AND(IF(metadata!S257="",FALSE,TRUE),EXACT(metadata!S257,"Decimal degrees"))</f>
        <v>0</v>
      </c>
      <c r="BE257" t="b">
        <f>OR(AND(IF(metadata!T257="",FALSE,TRUE),OR(EXACT(metadata!T257,"missing: not collected"),EXACT(metadata!T257,"missing: not provided"),EXACT(metadata!T257,"missing: restricted access"))),AND(IF(metadata!T257="",FALSE,ISNUMBER(VALUE(metadata!T257))),metadata!T257&gt;=-180,metadata!T257&lt;=180))</f>
        <v>0</v>
      </c>
      <c r="BF257" t="b">
        <f>AND(IF(metadata!U257="",FALSE,TRUE),EXACT(metadata!U257,"Decimal degrees"))</f>
        <v>0</v>
      </c>
      <c r="BG257" t="b">
        <f>IF(metadata!V257="",FALSE,TRUE)</f>
        <v>0</v>
      </c>
      <c r="BH257" t="b">
        <f>OR(AND(IF(metadata!W257="",FALSE,TRUE),OR(EXACT(metadata!W257,"missing: not collected"),EXACT(metadata!W257,"missing: not provided"),EXACT(metadata!W257,"missing: restricted access"))),AND(IF(metadata!W257="",FALSE,TRUE),OR(EXACT(metadata!W257,"TRUE"),EXACT(metadata!W257,"FALSE"))))</f>
        <v>0</v>
      </c>
      <c r="BI257" t="b">
        <f>AND(IF(metadata!X257="",FALSE,TRUE),EXACT(metadata!X257,"other"))</f>
        <v>0</v>
      </c>
      <c r="BJ257" t="b">
        <f>IF(metadata!Y257="",FALSE,TRUE)</f>
        <v>0</v>
      </c>
      <c r="BK257" t="b">
        <f>OR(AND(IF(metadata!Z257="",FALSE,TRUE),OR(EXACT(metadata!Z257,"missing: not collected"),EXACT(metadata!Z257,"missing: not provided"))),AND(IF(metadata!Z257="",FALSE,IF(ISERROR(INT(metadata!Z257)),FALSE,INT(metadata!Z257)=metadata!Z257)),metadata!Z257&gt;0))</f>
        <v>0</v>
      </c>
      <c r="BL257" t="b">
        <f>AND(IF(metadata!AA257="",FALSE,TRUE),EXACT(metadata!AA257,"Not applicable"))</f>
        <v>0</v>
      </c>
      <c r="BM257" t="b">
        <f>IF(metadata!AB257="",FALSE,TRUE)</f>
        <v>0</v>
      </c>
    </row>
    <row r="258" spans="1:65" x14ac:dyDescent="0.2">
      <c r="A258" s="5" t="str">
        <f ca="1">IF(B258=" "," ",HYPERLINK(CONCATENATE("#metadata!",ADDRESS(INDEX($AH$2:$AH$1001,MATCH(ROWS($AF$2:AF258),$AF$2:$AF$1001,0),0),1)),INDEX($AK$2:$AK$1001,MATCH(ROWS($AF$2:AF258),$AF$2:$AF$1001,0),0)))</f>
        <v xml:space="preserve"> </v>
      </c>
      <c r="B258" s="4" t="str">
        <f ca="1">IF(OR(INDEX($AG$2:$AG$1001,MATCH(ROWS($AF$2:AF258),$AF$2:$AF$1001,0),1)&gt;=100000,INDEX($AM$1005:$BM$1005,1,MATCH(COLUMNS($AM$1006:AM1006),$AM$1006:$BM$1006,0))&gt;=100000), " ",IF(INDEX($AM$2:$BM$1001,MATCH(ROWS($AF$2:AF258),$AF$2:$AF$1001,0),MATCH(COLUMNS($AM$1006:AM1006),$AM$1006:$BM$1006,0)), HYPERLINK("#",""), HYPERLINK(CONCATENATE("#metadata!", ADDRESS(INDEX($AH$2:$AH$1001,MATCH(ROWS($AF$2:AF258),$AF$2:$AF$1001,0),0), INDEX($AM$1004:$BM$1004,1,MATCH(COLUMNS($AM$1006:AM1006),$AM$1006:$BM$1006,0)))),"Fix")))</f>
        <v xml:space="preserve"> </v>
      </c>
      <c r="C258" s="4" t="str">
        <f ca="1">IF(OR(INDEX($AG$2:$AG$1001,MATCH(ROWS($AF$2:AF258),$AF$2:$AF$1001,0),1)&gt;=100000,INDEX($AM$1005:$BM$1005,1,MATCH(COLUMNS($AM$1006:AN1006),$AM$1006:$BM$1006,0))&gt;=100000), " ",IF(INDEX($AM$2:$BM$1001,MATCH(ROWS($AF$2:AF258),$AF$2:$AF$1001,0),MATCH(COLUMNS($AM$1006:AN1006),$AM$1006:$BM$1006,0)), HYPERLINK("#",""), HYPERLINK(CONCATENATE("#metadata!", ADDRESS(INDEX($AH$2:$AH$1001,MATCH(ROWS($AF$2:AF258),$AF$2:$AF$1001,0),0), INDEX($AM$1004:$BM$1004,1,MATCH(COLUMNS($AM$1006:AN1006),$AM$1006:$BM$1006,0)))),"Fix")))</f>
        <v xml:space="preserve"> </v>
      </c>
      <c r="D258" s="4" t="str">
        <f ca="1">IF(OR(INDEX($AG$2:$AG$1001,MATCH(ROWS($AF$2:AF258),$AF$2:$AF$1001,0),1)&gt;=100000,INDEX($AM$1005:$BM$1005,1,MATCH(COLUMNS($AM$1006:AO1006),$AM$1006:$BM$1006,0))&gt;=100000), " ",IF(INDEX($AM$2:$BM$1001,MATCH(ROWS($AF$2:AF258),$AF$2:$AF$1001,0),MATCH(COLUMNS($AM$1006:AO1006),$AM$1006:$BM$1006,0)), HYPERLINK("#",""), HYPERLINK(CONCATENATE("#metadata!", ADDRESS(INDEX($AH$2:$AH$1001,MATCH(ROWS($AF$2:AF258),$AF$2:$AF$1001,0),0), INDEX($AM$1004:$BM$1004,1,MATCH(COLUMNS($AM$1006:AO1006),$AM$1006:$BM$1006,0)))),"Fix")))</f>
        <v xml:space="preserve"> </v>
      </c>
      <c r="E258" s="4" t="str">
        <f ca="1">IF(OR(INDEX($AG$2:$AG$1001,MATCH(ROWS($AF$2:AF258),$AF$2:$AF$1001,0),1)&gt;=100000,INDEX($AM$1005:$BM$1005,1,MATCH(COLUMNS($AM$1006:AP1006),$AM$1006:$BM$1006,0))&gt;=100000), " ",IF(INDEX($AM$2:$BM$1001,MATCH(ROWS($AF$2:AF258),$AF$2:$AF$1001,0),MATCH(COLUMNS($AM$1006:AP1006),$AM$1006:$BM$1006,0)), HYPERLINK("#",""), HYPERLINK(CONCATENATE("#metadata!", ADDRESS(INDEX($AH$2:$AH$1001,MATCH(ROWS($AF$2:AF258),$AF$2:$AF$1001,0),0), INDEX($AM$1004:$BM$1004,1,MATCH(COLUMNS($AM$1006:AP1006),$AM$1006:$BM$1006,0)))),"Fix")))</f>
        <v xml:space="preserve"> </v>
      </c>
      <c r="F258" s="4" t="str">
        <f ca="1">IF(OR(INDEX($AG$2:$AG$1001,MATCH(ROWS($AF$2:AF258),$AF$2:$AF$1001,0),1)&gt;=100000,INDEX($AM$1005:$BM$1005,1,MATCH(COLUMNS($AM$1006:AQ1006),$AM$1006:$BM$1006,0))&gt;=100000), " ",IF(INDEX($AM$2:$BM$1001,MATCH(ROWS($AF$2:AF258),$AF$2:$AF$1001,0),MATCH(COLUMNS($AM$1006:AQ1006),$AM$1006:$BM$1006,0)), HYPERLINK("#",""), HYPERLINK(CONCATENATE("#metadata!", ADDRESS(INDEX($AH$2:$AH$1001,MATCH(ROWS($AF$2:AF258),$AF$2:$AF$1001,0),0), INDEX($AM$1004:$BM$1004,1,MATCH(COLUMNS($AM$1006:AQ1006),$AM$1006:$BM$1006,0)))),"Fix")))</f>
        <v xml:space="preserve"> </v>
      </c>
      <c r="G258" s="4" t="str">
        <f ca="1">IF(OR(INDEX($AG$2:$AG$1001,MATCH(ROWS($AF$2:AF258),$AF$2:$AF$1001,0),1)&gt;=100000,INDEX($AM$1005:$BM$1005,1,MATCH(COLUMNS($AM$1006:AR1006),$AM$1006:$BM$1006,0))&gt;=100000), " ",IF(INDEX($AM$2:$BM$1001,MATCH(ROWS($AF$2:AF258),$AF$2:$AF$1001,0),MATCH(COLUMNS($AM$1006:AR1006),$AM$1006:$BM$1006,0)), HYPERLINK("#",""), HYPERLINK(CONCATENATE("#metadata!", ADDRESS(INDEX($AH$2:$AH$1001,MATCH(ROWS($AF$2:AF258),$AF$2:$AF$1001,0),0), INDEX($AM$1004:$BM$1004,1,MATCH(COLUMNS($AM$1006:AR1006),$AM$1006:$BM$1006,0)))),"Fix")))</f>
        <v xml:space="preserve"> </v>
      </c>
      <c r="H258" s="4" t="str">
        <f ca="1">IF(OR(INDEX($AG$2:$AG$1001,MATCH(ROWS($AF$2:AF258),$AF$2:$AF$1001,0),1)&gt;=100000,INDEX($AM$1005:$BM$1005,1,MATCH(COLUMNS($AM$1006:AS1006),$AM$1006:$BM$1006,0))&gt;=100000), " ",IF(INDEX($AM$2:$BM$1001,MATCH(ROWS($AF$2:AF258),$AF$2:$AF$1001,0),MATCH(COLUMNS($AM$1006:AS1006),$AM$1006:$BM$1006,0)), HYPERLINK("#",""), HYPERLINK(CONCATENATE("#metadata!", ADDRESS(INDEX($AH$2:$AH$1001,MATCH(ROWS($AF$2:AF258),$AF$2:$AF$1001,0),0), INDEX($AM$1004:$BM$1004,1,MATCH(COLUMNS($AM$1006:AS1006),$AM$1006:$BM$1006,0)))),"Fix")))</f>
        <v xml:space="preserve"> </v>
      </c>
      <c r="I258" s="4" t="str">
        <f ca="1">IF(OR(INDEX($AG$2:$AG$1001,MATCH(ROWS($AF$2:AF258),$AF$2:$AF$1001,0),1)&gt;=100000,INDEX($AM$1005:$BM$1005,1,MATCH(COLUMNS($AM$1006:AT1006),$AM$1006:$BM$1006,0))&gt;=100000), " ",IF(INDEX($AM$2:$BM$1001,MATCH(ROWS($AF$2:AF258),$AF$2:$AF$1001,0),MATCH(COLUMNS($AM$1006:AT1006),$AM$1006:$BM$1006,0)), HYPERLINK("#",""), HYPERLINK(CONCATENATE("#metadata!", ADDRESS(INDEX($AH$2:$AH$1001,MATCH(ROWS($AF$2:AF258),$AF$2:$AF$1001,0),0), INDEX($AM$1004:$BM$1004,1,MATCH(COLUMNS($AM$1006:AT1006),$AM$1006:$BM$1006,0)))),"Fix")))</f>
        <v xml:space="preserve"> </v>
      </c>
      <c r="J258" s="4" t="str">
        <f ca="1">IF(OR(INDEX($AG$2:$AG$1001,MATCH(ROWS($AF$2:AF258),$AF$2:$AF$1001,0),1)&gt;=100000,INDEX($AM$1005:$BM$1005,1,MATCH(COLUMNS($AM$1006:AU1006),$AM$1006:$BM$1006,0))&gt;=100000), " ",IF(INDEX($AM$2:$BM$1001,MATCH(ROWS($AF$2:AF258),$AF$2:$AF$1001,0),MATCH(COLUMNS($AM$1006:AU1006),$AM$1006:$BM$1006,0)), HYPERLINK("#",""), HYPERLINK(CONCATENATE("#metadata!", ADDRESS(INDEX($AH$2:$AH$1001,MATCH(ROWS($AF$2:AF258),$AF$2:$AF$1001,0),0), INDEX($AM$1004:$BM$1004,1,MATCH(COLUMNS($AM$1006:AU1006),$AM$1006:$BM$1006,0)))),"Fix")))</f>
        <v xml:space="preserve"> </v>
      </c>
      <c r="K258" s="4" t="str">
        <f ca="1">IF(OR(INDEX($AG$2:$AG$1001,MATCH(ROWS($AF$2:AF258),$AF$2:$AF$1001,0),1)&gt;=100000,INDEX($AM$1005:$BM$1005,1,MATCH(COLUMNS($AM$1006:AV1006),$AM$1006:$BM$1006,0))&gt;=100000), " ",IF(INDEX($AM$2:$BM$1001,MATCH(ROWS($AF$2:AF258),$AF$2:$AF$1001,0),MATCH(COLUMNS($AM$1006:AV1006),$AM$1006:$BM$1006,0)), HYPERLINK("#",""), HYPERLINK(CONCATENATE("#metadata!", ADDRESS(INDEX($AH$2:$AH$1001,MATCH(ROWS($AF$2:AF258),$AF$2:$AF$1001,0),0), INDEX($AM$1004:$BM$1004,1,MATCH(COLUMNS($AM$1006:AV1006),$AM$1006:$BM$1006,0)))),"Fix")))</f>
        <v xml:space="preserve"> </v>
      </c>
      <c r="L258" s="4" t="str">
        <f ca="1">IF(OR(INDEX($AG$2:$AG$1001,MATCH(ROWS($AF$2:AF258),$AF$2:$AF$1001,0),1)&gt;=100000,INDEX($AM$1005:$BM$1005,1,MATCH(COLUMNS($AM$1006:AW1006),$AM$1006:$BM$1006,0))&gt;=100000), " ",IF(INDEX($AM$2:$BM$1001,MATCH(ROWS($AF$2:AF258),$AF$2:$AF$1001,0),MATCH(COLUMNS($AM$1006:AW1006),$AM$1006:$BM$1006,0)), HYPERLINK("#",""), HYPERLINK(CONCATENATE("#metadata!", ADDRESS(INDEX($AH$2:$AH$1001,MATCH(ROWS($AF$2:AF258),$AF$2:$AF$1001,0),0), INDEX($AM$1004:$BM$1004,1,MATCH(COLUMNS($AM$1006:AW1006),$AM$1006:$BM$1006,0)))),"Fix")))</f>
        <v xml:space="preserve"> </v>
      </c>
      <c r="M258" s="4" t="str">
        <f ca="1">IF(OR(INDEX($AG$2:$AG$1001,MATCH(ROWS($AF$2:AF258),$AF$2:$AF$1001,0),1)&gt;=100000,INDEX($AM$1005:$BM$1005,1,MATCH(COLUMNS($AM$1006:AX1006),$AM$1006:$BM$1006,0))&gt;=100000), " ",IF(INDEX($AM$2:$BM$1001,MATCH(ROWS($AF$2:AF258),$AF$2:$AF$1001,0),MATCH(COLUMNS($AM$1006:AX1006),$AM$1006:$BM$1006,0)), HYPERLINK("#",""), HYPERLINK(CONCATENATE("#metadata!", ADDRESS(INDEX($AH$2:$AH$1001,MATCH(ROWS($AF$2:AF258),$AF$2:$AF$1001,0),0), INDEX($AM$1004:$BM$1004,1,MATCH(COLUMNS($AM$1006:AX1006),$AM$1006:$BM$1006,0)))),"Fix")))</f>
        <v xml:space="preserve"> </v>
      </c>
      <c r="N258" s="4" t="str">
        <f ca="1">IF(OR(INDEX($AG$2:$AG$1001,MATCH(ROWS($AF$2:AF258),$AF$2:$AF$1001,0),1)&gt;=100000,INDEX($AM$1005:$BM$1005,1,MATCH(COLUMNS($AM$1006:AY1006),$AM$1006:$BM$1006,0))&gt;=100000), " ",IF(INDEX($AM$2:$BM$1001,MATCH(ROWS($AF$2:AF258),$AF$2:$AF$1001,0),MATCH(COLUMNS($AM$1006:AY1006),$AM$1006:$BM$1006,0)), HYPERLINK("#",""), HYPERLINK(CONCATENATE("#metadata!", ADDRESS(INDEX($AH$2:$AH$1001,MATCH(ROWS($AF$2:AF258),$AF$2:$AF$1001,0),0), INDEX($AM$1004:$BM$1004,1,MATCH(COLUMNS($AM$1006:AY1006),$AM$1006:$BM$1006,0)))),"Fix")))</f>
        <v xml:space="preserve"> </v>
      </c>
      <c r="O258" s="4" t="str">
        <f ca="1">IF(OR(INDEX($AG$2:$AG$1001,MATCH(ROWS($AF$2:AF258),$AF$2:$AF$1001,0),1)&gt;=100000,INDEX($AM$1005:$BM$1005,1,MATCH(COLUMNS($AM$1006:AZ1006),$AM$1006:$BM$1006,0))&gt;=100000), " ",IF(INDEX($AM$2:$BM$1001,MATCH(ROWS($AF$2:AF258),$AF$2:$AF$1001,0),MATCH(COLUMNS($AM$1006:AZ1006),$AM$1006:$BM$1006,0)), HYPERLINK("#",""), HYPERLINK(CONCATENATE("#metadata!", ADDRESS(INDEX($AH$2:$AH$1001,MATCH(ROWS($AF$2:AF258),$AF$2:$AF$1001,0),0), INDEX($AM$1004:$BM$1004,1,MATCH(COLUMNS($AM$1006:AZ1006),$AM$1006:$BM$1006,0)))),"Fix")))</f>
        <v xml:space="preserve"> </v>
      </c>
      <c r="P258" s="4" t="str">
        <f ca="1">IF(OR(INDEX($AG$2:$AG$1001,MATCH(ROWS($AF$2:AF258),$AF$2:$AF$1001,0),1)&gt;=100000,INDEX($AM$1005:$BM$1005,1,MATCH(COLUMNS($AM$1006:BA1006),$AM$1006:$BM$1006,0))&gt;=100000), " ",IF(INDEX($AM$2:$BM$1001,MATCH(ROWS($AF$2:AF258),$AF$2:$AF$1001,0),MATCH(COLUMNS($AM$1006:BA1006),$AM$1006:$BM$1006,0)), HYPERLINK("#",""), HYPERLINK(CONCATENATE("#metadata!", ADDRESS(INDEX($AH$2:$AH$1001,MATCH(ROWS($AF$2:AF258),$AF$2:$AF$1001,0),0), INDEX($AM$1004:$BM$1004,1,MATCH(COLUMNS($AM$1006:BA1006),$AM$1006:$BM$1006,0)))),"Fix")))</f>
        <v xml:space="preserve"> </v>
      </c>
      <c r="Q258" s="4" t="str">
        <f ca="1">IF(OR(INDEX($AG$2:$AG$1001,MATCH(ROWS($AF$2:AF258),$AF$2:$AF$1001,0),1)&gt;=100000,INDEX($AM$1005:$BM$1005,1,MATCH(COLUMNS($AM$1006:BB1006),$AM$1006:$BM$1006,0))&gt;=100000), " ",IF(INDEX($AM$2:$BM$1001,MATCH(ROWS($AF$2:AF258),$AF$2:$AF$1001,0),MATCH(COLUMNS($AM$1006:BB1006),$AM$1006:$BM$1006,0)), HYPERLINK("#",""), HYPERLINK(CONCATENATE("#metadata!", ADDRESS(INDEX($AH$2:$AH$1001,MATCH(ROWS($AF$2:AF258),$AF$2:$AF$1001,0),0), INDEX($AM$1004:$BM$1004,1,MATCH(COLUMNS($AM$1006:BB1006),$AM$1006:$BM$1006,0)))),"Fix")))</f>
        <v xml:space="preserve"> </v>
      </c>
      <c r="R258" s="4" t="str">
        <f ca="1">IF(OR(INDEX($AG$2:$AG$1001,MATCH(ROWS($AF$2:AF258),$AF$2:$AF$1001,0),1)&gt;=100000,INDEX($AM$1005:$BM$1005,1,MATCH(COLUMNS($AM$1006:BC1006),$AM$1006:$BM$1006,0))&gt;=100000), " ",IF(INDEX($AM$2:$BM$1001,MATCH(ROWS($AF$2:AF258),$AF$2:$AF$1001,0),MATCH(COLUMNS($AM$1006:BC1006),$AM$1006:$BM$1006,0)), HYPERLINK("#",""), HYPERLINK(CONCATENATE("#metadata!", ADDRESS(INDEX($AH$2:$AH$1001,MATCH(ROWS($AF$2:AF258),$AF$2:$AF$1001,0),0), INDEX($AM$1004:$BM$1004,1,MATCH(COLUMNS($AM$1006:BC1006),$AM$1006:$BM$1006,0)))),"Fix")))</f>
        <v xml:space="preserve"> </v>
      </c>
      <c r="S258" s="4" t="str">
        <f ca="1">IF(OR(INDEX($AG$2:$AG$1001,MATCH(ROWS($AF$2:AF258),$AF$2:$AF$1001,0),1)&gt;=100000,INDEX($AM$1005:$BM$1005,1,MATCH(COLUMNS($AM$1006:BD1006),$AM$1006:$BM$1006,0))&gt;=100000), " ",IF(INDEX($AM$2:$BM$1001,MATCH(ROWS($AF$2:AF258),$AF$2:$AF$1001,0),MATCH(COLUMNS($AM$1006:BD1006),$AM$1006:$BM$1006,0)), HYPERLINK("#",""), HYPERLINK(CONCATENATE("#metadata!", ADDRESS(INDEX($AH$2:$AH$1001,MATCH(ROWS($AF$2:AF258),$AF$2:$AF$1001,0),0), INDEX($AM$1004:$BM$1004,1,MATCH(COLUMNS($AM$1006:BD1006),$AM$1006:$BM$1006,0)))),"Fix")))</f>
        <v xml:space="preserve"> </v>
      </c>
      <c r="T258" s="4" t="str">
        <f ca="1">IF(OR(INDEX($AG$2:$AG$1001,MATCH(ROWS($AF$2:AF258),$AF$2:$AF$1001,0),1)&gt;=100000,INDEX($AM$1005:$BM$1005,1,MATCH(COLUMNS($AM$1006:BE1006),$AM$1006:$BM$1006,0))&gt;=100000), " ",IF(INDEX($AM$2:$BM$1001,MATCH(ROWS($AF$2:AF258),$AF$2:$AF$1001,0),MATCH(COLUMNS($AM$1006:BE1006),$AM$1006:$BM$1006,0)), HYPERLINK("#",""), HYPERLINK(CONCATENATE("#metadata!", ADDRESS(INDEX($AH$2:$AH$1001,MATCH(ROWS($AF$2:AF258),$AF$2:$AF$1001,0),0), INDEX($AM$1004:$BM$1004,1,MATCH(COLUMNS($AM$1006:BE1006),$AM$1006:$BM$1006,0)))),"Fix")))</f>
        <v xml:space="preserve"> </v>
      </c>
      <c r="U258" s="4" t="str">
        <f ca="1">IF(OR(INDEX($AG$2:$AG$1001,MATCH(ROWS($AF$2:AF258),$AF$2:$AF$1001,0),1)&gt;=100000,INDEX($AM$1005:$BM$1005,1,MATCH(COLUMNS($AM$1006:BF1006),$AM$1006:$BM$1006,0))&gt;=100000), " ",IF(INDEX($AM$2:$BM$1001,MATCH(ROWS($AF$2:AF258),$AF$2:$AF$1001,0),MATCH(COLUMNS($AM$1006:BF1006),$AM$1006:$BM$1006,0)), HYPERLINK("#",""), HYPERLINK(CONCATENATE("#metadata!", ADDRESS(INDEX($AH$2:$AH$1001,MATCH(ROWS($AF$2:AF258),$AF$2:$AF$1001,0),0), INDEX($AM$1004:$BM$1004,1,MATCH(COLUMNS($AM$1006:BF1006),$AM$1006:$BM$1006,0)))),"Fix")))</f>
        <v xml:space="preserve"> </v>
      </c>
      <c r="V258" s="4" t="str">
        <f ca="1">IF(OR(INDEX($AG$2:$AG$1001,MATCH(ROWS($AF$2:AF258),$AF$2:$AF$1001,0),1)&gt;=100000,INDEX($AM$1005:$BM$1005,1,MATCH(COLUMNS($AM$1006:BG1006),$AM$1006:$BM$1006,0))&gt;=100000), " ",IF(INDEX($AM$2:$BM$1001,MATCH(ROWS($AF$2:AF258),$AF$2:$AF$1001,0),MATCH(COLUMNS($AM$1006:BG1006),$AM$1006:$BM$1006,0)), HYPERLINK("#",""), HYPERLINK(CONCATENATE("#metadata!", ADDRESS(INDEX($AH$2:$AH$1001,MATCH(ROWS($AF$2:AF258),$AF$2:$AF$1001,0),0), INDEX($AM$1004:$BM$1004,1,MATCH(COLUMNS($AM$1006:BG1006),$AM$1006:$BM$1006,0)))),"Fix")))</f>
        <v xml:space="preserve"> </v>
      </c>
      <c r="W258" s="4" t="str">
        <f ca="1">IF(OR(INDEX($AG$2:$AG$1001,MATCH(ROWS($AF$2:AF258),$AF$2:$AF$1001,0),1)&gt;=100000,INDEX($AM$1005:$BM$1005,1,MATCH(COLUMNS($AM$1006:BH1006),$AM$1006:$BM$1006,0))&gt;=100000), " ",IF(INDEX($AM$2:$BM$1001,MATCH(ROWS($AF$2:AF258),$AF$2:$AF$1001,0),MATCH(COLUMNS($AM$1006:BH1006),$AM$1006:$BM$1006,0)), HYPERLINK("#",""), HYPERLINK(CONCATENATE("#metadata!", ADDRESS(INDEX($AH$2:$AH$1001,MATCH(ROWS($AF$2:AF258),$AF$2:$AF$1001,0),0), INDEX($AM$1004:$BM$1004,1,MATCH(COLUMNS($AM$1006:BH1006),$AM$1006:$BM$1006,0)))),"Fix")))</f>
        <v xml:space="preserve"> </v>
      </c>
      <c r="X258" s="4" t="str">
        <f ca="1">IF(OR(INDEX($AG$2:$AG$1001,MATCH(ROWS($AF$2:AF258),$AF$2:$AF$1001,0),1)&gt;=100000,INDEX($AM$1005:$BM$1005,1,MATCH(COLUMNS($AM$1006:BI1006),$AM$1006:$BM$1006,0))&gt;=100000), " ",IF(INDEX($AM$2:$BM$1001,MATCH(ROWS($AF$2:AF258),$AF$2:$AF$1001,0),MATCH(COLUMNS($AM$1006:BI1006),$AM$1006:$BM$1006,0)), HYPERLINK("#",""), HYPERLINK(CONCATENATE("#metadata!", ADDRESS(INDEX($AH$2:$AH$1001,MATCH(ROWS($AF$2:AF258),$AF$2:$AF$1001,0),0), INDEX($AM$1004:$BM$1004,1,MATCH(COLUMNS($AM$1006:BI1006),$AM$1006:$BM$1006,0)))),"Fix")))</f>
        <v xml:space="preserve"> </v>
      </c>
      <c r="Y258" s="4" t="str">
        <f ca="1">IF(OR(INDEX($AG$2:$AG$1001,MATCH(ROWS($AF$2:AF258),$AF$2:$AF$1001,0),1)&gt;=100000,INDEX($AM$1005:$BM$1005,1,MATCH(COLUMNS($AM$1006:BJ1006),$AM$1006:$BM$1006,0))&gt;=100000), " ",IF(INDEX($AM$2:$BM$1001,MATCH(ROWS($AF$2:AF258),$AF$2:$AF$1001,0),MATCH(COLUMNS($AM$1006:BJ1006),$AM$1006:$BM$1006,0)), HYPERLINK("#",""), HYPERLINK(CONCATENATE("#metadata!", ADDRESS(INDEX($AH$2:$AH$1001,MATCH(ROWS($AF$2:AF258),$AF$2:$AF$1001,0),0), INDEX($AM$1004:$BM$1004,1,MATCH(COLUMNS($AM$1006:BJ1006),$AM$1006:$BM$1006,0)))),"Fix")))</f>
        <v xml:space="preserve"> </v>
      </c>
      <c r="Z258" s="4" t="str">
        <f ca="1">IF(OR(INDEX($AG$2:$AG$1001,MATCH(ROWS($AF$2:AF258),$AF$2:$AF$1001,0),1)&gt;=100000,INDEX($AM$1005:$BM$1005,1,MATCH(COLUMNS($AM$1006:BK1006),$AM$1006:$BM$1006,0))&gt;=100000), " ",IF(INDEX($AM$2:$BM$1001,MATCH(ROWS($AF$2:AF258),$AF$2:$AF$1001,0),MATCH(COLUMNS($AM$1006:BK1006),$AM$1006:$BM$1006,0)), HYPERLINK("#",""), HYPERLINK(CONCATENATE("#metadata!", ADDRESS(INDEX($AH$2:$AH$1001,MATCH(ROWS($AF$2:AF258),$AF$2:$AF$1001,0),0), INDEX($AM$1004:$BM$1004,1,MATCH(COLUMNS($AM$1006:BK1006),$AM$1006:$BM$1006,0)))),"Fix")))</f>
        <v xml:space="preserve"> </v>
      </c>
      <c r="AA258" s="4" t="str">
        <f ca="1">IF(OR(INDEX($AG$2:$AG$1001,MATCH(ROWS($AF$2:AF258),$AF$2:$AF$1001,0),1)&gt;=100000,INDEX($AM$1005:$BM$1005,1,MATCH(COLUMNS($AM$1006:BL1006),$AM$1006:$BM$1006,0))&gt;=100000), " ",IF(INDEX($AM$2:$BM$1001,MATCH(ROWS($AF$2:AF258),$AF$2:$AF$1001,0),MATCH(COLUMNS($AM$1006:BL1006),$AM$1006:$BM$1006,0)), HYPERLINK("#",""), HYPERLINK(CONCATENATE("#metadata!", ADDRESS(INDEX($AH$2:$AH$1001,MATCH(ROWS($AF$2:AF258),$AF$2:$AF$1001,0),0), INDEX($AM$1004:$BM$1004,1,MATCH(COLUMNS($AM$1006:BL1006),$AM$1006:$BM$1006,0)))),"Fix")))</f>
        <v xml:space="preserve"> </v>
      </c>
      <c r="AB258" s="4" t="str">
        <f ca="1">IF(OR(INDEX($AG$2:$AG$1001,MATCH(ROWS($AF$2:AF258),$AF$2:$AF$1001,0),1)&gt;=100000,INDEX($AM$1005:$BM$1005,1,MATCH(COLUMNS($AM$1006:BM1006),$AM$1006:$BM$1006,0))&gt;=100000), " ",IF(INDEX($AM$2:$BM$1001,MATCH(ROWS($AF$2:AF258),$AF$2:$AF$1001,0),MATCH(COLUMNS($AM$1006:BM1006),$AM$1006:$BM$1006,0)), HYPERLINK("#",""), HYPERLINK(CONCATENATE("#metadata!", ADDRESS(INDEX($AH$2:$AH$1001,MATCH(ROWS($AF$2:AF258),$AF$2:$AF$1001,0),0), INDEX($AM$1004:$BM$1004,1,MATCH(COLUMNS($AM$1006:BM1006),$AM$1006:$BM$1006,0)))),"Fix")))</f>
        <v xml:space="preserve"> </v>
      </c>
      <c r="AF258">
        <v>257</v>
      </c>
      <c r="AG258">
        <v>100258</v>
      </c>
      <c r="AH258">
        <v>258</v>
      </c>
      <c r="AI258" t="b">
        <f t="shared" ref="AI258:AI321" si="4">IF(AJ258,TRUE,AND(AM258:BM258))</f>
        <v>1</v>
      </c>
      <c r="AJ258" t="b">
        <f>COUNTBLANK(metadata!B258:AB258)=COLUMNS(metadata!B258:AB258)</f>
        <v>1</v>
      </c>
      <c r="AK258" t="str">
        <v/>
      </c>
      <c r="AM258" t="b">
        <f ca="1">AND(IF(metadata!B258="",FALSE,TRUE),COUNTIF(metadata!B:B, metadata!B258) = 1,NOT(ISERROR(SUMPRODUCT(SEARCH(MID(metadata!B258,ROW(INDIRECT("1:"&amp;LEN(metadata!B258))), 1),"0123456789abcdefghijklmnopqrstuvwxyzABCDEFGHIJKLMNOPQRSTUVWXYZ.")))))</f>
        <v>0</v>
      </c>
      <c r="AN258" t="b">
        <f ca="1">OR(AND(IF(metadata!C258="",FALSE,TRUE),OR(EXACT(metadata!C258,"missing: not collected"),EXACT(metadata!C258,"missing: not provided"),EXACT(metadata!C258,"missing: restricted access"))),AND(IF(metadata!C258="",FALSE,TRUE),AND(AND(IFERROR(INT(LEFT(metadata!C258,4))&gt;1900,FALSE),IFERROR(INT(LEFT(metadata!C258,4))&lt;=YEAR(NOW()),FALSE)), OR(MID(metadata!C258,5,1)="", AND(AND(MID(metadata!C258,5,1)="-",IFERROR(INT(MID(metadata!C258,6,1))&gt;=0,FALSE),IFERROR(INT(MID(metadata!C258,6,1))&lt;=1,FALSE),NOT(MID(metadata!C258,7,1)=""),IFERROR(INT(MID(metadata!C258,6,2))&gt;=1,FALSE),IFERROR(INT(MID(metadata!C258,6,2))&lt;=12,FALSE)), OR(MID(metadata!C258,8,1)="", AND(AND(MID(metadata!C258,8,1)="-",IFERROR(INT(MID(metadata!C258,9,1))&gt;=0,FALSE),IFERROR(INT(MID(metadata!C258,9,1))&lt;=3,FALSE),NOT(MID(metadata!C258,10,1)=""),IFERROR(INT(MID(metadata!C258,9,2))&gt;=1,FALSE),IFERROR(INT(MID(metadata!C258,9,2))&lt;=31,FALSE)), OR(MID(metadata!C258,11,1)="", AND(AND(MID(metadata!C258,11,1)=" ",IFERROR(INT(MID(metadata!C258,12,1))&gt;=0,FALSE),IFERROR(INT(MID(metadata!C258,12,1))&lt;=2,FALSE),NOT(MID(metadata!C258,13,1)=""),IFERROR(INT(MID(metadata!C258,12,2))&gt;=0,FALSE),IFERROR(INT(MID(metadata!C258,12,2))&lt;=23,FALSE)), OR(MID(metadata!C258,14,1)="", AND(AND(MID(metadata!C258,14,1)=":",IFERROR(INT(MID(metadata!C258,15,1))&gt;=0,FALSE),IFERROR(INT(MID(metadata!C258,15,1))&lt;=5,FALSE),NOT(MID(metadata!C258,16,1)=""),IFERROR(INT(MID(metadata!C258,15,2))&gt;=0,FALSE),IFERROR(INT(MID(metadata!C258,15,2))&lt;=59,FALSE)), OR(MID(metadata!C258,17,1)="", AND(AND(MID(metadata!C258,17,1)=":",IFERROR(INT(MID(metadata!C258,18,1))&gt;=0,FALSE),IFERROR(INT(MID(metadata!C258,18,1))&lt;=5,FALSE),NOT(MID(metadata!C258,19,1)=""),IFERROR(INT(MID(metadata!C258,18,2))&gt;=0,FALSE),IFERROR(INT(MID(metadata!C258,18,2))&lt;=59,FALSE)), LEN(metadata!C258)&lt;=19)))))))))))))</f>
        <v>0</v>
      </c>
      <c r="AO258" t="b">
        <f>AND(IF(metadata!D258="",FALSE,TRUE),EXACT(metadata!D258,"Not applicable"))</f>
        <v>0</v>
      </c>
      <c r="AP258" t="b">
        <f>IF(metadata!E258="",FALSE,TRUE)</f>
        <v>0</v>
      </c>
      <c r="AQ258" t="b">
        <f>OR(AND(IF(metadata!F258="",FALSE,TRUE),OR(EXACT(metadata!F258,"missing: not collected"),EXACT(metadata!F258,"missing: not provided"))),AND(IF(metadata!F258="",FALSE,TRUE),OR(EXACT(metadata!F258,"TRUE"),EXACT(metadata!F258,"FALSE"))))</f>
        <v>0</v>
      </c>
      <c r="AR258" t="b">
        <f>OR(AND(IF(metadata!G258="",FALSE,TRUE),OR(EXACT(metadata!G258,"missing: not collected"),EXACT(metadata!G258,"missing: not provided"),EXACT(metadata!G258,"missing: restricted access"))),AND(IF(metadata!G258="",FALSE,ISNUMBER(VALUE(metadata!G258))),metadata!G258&gt;=-413))</f>
        <v>0</v>
      </c>
      <c r="AS258" t="b">
        <f>AND(IF(metadata!H258="",FALSE,TRUE),EXACT(metadata!H258,"meters"))</f>
        <v>0</v>
      </c>
      <c r="AT258" t="b">
        <f>AND(IF(metadata!I258="",FALSE,TRUE),OR(EXACT(metadata!I258,"Host-associated"),EXACT(metadata!I258,"Free-living")))</f>
        <v>0</v>
      </c>
      <c r="AU258" t="b">
        <f>AND(IF(metadata!J258="",FALSE,TRUE),OR(EXACT(metadata!J258,"Animal"),EXACT(metadata!J258,"Fungus"),EXACT(metadata!J258,"Plant"),EXACT(metadata!J258,"Saline"),EXACT(metadata!J258,"Non-saline")))</f>
        <v>0</v>
      </c>
      <c r="AV258" t="b">
        <f>AND(IF(metadata!K258="",FALSE,TRUE),OR(EXACT(metadata!K258,"Plant secretion"),EXACT(metadata!K258,"Plant rhizosphere"),EXACT(metadata!K258,"Plant surface"),EXACT(metadata!K258,"Plant corpus"),EXACT(metadata!K258,"Fungus surface"),EXACT(metadata!K258,"Fungus corpus"),EXACT(metadata!K258,"Animal surface"),EXACT(metadata!K258,"Animal proximal gut"),EXACT(metadata!K258,"Animal corpus"),EXACT(metadata!K258,"Animal distal gut"),EXACT(metadata!K258,"Animal secretion"),EXACT(metadata!K258,"Sub-surface (non-saline)"),EXACT(metadata!K258,"Surface (non-saline)"),EXACT(metadata!K258,"Water (non-saline)"),EXACT(metadata!K258,"Soil (non-saline)"),EXACT(metadata!K258,"Aerosol (non-saline)"),EXACT(metadata!K258,"Sediment (non-saline)"),EXACT(metadata!K258,"Surface (saline)"),EXACT(metadata!K258,"Water (saline)"),EXACT(metadata!K258,"Hypersaline (saline)"),EXACT(metadata!K258,"Aerosol (saline)"),EXACT(metadata!K258,"Sediment (saline)")))</f>
        <v>0</v>
      </c>
      <c r="AW258" t="b">
        <f>IF(metadata!L258="",FALSE,TRUE)</f>
        <v>0</v>
      </c>
      <c r="AX258" t="b">
        <f>IF(metadata!M258="",FALSE,TRUE)</f>
        <v>0</v>
      </c>
      <c r="AY258" t="b">
        <f>IF(metadata!N258="",FALSE,TRUE)</f>
        <v>0</v>
      </c>
      <c r="AZ258" t="b">
        <f>OR(AND(IF(metadata!O258="",FALSE,TRUE),OR(EXACT(metadata!O258,"missing: not collected"),EXACT(metadata!O258,"missing: not provided"),EXACT(metadata!O258,"missing: restricted access"))),AND(IF(metadata!O258="",FALSE,TRUE),OR(EXACT(metadata!O258,"air"),EXACT(metadata!O258,"built environment"),EXACT(metadata!O258,"host-associated"),EXACT(metadata!O258,"human-associated"),EXACT(metadata!O258,"human-skin"),EXACT(metadata!O258,"human-oral"),EXACT(metadata!O258,"human-gut"),EXACT(metadata!O258,"human-vaginal"),EXACT(metadata!O258,"microbial mat/biofilm"),EXACT(metadata!O258,"misc environment"),EXACT(metadata!O258,"plant-associated"),EXACT(metadata!O258,"sediment"),EXACT(metadata!O258,"soil"),EXACT(metadata!O258,"wastewater/sludge"),EXACT(metadata!O258,"water"))))</f>
        <v>0</v>
      </c>
      <c r="BA258" t="b">
        <f>IF(metadata!P258="",FALSE,TRUE)</f>
        <v>0</v>
      </c>
      <c r="BB258" t="b">
        <f>IF(metadata!Q258="",FALSE,TRUE)</f>
        <v>0</v>
      </c>
      <c r="BC258" t="b">
        <f>OR(AND(IF(metadata!R258="",FALSE,TRUE),OR(EXACT(metadata!R258,"missing: not collected"),EXACT(metadata!R258,"missing: not provided"),EXACT(metadata!R258,"missing: restricted access"))),AND(IF(metadata!R258="",FALSE,ISNUMBER(VALUE(metadata!R258))),metadata!R258&gt;=-90,metadata!R258&lt;=90))</f>
        <v>0</v>
      </c>
      <c r="BD258" t="b">
        <f>AND(IF(metadata!S258="",FALSE,TRUE),EXACT(metadata!S258,"Decimal degrees"))</f>
        <v>0</v>
      </c>
      <c r="BE258" t="b">
        <f>OR(AND(IF(metadata!T258="",FALSE,TRUE),OR(EXACT(metadata!T258,"missing: not collected"),EXACT(metadata!T258,"missing: not provided"),EXACT(metadata!T258,"missing: restricted access"))),AND(IF(metadata!T258="",FALSE,ISNUMBER(VALUE(metadata!T258))),metadata!T258&gt;=-180,metadata!T258&lt;=180))</f>
        <v>0</v>
      </c>
      <c r="BF258" t="b">
        <f>AND(IF(metadata!U258="",FALSE,TRUE),EXACT(metadata!U258,"Decimal degrees"))</f>
        <v>0</v>
      </c>
      <c r="BG258" t="b">
        <f>IF(metadata!V258="",FALSE,TRUE)</f>
        <v>0</v>
      </c>
      <c r="BH258" t="b">
        <f>OR(AND(IF(metadata!W258="",FALSE,TRUE),OR(EXACT(metadata!W258,"missing: not collected"),EXACT(metadata!W258,"missing: not provided"),EXACT(metadata!W258,"missing: restricted access"))),AND(IF(metadata!W258="",FALSE,TRUE),OR(EXACT(metadata!W258,"TRUE"),EXACT(metadata!W258,"FALSE"))))</f>
        <v>0</v>
      </c>
      <c r="BI258" t="b">
        <f>AND(IF(metadata!X258="",FALSE,TRUE),EXACT(metadata!X258,"other"))</f>
        <v>0</v>
      </c>
      <c r="BJ258" t="b">
        <f>IF(metadata!Y258="",FALSE,TRUE)</f>
        <v>0</v>
      </c>
      <c r="BK258" t="b">
        <f>OR(AND(IF(metadata!Z258="",FALSE,TRUE),OR(EXACT(metadata!Z258,"missing: not collected"),EXACT(metadata!Z258,"missing: not provided"))),AND(IF(metadata!Z258="",FALSE,IF(ISERROR(INT(metadata!Z258)),FALSE,INT(metadata!Z258)=metadata!Z258)),metadata!Z258&gt;0))</f>
        <v>0</v>
      </c>
      <c r="BL258" t="b">
        <f>AND(IF(metadata!AA258="",FALSE,TRUE),EXACT(metadata!AA258,"Not applicable"))</f>
        <v>0</v>
      </c>
      <c r="BM258" t="b">
        <f>IF(metadata!AB258="",FALSE,TRUE)</f>
        <v>0</v>
      </c>
    </row>
    <row r="259" spans="1:65" x14ac:dyDescent="0.2">
      <c r="A259" s="5" t="str">
        <f ca="1">IF(B259=" "," ",HYPERLINK(CONCATENATE("#metadata!",ADDRESS(INDEX($AH$2:$AH$1001,MATCH(ROWS($AF$2:AF259),$AF$2:$AF$1001,0),0),1)),INDEX($AK$2:$AK$1001,MATCH(ROWS($AF$2:AF259),$AF$2:$AF$1001,0),0)))</f>
        <v xml:space="preserve"> </v>
      </c>
      <c r="B259" s="4" t="str">
        <f ca="1">IF(OR(INDEX($AG$2:$AG$1001,MATCH(ROWS($AF$2:AF259),$AF$2:$AF$1001,0),1)&gt;=100000,INDEX($AM$1005:$BM$1005,1,MATCH(COLUMNS($AM$1006:AM1006),$AM$1006:$BM$1006,0))&gt;=100000), " ",IF(INDEX($AM$2:$BM$1001,MATCH(ROWS($AF$2:AF259),$AF$2:$AF$1001,0),MATCH(COLUMNS($AM$1006:AM1006),$AM$1006:$BM$1006,0)), HYPERLINK("#",""), HYPERLINK(CONCATENATE("#metadata!", ADDRESS(INDEX($AH$2:$AH$1001,MATCH(ROWS($AF$2:AF259),$AF$2:$AF$1001,0),0), INDEX($AM$1004:$BM$1004,1,MATCH(COLUMNS($AM$1006:AM1006),$AM$1006:$BM$1006,0)))),"Fix")))</f>
        <v xml:space="preserve"> </v>
      </c>
      <c r="C259" s="4" t="str">
        <f ca="1">IF(OR(INDEX($AG$2:$AG$1001,MATCH(ROWS($AF$2:AF259),$AF$2:$AF$1001,0),1)&gt;=100000,INDEX($AM$1005:$BM$1005,1,MATCH(COLUMNS($AM$1006:AN1006),$AM$1006:$BM$1006,0))&gt;=100000), " ",IF(INDEX($AM$2:$BM$1001,MATCH(ROWS($AF$2:AF259),$AF$2:$AF$1001,0),MATCH(COLUMNS($AM$1006:AN1006),$AM$1006:$BM$1006,0)), HYPERLINK("#",""), HYPERLINK(CONCATENATE("#metadata!", ADDRESS(INDEX($AH$2:$AH$1001,MATCH(ROWS($AF$2:AF259),$AF$2:$AF$1001,0),0), INDEX($AM$1004:$BM$1004,1,MATCH(COLUMNS($AM$1006:AN1006),$AM$1006:$BM$1006,0)))),"Fix")))</f>
        <v xml:space="preserve"> </v>
      </c>
      <c r="D259" s="4" t="str">
        <f ca="1">IF(OR(INDEX($AG$2:$AG$1001,MATCH(ROWS($AF$2:AF259),$AF$2:$AF$1001,0),1)&gt;=100000,INDEX($AM$1005:$BM$1005,1,MATCH(COLUMNS($AM$1006:AO1006),$AM$1006:$BM$1006,0))&gt;=100000), " ",IF(INDEX($AM$2:$BM$1001,MATCH(ROWS($AF$2:AF259),$AF$2:$AF$1001,0),MATCH(COLUMNS($AM$1006:AO1006),$AM$1006:$BM$1006,0)), HYPERLINK("#",""), HYPERLINK(CONCATENATE("#metadata!", ADDRESS(INDEX($AH$2:$AH$1001,MATCH(ROWS($AF$2:AF259),$AF$2:$AF$1001,0),0), INDEX($AM$1004:$BM$1004,1,MATCH(COLUMNS($AM$1006:AO1006),$AM$1006:$BM$1006,0)))),"Fix")))</f>
        <v xml:space="preserve"> </v>
      </c>
      <c r="E259" s="4" t="str">
        <f ca="1">IF(OR(INDEX($AG$2:$AG$1001,MATCH(ROWS($AF$2:AF259),$AF$2:$AF$1001,0),1)&gt;=100000,INDEX($AM$1005:$BM$1005,1,MATCH(COLUMNS($AM$1006:AP1006),$AM$1006:$BM$1006,0))&gt;=100000), " ",IF(INDEX($AM$2:$BM$1001,MATCH(ROWS($AF$2:AF259),$AF$2:$AF$1001,0),MATCH(COLUMNS($AM$1006:AP1006),$AM$1006:$BM$1006,0)), HYPERLINK("#",""), HYPERLINK(CONCATENATE("#metadata!", ADDRESS(INDEX($AH$2:$AH$1001,MATCH(ROWS($AF$2:AF259),$AF$2:$AF$1001,0),0), INDEX($AM$1004:$BM$1004,1,MATCH(COLUMNS($AM$1006:AP1006),$AM$1006:$BM$1006,0)))),"Fix")))</f>
        <v xml:space="preserve"> </v>
      </c>
      <c r="F259" s="4" t="str">
        <f ca="1">IF(OR(INDEX($AG$2:$AG$1001,MATCH(ROWS($AF$2:AF259),$AF$2:$AF$1001,0),1)&gt;=100000,INDEX($AM$1005:$BM$1005,1,MATCH(COLUMNS($AM$1006:AQ1006),$AM$1006:$BM$1006,0))&gt;=100000), " ",IF(INDEX($AM$2:$BM$1001,MATCH(ROWS($AF$2:AF259),$AF$2:$AF$1001,0),MATCH(COLUMNS($AM$1006:AQ1006),$AM$1006:$BM$1006,0)), HYPERLINK("#",""), HYPERLINK(CONCATENATE("#metadata!", ADDRESS(INDEX($AH$2:$AH$1001,MATCH(ROWS($AF$2:AF259),$AF$2:$AF$1001,0),0), INDEX($AM$1004:$BM$1004,1,MATCH(COLUMNS($AM$1006:AQ1006),$AM$1006:$BM$1006,0)))),"Fix")))</f>
        <v xml:space="preserve"> </v>
      </c>
      <c r="G259" s="4" t="str">
        <f ca="1">IF(OR(INDEX($AG$2:$AG$1001,MATCH(ROWS($AF$2:AF259),$AF$2:$AF$1001,0),1)&gt;=100000,INDEX($AM$1005:$BM$1005,1,MATCH(COLUMNS($AM$1006:AR1006),$AM$1006:$BM$1006,0))&gt;=100000), " ",IF(INDEX($AM$2:$BM$1001,MATCH(ROWS($AF$2:AF259),$AF$2:$AF$1001,0),MATCH(COLUMNS($AM$1006:AR1006),$AM$1006:$BM$1006,0)), HYPERLINK("#",""), HYPERLINK(CONCATENATE("#metadata!", ADDRESS(INDEX($AH$2:$AH$1001,MATCH(ROWS($AF$2:AF259),$AF$2:$AF$1001,0),0), INDEX($AM$1004:$BM$1004,1,MATCH(COLUMNS($AM$1006:AR1006),$AM$1006:$BM$1006,0)))),"Fix")))</f>
        <v xml:space="preserve"> </v>
      </c>
      <c r="H259" s="4" t="str">
        <f ca="1">IF(OR(INDEX($AG$2:$AG$1001,MATCH(ROWS($AF$2:AF259),$AF$2:$AF$1001,0),1)&gt;=100000,INDEX($AM$1005:$BM$1005,1,MATCH(COLUMNS($AM$1006:AS1006),$AM$1006:$BM$1006,0))&gt;=100000), " ",IF(INDEX($AM$2:$BM$1001,MATCH(ROWS($AF$2:AF259),$AF$2:$AF$1001,0),MATCH(COLUMNS($AM$1006:AS1006),$AM$1006:$BM$1006,0)), HYPERLINK("#",""), HYPERLINK(CONCATENATE("#metadata!", ADDRESS(INDEX($AH$2:$AH$1001,MATCH(ROWS($AF$2:AF259),$AF$2:$AF$1001,0),0), INDEX($AM$1004:$BM$1004,1,MATCH(COLUMNS($AM$1006:AS1006),$AM$1006:$BM$1006,0)))),"Fix")))</f>
        <v xml:space="preserve"> </v>
      </c>
      <c r="I259" s="4" t="str">
        <f ca="1">IF(OR(INDEX($AG$2:$AG$1001,MATCH(ROWS($AF$2:AF259),$AF$2:$AF$1001,0),1)&gt;=100000,INDEX($AM$1005:$BM$1005,1,MATCH(COLUMNS($AM$1006:AT1006),$AM$1006:$BM$1006,0))&gt;=100000), " ",IF(INDEX($AM$2:$BM$1001,MATCH(ROWS($AF$2:AF259),$AF$2:$AF$1001,0),MATCH(COLUMNS($AM$1006:AT1006),$AM$1006:$BM$1006,0)), HYPERLINK("#",""), HYPERLINK(CONCATENATE("#metadata!", ADDRESS(INDEX($AH$2:$AH$1001,MATCH(ROWS($AF$2:AF259),$AF$2:$AF$1001,0),0), INDEX($AM$1004:$BM$1004,1,MATCH(COLUMNS($AM$1006:AT1006),$AM$1006:$BM$1006,0)))),"Fix")))</f>
        <v xml:space="preserve"> </v>
      </c>
      <c r="J259" s="4" t="str">
        <f ca="1">IF(OR(INDEX($AG$2:$AG$1001,MATCH(ROWS($AF$2:AF259),$AF$2:$AF$1001,0),1)&gt;=100000,INDEX($AM$1005:$BM$1005,1,MATCH(COLUMNS($AM$1006:AU1006),$AM$1006:$BM$1006,0))&gt;=100000), " ",IF(INDEX($AM$2:$BM$1001,MATCH(ROWS($AF$2:AF259),$AF$2:$AF$1001,0),MATCH(COLUMNS($AM$1006:AU1006),$AM$1006:$BM$1006,0)), HYPERLINK("#",""), HYPERLINK(CONCATENATE("#metadata!", ADDRESS(INDEX($AH$2:$AH$1001,MATCH(ROWS($AF$2:AF259),$AF$2:$AF$1001,0),0), INDEX($AM$1004:$BM$1004,1,MATCH(COLUMNS($AM$1006:AU1006),$AM$1006:$BM$1006,0)))),"Fix")))</f>
        <v xml:space="preserve"> </v>
      </c>
      <c r="K259" s="4" t="str">
        <f ca="1">IF(OR(INDEX($AG$2:$AG$1001,MATCH(ROWS($AF$2:AF259),$AF$2:$AF$1001,0),1)&gt;=100000,INDEX($AM$1005:$BM$1005,1,MATCH(COLUMNS($AM$1006:AV1006),$AM$1006:$BM$1006,0))&gt;=100000), " ",IF(INDEX($AM$2:$BM$1001,MATCH(ROWS($AF$2:AF259),$AF$2:$AF$1001,0),MATCH(COLUMNS($AM$1006:AV1006),$AM$1006:$BM$1006,0)), HYPERLINK("#",""), HYPERLINK(CONCATENATE("#metadata!", ADDRESS(INDEX($AH$2:$AH$1001,MATCH(ROWS($AF$2:AF259),$AF$2:$AF$1001,0),0), INDEX($AM$1004:$BM$1004,1,MATCH(COLUMNS($AM$1006:AV1006),$AM$1006:$BM$1006,0)))),"Fix")))</f>
        <v xml:space="preserve"> </v>
      </c>
      <c r="L259" s="4" t="str">
        <f ca="1">IF(OR(INDEX($AG$2:$AG$1001,MATCH(ROWS($AF$2:AF259),$AF$2:$AF$1001,0),1)&gt;=100000,INDEX($AM$1005:$BM$1005,1,MATCH(COLUMNS($AM$1006:AW1006),$AM$1006:$BM$1006,0))&gt;=100000), " ",IF(INDEX($AM$2:$BM$1001,MATCH(ROWS($AF$2:AF259),$AF$2:$AF$1001,0),MATCH(COLUMNS($AM$1006:AW1006),$AM$1006:$BM$1006,0)), HYPERLINK("#",""), HYPERLINK(CONCATENATE("#metadata!", ADDRESS(INDEX($AH$2:$AH$1001,MATCH(ROWS($AF$2:AF259),$AF$2:$AF$1001,0),0), INDEX($AM$1004:$BM$1004,1,MATCH(COLUMNS($AM$1006:AW1006),$AM$1006:$BM$1006,0)))),"Fix")))</f>
        <v xml:space="preserve"> </v>
      </c>
      <c r="M259" s="4" t="str">
        <f ca="1">IF(OR(INDEX($AG$2:$AG$1001,MATCH(ROWS($AF$2:AF259),$AF$2:$AF$1001,0),1)&gt;=100000,INDEX($AM$1005:$BM$1005,1,MATCH(COLUMNS($AM$1006:AX1006),$AM$1006:$BM$1006,0))&gt;=100000), " ",IF(INDEX($AM$2:$BM$1001,MATCH(ROWS($AF$2:AF259),$AF$2:$AF$1001,0),MATCH(COLUMNS($AM$1006:AX1006),$AM$1006:$BM$1006,0)), HYPERLINK("#",""), HYPERLINK(CONCATENATE("#metadata!", ADDRESS(INDEX($AH$2:$AH$1001,MATCH(ROWS($AF$2:AF259),$AF$2:$AF$1001,0),0), INDEX($AM$1004:$BM$1004,1,MATCH(COLUMNS($AM$1006:AX1006),$AM$1006:$BM$1006,0)))),"Fix")))</f>
        <v xml:space="preserve"> </v>
      </c>
      <c r="N259" s="4" t="str">
        <f ca="1">IF(OR(INDEX($AG$2:$AG$1001,MATCH(ROWS($AF$2:AF259),$AF$2:$AF$1001,0),1)&gt;=100000,INDEX($AM$1005:$BM$1005,1,MATCH(COLUMNS($AM$1006:AY1006),$AM$1006:$BM$1006,0))&gt;=100000), " ",IF(INDEX($AM$2:$BM$1001,MATCH(ROWS($AF$2:AF259),$AF$2:$AF$1001,0),MATCH(COLUMNS($AM$1006:AY1006),$AM$1006:$BM$1006,0)), HYPERLINK("#",""), HYPERLINK(CONCATENATE("#metadata!", ADDRESS(INDEX($AH$2:$AH$1001,MATCH(ROWS($AF$2:AF259),$AF$2:$AF$1001,0),0), INDEX($AM$1004:$BM$1004,1,MATCH(COLUMNS($AM$1006:AY1006),$AM$1006:$BM$1006,0)))),"Fix")))</f>
        <v xml:space="preserve"> </v>
      </c>
      <c r="O259" s="4" t="str">
        <f ca="1">IF(OR(INDEX($AG$2:$AG$1001,MATCH(ROWS($AF$2:AF259),$AF$2:$AF$1001,0),1)&gt;=100000,INDEX($AM$1005:$BM$1005,1,MATCH(COLUMNS($AM$1006:AZ1006),$AM$1006:$BM$1006,0))&gt;=100000), " ",IF(INDEX($AM$2:$BM$1001,MATCH(ROWS($AF$2:AF259),$AF$2:$AF$1001,0),MATCH(COLUMNS($AM$1006:AZ1006),$AM$1006:$BM$1006,0)), HYPERLINK("#",""), HYPERLINK(CONCATENATE("#metadata!", ADDRESS(INDEX($AH$2:$AH$1001,MATCH(ROWS($AF$2:AF259),$AF$2:$AF$1001,0),0), INDEX($AM$1004:$BM$1004,1,MATCH(COLUMNS($AM$1006:AZ1006),$AM$1006:$BM$1006,0)))),"Fix")))</f>
        <v xml:space="preserve"> </v>
      </c>
      <c r="P259" s="4" t="str">
        <f ca="1">IF(OR(INDEX($AG$2:$AG$1001,MATCH(ROWS($AF$2:AF259),$AF$2:$AF$1001,0),1)&gt;=100000,INDEX($AM$1005:$BM$1005,1,MATCH(COLUMNS($AM$1006:BA1006),$AM$1006:$BM$1006,0))&gt;=100000), " ",IF(INDEX($AM$2:$BM$1001,MATCH(ROWS($AF$2:AF259),$AF$2:$AF$1001,0),MATCH(COLUMNS($AM$1006:BA1006),$AM$1006:$BM$1006,0)), HYPERLINK("#",""), HYPERLINK(CONCATENATE("#metadata!", ADDRESS(INDEX($AH$2:$AH$1001,MATCH(ROWS($AF$2:AF259),$AF$2:$AF$1001,0),0), INDEX($AM$1004:$BM$1004,1,MATCH(COLUMNS($AM$1006:BA1006),$AM$1006:$BM$1006,0)))),"Fix")))</f>
        <v xml:space="preserve"> </v>
      </c>
      <c r="Q259" s="4" t="str">
        <f ca="1">IF(OR(INDEX($AG$2:$AG$1001,MATCH(ROWS($AF$2:AF259),$AF$2:$AF$1001,0),1)&gt;=100000,INDEX($AM$1005:$BM$1005,1,MATCH(COLUMNS($AM$1006:BB1006),$AM$1006:$BM$1006,0))&gt;=100000), " ",IF(INDEX($AM$2:$BM$1001,MATCH(ROWS($AF$2:AF259),$AF$2:$AF$1001,0),MATCH(COLUMNS($AM$1006:BB1006),$AM$1006:$BM$1006,0)), HYPERLINK("#",""), HYPERLINK(CONCATENATE("#metadata!", ADDRESS(INDEX($AH$2:$AH$1001,MATCH(ROWS($AF$2:AF259),$AF$2:$AF$1001,0),0), INDEX($AM$1004:$BM$1004,1,MATCH(COLUMNS($AM$1006:BB1006),$AM$1006:$BM$1006,0)))),"Fix")))</f>
        <v xml:space="preserve"> </v>
      </c>
      <c r="R259" s="4" t="str">
        <f ca="1">IF(OR(INDEX($AG$2:$AG$1001,MATCH(ROWS($AF$2:AF259),$AF$2:$AF$1001,0),1)&gt;=100000,INDEX($AM$1005:$BM$1005,1,MATCH(COLUMNS($AM$1006:BC1006),$AM$1006:$BM$1006,0))&gt;=100000), " ",IF(INDEX($AM$2:$BM$1001,MATCH(ROWS($AF$2:AF259),$AF$2:$AF$1001,0),MATCH(COLUMNS($AM$1006:BC1006),$AM$1006:$BM$1006,0)), HYPERLINK("#",""), HYPERLINK(CONCATENATE("#metadata!", ADDRESS(INDEX($AH$2:$AH$1001,MATCH(ROWS($AF$2:AF259),$AF$2:$AF$1001,0),0), INDEX($AM$1004:$BM$1004,1,MATCH(COLUMNS($AM$1006:BC1006),$AM$1006:$BM$1006,0)))),"Fix")))</f>
        <v xml:space="preserve"> </v>
      </c>
      <c r="S259" s="4" t="str">
        <f ca="1">IF(OR(INDEX($AG$2:$AG$1001,MATCH(ROWS($AF$2:AF259),$AF$2:$AF$1001,0),1)&gt;=100000,INDEX($AM$1005:$BM$1005,1,MATCH(COLUMNS($AM$1006:BD1006),$AM$1006:$BM$1006,0))&gt;=100000), " ",IF(INDEX($AM$2:$BM$1001,MATCH(ROWS($AF$2:AF259),$AF$2:$AF$1001,0),MATCH(COLUMNS($AM$1006:BD1006),$AM$1006:$BM$1006,0)), HYPERLINK("#",""), HYPERLINK(CONCATENATE("#metadata!", ADDRESS(INDEX($AH$2:$AH$1001,MATCH(ROWS($AF$2:AF259),$AF$2:$AF$1001,0),0), INDEX($AM$1004:$BM$1004,1,MATCH(COLUMNS($AM$1006:BD1006),$AM$1006:$BM$1006,0)))),"Fix")))</f>
        <v xml:space="preserve"> </v>
      </c>
      <c r="T259" s="4" t="str">
        <f ca="1">IF(OR(INDEX($AG$2:$AG$1001,MATCH(ROWS($AF$2:AF259),$AF$2:$AF$1001,0),1)&gt;=100000,INDEX($AM$1005:$BM$1005,1,MATCH(COLUMNS($AM$1006:BE1006),$AM$1006:$BM$1006,0))&gt;=100000), " ",IF(INDEX($AM$2:$BM$1001,MATCH(ROWS($AF$2:AF259),$AF$2:$AF$1001,0),MATCH(COLUMNS($AM$1006:BE1006),$AM$1006:$BM$1006,0)), HYPERLINK("#",""), HYPERLINK(CONCATENATE("#metadata!", ADDRESS(INDEX($AH$2:$AH$1001,MATCH(ROWS($AF$2:AF259),$AF$2:$AF$1001,0),0), INDEX($AM$1004:$BM$1004,1,MATCH(COLUMNS($AM$1006:BE1006),$AM$1006:$BM$1006,0)))),"Fix")))</f>
        <v xml:space="preserve"> </v>
      </c>
      <c r="U259" s="4" t="str">
        <f ca="1">IF(OR(INDEX($AG$2:$AG$1001,MATCH(ROWS($AF$2:AF259),$AF$2:$AF$1001,0),1)&gt;=100000,INDEX($AM$1005:$BM$1005,1,MATCH(COLUMNS($AM$1006:BF1006),$AM$1006:$BM$1006,0))&gt;=100000), " ",IF(INDEX($AM$2:$BM$1001,MATCH(ROWS($AF$2:AF259),$AF$2:$AF$1001,0),MATCH(COLUMNS($AM$1006:BF1006),$AM$1006:$BM$1006,0)), HYPERLINK("#",""), HYPERLINK(CONCATENATE("#metadata!", ADDRESS(INDEX($AH$2:$AH$1001,MATCH(ROWS($AF$2:AF259),$AF$2:$AF$1001,0),0), INDEX($AM$1004:$BM$1004,1,MATCH(COLUMNS($AM$1006:BF1006),$AM$1006:$BM$1006,0)))),"Fix")))</f>
        <v xml:space="preserve"> </v>
      </c>
      <c r="V259" s="4" t="str">
        <f ca="1">IF(OR(INDEX($AG$2:$AG$1001,MATCH(ROWS($AF$2:AF259),$AF$2:$AF$1001,0),1)&gt;=100000,INDEX($AM$1005:$BM$1005,1,MATCH(COLUMNS($AM$1006:BG1006),$AM$1006:$BM$1006,0))&gt;=100000), " ",IF(INDEX($AM$2:$BM$1001,MATCH(ROWS($AF$2:AF259),$AF$2:$AF$1001,0),MATCH(COLUMNS($AM$1006:BG1006),$AM$1006:$BM$1006,0)), HYPERLINK("#",""), HYPERLINK(CONCATENATE("#metadata!", ADDRESS(INDEX($AH$2:$AH$1001,MATCH(ROWS($AF$2:AF259),$AF$2:$AF$1001,0),0), INDEX($AM$1004:$BM$1004,1,MATCH(COLUMNS($AM$1006:BG1006),$AM$1006:$BM$1006,0)))),"Fix")))</f>
        <v xml:space="preserve"> </v>
      </c>
      <c r="W259" s="4" t="str">
        <f ca="1">IF(OR(INDEX($AG$2:$AG$1001,MATCH(ROWS($AF$2:AF259),$AF$2:$AF$1001,0),1)&gt;=100000,INDEX($AM$1005:$BM$1005,1,MATCH(COLUMNS($AM$1006:BH1006),$AM$1006:$BM$1006,0))&gt;=100000), " ",IF(INDEX($AM$2:$BM$1001,MATCH(ROWS($AF$2:AF259),$AF$2:$AF$1001,0),MATCH(COLUMNS($AM$1006:BH1006),$AM$1006:$BM$1006,0)), HYPERLINK("#",""), HYPERLINK(CONCATENATE("#metadata!", ADDRESS(INDEX($AH$2:$AH$1001,MATCH(ROWS($AF$2:AF259),$AF$2:$AF$1001,0),0), INDEX($AM$1004:$BM$1004,1,MATCH(COLUMNS($AM$1006:BH1006),$AM$1006:$BM$1006,0)))),"Fix")))</f>
        <v xml:space="preserve"> </v>
      </c>
      <c r="X259" s="4" t="str">
        <f ca="1">IF(OR(INDEX($AG$2:$AG$1001,MATCH(ROWS($AF$2:AF259),$AF$2:$AF$1001,0),1)&gt;=100000,INDEX($AM$1005:$BM$1005,1,MATCH(COLUMNS($AM$1006:BI1006),$AM$1006:$BM$1006,0))&gt;=100000), " ",IF(INDEX($AM$2:$BM$1001,MATCH(ROWS($AF$2:AF259),$AF$2:$AF$1001,0),MATCH(COLUMNS($AM$1006:BI1006),$AM$1006:$BM$1006,0)), HYPERLINK("#",""), HYPERLINK(CONCATENATE("#metadata!", ADDRESS(INDEX($AH$2:$AH$1001,MATCH(ROWS($AF$2:AF259),$AF$2:$AF$1001,0),0), INDEX($AM$1004:$BM$1004,1,MATCH(COLUMNS($AM$1006:BI1006),$AM$1006:$BM$1006,0)))),"Fix")))</f>
        <v xml:space="preserve"> </v>
      </c>
      <c r="Y259" s="4" t="str">
        <f ca="1">IF(OR(INDEX($AG$2:$AG$1001,MATCH(ROWS($AF$2:AF259),$AF$2:$AF$1001,0),1)&gt;=100000,INDEX($AM$1005:$BM$1005,1,MATCH(COLUMNS($AM$1006:BJ1006),$AM$1006:$BM$1006,0))&gt;=100000), " ",IF(INDEX($AM$2:$BM$1001,MATCH(ROWS($AF$2:AF259),$AF$2:$AF$1001,0),MATCH(COLUMNS($AM$1006:BJ1006),$AM$1006:$BM$1006,0)), HYPERLINK("#",""), HYPERLINK(CONCATENATE("#metadata!", ADDRESS(INDEX($AH$2:$AH$1001,MATCH(ROWS($AF$2:AF259),$AF$2:$AF$1001,0),0), INDEX($AM$1004:$BM$1004,1,MATCH(COLUMNS($AM$1006:BJ1006),$AM$1006:$BM$1006,0)))),"Fix")))</f>
        <v xml:space="preserve"> </v>
      </c>
      <c r="Z259" s="4" t="str">
        <f ca="1">IF(OR(INDEX($AG$2:$AG$1001,MATCH(ROWS($AF$2:AF259),$AF$2:$AF$1001,0),1)&gt;=100000,INDEX($AM$1005:$BM$1005,1,MATCH(COLUMNS($AM$1006:BK1006),$AM$1006:$BM$1006,0))&gt;=100000), " ",IF(INDEX($AM$2:$BM$1001,MATCH(ROWS($AF$2:AF259),$AF$2:$AF$1001,0),MATCH(COLUMNS($AM$1006:BK1006),$AM$1006:$BM$1006,0)), HYPERLINK("#",""), HYPERLINK(CONCATENATE("#metadata!", ADDRESS(INDEX($AH$2:$AH$1001,MATCH(ROWS($AF$2:AF259),$AF$2:$AF$1001,0),0), INDEX($AM$1004:$BM$1004,1,MATCH(COLUMNS($AM$1006:BK1006),$AM$1006:$BM$1006,0)))),"Fix")))</f>
        <v xml:space="preserve"> </v>
      </c>
      <c r="AA259" s="4" t="str">
        <f ca="1">IF(OR(INDEX($AG$2:$AG$1001,MATCH(ROWS($AF$2:AF259),$AF$2:$AF$1001,0),1)&gt;=100000,INDEX($AM$1005:$BM$1005,1,MATCH(COLUMNS($AM$1006:BL1006),$AM$1006:$BM$1006,0))&gt;=100000), " ",IF(INDEX($AM$2:$BM$1001,MATCH(ROWS($AF$2:AF259),$AF$2:$AF$1001,0),MATCH(COLUMNS($AM$1006:BL1006),$AM$1006:$BM$1006,0)), HYPERLINK("#",""), HYPERLINK(CONCATENATE("#metadata!", ADDRESS(INDEX($AH$2:$AH$1001,MATCH(ROWS($AF$2:AF259),$AF$2:$AF$1001,0),0), INDEX($AM$1004:$BM$1004,1,MATCH(COLUMNS($AM$1006:BL1006),$AM$1006:$BM$1006,0)))),"Fix")))</f>
        <v xml:space="preserve"> </v>
      </c>
      <c r="AB259" s="4" t="str">
        <f ca="1">IF(OR(INDEX($AG$2:$AG$1001,MATCH(ROWS($AF$2:AF259),$AF$2:$AF$1001,0),1)&gt;=100000,INDEX($AM$1005:$BM$1005,1,MATCH(COLUMNS($AM$1006:BM1006),$AM$1006:$BM$1006,0))&gt;=100000), " ",IF(INDEX($AM$2:$BM$1001,MATCH(ROWS($AF$2:AF259),$AF$2:$AF$1001,0),MATCH(COLUMNS($AM$1006:BM1006),$AM$1006:$BM$1006,0)), HYPERLINK("#",""), HYPERLINK(CONCATENATE("#metadata!", ADDRESS(INDEX($AH$2:$AH$1001,MATCH(ROWS($AF$2:AF259),$AF$2:$AF$1001,0),0), INDEX($AM$1004:$BM$1004,1,MATCH(COLUMNS($AM$1006:BM1006),$AM$1006:$BM$1006,0)))),"Fix")))</f>
        <v xml:space="preserve"> </v>
      </c>
      <c r="AF259">
        <v>258</v>
      </c>
      <c r="AG259">
        <v>100259</v>
      </c>
      <c r="AH259">
        <v>259</v>
      </c>
      <c r="AI259" t="b">
        <f t="shared" si="4"/>
        <v>1</v>
      </c>
      <c r="AJ259" t="b">
        <f>COUNTBLANK(metadata!B259:AB259)=COLUMNS(metadata!B259:AB259)</f>
        <v>1</v>
      </c>
      <c r="AK259" t="str">
        <v/>
      </c>
      <c r="AM259" t="b">
        <f ca="1">AND(IF(metadata!B259="",FALSE,TRUE),COUNTIF(metadata!B:B, metadata!B259) = 1,NOT(ISERROR(SUMPRODUCT(SEARCH(MID(metadata!B259,ROW(INDIRECT("1:"&amp;LEN(metadata!B259))), 1),"0123456789abcdefghijklmnopqrstuvwxyzABCDEFGHIJKLMNOPQRSTUVWXYZ.")))))</f>
        <v>0</v>
      </c>
      <c r="AN259" t="b">
        <f ca="1">OR(AND(IF(metadata!C259="",FALSE,TRUE),OR(EXACT(metadata!C259,"missing: not collected"),EXACT(metadata!C259,"missing: not provided"),EXACT(metadata!C259,"missing: restricted access"))),AND(IF(metadata!C259="",FALSE,TRUE),AND(AND(IFERROR(INT(LEFT(metadata!C259,4))&gt;1900,FALSE),IFERROR(INT(LEFT(metadata!C259,4))&lt;=YEAR(NOW()),FALSE)), OR(MID(metadata!C259,5,1)="", AND(AND(MID(metadata!C259,5,1)="-",IFERROR(INT(MID(metadata!C259,6,1))&gt;=0,FALSE),IFERROR(INT(MID(metadata!C259,6,1))&lt;=1,FALSE),NOT(MID(metadata!C259,7,1)=""),IFERROR(INT(MID(metadata!C259,6,2))&gt;=1,FALSE),IFERROR(INT(MID(metadata!C259,6,2))&lt;=12,FALSE)), OR(MID(metadata!C259,8,1)="", AND(AND(MID(metadata!C259,8,1)="-",IFERROR(INT(MID(metadata!C259,9,1))&gt;=0,FALSE),IFERROR(INT(MID(metadata!C259,9,1))&lt;=3,FALSE),NOT(MID(metadata!C259,10,1)=""),IFERROR(INT(MID(metadata!C259,9,2))&gt;=1,FALSE),IFERROR(INT(MID(metadata!C259,9,2))&lt;=31,FALSE)), OR(MID(metadata!C259,11,1)="", AND(AND(MID(metadata!C259,11,1)=" ",IFERROR(INT(MID(metadata!C259,12,1))&gt;=0,FALSE),IFERROR(INT(MID(metadata!C259,12,1))&lt;=2,FALSE),NOT(MID(metadata!C259,13,1)=""),IFERROR(INT(MID(metadata!C259,12,2))&gt;=0,FALSE),IFERROR(INT(MID(metadata!C259,12,2))&lt;=23,FALSE)), OR(MID(metadata!C259,14,1)="", AND(AND(MID(metadata!C259,14,1)=":",IFERROR(INT(MID(metadata!C259,15,1))&gt;=0,FALSE),IFERROR(INT(MID(metadata!C259,15,1))&lt;=5,FALSE),NOT(MID(metadata!C259,16,1)=""),IFERROR(INT(MID(metadata!C259,15,2))&gt;=0,FALSE),IFERROR(INT(MID(metadata!C259,15,2))&lt;=59,FALSE)), OR(MID(metadata!C259,17,1)="", AND(AND(MID(metadata!C259,17,1)=":",IFERROR(INT(MID(metadata!C259,18,1))&gt;=0,FALSE),IFERROR(INT(MID(metadata!C259,18,1))&lt;=5,FALSE),NOT(MID(metadata!C259,19,1)=""),IFERROR(INT(MID(metadata!C259,18,2))&gt;=0,FALSE),IFERROR(INT(MID(metadata!C259,18,2))&lt;=59,FALSE)), LEN(metadata!C259)&lt;=19)))))))))))))</f>
        <v>0</v>
      </c>
      <c r="AO259" t="b">
        <f>AND(IF(metadata!D259="",FALSE,TRUE),EXACT(metadata!D259,"Not applicable"))</f>
        <v>0</v>
      </c>
      <c r="AP259" t="b">
        <f>IF(metadata!E259="",FALSE,TRUE)</f>
        <v>0</v>
      </c>
      <c r="AQ259" t="b">
        <f>OR(AND(IF(metadata!F259="",FALSE,TRUE),OR(EXACT(metadata!F259,"missing: not collected"),EXACT(metadata!F259,"missing: not provided"))),AND(IF(metadata!F259="",FALSE,TRUE),OR(EXACT(metadata!F259,"TRUE"),EXACT(metadata!F259,"FALSE"))))</f>
        <v>0</v>
      </c>
      <c r="AR259" t="b">
        <f>OR(AND(IF(metadata!G259="",FALSE,TRUE),OR(EXACT(metadata!G259,"missing: not collected"),EXACT(metadata!G259,"missing: not provided"),EXACT(metadata!G259,"missing: restricted access"))),AND(IF(metadata!G259="",FALSE,ISNUMBER(VALUE(metadata!G259))),metadata!G259&gt;=-413))</f>
        <v>0</v>
      </c>
      <c r="AS259" t="b">
        <f>AND(IF(metadata!H259="",FALSE,TRUE),EXACT(metadata!H259,"meters"))</f>
        <v>0</v>
      </c>
      <c r="AT259" t="b">
        <f>AND(IF(metadata!I259="",FALSE,TRUE),OR(EXACT(metadata!I259,"Host-associated"),EXACT(metadata!I259,"Free-living")))</f>
        <v>0</v>
      </c>
      <c r="AU259" t="b">
        <f>AND(IF(metadata!J259="",FALSE,TRUE),OR(EXACT(metadata!J259,"Animal"),EXACT(metadata!J259,"Fungus"),EXACT(metadata!J259,"Plant"),EXACT(metadata!J259,"Saline"),EXACT(metadata!J259,"Non-saline")))</f>
        <v>0</v>
      </c>
      <c r="AV259" t="b">
        <f>AND(IF(metadata!K259="",FALSE,TRUE),OR(EXACT(metadata!K259,"Plant secretion"),EXACT(metadata!K259,"Plant rhizosphere"),EXACT(metadata!K259,"Plant surface"),EXACT(metadata!K259,"Plant corpus"),EXACT(metadata!K259,"Fungus surface"),EXACT(metadata!K259,"Fungus corpus"),EXACT(metadata!K259,"Animal surface"),EXACT(metadata!K259,"Animal proximal gut"),EXACT(metadata!K259,"Animal corpus"),EXACT(metadata!K259,"Animal distal gut"),EXACT(metadata!K259,"Animal secretion"),EXACT(metadata!K259,"Sub-surface (non-saline)"),EXACT(metadata!K259,"Surface (non-saline)"),EXACT(metadata!K259,"Water (non-saline)"),EXACT(metadata!K259,"Soil (non-saline)"),EXACT(metadata!K259,"Aerosol (non-saline)"),EXACT(metadata!K259,"Sediment (non-saline)"),EXACT(metadata!K259,"Surface (saline)"),EXACT(metadata!K259,"Water (saline)"),EXACT(metadata!K259,"Hypersaline (saline)"),EXACT(metadata!K259,"Aerosol (saline)"),EXACT(metadata!K259,"Sediment (saline)")))</f>
        <v>0</v>
      </c>
      <c r="AW259" t="b">
        <f>IF(metadata!L259="",FALSE,TRUE)</f>
        <v>0</v>
      </c>
      <c r="AX259" t="b">
        <f>IF(metadata!M259="",FALSE,TRUE)</f>
        <v>0</v>
      </c>
      <c r="AY259" t="b">
        <f>IF(metadata!N259="",FALSE,TRUE)</f>
        <v>0</v>
      </c>
      <c r="AZ259" t="b">
        <f>OR(AND(IF(metadata!O259="",FALSE,TRUE),OR(EXACT(metadata!O259,"missing: not collected"),EXACT(metadata!O259,"missing: not provided"),EXACT(metadata!O259,"missing: restricted access"))),AND(IF(metadata!O259="",FALSE,TRUE),OR(EXACT(metadata!O259,"air"),EXACT(metadata!O259,"built environment"),EXACT(metadata!O259,"host-associated"),EXACT(metadata!O259,"human-associated"),EXACT(metadata!O259,"human-skin"),EXACT(metadata!O259,"human-oral"),EXACT(metadata!O259,"human-gut"),EXACT(metadata!O259,"human-vaginal"),EXACT(metadata!O259,"microbial mat/biofilm"),EXACT(metadata!O259,"misc environment"),EXACT(metadata!O259,"plant-associated"),EXACT(metadata!O259,"sediment"),EXACT(metadata!O259,"soil"),EXACT(metadata!O259,"wastewater/sludge"),EXACT(metadata!O259,"water"))))</f>
        <v>0</v>
      </c>
      <c r="BA259" t="b">
        <f>IF(metadata!P259="",FALSE,TRUE)</f>
        <v>0</v>
      </c>
      <c r="BB259" t="b">
        <f>IF(metadata!Q259="",FALSE,TRUE)</f>
        <v>0</v>
      </c>
      <c r="BC259" t="b">
        <f>OR(AND(IF(metadata!R259="",FALSE,TRUE),OR(EXACT(metadata!R259,"missing: not collected"),EXACT(metadata!R259,"missing: not provided"),EXACT(metadata!R259,"missing: restricted access"))),AND(IF(metadata!R259="",FALSE,ISNUMBER(VALUE(metadata!R259))),metadata!R259&gt;=-90,metadata!R259&lt;=90))</f>
        <v>0</v>
      </c>
      <c r="BD259" t="b">
        <f>AND(IF(metadata!S259="",FALSE,TRUE),EXACT(metadata!S259,"Decimal degrees"))</f>
        <v>0</v>
      </c>
      <c r="BE259" t="b">
        <f>OR(AND(IF(metadata!T259="",FALSE,TRUE),OR(EXACT(metadata!T259,"missing: not collected"),EXACT(metadata!T259,"missing: not provided"),EXACT(metadata!T259,"missing: restricted access"))),AND(IF(metadata!T259="",FALSE,ISNUMBER(VALUE(metadata!T259))),metadata!T259&gt;=-180,metadata!T259&lt;=180))</f>
        <v>0</v>
      </c>
      <c r="BF259" t="b">
        <f>AND(IF(metadata!U259="",FALSE,TRUE),EXACT(metadata!U259,"Decimal degrees"))</f>
        <v>0</v>
      </c>
      <c r="BG259" t="b">
        <f>IF(metadata!V259="",FALSE,TRUE)</f>
        <v>0</v>
      </c>
      <c r="BH259" t="b">
        <f>OR(AND(IF(metadata!W259="",FALSE,TRUE),OR(EXACT(metadata!W259,"missing: not collected"),EXACT(metadata!W259,"missing: not provided"),EXACT(metadata!W259,"missing: restricted access"))),AND(IF(metadata!W259="",FALSE,TRUE),OR(EXACT(metadata!W259,"TRUE"),EXACT(metadata!W259,"FALSE"))))</f>
        <v>0</v>
      </c>
      <c r="BI259" t="b">
        <f>AND(IF(metadata!X259="",FALSE,TRUE),EXACT(metadata!X259,"other"))</f>
        <v>0</v>
      </c>
      <c r="BJ259" t="b">
        <f>IF(metadata!Y259="",FALSE,TRUE)</f>
        <v>0</v>
      </c>
      <c r="BK259" t="b">
        <f>OR(AND(IF(metadata!Z259="",FALSE,TRUE),OR(EXACT(metadata!Z259,"missing: not collected"),EXACT(metadata!Z259,"missing: not provided"))),AND(IF(metadata!Z259="",FALSE,IF(ISERROR(INT(metadata!Z259)),FALSE,INT(metadata!Z259)=metadata!Z259)),metadata!Z259&gt;0))</f>
        <v>0</v>
      </c>
      <c r="BL259" t="b">
        <f>AND(IF(metadata!AA259="",FALSE,TRUE),EXACT(metadata!AA259,"Not applicable"))</f>
        <v>0</v>
      </c>
      <c r="BM259" t="b">
        <f>IF(metadata!AB259="",FALSE,TRUE)</f>
        <v>0</v>
      </c>
    </row>
    <row r="260" spans="1:65" x14ac:dyDescent="0.2">
      <c r="A260" s="5" t="str">
        <f ca="1">IF(B260=" "," ",HYPERLINK(CONCATENATE("#metadata!",ADDRESS(INDEX($AH$2:$AH$1001,MATCH(ROWS($AF$2:AF260),$AF$2:$AF$1001,0),0),1)),INDEX($AK$2:$AK$1001,MATCH(ROWS($AF$2:AF260),$AF$2:$AF$1001,0),0)))</f>
        <v xml:space="preserve"> </v>
      </c>
      <c r="B260" s="4" t="str">
        <f ca="1">IF(OR(INDEX($AG$2:$AG$1001,MATCH(ROWS($AF$2:AF260),$AF$2:$AF$1001,0),1)&gt;=100000,INDEX($AM$1005:$BM$1005,1,MATCH(COLUMNS($AM$1006:AM1006),$AM$1006:$BM$1006,0))&gt;=100000), " ",IF(INDEX($AM$2:$BM$1001,MATCH(ROWS($AF$2:AF260),$AF$2:$AF$1001,0),MATCH(COLUMNS($AM$1006:AM1006),$AM$1006:$BM$1006,0)), HYPERLINK("#",""), HYPERLINK(CONCATENATE("#metadata!", ADDRESS(INDEX($AH$2:$AH$1001,MATCH(ROWS($AF$2:AF260),$AF$2:$AF$1001,0),0), INDEX($AM$1004:$BM$1004,1,MATCH(COLUMNS($AM$1006:AM1006),$AM$1006:$BM$1006,0)))),"Fix")))</f>
        <v xml:space="preserve"> </v>
      </c>
      <c r="C260" s="4" t="str">
        <f ca="1">IF(OR(INDEX($AG$2:$AG$1001,MATCH(ROWS($AF$2:AF260),$AF$2:$AF$1001,0),1)&gt;=100000,INDEX($AM$1005:$BM$1005,1,MATCH(COLUMNS($AM$1006:AN1006),$AM$1006:$BM$1006,0))&gt;=100000), " ",IF(INDEX($AM$2:$BM$1001,MATCH(ROWS($AF$2:AF260),$AF$2:$AF$1001,0),MATCH(COLUMNS($AM$1006:AN1006),$AM$1006:$BM$1006,0)), HYPERLINK("#",""), HYPERLINK(CONCATENATE("#metadata!", ADDRESS(INDEX($AH$2:$AH$1001,MATCH(ROWS($AF$2:AF260),$AF$2:$AF$1001,0),0), INDEX($AM$1004:$BM$1004,1,MATCH(COLUMNS($AM$1006:AN1006),$AM$1006:$BM$1006,0)))),"Fix")))</f>
        <v xml:space="preserve"> </v>
      </c>
      <c r="D260" s="4" t="str">
        <f ca="1">IF(OR(INDEX($AG$2:$AG$1001,MATCH(ROWS($AF$2:AF260),$AF$2:$AF$1001,0),1)&gt;=100000,INDEX($AM$1005:$BM$1005,1,MATCH(COLUMNS($AM$1006:AO1006),$AM$1006:$BM$1006,0))&gt;=100000), " ",IF(INDEX($AM$2:$BM$1001,MATCH(ROWS($AF$2:AF260),$AF$2:$AF$1001,0),MATCH(COLUMNS($AM$1006:AO1006),$AM$1006:$BM$1006,0)), HYPERLINK("#",""), HYPERLINK(CONCATENATE("#metadata!", ADDRESS(INDEX($AH$2:$AH$1001,MATCH(ROWS($AF$2:AF260),$AF$2:$AF$1001,0),0), INDEX($AM$1004:$BM$1004,1,MATCH(COLUMNS($AM$1006:AO1006),$AM$1006:$BM$1006,0)))),"Fix")))</f>
        <v xml:space="preserve"> </v>
      </c>
      <c r="E260" s="4" t="str">
        <f ca="1">IF(OR(INDEX($AG$2:$AG$1001,MATCH(ROWS($AF$2:AF260),$AF$2:$AF$1001,0),1)&gt;=100000,INDEX($AM$1005:$BM$1005,1,MATCH(COLUMNS($AM$1006:AP1006),$AM$1006:$BM$1006,0))&gt;=100000), " ",IF(INDEX($AM$2:$BM$1001,MATCH(ROWS($AF$2:AF260),$AF$2:$AF$1001,0),MATCH(COLUMNS($AM$1006:AP1006),$AM$1006:$BM$1006,0)), HYPERLINK("#",""), HYPERLINK(CONCATENATE("#metadata!", ADDRESS(INDEX($AH$2:$AH$1001,MATCH(ROWS($AF$2:AF260),$AF$2:$AF$1001,0),0), INDEX($AM$1004:$BM$1004,1,MATCH(COLUMNS($AM$1006:AP1006),$AM$1006:$BM$1006,0)))),"Fix")))</f>
        <v xml:space="preserve"> </v>
      </c>
      <c r="F260" s="4" t="str">
        <f ca="1">IF(OR(INDEX($AG$2:$AG$1001,MATCH(ROWS($AF$2:AF260),$AF$2:$AF$1001,0),1)&gt;=100000,INDEX($AM$1005:$BM$1005,1,MATCH(COLUMNS($AM$1006:AQ1006),$AM$1006:$BM$1006,0))&gt;=100000), " ",IF(INDEX($AM$2:$BM$1001,MATCH(ROWS($AF$2:AF260),$AF$2:$AF$1001,0),MATCH(COLUMNS($AM$1006:AQ1006),$AM$1006:$BM$1006,0)), HYPERLINK("#",""), HYPERLINK(CONCATENATE("#metadata!", ADDRESS(INDEX($AH$2:$AH$1001,MATCH(ROWS($AF$2:AF260),$AF$2:$AF$1001,0),0), INDEX($AM$1004:$BM$1004,1,MATCH(COLUMNS($AM$1006:AQ1006),$AM$1006:$BM$1006,0)))),"Fix")))</f>
        <v xml:space="preserve"> </v>
      </c>
      <c r="G260" s="4" t="str">
        <f ca="1">IF(OR(INDEX($AG$2:$AG$1001,MATCH(ROWS($AF$2:AF260),$AF$2:$AF$1001,0),1)&gt;=100000,INDEX($AM$1005:$BM$1005,1,MATCH(COLUMNS($AM$1006:AR1006),$AM$1006:$BM$1006,0))&gt;=100000), " ",IF(INDEX($AM$2:$BM$1001,MATCH(ROWS($AF$2:AF260),$AF$2:$AF$1001,0),MATCH(COLUMNS($AM$1006:AR1006),$AM$1006:$BM$1006,0)), HYPERLINK("#",""), HYPERLINK(CONCATENATE("#metadata!", ADDRESS(INDEX($AH$2:$AH$1001,MATCH(ROWS($AF$2:AF260),$AF$2:$AF$1001,0),0), INDEX($AM$1004:$BM$1004,1,MATCH(COLUMNS($AM$1006:AR1006),$AM$1006:$BM$1006,0)))),"Fix")))</f>
        <v xml:space="preserve"> </v>
      </c>
      <c r="H260" s="4" t="str">
        <f ca="1">IF(OR(INDEX($AG$2:$AG$1001,MATCH(ROWS($AF$2:AF260),$AF$2:$AF$1001,0),1)&gt;=100000,INDEX($AM$1005:$BM$1005,1,MATCH(COLUMNS($AM$1006:AS1006),$AM$1006:$BM$1006,0))&gt;=100000), " ",IF(INDEX($AM$2:$BM$1001,MATCH(ROWS($AF$2:AF260),$AF$2:$AF$1001,0),MATCH(COLUMNS($AM$1006:AS1006),$AM$1006:$BM$1006,0)), HYPERLINK("#",""), HYPERLINK(CONCATENATE("#metadata!", ADDRESS(INDEX($AH$2:$AH$1001,MATCH(ROWS($AF$2:AF260),$AF$2:$AF$1001,0),0), INDEX($AM$1004:$BM$1004,1,MATCH(COLUMNS($AM$1006:AS1006),$AM$1006:$BM$1006,0)))),"Fix")))</f>
        <v xml:space="preserve"> </v>
      </c>
      <c r="I260" s="4" t="str">
        <f ca="1">IF(OR(INDEX($AG$2:$AG$1001,MATCH(ROWS($AF$2:AF260),$AF$2:$AF$1001,0),1)&gt;=100000,INDEX($AM$1005:$BM$1005,1,MATCH(COLUMNS($AM$1006:AT1006),$AM$1006:$BM$1006,0))&gt;=100000), " ",IF(INDEX($AM$2:$BM$1001,MATCH(ROWS($AF$2:AF260),$AF$2:$AF$1001,0),MATCH(COLUMNS($AM$1006:AT1006),$AM$1006:$BM$1006,0)), HYPERLINK("#",""), HYPERLINK(CONCATENATE("#metadata!", ADDRESS(INDEX($AH$2:$AH$1001,MATCH(ROWS($AF$2:AF260),$AF$2:$AF$1001,0),0), INDEX($AM$1004:$BM$1004,1,MATCH(COLUMNS($AM$1006:AT1006),$AM$1006:$BM$1006,0)))),"Fix")))</f>
        <v xml:space="preserve"> </v>
      </c>
      <c r="J260" s="4" t="str">
        <f ca="1">IF(OR(INDEX($AG$2:$AG$1001,MATCH(ROWS($AF$2:AF260),$AF$2:$AF$1001,0),1)&gt;=100000,INDEX($AM$1005:$BM$1005,1,MATCH(COLUMNS($AM$1006:AU1006),$AM$1006:$BM$1006,0))&gt;=100000), " ",IF(INDEX($AM$2:$BM$1001,MATCH(ROWS($AF$2:AF260),$AF$2:$AF$1001,0),MATCH(COLUMNS($AM$1006:AU1006),$AM$1006:$BM$1006,0)), HYPERLINK("#",""), HYPERLINK(CONCATENATE("#metadata!", ADDRESS(INDEX($AH$2:$AH$1001,MATCH(ROWS($AF$2:AF260),$AF$2:$AF$1001,0),0), INDEX($AM$1004:$BM$1004,1,MATCH(COLUMNS($AM$1006:AU1006),$AM$1006:$BM$1006,0)))),"Fix")))</f>
        <v xml:space="preserve"> </v>
      </c>
      <c r="K260" s="4" t="str">
        <f ca="1">IF(OR(INDEX($AG$2:$AG$1001,MATCH(ROWS($AF$2:AF260),$AF$2:$AF$1001,0),1)&gt;=100000,INDEX($AM$1005:$BM$1005,1,MATCH(COLUMNS($AM$1006:AV1006),$AM$1006:$BM$1006,0))&gt;=100000), " ",IF(INDEX($AM$2:$BM$1001,MATCH(ROWS($AF$2:AF260),$AF$2:$AF$1001,0),MATCH(COLUMNS($AM$1006:AV1006),$AM$1006:$BM$1006,0)), HYPERLINK("#",""), HYPERLINK(CONCATENATE("#metadata!", ADDRESS(INDEX($AH$2:$AH$1001,MATCH(ROWS($AF$2:AF260),$AF$2:$AF$1001,0),0), INDEX($AM$1004:$BM$1004,1,MATCH(COLUMNS($AM$1006:AV1006),$AM$1006:$BM$1006,0)))),"Fix")))</f>
        <v xml:space="preserve"> </v>
      </c>
      <c r="L260" s="4" t="str">
        <f ca="1">IF(OR(INDEX($AG$2:$AG$1001,MATCH(ROWS($AF$2:AF260),$AF$2:$AF$1001,0),1)&gt;=100000,INDEX($AM$1005:$BM$1005,1,MATCH(COLUMNS($AM$1006:AW1006),$AM$1006:$BM$1006,0))&gt;=100000), " ",IF(INDEX($AM$2:$BM$1001,MATCH(ROWS($AF$2:AF260),$AF$2:$AF$1001,0),MATCH(COLUMNS($AM$1006:AW1006),$AM$1006:$BM$1006,0)), HYPERLINK("#",""), HYPERLINK(CONCATENATE("#metadata!", ADDRESS(INDEX($AH$2:$AH$1001,MATCH(ROWS($AF$2:AF260),$AF$2:$AF$1001,0),0), INDEX($AM$1004:$BM$1004,1,MATCH(COLUMNS($AM$1006:AW1006),$AM$1006:$BM$1006,0)))),"Fix")))</f>
        <v xml:space="preserve"> </v>
      </c>
      <c r="M260" s="4" t="str">
        <f ca="1">IF(OR(INDEX($AG$2:$AG$1001,MATCH(ROWS($AF$2:AF260),$AF$2:$AF$1001,0),1)&gt;=100000,INDEX($AM$1005:$BM$1005,1,MATCH(COLUMNS($AM$1006:AX1006),$AM$1006:$BM$1006,0))&gt;=100000), " ",IF(INDEX($AM$2:$BM$1001,MATCH(ROWS($AF$2:AF260),$AF$2:$AF$1001,0),MATCH(COLUMNS($AM$1006:AX1006),$AM$1006:$BM$1006,0)), HYPERLINK("#",""), HYPERLINK(CONCATENATE("#metadata!", ADDRESS(INDEX($AH$2:$AH$1001,MATCH(ROWS($AF$2:AF260),$AF$2:$AF$1001,0),0), INDEX($AM$1004:$BM$1004,1,MATCH(COLUMNS($AM$1006:AX1006),$AM$1006:$BM$1006,0)))),"Fix")))</f>
        <v xml:space="preserve"> </v>
      </c>
      <c r="N260" s="4" t="str">
        <f ca="1">IF(OR(INDEX($AG$2:$AG$1001,MATCH(ROWS($AF$2:AF260),$AF$2:$AF$1001,0),1)&gt;=100000,INDEX($AM$1005:$BM$1005,1,MATCH(COLUMNS($AM$1006:AY1006),$AM$1006:$BM$1006,0))&gt;=100000), " ",IF(INDEX($AM$2:$BM$1001,MATCH(ROWS($AF$2:AF260),$AF$2:$AF$1001,0),MATCH(COLUMNS($AM$1006:AY1006),$AM$1006:$BM$1006,0)), HYPERLINK("#",""), HYPERLINK(CONCATENATE("#metadata!", ADDRESS(INDEX($AH$2:$AH$1001,MATCH(ROWS($AF$2:AF260),$AF$2:$AF$1001,0),0), INDEX($AM$1004:$BM$1004,1,MATCH(COLUMNS($AM$1006:AY1006),$AM$1006:$BM$1006,0)))),"Fix")))</f>
        <v xml:space="preserve"> </v>
      </c>
      <c r="O260" s="4" t="str">
        <f ca="1">IF(OR(INDEX($AG$2:$AG$1001,MATCH(ROWS($AF$2:AF260),$AF$2:$AF$1001,0),1)&gt;=100000,INDEX($AM$1005:$BM$1005,1,MATCH(COLUMNS($AM$1006:AZ1006),$AM$1006:$BM$1006,0))&gt;=100000), " ",IF(INDEX($AM$2:$BM$1001,MATCH(ROWS($AF$2:AF260),$AF$2:$AF$1001,0),MATCH(COLUMNS($AM$1006:AZ1006),$AM$1006:$BM$1006,0)), HYPERLINK("#",""), HYPERLINK(CONCATENATE("#metadata!", ADDRESS(INDEX($AH$2:$AH$1001,MATCH(ROWS($AF$2:AF260),$AF$2:$AF$1001,0),0), INDEX($AM$1004:$BM$1004,1,MATCH(COLUMNS($AM$1006:AZ1006),$AM$1006:$BM$1006,0)))),"Fix")))</f>
        <v xml:space="preserve"> </v>
      </c>
      <c r="P260" s="4" t="str">
        <f ca="1">IF(OR(INDEX($AG$2:$AG$1001,MATCH(ROWS($AF$2:AF260),$AF$2:$AF$1001,0),1)&gt;=100000,INDEX($AM$1005:$BM$1005,1,MATCH(COLUMNS($AM$1006:BA1006),$AM$1006:$BM$1006,0))&gt;=100000), " ",IF(INDEX($AM$2:$BM$1001,MATCH(ROWS($AF$2:AF260),$AF$2:$AF$1001,0),MATCH(COLUMNS($AM$1006:BA1006),$AM$1006:$BM$1006,0)), HYPERLINK("#",""), HYPERLINK(CONCATENATE("#metadata!", ADDRESS(INDEX($AH$2:$AH$1001,MATCH(ROWS($AF$2:AF260),$AF$2:$AF$1001,0),0), INDEX($AM$1004:$BM$1004,1,MATCH(COLUMNS($AM$1006:BA1006),$AM$1006:$BM$1006,0)))),"Fix")))</f>
        <v xml:space="preserve"> </v>
      </c>
      <c r="Q260" s="4" t="str">
        <f ca="1">IF(OR(INDEX($AG$2:$AG$1001,MATCH(ROWS($AF$2:AF260),$AF$2:$AF$1001,0),1)&gt;=100000,INDEX($AM$1005:$BM$1005,1,MATCH(COLUMNS($AM$1006:BB1006),$AM$1006:$BM$1006,0))&gt;=100000), " ",IF(INDEX($AM$2:$BM$1001,MATCH(ROWS($AF$2:AF260),$AF$2:$AF$1001,0),MATCH(COLUMNS($AM$1006:BB1006),$AM$1006:$BM$1006,0)), HYPERLINK("#",""), HYPERLINK(CONCATENATE("#metadata!", ADDRESS(INDEX($AH$2:$AH$1001,MATCH(ROWS($AF$2:AF260),$AF$2:$AF$1001,0),0), INDEX($AM$1004:$BM$1004,1,MATCH(COLUMNS($AM$1006:BB1006),$AM$1006:$BM$1006,0)))),"Fix")))</f>
        <v xml:space="preserve"> </v>
      </c>
      <c r="R260" s="4" t="str">
        <f ca="1">IF(OR(INDEX($AG$2:$AG$1001,MATCH(ROWS($AF$2:AF260),$AF$2:$AF$1001,0),1)&gt;=100000,INDEX($AM$1005:$BM$1005,1,MATCH(COLUMNS($AM$1006:BC1006),$AM$1006:$BM$1006,0))&gt;=100000), " ",IF(INDEX($AM$2:$BM$1001,MATCH(ROWS($AF$2:AF260),$AF$2:$AF$1001,0),MATCH(COLUMNS($AM$1006:BC1006),$AM$1006:$BM$1006,0)), HYPERLINK("#",""), HYPERLINK(CONCATENATE("#metadata!", ADDRESS(INDEX($AH$2:$AH$1001,MATCH(ROWS($AF$2:AF260),$AF$2:$AF$1001,0),0), INDEX($AM$1004:$BM$1004,1,MATCH(COLUMNS($AM$1006:BC1006),$AM$1006:$BM$1006,0)))),"Fix")))</f>
        <v xml:space="preserve"> </v>
      </c>
      <c r="S260" s="4" t="str">
        <f ca="1">IF(OR(INDEX($AG$2:$AG$1001,MATCH(ROWS($AF$2:AF260),$AF$2:$AF$1001,0),1)&gt;=100000,INDEX($AM$1005:$BM$1005,1,MATCH(COLUMNS($AM$1006:BD1006),$AM$1006:$BM$1006,0))&gt;=100000), " ",IF(INDEX($AM$2:$BM$1001,MATCH(ROWS($AF$2:AF260),$AF$2:$AF$1001,0),MATCH(COLUMNS($AM$1006:BD1006),$AM$1006:$BM$1006,0)), HYPERLINK("#",""), HYPERLINK(CONCATENATE("#metadata!", ADDRESS(INDEX($AH$2:$AH$1001,MATCH(ROWS($AF$2:AF260),$AF$2:$AF$1001,0),0), INDEX($AM$1004:$BM$1004,1,MATCH(COLUMNS($AM$1006:BD1006),$AM$1006:$BM$1006,0)))),"Fix")))</f>
        <v xml:space="preserve"> </v>
      </c>
      <c r="T260" s="4" t="str">
        <f ca="1">IF(OR(INDEX($AG$2:$AG$1001,MATCH(ROWS($AF$2:AF260),$AF$2:$AF$1001,0),1)&gt;=100000,INDEX($AM$1005:$BM$1005,1,MATCH(COLUMNS($AM$1006:BE1006),$AM$1006:$BM$1006,0))&gt;=100000), " ",IF(INDEX($AM$2:$BM$1001,MATCH(ROWS($AF$2:AF260),$AF$2:$AF$1001,0),MATCH(COLUMNS($AM$1006:BE1006),$AM$1006:$BM$1006,0)), HYPERLINK("#",""), HYPERLINK(CONCATENATE("#metadata!", ADDRESS(INDEX($AH$2:$AH$1001,MATCH(ROWS($AF$2:AF260),$AF$2:$AF$1001,0),0), INDEX($AM$1004:$BM$1004,1,MATCH(COLUMNS($AM$1006:BE1006),$AM$1006:$BM$1006,0)))),"Fix")))</f>
        <v xml:space="preserve"> </v>
      </c>
      <c r="U260" s="4" t="str">
        <f ca="1">IF(OR(INDEX($AG$2:$AG$1001,MATCH(ROWS($AF$2:AF260),$AF$2:$AF$1001,0),1)&gt;=100000,INDEX($AM$1005:$BM$1005,1,MATCH(COLUMNS($AM$1006:BF1006),$AM$1006:$BM$1006,0))&gt;=100000), " ",IF(INDEX($AM$2:$BM$1001,MATCH(ROWS($AF$2:AF260),$AF$2:$AF$1001,0),MATCH(COLUMNS($AM$1006:BF1006),$AM$1006:$BM$1006,0)), HYPERLINK("#",""), HYPERLINK(CONCATENATE("#metadata!", ADDRESS(INDEX($AH$2:$AH$1001,MATCH(ROWS($AF$2:AF260),$AF$2:$AF$1001,0),0), INDEX($AM$1004:$BM$1004,1,MATCH(COLUMNS($AM$1006:BF1006),$AM$1006:$BM$1006,0)))),"Fix")))</f>
        <v xml:space="preserve"> </v>
      </c>
      <c r="V260" s="4" t="str">
        <f ca="1">IF(OR(INDEX($AG$2:$AG$1001,MATCH(ROWS($AF$2:AF260),$AF$2:$AF$1001,0),1)&gt;=100000,INDEX($AM$1005:$BM$1005,1,MATCH(COLUMNS($AM$1006:BG1006),$AM$1006:$BM$1006,0))&gt;=100000), " ",IF(INDEX($AM$2:$BM$1001,MATCH(ROWS($AF$2:AF260),$AF$2:$AF$1001,0),MATCH(COLUMNS($AM$1006:BG1006),$AM$1006:$BM$1006,0)), HYPERLINK("#",""), HYPERLINK(CONCATENATE("#metadata!", ADDRESS(INDEX($AH$2:$AH$1001,MATCH(ROWS($AF$2:AF260),$AF$2:$AF$1001,0),0), INDEX($AM$1004:$BM$1004,1,MATCH(COLUMNS($AM$1006:BG1006),$AM$1006:$BM$1006,0)))),"Fix")))</f>
        <v xml:space="preserve"> </v>
      </c>
      <c r="W260" s="4" t="str">
        <f ca="1">IF(OR(INDEX($AG$2:$AG$1001,MATCH(ROWS($AF$2:AF260),$AF$2:$AF$1001,0),1)&gt;=100000,INDEX($AM$1005:$BM$1005,1,MATCH(COLUMNS($AM$1006:BH1006),$AM$1006:$BM$1006,0))&gt;=100000), " ",IF(INDEX($AM$2:$BM$1001,MATCH(ROWS($AF$2:AF260),$AF$2:$AF$1001,0),MATCH(COLUMNS($AM$1006:BH1006),$AM$1006:$BM$1006,0)), HYPERLINK("#",""), HYPERLINK(CONCATENATE("#metadata!", ADDRESS(INDEX($AH$2:$AH$1001,MATCH(ROWS($AF$2:AF260),$AF$2:$AF$1001,0),0), INDEX($AM$1004:$BM$1004,1,MATCH(COLUMNS($AM$1006:BH1006),$AM$1006:$BM$1006,0)))),"Fix")))</f>
        <v xml:space="preserve"> </v>
      </c>
      <c r="X260" s="4" t="str">
        <f ca="1">IF(OR(INDEX($AG$2:$AG$1001,MATCH(ROWS($AF$2:AF260),$AF$2:$AF$1001,0),1)&gt;=100000,INDEX($AM$1005:$BM$1005,1,MATCH(COLUMNS($AM$1006:BI1006),$AM$1006:$BM$1006,0))&gt;=100000), " ",IF(INDEX($AM$2:$BM$1001,MATCH(ROWS($AF$2:AF260),$AF$2:$AF$1001,0),MATCH(COLUMNS($AM$1006:BI1006),$AM$1006:$BM$1006,0)), HYPERLINK("#",""), HYPERLINK(CONCATENATE("#metadata!", ADDRESS(INDEX($AH$2:$AH$1001,MATCH(ROWS($AF$2:AF260),$AF$2:$AF$1001,0),0), INDEX($AM$1004:$BM$1004,1,MATCH(COLUMNS($AM$1006:BI1006),$AM$1006:$BM$1006,0)))),"Fix")))</f>
        <v xml:space="preserve"> </v>
      </c>
      <c r="Y260" s="4" t="str">
        <f ca="1">IF(OR(INDEX($AG$2:$AG$1001,MATCH(ROWS($AF$2:AF260),$AF$2:$AF$1001,0),1)&gt;=100000,INDEX($AM$1005:$BM$1005,1,MATCH(COLUMNS($AM$1006:BJ1006),$AM$1006:$BM$1006,0))&gt;=100000), " ",IF(INDEX($AM$2:$BM$1001,MATCH(ROWS($AF$2:AF260),$AF$2:$AF$1001,0),MATCH(COLUMNS($AM$1006:BJ1006),$AM$1006:$BM$1006,0)), HYPERLINK("#",""), HYPERLINK(CONCATENATE("#metadata!", ADDRESS(INDEX($AH$2:$AH$1001,MATCH(ROWS($AF$2:AF260),$AF$2:$AF$1001,0),0), INDEX($AM$1004:$BM$1004,1,MATCH(COLUMNS($AM$1006:BJ1006),$AM$1006:$BM$1006,0)))),"Fix")))</f>
        <v xml:space="preserve"> </v>
      </c>
      <c r="Z260" s="4" t="str">
        <f ca="1">IF(OR(INDEX($AG$2:$AG$1001,MATCH(ROWS($AF$2:AF260),$AF$2:$AF$1001,0),1)&gt;=100000,INDEX($AM$1005:$BM$1005,1,MATCH(COLUMNS($AM$1006:BK1006),$AM$1006:$BM$1006,0))&gt;=100000), " ",IF(INDEX($AM$2:$BM$1001,MATCH(ROWS($AF$2:AF260),$AF$2:$AF$1001,0),MATCH(COLUMNS($AM$1006:BK1006),$AM$1006:$BM$1006,0)), HYPERLINK("#",""), HYPERLINK(CONCATENATE("#metadata!", ADDRESS(INDEX($AH$2:$AH$1001,MATCH(ROWS($AF$2:AF260),$AF$2:$AF$1001,0),0), INDEX($AM$1004:$BM$1004,1,MATCH(COLUMNS($AM$1006:BK1006),$AM$1006:$BM$1006,0)))),"Fix")))</f>
        <v xml:space="preserve"> </v>
      </c>
      <c r="AA260" s="4" t="str">
        <f ca="1">IF(OR(INDEX($AG$2:$AG$1001,MATCH(ROWS($AF$2:AF260),$AF$2:$AF$1001,0),1)&gt;=100000,INDEX($AM$1005:$BM$1005,1,MATCH(COLUMNS($AM$1006:BL1006),$AM$1006:$BM$1006,0))&gt;=100000), " ",IF(INDEX($AM$2:$BM$1001,MATCH(ROWS($AF$2:AF260),$AF$2:$AF$1001,0),MATCH(COLUMNS($AM$1006:BL1006),$AM$1006:$BM$1006,0)), HYPERLINK("#",""), HYPERLINK(CONCATENATE("#metadata!", ADDRESS(INDEX($AH$2:$AH$1001,MATCH(ROWS($AF$2:AF260),$AF$2:$AF$1001,0),0), INDEX($AM$1004:$BM$1004,1,MATCH(COLUMNS($AM$1006:BL1006),$AM$1006:$BM$1006,0)))),"Fix")))</f>
        <v xml:space="preserve"> </v>
      </c>
      <c r="AB260" s="4" t="str">
        <f ca="1">IF(OR(INDEX($AG$2:$AG$1001,MATCH(ROWS($AF$2:AF260),$AF$2:$AF$1001,0),1)&gt;=100000,INDEX($AM$1005:$BM$1005,1,MATCH(COLUMNS($AM$1006:BM1006),$AM$1006:$BM$1006,0))&gt;=100000), " ",IF(INDEX($AM$2:$BM$1001,MATCH(ROWS($AF$2:AF260),$AF$2:$AF$1001,0),MATCH(COLUMNS($AM$1006:BM1006),$AM$1006:$BM$1006,0)), HYPERLINK("#",""), HYPERLINK(CONCATENATE("#metadata!", ADDRESS(INDEX($AH$2:$AH$1001,MATCH(ROWS($AF$2:AF260),$AF$2:$AF$1001,0),0), INDEX($AM$1004:$BM$1004,1,MATCH(COLUMNS($AM$1006:BM1006),$AM$1006:$BM$1006,0)))),"Fix")))</f>
        <v xml:space="preserve"> </v>
      </c>
      <c r="AF260">
        <v>259</v>
      </c>
      <c r="AG260">
        <v>100260</v>
      </c>
      <c r="AH260">
        <v>260</v>
      </c>
      <c r="AI260" t="b">
        <f t="shared" si="4"/>
        <v>1</v>
      </c>
      <c r="AJ260" t="b">
        <f>COUNTBLANK(metadata!B260:AB260)=COLUMNS(metadata!B260:AB260)</f>
        <v>1</v>
      </c>
      <c r="AK260" t="str">
        <v/>
      </c>
      <c r="AM260" t="b">
        <f ca="1">AND(IF(metadata!B260="",FALSE,TRUE),COUNTIF(metadata!B:B, metadata!B260) = 1,NOT(ISERROR(SUMPRODUCT(SEARCH(MID(metadata!B260,ROW(INDIRECT("1:"&amp;LEN(metadata!B260))), 1),"0123456789abcdefghijklmnopqrstuvwxyzABCDEFGHIJKLMNOPQRSTUVWXYZ.")))))</f>
        <v>0</v>
      </c>
      <c r="AN260" t="b">
        <f ca="1">OR(AND(IF(metadata!C260="",FALSE,TRUE),OR(EXACT(metadata!C260,"missing: not collected"),EXACT(metadata!C260,"missing: not provided"),EXACT(metadata!C260,"missing: restricted access"))),AND(IF(metadata!C260="",FALSE,TRUE),AND(AND(IFERROR(INT(LEFT(metadata!C260,4))&gt;1900,FALSE),IFERROR(INT(LEFT(metadata!C260,4))&lt;=YEAR(NOW()),FALSE)), OR(MID(metadata!C260,5,1)="", AND(AND(MID(metadata!C260,5,1)="-",IFERROR(INT(MID(metadata!C260,6,1))&gt;=0,FALSE),IFERROR(INT(MID(metadata!C260,6,1))&lt;=1,FALSE),NOT(MID(metadata!C260,7,1)=""),IFERROR(INT(MID(metadata!C260,6,2))&gt;=1,FALSE),IFERROR(INT(MID(metadata!C260,6,2))&lt;=12,FALSE)), OR(MID(metadata!C260,8,1)="", AND(AND(MID(metadata!C260,8,1)="-",IFERROR(INT(MID(metadata!C260,9,1))&gt;=0,FALSE),IFERROR(INT(MID(metadata!C260,9,1))&lt;=3,FALSE),NOT(MID(metadata!C260,10,1)=""),IFERROR(INT(MID(metadata!C260,9,2))&gt;=1,FALSE),IFERROR(INT(MID(metadata!C260,9,2))&lt;=31,FALSE)), OR(MID(metadata!C260,11,1)="", AND(AND(MID(metadata!C260,11,1)=" ",IFERROR(INT(MID(metadata!C260,12,1))&gt;=0,FALSE),IFERROR(INT(MID(metadata!C260,12,1))&lt;=2,FALSE),NOT(MID(metadata!C260,13,1)=""),IFERROR(INT(MID(metadata!C260,12,2))&gt;=0,FALSE),IFERROR(INT(MID(metadata!C260,12,2))&lt;=23,FALSE)), OR(MID(metadata!C260,14,1)="", AND(AND(MID(metadata!C260,14,1)=":",IFERROR(INT(MID(metadata!C260,15,1))&gt;=0,FALSE),IFERROR(INT(MID(metadata!C260,15,1))&lt;=5,FALSE),NOT(MID(metadata!C260,16,1)=""),IFERROR(INT(MID(metadata!C260,15,2))&gt;=0,FALSE),IFERROR(INT(MID(metadata!C260,15,2))&lt;=59,FALSE)), OR(MID(metadata!C260,17,1)="", AND(AND(MID(metadata!C260,17,1)=":",IFERROR(INT(MID(metadata!C260,18,1))&gt;=0,FALSE),IFERROR(INT(MID(metadata!C260,18,1))&lt;=5,FALSE),NOT(MID(metadata!C260,19,1)=""),IFERROR(INT(MID(metadata!C260,18,2))&gt;=0,FALSE),IFERROR(INT(MID(metadata!C260,18,2))&lt;=59,FALSE)), LEN(metadata!C260)&lt;=19)))))))))))))</f>
        <v>0</v>
      </c>
      <c r="AO260" t="b">
        <f>AND(IF(metadata!D260="",FALSE,TRUE),EXACT(metadata!D260,"Not applicable"))</f>
        <v>0</v>
      </c>
      <c r="AP260" t="b">
        <f>IF(metadata!E260="",FALSE,TRUE)</f>
        <v>0</v>
      </c>
      <c r="AQ260" t="b">
        <f>OR(AND(IF(metadata!F260="",FALSE,TRUE),OR(EXACT(metadata!F260,"missing: not collected"),EXACT(metadata!F260,"missing: not provided"))),AND(IF(metadata!F260="",FALSE,TRUE),OR(EXACT(metadata!F260,"TRUE"),EXACT(metadata!F260,"FALSE"))))</f>
        <v>0</v>
      </c>
      <c r="AR260" t="b">
        <f>OR(AND(IF(metadata!G260="",FALSE,TRUE),OR(EXACT(metadata!G260,"missing: not collected"),EXACT(metadata!G260,"missing: not provided"),EXACT(metadata!G260,"missing: restricted access"))),AND(IF(metadata!G260="",FALSE,ISNUMBER(VALUE(metadata!G260))),metadata!G260&gt;=-413))</f>
        <v>0</v>
      </c>
      <c r="AS260" t="b">
        <f>AND(IF(metadata!H260="",FALSE,TRUE),EXACT(metadata!H260,"meters"))</f>
        <v>0</v>
      </c>
      <c r="AT260" t="b">
        <f>AND(IF(metadata!I260="",FALSE,TRUE),OR(EXACT(metadata!I260,"Host-associated"),EXACT(metadata!I260,"Free-living")))</f>
        <v>0</v>
      </c>
      <c r="AU260" t="b">
        <f>AND(IF(metadata!J260="",FALSE,TRUE),OR(EXACT(metadata!J260,"Animal"),EXACT(metadata!J260,"Fungus"),EXACT(metadata!J260,"Plant"),EXACT(metadata!J260,"Saline"),EXACT(metadata!J260,"Non-saline")))</f>
        <v>0</v>
      </c>
      <c r="AV260" t="b">
        <f>AND(IF(metadata!K260="",FALSE,TRUE),OR(EXACT(metadata!K260,"Plant secretion"),EXACT(metadata!K260,"Plant rhizosphere"),EXACT(metadata!K260,"Plant surface"),EXACT(metadata!K260,"Plant corpus"),EXACT(metadata!K260,"Fungus surface"),EXACT(metadata!K260,"Fungus corpus"),EXACT(metadata!K260,"Animal surface"),EXACT(metadata!K260,"Animal proximal gut"),EXACT(metadata!K260,"Animal corpus"),EXACT(metadata!K260,"Animal distal gut"),EXACT(metadata!K260,"Animal secretion"),EXACT(metadata!K260,"Sub-surface (non-saline)"),EXACT(metadata!K260,"Surface (non-saline)"),EXACT(metadata!K260,"Water (non-saline)"),EXACT(metadata!K260,"Soil (non-saline)"),EXACT(metadata!K260,"Aerosol (non-saline)"),EXACT(metadata!K260,"Sediment (non-saline)"),EXACT(metadata!K260,"Surface (saline)"),EXACT(metadata!K260,"Water (saline)"),EXACT(metadata!K260,"Hypersaline (saline)"),EXACT(metadata!K260,"Aerosol (saline)"),EXACT(metadata!K260,"Sediment (saline)")))</f>
        <v>0</v>
      </c>
      <c r="AW260" t="b">
        <f>IF(metadata!L260="",FALSE,TRUE)</f>
        <v>0</v>
      </c>
      <c r="AX260" t="b">
        <f>IF(metadata!M260="",FALSE,TRUE)</f>
        <v>0</v>
      </c>
      <c r="AY260" t="b">
        <f>IF(metadata!N260="",FALSE,TRUE)</f>
        <v>0</v>
      </c>
      <c r="AZ260" t="b">
        <f>OR(AND(IF(metadata!O260="",FALSE,TRUE),OR(EXACT(metadata!O260,"missing: not collected"),EXACT(metadata!O260,"missing: not provided"),EXACT(metadata!O260,"missing: restricted access"))),AND(IF(metadata!O260="",FALSE,TRUE),OR(EXACT(metadata!O260,"air"),EXACT(metadata!O260,"built environment"),EXACT(metadata!O260,"host-associated"),EXACT(metadata!O260,"human-associated"),EXACT(metadata!O260,"human-skin"),EXACT(metadata!O260,"human-oral"),EXACT(metadata!O260,"human-gut"),EXACT(metadata!O260,"human-vaginal"),EXACT(metadata!O260,"microbial mat/biofilm"),EXACT(metadata!O260,"misc environment"),EXACT(metadata!O260,"plant-associated"),EXACT(metadata!O260,"sediment"),EXACT(metadata!O260,"soil"),EXACT(metadata!O260,"wastewater/sludge"),EXACT(metadata!O260,"water"))))</f>
        <v>0</v>
      </c>
      <c r="BA260" t="b">
        <f>IF(metadata!P260="",FALSE,TRUE)</f>
        <v>0</v>
      </c>
      <c r="BB260" t="b">
        <f>IF(metadata!Q260="",FALSE,TRUE)</f>
        <v>0</v>
      </c>
      <c r="BC260" t="b">
        <f>OR(AND(IF(metadata!R260="",FALSE,TRUE),OR(EXACT(metadata!R260,"missing: not collected"),EXACT(metadata!R260,"missing: not provided"),EXACT(metadata!R260,"missing: restricted access"))),AND(IF(metadata!R260="",FALSE,ISNUMBER(VALUE(metadata!R260))),metadata!R260&gt;=-90,metadata!R260&lt;=90))</f>
        <v>0</v>
      </c>
      <c r="BD260" t="b">
        <f>AND(IF(metadata!S260="",FALSE,TRUE),EXACT(metadata!S260,"Decimal degrees"))</f>
        <v>0</v>
      </c>
      <c r="BE260" t="b">
        <f>OR(AND(IF(metadata!T260="",FALSE,TRUE),OR(EXACT(metadata!T260,"missing: not collected"),EXACT(metadata!T260,"missing: not provided"),EXACT(metadata!T260,"missing: restricted access"))),AND(IF(metadata!T260="",FALSE,ISNUMBER(VALUE(metadata!T260))),metadata!T260&gt;=-180,metadata!T260&lt;=180))</f>
        <v>0</v>
      </c>
      <c r="BF260" t="b">
        <f>AND(IF(metadata!U260="",FALSE,TRUE),EXACT(metadata!U260,"Decimal degrees"))</f>
        <v>0</v>
      </c>
      <c r="BG260" t="b">
        <f>IF(metadata!V260="",FALSE,TRUE)</f>
        <v>0</v>
      </c>
      <c r="BH260" t="b">
        <f>OR(AND(IF(metadata!W260="",FALSE,TRUE),OR(EXACT(metadata!W260,"missing: not collected"),EXACT(metadata!W260,"missing: not provided"),EXACT(metadata!W260,"missing: restricted access"))),AND(IF(metadata!W260="",FALSE,TRUE),OR(EXACT(metadata!W260,"TRUE"),EXACT(metadata!W260,"FALSE"))))</f>
        <v>0</v>
      </c>
      <c r="BI260" t="b">
        <f>AND(IF(metadata!X260="",FALSE,TRUE),EXACT(metadata!X260,"other"))</f>
        <v>0</v>
      </c>
      <c r="BJ260" t="b">
        <f>IF(metadata!Y260="",FALSE,TRUE)</f>
        <v>0</v>
      </c>
      <c r="BK260" t="b">
        <f>OR(AND(IF(metadata!Z260="",FALSE,TRUE),OR(EXACT(metadata!Z260,"missing: not collected"),EXACT(metadata!Z260,"missing: not provided"))),AND(IF(metadata!Z260="",FALSE,IF(ISERROR(INT(metadata!Z260)),FALSE,INT(metadata!Z260)=metadata!Z260)),metadata!Z260&gt;0))</f>
        <v>0</v>
      </c>
      <c r="BL260" t="b">
        <f>AND(IF(metadata!AA260="",FALSE,TRUE),EXACT(metadata!AA260,"Not applicable"))</f>
        <v>0</v>
      </c>
      <c r="BM260" t="b">
        <f>IF(metadata!AB260="",FALSE,TRUE)</f>
        <v>0</v>
      </c>
    </row>
    <row r="261" spans="1:65" x14ac:dyDescent="0.2">
      <c r="A261" s="5" t="str">
        <f ca="1">IF(B261=" "," ",HYPERLINK(CONCATENATE("#metadata!",ADDRESS(INDEX($AH$2:$AH$1001,MATCH(ROWS($AF$2:AF261),$AF$2:$AF$1001,0),0),1)),INDEX($AK$2:$AK$1001,MATCH(ROWS($AF$2:AF261),$AF$2:$AF$1001,0),0)))</f>
        <v xml:space="preserve"> </v>
      </c>
      <c r="B261" s="4" t="str">
        <f ca="1">IF(OR(INDEX($AG$2:$AG$1001,MATCH(ROWS($AF$2:AF261),$AF$2:$AF$1001,0),1)&gt;=100000,INDEX($AM$1005:$BM$1005,1,MATCH(COLUMNS($AM$1006:AM1006),$AM$1006:$BM$1006,0))&gt;=100000), " ",IF(INDEX($AM$2:$BM$1001,MATCH(ROWS($AF$2:AF261),$AF$2:$AF$1001,0),MATCH(COLUMNS($AM$1006:AM1006),$AM$1006:$BM$1006,0)), HYPERLINK("#",""), HYPERLINK(CONCATENATE("#metadata!", ADDRESS(INDEX($AH$2:$AH$1001,MATCH(ROWS($AF$2:AF261),$AF$2:$AF$1001,0),0), INDEX($AM$1004:$BM$1004,1,MATCH(COLUMNS($AM$1006:AM1006),$AM$1006:$BM$1006,0)))),"Fix")))</f>
        <v xml:space="preserve"> </v>
      </c>
      <c r="C261" s="4" t="str">
        <f ca="1">IF(OR(INDEX($AG$2:$AG$1001,MATCH(ROWS($AF$2:AF261),$AF$2:$AF$1001,0),1)&gt;=100000,INDEX($AM$1005:$BM$1005,1,MATCH(COLUMNS($AM$1006:AN1006),$AM$1006:$BM$1006,0))&gt;=100000), " ",IF(INDEX($AM$2:$BM$1001,MATCH(ROWS($AF$2:AF261),$AF$2:$AF$1001,0),MATCH(COLUMNS($AM$1006:AN1006),$AM$1006:$BM$1006,0)), HYPERLINK("#",""), HYPERLINK(CONCATENATE("#metadata!", ADDRESS(INDEX($AH$2:$AH$1001,MATCH(ROWS($AF$2:AF261),$AF$2:$AF$1001,0),0), INDEX($AM$1004:$BM$1004,1,MATCH(COLUMNS($AM$1006:AN1006),$AM$1006:$BM$1006,0)))),"Fix")))</f>
        <v xml:space="preserve"> </v>
      </c>
      <c r="D261" s="4" t="str">
        <f ca="1">IF(OR(INDEX($AG$2:$AG$1001,MATCH(ROWS($AF$2:AF261),$AF$2:$AF$1001,0),1)&gt;=100000,INDEX($AM$1005:$BM$1005,1,MATCH(COLUMNS($AM$1006:AO1006),$AM$1006:$BM$1006,0))&gt;=100000), " ",IF(INDEX($AM$2:$BM$1001,MATCH(ROWS($AF$2:AF261),$AF$2:$AF$1001,0),MATCH(COLUMNS($AM$1006:AO1006),$AM$1006:$BM$1006,0)), HYPERLINK("#",""), HYPERLINK(CONCATENATE("#metadata!", ADDRESS(INDEX($AH$2:$AH$1001,MATCH(ROWS($AF$2:AF261),$AF$2:$AF$1001,0),0), INDEX($AM$1004:$BM$1004,1,MATCH(COLUMNS($AM$1006:AO1006),$AM$1006:$BM$1006,0)))),"Fix")))</f>
        <v xml:space="preserve"> </v>
      </c>
      <c r="E261" s="4" t="str">
        <f ca="1">IF(OR(INDEX($AG$2:$AG$1001,MATCH(ROWS($AF$2:AF261),$AF$2:$AF$1001,0),1)&gt;=100000,INDEX($AM$1005:$BM$1005,1,MATCH(COLUMNS($AM$1006:AP1006),$AM$1006:$BM$1006,0))&gt;=100000), " ",IF(INDEX($AM$2:$BM$1001,MATCH(ROWS($AF$2:AF261),$AF$2:$AF$1001,0),MATCH(COLUMNS($AM$1006:AP1006),$AM$1006:$BM$1006,0)), HYPERLINK("#",""), HYPERLINK(CONCATENATE("#metadata!", ADDRESS(INDEX($AH$2:$AH$1001,MATCH(ROWS($AF$2:AF261),$AF$2:$AF$1001,0),0), INDEX($AM$1004:$BM$1004,1,MATCH(COLUMNS($AM$1006:AP1006),$AM$1006:$BM$1006,0)))),"Fix")))</f>
        <v xml:space="preserve"> </v>
      </c>
      <c r="F261" s="4" t="str">
        <f ca="1">IF(OR(INDEX($AG$2:$AG$1001,MATCH(ROWS($AF$2:AF261),$AF$2:$AF$1001,0),1)&gt;=100000,INDEX($AM$1005:$BM$1005,1,MATCH(COLUMNS($AM$1006:AQ1006),$AM$1006:$BM$1006,0))&gt;=100000), " ",IF(INDEX($AM$2:$BM$1001,MATCH(ROWS($AF$2:AF261),$AF$2:$AF$1001,0),MATCH(COLUMNS($AM$1006:AQ1006),$AM$1006:$BM$1006,0)), HYPERLINK("#",""), HYPERLINK(CONCATENATE("#metadata!", ADDRESS(INDEX($AH$2:$AH$1001,MATCH(ROWS($AF$2:AF261),$AF$2:$AF$1001,0),0), INDEX($AM$1004:$BM$1004,1,MATCH(COLUMNS($AM$1006:AQ1006),$AM$1006:$BM$1006,0)))),"Fix")))</f>
        <v xml:space="preserve"> </v>
      </c>
      <c r="G261" s="4" t="str">
        <f ca="1">IF(OR(INDEX($AG$2:$AG$1001,MATCH(ROWS($AF$2:AF261),$AF$2:$AF$1001,0),1)&gt;=100000,INDEX($AM$1005:$BM$1005,1,MATCH(COLUMNS($AM$1006:AR1006),$AM$1006:$BM$1006,0))&gt;=100000), " ",IF(INDEX($AM$2:$BM$1001,MATCH(ROWS($AF$2:AF261),$AF$2:$AF$1001,0),MATCH(COLUMNS($AM$1006:AR1006),$AM$1006:$BM$1006,0)), HYPERLINK("#",""), HYPERLINK(CONCATENATE("#metadata!", ADDRESS(INDEX($AH$2:$AH$1001,MATCH(ROWS($AF$2:AF261),$AF$2:$AF$1001,0),0), INDEX($AM$1004:$BM$1004,1,MATCH(COLUMNS($AM$1006:AR1006),$AM$1006:$BM$1006,0)))),"Fix")))</f>
        <v xml:space="preserve"> </v>
      </c>
      <c r="H261" s="4" t="str">
        <f ca="1">IF(OR(INDEX($AG$2:$AG$1001,MATCH(ROWS($AF$2:AF261),$AF$2:$AF$1001,0),1)&gt;=100000,INDEX($AM$1005:$BM$1005,1,MATCH(COLUMNS($AM$1006:AS1006),$AM$1006:$BM$1006,0))&gt;=100000), " ",IF(INDEX($AM$2:$BM$1001,MATCH(ROWS($AF$2:AF261),$AF$2:$AF$1001,0),MATCH(COLUMNS($AM$1006:AS1006),$AM$1006:$BM$1006,0)), HYPERLINK("#",""), HYPERLINK(CONCATENATE("#metadata!", ADDRESS(INDEX($AH$2:$AH$1001,MATCH(ROWS($AF$2:AF261),$AF$2:$AF$1001,0),0), INDEX($AM$1004:$BM$1004,1,MATCH(COLUMNS($AM$1006:AS1006),$AM$1006:$BM$1006,0)))),"Fix")))</f>
        <v xml:space="preserve"> </v>
      </c>
      <c r="I261" s="4" t="str">
        <f ca="1">IF(OR(INDEX($AG$2:$AG$1001,MATCH(ROWS($AF$2:AF261),$AF$2:$AF$1001,0),1)&gt;=100000,INDEX($AM$1005:$BM$1005,1,MATCH(COLUMNS($AM$1006:AT1006),$AM$1006:$BM$1006,0))&gt;=100000), " ",IF(INDEX($AM$2:$BM$1001,MATCH(ROWS($AF$2:AF261),$AF$2:$AF$1001,0),MATCH(COLUMNS($AM$1006:AT1006),$AM$1006:$BM$1006,0)), HYPERLINK("#",""), HYPERLINK(CONCATENATE("#metadata!", ADDRESS(INDEX($AH$2:$AH$1001,MATCH(ROWS($AF$2:AF261),$AF$2:$AF$1001,0),0), INDEX($AM$1004:$BM$1004,1,MATCH(COLUMNS($AM$1006:AT1006),$AM$1006:$BM$1006,0)))),"Fix")))</f>
        <v xml:space="preserve"> </v>
      </c>
      <c r="J261" s="4" t="str">
        <f ca="1">IF(OR(INDEX($AG$2:$AG$1001,MATCH(ROWS($AF$2:AF261),$AF$2:$AF$1001,0),1)&gt;=100000,INDEX($AM$1005:$BM$1005,1,MATCH(COLUMNS($AM$1006:AU1006),$AM$1006:$BM$1006,0))&gt;=100000), " ",IF(INDEX($AM$2:$BM$1001,MATCH(ROWS($AF$2:AF261),$AF$2:$AF$1001,0),MATCH(COLUMNS($AM$1006:AU1006),$AM$1006:$BM$1006,0)), HYPERLINK("#",""), HYPERLINK(CONCATENATE("#metadata!", ADDRESS(INDEX($AH$2:$AH$1001,MATCH(ROWS($AF$2:AF261),$AF$2:$AF$1001,0),0), INDEX($AM$1004:$BM$1004,1,MATCH(COLUMNS($AM$1006:AU1006),$AM$1006:$BM$1006,0)))),"Fix")))</f>
        <v xml:space="preserve"> </v>
      </c>
      <c r="K261" s="4" t="str">
        <f ca="1">IF(OR(INDEX($AG$2:$AG$1001,MATCH(ROWS($AF$2:AF261),$AF$2:$AF$1001,0),1)&gt;=100000,INDEX($AM$1005:$BM$1005,1,MATCH(COLUMNS($AM$1006:AV1006),$AM$1006:$BM$1006,0))&gt;=100000), " ",IF(INDEX($AM$2:$BM$1001,MATCH(ROWS($AF$2:AF261),$AF$2:$AF$1001,0),MATCH(COLUMNS($AM$1006:AV1006),$AM$1006:$BM$1006,0)), HYPERLINK("#",""), HYPERLINK(CONCATENATE("#metadata!", ADDRESS(INDEX($AH$2:$AH$1001,MATCH(ROWS($AF$2:AF261),$AF$2:$AF$1001,0),0), INDEX($AM$1004:$BM$1004,1,MATCH(COLUMNS($AM$1006:AV1006),$AM$1006:$BM$1006,0)))),"Fix")))</f>
        <v xml:space="preserve"> </v>
      </c>
      <c r="L261" s="4" t="str">
        <f ca="1">IF(OR(INDEX($AG$2:$AG$1001,MATCH(ROWS($AF$2:AF261),$AF$2:$AF$1001,0),1)&gt;=100000,INDEX($AM$1005:$BM$1005,1,MATCH(COLUMNS($AM$1006:AW1006),$AM$1006:$BM$1006,0))&gt;=100000), " ",IF(INDEX($AM$2:$BM$1001,MATCH(ROWS($AF$2:AF261),$AF$2:$AF$1001,0),MATCH(COLUMNS($AM$1006:AW1006),$AM$1006:$BM$1006,0)), HYPERLINK("#",""), HYPERLINK(CONCATENATE("#metadata!", ADDRESS(INDEX($AH$2:$AH$1001,MATCH(ROWS($AF$2:AF261),$AF$2:$AF$1001,0),0), INDEX($AM$1004:$BM$1004,1,MATCH(COLUMNS($AM$1006:AW1006),$AM$1006:$BM$1006,0)))),"Fix")))</f>
        <v xml:space="preserve"> </v>
      </c>
      <c r="M261" s="4" t="str">
        <f ca="1">IF(OR(INDEX($AG$2:$AG$1001,MATCH(ROWS($AF$2:AF261),$AF$2:$AF$1001,0),1)&gt;=100000,INDEX($AM$1005:$BM$1005,1,MATCH(COLUMNS($AM$1006:AX1006),$AM$1006:$BM$1006,0))&gt;=100000), " ",IF(INDEX($AM$2:$BM$1001,MATCH(ROWS($AF$2:AF261),$AF$2:$AF$1001,0),MATCH(COLUMNS($AM$1006:AX1006),$AM$1006:$BM$1006,0)), HYPERLINK("#",""), HYPERLINK(CONCATENATE("#metadata!", ADDRESS(INDEX($AH$2:$AH$1001,MATCH(ROWS($AF$2:AF261),$AF$2:$AF$1001,0),0), INDEX($AM$1004:$BM$1004,1,MATCH(COLUMNS($AM$1006:AX1006),$AM$1006:$BM$1006,0)))),"Fix")))</f>
        <v xml:space="preserve"> </v>
      </c>
      <c r="N261" s="4" t="str">
        <f ca="1">IF(OR(INDEX($AG$2:$AG$1001,MATCH(ROWS($AF$2:AF261),$AF$2:$AF$1001,0),1)&gt;=100000,INDEX($AM$1005:$BM$1005,1,MATCH(COLUMNS($AM$1006:AY1006),$AM$1006:$BM$1006,0))&gt;=100000), " ",IF(INDEX($AM$2:$BM$1001,MATCH(ROWS($AF$2:AF261),$AF$2:$AF$1001,0),MATCH(COLUMNS($AM$1006:AY1006),$AM$1006:$BM$1006,0)), HYPERLINK("#",""), HYPERLINK(CONCATENATE("#metadata!", ADDRESS(INDEX($AH$2:$AH$1001,MATCH(ROWS($AF$2:AF261),$AF$2:$AF$1001,0),0), INDEX($AM$1004:$BM$1004,1,MATCH(COLUMNS($AM$1006:AY1006),$AM$1006:$BM$1006,0)))),"Fix")))</f>
        <v xml:space="preserve"> </v>
      </c>
      <c r="O261" s="4" t="str">
        <f ca="1">IF(OR(INDEX($AG$2:$AG$1001,MATCH(ROWS($AF$2:AF261),$AF$2:$AF$1001,0),1)&gt;=100000,INDEX($AM$1005:$BM$1005,1,MATCH(COLUMNS($AM$1006:AZ1006),$AM$1006:$BM$1006,0))&gt;=100000), " ",IF(INDEX($AM$2:$BM$1001,MATCH(ROWS($AF$2:AF261),$AF$2:$AF$1001,0),MATCH(COLUMNS($AM$1006:AZ1006),$AM$1006:$BM$1006,0)), HYPERLINK("#",""), HYPERLINK(CONCATENATE("#metadata!", ADDRESS(INDEX($AH$2:$AH$1001,MATCH(ROWS($AF$2:AF261),$AF$2:$AF$1001,0),0), INDEX($AM$1004:$BM$1004,1,MATCH(COLUMNS($AM$1006:AZ1006),$AM$1006:$BM$1006,0)))),"Fix")))</f>
        <v xml:space="preserve"> </v>
      </c>
      <c r="P261" s="4" t="str">
        <f ca="1">IF(OR(INDEX($AG$2:$AG$1001,MATCH(ROWS($AF$2:AF261),$AF$2:$AF$1001,0),1)&gt;=100000,INDEX($AM$1005:$BM$1005,1,MATCH(COLUMNS($AM$1006:BA1006),$AM$1006:$BM$1006,0))&gt;=100000), " ",IF(INDEX($AM$2:$BM$1001,MATCH(ROWS($AF$2:AF261),$AF$2:$AF$1001,0),MATCH(COLUMNS($AM$1006:BA1006),$AM$1006:$BM$1006,0)), HYPERLINK("#",""), HYPERLINK(CONCATENATE("#metadata!", ADDRESS(INDEX($AH$2:$AH$1001,MATCH(ROWS($AF$2:AF261),$AF$2:$AF$1001,0),0), INDEX($AM$1004:$BM$1004,1,MATCH(COLUMNS($AM$1006:BA1006),$AM$1006:$BM$1006,0)))),"Fix")))</f>
        <v xml:space="preserve"> </v>
      </c>
      <c r="Q261" s="4" t="str">
        <f ca="1">IF(OR(INDEX($AG$2:$AG$1001,MATCH(ROWS($AF$2:AF261),$AF$2:$AF$1001,0),1)&gt;=100000,INDEX($AM$1005:$BM$1005,1,MATCH(COLUMNS($AM$1006:BB1006),$AM$1006:$BM$1006,0))&gt;=100000), " ",IF(INDEX($AM$2:$BM$1001,MATCH(ROWS($AF$2:AF261),$AF$2:$AF$1001,0),MATCH(COLUMNS($AM$1006:BB1006),$AM$1006:$BM$1006,0)), HYPERLINK("#",""), HYPERLINK(CONCATENATE("#metadata!", ADDRESS(INDEX($AH$2:$AH$1001,MATCH(ROWS($AF$2:AF261),$AF$2:$AF$1001,0),0), INDEX($AM$1004:$BM$1004,1,MATCH(COLUMNS($AM$1006:BB1006),$AM$1006:$BM$1006,0)))),"Fix")))</f>
        <v xml:space="preserve"> </v>
      </c>
      <c r="R261" s="4" t="str">
        <f ca="1">IF(OR(INDEX($AG$2:$AG$1001,MATCH(ROWS($AF$2:AF261),$AF$2:$AF$1001,0),1)&gt;=100000,INDEX($AM$1005:$BM$1005,1,MATCH(COLUMNS($AM$1006:BC1006),$AM$1006:$BM$1006,0))&gt;=100000), " ",IF(INDEX($AM$2:$BM$1001,MATCH(ROWS($AF$2:AF261),$AF$2:$AF$1001,0),MATCH(COLUMNS($AM$1006:BC1006),$AM$1006:$BM$1006,0)), HYPERLINK("#",""), HYPERLINK(CONCATENATE("#metadata!", ADDRESS(INDEX($AH$2:$AH$1001,MATCH(ROWS($AF$2:AF261),$AF$2:$AF$1001,0),0), INDEX($AM$1004:$BM$1004,1,MATCH(COLUMNS($AM$1006:BC1006),$AM$1006:$BM$1006,0)))),"Fix")))</f>
        <v xml:space="preserve"> </v>
      </c>
      <c r="S261" s="4" t="str">
        <f ca="1">IF(OR(INDEX($AG$2:$AG$1001,MATCH(ROWS($AF$2:AF261),$AF$2:$AF$1001,0),1)&gt;=100000,INDEX($AM$1005:$BM$1005,1,MATCH(COLUMNS($AM$1006:BD1006),$AM$1006:$BM$1006,0))&gt;=100000), " ",IF(INDEX($AM$2:$BM$1001,MATCH(ROWS($AF$2:AF261),$AF$2:$AF$1001,0),MATCH(COLUMNS($AM$1006:BD1006),$AM$1006:$BM$1006,0)), HYPERLINK("#",""), HYPERLINK(CONCATENATE("#metadata!", ADDRESS(INDEX($AH$2:$AH$1001,MATCH(ROWS($AF$2:AF261),$AF$2:$AF$1001,0),0), INDEX($AM$1004:$BM$1004,1,MATCH(COLUMNS($AM$1006:BD1006),$AM$1006:$BM$1006,0)))),"Fix")))</f>
        <v xml:space="preserve"> </v>
      </c>
      <c r="T261" s="4" t="str">
        <f ca="1">IF(OR(INDEX($AG$2:$AG$1001,MATCH(ROWS($AF$2:AF261),$AF$2:$AF$1001,0),1)&gt;=100000,INDEX($AM$1005:$BM$1005,1,MATCH(COLUMNS($AM$1006:BE1006),$AM$1006:$BM$1006,0))&gt;=100000), " ",IF(INDEX($AM$2:$BM$1001,MATCH(ROWS($AF$2:AF261),$AF$2:$AF$1001,0),MATCH(COLUMNS($AM$1006:BE1006),$AM$1006:$BM$1006,0)), HYPERLINK("#",""), HYPERLINK(CONCATENATE("#metadata!", ADDRESS(INDEX($AH$2:$AH$1001,MATCH(ROWS($AF$2:AF261),$AF$2:$AF$1001,0),0), INDEX($AM$1004:$BM$1004,1,MATCH(COLUMNS($AM$1006:BE1006),$AM$1006:$BM$1006,0)))),"Fix")))</f>
        <v xml:space="preserve"> </v>
      </c>
      <c r="U261" s="4" t="str">
        <f ca="1">IF(OR(INDEX($AG$2:$AG$1001,MATCH(ROWS($AF$2:AF261),$AF$2:$AF$1001,0),1)&gt;=100000,INDEX($AM$1005:$BM$1005,1,MATCH(COLUMNS($AM$1006:BF1006),$AM$1006:$BM$1006,0))&gt;=100000), " ",IF(INDEX($AM$2:$BM$1001,MATCH(ROWS($AF$2:AF261),$AF$2:$AF$1001,0),MATCH(COLUMNS($AM$1006:BF1006),$AM$1006:$BM$1006,0)), HYPERLINK("#",""), HYPERLINK(CONCATENATE("#metadata!", ADDRESS(INDEX($AH$2:$AH$1001,MATCH(ROWS($AF$2:AF261),$AF$2:$AF$1001,0),0), INDEX($AM$1004:$BM$1004,1,MATCH(COLUMNS($AM$1006:BF1006),$AM$1006:$BM$1006,0)))),"Fix")))</f>
        <v xml:space="preserve"> </v>
      </c>
      <c r="V261" s="4" t="str">
        <f ca="1">IF(OR(INDEX($AG$2:$AG$1001,MATCH(ROWS($AF$2:AF261),$AF$2:$AF$1001,0),1)&gt;=100000,INDEX($AM$1005:$BM$1005,1,MATCH(COLUMNS($AM$1006:BG1006),$AM$1006:$BM$1006,0))&gt;=100000), " ",IF(INDEX($AM$2:$BM$1001,MATCH(ROWS($AF$2:AF261),$AF$2:$AF$1001,0),MATCH(COLUMNS($AM$1006:BG1006),$AM$1006:$BM$1006,0)), HYPERLINK("#",""), HYPERLINK(CONCATENATE("#metadata!", ADDRESS(INDEX($AH$2:$AH$1001,MATCH(ROWS($AF$2:AF261),$AF$2:$AF$1001,0),0), INDEX($AM$1004:$BM$1004,1,MATCH(COLUMNS($AM$1006:BG1006),$AM$1006:$BM$1006,0)))),"Fix")))</f>
        <v xml:space="preserve"> </v>
      </c>
      <c r="W261" s="4" t="str">
        <f ca="1">IF(OR(INDEX($AG$2:$AG$1001,MATCH(ROWS($AF$2:AF261),$AF$2:$AF$1001,0),1)&gt;=100000,INDEX($AM$1005:$BM$1005,1,MATCH(COLUMNS($AM$1006:BH1006),$AM$1006:$BM$1006,0))&gt;=100000), " ",IF(INDEX($AM$2:$BM$1001,MATCH(ROWS($AF$2:AF261),$AF$2:$AF$1001,0),MATCH(COLUMNS($AM$1006:BH1006),$AM$1006:$BM$1006,0)), HYPERLINK("#",""), HYPERLINK(CONCATENATE("#metadata!", ADDRESS(INDEX($AH$2:$AH$1001,MATCH(ROWS($AF$2:AF261),$AF$2:$AF$1001,0),0), INDEX($AM$1004:$BM$1004,1,MATCH(COLUMNS($AM$1006:BH1006),$AM$1006:$BM$1006,0)))),"Fix")))</f>
        <v xml:space="preserve"> </v>
      </c>
      <c r="X261" s="4" t="str">
        <f ca="1">IF(OR(INDEX($AG$2:$AG$1001,MATCH(ROWS($AF$2:AF261),$AF$2:$AF$1001,0),1)&gt;=100000,INDEX($AM$1005:$BM$1005,1,MATCH(COLUMNS($AM$1006:BI1006),$AM$1006:$BM$1006,0))&gt;=100000), " ",IF(INDEX($AM$2:$BM$1001,MATCH(ROWS($AF$2:AF261),$AF$2:$AF$1001,0),MATCH(COLUMNS($AM$1006:BI1006),$AM$1006:$BM$1006,0)), HYPERLINK("#",""), HYPERLINK(CONCATENATE("#metadata!", ADDRESS(INDEX($AH$2:$AH$1001,MATCH(ROWS($AF$2:AF261),$AF$2:$AF$1001,0),0), INDEX($AM$1004:$BM$1004,1,MATCH(COLUMNS($AM$1006:BI1006),$AM$1006:$BM$1006,0)))),"Fix")))</f>
        <v xml:space="preserve"> </v>
      </c>
      <c r="Y261" s="4" t="str">
        <f ca="1">IF(OR(INDEX($AG$2:$AG$1001,MATCH(ROWS($AF$2:AF261),$AF$2:$AF$1001,0),1)&gt;=100000,INDEX($AM$1005:$BM$1005,1,MATCH(COLUMNS($AM$1006:BJ1006),$AM$1006:$BM$1006,0))&gt;=100000), " ",IF(INDEX($AM$2:$BM$1001,MATCH(ROWS($AF$2:AF261),$AF$2:$AF$1001,0),MATCH(COLUMNS($AM$1006:BJ1006),$AM$1006:$BM$1006,0)), HYPERLINK("#",""), HYPERLINK(CONCATENATE("#metadata!", ADDRESS(INDEX($AH$2:$AH$1001,MATCH(ROWS($AF$2:AF261),$AF$2:$AF$1001,0),0), INDEX($AM$1004:$BM$1004,1,MATCH(COLUMNS($AM$1006:BJ1006),$AM$1006:$BM$1006,0)))),"Fix")))</f>
        <v xml:space="preserve"> </v>
      </c>
      <c r="Z261" s="4" t="str">
        <f ca="1">IF(OR(INDEX($AG$2:$AG$1001,MATCH(ROWS($AF$2:AF261),$AF$2:$AF$1001,0),1)&gt;=100000,INDEX($AM$1005:$BM$1005,1,MATCH(COLUMNS($AM$1006:BK1006),$AM$1006:$BM$1006,0))&gt;=100000), " ",IF(INDEX($AM$2:$BM$1001,MATCH(ROWS($AF$2:AF261),$AF$2:$AF$1001,0),MATCH(COLUMNS($AM$1006:BK1006),$AM$1006:$BM$1006,0)), HYPERLINK("#",""), HYPERLINK(CONCATENATE("#metadata!", ADDRESS(INDEX($AH$2:$AH$1001,MATCH(ROWS($AF$2:AF261),$AF$2:$AF$1001,0),0), INDEX($AM$1004:$BM$1004,1,MATCH(COLUMNS($AM$1006:BK1006),$AM$1006:$BM$1006,0)))),"Fix")))</f>
        <v xml:space="preserve"> </v>
      </c>
      <c r="AA261" s="4" t="str">
        <f ca="1">IF(OR(INDEX($AG$2:$AG$1001,MATCH(ROWS($AF$2:AF261),$AF$2:$AF$1001,0),1)&gt;=100000,INDEX($AM$1005:$BM$1005,1,MATCH(COLUMNS($AM$1006:BL1006),$AM$1006:$BM$1006,0))&gt;=100000), " ",IF(INDEX($AM$2:$BM$1001,MATCH(ROWS($AF$2:AF261),$AF$2:$AF$1001,0),MATCH(COLUMNS($AM$1006:BL1006),$AM$1006:$BM$1006,0)), HYPERLINK("#",""), HYPERLINK(CONCATENATE("#metadata!", ADDRESS(INDEX($AH$2:$AH$1001,MATCH(ROWS($AF$2:AF261),$AF$2:$AF$1001,0),0), INDEX($AM$1004:$BM$1004,1,MATCH(COLUMNS($AM$1006:BL1006),$AM$1006:$BM$1006,0)))),"Fix")))</f>
        <v xml:space="preserve"> </v>
      </c>
      <c r="AB261" s="4" t="str">
        <f ca="1">IF(OR(INDEX($AG$2:$AG$1001,MATCH(ROWS($AF$2:AF261),$AF$2:$AF$1001,0),1)&gt;=100000,INDEX($AM$1005:$BM$1005,1,MATCH(COLUMNS($AM$1006:BM1006),$AM$1006:$BM$1006,0))&gt;=100000), " ",IF(INDEX($AM$2:$BM$1001,MATCH(ROWS($AF$2:AF261),$AF$2:$AF$1001,0),MATCH(COLUMNS($AM$1006:BM1006),$AM$1006:$BM$1006,0)), HYPERLINK("#",""), HYPERLINK(CONCATENATE("#metadata!", ADDRESS(INDEX($AH$2:$AH$1001,MATCH(ROWS($AF$2:AF261),$AF$2:$AF$1001,0),0), INDEX($AM$1004:$BM$1004,1,MATCH(COLUMNS($AM$1006:BM1006),$AM$1006:$BM$1006,0)))),"Fix")))</f>
        <v xml:space="preserve"> </v>
      </c>
      <c r="AF261">
        <v>260</v>
      </c>
      <c r="AG261">
        <v>100261</v>
      </c>
      <c r="AH261">
        <v>261</v>
      </c>
      <c r="AI261" t="b">
        <f t="shared" si="4"/>
        <v>1</v>
      </c>
      <c r="AJ261" t="b">
        <f>COUNTBLANK(metadata!B261:AB261)=COLUMNS(metadata!B261:AB261)</f>
        <v>1</v>
      </c>
      <c r="AK261" t="str">
        <v/>
      </c>
      <c r="AM261" t="b">
        <f ca="1">AND(IF(metadata!B261="",FALSE,TRUE),COUNTIF(metadata!B:B, metadata!B261) = 1,NOT(ISERROR(SUMPRODUCT(SEARCH(MID(metadata!B261,ROW(INDIRECT("1:"&amp;LEN(metadata!B261))), 1),"0123456789abcdefghijklmnopqrstuvwxyzABCDEFGHIJKLMNOPQRSTUVWXYZ.")))))</f>
        <v>0</v>
      </c>
      <c r="AN261" t="b">
        <f ca="1">OR(AND(IF(metadata!C261="",FALSE,TRUE),OR(EXACT(metadata!C261,"missing: not collected"),EXACT(metadata!C261,"missing: not provided"),EXACT(metadata!C261,"missing: restricted access"))),AND(IF(metadata!C261="",FALSE,TRUE),AND(AND(IFERROR(INT(LEFT(metadata!C261,4))&gt;1900,FALSE),IFERROR(INT(LEFT(metadata!C261,4))&lt;=YEAR(NOW()),FALSE)), OR(MID(metadata!C261,5,1)="", AND(AND(MID(metadata!C261,5,1)="-",IFERROR(INT(MID(metadata!C261,6,1))&gt;=0,FALSE),IFERROR(INT(MID(metadata!C261,6,1))&lt;=1,FALSE),NOT(MID(metadata!C261,7,1)=""),IFERROR(INT(MID(metadata!C261,6,2))&gt;=1,FALSE),IFERROR(INT(MID(metadata!C261,6,2))&lt;=12,FALSE)), OR(MID(metadata!C261,8,1)="", AND(AND(MID(metadata!C261,8,1)="-",IFERROR(INT(MID(metadata!C261,9,1))&gt;=0,FALSE),IFERROR(INT(MID(metadata!C261,9,1))&lt;=3,FALSE),NOT(MID(metadata!C261,10,1)=""),IFERROR(INT(MID(metadata!C261,9,2))&gt;=1,FALSE),IFERROR(INT(MID(metadata!C261,9,2))&lt;=31,FALSE)), OR(MID(metadata!C261,11,1)="", AND(AND(MID(metadata!C261,11,1)=" ",IFERROR(INT(MID(metadata!C261,12,1))&gt;=0,FALSE),IFERROR(INT(MID(metadata!C261,12,1))&lt;=2,FALSE),NOT(MID(metadata!C261,13,1)=""),IFERROR(INT(MID(metadata!C261,12,2))&gt;=0,FALSE),IFERROR(INT(MID(metadata!C261,12,2))&lt;=23,FALSE)), OR(MID(metadata!C261,14,1)="", AND(AND(MID(metadata!C261,14,1)=":",IFERROR(INT(MID(metadata!C261,15,1))&gt;=0,FALSE),IFERROR(INT(MID(metadata!C261,15,1))&lt;=5,FALSE),NOT(MID(metadata!C261,16,1)=""),IFERROR(INT(MID(metadata!C261,15,2))&gt;=0,FALSE),IFERROR(INT(MID(metadata!C261,15,2))&lt;=59,FALSE)), OR(MID(metadata!C261,17,1)="", AND(AND(MID(metadata!C261,17,1)=":",IFERROR(INT(MID(metadata!C261,18,1))&gt;=0,FALSE),IFERROR(INT(MID(metadata!C261,18,1))&lt;=5,FALSE),NOT(MID(metadata!C261,19,1)=""),IFERROR(INT(MID(metadata!C261,18,2))&gt;=0,FALSE),IFERROR(INT(MID(metadata!C261,18,2))&lt;=59,FALSE)), LEN(metadata!C261)&lt;=19)))))))))))))</f>
        <v>0</v>
      </c>
      <c r="AO261" t="b">
        <f>AND(IF(metadata!D261="",FALSE,TRUE),EXACT(metadata!D261,"Not applicable"))</f>
        <v>0</v>
      </c>
      <c r="AP261" t="b">
        <f>IF(metadata!E261="",FALSE,TRUE)</f>
        <v>0</v>
      </c>
      <c r="AQ261" t="b">
        <f>OR(AND(IF(metadata!F261="",FALSE,TRUE),OR(EXACT(metadata!F261,"missing: not collected"),EXACT(metadata!F261,"missing: not provided"))),AND(IF(metadata!F261="",FALSE,TRUE),OR(EXACT(metadata!F261,"TRUE"),EXACT(metadata!F261,"FALSE"))))</f>
        <v>0</v>
      </c>
      <c r="AR261" t="b">
        <f>OR(AND(IF(metadata!G261="",FALSE,TRUE),OR(EXACT(metadata!G261,"missing: not collected"),EXACT(metadata!G261,"missing: not provided"),EXACT(metadata!G261,"missing: restricted access"))),AND(IF(metadata!G261="",FALSE,ISNUMBER(VALUE(metadata!G261))),metadata!G261&gt;=-413))</f>
        <v>0</v>
      </c>
      <c r="AS261" t="b">
        <f>AND(IF(metadata!H261="",FALSE,TRUE),EXACT(metadata!H261,"meters"))</f>
        <v>0</v>
      </c>
      <c r="AT261" t="b">
        <f>AND(IF(metadata!I261="",FALSE,TRUE),OR(EXACT(metadata!I261,"Host-associated"),EXACT(metadata!I261,"Free-living")))</f>
        <v>0</v>
      </c>
      <c r="AU261" t="b">
        <f>AND(IF(metadata!J261="",FALSE,TRUE),OR(EXACT(metadata!J261,"Animal"),EXACT(metadata!J261,"Fungus"),EXACT(metadata!J261,"Plant"),EXACT(metadata!J261,"Saline"),EXACT(metadata!J261,"Non-saline")))</f>
        <v>0</v>
      </c>
      <c r="AV261" t="b">
        <f>AND(IF(metadata!K261="",FALSE,TRUE),OR(EXACT(metadata!K261,"Plant secretion"),EXACT(metadata!K261,"Plant rhizosphere"),EXACT(metadata!K261,"Plant surface"),EXACT(metadata!K261,"Plant corpus"),EXACT(metadata!K261,"Fungus surface"),EXACT(metadata!K261,"Fungus corpus"),EXACT(metadata!K261,"Animal surface"),EXACT(metadata!K261,"Animal proximal gut"),EXACT(metadata!K261,"Animal corpus"),EXACT(metadata!K261,"Animal distal gut"),EXACT(metadata!K261,"Animal secretion"),EXACT(metadata!K261,"Sub-surface (non-saline)"),EXACT(metadata!K261,"Surface (non-saline)"),EXACT(metadata!K261,"Water (non-saline)"),EXACT(metadata!K261,"Soil (non-saline)"),EXACT(metadata!K261,"Aerosol (non-saline)"),EXACT(metadata!K261,"Sediment (non-saline)"),EXACT(metadata!K261,"Surface (saline)"),EXACT(metadata!K261,"Water (saline)"),EXACT(metadata!K261,"Hypersaline (saline)"),EXACT(metadata!K261,"Aerosol (saline)"),EXACT(metadata!K261,"Sediment (saline)")))</f>
        <v>0</v>
      </c>
      <c r="AW261" t="b">
        <f>IF(metadata!L261="",FALSE,TRUE)</f>
        <v>0</v>
      </c>
      <c r="AX261" t="b">
        <f>IF(metadata!M261="",FALSE,TRUE)</f>
        <v>0</v>
      </c>
      <c r="AY261" t="b">
        <f>IF(metadata!N261="",FALSE,TRUE)</f>
        <v>0</v>
      </c>
      <c r="AZ261" t="b">
        <f>OR(AND(IF(metadata!O261="",FALSE,TRUE),OR(EXACT(metadata!O261,"missing: not collected"),EXACT(metadata!O261,"missing: not provided"),EXACT(metadata!O261,"missing: restricted access"))),AND(IF(metadata!O261="",FALSE,TRUE),OR(EXACT(metadata!O261,"air"),EXACT(metadata!O261,"built environment"),EXACT(metadata!O261,"host-associated"),EXACT(metadata!O261,"human-associated"),EXACT(metadata!O261,"human-skin"),EXACT(metadata!O261,"human-oral"),EXACT(metadata!O261,"human-gut"),EXACT(metadata!O261,"human-vaginal"),EXACT(metadata!O261,"microbial mat/biofilm"),EXACT(metadata!O261,"misc environment"),EXACT(metadata!O261,"plant-associated"),EXACT(metadata!O261,"sediment"),EXACT(metadata!O261,"soil"),EXACT(metadata!O261,"wastewater/sludge"),EXACT(metadata!O261,"water"))))</f>
        <v>0</v>
      </c>
      <c r="BA261" t="b">
        <f>IF(metadata!P261="",FALSE,TRUE)</f>
        <v>0</v>
      </c>
      <c r="BB261" t="b">
        <f>IF(metadata!Q261="",FALSE,TRUE)</f>
        <v>0</v>
      </c>
      <c r="BC261" t="b">
        <f>OR(AND(IF(metadata!R261="",FALSE,TRUE),OR(EXACT(metadata!R261,"missing: not collected"),EXACT(metadata!R261,"missing: not provided"),EXACT(metadata!R261,"missing: restricted access"))),AND(IF(metadata!R261="",FALSE,ISNUMBER(VALUE(metadata!R261))),metadata!R261&gt;=-90,metadata!R261&lt;=90))</f>
        <v>0</v>
      </c>
      <c r="BD261" t="b">
        <f>AND(IF(metadata!S261="",FALSE,TRUE),EXACT(metadata!S261,"Decimal degrees"))</f>
        <v>0</v>
      </c>
      <c r="BE261" t="b">
        <f>OR(AND(IF(metadata!T261="",FALSE,TRUE),OR(EXACT(metadata!T261,"missing: not collected"),EXACT(metadata!T261,"missing: not provided"),EXACT(metadata!T261,"missing: restricted access"))),AND(IF(metadata!T261="",FALSE,ISNUMBER(VALUE(metadata!T261))),metadata!T261&gt;=-180,metadata!T261&lt;=180))</f>
        <v>0</v>
      </c>
      <c r="BF261" t="b">
        <f>AND(IF(metadata!U261="",FALSE,TRUE),EXACT(metadata!U261,"Decimal degrees"))</f>
        <v>0</v>
      </c>
      <c r="BG261" t="b">
        <f>IF(metadata!V261="",FALSE,TRUE)</f>
        <v>0</v>
      </c>
      <c r="BH261" t="b">
        <f>OR(AND(IF(metadata!W261="",FALSE,TRUE),OR(EXACT(metadata!W261,"missing: not collected"),EXACT(metadata!W261,"missing: not provided"),EXACT(metadata!W261,"missing: restricted access"))),AND(IF(metadata!W261="",FALSE,TRUE),OR(EXACT(metadata!W261,"TRUE"),EXACT(metadata!W261,"FALSE"))))</f>
        <v>0</v>
      </c>
      <c r="BI261" t="b">
        <f>AND(IF(metadata!X261="",FALSE,TRUE),EXACT(metadata!X261,"other"))</f>
        <v>0</v>
      </c>
      <c r="BJ261" t="b">
        <f>IF(metadata!Y261="",FALSE,TRUE)</f>
        <v>0</v>
      </c>
      <c r="BK261" t="b">
        <f>OR(AND(IF(metadata!Z261="",FALSE,TRUE),OR(EXACT(metadata!Z261,"missing: not collected"),EXACT(metadata!Z261,"missing: not provided"))),AND(IF(metadata!Z261="",FALSE,IF(ISERROR(INT(metadata!Z261)),FALSE,INT(metadata!Z261)=metadata!Z261)),metadata!Z261&gt;0))</f>
        <v>0</v>
      </c>
      <c r="BL261" t="b">
        <f>AND(IF(metadata!AA261="",FALSE,TRUE),EXACT(metadata!AA261,"Not applicable"))</f>
        <v>0</v>
      </c>
      <c r="BM261" t="b">
        <f>IF(metadata!AB261="",FALSE,TRUE)</f>
        <v>0</v>
      </c>
    </row>
    <row r="262" spans="1:65" x14ac:dyDescent="0.2">
      <c r="A262" s="5" t="str">
        <f ca="1">IF(B262=" "," ",HYPERLINK(CONCATENATE("#metadata!",ADDRESS(INDEX($AH$2:$AH$1001,MATCH(ROWS($AF$2:AF262),$AF$2:$AF$1001,0),0),1)),INDEX($AK$2:$AK$1001,MATCH(ROWS($AF$2:AF262),$AF$2:$AF$1001,0),0)))</f>
        <v xml:space="preserve"> </v>
      </c>
      <c r="B262" s="4" t="str">
        <f ca="1">IF(OR(INDEX($AG$2:$AG$1001,MATCH(ROWS($AF$2:AF262),$AF$2:$AF$1001,0),1)&gt;=100000,INDEX($AM$1005:$BM$1005,1,MATCH(COLUMNS($AM$1006:AM1006),$AM$1006:$BM$1006,0))&gt;=100000), " ",IF(INDEX($AM$2:$BM$1001,MATCH(ROWS($AF$2:AF262),$AF$2:$AF$1001,0),MATCH(COLUMNS($AM$1006:AM1006),$AM$1006:$BM$1006,0)), HYPERLINK("#",""), HYPERLINK(CONCATENATE("#metadata!", ADDRESS(INDEX($AH$2:$AH$1001,MATCH(ROWS($AF$2:AF262),$AF$2:$AF$1001,0),0), INDEX($AM$1004:$BM$1004,1,MATCH(COLUMNS($AM$1006:AM1006),$AM$1006:$BM$1006,0)))),"Fix")))</f>
        <v xml:space="preserve"> </v>
      </c>
      <c r="C262" s="4" t="str">
        <f ca="1">IF(OR(INDEX($AG$2:$AG$1001,MATCH(ROWS($AF$2:AF262),$AF$2:$AF$1001,0),1)&gt;=100000,INDEX($AM$1005:$BM$1005,1,MATCH(COLUMNS($AM$1006:AN1006),$AM$1006:$BM$1006,0))&gt;=100000), " ",IF(INDEX($AM$2:$BM$1001,MATCH(ROWS($AF$2:AF262),$AF$2:$AF$1001,0),MATCH(COLUMNS($AM$1006:AN1006),$AM$1006:$BM$1006,0)), HYPERLINK("#",""), HYPERLINK(CONCATENATE("#metadata!", ADDRESS(INDEX($AH$2:$AH$1001,MATCH(ROWS($AF$2:AF262),$AF$2:$AF$1001,0),0), INDEX($AM$1004:$BM$1004,1,MATCH(COLUMNS($AM$1006:AN1006),$AM$1006:$BM$1006,0)))),"Fix")))</f>
        <v xml:space="preserve"> </v>
      </c>
      <c r="D262" s="4" t="str">
        <f ca="1">IF(OR(INDEX($AG$2:$AG$1001,MATCH(ROWS($AF$2:AF262),$AF$2:$AF$1001,0),1)&gt;=100000,INDEX($AM$1005:$BM$1005,1,MATCH(COLUMNS($AM$1006:AO1006),$AM$1006:$BM$1006,0))&gt;=100000), " ",IF(INDEX($AM$2:$BM$1001,MATCH(ROWS($AF$2:AF262),$AF$2:$AF$1001,0),MATCH(COLUMNS($AM$1006:AO1006),$AM$1006:$BM$1006,0)), HYPERLINK("#",""), HYPERLINK(CONCATENATE("#metadata!", ADDRESS(INDEX($AH$2:$AH$1001,MATCH(ROWS($AF$2:AF262),$AF$2:$AF$1001,0),0), INDEX($AM$1004:$BM$1004,1,MATCH(COLUMNS($AM$1006:AO1006),$AM$1006:$BM$1006,0)))),"Fix")))</f>
        <v xml:space="preserve"> </v>
      </c>
      <c r="E262" s="4" t="str">
        <f ca="1">IF(OR(INDEX($AG$2:$AG$1001,MATCH(ROWS($AF$2:AF262),$AF$2:$AF$1001,0),1)&gt;=100000,INDEX($AM$1005:$BM$1005,1,MATCH(COLUMNS($AM$1006:AP1006),$AM$1006:$BM$1006,0))&gt;=100000), " ",IF(INDEX($AM$2:$BM$1001,MATCH(ROWS($AF$2:AF262),$AF$2:$AF$1001,0),MATCH(COLUMNS($AM$1006:AP1006),$AM$1006:$BM$1006,0)), HYPERLINK("#",""), HYPERLINK(CONCATENATE("#metadata!", ADDRESS(INDEX($AH$2:$AH$1001,MATCH(ROWS($AF$2:AF262),$AF$2:$AF$1001,0),0), INDEX($AM$1004:$BM$1004,1,MATCH(COLUMNS($AM$1006:AP1006),$AM$1006:$BM$1006,0)))),"Fix")))</f>
        <v xml:space="preserve"> </v>
      </c>
      <c r="F262" s="4" t="str">
        <f ca="1">IF(OR(INDEX($AG$2:$AG$1001,MATCH(ROWS($AF$2:AF262),$AF$2:$AF$1001,0),1)&gt;=100000,INDEX($AM$1005:$BM$1005,1,MATCH(COLUMNS($AM$1006:AQ1006),$AM$1006:$BM$1006,0))&gt;=100000), " ",IF(INDEX($AM$2:$BM$1001,MATCH(ROWS($AF$2:AF262),$AF$2:$AF$1001,0),MATCH(COLUMNS($AM$1006:AQ1006),$AM$1006:$BM$1006,0)), HYPERLINK("#",""), HYPERLINK(CONCATENATE("#metadata!", ADDRESS(INDEX($AH$2:$AH$1001,MATCH(ROWS($AF$2:AF262),$AF$2:$AF$1001,0),0), INDEX($AM$1004:$BM$1004,1,MATCH(COLUMNS($AM$1006:AQ1006),$AM$1006:$BM$1006,0)))),"Fix")))</f>
        <v xml:space="preserve"> </v>
      </c>
      <c r="G262" s="4" t="str">
        <f ca="1">IF(OR(INDEX($AG$2:$AG$1001,MATCH(ROWS($AF$2:AF262),$AF$2:$AF$1001,0),1)&gt;=100000,INDEX($AM$1005:$BM$1005,1,MATCH(COLUMNS($AM$1006:AR1006),$AM$1006:$BM$1006,0))&gt;=100000), " ",IF(INDEX($AM$2:$BM$1001,MATCH(ROWS($AF$2:AF262),$AF$2:$AF$1001,0),MATCH(COLUMNS($AM$1006:AR1006),$AM$1006:$BM$1006,0)), HYPERLINK("#",""), HYPERLINK(CONCATENATE("#metadata!", ADDRESS(INDEX($AH$2:$AH$1001,MATCH(ROWS($AF$2:AF262),$AF$2:$AF$1001,0),0), INDEX($AM$1004:$BM$1004,1,MATCH(COLUMNS($AM$1006:AR1006),$AM$1006:$BM$1006,0)))),"Fix")))</f>
        <v xml:space="preserve"> </v>
      </c>
      <c r="H262" s="4" t="str">
        <f ca="1">IF(OR(INDEX($AG$2:$AG$1001,MATCH(ROWS($AF$2:AF262),$AF$2:$AF$1001,0),1)&gt;=100000,INDEX($AM$1005:$BM$1005,1,MATCH(COLUMNS($AM$1006:AS1006),$AM$1006:$BM$1006,0))&gt;=100000), " ",IF(INDEX($AM$2:$BM$1001,MATCH(ROWS($AF$2:AF262),$AF$2:$AF$1001,0),MATCH(COLUMNS($AM$1006:AS1006),$AM$1006:$BM$1006,0)), HYPERLINK("#",""), HYPERLINK(CONCATENATE("#metadata!", ADDRESS(INDEX($AH$2:$AH$1001,MATCH(ROWS($AF$2:AF262),$AF$2:$AF$1001,0),0), INDEX($AM$1004:$BM$1004,1,MATCH(COLUMNS($AM$1006:AS1006),$AM$1006:$BM$1006,0)))),"Fix")))</f>
        <v xml:space="preserve"> </v>
      </c>
      <c r="I262" s="4" t="str">
        <f ca="1">IF(OR(INDEX($AG$2:$AG$1001,MATCH(ROWS($AF$2:AF262),$AF$2:$AF$1001,0),1)&gt;=100000,INDEX($AM$1005:$BM$1005,1,MATCH(COLUMNS($AM$1006:AT1006),$AM$1006:$BM$1006,0))&gt;=100000), " ",IF(INDEX($AM$2:$BM$1001,MATCH(ROWS($AF$2:AF262),$AF$2:$AF$1001,0),MATCH(COLUMNS($AM$1006:AT1006),$AM$1006:$BM$1006,0)), HYPERLINK("#",""), HYPERLINK(CONCATENATE("#metadata!", ADDRESS(INDEX($AH$2:$AH$1001,MATCH(ROWS($AF$2:AF262),$AF$2:$AF$1001,0),0), INDEX($AM$1004:$BM$1004,1,MATCH(COLUMNS($AM$1006:AT1006),$AM$1006:$BM$1006,0)))),"Fix")))</f>
        <v xml:space="preserve"> </v>
      </c>
      <c r="J262" s="4" t="str">
        <f ca="1">IF(OR(INDEX($AG$2:$AG$1001,MATCH(ROWS($AF$2:AF262),$AF$2:$AF$1001,0),1)&gt;=100000,INDEX($AM$1005:$BM$1005,1,MATCH(COLUMNS($AM$1006:AU1006),$AM$1006:$BM$1006,0))&gt;=100000), " ",IF(INDEX($AM$2:$BM$1001,MATCH(ROWS($AF$2:AF262),$AF$2:$AF$1001,0),MATCH(COLUMNS($AM$1006:AU1006),$AM$1006:$BM$1006,0)), HYPERLINK("#",""), HYPERLINK(CONCATENATE("#metadata!", ADDRESS(INDEX($AH$2:$AH$1001,MATCH(ROWS($AF$2:AF262),$AF$2:$AF$1001,0),0), INDEX($AM$1004:$BM$1004,1,MATCH(COLUMNS($AM$1006:AU1006),$AM$1006:$BM$1006,0)))),"Fix")))</f>
        <v xml:space="preserve"> </v>
      </c>
      <c r="K262" s="4" t="str">
        <f ca="1">IF(OR(INDEX($AG$2:$AG$1001,MATCH(ROWS($AF$2:AF262),$AF$2:$AF$1001,0),1)&gt;=100000,INDEX($AM$1005:$BM$1005,1,MATCH(COLUMNS($AM$1006:AV1006),$AM$1006:$BM$1006,0))&gt;=100000), " ",IF(INDEX($AM$2:$BM$1001,MATCH(ROWS($AF$2:AF262),$AF$2:$AF$1001,0),MATCH(COLUMNS($AM$1006:AV1006),$AM$1006:$BM$1006,0)), HYPERLINK("#",""), HYPERLINK(CONCATENATE("#metadata!", ADDRESS(INDEX($AH$2:$AH$1001,MATCH(ROWS($AF$2:AF262),$AF$2:$AF$1001,0),0), INDEX($AM$1004:$BM$1004,1,MATCH(COLUMNS($AM$1006:AV1006),$AM$1006:$BM$1006,0)))),"Fix")))</f>
        <v xml:space="preserve"> </v>
      </c>
      <c r="L262" s="4" t="str">
        <f ca="1">IF(OR(INDEX($AG$2:$AG$1001,MATCH(ROWS($AF$2:AF262),$AF$2:$AF$1001,0),1)&gt;=100000,INDEX($AM$1005:$BM$1005,1,MATCH(COLUMNS($AM$1006:AW1006),$AM$1006:$BM$1006,0))&gt;=100000), " ",IF(INDEX($AM$2:$BM$1001,MATCH(ROWS($AF$2:AF262),$AF$2:$AF$1001,0),MATCH(COLUMNS($AM$1006:AW1006),$AM$1006:$BM$1006,0)), HYPERLINK("#",""), HYPERLINK(CONCATENATE("#metadata!", ADDRESS(INDEX($AH$2:$AH$1001,MATCH(ROWS($AF$2:AF262),$AF$2:$AF$1001,0),0), INDEX($AM$1004:$BM$1004,1,MATCH(COLUMNS($AM$1006:AW1006),$AM$1006:$BM$1006,0)))),"Fix")))</f>
        <v xml:space="preserve"> </v>
      </c>
      <c r="M262" s="4" t="str">
        <f ca="1">IF(OR(INDEX($AG$2:$AG$1001,MATCH(ROWS($AF$2:AF262),$AF$2:$AF$1001,0),1)&gt;=100000,INDEX($AM$1005:$BM$1005,1,MATCH(COLUMNS($AM$1006:AX1006),$AM$1006:$BM$1006,0))&gt;=100000), " ",IF(INDEX($AM$2:$BM$1001,MATCH(ROWS($AF$2:AF262),$AF$2:$AF$1001,0),MATCH(COLUMNS($AM$1006:AX1006),$AM$1006:$BM$1006,0)), HYPERLINK("#",""), HYPERLINK(CONCATENATE("#metadata!", ADDRESS(INDEX($AH$2:$AH$1001,MATCH(ROWS($AF$2:AF262),$AF$2:$AF$1001,0),0), INDEX($AM$1004:$BM$1004,1,MATCH(COLUMNS($AM$1006:AX1006),$AM$1006:$BM$1006,0)))),"Fix")))</f>
        <v xml:space="preserve"> </v>
      </c>
      <c r="N262" s="4" t="str">
        <f ca="1">IF(OR(INDEX($AG$2:$AG$1001,MATCH(ROWS($AF$2:AF262),$AF$2:$AF$1001,0),1)&gt;=100000,INDEX($AM$1005:$BM$1005,1,MATCH(COLUMNS($AM$1006:AY1006),$AM$1006:$BM$1006,0))&gt;=100000), " ",IF(INDEX($AM$2:$BM$1001,MATCH(ROWS($AF$2:AF262),$AF$2:$AF$1001,0),MATCH(COLUMNS($AM$1006:AY1006),$AM$1006:$BM$1006,0)), HYPERLINK("#",""), HYPERLINK(CONCATENATE("#metadata!", ADDRESS(INDEX($AH$2:$AH$1001,MATCH(ROWS($AF$2:AF262),$AF$2:$AF$1001,0),0), INDEX($AM$1004:$BM$1004,1,MATCH(COLUMNS($AM$1006:AY1006),$AM$1006:$BM$1006,0)))),"Fix")))</f>
        <v xml:space="preserve"> </v>
      </c>
      <c r="O262" s="4" t="str">
        <f ca="1">IF(OR(INDEX($AG$2:$AG$1001,MATCH(ROWS($AF$2:AF262),$AF$2:$AF$1001,0),1)&gt;=100000,INDEX($AM$1005:$BM$1005,1,MATCH(COLUMNS($AM$1006:AZ1006),$AM$1006:$BM$1006,0))&gt;=100000), " ",IF(INDEX($AM$2:$BM$1001,MATCH(ROWS($AF$2:AF262),$AF$2:$AF$1001,0),MATCH(COLUMNS($AM$1006:AZ1006),$AM$1006:$BM$1006,0)), HYPERLINK("#",""), HYPERLINK(CONCATENATE("#metadata!", ADDRESS(INDEX($AH$2:$AH$1001,MATCH(ROWS($AF$2:AF262),$AF$2:$AF$1001,0),0), INDEX($AM$1004:$BM$1004,1,MATCH(COLUMNS($AM$1006:AZ1006),$AM$1006:$BM$1006,0)))),"Fix")))</f>
        <v xml:space="preserve"> </v>
      </c>
      <c r="P262" s="4" t="str">
        <f ca="1">IF(OR(INDEX($AG$2:$AG$1001,MATCH(ROWS($AF$2:AF262),$AF$2:$AF$1001,0),1)&gt;=100000,INDEX($AM$1005:$BM$1005,1,MATCH(COLUMNS($AM$1006:BA1006),$AM$1006:$BM$1006,0))&gt;=100000), " ",IF(INDEX($AM$2:$BM$1001,MATCH(ROWS($AF$2:AF262),$AF$2:$AF$1001,0),MATCH(COLUMNS($AM$1006:BA1006),$AM$1006:$BM$1006,0)), HYPERLINK("#",""), HYPERLINK(CONCATENATE("#metadata!", ADDRESS(INDEX($AH$2:$AH$1001,MATCH(ROWS($AF$2:AF262),$AF$2:$AF$1001,0),0), INDEX($AM$1004:$BM$1004,1,MATCH(COLUMNS($AM$1006:BA1006),$AM$1006:$BM$1006,0)))),"Fix")))</f>
        <v xml:space="preserve"> </v>
      </c>
      <c r="Q262" s="4" t="str">
        <f ca="1">IF(OR(INDEX($AG$2:$AG$1001,MATCH(ROWS($AF$2:AF262),$AF$2:$AF$1001,0),1)&gt;=100000,INDEX($AM$1005:$BM$1005,1,MATCH(COLUMNS($AM$1006:BB1006),$AM$1006:$BM$1006,0))&gt;=100000), " ",IF(INDEX($AM$2:$BM$1001,MATCH(ROWS($AF$2:AF262),$AF$2:$AF$1001,0),MATCH(COLUMNS($AM$1006:BB1006),$AM$1006:$BM$1006,0)), HYPERLINK("#",""), HYPERLINK(CONCATENATE("#metadata!", ADDRESS(INDEX($AH$2:$AH$1001,MATCH(ROWS($AF$2:AF262),$AF$2:$AF$1001,0),0), INDEX($AM$1004:$BM$1004,1,MATCH(COLUMNS($AM$1006:BB1006),$AM$1006:$BM$1006,0)))),"Fix")))</f>
        <v xml:space="preserve"> </v>
      </c>
      <c r="R262" s="4" t="str">
        <f ca="1">IF(OR(INDEX($AG$2:$AG$1001,MATCH(ROWS($AF$2:AF262),$AF$2:$AF$1001,0),1)&gt;=100000,INDEX($AM$1005:$BM$1005,1,MATCH(COLUMNS($AM$1006:BC1006),$AM$1006:$BM$1006,0))&gt;=100000), " ",IF(INDEX($AM$2:$BM$1001,MATCH(ROWS($AF$2:AF262),$AF$2:$AF$1001,0),MATCH(COLUMNS($AM$1006:BC1006),$AM$1006:$BM$1006,0)), HYPERLINK("#",""), HYPERLINK(CONCATENATE("#metadata!", ADDRESS(INDEX($AH$2:$AH$1001,MATCH(ROWS($AF$2:AF262),$AF$2:$AF$1001,0),0), INDEX($AM$1004:$BM$1004,1,MATCH(COLUMNS($AM$1006:BC1006),$AM$1006:$BM$1006,0)))),"Fix")))</f>
        <v xml:space="preserve"> </v>
      </c>
      <c r="S262" s="4" t="str">
        <f ca="1">IF(OR(INDEX($AG$2:$AG$1001,MATCH(ROWS($AF$2:AF262),$AF$2:$AF$1001,0),1)&gt;=100000,INDEX($AM$1005:$BM$1005,1,MATCH(COLUMNS($AM$1006:BD1006),$AM$1006:$BM$1006,0))&gt;=100000), " ",IF(INDEX($AM$2:$BM$1001,MATCH(ROWS($AF$2:AF262),$AF$2:$AF$1001,0),MATCH(COLUMNS($AM$1006:BD1006),$AM$1006:$BM$1006,0)), HYPERLINK("#",""), HYPERLINK(CONCATENATE("#metadata!", ADDRESS(INDEX($AH$2:$AH$1001,MATCH(ROWS($AF$2:AF262),$AF$2:$AF$1001,0),0), INDEX($AM$1004:$BM$1004,1,MATCH(COLUMNS($AM$1006:BD1006),$AM$1006:$BM$1006,0)))),"Fix")))</f>
        <v xml:space="preserve"> </v>
      </c>
      <c r="T262" s="4" t="str">
        <f ca="1">IF(OR(INDEX($AG$2:$AG$1001,MATCH(ROWS($AF$2:AF262),$AF$2:$AF$1001,0),1)&gt;=100000,INDEX($AM$1005:$BM$1005,1,MATCH(COLUMNS($AM$1006:BE1006),$AM$1006:$BM$1006,0))&gt;=100000), " ",IF(INDEX($AM$2:$BM$1001,MATCH(ROWS($AF$2:AF262),$AF$2:$AF$1001,0),MATCH(COLUMNS($AM$1006:BE1006),$AM$1006:$BM$1006,0)), HYPERLINK("#",""), HYPERLINK(CONCATENATE("#metadata!", ADDRESS(INDEX($AH$2:$AH$1001,MATCH(ROWS($AF$2:AF262),$AF$2:$AF$1001,0),0), INDEX($AM$1004:$BM$1004,1,MATCH(COLUMNS($AM$1006:BE1006),$AM$1006:$BM$1006,0)))),"Fix")))</f>
        <v xml:space="preserve"> </v>
      </c>
      <c r="U262" s="4" t="str">
        <f ca="1">IF(OR(INDEX($AG$2:$AG$1001,MATCH(ROWS($AF$2:AF262),$AF$2:$AF$1001,0),1)&gt;=100000,INDEX($AM$1005:$BM$1005,1,MATCH(COLUMNS($AM$1006:BF1006),$AM$1006:$BM$1006,0))&gt;=100000), " ",IF(INDEX($AM$2:$BM$1001,MATCH(ROWS($AF$2:AF262),$AF$2:$AF$1001,0),MATCH(COLUMNS($AM$1006:BF1006),$AM$1006:$BM$1006,0)), HYPERLINK("#",""), HYPERLINK(CONCATENATE("#metadata!", ADDRESS(INDEX($AH$2:$AH$1001,MATCH(ROWS($AF$2:AF262),$AF$2:$AF$1001,0),0), INDEX($AM$1004:$BM$1004,1,MATCH(COLUMNS($AM$1006:BF1006),$AM$1006:$BM$1006,0)))),"Fix")))</f>
        <v xml:space="preserve"> </v>
      </c>
      <c r="V262" s="4" t="str">
        <f ca="1">IF(OR(INDEX($AG$2:$AG$1001,MATCH(ROWS($AF$2:AF262),$AF$2:$AF$1001,0),1)&gt;=100000,INDEX($AM$1005:$BM$1005,1,MATCH(COLUMNS($AM$1006:BG1006),$AM$1006:$BM$1006,0))&gt;=100000), " ",IF(INDEX($AM$2:$BM$1001,MATCH(ROWS($AF$2:AF262),$AF$2:$AF$1001,0),MATCH(COLUMNS($AM$1006:BG1006),$AM$1006:$BM$1006,0)), HYPERLINK("#",""), HYPERLINK(CONCATENATE("#metadata!", ADDRESS(INDEX($AH$2:$AH$1001,MATCH(ROWS($AF$2:AF262),$AF$2:$AF$1001,0),0), INDEX($AM$1004:$BM$1004,1,MATCH(COLUMNS($AM$1006:BG1006),$AM$1006:$BM$1006,0)))),"Fix")))</f>
        <v xml:space="preserve"> </v>
      </c>
      <c r="W262" s="4" t="str">
        <f ca="1">IF(OR(INDEX($AG$2:$AG$1001,MATCH(ROWS($AF$2:AF262),$AF$2:$AF$1001,0),1)&gt;=100000,INDEX($AM$1005:$BM$1005,1,MATCH(COLUMNS($AM$1006:BH1006),$AM$1006:$BM$1006,0))&gt;=100000), " ",IF(INDEX($AM$2:$BM$1001,MATCH(ROWS($AF$2:AF262),$AF$2:$AF$1001,0),MATCH(COLUMNS($AM$1006:BH1006),$AM$1006:$BM$1006,0)), HYPERLINK("#",""), HYPERLINK(CONCATENATE("#metadata!", ADDRESS(INDEX($AH$2:$AH$1001,MATCH(ROWS($AF$2:AF262),$AF$2:$AF$1001,0),0), INDEX($AM$1004:$BM$1004,1,MATCH(COLUMNS($AM$1006:BH1006),$AM$1006:$BM$1006,0)))),"Fix")))</f>
        <v xml:space="preserve"> </v>
      </c>
      <c r="X262" s="4" t="str">
        <f ca="1">IF(OR(INDEX($AG$2:$AG$1001,MATCH(ROWS($AF$2:AF262),$AF$2:$AF$1001,0),1)&gt;=100000,INDEX($AM$1005:$BM$1005,1,MATCH(COLUMNS($AM$1006:BI1006),$AM$1006:$BM$1006,0))&gt;=100000), " ",IF(INDEX($AM$2:$BM$1001,MATCH(ROWS($AF$2:AF262),$AF$2:$AF$1001,0),MATCH(COLUMNS($AM$1006:BI1006),$AM$1006:$BM$1006,0)), HYPERLINK("#",""), HYPERLINK(CONCATENATE("#metadata!", ADDRESS(INDEX($AH$2:$AH$1001,MATCH(ROWS($AF$2:AF262),$AF$2:$AF$1001,0),0), INDEX($AM$1004:$BM$1004,1,MATCH(COLUMNS($AM$1006:BI1006),$AM$1006:$BM$1006,0)))),"Fix")))</f>
        <v xml:space="preserve"> </v>
      </c>
      <c r="Y262" s="4" t="str">
        <f ca="1">IF(OR(INDEX($AG$2:$AG$1001,MATCH(ROWS($AF$2:AF262),$AF$2:$AF$1001,0),1)&gt;=100000,INDEX($AM$1005:$BM$1005,1,MATCH(COLUMNS($AM$1006:BJ1006),$AM$1006:$BM$1006,0))&gt;=100000), " ",IF(INDEX($AM$2:$BM$1001,MATCH(ROWS($AF$2:AF262),$AF$2:$AF$1001,0),MATCH(COLUMNS($AM$1006:BJ1006),$AM$1006:$BM$1006,0)), HYPERLINK("#",""), HYPERLINK(CONCATENATE("#metadata!", ADDRESS(INDEX($AH$2:$AH$1001,MATCH(ROWS($AF$2:AF262),$AF$2:$AF$1001,0),0), INDEX($AM$1004:$BM$1004,1,MATCH(COLUMNS($AM$1006:BJ1006),$AM$1006:$BM$1006,0)))),"Fix")))</f>
        <v xml:space="preserve"> </v>
      </c>
      <c r="Z262" s="4" t="str">
        <f ca="1">IF(OR(INDEX($AG$2:$AG$1001,MATCH(ROWS($AF$2:AF262),$AF$2:$AF$1001,0),1)&gt;=100000,INDEX($AM$1005:$BM$1005,1,MATCH(COLUMNS($AM$1006:BK1006),$AM$1006:$BM$1006,0))&gt;=100000), " ",IF(INDEX($AM$2:$BM$1001,MATCH(ROWS($AF$2:AF262),$AF$2:$AF$1001,0),MATCH(COLUMNS($AM$1006:BK1006),$AM$1006:$BM$1006,0)), HYPERLINK("#",""), HYPERLINK(CONCATENATE("#metadata!", ADDRESS(INDEX($AH$2:$AH$1001,MATCH(ROWS($AF$2:AF262),$AF$2:$AF$1001,0),0), INDEX($AM$1004:$BM$1004,1,MATCH(COLUMNS($AM$1006:BK1006),$AM$1006:$BM$1006,0)))),"Fix")))</f>
        <v xml:space="preserve"> </v>
      </c>
      <c r="AA262" s="4" t="str">
        <f ca="1">IF(OR(INDEX($AG$2:$AG$1001,MATCH(ROWS($AF$2:AF262),$AF$2:$AF$1001,0),1)&gt;=100000,INDEX($AM$1005:$BM$1005,1,MATCH(COLUMNS($AM$1006:BL1006),$AM$1006:$BM$1006,0))&gt;=100000), " ",IF(INDEX($AM$2:$BM$1001,MATCH(ROWS($AF$2:AF262),$AF$2:$AF$1001,0),MATCH(COLUMNS($AM$1006:BL1006),$AM$1006:$BM$1006,0)), HYPERLINK("#",""), HYPERLINK(CONCATENATE("#metadata!", ADDRESS(INDEX($AH$2:$AH$1001,MATCH(ROWS($AF$2:AF262),$AF$2:$AF$1001,0),0), INDEX($AM$1004:$BM$1004,1,MATCH(COLUMNS($AM$1006:BL1006),$AM$1006:$BM$1006,0)))),"Fix")))</f>
        <v xml:space="preserve"> </v>
      </c>
      <c r="AB262" s="4" t="str">
        <f ca="1">IF(OR(INDEX($AG$2:$AG$1001,MATCH(ROWS($AF$2:AF262),$AF$2:$AF$1001,0),1)&gt;=100000,INDEX($AM$1005:$BM$1005,1,MATCH(COLUMNS($AM$1006:BM1006),$AM$1006:$BM$1006,0))&gt;=100000), " ",IF(INDEX($AM$2:$BM$1001,MATCH(ROWS($AF$2:AF262),$AF$2:$AF$1001,0),MATCH(COLUMNS($AM$1006:BM1006),$AM$1006:$BM$1006,0)), HYPERLINK("#",""), HYPERLINK(CONCATENATE("#metadata!", ADDRESS(INDEX($AH$2:$AH$1001,MATCH(ROWS($AF$2:AF262),$AF$2:$AF$1001,0),0), INDEX($AM$1004:$BM$1004,1,MATCH(COLUMNS($AM$1006:BM1006),$AM$1006:$BM$1006,0)))),"Fix")))</f>
        <v xml:space="preserve"> </v>
      </c>
      <c r="AF262">
        <v>261</v>
      </c>
      <c r="AG262">
        <v>100262</v>
      </c>
      <c r="AH262">
        <v>262</v>
      </c>
      <c r="AI262" t="b">
        <f t="shared" si="4"/>
        <v>1</v>
      </c>
      <c r="AJ262" t="b">
        <f>COUNTBLANK(metadata!B262:AB262)=COLUMNS(metadata!B262:AB262)</f>
        <v>1</v>
      </c>
      <c r="AK262" t="str">
        <v/>
      </c>
      <c r="AM262" t="b">
        <f ca="1">AND(IF(metadata!B262="",FALSE,TRUE),COUNTIF(metadata!B:B, metadata!B262) = 1,NOT(ISERROR(SUMPRODUCT(SEARCH(MID(metadata!B262,ROW(INDIRECT("1:"&amp;LEN(metadata!B262))), 1),"0123456789abcdefghijklmnopqrstuvwxyzABCDEFGHIJKLMNOPQRSTUVWXYZ.")))))</f>
        <v>0</v>
      </c>
      <c r="AN262" t="b">
        <f ca="1">OR(AND(IF(metadata!C262="",FALSE,TRUE),OR(EXACT(metadata!C262,"missing: not collected"),EXACT(metadata!C262,"missing: not provided"),EXACT(metadata!C262,"missing: restricted access"))),AND(IF(metadata!C262="",FALSE,TRUE),AND(AND(IFERROR(INT(LEFT(metadata!C262,4))&gt;1900,FALSE),IFERROR(INT(LEFT(metadata!C262,4))&lt;=YEAR(NOW()),FALSE)), OR(MID(metadata!C262,5,1)="", AND(AND(MID(metadata!C262,5,1)="-",IFERROR(INT(MID(metadata!C262,6,1))&gt;=0,FALSE),IFERROR(INT(MID(metadata!C262,6,1))&lt;=1,FALSE),NOT(MID(metadata!C262,7,1)=""),IFERROR(INT(MID(metadata!C262,6,2))&gt;=1,FALSE),IFERROR(INT(MID(metadata!C262,6,2))&lt;=12,FALSE)), OR(MID(metadata!C262,8,1)="", AND(AND(MID(metadata!C262,8,1)="-",IFERROR(INT(MID(metadata!C262,9,1))&gt;=0,FALSE),IFERROR(INT(MID(metadata!C262,9,1))&lt;=3,FALSE),NOT(MID(metadata!C262,10,1)=""),IFERROR(INT(MID(metadata!C262,9,2))&gt;=1,FALSE),IFERROR(INT(MID(metadata!C262,9,2))&lt;=31,FALSE)), OR(MID(metadata!C262,11,1)="", AND(AND(MID(metadata!C262,11,1)=" ",IFERROR(INT(MID(metadata!C262,12,1))&gt;=0,FALSE),IFERROR(INT(MID(metadata!C262,12,1))&lt;=2,FALSE),NOT(MID(metadata!C262,13,1)=""),IFERROR(INT(MID(metadata!C262,12,2))&gt;=0,FALSE),IFERROR(INT(MID(metadata!C262,12,2))&lt;=23,FALSE)), OR(MID(metadata!C262,14,1)="", AND(AND(MID(metadata!C262,14,1)=":",IFERROR(INT(MID(metadata!C262,15,1))&gt;=0,FALSE),IFERROR(INT(MID(metadata!C262,15,1))&lt;=5,FALSE),NOT(MID(metadata!C262,16,1)=""),IFERROR(INT(MID(metadata!C262,15,2))&gt;=0,FALSE),IFERROR(INT(MID(metadata!C262,15,2))&lt;=59,FALSE)), OR(MID(metadata!C262,17,1)="", AND(AND(MID(metadata!C262,17,1)=":",IFERROR(INT(MID(metadata!C262,18,1))&gt;=0,FALSE),IFERROR(INT(MID(metadata!C262,18,1))&lt;=5,FALSE),NOT(MID(metadata!C262,19,1)=""),IFERROR(INT(MID(metadata!C262,18,2))&gt;=0,FALSE),IFERROR(INT(MID(metadata!C262,18,2))&lt;=59,FALSE)), LEN(metadata!C262)&lt;=19)))))))))))))</f>
        <v>0</v>
      </c>
      <c r="AO262" t="b">
        <f>AND(IF(metadata!D262="",FALSE,TRUE),EXACT(metadata!D262,"Not applicable"))</f>
        <v>0</v>
      </c>
      <c r="AP262" t="b">
        <f>IF(metadata!E262="",FALSE,TRUE)</f>
        <v>0</v>
      </c>
      <c r="AQ262" t="b">
        <f>OR(AND(IF(metadata!F262="",FALSE,TRUE),OR(EXACT(metadata!F262,"missing: not collected"),EXACT(metadata!F262,"missing: not provided"))),AND(IF(metadata!F262="",FALSE,TRUE),OR(EXACT(metadata!F262,"TRUE"),EXACT(metadata!F262,"FALSE"))))</f>
        <v>0</v>
      </c>
      <c r="AR262" t="b">
        <f>OR(AND(IF(metadata!G262="",FALSE,TRUE),OR(EXACT(metadata!G262,"missing: not collected"),EXACT(metadata!G262,"missing: not provided"),EXACT(metadata!G262,"missing: restricted access"))),AND(IF(metadata!G262="",FALSE,ISNUMBER(VALUE(metadata!G262))),metadata!G262&gt;=-413))</f>
        <v>0</v>
      </c>
      <c r="AS262" t="b">
        <f>AND(IF(metadata!H262="",FALSE,TRUE),EXACT(metadata!H262,"meters"))</f>
        <v>0</v>
      </c>
      <c r="AT262" t="b">
        <f>AND(IF(metadata!I262="",FALSE,TRUE),OR(EXACT(metadata!I262,"Host-associated"),EXACT(metadata!I262,"Free-living")))</f>
        <v>0</v>
      </c>
      <c r="AU262" t="b">
        <f>AND(IF(metadata!J262="",FALSE,TRUE),OR(EXACT(metadata!J262,"Animal"),EXACT(metadata!J262,"Fungus"),EXACT(metadata!J262,"Plant"),EXACT(metadata!J262,"Saline"),EXACT(metadata!J262,"Non-saline")))</f>
        <v>0</v>
      </c>
      <c r="AV262" t="b">
        <f>AND(IF(metadata!K262="",FALSE,TRUE),OR(EXACT(metadata!K262,"Plant secretion"),EXACT(metadata!K262,"Plant rhizosphere"),EXACT(metadata!K262,"Plant surface"),EXACT(metadata!K262,"Plant corpus"),EXACT(metadata!K262,"Fungus surface"),EXACT(metadata!K262,"Fungus corpus"),EXACT(metadata!K262,"Animal surface"),EXACT(metadata!K262,"Animal proximal gut"),EXACT(metadata!K262,"Animal corpus"),EXACT(metadata!K262,"Animal distal gut"),EXACT(metadata!K262,"Animal secretion"),EXACT(metadata!K262,"Sub-surface (non-saline)"),EXACT(metadata!K262,"Surface (non-saline)"),EXACT(metadata!K262,"Water (non-saline)"),EXACT(metadata!K262,"Soil (non-saline)"),EXACT(metadata!K262,"Aerosol (non-saline)"),EXACT(metadata!K262,"Sediment (non-saline)"),EXACT(metadata!K262,"Surface (saline)"),EXACT(metadata!K262,"Water (saline)"),EXACT(metadata!K262,"Hypersaline (saline)"),EXACT(metadata!K262,"Aerosol (saline)"),EXACT(metadata!K262,"Sediment (saline)")))</f>
        <v>0</v>
      </c>
      <c r="AW262" t="b">
        <f>IF(metadata!L262="",FALSE,TRUE)</f>
        <v>0</v>
      </c>
      <c r="AX262" t="b">
        <f>IF(metadata!M262="",FALSE,TRUE)</f>
        <v>0</v>
      </c>
      <c r="AY262" t="b">
        <f>IF(metadata!N262="",FALSE,TRUE)</f>
        <v>0</v>
      </c>
      <c r="AZ262" t="b">
        <f>OR(AND(IF(metadata!O262="",FALSE,TRUE),OR(EXACT(metadata!O262,"missing: not collected"),EXACT(metadata!O262,"missing: not provided"),EXACT(metadata!O262,"missing: restricted access"))),AND(IF(metadata!O262="",FALSE,TRUE),OR(EXACT(metadata!O262,"air"),EXACT(metadata!O262,"built environment"),EXACT(metadata!O262,"host-associated"),EXACT(metadata!O262,"human-associated"),EXACT(metadata!O262,"human-skin"),EXACT(metadata!O262,"human-oral"),EXACT(metadata!O262,"human-gut"),EXACT(metadata!O262,"human-vaginal"),EXACT(metadata!O262,"microbial mat/biofilm"),EXACT(metadata!O262,"misc environment"),EXACT(metadata!O262,"plant-associated"),EXACT(metadata!O262,"sediment"),EXACT(metadata!O262,"soil"),EXACT(metadata!O262,"wastewater/sludge"),EXACT(metadata!O262,"water"))))</f>
        <v>0</v>
      </c>
      <c r="BA262" t="b">
        <f>IF(metadata!P262="",FALSE,TRUE)</f>
        <v>0</v>
      </c>
      <c r="BB262" t="b">
        <f>IF(metadata!Q262="",FALSE,TRUE)</f>
        <v>0</v>
      </c>
      <c r="BC262" t="b">
        <f>OR(AND(IF(metadata!R262="",FALSE,TRUE),OR(EXACT(metadata!R262,"missing: not collected"),EXACT(metadata!R262,"missing: not provided"),EXACT(metadata!R262,"missing: restricted access"))),AND(IF(metadata!R262="",FALSE,ISNUMBER(VALUE(metadata!R262))),metadata!R262&gt;=-90,metadata!R262&lt;=90))</f>
        <v>0</v>
      </c>
      <c r="BD262" t="b">
        <f>AND(IF(metadata!S262="",FALSE,TRUE),EXACT(metadata!S262,"Decimal degrees"))</f>
        <v>0</v>
      </c>
      <c r="BE262" t="b">
        <f>OR(AND(IF(metadata!T262="",FALSE,TRUE),OR(EXACT(metadata!T262,"missing: not collected"),EXACT(metadata!T262,"missing: not provided"),EXACT(metadata!T262,"missing: restricted access"))),AND(IF(metadata!T262="",FALSE,ISNUMBER(VALUE(metadata!T262))),metadata!T262&gt;=-180,metadata!T262&lt;=180))</f>
        <v>0</v>
      </c>
      <c r="BF262" t="b">
        <f>AND(IF(metadata!U262="",FALSE,TRUE),EXACT(metadata!U262,"Decimal degrees"))</f>
        <v>0</v>
      </c>
      <c r="BG262" t="b">
        <f>IF(metadata!V262="",FALSE,TRUE)</f>
        <v>0</v>
      </c>
      <c r="BH262" t="b">
        <f>OR(AND(IF(metadata!W262="",FALSE,TRUE),OR(EXACT(metadata!W262,"missing: not collected"),EXACT(metadata!W262,"missing: not provided"),EXACT(metadata!W262,"missing: restricted access"))),AND(IF(metadata!W262="",FALSE,TRUE),OR(EXACT(metadata!W262,"TRUE"),EXACT(metadata!W262,"FALSE"))))</f>
        <v>0</v>
      </c>
      <c r="BI262" t="b">
        <f>AND(IF(metadata!X262="",FALSE,TRUE),EXACT(metadata!X262,"other"))</f>
        <v>0</v>
      </c>
      <c r="BJ262" t="b">
        <f>IF(metadata!Y262="",FALSE,TRUE)</f>
        <v>0</v>
      </c>
      <c r="BK262" t="b">
        <f>OR(AND(IF(metadata!Z262="",FALSE,TRUE),OR(EXACT(metadata!Z262,"missing: not collected"),EXACT(metadata!Z262,"missing: not provided"))),AND(IF(metadata!Z262="",FALSE,IF(ISERROR(INT(metadata!Z262)),FALSE,INT(metadata!Z262)=metadata!Z262)),metadata!Z262&gt;0))</f>
        <v>0</v>
      </c>
      <c r="BL262" t="b">
        <f>AND(IF(metadata!AA262="",FALSE,TRUE),EXACT(metadata!AA262,"Not applicable"))</f>
        <v>0</v>
      </c>
      <c r="BM262" t="b">
        <f>IF(metadata!AB262="",FALSE,TRUE)</f>
        <v>0</v>
      </c>
    </row>
    <row r="263" spans="1:65" x14ac:dyDescent="0.2">
      <c r="A263" s="5" t="str">
        <f ca="1">IF(B263=" "," ",HYPERLINK(CONCATENATE("#metadata!",ADDRESS(INDEX($AH$2:$AH$1001,MATCH(ROWS($AF$2:AF263),$AF$2:$AF$1001,0),0),1)),INDEX($AK$2:$AK$1001,MATCH(ROWS($AF$2:AF263),$AF$2:$AF$1001,0),0)))</f>
        <v xml:space="preserve"> </v>
      </c>
      <c r="B263" s="4" t="str">
        <f ca="1">IF(OR(INDEX($AG$2:$AG$1001,MATCH(ROWS($AF$2:AF263),$AF$2:$AF$1001,0),1)&gt;=100000,INDEX($AM$1005:$BM$1005,1,MATCH(COLUMNS($AM$1006:AM1006),$AM$1006:$BM$1006,0))&gt;=100000), " ",IF(INDEX($AM$2:$BM$1001,MATCH(ROWS($AF$2:AF263),$AF$2:$AF$1001,0),MATCH(COLUMNS($AM$1006:AM1006),$AM$1006:$BM$1006,0)), HYPERLINK("#",""), HYPERLINK(CONCATENATE("#metadata!", ADDRESS(INDEX($AH$2:$AH$1001,MATCH(ROWS($AF$2:AF263),$AF$2:$AF$1001,0),0), INDEX($AM$1004:$BM$1004,1,MATCH(COLUMNS($AM$1006:AM1006),$AM$1006:$BM$1006,0)))),"Fix")))</f>
        <v xml:space="preserve"> </v>
      </c>
      <c r="C263" s="4" t="str">
        <f ca="1">IF(OR(INDEX($AG$2:$AG$1001,MATCH(ROWS($AF$2:AF263),$AF$2:$AF$1001,0),1)&gt;=100000,INDEX($AM$1005:$BM$1005,1,MATCH(COLUMNS($AM$1006:AN1006),$AM$1006:$BM$1006,0))&gt;=100000), " ",IF(INDEX($AM$2:$BM$1001,MATCH(ROWS($AF$2:AF263),$AF$2:$AF$1001,0),MATCH(COLUMNS($AM$1006:AN1006),$AM$1006:$BM$1006,0)), HYPERLINK("#",""), HYPERLINK(CONCATENATE("#metadata!", ADDRESS(INDEX($AH$2:$AH$1001,MATCH(ROWS($AF$2:AF263),$AF$2:$AF$1001,0),0), INDEX($AM$1004:$BM$1004,1,MATCH(COLUMNS($AM$1006:AN1006),$AM$1006:$BM$1006,0)))),"Fix")))</f>
        <v xml:space="preserve"> </v>
      </c>
      <c r="D263" s="4" t="str">
        <f ca="1">IF(OR(INDEX($AG$2:$AG$1001,MATCH(ROWS($AF$2:AF263),$AF$2:$AF$1001,0),1)&gt;=100000,INDEX($AM$1005:$BM$1005,1,MATCH(COLUMNS($AM$1006:AO1006),$AM$1006:$BM$1006,0))&gt;=100000), " ",IF(INDEX($AM$2:$BM$1001,MATCH(ROWS($AF$2:AF263),$AF$2:$AF$1001,0),MATCH(COLUMNS($AM$1006:AO1006),$AM$1006:$BM$1006,0)), HYPERLINK("#",""), HYPERLINK(CONCATENATE("#metadata!", ADDRESS(INDEX($AH$2:$AH$1001,MATCH(ROWS($AF$2:AF263),$AF$2:$AF$1001,0),0), INDEX($AM$1004:$BM$1004,1,MATCH(COLUMNS($AM$1006:AO1006),$AM$1006:$BM$1006,0)))),"Fix")))</f>
        <v xml:space="preserve"> </v>
      </c>
      <c r="E263" s="4" t="str">
        <f ca="1">IF(OR(INDEX($AG$2:$AG$1001,MATCH(ROWS($AF$2:AF263),$AF$2:$AF$1001,0),1)&gt;=100000,INDEX($AM$1005:$BM$1005,1,MATCH(COLUMNS($AM$1006:AP1006),$AM$1006:$BM$1006,0))&gt;=100000), " ",IF(INDEX($AM$2:$BM$1001,MATCH(ROWS($AF$2:AF263),$AF$2:$AF$1001,0),MATCH(COLUMNS($AM$1006:AP1006),$AM$1006:$BM$1006,0)), HYPERLINK("#",""), HYPERLINK(CONCATENATE("#metadata!", ADDRESS(INDEX($AH$2:$AH$1001,MATCH(ROWS($AF$2:AF263),$AF$2:$AF$1001,0),0), INDEX($AM$1004:$BM$1004,1,MATCH(COLUMNS($AM$1006:AP1006),$AM$1006:$BM$1006,0)))),"Fix")))</f>
        <v xml:space="preserve"> </v>
      </c>
      <c r="F263" s="4" t="str">
        <f ca="1">IF(OR(INDEX($AG$2:$AG$1001,MATCH(ROWS($AF$2:AF263),$AF$2:$AF$1001,0),1)&gt;=100000,INDEX($AM$1005:$BM$1005,1,MATCH(COLUMNS($AM$1006:AQ1006),$AM$1006:$BM$1006,0))&gt;=100000), " ",IF(INDEX($AM$2:$BM$1001,MATCH(ROWS($AF$2:AF263),$AF$2:$AF$1001,0),MATCH(COLUMNS($AM$1006:AQ1006),$AM$1006:$BM$1006,0)), HYPERLINK("#",""), HYPERLINK(CONCATENATE("#metadata!", ADDRESS(INDEX($AH$2:$AH$1001,MATCH(ROWS($AF$2:AF263),$AF$2:$AF$1001,0),0), INDEX($AM$1004:$BM$1004,1,MATCH(COLUMNS($AM$1006:AQ1006),$AM$1006:$BM$1006,0)))),"Fix")))</f>
        <v xml:space="preserve"> </v>
      </c>
      <c r="G263" s="4" t="str">
        <f ca="1">IF(OR(INDEX($AG$2:$AG$1001,MATCH(ROWS($AF$2:AF263),$AF$2:$AF$1001,0),1)&gt;=100000,INDEX($AM$1005:$BM$1005,1,MATCH(COLUMNS($AM$1006:AR1006),$AM$1006:$BM$1006,0))&gt;=100000), " ",IF(INDEX($AM$2:$BM$1001,MATCH(ROWS($AF$2:AF263),$AF$2:$AF$1001,0),MATCH(COLUMNS($AM$1006:AR1006),$AM$1006:$BM$1006,0)), HYPERLINK("#",""), HYPERLINK(CONCATENATE("#metadata!", ADDRESS(INDEX($AH$2:$AH$1001,MATCH(ROWS($AF$2:AF263),$AF$2:$AF$1001,0),0), INDEX($AM$1004:$BM$1004,1,MATCH(COLUMNS($AM$1006:AR1006),$AM$1006:$BM$1006,0)))),"Fix")))</f>
        <v xml:space="preserve"> </v>
      </c>
      <c r="H263" s="4" t="str">
        <f ca="1">IF(OR(INDEX($AG$2:$AG$1001,MATCH(ROWS($AF$2:AF263),$AF$2:$AF$1001,0),1)&gt;=100000,INDEX($AM$1005:$BM$1005,1,MATCH(COLUMNS($AM$1006:AS1006),$AM$1006:$BM$1006,0))&gt;=100000), " ",IF(INDEX($AM$2:$BM$1001,MATCH(ROWS($AF$2:AF263),$AF$2:$AF$1001,0),MATCH(COLUMNS($AM$1006:AS1006),$AM$1006:$BM$1006,0)), HYPERLINK("#",""), HYPERLINK(CONCATENATE("#metadata!", ADDRESS(INDEX($AH$2:$AH$1001,MATCH(ROWS($AF$2:AF263),$AF$2:$AF$1001,0),0), INDEX($AM$1004:$BM$1004,1,MATCH(COLUMNS($AM$1006:AS1006),$AM$1006:$BM$1006,0)))),"Fix")))</f>
        <v xml:space="preserve"> </v>
      </c>
      <c r="I263" s="4" t="str">
        <f ca="1">IF(OR(INDEX($AG$2:$AG$1001,MATCH(ROWS($AF$2:AF263),$AF$2:$AF$1001,0),1)&gt;=100000,INDEX($AM$1005:$BM$1005,1,MATCH(COLUMNS($AM$1006:AT1006),$AM$1006:$BM$1006,0))&gt;=100000), " ",IF(INDEX($AM$2:$BM$1001,MATCH(ROWS($AF$2:AF263),$AF$2:$AF$1001,0),MATCH(COLUMNS($AM$1006:AT1006),$AM$1006:$BM$1006,0)), HYPERLINK("#",""), HYPERLINK(CONCATENATE("#metadata!", ADDRESS(INDEX($AH$2:$AH$1001,MATCH(ROWS($AF$2:AF263),$AF$2:$AF$1001,0),0), INDEX($AM$1004:$BM$1004,1,MATCH(COLUMNS($AM$1006:AT1006),$AM$1006:$BM$1006,0)))),"Fix")))</f>
        <v xml:space="preserve"> </v>
      </c>
      <c r="J263" s="4" t="str">
        <f ca="1">IF(OR(INDEX($AG$2:$AG$1001,MATCH(ROWS($AF$2:AF263),$AF$2:$AF$1001,0),1)&gt;=100000,INDEX($AM$1005:$BM$1005,1,MATCH(COLUMNS($AM$1006:AU1006),$AM$1006:$BM$1006,0))&gt;=100000), " ",IF(INDEX($AM$2:$BM$1001,MATCH(ROWS($AF$2:AF263),$AF$2:$AF$1001,0),MATCH(COLUMNS($AM$1006:AU1006),$AM$1006:$BM$1006,0)), HYPERLINK("#",""), HYPERLINK(CONCATENATE("#metadata!", ADDRESS(INDEX($AH$2:$AH$1001,MATCH(ROWS($AF$2:AF263),$AF$2:$AF$1001,0),0), INDEX($AM$1004:$BM$1004,1,MATCH(COLUMNS($AM$1006:AU1006),$AM$1006:$BM$1006,0)))),"Fix")))</f>
        <v xml:space="preserve"> </v>
      </c>
      <c r="K263" s="4" t="str">
        <f ca="1">IF(OR(INDEX($AG$2:$AG$1001,MATCH(ROWS($AF$2:AF263),$AF$2:$AF$1001,0),1)&gt;=100000,INDEX($AM$1005:$BM$1005,1,MATCH(COLUMNS($AM$1006:AV1006),$AM$1006:$BM$1006,0))&gt;=100000), " ",IF(INDEX($AM$2:$BM$1001,MATCH(ROWS($AF$2:AF263),$AF$2:$AF$1001,0),MATCH(COLUMNS($AM$1006:AV1006),$AM$1006:$BM$1006,0)), HYPERLINK("#",""), HYPERLINK(CONCATENATE("#metadata!", ADDRESS(INDEX($AH$2:$AH$1001,MATCH(ROWS($AF$2:AF263),$AF$2:$AF$1001,0),0), INDEX($AM$1004:$BM$1004,1,MATCH(COLUMNS($AM$1006:AV1006),$AM$1006:$BM$1006,0)))),"Fix")))</f>
        <v xml:space="preserve"> </v>
      </c>
      <c r="L263" s="4" t="str">
        <f ca="1">IF(OR(INDEX($AG$2:$AG$1001,MATCH(ROWS($AF$2:AF263),$AF$2:$AF$1001,0),1)&gt;=100000,INDEX($AM$1005:$BM$1005,1,MATCH(COLUMNS($AM$1006:AW1006),$AM$1006:$BM$1006,0))&gt;=100000), " ",IF(INDEX($AM$2:$BM$1001,MATCH(ROWS($AF$2:AF263),$AF$2:$AF$1001,0),MATCH(COLUMNS($AM$1006:AW1006),$AM$1006:$BM$1006,0)), HYPERLINK("#",""), HYPERLINK(CONCATENATE("#metadata!", ADDRESS(INDEX($AH$2:$AH$1001,MATCH(ROWS($AF$2:AF263),$AF$2:$AF$1001,0),0), INDEX($AM$1004:$BM$1004,1,MATCH(COLUMNS($AM$1006:AW1006),$AM$1006:$BM$1006,0)))),"Fix")))</f>
        <v xml:space="preserve"> </v>
      </c>
      <c r="M263" s="4" t="str">
        <f ca="1">IF(OR(INDEX($AG$2:$AG$1001,MATCH(ROWS($AF$2:AF263),$AF$2:$AF$1001,0),1)&gt;=100000,INDEX($AM$1005:$BM$1005,1,MATCH(COLUMNS($AM$1006:AX1006),$AM$1006:$BM$1006,0))&gt;=100000), " ",IF(INDEX($AM$2:$BM$1001,MATCH(ROWS($AF$2:AF263),$AF$2:$AF$1001,0),MATCH(COLUMNS($AM$1006:AX1006),$AM$1006:$BM$1006,0)), HYPERLINK("#",""), HYPERLINK(CONCATENATE("#metadata!", ADDRESS(INDEX($AH$2:$AH$1001,MATCH(ROWS($AF$2:AF263),$AF$2:$AF$1001,0),0), INDEX($AM$1004:$BM$1004,1,MATCH(COLUMNS($AM$1006:AX1006),$AM$1006:$BM$1006,0)))),"Fix")))</f>
        <v xml:space="preserve"> </v>
      </c>
      <c r="N263" s="4" t="str">
        <f ca="1">IF(OR(INDEX($AG$2:$AG$1001,MATCH(ROWS($AF$2:AF263),$AF$2:$AF$1001,0),1)&gt;=100000,INDEX($AM$1005:$BM$1005,1,MATCH(COLUMNS($AM$1006:AY1006),$AM$1006:$BM$1006,0))&gt;=100000), " ",IF(INDEX($AM$2:$BM$1001,MATCH(ROWS($AF$2:AF263),$AF$2:$AF$1001,0),MATCH(COLUMNS($AM$1006:AY1006),$AM$1006:$BM$1006,0)), HYPERLINK("#",""), HYPERLINK(CONCATENATE("#metadata!", ADDRESS(INDEX($AH$2:$AH$1001,MATCH(ROWS($AF$2:AF263),$AF$2:$AF$1001,0),0), INDEX($AM$1004:$BM$1004,1,MATCH(COLUMNS($AM$1006:AY1006),$AM$1006:$BM$1006,0)))),"Fix")))</f>
        <v xml:space="preserve"> </v>
      </c>
      <c r="O263" s="4" t="str">
        <f ca="1">IF(OR(INDEX($AG$2:$AG$1001,MATCH(ROWS($AF$2:AF263),$AF$2:$AF$1001,0),1)&gt;=100000,INDEX($AM$1005:$BM$1005,1,MATCH(COLUMNS($AM$1006:AZ1006),$AM$1006:$BM$1006,0))&gt;=100000), " ",IF(INDEX($AM$2:$BM$1001,MATCH(ROWS($AF$2:AF263),$AF$2:$AF$1001,0),MATCH(COLUMNS($AM$1006:AZ1006),$AM$1006:$BM$1006,0)), HYPERLINK("#",""), HYPERLINK(CONCATENATE("#metadata!", ADDRESS(INDEX($AH$2:$AH$1001,MATCH(ROWS($AF$2:AF263),$AF$2:$AF$1001,0),0), INDEX($AM$1004:$BM$1004,1,MATCH(COLUMNS($AM$1006:AZ1006),$AM$1006:$BM$1006,0)))),"Fix")))</f>
        <v xml:space="preserve"> </v>
      </c>
      <c r="P263" s="4" t="str">
        <f ca="1">IF(OR(INDEX($AG$2:$AG$1001,MATCH(ROWS($AF$2:AF263),$AF$2:$AF$1001,0),1)&gt;=100000,INDEX($AM$1005:$BM$1005,1,MATCH(COLUMNS($AM$1006:BA1006),$AM$1006:$BM$1006,0))&gt;=100000), " ",IF(INDEX($AM$2:$BM$1001,MATCH(ROWS($AF$2:AF263),$AF$2:$AF$1001,0),MATCH(COLUMNS($AM$1006:BA1006),$AM$1006:$BM$1006,0)), HYPERLINK("#",""), HYPERLINK(CONCATENATE("#metadata!", ADDRESS(INDEX($AH$2:$AH$1001,MATCH(ROWS($AF$2:AF263),$AF$2:$AF$1001,0),0), INDEX($AM$1004:$BM$1004,1,MATCH(COLUMNS($AM$1006:BA1006),$AM$1006:$BM$1006,0)))),"Fix")))</f>
        <v xml:space="preserve"> </v>
      </c>
      <c r="Q263" s="4" t="str">
        <f ca="1">IF(OR(INDEX($AG$2:$AG$1001,MATCH(ROWS($AF$2:AF263),$AF$2:$AF$1001,0),1)&gt;=100000,INDEX($AM$1005:$BM$1005,1,MATCH(COLUMNS($AM$1006:BB1006),$AM$1006:$BM$1006,0))&gt;=100000), " ",IF(INDEX($AM$2:$BM$1001,MATCH(ROWS($AF$2:AF263),$AF$2:$AF$1001,0),MATCH(COLUMNS($AM$1006:BB1006),$AM$1006:$BM$1006,0)), HYPERLINK("#",""), HYPERLINK(CONCATENATE("#metadata!", ADDRESS(INDEX($AH$2:$AH$1001,MATCH(ROWS($AF$2:AF263),$AF$2:$AF$1001,0),0), INDEX($AM$1004:$BM$1004,1,MATCH(COLUMNS($AM$1006:BB1006),$AM$1006:$BM$1006,0)))),"Fix")))</f>
        <v xml:space="preserve"> </v>
      </c>
      <c r="R263" s="4" t="str">
        <f ca="1">IF(OR(INDEX($AG$2:$AG$1001,MATCH(ROWS($AF$2:AF263),$AF$2:$AF$1001,0),1)&gt;=100000,INDEX($AM$1005:$BM$1005,1,MATCH(COLUMNS($AM$1006:BC1006),$AM$1006:$BM$1006,0))&gt;=100000), " ",IF(INDEX($AM$2:$BM$1001,MATCH(ROWS($AF$2:AF263),$AF$2:$AF$1001,0),MATCH(COLUMNS($AM$1006:BC1006),$AM$1006:$BM$1006,0)), HYPERLINK("#",""), HYPERLINK(CONCATENATE("#metadata!", ADDRESS(INDEX($AH$2:$AH$1001,MATCH(ROWS($AF$2:AF263),$AF$2:$AF$1001,0),0), INDEX($AM$1004:$BM$1004,1,MATCH(COLUMNS($AM$1006:BC1006),$AM$1006:$BM$1006,0)))),"Fix")))</f>
        <v xml:space="preserve"> </v>
      </c>
      <c r="S263" s="4" t="str">
        <f ca="1">IF(OR(INDEX($AG$2:$AG$1001,MATCH(ROWS($AF$2:AF263),$AF$2:$AF$1001,0),1)&gt;=100000,INDEX($AM$1005:$BM$1005,1,MATCH(COLUMNS($AM$1006:BD1006),$AM$1006:$BM$1006,0))&gt;=100000), " ",IF(INDEX($AM$2:$BM$1001,MATCH(ROWS($AF$2:AF263),$AF$2:$AF$1001,0),MATCH(COLUMNS($AM$1006:BD1006),$AM$1006:$BM$1006,0)), HYPERLINK("#",""), HYPERLINK(CONCATENATE("#metadata!", ADDRESS(INDEX($AH$2:$AH$1001,MATCH(ROWS($AF$2:AF263),$AF$2:$AF$1001,0),0), INDEX($AM$1004:$BM$1004,1,MATCH(COLUMNS($AM$1006:BD1006),$AM$1006:$BM$1006,0)))),"Fix")))</f>
        <v xml:space="preserve"> </v>
      </c>
      <c r="T263" s="4" t="str">
        <f ca="1">IF(OR(INDEX($AG$2:$AG$1001,MATCH(ROWS($AF$2:AF263),$AF$2:$AF$1001,0),1)&gt;=100000,INDEX($AM$1005:$BM$1005,1,MATCH(COLUMNS($AM$1006:BE1006),$AM$1006:$BM$1006,0))&gt;=100000), " ",IF(INDEX($AM$2:$BM$1001,MATCH(ROWS($AF$2:AF263),$AF$2:$AF$1001,0),MATCH(COLUMNS($AM$1006:BE1006),$AM$1006:$BM$1006,0)), HYPERLINK("#",""), HYPERLINK(CONCATENATE("#metadata!", ADDRESS(INDEX($AH$2:$AH$1001,MATCH(ROWS($AF$2:AF263),$AF$2:$AF$1001,0),0), INDEX($AM$1004:$BM$1004,1,MATCH(COLUMNS($AM$1006:BE1006),$AM$1006:$BM$1006,0)))),"Fix")))</f>
        <v xml:space="preserve"> </v>
      </c>
      <c r="U263" s="4" t="str">
        <f ca="1">IF(OR(INDEX($AG$2:$AG$1001,MATCH(ROWS($AF$2:AF263),$AF$2:$AF$1001,0),1)&gt;=100000,INDEX($AM$1005:$BM$1005,1,MATCH(COLUMNS($AM$1006:BF1006),$AM$1006:$BM$1006,0))&gt;=100000), " ",IF(INDEX($AM$2:$BM$1001,MATCH(ROWS($AF$2:AF263),$AF$2:$AF$1001,0),MATCH(COLUMNS($AM$1006:BF1006),$AM$1006:$BM$1006,0)), HYPERLINK("#",""), HYPERLINK(CONCATENATE("#metadata!", ADDRESS(INDEX($AH$2:$AH$1001,MATCH(ROWS($AF$2:AF263),$AF$2:$AF$1001,0),0), INDEX($AM$1004:$BM$1004,1,MATCH(COLUMNS($AM$1006:BF1006),$AM$1006:$BM$1006,0)))),"Fix")))</f>
        <v xml:space="preserve"> </v>
      </c>
      <c r="V263" s="4" t="str">
        <f ca="1">IF(OR(INDEX($AG$2:$AG$1001,MATCH(ROWS($AF$2:AF263),$AF$2:$AF$1001,0),1)&gt;=100000,INDEX($AM$1005:$BM$1005,1,MATCH(COLUMNS($AM$1006:BG1006),$AM$1006:$BM$1006,0))&gt;=100000), " ",IF(INDEX($AM$2:$BM$1001,MATCH(ROWS($AF$2:AF263),$AF$2:$AF$1001,0),MATCH(COLUMNS($AM$1006:BG1006),$AM$1006:$BM$1006,0)), HYPERLINK("#",""), HYPERLINK(CONCATENATE("#metadata!", ADDRESS(INDEX($AH$2:$AH$1001,MATCH(ROWS($AF$2:AF263),$AF$2:$AF$1001,0),0), INDEX($AM$1004:$BM$1004,1,MATCH(COLUMNS($AM$1006:BG1006),$AM$1006:$BM$1006,0)))),"Fix")))</f>
        <v xml:space="preserve"> </v>
      </c>
      <c r="W263" s="4" t="str">
        <f ca="1">IF(OR(INDEX($AG$2:$AG$1001,MATCH(ROWS($AF$2:AF263),$AF$2:$AF$1001,0),1)&gt;=100000,INDEX($AM$1005:$BM$1005,1,MATCH(COLUMNS($AM$1006:BH1006),$AM$1006:$BM$1006,0))&gt;=100000), " ",IF(INDEX($AM$2:$BM$1001,MATCH(ROWS($AF$2:AF263),$AF$2:$AF$1001,0),MATCH(COLUMNS($AM$1006:BH1006),$AM$1006:$BM$1006,0)), HYPERLINK("#",""), HYPERLINK(CONCATENATE("#metadata!", ADDRESS(INDEX($AH$2:$AH$1001,MATCH(ROWS($AF$2:AF263),$AF$2:$AF$1001,0),0), INDEX($AM$1004:$BM$1004,1,MATCH(COLUMNS($AM$1006:BH1006),$AM$1006:$BM$1006,0)))),"Fix")))</f>
        <v xml:space="preserve"> </v>
      </c>
      <c r="X263" s="4" t="str">
        <f ca="1">IF(OR(INDEX($AG$2:$AG$1001,MATCH(ROWS($AF$2:AF263),$AF$2:$AF$1001,0),1)&gt;=100000,INDEX($AM$1005:$BM$1005,1,MATCH(COLUMNS($AM$1006:BI1006),$AM$1006:$BM$1006,0))&gt;=100000), " ",IF(INDEX($AM$2:$BM$1001,MATCH(ROWS($AF$2:AF263),$AF$2:$AF$1001,0),MATCH(COLUMNS($AM$1006:BI1006),$AM$1006:$BM$1006,0)), HYPERLINK("#",""), HYPERLINK(CONCATENATE("#metadata!", ADDRESS(INDEX($AH$2:$AH$1001,MATCH(ROWS($AF$2:AF263),$AF$2:$AF$1001,0),0), INDEX($AM$1004:$BM$1004,1,MATCH(COLUMNS($AM$1006:BI1006),$AM$1006:$BM$1006,0)))),"Fix")))</f>
        <v xml:space="preserve"> </v>
      </c>
      <c r="Y263" s="4" t="str">
        <f ca="1">IF(OR(INDEX($AG$2:$AG$1001,MATCH(ROWS($AF$2:AF263),$AF$2:$AF$1001,0),1)&gt;=100000,INDEX($AM$1005:$BM$1005,1,MATCH(COLUMNS($AM$1006:BJ1006),$AM$1006:$BM$1006,0))&gt;=100000), " ",IF(INDEX($AM$2:$BM$1001,MATCH(ROWS($AF$2:AF263),$AF$2:$AF$1001,0),MATCH(COLUMNS($AM$1006:BJ1006),$AM$1006:$BM$1006,0)), HYPERLINK("#",""), HYPERLINK(CONCATENATE("#metadata!", ADDRESS(INDEX($AH$2:$AH$1001,MATCH(ROWS($AF$2:AF263),$AF$2:$AF$1001,0),0), INDEX($AM$1004:$BM$1004,1,MATCH(COLUMNS($AM$1006:BJ1006),$AM$1006:$BM$1006,0)))),"Fix")))</f>
        <v xml:space="preserve"> </v>
      </c>
      <c r="Z263" s="4" t="str">
        <f ca="1">IF(OR(INDEX($AG$2:$AG$1001,MATCH(ROWS($AF$2:AF263),$AF$2:$AF$1001,0),1)&gt;=100000,INDEX($AM$1005:$BM$1005,1,MATCH(COLUMNS($AM$1006:BK1006),$AM$1006:$BM$1006,0))&gt;=100000), " ",IF(INDEX($AM$2:$BM$1001,MATCH(ROWS($AF$2:AF263),$AF$2:$AF$1001,0),MATCH(COLUMNS($AM$1006:BK1006),$AM$1006:$BM$1006,0)), HYPERLINK("#",""), HYPERLINK(CONCATENATE("#metadata!", ADDRESS(INDEX($AH$2:$AH$1001,MATCH(ROWS($AF$2:AF263),$AF$2:$AF$1001,0),0), INDEX($AM$1004:$BM$1004,1,MATCH(COLUMNS($AM$1006:BK1006),$AM$1006:$BM$1006,0)))),"Fix")))</f>
        <v xml:space="preserve"> </v>
      </c>
      <c r="AA263" s="4" t="str">
        <f ca="1">IF(OR(INDEX($AG$2:$AG$1001,MATCH(ROWS($AF$2:AF263),$AF$2:$AF$1001,0),1)&gt;=100000,INDEX($AM$1005:$BM$1005,1,MATCH(COLUMNS($AM$1006:BL1006),$AM$1006:$BM$1006,0))&gt;=100000), " ",IF(INDEX($AM$2:$BM$1001,MATCH(ROWS($AF$2:AF263),$AF$2:$AF$1001,0),MATCH(COLUMNS($AM$1006:BL1006),$AM$1006:$BM$1006,0)), HYPERLINK("#",""), HYPERLINK(CONCATENATE("#metadata!", ADDRESS(INDEX($AH$2:$AH$1001,MATCH(ROWS($AF$2:AF263),$AF$2:$AF$1001,0),0), INDEX($AM$1004:$BM$1004,1,MATCH(COLUMNS($AM$1006:BL1006),$AM$1006:$BM$1006,0)))),"Fix")))</f>
        <v xml:space="preserve"> </v>
      </c>
      <c r="AB263" s="4" t="str">
        <f ca="1">IF(OR(INDEX($AG$2:$AG$1001,MATCH(ROWS($AF$2:AF263),$AF$2:$AF$1001,0),1)&gt;=100000,INDEX($AM$1005:$BM$1005,1,MATCH(COLUMNS($AM$1006:BM1006),$AM$1006:$BM$1006,0))&gt;=100000), " ",IF(INDEX($AM$2:$BM$1001,MATCH(ROWS($AF$2:AF263),$AF$2:$AF$1001,0),MATCH(COLUMNS($AM$1006:BM1006),$AM$1006:$BM$1006,0)), HYPERLINK("#",""), HYPERLINK(CONCATENATE("#metadata!", ADDRESS(INDEX($AH$2:$AH$1001,MATCH(ROWS($AF$2:AF263),$AF$2:$AF$1001,0),0), INDEX($AM$1004:$BM$1004,1,MATCH(COLUMNS($AM$1006:BM1006),$AM$1006:$BM$1006,0)))),"Fix")))</f>
        <v xml:space="preserve"> </v>
      </c>
      <c r="AF263">
        <v>262</v>
      </c>
      <c r="AG263">
        <v>100263</v>
      </c>
      <c r="AH263">
        <v>263</v>
      </c>
      <c r="AI263" t="b">
        <f t="shared" si="4"/>
        <v>1</v>
      </c>
      <c r="AJ263" t="b">
        <f>COUNTBLANK(metadata!B263:AB263)=COLUMNS(metadata!B263:AB263)</f>
        <v>1</v>
      </c>
      <c r="AK263" t="str">
        <v/>
      </c>
      <c r="AM263" t="b">
        <f ca="1">AND(IF(metadata!B263="",FALSE,TRUE),COUNTIF(metadata!B:B, metadata!B263) = 1,NOT(ISERROR(SUMPRODUCT(SEARCH(MID(metadata!B263,ROW(INDIRECT("1:"&amp;LEN(metadata!B263))), 1),"0123456789abcdefghijklmnopqrstuvwxyzABCDEFGHIJKLMNOPQRSTUVWXYZ.")))))</f>
        <v>0</v>
      </c>
      <c r="AN263" t="b">
        <f ca="1">OR(AND(IF(metadata!C263="",FALSE,TRUE),OR(EXACT(metadata!C263,"missing: not collected"),EXACT(metadata!C263,"missing: not provided"),EXACT(metadata!C263,"missing: restricted access"))),AND(IF(metadata!C263="",FALSE,TRUE),AND(AND(IFERROR(INT(LEFT(metadata!C263,4))&gt;1900,FALSE),IFERROR(INT(LEFT(metadata!C263,4))&lt;=YEAR(NOW()),FALSE)), OR(MID(metadata!C263,5,1)="", AND(AND(MID(metadata!C263,5,1)="-",IFERROR(INT(MID(metadata!C263,6,1))&gt;=0,FALSE),IFERROR(INT(MID(metadata!C263,6,1))&lt;=1,FALSE),NOT(MID(metadata!C263,7,1)=""),IFERROR(INT(MID(metadata!C263,6,2))&gt;=1,FALSE),IFERROR(INT(MID(metadata!C263,6,2))&lt;=12,FALSE)), OR(MID(metadata!C263,8,1)="", AND(AND(MID(metadata!C263,8,1)="-",IFERROR(INT(MID(metadata!C263,9,1))&gt;=0,FALSE),IFERROR(INT(MID(metadata!C263,9,1))&lt;=3,FALSE),NOT(MID(metadata!C263,10,1)=""),IFERROR(INT(MID(metadata!C263,9,2))&gt;=1,FALSE),IFERROR(INT(MID(metadata!C263,9,2))&lt;=31,FALSE)), OR(MID(metadata!C263,11,1)="", AND(AND(MID(metadata!C263,11,1)=" ",IFERROR(INT(MID(metadata!C263,12,1))&gt;=0,FALSE),IFERROR(INT(MID(metadata!C263,12,1))&lt;=2,FALSE),NOT(MID(metadata!C263,13,1)=""),IFERROR(INT(MID(metadata!C263,12,2))&gt;=0,FALSE),IFERROR(INT(MID(metadata!C263,12,2))&lt;=23,FALSE)), OR(MID(metadata!C263,14,1)="", AND(AND(MID(metadata!C263,14,1)=":",IFERROR(INT(MID(metadata!C263,15,1))&gt;=0,FALSE),IFERROR(INT(MID(metadata!C263,15,1))&lt;=5,FALSE),NOT(MID(metadata!C263,16,1)=""),IFERROR(INT(MID(metadata!C263,15,2))&gt;=0,FALSE),IFERROR(INT(MID(metadata!C263,15,2))&lt;=59,FALSE)), OR(MID(metadata!C263,17,1)="", AND(AND(MID(metadata!C263,17,1)=":",IFERROR(INT(MID(metadata!C263,18,1))&gt;=0,FALSE),IFERROR(INT(MID(metadata!C263,18,1))&lt;=5,FALSE),NOT(MID(metadata!C263,19,1)=""),IFERROR(INT(MID(metadata!C263,18,2))&gt;=0,FALSE),IFERROR(INT(MID(metadata!C263,18,2))&lt;=59,FALSE)), LEN(metadata!C263)&lt;=19)))))))))))))</f>
        <v>0</v>
      </c>
      <c r="AO263" t="b">
        <f>AND(IF(metadata!D263="",FALSE,TRUE),EXACT(metadata!D263,"Not applicable"))</f>
        <v>0</v>
      </c>
      <c r="AP263" t="b">
        <f>IF(metadata!E263="",FALSE,TRUE)</f>
        <v>0</v>
      </c>
      <c r="AQ263" t="b">
        <f>OR(AND(IF(metadata!F263="",FALSE,TRUE),OR(EXACT(metadata!F263,"missing: not collected"),EXACT(metadata!F263,"missing: not provided"))),AND(IF(metadata!F263="",FALSE,TRUE),OR(EXACT(metadata!F263,"TRUE"),EXACT(metadata!F263,"FALSE"))))</f>
        <v>0</v>
      </c>
      <c r="AR263" t="b">
        <f>OR(AND(IF(metadata!G263="",FALSE,TRUE),OR(EXACT(metadata!G263,"missing: not collected"),EXACT(metadata!G263,"missing: not provided"),EXACT(metadata!G263,"missing: restricted access"))),AND(IF(metadata!G263="",FALSE,ISNUMBER(VALUE(metadata!G263))),metadata!G263&gt;=-413))</f>
        <v>0</v>
      </c>
      <c r="AS263" t="b">
        <f>AND(IF(metadata!H263="",FALSE,TRUE),EXACT(metadata!H263,"meters"))</f>
        <v>0</v>
      </c>
      <c r="AT263" t="b">
        <f>AND(IF(metadata!I263="",FALSE,TRUE),OR(EXACT(metadata!I263,"Host-associated"),EXACT(metadata!I263,"Free-living")))</f>
        <v>0</v>
      </c>
      <c r="AU263" t="b">
        <f>AND(IF(metadata!J263="",FALSE,TRUE),OR(EXACT(metadata!J263,"Animal"),EXACT(metadata!J263,"Fungus"),EXACT(metadata!J263,"Plant"),EXACT(metadata!J263,"Saline"),EXACT(metadata!J263,"Non-saline")))</f>
        <v>0</v>
      </c>
      <c r="AV263" t="b">
        <f>AND(IF(metadata!K263="",FALSE,TRUE),OR(EXACT(metadata!K263,"Plant secretion"),EXACT(metadata!K263,"Plant rhizosphere"),EXACT(metadata!K263,"Plant surface"),EXACT(metadata!K263,"Plant corpus"),EXACT(metadata!K263,"Fungus surface"),EXACT(metadata!K263,"Fungus corpus"),EXACT(metadata!K263,"Animal surface"),EXACT(metadata!K263,"Animal proximal gut"),EXACT(metadata!K263,"Animal corpus"),EXACT(metadata!K263,"Animal distal gut"),EXACT(metadata!K263,"Animal secretion"),EXACT(metadata!K263,"Sub-surface (non-saline)"),EXACT(metadata!K263,"Surface (non-saline)"),EXACT(metadata!K263,"Water (non-saline)"),EXACT(metadata!K263,"Soil (non-saline)"),EXACT(metadata!K263,"Aerosol (non-saline)"),EXACT(metadata!K263,"Sediment (non-saline)"),EXACT(metadata!K263,"Surface (saline)"),EXACT(metadata!K263,"Water (saline)"),EXACT(metadata!K263,"Hypersaline (saline)"),EXACT(metadata!K263,"Aerosol (saline)"),EXACT(metadata!K263,"Sediment (saline)")))</f>
        <v>0</v>
      </c>
      <c r="AW263" t="b">
        <f>IF(metadata!L263="",FALSE,TRUE)</f>
        <v>0</v>
      </c>
      <c r="AX263" t="b">
        <f>IF(metadata!M263="",FALSE,TRUE)</f>
        <v>0</v>
      </c>
      <c r="AY263" t="b">
        <f>IF(metadata!N263="",FALSE,TRUE)</f>
        <v>0</v>
      </c>
      <c r="AZ263" t="b">
        <f>OR(AND(IF(metadata!O263="",FALSE,TRUE),OR(EXACT(metadata!O263,"missing: not collected"),EXACT(metadata!O263,"missing: not provided"),EXACT(metadata!O263,"missing: restricted access"))),AND(IF(metadata!O263="",FALSE,TRUE),OR(EXACT(metadata!O263,"air"),EXACT(metadata!O263,"built environment"),EXACT(metadata!O263,"host-associated"),EXACT(metadata!O263,"human-associated"),EXACT(metadata!O263,"human-skin"),EXACT(metadata!O263,"human-oral"),EXACT(metadata!O263,"human-gut"),EXACT(metadata!O263,"human-vaginal"),EXACT(metadata!O263,"microbial mat/biofilm"),EXACT(metadata!O263,"misc environment"),EXACT(metadata!O263,"plant-associated"),EXACT(metadata!O263,"sediment"),EXACT(metadata!O263,"soil"),EXACT(metadata!O263,"wastewater/sludge"),EXACT(metadata!O263,"water"))))</f>
        <v>0</v>
      </c>
      <c r="BA263" t="b">
        <f>IF(metadata!P263="",FALSE,TRUE)</f>
        <v>0</v>
      </c>
      <c r="BB263" t="b">
        <f>IF(metadata!Q263="",FALSE,TRUE)</f>
        <v>0</v>
      </c>
      <c r="BC263" t="b">
        <f>OR(AND(IF(metadata!R263="",FALSE,TRUE),OR(EXACT(metadata!R263,"missing: not collected"),EXACT(metadata!R263,"missing: not provided"),EXACT(metadata!R263,"missing: restricted access"))),AND(IF(metadata!R263="",FALSE,ISNUMBER(VALUE(metadata!R263))),metadata!R263&gt;=-90,metadata!R263&lt;=90))</f>
        <v>0</v>
      </c>
      <c r="BD263" t="b">
        <f>AND(IF(metadata!S263="",FALSE,TRUE),EXACT(metadata!S263,"Decimal degrees"))</f>
        <v>0</v>
      </c>
      <c r="BE263" t="b">
        <f>OR(AND(IF(metadata!T263="",FALSE,TRUE),OR(EXACT(metadata!T263,"missing: not collected"),EXACT(metadata!T263,"missing: not provided"),EXACT(metadata!T263,"missing: restricted access"))),AND(IF(metadata!T263="",FALSE,ISNUMBER(VALUE(metadata!T263))),metadata!T263&gt;=-180,metadata!T263&lt;=180))</f>
        <v>0</v>
      </c>
      <c r="BF263" t="b">
        <f>AND(IF(metadata!U263="",FALSE,TRUE),EXACT(metadata!U263,"Decimal degrees"))</f>
        <v>0</v>
      </c>
      <c r="BG263" t="b">
        <f>IF(metadata!V263="",FALSE,TRUE)</f>
        <v>0</v>
      </c>
      <c r="BH263" t="b">
        <f>OR(AND(IF(metadata!W263="",FALSE,TRUE),OR(EXACT(metadata!W263,"missing: not collected"),EXACT(metadata!W263,"missing: not provided"),EXACT(metadata!W263,"missing: restricted access"))),AND(IF(metadata!W263="",FALSE,TRUE),OR(EXACT(metadata!W263,"TRUE"),EXACT(metadata!W263,"FALSE"))))</f>
        <v>0</v>
      </c>
      <c r="BI263" t="b">
        <f>AND(IF(metadata!X263="",FALSE,TRUE),EXACT(metadata!X263,"other"))</f>
        <v>0</v>
      </c>
      <c r="BJ263" t="b">
        <f>IF(metadata!Y263="",FALSE,TRUE)</f>
        <v>0</v>
      </c>
      <c r="BK263" t="b">
        <f>OR(AND(IF(metadata!Z263="",FALSE,TRUE),OR(EXACT(metadata!Z263,"missing: not collected"),EXACT(metadata!Z263,"missing: not provided"))),AND(IF(metadata!Z263="",FALSE,IF(ISERROR(INT(metadata!Z263)),FALSE,INT(metadata!Z263)=metadata!Z263)),metadata!Z263&gt;0))</f>
        <v>0</v>
      </c>
      <c r="BL263" t="b">
        <f>AND(IF(metadata!AA263="",FALSE,TRUE),EXACT(metadata!AA263,"Not applicable"))</f>
        <v>0</v>
      </c>
      <c r="BM263" t="b">
        <f>IF(metadata!AB263="",FALSE,TRUE)</f>
        <v>0</v>
      </c>
    </row>
    <row r="264" spans="1:65" x14ac:dyDescent="0.2">
      <c r="A264" s="5" t="str">
        <f ca="1">IF(B264=" "," ",HYPERLINK(CONCATENATE("#metadata!",ADDRESS(INDEX($AH$2:$AH$1001,MATCH(ROWS($AF$2:AF264),$AF$2:$AF$1001,0),0),1)),INDEX($AK$2:$AK$1001,MATCH(ROWS($AF$2:AF264),$AF$2:$AF$1001,0),0)))</f>
        <v xml:space="preserve"> </v>
      </c>
      <c r="B264" s="4" t="str">
        <f ca="1">IF(OR(INDEX($AG$2:$AG$1001,MATCH(ROWS($AF$2:AF264),$AF$2:$AF$1001,0),1)&gt;=100000,INDEX($AM$1005:$BM$1005,1,MATCH(COLUMNS($AM$1006:AM1006),$AM$1006:$BM$1006,0))&gt;=100000), " ",IF(INDEX($AM$2:$BM$1001,MATCH(ROWS($AF$2:AF264),$AF$2:$AF$1001,0),MATCH(COLUMNS($AM$1006:AM1006),$AM$1006:$BM$1006,0)), HYPERLINK("#",""), HYPERLINK(CONCATENATE("#metadata!", ADDRESS(INDEX($AH$2:$AH$1001,MATCH(ROWS($AF$2:AF264),$AF$2:$AF$1001,0),0), INDEX($AM$1004:$BM$1004,1,MATCH(COLUMNS($AM$1006:AM1006),$AM$1006:$BM$1006,0)))),"Fix")))</f>
        <v xml:space="preserve"> </v>
      </c>
      <c r="C264" s="4" t="str">
        <f ca="1">IF(OR(INDEX($AG$2:$AG$1001,MATCH(ROWS($AF$2:AF264),$AF$2:$AF$1001,0),1)&gt;=100000,INDEX($AM$1005:$BM$1005,1,MATCH(COLUMNS($AM$1006:AN1006),$AM$1006:$BM$1006,0))&gt;=100000), " ",IF(INDEX($AM$2:$BM$1001,MATCH(ROWS($AF$2:AF264),$AF$2:$AF$1001,0),MATCH(COLUMNS($AM$1006:AN1006),$AM$1006:$BM$1006,0)), HYPERLINK("#",""), HYPERLINK(CONCATENATE("#metadata!", ADDRESS(INDEX($AH$2:$AH$1001,MATCH(ROWS($AF$2:AF264),$AF$2:$AF$1001,0),0), INDEX($AM$1004:$BM$1004,1,MATCH(COLUMNS($AM$1006:AN1006),$AM$1006:$BM$1006,0)))),"Fix")))</f>
        <v xml:space="preserve"> </v>
      </c>
      <c r="D264" s="4" t="str">
        <f ca="1">IF(OR(INDEX($AG$2:$AG$1001,MATCH(ROWS($AF$2:AF264),$AF$2:$AF$1001,0),1)&gt;=100000,INDEX($AM$1005:$BM$1005,1,MATCH(COLUMNS($AM$1006:AO1006),$AM$1006:$BM$1006,0))&gt;=100000), " ",IF(INDEX($AM$2:$BM$1001,MATCH(ROWS($AF$2:AF264),$AF$2:$AF$1001,0),MATCH(COLUMNS($AM$1006:AO1006),$AM$1006:$BM$1006,0)), HYPERLINK("#",""), HYPERLINK(CONCATENATE("#metadata!", ADDRESS(INDEX($AH$2:$AH$1001,MATCH(ROWS($AF$2:AF264),$AF$2:$AF$1001,0),0), INDEX($AM$1004:$BM$1004,1,MATCH(COLUMNS($AM$1006:AO1006),$AM$1006:$BM$1006,0)))),"Fix")))</f>
        <v xml:space="preserve"> </v>
      </c>
      <c r="E264" s="4" t="str">
        <f ca="1">IF(OR(INDEX($AG$2:$AG$1001,MATCH(ROWS($AF$2:AF264),$AF$2:$AF$1001,0),1)&gt;=100000,INDEX($AM$1005:$BM$1005,1,MATCH(COLUMNS($AM$1006:AP1006),$AM$1006:$BM$1006,0))&gt;=100000), " ",IF(INDEX($AM$2:$BM$1001,MATCH(ROWS($AF$2:AF264),$AF$2:$AF$1001,0),MATCH(COLUMNS($AM$1006:AP1006),$AM$1006:$BM$1006,0)), HYPERLINK("#",""), HYPERLINK(CONCATENATE("#metadata!", ADDRESS(INDEX($AH$2:$AH$1001,MATCH(ROWS($AF$2:AF264),$AF$2:$AF$1001,0),0), INDEX($AM$1004:$BM$1004,1,MATCH(COLUMNS($AM$1006:AP1006),$AM$1006:$BM$1006,0)))),"Fix")))</f>
        <v xml:space="preserve"> </v>
      </c>
      <c r="F264" s="4" t="str">
        <f ca="1">IF(OR(INDEX($AG$2:$AG$1001,MATCH(ROWS($AF$2:AF264),$AF$2:$AF$1001,0),1)&gt;=100000,INDEX($AM$1005:$BM$1005,1,MATCH(COLUMNS($AM$1006:AQ1006),$AM$1006:$BM$1006,0))&gt;=100000), " ",IF(INDEX($AM$2:$BM$1001,MATCH(ROWS($AF$2:AF264),$AF$2:$AF$1001,0),MATCH(COLUMNS($AM$1006:AQ1006),$AM$1006:$BM$1006,0)), HYPERLINK("#",""), HYPERLINK(CONCATENATE("#metadata!", ADDRESS(INDEX($AH$2:$AH$1001,MATCH(ROWS($AF$2:AF264),$AF$2:$AF$1001,0),0), INDEX($AM$1004:$BM$1004,1,MATCH(COLUMNS($AM$1006:AQ1006),$AM$1006:$BM$1006,0)))),"Fix")))</f>
        <v xml:space="preserve"> </v>
      </c>
      <c r="G264" s="4" t="str">
        <f ca="1">IF(OR(INDEX($AG$2:$AG$1001,MATCH(ROWS($AF$2:AF264),$AF$2:$AF$1001,0),1)&gt;=100000,INDEX($AM$1005:$BM$1005,1,MATCH(COLUMNS($AM$1006:AR1006),$AM$1006:$BM$1006,0))&gt;=100000), " ",IF(INDEX($AM$2:$BM$1001,MATCH(ROWS($AF$2:AF264),$AF$2:$AF$1001,0),MATCH(COLUMNS($AM$1006:AR1006),$AM$1006:$BM$1006,0)), HYPERLINK("#",""), HYPERLINK(CONCATENATE("#metadata!", ADDRESS(INDEX($AH$2:$AH$1001,MATCH(ROWS($AF$2:AF264),$AF$2:$AF$1001,0),0), INDEX($AM$1004:$BM$1004,1,MATCH(COLUMNS($AM$1006:AR1006),$AM$1006:$BM$1006,0)))),"Fix")))</f>
        <v xml:space="preserve"> </v>
      </c>
      <c r="H264" s="4" t="str">
        <f ca="1">IF(OR(INDEX($AG$2:$AG$1001,MATCH(ROWS($AF$2:AF264),$AF$2:$AF$1001,0),1)&gt;=100000,INDEX($AM$1005:$BM$1005,1,MATCH(COLUMNS($AM$1006:AS1006),$AM$1006:$BM$1006,0))&gt;=100000), " ",IF(INDEX($AM$2:$BM$1001,MATCH(ROWS($AF$2:AF264),$AF$2:$AF$1001,0),MATCH(COLUMNS($AM$1006:AS1006),$AM$1006:$BM$1006,0)), HYPERLINK("#",""), HYPERLINK(CONCATENATE("#metadata!", ADDRESS(INDEX($AH$2:$AH$1001,MATCH(ROWS($AF$2:AF264),$AF$2:$AF$1001,0),0), INDEX($AM$1004:$BM$1004,1,MATCH(COLUMNS($AM$1006:AS1006),$AM$1006:$BM$1006,0)))),"Fix")))</f>
        <v xml:space="preserve"> </v>
      </c>
      <c r="I264" s="4" t="str">
        <f ca="1">IF(OR(INDEX($AG$2:$AG$1001,MATCH(ROWS($AF$2:AF264),$AF$2:$AF$1001,0),1)&gt;=100000,INDEX($AM$1005:$BM$1005,1,MATCH(COLUMNS($AM$1006:AT1006),$AM$1006:$BM$1006,0))&gt;=100000), " ",IF(INDEX($AM$2:$BM$1001,MATCH(ROWS($AF$2:AF264),$AF$2:$AF$1001,0),MATCH(COLUMNS($AM$1006:AT1006),$AM$1006:$BM$1006,0)), HYPERLINK("#",""), HYPERLINK(CONCATENATE("#metadata!", ADDRESS(INDEX($AH$2:$AH$1001,MATCH(ROWS($AF$2:AF264),$AF$2:$AF$1001,0),0), INDEX($AM$1004:$BM$1004,1,MATCH(COLUMNS($AM$1006:AT1006),$AM$1006:$BM$1006,0)))),"Fix")))</f>
        <v xml:space="preserve"> </v>
      </c>
      <c r="J264" s="4" t="str">
        <f ca="1">IF(OR(INDEX($AG$2:$AG$1001,MATCH(ROWS($AF$2:AF264),$AF$2:$AF$1001,0),1)&gt;=100000,INDEX($AM$1005:$BM$1005,1,MATCH(COLUMNS($AM$1006:AU1006),$AM$1006:$BM$1006,0))&gt;=100000), " ",IF(INDEX($AM$2:$BM$1001,MATCH(ROWS($AF$2:AF264),$AF$2:$AF$1001,0),MATCH(COLUMNS($AM$1006:AU1006),$AM$1006:$BM$1006,0)), HYPERLINK("#",""), HYPERLINK(CONCATENATE("#metadata!", ADDRESS(INDEX($AH$2:$AH$1001,MATCH(ROWS($AF$2:AF264),$AF$2:$AF$1001,0),0), INDEX($AM$1004:$BM$1004,1,MATCH(COLUMNS($AM$1006:AU1006),$AM$1006:$BM$1006,0)))),"Fix")))</f>
        <v xml:space="preserve"> </v>
      </c>
      <c r="K264" s="4" t="str">
        <f ca="1">IF(OR(INDEX($AG$2:$AG$1001,MATCH(ROWS($AF$2:AF264),$AF$2:$AF$1001,0),1)&gt;=100000,INDEX($AM$1005:$BM$1005,1,MATCH(COLUMNS($AM$1006:AV1006),$AM$1006:$BM$1006,0))&gt;=100000), " ",IF(INDEX($AM$2:$BM$1001,MATCH(ROWS($AF$2:AF264),$AF$2:$AF$1001,0),MATCH(COLUMNS($AM$1006:AV1006),$AM$1006:$BM$1006,0)), HYPERLINK("#",""), HYPERLINK(CONCATENATE("#metadata!", ADDRESS(INDEX($AH$2:$AH$1001,MATCH(ROWS($AF$2:AF264),$AF$2:$AF$1001,0),0), INDEX($AM$1004:$BM$1004,1,MATCH(COLUMNS($AM$1006:AV1006),$AM$1006:$BM$1006,0)))),"Fix")))</f>
        <v xml:space="preserve"> </v>
      </c>
      <c r="L264" s="4" t="str">
        <f ca="1">IF(OR(INDEX($AG$2:$AG$1001,MATCH(ROWS($AF$2:AF264),$AF$2:$AF$1001,0),1)&gt;=100000,INDEX($AM$1005:$BM$1005,1,MATCH(COLUMNS($AM$1006:AW1006),$AM$1006:$BM$1006,0))&gt;=100000), " ",IF(INDEX($AM$2:$BM$1001,MATCH(ROWS($AF$2:AF264),$AF$2:$AF$1001,0),MATCH(COLUMNS($AM$1006:AW1006),$AM$1006:$BM$1006,0)), HYPERLINK("#",""), HYPERLINK(CONCATENATE("#metadata!", ADDRESS(INDEX($AH$2:$AH$1001,MATCH(ROWS($AF$2:AF264),$AF$2:$AF$1001,0),0), INDEX($AM$1004:$BM$1004,1,MATCH(COLUMNS($AM$1006:AW1006),$AM$1006:$BM$1006,0)))),"Fix")))</f>
        <v xml:space="preserve"> </v>
      </c>
      <c r="M264" s="4" t="str">
        <f ca="1">IF(OR(INDEX($AG$2:$AG$1001,MATCH(ROWS($AF$2:AF264),$AF$2:$AF$1001,0),1)&gt;=100000,INDEX($AM$1005:$BM$1005,1,MATCH(COLUMNS($AM$1006:AX1006),$AM$1006:$BM$1006,0))&gt;=100000), " ",IF(INDEX($AM$2:$BM$1001,MATCH(ROWS($AF$2:AF264),$AF$2:$AF$1001,0),MATCH(COLUMNS($AM$1006:AX1006),$AM$1006:$BM$1006,0)), HYPERLINK("#",""), HYPERLINK(CONCATENATE("#metadata!", ADDRESS(INDEX($AH$2:$AH$1001,MATCH(ROWS($AF$2:AF264),$AF$2:$AF$1001,0),0), INDEX($AM$1004:$BM$1004,1,MATCH(COLUMNS($AM$1006:AX1006),$AM$1006:$BM$1006,0)))),"Fix")))</f>
        <v xml:space="preserve"> </v>
      </c>
      <c r="N264" s="4" t="str">
        <f ca="1">IF(OR(INDEX($AG$2:$AG$1001,MATCH(ROWS($AF$2:AF264),$AF$2:$AF$1001,0),1)&gt;=100000,INDEX($AM$1005:$BM$1005,1,MATCH(COLUMNS($AM$1006:AY1006),$AM$1006:$BM$1006,0))&gt;=100000), " ",IF(INDEX($AM$2:$BM$1001,MATCH(ROWS($AF$2:AF264),$AF$2:$AF$1001,0),MATCH(COLUMNS($AM$1006:AY1006),$AM$1006:$BM$1006,0)), HYPERLINK("#",""), HYPERLINK(CONCATENATE("#metadata!", ADDRESS(INDEX($AH$2:$AH$1001,MATCH(ROWS($AF$2:AF264),$AF$2:$AF$1001,0),0), INDEX($AM$1004:$BM$1004,1,MATCH(COLUMNS($AM$1006:AY1006),$AM$1006:$BM$1006,0)))),"Fix")))</f>
        <v xml:space="preserve"> </v>
      </c>
      <c r="O264" s="4" t="str">
        <f ca="1">IF(OR(INDEX($AG$2:$AG$1001,MATCH(ROWS($AF$2:AF264),$AF$2:$AF$1001,0),1)&gt;=100000,INDEX($AM$1005:$BM$1005,1,MATCH(COLUMNS($AM$1006:AZ1006),$AM$1006:$BM$1006,0))&gt;=100000), " ",IF(INDEX($AM$2:$BM$1001,MATCH(ROWS($AF$2:AF264),$AF$2:$AF$1001,0),MATCH(COLUMNS($AM$1006:AZ1006),$AM$1006:$BM$1006,0)), HYPERLINK("#",""), HYPERLINK(CONCATENATE("#metadata!", ADDRESS(INDEX($AH$2:$AH$1001,MATCH(ROWS($AF$2:AF264),$AF$2:$AF$1001,0),0), INDEX($AM$1004:$BM$1004,1,MATCH(COLUMNS($AM$1006:AZ1006),$AM$1006:$BM$1006,0)))),"Fix")))</f>
        <v xml:space="preserve"> </v>
      </c>
      <c r="P264" s="4" t="str">
        <f ca="1">IF(OR(INDEX($AG$2:$AG$1001,MATCH(ROWS($AF$2:AF264),$AF$2:$AF$1001,0),1)&gt;=100000,INDEX($AM$1005:$BM$1005,1,MATCH(COLUMNS($AM$1006:BA1006),$AM$1006:$BM$1006,0))&gt;=100000), " ",IF(INDEX($AM$2:$BM$1001,MATCH(ROWS($AF$2:AF264),$AF$2:$AF$1001,0),MATCH(COLUMNS($AM$1006:BA1006),$AM$1006:$BM$1006,0)), HYPERLINK("#",""), HYPERLINK(CONCATENATE("#metadata!", ADDRESS(INDEX($AH$2:$AH$1001,MATCH(ROWS($AF$2:AF264),$AF$2:$AF$1001,0),0), INDEX($AM$1004:$BM$1004,1,MATCH(COLUMNS($AM$1006:BA1006),$AM$1006:$BM$1006,0)))),"Fix")))</f>
        <v xml:space="preserve"> </v>
      </c>
      <c r="Q264" s="4" t="str">
        <f ca="1">IF(OR(INDEX($AG$2:$AG$1001,MATCH(ROWS($AF$2:AF264),$AF$2:$AF$1001,0),1)&gt;=100000,INDEX($AM$1005:$BM$1005,1,MATCH(COLUMNS($AM$1006:BB1006),$AM$1006:$BM$1006,0))&gt;=100000), " ",IF(INDEX($AM$2:$BM$1001,MATCH(ROWS($AF$2:AF264),$AF$2:$AF$1001,0),MATCH(COLUMNS($AM$1006:BB1006),$AM$1006:$BM$1006,0)), HYPERLINK("#",""), HYPERLINK(CONCATENATE("#metadata!", ADDRESS(INDEX($AH$2:$AH$1001,MATCH(ROWS($AF$2:AF264),$AF$2:$AF$1001,0),0), INDEX($AM$1004:$BM$1004,1,MATCH(COLUMNS($AM$1006:BB1006),$AM$1006:$BM$1006,0)))),"Fix")))</f>
        <v xml:space="preserve"> </v>
      </c>
      <c r="R264" s="4" t="str">
        <f ca="1">IF(OR(INDEX($AG$2:$AG$1001,MATCH(ROWS($AF$2:AF264),$AF$2:$AF$1001,0),1)&gt;=100000,INDEX($AM$1005:$BM$1005,1,MATCH(COLUMNS($AM$1006:BC1006),$AM$1006:$BM$1006,0))&gt;=100000), " ",IF(INDEX($AM$2:$BM$1001,MATCH(ROWS($AF$2:AF264),$AF$2:$AF$1001,0),MATCH(COLUMNS($AM$1006:BC1006),$AM$1006:$BM$1006,0)), HYPERLINK("#",""), HYPERLINK(CONCATENATE("#metadata!", ADDRESS(INDEX($AH$2:$AH$1001,MATCH(ROWS($AF$2:AF264),$AF$2:$AF$1001,0),0), INDEX($AM$1004:$BM$1004,1,MATCH(COLUMNS($AM$1006:BC1006),$AM$1006:$BM$1006,0)))),"Fix")))</f>
        <v xml:space="preserve"> </v>
      </c>
      <c r="S264" s="4" t="str">
        <f ca="1">IF(OR(INDEX($AG$2:$AG$1001,MATCH(ROWS($AF$2:AF264),$AF$2:$AF$1001,0),1)&gt;=100000,INDEX($AM$1005:$BM$1005,1,MATCH(COLUMNS($AM$1006:BD1006),$AM$1006:$BM$1006,0))&gt;=100000), " ",IF(INDEX($AM$2:$BM$1001,MATCH(ROWS($AF$2:AF264),$AF$2:$AF$1001,0),MATCH(COLUMNS($AM$1006:BD1006),$AM$1006:$BM$1006,0)), HYPERLINK("#",""), HYPERLINK(CONCATENATE("#metadata!", ADDRESS(INDEX($AH$2:$AH$1001,MATCH(ROWS($AF$2:AF264),$AF$2:$AF$1001,0),0), INDEX($AM$1004:$BM$1004,1,MATCH(COLUMNS($AM$1006:BD1006),$AM$1006:$BM$1006,0)))),"Fix")))</f>
        <v xml:space="preserve"> </v>
      </c>
      <c r="T264" s="4" t="str">
        <f ca="1">IF(OR(INDEX($AG$2:$AG$1001,MATCH(ROWS($AF$2:AF264),$AF$2:$AF$1001,0),1)&gt;=100000,INDEX($AM$1005:$BM$1005,1,MATCH(COLUMNS($AM$1006:BE1006),$AM$1006:$BM$1006,0))&gt;=100000), " ",IF(INDEX($AM$2:$BM$1001,MATCH(ROWS($AF$2:AF264),$AF$2:$AF$1001,0),MATCH(COLUMNS($AM$1006:BE1006),$AM$1006:$BM$1006,0)), HYPERLINK("#",""), HYPERLINK(CONCATENATE("#metadata!", ADDRESS(INDEX($AH$2:$AH$1001,MATCH(ROWS($AF$2:AF264),$AF$2:$AF$1001,0),0), INDEX($AM$1004:$BM$1004,1,MATCH(COLUMNS($AM$1006:BE1006),$AM$1006:$BM$1006,0)))),"Fix")))</f>
        <v xml:space="preserve"> </v>
      </c>
      <c r="U264" s="4" t="str">
        <f ca="1">IF(OR(INDEX($AG$2:$AG$1001,MATCH(ROWS($AF$2:AF264),$AF$2:$AF$1001,0),1)&gt;=100000,INDEX($AM$1005:$BM$1005,1,MATCH(COLUMNS($AM$1006:BF1006),$AM$1006:$BM$1006,0))&gt;=100000), " ",IF(INDEX($AM$2:$BM$1001,MATCH(ROWS($AF$2:AF264),$AF$2:$AF$1001,0),MATCH(COLUMNS($AM$1006:BF1006),$AM$1006:$BM$1006,0)), HYPERLINK("#",""), HYPERLINK(CONCATENATE("#metadata!", ADDRESS(INDEX($AH$2:$AH$1001,MATCH(ROWS($AF$2:AF264),$AF$2:$AF$1001,0),0), INDEX($AM$1004:$BM$1004,1,MATCH(COLUMNS($AM$1006:BF1006),$AM$1006:$BM$1006,0)))),"Fix")))</f>
        <v xml:space="preserve"> </v>
      </c>
      <c r="V264" s="4" t="str">
        <f ca="1">IF(OR(INDEX($AG$2:$AG$1001,MATCH(ROWS($AF$2:AF264),$AF$2:$AF$1001,0),1)&gt;=100000,INDEX($AM$1005:$BM$1005,1,MATCH(COLUMNS($AM$1006:BG1006),$AM$1006:$BM$1006,0))&gt;=100000), " ",IF(INDEX($AM$2:$BM$1001,MATCH(ROWS($AF$2:AF264),$AF$2:$AF$1001,0),MATCH(COLUMNS($AM$1006:BG1006),$AM$1006:$BM$1006,0)), HYPERLINK("#",""), HYPERLINK(CONCATENATE("#metadata!", ADDRESS(INDEX($AH$2:$AH$1001,MATCH(ROWS($AF$2:AF264),$AF$2:$AF$1001,0),0), INDEX($AM$1004:$BM$1004,1,MATCH(COLUMNS($AM$1006:BG1006),$AM$1006:$BM$1006,0)))),"Fix")))</f>
        <v xml:space="preserve"> </v>
      </c>
      <c r="W264" s="4" t="str">
        <f ca="1">IF(OR(INDEX($AG$2:$AG$1001,MATCH(ROWS($AF$2:AF264),$AF$2:$AF$1001,0),1)&gt;=100000,INDEX($AM$1005:$BM$1005,1,MATCH(COLUMNS($AM$1006:BH1006),$AM$1006:$BM$1006,0))&gt;=100000), " ",IF(INDEX($AM$2:$BM$1001,MATCH(ROWS($AF$2:AF264),$AF$2:$AF$1001,0),MATCH(COLUMNS($AM$1006:BH1006),$AM$1006:$BM$1006,0)), HYPERLINK("#",""), HYPERLINK(CONCATENATE("#metadata!", ADDRESS(INDEX($AH$2:$AH$1001,MATCH(ROWS($AF$2:AF264),$AF$2:$AF$1001,0),0), INDEX($AM$1004:$BM$1004,1,MATCH(COLUMNS($AM$1006:BH1006),$AM$1006:$BM$1006,0)))),"Fix")))</f>
        <v xml:space="preserve"> </v>
      </c>
      <c r="X264" s="4" t="str">
        <f ca="1">IF(OR(INDEX($AG$2:$AG$1001,MATCH(ROWS($AF$2:AF264),$AF$2:$AF$1001,0),1)&gt;=100000,INDEX($AM$1005:$BM$1005,1,MATCH(COLUMNS($AM$1006:BI1006),$AM$1006:$BM$1006,0))&gt;=100000), " ",IF(INDEX($AM$2:$BM$1001,MATCH(ROWS($AF$2:AF264),$AF$2:$AF$1001,0),MATCH(COLUMNS($AM$1006:BI1006),$AM$1006:$BM$1006,0)), HYPERLINK("#",""), HYPERLINK(CONCATENATE("#metadata!", ADDRESS(INDEX($AH$2:$AH$1001,MATCH(ROWS($AF$2:AF264),$AF$2:$AF$1001,0),0), INDEX($AM$1004:$BM$1004,1,MATCH(COLUMNS($AM$1006:BI1006),$AM$1006:$BM$1006,0)))),"Fix")))</f>
        <v xml:space="preserve"> </v>
      </c>
      <c r="Y264" s="4" t="str">
        <f ca="1">IF(OR(INDEX($AG$2:$AG$1001,MATCH(ROWS($AF$2:AF264),$AF$2:$AF$1001,0),1)&gt;=100000,INDEX($AM$1005:$BM$1005,1,MATCH(COLUMNS($AM$1006:BJ1006),$AM$1006:$BM$1006,0))&gt;=100000), " ",IF(INDEX($AM$2:$BM$1001,MATCH(ROWS($AF$2:AF264),$AF$2:$AF$1001,0),MATCH(COLUMNS($AM$1006:BJ1006),$AM$1006:$BM$1006,0)), HYPERLINK("#",""), HYPERLINK(CONCATENATE("#metadata!", ADDRESS(INDEX($AH$2:$AH$1001,MATCH(ROWS($AF$2:AF264),$AF$2:$AF$1001,0),0), INDEX($AM$1004:$BM$1004,1,MATCH(COLUMNS($AM$1006:BJ1006),$AM$1006:$BM$1006,0)))),"Fix")))</f>
        <v xml:space="preserve"> </v>
      </c>
      <c r="Z264" s="4" t="str">
        <f ca="1">IF(OR(INDEX($AG$2:$AG$1001,MATCH(ROWS($AF$2:AF264),$AF$2:$AF$1001,0),1)&gt;=100000,INDEX($AM$1005:$BM$1005,1,MATCH(COLUMNS($AM$1006:BK1006),$AM$1006:$BM$1006,0))&gt;=100000), " ",IF(INDEX($AM$2:$BM$1001,MATCH(ROWS($AF$2:AF264),$AF$2:$AF$1001,0),MATCH(COLUMNS($AM$1006:BK1006),$AM$1006:$BM$1006,0)), HYPERLINK("#",""), HYPERLINK(CONCATENATE("#metadata!", ADDRESS(INDEX($AH$2:$AH$1001,MATCH(ROWS($AF$2:AF264),$AF$2:$AF$1001,0),0), INDEX($AM$1004:$BM$1004,1,MATCH(COLUMNS($AM$1006:BK1006),$AM$1006:$BM$1006,0)))),"Fix")))</f>
        <v xml:space="preserve"> </v>
      </c>
      <c r="AA264" s="4" t="str">
        <f ca="1">IF(OR(INDEX($AG$2:$AG$1001,MATCH(ROWS($AF$2:AF264),$AF$2:$AF$1001,0),1)&gt;=100000,INDEX($AM$1005:$BM$1005,1,MATCH(COLUMNS($AM$1006:BL1006),$AM$1006:$BM$1006,0))&gt;=100000), " ",IF(INDEX($AM$2:$BM$1001,MATCH(ROWS($AF$2:AF264),$AF$2:$AF$1001,0),MATCH(COLUMNS($AM$1006:BL1006),$AM$1006:$BM$1006,0)), HYPERLINK("#",""), HYPERLINK(CONCATENATE("#metadata!", ADDRESS(INDEX($AH$2:$AH$1001,MATCH(ROWS($AF$2:AF264),$AF$2:$AF$1001,0),0), INDEX($AM$1004:$BM$1004,1,MATCH(COLUMNS($AM$1006:BL1006),$AM$1006:$BM$1006,0)))),"Fix")))</f>
        <v xml:space="preserve"> </v>
      </c>
      <c r="AB264" s="4" t="str">
        <f ca="1">IF(OR(INDEX($AG$2:$AG$1001,MATCH(ROWS($AF$2:AF264),$AF$2:$AF$1001,0),1)&gt;=100000,INDEX($AM$1005:$BM$1005,1,MATCH(COLUMNS($AM$1006:BM1006),$AM$1006:$BM$1006,0))&gt;=100000), " ",IF(INDEX($AM$2:$BM$1001,MATCH(ROWS($AF$2:AF264),$AF$2:$AF$1001,0),MATCH(COLUMNS($AM$1006:BM1006),$AM$1006:$BM$1006,0)), HYPERLINK("#",""), HYPERLINK(CONCATENATE("#metadata!", ADDRESS(INDEX($AH$2:$AH$1001,MATCH(ROWS($AF$2:AF264),$AF$2:$AF$1001,0),0), INDEX($AM$1004:$BM$1004,1,MATCH(COLUMNS($AM$1006:BM1006),$AM$1006:$BM$1006,0)))),"Fix")))</f>
        <v xml:space="preserve"> </v>
      </c>
      <c r="AF264">
        <v>263</v>
      </c>
      <c r="AG264">
        <v>100264</v>
      </c>
      <c r="AH264">
        <v>264</v>
      </c>
      <c r="AI264" t="b">
        <f t="shared" si="4"/>
        <v>1</v>
      </c>
      <c r="AJ264" t="b">
        <f>COUNTBLANK(metadata!B264:AB264)=COLUMNS(metadata!B264:AB264)</f>
        <v>1</v>
      </c>
      <c r="AK264" t="str">
        <v/>
      </c>
      <c r="AM264" t="b">
        <f ca="1">AND(IF(metadata!B264="",FALSE,TRUE),COUNTIF(metadata!B:B, metadata!B264) = 1,NOT(ISERROR(SUMPRODUCT(SEARCH(MID(metadata!B264,ROW(INDIRECT("1:"&amp;LEN(metadata!B264))), 1),"0123456789abcdefghijklmnopqrstuvwxyzABCDEFGHIJKLMNOPQRSTUVWXYZ.")))))</f>
        <v>0</v>
      </c>
      <c r="AN264" t="b">
        <f ca="1">OR(AND(IF(metadata!C264="",FALSE,TRUE),OR(EXACT(metadata!C264,"missing: not collected"),EXACT(metadata!C264,"missing: not provided"),EXACT(metadata!C264,"missing: restricted access"))),AND(IF(metadata!C264="",FALSE,TRUE),AND(AND(IFERROR(INT(LEFT(metadata!C264,4))&gt;1900,FALSE),IFERROR(INT(LEFT(metadata!C264,4))&lt;=YEAR(NOW()),FALSE)), OR(MID(metadata!C264,5,1)="", AND(AND(MID(metadata!C264,5,1)="-",IFERROR(INT(MID(metadata!C264,6,1))&gt;=0,FALSE),IFERROR(INT(MID(metadata!C264,6,1))&lt;=1,FALSE),NOT(MID(metadata!C264,7,1)=""),IFERROR(INT(MID(metadata!C264,6,2))&gt;=1,FALSE),IFERROR(INT(MID(metadata!C264,6,2))&lt;=12,FALSE)), OR(MID(metadata!C264,8,1)="", AND(AND(MID(metadata!C264,8,1)="-",IFERROR(INT(MID(metadata!C264,9,1))&gt;=0,FALSE),IFERROR(INT(MID(metadata!C264,9,1))&lt;=3,FALSE),NOT(MID(metadata!C264,10,1)=""),IFERROR(INT(MID(metadata!C264,9,2))&gt;=1,FALSE),IFERROR(INT(MID(metadata!C264,9,2))&lt;=31,FALSE)), OR(MID(metadata!C264,11,1)="", AND(AND(MID(metadata!C264,11,1)=" ",IFERROR(INT(MID(metadata!C264,12,1))&gt;=0,FALSE),IFERROR(INT(MID(metadata!C264,12,1))&lt;=2,FALSE),NOT(MID(metadata!C264,13,1)=""),IFERROR(INT(MID(metadata!C264,12,2))&gt;=0,FALSE),IFERROR(INT(MID(metadata!C264,12,2))&lt;=23,FALSE)), OR(MID(metadata!C264,14,1)="", AND(AND(MID(metadata!C264,14,1)=":",IFERROR(INT(MID(metadata!C264,15,1))&gt;=0,FALSE),IFERROR(INT(MID(metadata!C264,15,1))&lt;=5,FALSE),NOT(MID(metadata!C264,16,1)=""),IFERROR(INT(MID(metadata!C264,15,2))&gt;=0,FALSE),IFERROR(INT(MID(metadata!C264,15,2))&lt;=59,FALSE)), OR(MID(metadata!C264,17,1)="", AND(AND(MID(metadata!C264,17,1)=":",IFERROR(INT(MID(metadata!C264,18,1))&gt;=0,FALSE),IFERROR(INT(MID(metadata!C264,18,1))&lt;=5,FALSE),NOT(MID(metadata!C264,19,1)=""),IFERROR(INT(MID(metadata!C264,18,2))&gt;=0,FALSE),IFERROR(INT(MID(metadata!C264,18,2))&lt;=59,FALSE)), LEN(metadata!C264)&lt;=19)))))))))))))</f>
        <v>0</v>
      </c>
      <c r="AO264" t="b">
        <f>AND(IF(metadata!D264="",FALSE,TRUE),EXACT(metadata!D264,"Not applicable"))</f>
        <v>0</v>
      </c>
      <c r="AP264" t="b">
        <f>IF(metadata!E264="",FALSE,TRUE)</f>
        <v>0</v>
      </c>
      <c r="AQ264" t="b">
        <f>OR(AND(IF(metadata!F264="",FALSE,TRUE),OR(EXACT(metadata!F264,"missing: not collected"),EXACT(metadata!F264,"missing: not provided"))),AND(IF(metadata!F264="",FALSE,TRUE),OR(EXACT(metadata!F264,"TRUE"),EXACT(metadata!F264,"FALSE"))))</f>
        <v>0</v>
      </c>
      <c r="AR264" t="b">
        <f>OR(AND(IF(metadata!G264="",FALSE,TRUE),OR(EXACT(metadata!G264,"missing: not collected"),EXACT(metadata!G264,"missing: not provided"),EXACT(metadata!G264,"missing: restricted access"))),AND(IF(metadata!G264="",FALSE,ISNUMBER(VALUE(metadata!G264))),metadata!G264&gt;=-413))</f>
        <v>0</v>
      </c>
      <c r="AS264" t="b">
        <f>AND(IF(metadata!H264="",FALSE,TRUE),EXACT(metadata!H264,"meters"))</f>
        <v>0</v>
      </c>
      <c r="AT264" t="b">
        <f>AND(IF(metadata!I264="",FALSE,TRUE),OR(EXACT(metadata!I264,"Host-associated"),EXACT(metadata!I264,"Free-living")))</f>
        <v>0</v>
      </c>
      <c r="AU264" t="b">
        <f>AND(IF(metadata!J264="",FALSE,TRUE),OR(EXACT(metadata!J264,"Animal"),EXACT(metadata!J264,"Fungus"),EXACT(metadata!J264,"Plant"),EXACT(metadata!J264,"Saline"),EXACT(metadata!J264,"Non-saline")))</f>
        <v>0</v>
      </c>
      <c r="AV264" t="b">
        <f>AND(IF(metadata!K264="",FALSE,TRUE),OR(EXACT(metadata!K264,"Plant secretion"),EXACT(metadata!K264,"Plant rhizosphere"),EXACT(metadata!K264,"Plant surface"),EXACT(metadata!K264,"Plant corpus"),EXACT(metadata!K264,"Fungus surface"),EXACT(metadata!K264,"Fungus corpus"),EXACT(metadata!K264,"Animal surface"),EXACT(metadata!K264,"Animal proximal gut"),EXACT(metadata!K264,"Animal corpus"),EXACT(metadata!K264,"Animal distal gut"),EXACT(metadata!K264,"Animal secretion"),EXACT(metadata!K264,"Sub-surface (non-saline)"),EXACT(metadata!K264,"Surface (non-saline)"),EXACT(metadata!K264,"Water (non-saline)"),EXACT(metadata!K264,"Soil (non-saline)"),EXACT(metadata!K264,"Aerosol (non-saline)"),EXACT(metadata!K264,"Sediment (non-saline)"),EXACT(metadata!K264,"Surface (saline)"),EXACT(metadata!K264,"Water (saline)"),EXACT(metadata!K264,"Hypersaline (saline)"),EXACT(metadata!K264,"Aerosol (saline)"),EXACT(metadata!K264,"Sediment (saline)")))</f>
        <v>0</v>
      </c>
      <c r="AW264" t="b">
        <f>IF(metadata!L264="",FALSE,TRUE)</f>
        <v>0</v>
      </c>
      <c r="AX264" t="b">
        <f>IF(metadata!M264="",FALSE,TRUE)</f>
        <v>0</v>
      </c>
      <c r="AY264" t="b">
        <f>IF(metadata!N264="",FALSE,TRUE)</f>
        <v>0</v>
      </c>
      <c r="AZ264" t="b">
        <f>OR(AND(IF(metadata!O264="",FALSE,TRUE),OR(EXACT(metadata!O264,"missing: not collected"),EXACT(metadata!O264,"missing: not provided"),EXACT(metadata!O264,"missing: restricted access"))),AND(IF(metadata!O264="",FALSE,TRUE),OR(EXACT(metadata!O264,"air"),EXACT(metadata!O264,"built environment"),EXACT(metadata!O264,"host-associated"),EXACT(metadata!O264,"human-associated"),EXACT(metadata!O264,"human-skin"),EXACT(metadata!O264,"human-oral"),EXACT(metadata!O264,"human-gut"),EXACT(metadata!O264,"human-vaginal"),EXACT(metadata!O264,"microbial mat/biofilm"),EXACT(metadata!O264,"misc environment"),EXACT(metadata!O264,"plant-associated"),EXACT(metadata!O264,"sediment"),EXACT(metadata!O264,"soil"),EXACT(metadata!O264,"wastewater/sludge"),EXACT(metadata!O264,"water"))))</f>
        <v>0</v>
      </c>
      <c r="BA264" t="b">
        <f>IF(metadata!P264="",FALSE,TRUE)</f>
        <v>0</v>
      </c>
      <c r="BB264" t="b">
        <f>IF(metadata!Q264="",FALSE,TRUE)</f>
        <v>0</v>
      </c>
      <c r="BC264" t="b">
        <f>OR(AND(IF(metadata!R264="",FALSE,TRUE),OR(EXACT(metadata!R264,"missing: not collected"),EXACT(metadata!R264,"missing: not provided"),EXACT(metadata!R264,"missing: restricted access"))),AND(IF(metadata!R264="",FALSE,ISNUMBER(VALUE(metadata!R264))),metadata!R264&gt;=-90,metadata!R264&lt;=90))</f>
        <v>0</v>
      </c>
      <c r="BD264" t="b">
        <f>AND(IF(metadata!S264="",FALSE,TRUE),EXACT(metadata!S264,"Decimal degrees"))</f>
        <v>0</v>
      </c>
      <c r="BE264" t="b">
        <f>OR(AND(IF(metadata!T264="",FALSE,TRUE),OR(EXACT(metadata!T264,"missing: not collected"),EXACT(metadata!T264,"missing: not provided"),EXACT(metadata!T264,"missing: restricted access"))),AND(IF(metadata!T264="",FALSE,ISNUMBER(VALUE(metadata!T264))),metadata!T264&gt;=-180,metadata!T264&lt;=180))</f>
        <v>0</v>
      </c>
      <c r="BF264" t="b">
        <f>AND(IF(metadata!U264="",FALSE,TRUE),EXACT(metadata!U264,"Decimal degrees"))</f>
        <v>0</v>
      </c>
      <c r="BG264" t="b">
        <f>IF(metadata!V264="",FALSE,TRUE)</f>
        <v>0</v>
      </c>
      <c r="BH264" t="b">
        <f>OR(AND(IF(metadata!W264="",FALSE,TRUE),OR(EXACT(metadata!W264,"missing: not collected"),EXACT(metadata!W264,"missing: not provided"),EXACT(metadata!W264,"missing: restricted access"))),AND(IF(metadata!W264="",FALSE,TRUE),OR(EXACT(metadata!W264,"TRUE"),EXACT(metadata!W264,"FALSE"))))</f>
        <v>0</v>
      </c>
      <c r="BI264" t="b">
        <f>AND(IF(metadata!X264="",FALSE,TRUE),EXACT(metadata!X264,"other"))</f>
        <v>0</v>
      </c>
      <c r="BJ264" t="b">
        <f>IF(metadata!Y264="",FALSE,TRUE)</f>
        <v>0</v>
      </c>
      <c r="BK264" t="b">
        <f>OR(AND(IF(metadata!Z264="",FALSE,TRUE),OR(EXACT(metadata!Z264,"missing: not collected"),EXACT(metadata!Z264,"missing: not provided"))),AND(IF(metadata!Z264="",FALSE,IF(ISERROR(INT(metadata!Z264)),FALSE,INT(metadata!Z264)=metadata!Z264)),metadata!Z264&gt;0))</f>
        <v>0</v>
      </c>
      <c r="BL264" t="b">
        <f>AND(IF(metadata!AA264="",FALSE,TRUE),EXACT(metadata!AA264,"Not applicable"))</f>
        <v>0</v>
      </c>
      <c r="BM264" t="b">
        <f>IF(metadata!AB264="",FALSE,TRUE)</f>
        <v>0</v>
      </c>
    </row>
    <row r="265" spans="1:65" x14ac:dyDescent="0.2">
      <c r="A265" s="5" t="str">
        <f ca="1">IF(B265=" "," ",HYPERLINK(CONCATENATE("#metadata!",ADDRESS(INDEX($AH$2:$AH$1001,MATCH(ROWS($AF$2:AF265),$AF$2:$AF$1001,0),0),1)),INDEX($AK$2:$AK$1001,MATCH(ROWS($AF$2:AF265),$AF$2:$AF$1001,0),0)))</f>
        <v xml:space="preserve"> </v>
      </c>
      <c r="B265" s="4" t="str">
        <f ca="1">IF(OR(INDEX($AG$2:$AG$1001,MATCH(ROWS($AF$2:AF265),$AF$2:$AF$1001,0),1)&gt;=100000,INDEX($AM$1005:$BM$1005,1,MATCH(COLUMNS($AM$1006:AM1006),$AM$1006:$BM$1006,0))&gt;=100000), " ",IF(INDEX($AM$2:$BM$1001,MATCH(ROWS($AF$2:AF265),$AF$2:$AF$1001,0),MATCH(COLUMNS($AM$1006:AM1006),$AM$1006:$BM$1006,0)), HYPERLINK("#",""), HYPERLINK(CONCATENATE("#metadata!", ADDRESS(INDEX($AH$2:$AH$1001,MATCH(ROWS($AF$2:AF265),$AF$2:$AF$1001,0),0), INDEX($AM$1004:$BM$1004,1,MATCH(COLUMNS($AM$1006:AM1006),$AM$1006:$BM$1006,0)))),"Fix")))</f>
        <v xml:space="preserve"> </v>
      </c>
      <c r="C265" s="4" t="str">
        <f ca="1">IF(OR(INDEX($AG$2:$AG$1001,MATCH(ROWS($AF$2:AF265),$AF$2:$AF$1001,0),1)&gt;=100000,INDEX($AM$1005:$BM$1005,1,MATCH(COLUMNS($AM$1006:AN1006),$AM$1006:$BM$1006,0))&gt;=100000), " ",IF(INDEX($AM$2:$BM$1001,MATCH(ROWS($AF$2:AF265),$AF$2:$AF$1001,0),MATCH(COLUMNS($AM$1006:AN1006),$AM$1006:$BM$1006,0)), HYPERLINK("#",""), HYPERLINK(CONCATENATE("#metadata!", ADDRESS(INDEX($AH$2:$AH$1001,MATCH(ROWS($AF$2:AF265),$AF$2:$AF$1001,0),0), INDEX($AM$1004:$BM$1004,1,MATCH(COLUMNS($AM$1006:AN1006),$AM$1006:$BM$1006,0)))),"Fix")))</f>
        <v xml:space="preserve"> </v>
      </c>
      <c r="D265" s="4" t="str">
        <f ca="1">IF(OR(INDEX($AG$2:$AG$1001,MATCH(ROWS($AF$2:AF265),$AF$2:$AF$1001,0),1)&gt;=100000,INDEX($AM$1005:$BM$1005,1,MATCH(COLUMNS($AM$1006:AO1006),$AM$1006:$BM$1006,0))&gt;=100000), " ",IF(INDEX($AM$2:$BM$1001,MATCH(ROWS($AF$2:AF265),$AF$2:$AF$1001,0),MATCH(COLUMNS($AM$1006:AO1006),$AM$1006:$BM$1006,0)), HYPERLINK("#",""), HYPERLINK(CONCATENATE("#metadata!", ADDRESS(INDEX($AH$2:$AH$1001,MATCH(ROWS($AF$2:AF265),$AF$2:$AF$1001,0),0), INDEX($AM$1004:$BM$1004,1,MATCH(COLUMNS($AM$1006:AO1006),$AM$1006:$BM$1006,0)))),"Fix")))</f>
        <v xml:space="preserve"> </v>
      </c>
      <c r="E265" s="4" t="str">
        <f ca="1">IF(OR(INDEX($AG$2:$AG$1001,MATCH(ROWS($AF$2:AF265),$AF$2:$AF$1001,0),1)&gt;=100000,INDEX($AM$1005:$BM$1005,1,MATCH(COLUMNS($AM$1006:AP1006),$AM$1006:$BM$1006,0))&gt;=100000), " ",IF(INDEX($AM$2:$BM$1001,MATCH(ROWS($AF$2:AF265),$AF$2:$AF$1001,0),MATCH(COLUMNS($AM$1006:AP1006),$AM$1006:$BM$1006,0)), HYPERLINK("#",""), HYPERLINK(CONCATENATE("#metadata!", ADDRESS(INDEX($AH$2:$AH$1001,MATCH(ROWS($AF$2:AF265),$AF$2:$AF$1001,0),0), INDEX($AM$1004:$BM$1004,1,MATCH(COLUMNS($AM$1006:AP1006),$AM$1006:$BM$1006,0)))),"Fix")))</f>
        <v xml:space="preserve"> </v>
      </c>
      <c r="F265" s="4" t="str">
        <f ca="1">IF(OR(INDEX($AG$2:$AG$1001,MATCH(ROWS($AF$2:AF265),$AF$2:$AF$1001,0),1)&gt;=100000,INDEX($AM$1005:$BM$1005,1,MATCH(COLUMNS($AM$1006:AQ1006),$AM$1006:$BM$1006,0))&gt;=100000), " ",IF(INDEX($AM$2:$BM$1001,MATCH(ROWS($AF$2:AF265),$AF$2:$AF$1001,0),MATCH(COLUMNS($AM$1006:AQ1006),$AM$1006:$BM$1006,0)), HYPERLINK("#",""), HYPERLINK(CONCATENATE("#metadata!", ADDRESS(INDEX($AH$2:$AH$1001,MATCH(ROWS($AF$2:AF265),$AF$2:$AF$1001,0),0), INDEX($AM$1004:$BM$1004,1,MATCH(COLUMNS($AM$1006:AQ1006),$AM$1006:$BM$1006,0)))),"Fix")))</f>
        <v xml:space="preserve"> </v>
      </c>
      <c r="G265" s="4" t="str">
        <f ca="1">IF(OR(INDEX($AG$2:$AG$1001,MATCH(ROWS($AF$2:AF265),$AF$2:$AF$1001,0),1)&gt;=100000,INDEX($AM$1005:$BM$1005,1,MATCH(COLUMNS($AM$1006:AR1006),$AM$1006:$BM$1006,0))&gt;=100000), " ",IF(INDEX($AM$2:$BM$1001,MATCH(ROWS($AF$2:AF265),$AF$2:$AF$1001,0),MATCH(COLUMNS($AM$1006:AR1006),$AM$1006:$BM$1006,0)), HYPERLINK("#",""), HYPERLINK(CONCATENATE("#metadata!", ADDRESS(INDEX($AH$2:$AH$1001,MATCH(ROWS($AF$2:AF265),$AF$2:$AF$1001,0),0), INDEX($AM$1004:$BM$1004,1,MATCH(COLUMNS($AM$1006:AR1006),$AM$1006:$BM$1006,0)))),"Fix")))</f>
        <v xml:space="preserve"> </v>
      </c>
      <c r="H265" s="4" t="str">
        <f ca="1">IF(OR(INDEX($AG$2:$AG$1001,MATCH(ROWS($AF$2:AF265),$AF$2:$AF$1001,0),1)&gt;=100000,INDEX($AM$1005:$BM$1005,1,MATCH(COLUMNS($AM$1006:AS1006),$AM$1006:$BM$1006,0))&gt;=100000), " ",IF(INDEX($AM$2:$BM$1001,MATCH(ROWS($AF$2:AF265),$AF$2:$AF$1001,0),MATCH(COLUMNS($AM$1006:AS1006),$AM$1006:$BM$1006,0)), HYPERLINK("#",""), HYPERLINK(CONCATENATE("#metadata!", ADDRESS(INDEX($AH$2:$AH$1001,MATCH(ROWS($AF$2:AF265),$AF$2:$AF$1001,0),0), INDEX($AM$1004:$BM$1004,1,MATCH(COLUMNS($AM$1006:AS1006),$AM$1006:$BM$1006,0)))),"Fix")))</f>
        <v xml:space="preserve"> </v>
      </c>
      <c r="I265" s="4" t="str">
        <f ca="1">IF(OR(INDEX($AG$2:$AG$1001,MATCH(ROWS($AF$2:AF265),$AF$2:$AF$1001,0),1)&gt;=100000,INDEX($AM$1005:$BM$1005,1,MATCH(COLUMNS($AM$1006:AT1006),$AM$1006:$BM$1006,0))&gt;=100000), " ",IF(INDEX($AM$2:$BM$1001,MATCH(ROWS($AF$2:AF265),$AF$2:$AF$1001,0),MATCH(COLUMNS($AM$1006:AT1006),$AM$1006:$BM$1006,0)), HYPERLINK("#",""), HYPERLINK(CONCATENATE("#metadata!", ADDRESS(INDEX($AH$2:$AH$1001,MATCH(ROWS($AF$2:AF265),$AF$2:$AF$1001,0),0), INDEX($AM$1004:$BM$1004,1,MATCH(COLUMNS($AM$1006:AT1006),$AM$1006:$BM$1006,0)))),"Fix")))</f>
        <v xml:space="preserve"> </v>
      </c>
      <c r="J265" s="4" t="str">
        <f ca="1">IF(OR(INDEX($AG$2:$AG$1001,MATCH(ROWS($AF$2:AF265),$AF$2:$AF$1001,0),1)&gt;=100000,INDEX($AM$1005:$BM$1005,1,MATCH(COLUMNS($AM$1006:AU1006),$AM$1006:$BM$1006,0))&gt;=100000), " ",IF(INDEX($AM$2:$BM$1001,MATCH(ROWS($AF$2:AF265),$AF$2:$AF$1001,0),MATCH(COLUMNS($AM$1006:AU1006),$AM$1006:$BM$1006,0)), HYPERLINK("#",""), HYPERLINK(CONCATENATE("#metadata!", ADDRESS(INDEX($AH$2:$AH$1001,MATCH(ROWS($AF$2:AF265),$AF$2:$AF$1001,0),0), INDEX($AM$1004:$BM$1004,1,MATCH(COLUMNS($AM$1006:AU1006),$AM$1006:$BM$1006,0)))),"Fix")))</f>
        <v xml:space="preserve"> </v>
      </c>
      <c r="K265" s="4" t="str">
        <f ca="1">IF(OR(INDEX($AG$2:$AG$1001,MATCH(ROWS($AF$2:AF265),$AF$2:$AF$1001,0),1)&gt;=100000,INDEX($AM$1005:$BM$1005,1,MATCH(COLUMNS($AM$1006:AV1006),$AM$1006:$BM$1006,0))&gt;=100000), " ",IF(INDEX($AM$2:$BM$1001,MATCH(ROWS($AF$2:AF265),$AF$2:$AF$1001,0),MATCH(COLUMNS($AM$1006:AV1006),$AM$1006:$BM$1006,0)), HYPERLINK("#",""), HYPERLINK(CONCATENATE("#metadata!", ADDRESS(INDEX($AH$2:$AH$1001,MATCH(ROWS($AF$2:AF265),$AF$2:$AF$1001,0),0), INDEX($AM$1004:$BM$1004,1,MATCH(COLUMNS($AM$1006:AV1006),$AM$1006:$BM$1006,0)))),"Fix")))</f>
        <v xml:space="preserve"> </v>
      </c>
      <c r="L265" s="4" t="str">
        <f ca="1">IF(OR(INDEX($AG$2:$AG$1001,MATCH(ROWS($AF$2:AF265),$AF$2:$AF$1001,0),1)&gt;=100000,INDEX($AM$1005:$BM$1005,1,MATCH(COLUMNS($AM$1006:AW1006),$AM$1006:$BM$1006,0))&gt;=100000), " ",IF(INDEX($AM$2:$BM$1001,MATCH(ROWS($AF$2:AF265),$AF$2:$AF$1001,0),MATCH(COLUMNS($AM$1006:AW1006),$AM$1006:$BM$1006,0)), HYPERLINK("#",""), HYPERLINK(CONCATENATE("#metadata!", ADDRESS(INDEX($AH$2:$AH$1001,MATCH(ROWS($AF$2:AF265),$AF$2:$AF$1001,0),0), INDEX($AM$1004:$BM$1004,1,MATCH(COLUMNS($AM$1006:AW1006),$AM$1006:$BM$1006,0)))),"Fix")))</f>
        <v xml:space="preserve"> </v>
      </c>
      <c r="M265" s="4" t="str">
        <f ca="1">IF(OR(INDEX($AG$2:$AG$1001,MATCH(ROWS($AF$2:AF265),$AF$2:$AF$1001,0),1)&gt;=100000,INDEX($AM$1005:$BM$1005,1,MATCH(COLUMNS($AM$1006:AX1006),$AM$1006:$BM$1006,0))&gt;=100000), " ",IF(INDEX($AM$2:$BM$1001,MATCH(ROWS($AF$2:AF265),$AF$2:$AF$1001,0),MATCH(COLUMNS($AM$1006:AX1006),$AM$1006:$BM$1006,0)), HYPERLINK("#",""), HYPERLINK(CONCATENATE("#metadata!", ADDRESS(INDEX($AH$2:$AH$1001,MATCH(ROWS($AF$2:AF265),$AF$2:$AF$1001,0),0), INDEX($AM$1004:$BM$1004,1,MATCH(COLUMNS($AM$1006:AX1006),$AM$1006:$BM$1006,0)))),"Fix")))</f>
        <v xml:space="preserve"> </v>
      </c>
      <c r="N265" s="4" t="str">
        <f ca="1">IF(OR(INDEX($AG$2:$AG$1001,MATCH(ROWS($AF$2:AF265),$AF$2:$AF$1001,0),1)&gt;=100000,INDEX($AM$1005:$BM$1005,1,MATCH(COLUMNS($AM$1006:AY1006),$AM$1006:$BM$1006,0))&gt;=100000), " ",IF(INDEX($AM$2:$BM$1001,MATCH(ROWS($AF$2:AF265),$AF$2:$AF$1001,0),MATCH(COLUMNS($AM$1006:AY1006),$AM$1006:$BM$1006,0)), HYPERLINK("#",""), HYPERLINK(CONCATENATE("#metadata!", ADDRESS(INDEX($AH$2:$AH$1001,MATCH(ROWS($AF$2:AF265),$AF$2:$AF$1001,0),0), INDEX($AM$1004:$BM$1004,1,MATCH(COLUMNS($AM$1006:AY1006),$AM$1006:$BM$1006,0)))),"Fix")))</f>
        <v xml:space="preserve"> </v>
      </c>
      <c r="O265" s="4" t="str">
        <f ca="1">IF(OR(INDEX($AG$2:$AG$1001,MATCH(ROWS($AF$2:AF265),$AF$2:$AF$1001,0),1)&gt;=100000,INDEX($AM$1005:$BM$1005,1,MATCH(COLUMNS($AM$1006:AZ1006),$AM$1006:$BM$1006,0))&gt;=100000), " ",IF(INDEX($AM$2:$BM$1001,MATCH(ROWS($AF$2:AF265),$AF$2:$AF$1001,0),MATCH(COLUMNS($AM$1006:AZ1006),$AM$1006:$BM$1006,0)), HYPERLINK("#",""), HYPERLINK(CONCATENATE("#metadata!", ADDRESS(INDEX($AH$2:$AH$1001,MATCH(ROWS($AF$2:AF265),$AF$2:$AF$1001,0),0), INDEX($AM$1004:$BM$1004,1,MATCH(COLUMNS($AM$1006:AZ1006),$AM$1006:$BM$1006,0)))),"Fix")))</f>
        <v xml:space="preserve"> </v>
      </c>
      <c r="P265" s="4" t="str">
        <f ca="1">IF(OR(INDEX($AG$2:$AG$1001,MATCH(ROWS($AF$2:AF265),$AF$2:$AF$1001,0),1)&gt;=100000,INDEX($AM$1005:$BM$1005,1,MATCH(COLUMNS($AM$1006:BA1006),$AM$1006:$BM$1006,0))&gt;=100000), " ",IF(INDEX($AM$2:$BM$1001,MATCH(ROWS($AF$2:AF265),$AF$2:$AF$1001,0),MATCH(COLUMNS($AM$1006:BA1006),$AM$1006:$BM$1006,0)), HYPERLINK("#",""), HYPERLINK(CONCATENATE("#metadata!", ADDRESS(INDEX($AH$2:$AH$1001,MATCH(ROWS($AF$2:AF265),$AF$2:$AF$1001,0),0), INDEX($AM$1004:$BM$1004,1,MATCH(COLUMNS($AM$1006:BA1006),$AM$1006:$BM$1006,0)))),"Fix")))</f>
        <v xml:space="preserve"> </v>
      </c>
      <c r="Q265" s="4" t="str">
        <f ca="1">IF(OR(INDEX($AG$2:$AG$1001,MATCH(ROWS($AF$2:AF265),$AF$2:$AF$1001,0),1)&gt;=100000,INDEX($AM$1005:$BM$1005,1,MATCH(COLUMNS($AM$1006:BB1006),$AM$1006:$BM$1006,0))&gt;=100000), " ",IF(INDEX($AM$2:$BM$1001,MATCH(ROWS($AF$2:AF265),$AF$2:$AF$1001,0),MATCH(COLUMNS($AM$1006:BB1006),$AM$1006:$BM$1006,0)), HYPERLINK("#",""), HYPERLINK(CONCATENATE("#metadata!", ADDRESS(INDEX($AH$2:$AH$1001,MATCH(ROWS($AF$2:AF265),$AF$2:$AF$1001,0),0), INDEX($AM$1004:$BM$1004,1,MATCH(COLUMNS($AM$1006:BB1006),$AM$1006:$BM$1006,0)))),"Fix")))</f>
        <v xml:space="preserve"> </v>
      </c>
      <c r="R265" s="4" t="str">
        <f ca="1">IF(OR(INDEX($AG$2:$AG$1001,MATCH(ROWS($AF$2:AF265),$AF$2:$AF$1001,0),1)&gt;=100000,INDEX($AM$1005:$BM$1005,1,MATCH(COLUMNS($AM$1006:BC1006),$AM$1006:$BM$1006,0))&gt;=100000), " ",IF(INDEX($AM$2:$BM$1001,MATCH(ROWS($AF$2:AF265),$AF$2:$AF$1001,0),MATCH(COLUMNS($AM$1006:BC1006),$AM$1006:$BM$1006,0)), HYPERLINK("#",""), HYPERLINK(CONCATENATE("#metadata!", ADDRESS(INDEX($AH$2:$AH$1001,MATCH(ROWS($AF$2:AF265),$AF$2:$AF$1001,0),0), INDEX($AM$1004:$BM$1004,1,MATCH(COLUMNS($AM$1006:BC1006),$AM$1006:$BM$1006,0)))),"Fix")))</f>
        <v xml:space="preserve"> </v>
      </c>
      <c r="S265" s="4" t="str">
        <f ca="1">IF(OR(INDEX($AG$2:$AG$1001,MATCH(ROWS($AF$2:AF265),$AF$2:$AF$1001,0),1)&gt;=100000,INDEX($AM$1005:$BM$1005,1,MATCH(COLUMNS($AM$1006:BD1006),$AM$1006:$BM$1006,0))&gt;=100000), " ",IF(INDEX($AM$2:$BM$1001,MATCH(ROWS($AF$2:AF265),$AF$2:$AF$1001,0),MATCH(COLUMNS($AM$1006:BD1006),$AM$1006:$BM$1006,0)), HYPERLINK("#",""), HYPERLINK(CONCATENATE("#metadata!", ADDRESS(INDEX($AH$2:$AH$1001,MATCH(ROWS($AF$2:AF265),$AF$2:$AF$1001,0),0), INDEX($AM$1004:$BM$1004,1,MATCH(COLUMNS($AM$1006:BD1006),$AM$1006:$BM$1006,0)))),"Fix")))</f>
        <v xml:space="preserve"> </v>
      </c>
      <c r="T265" s="4" t="str">
        <f ca="1">IF(OR(INDEX($AG$2:$AG$1001,MATCH(ROWS($AF$2:AF265),$AF$2:$AF$1001,0),1)&gt;=100000,INDEX($AM$1005:$BM$1005,1,MATCH(COLUMNS($AM$1006:BE1006),$AM$1006:$BM$1006,0))&gt;=100000), " ",IF(INDEX($AM$2:$BM$1001,MATCH(ROWS($AF$2:AF265),$AF$2:$AF$1001,0),MATCH(COLUMNS($AM$1006:BE1006),$AM$1006:$BM$1006,0)), HYPERLINK("#",""), HYPERLINK(CONCATENATE("#metadata!", ADDRESS(INDEX($AH$2:$AH$1001,MATCH(ROWS($AF$2:AF265),$AF$2:$AF$1001,0),0), INDEX($AM$1004:$BM$1004,1,MATCH(COLUMNS($AM$1006:BE1006),$AM$1006:$BM$1006,0)))),"Fix")))</f>
        <v xml:space="preserve"> </v>
      </c>
      <c r="U265" s="4" t="str">
        <f ca="1">IF(OR(INDEX($AG$2:$AG$1001,MATCH(ROWS($AF$2:AF265),$AF$2:$AF$1001,0),1)&gt;=100000,INDEX($AM$1005:$BM$1005,1,MATCH(COLUMNS($AM$1006:BF1006),$AM$1006:$BM$1006,0))&gt;=100000), " ",IF(INDEX($AM$2:$BM$1001,MATCH(ROWS($AF$2:AF265),$AF$2:$AF$1001,0),MATCH(COLUMNS($AM$1006:BF1006),$AM$1006:$BM$1006,0)), HYPERLINK("#",""), HYPERLINK(CONCATENATE("#metadata!", ADDRESS(INDEX($AH$2:$AH$1001,MATCH(ROWS($AF$2:AF265),$AF$2:$AF$1001,0),0), INDEX($AM$1004:$BM$1004,1,MATCH(COLUMNS($AM$1006:BF1006),$AM$1006:$BM$1006,0)))),"Fix")))</f>
        <v xml:space="preserve"> </v>
      </c>
      <c r="V265" s="4" t="str">
        <f ca="1">IF(OR(INDEX($AG$2:$AG$1001,MATCH(ROWS($AF$2:AF265),$AF$2:$AF$1001,0),1)&gt;=100000,INDEX($AM$1005:$BM$1005,1,MATCH(COLUMNS($AM$1006:BG1006),$AM$1006:$BM$1006,0))&gt;=100000), " ",IF(INDEX($AM$2:$BM$1001,MATCH(ROWS($AF$2:AF265),$AF$2:$AF$1001,0),MATCH(COLUMNS($AM$1006:BG1006),$AM$1006:$BM$1006,0)), HYPERLINK("#",""), HYPERLINK(CONCATENATE("#metadata!", ADDRESS(INDEX($AH$2:$AH$1001,MATCH(ROWS($AF$2:AF265),$AF$2:$AF$1001,0),0), INDEX($AM$1004:$BM$1004,1,MATCH(COLUMNS($AM$1006:BG1006),$AM$1006:$BM$1006,0)))),"Fix")))</f>
        <v xml:space="preserve"> </v>
      </c>
      <c r="W265" s="4" t="str">
        <f ca="1">IF(OR(INDEX($AG$2:$AG$1001,MATCH(ROWS($AF$2:AF265),$AF$2:$AF$1001,0),1)&gt;=100000,INDEX($AM$1005:$BM$1005,1,MATCH(COLUMNS($AM$1006:BH1006),$AM$1006:$BM$1006,0))&gt;=100000), " ",IF(INDEX($AM$2:$BM$1001,MATCH(ROWS($AF$2:AF265),$AF$2:$AF$1001,0),MATCH(COLUMNS($AM$1006:BH1006),$AM$1006:$BM$1006,0)), HYPERLINK("#",""), HYPERLINK(CONCATENATE("#metadata!", ADDRESS(INDEX($AH$2:$AH$1001,MATCH(ROWS($AF$2:AF265),$AF$2:$AF$1001,0),0), INDEX($AM$1004:$BM$1004,1,MATCH(COLUMNS($AM$1006:BH1006),$AM$1006:$BM$1006,0)))),"Fix")))</f>
        <v xml:space="preserve"> </v>
      </c>
      <c r="X265" s="4" t="str">
        <f ca="1">IF(OR(INDEX($AG$2:$AG$1001,MATCH(ROWS($AF$2:AF265),$AF$2:$AF$1001,0),1)&gt;=100000,INDEX($AM$1005:$BM$1005,1,MATCH(COLUMNS($AM$1006:BI1006),$AM$1006:$BM$1006,0))&gt;=100000), " ",IF(INDEX($AM$2:$BM$1001,MATCH(ROWS($AF$2:AF265),$AF$2:$AF$1001,0),MATCH(COLUMNS($AM$1006:BI1006),$AM$1006:$BM$1006,0)), HYPERLINK("#",""), HYPERLINK(CONCATENATE("#metadata!", ADDRESS(INDEX($AH$2:$AH$1001,MATCH(ROWS($AF$2:AF265),$AF$2:$AF$1001,0),0), INDEX($AM$1004:$BM$1004,1,MATCH(COLUMNS($AM$1006:BI1006),$AM$1006:$BM$1006,0)))),"Fix")))</f>
        <v xml:space="preserve"> </v>
      </c>
      <c r="Y265" s="4" t="str">
        <f ca="1">IF(OR(INDEX($AG$2:$AG$1001,MATCH(ROWS($AF$2:AF265),$AF$2:$AF$1001,0),1)&gt;=100000,INDEX($AM$1005:$BM$1005,1,MATCH(COLUMNS($AM$1006:BJ1006),$AM$1006:$BM$1006,0))&gt;=100000), " ",IF(INDEX($AM$2:$BM$1001,MATCH(ROWS($AF$2:AF265),$AF$2:$AF$1001,0),MATCH(COLUMNS($AM$1006:BJ1006),$AM$1006:$BM$1006,0)), HYPERLINK("#",""), HYPERLINK(CONCATENATE("#metadata!", ADDRESS(INDEX($AH$2:$AH$1001,MATCH(ROWS($AF$2:AF265),$AF$2:$AF$1001,0),0), INDEX($AM$1004:$BM$1004,1,MATCH(COLUMNS($AM$1006:BJ1006),$AM$1006:$BM$1006,0)))),"Fix")))</f>
        <v xml:space="preserve"> </v>
      </c>
      <c r="Z265" s="4" t="str">
        <f ca="1">IF(OR(INDEX($AG$2:$AG$1001,MATCH(ROWS($AF$2:AF265),$AF$2:$AF$1001,0),1)&gt;=100000,INDEX($AM$1005:$BM$1005,1,MATCH(COLUMNS($AM$1006:BK1006),$AM$1006:$BM$1006,0))&gt;=100000), " ",IF(INDEX($AM$2:$BM$1001,MATCH(ROWS($AF$2:AF265),$AF$2:$AF$1001,0),MATCH(COLUMNS($AM$1006:BK1006),$AM$1006:$BM$1006,0)), HYPERLINK("#",""), HYPERLINK(CONCATENATE("#metadata!", ADDRESS(INDEX($AH$2:$AH$1001,MATCH(ROWS($AF$2:AF265),$AF$2:$AF$1001,0),0), INDEX($AM$1004:$BM$1004,1,MATCH(COLUMNS($AM$1006:BK1006),$AM$1006:$BM$1006,0)))),"Fix")))</f>
        <v xml:space="preserve"> </v>
      </c>
      <c r="AA265" s="4" t="str">
        <f ca="1">IF(OR(INDEX($AG$2:$AG$1001,MATCH(ROWS($AF$2:AF265),$AF$2:$AF$1001,0),1)&gt;=100000,INDEX($AM$1005:$BM$1005,1,MATCH(COLUMNS($AM$1006:BL1006),$AM$1006:$BM$1006,0))&gt;=100000), " ",IF(INDEX($AM$2:$BM$1001,MATCH(ROWS($AF$2:AF265),$AF$2:$AF$1001,0),MATCH(COLUMNS($AM$1006:BL1006),$AM$1006:$BM$1006,0)), HYPERLINK("#",""), HYPERLINK(CONCATENATE("#metadata!", ADDRESS(INDEX($AH$2:$AH$1001,MATCH(ROWS($AF$2:AF265),$AF$2:$AF$1001,0),0), INDEX($AM$1004:$BM$1004,1,MATCH(COLUMNS($AM$1006:BL1006),$AM$1006:$BM$1006,0)))),"Fix")))</f>
        <v xml:space="preserve"> </v>
      </c>
      <c r="AB265" s="4" t="str">
        <f ca="1">IF(OR(INDEX($AG$2:$AG$1001,MATCH(ROWS($AF$2:AF265),$AF$2:$AF$1001,0),1)&gt;=100000,INDEX($AM$1005:$BM$1005,1,MATCH(COLUMNS($AM$1006:BM1006),$AM$1006:$BM$1006,0))&gt;=100000), " ",IF(INDEX($AM$2:$BM$1001,MATCH(ROWS($AF$2:AF265),$AF$2:$AF$1001,0),MATCH(COLUMNS($AM$1006:BM1006),$AM$1006:$BM$1006,0)), HYPERLINK("#",""), HYPERLINK(CONCATENATE("#metadata!", ADDRESS(INDEX($AH$2:$AH$1001,MATCH(ROWS($AF$2:AF265),$AF$2:$AF$1001,0),0), INDEX($AM$1004:$BM$1004,1,MATCH(COLUMNS($AM$1006:BM1006),$AM$1006:$BM$1006,0)))),"Fix")))</f>
        <v xml:space="preserve"> </v>
      </c>
      <c r="AF265">
        <v>264</v>
      </c>
      <c r="AG265">
        <v>100265</v>
      </c>
      <c r="AH265">
        <v>265</v>
      </c>
      <c r="AI265" t="b">
        <f t="shared" si="4"/>
        <v>1</v>
      </c>
      <c r="AJ265" t="b">
        <f>COUNTBLANK(metadata!B265:AB265)=COLUMNS(metadata!B265:AB265)</f>
        <v>1</v>
      </c>
      <c r="AK265" t="str">
        <v/>
      </c>
      <c r="AM265" t="b">
        <f ca="1">AND(IF(metadata!B265="",FALSE,TRUE),COUNTIF(metadata!B:B, metadata!B265) = 1,NOT(ISERROR(SUMPRODUCT(SEARCH(MID(metadata!B265,ROW(INDIRECT("1:"&amp;LEN(metadata!B265))), 1),"0123456789abcdefghijklmnopqrstuvwxyzABCDEFGHIJKLMNOPQRSTUVWXYZ.")))))</f>
        <v>0</v>
      </c>
      <c r="AN265" t="b">
        <f ca="1">OR(AND(IF(metadata!C265="",FALSE,TRUE),OR(EXACT(metadata!C265,"missing: not collected"),EXACT(metadata!C265,"missing: not provided"),EXACT(metadata!C265,"missing: restricted access"))),AND(IF(metadata!C265="",FALSE,TRUE),AND(AND(IFERROR(INT(LEFT(metadata!C265,4))&gt;1900,FALSE),IFERROR(INT(LEFT(metadata!C265,4))&lt;=YEAR(NOW()),FALSE)), OR(MID(metadata!C265,5,1)="", AND(AND(MID(metadata!C265,5,1)="-",IFERROR(INT(MID(metadata!C265,6,1))&gt;=0,FALSE),IFERROR(INT(MID(metadata!C265,6,1))&lt;=1,FALSE),NOT(MID(metadata!C265,7,1)=""),IFERROR(INT(MID(metadata!C265,6,2))&gt;=1,FALSE),IFERROR(INT(MID(metadata!C265,6,2))&lt;=12,FALSE)), OR(MID(metadata!C265,8,1)="", AND(AND(MID(metadata!C265,8,1)="-",IFERROR(INT(MID(metadata!C265,9,1))&gt;=0,FALSE),IFERROR(INT(MID(metadata!C265,9,1))&lt;=3,FALSE),NOT(MID(metadata!C265,10,1)=""),IFERROR(INT(MID(metadata!C265,9,2))&gt;=1,FALSE),IFERROR(INT(MID(metadata!C265,9,2))&lt;=31,FALSE)), OR(MID(metadata!C265,11,1)="", AND(AND(MID(metadata!C265,11,1)=" ",IFERROR(INT(MID(metadata!C265,12,1))&gt;=0,FALSE),IFERROR(INT(MID(metadata!C265,12,1))&lt;=2,FALSE),NOT(MID(metadata!C265,13,1)=""),IFERROR(INT(MID(metadata!C265,12,2))&gt;=0,FALSE),IFERROR(INT(MID(metadata!C265,12,2))&lt;=23,FALSE)), OR(MID(metadata!C265,14,1)="", AND(AND(MID(metadata!C265,14,1)=":",IFERROR(INT(MID(metadata!C265,15,1))&gt;=0,FALSE),IFERROR(INT(MID(metadata!C265,15,1))&lt;=5,FALSE),NOT(MID(metadata!C265,16,1)=""),IFERROR(INT(MID(metadata!C265,15,2))&gt;=0,FALSE),IFERROR(INT(MID(metadata!C265,15,2))&lt;=59,FALSE)), OR(MID(metadata!C265,17,1)="", AND(AND(MID(metadata!C265,17,1)=":",IFERROR(INT(MID(metadata!C265,18,1))&gt;=0,FALSE),IFERROR(INT(MID(metadata!C265,18,1))&lt;=5,FALSE),NOT(MID(metadata!C265,19,1)=""),IFERROR(INT(MID(metadata!C265,18,2))&gt;=0,FALSE),IFERROR(INT(MID(metadata!C265,18,2))&lt;=59,FALSE)), LEN(metadata!C265)&lt;=19)))))))))))))</f>
        <v>0</v>
      </c>
      <c r="AO265" t="b">
        <f>AND(IF(metadata!D265="",FALSE,TRUE),EXACT(metadata!D265,"Not applicable"))</f>
        <v>0</v>
      </c>
      <c r="AP265" t="b">
        <f>IF(metadata!E265="",FALSE,TRUE)</f>
        <v>0</v>
      </c>
      <c r="AQ265" t="b">
        <f>OR(AND(IF(metadata!F265="",FALSE,TRUE),OR(EXACT(metadata!F265,"missing: not collected"),EXACT(metadata!F265,"missing: not provided"))),AND(IF(metadata!F265="",FALSE,TRUE),OR(EXACT(metadata!F265,"TRUE"),EXACT(metadata!F265,"FALSE"))))</f>
        <v>0</v>
      </c>
      <c r="AR265" t="b">
        <f>OR(AND(IF(metadata!G265="",FALSE,TRUE),OR(EXACT(metadata!G265,"missing: not collected"),EXACT(metadata!G265,"missing: not provided"),EXACT(metadata!G265,"missing: restricted access"))),AND(IF(metadata!G265="",FALSE,ISNUMBER(VALUE(metadata!G265))),metadata!G265&gt;=-413))</f>
        <v>0</v>
      </c>
      <c r="AS265" t="b">
        <f>AND(IF(metadata!H265="",FALSE,TRUE),EXACT(metadata!H265,"meters"))</f>
        <v>0</v>
      </c>
      <c r="AT265" t="b">
        <f>AND(IF(metadata!I265="",FALSE,TRUE),OR(EXACT(metadata!I265,"Host-associated"),EXACT(metadata!I265,"Free-living")))</f>
        <v>0</v>
      </c>
      <c r="AU265" t="b">
        <f>AND(IF(metadata!J265="",FALSE,TRUE),OR(EXACT(metadata!J265,"Animal"),EXACT(metadata!J265,"Fungus"),EXACT(metadata!J265,"Plant"),EXACT(metadata!J265,"Saline"),EXACT(metadata!J265,"Non-saline")))</f>
        <v>0</v>
      </c>
      <c r="AV265" t="b">
        <f>AND(IF(metadata!K265="",FALSE,TRUE),OR(EXACT(metadata!K265,"Plant secretion"),EXACT(metadata!K265,"Plant rhizosphere"),EXACT(metadata!K265,"Plant surface"),EXACT(metadata!K265,"Plant corpus"),EXACT(metadata!K265,"Fungus surface"),EXACT(metadata!K265,"Fungus corpus"),EXACT(metadata!K265,"Animal surface"),EXACT(metadata!K265,"Animal proximal gut"),EXACT(metadata!K265,"Animal corpus"),EXACT(metadata!K265,"Animal distal gut"),EXACT(metadata!K265,"Animal secretion"),EXACT(metadata!K265,"Sub-surface (non-saline)"),EXACT(metadata!K265,"Surface (non-saline)"),EXACT(metadata!K265,"Water (non-saline)"),EXACT(metadata!K265,"Soil (non-saline)"),EXACT(metadata!K265,"Aerosol (non-saline)"),EXACT(metadata!K265,"Sediment (non-saline)"),EXACT(metadata!K265,"Surface (saline)"),EXACT(metadata!K265,"Water (saline)"),EXACT(metadata!K265,"Hypersaline (saline)"),EXACT(metadata!K265,"Aerosol (saline)"),EXACT(metadata!K265,"Sediment (saline)")))</f>
        <v>0</v>
      </c>
      <c r="AW265" t="b">
        <f>IF(metadata!L265="",FALSE,TRUE)</f>
        <v>0</v>
      </c>
      <c r="AX265" t="b">
        <f>IF(metadata!M265="",FALSE,TRUE)</f>
        <v>0</v>
      </c>
      <c r="AY265" t="b">
        <f>IF(metadata!N265="",FALSE,TRUE)</f>
        <v>0</v>
      </c>
      <c r="AZ265" t="b">
        <f>OR(AND(IF(metadata!O265="",FALSE,TRUE),OR(EXACT(metadata!O265,"missing: not collected"),EXACT(metadata!O265,"missing: not provided"),EXACT(metadata!O265,"missing: restricted access"))),AND(IF(metadata!O265="",FALSE,TRUE),OR(EXACT(metadata!O265,"air"),EXACT(metadata!O265,"built environment"),EXACT(metadata!O265,"host-associated"),EXACT(metadata!O265,"human-associated"),EXACT(metadata!O265,"human-skin"),EXACT(metadata!O265,"human-oral"),EXACT(metadata!O265,"human-gut"),EXACT(metadata!O265,"human-vaginal"),EXACT(metadata!O265,"microbial mat/biofilm"),EXACT(metadata!O265,"misc environment"),EXACT(metadata!O265,"plant-associated"),EXACT(metadata!O265,"sediment"),EXACT(metadata!O265,"soil"),EXACT(metadata!O265,"wastewater/sludge"),EXACT(metadata!O265,"water"))))</f>
        <v>0</v>
      </c>
      <c r="BA265" t="b">
        <f>IF(metadata!P265="",FALSE,TRUE)</f>
        <v>0</v>
      </c>
      <c r="BB265" t="b">
        <f>IF(metadata!Q265="",FALSE,TRUE)</f>
        <v>0</v>
      </c>
      <c r="BC265" t="b">
        <f>OR(AND(IF(metadata!R265="",FALSE,TRUE),OR(EXACT(metadata!R265,"missing: not collected"),EXACT(metadata!R265,"missing: not provided"),EXACT(metadata!R265,"missing: restricted access"))),AND(IF(metadata!R265="",FALSE,ISNUMBER(VALUE(metadata!R265))),metadata!R265&gt;=-90,metadata!R265&lt;=90))</f>
        <v>0</v>
      </c>
      <c r="BD265" t="b">
        <f>AND(IF(metadata!S265="",FALSE,TRUE),EXACT(metadata!S265,"Decimal degrees"))</f>
        <v>0</v>
      </c>
      <c r="BE265" t="b">
        <f>OR(AND(IF(metadata!T265="",FALSE,TRUE),OR(EXACT(metadata!T265,"missing: not collected"),EXACT(metadata!T265,"missing: not provided"),EXACT(metadata!T265,"missing: restricted access"))),AND(IF(metadata!T265="",FALSE,ISNUMBER(VALUE(metadata!T265))),metadata!T265&gt;=-180,metadata!T265&lt;=180))</f>
        <v>0</v>
      </c>
      <c r="BF265" t="b">
        <f>AND(IF(metadata!U265="",FALSE,TRUE),EXACT(metadata!U265,"Decimal degrees"))</f>
        <v>0</v>
      </c>
      <c r="BG265" t="b">
        <f>IF(metadata!V265="",FALSE,TRUE)</f>
        <v>0</v>
      </c>
      <c r="BH265" t="b">
        <f>OR(AND(IF(metadata!W265="",FALSE,TRUE),OR(EXACT(metadata!W265,"missing: not collected"),EXACT(metadata!W265,"missing: not provided"),EXACT(metadata!W265,"missing: restricted access"))),AND(IF(metadata!W265="",FALSE,TRUE),OR(EXACT(metadata!W265,"TRUE"),EXACT(metadata!W265,"FALSE"))))</f>
        <v>0</v>
      </c>
      <c r="BI265" t="b">
        <f>AND(IF(metadata!X265="",FALSE,TRUE),EXACT(metadata!X265,"other"))</f>
        <v>0</v>
      </c>
      <c r="BJ265" t="b">
        <f>IF(metadata!Y265="",FALSE,TRUE)</f>
        <v>0</v>
      </c>
      <c r="BK265" t="b">
        <f>OR(AND(IF(metadata!Z265="",FALSE,TRUE),OR(EXACT(metadata!Z265,"missing: not collected"),EXACT(metadata!Z265,"missing: not provided"))),AND(IF(metadata!Z265="",FALSE,IF(ISERROR(INT(metadata!Z265)),FALSE,INT(metadata!Z265)=metadata!Z265)),metadata!Z265&gt;0))</f>
        <v>0</v>
      </c>
      <c r="BL265" t="b">
        <f>AND(IF(metadata!AA265="",FALSE,TRUE),EXACT(metadata!AA265,"Not applicable"))</f>
        <v>0</v>
      </c>
      <c r="BM265" t="b">
        <f>IF(metadata!AB265="",FALSE,TRUE)</f>
        <v>0</v>
      </c>
    </row>
    <row r="266" spans="1:65" x14ac:dyDescent="0.2">
      <c r="A266" s="5" t="str">
        <f ca="1">IF(B266=" "," ",HYPERLINK(CONCATENATE("#metadata!",ADDRESS(INDEX($AH$2:$AH$1001,MATCH(ROWS($AF$2:AF266),$AF$2:$AF$1001,0),0),1)),INDEX($AK$2:$AK$1001,MATCH(ROWS($AF$2:AF266),$AF$2:$AF$1001,0),0)))</f>
        <v xml:space="preserve"> </v>
      </c>
      <c r="B266" s="4" t="str">
        <f ca="1">IF(OR(INDEX($AG$2:$AG$1001,MATCH(ROWS($AF$2:AF266),$AF$2:$AF$1001,0),1)&gt;=100000,INDEX($AM$1005:$BM$1005,1,MATCH(COLUMNS($AM$1006:AM1006),$AM$1006:$BM$1006,0))&gt;=100000), " ",IF(INDEX($AM$2:$BM$1001,MATCH(ROWS($AF$2:AF266),$AF$2:$AF$1001,0),MATCH(COLUMNS($AM$1006:AM1006),$AM$1006:$BM$1006,0)), HYPERLINK("#",""), HYPERLINK(CONCATENATE("#metadata!", ADDRESS(INDEX($AH$2:$AH$1001,MATCH(ROWS($AF$2:AF266),$AF$2:$AF$1001,0),0), INDEX($AM$1004:$BM$1004,1,MATCH(COLUMNS($AM$1006:AM1006),$AM$1006:$BM$1006,0)))),"Fix")))</f>
        <v xml:space="preserve"> </v>
      </c>
      <c r="C266" s="4" t="str">
        <f ca="1">IF(OR(INDEX($AG$2:$AG$1001,MATCH(ROWS($AF$2:AF266),$AF$2:$AF$1001,0),1)&gt;=100000,INDEX($AM$1005:$BM$1005,1,MATCH(COLUMNS($AM$1006:AN1006),$AM$1006:$BM$1006,0))&gt;=100000), " ",IF(INDEX($AM$2:$BM$1001,MATCH(ROWS($AF$2:AF266),$AF$2:$AF$1001,0),MATCH(COLUMNS($AM$1006:AN1006),$AM$1006:$BM$1006,0)), HYPERLINK("#",""), HYPERLINK(CONCATENATE("#metadata!", ADDRESS(INDEX($AH$2:$AH$1001,MATCH(ROWS($AF$2:AF266),$AF$2:$AF$1001,0),0), INDEX($AM$1004:$BM$1004,1,MATCH(COLUMNS($AM$1006:AN1006),$AM$1006:$BM$1006,0)))),"Fix")))</f>
        <v xml:space="preserve"> </v>
      </c>
      <c r="D266" s="4" t="str">
        <f ca="1">IF(OR(INDEX($AG$2:$AG$1001,MATCH(ROWS($AF$2:AF266),$AF$2:$AF$1001,0),1)&gt;=100000,INDEX($AM$1005:$BM$1005,1,MATCH(COLUMNS($AM$1006:AO1006),$AM$1006:$BM$1006,0))&gt;=100000), " ",IF(INDEX($AM$2:$BM$1001,MATCH(ROWS($AF$2:AF266),$AF$2:$AF$1001,0),MATCH(COLUMNS($AM$1006:AO1006),$AM$1006:$BM$1006,0)), HYPERLINK("#",""), HYPERLINK(CONCATENATE("#metadata!", ADDRESS(INDEX($AH$2:$AH$1001,MATCH(ROWS($AF$2:AF266),$AF$2:$AF$1001,0),0), INDEX($AM$1004:$BM$1004,1,MATCH(COLUMNS($AM$1006:AO1006),$AM$1006:$BM$1006,0)))),"Fix")))</f>
        <v xml:space="preserve"> </v>
      </c>
      <c r="E266" s="4" t="str">
        <f ca="1">IF(OR(INDEX($AG$2:$AG$1001,MATCH(ROWS($AF$2:AF266),$AF$2:$AF$1001,0),1)&gt;=100000,INDEX($AM$1005:$BM$1005,1,MATCH(COLUMNS($AM$1006:AP1006),$AM$1006:$BM$1006,0))&gt;=100000), " ",IF(INDEX($AM$2:$BM$1001,MATCH(ROWS($AF$2:AF266),$AF$2:$AF$1001,0),MATCH(COLUMNS($AM$1006:AP1006),$AM$1006:$BM$1006,0)), HYPERLINK("#",""), HYPERLINK(CONCATENATE("#metadata!", ADDRESS(INDEX($AH$2:$AH$1001,MATCH(ROWS($AF$2:AF266),$AF$2:$AF$1001,0),0), INDEX($AM$1004:$BM$1004,1,MATCH(COLUMNS($AM$1006:AP1006),$AM$1006:$BM$1006,0)))),"Fix")))</f>
        <v xml:space="preserve"> </v>
      </c>
      <c r="F266" s="4" t="str">
        <f ca="1">IF(OR(INDEX($AG$2:$AG$1001,MATCH(ROWS($AF$2:AF266),$AF$2:$AF$1001,0),1)&gt;=100000,INDEX($AM$1005:$BM$1005,1,MATCH(COLUMNS($AM$1006:AQ1006),$AM$1006:$BM$1006,0))&gt;=100000), " ",IF(INDEX($AM$2:$BM$1001,MATCH(ROWS($AF$2:AF266),$AF$2:$AF$1001,0),MATCH(COLUMNS($AM$1006:AQ1006),$AM$1006:$BM$1006,0)), HYPERLINK("#",""), HYPERLINK(CONCATENATE("#metadata!", ADDRESS(INDEX($AH$2:$AH$1001,MATCH(ROWS($AF$2:AF266),$AF$2:$AF$1001,0),0), INDEX($AM$1004:$BM$1004,1,MATCH(COLUMNS($AM$1006:AQ1006),$AM$1006:$BM$1006,0)))),"Fix")))</f>
        <v xml:space="preserve"> </v>
      </c>
      <c r="G266" s="4" t="str">
        <f ca="1">IF(OR(INDEX($AG$2:$AG$1001,MATCH(ROWS($AF$2:AF266),$AF$2:$AF$1001,0),1)&gt;=100000,INDEX($AM$1005:$BM$1005,1,MATCH(COLUMNS($AM$1006:AR1006),$AM$1006:$BM$1006,0))&gt;=100000), " ",IF(INDEX($AM$2:$BM$1001,MATCH(ROWS($AF$2:AF266),$AF$2:$AF$1001,0),MATCH(COLUMNS($AM$1006:AR1006),$AM$1006:$BM$1006,0)), HYPERLINK("#",""), HYPERLINK(CONCATENATE("#metadata!", ADDRESS(INDEX($AH$2:$AH$1001,MATCH(ROWS($AF$2:AF266),$AF$2:$AF$1001,0),0), INDEX($AM$1004:$BM$1004,1,MATCH(COLUMNS($AM$1006:AR1006),$AM$1006:$BM$1006,0)))),"Fix")))</f>
        <v xml:space="preserve"> </v>
      </c>
      <c r="H266" s="4" t="str">
        <f ca="1">IF(OR(INDEX($AG$2:$AG$1001,MATCH(ROWS($AF$2:AF266),$AF$2:$AF$1001,0),1)&gt;=100000,INDEX($AM$1005:$BM$1005,1,MATCH(COLUMNS($AM$1006:AS1006),$AM$1006:$BM$1006,0))&gt;=100000), " ",IF(INDEX($AM$2:$BM$1001,MATCH(ROWS($AF$2:AF266),$AF$2:$AF$1001,0),MATCH(COLUMNS($AM$1006:AS1006),$AM$1006:$BM$1006,0)), HYPERLINK("#",""), HYPERLINK(CONCATENATE("#metadata!", ADDRESS(INDEX($AH$2:$AH$1001,MATCH(ROWS($AF$2:AF266),$AF$2:$AF$1001,0),0), INDEX($AM$1004:$BM$1004,1,MATCH(COLUMNS($AM$1006:AS1006),$AM$1006:$BM$1006,0)))),"Fix")))</f>
        <v xml:space="preserve"> </v>
      </c>
      <c r="I266" s="4" t="str">
        <f ca="1">IF(OR(INDEX($AG$2:$AG$1001,MATCH(ROWS($AF$2:AF266),$AF$2:$AF$1001,0),1)&gt;=100000,INDEX($AM$1005:$BM$1005,1,MATCH(COLUMNS($AM$1006:AT1006),$AM$1006:$BM$1006,0))&gt;=100000), " ",IF(INDEX($AM$2:$BM$1001,MATCH(ROWS($AF$2:AF266),$AF$2:$AF$1001,0),MATCH(COLUMNS($AM$1006:AT1006),$AM$1006:$BM$1006,0)), HYPERLINK("#",""), HYPERLINK(CONCATENATE("#metadata!", ADDRESS(INDEX($AH$2:$AH$1001,MATCH(ROWS($AF$2:AF266),$AF$2:$AF$1001,0),0), INDEX($AM$1004:$BM$1004,1,MATCH(COLUMNS($AM$1006:AT1006),$AM$1006:$BM$1006,0)))),"Fix")))</f>
        <v xml:space="preserve"> </v>
      </c>
      <c r="J266" s="4" t="str">
        <f ca="1">IF(OR(INDEX($AG$2:$AG$1001,MATCH(ROWS($AF$2:AF266),$AF$2:$AF$1001,0),1)&gt;=100000,INDEX($AM$1005:$BM$1005,1,MATCH(COLUMNS($AM$1006:AU1006),$AM$1006:$BM$1006,0))&gt;=100000), " ",IF(INDEX($AM$2:$BM$1001,MATCH(ROWS($AF$2:AF266),$AF$2:$AF$1001,0),MATCH(COLUMNS($AM$1006:AU1006),$AM$1006:$BM$1006,0)), HYPERLINK("#",""), HYPERLINK(CONCATENATE("#metadata!", ADDRESS(INDEX($AH$2:$AH$1001,MATCH(ROWS($AF$2:AF266),$AF$2:$AF$1001,0),0), INDEX($AM$1004:$BM$1004,1,MATCH(COLUMNS($AM$1006:AU1006),$AM$1006:$BM$1006,0)))),"Fix")))</f>
        <v xml:space="preserve"> </v>
      </c>
      <c r="K266" s="4" t="str">
        <f ca="1">IF(OR(INDEX($AG$2:$AG$1001,MATCH(ROWS($AF$2:AF266),$AF$2:$AF$1001,0),1)&gt;=100000,INDEX($AM$1005:$BM$1005,1,MATCH(COLUMNS($AM$1006:AV1006),$AM$1006:$BM$1006,0))&gt;=100000), " ",IF(INDEX($AM$2:$BM$1001,MATCH(ROWS($AF$2:AF266),$AF$2:$AF$1001,0),MATCH(COLUMNS($AM$1006:AV1006),$AM$1006:$BM$1006,0)), HYPERLINK("#",""), HYPERLINK(CONCATENATE("#metadata!", ADDRESS(INDEX($AH$2:$AH$1001,MATCH(ROWS($AF$2:AF266),$AF$2:$AF$1001,0),0), INDEX($AM$1004:$BM$1004,1,MATCH(COLUMNS($AM$1006:AV1006),$AM$1006:$BM$1006,0)))),"Fix")))</f>
        <v xml:space="preserve"> </v>
      </c>
      <c r="L266" s="4" t="str">
        <f ca="1">IF(OR(INDEX($AG$2:$AG$1001,MATCH(ROWS($AF$2:AF266),$AF$2:$AF$1001,0),1)&gt;=100000,INDEX($AM$1005:$BM$1005,1,MATCH(COLUMNS($AM$1006:AW1006),$AM$1006:$BM$1006,0))&gt;=100000), " ",IF(INDEX($AM$2:$BM$1001,MATCH(ROWS($AF$2:AF266),$AF$2:$AF$1001,0),MATCH(COLUMNS($AM$1006:AW1006),$AM$1006:$BM$1006,0)), HYPERLINK("#",""), HYPERLINK(CONCATENATE("#metadata!", ADDRESS(INDEX($AH$2:$AH$1001,MATCH(ROWS($AF$2:AF266),$AF$2:$AF$1001,0),0), INDEX($AM$1004:$BM$1004,1,MATCH(COLUMNS($AM$1006:AW1006),$AM$1006:$BM$1006,0)))),"Fix")))</f>
        <v xml:space="preserve"> </v>
      </c>
      <c r="M266" s="4" t="str">
        <f ca="1">IF(OR(INDEX($AG$2:$AG$1001,MATCH(ROWS($AF$2:AF266),$AF$2:$AF$1001,0),1)&gt;=100000,INDEX($AM$1005:$BM$1005,1,MATCH(COLUMNS($AM$1006:AX1006),$AM$1006:$BM$1006,0))&gt;=100000), " ",IF(INDEX($AM$2:$BM$1001,MATCH(ROWS($AF$2:AF266),$AF$2:$AF$1001,0),MATCH(COLUMNS($AM$1006:AX1006),$AM$1006:$BM$1006,0)), HYPERLINK("#",""), HYPERLINK(CONCATENATE("#metadata!", ADDRESS(INDEX($AH$2:$AH$1001,MATCH(ROWS($AF$2:AF266),$AF$2:$AF$1001,0),0), INDEX($AM$1004:$BM$1004,1,MATCH(COLUMNS($AM$1006:AX1006),$AM$1006:$BM$1006,0)))),"Fix")))</f>
        <v xml:space="preserve"> </v>
      </c>
      <c r="N266" s="4" t="str">
        <f ca="1">IF(OR(INDEX($AG$2:$AG$1001,MATCH(ROWS($AF$2:AF266),$AF$2:$AF$1001,0),1)&gt;=100000,INDEX($AM$1005:$BM$1005,1,MATCH(COLUMNS($AM$1006:AY1006),$AM$1006:$BM$1006,0))&gt;=100000), " ",IF(INDEX($AM$2:$BM$1001,MATCH(ROWS($AF$2:AF266),$AF$2:$AF$1001,0),MATCH(COLUMNS($AM$1006:AY1006),$AM$1006:$BM$1006,0)), HYPERLINK("#",""), HYPERLINK(CONCATENATE("#metadata!", ADDRESS(INDEX($AH$2:$AH$1001,MATCH(ROWS($AF$2:AF266),$AF$2:$AF$1001,0),0), INDEX($AM$1004:$BM$1004,1,MATCH(COLUMNS($AM$1006:AY1006),$AM$1006:$BM$1006,0)))),"Fix")))</f>
        <v xml:space="preserve"> </v>
      </c>
      <c r="O266" s="4" t="str">
        <f ca="1">IF(OR(INDEX($AG$2:$AG$1001,MATCH(ROWS($AF$2:AF266),$AF$2:$AF$1001,0),1)&gt;=100000,INDEX($AM$1005:$BM$1005,1,MATCH(COLUMNS($AM$1006:AZ1006),$AM$1006:$BM$1006,0))&gt;=100000), " ",IF(INDEX($AM$2:$BM$1001,MATCH(ROWS($AF$2:AF266),$AF$2:$AF$1001,0),MATCH(COLUMNS($AM$1006:AZ1006),$AM$1006:$BM$1006,0)), HYPERLINK("#",""), HYPERLINK(CONCATENATE("#metadata!", ADDRESS(INDEX($AH$2:$AH$1001,MATCH(ROWS($AF$2:AF266),$AF$2:$AF$1001,0),0), INDEX($AM$1004:$BM$1004,1,MATCH(COLUMNS($AM$1006:AZ1006),$AM$1006:$BM$1006,0)))),"Fix")))</f>
        <v xml:space="preserve"> </v>
      </c>
      <c r="P266" s="4" t="str">
        <f ca="1">IF(OR(INDEX($AG$2:$AG$1001,MATCH(ROWS($AF$2:AF266),$AF$2:$AF$1001,0),1)&gt;=100000,INDEX($AM$1005:$BM$1005,1,MATCH(COLUMNS($AM$1006:BA1006),$AM$1006:$BM$1006,0))&gt;=100000), " ",IF(INDEX($AM$2:$BM$1001,MATCH(ROWS($AF$2:AF266),$AF$2:$AF$1001,0),MATCH(COLUMNS($AM$1006:BA1006),$AM$1006:$BM$1006,0)), HYPERLINK("#",""), HYPERLINK(CONCATENATE("#metadata!", ADDRESS(INDEX($AH$2:$AH$1001,MATCH(ROWS($AF$2:AF266),$AF$2:$AF$1001,0),0), INDEX($AM$1004:$BM$1004,1,MATCH(COLUMNS($AM$1006:BA1006),$AM$1006:$BM$1006,0)))),"Fix")))</f>
        <v xml:space="preserve"> </v>
      </c>
      <c r="Q266" s="4" t="str">
        <f ca="1">IF(OR(INDEX($AG$2:$AG$1001,MATCH(ROWS($AF$2:AF266),$AF$2:$AF$1001,0),1)&gt;=100000,INDEX($AM$1005:$BM$1005,1,MATCH(COLUMNS($AM$1006:BB1006),$AM$1006:$BM$1006,0))&gt;=100000), " ",IF(INDEX($AM$2:$BM$1001,MATCH(ROWS($AF$2:AF266),$AF$2:$AF$1001,0),MATCH(COLUMNS($AM$1006:BB1006),$AM$1006:$BM$1006,0)), HYPERLINK("#",""), HYPERLINK(CONCATENATE("#metadata!", ADDRESS(INDEX($AH$2:$AH$1001,MATCH(ROWS($AF$2:AF266),$AF$2:$AF$1001,0),0), INDEX($AM$1004:$BM$1004,1,MATCH(COLUMNS($AM$1006:BB1006),$AM$1006:$BM$1006,0)))),"Fix")))</f>
        <v xml:space="preserve"> </v>
      </c>
      <c r="R266" s="4" t="str">
        <f ca="1">IF(OR(INDEX($AG$2:$AG$1001,MATCH(ROWS($AF$2:AF266),$AF$2:$AF$1001,0),1)&gt;=100000,INDEX($AM$1005:$BM$1005,1,MATCH(COLUMNS($AM$1006:BC1006),$AM$1006:$BM$1006,0))&gt;=100000), " ",IF(INDEX($AM$2:$BM$1001,MATCH(ROWS($AF$2:AF266),$AF$2:$AF$1001,0),MATCH(COLUMNS($AM$1006:BC1006),$AM$1006:$BM$1006,0)), HYPERLINK("#",""), HYPERLINK(CONCATENATE("#metadata!", ADDRESS(INDEX($AH$2:$AH$1001,MATCH(ROWS($AF$2:AF266),$AF$2:$AF$1001,0),0), INDEX($AM$1004:$BM$1004,1,MATCH(COLUMNS($AM$1006:BC1006),$AM$1006:$BM$1006,0)))),"Fix")))</f>
        <v xml:space="preserve"> </v>
      </c>
      <c r="S266" s="4" t="str">
        <f ca="1">IF(OR(INDEX($AG$2:$AG$1001,MATCH(ROWS($AF$2:AF266),$AF$2:$AF$1001,0),1)&gt;=100000,INDEX($AM$1005:$BM$1005,1,MATCH(COLUMNS($AM$1006:BD1006),$AM$1006:$BM$1006,0))&gt;=100000), " ",IF(INDEX($AM$2:$BM$1001,MATCH(ROWS($AF$2:AF266),$AF$2:$AF$1001,0),MATCH(COLUMNS($AM$1006:BD1006),$AM$1006:$BM$1006,0)), HYPERLINK("#",""), HYPERLINK(CONCATENATE("#metadata!", ADDRESS(INDEX($AH$2:$AH$1001,MATCH(ROWS($AF$2:AF266),$AF$2:$AF$1001,0),0), INDEX($AM$1004:$BM$1004,1,MATCH(COLUMNS($AM$1006:BD1006),$AM$1006:$BM$1006,0)))),"Fix")))</f>
        <v xml:space="preserve"> </v>
      </c>
      <c r="T266" s="4" t="str">
        <f ca="1">IF(OR(INDEX($AG$2:$AG$1001,MATCH(ROWS($AF$2:AF266),$AF$2:$AF$1001,0),1)&gt;=100000,INDEX($AM$1005:$BM$1005,1,MATCH(COLUMNS($AM$1006:BE1006),$AM$1006:$BM$1006,0))&gt;=100000), " ",IF(INDEX($AM$2:$BM$1001,MATCH(ROWS($AF$2:AF266),$AF$2:$AF$1001,0),MATCH(COLUMNS($AM$1006:BE1006),$AM$1006:$BM$1006,0)), HYPERLINK("#",""), HYPERLINK(CONCATENATE("#metadata!", ADDRESS(INDEX($AH$2:$AH$1001,MATCH(ROWS($AF$2:AF266),$AF$2:$AF$1001,0),0), INDEX($AM$1004:$BM$1004,1,MATCH(COLUMNS($AM$1006:BE1006),$AM$1006:$BM$1006,0)))),"Fix")))</f>
        <v xml:space="preserve"> </v>
      </c>
      <c r="U266" s="4" t="str">
        <f ca="1">IF(OR(INDEX($AG$2:$AG$1001,MATCH(ROWS($AF$2:AF266),$AF$2:$AF$1001,0),1)&gt;=100000,INDEX($AM$1005:$BM$1005,1,MATCH(COLUMNS($AM$1006:BF1006),$AM$1006:$BM$1006,0))&gt;=100000), " ",IF(INDEX($AM$2:$BM$1001,MATCH(ROWS($AF$2:AF266),$AF$2:$AF$1001,0),MATCH(COLUMNS($AM$1006:BF1006),$AM$1006:$BM$1006,0)), HYPERLINK("#",""), HYPERLINK(CONCATENATE("#metadata!", ADDRESS(INDEX($AH$2:$AH$1001,MATCH(ROWS($AF$2:AF266),$AF$2:$AF$1001,0),0), INDEX($AM$1004:$BM$1004,1,MATCH(COLUMNS($AM$1006:BF1006),$AM$1006:$BM$1006,0)))),"Fix")))</f>
        <v xml:space="preserve"> </v>
      </c>
      <c r="V266" s="4" t="str">
        <f ca="1">IF(OR(INDEX($AG$2:$AG$1001,MATCH(ROWS($AF$2:AF266),$AF$2:$AF$1001,0),1)&gt;=100000,INDEX($AM$1005:$BM$1005,1,MATCH(COLUMNS($AM$1006:BG1006),$AM$1006:$BM$1006,0))&gt;=100000), " ",IF(INDEX($AM$2:$BM$1001,MATCH(ROWS($AF$2:AF266),$AF$2:$AF$1001,0),MATCH(COLUMNS($AM$1006:BG1006),$AM$1006:$BM$1006,0)), HYPERLINK("#",""), HYPERLINK(CONCATENATE("#metadata!", ADDRESS(INDEX($AH$2:$AH$1001,MATCH(ROWS($AF$2:AF266),$AF$2:$AF$1001,0),0), INDEX($AM$1004:$BM$1004,1,MATCH(COLUMNS($AM$1006:BG1006),$AM$1006:$BM$1006,0)))),"Fix")))</f>
        <v xml:space="preserve"> </v>
      </c>
      <c r="W266" s="4" t="str">
        <f ca="1">IF(OR(INDEX($AG$2:$AG$1001,MATCH(ROWS($AF$2:AF266),$AF$2:$AF$1001,0),1)&gt;=100000,INDEX($AM$1005:$BM$1005,1,MATCH(COLUMNS($AM$1006:BH1006),$AM$1006:$BM$1006,0))&gt;=100000), " ",IF(INDEX($AM$2:$BM$1001,MATCH(ROWS($AF$2:AF266),$AF$2:$AF$1001,0),MATCH(COLUMNS($AM$1006:BH1006),$AM$1006:$BM$1006,0)), HYPERLINK("#",""), HYPERLINK(CONCATENATE("#metadata!", ADDRESS(INDEX($AH$2:$AH$1001,MATCH(ROWS($AF$2:AF266),$AF$2:$AF$1001,0),0), INDEX($AM$1004:$BM$1004,1,MATCH(COLUMNS($AM$1006:BH1006),$AM$1006:$BM$1006,0)))),"Fix")))</f>
        <v xml:space="preserve"> </v>
      </c>
      <c r="X266" s="4" t="str">
        <f ca="1">IF(OR(INDEX($AG$2:$AG$1001,MATCH(ROWS($AF$2:AF266),$AF$2:$AF$1001,0),1)&gt;=100000,INDEX($AM$1005:$BM$1005,1,MATCH(COLUMNS($AM$1006:BI1006),$AM$1006:$BM$1006,0))&gt;=100000), " ",IF(INDEX($AM$2:$BM$1001,MATCH(ROWS($AF$2:AF266),$AF$2:$AF$1001,0),MATCH(COLUMNS($AM$1006:BI1006),$AM$1006:$BM$1006,0)), HYPERLINK("#",""), HYPERLINK(CONCATENATE("#metadata!", ADDRESS(INDEX($AH$2:$AH$1001,MATCH(ROWS($AF$2:AF266),$AF$2:$AF$1001,0),0), INDEX($AM$1004:$BM$1004,1,MATCH(COLUMNS($AM$1006:BI1006),$AM$1006:$BM$1006,0)))),"Fix")))</f>
        <v xml:space="preserve"> </v>
      </c>
      <c r="Y266" s="4" t="str">
        <f ca="1">IF(OR(INDEX($AG$2:$AG$1001,MATCH(ROWS($AF$2:AF266),$AF$2:$AF$1001,0),1)&gt;=100000,INDEX($AM$1005:$BM$1005,1,MATCH(COLUMNS($AM$1006:BJ1006),$AM$1006:$BM$1006,0))&gt;=100000), " ",IF(INDEX($AM$2:$BM$1001,MATCH(ROWS($AF$2:AF266),$AF$2:$AF$1001,0),MATCH(COLUMNS($AM$1006:BJ1006),$AM$1006:$BM$1006,0)), HYPERLINK("#",""), HYPERLINK(CONCATENATE("#metadata!", ADDRESS(INDEX($AH$2:$AH$1001,MATCH(ROWS($AF$2:AF266),$AF$2:$AF$1001,0),0), INDEX($AM$1004:$BM$1004,1,MATCH(COLUMNS($AM$1006:BJ1006),$AM$1006:$BM$1006,0)))),"Fix")))</f>
        <v xml:space="preserve"> </v>
      </c>
      <c r="Z266" s="4" t="str">
        <f ca="1">IF(OR(INDEX($AG$2:$AG$1001,MATCH(ROWS($AF$2:AF266),$AF$2:$AF$1001,0),1)&gt;=100000,INDEX($AM$1005:$BM$1005,1,MATCH(COLUMNS($AM$1006:BK1006),$AM$1006:$BM$1006,0))&gt;=100000), " ",IF(INDEX($AM$2:$BM$1001,MATCH(ROWS($AF$2:AF266),$AF$2:$AF$1001,0),MATCH(COLUMNS($AM$1006:BK1006),$AM$1006:$BM$1006,0)), HYPERLINK("#",""), HYPERLINK(CONCATENATE("#metadata!", ADDRESS(INDEX($AH$2:$AH$1001,MATCH(ROWS($AF$2:AF266),$AF$2:$AF$1001,0),0), INDEX($AM$1004:$BM$1004,1,MATCH(COLUMNS($AM$1006:BK1006),$AM$1006:$BM$1006,0)))),"Fix")))</f>
        <v xml:space="preserve"> </v>
      </c>
      <c r="AA266" s="4" t="str">
        <f ca="1">IF(OR(INDEX($AG$2:$AG$1001,MATCH(ROWS($AF$2:AF266),$AF$2:$AF$1001,0),1)&gt;=100000,INDEX($AM$1005:$BM$1005,1,MATCH(COLUMNS($AM$1006:BL1006),$AM$1006:$BM$1006,0))&gt;=100000), " ",IF(INDEX($AM$2:$BM$1001,MATCH(ROWS($AF$2:AF266),$AF$2:$AF$1001,0),MATCH(COLUMNS($AM$1006:BL1006),$AM$1006:$BM$1006,0)), HYPERLINK("#",""), HYPERLINK(CONCATENATE("#metadata!", ADDRESS(INDEX($AH$2:$AH$1001,MATCH(ROWS($AF$2:AF266),$AF$2:$AF$1001,0),0), INDEX($AM$1004:$BM$1004,1,MATCH(COLUMNS($AM$1006:BL1006),$AM$1006:$BM$1006,0)))),"Fix")))</f>
        <v xml:space="preserve"> </v>
      </c>
      <c r="AB266" s="4" t="str">
        <f ca="1">IF(OR(INDEX($AG$2:$AG$1001,MATCH(ROWS($AF$2:AF266),$AF$2:$AF$1001,0),1)&gt;=100000,INDEX($AM$1005:$BM$1005,1,MATCH(COLUMNS($AM$1006:BM1006),$AM$1006:$BM$1006,0))&gt;=100000), " ",IF(INDEX($AM$2:$BM$1001,MATCH(ROWS($AF$2:AF266),$AF$2:$AF$1001,0),MATCH(COLUMNS($AM$1006:BM1006),$AM$1006:$BM$1006,0)), HYPERLINK("#",""), HYPERLINK(CONCATENATE("#metadata!", ADDRESS(INDEX($AH$2:$AH$1001,MATCH(ROWS($AF$2:AF266),$AF$2:$AF$1001,0),0), INDEX($AM$1004:$BM$1004,1,MATCH(COLUMNS($AM$1006:BM1006),$AM$1006:$BM$1006,0)))),"Fix")))</f>
        <v xml:space="preserve"> </v>
      </c>
      <c r="AF266">
        <v>265</v>
      </c>
      <c r="AG266">
        <v>100266</v>
      </c>
      <c r="AH266">
        <v>266</v>
      </c>
      <c r="AI266" t="b">
        <f t="shared" si="4"/>
        <v>1</v>
      </c>
      <c r="AJ266" t="b">
        <f>COUNTBLANK(metadata!B266:AB266)=COLUMNS(metadata!B266:AB266)</f>
        <v>1</v>
      </c>
      <c r="AK266" t="str">
        <v/>
      </c>
      <c r="AM266" t="b">
        <f ca="1">AND(IF(metadata!B266="",FALSE,TRUE),COUNTIF(metadata!B:B, metadata!B266) = 1,NOT(ISERROR(SUMPRODUCT(SEARCH(MID(metadata!B266,ROW(INDIRECT("1:"&amp;LEN(metadata!B266))), 1),"0123456789abcdefghijklmnopqrstuvwxyzABCDEFGHIJKLMNOPQRSTUVWXYZ.")))))</f>
        <v>0</v>
      </c>
      <c r="AN266" t="b">
        <f ca="1">OR(AND(IF(metadata!C266="",FALSE,TRUE),OR(EXACT(metadata!C266,"missing: not collected"),EXACT(metadata!C266,"missing: not provided"),EXACT(metadata!C266,"missing: restricted access"))),AND(IF(metadata!C266="",FALSE,TRUE),AND(AND(IFERROR(INT(LEFT(metadata!C266,4))&gt;1900,FALSE),IFERROR(INT(LEFT(metadata!C266,4))&lt;=YEAR(NOW()),FALSE)), OR(MID(metadata!C266,5,1)="", AND(AND(MID(metadata!C266,5,1)="-",IFERROR(INT(MID(metadata!C266,6,1))&gt;=0,FALSE),IFERROR(INT(MID(metadata!C266,6,1))&lt;=1,FALSE),NOT(MID(metadata!C266,7,1)=""),IFERROR(INT(MID(metadata!C266,6,2))&gt;=1,FALSE),IFERROR(INT(MID(metadata!C266,6,2))&lt;=12,FALSE)), OR(MID(metadata!C266,8,1)="", AND(AND(MID(metadata!C266,8,1)="-",IFERROR(INT(MID(metadata!C266,9,1))&gt;=0,FALSE),IFERROR(INT(MID(metadata!C266,9,1))&lt;=3,FALSE),NOT(MID(metadata!C266,10,1)=""),IFERROR(INT(MID(metadata!C266,9,2))&gt;=1,FALSE),IFERROR(INT(MID(metadata!C266,9,2))&lt;=31,FALSE)), OR(MID(metadata!C266,11,1)="", AND(AND(MID(metadata!C266,11,1)=" ",IFERROR(INT(MID(metadata!C266,12,1))&gt;=0,FALSE),IFERROR(INT(MID(metadata!C266,12,1))&lt;=2,FALSE),NOT(MID(metadata!C266,13,1)=""),IFERROR(INT(MID(metadata!C266,12,2))&gt;=0,FALSE),IFERROR(INT(MID(metadata!C266,12,2))&lt;=23,FALSE)), OR(MID(metadata!C266,14,1)="", AND(AND(MID(metadata!C266,14,1)=":",IFERROR(INT(MID(metadata!C266,15,1))&gt;=0,FALSE),IFERROR(INT(MID(metadata!C266,15,1))&lt;=5,FALSE),NOT(MID(metadata!C266,16,1)=""),IFERROR(INT(MID(metadata!C266,15,2))&gt;=0,FALSE),IFERROR(INT(MID(metadata!C266,15,2))&lt;=59,FALSE)), OR(MID(metadata!C266,17,1)="", AND(AND(MID(metadata!C266,17,1)=":",IFERROR(INT(MID(metadata!C266,18,1))&gt;=0,FALSE),IFERROR(INT(MID(metadata!C266,18,1))&lt;=5,FALSE),NOT(MID(metadata!C266,19,1)=""),IFERROR(INT(MID(metadata!C266,18,2))&gt;=0,FALSE),IFERROR(INT(MID(metadata!C266,18,2))&lt;=59,FALSE)), LEN(metadata!C266)&lt;=19)))))))))))))</f>
        <v>0</v>
      </c>
      <c r="AO266" t="b">
        <f>AND(IF(metadata!D266="",FALSE,TRUE),EXACT(metadata!D266,"Not applicable"))</f>
        <v>0</v>
      </c>
      <c r="AP266" t="b">
        <f>IF(metadata!E266="",FALSE,TRUE)</f>
        <v>0</v>
      </c>
      <c r="AQ266" t="b">
        <f>OR(AND(IF(metadata!F266="",FALSE,TRUE),OR(EXACT(metadata!F266,"missing: not collected"),EXACT(metadata!F266,"missing: not provided"))),AND(IF(metadata!F266="",FALSE,TRUE),OR(EXACT(metadata!F266,"TRUE"),EXACT(metadata!F266,"FALSE"))))</f>
        <v>0</v>
      </c>
      <c r="AR266" t="b">
        <f>OR(AND(IF(metadata!G266="",FALSE,TRUE),OR(EXACT(metadata!G266,"missing: not collected"),EXACT(metadata!G266,"missing: not provided"),EXACT(metadata!G266,"missing: restricted access"))),AND(IF(metadata!G266="",FALSE,ISNUMBER(VALUE(metadata!G266))),metadata!G266&gt;=-413))</f>
        <v>0</v>
      </c>
      <c r="AS266" t="b">
        <f>AND(IF(metadata!H266="",FALSE,TRUE),EXACT(metadata!H266,"meters"))</f>
        <v>0</v>
      </c>
      <c r="AT266" t="b">
        <f>AND(IF(metadata!I266="",FALSE,TRUE),OR(EXACT(metadata!I266,"Host-associated"),EXACT(metadata!I266,"Free-living")))</f>
        <v>0</v>
      </c>
      <c r="AU266" t="b">
        <f>AND(IF(metadata!J266="",FALSE,TRUE),OR(EXACT(metadata!J266,"Animal"),EXACT(metadata!J266,"Fungus"),EXACT(metadata!J266,"Plant"),EXACT(metadata!J266,"Saline"),EXACT(metadata!J266,"Non-saline")))</f>
        <v>0</v>
      </c>
      <c r="AV266" t="b">
        <f>AND(IF(metadata!K266="",FALSE,TRUE),OR(EXACT(metadata!K266,"Plant secretion"),EXACT(metadata!K266,"Plant rhizosphere"),EXACT(metadata!K266,"Plant surface"),EXACT(metadata!K266,"Plant corpus"),EXACT(metadata!K266,"Fungus surface"),EXACT(metadata!K266,"Fungus corpus"),EXACT(metadata!K266,"Animal surface"),EXACT(metadata!K266,"Animal proximal gut"),EXACT(metadata!K266,"Animal corpus"),EXACT(metadata!K266,"Animal distal gut"),EXACT(metadata!K266,"Animal secretion"),EXACT(metadata!K266,"Sub-surface (non-saline)"),EXACT(metadata!K266,"Surface (non-saline)"),EXACT(metadata!K266,"Water (non-saline)"),EXACT(metadata!K266,"Soil (non-saline)"),EXACT(metadata!K266,"Aerosol (non-saline)"),EXACT(metadata!K266,"Sediment (non-saline)"),EXACT(metadata!K266,"Surface (saline)"),EXACT(metadata!K266,"Water (saline)"),EXACT(metadata!K266,"Hypersaline (saline)"),EXACT(metadata!K266,"Aerosol (saline)"),EXACT(metadata!K266,"Sediment (saline)")))</f>
        <v>0</v>
      </c>
      <c r="AW266" t="b">
        <f>IF(metadata!L266="",FALSE,TRUE)</f>
        <v>0</v>
      </c>
      <c r="AX266" t="b">
        <f>IF(metadata!M266="",FALSE,TRUE)</f>
        <v>0</v>
      </c>
      <c r="AY266" t="b">
        <f>IF(metadata!N266="",FALSE,TRUE)</f>
        <v>0</v>
      </c>
      <c r="AZ266" t="b">
        <f>OR(AND(IF(metadata!O266="",FALSE,TRUE),OR(EXACT(metadata!O266,"missing: not collected"),EXACT(metadata!O266,"missing: not provided"),EXACT(metadata!O266,"missing: restricted access"))),AND(IF(metadata!O266="",FALSE,TRUE),OR(EXACT(metadata!O266,"air"),EXACT(metadata!O266,"built environment"),EXACT(metadata!O266,"host-associated"),EXACT(metadata!O266,"human-associated"),EXACT(metadata!O266,"human-skin"),EXACT(metadata!O266,"human-oral"),EXACT(metadata!O266,"human-gut"),EXACT(metadata!O266,"human-vaginal"),EXACT(metadata!O266,"microbial mat/biofilm"),EXACT(metadata!O266,"misc environment"),EXACT(metadata!O266,"plant-associated"),EXACT(metadata!O266,"sediment"),EXACT(metadata!O266,"soil"),EXACT(metadata!O266,"wastewater/sludge"),EXACT(metadata!O266,"water"))))</f>
        <v>0</v>
      </c>
      <c r="BA266" t="b">
        <f>IF(metadata!P266="",FALSE,TRUE)</f>
        <v>0</v>
      </c>
      <c r="BB266" t="b">
        <f>IF(metadata!Q266="",FALSE,TRUE)</f>
        <v>0</v>
      </c>
      <c r="BC266" t="b">
        <f>OR(AND(IF(metadata!R266="",FALSE,TRUE),OR(EXACT(metadata!R266,"missing: not collected"),EXACT(metadata!R266,"missing: not provided"),EXACT(metadata!R266,"missing: restricted access"))),AND(IF(metadata!R266="",FALSE,ISNUMBER(VALUE(metadata!R266))),metadata!R266&gt;=-90,metadata!R266&lt;=90))</f>
        <v>0</v>
      </c>
      <c r="BD266" t="b">
        <f>AND(IF(metadata!S266="",FALSE,TRUE),EXACT(metadata!S266,"Decimal degrees"))</f>
        <v>0</v>
      </c>
      <c r="BE266" t="b">
        <f>OR(AND(IF(metadata!T266="",FALSE,TRUE),OR(EXACT(metadata!T266,"missing: not collected"),EXACT(metadata!T266,"missing: not provided"),EXACT(metadata!T266,"missing: restricted access"))),AND(IF(metadata!T266="",FALSE,ISNUMBER(VALUE(metadata!T266))),metadata!T266&gt;=-180,metadata!T266&lt;=180))</f>
        <v>0</v>
      </c>
      <c r="BF266" t="b">
        <f>AND(IF(metadata!U266="",FALSE,TRUE),EXACT(metadata!U266,"Decimal degrees"))</f>
        <v>0</v>
      </c>
      <c r="BG266" t="b">
        <f>IF(metadata!V266="",FALSE,TRUE)</f>
        <v>0</v>
      </c>
      <c r="BH266" t="b">
        <f>OR(AND(IF(metadata!W266="",FALSE,TRUE),OR(EXACT(metadata!W266,"missing: not collected"),EXACT(metadata!W266,"missing: not provided"),EXACT(metadata!W266,"missing: restricted access"))),AND(IF(metadata!W266="",FALSE,TRUE),OR(EXACT(metadata!W266,"TRUE"),EXACT(metadata!W266,"FALSE"))))</f>
        <v>0</v>
      </c>
      <c r="BI266" t="b">
        <f>AND(IF(metadata!X266="",FALSE,TRUE),EXACT(metadata!X266,"other"))</f>
        <v>0</v>
      </c>
      <c r="BJ266" t="b">
        <f>IF(metadata!Y266="",FALSE,TRUE)</f>
        <v>0</v>
      </c>
      <c r="BK266" t="b">
        <f>OR(AND(IF(metadata!Z266="",FALSE,TRUE),OR(EXACT(metadata!Z266,"missing: not collected"),EXACT(metadata!Z266,"missing: not provided"))),AND(IF(metadata!Z266="",FALSE,IF(ISERROR(INT(metadata!Z266)),FALSE,INT(metadata!Z266)=metadata!Z266)),metadata!Z266&gt;0))</f>
        <v>0</v>
      </c>
      <c r="BL266" t="b">
        <f>AND(IF(metadata!AA266="",FALSE,TRUE),EXACT(metadata!AA266,"Not applicable"))</f>
        <v>0</v>
      </c>
      <c r="BM266" t="b">
        <f>IF(metadata!AB266="",FALSE,TRUE)</f>
        <v>0</v>
      </c>
    </row>
    <row r="267" spans="1:65" x14ac:dyDescent="0.2">
      <c r="A267" s="5" t="str">
        <f ca="1">IF(B267=" "," ",HYPERLINK(CONCATENATE("#metadata!",ADDRESS(INDEX($AH$2:$AH$1001,MATCH(ROWS($AF$2:AF267),$AF$2:$AF$1001,0),0),1)),INDEX($AK$2:$AK$1001,MATCH(ROWS($AF$2:AF267),$AF$2:$AF$1001,0),0)))</f>
        <v xml:space="preserve"> </v>
      </c>
      <c r="B267" s="4" t="str">
        <f ca="1">IF(OR(INDEX($AG$2:$AG$1001,MATCH(ROWS($AF$2:AF267),$AF$2:$AF$1001,0),1)&gt;=100000,INDEX($AM$1005:$BM$1005,1,MATCH(COLUMNS($AM$1006:AM1006),$AM$1006:$BM$1006,0))&gt;=100000), " ",IF(INDEX($AM$2:$BM$1001,MATCH(ROWS($AF$2:AF267),$AF$2:$AF$1001,0),MATCH(COLUMNS($AM$1006:AM1006),$AM$1006:$BM$1006,0)), HYPERLINK("#",""), HYPERLINK(CONCATENATE("#metadata!", ADDRESS(INDEX($AH$2:$AH$1001,MATCH(ROWS($AF$2:AF267),$AF$2:$AF$1001,0),0), INDEX($AM$1004:$BM$1004,1,MATCH(COLUMNS($AM$1006:AM1006),$AM$1006:$BM$1006,0)))),"Fix")))</f>
        <v xml:space="preserve"> </v>
      </c>
      <c r="C267" s="4" t="str">
        <f ca="1">IF(OR(INDEX($AG$2:$AG$1001,MATCH(ROWS($AF$2:AF267),$AF$2:$AF$1001,0),1)&gt;=100000,INDEX($AM$1005:$BM$1005,1,MATCH(COLUMNS($AM$1006:AN1006),$AM$1006:$BM$1006,0))&gt;=100000), " ",IF(INDEX($AM$2:$BM$1001,MATCH(ROWS($AF$2:AF267),$AF$2:$AF$1001,0),MATCH(COLUMNS($AM$1006:AN1006),$AM$1006:$BM$1006,0)), HYPERLINK("#",""), HYPERLINK(CONCATENATE("#metadata!", ADDRESS(INDEX($AH$2:$AH$1001,MATCH(ROWS($AF$2:AF267),$AF$2:$AF$1001,0),0), INDEX($AM$1004:$BM$1004,1,MATCH(COLUMNS($AM$1006:AN1006),$AM$1006:$BM$1006,0)))),"Fix")))</f>
        <v xml:space="preserve"> </v>
      </c>
      <c r="D267" s="4" t="str">
        <f ca="1">IF(OR(INDEX($AG$2:$AG$1001,MATCH(ROWS($AF$2:AF267),$AF$2:$AF$1001,0),1)&gt;=100000,INDEX($AM$1005:$BM$1005,1,MATCH(COLUMNS($AM$1006:AO1006),$AM$1006:$BM$1006,0))&gt;=100000), " ",IF(INDEX($AM$2:$BM$1001,MATCH(ROWS($AF$2:AF267),$AF$2:$AF$1001,0),MATCH(COLUMNS($AM$1006:AO1006),$AM$1006:$BM$1006,0)), HYPERLINK("#",""), HYPERLINK(CONCATENATE("#metadata!", ADDRESS(INDEX($AH$2:$AH$1001,MATCH(ROWS($AF$2:AF267),$AF$2:$AF$1001,0),0), INDEX($AM$1004:$BM$1004,1,MATCH(COLUMNS($AM$1006:AO1006),$AM$1006:$BM$1006,0)))),"Fix")))</f>
        <v xml:space="preserve"> </v>
      </c>
      <c r="E267" s="4" t="str">
        <f ca="1">IF(OR(INDEX($AG$2:$AG$1001,MATCH(ROWS($AF$2:AF267),$AF$2:$AF$1001,0),1)&gt;=100000,INDEX($AM$1005:$BM$1005,1,MATCH(COLUMNS($AM$1006:AP1006),$AM$1006:$BM$1006,0))&gt;=100000), " ",IF(INDEX($AM$2:$BM$1001,MATCH(ROWS($AF$2:AF267),$AF$2:$AF$1001,0),MATCH(COLUMNS($AM$1006:AP1006),$AM$1006:$BM$1006,0)), HYPERLINK("#",""), HYPERLINK(CONCATENATE("#metadata!", ADDRESS(INDEX($AH$2:$AH$1001,MATCH(ROWS($AF$2:AF267),$AF$2:$AF$1001,0),0), INDEX($AM$1004:$BM$1004,1,MATCH(COLUMNS($AM$1006:AP1006),$AM$1006:$BM$1006,0)))),"Fix")))</f>
        <v xml:space="preserve"> </v>
      </c>
      <c r="F267" s="4" t="str">
        <f ca="1">IF(OR(INDEX($AG$2:$AG$1001,MATCH(ROWS($AF$2:AF267),$AF$2:$AF$1001,0),1)&gt;=100000,INDEX($AM$1005:$BM$1005,1,MATCH(COLUMNS($AM$1006:AQ1006),$AM$1006:$BM$1006,0))&gt;=100000), " ",IF(INDEX($AM$2:$BM$1001,MATCH(ROWS($AF$2:AF267),$AF$2:$AF$1001,0),MATCH(COLUMNS($AM$1006:AQ1006),$AM$1006:$BM$1006,0)), HYPERLINK("#",""), HYPERLINK(CONCATENATE("#metadata!", ADDRESS(INDEX($AH$2:$AH$1001,MATCH(ROWS($AF$2:AF267),$AF$2:$AF$1001,0),0), INDEX($AM$1004:$BM$1004,1,MATCH(COLUMNS($AM$1006:AQ1006),$AM$1006:$BM$1006,0)))),"Fix")))</f>
        <v xml:space="preserve"> </v>
      </c>
      <c r="G267" s="4" t="str">
        <f ca="1">IF(OR(INDEX($AG$2:$AG$1001,MATCH(ROWS($AF$2:AF267),$AF$2:$AF$1001,0),1)&gt;=100000,INDEX($AM$1005:$BM$1005,1,MATCH(COLUMNS($AM$1006:AR1006),$AM$1006:$BM$1006,0))&gt;=100000), " ",IF(INDEX($AM$2:$BM$1001,MATCH(ROWS($AF$2:AF267),$AF$2:$AF$1001,0),MATCH(COLUMNS($AM$1006:AR1006),$AM$1006:$BM$1006,0)), HYPERLINK("#",""), HYPERLINK(CONCATENATE("#metadata!", ADDRESS(INDEX($AH$2:$AH$1001,MATCH(ROWS($AF$2:AF267),$AF$2:$AF$1001,0),0), INDEX($AM$1004:$BM$1004,1,MATCH(COLUMNS($AM$1006:AR1006),$AM$1006:$BM$1006,0)))),"Fix")))</f>
        <v xml:space="preserve"> </v>
      </c>
      <c r="H267" s="4" t="str">
        <f ca="1">IF(OR(INDEX($AG$2:$AG$1001,MATCH(ROWS($AF$2:AF267),$AF$2:$AF$1001,0),1)&gt;=100000,INDEX($AM$1005:$BM$1005,1,MATCH(COLUMNS($AM$1006:AS1006),$AM$1006:$BM$1006,0))&gt;=100000), " ",IF(INDEX($AM$2:$BM$1001,MATCH(ROWS($AF$2:AF267),$AF$2:$AF$1001,0),MATCH(COLUMNS($AM$1006:AS1006),$AM$1006:$BM$1006,0)), HYPERLINK("#",""), HYPERLINK(CONCATENATE("#metadata!", ADDRESS(INDEX($AH$2:$AH$1001,MATCH(ROWS($AF$2:AF267),$AF$2:$AF$1001,0),0), INDEX($AM$1004:$BM$1004,1,MATCH(COLUMNS($AM$1006:AS1006),$AM$1006:$BM$1006,0)))),"Fix")))</f>
        <v xml:space="preserve"> </v>
      </c>
      <c r="I267" s="4" t="str">
        <f ca="1">IF(OR(INDEX($AG$2:$AG$1001,MATCH(ROWS($AF$2:AF267),$AF$2:$AF$1001,0),1)&gt;=100000,INDEX($AM$1005:$BM$1005,1,MATCH(COLUMNS($AM$1006:AT1006),$AM$1006:$BM$1006,0))&gt;=100000), " ",IF(INDEX($AM$2:$BM$1001,MATCH(ROWS($AF$2:AF267),$AF$2:$AF$1001,0),MATCH(COLUMNS($AM$1006:AT1006),$AM$1006:$BM$1006,0)), HYPERLINK("#",""), HYPERLINK(CONCATENATE("#metadata!", ADDRESS(INDEX($AH$2:$AH$1001,MATCH(ROWS($AF$2:AF267),$AF$2:$AF$1001,0),0), INDEX($AM$1004:$BM$1004,1,MATCH(COLUMNS($AM$1006:AT1006),$AM$1006:$BM$1006,0)))),"Fix")))</f>
        <v xml:space="preserve"> </v>
      </c>
      <c r="J267" s="4" t="str">
        <f ca="1">IF(OR(INDEX($AG$2:$AG$1001,MATCH(ROWS($AF$2:AF267),$AF$2:$AF$1001,0),1)&gt;=100000,INDEX($AM$1005:$BM$1005,1,MATCH(COLUMNS($AM$1006:AU1006),$AM$1006:$BM$1006,0))&gt;=100000), " ",IF(INDEX($AM$2:$BM$1001,MATCH(ROWS($AF$2:AF267),$AF$2:$AF$1001,0),MATCH(COLUMNS($AM$1006:AU1006),$AM$1006:$BM$1006,0)), HYPERLINK("#",""), HYPERLINK(CONCATENATE("#metadata!", ADDRESS(INDEX($AH$2:$AH$1001,MATCH(ROWS($AF$2:AF267),$AF$2:$AF$1001,0),0), INDEX($AM$1004:$BM$1004,1,MATCH(COLUMNS($AM$1006:AU1006),$AM$1006:$BM$1006,0)))),"Fix")))</f>
        <v xml:space="preserve"> </v>
      </c>
      <c r="K267" s="4" t="str">
        <f ca="1">IF(OR(INDEX($AG$2:$AG$1001,MATCH(ROWS($AF$2:AF267),$AF$2:$AF$1001,0),1)&gt;=100000,INDEX($AM$1005:$BM$1005,1,MATCH(COLUMNS($AM$1006:AV1006),$AM$1006:$BM$1006,0))&gt;=100000), " ",IF(INDEX($AM$2:$BM$1001,MATCH(ROWS($AF$2:AF267),$AF$2:$AF$1001,0),MATCH(COLUMNS($AM$1006:AV1006),$AM$1006:$BM$1006,0)), HYPERLINK("#",""), HYPERLINK(CONCATENATE("#metadata!", ADDRESS(INDEX($AH$2:$AH$1001,MATCH(ROWS($AF$2:AF267),$AF$2:$AF$1001,0),0), INDEX($AM$1004:$BM$1004,1,MATCH(COLUMNS($AM$1006:AV1006),$AM$1006:$BM$1006,0)))),"Fix")))</f>
        <v xml:space="preserve"> </v>
      </c>
      <c r="L267" s="4" t="str">
        <f ca="1">IF(OR(INDEX($AG$2:$AG$1001,MATCH(ROWS($AF$2:AF267),$AF$2:$AF$1001,0),1)&gt;=100000,INDEX($AM$1005:$BM$1005,1,MATCH(COLUMNS($AM$1006:AW1006),$AM$1006:$BM$1006,0))&gt;=100000), " ",IF(INDEX($AM$2:$BM$1001,MATCH(ROWS($AF$2:AF267),$AF$2:$AF$1001,0),MATCH(COLUMNS($AM$1006:AW1006),$AM$1006:$BM$1006,0)), HYPERLINK("#",""), HYPERLINK(CONCATENATE("#metadata!", ADDRESS(INDEX($AH$2:$AH$1001,MATCH(ROWS($AF$2:AF267),$AF$2:$AF$1001,0),0), INDEX($AM$1004:$BM$1004,1,MATCH(COLUMNS($AM$1006:AW1006),$AM$1006:$BM$1006,0)))),"Fix")))</f>
        <v xml:space="preserve"> </v>
      </c>
      <c r="M267" s="4" t="str">
        <f ca="1">IF(OR(INDEX($AG$2:$AG$1001,MATCH(ROWS($AF$2:AF267),$AF$2:$AF$1001,0),1)&gt;=100000,INDEX($AM$1005:$BM$1005,1,MATCH(COLUMNS($AM$1006:AX1006),$AM$1006:$BM$1006,0))&gt;=100000), " ",IF(INDEX($AM$2:$BM$1001,MATCH(ROWS($AF$2:AF267),$AF$2:$AF$1001,0),MATCH(COLUMNS($AM$1006:AX1006),$AM$1006:$BM$1006,0)), HYPERLINK("#",""), HYPERLINK(CONCATENATE("#metadata!", ADDRESS(INDEX($AH$2:$AH$1001,MATCH(ROWS($AF$2:AF267),$AF$2:$AF$1001,0),0), INDEX($AM$1004:$BM$1004,1,MATCH(COLUMNS($AM$1006:AX1006),$AM$1006:$BM$1006,0)))),"Fix")))</f>
        <v xml:space="preserve"> </v>
      </c>
      <c r="N267" s="4" t="str">
        <f ca="1">IF(OR(INDEX($AG$2:$AG$1001,MATCH(ROWS($AF$2:AF267),$AF$2:$AF$1001,0),1)&gt;=100000,INDEX($AM$1005:$BM$1005,1,MATCH(COLUMNS($AM$1006:AY1006),$AM$1006:$BM$1006,0))&gt;=100000), " ",IF(INDEX($AM$2:$BM$1001,MATCH(ROWS($AF$2:AF267),$AF$2:$AF$1001,0),MATCH(COLUMNS($AM$1006:AY1006),$AM$1006:$BM$1006,0)), HYPERLINK("#",""), HYPERLINK(CONCATENATE("#metadata!", ADDRESS(INDEX($AH$2:$AH$1001,MATCH(ROWS($AF$2:AF267),$AF$2:$AF$1001,0),0), INDEX($AM$1004:$BM$1004,1,MATCH(COLUMNS($AM$1006:AY1006),$AM$1006:$BM$1006,0)))),"Fix")))</f>
        <v xml:space="preserve"> </v>
      </c>
      <c r="O267" s="4" t="str">
        <f ca="1">IF(OR(INDEX($AG$2:$AG$1001,MATCH(ROWS($AF$2:AF267),$AF$2:$AF$1001,0),1)&gt;=100000,INDEX($AM$1005:$BM$1005,1,MATCH(COLUMNS($AM$1006:AZ1006),$AM$1006:$BM$1006,0))&gt;=100000), " ",IF(INDEX($AM$2:$BM$1001,MATCH(ROWS($AF$2:AF267),$AF$2:$AF$1001,0),MATCH(COLUMNS($AM$1006:AZ1006),$AM$1006:$BM$1006,0)), HYPERLINK("#",""), HYPERLINK(CONCATENATE("#metadata!", ADDRESS(INDEX($AH$2:$AH$1001,MATCH(ROWS($AF$2:AF267),$AF$2:$AF$1001,0),0), INDEX($AM$1004:$BM$1004,1,MATCH(COLUMNS($AM$1006:AZ1006),$AM$1006:$BM$1006,0)))),"Fix")))</f>
        <v xml:space="preserve"> </v>
      </c>
      <c r="P267" s="4" t="str">
        <f ca="1">IF(OR(INDEX($AG$2:$AG$1001,MATCH(ROWS($AF$2:AF267),$AF$2:$AF$1001,0),1)&gt;=100000,INDEX($AM$1005:$BM$1005,1,MATCH(COLUMNS($AM$1006:BA1006),$AM$1006:$BM$1006,0))&gt;=100000), " ",IF(INDEX($AM$2:$BM$1001,MATCH(ROWS($AF$2:AF267),$AF$2:$AF$1001,0),MATCH(COLUMNS($AM$1006:BA1006),$AM$1006:$BM$1006,0)), HYPERLINK("#",""), HYPERLINK(CONCATENATE("#metadata!", ADDRESS(INDEX($AH$2:$AH$1001,MATCH(ROWS($AF$2:AF267),$AF$2:$AF$1001,0),0), INDEX($AM$1004:$BM$1004,1,MATCH(COLUMNS($AM$1006:BA1006),$AM$1006:$BM$1006,0)))),"Fix")))</f>
        <v xml:space="preserve"> </v>
      </c>
      <c r="Q267" s="4" t="str">
        <f ca="1">IF(OR(INDEX($AG$2:$AG$1001,MATCH(ROWS($AF$2:AF267),$AF$2:$AF$1001,0),1)&gt;=100000,INDEX($AM$1005:$BM$1005,1,MATCH(COLUMNS($AM$1006:BB1006),$AM$1006:$BM$1006,0))&gt;=100000), " ",IF(INDEX($AM$2:$BM$1001,MATCH(ROWS($AF$2:AF267),$AF$2:$AF$1001,0),MATCH(COLUMNS($AM$1006:BB1006),$AM$1006:$BM$1006,0)), HYPERLINK("#",""), HYPERLINK(CONCATENATE("#metadata!", ADDRESS(INDEX($AH$2:$AH$1001,MATCH(ROWS($AF$2:AF267),$AF$2:$AF$1001,0),0), INDEX($AM$1004:$BM$1004,1,MATCH(COLUMNS($AM$1006:BB1006),$AM$1006:$BM$1006,0)))),"Fix")))</f>
        <v xml:space="preserve"> </v>
      </c>
      <c r="R267" s="4" t="str">
        <f ca="1">IF(OR(INDEX($AG$2:$AG$1001,MATCH(ROWS($AF$2:AF267),$AF$2:$AF$1001,0),1)&gt;=100000,INDEX($AM$1005:$BM$1005,1,MATCH(COLUMNS($AM$1006:BC1006),$AM$1006:$BM$1006,0))&gt;=100000), " ",IF(INDEX($AM$2:$BM$1001,MATCH(ROWS($AF$2:AF267),$AF$2:$AF$1001,0),MATCH(COLUMNS($AM$1006:BC1006),$AM$1006:$BM$1006,0)), HYPERLINK("#",""), HYPERLINK(CONCATENATE("#metadata!", ADDRESS(INDEX($AH$2:$AH$1001,MATCH(ROWS($AF$2:AF267),$AF$2:$AF$1001,0),0), INDEX($AM$1004:$BM$1004,1,MATCH(COLUMNS($AM$1006:BC1006),$AM$1006:$BM$1006,0)))),"Fix")))</f>
        <v xml:space="preserve"> </v>
      </c>
      <c r="S267" s="4" t="str">
        <f ca="1">IF(OR(INDEX($AG$2:$AG$1001,MATCH(ROWS($AF$2:AF267),$AF$2:$AF$1001,0),1)&gt;=100000,INDEX($AM$1005:$BM$1005,1,MATCH(COLUMNS($AM$1006:BD1006),$AM$1006:$BM$1006,0))&gt;=100000), " ",IF(INDEX($AM$2:$BM$1001,MATCH(ROWS($AF$2:AF267),$AF$2:$AF$1001,0),MATCH(COLUMNS($AM$1006:BD1006),$AM$1006:$BM$1006,0)), HYPERLINK("#",""), HYPERLINK(CONCATENATE("#metadata!", ADDRESS(INDEX($AH$2:$AH$1001,MATCH(ROWS($AF$2:AF267),$AF$2:$AF$1001,0),0), INDEX($AM$1004:$BM$1004,1,MATCH(COLUMNS($AM$1006:BD1006),$AM$1006:$BM$1006,0)))),"Fix")))</f>
        <v xml:space="preserve"> </v>
      </c>
      <c r="T267" s="4" t="str">
        <f ca="1">IF(OR(INDEX($AG$2:$AG$1001,MATCH(ROWS($AF$2:AF267),$AF$2:$AF$1001,0),1)&gt;=100000,INDEX($AM$1005:$BM$1005,1,MATCH(COLUMNS($AM$1006:BE1006),$AM$1006:$BM$1006,0))&gt;=100000), " ",IF(INDEX($AM$2:$BM$1001,MATCH(ROWS($AF$2:AF267),$AF$2:$AF$1001,0),MATCH(COLUMNS($AM$1006:BE1006),$AM$1006:$BM$1006,0)), HYPERLINK("#",""), HYPERLINK(CONCATENATE("#metadata!", ADDRESS(INDEX($AH$2:$AH$1001,MATCH(ROWS($AF$2:AF267),$AF$2:$AF$1001,0),0), INDEX($AM$1004:$BM$1004,1,MATCH(COLUMNS($AM$1006:BE1006),$AM$1006:$BM$1006,0)))),"Fix")))</f>
        <v xml:space="preserve"> </v>
      </c>
      <c r="U267" s="4" t="str">
        <f ca="1">IF(OR(INDEX($AG$2:$AG$1001,MATCH(ROWS($AF$2:AF267),$AF$2:$AF$1001,0),1)&gt;=100000,INDEX($AM$1005:$BM$1005,1,MATCH(COLUMNS($AM$1006:BF1006),$AM$1006:$BM$1006,0))&gt;=100000), " ",IF(INDEX($AM$2:$BM$1001,MATCH(ROWS($AF$2:AF267),$AF$2:$AF$1001,0),MATCH(COLUMNS($AM$1006:BF1006),$AM$1006:$BM$1006,0)), HYPERLINK("#",""), HYPERLINK(CONCATENATE("#metadata!", ADDRESS(INDEX($AH$2:$AH$1001,MATCH(ROWS($AF$2:AF267),$AF$2:$AF$1001,0),0), INDEX($AM$1004:$BM$1004,1,MATCH(COLUMNS($AM$1006:BF1006),$AM$1006:$BM$1006,0)))),"Fix")))</f>
        <v xml:space="preserve"> </v>
      </c>
      <c r="V267" s="4" t="str">
        <f ca="1">IF(OR(INDEX($AG$2:$AG$1001,MATCH(ROWS($AF$2:AF267),$AF$2:$AF$1001,0),1)&gt;=100000,INDEX($AM$1005:$BM$1005,1,MATCH(COLUMNS($AM$1006:BG1006),$AM$1006:$BM$1006,0))&gt;=100000), " ",IF(INDEX($AM$2:$BM$1001,MATCH(ROWS($AF$2:AF267),$AF$2:$AF$1001,0),MATCH(COLUMNS($AM$1006:BG1006),$AM$1006:$BM$1006,0)), HYPERLINK("#",""), HYPERLINK(CONCATENATE("#metadata!", ADDRESS(INDEX($AH$2:$AH$1001,MATCH(ROWS($AF$2:AF267),$AF$2:$AF$1001,0),0), INDEX($AM$1004:$BM$1004,1,MATCH(COLUMNS($AM$1006:BG1006),$AM$1006:$BM$1006,0)))),"Fix")))</f>
        <v xml:space="preserve"> </v>
      </c>
      <c r="W267" s="4" t="str">
        <f ca="1">IF(OR(INDEX($AG$2:$AG$1001,MATCH(ROWS($AF$2:AF267),$AF$2:$AF$1001,0),1)&gt;=100000,INDEX($AM$1005:$BM$1005,1,MATCH(COLUMNS($AM$1006:BH1006),$AM$1006:$BM$1006,0))&gt;=100000), " ",IF(INDEX($AM$2:$BM$1001,MATCH(ROWS($AF$2:AF267),$AF$2:$AF$1001,0),MATCH(COLUMNS($AM$1006:BH1006),$AM$1006:$BM$1006,0)), HYPERLINK("#",""), HYPERLINK(CONCATENATE("#metadata!", ADDRESS(INDEX($AH$2:$AH$1001,MATCH(ROWS($AF$2:AF267),$AF$2:$AF$1001,0),0), INDEX($AM$1004:$BM$1004,1,MATCH(COLUMNS($AM$1006:BH1006),$AM$1006:$BM$1006,0)))),"Fix")))</f>
        <v xml:space="preserve"> </v>
      </c>
      <c r="X267" s="4" t="str">
        <f ca="1">IF(OR(INDEX($AG$2:$AG$1001,MATCH(ROWS($AF$2:AF267),$AF$2:$AF$1001,0),1)&gt;=100000,INDEX($AM$1005:$BM$1005,1,MATCH(COLUMNS($AM$1006:BI1006),$AM$1006:$BM$1006,0))&gt;=100000), " ",IF(INDEX($AM$2:$BM$1001,MATCH(ROWS($AF$2:AF267),$AF$2:$AF$1001,0),MATCH(COLUMNS($AM$1006:BI1006),$AM$1006:$BM$1006,0)), HYPERLINK("#",""), HYPERLINK(CONCATENATE("#metadata!", ADDRESS(INDEX($AH$2:$AH$1001,MATCH(ROWS($AF$2:AF267),$AF$2:$AF$1001,0),0), INDEX($AM$1004:$BM$1004,1,MATCH(COLUMNS($AM$1006:BI1006),$AM$1006:$BM$1006,0)))),"Fix")))</f>
        <v xml:space="preserve"> </v>
      </c>
      <c r="Y267" s="4" t="str">
        <f ca="1">IF(OR(INDEX($AG$2:$AG$1001,MATCH(ROWS($AF$2:AF267),$AF$2:$AF$1001,0),1)&gt;=100000,INDEX($AM$1005:$BM$1005,1,MATCH(COLUMNS($AM$1006:BJ1006),$AM$1006:$BM$1006,0))&gt;=100000), " ",IF(INDEX($AM$2:$BM$1001,MATCH(ROWS($AF$2:AF267),$AF$2:$AF$1001,0),MATCH(COLUMNS($AM$1006:BJ1006),$AM$1006:$BM$1006,0)), HYPERLINK("#",""), HYPERLINK(CONCATENATE("#metadata!", ADDRESS(INDEX($AH$2:$AH$1001,MATCH(ROWS($AF$2:AF267),$AF$2:$AF$1001,0),0), INDEX($AM$1004:$BM$1004,1,MATCH(COLUMNS($AM$1006:BJ1006),$AM$1006:$BM$1006,0)))),"Fix")))</f>
        <v xml:space="preserve"> </v>
      </c>
      <c r="Z267" s="4" t="str">
        <f ca="1">IF(OR(INDEX($AG$2:$AG$1001,MATCH(ROWS($AF$2:AF267),$AF$2:$AF$1001,0),1)&gt;=100000,INDEX($AM$1005:$BM$1005,1,MATCH(COLUMNS($AM$1006:BK1006),$AM$1006:$BM$1006,0))&gt;=100000), " ",IF(INDEX($AM$2:$BM$1001,MATCH(ROWS($AF$2:AF267),$AF$2:$AF$1001,0),MATCH(COLUMNS($AM$1006:BK1006),$AM$1006:$BM$1006,0)), HYPERLINK("#",""), HYPERLINK(CONCATENATE("#metadata!", ADDRESS(INDEX($AH$2:$AH$1001,MATCH(ROWS($AF$2:AF267),$AF$2:$AF$1001,0),0), INDEX($AM$1004:$BM$1004,1,MATCH(COLUMNS($AM$1006:BK1006),$AM$1006:$BM$1006,0)))),"Fix")))</f>
        <v xml:space="preserve"> </v>
      </c>
      <c r="AA267" s="4" t="str">
        <f ca="1">IF(OR(INDEX($AG$2:$AG$1001,MATCH(ROWS($AF$2:AF267),$AF$2:$AF$1001,0),1)&gt;=100000,INDEX($AM$1005:$BM$1005,1,MATCH(COLUMNS($AM$1006:BL1006),$AM$1006:$BM$1006,0))&gt;=100000), " ",IF(INDEX($AM$2:$BM$1001,MATCH(ROWS($AF$2:AF267),$AF$2:$AF$1001,0),MATCH(COLUMNS($AM$1006:BL1006),$AM$1006:$BM$1006,0)), HYPERLINK("#",""), HYPERLINK(CONCATENATE("#metadata!", ADDRESS(INDEX($AH$2:$AH$1001,MATCH(ROWS($AF$2:AF267),$AF$2:$AF$1001,0),0), INDEX($AM$1004:$BM$1004,1,MATCH(COLUMNS($AM$1006:BL1006),$AM$1006:$BM$1006,0)))),"Fix")))</f>
        <v xml:space="preserve"> </v>
      </c>
      <c r="AB267" s="4" t="str">
        <f ca="1">IF(OR(INDEX($AG$2:$AG$1001,MATCH(ROWS($AF$2:AF267),$AF$2:$AF$1001,0),1)&gt;=100000,INDEX($AM$1005:$BM$1005,1,MATCH(COLUMNS($AM$1006:BM1006),$AM$1006:$BM$1006,0))&gt;=100000), " ",IF(INDEX($AM$2:$BM$1001,MATCH(ROWS($AF$2:AF267),$AF$2:$AF$1001,0),MATCH(COLUMNS($AM$1006:BM1006),$AM$1006:$BM$1006,0)), HYPERLINK("#",""), HYPERLINK(CONCATENATE("#metadata!", ADDRESS(INDEX($AH$2:$AH$1001,MATCH(ROWS($AF$2:AF267),$AF$2:$AF$1001,0),0), INDEX($AM$1004:$BM$1004,1,MATCH(COLUMNS($AM$1006:BM1006),$AM$1006:$BM$1006,0)))),"Fix")))</f>
        <v xml:space="preserve"> </v>
      </c>
      <c r="AF267">
        <v>266</v>
      </c>
      <c r="AG267">
        <v>100267</v>
      </c>
      <c r="AH267">
        <v>267</v>
      </c>
      <c r="AI267" t="b">
        <f t="shared" si="4"/>
        <v>1</v>
      </c>
      <c r="AJ267" t="b">
        <f>COUNTBLANK(metadata!B267:AB267)=COLUMNS(metadata!B267:AB267)</f>
        <v>1</v>
      </c>
      <c r="AK267" t="str">
        <v/>
      </c>
      <c r="AM267" t="b">
        <f ca="1">AND(IF(metadata!B267="",FALSE,TRUE),COUNTIF(metadata!B:B, metadata!B267) = 1,NOT(ISERROR(SUMPRODUCT(SEARCH(MID(metadata!B267,ROW(INDIRECT("1:"&amp;LEN(metadata!B267))), 1),"0123456789abcdefghijklmnopqrstuvwxyzABCDEFGHIJKLMNOPQRSTUVWXYZ.")))))</f>
        <v>0</v>
      </c>
      <c r="AN267" t="b">
        <f ca="1">OR(AND(IF(metadata!C267="",FALSE,TRUE),OR(EXACT(metadata!C267,"missing: not collected"),EXACT(metadata!C267,"missing: not provided"),EXACT(metadata!C267,"missing: restricted access"))),AND(IF(metadata!C267="",FALSE,TRUE),AND(AND(IFERROR(INT(LEFT(metadata!C267,4))&gt;1900,FALSE),IFERROR(INT(LEFT(metadata!C267,4))&lt;=YEAR(NOW()),FALSE)), OR(MID(metadata!C267,5,1)="", AND(AND(MID(metadata!C267,5,1)="-",IFERROR(INT(MID(metadata!C267,6,1))&gt;=0,FALSE),IFERROR(INT(MID(metadata!C267,6,1))&lt;=1,FALSE),NOT(MID(metadata!C267,7,1)=""),IFERROR(INT(MID(metadata!C267,6,2))&gt;=1,FALSE),IFERROR(INT(MID(metadata!C267,6,2))&lt;=12,FALSE)), OR(MID(metadata!C267,8,1)="", AND(AND(MID(metadata!C267,8,1)="-",IFERROR(INT(MID(metadata!C267,9,1))&gt;=0,FALSE),IFERROR(INT(MID(metadata!C267,9,1))&lt;=3,FALSE),NOT(MID(metadata!C267,10,1)=""),IFERROR(INT(MID(metadata!C267,9,2))&gt;=1,FALSE),IFERROR(INT(MID(metadata!C267,9,2))&lt;=31,FALSE)), OR(MID(metadata!C267,11,1)="", AND(AND(MID(metadata!C267,11,1)=" ",IFERROR(INT(MID(metadata!C267,12,1))&gt;=0,FALSE),IFERROR(INT(MID(metadata!C267,12,1))&lt;=2,FALSE),NOT(MID(metadata!C267,13,1)=""),IFERROR(INT(MID(metadata!C267,12,2))&gt;=0,FALSE),IFERROR(INT(MID(metadata!C267,12,2))&lt;=23,FALSE)), OR(MID(metadata!C267,14,1)="", AND(AND(MID(metadata!C267,14,1)=":",IFERROR(INT(MID(metadata!C267,15,1))&gt;=0,FALSE),IFERROR(INT(MID(metadata!C267,15,1))&lt;=5,FALSE),NOT(MID(metadata!C267,16,1)=""),IFERROR(INT(MID(metadata!C267,15,2))&gt;=0,FALSE),IFERROR(INT(MID(metadata!C267,15,2))&lt;=59,FALSE)), OR(MID(metadata!C267,17,1)="", AND(AND(MID(metadata!C267,17,1)=":",IFERROR(INT(MID(metadata!C267,18,1))&gt;=0,FALSE),IFERROR(INT(MID(metadata!C267,18,1))&lt;=5,FALSE),NOT(MID(metadata!C267,19,1)=""),IFERROR(INT(MID(metadata!C267,18,2))&gt;=0,FALSE),IFERROR(INT(MID(metadata!C267,18,2))&lt;=59,FALSE)), LEN(metadata!C267)&lt;=19)))))))))))))</f>
        <v>0</v>
      </c>
      <c r="AO267" t="b">
        <f>AND(IF(metadata!D267="",FALSE,TRUE),EXACT(metadata!D267,"Not applicable"))</f>
        <v>0</v>
      </c>
      <c r="AP267" t="b">
        <f>IF(metadata!E267="",FALSE,TRUE)</f>
        <v>0</v>
      </c>
      <c r="AQ267" t="b">
        <f>OR(AND(IF(metadata!F267="",FALSE,TRUE),OR(EXACT(metadata!F267,"missing: not collected"),EXACT(metadata!F267,"missing: not provided"))),AND(IF(metadata!F267="",FALSE,TRUE),OR(EXACT(metadata!F267,"TRUE"),EXACT(metadata!F267,"FALSE"))))</f>
        <v>0</v>
      </c>
      <c r="AR267" t="b">
        <f>OR(AND(IF(metadata!G267="",FALSE,TRUE),OR(EXACT(metadata!G267,"missing: not collected"),EXACT(metadata!G267,"missing: not provided"),EXACT(metadata!G267,"missing: restricted access"))),AND(IF(metadata!G267="",FALSE,ISNUMBER(VALUE(metadata!G267))),metadata!G267&gt;=-413))</f>
        <v>0</v>
      </c>
      <c r="AS267" t="b">
        <f>AND(IF(metadata!H267="",FALSE,TRUE),EXACT(metadata!H267,"meters"))</f>
        <v>0</v>
      </c>
      <c r="AT267" t="b">
        <f>AND(IF(metadata!I267="",FALSE,TRUE),OR(EXACT(metadata!I267,"Host-associated"),EXACT(metadata!I267,"Free-living")))</f>
        <v>0</v>
      </c>
      <c r="AU267" t="b">
        <f>AND(IF(metadata!J267="",FALSE,TRUE),OR(EXACT(metadata!J267,"Animal"),EXACT(metadata!J267,"Fungus"),EXACT(metadata!J267,"Plant"),EXACT(metadata!J267,"Saline"),EXACT(metadata!J267,"Non-saline")))</f>
        <v>0</v>
      </c>
      <c r="AV267" t="b">
        <f>AND(IF(metadata!K267="",FALSE,TRUE),OR(EXACT(metadata!K267,"Plant secretion"),EXACT(metadata!K267,"Plant rhizosphere"),EXACT(metadata!K267,"Plant surface"),EXACT(metadata!K267,"Plant corpus"),EXACT(metadata!K267,"Fungus surface"),EXACT(metadata!K267,"Fungus corpus"),EXACT(metadata!K267,"Animal surface"),EXACT(metadata!K267,"Animal proximal gut"),EXACT(metadata!K267,"Animal corpus"),EXACT(metadata!K267,"Animal distal gut"),EXACT(metadata!K267,"Animal secretion"),EXACT(metadata!K267,"Sub-surface (non-saline)"),EXACT(metadata!K267,"Surface (non-saline)"),EXACT(metadata!K267,"Water (non-saline)"),EXACT(metadata!K267,"Soil (non-saline)"),EXACT(metadata!K267,"Aerosol (non-saline)"),EXACT(metadata!K267,"Sediment (non-saline)"),EXACT(metadata!K267,"Surface (saline)"),EXACT(metadata!K267,"Water (saline)"),EXACT(metadata!K267,"Hypersaline (saline)"),EXACT(metadata!K267,"Aerosol (saline)"),EXACT(metadata!K267,"Sediment (saline)")))</f>
        <v>0</v>
      </c>
      <c r="AW267" t="b">
        <f>IF(metadata!L267="",FALSE,TRUE)</f>
        <v>0</v>
      </c>
      <c r="AX267" t="b">
        <f>IF(metadata!M267="",FALSE,TRUE)</f>
        <v>0</v>
      </c>
      <c r="AY267" t="b">
        <f>IF(metadata!N267="",FALSE,TRUE)</f>
        <v>0</v>
      </c>
      <c r="AZ267" t="b">
        <f>OR(AND(IF(metadata!O267="",FALSE,TRUE),OR(EXACT(metadata!O267,"missing: not collected"),EXACT(metadata!O267,"missing: not provided"),EXACT(metadata!O267,"missing: restricted access"))),AND(IF(metadata!O267="",FALSE,TRUE),OR(EXACT(metadata!O267,"air"),EXACT(metadata!O267,"built environment"),EXACT(metadata!O267,"host-associated"),EXACT(metadata!O267,"human-associated"),EXACT(metadata!O267,"human-skin"),EXACT(metadata!O267,"human-oral"),EXACT(metadata!O267,"human-gut"),EXACT(metadata!O267,"human-vaginal"),EXACT(metadata!O267,"microbial mat/biofilm"),EXACT(metadata!O267,"misc environment"),EXACT(metadata!O267,"plant-associated"),EXACT(metadata!O267,"sediment"),EXACT(metadata!O267,"soil"),EXACT(metadata!O267,"wastewater/sludge"),EXACT(metadata!O267,"water"))))</f>
        <v>0</v>
      </c>
      <c r="BA267" t="b">
        <f>IF(metadata!P267="",FALSE,TRUE)</f>
        <v>0</v>
      </c>
      <c r="BB267" t="b">
        <f>IF(metadata!Q267="",FALSE,TRUE)</f>
        <v>0</v>
      </c>
      <c r="BC267" t="b">
        <f>OR(AND(IF(metadata!R267="",FALSE,TRUE),OR(EXACT(metadata!R267,"missing: not collected"),EXACT(metadata!R267,"missing: not provided"),EXACT(metadata!R267,"missing: restricted access"))),AND(IF(metadata!R267="",FALSE,ISNUMBER(VALUE(metadata!R267))),metadata!R267&gt;=-90,metadata!R267&lt;=90))</f>
        <v>0</v>
      </c>
      <c r="BD267" t="b">
        <f>AND(IF(metadata!S267="",FALSE,TRUE),EXACT(metadata!S267,"Decimal degrees"))</f>
        <v>0</v>
      </c>
      <c r="BE267" t="b">
        <f>OR(AND(IF(metadata!T267="",FALSE,TRUE),OR(EXACT(metadata!T267,"missing: not collected"),EXACT(metadata!T267,"missing: not provided"),EXACT(metadata!T267,"missing: restricted access"))),AND(IF(metadata!T267="",FALSE,ISNUMBER(VALUE(metadata!T267))),metadata!T267&gt;=-180,metadata!T267&lt;=180))</f>
        <v>0</v>
      </c>
      <c r="BF267" t="b">
        <f>AND(IF(metadata!U267="",FALSE,TRUE),EXACT(metadata!U267,"Decimal degrees"))</f>
        <v>0</v>
      </c>
      <c r="BG267" t="b">
        <f>IF(metadata!V267="",FALSE,TRUE)</f>
        <v>0</v>
      </c>
      <c r="BH267" t="b">
        <f>OR(AND(IF(metadata!W267="",FALSE,TRUE),OR(EXACT(metadata!W267,"missing: not collected"),EXACT(metadata!W267,"missing: not provided"),EXACT(metadata!W267,"missing: restricted access"))),AND(IF(metadata!W267="",FALSE,TRUE),OR(EXACT(metadata!W267,"TRUE"),EXACT(metadata!W267,"FALSE"))))</f>
        <v>0</v>
      </c>
      <c r="BI267" t="b">
        <f>AND(IF(metadata!X267="",FALSE,TRUE),EXACT(metadata!X267,"other"))</f>
        <v>0</v>
      </c>
      <c r="BJ267" t="b">
        <f>IF(metadata!Y267="",FALSE,TRUE)</f>
        <v>0</v>
      </c>
      <c r="BK267" t="b">
        <f>OR(AND(IF(metadata!Z267="",FALSE,TRUE),OR(EXACT(metadata!Z267,"missing: not collected"),EXACT(metadata!Z267,"missing: not provided"))),AND(IF(metadata!Z267="",FALSE,IF(ISERROR(INT(metadata!Z267)),FALSE,INT(metadata!Z267)=metadata!Z267)),metadata!Z267&gt;0))</f>
        <v>0</v>
      </c>
      <c r="BL267" t="b">
        <f>AND(IF(metadata!AA267="",FALSE,TRUE),EXACT(metadata!AA267,"Not applicable"))</f>
        <v>0</v>
      </c>
      <c r="BM267" t="b">
        <f>IF(metadata!AB267="",FALSE,TRUE)</f>
        <v>0</v>
      </c>
    </row>
    <row r="268" spans="1:65" x14ac:dyDescent="0.2">
      <c r="A268" s="5" t="str">
        <f ca="1">IF(B268=" "," ",HYPERLINK(CONCATENATE("#metadata!",ADDRESS(INDEX($AH$2:$AH$1001,MATCH(ROWS($AF$2:AF268),$AF$2:$AF$1001,0),0),1)),INDEX($AK$2:$AK$1001,MATCH(ROWS($AF$2:AF268),$AF$2:$AF$1001,0),0)))</f>
        <v xml:space="preserve"> </v>
      </c>
      <c r="B268" s="4" t="str">
        <f ca="1">IF(OR(INDEX($AG$2:$AG$1001,MATCH(ROWS($AF$2:AF268),$AF$2:$AF$1001,0),1)&gt;=100000,INDEX($AM$1005:$BM$1005,1,MATCH(COLUMNS($AM$1006:AM1006),$AM$1006:$BM$1006,0))&gt;=100000), " ",IF(INDEX($AM$2:$BM$1001,MATCH(ROWS($AF$2:AF268),$AF$2:$AF$1001,0),MATCH(COLUMNS($AM$1006:AM1006),$AM$1006:$BM$1006,0)), HYPERLINK("#",""), HYPERLINK(CONCATENATE("#metadata!", ADDRESS(INDEX($AH$2:$AH$1001,MATCH(ROWS($AF$2:AF268),$AF$2:$AF$1001,0),0), INDEX($AM$1004:$BM$1004,1,MATCH(COLUMNS($AM$1006:AM1006),$AM$1006:$BM$1006,0)))),"Fix")))</f>
        <v xml:space="preserve"> </v>
      </c>
      <c r="C268" s="4" t="str">
        <f ca="1">IF(OR(INDEX($AG$2:$AG$1001,MATCH(ROWS($AF$2:AF268),$AF$2:$AF$1001,0),1)&gt;=100000,INDEX($AM$1005:$BM$1005,1,MATCH(COLUMNS($AM$1006:AN1006),$AM$1006:$BM$1006,0))&gt;=100000), " ",IF(INDEX($AM$2:$BM$1001,MATCH(ROWS($AF$2:AF268),$AF$2:$AF$1001,0),MATCH(COLUMNS($AM$1006:AN1006),$AM$1006:$BM$1006,0)), HYPERLINK("#",""), HYPERLINK(CONCATENATE("#metadata!", ADDRESS(INDEX($AH$2:$AH$1001,MATCH(ROWS($AF$2:AF268),$AF$2:$AF$1001,0),0), INDEX($AM$1004:$BM$1004,1,MATCH(COLUMNS($AM$1006:AN1006),$AM$1006:$BM$1006,0)))),"Fix")))</f>
        <v xml:space="preserve"> </v>
      </c>
      <c r="D268" s="4" t="str">
        <f ca="1">IF(OR(INDEX($AG$2:$AG$1001,MATCH(ROWS($AF$2:AF268),$AF$2:$AF$1001,0),1)&gt;=100000,INDEX($AM$1005:$BM$1005,1,MATCH(COLUMNS($AM$1006:AO1006),$AM$1006:$BM$1006,0))&gt;=100000), " ",IF(INDEX($AM$2:$BM$1001,MATCH(ROWS($AF$2:AF268),$AF$2:$AF$1001,0),MATCH(COLUMNS($AM$1006:AO1006),$AM$1006:$BM$1006,0)), HYPERLINK("#",""), HYPERLINK(CONCATENATE("#metadata!", ADDRESS(INDEX($AH$2:$AH$1001,MATCH(ROWS($AF$2:AF268),$AF$2:$AF$1001,0),0), INDEX($AM$1004:$BM$1004,1,MATCH(COLUMNS($AM$1006:AO1006),$AM$1006:$BM$1006,0)))),"Fix")))</f>
        <v xml:space="preserve"> </v>
      </c>
      <c r="E268" s="4" t="str">
        <f ca="1">IF(OR(INDEX($AG$2:$AG$1001,MATCH(ROWS($AF$2:AF268),$AF$2:$AF$1001,0),1)&gt;=100000,INDEX($AM$1005:$BM$1005,1,MATCH(COLUMNS($AM$1006:AP1006),$AM$1006:$BM$1006,0))&gt;=100000), " ",IF(INDEX($AM$2:$BM$1001,MATCH(ROWS($AF$2:AF268),$AF$2:$AF$1001,0),MATCH(COLUMNS($AM$1006:AP1006),$AM$1006:$BM$1006,0)), HYPERLINK("#",""), HYPERLINK(CONCATENATE("#metadata!", ADDRESS(INDEX($AH$2:$AH$1001,MATCH(ROWS($AF$2:AF268),$AF$2:$AF$1001,0),0), INDEX($AM$1004:$BM$1004,1,MATCH(COLUMNS($AM$1006:AP1006),$AM$1006:$BM$1006,0)))),"Fix")))</f>
        <v xml:space="preserve"> </v>
      </c>
      <c r="F268" s="4" t="str">
        <f ca="1">IF(OR(INDEX($AG$2:$AG$1001,MATCH(ROWS($AF$2:AF268),$AF$2:$AF$1001,0),1)&gt;=100000,INDEX($AM$1005:$BM$1005,1,MATCH(COLUMNS($AM$1006:AQ1006),$AM$1006:$BM$1006,0))&gt;=100000), " ",IF(INDEX($AM$2:$BM$1001,MATCH(ROWS($AF$2:AF268),$AF$2:$AF$1001,0),MATCH(COLUMNS($AM$1006:AQ1006),$AM$1006:$BM$1006,0)), HYPERLINK("#",""), HYPERLINK(CONCATENATE("#metadata!", ADDRESS(INDEX($AH$2:$AH$1001,MATCH(ROWS($AF$2:AF268),$AF$2:$AF$1001,0),0), INDEX($AM$1004:$BM$1004,1,MATCH(COLUMNS($AM$1006:AQ1006),$AM$1006:$BM$1006,0)))),"Fix")))</f>
        <v xml:space="preserve"> </v>
      </c>
      <c r="G268" s="4" t="str">
        <f ca="1">IF(OR(INDEX($AG$2:$AG$1001,MATCH(ROWS($AF$2:AF268),$AF$2:$AF$1001,0),1)&gt;=100000,INDEX($AM$1005:$BM$1005,1,MATCH(COLUMNS($AM$1006:AR1006),$AM$1006:$BM$1006,0))&gt;=100000), " ",IF(INDEX($AM$2:$BM$1001,MATCH(ROWS($AF$2:AF268),$AF$2:$AF$1001,0),MATCH(COLUMNS($AM$1006:AR1006),$AM$1006:$BM$1006,0)), HYPERLINK("#",""), HYPERLINK(CONCATENATE("#metadata!", ADDRESS(INDEX($AH$2:$AH$1001,MATCH(ROWS($AF$2:AF268),$AF$2:$AF$1001,0),0), INDEX($AM$1004:$BM$1004,1,MATCH(COLUMNS($AM$1006:AR1006),$AM$1006:$BM$1006,0)))),"Fix")))</f>
        <v xml:space="preserve"> </v>
      </c>
      <c r="H268" s="4" t="str">
        <f ca="1">IF(OR(INDEX($AG$2:$AG$1001,MATCH(ROWS($AF$2:AF268),$AF$2:$AF$1001,0),1)&gt;=100000,INDEX($AM$1005:$BM$1005,1,MATCH(COLUMNS($AM$1006:AS1006),$AM$1006:$BM$1006,0))&gt;=100000), " ",IF(INDEX($AM$2:$BM$1001,MATCH(ROWS($AF$2:AF268),$AF$2:$AF$1001,0),MATCH(COLUMNS($AM$1006:AS1006),$AM$1006:$BM$1006,0)), HYPERLINK("#",""), HYPERLINK(CONCATENATE("#metadata!", ADDRESS(INDEX($AH$2:$AH$1001,MATCH(ROWS($AF$2:AF268),$AF$2:$AF$1001,0),0), INDEX($AM$1004:$BM$1004,1,MATCH(COLUMNS($AM$1006:AS1006),$AM$1006:$BM$1006,0)))),"Fix")))</f>
        <v xml:space="preserve"> </v>
      </c>
      <c r="I268" s="4" t="str">
        <f ca="1">IF(OR(INDEX($AG$2:$AG$1001,MATCH(ROWS($AF$2:AF268),$AF$2:$AF$1001,0),1)&gt;=100000,INDEX($AM$1005:$BM$1005,1,MATCH(COLUMNS($AM$1006:AT1006),$AM$1006:$BM$1006,0))&gt;=100000), " ",IF(INDEX($AM$2:$BM$1001,MATCH(ROWS($AF$2:AF268),$AF$2:$AF$1001,0),MATCH(COLUMNS($AM$1006:AT1006),$AM$1006:$BM$1006,0)), HYPERLINK("#",""), HYPERLINK(CONCATENATE("#metadata!", ADDRESS(INDEX($AH$2:$AH$1001,MATCH(ROWS($AF$2:AF268),$AF$2:$AF$1001,0),0), INDEX($AM$1004:$BM$1004,1,MATCH(COLUMNS($AM$1006:AT1006),$AM$1006:$BM$1006,0)))),"Fix")))</f>
        <v xml:space="preserve"> </v>
      </c>
      <c r="J268" s="4" t="str">
        <f ca="1">IF(OR(INDEX($AG$2:$AG$1001,MATCH(ROWS($AF$2:AF268),$AF$2:$AF$1001,0),1)&gt;=100000,INDEX($AM$1005:$BM$1005,1,MATCH(COLUMNS($AM$1006:AU1006),$AM$1006:$BM$1006,0))&gt;=100000), " ",IF(INDEX($AM$2:$BM$1001,MATCH(ROWS($AF$2:AF268),$AF$2:$AF$1001,0),MATCH(COLUMNS($AM$1006:AU1006),$AM$1006:$BM$1006,0)), HYPERLINK("#",""), HYPERLINK(CONCATENATE("#metadata!", ADDRESS(INDEX($AH$2:$AH$1001,MATCH(ROWS($AF$2:AF268),$AF$2:$AF$1001,0),0), INDEX($AM$1004:$BM$1004,1,MATCH(COLUMNS($AM$1006:AU1006),$AM$1006:$BM$1006,0)))),"Fix")))</f>
        <v xml:space="preserve"> </v>
      </c>
      <c r="K268" s="4" t="str">
        <f ca="1">IF(OR(INDEX($AG$2:$AG$1001,MATCH(ROWS($AF$2:AF268),$AF$2:$AF$1001,0),1)&gt;=100000,INDEX($AM$1005:$BM$1005,1,MATCH(COLUMNS($AM$1006:AV1006),$AM$1006:$BM$1006,0))&gt;=100000), " ",IF(INDEX($AM$2:$BM$1001,MATCH(ROWS($AF$2:AF268),$AF$2:$AF$1001,0),MATCH(COLUMNS($AM$1006:AV1006),$AM$1006:$BM$1006,0)), HYPERLINK("#",""), HYPERLINK(CONCATENATE("#metadata!", ADDRESS(INDEX($AH$2:$AH$1001,MATCH(ROWS($AF$2:AF268),$AF$2:$AF$1001,0),0), INDEX($AM$1004:$BM$1004,1,MATCH(COLUMNS($AM$1006:AV1006),$AM$1006:$BM$1006,0)))),"Fix")))</f>
        <v xml:space="preserve"> </v>
      </c>
      <c r="L268" s="4" t="str">
        <f ca="1">IF(OR(INDEX($AG$2:$AG$1001,MATCH(ROWS($AF$2:AF268),$AF$2:$AF$1001,0),1)&gt;=100000,INDEX($AM$1005:$BM$1005,1,MATCH(COLUMNS($AM$1006:AW1006),$AM$1006:$BM$1006,0))&gt;=100000), " ",IF(INDEX($AM$2:$BM$1001,MATCH(ROWS($AF$2:AF268),$AF$2:$AF$1001,0),MATCH(COLUMNS($AM$1006:AW1006),$AM$1006:$BM$1006,0)), HYPERLINK("#",""), HYPERLINK(CONCATENATE("#metadata!", ADDRESS(INDEX($AH$2:$AH$1001,MATCH(ROWS($AF$2:AF268),$AF$2:$AF$1001,0),0), INDEX($AM$1004:$BM$1004,1,MATCH(COLUMNS($AM$1006:AW1006),$AM$1006:$BM$1006,0)))),"Fix")))</f>
        <v xml:space="preserve"> </v>
      </c>
      <c r="M268" s="4" t="str">
        <f ca="1">IF(OR(INDEX($AG$2:$AG$1001,MATCH(ROWS($AF$2:AF268),$AF$2:$AF$1001,0),1)&gt;=100000,INDEX($AM$1005:$BM$1005,1,MATCH(COLUMNS($AM$1006:AX1006),$AM$1006:$BM$1006,0))&gt;=100000), " ",IF(INDEX($AM$2:$BM$1001,MATCH(ROWS($AF$2:AF268),$AF$2:$AF$1001,0),MATCH(COLUMNS($AM$1006:AX1006),$AM$1006:$BM$1006,0)), HYPERLINK("#",""), HYPERLINK(CONCATENATE("#metadata!", ADDRESS(INDEX($AH$2:$AH$1001,MATCH(ROWS($AF$2:AF268),$AF$2:$AF$1001,0),0), INDEX($AM$1004:$BM$1004,1,MATCH(COLUMNS($AM$1006:AX1006),$AM$1006:$BM$1006,0)))),"Fix")))</f>
        <v xml:space="preserve"> </v>
      </c>
      <c r="N268" s="4" t="str">
        <f ca="1">IF(OR(INDEX($AG$2:$AG$1001,MATCH(ROWS($AF$2:AF268),$AF$2:$AF$1001,0),1)&gt;=100000,INDEX($AM$1005:$BM$1005,1,MATCH(COLUMNS($AM$1006:AY1006),$AM$1006:$BM$1006,0))&gt;=100000), " ",IF(INDEX($AM$2:$BM$1001,MATCH(ROWS($AF$2:AF268),$AF$2:$AF$1001,0),MATCH(COLUMNS($AM$1006:AY1006),$AM$1006:$BM$1006,0)), HYPERLINK("#",""), HYPERLINK(CONCATENATE("#metadata!", ADDRESS(INDEX($AH$2:$AH$1001,MATCH(ROWS($AF$2:AF268),$AF$2:$AF$1001,0),0), INDEX($AM$1004:$BM$1004,1,MATCH(COLUMNS($AM$1006:AY1006),$AM$1006:$BM$1006,0)))),"Fix")))</f>
        <v xml:space="preserve"> </v>
      </c>
      <c r="O268" s="4" t="str">
        <f ca="1">IF(OR(INDEX($AG$2:$AG$1001,MATCH(ROWS($AF$2:AF268),$AF$2:$AF$1001,0),1)&gt;=100000,INDEX($AM$1005:$BM$1005,1,MATCH(COLUMNS($AM$1006:AZ1006),$AM$1006:$BM$1006,0))&gt;=100000), " ",IF(INDEX($AM$2:$BM$1001,MATCH(ROWS($AF$2:AF268),$AF$2:$AF$1001,0),MATCH(COLUMNS($AM$1006:AZ1006),$AM$1006:$BM$1006,0)), HYPERLINK("#",""), HYPERLINK(CONCATENATE("#metadata!", ADDRESS(INDEX($AH$2:$AH$1001,MATCH(ROWS($AF$2:AF268),$AF$2:$AF$1001,0),0), INDEX($AM$1004:$BM$1004,1,MATCH(COLUMNS($AM$1006:AZ1006),$AM$1006:$BM$1006,0)))),"Fix")))</f>
        <v xml:space="preserve"> </v>
      </c>
      <c r="P268" s="4" t="str">
        <f ca="1">IF(OR(INDEX($AG$2:$AG$1001,MATCH(ROWS($AF$2:AF268),$AF$2:$AF$1001,0),1)&gt;=100000,INDEX($AM$1005:$BM$1005,1,MATCH(COLUMNS($AM$1006:BA1006),$AM$1006:$BM$1006,0))&gt;=100000), " ",IF(INDEX($AM$2:$BM$1001,MATCH(ROWS($AF$2:AF268),$AF$2:$AF$1001,0),MATCH(COLUMNS($AM$1006:BA1006),$AM$1006:$BM$1006,0)), HYPERLINK("#",""), HYPERLINK(CONCATENATE("#metadata!", ADDRESS(INDEX($AH$2:$AH$1001,MATCH(ROWS($AF$2:AF268),$AF$2:$AF$1001,0),0), INDEX($AM$1004:$BM$1004,1,MATCH(COLUMNS($AM$1006:BA1006),$AM$1006:$BM$1006,0)))),"Fix")))</f>
        <v xml:space="preserve"> </v>
      </c>
      <c r="Q268" s="4" t="str">
        <f ca="1">IF(OR(INDEX($AG$2:$AG$1001,MATCH(ROWS($AF$2:AF268),$AF$2:$AF$1001,0),1)&gt;=100000,INDEX($AM$1005:$BM$1005,1,MATCH(COLUMNS($AM$1006:BB1006),$AM$1006:$BM$1006,0))&gt;=100000), " ",IF(INDEX($AM$2:$BM$1001,MATCH(ROWS($AF$2:AF268),$AF$2:$AF$1001,0),MATCH(COLUMNS($AM$1006:BB1006),$AM$1006:$BM$1006,0)), HYPERLINK("#",""), HYPERLINK(CONCATENATE("#metadata!", ADDRESS(INDEX($AH$2:$AH$1001,MATCH(ROWS($AF$2:AF268),$AF$2:$AF$1001,0),0), INDEX($AM$1004:$BM$1004,1,MATCH(COLUMNS($AM$1006:BB1006),$AM$1006:$BM$1006,0)))),"Fix")))</f>
        <v xml:space="preserve"> </v>
      </c>
      <c r="R268" s="4" t="str">
        <f ca="1">IF(OR(INDEX($AG$2:$AG$1001,MATCH(ROWS($AF$2:AF268),$AF$2:$AF$1001,0),1)&gt;=100000,INDEX($AM$1005:$BM$1005,1,MATCH(COLUMNS($AM$1006:BC1006),$AM$1006:$BM$1006,0))&gt;=100000), " ",IF(INDEX($AM$2:$BM$1001,MATCH(ROWS($AF$2:AF268),$AF$2:$AF$1001,0),MATCH(COLUMNS($AM$1006:BC1006),$AM$1006:$BM$1006,0)), HYPERLINK("#",""), HYPERLINK(CONCATENATE("#metadata!", ADDRESS(INDEX($AH$2:$AH$1001,MATCH(ROWS($AF$2:AF268),$AF$2:$AF$1001,0),0), INDEX($AM$1004:$BM$1004,1,MATCH(COLUMNS($AM$1006:BC1006),$AM$1006:$BM$1006,0)))),"Fix")))</f>
        <v xml:space="preserve"> </v>
      </c>
      <c r="S268" s="4" t="str">
        <f ca="1">IF(OR(INDEX($AG$2:$AG$1001,MATCH(ROWS($AF$2:AF268),$AF$2:$AF$1001,0),1)&gt;=100000,INDEX($AM$1005:$BM$1005,1,MATCH(COLUMNS($AM$1006:BD1006),$AM$1006:$BM$1006,0))&gt;=100000), " ",IF(INDEX($AM$2:$BM$1001,MATCH(ROWS($AF$2:AF268),$AF$2:$AF$1001,0),MATCH(COLUMNS($AM$1006:BD1006),$AM$1006:$BM$1006,0)), HYPERLINK("#",""), HYPERLINK(CONCATENATE("#metadata!", ADDRESS(INDEX($AH$2:$AH$1001,MATCH(ROWS($AF$2:AF268),$AF$2:$AF$1001,0),0), INDEX($AM$1004:$BM$1004,1,MATCH(COLUMNS($AM$1006:BD1006),$AM$1006:$BM$1006,0)))),"Fix")))</f>
        <v xml:space="preserve"> </v>
      </c>
      <c r="T268" s="4" t="str">
        <f ca="1">IF(OR(INDEX($AG$2:$AG$1001,MATCH(ROWS($AF$2:AF268),$AF$2:$AF$1001,0),1)&gt;=100000,INDEX($AM$1005:$BM$1005,1,MATCH(COLUMNS($AM$1006:BE1006),$AM$1006:$BM$1006,0))&gt;=100000), " ",IF(INDEX($AM$2:$BM$1001,MATCH(ROWS($AF$2:AF268),$AF$2:$AF$1001,0),MATCH(COLUMNS($AM$1006:BE1006),$AM$1006:$BM$1006,0)), HYPERLINK("#",""), HYPERLINK(CONCATENATE("#metadata!", ADDRESS(INDEX($AH$2:$AH$1001,MATCH(ROWS($AF$2:AF268),$AF$2:$AF$1001,0),0), INDEX($AM$1004:$BM$1004,1,MATCH(COLUMNS($AM$1006:BE1006),$AM$1006:$BM$1006,0)))),"Fix")))</f>
        <v xml:space="preserve"> </v>
      </c>
      <c r="U268" s="4" t="str">
        <f ca="1">IF(OR(INDEX($AG$2:$AG$1001,MATCH(ROWS($AF$2:AF268),$AF$2:$AF$1001,0),1)&gt;=100000,INDEX($AM$1005:$BM$1005,1,MATCH(COLUMNS($AM$1006:BF1006),$AM$1006:$BM$1006,0))&gt;=100000), " ",IF(INDEX($AM$2:$BM$1001,MATCH(ROWS($AF$2:AF268),$AF$2:$AF$1001,0),MATCH(COLUMNS($AM$1006:BF1006),$AM$1006:$BM$1006,0)), HYPERLINK("#",""), HYPERLINK(CONCATENATE("#metadata!", ADDRESS(INDEX($AH$2:$AH$1001,MATCH(ROWS($AF$2:AF268),$AF$2:$AF$1001,0),0), INDEX($AM$1004:$BM$1004,1,MATCH(COLUMNS($AM$1006:BF1006),$AM$1006:$BM$1006,0)))),"Fix")))</f>
        <v xml:space="preserve"> </v>
      </c>
      <c r="V268" s="4" t="str">
        <f ca="1">IF(OR(INDEX($AG$2:$AG$1001,MATCH(ROWS($AF$2:AF268),$AF$2:$AF$1001,0),1)&gt;=100000,INDEX($AM$1005:$BM$1005,1,MATCH(COLUMNS($AM$1006:BG1006),$AM$1006:$BM$1006,0))&gt;=100000), " ",IF(INDEX($AM$2:$BM$1001,MATCH(ROWS($AF$2:AF268),$AF$2:$AF$1001,0),MATCH(COLUMNS($AM$1006:BG1006),$AM$1006:$BM$1006,0)), HYPERLINK("#",""), HYPERLINK(CONCATENATE("#metadata!", ADDRESS(INDEX($AH$2:$AH$1001,MATCH(ROWS($AF$2:AF268),$AF$2:$AF$1001,0),0), INDEX($AM$1004:$BM$1004,1,MATCH(COLUMNS($AM$1006:BG1006),$AM$1006:$BM$1006,0)))),"Fix")))</f>
        <v xml:space="preserve"> </v>
      </c>
      <c r="W268" s="4" t="str">
        <f ca="1">IF(OR(INDEX($AG$2:$AG$1001,MATCH(ROWS($AF$2:AF268),$AF$2:$AF$1001,0),1)&gt;=100000,INDEX($AM$1005:$BM$1005,1,MATCH(COLUMNS($AM$1006:BH1006),$AM$1006:$BM$1006,0))&gt;=100000), " ",IF(INDEX($AM$2:$BM$1001,MATCH(ROWS($AF$2:AF268),$AF$2:$AF$1001,0),MATCH(COLUMNS($AM$1006:BH1006),$AM$1006:$BM$1006,0)), HYPERLINK("#",""), HYPERLINK(CONCATENATE("#metadata!", ADDRESS(INDEX($AH$2:$AH$1001,MATCH(ROWS($AF$2:AF268),$AF$2:$AF$1001,0),0), INDEX($AM$1004:$BM$1004,1,MATCH(COLUMNS($AM$1006:BH1006),$AM$1006:$BM$1006,0)))),"Fix")))</f>
        <v xml:space="preserve"> </v>
      </c>
      <c r="X268" s="4" t="str">
        <f ca="1">IF(OR(INDEX($AG$2:$AG$1001,MATCH(ROWS($AF$2:AF268),$AF$2:$AF$1001,0),1)&gt;=100000,INDEX($AM$1005:$BM$1005,1,MATCH(COLUMNS($AM$1006:BI1006),$AM$1006:$BM$1006,0))&gt;=100000), " ",IF(INDEX($AM$2:$BM$1001,MATCH(ROWS($AF$2:AF268),$AF$2:$AF$1001,0),MATCH(COLUMNS($AM$1006:BI1006),$AM$1006:$BM$1006,0)), HYPERLINK("#",""), HYPERLINK(CONCATENATE("#metadata!", ADDRESS(INDEX($AH$2:$AH$1001,MATCH(ROWS($AF$2:AF268),$AF$2:$AF$1001,0),0), INDEX($AM$1004:$BM$1004,1,MATCH(COLUMNS($AM$1006:BI1006),$AM$1006:$BM$1006,0)))),"Fix")))</f>
        <v xml:space="preserve"> </v>
      </c>
      <c r="Y268" s="4" t="str">
        <f ca="1">IF(OR(INDEX($AG$2:$AG$1001,MATCH(ROWS($AF$2:AF268),$AF$2:$AF$1001,0),1)&gt;=100000,INDEX($AM$1005:$BM$1005,1,MATCH(COLUMNS($AM$1006:BJ1006),$AM$1006:$BM$1006,0))&gt;=100000), " ",IF(INDEX($AM$2:$BM$1001,MATCH(ROWS($AF$2:AF268),$AF$2:$AF$1001,0),MATCH(COLUMNS($AM$1006:BJ1006),$AM$1006:$BM$1006,0)), HYPERLINK("#",""), HYPERLINK(CONCATENATE("#metadata!", ADDRESS(INDEX($AH$2:$AH$1001,MATCH(ROWS($AF$2:AF268),$AF$2:$AF$1001,0),0), INDEX($AM$1004:$BM$1004,1,MATCH(COLUMNS($AM$1006:BJ1006),$AM$1006:$BM$1006,0)))),"Fix")))</f>
        <v xml:space="preserve"> </v>
      </c>
      <c r="Z268" s="4" t="str">
        <f ca="1">IF(OR(INDEX($AG$2:$AG$1001,MATCH(ROWS($AF$2:AF268),$AF$2:$AF$1001,0),1)&gt;=100000,INDEX($AM$1005:$BM$1005,1,MATCH(COLUMNS($AM$1006:BK1006),$AM$1006:$BM$1006,0))&gt;=100000), " ",IF(INDEX($AM$2:$BM$1001,MATCH(ROWS($AF$2:AF268),$AF$2:$AF$1001,0),MATCH(COLUMNS($AM$1006:BK1006),$AM$1006:$BM$1006,0)), HYPERLINK("#",""), HYPERLINK(CONCATENATE("#metadata!", ADDRESS(INDEX($AH$2:$AH$1001,MATCH(ROWS($AF$2:AF268),$AF$2:$AF$1001,0),0), INDEX($AM$1004:$BM$1004,1,MATCH(COLUMNS($AM$1006:BK1006),$AM$1006:$BM$1006,0)))),"Fix")))</f>
        <v xml:space="preserve"> </v>
      </c>
      <c r="AA268" s="4" t="str">
        <f ca="1">IF(OR(INDEX($AG$2:$AG$1001,MATCH(ROWS($AF$2:AF268),$AF$2:$AF$1001,0),1)&gt;=100000,INDEX($AM$1005:$BM$1005,1,MATCH(COLUMNS($AM$1006:BL1006),$AM$1006:$BM$1006,0))&gt;=100000), " ",IF(INDEX($AM$2:$BM$1001,MATCH(ROWS($AF$2:AF268),$AF$2:$AF$1001,0),MATCH(COLUMNS($AM$1006:BL1006),$AM$1006:$BM$1006,0)), HYPERLINK("#",""), HYPERLINK(CONCATENATE("#metadata!", ADDRESS(INDEX($AH$2:$AH$1001,MATCH(ROWS($AF$2:AF268),$AF$2:$AF$1001,0),0), INDEX($AM$1004:$BM$1004,1,MATCH(COLUMNS($AM$1006:BL1006),$AM$1006:$BM$1006,0)))),"Fix")))</f>
        <v xml:space="preserve"> </v>
      </c>
      <c r="AB268" s="4" t="str">
        <f ca="1">IF(OR(INDEX($AG$2:$AG$1001,MATCH(ROWS($AF$2:AF268),$AF$2:$AF$1001,0),1)&gt;=100000,INDEX($AM$1005:$BM$1005,1,MATCH(COLUMNS($AM$1006:BM1006),$AM$1006:$BM$1006,0))&gt;=100000), " ",IF(INDEX($AM$2:$BM$1001,MATCH(ROWS($AF$2:AF268),$AF$2:$AF$1001,0),MATCH(COLUMNS($AM$1006:BM1006),$AM$1006:$BM$1006,0)), HYPERLINK("#",""), HYPERLINK(CONCATENATE("#metadata!", ADDRESS(INDEX($AH$2:$AH$1001,MATCH(ROWS($AF$2:AF268),$AF$2:$AF$1001,0),0), INDEX($AM$1004:$BM$1004,1,MATCH(COLUMNS($AM$1006:BM1006),$AM$1006:$BM$1006,0)))),"Fix")))</f>
        <v xml:space="preserve"> </v>
      </c>
      <c r="AF268">
        <v>267</v>
      </c>
      <c r="AG268">
        <v>100268</v>
      </c>
      <c r="AH268">
        <v>268</v>
      </c>
      <c r="AI268" t="b">
        <f t="shared" si="4"/>
        <v>1</v>
      </c>
      <c r="AJ268" t="b">
        <f>COUNTBLANK(metadata!B268:AB268)=COLUMNS(metadata!B268:AB268)</f>
        <v>1</v>
      </c>
      <c r="AK268" t="str">
        <v/>
      </c>
      <c r="AM268" t="b">
        <f ca="1">AND(IF(metadata!B268="",FALSE,TRUE),COUNTIF(metadata!B:B, metadata!B268) = 1,NOT(ISERROR(SUMPRODUCT(SEARCH(MID(metadata!B268,ROW(INDIRECT("1:"&amp;LEN(metadata!B268))), 1),"0123456789abcdefghijklmnopqrstuvwxyzABCDEFGHIJKLMNOPQRSTUVWXYZ.")))))</f>
        <v>0</v>
      </c>
      <c r="AN268" t="b">
        <f ca="1">OR(AND(IF(metadata!C268="",FALSE,TRUE),OR(EXACT(metadata!C268,"missing: not collected"),EXACT(metadata!C268,"missing: not provided"),EXACT(metadata!C268,"missing: restricted access"))),AND(IF(metadata!C268="",FALSE,TRUE),AND(AND(IFERROR(INT(LEFT(metadata!C268,4))&gt;1900,FALSE),IFERROR(INT(LEFT(metadata!C268,4))&lt;=YEAR(NOW()),FALSE)), OR(MID(metadata!C268,5,1)="", AND(AND(MID(metadata!C268,5,1)="-",IFERROR(INT(MID(metadata!C268,6,1))&gt;=0,FALSE),IFERROR(INT(MID(metadata!C268,6,1))&lt;=1,FALSE),NOT(MID(metadata!C268,7,1)=""),IFERROR(INT(MID(metadata!C268,6,2))&gt;=1,FALSE),IFERROR(INT(MID(metadata!C268,6,2))&lt;=12,FALSE)), OR(MID(metadata!C268,8,1)="", AND(AND(MID(metadata!C268,8,1)="-",IFERROR(INT(MID(metadata!C268,9,1))&gt;=0,FALSE),IFERROR(INT(MID(metadata!C268,9,1))&lt;=3,FALSE),NOT(MID(metadata!C268,10,1)=""),IFERROR(INT(MID(metadata!C268,9,2))&gt;=1,FALSE),IFERROR(INT(MID(metadata!C268,9,2))&lt;=31,FALSE)), OR(MID(metadata!C268,11,1)="", AND(AND(MID(metadata!C268,11,1)=" ",IFERROR(INT(MID(metadata!C268,12,1))&gt;=0,FALSE),IFERROR(INT(MID(metadata!C268,12,1))&lt;=2,FALSE),NOT(MID(metadata!C268,13,1)=""),IFERROR(INT(MID(metadata!C268,12,2))&gt;=0,FALSE),IFERROR(INT(MID(metadata!C268,12,2))&lt;=23,FALSE)), OR(MID(metadata!C268,14,1)="", AND(AND(MID(metadata!C268,14,1)=":",IFERROR(INT(MID(metadata!C268,15,1))&gt;=0,FALSE),IFERROR(INT(MID(metadata!C268,15,1))&lt;=5,FALSE),NOT(MID(metadata!C268,16,1)=""),IFERROR(INT(MID(metadata!C268,15,2))&gt;=0,FALSE),IFERROR(INT(MID(metadata!C268,15,2))&lt;=59,FALSE)), OR(MID(metadata!C268,17,1)="", AND(AND(MID(metadata!C268,17,1)=":",IFERROR(INT(MID(metadata!C268,18,1))&gt;=0,FALSE),IFERROR(INT(MID(metadata!C268,18,1))&lt;=5,FALSE),NOT(MID(metadata!C268,19,1)=""),IFERROR(INT(MID(metadata!C268,18,2))&gt;=0,FALSE),IFERROR(INT(MID(metadata!C268,18,2))&lt;=59,FALSE)), LEN(metadata!C268)&lt;=19)))))))))))))</f>
        <v>0</v>
      </c>
      <c r="AO268" t="b">
        <f>AND(IF(metadata!D268="",FALSE,TRUE),EXACT(metadata!D268,"Not applicable"))</f>
        <v>0</v>
      </c>
      <c r="AP268" t="b">
        <f>IF(metadata!E268="",FALSE,TRUE)</f>
        <v>0</v>
      </c>
      <c r="AQ268" t="b">
        <f>OR(AND(IF(metadata!F268="",FALSE,TRUE),OR(EXACT(metadata!F268,"missing: not collected"),EXACT(metadata!F268,"missing: not provided"))),AND(IF(metadata!F268="",FALSE,TRUE),OR(EXACT(metadata!F268,"TRUE"),EXACT(metadata!F268,"FALSE"))))</f>
        <v>0</v>
      </c>
      <c r="AR268" t="b">
        <f>OR(AND(IF(metadata!G268="",FALSE,TRUE),OR(EXACT(metadata!G268,"missing: not collected"),EXACT(metadata!G268,"missing: not provided"),EXACT(metadata!G268,"missing: restricted access"))),AND(IF(metadata!G268="",FALSE,ISNUMBER(VALUE(metadata!G268))),metadata!G268&gt;=-413))</f>
        <v>0</v>
      </c>
      <c r="AS268" t="b">
        <f>AND(IF(metadata!H268="",FALSE,TRUE),EXACT(metadata!H268,"meters"))</f>
        <v>0</v>
      </c>
      <c r="AT268" t="b">
        <f>AND(IF(metadata!I268="",FALSE,TRUE),OR(EXACT(metadata!I268,"Host-associated"),EXACT(metadata!I268,"Free-living")))</f>
        <v>0</v>
      </c>
      <c r="AU268" t="b">
        <f>AND(IF(metadata!J268="",FALSE,TRUE),OR(EXACT(metadata!J268,"Animal"),EXACT(metadata!J268,"Fungus"),EXACT(metadata!J268,"Plant"),EXACT(metadata!J268,"Saline"),EXACT(metadata!J268,"Non-saline")))</f>
        <v>0</v>
      </c>
      <c r="AV268" t="b">
        <f>AND(IF(metadata!K268="",FALSE,TRUE),OR(EXACT(metadata!K268,"Plant secretion"),EXACT(metadata!K268,"Plant rhizosphere"),EXACT(metadata!K268,"Plant surface"),EXACT(metadata!K268,"Plant corpus"),EXACT(metadata!K268,"Fungus surface"),EXACT(metadata!K268,"Fungus corpus"),EXACT(metadata!K268,"Animal surface"),EXACT(metadata!K268,"Animal proximal gut"),EXACT(metadata!K268,"Animal corpus"),EXACT(metadata!K268,"Animal distal gut"),EXACT(metadata!K268,"Animal secretion"),EXACT(metadata!K268,"Sub-surface (non-saline)"),EXACT(metadata!K268,"Surface (non-saline)"),EXACT(metadata!K268,"Water (non-saline)"),EXACT(metadata!K268,"Soil (non-saline)"),EXACT(metadata!K268,"Aerosol (non-saline)"),EXACT(metadata!K268,"Sediment (non-saline)"),EXACT(metadata!K268,"Surface (saline)"),EXACT(metadata!K268,"Water (saline)"),EXACT(metadata!K268,"Hypersaline (saline)"),EXACT(metadata!K268,"Aerosol (saline)"),EXACT(metadata!K268,"Sediment (saline)")))</f>
        <v>0</v>
      </c>
      <c r="AW268" t="b">
        <f>IF(metadata!L268="",FALSE,TRUE)</f>
        <v>0</v>
      </c>
      <c r="AX268" t="b">
        <f>IF(metadata!M268="",FALSE,TRUE)</f>
        <v>0</v>
      </c>
      <c r="AY268" t="b">
        <f>IF(metadata!N268="",FALSE,TRUE)</f>
        <v>0</v>
      </c>
      <c r="AZ268" t="b">
        <f>OR(AND(IF(metadata!O268="",FALSE,TRUE),OR(EXACT(metadata!O268,"missing: not collected"),EXACT(metadata!O268,"missing: not provided"),EXACT(metadata!O268,"missing: restricted access"))),AND(IF(metadata!O268="",FALSE,TRUE),OR(EXACT(metadata!O268,"air"),EXACT(metadata!O268,"built environment"),EXACT(metadata!O268,"host-associated"),EXACT(metadata!O268,"human-associated"),EXACT(metadata!O268,"human-skin"),EXACT(metadata!O268,"human-oral"),EXACT(metadata!O268,"human-gut"),EXACT(metadata!O268,"human-vaginal"),EXACT(metadata!O268,"microbial mat/biofilm"),EXACT(metadata!O268,"misc environment"),EXACT(metadata!O268,"plant-associated"),EXACT(metadata!O268,"sediment"),EXACT(metadata!O268,"soil"),EXACT(metadata!O268,"wastewater/sludge"),EXACT(metadata!O268,"water"))))</f>
        <v>0</v>
      </c>
      <c r="BA268" t="b">
        <f>IF(metadata!P268="",FALSE,TRUE)</f>
        <v>0</v>
      </c>
      <c r="BB268" t="b">
        <f>IF(metadata!Q268="",FALSE,TRUE)</f>
        <v>0</v>
      </c>
      <c r="BC268" t="b">
        <f>OR(AND(IF(metadata!R268="",FALSE,TRUE),OR(EXACT(metadata!R268,"missing: not collected"),EXACT(metadata!R268,"missing: not provided"),EXACT(metadata!R268,"missing: restricted access"))),AND(IF(metadata!R268="",FALSE,ISNUMBER(VALUE(metadata!R268))),metadata!R268&gt;=-90,metadata!R268&lt;=90))</f>
        <v>0</v>
      </c>
      <c r="BD268" t="b">
        <f>AND(IF(metadata!S268="",FALSE,TRUE),EXACT(metadata!S268,"Decimal degrees"))</f>
        <v>0</v>
      </c>
      <c r="BE268" t="b">
        <f>OR(AND(IF(metadata!T268="",FALSE,TRUE),OR(EXACT(metadata!T268,"missing: not collected"),EXACT(metadata!T268,"missing: not provided"),EXACT(metadata!T268,"missing: restricted access"))),AND(IF(metadata!T268="",FALSE,ISNUMBER(VALUE(metadata!T268))),metadata!T268&gt;=-180,metadata!T268&lt;=180))</f>
        <v>0</v>
      </c>
      <c r="BF268" t="b">
        <f>AND(IF(metadata!U268="",FALSE,TRUE),EXACT(metadata!U268,"Decimal degrees"))</f>
        <v>0</v>
      </c>
      <c r="BG268" t="b">
        <f>IF(metadata!V268="",FALSE,TRUE)</f>
        <v>0</v>
      </c>
      <c r="BH268" t="b">
        <f>OR(AND(IF(metadata!W268="",FALSE,TRUE),OR(EXACT(metadata!W268,"missing: not collected"),EXACT(metadata!W268,"missing: not provided"),EXACT(metadata!W268,"missing: restricted access"))),AND(IF(metadata!W268="",FALSE,TRUE),OR(EXACT(metadata!W268,"TRUE"),EXACT(metadata!W268,"FALSE"))))</f>
        <v>0</v>
      </c>
      <c r="BI268" t="b">
        <f>AND(IF(metadata!X268="",FALSE,TRUE),EXACT(metadata!X268,"other"))</f>
        <v>0</v>
      </c>
      <c r="BJ268" t="b">
        <f>IF(metadata!Y268="",FALSE,TRUE)</f>
        <v>0</v>
      </c>
      <c r="BK268" t="b">
        <f>OR(AND(IF(metadata!Z268="",FALSE,TRUE),OR(EXACT(metadata!Z268,"missing: not collected"),EXACT(metadata!Z268,"missing: not provided"))),AND(IF(metadata!Z268="",FALSE,IF(ISERROR(INT(metadata!Z268)),FALSE,INT(metadata!Z268)=metadata!Z268)),metadata!Z268&gt;0))</f>
        <v>0</v>
      </c>
      <c r="BL268" t="b">
        <f>AND(IF(metadata!AA268="",FALSE,TRUE),EXACT(metadata!AA268,"Not applicable"))</f>
        <v>0</v>
      </c>
      <c r="BM268" t="b">
        <f>IF(metadata!AB268="",FALSE,TRUE)</f>
        <v>0</v>
      </c>
    </row>
    <row r="269" spans="1:65" x14ac:dyDescent="0.2">
      <c r="A269" s="5" t="str">
        <f ca="1">IF(B269=" "," ",HYPERLINK(CONCATENATE("#metadata!",ADDRESS(INDEX($AH$2:$AH$1001,MATCH(ROWS($AF$2:AF269),$AF$2:$AF$1001,0),0),1)),INDEX($AK$2:$AK$1001,MATCH(ROWS($AF$2:AF269),$AF$2:$AF$1001,0),0)))</f>
        <v xml:space="preserve"> </v>
      </c>
      <c r="B269" s="4" t="str">
        <f ca="1">IF(OR(INDEX($AG$2:$AG$1001,MATCH(ROWS($AF$2:AF269),$AF$2:$AF$1001,0),1)&gt;=100000,INDEX($AM$1005:$BM$1005,1,MATCH(COLUMNS($AM$1006:AM1006),$AM$1006:$BM$1006,0))&gt;=100000), " ",IF(INDEX($AM$2:$BM$1001,MATCH(ROWS($AF$2:AF269),$AF$2:$AF$1001,0),MATCH(COLUMNS($AM$1006:AM1006),$AM$1006:$BM$1006,0)), HYPERLINK("#",""), HYPERLINK(CONCATENATE("#metadata!", ADDRESS(INDEX($AH$2:$AH$1001,MATCH(ROWS($AF$2:AF269),$AF$2:$AF$1001,0),0), INDEX($AM$1004:$BM$1004,1,MATCH(COLUMNS($AM$1006:AM1006),$AM$1006:$BM$1006,0)))),"Fix")))</f>
        <v xml:space="preserve"> </v>
      </c>
      <c r="C269" s="4" t="str">
        <f ca="1">IF(OR(INDEX($AG$2:$AG$1001,MATCH(ROWS($AF$2:AF269),$AF$2:$AF$1001,0),1)&gt;=100000,INDEX($AM$1005:$BM$1005,1,MATCH(COLUMNS($AM$1006:AN1006),$AM$1006:$BM$1006,0))&gt;=100000), " ",IF(INDEX($AM$2:$BM$1001,MATCH(ROWS($AF$2:AF269),$AF$2:$AF$1001,0),MATCH(COLUMNS($AM$1006:AN1006),$AM$1006:$BM$1006,0)), HYPERLINK("#",""), HYPERLINK(CONCATENATE("#metadata!", ADDRESS(INDEX($AH$2:$AH$1001,MATCH(ROWS($AF$2:AF269),$AF$2:$AF$1001,0),0), INDEX($AM$1004:$BM$1004,1,MATCH(COLUMNS($AM$1006:AN1006),$AM$1006:$BM$1006,0)))),"Fix")))</f>
        <v xml:space="preserve"> </v>
      </c>
      <c r="D269" s="4" t="str">
        <f ca="1">IF(OR(INDEX($AG$2:$AG$1001,MATCH(ROWS($AF$2:AF269),$AF$2:$AF$1001,0),1)&gt;=100000,INDEX($AM$1005:$BM$1005,1,MATCH(COLUMNS($AM$1006:AO1006),$AM$1006:$BM$1006,0))&gt;=100000), " ",IF(INDEX($AM$2:$BM$1001,MATCH(ROWS($AF$2:AF269),$AF$2:$AF$1001,0),MATCH(COLUMNS($AM$1006:AO1006),$AM$1006:$BM$1006,0)), HYPERLINK("#",""), HYPERLINK(CONCATENATE("#metadata!", ADDRESS(INDEX($AH$2:$AH$1001,MATCH(ROWS($AF$2:AF269),$AF$2:$AF$1001,0),0), INDEX($AM$1004:$BM$1004,1,MATCH(COLUMNS($AM$1006:AO1006),$AM$1006:$BM$1006,0)))),"Fix")))</f>
        <v xml:space="preserve"> </v>
      </c>
      <c r="E269" s="4" t="str">
        <f ca="1">IF(OR(INDEX($AG$2:$AG$1001,MATCH(ROWS($AF$2:AF269),$AF$2:$AF$1001,0),1)&gt;=100000,INDEX($AM$1005:$BM$1005,1,MATCH(COLUMNS($AM$1006:AP1006),$AM$1006:$BM$1006,0))&gt;=100000), " ",IF(INDEX($AM$2:$BM$1001,MATCH(ROWS($AF$2:AF269),$AF$2:$AF$1001,0),MATCH(COLUMNS($AM$1006:AP1006),$AM$1006:$BM$1006,0)), HYPERLINK("#",""), HYPERLINK(CONCATENATE("#metadata!", ADDRESS(INDEX($AH$2:$AH$1001,MATCH(ROWS($AF$2:AF269),$AF$2:$AF$1001,0),0), INDEX($AM$1004:$BM$1004,1,MATCH(COLUMNS($AM$1006:AP1006),$AM$1006:$BM$1006,0)))),"Fix")))</f>
        <v xml:space="preserve"> </v>
      </c>
      <c r="F269" s="4" t="str">
        <f ca="1">IF(OR(INDEX($AG$2:$AG$1001,MATCH(ROWS($AF$2:AF269),$AF$2:$AF$1001,0),1)&gt;=100000,INDEX($AM$1005:$BM$1005,1,MATCH(COLUMNS($AM$1006:AQ1006),$AM$1006:$BM$1006,0))&gt;=100000), " ",IF(INDEX($AM$2:$BM$1001,MATCH(ROWS($AF$2:AF269),$AF$2:$AF$1001,0),MATCH(COLUMNS($AM$1006:AQ1006),$AM$1006:$BM$1006,0)), HYPERLINK("#",""), HYPERLINK(CONCATENATE("#metadata!", ADDRESS(INDEX($AH$2:$AH$1001,MATCH(ROWS($AF$2:AF269),$AF$2:$AF$1001,0),0), INDEX($AM$1004:$BM$1004,1,MATCH(COLUMNS($AM$1006:AQ1006),$AM$1006:$BM$1006,0)))),"Fix")))</f>
        <v xml:space="preserve"> </v>
      </c>
      <c r="G269" s="4" t="str">
        <f ca="1">IF(OR(INDEX($AG$2:$AG$1001,MATCH(ROWS($AF$2:AF269),$AF$2:$AF$1001,0),1)&gt;=100000,INDEX($AM$1005:$BM$1005,1,MATCH(COLUMNS($AM$1006:AR1006),$AM$1006:$BM$1006,0))&gt;=100000), " ",IF(INDEX($AM$2:$BM$1001,MATCH(ROWS($AF$2:AF269),$AF$2:$AF$1001,0),MATCH(COLUMNS($AM$1006:AR1006),$AM$1006:$BM$1006,0)), HYPERLINK("#",""), HYPERLINK(CONCATENATE("#metadata!", ADDRESS(INDEX($AH$2:$AH$1001,MATCH(ROWS($AF$2:AF269),$AF$2:$AF$1001,0),0), INDEX($AM$1004:$BM$1004,1,MATCH(COLUMNS($AM$1006:AR1006),$AM$1006:$BM$1006,0)))),"Fix")))</f>
        <v xml:space="preserve"> </v>
      </c>
      <c r="H269" s="4" t="str">
        <f ca="1">IF(OR(INDEX($AG$2:$AG$1001,MATCH(ROWS($AF$2:AF269),$AF$2:$AF$1001,0),1)&gt;=100000,INDEX($AM$1005:$BM$1005,1,MATCH(COLUMNS($AM$1006:AS1006),$AM$1006:$BM$1006,0))&gt;=100000), " ",IF(INDEX($AM$2:$BM$1001,MATCH(ROWS($AF$2:AF269),$AF$2:$AF$1001,0),MATCH(COLUMNS($AM$1006:AS1006),$AM$1006:$BM$1006,0)), HYPERLINK("#",""), HYPERLINK(CONCATENATE("#metadata!", ADDRESS(INDEX($AH$2:$AH$1001,MATCH(ROWS($AF$2:AF269),$AF$2:$AF$1001,0),0), INDEX($AM$1004:$BM$1004,1,MATCH(COLUMNS($AM$1006:AS1006),$AM$1006:$BM$1006,0)))),"Fix")))</f>
        <v xml:space="preserve"> </v>
      </c>
      <c r="I269" s="4" t="str">
        <f ca="1">IF(OR(INDEX($AG$2:$AG$1001,MATCH(ROWS($AF$2:AF269),$AF$2:$AF$1001,0),1)&gt;=100000,INDEX($AM$1005:$BM$1005,1,MATCH(COLUMNS($AM$1006:AT1006),$AM$1006:$BM$1006,0))&gt;=100000), " ",IF(INDEX($AM$2:$BM$1001,MATCH(ROWS($AF$2:AF269),$AF$2:$AF$1001,0),MATCH(COLUMNS($AM$1006:AT1006),$AM$1006:$BM$1006,0)), HYPERLINK("#",""), HYPERLINK(CONCATENATE("#metadata!", ADDRESS(INDEX($AH$2:$AH$1001,MATCH(ROWS($AF$2:AF269),$AF$2:$AF$1001,0),0), INDEX($AM$1004:$BM$1004,1,MATCH(COLUMNS($AM$1006:AT1006),$AM$1006:$BM$1006,0)))),"Fix")))</f>
        <v xml:space="preserve"> </v>
      </c>
      <c r="J269" s="4" t="str">
        <f ca="1">IF(OR(INDEX($AG$2:$AG$1001,MATCH(ROWS($AF$2:AF269),$AF$2:$AF$1001,0),1)&gt;=100000,INDEX($AM$1005:$BM$1005,1,MATCH(COLUMNS($AM$1006:AU1006),$AM$1006:$BM$1006,0))&gt;=100000), " ",IF(INDEX($AM$2:$BM$1001,MATCH(ROWS($AF$2:AF269),$AF$2:$AF$1001,0),MATCH(COLUMNS($AM$1006:AU1006),$AM$1006:$BM$1006,0)), HYPERLINK("#",""), HYPERLINK(CONCATENATE("#metadata!", ADDRESS(INDEX($AH$2:$AH$1001,MATCH(ROWS($AF$2:AF269),$AF$2:$AF$1001,0),0), INDEX($AM$1004:$BM$1004,1,MATCH(COLUMNS($AM$1006:AU1006),$AM$1006:$BM$1006,0)))),"Fix")))</f>
        <v xml:space="preserve"> </v>
      </c>
      <c r="K269" s="4" t="str">
        <f ca="1">IF(OR(INDEX($AG$2:$AG$1001,MATCH(ROWS($AF$2:AF269),$AF$2:$AF$1001,0),1)&gt;=100000,INDEX($AM$1005:$BM$1005,1,MATCH(COLUMNS($AM$1006:AV1006),$AM$1006:$BM$1006,0))&gt;=100000), " ",IF(INDEX($AM$2:$BM$1001,MATCH(ROWS($AF$2:AF269),$AF$2:$AF$1001,0),MATCH(COLUMNS($AM$1006:AV1006),$AM$1006:$BM$1006,0)), HYPERLINK("#",""), HYPERLINK(CONCATENATE("#metadata!", ADDRESS(INDEX($AH$2:$AH$1001,MATCH(ROWS($AF$2:AF269),$AF$2:$AF$1001,0),0), INDEX($AM$1004:$BM$1004,1,MATCH(COLUMNS($AM$1006:AV1006),$AM$1006:$BM$1006,0)))),"Fix")))</f>
        <v xml:space="preserve"> </v>
      </c>
      <c r="L269" s="4" t="str">
        <f ca="1">IF(OR(INDEX($AG$2:$AG$1001,MATCH(ROWS($AF$2:AF269),$AF$2:$AF$1001,0),1)&gt;=100000,INDEX($AM$1005:$BM$1005,1,MATCH(COLUMNS($AM$1006:AW1006),$AM$1006:$BM$1006,0))&gt;=100000), " ",IF(INDEX($AM$2:$BM$1001,MATCH(ROWS($AF$2:AF269),$AF$2:$AF$1001,0),MATCH(COLUMNS($AM$1006:AW1006),$AM$1006:$BM$1006,0)), HYPERLINK("#",""), HYPERLINK(CONCATENATE("#metadata!", ADDRESS(INDEX($AH$2:$AH$1001,MATCH(ROWS($AF$2:AF269),$AF$2:$AF$1001,0),0), INDEX($AM$1004:$BM$1004,1,MATCH(COLUMNS($AM$1006:AW1006),$AM$1006:$BM$1006,0)))),"Fix")))</f>
        <v xml:space="preserve"> </v>
      </c>
      <c r="M269" s="4" t="str">
        <f ca="1">IF(OR(INDEX($AG$2:$AG$1001,MATCH(ROWS($AF$2:AF269),$AF$2:$AF$1001,0),1)&gt;=100000,INDEX($AM$1005:$BM$1005,1,MATCH(COLUMNS($AM$1006:AX1006),$AM$1006:$BM$1006,0))&gt;=100000), " ",IF(INDEX($AM$2:$BM$1001,MATCH(ROWS($AF$2:AF269),$AF$2:$AF$1001,0),MATCH(COLUMNS($AM$1006:AX1006),$AM$1006:$BM$1006,0)), HYPERLINK("#",""), HYPERLINK(CONCATENATE("#metadata!", ADDRESS(INDEX($AH$2:$AH$1001,MATCH(ROWS($AF$2:AF269),$AF$2:$AF$1001,0),0), INDEX($AM$1004:$BM$1004,1,MATCH(COLUMNS($AM$1006:AX1006),$AM$1006:$BM$1006,0)))),"Fix")))</f>
        <v xml:space="preserve"> </v>
      </c>
      <c r="N269" s="4" t="str">
        <f ca="1">IF(OR(INDEX($AG$2:$AG$1001,MATCH(ROWS($AF$2:AF269),$AF$2:$AF$1001,0),1)&gt;=100000,INDEX($AM$1005:$BM$1005,1,MATCH(COLUMNS($AM$1006:AY1006),$AM$1006:$BM$1006,0))&gt;=100000), " ",IF(INDEX($AM$2:$BM$1001,MATCH(ROWS($AF$2:AF269),$AF$2:$AF$1001,0),MATCH(COLUMNS($AM$1006:AY1006),$AM$1006:$BM$1006,0)), HYPERLINK("#",""), HYPERLINK(CONCATENATE("#metadata!", ADDRESS(INDEX($AH$2:$AH$1001,MATCH(ROWS($AF$2:AF269),$AF$2:$AF$1001,0),0), INDEX($AM$1004:$BM$1004,1,MATCH(COLUMNS($AM$1006:AY1006),$AM$1006:$BM$1006,0)))),"Fix")))</f>
        <v xml:space="preserve"> </v>
      </c>
      <c r="O269" s="4" t="str">
        <f ca="1">IF(OR(INDEX($AG$2:$AG$1001,MATCH(ROWS($AF$2:AF269),$AF$2:$AF$1001,0),1)&gt;=100000,INDEX($AM$1005:$BM$1005,1,MATCH(COLUMNS($AM$1006:AZ1006),$AM$1006:$BM$1006,0))&gt;=100000), " ",IF(INDEX($AM$2:$BM$1001,MATCH(ROWS($AF$2:AF269),$AF$2:$AF$1001,0),MATCH(COLUMNS($AM$1006:AZ1006),$AM$1006:$BM$1006,0)), HYPERLINK("#",""), HYPERLINK(CONCATENATE("#metadata!", ADDRESS(INDEX($AH$2:$AH$1001,MATCH(ROWS($AF$2:AF269),$AF$2:$AF$1001,0),0), INDEX($AM$1004:$BM$1004,1,MATCH(COLUMNS($AM$1006:AZ1006),$AM$1006:$BM$1006,0)))),"Fix")))</f>
        <v xml:space="preserve"> </v>
      </c>
      <c r="P269" s="4" t="str">
        <f ca="1">IF(OR(INDEX($AG$2:$AG$1001,MATCH(ROWS($AF$2:AF269),$AF$2:$AF$1001,0),1)&gt;=100000,INDEX($AM$1005:$BM$1005,1,MATCH(COLUMNS($AM$1006:BA1006),$AM$1006:$BM$1006,0))&gt;=100000), " ",IF(INDEX($AM$2:$BM$1001,MATCH(ROWS($AF$2:AF269),$AF$2:$AF$1001,0),MATCH(COLUMNS($AM$1006:BA1006),$AM$1006:$BM$1006,0)), HYPERLINK("#",""), HYPERLINK(CONCATENATE("#metadata!", ADDRESS(INDEX($AH$2:$AH$1001,MATCH(ROWS($AF$2:AF269),$AF$2:$AF$1001,0),0), INDEX($AM$1004:$BM$1004,1,MATCH(COLUMNS($AM$1006:BA1006),$AM$1006:$BM$1006,0)))),"Fix")))</f>
        <v xml:space="preserve"> </v>
      </c>
      <c r="Q269" s="4" t="str">
        <f ca="1">IF(OR(INDEX($AG$2:$AG$1001,MATCH(ROWS($AF$2:AF269),$AF$2:$AF$1001,0),1)&gt;=100000,INDEX($AM$1005:$BM$1005,1,MATCH(COLUMNS($AM$1006:BB1006),$AM$1006:$BM$1006,0))&gt;=100000), " ",IF(INDEX($AM$2:$BM$1001,MATCH(ROWS($AF$2:AF269),$AF$2:$AF$1001,0),MATCH(COLUMNS($AM$1006:BB1006),$AM$1006:$BM$1006,0)), HYPERLINK("#",""), HYPERLINK(CONCATENATE("#metadata!", ADDRESS(INDEX($AH$2:$AH$1001,MATCH(ROWS($AF$2:AF269),$AF$2:$AF$1001,0),0), INDEX($AM$1004:$BM$1004,1,MATCH(COLUMNS($AM$1006:BB1006),$AM$1006:$BM$1006,0)))),"Fix")))</f>
        <v xml:space="preserve"> </v>
      </c>
      <c r="R269" s="4" t="str">
        <f ca="1">IF(OR(INDEX($AG$2:$AG$1001,MATCH(ROWS($AF$2:AF269),$AF$2:$AF$1001,0),1)&gt;=100000,INDEX($AM$1005:$BM$1005,1,MATCH(COLUMNS($AM$1006:BC1006),$AM$1006:$BM$1006,0))&gt;=100000), " ",IF(INDEX($AM$2:$BM$1001,MATCH(ROWS($AF$2:AF269),$AF$2:$AF$1001,0),MATCH(COLUMNS($AM$1006:BC1006),$AM$1006:$BM$1006,0)), HYPERLINK("#",""), HYPERLINK(CONCATENATE("#metadata!", ADDRESS(INDEX($AH$2:$AH$1001,MATCH(ROWS($AF$2:AF269),$AF$2:$AF$1001,0),0), INDEX($AM$1004:$BM$1004,1,MATCH(COLUMNS($AM$1006:BC1006),$AM$1006:$BM$1006,0)))),"Fix")))</f>
        <v xml:space="preserve"> </v>
      </c>
      <c r="S269" s="4" t="str">
        <f ca="1">IF(OR(INDEX($AG$2:$AG$1001,MATCH(ROWS($AF$2:AF269),$AF$2:$AF$1001,0),1)&gt;=100000,INDEX($AM$1005:$BM$1005,1,MATCH(COLUMNS($AM$1006:BD1006),$AM$1006:$BM$1006,0))&gt;=100000), " ",IF(INDEX($AM$2:$BM$1001,MATCH(ROWS($AF$2:AF269),$AF$2:$AF$1001,0),MATCH(COLUMNS($AM$1006:BD1006),$AM$1006:$BM$1006,0)), HYPERLINK("#",""), HYPERLINK(CONCATENATE("#metadata!", ADDRESS(INDEX($AH$2:$AH$1001,MATCH(ROWS($AF$2:AF269),$AF$2:$AF$1001,0),0), INDEX($AM$1004:$BM$1004,1,MATCH(COLUMNS($AM$1006:BD1006),$AM$1006:$BM$1006,0)))),"Fix")))</f>
        <v xml:space="preserve"> </v>
      </c>
      <c r="T269" s="4" t="str">
        <f ca="1">IF(OR(INDEX($AG$2:$AG$1001,MATCH(ROWS($AF$2:AF269),$AF$2:$AF$1001,0),1)&gt;=100000,INDEX($AM$1005:$BM$1005,1,MATCH(COLUMNS($AM$1006:BE1006),$AM$1006:$BM$1006,0))&gt;=100000), " ",IF(INDEX($AM$2:$BM$1001,MATCH(ROWS($AF$2:AF269),$AF$2:$AF$1001,0),MATCH(COLUMNS($AM$1006:BE1006),$AM$1006:$BM$1006,0)), HYPERLINK("#",""), HYPERLINK(CONCATENATE("#metadata!", ADDRESS(INDEX($AH$2:$AH$1001,MATCH(ROWS($AF$2:AF269),$AF$2:$AF$1001,0),0), INDEX($AM$1004:$BM$1004,1,MATCH(COLUMNS($AM$1006:BE1006),$AM$1006:$BM$1006,0)))),"Fix")))</f>
        <v xml:space="preserve"> </v>
      </c>
      <c r="U269" s="4" t="str">
        <f ca="1">IF(OR(INDEX($AG$2:$AG$1001,MATCH(ROWS($AF$2:AF269),$AF$2:$AF$1001,0),1)&gt;=100000,INDEX($AM$1005:$BM$1005,1,MATCH(COLUMNS($AM$1006:BF1006),$AM$1006:$BM$1006,0))&gt;=100000), " ",IF(INDEX($AM$2:$BM$1001,MATCH(ROWS($AF$2:AF269),$AF$2:$AF$1001,0),MATCH(COLUMNS($AM$1006:BF1006),$AM$1006:$BM$1006,0)), HYPERLINK("#",""), HYPERLINK(CONCATENATE("#metadata!", ADDRESS(INDEX($AH$2:$AH$1001,MATCH(ROWS($AF$2:AF269),$AF$2:$AF$1001,0),0), INDEX($AM$1004:$BM$1004,1,MATCH(COLUMNS($AM$1006:BF1006),$AM$1006:$BM$1006,0)))),"Fix")))</f>
        <v xml:space="preserve"> </v>
      </c>
      <c r="V269" s="4" t="str">
        <f ca="1">IF(OR(INDEX($AG$2:$AG$1001,MATCH(ROWS($AF$2:AF269),$AF$2:$AF$1001,0),1)&gt;=100000,INDEX($AM$1005:$BM$1005,1,MATCH(COLUMNS($AM$1006:BG1006),$AM$1006:$BM$1006,0))&gt;=100000), " ",IF(INDEX($AM$2:$BM$1001,MATCH(ROWS($AF$2:AF269),$AF$2:$AF$1001,0),MATCH(COLUMNS($AM$1006:BG1006),$AM$1006:$BM$1006,0)), HYPERLINK("#",""), HYPERLINK(CONCATENATE("#metadata!", ADDRESS(INDEX($AH$2:$AH$1001,MATCH(ROWS($AF$2:AF269),$AF$2:$AF$1001,0),0), INDEX($AM$1004:$BM$1004,1,MATCH(COLUMNS($AM$1006:BG1006),$AM$1006:$BM$1006,0)))),"Fix")))</f>
        <v xml:space="preserve"> </v>
      </c>
      <c r="W269" s="4" t="str">
        <f ca="1">IF(OR(INDEX($AG$2:$AG$1001,MATCH(ROWS($AF$2:AF269),$AF$2:$AF$1001,0),1)&gt;=100000,INDEX($AM$1005:$BM$1005,1,MATCH(COLUMNS($AM$1006:BH1006),$AM$1006:$BM$1006,0))&gt;=100000), " ",IF(INDEX($AM$2:$BM$1001,MATCH(ROWS($AF$2:AF269),$AF$2:$AF$1001,0),MATCH(COLUMNS($AM$1006:BH1006),$AM$1006:$BM$1006,0)), HYPERLINK("#",""), HYPERLINK(CONCATENATE("#metadata!", ADDRESS(INDEX($AH$2:$AH$1001,MATCH(ROWS($AF$2:AF269),$AF$2:$AF$1001,0),0), INDEX($AM$1004:$BM$1004,1,MATCH(COLUMNS($AM$1006:BH1006),$AM$1006:$BM$1006,0)))),"Fix")))</f>
        <v xml:space="preserve"> </v>
      </c>
      <c r="X269" s="4" t="str">
        <f ca="1">IF(OR(INDEX($AG$2:$AG$1001,MATCH(ROWS($AF$2:AF269),$AF$2:$AF$1001,0),1)&gt;=100000,INDEX($AM$1005:$BM$1005,1,MATCH(COLUMNS($AM$1006:BI1006),$AM$1006:$BM$1006,0))&gt;=100000), " ",IF(INDEX($AM$2:$BM$1001,MATCH(ROWS($AF$2:AF269),$AF$2:$AF$1001,0),MATCH(COLUMNS($AM$1006:BI1006),$AM$1006:$BM$1006,0)), HYPERLINK("#",""), HYPERLINK(CONCATENATE("#metadata!", ADDRESS(INDEX($AH$2:$AH$1001,MATCH(ROWS($AF$2:AF269),$AF$2:$AF$1001,0),0), INDEX($AM$1004:$BM$1004,1,MATCH(COLUMNS($AM$1006:BI1006),$AM$1006:$BM$1006,0)))),"Fix")))</f>
        <v xml:space="preserve"> </v>
      </c>
      <c r="Y269" s="4" t="str">
        <f ca="1">IF(OR(INDEX($AG$2:$AG$1001,MATCH(ROWS($AF$2:AF269),$AF$2:$AF$1001,0),1)&gt;=100000,INDEX($AM$1005:$BM$1005,1,MATCH(COLUMNS($AM$1006:BJ1006),$AM$1006:$BM$1006,0))&gt;=100000), " ",IF(INDEX($AM$2:$BM$1001,MATCH(ROWS($AF$2:AF269),$AF$2:$AF$1001,0),MATCH(COLUMNS($AM$1006:BJ1006),$AM$1006:$BM$1006,0)), HYPERLINK("#",""), HYPERLINK(CONCATENATE("#metadata!", ADDRESS(INDEX($AH$2:$AH$1001,MATCH(ROWS($AF$2:AF269),$AF$2:$AF$1001,0),0), INDEX($AM$1004:$BM$1004,1,MATCH(COLUMNS($AM$1006:BJ1006),$AM$1006:$BM$1006,0)))),"Fix")))</f>
        <v xml:space="preserve"> </v>
      </c>
      <c r="Z269" s="4" t="str">
        <f ca="1">IF(OR(INDEX($AG$2:$AG$1001,MATCH(ROWS($AF$2:AF269),$AF$2:$AF$1001,0),1)&gt;=100000,INDEX($AM$1005:$BM$1005,1,MATCH(COLUMNS($AM$1006:BK1006),$AM$1006:$BM$1006,0))&gt;=100000), " ",IF(INDEX($AM$2:$BM$1001,MATCH(ROWS($AF$2:AF269),$AF$2:$AF$1001,0),MATCH(COLUMNS($AM$1006:BK1006),$AM$1006:$BM$1006,0)), HYPERLINK("#",""), HYPERLINK(CONCATENATE("#metadata!", ADDRESS(INDEX($AH$2:$AH$1001,MATCH(ROWS($AF$2:AF269),$AF$2:$AF$1001,0),0), INDEX($AM$1004:$BM$1004,1,MATCH(COLUMNS($AM$1006:BK1006),$AM$1006:$BM$1006,0)))),"Fix")))</f>
        <v xml:space="preserve"> </v>
      </c>
      <c r="AA269" s="4" t="str">
        <f ca="1">IF(OR(INDEX($AG$2:$AG$1001,MATCH(ROWS($AF$2:AF269),$AF$2:$AF$1001,0),1)&gt;=100000,INDEX($AM$1005:$BM$1005,1,MATCH(COLUMNS($AM$1006:BL1006),$AM$1006:$BM$1006,0))&gt;=100000), " ",IF(INDEX($AM$2:$BM$1001,MATCH(ROWS($AF$2:AF269),$AF$2:$AF$1001,0),MATCH(COLUMNS($AM$1006:BL1006),$AM$1006:$BM$1006,0)), HYPERLINK("#",""), HYPERLINK(CONCATENATE("#metadata!", ADDRESS(INDEX($AH$2:$AH$1001,MATCH(ROWS($AF$2:AF269),$AF$2:$AF$1001,0),0), INDEX($AM$1004:$BM$1004,1,MATCH(COLUMNS($AM$1006:BL1006),$AM$1006:$BM$1006,0)))),"Fix")))</f>
        <v xml:space="preserve"> </v>
      </c>
      <c r="AB269" s="4" t="str">
        <f ca="1">IF(OR(INDEX($AG$2:$AG$1001,MATCH(ROWS($AF$2:AF269),$AF$2:$AF$1001,0),1)&gt;=100000,INDEX($AM$1005:$BM$1005,1,MATCH(COLUMNS($AM$1006:BM1006),$AM$1006:$BM$1006,0))&gt;=100000), " ",IF(INDEX($AM$2:$BM$1001,MATCH(ROWS($AF$2:AF269),$AF$2:$AF$1001,0),MATCH(COLUMNS($AM$1006:BM1006),$AM$1006:$BM$1006,0)), HYPERLINK("#",""), HYPERLINK(CONCATENATE("#metadata!", ADDRESS(INDEX($AH$2:$AH$1001,MATCH(ROWS($AF$2:AF269),$AF$2:$AF$1001,0),0), INDEX($AM$1004:$BM$1004,1,MATCH(COLUMNS($AM$1006:BM1006),$AM$1006:$BM$1006,0)))),"Fix")))</f>
        <v xml:space="preserve"> </v>
      </c>
      <c r="AF269">
        <v>268</v>
      </c>
      <c r="AG269">
        <v>100269</v>
      </c>
      <c r="AH269">
        <v>269</v>
      </c>
      <c r="AI269" t="b">
        <f t="shared" si="4"/>
        <v>1</v>
      </c>
      <c r="AJ269" t="b">
        <f>COUNTBLANK(metadata!B269:AB269)=COLUMNS(metadata!B269:AB269)</f>
        <v>1</v>
      </c>
      <c r="AK269" t="str">
        <v/>
      </c>
      <c r="AM269" t="b">
        <f ca="1">AND(IF(metadata!B269="",FALSE,TRUE),COUNTIF(metadata!B:B, metadata!B269) = 1,NOT(ISERROR(SUMPRODUCT(SEARCH(MID(metadata!B269,ROW(INDIRECT("1:"&amp;LEN(metadata!B269))), 1),"0123456789abcdefghijklmnopqrstuvwxyzABCDEFGHIJKLMNOPQRSTUVWXYZ.")))))</f>
        <v>0</v>
      </c>
      <c r="AN269" t="b">
        <f ca="1">OR(AND(IF(metadata!C269="",FALSE,TRUE),OR(EXACT(metadata!C269,"missing: not collected"),EXACT(metadata!C269,"missing: not provided"),EXACT(metadata!C269,"missing: restricted access"))),AND(IF(metadata!C269="",FALSE,TRUE),AND(AND(IFERROR(INT(LEFT(metadata!C269,4))&gt;1900,FALSE),IFERROR(INT(LEFT(metadata!C269,4))&lt;=YEAR(NOW()),FALSE)), OR(MID(metadata!C269,5,1)="", AND(AND(MID(metadata!C269,5,1)="-",IFERROR(INT(MID(metadata!C269,6,1))&gt;=0,FALSE),IFERROR(INT(MID(metadata!C269,6,1))&lt;=1,FALSE),NOT(MID(metadata!C269,7,1)=""),IFERROR(INT(MID(metadata!C269,6,2))&gt;=1,FALSE),IFERROR(INT(MID(metadata!C269,6,2))&lt;=12,FALSE)), OR(MID(metadata!C269,8,1)="", AND(AND(MID(metadata!C269,8,1)="-",IFERROR(INT(MID(metadata!C269,9,1))&gt;=0,FALSE),IFERROR(INT(MID(metadata!C269,9,1))&lt;=3,FALSE),NOT(MID(metadata!C269,10,1)=""),IFERROR(INT(MID(metadata!C269,9,2))&gt;=1,FALSE),IFERROR(INT(MID(metadata!C269,9,2))&lt;=31,FALSE)), OR(MID(metadata!C269,11,1)="", AND(AND(MID(metadata!C269,11,1)=" ",IFERROR(INT(MID(metadata!C269,12,1))&gt;=0,FALSE),IFERROR(INT(MID(metadata!C269,12,1))&lt;=2,FALSE),NOT(MID(metadata!C269,13,1)=""),IFERROR(INT(MID(metadata!C269,12,2))&gt;=0,FALSE),IFERROR(INT(MID(metadata!C269,12,2))&lt;=23,FALSE)), OR(MID(metadata!C269,14,1)="", AND(AND(MID(metadata!C269,14,1)=":",IFERROR(INT(MID(metadata!C269,15,1))&gt;=0,FALSE),IFERROR(INT(MID(metadata!C269,15,1))&lt;=5,FALSE),NOT(MID(metadata!C269,16,1)=""),IFERROR(INT(MID(metadata!C269,15,2))&gt;=0,FALSE),IFERROR(INT(MID(metadata!C269,15,2))&lt;=59,FALSE)), OR(MID(metadata!C269,17,1)="", AND(AND(MID(metadata!C269,17,1)=":",IFERROR(INT(MID(metadata!C269,18,1))&gt;=0,FALSE),IFERROR(INT(MID(metadata!C269,18,1))&lt;=5,FALSE),NOT(MID(metadata!C269,19,1)=""),IFERROR(INT(MID(metadata!C269,18,2))&gt;=0,FALSE),IFERROR(INT(MID(metadata!C269,18,2))&lt;=59,FALSE)), LEN(metadata!C269)&lt;=19)))))))))))))</f>
        <v>0</v>
      </c>
      <c r="AO269" t="b">
        <f>AND(IF(metadata!D269="",FALSE,TRUE),EXACT(metadata!D269,"Not applicable"))</f>
        <v>0</v>
      </c>
      <c r="AP269" t="b">
        <f>IF(metadata!E269="",FALSE,TRUE)</f>
        <v>0</v>
      </c>
      <c r="AQ269" t="b">
        <f>OR(AND(IF(metadata!F269="",FALSE,TRUE),OR(EXACT(metadata!F269,"missing: not collected"),EXACT(metadata!F269,"missing: not provided"))),AND(IF(metadata!F269="",FALSE,TRUE),OR(EXACT(metadata!F269,"TRUE"),EXACT(metadata!F269,"FALSE"))))</f>
        <v>0</v>
      </c>
      <c r="AR269" t="b">
        <f>OR(AND(IF(metadata!G269="",FALSE,TRUE),OR(EXACT(metadata!G269,"missing: not collected"),EXACT(metadata!G269,"missing: not provided"),EXACT(metadata!G269,"missing: restricted access"))),AND(IF(metadata!G269="",FALSE,ISNUMBER(VALUE(metadata!G269))),metadata!G269&gt;=-413))</f>
        <v>0</v>
      </c>
      <c r="AS269" t="b">
        <f>AND(IF(metadata!H269="",FALSE,TRUE),EXACT(metadata!H269,"meters"))</f>
        <v>0</v>
      </c>
      <c r="AT269" t="b">
        <f>AND(IF(metadata!I269="",FALSE,TRUE),OR(EXACT(metadata!I269,"Host-associated"),EXACT(metadata!I269,"Free-living")))</f>
        <v>0</v>
      </c>
      <c r="AU269" t="b">
        <f>AND(IF(metadata!J269="",FALSE,TRUE),OR(EXACT(metadata!J269,"Animal"),EXACT(metadata!J269,"Fungus"),EXACT(metadata!J269,"Plant"),EXACT(metadata!J269,"Saline"),EXACT(metadata!J269,"Non-saline")))</f>
        <v>0</v>
      </c>
      <c r="AV269" t="b">
        <f>AND(IF(metadata!K269="",FALSE,TRUE),OR(EXACT(metadata!K269,"Plant secretion"),EXACT(metadata!K269,"Plant rhizosphere"),EXACT(metadata!K269,"Plant surface"),EXACT(metadata!K269,"Plant corpus"),EXACT(metadata!K269,"Fungus surface"),EXACT(metadata!K269,"Fungus corpus"),EXACT(metadata!K269,"Animal surface"),EXACT(metadata!K269,"Animal proximal gut"),EXACT(metadata!K269,"Animal corpus"),EXACT(metadata!K269,"Animal distal gut"),EXACT(metadata!K269,"Animal secretion"),EXACT(metadata!K269,"Sub-surface (non-saline)"),EXACT(metadata!K269,"Surface (non-saline)"),EXACT(metadata!K269,"Water (non-saline)"),EXACT(metadata!K269,"Soil (non-saline)"),EXACT(metadata!K269,"Aerosol (non-saline)"),EXACT(metadata!K269,"Sediment (non-saline)"),EXACT(metadata!K269,"Surface (saline)"),EXACT(metadata!K269,"Water (saline)"),EXACT(metadata!K269,"Hypersaline (saline)"),EXACT(metadata!K269,"Aerosol (saline)"),EXACT(metadata!K269,"Sediment (saline)")))</f>
        <v>0</v>
      </c>
      <c r="AW269" t="b">
        <f>IF(metadata!L269="",FALSE,TRUE)</f>
        <v>0</v>
      </c>
      <c r="AX269" t="b">
        <f>IF(metadata!M269="",FALSE,TRUE)</f>
        <v>0</v>
      </c>
      <c r="AY269" t="b">
        <f>IF(metadata!N269="",FALSE,TRUE)</f>
        <v>0</v>
      </c>
      <c r="AZ269" t="b">
        <f>OR(AND(IF(metadata!O269="",FALSE,TRUE),OR(EXACT(metadata!O269,"missing: not collected"),EXACT(metadata!O269,"missing: not provided"),EXACT(metadata!O269,"missing: restricted access"))),AND(IF(metadata!O269="",FALSE,TRUE),OR(EXACT(metadata!O269,"air"),EXACT(metadata!O269,"built environment"),EXACT(metadata!O269,"host-associated"),EXACT(metadata!O269,"human-associated"),EXACT(metadata!O269,"human-skin"),EXACT(metadata!O269,"human-oral"),EXACT(metadata!O269,"human-gut"),EXACT(metadata!O269,"human-vaginal"),EXACT(metadata!O269,"microbial mat/biofilm"),EXACT(metadata!O269,"misc environment"),EXACT(metadata!O269,"plant-associated"),EXACT(metadata!O269,"sediment"),EXACT(metadata!O269,"soil"),EXACT(metadata!O269,"wastewater/sludge"),EXACT(metadata!O269,"water"))))</f>
        <v>0</v>
      </c>
      <c r="BA269" t="b">
        <f>IF(metadata!P269="",FALSE,TRUE)</f>
        <v>0</v>
      </c>
      <c r="BB269" t="b">
        <f>IF(metadata!Q269="",FALSE,TRUE)</f>
        <v>0</v>
      </c>
      <c r="BC269" t="b">
        <f>OR(AND(IF(metadata!R269="",FALSE,TRUE),OR(EXACT(metadata!R269,"missing: not collected"),EXACT(metadata!R269,"missing: not provided"),EXACT(metadata!R269,"missing: restricted access"))),AND(IF(metadata!R269="",FALSE,ISNUMBER(VALUE(metadata!R269))),metadata!R269&gt;=-90,metadata!R269&lt;=90))</f>
        <v>0</v>
      </c>
      <c r="BD269" t="b">
        <f>AND(IF(metadata!S269="",FALSE,TRUE),EXACT(metadata!S269,"Decimal degrees"))</f>
        <v>0</v>
      </c>
      <c r="BE269" t="b">
        <f>OR(AND(IF(metadata!T269="",FALSE,TRUE),OR(EXACT(metadata!T269,"missing: not collected"),EXACT(metadata!T269,"missing: not provided"),EXACT(metadata!T269,"missing: restricted access"))),AND(IF(metadata!T269="",FALSE,ISNUMBER(VALUE(metadata!T269))),metadata!T269&gt;=-180,metadata!T269&lt;=180))</f>
        <v>0</v>
      </c>
      <c r="BF269" t="b">
        <f>AND(IF(metadata!U269="",FALSE,TRUE),EXACT(metadata!U269,"Decimal degrees"))</f>
        <v>0</v>
      </c>
      <c r="BG269" t="b">
        <f>IF(metadata!V269="",FALSE,TRUE)</f>
        <v>0</v>
      </c>
      <c r="BH269" t="b">
        <f>OR(AND(IF(metadata!W269="",FALSE,TRUE),OR(EXACT(metadata!W269,"missing: not collected"),EXACT(metadata!W269,"missing: not provided"),EXACT(metadata!W269,"missing: restricted access"))),AND(IF(metadata!W269="",FALSE,TRUE),OR(EXACT(metadata!W269,"TRUE"),EXACT(metadata!W269,"FALSE"))))</f>
        <v>0</v>
      </c>
      <c r="BI269" t="b">
        <f>AND(IF(metadata!X269="",FALSE,TRUE),EXACT(metadata!X269,"other"))</f>
        <v>0</v>
      </c>
      <c r="BJ269" t="b">
        <f>IF(metadata!Y269="",FALSE,TRUE)</f>
        <v>0</v>
      </c>
      <c r="BK269" t="b">
        <f>OR(AND(IF(metadata!Z269="",FALSE,TRUE),OR(EXACT(metadata!Z269,"missing: not collected"),EXACT(metadata!Z269,"missing: not provided"))),AND(IF(metadata!Z269="",FALSE,IF(ISERROR(INT(metadata!Z269)),FALSE,INT(metadata!Z269)=metadata!Z269)),metadata!Z269&gt;0))</f>
        <v>0</v>
      </c>
      <c r="BL269" t="b">
        <f>AND(IF(metadata!AA269="",FALSE,TRUE),EXACT(metadata!AA269,"Not applicable"))</f>
        <v>0</v>
      </c>
      <c r="BM269" t="b">
        <f>IF(metadata!AB269="",FALSE,TRUE)</f>
        <v>0</v>
      </c>
    </row>
    <row r="270" spans="1:65" x14ac:dyDescent="0.2">
      <c r="A270" s="5" t="str">
        <f ca="1">IF(B270=" "," ",HYPERLINK(CONCATENATE("#metadata!",ADDRESS(INDEX($AH$2:$AH$1001,MATCH(ROWS($AF$2:AF270),$AF$2:$AF$1001,0),0),1)),INDEX($AK$2:$AK$1001,MATCH(ROWS($AF$2:AF270),$AF$2:$AF$1001,0),0)))</f>
        <v xml:space="preserve"> </v>
      </c>
      <c r="B270" s="4" t="str">
        <f ca="1">IF(OR(INDEX($AG$2:$AG$1001,MATCH(ROWS($AF$2:AF270),$AF$2:$AF$1001,0),1)&gt;=100000,INDEX($AM$1005:$BM$1005,1,MATCH(COLUMNS($AM$1006:AM1006),$AM$1006:$BM$1006,0))&gt;=100000), " ",IF(INDEX($AM$2:$BM$1001,MATCH(ROWS($AF$2:AF270),$AF$2:$AF$1001,0),MATCH(COLUMNS($AM$1006:AM1006),$AM$1006:$BM$1006,0)), HYPERLINK("#",""), HYPERLINK(CONCATENATE("#metadata!", ADDRESS(INDEX($AH$2:$AH$1001,MATCH(ROWS($AF$2:AF270),$AF$2:$AF$1001,0),0), INDEX($AM$1004:$BM$1004,1,MATCH(COLUMNS($AM$1006:AM1006),$AM$1006:$BM$1006,0)))),"Fix")))</f>
        <v xml:space="preserve"> </v>
      </c>
      <c r="C270" s="4" t="str">
        <f ca="1">IF(OR(INDEX($AG$2:$AG$1001,MATCH(ROWS($AF$2:AF270),$AF$2:$AF$1001,0),1)&gt;=100000,INDEX($AM$1005:$BM$1005,1,MATCH(COLUMNS($AM$1006:AN1006),$AM$1006:$BM$1006,0))&gt;=100000), " ",IF(INDEX($AM$2:$BM$1001,MATCH(ROWS($AF$2:AF270),$AF$2:$AF$1001,0),MATCH(COLUMNS($AM$1006:AN1006),$AM$1006:$BM$1006,0)), HYPERLINK("#",""), HYPERLINK(CONCATENATE("#metadata!", ADDRESS(INDEX($AH$2:$AH$1001,MATCH(ROWS($AF$2:AF270),$AF$2:$AF$1001,0),0), INDEX($AM$1004:$BM$1004,1,MATCH(COLUMNS($AM$1006:AN1006),$AM$1006:$BM$1006,0)))),"Fix")))</f>
        <v xml:space="preserve"> </v>
      </c>
      <c r="D270" s="4" t="str">
        <f ca="1">IF(OR(INDEX($AG$2:$AG$1001,MATCH(ROWS($AF$2:AF270),$AF$2:$AF$1001,0),1)&gt;=100000,INDEX($AM$1005:$BM$1005,1,MATCH(COLUMNS($AM$1006:AO1006),$AM$1006:$BM$1006,0))&gt;=100000), " ",IF(INDEX($AM$2:$BM$1001,MATCH(ROWS($AF$2:AF270),$AF$2:$AF$1001,0),MATCH(COLUMNS($AM$1006:AO1006),$AM$1006:$BM$1006,0)), HYPERLINK("#",""), HYPERLINK(CONCATENATE("#metadata!", ADDRESS(INDEX($AH$2:$AH$1001,MATCH(ROWS($AF$2:AF270),$AF$2:$AF$1001,0),0), INDEX($AM$1004:$BM$1004,1,MATCH(COLUMNS($AM$1006:AO1006),$AM$1006:$BM$1006,0)))),"Fix")))</f>
        <v xml:space="preserve"> </v>
      </c>
      <c r="E270" s="4" t="str">
        <f ca="1">IF(OR(INDEX($AG$2:$AG$1001,MATCH(ROWS($AF$2:AF270),$AF$2:$AF$1001,0),1)&gt;=100000,INDEX($AM$1005:$BM$1005,1,MATCH(COLUMNS($AM$1006:AP1006),$AM$1006:$BM$1006,0))&gt;=100000), " ",IF(INDEX($AM$2:$BM$1001,MATCH(ROWS($AF$2:AF270),$AF$2:$AF$1001,0),MATCH(COLUMNS($AM$1006:AP1006),$AM$1006:$BM$1006,0)), HYPERLINK("#",""), HYPERLINK(CONCATENATE("#metadata!", ADDRESS(INDEX($AH$2:$AH$1001,MATCH(ROWS($AF$2:AF270),$AF$2:$AF$1001,0),0), INDEX($AM$1004:$BM$1004,1,MATCH(COLUMNS($AM$1006:AP1006),$AM$1006:$BM$1006,0)))),"Fix")))</f>
        <v xml:space="preserve"> </v>
      </c>
      <c r="F270" s="4" t="str">
        <f ca="1">IF(OR(INDEX($AG$2:$AG$1001,MATCH(ROWS($AF$2:AF270),$AF$2:$AF$1001,0),1)&gt;=100000,INDEX($AM$1005:$BM$1005,1,MATCH(COLUMNS($AM$1006:AQ1006),$AM$1006:$BM$1006,0))&gt;=100000), " ",IF(INDEX($AM$2:$BM$1001,MATCH(ROWS($AF$2:AF270),$AF$2:$AF$1001,0),MATCH(COLUMNS($AM$1006:AQ1006),$AM$1006:$BM$1006,0)), HYPERLINK("#",""), HYPERLINK(CONCATENATE("#metadata!", ADDRESS(INDEX($AH$2:$AH$1001,MATCH(ROWS($AF$2:AF270),$AF$2:$AF$1001,0),0), INDEX($AM$1004:$BM$1004,1,MATCH(COLUMNS($AM$1006:AQ1006),$AM$1006:$BM$1006,0)))),"Fix")))</f>
        <v xml:space="preserve"> </v>
      </c>
      <c r="G270" s="4" t="str">
        <f ca="1">IF(OR(INDEX($AG$2:$AG$1001,MATCH(ROWS($AF$2:AF270),$AF$2:$AF$1001,0),1)&gt;=100000,INDEX($AM$1005:$BM$1005,1,MATCH(COLUMNS($AM$1006:AR1006),$AM$1006:$BM$1006,0))&gt;=100000), " ",IF(INDEX($AM$2:$BM$1001,MATCH(ROWS($AF$2:AF270),$AF$2:$AF$1001,0),MATCH(COLUMNS($AM$1006:AR1006),$AM$1006:$BM$1006,0)), HYPERLINK("#",""), HYPERLINK(CONCATENATE("#metadata!", ADDRESS(INDEX($AH$2:$AH$1001,MATCH(ROWS($AF$2:AF270),$AF$2:$AF$1001,0),0), INDEX($AM$1004:$BM$1004,1,MATCH(COLUMNS($AM$1006:AR1006),$AM$1006:$BM$1006,0)))),"Fix")))</f>
        <v xml:space="preserve"> </v>
      </c>
      <c r="H270" s="4" t="str">
        <f ca="1">IF(OR(INDEX($AG$2:$AG$1001,MATCH(ROWS($AF$2:AF270),$AF$2:$AF$1001,0),1)&gt;=100000,INDEX($AM$1005:$BM$1005,1,MATCH(COLUMNS($AM$1006:AS1006),$AM$1006:$BM$1006,0))&gt;=100000), " ",IF(INDEX($AM$2:$BM$1001,MATCH(ROWS($AF$2:AF270),$AF$2:$AF$1001,0),MATCH(COLUMNS($AM$1006:AS1006),$AM$1006:$BM$1006,0)), HYPERLINK("#",""), HYPERLINK(CONCATENATE("#metadata!", ADDRESS(INDEX($AH$2:$AH$1001,MATCH(ROWS($AF$2:AF270),$AF$2:$AF$1001,0),0), INDEX($AM$1004:$BM$1004,1,MATCH(COLUMNS($AM$1006:AS1006),$AM$1006:$BM$1006,0)))),"Fix")))</f>
        <v xml:space="preserve"> </v>
      </c>
      <c r="I270" s="4" t="str">
        <f ca="1">IF(OR(INDEX($AG$2:$AG$1001,MATCH(ROWS($AF$2:AF270),$AF$2:$AF$1001,0),1)&gt;=100000,INDEX($AM$1005:$BM$1005,1,MATCH(COLUMNS($AM$1006:AT1006),$AM$1006:$BM$1006,0))&gt;=100000), " ",IF(INDEX($AM$2:$BM$1001,MATCH(ROWS($AF$2:AF270),$AF$2:$AF$1001,0),MATCH(COLUMNS($AM$1006:AT1006),$AM$1006:$BM$1006,0)), HYPERLINK("#",""), HYPERLINK(CONCATENATE("#metadata!", ADDRESS(INDEX($AH$2:$AH$1001,MATCH(ROWS($AF$2:AF270),$AF$2:$AF$1001,0),0), INDEX($AM$1004:$BM$1004,1,MATCH(COLUMNS($AM$1006:AT1006),$AM$1006:$BM$1006,0)))),"Fix")))</f>
        <v xml:space="preserve"> </v>
      </c>
      <c r="J270" s="4" t="str">
        <f ca="1">IF(OR(INDEX($AG$2:$AG$1001,MATCH(ROWS($AF$2:AF270),$AF$2:$AF$1001,0),1)&gt;=100000,INDEX($AM$1005:$BM$1005,1,MATCH(COLUMNS($AM$1006:AU1006),$AM$1006:$BM$1006,0))&gt;=100000), " ",IF(INDEX($AM$2:$BM$1001,MATCH(ROWS($AF$2:AF270),$AF$2:$AF$1001,0),MATCH(COLUMNS($AM$1006:AU1006),$AM$1006:$BM$1006,0)), HYPERLINK("#",""), HYPERLINK(CONCATENATE("#metadata!", ADDRESS(INDEX($AH$2:$AH$1001,MATCH(ROWS($AF$2:AF270),$AF$2:$AF$1001,0),0), INDEX($AM$1004:$BM$1004,1,MATCH(COLUMNS($AM$1006:AU1006),$AM$1006:$BM$1006,0)))),"Fix")))</f>
        <v xml:space="preserve"> </v>
      </c>
      <c r="K270" s="4" t="str">
        <f ca="1">IF(OR(INDEX($AG$2:$AG$1001,MATCH(ROWS($AF$2:AF270),$AF$2:$AF$1001,0),1)&gt;=100000,INDEX($AM$1005:$BM$1005,1,MATCH(COLUMNS($AM$1006:AV1006),$AM$1006:$BM$1006,0))&gt;=100000), " ",IF(INDEX($AM$2:$BM$1001,MATCH(ROWS($AF$2:AF270),$AF$2:$AF$1001,0),MATCH(COLUMNS($AM$1006:AV1006),$AM$1006:$BM$1006,0)), HYPERLINK("#",""), HYPERLINK(CONCATENATE("#metadata!", ADDRESS(INDEX($AH$2:$AH$1001,MATCH(ROWS($AF$2:AF270),$AF$2:$AF$1001,0),0), INDEX($AM$1004:$BM$1004,1,MATCH(COLUMNS($AM$1006:AV1006),$AM$1006:$BM$1006,0)))),"Fix")))</f>
        <v xml:space="preserve"> </v>
      </c>
      <c r="L270" s="4" t="str">
        <f ca="1">IF(OR(INDEX($AG$2:$AG$1001,MATCH(ROWS($AF$2:AF270),$AF$2:$AF$1001,0),1)&gt;=100000,INDEX($AM$1005:$BM$1005,1,MATCH(COLUMNS($AM$1006:AW1006),$AM$1006:$BM$1006,0))&gt;=100000), " ",IF(INDEX($AM$2:$BM$1001,MATCH(ROWS($AF$2:AF270),$AF$2:$AF$1001,0),MATCH(COLUMNS($AM$1006:AW1006),$AM$1006:$BM$1006,0)), HYPERLINK("#",""), HYPERLINK(CONCATENATE("#metadata!", ADDRESS(INDEX($AH$2:$AH$1001,MATCH(ROWS($AF$2:AF270),$AF$2:$AF$1001,0),0), INDEX($AM$1004:$BM$1004,1,MATCH(COLUMNS($AM$1006:AW1006),$AM$1006:$BM$1006,0)))),"Fix")))</f>
        <v xml:space="preserve"> </v>
      </c>
      <c r="M270" s="4" t="str">
        <f ca="1">IF(OR(INDEX($AG$2:$AG$1001,MATCH(ROWS($AF$2:AF270),$AF$2:$AF$1001,0),1)&gt;=100000,INDEX($AM$1005:$BM$1005,1,MATCH(COLUMNS($AM$1006:AX1006),$AM$1006:$BM$1006,0))&gt;=100000), " ",IF(INDEX($AM$2:$BM$1001,MATCH(ROWS($AF$2:AF270),$AF$2:$AF$1001,0),MATCH(COLUMNS($AM$1006:AX1006),$AM$1006:$BM$1006,0)), HYPERLINK("#",""), HYPERLINK(CONCATENATE("#metadata!", ADDRESS(INDEX($AH$2:$AH$1001,MATCH(ROWS($AF$2:AF270),$AF$2:$AF$1001,0),0), INDEX($AM$1004:$BM$1004,1,MATCH(COLUMNS($AM$1006:AX1006),$AM$1006:$BM$1006,0)))),"Fix")))</f>
        <v xml:space="preserve"> </v>
      </c>
      <c r="N270" s="4" t="str">
        <f ca="1">IF(OR(INDEX($AG$2:$AG$1001,MATCH(ROWS($AF$2:AF270),$AF$2:$AF$1001,0),1)&gt;=100000,INDEX($AM$1005:$BM$1005,1,MATCH(COLUMNS($AM$1006:AY1006),$AM$1006:$BM$1006,0))&gt;=100000), " ",IF(INDEX($AM$2:$BM$1001,MATCH(ROWS($AF$2:AF270),$AF$2:$AF$1001,0),MATCH(COLUMNS($AM$1006:AY1006),$AM$1006:$BM$1006,0)), HYPERLINK("#",""), HYPERLINK(CONCATENATE("#metadata!", ADDRESS(INDEX($AH$2:$AH$1001,MATCH(ROWS($AF$2:AF270),$AF$2:$AF$1001,0),0), INDEX($AM$1004:$BM$1004,1,MATCH(COLUMNS($AM$1006:AY1006),$AM$1006:$BM$1006,0)))),"Fix")))</f>
        <v xml:space="preserve"> </v>
      </c>
      <c r="O270" s="4" t="str">
        <f ca="1">IF(OR(INDEX($AG$2:$AG$1001,MATCH(ROWS($AF$2:AF270),$AF$2:$AF$1001,0),1)&gt;=100000,INDEX($AM$1005:$BM$1005,1,MATCH(COLUMNS($AM$1006:AZ1006),$AM$1006:$BM$1006,0))&gt;=100000), " ",IF(INDEX($AM$2:$BM$1001,MATCH(ROWS($AF$2:AF270),$AF$2:$AF$1001,0),MATCH(COLUMNS($AM$1006:AZ1006),$AM$1006:$BM$1006,0)), HYPERLINK("#",""), HYPERLINK(CONCATENATE("#metadata!", ADDRESS(INDEX($AH$2:$AH$1001,MATCH(ROWS($AF$2:AF270),$AF$2:$AF$1001,0),0), INDEX($AM$1004:$BM$1004,1,MATCH(COLUMNS($AM$1006:AZ1006),$AM$1006:$BM$1006,0)))),"Fix")))</f>
        <v xml:space="preserve"> </v>
      </c>
      <c r="P270" s="4" t="str">
        <f ca="1">IF(OR(INDEX($AG$2:$AG$1001,MATCH(ROWS($AF$2:AF270),$AF$2:$AF$1001,0),1)&gt;=100000,INDEX($AM$1005:$BM$1005,1,MATCH(COLUMNS($AM$1006:BA1006),$AM$1006:$BM$1006,0))&gt;=100000), " ",IF(INDEX($AM$2:$BM$1001,MATCH(ROWS($AF$2:AF270),$AF$2:$AF$1001,0),MATCH(COLUMNS($AM$1006:BA1006),$AM$1006:$BM$1006,0)), HYPERLINK("#",""), HYPERLINK(CONCATENATE("#metadata!", ADDRESS(INDEX($AH$2:$AH$1001,MATCH(ROWS($AF$2:AF270),$AF$2:$AF$1001,0),0), INDEX($AM$1004:$BM$1004,1,MATCH(COLUMNS($AM$1006:BA1006),$AM$1006:$BM$1006,0)))),"Fix")))</f>
        <v xml:space="preserve"> </v>
      </c>
      <c r="Q270" s="4" t="str">
        <f ca="1">IF(OR(INDEX($AG$2:$AG$1001,MATCH(ROWS($AF$2:AF270),$AF$2:$AF$1001,0),1)&gt;=100000,INDEX($AM$1005:$BM$1005,1,MATCH(COLUMNS($AM$1006:BB1006),$AM$1006:$BM$1006,0))&gt;=100000), " ",IF(INDEX($AM$2:$BM$1001,MATCH(ROWS($AF$2:AF270),$AF$2:$AF$1001,0),MATCH(COLUMNS($AM$1006:BB1006),$AM$1006:$BM$1006,0)), HYPERLINK("#",""), HYPERLINK(CONCATENATE("#metadata!", ADDRESS(INDEX($AH$2:$AH$1001,MATCH(ROWS($AF$2:AF270),$AF$2:$AF$1001,0),0), INDEX($AM$1004:$BM$1004,1,MATCH(COLUMNS($AM$1006:BB1006),$AM$1006:$BM$1006,0)))),"Fix")))</f>
        <v xml:space="preserve"> </v>
      </c>
      <c r="R270" s="4" t="str">
        <f ca="1">IF(OR(INDEX($AG$2:$AG$1001,MATCH(ROWS($AF$2:AF270),$AF$2:$AF$1001,0),1)&gt;=100000,INDEX($AM$1005:$BM$1005,1,MATCH(COLUMNS($AM$1006:BC1006),$AM$1006:$BM$1006,0))&gt;=100000), " ",IF(INDEX($AM$2:$BM$1001,MATCH(ROWS($AF$2:AF270),$AF$2:$AF$1001,0),MATCH(COLUMNS($AM$1006:BC1006),$AM$1006:$BM$1006,0)), HYPERLINK("#",""), HYPERLINK(CONCATENATE("#metadata!", ADDRESS(INDEX($AH$2:$AH$1001,MATCH(ROWS($AF$2:AF270),$AF$2:$AF$1001,0),0), INDEX($AM$1004:$BM$1004,1,MATCH(COLUMNS($AM$1006:BC1006),$AM$1006:$BM$1006,0)))),"Fix")))</f>
        <v xml:space="preserve"> </v>
      </c>
      <c r="S270" s="4" t="str">
        <f ca="1">IF(OR(INDEX($AG$2:$AG$1001,MATCH(ROWS($AF$2:AF270),$AF$2:$AF$1001,0),1)&gt;=100000,INDEX($AM$1005:$BM$1005,1,MATCH(COLUMNS($AM$1006:BD1006),$AM$1006:$BM$1006,0))&gt;=100000), " ",IF(INDEX($AM$2:$BM$1001,MATCH(ROWS($AF$2:AF270),$AF$2:$AF$1001,0),MATCH(COLUMNS($AM$1006:BD1006),$AM$1006:$BM$1006,0)), HYPERLINK("#",""), HYPERLINK(CONCATENATE("#metadata!", ADDRESS(INDEX($AH$2:$AH$1001,MATCH(ROWS($AF$2:AF270),$AF$2:$AF$1001,0),0), INDEX($AM$1004:$BM$1004,1,MATCH(COLUMNS($AM$1006:BD1006),$AM$1006:$BM$1006,0)))),"Fix")))</f>
        <v xml:space="preserve"> </v>
      </c>
      <c r="T270" s="4" t="str">
        <f ca="1">IF(OR(INDEX($AG$2:$AG$1001,MATCH(ROWS($AF$2:AF270),$AF$2:$AF$1001,0),1)&gt;=100000,INDEX($AM$1005:$BM$1005,1,MATCH(COLUMNS($AM$1006:BE1006),$AM$1006:$BM$1006,0))&gt;=100000), " ",IF(INDEX($AM$2:$BM$1001,MATCH(ROWS($AF$2:AF270),$AF$2:$AF$1001,0),MATCH(COLUMNS($AM$1006:BE1006),$AM$1006:$BM$1006,0)), HYPERLINK("#",""), HYPERLINK(CONCATENATE("#metadata!", ADDRESS(INDEX($AH$2:$AH$1001,MATCH(ROWS($AF$2:AF270),$AF$2:$AF$1001,0),0), INDEX($AM$1004:$BM$1004,1,MATCH(COLUMNS($AM$1006:BE1006),$AM$1006:$BM$1006,0)))),"Fix")))</f>
        <v xml:space="preserve"> </v>
      </c>
      <c r="U270" s="4" t="str">
        <f ca="1">IF(OR(INDEX($AG$2:$AG$1001,MATCH(ROWS($AF$2:AF270),$AF$2:$AF$1001,0),1)&gt;=100000,INDEX($AM$1005:$BM$1005,1,MATCH(COLUMNS($AM$1006:BF1006),$AM$1006:$BM$1006,0))&gt;=100000), " ",IF(INDEX($AM$2:$BM$1001,MATCH(ROWS($AF$2:AF270),$AF$2:$AF$1001,0),MATCH(COLUMNS($AM$1006:BF1006),$AM$1006:$BM$1006,0)), HYPERLINK("#",""), HYPERLINK(CONCATENATE("#metadata!", ADDRESS(INDEX($AH$2:$AH$1001,MATCH(ROWS($AF$2:AF270),$AF$2:$AF$1001,0),0), INDEX($AM$1004:$BM$1004,1,MATCH(COLUMNS($AM$1006:BF1006),$AM$1006:$BM$1006,0)))),"Fix")))</f>
        <v xml:space="preserve"> </v>
      </c>
      <c r="V270" s="4" t="str">
        <f ca="1">IF(OR(INDEX($AG$2:$AG$1001,MATCH(ROWS($AF$2:AF270),$AF$2:$AF$1001,0),1)&gt;=100000,INDEX($AM$1005:$BM$1005,1,MATCH(COLUMNS($AM$1006:BG1006),$AM$1006:$BM$1006,0))&gt;=100000), " ",IF(INDEX($AM$2:$BM$1001,MATCH(ROWS($AF$2:AF270),$AF$2:$AF$1001,0),MATCH(COLUMNS($AM$1006:BG1006),$AM$1006:$BM$1006,0)), HYPERLINK("#",""), HYPERLINK(CONCATENATE("#metadata!", ADDRESS(INDEX($AH$2:$AH$1001,MATCH(ROWS($AF$2:AF270),$AF$2:$AF$1001,0),0), INDEX($AM$1004:$BM$1004,1,MATCH(COLUMNS($AM$1006:BG1006),$AM$1006:$BM$1006,0)))),"Fix")))</f>
        <v xml:space="preserve"> </v>
      </c>
      <c r="W270" s="4" t="str">
        <f ca="1">IF(OR(INDEX($AG$2:$AG$1001,MATCH(ROWS($AF$2:AF270),$AF$2:$AF$1001,0),1)&gt;=100000,INDEX($AM$1005:$BM$1005,1,MATCH(COLUMNS($AM$1006:BH1006),$AM$1006:$BM$1006,0))&gt;=100000), " ",IF(INDEX($AM$2:$BM$1001,MATCH(ROWS($AF$2:AF270),$AF$2:$AF$1001,0),MATCH(COLUMNS($AM$1006:BH1006),$AM$1006:$BM$1006,0)), HYPERLINK("#",""), HYPERLINK(CONCATENATE("#metadata!", ADDRESS(INDEX($AH$2:$AH$1001,MATCH(ROWS($AF$2:AF270),$AF$2:$AF$1001,0),0), INDEX($AM$1004:$BM$1004,1,MATCH(COLUMNS($AM$1006:BH1006),$AM$1006:$BM$1006,0)))),"Fix")))</f>
        <v xml:space="preserve"> </v>
      </c>
      <c r="X270" s="4" t="str">
        <f ca="1">IF(OR(INDEX($AG$2:$AG$1001,MATCH(ROWS($AF$2:AF270),$AF$2:$AF$1001,0),1)&gt;=100000,INDEX($AM$1005:$BM$1005,1,MATCH(COLUMNS($AM$1006:BI1006),$AM$1006:$BM$1006,0))&gt;=100000), " ",IF(INDEX($AM$2:$BM$1001,MATCH(ROWS($AF$2:AF270),$AF$2:$AF$1001,0),MATCH(COLUMNS($AM$1006:BI1006),$AM$1006:$BM$1006,0)), HYPERLINK("#",""), HYPERLINK(CONCATENATE("#metadata!", ADDRESS(INDEX($AH$2:$AH$1001,MATCH(ROWS($AF$2:AF270),$AF$2:$AF$1001,0),0), INDEX($AM$1004:$BM$1004,1,MATCH(COLUMNS($AM$1006:BI1006),$AM$1006:$BM$1006,0)))),"Fix")))</f>
        <v xml:space="preserve"> </v>
      </c>
      <c r="Y270" s="4" t="str">
        <f ca="1">IF(OR(INDEX($AG$2:$AG$1001,MATCH(ROWS($AF$2:AF270),$AF$2:$AF$1001,0),1)&gt;=100000,INDEX($AM$1005:$BM$1005,1,MATCH(COLUMNS($AM$1006:BJ1006),$AM$1006:$BM$1006,0))&gt;=100000), " ",IF(INDEX($AM$2:$BM$1001,MATCH(ROWS($AF$2:AF270),$AF$2:$AF$1001,0),MATCH(COLUMNS($AM$1006:BJ1006),$AM$1006:$BM$1006,0)), HYPERLINK("#",""), HYPERLINK(CONCATENATE("#metadata!", ADDRESS(INDEX($AH$2:$AH$1001,MATCH(ROWS($AF$2:AF270),$AF$2:$AF$1001,0),0), INDEX($AM$1004:$BM$1004,1,MATCH(COLUMNS($AM$1006:BJ1006),$AM$1006:$BM$1006,0)))),"Fix")))</f>
        <v xml:space="preserve"> </v>
      </c>
      <c r="Z270" s="4" t="str">
        <f ca="1">IF(OR(INDEX($AG$2:$AG$1001,MATCH(ROWS($AF$2:AF270),$AF$2:$AF$1001,0),1)&gt;=100000,INDEX($AM$1005:$BM$1005,1,MATCH(COLUMNS($AM$1006:BK1006),$AM$1006:$BM$1006,0))&gt;=100000), " ",IF(INDEX($AM$2:$BM$1001,MATCH(ROWS($AF$2:AF270),$AF$2:$AF$1001,0),MATCH(COLUMNS($AM$1006:BK1006),$AM$1006:$BM$1006,0)), HYPERLINK("#",""), HYPERLINK(CONCATENATE("#metadata!", ADDRESS(INDEX($AH$2:$AH$1001,MATCH(ROWS($AF$2:AF270),$AF$2:$AF$1001,0),0), INDEX($AM$1004:$BM$1004,1,MATCH(COLUMNS($AM$1006:BK1006),$AM$1006:$BM$1006,0)))),"Fix")))</f>
        <v xml:space="preserve"> </v>
      </c>
      <c r="AA270" s="4" t="str">
        <f ca="1">IF(OR(INDEX($AG$2:$AG$1001,MATCH(ROWS($AF$2:AF270),$AF$2:$AF$1001,0),1)&gt;=100000,INDEX($AM$1005:$BM$1005,1,MATCH(COLUMNS($AM$1006:BL1006),$AM$1006:$BM$1006,0))&gt;=100000), " ",IF(INDEX($AM$2:$BM$1001,MATCH(ROWS($AF$2:AF270),$AF$2:$AF$1001,0),MATCH(COLUMNS($AM$1006:BL1006),$AM$1006:$BM$1006,0)), HYPERLINK("#",""), HYPERLINK(CONCATENATE("#metadata!", ADDRESS(INDEX($AH$2:$AH$1001,MATCH(ROWS($AF$2:AF270),$AF$2:$AF$1001,0),0), INDEX($AM$1004:$BM$1004,1,MATCH(COLUMNS($AM$1006:BL1006),$AM$1006:$BM$1006,0)))),"Fix")))</f>
        <v xml:space="preserve"> </v>
      </c>
      <c r="AB270" s="4" t="str">
        <f ca="1">IF(OR(INDEX($AG$2:$AG$1001,MATCH(ROWS($AF$2:AF270),$AF$2:$AF$1001,0),1)&gt;=100000,INDEX($AM$1005:$BM$1005,1,MATCH(COLUMNS($AM$1006:BM1006),$AM$1006:$BM$1006,0))&gt;=100000), " ",IF(INDEX($AM$2:$BM$1001,MATCH(ROWS($AF$2:AF270),$AF$2:$AF$1001,0),MATCH(COLUMNS($AM$1006:BM1006),$AM$1006:$BM$1006,0)), HYPERLINK("#",""), HYPERLINK(CONCATENATE("#metadata!", ADDRESS(INDEX($AH$2:$AH$1001,MATCH(ROWS($AF$2:AF270),$AF$2:$AF$1001,0),0), INDEX($AM$1004:$BM$1004,1,MATCH(COLUMNS($AM$1006:BM1006),$AM$1006:$BM$1006,0)))),"Fix")))</f>
        <v xml:space="preserve"> </v>
      </c>
      <c r="AF270">
        <v>269</v>
      </c>
      <c r="AG270">
        <v>100270</v>
      </c>
      <c r="AH270">
        <v>270</v>
      </c>
      <c r="AI270" t="b">
        <f t="shared" si="4"/>
        <v>1</v>
      </c>
      <c r="AJ270" t="b">
        <f>COUNTBLANK(metadata!B270:AB270)=COLUMNS(metadata!B270:AB270)</f>
        <v>1</v>
      </c>
      <c r="AK270" t="str">
        <v/>
      </c>
      <c r="AM270" t="b">
        <f ca="1">AND(IF(metadata!B270="",FALSE,TRUE),COUNTIF(metadata!B:B, metadata!B270) = 1,NOT(ISERROR(SUMPRODUCT(SEARCH(MID(metadata!B270,ROW(INDIRECT("1:"&amp;LEN(metadata!B270))), 1),"0123456789abcdefghijklmnopqrstuvwxyzABCDEFGHIJKLMNOPQRSTUVWXYZ.")))))</f>
        <v>0</v>
      </c>
      <c r="AN270" t="b">
        <f ca="1">OR(AND(IF(metadata!C270="",FALSE,TRUE),OR(EXACT(metadata!C270,"missing: not collected"),EXACT(metadata!C270,"missing: not provided"),EXACT(metadata!C270,"missing: restricted access"))),AND(IF(metadata!C270="",FALSE,TRUE),AND(AND(IFERROR(INT(LEFT(metadata!C270,4))&gt;1900,FALSE),IFERROR(INT(LEFT(metadata!C270,4))&lt;=YEAR(NOW()),FALSE)), OR(MID(metadata!C270,5,1)="", AND(AND(MID(metadata!C270,5,1)="-",IFERROR(INT(MID(metadata!C270,6,1))&gt;=0,FALSE),IFERROR(INT(MID(metadata!C270,6,1))&lt;=1,FALSE),NOT(MID(metadata!C270,7,1)=""),IFERROR(INT(MID(metadata!C270,6,2))&gt;=1,FALSE),IFERROR(INT(MID(metadata!C270,6,2))&lt;=12,FALSE)), OR(MID(metadata!C270,8,1)="", AND(AND(MID(metadata!C270,8,1)="-",IFERROR(INT(MID(metadata!C270,9,1))&gt;=0,FALSE),IFERROR(INT(MID(metadata!C270,9,1))&lt;=3,FALSE),NOT(MID(metadata!C270,10,1)=""),IFERROR(INT(MID(metadata!C270,9,2))&gt;=1,FALSE),IFERROR(INT(MID(metadata!C270,9,2))&lt;=31,FALSE)), OR(MID(metadata!C270,11,1)="", AND(AND(MID(metadata!C270,11,1)=" ",IFERROR(INT(MID(metadata!C270,12,1))&gt;=0,FALSE),IFERROR(INT(MID(metadata!C270,12,1))&lt;=2,FALSE),NOT(MID(metadata!C270,13,1)=""),IFERROR(INT(MID(metadata!C270,12,2))&gt;=0,FALSE),IFERROR(INT(MID(metadata!C270,12,2))&lt;=23,FALSE)), OR(MID(metadata!C270,14,1)="", AND(AND(MID(metadata!C270,14,1)=":",IFERROR(INT(MID(metadata!C270,15,1))&gt;=0,FALSE),IFERROR(INT(MID(metadata!C270,15,1))&lt;=5,FALSE),NOT(MID(metadata!C270,16,1)=""),IFERROR(INT(MID(metadata!C270,15,2))&gt;=0,FALSE),IFERROR(INT(MID(metadata!C270,15,2))&lt;=59,FALSE)), OR(MID(metadata!C270,17,1)="", AND(AND(MID(metadata!C270,17,1)=":",IFERROR(INT(MID(metadata!C270,18,1))&gt;=0,FALSE),IFERROR(INT(MID(metadata!C270,18,1))&lt;=5,FALSE),NOT(MID(metadata!C270,19,1)=""),IFERROR(INT(MID(metadata!C270,18,2))&gt;=0,FALSE),IFERROR(INT(MID(metadata!C270,18,2))&lt;=59,FALSE)), LEN(metadata!C270)&lt;=19)))))))))))))</f>
        <v>0</v>
      </c>
      <c r="AO270" t="b">
        <f>AND(IF(metadata!D270="",FALSE,TRUE),EXACT(metadata!D270,"Not applicable"))</f>
        <v>0</v>
      </c>
      <c r="AP270" t="b">
        <f>IF(metadata!E270="",FALSE,TRUE)</f>
        <v>0</v>
      </c>
      <c r="AQ270" t="b">
        <f>OR(AND(IF(metadata!F270="",FALSE,TRUE),OR(EXACT(metadata!F270,"missing: not collected"),EXACT(metadata!F270,"missing: not provided"))),AND(IF(metadata!F270="",FALSE,TRUE),OR(EXACT(metadata!F270,"TRUE"),EXACT(metadata!F270,"FALSE"))))</f>
        <v>0</v>
      </c>
      <c r="AR270" t="b">
        <f>OR(AND(IF(metadata!G270="",FALSE,TRUE),OR(EXACT(metadata!G270,"missing: not collected"),EXACT(metadata!G270,"missing: not provided"),EXACT(metadata!G270,"missing: restricted access"))),AND(IF(metadata!G270="",FALSE,ISNUMBER(VALUE(metadata!G270))),metadata!G270&gt;=-413))</f>
        <v>0</v>
      </c>
      <c r="AS270" t="b">
        <f>AND(IF(metadata!H270="",FALSE,TRUE),EXACT(metadata!H270,"meters"))</f>
        <v>0</v>
      </c>
      <c r="AT270" t="b">
        <f>AND(IF(metadata!I270="",FALSE,TRUE),OR(EXACT(metadata!I270,"Host-associated"),EXACT(metadata!I270,"Free-living")))</f>
        <v>0</v>
      </c>
      <c r="AU270" t="b">
        <f>AND(IF(metadata!J270="",FALSE,TRUE),OR(EXACT(metadata!J270,"Animal"),EXACT(metadata!J270,"Fungus"),EXACT(metadata!J270,"Plant"),EXACT(metadata!J270,"Saline"),EXACT(metadata!J270,"Non-saline")))</f>
        <v>0</v>
      </c>
      <c r="AV270" t="b">
        <f>AND(IF(metadata!K270="",FALSE,TRUE),OR(EXACT(metadata!K270,"Plant secretion"),EXACT(metadata!K270,"Plant rhizosphere"),EXACT(metadata!K270,"Plant surface"),EXACT(metadata!K270,"Plant corpus"),EXACT(metadata!K270,"Fungus surface"),EXACT(metadata!K270,"Fungus corpus"),EXACT(metadata!K270,"Animal surface"),EXACT(metadata!K270,"Animal proximal gut"),EXACT(metadata!K270,"Animal corpus"),EXACT(metadata!K270,"Animal distal gut"),EXACT(metadata!K270,"Animal secretion"),EXACT(metadata!K270,"Sub-surface (non-saline)"),EXACT(metadata!K270,"Surface (non-saline)"),EXACT(metadata!K270,"Water (non-saline)"),EXACT(metadata!K270,"Soil (non-saline)"),EXACT(metadata!K270,"Aerosol (non-saline)"),EXACT(metadata!K270,"Sediment (non-saline)"),EXACT(metadata!K270,"Surface (saline)"),EXACT(metadata!K270,"Water (saline)"),EXACT(metadata!K270,"Hypersaline (saline)"),EXACT(metadata!K270,"Aerosol (saline)"),EXACT(metadata!K270,"Sediment (saline)")))</f>
        <v>0</v>
      </c>
      <c r="AW270" t="b">
        <f>IF(metadata!L270="",FALSE,TRUE)</f>
        <v>0</v>
      </c>
      <c r="AX270" t="b">
        <f>IF(metadata!M270="",FALSE,TRUE)</f>
        <v>0</v>
      </c>
      <c r="AY270" t="b">
        <f>IF(metadata!N270="",FALSE,TRUE)</f>
        <v>0</v>
      </c>
      <c r="AZ270" t="b">
        <f>OR(AND(IF(metadata!O270="",FALSE,TRUE),OR(EXACT(metadata!O270,"missing: not collected"),EXACT(metadata!O270,"missing: not provided"),EXACT(metadata!O270,"missing: restricted access"))),AND(IF(metadata!O270="",FALSE,TRUE),OR(EXACT(metadata!O270,"air"),EXACT(metadata!O270,"built environment"),EXACT(metadata!O270,"host-associated"),EXACT(metadata!O270,"human-associated"),EXACT(metadata!O270,"human-skin"),EXACT(metadata!O270,"human-oral"),EXACT(metadata!O270,"human-gut"),EXACT(metadata!O270,"human-vaginal"),EXACT(metadata!O270,"microbial mat/biofilm"),EXACT(metadata!O270,"misc environment"),EXACT(metadata!O270,"plant-associated"),EXACT(metadata!O270,"sediment"),EXACT(metadata!O270,"soil"),EXACT(metadata!O270,"wastewater/sludge"),EXACT(metadata!O270,"water"))))</f>
        <v>0</v>
      </c>
      <c r="BA270" t="b">
        <f>IF(metadata!P270="",FALSE,TRUE)</f>
        <v>0</v>
      </c>
      <c r="BB270" t="b">
        <f>IF(metadata!Q270="",FALSE,TRUE)</f>
        <v>0</v>
      </c>
      <c r="BC270" t="b">
        <f>OR(AND(IF(metadata!R270="",FALSE,TRUE),OR(EXACT(metadata!R270,"missing: not collected"),EXACT(metadata!R270,"missing: not provided"),EXACT(metadata!R270,"missing: restricted access"))),AND(IF(metadata!R270="",FALSE,ISNUMBER(VALUE(metadata!R270))),metadata!R270&gt;=-90,metadata!R270&lt;=90))</f>
        <v>0</v>
      </c>
      <c r="BD270" t="b">
        <f>AND(IF(metadata!S270="",FALSE,TRUE),EXACT(metadata!S270,"Decimal degrees"))</f>
        <v>0</v>
      </c>
      <c r="BE270" t="b">
        <f>OR(AND(IF(metadata!T270="",FALSE,TRUE),OR(EXACT(metadata!T270,"missing: not collected"),EXACT(metadata!T270,"missing: not provided"),EXACT(metadata!T270,"missing: restricted access"))),AND(IF(metadata!T270="",FALSE,ISNUMBER(VALUE(metadata!T270))),metadata!T270&gt;=-180,metadata!T270&lt;=180))</f>
        <v>0</v>
      </c>
      <c r="BF270" t="b">
        <f>AND(IF(metadata!U270="",FALSE,TRUE),EXACT(metadata!U270,"Decimal degrees"))</f>
        <v>0</v>
      </c>
      <c r="BG270" t="b">
        <f>IF(metadata!V270="",FALSE,TRUE)</f>
        <v>0</v>
      </c>
      <c r="BH270" t="b">
        <f>OR(AND(IF(metadata!W270="",FALSE,TRUE),OR(EXACT(metadata!W270,"missing: not collected"),EXACT(metadata!W270,"missing: not provided"),EXACT(metadata!W270,"missing: restricted access"))),AND(IF(metadata!W270="",FALSE,TRUE),OR(EXACT(metadata!W270,"TRUE"),EXACT(metadata!W270,"FALSE"))))</f>
        <v>0</v>
      </c>
      <c r="BI270" t="b">
        <f>AND(IF(metadata!X270="",FALSE,TRUE),EXACT(metadata!X270,"other"))</f>
        <v>0</v>
      </c>
      <c r="BJ270" t="b">
        <f>IF(metadata!Y270="",FALSE,TRUE)</f>
        <v>0</v>
      </c>
      <c r="BK270" t="b">
        <f>OR(AND(IF(metadata!Z270="",FALSE,TRUE),OR(EXACT(metadata!Z270,"missing: not collected"),EXACT(metadata!Z270,"missing: not provided"))),AND(IF(metadata!Z270="",FALSE,IF(ISERROR(INT(metadata!Z270)),FALSE,INT(metadata!Z270)=metadata!Z270)),metadata!Z270&gt;0))</f>
        <v>0</v>
      </c>
      <c r="BL270" t="b">
        <f>AND(IF(metadata!AA270="",FALSE,TRUE),EXACT(metadata!AA270,"Not applicable"))</f>
        <v>0</v>
      </c>
      <c r="BM270" t="b">
        <f>IF(metadata!AB270="",FALSE,TRUE)</f>
        <v>0</v>
      </c>
    </row>
    <row r="271" spans="1:65" x14ac:dyDescent="0.2">
      <c r="A271" s="5" t="str">
        <f ca="1">IF(B271=" "," ",HYPERLINK(CONCATENATE("#metadata!",ADDRESS(INDEX($AH$2:$AH$1001,MATCH(ROWS($AF$2:AF271),$AF$2:$AF$1001,0),0),1)),INDEX($AK$2:$AK$1001,MATCH(ROWS($AF$2:AF271),$AF$2:$AF$1001,0),0)))</f>
        <v xml:space="preserve"> </v>
      </c>
      <c r="B271" s="4" t="str">
        <f ca="1">IF(OR(INDEX($AG$2:$AG$1001,MATCH(ROWS($AF$2:AF271),$AF$2:$AF$1001,0),1)&gt;=100000,INDEX($AM$1005:$BM$1005,1,MATCH(COLUMNS($AM$1006:AM1006),$AM$1006:$BM$1006,0))&gt;=100000), " ",IF(INDEX($AM$2:$BM$1001,MATCH(ROWS($AF$2:AF271),$AF$2:$AF$1001,0),MATCH(COLUMNS($AM$1006:AM1006),$AM$1006:$BM$1006,0)), HYPERLINK("#",""), HYPERLINK(CONCATENATE("#metadata!", ADDRESS(INDEX($AH$2:$AH$1001,MATCH(ROWS($AF$2:AF271),$AF$2:$AF$1001,0),0), INDEX($AM$1004:$BM$1004,1,MATCH(COLUMNS($AM$1006:AM1006),$AM$1006:$BM$1006,0)))),"Fix")))</f>
        <v xml:space="preserve"> </v>
      </c>
      <c r="C271" s="4" t="str">
        <f ca="1">IF(OR(INDEX($AG$2:$AG$1001,MATCH(ROWS($AF$2:AF271),$AF$2:$AF$1001,0),1)&gt;=100000,INDEX($AM$1005:$BM$1005,1,MATCH(COLUMNS($AM$1006:AN1006),$AM$1006:$BM$1006,0))&gt;=100000), " ",IF(INDEX($AM$2:$BM$1001,MATCH(ROWS($AF$2:AF271),$AF$2:$AF$1001,0),MATCH(COLUMNS($AM$1006:AN1006),$AM$1006:$BM$1006,0)), HYPERLINK("#",""), HYPERLINK(CONCATENATE("#metadata!", ADDRESS(INDEX($AH$2:$AH$1001,MATCH(ROWS($AF$2:AF271),$AF$2:$AF$1001,0),0), INDEX($AM$1004:$BM$1004,1,MATCH(COLUMNS($AM$1006:AN1006),$AM$1006:$BM$1006,0)))),"Fix")))</f>
        <v xml:space="preserve"> </v>
      </c>
      <c r="D271" s="4" t="str">
        <f ca="1">IF(OR(INDEX($AG$2:$AG$1001,MATCH(ROWS($AF$2:AF271),$AF$2:$AF$1001,0),1)&gt;=100000,INDEX($AM$1005:$BM$1005,1,MATCH(COLUMNS($AM$1006:AO1006),$AM$1006:$BM$1006,0))&gt;=100000), " ",IF(INDEX($AM$2:$BM$1001,MATCH(ROWS($AF$2:AF271),$AF$2:$AF$1001,0),MATCH(COLUMNS($AM$1006:AO1006),$AM$1006:$BM$1006,0)), HYPERLINK("#",""), HYPERLINK(CONCATENATE("#metadata!", ADDRESS(INDEX($AH$2:$AH$1001,MATCH(ROWS($AF$2:AF271),$AF$2:$AF$1001,0),0), INDEX($AM$1004:$BM$1004,1,MATCH(COLUMNS($AM$1006:AO1006),$AM$1006:$BM$1006,0)))),"Fix")))</f>
        <v xml:space="preserve"> </v>
      </c>
      <c r="E271" s="4" t="str">
        <f ca="1">IF(OR(INDEX($AG$2:$AG$1001,MATCH(ROWS($AF$2:AF271),$AF$2:$AF$1001,0),1)&gt;=100000,INDEX($AM$1005:$BM$1005,1,MATCH(COLUMNS($AM$1006:AP1006),$AM$1006:$BM$1006,0))&gt;=100000), " ",IF(INDEX($AM$2:$BM$1001,MATCH(ROWS($AF$2:AF271),$AF$2:$AF$1001,0),MATCH(COLUMNS($AM$1006:AP1006),$AM$1006:$BM$1006,0)), HYPERLINK("#",""), HYPERLINK(CONCATENATE("#metadata!", ADDRESS(INDEX($AH$2:$AH$1001,MATCH(ROWS($AF$2:AF271),$AF$2:$AF$1001,0),0), INDEX($AM$1004:$BM$1004,1,MATCH(COLUMNS($AM$1006:AP1006),$AM$1006:$BM$1006,0)))),"Fix")))</f>
        <v xml:space="preserve"> </v>
      </c>
      <c r="F271" s="4" t="str">
        <f ca="1">IF(OR(INDEX($AG$2:$AG$1001,MATCH(ROWS($AF$2:AF271),$AF$2:$AF$1001,0),1)&gt;=100000,INDEX($AM$1005:$BM$1005,1,MATCH(COLUMNS($AM$1006:AQ1006),$AM$1006:$BM$1006,0))&gt;=100000), " ",IF(INDEX($AM$2:$BM$1001,MATCH(ROWS($AF$2:AF271),$AF$2:$AF$1001,0),MATCH(COLUMNS($AM$1006:AQ1006),$AM$1006:$BM$1006,0)), HYPERLINK("#",""), HYPERLINK(CONCATENATE("#metadata!", ADDRESS(INDEX($AH$2:$AH$1001,MATCH(ROWS($AF$2:AF271),$AF$2:$AF$1001,0),0), INDEX($AM$1004:$BM$1004,1,MATCH(COLUMNS($AM$1006:AQ1006),$AM$1006:$BM$1006,0)))),"Fix")))</f>
        <v xml:space="preserve"> </v>
      </c>
      <c r="G271" s="4" t="str">
        <f ca="1">IF(OR(INDEX($AG$2:$AG$1001,MATCH(ROWS($AF$2:AF271),$AF$2:$AF$1001,0),1)&gt;=100000,INDEX($AM$1005:$BM$1005,1,MATCH(COLUMNS($AM$1006:AR1006),$AM$1006:$BM$1006,0))&gt;=100000), " ",IF(INDEX($AM$2:$BM$1001,MATCH(ROWS($AF$2:AF271),$AF$2:$AF$1001,0),MATCH(COLUMNS($AM$1006:AR1006),$AM$1006:$BM$1006,0)), HYPERLINK("#",""), HYPERLINK(CONCATENATE("#metadata!", ADDRESS(INDEX($AH$2:$AH$1001,MATCH(ROWS($AF$2:AF271),$AF$2:$AF$1001,0),0), INDEX($AM$1004:$BM$1004,1,MATCH(COLUMNS($AM$1006:AR1006),$AM$1006:$BM$1006,0)))),"Fix")))</f>
        <v xml:space="preserve"> </v>
      </c>
      <c r="H271" s="4" t="str">
        <f ca="1">IF(OR(INDEX($AG$2:$AG$1001,MATCH(ROWS($AF$2:AF271),$AF$2:$AF$1001,0),1)&gt;=100000,INDEX($AM$1005:$BM$1005,1,MATCH(COLUMNS($AM$1006:AS1006),$AM$1006:$BM$1006,0))&gt;=100000), " ",IF(INDEX($AM$2:$BM$1001,MATCH(ROWS($AF$2:AF271),$AF$2:$AF$1001,0),MATCH(COLUMNS($AM$1006:AS1006),$AM$1006:$BM$1006,0)), HYPERLINK("#",""), HYPERLINK(CONCATENATE("#metadata!", ADDRESS(INDEX($AH$2:$AH$1001,MATCH(ROWS($AF$2:AF271),$AF$2:$AF$1001,0),0), INDEX($AM$1004:$BM$1004,1,MATCH(COLUMNS($AM$1006:AS1006),$AM$1006:$BM$1006,0)))),"Fix")))</f>
        <v xml:space="preserve"> </v>
      </c>
      <c r="I271" s="4" t="str">
        <f ca="1">IF(OR(INDEX($AG$2:$AG$1001,MATCH(ROWS($AF$2:AF271),$AF$2:$AF$1001,0),1)&gt;=100000,INDEX($AM$1005:$BM$1005,1,MATCH(COLUMNS($AM$1006:AT1006),$AM$1006:$BM$1006,0))&gt;=100000), " ",IF(INDEX($AM$2:$BM$1001,MATCH(ROWS($AF$2:AF271),$AF$2:$AF$1001,0),MATCH(COLUMNS($AM$1006:AT1006),$AM$1006:$BM$1006,0)), HYPERLINK("#",""), HYPERLINK(CONCATENATE("#metadata!", ADDRESS(INDEX($AH$2:$AH$1001,MATCH(ROWS($AF$2:AF271),$AF$2:$AF$1001,0),0), INDEX($AM$1004:$BM$1004,1,MATCH(COLUMNS($AM$1006:AT1006),$AM$1006:$BM$1006,0)))),"Fix")))</f>
        <v xml:space="preserve"> </v>
      </c>
      <c r="J271" s="4" t="str">
        <f ca="1">IF(OR(INDEX($AG$2:$AG$1001,MATCH(ROWS($AF$2:AF271),$AF$2:$AF$1001,0),1)&gt;=100000,INDEX($AM$1005:$BM$1005,1,MATCH(COLUMNS($AM$1006:AU1006),$AM$1006:$BM$1006,0))&gt;=100000), " ",IF(INDEX($AM$2:$BM$1001,MATCH(ROWS($AF$2:AF271),$AF$2:$AF$1001,0),MATCH(COLUMNS($AM$1006:AU1006),$AM$1006:$BM$1006,0)), HYPERLINK("#",""), HYPERLINK(CONCATENATE("#metadata!", ADDRESS(INDEX($AH$2:$AH$1001,MATCH(ROWS($AF$2:AF271),$AF$2:$AF$1001,0),0), INDEX($AM$1004:$BM$1004,1,MATCH(COLUMNS($AM$1006:AU1006),$AM$1006:$BM$1006,0)))),"Fix")))</f>
        <v xml:space="preserve"> </v>
      </c>
      <c r="K271" s="4" t="str">
        <f ca="1">IF(OR(INDEX($AG$2:$AG$1001,MATCH(ROWS($AF$2:AF271),$AF$2:$AF$1001,0),1)&gt;=100000,INDEX($AM$1005:$BM$1005,1,MATCH(COLUMNS($AM$1006:AV1006),$AM$1006:$BM$1006,0))&gt;=100000), " ",IF(INDEX($AM$2:$BM$1001,MATCH(ROWS($AF$2:AF271),$AF$2:$AF$1001,0),MATCH(COLUMNS($AM$1006:AV1006),$AM$1006:$BM$1006,0)), HYPERLINK("#",""), HYPERLINK(CONCATENATE("#metadata!", ADDRESS(INDEX($AH$2:$AH$1001,MATCH(ROWS($AF$2:AF271),$AF$2:$AF$1001,0),0), INDEX($AM$1004:$BM$1004,1,MATCH(COLUMNS($AM$1006:AV1006),$AM$1006:$BM$1006,0)))),"Fix")))</f>
        <v xml:space="preserve"> </v>
      </c>
      <c r="L271" s="4" t="str">
        <f ca="1">IF(OR(INDEX($AG$2:$AG$1001,MATCH(ROWS($AF$2:AF271),$AF$2:$AF$1001,0),1)&gt;=100000,INDEX($AM$1005:$BM$1005,1,MATCH(COLUMNS($AM$1006:AW1006),$AM$1006:$BM$1006,0))&gt;=100000), " ",IF(INDEX($AM$2:$BM$1001,MATCH(ROWS($AF$2:AF271),$AF$2:$AF$1001,0),MATCH(COLUMNS($AM$1006:AW1006),$AM$1006:$BM$1006,0)), HYPERLINK("#",""), HYPERLINK(CONCATENATE("#metadata!", ADDRESS(INDEX($AH$2:$AH$1001,MATCH(ROWS($AF$2:AF271),$AF$2:$AF$1001,0),0), INDEX($AM$1004:$BM$1004,1,MATCH(COLUMNS($AM$1006:AW1006),$AM$1006:$BM$1006,0)))),"Fix")))</f>
        <v xml:space="preserve"> </v>
      </c>
      <c r="M271" s="4" t="str">
        <f ca="1">IF(OR(INDEX($AG$2:$AG$1001,MATCH(ROWS($AF$2:AF271),$AF$2:$AF$1001,0),1)&gt;=100000,INDEX($AM$1005:$BM$1005,1,MATCH(COLUMNS($AM$1006:AX1006),$AM$1006:$BM$1006,0))&gt;=100000), " ",IF(INDEX($AM$2:$BM$1001,MATCH(ROWS($AF$2:AF271),$AF$2:$AF$1001,0),MATCH(COLUMNS($AM$1006:AX1006),$AM$1006:$BM$1006,0)), HYPERLINK("#",""), HYPERLINK(CONCATENATE("#metadata!", ADDRESS(INDEX($AH$2:$AH$1001,MATCH(ROWS($AF$2:AF271),$AF$2:$AF$1001,0),0), INDEX($AM$1004:$BM$1004,1,MATCH(COLUMNS($AM$1006:AX1006),$AM$1006:$BM$1006,0)))),"Fix")))</f>
        <v xml:space="preserve"> </v>
      </c>
      <c r="N271" s="4" t="str">
        <f ca="1">IF(OR(INDEX($AG$2:$AG$1001,MATCH(ROWS($AF$2:AF271),$AF$2:$AF$1001,0),1)&gt;=100000,INDEX($AM$1005:$BM$1005,1,MATCH(COLUMNS($AM$1006:AY1006),$AM$1006:$BM$1006,0))&gt;=100000), " ",IF(INDEX($AM$2:$BM$1001,MATCH(ROWS($AF$2:AF271),$AF$2:$AF$1001,0),MATCH(COLUMNS($AM$1006:AY1006),$AM$1006:$BM$1006,0)), HYPERLINK("#",""), HYPERLINK(CONCATENATE("#metadata!", ADDRESS(INDEX($AH$2:$AH$1001,MATCH(ROWS($AF$2:AF271),$AF$2:$AF$1001,0),0), INDEX($AM$1004:$BM$1004,1,MATCH(COLUMNS($AM$1006:AY1006),$AM$1006:$BM$1006,0)))),"Fix")))</f>
        <v xml:space="preserve"> </v>
      </c>
      <c r="O271" s="4" t="str">
        <f ca="1">IF(OR(INDEX($AG$2:$AG$1001,MATCH(ROWS($AF$2:AF271),$AF$2:$AF$1001,0),1)&gt;=100000,INDEX($AM$1005:$BM$1005,1,MATCH(COLUMNS($AM$1006:AZ1006),$AM$1006:$BM$1006,0))&gt;=100000), " ",IF(INDEX($AM$2:$BM$1001,MATCH(ROWS($AF$2:AF271),$AF$2:$AF$1001,0),MATCH(COLUMNS($AM$1006:AZ1006),$AM$1006:$BM$1006,0)), HYPERLINK("#",""), HYPERLINK(CONCATENATE("#metadata!", ADDRESS(INDEX($AH$2:$AH$1001,MATCH(ROWS($AF$2:AF271),$AF$2:$AF$1001,0),0), INDEX($AM$1004:$BM$1004,1,MATCH(COLUMNS($AM$1006:AZ1006),$AM$1006:$BM$1006,0)))),"Fix")))</f>
        <v xml:space="preserve"> </v>
      </c>
      <c r="P271" s="4" t="str">
        <f ca="1">IF(OR(INDEX($AG$2:$AG$1001,MATCH(ROWS($AF$2:AF271),$AF$2:$AF$1001,0),1)&gt;=100000,INDEX($AM$1005:$BM$1005,1,MATCH(COLUMNS($AM$1006:BA1006),$AM$1006:$BM$1006,0))&gt;=100000), " ",IF(INDEX($AM$2:$BM$1001,MATCH(ROWS($AF$2:AF271),$AF$2:$AF$1001,0),MATCH(COLUMNS($AM$1006:BA1006),$AM$1006:$BM$1006,0)), HYPERLINK("#",""), HYPERLINK(CONCATENATE("#metadata!", ADDRESS(INDEX($AH$2:$AH$1001,MATCH(ROWS($AF$2:AF271),$AF$2:$AF$1001,0),0), INDEX($AM$1004:$BM$1004,1,MATCH(COLUMNS($AM$1006:BA1006),$AM$1006:$BM$1006,0)))),"Fix")))</f>
        <v xml:space="preserve"> </v>
      </c>
      <c r="Q271" s="4" t="str">
        <f ca="1">IF(OR(INDEX($AG$2:$AG$1001,MATCH(ROWS($AF$2:AF271),$AF$2:$AF$1001,0),1)&gt;=100000,INDEX($AM$1005:$BM$1005,1,MATCH(COLUMNS($AM$1006:BB1006),$AM$1006:$BM$1006,0))&gt;=100000), " ",IF(INDEX($AM$2:$BM$1001,MATCH(ROWS($AF$2:AF271),$AF$2:$AF$1001,0),MATCH(COLUMNS($AM$1006:BB1006),$AM$1006:$BM$1006,0)), HYPERLINK("#",""), HYPERLINK(CONCATENATE("#metadata!", ADDRESS(INDEX($AH$2:$AH$1001,MATCH(ROWS($AF$2:AF271),$AF$2:$AF$1001,0),0), INDEX($AM$1004:$BM$1004,1,MATCH(COLUMNS($AM$1006:BB1006),$AM$1006:$BM$1006,0)))),"Fix")))</f>
        <v xml:space="preserve"> </v>
      </c>
      <c r="R271" s="4" t="str">
        <f ca="1">IF(OR(INDEX($AG$2:$AG$1001,MATCH(ROWS($AF$2:AF271),$AF$2:$AF$1001,0),1)&gt;=100000,INDEX($AM$1005:$BM$1005,1,MATCH(COLUMNS($AM$1006:BC1006),$AM$1006:$BM$1006,0))&gt;=100000), " ",IF(INDEX($AM$2:$BM$1001,MATCH(ROWS($AF$2:AF271),$AF$2:$AF$1001,0),MATCH(COLUMNS($AM$1006:BC1006),$AM$1006:$BM$1006,0)), HYPERLINK("#",""), HYPERLINK(CONCATENATE("#metadata!", ADDRESS(INDEX($AH$2:$AH$1001,MATCH(ROWS($AF$2:AF271),$AF$2:$AF$1001,0),0), INDEX($AM$1004:$BM$1004,1,MATCH(COLUMNS($AM$1006:BC1006),$AM$1006:$BM$1006,0)))),"Fix")))</f>
        <v xml:space="preserve"> </v>
      </c>
      <c r="S271" s="4" t="str">
        <f ca="1">IF(OR(INDEX($AG$2:$AG$1001,MATCH(ROWS($AF$2:AF271),$AF$2:$AF$1001,0),1)&gt;=100000,INDEX($AM$1005:$BM$1005,1,MATCH(COLUMNS($AM$1006:BD1006),$AM$1006:$BM$1006,0))&gt;=100000), " ",IF(INDEX($AM$2:$BM$1001,MATCH(ROWS($AF$2:AF271),$AF$2:$AF$1001,0),MATCH(COLUMNS($AM$1006:BD1006),$AM$1006:$BM$1006,0)), HYPERLINK("#",""), HYPERLINK(CONCATENATE("#metadata!", ADDRESS(INDEX($AH$2:$AH$1001,MATCH(ROWS($AF$2:AF271),$AF$2:$AF$1001,0),0), INDEX($AM$1004:$BM$1004,1,MATCH(COLUMNS($AM$1006:BD1006),$AM$1006:$BM$1006,0)))),"Fix")))</f>
        <v xml:space="preserve"> </v>
      </c>
      <c r="T271" s="4" t="str">
        <f ca="1">IF(OR(INDEX($AG$2:$AG$1001,MATCH(ROWS($AF$2:AF271),$AF$2:$AF$1001,0),1)&gt;=100000,INDEX($AM$1005:$BM$1005,1,MATCH(COLUMNS($AM$1006:BE1006),$AM$1006:$BM$1006,0))&gt;=100000), " ",IF(INDEX($AM$2:$BM$1001,MATCH(ROWS($AF$2:AF271),$AF$2:$AF$1001,0),MATCH(COLUMNS($AM$1006:BE1006),$AM$1006:$BM$1006,0)), HYPERLINK("#",""), HYPERLINK(CONCATENATE("#metadata!", ADDRESS(INDEX($AH$2:$AH$1001,MATCH(ROWS($AF$2:AF271),$AF$2:$AF$1001,0),0), INDEX($AM$1004:$BM$1004,1,MATCH(COLUMNS($AM$1006:BE1006),$AM$1006:$BM$1006,0)))),"Fix")))</f>
        <v xml:space="preserve"> </v>
      </c>
      <c r="U271" s="4" t="str">
        <f ca="1">IF(OR(INDEX($AG$2:$AG$1001,MATCH(ROWS($AF$2:AF271),$AF$2:$AF$1001,0),1)&gt;=100000,INDEX($AM$1005:$BM$1005,1,MATCH(COLUMNS($AM$1006:BF1006),$AM$1006:$BM$1006,0))&gt;=100000), " ",IF(INDEX($AM$2:$BM$1001,MATCH(ROWS($AF$2:AF271),$AF$2:$AF$1001,0),MATCH(COLUMNS($AM$1006:BF1006),$AM$1006:$BM$1006,0)), HYPERLINK("#",""), HYPERLINK(CONCATENATE("#metadata!", ADDRESS(INDEX($AH$2:$AH$1001,MATCH(ROWS($AF$2:AF271),$AF$2:$AF$1001,0),0), INDEX($AM$1004:$BM$1004,1,MATCH(COLUMNS($AM$1006:BF1006),$AM$1006:$BM$1006,0)))),"Fix")))</f>
        <v xml:space="preserve"> </v>
      </c>
      <c r="V271" s="4" t="str">
        <f ca="1">IF(OR(INDEX($AG$2:$AG$1001,MATCH(ROWS($AF$2:AF271),$AF$2:$AF$1001,0),1)&gt;=100000,INDEX($AM$1005:$BM$1005,1,MATCH(COLUMNS($AM$1006:BG1006),$AM$1006:$BM$1006,0))&gt;=100000), " ",IF(INDEX($AM$2:$BM$1001,MATCH(ROWS($AF$2:AF271),$AF$2:$AF$1001,0),MATCH(COLUMNS($AM$1006:BG1006),$AM$1006:$BM$1006,0)), HYPERLINK("#",""), HYPERLINK(CONCATENATE("#metadata!", ADDRESS(INDEX($AH$2:$AH$1001,MATCH(ROWS($AF$2:AF271),$AF$2:$AF$1001,0),0), INDEX($AM$1004:$BM$1004,1,MATCH(COLUMNS($AM$1006:BG1006),$AM$1006:$BM$1006,0)))),"Fix")))</f>
        <v xml:space="preserve"> </v>
      </c>
      <c r="W271" s="4" t="str">
        <f ca="1">IF(OR(INDEX($AG$2:$AG$1001,MATCH(ROWS($AF$2:AF271),$AF$2:$AF$1001,0),1)&gt;=100000,INDEX($AM$1005:$BM$1005,1,MATCH(COLUMNS($AM$1006:BH1006),$AM$1006:$BM$1006,0))&gt;=100000), " ",IF(INDEX($AM$2:$BM$1001,MATCH(ROWS($AF$2:AF271),$AF$2:$AF$1001,0),MATCH(COLUMNS($AM$1006:BH1006),$AM$1006:$BM$1006,0)), HYPERLINK("#",""), HYPERLINK(CONCATENATE("#metadata!", ADDRESS(INDEX($AH$2:$AH$1001,MATCH(ROWS($AF$2:AF271),$AF$2:$AF$1001,0),0), INDEX($AM$1004:$BM$1004,1,MATCH(COLUMNS($AM$1006:BH1006),$AM$1006:$BM$1006,0)))),"Fix")))</f>
        <v xml:space="preserve"> </v>
      </c>
      <c r="X271" s="4" t="str">
        <f ca="1">IF(OR(INDEX($AG$2:$AG$1001,MATCH(ROWS($AF$2:AF271),$AF$2:$AF$1001,0),1)&gt;=100000,INDEX($AM$1005:$BM$1005,1,MATCH(COLUMNS($AM$1006:BI1006),$AM$1006:$BM$1006,0))&gt;=100000), " ",IF(INDEX($AM$2:$BM$1001,MATCH(ROWS($AF$2:AF271),$AF$2:$AF$1001,0),MATCH(COLUMNS($AM$1006:BI1006),$AM$1006:$BM$1006,0)), HYPERLINK("#",""), HYPERLINK(CONCATENATE("#metadata!", ADDRESS(INDEX($AH$2:$AH$1001,MATCH(ROWS($AF$2:AF271),$AF$2:$AF$1001,0),0), INDEX($AM$1004:$BM$1004,1,MATCH(COLUMNS($AM$1006:BI1006),$AM$1006:$BM$1006,0)))),"Fix")))</f>
        <v xml:space="preserve"> </v>
      </c>
      <c r="Y271" s="4" t="str">
        <f ca="1">IF(OR(INDEX($AG$2:$AG$1001,MATCH(ROWS($AF$2:AF271),$AF$2:$AF$1001,0),1)&gt;=100000,INDEX($AM$1005:$BM$1005,1,MATCH(COLUMNS($AM$1006:BJ1006),$AM$1006:$BM$1006,0))&gt;=100000), " ",IF(INDEX($AM$2:$BM$1001,MATCH(ROWS($AF$2:AF271),$AF$2:$AF$1001,0),MATCH(COLUMNS($AM$1006:BJ1006),$AM$1006:$BM$1006,0)), HYPERLINK("#",""), HYPERLINK(CONCATENATE("#metadata!", ADDRESS(INDEX($AH$2:$AH$1001,MATCH(ROWS($AF$2:AF271),$AF$2:$AF$1001,0),0), INDEX($AM$1004:$BM$1004,1,MATCH(COLUMNS($AM$1006:BJ1006),$AM$1006:$BM$1006,0)))),"Fix")))</f>
        <v xml:space="preserve"> </v>
      </c>
      <c r="Z271" s="4" t="str">
        <f ca="1">IF(OR(INDEX($AG$2:$AG$1001,MATCH(ROWS($AF$2:AF271),$AF$2:$AF$1001,0),1)&gt;=100000,INDEX($AM$1005:$BM$1005,1,MATCH(COLUMNS($AM$1006:BK1006),$AM$1006:$BM$1006,0))&gt;=100000), " ",IF(INDEX($AM$2:$BM$1001,MATCH(ROWS($AF$2:AF271),$AF$2:$AF$1001,0),MATCH(COLUMNS($AM$1006:BK1006),$AM$1006:$BM$1006,0)), HYPERLINK("#",""), HYPERLINK(CONCATENATE("#metadata!", ADDRESS(INDEX($AH$2:$AH$1001,MATCH(ROWS($AF$2:AF271),$AF$2:$AF$1001,0),0), INDEX($AM$1004:$BM$1004,1,MATCH(COLUMNS($AM$1006:BK1006),$AM$1006:$BM$1006,0)))),"Fix")))</f>
        <v xml:space="preserve"> </v>
      </c>
      <c r="AA271" s="4" t="str">
        <f ca="1">IF(OR(INDEX($AG$2:$AG$1001,MATCH(ROWS($AF$2:AF271),$AF$2:$AF$1001,0),1)&gt;=100000,INDEX($AM$1005:$BM$1005,1,MATCH(COLUMNS($AM$1006:BL1006),$AM$1006:$BM$1006,0))&gt;=100000), " ",IF(INDEX($AM$2:$BM$1001,MATCH(ROWS($AF$2:AF271),$AF$2:$AF$1001,0),MATCH(COLUMNS($AM$1006:BL1006),$AM$1006:$BM$1006,0)), HYPERLINK("#",""), HYPERLINK(CONCATENATE("#metadata!", ADDRESS(INDEX($AH$2:$AH$1001,MATCH(ROWS($AF$2:AF271),$AF$2:$AF$1001,0),0), INDEX($AM$1004:$BM$1004,1,MATCH(COLUMNS($AM$1006:BL1006),$AM$1006:$BM$1006,0)))),"Fix")))</f>
        <v xml:space="preserve"> </v>
      </c>
      <c r="AB271" s="4" t="str">
        <f ca="1">IF(OR(INDEX($AG$2:$AG$1001,MATCH(ROWS($AF$2:AF271),$AF$2:$AF$1001,0),1)&gt;=100000,INDEX($AM$1005:$BM$1005,1,MATCH(COLUMNS($AM$1006:BM1006),$AM$1006:$BM$1006,0))&gt;=100000), " ",IF(INDEX($AM$2:$BM$1001,MATCH(ROWS($AF$2:AF271),$AF$2:$AF$1001,0),MATCH(COLUMNS($AM$1006:BM1006),$AM$1006:$BM$1006,0)), HYPERLINK("#",""), HYPERLINK(CONCATENATE("#metadata!", ADDRESS(INDEX($AH$2:$AH$1001,MATCH(ROWS($AF$2:AF271),$AF$2:$AF$1001,0),0), INDEX($AM$1004:$BM$1004,1,MATCH(COLUMNS($AM$1006:BM1006),$AM$1006:$BM$1006,0)))),"Fix")))</f>
        <v xml:space="preserve"> </v>
      </c>
      <c r="AF271">
        <v>270</v>
      </c>
      <c r="AG271">
        <v>100271</v>
      </c>
      <c r="AH271">
        <v>271</v>
      </c>
      <c r="AI271" t="b">
        <f t="shared" si="4"/>
        <v>1</v>
      </c>
      <c r="AJ271" t="b">
        <f>COUNTBLANK(metadata!B271:AB271)=COLUMNS(metadata!B271:AB271)</f>
        <v>1</v>
      </c>
      <c r="AK271" t="str">
        <v/>
      </c>
      <c r="AM271" t="b">
        <f ca="1">AND(IF(metadata!B271="",FALSE,TRUE),COUNTIF(metadata!B:B, metadata!B271) = 1,NOT(ISERROR(SUMPRODUCT(SEARCH(MID(metadata!B271,ROW(INDIRECT("1:"&amp;LEN(metadata!B271))), 1),"0123456789abcdefghijklmnopqrstuvwxyzABCDEFGHIJKLMNOPQRSTUVWXYZ.")))))</f>
        <v>0</v>
      </c>
      <c r="AN271" t="b">
        <f ca="1">OR(AND(IF(metadata!C271="",FALSE,TRUE),OR(EXACT(metadata!C271,"missing: not collected"),EXACT(metadata!C271,"missing: not provided"),EXACT(metadata!C271,"missing: restricted access"))),AND(IF(metadata!C271="",FALSE,TRUE),AND(AND(IFERROR(INT(LEFT(metadata!C271,4))&gt;1900,FALSE),IFERROR(INT(LEFT(metadata!C271,4))&lt;=YEAR(NOW()),FALSE)), OR(MID(metadata!C271,5,1)="", AND(AND(MID(metadata!C271,5,1)="-",IFERROR(INT(MID(metadata!C271,6,1))&gt;=0,FALSE),IFERROR(INT(MID(metadata!C271,6,1))&lt;=1,FALSE),NOT(MID(metadata!C271,7,1)=""),IFERROR(INT(MID(metadata!C271,6,2))&gt;=1,FALSE),IFERROR(INT(MID(metadata!C271,6,2))&lt;=12,FALSE)), OR(MID(metadata!C271,8,1)="", AND(AND(MID(metadata!C271,8,1)="-",IFERROR(INT(MID(metadata!C271,9,1))&gt;=0,FALSE),IFERROR(INT(MID(metadata!C271,9,1))&lt;=3,FALSE),NOT(MID(metadata!C271,10,1)=""),IFERROR(INT(MID(metadata!C271,9,2))&gt;=1,FALSE),IFERROR(INT(MID(metadata!C271,9,2))&lt;=31,FALSE)), OR(MID(metadata!C271,11,1)="", AND(AND(MID(metadata!C271,11,1)=" ",IFERROR(INT(MID(metadata!C271,12,1))&gt;=0,FALSE),IFERROR(INT(MID(metadata!C271,12,1))&lt;=2,FALSE),NOT(MID(metadata!C271,13,1)=""),IFERROR(INT(MID(metadata!C271,12,2))&gt;=0,FALSE),IFERROR(INT(MID(metadata!C271,12,2))&lt;=23,FALSE)), OR(MID(metadata!C271,14,1)="", AND(AND(MID(metadata!C271,14,1)=":",IFERROR(INT(MID(metadata!C271,15,1))&gt;=0,FALSE),IFERROR(INT(MID(metadata!C271,15,1))&lt;=5,FALSE),NOT(MID(metadata!C271,16,1)=""),IFERROR(INT(MID(metadata!C271,15,2))&gt;=0,FALSE),IFERROR(INT(MID(metadata!C271,15,2))&lt;=59,FALSE)), OR(MID(metadata!C271,17,1)="", AND(AND(MID(metadata!C271,17,1)=":",IFERROR(INT(MID(metadata!C271,18,1))&gt;=0,FALSE),IFERROR(INT(MID(metadata!C271,18,1))&lt;=5,FALSE),NOT(MID(metadata!C271,19,1)=""),IFERROR(INT(MID(metadata!C271,18,2))&gt;=0,FALSE),IFERROR(INT(MID(metadata!C271,18,2))&lt;=59,FALSE)), LEN(metadata!C271)&lt;=19)))))))))))))</f>
        <v>0</v>
      </c>
      <c r="AO271" t="b">
        <f>AND(IF(metadata!D271="",FALSE,TRUE),EXACT(metadata!D271,"Not applicable"))</f>
        <v>0</v>
      </c>
      <c r="AP271" t="b">
        <f>IF(metadata!E271="",FALSE,TRUE)</f>
        <v>0</v>
      </c>
      <c r="AQ271" t="b">
        <f>OR(AND(IF(metadata!F271="",FALSE,TRUE),OR(EXACT(metadata!F271,"missing: not collected"),EXACT(metadata!F271,"missing: not provided"))),AND(IF(metadata!F271="",FALSE,TRUE),OR(EXACT(metadata!F271,"TRUE"),EXACT(metadata!F271,"FALSE"))))</f>
        <v>0</v>
      </c>
      <c r="AR271" t="b">
        <f>OR(AND(IF(metadata!G271="",FALSE,TRUE),OR(EXACT(metadata!G271,"missing: not collected"),EXACT(metadata!G271,"missing: not provided"),EXACT(metadata!G271,"missing: restricted access"))),AND(IF(metadata!G271="",FALSE,ISNUMBER(VALUE(metadata!G271))),metadata!G271&gt;=-413))</f>
        <v>0</v>
      </c>
      <c r="AS271" t="b">
        <f>AND(IF(metadata!H271="",FALSE,TRUE),EXACT(metadata!H271,"meters"))</f>
        <v>0</v>
      </c>
      <c r="AT271" t="b">
        <f>AND(IF(metadata!I271="",FALSE,TRUE),OR(EXACT(metadata!I271,"Host-associated"),EXACT(metadata!I271,"Free-living")))</f>
        <v>0</v>
      </c>
      <c r="AU271" t="b">
        <f>AND(IF(metadata!J271="",FALSE,TRUE),OR(EXACT(metadata!J271,"Animal"),EXACT(metadata!J271,"Fungus"),EXACT(metadata!J271,"Plant"),EXACT(metadata!J271,"Saline"),EXACT(metadata!J271,"Non-saline")))</f>
        <v>0</v>
      </c>
      <c r="AV271" t="b">
        <f>AND(IF(metadata!K271="",FALSE,TRUE),OR(EXACT(metadata!K271,"Plant secretion"),EXACT(metadata!K271,"Plant rhizosphere"),EXACT(metadata!K271,"Plant surface"),EXACT(metadata!K271,"Plant corpus"),EXACT(metadata!K271,"Fungus surface"),EXACT(metadata!K271,"Fungus corpus"),EXACT(metadata!K271,"Animal surface"),EXACT(metadata!K271,"Animal proximal gut"),EXACT(metadata!K271,"Animal corpus"),EXACT(metadata!K271,"Animal distal gut"),EXACT(metadata!K271,"Animal secretion"),EXACT(metadata!K271,"Sub-surface (non-saline)"),EXACT(metadata!K271,"Surface (non-saline)"),EXACT(metadata!K271,"Water (non-saline)"),EXACT(metadata!K271,"Soil (non-saline)"),EXACT(metadata!K271,"Aerosol (non-saline)"),EXACT(metadata!K271,"Sediment (non-saline)"),EXACT(metadata!K271,"Surface (saline)"),EXACT(metadata!K271,"Water (saline)"),EXACT(metadata!K271,"Hypersaline (saline)"),EXACT(metadata!K271,"Aerosol (saline)"),EXACT(metadata!K271,"Sediment (saline)")))</f>
        <v>0</v>
      </c>
      <c r="AW271" t="b">
        <f>IF(metadata!L271="",FALSE,TRUE)</f>
        <v>0</v>
      </c>
      <c r="AX271" t="b">
        <f>IF(metadata!M271="",FALSE,TRUE)</f>
        <v>0</v>
      </c>
      <c r="AY271" t="b">
        <f>IF(metadata!N271="",FALSE,TRUE)</f>
        <v>0</v>
      </c>
      <c r="AZ271" t="b">
        <f>OR(AND(IF(metadata!O271="",FALSE,TRUE),OR(EXACT(metadata!O271,"missing: not collected"),EXACT(metadata!O271,"missing: not provided"),EXACT(metadata!O271,"missing: restricted access"))),AND(IF(metadata!O271="",FALSE,TRUE),OR(EXACT(metadata!O271,"air"),EXACT(metadata!O271,"built environment"),EXACT(metadata!O271,"host-associated"),EXACT(metadata!O271,"human-associated"),EXACT(metadata!O271,"human-skin"),EXACT(metadata!O271,"human-oral"),EXACT(metadata!O271,"human-gut"),EXACT(metadata!O271,"human-vaginal"),EXACT(metadata!O271,"microbial mat/biofilm"),EXACT(metadata!O271,"misc environment"),EXACT(metadata!O271,"plant-associated"),EXACT(metadata!O271,"sediment"),EXACT(metadata!O271,"soil"),EXACT(metadata!O271,"wastewater/sludge"),EXACT(metadata!O271,"water"))))</f>
        <v>0</v>
      </c>
      <c r="BA271" t="b">
        <f>IF(metadata!P271="",FALSE,TRUE)</f>
        <v>0</v>
      </c>
      <c r="BB271" t="b">
        <f>IF(metadata!Q271="",FALSE,TRUE)</f>
        <v>0</v>
      </c>
      <c r="BC271" t="b">
        <f>OR(AND(IF(metadata!R271="",FALSE,TRUE),OR(EXACT(metadata!R271,"missing: not collected"),EXACT(metadata!R271,"missing: not provided"),EXACT(metadata!R271,"missing: restricted access"))),AND(IF(metadata!R271="",FALSE,ISNUMBER(VALUE(metadata!R271))),metadata!R271&gt;=-90,metadata!R271&lt;=90))</f>
        <v>0</v>
      </c>
      <c r="BD271" t="b">
        <f>AND(IF(metadata!S271="",FALSE,TRUE),EXACT(metadata!S271,"Decimal degrees"))</f>
        <v>0</v>
      </c>
      <c r="BE271" t="b">
        <f>OR(AND(IF(metadata!T271="",FALSE,TRUE),OR(EXACT(metadata!T271,"missing: not collected"),EXACT(metadata!T271,"missing: not provided"),EXACT(metadata!T271,"missing: restricted access"))),AND(IF(metadata!T271="",FALSE,ISNUMBER(VALUE(metadata!T271))),metadata!T271&gt;=-180,metadata!T271&lt;=180))</f>
        <v>0</v>
      </c>
      <c r="BF271" t="b">
        <f>AND(IF(metadata!U271="",FALSE,TRUE),EXACT(metadata!U271,"Decimal degrees"))</f>
        <v>0</v>
      </c>
      <c r="BG271" t="b">
        <f>IF(metadata!V271="",FALSE,TRUE)</f>
        <v>0</v>
      </c>
      <c r="BH271" t="b">
        <f>OR(AND(IF(metadata!W271="",FALSE,TRUE),OR(EXACT(metadata!W271,"missing: not collected"),EXACT(metadata!W271,"missing: not provided"),EXACT(metadata!W271,"missing: restricted access"))),AND(IF(metadata!W271="",FALSE,TRUE),OR(EXACT(metadata!W271,"TRUE"),EXACT(metadata!W271,"FALSE"))))</f>
        <v>0</v>
      </c>
      <c r="BI271" t="b">
        <f>AND(IF(metadata!X271="",FALSE,TRUE),EXACT(metadata!X271,"other"))</f>
        <v>0</v>
      </c>
      <c r="BJ271" t="b">
        <f>IF(metadata!Y271="",FALSE,TRUE)</f>
        <v>0</v>
      </c>
      <c r="BK271" t="b">
        <f>OR(AND(IF(metadata!Z271="",FALSE,TRUE),OR(EXACT(metadata!Z271,"missing: not collected"),EXACT(metadata!Z271,"missing: not provided"))),AND(IF(metadata!Z271="",FALSE,IF(ISERROR(INT(metadata!Z271)),FALSE,INT(metadata!Z271)=metadata!Z271)),metadata!Z271&gt;0))</f>
        <v>0</v>
      </c>
      <c r="BL271" t="b">
        <f>AND(IF(metadata!AA271="",FALSE,TRUE),EXACT(metadata!AA271,"Not applicable"))</f>
        <v>0</v>
      </c>
      <c r="BM271" t="b">
        <f>IF(metadata!AB271="",FALSE,TRUE)</f>
        <v>0</v>
      </c>
    </row>
    <row r="272" spans="1:65" x14ac:dyDescent="0.2">
      <c r="A272" s="5" t="str">
        <f ca="1">IF(B272=" "," ",HYPERLINK(CONCATENATE("#metadata!",ADDRESS(INDEX($AH$2:$AH$1001,MATCH(ROWS($AF$2:AF272),$AF$2:$AF$1001,0),0),1)),INDEX($AK$2:$AK$1001,MATCH(ROWS($AF$2:AF272),$AF$2:$AF$1001,0),0)))</f>
        <v xml:space="preserve"> </v>
      </c>
      <c r="B272" s="4" t="str">
        <f ca="1">IF(OR(INDEX($AG$2:$AG$1001,MATCH(ROWS($AF$2:AF272),$AF$2:$AF$1001,0),1)&gt;=100000,INDEX($AM$1005:$BM$1005,1,MATCH(COLUMNS($AM$1006:AM1006),$AM$1006:$BM$1006,0))&gt;=100000), " ",IF(INDEX($AM$2:$BM$1001,MATCH(ROWS($AF$2:AF272),$AF$2:$AF$1001,0),MATCH(COLUMNS($AM$1006:AM1006),$AM$1006:$BM$1006,0)), HYPERLINK("#",""), HYPERLINK(CONCATENATE("#metadata!", ADDRESS(INDEX($AH$2:$AH$1001,MATCH(ROWS($AF$2:AF272),$AF$2:$AF$1001,0),0), INDEX($AM$1004:$BM$1004,1,MATCH(COLUMNS($AM$1006:AM1006),$AM$1006:$BM$1006,0)))),"Fix")))</f>
        <v xml:space="preserve"> </v>
      </c>
      <c r="C272" s="4" t="str">
        <f ca="1">IF(OR(INDEX($AG$2:$AG$1001,MATCH(ROWS($AF$2:AF272),$AF$2:$AF$1001,0),1)&gt;=100000,INDEX($AM$1005:$BM$1005,1,MATCH(COLUMNS($AM$1006:AN1006),$AM$1006:$BM$1006,0))&gt;=100000), " ",IF(INDEX($AM$2:$BM$1001,MATCH(ROWS($AF$2:AF272),$AF$2:$AF$1001,0),MATCH(COLUMNS($AM$1006:AN1006),$AM$1006:$BM$1006,0)), HYPERLINK("#",""), HYPERLINK(CONCATENATE("#metadata!", ADDRESS(INDEX($AH$2:$AH$1001,MATCH(ROWS($AF$2:AF272),$AF$2:$AF$1001,0),0), INDEX($AM$1004:$BM$1004,1,MATCH(COLUMNS($AM$1006:AN1006),$AM$1006:$BM$1006,0)))),"Fix")))</f>
        <v xml:space="preserve"> </v>
      </c>
      <c r="D272" s="4" t="str">
        <f ca="1">IF(OR(INDEX($AG$2:$AG$1001,MATCH(ROWS($AF$2:AF272),$AF$2:$AF$1001,0),1)&gt;=100000,INDEX($AM$1005:$BM$1005,1,MATCH(COLUMNS($AM$1006:AO1006),$AM$1006:$BM$1006,0))&gt;=100000), " ",IF(INDEX($AM$2:$BM$1001,MATCH(ROWS($AF$2:AF272),$AF$2:$AF$1001,0),MATCH(COLUMNS($AM$1006:AO1006),$AM$1006:$BM$1006,0)), HYPERLINK("#",""), HYPERLINK(CONCATENATE("#metadata!", ADDRESS(INDEX($AH$2:$AH$1001,MATCH(ROWS($AF$2:AF272),$AF$2:$AF$1001,0),0), INDEX($AM$1004:$BM$1004,1,MATCH(COLUMNS($AM$1006:AO1006),$AM$1006:$BM$1006,0)))),"Fix")))</f>
        <v xml:space="preserve"> </v>
      </c>
      <c r="E272" s="4" t="str">
        <f ca="1">IF(OR(INDEX($AG$2:$AG$1001,MATCH(ROWS($AF$2:AF272),$AF$2:$AF$1001,0),1)&gt;=100000,INDEX($AM$1005:$BM$1005,1,MATCH(COLUMNS($AM$1006:AP1006),$AM$1006:$BM$1006,0))&gt;=100000), " ",IF(INDEX($AM$2:$BM$1001,MATCH(ROWS($AF$2:AF272),$AF$2:$AF$1001,0),MATCH(COLUMNS($AM$1006:AP1006),$AM$1006:$BM$1006,0)), HYPERLINK("#",""), HYPERLINK(CONCATENATE("#metadata!", ADDRESS(INDEX($AH$2:$AH$1001,MATCH(ROWS($AF$2:AF272),$AF$2:$AF$1001,0),0), INDEX($AM$1004:$BM$1004,1,MATCH(COLUMNS($AM$1006:AP1006),$AM$1006:$BM$1006,0)))),"Fix")))</f>
        <v xml:space="preserve"> </v>
      </c>
      <c r="F272" s="4" t="str">
        <f ca="1">IF(OR(INDEX($AG$2:$AG$1001,MATCH(ROWS($AF$2:AF272),$AF$2:$AF$1001,0),1)&gt;=100000,INDEX($AM$1005:$BM$1005,1,MATCH(COLUMNS($AM$1006:AQ1006),$AM$1006:$BM$1006,0))&gt;=100000), " ",IF(INDEX($AM$2:$BM$1001,MATCH(ROWS($AF$2:AF272),$AF$2:$AF$1001,0),MATCH(COLUMNS($AM$1006:AQ1006),$AM$1006:$BM$1006,0)), HYPERLINK("#",""), HYPERLINK(CONCATENATE("#metadata!", ADDRESS(INDEX($AH$2:$AH$1001,MATCH(ROWS($AF$2:AF272),$AF$2:$AF$1001,0),0), INDEX($AM$1004:$BM$1004,1,MATCH(COLUMNS($AM$1006:AQ1006),$AM$1006:$BM$1006,0)))),"Fix")))</f>
        <v xml:space="preserve"> </v>
      </c>
      <c r="G272" s="4" t="str">
        <f ca="1">IF(OR(INDEX($AG$2:$AG$1001,MATCH(ROWS($AF$2:AF272),$AF$2:$AF$1001,0),1)&gt;=100000,INDEX($AM$1005:$BM$1005,1,MATCH(COLUMNS($AM$1006:AR1006),$AM$1006:$BM$1006,0))&gt;=100000), " ",IF(INDEX($AM$2:$BM$1001,MATCH(ROWS($AF$2:AF272),$AF$2:$AF$1001,0),MATCH(COLUMNS($AM$1006:AR1006),$AM$1006:$BM$1006,0)), HYPERLINK("#",""), HYPERLINK(CONCATENATE("#metadata!", ADDRESS(INDEX($AH$2:$AH$1001,MATCH(ROWS($AF$2:AF272),$AF$2:$AF$1001,0),0), INDEX($AM$1004:$BM$1004,1,MATCH(COLUMNS($AM$1006:AR1006),$AM$1006:$BM$1006,0)))),"Fix")))</f>
        <v xml:space="preserve"> </v>
      </c>
      <c r="H272" s="4" t="str">
        <f ca="1">IF(OR(INDEX($AG$2:$AG$1001,MATCH(ROWS($AF$2:AF272),$AF$2:$AF$1001,0),1)&gt;=100000,INDEX($AM$1005:$BM$1005,1,MATCH(COLUMNS($AM$1006:AS1006),$AM$1006:$BM$1006,0))&gt;=100000), " ",IF(INDEX($AM$2:$BM$1001,MATCH(ROWS($AF$2:AF272),$AF$2:$AF$1001,0),MATCH(COLUMNS($AM$1006:AS1006),$AM$1006:$BM$1006,0)), HYPERLINK("#",""), HYPERLINK(CONCATENATE("#metadata!", ADDRESS(INDEX($AH$2:$AH$1001,MATCH(ROWS($AF$2:AF272),$AF$2:$AF$1001,0),0), INDEX($AM$1004:$BM$1004,1,MATCH(COLUMNS($AM$1006:AS1006),$AM$1006:$BM$1006,0)))),"Fix")))</f>
        <v xml:space="preserve"> </v>
      </c>
      <c r="I272" s="4" t="str">
        <f ca="1">IF(OR(INDEX($AG$2:$AG$1001,MATCH(ROWS($AF$2:AF272),$AF$2:$AF$1001,0),1)&gt;=100000,INDEX($AM$1005:$BM$1005,1,MATCH(COLUMNS($AM$1006:AT1006),$AM$1006:$BM$1006,0))&gt;=100000), " ",IF(INDEX($AM$2:$BM$1001,MATCH(ROWS($AF$2:AF272),$AF$2:$AF$1001,0),MATCH(COLUMNS($AM$1006:AT1006),$AM$1006:$BM$1006,0)), HYPERLINK("#",""), HYPERLINK(CONCATENATE("#metadata!", ADDRESS(INDEX($AH$2:$AH$1001,MATCH(ROWS($AF$2:AF272),$AF$2:$AF$1001,0),0), INDEX($AM$1004:$BM$1004,1,MATCH(COLUMNS($AM$1006:AT1006),$AM$1006:$BM$1006,0)))),"Fix")))</f>
        <v xml:space="preserve"> </v>
      </c>
      <c r="J272" s="4" t="str">
        <f ca="1">IF(OR(INDEX($AG$2:$AG$1001,MATCH(ROWS($AF$2:AF272),$AF$2:$AF$1001,0),1)&gt;=100000,INDEX($AM$1005:$BM$1005,1,MATCH(COLUMNS($AM$1006:AU1006),$AM$1006:$BM$1006,0))&gt;=100000), " ",IF(INDEX($AM$2:$BM$1001,MATCH(ROWS($AF$2:AF272),$AF$2:$AF$1001,0),MATCH(COLUMNS($AM$1006:AU1006),$AM$1006:$BM$1006,0)), HYPERLINK("#",""), HYPERLINK(CONCATENATE("#metadata!", ADDRESS(INDEX($AH$2:$AH$1001,MATCH(ROWS($AF$2:AF272),$AF$2:$AF$1001,0),0), INDEX($AM$1004:$BM$1004,1,MATCH(COLUMNS($AM$1006:AU1006),$AM$1006:$BM$1006,0)))),"Fix")))</f>
        <v xml:space="preserve"> </v>
      </c>
      <c r="K272" s="4" t="str">
        <f ca="1">IF(OR(INDEX($AG$2:$AG$1001,MATCH(ROWS($AF$2:AF272),$AF$2:$AF$1001,0),1)&gt;=100000,INDEX($AM$1005:$BM$1005,1,MATCH(COLUMNS($AM$1006:AV1006),$AM$1006:$BM$1006,0))&gt;=100000), " ",IF(INDEX($AM$2:$BM$1001,MATCH(ROWS($AF$2:AF272),$AF$2:$AF$1001,0),MATCH(COLUMNS($AM$1006:AV1006),$AM$1006:$BM$1006,0)), HYPERLINK("#",""), HYPERLINK(CONCATENATE("#metadata!", ADDRESS(INDEX($AH$2:$AH$1001,MATCH(ROWS($AF$2:AF272),$AF$2:$AF$1001,0),0), INDEX($AM$1004:$BM$1004,1,MATCH(COLUMNS($AM$1006:AV1006),$AM$1006:$BM$1006,0)))),"Fix")))</f>
        <v xml:space="preserve"> </v>
      </c>
      <c r="L272" s="4" t="str">
        <f ca="1">IF(OR(INDEX($AG$2:$AG$1001,MATCH(ROWS($AF$2:AF272),$AF$2:$AF$1001,0),1)&gt;=100000,INDEX($AM$1005:$BM$1005,1,MATCH(COLUMNS($AM$1006:AW1006),$AM$1006:$BM$1006,0))&gt;=100000), " ",IF(INDEX($AM$2:$BM$1001,MATCH(ROWS($AF$2:AF272),$AF$2:$AF$1001,0),MATCH(COLUMNS($AM$1006:AW1006),$AM$1006:$BM$1006,0)), HYPERLINK("#",""), HYPERLINK(CONCATENATE("#metadata!", ADDRESS(INDEX($AH$2:$AH$1001,MATCH(ROWS($AF$2:AF272),$AF$2:$AF$1001,0),0), INDEX($AM$1004:$BM$1004,1,MATCH(COLUMNS($AM$1006:AW1006),$AM$1006:$BM$1006,0)))),"Fix")))</f>
        <v xml:space="preserve"> </v>
      </c>
      <c r="M272" s="4" t="str">
        <f ca="1">IF(OR(INDEX($AG$2:$AG$1001,MATCH(ROWS($AF$2:AF272),$AF$2:$AF$1001,0),1)&gt;=100000,INDEX($AM$1005:$BM$1005,1,MATCH(COLUMNS($AM$1006:AX1006),$AM$1006:$BM$1006,0))&gt;=100000), " ",IF(INDEX($AM$2:$BM$1001,MATCH(ROWS($AF$2:AF272),$AF$2:$AF$1001,0),MATCH(COLUMNS($AM$1006:AX1006),$AM$1006:$BM$1006,0)), HYPERLINK("#",""), HYPERLINK(CONCATENATE("#metadata!", ADDRESS(INDEX($AH$2:$AH$1001,MATCH(ROWS($AF$2:AF272),$AF$2:$AF$1001,0),0), INDEX($AM$1004:$BM$1004,1,MATCH(COLUMNS($AM$1006:AX1006),$AM$1006:$BM$1006,0)))),"Fix")))</f>
        <v xml:space="preserve"> </v>
      </c>
      <c r="N272" s="4" t="str">
        <f ca="1">IF(OR(INDEX($AG$2:$AG$1001,MATCH(ROWS($AF$2:AF272),$AF$2:$AF$1001,0),1)&gt;=100000,INDEX($AM$1005:$BM$1005,1,MATCH(COLUMNS($AM$1006:AY1006),$AM$1006:$BM$1006,0))&gt;=100000), " ",IF(INDEX($AM$2:$BM$1001,MATCH(ROWS($AF$2:AF272),$AF$2:$AF$1001,0),MATCH(COLUMNS($AM$1006:AY1006),$AM$1006:$BM$1006,0)), HYPERLINK("#",""), HYPERLINK(CONCATENATE("#metadata!", ADDRESS(INDEX($AH$2:$AH$1001,MATCH(ROWS($AF$2:AF272),$AF$2:$AF$1001,0),0), INDEX($AM$1004:$BM$1004,1,MATCH(COLUMNS($AM$1006:AY1006),$AM$1006:$BM$1006,0)))),"Fix")))</f>
        <v xml:space="preserve"> </v>
      </c>
      <c r="O272" s="4" t="str">
        <f ca="1">IF(OR(INDEX($AG$2:$AG$1001,MATCH(ROWS($AF$2:AF272),$AF$2:$AF$1001,0),1)&gt;=100000,INDEX($AM$1005:$BM$1005,1,MATCH(COLUMNS($AM$1006:AZ1006),$AM$1006:$BM$1006,0))&gt;=100000), " ",IF(INDEX($AM$2:$BM$1001,MATCH(ROWS($AF$2:AF272),$AF$2:$AF$1001,0),MATCH(COLUMNS($AM$1006:AZ1006),$AM$1006:$BM$1006,0)), HYPERLINK("#",""), HYPERLINK(CONCATENATE("#metadata!", ADDRESS(INDEX($AH$2:$AH$1001,MATCH(ROWS($AF$2:AF272),$AF$2:$AF$1001,0),0), INDEX($AM$1004:$BM$1004,1,MATCH(COLUMNS($AM$1006:AZ1006),$AM$1006:$BM$1006,0)))),"Fix")))</f>
        <v xml:space="preserve"> </v>
      </c>
      <c r="P272" s="4" t="str">
        <f ca="1">IF(OR(INDEX($AG$2:$AG$1001,MATCH(ROWS($AF$2:AF272),$AF$2:$AF$1001,0),1)&gt;=100000,INDEX($AM$1005:$BM$1005,1,MATCH(COLUMNS($AM$1006:BA1006),$AM$1006:$BM$1006,0))&gt;=100000), " ",IF(INDEX($AM$2:$BM$1001,MATCH(ROWS($AF$2:AF272),$AF$2:$AF$1001,0),MATCH(COLUMNS($AM$1006:BA1006),$AM$1006:$BM$1006,0)), HYPERLINK("#",""), HYPERLINK(CONCATENATE("#metadata!", ADDRESS(INDEX($AH$2:$AH$1001,MATCH(ROWS($AF$2:AF272),$AF$2:$AF$1001,0),0), INDEX($AM$1004:$BM$1004,1,MATCH(COLUMNS($AM$1006:BA1006),$AM$1006:$BM$1006,0)))),"Fix")))</f>
        <v xml:space="preserve"> </v>
      </c>
      <c r="Q272" s="4" t="str">
        <f ca="1">IF(OR(INDEX($AG$2:$AG$1001,MATCH(ROWS($AF$2:AF272),$AF$2:$AF$1001,0),1)&gt;=100000,INDEX($AM$1005:$BM$1005,1,MATCH(COLUMNS($AM$1006:BB1006),$AM$1006:$BM$1006,0))&gt;=100000), " ",IF(INDEX($AM$2:$BM$1001,MATCH(ROWS($AF$2:AF272),$AF$2:$AF$1001,0),MATCH(COLUMNS($AM$1006:BB1006),$AM$1006:$BM$1006,0)), HYPERLINK("#",""), HYPERLINK(CONCATENATE("#metadata!", ADDRESS(INDEX($AH$2:$AH$1001,MATCH(ROWS($AF$2:AF272),$AF$2:$AF$1001,0),0), INDEX($AM$1004:$BM$1004,1,MATCH(COLUMNS($AM$1006:BB1006),$AM$1006:$BM$1006,0)))),"Fix")))</f>
        <v xml:space="preserve"> </v>
      </c>
      <c r="R272" s="4" t="str">
        <f ca="1">IF(OR(INDEX($AG$2:$AG$1001,MATCH(ROWS($AF$2:AF272),$AF$2:$AF$1001,0),1)&gt;=100000,INDEX($AM$1005:$BM$1005,1,MATCH(COLUMNS($AM$1006:BC1006),$AM$1006:$BM$1006,0))&gt;=100000), " ",IF(INDEX($AM$2:$BM$1001,MATCH(ROWS($AF$2:AF272),$AF$2:$AF$1001,0),MATCH(COLUMNS($AM$1006:BC1006),$AM$1006:$BM$1006,0)), HYPERLINK("#",""), HYPERLINK(CONCATENATE("#metadata!", ADDRESS(INDEX($AH$2:$AH$1001,MATCH(ROWS($AF$2:AF272),$AF$2:$AF$1001,0),0), INDEX($AM$1004:$BM$1004,1,MATCH(COLUMNS($AM$1006:BC1006),$AM$1006:$BM$1006,0)))),"Fix")))</f>
        <v xml:space="preserve"> </v>
      </c>
      <c r="S272" s="4" t="str">
        <f ca="1">IF(OR(INDEX($AG$2:$AG$1001,MATCH(ROWS($AF$2:AF272),$AF$2:$AF$1001,0),1)&gt;=100000,INDEX($AM$1005:$BM$1005,1,MATCH(COLUMNS($AM$1006:BD1006),$AM$1006:$BM$1006,0))&gt;=100000), " ",IF(INDEX($AM$2:$BM$1001,MATCH(ROWS($AF$2:AF272),$AF$2:$AF$1001,0),MATCH(COLUMNS($AM$1006:BD1006),$AM$1006:$BM$1006,0)), HYPERLINK("#",""), HYPERLINK(CONCATENATE("#metadata!", ADDRESS(INDEX($AH$2:$AH$1001,MATCH(ROWS($AF$2:AF272),$AF$2:$AF$1001,0),0), INDEX($AM$1004:$BM$1004,1,MATCH(COLUMNS($AM$1006:BD1006),$AM$1006:$BM$1006,0)))),"Fix")))</f>
        <v xml:space="preserve"> </v>
      </c>
      <c r="T272" s="4" t="str">
        <f ca="1">IF(OR(INDEX($AG$2:$AG$1001,MATCH(ROWS($AF$2:AF272),$AF$2:$AF$1001,0),1)&gt;=100000,INDEX($AM$1005:$BM$1005,1,MATCH(COLUMNS($AM$1006:BE1006),$AM$1006:$BM$1006,0))&gt;=100000), " ",IF(INDEX($AM$2:$BM$1001,MATCH(ROWS($AF$2:AF272),$AF$2:$AF$1001,0),MATCH(COLUMNS($AM$1006:BE1006),$AM$1006:$BM$1006,0)), HYPERLINK("#",""), HYPERLINK(CONCATENATE("#metadata!", ADDRESS(INDEX($AH$2:$AH$1001,MATCH(ROWS($AF$2:AF272),$AF$2:$AF$1001,0),0), INDEX($AM$1004:$BM$1004,1,MATCH(COLUMNS($AM$1006:BE1006),$AM$1006:$BM$1006,0)))),"Fix")))</f>
        <v xml:space="preserve"> </v>
      </c>
      <c r="U272" s="4" t="str">
        <f ca="1">IF(OR(INDEX($AG$2:$AG$1001,MATCH(ROWS($AF$2:AF272),$AF$2:$AF$1001,0),1)&gt;=100000,INDEX($AM$1005:$BM$1005,1,MATCH(COLUMNS($AM$1006:BF1006),$AM$1006:$BM$1006,0))&gt;=100000), " ",IF(INDEX($AM$2:$BM$1001,MATCH(ROWS($AF$2:AF272),$AF$2:$AF$1001,0),MATCH(COLUMNS($AM$1006:BF1006),$AM$1006:$BM$1006,0)), HYPERLINK("#",""), HYPERLINK(CONCATENATE("#metadata!", ADDRESS(INDEX($AH$2:$AH$1001,MATCH(ROWS($AF$2:AF272),$AF$2:$AF$1001,0),0), INDEX($AM$1004:$BM$1004,1,MATCH(COLUMNS($AM$1006:BF1006),$AM$1006:$BM$1006,0)))),"Fix")))</f>
        <v xml:space="preserve"> </v>
      </c>
      <c r="V272" s="4" t="str">
        <f ca="1">IF(OR(INDEX($AG$2:$AG$1001,MATCH(ROWS($AF$2:AF272),$AF$2:$AF$1001,0),1)&gt;=100000,INDEX($AM$1005:$BM$1005,1,MATCH(COLUMNS($AM$1006:BG1006),$AM$1006:$BM$1006,0))&gt;=100000), " ",IF(INDEX($AM$2:$BM$1001,MATCH(ROWS($AF$2:AF272),$AF$2:$AF$1001,0),MATCH(COLUMNS($AM$1006:BG1006),$AM$1006:$BM$1006,0)), HYPERLINK("#",""), HYPERLINK(CONCATENATE("#metadata!", ADDRESS(INDEX($AH$2:$AH$1001,MATCH(ROWS($AF$2:AF272),$AF$2:$AF$1001,0),0), INDEX($AM$1004:$BM$1004,1,MATCH(COLUMNS($AM$1006:BG1006),$AM$1006:$BM$1006,0)))),"Fix")))</f>
        <v xml:space="preserve"> </v>
      </c>
      <c r="W272" s="4" t="str">
        <f ca="1">IF(OR(INDEX($AG$2:$AG$1001,MATCH(ROWS($AF$2:AF272),$AF$2:$AF$1001,0),1)&gt;=100000,INDEX($AM$1005:$BM$1005,1,MATCH(COLUMNS($AM$1006:BH1006),$AM$1006:$BM$1006,0))&gt;=100000), " ",IF(INDEX($AM$2:$BM$1001,MATCH(ROWS($AF$2:AF272),$AF$2:$AF$1001,0),MATCH(COLUMNS($AM$1006:BH1006),$AM$1006:$BM$1006,0)), HYPERLINK("#",""), HYPERLINK(CONCATENATE("#metadata!", ADDRESS(INDEX($AH$2:$AH$1001,MATCH(ROWS($AF$2:AF272),$AF$2:$AF$1001,0),0), INDEX($AM$1004:$BM$1004,1,MATCH(COLUMNS($AM$1006:BH1006),$AM$1006:$BM$1006,0)))),"Fix")))</f>
        <v xml:space="preserve"> </v>
      </c>
      <c r="X272" s="4" t="str">
        <f ca="1">IF(OR(INDEX($AG$2:$AG$1001,MATCH(ROWS($AF$2:AF272),$AF$2:$AF$1001,0),1)&gt;=100000,INDEX($AM$1005:$BM$1005,1,MATCH(COLUMNS($AM$1006:BI1006),$AM$1006:$BM$1006,0))&gt;=100000), " ",IF(INDEX($AM$2:$BM$1001,MATCH(ROWS($AF$2:AF272),$AF$2:$AF$1001,0),MATCH(COLUMNS($AM$1006:BI1006),$AM$1006:$BM$1006,0)), HYPERLINK("#",""), HYPERLINK(CONCATENATE("#metadata!", ADDRESS(INDEX($AH$2:$AH$1001,MATCH(ROWS($AF$2:AF272),$AF$2:$AF$1001,0),0), INDEX($AM$1004:$BM$1004,1,MATCH(COLUMNS($AM$1006:BI1006),$AM$1006:$BM$1006,0)))),"Fix")))</f>
        <v xml:space="preserve"> </v>
      </c>
      <c r="Y272" s="4" t="str">
        <f ca="1">IF(OR(INDEX($AG$2:$AG$1001,MATCH(ROWS($AF$2:AF272),$AF$2:$AF$1001,0),1)&gt;=100000,INDEX($AM$1005:$BM$1005,1,MATCH(COLUMNS($AM$1006:BJ1006),$AM$1006:$BM$1006,0))&gt;=100000), " ",IF(INDEX($AM$2:$BM$1001,MATCH(ROWS($AF$2:AF272),$AF$2:$AF$1001,0),MATCH(COLUMNS($AM$1006:BJ1006),$AM$1006:$BM$1006,0)), HYPERLINK("#",""), HYPERLINK(CONCATENATE("#metadata!", ADDRESS(INDEX($AH$2:$AH$1001,MATCH(ROWS($AF$2:AF272),$AF$2:$AF$1001,0),0), INDEX($AM$1004:$BM$1004,1,MATCH(COLUMNS($AM$1006:BJ1006),$AM$1006:$BM$1006,0)))),"Fix")))</f>
        <v xml:space="preserve"> </v>
      </c>
      <c r="Z272" s="4" t="str">
        <f ca="1">IF(OR(INDEX($AG$2:$AG$1001,MATCH(ROWS($AF$2:AF272),$AF$2:$AF$1001,0),1)&gt;=100000,INDEX($AM$1005:$BM$1005,1,MATCH(COLUMNS($AM$1006:BK1006),$AM$1006:$BM$1006,0))&gt;=100000), " ",IF(INDEX($AM$2:$BM$1001,MATCH(ROWS($AF$2:AF272),$AF$2:$AF$1001,0),MATCH(COLUMNS($AM$1006:BK1006),$AM$1006:$BM$1006,0)), HYPERLINK("#",""), HYPERLINK(CONCATENATE("#metadata!", ADDRESS(INDEX($AH$2:$AH$1001,MATCH(ROWS($AF$2:AF272),$AF$2:$AF$1001,0),0), INDEX($AM$1004:$BM$1004,1,MATCH(COLUMNS($AM$1006:BK1006),$AM$1006:$BM$1006,0)))),"Fix")))</f>
        <v xml:space="preserve"> </v>
      </c>
      <c r="AA272" s="4" t="str">
        <f ca="1">IF(OR(INDEX($AG$2:$AG$1001,MATCH(ROWS($AF$2:AF272),$AF$2:$AF$1001,0),1)&gt;=100000,INDEX($AM$1005:$BM$1005,1,MATCH(COLUMNS($AM$1006:BL1006),$AM$1006:$BM$1006,0))&gt;=100000), " ",IF(INDEX($AM$2:$BM$1001,MATCH(ROWS($AF$2:AF272),$AF$2:$AF$1001,0),MATCH(COLUMNS($AM$1006:BL1006),$AM$1006:$BM$1006,0)), HYPERLINK("#",""), HYPERLINK(CONCATENATE("#metadata!", ADDRESS(INDEX($AH$2:$AH$1001,MATCH(ROWS($AF$2:AF272),$AF$2:$AF$1001,0),0), INDEX($AM$1004:$BM$1004,1,MATCH(COLUMNS($AM$1006:BL1006),$AM$1006:$BM$1006,0)))),"Fix")))</f>
        <v xml:space="preserve"> </v>
      </c>
      <c r="AB272" s="4" t="str">
        <f ca="1">IF(OR(INDEX($AG$2:$AG$1001,MATCH(ROWS($AF$2:AF272),$AF$2:$AF$1001,0),1)&gt;=100000,INDEX($AM$1005:$BM$1005,1,MATCH(COLUMNS($AM$1006:BM1006),$AM$1006:$BM$1006,0))&gt;=100000), " ",IF(INDEX($AM$2:$BM$1001,MATCH(ROWS($AF$2:AF272),$AF$2:$AF$1001,0),MATCH(COLUMNS($AM$1006:BM1006),$AM$1006:$BM$1006,0)), HYPERLINK("#",""), HYPERLINK(CONCATENATE("#metadata!", ADDRESS(INDEX($AH$2:$AH$1001,MATCH(ROWS($AF$2:AF272),$AF$2:$AF$1001,0),0), INDEX($AM$1004:$BM$1004,1,MATCH(COLUMNS($AM$1006:BM1006),$AM$1006:$BM$1006,0)))),"Fix")))</f>
        <v xml:space="preserve"> </v>
      </c>
      <c r="AF272">
        <v>271</v>
      </c>
      <c r="AG272">
        <v>100272</v>
      </c>
      <c r="AH272">
        <v>272</v>
      </c>
      <c r="AI272" t="b">
        <f t="shared" si="4"/>
        <v>1</v>
      </c>
      <c r="AJ272" t="b">
        <f>COUNTBLANK(metadata!B272:AB272)=COLUMNS(metadata!B272:AB272)</f>
        <v>1</v>
      </c>
      <c r="AK272" t="str">
        <v/>
      </c>
      <c r="AM272" t="b">
        <f ca="1">AND(IF(metadata!B272="",FALSE,TRUE),COUNTIF(metadata!B:B, metadata!B272) = 1,NOT(ISERROR(SUMPRODUCT(SEARCH(MID(metadata!B272,ROW(INDIRECT("1:"&amp;LEN(metadata!B272))), 1),"0123456789abcdefghijklmnopqrstuvwxyzABCDEFGHIJKLMNOPQRSTUVWXYZ.")))))</f>
        <v>0</v>
      </c>
      <c r="AN272" t="b">
        <f ca="1">OR(AND(IF(metadata!C272="",FALSE,TRUE),OR(EXACT(metadata!C272,"missing: not collected"),EXACT(metadata!C272,"missing: not provided"),EXACT(metadata!C272,"missing: restricted access"))),AND(IF(metadata!C272="",FALSE,TRUE),AND(AND(IFERROR(INT(LEFT(metadata!C272,4))&gt;1900,FALSE),IFERROR(INT(LEFT(metadata!C272,4))&lt;=YEAR(NOW()),FALSE)), OR(MID(metadata!C272,5,1)="", AND(AND(MID(metadata!C272,5,1)="-",IFERROR(INT(MID(metadata!C272,6,1))&gt;=0,FALSE),IFERROR(INT(MID(metadata!C272,6,1))&lt;=1,FALSE),NOT(MID(metadata!C272,7,1)=""),IFERROR(INT(MID(metadata!C272,6,2))&gt;=1,FALSE),IFERROR(INT(MID(metadata!C272,6,2))&lt;=12,FALSE)), OR(MID(metadata!C272,8,1)="", AND(AND(MID(metadata!C272,8,1)="-",IFERROR(INT(MID(metadata!C272,9,1))&gt;=0,FALSE),IFERROR(INT(MID(metadata!C272,9,1))&lt;=3,FALSE),NOT(MID(metadata!C272,10,1)=""),IFERROR(INT(MID(metadata!C272,9,2))&gt;=1,FALSE),IFERROR(INT(MID(metadata!C272,9,2))&lt;=31,FALSE)), OR(MID(metadata!C272,11,1)="", AND(AND(MID(metadata!C272,11,1)=" ",IFERROR(INT(MID(metadata!C272,12,1))&gt;=0,FALSE),IFERROR(INT(MID(metadata!C272,12,1))&lt;=2,FALSE),NOT(MID(metadata!C272,13,1)=""),IFERROR(INT(MID(metadata!C272,12,2))&gt;=0,FALSE),IFERROR(INT(MID(metadata!C272,12,2))&lt;=23,FALSE)), OR(MID(metadata!C272,14,1)="", AND(AND(MID(metadata!C272,14,1)=":",IFERROR(INT(MID(metadata!C272,15,1))&gt;=0,FALSE),IFERROR(INT(MID(metadata!C272,15,1))&lt;=5,FALSE),NOT(MID(metadata!C272,16,1)=""),IFERROR(INT(MID(metadata!C272,15,2))&gt;=0,FALSE),IFERROR(INT(MID(metadata!C272,15,2))&lt;=59,FALSE)), OR(MID(metadata!C272,17,1)="", AND(AND(MID(metadata!C272,17,1)=":",IFERROR(INT(MID(metadata!C272,18,1))&gt;=0,FALSE),IFERROR(INT(MID(metadata!C272,18,1))&lt;=5,FALSE),NOT(MID(metadata!C272,19,1)=""),IFERROR(INT(MID(metadata!C272,18,2))&gt;=0,FALSE),IFERROR(INT(MID(metadata!C272,18,2))&lt;=59,FALSE)), LEN(metadata!C272)&lt;=19)))))))))))))</f>
        <v>0</v>
      </c>
      <c r="AO272" t="b">
        <f>AND(IF(metadata!D272="",FALSE,TRUE),EXACT(metadata!D272,"Not applicable"))</f>
        <v>0</v>
      </c>
      <c r="AP272" t="b">
        <f>IF(metadata!E272="",FALSE,TRUE)</f>
        <v>0</v>
      </c>
      <c r="AQ272" t="b">
        <f>OR(AND(IF(metadata!F272="",FALSE,TRUE),OR(EXACT(metadata!F272,"missing: not collected"),EXACT(metadata!F272,"missing: not provided"))),AND(IF(metadata!F272="",FALSE,TRUE),OR(EXACT(metadata!F272,"TRUE"),EXACT(metadata!F272,"FALSE"))))</f>
        <v>0</v>
      </c>
      <c r="AR272" t="b">
        <f>OR(AND(IF(metadata!G272="",FALSE,TRUE),OR(EXACT(metadata!G272,"missing: not collected"),EXACT(metadata!G272,"missing: not provided"),EXACT(metadata!G272,"missing: restricted access"))),AND(IF(metadata!G272="",FALSE,ISNUMBER(VALUE(metadata!G272))),metadata!G272&gt;=-413))</f>
        <v>0</v>
      </c>
      <c r="AS272" t="b">
        <f>AND(IF(metadata!H272="",FALSE,TRUE),EXACT(metadata!H272,"meters"))</f>
        <v>0</v>
      </c>
      <c r="AT272" t="b">
        <f>AND(IF(metadata!I272="",FALSE,TRUE),OR(EXACT(metadata!I272,"Host-associated"),EXACT(metadata!I272,"Free-living")))</f>
        <v>0</v>
      </c>
      <c r="AU272" t="b">
        <f>AND(IF(metadata!J272="",FALSE,TRUE),OR(EXACT(metadata!J272,"Animal"),EXACT(metadata!J272,"Fungus"),EXACT(metadata!J272,"Plant"),EXACT(metadata!J272,"Saline"),EXACT(metadata!J272,"Non-saline")))</f>
        <v>0</v>
      </c>
      <c r="AV272" t="b">
        <f>AND(IF(metadata!K272="",FALSE,TRUE),OR(EXACT(metadata!K272,"Plant secretion"),EXACT(metadata!K272,"Plant rhizosphere"),EXACT(metadata!K272,"Plant surface"),EXACT(metadata!K272,"Plant corpus"),EXACT(metadata!K272,"Fungus surface"),EXACT(metadata!K272,"Fungus corpus"),EXACT(metadata!K272,"Animal surface"),EXACT(metadata!K272,"Animal proximal gut"),EXACT(metadata!K272,"Animal corpus"),EXACT(metadata!K272,"Animal distal gut"),EXACT(metadata!K272,"Animal secretion"),EXACT(metadata!K272,"Sub-surface (non-saline)"),EXACT(metadata!K272,"Surface (non-saline)"),EXACT(metadata!K272,"Water (non-saline)"),EXACT(metadata!K272,"Soil (non-saline)"),EXACT(metadata!K272,"Aerosol (non-saline)"),EXACT(metadata!K272,"Sediment (non-saline)"),EXACT(metadata!K272,"Surface (saline)"),EXACT(metadata!K272,"Water (saline)"),EXACT(metadata!K272,"Hypersaline (saline)"),EXACT(metadata!K272,"Aerosol (saline)"),EXACT(metadata!K272,"Sediment (saline)")))</f>
        <v>0</v>
      </c>
      <c r="AW272" t="b">
        <f>IF(metadata!L272="",FALSE,TRUE)</f>
        <v>0</v>
      </c>
      <c r="AX272" t="b">
        <f>IF(metadata!M272="",FALSE,TRUE)</f>
        <v>0</v>
      </c>
      <c r="AY272" t="b">
        <f>IF(metadata!N272="",FALSE,TRUE)</f>
        <v>0</v>
      </c>
      <c r="AZ272" t="b">
        <f>OR(AND(IF(metadata!O272="",FALSE,TRUE),OR(EXACT(metadata!O272,"missing: not collected"),EXACT(metadata!O272,"missing: not provided"),EXACT(metadata!O272,"missing: restricted access"))),AND(IF(metadata!O272="",FALSE,TRUE),OR(EXACT(metadata!O272,"air"),EXACT(metadata!O272,"built environment"),EXACT(metadata!O272,"host-associated"),EXACT(metadata!O272,"human-associated"),EXACT(metadata!O272,"human-skin"),EXACT(metadata!O272,"human-oral"),EXACT(metadata!O272,"human-gut"),EXACT(metadata!O272,"human-vaginal"),EXACT(metadata!O272,"microbial mat/biofilm"),EXACT(metadata!O272,"misc environment"),EXACT(metadata!O272,"plant-associated"),EXACT(metadata!O272,"sediment"),EXACT(metadata!O272,"soil"),EXACT(metadata!O272,"wastewater/sludge"),EXACT(metadata!O272,"water"))))</f>
        <v>0</v>
      </c>
      <c r="BA272" t="b">
        <f>IF(metadata!P272="",FALSE,TRUE)</f>
        <v>0</v>
      </c>
      <c r="BB272" t="b">
        <f>IF(metadata!Q272="",FALSE,TRUE)</f>
        <v>0</v>
      </c>
      <c r="BC272" t="b">
        <f>OR(AND(IF(metadata!R272="",FALSE,TRUE),OR(EXACT(metadata!R272,"missing: not collected"),EXACT(metadata!R272,"missing: not provided"),EXACT(metadata!R272,"missing: restricted access"))),AND(IF(metadata!R272="",FALSE,ISNUMBER(VALUE(metadata!R272))),metadata!R272&gt;=-90,metadata!R272&lt;=90))</f>
        <v>0</v>
      </c>
      <c r="BD272" t="b">
        <f>AND(IF(metadata!S272="",FALSE,TRUE),EXACT(metadata!S272,"Decimal degrees"))</f>
        <v>0</v>
      </c>
      <c r="BE272" t="b">
        <f>OR(AND(IF(metadata!T272="",FALSE,TRUE),OR(EXACT(metadata!T272,"missing: not collected"),EXACT(metadata!T272,"missing: not provided"),EXACT(metadata!T272,"missing: restricted access"))),AND(IF(metadata!T272="",FALSE,ISNUMBER(VALUE(metadata!T272))),metadata!T272&gt;=-180,metadata!T272&lt;=180))</f>
        <v>0</v>
      </c>
      <c r="BF272" t="b">
        <f>AND(IF(metadata!U272="",FALSE,TRUE),EXACT(metadata!U272,"Decimal degrees"))</f>
        <v>0</v>
      </c>
      <c r="BG272" t="b">
        <f>IF(metadata!V272="",FALSE,TRUE)</f>
        <v>0</v>
      </c>
      <c r="BH272" t="b">
        <f>OR(AND(IF(metadata!W272="",FALSE,TRUE),OR(EXACT(metadata!W272,"missing: not collected"),EXACT(metadata!W272,"missing: not provided"),EXACT(metadata!W272,"missing: restricted access"))),AND(IF(metadata!W272="",FALSE,TRUE),OR(EXACT(metadata!W272,"TRUE"),EXACT(metadata!W272,"FALSE"))))</f>
        <v>0</v>
      </c>
      <c r="BI272" t="b">
        <f>AND(IF(metadata!X272="",FALSE,TRUE),EXACT(metadata!X272,"other"))</f>
        <v>0</v>
      </c>
      <c r="BJ272" t="b">
        <f>IF(metadata!Y272="",FALSE,TRUE)</f>
        <v>0</v>
      </c>
      <c r="BK272" t="b">
        <f>OR(AND(IF(metadata!Z272="",FALSE,TRUE),OR(EXACT(metadata!Z272,"missing: not collected"),EXACT(metadata!Z272,"missing: not provided"))),AND(IF(metadata!Z272="",FALSE,IF(ISERROR(INT(metadata!Z272)),FALSE,INT(metadata!Z272)=metadata!Z272)),metadata!Z272&gt;0))</f>
        <v>0</v>
      </c>
      <c r="BL272" t="b">
        <f>AND(IF(metadata!AA272="",FALSE,TRUE),EXACT(metadata!AA272,"Not applicable"))</f>
        <v>0</v>
      </c>
      <c r="BM272" t="b">
        <f>IF(metadata!AB272="",FALSE,TRUE)</f>
        <v>0</v>
      </c>
    </row>
    <row r="273" spans="1:65" x14ac:dyDescent="0.2">
      <c r="A273" s="5" t="str">
        <f ca="1">IF(B273=" "," ",HYPERLINK(CONCATENATE("#metadata!",ADDRESS(INDEX($AH$2:$AH$1001,MATCH(ROWS($AF$2:AF273),$AF$2:$AF$1001,0),0),1)),INDEX($AK$2:$AK$1001,MATCH(ROWS($AF$2:AF273),$AF$2:$AF$1001,0),0)))</f>
        <v xml:space="preserve"> </v>
      </c>
      <c r="B273" s="4" t="str">
        <f ca="1">IF(OR(INDEX($AG$2:$AG$1001,MATCH(ROWS($AF$2:AF273),$AF$2:$AF$1001,0),1)&gt;=100000,INDEX($AM$1005:$BM$1005,1,MATCH(COLUMNS($AM$1006:AM1006),$AM$1006:$BM$1006,0))&gt;=100000), " ",IF(INDEX($AM$2:$BM$1001,MATCH(ROWS($AF$2:AF273),$AF$2:$AF$1001,0),MATCH(COLUMNS($AM$1006:AM1006),$AM$1006:$BM$1006,0)), HYPERLINK("#",""), HYPERLINK(CONCATENATE("#metadata!", ADDRESS(INDEX($AH$2:$AH$1001,MATCH(ROWS($AF$2:AF273),$AF$2:$AF$1001,0),0), INDEX($AM$1004:$BM$1004,1,MATCH(COLUMNS($AM$1006:AM1006),$AM$1006:$BM$1006,0)))),"Fix")))</f>
        <v xml:space="preserve"> </v>
      </c>
      <c r="C273" s="4" t="str">
        <f ca="1">IF(OR(INDEX($AG$2:$AG$1001,MATCH(ROWS($AF$2:AF273),$AF$2:$AF$1001,0),1)&gt;=100000,INDEX($AM$1005:$BM$1005,1,MATCH(COLUMNS($AM$1006:AN1006),$AM$1006:$BM$1006,0))&gt;=100000), " ",IF(INDEX($AM$2:$BM$1001,MATCH(ROWS($AF$2:AF273),$AF$2:$AF$1001,0),MATCH(COLUMNS($AM$1006:AN1006),$AM$1006:$BM$1006,0)), HYPERLINK("#",""), HYPERLINK(CONCATENATE("#metadata!", ADDRESS(INDEX($AH$2:$AH$1001,MATCH(ROWS($AF$2:AF273),$AF$2:$AF$1001,0),0), INDEX($AM$1004:$BM$1004,1,MATCH(COLUMNS($AM$1006:AN1006),$AM$1006:$BM$1006,0)))),"Fix")))</f>
        <v xml:space="preserve"> </v>
      </c>
      <c r="D273" s="4" t="str">
        <f ca="1">IF(OR(INDEX($AG$2:$AG$1001,MATCH(ROWS($AF$2:AF273),$AF$2:$AF$1001,0),1)&gt;=100000,INDEX($AM$1005:$BM$1005,1,MATCH(COLUMNS($AM$1006:AO1006),$AM$1006:$BM$1006,0))&gt;=100000), " ",IF(INDEX($AM$2:$BM$1001,MATCH(ROWS($AF$2:AF273),$AF$2:$AF$1001,0),MATCH(COLUMNS($AM$1006:AO1006),$AM$1006:$BM$1006,0)), HYPERLINK("#",""), HYPERLINK(CONCATENATE("#metadata!", ADDRESS(INDEX($AH$2:$AH$1001,MATCH(ROWS($AF$2:AF273),$AF$2:$AF$1001,0),0), INDEX($AM$1004:$BM$1004,1,MATCH(COLUMNS($AM$1006:AO1006),$AM$1006:$BM$1006,0)))),"Fix")))</f>
        <v xml:space="preserve"> </v>
      </c>
      <c r="E273" s="4" t="str">
        <f ca="1">IF(OR(INDEX($AG$2:$AG$1001,MATCH(ROWS($AF$2:AF273),$AF$2:$AF$1001,0),1)&gt;=100000,INDEX($AM$1005:$BM$1005,1,MATCH(COLUMNS($AM$1006:AP1006),$AM$1006:$BM$1006,0))&gt;=100000), " ",IF(INDEX($AM$2:$BM$1001,MATCH(ROWS($AF$2:AF273),$AF$2:$AF$1001,0),MATCH(COLUMNS($AM$1006:AP1006),$AM$1006:$BM$1006,0)), HYPERLINK("#",""), HYPERLINK(CONCATENATE("#metadata!", ADDRESS(INDEX($AH$2:$AH$1001,MATCH(ROWS($AF$2:AF273),$AF$2:$AF$1001,0),0), INDEX($AM$1004:$BM$1004,1,MATCH(COLUMNS($AM$1006:AP1006),$AM$1006:$BM$1006,0)))),"Fix")))</f>
        <v xml:space="preserve"> </v>
      </c>
      <c r="F273" s="4" t="str">
        <f ca="1">IF(OR(INDEX($AG$2:$AG$1001,MATCH(ROWS($AF$2:AF273),$AF$2:$AF$1001,0),1)&gt;=100000,INDEX($AM$1005:$BM$1005,1,MATCH(COLUMNS($AM$1006:AQ1006),$AM$1006:$BM$1006,0))&gt;=100000), " ",IF(INDEX($AM$2:$BM$1001,MATCH(ROWS($AF$2:AF273),$AF$2:$AF$1001,0),MATCH(COLUMNS($AM$1006:AQ1006),$AM$1006:$BM$1006,0)), HYPERLINK("#",""), HYPERLINK(CONCATENATE("#metadata!", ADDRESS(INDEX($AH$2:$AH$1001,MATCH(ROWS($AF$2:AF273),$AF$2:$AF$1001,0),0), INDEX($AM$1004:$BM$1004,1,MATCH(COLUMNS($AM$1006:AQ1006),$AM$1006:$BM$1006,0)))),"Fix")))</f>
        <v xml:space="preserve"> </v>
      </c>
      <c r="G273" s="4" t="str">
        <f ca="1">IF(OR(INDEX($AG$2:$AG$1001,MATCH(ROWS($AF$2:AF273),$AF$2:$AF$1001,0),1)&gt;=100000,INDEX($AM$1005:$BM$1005,1,MATCH(COLUMNS($AM$1006:AR1006),$AM$1006:$BM$1006,0))&gt;=100000), " ",IF(INDEX($AM$2:$BM$1001,MATCH(ROWS($AF$2:AF273),$AF$2:$AF$1001,0),MATCH(COLUMNS($AM$1006:AR1006),$AM$1006:$BM$1006,0)), HYPERLINK("#",""), HYPERLINK(CONCATENATE("#metadata!", ADDRESS(INDEX($AH$2:$AH$1001,MATCH(ROWS($AF$2:AF273),$AF$2:$AF$1001,0),0), INDEX($AM$1004:$BM$1004,1,MATCH(COLUMNS($AM$1006:AR1006),$AM$1006:$BM$1006,0)))),"Fix")))</f>
        <v xml:space="preserve"> </v>
      </c>
      <c r="H273" s="4" t="str">
        <f ca="1">IF(OR(INDEX($AG$2:$AG$1001,MATCH(ROWS($AF$2:AF273),$AF$2:$AF$1001,0),1)&gt;=100000,INDEX($AM$1005:$BM$1005,1,MATCH(COLUMNS($AM$1006:AS1006),$AM$1006:$BM$1006,0))&gt;=100000), " ",IF(INDEX($AM$2:$BM$1001,MATCH(ROWS($AF$2:AF273),$AF$2:$AF$1001,0),MATCH(COLUMNS($AM$1006:AS1006),$AM$1006:$BM$1006,0)), HYPERLINK("#",""), HYPERLINK(CONCATENATE("#metadata!", ADDRESS(INDEX($AH$2:$AH$1001,MATCH(ROWS($AF$2:AF273),$AF$2:$AF$1001,0),0), INDEX($AM$1004:$BM$1004,1,MATCH(COLUMNS($AM$1006:AS1006),$AM$1006:$BM$1006,0)))),"Fix")))</f>
        <v xml:space="preserve"> </v>
      </c>
      <c r="I273" s="4" t="str">
        <f ca="1">IF(OR(INDEX($AG$2:$AG$1001,MATCH(ROWS($AF$2:AF273),$AF$2:$AF$1001,0),1)&gt;=100000,INDEX($AM$1005:$BM$1005,1,MATCH(COLUMNS($AM$1006:AT1006),$AM$1006:$BM$1006,0))&gt;=100000), " ",IF(INDEX($AM$2:$BM$1001,MATCH(ROWS($AF$2:AF273),$AF$2:$AF$1001,0),MATCH(COLUMNS($AM$1006:AT1006),$AM$1006:$BM$1006,0)), HYPERLINK("#",""), HYPERLINK(CONCATENATE("#metadata!", ADDRESS(INDEX($AH$2:$AH$1001,MATCH(ROWS($AF$2:AF273),$AF$2:$AF$1001,0),0), INDEX($AM$1004:$BM$1004,1,MATCH(COLUMNS($AM$1006:AT1006),$AM$1006:$BM$1006,0)))),"Fix")))</f>
        <v xml:space="preserve"> </v>
      </c>
      <c r="J273" s="4" t="str">
        <f ca="1">IF(OR(INDEX($AG$2:$AG$1001,MATCH(ROWS($AF$2:AF273),$AF$2:$AF$1001,0),1)&gt;=100000,INDEX($AM$1005:$BM$1005,1,MATCH(COLUMNS($AM$1006:AU1006),$AM$1006:$BM$1006,0))&gt;=100000), " ",IF(INDEX($AM$2:$BM$1001,MATCH(ROWS($AF$2:AF273),$AF$2:$AF$1001,0),MATCH(COLUMNS($AM$1006:AU1006),$AM$1006:$BM$1006,0)), HYPERLINK("#",""), HYPERLINK(CONCATENATE("#metadata!", ADDRESS(INDEX($AH$2:$AH$1001,MATCH(ROWS($AF$2:AF273),$AF$2:$AF$1001,0),0), INDEX($AM$1004:$BM$1004,1,MATCH(COLUMNS($AM$1006:AU1006),$AM$1006:$BM$1006,0)))),"Fix")))</f>
        <v xml:space="preserve"> </v>
      </c>
      <c r="K273" s="4" t="str">
        <f ca="1">IF(OR(INDEX($AG$2:$AG$1001,MATCH(ROWS($AF$2:AF273),$AF$2:$AF$1001,0),1)&gt;=100000,INDEX($AM$1005:$BM$1005,1,MATCH(COLUMNS($AM$1006:AV1006),$AM$1006:$BM$1006,0))&gt;=100000), " ",IF(INDEX($AM$2:$BM$1001,MATCH(ROWS($AF$2:AF273),$AF$2:$AF$1001,0),MATCH(COLUMNS($AM$1006:AV1006),$AM$1006:$BM$1006,0)), HYPERLINK("#",""), HYPERLINK(CONCATENATE("#metadata!", ADDRESS(INDEX($AH$2:$AH$1001,MATCH(ROWS($AF$2:AF273),$AF$2:$AF$1001,0),0), INDEX($AM$1004:$BM$1004,1,MATCH(COLUMNS($AM$1006:AV1006),$AM$1006:$BM$1006,0)))),"Fix")))</f>
        <v xml:space="preserve"> </v>
      </c>
      <c r="L273" s="4" t="str">
        <f ca="1">IF(OR(INDEX($AG$2:$AG$1001,MATCH(ROWS($AF$2:AF273),$AF$2:$AF$1001,0),1)&gt;=100000,INDEX($AM$1005:$BM$1005,1,MATCH(COLUMNS($AM$1006:AW1006),$AM$1006:$BM$1006,0))&gt;=100000), " ",IF(INDEX($AM$2:$BM$1001,MATCH(ROWS($AF$2:AF273),$AF$2:$AF$1001,0),MATCH(COLUMNS($AM$1006:AW1006),$AM$1006:$BM$1006,0)), HYPERLINK("#",""), HYPERLINK(CONCATENATE("#metadata!", ADDRESS(INDEX($AH$2:$AH$1001,MATCH(ROWS($AF$2:AF273),$AF$2:$AF$1001,0),0), INDEX($AM$1004:$BM$1004,1,MATCH(COLUMNS($AM$1006:AW1006),$AM$1006:$BM$1006,0)))),"Fix")))</f>
        <v xml:space="preserve"> </v>
      </c>
      <c r="M273" s="4" t="str">
        <f ca="1">IF(OR(INDEX($AG$2:$AG$1001,MATCH(ROWS($AF$2:AF273),$AF$2:$AF$1001,0),1)&gt;=100000,INDEX($AM$1005:$BM$1005,1,MATCH(COLUMNS($AM$1006:AX1006),$AM$1006:$BM$1006,0))&gt;=100000), " ",IF(INDEX($AM$2:$BM$1001,MATCH(ROWS($AF$2:AF273),$AF$2:$AF$1001,0),MATCH(COLUMNS($AM$1006:AX1006),$AM$1006:$BM$1006,0)), HYPERLINK("#",""), HYPERLINK(CONCATENATE("#metadata!", ADDRESS(INDEX($AH$2:$AH$1001,MATCH(ROWS($AF$2:AF273),$AF$2:$AF$1001,0),0), INDEX($AM$1004:$BM$1004,1,MATCH(COLUMNS($AM$1006:AX1006),$AM$1006:$BM$1006,0)))),"Fix")))</f>
        <v xml:space="preserve"> </v>
      </c>
      <c r="N273" s="4" t="str">
        <f ca="1">IF(OR(INDEX($AG$2:$AG$1001,MATCH(ROWS($AF$2:AF273),$AF$2:$AF$1001,0),1)&gt;=100000,INDEX($AM$1005:$BM$1005,1,MATCH(COLUMNS($AM$1006:AY1006),$AM$1006:$BM$1006,0))&gt;=100000), " ",IF(INDEX($AM$2:$BM$1001,MATCH(ROWS($AF$2:AF273),$AF$2:$AF$1001,0),MATCH(COLUMNS($AM$1006:AY1006),$AM$1006:$BM$1006,0)), HYPERLINK("#",""), HYPERLINK(CONCATENATE("#metadata!", ADDRESS(INDEX($AH$2:$AH$1001,MATCH(ROWS($AF$2:AF273),$AF$2:$AF$1001,0),0), INDEX($AM$1004:$BM$1004,1,MATCH(COLUMNS($AM$1006:AY1006),$AM$1006:$BM$1006,0)))),"Fix")))</f>
        <v xml:space="preserve"> </v>
      </c>
      <c r="O273" s="4" t="str">
        <f ca="1">IF(OR(INDEX($AG$2:$AG$1001,MATCH(ROWS($AF$2:AF273),$AF$2:$AF$1001,0),1)&gt;=100000,INDEX($AM$1005:$BM$1005,1,MATCH(COLUMNS($AM$1006:AZ1006),$AM$1006:$BM$1006,0))&gt;=100000), " ",IF(INDEX($AM$2:$BM$1001,MATCH(ROWS($AF$2:AF273),$AF$2:$AF$1001,0),MATCH(COLUMNS($AM$1006:AZ1006),$AM$1006:$BM$1006,0)), HYPERLINK("#",""), HYPERLINK(CONCATENATE("#metadata!", ADDRESS(INDEX($AH$2:$AH$1001,MATCH(ROWS($AF$2:AF273),$AF$2:$AF$1001,0),0), INDEX($AM$1004:$BM$1004,1,MATCH(COLUMNS($AM$1006:AZ1006),$AM$1006:$BM$1006,0)))),"Fix")))</f>
        <v xml:space="preserve"> </v>
      </c>
      <c r="P273" s="4" t="str">
        <f ca="1">IF(OR(INDEX($AG$2:$AG$1001,MATCH(ROWS($AF$2:AF273),$AF$2:$AF$1001,0),1)&gt;=100000,INDEX($AM$1005:$BM$1005,1,MATCH(COLUMNS($AM$1006:BA1006),$AM$1006:$BM$1006,0))&gt;=100000), " ",IF(INDEX($AM$2:$BM$1001,MATCH(ROWS($AF$2:AF273),$AF$2:$AF$1001,0),MATCH(COLUMNS($AM$1006:BA1006),$AM$1006:$BM$1006,0)), HYPERLINK("#",""), HYPERLINK(CONCATENATE("#metadata!", ADDRESS(INDEX($AH$2:$AH$1001,MATCH(ROWS($AF$2:AF273),$AF$2:$AF$1001,0),0), INDEX($AM$1004:$BM$1004,1,MATCH(COLUMNS($AM$1006:BA1006),$AM$1006:$BM$1006,0)))),"Fix")))</f>
        <v xml:space="preserve"> </v>
      </c>
      <c r="Q273" s="4" t="str">
        <f ca="1">IF(OR(INDEX($AG$2:$AG$1001,MATCH(ROWS($AF$2:AF273),$AF$2:$AF$1001,0),1)&gt;=100000,INDEX($AM$1005:$BM$1005,1,MATCH(COLUMNS($AM$1006:BB1006),$AM$1006:$BM$1006,0))&gt;=100000), " ",IF(INDEX($AM$2:$BM$1001,MATCH(ROWS($AF$2:AF273),$AF$2:$AF$1001,0),MATCH(COLUMNS($AM$1006:BB1006),$AM$1006:$BM$1006,0)), HYPERLINK("#",""), HYPERLINK(CONCATENATE("#metadata!", ADDRESS(INDEX($AH$2:$AH$1001,MATCH(ROWS($AF$2:AF273),$AF$2:$AF$1001,0),0), INDEX($AM$1004:$BM$1004,1,MATCH(COLUMNS($AM$1006:BB1006),$AM$1006:$BM$1006,0)))),"Fix")))</f>
        <v xml:space="preserve"> </v>
      </c>
      <c r="R273" s="4" t="str">
        <f ca="1">IF(OR(INDEX($AG$2:$AG$1001,MATCH(ROWS($AF$2:AF273),$AF$2:$AF$1001,0),1)&gt;=100000,INDEX($AM$1005:$BM$1005,1,MATCH(COLUMNS($AM$1006:BC1006),$AM$1006:$BM$1006,0))&gt;=100000), " ",IF(INDEX($AM$2:$BM$1001,MATCH(ROWS($AF$2:AF273),$AF$2:$AF$1001,0),MATCH(COLUMNS($AM$1006:BC1006),$AM$1006:$BM$1006,0)), HYPERLINK("#",""), HYPERLINK(CONCATENATE("#metadata!", ADDRESS(INDEX($AH$2:$AH$1001,MATCH(ROWS($AF$2:AF273),$AF$2:$AF$1001,0),0), INDEX($AM$1004:$BM$1004,1,MATCH(COLUMNS($AM$1006:BC1006),$AM$1006:$BM$1006,0)))),"Fix")))</f>
        <v xml:space="preserve"> </v>
      </c>
      <c r="S273" s="4" t="str">
        <f ca="1">IF(OR(INDEX($AG$2:$AG$1001,MATCH(ROWS($AF$2:AF273),$AF$2:$AF$1001,0),1)&gt;=100000,INDEX($AM$1005:$BM$1005,1,MATCH(COLUMNS($AM$1006:BD1006),$AM$1006:$BM$1006,0))&gt;=100000), " ",IF(INDEX($AM$2:$BM$1001,MATCH(ROWS($AF$2:AF273),$AF$2:$AF$1001,0),MATCH(COLUMNS($AM$1006:BD1006),$AM$1006:$BM$1006,0)), HYPERLINK("#",""), HYPERLINK(CONCATENATE("#metadata!", ADDRESS(INDEX($AH$2:$AH$1001,MATCH(ROWS($AF$2:AF273),$AF$2:$AF$1001,0),0), INDEX($AM$1004:$BM$1004,1,MATCH(COLUMNS($AM$1006:BD1006),$AM$1006:$BM$1006,0)))),"Fix")))</f>
        <v xml:space="preserve"> </v>
      </c>
      <c r="T273" s="4" t="str">
        <f ca="1">IF(OR(INDEX($AG$2:$AG$1001,MATCH(ROWS($AF$2:AF273),$AF$2:$AF$1001,0),1)&gt;=100000,INDEX($AM$1005:$BM$1005,1,MATCH(COLUMNS($AM$1006:BE1006),$AM$1006:$BM$1006,0))&gt;=100000), " ",IF(INDEX($AM$2:$BM$1001,MATCH(ROWS($AF$2:AF273),$AF$2:$AF$1001,0),MATCH(COLUMNS($AM$1006:BE1006),$AM$1006:$BM$1006,0)), HYPERLINK("#",""), HYPERLINK(CONCATENATE("#metadata!", ADDRESS(INDEX($AH$2:$AH$1001,MATCH(ROWS($AF$2:AF273),$AF$2:$AF$1001,0),0), INDEX($AM$1004:$BM$1004,1,MATCH(COLUMNS($AM$1006:BE1006),$AM$1006:$BM$1006,0)))),"Fix")))</f>
        <v xml:space="preserve"> </v>
      </c>
      <c r="U273" s="4" t="str">
        <f ca="1">IF(OR(INDEX($AG$2:$AG$1001,MATCH(ROWS($AF$2:AF273),$AF$2:$AF$1001,0),1)&gt;=100000,INDEX($AM$1005:$BM$1005,1,MATCH(COLUMNS($AM$1006:BF1006),$AM$1006:$BM$1006,0))&gt;=100000), " ",IF(INDEX($AM$2:$BM$1001,MATCH(ROWS($AF$2:AF273),$AF$2:$AF$1001,0),MATCH(COLUMNS($AM$1006:BF1006),$AM$1006:$BM$1006,0)), HYPERLINK("#",""), HYPERLINK(CONCATENATE("#metadata!", ADDRESS(INDEX($AH$2:$AH$1001,MATCH(ROWS($AF$2:AF273),$AF$2:$AF$1001,0),0), INDEX($AM$1004:$BM$1004,1,MATCH(COLUMNS($AM$1006:BF1006),$AM$1006:$BM$1006,0)))),"Fix")))</f>
        <v xml:space="preserve"> </v>
      </c>
      <c r="V273" s="4" t="str">
        <f ca="1">IF(OR(INDEX($AG$2:$AG$1001,MATCH(ROWS($AF$2:AF273),$AF$2:$AF$1001,0),1)&gt;=100000,INDEX($AM$1005:$BM$1005,1,MATCH(COLUMNS($AM$1006:BG1006),$AM$1006:$BM$1006,0))&gt;=100000), " ",IF(INDEX($AM$2:$BM$1001,MATCH(ROWS($AF$2:AF273),$AF$2:$AF$1001,0),MATCH(COLUMNS($AM$1006:BG1006),$AM$1006:$BM$1006,0)), HYPERLINK("#",""), HYPERLINK(CONCATENATE("#metadata!", ADDRESS(INDEX($AH$2:$AH$1001,MATCH(ROWS($AF$2:AF273),$AF$2:$AF$1001,0),0), INDEX($AM$1004:$BM$1004,1,MATCH(COLUMNS($AM$1006:BG1006),$AM$1006:$BM$1006,0)))),"Fix")))</f>
        <v xml:space="preserve"> </v>
      </c>
      <c r="W273" s="4" t="str">
        <f ca="1">IF(OR(INDEX($AG$2:$AG$1001,MATCH(ROWS($AF$2:AF273),$AF$2:$AF$1001,0),1)&gt;=100000,INDEX($AM$1005:$BM$1005,1,MATCH(COLUMNS($AM$1006:BH1006),$AM$1006:$BM$1006,0))&gt;=100000), " ",IF(INDEX($AM$2:$BM$1001,MATCH(ROWS($AF$2:AF273),$AF$2:$AF$1001,0),MATCH(COLUMNS($AM$1006:BH1006),$AM$1006:$BM$1006,0)), HYPERLINK("#",""), HYPERLINK(CONCATENATE("#metadata!", ADDRESS(INDEX($AH$2:$AH$1001,MATCH(ROWS($AF$2:AF273),$AF$2:$AF$1001,0),0), INDEX($AM$1004:$BM$1004,1,MATCH(COLUMNS($AM$1006:BH1006),$AM$1006:$BM$1006,0)))),"Fix")))</f>
        <v xml:space="preserve"> </v>
      </c>
      <c r="X273" s="4" t="str">
        <f ca="1">IF(OR(INDEX($AG$2:$AG$1001,MATCH(ROWS($AF$2:AF273),$AF$2:$AF$1001,0),1)&gt;=100000,INDEX($AM$1005:$BM$1005,1,MATCH(COLUMNS($AM$1006:BI1006),$AM$1006:$BM$1006,0))&gt;=100000), " ",IF(INDEX($AM$2:$BM$1001,MATCH(ROWS($AF$2:AF273),$AF$2:$AF$1001,0),MATCH(COLUMNS($AM$1006:BI1006),$AM$1006:$BM$1006,0)), HYPERLINK("#",""), HYPERLINK(CONCATENATE("#metadata!", ADDRESS(INDEX($AH$2:$AH$1001,MATCH(ROWS($AF$2:AF273),$AF$2:$AF$1001,0),0), INDEX($AM$1004:$BM$1004,1,MATCH(COLUMNS($AM$1006:BI1006),$AM$1006:$BM$1006,0)))),"Fix")))</f>
        <v xml:space="preserve"> </v>
      </c>
      <c r="Y273" s="4" t="str">
        <f ca="1">IF(OR(INDEX($AG$2:$AG$1001,MATCH(ROWS($AF$2:AF273),$AF$2:$AF$1001,0),1)&gt;=100000,INDEX($AM$1005:$BM$1005,1,MATCH(COLUMNS($AM$1006:BJ1006),$AM$1006:$BM$1006,0))&gt;=100000), " ",IF(INDEX($AM$2:$BM$1001,MATCH(ROWS($AF$2:AF273),$AF$2:$AF$1001,0),MATCH(COLUMNS($AM$1006:BJ1006),$AM$1006:$BM$1006,0)), HYPERLINK("#",""), HYPERLINK(CONCATENATE("#metadata!", ADDRESS(INDEX($AH$2:$AH$1001,MATCH(ROWS($AF$2:AF273),$AF$2:$AF$1001,0),0), INDEX($AM$1004:$BM$1004,1,MATCH(COLUMNS($AM$1006:BJ1006),$AM$1006:$BM$1006,0)))),"Fix")))</f>
        <v xml:space="preserve"> </v>
      </c>
      <c r="Z273" s="4" t="str">
        <f ca="1">IF(OR(INDEX($AG$2:$AG$1001,MATCH(ROWS($AF$2:AF273),$AF$2:$AF$1001,0),1)&gt;=100000,INDEX($AM$1005:$BM$1005,1,MATCH(COLUMNS($AM$1006:BK1006),$AM$1006:$BM$1006,0))&gt;=100000), " ",IF(INDEX($AM$2:$BM$1001,MATCH(ROWS($AF$2:AF273),$AF$2:$AF$1001,0),MATCH(COLUMNS($AM$1006:BK1006),$AM$1006:$BM$1006,0)), HYPERLINK("#",""), HYPERLINK(CONCATENATE("#metadata!", ADDRESS(INDEX($AH$2:$AH$1001,MATCH(ROWS($AF$2:AF273),$AF$2:$AF$1001,0),0), INDEX($AM$1004:$BM$1004,1,MATCH(COLUMNS($AM$1006:BK1006),$AM$1006:$BM$1006,0)))),"Fix")))</f>
        <v xml:space="preserve"> </v>
      </c>
      <c r="AA273" s="4" t="str">
        <f ca="1">IF(OR(INDEX($AG$2:$AG$1001,MATCH(ROWS($AF$2:AF273),$AF$2:$AF$1001,0),1)&gt;=100000,INDEX($AM$1005:$BM$1005,1,MATCH(COLUMNS($AM$1006:BL1006),$AM$1006:$BM$1006,0))&gt;=100000), " ",IF(INDEX($AM$2:$BM$1001,MATCH(ROWS($AF$2:AF273),$AF$2:$AF$1001,0),MATCH(COLUMNS($AM$1006:BL1006),$AM$1006:$BM$1006,0)), HYPERLINK("#",""), HYPERLINK(CONCATENATE("#metadata!", ADDRESS(INDEX($AH$2:$AH$1001,MATCH(ROWS($AF$2:AF273),$AF$2:$AF$1001,0),0), INDEX($AM$1004:$BM$1004,1,MATCH(COLUMNS($AM$1006:BL1006),$AM$1006:$BM$1006,0)))),"Fix")))</f>
        <v xml:space="preserve"> </v>
      </c>
      <c r="AB273" s="4" t="str">
        <f ca="1">IF(OR(INDEX($AG$2:$AG$1001,MATCH(ROWS($AF$2:AF273),$AF$2:$AF$1001,0),1)&gt;=100000,INDEX($AM$1005:$BM$1005,1,MATCH(COLUMNS($AM$1006:BM1006),$AM$1006:$BM$1006,0))&gt;=100000), " ",IF(INDEX($AM$2:$BM$1001,MATCH(ROWS($AF$2:AF273),$AF$2:$AF$1001,0),MATCH(COLUMNS($AM$1006:BM1006),$AM$1006:$BM$1006,0)), HYPERLINK("#",""), HYPERLINK(CONCATENATE("#metadata!", ADDRESS(INDEX($AH$2:$AH$1001,MATCH(ROWS($AF$2:AF273),$AF$2:$AF$1001,0),0), INDEX($AM$1004:$BM$1004,1,MATCH(COLUMNS($AM$1006:BM1006),$AM$1006:$BM$1006,0)))),"Fix")))</f>
        <v xml:space="preserve"> </v>
      </c>
      <c r="AF273">
        <v>272</v>
      </c>
      <c r="AG273">
        <v>100273</v>
      </c>
      <c r="AH273">
        <v>273</v>
      </c>
      <c r="AI273" t="b">
        <f t="shared" si="4"/>
        <v>1</v>
      </c>
      <c r="AJ273" t="b">
        <f>COUNTBLANK(metadata!B273:AB273)=COLUMNS(metadata!B273:AB273)</f>
        <v>1</v>
      </c>
      <c r="AK273" t="str">
        <v/>
      </c>
      <c r="AM273" t="b">
        <f ca="1">AND(IF(metadata!B273="",FALSE,TRUE),COUNTIF(metadata!B:B, metadata!B273) = 1,NOT(ISERROR(SUMPRODUCT(SEARCH(MID(metadata!B273,ROW(INDIRECT("1:"&amp;LEN(metadata!B273))), 1),"0123456789abcdefghijklmnopqrstuvwxyzABCDEFGHIJKLMNOPQRSTUVWXYZ.")))))</f>
        <v>0</v>
      </c>
      <c r="AN273" t="b">
        <f ca="1">OR(AND(IF(metadata!C273="",FALSE,TRUE),OR(EXACT(metadata!C273,"missing: not collected"),EXACT(metadata!C273,"missing: not provided"),EXACT(metadata!C273,"missing: restricted access"))),AND(IF(metadata!C273="",FALSE,TRUE),AND(AND(IFERROR(INT(LEFT(metadata!C273,4))&gt;1900,FALSE),IFERROR(INT(LEFT(metadata!C273,4))&lt;=YEAR(NOW()),FALSE)), OR(MID(metadata!C273,5,1)="", AND(AND(MID(metadata!C273,5,1)="-",IFERROR(INT(MID(metadata!C273,6,1))&gt;=0,FALSE),IFERROR(INT(MID(metadata!C273,6,1))&lt;=1,FALSE),NOT(MID(metadata!C273,7,1)=""),IFERROR(INT(MID(metadata!C273,6,2))&gt;=1,FALSE),IFERROR(INT(MID(metadata!C273,6,2))&lt;=12,FALSE)), OR(MID(metadata!C273,8,1)="", AND(AND(MID(metadata!C273,8,1)="-",IFERROR(INT(MID(metadata!C273,9,1))&gt;=0,FALSE),IFERROR(INT(MID(metadata!C273,9,1))&lt;=3,FALSE),NOT(MID(metadata!C273,10,1)=""),IFERROR(INT(MID(metadata!C273,9,2))&gt;=1,FALSE),IFERROR(INT(MID(metadata!C273,9,2))&lt;=31,FALSE)), OR(MID(metadata!C273,11,1)="", AND(AND(MID(metadata!C273,11,1)=" ",IFERROR(INT(MID(metadata!C273,12,1))&gt;=0,FALSE),IFERROR(INT(MID(metadata!C273,12,1))&lt;=2,FALSE),NOT(MID(metadata!C273,13,1)=""),IFERROR(INT(MID(metadata!C273,12,2))&gt;=0,FALSE),IFERROR(INT(MID(metadata!C273,12,2))&lt;=23,FALSE)), OR(MID(metadata!C273,14,1)="", AND(AND(MID(metadata!C273,14,1)=":",IFERROR(INT(MID(metadata!C273,15,1))&gt;=0,FALSE),IFERROR(INT(MID(metadata!C273,15,1))&lt;=5,FALSE),NOT(MID(metadata!C273,16,1)=""),IFERROR(INT(MID(metadata!C273,15,2))&gt;=0,FALSE),IFERROR(INT(MID(metadata!C273,15,2))&lt;=59,FALSE)), OR(MID(metadata!C273,17,1)="", AND(AND(MID(metadata!C273,17,1)=":",IFERROR(INT(MID(metadata!C273,18,1))&gt;=0,FALSE),IFERROR(INT(MID(metadata!C273,18,1))&lt;=5,FALSE),NOT(MID(metadata!C273,19,1)=""),IFERROR(INT(MID(metadata!C273,18,2))&gt;=0,FALSE),IFERROR(INT(MID(metadata!C273,18,2))&lt;=59,FALSE)), LEN(metadata!C273)&lt;=19)))))))))))))</f>
        <v>0</v>
      </c>
      <c r="AO273" t="b">
        <f>AND(IF(metadata!D273="",FALSE,TRUE),EXACT(metadata!D273,"Not applicable"))</f>
        <v>0</v>
      </c>
      <c r="AP273" t="b">
        <f>IF(metadata!E273="",FALSE,TRUE)</f>
        <v>0</v>
      </c>
      <c r="AQ273" t="b">
        <f>OR(AND(IF(metadata!F273="",FALSE,TRUE),OR(EXACT(metadata!F273,"missing: not collected"),EXACT(metadata!F273,"missing: not provided"))),AND(IF(metadata!F273="",FALSE,TRUE),OR(EXACT(metadata!F273,"TRUE"),EXACT(metadata!F273,"FALSE"))))</f>
        <v>0</v>
      </c>
      <c r="AR273" t="b">
        <f>OR(AND(IF(metadata!G273="",FALSE,TRUE),OR(EXACT(metadata!G273,"missing: not collected"),EXACT(metadata!G273,"missing: not provided"),EXACT(metadata!G273,"missing: restricted access"))),AND(IF(metadata!G273="",FALSE,ISNUMBER(VALUE(metadata!G273))),metadata!G273&gt;=-413))</f>
        <v>0</v>
      </c>
      <c r="AS273" t="b">
        <f>AND(IF(metadata!H273="",FALSE,TRUE),EXACT(metadata!H273,"meters"))</f>
        <v>0</v>
      </c>
      <c r="AT273" t="b">
        <f>AND(IF(metadata!I273="",FALSE,TRUE),OR(EXACT(metadata!I273,"Host-associated"),EXACT(metadata!I273,"Free-living")))</f>
        <v>0</v>
      </c>
      <c r="AU273" t="b">
        <f>AND(IF(metadata!J273="",FALSE,TRUE),OR(EXACT(metadata!J273,"Animal"),EXACT(metadata!J273,"Fungus"),EXACT(metadata!J273,"Plant"),EXACT(metadata!J273,"Saline"),EXACT(metadata!J273,"Non-saline")))</f>
        <v>0</v>
      </c>
      <c r="AV273" t="b">
        <f>AND(IF(metadata!K273="",FALSE,TRUE),OR(EXACT(metadata!K273,"Plant secretion"),EXACT(metadata!K273,"Plant rhizosphere"),EXACT(metadata!K273,"Plant surface"),EXACT(metadata!K273,"Plant corpus"),EXACT(metadata!K273,"Fungus surface"),EXACT(metadata!K273,"Fungus corpus"),EXACT(metadata!K273,"Animal surface"),EXACT(metadata!K273,"Animal proximal gut"),EXACT(metadata!K273,"Animal corpus"),EXACT(metadata!K273,"Animal distal gut"),EXACT(metadata!K273,"Animal secretion"),EXACT(metadata!K273,"Sub-surface (non-saline)"),EXACT(metadata!K273,"Surface (non-saline)"),EXACT(metadata!K273,"Water (non-saline)"),EXACT(metadata!K273,"Soil (non-saline)"),EXACT(metadata!K273,"Aerosol (non-saline)"),EXACT(metadata!K273,"Sediment (non-saline)"),EXACT(metadata!K273,"Surface (saline)"),EXACT(metadata!K273,"Water (saline)"),EXACT(metadata!K273,"Hypersaline (saline)"),EXACT(metadata!K273,"Aerosol (saline)"),EXACT(metadata!K273,"Sediment (saline)")))</f>
        <v>0</v>
      </c>
      <c r="AW273" t="b">
        <f>IF(metadata!L273="",FALSE,TRUE)</f>
        <v>0</v>
      </c>
      <c r="AX273" t="b">
        <f>IF(metadata!M273="",FALSE,TRUE)</f>
        <v>0</v>
      </c>
      <c r="AY273" t="b">
        <f>IF(metadata!N273="",FALSE,TRUE)</f>
        <v>0</v>
      </c>
      <c r="AZ273" t="b">
        <f>OR(AND(IF(metadata!O273="",FALSE,TRUE),OR(EXACT(metadata!O273,"missing: not collected"),EXACT(metadata!O273,"missing: not provided"),EXACT(metadata!O273,"missing: restricted access"))),AND(IF(metadata!O273="",FALSE,TRUE),OR(EXACT(metadata!O273,"air"),EXACT(metadata!O273,"built environment"),EXACT(metadata!O273,"host-associated"),EXACT(metadata!O273,"human-associated"),EXACT(metadata!O273,"human-skin"),EXACT(metadata!O273,"human-oral"),EXACT(metadata!O273,"human-gut"),EXACT(metadata!O273,"human-vaginal"),EXACT(metadata!O273,"microbial mat/biofilm"),EXACT(metadata!O273,"misc environment"),EXACT(metadata!O273,"plant-associated"),EXACT(metadata!O273,"sediment"),EXACT(metadata!O273,"soil"),EXACT(metadata!O273,"wastewater/sludge"),EXACT(metadata!O273,"water"))))</f>
        <v>0</v>
      </c>
      <c r="BA273" t="b">
        <f>IF(metadata!P273="",FALSE,TRUE)</f>
        <v>0</v>
      </c>
      <c r="BB273" t="b">
        <f>IF(metadata!Q273="",FALSE,TRUE)</f>
        <v>0</v>
      </c>
      <c r="BC273" t="b">
        <f>OR(AND(IF(metadata!R273="",FALSE,TRUE),OR(EXACT(metadata!R273,"missing: not collected"),EXACT(metadata!R273,"missing: not provided"),EXACT(metadata!R273,"missing: restricted access"))),AND(IF(metadata!R273="",FALSE,ISNUMBER(VALUE(metadata!R273))),metadata!R273&gt;=-90,metadata!R273&lt;=90))</f>
        <v>0</v>
      </c>
      <c r="BD273" t="b">
        <f>AND(IF(metadata!S273="",FALSE,TRUE),EXACT(metadata!S273,"Decimal degrees"))</f>
        <v>0</v>
      </c>
      <c r="BE273" t="b">
        <f>OR(AND(IF(metadata!T273="",FALSE,TRUE),OR(EXACT(metadata!T273,"missing: not collected"),EXACT(metadata!T273,"missing: not provided"),EXACT(metadata!T273,"missing: restricted access"))),AND(IF(metadata!T273="",FALSE,ISNUMBER(VALUE(metadata!T273))),metadata!T273&gt;=-180,metadata!T273&lt;=180))</f>
        <v>0</v>
      </c>
      <c r="BF273" t="b">
        <f>AND(IF(metadata!U273="",FALSE,TRUE),EXACT(metadata!U273,"Decimal degrees"))</f>
        <v>0</v>
      </c>
      <c r="BG273" t="b">
        <f>IF(metadata!V273="",FALSE,TRUE)</f>
        <v>0</v>
      </c>
      <c r="BH273" t="b">
        <f>OR(AND(IF(metadata!W273="",FALSE,TRUE),OR(EXACT(metadata!W273,"missing: not collected"),EXACT(metadata!W273,"missing: not provided"),EXACT(metadata!W273,"missing: restricted access"))),AND(IF(metadata!W273="",FALSE,TRUE),OR(EXACT(metadata!W273,"TRUE"),EXACT(metadata!W273,"FALSE"))))</f>
        <v>0</v>
      </c>
      <c r="BI273" t="b">
        <f>AND(IF(metadata!X273="",FALSE,TRUE),EXACT(metadata!X273,"other"))</f>
        <v>0</v>
      </c>
      <c r="BJ273" t="b">
        <f>IF(metadata!Y273="",FALSE,TRUE)</f>
        <v>0</v>
      </c>
      <c r="BK273" t="b">
        <f>OR(AND(IF(metadata!Z273="",FALSE,TRUE),OR(EXACT(metadata!Z273,"missing: not collected"),EXACT(metadata!Z273,"missing: not provided"))),AND(IF(metadata!Z273="",FALSE,IF(ISERROR(INT(metadata!Z273)),FALSE,INT(metadata!Z273)=metadata!Z273)),metadata!Z273&gt;0))</f>
        <v>0</v>
      </c>
      <c r="BL273" t="b">
        <f>AND(IF(metadata!AA273="",FALSE,TRUE),EXACT(metadata!AA273,"Not applicable"))</f>
        <v>0</v>
      </c>
      <c r="BM273" t="b">
        <f>IF(metadata!AB273="",FALSE,TRUE)</f>
        <v>0</v>
      </c>
    </row>
    <row r="274" spans="1:65" x14ac:dyDescent="0.2">
      <c r="A274" s="5" t="str">
        <f ca="1">IF(B274=" "," ",HYPERLINK(CONCATENATE("#metadata!",ADDRESS(INDEX($AH$2:$AH$1001,MATCH(ROWS($AF$2:AF274),$AF$2:$AF$1001,0),0),1)),INDEX($AK$2:$AK$1001,MATCH(ROWS($AF$2:AF274),$AF$2:$AF$1001,0),0)))</f>
        <v xml:space="preserve"> </v>
      </c>
      <c r="B274" s="4" t="str">
        <f ca="1">IF(OR(INDEX($AG$2:$AG$1001,MATCH(ROWS($AF$2:AF274),$AF$2:$AF$1001,0),1)&gt;=100000,INDEX($AM$1005:$BM$1005,1,MATCH(COLUMNS($AM$1006:AM1006),$AM$1006:$BM$1006,0))&gt;=100000), " ",IF(INDEX($AM$2:$BM$1001,MATCH(ROWS($AF$2:AF274),$AF$2:$AF$1001,0),MATCH(COLUMNS($AM$1006:AM1006),$AM$1006:$BM$1006,0)), HYPERLINK("#",""), HYPERLINK(CONCATENATE("#metadata!", ADDRESS(INDEX($AH$2:$AH$1001,MATCH(ROWS($AF$2:AF274),$AF$2:$AF$1001,0),0), INDEX($AM$1004:$BM$1004,1,MATCH(COLUMNS($AM$1006:AM1006),$AM$1006:$BM$1006,0)))),"Fix")))</f>
        <v xml:space="preserve"> </v>
      </c>
      <c r="C274" s="4" t="str">
        <f ca="1">IF(OR(INDEX($AG$2:$AG$1001,MATCH(ROWS($AF$2:AF274),$AF$2:$AF$1001,0),1)&gt;=100000,INDEX($AM$1005:$BM$1005,1,MATCH(COLUMNS($AM$1006:AN1006),$AM$1006:$BM$1006,0))&gt;=100000), " ",IF(INDEX($AM$2:$BM$1001,MATCH(ROWS($AF$2:AF274),$AF$2:$AF$1001,0),MATCH(COLUMNS($AM$1006:AN1006),$AM$1006:$BM$1006,0)), HYPERLINK("#",""), HYPERLINK(CONCATENATE("#metadata!", ADDRESS(INDEX($AH$2:$AH$1001,MATCH(ROWS($AF$2:AF274),$AF$2:$AF$1001,0),0), INDEX($AM$1004:$BM$1004,1,MATCH(COLUMNS($AM$1006:AN1006),$AM$1006:$BM$1006,0)))),"Fix")))</f>
        <v xml:space="preserve"> </v>
      </c>
      <c r="D274" s="4" t="str">
        <f ca="1">IF(OR(INDEX($AG$2:$AG$1001,MATCH(ROWS($AF$2:AF274),$AF$2:$AF$1001,0),1)&gt;=100000,INDEX($AM$1005:$BM$1005,1,MATCH(COLUMNS($AM$1006:AO1006),$AM$1006:$BM$1006,0))&gt;=100000), " ",IF(INDEX($AM$2:$BM$1001,MATCH(ROWS($AF$2:AF274),$AF$2:$AF$1001,0),MATCH(COLUMNS($AM$1006:AO1006),$AM$1006:$BM$1006,0)), HYPERLINK("#",""), HYPERLINK(CONCATENATE("#metadata!", ADDRESS(INDEX($AH$2:$AH$1001,MATCH(ROWS($AF$2:AF274),$AF$2:$AF$1001,0),0), INDEX($AM$1004:$BM$1004,1,MATCH(COLUMNS($AM$1006:AO1006),$AM$1006:$BM$1006,0)))),"Fix")))</f>
        <v xml:space="preserve"> </v>
      </c>
      <c r="E274" s="4" t="str">
        <f ca="1">IF(OR(INDEX($AG$2:$AG$1001,MATCH(ROWS($AF$2:AF274),$AF$2:$AF$1001,0),1)&gt;=100000,INDEX($AM$1005:$BM$1005,1,MATCH(COLUMNS($AM$1006:AP1006),$AM$1006:$BM$1006,0))&gt;=100000), " ",IF(INDEX($AM$2:$BM$1001,MATCH(ROWS($AF$2:AF274),$AF$2:$AF$1001,0),MATCH(COLUMNS($AM$1006:AP1006),$AM$1006:$BM$1006,0)), HYPERLINK("#",""), HYPERLINK(CONCATENATE("#metadata!", ADDRESS(INDEX($AH$2:$AH$1001,MATCH(ROWS($AF$2:AF274),$AF$2:$AF$1001,0),0), INDEX($AM$1004:$BM$1004,1,MATCH(COLUMNS($AM$1006:AP1006),$AM$1006:$BM$1006,0)))),"Fix")))</f>
        <v xml:space="preserve"> </v>
      </c>
      <c r="F274" s="4" t="str">
        <f ca="1">IF(OR(INDEX($AG$2:$AG$1001,MATCH(ROWS($AF$2:AF274),$AF$2:$AF$1001,0),1)&gt;=100000,INDEX($AM$1005:$BM$1005,1,MATCH(COLUMNS($AM$1006:AQ1006),$AM$1006:$BM$1006,0))&gt;=100000), " ",IF(INDEX($AM$2:$BM$1001,MATCH(ROWS($AF$2:AF274),$AF$2:$AF$1001,0),MATCH(COLUMNS($AM$1006:AQ1006),$AM$1006:$BM$1006,0)), HYPERLINK("#",""), HYPERLINK(CONCATENATE("#metadata!", ADDRESS(INDEX($AH$2:$AH$1001,MATCH(ROWS($AF$2:AF274),$AF$2:$AF$1001,0),0), INDEX($AM$1004:$BM$1004,1,MATCH(COLUMNS($AM$1006:AQ1006),$AM$1006:$BM$1006,0)))),"Fix")))</f>
        <v xml:space="preserve"> </v>
      </c>
      <c r="G274" s="4" t="str">
        <f ca="1">IF(OR(INDEX($AG$2:$AG$1001,MATCH(ROWS($AF$2:AF274),$AF$2:$AF$1001,0),1)&gt;=100000,INDEX($AM$1005:$BM$1005,1,MATCH(COLUMNS($AM$1006:AR1006),$AM$1006:$BM$1006,0))&gt;=100000), " ",IF(INDEX($AM$2:$BM$1001,MATCH(ROWS($AF$2:AF274),$AF$2:$AF$1001,0),MATCH(COLUMNS($AM$1006:AR1006),$AM$1006:$BM$1006,0)), HYPERLINK("#",""), HYPERLINK(CONCATENATE("#metadata!", ADDRESS(INDEX($AH$2:$AH$1001,MATCH(ROWS($AF$2:AF274),$AF$2:$AF$1001,0),0), INDEX($AM$1004:$BM$1004,1,MATCH(COLUMNS($AM$1006:AR1006),$AM$1006:$BM$1006,0)))),"Fix")))</f>
        <v xml:space="preserve"> </v>
      </c>
      <c r="H274" s="4" t="str">
        <f ca="1">IF(OR(INDEX($AG$2:$AG$1001,MATCH(ROWS($AF$2:AF274),$AF$2:$AF$1001,0),1)&gt;=100000,INDEX($AM$1005:$BM$1005,1,MATCH(COLUMNS($AM$1006:AS1006),$AM$1006:$BM$1006,0))&gt;=100000), " ",IF(INDEX($AM$2:$BM$1001,MATCH(ROWS($AF$2:AF274),$AF$2:$AF$1001,0),MATCH(COLUMNS($AM$1006:AS1006),$AM$1006:$BM$1006,0)), HYPERLINK("#",""), HYPERLINK(CONCATENATE("#metadata!", ADDRESS(INDEX($AH$2:$AH$1001,MATCH(ROWS($AF$2:AF274),$AF$2:$AF$1001,0),0), INDEX($AM$1004:$BM$1004,1,MATCH(COLUMNS($AM$1006:AS1006),$AM$1006:$BM$1006,0)))),"Fix")))</f>
        <v xml:space="preserve"> </v>
      </c>
      <c r="I274" s="4" t="str">
        <f ca="1">IF(OR(INDEX($AG$2:$AG$1001,MATCH(ROWS($AF$2:AF274),$AF$2:$AF$1001,0),1)&gt;=100000,INDEX($AM$1005:$BM$1005,1,MATCH(COLUMNS($AM$1006:AT1006),$AM$1006:$BM$1006,0))&gt;=100000), " ",IF(INDEX($AM$2:$BM$1001,MATCH(ROWS($AF$2:AF274),$AF$2:$AF$1001,0),MATCH(COLUMNS($AM$1006:AT1006),$AM$1006:$BM$1006,0)), HYPERLINK("#",""), HYPERLINK(CONCATENATE("#metadata!", ADDRESS(INDEX($AH$2:$AH$1001,MATCH(ROWS($AF$2:AF274),$AF$2:$AF$1001,0),0), INDEX($AM$1004:$BM$1004,1,MATCH(COLUMNS($AM$1006:AT1006),$AM$1006:$BM$1006,0)))),"Fix")))</f>
        <v xml:space="preserve"> </v>
      </c>
      <c r="J274" s="4" t="str">
        <f ca="1">IF(OR(INDEX($AG$2:$AG$1001,MATCH(ROWS($AF$2:AF274),$AF$2:$AF$1001,0),1)&gt;=100000,INDEX($AM$1005:$BM$1005,1,MATCH(COLUMNS($AM$1006:AU1006),$AM$1006:$BM$1006,0))&gt;=100000), " ",IF(INDEX($AM$2:$BM$1001,MATCH(ROWS($AF$2:AF274),$AF$2:$AF$1001,0),MATCH(COLUMNS($AM$1006:AU1006),$AM$1006:$BM$1006,0)), HYPERLINK("#",""), HYPERLINK(CONCATENATE("#metadata!", ADDRESS(INDEX($AH$2:$AH$1001,MATCH(ROWS($AF$2:AF274),$AF$2:$AF$1001,0),0), INDEX($AM$1004:$BM$1004,1,MATCH(COLUMNS($AM$1006:AU1006),$AM$1006:$BM$1006,0)))),"Fix")))</f>
        <v xml:space="preserve"> </v>
      </c>
      <c r="K274" s="4" t="str">
        <f ca="1">IF(OR(INDEX($AG$2:$AG$1001,MATCH(ROWS($AF$2:AF274),$AF$2:$AF$1001,0),1)&gt;=100000,INDEX($AM$1005:$BM$1005,1,MATCH(COLUMNS($AM$1006:AV1006),$AM$1006:$BM$1006,0))&gt;=100000), " ",IF(INDEX($AM$2:$BM$1001,MATCH(ROWS($AF$2:AF274),$AF$2:$AF$1001,0),MATCH(COLUMNS($AM$1006:AV1006),$AM$1006:$BM$1006,0)), HYPERLINK("#",""), HYPERLINK(CONCATENATE("#metadata!", ADDRESS(INDEX($AH$2:$AH$1001,MATCH(ROWS($AF$2:AF274),$AF$2:$AF$1001,0),0), INDEX($AM$1004:$BM$1004,1,MATCH(COLUMNS($AM$1006:AV1006),$AM$1006:$BM$1006,0)))),"Fix")))</f>
        <v xml:space="preserve"> </v>
      </c>
      <c r="L274" s="4" t="str">
        <f ca="1">IF(OR(INDEX($AG$2:$AG$1001,MATCH(ROWS($AF$2:AF274),$AF$2:$AF$1001,0),1)&gt;=100000,INDEX($AM$1005:$BM$1005,1,MATCH(COLUMNS($AM$1006:AW1006),$AM$1006:$BM$1006,0))&gt;=100000), " ",IF(INDEX($AM$2:$BM$1001,MATCH(ROWS($AF$2:AF274),$AF$2:$AF$1001,0),MATCH(COLUMNS($AM$1006:AW1006),$AM$1006:$BM$1006,0)), HYPERLINK("#",""), HYPERLINK(CONCATENATE("#metadata!", ADDRESS(INDEX($AH$2:$AH$1001,MATCH(ROWS($AF$2:AF274),$AF$2:$AF$1001,0),0), INDEX($AM$1004:$BM$1004,1,MATCH(COLUMNS($AM$1006:AW1006),$AM$1006:$BM$1006,0)))),"Fix")))</f>
        <v xml:space="preserve"> </v>
      </c>
      <c r="M274" s="4" t="str">
        <f ca="1">IF(OR(INDEX($AG$2:$AG$1001,MATCH(ROWS($AF$2:AF274),$AF$2:$AF$1001,0),1)&gt;=100000,INDEX($AM$1005:$BM$1005,1,MATCH(COLUMNS($AM$1006:AX1006),$AM$1006:$BM$1006,0))&gt;=100000), " ",IF(INDEX($AM$2:$BM$1001,MATCH(ROWS($AF$2:AF274),$AF$2:$AF$1001,0),MATCH(COLUMNS($AM$1006:AX1006),$AM$1006:$BM$1006,0)), HYPERLINK("#",""), HYPERLINK(CONCATENATE("#metadata!", ADDRESS(INDEX($AH$2:$AH$1001,MATCH(ROWS($AF$2:AF274),$AF$2:$AF$1001,0),0), INDEX($AM$1004:$BM$1004,1,MATCH(COLUMNS($AM$1006:AX1006),$AM$1006:$BM$1006,0)))),"Fix")))</f>
        <v xml:space="preserve"> </v>
      </c>
      <c r="N274" s="4" t="str">
        <f ca="1">IF(OR(INDEX($AG$2:$AG$1001,MATCH(ROWS($AF$2:AF274),$AF$2:$AF$1001,0),1)&gt;=100000,INDEX($AM$1005:$BM$1005,1,MATCH(COLUMNS($AM$1006:AY1006),$AM$1006:$BM$1006,0))&gt;=100000), " ",IF(INDEX($AM$2:$BM$1001,MATCH(ROWS($AF$2:AF274),$AF$2:$AF$1001,0),MATCH(COLUMNS($AM$1006:AY1006),$AM$1006:$BM$1006,0)), HYPERLINK("#",""), HYPERLINK(CONCATENATE("#metadata!", ADDRESS(INDEX($AH$2:$AH$1001,MATCH(ROWS($AF$2:AF274),$AF$2:$AF$1001,0),0), INDEX($AM$1004:$BM$1004,1,MATCH(COLUMNS($AM$1006:AY1006),$AM$1006:$BM$1006,0)))),"Fix")))</f>
        <v xml:space="preserve"> </v>
      </c>
      <c r="O274" s="4" t="str">
        <f ca="1">IF(OR(INDEX($AG$2:$AG$1001,MATCH(ROWS($AF$2:AF274),$AF$2:$AF$1001,0),1)&gt;=100000,INDEX($AM$1005:$BM$1005,1,MATCH(COLUMNS($AM$1006:AZ1006),$AM$1006:$BM$1006,0))&gt;=100000), " ",IF(INDEX($AM$2:$BM$1001,MATCH(ROWS($AF$2:AF274),$AF$2:$AF$1001,0),MATCH(COLUMNS($AM$1006:AZ1006),$AM$1006:$BM$1006,0)), HYPERLINK("#",""), HYPERLINK(CONCATENATE("#metadata!", ADDRESS(INDEX($AH$2:$AH$1001,MATCH(ROWS($AF$2:AF274),$AF$2:$AF$1001,0),0), INDEX($AM$1004:$BM$1004,1,MATCH(COLUMNS($AM$1006:AZ1006),$AM$1006:$BM$1006,0)))),"Fix")))</f>
        <v xml:space="preserve"> </v>
      </c>
      <c r="P274" s="4" t="str">
        <f ca="1">IF(OR(INDEX($AG$2:$AG$1001,MATCH(ROWS($AF$2:AF274),$AF$2:$AF$1001,0),1)&gt;=100000,INDEX($AM$1005:$BM$1005,1,MATCH(COLUMNS($AM$1006:BA1006),$AM$1006:$BM$1006,0))&gt;=100000), " ",IF(INDEX($AM$2:$BM$1001,MATCH(ROWS($AF$2:AF274),$AF$2:$AF$1001,0),MATCH(COLUMNS($AM$1006:BA1006),$AM$1006:$BM$1006,0)), HYPERLINK("#",""), HYPERLINK(CONCATENATE("#metadata!", ADDRESS(INDEX($AH$2:$AH$1001,MATCH(ROWS($AF$2:AF274),$AF$2:$AF$1001,0),0), INDEX($AM$1004:$BM$1004,1,MATCH(COLUMNS($AM$1006:BA1006),$AM$1006:$BM$1006,0)))),"Fix")))</f>
        <v xml:space="preserve"> </v>
      </c>
      <c r="Q274" s="4" t="str">
        <f ca="1">IF(OR(INDEX($AG$2:$AG$1001,MATCH(ROWS($AF$2:AF274),$AF$2:$AF$1001,0),1)&gt;=100000,INDEX($AM$1005:$BM$1005,1,MATCH(COLUMNS($AM$1006:BB1006),$AM$1006:$BM$1006,0))&gt;=100000), " ",IF(INDEX($AM$2:$BM$1001,MATCH(ROWS($AF$2:AF274),$AF$2:$AF$1001,0),MATCH(COLUMNS($AM$1006:BB1006),$AM$1006:$BM$1006,0)), HYPERLINK("#",""), HYPERLINK(CONCATENATE("#metadata!", ADDRESS(INDEX($AH$2:$AH$1001,MATCH(ROWS($AF$2:AF274),$AF$2:$AF$1001,0),0), INDEX($AM$1004:$BM$1004,1,MATCH(COLUMNS($AM$1006:BB1006),$AM$1006:$BM$1006,0)))),"Fix")))</f>
        <v xml:space="preserve"> </v>
      </c>
      <c r="R274" s="4" t="str">
        <f ca="1">IF(OR(INDEX($AG$2:$AG$1001,MATCH(ROWS($AF$2:AF274),$AF$2:$AF$1001,0),1)&gt;=100000,INDEX($AM$1005:$BM$1005,1,MATCH(COLUMNS($AM$1006:BC1006),$AM$1006:$BM$1006,0))&gt;=100000), " ",IF(INDEX($AM$2:$BM$1001,MATCH(ROWS($AF$2:AF274),$AF$2:$AF$1001,0),MATCH(COLUMNS($AM$1006:BC1006),$AM$1006:$BM$1006,0)), HYPERLINK("#",""), HYPERLINK(CONCATENATE("#metadata!", ADDRESS(INDEX($AH$2:$AH$1001,MATCH(ROWS($AF$2:AF274),$AF$2:$AF$1001,0),0), INDEX($AM$1004:$BM$1004,1,MATCH(COLUMNS($AM$1006:BC1006),$AM$1006:$BM$1006,0)))),"Fix")))</f>
        <v xml:space="preserve"> </v>
      </c>
      <c r="S274" s="4" t="str">
        <f ca="1">IF(OR(INDEX($AG$2:$AG$1001,MATCH(ROWS($AF$2:AF274),$AF$2:$AF$1001,0),1)&gt;=100000,INDEX($AM$1005:$BM$1005,1,MATCH(COLUMNS($AM$1006:BD1006),$AM$1006:$BM$1006,0))&gt;=100000), " ",IF(INDEX($AM$2:$BM$1001,MATCH(ROWS($AF$2:AF274),$AF$2:$AF$1001,0),MATCH(COLUMNS($AM$1006:BD1006),$AM$1006:$BM$1006,0)), HYPERLINK("#",""), HYPERLINK(CONCATENATE("#metadata!", ADDRESS(INDEX($AH$2:$AH$1001,MATCH(ROWS($AF$2:AF274),$AF$2:$AF$1001,0),0), INDEX($AM$1004:$BM$1004,1,MATCH(COLUMNS($AM$1006:BD1006),$AM$1006:$BM$1006,0)))),"Fix")))</f>
        <v xml:space="preserve"> </v>
      </c>
      <c r="T274" s="4" t="str">
        <f ca="1">IF(OR(INDEX($AG$2:$AG$1001,MATCH(ROWS($AF$2:AF274),$AF$2:$AF$1001,0),1)&gt;=100000,INDEX($AM$1005:$BM$1005,1,MATCH(COLUMNS($AM$1006:BE1006),$AM$1006:$BM$1006,0))&gt;=100000), " ",IF(INDEX($AM$2:$BM$1001,MATCH(ROWS($AF$2:AF274),$AF$2:$AF$1001,0),MATCH(COLUMNS($AM$1006:BE1006),$AM$1006:$BM$1006,0)), HYPERLINK("#",""), HYPERLINK(CONCATENATE("#metadata!", ADDRESS(INDEX($AH$2:$AH$1001,MATCH(ROWS($AF$2:AF274),$AF$2:$AF$1001,0),0), INDEX($AM$1004:$BM$1004,1,MATCH(COLUMNS($AM$1006:BE1006),$AM$1006:$BM$1006,0)))),"Fix")))</f>
        <v xml:space="preserve"> </v>
      </c>
      <c r="U274" s="4" t="str">
        <f ca="1">IF(OR(INDEX($AG$2:$AG$1001,MATCH(ROWS($AF$2:AF274),$AF$2:$AF$1001,0),1)&gt;=100000,INDEX($AM$1005:$BM$1005,1,MATCH(COLUMNS($AM$1006:BF1006),$AM$1006:$BM$1006,0))&gt;=100000), " ",IF(INDEX($AM$2:$BM$1001,MATCH(ROWS($AF$2:AF274),$AF$2:$AF$1001,0),MATCH(COLUMNS($AM$1006:BF1006),$AM$1006:$BM$1006,0)), HYPERLINK("#",""), HYPERLINK(CONCATENATE("#metadata!", ADDRESS(INDEX($AH$2:$AH$1001,MATCH(ROWS($AF$2:AF274),$AF$2:$AF$1001,0),0), INDEX($AM$1004:$BM$1004,1,MATCH(COLUMNS($AM$1006:BF1006),$AM$1006:$BM$1006,0)))),"Fix")))</f>
        <v xml:space="preserve"> </v>
      </c>
      <c r="V274" s="4" t="str">
        <f ca="1">IF(OR(INDEX($AG$2:$AG$1001,MATCH(ROWS($AF$2:AF274),$AF$2:$AF$1001,0),1)&gt;=100000,INDEX($AM$1005:$BM$1005,1,MATCH(COLUMNS($AM$1006:BG1006),$AM$1006:$BM$1006,0))&gt;=100000), " ",IF(INDEX($AM$2:$BM$1001,MATCH(ROWS($AF$2:AF274),$AF$2:$AF$1001,0),MATCH(COLUMNS($AM$1006:BG1006),$AM$1006:$BM$1006,0)), HYPERLINK("#",""), HYPERLINK(CONCATENATE("#metadata!", ADDRESS(INDEX($AH$2:$AH$1001,MATCH(ROWS($AF$2:AF274),$AF$2:$AF$1001,0),0), INDEX($AM$1004:$BM$1004,1,MATCH(COLUMNS($AM$1006:BG1006),$AM$1006:$BM$1006,0)))),"Fix")))</f>
        <v xml:space="preserve"> </v>
      </c>
      <c r="W274" s="4" t="str">
        <f ca="1">IF(OR(INDEX($AG$2:$AG$1001,MATCH(ROWS($AF$2:AF274),$AF$2:$AF$1001,0),1)&gt;=100000,INDEX($AM$1005:$BM$1005,1,MATCH(COLUMNS($AM$1006:BH1006),$AM$1006:$BM$1006,0))&gt;=100000), " ",IF(INDEX($AM$2:$BM$1001,MATCH(ROWS($AF$2:AF274),$AF$2:$AF$1001,0),MATCH(COLUMNS($AM$1006:BH1006),$AM$1006:$BM$1006,0)), HYPERLINK("#",""), HYPERLINK(CONCATENATE("#metadata!", ADDRESS(INDEX($AH$2:$AH$1001,MATCH(ROWS($AF$2:AF274),$AF$2:$AF$1001,0),0), INDEX($AM$1004:$BM$1004,1,MATCH(COLUMNS($AM$1006:BH1006),$AM$1006:$BM$1006,0)))),"Fix")))</f>
        <v xml:space="preserve"> </v>
      </c>
      <c r="X274" s="4" t="str">
        <f ca="1">IF(OR(INDEX($AG$2:$AG$1001,MATCH(ROWS($AF$2:AF274),$AF$2:$AF$1001,0),1)&gt;=100000,INDEX($AM$1005:$BM$1005,1,MATCH(COLUMNS($AM$1006:BI1006),$AM$1006:$BM$1006,0))&gt;=100000), " ",IF(INDEX($AM$2:$BM$1001,MATCH(ROWS($AF$2:AF274),$AF$2:$AF$1001,0),MATCH(COLUMNS($AM$1006:BI1006),$AM$1006:$BM$1006,0)), HYPERLINK("#",""), HYPERLINK(CONCATENATE("#metadata!", ADDRESS(INDEX($AH$2:$AH$1001,MATCH(ROWS($AF$2:AF274),$AF$2:$AF$1001,0),0), INDEX($AM$1004:$BM$1004,1,MATCH(COLUMNS($AM$1006:BI1006),$AM$1006:$BM$1006,0)))),"Fix")))</f>
        <v xml:space="preserve"> </v>
      </c>
      <c r="Y274" s="4" t="str">
        <f ca="1">IF(OR(INDEX($AG$2:$AG$1001,MATCH(ROWS($AF$2:AF274),$AF$2:$AF$1001,0),1)&gt;=100000,INDEX($AM$1005:$BM$1005,1,MATCH(COLUMNS($AM$1006:BJ1006),$AM$1006:$BM$1006,0))&gt;=100000), " ",IF(INDEX($AM$2:$BM$1001,MATCH(ROWS($AF$2:AF274),$AF$2:$AF$1001,0),MATCH(COLUMNS($AM$1006:BJ1006),$AM$1006:$BM$1006,0)), HYPERLINK("#",""), HYPERLINK(CONCATENATE("#metadata!", ADDRESS(INDEX($AH$2:$AH$1001,MATCH(ROWS($AF$2:AF274),$AF$2:$AF$1001,0),0), INDEX($AM$1004:$BM$1004,1,MATCH(COLUMNS($AM$1006:BJ1006),$AM$1006:$BM$1006,0)))),"Fix")))</f>
        <v xml:space="preserve"> </v>
      </c>
      <c r="Z274" s="4" t="str">
        <f ca="1">IF(OR(INDEX($AG$2:$AG$1001,MATCH(ROWS($AF$2:AF274),$AF$2:$AF$1001,0),1)&gt;=100000,INDEX($AM$1005:$BM$1005,1,MATCH(COLUMNS($AM$1006:BK1006),$AM$1006:$BM$1006,0))&gt;=100000), " ",IF(INDEX($AM$2:$BM$1001,MATCH(ROWS($AF$2:AF274),$AF$2:$AF$1001,0),MATCH(COLUMNS($AM$1006:BK1006),$AM$1006:$BM$1006,0)), HYPERLINK("#",""), HYPERLINK(CONCATENATE("#metadata!", ADDRESS(INDEX($AH$2:$AH$1001,MATCH(ROWS($AF$2:AF274),$AF$2:$AF$1001,0),0), INDEX($AM$1004:$BM$1004,1,MATCH(COLUMNS($AM$1006:BK1006),$AM$1006:$BM$1006,0)))),"Fix")))</f>
        <v xml:space="preserve"> </v>
      </c>
      <c r="AA274" s="4" t="str">
        <f ca="1">IF(OR(INDEX($AG$2:$AG$1001,MATCH(ROWS($AF$2:AF274),$AF$2:$AF$1001,0),1)&gt;=100000,INDEX($AM$1005:$BM$1005,1,MATCH(COLUMNS($AM$1006:BL1006),$AM$1006:$BM$1006,0))&gt;=100000), " ",IF(INDEX($AM$2:$BM$1001,MATCH(ROWS($AF$2:AF274),$AF$2:$AF$1001,0),MATCH(COLUMNS($AM$1006:BL1006),$AM$1006:$BM$1006,0)), HYPERLINK("#",""), HYPERLINK(CONCATENATE("#metadata!", ADDRESS(INDEX($AH$2:$AH$1001,MATCH(ROWS($AF$2:AF274),$AF$2:$AF$1001,0),0), INDEX($AM$1004:$BM$1004,1,MATCH(COLUMNS($AM$1006:BL1006),$AM$1006:$BM$1006,0)))),"Fix")))</f>
        <v xml:space="preserve"> </v>
      </c>
      <c r="AB274" s="4" t="str">
        <f ca="1">IF(OR(INDEX($AG$2:$AG$1001,MATCH(ROWS($AF$2:AF274),$AF$2:$AF$1001,0),1)&gt;=100000,INDEX($AM$1005:$BM$1005,1,MATCH(COLUMNS($AM$1006:BM1006),$AM$1006:$BM$1006,0))&gt;=100000), " ",IF(INDEX($AM$2:$BM$1001,MATCH(ROWS($AF$2:AF274),$AF$2:$AF$1001,0),MATCH(COLUMNS($AM$1006:BM1006),$AM$1006:$BM$1006,0)), HYPERLINK("#",""), HYPERLINK(CONCATENATE("#metadata!", ADDRESS(INDEX($AH$2:$AH$1001,MATCH(ROWS($AF$2:AF274),$AF$2:$AF$1001,0),0), INDEX($AM$1004:$BM$1004,1,MATCH(COLUMNS($AM$1006:BM1006),$AM$1006:$BM$1006,0)))),"Fix")))</f>
        <v xml:space="preserve"> </v>
      </c>
      <c r="AF274">
        <v>273</v>
      </c>
      <c r="AG274">
        <v>100274</v>
      </c>
      <c r="AH274">
        <v>274</v>
      </c>
      <c r="AI274" t="b">
        <f t="shared" si="4"/>
        <v>1</v>
      </c>
      <c r="AJ274" t="b">
        <f>COUNTBLANK(metadata!B274:AB274)=COLUMNS(metadata!B274:AB274)</f>
        <v>1</v>
      </c>
      <c r="AK274" t="str">
        <v/>
      </c>
      <c r="AM274" t="b">
        <f ca="1">AND(IF(metadata!B274="",FALSE,TRUE),COUNTIF(metadata!B:B, metadata!B274) = 1,NOT(ISERROR(SUMPRODUCT(SEARCH(MID(metadata!B274,ROW(INDIRECT("1:"&amp;LEN(metadata!B274))), 1),"0123456789abcdefghijklmnopqrstuvwxyzABCDEFGHIJKLMNOPQRSTUVWXYZ.")))))</f>
        <v>0</v>
      </c>
      <c r="AN274" t="b">
        <f ca="1">OR(AND(IF(metadata!C274="",FALSE,TRUE),OR(EXACT(metadata!C274,"missing: not collected"),EXACT(metadata!C274,"missing: not provided"),EXACT(metadata!C274,"missing: restricted access"))),AND(IF(metadata!C274="",FALSE,TRUE),AND(AND(IFERROR(INT(LEFT(metadata!C274,4))&gt;1900,FALSE),IFERROR(INT(LEFT(metadata!C274,4))&lt;=YEAR(NOW()),FALSE)), OR(MID(metadata!C274,5,1)="", AND(AND(MID(metadata!C274,5,1)="-",IFERROR(INT(MID(metadata!C274,6,1))&gt;=0,FALSE),IFERROR(INT(MID(metadata!C274,6,1))&lt;=1,FALSE),NOT(MID(metadata!C274,7,1)=""),IFERROR(INT(MID(metadata!C274,6,2))&gt;=1,FALSE),IFERROR(INT(MID(metadata!C274,6,2))&lt;=12,FALSE)), OR(MID(metadata!C274,8,1)="", AND(AND(MID(metadata!C274,8,1)="-",IFERROR(INT(MID(metadata!C274,9,1))&gt;=0,FALSE),IFERROR(INT(MID(metadata!C274,9,1))&lt;=3,FALSE),NOT(MID(metadata!C274,10,1)=""),IFERROR(INT(MID(metadata!C274,9,2))&gt;=1,FALSE),IFERROR(INT(MID(metadata!C274,9,2))&lt;=31,FALSE)), OR(MID(metadata!C274,11,1)="", AND(AND(MID(metadata!C274,11,1)=" ",IFERROR(INT(MID(metadata!C274,12,1))&gt;=0,FALSE),IFERROR(INT(MID(metadata!C274,12,1))&lt;=2,FALSE),NOT(MID(metadata!C274,13,1)=""),IFERROR(INT(MID(metadata!C274,12,2))&gt;=0,FALSE),IFERROR(INT(MID(metadata!C274,12,2))&lt;=23,FALSE)), OR(MID(metadata!C274,14,1)="", AND(AND(MID(metadata!C274,14,1)=":",IFERROR(INT(MID(metadata!C274,15,1))&gt;=0,FALSE),IFERROR(INT(MID(metadata!C274,15,1))&lt;=5,FALSE),NOT(MID(metadata!C274,16,1)=""),IFERROR(INT(MID(metadata!C274,15,2))&gt;=0,FALSE),IFERROR(INT(MID(metadata!C274,15,2))&lt;=59,FALSE)), OR(MID(metadata!C274,17,1)="", AND(AND(MID(metadata!C274,17,1)=":",IFERROR(INT(MID(metadata!C274,18,1))&gt;=0,FALSE),IFERROR(INT(MID(metadata!C274,18,1))&lt;=5,FALSE),NOT(MID(metadata!C274,19,1)=""),IFERROR(INT(MID(metadata!C274,18,2))&gt;=0,FALSE),IFERROR(INT(MID(metadata!C274,18,2))&lt;=59,FALSE)), LEN(metadata!C274)&lt;=19)))))))))))))</f>
        <v>0</v>
      </c>
      <c r="AO274" t="b">
        <f>AND(IF(metadata!D274="",FALSE,TRUE),EXACT(metadata!D274,"Not applicable"))</f>
        <v>0</v>
      </c>
      <c r="AP274" t="b">
        <f>IF(metadata!E274="",FALSE,TRUE)</f>
        <v>0</v>
      </c>
      <c r="AQ274" t="b">
        <f>OR(AND(IF(metadata!F274="",FALSE,TRUE),OR(EXACT(metadata!F274,"missing: not collected"),EXACT(metadata!F274,"missing: not provided"))),AND(IF(metadata!F274="",FALSE,TRUE),OR(EXACT(metadata!F274,"TRUE"),EXACT(metadata!F274,"FALSE"))))</f>
        <v>0</v>
      </c>
      <c r="AR274" t="b">
        <f>OR(AND(IF(metadata!G274="",FALSE,TRUE),OR(EXACT(metadata!G274,"missing: not collected"),EXACT(metadata!G274,"missing: not provided"),EXACT(metadata!G274,"missing: restricted access"))),AND(IF(metadata!G274="",FALSE,ISNUMBER(VALUE(metadata!G274))),metadata!G274&gt;=-413))</f>
        <v>0</v>
      </c>
      <c r="AS274" t="b">
        <f>AND(IF(metadata!H274="",FALSE,TRUE),EXACT(metadata!H274,"meters"))</f>
        <v>0</v>
      </c>
      <c r="AT274" t="b">
        <f>AND(IF(metadata!I274="",FALSE,TRUE),OR(EXACT(metadata!I274,"Host-associated"),EXACT(metadata!I274,"Free-living")))</f>
        <v>0</v>
      </c>
      <c r="AU274" t="b">
        <f>AND(IF(metadata!J274="",FALSE,TRUE),OR(EXACT(metadata!J274,"Animal"),EXACT(metadata!J274,"Fungus"),EXACT(metadata!J274,"Plant"),EXACT(metadata!J274,"Saline"),EXACT(metadata!J274,"Non-saline")))</f>
        <v>0</v>
      </c>
      <c r="AV274" t="b">
        <f>AND(IF(metadata!K274="",FALSE,TRUE),OR(EXACT(metadata!K274,"Plant secretion"),EXACT(metadata!K274,"Plant rhizosphere"),EXACT(metadata!K274,"Plant surface"),EXACT(metadata!K274,"Plant corpus"),EXACT(metadata!K274,"Fungus surface"),EXACT(metadata!K274,"Fungus corpus"),EXACT(metadata!K274,"Animal surface"),EXACT(metadata!K274,"Animal proximal gut"),EXACT(metadata!K274,"Animal corpus"),EXACT(metadata!K274,"Animal distal gut"),EXACT(metadata!K274,"Animal secretion"),EXACT(metadata!K274,"Sub-surface (non-saline)"),EXACT(metadata!K274,"Surface (non-saline)"),EXACT(metadata!K274,"Water (non-saline)"),EXACT(metadata!K274,"Soil (non-saline)"),EXACT(metadata!K274,"Aerosol (non-saline)"),EXACT(metadata!K274,"Sediment (non-saline)"),EXACT(metadata!K274,"Surface (saline)"),EXACT(metadata!K274,"Water (saline)"),EXACT(metadata!K274,"Hypersaline (saline)"),EXACT(metadata!K274,"Aerosol (saline)"),EXACT(metadata!K274,"Sediment (saline)")))</f>
        <v>0</v>
      </c>
      <c r="AW274" t="b">
        <f>IF(metadata!L274="",FALSE,TRUE)</f>
        <v>0</v>
      </c>
      <c r="AX274" t="b">
        <f>IF(metadata!M274="",FALSE,TRUE)</f>
        <v>0</v>
      </c>
      <c r="AY274" t="b">
        <f>IF(metadata!N274="",FALSE,TRUE)</f>
        <v>0</v>
      </c>
      <c r="AZ274" t="b">
        <f>OR(AND(IF(metadata!O274="",FALSE,TRUE),OR(EXACT(metadata!O274,"missing: not collected"),EXACT(metadata!O274,"missing: not provided"),EXACT(metadata!O274,"missing: restricted access"))),AND(IF(metadata!O274="",FALSE,TRUE),OR(EXACT(metadata!O274,"air"),EXACT(metadata!O274,"built environment"),EXACT(metadata!O274,"host-associated"),EXACT(metadata!O274,"human-associated"),EXACT(metadata!O274,"human-skin"),EXACT(metadata!O274,"human-oral"),EXACT(metadata!O274,"human-gut"),EXACT(metadata!O274,"human-vaginal"),EXACT(metadata!O274,"microbial mat/biofilm"),EXACT(metadata!O274,"misc environment"),EXACT(metadata!O274,"plant-associated"),EXACT(metadata!O274,"sediment"),EXACT(metadata!O274,"soil"),EXACT(metadata!O274,"wastewater/sludge"),EXACT(metadata!O274,"water"))))</f>
        <v>0</v>
      </c>
      <c r="BA274" t="b">
        <f>IF(metadata!P274="",FALSE,TRUE)</f>
        <v>0</v>
      </c>
      <c r="BB274" t="b">
        <f>IF(metadata!Q274="",FALSE,TRUE)</f>
        <v>0</v>
      </c>
      <c r="BC274" t="b">
        <f>OR(AND(IF(metadata!R274="",FALSE,TRUE),OR(EXACT(metadata!R274,"missing: not collected"),EXACT(metadata!R274,"missing: not provided"),EXACT(metadata!R274,"missing: restricted access"))),AND(IF(metadata!R274="",FALSE,ISNUMBER(VALUE(metadata!R274))),metadata!R274&gt;=-90,metadata!R274&lt;=90))</f>
        <v>0</v>
      </c>
      <c r="BD274" t="b">
        <f>AND(IF(metadata!S274="",FALSE,TRUE),EXACT(metadata!S274,"Decimal degrees"))</f>
        <v>0</v>
      </c>
      <c r="BE274" t="b">
        <f>OR(AND(IF(metadata!T274="",FALSE,TRUE),OR(EXACT(metadata!T274,"missing: not collected"),EXACT(metadata!T274,"missing: not provided"),EXACT(metadata!T274,"missing: restricted access"))),AND(IF(metadata!T274="",FALSE,ISNUMBER(VALUE(metadata!T274))),metadata!T274&gt;=-180,metadata!T274&lt;=180))</f>
        <v>0</v>
      </c>
      <c r="BF274" t="b">
        <f>AND(IF(metadata!U274="",FALSE,TRUE),EXACT(metadata!U274,"Decimal degrees"))</f>
        <v>0</v>
      </c>
      <c r="BG274" t="b">
        <f>IF(metadata!V274="",FALSE,TRUE)</f>
        <v>0</v>
      </c>
      <c r="BH274" t="b">
        <f>OR(AND(IF(metadata!W274="",FALSE,TRUE),OR(EXACT(metadata!W274,"missing: not collected"),EXACT(metadata!W274,"missing: not provided"),EXACT(metadata!W274,"missing: restricted access"))),AND(IF(metadata!W274="",FALSE,TRUE),OR(EXACT(metadata!W274,"TRUE"),EXACT(metadata!W274,"FALSE"))))</f>
        <v>0</v>
      </c>
      <c r="BI274" t="b">
        <f>AND(IF(metadata!X274="",FALSE,TRUE),EXACT(metadata!X274,"other"))</f>
        <v>0</v>
      </c>
      <c r="BJ274" t="b">
        <f>IF(metadata!Y274="",FALSE,TRUE)</f>
        <v>0</v>
      </c>
      <c r="BK274" t="b">
        <f>OR(AND(IF(metadata!Z274="",FALSE,TRUE),OR(EXACT(metadata!Z274,"missing: not collected"),EXACT(metadata!Z274,"missing: not provided"))),AND(IF(metadata!Z274="",FALSE,IF(ISERROR(INT(metadata!Z274)),FALSE,INT(metadata!Z274)=metadata!Z274)),metadata!Z274&gt;0))</f>
        <v>0</v>
      </c>
      <c r="BL274" t="b">
        <f>AND(IF(metadata!AA274="",FALSE,TRUE),EXACT(metadata!AA274,"Not applicable"))</f>
        <v>0</v>
      </c>
      <c r="BM274" t="b">
        <f>IF(metadata!AB274="",FALSE,TRUE)</f>
        <v>0</v>
      </c>
    </row>
    <row r="275" spans="1:65" x14ac:dyDescent="0.2">
      <c r="A275" s="5" t="str">
        <f ca="1">IF(B275=" "," ",HYPERLINK(CONCATENATE("#metadata!",ADDRESS(INDEX($AH$2:$AH$1001,MATCH(ROWS($AF$2:AF275),$AF$2:$AF$1001,0),0),1)),INDEX($AK$2:$AK$1001,MATCH(ROWS($AF$2:AF275),$AF$2:$AF$1001,0),0)))</f>
        <v xml:space="preserve"> </v>
      </c>
      <c r="B275" s="4" t="str">
        <f ca="1">IF(OR(INDEX($AG$2:$AG$1001,MATCH(ROWS($AF$2:AF275),$AF$2:$AF$1001,0),1)&gt;=100000,INDEX($AM$1005:$BM$1005,1,MATCH(COLUMNS($AM$1006:AM1006),$AM$1006:$BM$1006,0))&gt;=100000), " ",IF(INDEX($AM$2:$BM$1001,MATCH(ROWS($AF$2:AF275),$AF$2:$AF$1001,0),MATCH(COLUMNS($AM$1006:AM1006),$AM$1006:$BM$1006,0)), HYPERLINK("#",""), HYPERLINK(CONCATENATE("#metadata!", ADDRESS(INDEX($AH$2:$AH$1001,MATCH(ROWS($AF$2:AF275),$AF$2:$AF$1001,0),0), INDEX($AM$1004:$BM$1004,1,MATCH(COLUMNS($AM$1006:AM1006),$AM$1006:$BM$1006,0)))),"Fix")))</f>
        <v xml:space="preserve"> </v>
      </c>
      <c r="C275" s="4" t="str">
        <f ca="1">IF(OR(INDEX($AG$2:$AG$1001,MATCH(ROWS($AF$2:AF275),$AF$2:$AF$1001,0),1)&gt;=100000,INDEX($AM$1005:$BM$1005,1,MATCH(COLUMNS($AM$1006:AN1006),$AM$1006:$BM$1006,0))&gt;=100000), " ",IF(INDEX($AM$2:$BM$1001,MATCH(ROWS($AF$2:AF275),$AF$2:$AF$1001,0),MATCH(COLUMNS($AM$1006:AN1006),$AM$1006:$BM$1006,0)), HYPERLINK("#",""), HYPERLINK(CONCATENATE("#metadata!", ADDRESS(INDEX($AH$2:$AH$1001,MATCH(ROWS($AF$2:AF275),$AF$2:$AF$1001,0),0), INDEX($AM$1004:$BM$1004,1,MATCH(COLUMNS($AM$1006:AN1006),$AM$1006:$BM$1006,0)))),"Fix")))</f>
        <v xml:space="preserve"> </v>
      </c>
      <c r="D275" s="4" t="str">
        <f ca="1">IF(OR(INDEX($AG$2:$AG$1001,MATCH(ROWS($AF$2:AF275),$AF$2:$AF$1001,0),1)&gt;=100000,INDEX($AM$1005:$BM$1005,1,MATCH(COLUMNS($AM$1006:AO1006),$AM$1006:$BM$1006,0))&gt;=100000), " ",IF(INDEX($AM$2:$BM$1001,MATCH(ROWS($AF$2:AF275),$AF$2:$AF$1001,0),MATCH(COLUMNS($AM$1006:AO1006),$AM$1006:$BM$1006,0)), HYPERLINK("#",""), HYPERLINK(CONCATENATE("#metadata!", ADDRESS(INDEX($AH$2:$AH$1001,MATCH(ROWS($AF$2:AF275),$AF$2:$AF$1001,0),0), INDEX($AM$1004:$BM$1004,1,MATCH(COLUMNS($AM$1006:AO1006),$AM$1006:$BM$1006,0)))),"Fix")))</f>
        <v xml:space="preserve"> </v>
      </c>
      <c r="E275" s="4" t="str">
        <f ca="1">IF(OR(INDEX($AG$2:$AG$1001,MATCH(ROWS($AF$2:AF275),$AF$2:$AF$1001,0),1)&gt;=100000,INDEX($AM$1005:$BM$1005,1,MATCH(COLUMNS($AM$1006:AP1006),$AM$1006:$BM$1006,0))&gt;=100000), " ",IF(INDEX($AM$2:$BM$1001,MATCH(ROWS($AF$2:AF275),$AF$2:$AF$1001,0),MATCH(COLUMNS($AM$1006:AP1006),$AM$1006:$BM$1006,0)), HYPERLINK("#",""), HYPERLINK(CONCATENATE("#metadata!", ADDRESS(INDEX($AH$2:$AH$1001,MATCH(ROWS($AF$2:AF275),$AF$2:$AF$1001,0),0), INDEX($AM$1004:$BM$1004,1,MATCH(COLUMNS($AM$1006:AP1006),$AM$1006:$BM$1006,0)))),"Fix")))</f>
        <v xml:space="preserve"> </v>
      </c>
      <c r="F275" s="4" t="str">
        <f ca="1">IF(OR(INDEX($AG$2:$AG$1001,MATCH(ROWS($AF$2:AF275),$AF$2:$AF$1001,0),1)&gt;=100000,INDEX($AM$1005:$BM$1005,1,MATCH(COLUMNS($AM$1006:AQ1006),$AM$1006:$BM$1006,0))&gt;=100000), " ",IF(INDEX($AM$2:$BM$1001,MATCH(ROWS($AF$2:AF275),$AF$2:$AF$1001,0),MATCH(COLUMNS($AM$1006:AQ1006),$AM$1006:$BM$1006,0)), HYPERLINK("#",""), HYPERLINK(CONCATENATE("#metadata!", ADDRESS(INDEX($AH$2:$AH$1001,MATCH(ROWS($AF$2:AF275),$AF$2:$AF$1001,0),0), INDEX($AM$1004:$BM$1004,1,MATCH(COLUMNS($AM$1006:AQ1006),$AM$1006:$BM$1006,0)))),"Fix")))</f>
        <v xml:space="preserve"> </v>
      </c>
      <c r="G275" s="4" t="str">
        <f ca="1">IF(OR(INDEX($AG$2:$AG$1001,MATCH(ROWS($AF$2:AF275),$AF$2:$AF$1001,0),1)&gt;=100000,INDEX($AM$1005:$BM$1005,1,MATCH(COLUMNS($AM$1006:AR1006),$AM$1006:$BM$1006,0))&gt;=100000), " ",IF(INDEX($AM$2:$BM$1001,MATCH(ROWS($AF$2:AF275),$AF$2:$AF$1001,0),MATCH(COLUMNS($AM$1006:AR1006),$AM$1006:$BM$1006,0)), HYPERLINK("#",""), HYPERLINK(CONCATENATE("#metadata!", ADDRESS(INDEX($AH$2:$AH$1001,MATCH(ROWS($AF$2:AF275),$AF$2:$AF$1001,0),0), INDEX($AM$1004:$BM$1004,1,MATCH(COLUMNS($AM$1006:AR1006),$AM$1006:$BM$1006,0)))),"Fix")))</f>
        <v xml:space="preserve"> </v>
      </c>
      <c r="H275" s="4" t="str">
        <f ca="1">IF(OR(INDEX($AG$2:$AG$1001,MATCH(ROWS($AF$2:AF275),$AF$2:$AF$1001,0),1)&gt;=100000,INDEX($AM$1005:$BM$1005,1,MATCH(COLUMNS($AM$1006:AS1006),$AM$1006:$BM$1006,0))&gt;=100000), " ",IF(INDEX($AM$2:$BM$1001,MATCH(ROWS($AF$2:AF275),$AF$2:$AF$1001,0),MATCH(COLUMNS($AM$1006:AS1006),$AM$1006:$BM$1006,0)), HYPERLINK("#",""), HYPERLINK(CONCATENATE("#metadata!", ADDRESS(INDEX($AH$2:$AH$1001,MATCH(ROWS($AF$2:AF275),$AF$2:$AF$1001,0),0), INDEX($AM$1004:$BM$1004,1,MATCH(COLUMNS($AM$1006:AS1006),$AM$1006:$BM$1006,0)))),"Fix")))</f>
        <v xml:space="preserve"> </v>
      </c>
      <c r="I275" s="4" t="str">
        <f ca="1">IF(OR(INDEX($AG$2:$AG$1001,MATCH(ROWS($AF$2:AF275),$AF$2:$AF$1001,0),1)&gt;=100000,INDEX($AM$1005:$BM$1005,1,MATCH(COLUMNS($AM$1006:AT1006),$AM$1006:$BM$1006,0))&gt;=100000), " ",IF(INDEX($AM$2:$BM$1001,MATCH(ROWS($AF$2:AF275),$AF$2:$AF$1001,0),MATCH(COLUMNS($AM$1006:AT1006),$AM$1006:$BM$1006,0)), HYPERLINK("#",""), HYPERLINK(CONCATENATE("#metadata!", ADDRESS(INDEX($AH$2:$AH$1001,MATCH(ROWS($AF$2:AF275),$AF$2:$AF$1001,0),0), INDEX($AM$1004:$BM$1004,1,MATCH(COLUMNS($AM$1006:AT1006),$AM$1006:$BM$1006,0)))),"Fix")))</f>
        <v xml:space="preserve"> </v>
      </c>
      <c r="J275" s="4" t="str">
        <f ca="1">IF(OR(INDEX($AG$2:$AG$1001,MATCH(ROWS($AF$2:AF275),$AF$2:$AF$1001,0),1)&gt;=100000,INDEX($AM$1005:$BM$1005,1,MATCH(COLUMNS($AM$1006:AU1006),$AM$1006:$BM$1006,0))&gt;=100000), " ",IF(INDEX($AM$2:$BM$1001,MATCH(ROWS($AF$2:AF275),$AF$2:$AF$1001,0),MATCH(COLUMNS($AM$1006:AU1006),$AM$1006:$BM$1006,0)), HYPERLINK("#",""), HYPERLINK(CONCATENATE("#metadata!", ADDRESS(INDEX($AH$2:$AH$1001,MATCH(ROWS($AF$2:AF275),$AF$2:$AF$1001,0),0), INDEX($AM$1004:$BM$1004,1,MATCH(COLUMNS($AM$1006:AU1006),$AM$1006:$BM$1006,0)))),"Fix")))</f>
        <v xml:space="preserve"> </v>
      </c>
      <c r="K275" s="4" t="str">
        <f ca="1">IF(OR(INDEX($AG$2:$AG$1001,MATCH(ROWS($AF$2:AF275),$AF$2:$AF$1001,0),1)&gt;=100000,INDEX($AM$1005:$BM$1005,1,MATCH(COLUMNS($AM$1006:AV1006),$AM$1006:$BM$1006,0))&gt;=100000), " ",IF(INDEX($AM$2:$BM$1001,MATCH(ROWS($AF$2:AF275),$AF$2:$AF$1001,0),MATCH(COLUMNS($AM$1006:AV1006),$AM$1006:$BM$1006,0)), HYPERLINK("#",""), HYPERLINK(CONCATENATE("#metadata!", ADDRESS(INDEX($AH$2:$AH$1001,MATCH(ROWS($AF$2:AF275),$AF$2:$AF$1001,0),0), INDEX($AM$1004:$BM$1004,1,MATCH(COLUMNS($AM$1006:AV1006),$AM$1006:$BM$1006,0)))),"Fix")))</f>
        <v xml:space="preserve"> </v>
      </c>
      <c r="L275" s="4" t="str">
        <f ca="1">IF(OR(INDEX($AG$2:$AG$1001,MATCH(ROWS($AF$2:AF275),$AF$2:$AF$1001,0),1)&gt;=100000,INDEX($AM$1005:$BM$1005,1,MATCH(COLUMNS($AM$1006:AW1006),$AM$1006:$BM$1006,0))&gt;=100000), " ",IF(INDEX($AM$2:$BM$1001,MATCH(ROWS($AF$2:AF275),$AF$2:$AF$1001,0),MATCH(COLUMNS($AM$1006:AW1006),$AM$1006:$BM$1006,0)), HYPERLINK("#",""), HYPERLINK(CONCATENATE("#metadata!", ADDRESS(INDEX($AH$2:$AH$1001,MATCH(ROWS($AF$2:AF275),$AF$2:$AF$1001,0),0), INDEX($AM$1004:$BM$1004,1,MATCH(COLUMNS($AM$1006:AW1006),$AM$1006:$BM$1006,0)))),"Fix")))</f>
        <v xml:space="preserve"> </v>
      </c>
      <c r="M275" s="4" t="str">
        <f ca="1">IF(OR(INDEX($AG$2:$AG$1001,MATCH(ROWS($AF$2:AF275),$AF$2:$AF$1001,0),1)&gt;=100000,INDEX($AM$1005:$BM$1005,1,MATCH(COLUMNS($AM$1006:AX1006),$AM$1006:$BM$1006,0))&gt;=100000), " ",IF(INDEX($AM$2:$BM$1001,MATCH(ROWS($AF$2:AF275),$AF$2:$AF$1001,0),MATCH(COLUMNS($AM$1006:AX1006),$AM$1006:$BM$1006,0)), HYPERLINK("#",""), HYPERLINK(CONCATENATE("#metadata!", ADDRESS(INDEX($AH$2:$AH$1001,MATCH(ROWS($AF$2:AF275),$AF$2:$AF$1001,0),0), INDEX($AM$1004:$BM$1004,1,MATCH(COLUMNS($AM$1006:AX1006),$AM$1006:$BM$1006,0)))),"Fix")))</f>
        <v xml:space="preserve"> </v>
      </c>
      <c r="N275" s="4" t="str">
        <f ca="1">IF(OR(INDEX($AG$2:$AG$1001,MATCH(ROWS($AF$2:AF275),$AF$2:$AF$1001,0),1)&gt;=100000,INDEX($AM$1005:$BM$1005,1,MATCH(COLUMNS($AM$1006:AY1006),$AM$1006:$BM$1006,0))&gt;=100000), " ",IF(INDEX($AM$2:$BM$1001,MATCH(ROWS($AF$2:AF275),$AF$2:$AF$1001,0),MATCH(COLUMNS($AM$1006:AY1006),$AM$1006:$BM$1006,0)), HYPERLINK("#",""), HYPERLINK(CONCATENATE("#metadata!", ADDRESS(INDEX($AH$2:$AH$1001,MATCH(ROWS($AF$2:AF275),$AF$2:$AF$1001,0),0), INDEX($AM$1004:$BM$1004,1,MATCH(COLUMNS($AM$1006:AY1006),$AM$1006:$BM$1006,0)))),"Fix")))</f>
        <v xml:space="preserve"> </v>
      </c>
      <c r="O275" s="4" t="str">
        <f ca="1">IF(OR(INDEX($AG$2:$AG$1001,MATCH(ROWS($AF$2:AF275),$AF$2:$AF$1001,0),1)&gt;=100000,INDEX($AM$1005:$BM$1005,1,MATCH(COLUMNS($AM$1006:AZ1006),$AM$1006:$BM$1006,0))&gt;=100000), " ",IF(INDEX($AM$2:$BM$1001,MATCH(ROWS($AF$2:AF275),$AF$2:$AF$1001,0),MATCH(COLUMNS($AM$1006:AZ1006),$AM$1006:$BM$1006,0)), HYPERLINK("#",""), HYPERLINK(CONCATENATE("#metadata!", ADDRESS(INDEX($AH$2:$AH$1001,MATCH(ROWS($AF$2:AF275),$AF$2:$AF$1001,0),0), INDEX($AM$1004:$BM$1004,1,MATCH(COLUMNS($AM$1006:AZ1006),$AM$1006:$BM$1006,0)))),"Fix")))</f>
        <v xml:space="preserve"> </v>
      </c>
      <c r="P275" s="4" t="str">
        <f ca="1">IF(OR(INDEX($AG$2:$AG$1001,MATCH(ROWS($AF$2:AF275),$AF$2:$AF$1001,0),1)&gt;=100000,INDEX($AM$1005:$BM$1005,1,MATCH(COLUMNS($AM$1006:BA1006),$AM$1006:$BM$1006,0))&gt;=100000), " ",IF(INDEX($AM$2:$BM$1001,MATCH(ROWS($AF$2:AF275),$AF$2:$AF$1001,0),MATCH(COLUMNS($AM$1006:BA1006),$AM$1006:$BM$1006,0)), HYPERLINK("#",""), HYPERLINK(CONCATENATE("#metadata!", ADDRESS(INDEX($AH$2:$AH$1001,MATCH(ROWS($AF$2:AF275),$AF$2:$AF$1001,0),0), INDEX($AM$1004:$BM$1004,1,MATCH(COLUMNS($AM$1006:BA1006),$AM$1006:$BM$1006,0)))),"Fix")))</f>
        <v xml:space="preserve"> </v>
      </c>
      <c r="Q275" s="4" t="str">
        <f ca="1">IF(OR(INDEX($AG$2:$AG$1001,MATCH(ROWS($AF$2:AF275),$AF$2:$AF$1001,0),1)&gt;=100000,INDEX($AM$1005:$BM$1005,1,MATCH(COLUMNS($AM$1006:BB1006),$AM$1006:$BM$1006,0))&gt;=100000), " ",IF(INDEX($AM$2:$BM$1001,MATCH(ROWS($AF$2:AF275),$AF$2:$AF$1001,0),MATCH(COLUMNS($AM$1006:BB1006),$AM$1006:$BM$1006,0)), HYPERLINK("#",""), HYPERLINK(CONCATENATE("#metadata!", ADDRESS(INDEX($AH$2:$AH$1001,MATCH(ROWS($AF$2:AF275),$AF$2:$AF$1001,0),0), INDEX($AM$1004:$BM$1004,1,MATCH(COLUMNS($AM$1006:BB1006),$AM$1006:$BM$1006,0)))),"Fix")))</f>
        <v xml:space="preserve"> </v>
      </c>
      <c r="R275" s="4" t="str">
        <f ca="1">IF(OR(INDEX($AG$2:$AG$1001,MATCH(ROWS($AF$2:AF275),$AF$2:$AF$1001,0),1)&gt;=100000,INDEX($AM$1005:$BM$1005,1,MATCH(COLUMNS($AM$1006:BC1006),$AM$1006:$BM$1006,0))&gt;=100000), " ",IF(INDEX($AM$2:$BM$1001,MATCH(ROWS($AF$2:AF275),$AF$2:$AF$1001,0),MATCH(COLUMNS($AM$1006:BC1006),$AM$1006:$BM$1006,0)), HYPERLINK("#",""), HYPERLINK(CONCATENATE("#metadata!", ADDRESS(INDEX($AH$2:$AH$1001,MATCH(ROWS($AF$2:AF275),$AF$2:$AF$1001,0),0), INDEX($AM$1004:$BM$1004,1,MATCH(COLUMNS($AM$1006:BC1006),$AM$1006:$BM$1006,0)))),"Fix")))</f>
        <v xml:space="preserve"> </v>
      </c>
      <c r="S275" s="4" t="str">
        <f ca="1">IF(OR(INDEX($AG$2:$AG$1001,MATCH(ROWS($AF$2:AF275),$AF$2:$AF$1001,0),1)&gt;=100000,INDEX($AM$1005:$BM$1005,1,MATCH(COLUMNS($AM$1006:BD1006),$AM$1006:$BM$1006,0))&gt;=100000), " ",IF(INDEX($AM$2:$BM$1001,MATCH(ROWS($AF$2:AF275),$AF$2:$AF$1001,0),MATCH(COLUMNS($AM$1006:BD1006),$AM$1006:$BM$1006,0)), HYPERLINK("#",""), HYPERLINK(CONCATENATE("#metadata!", ADDRESS(INDEX($AH$2:$AH$1001,MATCH(ROWS($AF$2:AF275),$AF$2:$AF$1001,0),0), INDEX($AM$1004:$BM$1004,1,MATCH(COLUMNS($AM$1006:BD1006),$AM$1006:$BM$1006,0)))),"Fix")))</f>
        <v xml:space="preserve"> </v>
      </c>
      <c r="T275" s="4" t="str">
        <f ca="1">IF(OR(INDEX($AG$2:$AG$1001,MATCH(ROWS($AF$2:AF275),$AF$2:$AF$1001,0),1)&gt;=100000,INDEX($AM$1005:$BM$1005,1,MATCH(COLUMNS($AM$1006:BE1006),$AM$1006:$BM$1006,0))&gt;=100000), " ",IF(INDEX($AM$2:$BM$1001,MATCH(ROWS($AF$2:AF275),$AF$2:$AF$1001,0),MATCH(COLUMNS($AM$1006:BE1006),$AM$1006:$BM$1006,0)), HYPERLINK("#",""), HYPERLINK(CONCATENATE("#metadata!", ADDRESS(INDEX($AH$2:$AH$1001,MATCH(ROWS($AF$2:AF275),$AF$2:$AF$1001,0),0), INDEX($AM$1004:$BM$1004,1,MATCH(COLUMNS($AM$1006:BE1006),$AM$1006:$BM$1006,0)))),"Fix")))</f>
        <v xml:space="preserve"> </v>
      </c>
      <c r="U275" s="4" t="str">
        <f ca="1">IF(OR(INDEX($AG$2:$AG$1001,MATCH(ROWS($AF$2:AF275),$AF$2:$AF$1001,0),1)&gt;=100000,INDEX($AM$1005:$BM$1005,1,MATCH(COLUMNS($AM$1006:BF1006),$AM$1006:$BM$1006,0))&gt;=100000), " ",IF(INDEX($AM$2:$BM$1001,MATCH(ROWS($AF$2:AF275),$AF$2:$AF$1001,0),MATCH(COLUMNS($AM$1006:BF1006),$AM$1006:$BM$1006,0)), HYPERLINK("#",""), HYPERLINK(CONCATENATE("#metadata!", ADDRESS(INDEX($AH$2:$AH$1001,MATCH(ROWS($AF$2:AF275),$AF$2:$AF$1001,0),0), INDEX($AM$1004:$BM$1004,1,MATCH(COLUMNS($AM$1006:BF1006),$AM$1006:$BM$1006,0)))),"Fix")))</f>
        <v xml:space="preserve"> </v>
      </c>
      <c r="V275" s="4" t="str">
        <f ca="1">IF(OR(INDEX($AG$2:$AG$1001,MATCH(ROWS($AF$2:AF275),$AF$2:$AF$1001,0),1)&gt;=100000,INDEX($AM$1005:$BM$1005,1,MATCH(COLUMNS($AM$1006:BG1006),$AM$1006:$BM$1006,0))&gt;=100000), " ",IF(INDEX($AM$2:$BM$1001,MATCH(ROWS($AF$2:AF275),$AF$2:$AF$1001,0),MATCH(COLUMNS($AM$1006:BG1006),$AM$1006:$BM$1006,0)), HYPERLINK("#",""), HYPERLINK(CONCATENATE("#metadata!", ADDRESS(INDEX($AH$2:$AH$1001,MATCH(ROWS($AF$2:AF275),$AF$2:$AF$1001,0),0), INDEX($AM$1004:$BM$1004,1,MATCH(COLUMNS($AM$1006:BG1006),$AM$1006:$BM$1006,0)))),"Fix")))</f>
        <v xml:space="preserve"> </v>
      </c>
      <c r="W275" s="4" t="str">
        <f ca="1">IF(OR(INDEX($AG$2:$AG$1001,MATCH(ROWS($AF$2:AF275),$AF$2:$AF$1001,0),1)&gt;=100000,INDEX($AM$1005:$BM$1005,1,MATCH(COLUMNS($AM$1006:BH1006),$AM$1006:$BM$1006,0))&gt;=100000), " ",IF(INDEX($AM$2:$BM$1001,MATCH(ROWS($AF$2:AF275),$AF$2:$AF$1001,0),MATCH(COLUMNS($AM$1006:BH1006),$AM$1006:$BM$1006,0)), HYPERLINK("#",""), HYPERLINK(CONCATENATE("#metadata!", ADDRESS(INDEX($AH$2:$AH$1001,MATCH(ROWS($AF$2:AF275),$AF$2:$AF$1001,0),0), INDEX($AM$1004:$BM$1004,1,MATCH(COLUMNS($AM$1006:BH1006),$AM$1006:$BM$1006,0)))),"Fix")))</f>
        <v xml:space="preserve"> </v>
      </c>
      <c r="X275" s="4" t="str">
        <f ca="1">IF(OR(INDEX($AG$2:$AG$1001,MATCH(ROWS($AF$2:AF275),$AF$2:$AF$1001,0),1)&gt;=100000,INDEX($AM$1005:$BM$1005,1,MATCH(COLUMNS($AM$1006:BI1006),$AM$1006:$BM$1006,0))&gt;=100000), " ",IF(INDEX($AM$2:$BM$1001,MATCH(ROWS($AF$2:AF275),$AF$2:$AF$1001,0),MATCH(COLUMNS($AM$1006:BI1006),$AM$1006:$BM$1006,0)), HYPERLINK("#",""), HYPERLINK(CONCATENATE("#metadata!", ADDRESS(INDEX($AH$2:$AH$1001,MATCH(ROWS($AF$2:AF275),$AF$2:$AF$1001,0),0), INDEX($AM$1004:$BM$1004,1,MATCH(COLUMNS($AM$1006:BI1006),$AM$1006:$BM$1006,0)))),"Fix")))</f>
        <v xml:space="preserve"> </v>
      </c>
      <c r="Y275" s="4" t="str">
        <f ca="1">IF(OR(INDEX($AG$2:$AG$1001,MATCH(ROWS($AF$2:AF275),$AF$2:$AF$1001,0),1)&gt;=100000,INDEX($AM$1005:$BM$1005,1,MATCH(COLUMNS($AM$1006:BJ1006),$AM$1006:$BM$1006,0))&gt;=100000), " ",IF(INDEX($AM$2:$BM$1001,MATCH(ROWS($AF$2:AF275),$AF$2:$AF$1001,0),MATCH(COLUMNS($AM$1006:BJ1006),$AM$1006:$BM$1006,0)), HYPERLINK("#",""), HYPERLINK(CONCATENATE("#metadata!", ADDRESS(INDEX($AH$2:$AH$1001,MATCH(ROWS($AF$2:AF275),$AF$2:$AF$1001,0),0), INDEX($AM$1004:$BM$1004,1,MATCH(COLUMNS($AM$1006:BJ1006),$AM$1006:$BM$1006,0)))),"Fix")))</f>
        <v xml:space="preserve"> </v>
      </c>
      <c r="Z275" s="4" t="str">
        <f ca="1">IF(OR(INDEX($AG$2:$AG$1001,MATCH(ROWS($AF$2:AF275),$AF$2:$AF$1001,0),1)&gt;=100000,INDEX($AM$1005:$BM$1005,1,MATCH(COLUMNS($AM$1006:BK1006),$AM$1006:$BM$1006,0))&gt;=100000), " ",IF(INDEX($AM$2:$BM$1001,MATCH(ROWS($AF$2:AF275),$AF$2:$AF$1001,0),MATCH(COLUMNS($AM$1006:BK1006),$AM$1006:$BM$1006,0)), HYPERLINK("#",""), HYPERLINK(CONCATENATE("#metadata!", ADDRESS(INDEX($AH$2:$AH$1001,MATCH(ROWS($AF$2:AF275),$AF$2:$AF$1001,0),0), INDEX($AM$1004:$BM$1004,1,MATCH(COLUMNS($AM$1006:BK1006),$AM$1006:$BM$1006,0)))),"Fix")))</f>
        <v xml:space="preserve"> </v>
      </c>
      <c r="AA275" s="4" t="str">
        <f ca="1">IF(OR(INDEX($AG$2:$AG$1001,MATCH(ROWS($AF$2:AF275),$AF$2:$AF$1001,0),1)&gt;=100000,INDEX($AM$1005:$BM$1005,1,MATCH(COLUMNS($AM$1006:BL1006),$AM$1006:$BM$1006,0))&gt;=100000), " ",IF(INDEX($AM$2:$BM$1001,MATCH(ROWS($AF$2:AF275),$AF$2:$AF$1001,0),MATCH(COLUMNS($AM$1006:BL1006),$AM$1006:$BM$1006,0)), HYPERLINK("#",""), HYPERLINK(CONCATENATE("#metadata!", ADDRESS(INDEX($AH$2:$AH$1001,MATCH(ROWS($AF$2:AF275),$AF$2:$AF$1001,0),0), INDEX($AM$1004:$BM$1004,1,MATCH(COLUMNS($AM$1006:BL1006),$AM$1006:$BM$1006,0)))),"Fix")))</f>
        <v xml:space="preserve"> </v>
      </c>
      <c r="AB275" s="4" t="str">
        <f ca="1">IF(OR(INDEX($AG$2:$AG$1001,MATCH(ROWS($AF$2:AF275),$AF$2:$AF$1001,0),1)&gt;=100000,INDEX($AM$1005:$BM$1005,1,MATCH(COLUMNS($AM$1006:BM1006),$AM$1006:$BM$1006,0))&gt;=100000), " ",IF(INDEX($AM$2:$BM$1001,MATCH(ROWS($AF$2:AF275),$AF$2:$AF$1001,0),MATCH(COLUMNS($AM$1006:BM1006),$AM$1006:$BM$1006,0)), HYPERLINK("#",""), HYPERLINK(CONCATENATE("#metadata!", ADDRESS(INDEX($AH$2:$AH$1001,MATCH(ROWS($AF$2:AF275),$AF$2:$AF$1001,0),0), INDEX($AM$1004:$BM$1004,1,MATCH(COLUMNS($AM$1006:BM1006),$AM$1006:$BM$1006,0)))),"Fix")))</f>
        <v xml:space="preserve"> </v>
      </c>
      <c r="AF275">
        <v>274</v>
      </c>
      <c r="AG275">
        <v>100275</v>
      </c>
      <c r="AH275">
        <v>275</v>
      </c>
      <c r="AI275" t="b">
        <f t="shared" si="4"/>
        <v>1</v>
      </c>
      <c r="AJ275" t="b">
        <f>COUNTBLANK(metadata!B275:AB275)=COLUMNS(metadata!B275:AB275)</f>
        <v>1</v>
      </c>
      <c r="AK275" t="str">
        <v/>
      </c>
      <c r="AM275" t="b">
        <f ca="1">AND(IF(metadata!B275="",FALSE,TRUE),COUNTIF(metadata!B:B, metadata!B275) = 1,NOT(ISERROR(SUMPRODUCT(SEARCH(MID(metadata!B275,ROW(INDIRECT("1:"&amp;LEN(metadata!B275))), 1),"0123456789abcdefghijklmnopqrstuvwxyzABCDEFGHIJKLMNOPQRSTUVWXYZ.")))))</f>
        <v>0</v>
      </c>
      <c r="AN275" t="b">
        <f ca="1">OR(AND(IF(metadata!C275="",FALSE,TRUE),OR(EXACT(metadata!C275,"missing: not collected"),EXACT(metadata!C275,"missing: not provided"),EXACT(metadata!C275,"missing: restricted access"))),AND(IF(metadata!C275="",FALSE,TRUE),AND(AND(IFERROR(INT(LEFT(metadata!C275,4))&gt;1900,FALSE),IFERROR(INT(LEFT(metadata!C275,4))&lt;=YEAR(NOW()),FALSE)), OR(MID(metadata!C275,5,1)="", AND(AND(MID(metadata!C275,5,1)="-",IFERROR(INT(MID(metadata!C275,6,1))&gt;=0,FALSE),IFERROR(INT(MID(metadata!C275,6,1))&lt;=1,FALSE),NOT(MID(metadata!C275,7,1)=""),IFERROR(INT(MID(metadata!C275,6,2))&gt;=1,FALSE),IFERROR(INT(MID(metadata!C275,6,2))&lt;=12,FALSE)), OR(MID(metadata!C275,8,1)="", AND(AND(MID(metadata!C275,8,1)="-",IFERROR(INT(MID(metadata!C275,9,1))&gt;=0,FALSE),IFERROR(INT(MID(metadata!C275,9,1))&lt;=3,FALSE),NOT(MID(metadata!C275,10,1)=""),IFERROR(INT(MID(metadata!C275,9,2))&gt;=1,FALSE),IFERROR(INT(MID(metadata!C275,9,2))&lt;=31,FALSE)), OR(MID(metadata!C275,11,1)="", AND(AND(MID(metadata!C275,11,1)=" ",IFERROR(INT(MID(metadata!C275,12,1))&gt;=0,FALSE),IFERROR(INT(MID(metadata!C275,12,1))&lt;=2,FALSE),NOT(MID(metadata!C275,13,1)=""),IFERROR(INT(MID(metadata!C275,12,2))&gt;=0,FALSE),IFERROR(INT(MID(metadata!C275,12,2))&lt;=23,FALSE)), OR(MID(metadata!C275,14,1)="", AND(AND(MID(metadata!C275,14,1)=":",IFERROR(INT(MID(metadata!C275,15,1))&gt;=0,FALSE),IFERROR(INT(MID(metadata!C275,15,1))&lt;=5,FALSE),NOT(MID(metadata!C275,16,1)=""),IFERROR(INT(MID(metadata!C275,15,2))&gt;=0,FALSE),IFERROR(INT(MID(metadata!C275,15,2))&lt;=59,FALSE)), OR(MID(metadata!C275,17,1)="", AND(AND(MID(metadata!C275,17,1)=":",IFERROR(INT(MID(metadata!C275,18,1))&gt;=0,FALSE),IFERROR(INT(MID(metadata!C275,18,1))&lt;=5,FALSE),NOT(MID(metadata!C275,19,1)=""),IFERROR(INT(MID(metadata!C275,18,2))&gt;=0,FALSE),IFERROR(INT(MID(metadata!C275,18,2))&lt;=59,FALSE)), LEN(metadata!C275)&lt;=19)))))))))))))</f>
        <v>0</v>
      </c>
      <c r="AO275" t="b">
        <f>AND(IF(metadata!D275="",FALSE,TRUE),EXACT(metadata!D275,"Not applicable"))</f>
        <v>0</v>
      </c>
      <c r="AP275" t="b">
        <f>IF(metadata!E275="",FALSE,TRUE)</f>
        <v>0</v>
      </c>
      <c r="AQ275" t="b">
        <f>OR(AND(IF(metadata!F275="",FALSE,TRUE),OR(EXACT(metadata!F275,"missing: not collected"),EXACT(metadata!F275,"missing: not provided"))),AND(IF(metadata!F275="",FALSE,TRUE),OR(EXACT(metadata!F275,"TRUE"),EXACT(metadata!F275,"FALSE"))))</f>
        <v>0</v>
      </c>
      <c r="AR275" t="b">
        <f>OR(AND(IF(metadata!G275="",FALSE,TRUE),OR(EXACT(metadata!G275,"missing: not collected"),EXACT(metadata!G275,"missing: not provided"),EXACT(metadata!G275,"missing: restricted access"))),AND(IF(metadata!G275="",FALSE,ISNUMBER(VALUE(metadata!G275))),metadata!G275&gt;=-413))</f>
        <v>0</v>
      </c>
      <c r="AS275" t="b">
        <f>AND(IF(metadata!H275="",FALSE,TRUE),EXACT(metadata!H275,"meters"))</f>
        <v>0</v>
      </c>
      <c r="AT275" t="b">
        <f>AND(IF(metadata!I275="",FALSE,TRUE),OR(EXACT(metadata!I275,"Host-associated"),EXACT(metadata!I275,"Free-living")))</f>
        <v>0</v>
      </c>
      <c r="AU275" t="b">
        <f>AND(IF(metadata!J275="",FALSE,TRUE),OR(EXACT(metadata!J275,"Animal"),EXACT(metadata!J275,"Fungus"),EXACT(metadata!J275,"Plant"),EXACT(metadata!J275,"Saline"),EXACT(metadata!J275,"Non-saline")))</f>
        <v>0</v>
      </c>
      <c r="AV275" t="b">
        <f>AND(IF(metadata!K275="",FALSE,TRUE),OR(EXACT(metadata!K275,"Plant secretion"),EXACT(metadata!K275,"Plant rhizosphere"),EXACT(metadata!K275,"Plant surface"),EXACT(metadata!K275,"Plant corpus"),EXACT(metadata!K275,"Fungus surface"),EXACT(metadata!K275,"Fungus corpus"),EXACT(metadata!K275,"Animal surface"),EXACT(metadata!K275,"Animal proximal gut"),EXACT(metadata!K275,"Animal corpus"),EXACT(metadata!K275,"Animal distal gut"),EXACT(metadata!K275,"Animal secretion"),EXACT(metadata!K275,"Sub-surface (non-saline)"),EXACT(metadata!K275,"Surface (non-saline)"),EXACT(metadata!K275,"Water (non-saline)"),EXACT(metadata!K275,"Soil (non-saline)"),EXACT(metadata!K275,"Aerosol (non-saline)"),EXACT(metadata!K275,"Sediment (non-saline)"),EXACT(metadata!K275,"Surface (saline)"),EXACT(metadata!K275,"Water (saline)"),EXACT(metadata!K275,"Hypersaline (saline)"),EXACT(metadata!K275,"Aerosol (saline)"),EXACT(metadata!K275,"Sediment (saline)")))</f>
        <v>0</v>
      </c>
      <c r="AW275" t="b">
        <f>IF(metadata!L275="",FALSE,TRUE)</f>
        <v>0</v>
      </c>
      <c r="AX275" t="b">
        <f>IF(metadata!M275="",FALSE,TRUE)</f>
        <v>0</v>
      </c>
      <c r="AY275" t="b">
        <f>IF(metadata!N275="",FALSE,TRUE)</f>
        <v>0</v>
      </c>
      <c r="AZ275" t="b">
        <f>OR(AND(IF(metadata!O275="",FALSE,TRUE),OR(EXACT(metadata!O275,"missing: not collected"),EXACT(metadata!O275,"missing: not provided"),EXACT(metadata!O275,"missing: restricted access"))),AND(IF(metadata!O275="",FALSE,TRUE),OR(EXACT(metadata!O275,"air"),EXACT(metadata!O275,"built environment"),EXACT(metadata!O275,"host-associated"),EXACT(metadata!O275,"human-associated"),EXACT(metadata!O275,"human-skin"),EXACT(metadata!O275,"human-oral"),EXACT(metadata!O275,"human-gut"),EXACT(metadata!O275,"human-vaginal"),EXACT(metadata!O275,"microbial mat/biofilm"),EXACT(metadata!O275,"misc environment"),EXACT(metadata!O275,"plant-associated"),EXACT(metadata!O275,"sediment"),EXACT(metadata!O275,"soil"),EXACT(metadata!O275,"wastewater/sludge"),EXACT(metadata!O275,"water"))))</f>
        <v>0</v>
      </c>
      <c r="BA275" t="b">
        <f>IF(metadata!P275="",FALSE,TRUE)</f>
        <v>0</v>
      </c>
      <c r="BB275" t="b">
        <f>IF(metadata!Q275="",FALSE,TRUE)</f>
        <v>0</v>
      </c>
      <c r="BC275" t="b">
        <f>OR(AND(IF(metadata!R275="",FALSE,TRUE),OR(EXACT(metadata!R275,"missing: not collected"),EXACT(metadata!R275,"missing: not provided"),EXACT(metadata!R275,"missing: restricted access"))),AND(IF(metadata!R275="",FALSE,ISNUMBER(VALUE(metadata!R275))),metadata!R275&gt;=-90,metadata!R275&lt;=90))</f>
        <v>0</v>
      </c>
      <c r="BD275" t="b">
        <f>AND(IF(metadata!S275="",FALSE,TRUE),EXACT(metadata!S275,"Decimal degrees"))</f>
        <v>0</v>
      </c>
      <c r="BE275" t="b">
        <f>OR(AND(IF(metadata!T275="",FALSE,TRUE),OR(EXACT(metadata!T275,"missing: not collected"),EXACT(metadata!T275,"missing: not provided"),EXACT(metadata!T275,"missing: restricted access"))),AND(IF(metadata!T275="",FALSE,ISNUMBER(VALUE(metadata!T275))),metadata!T275&gt;=-180,metadata!T275&lt;=180))</f>
        <v>0</v>
      </c>
      <c r="BF275" t="b">
        <f>AND(IF(metadata!U275="",FALSE,TRUE),EXACT(metadata!U275,"Decimal degrees"))</f>
        <v>0</v>
      </c>
      <c r="BG275" t="b">
        <f>IF(metadata!V275="",FALSE,TRUE)</f>
        <v>0</v>
      </c>
      <c r="BH275" t="b">
        <f>OR(AND(IF(metadata!W275="",FALSE,TRUE),OR(EXACT(metadata!W275,"missing: not collected"),EXACT(metadata!W275,"missing: not provided"),EXACT(metadata!W275,"missing: restricted access"))),AND(IF(metadata!W275="",FALSE,TRUE),OR(EXACT(metadata!W275,"TRUE"),EXACT(metadata!W275,"FALSE"))))</f>
        <v>0</v>
      </c>
      <c r="BI275" t="b">
        <f>AND(IF(metadata!X275="",FALSE,TRUE),EXACT(metadata!X275,"other"))</f>
        <v>0</v>
      </c>
      <c r="BJ275" t="b">
        <f>IF(metadata!Y275="",FALSE,TRUE)</f>
        <v>0</v>
      </c>
      <c r="BK275" t="b">
        <f>OR(AND(IF(metadata!Z275="",FALSE,TRUE),OR(EXACT(metadata!Z275,"missing: not collected"),EXACT(metadata!Z275,"missing: not provided"))),AND(IF(metadata!Z275="",FALSE,IF(ISERROR(INT(metadata!Z275)),FALSE,INT(metadata!Z275)=metadata!Z275)),metadata!Z275&gt;0))</f>
        <v>0</v>
      </c>
      <c r="BL275" t="b">
        <f>AND(IF(metadata!AA275="",FALSE,TRUE),EXACT(metadata!AA275,"Not applicable"))</f>
        <v>0</v>
      </c>
      <c r="BM275" t="b">
        <f>IF(metadata!AB275="",FALSE,TRUE)</f>
        <v>0</v>
      </c>
    </row>
    <row r="276" spans="1:65" x14ac:dyDescent="0.2">
      <c r="A276" s="5" t="str">
        <f ca="1">IF(B276=" "," ",HYPERLINK(CONCATENATE("#metadata!",ADDRESS(INDEX($AH$2:$AH$1001,MATCH(ROWS($AF$2:AF276),$AF$2:$AF$1001,0),0),1)),INDEX($AK$2:$AK$1001,MATCH(ROWS($AF$2:AF276),$AF$2:$AF$1001,0),0)))</f>
        <v xml:space="preserve"> </v>
      </c>
      <c r="B276" s="4" t="str">
        <f ca="1">IF(OR(INDEX($AG$2:$AG$1001,MATCH(ROWS($AF$2:AF276),$AF$2:$AF$1001,0),1)&gt;=100000,INDEX($AM$1005:$BM$1005,1,MATCH(COLUMNS($AM$1006:AM1006),$AM$1006:$BM$1006,0))&gt;=100000), " ",IF(INDEX($AM$2:$BM$1001,MATCH(ROWS($AF$2:AF276),$AF$2:$AF$1001,0),MATCH(COLUMNS($AM$1006:AM1006),$AM$1006:$BM$1006,0)), HYPERLINK("#",""), HYPERLINK(CONCATENATE("#metadata!", ADDRESS(INDEX($AH$2:$AH$1001,MATCH(ROWS($AF$2:AF276),$AF$2:$AF$1001,0),0), INDEX($AM$1004:$BM$1004,1,MATCH(COLUMNS($AM$1006:AM1006),$AM$1006:$BM$1006,0)))),"Fix")))</f>
        <v xml:space="preserve"> </v>
      </c>
      <c r="C276" s="4" t="str">
        <f ca="1">IF(OR(INDEX($AG$2:$AG$1001,MATCH(ROWS($AF$2:AF276),$AF$2:$AF$1001,0),1)&gt;=100000,INDEX($AM$1005:$BM$1005,1,MATCH(COLUMNS($AM$1006:AN1006),$AM$1006:$BM$1006,0))&gt;=100000), " ",IF(INDEX($AM$2:$BM$1001,MATCH(ROWS($AF$2:AF276),$AF$2:$AF$1001,0),MATCH(COLUMNS($AM$1006:AN1006),$AM$1006:$BM$1006,0)), HYPERLINK("#",""), HYPERLINK(CONCATENATE("#metadata!", ADDRESS(INDEX($AH$2:$AH$1001,MATCH(ROWS($AF$2:AF276),$AF$2:$AF$1001,0),0), INDEX($AM$1004:$BM$1004,1,MATCH(COLUMNS($AM$1006:AN1006),$AM$1006:$BM$1006,0)))),"Fix")))</f>
        <v xml:space="preserve"> </v>
      </c>
      <c r="D276" s="4" t="str">
        <f ca="1">IF(OR(INDEX($AG$2:$AG$1001,MATCH(ROWS($AF$2:AF276),$AF$2:$AF$1001,0),1)&gt;=100000,INDEX($AM$1005:$BM$1005,1,MATCH(COLUMNS($AM$1006:AO1006),$AM$1006:$BM$1006,0))&gt;=100000), " ",IF(INDEX($AM$2:$BM$1001,MATCH(ROWS($AF$2:AF276),$AF$2:$AF$1001,0),MATCH(COLUMNS($AM$1006:AO1006),$AM$1006:$BM$1006,0)), HYPERLINK("#",""), HYPERLINK(CONCATENATE("#metadata!", ADDRESS(INDEX($AH$2:$AH$1001,MATCH(ROWS($AF$2:AF276),$AF$2:$AF$1001,0),0), INDEX($AM$1004:$BM$1004,1,MATCH(COLUMNS($AM$1006:AO1006),$AM$1006:$BM$1006,0)))),"Fix")))</f>
        <v xml:space="preserve"> </v>
      </c>
      <c r="E276" s="4" t="str">
        <f ca="1">IF(OR(INDEX($AG$2:$AG$1001,MATCH(ROWS($AF$2:AF276),$AF$2:$AF$1001,0),1)&gt;=100000,INDEX($AM$1005:$BM$1005,1,MATCH(COLUMNS($AM$1006:AP1006),$AM$1006:$BM$1006,0))&gt;=100000), " ",IF(INDEX($AM$2:$BM$1001,MATCH(ROWS($AF$2:AF276),$AF$2:$AF$1001,0),MATCH(COLUMNS($AM$1006:AP1006),$AM$1006:$BM$1006,0)), HYPERLINK("#",""), HYPERLINK(CONCATENATE("#metadata!", ADDRESS(INDEX($AH$2:$AH$1001,MATCH(ROWS($AF$2:AF276),$AF$2:$AF$1001,0),0), INDEX($AM$1004:$BM$1004,1,MATCH(COLUMNS($AM$1006:AP1006),$AM$1006:$BM$1006,0)))),"Fix")))</f>
        <v xml:space="preserve"> </v>
      </c>
      <c r="F276" s="4" t="str">
        <f ca="1">IF(OR(INDEX($AG$2:$AG$1001,MATCH(ROWS($AF$2:AF276),$AF$2:$AF$1001,0),1)&gt;=100000,INDEX($AM$1005:$BM$1005,1,MATCH(COLUMNS($AM$1006:AQ1006),$AM$1006:$BM$1006,0))&gt;=100000), " ",IF(INDEX($AM$2:$BM$1001,MATCH(ROWS($AF$2:AF276),$AF$2:$AF$1001,0),MATCH(COLUMNS($AM$1006:AQ1006),$AM$1006:$BM$1006,0)), HYPERLINK("#",""), HYPERLINK(CONCATENATE("#metadata!", ADDRESS(INDEX($AH$2:$AH$1001,MATCH(ROWS($AF$2:AF276),$AF$2:$AF$1001,0),0), INDEX($AM$1004:$BM$1004,1,MATCH(COLUMNS($AM$1006:AQ1006),$AM$1006:$BM$1006,0)))),"Fix")))</f>
        <v xml:space="preserve"> </v>
      </c>
      <c r="G276" s="4" t="str">
        <f ca="1">IF(OR(INDEX($AG$2:$AG$1001,MATCH(ROWS($AF$2:AF276),$AF$2:$AF$1001,0),1)&gt;=100000,INDEX($AM$1005:$BM$1005,1,MATCH(COLUMNS($AM$1006:AR1006),$AM$1006:$BM$1006,0))&gt;=100000), " ",IF(INDEX($AM$2:$BM$1001,MATCH(ROWS($AF$2:AF276),$AF$2:$AF$1001,0),MATCH(COLUMNS($AM$1006:AR1006),$AM$1006:$BM$1006,0)), HYPERLINK("#",""), HYPERLINK(CONCATENATE("#metadata!", ADDRESS(INDEX($AH$2:$AH$1001,MATCH(ROWS($AF$2:AF276),$AF$2:$AF$1001,0),0), INDEX($AM$1004:$BM$1004,1,MATCH(COLUMNS($AM$1006:AR1006),$AM$1006:$BM$1006,0)))),"Fix")))</f>
        <v xml:space="preserve"> </v>
      </c>
      <c r="H276" s="4" t="str">
        <f ca="1">IF(OR(INDEX($AG$2:$AG$1001,MATCH(ROWS($AF$2:AF276),$AF$2:$AF$1001,0),1)&gt;=100000,INDEX($AM$1005:$BM$1005,1,MATCH(COLUMNS($AM$1006:AS1006),$AM$1006:$BM$1006,0))&gt;=100000), " ",IF(INDEX($AM$2:$BM$1001,MATCH(ROWS($AF$2:AF276),$AF$2:$AF$1001,0),MATCH(COLUMNS($AM$1006:AS1006),$AM$1006:$BM$1006,0)), HYPERLINK("#",""), HYPERLINK(CONCATENATE("#metadata!", ADDRESS(INDEX($AH$2:$AH$1001,MATCH(ROWS($AF$2:AF276),$AF$2:$AF$1001,0),0), INDEX($AM$1004:$BM$1004,1,MATCH(COLUMNS($AM$1006:AS1006),$AM$1006:$BM$1006,0)))),"Fix")))</f>
        <v xml:space="preserve"> </v>
      </c>
      <c r="I276" s="4" t="str">
        <f ca="1">IF(OR(INDEX($AG$2:$AG$1001,MATCH(ROWS($AF$2:AF276),$AF$2:$AF$1001,0),1)&gt;=100000,INDEX($AM$1005:$BM$1005,1,MATCH(COLUMNS($AM$1006:AT1006),$AM$1006:$BM$1006,0))&gt;=100000), " ",IF(INDEX($AM$2:$BM$1001,MATCH(ROWS($AF$2:AF276),$AF$2:$AF$1001,0),MATCH(COLUMNS($AM$1006:AT1006),$AM$1006:$BM$1006,0)), HYPERLINK("#",""), HYPERLINK(CONCATENATE("#metadata!", ADDRESS(INDEX($AH$2:$AH$1001,MATCH(ROWS($AF$2:AF276),$AF$2:$AF$1001,0),0), INDEX($AM$1004:$BM$1004,1,MATCH(COLUMNS($AM$1006:AT1006),$AM$1006:$BM$1006,0)))),"Fix")))</f>
        <v xml:space="preserve"> </v>
      </c>
      <c r="J276" s="4" t="str">
        <f ca="1">IF(OR(INDEX($AG$2:$AG$1001,MATCH(ROWS($AF$2:AF276),$AF$2:$AF$1001,0),1)&gt;=100000,INDEX($AM$1005:$BM$1005,1,MATCH(COLUMNS($AM$1006:AU1006),$AM$1006:$BM$1006,0))&gt;=100000), " ",IF(INDEX($AM$2:$BM$1001,MATCH(ROWS($AF$2:AF276),$AF$2:$AF$1001,0),MATCH(COLUMNS($AM$1006:AU1006),$AM$1006:$BM$1006,0)), HYPERLINK("#",""), HYPERLINK(CONCATENATE("#metadata!", ADDRESS(INDEX($AH$2:$AH$1001,MATCH(ROWS($AF$2:AF276),$AF$2:$AF$1001,0),0), INDEX($AM$1004:$BM$1004,1,MATCH(COLUMNS($AM$1006:AU1006),$AM$1006:$BM$1006,0)))),"Fix")))</f>
        <v xml:space="preserve"> </v>
      </c>
      <c r="K276" s="4" t="str">
        <f ca="1">IF(OR(INDEX($AG$2:$AG$1001,MATCH(ROWS($AF$2:AF276),$AF$2:$AF$1001,0),1)&gt;=100000,INDEX($AM$1005:$BM$1005,1,MATCH(COLUMNS($AM$1006:AV1006),$AM$1006:$BM$1006,0))&gt;=100000), " ",IF(INDEX($AM$2:$BM$1001,MATCH(ROWS($AF$2:AF276),$AF$2:$AF$1001,0),MATCH(COLUMNS($AM$1006:AV1006),$AM$1006:$BM$1006,0)), HYPERLINK("#",""), HYPERLINK(CONCATENATE("#metadata!", ADDRESS(INDEX($AH$2:$AH$1001,MATCH(ROWS($AF$2:AF276),$AF$2:$AF$1001,0),0), INDEX($AM$1004:$BM$1004,1,MATCH(COLUMNS($AM$1006:AV1006),$AM$1006:$BM$1006,0)))),"Fix")))</f>
        <v xml:space="preserve"> </v>
      </c>
      <c r="L276" s="4" t="str">
        <f ca="1">IF(OR(INDEX($AG$2:$AG$1001,MATCH(ROWS($AF$2:AF276),$AF$2:$AF$1001,0),1)&gt;=100000,INDEX($AM$1005:$BM$1005,1,MATCH(COLUMNS($AM$1006:AW1006),$AM$1006:$BM$1006,0))&gt;=100000), " ",IF(INDEX($AM$2:$BM$1001,MATCH(ROWS($AF$2:AF276),$AF$2:$AF$1001,0),MATCH(COLUMNS($AM$1006:AW1006),$AM$1006:$BM$1006,0)), HYPERLINK("#",""), HYPERLINK(CONCATENATE("#metadata!", ADDRESS(INDEX($AH$2:$AH$1001,MATCH(ROWS($AF$2:AF276),$AF$2:$AF$1001,0),0), INDEX($AM$1004:$BM$1004,1,MATCH(COLUMNS($AM$1006:AW1006),$AM$1006:$BM$1006,0)))),"Fix")))</f>
        <v xml:space="preserve"> </v>
      </c>
      <c r="M276" s="4" t="str">
        <f ca="1">IF(OR(INDEX($AG$2:$AG$1001,MATCH(ROWS($AF$2:AF276),$AF$2:$AF$1001,0),1)&gt;=100000,INDEX($AM$1005:$BM$1005,1,MATCH(COLUMNS($AM$1006:AX1006),$AM$1006:$BM$1006,0))&gt;=100000), " ",IF(INDEX($AM$2:$BM$1001,MATCH(ROWS($AF$2:AF276),$AF$2:$AF$1001,0),MATCH(COLUMNS($AM$1006:AX1006),$AM$1006:$BM$1006,0)), HYPERLINK("#",""), HYPERLINK(CONCATENATE("#metadata!", ADDRESS(INDEX($AH$2:$AH$1001,MATCH(ROWS($AF$2:AF276),$AF$2:$AF$1001,0),0), INDEX($AM$1004:$BM$1004,1,MATCH(COLUMNS($AM$1006:AX1006),$AM$1006:$BM$1006,0)))),"Fix")))</f>
        <v xml:space="preserve"> </v>
      </c>
      <c r="N276" s="4" t="str">
        <f ca="1">IF(OR(INDEX($AG$2:$AG$1001,MATCH(ROWS($AF$2:AF276),$AF$2:$AF$1001,0),1)&gt;=100000,INDEX($AM$1005:$BM$1005,1,MATCH(COLUMNS($AM$1006:AY1006),$AM$1006:$BM$1006,0))&gt;=100000), " ",IF(INDEX($AM$2:$BM$1001,MATCH(ROWS($AF$2:AF276),$AF$2:$AF$1001,0),MATCH(COLUMNS($AM$1006:AY1006),$AM$1006:$BM$1006,0)), HYPERLINK("#",""), HYPERLINK(CONCATENATE("#metadata!", ADDRESS(INDEX($AH$2:$AH$1001,MATCH(ROWS($AF$2:AF276),$AF$2:$AF$1001,0),0), INDEX($AM$1004:$BM$1004,1,MATCH(COLUMNS($AM$1006:AY1006),$AM$1006:$BM$1006,0)))),"Fix")))</f>
        <v xml:space="preserve"> </v>
      </c>
      <c r="O276" s="4" t="str">
        <f ca="1">IF(OR(INDEX($AG$2:$AG$1001,MATCH(ROWS($AF$2:AF276),$AF$2:$AF$1001,0),1)&gt;=100000,INDEX($AM$1005:$BM$1005,1,MATCH(COLUMNS($AM$1006:AZ1006),$AM$1006:$BM$1006,0))&gt;=100000), " ",IF(INDEX($AM$2:$BM$1001,MATCH(ROWS($AF$2:AF276),$AF$2:$AF$1001,0),MATCH(COLUMNS($AM$1006:AZ1006),$AM$1006:$BM$1006,0)), HYPERLINK("#",""), HYPERLINK(CONCATENATE("#metadata!", ADDRESS(INDEX($AH$2:$AH$1001,MATCH(ROWS($AF$2:AF276),$AF$2:$AF$1001,0),0), INDEX($AM$1004:$BM$1004,1,MATCH(COLUMNS($AM$1006:AZ1006),$AM$1006:$BM$1006,0)))),"Fix")))</f>
        <v xml:space="preserve"> </v>
      </c>
      <c r="P276" s="4" t="str">
        <f ca="1">IF(OR(INDEX($AG$2:$AG$1001,MATCH(ROWS($AF$2:AF276),$AF$2:$AF$1001,0),1)&gt;=100000,INDEX($AM$1005:$BM$1005,1,MATCH(COLUMNS($AM$1006:BA1006),$AM$1006:$BM$1006,0))&gt;=100000), " ",IF(INDEX($AM$2:$BM$1001,MATCH(ROWS($AF$2:AF276),$AF$2:$AF$1001,0),MATCH(COLUMNS($AM$1006:BA1006),$AM$1006:$BM$1006,0)), HYPERLINK("#",""), HYPERLINK(CONCATENATE("#metadata!", ADDRESS(INDEX($AH$2:$AH$1001,MATCH(ROWS($AF$2:AF276),$AF$2:$AF$1001,0),0), INDEX($AM$1004:$BM$1004,1,MATCH(COLUMNS($AM$1006:BA1006),$AM$1006:$BM$1006,0)))),"Fix")))</f>
        <v xml:space="preserve"> </v>
      </c>
      <c r="Q276" s="4" t="str">
        <f ca="1">IF(OR(INDEX($AG$2:$AG$1001,MATCH(ROWS($AF$2:AF276),$AF$2:$AF$1001,0),1)&gt;=100000,INDEX($AM$1005:$BM$1005,1,MATCH(COLUMNS($AM$1006:BB1006),$AM$1006:$BM$1006,0))&gt;=100000), " ",IF(INDEX($AM$2:$BM$1001,MATCH(ROWS($AF$2:AF276),$AF$2:$AF$1001,0),MATCH(COLUMNS($AM$1006:BB1006),$AM$1006:$BM$1006,0)), HYPERLINK("#",""), HYPERLINK(CONCATENATE("#metadata!", ADDRESS(INDEX($AH$2:$AH$1001,MATCH(ROWS($AF$2:AF276),$AF$2:$AF$1001,0),0), INDEX($AM$1004:$BM$1004,1,MATCH(COLUMNS($AM$1006:BB1006),$AM$1006:$BM$1006,0)))),"Fix")))</f>
        <v xml:space="preserve"> </v>
      </c>
      <c r="R276" s="4" t="str">
        <f ca="1">IF(OR(INDEX($AG$2:$AG$1001,MATCH(ROWS($AF$2:AF276),$AF$2:$AF$1001,0),1)&gt;=100000,INDEX($AM$1005:$BM$1005,1,MATCH(COLUMNS($AM$1006:BC1006),$AM$1006:$BM$1006,0))&gt;=100000), " ",IF(INDEX($AM$2:$BM$1001,MATCH(ROWS($AF$2:AF276),$AF$2:$AF$1001,0),MATCH(COLUMNS($AM$1006:BC1006),$AM$1006:$BM$1006,0)), HYPERLINK("#",""), HYPERLINK(CONCATENATE("#metadata!", ADDRESS(INDEX($AH$2:$AH$1001,MATCH(ROWS($AF$2:AF276),$AF$2:$AF$1001,0),0), INDEX($AM$1004:$BM$1004,1,MATCH(COLUMNS($AM$1006:BC1006),$AM$1006:$BM$1006,0)))),"Fix")))</f>
        <v xml:space="preserve"> </v>
      </c>
      <c r="S276" s="4" t="str">
        <f ca="1">IF(OR(INDEX($AG$2:$AG$1001,MATCH(ROWS($AF$2:AF276),$AF$2:$AF$1001,0),1)&gt;=100000,INDEX($AM$1005:$BM$1005,1,MATCH(COLUMNS($AM$1006:BD1006),$AM$1006:$BM$1006,0))&gt;=100000), " ",IF(INDEX($AM$2:$BM$1001,MATCH(ROWS($AF$2:AF276),$AF$2:$AF$1001,0),MATCH(COLUMNS($AM$1006:BD1006),$AM$1006:$BM$1006,0)), HYPERLINK("#",""), HYPERLINK(CONCATENATE("#metadata!", ADDRESS(INDEX($AH$2:$AH$1001,MATCH(ROWS($AF$2:AF276),$AF$2:$AF$1001,0),0), INDEX($AM$1004:$BM$1004,1,MATCH(COLUMNS($AM$1006:BD1006),$AM$1006:$BM$1006,0)))),"Fix")))</f>
        <v xml:space="preserve"> </v>
      </c>
      <c r="T276" s="4" t="str">
        <f ca="1">IF(OR(INDEX($AG$2:$AG$1001,MATCH(ROWS($AF$2:AF276),$AF$2:$AF$1001,0),1)&gt;=100000,INDEX($AM$1005:$BM$1005,1,MATCH(COLUMNS($AM$1006:BE1006),$AM$1006:$BM$1006,0))&gt;=100000), " ",IF(INDEX($AM$2:$BM$1001,MATCH(ROWS($AF$2:AF276),$AF$2:$AF$1001,0),MATCH(COLUMNS($AM$1006:BE1006),$AM$1006:$BM$1006,0)), HYPERLINK("#",""), HYPERLINK(CONCATENATE("#metadata!", ADDRESS(INDEX($AH$2:$AH$1001,MATCH(ROWS($AF$2:AF276),$AF$2:$AF$1001,0),0), INDEX($AM$1004:$BM$1004,1,MATCH(COLUMNS($AM$1006:BE1006),$AM$1006:$BM$1006,0)))),"Fix")))</f>
        <v xml:space="preserve"> </v>
      </c>
      <c r="U276" s="4" t="str">
        <f ca="1">IF(OR(INDEX($AG$2:$AG$1001,MATCH(ROWS($AF$2:AF276),$AF$2:$AF$1001,0),1)&gt;=100000,INDEX($AM$1005:$BM$1005,1,MATCH(COLUMNS($AM$1006:BF1006),$AM$1006:$BM$1006,0))&gt;=100000), " ",IF(INDEX($AM$2:$BM$1001,MATCH(ROWS($AF$2:AF276),$AF$2:$AF$1001,0),MATCH(COLUMNS($AM$1006:BF1006),$AM$1006:$BM$1006,0)), HYPERLINK("#",""), HYPERLINK(CONCATENATE("#metadata!", ADDRESS(INDEX($AH$2:$AH$1001,MATCH(ROWS($AF$2:AF276),$AF$2:$AF$1001,0),0), INDEX($AM$1004:$BM$1004,1,MATCH(COLUMNS($AM$1006:BF1006),$AM$1006:$BM$1006,0)))),"Fix")))</f>
        <v xml:space="preserve"> </v>
      </c>
      <c r="V276" s="4" t="str">
        <f ca="1">IF(OR(INDEX($AG$2:$AG$1001,MATCH(ROWS($AF$2:AF276),$AF$2:$AF$1001,0),1)&gt;=100000,INDEX($AM$1005:$BM$1005,1,MATCH(COLUMNS($AM$1006:BG1006),$AM$1006:$BM$1006,0))&gt;=100000), " ",IF(INDEX($AM$2:$BM$1001,MATCH(ROWS($AF$2:AF276),$AF$2:$AF$1001,0),MATCH(COLUMNS($AM$1006:BG1006),$AM$1006:$BM$1006,0)), HYPERLINK("#",""), HYPERLINK(CONCATENATE("#metadata!", ADDRESS(INDEX($AH$2:$AH$1001,MATCH(ROWS($AF$2:AF276),$AF$2:$AF$1001,0),0), INDEX($AM$1004:$BM$1004,1,MATCH(COLUMNS($AM$1006:BG1006),$AM$1006:$BM$1006,0)))),"Fix")))</f>
        <v xml:space="preserve"> </v>
      </c>
      <c r="W276" s="4" t="str">
        <f ca="1">IF(OR(INDEX($AG$2:$AG$1001,MATCH(ROWS($AF$2:AF276),$AF$2:$AF$1001,0),1)&gt;=100000,INDEX($AM$1005:$BM$1005,1,MATCH(COLUMNS($AM$1006:BH1006),$AM$1006:$BM$1006,0))&gt;=100000), " ",IF(INDEX($AM$2:$BM$1001,MATCH(ROWS($AF$2:AF276),$AF$2:$AF$1001,0),MATCH(COLUMNS($AM$1006:BH1006),$AM$1006:$BM$1006,0)), HYPERLINK("#",""), HYPERLINK(CONCATENATE("#metadata!", ADDRESS(INDEX($AH$2:$AH$1001,MATCH(ROWS($AF$2:AF276),$AF$2:$AF$1001,0),0), INDEX($AM$1004:$BM$1004,1,MATCH(COLUMNS($AM$1006:BH1006),$AM$1006:$BM$1006,0)))),"Fix")))</f>
        <v xml:space="preserve"> </v>
      </c>
      <c r="X276" s="4" t="str">
        <f ca="1">IF(OR(INDEX($AG$2:$AG$1001,MATCH(ROWS($AF$2:AF276),$AF$2:$AF$1001,0),1)&gt;=100000,INDEX($AM$1005:$BM$1005,1,MATCH(COLUMNS($AM$1006:BI1006),$AM$1006:$BM$1006,0))&gt;=100000), " ",IF(INDEX($AM$2:$BM$1001,MATCH(ROWS($AF$2:AF276),$AF$2:$AF$1001,0),MATCH(COLUMNS($AM$1006:BI1006),$AM$1006:$BM$1006,0)), HYPERLINK("#",""), HYPERLINK(CONCATENATE("#metadata!", ADDRESS(INDEX($AH$2:$AH$1001,MATCH(ROWS($AF$2:AF276),$AF$2:$AF$1001,0),0), INDEX($AM$1004:$BM$1004,1,MATCH(COLUMNS($AM$1006:BI1006),$AM$1006:$BM$1006,0)))),"Fix")))</f>
        <v xml:space="preserve"> </v>
      </c>
      <c r="Y276" s="4" t="str">
        <f ca="1">IF(OR(INDEX($AG$2:$AG$1001,MATCH(ROWS($AF$2:AF276),$AF$2:$AF$1001,0),1)&gt;=100000,INDEX($AM$1005:$BM$1005,1,MATCH(COLUMNS($AM$1006:BJ1006),$AM$1006:$BM$1006,0))&gt;=100000), " ",IF(INDEX($AM$2:$BM$1001,MATCH(ROWS($AF$2:AF276),$AF$2:$AF$1001,0),MATCH(COLUMNS($AM$1006:BJ1006),$AM$1006:$BM$1006,0)), HYPERLINK("#",""), HYPERLINK(CONCATENATE("#metadata!", ADDRESS(INDEX($AH$2:$AH$1001,MATCH(ROWS($AF$2:AF276),$AF$2:$AF$1001,0),0), INDEX($AM$1004:$BM$1004,1,MATCH(COLUMNS($AM$1006:BJ1006),$AM$1006:$BM$1006,0)))),"Fix")))</f>
        <v xml:space="preserve"> </v>
      </c>
      <c r="Z276" s="4" t="str">
        <f ca="1">IF(OR(INDEX($AG$2:$AG$1001,MATCH(ROWS($AF$2:AF276),$AF$2:$AF$1001,0),1)&gt;=100000,INDEX($AM$1005:$BM$1005,1,MATCH(COLUMNS($AM$1006:BK1006),$AM$1006:$BM$1006,0))&gt;=100000), " ",IF(INDEX($AM$2:$BM$1001,MATCH(ROWS($AF$2:AF276),$AF$2:$AF$1001,0),MATCH(COLUMNS($AM$1006:BK1006),$AM$1006:$BM$1006,0)), HYPERLINK("#",""), HYPERLINK(CONCATENATE("#metadata!", ADDRESS(INDEX($AH$2:$AH$1001,MATCH(ROWS($AF$2:AF276),$AF$2:$AF$1001,0),0), INDEX($AM$1004:$BM$1004,1,MATCH(COLUMNS($AM$1006:BK1006),$AM$1006:$BM$1006,0)))),"Fix")))</f>
        <v xml:space="preserve"> </v>
      </c>
      <c r="AA276" s="4" t="str">
        <f ca="1">IF(OR(INDEX($AG$2:$AG$1001,MATCH(ROWS($AF$2:AF276),$AF$2:$AF$1001,0),1)&gt;=100000,INDEX($AM$1005:$BM$1005,1,MATCH(COLUMNS($AM$1006:BL1006),$AM$1006:$BM$1006,0))&gt;=100000), " ",IF(INDEX($AM$2:$BM$1001,MATCH(ROWS($AF$2:AF276),$AF$2:$AF$1001,0),MATCH(COLUMNS($AM$1006:BL1006),$AM$1006:$BM$1006,0)), HYPERLINK("#",""), HYPERLINK(CONCATENATE("#metadata!", ADDRESS(INDEX($AH$2:$AH$1001,MATCH(ROWS($AF$2:AF276),$AF$2:$AF$1001,0),0), INDEX($AM$1004:$BM$1004,1,MATCH(COLUMNS($AM$1006:BL1006),$AM$1006:$BM$1006,0)))),"Fix")))</f>
        <v xml:space="preserve"> </v>
      </c>
      <c r="AB276" s="4" t="str">
        <f ca="1">IF(OR(INDEX($AG$2:$AG$1001,MATCH(ROWS($AF$2:AF276),$AF$2:$AF$1001,0),1)&gt;=100000,INDEX($AM$1005:$BM$1005,1,MATCH(COLUMNS($AM$1006:BM1006),$AM$1006:$BM$1006,0))&gt;=100000), " ",IF(INDEX($AM$2:$BM$1001,MATCH(ROWS($AF$2:AF276),$AF$2:$AF$1001,0),MATCH(COLUMNS($AM$1006:BM1006),$AM$1006:$BM$1006,0)), HYPERLINK("#",""), HYPERLINK(CONCATENATE("#metadata!", ADDRESS(INDEX($AH$2:$AH$1001,MATCH(ROWS($AF$2:AF276),$AF$2:$AF$1001,0),0), INDEX($AM$1004:$BM$1004,1,MATCH(COLUMNS($AM$1006:BM1006),$AM$1006:$BM$1006,0)))),"Fix")))</f>
        <v xml:space="preserve"> </v>
      </c>
      <c r="AF276">
        <v>275</v>
      </c>
      <c r="AG276">
        <v>100276</v>
      </c>
      <c r="AH276">
        <v>276</v>
      </c>
      <c r="AI276" t="b">
        <f t="shared" si="4"/>
        <v>1</v>
      </c>
      <c r="AJ276" t="b">
        <f>COUNTBLANK(metadata!B276:AB276)=COLUMNS(metadata!B276:AB276)</f>
        <v>1</v>
      </c>
      <c r="AK276" t="str">
        <v/>
      </c>
      <c r="AM276" t="b">
        <f ca="1">AND(IF(metadata!B276="",FALSE,TRUE),COUNTIF(metadata!B:B, metadata!B276) = 1,NOT(ISERROR(SUMPRODUCT(SEARCH(MID(metadata!B276,ROW(INDIRECT("1:"&amp;LEN(metadata!B276))), 1),"0123456789abcdefghijklmnopqrstuvwxyzABCDEFGHIJKLMNOPQRSTUVWXYZ.")))))</f>
        <v>0</v>
      </c>
      <c r="AN276" t="b">
        <f ca="1">OR(AND(IF(metadata!C276="",FALSE,TRUE),OR(EXACT(metadata!C276,"missing: not collected"),EXACT(metadata!C276,"missing: not provided"),EXACT(metadata!C276,"missing: restricted access"))),AND(IF(metadata!C276="",FALSE,TRUE),AND(AND(IFERROR(INT(LEFT(metadata!C276,4))&gt;1900,FALSE),IFERROR(INT(LEFT(metadata!C276,4))&lt;=YEAR(NOW()),FALSE)), OR(MID(metadata!C276,5,1)="", AND(AND(MID(metadata!C276,5,1)="-",IFERROR(INT(MID(metadata!C276,6,1))&gt;=0,FALSE),IFERROR(INT(MID(metadata!C276,6,1))&lt;=1,FALSE),NOT(MID(metadata!C276,7,1)=""),IFERROR(INT(MID(metadata!C276,6,2))&gt;=1,FALSE),IFERROR(INT(MID(metadata!C276,6,2))&lt;=12,FALSE)), OR(MID(metadata!C276,8,1)="", AND(AND(MID(metadata!C276,8,1)="-",IFERROR(INT(MID(metadata!C276,9,1))&gt;=0,FALSE),IFERROR(INT(MID(metadata!C276,9,1))&lt;=3,FALSE),NOT(MID(metadata!C276,10,1)=""),IFERROR(INT(MID(metadata!C276,9,2))&gt;=1,FALSE),IFERROR(INT(MID(metadata!C276,9,2))&lt;=31,FALSE)), OR(MID(metadata!C276,11,1)="", AND(AND(MID(metadata!C276,11,1)=" ",IFERROR(INT(MID(metadata!C276,12,1))&gt;=0,FALSE),IFERROR(INT(MID(metadata!C276,12,1))&lt;=2,FALSE),NOT(MID(metadata!C276,13,1)=""),IFERROR(INT(MID(metadata!C276,12,2))&gt;=0,FALSE),IFERROR(INT(MID(metadata!C276,12,2))&lt;=23,FALSE)), OR(MID(metadata!C276,14,1)="", AND(AND(MID(metadata!C276,14,1)=":",IFERROR(INT(MID(metadata!C276,15,1))&gt;=0,FALSE),IFERROR(INT(MID(metadata!C276,15,1))&lt;=5,FALSE),NOT(MID(metadata!C276,16,1)=""),IFERROR(INT(MID(metadata!C276,15,2))&gt;=0,FALSE),IFERROR(INT(MID(metadata!C276,15,2))&lt;=59,FALSE)), OR(MID(metadata!C276,17,1)="", AND(AND(MID(metadata!C276,17,1)=":",IFERROR(INT(MID(metadata!C276,18,1))&gt;=0,FALSE),IFERROR(INT(MID(metadata!C276,18,1))&lt;=5,FALSE),NOT(MID(metadata!C276,19,1)=""),IFERROR(INT(MID(metadata!C276,18,2))&gt;=0,FALSE),IFERROR(INT(MID(metadata!C276,18,2))&lt;=59,FALSE)), LEN(metadata!C276)&lt;=19)))))))))))))</f>
        <v>0</v>
      </c>
      <c r="AO276" t="b">
        <f>AND(IF(metadata!D276="",FALSE,TRUE),EXACT(metadata!D276,"Not applicable"))</f>
        <v>0</v>
      </c>
      <c r="AP276" t="b">
        <f>IF(metadata!E276="",FALSE,TRUE)</f>
        <v>0</v>
      </c>
      <c r="AQ276" t="b">
        <f>OR(AND(IF(metadata!F276="",FALSE,TRUE),OR(EXACT(metadata!F276,"missing: not collected"),EXACT(metadata!F276,"missing: not provided"))),AND(IF(metadata!F276="",FALSE,TRUE),OR(EXACT(metadata!F276,"TRUE"),EXACT(metadata!F276,"FALSE"))))</f>
        <v>0</v>
      </c>
      <c r="AR276" t="b">
        <f>OR(AND(IF(metadata!G276="",FALSE,TRUE),OR(EXACT(metadata!G276,"missing: not collected"),EXACT(metadata!G276,"missing: not provided"),EXACT(metadata!G276,"missing: restricted access"))),AND(IF(metadata!G276="",FALSE,ISNUMBER(VALUE(metadata!G276))),metadata!G276&gt;=-413))</f>
        <v>0</v>
      </c>
      <c r="AS276" t="b">
        <f>AND(IF(metadata!H276="",FALSE,TRUE),EXACT(metadata!H276,"meters"))</f>
        <v>0</v>
      </c>
      <c r="AT276" t="b">
        <f>AND(IF(metadata!I276="",FALSE,TRUE),OR(EXACT(metadata!I276,"Host-associated"),EXACT(metadata!I276,"Free-living")))</f>
        <v>0</v>
      </c>
      <c r="AU276" t="b">
        <f>AND(IF(metadata!J276="",FALSE,TRUE),OR(EXACT(metadata!J276,"Animal"),EXACT(metadata!J276,"Fungus"),EXACT(metadata!J276,"Plant"),EXACT(metadata!J276,"Saline"),EXACT(metadata!J276,"Non-saline")))</f>
        <v>0</v>
      </c>
      <c r="AV276" t="b">
        <f>AND(IF(metadata!K276="",FALSE,TRUE),OR(EXACT(metadata!K276,"Plant secretion"),EXACT(metadata!K276,"Plant rhizosphere"),EXACT(metadata!K276,"Plant surface"),EXACT(metadata!K276,"Plant corpus"),EXACT(metadata!K276,"Fungus surface"),EXACT(metadata!K276,"Fungus corpus"),EXACT(metadata!K276,"Animal surface"),EXACT(metadata!K276,"Animal proximal gut"),EXACT(metadata!K276,"Animal corpus"),EXACT(metadata!K276,"Animal distal gut"),EXACT(metadata!K276,"Animal secretion"),EXACT(metadata!K276,"Sub-surface (non-saline)"),EXACT(metadata!K276,"Surface (non-saline)"),EXACT(metadata!K276,"Water (non-saline)"),EXACT(metadata!K276,"Soil (non-saline)"),EXACT(metadata!K276,"Aerosol (non-saline)"),EXACT(metadata!K276,"Sediment (non-saline)"),EXACT(metadata!K276,"Surface (saline)"),EXACT(metadata!K276,"Water (saline)"),EXACT(metadata!K276,"Hypersaline (saline)"),EXACT(metadata!K276,"Aerosol (saline)"),EXACT(metadata!K276,"Sediment (saline)")))</f>
        <v>0</v>
      </c>
      <c r="AW276" t="b">
        <f>IF(metadata!L276="",FALSE,TRUE)</f>
        <v>0</v>
      </c>
      <c r="AX276" t="b">
        <f>IF(metadata!M276="",FALSE,TRUE)</f>
        <v>0</v>
      </c>
      <c r="AY276" t="b">
        <f>IF(metadata!N276="",FALSE,TRUE)</f>
        <v>0</v>
      </c>
      <c r="AZ276" t="b">
        <f>OR(AND(IF(metadata!O276="",FALSE,TRUE),OR(EXACT(metadata!O276,"missing: not collected"),EXACT(metadata!O276,"missing: not provided"),EXACT(metadata!O276,"missing: restricted access"))),AND(IF(metadata!O276="",FALSE,TRUE),OR(EXACT(metadata!O276,"air"),EXACT(metadata!O276,"built environment"),EXACT(metadata!O276,"host-associated"),EXACT(metadata!O276,"human-associated"),EXACT(metadata!O276,"human-skin"),EXACT(metadata!O276,"human-oral"),EXACT(metadata!O276,"human-gut"),EXACT(metadata!O276,"human-vaginal"),EXACT(metadata!O276,"microbial mat/biofilm"),EXACT(metadata!O276,"misc environment"),EXACT(metadata!O276,"plant-associated"),EXACT(metadata!O276,"sediment"),EXACT(metadata!O276,"soil"),EXACT(metadata!O276,"wastewater/sludge"),EXACT(metadata!O276,"water"))))</f>
        <v>0</v>
      </c>
      <c r="BA276" t="b">
        <f>IF(metadata!P276="",FALSE,TRUE)</f>
        <v>0</v>
      </c>
      <c r="BB276" t="b">
        <f>IF(metadata!Q276="",FALSE,TRUE)</f>
        <v>0</v>
      </c>
      <c r="BC276" t="b">
        <f>OR(AND(IF(metadata!R276="",FALSE,TRUE),OR(EXACT(metadata!R276,"missing: not collected"),EXACT(metadata!R276,"missing: not provided"),EXACT(metadata!R276,"missing: restricted access"))),AND(IF(metadata!R276="",FALSE,ISNUMBER(VALUE(metadata!R276))),metadata!R276&gt;=-90,metadata!R276&lt;=90))</f>
        <v>0</v>
      </c>
      <c r="BD276" t="b">
        <f>AND(IF(metadata!S276="",FALSE,TRUE),EXACT(metadata!S276,"Decimal degrees"))</f>
        <v>0</v>
      </c>
      <c r="BE276" t="b">
        <f>OR(AND(IF(metadata!T276="",FALSE,TRUE),OR(EXACT(metadata!T276,"missing: not collected"),EXACT(metadata!T276,"missing: not provided"),EXACT(metadata!T276,"missing: restricted access"))),AND(IF(metadata!T276="",FALSE,ISNUMBER(VALUE(metadata!T276))),metadata!T276&gt;=-180,metadata!T276&lt;=180))</f>
        <v>0</v>
      </c>
      <c r="BF276" t="b">
        <f>AND(IF(metadata!U276="",FALSE,TRUE),EXACT(metadata!U276,"Decimal degrees"))</f>
        <v>0</v>
      </c>
      <c r="BG276" t="b">
        <f>IF(metadata!V276="",FALSE,TRUE)</f>
        <v>0</v>
      </c>
      <c r="BH276" t="b">
        <f>OR(AND(IF(metadata!W276="",FALSE,TRUE),OR(EXACT(metadata!W276,"missing: not collected"),EXACT(metadata!W276,"missing: not provided"),EXACT(metadata!W276,"missing: restricted access"))),AND(IF(metadata!W276="",FALSE,TRUE),OR(EXACT(metadata!W276,"TRUE"),EXACT(metadata!W276,"FALSE"))))</f>
        <v>0</v>
      </c>
      <c r="BI276" t="b">
        <f>AND(IF(metadata!X276="",FALSE,TRUE),EXACT(metadata!X276,"other"))</f>
        <v>0</v>
      </c>
      <c r="BJ276" t="b">
        <f>IF(metadata!Y276="",FALSE,TRUE)</f>
        <v>0</v>
      </c>
      <c r="BK276" t="b">
        <f>OR(AND(IF(metadata!Z276="",FALSE,TRUE),OR(EXACT(metadata!Z276,"missing: not collected"),EXACT(metadata!Z276,"missing: not provided"))),AND(IF(metadata!Z276="",FALSE,IF(ISERROR(INT(metadata!Z276)),FALSE,INT(metadata!Z276)=metadata!Z276)),metadata!Z276&gt;0))</f>
        <v>0</v>
      </c>
      <c r="BL276" t="b">
        <f>AND(IF(metadata!AA276="",FALSE,TRUE),EXACT(metadata!AA276,"Not applicable"))</f>
        <v>0</v>
      </c>
      <c r="BM276" t="b">
        <f>IF(metadata!AB276="",FALSE,TRUE)</f>
        <v>0</v>
      </c>
    </row>
    <row r="277" spans="1:65" x14ac:dyDescent="0.2">
      <c r="A277" s="5" t="str">
        <f ca="1">IF(B277=" "," ",HYPERLINK(CONCATENATE("#metadata!",ADDRESS(INDEX($AH$2:$AH$1001,MATCH(ROWS($AF$2:AF277),$AF$2:$AF$1001,0),0),1)),INDEX($AK$2:$AK$1001,MATCH(ROWS($AF$2:AF277),$AF$2:$AF$1001,0),0)))</f>
        <v xml:space="preserve"> </v>
      </c>
      <c r="B277" s="4" t="str">
        <f ca="1">IF(OR(INDEX($AG$2:$AG$1001,MATCH(ROWS($AF$2:AF277),$AF$2:$AF$1001,0),1)&gt;=100000,INDEX($AM$1005:$BM$1005,1,MATCH(COLUMNS($AM$1006:AM1006),$AM$1006:$BM$1006,0))&gt;=100000), " ",IF(INDEX($AM$2:$BM$1001,MATCH(ROWS($AF$2:AF277),$AF$2:$AF$1001,0),MATCH(COLUMNS($AM$1006:AM1006),$AM$1006:$BM$1006,0)), HYPERLINK("#",""), HYPERLINK(CONCATENATE("#metadata!", ADDRESS(INDEX($AH$2:$AH$1001,MATCH(ROWS($AF$2:AF277),$AF$2:$AF$1001,0),0), INDEX($AM$1004:$BM$1004,1,MATCH(COLUMNS($AM$1006:AM1006),$AM$1006:$BM$1006,0)))),"Fix")))</f>
        <v xml:space="preserve"> </v>
      </c>
      <c r="C277" s="4" t="str">
        <f ca="1">IF(OR(INDEX($AG$2:$AG$1001,MATCH(ROWS($AF$2:AF277),$AF$2:$AF$1001,0),1)&gt;=100000,INDEX($AM$1005:$BM$1005,1,MATCH(COLUMNS($AM$1006:AN1006),$AM$1006:$BM$1006,0))&gt;=100000), " ",IF(INDEX($AM$2:$BM$1001,MATCH(ROWS($AF$2:AF277),$AF$2:$AF$1001,0),MATCH(COLUMNS($AM$1006:AN1006),$AM$1006:$BM$1006,0)), HYPERLINK("#",""), HYPERLINK(CONCATENATE("#metadata!", ADDRESS(INDEX($AH$2:$AH$1001,MATCH(ROWS($AF$2:AF277),$AF$2:$AF$1001,0),0), INDEX($AM$1004:$BM$1004,1,MATCH(COLUMNS($AM$1006:AN1006),$AM$1006:$BM$1006,0)))),"Fix")))</f>
        <v xml:space="preserve"> </v>
      </c>
      <c r="D277" s="4" t="str">
        <f ca="1">IF(OR(INDEX($AG$2:$AG$1001,MATCH(ROWS($AF$2:AF277),$AF$2:$AF$1001,0),1)&gt;=100000,INDEX($AM$1005:$BM$1005,1,MATCH(COLUMNS($AM$1006:AO1006),$AM$1006:$BM$1006,0))&gt;=100000), " ",IF(INDEX($AM$2:$BM$1001,MATCH(ROWS($AF$2:AF277),$AF$2:$AF$1001,0),MATCH(COLUMNS($AM$1006:AO1006),$AM$1006:$BM$1006,0)), HYPERLINK("#",""), HYPERLINK(CONCATENATE("#metadata!", ADDRESS(INDEX($AH$2:$AH$1001,MATCH(ROWS($AF$2:AF277),$AF$2:$AF$1001,0),0), INDEX($AM$1004:$BM$1004,1,MATCH(COLUMNS($AM$1006:AO1006),$AM$1006:$BM$1006,0)))),"Fix")))</f>
        <v xml:space="preserve"> </v>
      </c>
      <c r="E277" s="4" t="str">
        <f ca="1">IF(OR(INDEX($AG$2:$AG$1001,MATCH(ROWS($AF$2:AF277),$AF$2:$AF$1001,0),1)&gt;=100000,INDEX($AM$1005:$BM$1005,1,MATCH(COLUMNS($AM$1006:AP1006),$AM$1006:$BM$1006,0))&gt;=100000), " ",IF(INDEX($AM$2:$BM$1001,MATCH(ROWS($AF$2:AF277),$AF$2:$AF$1001,0),MATCH(COLUMNS($AM$1006:AP1006),$AM$1006:$BM$1006,0)), HYPERLINK("#",""), HYPERLINK(CONCATENATE("#metadata!", ADDRESS(INDEX($AH$2:$AH$1001,MATCH(ROWS($AF$2:AF277),$AF$2:$AF$1001,0),0), INDEX($AM$1004:$BM$1004,1,MATCH(COLUMNS($AM$1006:AP1006),$AM$1006:$BM$1006,0)))),"Fix")))</f>
        <v xml:space="preserve"> </v>
      </c>
      <c r="F277" s="4" t="str">
        <f ca="1">IF(OR(INDEX($AG$2:$AG$1001,MATCH(ROWS($AF$2:AF277),$AF$2:$AF$1001,0),1)&gt;=100000,INDEX($AM$1005:$BM$1005,1,MATCH(COLUMNS($AM$1006:AQ1006),$AM$1006:$BM$1006,0))&gt;=100000), " ",IF(INDEX($AM$2:$BM$1001,MATCH(ROWS($AF$2:AF277),$AF$2:$AF$1001,0),MATCH(COLUMNS($AM$1006:AQ1006),$AM$1006:$BM$1006,0)), HYPERLINK("#",""), HYPERLINK(CONCATENATE("#metadata!", ADDRESS(INDEX($AH$2:$AH$1001,MATCH(ROWS($AF$2:AF277),$AF$2:$AF$1001,0),0), INDEX($AM$1004:$BM$1004,1,MATCH(COLUMNS($AM$1006:AQ1006),$AM$1006:$BM$1006,0)))),"Fix")))</f>
        <v xml:space="preserve"> </v>
      </c>
      <c r="G277" s="4" t="str">
        <f ca="1">IF(OR(INDEX($AG$2:$AG$1001,MATCH(ROWS($AF$2:AF277),$AF$2:$AF$1001,0),1)&gt;=100000,INDEX($AM$1005:$BM$1005,1,MATCH(COLUMNS($AM$1006:AR1006),$AM$1006:$BM$1006,0))&gt;=100000), " ",IF(INDEX($AM$2:$BM$1001,MATCH(ROWS($AF$2:AF277),$AF$2:$AF$1001,0),MATCH(COLUMNS($AM$1006:AR1006),$AM$1006:$BM$1006,0)), HYPERLINK("#",""), HYPERLINK(CONCATENATE("#metadata!", ADDRESS(INDEX($AH$2:$AH$1001,MATCH(ROWS($AF$2:AF277),$AF$2:$AF$1001,0),0), INDEX($AM$1004:$BM$1004,1,MATCH(COLUMNS($AM$1006:AR1006),$AM$1006:$BM$1006,0)))),"Fix")))</f>
        <v xml:space="preserve"> </v>
      </c>
      <c r="H277" s="4" t="str">
        <f ca="1">IF(OR(INDEX($AG$2:$AG$1001,MATCH(ROWS($AF$2:AF277),$AF$2:$AF$1001,0),1)&gt;=100000,INDEX($AM$1005:$BM$1005,1,MATCH(COLUMNS($AM$1006:AS1006),$AM$1006:$BM$1006,0))&gt;=100000), " ",IF(INDEX($AM$2:$BM$1001,MATCH(ROWS($AF$2:AF277),$AF$2:$AF$1001,0),MATCH(COLUMNS($AM$1006:AS1006),$AM$1006:$BM$1006,0)), HYPERLINK("#",""), HYPERLINK(CONCATENATE("#metadata!", ADDRESS(INDEX($AH$2:$AH$1001,MATCH(ROWS($AF$2:AF277),$AF$2:$AF$1001,0),0), INDEX($AM$1004:$BM$1004,1,MATCH(COLUMNS($AM$1006:AS1006),$AM$1006:$BM$1006,0)))),"Fix")))</f>
        <v xml:space="preserve"> </v>
      </c>
      <c r="I277" s="4" t="str">
        <f ca="1">IF(OR(INDEX($AG$2:$AG$1001,MATCH(ROWS($AF$2:AF277),$AF$2:$AF$1001,0),1)&gt;=100000,INDEX($AM$1005:$BM$1005,1,MATCH(COLUMNS($AM$1006:AT1006),$AM$1006:$BM$1006,0))&gt;=100000), " ",IF(INDEX($AM$2:$BM$1001,MATCH(ROWS($AF$2:AF277),$AF$2:$AF$1001,0),MATCH(COLUMNS($AM$1006:AT1006),$AM$1006:$BM$1006,0)), HYPERLINK("#",""), HYPERLINK(CONCATENATE("#metadata!", ADDRESS(INDEX($AH$2:$AH$1001,MATCH(ROWS($AF$2:AF277),$AF$2:$AF$1001,0),0), INDEX($AM$1004:$BM$1004,1,MATCH(COLUMNS($AM$1006:AT1006),$AM$1006:$BM$1006,0)))),"Fix")))</f>
        <v xml:space="preserve"> </v>
      </c>
      <c r="J277" s="4" t="str">
        <f ca="1">IF(OR(INDEX($AG$2:$AG$1001,MATCH(ROWS($AF$2:AF277),$AF$2:$AF$1001,0),1)&gt;=100000,INDEX($AM$1005:$BM$1005,1,MATCH(COLUMNS($AM$1006:AU1006),$AM$1006:$BM$1006,0))&gt;=100000), " ",IF(INDEX($AM$2:$BM$1001,MATCH(ROWS($AF$2:AF277),$AF$2:$AF$1001,0),MATCH(COLUMNS($AM$1006:AU1006),$AM$1006:$BM$1006,0)), HYPERLINK("#",""), HYPERLINK(CONCATENATE("#metadata!", ADDRESS(INDEX($AH$2:$AH$1001,MATCH(ROWS($AF$2:AF277),$AF$2:$AF$1001,0),0), INDEX($AM$1004:$BM$1004,1,MATCH(COLUMNS($AM$1006:AU1006),$AM$1006:$BM$1006,0)))),"Fix")))</f>
        <v xml:space="preserve"> </v>
      </c>
      <c r="K277" s="4" t="str">
        <f ca="1">IF(OR(INDEX($AG$2:$AG$1001,MATCH(ROWS($AF$2:AF277),$AF$2:$AF$1001,0),1)&gt;=100000,INDEX($AM$1005:$BM$1005,1,MATCH(COLUMNS($AM$1006:AV1006),$AM$1006:$BM$1006,0))&gt;=100000), " ",IF(INDEX($AM$2:$BM$1001,MATCH(ROWS($AF$2:AF277),$AF$2:$AF$1001,0),MATCH(COLUMNS($AM$1006:AV1006),$AM$1006:$BM$1006,0)), HYPERLINK("#",""), HYPERLINK(CONCATENATE("#metadata!", ADDRESS(INDEX($AH$2:$AH$1001,MATCH(ROWS($AF$2:AF277),$AF$2:$AF$1001,0),0), INDEX($AM$1004:$BM$1004,1,MATCH(COLUMNS($AM$1006:AV1006),$AM$1006:$BM$1006,0)))),"Fix")))</f>
        <v xml:space="preserve"> </v>
      </c>
      <c r="L277" s="4" t="str">
        <f ca="1">IF(OR(INDEX($AG$2:$AG$1001,MATCH(ROWS($AF$2:AF277),$AF$2:$AF$1001,0),1)&gt;=100000,INDEX($AM$1005:$BM$1005,1,MATCH(COLUMNS($AM$1006:AW1006),$AM$1006:$BM$1006,0))&gt;=100000), " ",IF(INDEX($AM$2:$BM$1001,MATCH(ROWS($AF$2:AF277),$AF$2:$AF$1001,0),MATCH(COLUMNS($AM$1006:AW1006),$AM$1006:$BM$1006,0)), HYPERLINK("#",""), HYPERLINK(CONCATENATE("#metadata!", ADDRESS(INDEX($AH$2:$AH$1001,MATCH(ROWS($AF$2:AF277),$AF$2:$AF$1001,0),0), INDEX($AM$1004:$BM$1004,1,MATCH(COLUMNS($AM$1006:AW1006),$AM$1006:$BM$1006,0)))),"Fix")))</f>
        <v xml:space="preserve"> </v>
      </c>
      <c r="M277" s="4" t="str">
        <f ca="1">IF(OR(INDEX($AG$2:$AG$1001,MATCH(ROWS($AF$2:AF277),$AF$2:$AF$1001,0),1)&gt;=100000,INDEX($AM$1005:$BM$1005,1,MATCH(COLUMNS($AM$1006:AX1006),$AM$1006:$BM$1006,0))&gt;=100000), " ",IF(INDEX($AM$2:$BM$1001,MATCH(ROWS($AF$2:AF277),$AF$2:$AF$1001,0),MATCH(COLUMNS($AM$1006:AX1006),$AM$1006:$BM$1006,0)), HYPERLINK("#",""), HYPERLINK(CONCATENATE("#metadata!", ADDRESS(INDEX($AH$2:$AH$1001,MATCH(ROWS($AF$2:AF277),$AF$2:$AF$1001,0),0), INDEX($AM$1004:$BM$1004,1,MATCH(COLUMNS($AM$1006:AX1006),$AM$1006:$BM$1006,0)))),"Fix")))</f>
        <v xml:space="preserve"> </v>
      </c>
      <c r="N277" s="4" t="str">
        <f ca="1">IF(OR(INDEX($AG$2:$AG$1001,MATCH(ROWS($AF$2:AF277),$AF$2:$AF$1001,0),1)&gt;=100000,INDEX($AM$1005:$BM$1005,1,MATCH(COLUMNS($AM$1006:AY1006),$AM$1006:$BM$1006,0))&gt;=100000), " ",IF(INDEX($AM$2:$BM$1001,MATCH(ROWS($AF$2:AF277),$AF$2:$AF$1001,0),MATCH(COLUMNS($AM$1006:AY1006),$AM$1006:$BM$1006,0)), HYPERLINK("#",""), HYPERLINK(CONCATENATE("#metadata!", ADDRESS(INDEX($AH$2:$AH$1001,MATCH(ROWS($AF$2:AF277),$AF$2:$AF$1001,0),0), INDEX($AM$1004:$BM$1004,1,MATCH(COLUMNS($AM$1006:AY1006),$AM$1006:$BM$1006,0)))),"Fix")))</f>
        <v xml:space="preserve"> </v>
      </c>
      <c r="O277" s="4" t="str">
        <f ca="1">IF(OR(INDEX($AG$2:$AG$1001,MATCH(ROWS($AF$2:AF277),$AF$2:$AF$1001,0),1)&gt;=100000,INDEX($AM$1005:$BM$1005,1,MATCH(COLUMNS($AM$1006:AZ1006),$AM$1006:$BM$1006,0))&gt;=100000), " ",IF(INDEX($AM$2:$BM$1001,MATCH(ROWS($AF$2:AF277),$AF$2:$AF$1001,0),MATCH(COLUMNS($AM$1006:AZ1006),$AM$1006:$BM$1006,0)), HYPERLINK("#",""), HYPERLINK(CONCATENATE("#metadata!", ADDRESS(INDEX($AH$2:$AH$1001,MATCH(ROWS($AF$2:AF277),$AF$2:$AF$1001,0),0), INDEX($AM$1004:$BM$1004,1,MATCH(COLUMNS($AM$1006:AZ1006),$AM$1006:$BM$1006,0)))),"Fix")))</f>
        <v xml:space="preserve"> </v>
      </c>
      <c r="P277" s="4" t="str">
        <f ca="1">IF(OR(INDEX($AG$2:$AG$1001,MATCH(ROWS($AF$2:AF277),$AF$2:$AF$1001,0),1)&gt;=100000,INDEX($AM$1005:$BM$1005,1,MATCH(COLUMNS($AM$1006:BA1006),$AM$1006:$BM$1006,0))&gt;=100000), " ",IF(INDEX($AM$2:$BM$1001,MATCH(ROWS($AF$2:AF277),$AF$2:$AF$1001,0),MATCH(COLUMNS($AM$1006:BA1006),$AM$1006:$BM$1006,0)), HYPERLINK("#",""), HYPERLINK(CONCATENATE("#metadata!", ADDRESS(INDEX($AH$2:$AH$1001,MATCH(ROWS($AF$2:AF277),$AF$2:$AF$1001,0),0), INDEX($AM$1004:$BM$1004,1,MATCH(COLUMNS($AM$1006:BA1006),$AM$1006:$BM$1006,0)))),"Fix")))</f>
        <v xml:space="preserve"> </v>
      </c>
      <c r="Q277" s="4" t="str">
        <f ca="1">IF(OR(INDEX($AG$2:$AG$1001,MATCH(ROWS($AF$2:AF277),$AF$2:$AF$1001,0),1)&gt;=100000,INDEX($AM$1005:$BM$1005,1,MATCH(COLUMNS($AM$1006:BB1006),$AM$1006:$BM$1006,0))&gt;=100000), " ",IF(INDEX($AM$2:$BM$1001,MATCH(ROWS($AF$2:AF277),$AF$2:$AF$1001,0),MATCH(COLUMNS($AM$1006:BB1006),$AM$1006:$BM$1006,0)), HYPERLINK("#",""), HYPERLINK(CONCATENATE("#metadata!", ADDRESS(INDEX($AH$2:$AH$1001,MATCH(ROWS($AF$2:AF277),$AF$2:$AF$1001,0),0), INDEX($AM$1004:$BM$1004,1,MATCH(COLUMNS($AM$1006:BB1006),$AM$1006:$BM$1006,0)))),"Fix")))</f>
        <v xml:space="preserve"> </v>
      </c>
      <c r="R277" s="4" t="str">
        <f ca="1">IF(OR(INDEX($AG$2:$AG$1001,MATCH(ROWS($AF$2:AF277),$AF$2:$AF$1001,0),1)&gt;=100000,INDEX($AM$1005:$BM$1005,1,MATCH(COLUMNS($AM$1006:BC1006),$AM$1006:$BM$1006,0))&gt;=100000), " ",IF(INDEX($AM$2:$BM$1001,MATCH(ROWS($AF$2:AF277),$AF$2:$AF$1001,0),MATCH(COLUMNS($AM$1006:BC1006),$AM$1006:$BM$1006,0)), HYPERLINK("#",""), HYPERLINK(CONCATENATE("#metadata!", ADDRESS(INDEX($AH$2:$AH$1001,MATCH(ROWS($AF$2:AF277),$AF$2:$AF$1001,0),0), INDEX($AM$1004:$BM$1004,1,MATCH(COLUMNS($AM$1006:BC1006),$AM$1006:$BM$1006,0)))),"Fix")))</f>
        <v xml:space="preserve"> </v>
      </c>
      <c r="S277" s="4" t="str">
        <f ca="1">IF(OR(INDEX($AG$2:$AG$1001,MATCH(ROWS($AF$2:AF277),$AF$2:$AF$1001,0),1)&gt;=100000,INDEX($AM$1005:$BM$1005,1,MATCH(COLUMNS($AM$1006:BD1006),$AM$1006:$BM$1006,0))&gt;=100000), " ",IF(INDEX($AM$2:$BM$1001,MATCH(ROWS($AF$2:AF277),$AF$2:$AF$1001,0),MATCH(COLUMNS($AM$1006:BD1006),$AM$1006:$BM$1006,0)), HYPERLINK("#",""), HYPERLINK(CONCATENATE("#metadata!", ADDRESS(INDEX($AH$2:$AH$1001,MATCH(ROWS($AF$2:AF277),$AF$2:$AF$1001,0),0), INDEX($AM$1004:$BM$1004,1,MATCH(COLUMNS($AM$1006:BD1006),$AM$1006:$BM$1006,0)))),"Fix")))</f>
        <v xml:space="preserve"> </v>
      </c>
      <c r="T277" s="4" t="str">
        <f ca="1">IF(OR(INDEX($AG$2:$AG$1001,MATCH(ROWS($AF$2:AF277),$AF$2:$AF$1001,0),1)&gt;=100000,INDEX($AM$1005:$BM$1005,1,MATCH(COLUMNS($AM$1006:BE1006),$AM$1006:$BM$1006,0))&gt;=100000), " ",IF(INDEX($AM$2:$BM$1001,MATCH(ROWS($AF$2:AF277),$AF$2:$AF$1001,0),MATCH(COLUMNS($AM$1006:BE1006),$AM$1006:$BM$1006,0)), HYPERLINK("#",""), HYPERLINK(CONCATENATE("#metadata!", ADDRESS(INDEX($AH$2:$AH$1001,MATCH(ROWS($AF$2:AF277),$AF$2:$AF$1001,0),0), INDEX($AM$1004:$BM$1004,1,MATCH(COLUMNS($AM$1006:BE1006),$AM$1006:$BM$1006,0)))),"Fix")))</f>
        <v xml:space="preserve"> </v>
      </c>
      <c r="U277" s="4" t="str">
        <f ca="1">IF(OR(INDEX($AG$2:$AG$1001,MATCH(ROWS($AF$2:AF277),$AF$2:$AF$1001,0),1)&gt;=100000,INDEX($AM$1005:$BM$1005,1,MATCH(COLUMNS($AM$1006:BF1006),$AM$1006:$BM$1006,0))&gt;=100000), " ",IF(INDEX($AM$2:$BM$1001,MATCH(ROWS($AF$2:AF277),$AF$2:$AF$1001,0),MATCH(COLUMNS($AM$1006:BF1006),$AM$1006:$BM$1006,0)), HYPERLINK("#",""), HYPERLINK(CONCATENATE("#metadata!", ADDRESS(INDEX($AH$2:$AH$1001,MATCH(ROWS($AF$2:AF277),$AF$2:$AF$1001,0),0), INDEX($AM$1004:$BM$1004,1,MATCH(COLUMNS($AM$1006:BF1006),$AM$1006:$BM$1006,0)))),"Fix")))</f>
        <v xml:space="preserve"> </v>
      </c>
      <c r="V277" s="4" t="str">
        <f ca="1">IF(OR(INDEX($AG$2:$AG$1001,MATCH(ROWS($AF$2:AF277),$AF$2:$AF$1001,0),1)&gt;=100000,INDEX($AM$1005:$BM$1005,1,MATCH(COLUMNS($AM$1006:BG1006),$AM$1006:$BM$1006,0))&gt;=100000), " ",IF(INDEX($AM$2:$BM$1001,MATCH(ROWS($AF$2:AF277),$AF$2:$AF$1001,0),MATCH(COLUMNS($AM$1006:BG1006),$AM$1006:$BM$1006,0)), HYPERLINK("#",""), HYPERLINK(CONCATENATE("#metadata!", ADDRESS(INDEX($AH$2:$AH$1001,MATCH(ROWS($AF$2:AF277),$AF$2:$AF$1001,0),0), INDEX($AM$1004:$BM$1004,1,MATCH(COLUMNS($AM$1006:BG1006),$AM$1006:$BM$1006,0)))),"Fix")))</f>
        <v xml:space="preserve"> </v>
      </c>
      <c r="W277" s="4" t="str">
        <f ca="1">IF(OR(INDEX($AG$2:$AG$1001,MATCH(ROWS($AF$2:AF277),$AF$2:$AF$1001,0),1)&gt;=100000,INDEX($AM$1005:$BM$1005,1,MATCH(COLUMNS($AM$1006:BH1006),$AM$1006:$BM$1006,0))&gt;=100000), " ",IF(INDEX($AM$2:$BM$1001,MATCH(ROWS($AF$2:AF277),$AF$2:$AF$1001,0),MATCH(COLUMNS($AM$1006:BH1006),$AM$1006:$BM$1006,0)), HYPERLINK("#",""), HYPERLINK(CONCATENATE("#metadata!", ADDRESS(INDEX($AH$2:$AH$1001,MATCH(ROWS($AF$2:AF277),$AF$2:$AF$1001,0),0), INDEX($AM$1004:$BM$1004,1,MATCH(COLUMNS($AM$1006:BH1006),$AM$1006:$BM$1006,0)))),"Fix")))</f>
        <v xml:space="preserve"> </v>
      </c>
      <c r="X277" s="4" t="str">
        <f ca="1">IF(OR(INDEX($AG$2:$AG$1001,MATCH(ROWS($AF$2:AF277),$AF$2:$AF$1001,0),1)&gt;=100000,INDEX($AM$1005:$BM$1005,1,MATCH(COLUMNS($AM$1006:BI1006),$AM$1006:$BM$1006,0))&gt;=100000), " ",IF(INDEX($AM$2:$BM$1001,MATCH(ROWS($AF$2:AF277),$AF$2:$AF$1001,0),MATCH(COLUMNS($AM$1006:BI1006),$AM$1006:$BM$1006,0)), HYPERLINK("#",""), HYPERLINK(CONCATENATE("#metadata!", ADDRESS(INDEX($AH$2:$AH$1001,MATCH(ROWS($AF$2:AF277),$AF$2:$AF$1001,0),0), INDEX($AM$1004:$BM$1004,1,MATCH(COLUMNS($AM$1006:BI1006),$AM$1006:$BM$1006,0)))),"Fix")))</f>
        <v xml:space="preserve"> </v>
      </c>
      <c r="Y277" s="4" t="str">
        <f ca="1">IF(OR(INDEX($AG$2:$AG$1001,MATCH(ROWS($AF$2:AF277),$AF$2:$AF$1001,0),1)&gt;=100000,INDEX($AM$1005:$BM$1005,1,MATCH(COLUMNS($AM$1006:BJ1006),$AM$1006:$BM$1006,0))&gt;=100000), " ",IF(INDEX($AM$2:$BM$1001,MATCH(ROWS($AF$2:AF277),$AF$2:$AF$1001,0),MATCH(COLUMNS($AM$1006:BJ1006),$AM$1006:$BM$1006,0)), HYPERLINK("#",""), HYPERLINK(CONCATENATE("#metadata!", ADDRESS(INDEX($AH$2:$AH$1001,MATCH(ROWS($AF$2:AF277),$AF$2:$AF$1001,0),0), INDEX($AM$1004:$BM$1004,1,MATCH(COLUMNS($AM$1006:BJ1006),$AM$1006:$BM$1006,0)))),"Fix")))</f>
        <v xml:space="preserve"> </v>
      </c>
      <c r="Z277" s="4" t="str">
        <f ca="1">IF(OR(INDEX($AG$2:$AG$1001,MATCH(ROWS($AF$2:AF277),$AF$2:$AF$1001,0),1)&gt;=100000,INDEX($AM$1005:$BM$1005,1,MATCH(COLUMNS($AM$1006:BK1006),$AM$1006:$BM$1006,0))&gt;=100000), " ",IF(INDEX($AM$2:$BM$1001,MATCH(ROWS($AF$2:AF277),$AF$2:$AF$1001,0),MATCH(COLUMNS($AM$1006:BK1006),$AM$1006:$BM$1006,0)), HYPERLINK("#",""), HYPERLINK(CONCATENATE("#metadata!", ADDRESS(INDEX($AH$2:$AH$1001,MATCH(ROWS($AF$2:AF277),$AF$2:$AF$1001,0),0), INDEX($AM$1004:$BM$1004,1,MATCH(COLUMNS($AM$1006:BK1006),$AM$1006:$BM$1006,0)))),"Fix")))</f>
        <v xml:space="preserve"> </v>
      </c>
      <c r="AA277" s="4" t="str">
        <f ca="1">IF(OR(INDEX($AG$2:$AG$1001,MATCH(ROWS($AF$2:AF277),$AF$2:$AF$1001,0),1)&gt;=100000,INDEX($AM$1005:$BM$1005,1,MATCH(COLUMNS($AM$1006:BL1006),$AM$1006:$BM$1006,0))&gt;=100000), " ",IF(INDEX($AM$2:$BM$1001,MATCH(ROWS($AF$2:AF277),$AF$2:$AF$1001,0),MATCH(COLUMNS($AM$1006:BL1006),$AM$1006:$BM$1006,0)), HYPERLINK("#",""), HYPERLINK(CONCATENATE("#metadata!", ADDRESS(INDEX($AH$2:$AH$1001,MATCH(ROWS($AF$2:AF277),$AF$2:$AF$1001,0),0), INDEX($AM$1004:$BM$1004,1,MATCH(COLUMNS($AM$1006:BL1006),$AM$1006:$BM$1006,0)))),"Fix")))</f>
        <v xml:space="preserve"> </v>
      </c>
      <c r="AB277" s="4" t="str">
        <f ca="1">IF(OR(INDEX($AG$2:$AG$1001,MATCH(ROWS($AF$2:AF277),$AF$2:$AF$1001,0),1)&gt;=100000,INDEX($AM$1005:$BM$1005,1,MATCH(COLUMNS($AM$1006:BM1006),$AM$1006:$BM$1006,0))&gt;=100000), " ",IF(INDEX($AM$2:$BM$1001,MATCH(ROWS($AF$2:AF277),$AF$2:$AF$1001,0),MATCH(COLUMNS($AM$1006:BM1006),$AM$1006:$BM$1006,0)), HYPERLINK("#",""), HYPERLINK(CONCATENATE("#metadata!", ADDRESS(INDEX($AH$2:$AH$1001,MATCH(ROWS($AF$2:AF277),$AF$2:$AF$1001,0),0), INDEX($AM$1004:$BM$1004,1,MATCH(COLUMNS($AM$1006:BM1006),$AM$1006:$BM$1006,0)))),"Fix")))</f>
        <v xml:space="preserve"> </v>
      </c>
      <c r="AF277">
        <v>276</v>
      </c>
      <c r="AG277">
        <v>100277</v>
      </c>
      <c r="AH277">
        <v>277</v>
      </c>
      <c r="AI277" t="b">
        <f t="shared" si="4"/>
        <v>1</v>
      </c>
      <c r="AJ277" t="b">
        <f>COUNTBLANK(metadata!B277:AB277)=COLUMNS(metadata!B277:AB277)</f>
        <v>1</v>
      </c>
      <c r="AK277" t="str">
        <v/>
      </c>
      <c r="AM277" t="b">
        <f ca="1">AND(IF(metadata!B277="",FALSE,TRUE),COUNTIF(metadata!B:B, metadata!B277) = 1,NOT(ISERROR(SUMPRODUCT(SEARCH(MID(metadata!B277,ROW(INDIRECT("1:"&amp;LEN(metadata!B277))), 1),"0123456789abcdefghijklmnopqrstuvwxyzABCDEFGHIJKLMNOPQRSTUVWXYZ.")))))</f>
        <v>0</v>
      </c>
      <c r="AN277" t="b">
        <f ca="1">OR(AND(IF(metadata!C277="",FALSE,TRUE),OR(EXACT(metadata!C277,"missing: not collected"),EXACT(metadata!C277,"missing: not provided"),EXACT(metadata!C277,"missing: restricted access"))),AND(IF(metadata!C277="",FALSE,TRUE),AND(AND(IFERROR(INT(LEFT(metadata!C277,4))&gt;1900,FALSE),IFERROR(INT(LEFT(metadata!C277,4))&lt;=YEAR(NOW()),FALSE)), OR(MID(metadata!C277,5,1)="", AND(AND(MID(metadata!C277,5,1)="-",IFERROR(INT(MID(metadata!C277,6,1))&gt;=0,FALSE),IFERROR(INT(MID(metadata!C277,6,1))&lt;=1,FALSE),NOT(MID(metadata!C277,7,1)=""),IFERROR(INT(MID(metadata!C277,6,2))&gt;=1,FALSE),IFERROR(INT(MID(metadata!C277,6,2))&lt;=12,FALSE)), OR(MID(metadata!C277,8,1)="", AND(AND(MID(metadata!C277,8,1)="-",IFERROR(INT(MID(metadata!C277,9,1))&gt;=0,FALSE),IFERROR(INT(MID(metadata!C277,9,1))&lt;=3,FALSE),NOT(MID(metadata!C277,10,1)=""),IFERROR(INT(MID(metadata!C277,9,2))&gt;=1,FALSE),IFERROR(INT(MID(metadata!C277,9,2))&lt;=31,FALSE)), OR(MID(metadata!C277,11,1)="", AND(AND(MID(metadata!C277,11,1)=" ",IFERROR(INT(MID(metadata!C277,12,1))&gt;=0,FALSE),IFERROR(INT(MID(metadata!C277,12,1))&lt;=2,FALSE),NOT(MID(metadata!C277,13,1)=""),IFERROR(INT(MID(metadata!C277,12,2))&gt;=0,FALSE),IFERROR(INT(MID(metadata!C277,12,2))&lt;=23,FALSE)), OR(MID(metadata!C277,14,1)="", AND(AND(MID(metadata!C277,14,1)=":",IFERROR(INT(MID(metadata!C277,15,1))&gt;=0,FALSE),IFERROR(INT(MID(metadata!C277,15,1))&lt;=5,FALSE),NOT(MID(metadata!C277,16,1)=""),IFERROR(INT(MID(metadata!C277,15,2))&gt;=0,FALSE),IFERROR(INT(MID(metadata!C277,15,2))&lt;=59,FALSE)), OR(MID(metadata!C277,17,1)="", AND(AND(MID(metadata!C277,17,1)=":",IFERROR(INT(MID(metadata!C277,18,1))&gt;=0,FALSE),IFERROR(INT(MID(metadata!C277,18,1))&lt;=5,FALSE),NOT(MID(metadata!C277,19,1)=""),IFERROR(INT(MID(metadata!C277,18,2))&gt;=0,FALSE),IFERROR(INT(MID(metadata!C277,18,2))&lt;=59,FALSE)), LEN(metadata!C277)&lt;=19)))))))))))))</f>
        <v>0</v>
      </c>
      <c r="AO277" t="b">
        <f>AND(IF(metadata!D277="",FALSE,TRUE),EXACT(metadata!D277,"Not applicable"))</f>
        <v>0</v>
      </c>
      <c r="AP277" t="b">
        <f>IF(metadata!E277="",FALSE,TRUE)</f>
        <v>0</v>
      </c>
      <c r="AQ277" t="b">
        <f>OR(AND(IF(metadata!F277="",FALSE,TRUE),OR(EXACT(metadata!F277,"missing: not collected"),EXACT(metadata!F277,"missing: not provided"))),AND(IF(metadata!F277="",FALSE,TRUE),OR(EXACT(metadata!F277,"TRUE"),EXACT(metadata!F277,"FALSE"))))</f>
        <v>0</v>
      </c>
      <c r="AR277" t="b">
        <f>OR(AND(IF(metadata!G277="",FALSE,TRUE),OR(EXACT(metadata!G277,"missing: not collected"),EXACT(metadata!G277,"missing: not provided"),EXACT(metadata!G277,"missing: restricted access"))),AND(IF(metadata!G277="",FALSE,ISNUMBER(VALUE(metadata!G277))),metadata!G277&gt;=-413))</f>
        <v>0</v>
      </c>
      <c r="AS277" t="b">
        <f>AND(IF(metadata!H277="",FALSE,TRUE),EXACT(metadata!H277,"meters"))</f>
        <v>0</v>
      </c>
      <c r="AT277" t="b">
        <f>AND(IF(metadata!I277="",FALSE,TRUE),OR(EXACT(metadata!I277,"Host-associated"),EXACT(metadata!I277,"Free-living")))</f>
        <v>0</v>
      </c>
      <c r="AU277" t="b">
        <f>AND(IF(metadata!J277="",FALSE,TRUE),OR(EXACT(metadata!J277,"Animal"),EXACT(metadata!J277,"Fungus"),EXACT(metadata!J277,"Plant"),EXACT(metadata!J277,"Saline"),EXACT(metadata!J277,"Non-saline")))</f>
        <v>0</v>
      </c>
      <c r="AV277" t="b">
        <f>AND(IF(metadata!K277="",FALSE,TRUE),OR(EXACT(metadata!K277,"Plant secretion"),EXACT(metadata!K277,"Plant rhizosphere"),EXACT(metadata!K277,"Plant surface"),EXACT(metadata!K277,"Plant corpus"),EXACT(metadata!K277,"Fungus surface"),EXACT(metadata!K277,"Fungus corpus"),EXACT(metadata!K277,"Animal surface"),EXACT(metadata!K277,"Animal proximal gut"),EXACT(metadata!K277,"Animal corpus"),EXACT(metadata!K277,"Animal distal gut"),EXACT(metadata!K277,"Animal secretion"),EXACT(metadata!K277,"Sub-surface (non-saline)"),EXACT(metadata!K277,"Surface (non-saline)"),EXACT(metadata!K277,"Water (non-saline)"),EXACT(metadata!K277,"Soil (non-saline)"),EXACT(metadata!K277,"Aerosol (non-saline)"),EXACT(metadata!K277,"Sediment (non-saline)"),EXACT(metadata!K277,"Surface (saline)"),EXACT(metadata!K277,"Water (saline)"),EXACT(metadata!K277,"Hypersaline (saline)"),EXACT(metadata!K277,"Aerosol (saline)"),EXACT(metadata!K277,"Sediment (saline)")))</f>
        <v>0</v>
      </c>
      <c r="AW277" t="b">
        <f>IF(metadata!L277="",FALSE,TRUE)</f>
        <v>0</v>
      </c>
      <c r="AX277" t="b">
        <f>IF(metadata!M277="",FALSE,TRUE)</f>
        <v>0</v>
      </c>
      <c r="AY277" t="b">
        <f>IF(metadata!N277="",FALSE,TRUE)</f>
        <v>0</v>
      </c>
      <c r="AZ277" t="b">
        <f>OR(AND(IF(metadata!O277="",FALSE,TRUE),OR(EXACT(metadata!O277,"missing: not collected"),EXACT(metadata!O277,"missing: not provided"),EXACT(metadata!O277,"missing: restricted access"))),AND(IF(metadata!O277="",FALSE,TRUE),OR(EXACT(metadata!O277,"air"),EXACT(metadata!O277,"built environment"),EXACT(metadata!O277,"host-associated"),EXACT(metadata!O277,"human-associated"),EXACT(metadata!O277,"human-skin"),EXACT(metadata!O277,"human-oral"),EXACT(metadata!O277,"human-gut"),EXACT(metadata!O277,"human-vaginal"),EXACT(metadata!O277,"microbial mat/biofilm"),EXACT(metadata!O277,"misc environment"),EXACT(metadata!O277,"plant-associated"),EXACT(metadata!O277,"sediment"),EXACT(metadata!O277,"soil"),EXACT(metadata!O277,"wastewater/sludge"),EXACT(metadata!O277,"water"))))</f>
        <v>0</v>
      </c>
      <c r="BA277" t="b">
        <f>IF(metadata!P277="",FALSE,TRUE)</f>
        <v>0</v>
      </c>
      <c r="BB277" t="b">
        <f>IF(metadata!Q277="",FALSE,TRUE)</f>
        <v>0</v>
      </c>
      <c r="BC277" t="b">
        <f>OR(AND(IF(metadata!R277="",FALSE,TRUE),OR(EXACT(metadata!R277,"missing: not collected"),EXACT(metadata!R277,"missing: not provided"),EXACT(metadata!R277,"missing: restricted access"))),AND(IF(metadata!R277="",FALSE,ISNUMBER(VALUE(metadata!R277))),metadata!R277&gt;=-90,metadata!R277&lt;=90))</f>
        <v>0</v>
      </c>
      <c r="BD277" t="b">
        <f>AND(IF(metadata!S277="",FALSE,TRUE),EXACT(metadata!S277,"Decimal degrees"))</f>
        <v>0</v>
      </c>
      <c r="BE277" t="b">
        <f>OR(AND(IF(metadata!T277="",FALSE,TRUE),OR(EXACT(metadata!T277,"missing: not collected"),EXACT(metadata!T277,"missing: not provided"),EXACT(metadata!T277,"missing: restricted access"))),AND(IF(metadata!T277="",FALSE,ISNUMBER(VALUE(metadata!T277))),metadata!T277&gt;=-180,metadata!T277&lt;=180))</f>
        <v>0</v>
      </c>
      <c r="BF277" t="b">
        <f>AND(IF(metadata!U277="",FALSE,TRUE),EXACT(metadata!U277,"Decimal degrees"))</f>
        <v>0</v>
      </c>
      <c r="BG277" t="b">
        <f>IF(metadata!V277="",FALSE,TRUE)</f>
        <v>0</v>
      </c>
      <c r="BH277" t="b">
        <f>OR(AND(IF(metadata!W277="",FALSE,TRUE),OR(EXACT(metadata!W277,"missing: not collected"),EXACT(metadata!W277,"missing: not provided"),EXACT(metadata!W277,"missing: restricted access"))),AND(IF(metadata!W277="",FALSE,TRUE),OR(EXACT(metadata!W277,"TRUE"),EXACT(metadata!W277,"FALSE"))))</f>
        <v>0</v>
      </c>
      <c r="BI277" t="b">
        <f>AND(IF(metadata!X277="",FALSE,TRUE),EXACT(metadata!X277,"other"))</f>
        <v>0</v>
      </c>
      <c r="BJ277" t="b">
        <f>IF(metadata!Y277="",FALSE,TRUE)</f>
        <v>0</v>
      </c>
      <c r="BK277" t="b">
        <f>OR(AND(IF(metadata!Z277="",FALSE,TRUE),OR(EXACT(metadata!Z277,"missing: not collected"),EXACT(metadata!Z277,"missing: not provided"))),AND(IF(metadata!Z277="",FALSE,IF(ISERROR(INT(metadata!Z277)),FALSE,INT(metadata!Z277)=metadata!Z277)),metadata!Z277&gt;0))</f>
        <v>0</v>
      </c>
      <c r="BL277" t="b">
        <f>AND(IF(metadata!AA277="",FALSE,TRUE),EXACT(metadata!AA277,"Not applicable"))</f>
        <v>0</v>
      </c>
      <c r="BM277" t="b">
        <f>IF(metadata!AB277="",FALSE,TRUE)</f>
        <v>0</v>
      </c>
    </row>
    <row r="278" spans="1:65" x14ac:dyDescent="0.2">
      <c r="A278" s="5" t="str">
        <f ca="1">IF(B278=" "," ",HYPERLINK(CONCATENATE("#metadata!",ADDRESS(INDEX($AH$2:$AH$1001,MATCH(ROWS($AF$2:AF278),$AF$2:$AF$1001,0),0),1)),INDEX($AK$2:$AK$1001,MATCH(ROWS($AF$2:AF278),$AF$2:$AF$1001,0),0)))</f>
        <v xml:space="preserve"> </v>
      </c>
      <c r="B278" s="4" t="str">
        <f ca="1">IF(OR(INDEX($AG$2:$AG$1001,MATCH(ROWS($AF$2:AF278),$AF$2:$AF$1001,0),1)&gt;=100000,INDEX($AM$1005:$BM$1005,1,MATCH(COLUMNS($AM$1006:AM1006),$AM$1006:$BM$1006,0))&gt;=100000), " ",IF(INDEX($AM$2:$BM$1001,MATCH(ROWS($AF$2:AF278),$AF$2:$AF$1001,0),MATCH(COLUMNS($AM$1006:AM1006),$AM$1006:$BM$1006,0)), HYPERLINK("#",""), HYPERLINK(CONCATENATE("#metadata!", ADDRESS(INDEX($AH$2:$AH$1001,MATCH(ROWS($AF$2:AF278),$AF$2:$AF$1001,0),0), INDEX($AM$1004:$BM$1004,1,MATCH(COLUMNS($AM$1006:AM1006),$AM$1006:$BM$1006,0)))),"Fix")))</f>
        <v xml:space="preserve"> </v>
      </c>
      <c r="C278" s="4" t="str">
        <f ca="1">IF(OR(INDEX($AG$2:$AG$1001,MATCH(ROWS($AF$2:AF278),$AF$2:$AF$1001,0),1)&gt;=100000,INDEX($AM$1005:$BM$1005,1,MATCH(COLUMNS($AM$1006:AN1006),$AM$1006:$BM$1006,0))&gt;=100000), " ",IF(INDEX($AM$2:$BM$1001,MATCH(ROWS($AF$2:AF278),$AF$2:$AF$1001,0),MATCH(COLUMNS($AM$1006:AN1006),$AM$1006:$BM$1006,0)), HYPERLINK("#",""), HYPERLINK(CONCATENATE("#metadata!", ADDRESS(INDEX($AH$2:$AH$1001,MATCH(ROWS($AF$2:AF278),$AF$2:$AF$1001,0),0), INDEX($AM$1004:$BM$1004,1,MATCH(COLUMNS($AM$1006:AN1006),$AM$1006:$BM$1006,0)))),"Fix")))</f>
        <v xml:space="preserve"> </v>
      </c>
      <c r="D278" s="4" t="str">
        <f ca="1">IF(OR(INDEX($AG$2:$AG$1001,MATCH(ROWS($AF$2:AF278),$AF$2:$AF$1001,0),1)&gt;=100000,INDEX($AM$1005:$BM$1005,1,MATCH(COLUMNS($AM$1006:AO1006),$AM$1006:$BM$1006,0))&gt;=100000), " ",IF(INDEX($AM$2:$BM$1001,MATCH(ROWS($AF$2:AF278),$AF$2:$AF$1001,0),MATCH(COLUMNS($AM$1006:AO1006),$AM$1006:$BM$1006,0)), HYPERLINK("#",""), HYPERLINK(CONCATENATE("#metadata!", ADDRESS(INDEX($AH$2:$AH$1001,MATCH(ROWS($AF$2:AF278),$AF$2:$AF$1001,0),0), INDEX($AM$1004:$BM$1004,1,MATCH(COLUMNS($AM$1006:AO1006),$AM$1006:$BM$1006,0)))),"Fix")))</f>
        <v xml:space="preserve"> </v>
      </c>
      <c r="E278" s="4" t="str">
        <f ca="1">IF(OR(INDEX($AG$2:$AG$1001,MATCH(ROWS($AF$2:AF278),$AF$2:$AF$1001,0),1)&gt;=100000,INDEX($AM$1005:$BM$1005,1,MATCH(COLUMNS($AM$1006:AP1006),$AM$1006:$BM$1006,0))&gt;=100000), " ",IF(INDEX($AM$2:$BM$1001,MATCH(ROWS($AF$2:AF278),$AF$2:$AF$1001,0),MATCH(COLUMNS($AM$1006:AP1006),$AM$1006:$BM$1006,0)), HYPERLINK("#",""), HYPERLINK(CONCATENATE("#metadata!", ADDRESS(INDEX($AH$2:$AH$1001,MATCH(ROWS($AF$2:AF278),$AF$2:$AF$1001,0),0), INDEX($AM$1004:$BM$1004,1,MATCH(COLUMNS($AM$1006:AP1006),$AM$1006:$BM$1006,0)))),"Fix")))</f>
        <v xml:space="preserve"> </v>
      </c>
      <c r="F278" s="4" t="str">
        <f ca="1">IF(OR(INDEX($AG$2:$AG$1001,MATCH(ROWS($AF$2:AF278),$AF$2:$AF$1001,0),1)&gt;=100000,INDEX($AM$1005:$BM$1005,1,MATCH(COLUMNS($AM$1006:AQ1006),$AM$1006:$BM$1006,0))&gt;=100000), " ",IF(INDEX($AM$2:$BM$1001,MATCH(ROWS($AF$2:AF278),$AF$2:$AF$1001,0),MATCH(COLUMNS($AM$1006:AQ1006),$AM$1006:$BM$1006,0)), HYPERLINK("#",""), HYPERLINK(CONCATENATE("#metadata!", ADDRESS(INDEX($AH$2:$AH$1001,MATCH(ROWS($AF$2:AF278),$AF$2:$AF$1001,0),0), INDEX($AM$1004:$BM$1004,1,MATCH(COLUMNS($AM$1006:AQ1006),$AM$1006:$BM$1006,0)))),"Fix")))</f>
        <v xml:space="preserve"> </v>
      </c>
      <c r="G278" s="4" t="str">
        <f ca="1">IF(OR(INDEX($AG$2:$AG$1001,MATCH(ROWS($AF$2:AF278),$AF$2:$AF$1001,0),1)&gt;=100000,INDEX($AM$1005:$BM$1005,1,MATCH(COLUMNS($AM$1006:AR1006),$AM$1006:$BM$1006,0))&gt;=100000), " ",IF(INDEX($AM$2:$BM$1001,MATCH(ROWS($AF$2:AF278),$AF$2:$AF$1001,0),MATCH(COLUMNS($AM$1006:AR1006),$AM$1006:$BM$1006,0)), HYPERLINK("#",""), HYPERLINK(CONCATENATE("#metadata!", ADDRESS(INDEX($AH$2:$AH$1001,MATCH(ROWS($AF$2:AF278),$AF$2:$AF$1001,0),0), INDEX($AM$1004:$BM$1004,1,MATCH(COLUMNS($AM$1006:AR1006),$AM$1006:$BM$1006,0)))),"Fix")))</f>
        <v xml:space="preserve"> </v>
      </c>
      <c r="H278" s="4" t="str">
        <f ca="1">IF(OR(INDEX($AG$2:$AG$1001,MATCH(ROWS($AF$2:AF278),$AF$2:$AF$1001,0),1)&gt;=100000,INDEX($AM$1005:$BM$1005,1,MATCH(COLUMNS($AM$1006:AS1006),$AM$1006:$BM$1006,0))&gt;=100000), " ",IF(INDEX($AM$2:$BM$1001,MATCH(ROWS($AF$2:AF278),$AF$2:$AF$1001,0),MATCH(COLUMNS($AM$1006:AS1006),$AM$1006:$BM$1006,0)), HYPERLINK("#",""), HYPERLINK(CONCATENATE("#metadata!", ADDRESS(INDEX($AH$2:$AH$1001,MATCH(ROWS($AF$2:AF278),$AF$2:$AF$1001,0),0), INDEX($AM$1004:$BM$1004,1,MATCH(COLUMNS($AM$1006:AS1006),$AM$1006:$BM$1006,0)))),"Fix")))</f>
        <v xml:space="preserve"> </v>
      </c>
      <c r="I278" s="4" t="str">
        <f ca="1">IF(OR(INDEX($AG$2:$AG$1001,MATCH(ROWS($AF$2:AF278),$AF$2:$AF$1001,0),1)&gt;=100000,INDEX($AM$1005:$BM$1005,1,MATCH(COLUMNS($AM$1006:AT1006),$AM$1006:$BM$1006,0))&gt;=100000), " ",IF(INDEX($AM$2:$BM$1001,MATCH(ROWS($AF$2:AF278),$AF$2:$AF$1001,0),MATCH(COLUMNS($AM$1006:AT1006),$AM$1006:$BM$1006,0)), HYPERLINK("#",""), HYPERLINK(CONCATENATE("#metadata!", ADDRESS(INDEX($AH$2:$AH$1001,MATCH(ROWS($AF$2:AF278),$AF$2:$AF$1001,0),0), INDEX($AM$1004:$BM$1004,1,MATCH(COLUMNS($AM$1006:AT1006),$AM$1006:$BM$1006,0)))),"Fix")))</f>
        <v xml:space="preserve"> </v>
      </c>
      <c r="J278" s="4" t="str">
        <f ca="1">IF(OR(INDEX($AG$2:$AG$1001,MATCH(ROWS($AF$2:AF278),$AF$2:$AF$1001,0),1)&gt;=100000,INDEX($AM$1005:$BM$1005,1,MATCH(COLUMNS($AM$1006:AU1006),$AM$1006:$BM$1006,0))&gt;=100000), " ",IF(INDEX($AM$2:$BM$1001,MATCH(ROWS($AF$2:AF278),$AF$2:$AF$1001,0),MATCH(COLUMNS($AM$1006:AU1006),$AM$1006:$BM$1006,0)), HYPERLINK("#",""), HYPERLINK(CONCATENATE("#metadata!", ADDRESS(INDEX($AH$2:$AH$1001,MATCH(ROWS($AF$2:AF278),$AF$2:$AF$1001,0),0), INDEX($AM$1004:$BM$1004,1,MATCH(COLUMNS($AM$1006:AU1006),$AM$1006:$BM$1006,0)))),"Fix")))</f>
        <v xml:space="preserve"> </v>
      </c>
      <c r="K278" s="4" t="str">
        <f ca="1">IF(OR(INDEX($AG$2:$AG$1001,MATCH(ROWS($AF$2:AF278),$AF$2:$AF$1001,0),1)&gt;=100000,INDEX($AM$1005:$BM$1005,1,MATCH(COLUMNS($AM$1006:AV1006),$AM$1006:$BM$1006,0))&gt;=100000), " ",IF(INDEX($AM$2:$BM$1001,MATCH(ROWS($AF$2:AF278),$AF$2:$AF$1001,0),MATCH(COLUMNS($AM$1006:AV1006),$AM$1006:$BM$1006,0)), HYPERLINK("#",""), HYPERLINK(CONCATENATE("#metadata!", ADDRESS(INDEX($AH$2:$AH$1001,MATCH(ROWS($AF$2:AF278),$AF$2:$AF$1001,0),0), INDEX($AM$1004:$BM$1004,1,MATCH(COLUMNS($AM$1006:AV1006),$AM$1006:$BM$1006,0)))),"Fix")))</f>
        <v xml:space="preserve"> </v>
      </c>
      <c r="L278" s="4" t="str">
        <f ca="1">IF(OR(INDEX($AG$2:$AG$1001,MATCH(ROWS($AF$2:AF278),$AF$2:$AF$1001,0),1)&gt;=100000,INDEX($AM$1005:$BM$1005,1,MATCH(COLUMNS($AM$1006:AW1006),$AM$1006:$BM$1006,0))&gt;=100000), " ",IF(INDEX($AM$2:$BM$1001,MATCH(ROWS($AF$2:AF278),$AF$2:$AF$1001,0),MATCH(COLUMNS($AM$1006:AW1006),$AM$1006:$BM$1006,0)), HYPERLINK("#",""), HYPERLINK(CONCATENATE("#metadata!", ADDRESS(INDEX($AH$2:$AH$1001,MATCH(ROWS($AF$2:AF278),$AF$2:$AF$1001,0),0), INDEX($AM$1004:$BM$1004,1,MATCH(COLUMNS($AM$1006:AW1006),$AM$1006:$BM$1006,0)))),"Fix")))</f>
        <v xml:space="preserve"> </v>
      </c>
      <c r="M278" s="4" t="str">
        <f ca="1">IF(OR(INDEX($AG$2:$AG$1001,MATCH(ROWS($AF$2:AF278),$AF$2:$AF$1001,0),1)&gt;=100000,INDEX($AM$1005:$BM$1005,1,MATCH(COLUMNS($AM$1006:AX1006),$AM$1006:$BM$1006,0))&gt;=100000), " ",IF(INDEX($AM$2:$BM$1001,MATCH(ROWS($AF$2:AF278),$AF$2:$AF$1001,0),MATCH(COLUMNS($AM$1006:AX1006),$AM$1006:$BM$1006,0)), HYPERLINK("#",""), HYPERLINK(CONCATENATE("#metadata!", ADDRESS(INDEX($AH$2:$AH$1001,MATCH(ROWS($AF$2:AF278),$AF$2:$AF$1001,0),0), INDEX($AM$1004:$BM$1004,1,MATCH(COLUMNS($AM$1006:AX1006),$AM$1006:$BM$1006,0)))),"Fix")))</f>
        <v xml:space="preserve"> </v>
      </c>
      <c r="N278" s="4" t="str">
        <f ca="1">IF(OR(INDEX($AG$2:$AG$1001,MATCH(ROWS($AF$2:AF278),$AF$2:$AF$1001,0),1)&gt;=100000,INDEX($AM$1005:$BM$1005,1,MATCH(COLUMNS($AM$1006:AY1006),$AM$1006:$BM$1006,0))&gt;=100000), " ",IF(INDEX($AM$2:$BM$1001,MATCH(ROWS($AF$2:AF278),$AF$2:$AF$1001,0),MATCH(COLUMNS($AM$1006:AY1006),$AM$1006:$BM$1006,0)), HYPERLINK("#",""), HYPERLINK(CONCATENATE("#metadata!", ADDRESS(INDEX($AH$2:$AH$1001,MATCH(ROWS($AF$2:AF278),$AF$2:$AF$1001,0),0), INDEX($AM$1004:$BM$1004,1,MATCH(COLUMNS($AM$1006:AY1006),$AM$1006:$BM$1006,0)))),"Fix")))</f>
        <v xml:space="preserve"> </v>
      </c>
      <c r="O278" s="4" t="str">
        <f ca="1">IF(OR(INDEX($AG$2:$AG$1001,MATCH(ROWS($AF$2:AF278),$AF$2:$AF$1001,0),1)&gt;=100000,INDEX($AM$1005:$BM$1005,1,MATCH(COLUMNS($AM$1006:AZ1006),$AM$1006:$BM$1006,0))&gt;=100000), " ",IF(INDEX($AM$2:$BM$1001,MATCH(ROWS($AF$2:AF278),$AF$2:$AF$1001,0),MATCH(COLUMNS($AM$1006:AZ1006),$AM$1006:$BM$1006,0)), HYPERLINK("#",""), HYPERLINK(CONCATENATE("#metadata!", ADDRESS(INDEX($AH$2:$AH$1001,MATCH(ROWS($AF$2:AF278),$AF$2:$AF$1001,0),0), INDEX($AM$1004:$BM$1004,1,MATCH(COLUMNS($AM$1006:AZ1006),$AM$1006:$BM$1006,0)))),"Fix")))</f>
        <v xml:space="preserve"> </v>
      </c>
      <c r="P278" s="4" t="str">
        <f ca="1">IF(OR(INDEX($AG$2:$AG$1001,MATCH(ROWS($AF$2:AF278),$AF$2:$AF$1001,0),1)&gt;=100000,INDEX($AM$1005:$BM$1005,1,MATCH(COLUMNS($AM$1006:BA1006),$AM$1006:$BM$1006,0))&gt;=100000), " ",IF(INDEX($AM$2:$BM$1001,MATCH(ROWS($AF$2:AF278),$AF$2:$AF$1001,0),MATCH(COLUMNS($AM$1006:BA1006),$AM$1006:$BM$1006,0)), HYPERLINK("#",""), HYPERLINK(CONCATENATE("#metadata!", ADDRESS(INDEX($AH$2:$AH$1001,MATCH(ROWS($AF$2:AF278),$AF$2:$AF$1001,0),0), INDEX($AM$1004:$BM$1004,1,MATCH(COLUMNS($AM$1006:BA1006),$AM$1006:$BM$1006,0)))),"Fix")))</f>
        <v xml:space="preserve"> </v>
      </c>
      <c r="Q278" s="4" t="str">
        <f ca="1">IF(OR(INDEX($AG$2:$AG$1001,MATCH(ROWS($AF$2:AF278),$AF$2:$AF$1001,0),1)&gt;=100000,INDEX($AM$1005:$BM$1005,1,MATCH(COLUMNS($AM$1006:BB1006),$AM$1006:$BM$1006,0))&gt;=100000), " ",IF(INDEX($AM$2:$BM$1001,MATCH(ROWS($AF$2:AF278),$AF$2:$AF$1001,0),MATCH(COLUMNS($AM$1006:BB1006),$AM$1006:$BM$1006,0)), HYPERLINK("#",""), HYPERLINK(CONCATENATE("#metadata!", ADDRESS(INDEX($AH$2:$AH$1001,MATCH(ROWS($AF$2:AF278),$AF$2:$AF$1001,0),0), INDEX($AM$1004:$BM$1004,1,MATCH(COLUMNS($AM$1006:BB1006),$AM$1006:$BM$1006,0)))),"Fix")))</f>
        <v xml:space="preserve"> </v>
      </c>
      <c r="R278" s="4" t="str">
        <f ca="1">IF(OR(INDEX($AG$2:$AG$1001,MATCH(ROWS($AF$2:AF278),$AF$2:$AF$1001,0),1)&gt;=100000,INDEX($AM$1005:$BM$1005,1,MATCH(COLUMNS($AM$1006:BC1006),$AM$1006:$BM$1006,0))&gt;=100000), " ",IF(INDEX($AM$2:$BM$1001,MATCH(ROWS($AF$2:AF278),$AF$2:$AF$1001,0),MATCH(COLUMNS($AM$1006:BC1006),$AM$1006:$BM$1006,0)), HYPERLINK("#",""), HYPERLINK(CONCATENATE("#metadata!", ADDRESS(INDEX($AH$2:$AH$1001,MATCH(ROWS($AF$2:AF278),$AF$2:$AF$1001,0),0), INDEX($AM$1004:$BM$1004,1,MATCH(COLUMNS($AM$1006:BC1006),$AM$1006:$BM$1006,0)))),"Fix")))</f>
        <v xml:space="preserve"> </v>
      </c>
      <c r="S278" s="4" t="str">
        <f ca="1">IF(OR(INDEX($AG$2:$AG$1001,MATCH(ROWS($AF$2:AF278),$AF$2:$AF$1001,0),1)&gt;=100000,INDEX($AM$1005:$BM$1005,1,MATCH(COLUMNS($AM$1006:BD1006),$AM$1006:$BM$1006,0))&gt;=100000), " ",IF(INDEX($AM$2:$BM$1001,MATCH(ROWS($AF$2:AF278),$AF$2:$AF$1001,0),MATCH(COLUMNS($AM$1006:BD1006),$AM$1006:$BM$1006,0)), HYPERLINK("#",""), HYPERLINK(CONCATENATE("#metadata!", ADDRESS(INDEX($AH$2:$AH$1001,MATCH(ROWS($AF$2:AF278),$AF$2:$AF$1001,0),0), INDEX($AM$1004:$BM$1004,1,MATCH(COLUMNS($AM$1006:BD1006),$AM$1006:$BM$1006,0)))),"Fix")))</f>
        <v xml:space="preserve"> </v>
      </c>
      <c r="T278" s="4" t="str">
        <f ca="1">IF(OR(INDEX($AG$2:$AG$1001,MATCH(ROWS($AF$2:AF278),$AF$2:$AF$1001,0),1)&gt;=100000,INDEX($AM$1005:$BM$1005,1,MATCH(COLUMNS($AM$1006:BE1006),$AM$1006:$BM$1006,0))&gt;=100000), " ",IF(INDEX($AM$2:$BM$1001,MATCH(ROWS($AF$2:AF278),$AF$2:$AF$1001,0),MATCH(COLUMNS($AM$1006:BE1006),$AM$1006:$BM$1006,0)), HYPERLINK("#",""), HYPERLINK(CONCATENATE("#metadata!", ADDRESS(INDEX($AH$2:$AH$1001,MATCH(ROWS($AF$2:AF278),$AF$2:$AF$1001,0),0), INDEX($AM$1004:$BM$1004,1,MATCH(COLUMNS($AM$1006:BE1006),$AM$1006:$BM$1006,0)))),"Fix")))</f>
        <v xml:space="preserve"> </v>
      </c>
      <c r="U278" s="4" t="str">
        <f ca="1">IF(OR(INDEX($AG$2:$AG$1001,MATCH(ROWS($AF$2:AF278),$AF$2:$AF$1001,0),1)&gt;=100000,INDEX($AM$1005:$BM$1005,1,MATCH(COLUMNS($AM$1006:BF1006),$AM$1006:$BM$1006,0))&gt;=100000), " ",IF(INDEX($AM$2:$BM$1001,MATCH(ROWS($AF$2:AF278),$AF$2:$AF$1001,0),MATCH(COLUMNS($AM$1006:BF1006),$AM$1006:$BM$1006,0)), HYPERLINK("#",""), HYPERLINK(CONCATENATE("#metadata!", ADDRESS(INDEX($AH$2:$AH$1001,MATCH(ROWS($AF$2:AF278),$AF$2:$AF$1001,0),0), INDEX($AM$1004:$BM$1004,1,MATCH(COLUMNS($AM$1006:BF1006),$AM$1006:$BM$1006,0)))),"Fix")))</f>
        <v xml:space="preserve"> </v>
      </c>
      <c r="V278" s="4" t="str">
        <f ca="1">IF(OR(INDEX($AG$2:$AG$1001,MATCH(ROWS($AF$2:AF278),$AF$2:$AF$1001,0),1)&gt;=100000,INDEX($AM$1005:$BM$1005,1,MATCH(COLUMNS($AM$1006:BG1006),$AM$1006:$BM$1006,0))&gt;=100000), " ",IF(INDEX($AM$2:$BM$1001,MATCH(ROWS($AF$2:AF278),$AF$2:$AF$1001,0),MATCH(COLUMNS($AM$1006:BG1006),$AM$1006:$BM$1006,0)), HYPERLINK("#",""), HYPERLINK(CONCATENATE("#metadata!", ADDRESS(INDEX($AH$2:$AH$1001,MATCH(ROWS($AF$2:AF278),$AF$2:$AF$1001,0),0), INDEX($AM$1004:$BM$1004,1,MATCH(COLUMNS($AM$1006:BG1006),$AM$1006:$BM$1006,0)))),"Fix")))</f>
        <v xml:space="preserve"> </v>
      </c>
      <c r="W278" s="4" t="str">
        <f ca="1">IF(OR(INDEX($AG$2:$AG$1001,MATCH(ROWS($AF$2:AF278),$AF$2:$AF$1001,0),1)&gt;=100000,INDEX($AM$1005:$BM$1005,1,MATCH(COLUMNS($AM$1006:BH1006),$AM$1006:$BM$1006,0))&gt;=100000), " ",IF(INDEX($AM$2:$BM$1001,MATCH(ROWS($AF$2:AF278),$AF$2:$AF$1001,0),MATCH(COLUMNS($AM$1006:BH1006),$AM$1006:$BM$1006,0)), HYPERLINK("#",""), HYPERLINK(CONCATENATE("#metadata!", ADDRESS(INDEX($AH$2:$AH$1001,MATCH(ROWS($AF$2:AF278),$AF$2:$AF$1001,0),0), INDEX($AM$1004:$BM$1004,1,MATCH(COLUMNS($AM$1006:BH1006),$AM$1006:$BM$1006,0)))),"Fix")))</f>
        <v xml:space="preserve"> </v>
      </c>
      <c r="X278" s="4" t="str">
        <f ca="1">IF(OR(INDEX($AG$2:$AG$1001,MATCH(ROWS($AF$2:AF278),$AF$2:$AF$1001,0),1)&gt;=100000,INDEX($AM$1005:$BM$1005,1,MATCH(COLUMNS($AM$1006:BI1006),$AM$1006:$BM$1006,0))&gt;=100000), " ",IF(INDEX($AM$2:$BM$1001,MATCH(ROWS($AF$2:AF278),$AF$2:$AF$1001,0),MATCH(COLUMNS($AM$1006:BI1006),$AM$1006:$BM$1006,0)), HYPERLINK("#",""), HYPERLINK(CONCATENATE("#metadata!", ADDRESS(INDEX($AH$2:$AH$1001,MATCH(ROWS($AF$2:AF278),$AF$2:$AF$1001,0),0), INDEX($AM$1004:$BM$1004,1,MATCH(COLUMNS($AM$1006:BI1006),$AM$1006:$BM$1006,0)))),"Fix")))</f>
        <v xml:space="preserve"> </v>
      </c>
      <c r="Y278" s="4" t="str">
        <f ca="1">IF(OR(INDEX($AG$2:$AG$1001,MATCH(ROWS($AF$2:AF278),$AF$2:$AF$1001,0),1)&gt;=100000,INDEX($AM$1005:$BM$1005,1,MATCH(COLUMNS($AM$1006:BJ1006),$AM$1006:$BM$1006,0))&gt;=100000), " ",IF(INDEX($AM$2:$BM$1001,MATCH(ROWS($AF$2:AF278),$AF$2:$AF$1001,0),MATCH(COLUMNS($AM$1006:BJ1006),$AM$1006:$BM$1006,0)), HYPERLINK("#",""), HYPERLINK(CONCATENATE("#metadata!", ADDRESS(INDEX($AH$2:$AH$1001,MATCH(ROWS($AF$2:AF278),$AF$2:$AF$1001,0),0), INDEX($AM$1004:$BM$1004,1,MATCH(COLUMNS($AM$1006:BJ1006),$AM$1006:$BM$1006,0)))),"Fix")))</f>
        <v xml:space="preserve"> </v>
      </c>
      <c r="Z278" s="4" t="str">
        <f ca="1">IF(OR(INDEX($AG$2:$AG$1001,MATCH(ROWS($AF$2:AF278),$AF$2:$AF$1001,0),1)&gt;=100000,INDEX($AM$1005:$BM$1005,1,MATCH(COLUMNS($AM$1006:BK1006),$AM$1006:$BM$1006,0))&gt;=100000), " ",IF(INDEX($AM$2:$BM$1001,MATCH(ROWS($AF$2:AF278),$AF$2:$AF$1001,0),MATCH(COLUMNS($AM$1006:BK1006),$AM$1006:$BM$1006,0)), HYPERLINK("#",""), HYPERLINK(CONCATENATE("#metadata!", ADDRESS(INDEX($AH$2:$AH$1001,MATCH(ROWS($AF$2:AF278),$AF$2:$AF$1001,0),0), INDEX($AM$1004:$BM$1004,1,MATCH(COLUMNS($AM$1006:BK1006),$AM$1006:$BM$1006,0)))),"Fix")))</f>
        <v xml:space="preserve"> </v>
      </c>
      <c r="AA278" s="4" t="str">
        <f ca="1">IF(OR(INDEX($AG$2:$AG$1001,MATCH(ROWS($AF$2:AF278),$AF$2:$AF$1001,0),1)&gt;=100000,INDEX($AM$1005:$BM$1005,1,MATCH(COLUMNS($AM$1006:BL1006),$AM$1006:$BM$1006,0))&gt;=100000), " ",IF(INDEX($AM$2:$BM$1001,MATCH(ROWS($AF$2:AF278),$AF$2:$AF$1001,0),MATCH(COLUMNS($AM$1006:BL1006),$AM$1006:$BM$1006,0)), HYPERLINK("#",""), HYPERLINK(CONCATENATE("#metadata!", ADDRESS(INDEX($AH$2:$AH$1001,MATCH(ROWS($AF$2:AF278),$AF$2:$AF$1001,0),0), INDEX($AM$1004:$BM$1004,1,MATCH(COLUMNS($AM$1006:BL1006),$AM$1006:$BM$1006,0)))),"Fix")))</f>
        <v xml:space="preserve"> </v>
      </c>
      <c r="AB278" s="4" t="str">
        <f ca="1">IF(OR(INDEX($AG$2:$AG$1001,MATCH(ROWS($AF$2:AF278),$AF$2:$AF$1001,0),1)&gt;=100000,INDEX($AM$1005:$BM$1005,1,MATCH(COLUMNS($AM$1006:BM1006),$AM$1006:$BM$1006,0))&gt;=100000), " ",IF(INDEX($AM$2:$BM$1001,MATCH(ROWS($AF$2:AF278),$AF$2:$AF$1001,0),MATCH(COLUMNS($AM$1006:BM1006),$AM$1006:$BM$1006,0)), HYPERLINK("#",""), HYPERLINK(CONCATENATE("#metadata!", ADDRESS(INDEX($AH$2:$AH$1001,MATCH(ROWS($AF$2:AF278),$AF$2:$AF$1001,0),0), INDEX($AM$1004:$BM$1004,1,MATCH(COLUMNS($AM$1006:BM1006),$AM$1006:$BM$1006,0)))),"Fix")))</f>
        <v xml:space="preserve"> </v>
      </c>
      <c r="AF278">
        <v>277</v>
      </c>
      <c r="AG278">
        <v>100278</v>
      </c>
      <c r="AH278">
        <v>278</v>
      </c>
      <c r="AI278" t="b">
        <f t="shared" si="4"/>
        <v>1</v>
      </c>
      <c r="AJ278" t="b">
        <f>COUNTBLANK(metadata!B278:AB278)=COLUMNS(metadata!B278:AB278)</f>
        <v>1</v>
      </c>
      <c r="AK278" t="str">
        <v/>
      </c>
      <c r="AM278" t="b">
        <f ca="1">AND(IF(metadata!B278="",FALSE,TRUE),COUNTIF(metadata!B:B, metadata!B278) = 1,NOT(ISERROR(SUMPRODUCT(SEARCH(MID(metadata!B278,ROW(INDIRECT("1:"&amp;LEN(metadata!B278))), 1),"0123456789abcdefghijklmnopqrstuvwxyzABCDEFGHIJKLMNOPQRSTUVWXYZ.")))))</f>
        <v>0</v>
      </c>
      <c r="AN278" t="b">
        <f ca="1">OR(AND(IF(metadata!C278="",FALSE,TRUE),OR(EXACT(metadata!C278,"missing: not collected"),EXACT(metadata!C278,"missing: not provided"),EXACT(metadata!C278,"missing: restricted access"))),AND(IF(metadata!C278="",FALSE,TRUE),AND(AND(IFERROR(INT(LEFT(metadata!C278,4))&gt;1900,FALSE),IFERROR(INT(LEFT(metadata!C278,4))&lt;=YEAR(NOW()),FALSE)), OR(MID(metadata!C278,5,1)="", AND(AND(MID(metadata!C278,5,1)="-",IFERROR(INT(MID(metadata!C278,6,1))&gt;=0,FALSE),IFERROR(INT(MID(metadata!C278,6,1))&lt;=1,FALSE),NOT(MID(metadata!C278,7,1)=""),IFERROR(INT(MID(metadata!C278,6,2))&gt;=1,FALSE),IFERROR(INT(MID(metadata!C278,6,2))&lt;=12,FALSE)), OR(MID(metadata!C278,8,1)="", AND(AND(MID(metadata!C278,8,1)="-",IFERROR(INT(MID(metadata!C278,9,1))&gt;=0,FALSE),IFERROR(INT(MID(metadata!C278,9,1))&lt;=3,FALSE),NOT(MID(metadata!C278,10,1)=""),IFERROR(INT(MID(metadata!C278,9,2))&gt;=1,FALSE),IFERROR(INT(MID(metadata!C278,9,2))&lt;=31,FALSE)), OR(MID(metadata!C278,11,1)="", AND(AND(MID(metadata!C278,11,1)=" ",IFERROR(INT(MID(metadata!C278,12,1))&gt;=0,FALSE),IFERROR(INT(MID(metadata!C278,12,1))&lt;=2,FALSE),NOT(MID(metadata!C278,13,1)=""),IFERROR(INT(MID(metadata!C278,12,2))&gt;=0,FALSE),IFERROR(INT(MID(metadata!C278,12,2))&lt;=23,FALSE)), OR(MID(metadata!C278,14,1)="", AND(AND(MID(metadata!C278,14,1)=":",IFERROR(INT(MID(metadata!C278,15,1))&gt;=0,FALSE),IFERROR(INT(MID(metadata!C278,15,1))&lt;=5,FALSE),NOT(MID(metadata!C278,16,1)=""),IFERROR(INT(MID(metadata!C278,15,2))&gt;=0,FALSE),IFERROR(INT(MID(metadata!C278,15,2))&lt;=59,FALSE)), OR(MID(metadata!C278,17,1)="", AND(AND(MID(metadata!C278,17,1)=":",IFERROR(INT(MID(metadata!C278,18,1))&gt;=0,FALSE),IFERROR(INT(MID(metadata!C278,18,1))&lt;=5,FALSE),NOT(MID(metadata!C278,19,1)=""),IFERROR(INT(MID(metadata!C278,18,2))&gt;=0,FALSE),IFERROR(INT(MID(metadata!C278,18,2))&lt;=59,FALSE)), LEN(metadata!C278)&lt;=19)))))))))))))</f>
        <v>0</v>
      </c>
      <c r="AO278" t="b">
        <f>AND(IF(metadata!D278="",FALSE,TRUE),EXACT(metadata!D278,"Not applicable"))</f>
        <v>0</v>
      </c>
      <c r="AP278" t="b">
        <f>IF(metadata!E278="",FALSE,TRUE)</f>
        <v>0</v>
      </c>
      <c r="AQ278" t="b">
        <f>OR(AND(IF(metadata!F278="",FALSE,TRUE),OR(EXACT(metadata!F278,"missing: not collected"),EXACT(metadata!F278,"missing: not provided"))),AND(IF(metadata!F278="",FALSE,TRUE),OR(EXACT(metadata!F278,"TRUE"),EXACT(metadata!F278,"FALSE"))))</f>
        <v>0</v>
      </c>
      <c r="AR278" t="b">
        <f>OR(AND(IF(metadata!G278="",FALSE,TRUE),OR(EXACT(metadata!G278,"missing: not collected"),EXACT(metadata!G278,"missing: not provided"),EXACT(metadata!G278,"missing: restricted access"))),AND(IF(metadata!G278="",FALSE,ISNUMBER(VALUE(metadata!G278))),metadata!G278&gt;=-413))</f>
        <v>0</v>
      </c>
      <c r="AS278" t="b">
        <f>AND(IF(metadata!H278="",FALSE,TRUE),EXACT(metadata!H278,"meters"))</f>
        <v>0</v>
      </c>
      <c r="AT278" t="b">
        <f>AND(IF(metadata!I278="",FALSE,TRUE),OR(EXACT(metadata!I278,"Host-associated"),EXACT(metadata!I278,"Free-living")))</f>
        <v>0</v>
      </c>
      <c r="AU278" t="b">
        <f>AND(IF(metadata!J278="",FALSE,TRUE),OR(EXACT(metadata!J278,"Animal"),EXACT(metadata!J278,"Fungus"),EXACT(metadata!J278,"Plant"),EXACT(metadata!J278,"Saline"),EXACT(metadata!J278,"Non-saline")))</f>
        <v>0</v>
      </c>
      <c r="AV278" t="b">
        <f>AND(IF(metadata!K278="",FALSE,TRUE),OR(EXACT(metadata!K278,"Plant secretion"),EXACT(metadata!K278,"Plant rhizosphere"),EXACT(metadata!K278,"Plant surface"),EXACT(metadata!K278,"Plant corpus"),EXACT(metadata!K278,"Fungus surface"),EXACT(metadata!K278,"Fungus corpus"),EXACT(metadata!K278,"Animal surface"),EXACT(metadata!K278,"Animal proximal gut"),EXACT(metadata!K278,"Animal corpus"),EXACT(metadata!K278,"Animal distal gut"),EXACT(metadata!K278,"Animal secretion"),EXACT(metadata!K278,"Sub-surface (non-saline)"),EXACT(metadata!K278,"Surface (non-saline)"),EXACT(metadata!K278,"Water (non-saline)"),EXACT(metadata!K278,"Soil (non-saline)"),EXACT(metadata!K278,"Aerosol (non-saline)"),EXACT(metadata!K278,"Sediment (non-saline)"),EXACT(metadata!K278,"Surface (saline)"),EXACT(metadata!K278,"Water (saline)"),EXACT(metadata!K278,"Hypersaline (saline)"),EXACT(metadata!K278,"Aerosol (saline)"),EXACT(metadata!K278,"Sediment (saline)")))</f>
        <v>0</v>
      </c>
      <c r="AW278" t="b">
        <f>IF(metadata!L278="",FALSE,TRUE)</f>
        <v>0</v>
      </c>
      <c r="AX278" t="b">
        <f>IF(metadata!M278="",FALSE,TRUE)</f>
        <v>0</v>
      </c>
      <c r="AY278" t="b">
        <f>IF(metadata!N278="",FALSE,TRUE)</f>
        <v>0</v>
      </c>
      <c r="AZ278" t="b">
        <f>OR(AND(IF(metadata!O278="",FALSE,TRUE),OR(EXACT(metadata!O278,"missing: not collected"),EXACT(metadata!O278,"missing: not provided"),EXACT(metadata!O278,"missing: restricted access"))),AND(IF(metadata!O278="",FALSE,TRUE),OR(EXACT(metadata!O278,"air"),EXACT(metadata!O278,"built environment"),EXACT(metadata!O278,"host-associated"),EXACT(metadata!O278,"human-associated"),EXACT(metadata!O278,"human-skin"),EXACT(metadata!O278,"human-oral"),EXACT(metadata!O278,"human-gut"),EXACT(metadata!O278,"human-vaginal"),EXACT(metadata!O278,"microbial mat/biofilm"),EXACT(metadata!O278,"misc environment"),EXACT(metadata!O278,"plant-associated"),EXACT(metadata!O278,"sediment"),EXACT(metadata!O278,"soil"),EXACT(metadata!O278,"wastewater/sludge"),EXACT(metadata!O278,"water"))))</f>
        <v>0</v>
      </c>
      <c r="BA278" t="b">
        <f>IF(metadata!P278="",FALSE,TRUE)</f>
        <v>0</v>
      </c>
      <c r="BB278" t="b">
        <f>IF(metadata!Q278="",FALSE,TRUE)</f>
        <v>0</v>
      </c>
      <c r="BC278" t="b">
        <f>OR(AND(IF(metadata!R278="",FALSE,TRUE),OR(EXACT(metadata!R278,"missing: not collected"),EXACT(metadata!R278,"missing: not provided"),EXACT(metadata!R278,"missing: restricted access"))),AND(IF(metadata!R278="",FALSE,ISNUMBER(VALUE(metadata!R278))),metadata!R278&gt;=-90,metadata!R278&lt;=90))</f>
        <v>0</v>
      </c>
      <c r="BD278" t="b">
        <f>AND(IF(metadata!S278="",FALSE,TRUE),EXACT(metadata!S278,"Decimal degrees"))</f>
        <v>0</v>
      </c>
      <c r="BE278" t="b">
        <f>OR(AND(IF(metadata!T278="",FALSE,TRUE),OR(EXACT(metadata!T278,"missing: not collected"),EXACT(metadata!T278,"missing: not provided"),EXACT(metadata!T278,"missing: restricted access"))),AND(IF(metadata!T278="",FALSE,ISNUMBER(VALUE(metadata!T278))),metadata!T278&gt;=-180,metadata!T278&lt;=180))</f>
        <v>0</v>
      </c>
      <c r="BF278" t="b">
        <f>AND(IF(metadata!U278="",FALSE,TRUE),EXACT(metadata!U278,"Decimal degrees"))</f>
        <v>0</v>
      </c>
      <c r="BG278" t="b">
        <f>IF(metadata!V278="",FALSE,TRUE)</f>
        <v>0</v>
      </c>
      <c r="BH278" t="b">
        <f>OR(AND(IF(metadata!W278="",FALSE,TRUE),OR(EXACT(metadata!W278,"missing: not collected"),EXACT(metadata!W278,"missing: not provided"),EXACT(metadata!W278,"missing: restricted access"))),AND(IF(metadata!W278="",FALSE,TRUE),OR(EXACT(metadata!W278,"TRUE"),EXACT(metadata!W278,"FALSE"))))</f>
        <v>0</v>
      </c>
      <c r="BI278" t="b">
        <f>AND(IF(metadata!X278="",FALSE,TRUE),EXACT(metadata!X278,"other"))</f>
        <v>0</v>
      </c>
      <c r="BJ278" t="b">
        <f>IF(metadata!Y278="",FALSE,TRUE)</f>
        <v>0</v>
      </c>
      <c r="BK278" t="b">
        <f>OR(AND(IF(metadata!Z278="",FALSE,TRUE),OR(EXACT(metadata!Z278,"missing: not collected"),EXACT(metadata!Z278,"missing: not provided"))),AND(IF(metadata!Z278="",FALSE,IF(ISERROR(INT(metadata!Z278)),FALSE,INT(metadata!Z278)=metadata!Z278)),metadata!Z278&gt;0))</f>
        <v>0</v>
      </c>
      <c r="BL278" t="b">
        <f>AND(IF(metadata!AA278="",FALSE,TRUE),EXACT(metadata!AA278,"Not applicable"))</f>
        <v>0</v>
      </c>
      <c r="BM278" t="b">
        <f>IF(metadata!AB278="",FALSE,TRUE)</f>
        <v>0</v>
      </c>
    </row>
    <row r="279" spans="1:65" x14ac:dyDescent="0.2">
      <c r="A279" s="5" t="str">
        <f ca="1">IF(B279=" "," ",HYPERLINK(CONCATENATE("#metadata!",ADDRESS(INDEX($AH$2:$AH$1001,MATCH(ROWS($AF$2:AF279),$AF$2:$AF$1001,0),0),1)),INDEX($AK$2:$AK$1001,MATCH(ROWS($AF$2:AF279),$AF$2:$AF$1001,0),0)))</f>
        <v xml:space="preserve"> </v>
      </c>
      <c r="B279" s="4" t="str">
        <f ca="1">IF(OR(INDEX($AG$2:$AG$1001,MATCH(ROWS($AF$2:AF279),$AF$2:$AF$1001,0),1)&gt;=100000,INDEX($AM$1005:$BM$1005,1,MATCH(COLUMNS($AM$1006:AM1006),$AM$1006:$BM$1006,0))&gt;=100000), " ",IF(INDEX($AM$2:$BM$1001,MATCH(ROWS($AF$2:AF279),$AF$2:$AF$1001,0),MATCH(COLUMNS($AM$1006:AM1006),$AM$1006:$BM$1006,0)), HYPERLINK("#",""), HYPERLINK(CONCATENATE("#metadata!", ADDRESS(INDEX($AH$2:$AH$1001,MATCH(ROWS($AF$2:AF279),$AF$2:$AF$1001,0),0), INDEX($AM$1004:$BM$1004,1,MATCH(COLUMNS($AM$1006:AM1006),$AM$1006:$BM$1006,0)))),"Fix")))</f>
        <v xml:space="preserve"> </v>
      </c>
      <c r="C279" s="4" t="str">
        <f ca="1">IF(OR(INDEX($AG$2:$AG$1001,MATCH(ROWS($AF$2:AF279),$AF$2:$AF$1001,0),1)&gt;=100000,INDEX($AM$1005:$BM$1005,1,MATCH(COLUMNS($AM$1006:AN1006),$AM$1006:$BM$1006,0))&gt;=100000), " ",IF(INDEX($AM$2:$BM$1001,MATCH(ROWS($AF$2:AF279),$AF$2:$AF$1001,0),MATCH(COLUMNS($AM$1006:AN1006),$AM$1006:$BM$1006,0)), HYPERLINK("#",""), HYPERLINK(CONCATENATE("#metadata!", ADDRESS(INDEX($AH$2:$AH$1001,MATCH(ROWS($AF$2:AF279),$AF$2:$AF$1001,0),0), INDEX($AM$1004:$BM$1004,1,MATCH(COLUMNS($AM$1006:AN1006),$AM$1006:$BM$1006,0)))),"Fix")))</f>
        <v xml:space="preserve"> </v>
      </c>
      <c r="D279" s="4" t="str">
        <f ca="1">IF(OR(INDEX($AG$2:$AG$1001,MATCH(ROWS($AF$2:AF279),$AF$2:$AF$1001,0),1)&gt;=100000,INDEX($AM$1005:$BM$1005,1,MATCH(COLUMNS($AM$1006:AO1006),$AM$1006:$BM$1006,0))&gt;=100000), " ",IF(INDEX($AM$2:$BM$1001,MATCH(ROWS($AF$2:AF279),$AF$2:$AF$1001,0),MATCH(COLUMNS($AM$1006:AO1006),$AM$1006:$BM$1006,0)), HYPERLINK("#",""), HYPERLINK(CONCATENATE("#metadata!", ADDRESS(INDEX($AH$2:$AH$1001,MATCH(ROWS($AF$2:AF279),$AF$2:$AF$1001,0),0), INDEX($AM$1004:$BM$1004,1,MATCH(COLUMNS($AM$1006:AO1006),$AM$1006:$BM$1006,0)))),"Fix")))</f>
        <v xml:space="preserve"> </v>
      </c>
      <c r="E279" s="4" t="str">
        <f ca="1">IF(OR(INDEX($AG$2:$AG$1001,MATCH(ROWS($AF$2:AF279),$AF$2:$AF$1001,0),1)&gt;=100000,INDEX($AM$1005:$BM$1005,1,MATCH(COLUMNS($AM$1006:AP1006),$AM$1006:$BM$1006,0))&gt;=100000), " ",IF(INDEX($AM$2:$BM$1001,MATCH(ROWS($AF$2:AF279),$AF$2:$AF$1001,0),MATCH(COLUMNS($AM$1006:AP1006),$AM$1006:$BM$1006,0)), HYPERLINK("#",""), HYPERLINK(CONCATENATE("#metadata!", ADDRESS(INDEX($AH$2:$AH$1001,MATCH(ROWS($AF$2:AF279),$AF$2:$AF$1001,0),0), INDEX($AM$1004:$BM$1004,1,MATCH(COLUMNS($AM$1006:AP1006),$AM$1006:$BM$1006,0)))),"Fix")))</f>
        <v xml:space="preserve"> </v>
      </c>
      <c r="F279" s="4" t="str">
        <f ca="1">IF(OR(INDEX($AG$2:$AG$1001,MATCH(ROWS($AF$2:AF279),$AF$2:$AF$1001,0),1)&gt;=100000,INDEX($AM$1005:$BM$1005,1,MATCH(COLUMNS($AM$1006:AQ1006),$AM$1006:$BM$1006,0))&gt;=100000), " ",IF(INDEX($AM$2:$BM$1001,MATCH(ROWS($AF$2:AF279),$AF$2:$AF$1001,0),MATCH(COLUMNS($AM$1006:AQ1006),$AM$1006:$BM$1006,0)), HYPERLINK("#",""), HYPERLINK(CONCATENATE("#metadata!", ADDRESS(INDEX($AH$2:$AH$1001,MATCH(ROWS($AF$2:AF279),$AF$2:$AF$1001,0),0), INDEX($AM$1004:$BM$1004,1,MATCH(COLUMNS($AM$1006:AQ1006),$AM$1006:$BM$1006,0)))),"Fix")))</f>
        <v xml:space="preserve"> </v>
      </c>
      <c r="G279" s="4" t="str">
        <f ca="1">IF(OR(INDEX($AG$2:$AG$1001,MATCH(ROWS($AF$2:AF279),$AF$2:$AF$1001,0),1)&gt;=100000,INDEX($AM$1005:$BM$1005,1,MATCH(COLUMNS($AM$1006:AR1006),$AM$1006:$BM$1006,0))&gt;=100000), " ",IF(INDEX($AM$2:$BM$1001,MATCH(ROWS($AF$2:AF279),$AF$2:$AF$1001,0),MATCH(COLUMNS($AM$1006:AR1006),$AM$1006:$BM$1006,0)), HYPERLINK("#",""), HYPERLINK(CONCATENATE("#metadata!", ADDRESS(INDEX($AH$2:$AH$1001,MATCH(ROWS($AF$2:AF279),$AF$2:$AF$1001,0),0), INDEX($AM$1004:$BM$1004,1,MATCH(COLUMNS($AM$1006:AR1006),$AM$1006:$BM$1006,0)))),"Fix")))</f>
        <v xml:space="preserve"> </v>
      </c>
      <c r="H279" s="4" t="str">
        <f ca="1">IF(OR(INDEX($AG$2:$AG$1001,MATCH(ROWS($AF$2:AF279),$AF$2:$AF$1001,0),1)&gt;=100000,INDEX($AM$1005:$BM$1005,1,MATCH(COLUMNS($AM$1006:AS1006),$AM$1006:$BM$1006,0))&gt;=100000), " ",IF(INDEX($AM$2:$BM$1001,MATCH(ROWS($AF$2:AF279),$AF$2:$AF$1001,0),MATCH(COLUMNS($AM$1006:AS1006),$AM$1006:$BM$1006,0)), HYPERLINK("#",""), HYPERLINK(CONCATENATE("#metadata!", ADDRESS(INDEX($AH$2:$AH$1001,MATCH(ROWS($AF$2:AF279),$AF$2:$AF$1001,0),0), INDEX($AM$1004:$BM$1004,1,MATCH(COLUMNS($AM$1006:AS1006),$AM$1006:$BM$1006,0)))),"Fix")))</f>
        <v xml:space="preserve"> </v>
      </c>
      <c r="I279" s="4" t="str">
        <f ca="1">IF(OR(INDEX($AG$2:$AG$1001,MATCH(ROWS($AF$2:AF279),$AF$2:$AF$1001,0),1)&gt;=100000,INDEX($AM$1005:$BM$1005,1,MATCH(COLUMNS($AM$1006:AT1006),$AM$1006:$BM$1006,0))&gt;=100000), " ",IF(INDEX($AM$2:$BM$1001,MATCH(ROWS($AF$2:AF279),$AF$2:$AF$1001,0),MATCH(COLUMNS($AM$1006:AT1006),$AM$1006:$BM$1006,0)), HYPERLINK("#",""), HYPERLINK(CONCATENATE("#metadata!", ADDRESS(INDEX($AH$2:$AH$1001,MATCH(ROWS($AF$2:AF279),$AF$2:$AF$1001,0),0), INDEX($AM$1004:$BM$1004,1,MATCH(COLUMNS($AM$1006:AT1006),$AM$1006:$BM$1006,0)))),"Fix")))</f>
        <v xml:space="preserve"> </v>
      </c>
      <c r="J279" s="4" t="str">
        <f ca="1">IF(OR(INDEX($AG$2:$AG$1001,MATCH(ROWS($AF$2:AF279),$AF$2:$AF$1001,0),1)&gt;=100000,INDEX($AM$1005:$BM$1005,1,MATCH(COLUMNS($AM$1006:AU1006),$AM$1006:$BM$1006,0))&gt;=100000), " ",IF(INDEX($AM$2:$BM$1001,MATCH(ROWS($AF$2:AF279),$AF$2:$AF$1001,0),MATCH(COLUMNS($AM$1006:AU1006),$AM$1006:$BM$1006,0)), HYPERLINK("#",""), HYPERLINK(CONCATENATE("#metadata!", ADDRESS(INDEX($AH$2:$AH$1001,MATCH(ROWS($AF$2:AF279),$AF$2:$AF$1001,0),0), INDEX($AM$1004:$BM$1004,1,MATCH(COLUMNS($AM$1006:AU1006),$AM$1006:$BM$1006,0)))),"Fix")))</f>
        <v xml:space="preserve"> </v>
      </c>
      <c r="K279" s="4" t="str">
        <f ca="1">IF(OR(INDEX($AG$2:$AG$1001,MATCH(ROWS($AF$2:AF279),$AF$2:$AF$1001,0),1)&gt;=100000,INDEX($AM$1005:$BM$1005,1,MATCH(COLUMNS($AM$1006:AV1006),$AM$1006:$BM$1006,0))&gt;=100000), " ",IF(INDEX($AM$2:$BM$1001,MATCH(ROWS($AF$2:AF279),$AF$2:$AF$1001,0),MATCH(COLUMNS($AM$1006:AV1006),$AM$1006:$BM$1006,0)), HYPERLINK("#",""), HYPERLINK(CONCATENATE("#metadata!", ADDRESS(INDEX($AH$2:$AH$1001,MATCH(ROWS($AF$2:AF279),$AF$2:$AF$1001,0),0), INDEX($AM$1004:$BM$1004,1,MATCH(COLUMNS($AM$1006:AV1006),$AM$1006:$BM$1006,0)))),"Fix")))</f>
        <v xml:space="preserve"> </v>
      </c>
      <c r="L279" s="4" t="str">
        <f ca="1">IF(OR(INDEX($AG$2:$AG$1001,MATCH(ROWS($AF$2:AF279),$AF$2:$AF$1001,0),1)&gt;=100000,INDEX($AM$1005:$BM$1005,1,MATCH(COLUMNS($AM$1006:AW1006),$AM$1006:$BM$1006,0))&gt;=100000), " ",IF(INDEX($AM$2:$BM$1001,MATCH(ROWS($AF$2:AF279),$AF$2:$AF$1001,0),MATCH(COLUMNS($AM$1006:AW1006),$AM$1006:$BM$1006,0)), HYPERLINK("#",""), HYPERLINK(CONCATENATE("#metadata!", ADDRESS(INDEX($AH$2:$AH$1001,MATCH(ROWS($AF$2:AF279),$AF$2:$AF$1001,0),0), INDEX($AM$1004:$BM$1004,1,MATCH(COLUMNS($AM$1006:AW1006),$AM$1006:$BM$1006,0)))),"Fix")))</f>
        <v xml:space="preserve"> </v>
      </c>
      <c r="M279" s="4" t="str">
        <f ca="1">IF(OR(INDEX($AG$2:$AG$1001,MATCH(ROWS($AF$2:AF279),$AF$2:$AF$1001,0),1)&gt;=100000,INDEX($AM$1005:$BM$1005,1,MATCH(COLUMNS($AM$1006:AX1006),$AM$1006:$BM$1006,0))&gt;=100000), " ",IF(INDEX($AM$2:$BM$1001,MATCH(ROWS($AF$2:AF279),$AF$2:$AF$1001,0),MATCH(COLUMNS($AM$1006:AX1006),$AM$1006:$BM$1006,0)), HYPERLINK("#",""), HYPERLINK(CONCATENATE("#metadata!", ADDRESS(INDEX($AH$2:$AH$1001,MATCH(ROWS($AF$2:AF279),$AF$2:$AF$1001,0),0), INDEX($AM$1004:$BM$1004,1,MATCH(COLUMNS($AM$1006:AX1006),$AM$1006:$BM$1006,0)))),"Fix")))</f>
        <v xml:space="preserve"> </v>
      </c>
      <c r="N279" s="4" t="str">
        <f ca="1">IF(OR(INDEX($AG$2:$AG$1001,MATCH(ROWS($AF$2:AF279),$AF$2:$AF$1001,0),1)&gt;=100000,INDEX($AM$1005:$BM$1005,1,MATCH(COLUMNS($AM$1006:AY1006),$AM$1006:$BM$1006,0))&gt;=100000), " ",IF(INDEX($AM$2:$BM$1001,MATCH(ROWS($AF$2:AF279),$AF$2:$AF$1001,0),MATCH(COLUMNS($AM$1006:AY1006),$AM$1006:$BM$1006,0)), HYPERLINK("#",""), HYPERLINK(CONCATENATE("#metadata!", ADDRESS(INDEX($AH$2:$AH$1001,MATCH(ROWS($AF$2:AF279),$AF$2:$AF$1001,0),0), INDEX($AM$1004:$BM$1004,1,MATCH(COLUMNS($AM$1006:AY1006),$AM$1006:$BM$1006,0)))),"Fix")))</f>
        <v xml:space="preserve"> </v>
      </c>
      <c r="O279" s="4" t="str">
        <f ca="1">IF(OR(INDEX($AG$2:$AG$1001,MATCH(ROWS($AF$2:AF279),$AF$2:$AF$1001,0),1)&gt;=100000,INDEX($AM$1005:$BM$1005,1,MATCH(COLUMNS($AM$1006:AZ1006),$AM$1006:$BM$1006,0))&gt;=100000), " ",IF(INDEX($AM$2:$BM$1001,MATCH(ROWS($AF$2:AF279),$AF$2:$AF$1001,0),MATCH(COLUMNS($AM$1006:AZ1006),$AM$1006:$BM$1006,0)), HYPERLINK("#",""), HYPERLINK(CONCATENATE("#metadata!", ADDRESS(INDEX($AH$2:$AH$1001,MATCH(ROWS($AF$2:AF279),$AF$2:$AF$1001,0),0), INDEX($AM$1004:$BM$1004,1,MATCH(COLUMNS($AM$1006:AZ1006),$AM$1006:$BM$1006,0)))),"Fix")))</f>
        <v xml:space="preserve"> </v>
      </c>
      <c r="P279" s="4" t="str">
        <f ca="1">IF(OR(INDEX($AG$2:$AG$1001,MATCH(ROWS($AF$2:AF279),$AF$2:$AF$1001,0),1)&gt;=100000,INDEX($AM$1005:$BM$1005,1,MATCH(COLUMNS($AM$1006:BA1006),$AM$1006:$BM$1006,0))&gt;=100000), " ",IF(INDEX($AM$2:$BM$1001,MATCH(ROWS($AF$2:AF279),$AF$2:$AF$1001,0),MATCH(COLUMNS($AM$1006:BA1006),$AM$1006:$BM$1006,0)), HYPERLINK("#",""), HYPERLINK(CONCATENATE("#metadata!", ADDRESS(INDEX($AH$2:$AH$1001,MATCH(ROWS($AF$2:AF279),$AF$2:$AF$1001,0),0), INDEX($AM$1004:$BM$1004,1,MATCH(COLUMNS($AM$1006:BA1006),$AM$1006:$BM$1006,0)))),"Fix")))</f>
        <v xml:space="preserve"> </v>
      </c>
      <c r="Q279" s="4" t="str">
        <f ca="1">IF(OR(INDEX($AG$2:$AG$1001,MATCH(ROWS($AF$2:AF279),$AF$2:$AF$1001,0),1)&gt;=100000,INDEX($AM$1005:$BM$1005,1,MATCH(COLUMNS($AM$1006:BB1006),$AM$1006:$BM$1006,0))&gt;=100000), " ",IF(INDEX($AM$2:$BM$1001,MATCH(ROWS($AF$2:AF279),$AF$2:$AF$1001,0),MATCH(COLUMNS($AM$1006:BB1006),$AM$1006:$BM$1006,0)), HYPERLINK("#",""), HYPERLINK(CONCATENATE("#metadata!", ADDRESS(INDEX($AH$2:$AH$1001,MATCH(ROWS($AF$2:AF279),$AF$2:$AF$1001,0),0), INDEX($AM$1004:$BM$1004,1,MATCH(COLUMNS($AM$1006:BB1006),$AM$1006:$BM$1006,0)))),"Fix")))</f>
        <v xml:space="preserve"> </v>
      </c>
      <c r="R279" s="4" t="str">
        <f ca="1">IF(OR(INDEX($AG$2:$AG$1001,MATCH(ROWS($AF$2:AF279),$AF$2:$AF$1001,0),1)&gt;=100000,INDEX($AM$1005:$BM$1005,1,MATCH(COLUMNS($AM$1006:BC1006),$AM$1006:$BM$1006,0))&gt;=100000), " ",IF(INDEX($AM$2:$BM$1001,MATCH(ROWS($AF$2:AF279),$AF$2:$AF$1001,0),MATCH(COLUMNS($AM$1006:BC1006),$AM$1006:$BM$1006,0)), HYPERLINK("#",""), HYPERLINK(CONCATENATE("#metadata!", ADDRESS(INDEX($AH$2:$AH$1001,MATCH(ROWS($AF$2:AF279),$AF$2:$AF$1001,0),0), INDEX($AM$1004:$BM$1004,1,MATCH(COLUMNS($AM$1006:BC1006),$AM$1006:$BM$1006,0)))),"Fix")))</f>
        <v xml:space="preserve"> </v>
      </c>
      <c r="S279" s="4" t="str">
        <f ca="1">IF(OR(INDEX($AG$2:$AG$1001,MATCH(ROWS($AF$2:AF279),$AF$2:$AF$1001,0),1)&gt;=100000,INDEX($AM$1005:$BM$1005,1,MATCH(COLUMNS($AM$1006:BD1006),$AM$1006:$BM$1006,0))&gt;=100000), " ",IF(INDEX($AM$2:$BM$1001,MATCH(ROWS($AF$2:AF279),$AF$2:$AF$1001,0),MATCH(COLUMNS($AM$1006:BD1006),$AM$1006:$BM$1006,0)), HYPERLINK("#",""), HYPERLINK(CONCATENATE("#metadata!", ADDRESS(INDEX($AH$2:$AH$1001,MATCH(ROWS($AF$2:AF279),$AF$2:$AF$1001,0),0), INDEX($AM$1004:$BM$1004,1,MATCH(COLUMNS($AM$1006:BD1006),$AM$1006:$BM$1006,0)))),"Fix")))</f>
        <v xml:space="preserve"> </v>
      </c>
      <c r="T279" s="4" t="str">
        <f ca="1">IF(OR(INDEX($AG$2:$AG$1001,MATCH(ROWS($AF$2:AF279),$AF$2:$AF$1001,0),1)&gt;=100000,INDEX($AM$1005:$BM$1005,1,MATCH(COLUMNS($AM$1006:BE1006),$AM$1006:$BM$1006,0))&gt;=100000), " ",IF(INDEX($AM$2:$BM$1001,MATCH(ROWS($AF$2:AF279),$AF$2:$AF$1001,0),MATCH(COLUMNS($AM$1006:BE1006),$AM$1006:$BM$1006,0)), HYPERLINK("#",""), HYPERLINK(CONCATENATE("#metadata!", ADDRESS(INDEX($AH$2:$AH$1001,MATCH(ROWS($AF$2:AF279),$AF$2:$AF$1001,0),0), INDEX($AM$1004:$BM$1004,1,MATCH(COLUMNS($AM$1006:BE1006),$AM$1006:$BM$1006,0)))),"Fix")))</f>
        <v xml:space="preserve"> </v>
      </c>
      <c r="U279" s="4" t="str">
        <f ca="1">IF(OR(INDEX($AG$2:$AG$1001,MATCH(ROWS($AF$2:AF279),$AF$2:$AF$1001,0),1)&gt;=100000,INDEX($AM$1005:$BM$1005,1,MATCH(COLUMNS($AM$1006:BF1006),$AM$1006:$BM$1006,0))&gt;=100000), " ",IF(INDEX($AM$2:$BM$1001,MATCH(ROWS($AF$2:AF279),$AF$2:$AF$1001,0),MATCH(COLUMNS($AM$1006:BF1006),$AM$1006:$BM$1006,0)), HYPERLINK("#",""), HYPERLINK(CONCATENATE("#metadata!", ADDRESS(INDEX($AH$2:$AH$1001,MATCH(ROWS($AF$2:AF279),$AF$2:$AF$1001,0),0), INDEX($AM$1004:$BM$1004,1,MATCH(COLUMNS($AM$1006:BF1006),$AM$1006:$BM$1006,0)))),"Fix")))</f>
        <v xml:space="preserve"> </v>
      </c>
      <c r="V279" s="4" t="str">
        <f ca="1">IF(OR(INDEX($AG$2:$AG$1001,MATCH(ROWS($AF$2:AF279),$AF$2:$AF$1001,0),1)&gt;=100000,INDEX($AM$1005:$BM$1005,1,MATCH(COLUMNS($AM$1006:BG1006),$AM$1006:$BM$1006,0))&gt;=100000), " ",IF(INDEX($AM$2:$BM$1001,MATCH(ROWS($AF$2:AF279),$AF$2:$AF$1001,0),MATCH(COLUMNS($AM$1006:BG1006),$AM$1006:$BM$1006,0)), HYPERLINK("#",""), HYPERLINK(CONCATENATE("#metadata!", ADDRESS(INDEX($AH$2:$AH$1001,MATCH(ROWS($AF$2:AF279),$AF$2:$AF$1001,0),0), INDEX($AM$1004:$BM$1004,1,MATCH(COLUMNS($AM$1006:BG1006),$AM$1006:$BM$1006,0)))),"Fix")))</f>
        <v xml:space="preserve"> </v>
      </c>
      <c r="W279" s="4" t="str">
        <f ca="1">IF(OR(INDEX($AG$2:$AG$1001,MATCH(ROWS($AF$2:AF279),$AF$2:$AF$1001,0),1)&gt;=100000,INDEX($AM$1005:$BM$1005,1,MATCH(COLUMNS($AM$1006:BH1006),$AM$1006:$BM$1006,0))&gt;=100000), " ",IF(INDEX($AM$2:$BM$1001,MATCH(ROWS($AF$2:AF279),$AF$2:$AF$1001,0),MATCH(COLUMNS($AM$1006:BH1006),$AM$1006:$BM$1006,0)), HYPERLINK("#",""), HYPERLINK(CONCATENATE("#metadata!", ADDRESS(INDEX($AH$2:$AH$1001,MATCH(ROWS($AF$2:AF279),$AF$2:$AF$1001,0),0), INDEX($AM$1004:$BM$1004,1,MATCH(COLUMNS($AM$1006:BH1006),$AM$1006:$BM$1006,0)))),"Fix")))</f>
        <v xml:space="preserve"> </v>
      </c>
      <c r="X279" s="4" t="str">
        <f ca="1">IF(OR(INDEX($AG$2:$AG$1001,MATCH(ROWS($AF$2:AF279),$AF$2:$AF$1001,0),1)&gt;=100000,INDEX($AM$1005:$BM$1005,1,MATCH(COLUMNS($AM$1006:BI1006),$AM$1006:$BM$1006,0))&gt;=100000), " ",IF(INDEX($AM$2:$BM$1001,MATCH(ROWS($AF$2:AF279),$AF$2:$AF$1001,0),MATCH(COLUMNS($AM$1006:BI1006),$AM$1006:$BM$1006,0)), HYPERLINK("#",""), HYPERLINK(CONCATENATE("#metadata!", ADDRESS(INDEX($AH$2:$AH$1001,MATCH(ROWS($AF$2:AF279),$AF$2:$AF$1001,0),0), INDEX($AM$1004:$BM$1004,1,MATCH(COLUMNS($AM$1006:BI1006),$AM$1006:$BM$1006,0)))),"Fix")))</f>
        <v xml:space="preserve"> </v>
      </c>
      <c r="Y279" s="4" t="str">
        <f ca="1">IF(OR(INDEX($AG$2:$AG$1001,MATCH(ROWS($AF$2:AF279),$AF$2:$AF$1001,0),1)&gt;=100000,INDEX($AM$1005:$BM$1005,1,MATCH(COLUMNS($AM$1006:BJ1006),$AM$1006:$BM$1006,0))&gt;=100000), " ",IF(INDEX($AM$2:$BM$1001,MATCH(ROWS($AF$2:AF279),$AF$2:$AF$1001,0),MATCH(COLUMNS($AM$1006:BJ1006),$AM$1006:$BM$1006,0)), HYPERLINK("#",""), HYPERLINK(CONCATENATE("#metadata!", ADDRESS(INDEX($AH$2:$AH$1001,MATCH(ROWS($AF$2:AF279),$AF$2:$AF$1001,0),0), INDEX($AM$1004:$BM$1004,1,MATCH(COLUMNS($AM$1006:BJ1006),$AM$1006:$BM$1006,0)))),"Fix")))</f>
        <v xml:space="preserve"> </v>
      </c>
      <c r="Z279" s="4" t="str">
        <f ca="1">IF(OR(INDEX($AG$2:$AG$1001,MATCH(ROWS($AF$2:AF279),$AF$2:$AF$1001,0),1)&gt;=100000,INDEX($AM$1005:$BM$1005,1,MATCH(COLUMNS($AM$1006:BK1006),$AM$1006:$BM$1006,0))&gt;=100000), " ",IF(INDEX($AM$2:$BM$1001,MATCH(ROWS($AF$2:AF279),$AF$2:$AF$1001,0),MATCH(COLUMNS($AM$1006:BK1006),$AM$1006:$BM$1006,0)), HYPERLINK("#",""), HYPERLINK(CONCATENATE("#metadata!", ADDRESS(INDEX($AH$2:$AH$1001,MATCH(ROWS($AF$2:AF279),$AF$2:$AF$1001,0),0), INDEX($AM$1004:$BM$1004,1,MATCH(COLUMNS($AM$1006:BK1006),$AM$1006:$BM$1006,0)))),"Fix")))</f>
        <v xml:space="preserve"> </v>
      </c>
      <c r="AA279" s="4" t="str">
        <f ca="1">IF(OR(INDEX($AG$2:$AG$1001,MATCH(ROWS($AF$2:AF279),$AF$2:$AF$1001,0),1)&gt;=100000,INDEX($AM$1005:$BM$1005,1,MATCH(COLUMNS($AM$1006:BL1006),$AM$1006:$BM$1006,0))&gt;=100000), " ",IF(INDEX($AM$2:$BM$1001,MATCH(ROWS($AF$2:AF279),$AF$2:$AF$1001,0),MATCH(COLUMNS($AM$1006:BL1006),$AM$1006:$BM$1006,0)), HYPERLINK("#",""), HYPERLINK(CONCATENATE("#metadata!", ADDRESS(INDEX($AH$2:$AH$1001,MATCH(ROWS($AF$2:AF279),$AF$2:$AF$1001,0),0), INDEX($AM$1004:$BM$1004,1,MATCH(COLUMNS($AM$1006:BL1006),$AM$1006:$BM$1006,0)))),"Fix")))</f>
        <v xml:space="preserve"> </v>
      </c>
      <c r="AB279" s="4" t="str">
        <f ca="1">IF(OR(INDEX($AG$2:$AG$1001,MATCH(ROWS($AF$2:AF279),$AF$2:$AF$1001,0),1)&gt;=100000,INDEX($AM$1005:$BM$1005,1,MATCH(COLUMNS($AM$1006:BM1006),$AM$1006:$BM$1006,0))&gt;=100000), " ",IF(INDEX($AM$2:$BM$1001,MATCH(ROWS($AF$2:AF279),$AF$2:$AF$1001,0),MATCH(COLUMNS($AM$1006:BM1006),$AM$1006:$BM$1006,0)), HYPERLINK("#",""), HYPERLINK(CONCATENATE("#metadata!", ADDRESS(INDEX($AH$2:$AH$1001,MATCH(ROWS($AF$2:AF279),$AF$2:$AF$1001,0),0), INDEX($AM$1004:$BM$1004,1,MATCH(COLUMNS($AM$1006:BM1006),$AM$1006:$BM$1006,0)))),"Fix")))</f>
        <v xml:space="preserve"> </v>
      </c>
      <c r="AF279">
        <v>278</v>
      </c>
      <c r="AG279">
        <v>100279</v>
      </c>
      <c r="AH279">
        <v>279</v>
      </c>
      <c r="AI279" t="b">
        <f t="shared" si="4"/>
        <v>1</v>
      </c>
      <c r="AJ279" t="b">
        <f>COUNTBLANK(metadata!B279:AB279)=COLUMNS(metadata!B279:AB279)</f>
        <v>1</v>
      </c>
      <c r="AK279" t="str">
        <v/>
      </c>
      <c r="AM279" t="b">
        <f ca="1">AND(IF(metadata!B279="",FALSE,TRUE),COUNTIF(metadata!B:B, metadata!B279) = 1,NOT(ISERROR(SUMPRODUCT(SEARCH(MID(metadata!B279,ROW(INDIRECT("1:"&amp;LEN(metadata!B279))), 1),"0123456789abcdefghijklmnopqrstuvwxyzABCDEFGHIJKLMNOPQRSTUVWXYZ.")))))</f>
        <v>0</v>
      </c>
      <c r="AN279" t="b">
        <f ca="1">OR(AND(IF(metadata!C279="",FALSE,TRUE),OR(EXACT(metadata!C279,"missing: not collected"),EXACT(metadata!C279,"missing: not provided"),EXACT(metadata!C279,"missing: restricted access"))),AND(IF(metadata!C279="",FALSE,TRUE),AND(AND(IFERROR(INT(LEFT(metadata!C279,4))&gt;1900,FALSE),IFERROR(INT(LEFT(metadata!C279,4))&lt;=YEAR(NOW()),FALSE)), OR(MID(metadata!C279,5,1)="", AND(AND(MID(metadata!C279,5,1)="-",IFERROR(INT(MID(metadata!C279,6,1))&gt;=0,FALSE),IFERROR(INT(MID(metadata!C279,6,1))&lt;=1,FALSE),NOT(MID(metadata!C279,7,1)=""),IFERROR(INT(MID(metadata!C279,6,2))&gt;=1,FALSE),IFERROR(INT(MID(metadata!C279,6,2))&lt;=12,FALSE)), OR(MID(metadata!C279,8,1)="", AND(AND(MID(metadata!C279,8,1)="-",IFERROR(INT(MID(metadata!C279,9,1))&gt;=0,FALSE),IFERROR(INT(MID(metadata!C279,9,1))&lt;=3,FALSE),NOT(MID(metadata!C279,10,1)=""),IFERROR(INT(MID(metadata!C279,9,2))&gt;=1,FALSE),IFERROR(INT(MID(metadata!C279,9,2))&lt;=31,FALSE)), OR(MID(metadata!C279,11,1)="", AND(AND(MID(metadata!C279,11,1)=" ",IFERROR(INT(MID(metadata!C279,12,1))&gt;=0,FALSE),IFERROR(INT(MID(metadata!C279,12,1))&lt;=2,FALSE),NOT(MID(metadata!C279,13,1)=""),IFERROR(INT(MID(metadata!C279,12,2))&gt;=0,FALSE),IFERROR(INT(MID(metadata!C279,12,2))&lt;=23,FALSE)), OR(MID(metadata!C279,14,1)="", AND(AND(MID(metadata!C279,14,1)=":",IFERROR(INT(MID(metadata!C279,15,1))&gt;=0,FALSE),IFERROR(INT(MID(metadata!C279,15,1))&lt;=5,FALSE),NOT(MID(metadata!C279,16,1)=""),IFERROR(INT(MID(metadata!C279,15,2))&gt;=0,FALSE),IFERROR(INT(MID(metadata!C279,15,2))&lt;=59,FALSE)), OR(MID(metadata!C279,17,1)="", AND(AND(MID(metadata!C279,17,1)=":",IFERROR(INT(MID(metadata!C279,18,1))&gt;=0,FALSE),IFERROR(INT(MID(metadata!C279,18,1))&lt;=5,FALSE),NOT(MID(metadata!C279,19,1)=""),IFERROR(INT(MID(metadata!C279,18,2))&gt;=0,FALSE),IFERROR(INT(MID(metadata!C279,18,2))&lt;=59,FALSE)), LEN(metadata!C279)&lt;=19)))))))))))))</f>
        <v>0</v>
      </c>
      <c r="AO279" t="b">
        <f>AND(IF(metadata!D279="",FALSE,TRUE),EXACT(metadata!D279,"Not applicable"))</f>
        <v>0</v>
      </c>
      <c r="AP279" t="b">
        <f>IF(metadata!E279="",FALSE,TRUE)</f>
        <v>0</v>
      </c>
      <c r="AQ279" t="b">
        <f>OR(AND(IF(metadata!F279="",FALSE,TRUE),OR(EXACT(metadata!F279,"missing: not collected"),EXACT(metadata!F279,"missing: not provided"))),AND(IF(metadata!F279="",FALSE,TRUE),OR(EXACT(metadata!F279,"TRUE"),EXACT(metadata!F279,"FALSE"))))</f>
        <v>0</v>
      </c>
      <c r="AR279" t="b">
        <f>OR(AND(IF(metadata!G279="",FALSE,TRUE),OR(EXACT(metadata!G279,"missing: not collected"),EXACT(metadata!G279,"missing: not provided"),EXACT(metadata!G279,"missing: restricted access"))),AND(IF(metadata!G279="",FALSE,ISNUMBER(VALUE(metadata!G279))),metadata!G279&gt;=-413))</f>
        <v>0</v>
      </c>
      <c r="AS279" t="b">
        <f>AND(IF(metadata!H279="",FALSE,TRUE),EXACT(metadata!H279,"meters"))</f>
        <v>0</v>
      </c>
      <c r="AT279" t="b">
        <f>AND(IF(metadata!I279="",FALSE,TRUE),OR(EXACT(metadata!I279,"Host-associated"),EXACT(metadata!I279,"Free-living")))</f>
        <v>0</v>
      </c>
      <c r="AU279" t="b">
        <f>AND(IF(metadata!J279="",FALSE,TRUE),OR(EXACT(metadata!J279,"Animal"),EXACT(metadata!J279,"Fungus"),EXACT(metadata!J279,"Plant"),EXACT(metadata!J279,"Saline"),EXACT(metadata!J279,"Non-saline")))</f>
        <v>0</v>
      </c>
      <c r="AV279" t="b">
        <f>AND(IF(metadata!K279="",FALSE,TRUE),OR(EXACT(metadata!K279,"Plant secretion"),EXACT(metadata!K279,"Plant rhizosphere"),EXACT(metadata!K279,"Plant surface"),EXACT(metadata!K279,"Plant corpus"),EXACT(metadata!K279,"Fungus surface"),EXACT(metadata!K279,"Fungus corpus"),EXACT(metadata!K279,"Animal surface"),EXACT(metadata!K279,"Animal proximal gut"),EXACT(metadata!K279,"Animal corpus"),EXACT(metadata!K279,"Animal distal gut"),EXACT(metadata!K279,"Animal secretion"),EXACT(metadata!K279,"Sub-surface (non-saline)"),EXACT(metadata!K279,"Surface (non-saline)"),EXACT(metadata!K279,"Water (non-saline)"),EXACT(metadata!K279,"Soil (non-saline)"),EXACT(metadata!K279,"Aerosol (non-saline)"),EXACT(metadata!K279,"Sediment (non-saline)"),EXACT(metadata!K279,"Surface (saline)"),EXACT(metadata!K279,"Water (saline)"),EXACT(metadata!K279,"Hypersaline (saline)"),EXACT(metadata!K279,"Aerosol (saline)"),EXACT(metadata!K279,"Sediment (saline)")))</f>
        <v>0</v>
      </c>
      <c r="AW279" t="b">
        <f>IF(metadata!L279="",FALSE,TRUE)</f>
        <v>0</v>
      </c>
      <c r="AX279" t="b">
        <f>IF(metadata!M279="",FALSE,TRUE)</f>
        <v>0</v>
      </c>
      <c r="AY279" t="b">
        <f>IF(metadata!N279="",FALSE,TRUE)</f>
        <v>0</v>
      </c>
      <c r="AZ279" t="b">
        <f>OR(AND(IF(metadata!O279="",FALSE,TRUE),OR(EXACT(metadata!O279,"missing: not collected"),EXACT(metadata!O279,"missing: not provided"),EXACT(metadata!O279,"missing: restricted access"))),AND(IF(metadata!O279="",FALSE,TRUE),OR(EXACT(metadata!O279,"air"),EXACT(metadata!O279,"built environment"),EXACT(metadata!O279,"host-associated"),EXACT(metadata!O279,"human-associated"),EXACT(metadata!O279,"human-skin"),EXACT(metadata!O279,"human-oral"),EXACT(metadata!O279,"human-gut"),EXACT(metadata!O279,"human-vaginal"),EXACT(metadata!O279,"microbial mat/biofilm"),EXACT(metadata!O279,"misc environment"),EXACT(metadata!O279,"plant-associated"),EXACT(metadata!O279,"sediment"),EXACT(metadata!O279,"soil"),EXACT(metadata!O279,"wastewater/sludge"),EXACT(metadata!O279,"water"))))</f>
        <v>0</v>
      </c>
      <c r="BA279" t="b">
        <f>IF(metadata!P279="",FALSE,TRUE)</f>
        <v>0</v>
      </c>
      <c r="BB279" t="b">
        <f>IF(metadata!Q279="",FALSE,TRUE)</f>
        <v>0</v>
      </c>
      <c r="BC279" t="b">
        <f>OR(AND(IF(metadata!R279="",FALSE,TRUE),OR(EXACT(metadata!R279,"missing: not collected"),EXACT(metadata!R279,"missing: not provided"),EXACT(metadata!R279,"missing: restricted access"))),AND(IF(metadata!R279="",FALSE,ISNUMBER(VALUE(metadata!R279))),metadata!R279&gt;=-90,metadata!R279&lt;=90))</f>
        <v>0</v>
      </c>
      <c r="BD279" t="b">
        <f>AND(IF(metadata!S279="",FALSE,TRUE),EXACT(metadata!S279,"Decimal degrees"))</f>
        <v>0</v>
      </c>
      <c r="BE279" t="b">
        <f>OR(AND(IF(metadata!T279="",FALSE,TRUE),OR(EXACT(metadata!T279,"missing: not collected"),EXACT(metadata!T279,"missing: not provided"),EXACT(metadata!T279,"missing: restricted access"))),AND(IF(metadata!T279="",FALSE,ISNUMBER(VALUE(metadata!T279))),metadata!T279&gt;=-180,metadata!T279&lt;=180))</f>
        <v>0</v>
      </c>
      <c r="BF279" t="b">
        <f>AND(IF(metadata!U279="",FALSE,TRUE),EXACT(metadata!U279,"Decimal degrees"))</f>
        <v>0</v>
      </c>
      <c r="BG279" t="b">
        <f>IF(metadata!V279="",FALSE,TRUE)</f>
        <v>0</v>
      </c>
      <c r="BH279" t="b">
        <f>OR(AND(IF(metadata!W279="",FALSE,TRUE),OR(EXACT(metadata!W279,"missing: not collected"),EXACT(metadata!W279,"missing: not provided"),EXACT(metadata!W279,"missing: restricted access"))),AND(IF(metadata!W279="",FALSE,TRUE),OR(EXACT(metadata!W279,"TRUE"),EXACT(metadata!W279,"FALSE"))))</f>
        <v>0</v>
      </c>
      <c r="BI279" t="b">
        <f>AND(IF(metadata!X279="",FALSE,TRUE),EXACT(metadata!X279,"other"))</f>
        <v>0</v>
      </c>
      <c r="BJ279" t="b">
        <f>IF(metadata!Y279="",FALSE,TRUE)</f>
        <v>0</v>
      </c>
      <c r="BK279" t="b">
        <f>OR(AND(IF(metadata!Z279="",FALSE,TRUE),OR(EXACT(metadata!Z279,"missing: not collected"),EXACT(metadata!Z279,"missing: not provided"))),AND(IF(metadata!Z279="",FALSE,IF(ISERROR(INT(metadata!Z279)),FALSE,INT(metadata!Z279)=metadata!Z279)),metadata!Z279&gt;0))</f>
        <v>0</v>
      </c>
      <c r="BL279" t="b">
        <f>AND(IF(metadata!AA279="",FALSE,TRUE),EXACT(metadata!AA279,"Not applicable"))</f>
        <v>0</v>
      </c>
      <c r="BM279" t="b">
        <f>IF(metadata!AB279="",FALSE,TRUE)</f>
        <v>0</v>
      </c>
    </row>
    <row r="280" spans="1:65" x14ac:dyDescent="0.2">
      <c r="A280" s="5" t="str">
        <f ca="1">IF(B280=" "," ",HYPERLINK(CONCATENATE("#metadata!",ADDRESS(INDEX($AH$2:$AH$1001,MATCH(ROWS($AF$2:AF280),$AF$2:$AF$1001,0),0),1)),INDEX($AK$2:$AK$1001,MATCH(ROWS($AF$2:AF280),$AF$2:$AF$1001,0),0)))</f>
        <v xml:space="preserve"> </v>
      </c>
      <c r="B280" s="4" t="str">
        <f ca="1">IF(OR(INDEX($AG$2:$AG$1001,MATCH(ROWS($AF$2:AF280),$AF$2:$AF$1001,0),1)&gt;=100000,INDEX($AM$1005:$BM$1005,1,MATCH(COLUMNS($AM$1006:AM1006),$AM$1006:$BM$1006,0))&gt;=100000), " ",IF(INDEX($AM$2:$BM$1001,MATCH(ROWS($AF$2:AF280),$AF$2:$AF$1001,0),MATCH(COLUMNS($AM$1006:AM1006),$AM$1006:$BM$1006,0)), HYPERLINK("#",""), HYPERLINK(CONCATENATE("#metadata!", ADDRESS(INDEX($AH$2:$AH$1001,MATCH(ROWS($AF$2:AF280),$AF$2:$AF$1001,0),0), INDEX($AM$1004:$BM$1004,1,MATCH(COLUMNS($AM$1006:AM1006),$AM$1006:$BM$1006,0)))),"Fix")))</f>
        <v xml:space="preserve"> </v>
      </c>
      <c r="C280" s="4" t="str">
        <f ca="1">IF(OR(INDEX($AG$2:$AG$1001,MATCH(ROWS($AF$2:AF280),$AF$2:$AF$1001,0),1)&gt;=100000,INDEX($AM$1005:$BM$1005,1,MATCH(COLUMNS($AM$1006:AN1006),$AM$1006:$BM$1006,0))&gt;=100000), " ",IF(INDEX($AM$2:$BM$1001,MATCH(ROWS($AF$2:AF280),$AF$2:$AF$1001,0),MATCH(COLUMNS($AM$1006:AN1006),$AM$1006:$BM$1006,0)), HYPERLINK("#",""), HYPERLINK(CONCATENATE("#metadata!", ADDRESS(INDEX($AH$2:$AH$1001,MATCH(ROWS($AF$2:AF280),$AF$2:$AF$1001,0),0), INDEX($AM$1004:$BM$1004,1,MATCH(COLUMNS($AM$1006:AN1006),$AM$1006:$BM$1006,0)))),"Fix")))</f>
        <v xml:space="preserve"> </v>
      </c>
      <c r="D280" s="4" t="str">
        <f ca="1">IF(OR(INDEX($AG$2:$AG$1001,MATCH(ROWS($AF$2:AF280),$AF$2:$AF$1001,0),1)&gt;=100000,INDEX($AM$1005:$BM$1005,1,MATCH(COLUMNS($AM$1006:AO1006),$AM$1006:$BM$1006,0))&gt;=100000), " ",IF(INDEX($AM$2:$BM$1001,MATCH(ROWS($AF$2:AF280),$AF$2:$AF$1001,0),MATCH(COLUMNS($AM$1006:AO1006),$AM$1006:$BM$1006,0)), HYPERLINK("#",""), HYPERLINK(CONCATENATE("#metadata!", ADDRESS(INDEX($AH$2:$AH$1001,MATCH(ROWS($AF$2:AF280),$AF$2:$AF$1001,0),0), INDEX($AM$1004:$BM$1004,1,MATCH(COLUMNS($AM$1006:AO1006),$AM$1006:$BM$1006,0)))),"Fix")))</f>
        <v xml:space="preserve"> </v>
      </c>
      <c r="E280" s="4" t="str">
        <f ca="1">IF(OR(INDEX($AG$2:$AG$1001,MATCH(ROWS($AF$2:AF280),$AF$2:$AF$1001,0),1)&gt;=100000,INDEX($AM$1005:$BM$1005,1,MATCH(COLUMNS($AM$1006:AP1006),$AM$1006:$BM$1006,0))&gt;=100000), " ",IF(INDEX($AM$2:$BM$1001,MATCH(ROWS($AF$2:AF280),$AF$2:$AF$1001,0),MATCH(COLUMNS($AM$1006:AP1006),$AM$1006:$BM$1006,0)), HYPERLINK("#",""), HYPERLINK(CONCATENATE("#metadata!", ADDRESS(INDEX($AH$2:$AH$1001,MATCH(ROWS($AF$2:AF280),$AF$2:$AF$1001,0),0), INDEX($AM$1004:$BM$1004,1,MATCH(COLUMNS($AM$1006:AP1006),$AM$1006:$BM$1006,0)))),"Fix")))</f>
        <v xml:space="preserve"> </v>
      </c>
      <c r="F280" s="4" t="str">
        <f ca="1">IF(OR(INDEX($AG$2:$AG$1001,MATCH(ROWS($AF$2:AF280),$AF$2:$AF$1001,0),1)&gt;=100000,INDEX($AM$1005:$BM$1005,1,MATCH(COLUMNS($AM$1006:AQ1006),$AM$1006:$BM$1006,0))&gt;=100000), " ",IF(INDEX($AM$2:$BM$1001,MATCH(ROWS($AF$2:AF280),$AF$2:$AF$1001,0),MATCH(COLUMNS($AM$1006:AQ1006),$AM$1006:$BM$1006,0)), HYPERLINK("#",""), HYPERLINK(CONCATENATE("#metadata!", ADDRESS(INDEX($AH$2:$AH$1001,MATCH(ROWS($AF$2:AF280),$AF$2:$AF$1001,0),0), INDEX($AM$1004:$BM$1004,1,MATCH(COLUMNS($AM$1006:AQ1006),$AM$1006:$BM$1006,0)))),"Fix")))</f>
        <v xml:space="preserve"> </v>
      </c>
      <c r="G280" s="4" t="str">
        <f ca="1">IF(OR(INDEX($AG$2:$AG$1001,MATCH(ROWS($AF$2:AF280),$AF$2:$AF$1001,0),1)&gt;=100000,INDEX($AM$1005:$BM$1005,1,MATCH(COLUMNS($AM$1006:AR1006),$AM$1006:$BM$1006,0))&gt;=100000), " ",IF(INDEX($AM$2:$BM$1001,MATCH(ROWS($AF$2:AF280),$AF$2:$AF$1001,0),MATCH(COLUMNS($AM$1006:AR1006),$AM$1006:$BM$1006,0)), HYPERLINK("#",""), HYPERLINK(CONCATENATE("#metadata!", ADDRESS(INDEX($AH$2:$AH$1001,MATCH(ROWS($AF$2:AF280),$AF$2:$AF$1001,0),0), INDEX($AM$1004:$BM$1004,1,MATCH(COLUMNS($AM$1006:AR1006),$AM$1006:$BM$1006,0)))),"Fix")))</f>
        <v xml:space="preserve"> </v>
      </c>
      <c r="H280" s="4" t="str">
        <f ca="1">IF(OR(INDEX($AG$2:$AG$1001,MATCH(ROWS($AF$2:AF280),$AF$2:$AF$1001,0),1)&gt;=100000,INDEX($AM$1005:$BM$1005,1,MATCH(COLUMNS($AM$1006:AS1006),$AM$1006:$BM$1006,0))&gt;=100000), " ",IF(INDEX($AM$2:$BM$1001,MATCH(ROWS($AF$2:AF280),$AF$2:$AF$1001,0),MATCH(COLUMNS($AM$1006:AS1006),$AM$1006:$BM$1006,0)), HYPERLINK("#",""), HYPERLINK(CONCATENATE("#metadata!", ADDRESS(INDEX($AH$2:$AH$1001,MATCH(ROWS($AF$2:AF280),$AF$2:$AF$1001,0),0), INDEX($AM$1004:$BM$1004,1,MATCH(COLUMNS($AM$1006:AS1006),$AM$1006:$BM$1006,0)))),"Fix")))</f>
        <v xml:space="preserve"> </v>
      </c>
      <c r="I280" s="4" t="str">
        <f ca="1">IF(OR(INDEX($AG$2:$AG$1001,MATCH(ROWS($AF$2:AF280),$AF$2:$AF$1001,0),1)&gt;=100000,INDEX($AM$1005:$BM$1005,1,MATCH(COLUMNS($AM$1006:AT1006),$AM$1006:$BM$1006,0))&gt;=100000), " ",IF(INDEX($AM$2:$BM$1001,MATCH(ROWS($AF$2:AF280),$AF$2:$AF$1001,0),MATCH(COLUMNS($AM$1006:AT1006),$AM$1006:$BM$1006,0)), HYPERLINK("#",""), HYPERLINK(CONCATENATE("#metadata!", ADDRESS(INDEX($AH$2:$AH$1001,MATCH(ROWS($AF$2:AF280),$AF$2:$AF$1001,0),0), INDEX($AM$1004:$BM$1004,1,MATCH(COLUMNS($AM$1006:AT1006),$AM$1006:$BM$1006,0)))),"Fix")))</f>
        <v xml:space="preserve"> </v>
      </c>
      <c r="J280" s="4" t="str">
        <f ca="1">IF(OR(INDEX($AG$2:$AG$1001,MATCH(ROWS($AF$2:AF280),$AF$2:$AF$1001,0),1)&gt;=100000,INDEX($AM$1005:$BM$1005,1,MATCH(COLUMNS($AM$1006:AU1006),$AM$1006:$BM$1006,0))&gt;=100000), " ",IF(INDEX($AM$2:$BM$1001,MATCH(ROWS($AF$2:AF280),$AF$2:$AF$1001,0),MATCH(COLUMNS($AM$1006:AU1006),$AM$1006:$BM$1006,0)), HYPERLINK("#",""), HYPERLINK(CONCATENATE("#metadata!", ADDRESS(INDEX($AH$2:$AH$1001,MATCH(ROWS($AF$2:AF280),$AF$2:$AF$1001,0),0), INDEX($AM$1004:$BM$1004,1,MATCH(COLUMNS($AM$1006:AU1006),$AM$1006:$BM$1006,0)))),"Fix")))</f>
        <v xml:space="preserve"> </v>
      </c>
      <c r="K280" s="4" t="str">
        <f ca="1">IF(OR(INDEX($AG$2:$AG$1001,MATCH(ROWS($AF$2:AF280),$AF$2:$AF$1001,0),1)&gt;=100000,INDEX($AM$1005:$BM$1005,1,MATCH(COLUMNS($AM$1006:AV1006),$AM$1006:$BM$1006,0))&gt;=100000), " ",IF(INDEX($AM$2:$BM$1001,MATCH(ROWS($AF$2:AF280),$AF$2:$AF$1001,0),MATCH(COLUMNS($AM$1006:AV1006),$AM$1006:$BM$1006,0)), HYPERLINK("#",""), HYPERLINK(CONCATENATE("#metadata!", ADDRESS(INDEX($AH$2:$AH$1001,MATCH(ROWS($AF$2:AF280),$AF$2:$AF$1001,0),0), INDEX($AM$1004:$BM$1004,1,MATCH(COLUMNS($AM$1006:AV1006),$AM$1006:$BM$1006,0)))),"Fix")))</f>
        <v xml:space="preserve"> </v>
      </c>
      <c r="L280" s="4" t="str">
        <f ca="1">IF(OR(INDEX($AG$2:$AG$1001,MATCH(ROWS($AF$2:AF280),$AF$2:$AF$1001,0),1)&gt;=100000,INDEX($AM$1005:$BM$1005,1,MATCH(COLUMNS($AM$1006:AW1006),$AM$1006:$BM$1006,0))&gt;=100000), " ",IF(INDEX($AM$2:$BM$1001,MATCH(ROWS($AF$2:AF280),$AF$2:$AF$1001,0),MATCH(COLUMNS($AM$1006:AW1006),$AM$1006:$BM$1006,0)), HYPERLINK("#",""), HYPERLINK(CONCATENATE("#metadata!", ADDRESS(INDEX($AH$2:$AH$1001,MATCH(ROWS($AF$2:AF280),$AF$2:$AF$1001,0),0), INDEX($AM$1004:$BM$1004,1,MATCH(COLUMNS($AM$1006:AW1006),$AM$1006:$BM$1006,0)))),"Fix")))</f>
        <v xml:space="preserve"> </v>
      </c>
      <c r="M280" s="4" t="str">
        <f ca="1">IF(OR(INDEX($AG$2:$AG$1001,MATCH(ROWS($AF$2:AF280),$AF$2:$AF$1001,0),1)&gt;=100000,INDEX($AM$1005:$BM$1005,1,MATCH(COLUMNS($AM$1006:AX1006),$AM$1006:$BM$1006,0))&gt;=100000), " ",IF(INDEX($AM$2:$BM$1001,MATCH(ROWS($AF$2:AF280),$AF$2:$AF$1001,0),MATCH(COLUMNS($AM$1006:AX1006),$AM$1006:$BM$1006,0)), HYPERLINK("#",""), HYPERLINK(CONCATENATE("#metadata!", ADDRESS(INDEX($AH$2:$AH$1001,MATCH(ROWS($AF$2:AF280),$AF$2:$AF$1001,0),0), INDEX($AM$1004:$BM$1004,1,MATCH(COLUMNS($AM$1006:AX1006),$AM$1006:$BM$1006,0)))),"Fix")))</f>
        <v xml:space="preserve"> </v>
      </c>
      <c r="N280" s="4" t="str">
        <f ca="1">IF(OR(INDEX($AG$2:$AG$1001,MATCH(ROWS($AF$2:AF280),$AF$2:$AF$1001,0),1)&gt;=100000,INDEX($AM$1005:$BM$1005,1,MATCH(COLUMNS($AM$1006:AY1006),$AM$1006:$BM$1006,0))&gt;=100000), " ",IF(INDEX($AM$2:$BM$1001,MATCH(ROWS($AF$2:AF280),$AF$2:$AF$1001,0),MATCH(COLUMNS($AM$1006:AY1006),$AM$1006:$BM$1006,0)), HYPERLINK("#",""), HYPERLINK(CONCATENATE("#metadata!", ADDRESS(INDEX($AH$2:$AH$1001,MATCH(ROWS($AF$2:AF280),$AF$2:$AF$1001,0),0), INDEX($AM$1004:$BM$1004,1,MATCH(COLUMNS($AM$1006:AY1006),$AM$1006:$BM$1006,0)))),"Fix")))</f>
        <v xml:space="preserve"> </v>
      </c>
      <c r="O280" s="4" t="str">
        <f ca="1">IF(OR(INDEX($AG$2:$AG$1001,MATCH(ROWS($AF$2:AF280),$AF$2:$AF$1001,0),1)&gt;=100000,INDEX($AM$1005:$BM$1005,1,MATCH(COLUMNS($AM$1006:AZ1006),$AM$1006:$BM$1006,0))&gt;=100000), " ",IF(INDEX($AM$2:$BM$1001,MATCH(ROWS($AF$2:AF280),$AF$2:$AF$1001,0),MATCH(COLUMNS($AM$1006:AZ1006),$AM$1006:$BM$1006,0)), HYPERLINK("#",""), HYPERLINK(CONCATENATE("#metadata!", ADDRESS(INDEX($AH$2:$AH$1001,MATCH(ROWS($AF$2:AF280),$AF$2:$AF$1001,0),0), INDEX($AM$1004:$BM$1004,1,MATCH(COLUMNS($AM$1006:AZ1006),$AM$1006:$BM$1006,0)))),"Fix")))</f>
        <v xml:space="preserve"> </v>
      </c>
      <c r="P280" s="4" t="str">
        <f ca="1">IF(OR(INDEX($AG$2:$AG$1001,MATCH(ROWS($AF$2:AF280),$AF$2:$AF$1001,0),1)&gt;=100000,INDEX($AM$1005:$BM$1005,1,MATCH(COLUMNS($AM$1006:BA1006),$AM$1006:$BM$1006,0))&gt;=100000), " ",IF(INDEX($AM$2:$BM$1001,MATCH(ROWS($AF$2:AF280),$AF$2:$AF$1001,0),MATCH(COLUMNS($AM$1006:BA1006),$AM$1006:$BM$1006,0)), HYPERLINK("#",""), HYPERLINK(CONCATENATE("#metadata!", ADDRESS(INDEX($AH$2:$AH$1001,MATCH(ROWS($AF$2:AF280),$AF$2:$AF$1001,0),0), INDEX($AM$1004:$BM$1004,1,MATCH(COLUMNS($AM$1006:BA1006),$AM$1006:$BM$1006,0)))),"Fix")))</f>
        <v xml:space="preserve"> </v>
      </c>
      <c r="Q280" s="4" t="str">
        <f ca="1">IF(OR(INDEX($AG$2:$AG$1001,MATCH(ROWS($AF$2:AF280),$AF$2:$AF$1001,0),1)&gt;=100000,INDEX($AM$1005:$BM$1005,1,MATCH(COLUMNS($AM$1006:BB1006),$AM$1006:$BM$1006,0))&gt;=100000), " ",IF(INDEX($AM$2:$BM$1001,MATCH(ROWS($AF$2:AF280),$AF$2:$AF$1001,0),MATCH(COLUMNS($AM$1006:BB1006),$AM$1006:$BM$1006,0)), HYPERLINK("#",""), HYPERLINK(CONCATENATE("#metadata!", ADDRESS(INDEX($AH$2:$AH$1001,MATCH(ROWS($AF$2:AF280),$AF$2:$AF$1001,0),0), INDEX($AM$1004:$BM$1004,1,MATCH(COLUMNS($AM$1006:BB1006),$AM$1006:$BM$1006,0)))),"Fix")))</f>
        <v xml:space="preserve"> </v>
      </c>
      <c r="R280" s="4" t="str">
        <f ca="1">IF(OR(INDEX($AG$2:$AG$1001,MATCH(ROWS($AF$2:AF280),$AF$2:$AF$1001,0),1)&gt;=100000,INDEX($AM$1005:$BM$1005,1,MATCH(COLUMNS($AM$1006:BC1006),$AM$1006:$BM$1006,0))&gt;=100000), " ",IF(INDEX($AM$2:$BM$1001,MATCH(ROWS($AF$2:AF280),$AF$2:$AF$1001,0),MATCH(COLUMNS($AM$1006:BC1006),$AM$1006:$BM$1006,0)), HYPERLINK("#",""), HYPERLINK(CONCATENATE("#metadata!", ADDRESS(INDEX($AH$2:$AH$1001,MATCH(ROWS($AF$2:AF280),$AF$2:$AF$1001,0),0), INDEX($AM$1004:$BM$1004,1,MATCH(COLUMNS($AM$1006:BC1006),$AM$1006:$BM$1006,0)))),"Fix")))</f>
        <v xml:space="preserve"> </v>
      </c>
      <c r="S280" s="4" t="str">
        <f ca="1">IF(OR(INDEX($AG$2:$AG$1001,MATCH(ROWS($AF$2:AF280),$AF$2:$AF$1001,0),1)&gt;=100000,INDEX($AM$1005:$BM$1005,1,MATCH(COLUMNS($AM$1006:BD1006),$AM$1006:$BM$1006,0))&gt;=100000), " ",IF(INDEX($AM$2:$BM$1001,MATCH(ROWS($AF$2:AF280),$AF$2:$AF$1001,0),MATCH(COLUMNS($AM$1006:BD1006),$AM$1006:$BM$1006,0)), HYPERLINK("#",""), HYPERLINK(CONCATENATE("#metadata!", ADDRESS(INDEX($AH$2:$AH$1001,MATCH(ROWS($AF$2:AF280),$AF$2:$AF$1001,0),0), INDEX($AM$1004:$BM$1004,1,MATCH(COLUMNS($AM$1006:BD1006),$AM$1006:$BM$1006,0)))),"Fix")))</f>
        <v xml:space="preserve"> </v>
      </c>
      <c r="T280" s="4" t="str">
        <f ca="1">IF(OR(INDEX($AG$2:$AG$1001,MATCH(ROWS($AF$2:AF280),$AF$2:$AF$1001,0),1)&gt;=100000,INDEX($AM$1005:$BM$1005,1,MATCH(COLUMNS($AM$1006:BE1006),$AM$1006:$BM$1006,0))&gt;=100000), " ",IF(INDEX($AM$2:$BM$1001,MATCH(ROWS($AF$2:AF280),$AF$2:$AF$1001,0),MATCH(COLUMNS($AM$1006:BE1006),$AM$1006:$BM$1006,0)), HYPERLINK("#",""), HYPERLINK(CONCATENATE("#metadata!", ADDRESS(INDEX($AH$2:$AH$1001,MATCH(ROWS($AF$2:AF280),$AF$2:$AF$1001,0),0), INDEX($AM$1004:$BM$1004,1,MATCH(COLUMNS($AM$1006:BE1006),$AM$1006:$BM$1006,0)))),"Fix")))</f>
        <v xml:space="preserve"> </v>
      </c>
      <c r="U280" s="4" t="str">
        <f ca="1">IF(OR(INDEX($AG$2:$AG$1001,MATCH(ROWS($AF$2:AF280),$AF$2:$AF$1001,0),1)&gt;=100000,INDEX($AM$1005:$BM$1005,1,MATCH(COLUMNS($AM$1006:BF1006),$AM$1006:$BM$1006,0))&gt;=100000), " ",IF(INDEX($AM$2:$BM$1001,MATCH(ROWS($AF$2:AF280),$AF$2:$AF$1001,0),MATCH(COLUMNS($AM$1006:BF1006),$AM$1006:$BM$1006,0)), HYPERLINK("#",""), HYPERLINK(CONCATENATE("#metadata!", ADDRESS(INDEX($AH$2:$AH$1001,MATCH(ROWS($AF$2:AF280),$AF$2:$AF$1001,0),0), INDEX($AM$1004:$BM$1004,1,MATCH(COLUMNS($AM$1006:BF1006),$AM$1006:$BM$1006,0)))),"Fix")))</f>
        <v xml:space="preserve"> </v>
      </c>
      <c r="V280" s="4" t="str">
        <f ca="1">IF(OR(INDEX($AG$2:$AG$1001,MATCH(ROWS($AF$2:AF280),$AF$2:$AF$1001,0),1)&gt;=100000,INDEX($AM$1005:$BM$1005,1,MATCH(COLUMNS($AM$1006:BG1006),$AM$1006:$BM$1006,0))&gt;=100000), " ",IF(INDEX($AM$2:$BM$1001,MATCH(ROWS($AF$2:AF280),$AF$2:$AF$1001,0),MATCH(COLUMNS($AM$1006:BG1006),$AM$1006:$BM$1006,0)), HYPERLINK("#",""), HYPERLINK(CONCATENATE("#metadata!", ADDRESS(INDEX($AH$2:$AH$1001,MATCH(ROWS($AF$2:AF280),$AF$2:$AF$1001,0),0), INDEX($AM$1004:$BM$1004,1,MATCH(COLUMNS($AM$1006:BG1006),$AM$1006:$BM$1006,0)))),"Fix")))</f>
        <v xml:space="preserve"> </v>
      </c>
      <c r="W280" s="4" t="str">
        <f ca="1">IF(OR(INDEX($AG$2:$AG$1001,MATCH(ROWS($AF$2:AF280),$AF$2:$AF$1001,0),1)&gt;=100000,INDEX($AM$1005:$BM$1005,1,MATCH(COLUMNS($AM$1006:BH1006),$AM$1006:$BM$1006,0))&gt;=100000), " ",IF(INDEX($AM$2:$BM$1001,MATCH(ROWS($AF$2:AF280),$AF$2:$AF$1001,0),MATCH(COLUMNS($AM$1006:BH1006),$AM$1006:$BM$1006,0)), HYPERLINK("#",""), HYPERLINK(CONCATENATE("#metadata!", ADDRESS(INDEX($AH$2:$AH$1001,MATCH(ROWS($AF$2:AF280),$AF$2:$AF$1001,0),0), INDEX($AM$1004:$BM$1004,1,MATCH(COLUMNS($AM$1006:BH1006),$AM$1006:$BM$1006,0)))),"Fix")))</f>
        <v xml:space="preserve"> </v>
      </c>
      <c r="X280" s="4" t="str">
        <f ca="1">IF(OR(INDEX($AG$2:$AG$1001,MATCH(ROWS($AF$2:AF280),$AF$2:$AF$1001,0),1)&gt;=100000,INDEX($AM$1005:$BM$1005,1,MATCH(COLUMNS($AM$1006:BI1006),$AM$1006:$BM$1006,0))&gt;=100000), " ",IF(INDEX($AM$2:$BM$1001,MATCH(ROWS($AF$2:AF280),$AF$2:$AF$1001,0),MATCH(COLUMNS($AM$1006:BI1006),$AM$1006:$BM$1006,0)), HYPERLINK("#",""), HYPERLINK(CONCATENATE("#metadata!", ADDRESS(INDEX($AH$2:$AH$1001,MATCH(ROWS($AF$2:AF280),$AF$2:$AF$1001,0),0), INDEX($AM$1004:$BM$1004,1,MATCH(COLUMNS($AM$1006:BI1006),$AM$1006:$BM$1006,0)))),"Fix")))</f>
        <v xml:space="preserve"> </v>
      </c>
      <c r="Y280" s="4" t="str">
        <f ca="1">IF(OR(INDEX($AG$2:$AG$1001,MATCH(ROWS($AF$2:AF280),$AF$2:$AF$1001,0),1)&gt;=100000,INDEX($AM$1005:$BM$1005,1,MATCH(COLUMNS($AM$1006:BJ1006),$AM$1006:$BM$1006,0))&gt;=100000), " ",IF(INDEX($AM$2:$BM$1001,MATCH(ROWS($AF$2:AF280),$AF$2:$AF$1001,0),MATCH(COLUMNS($AM$1006:BJ1006),$AM$1006:$BM$1006,0)), HYPERLINK("#",""), HYPERLINK(CONCATENATE("#metadata!", ADDRESS(INDEX($AH$2:$AH$1001,MATCH(ROWS($AF$2:AF280),$AF$2:$AF$1001,0),0), INDEX($AM$1004:$BM$1004,1,MATCH(COLUMNS($AM$1006:BJ1006),$AM$1006:$BM$1006,0)))),"Fix")))</f>
        <v xml:space="preserve"> </v>
      </c>
      <c r="Z280" s="4" t="str">
        <f ca="1">IF(OR(INDEX($AG$2:$AG$1001,MATCH(ROWS($AF$2:AF280),$AF$2:$AF$1001,0),1)&gt;=100000,INDEX($AM$1005:$BM$1005,1,MATCH(COLUMNS($AM$1006:BK1006),$AM$1006:$BM$1006,0))&gt;=100000), " ",IF(INDEX($AM$2:$BM$1001,MATCH(ROWS($AF$2:AF280),$AF$2:$AF$1001,0),MATCH(COLUMNS($AM$1006:BK1006),$AM$1006:$BM$1006,0)), HYPERLINK("#",""), HYPERLINK(CONCATENATE("#metadata!", ADDRESS(INDEX($AH$2:$AH$1001,MATCH(ROWS($AF$2:AF280),$AF$2:$AF$1001,0),0), INDEX($AM$1004:$BM$1004,1,MATCH(COLUMNS($AM$1006:BK1006),$AM$1006:$BM$1006,0)))),"Fix")))</f>
        <v xml:space="preserve"> </v>
      </c>
      <c r="AA280" s="4" t="str">
        <f ca="1">IF(OR(INDEX($AG$2:$AG$1001,MATCH(ROWS($AF$2:AF280),$AF$2:$AF$1001,0),1)&gt;=100000,INDEX($AM$1005:$BM$1005,1,MATCH(COLUMNS($AM$1006:BL1006),$AM$1006:$BM$1006,0))&gt;=100000), " ",IF(INDEX($AM$2:$BM$1001,MATCH(ROWS($AF$2:AF280),$AF$2:$AF$1001,0),MATCH(COLUMNS($AM$1006:BL1006),$AM$1006:$BM$1006,0)), HYPERLINK("#",""), HYPERLINK(CONCATENATE("#metadata!", ADDRESS(INDEX($AH$2:$AH$1001,MATCH(ROWS($AF$2:AF280),$AF$2:$AF$1001,0),0), INDEX($AM$1004:$BM$1004,1,MATCH(COLUMNS($AM$1006:BL1006),$AM$1006:$BM$1006,0)))),"Fix")))</f>
        <v xml:space="preserve"> </v>
      </c>
      <c r="AB280" s="4" t="str">
        <f ca="1">IF(OR(INDEX($AG$2:$AG$1001,MATCH(ROWS($AF$2:AF280),$AF$2:$AF$1001,0),1)&gt;=100000,INDEX($AM$1005:$BM$1005,1,MATCH(COLUMNS($AM$1006:BM1006),$AM$1006:$BM$1006,0))&gt;=100000), " ",IF(INDEX($AM$2:$BM$1001,MATCH(ROWS($AF$2:AF280),$AF$2:$AF$1001,0),MATCH(COLUMNS($AM$1006:BM1006),$AM$1006:$BM$1006,0)), HYPERLINK("#",""), HYPERLINK(CONCATENATE("#metadata!", ADDRESS(INDEX($AH$2:$AH$1001,MATCH(ROWS($AF$2:AF280),$AF$2:$AF$1001,0),0), INDEX($AM$1004:$BM$1004,1,MATCH(COLUMNS($AM$1006:BM1006),$AM$1006:$BM$1006,0)))),"Fix")))</f>
        <v xml:space="preserve"> </v>
      </c>
      <c r="AF280">
        <v>279</v>
      </c>
      <c r="AG280">
        <v>100280</v>
      </c>
      <c r="AH280">
        <v>280</v>
      </c>
      <c r="AI280" t="b">
        <f t="shared" si="4"/>
        <v>1</v>
      </c>
      <c r="AJ280" t="b">
        <f>COUNTBLANK(metadata!B280:AB280)=COLUMNS(metadata!B280:AB280)</f>
        <v>1</v>
      </c>
      <c r="AK280" t="str">
        <v/>
      </c>
      <c r="AM280" t="b">
        <f ca="1">AND(IF(metadata!B280="",FALSE,TRUE),COUNTIF(metadata!B:B, metadata!B280) = 1,NOT(ISERROR(SUMPRODUCT(SEARCH(MID(metadata!B280,ROW(INDIRECT("1:"&amp;LEN(metadata!B280))), 1),"0123456789abcdefghijklmnopqrstuvwxyzABCDEFGHIJKLMNOPQRSTUVWXYZ.")))))</f>
        <v>0</v>
      </c>
      <c r="AN280" t="b">
        <f ca="1">OR(AND(IF(metadata!C280="",FALSE,TRUE),OR(EXACT(metadata!C280,"missing: not collected"),EXACT(metadata!C280,"missing: not provided"),EXACT(metadata!C280,"missing: restricted access"))),AND(IF(metadata!C280="",FALSE,TRUE),AND(AND(IFERROR(INT(LEFT(metadata!C280,4))&gt;1900,FALSE),IFERROR(INT(LEFT(metadata!C280,4))&lt;=YEAR(NOW()),FALSE)), OR(MID(metadata!C280,5,1)="", AND(AND(MID(metadata!C280,5,1)="-",IFERROR(INT(MID(metadata!C280,6,1))&gt;=0,FALSE),IFERROR(INT(MID(metadata!C280,6,1))&lt;=1,FALSE),NOT(MID(metadata!C280,7,1)=""),IFERROR(INT(MID(metadata!C280,6,2))&gt;=1,FALSE),IFERROR(INT(MID(metadata!C280,6,2))&lt;=12,FALSE)), OR(MID(metadata!C280,8,1)="", AND(AND(MID(metadata!C280,8,1)="-",IFERROR(INT(MID(metadata!C280,9,1))&gt;=0,FALSE),IFERROR(INT(MID(metadata!C280,9,1))&lt;=3,FALSE),NOT(MID(metadata!C280,10,1)=""),IFERROR(INT(MID(metadata!C280,9,2))&gt;=1,FALSE),IFERROR(INT(MID(metadata!C280,9,2))&lt;=31,FALSE)), OR(MID(metadata!C280,11,1)="", AND(AND(MID(metadata!C280,11,1)=" ",IFERROR(INT(MID(metadata!C280,12,1))&gt;=0,FALSE),IFERROR(INT(MID(metadata!C280,12,1))&lt;=2,FALSE),NOT(MID(metadata!C280,13,1)=""),IFERROR(INT(MID(metadata!C280,12,2))&gt;=0,FALSE),IFERROR(INT(MID(metadata!C280,12,2))&lt;=23,FALSE)), OR(MID(metadata!C280,14,1)="", AND(AND(MID(metadata!C280,14,1)=":",IFERROR(INT(MID(metadata!C280,15,1))&gt;=0,FALSE),IFERROR(INT(MID(metadata!C280,15,1))&lt;=5,FALSE),NOT(MID(metadata!C280,16,1)=""),IFERROR(INT(MID(metadata!C280,15,2))&gt;=0,FALSE),IFERROR(INT(MID(metadata!C280,15,2))&lt;=59,FALSE)), OR(MID(metadata!C280,17,1)="", AND(AND(MID(metadata!C280,17,1)=":",IFERROR(INT(MID(metadata!C280,18,1))&gt;=0,FALSE),IFERROR(INT(MID(metadata!C280,18,1))&lt;=5,FALSE),NOT(MID(metadata!C280,19,1)=""),IFERROR(INT(MID(metadata!C280,18,2))&gt;=0,FALSE),IFERROR(INT(MID(metadata!C280,18,2))&lt;=59,FALSE)), LEN(metadata!C280)&lt;=19)))))))))))))</f>
        <v>0</v>
      </c>
      <c r="AO280" t="b">
        <f>AND(IF(metadata!D280="",FALSE,TRUE),EXACT(metadata!D280,"Not applicable"))</f>
        <v>0</v>
      </c>
      <c r="AP280" t="b">
        <f>IF(metadata!E280="",FALSE,TRUE)</f>
        <v>0</v>
      </c>
      <c r="AQ280" t="b">
        <f>OR(AND(IF(metadata!F280="",FALSE,TRUE),OR(EXACT(metadata!F280,"missing: not collected"),EXACT(metadata!F280,"missing: not provided"))),AND(IF(metadata!F280="",FALSE,TRUE),OR(EXACT(metadata!F280,"TRUE"),EXACT(metadata!F280,"FALSE"))))</f>
        <v>0</v>
      </c>
      <c r="AR280" t="b">
        <f>OR(AND(IF(metadata!G280="",FALSE,TRUE),OR(EXACT(metadata!G280,"missing: not collected"),EXACT(metadata!G280,"missing: not provided"),EXACT(metadata!G280,"missing: restricted access"))),AND(IF(metadata!G280="",FALSE,ISNUMBER(VALUE(metadata!G280))),metadata!G280&gt;=-413))</f>
        <v>0</v>
      </c>
      <c r="AS280" t="b">
        <f>AND(IF(metadata!H280="",FALSE,TRUE),EXACT(metadata!H280,"meters"))</f>
        <v>0</v>
      </c>
      <c r="AT280" t="b">
        <f>AND(IF(metadata!I280="",FALSE,TRUE),OR(EXACT(metadata!I280,"Host-associated"),EXACT(metadata!I280,"Free-living")))</f>
        <v>0</v>
      </c>
      <c r="AU280" t="b">
        <f>AND(IF(metadata!J280="",FALSE,TRUE),OR(EXACT(metadata!J280,"Animal"),EXACT(metadata!J280,"Fungus"),EXACT(metadata!J280,"Plant"),EXACT(metadata!J280,"Saline"),EXACT(metadata!J280,"Non-saline")))</f>
        <v>0</v>
      </c>
      <c r="AV280" t="b">
        <f>AND(IF(metadata!K280="",FALSE,TRUE),OR(EXACT(metadata!K280,"Plant secretion"),EXACT(metadata!K280,"Plant rhizosphere"),EXACT(metadata!K280,"Plant surface"),EXACT(metadata!K280,"Plant corpus"),EXACT(metadata!K280,"Fungus surface"),EXACT(metadata!K280,"Fungus corpus"),EXACT(metadata!K280,"Animal surface"),EXACT(metadata!K280,"Animal proximal gut"),EXACT(metadata!K280,"Animal corpus"),EXACT(metadata!K280,"Animal distal gut"),EXACT(metadata!K280,"Animal secretion"),EXACT(metadata!K280,"Sub-surface (non-saline)"),EXACT(metadata!K280,"Surface (non-saline)"),EXACT(metadata!K280,"Water (non-saline)"),EXACT(metadata!K280,"Soil (non-saline)"),EXACT(metadata!K280,"Aerosol (non-saline)"),EXACT(metadata!K280,"Sediment (non-saline)"),EXACT(metadata!K280,"Surface (saline)"),EXACT(metadata!K280,"Water (saline)"),EXACT(metadata!K280,"Hypersaline (saline)"),EXACT(metadata!K280,"Aerosol (saline)"),EXACT(metadata!K280,"Sediment (saline)")))</f>
        <v>0</v>
      </c>
      <c r="AW280" t="b">
        <f>IF(metadata!L280="",FALSE,TRUE)</f>
        <v>0</v>
      </c>
      <c r="AX280" t="b">
        <f>IF(metadata!M280="",FALSE,TRUE)</f>
        <v>0</v>
      </c>
      <c r="AY280" t="b">
        <f>IF(metadata!N280="",FALSE,TRUE)</f>
        <v>0</v>
      </c>
      <c r="AZ280" t="b">
        <f>OR(AND(IF(metadata!O280="",FALSE,TRUE),OR(EXACT(metadata!O280,"missing: not collected"),EXACT(metadata!O280,"missing: not provided"),EXACT(metadata!O280,"missing: restricted access"))),AND(IF(metadata!O280="",FALSE,TRUE),OR(EXACT(metadata!O280,"air"),EXACT(metadata!O280,"built environment"),EXACT(metadata!O280,"host-associated"),EXACT(metadata!O280,"human-associated"),EXACT(metadata!O280,"human-skin"),EXACT(metadata!O280,"human-oral"),EXACT(metadata!O280,"human-gut"),EXACT(metadata!O280,"human-vaginal"),EXACT(metadata!O280,"microbial mat/biofilm"),EXACT(metadata!O280,"misc environment"),EXACT(metadata!O280,"plant-associated"),EXACT(metadata!O280,"sediment"),EXACT(metadata!O280,"soil"),EXACT(metadata!O280,"wastewater/sludge"),EXACT(metadata!O280,"water"))))</f>
        <v>0</v>
      </c>
      <c r="BA280" t="b">
        <f>IF(metadata!P280="",FALSE,TRUE)</f>
        <v>0</v>
      </c>
      <c r="BB280" t="b">
        <f>IF(metadata!Q280="",FALSE,TRUE)</f>
        <v>0</v>
      </c>
      <c r="BC280" t="b">
        <f>OR(AND(IF(metadata!R280="",FALSE,TRUE),OR(EXACT(metadata!R280,"missing: not collected"),EXACT(metadata!R280,"missing: not provided"),EXACT(metadata!R280,"missing: restricted access"))),AND(IF(metadata!R280="",FALSE,ISNUMBER(VALUE(metadata!R280))),metadata!R280&gt;=-90,metadata!R280&lt;=90))</f>
        <v>0</v>
      </c>
      <c r="BD280" t="b">
        <f>AND(IF(metadata!S280="",FALSE,TRUE),EXACT(metadata!S280,"Decimal degrees"))</f>
        <v>0</v>
      </c>
      <c r="BE280" t="b">
        <f>OR(AND(IF(metadata!T280="",FALSE,TRUE),OR(EXACT(metadata!T280,"missing: not collected"),EXACT(metadata!T280,"missing: not provided"),EXACT(metadata!T280,"missing: restricted access"))),AND(IF(metadata!T280="",FALSE,ISNUMBER(VALUE(metadata!T280))),metadata!T280&gt;=-180,metadata!T280&lt;=180))</f>
        <v>0</v>
      </c>
      <c r="BF280" t="b">
        <f>AND(IF(metadata!U280="",FALSE,TRUE),EXACT(metadata!U280,"Decimal degrees"))</f>
        <v>0</v>
      </c>
      <c r="BG280" t="b">
        <f>IF(metadata!V280="",FALSE,TRUE)</f>
        <v>0</v>
      </c>
      <c r="BH280" t="b">
        <f>OR(AND(IF(metadata!W280="",FALSE,TRUE),OR(EXACT(metadata!W280,"missing: not collected"),EXACT(metadata!W280,"missing: not provided"),EXACT(metadata!W280,"missing: restricted access"))),AND(IF(metadata!W280="",FALSE,TRUE),OR(EXACT(metadata!W280,"TRUE"),EXACT(metadata!W280,"FALSE"))))</f>
        <v>0</v>
      </c>
      <c r="BI280" t="b">
        <f>AND(IF(metadata!X280="",FALSE,TRUE),EXACT(metadata!X280,"other"))</f>
        <v>0</v>
      </c>
      <c r="BJ280" t="b">
        <f>IF(metadata!Y280="",FALSE,TRUE)</f>
        <v>0</v>
      </c>
      <c r="BK280" t="b">
        <f>OR(AND(IF(metadata!Z280="",FALSE,TRUE),OR(EXACT(metadata!Z280,"missing: not collected"),EXACT(metadata!Z280,"missing: not provided"))),AND(IF(metadata!Z280="",FALSE,IF(ISERROR(INT(metadata!Z280)),FALSE,INT(metadata!Z280)=metadata!Z280)),metadata!Z280&gt;0))</f>
        <v>0</v>
      </c>
      <c r="BL280" t="b">
        <f>AND(IF(metadata!AA280="",FALSE,TRUE),EXACT(metadata!AA280,"Not applicable"))</f>
        <v>0</v>
      </c>
      <c r="BM280" t="b">
        <f>IF(metadata!AB280="",FALSE,TRUE)</f>
        <v>0</v>
      </c>
    </row>
    <row r="281" spans="1:65" x14ac:dyDescent="0.2">
      <c r="A281" s="5" t="str">
        <f ca="1">IF(B281=" "," ",HYPERLINK(CONCATENATE("#metadata!",ADDRESS(INDEX($AH$2:$AH$1001,MATCH(ROWS($AF$2:AF281),$AF$2:$AF$1001,0),0),1)),INDEX($AK$2:$AK$1001,MATCH(ROWS($AF$2:AF281),$AF$2:$AF$1001,0),0)))</f>
        <v xml:space="preserve"> </v>
      </c>
      <c r="B281" s="4" t="str">
        <f ca="1">IF(OR(INDEX($AG$2:$AG$1001,MATCH(ROWS($AF$2:AF281),$AF$2:$AF$1001,0),1)&gt;=100000,INDEX($AM$1005:$BM$1005,1,MATCH(COLUMNS($AM$1006:AM1006),$AM$1006:$BM$1006,0))&gt;=100000), " ",IF(INDEX($AM$2:$BM$1001,MATCH(ROWS($AF$2:AF281),$AF$2:$AF$1001,0),MATCH(COLUMNS($AM$1006:AM1006),$AM$1006:$BM$1006,0)), HYPERLINK("#",""), HYPERLINK(CONCATENATE("#metadata!", ADDRESS(INDEX($AH$2:$AH$1001,MATCH(ROWS($AF$2:AF281),$AF$2:$AF$1001,0),0), INDEX($AM$1004:$BM$1004,1,MATCH(COLUMNS($AM$1006:AM1006),$AM$1006:$BM$1006,0)))),"Fix")))</f>
        <v xml:space="preserve"> </v>
      </c>
      <c r="C281" s="4" t="str">
        <f ca="1">IF(OR(INDEX($AG$2:$AG$1001,MATCH(ROWS($AF$2:AF281),$AF$2:$AF$1001,0),1)&gt;=100000,INDEX($AM$1005:$BM$1005,1,MATCH(COLUMNS($AM$1006:AN1006),$AM$1006:$BM$1006,0))&gt;=100000), " ",IF(INDEX($AM$2:$BM$1001,MATCH(ROWS($AF$2:AF281),$AF$2:$AF$1001,0),MATCH(COLUMNS($AM$1006:AN1006),$AM$1006:$BM$1006,0)), HYPERLINK("#",""), HYPERLINK(CONCATENATE("#metadata!", ADDRESS(INDEX($AH$2:$AH$1001,MATCH(ROWS($AF$2:AF281),$AF$2:$AF$1001,0),0), INDEX($AM$1004:$BM$1004,1,MATCH(COLUMNS($AM$1006:AN1006),$AM$1006:$BM$1006,0)))),"Fix")))</f>
        <v xml:space="preserve"> </v>
      </c>
      <c r="D281" s="4" t="str">
        <f ca="1">IF(OR(INDEX($AG$2:$AG$1001,MATCH(ROWS($AF$2:AF281),$AF$2:$AF$1001,0),1)&gt;=100000,INDEX($AM$1005:$BM$1005,1,MATCH(COLUMNS($AM$1006:AO1006),$AM$1006:$BM$1006,0))&gt;=100000), " ",IF(INDEX($AM$2:$BM$1001,MATCH(ROWS($AF$2:AF281),$AF$2:$AF$1001,0),MATCH(COLUMNS($AM$1006:AO1006),$AM$1006:$BM$1006,0)), HYPERLINK("#",""), HYPERLINK(CONCATENATE("#metadata!", ADDRESS(INDEX($AH$2:$AH$1001,MATCH(ROWS($AF$2:AF281),$AF$2:$AF$1001,0),0), INDEX($AM$1004:$BM$1004,1,MATCH(COLUMNS($AM$1006:AO1006),$AM$1006:$BM$1006,0)))),"Fix")))</f>
        <v xml:space="preserve"> </v>
      </c>
      <c r="E281" s="4" t="str">
        <f ca="1">IF(OR(INDEX($AG$2:$AG$1001,MATCH(ROWS($AF$2:AF281),$AF$2:$AF$1001,0),1)&gt;=100000,INDEX($AM$1005:$BM$1005,1,MATCH(COLUMNS($AM$1006:AP1006),$AM$1006:$BM$1006,0))&gt;=100000), " ",IF(INDEX($AM$2:$BM$1001,MATCH(ROWS($AF$2:AF281),$AF$2:$AF$1001,0),MATCH(COLUMNS($AM$1006:AP1006),$AM$1006:$BM$1006,0)), HYPERLINK("#",""), HYPERLINK(CONCATENATE("#metadata!", ADDRESS(INDEX($AH$2:$AH$1001,MATCH(ROWS($AF$2:AF281),$AF$2:$AF$1001,0),0), INDEX($AM$1004:$BM$1004,1,MATCH(COLUMNS($AM$1006:AP1006),$AM$1006:$BM$1006,0)))),"Fix")))</f>
        <v xml:space="preserve"> </v>
      </c>
      <c r="F281" s="4" t="str">
        <f ca="1">IF(OR(INDEX($AG$2:$AG$1001,MATCH(ROWS($AF$2:AF281),$AF$2:$AF$1001,0),1)&gt;=100000,INDEX($AM$1005:$BM$1005,1,MATCH(COLUMNS($AM$1006:AQ1006),$AM$1006:$BM$1006,0))&gt;=100000), " ",IF(INDEX($AM$2:$BM$1001,MATCH(ROWS($AF$2:AF281),$AF$2:$AF$1001,0),MATCH(COLUMNS($AM$1006:AQ1006),$AM$1006:$BM$1006,0)), HYPERLINK("#",""), HYPERLINK(CONCATENATE("#metadata!", ADDRESS(INDEX($AH$2:$AH$1001,MATCH(ROWS($AF$2:AF281),$AF$2:$AF$1001,0),0), INDEX($AM$1004:$BM$1004,1,MATCH(COLUMNS($AM$1006:AQ1006),$AM$1006:$BM$1006,0)))),"Fix")))</f>
        <v xml:space="preserve"> </v>
      </c>
      <c r="G281" s="4" t="str">
        <f ca="1">IF(OR(INDEX($AG$2:$AG$1001,MATCH(ROWS($AF$2:AF281),$AF$2:$AF$1001,0),1)&gt;=100000,INDEX($AM$1005:$BM$1005,1,MATCH(COLUMNS($AM$1006:AR1006),$AM$1006:$BM$1006,0))&gt;=100000), " ",IF(INDEX($AM$2:$BM$1001,MATCH(ROWS($AF$2:AF281),$AF$2:$AF$1001,0),MATCH(COLUMNS($AM$1006:AR1006),$AM$1006:$BM$1006,0)), HYPERLINK("#",""), HYPERLINK(CONCATENATE("#metadata!", ADDRESS(INDEX($AH$2:$AH$1001,MATCH(ROWS($AF$2:AF281),$AF$2:$AF$1001,0),0), INDEX($AM$1004:$BM$1004,1,MATCH(COLUMNS($AM$1006:AR1006),$AM$1006:$BM$1006,0)))),"Fix")))</f>
        <v xml:space="preserve"> </v>
      </c>
      <c r="H281" s="4" t="str">
        <f ca="1">IF(OR(INDEX($AG$2:$AG$1001,MATCH(ROWS($AF$2:AF281),$AF$2:$AF$1001,0),1)&gt;=100000,INDEX($AM$1005:$BM$1005,1,MATCH(COLUMNS($AM$1006:AS1006),$AM$1006:$BM$1006,0))&gt;=100000), " ",IF(INDEX($AM$2:$BM$1001,MATCH(ROWS($AF$2:AF281),$AF$2:$AF$1001,0),MATCH(COLUMNS($AM$1006:AS1006),$AM$1006:$BM$1006,0)), HYPERLINK("#",""), HYPERLINK(CONCATENATE("#metadata!", ADDRESS(INDEX($AH$2:$AH$1001,MATCH(ROWS($AF$2:AF281),$AF$2:$AF$1001,0),0), INDEX($AM$1004:$BM$1004,1,MATCH(COLUMNS($AM$1006:AS1006),$AM$1006:$BM$1006,0)))),"Fix")))</f>
        <v xml:space="preserve"> </v>
      </c>
      <c r="I281" s="4" t="str">
        <f ca="1">IF(OR(INDEX($AG$2:$AG$1001,MATCH(ROWS($AF$2:AF281),$AF$2:$AF$1001,0),1)&gt;=100000,INDEX($AM$1005:$BM$1005,1,MATCH(COLUMNS($AM$1006:AT1006),$AM$1006:$BM$1006,0))&gt;=100000), " ",IF(INDEX($AM$2:$BM$1001,MATCH(ROWS($AF$2:AF281),$AF$2:$AF$1001,0),MATCH(COLUMNS($AM$1006:AT1006),$AM$1006:$BM$1006,0)), HYPERLINK("#",""), HYPERLINK(CONCATENATE("#metadata!", ADDRESS(INDEX($AH$2:$AH$1001,MATCH(ROWS($AF$2:AF281),$AF$2:$AF$1001,0),0), INDEX($AM$1004:$BM$1004,1,MATCH(COLUMNS($AM$1006:AT1006),$AM$1006:$BM$1006,0)))),"Fix")))</f>
        <v xml:space="preserve"> </v>
      </c>
      <c r="J281" s="4" t="str">
        <f ca="1">IF(OR(INDEX($AG$2:$AG$1001,MATCH(ROWS($AF$2:AF281),$AF$2:$AF$1001,0),1)&gt;=100000,INDEX($AM$1005:$BM$1005,1,MATCH(COLUMNS($AM$1006:AU1006),$AM$1006:$BM$1006,0))&gt;=100000), " ",IF(INDEX($AM$2:$BM$1001,MATCH(ROWS($AF$2:AF281),$AF$2:$AF$1001,0),MATCH(COLUMNS($AM$1006:AU1006),$AM$1006:$BM$1006,0)), HYPERLINK("#",""), HYPERLINK(CONCATENATE("#metadata!", ADDRESS(INDEX($AH$2:$AH$1001,MATCH(ROWS($AF$2:AF281),$AF$2:$AF$1001,0),0), INDEX($AM$1004:$BM$1004,1,MATCH(COLUMNS($AM$1006:AU1006),$AM$1006:$BM$1006,0)))),"Fix")))</f>
        <v xml:space="preserve"> </v>
      </c>
      <c r="K281" s="4" t="str">
        <f ca="1">IF(OR(INDEX($AG$2:$AG$1001,MATCH(ROWS($AF$2:AF281),$AF$2:$AF$1001,0),1)&gt;=100000,INDEX($AM$1005:$BM$1005,1,MATCH(COLUMNS($AM$1006:AV1006),$AM$1006:$BM$1006,0))&gt;=100000), " ",IF(INDEX($AM$2:$BM$1001,MATCH(ROWS($AF$2:AF281),$AF$2:$AF$1001,0),MATCH(COLUMNS($AM$1006:AV1006),$AM$1006:$BM$1006,0)), HYPERLINK("#",""), HYPERLINK(CONCATENATE("#metadata!", ADDRESS(INDEX($AH$2:$AH$1001,MATCH(ROWS($AF$2:AF281),$AF$2:$AF$1001,0),0), INDEX($AM$1004:$BM$1004,1,MATCH(COLUMNS($AM$1006:AV1006),$AM$1006:$BM$1006,0)))),"Fix")))</f>
        <v xml:space="preserve"> </v>
      </c>
      <c r="L281" s="4" t="str">
        <f ca="1">IF(OR(INDEX($AG$2:$AG$1001,MATCH(ROWS($AF$2:AF281),$AF$2:$AF$1001,0),1)&gt;=100000,INDEX($AM$1005:$BM$1005,1,MATCH(COLUMNS($AM$1006:AW1006),$AM$1006:$BM$1006,0))&gt;=100000), " ",IF(INDEX($AM$2:$BM$1001,MATCH(ROWS($AF$2:AF281),$AF$2:$AF$1001,0),MATCH(COLUMNS($AM$1006:AW1006),$AM$1006:$BM$1006,0)), HYPERLINK("#",""), HYPERLINK(CONCATENATE("#metadata!", ADDRESS(INDEX($AH$2:$AH$1001,MATCH(ROWS($AF$2:AF281),$AF$2:$AF$1001,0),0), INDEX($AM$1004:$BM$1004,1,MATCH(COLUMNS($AM$1006:AW1006),$AM$1006:$BM$1006,0)))),"Fix")))</f>
        <v xml:space="preserve"> </v>
      </c>
      <c r="M281" s="4" t="str">
        <f ca="1">IF(OR(INDEX($AG$2:$AG$1001,MATCH(ROWS($AF$2:AF281),$AF$2:$AF$1001,0),1)&gt;=100000,INDEX($AM$1005:$BM$1005,1,MATCH(COLUMNS($AM$1006:AX1006),$AM$1006:$BM$1006,0))&gt;=100000), " ",IF(INDEX($AM$2:$BM$1001,MATCH(ROWS($AF$2:AF281),$AF$2:$AF$1001,0),MATCH(COLUMNS($AM$1006:AX1006),$AM$1006:$BM$1006,0)), HYPERLINK("#",""), HYPERLINK(CONCATENATE("#metadata!", ADDRESS(INDEX($AH$2:$AH$1001,MATCH(ROWS($AF$2:AF281),$AF$2:$AF$1001,0),0), INDEX($AM$1004:$BM$1004,1,MATCH(COLUMNS($AM$1006:AX1006),$AM$1006:$BM$1006,0)))),"Fix")))</f>
        <v xml:space="preserve"> </v>
      </c>
      <c r="N281" s="4" t="str">
        <f ca="1">IF(OR(INDEX($AG$2:$AG$1001,MATCH(ROWS($AF$2:AF281),$AF$2:$AF$1001,0),1)&gt;=100000,INDEX($AM$1005:$BM$1005,1,MATCH(COLUMNS($AM$1006:AY1006),$AM$1006:$BM$1006,0))&gt;=100000), " ",IF(INDEX($AM$2:$BM$1001,MATCH(ROWS($AF$2:AF281),$AF$2:$AF$1001,0),MATCH(COLUMNS($AM$1006:AY1006),$AM$1006:$BM$1006,0)), HYPERLINK("#",""), HYPERLINK(CONCATENATE("#metadata!", ADDRESS(INDEX($AH$2:$AH$1001,MATCH(ROWS($AF$2:AF281),$AF$2:$AF$1001,0),0), INDEX($AM$1004:$BM$1004,1,MATCH(COLUMNS($AM$1006:AY1006),$AM$1006:$BM$1006,0)))),"Fix")))</f>
        <v xml:space="preserve"> </v>
      </c>
      <c r="O281" s="4" t="str">
        <f ca="1">IF(OR(INDEX($AG$2:$AG$1001,MATCH(ROWS($AF$2:AF281),$AF$2:$AF$1001,0),1)&gt;=100000,INDEX($AM$1005:$BM$1005,1,MATCH(COLUMNS($AM$1006:AZ1006),$AM$1006:$BM$1006,0))&gt;=100000), " ",IF(INDEX($AM$2:$BM$1001,MATCH(ROWS($AF$2:AF281),$AF$2:$AF$1001,0),MATCH(COLUMNS($AM$1006:AZ1006),$AM$1006:$BM$1006,0)), HYPERLINK("#",""), HYPERLINK(CONCATENATE("#metadata!", ADDRESS(INDEX($AH$2:$AH$1001,MATCH(ROWS($AF$2:AF281),$AF$2:$AF$1001,0),0), INDEX($AM$1004:$BM$1004,1,MATCH(COLUMNS($AM$1006:AZ1006),$AM$1006:$BM$1006,0)))),"Fix")))</f>
        <v xml:space="preserve"> </v>
      </c>
      <c r="P281" s="4" t="str">
        <f ca="1">IF(OR(INDEX($AG$2:$AG$1001,MATCH(ROWS($AF$2:AF281),$AF$2:$AF$1001,0),1)&gt;=100000,INDEX($AM$1005:$BM$1005,1,MATCH(COLUMNS($AM$1006:BA1006),$AM$1006:$BM$1006,0))&gt;=100000), " ",IF(INDEX($AM$2:$BM$1001,MATCH(ROWS($AF$2:AF281),$AF$2:$AF$1001,0),MATCH(COLUMNS($AM$1006:BA1006),$AM$1006:$BM$1006,0)), HYPERLINK("#",""), HYPERLINK(CONCATENATE("#metadata!", ADDRESS(INDEX($AH$2:$AH$1001,MATCH(ROWS($AF$2:AF281),$AF$2:$AF$1001,0),0), INDEX($AM$1004:$BM$1004,1,MATCH(COLUMNS($AM$1006:BA1006),$AM$1006:$BM$1006,0)))),"Fix")))</f>
        <v xml:space="preserve"> </v>
      </c>
      <c r="Q281" s="4" t="str">
        <f ca="1">IF(OR(INDEX($AG$2:$AG$1001,MATCH(ROWS($AF$2:AF281),$AF$2:$AF$1001,0),1)&gt;=100000,INDEX($AM$1005:$BM$1005,1,MATCH(COLUMNS($AM$1006:BB1006),$AM$1006:$BM$1006,0))&gt;=100000), " ",IF(INDEX($AM$2:$BM$1001,MATCH(ROWS($AF$2:AF281),$AF$2:$AF$1001,0),MATCH(COLUMNS($AM$1006:BB1006),$AM$1006:$BM$1006,0)), HYPERLINK("#",""), HYPERLINK(CONCATENATE("#metadata!", ADDRESS(INDEX($AH$2:$AH$1001,MATCH(ROWS($AF$2:AF281),$AF$2:$AF$1001,0),0), INDEX($AM$1004:$BM$1004,1,MATCH(COLUMNS($AM$1006:BB1006),$AM$1006:$BM$1006,0)))),"Fix")))</f>
        <v xml:space="preserve"> </v>
      </c>
      <c r="R281" s="4" t="str">
        <f ca="1">IF(OR(INDEX($AG$2:$AG$1001,MATCH(ROWS($AF$2:AF281),$AF$2:$AF$1001,0),1)&gt;=100000,INDEX($AM$1005:$BM$1005,1,MATCH(COLUMNS($AM$1006:BC1006),$AM$1006:$BM$1006,0))&gt;=100000), " ",IF(INDEX($AM$2:$BM$1001,MATCH(ROWS($AF$2:AF281),$AF$2:$AF$1001,0),MATCH(COLUMNS($AM$1006:BC1006),$AM$1006:$BM$1006,0)), HYPERLINK("#",""), HYPERLINK(CONCATENATE("#metadata!", ADDRESS(INDEX($AH$2:$AH$1001,MATCH(ROWS($AF$2:AF281),$AF$2:$AF$1001,0),0), INDEX($AM$1004:$BM$1004,1,MATCH(COLUMNS($AM$1006:BC1006),$AM$1006:$BM$1006,0)))),"Fix")))</f>
        <v xml:space="preserve"> </v>
      </c>
      <c r="S281" s="4" t="str">
        <f ca="1">IF(OR(INDEX($AG$2:$AG$1001,MATCH(ROWS($AF$2:AF281),$AF$2:$AF$1001,0),1)&gt;=100000,INDEX($AM$1005:$BM$1005,1,MATCH(COLUMNS($AM$1006:BD1006),$AM$1006:$BM$1006,0))&gt;=100000), " ",IF(INDEX($AM$2:$BM$1001,MATCH(ROWS($AF$2:AF281),$AF$2:$AF$1001,0),MATCH(COLUMNS($AM$1006:BD1006),$AM$1006:$BM$1006,0)), HYPERLINK("#",""), HYPERLINK(CONCATENATE("#metadata!", ADDRESS(INDEX($AH$2:$AH$1001,MATCH(ROWS($AF$2:AF281),$AF$2:$AF$1001,0),0), INDEX($AM$1004:$BM$1004,1,MATCH(COLUMNS($AM$1006:BD1006),$AM$1006:$BM$1006,0)))),"Fix")))</f>
        <v xml:space="preserve"> </v>
      </c>
      <c r="T281" s="4" t="str">
        <f ca="1">IF(OR(INDEX($AG$2:$AG$1001,MATCH(ROWS($AF$2:AF281),$AF$2:$AF$1001,0),1)&gt;=100000,INDEX($AM$1005:$BM$1005,1,MATCH(COLUMNS($AM$1006:BE1006),$AM$1006:$BM$1006,0))&gt;=100000), " ",IF(INDEX($AM$2:$BM$1001,MATCH(ROWS($AF$2:AF281),$AF$2:$AF$1001,0),MATCH(COLUMNS($AM$1006:BE1006),$AM$1006:$BM$1006,0)), HYPERLINK("#",""), HYPERLINK(CONCATENATE("#metadata!", ADDRESS(INDEX($AH$2:$AH$1001,MATCH(ROWS($AF$2:AF281),$AF$2:$AF$1001,0),0), INDEX($AM$1004:$BM$1004,1,MATCH(COLUMNS($AM$1006:BE1006),$AM$1006:$BM$1006,0)))),"Fix")))</f>
        <v xml:space="preserve"> </v>
      </c>
      <c r="U281" s="4" t="str">
        <f ca="1">IF(OR(INDEX($AG$2:$AG$1001,MATCH(ROWS($AF$2:AF281),$AF$2:$AF$1001,0),1)&gt;=100000,INDEX($AM$1005:$BM$1005,1,MATCH(COLUMNS($AM$1006:BF1006),$AM$1006:$BM$1006,0))&gt;=100000), " ",IF(INDEX($AM$2:$BM$1001,MATCH(ROWS($AF$2:AF281),$AF$2:$AF$1001,0),MATCH(COLUMNS($AM$1006:BF1006),$AM$1006:$BM$1006,0)), HYPERLINK("#",""), HYPERLINK(CONCATENATE("#metadata!", ADDRESS(INDEX($AH$2:$AH$1001,MATCH(ROWS($AF$2:AF281),$AF$2:$AF$1001,0),0), INDEX($AM$1004:$BM$1004,1,MATCH(COLUMNS($AM$1006:BF1006),$AM$1006:$BM$1006,0)))),"Fix")))</f>
        <v xml:space="preserve"> </v>
      </c>
      <c r="V281" s="4" t="str">
        <f ca="1">IF(OR(INDEX($AG$2:$AG$1001,MATCH(ROWS($AF$2:AF281),$AF$2:$AF$1001,0),1)&gt;=100000,INDEX($AM$1005:$BM$1005,1,MATCH(COLUMNS($AM$1006:BG1006),$AM$1006:$BM$1006,0))&gt;=100000), " ",IF(INDEX($AM$2:$BM$1001,MATCH(ROWS($AF$2:AF281),$AF$2:$AF$1001,0),MATCH(COLUMNS($AM$1006:BG1006),$AM$1006:$BM$1006,0)), HYPERLINK("#",""), HYPERLINK(CONCATENATE("#metadata!", ADDRESS(INDEX($AH$2:$AH$1001,MATCH(ROWS($AF$2:AF281),$AF$2:$AF$1001,0),0), INDEX($AM$1004:$BM$1004,1,MATCH(COLUMNS($AM$1006:BG1006),$AM$1006:$BM$1006,0)))),"Fix")))</f>
        <v xml:space="preserve"> </v>
      </c>
      <c r="W281" s="4" t="str">
        <f ca="1">IF(OR(INDEX($AG$2:$AG$1001,MATCH(ROWS($AF$2:AF281),$AF$2:$AF$1001,0),1)&gt;=100000,INDEX($AM$1005:$BM$1005,1,MATCH(COLUMNS($AM$1006:BH1006),$AM$1006:$BM$1006,0))&gt;=100000), " ",IF(INDEX($AM$2:$BM$1001,MATCH(ROWS($AF$2:AF281),$AF$2:$AF$1001,0),MATCH(COLUMNS($AM$1006:BH1006),$AM$1006:$BM$1006,0)), HYPERLINK("#",""), HYPERLINK(CONCATENATE("#metadata!", ADDRESS(INDEX($AH$2:$AH$1001,MATCH(ROWS($AF$2:AF281),$AF$2:$AF$1001,0),0), INDEX($AM$1004:$BM$1004,1,MATCH(COLUMNS($AM$1006:BH1006),$AM$1006:$BM$1006,0)))),"Fix")))</f>
        <v xml:space="preserve"> </v>
      </c>
      <c r="X281" s="4" t="str">
        <f ca="1">IF(OR(INDEX($AG$2:$AG$1001,MATCH(ROWS($AF$2:AF281),$AF$2:$AF$1001,0),1)&gt;=100000,INDEX($AM$1005:$BM$1005,1,MATCH(COLUMNS($AM$1006:BI1006),$AM$1006:$BM$1006,0))&gt;=100000), " ",IF(INDEX($AM$2:$BM$1001,MATCH(ROWS($AF$2:AF281),$AF$2:$AF$1001,0),MATCH(COLUMNS($AM$1006:BI1006),$AM$1006:$BM$1006,0)), HYPERLINK("#",""), HYPERLINK(CONCATENATE("#metadata!", ADDRESS(INDEX($AH$2:$AH$1001,MATCH(ROWS($AF$2:AF281),$AF$2:$AF$1001,0),0), INDEX($AM$1004:$BM$1004,1,MATCH(COLUMNS($AM$1006:BI1006),$AM$1006:$BM$1006,0)))),"Fix")))</f>
        <v xml:space="preserve"> </v>
      </c>
      <c r="Y281" s="4" t="str">
        <f ca="1">IF(OR(INDEX($AG$2:$AG$1001,MATCH(ROWS($AF$2:AF281),$AF$2:$AF$1001,0),1)&gt;=100000,INDEX($AM$1005:$BM$1005,1,MATCH(COLUMNS($AM$1006:BJ1006),$AM$1006:$BM$1006,0))&gt;=100000), " ",IF(INDEX($AM$2:$BM$1001,MATCH(ROWS($AF$2:AF281),$AF$2:$AF$1001,0),MATCH(COLUMNS($AM$1006:BJ1006),$AM$1006:$BM$1006,0)), HYPERLINK("#",""), HYPERLINK(CONCATENATE("#metadata!", ADDRESS(INDEX($AH$2:$AH$1001,MATCH(ROWS($AF$2:AF281),$AF$2:$AF$1001,0),0), INDEX($AM$1004:$BM$1004,1,MATCH(COLUMNS($AM$1006:BJ1006),$AM$1006:$BM$1006,0)))),"Fix")))</f>
        <v xml:space="preserve"> </v>
      </c>
      <c r="Z281" s="4" t="str">
        <f ca="1">IF(OR(INDEX($AG$2:$AG$1001,MATCH(ROWS($AF$2:AF281),$AF$2:$AF$1001,0),1)&gt;=100000,INDEX($AM$1005:$BM$1005,1,MATCH(COLUMNS($AM$1006:BK1006),$AM$1006:$BM$1006,0))&gt;=100000), " ",IF(INDEX($AM$2:$BM$1001,MATCH(ROWS($AF$2:AF281),$AF$2:$AF$1001,0),MATCH(COLUMNS($AM$1006:BK1006),$AM$1006:$BM$1006,0)), HYPERLINK("#",""), HYPERLINK(CONCATENATE("#metadata!", ADDRESS(INDEX($AH$2:$AH$1001,MATCH(ROWS($AF$2:AF281),$AF$2:$AF$1001,0),0), INDEX($AM$1004:$BM$1004,1,MATCH(COLUMNS($AM$1006:BK1006),$AM$1006:$BM$1006,0)))),"Fix")))</f>
        <v xml:space="preserve"> </v>
      </c>
      <c r="AA281" s="4" t="str">
        <f ca="1">IF(OR(INDEX($AG$2:$AG$1001,MATCH(ROWS($AF$2:AF281),$AF$2:$AF$1001,0),1)&gt;=100000,INDEX($AM$1005:$BM$1005,1,MATCH(COLUMNS($AM$1006:BL1006),$AM$1006:$BM$1006,0))&gt;=100000), " ",IF(INDEX($AM$2:$BM$1001,MATCH(ROWS($AF$2:AF281),$AF$2:$AF$1001,0),MATCH(COLUMNS($AM$1006:BL1006),$AM$1006:$BM$1006,0)), HYPERLINK("#",""), HYPERLINK(CONCATENATE("#metadata!", ADDRESS(INDEX($AH$2:$AH$1001,MATCH(ROWS($AF$2:AF281),$AF$2:$AF$1001,0),0), INDEX($AM$1004:$BM$1004,1,MATCH(COLUMNS($AM$1006:BL1006),$AM$1006:$BM$1006,0)))),"Fix")))</f>
        <v xml:space="preserve"> </v>
      </c>
      <c r="AB281" s="4" t="str">
        <f ca="1">IF(OR(INDEX($AG$2:$AG$1001,MATCH(ROWS($AF$2:AF281),$AF$2:$AF$1001,0),1)&gt;=100000,INDEX($AM$1005:$BM$1005,1,MATCH(COLUMNS($AM$1006:BM1006),$AM$1006:$BM$1006,0))&gt;=100000), " ",IF(INDEX($AM$2:$BM$1001,MATCH(ROWS($AF$2:AF281),$AF$2:$AF$1001,0),MATCH(COLUMNS($AM$1006:BM1006),$AM$1006:$BM$1006,0)), HYPERLINK("#",""), HYPERLINK(CONCATENATE("#metadata!", ADDRESS(INDEX($AH$2:$AH$1001,MATCH(ROWS($AF$2:AF281),$AF$2:$AF$1001,0),0), INDEX($AM$1004:$BM$1004,1,MATCH(COLUMNS($AM$1006:BM1006),$AM$1006:$BM$1006,0)))),"Fix")))</f>
        <v xml:space="preserve"> </v>
      </c>
      <c r="AF281">
        <v>280</v>
      </c>
      <c r="AG281">
        <v>100281</v>
      </c>
      <c r="AH281">
        <v>281</v>
      </c>
      <c r="AI281" t="b">
        <f t="shared" si="4"/>
        <v>1</v>
      </c>
      <c r="AJ281" t="b">
        <f>COUNTBLANK(metadata!B281:AB281)=COLUMNS(metadata!B281:AB281)</f>
        <v>1</v>
      </c>
      <c r="AK281" t="str">
        <v/>
      </c>
      <c r="AM281" t="b">
        <f ca="1">AND(IF(metadata!B281="",FALSE,TRUE),COUNTIF(metadata!B:B, metadata!B281) = 1,NOT(ISERROR(SUMPRODUCT(SEARCH(MID(metadata!B281,ROW(INDIRECT("1:"&amp;LEN(metadata!B281))), 1),"0123456789abcdefghijklmnopqrstuvwxyzABCDEFGHIJKLMNOPQRSTUVWXYZ.")))))</f>
        <v>0</v>
      </c>
      <c r="AN281" t="b">
        <f ca="1">OR(AND(IF(metadata!C281="",FALSE,TRUE),OR(EXACT(metadata!C281,"missing: not collected"),EXACT(metadata!C281,"missing: not provided"),EXACT(metadata!C281,"missing: restricted access"))),AND(IF(metadata!C281="",FALSE,TRUE),AND(AND(IFERROR(INT(LEFT(metadata!C281,4))&gt;1900,FALSE),IFERROR(INT(LEFT(metadata!C281,4))&lt;=YEAR(NOW()),FALSE)), OR(MID(metadata!C281,5,1)="", AND(AND(MID(metadata!C281,5,1)="-",IFERROR(INT(MID(metadata!C281,6,1))&gt;=0,FALSE),IFERROR(INT(MID(metadata!C281,6,1))&lt;=1,FALSE),NOT(MID(metadata!C281,7,1)=""),IFERROR(INT(MID(metadata!C281,6,2))&gt;=1,FALSE),IFERROR(INT(MID(metadata!C281,6,2))&lt;=12,FALSE)), OR(MID(metadata!C281,8,1)="", AND(AND(MID(metadata!C281,8,1)="-",IFERROR(INT(MID(metadata!C281,9,1))&gt;=0,FALSE),IFERROR(INT(MID(metadata!C281,9,1))&lt;=3,FALSE),NOT(MID(metadata!C281,10,1)=""),IFERROR(INT(MID(metadata!C281,9,2))&gt;=1,FALSE),IFERROR(INT(MID(metadata!C281,9,2))&lt;=31,FALSE)), OR(MID(metadata!C281,11,1)="", AND(AND(MID(metadata!C281,11,1)=" ",IFERROR(INT(MID(metadata!C281,12,1))&gt;=0,FALSE),IFERROR(INT(MID(metadata!C281,12,1))&lt;=2,FALSE),NOT(MID(metadata!C281,13,1)=""),IFERROR(INT(MID(metadata!C281,12,2))&gt;=0,FALSE),IFERROR(INT(MID(metadata!C281,12,2))&lt;=23,FALSE)), OR(MID(metadata!C281,14,1)="", AND(AND(MID(metadata!C281,14,1)=":",IFERROR(INT(MID(metadata!C281,15,1))&gt;=0,FALSE),IFERROR(INT(MID(metadata!C281,15,1))&lt;=5,FALSE),NOT(MID(metadata!C281,16,1)=""),IFERROR(INT(MID(metadata!C281,15,2))&gt;=0,FALSE),IFERROR(INT(MID(metadata!C281,15,2))&lt;=59,FALSE)), OR(MID(metadata!C281,17,1)="", AND(AND(MID(metadata!C281,17,1)=":",IFERROR(INT(MID(metadata!C281,18,1))&gt;=0,FALSE),IFERROR(INT(MID(metadata!C281,18,1))&lt;=5,FALSE),NOT(MID(metadata!C281,19,1)=""),IFERROR(INT(MID(metadata!C281,18,2))&gt;=0,FALSE),IFERROR(INT(MID(metadata!C281,18,2))&lt;=59,FALSE)), LEN(metadata!C281)&lt;=19)))))))))))))</f>
        <v>0</v>
      </c>
      <c r="AO281" t="b">
        <f>AND(IF(metadata!D281="",FALSE,TRUE),EXACT(metadata!D281,"Not applicable"))</f>
        <v>0</v>
      </c>
      <c r="AP281" t="b">
        <f>IF(metadata!E281="",FALSE,TRUE)</f>
        <v>0</v>
      </c>
      <c r="AQ281" t="b">
        <f>OR(AND(IF(metadata!F281="",FALSE,TRUE),OR(EXACT(metadata!F281,"missing: not collected"),EXACT(metadata!F281,"missing: not provided"))),AND(IF(metadata!F281="",FALSE,TRUE),OR(EXACT(metadata!F281,"TRUE"),EXACT(metadata!F281,"FALSE"))))</f>
        <v>0</v>
      </c>
      <c r="AR281" t="b">
        <f>OR(AND(IF(metadata!G281="",FALSE,TRUE),OR(EXACT(metadata!G281,"missing: not collected"),EXACT(metadata!G281,"missing: not provided"),EXACT(metadata!G281,"missing: restricted access"))),AND(IF(metadata!G281="",FALSE,ISNUMBER(VALUE(metadata!G281))),metadata!G281&gt;=-413))</f>
        <v>0</v>
      </c>
      <c r="AS281" t="b">
        <f>AND(IF(metadata!H281="",FALSE,TRUE),EXACT(metadata!H281,"meters"))</f>
        <v>0</v>
      </c>
      <c r="AT281" t="b">
        <f>AND(IF(metadata!I281="",FALSE,TRUE),OR(EXACT(metadata!I281,"Host-associated"),EXACT(metadata!I281,"Free-living")))</f>
        <v>0</v>
      </c>
      <c r="AU281" t="b">
        <f>AND(IF(metadata!J281="",FALSE,TRUE),OR(EXACT(metadata!J281,"Animal"),EXACT(metadata!J281,"Fungus"),EXACT(metadata!J281,"Plant"),EXACT(metadata!J281,"Saline"),EXACT(metadata!J281,"Non-saline")))</f>
        <v>0</v>
      </c>
      <c r="AV281" t="b">
        <f>AND(IF(metadata!K281="",FALSE,TRUE),OR(EXACT(metadata!K281,"Plant secretion"),EXACT(metadata!K281,"Plant rhizosphere"),EXACT(metadata!K281,"Plant surface"),EXACT(metadata!K281,"Plant corpus"),EXACT(metadata!K281,"Fungus surface"),EXACT(metadata!K281,"Fungus corpus"),EXACT(metadata!K281,"Animal surface"),EXACT(metadata!K281,"Animal proximal gut"),EXACT(metadata!K281,"Animal corpus"),EXACT(metadata!K281,"Animal distal gut"),EXACT(metadata!K281,"Animal secretion"),EXACT(metadata!K281,"Sub-surface (non-saline)"),EXACT(metadata!K281,"Surface (non-saline)"),EXACT(metadata!K281,"Water (non-saline)"),EXACT(metadata!K281,"Soil (non-saline)"),EXACT(metadata!K281,"Aerosol (non-saline)"),EXACT(metadata!K281,"Sediment (non-saline)"),EXACT(metadata!K281,"Surface (saline)"),EXACT(metadata!K281,"Water (saline)"),EXACT(metadata!K281,"Hypersaline (saline)"),EXACT(metadata!K281,"Aerosol (saline)"),EXACT(metadata!K281,"Sediment (saline)")))</f>
        <v>0</v>
      </c>
      <c r="AW281" t="b">
        <f>IF(metadata!L281="",FALSE,TRUE)</f>
        <v>0</v>
      </c>
      <c r="AX281" t="b">
        <f>IF(metadata!M281="",FALSE,TRUE)</f>
        <v>0</v>
      </c>
      <c r="AY281" t="b">
        <f>IF(metadata!N281="",FALSE,TRUE)</f>
        <v>0</v>
      </c>
      <c r="AZ281" t="b">
        <f>OR(AND(IF(metadata!O281="",FALSE,TRUE),OR(EXACT(metadata!O281,"missing: not collected"),EXACT(metadata!O281,"missing: not provided"),EXACT(metadata!O281,"missing: restricted access"))),AND(IF(metadata!O281="",FALSE,TRUE),OR(EXACT(metadata!O281,"air"),EXACT(metadata!O281,"built environment"),EXACT(metadata!O281,"host-associated"),EXACT(metadata!O281,"human-associated"),EXACT(metadata!O281,"human-skin"),EXACT(metadata!O281,"human-oral"),EXACT(metadata!O281,"human-gut"),EXACT(metadata!O281,"human-vaginal"),EXACT(metadata!O281,"microbial mat/biofilm"),EXACT(metadata!O281,"misc environment"),EXACT(metadata!O281,"plant-associated"),EXACT(metadata!O281,"sediment"),EXACT(metadata!O281,"soil"),EXACT(metadata!O281,"wastewater/sludge"),EXACT(metadata!O281,"water"))))</f>
        <v>0</v>
      </c>
      <c r="BA281" t="b">
        <f>IF(metadata!P281="",FALSE,TRUE)</f>
        <v>0</v>
      </c>
      <c r="BB281" t="b">
        <f>IF(metadata!Q281="",FALSE,TRUE)</f>
        <v>0</v>
      </c>
      <c r="BC281" t="b">
        <f>OR(AND(IF(metadata!R281="",FALSE,TRUE),OR(EXACT(metadata!R281,"missing: not collected"),EXACT(metadata!R281,"missing: not provided"),EXACT(metadata!R281,"missing: restricted access"))),AND(IF(metadata!R281="",FALSE,ISNUMBER(VALUE(metadata!R281))),metadata!R281&gt;=-90,metadata!R281&lt;=90))</f>
        <v>0</v>
      </c>
      <c r="BD281" t="b">
        <f>AND(IF(metadata!S281="",FALSE,TRUE),EXACT(metadata!S281,"Decimal degrees"))</f>
        <v>0</v>
      </c>
      <c r="BE281" t="b">
        <f>OR(AND(IF(metadata!T281="",FALSE,TRUE),OR(EXACT(metadata!T281,"missing: not collected"),EXACT(metadata!T281,"missing: not provided"),EXACT(metadata!T281,"missing: restricted access"))),AND(IF(metadata!T281="",FALSE,ISNUMBER(VALUE(metadata!T281))),metadata!T281&gt;=-180,metadata!T281&lt;=180))</f>
        <v>0</v>
      </c>
      <c r="BF281" t="b">
        <f>AND(IF(metadata!U281="",FALSE,TRUE),EXACT(metadata!U281,"Decimal degrees"))</f>
        <v>0</v>
      </c>
      <c r="BG281" t="b">
        <f>IF(metadata!V281="",FALSE,TRUE)</f>
        <v>0</v>
      </c>
      <c r="BH281" t="b">
        <f>OR(AND(IF(metadata!W281="",FALSE,TRUE),OR(EXACT(metadata!W281,"missing: not collected"),EXACT(metadata!W281,"missing: not provided"),EXACT(metadata!W281,"missing: restricted access"))),AND(IF(metadata!W281="",FALSE,TRUE),OR(EXACT(metadata!W281,"TRUE"),EXACT(metadata!W281,"FALSE"))))</f>
        <v>0</v>
      </c>
      <c r="BI281" t="b">
        <f>AND(IF(metadata!X281="",FALSE,TRUE),EXACT(metadata!X281,"other"))</f>
        <v>0</v>
      </c>
      <c r="BJ281" t="b">
        <f>IF(metadata!Y281="",FALSE,TRUE)</f>
        <v>0</v>
      </c>
      <c r="BK281" t="b">
        <f>OR(AND(IF(metadata!Z281="",FALSE,TRUE),OR(EXACT(metadata!Z281,"missing: not collected"),EXACT(metadata!Z281,"missing: not provided"))),AND(IF(metadata!Z281="",FALSE,IF(ISERROR(INT(metadata!Z281)),FALSE,INT(metadata!Z281)=metadata!Z281)),metadata!Z281&gt;0))</f>
        <v>0</v>
      </c>
      <c r="BL281" t="b">
        <f>AND(IF(metadata!AA281="",FALSE,TRUE),EXACT(metadata!AA281,"Not applicable"))</f>
        <v>0</v>
      </c>
      <c r="BM281" t="b">
        <f>IF(metadata!AB281="",FALSE,TRUE)</f>
        <v>0</v>
      </c>
    </row>
    <row r="282" spans="1:65" x14ac:dyDescent="0.2">
      <c r="A282" s="5" t="str">
        <f ca="1">IF(B282=" "," ",HYPERLINK(CONCATENATE("#metadata!",ADDRESS(INDEX($AH$2:$AH$1001,MATCH(ROWS($AF$2:AF282),$AF$2:$AF$1001,0),0),1)),INDEX($AK$2:$AK$1001,MATCH(ROWS($AF$2:AF282),$AF$2:$AF$1001,0),0)))</f>
        <v xml:space="preserve"> </v>
      </c>
      <c r="B282" s="4" t="str">
        <f ca="1">IF(OR(INDEX($AG$2:$AG$1001,MATCH(ROWS($AF$2:AF282),$AF$2:$AF$1001,0),1)&gt;=100000,INDEX($AM$1005:$BM$1005,1,MATCH(COLUMNS($AM$1006:AM1006),$AM$1006:$BM$1006,0))&gt;=100000), " ",IF(INDEX($AM$2:$BM$1001,MATCH(ROWS($AF$2:AF282),$AF$2:$AF$1001,0),MATCH(COLUMNS($AM$1006:AM1006),$AM$1006:$BM$1006,0)), HYPERLINK("#",""), HYPERLINK(CONCATENATE("#metadata!", ADDRESS(INDEX($AH$2:$AH$1001,MATCH(ROWS($AF$2:AF282),$AF$2:$AF$1001,0),0), INDEX($AM$1004:$BM$1004,1,MATCH(COLUMNS($AM$1006:AM1006),$AM$1006:$BM$1006,0)))),"Fix")))</f>
        <v xml:space="preserve"> </v>
      </c>
      <c r="C282" s="4" t="str">
        <f ca="1">IF(OR(INDEX($AG$2:$AG$1001,MATCH(ROWS($AF$2:AF282),$AF$2:$AF$1001,0),1)&gt;=100000,INDEX($AM$1005:$BM$1005,1,MATCH(COLUMNS($AM$1006:AN1006),$AM$1006:$BM$1006,0))&gt;=100000), " ",IF(INDEX($AM$2:$BM$1001,MATCH(ROWS($AF$2:AF282),$AF$2:$AF$1001,0),MATCH(COLUMNS($AM$1006:AN1006),$AM$1006:$BM$1006,0)), HYPERLINK("#",""), HYPERLINK(CONCATENATE("#metadata!", ADDRESS(INDEX($AH$2:$AH$1001,MATCH(ROWS($AF$2:AF282),$AF$2:$AF$1001,0),0), INDEX($AM$1004:$BM$1004,1,MATCH(COLUMNS($AM$1006:AN1006),$AM$1006:$BM$1006,0)))),"Fix")))</f>
        <v xml:space="preserve"> </v>
      </c>
      <c r="D282" s="4" t="str">
        <f ca="1">IF(OR(INDEX($AG$2:$AG$1001,MATCH(ROWS($AF$2:AF282),$AF$2:$AF$1001,0),1)&gt;=100000,INDEX($AM$1005:$BM$1005,1,MATCH(COLUMNS($AM$1006:AO1006),$AM$1006:$BM$1006,0))&gt;=100000), " ",IF(INDEX($AM$2:$BM$1001,MATCH(ROWS($AF$2:AF282),$AF$2:$AF$1001,0),MATCH(COLUMNS($AM$1006:AO1006),$AM$1006:$BM$1006,0)), HYPERLINK("#",""), HYPERLINK(CONCATENATE("#metadata!", ADDRESS(INDEX($AH$2:$AH$1001,MATCH(ROWS($AF$2:AF282),$AF$2:$AF$1001,0),0), INDEX($AM$1004:$BM$1004,1,MATCH(COLUMNS($AM$1006:AO1006),$AM$1006:$BM$1006,0)))),"Fix")))</f>
        <v xml:space="preserve"> </v>
      </c>
      <c r="E282" s="4" t="str">
        <f ca="1">IF(OR(INDEX($AG$2:$AG$1001,MATCH(ROWS($AF$2:AF282),$AF$2:$AF$1001,0),1)&gt;=100000,INDEX($AM$1005:$BM$1005,1,MATCH(COLUMNS($AM$1006:AP1006),$AM$1006:$BM$1006,0))&gt;=100000), " ",IF(INDEX($AM$2:$BM$1001,MATCH(ROWS($AF$2:AF282),$AF$2:$AF$1001,0),MATCH(COLUMNS($AM$1006:AP1006),$AM$1006:$BM$1006,0)), HYPERLINK("#",""), HYPERLINK(CONCATENATE("#metadata!", ADDRESS(INDEX($AH$2:$AH$1001,MATCH(ROWS($AF$2:AF282),$AF$2:$AF$1001,0),0), INDEX($AM$1004:$BM$1004,1,MATCH(COLUMNS($AM$1006:AP1006),$AM$1006:$BM$1006,0)))),"Fix")))</f>
        <v xml:space="preserve"> </v>
      </c>
      <c r="F282" s="4" t="str">
        <f ca="1">IF(OR(INDEX($AG$2:$AG$1001,MATCH(ROWS($AF$2:AF282),$AF$2:$AF$1001,0),1)&gt;=100000,INDEX($AM$1005:$BM$1005,1,MATCH(COLUMNS($AM$1006:AQ1006),$AM$1006:$BM$1006,0))&gt;=100000), " ",IF(INDEX($AM$2:$BM$1001,MATCH(ROWS($AF$2:AF282),$AF$2:$AF$1001,0),MATCH(COLUMNS($AM$1006:AQ1006),$AM$1006:$BM$1006,0)), HYPERLINK("#",""), HYPERLINK(CONCATENATE("#metadata!", ADDRESS(INDEX($AH$2:$AH$1001,MATCH(ROWS($AF$2:AF282),$AF$2:$AF$1001,0),0), INDEX($AM$1004:$BM$1004,1,MATCH(COLUMNS($AM$1006:AQ1006),$AM$1006:$BM$1006,0)))),"Fix")))</f>
        <v xml:space="preserve"> </v>
      </c>
      <c r="G282" s="4" t="str">
        <f ca="1">IF(OR(INDEX($AG$2:$AG$1001,MATCH(ROWS($AF$2:AF282),$AF$2:$AF$1001,0),1)&gt;=100000,INDEX($AM$1005:$BM$1005,1,MATCH(COLUMNS($AM$1006:AR1006),$AM$1006:$BM$1006,0))&gt;=100000), " ",IF(INDEX($AM$2:$BM$1001,MATCH(ROWS($AF$2:AF282),$AF$2:$AF$1001,0),MATCH(COLUMNS($AM$1006:AR1006),$AM$1006:$BM$1006,0)), HYPERLINK("#",""), HYPERLINK(CONCATENATE("#metadata!", ADDRESS(INDEX($AH$2:$AH$1001,MATCH(ROWS($AF$2:AF282),$AF$2:$AF$1001,0),0), INDEX($AM$1004:$BM$1004,1,MATCH(COLUMNS($AM$1006:AR1006),$AM$1006:$BM$1006,0)))),"Fix")))</f>
        <v xml:space="preserve"> </v>
      </c>
      <c r="H282" s="4" t="str">
        <f ca="1">IF(OR(INDEX($AG$2:$AG$1001,MATCH(ROWS($AF$2:AF282),$AF$2:$AF$1001,0),1)&gt;=100000,INDEX($AM$1005:$BM$1005,1,MATCH(COLUMNS($AM$1006:AS1006),$AM$1006:$BM$1006,0))&gt;=100000), " ",IF(INDEX($AM$2:$BM$1001,MATCH(ROWS($AF$2:AF282),$AF$2:$AF$1001,0),MATCH(COLUMNS($AM$1006:AS1006),$AM$1006:$BM$1006,0)), HYPERLINK("#",""), HYPERLINK(CONCATENATE("#metadata!", ADDRESS(INDEX($AH$2:$AH$1001,MATCH(ROWS($AF$2:AF282),$AF$2:$AF$1001,0),0), INDEX($AM$1004:$BM$1004,1,MATCH(COLUMNS($AM$1006:AS1006),$AM$1006:$BM$1006,0)))),"Fix")))</f>
        <v xml:space="preserve"> </v>
      </c>
      <c r="I282" s="4" t="str">
        <f ca="1">IF(OR(INDEX($AG$2:$AG$1001,MATCH(ROWS($AF$2:AF282),$AF$2:$AF$1001,0),1)&gt;=100000,INDEX($AM$1005:$BM$1005,1,MATCH(COLUMNS($AM$1006:AT1006),$AM$1006:$BM$1006,0))&gt;=100000), " ",IF(INDEX($AM$2:$BM$1001,MATCH(ROWS($AF$2:AF282),$AF$2:$AF$1001,0),MATCH(COLUMNS($AM$1006:AT1006),$AM$1006:$BM$1006,0)), HYPERLINK("#",""), HYPERLINK(CONCATENATE("#metadata!", ADDRESS(INDEX($AH$2:$AH$1001,MATCH(ROWS($AF$2:AF282),$AF$2:$AF$1001,0),0), INDEX($AM$1004:$BM$1004,1,MATCH(COLUMNS($AM$1006:AT1006),$AM$1006:$BM$1006,0)))),"Fix")))</f>
        <v xml:space="preserve"> </v>
      </c>
      <c r="J282" s="4" t="str">
        <f ca="1">IF(OR(INDEX($AG$2:$AG$1001,MATCH(ROWS($AF$2:AF282),$AF$2:$AF$1001,0),1)&gt;=100000,INDEX($AM$1005:$BM$1005,1,MATCH(COLUMNS($AM$1006:AU1006),$AM$1006:$BM$1006,0))&gt;=100000), " ",IF(INDEX($AM$2:$BM$1001,MATCH(ROWS($AF$2:AF282),$AF$2:$AF$1001,0),MATCH(COLUMNS($AM$1006:AU1006),$AM$1006:$BM$1006,0)), HYPERLINK("#",""), HYPERLINK(CONCATENATE("#metadata!", ADDRESS(INDEX($AH$2:$AH$1001,MATCH(ROWS($AF$2:AF282),$AF$2:$AF$1001,0),0), INDEX($AM$1004:$BM$1004,1,MATCH(COLUMNS($AM$1006:AU1006),$AM$1006:$BM$1006,0)))),"Fix")))</f>
        <v xml:space="preserve"> </v>
      </c>
      <c r="K282" s="4" t="str">
        <f ca="1">IF(OR(INDEX($AG$2:$AG$1001,MATCH(ROWS($AF$2:AF282),$AF$2:$AF$1001,0),1)&gt;=100000,INDEX($AM$1005:$BM$1005,1,MATCH(COLUMNS($AM$1006:AV1006),$AM$1006:$BM$1006,0))&gt;=100000), " ",IF(INDEX($AM$2:$BM$1001,MATCH(ROWS($AF$2:AF282),$AF$2:$AF$1001,0),MATCH(COLUMNS($AM$1006:AV1006),$AM$1006:$BM$1006,0)), HYPERLINK("#",""), HYPERLINK(CONCATENATE("#metadata!", ADDRESS(INDEX($AH$2:$AH$1001,MATCH(ROWS($AF$2:AF282),$AF$2:$AF$1001,0),0), INDEX($AM$1004:$BM$1004,1,MATCH(COLUMNS($AM$1006:AV1006),$AM$1006:$BM$1006,0)))),"Fix")))</f>
        <v xml:space="preserve"> </v>
      </c>
      <c r="L282" s="4" t="str">
        <f ca="1">IF(OR(INDEX($AG$2:$AG$1001,MATCH(ROWS($AF$2:AF282),$AF$2:$AF$1001,0),1)&gt;=100000,INDEX($AM$1005:$BM$1005,1,MATCH(COLUMNS($AM$1006:AW1006),$AM$1006:$BM$1006,0))&gt;=100000), " ",IF(INDEX($AM$2:$BM$1001,MATCH(ROWS($AF$2:AF282),$AF$2:$AF$1001,0),MATCH(COLUMNS($AM$1006:AW1006),$AM$1006:$BM$1006,0)), HYPERLINK("#",""), HYPERLINK(CONCATENATE("#metadata!", ADDRESS(INDEX($AH$2:$AH$1001,MATCH(ROWS($AF$2:AF282),$AF$2:$AF$1001,0),0), INDEX($AM$1004:$BM$1004,1,MATCH(COLUMNS($AM$1006:AW1006),$AM$1006:$BM$1006,0)))),"Fix")))</f>
        <v xml:space="preserve"> </v>
      </c>
      <c r="M282" s="4" t="str">
        <f ca="1">IF(OR(INDEX($AG$2:$AG$1001,MATCH(ROWS($AF$2:AF282),$AF$2:$AF$1001,0),1)&gt;=100000,INDEX($AM$1005:$BM$1005,1,MATCH(COLUMNS($AM$1006:AX1006),$AM$1006:$BM$1006,0))&gt;=100000), " ",IF(INDEX($AM$2:$BM$1001,MATCH(ROWS($AF$2:AF282),$AF$2:$AF$1001,0),MATCH(COLUMNS($AM$1006:AX1006),$AM$1006:$BM$1006,0)), HYPERLINK("#",""), HYPERLINK(CONCATENATE("#metadata!", ADDRESS(INDEX($AH$2:$AH$1001,MATCH(ROWS($AF$2:AF282),$AF$2:$AF$1001,0),0), INDEX($AM$1004:$BM$1004,1,MATCH(COLUMNS($AM$1006:AX1006),$AM$1006:$BM$1006,0)))),"Fix")))</f>
        <v xml:space="preserve"> </v>
      </c>
      <c r="N282" s="4" t="str">
        <f ca="1">IF(OR(INDEX($AG$2:$AG$1001,MATCH(ROWS($AF$2:AF282),$AF$2:$AF$1001,0),1)&gt;=100000,INDEX($AM$1005:$BM$1005,1,MATCH(COLUMNS($AM$1006:AY1006),$AM$1006:$BM$1006,0))&gt;=100000), " ",IF(INDEX($AM$2:$BM$1001,MATCH(ROWS($AF$2:AF282),$AF$2:$AF$1001,0),MATCH(COLUMNS($AM$1006:AY1006),$AM$1006:$BM$1006,0)), HYPERLINK("#",""), HYPERLINK(CONCATENATE("#metadata!", ADDRESS(INDEX($AH$2:$AH$1001,MATCH(ROWS($AF$2:AF282),$AF$2:$AF$1001,0),0), INDEX($AM$1004:$BM$1004,1,MATCH(COLUMNS($AM$1006:AY1006),$AM$1006:$BM$1006,0)))),"Fix")))</f>
        <v xml:space="preserve"> </v>
      </c>
      <c r="O282" s="4" t="str">
        <f ca="1">IF(OR(INDEX($AG$2:$AG$1001,MATCH(ROWS($AF$2:AF282),$AF$2:$AF$1001,0),1)&gt;=100000,INDEX($AM$1005:$BM$1005,1,MATCH(COLUMNS($AM$1006:AZ1006),$AM$1006:$BM$1006,0))&gt;=100000), " ",IF(INDEX($AM$2:$BM$1001,MATCH(ROWS($AF$2:AF282),$AF$2:$AF$1001,0),MATCH(COLUMNS($AM$1006:AZ1006),$AM$1006:$BM$1006,0)), HYPERLINK("#",""), HYPERLINK(CONCATENATE("#metadata!", ADDRESS(INDEX($AH$2:$AH$1001,MATCH(ROWS($AF$2:AF282),$AF$2:$AF$1001,0),0), INDEX($AM$1004:$BM$1004,1,MATCH(COLUMNS($AM$1006:AZ1006),$AM$1006:$BM$1006,0)))),"Fix")))</f>
        <v xml:space="preserve"> </v>
      </c>
      <c r="P282" s="4" t="str">
        <f ca="1">IF(OR(INDEX($AG$2:$AG$1001,MATCH(ROWS($AF$2:AF282),$AF$2:$AF$1001,0),1)&gt;=100000,INDEX($AM$1005:$BM$1005,1,MATCH(COLUMNS($AM$1006:BA1006),$AM$1006:$BM$1006,0))&gt;=100000), " ",IF(INDEX($AM$2:$BM$1001,MATCH(ROWS($AF$2:AF282),$AF$2:$AF$1001,0),MATCH(COLUMNS($AM$1006:BA1006),$AM$1006:$BM$1006,0)), HYPERLINK("#",""), HYPERLINK(CONCATENATE("#metadata!", ADDRESS(INDEX($AH$2:$AH$1001,MATCH(ROWS($AF$2:AF282),$AF$2:$AF$1001,0),0), INDEX($AM$1004:$BM$1004,1,MATCH(COLUMNS($AM$1006:BA1006),$AM$1006:$BM$1006,0)))),"Fix")))</f>
        <v xml:space="preserve"> </v>
      </c>
      <c r="Q282" s="4" t="str">
        <f ca="1">IF(OR(INDEX($AG$2:$AG$1001,MATCH(ROWS($AF$2:AF282),$AF$2:$AF$1001,0),1)&gt;=100000,INDEX($AM$1005:$BM$1005,1,MATCH(COLUMNS($AM$1006:BB1006),$AM$1006:$BM$1006,0))&gt;=100000), " ",IF(INDEX($AM$2:$BM$1001,MATCH(ROWS($AF$2:AF282),$AF$2:$AF$1001,0),MATCH(COLUMNS($AM$1006:BB1006),$AM$1006:$BM$1006,0)), HYPERLINK("#",""), HYPERLINK(CONCATENATE("#metadata!", ADDRESS(INDEX($AH$2:$AH$1001,MATCH(ROWS($AF$2:AF282),$AF$2:$AF$1001,0),0), INDEX($AM$1004:$BM$1004,1,MATCH(COLUMNS($AM$1006:BB1006),$AM$1006:$BM$1006,0)))),"Fix")))</f>
        <v xml:space="preserve"> </v>
      </c>
      <c r="R282" s="4" t="str">
        <f ca="1">IF(OR(INDEX($AG$2:$AG$1001,MATCH(ROWS($AF$2:AF282),$AF$2:$AF$1001,0),1)&gt;=100000,INDEX($AM$1005:$BM$1005,1,MATCH(COLUMNS($AM$1006:BC1006),$AM$1006:$BM$1006,0))&gt;=100000), " ",IF(INDEX($AM$2:$BM$1001,MATCH(ROWS($AF$2:AF282),$AF$2:$AF$1001,0),MATCH(COLUMNS($AM$1006:BC1006),$AM$1006:$BM$1006,0)), HYPERLINK("#",""), HYPERLINK(CONCATENATE("#metadata!", ADDRESS(INDEX($AH$2:$AH$1001,MATCH(ROWS($AF$2:AF282),$AF$2:$AF$1001,0),0), INDEX($AM$1004:$BM$1004,1,MATCH(COLUMNS($AM$1006:BC1006),$AM$1006:$BM$1006,0)))),"Fix")))</f>
        <v xml:space="preserve"> </v>
      </c>
      <c r="S282" s="4" t="str">
        <f ca="1">IF(OR(INDEX($AG$2:$AG$1001,MATCH(ROWS($AF$2:AF282),$AF$2:$AF$1001,0),1)&gt;=100000,INDEX($AM$1005:$BM$1005,1,MATCH(COLUMNS($AM$1006:BD1006),$AM$1006:$BM$1006,0))&gt;=100000), " ",IF(INDEX($AM$2:$BM$1001,MATCH(ROWS($AF$2:AF282),$AF$2:$AF$1001,0),MATCH(COLUMNS($AM$1006:BD1006),$AM$1006:$BM$1006,0)), HYPERLINK("#",""), HYPERLINK(CONCATENATE("#metadata!", ADDRESS(INDEX($AH$2:$AH$1001,MATCH(ROWS($AF$2:AF282),$AF$2:$AF$1001,0),0), INDEX($AM$1004:$BM$1004,1,MATCH(COLUMNS($AM$1006:BD1006),$AM$1006:$BM$1006,0)))),"Fix")))</f>
        <v xml:space="preserve"> </v>
      </c>
      <c r="T282" s="4" t="str">
        <f ca="1">IF(OR(INDEX($AG$2:$AG$1001,MATCH(ROWS($AF$2:AF282),$AF$2:$AF$1001,0),1)&gt;=100000,INDEX($AM$1005:$BM$1005,1,MATCH(COLUMNS($AM$1006:BE1006),$AM$1006:$BM$1006,0))&gt;=100000), " ",IF(INDEX($AM$2:$BM$1001,MATCH(ROWS($AF$2:AF282),$AF$2:$AF$1001,0),MATCH(COLUMNS($AM$1006:BE1006),$AM$1006:$BM$1006,0)), HYPERLINK("#",""), HYPERLINK(CONCATENATE("#metadata!", ADDRESS(INDEX($AH$2:$AH$1001,MATCH(ROWS($AF$2:AF282),$AF$2:$AF$1001,0),0), INDEX($AM$1004:$BM$1004,1,MATCH(COLUMNS($AM$1006:BE1006),$AM$1006:$BM$1006,0)))),"Fix")))</f>
        <v xml:space="preserve"> </v>
      </c>
      <c r="U282" s="4" t="str">
        <f ca="1">IF(OR(INDEX($AG$2:$AG$1001,MATCH(ROWS($AF$2:AF282),$AF$2:$AF$1001,0),1)&gt;=100000,INDEX($AM$1005:$BM$1005,1,MATCH(COLUMNS($AM$1006:BF1006),$AM$1006:$BM$1006,0))&gt;=100000), " ",IF(INDEX($AM$2:$BM$1001,MATCH(ROWS($AF$2:AF282),$AF$2:$AF$1001,0),MATCH(COLUMNS($AM$1006:BF1006),$AM$1006:$BM$1006,0)), HYPERLINK("#",""), HYPERLINK(CONCATENATE("#metadata!", ADDRESS(INDEX($AH$2:$AH$1001,MATCH(ROWS($AF$2:AF282),$AF$2:$AF$1001,0),0), INDEX($AM$1004:$BM$1004,1,MATCH(COLUMNS($AM$1006:BF1006),$AM$1006:$BM$1006,0)))),"Fix")))</f>
        <v xml:space="preserve"> </v>
      </c>
      <c r="V282" s="4" t="str">
        <f ca="1">IF(OR(INDEX($AG$2:$AG$1001,MATCH(ROWS($AF$2:AF282),$AF$2:$AF$1001,0),1)&gt;=100000,INDEX($AM$1005:$BM$1005,1,MATCH(COLUMNS($AM$1006:BG1006),$AM$1006:$BM$1006,0))&gt;=100000), " ",IF(INDEX($AM$2:$BM$1001,MATCH(ROWS($AF$2:AF282),$AF$2:$AF$1001,0),MATCH(COLUMNS($AM$1006:BG1006),$AM$1006:$BM$1006,0)), HYPERLINK("#",""), HYPERLINK(CONCATENATE("#metadata!", ADDRESS(INDEX($AH$2:$AH$1001,MATCH(ROWS($AF$2:AF282),$AF$2:$AF$1001,0),0), INDEX($AM$1004:$BM$1004,1,MATCH(COLUMNS($AM$1006:BG1006),$AM$1006:$BM$1006,0)))),"Fix")))</f>
        <v xml:space="preserve"> </v>
      </c>
      <c r="W282" s="4" t="str">
        <f ca="1">IF(OR(INDEX($AG$2:$AG$1001,MATCH(ROWS($AF$2:AF282),$AF$2:$AF$1001,0),1)&gt;=100000,INDEX($AM$1005:$BM$1005,1,MATCH(COLUMNS($AM$1006:BH1006),$AM$1006:$BM$1006,0))&gt;=100000), " ",IF(INDEX($AM$2:$BM$1001,MATCH(ROWS($AF$2:AF282),$AF$2:$AF$1001,0),MATCH(COLUMNS($AM$1006:BH1006),$AM$1006:$BM$1006,0)), HYPERLINK("#",""), HYPERLINK(CONCATENATE("#metadata!", ADDRESS(INDEX($AH$2:$AH$1001,MATCH(ROWS($AF$2:AF282),$AF$2:$AF$1001,0),0), INDEX($AM$1004:$BM$1004,1,MATCH(COLUMNS($AM$1006:BH1006),$AM$1006:$BM$1006,0)))),"Fix")))</f>
        <v xml:space="preserve"> </v>
      </c>
      <c r="X282" s="4" t="str">
        <f ca="1">IF(OR(INDEX($AG$2:$AG$1001,MATCH(ROWS($AF$2:AF282),$AF$2:$AF$1001,0),1)&gt;=100000,INDEX($AM$1005:$BM$1005,1,MATCH(COLUMNS($AM$1006:BI1006),$AM$1006:$BM$1006,0))&gt;=100000), " ",IF(INDEX($AM$2:$BM$1001,MATCH(ROWS($AF$2:AF282),$AF$2:$AF$1001,0),MATCH(COLUMNS($AM$1006:BI1006),$AM$1006:$BM$1006,0)), HYPERLINK("#",""), HYPERLINK(CONCATENATE("#metadata!", ADDRESS(INDEX($AH$2:$AH$1001,MATCH(ROWS($AF$2:AF282),$AF$2:$AF$1001,0),0), INDEX($AM$1004:$BM$1004,1,MATCH(COLUMNS($AM$1006:BI1006),$AM$1006:$BM$1006,0)))),"Fix")))</f>
        <v xml:space="preserve"> </v>
      </c>
      <c r="Y282" s="4" t="str">
        <f ca="1">IF(OR(INDEX($AG$2:$AG$1001,MATCH(ROWS($AF$2:AF282),$AF$2:$AF$1001,0),1)&gt;=100000,INDEX($AM$1005:$BM$1005,1,MATCH(COLUMNS($AM$1006:BJ1006),$AM$1006:$BM$1006,0))&gt;=100000), " ",IF(INDEX($AM$2:$BM$1001,MATCH(ROWS($AF$2:AF282),$AF$2:$AF$1001,0),MATCH(COLUMNS($AM$1006:BJ1006),$AM$1006:$BM$1006,0)), HYPERLINK("#",""), HYPERLINK(CONCATENATE("#metadata!", ADDRESS(INDEX($AH$2:$AH$1001,MATCH(ROWS($AF$2:AF282),$AF$2:$AF$1001,0),0), INDEX($AM$1004:$BM$1004,1,MATCH(COLUMNS($AM$1006:BJ1006),$AM$1006:$BM$1006,0)))),"Fix")))</f>
        <v xml:space="preserve"> </v>
      </c>
      <c r="Z282" s="4" t="str">
        <f ca="1">IF(OR(INDEX($AG$2:$AG$1001,MATCH(ROWS($AF$2:AF282),$AF$2:$AF$1001,0),1)&gt;=100000,INDEX($AM$1005:$BM$1005,1,MATCH(COLUMNS($AM$1006:BK1006),$AM$1006:$BM$1006,0))&gt;=100000), " ",IF(INDEX($AM$2:$BM$1001,MATCH(ROWS($AF$2:AF282),$AF$2:$AF$1001,0),MATCH(COLUMNS($AM$1006:BK1006),$AM$1006:$BM$1006,0)), HYPERLINK("#",""), HYPERLINK(CONCATENATE("#metadata!", ADDRESS(INDEX($AH$2:$AH$1001,MATCH(ROWS($AF$2:AF282),$AF$2:$AF$1001,0),0), INDEX($AM$1004:$BM$1004,1,MATCH(COLUMNS($AM$1006:BK1006),$AM$1006:$BM$1006,0)))),"Fix")))</f>
        <v xml:space="preserve"> </v>
      </c>
      <c r="AA282" s="4" t="str">
        <f ca="1">IF(OR(INDEX($AG$2:$AG$1001,MATCH(ROWS($AF$2:AF282),$AF$2:$AF$1001,0),1)&gt;=100000,INDEX($AM$1005:$BM$1005,1,MATCH(COLUMNS($AM$1006:BL1006),$AM$1006:$BM$1006,0))&gt;=100000), " ",IF(INDEX($AM$2:$BM$1001,MATCH(ROWS($AF$2:AF282),$AF$2:$AF$1001,0),MATCH(COLUMNS($AM$1006:BL1006),$AM$1006:$BM$1006,0)), HYPERLINK("#",""), HYPERLINK(CONCATENATE("#metadata!", ADDRESS(INDEX($AH$2:$AH$1001,MATCH(ROWS($AF$2:AF282),$AF$2:$AF$1001,0),0), INDEX($AM$1004:$BM$1004,1,MATCH(COLUMNS($AM$1006:BL1006),$AM$1006:$BM$1006,0)))),"Fix")))</f>
        <v xml:space="preserve"> </v>
      </c>
      <c r="AB282" s="4" t="str">
        <f ca="1">IF(OR(INDEX($AG$2:$AG$1001,MATCH(ROWS($AF$2:AF282),$AF$2:$AF$1001,0),1)&gt;=100000,INDEX($AM$1005:$BM$1005,1,MATCH(COLUMNS($AM$1006:BM1006),$AM$1006:$BM$1006,0))&gt;=100000), " ",IF(INDEX($AM$2:$BM$1001,MATCH(ROWS($AF$2:AF282),$AF$2:$AF$1001,0),MATCH(COLUMNS($AM$1006:BM1006),$AM$1006:$BM$1006,0)), HYPERLINK("#",""), HYPERLINK(CONCATENATE("#metadata!", ADDRESS(INDEX($AH$2:$AH$1001,MATCH(ROWS($AF$2:AF282),$AF$2:$AF$1001,0),0), INDEX($AM$1004:$BM$1004,1,MATCH(COLUMNS($AM$1006:BM1006),$AM$1006:$BM$1006,0)))),"Fix")))</f>
        <v xml:space="preserve"> </v>
      </c>
      <c r="AF282">
        <v>281</v>
      </c>
      <c r="AG282">
        <v>100282</v>
      </c>
      <c r="AH282">
        <v>282</v>
      </c>
      <c r="AI282" t="b">
        <f t="shared" si="4"/>
        <v>1</v>
      </c>
      <c r="AJ282" t="b">
        <f>COUNTBLANK(metadata!B282:AB282)=COLUMNS(metadata!B282:AB282)</f>
        <v>1</v>
      </c>
      <c r="AK282" t="str">
        <v/>
      </c>
      <c r="AM282" t="b">
        <f ca="1">AND(IF(metadata!B282="",FALSE,TRUE),COUNTIF(metadata!B:B, metadata!B282) = 1,NOT(ISERROR(SUMPRODUCT(SEARCH(MID(metadata!B282,ROW(INDIRECT("1:"&amp;LEN(metadata!B282))), 1),"0123456789abcdefghijklmnopqrstuvwxyzABCDEFGHIJKLMNOPQRSTUVWXYZ.")))))</f>
        <v>0</v>
      </c>
      <c r="AN282" t="b">
        <f ca="1">OR(AND(IF(metadata!C282="",FALSE,TRUE),OR(EXACT(metadata!C282,"missing: not collected"),EXACT(metadata!C282,"missing: not provided"),EXACT(metadata!C282,"missing: restricted access"))),AND(IF(metadata!C282="",FALSE,TRUE),AND(AND(IFERROR(INT(LEFT(metadata!C282,4))&gt;1900,FALSE),IFERROR(INT(LEFT(metadata!C282,4))&lt;=YEAR(NOW()),FALSE)), OR(MID(metadata!C282,5,1)="", AND(AND(MID(metadata!C282,5,1)="-",IFERROR(INT(MID(metadata!C282,6,1))&gt;=0,FALSE),IFERROR(INT(MID(metadata!C282,6,1))&lt;=1,FALSE),NOT(MID(metadata!C282,7,1)=""),IFERROR(INT(MID(metadata!C282,6,2))&gt;=1,FALSE),IFERROR(INT(MID(metadata!C282,6,2))&lt;=12,FALSE)), OR(MID(metadata!C282,8,1)="", AND(AND(MID(metadata!C282,8,1)="-",IFERROR(INT(MID(metadata!C282,9,1))&gt;=0,FALSE),IFERROR(INT(MID(metadata!C282,9,1))&lt;=3,FALSE),NOT(MID(metadata!C282,10,1)=""),IFERROR(INT(MID(metadata!C282,9,2))&gt;=1,FALSE),IFERROR(INT(MID(metadata!C282,9,2))&lt;=31,FALSE)), OR(MID(metadata!C282,11,1)="", AND(AND(MID(metadata!C282,11,1)=" ",IFERROR(INT(MID(metadata!C282,12,1))&gt;=0,FALSE),IFERROR(INT(MID(metadata!C282,12,1))&lt;=2,FALSE),NOT(MID(metadata!C282,13,1)=""),IFERROR(INT(MID(metadata!C282,12,2))&gt;=0,FALSE),IFERROR(INT(MID(metadata!C282,12,2))&lt;=23,FALSE)), OR(MID(metadata!C282,14,1)="", AND(AND(MID(metadata!C282,14,1)=":",IFERROR(INT(MID(metadata!C282,15,1))&gt;=0,FALSE),IFERROR(INT(MID(metadata!C282,15,1))&lt;=5,FALSE),NOT(MID(metadata!C282,16,1)=""),IFERROR(INT(MID(metadata!C282,15,2))&gt;=0,FALSE),IFERROR(INT(MID(metadata!C282,15,2))&lt;=59,FALSE)), OR(MID(metadata!C282,17,1)="", AND(AND(MID(metadata!C282,17,1)=":",IFERROR(INT(MID(metadata!C282,18,1))&gt;=0,FALSE),IFERROR(INT(MID(metadata!C282,18,1))&lt;=5,FALSE),NOT(MID(metadata!C282,19,1)=""),IFERROR(INT(MID(metadata!C282,18,2))&gt;=0,FALSE),IFERROR(INT(MID(metadata!C282,18,2))&lt;=59,FALSE)), LEN(metadata!C282)&lt;=19)))))))))))))</f>
        <v>0</v>
      </c>
      <c r="AO282" t="b">
        <f>AND(IF(metadata!D282="",FALSE,TRUE),EXACT(metadata!D282,"Not applicable"))</f>
        <v>0</v>
      </c>
      <c r="AP282" t="b">
        <f>IF(metadata!E282="",FALSE,TRUE)</f>
        <v>0</v>
      </c>
      <c r="AQ282" t="b">
        <f>OR(AND(IF(metadata!F282="",FALSE,TRUE),OR(EXACT(metadata!F282,"missing: not collected"),EXACT(metadata!F282,"missing: not provided"))),AND(IF(metadata!F282="",FALSE,TRUE),OR(EXACT(metadata!F282,"TRUE"),EXACT(metadata!F282,"FALSE"))))</f>
        <v>0</v>
      </c>
      <c r="AR282" t="b">
        <f>OR(AND(IF(metadata!G282="",FALSE,TRUE),OR(EXACT(metadata!G282,"missing: not collected"),EXACT(metadata!G282,"missing: not provided"),EXACT(metadata!G282,"missing: restricted access"))),AND(IF(metadata!G282="",FALSE,ISNUMBER(VALUE(metadata!G282))),metadata!G282&gt;=-413))</f>
        <v>0</v>
      </c>
      <c r="AS282" t="b">
        <f>AND(IF(metadata!H282="",FALSE,TRUE),EXACT(metadata!H282,"meters"))</f>
        <v>0</v>
      </c>
      <c r="AT282" t="b">
        <f>AND(IF(metadata!I282="",FALSE,TRUE),OR(EXACT(metadata!I282,"Host-associated"),EXACT(metadata!I282,"Free-living")))</f>
        <v>0</v>
      </c>
      <c r="AU282" t="b">
        <f>AND(IF(metadata!J282="",FALSE,TRUE),OR(EXACT(metadata!J282,"Animal"),EXACT(metadata!J282,"Fungus"),EXACT(metadata!J282,"Plant"),EXACT(metadata!J282,"Saline"),EXACT(metadata!J282,"Non-saline")))</f>
        <v>0</v>
      </c>
      <c r="AV282" t="b">
        <f>AND(IF(metadata!K282="",FALSE,TRUE),OR(EXACT(metadata!K282,"Plant secretion"),EXACT(metadata!K282,"Plant rhizosphere"),EXACT(metadata!K282,"Plant surface"),EXACT(metadata!K282,"Plant corpus"),EXACT(metadata!K282,"Fungus surface"),EXACT(metadata!K282,"Fungus corpus"),EXACT(metadata!K282,"Animal surface"),EXACT(metadata!K282,"Animal proximal gut"),EXACT(metadata!K282,"Animal corpus"),EXACT(metadata!K282,"Animal distal gut"),EXACT(metadata!K282,"Animal secretion"),EXACT(metadata!K282,"Sub-surface (non-saline)"),EXACT(metadata!K282,"Surface (non-saline)"),EXACT(metadata!K282,"Water (non-saline)"),EXACT(metadata!K282,"Soil (non-saline)"),EXACT(metadata!K282,"Aerosol (non-saline)"),EXACT(metadata!K282,"Sediment (non-saline)"),EXACT(metadata!K282,"Surface (saline)"),EXACT(metadata!K282,"Water (saline)"),EXACT(metadata!K282,"Hypersaline (saline)"),EXACT(metadata!K282,"Aerosol (saline)"),EXACT(metadata!K282,"Sediment (saline)")))</f>
        <v>0</v>
      </c>
      <c r="AW282" t="b">
        <f>IF(metadata!L282="",FALSE,TRUE)</f>
        <v>0</v>
      </c>
      <c r="AX282" t="b">
        <f>IF(metadata!M282="",FALSE,TRUE)</f>
        <v>0</v>
      </c>
      <c r="AY282" t="b">
        <f>IF(metadata!N282="",FALSE,TRUE)</f>
        <v>0</v>
      </c>
      <c r="AZ282" t="b">
        <f>OR(AND(IF(metadata!O282="",FALSE,TRUE),OR(EXACT(metadata!O282,"missing: not collected"),EXACT(metadata!O282,"missing: not provided"),EXACT(metadata!O282,"missing: restricted access"))),AND(IF(metadata!O282="",FALSE,TRUE),OR(EXACT(metadata!O282,"air"),EXACT(metadata!O282,"built environment"),EXACT(metadata!O282,"host-associated"),EXACT(metadata!O282,"human-associated"),EXACT(metadata!O282,"human-skin"),EXACT(metadata!O282,"human-oral"),EXACT(metadata!O282,"human-gut"),EXACT(metadata!O282,"human-vaginal"),EXACT(metadata!O282,"microbial mat/biofilm"),EXACT(metadata!O282,"misc environment"),EXACT(metadata!O282,"plant-associated"),EXACT(metadata!O282,"sediment"),EXACT(metadata!O282,"soil"),EXACT(metadata!O282,"wastewater/sludge"),EXACT(metadata!O282,"water"))))</f>
        <v>0</v>
      </c>
      <c r="BA282" t="b">
        <f>IF(metadata!P282="",FALSE,TRUE)</f>
        <v>0</v>
      </c>
      <c r="BB282" t="b">
        <f>IF(metadata!Q282="",FALSE,TRUE)</f>
        <v>0</v>
      </c>
      <c r="BC282" t="b">
        <f>OR(AND(IF(metadata!R282="",FALSE,TRUE),OR(EXACT(metadata!R282,"missing: not collected"),EXACT(metadata!R282,"missing: not provided"),EXACT(metadata!R282,"missing: restricted access"))),AND(IF(metadata!R282="",FALSE,ISNUMBER(VALUE(metadata!R282))),metadata!R282&gt;=-90,metadata!R282&lt;=90))</f>
        <v>0</v>
      </c>
      <c r="BD282" t="b">
        <f>AND(IF(metadata!S282="",FALSE,TRUE),EXACT(metadata!S282,"Decimal degrees"))</f>
        <v>0</v>
      </c>
      <c r="BE282" t="b">
        <f>OR(AND(IF(metadata!T282="",FALSE,TRUE),OR(EXACT(metadata!T282,"missing: not collected"),EXACT(metadata!T282,"missing: not provided"),EXACT(metadata!T282,"missing: restricted access"))),AND(IF(metadata!T282="",FALSE,ISNUMBER(VALUE(metadata!T282))),metadata!T282&gt;=-180,metadata!T282&lt;=180))</f>
        <v>0</v>
      </c>
      <c r="BF282" t="b">
        <f>AND(IF(metadata!U282="",FALSE,TRUE),EXACT(metadata!U282,"Decimal degrees"))</f>
        <v>0</v>
      </c>
      <c r="BG282" t="b">
        <f>IF(metadata!V282="",FALSE,TRUE)</f>
        <v>0</v>
      </c>
      <c r="BH282" t="b">
        <f>OR(AND(IF(metadata!W282="",FALSE,TRUE),OR(EXACT(metadata!W282,"missing: not collected"),EXACT(metadata!W282,"missing: not provided"),EXACT(metadata!W282,"missing: restricted access"))),AND(IF(metadata!W282="",FALSE,TRUE),OR(EXACT(metadata!W282,"TRUE"),EXACT(metadata!W282,"FALSE"))))</f>
        <v>0</v>
      </c>
      <c r="BI282" t="b">
        <f>AND(IF(metadata!X282="",FALSE,TRUE),EXACT(metadata!X282,"other"))</f>
        <v>0</v>
      </c>
      <c r="BJ282" t="b">
        <f>IF(metadata!Y282="",FALSE,TRUE)</f>
        <v>0</v>
      </c>
      <c r="BK282" t="b">
        <f>OR(AND(IF(metadata!Z282="",FALSE,TRUE),OR(EXACT(metadata!Z282,"missing: not collected"),EXACT(metadata!Z282,"missing: not provided"))),AND(IF(metadata!Z282="",FALSE,IF(ISERROR(INT(metadata!Z282)),FALSE,INT(metadata!Z282)=metadata!Z282)),metadata!Z282&gt;0))</f>
        <v>0</v>
      </c>
      <c r="BL282" t="b">
        <f>AND(IF(metadata!AA282="",FALSE,TRUE),EXACT(metadata!AA282,"Not applicable"))</f>
        <v>0</v>
      </c>
      <c r="BM282" t="b">
        <f>IF(metadata!AB282="",FALSE,TRUE)</f>
        <v>0</v>
      </c>
    </row>
    <row r="283" spans="1:65" x14ac:dyDescent="0.2">
      <c r="A283" s="5" t="str">
        <f ca="1">IF(B283=" "," ",HYPERLINK(CONCATENATE("#metadata!",ADDRESS(INDEX($AH$2:$AH$1001,MATCH(ROWS($AF$2:AF283),$AF$2:$AF$1001,0),0),1)),INDEX($AK$2:$AK$1001,MATCH(ROWS($AF$2:AF283),$AF$2:$AF$1001,0),0)))</f>
        <v xml:space="preserve"> </v>
      </c>
      <c r="B283" s="4" t="str">
        <f ca="1">IF(OR(INDEX($AG$2:$AG$1001,MATCH(ROWS($AF$2:AF283),$AF$2:$AF$1001,0),1)&gt;=100000,INDEX($AM$1005:$BM$1005,1,MATCH(COLUMNS($AM$1006:AM1006),$AM$1006:$BM$1006,0))&gt;=100000), " ",IF(INDEX($AM$2:$BM$1001,MATCH(ROWS($AF$2:AF283),$AF$2:$AF$1001,0),MATCH(COLUMNS($AM$1006:AM1006),$AM$1006:$BM$1006,0)), HYPERLINK("#",""), HYPERLINK(CONCATENATE("#metadata!", ADDRESS(INDEX($AH$2:$AH$1001,MATCH(ROWS($AF$2:AF283),$AF$2:$AF$1001,0),0), INDEX($AM$1004:$BM$1004,1,MATCH(COLUMNS($AM$1006:AM1006),$AM$1006:$BM$1006,0)))),"Fix")))</f>
        <v xml:space="preserve"> </v>
      </c>
      <c r="C283" s="4" t="str">
        <f ca="1">IF(OR(INDEX($AG$2:$AG$1001,MATCH(ROWS($AF$2:AF283),$AF$2:$AF$1001,0),1)&gt;=100000,INDEX($AM$1005:$BM$1005,1,MATCH(COLUMNS($AM$1006:AN1006),$AM$1006:$BM$1006,0))&gt;=100000), " ",IF(INDEX($AM$2:$BM$1001,MATCH(ROWS($AF$2:AF283),$AF$2:$AF$1001,0),MATCH(COLUMNS($AM$1006:AN1006),$AM$1006:$BM$1006,0)), HYPERLINK("#",""), HYPERLINK(CONCATENATE("#metadata!", ADDRESS(INDEX($AH$2:$AH$1001,MATCH(ROWS($AF$2:AF283),$AF$2:$AF$1001,0),0), INDEX($AM$1004:$BM$1004,1,MATCH(COLUMNS($AM$1006:AN1006),$AM$1006:$BM$1006,0)))),"Fix")))</f>
        <v xml:space="preserve"> </v>
      </c>
      <c r="D283" s="4" t="str">
        <f ca="1">IF(OR(INDEX($AG$2:$AG$1001,MATCH(ROWS($AF$2:AF283),$AF$2:$AF$1001,0),1)&gt;=100000,INDEX($AM$1005:$BM$1005,1,MATCH(COLUMNS($AM$1006:AO1006),$AM$1006:$BM$1006,0))&gt;=100000), " ",IF(INDEX($AM$2:$BM$1001,MATCH(ROWS($AF$2:AF283),$AF$2:$AF$1001,0),MATCH(COLUMNS($AM$1006:AO1006),$AM$1006:$BM$1006,0)), HYPERLINK("#",""), HYPERLINK(CONCATENATE("#metadata!", ADDRESS(INDEX($AH$2:$AH$1001,MATCH(ROWS($AF$2:AF283),$AF$2:$AF$1001,0),0), INDEX($AM$1004:$BM$1004,1,MATCH(COLUMNS($AM$1006:AO1006),$AM$1006:$BM$1006,0)))),"Fix")))</f>
        <v xml:space="preserve"> </v>
      </c>
      <c r="E283" s="4" t="str">
        <f ca="1">IF(OR(INDEX($AG$2:$AG$1001,MATCH(ROWS($AF$2:AF283),$AF$2:$AF$1001,0),1)&gt;=100000,INDEX($AM$1005:$BM$1005,1,MATCH(COLUMNS($AM$1006:AP1006),$AM$1006:$BM$1006,0))&gt;=100000), " ",IF(INDEX($AM$2:$BM$1001,MATCH(ROWS($AF$2:AF283),$AF$2:$AF$1001,0),MATCH(COLUMNS($AM$1006:AP1006),$AM$1006:$BM$1006,0)), HYPERLINK("#",""), HYPERLINK(CONCATENATE("#metadata!", ADDRESS(INDEX($AH$2:$AH$1001,MATCH(ROWS($AF$2:AF283),$AF$2:$AF$1001,0),0), INDEX($AM$1004:$BM$1004,1,MATCH(COLUMNS($AM$1006:AP1006),$AM$1006:$BM$1006,0)))),"Fix")))</f>
        <v xml:space="preserve"> </v>
      </c>
      <c r="F283" s="4" t="str">
        <f ca="1">IF(OR(INDEX($AG$2:$AG$1001,MATCH(ROWS($AF$2:AF283),$AF$2:$AF$1001,0),1)&gt;=100000,INDEX($AM$1005:$BM$1005,1,MATCH(COLUMNS($AM$1006:AQ1006),$AM$1006:$BM$1006,0))&gt;=100000), " ",IF(INDEX($AM$2:$BM$1001,MATCH(ROWS($AF$2:AF283),$AF$2:$AF$1001,0),MATCH(COLUMNS($AM$1006:AQ1006),$AM$1006:$BM$1006,0)), HYPERLINK("#",""), HYPERLINK(CONCATENATE("#metadata!", ADDRESS(INDEX($AH$2:$AH$1001,MATCH(ROWS($AF$2:AF283),$AF$2:$AF$1001,0),0), INDEX($AM$1004:$BM$1004,1,MATCH(COLUMNS($AM$1006:AQ1006),$AM$1006:$BM$1006,0)))),"Fix")))</f>
        <v xml:space="preserve"> </v>
      </c>
      <c r="G283" s="4" t="str">
        <f ca="1">IF(OR(INDEX($AG$2:$AG$1001,MATCH(ROWS($AF$2:AF283),$AF$2:$AF$1001,0),1)&gt;=100000,INDEX($AM$1005:$BM$1005,1,MATCH(COLUMNS($AM$1006:AR1006),$AM$1006:$BM$1006,0))&gt;=100000), " ",IF(INDEX($AM$2:$BM$1001,MATCH(ROWS($AF$2:AF283),$AF$2:$AF$1001,0),MATCH(COLUMNS($AM$1006:AR1006),$AM$1006:$BM$1006,0)), HYPERLINK("#",""), HYPERLINK(CONCATENATE("#metadata!", ADDRESS(INDEX($AH$2:$AH$1001,MATCH(ROWS($AF$2:AF283),$AF$2:$AF$1001,0),0), INDEX($AM$1004:$BM$1004,1,MATCH(COLUMNS($AM$1006:AR1006),$AM$1006:$BM$1006,0)))),"Fix")))</f>
        <v xml:space="preserve"> </v>
      </c>
      <c r="H283" s="4" t="str">
        <f ca="1">IF(OR(INDEX($AG$2:$AG$1001,MATCH(ROWS($AF$2:AF283),$AF$2:$AF$1001,0),1)&gt;=100000,INDEX($AM$1005:$BM$1005,1,MATCH(COLUMNS($AM$1006:AS1006),$AM$1006:$BM$1006,0))&gt;=100000), " ",IF(INDEX($AM$2:$BM$1001,MATCH(ROWS($AF$2:AF283),$AF$2:$AF$1001,0),MATCH(COLUMNS($AM$1006:AS1006),$AM$1006:$BM$1006,0)), HYPERLINK("#",""), HYPERLINK(CONCATENATE("#metadata!", ADDRESS(INDEX($AH$2:$AH$1001,MATCH(ROWS($AF$2:AF283),$AF$2:$AF$1001,0),0), INDEX($AM$1004:$BM$1004,1,MATCH(COLUMNS($AM$1006:AS1006),$AM$1006:$BM$1006,0)))),"Fix")))</f>
        <v xml:space="preserve"> </v>
      </c>
      <c r="I283" s="4" t="str">
        <f ca="1">IF(OR(INDEX($AG$2:$AG$1001,MATCH(ROWS($AF$2:AF283),$AF$2:$AF$1001,0),1)&gt;=100000,INDEX($AM$1005:$BM$1005,1,MATCH(COLUMNS($AM$1006:AT1006),$AM$1006:$BM$1006,0))&gt;=100000), " ",IF(INDEX($AM$2:$BM$1001,MATCH(ROWS($AF$2:AF283),$AF$2:$AF$1001,0),MATCH(COLUMNS($AM$1006:AT1006),$AM$1006:$BM$1006,0)), HYPERLINK("#",""), HYPERLINK(CONCATENATE("#metadata!", ADDRESS(INDEX($AH$2:$AH$1001,MATCH(ROWS($AF$2:AF283),$AF$2:$AF$1001,0),0), INDEX($AM$1004:$BM$1004,1,MATCH(COLUMNS($AM$1006:AT1006),$AM$1006:$BM$1006,0)))),"Fix")))</f>
        <v xml:space="preserve"> </v>
      </c>
      <c r="J283" s="4" t="str">
        <f ca="1">IF(OR(INDEX($AG$2:$AG$1001,MATCH(ROWS($AF$2:AF283),$AF$2:$AF$1001,0),1)&gt;=100000,INDEX($AM$1005:$BM$1005,1,MATCH(COLUMNS($AM$1006:AU1006),$AM$1006:$BM$1006,0))&gt;=100000), " ",IF(INDEX($AM$2:$BM$1001,MATCH(ROWS($AF$2:AF283),$AF$2:$AF$1001,0),MATCH(COLUMNS($AM$1006:AU1006),$AM$1006:$BM$1006,0)), HYPERLINK("#",""), HYPERLINK(CONCATENATE("#metadata!", ADDRESS(INDEX($AH$2:$AH$1001,MATCH(ROWS($AF$2:AF283),$AF$2:$AF$1001,0),0), INDEX($AM$1004:$BM$1004,1,MATCH(COLUMNS($AM$1006:AU1006),$AM$1006:$BM$1006,0)))),"Fix")))</f>
        <v xml:space="preserve"> </v>
      </c>
      <c r="K283" s="4" t="str">
        <f ca="1">IF(OR(INDEX($AG$2:$AG$1001,MATCH(ROWS($AF$2:AF283),$AF$2:$AF$1001,0),1)&gt;=100000,INDEX($AM$1005:$BM$1005,1,MATCH(COLUMNS($AM$1006:AV1006),$AM$1006:$BM$1006,0))&gt;=100000), " ",IF(INDEX($AM$2:$BM$1001,MATCH(ROWS($AF$2:AF283),$AF$2:$AF$1001,0),MATCH(COLUMNS($AM$1006:AV1006),$AM$1006:$BM$1006,0)), HYPERLINK("#",""), HYPERLINK(CONCATENATE("#metadata!", ADDRESS(INDEX($AH$2:$AH$1001,MATCH(ROWS($AF$2:AF283),$AF$2:$AF$1001,0),0), INDEX($AM$1004:$BM$1004,1,MATCH(COLUMNS($AM$1006:AV1006),$AM$1006:$BM$1006,0)))),"Fix")))</f>
        <v xml:space="preserve"> </v>
      </c>
      <c r="L283" s="4" t="str">
        <f ca="1">IF(OR(INDEX($AG$2:$AG$1001,MATCH(ROWS($AF$2:AF283),$AF$2:$AF$1001,0),1)&gt;=100000,INDEX($AM$1005:$BM$1005,1,MATCH(COLUMNS($AM$1006:AW1006),$AM$1006:$BM$1006,0))&gt;=100000), " ",IF(INDEX($AM$2:$BM$1001,MATCH(ROWS($AF$2:AF283),$AF$2:$AF$1001,0),MATCH(COLUMNS($AM$1006:AW1006),$AM$1006:$BM$1006,0)), HYPERLINK("#",""), HYPERLINK(CONCATENATE("#metadata!", ADDRESS(INDEX($AH$2:$AH$1001,MATCH(ROWS($AF$2:AF283),$AF$2:$AF$1001,0),0), INDEX($AM$1004:$BM$1004,1,MATCH(COLUMNS($AM$1006:AW1006),$AM$1006:$BM$1006,0)))),"Fix")))</f>
        <v xml:space="preserve"> </v>
      </c>
      <c r="M283" s="4" t="str">
        <f ca="1">IF(OR(INDEX($AG$2:$AG$1001,MATCH(ROWS($AF$2:AF283),$AF$2:$AF$1001,0),1)&gt;=100000,INDEX($AM$1005:$BM$1005,1,MATCH(COLUMNS($AM$1006:AX1006),$AM$1006:$BM$1006,0))&gt;=100000), " ",IF(INDEX($AM$2:$BM$1001,MATCH(ROWS($AF$2:AF283),$AF$2:$AF$1001,0),MATCH(COLUMNS($AM$1006:AX1006),$AM$1006:$BM$1006,0)), HYPERLINK("#",""), HYPERLINK(CONCATENATE("#metadata!", ADDRESS(INDEX($AH$2:$AH$1001,MATCH(ROWS($AF$2:AF283),$AF$2:$AF$1001,0),0), INDEX($AM$1004:$BM$1004,1,MATCH(COLUMNS($AM$1006:AX1006),$AM$1006:$BM$1006,0)))),"Fix")))</f>
        <v xml:space="preserve"> </v>
      </c>
      <c r="N283" s="4" t="str">
        <f ca="1">IF(OR(INDEX($AG$2:$AG$1001,MATCH(ROWS($AF$2:AF283),$AF$2:$AF$1001,0),1)&gt;=100000,INDEX($AM$1005:$BM$1005,1,MATCH(COLUMNS($AM$1006:AY1006),$AM$1006:$BM$1006,0))&gt;=100000), " ",IF(INDEX($AM$2:$BM$1001,MATCH(ROWS($AF$2:AF283),$AF$2:$AF$1001,0),MATCH(COLUMNS($AM$1006:AY1006),$AM$1006:$BM$1006,0)), HYPERLINK("#",""), HYPERLINK(CONCATENATE("#metadata!", ADDRESS(INDEX($AH$2:$AH$1001,MATCH(ROWS($AF$2:AF283),$AF$2:$AF$1001,0),0), INDEX($AM$1004:$BM$1004,1,MATCH(COLUMNS($AM$1006:AY1006),$AM$1006:$BM$1006,0)))),"Fix")))</f>
        <v xml:space="preserve"> </v>
      </c>
      <c r="O283" s="4" t="str">
        <f ca="1">IF(OR(INDEX($AG$2:$AG$1001,MATCH(ROWS($AF$2:AF283),$AF$2:$AF$1001,0),1)&gt;=100000,INDEX($AM$1005:$BM$1005,1,MATCH(COLUMNS($AM$1006:AZ1006),$AM$1006:$BM$1006,0))&gt;=100000), " ",IF(INDEX($AM$2:$BM$1001,MATCH(ROWS($AF$2:AF283),$AF$2:$AF$1001,0),MATCH(COLUMNS($AM$1006:AZ1006),$AM$1006:$BM$1006,0)), HYPERLINK("#",""), HYPERLINK(CONCATENATE("#metadata!", ADDRESS(INDEX($AH$2:$AH$1001,MATCH(ROWS($AF$2:AF283),$AF$2:$AF$1001,0),0), INDEX($AM$1004:$BM$1004,1,MATCH(COLUMNS($AM$1006:AZ1006),$AM$1006:$BM$1006,0)))),"Fix")))</f>
        <v xml:space="preserve"> </v>
      </c>
      <c r="P283" s="4" t="str">
        <f ca="1">IF(OR(INDEX($AG$2:$AG$1001,MATCH(ROWS($AF$2:AF283),$AF$2:$AF$1001,0),1)&gt;=100000,INDEX($AM$1005:$BM$1005,1,MATCH(COLUMNS($AM$1006:BA1006),$AM$1006:$BM$1006,0))&gt;=100000), " ",IF(INDEX($AM$2:$BM$1001,MATCH(ROWS($AF$2:AF283),$AF$2:$AF$1001,0),MATCH(COLUMNS($AM$1006:BA1006),$AM$1006:$BM$1006,0)), HYPERLINK("#",""), HYPERLINK(CONCATENATE("#metadata!", ADDRESS(INDEX($AH$2:$AH$1001,MATCH(ROWS($AF$2:AF283),$AF$2:$AF$1001,0),0), INDEX($AM$1004:$BM$1004,1,MATCH(COLUMNS($AM$1006:BA1006),$AM$1006:$BM$1006,0)))),"Fix")))</f>
        <v xml:space="preserve"> </v>
      </c>
      <c r="Q283" s="4" t="str">
        <f ca="1">IF(OR(INDEX($AG$2:$AG$1001,MATCH(ROWS($AF$2:AF283),$AF$2:$AF$1001,0),1)&gt;=100000,INDEX($AM$1005:$BM$1005,1,MATCH(COLUMNS($AM$1006:BB1006),$AM$1006:$BM$1006,0))&gt;=100000), " ",IF(INDEX($AM$2:$BM$1001,MATCH(ROWS($AF$2:AF283),$AF$2:$AF$1001,0),MATCH(COLUMNS($AM$1006:BB1006),$AM$1006:$BM$1006,0)), HYPERLINK("#",""), HYPERLINK(CONCATENATE("#metadata!", ADDRESS(INDEX($AH$2:$AH$1001,MATCH(ROWS($AF$2:AF283),$AF$2:$AF$1001,0),0), INDEX($AM$1004:$BM$1004,1,MATCH(COLUMNS($AM$1006:BB1006),$AM$1006:$BM$1006,0)))),"Fix")))</f>
        <v xml:space="preserve"> </v>
      </c>
      <c r="R283" s="4" t="str">
        <f ca="1">IF(OR(INDEX($AG$2:$AG$1001,MATCH(ROWS($AF$2:AF283),$AF$2:$AF$1001,0),1)&gt;=100000,INDEX($AM$1005:$BM$1005,1,MATCH(COLUMNS($AM$1006:BC1006),$AM$1006:$BM$1006,0))&gt;=100000), " ",IF(INDEX($AM$2:$BM$1001,MATCH(ROWS($AF$2:AF283),$AF$2:$AF$1001,0),MATCH(COLUMNS($AM$1006:BC1006),$AM$1006:$BM$1006,0)), HYPERLINK("#",""), HYPERLINK(CONCATENATE("#metadata!", ADDRESS(INDEX($AH$2:$AH$1001,MATCH(ROWS($AF$2:AF283),$AF$2:$AF$1001,0),0), INDEX($AM$1004:$BM$1004,1,MATCH(COLUMNS($AM$1006:BC1006),$AM$1006:$BM$1006,0)))),"Fix")))</f>
        <v xml:space="preserve"> </v>
      </c>
      <c r="S283" s="4" t="str">
        <f ca="1">IF(OR(INDEX($AG$2:$AG$1001,MATCH(ROWS($AF$2:AF283),$AF$2:$AF$1001,0),1)&gt;=100000,INDEX($AM$1005:$BM$1005,1,MATCH(COLUMNS($AM$1006:BD1006),$AM$1006:$BM$1006,0))&gt;=100000), " ",IF(INDEX($AM$2:$BM$1001,MATCH(ROWS($AF$2:AF283),$AF$2:$AF$1001,0),MATCH(COLUMNS($AM$1006:BD1006),$AM$1006:$BM$1006,0)), HYPERLINK("#",""), HYPERLINK(CONCATENATE("#metadata!", ADDRESS(INDEX($AH$2:$AH$1001,MATCH(ROWS($AF$2:AF283),$AF$2:$AF$1001,0),0), INDEX($AM$1004:$BM$1004,1,MATCH(COLUMNS($AM$1006:BD1006),$AM$1006:$BM$1006,0)))),"Fix")))</f>
        <v xml:space="preserve"> </v>
      </c>
      <c r="T283" s="4" t="str">
        <f ca="1">IF(OR(INDEX($AG$2:$AG$1001,MATCH(ROWS($AF$2:AF283),$AF$2:$AF$1001,0),1)&gt;=100000,INDEX($AM$1005:$BM$1005,1,MATCH(COLUMNS($AM$1006:BE1006),$AM$1006:$BM$1006,0))&gt;=100000), " ",IF(INDEX($AM$2:$BM$1001,MATCH(ROWS($AF$2:AF283),$AF$2:$AF$1001,0),MATCH(COLUMNS($AM$1006:BE1006),$AM$1006:$BM$1006,0)), HYPERLINK("#",""), HYPERLINK(CONCATENATE("#metadata!", ADDRESS(INDEX($AH$2:$AH$1001,MATCH(ROWS($AF$2:AF283),$AF$2:$AF$1001,0),0), INDEX($AM$1004:$BM$1004,1,MATCH(COLUMNS($AM$1006:BE1006),$AM$1006:$BM$1006,0)))),"Fix")))</f>
        <v xml:space="preserve"> </v>
      </c>
      <c r="U283" s="4" t="str">
        <f ca="1">IF(OR(INDEX($AG$2:$AG$1001,MATCH(ROWS($AF$2:AF283),$AF$2:$AF$1001,0),1)&gt;=100000,INDEX($AM$1005:$BM$1005,1,MATCH(COLUMNS($AM$1006:BF1006),$AM$1006:$BM$1006,0))&gt;=100000), " ",IF(INDEX($AM$2:$BM$1001,MATCH(ROWS($AF$2:AF283),$AF$2:$AF$1001,0),MATCH(COLUMNS($AM$1006:BF1006),$AM$1006:$BM$1006,0)), HYPERLINK("#",""), HYPERLINK(CONCATENATE("#metadata!", ADDRESS(INDEX($AH$2:$AH$1001,MATCH(ROWS($AF$2:AF283),$AF$2:$AF$1001,0),0), INDEX($AM$1004:$BM$1004,1,MATCH(COLUMNS($AM$1006:BF1006),$AM$1006:$BM$1006,0)))),"Fix")))</f>
        <v xml:space="preserve"> </v>
      </c>
      <c r="V283" s="4" t="str">
        <f ca="1">IF(OR(INDEX($AG$2:$AG$1001,MATCH(ROWS($AF$2:AF283),$AF$2:$AF$1001,0),1)&gt;=100000,INDEX($AM$1005:$BM$1005,1,MATCH(COLUMNS($AM$1006:BG1006),$AM$1006:$BM$1006,0))&gt;=100000), " ",IF(INDEX($AM$2:$BM$1001,MATCH(ROWS($AF$2:AF283),$AF$2:$AF$1001,0),MATCH(COLUMNS($AM$1006:BG1006),$AM$1006:$BM$1006,0)), HYPERLINK("#",""), HYPERLINK(CONCATENATE("#metadata!", ADDRESS(INDEX($AH$2:$AH$1001,MATCH(ROWS($AF$2:AF283),$AF$2:$AF$1001,0),0), INDEX($AM$1004:$BM$1004,1,MATCH(COLUMNS($AM$1006:BG1006),$AM$1006:$BM$1006,0)))),"Fix")))</f>
        <v xml:space="preserve"> </v>
      </c>
      <c r="W283" s="4" t="str">
        <f ca="1">IF(OR(INDEX($AG$2:$AG$1001,MATCH(ROWS($AF$2:AF283),$AF$2:$AF$1001,0),1)&gt;=100000,INDEX($AM$1005:$BM$1005,1,MATCH(COLUMNS($AM$1006:BH1006),$AM$1006:$BM$1006,0))&gt;=100000), " ",IF(INDEX($AM$2:$BM$1001,MATCH(ROWS($AF$2:AF283),$AF$2:$AF$1001,0),MATCH(COLUMNS($AM$1006:BH1006),$AM$1006:$BM$1006,0)), HYPERLINK("#",""), HYPERLINK(CONCATENATE("#metadata!", ADDRESS(INDEX($AH$2:$AH$1001,MATCH(ROWS($AF$2:AF283),$AF$2:$AF$1001,0),0), INDEX($AM$1004:$BM$1004,1,MATCH(COLUMNS($AM$1006:BH1006),$AM$1006:$BM$1006,0)))),"Fix")))</f>
        <v xml:space="preserve"> </v>
      </c>
      <c r="X283" s="4" t="str">
        <f ca="1">IF(OR(INDEX($AG$2:$AG$1001,MATCH(ROWS($AF$2:AF283),$AF$2:$AF$1001,0),1)&gt;=100000,INDEX($AM$1005:$BM$1005,1,MATCH(COLUMNS($AM$1006:BI1006),$AM$1006:$BM$1006,0))&gt;=100000), " ",IF(INDEX($AM$2:$BM$1001,MATCH(ROWS($AF$2:AF283),$AF$2:$AF$1001,0),MATCH(COLUMNS($AM$1006:BI1006),$AM$1006:$BM$1006,0)), HYPERLINK("#",""), HYPERLINK(CONCATENATE("#metadata!", ADDRESS(INDEX($AH$2:$AH$1001,MATCH(ROWS($AF$2:AF283),$AF$2:$AF$1001,0),0), INDEX($AM$1004:$BM$1004,1,MATCH(COLUMNS($AM$1006:BI1006),$AM$1006:$BM$1006,0)))),"Fix")))</f>
        <v xml:space="preserve"> </v>
      </c>
      <c r="Y283" s="4" t="str">
        <f ca="1">IF(OR(INDEX($AG$2:$AG$1001,MATCH(ROWS($AF$2:AF283),$AF$2:$AF$1001,0),1)&gt;=100000,INDEX($AM$1005:$BM$1005,1,MATCH(COLUMNS($AM$1006:BJ1006),$AM$1006:$BM$1006,0))&gt;=100000), " ",IF(INDEX($AM$2:$BM$1001,MATCH(ROWS($AF$2:AF283),$AF$2:$AF$1001,0),MATCH(COLUMNS($AM$1006:BJ1006),$AM$1006:$BM$1006,0)), HYPERLINK("#",""), HYPERLINK(CONCATENATE("#metadata!", ADDRESS(INDEX($AH$2:$AH$1001,MATCH(ROWS($AF$2:AF283),$AF$2:$AF$1001,0),0), INDEX($AM$1004:$BM$1004,1,MATCH(COLUMNS($AM$1006:BJ1006),$AM$1006:$BM$1006,0)))),"Fix")))</f>
        <v xml:space="preserve"> </v>
      </c>
      <c r="Z283" s="4" t="str">
        <f ca="1">IF(OR(INDEX($AG$2:$AG$1001,MATCH(ROWS($AF$2:AF283),$AF$2:$AF$1001,0),1)&gt;=100000,INDEX($AM$1005:$BM$1005,1,MATCH(COLUMNS($AM$1006:BK1006),$AM$1006:$BM$1006,0))&gt;=100000), " ",IF(INDEX($AM$2:$BM$1001,MATCH(ROWS($AF$2:AF283),$AF$2:$AF$1001,0),MATCH(COLUMNS($AM$1006:BK1006),$AM$1006:$BM$1006,0)), HYPERLINK("#",""), HYPERLINK(CONCATENATE("#metadata!", ADDRESS(INDEX($AH$2:$AH$1001,MATCH(ROWS($AF$2:AF283),$AF$2:$AF$1001,0),0), INDEX($AM$1004:$BM$1004,1,MATCH(COLUMNS($AM$1006:BK1006),$AM$1006:$BM$1006,0)))),"Fix")))</f>
        <v xml:space="preserve"> </v>
      </c>
      <c r="AA283" s="4" t="str">
        <f ca="1">IF(OR(INDEX($AG$2:$AG$1001,MATCH(ROWS($AF$2:AF283),$AF$2:$AF$1001,0),1)&gt;=100000,INDEX($AM$1005:$BM$1005,1,MATCH(COLUMNS($AM$1006:BL1006),$AM$1006:$BM$1006,0))&gt;=100000), " ",IF(INDEX($AM$2:$BM$1001,MATCH(ROWS($AF$2:AF283),$AF$2:$AF$1001,0),MATCH(COLUMNS($AM$1006:BL1006),$AM$1006:$BM$1006,0)), HYPERLINK("#",""), HYPERLINK(CONCATENATE("#metadata!", ADDRESS(INDEX($AH$2:$AH$1001,MATCH(ROWS($AF$2:AF283),$AF$2:$AF$1001,0),0), INDEX($AM$1004:$BM$1004,1,MATCH(COLUMNS($AM$1006:BL1006),$AM$1006:$BM$1006,0)))),"Fix")))</f>
        <v xml:space="preserve"> </v>
      </c>
      <c r="AB283" s="4" t="str">
        <f ca="1">IF(OR(INDEX($AG$2:$AG$1001,MATCH(ROWS($AF$2:AF283),$AF$2:$AF$1001,0),1)&gt;=100000,INDEX($AM$1005:$BM$1005,1,MATCH(COLUMNS($AM$1006:BM1006),$AM$1006:$BM$1006,0))&gt;=100000), " ",IF(INDEX($AM$2:$BM$1001,MATCH(ROWS($AF$2:AF283),$AF$2:$AF$1001,0),MATCH(COLUMNS($AM$1006:BM1006),$AM$1006:$BM$1006,0)), HYPERLINK("#",""), HYPERLINK(CONCATENATE("#metadata!", ADDRESS(INDEX($AH$2:$AH$1001,MATCH(ROWS($AF$2:AF283),$AF$2:$AF$1001,0),0), INDEX($AM$1004:$BM$1004,1,MATCH(COLUMNS($AM$1006:BM1006),$AM$1006:$BM$1006,0)))),"Fix")))</f>
        <v xml:space="preserve"> </v>
      </c>
      <c r="AF283">
        <v>282</v>
      </c>
      <c r="AG283">
        <v>100283</v>
      </c>
      <c r="AH283">
        <v>283</v>
      </c>
      <c r="AI283" t="b">
        <f t="shared" si="4"/>
        <v>1</v>
      </c>
      <c r="AJ283" t="b">
        <f>COUNTBLANK(metadata!B283:AB283)=COLUMNS(metadata!B283:AB283)</f>
        <v>1</v>
      </c>
      <c r="AK283" t="str">
        <v/>
      </c>
      <c r="AM283" t="b">
        <f ca="1">AND(IF(metadata!B283="",FALSE,TRUE),COUNTIF(metadata!B:B, metadata!B283) = 1,NOT(ISERROR(SUMPRODUCT(SEARCH(MID(metadata!B283,ROW(INDIRECT("1:"&amp;LEN(metadata!B283))), 1),"0123456789abcdefghijklmnopqrstuvwxyzABCDEFGHIJKLMNOPQRSTUVWXYZ.")))))</f>
        <v>0</v>
      </c>
      <c r="AN283" t="b">
        <f ca="1">OR(AND(IF(metadata!C283="",FALSE,TRUE),OR(EXACT(metadata!C283,"missing: not collected"),EXACT(metadata!C283,"missing: not provided"),EXACT(metadata!C283,"missing: restricted access"))),AND(IF(metadata!C283="",FALSE,TRUE),AND(AND(IFERROR(INT(LEFT(metadata!C283,4))&gt;1900,FALSE),IFERROR(INT(LEFT(metadata!C283,4))&lt;=YEAR(NOW()),FALSE)), OR(MID(metadata!C283,5,1)="", AND(AND(MID(metadata!C283,5,1)="-",IFERROR(INT(MID(metadata!C283,6,1))&gt;=0,FALSE),IFERROR(INT(MID(metadata!C283,6,1))&lt;=1,FALSE),NOT(MID(metadata!C283,7,1)=""),IFERROR(INT(MID(metadata!C283,6,2))&gt;=1,FALSE),IFERROR(INT(MID(metadata!C283,6,2))&lt;=12,FALSE)), OR(MID(metadata!C283,8,1)="", AND(AND(MID(metadata!C283,8,1)="-",IFERROR(INT(MID(metadata!C283,9,1))&gt;=0,FALSE),IFERROR(INT(MID(metadata!C283,9,1))&lt;=3,FALSE),NOT(MID(metadata!C283,10,1)=""),IFERROR(INT(MID(metadata!C283,9,2))&gt;=1,FALSE),IFERROR(INT(MID(metadata!C283,9,2))&lt;=31,FALSE)), OR(MID(metadata!C283,11,1)="", AND(AND(MID(metadata!C283,11,1)=" ",IFERROR(INT(MID(metadata!C283,12,1))&gt;=0,FALSE),IFERROR(INT(MID(metadata!C283,12,1))&lt;=2,FALSE),NOT(MID(metadata!C283,13,1)=""),IFERROR(INT(MID(metadata!C283,12,2))&gt;=0,FALSE),IFERROR(INT(MID(metadata!C283,12,2))&lt;=23,FALSE)), OR(MID(metadata!C283,14,1)="", AND(AND(MID(metadata!C283,14,1)=":",IFERROR(INT(MID(metadata!C283,15,1))&gt;=0,FALSE),IFERROR(INT(MID(metadata!C283,15,1))&lt;=5,FALSE),NOT(MID(metadata!C283,16,1)=""),IFERROR(INT(MID(metadata!C283,15,2))&gt;=0,FALSE),IFERROR(INT(MID(metadata!C283,15,2))&lt;=59,FALSE)), OR(MID(metadata!C283,17,1)="", AND(AND(MID(metadata!C283,17,1)=":",IFERROR(INT(MID(metadata!C283,18,1))&gt;=0,FALSE),IFERROR(INT(MID(metadata!C283,18,1))&lt;=5,FALSE),NOT(MID(metadata!C283,19,1)=""),IFERROR(INT(MID(metadata!C283,18,2))&gt;=0,FALSE),IFERROR(INT(MID(metadata!C283,18,2))&lt;=59,FALSE)), LEN(metadata!C283)&lt;=19)))))))))))))</f>
        <v>0</v>
      </c>
      <c r="AO283" t="b">
        <f>AND(IF(metadata!D283="",FALSE,TRUE),EXACT(metadata!D283,"Not applicable"))</f>
        <v>0</v>
      </c>
      <c r="AP283" t="b">
        <f>IF(metadata!E283="",FALSE,TRUE)</f>
        <v>0</v>
      </c>
      <c r="AQ283" t="b">
        <f>OR(AND(IF(metadata!F283="",FALSE,TRUE),OR(EXACT(metadata!F283,"missing: not collected"),EXACT(metadata!F283,"missing: not provided"))),AND(IF(metadata!F283="",FALSE,TRUE),OR(EXACT(metadata!F283,"TRUE"),EXACT(metadata!F283,"FALSE"))))</f>
        <v>0</v>
      </c>
      <c r="AR283" t="b">
        <f>OR(AND(IF(metadata!G283="",FALSE,TRUE),OR(EXACT(metadata!G283,"missing: not collected"),EXACT(metadata!G283,"missing: not provided"),EXACT(metadata!G283,"missing: restricted access"))),AND(IF(metadata!G283="",FALSE,ISNUMBER(VALUE(metadata!G283))),metadata!G283&gt;=-413))</f>
        <v>0</v>
      </c>
      <c r="AS283" t="b">
        <f>AND(IF(metadata!H283="",FALSE,TRUE),EXACT(metadata!H283,"meters"))</f>
        <v>0</v>
      </c>
      <c r="AT283" t="b">
        <f>AND(IF(metadata!I283="",FALSE,TRUE),OR(EXACT(metadata!I283,"Host-associated"),EXACT(metadata!I283,"Free-living")))</f>
        <v>0</v>
      </c>
      <c r="AU283" t="b">
        <f>AND(IF(metadata!J283="",FALSE,TRUE),OR(EXACT(metadata!J283,"Animal"),EXACT(metadata!J283,"Fungus"),EXACT(metadata!J283,"Plant"),EXACT(metadata!J283,"Saline"),EXACT(metadata!J283,"Non-saline")))</f>
        <v>0</v>
      </c>
      <c r="AV283" t="b">
        <f>AND(IF(metadata!K283="",FALSE,TRUE),OR(EXACT(metadata!K283,"Plant secretion"),EXACT(metadata!K283,"Plant rhizosphere"),EXACT(metadata!K283,"Plant surface"),EXACT(metadata!K283,"Plant corpus"),EXACT(metadata!K283,"Fungus surface"),EXACT(metadata!K283,"Fungus corpus"),EXACT(metadata!K283,"Animal surface"),EXACT(metadata!K283,"Animal proximal gut"),EXACT(metadata!K283,"Animal corpus"),EXACT(metadata!K283,"Animal distal gut"),EXACT(metadata!K283,"Animal secretion"),EXACT(metadata!K283,"Sub-surface (non-saline)"),EXACT(metadata!K283,"Surface (non-saline)"),EXACT(metadata!K283,"Water (non-saline)"),EXACT(metadata!K283,"Soil (non-saline)"),EXACT(metadata!K283,"Aerosol (non-saline)"),EXACT(metadata!K283,"Sediment (non-saline)"),EXACT(metadata!K283,"Surface (saline)"),EXACT(metadata!K283,"Water (saline)"),EXACT(metadata!K283,"Hypersaline (saline)"),EXACT(metadata!K283,"Aerosol (saline)"),EXACT(metadata!K283,"Sediment (saline)")))</f>
        <v>0</v>
      </c>
      <c r="AW283" t="b">
        <f>IF(metadata!L283="",FALSE,TRUE)</f>
        <v>0</v>
      </c>
      <c r="AX283" t="b">
        <f>IF(metadata!M283="",FALSE,TRUE)</f>
        <v>0</v>
      </c>
      <c r="AY283" t="b">
        <f>IF(metadata!N283="",FALSE,TRUE)</f>
        <v>0</v>
      </c>
      <c r="AZ283" t="b">
        <f>OR(AND(IF(metadata!O283="",FALSE,TRUE),OR(EXACT(metadata!O283,"missing: not collected"),EXACT(metadata!O283,"missing: not provided"),EXACT(metadata!O283,"missing: restricted access"))),AND(IF(metadata!O283="",FALSE,TRUE),OR(EXACT(metadata!O283,"air"),EXACT(metadata!O283,"built environment"),EXACT(metadata!O283,"host-associated"),EXACT(metadata!O283,"human-associated"),EXACT(metadata!O283,"human-skin"),EXACT(metadata!O283,"human-oral"),EXACT(metadata!O283,"human-gut"),EXACT(metadata!O283,"human-vaginal"),EXACT(metadata!O283,"microbial mat/biofilm"),EXACT(metadata!O283,"misc environment"),EXACT(metadata!O283,"plant-associated"),EXACT(metadata!O283,"sediment"),EXACT(metadata!O283,"soil"),EXACT(metadata!O283,"wastewater/sludge"),EXACT(metadata!O283,"water"))))</f>
        <v>0</v>
      </c>
      <c r="BA283" t="b">
        <f>IF(metadata!P283="",FALSE,TRUE)</f>
        <v>0</v>
      </c>
      <c r="BB283" t="b">
        <f>IF(metadata!Q283="",FALSE,TRUE)</f>
        <v>0</v>
      </c>
      <c r="BC283" t="b">
        <f>OR(AND(IF(metadata!R283="",FALSE,TRUE),OR(EXACT(metadata!R283,"missing: not collected"),EXACT(metadata!R283,"missing: not provided"),EXACT(metadata!R283,"missing: restricted access"))),AND(IF(metadata!R283="",FALSE,ISNUMBER(VALUE(metadata!R283))),metadata!R283&gt;=-90,metadata!R283&lt;=90))</f>
        <v>0</v>
      </c>
      <c r="BD283" t="b">
        <f>AND(IF(metadata!S283="",FALSE,TRUE),EXACT(metadata!S283,"Decimal degrees"))</f>
        <v>0</v>
      </c>
      <c r="BE283" t="b">
        <f>OR(AND(IF(metadata!T283="",FALSE,TRUE),OR(EXACT(metadata!T283,"missing: not collected"),EXACT(metadata!T283,"missing: not provided"),EXACT(metadata!T283,"missing: restricted access"))),AND(IF(metadata!T283="",FALSE,ISNUMBER(VALUE(metadata!T283))),metadata!T283&gt;=-180,metadata!T283&lt;=180))</f>
        <v>0</v>
      </c>
      <c r="BF283" t="b">
        <f>AND(IF(metadata!U283="",FALSE,TRUE),EXACT(metadata!U283,"Decimal degrees"))</f>
        <v>0</v>
      </c>
      <c r="BG283" t="b">
        <f>IF(metadata!V283="",FALSE,TRUE)</f>
        <v>0</v>
      </c>
      <c r="BH283" t="b">
        <f>OR(AND(IF(metadata!W283="",FALSE,TRUE),OR(EXACT(metadata!W283,"missing: not collected"),EXACT(metadata!W283,"missing: not provided"),EXACT(metadata!W283,"missing: restricted access"))),AND(IF(metadata!W283="",FALSE,TRUE),OR(EXACT(metadata!W283,"TRUE"),EXACT(metadata!W283,"FALSE"))))</f>
        <v>0</v>
      </c>
      <c r="BI283" t="b">
        <f>AND(IF(metadata!X283="",FALSE,TRUE),EXACT(metadata!X283,"other"))</f>
        <v>0</v>
      </c>
      <c r="BJ283" t="b">
        <f>IF(metadata!Y283="",FALSE,TRUE)</f>
        <v>0</v>
      </c>
      <c r="BK283" t="b">
        <f>OR(AND(IF(metadata!Z283="",FALSE,TRUE),OR(EXACT(metadata!Z283,"missing: not collected"),EXACT(metadata!Z283,"missing: not provided"))),AND(IF(metadata!Z283="",FALSE,IF(ISERROR(INT(metadata!Z283)),FALSE,INT(metadata!Z283)=metadata!Z283)),metadata!Z283&gt;0))</f>
        <v>0</v>
      </c>
      <c r="BL283" t="b">
        <f>AND(IF(metadata!AA283="",FALSE,TRUE),EXACT(metadata!AA283,"Not applicable"))</f>
        <v>0</v>
      </c>
      <c r="BM283" t="b">
        <f>IF(metadata!AB283="",FALSE,TRUE)</f>
        <v>0</v>
      </c>
    </row>
    <row r="284" spans="1:65" x14ac:dyDescent="0.2">
      <c r="A284" s="5" t="str">
        <f ca="1">IF(B284=" "," ",HYPERLINK(CONCATENATE("#metadata!",ADDRESS(INDEX($AH$2:$AH$1001,MATCH(ROWS($AF$2:AF284),$AF$2:$AF$1001,0),0),1)),INDEX($AK$2:$AK$1001,MATCH(ROWS($AF$2:AF284),$AF$2:$AF$1001,0),0)))</f>
        <v xml:space="preserve"> </v>
      </c>
      <c r="B284" s="4" t="str">
        <f ca="1">IF(OR(INDEX($AG$2:$AG$1001,MATCH(ROWS($AF$2:AF284),$AF$2:$AF$1001,0),1)&gt;=100000,INDEX($AM$1005:$BM$1005,1,MATCH(COLUMNS($AM$1006:AM1006),$AM$1006:$BM$1006,0))&gt;=100000), " ",IF(INDEX($AM$2:$BM$1001,MATCH(ROWS($AF$2:AF284),$AF$2:$AF$1001,0),MATCH(COLUMNS($AM$1006:AM1006),$AM$1006:$BM$1006,0)), HYPERLINK("#",""), HYPERLINK(CONCATENATE("#metadata!", ADDRESS(INDEX($AH$2:$AH$1001,MATCH(ROWS($AF$2:AF284),$AF$2:$AF$1001,0),0), INDEX($AM$1004:$BM$1004,1,MATCH(COLUMNS($AM$1006:AM1006),$AM$1006:$BM$1006,0)))),"Fix")))</f>
        <v xml:space="preserve"> </v>
      </c>
      <c r="C284" s="4" t="str">
        <f ca="1">IF(OR(INDEX($AG$2:$AG$1001,MATCH(ROWS($AF$2:AF284),$AF$2:$AF$1001,0),1)&gt;=100000,INDEX($AM$1005:$BM$1005,1,MATCH(COLUMNS($AM$1006:AN1006),$AM$1006:$BM$1006,0))&gt;=100000), " ",IF(INDEX($AM$2:$BM$1001,MATCH(ROWS($AF$2:AF284),$AF$2:$AF$1001,0),MATCH(COLUMNS($AM$1006:AN1006),$AM$1006:$BM$1006,0)), HYPERLINK("#",""), HYPERLINK(CONCATENATE("#metadata!", ADDRESS(INDEX($AH$2:$AH$1001,MATCH(ROWS($AF$2:AF284),$AF$2:$AF$1001,0),0), INDEX($AM$1004:$BM$1004,1,MATCH(COLUMNS($AM$1006:AN1006),$AM$1006:$BM$1006,0)))),"Fix")))</f>
        <v xml:space="preserve"> </v>
      </c>
      <c r="D284" s="4" t="str">
        <f ca="1">IF(OR(INDEX($AG$2:$AG$1001,MATCH(ROWS($AF$2:AF284),$AF$2:$AF$1001,0),1)&gt;=100000,INDEX($AM$1005:$BM$1005,1,MATCH(COLUMNS($AM$1006:AO1006),$AM$1006:$BM$1006,0))&gt;=100000), " ",IF(INDEX($AM$2:$BM$1001,MATCH(ROWS($AF$2:AF284),$AF$2:$AF$1001,0),MATCH(COLUMNS($AM$1006:AO1006),$AM$1006:$BM$1006,0)), HYPERLINK("#",""), HYPERLINK(CONCATENATE("#metadata!", ADDRESS(INDEX($AH$2:$AH$1001,MATCH(ROWS($AF$2:AF284),$AF$2:$AF$1001,0),0), INDEX($AM$1004:$BM$1004,1,MATCH(COLUMNS($AM$1006:AO1006),$AM$1006:$BM$1006,0)))),"Fix")))</f>
        <v xml:space="preserve"> </v>
      </c>
      <c r="E284" s="4" t="str">
        <f ca="1">IF(OR(INDEX($AG$2:$AG$1001,MATCH(ROWS($AF$2:AF284),$AF$2:$AF$1001,0),1)&gt;=100000,INDEX($AM$1005:$BM$1005,1,MATCH(COLUMNS($AM$1006:AP1006),$AM$1006:$BM$1006,0))&gt;=100000), " ",IF(INDEX($AM$2:$BM$1001,MATCH(ROWS($AF$2:AF284),$AF$2:$AF$1001,0),MATCH(COLUMNS($AM$1006:AP1006),$AM$1006:$BM$1006,0)), HYPERLINK("#",""), HYPERLINK(CONCATENATE("#metadata!", ADDRESS(INDEX($AH$2:$AH$1001,MATCH(ROWS($AF$2:AF284),$AF$2:$AF$1001,0),0), INDEX($AM$1004:$BM$1004,1,MATCH(COLUMNS($AM$1006:AP1006),$AM$1006:$BM$1006,0)))),"Fix")))</f>
        <v xml:space="preserve"> </v>
      </c>
      <c r="F284" s="4" t="str">
        <f ca="1">IF(OR(INDEX($AG$2:$AG$1001,MATCH(ROWS($AF$2:AF284),$AF$2:$AF$1001,0),1)&gt;=100000,INDEX($AM$1005:$BM$1005,1,MATCH(COLUMNS($AM$1006:AQ1006),$AM$1006:$BM$1006,0))&gt;=100000), " ",IF(INDEX($AM$2:$BM$1001,MATCH(ROWS($AF$2:AF284),$AF$2:$AF$1001,0),MATCH(COLUMNS($AM$1006:AQ1006),$AM$1006:$BM$1006,0)), HYPERLINK("#",""), HYPERLINK(CONCATENATE("#metadata!", ADDRESS(INDEX($AH$2:$AH$1001,MATCH(ROWS($AF$2:AF284),$AF$2:$AF$1001,0),0), INDEX($AM$1004:$BM$1004,1,MATCH(COLUMNS($AM$1006:AQ1006),$AM$1006:$BM$1006,0)))),"Fix")))</f>
        <v xml:space="preserve"> </v>
      </c>
      <c r="G284" s="4" t="str">
        <f ca="1">IF(OR(INDEX($AG$2:$AG$1001,MATCH(ROWS($AF$2:AF284),$AF$2:$AF$1001,0),1)&gt;=100000,INDEX($AM$1005:$BM$1005,1,MATCH(COLUMNS($AM$1006:AR1006),$AM$1006:$BM$1006,0))&gt;=100000), " ",IF(INDEX($AM$2:$BM$1001,MATCH(ROWS($AF$2:AF284),$AF$2:$AF$1001,0),MATCH(COLUMNS($AM$1006:AR1006),$AM$1006:$BM$1006,0)), HYPERLINK("#",""), HYPERLINK(CONCATENATE("#metadata!", ADDRESS(INDEX($AH$2:$AH$1001,MATCH(ROWS($AF$2:AF284),$AF$2:$AF$1001,0),0), INDEX($AM$1004:$BM$1004,1,MATCH(COLUMNS($AM$1006:AR1006),$AM$1006:$BM$1006,0)))),"Fix")))</f>
        <v xml:space="preserve"> </v>
      </c>
      <c r="H284" s="4" t="str">
        <f ca="1">IF(OR(INDEX($AG$2:$AG$1001,MATCH(ROWS($AF$2:AF284),$AF$2:$AF$1001,0),1)&gt;=100000,INDEX($AM$1005:$BM$1005,1,MATCH(COLUMNS($AM$1006:AS1006),$AM$1006:$BM$1006,0))&gt;=100000), " ",IF(INDEX($AM$2:$BM$1001,MATCH(ROWS($AF$2:AF284),$AF$2:$AF$1001,0),MATCH(COLUMNS($AM$1006:AS1006),$AM$1006:$BM$1006,0)), HYPERLINK("#",""), HYPERLINK(CONCATENATE("#metadata!", ADDRESS(INDEX($AH$2:$AH$1001,MATCH(ROWS($AF$2:AF284),$AF$2:$AF$1001,0),0), INDEX($AM$1004:$BM$1004,1,MATCH(COLUMNS($AM$1006:AS1006),$AM$1006:$BM$1006,0)))),"Fix")))</f>
        <v xml:space="preserve"> </v>
      </c>
      <c r="I284" s="4" t="str">
        <f ca="1">IF(OR(INDEX($AG$2:$AG$1001,MATCH(ROWS($AF$2:AF284),$AF$2:$AF$1001,0),1)&gt;=100000,INDEX($AM$1005:$BM$1005,1,MATCH(COLUMNS($AM$1006:AT1006),$AM$1006:$BM$1006,0))&gt;=100000), " ",IF(INDEX($AM$2:$BM$1001,MATCH(ROWS($AF$2:AF284),$AF$2:$AF$1001,0),MATCH(COLUMNS($AM$1006:AT1006),$AM$1006:$BM$1006,0)), HYPERLINK("#",""), HYPERLINK(CONCATENATE("#metadata!", ADDRESS(INDEX($AH$2:$AH$1001,MATCH(ROWS($AF$2:AF284),$AF$2:$AF$1001,0),0), INDEX($AM$1004:$BM$1004,1,MATCH(COLUMNS($AM$1006:AT1006),$AM$1006:$BM$1006,0)))),"Fix")))</f>
        <v xml:space="preserve"> </v>
      </c>
      <c r="J284" s="4" t="str">
        <f ca="1">IF(OR(INDEX($AG$2:$AG$1001,MATCH(ROWS($AF$2:AF284),$AF$2:$AF$1001,0),1)&gt;=100000,INDEX($AM$1005:$BM$1005,1,MATCH(COLUMNS($AM$1006:AU1006),$AM$1006:$BM$1006,0))&gt;=100000), " ",IF(INDEX($AM$2:$BM$1001,MATCH(ROWS($AF$2:AF284),$AF$2:$AF$1001,0),MATCH(COLUMNS($AM$1006:AU1006),$AM$1006:$BM$1006,0)), HYPERLINK("#",""), HYPERLINK(CONCATENATE("#metadata!", ADDRESS(INDEX($AH$2:$AH$1001,MATCH(ROWS($AF$2:AF284),$AF$2:$AF$1001,0),0), INDEX($AM$1004:$BM$1004,1,MATCH(COLUMNS($AM$1006:AU1006),$AM$1006:$BM$1006,0)))),"Fix")))</f>
        <v xml:space="preserve"> </v>
      </c>
      <c r="K284" s="4" t="str">
        <f ca="1">IF(OR(INDEX($AG$2:$AG$1001,MATCH(ROWS($AF$2:AF284),$AF$2:$AF$1001,0),1)&gt;=100000,INDEX($AM$1005:$BM$1005,1,MATCH(COLUMNS($AM$1006:AV1006),$AM$1006:$BM$1006,0))&gt;=100000), " ",IF(INDEX($AM$2:$BM$1001,MATCH(ROWS($AF$2:AF284),$AF$2:$AF$1001,0),MATCH(COLUMNS($AM$1006:AV1006),$AM$1006:$BM$1006,0)), HYPERLINK("#",""), HYPERLINK(CONCATENATE("#metadata!", ADDRESS(INDEX($AH$2:$AH$1001,MATCH(ROWS($AF$2:AF284),$AF$2:$AF$1001,0),0), INDEX($AM$1004:$BM$1004,1,MATCH(COLUMNS($AM$1006:AV1006),$AM$1006:$BM$1006,0)))),"Fix")))</f>
        <v xml:space="preserve"> </v>
      </c>
      <c r="L284" s="4" t="str">
        <f ca="1">IF(OR(INDEX($AG$2:$AG$1001,MATCH(ROWS($AF$2:AF284),$AF$2:$AF$1001,0),1)&gt;=100000,INDEX($AM$1005:$BM$1005,1,MATCH(COLUMNS($AM$1006:AW1006),$AM$1006:$BM$1006,0))&gt;=100000), " ",IF(INDEX($AM$2:$BM$1001,MATCH(ROWS($AF$2:AF284),$AF$2:$AF$1001,0),MATCH(COLUMNS($AM$1006:AW1006),$AM$1006:$BM$1006,0)), HYPERLINK("#",""), HYPERLINK(CONCATENATE("#metadata!", ADDRESS(INDEX($AH$2:$AH$1001,MATCH(ROWS($AF$2:AF284),$AF$2:$AF$1001,0),0), INDEX($AM$1004:$BM$1004,1,MATCH(COLUMNS($AM$1006:AW1006),$AM$1006:$BM$1006,0)))),"Fix")))</f>
        <v xml:space="preserve"> </v>
      </c>
      <c r="M284" s="4" t="str">
        <f ca="1">IF(OR(INDEX($AG$2:$AG$1001,MATCH(ROWS($AF$2:AF284),$AF$2:$AF$1001,0),1)&gt;=100000,INDEX($AM$1005:$BM$1005,1,MATCH(COLUMNS($AM$1006:AX1006),$AM$1006:$BM$1006,0))&gt;=100000), " ",IF(INDEX($AM$2:$BM$1001,MATCH(ROWS($AF$2:AF284),$AF$2:$AF$1001,0),MATCH(COLUMNS($AM$1006:AX1006),$AM$1006:$BM$1006,0)), HYPERLINK("#",""), HYPERLINK(CONCATENATE("#metadata!", ADDRESS(INDEX($AH$2:$AH$1001,MATCH(ROWS($AF$2:AF284),$AF$2:$AF$1001,0),0), INDEX($AM$1004:$BM$1004,1,MATCH(COLUMNS($AM$1006:AX1006),$AM$1006:$BM$1006,0)))),"Fix")))</f>
        <v xml:space="preserve"> </v>
      </c>
      <c r="N284" s="4" t="str">
        <f ca="1">IF(OR(INDEX($AG$2:$AG$1001,MATCH(ROWS($AF$2:AF284),$AF$2:$AF$1001,0),1)&gt;=100000,INDEX($AM$1005:$BM$1005,1,MATCH(COLUMNS($AM$1006:AY1006),$AM$1006:$BM$1006,0))&gt;=100000), " ",IF(INDEX($AM$2:$BM$1001,MATCH(ROWS($AF$2:AF284),$AF$2:$AF$1001,0),MATCH(COLUMNS($AM$1006:AY1006),$AM$1006:$BM$1006,0)), HYPERLINK("#",""), HYPERLINK(CONCATENATE("#metadata!", ADDRESS(INDEX($AH$2:$AH$1001,MATCH(ROWS($AF$2:AF284),$AF$2:$AF$1001,0),0), INDEX($AM$1004:$BM$1004,1,MATCH(COLUMNS($AM$1006:AY1006),$AM$1006:$BM$1006,0)))),"Fix")))</f>
        <v xml:space="preserve"> </v>
      </c>
      <c r="O284" s="4" t="str">
        <f ca="1">IF(OR(INDEX($AG$2:$AG$1001,MATCH(ROWS($AF$2:AF284),$AF$2:$AF$1001,0),1)&gt;=100000,INDEX($AM$1005:$BM$1005,1,MATCH(COLUMNS($AM$1006:AZ1006),$AM$1006:$BM$1006,0))&gt;=100000), " ",IF(INDEX($AM$2:$BM$1001,MATCH(ROWS($AF$2:AF284),$AF$2:$AF$1001,0),MATCH(COLUMNS($AM$1006:AZ1006),$AM$1006:$BM$1006,0)), HYPERLINK("#",""), HYPERLINK(CONCATENATE("#metadata!", ADDRESS(INDEX($AH$2:$AH$1001,MATCH(ROWS($AF$2:AF284),$AF$2:$AF$1001,0),0), INDEX($AM$1004:$BM$1004,1,MATCH(COLUMNS($AM$1006:AZ1006),$AM$1006:$BM$1006,0)))),"Fix")))</f>
        <v xml:space="preserve"> </v>
      </c>
      <c r="P284" s="4" t="str">
        <f ca="1">IF(OR(INDEX($AG$2:$AG$1001,MATCH(ROWS($AF$2:AF284),$AF$2:$AF$1001,0),1)&gt;=100000,INDEX($AM$1005:$BM$1005,1,MATCH(COLUMNS($AM$1006:BA1006),$AM$1006:$BM$1006,0))&gt;=100000), " ",IF(INDEX($AM$2:$BM$1001,MATCH(ROWS($AF$2:AF284),$AF$2:$AF$1001,0),MATCH(COLUMNS($AM$1006:BA1006),$AM$1006:$BM$1006,0)), HYPERLINK("#",""), HYPERLINK(CONCATENATE("#metadata!", ADDRESS(INDEX($AH$2:$AH$1001,MATCH(ROWS($AF$2:AF284),$AF$2:$AF$1001,0),0), INDEX($AM$1004:$BM$1004,1,MATCH(COLUMNS($AM$1006:BA1006),$AM$1006:$BM$1006,0)))),"Fix")))</f>
        <v xml:space="preserve"> </v>
      </c>
      <c r="Q284" s="4" t="str">
        <f ca="1">IF(OR(INDEX($AG$2:$AG$1001,MATCH(ROWS($AF$2:AF284),$AF$2:$AF$1001,0),1)&gt;=100000,INDEX($AM$1005:$BM$1005,1,MATCH(COLUMNS($AM$1006:BB1006),$AM$1006:$BM$1006,0))&gt;=100000), " ",IF(INDEX($AM$2:$BM$1001,MATCH(ROWS($AF$2:AF284),$AF$2:$AF$1001,0),MATCH(COLUMNS($AM$1006:BB1006),$AM$1006:$BM$1006,0)), HYPERLINK("#",""), HYPERLINK(CONCATENATE("#metadata!", ADDRESS(INDEX($AH$2:$AH$1001,MATCH(ROWS($AF$2:AF284),$AF$2:$AF$1001,0),0), INDEX($AM$1004:$BM$1004,1,MATCH(COLUMNS($AM$1006:BB1006),$AM$1006:$BM$1006,0)))),"Fix")))</f>
        <v xml:space="preserve"> </v>
      </c>
      <c r="R284" s="4" t="str">
        <f ca="1">IF(OR(INDEX($AG$2:$AG$1001,MATCH(ROWS($AF$2:AF284),$AF$2:$AF$1001,0),1)&gt;=100000,INDEX($AM$1005:$BM$1005,1,MATCH(COLUMNS($AM$1006:BC1006),$AM$1006:$BM$1006,0))&gt;=100000), " ",IF(INDEX($AM$2:$BM$1001,MATCH(ROWS($AF$2:AF284),$AF$2:$AF$1001,0),MATCH(COLUMNS($AM$1006:BC1006),$AM$1006:$BM$1006,0)), HYPERLINK("#",""), HYPERLINK(CONCATENATE("#metadata!", ADDRESS(INDEX($AH$2:$AH$1001,MATCH(ROWS($AF$2:AF284),$AF$2:$AF$1001,0),0), INDEX($AM$1004:$BM$1004,1,MATCH(COLUMNS($AM$1006:BC1006),$AM$1006:$BM$1006,0)))),"Fix")))</f>
        <v xml:space="preserve"> </v>
      </c>
      <c r="S284" s="4" t="str">
        <f ca="1">IF(OR(INDEX($AG$2:$AG$1001,MATCH(ROWS($AF$2:AF284),$AF$2:$AF$1001,0),1)&gt;=100000,INDEX($AM$1005:$BM$1005,1,MATCH(COLUMNS($AM$1006:BD1006),$AM$1006:$BM$1006,0))&gt;=100000), " ",IF(INDEX($AM$2:$BM$1001,MATCH(ROWS($AF$2:AF284),$AF$2:$AF$1001,0),MATCH(COLUMNS($AM$1006:BD1006),$AM$1006:$BM$1006,0)), HYPERLINK("#",""), HYPERLINK(CONCATENATE("#metadata!", ADDRESS(INDEX($AH$2:$AH$1001,MATCH(ROWS($AF$2:AF284),$AF$2:$AF$1001,0),0), INDEX($AM$1004:$BM$1004,1,MATCH(COLUMNS($AM$1006:BD1006),$AM$1006:$BM$1006,0)))),"Fix")))</f>
        <v xml:space="preserve"> </v>
      </c>
      <c r="T284" s="4" t="str">
        <f ca="1">IF(OR(INDEX($AG$2:$AG$1001,MATCH(ROWS($AF$2:AF284),$AF$2:$AF$1001,0),1)&gt;=100000,INDEX($AM$1005:$BM$1005,1,MATCH(COLUMNS($AM$1006:BE1006),$AM$1006:$BM$1006,0))&gt;=100000), " ",IF(INDEX($AM$2:$BM$1001,MATCH(ROWS($AF$2:AF284),$AF$2:$AF$1001,0),MATCH(COLUMNS($AM$1006:BE1006),$AM$1006:$BM$1006,0)), HYPERLINK("#",""), HYPERLINK(CONCATENATE("#metadata!", ADDRESS(INDEX($AH$2:$AH$1001,MATCH(ROWS($AF$2:AF284),$AF$2:$AF$1001,0),0), INDEX($AM$1004:$BM$1004,1,MATCH(COLUMNS($AM$1006:BE1006),$AM$1006:$BM$1006,0)))),"Fix")))</f>
        <v xml:space="preserve"> </v>
      </c>
      <c r="U284" s="4" t="str">
        <f ca="1">IF(OR(INDEX($AG$2:$AG$1001,MATCH(ROWS($AF$2:AF284),$AF$2:$AF$1001,0),1)&gt;=100000,INDEX($AM$1005:$BM$1005,1,MATCH(COLUMNS($AM$1006:BF1006),$AM$1006:$BM$1006,0))&gt;=100000), " ",IF(INDEX($AM$2:$BM$1001,MATCH(ROWS($AF$2:AF284),$AF$2:$AF$1001,0),MATCH(COLUMNS($AM$1006:BF1006),$AM$1006:$BM$1006,0)), HYPERLINK("#",""), HYPERLINK(CONCATENATE("#metadata!", ADDRESS(INDEX($AH$2:$AH$1001,MATCH(ROWS($AF$2:AF284),$AF$2:$AF$1001,0),0), INDEX($AM$1004:$BM$1004,1,MATCH(COLUMNS($AM$1006:BF1006),$AM$1006:$BM$1006,0)))),"Fix")))</f>
        <v xml:space="preserve"> </v>
      </c>
      <c r="V284" s="4" t="str">
        <f ca="1">IF(OR(INDEX($AG$2:$AG$1001,MATCH(ROWS($AF$2:AF284),$AF$2:$AF$1001,0),1)&gt;=100000,INDEX($AM$1005:$BM$1005,1,MATCH(COLUMNS($AM$1006:BG1006),$AM$1006:$BM$1006,0))&gt;=100000), " ",IF(INDEX($AM$2:$BM$1001,MATCH(ROWS($AF$2:AF284),$AF$2:$AF$1001,0),MATCH(COLUMNS($AM$1006:BG1006),$AM$1006:$BM$1006,0)), HYPERLINK("#",""), HYPERLINK(CONCATENATE("#metadata!", ADDRESS(INDEX($AH$2:$AH$1001,MATCH(ROWS($AF$2:AF284),$AF$2:$AF$1001,0),0), INDEX($AM$1004:$BM$1004,1,MATCH(COLUMNS($AM$1006:BG1006),$AM$1006:$BM$1006,0)))),"Fix")))</f>
        <v xml:space="preserve"> </v>
      </c>
      <c r="W284" s="4" t="str">
        <f ca="1">IF(OR(INDEX($AG$2:$AG$1001,MATCH(ROWS($AF$2:AF284),$AF$2:$AF$1001,0),1)&gt;=100000,INDEX($AM$1005:$BM$1005,1,MATCH(COLUMNS($AM$1006:BH1006),$AM$1006:$BM$1006,0))&gt;=100000), " ",IF(INDEX($AM$2:$BM$1001,MATCH(ROWS($AF$2:AF284),$AF$2:$AF$1001,0),MATCH(COLUMNS($AM$1006:BH1006),$AM$1006:$BM$1006,0)), HYPERLINK("#",""), HYPERLINK(CONCATENATE("#metadata!", ADDRESS(INDEX($AH$2:$AH$1001,MATCH(ROWS($AF$2:AF284),$AF$2:$AF$1001,0),0), INDEX($AM$1004:$BM$1004,1,MATCH(COLUMNS($AM$1006:BH1006),$AM$1006:$BM$1006,0)))),"Fix")))</f>
        <v xml:space="preserve"> </v>
      </c>
      <c r="X284" s="4" t="str">
        <f ca="1">IF(OR(INDEX($AG$2:$AG$1001,MATCH(ROWS($AF$2:AF284),$AF$2:$AF$1001,0),1)&gt;=100000,INDEX($AM$1005:$BM$1005,1,MATCH(COLUMNS($AM$1006:BI1006),$AM$1006:$BM$1006,0))&gt;=100000), " ",IF(INDEX($AM$2:$BM$1001,MATCH(ROWS($AF$2:AF284),$AF$2:$AF$1001,0),MATCH(COLUMNS($AM$1006:BI1006),$AM$1006:$BM$1006,0)), HYPERLINK("#",""), HYPERLINK(CONCATENATE("#metadata!", ADDRESS(INDEX($AH$2:$AH$1001,MATCH(ROWS($AF$2:AF284),$AF$2:$AF$1001,0),0), INDEX($AM$1004:$BM$1004,1,MATCH(COLUMNS($AM$1006:BI1006),$AM$1006:$BM$1006,0)))),"Fix")))</f>
        <v xml:space="preserve"> </v>
      </c>
      <c r="Y284" s="4" t="str">
        <f ca="1">IF(OR(INDEX($AG$2:$AG$1001,MATCH(ROWS($AF$2:AF284),$AF$2:$AF$1001,0),1)&gt;=100000,INDEX($AM$1005:$BM$1005,1,MATCH(COLUMNS($AM$1006:BJ1006),$AM$1006:$BM$1006,0))&gt;=100000), " ",IF(INDEX($AM$2:$BM$1001,MATCH(ROWS($AF$2:AF284),$AF$2:$AF$1001,0),MATCH(COLUMNS($AM$1006:BJ1006),$AM$1006:$BM$1006,0)), HYPERLINK("#",""), HYPERLINK(CONCATENATE("#metadata!", ADDRESS(INDEX($AH$2:$AH$1001,MATCH(ROWS($AF$2:AF284),$AF$2:$AF$1001,0),0), INDEX($AM$1004:$BM$1004,1,MATCH(COLUMNS($AM$1006:BJ1006),$AM$1006:$BM$1006,0)))),"Fix")))</f>
        <v xml:space="preserve"> </v>
      </c>
      <c r="Z284" s="4" t="str">
        <f ca="1">IF(OR(INDEX($AG$2:$AG$1001,MATCH(ROWS($AF$2:AF284),$AF$2:$AF$1001,0),1)&gt;=100000,INDEX($AM$1005:$BM$1005,1,MATCH(COLUMNS($AM$1006:BK1006),$AM$1006:$BM$1006,0))&gt;=100000), " ",IF(INDEX($AM$2:$BM$1001,MATCH(ROWS($AF$2:AF284),$AF$2:$AF$1001,0),MATCH(COLUMNS($AM$1006:BK1006),$AM$1006:$BM$1006,0)), HYPERLINK("#",""), HYPERLINK(CONCATENATE("#metadata!", ADDRESS(INDEX($AH$2:$AH$1001,MATCH(ROWS($AF$2:AF284),$AF$2:$AF$1001,0),0), INDEX($AM$1004:$BM$1004,1,MATCH(COLUMNS($AM$1006:BK1006),$AM$1006:$BM$1006,0)))),"Fix")))</f>
        <v xml:space="preserve"> </v>
      </c>
      <c r="AA284" s="4" t="str">
        <f ca="1">IF(OR(INDEX($AG$2:$AG$1001,MATCH(ROWS($AF$2:AF284),$AF$2:$AF$1001,0),1)&gt;=100000,INDEX($AM$1005:$BM$1005,1,MATCH(COLUMNS($AM$1006:BL1006),$AM$1006:$BM$1006,0))&gt;=100000), " ",IF(INDEX($AM$2:$BM$1001,MATCH(ROWS($AF$2:AF284),$AF$2:$AF$1001,0),MATCH(COLUMNS($AM$1006:BL1006),$AM$1006:$BM$1006,0)), HYPERLINK("#",""), HYPERLINK(CONCATENATE("#metadata!", ADDRESS(INDEX($AH$2:$AH$1001,MATCH(ROWS($AF$2:AF284),$AF$2:$AF$1001,0),0), INDEX($AM$1004:$BM$1004,1,MATCH(COLUMNS($AM$1006:BL1006),$AM$1006:$BM$1006,0)))),"Fix")))</f>
        <v xml:space="preserve"> </v>
      </c>
      <c r="AB284" s="4" t="str">
        <f ca="1">IF(OR(INDEX($AG$2:$AG$1001,MATCH(ROWS($AF$2:AF284),$AF$2:$AF$1001,0),1)&gt;=100000,INDEX($AM$1005:$BM$1005,1,MATCH(COLUMNS($AM$1006:BM1006),$AM$1006:$BM$1006,0))&gt;=100000), " ",IF(INDEX($AM$2:$BM$1001,MATCH(ROWS($AF$2:AF284),$AF$2:$AF$1001,0),MATCH(COLUMNS($AM$1006:BM1006),$AM$1006:$BM$1006,0)), HYPERLINK("#",""), HYPERLINK(CONCATENATE("#metadata!", ADDRESS(INDEX($AH$2:$AH$1001,MATCH(ROWS($AF$2:AF284),$AF$2:$AF$1001,0),0), INDEX($AM$1004:$BM$1004,1,MATCH(COLUMNS($AM$1006:BM1006),$AM$1006:$BM$1006,0)))),"Fix")))</f>
        <v xml:space="preserve"> </v>
      </c>
      <c r="AF284">
        <v>283</v>
      </c>
      <c r="AG284">
        <v>100284</v>
      </c>
      <c r="AH284">
        <v>284</v>
      </c>
      <c r="AI284" t="b">
        <f t="shared" si="4"/>
        <v>1</v>
      </c>
      <c r="AJ284" t="b">
        <f>COUNTBLANK(metadata!B284:AB284)=COLUMNS(metadata!B284:AB284)</f>
        <v>1</v>
      </c>
      <c r="AK284" t="str">
        <v/>
      </c>
      <c r="AM284" t="b">
        <f ca="1">AND(IF(metadata!B284="",FALSE,TRUE),COUNTIF(metadata!B:B, metadata!B284) = 1,NOT(ISERROR(SUMPRODUCT(SEARCH(MID(metadata!B284,ROW(INDIRECT("1:"&amp;LEN(metadata!B284))), 1),"0123456789abcdefghijklmnopqrstuvwxyzABCDEFGHIJKLMNOPQRSTUVWXYZ.")))))</f>
        <v>0</v>
      </c>
      <c r="AN284" t="b">
        <f ca="1">OR(AND(IF(metadata!C284="",FALSE,TRUE),OR(EXACT(metadata!C284,"missing: not collected"),EXACT(metadata!C284,"missing: not provided"),EXACT(metadata!C284,"missing: restricted access"))),AND(IF(metadata!C284="",FALSE,TRUE),AND(AND(IFERROR(INT(LEFT(metadata!C284,4))&gt;1900,FALSE),IFERROR(INT(LEFT(metadata!C284,4))&lt;=YEAR(NOW()),FALSE)), OR(MID(metadata!C284,5,1)="", AND(AND(MID(metadata!C284,5,1)="-",IFERROR(INT(MID(metadata!C284,6,1))&gt;=0,FALSE),IFERROR(INT(MID(metadata!C284,6,1))&lt;=1,FALSE),NOT(MID(metadata!C284,7,1)=""),IFERROR(INT(MID(metadata!C284,6,2))&gt;=1,FALSE),IFERROR(INT(MID(metadata!C284,6,2))&lt;=12,FALSE)), OR(MID(metadata!C284,8,1)="", AND(AND(MID(metadata!C284,8,1)="-",IFERROR(INT(MID(metadata!C284,9,1))&gt;=0,FALSE),IFERROR(INT(MID(metadata!C284,9,1))&lt;=3,FALSE),NOT(MID(metadata!C284,10,1)=""),IFERROR(INT(MID(metadata!C284,9,2))&gt;=1,FALSE),IFERROR(INT(MID(metadata!C284,9,2))&lt;=31,FALSE)), OR(MID(metadata!C284,11,1)="", AND(AND(MID(metadata!C284,11,1)=" ",IFERROR(INT(MID(metadata!C284,12,1))&gt;=0,FALSE),IFERROR(INT(MID(metadata!C284,12,1))&lt;=2,FALSE),NOT(MID(metadata!C284,13,1)=""),IFERROR(INT(MID(metadata!C284,12,2))&gt;=0,FALSE),IFERROR(INT(MID(metadata!C284,12,2))&lt;=23,FALSE)), OR(MID(metadata!C284,14,1)="", AND(AND(MID(metadata!C284,14,1)=":",IFERROR(INT(MID(metadata!C284,15,1))&gt;=0,FALSE),IFERROR(INT(MID(metadata!C284,15,1))&lt;=5,FALSE),NOT(MID(metadata!C284,16,1)=""),IFERROR(INT(MID(metadata!C284,15,2))&gt;=0,FALSE),IFERROR(INT(MID(metadata!C284,15,2))&lt;=59,FALSE)), OR(MID(metadata!C284,17,1)="", AND(AND(MID(metadata!C284,17,1)=":",IFERROR(INT(MID(metadata!C284,18,1))&gt;=0,FALSE),IFERROR(INT(MID(metadata!C284,18,1))&lt;=5,FALSE),NOT(MID(metadata!C284,19,1)=""),IFERROR(INT(MID(metadata!C284,18,2))&gt;=0,FALSE),IFERROR(INT(MID(metadata!C284,18,2))&lt;=59,FALSE)), LEN(metadata!C284)&lt;=19)))))))))))))</f>
        <v>0</v>
      </c>
      <c r="AO284" t="b">
        <f>AND(IF(metadata!D284="",FALSE,TRUE),EXACT(metadata!D284,"Not applicable"))</f>
        <v>0</v>
      </c>
      <c r="AP284" t="b">
        <f>IF(metadata!E284="",FALSE,TRUE)</f>
        <v>0</v>
      </c>
      <c r="AQ284" t="b">
        <f>OR(AND(IF(metadata!F284="",FALSE,TRUE),OR(EXACT(metadata!F284,"missing: not collected"),EXACT(metadata!F284,"missing: not provided"))),AND(IF(metadata!F284="",FALSE,TRUE),OR(EXACT(metadata!F284,"TRUE"),EXACT(metadata!F284,"FALSE"))))</f>
        <v>0</v>
      </c>
      <c r="AR284" t="b">
        <f>OR(AND(IF(metadata!G284="",FALSE,TRUE),OR(EXACT(metadata!G284,"missing: not collected"),EXACT(metadata!G284,"missing: not provided"),EXACT(metadata!G284,"missing: restricted access"))),AND(IF(metadata!G284="",FALSE,ISNUMBER(VALUE(metadata!G284))),metadata!G284&gt;=-413))</f>
        <v>0</v>
      </c>
      <c r="AS284" t="b">
        <f>AND(IF(metadata!H284="",FALSE,TRUE),EXACT(metadata!H284,"meters"))</f>
        <v>0</v>
      </c>
      <c r="AT284" t="b">
        <f>AND(IF(metadata!I284="",FALSE,TRUE),OR(EXACT(metadata!I284,"Host-associated"),EXACT(metadata!I284,"Free-living")))</f>
        <v>0</v>
      </c>
      <c r="AU284" t="b">
        <f>AND(IF(metadata!J284="",FALSE,TRUE),OR(EXACT(metadata!J284,"Animal"),EXACT(metadata!J284,"Fungus"),EXACT(metadata!J284,"Plant"),EXACT(metadata!J284,"Saline"),EXACT(metadata!J284,"Non-saline")))</f>
        <v>0</v>
      </c>
      <c r="AV284" t="b">
        <f>AND(IF(metadata!K284="",FALSE,TRUE),OR(EXACT(metadata!K284,"Plant secretion"),EXACT(metadata!K284,"Plant rhizosphere"),EXACT(metadata!K284,"Plant surface"),EXACT(metadata!K284,"Plant corpus"),EXACT(metadata!K284,"Fungus surface"),EXACT(metadata!K284,"Fungus corpus"),EXACT(metadata!K284,"Animal surface"),EXACT(metadata!K284,"Animal proximal gut"),EXACT(metadata!K284,"Animal corpus"),EXACT(metadata!K284,"Animal distal gut"),EXACT(metadata!K284,"Animal secretion"),EXACT(metadata!K284,"Sub-surface (non-saline)"),EXACT(metadata!K284,"Surface (non-saline)"),EXACT(metadata!K284,"Water (non-saline)"),EXACT(metadata!K284,"Soil (non-saline)"),EXACT(metadata!K284,"Aerosol (non-saline)"),EXACT(metadata!K284,"Sediment (non-saline)"),EXACT(metadata!K284,"Surface (saline)"),EXACT(metadata!K284,"Water (saline)"),EXACT(metadata!K284,"Hypersaline (saline)"),EXACT(metadata!K284,"Aerosol (saline)"),EXACT(metadata!K284,"Sediment (saline)")))</f>
        <v>0</v>
      </c>
      <c r="AW284" t="b">
        <f>IF(metadata!L284="",FALSE,TRUE)</f>
        <v>0</v>
      </c>
      <c r="AX284" t="b">
        <f>IF(metadata!M284="",FALSE,TRUE)</f>
        <v>0</v>
      </c>
      <c r="AY284" t="b">
        <f>IF(metadata!N284="",FALSE,TRUE)</f>
        <v>0</v>
      </c>
      <c r="AZ284" t="b">
        <f>OR(AND(IF(metadata!O284="",FALSE,TRUE),OR(EXACT(metadata!O284,"missing: not collected"),EXACT(metadata!O284,"missing: not provided"),EXACT(metadata!O284,"missing: restricted access"))),AND(IF(metadata!O284="",FALSE,TRUE),OR(EXACT(metadata!O284,"air"),EXACT(metadata!O284,"built environment"),EXACT(metadata!O284,"host-associated"),EXACT(metadata!O284,"human-associated"),EXACT(metadata!O284,"human-skin"),EXACT(metadata!O284,"human-oral"),EXACT(metadata!O284,"human-gut"),EXACT(metadata!O284,"human-vaginal"),EXACT(metadata!O284,"microbial mat/biofilm"),EXACT(metadata!O284,"misc environment"),EXACT(metadata!O284,"plant-associated"),EXACT(metadata!O284,"sediment"),EXACT(metadata!O284,"soil"),EXACT(metadata!O284,"wastewater/sludge"),EXACT(metadata!O284,"water"))))</f>
        <v>0</v>
      </c>
      <c r="BA284" t="b">
        <f>IF(metadata!P284="",FALSE,TRUE)</f>
        <v>0</v>
      </c>
      <c r="BB284" t="b">
        <f>IF(metadata!Q284="",FALSE,TRUE)</f>
        <v>0</v>
      </c>
      <c r="BC284" t="b">
        <f>OR(AND(IF(metadata!R284="",FALSE,TRUE),OR(EXACT(metadata!R284,"missing: not collected"),EXACT(metadata!R284,"missing: not provided"),EXACT(metadata!R284,"missing: restricted access"))),AND(IF(metadata!R284="",FALSE,ISNUMBER(VALUE(metadata!R284))),metadata!R284&gt;=-90,metadata!R284&lt;=90))</f>
        <v>0</v>
      </c>
      <c r="BD284" t="b">
        <f>AND(IF(metadata!S284="",FALSE,TRUE),EXACT(metadata!S284,"Decimal degrees"))</f>
        <v>0</v>
      </c>
      <c r="BE284" t="b">
        <f>OR(AND(IF(metadata!T284="",FALSE,TRUE),OR(EXACT(metadata!T284,"missing: not collected"),EXACT(metadata!T284,"missing: not provided"),EXACT(metadata!T284,"missing: restricted access"))),AND(IF(metadata!T284="",FALSE,ISNUMBER(VALUE(metadata!T284))),metadata!T284&gt;=-180,metadata!T284&lt;=180))</f>
        <v>0</v>
      </c>
      <c r="BF284" t="b">
        <f>AND(IF(metadata!U284="",FALSE,TRUE),EXACT(metadata!U284,"Decimal degrees"))</f>
        <v>0</v>
      </c>
      <c r="BG284" t="b">
        <f>IF(metadata!V284="",FALSE,TRUE)</f>
        <v>0</v>
      </c>
      <c r="BH284" t="b">
        <f>OR(AND(IF(metadata!W284="",FALSE,TRUE),OR(EXACT(metadata!W284,"missing: not collected"),EXACT(metadata!W284,"missing: not provided"),EXACT(metadata!W284,"missing: restricted access"))),AND(IF(metadata!W284="",FALSE,TRUE),OR(EXACT(metadata!W284,"TRUE"),EXACT(metadata!W284,"FALSE"))))</f>
        <v>0</v>
      </c>
      <c r="BI284" t="b">
        <f>AND(IF(metadata!X284="",FALSE,TRUE),EXACT(metadata!X284,"other"))</f>
        <v>0</v>
      </c>
      <c r="BJ284" t="b">
        <f>IF(metadata!Y284="",FALSE,TRUE)</f>
        <v>0</v>
      </c>
      <c r="BK284" t="b">
        <f>OR(AND(IF(metadata!Z284="",FALSE,TRUE),OR(EXACT(metadata!Z284,"missing: not collected"),EXACT(metadata!Z284,"missing: not provided"))),AND(IF(metadata!Z284="",FALSE,IF(ISERROR(INT(metadata!Z284)),FALSE,INT(metadata!Z284)=metadata!Z284)),metadata!Z284&gt;0))</f>
        <v>0</v>
      </c>
      <c r="BL284" t="b">
        <f>AND(IF(metadata!AA284="",FALSE,TRUE),EXACT(metadata!AA284,"Not applicable"))</f>
        <v>0</v>
      </c>
      <c r="BM284" t="b">
        <f>IF(metadata!AB284="",FALSE,TRUE)</f>
        <v>0</v>
      </c>
    </row>
    <row r="285" spans="1:65" x14ac:dyDescent="0.2">
      <c r="A285" s="5" t="str">
        <f ca="1">IF(B285=" "," ",HYPERLINK(CONCATENATE("#metadata!",ADDRESS(INDEX($AH$2:$AH$1001,MATCH(ROWS($AF$2:AF285),$AF$2:$AF$1001,0),0),1)),INDEX($AK$2:$AK$1001,MATCH(ROWS($AF$2:AF285),$AF$2:$AF$1001,0),0)))</f>
        <v xml:space="preserve"> </v>
      </c>
      <c r="B285" s="4" t="str">
        <f ca="1">IF(OR(INDEX($AG$2:$AG$1001,MATCH(ROWS($AF$2:AF285),$AF$2:$AF$1001,0),1)&gt;=100000,INDEX($AM$1005:$BM$1005,1,MATCH(COLUMNS($AM$1006:AM1006),$AM$1006:$BM$1006,0))&gt;=100000), " ",IF(INDEX($AM$2:$BM$1001,MATCH(ROWS($AF$2:AF285),$AF$2:$AF$1001,0),MATCH(COLUMNS($AM$1006:AM1006),$AM$1006:$BM$1006,0)), HYPERLINK("#",""), HYPERLINK(CONCATENATE("#metadata!", ADDRESS(INDEX($AH$2:$AH$1001,MATCH(ROWS($AF$2:AF285),$AF$2:$AF$1001,0),0), INDEX($AM$1004:$BM$1004,1,MATCH(COLUMNS($AM$1006:AM1006),$AM$1006:$BM$1006,0)))),"Fix")))</f>
        <v xml:space="preserve"> </v>
      </c>
      <c r="C285" s="4" t="str">
        <f ca="1">IF(OR(INDEX($AG$2:$AG$1001,MATCH(ROWS($AF$2:AF285),$AF$2:$AF$1001,0),1)&gt;=100000,INDEX($AM$1005:$BM$1005,1,MATCH(COLUMNS($AM$1006:AN1006),$AM$1006:$BM$1006,0))&gt;=100000), " ",IF(INDEX($AM$2:$BM$1001,MATCH(ROWS($AF$2:AF285),$AF$2:$AF$1001,0),MATCH(COLUMNS($AM$1006:AN1006),$AM$1006:$BM$1006,0)), HYPERLINK("#",""), HYPERLINK(CONCATENATE("#metadata!", ADDRESS(INDEX($AH$2:$AH$1001,MATCH(ROWS($AF$2:AF285),$AF$2:$AF$1001,0),0), INDEX($AM$1004:$BM$1004,1,MATCH(COLUMNS($AM$1006:AN1006),$AM$1006:$BM$1006,0)))),"Fix")))</f>
        <v xml:space="preserve"> </v>
      </c>
      <c r="D285" s="4" t="str">
        <f ca="1">IF(OR(INDEX($AG$2:$AG$1001,MATCH(ROWS($AF$2:AF285),$AF$2:$AF$1001,0),1)&gt;=100000,INDEX($AM$1005:$BM$1005,1,MATCH(COLUMNS($AM$1006:AO1006),$AM$1006:$BM$1006,0))&gt;=100000), " ",IF(INDEX($AM$2:$BM$1001,MATCH(ROWS($AF$2:AF285),$AF$2:$AF$1001,0),MATCH(COLUMNS($AM$1006:AO1006),$AM$1006:$BM$1006,0)), HYPERLINK("#",""), HYPERLINK(CONCATENATE("#metadata!", ADDRESS(INDEX($AH$2:$AH$1001,MATCH(ROWS($AF$2:AF285),$AF$2:$AF$1001,0),0), INDEX($AM$1004:$BM$1004,1,MATCH(COLUMNS($AM$1006:AO1006),$AM$1006:$BM$1006,0)))),"Fix")))</f>
        <v xml:space="preserve"> </v>
      </c>
      <c r="E285" s="4" t="str">
        <f ca="1">IF(OR(INDEX($AG$2:$AG$1001,MATCH(ROWS($AF$2:AF285),$AF$2:$AF$1001,0),1)&gt;=100000,INDEX($AM$1005:$BM$1005,1,MATCH(COLUMNS($AM$1006:AP1006),$AM$1006:$BM$1006,0))&gt;=100000), " ",IF(INDEX($AM$2:$BM$1001,MATCH(ROWS($AF$2:AF285),$AF$2:$AF$1001,0),MATCH(COLUMNS($AM$1006:AP1006),$AM$1006:$BM$1006,0)), HYPERLINK("#",""), HYPERLINK(CONCATENATE("#metadata!", ADDRESS(INDEX($AH$2:$AH$1001,MATCH(ROWS($AF$2:AF285),$AF$2:$AF$1001,0),0), INDEX($AM$1004:$BM$1004,1,MATCH(COLUMNS($AM$1006:AP1006),$AM$1006:$BM$1006,0)))),"Fix")))</f>
        <v xml:space="preserve"> </v>
      </c>
      <c r="F285" s="4" t="str">
        <f ca="1">IF(OR(INDEX($AG$2:$AG$1001,MATCH(ROWS($AF$2:AF285),$AF$2:$AF$1001,0),1)&gt;=100000,INDEX($AM$1005:$BM$1005,1,MATCH(COLUMNS($AM$1006:AQ1006),$AM$1006:$BM$1006,0))&gt;=100000), " ",IF(INDEX($AM$2:$BM$1001,MATCH(ROWS($AF$2:AF285),$AF$2:$AF$1001,0),MATCH(COLUMNS($AM$1006:AQ1006),$AM$1006:$BM$1006,0)), HYPERLINK("#",""), HYPERLINK(CONCATENATE("#metadata!", ADDRESS(INDEX($AH$2:$AH$1001,MATCH(ROWS($AF$2:AF285),$AF$2:$AF$1001,0),0), INDEX($AM$1004:$BM$1004,1,MATCH(COLUMNS($AM$1006:AQ1006),$AM$1006:$BM$1006,0)))),"Fix")))</f>
        <v xml:space="preserve"> </v>
      </c>
      <c r="G285" s="4" t="str">
        <f ca="1">IF(OR(INDEX($AG$2:$AG$1001,MATCH(ROWS($AF$2:AF285),$AF$2:$AF$1001,0),1)&gt;=100000,INDEX($AM$1005:$BM$1005,1,MATCH(COLUMNS($AM$1006:AR1006),$AM$1006:$BM$1006,0))&gt;=100000), " ",IF(INDEX($AM$2:$BM$1001,MATCH(ROWS($AF$2:AF285),$AF$2:$AF$1001,0),MATCH(COLUMNS($AM$1006:AR1006),$AM$1006:$BM$1006,0)), HYPERLINK("#",""), HYPERLINK(CONCATENATE("#metadata!", ADDRESS(INDEX($AH$2:$AH$1001,MATCH(ROWS($AF$2:AF285),$AF$2:$AF$1001,0),0), INDEX($AM$1004:$BM$1004,1,MATCH(COLUMNS($AM$1006:AR1006),$AM$1006:$BM$1006,0)))),"Fix")))</f>
        <v xml:space="preserve"> </v>
      </c>
      <c r="H285" s="4" t="str">
        <f ca="1">IF(OR(INDEX($AG$2:$AG$1001,MATCH(ROWS($AF$2:AF285),$AF$2:$AF$1001,0),1)&gt;=100000,INDEX($AM$1005:$BM$1005,1,MATCH(COLUMNS($AM$1006:AS1006),$AM$1006:$BM$1006,0))&gt;=100000), " ",IF(INDEX($AM$2:$BM$1001,MATCH(ROWS($AF$2:AF285),$AF$2:$AF$1001,0),MATCH(COLUMNS($AM$1006:AS1006),$AM$1006:$BM$1006,0)), HYPERLINK("#",""), HYPERLINK(CONCATENATE("#metadata!", ADDRESS(INDEX($AH$2:$AH$1001,MATCH(ROWS($AF$2:AF285),$AF$2:$AF$1001,0),0), INDEX($AM$1004:$BM$1004,1,MATCH(COLUMNS($AM$1006:AS1006),$AM$1006:$BM$1006,0)))),"Fix")))</f>
        <v xml:space="preserve"> </v>
      </c>
      <c r="I285" s="4" t="str">
        <f ca="1">IF(OR(INDEX($AG$2:$AG$1001,MATCH(ROWS($AF$2:AF285),$AF$2:$AF$1001,0),1)&gt;=100000,INDEX($AM$1005:$BM$1005,1,MATCH(COLUMNS($AM$1006:AT1006),$AM$1006:$BM$1006,0))&gt;=100000), " ",IF(INDEX($AM$2:$BM$1001,MATCH(ROWS($AF$2:AF285),$AF$2:$AF$1001,0),MATCH(COLUMNS($AM$1006:AT1006),$AM$1006:$BM$1006,0)), HYPERLINK("#",""), HYPERLINK(CONCATENATE("#metadata!", ADDRESS(INDEX($AH$2:$AH$1001,MATCH(ROWS($AF$2:AF285),$AF$2:$AF$1001,0),0), INDEX($AM$1004:$BM$1004,1,MATCH(COLUMNS($AM$1006:AT1006),$AM$1006:$BM$1006,0)))),"Fix")))</f>
        <v xml:space="preserve"> </v>
      </c>
      <c r="J285" s="4" t="str">
        <f ca="1">IF(OR(INDEX($AG$2:$AG$1001,MATCH(ROWS($AF$2:AF285),$AF$2:$AF$1001,0),1)&gt;=100000,INDEX($AM$1005:$BM$1005,1,MATCH(COLUMNS($AM$1006:AU1006),$AM$1006:$BM$1006,0))&gt;=100000), " ",IF(INDEX($AM$2:$BM$1001,MATCH(ROWS($AF$2:AF285),$AF$2:$AF$1001,0),MATCH(COLUMNS($AM$1006:AU1006),$AM$1006:$BM$1006,0)), HYPERLINK("#",""), HYPERLINK(CONCATENATE("#metadata!", ADDRESS(INDEX($AH$2:$AH$1001,MATCH(ROWS($AF$2:AF285),$AF$2:$AF$1001,0),0), INDEX($AM$1004:$BM$1004,1,MATCH(COLUMNS($AM$1006:AU1006),$AM$1006:$BM$1006,0)))),"Fix")))</f>
        <v xml:space="preserve"> </v>
      </c>
      <c r="K285" s="4" t="str">
        <f ca="1">IF(OR(INDEX($AG$2:$AG$1001,MATCH(ROWS($AF$2:AF285),$AF$2:$AF$1001,0),1)&gt;=100000,INDEX($AM$1005:$BM$1005,1,MATCH(COLUMNS($AM$1006:AV1006),$AM$1006:$BM$1006,0))&gt;=100000), " ",IF(INDEX($AM$2:$BM$1001,MATCH(ROWS($AF$2:AF285),$AF$2:$AF$1001,0),MATCH(COLUMNS($AM$1006:AV1006),$AM$1006:$BM$1006,0)), HYPERLINK("#",""), HYPERLINK(CONCATENATE("#metadata!", ADDRESS(INDEX($AH$2:$AH$1001,MATCH(ROWS($AF$2:AF285),$AF$2:$AF$1001,0),0), INDEX($AM$1004:$BM$1004,1,MATCH(COLUMNS($AM$1006:AV1006),$AM$1006:$BM$1006,0)))),"Fix")))</f>
        <v xml:space="preserve"> </v>
      </c>
      <c r="L285" s="4" t="str">
        <f ca="1">IF(OR(INDEX($AG$2:$AG$1001,MATCH(ROWS($AF$2:AF285),$AF$2:$AF$1001,0),1)&gt;=100000,INDEX($AM$1005:$BM$1005,1,MATCH(COLUMNS($AM$1006:AW1006),$AM$1006:$BM$1006,0))&gt;=100000), " ",IF(INDEX($AM$2:$BM$1001,MATCH(ROWS($AF$2:AF285),$AF$2:$AF$1001,0),MATCH(COLUMNS($AM$1006:AW1006),$AM$1006:$BM$1006,0)), HYPERLINK("#",""), HYPERLINK(CONCATENATE("#metadata!", ADDRESS(INDEX($AH$2:$AH$1001,MATCH(ROWS($AF$2:AF285),$AF$2:$AF$1001,0),0), INDEX($AM$1004:$BM$1004,1,MATCH(COLUMNS($AM$1006:AW1006),$AM$1006:$BM$1006,0)))),"Fix")))</f>
        <v xml:space="preserve"> </v>
      </c>
      <c r="M285" s="4" t="str">
        <f ca="1">IF(OR(INDEX($AG$2:$AG$1001,MATCH(ROWS($AF$2:AF285),$AF$2:$AF$1001,0),1)&gt;=100000,INDEX($AM$1005:$BM$1005,1,MATCH(COLUMNS($AM$1006:AX1006),$AM$1006:$BM$1006,0))&gt;=100000), " ",IF(INDEX($AM$2:$BM$1001,MATCH(ROWS($AF$2:AF285),$AF$2:$AF$1001,0),MATCH(COLUMNS($AM$1006:AX1006),$AM$1006:$BM$1006,0)), HYPERLINK("#",""), HYPERLINK(CONCATENATE("#metadata!", ADDRESS(INDEX($AH$2:$AH$1001,MATCH(ROWS($AF$2:AF285),$AF$2:$AF$1001,0),0), INDEX($AM$1004:$BM$1004,1,MATCH(COLUMNS($AM$1006:AX1006),$AM$1006:$BM$1006,0)))),"Fix")))</f>
        <v xml:space="preserve"> </v>
      </c>
      <c r="N285" s="4" t="str">
        <f ca="1">IF(OR(INDEX($AG$2:$AG$1001,MATCH(ROWS($AF$2:AF285),$AF$2:$AF$1001,0),1)&gt;=100000,INDEX($AM$1005:$BM$1005,1,MATCH(COLUMNS($AM$1006:AY1006),$AM$1006:$BM$1006,0))&gt;=100000), " ",IF(INDEX($AM$2:$BM$1001,MATCH(ROWS($AF$2:AF285),$AF$2:$AF$1001,0),MATCH(COLUMNS($AM$1006:AY1006),$AM$1006:$BM$1006,0)), HYPERLINK("#",""), HYPERLINK(CONCATENATE("#metadata!", ADDRESS(INDEX($AH$2:$AH$1001,MATCH(ROWS($AF$2:AF285),$AF$2:$AF$1001,0),0), INDEX($AM$1004:$BM$1004,1,MATCH(COLUMNS($AM$1006:AY1006),$AM$1006:$BM$1006,0)))),"Fix")))</f>
        <v xml:space="preserve"> </v>
      </c>
      <c r="O285" s="4" t="str">
        <f ca="1">IF(OR(INDEX($AG$2:$AG$1001,MATCH(ROWS($AF$2:AF285),$AF$2:$AF$1001,0),1)&gt;=100000,INDEX($AM$1005:$BM$1005,1,MATCH(COLUMNS($AM$1006:AZ1006),$AM$1006:$BM$1006,0))&gt;=100000), " ",IF(INDEX($AM$2:$BM$1001,MATCH(ROWS($AF$2:AF285),$AF$2:$AF$1001,0),MATCH(COLUMNS($AM$1006:AZ1006),$AM$1006:$BM$1006,0)), HYPERLINK("#",""), HYPERLINK(CONCATENATE("#metadata!", ADDRESS(INDEX($AH$2:$AH$1001,MATCH(ROWS($AF$2:AF285),$AF$2:$AF$1001,0),0), INDEX($AM$1004:$BM$1004,1,MATCH(COLUMNS($AM$1006:AZ1006),$AM$1006:$BM$1006,0)))),"Fix")))</f>
        <v xml:space="preserve"> </v>
      </c>
      <c r="P285" s="4" t="str">
        <f ca="1">IF(OR(INDEX($AG$2:$AG$1001,MATCH(ROWS($AF$2:AF285),$AF$2:$AF$1001,0),1)&gt;=100000,INDEX($AM$1005:$BM$1005,1,MATCH(COLUMNS($AM$1006:BA1006),$AM$1006:$BM$1006,0))&gt;=100000), " ",IF(INDEX($AM$2:$BM$1001,MATCH(ROWS($AF$2:AF285),$AF$2:$AF$1001,0),MATCH(COLUMNS($AM$1006:BA1006),$AM$1006:$BM$1006,0)), HYPERLINK("#",""), HYPERLINK(CONCATENATE("#metadata!", ADDRESS(INDEX($AH$2:$AH$1001,MATCH(ROWS($AF$2:AF285),$AF$2:$AF$1001,0),0), INDEX($AM$1004:$BM$1004,1,MATCH(COLUMNS($AM$1006:BA1006),$AM$1006:$BM$1006,0)))),"Fix")))</f>
        <v xml:space="preserve"> </v>
      </c>
      <c r="Q285" s="4" t="str">
        <f ca="1">IF(OR(INDEX($AG$2:$AG$1001,MATCH(ROWS($AF$2:AF285),$AF$2:$AF$1001,0),1)&gt;=100000,INDEX($AM$1005:$BM$1005,1,MATCH(COLUMNS($AM$1006:BB1006),$AM$1006:$BM$1006,0))&gt;=100000), " ",IF(INDEX($AM$2:$BM$1001,MATCH(ROWS($AF$2:AF285),$AF$2:$AF$1001,0),MATCH(COLUMNS($AM$1006:BB1006),$AM$1006:$BM$1006,0)), HYPERLINK("#",""), HYPERLINK(CONCATENATE("#metadata!", ADDRESS(INDEX($AH$2:$AH$1001,MATCH(ROWS($AF$2:AF285),$AF$2:$AF$1001,0),0), INDEX($AM$1004:$BM$1004,1,MATCH(COLUMNS($AM$1006:BB1006),$AM$1006:$BM$1006,0)))),"Fix")))</f>
        <v xml:space="preserve"> </v>
      </c>
      <c r="R285" s="4" t="str">
        <f ca="1">IF(OR(INDEX($AG$2:$AG$1001,MATCH(ROWS($AF$2:AF285),$AF$2:$AF$1001,0),1)&gt;=100000,INDEX($AM$1005:$BM$1005,1,MATCH(COLUMNS($AM$1006:BC1006),$AM$1006:$BM$1006,0))&gt;=100000), " ",IF(INDEX($AM$2:$BM$1001,MATCH(ROWS($AF$2:AF285),$AF$2:$AF$1001,0),MATCH(COLUMNS($AM$1006:BC1006),$AM$1006:$BM$1006,0)), HYPERLINK("#",""), HYPERLINK(CONCATENATE("#metadata!", ADDRESS(INDEX($AH$2:$AH$1001,MATCH(ROWS($AF$2:AF285),$AF$2:$AF$1001,0),0), INDEX($AM$1004:$BM$1004,1,MATCH(COLUMNS($AM$1006:BC1006),$AM$1006:$BM$1006,0)))),"Fix")))</f>
        <v xml:space="preserve"> </v>
      </c>
      <c r="S285" s="4" t="str">
        <f ca="1">IF(OR(INDEX($AG$2:$AG$1001,MATCH(ROWS($AF$2:AF285),$AF$2:$AF$1001,0),1)&gt;=100000,INDEX($AM$1005:$BM$1005,1,MATCH(COLUMNS($AM$1006:BD1006),$AM$1006:$BM$1006,0))&gt;=100000), " ",IF(INDEX($AM$2:$BM$1001,MATCH(ROWS($AF$2:AF285),$AF$2:$AF$1001,0),MATCH(COLUMNS($AM$1006:BD1006),$AM$1006:$BM$1006,0)), HYPERLINK("#",""), HYPERLINK(CONCATENATE("#metadata!", ADDRESS(INDEX($AH$2:$AH$1001,MATCH(ROWS($AF$2:AF285),$AF$2:$AF$1001,0),0), INDEX($AM$1004:$BM$1004,1,MATCH(COLUMNS($AM$1006:BD1006),$AM$1006:$BM$1006,0)))),"Fix")))</f>
        <v xml:space="preserve"> </v>
      </c>
      <c r="T285" s="4" t="str">
        <f ca="1">IF(OR(INDEX($AG$2:$AG$1001,MATCH(ROWS($AF$2:AF285),$AF$2:$AF$1001,0),1)&gt;=100000,INDEX($AM$1005:$BM$1005,1,MATCH(COLUMNS($AM$1006:BE1006),$AM$1006:$BM$1006,0))&gt;=100000), " ",IF(INDEX($AM$2:$BM$1001,MATCH(ROWS($AF$2:AF285),$AF$2:$AF$1001,0),MATCH(COLUMNS($AM$1006:BE1006),$AM$1006:$BM$1006,0)), HYPERLINK("#",""), HYPERLINK(CONCATENATE("#metadata!", ADDRESS(INDEX($AH$2:$AH$1001,MATCH(ROWS($AF$2:AF285),$AF$2:$AF$1001,0),0), INDEX($AM$1004:$BM$1004,1,MATCH(COLUMNS($AM$1006:BE1006),$AM$1006:$BM$1006,0)))),"Fix")))</f>
        <v xml:space="preserve"> </v>
      </c>
      <c r="U285" s="4" t="str">
        <f ca="1">IF(OR(INDEX($AG$2:$AG$1001,MATCH(ROWS($AF$2:AF285),$AF$2:$AF$1001,0),1)&gt;=100000,INDEX($AM$1005:$BM$1005,1,MATCH(COLUMNS($AM$1006:BF1006),$AM$1006:$BM$1006,0))&gt;=100000), " ",IF(INDEX($AM$2:$BM$1001,MATCH(ROWS($AF$2:AF285),$AF$2:$AF$1001,0),MATCH(COLUMNS($AM$1006:BF1006),$AM$1006:$BM$1006,0)), HYPERLINK("#",""), HYPERLINK(CONCATENATE("#metadata!", ADDRESS(INDEX($AH$2:$AH$1001,MATCH(ROWS($AF$2:AF285),$AF$2:$AF$1001,0),0), INDEX($AM$1004:$BM$1004,1,MATCH(COLUMNS($AM$1006:BF1006),$AM$1006:$BM$1006,0)))),"Fix")))</f>
        <v xml:space="preserve"> </v>
      </c>
      <c r="V285" s="4" t="str">
        <f ca="1">IF(OR(INDEX($AG$2:$AG$1001,MATCH(ROWS($AF$2:AF285),$AF$2:$AF$1001,0),1)&gt;=100000,INDEX($AM$1005:$BM$1005,1,MATCH(COLUMNS($AM$1006:BG1006),$AM$1006:$BM$1006,0))&gt;=100000), " ",IF(INDEX($AM$2:$BM$1001,MATCH(ROWS($AF$2:AF285),$AF$2:$AF$1001,0),MATCH(COLUMNS($AM$1006:BG1006),$AM$1006:$BM$1006,0)), HYPERLINK("#",""), HYPERLINK(CONCATENATE("#metadata!", ADDRESS(INDEX($AH$2:$AH$1001,MATCH(ROWS($AF$2:AF285),$AF$2:$AF$1001,0),0), INDEX($AM$1004:$BM$1004,1,MATCH(COLUMNS($AM$1006:BG1006),$AM$1006:$BM$1006,0)))),"Fix")))</f>
        <v xml:space="preserve"> </v>
      </c>
      <c r="W285" s="4" t="str">
        <f ca="1">IF(OR(INDEX($AG$2:$AG$1001,MATCH(ROWS($AF$2:AF285),$AF$2:$AF$1001,0),1)&gt;=100000,INDEX($AM$1005:$BM$1005,1,MATCH(COLUMNS($AM$1006:BH1006),$AM$1006:$BM$1006,0))&gt;=100000), " ",IF(INDEX($AM$2:$BM$1001,MATCH(ROWS($AF$2:AF285),$AF$2:$AF$1001,0),MATCH(COLUMNS($AM$1006:BH1006),$AM$1006:$BM$1006,0)), HYPERLINK("#",""), HYPERLINK(CONCATENATE("#metadata!", ADDRESS(INDEX($AH$2:$AH$1001,MATCH(ROWS($AF$2:AF285),$AF$2:$AF$1001,0),0), INDEX($AM$1004:$BM$1004,1,MATCH(COLUMNS($AM$1006:BH1006),$AM$1006:$BM$1006,0)))),"Fix")))</f>
        <v xml:space="preserve"> </v>
      </c>
      <c r="X285" s="4" t="str">
        <f ca="1">IF(OR(INDEX($AG$2:$AG$1001,MATCH(ROWS($AF$2:AF285),$AF$2:$AF$1001,0),1)&gt;=100000,INDEX($AM$1005:$BM$1005,1,MATCH(COLUMNS($AM$1006:BI1006),$AM$1006:$BM$1006,0))&gt;=100000), " ",IF(INDEX($AM$2:$BM$1001,MATCH(ROWS($AF$2:AF285),$AF$2:$AF$1001,0),MATCH(COLUMNS($AM$1006:BI1006),$AM$1006:$BM$1006,0)), HYPERLINK("#",""), HYPERLINK(CONCATENATE("#metadata!", ADDRESS(INDEX($AH$2:$AH$1001,MATCH(ROWS($AF$2:AF285),$AF$2:$AF$1001,0),0), INDEX($AM$1004:$BM$1004,1,MATCH(COLUMNS($AM$1006:BI1006),$AM$1006:$BM$1006,0)))),"Fix")))</f>
        <v xml:space="preserve"> </v>
      </c>
      <c r="Y285" s="4" t="str">
        <f ca="1">IF(OR(INDEX($AG$2:$AG$1001,MATCH(ROWS($AF$2:AF285),$AF$2:$AF$1001,0),1)&gt;=100000,INDEX($AM$1005:$BM$1005,1,MATCH(COLUMNS($AM$1006:BJ1006),$AM$1006:$BM$1006,0))&gt;=100000), " ",IF(INDEX($AM$2:$BM$1001,MATCH(ROWS($AF$2:AF285),$AF$2:$AF$1001,0),MATCH(COLUMNS($AM$1006:BJ1006),$AM$1006:$BM$1006,0)), HYPERLINK("#",""), HYPERLINK(CONCATENATE("#metadata!", ADDRESS(INDEX($AH$2:$AH$1001,MATCH(ROWS($AF$2:AF285),$AF$2:$AF$1001,0),0), INDEX($AM$1004:$BM$1004,1,MATCH(COLUMNS($AM$1006:BJ1006),$AM$1006:$BM$1006,0)))),"Fix")))</f>
        <v xml:space="preserve"> </v>
      </c>
      <c r="Z285" s="4" t="str">
        <f ca="1">IF(OR(INDEX($AG$2:$AG$1001,MATCH(ROWS($AF$2:AF285),$AF$2:$AF$1001,0),1)&gt;=100000,INDEX($AM$1005:$BM$1005,1,MATCH(COLUMNS($AM$1006:BK1006),$AM$1006:$BM$1006,0))&gt;=100000), " ",IF(INDEX($AM$2:$BM$1001,MATCH(ROWS($AF$2:AF285),$AF$2:$AF$1001,0),MATCH(COLUMNS($AM$1006:BK1006),$AM$1006:$BM$1006,0)), HYPERLINK("#",""), HYPERLINK(CONCATENATE("#metadata!", ADDRESS(INDEX($AH$2:$AH$1001,MATCH(ROWS($AF$2:AF285),$AF$2:$AF$1001,0),0), INDEX($AM$1004:$BM$1004,1,MATCH(COLUMNS($AM$1006:BK1006),$AM$1006:$BM$1006,0)))),"Fix")))</f>
        <v xml:space="preserve"> </v>
      </c>
      <c r="AA285" s="4" t="str">
        <f ca="1">IF(OR(INDEX($AG$2:$AG$1001,MATCH(ROWS($AF$2:AF285),$AF$2:$AF$1001,0),1)&gt;=100000,INDEX($AM$1005:$BM$1005,1,MATCH(COLUMNS($AM$1006:BL1006),$AM$1006:$BM$1006,0))&gt;=100000), " ",IF(INDEX($AM$2:$BM$1001,MATCH(ROWS($AF$2:AF285),$AF$2:$AF$1001,0),MATCH(COLUMNS($AM$1006:BL1006),$AM$1006:$BM$1006,0)), HYPERLINK("#",""), HYPERLINK(CONCATENATE("#metadata!", ADDRESS(INDEX($AH$2:$AH$1001,MATCH(ROWS($AF$2:AF285),$AF$2:$AF$1001,0),0), INDEX($AM$1004:$BM$1004,1,MATCH(COLUMNS($AM$1006:BL1006),$AM$1006:$BM$1006,0)))),"Fix")))</f>
        <v xml:space="preserve"> </v>
      </c>
      <c r="AB285" s="4" t="str">
        <f ca="1">IF(OR(INDEX($AG$2:$AG$1001,MATCH(ROWS($AF$2:AF285),$AF$2:$AF$1001,0),1)&gt;=100000,INDEX($AM$1005:$BM$1005,1,MATCH(COLUMNS($AM$1006:BM1006),$AM$1006:$BM$1006,0))&gt;=100000), " ",IF(INDEX($AM$2:$BM$1001,MATCH(ROWS($AF$2:AF285),$AF$2:$AF$1001,0),MATCH(COLUMNS($AM$1006:BM1006),$AM$1006:$BM$1006,0)), HYPERLINK("#",""), HYPERLINK(CONCATENATE("#metadata!", ADDRESS(INDEX($AH$2:$AH$1001,MATCH(ROWS($AF$2:AF285),$AF$2:$AF$1001,0),0), INDEX($AM$1004:$BM$1004,1,MATCH(COLUMNS($AM$1006:BM1006),$AM$1006:$BM$1006,0)))),"Fix")))</f>
        <v xml:space="preserve"> </v>
      </c>
      <c r="AF285">
        <v>284</v>
      </c>
      <c r="AG285">
        <v>100285</v>
      </c>
      <c r="AH285">
        <v>285</v>
      </c>
      <c r="AI285" t="b">
        <f t="shared" si="4"/>
        <v>1</v>
      </c>
      <c r="AJ285" t="b">
        <f>COUNTBLANK(metadata!B285:AB285)=COLUMNS(metadata!B285:AB285)</f>
        <v>1</v>
      </c>
      <c r="AK285" t="str">
        <v/>
      </c>
      <c r="AM285" t="b">
        <f ca="1">AND(IF(metadata!B285="",FALSE,TRUE),COUNTIF(metadata!B:B, metadata!B285) = 1,NOT(ISERROR(SUMPRODUCT(SEARCH(MID(metadata!B285,ROW(INDIRECT("1:"&amp;LEN(metadata!B285))), 1),"0123456789abcdefghijklmnopqrstuvwxyzABCDEFGHIJKLMNOPQRSTUVWXYZ.")))))</f>
        <v>0</v>
      </c>
      <c r="AN285" t="b">
        <f ca="1">OR(AND(IF(metadata!C285="",FALSE,TRUE),OR(EXACT(metadata!C285,"missing: not collected"),EXACT(metadata!C285,"missing: not provided"),EXACT(metadata!C285,"missing: restricted access"))),AND(IF(metadata!C285="",FALSE,TRUE),AND(AND(IFERROR(INT(LEFT(metadata!C285,4))&gt;1900,FALSE),IFERROR(INT(LEFT(metadata!C285,4))&lt;=YEAR(NOW()),FALSE)), OR(MID(metadata!C285,5,1)="", AND(AND(MID(metadata!C285,5,1)="-",IFERROR(INT(MID(metadata!C285,6,1))&gt;=0,FALSE),IFERROR(INT(MID(metadata!C285,6,1))&lt;=1,FALSE),NOT(MID(metadata!C285,7,1)=""),IFERROR(INT(MID(metadata!C285,6,2))&gt;=1,FALSE),IFERROR(INT(MID(metadata!C285,6,2))&lt;=12,FALSE)), OR(MID(metadata!C285,8,1)="", AND(AND(MID(metadata!C285,8,1)="-",IFERROR(INT(MID(metadata!C285,9,1))&gt;=0,FALSE),IFERROR(INT(MID(metadata!C285,9,1))&lt;=3,FALSE),NOT(MID(metadata!C285,10,1)=""),IFERROR(INT(MID(metadata!C285,9,2))&gt;=1,FALSE),IFERROR(INT(MID(metadata!C285,9,2))&lt;=31,FALSE)), OR(MID(metadata!C285,11,1)="", AND(AND(MID(metadata!C285,11,1)=" ",IFERROR(INT(MID(metadata!C285,12,1))&gt;=0,FALSE),IFERROR(INT(MID(metadata!C285,12,1))&lt;=2,FALSE),NOT(MID(metadata!C285,13,1)=""),IFERROR(INT(MID(metadata!C285,12,2))&gt;=0,FALSE),IFERROR(INT(MID(metadata!C285,12,2))&lt;=23,FALSE)), OR(MID(metadata!C285,14,1)="", AND(AND(MID(metadata!C285,14,1)=":",IFERROR(INT(MID(metadata!C285,15,1))&gt;=0,FALSE),IFERROR(INT(MID(metadata!C285,15,1))&lt;=5,FALSE),NOT(MID(metadata!C285,16,1)=""),IFERROR(INT(MID(metadata!C285,15,2))&gt;=0,FALSE),IFERROR(INT(MID(metadata!C285,15,2))&lt;=59,FALSE)), OR(MID(metadata!C285,17,1)="", AND(AND(MID(metadata!C285,17,1)=":",IFERROR(INT(MID(metadata!C285,18,1))&gt;=0,FALSE),IFERROR(INT(MID(metadata!C285,18,1))&lt;=5,FALSE),NOT(MID(metadata!C285,19,1)=""),IFERROR(INT(MID(metadata!C285,18,2))&gt;=0,FALSE),IFERROR(INT(MID(metadata!C285,18,2))&lt;=59,FALSE)), LEN(metadata!C285)&lt;=19)))))))))))))</f>
        <v>0</v>
      </c>
      <c r="AO285" t="b">
        <f>AND(IF(metadata!D285="",FALSE,TRUE),EXACT(metadata!D285,"Not applicable"))</f>
        <v>0</v>
      </c>
      <c r="AP285" t="b">
        <f>IF(metadata!E285="",FALSE,TRUE)</f>
        <v>0</v>
      </c>
      <c r="AQ285" t="b">
        <f>OR(AND(IF(metadata!F285="",FALSE,TRUE),OR(EXACT(metadata!F285,"missing: not collected"),EXACT(metadata!F285,"missing: not provided"))),AND(IF(metadata!F285="",FALSE,TRUE),OR(EXACT(metadata!F285,"TRUE"),EXACT(metadata!F285,"FALSE"))))</f>
        <v>0</v>
      </c>
      <c r="AR285" t="b">
        <f>OR(AND(IF(metadata!G285="",FALSE,TRUE),OR(EXACT(metadata!G285,"missing: not collected"),EXACT(metadata!G285,"missing: not provided"),EXACT(metadata!G285,"missing: restricted access"))),AND(IF(metadata!G285="",FALSE,ISNUMBER(VALUE(metadata!G285))),metadata!G285&gt;=-413))</f>
        <v>0</v>
      </c>
      <c r="AS285" t="b">
        <f>AND(IF(metadata!H285="",FALSE,TRUE),EXACT(metadata!H285,"meters"))</f>
        <v>0</v>
      </c>
      <c r="AT285" t="b">
        <f>AND(IF(metadata!I285="",FALSE,TRUE),OR(EXACT(metadata!I285,"Host-associated"),EXACT(metadata!I285,"Free-living")))</f>
        <v>0</v>
      </c>
      <c r="AU285" t="b">
        <f>AND(IF(metadata!J285="",FALSE,TRUE),OR(EXACT(metadata!J285,"Animal"),EXACT(metadata!J285,"Fungus"),EXACT(metadata!J285,"Plant"),EXACT(metadata!J285,"Saline"),EXACT(metadata!J285,"Non-saline")))</f>
        <v>0</v>
      </c>
      <c r="AV285" t="b">
        <f>AND(IF(metadata!K285="",FALSE,TRUE),OR(EXACT(metadata!K285,"Plant secretion"),EXACT(metadata!K285,"Plant rhizosphere"),EXACT(metadata!K285,"Plant surface"),EXACT(metadata!K285,"Plant corpus"),EXACT(metadata!K285,"Fungus surface"),EXACT(metadata!K285,"Fungus corpus"),EXACT(metadata!K285,"Animal surface"),EXACT(metadata!K285,"Animal proximal gut"),EXACT(metadata!K285,"Animal corpus"),EXACT(metadata!K285,"Animal distal gut"),EXACT(metadata!K285,"Animal secretion"),EXACT(metadata!K285,"Sub-surface (non-saline)"),EXACT(metadata!K285,"Surface (non-saline)"),EXACT(metadata!K285,"Water (non-saline)"),EXACT(metadata!K285,"Soil (non-saline)"),EXACT(metadata!K285,"Aerosol (non-saline)"),EXACT(metadata!K285,"Sediment (non-saline)"),EXACT(metadata!K285,"Surface (saline)"),EXACT(metadata!K285,"Water (saline)"),EXACT(metadata!K285,"Hypersaline (saline)"),EXACT(metadata!K285,"Aerosol (saline)"),EXACT(metadata!K285,"Sediment (saline)")))</f>
        <v>0</v>
      </c>
      <c r="AW285" t="b">
        <f>IF(metadata!L285="",FALSE,TRUE)</f>
        <v>0</v>
      </c>
      <c r="AX285" t="b">
        <f>IF(metadata!M285="",FALSE,TRUE)</f>
        <v>0</v>
      </c>
      <c r="AY285" t="b">
        <f>IF(metadata!N285="",FALSE,TRUE)</f>
        <v>0</v>
      </c>
      <c r="AZ285" t="b">
        <f>OR(AND(IF(metadata!O285="",FALSE,TRUE),OR(EXACT(metadata!O285,"missing: not collected"),EXACT(metadata!O285,"missing: not provided"),EXACT(metadata!O285,"missing: restricted access"))),AND(IF(metadata!O285="",FALSE,TRUE),OR(EXACT(metadata!O285,"air"),EXACT(metadata!O285,"built environment"),EXACT(metadata!O285,"host-associated"),EXACT(metadata!O285,"human-associated"),EXACT(metadata!O285,"human-skin"),EXACT(metadata!O285,"human-oral"),EXACT(metadata!O285,"human-gut"),EXACT(metadata!O285,"human-vaginal"),EXACT(metadata!O285,"microbial mat/biofilm"),EXACT(metadata!O285,"misc environment"),EXACT(metadata!O285,"plant-associated"),EXACT(metadata!O285,"sediment"),EXACT(metadata!O285,"soil"),EXACT(metadata!O285,"wastewater/sludge"),EXACT(metadata!O285,"water"))))</f>
        <v>0</v>
      </c>
      <c r="BA285" t="b">
        <f>IF(metadata!P285="",FALSE,TRUE)</f>
        <v>0</v>
      </c>
      <c r="BB285" t="b">
        <f>IF(metadata!Q285="",FALSE,TRUE)</f>
        <v>0</v>
      </c>
      <c r="BC285" t="b">
        <f>OR(AND(IF(metadata!R285="",FALSE,TRUE),OR(EXACT(metadata!R285,"missing: not collected"),EXACT(metadata!R285,"missing: not provided"),EXACT(metadata!R285,"missing: restricted access"))),AND(IF(metadata!R285="",FALSE,ISNUMBER(VALUE(metadata!R285))),metadata!R285&gt;=-90,metadata!R285&lt;=90))</f>
        <v>0</v>
      </c>
      <c r="BD285" t="b">
        <f>AND(IF(metadata!S285="",FALSE,TRUE),EXACT(metadata!S285,"Decimal degrees"))</f>
        <v>0</v>
      </c>
      <c r="BE285" t="b">
        <f>OR(AND(IF(metadata!T285="",FALSE,TRUE),OR(EXACT(metadata!T285,"missing: not collected"),EXACT(metadata!T285,"missing: not provided"),EXACT(metadata!T285,"missing: restricted access"))),AND(IF(metadata!T285="",FALSE,ISNUMBER(VALUE(metadata!T285))),metadata!T285&gt;=-180,metadata!T285&lt;=180))</f>
        <v>0</v>
      </c>
      <c r="BF285" t="b">
        <f>AND(IF(metadata!U285="",FALSE,TRUE),EXACT(metadata!U285,"Decimal degrees"))</f>
        <v>0</v>
      </c>
      <c r="BG285" t="b">
        <f>IF(metadata!V285="",FALSE,TRUE)</f>
        <v>0</v>
      </c>
      <c r="BH285" t="b">
        <f>OR(AND(IF(metadata!W285="",FALSE,TRUE),OR(EXACT(metadata!W285,"missing: not collected"),EXACT(metadata!W285,"missing: not provided"),EXACT(metadata!W285,"missing: restricted access"))),AND(IF(metadata!W285="",FALSE,TRUE),OR(EXACT(metadata!W285,"TRUE"),EXACT(metadata!W285,"FALSE"))))</f>
        <v>0</v>
      </c>
      <c r="BI285" t="b">
        <f>AND(IF(metadata!X285="",FALSE,TRUE),EXACT(metadata!X285,"other"))</f>
        <v>0</v>
      </c>
      <c r="BJ285" t="b">
        <f>IF(metadata!Y285="",FALSE,TRUE)</f>
        <v>0</v>
      </c>
      <c r="BK285" t="b">
        <f>OR(AND(IF(metadata!Z285="",FALSE,TRUE),OR(EXACT(metadata!Z285,"missing: not collected"),EXACT(metadata!Z285,"missing: not provided"))),AND(IF(metadata!Z285="",FALSE,IF(ISERROR(INT(metadata!Z285)),FALSE,INT(metadata!Z285)=metadata!Z285)),metadata!Z285&gt;0))</f>
        <v>0</v>
      </c>
      <c r="BL285" t="b">
        <f>AND(IF(metadata!AA285="",FALSE,TRUE),EXACT(metadata!AA285,"Not applicable"))</f>
        <v>0</v>
      </c>
      <c r="BM285" t="b">
        <f>IF(metadata!AB285="",FALSE,TRUE)</f>
        <v>0</v>
      </c>
    </row>
    <row r="286" spans="1:65" x14ac:dyDescent="0.2">
      <c r="A286" s="5" t="str">
        <f ca="1">IF(B286=" "," ",HYPERLINK(CONCATENATE("#metadata!",ADDRESS(INDEX($AH$2:$AH$1001,MATCH(ROWS($AF$2:AF286),$AF$2:$AF$1001,0),0),1)),INDEX($AK$2:$AK$1001,MATCH(ROWS($AF$2:AF286),$AF$2:$AF$1001,0),0)))</f>
        <v xml:space="preserve"> </v>
      </c>
      <c r="B286" s="4" t="str">
        <f ca="1">IF(OR(INDEX($AG$2:$AG$1001,MATCH(ROWS($AF$2:AF286),$AF$2:$AF$1001,0),1)&gt;=100000,INDEX($AM$1005:$BM$1005,1,MATCH(COLUMNS($AM$1006:AM1006),$AM$1006:$BM$1006,0))&gt;=100000), " ",IF(INDEX($AM$2:$BM$1001,MATCH(ROWS($AF$2:AF286),$AF$2:$AF$1001,0),MATCH(COLUMNS($AM$1006:AM1006),$AM$1006:$BM$1006,0)), HYPERLINK("#",""), HYPERLINK(CONCATENATE("#metadata!", ADDRESS(INDEX($AH$2:$AH$1001,MATCH(ROWS($AF$2:AF286),$AF$2:$AF$1001,0),0), INDEX($AM$1004:$BM$1004,1,MATCH(COLUMNS($AM$1006:AM1006),$AM$1006:$BM$1006,0)))),"Fix")))</f>
        <v xml:space="preserve"> </v>
      </c>
      <c r="C286" s="4" t="str">
        <f ca="1">IF(OR(INDEX($AG$2:$AG$1001,MATCH(ROWS($AF$2:AF286),$AF$2:$AF$1001,0),1)&gt;=100000,INDEX($AM$1005:$BM$1005,1,MATCH(COLUMNS($AM$1006:AN1006),$AM$1006:$BM$1006,0))&gt;=100000), " ",IF(INDEX($AM$2:$BM$1001,MATCH(ROWS($AF$2:AF286),$AF$2:$AF$1001,0),MATCH(COLUMNS($AM$1006:AN1006),$AM$1006:$BM$1006,0)), HYPERLINK("#",""), HYPERLINK(CONCATENATE("#metadata!", ADDRESS(INDEX($AH$2:$AH$1001,MATCH(ROWS($AF$2:AF286),$AF$2:$AF$1001,0),0), INDEX($AM$1004:$BM$1004,1,MATCH(COLUMNS($AM$1006:AN1006),$AM$1006:$BM$1006,0)))),"Fix")))</f>
        <v xml:space="preserve"> </v>
      </c>
      <c r="D286" s="4" t="str">
        <f ca="1">IF(OR(INDEX($AG$2:$AG$1001,MATCH(ROWS($AF$2:AF286),$AF$2:$AF$1001,0),1)&gt;=100000,INDEX($AM$1005:$BM$1005,1,MATCH(COLUMNS($AM$1006:AO1006),$AM$1006:$BM$1006,0))&gt;=100000), " ",IF(INDEX($AM$2:$BM$1001,MATCH(ROWS($AF$2:AF286),$AF$2:$AF$1001,0),MATCH(COLUMNS($AM$1006:AO1006),$AM$1006:$BM$1006,0)), HYPERLINK("#",""), HYPERLINK(CONCATENATE("#metadata!", ADDRESS(INDEX($AH$2:$AH$1001,MATCH(ROWS($AF$2:AF286),$AF$2:$AF$1001,0),0), INDEX($AM$1004:$BM$1004,1,MATCH(COLUMNS($AM$1006:AO1006),$AM$1006:$BM$1006,0)))),"Fix")))</f>
        <v xml:space="preserve"> </v>
      </c>
      <c r="E286" s="4" t="str">
        <f ca="1">IF(OR(INDEX($AG$2:$AG$1001,MATCH(ROWS($AF$2:AF286),$AF$2:$AF$1001,0),1)&gt;=100000,INDEX($AM$1005:$BM$1005,1,MATCH(COLUMNS($AM$1006:AP1006),$AM$1006:$BM$1006,0))&gt;=100000), " ",IF(INDEX($AM$2:$BM$1001,MATCH(ROWS($AF$2:AF286),$AF$2:$AF$1001,0),MATCH(COLUMNS($AM$1006:AP1006),$AM$1006:$BM$1006,0)), HYPERLINK("#",""), HYPERLINK(CONCATENATE("#metadata!", ADDRESS(INDEX($AH$2:$AH$1001,MATCH(ROWS($AF$2:AF286),$AF$2:$AF$1001,0),0), INDEX($AM$1004:$BM$1004,1,MATCH(COLUMNS($AM$1006:AP1006),$AM$1006:$BM$1006,0)))),"Fix")))</f>
        <v xml:space="preserve"> </v>
      </c>
      <c r="F286" s="4" t="str">
        <f ca="1">IF(OR(INDEX($AG$2:$AG$1001,MATCH(ROWS($AF$2:AF286),$AF$2:$AF$1001,0),1)&gt;=100000,INDEX($AM$1005:$BM$1005,1,MATCH(COLUMNS($AM$1006:AQ1006),$AM$1006:$BM$1006,0))&gt;=100000), " ",IF(INDEX($AM$2:$BM$1001,MATCH(ROWS($AF$2:AF286),$AF$2:$AF$1001,0),MATCH(COLUMNS($AM$1006:AQ1006),$AM$1006:$BM$1006,0)), HYPERLINK("#",""), HYPERLINK(CONCATENATE("#metadata!", ADDRESS(INDEX($AH$2:$AH$1001,MATCH(ROWS($AF$2:AF286),$AF$2:$AF$1001,0),0), INDEX($AM$1004:$BM$1004,1,MATCH(COLUMNS($AM$1006:AQ1006),$AM$1006:$BM$1006,0)))),"Fix")))</f>
        <v xml:space="preserve"> </v>
      </c>
      <c r="G286" s="4" t="str">
        <f ca="1">IF(OR(INDEX($AG$2:$AG$1001,MATCH(ROWS($AF$2:AF286),$AF$2:$AF$1001,0),1)&gt;=100000,INDEX($AM$1005:$BM$1005,1,MATCH(COLUMNS($AM$1006:AR1006),$AM$1006:$BM$1006,0))&gt;=100000), " ",IF(INDEX($AM$2:$BM$1001,MATCH(ROWS($AF$2:AF286),$AF$2:$AF$1001,0),MATCH(COLUMNS($AM$1006:AR1006),$AM$1006:$BM$1006,0)), HYPERLINK("#",""), HYPERLINK(CONCATENATE("#metadata!", ADDRESS(INDEX($AH$2:$AH$1001,MATCH(ROWS($AF$2:AF286),$AF$2:$AF$1001,0),0), INDEX($AM$1004:$BM$1004,1,MATCH(COLUMNS($AM$1006:AR1006),$AM$1006:$BM$1006,0)))),"Fix")))</f>
        <v xml:space="preserve"> </v>
      </c>
      <c r="H286" s="4" t="str">
        <f ca="1">IF(OR(INDEX($AG$2:$AG$1001,MATCH(ROWS($AF$2:AF286),$AF$2:$AF$1001,0),1)&gt;=100000,INDEX($AM$1005:$BM$1005,1,MATCH(COLUMNS($AM$1006:AS1006),$AM$1006:$BM$1006,0))&gt;=100000), " ",IF(INDEX($AM$2:$BM$1001,MATCH(ROWS($AF$2:AF286),$AF$2:$AF$1001,0),MATCH(COLUMNS($AM$1006:AS1006),$AM$1006:$BM$1006,0)), HYPERLINK("#",""), HYPERLINK(CONCATENATE("#metadata!", ADDRESS(INDEX($AH$2:$AH$1001,MATCH(ROWS($AF$2:AF286),$AF$2:$AF$1001,0),0), INDEX($AM$1004:$BM$1004,1,MATCH(COLUMNS($AM$1006:AS1006),$AM$1006:$BM$1006,0)))),"Fix")))</f>
        <v xml:space="preserve"> </v>
      </c>
      <c r="I286" s="4" t="str">
        <f ca="1">IF(OR(INDEX($AG$2:$AG$1001,MATCH(ROWS($AF$2:AF286),$AF$2:$AF$1001,0),1)&gt;=100000,INDEX($AM$1005:$BM$1005,1,MATCH(COLUMNS($AM$1006:AT1006),$AM$1006:$BM$1006,0))&gt;=100000), " ",IF(INDEX($AM$2:$BM$1001,MATCH(ROWS($AF$2:AF286),$AF$2:$AF$1001,0),MATCH(COLUMNS($AM$1006:AT1006),$AM$1006:$BM$1006,0)), HYPERLINK("#",""), HYPERLINK(CONCATENATE("#metadata!", ADDRESS(INDEX($AH$2:$AH$1001,MATCH(ROWS($AF$2:AF286),$AF$2:$AF$1001,0),0), INDEX($AM$1004:$BM$1004,1,MATCH(COLUMNS($AM$1006:AT1006),$AM$1006:$BM$1006,0)))),"Fix")))</f>
        <v xml:space="preserve"> </v>
      </c>
      <c r="J286" s="4" t="str">
        <f ca="1">IF(OR(INDEX($AG$2:$AG$1001,MATCH(ROWS($AF$2:AF286),$AF$2:$AF$1001,0),1)&gt;=100000,INDEX($AM$1005:$BM$1005,1,MATCH(COLUMNS($AM$1006:AU1006),$AM$1006:$BM$1006,0))&gt;=100000), " ",IF(INDEX($AM$2:$BM$1001,MATCH(ROWS($AF$2:AF286),$AF$2:$AF$1001,0),MATCH(COLUMNS($AM$1006:AU1006),$AM$1006:$BM$1006,0)), HYPERLINK("#",""), HYPERLINK(CONCATENATE("#metadata!", ADDRESS(INDEX($AH$2:$AH$1001,MATCH(ROWS($AF$2:AF286),$AF$2:$AF$1001,0),0), INDEX($AM$1004:$BM$1004,1,MATCH(COLUMNS($AM$1006:AU1006),$AM$1006:$BM$1006,0)))),"Fix")))</f>
        <v xml:space="preserve"> </v>
      </c>
      <c r="K286" s="4" t="str">
        <f ca="1">IF(OR(INDEX($AG$2:$AG$1001,MATCH(ROWS($AF$2:AF286),$AF$2:$AF$1001,0),1)&gt;=100000,INDEX($AM$1005:$BM$1005,1,MATCH(COLUMNS($AM$1006:AV1006),$AM$1006:$BM$1006,0))&gt;=100000), " ",IF(INDEX($AM$2:$BM$1001,MATCH(ROWS($AF$2:AF286),$AF$2:$AF$1001,0),MATCH(COLUMNS($AM$1006:AV1006),$AM$1006:$BM$1006,0)), HYPERLINK("#",""), HYPERLINK(CONCATENATE("#metadata!", ADDRESS(INDEX($AH$2:$AH$1001,MATCH(ROWS($AF$2:AF286),$AF$2:$AF$1001,0),0), INDEX($AM$1004:$BM$1004,1,MATCH(COLUMNS($AM$1006:AV1006),$AM$1006:$BM$1006,0)))),"Fix")))</f>
        <v xml:space="preserve"> </v>
      </c>
      <c r="L286" s="4" t="str">
        <f ca="1">IF(OR(INDEX($AG$2:$AG$1001,MATCH(ROWS($AF$2:AF286),$AF$2:$AF$1001,0),1)&gt;=100000,INDEX($AM$1005:$BM$1005,1,MATCH(COLUMNS($AM$1006:AW1006),$AM$1006:$BM$1006,0))&gt;=100000), " ",IF(INDEX($AM$2:$BM$1001,MATCH(ROWS($AF$2:AF286),$AF$2:$AF$1001,0),MATCH(COLUMNS($AM$1006:AW1006),$AM$1006:$BM$1006,0)), HYPERLINK("#",""), HYPERLINK(CONCATENATE("#metadata!", ADDRESS(INDEX($AH$2:$AH$1001,MATCH(ROWS($AF$2:AF286),$AF$2:$AF$1001,0),0), INDEX($AM$1004:$BM$1004,1,MATCH(COLUMNS($AM$1006:AW1006),$AM$1006:$BM$1006,0)))),"Fix")))</f>
        <v xml:space="preserve"> </v>
      </c>
      <c r="M286" s="4" t="str">
        <f ca="1">IF(OR(INDEX($AG$2:$AG$1001,MATCH(ROWS($AF$2:AF286),$AF$2:$AF$1001,0),1)&gt;=100000,INDEX($AM$1005:$BM$1005,1,MATCH(COLUMNS($AM$1006:AX1006),$AM$1006:$BM$1006,0))&gt;=100000), " ",IF(INDEX($AM$2:$BM$1001,MATCH(ROWS($AF$2:AF286),$AF$2:$AF$1001,0),MATCH(COLUMNS($AM$1006:AX1006),$AM$1006:$BM$1006,0)), HYPERLINK("#",""), HYPERLINK(CONCATENATE("#metadata!", ADDRESS(INDEX($AH$2:$AH$1001,MATCH(ROWS($AF$2:AF286),$AF$2:$AF$1001,0),0), INDEX($AM$1004:$BM$1004,1,MATCH(COLUMNS($AM$1006:AX1006),$AM$1006:$BM$1006,0)))),"Fix")))</f>
        <v xml:space="preserve"> </v>
      </c>
      <c r="N286" s="4" t="str">
        <f ca="1">IF(OR(INDEX($AG$2:$AG$1001,MATCH(ROWS($AF$2:AF286),$AF$2:$AF$1001,0),1)&gt;=100000,INDEX($AM$1005:$BM$1005,1,MATCH(COLUMNS($AM$1006:AY1006),$AM$1006:$BM$1006,0))&gt;=100000), " ",IF(INDEX($AM$2:$BM$1001,MATCH(ROWS($AF$2:AF286),$AF$2:$AF$1001,0),MATCH(COLUMNS($AM$1006:AY1006),$AM$1006:$BM$1006,0)), HYPERLINK("#",""), HYPERLINK(CONCATENATE("#metadata!", ADDRESS(INDEX($AH$2:$AH$1001,MATCH(ROWS($AF$2:AF286),$AF$2:$AF$1001,0),0), INDEX($AM$1004:$BM$1004,1,MATCH(COLUMNS($AM$1006:AY1006),$AM$1006:$BM$1006,0)))),"Fix")))</f>
        <v xml:space="preserve"> </v>
      </c>
      <c r="O286" s="4" t="str">
        <f ca="1">IF(OR(INDEX($AG$2:$AG$1001,MATCH(ROWS($AF$2:AF286),$AF$2:$AF$1001,0),1)&gt;=100000,INDEX($AM$1005:$BM$1005,1,MATCH(COLUMNS($AM$1006:AZ1006),$AM$1006:$BM$1006,0))&gt;=100000), " ",IF(INDEX($AM$2:$BM$1001,MATCH(ROWS($AF$2:AF286),$AF$2:$AF$1001,0),MATCH(COLUMNS($AM$1006:AZ1006),$AM$1006:$BM$1006,0)), HYPERLINK("#",""), HYPERLINK(CONCATENATE("#metadata!", ADDRESS(INDEX($AH$2:$AH$1001,MATCH(ROWS($AF$2:AF286),$AF$2:$AF$1001,0),0), INDEX($AM$1004:$BM$1004,1,MATCH(COLUMNS($AM$1006:AZ1006),$AM$1006:$BM$1006,0)))),"Fix")))</f>
        <v xml:space="preserve"> </v>
      </c>
      <c r="P286" s="4" t="str">
        <f ca="1">IF(OR(INDEX($AG$2:$AG$1001,MATCH(ROWS($AF$2:AF286),$AF$2:$AF$1001,0),1)&gt;=100000,INDEX($AM$1005:$BM$1005,1,MATCH(COLUMNS($AM$1006:BA1006),$AM$1006:$BM$1006,0))&gt;=100000), " ",IF(INDEX($AM$2:$BM$1001,MATCH(ROWS($AF$2:AF286),$AF$2:$AF$1001,0),MATCH(COLUMNS($AM$1006:BA1006),$AM$1006:$BM$1006,0)), HYPERLINK("#",""), HYPERLINK(CONCATENATE("#metadata!", ADDRESS(INDEX($AH$2:$AH$1001,MATCH(ROWS($AF$2:AF286),$AF$2:$AF$1001,0),0), INDEX($AM$1004:$BM$1004,1,MATCH(COLUMNS($AM$1006:BA1006),$AM$1006:$BM$1006,0)))),"Fix")))</f>
        <v xml:space="preserve"> </v>
      </c>
      <c r="Q286" s="4" t="str">
        <f ca="1">IF(OR(INDEX($AG$2:$AG$1001,MATCH(ROWS($AF$2:AF286),$AF$2:$AF$1001,0),1)&gt;=100000,INDEX($AM$1005:$BM$1005,1,MATCH(COLUMNS($AM$1006:BB1006),$AM$1006:$BM$1006,0))&gt;=100000), " ",IF(INDEX($AM$2:$BM$1001,MATCH(ROWS($AF$2:AF286),$AF$2:$AF$1001,0),MATCH(COLUMNS($AM$1006:BB1006),$AM$1006:$BM$1006,0)), HYPERLINK("#",""), HYPERLINK(CONCATENATE("#metadata!", ADDRESS(INDEX($AH$2:$AH$1001,MATCH(ROWS($AF$2:AF286),$AF$2:$AF$1001,0),0), INDEX($AM$1004:$BM$1004,1,MATCH(COLUMNS($AM$1006:BB1006),$AM$1006:$BM$1006,0)))),"Fix")))</f>
        <v xml:space="preserve"> </v>
      </c>
      <c r="R286" s="4" t="str">
        <f ca="1">IF(OR(INDEX($AG$2:$AG$1001,MATCH(ROWS($AF$2:AF286),$AF$2:$AF$1001,0),1)&gt;=100000,INDEX($AM$1005:$BM$1005,1,MATCH(COLUMNS($AM$1006:BC1006),$AM$1006:$BM$1006,0))&gt;=100000), " ",IF(INDEX($AM$2:$BM$1001,MATCH(ROWS($AF$2:AF286),$AF$2:$AF$1001,0),MATCH(COLUMNS($AM$1006:BC1006),$AM$1006:$BM$1006,0)), HYPERLINK("#",""), HYPERLINK(CONCATENATE("#metadata!", ADDRESS(INDEX($AH$2:$AH$1001,MATCH(ROWS($AF$2:AF286),$AF$2:$AF$1001,0),0), INDEX($AM$1004:$BM$1004,1,MATCH(COLUMNS($AM$1006:BC1006),$AM$1006:$BM$1006,0)))),"Fix")))</f>
        <v xml:space="preserve"> </v>
      </c>
      <c r="S286" s="4" t="str">
        <f ca="1">IF(OR(INDEX($AG$2:$AG$1001,MATCH(ROWS($AF$2:AF286),$AF$2:$AF$1001,0),1)&gt;=100000,INDEX($AM$1005:$BM$1005,1,MATCH(COLUMNS($AM$1006:BD1006),$AM$1006:$BM$1006,0))&gt;=100000), " ",IF(INDEX($AM$2:$BM$1001,MATCH(ROWS($AF$2:AF286),$AF$2:$AF$1001,0),MATCH(COLUMNS($AM$1006:BD1006),$AM$1006:$BM$1006,0)), HYPERLINK("#",""), HYPERLINK(CONCATENATE("#metadata!", ADDRESS(INDEX($AH$2:$AH$1001,MATCH(ROWS($AF$2:AF286),$AF$2:$AF$1001,0),0), INDEX($AM$1004:$BM$1004,1,MATCH(COLUMNS($AM$1006:BD1006),$AM$1006:$BM$1006,0)))),"Fix")))</f>
        <v xml:space="preserve"> </v>
      </c>
      <c r="T286" s="4" t="str">
        <f ca="1">IF(OR(INDEX($AG$2:$AG$1001,MATCH(ROWS($AF$2:AF286),$AF$2:$AF$1001,0),1)&gt;=100000,INDEX($AM$1005:$BM$1005,1,MATCH(COLUMNS($AM$1006:BE1006),$AM$1006:$BM$1006,0))&gt;=100000), " ",IF(INDEX($AM$2:$BM$1001,MATCH(ROWS($AF$2:AF286),$AF$2:$AF$1001,0),MATCH(COLUMNS($AM$1006:BE1006),$AM$1006:$BM$1006,0)), HYPERLINK("#",""), HYPERLINK(CONCATENATE("#metadata!", ADDRESS(INDEX($AH$2:$AH$1001,MATCH(ROWS($AF$2:AF286),$AF$2:$AF$1001,0),0), INDEX($AM$1004:$BM$1004,1,MATCH(COLUMNS($AM$1006:BE1006),$AM$1006:$BM$1006,0)))),"Fix")))</f>
        <v xml:space="preserve"> </v>
      </c>
      <c r="U286" s="4" t="str">
        <f ca="1">IF(OR(INDEX($AG$2:$AG$1001,MATCH(ROWS($AF$2:AF286),$AF$2:$AF$1001,0),1)&gt;=100000,INDEX($AM$1005:$BM$1005,1,MATCH(COLUMNS($AM$1006:BF1006),$AM$1006:$BM$1006,0))&gt;=100000), " ",IF(INDEX($AM$2:$BM$1001,MATCH(ROWS($AF$2:AF286),$AF$2:$AF$1001,0),MATCH(COLUMNS($AM$1006:BF1006),$AM$1006:$BM$1006,0)), HYPERLINK("#",""), HYPERLINK(CONCATENATE("#metadata!", ADDRESS(INDEX($AH$2:$AH$1001,MATCH(ROWS($AF$2:AF286),$AF$2:$AF$1001,0),0), INDEX($AM$1004:$BM$1004,1,MATCH(COLUMNS($AM$1006:BF1006),$AM$1006:$BM$1006,0)))),"Fix")))</f>
        <v xml:space="preserve"> </v>
      </c>
      <c r="V286" s="4" t="str">
        <f ca="1">IF(OR(INDEX($AG$2:$AG$1001,MATCH(ROWS($AF$2:AF286),$AF$2:$AF$1001,0),1)&gt;=100000,INDEX($AM$1005:$BM$1005,1,MATCH(COLUMNS($AM$1006:BG1006),$AM$1006:$BM$1006,0))&gt;=100000), " ",IF(INDEX($AM$2:$BM$1001,MATCH(ROWS($AF$2:AF286),$AF$2:$AF$1001,0),MATCH(COLUMNS($AM$1006:BG1006),$AM$1006:$BM$1006,0)), HYPERLINK("#",""), HYPERLINK(CONCATENATE("#metadata!", ADDRESS(INDEX($AH$2:$AH$1001,MATCH(ROWS($AF$2:AF286),$AF$2:$AF$1001,0),0), INDEX($AM$1004:$BM$1004,1,MATCH(COLUMNS($AM$1006:BG1006),$AM$1006:$BM$1006,0)))),"Fix")))</f>
        <v xml:space="preserve"> </v>
      </c>
      <c r="W286" s="4" t="str">
        <f ca="1">IF(OR(INDEX($AG$2:$AG$1001,MATCH(ROWS($AF$2:AF286),$AF$2:$AF$1001,0),1)&gt;=100000,INDEX($AM$1005:$BM$1005,1,MATCH(COLUMNS($AM$1006:BH1006),$AM$1006:$BM$1006,0))&gt;=100000), " ",IF(INDEX($AM$2:$BM$1001,MATCH(ROWS($AF$2:AF286),$AF$2:$AF$1001,0),MATCH(COLUMNS($AM$1006:BH1006),$AM$1006:$BM$1006,0)), HYPERLINK("#",""), HYPERLINK(CONCATENATE("#metadata!", ADDRESS(INDEX($AH$2:$AH$1001,MATCH(ROWS($AF$2:AF286),$AF$2:$AF$1001,0),0), INDEX($AM$1004:$BM$1004,1,MATCH(COLUMNS($AM$1006:BH1006),$AM$1006:$BM$1006,0)))),"Fix")))</f>
        <v xml:space="preserve"> </v>
      </c>
      <c r="X286" s="4" t="str">
        <f ca="1">IF(OR(INDEX($AG$2:$AG$1001,MATCH(ROWS($AF$2:AF286),$AF$2:$AF$1001,0),1)&gt;=100000,INDEX($AM$1005:$BM$1005,1,MATCH(COLUMNS($AM$1006:BI1006),$AM$1006:$BM$1006,0))&gt;=100000), " ",IF(INDEX($AM$2:$BM$1001,MATCH(ROWS($AF$2:AF286),$AF$2:$AF$1001,0),MATCH(COLUMNS($AM$1006:BI1006),$AM$1006:$BM$1006,0)), HYPERLINK("#",""), HYPERLINK(CONCATENATE("#metadata!", ADDRESS(INDEX($AH$2:$AH$1001,MATCH(ROWS($AF$2:AF286),$AF$2:$AF$1001,0),0), INDEX($AM$1004:$BM$1004,1,MATCH(COLUMNS($AM$1006:BI1006),$AM$1006:$BM$1006,0)))),"Fix")))</f>
        <v xml:space="preserve"> </v>
      </c>
      <c r="Y286" s="4" t="str">
        <f ca="1">IF(OR(INDEX($AG$2:$AG$1001,MATCH(ROWS($AF$2:AF286),$AF$2:$AF$1001,0),1)&gt;=100000,INDEX($AM$1005:$BM$1005,1,MATCH(COLUMNS($AM$1006:BJ1006),$AM$1006:$BM$1006,0))&gt;=100000), " ",IF(INDEX($AM$2:$BM$1001,MATCH(ROWS($AF$2:AF286),$AF$2:$AF$1001,0),MATCH(COLUMNS($AM$1006:BJ1006),$AM$1006:$BM$1006,0)), HYPERLINK("#",""), HYPERLINK(CONCATENATE("#metadata!", ADDRESS(INDEX($AH$2:$AH$1001,MATCH(ROWS($AF$2:AF286),$AF$2:$AF$1001,0),0), INDEX($AM$1004:$BM$1004,1,MATCH(COLUMNS($AM$1006:BJ1006),$AM$1006:$BM$1006,0)))),"Fix")))</f>
        <v xml:space="preserve"> </v>
      </c>
      <c r="Z286" s="4" t="str">
        <f ca="1">IF(OR(INDEX($AG$2:$AG$1001,MATCH(ROWS($AF$2:AF286),$AF$2:$AF$1001,0),1)&gt;=100000,INDEX($AM$1005:$BM$1005,1,MATCH(COLUMNS($AM$1006:BK1006),$AM$1006:$BM$1006,0))&gt;=100000), " ",IF(INDEX($AM$2:$BM$1001,MATCH(ROWS($AF$2:AF286),$AF$2:$AF$1001,0),MATCH(COLUMNS($AM$1006:BK1006),$AM$1006:$BM$1006,0)), HYPERLINK("#",""), HYPERLINK(CONCATENATE("#metadata!", ADDRESS(INDEX($AH$2:$AH$1001,MATCH(ROWS($AF$2:AF286),$AF$2:$AF$1001,0),0), INDEX($AM$1004:$BM$1004,1,MATCH(COLUMNS($AM$1006:BK1006),$AM$1006:$BM$1006,0)))),"Fix")))</f>
        <v xml:space="preserve"> </v>
      </c>
      <c r="AA286" s="4" t="str">
        <f ca="1">IF(OR(INDEX($AG$2:$AG$1001,MATCH(ROWS($AF$2:AF286),$AF$2:$AF$1001,0),1)&gt;=100000,INDEX($AM$1005:$BM$1005,1,MATCH(COLUMNS($AM$1006:BL1006),$AM$1006:$BM$1006,0))&gt;=100000), " ",IF(INDEX($AM$2:$BM$1001,MATCH(ROWS($AF$2:AF286),$AF$2:$AF$1001,0),MATCH(COLUMNS($AM$1006:BL1006),$AM$1006:$BM$1006,0)), HYPERLINK("#",""), HYPERLINK(CONCATENATE("#metadata!", ADDRESS(INDEX($AH$2:$AH$1001,MATCH(ROWS($AF$2:AF286),$AF$2:$AF$1001,0),0), INDEX($AM$1004:$BM$1004,1,MATCH(COLUMNS($AM$1006:BL1006),$AM$1006:$BM$1006,0)))),"Fix")))</f>
        <v xml:space="preserve"> </v>
      </c>
      <c r="AB286" s="4" t="str">
        <f ca="1">IF(OR(INDEX($AG$2:$AG$1001,MATCH(ROWS($AF$2:AF286),$AF$2:$AF$1001,0),1)&gt;=100000,INDEX($AM$1005:$BM$1005,1,MATCH(COLUMNS($AM$1006:BM1006),$AM$1006:$BM$1006,0))&gt;=100000), " ",IF(INDEX($AM$2:$BM$1001,MATCH(ROWS($AF$2:AF286),$AF$2:$AF$1001,0),MATCH(COLUMNS($AM$1006:BM1006),$AM$1006:$BM$1006,0)), HYPERLINK("#",""), HYPERLINK(CONCATENATE("#metadata!", ADDRESS(INDEX($AH$2:$AH$1001,MATCH(ROWS($AF$2:AF286),$AF$2:$AF$1001,0),0), INDEX($AM$1004:$BM$1004,1,MATCH(COLUMNS($AM$1006:BM1006),$AM$1006:$BM$1006,0)))),"Fix")))</f>
        <v xml:space="preserve"> </v>
      </c>
      <c r="AF286">
        <v>285</v>
      </c>
      <c r="AG286">
        <v>100286</v>
      </c>
      <c r="AH286">
        <v>286</v>
      </c>
      <c r="AI286" t="b">
        <f t="shared" si="4"/>
        <v>1</v>
      </c>
      <c r="AJ286" t="b">
        <f>COUNTBLANK(metadata!B286:AB286)=COLUMNS(metadata!B286:AB286)</f>
        <v>1</v>
      </c>
      <c r="AK286" t="str">
        <v/>
      </c>
      <c r="AM286" t="b">
        <f ca="1">AND(IF(metadata!B286="",FALSE,TRUE),COUNTIF(metadata!B:B, metadata!B286) = 1,NOT(ISERROR(SUMPRODUCT(SEARCH(MID(metadata!B286,ROW(INDIRECT("1:"&amp;LEN(metadata!B286))), 1),"0123456789abcdefghijklmnopqrstuvwxyzABCDEFGHIJKLMNOPQRSTUVWXYZ.")))))</f>
        <v>0</v>
      </c>
      <c r="AN286" t="b">
        <f ca="1">OR(AND(IF(metadata!C286="",FALSE,TRUE),OR(EXACT(metadata!C286,"missing: not collected"),EXACT(metadata!C286,"missing: not provided"),EXACT(metadata!C286,"missing: restricted access"))),AND(IF(metadata!C286="",FALSE,TRUE),AND(AND(IFERROR(INT(LEFT(metadata!C286,4))&gt;1900,FALSE),IFERROR(INT(LEFT(metadata!C286,4))&lt;=YEAR(NOW()),FALSE)), OR(MID(metadata!C286,5,1)="", AND(AND(MID(metadata!C286,5,1)="-",IFERROR(INT(MID(metadata!C286,6,1))&gt;=0,FALSE),IFERROR(INT(MID(metadata!C286,6,1))&lt;=1,FALSE),NOT(MID(metadata!C286,7,1)=""),IFERROR(INT(MID(metadata!C286,6,2))&gt;=1,FALSE),IFERROR(INT(MID(metadata!C286,6,2))&lt;=12,FALSE)), OR(MID(metadata!C286,8,1)="", AND(AND(MID(metadata!C286,8,1)="-",IFERROR(INT(MID(metadata!C286,9,1))&gt;=0,FALSE),IFERROR(INT(MID(metadata!C286,9,1))&lt;=3,FALSE),NOT(MID(metadata!C286,10,1)=""),IFERROR(INT(MID(metadata!C286,9,2))&gt;=1,FALSE),IFERROR(INT(MID(metadata!C286,9,2))&lt;=31,FALSE)), OR(MID(metadata!C286,11,1)="", AND(AND(MID(metadata!C286,11,1)=" ",IFERROR(INT(MID(metadata!C286,12,1))&gt;=0,FALSE),IFERROR(INT(MID(metadata!C286,12,1))&lt;=2,FALSE),NOT(MID(metadata!C286,13,1)=""),IFERROR(INT(MID(metadata!C286,12,2))&gt;=0,FALSE),IFERROR(INT(MID(metadata!C286,12,2))&lt;=23,FALSE)), OR(MID(metadata!C286,14,1)="", AND(AND(MID(metadata!C286,14,1)=":",IFERROR(INT(MID(metadata!C286,15,1))&gt;=0,FALSE),IFERROR(INT(MID(metadata!C286,15,1))&lt;=5,FALSE),NOT(MID(metadata!C286,16,1)=""),IFERROR(INT(MID(metadata!C286,15,2))&gt;=0,FALSE),IFERROR(INT(MID(metadata!C286,15,2))&lt;=59,FALSE)), OR(MID(metadata!C286,17,1)="", AND(AND(MID(metadata!C286,17,1)=":",IFERROR(INT(MID(metadata!C286,18,1))&gt;=0,FALSE),IFERROR(INT(MID(metadata!C286,18,1))&lt;=5,FALSE),NOT(MID(metadata!C286,19,1)=""),IFERROR(INT(MID(metadata!C286,18,2))&gt;=0,FALSE),IFERROR(INT(MID(metadata!C286,18,2))&lt;=59,FALSE)), LEN(metadata!C286)&lt;=19)))))))))))))</f>
        <v>0</v>
      </c>
      <c r="AO286" t="b">
        <f>AND(IF(metadata!D286="",FALSE,TRUE),EXACT(metadata!D286,"Not applicable"))</f>
        <v>0</v>
      </c>
      <c r="AP286" t="b">
        <f>IF(metadata!E286="",FALSE,TRUE)</f>
        <v>0</v>
      </c>
      <c r="AQ286" t="b">
        <f>OR(AND(IF(metadata!F286="",FALSE,TRUE),OR(EXACT(metadata!F286,"missing: not collected"),EXACT(metadata!F286,"missing: not provided"))),AND(IF(metadata!F286="",FALSE,TRUE),OR(EXACT(metadata!F286,"TRUE"),EXACT(metadata!F286,"FALSE"))))</f>
        <v>0</v>
      </c>
      <c r="AR286" t="b">
        <f>OR(AND(IF(metadata!G286="",FALSE,TRUE),OR(EXACT(metadata!G286,"missing: not collected"),EXACT(metadata!G286,"missing: not provided"),EXACT(metadata!G286,"missing: restricted access"))),AND(IF(metadata!G286="",FALSE,ISNUMBER(VALUE(metadata!G286))),metadata!G286&gt;=-413))</f>
        <v>0</v>
      </c>
      <c r="AS286" t="b">
        <f>AND(IF(metadata!H286="",FALSE,TRUE),EXACT(metadata!H286,"meters"))</f>
        <v>0</v>
      </c>
      <c r="AT286" t="b">
        <f>AND(IF(metadata!I286="",FALSE,TRUE),OR(EXACT(metadata!I286,"Host-associated"),EXACT(metadata!I286,"Free-living")))</f>
        <v>0</v>
      </c>
      <c r="AU286" t="b">
        <f>AND(IF(metadata!J286="",FALSE,TRUE),OR(EXACT(metadata!J286,"Animal"),EXACT(metadata!J286,"Fungus"),EXACT(metadata!J286,"Plant"),EXACT(metadata!J286,"Saline"),EXACT(metadata!J286,"Non-saline")))</f>
        <v>0</v>
      </c>
      <c r="AV286" t="b">
        <f>AND(IF(metadata!K286="",FALSE,TRUE),OR(EXACT(metadata!K286,"Plant secretion"),EXACT(metadata!K286,"Plant rhizosphere"),EXACT(metadata!K286,"Plant surface"),EXACT(metadata!K286,"Plant corpus"),EXACT(metadata!K286,"Fungus surface"),EXACT(metadata!K286,"Fungus corpus"),EXACT(metadata!K286,"Animal surface"),EXACT(metadata!K286,"Animal proximal gut"),EXACT(metadata!K286,"Animal corpus"),EXACT(metadata!K286,"Animal distal gut"),EXACT(metadata!K286,"Animal secretion"),EXACT(metadata!K286,"Sub-surface (non-saline)"),EXACT(metadata!K286,"Surface (non-saline)"),EXACT(metadata!K286,"Water (non-saline)"),EXACT(metadata!K286,"Soil (non-saline)"),EXACT(metadata!K286,"Aerosol (non-saline)"),EXACT(metadata!K286,"Sediment (non-saline)"),EXACT(metadata!K286,"Surface (saline)"),EXACT(metadata!K286,"Water (saline)"),EXACT(metadata!K286,"Hypersaline (saline)"),EXACT(metadata!K286,"Aerosol (saline)"),EXACT(metadata!K286,"Sediment (saline)")))</f>
        <v>0</v>
      </c>
      <c r="AW286" t="b">
        <f>IF(metadata!L286="",FALSE,TRUE)</f>
        <v>0</v>
      </c>
      <c r="AX286" t="b">
        <f>IF(metadata!M286="",FALSE,TRUE)</f>
        <v>0</v>
      </c>
      <c r="AY286" t="b">
        <f>IF(metadata!N286="",FALSE,TRUE)</f>
        <v>0</v>
      </c>
      <c r="AZ286" t="b">
        <f>OR(AND(IF(metadata!O286="",FALSE,TRUE),OR(EXACT(metadata!O286,"missing: not collected"),EXACT(metadata!O286,"missing: not provided"),EXACT(metadata!O286,"missing: restricted access"))),AND(IF(metadata!O286="",FALSE,TRUE),OR(EXACT(metadata!O286,"air"),EXACT(metadata!O286,"built environment"),EXACT(metadata!O286,"host-associated"),EXACT(metadata!O286,"human-associated"),EXACT(metadata!O286,"human-skin"),EXACT(metadata!O286,"human-oral"),EXACT(metadata!O286,"human-gut"),EXACT(metadata!O286,"human-vaginal"),EXACT(metadata!O286,"microbial mat/biofilm"),EXACT(metadata!O286,"misc environment"),EXACT(metadata!O286,"plant-associated"),EXACT(metadata!O286,"sediment"),EXACT(metadata!O286,"soil"),EXACT(metadata!O286,"wastewater/sludge"),EXACT(metadata!O286,"water"))))</f>
        <v>0</v>
      </c>
      <c r="BA286" t="b">
        <f>IF(metadata!P286="",FALSE,TRUE)</f>
        <v>0</v>
      </c>
      <c r="BB286" t="b">
        <f>IF(metadata!Q286="",FALSE,TRUE)</f>
        <v>0</v>
      </c>
      <c r="BC286" t="b">
        <f>OR(AND(IF(metadata!R286="",FALSE,TRUE),OR(EXACT(metadata!R286,"missing: not collected"),EXACT(metadata!R286,"missing: not provided"),EXACT(metadata!R286,"missing: restricted access"))),AND(IF(metadata!R286="",FALSE,ISNUMBER(VALUE(metadata!R286))),metadata!R286&gt;=-90,metadata!R286&lt;=90))</f>
        <v>0</v>
      </c>
      <c r="BD286" t="b">
        <f>AND(IF(metadata!S286="",FALSE,TRUE),EXACT(metadata!S286,"Decimal degrees"))</f>
        <v>0</v>
      </c>
      <c r="BE286" t="b">
        <f>OR(AND(IF(metadata!T286="",FALSE,TRUE),OR(EXACT(metadata!T286,"missing: not collected"),EXACT(metadata!T286,"missing: not provided"),EXACT(metadata!T286,"missing: restricted access"))),AND(IF(metadata!T286="",FALSE,ISNUMBER(VALUE(metadata!T286))),metadata!T286&gt;=-180,metadata!T286&lt;=180))</f>
        <v>0</v>
      </c>
      <c r="BF286" t="b">
        <f>AND(IF(metadata!U286="",FALSE,TRUE),EXACT(metadata!U286,"Decimal degrees"))</f>
        <v>0</v>
      </c>
      <c r="BG286" t="b">
        <f>IF(metadata!V286="",FALSE,TRUE)</f>
        <v>0</v>
      </c>
      <c r="BH286" t="b">
        <f>OR(AND(IF(metadata!W286="",FALSE,TRUE),OR(EXACT(metadata!W286,"missing: not collected"),EXACT(metadata!W286,"missing: not provided"),EXACT(metadata!W286,"missing: restricted access"))),AND(IF(metadata!W286="",FALSE,TRUE),OR(EXACT(metadata!W286,"TRUE"),EXACT(metadata!W286,"FALSE"))))</f>
        <v>0</v>
      </c>
      <c r="BI286" t="b">
        <f>AND(IF(metadata!X286="",FALSE,TRUE),EXACT(metadata!X286,"other"))</f>
        <v>0</v>
      </c>
      <c r="BJ286" t="b">
        <f>IF(metadata!Y286="",FALSE,TRUE)</f>
        <v>0</v>
      </c>
      <c r="BK286" t="b">
        <f>OR(AND(IF(metadata!Z286="",FALSE,TRUE),OR(EXACT(metadata!Z286,"missing: not collected"),EXACT(metadata!Z286,"missing: not provided"))),AND(IF(metadata!Z286="",FALSE,IF(ISERROR(INT(metadata!Z286)),FALSE,INT(metadata!Z286)=metadata!Z286)),metadata!Z286&gt;0))</f>
        <v>0</v>
      </c>
      <c r="BL286" t="b">
        <f>AND(IF(metadata!AA286="",FALSE,TRUE),EXACT(metadata!AA286,"Not applicable"))</f>
        <v>0</v>
      </c>
      <c r="BM286" t="b">
        <f>IF(metadata!AB286="",FALSE,TRUE)</f>
        <v>0</v>
      </c>
    </row>
    <row r="287" spans="1:65" x14ac:dyDescent="0.2">
      <c r="A287" s="5" t="str">
        <f ca="1">IF(B287=" "," ",HYPERLINK(CONCATENATE("#metadata!",ADDRESS(INDEX($AH$2:$AH$1001,MATCH(ROWS($AF$2:AF287),$AF$2:$AF$1001,0),0),1)),INDEX($AK$2:$AK$1001,MATCH(ROWS($AF$2:AF287),$AF$2:$AF$1001,0),0)))</f>
        <v xml:space="preserve"> </v>
      </c>
      <c r="B287" s="4" t="str">
        <f ca="1">IF(OR(INDEX($AG$2:$AG$1001,MATCH(ROWS($AF$2:AF287),$AF$2:$AF$1001,0),1)&gt;=100000,INDEX($AM$1005:$BM$1005,1,MATCH(COLUMNS($AM$1006:AM1006),$AM$1006:$BM$1006,0))&gt;=100000), " ",IF(INDEX($AM$2:$BM$1001,MATCH(ROWS($AF$2:AF287),$AF$2:$AF$1001,0),MATCH(COLUMNS($AM$1006:AM1006),$AM$1006:$BM$1006,0)), HYPERLINK("#",""), HYPERLINK(CONCATENATE("#metadata!", ADDRESS(INDEX($AH$2:$AH$1001,MATCH(ROWS($AF$2:AF287),$AF$2:$AF$1001,0),0), INDEX($AM$1004:$BM$1004,1,MATCH(COLUMNS($AM$1006:AM1006),$AM$1006:$BM$1006,0)))),"Fix")))</f>
        <v xml:space="preserve"> </v>
      </c>
      <c r="C287" s="4" t="str">
        <f ca="1">IF(OR(INDEX($AG$2:$AG$1001,MATCH(ROWS($AF$2:AF287),$AF$2:$AF$1001,0),1)&gt;=100000,INDEX($AM$1005:$BM$1005,1,MATCH(COLUMNS($AM$1006:AN1006),$AM$1006:$BM$1006,0))&gt;=100000), " ",IF(INDEX($AM$2:$BM$1001,MATCH(ROWS($AF$2:AF287),$AF$2:$AF$1001,0),MATCH(COLUMNS($AM$1006:AN1006),$AM$1006:$BM$1006,0)), HYPERLINK("#",""), HYPERLINK(CONCATENATE("#metadata!", ADDRESS(INDEX($AH$2:$AH$1001,MATCH(ROWS($AF$2:AF287),$AF$2:$AF$1001,0),0), INDEX($AM$1004:$BM$1004,1,MATCH(COLUMNS($AM$1006:AN1006),$AM$1006:$BM$1006,0)))),"Fix")))</f>
        <v xml:space="preserve"> </v>
      </c>
      <c r="D287" s="4" t="str">
        <f ca="1">IF(OR(INDEX($AG$2:$AG$1001,MATCH(ROWS($AF$2:AF287),$AF$2:$AF$1001,0),1)&gt;=100000,INDEX($AM$1005:$BM$1005,1,MATCH(COLUMNS($AM$1006:AO1006),$AM$1006:$BM$1006,0))&gt;=100000), " ",IF(INDEX($AM$2:$BM$1001,MATCH(ROWS($AF$2:AF287),$AF$2:$AF$1001,0),MATCH(COLUMNS($AM$1006:AO1006),$AM$1006:$BM$1006,0)), HYPERLINK("#",""), HYPERLINK(CONCATENATE("#metadata!", ADDRESS(INDEX($AH$2:$AH$1001,MATCH(ROWS($AF$2:AF287),$AF$2:$AF$1001,0),0), INDEX($AM$1004:$BM$1004,1,MATCH(COLUMNS($AM$1006:AO1006),$AM$1006:$BM$1006,0)))),"Fix")))</f>
        <v xml:space="preserve"> </v>
      </c>
      <c r="E287" s="4" t="str">
        <f ca="1">IF(OR(INDEX($AG$2:$AG$1001,MATCH(ROWS($AF$2:AF287),$AF$2:$AF$1001,0),1)&gt;=100000,INDEX($AM$1005:$BM$1005,1,MATCH(COLUMNS($AM$1006:AP1006),$AM$1006:$BM$1006,0))&gt;=100000), " ",IF(INDEX($AM$2:$BM$1001,MATCH(ROWS($AF$2:AF287),$AF$2:$AF$1001,0),MATCH(COLUMNS($AM$1006:AP1006),$AM$1006:$BM$1006,0)), HYPERLINK("#",""), HYPERLINK(CONCATENATE("#metadata!", ADDRESS(INDEX($AH$2:$AH$1001,MATCH(ROWS($AF$2:AF287),$AF$2:$AF$1001,0),0), INDEX($AM$1004:$BM$1004,1,MATCH(COLUMNS($AM$1006:AP1006),$AM$1006:$BM$1006,0)))),"Fix")))</f>
        <v xml:space="preserve"> </v>
      </c>
      <c r="F287" s="4" t="str">
        <f ca="1">IF(OR(INDEX($AG$2:$AG$1001,MATCH(ROWS($AF$2:AF287),$AF$2:$AF$1001,0),1)&gt;=100000,INDEX($AM$1005:$BM$1005,1,MATCH(COLUMNS($AM$1006:AQ1006),$AM$1006:$BM$1006,0))&gt;=100000), " ",IF(INDEX($AM$2:$BM$1001,MATCH(ROWS($AF$2:AF287),$AF$2:$AF$1001,0),MATCH(COLUMNS($AM$1006:AQ1006),$AM$1006:$BM$1006,0)), HYPERLINK("#",""), HYPERLINK(CONCATENATE("#metadata!", ADDRESS(INDEX($AH$2:$AH$1001,MATCH(ROWS($AF$2:AF287),$AF$2:$AF$1001,0),0), INDEX($AM$1004:$BM$1004,1,MATCH(COLUMNS($AM$1006:AQ1006),$AM$1006:$BM$1006,0)))),"Fix")))</f>
        <v xml:space="preserve"> </v>
      </c>
      <c r="G287" s="4" t="str">
        <f ca="1">IF(OR(INDEX($AG$2:$AG$1001,MATCH(ROWS($AF$2:AF287),$AF$2:$AF$1001,0),1)&gt;=100000,INDEX($AM$1005:$BM$1005,1,MATCH(COLUMNS($AM$1006:AR1006),$AM$1006:$BM$1006,0))&gt;=100000), " ",IF(INDEX($AM$2:$BM$1001,MATCH(ROWS($AF$2:AF287),$AF$2:$AF$1001,0),MATCH(COLUMNS($AM$1006:AR1006),$AM$1006:$BM$1006,0)), HYPERLINK("#",""), HYPERLINK(CONCATENATE("#metadata!", ADDRESS(INDEX($AH$2:$AH$1001,MATCH(ROWS($AF$2:AF287),$AF$2:$AF$1001,0),0), INDEX($AM$1004:$BM$1004,1,MATCH(COLUMNS($AM$1006:AR1006),$AM$1006:$BM$1006,0)))),"Fix")))</f>
        <v xml:space="preserve"> </v>
      </c>
      <c r="H287" s="4" t="str">
        <f ca="1">IF(OR(INDEX($AG$2:$AG$1001,MATCH(ROWS($AF$2:AF287),$AF$2:$AF$1001,0),1)&gt;=100000,INDEX($AM$1005:$BM$1005,1,MATCH(COLUMNS($AM$1006:AS1006),$AM$1006:$BM$1006,0))&gt;=100000), " ",IF(INDEX($AM$2:$BM$1001,MATCH(ROWS($AF$2:AF287),$AF$2:$AF$1001,0),MATCH(COLUMNS($AM$1006:AS1006),$AM$1006:$BM$1006,0)), HYPERLINK("#",""), HYPERLINK(CONCATENATE("#metadata!", ADDRESS(INDEX($AH$2:$AH$1001,MATCH(ROWS($AF$2:AF287),$AF$2:$AF$1001,0),0), INDEX($AM$1004:$BM$1004,1,MATCH(COLUMNS($AM$1006:AS1006),$AM$1006:$BM$1006,0)))),"Fix")))</f>
        <v xml:space="preserve"> </v>
      </c>
      <c r="I287" s="4" t="str">
        <f ca="1">IF(OR(INDEX($AG$2:$AG$1001,MATCH(ROWS($AF$2:AF287),$AF$2:$AF$1001,0),1)&gt;=100000,INDEX($AM$1005:$BM$1005,1,MATCH(COLUMNS($AM$1006:AT1006),$AM$1006:$BM$1006,0))&gt;=100000), " ",IF(INDEX($AM$2:$BM$1001,MATCH(ROWS($AF$2:AF287),$AF$2:$AF$1001,0),MATCH(COLUMNS($AM$1006:AT1006),$AM$1006:$BM$1006,0)), HYPERLINK("#",""), HYPERLINK(CONCATENATE("#metadata!", ADDRESS(INDEX($AH$2:$AH$1001,MATCH(ROWS($AF$2:AF287),$AF$2:$AF$1001,0),0), INDEX($AM$1004:$BM$1004,1,MATCH(COLUMNS($AM$1006:AT1006),$AM$1006:$BM$1006,0)))),"Fix")))</f>
        <v xml:space="preserve"> </v>
      </c>
      <c r="J287" s="4" t="str">
        <f ca="1">IF(OR(INDEX($AG$2:$AG$1001,MATCH(ROWS($AF$2:AF287),$AF$2:$AF$1001,0),1)&gt;=100000,INDEX($AM$1005:$BM$1005,1,MATCH(COLUMNS($AM$1006:AU1006),$AM$1006:$BM$1006,0))&gt;=100000), " ",IF(INDEX($AM$2:$BM$1001,MATCH(ROWS($AF$2:AF287),$AF$2:$AF$1001,0),MATCH(COLUMNS($AM$1006:AU1006),$AM$1006:$BM$1006,0)), HYPERLINK("#",""), HYPERLINK(CONCATENATE("#metadata!", ADDRESS(INDEX($AH$2:$AH$1001,MATCH(ROWS($AF$2:AF287),$AF$2:$AF$1001,0),0), INDEX($AM$1004:$BM$1004,1,MATCH(COLUMNS($AM$1006:AU1006),$AM$1006:$BM$1006,0)))),"Fix")))</f>
        <v xml:space="preserve"> </v>
      </c>
      <c r="K287" s="4" t="str">
        <f ca="1">IF(OR(INDEX($AG$2:$AG$1001,MATCH(ROWS($AF$2:AF287),$AF$2:$AF$1001,0),1)&gt;=100000,INDEX($AM$1005:$BM$1005,1,MATCH(COLUMNS($AM$1006:AV1006),$AM$1006:$BM$1006,0))&gt;=100000), " ",IF(INDEX($AM$2:$BM$1001,MATCH(ROWS($AF$2:AF287),$AF$2:$AF$1001,0),MATCH(COLUMNS($AM$1006:AV1006),$AM$1006:$BM$1006,0)), HYPERLINK("#",""), HYPERLINK(CONCATENATE("#metadata!", ADDRESS(INDEX($AH$2:$AH$1001,MATCH(ROWS($AF$2:AF287),$AF$2:$AF$1001,0),0), INDEX($AM$1004:$BM$1004,1,MATCH(COLUMNS($AM$1006:AV1006),$AM$1006:$BM$1006,0)))),"Fix")))</f>
        <v xml:space="preserve"> </v>
      </c>
      <c r="L287" s="4" t="str">
        <f ca="1">IF(OR(INDEX($AG$2:$AG$1001,MATCH(ROWS($AF$2:AF287),$AF$2:$AF$1001,0),1)&gt;=100000,INDEX($AM$1005:$BM$1005,1,MATCH(COLUMNS($AM$1006:AW1006),$AM$1006:$BM$1006,0))&gt;=100000), " ",IF(INDEX($AM$2:$BM$1001,MATCH(ROWS($AF$2:AF287),$AF$2:$AF$1001,0),MATCH(COLUMNS($AM$1006:AW1006),$AM$1006:$BM$1006,0)), HYPERLINK("#",""), HYPERLINK(CONCATENATE("#metadata!", ADDRESS(INDEX($AH$2:$AH$1001,MATCH(ROWS($AF$2:AF287),$AF$2:$AF$1001,0),0), INDEX($AM$1004:$BM$1004,1,MATCH(COLUMNS($AM$1006:AW1006),$AM$1006:$BM$1006,0)))),"Fix")))</f>
        <v xml:space="preserve"> </v>
      </c>
      <c r="M287" s="4" t="str">
        <f ca="1">IF(OR(INDEX($AG$2:$AG$1001,MATCH(ROWS($AF$2:AF287),$AF$2:$AF$1001,0),1)&gt;=100000,INDEX($AM$1005:$BM$1005,1,MATCH(COLUMNS($AM$1006:AX1006),$AM$1006:$BM$1006,0))&gt;=100000), " ",IF(INDEX($AM$2:$BM$1001,MATCH(ROWS($AF$2:AF287),$AF$2:$AF$1001,0),MATCH(COLUMNS($AM$1006:AX1006),$AM$1006:$BM$1006,0)), HYPERLINK("#",""), HYPERLINK(CONCATENATE("#metadata!", ADDRESS(INDEX($AH$2:$AH$1001,MATCH(ROWS($AF$2:AF287),$AF$2:$AF$1001,0),0), INDEX($AM$1004:$BM$1004,1,MATCH(COLUMNS($AM$1006:AX1006),$AM$1006:$BM$1006,0)))),"Fix")))</f>
        <v xml:space="preserve"> </v>
      </c>
      <c r="N287" s="4" t="str">
        <f ca="1">IF(OR(INDEX($AG$2:$AG$1001,MATCH(ROWS($AF$2:AF287),$AF$2:$AF$1001,0),1)&gt;=100000,INDEX($AM$1005:$BM$1005,1,MATCH(COLUMNS($AM$1006:AY1006),$AM$1006:$BM$1006,0))&gt;=100000), " ",IF(INDEX($AM$2:$BM$1001,MATCH(ROWS($AF$2:AF287),$AF$2:$AF$1001,0),MATCH(COLUMNS($AM$1006:AY1006),$AM$1006:$BM$1006,0)), HYPERLINK("#",""), HYPERLINK(CONCATENATE("#metadata!", ADDRESS(INDEX($AH$2:$AH$1001,MATCH(ROWS($AF$2:AF287),$AF$2:$AF$1001,0),0), INDEX($AM$1004:$BM$1004,1,MATCH(COLUMNS($AM$1006:AY1006),$AM$1006:$BM$1006,0)))),"Fix")))</f>
        <v xml:space="preserve"> </v>
      </c>
      <c r="O287" s="4" t="str">
        <f ca="1">IF(OR(INDEX($AG$2:$AG$1001,MATCH(ROWS($AF$2:AF287),$AF$2:$AF$1001,0),1)&gt;=100000,INDEX($AM$1005:$BM$1005,1,MATCH(COLUMNS($AM$1006:AZ1006),$AM$1006:$BM$1006,0))&gt;=100000), " ",IF(INDEX($AM$2:$BM$1001,MATCH(ROWS($AF$2:AF287),$AF$2:$AF$1001,0),MATCH(COLUMNS($AM$1006:AZ1006),$AM$1006:$BM$1006,0)), HYPERLINK("#",""), HYPERLINK(CONCATENATE("#metadata!", ADDRESS(INDEX($AH$2:$AH$1001,MATCH(ROWS($AF$2:AF287),$AF$2:$AF$1001,0),0), INDEX($AM$1004:$BM$1004,1,MATCH(COLUMNS($AM$1006:AZ1006),$AM$1006:$BM$1006,0)))),"Fix")))</f>
        <v xml:space="preserve"> </v>
      </c>
      <c r="P287" s="4" t="str">
        <f ca="1">IF(OR(INDEX($AG$2:$AG$1001,MATCH(ROWS($AF$2:AF287),$AF$2:$AF$1001,0),1)&gt;=100000,INDEX($AM$1005:$BM$1005,1,MATCH(COLUMNS($AM$1006:BA1006),$AM$1006:$BM$1006,0))&gt;=100000), " ",IF(INDEX($AM$2:$BM$1001,MATCH(ROWS($AF$2:AF287),$AF$2:$AF$1001,0),MATCH(COLUMNS($AM$1006:BA1006),$AM$1006:$BM$1006,0)), HYPERLINK("#",""), HYPERLINK(CONCATENATE("#metadata!", ADDRESS(INDEX($AH$2:$AH$1001,MATCH(ROWS($AF$2:AF287),$AF$2:$AF$1001,0),0), INDEX($AM$1004:$BM$1004,1,MATCH(COLUMNS($AM$1006:BA1006),$AM$1006:$BM$1006,0)))),"Fix")))</f>
        <v xml:space="preserve"> </v>
      </c>
      <c r="Q287" s="4" t="str">
        <f ca="1">IF(OR(INDEX($AG$2:$AG$1001,MATCH(ROWS($AF$2:AF287),$AF$2:$AF$1001,0),1)&gt;=100000,INDEX($AM$1005:$BM$1005,1,MATCH(COLUMNS($AM$1006:BB1006),$AM$1006:$BM$1006,0))&gt;=100000), " ",IF(INDEX($AM$2:$BM$1001,MATCH(ROWS($AF$2:AF287),$AF$2:$AF$1001,0),MATCH(COLUMNS($AM$1006:BB1006),$AM$1006:$BM$1006,0)), HYPERLINK("#",""), HYPERLINK(CONCATENATE("#metadata!", ADDRESS(INDEX($AH$2:$AH$1001,MATCH(ROWS($AF$2:AF287),$AF$2:$AF$1001,0),0), INDEX($AM$1004:$BM$1004,1,MATCH(COLUMNS($AM$1006:BB1006),$AM$1006:$BM$1006,0)))),"Fix")))</f>
        <v xml:space="preserve"> </v>
      </c>
      <c r="R287" s="4" t="str">
        <f ca="1">IF(OR(INDEX($AG$2:$AG$1001,MATCH(ROWS($AF$2:AF287),$AF$2:$AF$1001,0),1)&gt;=100000,INDEX($AM$1005:$BM$1005,1,MATCH(COLUMNS($AM$1006:BC1006),$AM$1006:$BM$1006,0))&gt;=100000), " ",IF(INDEX($AM$2:$BM$1001,MATCH(ROWS($AF$2:AF287),$AF$2:$AF$1001,0),MATCH(COLUMNS($AM$1006:BC1006),$AM$1006:$BM$1006,0)), HYPERLINK("#",""), HYPERLINK(CONCATENATE("#metadata!", ADDRESS(INDEX($AH$2:$AH$1001,MATCH(ROWS($AF$2:AF287),$AF$2:$AF$1001,0),0), INDEX($AM$1004:$BM$1004,1,MATCH(COLUMNS($AM$1006:BC1006),$AM$1006:$BM$1006,0)))),"Fix")))</f>
        <v xml:space="preserve"> </v>
      </c>
      <c r="S287" s="4" t="str">
        <f ca="1">IF(OR(INDEX($AG$2:$AG$1001,MATCH(ROWS($AF$2:AF287),$AF$2:$AF$1001,0),1)&gt;=100000,INDEX($AM$1005:$BM$1005,1,MATCH(COLUMNS($AM$1006:BD1006),$AM$1006:$BM$1006,0))&gt;=100000), " ",IF(INDEX($AM$2:$BM$1001,MATCH(ROWS($AF$2:AF287),$AF$2:$AF$1001,0),MATCH(COLUMNS($AM$1006:BD1006),$AM$1006:$BM$1006,0)), HYPERLINK("#",""), HYPERLINK(CONCATENATE("#metadata!", ADDRESS(INDEX($AH$2:$AH$1001,MATCH(ROWS($AF$2:AF287),$AF$2:$AF$1001,0),0), INDEX($AM$1004:$BM$1004,1,MATCH(COLUMNS($AM$1006:BD1006),$AM$1006:$BM$1006,0)))),"Fix")))</f>
        <v xml:space="preserve"> </v>
      </c>
      <c r="T287" s="4" t="str">
        <f ca="1">IF(OR(INDEX($AG$2:$AG$1001,MATCH(ROWS($AF$2:AF287),$AF$2:$AF$1001,0),1)&gt;=100000,INDEX($AM$1005:$BM$1005,1,MATCH(COLUMNS($AM$1006:BE1006),$AM$1006:$BM$1006,0))&gt;=100000), " ",IF(INDEX($AM$2:$BM$1001,MATCH(ROWS($AF$2:AF287),$AF$2:$AF$1001,0),MATCH(COLUMNS($AM$1006:BE1006),$AM$1006:$BM$1006,0)), HYPERLINK("#",""), HYPERLINK(CONCATENATE("#metadata!", ADDRESS(INDEX($AH$2:$AH$1001,MATCH(ROWS($AF$2:AF287),$AF$2:$AF$1001,0),0), INDEX($AM$1004:$BM$1004,1,MATCH(COLUMNS($AM$1006:BE1006),$AM$1006:$BM$1006,0)))),"Fix")))</f>
        <v xml:space="preserve"> </v>
      </c>
      <c r="U287" s="4" t="str">
        <f ca="1">IF(OR(INDEX($AG$2:$AG$1001,MATCH(ROWS($AF$2:AF287),$AF$2:$AF$1001,0),1)&gt;=100000,INDEX($AM$1005:$BM$1005,1,MATCH(COLUMNS($AM$1006:BF1006),$AM$1006:$BM$1006,0))&gt;=100000), " ",IF(INDEX($AM$2:$BM$1001,MATCH(ROWS($AF$2:AF287),$AF$2:$AF$1001,0),MATCH(COLUMNS($AM$1006:BF1006),$AM$1006:$BM$1006,0)), HYPERLINK("#",""), HYPERLINK(CONCATENATE("#metadata!", ADDRESS(INDEX($AH$2:$AH$1001,MATCH(ROWS($AF$2:AF287),$AF$2:$AF$1001,0),0), INDEX($AM$1004:$BM$1004,1,MATCH(COLUMNS($AM$1006:BF1006),$AM$1006:$BM$1006,0)))),"Fix")))</f>
        <v xml:space="preserve"> </v>
      </c>
      <c r="V287" s="4" t="str">
        <f ca="1">IF(OR(INDEX($AG$2:$AG$1001,MATCH(ROWS($AF$2:AF287),$AF$2:$AF$1001,0),1)&gt;=100000,INDEX($AM$1005:$BM$1005,1,MATCH(COLUMNS($AM$1006:BG1006),$AM$1006:$BM$1006,0))&gt;=100000), " ",IF(INDEX($AM$2:$BM$1001,MATCH(ROWS($AF$2:AF287),$AF$2:$AF$1001,0),MATCH(COLUMNS($AM$1006:BG1006),$AM$1006:$BM$1006,0)), HYPERLINK("#",""), HYPERLINK(CONCATENATE("#metadata!", ADDRESS(INDEX($AH$2:$AH$1001,MATCH(ROWS($AF$2:AF287),$AF$2:$AF$1001,0),0), INDEX($AM$1004:$BM$1004,1,MATCH(COLUMNS($AM$1006:BG1006),$AM$1006:$BM$1006,0)))),"Fix")))</f>
        <v xml:space="preserve"> </v>
      </c>
      <c r="W287" s="4" t="str">
        <f ca="1">IF(OR(INDEX($AG$2:$AG$1001,MATCH(ROWS($AF$2:AF287),$AF$2:$AF$1001,0),1)&gt;=100000,INDEX($AM$1005:$BM$1005,1,MATCH(COLUMNS($AM$1006:BH1006),$AM$1006:$BM$1006,0))&gt;=100000), " ",IF(INDEX($AM$2:$BM$1001,MATCH(ROWS($AF$2:AF287),$AF$2:$AF$1001,0),MATCH(COLUMNS($AM$1006:BH1006),$AM$1006:$BM$1006,0)), HYPERLINK("#",""), HYPERLINK(CONCATENATE("#metadata!", ADDRESS(INDEX($AH$2:$AH$1001,MATCH(ROWS($AF$2:AF287),$AF$2:$AF$1001,0),0), INDEX($AM$1004:$BM$1004,1,MATCH(COLUMNS($AM$1006:BH1006),$AM$1006:$BM$1006,0)))),"Fix")))</f>
        <v xml:space="preserve"> </v>
      </c>
      <c r="X287" s="4" t="str">
        <f ca="1">IF(OR(INDEX($AG$2:$AG$1001,MATCH(ROWS($AF$2:AF287),$AF$2:$AF$1001,0),1)&gt;=100000,INDEX($AM$1005:$BM$1005,1,MATCH(COLUMNS($AM$1006:BI1006),$AM$1006:$BM$1006,0))&gt;=100000), " ",IF(INDEX($AM$2:$BM$1001,MATCH(ROWS($AF$2:AF287),$AF$2:$AF$1001,0),MATCH(COLUMNS($AM$1006:BI1006),$AM$1006:$BM$1006,0)), HYPERLINK("#",""), HYPERLINK(CONCATENATE("#metadata!", ADDRESS(INDEX($AH$2:$AH$1001,MATCH(ROWS($AF$2:AF287),$AF$2:$AF$1001,0),0), INDEX($AM$1004:$BM$1004,1,MATCH(COLUMNS($AM$1006:BI1006),$AM$1006:$BM$1006,0)))),"Fix")))</f>
        <v xml:space="preserve"> </v>
      </c>
      <c r="Y287" s="4" t="str">
        <f ca="1">IF(OR(INDEX($AG$2:$AG$1001,MATCH(ROWS($AF$2:AF287),$AF$2:$AF$1001,0),1)&gt;=100000,INDEX($AM$1005:$BM$1005,1,MATCH(COLUMNS($AM$1006:BJ1006),$AM$1006:$BM$1006,0))&gt;=100000), " ",IF(INDEX($AM$2:$BM$1001,MATCH(ROWS($AF$2:AF287),$AF$2:$AF$1001,0),MATCH(COLUMNS($AM$1006:BJ1006),$AM$1006:$BM$1006,0)), HYPERLINK("#",""), HYPERLINK(CONCATENATE("#metadata!", ADDRESS(INDEX($AH$2:$AH$1001,MATCH(ROWS($AF$2:AF287),$AF$2:$AF$1001,0),0), INDEX($AM$1004:$BM$1004,1,MATCH(COLUMNS($AM$1006:BJ1006),$AM$1006:$BM$1006,0)))),"Fix")))</f>
        <v xml:space="preserve"> </v>
      </c>
      <c r="Z287" s="4" t="str">
        <f ca="1">IF(OR(INDEX($AG$2:$AG$1001,MATCH(ROWS($AF$2:AF287),$AF$2:$AF$1001,0),1)&gt;=100000,INDEX($AM$1005:$BM$1005,1,MATCH(COLUMNS($AM$1006:BK1006),$AM$1006:$BM$1006,0))&gt;=100000), " ",IF(INDEX($AM$2:$BM$1001,MATCH(ROWS($AF$2:AF287),$AF$2:$AF$1001,0),MATCH(COLUMNS($AM$1006:BK1006),$AM$1006:$BM$1006,0)), HYPERLINK("#",""), HYPERLINK(CONCATENATE("#metadata!", ADDRESS(INDEX($AH$2:$AH$1001,MATCH(ROWS($AF$2:AF287),$AF$2:$AF$1001,0),0), INDEX($AM$1004:$BM$1004,1,MATCH(COLUMNS($AM$1006:BK1006),$AM$1006:$BM$1006,0)))),"Fix")))</f>
        <v xml:space="preserve"> </v>
      </c>
      <c r="AA287" s="4" t="str">
        <f ca="1">IF(OR(INDEX($AG$2:$AG$1001,MATCH(ROWS($AF$2:AF287),$AF$2:$AF$1001,0),1)&gt;=100000,INDEX($AM$1005:$BM$1005,1,MATCH(COLUMNS($AM$1006:BL1006),$AM$1006:$BM$1006,0))&gt;=100000), " ",IF(INDEX($AM$2:$BM$1001,MATCH(ROWS($AF$2:AF287),$AF$2:$AF$1001,0),MATCH(COLUMNS($AM$1006:BL1006),$AM$1006:$BM$1006,0)), HYPERLINK("#",""), HYPERLINK(CONCATENATE("#metadata!", ADDRESS(INDEX($AH$2:$AH$1001,MATCH(ROWS($AF$2:AF287),$AF$2:$AF$1001,0),0), INDEX($AM$1004:$BM$1004,1,MATCH(COLUMNS($AM$1006:BL1006),$AM$1006:$BM$1006,0)))),"Fix")))</f>
        <v xml:space="preserve"> </v>
      </c>
      <c r="AB287" s="4" t="str">
        <f ca="1">IF(OR(INDEX($AG$2:$AG$1001,MATCH(ROWS($AF$2:AF287),$AF$2:$AF$1001,0),1)&gt;=100000,INDEX($AM$1005:$BM$1005,1,MATCH(COLUMNS($AM$1006:BM1006),$AM$1006:$BM$1006,0))&gt;=100000), " ",IF(INDEX($AM$2:$BM$1001,MATCH(ROWS($AF$2:AF287),$AF$2:$AF$1001,0),MATCH(COLUMNS($AM$1006:BM1006),$AM$1006:$BM$1006,0)), HYPERLINK("#",""), HYPERLINK(CONCATENATE("#metadata!", ADDRESS(INDEX($AH$2:$AH$1001,MATCH(ROWS($AF$2:AF287),$AF$2:$AF$1001,0),0), INDEX($AM$1004:$BM$1004,1,MATCH(COLUMNS($AM$1006:BM1006),$AM$1006:$BM$1006,0)))),"Fix")))</f>
        <v xml:space="preserve"> </v>
      </c>
      <c r="AF287">
        <v>286</v>
      </c>
      <c r="AG287">
        <v>100287</v>
      </c>
      <c r="AH287">
        <v>287</v>
      </c>
      <c r="AI287" t="b">
        <f t="shared" si="4"/>
        <v>1</v>
      </c>
      <c r="AJ287" t="b">
        <f>COUNTBLANK(metadata!B287:AB287)=COLUMNS(metadata!B287:AB287)</f>
        <v>1</v>
      </c>
      <c r="AK287" t="str">
        <v/>
      </c>
      <c r="AM287" t="b">
        <f ca="1">AND(IF(metadata!B287="",FALSE,TRUE),COUNTIF(metadata!B:B, metadata!B287) = 1,NOT(ISERROR(SUMPRODUCT(SEARCH(MID(metadata!B287,ROW(INDIRECT("1:"&amp;LEN(metadata!B287))), 1),"0123456789abcdefghijklmnopqrstuvwxyzABCDEFGHIJKLMNOPQRSTUVWXYZ.")))))</f>
        <v>0</v>
      </c>
      <c r="AN287" t="b">
        <f ca="1">OR(AND(IF(metadata!C287="",FALSE,TRUE),OR(EXACT(metadata!C287,"missing: not collected"),EXACT(metadata!C287,"missing: not provided"),EXACT(metadata!C287,"missing: restricted access"))),AND(IF(metadata!C287="",FALSE,TRUE),AND(AND(IFERROR(INT(LEFT(metadata!C287,4))&gt;1900,FALSE),IFERROR(INT(LEFT(metadata!C287,4))&lt;=YEAR(NOW()),FALSE)), OR(MID(metadata!C287,5,1)="", AND(AND(MID(metadata!C287,5,1)="-",IFERROR(INT(MID(metadata!C287,6,1))&gt;=0,FALSE),IFERROR(INT(MID(metadata!C287,6,1))&lt;=1,FALSE),NOT(MID(metadata!C287,7,1)=""),IFERROR(INT(MID(metadata!C287,6,2))&gt;=1,FALSE),IFERROR(INT(MID(metadata!C287,6,2))&lt;=12,FALSE)), OR(MID(metadata!C287,8,1)="", AND(AND(MID(metadata!C287,8,1)="-",IFERROR(INT(MID(metadata!C287,9,1))&gt;=0,FALSE),IFERROR(INT(MID(metadata!C287,9,1))&lt;=3,FALSE),NOT(MID(metadata!C287,10,1)=""),IFERROR(INT(MID(metadata!C287,9,2))&gt;=1,FALSE),IFERROR(INT(MID(metadata!C287,9,2))&lt;=31,FALSE)), OR(MID(metadata!C287,11,1)="", AND(AND(MID(metadata!C287,11,1)=" ",IFERROR(INT(MID(metadata!C287,12,1))&gt;=0,FALSE),IFERROR(INT(MID(metadata!C287,12,1))&lt;=2,FALSE),NOT(MID(metadata!C287,13,1)=""),IFERROR(INT(MID(metadata!C287,12,2))&gt;=0,FALSE),IFERROR(INT(MID(metadata!C287,12,2))&lt;=23,FALSE)), OR(MID(metadata!C287,14,1)="", AND(AND(MID(metadata!C287,14,1)=":",IFERROR(INT(MID(metadata!C287,15,1))&gt;=0,FALSE),IFERROR(INT(MID(metadata!C287,15,1))&lt;=5,FALSE),NOT(MID(metadata!C287,16,1)=""),IFERROR(INT(MID(metadata!C287,15,2))&gt;=0,FALSE),IFERROR(INT(MID(metadata!C287,15,2))&lt;=59,FALSE)), OR(MID(metadata!C287,17,1)="", AND(AND(MID(metadata!C287,17,1)=":",IFERROR(INT(MID(metadata!C287,18,1))&gt;=0,FALSE),IFERROR(INT(MID(metadata!C287,18,1))&lt;=5,FALSE),NOT(MID(metadata!C287,19,1)=""),IFERROR(INT(MID(metadata!C287,18,2))&gt;=0,FALSE),IFERROR(INT(MID(metadata!C287,18,2))&lt;=59,FALSE)), LEN(metadata!C287)&lt;=19)))))))))))))</f>
        <v>0</v>
      </c>
      <c r="AO287" t="b">
        <f>AND(IF(metadata!D287="",FALSE,TRUE),EXACT(metadata!D287,"Not applicable"))</f>
        <v>0</v>
      </c>
      <c r="AP287" t="b">
        <f>IF(metadata!E287="",FALSE,TRUE)</f>
        <v>0</v>
      </c>
      <c r="AQ287" t="b">
        <f>OR(AND(IF(metadata!F287="",FALSE,TRUE),OR(EXACT(metadata!F287,"missing: not collected"),EXACT(metadata!F287,"missing: not provided"))),AND(IF(metadata!F287="",FALSE,TRUE),OR(EXACT(metadata!F287,"TRUE"),EXACT(metadata!F287,"FALSE"))))</f>
        <v>0</v>
      </c>
      <c r="AR287" t="b">
        <f>OR(AND(IF(metadata!G287="",FALSE,TRUE),OR(EXACT(metadata!G287,"missing: not collected"),EXACT(metadata!G287,"missing: not provided"),EXACT(metadata!G287,"missing: restricted access"))),AND(IF(metadata!G287="",FALSE,ISNUMBER(VALUE(metadata!G287))),metadata!G287&gt;=-413))</f>
        <v>0</v>
      </c>
      <c r="AS287" t="b">
        <f>AND(IF(metadata!H287="",FALSE,TRUE),EXACT(metadata!H287,"meters"))</f>
        <v>0</v>
      </c>
      <c r="AT287" t="b">
        <f>AND(IF(metadata!I287="",FALSE,TRUE),OR(EXACT(metadata!I287,"Host-associated"),EXACT(metadata!I287,"Free-living")))</f>
        <v>0</v>
      </c>
      <c r="AU287" t="b">
        <f>AND(IF(metadata!J287="",FALSE,TRUE),OR(EXACT(metadata!J287,"Animal"),EXACT(metadata!J287,"Fungus"),EXACT(metadata!J287,"Plant"),EXACT(metadata!J287,"Saline"),EXACT(metadata!J287,"Non-saline")))</f>
        <v>0</v>
      </c>
      <c r="AV287" t="b">
        <f>AND(IF(metadata!K287="",FALSE,TRUE),OR(EXACT(metadata!K287,"Plant secretion"),EXACT(metadata!K287,"Plant rhizosphere"),EXACT(metadata!K287,"Plant surface"),EXACT(metadata!K287,"Plant corpus"),EXACT(metadata!K287,"Fungus surface"),EXACT(metadata!K287,"Fungus corpus"),EXACT(metadata!K287,"Animal surface"),EXACT(metadata!K287,"Animal proximal gut"),EXACT(metadata!K287,"Animal corpus"),EXACT(metadata!K287,"Animal distal gut"),EXACT(metadata!K287,"Animal secretion"),EXACT(metadata!K287,"Sub-surface (non-saline)"),EXACT(metadata!K287,"Surface (non-saline)"),EXACT(metadata!K287,"Water (non-saline)"),EXACT(metadata!K287,"Soil (non-saline)"),EXACT(metadata!K287,"Aerosol (non-saline)"),EXACT(metadata!K287,"Sediment (non-saline)"),EXACT(metadata!K287,"Surface (saline)"),EXACT(metadata!K287,"Water (saline)"),EXACT(metadata!K287,"Hypersaline (saline)"),EXACT(metadata!K287,"Aerosol (saline)"),EXACT(metadata!K287,"Sediment (saline)")))</f>
        <v>0</v>
      </c>
      <c r="AW287" t="b">
        <f>IF(metadata!L287="",FALSE,TRUE)</f>
        <v>0</v>
      </c>
      <c r="AX287" t="b">
        <f>IF(metadata!M287="",FALSE,TRUE)</f>
        <v>0</v>
      </c>
      <c r="AY287" t="b">
        <f>IF(metadata!N287="",FALSE,TRUE)</f>
        <v>0</v>
      </c>
      <c r="AZ287" t="b">
        <f>OR(AND(IF(metadata!O287="",FALSE,TRUE),OR(EXACT(metadata!O287,"missing: not collected"),EXACT(metadata!O287,"missing: not provided"),EXACT(metadata!O287,"missing: restricted access"))),AND(IF(metadata!O287="",FALSE,TRUE),OR(EXACT(metadata!O287,"air"),EXACT(metadata!O287,"built environment"),EXACT(metadata!O287,"host-associated"),EXACT(metadata!O287,"human-associated"),EXACT(metadata!O287,"human-skin"),EXACT(metadata!O287,"human-oral"),EXACT(metadata!O287,"human-gut"),EXACT(metadata!O287,"human-vaginal"),EXACT(metadata!O287,"microbial mat/biofilm"),EXACT(metadata!O287,"misc environment"),EXACT(metadata!O287,"plant-associated"),EXACT(metadata!O287,"sediment"),EXACT(metadata!O287,"soil"),EXACT(metadata!O287,"wastewater/sludge"),EXACT(metadata!O287,"water"))))</f>
        <v>0</v>
      </c>
      <c r="BA287" t="b">
        <f>IF(metadata!P287="",FALSE,TRUE)</f>
        <v>0</v>
      </c>
      <c r="BB287" t="b">
        <f>IF(metadata!Q287="",FALSE,TRUE)</f>
        <v>0</v>
      </c>
      <c r="BC287" t="b">
        <f>OR(AND(IF(metadata!R287="",FALSE,TRUE),OR(EXACT(metadata!R287,"missing: not collected"),EXACT(metadata!R287,"missing: not provided"),EXACT(metadata!R287,"missing: restricted access"))),AND(IF(metadata!R287="",FALSE,ISNUMBER(VALUE(metadata!R287))),metadata!R287&gt;=-90,metadata!R287&lt;=90))</f>
        <v>0</v>
      </c>
      <c r="BD287" t="b">
        <f>AND(IF(metadata!S287="",FALSE,TRUE),EXACT(metadata!S287,"Decimal degrees"))</f>
        <v>0</v>
      </c>
      <c r="BE287" t="b">
        <f>OR(AND(IF(metadata!T287="",FALSE,TRUE),OR(EXACT(metadata!T287,"missing: not collected"),EXACT(metadata!T287,"missing: not provided"),EXACT(metadata!T287,"missing: restricted access"))),AND(IF(metadata!T287="",FALSE,ISNUMBER(VALUE(metadata!T287))),metadata!T287&gt;=-180,metadata!T287&lt;=180))</f>
        <v>0</v>
      </c>
      <c r="BF287" t="b">
        <f>AND(IF(metadata!U287="",FALSE,TRUE),EXACT(metadata!U287,"Decimal degrees"))</f>
        <v>0</v>
      </c>
      <c r="BG287" t="b">
        <f>IF(metadata!V287="",FALSE,TRUE)</f>
        <v>0</v>
      </c>
      <c r="BH287" t="b">
        <f>OR(AND(IF(metadata!W287="",FALSE,TRUE),OR(EXACT(metadata!W287,"missing: not collected"),EXACT(metadata!W287,"missing: not provided"),EXACT(metadata!W287,"missing: restricted access"))),AND(IF(metadata!W287="",FALSE,TRUE),OR(EXACT(metadata!W287,"TRUE"),EXACT(metadata!W287,"FALSE"))))</f>
        <v>0</v>
      </c>
      <c r="BI287" t="b">
        <f>AND(IF(metadata!X287="",FALSE,TRUE),EXACT(metadata!X287,"other"))</f>
        <v>0</v>
      </c>
      <c r="BJ287" t="b">
        <f>IF(metadata!Y287="",FALSE,TRUE)</f>
        <v>0</v>
      </c>
      <c r="BK287" t="b">
        <f>OR(AND(IF(metadata!Z287="",FALSE,TRUE),OR(EXACT(metadata!Z287,"missing: not collected"),EXACT(metadata!Z287,"missing: not provided"))),AND(IF(metadata!Z287="",FALSE,IF(ISERROR(INT(metadata!Z287)),FALSE,INT(metadata!Z287)=metadata!Z287)),metadata!Z287&gt;0))</f>
        <v>0</v>
      </c>
      <c r="BL287" t="b">
        <f>AND(IF(metadata!AA287="",FALSE,TRUE),EXACT(metadata!AA287,"Not applicable"))</f>
        <v>0</v>
      </c>
      <c r="BM287" t="b">
        <f>IF(metadata!AB287="",FALSE,TRUE)</f>
        <v>0</v>
      </c>
    </row>
    <row r="288" spans="1:65" x14ac:dyDescent="0.2">
      <c r="A288" s="5" t="str">
        <f ca="1">IF(B288=" "," ",HYPERLINK(CONCATENATE("#metadata!",ADDRESS(INDEX($AH$2:$AH$1001,MATCH(ROWS($AF$2:AF288),$AF$2:$AF$1001,0),0),1)),INDEX($AK$2:$AK$1001,MATCH(ROWS($AF$2:AF288),$AF$2:$AF$1001,0),0)))</f>
        <v xml:space="preserve"> </v>
      </c>
      <c r="B288" s="4" t="str">
        <f ca="1">IF(OR(INDEX($AG$2:$AG$1001,MATCH(ROWS($AF$2:AF288),$AF$2:$AF$1001,0),1)&gt;=100000,INDEX($AM$1005:$BM$1005,1,MATCH(COLUMNS($AM$1006:AM1006),$AM$1006:$BM$1006,0))&gt;=100000), " ",IF(INDEX($AM$2:$BM$1001,MATCH(ROWS($AF$2:AF288),$AF$2:$AF$1001,0),MATCH(COLUMNS($AM$1006:AM1006),$AM$1006:$BM$1006,0)), HYPERLINK("#",""), HYPERLINK(CONCATENATE("#metadata!", ADDRESS(INDEX($AH$2:$AH$1001,MATCH(ROWS($AF$2:AF288),$AF$2:$AF$1001,0),0), INDEX($AM$1004:$BM$1004,1,MATCH(COLUMNS($AM$1006:AM1006),$AM$1006:$BM$1006,0)))),"Fix")))</f>
        <v xml:space="preserve"> </v>
      </c>
      <c r="C288" s="4" t="str">
        <f ca="1">IF(OR(INDEX($AG$2:$AG$1001,MATCH(ROWS($AF$2:AF288),$AF$2:$AF$1001,0),1)&gt;=100000,INDEX($AM$1005:$BM$1005,1,MATCH(COLUMNS($AM$1006:AN1006),$AM$1006:$BM$1006,0))&gt;=100000), " ",IF(INDEX($AM$2:$BM$1001,MATCH(ROWS($AF$2:AF288),$AF$2:$AF$1001,0),MATCH(COLUMNS($AM$1006:AN1006),$AM$1006:$BM$1006,0)), HYPERLINK("#",""), HYPERLINK(CONCATENATE("#metadata!", ADDRESS(INDEX($AH$2:$AH$1001,MATCH(ROWS($AF$2:AF288),$AF$2:$AF$1001,0),0), INDEX($AM$1004:$BM$1004,1,MATCH(COLUMNS($AM$1006:AN1006),$AM$1006:$BM$1006,0)))),"Fix")))</f>
        <v xml:space="preserve"> </v>
      </c>
      <c r="D288" s="4" t="str">
        <f ca="1">IF(OR(INDEX($AG$2:$AG$1001,MATCH(ROWS($AF$2:AF288),$AF$2:$AF$1001,0),1)&gt;=100000,INDEX($AM$1005:$BM$1005,1,MATCH(COLUMNS($AM$1006:AO1006),$AM$1006:$BM$1006,0))&gt;=100000), " ",IF(INDEX($AM$2:$BM$1001,MATCH(ROWS($AF$2:AF288),$AF$2:$AF$1001,0),MATCH(COLUMNS($AM$1006:AO1006),$AM$1006:$BM$1006,0)), HYPERLINK("#",""), HYPERLINK(CONCATENATE("#metadata!", ADDRESS(INDEX($AH$2:$AH$1001,MATCH(ROWS($AF$2:AF288),$AF$2:$AF$1001,0),0), INDEX($AM$1004:$BM$1004,1,MATCH(COLUMNS($AM$1006:AO1006),$AM$1006:$BM$1006,0)))),"Fix")))</f>
        <v xml:space="preserve"> </v>
      </c>
      <c r="E288" s="4" t="str">
        <f ca="1">IF(OR(INDEX($AG$2:$AG$1001,MATCH(ROWS($AF$2:AF288),$AF$2:$AF$1001,0),1)&gt;=100000,INDEX($AM$1005:$BM$1005,1,MATCH(COLUMNS($AM$1006:AP1006),$AM$1006:$BM$1006,0))&gt;=100000), " ",IF(INDEX($AM$2:$BM$1001,MATCH(ROWS($AF$2:AF288),$AF$2:$AF$1001,0),MATCH(COLUMNS($AM$1006:AP1006),$AM$1006:$BM$1006,0)), HYPERLINK("#",""), HYPERLINK(CONCATENATE("#metadata!", ADDRESS(INDEX($AH$2:$AH$1001,MATCH(ROWS($AF$2:AF288),$AF$2:$AF$1001,0),0), INDEX($AM$1004:$BM$1004,1,MATCH(COLUMNS($AM$1006:AP1006),$AM$1006:$BM$1006,0)))),"Fix")))</f>
        <v xml:space="preserve"> </v>
      </c>
      <c r="F288" s="4" t="str">
        <f ca="1">IF(OR(INDEX($AG$2:$AG$1001,MATCH(ROWS($AF$2:AF288),$AF$2:$AF$1001,0),1)&gt;=100000,INDEX($AM$1005:$BM$1005,1,MATCH(COLUMNS($AM$1006:AQ1006),$AM$1006:$BM$1006,0))&gt;=100000), " ",IF(INDEX($AM$2:$BM$1001,MATCH(ROWS($AF$2:AF288),$AF$2:$AF$1001,0),MATCH(COLUMNS($AM$1006:AQ1006),$AM$1006:$BM$1006,0)), HYPERLINK("#",""), HYPERLINK(CONCATENATE("#metadata!", ADDRESS(INDEX($AH$2:$AH$1001,MATCH(ROWS($AF$2:AF288),$AF$2:$AF$1001,0),0), INDEX($AM$1004:$BM$1004,1,MATCH(COLUMNS($AM$1006:AQ1006),$AM$1006:$BM$1006,0)))),"Fix")))</f>
        <v xml:space="preserve"> </v>
      </c>
      <c r="G288" s="4" t="str">
        <f ca="1">IF(OR(INDEX($AG$2:$AG$1001,MATCH(ROWS($AF$2:AF288),$AF$2:$AF$1001,0),1)&gt;=100000,INDEX($AM$1005:$BM$1005,1,MATCH(COLUMNS($AM$1006:AR1006),$AM$1006:$BM$1006,0))&gt;=100000), " ",IF(INDEX($AM$2:$BM$1001,MATCH(ROWS($AF$2:AF288),$AF$2:$AF$1001,0),MATCH(COLUMNS($AM$1006:AR1006),$AM$1006:$BM$1006,0)), HYPERLINK("#",""), HYPERLINK(CONCATENATE("#metadata!", ADDRESS(INDEX($AH$2:$AH$1001,MATCH(ROWS($AF$2:AF288),$AF$2:$AF$1001,0),0), INDEX($AM$1004:$BM$1004,1,MATCH(COLUMNS($AM$1006:AR1006),$AM$1006:$BM$1006,0)))),"Fix")))</f>
        <v xml:space="preserve"> </v>
      </c>
      <c r="H288" s="4" t="str">
        <f ca="1">IF(OR(INDEX($AG$2:$AG$1001,MATCH(ROWS($AF$2:AF288),$AF$2:$AF$1001,0),1)&gt;=100000,INDEX($AM$1005:$BM$1005,1,MATCH(COLUMNS($AM$1006:AS1006),$AM$1006:$BM$1006,0))&gt;=100000), " ",IF(INDEX($AM$2:$BM$1001,MATCH(ROWS($AF$2:AF288),$AF$2:$AF$1001,0),MATCH(COLUMNS($AM$1006:AS1006),$AM$1006:$BM$1006,0)), HYPERLINK("#",""), HYPERLINK(CONCATENATE("#metadata!", ADDRESS(INDEX($AH$2:$AH$1001,MATCH(ROWS($AF$2:AF288),$AF$2:$AF$1001,0),0), INDEX($AM$1004:$BM$1004,1,MATCH(COLUMNS($AM$1006:AS1006),$AM$1006:$BM$1006,0)))),"Fix")))</f>
        <v xml:space="preserve"> </v>
      </c>
      <c r="I288" s="4" t="str">
        <f ca="1">IF(OR(INDEX($AG$2:$AG$1001,MATCH(ROWS($AF$2:AF288),$AF$2:$AF$1001,0),1)&gt;=100000,INDEX($AM$1005:$BM$1005,1,MATCH(COLUMNS($AM$1006:AT1006),$AM$1006:$BM$1006,0))&gt;=100000), " ",IF(INDEX($AM$2:$BM$1001,MATCH(ROWS($AF$2:AF288),$AF$2:$AF$1001,0),MATCH(COLUMNS($AM$1006:AT1006),$AM$1006:$BM$1006,0)), HYPERLINK("#",""), HYPERLINK(CONCATENATE("#metadata!", ADDRESS(INDEX($AH$2:$AH$1001,MATCH(ROWS($AF$2:AF288),$AF$2:$AF$1001,0),0), INDEX($AM$1004:$BM$1004,1,MATCH(COLUMNS($AM$1006:AT1006),$AM$1006:$BM$1006,0)))),"Fix")))</f>
        <v xml:space="preserve"> </v>
      </c>
      <c r="J288" s="4" t="str">
        <f ca="1">IF(OR(INDEX($AG$2:$AG$1001,MATCH(ROWS($AF$2:AF288),$AF$2:$AF$1001,0),1)&gt;=100000,INDEX($AM$1005:$BM$1005,1,MATCH(COLUMNS($AM$1006:AU1006),$AM$1006:$BM$1006,0))&gt;=100000), " ",IF(INDEX($AM$2:$BM$1001,MATCH(ROWS($AF$2:AF288),$AF$2:$AF$1001,0),MATCH(COLUMNS($AM$1006:AU1006),$AM$1006:$BM$1006,0)), HYPERLINK("#",""), HYPERLINK(CONCATENATE("#metadata!", ADDRESS(INDEX($AH$2:$AH$1001,MATCH(ROWS($AF$2:AF288),$AF$2:$AF$1001,0),0), INDEX($AM$1004:$BM$1004,1,MATCH(COLUMNS($AM$1006:AU1006),$AM$1006:$BM$1006,0)))),"Fix")))</f>
        <v xml:space="preserve"> </v>
      </c>
      <c r="K288" s="4" t="str">
        <f ca="1">IF(OR(INDEX($AG$2:$AG$1001,MATCH(ROWS($AF$2:AF288),$AF$2:$AF$1001,0),1)&gt;=100000,INDEX($AM$1005:$BM$1005,1,MATCH(COLUMNS($AM$1006:AV1006),$AM$1006:$BM$1006,0))&gt;=100000), " ",IF(INDEX($AM$2:$BM$1001,MATCH(ROWS($AF$2:AF288),$AF$2:$AF$1001,0),MATCH(COLUMNS($AM$1006:AV1006),$AM$1006:$BM$1006,0)), HYPERLINK("#",""), HYPERLINK(CONCATENATE("#metadata!", ADDRESS(INDEX($AH$2:$AH$1001,MATCH(ROWS($AF$2:AF288),$AF$2:$AF$1001,0),0), INDEX($AM$1004:$BM$1004,1,MATCH(COLUMNS($AM$1006:AV1006),$AM$1006:$BM$1006,0)))),"Fix")))</f>
        <v xml:space="preserve"> </v>
      </c>
      <c r="L288" s="4" t="str">
        <f ca="1">IF(OR(INDEX($AG$2:$AG$1001,MATCH(ROWS($AF$2:AF288),$AF$2:$AF$1001,0),1)&gt;=100000,INDEX($AM$1005:$BM$1005,1,MATCH(COLUMNS($AM$1006:AW1006),$AM$1006:$BM$1006,0))&gt;=100000), " ",IF(INDEX($AM$2:$BM$1001,MATCH(ROWS($AF$2:AF288),$AF$2:$AF$1001,0),MATCH(COLUMNS($AM$1006:AW1006),$AM$1006:$BM$1006,0)), HYPERLINK("#",""), HYPERLINK(CONCATENATE("#metadata!", ADDRESS(INDEX($AH$2:$AH$1001,MATCH(ROWS($AF$2:AF288),$AF$2:$AF$1001,0),0), INDEX($AM$1004:$BM$1004,1,MATCH(COLUMNS($AM$1006:AW1006),$AM$1006:$BM$1006,0)))),"Fix")))</f>
        <v xml:space="preserve"> </v>
      </c>
      <c r="M288" s="4" t="str">
        <f ca="1">IF(OR(INDEX($AG$2:$AG$1001,MATCH(ROWS($AF$2:AF288),$AF$2:$AF$1001,0),1)&gt;=100000,INDEX($AM$1005:$BM$1005,1,MATCH(COLUMNS($AM$1006:AX1006),$AM$1006:$BM$1006,0))&gt;=100000), " ",IF(INDEX($AM$2:$BM$1001,MATCH(ROWS($AF$2:AF288),$AF$2:$AF$1001,0),MATCH(COLUMNS($AM$1006:AX1006),$AM$1006:$BM$1006,0)), HYPERLINK("#",""), HYPERLINK(CONCATENATE("#metadata!", ADDRESS(INDEX($AH$2:$AH$1001,MATCH(ROWS($AF$2:AF288),$AF$2:$AF$1001,0),0), INDEX($AM$1004:$BM$1004,1,MATCH(COLUMNS($AM$1006:AX1006),$AM$1006:$BM$1006,0)))),"Fix")))</f>
        <v xml:space="preserve"> </v>
      </c>
      <c r="N288" s="4" t="str">
        <f ca="1">IF(OR(INDEX($AG$2:$AG$1001,MATCH(ROWS($AF$2:AF288),$AF$2:$AF$1001,0),1)&gt;=100000,INDEX($AM$1005:$BM$1005,1,MATCH(COLUMNS($AM$1006:AY1006),$AM$1006:$BM$1006,0))&gt;=100000), " ",IF(INDEX($AM$2:$BM$1001,MATCH(ROWS($AF$2:AF288),$AF$2:$AF$1001,0),MATCH(COLUMNS($AM$1006:AY1006),$AM$1006:$BM$1006,0)), HYPERLINK("#",""), HYPERLINK(CONCATENATE("#metadata!", ADDRESS(INDEX($AH$2:$AH$1001,MATCH(ROWS($AF$2:AF288),$AF$2:$AF$1001,0),0), INDEX($AM$1004:$BM$1004,1,MATCH(COLUMNS($AM$1006:AY1006),$AM$1006:$BM$1006,0)))),"Fix")))</f>
        <v xml:space="preserve"> </v>
      </c>
      <c r="O288" s="4" t="str">
        <f ca="1">IF(OR(INDEX($AG$2:$AG$1001,MATCH(ROWS($AF$2:AF288),$AF$2:$AF$1001,0),1)&gt;=100000,INDEX($AM$1005:$BM$1005,1,MATCH(COLUMNS($AM$1006:AZ1006),$AM$1006:$BM$1006,0))&gt;=100000), " ",IF(INDEX($AM$2:$BM$1001,MATCH(ROWS($AF$2:AF288),$AF$2:$AF$1001,0),MATCH(COLUMNS($AM$1006:AZ1006),$AM$1006:$BM$1006,0)), HYPERLINK("#",""), HYPERLINK(CONCATENATE("#metadata!", ADDRESS(INDEX($AH$2:$AH$1001,MATCH(ROWS($AF$2:AF288),$AF$2:$AF$1001,0),0), INDEX($AM$1004:$BM$1004,1,MATCH(COLUMNS($AM$1006:AZ1006),$AM$1006:$BM$1006,0)))),"Fix")))</f>
        <v xml:space="preserve"> </v>
      </c>
      <c r="P288" s="4" t="str">
        <f ca="1">IF(OR(INDEX($AG$2:$AG$1001,MATCH(ROWS($AF$2:AF288),$AF$2:$AF$1001,0),1)&gt;=100000,INDEX($AM$1005:$BM$1005,1,MATCH(COLUMNS($AM$1006:BA1006),$AM$1006:$BM$1006,0))&gt;=100000), " ",IF(INDEX($AM$2:$BM$1001,MATCH(ROWS($AF$2:AF288),$AF$2:$AF$1001,0),MATCH(COLUMNS($AM$1006:BA1006),$AM$1006:$BM$1006,0)), HYPERLINK("#",""), HYPERLINK(CONCATENATE("#metadata!", ADDRESS(INDEX($AH$2:$AH$1001,MATCH(ROWS($AF$2:AF288),$AF$2:$AF$1001,0),0), INDEX($AM$1004:$BM$1004,1,MATCH(COLUMNS($AM$1006:BA1006),$AM$1006:$BM$1006,0)))),"Fix")))</f>
        <v xml:space="preserve"> </v>
      </c>
      <c r="Q288" s="4" t="str">
        <f ca="1">IF(OR(INDEX($AG$2:$AG$1001,MATCH(ROWS($AF$2:AF288),$AF$2:$AF$1001,0),1)&gt;=100000,INDEX($AM$1005:$BM$1005,1,MATCH(COLUMNS($AM$1006:BB1006),$AM$1006:$BM$1006,0))&gt;=100000), " ",IF(INDEX($AM$2:$BM$1001,MATCH(ROWS($AF$2:AF288),$AF$2:$AF$1001,0),MATCH(COLUMNS($AM$1006:BB1006),$AM$1006:$BM$1006,0)), HYPERLINK("#",""), HYPERLINK(CONCATENATE("#metadata!", ADDRESS(INDEX($AH$2:$AH$1001,MATCH(ROWS($AF$2:AF288),$AF$2:$AF$1001,0),0), INDEX($AM$1004:$BM$1004,1,MATCH(COLUMNS($AM$1006:BB1006),$AM$1006:$BM$1006,0)))),"Fix")))</f>
        <v xml:space="preserve"> </v>
      </c>
      <c r="R288" s="4" t="str">
        <f ca="1">IF(OR(INDEX($AG$2:$AG$1001,MATCH(ROWS($AF$2:AF288),$AF$2:$AF$1001,0),1)&gt;=100000,INDEX($AM$1005:$BM$1005,1,MATCH(COLUMNS($AM$1006:BC1006),$AM$1006:$BM$1006,0))&gt;=100000), " ",IF(INDEX($AM$2:$BM$1001,MATCH(ROWS($AF$2:AF288),$AF$2:$AF$1001,0),MATCH(COLUMNS($AM$1006:BC1006),$AM$1006:$BM$1006,0)), HYPERLINK("#",""), HYPERLINK(CONCATENATE("#metadata!", ADDRESS(INDEX($AH$2:$AH$1001,MATCH(ROWS($AF$2:AF288),$AF$2:$AF$1001,0),0), INDEX($AM$1004:$BM$1004,1,MATCH(COLUMNS($AM$1006:BC1006),$AM$1006:$BM$1006,0)))),"Fix")))</f>
        <v xml:space="preserve"> </v>
      </c>
      <c r="S288" s="4" t="str">
        <f ca="1">IF(OR(INDEX($AG$2:$AG$1001,MATCH(ROWS($AF$2:AF288),$AF$2:$AF$1001,0),1)&gt;=100000,INDEX($AM$1005:$BM$1005,1,MATCH(COLUMNS($AM$1006:BD1006),$AM$1006:$BM$1006,0))&gt;=100000), " ",IF(INDEX($AM$2:$BM$1001,MATCH(ROWS($AF$2:AF288),$AF$2:$AF$1001,0),MATCH(COLUMNS($AM$1006:BD1006),$AM$1006:$BM$1006,0)), HYPERLINK("#",""), HYPERLINK(CONCATENATE("#metadata!", ADDRESS(INDEX($AH$2:$AH$1001,MATCH(ROWS($AF$2:AF288),$AF$2:$AF$1001,0),0), INDEX($AM$1004:$BM$1004,1,MATCH(COLUMNS($AM$1006:BD1006),$AM$1006:$BM$1006,0)))),"Fix")))</f>
        <v xml:space="preserve"> </v>
      </c>
      <c r="T288" s="4" t="str">
        <f ca="1">IF(OR(INDEX($AG$2:$AG$1001,MATCH(ROWS($AF$2:AF288),$AF$2:$AF$1001,0),1)&gt;=100000,INDEX($AM$1005:$BM$1005,1,MATCH(COLUMNS($AM$1006:BE1006),$AM$1006:$BM$1006,0))&gt;=100000), " ",IF(INDEX($AM$2:$BM$1001,MATCH(ROWS($AF$2:AF288),$AF$2:$AF$1001,0),MATCH(COLUMNS($AM$1006:BE1006),$AM$1006:$BM$1006,0)), HYPERLINK("#",""), HYPERLINK(CONCATENATE("#metadata!", ADDRESS(INDEX($AH$2:$AH$1001,MATCH(ROWS($AF$2:AF288),$AF$2:$AF$1001,0),0), INDEX($AM$1004:$BM$1004,1,MATCH(COLUMNS($AM$1006:BE1006),$AM$1006:$BM$1006,0)))),"Fix")))</f>
        <v xml:space="preserve"> </v>
      </c>
      <c r="U288" s="4" t="str">
        <f ca="1">IF(OR(INDEX($AG$2:$AG$1001,MATCH(ROWS($AF$2:AF288),$AF$2:$AF$1001,0),1)&gt;=100000,INDEX($AM$1005:$BM$1005,1,MATCH(COLUMNS($AM$1006:BF1006),$AM$1006:$BM$1006,0))&gt;=100000), " ",IF(INDEX($AM$2:$BM$1001,MATCH(ROWS($AF$2:AF288),$AF$2:$AF$1001,0),MATCH(COLUMNS($AM$1006:BF1006),$AM$1006:$BM$1006,0)), HYPERLINK("#",""), HYPERLINK(CONCATENATE("#metadata!", ADDRESS(INDEX($AH$2:$AH$1001,MATCH(ROWS($AF$2:AF288),$AF$2:$AF$1001,0),0), INDEX($AM$1004:$BM$1004,1,MATCH(COLUMNS($AM$1006:BF1006),$AM$1006:$BM$1006,0)))),"Fix")))</f>
        <v xml:space="preserve"> </v>
      </c>
      <c r="V288" s="4" t="str">
        <f ca="1">IF(OR(INDEX($AG$2:$AG$1001,MATCH(ROWS($AF$2:AF288),$AF$2:$AF$1001,0),1)&gt;=100000,INDEX($AM$1005:$BM$1005,1,MATCH(COLUMNS($AM$1006:BG1006),$AM$1006:$BM$1006,0))&gt;=100000), " ",IF(INDEX($AM$2:$BM$1001,MATCH(ROWS($AF$2:AF288),$AF$2:$AF$1001,0),MATCH(COLUMNS($AM$1006:BG1006),$AM$1006:$BM$1006,0)), HYPERLINK("#",""), HYPERLINK(CONCATENATE("#metadata!", ADDRESS(INDEX($AH$2:$AH$1001,MATCH(ROWS($AF$2:AF288),$AF$2:$AF$1001,0),0), INDEX($AM$1004:$BM$1004,1,MATCH(COLUMNS($AM$1006:BG1006),$AM$1006:$BM$1006,0)))),"Fix")))</f>
        <v xml:space="preserve"> </v>
      </c>
      <c r="W288" s="4" t="str">
        <f ca="1">IF(OR(INDEX($AG$2:$AG$1001,MATCH(ROWS($AF$2:AF288),$AF$2:$AF$1001,0),1)&gt;=100000,INDEX($AM$1005:$BM$1005,1,MATCH(COLUMNS($AM$1006:BH1006),$AM$1006:$BM$1006,0))&gt;=100000), " ",IF(INDEX($AM$2:$BM$1001,MATCH(ROWS($AF$2:AF288),$AF$2:$AF$1001,0),MATCH(COLUMNS($AM$1006:BH1006),$AM$1006:$BM$1006,0)), HYPERLINK("#",""), HYPERLINK(CONCATENATE("#metadata!", ADDRESS(INDEX($AH$2:$AH$1001,MATCH(ROWS($AF$2:AF288),$AF$2:$AF$1001,0),0), INDEX($AM$1004:$BM$1004,1,MATCH(COLUMNS($AM$1006:BH1006),$AM$1006:$BM$1006,0)))),"Fix")))</f>
        <v xml:space="preserve"> </v>
      </c>
      <c r="X288" s="4" t="str">
        <f ca="1">IF(OR(INDEX($AG$2:$AG$1001,MATCH(ROWS($AF$2:AF288),$AF$2:$AF$1001,0),1)&gt;=100000,INDEX($AM$1005:$BM$1005,1,MATCH(COLUMNS($AM$1006:BI1006),$AM$1006:$BM$1006,0))&gt;=100000), " ",IF(INDEX($AM$2:$BM$1001,MATCH(ROWS($AF$2:AF288),$AF$2:$AF$1001,0),MATCH(COLUMNS($AM$1006:BI1006),$AM$1006:$BM$1006,0)), HYPERLINK("#",""), HYPERLINK(CONCATENATE("#metadata!", ADDRESS(INDEX($AH$2:$AH$1001,MATCH(ROWS($AF$2:AF288),$AF$2:$AF$1001,0),0), INDEX($AM$1004:$BM$1004,1,MATCH(COLUMNS($AM$1006:BI1006),$AM$1006:$BM$1006,0)))),"Fix")))</f>
        <v xml:space="preserve"> </v>
      </c>
      <c r="Y288" s="4" t="str">
        <f ca="1">IF(OR(INDEX($AG$2:$AG$1001,MATCH(ROWS($AF$2:AF288),$AF$2:$AF$1001,0),1)&gt;=100000,INDEX($AM$1005:$BM$1005,1,MATCH(COLUMNS($AM$1006:BJ1006),$AM$1006:$BM$1006,0))&gt;=100000), " ",IF(INDEX($AM$2:$BM$1001,MATCH(ROWS($AF$2:AF288),$AF$2:$AF$1001,0),MATCH(COLUMNS($AM$1006:BJ1006),$AM$1006:$BM$1006,0)), HYPERLINK("#",""), HYPERLINK(CONCATENATE("#metadata!", ADDRESS(INDEX($AH$2:$AH$1001,MATCH(ROWS($AF$2:AF288),$AF$2:$AF$1001,0),0), INDEX($AM$1004:$BM$1004,1,MATCH(COLUMNS($AM$1006:BJ1006),$AM$1006:$BM$1006,0)))),"Fix")))</f>
        <v xml:space="preserve"> </v>
      </c>
      <c r="Z288" s="4" t="str">
        <f ca="1">IF(OR(INDEX($AG$2:$AG$1001,MATCH(ROWS($AF$2:AF288),$AF$2:$AF$1001,0),1)&gt;=100000,INDEX($AM$1005:$BM$1005,1,MATCH(COLUMNS($AM$1006:BK1006),$AM$1006:$BM$1006,0))&gt;=100000), " ",IF(INDEX($AM$2:$BM$1001,MATCH(ROWS($AF$2:AF288),$AF$2:$AF$1001,0),MATCH(COLUMNS($AM$1006:BK1006),$AM$1006:$BM$1006,0)), HYPERLINK("#",""), HYPERLINK(CONCATENATE("#metadata!", ADDRESS(INDEX($AH$2:$AH$1001,MATCH(ROWS($AF$2:AF288),$AF$2:$AF$1001,0),0), INDEX($AM$1004:$BM$1004,1,MATCH(COLUMNS($AM$1006:BK1006),$AM$1006:$BM$1006,0)))),"Fix")))</f>
        <v xml:space="preserve"> </v>
      </c>
      <c r="AA288" s="4" t="str">
        <f ca="1">IF(OR(INDEX($AG$2:$AG$1001,MATCH(ROWS($AF$2:AF288),$AF$2:$AF$1001,0),1)&gt;=100000,INDEX($AM$1005:$BM$1005,1,MATCH(COLUMNS($AM$1006:BL1006),$AM$1006:$BM$1006,0))&gt;=100000), " ",IF(INDEX($AM$2:$BM$1001,MATCH(ROWS($AF$2:AF288),$AF$2:$AF$1001,0),MATCH(COLUMNS($AM$1006:BL1006),$AM$1006:$BM$1006,0)), HYPERLINK("#",""), HYPERLINK(CONCATENATE("#metadata!", ADDRESS(INDEX($AH$2:$AH$1001,MATCH(ROWS($AF$2:AF288),$AF$2:$AF$1001,0),0), INDEX($AM$1004:$BM$1004,1,MATCH(COLUMNS($AM$1006:BL1006),$AM$1006:$BM$1006,0)))),"Fix")))</f>
        <v xml:space="preserve"> </v>
      </c>
      <c r="AB288" s="4" t="str">
        <f ca="1">IF(OR(INDEX($AG$2:$AG$1001,MATCH(ROWS($AF$2:AF288),$AF$2:$AF$1001,0),1)&gt;=100000,INDEX($AM$1005:$BM$1005,1,MATCH(COLUMNS($AM$1006:BM1006),$AM$1006:$BM$1006,0))&gt;=100000), " ",IF(INDEX($AM$2:$BM$1001,MATCH(ROWS($AF$2:AF288),$AF$2:$AF$1001,0),MATCH(COLUMNS($AM$1006:BM1006),$AM$1006:$BM$1006,0)), HYPERLINK("#",""), HYPERLINK(CONCATENATE("#metadata!", ADDRESS(INDEX($AH$2:$AH$1001,MATCH(ROWS($AF$2:AF288),$AF$2:$AF$1001,0),0), INDEX($AM$1004:$BM$1004,1,MATCH(COLUMNS($AM$1006:BM1006),$AM$1006:$BM$1006,0)))),"Fix")))</f>
        <v xml:space="preserve"> </v>
      </c>
      <c r="AF288">
        <v>287</v>
      </c>
      <c r="AG288">
        <v>100288</v>
      </c>
      <c r="AH288">
        <v>288</v>
      </c>
      <c r="AI288" t="b">
        <f t="shared" si="4"/>
        <v>1</v>
      </c>
      <c r="AJ288" t="b">
        <f>COUNTBLANK(metadata!B288:AB288)=COLUMNS(metadata!B288:AB288)</f>
        <v>1</v>
      </c>
      <c r="AK288" t="str">
        <v/>
      </c>
      <c r="AM288" t="b">
        <f ca="1">AND(IF(metadata!B288="",FALSE,TRUE),COUNTIF(metadata!B:B, metadata!B288) = 1,NOT(ISERROR(SUMPRODUCT(SEARCH(MID(metadata!B288,ROW(INDIRECT("1:"&amp;LEN(metadata!B288))), 1),"0123456789abcdefghijklmnopqrstuvwxyzABCDEFGHIJKLMNOPQRSTUVWXYZ.")))))</f>
        <v>0</v>
      </c>
      <c r="AN288" t="b">
        <f ca="1">OR(AND(IF(metadata!C288="",FALSE,TRUE),OR(EXACT(metadata!C288,"missing: not collected"),EXACT(metadata!C288,"missing: not provided"),EXACT(metadata!C288,"missing: restricted access"))),AND(IF(metadata!C288="",FALSE,TRUE),AND(AND(IFERROR(INT(LEFT(metadata!C288,4))&gt;1900,FALSE),IFERROR(INT(LEFT(metadata!C288,4))&lt;=YEAR(NOW()),FALSE)), OR(MID(metadata!C288,5,1)="", AND(AND(MID(metadata!C288,5,1)="-",IFERROR(INT(MID(metadata!C288,6,1))&gt;=0,FALSE),IFERROR(INT(MID(metadata!C288,6,1))&lt;=1,FALSE),NOT(MID(metadata!C288,7,1)=""),IFERROR(INT(MID(metadata!C288,6,2))&gt;=1,FALSE),IFERROR(INT(MID(metadata!C288,6,2))&lt;=12,FALSE)), OR(MID(metadata!C288,8,1)="", AND(AND(MID(metadata!C288,8,1)="-",IFERROR(INT(MID(metadata!C288,9,1))&gt;=0,FALSE),IFERROR(INT(MID(metadata!C288,9,1))&lt;=3,FALSE),NOT(MID(metadata!C288,10,1)=""),IFERROR(INT(MID(metadata!C288,9,2))&gt;=1,FALSE),IFERROR(INT(MID(metadata!C288,9,2))&lt;=31,FALSE)), OR(MID(metadata!C288,11,1)="", AND(AND(MID(metadata!C288,11,1)=" ",IFERROR(INT(MID(metadata!C288,12,1))&gt;=0,FALSE),IFERROR(INT(MID(metadata!C288,12,1))&lt;=2,FALSE),NOT(MID(metadata!C288,13,1)=""),IFERROR(INT(MID(metadata!C288,12,2))&gt;=0,FALSE),IFERROR(INT(MID(metadata!C288,12,2))&lt;=23,FALSE)), OR(MID(metadata!C288,14,1)="", AND(AND(MID(metadata!C288,14,1)=":",IFERROR(INT(MID(metadata!C288,15,1))&gt;=0,FALSE),IFERROR(INT(MID(metadata!C288,15,1))&lt;=5,FALSE),NOT(MID(metadata!C288,16,1)=""),IFERROR(INT(MID(metadata!C288,15,2))&gt;=0,FALSE),IFERROR(INT(MID(metadata!C288,15,2))&lt;=59,FALSE)), OR(MID(metadata!C288,17,1)="", AND(AND(MID(metadata!C288,17,1)=":",IFERROR(INT(MID(metadata!C288,18,1))&gt;=0,FALSE),IFERROR(INT(MID(metadata!C288,18,1))&lt;=5,FALSE),NOT(MID(metadata!C288,19,1)=""),IFERROR(INT(MID(metadata!C288,18,2))&gt;=0,FALSE),IFERROR(INT(MID(metadata!C288,18,2))&lt;=59,FALSE)), LEN(metadata!C288)&lt;=19)))))))))))))</f>
        <v>0</v>
      </c>
      <c r="AO288" t="b">
        <f>AND(IF(metadata!D288="",FALSE,TRUE),EXACT(metadata!D288,"Not applicable"))</f>
        <v>0</v>
      </c>
      <c r="AP288" t="b">
        <f>IF(metadata!E288="",FALSE,TRUE)</f>
        <v>0</v>
      </c>
      <c r="AQ288" t="b">
        <f>OR(AND(IF(metadata!F288="",FALSE,TRUE),OR(EXACT(metadata!F288,"missing: not collected"),EXACT(metadata!F288,"missing: not provided"))),AND(IF(metadata!F288="",FALSE,TRUE),OR(EXACT(metadata!F288,"TRUE"),EXACT(metadata!F288,"FALSE"))))</f>
        <v>0</v>
      </c>
      <c r="AR288" t="b">
        <f>OR(AND(IF(metadata!G288="",FALSE,TRUE),OR(EXACT(metadata!G288,"missing: not collected"),EXACT(metadata!G288,"missing: not provided"),EXACT(metadata!G288,"missing: restricted access"))),AND(IF(metadata!G288="",FALSE,ISNUMBER(VALUE(metadata!G288))),metadata!G288&gt;=-413))</f>
        <v>0</v>
      </c>
      <c r="AS288" t="b">
        <f>AND(IF(metadata!H288="",FALSE,TRUE),EXACT(metadata!H288,"meters"))</f>
        <v>0</v>
      </c>
      <c r="AT288" t="b">
        <f>AND(IF(metadata!I288="",FALSE,TRUE),OR(EXACT(metadata!I288,"Host-associated"),EXACT(metadata!I288,"Free-living")))</f>
        <v>0</v>
      </c>
      <c r="AU288" t="b">
        <f>AND(IF(metadata!J288="",FALSE,TRUE),OR(EXACT(metadata!J288,"Animal"),EXACT(metadata!J288,"Fungus"),EXACT(metadata!J288,"Plant"),EXACT(metadata!J288,"Saline"),EXACT(metadata!J288,"Non-saline")))</f>
        <v>0</v>
      </c>
      <c r="AV288" t="b">
        <f>AND(IF(metadata!K288="",FALSE,TRUE),OR(EXACT(metadata!K288,"Plant secretion"),EXACT(metadata!K288,"Plant rhizosphere"),EXACT(metadata!K288,"Plant surface"),EXACT(metadata!K288,"Plant corpus"),EXACT(metadata!K288,"Fungus surface"),EXACT(metadata!K288,"Fungus corpus"),EXACT(metadata!K288,"Animal surface"),EXACT(metadata!K288,"Animal proximal gut"),EXACT(metadata!K288,"Animal corpus"),EXACT(metadata!K288,"Animal distal gut"),EXACT(metadata!K288,"Animal secretion"),EXACT(metadata!K288,"Sub-surface (non-saline)"),EXACT(metadata!K288,"Surface (non-saline)"),EXACT(metadata!K288,"Water (non-saline)"),EXACT(metadata!K288,"Soil (non-saline)"),EXACT(metadata!K288,"Aerosol (non-saline)"),EXACT(metadata!K288,"Sediment (non-saline)"),EXACT(metadata!K288,"Surface (saline)"),EXACT(metadata!K288,"Water (saline)"),EXACT(metadata!K288,"Hypersaline (saline)"),EXACT(metadata!K288,"Aerosol (saline)"),EXACT(metadata!K288,"Sediment (saline)")))</f>
        <v>0</v>
      </c>
      <c r="AW288" t="b">
        <f>IF(metadata!L288="",FALSE,TRUE)</f>
        <v>0</v>
      </c>
      <c r="AX288" t="b">
        <f>IF(metadata!M288="",FALSE,TRUE)</f>
        <v>0</v>
      </c>
      <c r="AY288" t="b">
        <f>IF(metadata!N288="",FALSE,TRUE)</f>
        <v>0</v>
      </c>
      <c r="AZ288" t="b">
        <f>OR(AND(IF(metadata!O288="",FALSE,TRUE),OR(EXACT(metadata!O288,"missing: not collected"),EXACT(metadata!O288,"missing: not provided"),EXACT(metadata!O288,"missing: restricted access"))),AND(IF(metadata!O288="",FALSE,TRUE),OR(EXACT(metadata!O288,"air"),EXACT(metadata!O288,"built environment"),EXACT(metadata!O288,"host-associated"),EXACT(metadata!O288,"human-associated"),EXACT(metadata!O288,"human-skin"),EXACT(metadata!O288,"human-oral"),EXACT(metadata!O288,"human-gut"),EXACT(metadata!O288,"human-vaginal"),EXACT(metadata!O288,"microbial mat/biofilm"),EXACT(metadata!O288,"misc environment"),EXACT(metadata!O288,"plant-associated"),EXACT(metadata!O288,"sediment"),EXACT(metadata!O288,"soil"),EXACT(metadata!O288,"wastewater/sludge"),EXACT(metadata!O288,"water"))))</f>
        <v>0</v>
      </c>
      <c r="BA288" t="b">
        <f>IF(metadata!P288="",FALSE,TRUE)</f>
        <v>0</v>
      </c>
      <c r="BB288" t="b">
        <f>IF(metadata!Q288="",FALSE,TRUE)</f>
        <v>0</v>
      </c>
      <c r="BC288" t="b">
        <f>OR(AND(IF(metadata!R288="",FALSE,TRUE),OR(EXACT(metadata!R288,"missing: not collected"),EXACT(metadata!R288,"missing: not provided"),EXACT(metadata!R288,"missing: restricted access"))),AND(IF(metadata!R288="",FALSE,ISNUMBER(VALUE(metadata!R288))),metadata!R288&gt;=-90,metadata!R288&lt;=90))</f>
        <v>0</v>
      </c>
      <c r="BD288" t="b">
        <f>AND(IF(metadata!S288="",FALSE,TRUE),EXACT(metadata!S288,"Decimal degrees"))</f>
        <v>0</v>
      </c>
      <c r="BE288" t="b">
        <f>OR(AND(IF(metadata!T288="",FALSE,TRUE),OR(EXACT(metadata!T288,"missing: not collected"),EXACT(metadata!T288,"missing: not provided"),EXACT(metadata!T288,"missing: restricted access"))),AND(IF(metadata!T288="",FALSE,ISNUMBER(VALUE(metadata!T288))),metadata!T288&gt;=-180,metadata!T288&lt;=180))</f>
        <v>0</v>
      </c>
      <c r="BF288" t="b">
        <f>AND(IF(metadata!U288="",FALSE,TRUE),EXACT(metadata!U288,"Decimal degrees"))</f>
        <v>0</v>
      </c>
      <c r="BG288" t="b">
        <f>IF(metadata!V288="",FALSE,TRUE)</f>
        <v>0</v>
      </c>
      <c r="BH288" t="b">
        <f>OR(AND(IF(metadata!W288="",FALSE,TRUE),OR(EXACT(metadata!W288,"missing: not collected"),EXACT(metadata!W288,"missing: not provided"),EXACT(metadata!W288,"missing: restricted access"))),AND(IF(metadata!W288="",FALSE,TRUE),OR(EXACT(metadata!W288,"TRUE"),EXACT(metadata!W288,"FALSE"))))</f>
        <v>0</v>
      </c>
      <c r="BI288" t="b">
        <f>AND(IF(metadata!X288="",FALSE,TRUE),EXACT(metadata!X288,"other"))</f>
        <v>0</v>
      </c>
      <c r="BJ288" t="b">
        <f>IF(metadata!Y288="",FALSE,TRUE)</f>
        <v>0</v>
      </c>
      <c r="BK288" t="b">
        <f>OR(AND(IF(metadata!Z288="",FALSE,TRUE),OR(EXACT(metadata!Z288,"missing: not collected"),EXACT(metadata!Z288,"missing: not provided"))),AND(IF(metadata!Z288="",FALSE,IF(ISERROR(INT(metadata!Z288)),FALSE,INT(metadata!Z288)=metadata!Z288)),metadata!Z288&gt;0))</f>
        <v>0</v>
      </c>
      <c r="BL288" t="b">
        <f>AND(IF(metadata!AA288="",FALSE,TRUE),EXACT(metadata!AA288,"Not applicable"))</f>
        <v>0</v>
      </c>
      <c r="BM288" t="b">
        <f>IF(metadata!AB288="",FALSE,TRUE)</f>
        <v>0</v>
      </c>
    </row>
    <row r="289" spans="1:65" x14ac:dyDescent="0.2">
      <c r="A289" s="5" t="str">
        <f ca="1">IF(B289=" "," ",HYPERLINK(CONCATENATE("#metadata!",ADDRESS(INDEX($AH$2:$AH$1001,MATCH(ROWS($AF$2:AF289),$AF$2:$AF$1001,0),0),1)),INDEX($AK$2:$AK$1001,MATCH(ROWS($AF$2:AF289),$AF$2:$AF$1001,0),0)))</f>
        <v xml:space="preserve"> </v>
      </c>
      <c r="B289" s="4" t="str">
        <f ca="1">IF(OR(INDEX($AG$2:$AG$1001,MATCH(ROWS($AF$2:AF289),$AF$2:$AF$1001,0),1)&gt;=100000,INDEX($AM$1005:$BM$1005,1,MATCH(COLUMNS($AM$1006:AM1006),$AM$1006:$BM$1006,0))&gt;=100000), " ",IF(INDEX($AM$2:$BM$1001,MATCH(ROWS($AF$2:AF289),$AF$2:$AF$1001,0),MATCH(COLUMNS($AM$1006:AM1006),$AM$1006:$BM$1006,0)), HYPERLINK("#",""), HYPERLINK(CONCATENATE("#metadata!", ADDRESS(INDEX($AH$2:$AH$1001,MATCH(ROWS($AF$2:AF289),$AF$2:$AF$1001,0),0), INDEX($AM$1004:$BM$1004,1,MATCH(COLUMNS($AM$1006:AM1006),$AM$1006:$BM$1006,0)))),"Fix")))</f>
        <v xml:space="preserve"> </v>
      </c>
      <c r="C289" s="4" t="str">
        <f ca="1">IF(OR(INDEX($AG$2:$AG$1001,MATCH(ROWS($AF$2:AF289),$AF$2:$AF$1001,0),1)&gt;=100000,INDEX($AM$1005:$BM$1005,1,MATCH(COLUMNS($AM$1006:AN1006),$AM$1006:$BM$1006,0))&gt;=100000), " ",IF(INDEX($AM$2:$BM$1001,MATCH(ROWS($AF$2:AF289),$AF$2:$AF$1001,0),MATCH(COLUMNS($AM$1006:AN1006),$AM$1006:$BM$1006,0)), HYPERLINK("#",""), HYPERLINK(CONCATENATE("#metadata!", ADDRESS(INDEX($AH$2:$AH$1001,MATCH(ROWS($AF$2:AF289),$AF$2:$AF$1001,0),0), INDEX($AM$1004:$BM$1004,1,MATCH(COLUMNS($AM$1006:AN1006),$AM$1006:$BM$1006,0)))),"Fix")))</f>
        <v xml:space="preserve"> </v>
      </c>
      <c r="D289" s="4" t="str">
        <f ca="1">IF(OR(INDEX($AG$2:$AG$1001,MATCH(ROWS($AF$2:AF289),$AF$2:$AF$1001,0),1)&gt;=100000,INDEX($AM$1005:$BM$1005,1,MATCH(COLUMNS($AM$1006:AO1006),$AM$1006:$BM$1006,0))&gt;=100000), " ",IF(INDEX($AM$2:$BM$1001,MATCH(ROWS($AF$2:AF289),$AF$2:$AF$1001,0),MATCH(COLUMNS($AM$1006:AO1006),$AM$1006:$BM$1006,0)), HYPERLINK("#",""), HYPERLINK(CONCATENATE("#metadata!", ADDRESS(INDEX($AH$2:$AH$1001,MATCH(ROWS($AF$2:AF289),$AF$2:$AF$1001,0),0), INDEX($AM$1004:$BM$1004,1,MATCH(COLUMNS($AM$1006:AO1006),$AM$1006:$BM$1006,0)))),"Fix")))</f>
        <v xml:space="preserve"> </v>
      </c>
      <c r="E289" s="4" t="str">
        <f ca="1">IF(OR(INDEX($AG$2:$AG$1001,MATCH(ROWS($AF$2:AF289),$AF$2:$AF$1001,0),1)&gt;=100000,INDEX($AM$1005:$BM$1005,1,MATCH(COLUMNS($AM$1006:AP1006),$AM$1006:$BM$1006,0))&gt;=100000), " ",IF(INDEX($AM$2:$BM$1001,MATCH(ROWS($AF$2:AF289),$AF$2:$AF$1001,0),MATCH(COLUMNS($AM$1006:AP1006),$AM$1006:$BM$1006,0)), HYPERLINK("#",""), HYPERLINK(CONCATENATE("#metadata!", ADDRESS(INDEX($AH$2:$AH$1001,MATCH(ROWS($AF$2:AF289),$AF$2:$AF$1001,0),0), INDEX($AM$1004:$BM$1004,1,MATCH(COLUMNS($AM$1006:AP1006),$AM$1006:$BM$1006,0)))),"Fix")))</f>
        <v xml:space="preserve"> </v>
      </c>
      <c r="F289" s="4" t="str">
        <f ca="1">IF(OR(INDEX($AG$2:$AG$1001,MATCH(ROWS($AF$2:AF289),$AF$2:$AF$1001,0),1)&gt;=100000,INDEX($AM$1005:$BM$1005,1,MATCH(COLUMNS($AM$1006:AQ1006),$AM$1006:$BM$1006,0))&gt;=100000), " ",IF(INDEX($AM$2:$BM$1001,MATCH(ROWS($AF$2:AF289),$AF$2:$AF$1001,0),MATCH(COLUMNS($AM$1006:AQ1006),$AM$1006:$BM$1006,0)), HYPERLINK("#",""), HYPERLINK(CONCATENATE("#metadata!", ADDRESS(INDEX($AH$2:$AH$1001,MATCH(ROWS($AF$2:AF289),$AF$2:$AF$1001,0),0), INDEX($AM$1004:$BM$1004,1,MATCH(COLUMNS($AM$1006:AQ1006),$AM$1006:$BM$1006,0)))),"Fix")))</f>
        <v xml:space="preserve"> </v>
      </c>
      <c r="G289" s="4" t="str">
        <f ca="1">IF(OR(INDEX($AG$2:$AG$1001,MATCH(ROWS($AF$2:AF289),$AF$2:$AF$1001,0),1)&gt;=100000,INDEX($AM$1005:$BM$1005,1,MATCH(COLUMNS($AM$1006:AR1006),$AM$1006:$BM$1006,0))&gt;=100000), " ",IF(INDEX($AM$2:$BM$1001,MATCH(ROWS($AF$2:AF289),$AF$2:$AF$1001,0),MATCH(COLUMNS($AM$1006:AR1006),$AM$1006:$BM$1006,0)), HYPERLINK("#",""), HYPERLINK(CONCATENATE("#metadata!", ADDRESS(INDEX($AH$2:$AH$1001,MATCH(ROWS($AF$2:AF289),$AF$2:$AF$1001,0),0), INDEX($AM$1004:$BM$1004,1,MATCH(COLUMNS($AM$1006:AR1006),$AM$1006:$BM$1006,0)))),"Fix")))</f>
        <v xml:space="preserve"> </v>
      </c>
      <c r="H289" s="4" t="str">
        <f ca="1">IF(OR(INDEX($AG$2:$AG$1001,MATCH(ROWS($AF$2:AF289),$AF$2:$AF$1001,0),1)&gt;=100000,INDEX($AM$1005:$BM$1005,1,MATCH(COLUMNS($AM$1006:AS1006),$AM$1006:$BM$1006,0))&gt;=100000), " ",IF(INDEX($AM$2:$BM$1001,MATCH(ROWS($AF$2:AF289),$AF$2:$AF$1001,0),MATCH(COLUMNS($AM$1006:AS1006),$AM$1006:$BM$1006,0)), HYPERLINK("#",""), HYPERLINK(CONCATENATE("#metadata!", ADDRESS(INDEX($AH$2:$AH$1001,MATCH(ROWS($AF$2:AF289),$AF$2:$AF$1001,0),0), INDEX($AM$1004:$BM$1004,1,MATCH(COLUMNS($AM$1006:AS1006),$AM$1006:$BM$1006,0)))),"Fix")))</f>
        <v xml:space="preserve"> </v>
      </c>
      <c r="I289" s="4" t="str">
        <f ca="1">IF(OR(INDEX($AG$2:$AG$1001,MATCH(ROWS($AF$2:AF289),$AF$2:$AF$1001,0),1)&gt;=100000,INDEX($AM$1005:$BM$1005,1,MATCH(COLUMNS($AM$1006:AT1006),$AM$1006:$BM$1006,0))&gt;=100000), " ",IF(INDEX($AM$2:$BM$1001,MATCH(ROWS($AF$2:AF289),$AF$2:$AF$1001,0),MATCH(COLUMNS($AM$1006:AT1006),$AM$1006:$BM$1006,0)), HYPERLINK("#",""), HYPERLINK(CONCATENATE("#metadata!", ADDRESS(INDEX($AH$2:$AH$1001,MATCH(ROWS($AF$2:AF289),$AF$2:$AF$1001,0),0), INDEX($AM$1004:$BM$1004,1,MATCH(COLUMNS($AM$1006:AT1006),$AM$1006:$BM$1006,0)))),"Fix")))</f>
        <v xml:space="preserve"> </v>
      </c>
      <c r="J289" s="4" t="str">
        <f ca="1">IF(OR(INDEX($AG$2:$AG$1001,MATCH(ROWS($AF$2:AF289),$AF$2:$AF$1001,0),1)&gt;=100000,INDEX($AM$1005:$BM$1005,1,MATCH(COLUMNS($AM$1006:AU1006),$AM$1006:$BM$1006,0))&gt;=100000), " ",IF(INDEX($AM$2:$BM$1001,MATCH(ROWS($AF$2:AF289),$AF$2:$AF$1001,0),MATCH(COLUMNS($AM$1006:AU1006),$AM$1006:$BM$1006,0)), HYPERLINK("#",""), HYPERLINK(CONCATENATE("#metadata!", ADDRESS(INDEX($AH$2:$AH$1001,MATCH(ROWS($AF$2:AF289),$AF$2:$AF$1001,0),0), INDEX($AM$1004:$BM$1004,1,MATCH(COLUMNS($AM$1006:AU1006),$AM$1006:$BM$1006,0)))),"Fix")))</f>
        <v xml:space="preserve"> </v>
      </c>
      <c r="K289" s="4" t="str">
        <f ca="1">IF(OR(INDEX($AG$2:$AG$1001,MATCH(ROWS($AF$2:AF289),$AF$2:$AF$1001,0),1)&gt;=100000,INDEX($AM$1005:$BM$1005,1,MATCH(COLUMNS($AM$1006:AV1006),$AM$1006:$BM$1006,0))&gt;=100000), " ",IF(INDEX($AM$2:$BM$1001,MATCH(ROWS($AF$2:AF289),$AF$2:$AF$1001,0),MATCH(COLUMNS($AM$1006:AV1006),$AM$1006:$BM$1006,0)), HYPERLINK("#",""), HYPERLINK(CONCATENATE("#metadata!", ADDRESS(INDEX($AH$2:$AH$1001,MATCH(ROWS($AF$2:AF289),$AF$2:$AF$1001,0),0), INDEX($AM$1004:$BM$1004,1,MATCH(COLUMNS($AM$1006:AV1006),$AM$1006:$BM$1006,0)))),"Fix")))</f>
        <v xml:space="preserve"> </v>
      </c>
      <c r="L289" s="4" t="str">
        <f ca="1">IF(OR(INDEX($AG$2:$AG$1001,MATCH(ROWS($AF$2:AF289),$AF$2:$AF$1001,0),1)&gt;=100000,INDEX($AM$1005:$BM$1005,1,MATCH(COLUMNS($AM$1006:AW1006),$AM$1006:$BM$1006,0))&gt;=100000), " ",IF(INDEX($AM$2:$BM$1001,MATCH(ROWS($AF$2:AF289),$AF$2:$AF$1001,0),MATCH(COLUMNS($AM$1006:AW1006),$AM$1006:$BM$1006,0)), HYPERLINK("#",""), HYPERLINK(CONCATENATE("#metadata!", ADDRESS(INDEX($AH$2:$AH$1001,MATCH(ROWS($AF$2:AF289),$AF$2:$AF$1001,0),0), INDEX($AM$1004:$BM$1004,1,MATCH(COLUMNS($AM$1006:AW1006),$AM$1006:$BM$1006,0)))),"Fix")))</f>
        <v xml:space="preserve"> </v>
      </c>
      <c r="M289" s="4" t="str">
        <f ca="1">IF(OR(INDEX($AG$2:$AG$1001,MATCH(ROWS($AF$2:AF289),$AF$2:$AF$1001,0),1)&gt;=100000,INDEX($AM$1005:$BM$1005,1,MATCH(COLUMNS($AM$1006:AX1006),$AM$1006:$BM$1006,0))&gt;=100000), " ",IF(INDEX($AM$2:$BM$1001,MATCH(ROWS($AF$2:AF289),$AF$2:$AF$1001,0),MATCH(COLUMNS($AM$1006:AX1006),$AM$1006:$BM$1006,0)), HYPERLINK("#",""), HYPERLINK(CONCATENATE("#metadata!", ADDRESS(INDEX($AH$2:$AH$1001,MATCH(ROWS($AF$2:AF289),$AF$2:$AF$1001,0),0), INDEX($AM$1004:$BM$1004,1,MATCH(COLUMNS($AM$1006:AX1006),$AM$1006:$BM$1006,0)))),"Fix")))</f>
        <v xml:space="preserve"> </v>
      </c>
      <c r="N289" s="4" t="str">
        <f ca="1">IF(OR(INDEX($AG$2:$AG$1001,MATCH(ROWS($AF$2:AF289),$AF$2:$AF$1001,0),1)&gt;=100000,INDEX($AM$1005:$BM$1005,1,MATCH(COLUMNS($AM$1006:AY1006),$AM$1006:$BM$1006,0))&gt;=100000), " ",IF(INDEX($AM$2:$BM$1001,MATCH(ROWS($AF$2:AF289),$AF$2:$AF$1001,0),MATCH(COLUMNS($AM$1006:AY1006),$AM$1006:$BM$1006,0)), HYPERLINK("#",""), HYPERLINK(CONCATENATE("#metadata!", ADDRESS(INDEX($AH$2:$AH$1001,MATCH(ROWS($AF$2:AF289),$AF$2:$AF$1001,0),0), INDEX($AM$1004:$BM$1004,1,MATCH(COLUMNS($AM$1006:AY1006),$AM$1006:$BM$1006,0)))),"Fix")))</f>
        <v xml:space="preserve"> </v>
      </c>
      <c r="O289" s="4" t="str">
        <f ca="1">IF(OR(INDEX($AG$2:$AG$1001,MATCH(ROWS($AF$2:AF289),$AF$2:$AF$1001,0),1)&gt;=100000,INDEX($AM$1005:$BM$1005,1,MATCH(COLUMNS($AM$1006:AZ1006),$AM$1006:$BM$1006,0))&gt;=100000), " ",IF(INDEX($AM$2:$BM$1001,MATCH(ROWS($AF$2:AF289),$AF$2:$AF$1001,0),MATCH(COLUMNS($AM$1006:AZ1006),$AM$1006:$BM$1006,0)), HYPERLINK("#",""), HYPERLINK(CONCATENATE("#metadata!", ADDRESS(INDEX($AH$2:$AH$1001,MATCH(ROWS($AF$2:AF289),$AF$2:$AF$1001,0),0), INDEX($AM$1004:$BM$1004,1,MATCH(COLUMNS($AM$1006:AZ1006),$AM$1006:$BM$1006,0)))),"Fix")))</f>
        <v xml:space="preserve"> </v>
      </c>
      <c r="P289" s="4" t="str">
        <f ca="1">IF(OR(INDEX($AG$2:$AG$1001,MATCH(ROWS($AF$2:AF289),$AF$2:$AF$1001,0),1)&gt;=100000,INDEX($AM$1005:$BM$1005,1,MATCH(COLUMNS($AM$1006:BA1006),$AM$1006:$BM$1006,0))&gt;=100000), " ",IF(INDEX($AM$2:$BM$1001,MATCH(ROWS($AF$2:AF289),$AF$2:$AF$1001,0),MATCH(COLUMNS($AM$1006:BA1006),$AM$1006:$BM$1006,0)), HYPERLINK("#",""), HYPERLINK(CONCATENATE("#metadata!", ADDRESS(INDEX($AH$2:$AH$1001,MATCH(ROWS($AF$2:AF289),$AF$2:$AF$1001,0),0), INDEX($AM$1004:$BM$1004,1,MATCH(COLUMNS($AM$1006:BA1006),$AM$1006:$BM$1006,0)))),"Fix")))</f>
        <v xml:space="preserve"> </v>
      </c>
      <c r="Q289" s="4" t="str">
        <f ca="1">IF(OR(INDEX($AG$2:$AG$1001,MATCH(ROWS($AF$2:AF289),$AF$2:$AF$1001,0),1)&gt;=100000,INDEX($AM$1005:$BM$1005,1,MATCH(COLUMNS($AM$1006:BB1006),$AM$1006:$BM$1006,0))&gt;=100000), " ",IF(INDEX($AM$2:$BM$1001,MATCH(ROWS($AF$2:AF289),$AF$2:$AF$1001,0),MATCH(COLUMNS($AM$1006:BB1006),$AM$1006:$BM$1006,0)), HYPERLINK("#",""), HYPERLINK(CONCATENATE("#metadata!", ADDRESS(INDEX($AH$2:$AH$1001,MATCH(ROWS($AF$2:AF289),$AF$2:$AF$1001,0),0), INDEX($AM$1004:$BM$1004,1,MATCH(COLUMNS($AM$1006:BB1006),$AM$1006:$BM$1006,0)))),"Fix")))</f>
        <v xml:space="preserve"> </v>
      </c>
      <c r="R289" s="4" t="str">
        <f ca="1">IF(OR(INDEX($AG$2:$AG$1001,MATCH(ROWS($AF$2:AF289),$AF$2:$AF$1001,0),1)&gt;=100000,INDEX($AM$1005:$BM$1005,1,MATCH(COLUMNS($AM$1006:BC1006),$AM$1006:$BM$1006,0))&gt;=100000), " ",IF(INDEX($AM$2:$BM$1001,MATCH(ROWS($AF$2:AF289),$AF$2:$AF$1001,0),MATCH(COLUMNS($AM$1006:BC1006),$AM$1006:$BM$1006,0)), HYPERLINK("#",""), HYPERLINK(CONCATENATE("#metadata!", ADDRESS(INDEX($AH$2:$AH$1001,MATCH(ROWS($AF$2:AF289),$AF$2:$AF$1001,0),0), INDEX($AM$1004:$BM$1004,1,MATCH(COLUMNS($AM$1006:BC1006),$AM$1006:$BM$1006,0)))),"Fix")))</f>
        <v xml:space="preserve"> </v>
      </c>
      <c r="S289" s="4" t="str">
        <f ca="1">IF(OR(INDEX($AG$2:$AG$1001,MATCH(ROWS($AF$2:AF289),$AF$2:$AF$1001,0),1)&gt;=100000,INDEX($AM$1005:$BM$1005,1,MATCH(COLUMNS($AM$1006:BD1006),$AM$1006:$BM$1006,0))&gt;=100000), " ",IF(INDEX($AM$2:$BM$1001,MATCH(ROWS($AF$2:AF289),$AF$2:$AF$1001,0),MATCH(COLUMNS($AM$1006:BD1006),$AM$1006:$BM$1006,0)), HYPERLINK("#",""), HYPERLINK(CONCATENATE("#metadata!", ADDRESS(INDEX($AH$2:$AH$1001,MATCH(ROWS($AF$2:AF289),$AF$2:$AF$1001,0),0), INDEX($AM$1004:$BM$1004,1,MATCH(COLUMNS($AM$1006:BD1006),$AM$1006:$BM$1006,0)))),"Fix")))</f>
        <v xml:space="preserve"> </v>
      </c>
      <c r="T289" s="4" t="str">
        <f ca="1">IF(OR(INDEX($AG$2:$AG$1001,MATCH(ROWS($AF$2:AF289),$AF$2:$AF$1001,0),1)&gt;=100000,INDEX($AM$1005:$BM$1005,1,MATCH(COLUMNS($AM$1006:BE1006),$AM$1006:$BM$1006,0))&gt;=100000), " ",IF(INDEX($AM$2:$BM$1001,MATCH(ROWS($AF$2:AF289),$AF$2:$AF$1001,0),MATCH(COLUMNS($AM$1006:BE1006),$AM$1006:$BM$1006,0)), HYPERLINK("#",""), HYPERLINK(CONCATENATE("#metadata!", ADDRESS(INDEX($AH$2:$AH$1001,MATCH(ROWS($AF$2:AF289),$AF$2:$AF$1001,0),0), INDEX($AM$1004:$BM$1004,1,MATCH(COLUMNS($AM$1006:BE1006),$AM$1006:$BM$1006,0)))),"Fix")))</f>
        <v xml:space="preserve"> </v>
      </c>
      <c r="U289" s="4" t="str">
        <f ca="1">IF(OR(INDEX($AG$2:$AG$1001,MATCH(ROWS($AF$2:AF289),$AF$2:$AF$1001,0),1)&gt;=100000,INDEX($AM$1005:$BM$1005,1,MATCH(COLUMNS($AM$1006:BF1006),$AM$1006:$BM$1006,0))&gt;=100000), " ",IF(INDEX($AM$2:$BM$1001,MATCH(ROWS($AF$2:AF289),$AF$2:$AF$1001,0),MATCH(COLUMNS($AM$1006:BF1006),$AM$1006:$BM$1006,0)), HYPERLINK("#",""), HYPERLINK(CONCATENATE("#metadata!", ADDRESS(INDEX($AH$2:$AH$1001,MATCH(ROWS($AF$2:AF289),$AF$2:$AF$1001,0),0), INDEX($AM$1004:$BM$1004,1,MATCH(COLUMNS($AM$1006:BF1006),$AM$1006:$BM$1006,0)))),"Fix")))</f>
        <v xml:space="preserve"> </v>
      </c>
      <c r="V289" s="4" t="str">
        <f ca="1">IF(OR(INDEX($AG$2:$AG$1001,MATCH(ROWS($AF$2:AF289),$AF$2:$AF$1001,0),1)&gt;=100000,INDEX($AM$1005:$BM$1005,1,MATCH(COLUMNS($AM$1006:BG1006),$AM$1006:$BM$1006,0))&gt;=100000), " ",IF(INDEX($AM$2:$BM$1001,MATCH(ROWS($AF$2:AF289),$AF$2:$AF$1001,0),MATCH(COLUMNS($AM$1006:BG1006),$AM$1006:$BM$1006,0)), HYPERLINK("#",""), HYPERLINK(CONCATENATE("#metadata!", ADDRESS(INDEX($AH$2:$AH$1001,MATCH(ROWS($AF$2:AF289),$AF$2:$AF$1001,0),0), INDEX($AM$1004:$BM$1004,1,MATCH(COLUMNS($AM$1006:BG1006),$AM$1006:$BM$1006,0)))),"Fix")))</f>
        <v xml:space="preserve"> </v>
      </c>
      <c r="W289" s="4" t="str">
        <f ca="1">IF(OR(INDEX($AG$2:$AG$1001,MATCH(ROWS($AF$2:AF289),$AF$2:$AF$1001,0),1)&gt;=100000,INDEX($AM$1005:$BM$1005,1,MATCH(COLUMNS($AM$1006:BH1006),$AM$1006:$BM$1006,0))&gt;=100000), " ",IF(INDEX($AM$2:$BM$1001,MATCH(ROWS($AF$2:AF289),$AF$2:$AF$1001,0),MATCH(COLUMNS($AM$1006:BH1006),$AM$1006:$BM$1006,0)), HYPERLINK("#",""), HYPERLINK(CONCATENATE("#metadata!", ADDRESS(INDEX($AH$2:$AH$1001,MATCH(ROWS($AF$2:AF289),$AF$2:$AF$1001,0),0), INDEX($AM$1004:$BM$1004,1,MATCH(COLUMNS($AM$1006:BH1006),$AM$1006:$BM$1006,0)))),"Fix")))</f>
        <v xml:space="preserve"> </v>
      </c>
      <c r="X289" s="4" t="str">
        <f ca="1">IF(OR(INDEX($AG$2:$AG$1001,MATCH(ROWS($AF$2:AF289),$AF$2:$AF$1001,0),1)&gt;=100000,INDEX($AM$1005:$BM$1005,1,MATCH(COLUMNS($AM$1006:BI1006),$AM$1006:$BM$1006,0))&gt;=100000), " ",IF(INDEX($AM$2:$BM$1001,MATCH(ROWS($AF$2:AF289),$AF$2:$AF$1001,0),MATCH(COLUMNS($AM$1006:BI1006),$AM$1006:$BM$1006,0)), HYPERLINK("#",""), HYPERLINK(CONCATENATE("#metadata!", ADDRESS(INDEX($AH$2:$AH$1001,MATCH(ROWS($AF$2:AF289),$AF$2:$AF$1001,0),0), INDEX($AM$1004:$BM$1004,1,MATCH(COLUMNS($AM$1006:BI1006),$AM$1006:$BM$1006,0)))),"Fix")))</f>
        <v xml:space="preserve"> </v>
      </c>
      <c r="Y289" s="4" t="str">
        <f ca="1">IF(OR(INDEX($AG$2:$AG$1001,MATCH(ROWS($AF$2:AF289),$AF$2:$AF$1001,0),1)&gt;=100000,INDEX($AM$1005:$BM$1005,1,MATCH(COLUMNS($AM$1006:BJ1006),$AM$1006:$BM$1006,0))&gt;=100000), " ",IF(INDEX($AM$2:$BM$1001,MATCH(ROWS($AF$2:AF289),$AF$2:$AF$1001,0),MATCH(COLUMNS($AM$1006:BJ1006),$AM$1006:$BM$1006,0)), HYPERLINK("#",""), HYPERLINK(CONCATENATE("#metadata!", ADDRESS(INDEX($AH$2:$AH$1001,MATCH(ROWS($AF$2:AF289),$AF$2:$AF$1001,0),0), INDEX($AM$1004:$BM$1004,1,MATCH(COLUMNS($AM$1006:BJ1006),$AM$1006:$BM$1006,0)))),"Fix")))</f>
        <v xml:space="preserve"> </v>
      </c>
      <c r="Z289" s="4" t="str">
        <f ca="1">IF(OR(INDEX($AG$2:$AG$1001,MATCH(ROWS($AF$2:AF289),$AF$2:$AF$1001,0),1)&gt;=100000,INDEX($AM$1005:$BM$1005,1,MATCH(COLUMNS($AM$1006:BK1006),$AM$1006:$BM$1006,0))&gt;=100000), " ",IF(INDEX($AM$2:$BM$1001,MATCH(ROWS($AF$2:AF289),$AF$2:$AF$1001,0),MATCH(COLUMNS($AM$1006:BK1006),$AM$1006:$BM$1006,0)), HYPERLINK("#",""), HYPERLINK(CONCATENATE("#metadata!", ADDRESS(INDEX($AH$2:$AH$1001,MATCH(ROWS($AF$2:AF289),$AF$2:$AF$1001,0),0), INDEX($AM$1004:$BM$1004,1,MATCH(COLUMNS($AM$1006:BK1006),$AM$1006:$BM$1006,0)))),"Fix")))</f>
        <v xml:space="preserve"> </v>
      </c>
      <c r="AA289" s="4" t="str">
        <f ca="1">IF(OR(INDEX($AG$2:$AG$1001,MATCH(ROWS($AF$2:AF289),$AF$2:$AF$1001,0),1)&gt;=100000,INDEX($AM$1005:$BM$1005,1,MATCH(COLUMNS($AM$1006:BL1006),$AM$1006:$BM$1006,0))&gt;=100000), " ",IF(INDEX($AM$2:$BM$1001,MATCH(ROWS($AF$2:AF289),$AF$2:$AF$1001,0),MATCH(COLUMNS($AM$1006:BL1006),$AM$1006:$BM$1006,0)), HYPERLINK("#",""), HYPERLINK(CONCATENATE("#metadata!", ADDRESS(INDEX($AH$2:$AH$1001,MATCH(ROWS($AF$2:AF289),$AF$2:$AF$1001,0),0), INDEX($AM$1004:$BM$1004,1,MATCH(COLUMNS($AM$1006:BL1006),$AM$1006:$BM$1006,0)))),"Fix")))</f>
        <v xml:space="preserve"> </v>
      </c>
      <c r="AB289" s="4" t="str">
        <f ca="1">IF(OR(INDEX($AG$2:$AG$1001,MATCH(ROWS($AF$2:AF289),$AF$2:$AF$1001,0),1)&gt;=100000,INDEX($AM$1005:$BM$1005,1,MATCH(COLUMNS($AM$1006:BM1006),$AM$1006:$BM$1006,0))&gt;=100000), " ",IF(INDEX($AM$2:$BM$1001,MATCH(ROWS($AF$2:AF289),$AF$2:$AF$1001,0),MATCH(COLUMNS($AM$1006:BM1006),$AM$1006:$BM$1006,0)), HYPERLINK("#",""), HYPERLINK(CONCATENATE("#metadata!", ADDRESS(INDEX($AH$2:$AH$1001,MATCH(ROWS($AF$2:AF289),$AF$2:$AF$1001,0),0), INDEX($AM$1004:$BM$1004,1,MATCH(COLUMNS($AM$1006:BM1006),$AM$1006:$BM$1006,0)))),"Fix")))</f>
        <v xml:space="preserve"> </v>
      </c>
      <c r="AF289">
        <v>288</v>
      </c>
      <c r="AG289">
        <v>100289</v>
      </c>
      <c r="AH289">
        <v>289</v>
      </c>
      <c r="AI289" t="b">
        <f t="shared" si="4"/>
        <v>1</v>
      </c>
      <c r="AJ289" t="b">
        <f>COUNTBLANK(metadata!B289:AB289)=COLUMNS(metadata!B289:AB289)</f>
        <v>1</v>
      </c>
      <c r="AK289" t="str">
        <v/>
      </c>
      <c r="AM289" t="b">
        <f ca="1">AND(IF(metadata!B289="",FALSE,TRUE),COUNTIF(metadata!B:B, metadata!B289) = 1,NOT(ISERROR(SUMPRODUCT(SEARCH(MID(metadata!B289,ROW(INDIRECT("1:"&amp;LEN(metadata!B289))), 1),"0123456789abcdefghijklmnopqrstuvwxyzABCDEFGHIJKLMNOPQRSTUVWXYZ.")))))</f>
        <v>0</v>
      </c>
      <c r="AN289" t="b">
        <f ca="1">OR(AND(IF(metadata!C289="",FALSE,TRUE),OR(EXACT(metadata!C289,"missing: not collected"),EXACT(metadata!C289,"missing: not provided"),EXACT(metadata!C289,"missing: restricted access"))),AND(IF(metadata!C289="",FALSE,TRUE),AND(AND(IFERROR(INT(LEFT(metadata!C289,4))&gt;1900,FALSE),IFERROR(INT(LEFT(metadata!C289,4))&lt;=YEAR(NOW()),FALSE)), OR(MID(metadata!C289,5,1)="", AND(AND(MID(metadata!C289,5,1)="-",IFERROR(INT(MID(metadata!C289,6,1))&gt;=0,FALSE),IFERROR(INT(MID(metadata!C289,6,1))&lt;=1,FALSE),NOT(MID(metadata!C289,7,1)=""),IFERROR(INT(MID(metadata!C289,6,2))&gt;=1,FALSE),IFERROR(INT(MID(metadata!C289,6,2))&lt;=12,FALSE)), OR(MID(metadata!C289,8,1)="", AND(AND(MID(metadata!C289,8,1)="-",IFERROR(INT(MID(metadata!C289,9,1))&gt;=0,FALSE),IFERROR(INT(MID(metadata!C289,9,1))&lt;=3,FALSE),NOT(MID(metadata!C289,10,1)=""),IFERROR(INT(MID(metadata!C289,9,2))&gt;=1,FALSE),IFERROR(INT(MID(metadata!C289,9,2))&lt;=31,FALSE)), OR(MID(metadata!C289,11,1)="", AND(AND(MID(metadata!C289,11,1)=" ",IFERROR(INT(MID(metadata!C289,12,1))&gt;=0,FALSE),IFERROR(INT(MID(metadata!C289,12,1))&lt;=2,FALSE),NOT(MID(metadata!C289,13,1)=""),IFERROR(INT(MID(metadata!C289,12,2))&gt;=0,FALSE),IFERROR(INT(MID(metadata!C289,12,2))&lt;=23,FALSE)), OR(MID(metadata!C289,14,1)="", AND(AND(MID(metadata!C289,14,1)=":",IFERROR(INT(MID(metadata!C289,15,1))&gt;=0,FALSE),IFERROR(INT(MID(metadata!C289,15,1))&lt;=5,FALSE),NOT(MID(metadata!C289,16,1)=""),IFERROR(INT(MID(metadata!C289,15,2))&gt;=0,FALSE),IFERROR(INT(MID(metadata!C289,15,2))&lt;=59,FALSE)), OR(MID(metadata!C289,17,1)="", AND(AND(MID(metadata!C289,17,1)=":",IFERROR(INT(MID(metadata!C289,18,1))&gt;=0,FALSE),IFERROR(INT(MID(metadata!C289,18,1))&lt;=5,FALSE),NOT(MID(metadata!C289,19,1)=""),IFERROR(INT(MID(metadata!C289,18,2))&gt;=0,FALSE),IFERROR(INT(MID(metadata!C289,18,2))&lt;=59,FALSE)), LEN(metadata!C289)&lt;=19)))))))))))))</f>
        <v>0</v>
      </c>
      <c r="AO289" t="b">
        <f>AND(IF(metadata!D289="",FALSE,TRUE),EXACT(metadata!D289,"Not applicable"))</f>
        <v>0</v>
      </c>
      <c r="AP289" t="b">
        <f>IF(metadata!E289="",FALSE,TRUE)</f>
        <v>0</v>
      </c>
      <c r="AQ289" t="b">
        <f>OR(AND(IF(metadata!F289="",FALSE,TRUE),OR(EXACT(metadata!F289,"missing: not collected"),EXACT(metadata!F289,"missing: not provided"))),AND(IF(metadata!F289="",FALSE,TRUE),OR(EXACT(metadata!F289,"TRUE"),EXACT(metadata!F289,"FALSE"))))</f>
        <v>0</v>
      </c>
      <c r="AR289" t="b">
        <f>OR(AND(IF(metadata!G289="",FALSE,TRUE),OR(EXACT(metadata!G289,"missing: not collected"),EXACT(metadata!G289,"missing: not provided"),EXACT(metadata!G289,"missing: restricted access"))),AND(IF(metadata!G289="",FALSE,ISNUMBER(VALUE(metadata!G289))),metadata!G289&gt;=-413))</f>
        <v>0</v>
      </c>
      <c r="AS289" t="b">
        <f>AND(IF(metadata!H289="",FALSE,TRUE),EXACT(metadata!H289,"meters"))</f>
        <v>0</v>
      </c>
      <c r="AT289" t="b">
        <f>AND(IF(metadata!I289="",FALSE,TRUE),OR(EXACT(metadata!I289,"Host-associated"),EXACT(metadata!I289,"Free-living")))</f>
        <v>0</v>
      </c>
      <c r="AU289" t="b">
        <f>AND(IF(metadata!J289="",FALSE,TRUE),OR(EXACT(metadata!J289,"Animal"),EXACT(metadata!J289,"Fungus"),EXACT(metadata!J289,"Plant"),EXACT(metadata!J289,"Saline"),EXACT(metadata!J289,"Non-saline")))</f>
        <v>0</v>
      </c>
      <c r="AV289" t="b">
        <f>AND(IF(metadata!K289="",FALSE,TRUE),OR(EXACT(metadata!K289,"Plant secretion"),EXACT(metadata!K289,"Plant rhizosphere"),EXACT(metadata!K289,"Plant surface"),EXACT(metadata!K289,"Plant corpus"),EXACT(metadata!K289,"Fungus surface"),EXACT(metadata!K289,"Fungus corpus"),EXACT(metadata!K289,"Animal surface"),EXACT(metadata!K289,"Animal proximal gut"),EXACT(metadata!K289,"Animal corpus"),EXACT(metadata!K289,"Animal distal gut"),EXACT(metadata!K289,"Animal secretion"),EXACT(metadata!K289,"Sub-surface (non-saline)"),EXACT(metadata!K289,"Surface (non-saline)"),EXACT(metadata!K289,"Water (non-saline)"),EXACT(metadata!K289,"Soil (non-saline)"),EXACT(metadata!K289,"Aerosol (non-saline)"),EXACT(metadata!K289,"Sediment (non-saline)"),EXACT(metadata!K289,"Surface (saline)"),EXACT(metadata!K289,"Water (saline)"),EXACT(metadata!K289,"Hypersaline (saline)"),EXACT(metadata!K289,"Aerosol (saline)"),EXACT(metadata!K289,"Sediment (saline)")))</f>
        <v>0</v>
      </c>
      <c r="AW289" t="b">
        <f>IF(metadata!L289="",FALSE,TRUE)</f>
        <v>0</v>
      </c>
      <c r="AX289" t="b">
        <f>IF(metadata!M289="",FALSE,TRUE)</f>
        <v>0</v>
      </c>
      <c r="AY289" t="b">
        <f>IF(metadata!N289="",FALSE,TRUE)</f>
        <v>0</v>
      </c>
      <c r="AZ289" t="b">
        <f>OR(AND(IF(metadata!O289="",FALSE,TRUE),OR(EXACT(metadata!O289,"missing: not collected"),EXACT(metadata!O289,"missing: not provided"),EXACT(metadata!O289,"missing: restricted access"))),AND(IF(metadata!O289="",FALSE,TRUE),OR(EXACT(metadata!O289,"air"),EXACT(metadata!O289,"built environment"),EXACT(metadata!O289,"host-associated"),EXACT(metadata!O289,"human-associated"),EXACT(metadata!O289,"human-skin"),EXACT(metadata!O289,"human-oral"),EXACT(metadata!O289,"human-gut"),EXACT(metadata!O289,"human-vaginal"),EXACT(metadata!O289,"microbial mat/biofilm"),EXACT(metadata!O289,"misc environment"),EXACT(metadata!O289,"plant-associated"),EXACT(metadata!O289,"sediment"),EXACT(metadata!O289,"soil"),EXACT(metadata!O289,"wastewater/sludge"),EXACT(metadata!O289,"water"))))</f>
        <v>0</v>
      </c>
      <c r="BA289" t="b">
        <f>IF(metadata!P289="",FALSE,TRUE)</f>
        <v>0</v>
      </c>
      <c r="BB289" t="b">
        <f>IF(metadata!Q289="",FALSE,TRUE)</f>
        <v>0</v>
      </c>
      <c r="BC289" t="b">
        <f>OR(AND(IF(metadata!R289="",FALSE,TRUE),OR(EXACT(metadata!R289,"missing: not collected"),EXACT(metadata!R289,"missing: not provided"),EXACT(metadata!R289,"missing: restricted access"))),AND(IF(metadata!R289="",FALSE,ISNUMBER(VALUE(metadata!R289))),metadata!R289&gt;=-90,metadata!R289&lt;=90))</f>
        <v>0</v>
      </c>
      <c r="BD289" t="b">
        <f>AND(IF(metadata!S289="",FALSE,TRUE),EXACT(metadata!S289,"Decimal degrees"))</f>
        <v>0</v>
      </c>
      <c r="BE289" t="b">
        <f>OR(AND(IF(metadata!T289="",FALSE,TRUE),OR(EXACT(metadata!T289,"missing: not collected"),EXACT(metadata!T289,"missing: not provided"),EXACT(metadata!T289,"missing: restricted access"))),AND(IF(metadata!T289="",FALSE,ISNUMBER(VALUE(metadata!T289))),metadata!T289&gt;=-180,metadata!T289&lt;=180))</f>
        <v>0</v>
      </c>
      <c r="BF289" t="b">
        <f>AND(IF(metadata!U289="",FALSE,TRUE),EXACT(metadata!U289,"Decimal degrees"))</f>
        <v>0</v>
      </c>
      <c r="BG289" t="b">
        <f>IF(metadata!V289="",FALSE,TRUE)</f>
        <v>0</v>
      </c>
      <c r="BH289" t="b">
        <f>OR(AND(IF(metadata!W289="",FALSE,TRUE),OR(EXACT(metadata!W289,"missing: not collected"),EXACT(metadata!W289,"missing: not provided"),EXACT(metadata!W289,"missing: restricted access"))),AND(IF(metadata!W289="",FALSE,TRUE),OR(EXACT(metadata!W289,"TRUE"),EXACT(metadata!W289,"FALSE"))))</f>
        <v>0</v>
      </c>
      <c r="BI289" t="b">
        <f>AND(IF(metadata!X289="",FALSE,TRUE),EXACT(metadata!X289,"other"))</f>
        <v>0</v>
      </c>
      <c r="BJ289" t="b">
        <f>IF(metadata!Y289="",FALSE,TRUE)</f>
        <v>0</v>
      </c>
      <c r="BK289" t="b">
        <f>OR(AND(IF(metadata!Z289="",FALSE,TRUE),OR(EXACT(metadata!Z289,"missing: not collected"),EXACT(metadata!Z289,"missing: not provided"))),AND(IF(metadata!Z289="",FALSE,IF(ISERROR(INT(metadata!Z289)),FALSE,INT(metadata!Z289)=metadata!Z289)),metadata!Z289&gt;0))</f>
        <v>0</v>
      </c>
      <c r="BL289" t="b">
        <f>AND(IF(metadata!AA289="",FALSE,TRUE),EXACT(metadata!AA289,"Not applicable"))</f>
        <v>0</v>
      </c>
      <c r="BM289" t="b">
        <f>IF(metadata!AB289="",FALSE,TRUE)</f>
        <v>0</v>
      </c>
    </row>
    <row r="290" spans="1:65" x14ac:dyDescent="0.2">
      <c r="A290" s="5" t="str">
        <f ca="1">IF(B290=" "," ",HYPERLINK(CONCATENATE("#metadata!",ADDRESS(INDEX($AH$2:$AH$1001,MATCH(ROWS($AF$2:AF290),$AF$2:$AF$1001,0),0),1)),INDEX($AK$2:$AK$1001,MATCH(ROWS($AF$2:AF290),$AF$2:$AF$1001,0),0)))</f>
        <v xml:space="preserve"> </v>
      </c>
      <c r="B290" s="4" t="str">
        <f ca="1">IF(OR(INDEX($AG$2:$AG$1001,MATCH(ROWS($AF$2:AF290),$AF$2:$AF$1001,0),1)&gt;=100000,INDEX($AM$1005:$BM$1005,1,MATCH(COLUMNS($AM$1006:AM1006),$AM$1006:$BM$1006,0))&gt;=100000), " ",IF(INDEX($AM$2:$BM$1001,MATCH(ROWS($AF$2:AF290),$AF$2:$AF$1001,0),MATCH(COLUMNS($AM$1006:AM1006),$AM$1006:$BM$1006,0)), HYPERLINK("#",""), HYPERLINK(CONCATENATE("#metadata!", ADDRESS(INDEX($AH$2:$AH$1001,MATCH(ROWS($AF$2:AF290),$AF$2:$AF$1001,0),0), INDEX($AM$1004:$BM$1004,1,MATCH(COLUMNS($AM$1006:AM1006),$AM$1006:$BM$1006,0)))),"Fix")))</f>
        <v xml:space="preserve"> </v>
      </c>
      <c r="C290" s="4" t="str">
        <f ca="1">IF(OR(INDEX($AG$2:$AG$1001,MATCH(ROWS($AF$2:AF290),$AF$2:$AF$1001,0),1)&gt;=100000,INDEX($AM$1005:$BM$1005,1,MATCH(COLUMNS($AM$1006:AN1006),$AM$1006:$BM$1006,0))&gt;=100000), " ",IF(INDEX($AM$2:$BM$1001,MATCH(ROWS($AF$2:AF290),$AF$2:$AF$1001,0),MATCH(COLUMNS($AM$1006:AN1006),$AM$1006:$BM$1006,0)), HYPERLINK("#",""), HYPERLINK(CONCATENATE("#metadata!", ADDRESS(INDEX($AH$2:$AH$1001,MATCH(ROWS($AF$2:AF290),$AF$2:$AF$1001,0),0), INDEX($AM$1004:$BM$1004,1,MATCH(COLUMNS($AM$1006:AN1006),$AM$1006:$BM$1006,0)))),"Fix")))</f>
        <v xml:space="preserve"> </v>
      </c>
      <c r="D290" s="4" t="str">
        <f ca="1">IF(OR(INDEX($AG$2:$AG$1001,MATCH(ROWS($AF$2:AF290),$AF$2:$AF$1001,0),1)&gt;=100000,INDEX($AM$1005:$BM$1005,1,MATCH(COLUMNS($AM$1006:AO1006),$AM$1006:$BM$1006,0))&gt;=100000), " ",IF(INDEX($AM$2:$BM$1001,MATCH(ROWS($AF$2:AF290),$AF$2:$AF$1001,0),MATCH(COLUMNS($AM$1006:AO1006),$AM$1006:$BM$1006,0)), HYPERLINK("#",""), HYPERLINK(CONCATENATE("#metadata!", ADDRESS(INDEX($AH$2:$AH$1001,MATCH(ROWS($AF$2:AF290),$AF$2:$AF$1001,0),0), INDEX($AM$1004:$BM$1004,1,MATCH(COLUMNS($AM$1006:AO1006),$AM$1006:$BM$1006,0)))),"Fix")))</f>
        <v xml:space="preserve"> </v>
      </c>
      <c r="E290" s="4" t="str">
        <f ca="1">IF(OR(INDEX($AG$2:$AG$1001,MATCH(ROWS($AF$2:AF290),$AF$2:$AF$1001,0),1)&gt;=100000,INDEX($AM$1005:$BM$1005,1,MATCH(COLUMNS($AM$1006:AP1006),$AM$1006:$BM$1006,0))&gt;=100000), " ",IF(INDEX($AM$2:$BM$1001,MATCH(ROWS($AF$2:AF290),$AF$2:$AF$1001,0),MATCH(COLUMNS($AM$1006:AP1006),$AM$1006:$BM$1006,0)), HYPERLINK("#",""), HYPERLINK(CONCATENATE("#metadata!", ADDRESS(INDEX($AH$2:$AH$1001,MATCH(ROWS($AF$2:AF290),$AF$2:$AF$1001,0),0), INDEX($AM$1004:$BM$1004,1,MATCH(COLUMNS($AM$1006:AP1006),$AM$1006:$BM$1006,0)))),"Fix")))</f>
        <v xml:space="preserve"> </v>
      </c>
      <c r="F290" s="4" t="str">
        <f ca="1">IF(OR(INDEX($AG$2:$AG$1001,MATCH(ROWS($AF$2:AF290),$AF$2:$AF$1001,0),1)&gt;=100000,INDEX($AM$1005:$BM$1005,1,MATCH(COLUMNS($AM$1006:AQ1006),$AM$1006:$BM$1006,0))&gt;=100000), " ",IF(INDEX($AM$2:$BM$1001,MATCH(ROWS($AF$2:AF290),$AF$2:$AF$1001,0),MATCH(COLUMNS($AM$1006:AQ1006),$AM$1006:$BM$1006,0)), HYPERLINK("#",""), HYPERLINK(CONCATENATE("#metadata!", ADDRESS(INDEX($AH$2:$AH$1001,MATCH(ROWS($AF$2:AF290),$AF$2:$AF$1001,0),0), INDEX($AM$1004:$BM$1004,1,MATCH(COLUMNS($AM$1006:AQ1006),$AM$1006:$BM$1006,0)))),"Fix")))</f>
        <v xml:space="preserve"> </v>
      </c>
      <c r="G290" s="4" t="str">
        <f ca="1">IF(OR(INDEX($AG$2:$AG$1001,MATCH(ROWS($AF$2:AF290),$AF$2:$AF$1001,0),1)&gt;=100000,INDEX($AM$1005:$BM$1005,1,MATCH(COLUMNS($AM$1006:AR1006),$AM$1006:$BM$1006,0))&gt;=100000), " ",IF(INDEX($AM$2:$BM$1001,MATCH(ROWS($AF$2:AF290),$AF$2:$AF$1001,0),MATCH(COLUMNS($AM$1006:AR1006),$AM$1006:$BM$1006,0)), HYPERLINK("#",""), HYPERLINK(CONCATENATE("#metadata!", ADDRESS(INDEX($AH$2:$AH$1001,MATCH(ROWS($AF$2:AF290),$AF$2:$AF$1001,0),0), INDEX($AM$1004:$BM$1004,1,MATCH(COLUMNS($AM$1006:AR1006),$AM$1006:$BM$1006,0)))),"Fix")))</f>
        <v xml:space="preserve"> </v>
      </c>
      <c r="H290" s="4" t="str">
        <f ca="1">IF(OR(INDEX($AG$2:$AG$1001,MATCH(ROWS($AF$2:AF290),$AF$2:$AF$1001,0),1)&gt;=100000,INDEX($AM$1005:$BM$1005,1,MATCH(COLUMNS($AM$1006:AS1006),$AM$1006:$BM$1006,0))&gt;=100000), " ",IF(INDEX($AM$2:$BM$1001,MATCH(ROWS($AF$2:AF290),$AF$2:$AF$1001,0),MATCH(COLUMNS($AM$1006:AS1006),$AM$1006:$BM$1006,0)), HYPERLINK("#",""), HYPERLINK(CONCATENATE("#metadata!", ADDRESS(INDEX($AH$2:$AH$1001,MATCH(ROWS($AF$2:AF290),$AF$2:$AF$1001,0),0), INDEX($AM$1004:$BM$1004,1,MATCH(COLUMNS($AM$1006:AS1006),$AM$1006:$BM$1006,0)))),"Fix")))</f>
        <v xml:space="preserve"> </v>
      </c>
      <c r="I290" s="4" t="str">
        <f ca="1">IF(OR(INDEX($AG$2:$AG$1001,MATCH(ROWS($AF$2:AF290),$AF$2:$AF$1001,0),1)&gt;=100000,INDEX($AM$1005:$BM$1005,1,MATCH(COLUMNS($AM$1006:AT1006),$AM$1006:$BM$1006,0))&gt;=100000), " ",IF(INDEX($AM$2:$BM$1001,MATCH(ROWS($AF$2:AF290),$AF$2:$AF$1001,0),MATCH(COLUMNS($AM$1006:AT1006),$AM$1006:$BM$1006,0)), HYPERLINK("#",""), HYPERLINK(CONCATENATE("#metadata!", ADDRESS(INDEX($AH$2:$AH$1001,MATCH(ROWS($AF$2:AF290),$AF$2:$AF$1001,0),0), INDEX($AM$1004:$BM$1004,1,MATCH(COLUMNS($AM$1006:AT1006),$AM$1006:$BM$1006,0)))),"Fix")))</f>
        <v xml:space="preserve"> </v>
      </c>
      <c r="J290" s="4" t="str">
        <f ca="1">IF(OR(INDEX($AG$2:$AG$1001,MATCH(ROWS($AF$2:AF290),$AF$2:$AF$1001,0),1)&gt;=100000,INDEX($AM$1005:$BM$1005,1,MATCH(COLUMNS($AM$1006:AU1006),$AM$1006:$BM$1006,0))&gt;=100000), " ",IF(INDEX($AM$2:$BM$1001,MATCH(ROWS($AF$2:AF290),$AF$2:$AF$1001,0),MATCH(COLUMNS($AM$1006:AU1006),$AM$1006:$BM$1006,0)), HYPERLINK("#",""), HYPERLINK(CONCATENATE("#metadata!", ADDRESS(INDEX($AH$2:$AH$1001,MATCH(ROWS($AF$2:AF290),$AF$2:$AF$1001,0),0), INDEX($AM$1004:$BM$1004,1,MATCH(COLUMNS($AM$1006:AU1006),$AM$1006:$BM$1006,0)))),"Fix")))</f>
        <v xml:space="preserve"> </v>
      </c>
      <c r="K290" s="4" t="str">
        <f ca="1">IF(OR(INDEX($AG$2:$AG$1001,MATCH(ROWS($AF$2:AF290),$AF$2:$AF$1001,0),1)&gt;=100000,INDEX($AM$1005:$BM$1005,1,MATCH(COLUMNS($AM$1006:AV1006),$AM$1006:$BM$1006,0))&gt;=100000), " ",IF(INDEX($AM$2:$BM$1001,MATCH(ROWS($AF$2:AF290),$AF$2:$AF$1001,0),MATCH(COLUMNS($AM$1006:AV1006),$AM$1006:$BM$1006,0)), HYPERLINK("#",""), HYPERLINK(CONCATENATE("#metadata!", ADDRESS(INDEX($AH$2:$AH$1001,MATCH(ROWS($AF$2:AF290),$AF$2:$AF$1001,0),0), INDEX($AM$1004:$BM$1004,1,MATCH(COLUMNS($AM$1006:AV1006),$AM$1006:$BM$1006,0)))),"Fix")))</f>
        <v xml:space="preserve"> </v>
      </c>
      <c r="L290" s="4" t="str">
        <f ca="1">IF(OR(INDEX($AG$2:$AG$1001,MATCH(ROWS($AF$2:AF290),$AF$2:$AF$1001,0),1)&gt;=100000,INDEX($AM$1005:$BM$1005,1,MATCH(COLUMNS($AM$1006:AW1006),$AM$1006:$BM$1006,0))&gt;=100000), " ",IF(INDEX($AM$2:$BM$1001,MATCH(ROWS($AF$2:AF290),$AF$2:$AF$1001,0),MATCH(COLUMNS($AM$1006:AW1006),$AM$1006:$BM$1006,0)), HYPERLINK("#",""), HYPERLINK(CONCATENATE("#metadata!", ADDRESS(INDEX($AH$2:$AH$1001,MATCH(ROWS($AF$2:AF290),$AF$2:$AF$1001,0),0), INDEX($AM$1004:$BM$1004,1,MATCH(COLUMNS($AM$1006:AW1006),$AM$1006:$BM$1006,0)))),"Fix")))</f>
        <v xml:space="preserve"> </v>
      </c>
      <c r="M290" s="4" t="str">
        <f ca="1">IF(OR(INDEX($AG$2:$AG$1001,MATCH(ROWS($AF$2:AF290),$AF$2:$AF$1001,0),1)&gt;=100000,INDEX($AM$1005:$BM$1005,1,MATCH(COLUMNS($AM$1006:AX1006),$AM$1006:$BM$1006,0))&gt;=100000), " ",IF(INDEX($AM$2:$BM$1001,MATCH(ROWS($AF$2:AF290),$AF$2:$AF$1001,0),MATCH(COLUMNS($AM$1006:AX1006),$AM$1006:$BM$1006,0)), HYPERLINK("#",""), HYPERLINK(CONCATENATE("#metadata!", ADDRESS(INDEX($AH$2:$AH$1001,MATCH(ROWS($AF$2:AF290),$AF$2:$AF$1001,0),0), INDEX($AM$1004:$BM$1004,1,MATCH(COLUMNS($AM$1006:AX1006),$AM$1006:$BM$1006,0)))),"Fix")))</f>
        <v xml:space="preserve"> </v>
      </c>
      <c r="N290" s="4" t="str">
        <f ca="1">IF(OR(INDEX($AG$2:$AG$1001,MATCH(ROWS($AF$2:AF290),$AF$2:$AF$1001,0),1)&gt;=100000,INDEX($AM$1005:$BM$1005,1,MATCH(COLUMNS($AM$1006:AY1006),$AM$1006:$BM$1006,0))&gt;=100000), " ",IF(INDEX($AM$2:$BM$1001,MATCH(ROWS($AF$2:AF290),$AF$2:$AF$1001,0),MATCH(COLUMNS($AM$1006:AY1006),$AM$1006:$BM$1006,0)), HYPERLINK("#",""), HYPERLINK(CONCATENATE("#metadata!", ADDRESS(INDEX($AH$2:$AH$1001,MATCH(ROWS($AF$2:AF290),$AF$2:$AF$1001,0),0), INDEX($AM$1004:$BM$1004,1,MATCH(COLUMNS($AM$1006:AY1006),$AM$1006:$BM$1006,0)))),"Fix")))</f>
        <v xml:space="preserve"> </v>
      </c>
      <c r="O290" s="4" t="str">
        <f ca="1">IF(OR(INDEX($AG$2:$AG$1001,MATCH(ROWS($AF$2:AF290),$AF$2:$AF$1001,0),1)&gt;=100000,INDEX($AM$1005:$BM$1005,1,MATCH(COLUMNS($AM$1006:AZ1006),$AM$1006:$BM$1006,0))&gt;=100000), " ",IF(INDEX($AM$2:$BM$1001,MATCH(ROWS($AF$2:AF290),$AF$2:$AF$1001,0),MATCH(COLUMNS($AM$1006:AZ1006),$AM$1006:$BM$1006,0)), HYPERLINK("#",""), HYPERLINK(CONCATENATE("#metadata!", ADDRESS(INDEX($AH$2:$AH$1001,MATCH(ROWS($AF$2:AF290),$AF$2:$AF$1001,0),0), INDEX($AM$1004:$BM$1004,1,MATCH(COLUMNS($AM$1006:AZ1006),$AM$1006:$BM$1006,0)))),"Fix")))</f>
        <v xml:space="preserve"> </v>
      </c>
      <c r="P290" s="4" t="str">
        <f ca="1">IF(OR(INDEX($AG$2:$AG$1001,MATCH(ROWS($AF$2:AF290),$AF$2:$AF$1001,0),1)&gt;=100000,INDEX($AM$1005:$BM$1005,1,MATCH(COLUMNS($AM$1006:BA1006),$AM$1006:$BM$1006,0))&gt;=100000), " ",IF(INDEX($AM$2:$BM$1001,MATCH(ROWS($AF$2:AF290),$AF$2:$AF$1001,0),MATCH(COLUMNS($AM$1006:BA1006),$AM$1006:$BM$1006,0)), HYPERLINK("#",""), HYPERLINK(CONCATENATE("#metadata!", ADDRESS(INDEX($AH$2:$AH$1001,MATCH(ROWS($AF$2:AF290),$AF$2:$AF$1001,0),0), INDEX($AM$1004:$BM$1004,1,MATCH(COLUMNS($AM$1006:BA1006),$AM$1006:$BM$1006,0)))),"Fix")))</f>
        <v xml:space="preserve"> </v>
      </c>
      <c r="Q290" s="4" t="str">
        <f ca="1">IF(OR(INDEX($AG$2:$AG$1001,MATCH(ROWS($AF$2:AF290),$AF$2:$AF$1001,0),1)&gt;=100000,INDEX($AM$1005:$BM$1005,1,MATCH(COLUMNS($AM$1006:BB1006),$AM$1006:$BM$1006,0))&gt;=100000), " ",IF(INDEX($AM$2:$BM$1001,MATCH(ROWS($AF$2:AF290),$AF$2:$AF$1001,0),MATCH(COLUMNS($AM$1006:BB1006),$AM$1006:$BM$1006,0)), HYPERLINK("#",""), HYPERLINK(CONCATENATE("#metadata!", ADDRESS(INDEX($AH$2:$AH$1001,MATCH(ROWS($AF$2:AF290),$AF$2:$AF$1001,0),0), INDEX($AM$1004:$BM$1004,1,MATCH(COLUMNS($AM$1006:BB1006),$AM$1006:$BM$1006,0)))),"Fix")))</f>
        <v xml:space="preserve"> </v>
      </c>
      <c r="R290" s="4" t="str">
        <f ca="1">IF(OR(INDEX($AG$2:$AG$1001,MATCH(ROWS($AF$2:AF290),$AF$2:$AF$1001,0),1)&gt;=100000,INDEX($AM$1005:$BM$1005,1,MATCH(COLUMNS($AM$1006:BC1006),$AM$1006:$BM$1006,0))&gt;=100000), " ",IF(INDEX($AM$2:$BM$1001,MATCH(ROWS($AF$2:AF290),$AF$2:$AF$1001,0),MATCH(COLUMNS($AM$1006:BC1006),$AM$1006:$BM$1006,0)), HYPERLINK("#",""), HYPERLINK(CONCATENATE("#metadata!", ADDRESS(INDEX($AH$2:$AH$1001,MATCH(ROWS($AF$2:AF290),$AF$2:$AF$1001,0),0), INDEX($AM$1004:$BM$1004,1,MATCH(COLUMNS($AM$1006:BC1006),$AM$1006:$BM$1006,0)))),"Fix")))</f>
        <v xml:space="preserve"> </v>
      </c>
      <c r="S290" s="4" t="str">
        <f ca="1">IF(OR(INDEX($AG$2:$AG$1001,MATCH(ROWS($AF$2:AF290),$AF$2:$AF$1001,0),1)&gt;=100000,INDEX($AM$1005:$BM$1005,1,MATCH(COLUMNS($AM$1006:BD1006),$AM$1006:$BM$1006,0))&gt;=100000), " ",IF(INDEX($AM$2:$BM$1001,MATCH(ROWS($AF$2:AF290),$AF$2:$AF$1001,0),MATCH(COLUMNS($AM$1006:BD1006),$AM$1006:$BM$1006,0)), HYPERLINK("#",""), HYPERLINK(CONCATENATE("#metadata!", ADDRESS(INDEX($AH$2:$AH$1001,MATCH(ROWS($AF$2:AF290),$AF$2:$AF$1001,0),0), INDEX($AM$1004:$BM$1004,1,MATCH(COLUMNS($AM$1006:BD1006),$AM$1006:$BM$1006,0)))),"Fix")))</f>
        <v xml:space="preserve"> </v>
      </c>
      <c r="T290" s="4" t="str">
        <f ca="1">IF(OR(INDEX($AG$2:$AG$1001,MATCH(ROWS($AF$2:AF290),$AF$2:$AF$1001,0),1)&gt;=100000,INDEX($AM$1005:$BM$1005,1,MATCH(COLUMNS($AM$1006:BE1006),$AM$1006:$BM$1006,0))&gt;=100000), " ",IF(INDEX($AM$2:$BM$1001,MATCH(ROWS($AF$2:AF290),$AF$2:$AF$1001,0),MATCH(COLUMNS($AM$1006:BE1006),$AM$1006:$BM$1006,0)), HYPERLINK("#",""), HYPERLINK(CONCATENATE("#metadata!", ADDRESS(INDEX($AH$2:$AH$1001,MATCH(ROWS($AF$2:AF290),$AF$2:$AF$1001,0),0), INDEX($AM$1004:$BM$1004,1,MATCH(COLUMNS($AM$1006:BE1006),$AM$1006:$BM$1006,0)))),"Fix")))</f>
        <v xml:space="preserve"> </v>
      </c>
      <c r="U290" s="4" t="str">
        <f ca="1">IF(OR(INDEX($AG$2:$AG$1001,MATCH(ROWS($AF$2:AF290),$AF$2:$AF$1001,0),1)&gt;=100000,INDEX($AM$1005:$BM$1005,1,MATCH(COLUMNS($AM$1006:BF1006),$AM$1006:$BM$1006,0))&gt;=100000), " ",IF(INDEX($AM$2:$BM$1001,MATCH(ROWS($AF$2:AF290),$AF$2:$AF$1001,0),MATCH(COLUMNS($AM$1006:BF1006),$AM$1006:$BM$1006,0)), HYPERLINK("#",""), HYPERLINK(CONCATENATE("#metadata!", ADDRESS(INDEX($AH$2:$AH$1001,MATCH(ROWS($AF$2:AF290),$AF$2:$AF$1001,0),0), INDEX($AM$1004:$BM$1004,1,MATCH(COLUMNS($AM$1006:BF1006),$AM$1006:$BM$1006,0)))),"Fix")))</f>
        <v xml:space="preserve"> </v>
      </c>
      <c r="V290" s="4" t="str">
        <f ca="1">IF(OR(INDEX($AG$2:$AG$1001,MATCH(ROWS($AF$2:AF290),$AF$2:$AF$1001,0),1)&gt;=100000,INDEX($AM$1005:$BM$1005,1,MATCH(COLUMNS($AM$1006:BG1006),$AM$1006:$BM$1006,0))&gt;=100000), " ",IF(INDEX($AM$2:$BM$1001,MATCH(ROWS($AF$2:AF290),$AF$2:$AF$1001,0),MATCH(COLUMNS($AM$1006:BG1006),$AM$1006:$BM$1006,0)), HYPERLINK("#",""), HYPERLINK(CONCATENATE("#metadata!", ADDRESS(INDEX($AH$2:$AH$1001,MATCH(ROWS($AF$2:AF290),$AF$2:$AF$1001,0),0), INDEX($AM$1004:$BM$1004,1,MATCH(COLUMNS($AM$1006:BG1006),$AM$1006:$BM$1006,0)))),"Fix")))</f>
        <v xml:space="preserve"> </v>
      </c>
      <c r="W290" s="4" t="str">
        <f ca="1">IF(OR(INDEX($AG$2:$AG$1001,MATCH(ROWS($AF$2:AF290),$AF$2:$AF$1001,0),1)&gt;=100000,INDEX($AM$1005:$BM$1005,1,MATCH(COLUMNS($AM$1006:BH1006),$AM$1006:$BM$1006,0))&gt;=100000), " ",IF(INDEX($AM$2:$BM$1001,MATCH(ROWS($AF$2:AF290),$AF$2:$AF$1001,0),MATCH(COLUMNS($AM$1006:BH1006),$AM$1006:$BM$1006,0)), HYPERLINK("#",""), HYPERLINK(CONCATENATE("#metadata!", ADDRESS(INDEX($AH$2:$AH$1001,MATCH(ROWS($AF$2:AF290),$AF$2:$AF$1001,0),0), INDEX($AM$1004:$BM$1004,1,MATCH(COLUMNS($AM$1006:BH1006),$AM$1006:$BM$1006,0)))),"Fix")))</f>
        <v xml:space="preserve"> </v>
      </c>
      <c r="X290" s="4" t="str">
        <f ca="1">IF(OR(INDEX($AG$2:$AG$1001,MATCH(ROWS($AF$2:AF290),$AF$2:$AF$1001,0),1)&gt;=100000,INDEX($AM$1005:$BM$1005,1,MATCH(COLUMNS($AM$1006:BI1006),$AM$1006:$BM$1006,0))&gt;=100000), " ",IF(INDEX($AM$2:$BM$1001,MATCH(ROWS($AF$2:AF290),$AF$2:$AF$1001,0),MATCH(COLUMNS($AM$1006:BI1006),$AM$1006:$BM$1006,0)), HYPERLINK("#",""), HYPERLINK(CONCATENATE("#metadata!", ADDRESS(INDEX($AH$2:$AH$1001,MATCH(ROWS($AF$2:AF290),$AF$2:$AF$1001,0),0), INDEX($AM$1004:$BM$1004,1,MATCH(COLUMNS($AM$1006:BI1006),$AM$1006:$BM$1006,0)))),"Fix")))</f>
        <v xml:space="preserve"> </v>
      </c>
      <c r="Y290" s="4" t="str">
        <f ca="1">IF(OR(INDEX($AG$2:$AG$1001,MATCH(ROWS($AF$2:AF290),$AF$2:$AF$1001,0),1)&gt;=100000,INDEX($AM$1005:$BM$1005,1,MATCH(COLUMNS($AM$1006:BJ1006),$AM$1006:$BM$1006,0))&gt;=100000), " ",IF(INDEX($AM$2:$BM$1001,MATCH(ROWS($AF$2:AF290),$AF$2:$AF$1001,0),MATCH(COLUMNS($AM$1006:BJ1006),$AM$1006:$BM$1006,0)), HYPERLINK("#",""), HYPERLINK(CONCATENATE("#metadata!", ADDRESS(INDEX($AH$2:$AH$1001,MATCH(ROWS($AF$2:AF290),$AF$2:$AF$1001,0),0), INDEX($AM$1004:$BM$1004,1,MATCH(COLUMNS($AM$1006:BJ1006),$AM$1006:$BM$1006,0)))),"Fix")))</f>
        <v xml:space="preserve"> </v>
      </c>
      <c r="Z290" s="4" t="str">
        <f ca="1">IF(OR(INDEX($AG$2:$AG$1001,MATCH(ROWS($AF$2:AF290),$AF$2:$AF$1001,0),1)&gt;=100000,INDEX($AM$1005:$BM$1005,1,MATCH(COLUMNS($AM$1006:BK1006),$AM$1006:$BM$1006,0))&gt;=100000), " ",IF(INDEX($AM$2:$BM$1001,MATCH(ROWS($AF$2:AF290),$AF$2:$AF$1001,0),MATCH(COLUMNS($AM$1006:BK1006),$AM$1006:$BM$1006,0)), HYPERLINK("#",""), HYPERLINK(CONCATENATE("#metadata!", ADDRESS(INDEX($AH$2:$AH$1001,MATCH(ROWS($AF$2:AF290),$AF$2:$AF$1001,0),0), INDEX($AM$1004:$BM$1004,1,MATCH(COLUMNS($AM$1006:BK1006),$AM$1006:$BM$1006,0)))),"Fix")))</f>
        <v xml:space="preserve"> </v>
      </c>
      <c r="AA290" s="4" t="str">
        <f ca="1">IF(OR(INDEX($AG$2:$AG$1001,MATCH(ROWS($AF$2:AF290),$AF$2:$AF$1001,0),1)&gt;=100000,INDEX($AM$1005:$BM$1005,1,MATCH(COLUMNS($AM$1006:BL1006),$AM$1006:$BM$1006,0))&gt;=100000), " ",IF(INDEX($AM$2:$BM$1001,MATCH(ROWS($AF$2:AF290),$AF$2:$AF$1001,0),MATCH(COLUMNS($AM$1006:BL1006),$AM$1006:$BM$1006,0)), HYPERLINK("#",""), HYPERLINK(CONCATENATE("#metadata!", ADDRESS(INDEX($AH$2:$AH$1001,MATCH(ROWS($AF$2:AF290),$AF$2:$AF$1001,0),0), INDEX($AM$1004:$BM$1004,1,MATCH(COLUMNS($AM$1006:BL1006),$AM$1006:$BM$1006,0)))),"Fix")))</f>
        <v xml:space="preserve"> </v>
      </c>
      <c r="AB290" s="4" t="str">
        <f ca="1">IF(OR(INDEX($AG$2:$AG$1001,MATCH(ROWS($AF$2:AF290),$AF$2:$AF$1001,0),1)&gt;=100000,INDEX($AM$1005:$BM$1005,1,MATCH(COLUMNS($AM$1006:BM1006),$AM$1006:$BM$1006,0))&gt;=100000), " ",IF(INDEX($AM$2:$BM$1001,MATCH(ROWS($AF$2:AF290),$AF$2:$AF$1001,0),MATCH(COLUMNS($AM$1006:BM1006),$AM$1006:$BM$1006,0)), HYPERLINK("#",""), HYPERLINK(CONCATENATE("#metadata!", ADDRESS(INDEX($AH$2:$AH$1001,MATCH(ROWS($AF$2:AF290),$AF$2:$AF$1001,0),0), INDEX($AM$1004:$BM$1004,1,MATCH(COLUMNS($AM$1006:BM1006),$AM$1006:$BM$1006,0)))),"Fix")))</f>
        <v xml:space="preserve"> </v>
      </c>
      <c r="AF290">
        <v>289</v>
      </c>
      <c r="AG290">
        <v>100290</v>
      </c>
      <c r="AH290">
        <v>290</v>
      </c>
      <c r="AI290" t="b">
        <f t="shared" si="4"/>
        <v>1</v>
      </c>
      <c r="AJ290" t="b">
        <f>COUNTBLANK(metadata!B290:AB290)=COLUMNS(metadata!B290:AB290)</f>
        <v>1</v>
      </c>
      <c r="AK290" t="str">
        <v/>
      </c>
      <c r="AM290" t="b">
        <f ca="1">AND(IF(metadata!B290="",FALSE,TRUE),COUNTIF(metadata!B:B, metadata!B290) = 1,NOT(ISERROR(SUMPRODUCT(SEARCH(MID(metadata!B290,ROW(INDIRECT("1:"&amp;LEN(metadata!B290))), 1),"0123456789abcdefghijklmnopqrstuvwxyzABCDEFGHIJKLMNOPQRSTUVWXYZ.")))))</f>
        <v>0</v>
      </c>
      <c r="AN290" t="b">
        <f ca="1">OR(AND(IF(metadata!C290="",FALSE,TRUE),OR(EXACT(metadata!C290,"missing: not collected"),EXACT(metadata!C290,"missing: not provided"),EXACT(metadata!C290,"missing: restricted access"))),AND(IF(metadata!C290="",FALSE,TRUE),AND(AND(IFERROR(INT(LEFT(metadata!C290,4))&gt;1900,FALSE),IFERROR(INT(LEFT(metadata!C290,4))&lt;=YEAR(NOW()),FALSE)), OR(MID(metadata!C290,5,1)="", AND(AND(MID(metadata!C290,5,1)="-",IFERROR(INT(MID(metadata!C290,6,1))&gt;=0,FALSE),IFERROR(INT(MID(metadata!C290,6,1))&lt;=1,FALSE),NOT(MID(metadata!C290,7,1)=""),IFERROR(INT(MID(metadata!C290,6,2))&gt;=1,FALSE),IFERROR(INT(MID(metadata!C290,6,2))&lt;=12,FALSE)), OR(MID(metadata!C290,8,1)="", AND(AND(MID(metadata!C290,8,1)="-",IFERROR(INT(MID(metadata!C290,9,1))&gt;=0,FALSE),IFERROR(INT(MID(metadata!C290,9,1))&lt;=3,FALSE),NOT(MID(metadata!C290,10,1)=""),IFERROR(INT(MID(metadata!C290,9,2))&gt;=1,FALSE),IFERROR(INT(MID(metadata!C290,9,2))&lt;=31,FALSE)), OR(MID(metadata!C290,11,1)="", AND(AND(MID(metadata!C290,11,1)=" ",IFERROR(INT(MID(metadata!C290,12,1))&gt;=0,FALSE),IFERROR(INT(MID(metadata!C290,12,1))&lt;=2,FALSE),NOT(MID(metadata!C290,13,1)=""),IFERROR(INT(MID(metadata!C290,12,2))&gt;=0,FALSE),IFERROR(INT(MID(metadata!C290,12,2))&lt;=23,FALSE)), OR(MID(metadata!C290,14,1)="", AND(AND(MID(metadata!C290,14,1)=":",IFERROR(INT(MID(metadata!C290,15,1))&gt;=0,FALSE),IFERROR(INT(MID(metadata!C290,15,1))&lt;=5,FALSE),NOT(MID(metadata!C290,16,1)=""),IFERROR(INT(MID(metadata!C290,15,2))&gt;=0,FALSE),IFERROR(INT(MID(metadata!C290,15,2))&lt;=59,FALSE)), OR(MID(metadata!C290,17,1)="", AND(AND(MID(metadata!C290,17,1)=":",IFERROR(INT(MID(metadata!C290,18,1))&gt;=0,FALSE),IFERROR(INT(MID(metadata!C290,18,1))&lt;=5,FALSE),NOT(MID(metadata!C290,19,1)=""),IFERROR(INT(MID(metadata!C290,18,2))&gt;=0,FALSE),IFERROR(INT(MID(metadata!C290,18,2))&lt;=59,FALSE)), LEN(metadata!C290)&lt;=19)))))))))))))</f>
        <v>0</v>
      </c>
      <c r="AO290" t="b">
        <f>AND(IF(metadata!D290="",FALSE,TRUE),EXACT(metadata!D290,"Not applicable"))</f>
        <v>0</v>
      </c>
      <c r="AP290" t="b">
        <f>IF(metadata!E290="",FALSE,TRUE)</f>
        <v>0</v>
      </c>
      <c r="AQ290" t="b">
        <f>OR(AND(IF(metadata!F290="",FALSE,TRUE),OR(EXACT(metadata!F290,"missing: not collected"),EXACT(metadata!F290,"missing: not provided"))),AND(IF(metadata!F290="",FALSE,TRUE),OR(EXACT(metadata!F290,"TRUE"),EXACT(metadata!F290,"FALSE"))))</f>
        <v>0</v>
      </c>
      <c r="AR290" t="b">
        <f>OR(AND(IF(metadata!G290="",FALSE,TRUE),OR(EXACT(metadata!G290,"missing: not collected"),EXACT(metadata!G290,"missing: not provided"),EXACT(metadata!G290,"missing: restricted access"))),AND(IF(metadata!G290="",FALSE,ISNUMBER(VALUE(metadata!G290))),metadata!G290&gt;=-413))</f>
        <v>0</v>
      </c>
      <c r="AS290" t="b">
        <f>AND(IF(metadata!H290="",FALSE,TRUE),EXACT(metadata!H290,"meters"))</f>
        <v>0</v>
      </c>
      <c r="AT290" t="b">
        <f>AND(IF(metadata!I290="",FALSE,TRUE),OR(EXACT(metadata!I290,"Host-associated"),EXACT(metadata!I290,"Free-living")))</f>
        <v>0</v>
      </c>
      <c r="AU290" t="b">
        <f>AND(IF(metadata!J290="",FALSE,TRUE),OR(EXACT(metadata!J290,"Animal"),EXACT(metadata!J290,"Fungus"),EXACT(metadata!J290,"Plant"),EXACT(metadata!J290,"Saline"),EXACT(metadata!J290,"Non-saline")))</f>
        <v>0</v>
      </c>
      <c r="AV290" t="b">
        <f>AND(IF(metadata!K290="",FALSE,TRUE),OR(EXACT(metadata!K290,"Plant secretion"),EXACT(metadata!K290,"Plant rhizosphere"),EXACT(metadata!K290,"Plant surface"),EXACT(metadata!K290,"Plant corpus"),EXACT(metadata!K290,"Fungus surface"),EXACT(metadata!K290,"Fungus corpus"),EXACT(metadata!K290,"Animal surface"),EXACT(metadata!K290,"Animal proximal gut"),EXACT(metadata!K290,"Animal corpus"),EXACT(metadata!K290,"Animal distal gut"),EXACT(metadata!K290,"Animal secretion"),EXACT(metadata!K290,"Sub-surface (non-saline)"),EXACT(metadata!K290,"Surface (non-saline)"),EXACT(metadata!K290,"Water (non-saline)"),EXACT(metadata!K290,"Soil (non-saline)"),EXACT(metadata!K290,"Aerosol (non-saline)"),EXACT(metadata!K290,"Sediment (non-saline)"),EXACT(metadata!K290,"Surface (saline)"),EXACT(metadata!K290,"Water (saline)"),EXACT(metadata!K290,"Hypersaline (saline)"),EXACT(metadata!K290,"Aerosol (saline)"),EXACT(metadata!K290,"Sediment (saline)")))</f>
        <v>0</v>
      </c>
      <c r="AW290" t="b">
        <f>IF(metadata!L290="",FALSE,TRUE)</f>
        <v>0</v>
      </c>
      <c r="AX290" t="b">
        <f>IF(metadata!M290="",FALSE,TRUE)</f>
        <v>0</v>
      </c>
      <c r="AY290" t="b">
        <f>IF(metadata!N290="",FALSE,TRUE)</f>
        <v>0</v>
      </c>
      <c r="AZ290" t="b">
        <f>OR(AND(IF(metadata!O290="",FALSE,TRUE),OR(EXACT(metadata!O290,"missing: not collected"),EXACT(metadata!O290,"missing: not provided"),EXACT(metadata!O290,"missing: restricted access"))),AND(IF(metadata!O290="",FALSE,TRUE),OR(EXACT(metadata!O290,"air"),EXACT(metadata!O290,"built environment"),EXACT(metadata!O290,"host-associated"),EXACT(metadata!O290,"human-associated"),EXACT(metadata!O290,"human-skin"),EXACT(metadata!O290,"human-oral"),EXACT(metadata!O290,"human-gut"),EXACT(metadata!O290,"human-vaginal"),EXACT(metadata!O290,"microbial mat/biofilm"),EXACT(metadata!O290,"misc environment"),EXACT(metadata!O290,"plant-associated"),EXACT(metadata!O290,"sediment"),EXACT(metadata!O290,"soil"),EXACT(metadata!O290,"wastewater/sludge"),EXACT(metadata!O290,"water"))))</f>
        <v>0</v>
      </c>
      <c r="BA290" t="b">
        <f>IF(metadata!P290="",FALSE,TRUE)</f>
        <v>0</v>
      </c>
      <c r="BB290" t="b">
        <f>IF(metadata!Q290="",FALSE,TRUE)</f>
        <v>0</v>
      </c>
      <c r="BC290" t="b">
        <f>OR(AND(IF(metadata!R290="",FALSE,TRUE),OR(EXACT(metadata!R290,"missing: not collected"),EXACT(metadata!R290,"missing: not provided"),EXACT(metadata!R290,"missing: restricted access"))),AND(IF(metadata!R290="",FALSE,ISNUMBER(VALUE(metadata!R290))),metadata!R290&gt;=-90,metadata!R290&lt;=90))</f>
        <v>0</v>
      </c>
      <c r="BD290" t="b">
        <f>AND(IF(metadata!S290="",FALSE,TRUE),EXACT(metadata!S290,"Decimal degrees"))</f>
        <v>0</v>
      </c>
      <c r="BE290" t="b">
        <f>OR(AND(IF(metadata!T290="",FALSE,TRUE),OR(EXACT(metadata!T290,"missing: not collected"),EXACT(metadata!T290,"missing: not provided"),EXACT(metadata!T290,"missing: restricted access"))),AND(IF(metadata!T290="",FALSE,ISNUMBER(VALUE(metadata!T290))),metadata!T290&gt;=-180,metadata!T290&lt;=180))</f>
        <v>0</v>
      </c>
      <c r="BF290" t="b">
        <f>AND(IF(metadata!U290="",FALSE,TRUE),EXACT(metadata!U290,"Decimal degrees"))</f>
        <v>0</v>
      </c>
      <c r="BG290" t="b">
        <f>IF(metadata!V290="",FALSE,TRUE)</f>
        <v>0</v>
      </c>
      <c r="BH290" t="b">
        <f>OR(AND(IF(metadata!W290="",FALSE,TRUE),OR(EXACT(metadata!W290,"missing: not collected"),EXACT(metadata!W290,"missing: not provided"),EXACT(metadata!W290,"missing: restricted access"))),AND(IF(metadata!W290="",FALSE,TRUE),OR(EXACT(metadata!W290,"TRUE"),EXACT(metadata!W290,"FALSE"))))</f>
        <v>0</v>
      </c>
      <c r="BI290" t="b">
        <f>AND(IF(metadata!X290="",FALSE,TRUE),EXACT(metadata!X290,"other"))</f>
        <v>0</v>
      </c>
      <c r="BJ290" t="b">
        <f>IF(metadata!Y290="",FALSE,TRUE)</f>
        <v>0</v>
      </c>
      <c r="BK290" t="b">
        <f>OR(AND(IF(metadata!Z290="",FALSE,TRUE),OR(EXACT(metadata!Z290,"missing: not collected"),EXACT(metadata!Z290,"missing: not provided"))),AND(IF(metadata!Z290="",FALSE,IF(ISERROR(INT(metadata!Z290)),FALSE,INT(metadata!Z290)=metadata!Z290)),metadata!Z290&gt;0))</f>
        <v>0</v>
      </c>
      <c r="BL290" t="b">
        <f>AND(IF(metadata!AA290="",FALSE,TRUE),EXACT(metadata!AA290,"Not applicable"))</f>
        <v>0</v>
      </c>
      <c r="BM290" t="b">
        <f>IF(metadata!AB290="",FALSE,TRUE)</f>
        <v>0</v>
      </c>
    </row>
    <row r="291" spans="1:65" x14ac:dyDescent="0.2">
      <c r="A291" s="5" t="str">
        <f ca="1">IF(B291=" "," ",HYPERLINK(CONCATENATE("#metadata!",ADDRESS(INDEX($AH$2:$AH$1001,MATCH(ROWS($AF$2:AF291),$AF$2:$AF$1001,0),0),1)),INDEX($AK$2:$AK$1001,MATCH(ROWS($AF$2:AF291),$AF$2:$AF$1001,0),0)))</f>
        <v xml:space="preserve"> </v>
      </c>
      <c r="B291" s="4" t="str">
        <f ca="1">IF(OR(INDEX($AG$2:$AG$1001,MATCH(ROWS($AF$2:AF291),$AF$2:$AF$1001,0),1)&gt;=100000,INDEX($AM$1005:$BM$1005,1,MATCH(COLUMNS($AM$1006:AM1006),$AM$1006:$BM$1006,0))&gt;=100000), " ",IF(INDEX($AM$2:$BM$1001,MATCH(ROWS($AF$2:AF291),$AF$2:$AF$1001,0),MATCH(COLUMNS($AM$1006:AM1006),$AM$1006:$BM$1006,0)), HYPERLINK("#",""), HYPERLINK(CONCATENATE("#metadata!", ADDRESS(INDEX($AH$2:$AH$1001,MATCH(ROWS($AF$2:AF291),$AF$2:$AF$1001,0),0), INDEX($AM$1004:$BM$1004,1,MATCH(COLUMNS($AM$1006:AM1006),$AM$1006:$BM$1006,0)))),"Fix")))</f>
        <v xml:space="preserve"> </v>
      </c>
      <c r="C291" s="4" t="str">
        <f ca="1">IF(OR(INDEX($AG$2:$AG$1001,MATCH(ROWS($AF$2:AF291),$AF$2:$AF$1001,0),1)&gt;=100000,INDEX($AM$1005:$BM$1005,1,MATCH(COLUMNS($AM$1006:AN1006),$AM$1006:$BM$1006,0))&gt;=100000), " ",IF(INDEX($AM$2:$BM$1001,MATCH(ROWS($AF$2:AF291),$AF$2:$AF$1001,0),MATCH(COLUMNS($AM$1006:AN1006),$AM$1006:$BM$1006,0)), HYPERLINK("#",""), HYPERLINK(CONCATENATE("#metadata!", ADDRESS(INDEX($AH$2:$AH$1001,MATCH(ROWS($AF$2:AF291),$AF$2:$AF$1001,0),0), INDEX($AM$1004:$BM$1004,1,MATCH(COLUMNS($AM$1006:AN1006),$AM$1006:$BM$1006,0)))),"Fix")))</f>
        <v xml:space="preserve"> </v>
      </c>
      <c r="D291" s="4" t="str">
        <f ca="1">IF(OR(INDEX($AG$2:$AG$1001,MATCH(ROWS($AF$2:AF291),$AF$2:$AF$1001,0),1)&gt;=100000,INDEX($AM$1005:$BM$1005,1,MATCH(COLUMNS($AM$1006:AO1006),$AM$1006:$BM$1006,0))&gt;=100000), " ",IF(INDEX($AM$2:$BM$1001,MATCH(ROWS($AF$2:AF291),$AF$2:$AF$1001,0),MATCH(COLUMNS($AM$1006:AO1006),$AM$1006:$BM$1006,0)), HYPERLINK("#",""), HYPERLINK(CONCATENATE("#metadata!", ADDRESS(INDEX($AH$2:$AH$1001,MATCH(ROWS($AF$2:AF291),$AF$2:$AF$1001,0),0), INDEX($AM$1004:$BM$1004,1,MATCH(COLUMNS($AM$1006:AO1006),$AM$1006:$BM$1006,0)))),"Fix")))</f>
        <v xml:space="preserve"> </v>
      </c>
      <c r="E291" s="4" t="str">
        <f ca="1">IF(OR(INDEX($AG$2:$AG$1001,MATCH(ROWS($AF$2:AF291),$AF$2:$AF$1001,0),1)&gt;=100000,INDEX($AM$1005:$BM$1005,1,MATCH(COLUMNS($AM$1006:AP1006),$AM$1006:$BM$1006,0))&gt;=100000), " ",IF(INDEX($AM$2:$BM$1001,MATCH(ROWS($AF$2:AF291),$AF$2:$AF$1001,0),MATCH(COLUMNS($AM$1006:AP1006),$AM$1006:$BM$1006,0)), HYPERLINK("#",""), HYPERLINK(CONCATENATE("#metadata!", ADDRESS(INDEX($AH$2:$AH$1001,MATCH(ROWS($AF$2:AF291),$AF$2:$AF$1001,0),0), INDEX($AM$1004:$BM$1004,1,MATCH(COLUMNS($AM$1006:AP1006),$AM$1006:$BM$1006,0)))),"Fix")))</f>
        <v xml:space="preserve"> </v>
      </c>
      <c r="F291" s="4" t="str">
        <f ca="1">IF(OR(INDEX($AG$2:$AG$1001,MATCH(ROWS($AF$2:AF291),$AF$2:$AF$1001,0),1)&gt;=100000,INDEX($AM$1005:$BM$1005,1,MATCH(COLUMNS($AM$1006:AQ1006),$AM$1006:$BM$1006,0))&gt;=100000), " ",IF(INDEX($AM$2:$BM$1001,MATCH(ROWS($AF$2:AF291),$AF$2:$AF$1001,0),MATCH(COLUMNS($AM$1006:AQ1006),$AM$1006:$BM$1006,0)), HYPERLINK("#",""), HYPERLINK(CONCATENATE("#metadata!", ADDRESS(INDEX($AH$2:$AH$1001,MATCH(ROWS($AF$2:AF291),$AF$2:$AF$1001,0),0), INDEX($AM$1004:$BM$1004,1,MATCH(COLUMNS($AM$1006:AQ1006),$AM$1006:$BM$1006,0)))),"Fix")))</f>
        <v xml:space="preserve"> </v>
      </c>
      <c r="G291" s="4" t="str">
        <f ca="1">IF(OR(INDEX($AG$2:$AG$1001,MATCH(ROWS($AF$2:AF291),$AF$2:$AF$1001,0),1)&gt;=100000,INDEX($AM$1005:$BM$1005,1,MATCH(COLUMNS($AM$1006:AR1006),$AM$1006:$BM$1006,0))&gt;=100000), " ",IF(INDEX($AM$2:$BM$1001,MATCH(ROWS($AF$2:AF291),$AF$2:$AF$1001,0),MATCH(COLUMNS($AM$1006:AR1006),$AM$1006:$BM$1006,0)), HYPERLINK("#",""), HYPERLINK(CONCATENATE("#metadata!", ADDRESS(INDEX($AH$2:$AH$1001,MATCH(ROWS($AF$2:AF291),$AF$2:$AF$1001,0),0), INDEX($AM$1004:$BM$1004,1,MATCH(COLUMNS($AM$1006:AR1006),$AM$1006:$BM$1006,0)))),"Fix")))</f>
        <v xml:space="preserve"> </v>
      </c>
      <c r="H291" s="4" t="str">
        <f ca="1">IF(OR(INDEX($AG$2:$AG$1001,MATCH(ROWS($AF$2:AF291),$AF$2:$AF$1001,0),1)&gt;=100000,INDEX($AM$1005:$BM$1005,1,MATCH(COLUMNS($AM$1006:AS1006),$AM$1006:$BM$1006,0))&gt;=100000), " ",IF(INDEX($AM$2:$BM$1001,MATCH(ROWS($AF$2:AF291),$AF$2:$AF$1001,0),MATCH(COLUMNS($AM$1006:AS1006),$AM$1006:$BM$1006,0)), HYPERLINK("#",""), HYPERLINK(CONCATENATE("#metadata!", ADDRESS(INDEX($AH$2:$AH$1001,MATCH(ROWS($AF$2:AF291),$AF$2:$AF$1001,0),0), INDEX($AM$1004:$BM$1004,1,MATCH(COLUMNS($AM$1006:AS1006),$AM$1006:$BM$1006,0)))),"Fix")))</f>
        <v xml:space="preserve"> </v>
      </c>
      <c r="I291" s="4" t="str">
        <f ca="1">IF(OR(INDEX($AG$2:$AG$1001,MATCH(ROWS($AF$2:AF291),$AF$2:$AF$1001,0),1)&gt;=100000,INDEX($AM$1005:$BM$1005,1,MATCH(COLUMNS($AM$1006:AT1006),$AM$1006:$BM$1006,0))&gt;=100000), " ",IF(INDEX($AM$2:$BM$1001,MATCH(ROWS($AF$2:AF291),$AF$2:$AF$1001,0),MATCH(COLUMNS($AM$1006:AT1006),$AM$1006:$BM$1006,0)), HYPERLINK("#",""), HYPERLINK(CONCATENATE("#metadata!", ADDRESS(INDEX($AH$2:$AH$1001,MATCH(ROWS($AF$2:AF291),$AF$2:$AF$1001,0),0), INDEX($AM$1004:$BM$1004,1,MATCH(COLUMNS($AM$1006:AT1006),$AM$1006:$BM$1006,0)))),"Fix")))</f>
        <v xml:space="preserve"> </v>
      </c>
      <c r="J291" s="4" t="str">
        <f ca="1">IF(OR(INDEX($AG$2:$AG$1001,MATCH(ROWS($AF$2:AF291),$AF$2:$AF$1001,0),1)&gt;=100000,INDEX($AM$1005:$BM$1005,1,MATCH(COLUMNS($AM$1006:AU1006),$AM$1006:$BM$1006,0))&gt;=100000), " ",IF(INDEX($AM$2:$BM$1001,MATCH(ROWS($AF$2:AF291),$AF$2:$AF$1001,0),MATCH(COLUMNS($AM$1006:AU1006),$AM$1006:$BM$1006,0)), HYPERLINK("#",""), HYPERLINK(CONCATENATE("#metadata!", ADDRESS(INDEX($AH$2:$AH$1001,MATCH(ROWS($AF$2:AF291),$AF$2:$AF$1001,0),0), INDEX($AM$1004:$BM$1004,1,MATCH(COLUMNS($AM$1006:AU1006),$AM$1006:$BM$1006,0)))),"Fix")))</f>
        <v xml:space="preserve"> </v>
      </c>
      <c r="K291" s="4" t="str">
        <f ca="1">IF(OR(INDEX($AG$2:$AG$1001,MATCH(ROWS($AF$2:AF291),$AF$2:$AF$1001,0),1)&gt;=100000,INDEX($AM$1005:$BM$1005,1,MATCH(COLUMNS($AM$1006:AV1006),$AM$1006:$BM$1006,0))&gt;=100000), " ",IF(INDEX($AM$2:$BM$1001,MATCH(ROWS($AF$2:AF291),$AF$2:$AF$1001,0),MATCH(COLUMNS($AM$1006:AV1006),$AM$1006:$BM$1006,0)), HYPERLINK("#",""), HYPERLINK(CONCATENATE("#metadata!", ADDRESS(INDEX($AH$2:$AH$1001,MATCH(ROWS($AF$2:AF291),$AF$2:$AF$1001,0),0), INDEX($AM$1004:$BM$1004,1,MATCH(COLUMNS($AM$1006:AV1006),$AM$1006:$BM$1006,0)))),"Fix")))</f>
        <v xml:space="preserve"> </v>
      </c>
      <c r="L291" s="4" t="str">
        <f ca="1">IF(OR(INDEX($AG$2:$AG$1001,MATCH(ROWS($AF$2:AF291),$AF$2:$AF$1001,0),1)&gt;=100000,INDEX($AM$1005:$BM$1005,1,MATCH(COLUMNS($AM$1006:AW1006),$AM$1006:$BM$1006,0))&gt;=100000), " ",IF(INDEX($AM$2:$BM$1001,MATCH(ROWS($AF$2:AF291),$AF$2:$AF$1001,0),MATCH(COLUMNS($AM$1006:AW1006),$AM$1006:$BM$1006,0)), HYPERLINK("#",""), HYPERLINK(CONCATENATE("#metadata!", ADDRESS(INDEX($AH$2:$AH$1001,MATCH(ROWS($AF$2:AF291),$AF$2:$AF$1001,0),0), INDEX($AM$1004:$BM$1004,1,MATCH(COLUMNS($AM$1006:AW1006),$AM$1006:$BM$1006,0)))),"Fix")))</f>
        <v xml:space="preserve"> </v>
      </c>
      <c r="M291" s="4" t="str">
        <f ca="1">IF(OR(INDEX($AG$2:$AG$1001,MATCH(ROWS($AF$2:AF291),$AF$2:$AF$1001,0),1)&gt;=100000,INDEX($AM$1005:$BM$1005,1,MATCH(COLUMNS($AM$1006:AX1006),$AM$1006:$BM$1006,0))&gt;=100000), " ",IF(INDEX($AM$2:$BM$1001,MATCH(ROWS($AF$2:AF291),$AF$2:$AF$1001,0),MATCH(COLUMNS($AM$1006:AX1006),$AM$1006:$BM$1006,0)), HYPERLINK("#",""), HYPERLINK(CONCATENATE("#metadata!", ADDRESS(INDEX($AH$2:$AH$1001,MATCH(ROWS($AF$2:AF291),$AF$2:$AF$1001,0),0), INDEX($AM$1004:$BM$1004,1,MATCH(COLUMNS($AM$1006:AX1006),$AM$1006:$BM$1006,0)))),"Fix")))</f>
        <v xml:space="preserve"> </v>
      </c>
      <c r="N291" s="4" t="str">
        <f ca="1">IF(OR(INDEX($AG$2:$AG$1001,MATCH(ROWS($AF$2:AF291),$AF$2:$AF$1001,0),1)&gt;=100000,INDEX($AM$1005:$BM$1005,1,MATCH(COLUMNS($AM$1006:AY1006),$AM$1006:$BM$1006,0))&gt;=100000), " ",IF(INDEX($AM$2:$BM$1001,MATCH(ROWS($AF$2:AF291),$AF$2:$AF$1001,0),MATCH(COLUMNS($AM$1006:AY1006),$AM$1006:$BM$1006,0)), HYPERLINK("#",""), HYPERLINK(CONCATENATE("#metadata!", ADDRESS(INDEX($AH$2:$AH$1001,MATCH(ROWS($AF$2:AF291),$AF$2:$AF$1001,0),0), INDEX($AM$1004:$BM$1004,1,MATCH(COLUMNS($AM$1006:AY1006),$AM$1006:$BM$1006,0)))),"Fix")))</f>
        <v xml:space="preserve"> </v>
      </c>
      <c r="O291" s="4" t="str">
        <f ca="1">IF(OR(INDEX($AG$2:$AG$1001,MATCH(ROWS($AF$2:AF291),$AF$2:$AF$1001,0),1)&gt;=100000,INDEX($AM$1005:$BM$1005,1,MATCH(COLUMNS($AM$1006:AZ1006),$AM$1006:$BM$1006,0))&gt;=100000), " ",IF(INDEX($AM$2:$BM$1001,MATCH(ROWS($AF$2:AF291),$AF$2:$AF$1001,0),MATCH(COLUMNS($AM$1006:AZ1006),$AM$1006:$BM$1006,0)), HYPERLINK("#",""), HYPERLINK(CONCATENATE("#metadata!", ADDRESS(INDEX($AH$2:$AH$1001,MATCH(ROWS($AF$2:AF291),$AF$2:$AF$1001,0),0), INDEX($AM$1004:$BM$1004,1,MATCH(COLUMNS($AM$1006:AZ1006),$AM$1006:$BM$1006,0)))),"Fix")))</f>
        <v xml:space="preserve"> </v>
      </c>
      <c r="P291" s="4" t="str">
        <f ca="1">IF(OR(INDEX($AG$2:$AG$1001,MATCH(ROWS($AF$2:AF291),$AF$2:$AF$1001,0),1)&gt;=100000,INDEX($AM$1005:$BM$1005,1,MATCH(COLUMNS($AM$1006:BA1006),$AM$1006:$BM$1006,0))&gt;=100000), " ",IF(INDEX($AM$2:$BM$1001,MATCH(ROWS($AF$2:AF291),$AF$2:$AF$1001,0),MATCH(COLUMNS($AM$1006:BA1006),$AM$1006:$BM$1006,0)), HYPERLINK("#",""), HYPERLINK(CONCATENATE("#metadata!", ADDRESS(INDEX($AH$2:$AH$1001,MATCH(ROWS($AF$2:AF291),$AF$2:$AF$1001,0),0), INDEX($AM$1004:$BM$1004,1,MATCH(COLUMNS($AM$1006:BA1006),$AM$1006:$BM$1006,0)))),"Fix")))</f>
        <v xml:space="preserve"> </v>
      </c>
      <c r="Q291" s="4" t="str">
        <f ca="1">IF(OR(INDEX($AG$2:$AG$1001,MATCH(ROWS($AF$2:AF291),$AF$2:$AF$1001,0),1)&gt;=100000,INDEX($AM$1005:$BM$1005,1,MATCH(COLUMNS($AM$1006:BB1006),$AM$1006:$BM$1006,0))&gt;=100000), " ",IF(INDEX($AM$2:$BM$1001,MATCH(ROWS($AF$2:AF291),$AF$2:$AF$1001,0),MATCH(COLUMNS($AM$1006:BB1006),$AM$1006:$BM$1006,0)), HYPERLINK("#",""), HYPERLINK(CONCATENATE("#metadata!", ADDRESS(INDEX($AH$2:$AH$1001,MATCH(ROWS($AF$2:AF291),$AF$2:$AF$1001,0),0), INDEX($AM$1004:$BM$1004,1,MATCH(COLUMNS($AM$1006:BB1006),$AM$1006:$BM$1006,0)))),"Fix")))</f>
        <v xml:space="preserve"> </v>
      </c>
      <c r="R291" s="4" t="str">
        <f ca="1">IF(OR(INDEX($AG$2:$AG$1001,MATCH(ROWS($AF$2:AF291),$AF$2:$AF$1001,0),1)&gt;=100000,INDEX($AM$1005:$BM$1005,1,MATCH(COLUMNS($AM$1006:BC1006),$AM$1006:$BM$1006,0))&gt;=100000), " ",IF(INDEX($AM$2:$BM$1001,MATCH(ROWS($AF$2:AF291),$AF$2:$AF$1001,0),MATCH(COLUMNS($AM$1006:BC1006),$AM$1006:$BM$1006,0)), HYPERLINK("#",""), HYPERLINK(CONCATENATE("#metadata!", ADDRESS(INDEX($AH$2:$AH$1001,MATCH(ROWS($AF$2:AF291),$AF$2:$AF$1001,0),0), INDEX($AM$1004:$BM$1004,1,MATCH(COLUMNS($AM$1006:BC1006),$AM$1006:$BM$1006,0)))),"Fix")))</f>
        <v xml:space="preserve"> </v>
      </c>
      <c r="S291" s="4" t="str">
        <f ca="1">IF(OR(INDEX($AG$2:$AG$1001,MATCH(ROWS($AF$2:AF291),$AF$2:$AF$1001,0),1)&gt;=100000,INDEX($AM$1005:$BM$1005,1,MATCH(COLUMNS($AM$1006:BD1006),$AM$1006:$BM$1006,0))&gt;=100000), " ",IF(INDEX($AM$2:$BM$1001,MATCH(ROWS($AF$2:AF291),$AF$2:$AF$1001,0),MATCH(COLUMNS($AM$1006:BD1006),$AM$1006:$BM$1006,0)), HYPERLINK("#",""), HYPERLINK(CONCATENATE("#metadata!", ADDRESS(INDEX($AH$2:$AH$1001,MATCH(ROWS($AF$2:AF291),$AF$2:$AF$1001,0),0), INDEX($AM$1004:$BM$1004,1,MATCH(COLUMNS($AM$1006:BD1006),$AM$1006:$BM$1006,0)))),"Fix")))</f>
        <v xml:space="preserve"> </v>
      </c>
      <c r="T291" s="4" t="str">
        <f ca="1">IF(OR(INDEX($AG$2:$AG$1001,MATCH(ROWS($AF$2:AF291),$AF$2:$AF$1001,0),1)&gt;=100000,INDEX($AM$1005:$BM$1005,1,MATCH(COLUMNS($AM$1006:BE1006),$AM$1006:$BM$1006,0))&gt;=100000), " ",IF(INDEX($AM$2:$BM$1001,MATCH(ROWS($AF$2:AF291),$AF$2:$AF$1001,0),MATCH(COLUMNS($AM$1006:BE1006),$AM$1006:$BM$1006,0)), HYPERLINK("#",""), HYPERLINK(CONCATENATE("#metadata!", ADDRESS(INDEX($AH$2:$AH$1001,MATCH(ROWS($AF$2:AF291),$AF$2:$AF$1001,0),0), INDEX($AM$1004:$BM$1004,1,MATCH(COLUMNS($AM$1006:BE1006),$AM$1006:$BM$1006,0)))),"Fix")))</f>
        <v xml:space="preserve"> </v>
      </c>
      <c r="U291" s="4" t="str">
        <f ca="1">IF(OR(INDEX($AG$2:$AG$1001,MATCH(ROWS($AF$2:AF291),$AF$2:$AF$1001,0),1)&gt;=100000,INDEX($AM$1005:$BM$1005,1,MATCH(COLUMNS($AM$1006:BF1006),$AM$1006:$BM$1006,0))&gt;=100000), " ",IF(INDEX($AM$2:$BM$1001,MATCH(ROWS($AF$2:AF291),$AF$2:$AF$1001,0),MATCH(COLUMNS($AM$1006:BF1006),$AM$1006:$BM$1006,0)), HYPERLINK("#",""), HYPERLINK(CONCATENATE("#metadata!", ADDRESS(INDEX($AH$2:$AH$1001,MATCH(ROWS($AF$2:AF291),$AF$2:$AF$1001,0),0), INDEX($AM$1004:$BM$1004,1,MATCH(COLUMNS($AM$1006:BF1006),$AM$1006:$BM$1006,0)))),"Fix")))</f>
        <v xml:space="preserve"> </v>
      </c>
      <c r="V291" s="4" t="str">
        <f ca="1">IF(OR(INDEX($AG$2:$AG$1001,MATCH(ROWS($AF$2:AF291),$AF$2:$AF$1001,0),1)&gt;=100000,INDEX($AM$1005:$BM$1005,1,MATCH(COLUMNS($AM$1006:BG1006),$AM$1006:$BM$1006,0))&gt;=100000), " ",IF(INDEX($AM$2:$BM$1001,MATCH(ROWS($AF$2:AF291),$AF$2:$AF$1001,0),MATCH(COLUMNS($AM$1006:BG1006),$AM$1006:$BM$1006,0)), HYPERLINK("#",""), HYPERLINK(CONCATENATE("#metadata!", ADDRESS(INDEX($AH$2:$AH$1001,MATCH(ROWS($AF$2:AF291),$AF$2:$AF$1001,0),0), INDEX($AM$1004:$BM$1004,1,MATCH(COLUMNS($AM$1006:BG1006),$AM$1006:$BM$1006,0)))),"Fix")))</f>
        <v xml:space="preserve"> </v>
      </c>
      <c r="W291" s="4" t="str">
        <f ca="1">IF(OR(INDEX($AG$2:$AG$1001,MATCH(ROWS($AF$2:AF291),$AF$2:$AF$1001,0),1)&gt;=100000,INDEX($AM$1005:$BM$1005,1,MATCH(COLUMNS($AM$1006:BH1006),$AM$1006:$BM$1006,0))&gt;=100000), " ",IF(INDEX($AM$2:$BM$1001,MATCH(ROWS($AF$2:AF291),$AF$2:$AF$1001,0),MATCH(COLUMNS($AM$1006:BH1006),$AM$1006:$BM$1006,0)), HYPERLINK("#",""), HYPERLINK(CONCATENATE("#metadata!", ADDRESS(INDEX($AH$2:$AH$1001,MATCH(ROWS($AF$2:AF291),$AF$2:$AF$1001,0),0), INDEX($AM$1004:$BM$1004,1,MATCH(COLUMNS($AM$1006:BH1006),$AM$1006:$BM$1006,0)))),"Fix")))</f>
        <v xml:space="preserve"> </v>
      </c>
      <c r="X291" s="4" t="str">
        <f ca="1">IF(OR(INDEX($AG$2:$AG$1001,MATCH(ROWS($AF$2:AF291),$AF$2:$AF$1001,0),1)&gt;=100000,INDEX($AM$1005:$BM$1005,1,MATCH(COLUMNS($AM$1006:BI1006),$AM$1006:$BM$1006,0))&gt;=100000), " ",IF(INDEX($AM$2:$BM$1001,MATCH(ROWS($AF$2:AF291),$AF$2:$AF$1001,0),MATCH(COLUMNS($AM$1006:BI1006),$AM$1006:$BM$1006,0)), HYPERLINK("#",""), HYPERLINK(CONCATENATE("#metadata!", ADDRESS(INDEX($AH$2:$AH$1001,MATCH(ROWS($AF$2:AF291),$AF$2:$AF$1001,0),0), INDEX($AM$1004:$BM$1004,1,MATCH(COLUMNS($AM$1006:BI1006),$AM$1006:$BM$1006,0)))),"Fix")))</f>
        <v xml:space="preserve"> </v>
      </c>
      <c r="Y291" s="4" t="str">
        <f ca="1">IF(OR(INDEX($AG$2:$AG$1001,MATCH(ROWS($AF$2:AF291),$AF$2:$AF$1001,0),1)&gt;=100000,INDEX($AM$1005:$BM$1005,1,MATCH(COLUMNS($AM$1006:BJ1006),$AM$1006:$BM$1006,0))&gt;=100000), " ",IF(INDEX($AM$2:$BM$1001,MATCH(ROWS($AF$2:AF291),$AF$2:$AF$1001,0),MATCH(COLUMNS($AM$1006:BJ1006),$AM$1006:$BM$1006,0)), HYPERLINK("#",""), HYPERLINK(CONCATENATE("#metadata!", ADDRESS(INDEX($AH$2:$AH$1001,MATCH(ROWS($AF$2:AF291),$AF$2:$AF$1001,0),0), INDEX($AM$1004:$BM$1004,1,MATCH(COLUMNS($AM$1006:BJ1006),$AM$1006:$BM$1006,0)))),"Fix")))</f>
        <v xml:space="preserve"> </v>
      </c>
      <c r="Z291" s="4" t="str">
        <f ca="1">IF(OR(INDEX($AG$2:$AG$1001,MATCH(ROWS($AF$2:AF291),$AF$2:$AF$1001,0),1)&gt;=100000,INDEX($AM$1005:$BM$1005,1,MATCH(COLUMNS($AM$1006:BK1006),$AM$1006:$BM$1006,0))&gt;=100000), " ",IF(INDEX($AM$2:$BM$1001,MATCH(ROWS($AF$2:AF291),$AF$2:$AF$1001,0),MATCH(COLUMNS($AM$1006:BK1006),$AM$1006:$BM$1006,0)), HYPERLINK("#",""), HYPERLINK(CONCATENATE("#metadata!", ADDRESS(INDEX($AH$2:$AH$1001,MATCH(ROWS($AF$2:AF291),$AF$2:$AF$1001,0),0), INDEX($AM$1004:$BM$1004,1,MATCH(COLUMNS($AM$1006:BK1006),$AM$1006:$BM$1006,0)))),"Fix")))</f>
        <v xml:space="preserve"> </v>
      </c>
      <c r="AA291" s="4" t="str">
        <f ca="1">IF(OR(INDEX($AG$2:$AG$1001,MATCH(ROWS($AF$2:AF291),$AF$2:$AF$1001,0),1)&gt;=100000,INDEX($AM$1005:$BM$1005,1,MATCH(COLUMNS($AM$1006:BL1006),$AM$1006:$BM$1006,0))&gt;=100000), " ",IF(INDEX($AM$2:$BM$1001,MATCH(ROWS($AF$2:AF291),$AF$2:$AF$1001,0),MATCH(COLUMNS($AM$1006:BL1006),$AM$1006:$BM$1006,0)), HYPERLINK("#",""), HYPERLINK(CONCATENATE("#metadata!", ADDRESS(INDEX($AH$2:$AH$1001,MATCH(ROWS($AF$2:AF291),$AF$2:$AF$1001,0),0), INDEX($AM$1004:$BM$1004,1,MATCH(COLUMNS($AM$1006:BL1006),$AM$1006:$BM$1006,0)))),"Fix")))</f>
        <v xml:space="preserve"> </v>
      </c>
      <c r="AB291" s="4" t="str">
        <f ca="1">IF(OR(INDEX($AG$2:$AG$1001,MATCH(ROWS($AF$2:AF291),$AF$2:$AF$1001,0),1)&gt;=100000,INDEX($AM$1005:$BM$1005,1,MATCH(COLUMNS($AM$1006:BM1006),$AM$1006:$BM$1006,0))&gt;=100000), " ",IF(INDEX($AM$2:$BM$1001,MATCH(ROWS($AF$2:AF291),$AF$2:$AF$1001,0),MATCH(COLUMNS($AM$1006:BM1006),$AM$1006:$BM$1006,0)), HYPERLINK("#",""), HYPERLINK(CONCATENATE("#metadata!", ADDRESS(INDEX($AH$2:$AH$1001,MATCH(ROWS($AF$2:AF291),$AF$2:$AF$1001,0),0), INDEX($AM$1004:$BM$1004,1,MATCH(COLUMNS($AM$1006:BM1006),$AM$1006:$BM$1006,0)))),"Fix")))</f>
        <v xml:space="preserve"> </v>
      </c>
      <c r="AF291">
        <v>290</v>
      </c>
      <c r="AG291">
        <v>100291</v>
      </c>
      <c r="AH291">
        <v>291</v>
      </c>
      <c r="AI291" t="b">
        <f t="shared" si="4"/>
        <v>1</v>
      </c>
      <c r="AJ291" t="b">
        <f>COUNTBLANK(metadata!B291:AB291)=COLUMNS(metadata!B291:AB291)</f>
        <v>1</v>
      </c>
      <c r="AK291" t="str">
        <v/>
      </c>
      <c r="AM291" t="b">
        <f ca="1">AND(IF(metadata!B291="",FALSE,TRUE),COUNTIF(metadata!B:B, metadata!B291) = 1,NOT(ISERROR(SUMPRODUCT(SEARCH(MID(metadata!B291,ROW(INDIRECT("1:"&amp;LEN(metadata!B291))), 1),"0123456789abcdefghijklmnopqrstuvwxyzABCDEFGHIJKLMNOPQRSTUVWXYZ.")))))</f>
        <v>0</v>
      </c>
      <c r="AN291" t="b">
        <f ca="1">OR(AND(IF(metadata!C291="",FALSE,TRUE),OR(EXACT(metadata!C291,"missing: not collected"),EXACT(metadata!C291,"missing: not provided"),EXACT(metadata!C291,"missing: restricted access"))),AND(IF(metadata!C291="",FALSE,TRUE),AND(AND(IFERROR(INT(LEFT(metadata!C291,4))&gt;1900,FALSE),IFERROR(INT(LEFT(metadata!C291,4))&lt;=YEAR(NOW()),FALSE)), OR(MID(metadata!C291,5,1)="", AND(AND(MID(metadata!C291,5,1)="-",IFERROR(INT(MID(metadata!C291,6,1))&gt;=0,FALSE),IFERROR(INT(MID(metadata!C291,6,1))&lt;=1,FALSE),NOT(MID(metadata!C291,7,1)=""),IFERROR(INT(MID(metadata!C291,6,2))&gt;=1,FALSE),IFERROR(INT(MID(metadata!C291,6,2))&lt;=12,FALSE)), OR(MID(metadata!C291,8,1)="", AND(AND(MID(metadata!C291,8,1)="-",IFERROR(INT(MID(metadata!C291,9,1))&gt;=0,FALSE),IFERROR(INT(MID(metadata!C291,9,1))&lt;=3,FALSE),NOT(MID(metadata!C291,10,1)=""),IFERROR(INT(MID(metadata!C291,9,2))&gt;=1,FALSE),IFERROR(INT(MID(metadata!C291,9,2))&lt;=31,FALSE)), OR(MID(metadata!C291,11,1)="", AND(AND(MID(metadata!C291,11,1)=" ",IFERROR(INT(MID(metadata!C291,12,1))&gt;=0,FALSE),IFERROR(INT(MID(metadata!C291,12,1))&lt;=2,FALSE),NOT(MID(metadata!C291,13,1)=""),IFERROR(INT(MID(metadata!C291,12,2))&gt;=0,FALSE),IFERROR(INT(MID(metadata!C291,12,2))&lt;=23,FALSE)), OR(MID(metadata!C291,14,1)="", AND(AND(MID(metadata!C291,14,1)=":",IFERROR(INT(MID(metadata!C291,15,1))&gt;=0,FALSE),IFERROR(INT(MID(metadata!C291,15,1))&lt;=5,FALSE),NOT(MID(metadata!C291,16,1)=""),IFERROR(INT(MID(metadata!C291,15,2))&gt;=0,FALSE),IFERROR(INT(MID(metadata!C291,15,2))&lt;=59,FALSE)), OR(MID(metadata!C291,17,1)="", AND(AND(MID(metadata!C291,17,1)=":",IFERROR(INT(MID(metadata!C291,18,1))&gt;=0,FALSE),IFERROR(INT(MID(metadata!C291,18,1))&lt;=5,FALSE),NOT(MID(metadata!C291,19,1)=""),IFERROR(INT(MID(metadata!C291,18,2))&gt;=0,FALSE),IFERROR(INT(MID(metadata!C291,18,2))&lt;=59,FALSE)), LEN(metadata!C291)&lt;=19)))))))))))))</f>
        <v>0</v>
      </c>
      <c r="AO291" t="b">
        <f>AND(IF(metadata!D291="",FALSE,TRUE),EXACT(metadata!D291,"Not applicable"))</f>
        <v>0</v>
      </c>
      <c r="AP291" t="b">
        <f>IF(metadata!E291="",FALSE,TRUE)</f>
        <v>0</v>
      </c>
      <c r="AQ291" t="b">
        <f>OR(AND(IF(metadata!F291="",FALSE,TRUE),OR(EXACT(metadata!F291,"missing: not collected"),EXACT(metadata!F291,"missing: not provided"))),AND(IF(metadata!F291="",FALSE,TRUE),OR(EXACT(metadata!F291,"TRUE"),EXACT(metadata!F291,"FALSE"))))</f>
        <v>0</v>
      </c>
      <c r="AR291" t="b">
        <f>OR(AND(IF(metadata!G291="",FALSE,TRUE),OR(EXACT(metadata!G291,"missing: not collected"),EXACT(metadata!G291,"missing: not provided"),EXACT(metadata!G291,"missing: restricted access"))),AND(IF(metadata!G291="",FALSE,ISNUMBER(VALUE(metadata!G291))),metadata!G291&gt;=-413))</f>
        <v>0</v>
      </c>
      <c r="AS291" t="b">
        <f>AND(IF(metadata!H291="",FALSE,TRUE),EXACT(metadata!H291,"meters"))</f>
        <v>0</v>
      </c>
      <c r="AT291" t="b">
        <f>AND(IF(metadata!I291="",FALSE,TRUE),OR(EXACT(metadata!I291,"Host-associated"),EXACT(metadata!I291,"Free-living")))</f>
        <v>0</v>
      </c>
      <c r="AU291" t="b">
        <f>AND(IF(metadata!J291="",FALSE,TRUE),OR(EXACT(metadata!J291,"Animal"),EXACT(metadata!J291,"Fungus"),EXACT(metadata!J291,"Plant"),EXACT(metadata!J291,"Saline"),EXACT(metadata!J291,"Non-saline")))</f>
        <v>0</v>
      </c>
      <c r="AV291" t="b">
        <f>AND(IF(metadata!K291="",FALSE,TRUE),OR(EXACT(metadata!K291,"Plant secretion"),EXACT(metadata!K291,"Plant rhizosphere"),EXACT(metadata!K291,"Plant surface"),EXACT(metadata!K291,"Plant corpus"),EXACT(metadata!K291,"Fungus surface"),EXACT(metadata!K291,"Fungus corpus"),EXACT(metadata!K291,"Animal surface"),EXACT(metadata!K291,"Animal proximal gut"),EXACT(metadata!K291,"Animal corpus"),EXACT(metadata!K291,"Animal distal gut"),EXACT(metadata!K291,"Animal secretion"),EXACT(metadata!K291,"Sub-surface (non-saline)"),EXACT(metadata!K291,"Surface (non-saline)"),EXACT(metadata!K291,"Water (non-saline)"),EXACT(metadata!K291,"Soil (non-saline)"),EXACT(metadata!K291,"Aerosol (non-saline)"),EXACT(metadata!K291,"Sediment (non-saline)"),EXACT(metadata!K291,"Surface (saline)"),EXACT(metadata!K291,"Water (saline)"),EXACT(metadata!K291,"Hypersaline (saline)"),EXACT(metadata!K291,"Aerosol (saline)"),EXACT(metadata!K291,"Sediment (saline)")))</f>
        <v>0</v>
      </c>
      <c r="AW291" t="b">
        <f>IF(metadata!L291="",FALSE,TRUE)</f>
        <v>0</v>
      </c>
      <c r="AX291" t="b">
        <f>IF(metadata!M291="",FALSE,TRUE)</f>
        <v>0</v>
      </c>
      <c r="AY291" t="b">
        <f>IF(metadata!N291="",FALSE,TRUE)</f>
        <v>0</v>
      </c>
      <c r="AZ291" t="b">
        <f>OR(AND(IF(metadata!O291="",FALSE,TRUE),OR(EXACT(metadata!O291,"missing: not collected"),EXACT(metadata!O291,"missing: not provided"),EXACT(metadata!O291,"missing: restricted access"))),AND(IF(metadata!O291="",FALSE,TRUE),OR(EXACT(metadata!O291,"air"),EXACT(metadata!O291,"built environment"),EXACT(metadata!O291,"host-associated"),EXACT(metadata!O291,"human-associated"),EXACT(metadata!O291,"human-skin"),EXACT(metadata!O291,"human-oral"),EXACT(metadata!O291,"human-gut"),EXACT(metadata!O291,"human-vaginal"),EXACT(metadata!O291,"microbial mat/biofilm"),EXACT(metadata!O291,"misc environment"),EXACT(metadata!O291,"plant-associated"),EXACT(metadata!O291,"sediment"),EXACT(metadata!O291,"soil"),EXACT(metadata!O291,"wastewater/sludge"),EXACT(metadata!O291,"water"))))</f>
        <v>0</v>
      </c>
      <c r="BA291" t="b">
        <f>IF(metadata!P291="",FALSE,TRUE)</f>
        <v>0</v>
      </c>
      <c r="BB291" t="b">
        <f>IF(metadata!Q291="",FALSE,TRUE)</f>
        <v>0</v>
      </c>
      <c r="BC291" t="b">
        <f>OR(AND(IF(metadata!R291="",FALSE,TRUE),OR(EXACT(metadata!R291,"missing: not collected"),EXACT(metadata!R291,"missing: not provided"),EXACT(metadata!R291,"missing: restricted access"))),AND(IF(metadata!R291="",FALSE,ISNUMBER(VALUE(metadata!R291))),metadata!R291&gt;=-90,metadata!R291&lt;=90))</f>
        <v>0</v>
      </c>
      <c r="BD291" t="b">
        <f>AND(IF(metadata!S291="",FALSE,TRUE),EXACT(metadata!S291,"Decimal degrees"))</f>
        <v>0</v>
      </c>
      <c r="BE291" t="b">
        <f>OR(AND(IF(metadata!T291="",FALSE,TRUE),OR(EXACT(metadata!T291,"missing: not collected"),EXACT(metadata!T291,"missing: not provided"),EXACT(metadata!T291,"missing: restricted access"))),AND(IF(metadata!T291="",FALSE,ISNUMBER(VALUE(metadata!T291))),metadata!T291&gt;=-180,metadata!T291&lt;=180))</f>
        <v>0</v>
      </c>
      <c r="BF291" t="b">
        <f>AND(IF(metadata!U291="",FALSE,TRUE),EXACT(metadata!U291,"Decimal degrees"))</f>
        <v>0</v>
      </c>
      <c r="BG291" t="b">
        <f>IF(metadata!V291="",FALSE,TRUE)</f>
        <v>0</v>
      </c>
      <c r="BH291" t="b">
        <f>OR(AND(IF(metadata!W291="",FALSE,TRUE),OR(EXACT(metadata!W291,"missing: not collected"),EXACT(metadata!W291,"missing: not provided"),EXACT(metadata!W291,"missing: restricted access"))),AND(IF(metadata!W291="",FALSE,TRUE),OR(EXACT(metadata!W291,"TRUE"),EXACT(metadata!W291,"FALSE"))))</f>
        <v>0</v>
      </c>
      <c r="BI291" t="b">
        <f>AND(IF(metadata!X291="",FALSE,TRUE),EXACT(metadata!X291,"other"))</f>
        <v>0</v>
      </c>
      <c r="BJ291" t="b">
        <f>IF(metadata!Y291="",FALSE,TRUE)</f>
        <v>0</v>
      </c>
      <c r="BK291" t="b">
        <f>OR(AND(IF(metadata!Z291="",FALSE,TRUE),OR(EXACT(metadata!Z291,"missing: not collected"),EXACT(metadata!Z291,"missing: not provided"))),AND(IF(metadata!Z291="",FALSE,IF(ISERROR(INT(metadata!Z291)),FALSE,INT(metadata!Z291)=metadata!Z291)),metadata!Z291&gt;0))</f>
        <v>0</v>
      </c>
      <c r="BL291" t="b">
        <f>AND(IF(metadata!AA291="",FALSE,TRUE),EXACT(metadata!AA291,"Not applicable"))</f>
        <v>0</v>
      </c>
      <c r="BM291" t="b">
        <f>IF(metadata!AB291="",FALSE,TRUE)</f>
        <v>0</v>
      </c>
    </row>
    <row r="292" spans="1:65" x14ac:dyDescent="0.2">
      <c r="A292" s="5" t="str">
        <f ca="1">IF(B292=" "," ",HYPERLINK(CONCATENATE("#metadata!",ADDRESS(INDEX($AH$2:$AH$1001,MATCH(ROWS($AF$2:AF292),$AF$2:$AF$1001,0),0),1)),INDEX($AK$2:$AK$1001,MATCH(ROWS($AF$2:AF292),$AF$2:$AF$1001,0),0)))</f>
        <v xml:space="preserve"> </v>
      </c>
      <c r="B292" s="4" t="str">
        <f ca="1">IF(OR(INDEX($AG$2:$AG$1001,MATCH(ROWS($AF$2:AF292),$AF$2:$AF$1001,0),1)&gt;=100000,INDEX($AM$1005:$BM$1005,1,MATCH(COLUMNS($AM$1006:AM1006),$AM$1006:$BM$1006,0))&gt;=100000), " ",IF(INDEX($AM$2:$BM$1001,MATCH(ROWS($AF$2:AF292),$AF$2:$AF$1001,0),MATCH(COLUMNS($AM$1006:AM1006),$AM$1006:$BM$1006,0)), HYPERLINK("#",""), HYPERLINK(CONCATENATE("#metadata!", ADDRESS(INDEX($AH$2:$AH$1001,MATCH(ROWS($AF$2:AF292),$AF$2:$AF$1001,0),0), INDEX($AM$1004:$BM$1004,1,MATCH(COLUMNS($AM$1006:AM1006),$AM$1006:$BM$1006,0)))),"Fix")))</f>
        <v xml:space="preserve"> </v>
      </c>
      <c r="C292" s="4" t="str">
        <f ca="1">IF(OR(INDEX($AG$2:$AG$1001,MATCH(ROWS($AF$2:AF292),$AF$2:$AF$1001,0),1)&gt;=100000,INDEX($AM$1005:$BM$1005,1,MATCH(COLUMNS($AM$1006:AN1006),$AM$1006:$BM$1006,0))&gt;=100000), " ",IF(INDEX($AM$2:$BM$1001,MATCH(ROWS($AF$2:AF292),$AF$2:$AF$1001,0),MATCH(COLUMNS($AM$1006:AN1006),$AM$1006:$BM$1006,0)), HYPERLINK("#",""), HYPERLINK(CONCATENATE("#metadata!", ADDRESS(INDEX($AH$2:$AH$1001,MATCH(ROWS($AF$2:AF292),$AF$2:$AF$1001,0),0), INDEX($AM$1004:$BM$1004,1,MATCH(COLUMNS($AM$1006:AN1006),$AM$1006:$BM$1006,0)))),"Fix")))</f>
        <v xml:space="preserve"> </v>
      </c>
      <c r="D292" s="4" t="str">
        <f ca="1">IF(OR(INDEX($AG$2:$AG$1001,MATCH(ROWS($AF$2:AF292),$AF$2:$AF$1001,0),1)&gt;=100000,INDEX($AM$1005:$BM$1005,1,MATCH(COLUMNS($AM$1006:AO1006),$AM$1006:$BM$1006,0))&gt;=100000), " ",IF(INDEX($AM$2:$BM$1001,MATCH(ROWS($AF$2:AF292),$AF$2:$AF$1001,0),MATCH(COLUMNS($AM$1006:AO1006),$AM$1006:$BM$1006,0)), HYPERLINK("#",""), HYPERLINK(CONCATENATE("#metadata!", ADDRESS(INDEX($AH$2:$AH$1001,MATCH(ROWS($AF$2:AF292),$AF$2:$AF$1001,0),0), INDEX($AM$1004:$BM$1004,1,MATCH(COLUMNS($AM$1006:AO1006),$AM$1006:$BM$1006,0)))),"Fix")))</f>
        <v xml:space="preserve"> </v>
      </c>
      <c r="E292" s="4" t="str">
        <f ca="1">IF(OR(INDEX($AG$2:$AG$1001,MATCH(ROWS($AF$2:AF292),$AF$2:$AF$1001,0),1)&gt;=100000,INDEX($AM$1005:$BM$1005,1,MATCH(COLUMNS($AM$1006:AP1006),$AM$1006:$BM$1006,0))&gt;=100000), " ",IF(INDEX($AM$2:$BM$1001,MATCH(ROWS($AF$2:AF292),$AF$2:$AF$1001,0),MATCH(COLUMNS($AM$1006:AP1006),$AM$1006:$BM$1006,0)), HYPERLINK("#",""), HYPERLINK(CONCATENATE("#metadata!", ADDRESS(INDEX($AH$2:$AH$1001,MATCH(ROWS($AF$2:AF292),$AF$2:$AF$1001,0),0), INDEX($AM$1004:$BM$1004,1,MATCH(COLUMNS($AM$1006:AP1006),$AM$1006:$BM$1006,0)))),"Fix")))</f>
        <v xml:space="preserve"> </v>
      </c>
      <c r="F292" s="4" t="str">
        <f ca="1">IF(OR(INDEX($AG$2:$AG$1001,MATCH(ROWS($AF$2:AF292),$AF$2:$AF$1001,0),1)&gt;=100000,INDEX($AM$1005:$BM$1005,1,MATCH(COLUMNS($AM$1006:AQ1006),$AM$1006:$BM$1006,0))&gt;=100000), " ",IF(INDEX($AM$2:$BM$1001,MATCH(ROWS($AF$2:AF292),$AF$2:$AF$1001,0),MATCH(COLUMNS($AM$1006:AQ1006),$AM$1006:$BM$1006,0)), HYPERLINK("#",""), HYPERLINK(CONCATENATE("#metadata!", ADDRESS(INDEX($AH$2:$AH$1001,MATCH(ROWS($AF$2:AF292),$AF$2:$AF$1001,0),0), INDEX($AM$1004:$BM$1004,1,MATCH(COLUMNS($AM$1006:AQ1006),$AM$1006:$BM$1006,0)))),"Fix")))</f>
        <v xml:space="preserve"> </v>
      </c>
      <c r="G292" s="4" t="str">
        <f ca="1">IF(OR(INDEX($AG$2:$AG$1001,MATCH(ROWS($AF$2:AF292),$AF$2:$AF$1001,0),1)&gt;=100000,INDEX($AM$1005:$BM$1005,1,MATCH(COLUMNS($AM$1006:AR1006),$AM$1006:$BM$1006,0))&gt;=100000), " ",IF(INDEX($AM$2:$BM$1001,MATCH(ROWS($AF$2:AF292),$AF$2:$AF$1001,0),MATCH(COLUMNS($AM$1006:AR1006),$AM$1006:$BM$1006,0)), HYPERLINK("#",""), HYPERLINK(CONCATENATE("#metadata!", ADDRESS(INDEX($AH$2:$AH$1001,MATCH(ROWS($AF$2:AF292),$AF$2:$AF$1001,0),0), INDEX($AM$1004:$BM$1004,1,MATCH(COLUMNS($AM$1006:AR1006),$AM$1006:$BM$1006,0)))),"Fix")))</f>
        <v xml:space="preserve"> </v>
      </c>
      <c r="H292" s="4" t="str">
        <f ca="1">IF(OR(INDEX($AG$2:$AG$1001,MATCH(ROWS($AF$2:AF292),$AF$2:$AF$1001,0),1)&gt;=100000,INDEX($AM$1005:$BM$1005,1,MATCH(COLUMNS($AM$1006:AS1006),$AM$1006:$BM$1006,0))&gt;=100000), " ",IF(INDEX($AM$2:$BM$1001,MATCH(ROWS($AF$2:AF292),$AF$2:$AF$1001,0),MATCH(COLUMNS($AM$1006:AS1006),$AM$1006:$BM$1006,0)), HYPERLINK("#",""), HYPERLINK(CONCATENATE("#metadata!", ADDRESS(INDEX($AH$2:$AH$1001,MATCH(ROWS($AF$2:AF292),$AF$2:$AF$1001,0),0), INDEX($AM$1004:$BM$1004,1,MATCH(COLUMNS($AM$1006:AS1006),$AM$1006:$BM$1006,0)))),"Fix")))</f>
        <v xml:space="preserve"> </v>
      </c>
      <c r="I292" s="4" t="str">
        <f ca="1">IF(OR(INDEX($AG$2:$AG$1001,MATCH(ROWS($AF$2:AF292),$AF$2:$AF$1001,0),1)&gt;=100000,INDEX($AM$1005:$BM$1005,1,MATCH(COLUMNS($AM$1006:AT1006),$AM$1006:$BM$1006,0))&gt;=100000), " ",IF(INDEX($AM$2:$BM$1001,MATCH(ROWS($AF$2:AF292),$AF$2:$AF$1001,0),MATCH(COLUMNS($AM$1006:AT1006),$AM$1006:$BM$1006,0)), HYPERLINK("#",""), HYPERLINK(CONCATENATE("#metadata!", ADDRESS(INDEX($AH$2:$AH$1001,MATCH(ROWS($AF$2:AF292),$AF$2:$AF$1001,0),0), INDEX($AM$1004:$BM$1004,1,MATCH(COLUMNS($AM$1006:AT1006),$AM$1006:$BM$1006,0)))),"Fix")))</f>
        <v xml:space="preserve"> </v>
      </c>
      <c r="J292" s="4" t="str">
        <f ca="1">IF(OR(INDEX($AG$2:$AG$1001,MATCH(ROWS($AF$2:AF292),$AF$2:$AF$1001,0),1)&gt;=100000,INDEX($AM$1005:$BM$1005,1,MATCH(COLUMNS($AM$1006:AU1006),$AM$1006:$BM$1006,0))&gt;=100000), " ",IF(INDEX($AM$2:$BM$1001,MATCH(ROWS($AF$2:AF292),$AF$2:$AF$1001,0),MATCH(COLUMNS($AM$1006:AU1006),$AM$1006:$BM$1006,0)), HYPERLINK("#",""), HYPERLINK(CONCATENATE("#metadata!", ADDRESS(INDEX($AH$2:$AH$1001,MATCH(ROWS($AF$2:AF292),$AF$2:$AF$1001,0),0), INDEX($AM$1004:$BM$1004,1,MATCH(COLUMNS($AM$1006:AU1006),$AM$1006:$BM$1006,0)))),"Fix")))</f>
        <v xml:space="preserve"> </v>
      </c>
      <c r="K292" s="4" t="str">
        <f ca="1">IF(OR(INDEX($AG$2:$AG$1001,MATCH(ROWS($AF$2:AF292),$AF$2:$AF$1001,0),1)&gt;=100000,INDEX($AM$1005:$BM$1005,1,MATCH(COLUMNS($AM$1006:AV1006),$AM$1006:$BM$1006,0))&gt;=100000), " ",IF(INDEX($AM$2:$BM$1001,MATCH(ROWS($AF$2:AF292),$AF$2:$AF$1001,0),MATCH(COLUMNS($AM$1006:AV1006),$AM$1006:$BM$1006,0)), HYPERLINK("#",""), HYPERLINK(CONCATENATE("#metadata!", ADDRESS(INDEX($AH$2:$AH$1001,MATCH(ROWS($AF$2:AF292),$AF$2:$AF$1001,0),0), INDEX($AM$1004:$BM$1004,1,MATCH(COLUMNS($AM$1006:AV1006),$AM$1006:$BM$1006,0)))),"Fix")))</f>
        <v xml:space="preserve"> </v>
      </c>
      <c r="L292" s="4" t="str">
        <f ca="1">IF(OR(INDEX($AG$2:$AG$1001,MATCH(ROWS($AF$2:AF292),$AF$2:$AF$1001,0),1)&gt;=100000,INDEX($AM$1005:$BM$1005,1,MATCH(COLUMNS($AM$1006:AW1006),$AM$1006:$BM$1006,0))&gt;=100000), " ",IF(INDEX($AM$2:$BM$1001,MATCH(ROWS($AF$2:AF292),$AF$2:$AF$1001,0),MATCH(COLUMNS($AM$1006:AW1006),$AM$1006:$BM$1006,0)), HYPERLINK("#",""), HYPERLINK(CONCATENATE("#metadata!", ADDRESS(INDEX($AH$2:$AH$1001,MATCH(ROWS($AF$2:AF292),$AF$2:$AF$1001,0),0), INDEX($AM$1004:$BM$1004,1,MATCH(COLUMNS($AM$1006:AW1006),$AM$1006:$BM$1006,0)))),"Fix")))</f>
        <v xml:space="preserve"> </v>
      </c>
      <c r="M292" s="4" t="str">
        <f ca="1">IF(OR(INDEX($AG$2:$AG$1001,MATCH(ROWS($AF$2:AF292),$AF$2:$AF$1001,0),1)&gt;=100000,INDEX($AM$1005:$BM$1005,1,MATCH(COLUMNS($AM$1006:AX1006),$AM$1006:$BM$1006,0))&gt;=100000), " ",IF(INDEX($AM$2:$BM$1001,MATCH(ROWS($AF$2:AF292),$AF$2:$AF$1001,0),MATCH(COLUMNS($AM$1006:AX1006),$AM$1006:$BM$1006,0)), HYPERLINK("#",""), HYPERLINK(CONCATENATE("#metadata!", ADDRESS(INDEX($AH$2:$AH$1001,MATCH(ROWS($AF$2:AF292),$AF$2:$AF$1001,0),0), INDEX($AM$1004:$BM$1004,1,MATCH(COLUMNS($AM$1006:AX1006),$AM$1006:$BM$1006,0)))),"Fix")))</f>
        <v xml:space="preserve"> </v>
      </c>
      <c r="N292" s="4" t="str">
        <f ca="1">IF(OR(INDEX($AG$2:$AG$1001,MATCH(ROWS($AF$2:AF292),$AF$2:$AF$1001,0),1)&gt;=100000,INDEX($AM$1005:$BM$1005,1,MATCH(COLUMNS($AM$1006:AY1006),$AM$1006:$BM$1006,0))&gt;=100000), " ",IF(INDEX($AM$2:$BM$1001,MATCH(ROWS($AF$2:AF292),$AF$2:$AF$1001,0),MATCH(COLUMNS($AM$1006:AY1006),$AM$1006:$BM$1006,0)), HYPERLINK("#",""), HYPERLINK(CONCATENATE("#metadata!", ADDRESS(INDEX($AH$2:$AH$1001,MATCH(ROWS($AF$2:AF292),$AF$2:$AF$1001,0),0), INDEX($AM$1004:$BM$1004,1,MATCH(COLUMNS($AM$1006:AY1006),$AM$1006:$BM$1006,0)))),"Fix")))</f>
        <v xml:space="preserve"> </v>
      </c>
      <c r="O292" s="4" t="str">
        <f ca="1">IF(OR(INDEX($AG$2:$AG$1001,MATCH(ROWS($AF$2:AF292),$AF$2:$AF$1001,0),1)&gt;=100000,INDEX($AM$1005:$BM$1005,1,MATCH(COLUMNS($AM$1006:AZ1006),$AM$1006:$BM$1006,0))&gt;=100000), " ",IF(INDEX($AM$2:$BM$1001,MATCH(ROWS($AF$2:AF292),$AF$2:$AF$1001,0),MATCH(COLUMNS($AM$1006:AZ1006),$AM$1006:$BM$1006,0)), HYPERLINK("#",""), HYPERLINK(CONCATENATE("#metadata!", ADDRESS(INDEX($AH$2:$AH$1001,MATCH(ROWS($AF$2:AF292),$AF$2:$AF$1001,0),0), INDEX($AM$1004:$BM$1004,1,MATCH(COLUMNS($AM$1006:AZ1006),$AM$1006:$BM$1006,0)))),"Fix")))</f>
        <v xml:space="preserve"> </v>
      </c>
      <c r="P292" s="4" t="str">
        <f ca="1">IF(OR(INDEX($AG$2:$AG$1001,MATCH(ROWS($AF$2:AF292),$AF$2:$AF$1001,0),1)&gt;=100000,INDEX($AM$1005:$BM$1005,1,MATCH(COLUMNS($AM$1006:BA1006),$AM$1006:$BM$1006,0))&gt;=100000), " ",IF(INDEX($AM$2:$BM$1001,MATCH(ROWS($AF$2:AF292),$AF$2:$AF$1001,0),MATCH(COLUMNS($AM$1006:BA1006),$AM$1006:$BM$1006,0)), HYPERLINK("#",""), HYPERLINK(CONCATENATE("#metadata!", ADDRESS(INDEX($AH$2:$AH$1001,MATCH(ROWS($AF$2:AF292),$AF$2:$AF$1001,0),0), INDEX($AM$1004:$BM$1004,1,MATCH(COLUMNS($AM$1006:BA1006),$AM$1006:$BM$1006,0)))),"Fix")))</f>
        <v xml:space="preserve"> </v>
      </c>
      <c r="Q292" s="4" t="str">
        <f ca="1">IF(OR(INDEX($AG$2:$AG$1001,MATCH(ROWS($AF$2:AF292),$AF$2:$AF$1001,0),1)&gt;=100000,INDEX($AM$1005:$BM$1005,1,MATCH(COLUMNS($AM$1006:BB1006),$AM$1006:$BM$1006,0))&gt;=100000), " ",IF(INDEX($AM$2:$BM$1001,MATCH(ROWS($AF$2:AF292),$AF$2:$AF$1001,0),MATCH(COLUMNS($AM$1006:BB1006),$AM$1006:$BM$1006,0)), HYPERLINK("#",""), HYPERLINK(CONCATENATE("#metadata!", ADDRESS(INDEX($AH$2:$AH$1001,MATCH(ROWS($AF$2:AF292),$AF$2:$AF$1001,0),0), INDEX($AM$1004:$BM$1004,1,MATCH(COLUMNS($AM$1006:BB1006),$AM$1006:$BM$1006,0)))),"Fix")))</f>
        <v xml:space="preserve"> </v>
      </c>
      <c r="R292" s="4" t="str">
        <f ca="1">IF(OR(INDEX($AG$2:$AG$1001,MATCH(ROWS($AF$2:AF292),$AF$2:$AF$1001,0),1)&gt;=100000,INDEX($AM$1005:$BM$1005,1,MATCH(COLUMNS($AM$1006:BC1006),$AM$1006:$BM$1006,0))&gt;=100000), " ",IF(INDEX($AM$2:$BM$1001,MATCH(ROWS($AF$2:AF292),$AF$2:$AF$1001,0),MATCH(COLUMNS($AM$1006:BC1006),$AM$1006:$BM$1006,0)), HYPERLINK("#",""), HYPERLINK(CONCATENATE("#metadata!", ADDRESS(INDEX($AH$2:$AH$1001,MATCH(ROWS($AF$2:AF292),$AF$2:$AF$1001,0),0), INDEX($AM$1004:$BM$1004,1,MATCH(COLUMNS($AM$1006:BC1006),$AM$1006:$BM$1006,0)))),"Fix")))</f>
        <v xml:space="preserve"> </v>
      </c>
      <c r="S292" s="4" t="str">
        <f ca="1">IF(OR(INDEX($AG$2:$AG$1001,MATCH(ROWS($AF$2:AF292),$AF$2:$AF$1001,0),1)&gt;=100000,INDEX($AM$1005:$BM$1005,1,MATCH(COLUMNS($AM$1006:BD1006),$AM$1006:$BM$1006,0))&gt;=100000), " ",IF(INDEX($AM$2:$BM$1001,MATCH(ROWS($AF$2:AF292),$AF$2:$AF$1001,0),MATCH(COLUMNS($AM$1006:BD1006),$AM$1006:$BM$1006,0)), HYPERLINK("#",""), HYPERLINK(CONCATENATE("#metadata!", ADDRESS(INDEX($AH$2:$AH$1001,MATCH(ROWS($AF$2:AF292),$AF$2:$AF$1001,0),0), INDEX($AM$1004:$BM$1004,1,MATCH(COLUMNS($AM$1006:BD1006),$AM$1006:$BM$1006,0)))),"Fix")))</f>
        <v xml:space="preserve"> </v>
      </c>
      <c r="T292" s="4" t="str">
        <f ca="1">IF(OR(INDEX($AG$2:$AG$1001,MATCH(ROWS($AF$2:AF292),$AF$2:$AF$1001,0),1)&gt;=100000,INDEX($AM$1005:$BM$1005,1,MATCH(COLUMNS($AM$1006:BE1006),$AM$1006:$BM$1006,0))&gt;=100000), " ",IF(INDEX($AM$2:$BM$1001,MATCH(ROWS($AF$2:AF292),$AF$2:$AF$1001,0),MATCH(COLUMNS($AM$1006:BE1006),$AM$1006:$BM$1006,0)), HYPERLINK("#",""), HYPERLINK(CONCATENATE("#metadata!", ADDRESS(INDEX($AH$2:$AH$1001,MATCH(ROWS($AF$2:AF292),$AF$2:$AF$1001,0),0), INDEX($AM$1004:$BM$1004,1,MATCH(COLUMNS($AM$1006:BE1006),$AM$1006:$BM$1006,0)))),"Fix")))</f>
        <v xml:space="preserve"> </v>
      </c>
      <c r="U292" s="4" t="str">
        <f ca="1">IF(OR(INDEX($AG$2:$AG$1001,MATCH(ROWS($AF$2:AF292),$AF$2:$AF$1001,0),1)&gt;=100000,INDEX($AM$1005:$BM$1005,1,MATCH(COLUMNS($AM$1006:BF1006),$AM$1006:$BM$1006,0))&gt;=100000), " ",IF(INDEX($AM$2:$BM$1001,MATCH(ROWS($AF$2:AF292),$AF$2:$AF$1001,0),MATCH(COLUMNS($AM$1006:BF1006),$AM$1006:$BM$1006,0)), HYPERLINK("#",""), HYPERLINK(CONCATENATE("#metadata!", ADDRESS(INDEX($AH$2:$AH$1001,MATCH(ROWS($AF$2:AF292),$AF$2:$AF$1001,0),0), INDEX($AM$1004:$BM$1004,1,MATCH(COLUMNS($AM$1006:BF1006),$AM$1006:$BM$1006,0)))),"Fix")))</f>
        <v xml:space="preserve"> </v>
      </c>
      <c r="V292" s="4" t="str">
        <f ca="1">IF(OR(INDEX($AG$2:$AG$1001,MATCH(ROWS($AF$2:AF292),$AF$2:$AF$1001,0),1)&gt;=100000,INDEX($AM$1005:$BM$1005,1,MATCH(COLUMNS($AM$1006:BG1006),$AM$1006:$BM$1006,0))&gt;=100000), " ",IF(INDEX($AM$2:$BM$1001,MATCH(ROWS($AF$2:AF292),$AF$2:$AF$1001,0),MATCH(COLUMNS($AM$1006:BG1006),$AM$1006:$BM$1006,0)), HYPERLINK("#",""), HYPERLINK(CONCATENATE("#metadata!", ADDRESS(INDEX($AH$2:$AH$1001,MATCH(ROWS($AF$2:AF292),$AF$2:$AF$1001,0),0), INDEX($AM$1004:$BM$1004,1,MATCH(COLUMNS($AM$1006:BG1006),$AM$1006:$BM$1006,0)))),"Fix")))</f>
        <v xml:space="preserve"> </v>
      </c>
      <c r="W292" s="4" t="str">
        <f ca="1">IF(OR(INDEX($AG$2:$AG$1001,MATCH(ROWS($AF$2:AF292),$AF$2:$AF$1001,0),1)&gt;=100000,INDEX($AM$1005:$BM$1005,1,MATCH(COLUMNS($AM$1006:BH1006),$AM$1006:$BM$1006,0))&gt;=100000), " ",IF(INDEX($AM$2:$BM$1001,MATCH(ROWS($AF$2:AF292),$AF$2:$AF$1001,0),MATCH(COLUMNS($AM$1006:BH1006),$AM$1006:$BM$1006,0)), HYPERLINK("#",""), HYPERLINK(CONCATENATE("#metadata!", ADDRESS(INDEX($AH$2:$AH$1001,MATCH(ROWS($AF$2:AF292),$AF$2:$AF$1001,0),0), INDEX($AM$1004:$BM$1004,1,MATCH(COLUMNS($AM$1006:BH1006),$AM$1006:$BM$1006,0)))),"Fix")))</f>
        <v xml:space="preserve"> </v>
      </c>
      <c r="X292" s="4" t="str">
        <f ca="1">IF(OR(INDEX($AG$2:$AG$1001,MATCH(ROWS($AF$2:AF292),$AF$2:$AF$1001,0),1)&gt;=100000,INDEX($AM$1005:$BM$1005,1,MATCH(COLUMNS($AM$1006:BI1006),$AM$1006:$BM$1006,0))&gt;=100000), " ",IF(INDEX($AM$2:$BM$1001,MATCH(ROWS($AF$2:AF292),$AF$2:$AF$1001,0),MATCH(COLUMNS($AM$1006:BI1006),$AM$1006:$BM$1006,0)), HYPERLINK("#",""), HYPERLINK(CONCATENATE("#metadata!", ADDRESS(INDEX($AH$2:$AH$1001,MATCH(ROWS($AF$2:AF292),$AF$2:$AF$1001,0),0), INDEX($AM$1004:$BM$1004,1,MATCH(COLUMNS($AM$1006:BI1006),$AM$1006:$BM$1006,0)))),"Fix")))</f>
        <v xml:space="preserve"> </v>
      </c>
      <c r="Y292" s="4" t="str">
        <f ca="1">IF(OR(INDEX($AG$2:$AG$1001,MATCH(ROWS($AF$2:AF292),$AF$2:$AF$1001,0),1)&gt;=100000,INDEX($AM$1005:$BM$1005,1,MATCH(COLUMNS($AM$1006:BJ1006),$AM$1006:$BM$1006,0))&gt;=100000), " ",IF(INDEX($AM$2:$BM$1001,MATCH(ROWS($AF$2:AF292),$AF$2:$AF$1001,0),MATCH(COLUMNS($AM$1006:BJ1006),$AM$1006:$BM$1006,0)), HYPERLINK("#",""), HYPERLINK(CONCATENATE("#metadata!", ADDRESS(INDEX($AH$2:$AH$1001,MATCH(ROWS($AF$2:AF292),$AF$2:$AF$1001,0),0), INDEX($AM$1004:$BM$1004,1,MATCH(COLUMNS($AM$1006:BJ1006),$AM$1006:$BM$1006,0)))),"Fix")))</f>
        <v xml:space="preserve"> </v>
      </c>
      <c r="Z292" s="4" t="str">
        <f ca="1">IF(OR(INDEX($AG$2:$AG$1001,MATCH(ROWS($AF$2:AF292),$AF$2:$AF$1001,0),1)&gt;=100000,INDEX($AM$1005:$BM$1005,1,MATCH(COLUMNS($AM$1006:BK1006),$AM$1006:$BM$1006,0))&gt;=100000), " ",IF(INDEX($AM$2:$BM$1001,MATCH(ROWS($AF$2:AF292),$AF$2:$AF$1001,0),MATCH(COLUMNS($AM$1006:BK1006),$AM$1006:$BM$1006,0)), HYPERLINK("#",""), HYPERLINK(CONCATENATE("#metadata!", ADDRESS(INDEX($AH$2:$AH$1001,MATCH(ROWS($AF$2:AF292),$AF$2:$AF$1001,0),0), INDEX($AM$1004:$BM$1004,1,MATCH(COLUMNS($AM$1006:BK1006),$AM$1006:$BM$1006,0)))),"Fix")))</f>
        <v xml:space="preserve"> </v>
      </c>
      <c r="AA292" s="4" t="str">
        <f ca="1">IF(OR(INDEX($AG$2:$AG$1001,MATCH(ROWS($AF$2:AF292),$AF$2:$AF$1001,0),1)&gt;=100000,INDEX($AM$1005:$BM$1005,1,MATCH(COLUMNS($AM$1006:BL1006),$AM$1006:$BM$1006,0))&gt;=100000), " ",IF(INDEX($AM$2:$BM$1001,MATCH(ROWS($AF$2:AF292),$AF$2:$AF$1001,0),MATCH(COLUMNS($AM$1006:BL1006),$AM$1006:$BM$1006,0)), HYPERLINK("#",""), HYPERLINK(CONCATENATE("#metadata!", ADDRESS(INDEX($AH$2:$AH$1001,MATCH(ROWS($AF$2:AF292),$AF$2:$AF$1001,0),0), INDEX($AM$1004:$BM$1004,1,MATCH(COLUMNS($AM$1006:BL1006),$AM$1006:$BM$1006,0)))),"Fix")))</f>
        <v xml:space="preserve"> </v>
      </c>
      <c r="AB292" s="4" t="str">
        <f ca="1">IF(OR(INDEX($AG$2:$AG$1001,MATCH(ROWS($AF$2:AF292),$AF$2:$AF$1001,0),1)&gt;=100000,INDEX($AM$1005:$BM$1005,1,MATCH(COLUMNS($AM$1006:BM1006),$AM$1006:$BM$1006,0))&gt;=100000), " ",IF(INDEX($AM$2:$BM$1001,MATCH(ROWS($AF$2:AF292),$AF$2:$AF$1001,0),MATCH(COLUMNS($AM$1006:BM1006),$AM$1006:$BM$1006,0)), HYPERLINK("#",""), HYPERLINK(CONCATENATE("#metadata!", ADDRESS(INDEX($AH$2:$AH$1001,MATCH(ROWS($AF$2:AF292),$AF$2:$AF$1001,0),0), INDEX($AM$1004:$BM$1004,1,MATCH(COLUMNS($AM$1006:BM1006),$AM$1006:$BM$1006,0)))),"Fix")))</f>
        <v xml:space="preserve"> </v>
      </c>
      <c r="AF292">
        <v>291</v>
      </c>
      <c r="AG292">
        <v>100292</v>
      </c>
      <c r="AH292">
        <v>292</v>
      </c>
      <c r="AI292" t="b">
        <f t="shared" si="4"/>
        <v>1</v>
      </c>
      <c r="AJ292" t="b">
        <f>COUNTBLANK(metadata!B292:AB292)=COLUMNS(metadata!B292:AB292)</f>
        <v>1</v>
      </c>
      <c r="AK292" t="str">
        <v/>
      </c>
      <c r="AM292" t="b">
        <f ca="1">AND(IF(metadata!B292="",FALSE,TRUE),COUNTIF(metadata!B:B, metadata!B292) = 1,NOT(ISERROR(SUMPRODUCT(SEARCH(MID(metadata!B292,ROW(INDIRECT("1:"&amp;LEN(metadata!B292))), 1),"0123456789abcdefghijklmnopqrstuvwxyzABCDEFGHIJKLMNOPQRSTUVWXYZ.")))))</f>
        <v>0</v>
      </c>
      <c r="AN292" t="b">
        <f ca="1">OR(AND(IF(metadata!C292="",FALSE,TRUE),OR(EXACT(metadata!C292,"missing: not collected"),EXACT(metadata!C292,"missing: not provided"),EXACT(metadata!C292,"missing: restricted access"))),AND(IF(metadata!C292="",FALSE,TRUE),AND(AND(IFERROR(INT(LEFT(metadata!C292,4))&gt;1900,FALSE),IFERROR(INT(LEFT(metadata!C292,4))&lt;=YEAR(NOW()),FALSE)), OR(MID(metadata!C292,5,1)="", AND(AND(MID(metadata!C292,5,1)="-",IFERROR(INT(MID(metadata!C292,6,1))&gt;=0,FALSE),IFERROR(INT(MID(metadata!C292,6,1))&lt;=1,FALSE),NOT(MID(metadata!C292,7,1)=""),IFERROR(INT(MID(metadata!C292,6,2))&gt;=1,FALSE),IFERROR(INT(MID(metadata!C292,6,2))&lt;=12,FALSE)), OR(MID(metadata!C292,8,1)="", AND(AND(MID(metadata!C292,8,1)="-",IFERROR(INT(MID(metadata!C292,9,1))&gt;=0,FALSE),IFERROR(INT(MID(metadata!C292,9,1))&lt;=3,FALSE),NOT(MID(metadata!C292,10,1)=""),IFERROR(INT(MID(metadata!C292,9,2))&gt;=1,FALSE),IFERROR(INT(MID(metadata!C292,9,2))&lt;=31,FALSE)), OR(MID(metadata!C292,11,1)="", AND(AND(MID(metadata!C292,11,1)=" ",IFERROR(INT(MID(metadata!C292,12,1))&gt;=0,FALSE),IFERROR(INT(MID(metadata!C292,12,1))&lt;=2,FALSE),NOT(MID(metadata!C292,13,1)=""),IFERROR(INT(MID(metadata!C292,12,2))&gt;=0,FALSE),IFERROR(INT(MID(metadata!C292,12,2))&lt;=23,FALSE)), OR(MID(metadata!C292,14,1)="", AND(AND(MID(metadata!C292,14,1)=":",IFERROR(INT(MID(metadata!C292,15,1))&gt;=0,FALSE),IFERROR(INT(MID(metadata!C292,15,1))&lt;=5,FALSE),NOT(MID(metadata!C292,16,1)=""),IFERROR(INT(MID(metadata!C292,15,2))&gt;=0,FALSE),IFERROR(INT(MID(metadata!C292,15,2))&lt;=59,FALSE)), OR(MID(metadata!C292,17,1)="", AND(AND(MID(metadata!C292,17,1)=":",IFERROR(INT(MID(metadata!C292,18,1))&gt;=0,FALSE),IFERROR(INT(MID(metadata!C292,18,1))&lt;=5,FALSE),NOT(MID(metadata!C292,19,1)=""),IFERROR(INT(MID(metadata!C292,18,2))&gt;=0,FALSE),IFERROR(INT(MID(metadata!C292,18,2))&lt;=59,FALSE)), LEN(metadata!C292)&lt;=19)))))))))))))</f>
        <v>0</v>
      </c>
      <c r="AO292" t="b">
        <f>AND(IF(metadata!D292="",FALSE,TRUE),EXACT(metadata!D292,"Not applicable"))</f>
        <v>0</v>
      </c>
      <c r="AP292" t="b">
        <f>IF(metadata!E292="",FALSE,TRUE)</f>
        <v>0</v>
      </c>
      <c r="AQ292" t="b">
        <f>OR(AND(IF(metadata!F292="",FALSE,TRUE),OR(EXACT(metadata!F292,"missing: not collected"),EXACT(metadata!F292,"missing: not provided"))),AND(IF(metadata!F292="",FALSE,TRUE),OR(EXACT(metadata!F292,"TRUE"),EXACT(metadata!F292,"FALSE"))))</f>
        <v>0</v>
      </c>
      <c r="AR292" t="b">
        <f>OR(AND(IF(metadata!G292="",FALSE,TRUE),OR(EXACT(metadata!G292,"missing: not collected"),EXACT(metadata!G292,"missing: not provided"),EXACT(metadata!G292,"missing: restricted access"))),AND(IF(metadata!G292="",FALSE,ISNUMBER(VALUE(metadata!G292))),metadata!G292&gt;=-413))</f>
        <v>0</v>
      </c>
      <c r="AS292" t="b">
        <f>AND(IF(metadata!H292="",FALSE,TRUE),EXACT(metadata!H292,"meters"))</f>
        <v>0</v>
      </c>
      <c r="AT292" t="b">
        <f>AND(IF(metadata!I292="",FALSE,TRUE),OR(EXACT(metadata!I292,"Host-associated"),EXACT(metadata!I292,"Free-living")))</f>
        <v>0</v>
      </c>
      <c r="AU292" t="b">
        <f>AND(IF(metadata!J292="",FALSE,TRUE),OR(EXACT(metadata!J292,"Animal"),EXACT(metadata!J292,"Fungus"),EXACT(metadata!J292,"Plant"),EXACT(metadata!J292,"Saline"),EXACT(metadata!J292,"Non-saline")))</f>
        <v>0</v>
      </c>
      <c r="AV292" t="b">
        <f>AND(IF(metadata!K292="",FALSE,TRUE),OR(EXACT(metadata!K292,"Plant secretion"),EXACT(metadata!K292,"Plant rhizosphere"),EXACT(metadata!K292,"Plant surface"),EXACT(metadata!K292,"Plant corpus"),EXACT(metadata!K292,"Fungus surface"),EXACT(metadata!K292,"Fungus corpus"),EXACT(metadata!K292,"Animal surface"),EXACT(metadata!K292,"Animal proximal gut"),EXACT(metadata!K292,"Animal corpus"),EXACT(metadata!K292,"Animal distal gut"),EXACT(metadata!K292,"Animal secretion"),EXACT(metadata!K292,"Sub-surface (non-saline)"),EXACT(metadata!K292,"Surface (non-saline)"),EXACT(metadata!K292,"Water (non-saline)"),EXACT(metadata!K292,"Soil (non-saline)"),EXACT(metadata!K292,"Aerosol (non-saline)"),EXACT(metadata!K292,"Sediment (non-saline)"),EXACT(metadata!K292,"Surface (saline)"),EXACT(metadata!K292,"Water (saline)"),EXACT(metadata!K292,"Hypersaline (saline)"),EXACT(metadata!K292,"Aerosol (saline)"),EXACT(metadata!K292,"Sediment (saline)")))</f>
        <v>0</v>
      </c>
      <c r="AW292" t="b">
        <f>IF(metadata!L292="",FALSE,TRUE)</f>
        <v>0</v>
      </c>
      <c r="AX292" t="b">
        <f>IF(metadata!M292="",FALSE,TRUE)</f>
        <v>0</v>
      </c>
      <c r="AY292" t="b">
        <f>IF(metadata!N292="",FALSE,TRUE)</f>
        <v>0</v>
      </c>
      <c r="AZ292" t="b">
        <f>OR(AND(IF(metadata!O292="",FALSE,TRUE),OR(EXACT(metadata!O292,"missing: not collected"),EXACT(metadata!O292,"missing: not provided"),EXACT(metadata!O292,"missing: restricted access"))),AND(IF(metadata!O292="",FALSE,TRUE),OR(EXACT(metadata!O292,"air"),EXACT(metadata!O292,"built environment"),EXACT(metadata!O292,"host-associated"),EXACT(metadata!O292,"human-associated"),EXACT(metadata!O292,"human-skin"),EXACT(metadata!O292,"human-oral"),EXACT(metadata!O292,"human-gut"),EXACT(metadata!O292,"human-vaginal"),EXACT(metadata!O292,"microbial mat/biofilm"),EXACT(metadata!O292,"misc environment"),EXACT(metadata!O292,"plant-associated"),EXACT(metadata!O292,"sediment"),EXACT(metadata!O292,"soil"),EXACT(metadata!O292,"wastewater/sludge"),EXACT(metadata!O292,"water"))))</f>
        <v>0</v>
      </c>
      <c r="BA292" t="b">
        <f>IF(metadata!P292="",FALSE,TRUE)</f>
        <v>0</v>
      </c>
      <c r="BB292" t="b">
        <f>IF(metadata!Q292="",FALSE,TRUE)</f>
        <v>0</v>
      </c>
      <c r="BC292" t="b">
        <f>OR(AND(IF(metadata!R292="",FALSE,TRUE),OR(EXACT(metadata!R292,"missing: not collected"),EXACT(metadata!R292,"missing: not provided"),EXACT(metadata!R292,"missing: restricted access"))),AND(IF(metadata!R292="",FALSE,ISNUMBER(VALUE(metadata!R292))),metadata!R292&gt;=-90,metadata!R292&lt;=90))</f>
        <v>0</v>
      </c>
      <c r="BD292" t="b">
        <f>AND(IF(metadata!S292="",FALSE,TRUE),EXACT(metadata!S292,"Decimal degrees"))</f>
        <v>0</v>
      </c>
      <c r="BE292" t="b">
        <f>OR(AND(IF(metadata!T292="",FALSE,TRUE),OR(EXACT(metadata!T292,"missing: not collected"),EXACT(metadata!T292,"missing: not provided"),EXACT(metadata!T292,"missing: restricted access"))),AND(IF(metadata!T292="",FALSE,ISNUMBER(VALUE(metadata!T292))),metadata!T292&gt;=-180,metadata!T292&lt;=180))</f>
        <v>0</v>
      </c>
      <c r="BF292" t="b">
        <f>AND(IF(metadata!U292="",FALSE,TRUE),EXACT(metadata!U292,"Decimal degrees"))</f>
        <v>0</v>
      </c>
      <c r="BG292" t="b">
        <f>IF(metadata!V292="",FALSE,TRUE)</f>
        <v>0</v>
      </c>
      <c r="BH292" t="b">
        <f>OR(AND(IF(metadata!W292="",FALSE,TRUE),OR(EXACT(metadata!W292,"missing: not collected"),EXACT(metadata!W292,"missing: not provided"),EXACT(metadata!W292,"missing: restricted access"))),AND(IF(metadata!W292="",FALSE,TRUE),OR(EXACT(metadata!W292,"TRUE"),EXACT(metadata!W292,"FALSE"))))</f>
        <v>0</v>
      </c>
      <c r="BI292" t="b">
        <f>AND(IF(metadata!X292="",FALSE,TRUE),EXACT(metadata!X292,"other"))</f>
        <v>0</v>
      </c>
      <c r="BJ292" t="b">
        <f>IF(metadata!Y292="",FALSE,TRUE)</f>
        <v>0</v>
      </c>
      <c r="BK292" t="b">
        <f>OR(AND(IF(metadata!Z292="",FALSE,TRUE),OR(EXACT(metadata!Z292,"missing: not collected"),EXACT(metadata!Z292,"missing: not provided"))),AND(IF(metadata!Z292="",FALSE,IF(ISERROR(INT(metadata!Z292)),FALSE,INT(metadata!Z292)=metadata!Z292)),metadata!Z292&gt;0))</f>
        <v>0</v>
      </c>
      <c r="BL292" t="b">
        <f>AND(IF(metadata!AA292="",FALSE,TRUE),EXACT(metadata!AA292,"Not applicable"))</f>
        <v>0</v>
      </c>
      <c r="BM292" t="b">
        <f>IF(metadata!AB292="",FALSE,TRUE)</f>
        <v>0</v>
      </c>
    </row>
    <row r="293" spans="1:65" x14ac:dyDescent="0.2">
      <c r="A293" s="5" t="str">
        <f ca="1">IF(B293=" "," ",HYPERLINK(CONCATENATE("#metadata!",ADDRESS(INDEX($AH$2:$AH$1001,MATCH(ROWS($AF$2:AF293),$AF$2:$AF$1001,0),0),1)),INDEX($AK$2:$AK$1001,MATCH(ROWS($AF$2:AF293),$AF$2:$AF$1001,0),0)))</f>
        <v xml:space="preserve"> </v>
      </c>
      <c r="B293" s="4" t="str">
        <f ca="1">IF(OR(INDEX($AG$2:$AG$1001,MATCH(ROWS($AF$2:AF293),$AF$2:$AF$1001,0),1)&gt;=100000,INDEX($AM$1005:$BM$1005,1,MATCH(COLUMNS($AM$1006:AM1006),$AM$1006:$BM$1006,0))&gt;=100000), " ",IF(INDEX($AM$2:$BM$1001,MATCH(ROWS($AF$2:AF293),$AF$2:$AF$1001,0),MATCH(COLUMNS($AM$1006:AM1006),$AM$1006:$BM$1006,0)), HYPERLINK("#",""), HYPERLINK(CONCATENATE("#metadata!", ADDRESS(INDEX($AH$2:$AH$1001,MATCH(ROWS($AF$2:AF293),$AF$2:$AF$1001,0),0), INDEX($AM$1004:$BM$1004,1,MATCH(COLUMNS($AM$1006:AM1006),$AM$1006:$BM$1006,0)))),"Fix")))</f>
        <v xml:space="preserve"> </v>
      </c>
      <c r="C293" s="4" t="str">
        <f ca="1">IF(OR(INDEX($AG$2:$AG$1001,MATCH(ROWS($AF$2:AF293),$AF$2:$AF$1001,0),1)&gt;=100000,INDEX($AM$1005:$BM$1005,1,MATCH(COLUMNS($AM$1006:AN1006),$AM$1006:$BM$1006,0))&gt;=100000), " ",IF(INDEX($AM$2:$BM$1001,MATCH(ROWS($AF$2:AF293),$AF$2:$AF$1001,0),MATCH(COLUMNS($AM$1006:AN1006),$AM$1006:$BM$1006,0)), HYPERLINK("#",""), HYPERLINK(CONCATENATE("#metadata!", ADDRESS(INDEX($AH$2:$AH$1001,MATCH(ROWS($AF$2:AF293),$AF$2:$AF$1001,0),0), INDEX($AM$1004:$BM$1004,1,MATCH(COLUMNS($AM$1006:AN1006),$AM$1006:$BM$1006,0)))),"Fix")))</f>
        <v xml:space="preserve"> </v>
      </c>
      <c r="D293" s="4" t="str">
        <f ca="1">IF(OR(INDEX($AG$2:$AG$1001,MATCH(ROWS($AF$2:AF293),$AF$2:$AF$1001,0),1)&gt;=100000,INDEX($AM$1005:$BM$1005,1,MATCH(COLUMNS($AM$1006:AO1006),$AM$1006:$BM$1006,0))&gt;=100000), " ",IF(INDEX($AM$2:$BM$1001,MATCH(ROWS($AF$2:AF293),$AF$2:$AF$1001,0),MATCH(COLUMNS($AM$1006:AO1006),$AM$1006:$BM$1006,0)), HYPERLINK("#",""), HYPERLINK(CONCATENATE("#metadata!", ADDRESS(INDEX($AH$2:$AH$1001,MATCH(ROWS($AF$2:AF293),$AF$2:$AF$1001,0),0), INDEX($AM$1004:$BM$1004,1,MATCH(COLUMNS($AM$1006:AO1006),$AM$1006:$BM$1006,0)))),"Fix")))</f>
        <v xml:space="preserve"> </v>
      </c>
      <c r="E293" s="4" t="str">
        <f ca="1">IF(OR(INDEX($AG$2:$AG$1001,MATCH(ROWS($AF$2:AF293),$AF$2:$AF$1001,0),1)&gt;=100000,INDEX($AM$1005:$BM$1005,1,MATCH(COLUMNS($AM$1006:AP1006),$AM$1006:$BM$1006,0))&gt;=100000), " ",IF(INDEX($AM$2:$BM$1001,MATCH(ROWS($AF$2:AF293),$AF$2:$AF$1001,0),MATCH(COLUMNS($AM$1006:AP1006),$AM$1006:$BM$1006,0)), HYPERLINK("#",""), HYPERLINK(CONCATENATE("#metadata!", ADDRESS(INDEX($AH$2:$AH$1001,MATCH(ROWS($AF$2:AF293),$AF$2:$AF$1001,0),0), INDEX($AM$1004:$BM$1004,1,MATCH(COLUMNS($AM$1006:AP1006),$AM$1006:$BM$1006,0)))),"Fix")))</f>
        <v xml:space="preserve"> </v>
      </c>
      <c r="F293" s="4" t="str">
        <f ca="1">IF(OR(INDEX($AG$2:$AG$1001,MATCH(ROWS($AF$2:AF293),$AF$2:$AF$1001,0),1)&gt;=100000,INDEX($AM$1005:$BM$1005,1,MATCH(COLUMNS($AM$1006:AQ1006),$AM$1006:$BM$1006,0))&gt;=100000), " ",IF(INDEX($AM$2:$BM$1001,MATCH(ROWS($AF$2:AF293),$AF$2:$AF$1001,0),MATCH(COLUMNS($AM$1006:AQ1006),$AM$1006:$BM$1006,0)), HYPERLINK("#",""), HYPERLINK(CONCATENATE("#metadata!", ADDRESS(INDEX($AH$2:$AH$1001,MATCH(ROWS($AF$2:AF293),$AF$2:$AF$1001,0),0), INDEX($AM$1004:$BM$1004,1,MATCH(COLUMNS($AM$1006:AQ1006),$AM$1006:$BM$1006,0)))),"Fix")))</f>
        <v xml:space="preserve"> </v>
      </c>
      <c r="G293" s="4" t="str">
        <f ca="1">IF(OR(INDEX($AG$2:$AG$1001,MATCH(ROWS($AF$2:AF293),$AF$2:$AF$1001,0),1)&gt;=100000,INDEX($AM$1005:$BM$1005,1,MATCH(COLUMNS($AM$1006:AR1006),$AM$1006:$BM$1006,0))&gt;=100000), " ",IF(INDEX($AM$2:$BM$1001,MATCH(ROWS($AF$2:AF293),$AF$2:$AF$1001,0),MATCH(COLUMNS($AM$1006:AR1006),$AM$1006:$BM$1006,0)), HYPERLINK("#",""), HYPERLINK(CONCATENATE("#metadata!", ADDRESS(INDEX($AH$2:$AH$1001,MATCH(ROWS($AF$2:AF293),$AF$2:$AF$1001,0),0), INDEX($AM$1004:$BM$1004,1,MATCH(COLUMNS($AM$1006:AR1006),$AM$1006:$BM$1006,0)))),"Fix")))</f>
        <v xml:space="preserve"> </v>
      </c>
      <c r="H293" s="4" t="str">
        <f ca="1">IF(OR(INDEX($AG$2:$AG$1001,MATCH(ROWS($AF$2:AF293),$AF$2:$AF$1001,0),1)&gt;=100000,INDEX($AM$1005:$BM$1005,1,MATCH(COLUMNS($AM$1006:AS1006),$AM$1006:$BM$1006,0))&gt;=100000), " ",IF(INDEX($AM$2:$BM$1001,MATCH(ROWS($AF$2:AF293),$AF$2:$AF$1001,0),MATCH(COLUMNS($AM$1006:AS1006),$AM$1006:$BM$1006,0)), HYPERLINK("#",""), HYPERLINK(CONCATENATE("#metadata!", ADDRESS(INDEX($AH$2:$AH$1001,MATCH(ROWS($AF$2:AF293),$AF$2:$AF$1001,0),0), INDEX($AM$1004:$BM$1004,1,MATCH(COLUMNS($AM$1006:AS1006),$AM$1006:$BM$1006,0)))),"Fix")))</f>
        <v xml:space="preserve"> </v>
      </c>
      <c r="I293" s="4" t="str">
        <f ca="1">IF(OR(INDEX($AG$2:$AG$1001,MATCH(ROWS($AF$2:AF293),$AF$2:$AF$1001,0),1)&gt;=100000,INDEX($AM$1005:$BM$1005,1,MATCH(COLUMNS($AM$1006:AT1006),$AM$1006:$BM$1006,0))&gt;=100000), " ",IF(INDEX($AM$2:$BM$1001,MATCH(ROWS($AF$2:AF293),$AF$2:$AF$1001,0),MATCH(COLUMNS($AM$1006:AT1006),$AM$1006:$BM$1006,0)), HYPERLINK("#",""), HYPERLINK(CONCATENATE("#metadata!", ADDRESS(INDEX($AH$2:$AH$1001,MATCH(ROWS($AF$2:AF293),$AF$2:$AF$1001,0),0), INDEX($AM$1004:$BM$1004,1,MATCH(COLUMNS($AM$1006:AT1006),$AM$1006:$BM$1006,0)))),"Fix")))</f>
        <v xml:space="preserve"> </v>
      </c>
      <c r="J293" s="4" t="str">
        <f ca="1">IF(OR(INDEX($AG$2:$AG$1001,MATCH(ROWS($AF$2:AF293),$AF$2:$AF$1001,0),1)&gt;=100000,INDEX($AM$1005:$BM$1005,1,MATCH(COLUMNS($AM$1006:AU1006),$AM$1006:$BM$1006,0))&gt;=100000), " ",IF(INDEX($AM$2:$BM$1001,MATCH(ROWS($AF$2:AF293),$AF$2:$AF$1001,0),MATCH(COLUMNS($AM$1006:AU1006),$AM$1006:$BM$1006,0)), HYPERLINK("#",""), HYPERLINK(CONCATENATE("#metadata!", ADDRESS(INDEX($AH$2:$AH$1001,MATCH(ROWS($AF$2:AF293),$AF$2:$AF$1001,0),0), INDEX($AM$1004:$BM$1004,1,MATCH(COLUMNS($AM$1006:AU1006),$AM$1006:$BM$1006,0)))),"Fix")))</f>
        <v xml:space="preserve"> </v>
      </c>
      <c r="K293" s="4" t="str">
        <f ca="1">IF(OR(INDEX($AG$2:$AG$1001,MATCH(ROWS($AF$2:AF293),$AF$2:$AF$1001,0),1)&gt;=100000,INDEX($AM$1005:$BM$1005,1,MATCH(COLUMNS($AM$1006:AV1006),$AM$1006:$BM$1006,0))&gt;=100000), " ",IF(INDEX($AM$2:$BM$1001,MATCH(ROWS($AF$2:AF293),$AF$2:$AF$1001,0),MATCH(COLUMNS($AM$1006:AV1006),$AM$1006:$BM$1006,0)), HYPERLINK("#",""), HYPERLINK(CONCATENATE("#metadata!", ADDRESS(INDEX($AH$2:$AH$1001,MATCH(ROWS($AF$2:AF293),$AF$2:$AF$1001,0),0), INDEX($AM$1004:$BM$1004,1,MATCH(COLUMNS($AM$1006:AV1006),$AM$1006:$BM$1006,0)))),"Fix")))</f>
        <v xml:space="preserve"> </v>
      </c>
      <c r="L293" s="4" t="str">
        <f ca="1">IF(OR(INDEX($AG$2:$AG$1001,MATCH(ROWS($AF$2:AF293),$AF$2:$AF$1001,0),1)&gt;=100000,INDEX($AM$1005:$BM$1005,1,MATCH(COLUMNS($AM$1006:AW1006),$AM$1006:$BM$1006,0))&gt;=100000), " ",IF(INDEX($AM$2:$BM$1001,MATCH(ROWS($AF$2:AF293),$AF$2:$AF$1001,0),MATCH(COLUMNS($AM$1006:AW1006),$AM$1006:$BM$1006,0)), HYPERLINK("#",""), HYPERLINK(CONCATENATE("#metadata!", ADDRESS(INDEX($AH$2:$AH$1001,MATCH(ROWS($AF$2:AF293),$AF$2:$AF$1001,0),0), INDEX($AM$1004:$BM$1004,1,MATCH(COLUMNS($AM$1006:AW1006),$AM$1006:$BM$1006,0)))),"Fix")))</f>
        <v xml:space="preserve"> </v>
      </c>
      <c r="M293" s="4" t="str">
        <f ca="1">IF(OR(INDEX($AG$2:$AG$1001,MATCH(ROWS($AF$2:AF293),$AF$2:$AF$1001,0),1)&gt;=100000,INDEX($AM$1005:$BM$1005,1,MATCH(COLUMNS($AM$1006:AX1006),$AM$1006:$BM$1006,0))&gt;=100000), " ",IF(INDEX($AM$2:$BM$1001,MATCH(ROWS($AF$2:AF293),$AF$2:$AF$1001,0),MATCH(COLUMNS($AM$1006:AX1006),$AM$1006:$BM$1006,0)), HYPERLINK("#",""), HYPERLINK(CONCATENATE("#metadata!", ADDRESS(INDEX($AH$2:$AH$1001,MATCH(ROWS($AF$2:AF293),$AF$2:$AF$1001,0),0), INDEX($AM$1004:$BM$1004,1,MATCH(COLUMNS($AM$1006:AX1006),$AM$1006:$BM$1006,0)))),"Fix")))</f>
        <v xml:space="preserve"> </v>
      </c>
      <c r="N293" s="4" t="str">
        <f ca="1">IF(OR(INDEX($AG$2:$AG$1001,MATCH(ROWS($AF$2:AF293),$AF$2:$AF$1001,0),1)&gt;=100000,INDEX($AM$1005:$BM$1005,1,MATCH(COLUMNS($AM$1006:AY1006),$AM$1006:$BM$1006,0))&gt;=100000), " ",IF(INDEX($AM$2:$BM$1001,MATCH(ROWS($AF$2:AF293),$AF$2:$AF$1001,0),MATCH(COLUMNS($AM$1006:AY1006),$AM$1006:$BM$1006,0)), HYPERLINK("#",""), HYPERLINK(CONCATENATE("#metadata!", ADDRESS(INDEX($AH$2:$AH$1001,MATCH(ROWS($AF$2:AF293),$AF$2:$AF$1001,0),0), INDEX($AM$1004:$BM$1004,1,MATCH(COLUMNS($AM$1006:AY1006),$AM$1006:$BM$1006,0)))),"Fix")))</f>
        <v xml:space="preserve"> </v>
      </c>
      <c r="O293" s="4" t="str">
        <f ca="1">IF(OR(INDEX($AG$2:$AG$1001,MATCH(ROWS($AF$2:AF293),$AF$2:$AF$1001,0),1)&gt;=100000,INDEX($AM$1005:$BM$1005,1,MATCH(COLUMNS($AM$1006:AZ1006),$AM$1006:$BM$1006,0))&gt;=100000), " ",IF(INDEX($AM$2:$BM$1001,MATCH(ROWS($AF$2:AF293),$AF$2:$AF$1001,0),MATCH(COLUMNS($AM$1006:AZ1006),$AM$1006:$BM$1006,0)), HYPERLINK("#",""), HYPERLINK(CONCATENATE("#metadata!", ADDRESS(INDEX($AH$2:$AH$1001,MATCH(ROWS($AF$2:AF293),$AF$2:$AF$1001,0),0), INDEX($AM$1004:$BM$1004,1,MATCH(COLUMNS($AM$1006:AZ1006),$AM$1006:$BM$1006,0)))),"Fix")))</f>
        <v xml:space="preserve"> </v>
      </c>
      <c r="P293" s="4" t="str">
        <f ca="1">IF(OR(INDEX($AG$2:$AG$1001,MATCH(ROWS($AF$2:AF293),$AF$2:$AF$1001,0),1)&gt;=100000,INDEX($AM$1005:$BM$1005,1,MATCH(COLUMNS($AM$1006:BA1006),$AM$1006:$BM$1006,0))&gt;=100000), " ",IF(INDEX($AM$2:$BM$1001,MATCH(ROWS($AF$2:AF293),$AF$2:$AF$1001,0),MATCH(COLUMNS($AM$1006:BA1006),$AM$1006:$BM$1006,0)), HYPERLINK("#",""), HYPERLINK(CONCATENATE("#metadata!", ADDRESS(INDEX($AH$2:$AH$1001,MATCH(ROWS($AF$2:AF293),$AF$2:$AF$1001,0),0), INDEX($AM$1004:$BM$1004,1,MATCH(COLUMNS($AM$1006:BA1006),$AM$1006:$BM$1006,0)))),"Fix")))</f>
        <v xml:space="preserve"> </v>
      </c>
      <c r="Q293" s="4" t="str">
        <f ca="1">IF(OR(INDEX($AG$2:$AG$1001,MATCH(ROWS($AF$2:AF293),$AF$2:$AF$1001,0),1)&gt;=100000,INDEX($AM$1005:$BM$1005,1,MATCH(COLUMNS($AM$1006:BB1006),$AM$1006:$BM$1006,0))&gt;=100000), " ",IF(INDEX($AM$2:$BM$1001,MATCH(ROWS($AF$2:AF293),$AF$2:$AF$1001,0),MATCH(COLUMNS($AM$1006:BB1006),$AM$1006:$BM$1006,0)), HYPERLINK("#",""), HYPERLINK(CONCATENATE("#metadata!", ADDRESS(INDEX($AH$2:$AH$1001,MATCH(ROWS($AF$2:AF293),$AF$2:$AF$1001,0),0), INDEX($AM$1004:$BM$1004,1,MATCH(COLUMNS($AM$1006:BB1006),$AM$1006:$BM$1006,0)))),"Fix")))</f>
        <v xml:space="preserve"> </v>
      </c>
      <c r="R293" s="4" t="str">
        <f ca="1">IF(OR(INDEX($AG$2:$AG$1001,MATCH(ROWS($AF$2:AF293),$AF$2:$AF$1001,0),1)&gt;=100000,INDEX($AM$1005:$BM$1005,1,MATCH(COLUMNS($AM$1006:BC1006),$AM$1006:$BM$1006,0))&gt;=100000), " ",IF(INDEX($AM$2:$BM$1001,MATCH(ROWS($AF$2:AF293),$AF$2:$AF$1001,0),MATCH(COLUMNS($AM$1006:BC1006),$AM$1006:$BM$1006,0)), HYPERLINK("#",""), HYPERLINK(CONCATENATE("#metadata!", ADDRESS(INDEX($AH$2:$AH$1001,MATCH(ROWS($AF$2:AF293),$AF$2:$AF$1001,0),0), INDEX($AM$1004:$BM$1004,1,MATCH(COLUMNS($AM$1006:BC1006),$AM$1006:$BM$1006,0)))),"Fix")))</f>
        <v xml:space="preserve"> </v>
      </c>
      <c r="S293" s="4" t="str">
        <f ca="1">IF(OR(INDEX($AG$2:$AG$1001,MATCH(ROWS($AF$2:AF293),$AF$2:$AF$1001,0),1)&gt;=100000,INDEX($AM$1005:$BM$1005,1,MATCH(COLUMNS($AM$1006:BD1006),$AM$1006:$BM$1006,0))&gt;=100000), " ",IF(INDEX($AM$2:$BM$1001,MATCH(ROWS($AF$2:AF293),$AF$2:$AF$1001,0),MATCH(COLUMNS($AM$1006:BD1006),$AM$1006:$BM$1006,0)), HYPERLINK("#",""), HYPERLINK(CONCATENATE("#metadata!", ADDRESS(INDEX($AH$2:$AH$1001,MATCH(ROWS($AF$2:AF293),$AF$2:$AF$1001,0),0), INDEX($AM$1004:$BM$1004,1,MATCH(COLUMNS($AM$1006:BD1006),$AM$1006:$BM$1006,0)))),"Fix")))</f>
        <v xml:space="preserve"> </v>
      </c>
      <c r="T293" s="4" t="str">
        <f ca="1">IF(OR(INDEX($AG$2:$AG$1001,MATCH(ROWS($AF$2:AF293),$AF$2:$AF$1001,0),1)&gt;=100000,INDEX($AM$1005:$BM$1005,1,MATCH(COLUMNS($AM$1006:BE1006),$AM$1006:$BM$1006,0))&gt;=100000), " ",IF(INDEX($AM$2:$BM$1001,MATCH(ROWS($AF$2:AF293),$AF$2:$AF$1001,0),MATCH(COLUMNS($AM$1006:BE1006),$AM$1006:$BM$1006,0)), HYPERLINK("#",""), HYPERLINK(CONCATENATE("#metadata!", ADDRESS(INDEX($AH$2:$AH$1001,MATCH(ROWS($AF$2:AF293),$AF$2:$AF$1001,0),0), INDEX($AM$1004:$BM$1004,1,MATCH(COLUMNS($AM$1006:BE1006),$AM$1006:$BM$1006,0)))),"Fix")))</f>
        <v xml:space="preserve"> </v>
      </c>
      <c r="U293" s="4" t="str">
        <f ca="1">IF(OR(INDEX($AG$2:$AG$1001,MATCH(ROWS($AF$2:AF293),$AF$2:$AF$1001,0),1)&gt;=100000,INDEX($AM$1005:$BM$1005,1,MATCH(COLUMNS($AM$1006:BF1006),$AM$1006:$BM$1006,0))&gt;=100000), " ",IF(INDEX($AM$2:$BM$1001,MATCH(ROWS($AF$2:AF293),$AF$2:$AF$1001,0),MATCH(COLUMNS($AM$1006:BF1006),$AM$1006:$BM$1006,0)), HYPERLINK("#",""), HYPERLINK(CONCATENATE("#metadata!", ADDRESS(INDEX($AH$2:$AH$1001,MATCH(ROWS($AF$2:AF293),$AF$2:$AF$1001,0),0), INDEX($AM$1004:$BM$1004,1,MATCH(COLUMNS($AM$1006:BF1006),$AM$1006:$BM$1006,0)))),"Fix")))</f>
        <v xml:space="preserve"> </v>
      </c>
      <c r="V293" s="4" t="str">
        <f ca="1">IF(OR(INDEX($AG$2:$AG$1001,MATCH(ROWS($AF$2:AF293),$AF$2:$AF$1001,0),1)&gt;=100000,INDEX($AM$1005:$BM$1005,1,MATCH(COLUMNS($AM$1006:BG1006),$AM$1006:$BM$1006,0))&gt;=100000), " ",IF(INDEX($AM$2:$BM$1001,MATCH(ROWS($AF$2:AF293),$AF$2:$AF$1001,0),MATCH(COLUMNS($AM$1006:BG1006),$AM$1006:$BM$1006,0)), HYPERLINK("#",""), HYPERLINK(CONCATENATE("#metadata!", ADDRESS(INDEX($AH$2:$AH$1001,MATCH(ROWS($AF$2:AF293),$AF$2:$AF$1001,0),0), INDEX($AM$1004:$BM$1004,1,MATCH(COLUMNS($AM$1006:BG1006),$AM$1006:$BM$1006,0)))),"Fix")))</f>
        <v xml:space="preserve"> </v>
      </c>
      <c r="W293" s="4" t="str">
        <f ca="1">IF(OR(INDEX($AG$2:$AG$1001,MATCH(ROWS($AF$2:AF293),$AF$2:$AF$1001,0),1)&gt;=100000,INDEX($AM$1005:$BM$1005,1,MATCH(COLUMNS($AM$1006:BH1006),$AM$1006:$BM$1006,0))&gt;=100000), " ",IF(INDEX($AM$2:$BM$1001,MATCH(ROWS($AF$2:AF293),$AF$2:$AF$1001,0),MATCH(COLUMNS($AM$1006:BH1006),$AM$1006:$BM$1006,0)), HYPERLINK("#",""), HYPERLINK(CONCATENATE("#metadata!", ADDRESS(INDEX($AH$2:$AH$1001,MATCH(ROWS($AF$2:AF293),$AF$2:$AF$1001,0),0), INDEX($AM$1004:$BM$1004,1,MATCH(COLUMNS($AM$1006:BH1006),$AM$1006:$BM$1006,0)))),"Fix")))</f>
        <v xml:space="preserve"> </v>
      </c>
      <c r="X293" s="4" t="str">
        <f ca="1">IF(OR(INDEX($AG$2:$AG$1001,MATCH(ROWS($AF$2:AF293),$AF$2:$AF$1001,0),1)&gt;=100000,INDEX($AM$1005:$BM$1005,1,MATCH(COLUMNS($AM$1006:BI1006),$AM$1006:$BM$1006,0))&gt;=100000), " ",IF(INDEX($AM$2:$BM$1001,MATCH(ROWS($AF$2:AF293),$AF$2:$AF$1001,0),MATCH(COLUMNS($AM$1006:BI1006),$AM$1006:$BM$1006,0)), HYPERLINK("#",""), HYPERLINK(CONCATENATE("#metadata!", ADDRESS(INDEX($AH$2:$AH$1001,MATCH(ROWS($AF$2:AF293),$AF$2:$AF$1001,0),0), INDEX($AM$1004:$BM$1004,1,MATCH(COLUMNS($AM$1006:BI1006),$AM$1006:$BM$1006,0)))),"Fix")))</f>
        <v xml:space="preserve"> </v>
      </c>
      <c r="Y293" s="4" t="str">
        <f ca="1">IF(OR(INDEX($AG$2:$AG$1001,MATCH(ROWS($AF$2:AF293),$AF$2:$AF$1001,0),1)&gt;=100000,INDEX($AM$1005:$BM$1005,1,MATCH(COLUMNS($AM$1006:BJ1006),$AM$1006:$BM$1006,0))&gt;=100000), " ",IF(INDEX($AM$2:$BM$1001,MATCH(ROWS($AF$2:AF293),$AF$2:$AF$1001,0),MATCH(COLUMNS($AM$1006:BJ1006),$AM$1006:$BM$1006,0)), HYPERLINK("#",""), HYPERLINK(CONCATENATE("#metadata!", ADDRESS(INDEX($AH$2:$AH$1001,MATCH(ROWS($AF$2:AF293),$AF$2:$AF$1001,0),0), INDEX($AM$1004:$BM$1004,1,MATCH(COLUMNS($AM$1006:BJ1006),$AM$1006:$BM$1006,0)))),"Fix")))</f>
        <v xml:space="preserve"> </v>
      </c>
      <c r="Z293" s="4" t="str">
        <f ca="1">IF(OR(INDEX($AG$2:$AG$1001,MATCH(ROWS($AF$2:AF293),$AF$2:$AF$1001,0),1)&gt;=100000,INDEX($AM$1005:$BM$1005,1,MATCH(COLUMNS($AM$1006:BK1006),$AM$1006:$BM$1006,0))&gt;=100000), " ",IF(INDEX($AM$2:$BM$1001,MATCH(ROWS($AF$2:AF293),$AF$2:$AF$1001,0),MATCH(COLUMNS($AM$1006:BK1006),$AM$1006:$BM$1006,0)), HYPERLINK("#",""), HYPERLINK(CONCATENATE("#metadata!", ADDRESS(INDEX($AH$2:$AH$1001,MATCH(ROWS($AF$2:AF293),$AF$2:$AF$1001,0),0), INDEX($AM$1004:$BM$1004,1,MATCH(COLUMNS($AM$1006:BK1006),$AM$1006:$BM$1006,0)))),"Fix")))</f>
        <v xml:space="preserve"> </v>
      </c>
      <c r="AA293" s="4" t="str">
        <f ca="1">IF(OR(INDEX($AG$2:$AG$1001,MATCH(ROWS($AF$2:AF293),$AF$2:$AF$1001,0),1)&gt;=100000,INDEX($AM$1005:$BM$1005,1,MATCH(COLUMNS($AM$1006:BL1006),$AM$1006:$BM$1006,0))&gt;=100000), " ",IF(INDEX($AM$2:$BM$1001,MATCH(ROWS($AF$2:AF293),$AF$2:$AF$1001,0),MATCH(COLUMNS($AM$1006:BL1006),$AM$1006:$BM$1006,0)), HYPERLINK("#",""), HYPERLINK(CONCATENATE("#metadata!", ADDRESS(INDEX($AH$2:$AH$1001,MATCH(ROWS($AF$2:AF293),$AF$2:$AF$1001,0),0), INDEX($AM$1004:$BM$1004,1,MATCH(COLUMNS($AM$1006:BL1006),$AM$1006:$BM$1006,0)))),"Fix")))</f>
        <v xml:space="preserve"> </v>
      </c>
      <c r="AB293" s="4" t="str">
        <f ca="1">IF(OR(INDEX($AG$2:$AG$1001,MATCH(ROWS($AF$2:AF293),$AF$2:$AF$1001,0),1)&gt;=100000,INDEX($AM$1005:$BM$1005,1,MATCH(COLUMNS($AM$1006:BM1006),$AM$1006:$BM$1006,0))&gt;=100000), " ",IF(INDEX($AM$2:$BM$1001,MATCH(ROWS($AF$2:AF293),$AF$2:$AF$1001,0),MATCH(COLUMNS($AM$1006:BM1006),$AM$1006:$BM$1006,0)), HYPERLINK("#",""), HYPERLINK(CONCATENATE("#metadata!", ADDRESS(INDEX($AH$2:$AH$1001,MATCH(ROWS($AF$2:AF293),$AF$2:$AF$1001,0),0), INDEX($AM$1004:$BM$1004,1,MATCH(COLUMNS($AM$1006:BM1006),$AM$1006:$BM$1006,0)))),"Fix")))</f>
        <v xml:space="preserve"> </v>
      </c>
      <c r="AF293">
        <v>292</v>
      </c>
      <c r="AG293">
        <v>100293</v>
      </c>
      <c r="AH293">
        <v>293</v>
      </c>
      <c r="AI293" t="b">
        <f t="shared" si="4"/>
        <v>1</v>
      </c>
      <c r="AJ293" t="b">
        <f>COUNTBLANK(metadata!B293:AB293)=COLUMNS(metadata!B293:AB293)</f>
        <v>1</v>
      </c>
      <c r="AK293" t="str">
        <v/>
      </c>
      <c r="AM293" t="b">
        <f ca="1">AND(IF(metadata!B293="",FALSE,TRUE),COUNTIF(metadata!B:B, metadata!B293) = 1,NOT(ISERROR(SUMPRODUCT(SEARCH(MID(metadata!B293,ROW(INDIRECT("1:"&amp;LEN(metadata!B293))), 1),"0123456789abcdefghijklmnopqrstuvwxyzABCDEFGHIJKLMNOPQRSTUVWXYZ.")))))</f>
        <v>0</v>
      </c>
      <c r="AN293" t="b">
        <f ca="1">OR(AND(IF(metadata!C293="",FALSE,TRUE),OR(EXACT(metadata!C293,"missing: not collected"),EXACT(metadata!C293,"missing: not provided"),EXACT(metadata!C293,"missing: restricted access"))),AND(IF(metadata!C293="",FALSE,TRUE),AND(AND(IFERROR(INT(LEFT(metadata!C293,4))&gt;1900,FALSE),IFERROR(INT(LEFT(metadata!C293,4))&lt;=YEAR(NOW()),FALSE)), OR(MID(metadata!C293,5,1)="", AND(AND(MID(metadata!C293,5,1)="-",IFERROR(INT(MID(metadata!C293,6,1))&gt;=0,FALSE),IFERROR(INT(MID(metadata!C293,6,1))&lt;=1,FALSE),NOT(MID(metadata!C293,7,1)=""),IFERROR(INT(MID(metadata!C293,6,2))&gt;=1,FALSE),IFERROR(INT(MID(metadata!C293,6,2))&lt;=12,FALSE)), OR(MID(metadata!C293,8,1)="", AND(AND(MID(metadata!C293,8,1)="-",IFERROR(INT(MID(metadata!C293,9,1))&gt;=0,FALSE),IFERROR(INT(MID(metadata!C293,9,1))&lt;=3,FALSE),NOT(MID(metadata!C293,10,1)=""),IFERROR(INT(MID(metadata!C293,9,2))&gt;=1,FALSE),IFERROR(INT(MID(metadata!C293,9,2))&lt;=31,FALSE)), OR(MID(metadata!C293,11,1)="", AND(AND(MID(metadata!C293,11,1)=" ",IFERROR(INT(MID(metadata!C293,12,1))&gt;=0,FALSE),IFERROR(INT(MID(metadata!C293,12,1))&lt;=2,FALSE),NOT(MID(metadata!C293,13,1)=""),IFERROR(INT(MID(metadata!C293,12,2))&gt;=0,FALSE),IFERROR(INT(MID(metadata!C293,12,2))&lt;=23,FALSE)), OR(MID(metadata!C293,14,1)="", AND(AND(MID(metadata!C293,14,1)=":",IFERROR(INT(MID(metadata!C293,15,1))&gt;=0,FALSE),IFERROR(INT(MID(metadata!C293,15,1))&lt;=5,FALSE),NOT(MID(metadata!C293,16,1)=""),IFERROR(INT(MID(metadata!C293,15,2))&gt;=0,FALSE),IFERROR(INT(MID(metadata!C293,15,2))&lt;=59,FALSE)), OR(MID(metadata!C293,17,1)="", AND(AND(MID(metadata!C293,17,1)=":",IFERROR(INT(MID(metadata!C293,18,1))&gt;=0,FALSE),IFERROR(INT(MID(metadata!C293,18,1))&lt;=5,FALSE),NOT(MID(metadata!C293,19,1)=""),IFERROR(INT(MID(metadata!C293,18,2))&gt;=0,FALSE),IFERROR(INT(MID(metadata!C293,18,2))&lt;=59,FALSE)), LEN(metadata!C293)&lt;=19)))))))))))))</f>
        <v>0</v>
      </c>
      <c r="AO293" t="b">
        <f>AND(IF(metadata!D293="",FALSE,TRUE),EXACT(metadata!D293,"Not applicable"))</f>
        <v>0</v>
      </c>
      <c r="AP293" t="b">
        <f>IF(metadata!E293="",FALSE,TRUE)</f>
        <v>0</v>
      </c>
      <c r="AQ293" t="b">
        <f>OR(AND(IF(metadata!F293="",FALSE,TRUE),OR(EXACT(metadata!F293,"missing: not collected"),EXACT(metadata!F293,"missing: not provided"))),AND(IF(metadata!F293="",FALSE,TRUE),OR(EXACT(metadata!F293,"TRUE"),EXACT(metadata!F293,"FALSE"))))</f>
        <v>0</v>
      </c>
      <c r="AR293" t="b">
        <f>OR(AND(IF(metadata!G293="",FALSE,TRUE),OR(EXACT(metadata!G293,"missing: not collected"),EXACT(metadata!G293,"missing: not provided"),EXACT(metadata!G293,"missing: restricted access"))),AND(IF(metadata!G293="",FALSE,ISNUMBER(VALUE(metadata!G293))),metadata!G293&gt;=-413))</f>
        <v>0</v>
      </c>
      <c r="AS293" t="b">
        <f>AND(IF(metadata!H293="",FALSE,TRUE),EXACT(metadata!H293,"meters"))</f>
        <v>0</v>
      </c>
      <c r="AT293" t="b">
        <f>AND(IF(metadata!I293="",FALSE,TRUE),OR(EXACT(metadata!I293,"Host-associated"),EXACT(metadata!I293,"Free-living")))</f>
        <v>0</v>
      </c>
      <c r="AU293" t="b">
        <f>AND(IF(metadata!J293="",FALSE,TRUE),OR(EXACT(metadata!J293,"Animal"),EXACT(metadata!J293,"Fungus"),EXACT(metadata!J293,"Plant"),EXACT(metadata!J293,"Saline"),EXACT(metadata!J293,"Non-saline")))</f>
        <v>0</v>
      </c>
      <c r="AV293" t="b">
        <f>AND(IF(metadata!K293="",FALSE,TRUE),OR(EXACT(metadata!K293,"Plant secretion"),EXACT(metadata!K293,"Plant rhizosphere"),EXACT(metadata!K293,"Plant surface"),EXACT(metadata!K293,"Plant corpus"),EXACT(metadata!K293,"Fungus surface"),EXACT(metadata!K293,"Fungus corpus"),EXACT(metadata!K293,"Animal surface"),EXACT(metadata!K293,"Animal proximal gut"),EXACT(metadata!K293,"Animal corpus"),EXACT(metadata!K293,"Animal distal gut"),EXACT(metadata!K293,"Animal secretion"),EXACT(metadata!K293,"Sub-surface (non-saline)"),EXACT(metadata!K293,"Surface (non-saline)"),EXACT(metadata!K293,"Water (non-saline)"),EXACT(metadata!K293,"Soil (non-saline)"),EXACT(metadata!K293,"Aerosol (non-saline)"),EXACT(metadata!K293,"Sediment (non-saline)"),EXACT(metadata!K293,"Surface (saline)"),EXACT(metadata!K293,"Water (saline)"),EXACT(metadata!K293,"Hypersaline (saline)"),EXACT(metadata!K293,"Aerosol (saline)"),EXACT(metadata!K293,"Sediment (saline)")))</f>
        <v>0</v>
      </c>
      <c r="AW293" t="b">
        <f>IF(metadata!L293="",FALSE,TRUE)</f>
        <v>0</v>
      </c>
      <c r="AX293" t="b">
        <f>IF(metadata!M293="",FALSE,TRUE)</f>
        <v>0</v>
      </c>
      <c r="AY293" t="b">
        <f>IF(metadata!N293="",FALSE,TRUE)</f>
        <v>0</v>
      </c>
      <c r="AZ293" t="b">
        <f>OR(AND(IF(metadata!O293="",FALSE,TRUE),OR(EXACT(metadata!O293,"missing: not collected"),EXACT(metadata!O293,"missing: not provided"),EXACT(metadata!O293,"missing: restricted access"))),AND(IF(metadata!O293="",FALSE,TRUE),OR(EXACT(metadata!O293,"air"),EXACT(metadata!O293,"built environment"),EXACT(metadata!O293,"host-associated"),EXACT(metadata!O293,"human-associated"),EXACT(metadata!O293,"human-skin"),EXACT(metadata!O293,"human-oral"),EXACT(metadata!O293,"human-gut"),EXACT(metadata!O293,"human-vaginal"),EXACT(metadata!O293,"microbial mat/biofilm"),EXACT(metadata!O293,"misc environment"),EXACT(metadata!O293,"plant-associated"),EXACT(metadata!O293,"sediment"),EXACT(metadata!O293,"soil"),EXACT(metadata!O293,"wastewater/sludge"),EXACT(metadata!O293,"water"))))</f>
        <v>0</v>
      </c>
      <c r="BA293" t="b">
        <f>IF(metadata!P293="",FALSE,TRUE)</f>
        <v>0</v>
      </c>
      <c r="BB293" t="b">
        <f>IF(metadata!Q293="",FALSE,TRUE)</f>
        <v>0</v>
      </c>
      <c r="BC293" t="b">
        <f>OR(AND(IF(metadata!R293="",FALSE,TRUE),OR(EXACT(metadata!R293,"missing: not collected"),EXACT(metadata!R293,"missing: not provided"),EXACT(metadata!R293,"missing: restricted access"))),AND(IF(metadata!R293="",FALSE,ISNUMBER(VALUE(metadata!R293))),metadata!R293&gt;=-90,metadata!R293&lt;=90))</f>
        <v>0</v>
      </c>
      <c r="BD293" t="b">
        <f>AND(IF(metadata!S293="",FALSE,TRUE),EXACT(metadata!S293,"Decimal degrees"))</f>
        <v>0</v>
      </c>
      <c r="BE293" t="b">
        <f>OR(AND(IF(metadata!T293="",FALSE,TRUE),OR(EXACT(metadata!T293,"missing: not collected"),EXACT(metadata!T293,"missing: not provided"),EXACT(metadata!T293,"missing: restricted access"))),AND(IF(metadata!T293="",FALSE,ISNUMBER(VALUE(metadata!T293))),metadata!T293&gt;=-180,metadata!T293&lt;=180))</f>
        <v>0</v>
      </c>
      <c r="BF293" t="b">
        <f>AND(IF(metadata!U293="",FALSE,TRUE),EXACT(metadata!U293,"Decimal degrees"))</f>
        <v>0</v>
      </c>
      <c r="BG293" t="b">
        <f>IF(metadata!V293="",FALSE,TRUE)</f>
        <v>0</v>
      </c>
      <c r="BH293" t="b">
        <f>OR(AND(IF(metadata!W293="",FALSE,TRUE),OR(EXACT(metadata!W293,"missing: not collected"),EXACT(metadata!W293,"missing: not provided"),EXACT(metadata!W293,"missing: restricted access"))),AND(IF(metadata!W293="",FALSE,TRUE),OR(EXACT(metadata!W293,"TRUE"),EXACT(metadata!W293,"FALSE"))))</f>
        <v>0</v>
      </c>
      <c r="BI293" t="b">
        <f>AND(IF(metadata!X293="",FALSE,TRUE),EXACT(metadata!X293,"other"))</f>
        <v>0</v>
      </c>
      <c r="BJ293" t="b">
        <f>IF(metadata!Y293="",FALSE,TRUE)</f>
        <v>0</v>
      </c>
      <c r="BK293" t="b">
        <f>OR(AND(IF(metadata!Z293="",FALSE,TRUE),OR(EXACT(metadata!Z293,"missing: not collected"),EXACT(metadata!Z293,"missing: not provided"))),AND(IF(metadata!Z293="",FALSE,IF(ISERROR(INT(metadata!Z293)),FALSE,INT(metadata!Z293)=metadata!Z293)),metadata!Z293&gt;0))</f>
        <v>0</v>
      </c>
      <c r="BL293" t="b">
        <f>AND(IF(metadata!AA293="",FALSE,TRUE),EXACT(metadata!AA293,"Not applicable"))</f>
        <v>0</v>
      </c>
      <c r="BM293" t="b">
        <f>IF(metadata!AB293="",FALSE,TRUE)</f>
        <v>0</v>
      </c>
    </row>
    <row r="294" spans="1:65" x14ac:dyDescent="0.2">
      <c r="A294" s="5" t="str">
        <f ca="1">IF(B294=" "," ",HYPERLINK(CONCATENATE("#metadata!",ADDRESS(INDEX($AH$2:$AH$1001,MATCH(ROWS($AF$2:AF294),$AF$2:$AF$1001,0),0),1)),INDEX($AK$2:$AK$1001,MATCH(ROWS($AF$2:AF294),$AF$2:$AF$1001,0),0)))</f>
        <v xml:space="preserve"> </v>
      </c>
      <c r="B294" s="4" t="str">
        <f ca="1">IF(OR(INDEX($AG$2:$AG$1001,MATCH(ROWS($AF$2:AF294),$AF$2:$AF$1001,0),1)&gt;=100000,INDEX($AM$1005:$BM$1005,1,MATCH(COLUMNS($AM$1006:AM1006),$AM$1006:$BM$1006,0))&gt;=100000), " ",IF(INDEX($AM$2:$BM$1001,MATCH(ROWS($AF$2:AF294),$AF$2:$AF$1001,0),MATCH(COLUMNS($AM$1006:AM1006),$AM$1006:$BM$1006,0)), HYPERLINK("#",""), HYPERLINK(CONCATENATE("#metadata!", ADDRESS(INDEX($AH$2:$AH$1001,MATCH(ROWS($AF$2:AF294),$AF$2:$AF$1001,0),0), INDEX($AM$1004:$BM$1004,1,MATCH(COLUMNS($AM$1006:AM1006),$AM$1006:$BM$1006,0)))),"Fix")))</f>
        <v xml:space="preserve"> </v>
      </c>
      <c r="C294" s="4" t="str">
        <f ca="1">IF(OR(INDEX($AG$2:$AG$1001,MATCH(ROWS($AF$2:AF294),$AF$2:$AF$1001,0),1)&gt;=100000,INDEX($AM$1005:$BM$1005,1,MATCH(COLUMNS($AM$1006:AN1006),$AM$1006:$BM$1006,0))&gt;=100000), " ",IF(INDEX($AM$2:$BM$1001,MATCH(ROWS($AF$2:AF294),$AF$2:$AF$1001,0),MATCH(COLUMNS($AM$1006:AN1006),$AM$1006:$BM$1006,0)), HYPERLINK("#",""), HYPERLINK(CONCATENATE("#metadata!", ADDRESS(INDEX($AH$2:$AH$1001,MATCH(ROWS($AF$2:AF294),$AF$2:$AF$1001,0),0), INDEX($AM$1004:$BM$1004,1,MATCH(COLUMNS($AM$1006:AN1006),$AM$1006:$BM$1006,0)))),"Fix")))</f>
        <v xml:space="preserve"> </v>
      </c>
      <c r="D294" s="4" t="str">
        <f ca="1">IF(OR(INDEX($AG$2:$AG$1001,MATCH(ROWS($AF$2:AF294),$AF$2:$AF$1001,0),1)&gt;=100000,INDEX($AM$1005:$BM$1005,1,MATCH(COLUMNS($AM$1006:AO1006),$AM$1006:$BM$1006,0))&gt;=100000), " ",IF(INDEX($AM$2:$BM$1001,MATCH(ROWS($AF$2:AF294),$AF$2:$AF$1001,0),MATCH(COLUMNS($AM$1006:AO1006),$AM$1006:$BM$1006,0)), HYPERLINK("#",""), HYPERLINK(CONCATENATE("#metadata!", ADDRESS(INDEX($AH$2:$AH$1001,MATCH(ROWS($AF$2:AF294),$AF$2:$AF$1001,0),0), INDEX($AM$1004:$BM$1004,1,MATCH(COLUMNS($AM$1006:AO1006),$AM$1006:$BM$1006,0)))),"Fix")))</f>
        <v xml:space="preserve"> </v>
      </c>
      <c r="E294" s="4" t="str">
        <f ca="1">IF(OR(INDEX($AG$2:$AG$1001,MATCH(ROWS($AF$2:AF294),$AF$2:$AF$1001,0),1)&gt;=100000,INDEX($AM$1005:$BM$1005,1,MATCH(COLUMNS($AM$1006:AP1006),$AM$1006:$BM$1006,0))&gt;=100000), " ",IF(INDEX($AM$2:$BM$1001,MATCH(ROWS($AF$2:AF294),$AF$2:$AF$1001,0),MATCH(COLUMNS($AM$1006:AP1006),$AM$1006:$BM$1006,0)), HYPERLINK("#",""), HYPERLINK(CONCATENATE("#metadata!", ADDRESS(INDEX($AH$2:$AH$1001,MATCH(ROWS($AF$2:AF294),$AF$2:$AF$1001,0),0), INDEX($AM$1004:$BM$1004,1,MATCH(COLUMNS($AM$1006:AP1006),$AM$1006:$BM$1006,0)))),"Fix")))</f>
        <v xml:space="preserve"> </v>
      </c>
      <c r="F294" s="4" t="str">
        <f ca="1">IF(OR(INDEX($AG$2:$AG$1001,MATCH(ROWS($AF$2:AF294),$AF$2:$AF$1001,0),1)&gt;=100000,INDEX($AM$1005:$BM$1005,1,MATCH(COLUMNS($AM$1006:AQ1006),$AM$1006:$BM$1006,0))&gt;=100000), " ",IF(INDEX($AM$2:$BM$1001,MATCH(ROWS($AF$2:AF294),$AF$2:$AF$1001,0),MATCH(COLUMNS($AM$1006:AQ1006),$AM$1006:$BM$1006,0)), HYPERLINK("#",""), HYPERLINK(CONCATENATE("#metadata!", ADDRESS(INDEX($AH$2:$AH$1001,MATCH(ROWS($AF$2:AF294),$AF$2:$AF$1001,0),0), INDEX($AM$1004:$BM$1004,1,MATCH(COLUMNS($AM$1006:AQ1006),$AM$1006:$BM$1006,0)))),"Fix")))</f>
        <v xml:space="preserve"> </v>
      </c>
      <c r="G294" s="4" t="str">
        <f ca="1">IF(OR(INDEX($AG$2:$AG$1001,MATCH(ROWS($AF$2:AF294),$AF$2:$AF$1001,0),1)&gt;=100000,INDEX($AM$1005:$BM$1005,1,MATCH(COLUMNS($AM$1006:AR1006),$AM$1006:$BM$1006,0))&gt;=100000), " ",IF(INDEX($AM$2:$BM$1001,MATCH(ROWS($AF$2:AF294),$AF$2:$AF$1001,0),MATCH(COLUMNS($AM$1006:AR1006),$AM$1006:$BM$1006,0)), HYPERLINK("#",""), HYPERLINK(CONCATENATE("#metadata!", ADDRESS(INDEX($AH$2:$AH$1001,MATCH(ROWS($AF$2:AF294),$AF$2:$AF$1001,0),0), INDEX($AM$1004:$BM$1004,1,MATCH(COLUMNS($AM$1006:AR1006),$AM$1006:$BM$1006,0)))),"Fix")))</f>
        <v xml:space="preserve"> </v>
      </c>
      <c r="H294" s="4" t="str">
        <f ca="1">IF(OR(INDEX($AG$2:$AG$1001,MATCH(ROWS($AF$2:AF294),$AF$2:$AF$1001,0),1)&gt;=100000,INDEX($AM$1005:$BM$1005,1,MATCH(COLUMNS($AM$1006:AS1006),$AM$1006:$BM$1006,0))&gt;=100000), " ",IF(INDEX($AM$2:$BM$1001,MATCH(ROWS($AF$2:AF294),$AF$2:$AF$1001,0),MATCH(COLUMNS($AM$1006:AS1006),$AM$1006:$BM$1006,0)), HYPERLINK("#",""), HYPERLINK(CONCATENATE("#metadata!", ADDRESS(INDEX($AH$2:$AH$1001,MATCH(ROWS($AF$2:AF294),$AF$2:$AF$1001,0),0), INDEX($AM$1004:$BM$1004,1,MATCH(COLUMNS($AM$1006:AS1006),$AM$1006:$BM$1006,0)))),"Fix")))</f>
        <v xml:space="preserve"> </v>
      </c>
      <c r="I294" s="4" t="str">
        <f ca="1">IF(OR(INDEX($AG$2:$AG$1001,MATCH(ROWS($AF$2:AF294),$AF$2:$AF$1001,0),1)&gt;=100000,INDEX($AM$1005:$BM$1005,1,MATCH(COLUMNS($AM$1006:AT1006),$AM$1006:$BM$1006,0))&gt;=100000), " ",IF(INDEX($AM$2:$BM$1001,MATCH(ROWS($AF$2:AF294),$AF$2:$AF$1001,0),MATCH(COLUMNS($AM$1006:AT1006),$AM$1006:$BM$1006,0)), HYPERLINK("#",""), HYPERLINK(CONCATENATE("#metadata!", ADDRESS(INDEX($AH$2:$AH$1001,MATCH(ROWS($AF$2:AF294),$AF$2:$AF$1001,0),0), INDEX($AM$1004:$BM$1004,1,MATCH(COLUMNS($AM$1006:AT1006),$AM$1006:$BM$1006,0)))),"Fix")))</f>
        <v xml:space="preserve"> </v>
      </c>
      <c r="J294" s="4" t="str">
        <f ca="1">IF(OR(INDEX($AG$2:$AG$1001,MATCH(ROWS($AF$2:AF294),$AF$2:$AF$1001,0),1)&gt;=100000,INDEX($AM$1005:$BM$1005,1,MATCH(COLUMNS($AM$1006:AU1006),$AM$1006:$BM$1006,0))&gt;=100000), " ",IF(INDEX($AM$2:$BM$1001,MATCH(ROWS($AF$2:AF294),$AF$2:$AF$1001,0),MATCH(COLUMNS($AM$1006:AU1006),$AM$1006:$BM$1006,0)), HYPERLINK("#",""), HYPERLINK(CONCATENATE("#metadata!", ADDRESS(INDEX($AH$2:$AH$1001,MATCH(ROWS($AF$2:AF294),$AF$2:$AF$1001,0),0), INDEX($AM$1004:$BM$1004,1,MATCH(COLUMNS($AM$1006:AU1006),$AM$1006:$BM$1006,0)))),"Fix")))</f>
        <v xml:space="preserve"> </v>
      </c>
      <c r="K294" s="4" t="str">
        <f ca="1">IF(OR(INDEX($AG$2:$AG$1001,MATCH(ROWS($AF$2:AF294),$AF$2:$AF$1001,0),1)&gt;=100000,INDEX($AM$1005:$BM$1005,1,MATCH(COLUMNS($AM$1006:AV1006),$AM$1006:$BM$1006,0))&gt;=100000), " ",IF(INDEX($AM$2:$BM$1001,MATCH(ROWS($AF$2:AF294),$AF$2:$AF$1001,0),MATCH(COLUMNS($AM$1006:AV1006),$AM$1006:$BM$1006,0)), HYPERLINK("#",""), HYPERLINK(CONCATENATE("#metadata!", ADDRESS(INDEX($AH$2:$AH$1001,MATCH(ROWS($AF$2:AF294),$AF$2:$AF$1001,0),0), INDEX($AM$1004:$BM$1004,1,MATCH(COLUMNS($AM$1006:AV1006),$AM$1006:$BM$1006,0)))),"Fix")))</f>
        <v xml:space="preserve"> </v>
      </c>
      <c r="L294" s="4" t="str">
        <f ca="1">IF(OR(INDEX($AG$2:$AG$1001,MATCH(ROWS($AF$2:AF294),$AF$2:$AF$1001,0),1)&gt;=100000,INDEX($AM$1005:$BM$1005,1,MATCH(COLUMNS($AM$1006:AW1006),$AM$1006:$BM$1006,0))&gt;=100000), " ",IF(INDEX($AM$2:$BM$1001,MATCH(ROWS($AF$2:AF294),$AF$2:$AF$1001,0),MATCH(COLUMNS($AM$1006:AW1006),$AM$1006:$BM$1006,0)), HYPERLINK("#",""), HYPERLINK(CONCATENATE("#metadata!", ADDRESS(INDEX($AH$2:$AH$1001,MATCH(ROWS($AF$2:AF294),$AF$2:$AF$1001,0),0), INDEX($AM$1004:$BM$1004,1,MATCH(COLUMNS($AM$1006:AW1006),$AM$1006:$BM$1006,0)))),"Fix")))</f>
        <v xml:space="preserve"> </v>
      </c>
      <c r="M294" s="4" t="str">
        <f ca="1">IF(OR(INDEX($AG$2:$AG$1001,MATCH(ROWS($AF$2:AF294),$AF$2:$AF$1001,0),1)&gt;=100000,INDEX($AM$1005:$BM$1005,1,MATCH(COLUMNS($AM$1006:AX1006),$AM$1006:$BM$1006,0))&gt;=100000), " ",IF(INDEX($AM$2:$BM$1001,MATCH(ROWS($AF$2:AF294),$AF$2:$AF$1001,0),MATCH(COLUMNS($AM$1006:AX1006),$AM$1006:$BM$1006,0)), HYPERLINK("#",""), HYPERLINK(CONCATENATE("#metadata!", ADDRESS(INDEX($AH$2:$AH$1001,MATCH(ROWS($AF$2:AF294),$AF$2:$AF$1001,0),0), INDEX($AM$1004:$BM$1004,1,MATCH(COLUMNS($AM$1006:AX1006),$AM$1006:$BM$1006,0)))),"Fix")))</f>
        <v xml:space="preserve"> </v>
      </c>
      <c r="N294" s="4" t="str">
        <f ca="1">IF(OR(INDEX($AG$2:$AG$1001,MATCH(ROWS($AF$2:AF294),$AF$2:$AF$1001,0),1)&gt;=100000,INDEX($AM$1005:$BM$1005,1,MATCH(COLUMNS($AM$1006:AY1006),$AM$1006:$BM$1006,0))&gt;=100000), " ",IF(INDEX($AM$2:$BM$1001,MATCH(ROWS($AF$2:AF294),$AF$2:$AF$1001,0),MATCH(COLUMNS($AM$1006:AY1006),$AM$1006:$BM$1006,0)), HYPERLINK("#",""), HYPERLINK(CONCATENATE("#metadata!", ADDRESS(INDEX($AH$2:$AH$1001,MATCH(ROWS($AF$2:AF294),$AF$2:$AF$1001,0),0), INDEX($AM$1004:$BM$1004,1,MATCH(COLUMNS($AM$1006:AY1006),$AM$1006:$BM$1006,0)))),"Fix")))</f>
        <v xml:space="preserve"> </v>
      </c>
      <c r="O294" s="4" t="str">
        <f ca="1">IF(OR(INDEX($AG$2:$AG$1001,MATCH(ROWS($AF$2:AF294),$AF$2:$AF$1001,0),1)&gt;=100000,INDEX($AM$1005:$BM$1005,1,MATCH(COLUMNS($AM$1006:AZ1006),$AM$1006:$BM$1006,0))&gt;=100000), " ",IF(INDEX($AM$2:$BM$1001,MATCH(ROWS($AF$2:AF294),$AF$2:$AF$1001,0),MATCH(COLUMNS($AM$1006:AZ1006),$AM$1006:$BM$1006,0)), HYPERLINK("#",""), HYPERLINK(CONCATENATE("#metadata!", ADDRESS(INDEX($AH$2:$AH$1001,MATCH(ROWS($AF$2:AF294),$AF$2:$AF$1001,0),0), INDEX($AM$1004:$BM$1004,1,MATCH(COLUMNS($AM$1006:AZ1006),$AM$1006:$BM$1006,0)))),"Fix")))</f>
        <v xml:space="preserve"> </v>
      </c>
      <c r="P294" s="4" t="str">
        <f ca="1">IF(OR(INDEX($AG$2:$AG$1001,MATCH(ROWS($AF$2:AF294),$AF$2:$AF$1001,0),1)&gt;=100000,INDEX($AM$1005:$BM$1005,1,MATCH(COLUMNS($AM$1006:BA1006),$AM$1006:$BM$1006,0))&gt;=100000), " ",IF(INDEX($AM$2:$BM$1001,MATCH(ROWS($AF$2:AF294),$AF$2:$AF$1001,0),MATCH(COLUMNS($AM$1006:BA1006),$AM$1006:$BM$1006,0)), HYPERLINK("#",""), HYPERLINK(CONCATENATE("#metadata!", ADDRESS(INDEX($AH$2:$AH$1001,MATCH(ROWS($AF$2:AF294),$AF$2:$AF$1001,0),0), INDEX($AM$1004:$BM$1004,1,MATCH(COLUMNS($AM$1006:BA1006),$AM$1006:$BM$1006,0)))),"Fix")))</f>
        <v xml:space="preserve"> </v>
      </c>
      <c r="Q294" s="4" t="str">
        <f ca="1">IF(OR(INDEX($AG$2:$AG$1001,MATCH(ROWS($AF$2:AF294),$AF$2:$AF$1001,0),1)&gt;=100000,INDEX($AM$1005:$BM$1005,1,MATCH(COLUMNS($AM$1006:BB1006),$AM$1006:$BM$1006,0))&gt;=100000), " ",IF(INDEX($AM$2:$BM$1001,MATCH(ROWS($AF$2:AF294),$AF$2:$AF$1001,0),MATCH(COLUMNS($AM$1006:BB1006),$AM$1006:$BM$1006,0)), HYPERLINK("#",""), HYPERLINK(CONCATENATE("#metadata!", ADDRESS(INDEX($AH$2:$AH$1001,MATCH(ROWS($AF$2:AF294),$AF$2:$AF$1001,0),0), INDEX($AM$1004:$BM$1004,1,MATCH(COLUMNS($AM$1006:BB1006),$AM$1006:$BM$1006,0)))),"Fix")))</f>
        <v xml:space="preserve"> </v>
      </c>
      <c r="R294" s="4" t="str">
        <f ca="1">IF(OR(INDEX($AG$2:$AG$1001,MATCH(ROWS($AF$2:AF294),$AF$2:$AF$1001,0),1)&gt;=100000,INDEX($AM$1005:$BM$1005,1,MATCH(COLUMNS($AM$1006:BC1006),$AM$1006:$BM$1006,0))&gt;=100000), " ",IF(INDEX($AM$2:$BM$1001,MATCH(ROWS($AF$2:AF294),$AF$2:$AF$1001,0),MATCH(COLUMNS($AM$1006:BC1006),$AM$1006:$BM$1006,0)), HYPERLINK("#",""), HYPERLINK(CONCATENATE("#metadata!", ADDRESS(INDEX($AH$2:$AH$1001,MATCH(ROWS($AF$2:AF294),$AF$2:$AF$1001,0),0), INDEX($AM$1004:$BM$1004,1,MATCH(COLUMNS($AM$1006:BC1006),$AM$1006:$BM$1006,0)))),"Fix")))</f>
        <v xml:space="preserve"> </v>
      </c>
      <c r="S294" s="4" t="str">
        <f ca="1">IF(OR(INDEX($AG$2:$AG$1001,MATCH(ROWS($AF$2:AF294),$AF$2:$AF$1001,0),1)&gt;=100000,INDEX($AM$1005:$BM$1005,1,MATCH(COLUMNS($AM$1006:BD1006),$AM$1006:$BM$1006,0))&gt;=100000), " ",IF(INDEX($AM$2:$BM$1001,MATCH(ROWS($AF$2:AF294),$AF$2:$AF$1001,0),MATCH(COLUMNS($AM$1006:BD1006),$AM$1006:$BM$1006,0)), HYPERLINK("#",""), HYPERLINK(CONCATENATE("#metadata!", ADDRESS(INDEX($AH$2:$AH$1001,MATCH(ROWS($AF$2:AF294),$AF$2:$AF$1001,0),0), INDEX($AM$1004:$BM$1004,1,MATCH(COLUMNS($AM$1006:BD1006),$AM$1006:$BM$1006,0)))),"Fix")))</f>
        <v xml:space="preserve"> </v>
      </c>
      <c r="T294" s="4" t="str">
        <f ca="1">IF(OR(INDEX($AG$2:$AG$1001,MATCH(ROWS($AF$2:AF294),$AF$2:$AF$1001,0),1)&gt;=100000,INDEX($AM$1005:$BM$1005,1,MATCH(COLUMNS($AM$1006:BE1006),$AM$1006:$BM$1006,0))&gt;=100000), " ",IF(INDEX($AM$2:$BM$1001,MATCH(ROWS($AF$2:AF294),$AF$2:$AF$1001,0),MATCH(COLUMNS($AM$1006:BE1006),$AM$1006:$BM$1006,0)), HYPERLINK("#",""), HYPERLINK(CONCATENATE("#metadata!", ADDRESS(INDEX($AH$2:$AH$1001,MATCH(ROWS($AF$2:AF294),$AF$2:$AF$1001,0),0), INDEX($AM$1004:$BM$1004,1,MATCH(COLUMNS($AM$1006:BE1006),$AM$1006:$BM$1006,0)))),"Fix")))</f>
        <v xml:space="preserve"> </v>
      </c>
      <c r="U294" s="4" t="str">
        <f ca="1">IF(OR(INDEX($AG$2:$AG$1001,MATCH(ROWS($AF$2:AF294),$AF$2:$AF$1001,0),1)&gt;=100000,INDEX($AM$1005:$BM$1005,1,MATCH(COLUMNS($AM$1006:BF1006),$AM$1006:$BM$1006,0))&gt;=100000), " ",IF(INDEX($AM$2:$BM$1001,MATCH(ROWS($AF$2:AF294),$AF$2:$AF$1001,0),MATCH(COLUMNS($AM$1006:BF1006),$AM$1006:$BM$1006,0)), HYPERLINK("#",""), HYPERLINK(CONCATENATE("#metadata!", ADDRESS(INDEX($AH$2:$AH$1001,MATCH(ROWS($AF$2:AF294),$AF$2:$AF$1001,0),0), INDEX($AM$1004:$BM$1004,1,MATCH(COLUMNS($AM$1006:BF1006),$AM$1006:$BM$1006,0)))),"Fix")))</f>
        <v xml:space="preserve"> </v>
      </c>
      <c r="V294" s="4" t="str">
        <f ca="1">IF(OR(INDEX($AG$2:$AG$1001,MATCH(ROWS($AF$2:AF294),$AF$2:$AF$1001,0),1)&gt;=100000,INDEX($AM$1005:$BM$1005,1,MATCH(COLUMNS($AM$1006:BG1006),$AM$1006:$BM$1006,0))&gt;=100000), " ",IF(INDEX($AM$2:$BM$1001,MATCH(ROWS($AF$2:AF294),$AF$2:$AF$1001,0),MATCH(COLUMNS($AM$1006:BG1006),$AM$1006:$BM$1006,0)), HYPERLINK("#",""), HYPERLINK(CONCATENATE("#metadata!", ADDRESS(INDEX($AH$2:$AH$1001,MATCH(ROWS($AF$2:AF294),$AF$2:$AF$1001,0),0), INDEX($AM$1004:$BM$1004,1,MATCH(COLUMNS($AM$1006:BG1006),$AM$1006:$BM$1006,0)))),"Fix")))</f>
        <v xml:space="preserve"> </v>
      </c>
      <c r="W294" s="4" t="str">
        <f ca="1">IF(OR(INDEX($AG$2:$AG$1001,MATCH(ROWS($AF$2:AF294),$AF$2:$AF$1001,0),1)&gt;=100000,INDEX($AM$1005:$BM$1005,1,MATCH(COLUMNS($AM$1006:BH1006),$AM$1006:$BM$1006,0))&gt;=100000), " ",IF(INDEX($AM$2:$BM$1001,MATCH(ROWS($AF$2:AF294),$AF$2:$AF$1001,0),MATCH(COLUMNS($AM$1006:BH1006),$AM$1006:$BM$1006,0)), HYPERLINK("#",""), HYPERLINK(CONCATENATE("#metadata!", ADDRESS(INDEX($AH$2:$AH$1001,MATCH(ROWS($AF$2:AF294),$AF$2:$AF$1001,0),0), INDEX($AM$1004:$BM$1004,1,MATCH(COLUMNS($AM$1006:BH1006),$AM$1006:$BM$1006,0)))),"Fix")))</f>
        <v xml:space="preserve"> </v>
      </c>
      <c r="X294" s="4" t="str">
        <f ca="1">IF(OR(INDEX($AG$2:$AG$1001,MATCH(ROWS($AF$2:AF294),$AF$2:$AF$1001,0),1)&gt;=100000,INDEX($AM$1005:$BM$1005,1,MATCH(COLUMNS($AM$1006:BI1006),$AM$1006:$BM$1006,0))&gt;=100000), " ",IF(INDEX($AM$2:$BM$1001,MATCH(ROWS($AF$2:AF294),$AF$2:$AF$1001,0),MATCH(COLUMNS($AM$1006:BI1006),$AM$1006:$BM$1006,0)), HYPERLINK("#",""), HYPERLINK(CONCATENATE("#metadata!", ADDRESS(INDEX($AH$2:$AH$1001,MATCH(ROWS($AF$2:AF294),$AF$2:$AF$1001,0),0), INDEX($AM$1004:$BM$1004,1,MATCH(COLUMNS($AM$1006:BI1006),$AM$1006:$BM$1006,0)))),"Fix")))</f>
        <v xml:space="preserve"> </v>
      </c>
      <c r="Y294" s="4" t="str">
        <f ca="1">IF(OR(INDEX($AG$2:$AG$1001,MATCH(ROWS($AF$2:AF294),$AF$2:$AF$1001,0),1)&gt;=100000,INDEX($AM$1005:$BM$1005,1,MATCH(COLUMNS($AM$1006:BJ1006),$AM$1006:$BM$1006,0))&gt;=100000), " ",IF(INDEX($AM$2:$BM$1001,MATCH(ROWS($AF$2:AF294),$AF$2:$AF$1001,0),MATCH(COLUMNS($AM$1006:BJ1006),$AM$1006:$BM$1006,0)), HYPERLINK("#",""), HYPERLINK(CONCATENATE("#metadata!", ADDRESS(INDEX($AH$2:$AH$1001,MATCH(ROWS($AF$2:AF294),$AF$2:$AF$1001,0),0), INDEX($AM$1004:$BM$1004,1,MATCH(COLUMNS($AM$1006:BJ1006),$AM$1006:$BM$1006,0)))),"Fix")))</f>
        <v xml:space="preserve"> </v>
      </c>
      <c r="Z294" s="4" t="str">
        <f ca="1">IF(OR(INDEX($AG$2:$AG$1001,MATCH(ROWS($AF$2:AF294),$AF$2:$AF$1001,0),1)&gt;=100000,INDEX($AM$1005:$BM$1005,1,MATCH(COLUMNS($AM$1006:BK1006),$AM$1006:$BM$1006,0))&gt;=100000), " ",IF(INDEX($AM$2:$BM$1001,MATCH(ROWS($AF$2:AF294),$AF$2:$AF$1001,0),MATCH(COLUMNS($AM$1006:BK1006),$AM$1006:$BM$1006,0)), HYPERLINK("#",""), HYPERLINK(CONCATENATE("#metadata!", ADDRESS(INDEX($AH$2:$AH$1001,MATCH(ROWS($AF$2:AF294),$AF$2:$AF$1001,0),0), INDEX($AM$1004:$BM$1004,1,MATCH(COLUMNS($AM$1006:BK1006),$AM$1006:$BM$1006,0)))),"Fix")))</f>
        <v xml:space="preserve"> </v>
      </c>
      <c r="AA294" s="4" t="str">
        <f ca="1">IF(OR(INDEX($AG$2:$AG$1001,MATCH(ROWS($AF$2:AF294),$AF$2:$AF$1001,0),1)&gt;=100000,INDEX($AM$1005:$BM$1005,1,MATCH(COLUMNS($AM$1006:BL1006),$AM$1006:$BM$1006,0))&gt;=100000), " ",IF(INDEX($AM$2:$BM$1001,MATCH(ROWS($AF$2:AF294),$AF$2:$AF$1001,0),MATCH(COLUMNS($AM$1006:BL1006),$AM$1006:$BM$1006,0)), HYPERLINK("#",""), HYPERLINK(CONCATENATE("#metadata!", ADDRESS(INDEX($AH$2:$AH$1001,MATCH(ROWS($AF$2:AF294),$AF$2:$AF$1001,0),0), INDEX($AM$1004:$BM$1004,1,MATCH(COLUMNS($AM$1006:BL1006),$AM$1006:$BM$1006,0)))),"Fix")))</f>
        <v xml:space="preserve"> </v>
      </c>
      <c r="AB294" s="4" t="str">
        <f ca="1">IF(OR(INDEX($AG$2:$AG$1001,MATCH(ROWS($AF$2:AF294),$AF$2:$AF$1001,0),1)&gt;=100000,INDEX($AM$1005:$BM$1005,1,MATCH(COLUMNS($AM$1006:BM1006),$AM$1006:$BM$1006,0))&gt;=100000), " ",IF(INDEX($AM$2:$BM$1001,MATCH(ROWS($AF$2:AF294),$AF$2:$AF$1001,0),MATCH(COLUMNS($AM$1006:BM1006),$AM$1006:$BM$1006,0)), HYPERLINK("#",""), HYPERLINK(CONCATENATE("#metadata!", ADDRESS(INDEX($AH$2:$AH$1001,MATCH(ROWS($AF$2:AF294),$AF$2:$AF$1001,0),0), INDEX($AM$1004:$BM$1004,1,MATCH(COLUMNS($AM$1006:BM1006),$AM$1006:$BM$1006,0)))),"Fix")))</f>
        <v xml:space="preserve"> </v>
      </c>
      <c r="AF294">
        <v>293</v>
      </c>
      <c r="AG294">
        <v>100294</v>
      </c>
      <c r="AH294">
        <v>294</v>
      </c>
      <c r="AI294" t="b">
        <f t="shared" si="4"/>
        <v>1</v>
      </c>
      <c r="AJ294" t="b">
        <f>COUNTBLANK(metadata!B294:AB294)=COLUMNS(metadata!B294:AB294)</f>
        <v>1</v>
      </c>
      <c r="AK294" t="str">
        <v/>
      </c>
      <c r="AM294" t="b">
        <f ca="1">AND(IF(metadata!B294="",FALSE,TRUE),COUNTIF(metadata!B:B, metadata!B294) = 1,NOT(ISERROR(SUMPRODUCT(SEARCH(MID(metadata!B294,ROW(INDIRECT("1:"&amp;LEN(metadata!B294))), 1),"0123456789abcdefghijklmnopqrstuvwxyzABCDEFGHIJKLMNOPQRSTUVWXYZ.")))))</f>
        <v>0</v>
      </c>
      <c r="AN294" t="b">
        <f ca="1">OR(AND(IF(metadata!C294="",FALSE,TRUE),OR(EXACT(metadata!C294,"missing: not collected"),EXACT(metadata!C294,"missing: not provided"),EXACT(metadata!C294,"missing: restricted access"))),AND(IF(metadata!C294="",FALSE,TRUE),AND(AND(IFERROR(INT(LEFT(metadata!C294,4))&gt;1900,FALSE),IFERROR(INT(LEFT(metadata!C294,4))&lt;=YEAR(NOW()),FALSE)), OR(MID(metadata!C294,5,1)="", AND(AND(MID(metadata!C294,5,1)="-",IFERROR(INT(MID(metadata!C294,6,1))&gt;=0,FALSE),IFERROR(INT(MID(metadata!C294,6,1))&lt;=1,FALSE),NOT(MID(metadata!C294,7,1)=""),IFERROR(INT(MID(metadata!C294,6,2))&gt;=1,FALSE),IFERROR(INT(MID(metadata!C294,6,2))&lt;=12,FALSE)), OR(MID(metadata!C294,8,1)="", AND(AND(MID(metadata!C294,8,1)="-",IFERROR(INT(MID(metadata!C294,9,1))&gt;=0,FALSE),IFERROR(INT(MID(metadata!C294,9,1))&lt;=3,FALSE),NOT(MID(metadata!C294,10,1)=""),IFERROR(INT(MID(metadata!C294,9,2))&gt;=1,FALSE),IFERROR(INT(MID(metadata!C294,9,2))&lt;=31,FALSE)), OR(MID(metadata!C294,11,1)="", AND(AND(MID(metadata!C294,11,1)=" ",IFERROR(INT(MID(metadata!C294,12,1))&gt;=0,FALSE),IFERROR(INT(MID(metadata!C294,12,1))&lt;=2,FALSE),NOT(MID(metadata!C294,13,1)=""),IFERROR(INT(MID(metadata!C294,12,2))&gt;=0,FALSE),IFERROR(INT(MID(metadata!C294,12,2))&lt;=23,FALSE)), OR(MID(metadata!C294,14,1)="", AND(AND(MID(metadata!C294,14,1)=":",IFERROR(INT(MID(metadata!C294,15,1))&gt;=0,FALSE),IFERROR(INT(MID(metadata!C294,15,1))&lt;=5,FALSE),NOT(MID(metadata!C294,16,1)=""),IFERROR(INT(MID(metadata!C294,15,2))&gt;=0,FALSE),IFERROR(INT(MID(metadata!C294,15,2))&lt;=59,FALSE)), OR(MID(metadata!C294,17,1)="", AND(AND(MID(metadata!C294,17,1)=":",IFERROR(INT(MID(metadata!C294,18,1))&gt;=0,FALSE),IFERROR(INT(MID(metadata!C294,18,1))&lt;=5,FALSE),NOT(MID(metadata!C294,19,1)=""),IFERROR(INT(MID(metadata!C294,18,2))&gt;=0,FALSE),IFERROR(INT(MID(metadata!C294,18,2))&lt;=59,FALSE)), LEN(metadata!C294)&lt;=19)))))))))))))</f>
        <v>0</v>
      </c>
      <c r="AO294" t="b">
        <f>AND(IF(metadata!D294="",FALSE,TRUE),EXACT(metadata!D294,"Not applicable"))</f>
        <v>0</v>
      </c>
      <c r="AP294" t="b">
        <f>IF(metadata!E294="",FALSE,TRUE)</f>
        <v>0</v>
      </c>
      <c r="AQ294" t="b">
        <f>OR(AND(IF(metadata!F294="",FALSE,TRUE),OR(EXACT(metadata!F294,"missing: not collected"),EXACT(metadata!F294,"missing: not provided"))),AND(IF(metadata!F294="",FALSE,TRUE),OR(EXACT(metadata!F294,"TRUE"),EXACT(metadata!F294,"FALSE"))))</f>
        <v>0</v>
      </c>
      <c r="AR294" t="b">
        <f>OR(AND(IF(metadata!G294="",FALSE,TRUE),OR(EXACT(metadata!G294,"missing: not collected"),EXACT(metadata!G294,"missing: not provided"),EXACT(metadata!G294,"missing: restricted access"))),AND(IF(metadata!G294="",FALSE,ISNUMBER(VALUE(metadata!G294))),metadata!G294&gt;=-413))</f>
        <v>0</v>
      </c>
      <c r="AS294" t="b">
        <f>AND(IF(metadata!H294="",FALSE,TRUE),EXACT(metadata!H294,"meters"))</f>
        <v>0</v>
      </c>
      <c r="AT294" t="b">
        <f>AND(IF(metadata!I294="",FALSE,TRUE),OR(EXACT(metadata!I294,"Host-associated"),EXACT(metadata!I294,"Free-living")))</f>
        <v>0</v>
      </c>
      <c r="AU294" t="b">
        <f>AND(IF(metadata!J294="",FALSE,TRUE),OR(EXACT(metadata!J294,"Animal"),EXACT(metadata!J294,"Fungus"),EXACT(metadata!J294,"Plant"),EXACT(metadata!J294,"Saline"),EXACT(metadata!J294,"Non-saline")))</f>
        <v>0</v>
      </c>
      <c r="AV294" t="b">
        <f>AND(IF(metadata!K294="",FALSE,TRUE),OR(EXACT(metadata!K294,"Plant secretion"),EXACT(metadata!K294,"Plant rhizosphere"),EXACT(metadata!K294,"Plant surface"),EXACT(metadata!K294,"Plant corpus"),EXACT(metadata!K294,"Fungus surface"),EXACT(metadata!K294,"Fungus corpus"),EXACT(metadata!K294,"Animal surface"),EXACT(metadata!K294,"Animal proximal gut"),EXACT(metadata!K294,"Animal corpus"),EXACT(metadata!K294,"Animal distal gut"),EXACT(metadata!K294,"Animal secretion"),EXACT(metadata!K294,"Sub-surface (non-saline)"),EXACT(metadata!K294,"Surface (non-saline)"),EXACT(metadata!K294,"Water (non-saline)"),EXACT(metadata!K294,"Soil (non-saline)"),EXACT(metadata!K294,"Aerosol (non-saline)"),EXACT(metadata!K294,"Sediment (non-saline)"),EXACT(metadata!K294,"Surface (saline)"),EXACT(metadata!K294,"Water (saline)"),EXACT(metadata!K294,"Hypersaline (saline)"),EXACT(metadata!K294,"Aerosol (saline)"),EXACT(metadata!K294,"Sediment (saline)")))</f>
        <v>0</v>
      </c>
      <c r="AW294" t="b">
        <f>IF(metadata!L294="",FALSE,TRUE)</f>
        <v>0</v>
      </c>
      <c r="AX294" t="b">
        <f>IF(metadata!M294="",FALSE,TRUE)</f>
        <v>0</v>
      </c>
      <c r="AY294" t="b">
        <f>IF(metadata!N294="",FALSE,TRUE)</f>
        <v>0</v>
      </c>
      <c r="AZ294" t="b">
        <f>OR(AND(IF(metadata!O294="",FALSE,TRUE),OR(EXACT(metadata!O294,"missing: not collected"),EXACT(metadata!O294,"missing: not provided"),EXACT(metadata!O294,"missing: restricted access"))),AND(IF(metadata!O294="",FALSE,TRUE),OR(EXACT(metadata!O294,"air"),EXACT(metadata!O294,"built environment"),EXACT(metadata!O294,"host-associated"),EXACT(metadata!O294,"human-associated"),EXACT(metadata!O294,"human-skin"),EXACT(metadata!O294,"human-oral"),EXACT(metadata!O294,"human-gut"),EXACT(metadata!O294,"human-vaginal"),EXACT(metadata!O294,"microbial mat/biofilm"),EXACT(metadata!O294,"misc environment"),EXACT(metadata!O294,"plant-associated"),EXACT(metadata!O294,"sediment"),EXACT(metadata!O294,"soil"),EXACT(metadata!O294,"wastewater/sludge"),EXACT(metadata!O294,"water"))))</f>
        <v>0</v>
      </c>
      <c r="BA294" t="b">
        <f>IF(metadata!P294="",FALSE,TRUE)</f>
        <v>0</v>
      </c>
      <c r="BB294" t="b">
        <f>IF(metadata!Q294="",FALSE,TRUE)</f>
        <v>0</v>
      </c>
      <c r="BC294" t="b">
        <f>OR(AND(IF(metadata!R294="",FALSE,TRUE),OR(EXACT(metadata!R294,"missing: not collected"),EXACT(metadata!R294,"missing: not provided"),EXACT(metadata!R294,"missing: restricted access"))),AND(IF(metadata!R294="",FALSE,ISNUMBER(VALUE(metadata!R294))),metadata!R294&gt;=-90,metadata!R294&lt;=90))</f>
        <v>0</v>
      </c>
      <c r="BD294" t="b">
        <f>AND(IF(metadata!S294="",FALSE,TRUE),EXACT(metadata!S294,"Decimal degrees"))</f>
        <v>0</v>
      </c>
      <c r="BE294" t="b">
        <f>OR(AND(IF(metadata!T294="",FALSE,TRUE),OR(EXACT(metadata!T294,"missing: not collected"),EXACT(metadata!T294,"missing: not provided"),EXACT(metadata!T294,"missing: restricted access"))),AND(IF(metadata!T294="",FALSE,ISNUMBER(VALUE(metadata!T294))),metadata!T294&gt;=-180,metadata!T294&lt;=180))</f>
        <v>0</v>
      </c>
      <c r="BF294" t="b">
        <f>AND(IF(metadata!U294="",FALSE,TRUE),EXACT(metadata!U294,"Decimal degrees"))</f>
        <v>0</v>
      </c>
      <c r="BG294" t="b">
        <f>IF(metadata!V294="",FALSE,TRUE)</f>
        <v>0</v>
      </c>
      <c r="BH294" t="b">
        <f>OR(AND(IF(metadata!W294="",FALSE,TRUE),OR(EXACT(metadata!W294,"missing: not collected"),EXACT(metadata!W294,"missing: not provided"),EXACT(metadata!W294,"missing: restricted access"))),AND(IF(metadata!W294="",FALSE,TRUE),OR(EXACT(metadata!W294,"TRUE"),EXACT(metadata!W294,"FALSE"))))</f>
        <v>0</v>
      </c>
      <c r="BI294" t="b">
        <f>AND(IF(metadata!X294="",FALSE,TRUE),EXACT(metadata!X294,"other"))</f>
        <v>0</v>
      </c>
      <c r="BJ294" t="b">
        <f>IF(metadata!Y294="",FALSE,TRUE)</f>
        <v>0</v>
      </c>
      <c r="BK294" t="b">
        <f>OR(AND(IF(metadata!Z294="",FALSE,TRUE),OR(EXACT(metadata!Z294,"missing: not collected"),EXACT(metadata!Z294,"missing: not provided"))),AND(IF(metadata!Z294="",FALSE,IF(ISERROR(INT(metadata!Z294)),FALSE,INT(metadata!Z294)=metadata!Z294)),metadata!Z294&gt;0))</f>
        <v>0</v>
      </c>
      <c r="BL294" t="b">
        <f>AND(IF(metadata!AA294="",FALSE,TRUE),EXACT(metadata!AA294,"Not applicable"))</f>
        <v>0</v>
      </c>
      <c r="BM294" t="b">
        <f>IF(metadata!AB294="",FALSE,TRUE)</f>
        <v>0</v>
      </c>
    </row>
    <row r="295" spans="1:65" x14ac:dyDescent="0.2">
      <c r="A295" s="5" t="str">
        <f ca="1">IF(B295=" "," ",HYPERLINK(CONCATENATE("#metadata!",ADDRESS(INDEX($AH$2:$AH$1001,MATCH(ROWS($AF$2:AF295),$AF$2:$AF$1001,0),0),1)),INDEX($AK$2:$AK$1001,MATCH(ROWS($AF$2:AF295),$AF$2:$AF$1001,0),0)))</f>
        <v xml:space="preserve"> </v>
      </c>
      <c r="B295" s="4" t="str">
        <f ca="1">IF(OR(INDEX($AG$2:$AG$1001,MATCH(ROWS($AF$2:AF295),$AF$2:$AF$1001,0),1)&gt;=100000,INDEX($AM$1005:$BM$1005,1,MATCH(COLUMNS($AM$1006:AM1006),$AM$1006:$BM$1006,0))&gt;=100000), " ",IF(INDEX($AM$2:$BM$1001,MATCH(ROWS($AF$2:AF295),$AF$2:$AF$1001,0),MATCH(COLUMNS($AM$1006:AM1006),$AM$1006:$BM$1006,0)), HYPERLINK("#",""), HYPERLINK(CONCATENATE("#metadata!", ADDRESS(INDEX($AH$2:$AH$1001,MATCH(ROWS($AF$2:AF295),$AF$2:$AF$1001,0),0), INDEX($AM$1004:$BM$1004,1,MATCH(COLUMNS($AM$1006:AM1006),$AM$1006:$BM$1006,0)))),"Fix")))</f>
        <v xml:space="preserve"> </v>
      </c>
      <c r="C295" s="4" t="str">
        <f ca="1">IF(OR(INDEX($AG$2:$AG$1001,MATCH(ROWS($AF$2:AF295),$AF$2:$AF$1001,0),1)&gt;=100000,INDEX($AM$1005:$BM$1005,1,MATCH(COLUMNS($AM$1006:AN1006),$AM$1006:$BM$1006,0))&gt;=100000), " ",IF(INDEX($AM$2:$BM$1001,MATCH(ROWS($AF$2:AF295),$AF$2:$AF$1001,0),MATCH(COLUMNS($AM$1006:AN1006),$AM$1006:$BM$1006,0)), HYPERLINK("#",""), HYPERLINK(CONCATENATE("#metadata!", ADDRESS(INDEX($AH$2:$AH$1001,MATCH(ROWS($AF$2:AF295),$AF$2:$AF$1001,0),0), INDEX($AM$1004:$BM$1004,1,MATCH(COLUMNS($AM$1006:AN1006),$AM$1006:$BM$1006,0)))),"Fix")))</f>
        <v xml:space="preserve"> </v>
      </c>
      <c r="D295" s="4" t="str">
        <f ca="1">IF(OR(INDEX($AG$2:$AG$1001,MATCH(ROWS($AF$2:AF295),$AF$2:$AF$1001,0),1)&gt;=100000,INDEX($AM$1005:$BM$1005,1,MATCH(COLUMNS($AM$1006:AO1006),$AM$1006:$BM$1006,0))&gt;=100000), " ",IF(INDEX($AM$2:$BM$1001,MATCH(ROWS($AF$2:AF295),$AF$2:$AF$1001,0),MATCH(COLUMNS($AM$1006:AO1006),$AM$1006:$BM$1006,0)), HYPERLINK("#",""), HYPERLINK(CONCATENATE("#metadata!", ADDRESS(INDEX($AH$2:$AH$1001,MATCH(ROWS($AF$2:AF295),$AF$2:$AF$1001,0),0), INDEX($AM$1004:$BM$1004,1,MATCH(COLUMNS($AM$1006:AO1006),$AM$1006:$BM$1006,0)))),"Fix")))</f>
        <v xml:space="preserve"> </v>
      </c>
      <c r="E295" s="4" t="str">
        <f ca="1">IF(OR(INDEX($AG$2:$AG$1001,MATCH(ROWS($AF$2:AF295),$AF$2:$AF$1001,0),1)&gt;=100000,INDEX($AM$1005:$BM$1005,1,MATCH(COLUMNS($AM$1006:AP1006),$AM$1006:$BM$1006,0))&gt;=100000), " ",IF(INDEX($AM$2:$BM$1001,MATCH(ROWS($AF$2:AF295),$AF$2:$AF$1001,0),MATCH(COLUMNS($AM$1006:AP1006),$AM$1006:$BM$1006,0)), HYPERLINK("#",""), HYPERLINK(CONCATENATE("#metadata!", ADDRESS(INDEX($AH$2:$AH$1001,MATCH(ROWS($AF$2:AF295),$AF$2:$AF$1001,0),0), INDEX($AM$1004:$BM$1004,1,MATCH(COLUMNS($AM$1006:AP1006),$AM$1006:$BM$1006,0)))),"Fix")))</f>
        <v xml:space="preserve"> </v>
      </c>
      <c r="F295" s="4" t="str">
        <f ca="1">IF(OR(INDEX($AG$2:$AG$1001,MATCH(ROWS($AF$2:AF295),$AF$2:$AF$1001,0),1)&gt;=100000,INDEX($AM$1005:$BM$1005,1,MATCH(COLUMNS($AM$1006:AQ1006),$AM$1006:$BM$1006,0))&gt;=100000), " ",IF(INDEX($AM$2:$BM$1001,MATCH(ROWS($AF$2:AF295),$AF$2:$AF$1001,0),MATCH(COLUMNS($AM$1006:AQ1006),$AM$1006:$BM$1006,0)), HYPERLINK("#",""), HYPERLINK(CONCATENATE("#metadata!", ADDRESS(INDEX($AH$2:$AH$1001,MATCH(ROWS($AF$2:AF295),$AF$2:$AF$1001,0),0), INDEX($AM$1004:$BM$1004,1,MATCH(COLUMNS($AM$1006:AQ1006),$AM$1006:$BM$1006,0)))),"Fix")))</f>
        <v xml:space="preserve"> </v>
      </c>
      <c r="G295" s="4" t="str">
        <f ca="1">IF(OR(INDEX($AG$2:$AG$1001,MATCH(ROWS($AF$2:AF295),$AF$2:$AF$1001,0),1)&gt;=100000,INDEX($AM$1005:$BM$1005,1,MATCH(COLUMNS($AM$1006:AR1006),$AM$1006:$BM$1006,0))&gt;=100000), " ",IF(INDEX($AM$2:$BM$1001,MATCH(ROWS($AF$2:AF295),$AF$2:$AF$1001,0),MATCH(COLUMNS($AM$1006:AR1006),$AM$1006:$BM$1006,0)), HYPERLINK("#",""), HYPERLINK(CONCATENATE("#metadata!", ADDRESS(INDEX($AH$2:$AH$1001,MATCH(ROWS($AF$2:AF295),$AF$2:$AF$1001,0),0), INDEX($AM$1004:$BM$1004,1,MATCH(COLUMNS($AM$1006:AR1006),$AM$1006:$BM$1006,0)))),"Fix")))</f>
        <v xml:space="preserve"> </v>
      </c>
      <c r="H295" s="4" t="str">
        <f ca="1">IF(OR(INDEX($AG$2:$AG$1001,MATCH(ROWS($AF$2:AF295),$AF$2:$AF$1001,0),1)&gt;=100000,INDEX($AM$1005:$BM$1005,1,MATCH(COLUMNS($AM$1006:AS1006),$AM$1006:$BM$1006,0))&gt;=100000), " ",IF(INDEX($AM$2:$BM$1001,MATCH(ROWS($AF$2:AF295),$AF$2:$AF$1001,0),MATCH(COLUMNS($AM$1006:AS1006),$AM$1006:$BM$1006,0)), HYPERLINK("#",""), HYPERLINK(CONCATENATE("#metadata!", ADDRESS(INDEX($AH$2:$AH$1001,MATCH(ROWS($AF$2:AF295),$AF$2:$AF$1001,0),0), INDEX($AM$1004:$BM$1004,1,MATCH(COLUMNS($AM$1006:AS1006),$AM$1006:$BM$1006,0)))),"Fix")))</f>
        <v xml:space="preserve"> </v>
      </c>
      <c r="I295" s="4" t="str">
        <f ca="1">IF(OR(INDEX($AG$2:$AG$1001,MATCH(ROWS($AF$2:AF295),$AF$2:$AF$1001,0),1)&gt;=100000,INDEX($AM$1005:$BM$1005,1,MATCH(COLUMNS($AM$1006:AT1006),$AM$1006:$BM$1006,0))&gt;=100000), " ",IF(INDEX($AM$2:$BM$1001,MATCH(ROWS($AF$2:AF295),$AF$2:$AF$1001,0),MATCH(COLUMNS($AM$1006:AT1006),$AM$1006:$BM$1006,0)), HYPERLINK("#",""), HYPERLINK(CONCATENATE("#metadata!", ADDRESS(INDEX($AH$2:$AH$1001,MATCH(ROWS($AF$2:AF295),$AF$2:$AF$1001,0),0), INDEX($AM$1004:$BM$1004,1,MATCH(COLUMNS($AM$1006:AT1006),$AM$1006:$BM$1006,0)))),"Fix")))</f>
        <v xml:space="preserve"> </v>
      </c>
      <c r="J295" s="4" t="str">
        <f ca="1">IF(OR(INDEX($AG$2:$AG$1001,MATCH(ROWS($AF$2:AF295),$AF$2:$AF$1001,0),1)&gt;=100000,INDEX($AM$1005:$BM$1005,1,MATCH(COLUMNS($AM$1006:AU1006),$AM$1006:$BM$1006,0))&gt;=100000), " ",IF(INDEX($AM$2:$BM$1001,MATCH(ROWS($AF$2:AF295),$AF$2:$AF$1001,0),MATCH(COLUMNS($AM$1006:AU1006),$AM$1006:$BM$1006,0)), HYPERLINK("#",""), HYPERLINK(CONCATENATE("#metadata!", ADDRESS(INDEX($AH$2:$AH$1001,MATCH(ROWS($AF$2:AF295),$AF$2:$AF$1001,0),0), INDEX($AM$1004:$BM$1004,1,MATCH(COLUMNS($AM$1006:AU1006),$AM$1006:$BM$1006,0)))),"Fix")))</f>
        <v xml:space="preserve"> </v>
      </c>
      <c r="K295" s="4" t="str">
        <f ca="1">IF(OR(INDEX($AG$2:$AG$1001,MATCH(ROWS($AF$2:AF295),$AF$2:$AF$1001,0),1)&gt;=100000,INDEX($AM$1005:$BM$1005,1,MATCH(COLUMNS($AM$1006:AV1006),$AM$1006:$BM$1006,0))&gt;=100000), " ",IF(INDEX($AM$2:$BM$1001,MATCH(ROWS($AF$2:AF295),$AF$2:$AF$1001,0),MATCH(COLUMNS($AM$1006:AV1006),$AM$1006:$BM$1006,0)), HYPERLINK("#",""), HYPERLINK(CONCATENATE("#metadata!", ADDRESS(INDEX($AH$2:$AH$1001,MATCH(ROWS($AF$2:AF295),$AF$2:$AF$1001,0),0), INDEX($AM$1004:$BM$1004,1,MATCH(COLUMNS($AM$1006:AV1006),$AM$1006:$BM$1006,0)))),"Fix")))</f>
        <v xml:space="preserve"> </v>
      </c>
      <c r="L295" s="4" t="str">
        <f ca="1">IF(OR(INDEX($AG$2:$AG$1001,MATCH(ROWS($AF$2:AF295),$AF$2:$AF$1001,0),1)&gt;=100000,INDEX($AM$1005:$BM$1005,1,MATCH(COLUMNS($AM$1006:AW1006),$AM$1006:$BM$1006,0))&gt;=100000), " ",IF(INDEX($AM$2:$BM$1001,MATCH(ROWS($AF$2:AF295),$AF$2:$AF$1001,0),MATCH(COLUMNS($AM$1006:AW1006),$AM$1006:$BM$1006,0)), HYPERLINK("#",""), HYPERLINK(CONCATENATE("#metadata!", ADDRESS(INDEX($AH$2:$AH$1001,MATCH(ROWS($AF$2:AF295),$AF$2:$AF$1001,0),0), INDEX($AM$1004:$BM$1004,1,MATCH(COLUMNS($AM$1006:AW1006),$AM$1006:$BM$1006,0)))),"Fix")))</f>
        <v xml:space="preserve"> </v>
      </c>
      <c r="M295" s="4" t="str">
        <f ca="1">IF(OR(INDEX($AG$2:$AG$1001,MATCH(ROWS($AF$2:AF295),$AF$2:$AF$1001,0),1)&gt;=100000,INDEX($AM$1005:$BM$1005,1,MATCH(COLUMNS($AM$1006:AX1006),$AM$1006:$BM$1006,0))&gt;=100000), " ",IF(INDEX($AM$2:$BM$1001,MATCH(ROWS($AF$2:AF295),$AF$2:$AF$1001,0),MATCH(COLUMNS($AM$1006:AX1006),$AM$1006:$BM$1006,0)), HYPERLINK("#",""), HYPERLINK(CONCATENATE("#metadata!", ADDRESS(INDEX($AH$2:$AH$1001,MATCH(ROWS($AF$2:AF295),$AF$2:$AF$1001,0),0), INDEX($AM$1004:$BM$1004,1,MATCH(COLUMNS($AM$1006:AX1006),$AM$1006:$BM$1006,0)))),"Fix")))</f>
        <v xml:space="preserve"> </v>
      </c>
      <c r="N295" s="4" t="str">
        <f ca="1">IF(OR(INDEX($AG$2:$AG$1001,MATCH(ROWS($AF$2:AF295),$AF$2:$AF$1001,0),1)&gt;=100000,INDEX($AM$1005:$BM$1005,1,MATCH(COLUMNS($AM$1006:AY1006),$AM$1006:$BM$1006,0))&gt;=100000), " ",IF(INDEX($AM$2:$BM$1001,MATCH(ROWS($AF$2:AF295),$AF$2:$AF$1001,0),MATCH(COLUMNS($AM$1006:AY1006),$AM$1006:$BM$1006,0)), HYPERLINK("#",""), HYPERLINK(CONCATENATE("#metadata!", ADDRESS(INDEX($AH$2:$AH$1001,MATCH(ROWS($AF$2:AF295),$AF$2:$AF$1001,0),0), INDEX($AM$1004:$BM$1004,1,MATCH(COLUMNS($AM$1006:AY1006),$AM$1006:$BM$1006,0)))),"Fix")))</f>
        <v xml:space="preserve"> </v>
      </c>
      <c r="O295" s="4" t="str">
        <f ca="1">IF(OR(INDEX($AG$2:$AG$1001,MATCH(ROWS($AF$2:AF295),$AF$2:$AF$1001,0),1)&gt;=100000,INDEX($AM$1005:$BM$1005,1,MATCH(COLUMNS($AM$1006:AZ1006),$AM$1006:$BM$1006,0))&gt;=100000), " ",IF(INDEX($AM$2:$BM$1001,MATCH(ROWS($AF$2:AF295),$AF$2:$AF$1001,0),MATCH(COLUMNS($AM$1006:AZ1006),$AM$1006:$BM$1006,0)), HYPERLINK("#",""), HYPERLINK(CONCATENATE("#metadata!", ADDRESS(INDEX($AH$2:$AH$1001,MATCH(ROWS($AF$2:AF295),$AF$2:$AF$1001,0),0), INDEX($AM$1004:$BM$1004,1,MATCH(COLUMNS($AM$1006:AZ1006),$AM$1006:$BM$1006,0)))),"Fix")))</f>
        <v xml:space="preserve"> </v>
      </c>
      <c r="P295" s="4" t="str">
        <f ca="1">IF(OR(INDEX($AG$2:$AG$1001,MATCH(ROWS($AF$2:AF295),$AF$2:$AF$1001,0),1)&gt;=100000,INDEX($AM$1005:$BM$1005,1,MATCH(COLUMNS($AM$1006:BA1006),$AM$1006:$BM$1006,0))&gt;=100000), " ",IF(INDEX($AM$2:$BM$1001,MATCH(ROWS($AF$2:AF295),$AF$2:$AF$1001,0),MATCH(COLUMNS($AM$1006:BA1006),$AM$1006:$BM$1006,0)), HYPERLINK("#",""), HYPERLINK(CONCATENATE("#metadata!", ADDRESS(INDEX($AH$2:$AH$1001,MATCH(ROWS($AF$2:AF295),$AF$2:$AF$1001,0),0), INDEX($AM$1004:$BM$1004,1,MATCH(COLUMNS($AM$1006:BA1006),$AM$1006:$BM$1006,0)))),"Fix")))</f>
        <v xml:space="preserve"> </v>
      </c>
      <c r="Q295" s="4" t="str">
        <f ca="1">IF(OR(INDEX($AG$2:$AG$1001,MATCH(ROWS($AF$2:AF295),$AF$2:$AF$1001,0),1)&gt;=100000,INDEX($AM$1005:$BM$1005,1,MATCH(COLUMNS($AM$1006:BB1006),$AM$1006:$BM$1006,0))&gt;=100000), " ",IF(INDEX($AM$2:$BM$1001,MATCH(ROWS($AF$2:AF295),$AF$2:$AF$1001,0),MATCH(COLUMNS($AM$1006:BB1006),$AM$1006:$BM$1006,0)), HYPERLINK("#",""), HYPERLINK(CONCATENATE("#metadata!", ADDRESS(INDEX($AH$2:$AH$1001,MATCH(ROWS($AF$2:AF295),$AF$2:$AF$1001,0),0), INDEX($AM$1004:$BM$1004,1,MATCH(COLUMNS($AM$1006:BB1006),$AM$1006:$BM$1006,0)))),"Fix")))</f>
        <v xml:space="preserve"> </v>
      </c>
      <c r="R295" s="4" t="str">
        <f ca="1">IF(OR(INDEX($AG$2:$AG$1001,MATCH(ROWS($AF$2:AF295),$AF$2:$AF$1001,0),1)&gt;=100000,INDEX($AM$1005:$BM$1005,1,MATCH(COLUMNS($AM$1006:BC1006),$AM$1006:$BM$1006,0))&gt;=100000), " ",IF(INDEX($AM$2:$BM$1001,MATCH(ROWS($AF$2:AF295),$AF$2:$AF$1001,0),MATCH(COLUMNS($AM$1006:BC1006),$AM$1006:$BM$1006,0)), HYPERLINK("#",""), HYPERLINK(CONCATENATE("#metadata!", ADDRESS(INDEX($AH$2:$AH$1001,MATCH(ROWS($AF$2:AF295),$AF$2:$AF$1001,0),0), INDEX($AM$1004:$BM$1004,1,MATCH(COLUMNS($AM$1006:BC1006),$AM$1006:$BM$1006,0)))),"Fix")))</f>
        <v xml:space="preserve"> </v>
      </c>
      <c r="S295" s="4" t="str">
        <f ca="1">IF(OR(INDEX($AG$2:$AG$1001,MATCH(ROWS($AF$2:AF295),$AF$2:$AF$1001,0),1)&gt;=100000,INDEX($AM$1005:$BM$1005,1,MATCH(COLUMNS($AM$1006:BD1006),$AM$1006:$BM$1006,0))&gt;=100000), " ",IF(INDEX($AM$2:$BM$1001,MATCH(ROWS($AF$2:AF295),$AF$2:$AF$1001,0),MATCH(COLUMNS($AM$1006:BD1006),$AM$1006:$BM$1006,0)), HYPERLINK("#",""), HYPERLINK(CONCATENATE("#metadata!", ADDRESS(INDEX($AH$2:$AH$1001,MATCH(ROWS($AF$2:AF295),$AF$2:$AF$1001,0),0), INDEX($AM$1004:$BM$1004,1,MATCH(COLUMNS($AM$1006:BD1006),$AM$1006:$BM$1006,0)))),"Fix")))</f>
        <v xml:space="preserve"> </v>
      </c>
      <c r="T295" s="4" t="str">
        <f ca="1">IF(OR(INDEX($AG$2:$AG$1001,MATCH(ROWS($AF$2:AF295),$AF$2:$AF$1001,0),1)&gt;=100000,INDEX($AM$1005:$BM$1005,1,MATCH(COLUMNS($AM$1006:BE1006),$AM$1006:$BM$1006,0))&gt;=100000), " ",IF(INDEX($AM$2:$BM$1001,MATCH(ROWS($AF$2:AF295),$AF$2:$AF$1001,0),MATCH(COLUMNS($AM$1006:BE1006),$AM$1006:$BM$1006,0)), HYPERLINK("#",""), HYPERLINK(CONCATENATE("#metadata!", ADDRESS(INDEX($AH$2:$AH$1001,MATCH(ROWS($AF$2:AF295),$AF$2:$AF$1001,0),0), INDEX($AM$1004:$BM$1004,1,MATCH(COLUMNS($AM$1006:BE1006),$AM$1006:$BM$1006,0)))),"Fix")))</f>
        <v xml:space="preserve"> </v>
      </c>
      <c r="U295" s="4" t="str">
        <f ca="1">IF(OR(INDEX($AG$2:$AG$1001,MATCH(ROWS($AF$2:AF295),$AF$2:$AF$1001,0),1)&gt;=100000,INDEX($AM$1005:$BM$1005,1,MATCH(COLUMNS($AM$1006:BF1006),$AM$1006:$BM$1006,0))&gt;=100000), " ",IF(INDEX($AM$2:$BM$1001,MATCH(ROWS($AF$2:AF295),$AF$2:$AF$1001,0),MATCH(COLUMNS($AM$1006:BF1006),$AM$1006:$BM$1006,0)), HYPERLINK("#",""), HYPERLINK(CONCATENATE("#metadata!", ADDRESS(INDEX($AH$2:$AH$1001,MATCH(ROWS($AF$2:AF295),$AF$2:$AF$1001,0),0), INDEX($AM$1004:$BM$1004,1,MATCH(COLUMNS($AM$1006:BF1006),$AM$1006:$BM$1006,0)))),"Fix")))</f>
        <v xml:space="preserve"> </v>
      </c>
      <c r="V295" s="4" t="str">
        <f ca="1">IF(OR(INDEX($AG$2:$AG$1001,MATCH(ROWS($AF$2:AF295),$AF$2:$AF$1001,0),1)&gt;=100000,INDEX($AM$1005:$BM$1005,1,MATCH(COLUMNS($AM$1006:BG1006),$AM$1006:$BM$1006,0))&gt;=100000), " ",IF(INDEX($AM$2:$BM$1001,MATCH(ROWS($AF$2:AF295),$AF$2:$AF$1001,0),MATCH(COLUMNS($AM$1006:BG1006),$AM$1006:$BM$1006,0)), HYPERLINK("#",""), HYPERLINK(CONCATENATE("#metadata!", ADDRESS(INDEX($AH$2:$AH$1001,MATCH(ROWS($AF$2:AF295),$AF$2:$AF$1001,0),0), INDEX($AM$1004:$BM$1004,1,MATCH(COLUMNS($AM$1006:BG1006),$AM$1006:$BM$1006,0)))),"Fix")))</f>
        <v xml:space="preserve"> </v>
      </c>
      <c r="W295" s="4" t="str">
        <f ca="1">IF(OR(INDEX($AG$2:$AG$1001,MATCH(ROWS($AF$2:AF295),$AF$2:$AF$1001,0),1)&gt;=100000,INDEX($AM$1005:$BM$1005,1,MATCH(COLUMNS($AM$1006:BH1006),$AM$1006:$BM$1006,0))&gt;=100000), " ",IF(INDEX($AM$2:$BM$1001,MATCH(ROWS($AF$2:AF295),$AF$2:$AF$1001,0),MATCH(COLUMNS($AM$1006:BH1006),$AM$1006:$BM$1006,0)), HYPERLINK("#",""), HYPERLINK(CONCATENATE("#metadata!", ADDRESS(INDEX($AH$2:$AH$1001,MATCH(ROWS($AF$2:AF295),$AF$2:$AF$1001,0),0), INDEX($AM$1004:$BM$1004,1,MATCH(COLUMNS($AM$1006:BH1006),$AM$1006:$BM$1006,0)))),"Fix")))</f>
        <v xml:space="preserve"> </v>
      </c>
      <c r="X295" s="4" t="str">
        <f ca="1">IF(OR(INDEX($AG$2:$AG$1001,MATCH(ROWS($AF$2:AF295),$AF$2:$AF$1001,0),1)&gt;=100000,INDEX($AM$1005:$BM$1005,1,MATCH(COLUMNS($AM$1006:BI1006),$AM$1006:$BM$1006,0))&gt;=100000), " ",IF(INDEX($AM$2:$BM$1001,MATCH(ROWS($AF$2:AF295),$AF$2:$AF$1001,0),MATCH(COLUMNS($AM$1006:BI1006),$AM$1006:$BM$1006,0)), HYPERLINK("#",""), HYPERLINK(CONCATENATE("#metadata!", ADDRESS(INDEX($AH$2:$AH$1001,MATCH(ROWS($AF$2:AF295),$AF$2:$AF$1001,0),0), INDEX($AM$1004:$BM$1004,1,MATCH(COLUMNS($AM$1006:BI1006),$AM$1006:$BM$1006,0)))),"Fix")))</f>
        <v xml:space="preserve"> </v>
      </c>
      <c r="Y295" s="4" t="str">
        <f ca="1">IF(OR(INDEX($AG$2:$AG$1001,MATCH(ROWS($AF$2:AF295),$AF$2:$AF$1001,0),1)&gt;=100000,INDEX($AM$1005:$BM$1005,1,MATCH(COLUMNS($AM$1006:BJ1006),$AM$1006:$BM$1006,0))&gt;=100000), " ",IF(INDEX($AM$2:$BM$1001,MATCH(ROWS($AF$2:AF295),$AF$2:$AF$1001,0),MATCH(COLUMNS($AM$1006:BJ1006),$AM$1006:$BM$1006,0)), HYPERLINK("#",""), HYPERLINK(CONCATENATE("#metadata!", ADDRESS(INDEX($AH$2:$AH$1001,MATCH(ROWS($AF$2:AF295),$AF$2:$AF$1001,0),0), INDEX($AM$1004:$BM$1004,1,MATCH(COLUMNS($AM$1006:BJ1006),$AM$1006:$BM$1006,0)))),"Fix")))</f>
        <v xml:space="preserve"> </v>
      </c>
      <c r="Z295" s="4" t="str">
        <f ca="1">IF(OR(INDEX($AG$2:$AG$1001,MATCH(ROWS($AF$2:AF295),$AF$2:$AF$1001,0),1)&gt;=100000,INDEX($AM$1005:$BM$1005,1,MATCH(COLUMNS($AM$1006:BK1006),$AM$1006:$BM$1006,0))&gt;=100000), " ",IF(INDEX($AM$2:$BM$1001,MATCH(ROWS($AF$2:AF295),$AF$2:$AF$1001,0),MATCH(COLUMNS($AM$1006:BK1006),$AM$1006:$BM$1006,0)), HYPERLINK("#",""), HYPERLINK(CONCATENATE("#metadata!", ADDRESS(INDEX($AH$2:$AH$1001,MATCH(ROWS($AF$2:AF295),$AF$2:$AF$1001,0),0), INDEX($AM$1004:$BM$1004,1,MATCH(COLUMNS($AM$1006:BK1006),$AM$1006:$BM$1006,0)))),"Fix")))</f>
        <v xml:space="preserve"> </v>
      </c>
      <c r="AA295" s="4" t="str">
        <f ca="1">IF(OR(INDEX($AG$2:$AG$1001,MATCH(ROWS($AF$2:AF295),$AF$2:$AF$1001,0),1)&gt;=100000,INDEX($AM$1005:$BM$1005,1,MATCH(COLUMNS($AM$1006:BL1006),$AM$1006:$BM$1006,0))&gt;=100000), " ",IF(INDEX($AM$2:$BM$1001,MATCH(ROWS($AF$2:AF295),$AF$2:$AF$1001,0),MATCH(COLUMNS($AM$1006:BL1006),$AM$1006:$BM$1006,0)), HYPERLINK("#",""), HYPERLINK(CONCATENATE("#metadata!", ADDRESS(INDEX($AH$2:$AH$1001,MATCH(ROWS($AF$2:AF295),$AF$2:$AF$1001,0),0), INDEX($AM$1004:$BM$1004,1,MATCH(COLUMNS($AM$1006:BL1006),$AM$1006:$BM$1006,0)))),"Fix")))</f>
        <v xml:space="preserve"> </v>
      </c>
      <c r="AB295" s="4" t="str">
        <f ca="1">IF(OR(INDEX($AG$2:$AG$1001,MATCH(ROWS($AF$2:AF295),$AF$2:$AF$1001,0),1)&gt;=100000,INDEX($AM$1005:$BM$1005,1,MATCH(COLUMNS($AM$1006:BM1006),$AM$1006:$BM$1006,0))&gt;=100000), " ",IF(INDEX($AM$2:$BM$1001,MATCH(ROWS($AF$2:AF295),$AF$2:$AF$1001,0),MATCH(COLUMNS($AM$1006:BM1006),$AM$1006:$BM$1006,0)), HYPERLINK("#",""), HYPERLINK(CONCATENATE("#metadata!", ADDRESS(INDEX($AH$2:$AH$1001,MATCH(ROWS($AF$2:AF295),$AF$2:$AF$1001,0),0), INDEX($AM$1004:$BM$1004,1,MATCH(COLUMNS($AM$1006:BM1006),$AM$1006:$BM$1006,0)))),"Fix")))</f>
        <v xml:space="preserve"> </v>
      </c>
      <c r="AF295">
        <v>294</v>
      </c>
      <c r="AG295">
        <v>100295</v>
      </c>
      <c r="AH295">
        <v>295</v>
      </c>
      <c r="AI295" t="b">
        <f t="shared" si="4"/>
        <v>1</v>
      </c>
      <c r="AJ295" t="b">
        <f>COUNTBLANK(metadata!B295:AB295)=COLUMNS(metadata!B295:AB295)</f>
        <v>1</v>
      </c>
      <c r="AK295" t="str">
        <v/>
      </c>
      <c r="AM295" t="b">
        <f ca="1">AND(IF(metadata!B295="",FALSE,TRUE),COUNTIF(metadata!B:B, metadata!B295) = 1,NOT(ISERROR(SUMPRODUCT(SEARCH(MID(metadata!B295,ROW(INDIRECT("1:"&amp;LEN(metadata!B295))), 1),"0123456789abcdefghijklmnopqrstuvwxyzABCDEFGHIJKLMNOPQRSTUVWXYZ.")))))</f>
        <v>0</v>
      </c>
      <c r="AN295" t="b">
        <f ca="1">OR(AND(IF(metadata!C295="",FALSE,TRUE),OR(EXACT(metadata!C295,"missing: not collected"),EXACT(metadata!C295,"missing: not provided"),EXACT(metadata!C295,"missing: restricted access"))),AND(IF(metadata!C295="",FALSE,TRUE),AND(AND(IFERROR(INT(LEFT(metadata!C295,4))&gt;1900,FALSE),IFERROR(INT(LEFT(metadata!C295,4))&lt;=YEAR(NOW()),FALSE)), OR(MID(metadata!C295,5,1)="", AND(AND(MID(metadata!C295,5,1)="-",IFERROR(INT(MID(metadata!C295,6,1))&gt;=0,FALSE),IFERROR(INT(MID(metadata!C295,6,1))&lt;=1,FALSE),NOT(MID(metadata!C295,7,1)=""),IFERROR(INT(MID(metadata!C295,6,2))&gt;=1,FALSE),IFERROR(INT(MID(metadata!C295,6,2))&lt;=12,FALSE)), OR(MID(metadata!C295,8,1)="", AND(AND(MID(metadata!C295,8,1)="-",IFERROR(INT(MID(metadata!C295,9,1))&gt;=0,FALSE),IFERROR(INT(MID(metadata!C295,9,1))&lt;=3,FALSE),NOT(MID(metadata!C295,10,1)=""),IFERROR(INT(MID(metadata!C295,9,2))&gt;=1,FALSE),IFERROR(INT(MID(metadata!C295,9,2))&lt;=31,FALSE)), OR(MID(metadata!C295,11,1)="", AND(AND(MID(metadata!C295,11,1)=" ",IFERROR(INT(MID(metadata!C295,12,1))&gt;=0,FALSE),IFERROR(INT(MID(metadata!C295,12,1))&lt;=2,FALSE),NOT(MID(metadata!C295,13,1)=""),IFERROR(INT(MID(metadata!C295,12,2))&gt;=0,FALSE),IFERROR(INT(MID(metadata!C295,12,2))&lt;=23,FALSE)), OR(MID(metadata!C295,14,1)="", AND(AND(MID(metadata!C295,14,1)=":",IFERROR(INT(MID(metadata!C295,15,1))&gt;=0,FALSE),IFERROR(INT(MID(metadata!C295,15,1))&lt;=5,FALSE),NOT(MID(metadata!C295,16,1)=""),IFERROR(INT(MID(metadata!C295,15,2))&gt;=0,FALSE),IFERROR(INT(MID(metadata!C295,15,2))&lt;=59,FALSE)), OR(MID(metadata!C295,17,1)="", AND(AND(MID(metadata!C295,17,1)=":",IFERROR(INT(MID(metadata!C295,18,1))&gt;=0,FALSE),IFERROR(INT(MID(metadata!C295,18,1))&lt;=5,FALSE),NOT(MID(metadata!C295,19,1)=""),IFERROR(INT(MID(metadata!C295,18,2))&gt;=0,FALSE),IFERROR(INT(MID(metadata!C295,18,2))&lt;=59,FALSE)), LEN(metadata!C295)&lt;=19)))))))))))))</f>
        <v>0</v>
      </c>
      <c r="AO295" t="b">
        <f>AND(IF(metadata!D295="",FALSE,TRUE),EXACT(metadata!D295,"Not applicable"))</f>
        <v>0</v>
      </c>
      <c r="AP295" t="b">
        <f>IF(metadata!E295="",FALSE,TRUE)</f>
        <v>0</v>
      </c>
      <c r="AQ295" t="b">
        <f>OR(AND(IF(metadata!F295="",FALSE,TRUE),OR(EXACT(metadata!F295,"missing: not collected"),EXACT(metadata!F295,"missing: not provided"))),AND(IF(metadata!F295="",FALSE,TRUE),OR(EXACT(metadata!F295,"TRUE"),EXACT(metadata!F295,"FALSE"))))</f>
        <v>0</v>
      </c>
      <c r="AR295" t="b">
        <f>OR(AND(IF(metadata!G295="",FALSE,TRUE),OR(EXACT(metadata!G295,"missing: not collected"),EXACT(metadata!G295,"missing: not provided"),EXACT(metadata!G295,"missing: restricted access"))),AND(IF(metadata!G295="",FALSE,ISNUMBER(VALUE(metadata!G295))),metadata!G295&gt;=-413))</f>
        <v>0</v>
      </c>
      <c r="AS295" t="b">
        <f>AND(IF(metadata!H295="",FALSE,TRUE),EXACT(metadata!H295,"meters"))</f>
        <v>0</v>
      </c>
      <c r="AT295" t="b">
        <f>AND(IF(metadata!I295="",FALSE,TRUE),OR(EXACT(metadata!I295,"Host-associated"),EXACT(metadata!I295,"Free-living")))</f>
        <v>0</v>
      </c>
      <c r="AU295" t="b">
        <f>AND(IF(metadata!J295="",FALSE,TRUE),OR(EXACT(metadata!J295,"Animal"),EXACT(metadata!J295,"Fungus"),EXACT(metadata!J295,"Plant"),EXACT(metadata!J295,"Saline"),EXACT(metadata!J295,"Non-saline")))</f>
        <v>0</v>
      </c>
      <c r="AV295" t="b">
        <f>AND(IF(metadata!K295="",FALSE,TRUE),OR(EXACT(metadata!K295,"Plant secretion"),EXACT(metadata!K295,"Plant rhizosphere"),EXACT(metadata!K295,"Plant surface"),EXACT(metadata!K295,"Plant corpus"),EXACT(metadata!K295,"Fungus surface"),EXACT(metadata!K295,"Fungus corpus"),EXACT(metadata!K295,"Animal surface"),EXACT(metadata!K295,"Animal proximal gut"),EXACT(metadata!K295,"Animal corpus"),EXACT(metadata!K295,"Animal distal gut"),EXACT(metadata!K295,"Animal secretion"),EXACT(metadata!K295,"Sub-surface (non-saline)"),EXACT(metadata!K295,"Surface (non-saline)"),EXACT(metadata!K295,"Water (non-saline)"),EXACT(metadata!K295,"Soil (non-saline)"),EXACT(metadata!K295,"Aerosol (non-saline)"),EXACT(metadata!K295,"Sediment (non-saline)"),EXACT(metadata!K295,"Surface (saline)"),EXACT(metadata!K295,"Water (saline)"),EXACT(metadata!K295,"Hypersaline (saline)"),EXACT(metadata!K295,"Aerosol (saline)"),EXACT(metadata!K295,"Sediment (saline)")))</f>
        <v>0</v>
      </c>
      <c r="AW295" t="b">
        <f>IF(metadata!L295="",FALSE,TRUE)</f>
        <v>0</v>
      </c>
      <c r="AX295" t="b">
        <f>IF(metadata!M295="",FALSE,TRUE)</f>
        <v>0</v>
      </c>
      <c r="AY295" t="b">
        <f>IF(metadata!N295="",FALSE,TRUE)</f>
        <v>0</v>
      </c>
      <c r="AZ295" t="b">
        <f>OR(AND(IF(metadata!O295="",FALSE,TRUE),OR(EXACT(metadata!O295,"missing: not collected"),EXACT(metadata!O295,"missing: not provided"),EXACT(metadata!O295,"missing: restricted access"))),AND(IF(metadata!O295="",FALSE,TRUE),OR(EXACT(metadata!O295,"air"),EXACT(metadata!O295,"built environment"),EXACT(metadata!O295,"host-associated"),EXACT(metadata!O295,"human-associated"),EXACT(metadata!O295,"human-skin"),EXACT(metadata!O295,"human-oral"),EXACT(metadata!O295,"human-gut"),EXACT(metadata!O295,"human-vaginal"),EXACT(metadata!O295,"microbial mat/biofilm"),EXACT(metadata!O295,"misc environment"),EXACT(metadata!O295,"plant-associated"),EXACT(metadata!O295,"sediment"),EXACT(metadata!O295,"soil"),EXACT(metadata!O295,"wastewater/sludge"),EXACT(metadata!O295,"water"))))</f>
        <v>0</v>
      </c>
      <c r="BA295" t="b">
        <f>IF(metadata!P295="",FALSE,TRUE)</f>
        <v>0</v>
      </c>
      <c r="BB295" t="b">
        <f>IF(metadata!Q295="",FALSE,TRUE)</f>
        <v>0</v>
      </c>
      <c r="BC295" t="b">
        <f>OR(AND(IF(metadata!R295="",FALSE,TRUE),OR(EXACT(metadata!R295,"missing: not collected"),EXACT(metadata!R295,"missing: not provided"),EXACT(metadata!R295,"missing: restricted access"))),AND(IF(metadata!R295="",FALSE,ISNUMBER(VALUE(metadata!R295))),metadata!R295&gt;=-90,metadata!R295&lt;=90))</f>
        <v>0</v>
      </c>
      <c r="BD295" t="b">
        <f>AND(IF(metadata!S295="",FALSE,TRUE),EXACT(metadata!S295,"Decimal degrees"))</f>
        <v>0</v>
      </c>
      <c r="BE295" t="b">
        <f>OR(AND(IF(metadata!T295="",FALSE,TRUE),OR(EXACT(metadata!T295,"missing: not collected"),EXACT(metadata!T295,"missing: not provided"),EXACT(metadata!T295,"missing: restricted access"))),AND(IF(metadata!T295="",FALSE,ISNUMBER(VALUE(metadata!T295))),metadata!T295&gt;=-180,metadata!T295&lt;=180))</f>
        <v>0</v>
      </c>
      <c r="BF295" t="b">
        <f>AND(IF(metadata!U295="",FALSE,TRUE),EXACT(metadata!U295,"Decimal degrees"))</f>
        <v>0</v>
      </c>
      <c r="BG295" t="b">
        <f>IF(metadata!V295="",FALSE,TRUE)</f>
        <v>0</v>
      </c>
      <c r="BH295" t="b">
        <f>OR(AND(IF(metadata!W295="",FALSE,TRUE),OR(EXACT(metadata!W295,"missing: not collected"),EXACT(metadata!W295,"missing: not provided"),EXACT(metadata!W295,"missing: restricted access"))),AND(IF(metadata!W295="",FALSE,TRUE),OR(EXACT(metadata!W295,"TRUE"),EXACT(metadata!W295,"FALSE"))))</f>
        <v>0</v>
      </c>
      <c r="BI295" t="b">
        <f>AND(IF(metadata!X295="",FALSE,TRUE),EXACT(metadata!X295,"other"))</f>
        <v>0</v>
      </c>
      <c r="BJ295" t="b">
        <f>IF(metadata!Y295="",FALSE,TRUE)</f>
        <v>0</v>
      </c>
      <c r="BK295" t="b">
        <f>OR(AND(IF(metadata!Z295="",FALSE,TRUE),OR(EXACT(metadata!Z295,"missing: not collected"),EXACT(metadata!Z295,"missing: not provided"))),AND(IF(metadata!Z295="",FALSE,IF(ISERROR(INT(metadata!Z295)),FALSE,INT(metadata!Z295)=metadata!Z295)),metadata!Z295&gt;0))</f>
        <v>0</v>
      </c>
      <c r="BL295" t="b">
        <f>AND(IF(metadata!AA295="",FALSE,TRUE),EXACT(metadata!AA295,"Not applicable"))</f>
        <v>0</v>
      </c>
      <c r="BM295" t="b">
        <f>IF(metadata!AB295="",FALSE,TRUE)</f>
        <v>0</v>
      </c>
    </row>
    <row r="296" spans="1:65" x14ac:dyDescent="0.2">
      <c r="A296" s="5" t="str">
        <f ca="1">IF(B296=" "," ",HYPERLINK(CONCATENATE("#metadata!",ADDRESS(INDEX($AH$2:$AH$1001,MATCH(ROWS($AF$2:AF296),$AF$2:$AF$1001,0),0),1)),INDEX($AK$2:$AK$1001,MATCH(ROWS($AF$2:AF296),$AF$2:$AF$1001,0),0)))</f>
        <v xml:space="preserve"> </v>
      </c>
      <c r="B296" s="4" t="str">
        <f ca="1">IF(OR(INDEX($AG$2:$AG$1001,MATCH(ROWS($AF$2:AF296),$AF$2:$AF$1001,0),1)&gt;=100000,INDEX($AM$1005:$BM$1005,1,MATCH(COLUMNS($AM$1006:AM1006),$AM$1006:$BM$1006,0))&gt;=100000), " ",IF(INDEX($AM$2:$BM$1001,MATCH(ROWS($AF$2:AF296),$AF$2:$AF$1001,0),MATCH(COLUMNS($AM$1006:AM1006),$AM$1006:$BM$1006,0)), HYPERLINK("#",""), HYPERLINK(CONCATENATE("#metadata!", ADDRESS(INDEX($AH$2:$AH$1001,MATCH(ROWS($AF$2:AF296),$AF$2:$AF$1001,0),0), INDEX($AM$1004:$BM$1004,1,MATCH(COLUMNS($AM$1006:AM1006),$AM$1006:$BM$1006,0)))),"Fix")))</f>
        <v xml:space="preserve"> </v>
      </c>
      <c r="C296" s="4" t="str">
        <f ca="1">IF(OR(INDEX($AG$2:$AG$1001,MATCH(ROWS($AF$2:AF296),$AF$2:$AF$1001,0),1)&gt;=100000,INDEX($AM$1005:$BM$1005,1,MATCH(COLUMNS($AM$1006:AN1006),$AM$1006:$BM$1006,0))&gt;=100000), " ",IF(INDEX($AM$2:$BM$1001,MATCH(ROWS($AF$2:AF296),$AF$2:$AF$1001,0),MATCH(COLUMNS($AM$1006:AN1006),$AM$1006:$BM$1006,0)), HYPERLINK("#",""), HYPERLINK(CONCATENATE("#metadata!", ADDRESS(INDEX($AH$2:$AH$1001,MATCH(ROWS($AF$2:AF296),$AF$2:$AF$1001,0),0), INDEX($AM$1004:$BM$1004,1,MATCH(COLUMNS($AM$1006:AN1006),$AM$1006:$BM$1006,0)))),"Fix")))</f>
        <v xml:space="preserve"> </v>
      </c>
      <c r="D296" s="4" t="str">
        <f ca="1">IF(OR(INDEX($AG$2:$AG$1001,MATCH(ROWS($AF$2:AF296),$AF$2:$AF$1001,0),1)&gt;=100000,INDEX($AM$1005:$BM$1005,1,MATCH(COLUMNS($AM$1006:AO1006),$AM$1006:$BM$1006,0))&gt;=100000), " ",IF(INDEX($AM$2:$BM$1001,MATCH(ROWS($AF$2:AF296),$AF$2:$AF$1001,0),MATCH(COLUMNS($AM$1006:AO1006),$AM$1006:$BM$1006,0)), HYPERLINK("#",""), HYPERLINK(CONCATENATE("#metadata!", ADDRESS(INDEX($AH$2:$AH$1001,MATCH(ROWS($AF$2:AF296),$AF$2:$AF$1001,0),0), INDEX($AM$1004:$BM$1004,1,MATCH(COLUMNS($AM$1006:AO1006),$AM$1006:$BM$1006,0)))),"Fix")))</f>
        <v xml:space="preserve"> </v>
      </c>
      <c r="E296" s="4" t="str">
        <f ca="1">IF(OR(INDEX($AG$2:$AG$1001,MATCH(ROWS($AF$2:AF296),$AF$2:$AF$1001,0),1)&gt;=100000,INDEX($AM$1005:$BM$1005,1,MATCH(COLUMNS($AM$1006:AP1006),$AM$1006:$BM$1006,0))&gt;=100000), " ",IF(INDEX($AM$2:$BM$1001,MATCH(ROWS($AF$2:AF296),$AF$2:$AF$1001,0),MATCH(COLUMNS($AM$1006:AP1006),$AM$1006:$BM$1006,0)), HYPERLINK("#",""), HYPERLINK(CONCATENATE("#metadata!", ADDRESS(INDEX($AH$2:$AH$1001,MATCH(ROWS($AF$2:AF296),$AF$2:$AF$1001,0),0), INDEX($AM$1004:$BM$1004,1,MATCH(COLUMNS($AM$1006:AP1006),$AM$1006:$BM$1006,0)))),"Fix")))</f>
        <v xml:space="preserve"> </v>
      </c>
      <c r="F296" s="4" t="str">
        <f ca="1">IF(OR(INDEX($AG$2:$AG$1001,MATCH(ROWS($AF$2:AF296),$AF$2:$AF$1001,0),1)&gt;=100000,INDEX($AM$1005:$BM$1005,1,MATCH(COLUMNS($AM$1006:AQ1006),$AM$1006:$BM$1006,0))&gt;=100000), " ",IF(INDEX($AM$2:$BM$1001,MATCH(ROWS($AF$2:AF296),$AF$2:$AF$1001,0),MATCH(COLUMNS($AM$1006:AQ1006),$AM$1006:$BM$1006,0)), HYPERLINK("#",""), HYPERLINK(CONCATENATE("#metadata!", ADDRESS(INDEX($AH$2:$AH$1001,MATCH(ROWS($AF$2:AF296),$AF$2:$AF$1001,0),0), INDEX($AM$1004:$BM$1004,1,MATCH(COLUMNS($AM$1006:AQ1006),$AM$1006:$BM$1006,0)))),"Fix")))</f>
        <v xml:space="preserve"> </v>
      </c>
      <c r="G296" s="4" t="str">
        <f ca="1">IF(OR(INDEX($AG$2:$AG$1001,MATCH(ROWS($AF$2:AF296),$AF$2:$AF$1001,0),1)&gt;=100000,INDEX($AM$1005:$BM$1005,1,MATCH(COLUMNS($AM$1006:AR1006),$AM$1006:$BM$1006,0))&gt;=100000), " ",IF(INDEX($AM$2:$BM$1001,MATCH(ROWS($AF$2:AF296),$AF$2:$AF$1001,0),MATCH(COLUMNS($AM$1006:AR1006),$AM$1006:$BM$1006,0)), HYPERLINK("#",""), HYPERLINK(CONCATENATE("#metadata!", ADDRESS(INDEX($AH$2:$AH$1001,MATCH(ROWS($AF$2:AF296),$AF$2:$AF$1001,0),0), INDEX($AM$1004:$BM$1004,1,MATCH(COLUMNS($AM$1006:AR1006),$AM$1006:$BM$1006,0)))),"Fix")))</f>
        <v xml:space="preserve"> </v>
      </c>
      <c r="H296" s="4" t="str">
        <f ca="1">IF(OR(INDEX($AG$2:$AG$1001,MATCH(ROWS($AF$2:AF296),$AF$2:$AF$1001,0),1)&gt;=100000,INDEX($AM$1005:$BM$1005,1,MATCH(COLUMNS($AM$1006:AS1006),$AM$1006:$BM$1006,0))&gt;=100000), " ",IF(INDEX($AM$2:$BM$1001,MATCH(ROWS($AF$2:AF296),$AF$2:$AF$1001,0),MATCH(COLUMNS($AM$1006:AS1006),$AM$1006:$BM$1006,0)), HYPERLINK("#",""), HYPERLINK(CONCATENATE("#metadata!", ADDRESS(INDEX($AH$2:$AH$1001,MATCH(ROWS($AF$2:AF296),$AF$2:$AF$1001,0),0), INDEX($AM$1004:$BM$1004,1,MATCH(COLUMNS($AM$1006:AS1006),$AM$1006:$BM$1006,0)))),"Fix")))</f>
        <v xml:space="preserve"> </v>
      </c>
      <c r="I296" s="4" t="str">
        <f ca="1">IF(OR(INDEX($AG$2:$AG$1001,MATCH(ROWS($AF$2:AF296),$AF$2:$AF$1001,0),1)&gt;=100000,INDEX($AM$1005:$BM$1005,1,MATCH(COLUMNS($AM$1006:AT1006),$AM$1006:$BM$1006,0))&gt;=100000), " ",IF(INDEX($AM$2:$BM$1001,MATCH(ROWS($AF$2:AF296),$AF$2:$AF$1001,0),MATCH(COLUMNS($AM$1006:AT1006),$AM$1006:$BM$1006,0)), HYPERLINK("#",""), HYPERLINK(CONCATENATE("#metadata!", ADDRESS(INDEX($AH$2:$AH$1001,MATCH(ROWS($AF$2:AF296),$AF$2:$AF$1001,0),0), INDEX($AM$1004:$BM$1004,1,MATCH(COLUMNS($AM$1006:AT1006),$AM$1006:$BM$1006,0)))),"Fix")))</f>
        <v xml:space="preserve"> </v>
      </c>
      <c r="J296" s="4" t="str">
        <f ca="1">IF(OR(INDEX($AG$2:$AG$1001,MATCH(ROWS($AF$2:AF296),$AF$2:$AF$1001,0),1)&gt;=100000,INDEX($AM$1005:$BM$1005,1,MATCH(COLUMNS($AM$1006:AU1006),$AM$1006:$BM$1006,0))&gt;=100000), " ",IF(INDEX($AM$2:$BM$1001,MATCH(ROWS($AF$2:AF296),$AF$2:$AF$1001,0),MATCH(COLUMNS($AM$1006:AU1006),$AM$1006:$BM$1006,0)), HYPERLINK("#",""), HYPERLINK(CONCATENATE("#metadata!", ADDRESS(INDEX($AH$2:$AH$1001,MATCH(ROWS($AF$2:AF296),$AF$2:$AF$1001,0),0), INDEX($AM$1004:$BM$1004,1,MATCH(COLUMNS($AM$1006:AU1006),$AM$1006:$BM$1006,0)))),"Fix")))</f>
        <v xml:space="preserve"> </v>
      </c>
      <c r="K296" s="4" t="str">
        <f ca="1">IF(OR(INDEX($AG$2:$AG$1001,MATCH(ROWS($AF$2:AF296),$AF$2:$AF$1001,0),1)&gt;=100000,INDEX($AM$1005:$BM$1005,1,MATCH(COLUMNS($AM$1006:AV1006),$AM$1006:$BM$1006,0))&gt;=100000), " ",IF(INDEX($AM$2:$BM$1001,MATCH(ROWS($AF$2:AF296),$AF$2:$AF$1001,0),MATCH(COLUMNS($AM$1006:AV1006),$AM$1006:$BM$1006,0)), HYPERLINK("#",""), HYPERLINK(CONCATENATE("#metadata!", ADDRESS(INDEX($AH$2:$AH$1001,MATCH(ROWS($AF$2:AF296),$AF$2:$AF$1001,0),0), INDEX($AM$1004:$BM$1004,1,MATCH(COLUMNS($AM$1006:AV1006),$AM$1006:$BM$1006,0)))),"Fix")))</f>
        <v xml:space="preserve"> </v>
      </c>
      <c r="L296" s="4" t="str">
        <f ca="1">IF(OR(INDEX($AG$2:$AG$1001,MATCH(ROWS($AF$2:AF296),$AF$2:$AF$1001,0),1)&gt;=100000,INDEX($AM$1005:$BM$1005,1,MATCH(COLUMNS($AM$1006:AW1006),$AM$1006:$BM$1006,0))&gt;=100000), " ",IF(INDEX($AM$2:$BM$1001,MATCH(ROWS($AF$2:AF296),$AF$2:$AF$1001,0),MATCH(COLUMNS($AM$1006:AW1006),$AM$1006:$BM$1006,0)), HYPERLINK("#",""), HYPERLINK(CONCATENATE("#metadata!", ADDRESS(INDEX($AH$2:$AH$1001,MATCH(ROWS($AF$2:AF296),$AF$2:$AF$1001,0),0), INDEX($AM$1004:$BM$1004,1,MATCH(COLUMNS($AM$1006:AW1006),$AM$1006:$BM$1006,0)))),"Fix")))</f>
        <v xml:space="preserve"> </v>
      </c>
      <c r="M296" s="4" t="str">
        <f ca="1">IF(OR(INDEX($AG$2:$AG$1001,MATCH(ROWS($AF$2:AF296),$AF$2:$AF$1001,0),1)&gt;=100000,INDEX($AM$1005:$BM$1005,1,MATCH(COLUMNS($AM$1006:AX1006),$AM$1006:$BM$1006,0))&gt;=100000), " ",IF(INDEX($AM$2:$BM$1001,MATCH(ROWS($AF$2:AF296),$AF$2:$AF$1001,0),MATCH(COLUMNS($AM$1006:AX1006),$AM$1006:$BM$1006,0)), HYPERLINK("#",""), HYPERLINK(CONCATENATE("#metadata!", ADDRESS(INDEX($AH$2:$AH$1001,MATCH(ROWS($AF$2:AF296),$AF$2:$AF$1001,0),0), INDEX($AM$1004:$BM$1004,1,MATCH(COLUMNS($AM$1006:AX1006),$AM$1006:$BM$1006,0)))),"Fix")))</f>
        <v xml:space="preserve"> </v>
      </c>
      <c r="N296" s="4" t="str">
        <f ca="1">IF(OR(INDEX($AG$2:$AG$1001,MATCH(ROWS($AF$2:AF296),$AF$2:$AF$1001,0),1)&gt;=100000,INDEX($AM$1005:$BM$1005,1,MATCH(COLUMNS($AM$1006:AY1006),$AM$1006:$BM$1006,0))&gt;=100000), " ",IF(INDEX($AM$2:$BM$1001,MATCH(ROWS($AF$2:AF296),$AF$2:$AF$1001,0),MATCH(COLUMNS($AM$1006:AY1006),$AM$1006:$BM$1006,0)), HYPERLINK("#",""), HYPERLINK(CONCATENATE("#metadata!", ADDRESS(INDEX($AH$2:$AH$1001,MATCH(ROWS($AF$2:AF296),$AF$2:$AF$1001,0),0), INDEX($AM$1004:$BM$1004,1,MATCH(COLUMNS($AM$1006:AY1006),$AM$1006:$BM$1006,0)))),"Fix")))</f>
        <v xml:space="preserve"> </v>
      </c>
      <c r="O296" s="4" t="str">
        <f ca="1">IF(OR(INDEX($AG$2:$AG$1001,MATCH(ROWS($AF$2:AF296),$AF$2:$AF$1001,0),1)&gt;=100000,INDEX($AM$1005:$BM$1005,1,MATCH(COLUMNS($AM$1006:AZ1006),$AM$1006:$BM$1006,0))&gt;=100000), " ",IF(INDEX($AM$2:$BM$1001,MATCH(ROWS($AF$2:AF296),$AF$2:$AF$1001,0),MATCH(COLUMNS($AM$1006:AZ1006),$AM$1006:$BM$1006,0)), HYPERLINK("#",""), HYPERLINK(CONCATENATE("#metadata!", ADDRESS(INDEX($AH$2:$AH$1001,MATCH(ROWS($AF$2:AF296),$AF$2:$AF$1001,0),0), INDEX($AM$1004:$BM$1004,1,MATCH(COLUMNS($AM$1006:AZ1006),$AM$1006:$BM$1006,0)))),"Fix")))</f>
        <v xml:space="preserve"> </v>
      </c>
      <c r="P296" s="4" t="str">
        <f ca="1">IF(OR(INDEX($AG$2:$AG$1001,MATCH(ROWS($AF$2:AF296),$AF$2:$AF$1001,0),1)&gt;=100000,INDEX($AM$1005:$BM$1005,1,MATCH(COLUMNS($AM$1006:BA1006),$AM$1006:$BM$1006,0))&gt;=100000), " ",IF(INDEX($AM$2:$BM$1001,MATCH(ROWS($AF$2:AF296),$AF$2:$AF$1001,0),MATCH(COLUMNS($AM$1006:BA1006),$AM$1006:$BM$1006,0)), HYPERLINK("#",""), HYPERLINK(CONCATENATE("#metadata!", ADDRESS(INDEX($AH$2:$AH$1001,MATCH(ROWS($AF$2:AF296),$AF$2:$AF$1001,0),0), INDEX($AM$1004:$BM$1004,1,MATCH(COLUMNS($AM$1006:BA1006),$AM$1006:$BM$1006,0)))),"Fix")))</f>
        <v xml:space="preserve"> </v>
      </c>
      <c r="Q296" s="4" t="str">
        <f ca="1">IF(OR(INDEX($AG$2:$AG$1001,MATCH(ROWS($AF$2:AF296),$AF$2:$AF$1001,0),1)&gt;=100000,INDEX($AM$1005:$BM$1005,1,MATCH(COLUMNS($AM$1006:BB1006),$AM$1006:$BM$1006,0))&gt;=100000), " ",IF(INDEX($AM$2:$BM$1001,MATCH(ROWS($AF$2:AF296),$AF$2:$AF$1001,0),MATCH(COLUMNS($AM$1006:BB1006),$AM$1006:$BM$1006,0)), HYPERLINK("#",""), HYPERLINK(CONCATENATE("#metadata!", ADDRESS(INDEX($AH$2:$AH$1001,MATCH(ROWS($AF$2:AF296),$AF$2:$AF$1001,0),0), INDEX($AM$1004:$BM$1004,1,MATCH(COLUMNS($AM$1006:BB1006),$AM$1006:$BM$1006,0)))),"Fix")))</f>
        <v xml:space="preserve"> </v>
      </c>
      <c r="R296" s="4" t="str">
        <f ca="1">IF(OR(INDEX($AG$2:$AG$1001,MATCH(ROWS($AF$2:AF296),$AF$2:$AF$1001,0),1)&gt;=100000,INDEX($AM$1005:$BM$1005,1,MATCH(COLUMNS($AM$1006:BC1006),$AM$1006:$BM$1006,0))&gt;=100000), " ",IF(INDEX($AM$2:$BM$1001,MATCH(ROWS($AF$2:AF296),$AF$2:$AF$1001,0),MATCH(COLUMNS($AM$1006:BC1006),$AM$1006:$BM$1006,0)), HYPERLINK("#",""), HYPERLINK(CONCATENATE("#metadata!", ADDRESS(INDEX($AH$2:$AH$1001,MATCH(ROWS($AF$2:AF296),$AF$2:$AF$1001,0),0), INDEX($AM$1004:$BM$1004,1,MATCH(COLUMNS($AM$1006:BC1006),$AM$1006:$BM$1006,0)))),"Fix")))</f>
        <v xml:space="preserve"> </v>
      </c>
      <c r="S296" s="4" t="str">
        <f ca="1">IF(OR(INDEX($AG$2:$AG$1001,MATCH(ROWS($AF$2:AF296),$AF$2:$AF$1001,0),1)&gt;=100000,INDEX($AM$1005:$BM$1005,1,MATCH(COLUMNS($AM$1006:BD1006),$AM$1006:$BM$1006,0))&gt;=100000), " ",IF(INDEX($AM$2:$BM$1001,MATCH(ROWS($AF$2:AF296),$AF$2:$AF$1001,0),MATCH(COLUMNS($AM$1006:BD1006),$AM$1006:$BM$1006,0)), HYPERLINK("#",""), HYPERLINK(CONCATENATE("#metadata!", ADDRESS(INDEX($AH$2:$AH$1001,MATCH(ROWS($AF$2:AF296),$AF$2:$AF$1001,0),0), INDEX($AM$1004:$BM$1004,1,MATCH(COLUMNS($AM$1006:BD1006),$AM$1006:$BM$1006,0)))),"Fix")))</f>
        <v xml:space="preserve"> </v>
      </c>
      <c r="T296" s="4" t="str">
        <f ca="1">IF(OR(INDEX($AG$2:$AG$1001,MATCH(ROWS($AF$2:AF296),$AF$2:$AF$1001,0),1)&gt;=100000,INDEX($AM$1005:$BM$1005,1,MATCH(COLUMNS($AM$1006:BE1006),$AM$1006:$BM$1006,0))&gt;=100000), " ",IF(INDEX($AM$2:$BM$1001,MATCH(ROWS($AF$2:AF296),$AF$2:$AF$1001,0),MATCH(COLUMNS($AM$1006:BE1006),$AM$1006:$BM$1006,0)), HYPERLINK("#",""), HYPERLINK(CONCATENATE("#metadata!", ADDRESS(INDEX($AH$2:$AH$1001,MATCH(ROWS($AF$2:AF296),$AF$2:$AF$1001,0),0), INDEX($AM$1004:$BM$1004,1,MATCH(COLUMNS($AM$1006:BE1006),$AM$1006:$BM$1006,0)))),"Fix")))</f>
        <v xml:space="preserve"> </v>
      </c>
      <c r="U296" s="4" t="str">
        <f ca="1">IF(OR(INDEX($AG$2:$AG$1001,MATCH(ROWS($AF$2:AF296),$AF$2:$AF$1001,0),1)&gt;=100000,INDEX($AM$1005:$BM$1005,1,MATCH(COLUMNS($AM$1006:BF1006),$AM$1006:$BM$1006,0))&gt;=100000), " ",IF(INDEX($AM$2:$BM$1001,MATCH(ROWS($AF$2:AF296),$AF$2:$AF$1001,0),MATCH(COLUMNS($AM$1006:BF1006),$AM$1006:$BM$1006,0)), HYPERLINK("#",""), HYPERLINK(CONCATENATE("#metadata!", ADDRESS(INDEX($AH$2:$AH$1001,MATCH(ROWS($AF$2:AF296),$AF$2:$AF$1001,0),0), INDEX($AM$1004:$BM$1004,1,MATCH(COLUMNS($AM$1006:BF1006),$AM$1006:$BM$1006,0)))),"Fix")))</f>
        <v xml:space="preserve"> </v>
      </c>
      <c r="V296" s="4" t="str">
        <f ca="1">IF(OR(INDEX($AG$2:$AG$1001,MATCH(ROWS($AF$2:AF296),$AF$2:$AF$1001,0),1)&gt;=100000,INDEX($AM$1005:$BM$1005,1,MATCH(COLUMNS($AM$1006:BG1006),$AM$1006:$BM$1006,0))&gt;=100000), " ",IF(INDEX($AM$2:$BM$1001,MATCH(ROWS($AF$2:AF296),$AF$2:$AF$1001,0),MATCH(COLUMNS($AM$1006:BG1006),$AM$1006:$BM$1006,0)), HYPERLINK("#",""), HYPERLINK(CONCATENATE("#metadata!", ADDRESS(INDEX($AH$2:$AH$1001,MATCH(ROWS($AF$2:AF296),$AF$2:$AF$1001,0),0), INDEX($AM$1004:$BM$1004,1,MATCH(COLUMNS($AM$1006:BG1006),$AM$1006:$BM$1006,0)))),"Fix")))</f>
        <v xml:space="preserve"> </v>
      </c>
      <c r="W296" s="4" t="str">
        <f ca="1">IF(OR(INDEX($AG$2:$AG$1001,MATCH(ROWS($AF$2:AF296),$AF$2:$AF$1001,0),1)&gt;=100000,INDEX($AM$1005:$BM$1005,1,MATCH(COLUMNS($AM$1006:BH1006),$AM$1006:$BM$1006,0))&gt;=100000), " ",IF(INDEX($AM$2:$BM$1001,MATCH(ROWS($AF$2:AF296),$AF$2:$AF$1001,0),MATCH(COLUMNS($AM$1006:BH1006),$AM$1006:$BM$1006,0)), HYPERLINK("#",""), HYPERLINK(CONCATENATE("#metadata!", ADDRESS(INDEX($AH$2:$AH$1001,MATCH(ROWS($AF$2:AF296),$AF$2:$AF$1001,0),0), INDEX($AM$1004:$BM$1004,1,MATCH(COLUMNS($AM$1006:BH1006),$AM$1006:$BM$1006,0)))),"Fix")))</f>
        <v xml:space="preserve"> </v>
      </c>
      <c r="X296" s="4" t="str">
        <f ca="1">IF(OR(INDEX($AG$2:$AG$1001,MATCH(ROWS($AF$2:AF296),$AF$2:$AF$1001,0),1)&gt;=100000,INDEX($AM$1005:$BM$1005,1,MATCH(COLUMNS($AM$1006:BI1006),$AM$1006:$BM$1006,0))&gt;=100000), " ",IF(INDEX($AM$2:$BM$1001,MATCH(ROWS($AF$2:AF296),$AF$2:$AF$1001,0),MATCH(COLUMNS($AM$1006:BI1006),$AM$1006:$BM$1006,0)), HYPERLINK("#",""), HYPERLINK(CONCATENATE("#metadata!", ADDRESS(INDEX($AH$2:$AH$1001,MATCH(ROWS($AF$2:AF296),$AF$2:$AF$1001,0),0), INDEX($AM$1004:$BM$1004,1,MATCH(COLUMNS($AM$1006:BI1006),$AM$1006:$BM$1006,0)))),"Fix")))</f>
        <v xml:space="preserve"> </v>
      </c>
      <c r="Y296" s="4" t="str">
        <f ca="1">IF(OR(INDEX($AG$2:$AG$1001,MATCH(ROWS($AF$2:AF296),$AF$2:$AF$1001,0),1)&gt;=100000,INDEX($AM$1005:$BM$1005,1,MATCH(COLUMNS($AM$1006:BJ1006),$AM$1006:$BM$1006,0))&gt;=100000), " ",IF(INDEX($AM$2:$BM$1001,MATCH(ROWS($AF$2:AF296),$AF$2:$AF$1001,0),MATCH(COLUMNS($AM$1006:BJ1006),$AM$1006:$BM$1006,0)), HYPERLINK("#",""), HYPERLINK(CONCATENATE("#metadata!", ADDRESS(INDEX($AH$2:$AH$1001,MATCH(ROWS($AF$2:AF296),$AF$2:$AF$1001,0),0), INDEX($AM$1004:$BM$1004,1,MATCH(COLUMNS($AM$1006:BJ1006),$AM$1006:$BM$1006,0)))),"Fix")))</f>
        <v xml:space="preserve"> </v>
      </c>
      <c r="Z296" s="4" t="str">
        <f ca="1">IF(OR(INDEX($AG$2:$AG$1001,MATCH(ROWS($AF$2:AF296),$AF$2:$AF$1001,0),1)&gt;=100000,INDEX($AM$1005:$BM$1005,1,MATCH(COLUMNS($AM$1006:BK1006),$AM$1006:$BM$1006,0))&gt;=100000), " ",IF(INDEX($AM$2:$BM$1001,MATCH(ROWS($AF$2:AF296),$AF$2:$AF$1001,0),MATCH(COLUMNS($AM$1006:BK1006),$AM$1006:$BM$1006,0)), HYPERLINK("#",""), HYPERLINK(CONCATENATE("#metadata!", ADDRESS(INDEX($AH$2:$AH$1001,MATCH(ROWS($AF$2:AF296),$AF$2:$AF$1001,0),0), INDEX($AM$1004:$BM$1004,1,MATCH(COLUMNS($AM$1006:BK1006),$AM$1006:$BM$1006,0)))),"Fix")))</f>
        <v xml:space="preserve"> </v>
      </c>
      <c r="AA296" s="4" t="str">
        <f ca="1">IF(OR(INDEX($AG$2:$AG$1001,MATCH(ROWS($AF$2:AF296),$AF$2:$AF$1001,0),1)&gt;=100000,INDEX($AM$1005:$BM$1005,1,MATCH(COLUMNS($AM$1006:BL1006),$AM$1006:$BM$1006,0))&gt;=100000), " ",IF(INDEX($AM$2:$BM$1001,MATCH(ROWS($AF$2:AF296),$AF$2:$AF$1001,0),MATCH(COLUMNS($AM$1006:BL1006),$AM$1006:$BM$1006,0)), HYPERLINK("#",""), HYPERLINK(CONCATENATE("#metadata!", ADDRESS(INDEX($AH$2:$AH$1001,MATCH(ROWS($AF$2:AF296),$AF$2:$AF$1001,0),0), INDEX($AM$1004:$BM$1004,1,MATCH(COLUMNS($AM$1006:BL1006),$AM$1006:$BM$1006,0)))),"Fix")))</f>
        <v xml:space="preserve"> </v>
      </c>
      <c r="AB296" s="4" t="str">
        <f ca="1">IF(OR(INDEX($AG$2:$AG$1001,MATCH(ROWS($AF$2:AF296),$AF$2:$AF$1001,0),1)&gt;=100000,INDEX($AM$1005:$BM$1005,1,MATCH(COLUMNS($AM$1006:BM1006),$AM$1006:$BM$1006,0))&gt;=100000), " ",IF(INDEX($AM$2:$BM$1001,MATCH(ROWS($AF$2:AF296),$AF$2:$AF$1001,0),MATCH(COLUMNS($AM$1006:BM1006),$AM$1006:$BM$1006,0)), HYPERLINK("#",""), HYPERLINK(CONCATENATE("#metadata!", ADDRESS(INDEX($AH$2:$AH$1001,MATCH(ROWS($AF$2:AF296),$AF$2:$AF$1001,0),0), INDEX($AM$1004:$BM$1004,1,MATCH(COLUMNS($AM$1006:BM1006),$AM$1006:$BM$1006,0)))),"Fix")))</f>
        <v xml:space="preserve"> </v>
      </c>
      <c r="AF296">
        <v>295</v>
      </c>
      <c r="AG296">
        <v>100296</v>
      </c>
      <c r="AH296">
        <v>296</v>
      </c>
      <c r="AI296" t="b">
        <f t="shared" si="4"/>
        <v>1</v>
      </c>
      <c r="AJ296" t="b">
        <f>COUNTBLANK(metadata!B296:AB296)=COLUMNS(metadata!B296:AB296)</f>
        <v>1</v>
      </c>
      <c r="AK296" t="str">
        <v/>
      </c>
      <c r="AM296" t="b">
        <f ca="1">AND(IF(metadata!B296="",FALSE,TRUE),COUNTIF(metadata!B:B, metadata!B296) = 1,NOT(ISERROR(SUMPRODUCT(SEARCH(MID(metadata!B296,ROW(INDIRECT("1:"&amp;LEN(metadata!B296))), 1),"0123456789abcdefghijklmnopqrstuvwxyzABCDEFGHIJKLMNOPQRSTUVWXYZ.")))))</f>
        <v>0</v>
      </c>
      <c r="AN296" t="b">
        <f ca="1">OR(AND(IF(metadata!C296="",FALSE,TRUE),OR(EXACT(metadata!C296,"missing: not collected"),EXACT(metadata!C296,"missing: not provided"),EXACT(metadata!C296,"missing: restricted access"))),AND(IF(metadata!C296="",FALSE,TRUE),AND(AND(IFERROR(INT(LEFT(metadata!C296,4))&gt;1900,FALSE),IFERROR(INT(LEFT(metadata!C296,4))&lt;=YEAR(NOW()),FALSE)), OR(MID(metadata!C296,5,1)="", AND(AND(MID(metadata!C296,5,1)="-",IFERROR(INT(MID(metadata!C296,6,1))&gt;=0,FALSE),IFERROR(INT(MID(metadata!C296,6,1))&lt;=1,FALSE),NOT(MID(metadata!C296,7,1)=""),IFERROR(INT(MID(metadata!C296,6,2))&gt;=1,FALSE),IFERROR(INT(MID(metadata!C296,6,2))&lt;=12,FALSE)), OR(MID(metadata!C296,8,1)="", AND(AND(MID(metadata!C296,8,1)="-",IFERROR(INT(MID(metadata!C296,9,1))&gt;=0,FALSE),IFERROR(INT(MID(metadata!C296,9,1))&lt;=3,FALSE),NOT(MID(metadata!C296,10,1)=""),IFERROR(INT(MID(metadata!C296,9,2))&gt;=1,FALSE),IFERROR(INT(MID(metadata!C296,9,2))&lt;=31,FALSE)), OR(MID(metadata!C296,11,1)="", AND(AND(MID(metadata!C296,11,1)=" ",IFERROR(INT(MID(metadata!C296,12,1))&gt;=0,FALSE),IFERROR(INT(MID(metadata!C296,12,1))&lt;=2,FALSE),NOT(MID(metadata!C296,13,1)=""),IFERROR(INT(MID(metadata!C296,12,2))&gt;=0,FALSE),IFERROR(INT(MID(metadata!C296,12,2))&lt;=23,FALSE)), OR(MID(metadata!C296,14,1)="", AND(AND(MID(metadata!C296,14,1)=":",IFERROR(INT(MID(metadata!C296,15,1))&gt;=0,FALSE),IFERROR(INT(MID(metadata!C296,15,1))&lt;=5,FALSE),NOT(MID(metadata!C296,16,1)=""),IFERROR(INT(MID(metadata!C296,15,2))&gt;=0,FALSE),IFERROR(INT(MID(metadata!C296,15,2))&lt;=59,FALSE)), OR(MID(metadata!C296,17,1)="", AND(AND(MID(metadata!C296,17,1)=":",IFERROR(INT(MID(metadata!C296,18,1))&gt;=0,FALSE),IFERROR(INT(MID(metadata!C296,18,1))&lt;=5,FALSE),NOT(MID(metadata!C296,19,1)=""),IFERROR(INT(MID(metadata!C296,18,2))&gt;=0,FALSE),IFERROR(INT(MID(metadata!C296,18,2))&lt;=59,FALSE)), LEN(metadata!C296)&lt;=19)))))))))))))</f>
        <v>0</v>
      </c>
      <c r="AO296" t="b">
        <f>AND(IF(metadata!D296="",FALSE,TRUE),EXACT(metadata!D296,"Not applicable"))</f>
        <v>0</v>
      </c>
      <c r="AP296" t="b">
        <f>IF(metadata!E296="",FALSE,TRUE)</f>
        <v>0</v>
      </c>
      <c r="AQ296" t="b">
        <f>OR(AND(IF(metadata!F296="",FALSE,TRUE),OR(EXACT(metadata!F296,"missing: not collected"),EXACT(metadata!F296,"missing: not provided"))),AND(IF(metadata!F296="",FALSE,TRUE),OR(EXACT(metadata!F296,"TRUE"),EXACT(metadata!F296,"FALSE"))))</f>
        <v>0</v>
      </c>
      <c r="AR296" t="b">
        <f>OR(AND(IF(metadata!G296="",FALSE,TRUE),OR(EXACT(metadata!G296,"missing: not collected"),EXACT(metadata!G296,"missing: not provided"),EXACT(metadata!G296,"missing: restricted access"))),AND(IF(metadata!G296="",FALSE,ISNUMBER(VALUE(metadata!G296))),metadata!G296&gt;=-413))</f>
        <v>0</v>
      </c>
      <c r="AS296" t="b">
        <f>AND(IF(metadata!H296="",FALSE,TRUE),EXACT(metadata!H296,"meters"))</f>
        <v>0</v>
      </c>
      <c r="AT296" t="b">
        <f>AND(IF(metadata!I296="",FALSE,TRUE),OR(EXACT(metadata!I296,"Host-associated"),EXACT(metadata!I296,"Free-living")))</f>
        <v>0</v>
      </c>
      <c r="AU296" t="b">
        <f>AND(IF(metadata!J296="",FALSE,TRUE),OR(EXACT(metadata!J296,"Animal"),EXACT(metadata!J296,"Fungus"),EXACT(metadata!J296,"Plant"),EXACT(metadata!J296,"Saline"),EXACT(metadata!J296,"Non-saline")))</f>
        <v>0</v>
      </c>
      <c r="AV296" t="b">
        <f>AND(IF(metadata!K296="",FALSE,TRUE),OR(EXACT(metadata!K296,"Plant secretion"),EXACT(metadata!K296,"Plant rhizosphere"),EXACT(metadata!K296,"Plant surface"),EXACT(metadata!K296,"Plant corpus"),EXACT(metadata!K296,"Fungus surface"),EXACT(metadata!K296,"Fungus corpus"),EXACT(metadata!K296,"Animal surface"),EXACT(metadata!K296,"Animal proximal gut"),EXACT(metadata!K296,"Animal corpus"),EXACT(metadata!K296,"Animal distal gut"),EXACT(metadata!K296,"Animal secretion"),EXACT(metadata!K296,"Sub-surface (non-saline)"),EXACT(metadata!K296,"Surface (non-saline)"),EXACT(metadata!K296,"Water (non-saline)"),EXACT(metadata!K296,"Soil (non-saline)"),EXACT(metadata!K296,"Aerosol (non-saline)"),EXACT(metadata!K296,"Sediment (non-saline)"),EXACT(metadata!K296,"Surface (saline)"),EXACT(metadata!K296,"Water (saline)"),EXACT(metadata!K296,"Hypersaline (saline)"),EXACT(metadata!K296,"Aerosol (saline)"),EXACT(metadata!K296,"Sediment (saline)")))</f>
        <v>0</v>
      </c>
      <c r="AW296" t="b">
        <f>IF(metadata!L296="",FALSE,TRUE)</f>
        <v>0</v>
      </c>
      <c r="AX296" t="b">
        <f>IF(metadata!M296="",FALSE,TRUE)</f>
        <v>0</v>
      </c>
      <c r="AY296" t="b">
        <f>IF(metadata!N296="",FALSE,TRUE)</f>
        <v>0</v>
      </c>
      <c r="AZ296" t="b">
        <f>OR(AND(IF(metadata!O296="",FALSE,TRUE),OR(EXACT(metadata!O296,"missing: not collected"),EXACT(metadata!O296,"missing: not provided"),EXACT(metadata!O296,"missing: restricted access"))),AND(IF(metadata!O296="",FALSE,TRUE),OR(EXACT(metadata!O296,"air"),EXACT(metadata!O296,"built environment"),EXACT(metadata!O296,"host-associated"),EXACT(metadata!O296,"human-associated"),EXACT(metadata!O296,"human-skin"),EXACT(metadata!O296,"human-oral"),EXACT(metadata!O296,"human-gut"),EXACT(metadata!O296,"human-vaginal"),EXACT(metadata!O296,"microbial mat/biofilm"),EXACT(metadata!O296,"misc environment"),EXACT(metadata!O296,"plant-associated"),EXACT(metadata!O296,"sediment"),EXACT(metadata!O296,"soil"),EXACT(metadata!O296,"wastewater/sludge"),EXACT(metadata!O296,"water"))))</f>
        <v>0</v>
      </c>
      <c r="BA296" t="b">
        <f>IF(metadata!P296="",FALSE,TRUE)</f>
        <v>0</v>
      </c>
      <c r="BB296" t="b">
        <f>IF(metadata!Q296="",FALSE,TRUE)</f>
        <v>0</v>
      </c>
      <c r="BC296" t="b">
        <f>OR(AND(IF(metadata!R296="",FALSE,TRUE),OR(EXACT(metadata!R296,"missing: not collected"),EXACT(metadata!R296,"missing: not provided"),EXACT(metadata!R296,"missing: restricted access"))),AND(IF(metadata!R296="",FALSE,ISNUMBER(VALUE(metadata!R296))),metadata!R296&gt;=-90,metadata!R296&lt;=90))</f>
        <v>0</v>
      </c>
      <c r="BD296" t="b">
        <f>AND(IF(metadata!S296="",FALSE,TRUE),EXACT(metadata!S296,"Decimal degrees"))</f>
        <v>0</v>
      </c>
      <c r="BE296" t="b">
        <f>OR(AND(IF(metadata!T296="",FALSE,TRUE),OR(EXACT(metadata!T296,"missing: not collected"),EXACT(metadata!T296,"missing: not provided"),EXACT(metadata!T296,"missing: restricted access"))),AND(IF(metadata!T296="",FALSE,ISNUMBER(VALUE(metadata!T296))),metadata!T296&gt;=-180,metadata!T296&lt;=180))</f>
        <v>0</v>
      </c>
      <c r="BF296" t="b">
        <f>AND(IF(metadata!U296="",FALSE,TRUE),EXACT(metadata!U296,"Decimal degrees"))</f>
        <v>0</v>
      </c>
      <c r="BG296" t="b">
        <f>IF(metadata!V296="",FALSE,TRUE)</f>
        <v>0</v>
      </c>
      <c r="BH296" t="b">
        <f>OR(AND(IF(metadata!W296="",FALSE,TRUE),OR(EXACT(metadata!W296,"missing: not collected"),EXACT(metadata!W296,"missing: not provided"),EXACT(metadata!W296,"missing: restricted access"))),AND(IF(metadata!W296="",FALSE,TRUE),OR(EXACT(metadata!W296,"TRUE"),EXACT(metadata!W296,"FALSE"))))</f>
        <v>0</v>
      </c>
      <c r="BI296" t="b">
        <f>AND(IF(metadata!X296="",FALSE,TRUE),EXACT(metadata!X296,"other"))</f>
        <v>0</v>
      </c>
      <c r="BJ296" t="b">
        <f>IF(metadata!Y296="",FALSE,TRUE)</f>
        <v>0</v>
      </c>
      <c r="BK296" t="b">
        <f>OR(AND(IF(metadata!Z296="",FALSE,TRUE),OR(EXACT(metadata!Z296,"missing: not collected"),EXACT(metadata!Z296,"missing: not provided"))),AND(IF(metadata!Z296="",FALSE,IF(ISERROR(INT(metadata!Z296)),FALSE,INT(metadata!Z296)=metadata!Z296)),metadata!Z296&gt;0))</f>
        <v>0</v>
      </c>
      <c r="BL296" t="b">
        <f>AND(IF(metadata!AA296="",FALSE,TRUE),EXACT(metadata!AA296,"Not applicable"))</f>
        <v>0</v>
      </c>
      <c r="BM296" t="b">
        <f>IF(metadata!AB296="",FALSE,TRUE)</f>
        <v>0</v>
      </c>
    </row>
    <row r="297" spans="1:65" x14ac:dyDescent="0.2">
      <c r="A297" s="5" t="str">
        <f ca="1">IF(B297=" "," ",HYPERLINK(CONCATENATE("#metadata!",ADDRESS(INDEX($AH$2:$AH$1001,MATCH(ROWS($AF$2:AF297),$AF$2:$AF$1001,0),0),1)),INDEX($AK$2:$AK$1001,MATCH(ROWS($AF$2:AF297),$AF$2:$AF$1001,0),0)))</f>
        <v xml:space="preserve"> </v>
      </c>
      <c r="B297" s="4" t="str">
        <f ca="1">IF(OR(INDEX($AG$2:$AG$1001,MATCH(ROWS($AF$2:AF297),$AF$2:$AF$1001,0),1)&gt;=100000,INDEX($AM$1005:$BM$1005,1,MATCH(COLUMNS($AM$1006:AM1006),$AM$1006:$BM$1006,0))&gt;=100000), " ",IF(INDEX($AM$2:$BM$1001,MATCH(ROWS($AF$2:AF297),$AF$2:$AF$1001,0),MATCH(COLUMNS($AM$1006:AM1006),$AM$1006:$BM$1006,0)), HYPERLINK("#",""), HYPERLINK(CONCATENATE("#metadata!", ADDRESS(INDEX($AH$2:$AH$1001,MATCH(ROWS($AF$2:AF297),$AF$2:$AF$1001,0),0), INDEX($AM$1004:$BM$1004,1,MATCH(COLUMNS($AM$1006:AM1006),$AM$1006:$BM$1006,0)))),"Fix")))</f>
        <v xml:space="preserve"> </v>
      </c>
      <c r="C297" s="4" t="str">
        <f ca="1">IF(OR(INDEX($AG$2:$AG$1001,MATCH(ROWS($AF$2:AF297),$AF$2:$AF$1001,0),1)&gt;=100000,INDEX($AM$1005:$BM$1005,1,MATCH(COLUMNS($AM$1006:AN1006),$AM$1006:$BM$1006,0))&gt;=100000), " ",IF(INDEX($AM$2:$BM$1001,MATCH(ROWS($AF$2:AF297),$AF$2:$AF$1001,0),MATCH(COLUMNS($AM$1006:AN1006),$AM$1006:$BM$1006,0)), HYPERLINK("#",""), HYPERLINK(CONCATENATE("#metadata!", ADDRESS(INDEX($AH$2:$AH$1001,MATCH(ROWS($AF$2:AF297),$AF$2:$AF$1001,0),0), INDEX($AM$1004:$BM$1004,1,MATCH(COLUMNS($AM$1006:AN1006),$AM$1006:$BM$1006,0)))),"Fix")))</f>
        <v xml:space="preserve"> </v>
      </c>
      <c r="D297" s="4" t="str">
        <f ca="1">IF(OR(INDEX($AG$2:$AG$1001,MATCH(ROWS($AF$2:AF297),$AF$2:$AF$1001,0),1)&gt;=100000,INDEX($AM$1005:$BM$1005,1,MATCH(COLUMNS($AM$1006:AO1006),$AM$1006:$BM$1006,0))&gt;=100000), " ",IF(INDEX($AM$2:$BM$1001,MATCH(ROWS($AF$2:AF297),$AF$2:$AF$1001,0),MATCH(COLUMNS($AM$1006:AO1006),$AM$1006:$BM$1006,0)), HYPERLINK("#",""), HYPERLINK(CONCATENATE("#metadata!", ADDRESS(INDEX($AH$2:$AH$1001,MATCH(ROWS($AF$2:AF297),$AF$2:$AF$1001,0),0), INDEX($AM$1004:$BM$1004,1,MATCH(COLUMNS($AM$1006:AO1006),$AM$1006:$BM$1006,0)))),"Fix")))</f>
        <v xml:space="preserve"> </v>
      </c>
      <c r="E297" s="4" t="str">
        <f ca="1">IF(OR(INDEX($AG$2:$AG$1001,MATCH(ROWS($AF$2:AF297),$AF$2:$AF$1001,0),1)&gt;=100000,INDEX($AM$1005:$BM$1005,1,MATCH(COLUMNS($AM$1006:AP1006),$AM$1006:$BM$1006,0))&gt;=100000), " ",IF(INDEX($AM$2:$BM$1001,MATCH(ROWS($AF$2:AF297),$AF$2:$AF$1001,0),MATCH(COLUMNS($AM$1006:AP1006),$AM$1006:$BM$1006,0)), HYPERLINK("#",""), HYPERLINK(CONCATENATE("#metadata!", ADDRESS(INDEX($AH$2:$AH$1001,MATCH(ROWS($AF$2:AF297),$AF$2:$AF$1001,0),0), INDEX($AM$1004:$BM$1004,1,MATCH(COLUMNS($AM$1006:AP1006),$AM$1006:$BM$1006,0)))),"Fix")))</f>
        <v xml:space="preserve"> </v>
      </c>
      <c r="F297" s="4" t="str">
        <f ca="1">IF(OR(INDEX($AG$2:$AG$1001,MATCH(ROWS($AF$2:AF297),$AF$2:$AF$1001,0),1)&gt;=100000,INDEX($AM$1005:$BM$1005,1,MATCH(COLUMNS($AM$1006:AQ1006),$AM$1006:$BM$1006,0))&gt;=100000), " ",IF(INDEX($AM$2:$BM$1001,MATCH(ROWS($AF$2:AF297),$AF$2:$AF$1001,0),MATCH(COLUMNS($AM$1006:AQ1006),$AM$1006:$BM$1006,0)), HYPERLINK("#",""), HYPERLINK(CONCATENATE("#metadata!", ADDRESS(INDEX($AH$2:$AH$1001,MATCH(ROWS($AF$2:AF297),$AF$2:$AF$1001,0),0), INDEX($AM$1004:$BM$1004,1,MATCH(COLUMNS($AM$1006:AQ1006),$AM$1006:$BM$1006,0)))),"Fix")))</f>
        <v xml:space="preserve"> </v>
      </c>
      <c r="G297" s="4" t="str">
        <f ca="1">IF(OR(INDEX($AG$2:$AG$1001,MATCH(ROWS($AF$2:AF297),$AF$2:$AF$1001,0),1)&gt;=100000,INDEX($AM$1005:$BM$1005,1,MATCH(COLUMNS($AM$1006:AR1006),$AM$1006:$BM$1006,0))&gt;=100000), " ",IF(INDEX($AM$2:$BM$1001,MATCH(ROWS($AF$2:AF297),$AF$2:$AF$1001,0),MATCH(COLUMNS($AM$1006:AR1006),$AM$1006:$BM$1006,0)), HYPERLINK("#",""), HYPERLINK(CONCATENATE("#metadata!", ADDRESS(INDEX($AH$2:$AH$1001,MATCH(ROWS($AF$2:AF297),$AF$2:$AF$1001,0),0), INDEX($AM$1004:$BM$1004,1,MATCH(COLUMNS($AM$1006:AR1006),$AM$1006:$BM$1006,0)))),"Fix")))</f>
        <v xml:space="preserve"> </v>
      </c>
      <c r="H297" s="4" t="str">
        <f ca="1">IF(OR(INDEX($AG$2:$AG$1001,MATCH(ROWS($AF$2:AF297),$AF$2:$AF$1001,0),1)&gt;=100000,INDEX($AM$1005:$BM$1005,1,MATCH(COLUMNS($AM$1006:AS1006),$AM$1006:$BM$1006,0))&gt;=100000), " ",IF(INDEX($AM$2:$BM$1001,MATCH(ROWS($AF$2:AF297),$AF$2:$AF$1001,0),MATCH(COLUMNS($AM$1006:AS1006),$AM$1006:$BM$1006,0)), HYPERLINK("#",""), HYPERLINK(CONCATENATE("#metadata!", ADDRESS(INDEX($AH$2:$AH$1001,MATCH(ROWS($AF$2:AF297),$AF$2:$AF$1001,0),0), INDEX($AM$1004:$BM$1004,1,MATCH(COLUMNS($AM$1006:AS1006),$AM$1006:$BM$1006,0)))),"Fix")))</f>
        <v xml:space="preserve"> </v>
      </c>
      <c r="I297" s="4" t="str">
        <f ca="1">IF(OR(INDEX($AG$2:$AG$1001,MATCH(ROWS($AF$2:AF297),$AF$2:$AF$1001,0),1)&gt;=100000,INDEX($AM$1005:$BM$1005,1,MATCH(COLUMNS($AM$1006:AT1006),$AM$1006:$BM$1006,0))&gt;=100000), " ",IF(INDEX($AM$2:$BM$1001,MATCH(ROWS($AF$2:AF297),$AF$2:$AF$1001,0),MATCH(COLUMNS($AM$1006:AT1006),$AM$1006:$BM$1006,0)), HYPERLINK("#",""), HYPERLINK(CONCATENATE("#metadata!", ADDRESS(INDEX($AH$2:$AH$1001,MATCH(ROWS($AF$2:AF297),$AF$2:$AF$1001,0),0), INDEX($AM$1004:$BM$1004,1,MATCH(COLUMNS($AM$1006:AT1006),$AM$1006:$BM$1006,0)))),"Fix")))</f>
        <v xml:space="preserve"> </v>
      </c>
      <c r="J297" s="4" t="str">
        <f ca="1">IF(OR(INDEX($AG$2:$AG$1001,MATCH(ROWS($AF$2:AF297),$AF$2:$AF$1001,0),1)&gt;=100000,INDEX($AM$1005:$BM$1005,1,MATCH(COLUMNS($AM$1006:AU1006),$AM$1006:$BM$1006,0))&gt;=100000), " ",IF(INDEX($AM$2:$BM$1001,MATCH(ROWS($AF$2:AF297),$AF$2:$AF$1001,0),MATCH(COLUMNS($AM$1006:AU1006),$AM$1006:$BM$1006,0)), HYPERLINK("#",""), HYPERLINK(CONCATENATE("#metadata!", ADDRESS(INDEX($AH$2:$AH$1001,MATCH(ROWS($AF$2:AF297),$AF$2:$AF$1001,0),0), INDEX($AM$1004:$BM$1004,1,MATCH(COLUMNS($AM$1006:AU1006),$AM$1006:$BM$1006,0)))),"Fix")))</f>
        <v xml:space="preserve"> </v>
      </c>
      <c r="K297" s="4" t="str">
        <f ca="1">IF(OR(INDEX($AG$2:$AG$1001,MATCH(ROWS($AF$2:AF297),$AF$2:$AF$1001,0),1)&gt;=100000,INDEX($AM$1005:$BM$1005,1,MATCH(COLUMNS($AM$1006:AV1006),$AM$1006:$BM$1006,0))&gt;=100000), " ",IF(INDEX($AM$2:$BM$1001,MATCH(ROWS($AF$2:AF297),$AF$2:$AF$1001,0),MATCH(COLUMNS($AM$1006:AV1006),$AM$1006:$BM$1006,0)), HYPERLINK("#",""), HYPERLINK(CONCATENATE("#metadata!", ADDRESS(INDEX($AH$2:$AH$1001,MATCH(ROWS($AF$2:AF297),$AF$2:$AF$1001,0),0), INDEX($AM$1004:$BM$1004,1,MATCH(COLUMNS($AM$1006:AV1006),$AM$1006:$BM$1006,0)))),"Fix")))</f>
        <v xml:space="preserve"> </v>
      </c>
      <c r="L297" s="4" t="str">
        <f ca="1">IF(OR(INDEX($AG$2:$AG$1001,MATCH(ROWS($AF$2:AF297),$AF$2:$AF$1001,0),1)&gt;=100000,INDEX($AM$1005:$BM$1005,1,MATCH(COLUMNS($AM$1006:AW1006),$AM$1006:$BM$1006,0))&gt;=100000), " ",IF(INDEX($AM$2:$BM$1001,MATCH(ROWS($AF$2:AF297),$AF$2:$AF$1001,0),MATCH(COLUMNS($AM$1006:AW1006),$AM$1006:$BM$1006,0)), HYPERLINK("#",""), HYPERLINK(CONCATENATE("#metadata!", ADDRESS(INDEX($AH$2:$AH$1001,MATCH(ROWS($AF$2:AF297),$AF$2:$AF$1001,0),0), INDEX($AM$1004:$BM$1004,1,MATCH(COLUMNS($AM$1006:AW1006),$AM$1006:$BM$1006,0)))),"Fix")))</f>
        <v xml:space="preserve"> </v>
      </c>
      <c r="M297" s="4" t="str">
        <f ca="1">IF(OR(INDEX($AG$2:$AG$1001,MATCH(ROWS($AF$2:AF297),$AF$2:$AF$1001,0),1)&gt;=100000,INDEX($AM$1005:$BM$1005,1,MATCH(COLUMNS($AM$1006:AX1006),$AM$1006:$BM$1006,0))&gt;=100000), " ",IF(INDEX($AM$2:$BM$1001,MATCH(ROWS($AF$2:AF297),$AF$2:$AF$1001,0),MATCH(COLUMNS($AM$1006:AX1006),$AM$1006:$BM$1006,0)), HYPERLINK("#",""), HYPERLINK(CONCATENATE("#metadata!", ADDRESS(INDEX($AH$2:$AH$1001,MATCH(ROWS($AF$2:AF297),$AF$2:$AF$1001,0),0), INDEX($AM$1004:$BM$1004,1,MATCH(COLUMNS($AM$1006:AX1006),$AM$1006:$BM$1006,0)))),"Fix")))</f>
        <v xml:space="preserve"> </v>
      </c>
      <c r="N297" s="4" t="str">
        <f ca="1">IF(OR(INDEX($AG$2:$AG$1001,MATCH(ROWS($AF$2:AF297),$AF$2:$AF$1001,0),1)&gt;=100000,INDEX($AM$1005:$BM$1005,1,MATCH(COLUMNS($AM$1006:AY1006),$AM$1006:$BM$1006,0))&gt;=100000), " ",IF(INDEX($AM$2:$BM$1001,MATCH(ROWS($AF$2:AF297),$AF$2:$AF$1001,0),MATCH(COLUMNS($AM$1006:AY1006),$AM$1006:$BM$1006,0)), HYPERLINK("#",""), HYPERLINK(CONCATENATE("#metadata!", ADDRESS(INDEX($AH$2:$AH$1001,MATCH(ROWS($AF$2:AF297),$AF$2:$AF$1001,0),0), INDEX($AM$1004:$BM$1004,1,MATCH(COLUMNS($AM$1006:AY1006),$AM$1006:$BM$1006,0)))),"Fix")))</f>
        <v xml:space="preserve"> </v>
      </c>
      <c r="O297" s="4" t="str">
        <f ca="1">IF(OR(INDEX($AG$2:$AG$1001,MATCH(ROWS($AF$2:AF297),$AF$2:$AF$1001,0),1)&gt;=100000,INDEX($AM$1005:$BM$1005,1,MATCH(COLUMNS($AM$1006:AZ1006),$AM$1006:$BM$1006,0))&gt;=100000), " ",IF(INDEX($AM$2:$BM$1001,MATCH(ROWS($AF$2:AF297),$AF$2:$AF$1001,0),MATCH(COLUMNS($AM$1006:AZ1006),$AM$1006:$BM$1006,0)), HYPERLINK("#",""), HYPERLINK(CONCATENATE("#metadata!", ADDRESS(INDEX($AH$2:$AH$1001,MATCH(ROWS($AF$2:AF297),$AF$2:$AF$1001,0),0), INDEX($AM$1004:$BM$1004,1,MATCH(COLUMNS($AM$1006:AZ1006),$AM$1006:$BM$1006,0)))),"Fix")))</f>
        <v xml:space="preserve"> </v>
      </c>
      <c r="P297" s="4" t="str">
        <f ca="1">IF(OR(INDEX($AG$2:$AG$1001,MATCH(ROWS($AF$2:AF297),$AF$2:$AF$1001,0),1)&gt;=100000,INDEX($AM$1005:$BM$1005,1,MATCH(COLUMNS($AM$1006:BA1006),$AM$1006:$BM$1006,0))&gt;=100000), " ",IF(INDEX($AM$2:$BM$1001,MATCH(ROWS($AF$2:AF297),$AF$2:$AF$1001,0),MATCH(COLUMNS($AM$1006:BA1006),$AM$1006:$BM$1006,0)), HYPERLINK("#",""), HYPERLINK(CONCATENATE("#metadata!", ADDRESS(INDEX($AH$2:$AH$1001,MATCH(ROWS($AF$2:AF297),$AF$2:$AF$1001,0),0), INDEX($AM$1004:$BM$1004,1,MATCH(COLUMNS($AM$1006:BA1006),$AM$1006:$BM$1006,0)))),"Fix")))</f>
        <v xml:space="preserve"> </v>
      </c>
      <c r="Q297" s="4" t="str">
        <f ca="1">IF(OR(INDEX($AG$2:$AG$1001,MATCH(ROWS($AF$2:AF297),$AF$2:$AF$1001,0),1)&gt;=100000,INDEX($AM$1005:$BM$1005,1,MATCH(COLUMNS($AM$1006:BB1006),$AM$1006:$BM$1006,0))&gt;=100000), " ",IF(INDEX($AM$2:$BM$1001,MATCH(ROWS($AF$2:AF297),$AF$2:$AF$1001,0),MATCH(COLUMNS($AM$1006:BB1006),$AM$1006:$BM$1006,0)), HYPERLINK("#",""), HYPERLINK(CONCATENATE("#metadata!", ADDRESS(INDEX($AH$2:$AH$1001,MATCH(ROWS($AF$2:AF297),$AF$2:$AF$1001,0),0), INDEX($AM$1004:$BM$1004,1,MATCH(COLUMNS($AM$1006:BB1006),$AM$1006:$BM$1006,0)))),"Fix")))</f>
        <v xml:space="preserve"> </v>
      </c>
      <c r="R297" s="4" t="str">
        <f ca="1">IF(OR(INDEX($AG$2:$AG$1001,MATCH(ROWS($AF$2:AF297),$AF$2:$AF$1001,0),1)&gt;=100000,INDEX($AM$1005:$BM$1005,1,MATCH(COLUMNS($AM$1006:BC1006),$AM$1006:$BM$1006,0))&gt;=100000), " ",IF(INDEX($AM$2:$BM$1001,MATCH(ROWS($AF$2:AF297),$AF$2:$AF$1001,0),MATCH(COLUMNS($AM$1006:BC1006),$AM$1006:$BM$1006,0)), HYPERLINK("#",""), HYPERLINK(CONCATENATE("#metadata!", ADDRESS(INDEX($AH$2:$AH$1001,MATCH(ROWS($AF$2:AF297),$AF$2:$AF$1001,0),0), INDEX($AM$1004:$BM$1004,1,MATCH(COLUMNS($AM$1006:BC1006),$AM$1006:$BM$1006,0)))),"Fix")))</f>
        <v xml:space="preserve"> </v>
      </c>
      <c r="S297" s="4" t="str">
        <f ca="1">IF(OR(INDEX($AG$2:$AG$1001,MATCH(ROWS($AF$2:AF297),$AF$2:$AF$1001,0),1)&gt;=100000,INDEX($AM$1005:$BM$1005,1,MATCH(COLUMNS($AM$1006:BD1006),$AM$1006:$BM$1006,0))&gt;=100000), " ",IF(INDEX($AM$2:$BM$1001,MATCH(ROWS($AF$2:AF297),$AF$2:$AF$1001,0),MATCH(COLUMNS($AM$1006:BD1006),$AM$1006:$BM$1006,0)), HYPERLINK("#",""), HYPERLINK(CONCATENATE("#metadata!", ADDRESS(INDEX($AH$2:$AH$1001,MATCH(ROWS($AF$2:AF297),$AF$2:$AF$1001,0),0), INDEX($AM$1004:$BM$1004,1,MATCH(COLUMNS($AM$1006:BD1006),$AM$1006:$BM$1006,0)))),"Fix")))</f>
        <v xml:space="preserve"> </v>
      </c>
      <c r="T297" s="4" t="str">
        <f ca="1">IF(OR(INDEX($AG$2:$AG$1001,MATCH(ROWS($AF$2:AF297),$AF$2:$AF$1001,0),1)&gt;=100000,INDEX($AM$1005:$BM$1005,1,MATCH(COLUMNS($AM$1006:BE1006),$AM$1006:$BM$1006,0))&gt;=100000), " ",IF(INDEX($AM$2:$BM$1001,MATCH(ROWS($AF$2:AF297),$AF$2:$AF$1001,0),MATCH(COLUMNS($AM$1006:BE1006),$AM$1006:$BM$1006,0)), HYPERLINK("#",""), HYPERLINK(CONCATENATE("#metadata!", ADDRESS(INDEX($AH$2:$AH$1001,MATCH(ROWS($AF$2:AF297),$AF$2:$AF$1001,0),0), INDEX($AM$1004:$BM$1004,1,MATCH(COLUMNS($AM$1006:BE1006),$AM$1006:$BM$1006,0)))),"Fix")))</f>
        <v xml:space="preserve"> </v>
      </c>
      <c r="U297" s="4" t="str">
        <f ca="1">IF(OR(INDEX($AG$2:$AG$1001,MATCH(ROWS($AF$2:AF297),$AF$2:$AF$1001,0),1)&gt;=100000,INDEX($AM$1005:$BM$1005,1,MATCH(COLUMNS($AM$1006:BF1006),$AM$1006:$BM$1006,0))&gt;=100000), " ",IF(INDEX($AM$2:$BM$1001,MATCH(ROWS($AF$2:AF297),$AF$2:$AF$1001,0),MATCH(COLUMNS($AM$1006:BF1006),$AM$1006:$BM$1006,0)), HYPERLINK("#",""), HYPERLINK(CONCATENATE("#metadata!", ADDRESS(INDEX($AH$2:$AH$1001,MATCH(ROWS($AF$2:AF297),$AF$2:$AF$1001,0),0), INDEX($AM$1004:$BM$1004,1,MATCH(COLUMNS($AM$1006:BF1006),$AM$1006:$BM$1006,0)))),"Fix")))</f>
        <v xml:space="preserve"> </v>
      </c>
      <c r="V297" s="4" t="str">
        <f ca="1">IF(OR(INDEX($AG$2:$AG$1001,MATCH(ROWS($AF$2:AF297),$AF$2:$AF$1001,0),1)&gt;=100000,INDEX($AM$1005:$BM$1005,1,MATCH(COLUMNS($AM$1006:BG1006),$AM$1006:$BM$1006,0))&gt;=100000), " ",IF(INDEX($AM$2:$BM$1001,MATCH(ROWS($AF$2:AF297),$AF$2:$AF$1001,0),MATCH(COLUMNS($AM$1006:BG1006),$AM$1006:$BM$1006,0)), HYPERLINK("#",""), HYPERLINK(CONCATENATE("#metadata!", ADDRESS(INDEX($AH$2:$AH$1001,MATCH(ROWS($AF$2:AF297),$AF$2:$AF$1001,0),0), INDEX($AM$1004:$BM$1004,1,MATCH(COLUMNS($AM$1006:BG1006),$AM$1006:$BM$1006,0)))),"Fix")))</f>
        <v xml:space="preserve"> </v>
      </c>
      <c r="W297" s="4" t="str">
        <f ca="1">IF(OR(INDEX($AG$2:$AG$1001,MATCH(ROWS($AF$2:AF297),$AF$2:$AF$1001,0),1)&gt;=100000,INDEX($AM$1005:$BM$1005,1,MATCH(COLUMNS($AM$1006:BH1006),$AM$1006:$BM$1006,0))&gt;=100000), " ",IF(INDEX($AM$2:$BM$1001,MATCH(ROWS($AF$2:AF297),$AF$2:$AF$1001,0),MATCH(COLUMNS($AM$1006:BH1006),$AM$1006:$BM$1006,0)), HYPERLINK("#",""), HYPERLINK(CONCATENATE("#metadata!", ADDRESS(INDEX($AH$2:$AH$1001,MATCH(ROWS($AF$2:AF297),$AF$2:$AF$1001,0),0), INDEX($AM$1004:$BM$1004,1,MATCH(COLUMNS($AM$1006:BH1006),$AM$1006:$BM$1006,0)))),"Fix")))</f>
        <v xml:space="preserve"> </v>
      </c>
      <c r="X297" s="4" t="str">
        <f ca="1">IF(OR(INDEX($AG$2:$AG$1001,MATCH(ROWS($AF$2:AF297),$AF$2:$AF$1001,0),1)&gt;=100000,INDEX($AM$1005:$BM$1005,1,MATCH(COLUMNS($AM$1006:BI1006),$AM$1006:$BM$1006,0))&gt;=100000), " ",IF(INDEX($AM$2:$BM$1001,MATCH(ROWS($AF$2:AF297),$AF$2:$AF$1001,0),MATCH(COLUMNS($AM$1006:BI1006),$AM$1006:$BM$1006,0)), HYPERLINK("#",""), HYPERLINK(CONCATENATE("#metadata!", ADDRESS(INDEX($AH$2:$AH$1001,MATCH(ROWS($AF$2:AF297),$AF$2:$AF$1001,0),0), INDEX($AM$1004:$BM$1004,1,MATCH(COLUMNS($AM$1006:BI1006),$AM$1006:$BM$1006,0)))),"Fix")))</f>
        <v xml:space="preserve"> </v>
      </c>
      <c r="Y297" s="4" t="str">
        <f ca="1">IF(OR(INDEX($AG$2:$AG$1001,MATCH(ROWS($AF$2:AF297),$AF$2:$AF$1001,0),1)&gt;=100000,INDEX($AM$1005:$BM$1005,1,MATCH(COLUMNS($AM$1006:BJ1006),$AM$1006:$BM$1006,0))&gt;=100000), " ",IF(INDEX($AM$2:$BM$1001,MATCH(ROWS($AF$2:AF297),$AF$2:$AF$1001,0),MATCH(COLUMNS($AM$1006:BJ1006),$AM$1006:$BM$1006,0)), HYPERLINK("#",""), HYPERLINK(CONCATENATE("#metadata!", ADDRESS(INDEX($AH$2:$AH$1001,MATCH(ROWS($AF$2:AF297),$AF$2:$AF$1001,0),0), INDEX($AM$1004:$BM$1004,1,MATCH(COLUMNS($AM$1006:BJ1006),$AM$1006:$BM$1006,0)))),"Fix")))</f>
        <v xml:space="preserve"> </v>
      </c>
      <c r="Z297" s="4" t="str">
        <f ca="1">IF(OR(INDEX($AG$2:$AG$1001,MATCH(ROWS($AF$2:AF297),$AF$2:$AF$1001,0),1)&gt;=100000,INDEX($AM$1005:$BM$1005,1,MATCH(COLUMNS($AM$1006:BK1006),$AM$1006:$BM$1006,0))&gt;=100000), " ",IF(INDEX($AM$2:$BM$1001,MATCH(ROWS($AF$2:AF297),$AF$2:$AF$1001,0),MATCH(COLUMNS($AM$1006:BK1006),$AM$1006:$BM$1006,0)), HYPERLINK("#",""), HYPERLINK(CONCATENATE("#metadata!", ADDRESS(INDEX($AH$2:$AH$1001,MATCH(ROWS($AF$2:AF297),$AF$2:$AF$1001,0),0), INDEX($AM$1004:$BM$1004,1,MATCH(COLUMNS($AM$1006:BK1006),$AM$1006:$BM$1006,0)))),"Fix")))</f>
        <v xml:space="preserve"> </v>
      </c>
      <c r="AA297" s="4" t="str">
        <f ca="1">IF(OR(INDEX($AG$2:$AG$1001,MATCH(ROWS($AF$2:AF297),$AF$2:$AF$1001,0),1)&gt;=100000,INDEX($AM$1005:$BM$1005,1,MATCH(COLUMNS($AM$1006:BL1006),$AM$1006:$BM$1006,0))&gt;=100000), " ",IF(INDEX($AM$2:$BM$1001,MATCH(ROWS($AF$2:AF297),$AF$2:$AF$1001,0),MATCH(COLUMNS($AM$1006:BL1006),$AM$1006:$BM$1006,0)), HYPERLINK("#",""), HYPERLINK(CONCATENATE("#metadata!", ADDRESS(INDEX($AH$2:$AH$1001,MATCH(ROWS($AF$2:AF297),$AF$2:$AF$1001,0),0), INDEX($AM$1004:$BM$1004,1,MATCH(COLUMNS($AM$1006:BL1006),$AM$1006:$BM$1006,0)))),"Fix")))</f>
        <v xml:space="preserve"> </v>
      </c>
      <c r="AB297" s="4" t="str">
        <f ca="1">IF(OR(INDEX($AG$2:$AG$1001,MATCH(ROWS($AF$2:AF297),$AF$2:$AF$1001,0),1)&gt;=100000,INDEX($AM$1005:$BM$1005,1,MATCH(COLUMNS($AM$1006:BM1006),$AM$1006:$BM$1006,0))&gt;=100000), " ",IF(INDEX($AM$2:$BM$1001,MATCH(ROWS($AF$2:AF297),$AF$2:$AF$1001,0),MATCH(COLUMNS($AM$1006:BM1006),$AM$1006:$BM$1006,0)), HYPERLINK("#",""), HYPERLINK(CONCATENATE("#metadata!", ADDRESS(INDEX($AH$2:$AH$1001,MATCH(ROWS($AF$2:AF297),$AF$2:$AF$1001,0),0), INDEX($AM$1004:$BM$1004,1,MATCH(COLUMNS($AM$1006:BM1006),$AM$1006:$BM$1006,0)))),"Fix")))</f>
        <v xml:space="preserve"> </v>
      </c>
      <c r="AF297">
        <v>296</v>
      </c>
      <c r="AG297">
        <v>100297</v>
      </c>
      <c r="AH297">
        <v>297</v>
      </c>
      <c r="AI297" t="b">
        <f t="shared" si="4"/>
        <v>1</v>
      </c>
      <c r="AJ297" t="b">
        <f>COUNTBLANK(metadata!B297:AB297)=COLUMNS(metadata!B297:AB297)</f>
        <v>1</v>
      </c>
      <c r="AK297" t="str">
        <v/>
      </c>
      <c r="AM297" t="b">
        <f ca="1">AND(IF(metadata!B297="",FALSE,TRUE),COUNTIF(metadata!B:B, metadata!B297) = 1,NOT(ISERROR(SUMPRODUCT(SEARCH(MID(metadata!B297,ROW(INDIRECT("1:"&amp;LEN(metadata!B297))), 1),"0123456789abcdefghijklmnopqrstuvwxyzABCDEFGHIJKLMNOPQRSTUVWXYZ.")))))</f>
        <v>0</v>
      </c>
      <c r="AN297" t="b">
        <f ca="1">OR(AND(IF(metadata!C297="",FALSE,TRUE),OR(EXACT(metadata!C297,"missing: not collected"),EXACT(metadata!C297,"missing: not provided"),EXACT(metadata!C297,"missing: restricted access"))),AND(IF(metadata!C297="",FALSE,TRUE),AND(AND(IFERROR(INT(LEFT(metadata!C297,4))&gt;1900,FALSE),IFERROR(INT(LEFT(metadata!C297,4))&lt;=YEAR(NOW()),FALSE)), OR(MID(metadata!C297,5,1)="", AND(AND(MID(metadata!C297,5,1)="-",IFERROR(INT(MID(metadata!C297,6,1))&gt;=0,FALSE),IFERROR(INT(MID(metadata!C297,6,1))&lt;=1,FALSE),NOT(MID(metadata!C297,7,1)=""),IFERROR(INT(MID(metadata!C297,6,2))&gt;=1,FALSE),IFERROR(INT(MID(metadata!C297,6,2))&lt;=12,FALSE)), OR(MID(metadata!C297,8,1)="", AND(AND(MID(metadata!C297,8,1)="-",IFERROR(INT(MID(metadata!C297,9,1))&gt;=0,FALSE),IFERROR(INT(MID(metadata!C297,9,1))&lt;=3,FALSE),NOT(MID(metadata!C297,10,1)=""),IFERROR(INT(MID(metadata!C297,9,2))&gt;=1,FALSE),IFERROR(INT(MID(metadata!C297,9,2))&lt;=31,FALSE)), OR(MID(metadata!C297,11,1)="", AND(AND(MID(metadata!C297,11,1)=" ",IFERROR(INT(MID(metadata!C297,12,1))&gt;=0,FALSE),IFERROR(INT(MID(metadata!C297,12,1))&lt;=2,FALSE),NOT(MID(metadata!C297,13,1)=""),IFERROR(INT(MID(metadata!C297,12,2))&gt;=0,FALSE),IFERROR(INT(MID(metadata!C297,12,2))&lt;=23,FALSE)), OR(MID(metadata!C297,14,1)="", AND(AND(MID(metadata!C297,14,1)=":",IFERROR(INT(MID(metadata!C297,15,1))&gt;=0,FALSE),IFERROR(INT(MID(metadata!C297,15,1))&lt;=5,FALSE),NOT(MID(metadata!C297,16,1)=""),IFERROR(INT(MID(metadata!C297,15,2))&gt;=0,FALSE),IFERROR(INT(MID(metadata!C297,15,2))&lt;=59,FALSE)), OR(MID(metadata!C297,17,1)="", AND(AND(MID(metadata!C297,17,1)=":",IFERROR(INT(MID(metadata!C297,18,1))&gt;=0,FALSE),IFERROR(INT(MID(metadata!C297,18,1))&lt;=5,FALSE),NOT(MID(metadata!C297,19,1)=""),IFERROR(INT(MID(metadata!C297,18,2))&gt;=0,FALSE),IFERROR(INT(MID(metadata!C297,18,2))&lt;=59,FALSE)), LEN(metadata!C297)&lt;=19)))))))))))))</f>
        <v>0</v>
      </c>
      <c r="AO297" t="b">
        <f>AND(IF(metadata!D297="",FALSE,TRUE),EXACT(metadata!D297,"Not applicable"))</f>
        <v>0</v>
      </c>
      <c r="AP297" t="b">
        <f>IF(metadata!E297="",FALSE,TRUE)</f>
        <v>0</v>
      </c>
      <c r="AQ297" t="b">
        <f>OR(AND(IF(metadata!F297="",FALSE,TRUE),OR(EXACT(metadata!F297,"missing: not collected"),EXACT(metadata!F297,"missing: not provided"))),AND(IF(metadata!F297="",FALSE,TRUE),OR(EXACT(metadata!F297,"TRUE"),EXACT(metadata!F297,"FALSE"))))</f>
        <v>0</v>
      </c>
      <c r="AR297" t="b">
        <f>OR(AND(IF(metadata!G297="",FALSE,TRUE),OR(EXACT(metadata!G297,"missing: not collected"),EXACT(metadata!G297,"missing: not provided"),EXACT(metadata!G297,"missing: restricted access"))),AND(IF(metadata!G297="",FALSE,ISNUMBER(VALUE(metadata!G297))),metadata!G297&gt;=-413))</f>
        <v>0</v>
      </c>
      <c r="AS297" t="b">
        <f>AND(IF(metadata!H297="",FALSE,TRUE),EXACT(metadata!H297,"meters"))</f>
        <v>0</v>
      </c>
      <c r="AT297" t="b">
        <f>AND(IF(metadata!I297="",FALSE,TRUE),OR(EXACT(metadata!I297,"Host-associated"),EXACT(metadata!I297,"Free-living")))</f>
        <v>0</v>
      </c>
      <c r="AU297" t="b">
        <f>AND(IF(metadata!J297="",FALSE,TRUE),OR(EXACT(metadata!J297,"Animal"),EXACT(metadata!J297,"Fungus"),EXACT(metadata!J297,"Plant"),EXACT(metadata!J297,"Saline"),EXACT(metadata!J297,"Non-saline")))</f>
        <v>0</v>
      </c>
      <c r="AV297" t="b">
        <f>AND(IF(metadata!K297="",FALSE,TRUE),OR(EXACT(metadata!K297,"Plant secretion"),EXACT(metadata!K297,"Plant rhizosphere"),EXACT(metadata!K297,"Plant surface"),EXACT(metadata!K297,"Plant corpus"),EXACT(metadata!K297,"Fungus surface"),EXACT(metadata!K297,"Fungus corpus"),EXACT(metadata!K297,"Animal surface"),EXACT(metadata!K297,"Animal proximal gut"),EXACT(metadata!K297,"Animal corpus"),EXACT(metadata!K297,"Animal distal gut"),EXACT(metadata!K297,"Animal secretion"),EXACT(metadata!K297,"Sub-surface (non-saline)"),EXACT(metadata!K297,"Surface (non-saline)"),EXACT(metadata!K297,"Water (non-saline)"),EXACT(metadata!K297,"Soil (non-saline)"),EXACT(metadata!K297,"Aerosol (non-saline)"),EXACT(metadata!K297,"Sediment (non-saline)"),EXACT(metadata!K297,"Surface (saline)"),EXACT(metadata!K297,"Water (saline)"),EXACT(metadata!K297,"Hypersaline (saline)"),EXACT(metadata!K297,"Aerosol (saline)"),EXACT(metadata!K297,"Sediment (saline)")))</f>
        <v>0</v>
      </c>
      <c r="AW297" t="b">
        <f>IF(metadata!L297="",FALSE,TRUE)</f>
        <v>0</v>
      </c>
      <c r="AX297" t="b">
        <f>IF(metadata!M297="",FALSE,TRUE)</f>
        <v>0</v>
      </c>
      <c r="AY297" t="b">
        <f>IF(metadata!N297="",FALSE,TRUE)</f>
        <v>0</v>
      </c>
      <c r="AZ297" t="b">
        <f>OR(AND(IF(metadata!O297="",FALSE,TRUE),OR(EXACT(metadata!O297,"missing: not collected"),EXACT(metadata!O297,"missing: not provided"),EXACT(metadata!O297,"missing: restricted access"))),AND(IF(metadata!O297="",FALSE,TRUE),OR(EXACT(metadata!O297,"air"),EXACT(metadata!O297,"built environment"),EXACT(metadata!O297,"host-associated"),EXACT(metadata!O297,"human-associated"),EXACT(metadata!O297,"human-skin"),EXACT(metadata!O297,"human-oral"),EXACT(metadata!O297,"human-gut"),EXACT(metadata!O297,"human-vaginal"),EXACT(metadata!O297,"microbial mat/biofilm"),EXACT(metadata!O297,"misc environment"),EXACT(metadata!O297,"plant-associated"),EXACT(metadata!O297,"sediment"),EXACT(metadata!O297,"soil"),EXACT(metadata!O297,"wastewater/sludge"),EXACT(metadata!O297,"water"))))</f>
        <v>0</v>
      </c>
      <c r="BA297" t="b">
        <f>IF(metadata!P297="",FALSE,TRUE)</f>
        <v>0</v>
      </c>
      <c r="BB297" t="b">
        <f>IF(metadata!Q297="",FALSE,TRUE)</f>
        <v>0</v>
      </c>
      <c r="BC297" t="b">
        <f>OR(AND(IF(metadata!R297="",FALSE,TRUE),OR(EXACT(metadata!R297,"missing: not collected"),EXACT(metadata!R297,"missing: not provided"),EXACT(metadata!R297,"missing: restricted access"))),AND(IF(metadata!R297="",FALSE,ISNUMBER(VALUE(metadata!R297))),metadata!R297&gt;=-90,metadata!R297&lt;=90))</f>
        <v>0</v>
      </c>
      <c r="BD297" t="b">
        <f>AND(IF(metadata!S297="",FALSE,TRUE),EXACT(metadata!S297,"Decimal degrees"))</f>
        <v>0</v>
      </c>
      <c r="BE297" t="b">
        <f>OR(AND(IF(metadata!T297="",FALSE,TRUE),OR(EXACT(metadata!T297,"missing: not collected"),EXACT(metadata!T297,"missing: not provided"),EXACT(metadata!T297,"missing: restricted access"))),AND(IF(metadata!T297="",FALSE,ISNUMBER(VALUE(metadata!T297))),metadata!T297&gt;=-180,metadata!T297&lt;=180))</f>
        <v>0</v>
      </c>
      <c r="BF297" t="b">
        <f>AND(IF(metadata!U297="",FALSE,TRUE),EXACT(metadata!U297,"Decimal degrees"))</f>
        <v>0</v>
      </c>
      <c r="BG297" t="b">
        <f>IF(metadata!V297="",FALSE,TRUE)</f>
        <v>0</v>
      </c>
      <c r="BH297" t="b">
        <f>OR(AND(IF(metadata!W297="",FALSE,TRUE),OR(EXACT(metadata!W297,"missing: not collected"),EXACT(metadata!W297,"missing: not provided"),EXACT(metadata!W297,"missing: restricted access"))),AND(IF(metadata!W297="",FALSE,TRUE),OR(EXACT(metadata!W297,"TRUE"),EXACT(metadata!W297,"FALSE"))))</f>
        <v>0</v>
      </c>
      <c r="BI297" t="b">
        <f>AND(IF(metadata!X297="",FALSE,TRUE),EXACT(metadata!X297,"other"))</f>
        <v>0</v>
      </c>
      <c r="BJ297" t="b">
        <f>IF(metadata!Y297="",FALSE,TRUE)</f>
        <v>0</v>
      </c>
      <c r="BK297" t="b">
        <f>OR(AND(IF(metadata!Z297="",FALSE,TRUE),OR(EXACT(metadata!Z297,"missing: not collected"),EXACT(metadata!Z297,"missing: not provided"))),AND(IF(metadata!Z297="",FALSE,IF(ISERROR(INT(metadata!Z297)),FALSE,INT(metadata!Z297)=metadata!Z297)),metadata!Z297&gt;0))</f>
        <v>0</v>
      </c>
      <c r="BL297" t="b">
        <f>AND(IF(metadata!AA297="",FALSE,TRUE),EXACT(metadata!AA297,"Not applicable"))</f>
        <v>0</v>
      </c>
      <c r="BM297" t="b">
        <f>IF(metadata!AB297="",FALSE,TRUE)</f>
        <v>0</v>
      </c>
    </row>
    <row r="298" spans="1:65" x14ac:dyDescent="0.2">
      <c r="A298" s="5" t="str">
        <f ca="1">IF(B298=" "," ",HYPERLINK(CONCATENATE("#metadata!",ADDRESS(INDEX($AH$2:$AH$1001,MATCH(ROWS($AF$2:AF298),$AF$2:$AF$1001,0),0),1)),INDEX($AK$2:$AK$1001,MATCH(ROWS($AF$2:AF298),$AF$2:$AF$1001,0),0)))</f>
        <v xml:space="preserve"> </v>
      </c>
      <c r="B298" s="4" t="str">
        <f ca="1">IF(OR(INDEX($AG$2:$AG$1001,MATCH(ROWS($AF$2:AF298),$AF$2:$AF$1001,0),1)&gt;=100000,INDEX($AM$1005:$BM$1005,1,MATCH(COLUMNS($AM$1006:AM1006),$AM$1006:$BM$1006,0))&gt;=100000), " ",IF(INDEX($AM$2:$BM$1001,MATCH(ROWS($AF$2:AF298),$AF$2:$AF$1001,0),MATCH(COLUMNS($AM$1006:AM1006),$AM$1006:$BM$1006,0)), HYPERLINK("#",""), HYPERLINK(CONCATENATE("#metadata!", ADDRESS(INDEX($AH$2:$AH$1001,MATCH(ROWS($AF$2:AF298),$AF$2:$AF$1001,0),0), INDEX($AM$1004:$BM$1004,1,MATCH(COLUMNS($AM$1006:AM1006),$AM$1006:$BM$1006,0)))),"Fix")))</f>
        <v xml:space="preserve"> </v>
      </c>
      <c r="C298" s="4" t="str">
        <f ca="1">IF(OR(INDEX($AG$2:$AG$1001,MATCH(ROWS($AF$2:AF298),$AF$2:$AF$1001,0),1)&gt;=100000,INDEX($AM$1005:$BM$1005,1,MATCH(COLUMNS($AM$1006:AN1006),$AM$1006:$BM$1006,0))&gt;=100000), " ",IF(INDEX($AM$2:$BM$1001,MATCH(ROWS($AF$2:AF298),$AF$2:$AF$1001,0),MATCH(COLUMNS($AM$1006:AN1006),$AM$1006:$BM$1006,0)), HYPERLINK("#",""), HYPERLINK(CONCATENATE("#metadata!", ADDRESS(INDEX($AH$2:$AH$1001,MATCH(ROWS($AF$2:AF298),$AF$2:$AF$1001,0),0), INDEX($AM$1004:$BM$1004,1,MATCH(COLUMNS($AM$1006:AN1006),$AM$1006:$BM$1006,0)))),"Fix")))</f>
        <v xml:space="preserve"> </v>
      </c>
      <c r="D298" s="4" t="str">
        <f ca="1">IF(OR(INDEX($AG$2:$AG$1001,MATCH(ROWS($AF$2:AF298),$AF$2:$AF$1001,0),1)&gt;=100000,INDEX($AM$1005:$BM$1005,1,MATCH(COLUMNS($AM$1006:AO1006),$AM$1006:$BM$1006,0))&gt;=100000), " ",IF(INDEX($AM$2:$BM$1001,MATCH(ROWS($AF$2:AF298),$AF$2:$AF$1001,0),MATCH(COLUMNS($AM$1006:AO1006),$AM$1006:$BM$1006,0)), HYPERLINK("#",""), HYPERLINK(CONCATENATE("#metadata!", ADDRESS(INDEX($AH$2:$AH$1001,MATCH(ROWS($AF$2:AF298),$AF$2:$AF$1001,0),0), INDEX($AM$1004:$BM$1004,1,MATCH(COLUMNS($AM$1006:AO1006),$AM$1006:$BM$1006,0)))),"Fix")))</f>
        <v xml:space="preserve"> </v>
      </c>
      <c r="E298" s="4" t="str">
        <f ca="1">IF(OR(INDEX($AG$2:$AG$1001,MATCH(ROWS($AF$2:AF298),$AF$2:$AF$1001,0),1)&gt;=100000,INDEX($AM$1005:$BM$1005,1,MATCH(COLUMNS($AM$1006:AP1006),$AM$1006:$BM$1006,0))&gt;=100000), " ",IF(INDEX($AM$2:$BM$1001,MATCH(ROWS($AF$2:AF298),$AF$2:$AF$1001,0),MATCH(COLUMNS($AM$1006:AP1006),$AM$1006:$BM$1006,0)), HYPERLINK("#",""), HYPERLINK(CONCATENATE("#metadata!", ADDRESS(INDEX($AH$2:$AH$1001,MATCH(ROWS($AF$2:AF298),$AF$2:$AF$1001,0),0), INDEX($AM$1004:$BM$1004,1,MATCH(COLUMNS($AM$1006:AP1006),$AM$1006:$BM$1006,0)))),"Fix")))</f>
        <v xml:space="preserve"> </v>
      </c>
      <c r="F298" s="4" t="str">
        <f ca="1">IF(OR(INDEX($AG$2:$AG$1001,MATCH(ROWS($AF$2:AF298),$AF$2:$AF$1001,0),1)&gt;=100000,INDEX($AM$1005:$BM$1005,1,MATCH(COLUMNS($AM$1006:AQ1006),$AM$1006:$BM$1006,0))&gt;=100000), " ",IF(INDEX($AM$2:$BM$1001,MATCH(ROWS($AF$2:AF298),$AF$2:$AF$1001,0),MATCH(COLUMNS($AM$1006:AQ1006),$AM$1006:$BM$1006,0)), HYPERLINK("#",""), HYPERLINK(CONCATENATE("#metadata!", ADDRESS(INDEX($AH$2:$AH$1001,MATCH(ROWS($AF$2:AF298),$AF$2:$AF$1001,0),0), INDEX($AM$1004:$BM$1004,1,MATCH(COLUMNS($AM$1006:AQ1006),$AM$1006:$BM$1006,0)))),"Fix")))</f>
        <v xml:space="preserve"> </v>
      </c>
      <c r="G298" s="4" t="str">
        <f ca="1">IF(OR(INDEX($AG$2:$AG$1001,MATCH(ROWS($AF$2:AF298),$AF$2:$AF$1001,0),1)&gt;=100000,INDEX($AM$1005:$BM$1005,1,MATCH(COLUMNS($AM$1006:AR1006),$AM$1006:$BM$1006,0))&gt;=100000), " ",IF(INDEX($AM$2:$BM$1001,MATCH(ROWS($AF$2:AF298),$AF$2:$AF$1001,0),MATCH(COLUMNS($AM$1006:AR1006),$AM$1006:$BM$1006,0)), HYPERLINK("#",""), HYPERLINK(CONCATENATE("#metadata!", ADDRESS(INDEX($AH$2:$AH$1001,MATCH(ROWS($AF$2:AF298),$AF$2:$AF$1001,0),0), INDEX($AM$1004:$BM$1004,1,MATCH(COLUMNS($AM$1006:AR1006),$AM$1006:$BM$1006,0)))),"Fix")))</f>
        <v xml:space="preserve"> </v>
      </c>
      <c r="H298" s="4" t="str">
        <f ca="1">IF(OR(INDEX($AG$2:$AG$1001,MATCH(ROWS($AF$2:AF298),$AF$2:$AF$1001,0),1)&gt;=100000,INDEX($AM$1005:$BM$1005,1,MATCH(COLUMNS($AM$1006:AS1006),$AM$1006:$BM$1006,0))&gt;=100000), " ",IF(INDEX($AM$2:$BM$1001,MATCH(ROWS($AF$2:AF298),$AF$2:$AF$1001,0),MATCH(COLUMNS($AM$1006:AS1006),$AM$1006:$BM$1006,0)), HYPERLINK("#",""), HYPERLINK(CONCATENATE("#metadata!", ADDRESS(INDEX($AH$2:$AH$1001,MATCH(ROWS($AF$2:AF298),$AF$2:$AF$1001,0),0), INDEX($AM$1004:$BM$1004,1,MATCH(COLUMNS($AM$1006:AS1006),$AM$1006:$BM$1006,0)))),"Fix")))</f>
        <v xml:space="preserve"> </v>
      </c>
      <c r="I298" s="4" t="str">
        <f ca="1">IF(OR(INDEX($AG$2:$AG$1001,MATCH(ROWS($AF$2:AF298),$AF$2:$AF$1001,0),1)&gt;=100000,INDEX($AM$1005:$BM$1005,1,MATCH(COLUMNS($AM$1006:AT1006),$AM$1006:$BM$1006,0))&gt;=100000), " ",IF(INDEX($AM$2:$BM$1001,MATCH(ROWS($AF$2:AF298),$AF$2:$AF$1001,0),MATCH(COLUMNS($AM$1006:AT1006),$AM$1006:$BM$1006,0)), HYPERLINK("#",""), HYPERLINK(CONCATENATE("#metadata!", ADDRESS(INDEX($AH$2:$AH$1001,MATCH(ROWS($AF$2:AF298),$AF$2:$AF$1001,0),0), INDEX($AM$1004:$BM$1004,1,MATCH(COLUMNS($AM$1006:AT1006),$AM$1006:$BM$1006,0)))),"Fix")))</f>
        <v xml:space="preserve"> </v>
      </c>
      <c r="J298" s="4" t="str">
        <f ca="1">IF(OR(INDEX($AG$2:$AG$1001,MATCH(ROWS($AF$2:AF298),$AF$2:$AF$1001,0),1)&gt;=100000,INDEX($AM$1005:$BM$1005,1,MATCH(COLUMNS($AM$1006:AU1006),$AM$1006:$BM$1006,0))&gt;=100000), " ",IF(INDEX($AM$2:$BM$1001,MATCH(ROWS($AF$2:AF298),$AF$2:$AF$1001,0),MATCH(COLUMNS($AM$1006:AU1006),$AM$1006:$BM$1006,0)), HYPERLINK("#",""), HYPERLINK(CONCATENATE("#metadata!", ADDRESS(INDEX($AH$2:$AH$1001,MATCH(ROWS($AF$2:AF298),$AF$2:$AF$1001,0),0), INDEX($AM$1004:$BM$1004,1,MATCH(COLUMNS($AM$1006:AU1006),$AM$1006:$BM$1006,0)))),"Fix")))</f>
        <v xml:space="preserve"> </v>
      </c>
      <c r="K298" s="4" t="str">
        <f ca="1">IF(OR(INDEX($AG$2:$AG$1001,MATCH(ROWS($AF$2:AF298),$AF$2:$AF$1001,0),1)&gt;=100000,INDEX($AM$1005:$BM$1005,1,MATCH(COLUMNS($AM$1006:AV1006),$AM$1006:$BM$1006,0))&gt;=100000), " ",IF(INDEX($AM$2:$BM$1001,MATCH(ROWS($AF$2:AF298),$AF$2:$AF$1001,0),MATCH(COLUMNS($AM$1006:AV1006),$AM$1006:$BM$1006,0)), HYPERLINK("#",""), HYPERLINK(CONCATENATE("#metadata!", ADDRESS(INDEX($AH$2:$AH$1001,MATCH(ROWS($AF$2:AF298),$AF$2:$AF$1001,0),0), INDEX($AM$1004:$BM$1004,1,MATCH(COLUMNS($AM$1006:AV1006),$AM$1006:$BM$1006,0)))),"Fix")))</f>
        <v xml:space="preserve"> </v>
      </c>
      <c r="L298" s="4" t="str">
        <f ca="1">IF(OR(INDEX($AG$2:$AG$1001,MATCH(ROWS($AF$2:AF298),$AF$2:$AF$1001,0),1)&gt;=100000,INDEX($AM$1005:$BM$1005,1,MATCH(COLUMNS($AM$1006:AW1006),$AM$1006:$BM$1006,0))&gt;=100000), " ",IF(INDEX($AM$2:$BM$1001,MATCH(ROWS($AF$2:AF298),$AF$2:$AF$1001,0),MATCH(COLUMNS($AM$1006:AW1006),$AM$1006:$BM$1006,0)), HYPERLINK("#",""), HYPERLINK(CONCATENATE("#metadata!", ADDRESS(INDEX($AH$2:$AH$1001,MATCH(ROWS($AF$2:AF298),$AF$2:$AF$1001,0),0), INDEX($AM$1004:$BM$1004,1,MATCH(COLUMNS($AM$1006:AW1006),$AM$1006:$BM$1006,0)))),"Fix")))</f>
        <v xml:space="preserve"> </v>
      </c>
      <c r="M298" s="4" t="str">
        <f ca="1">IF(OR(INDEX($AG$2:$AG$1001,MATCH(ROWS($AF$2:AF298),$AF$2:$AF$1001,0),1)&gt;=100000,INDEX($AM$1005:$BM$1005,1,MATCH(COLUMNS($AM$1006:AX1006),$AM$1006:$BM$1006,0))&gt;=100000), " ",IF(INDEX($AM$2:$BM$1001,MATCH(ROWS($AF$2:AF298),$AF$2:$AF$1001,0),MATCH(COLUMNS($AM$1006:AX1006),$AM$1006:$BM$1006,0)), HYPERLINK("#",""), HYPERLINK(CONCATENATE("#metadata!", ADDRESS(INDEX($AH$2:$AH$1001,MATCH(ROWS($AF$2:AF298),$AF$2:$AF$1001,0),0), INDEX($AM$1004:$BM$1004,1,MATCH(COLUMNS($AM$1006:AX1006),$AM$1006:$BM$1006,0)))),"Fix")))</f>
        <v xml:space="preserve"> </v>
      </c>
      <c r="N298" s="4" t="str">
        <f ca="1">IF(OR(INDEX($AG$2:$AG$1001,MATCH(ROWS($AF$2:AF298),$AF$2:$AF$1001,0),1)&gt;=100000,INDEX($AM$1005:$BM$1005,1,MATCH(COLUMNS($AM$1006:AY1006),$AM$1006:$BM$1006,0))&gt;=100000), " ",IF(INDEX($AM$2:$BM$1001,MATCH(ROWS($AF$2:AF298),$AF$2:$AF$1001,0),MATCH(COLUMNS($AM$1006:AY1006),$AM$1006:$BM$1006,0)), HYPERLINK("#",""), HYPERLINK(CONCATENATE("#metadata!", ADDRESS(INDEX($AH$2:$AH$1001,MATCH(ROWS($AF$2:AF298),$AF$2:$AF$1001,0),0), INDEX($AM$1004:$BM$1004,1,MATCH(COLUMNS($AM$1006:AY1006),$AM$1006:$BM$1006,0)))),"Fix")))</f>
        <v xml:space="preserve"> </v>
      </c>
      <c r="O298" s="4" t="str">
        <f ca="1">IF(OR(INDEX($AG$2:$AG$1001,MATCH(ROWS($AF$2:AF298),$AF$2:$AF$1001,0),1)&gt;=100000,INDEX($AM$1005:$BM$1005,1,MATCH(COLUMNS($AM$1006:AZ1006),$AM$1006:$BM$1006,0))&gt;=100000), " ",IF(INDEX($AM$2:$BM$1001,MATCH(ROWS($AF$2:AF298),$AF$2:$AF$1001,0),MATCH(COLUMNS($AM$1006:AZ1006),$AM$1006:$BM$1006,0)), HYPERLINK("#",""), HYPERLINK(CONCATENATE("#metadata!", ADDRESS(INDEX($AH$2:$AH$1001,MATCH(ROWS($AF$2:AF298),$AF$2:$AF$1001,0),0), INDEX($AM$1004:$BM$1004,1,MATCH(COLUMNS($AM$1006:AZ1006),$AM$1006:$BM$1006,0)))),"Fix")))</f>
        <v xml:space="preserve"> </v>
      </c>
      <c r="P298" s="4" t="str">
        <f ca="1">IF(OR(INDEX($AG$2:$AG$1001,MATCH(ROWS($AF$2:AF298),$AF$2:$AF$1001,0),1)&gt;=100000,INDEX($AM$1005:$BM$1005,1,MATCH(COLUMNS($AM$1006:BA1006),$AM$1006:$BM$1006,0))&gt;=100000), " ",IF(INDEX($AM$2:$BM$1001,MATCH(ROWS($AF$2:AF298),$AF$2:$AF$1001,0),MATCH(COLUMNS($AM$1006:BA1006),$AM$1006:$BM$1006,0)), HYPERLINK("#",""), HYPERLINK(CONCATENATE("#metadata!", ADDRESS(INDEX($AH$2:$AH$1001,MATCH(ROWS($AF$2:AF298),$AF$2:$AF$1001,0),0), INDEX($AM$1004:$BM$1004,1,MATCH(COLUMNS($AM$1006:BA1006),$AM$1006:$BM$1006,0)))),"Fix")))</f>
        <v xml:space="preserve"> </v>
      </c>
      <c r="Q298" s="4" t="str">
        <f ca="1">IF(OR(INDEX($AG$2:$AG$1001,MATCH(ROWS($AF$2:AF298),$AF$2:$AF$1001,0),1)&gt;=100000,INDEX($AM$1005:$BM$1005,1,MATCH(COLUMNS($AM$1006:BB1006),$AM$1006:$BM$1006,0))&gt;=100000), " ",IF(INDEX($AM$2:$BM$1001,MATCH(ROWS($AF$2:AF298),$AF$2:$AF$1001,0),MATCH(COLUMNS($AM$1006:BB1006),$AM$1006:$BM$1006,0)), HYPERLINK("#",""), HYPERLINK(CONCATENATE("#metadata!", ADDRESS(INDEX($AH$2:$AH$1001,MATCH(ROWS($AF$2:AF298),$AF$2:$AF$1001,0),0), INDEX($AM$1004:$BM$1004,1,MATCH(COLUMNS($AM$1006:BB1006),$AM$1006:$BM$1006,0)))),"Fix")))</f>
        <v xml:space="preserve"> </v>
      </c>
      <c r="R298" s="4" t="str">
        <f ca="1">IF(OR(INDEX($AG$2:$AG$1001,MATCH(ROWS($AF$2:AF298),$AF$2:$AF$1001,0),1)&gt;=100000,INDEX($AM$1005:$BM$1005,1,MATCH(COLUMNS($AM$1006:BC1006),$AM$1006:$BM$1006,0))&gt;=100000), " ",IF(INDEX($AM$2:$BM$1001,MATCH(ROWS($AF$2:AF298),$AF$2:$AF$1001,0),MATCH(COLUMNS($AM$1006:BC1006),$AM$1006:$BM$1006,0)), HYPERLINK("#",""), HYPERLINK(CONCATENATE("#metadata!", ADDRESS(INDEX($AH$2:$AH$1001,MATCH(ROWS($AF$2:AF298),$AF$2:$AF$1001,0),0), INDEX($AM$1004:$BM$1004,1,MATCH(COLUMNS($AM$1006:BC1006),$AM$1006:$BM$1006,0)))),"Fix")))</f>
        <v xml:space="preserve"> </v>
      </c>
      <c r="S298" s="4" t="str">
        <f ca="1">IF(OR(INDEX($AG$2:$AG$1001,MATCH(ROWS($AF$2:AF298),$AF$2:$AF$1001,0),1)&gt;=100000,INDEX($AM$1005:$BM$1005,1,MATCH(COLUMNS($AM$1006:BD1006),$AM$1006:$BM$1006,0))&gt;=100000), " ",IF(INDEX($AM$2:$BM$1001,MATCH(ROWS($AF$2:AF298),$AF$2:$AF$1001,0),MATCH(COLUMNS($AM$1006:BD1006),$AM$1006:$BM$1006,0)), HYPERLINK("#",""), HYPERLINK(CONCATENATE("#metadata!", ADDRESS(INDEX($AH$2:$AH$1001,MATCH(ROWS($AF$2:AF298),$AF$2:$AF$1001,0),0), INDEX($AM$1004:$BM$1004,1,MATCH(COLUMNS($AM$1006:BD1006),$AM$1006:$BM$1006,0)))),"Fix")))</f>
        <v xml:space="preserve"> </v>
      </c>
      <c r="T298" s="4" t="str">
        <f ca="1">IF(OR(INDEX($AG$2:$AG$1001,MATCH(ROWS($AF$2:AF298),$AF$2:$AF$1001,0),1)&gt;=100000,INDEX($AM$1005:$BM$1005,1,MATCH(COLUMNS($AM$1006:BE1006),$AM$1006:$BM$1006,0))&gt;=100000), " ",IF(INDEX($AM$2:$BM$1001,MATCH(ROWS($AF$2:AF298),$AF$2:$AF$1001,0),MATCH(COLUMNS($AM$1006:BE1006),$AM$1006:$BM$1006,0)), HYPERLINK("#",""), HYPERLINK(CONCATENATE("#metadata!", ADDRESS(INDEX($AH$2:$AH$1001,MATCH(ROWS($AF$2:AF298),$AF$2:$AF$1001,0),0), INDEX($AM$1004:$BM$1004,1,MATCH(COLUMNS($AM$1006:BE1006),$AM$1006:$BM$1006,0)))),"Fix")))</f>
        <v xml:space="preserve"> </v>
      </c>
      <c r="U298" s="4" t="str">
        <f ca="1">IF(OR(INDEX($AG$2:$AG$1001,MATCH(ROWS($AF$2:AF298),$AF$2:$AF$1001,0),1)&gt;=100000,INDEX($AM$1005:$BM$1005,1,MATCH(COLUMNS($AM$1006:BF1006),$AM$1006:$BM$1006,0))&gt;=100000), " ",IF(INDEX($AM$2:$BM$1001,MATCH(ROWS($AF$2:AF298),$AF$2:$AF$1001,0),MATCH(COLUMNS($AM$1006:BF1006),$AM$1006:$BM$1006,0)), HYPERLINK("#",""), HYPERLINK(CONCATENATE("#metadata!", ADDRESS(INDEX($AH$2:$AH$1001,MATCH(ROWS($AF$2:AF298),$AF$2:$AF$1001,0),0), INDEX($AM$1004:$BM$1004,1,MATCH(COLUMNS($AM$1006:BF1006),$AM$1006:$BM$1006,0)))),"Fix")))</f>
        <v xml:space="preserve"> </v>
      </c>
      <c r="V298" s="4" t="str">
        <f ca="1">IF(OR(INDEX($AG$2:$AG$1001,MATCH(ROWS($AF$2:AF298),$AF$2:$AF$1001,0),1)&gt;=100000,INDEX($AM$1005:$BM$1005,1,MATCH(COLUMNS($AM$1006:BG1006),$AM$1006:$BM$1006,0))&gt;=100000), " ",IF(INDEX($AM$2:$BM$1001,MATCH(ROWS($AF$2:AF298),$AF$2:$AF$1001,0),MATCH(COLUMNS($AM$1006:BG1006),$AM$1006:$BM$1006,0)), HYPERLINK("#",""), HYPERLINK(CONCATENATE("#metadata!", ADDRESS(INDEX($AH$2:$AH$1001,MATCH(ROWS($AF$2:AF298),$AF$2:$AF$1001,0),0), INDEX($AM$1004:$BM$1004,1,MATCH(COLUMNS($AM$1006:BG1006),$AM$1006:$BM$1006,0)))),"Fix")))</f>
        <v xml:space="preserve"> </v>
      </c>
      <c r="W298" s="4" t="str">
        <f ca="1">IF(OR(INDEX($AG$2:$AG$1001,MATCH(ROWS($AF$2:AF298),$AF$2:$AF$1001,0),1)&gt;=100000,INDEX($AM$1005:$BM$1005,1,MATCH(COLUMNS($AM$1006:BH1006),$AM$1006:$BM$1006,0))&gt;=100000), " ",IF(INDEX($AM$2:$BM$1001,MATCH(ROWS($AF$2:AF298),$AF$2:$AF$1001,0),MATCH(COLUMNS($AM$1006:BH1006),$AM$1006:$BM$1006,0)), HYPERLINK("#",""), HYPERLINK(CONCATENATE("#metadata!", ADDRESS(INDEX($AH$2:$AH$1001,MATCH(ROWS($AF$2:AF298),$AF$2:$AF$1001,0),0), INDEX($AM$1004:$BM$1004,1,MATCH(COLUMNS($AM$1006:BH1006),$AM$1006:$BM$1006,0)))),"Fix")))</f>
        <v xml:space="preserve"> </v>
      </c>
      <c r="X298" s="4" t="str">
        <f ca="1">IF(OR(INDEX($AG$2:$AG$1001,MATCH(ROWS($AF$2:AF298),$AF$2:$AF$1001,0),1)&gt;=100000,INDEX($AM$1005:$BM$1005,1,MATCH(COLUMNS($AM$1006:BI1006),$AM$1006:$BM$1006,0))&gt;=100000), " ",IF(INDEX($AM$2:$BM$1001,MATCH(ROWS($AF$2:AF298),$AF$2:$AF$1001,0),MATCH(COLUMNS($AM$1006:BI1006),$AM$1006:$BM$1006,0)), HYPERLINK("#",""), HYPERLINK(CONCATENATE("#metadata!", ADDRESS(INDEX($AH$2:$AH$1001,MATCH(ROWS($AF$2:AF298),$AF$2:$AF$1001,0),0), INDEX($AM$1004:$BM$1004,1,MATCH(COLUMNS($AM$1006:BI1006),$AM$1006:$BM$1006,0)))),"Fix")))</f>
        <v xml:space="preserve"> </v>
      </c>
      <c r="Y298" s="4" t="str">
        <f ca="1">IF(OR(INDEX($AG$2:$AG$1001,MATCH(ROWS($AF$2:AF298),$AF$2:$AF$1001,0),1)&gt;=100000,INDEX($AM$1005:$BM$1005,1,MATCH(COLUMNS($AM$1006:BJ1006),$AM$1006:$BM$1006,0))&gt;=100000), " ",IF(INDEX($AM$2:$BM$1001,MATCH(ROWS($AF$2:AF298),$AF$2:$AF$1001,0),MATCH(COLUMNS($AM$1006:BJ1006),$AM$1006:$BM$1006,0)), HYPERLINK("#",""), HYPERLINK(CONCATENATE("#metadata!", ADDRESS(INDEX($AH$2:$AH$1001,MATCH(ROWS($AF$2:AF298),$AF$2:$AF$1001,0),0), INDEX($AM$1004:$BM$1004,1,MATCH(COLUMNS($AM$1006:BJ1006),$AM$1006:$BM$1006,0)))),"Fix")))</f>
        <v xml:space="preserve"> </v>
      </c>
      <c r="Z298" s="4" t="str">
        <f ca="1">IF(OR(INDEX($AG$2:$AG$1001,MATCH(ROWS($AF$2:AF298),$AF$2:$AF$1001,0),1)&gt;=100000,INDEX($AM$1005:$BM$1005,1,MATCH(COLUMNS($AM$1006:BK1006),$AM$1006:$BM$1006,0))&gt;=100000), " ",IF(INDEX($AM$2:$BM$1001,MATCH(ROWS($AF$2:AF298),$AF$2:$AF$1001,0),MATCH(COLUMNS($AM$1006:BK1006),$AM$1006:$BM$1006,0)), HYPERLINK("#",""), HYPERLINK(CONCATENATE("#metadata!", ADDRESS(INDEX($AH$2:$AH$1001,MATCH(ROWS($AF$2:AF298),$AF$2:$AF$1001,0),0), INDEX($AM$1004:$BM$1004,1,MATCH(COLUMNS($AM$1006:BK1006),$AM$1006:$BM$1006,0)))),"Fix")))</f>
        <v xml:space="preserve"> </v>
      </c>
      <c r="AA298" s="4" t="str">
        <f ca="1">IF(OR(INDEX($AG$2:$AG$1001,MATCH(ROWS($AF$2:AF298),$AF$2:$AF$1001,0),1)&gt;=100000,INDEX($AM$1005:$BM$1005,1,MATCH(COLUMNS($AM$1006:BL1006),$AM$1006:$BM$1006,0))&gt;=100000), " ",IF(INDEX($AM$2:$BM$1001,MATCH(ROWS($AF$2:AF298),$AF$2:$AF$1001,0),MATCH(COLUMNS($AM$1006:BL1006),$AM$1006:$BM$1006,0)), HYPERLINK("#",""), HYPERLINK(CONCATENATE("#metadata!", ADDRESS(INDEX($AH$2:$AH$1001,MATCH(ROWS($AF$2:AF298),$AF$2:$AF$1001,0),0), INDEX($AM$1004:$BM$1004,1,MATCH(COLUMNS($AM$1006:BL1006),$AM$1006:$BM$1006,0)))),"Fix")))</f>
        <v xml:space="preserve"> </v>
      </c>
      <c r="AB298" s="4" t="str">
        <f ca="1">IF(OR(INDEX($AG$2:$AG$1001,MATCH(ROWS($AF$2:AF298),$AF$2:$AF$1001,0),1)&gt;=100000,INDEX($AM$1005:$BM$1005,1,MATCH(COLUMNS($AM$1006:BM1006),$AM$1006:$BM$1006,0))&gt;=100000), " ",IF(INDEX($AM$2:$BM$1001,MATCH(ROWS($AF$2:AF298),$AF$2:$AF$1001,0),MATCH(COLUMNS($AM$1006:BM1006),$AM$1006:$BM$1006,0)), HYPERLINK("#",""), HYPERLINK(CONCATENATE("#metadata!", ADDRESS(INDEX($AH$2:$AH$1001,MATCH(ROWS($AF$2:AF298),$AF$2:$AF$1001,0),0), INDEX($AM$1004:$BM$1004,1,MATCH(COLUMNS($AM$1006:BM1006),$AM$1006:$BM$1006,0)))),"Fix")))</f>
        <v xml:space="preserve"> </v>
      </c>
      <c r="AF298">
        <v>297</v>
      </c>
      <c r="AG298">
        <v>100298</v>
      </c>
      <c r="AH298">
        <v>298</v>
      </c>
      <c r="AI298" t="b">
        <f t="shared" si="4"/>
        <v>1</v>
      </c>
      <c r="AJ298" t="b">
        <f>COUNTBLANK(metadata!B298:AB298)=COLUMNS(metadata!B298:AB298)</f>
        <v>1</v>
      </c>
      <c r="AK298" t="str">
        <v/>
      </c>
      <c r="AM298" t="b">
        <f ca="1">AND(IF(metadata!B298="",FALSE,TRUE),COUNTIF(metadata!B:B, metadata!B298) = 1,NOT(ISERROR(SUMPRODUCT(SEARCH(MID(metadata!B298,ROW(INDIRECT("1:"&amp;LEN(metadata!B298))), 1),"0123456789abcdefghijklmnopqrstuvwxyzABCDEFGHIJKLMNOPQRSTUVWXYZ.")))))</f>
        <v>0</v>
      </c>
      <c r="AN298" t="b">
        <f ca="1">OR(AND(IF(metadata!C298="",FALSE,TRUE),OR(EXACT(metadata!C298,"missing: not collected"),EXACT(metadata!C298,"missing: not provided"),EXACT(metadata!C298,"missing: restricted access"))),AND(IF(metadata!C298="",FALSE,TRUE),AND(AND(IFERROR(INT(LEFT(metadata!C298,4))&gt;1900,FALSE),IFERROR(INT(LEFT(metadata!C298,4))&lt;=YEAR(NOW()),FALSE)), OR(MID(metadata!C298,5,1)="", AND(AND(MID(metadata!C298,5,1)="-",IFERROR(INT(MID(metadata!C298,6,1))&gt;=0,FALSE),IFERROR(INT(MID(metadata!C298,6,1))&lt;=1,FALSE),NOT(MID(metadata!C298,7,1)=""),IFERROR(INT(MID(metadata!C298,6,2))&gt;=1,FALSE),IFERROR(INT(MID(metadata!C298,6,2))&lt;=12,FALSE)), OR(MID(metadata!C298,8,1)="", AND(AND(MID(metadata!C298,8,1)="-",IFERROR(INT(MID(metadata!C298,9,1))&gt;=0,FALSE),IFERROR(INT(MID(metadata!C298,9,1))&lt;=3,FALSE),NOT(MID(metadata!C298,10,1)=""),IFERROR(INT(MID(metadata!C298,9,2))&gt;=1,FALSE),IFERROR(INT(MID(metadata!C298,9,2))&lt;=31,FALSE)), OR(MID(metadata!C298,11,1)="", AND(AND(MID(metadata!C298,11,1)=" ",IFERROR(INT(MID(metadata!C298,12,1))&gt;=0,FALSE),IFERROR(INT(MID(metadata!C298,12,1))&lt;=2,FALSE),NOT(MID(metadata!C298,13,1)=""),IFERROR(INT(MID(metadata!C298,12,2))&gt;=0,FALSE),IFERROR(INT(MID(metadata!C298,12,2))&lt;=23,FALSE)), OR(MID(metadata!C298,14,1)="", AND(AND(MID(metadata!C298,14,1)=":",IFERROR(INT(MID(metadata!C298,15,1))&gt;=0,FALSE),IFERROR(INT(MID(metadata!C298,15,1))&lt;=5,FALSE),NOT(MID(metadata!C298,16,1)=""),IFERROR(INT(MID(metadata!C298,15,2))&gt;=0,FALSE),IFERROR(INT(MID(metadata!C298,15,2))&lt;=59,FALSE)), OR(MID(metadata!C298,17,1)="", AND(AND(MID(metadata!C298,17,1)=":",IFERROR(INT(MID(metadata!C298,18,1))&gt;=0,FALSE),IFERROR(INT(MID(metadata!C298,18,1))&lt;=5,FALSE),NOT(MID(metadata!C298,19,1)=""),IFERROR(INT(MID(metadata!C298,18,2))&gt;=0,FALSE),IFERROR(INT(MID(metadata!C298,18,2))&lt;=59,FALSE)), LEN(metadata!C298)&lt;=19)))))))))))))</f>
        <v>0</v>
      </c>
      <c r="AO298" t="b">
        <f>AND(IF(metadata!D298="",FALSE,TRUE),EXACT(metadata!D298,"Not applicable"))</f>
        <v>0</v>
      </c>
      <c r="AP298" t="b">
        <f>IF(metadata!E298="",FALSE,TRUE)</f>
        <v>0</v>
      </c>
      <c r="AQ298" t="b">
        <f>OR(AND(IF(metadata!F298="",FALSE,TRUE),OR(EXACT(metadata!F298,"missing: not collected"),EXACT(metadata!F298,"missing: not provided"))),AND(IF(metadata!F298="",FALSE,TRUE),OR(EXACT(metadata!F298,"TRUE"),EXACT(metadata!F298,"FALSE"))))</f>
        <v>0</v>
      </c>
      <c r="AR298" t="b">
        <f>OR(AND(IF(metadata!G298="",FALSE,TRUE),OR(EXACT(metadata!G298,"missing: not collected"),EXACT(metadata!G298,"missing: not provided"),EXACT(metadata!G298,"missing: restricted access"))),AND(IF(metadata!G298="",FALSE,ISNUMBER(VALUE(metadata!G298))),metadata!G298&gt;=-413))</f>
        <v>0</v>
      </c>
      <c r="AS298" t="b">
        <f>AND(IF(metadata!H298="",FALSE,TRUE),EXACT(metadata!H298,"meters"))</f>
        <v>0</v>
      </c>
      <c r="AT298" t="b">
        <f>AND(IF(metadata!I298="",FALSE,TRUE),OR(EXACT(metadata!I298,"Host-associated"),EXACT(metadata!I298,"Free-living")))</f>
        <v>0</v>
      </c>
      <c r="AU298" t="b">
        <f>AND(IF(metadata!J298="",FALSE,TRUE),OR(EXACT(metadata!J298,"Animal"),EXACT(metadata!J298,"Fungus"),EXACT(metadata!J298,"Plant"),EXACT(metadata!J298,"Saline"),EXACT(metadata!J298,"Non-saline")))</f>
        <v>0</v>
      </c>
      <c r="AV298" t="b">
        <f>AND(IF(metadata!K298="",FALSE,TRUE),OR(EXACT(metadata!K298,"Plant secretion"),EXACT(metadata!K298,"Plant rhizosphere"),EXACT(metadata!K298,"Plant surface"),EXACT(metadata!K298,"Plant corpus"),EXACT(metadata!K298,"Fungus surface"),EXACT(metadata!K298,"Fungus corpus"),EXACT(metadata!K298,"Animal surface"),EXACT(metadata!K298,"Animal proximal gut"),EXACT(metadata!K298,"Animal corpus"),EXACT(metadata!K298,"Animal distal gut"),EXACT(metadata!K298,"Animal secretion"),EXACT(metadata!K298,"Sub-surface (non-saline)"),EXACT(metadata!K298,"Surface (non-saline)"),EXACT(metadata!K298,"Water (non-saline)"),EXACT(metadata!K298,"Soil (non-saline)"),EXACT(metadata!K298,"Aerosol (non-saline)"),EXACT(metadata!K298,"Sediment (non-saline)"),EXACT(metadata!K298,"Surface (saline)"),EXACT(metadata!K298,"Water (saline)"),EXACT(metadata!K298,"Hypersaline (saline)"),EXACT(metadata!K298,"Aerosol (saline)"),EXACT(metadata!K298,"Sediment (saline)")))</f>
        <v>0</v>
      </c>
      <c r="AW298" t="b">
        <f>IF(metadata!L298="",FALSE,TRUE)</f>
        <v>0</v>
      </c>
      <c r="AX298" t="b">
        <f>IF(metadata!M298="",FALSE,TRUE)</f>
        <v>0</v>
      </c>
      <c r="AY298" t="b">
        <f>IF(metadata!N298="",FALSE,TRUE)</f>
        <v>0</v>
      </c>
      <c r="AZ298" t="b">
        <f>OR(AND(IF(metadata!O298="",FALSE,TRUE),OR(EXACT(metadata!O298,"missing: not collected"),EXACT(metadata!O298,"missing: not provided"),EXACT(metadata!O298,"missing: restricted access"))),AND(IF(metadata!O298="",FALSE,TRUE),OR(EXACT(metadata!O298,"air"),EXACT(metadata!O298,"built environment"),EXACT(metadata!O298,"host-associated"),EXACT(metadata!O298,"human-associated"),EXACT(metadata!O298,"human-skin"),EXACT(metadata!O298,"human-oral"),EXACT(metadata!O298,"human-gut"),EXACT(metadata!O298,"human-vaginal"),EXACT(metadata!O298,"microbial mat/biofilm"),EXACT(metadata!O298,"misc environment"),EXACT(metadata!O298,"plant-associated"),EXACT(metadata!O298,"sediment"),EXACT(metadata!O298,"soil"),EXACT(metadata!O298,"wastewater/sludge"),EXACT(metadata!O298,"water"))))</f>
        <v>0</v>
      </c>
      <c r="BA298" t="b">
        <f>IF(metadata!P298="",FALSE,TRUE)</f>
        <v>0</v>
      </c>
      <c r="BB298" t="b">
        <f>IF(metadata!Q298="",FALSE,TRUE)</f>
        <v>0</v>
      </c>
      <c r="BC298" t="b">
        <f>OR(AND(IF(metadata!R298="",FALSE,TRUE),OR(EXACT(metadata!R298,"missing: not collected"),EXACT(metadata!R298,"missing: not provided"),EXACT(metadata!R298,"missing: restricted access"))),AND(IF(metadata!R298="",FALSE,ISNUMBER(VALUE(metadata!R298))),metadata!R298&gt;=-90,metadata!R298&lt;=90))</f>
        <v>0</v>
      </c>
      <c r="BD298" t="b">
        <f>AND(IF(metadata!S298="",FALSE,TRUE),EXACT(metadata!S298,"Decimal degrees"))</f>
        <v>0</v>
      </c>
      <c r="BE298" t="b">
        <f>OR(AND(IF(metadata!T298="",FALSE,TRUE),OR(EXACT(metadata!T298,"missing: not collected"),EXACT(metadata!T298,"missing: not provided"),EXACT(metadata!T298,"missing: restricted access"))),AND(IF(metadata!T298="",FALSE,ISNUMBER(VALUE(metadata!T298))),metadata!T298&gt;=-180,metadata!T298&lt;=180))</f>
        <v>0</v>
      </c>
      <c r="BF298" t="b">
        <f>AND(IF(metadata!U298="",FALSE,TRUE),EXACT(metadata!U298,"Decimal degrees"))</f>
        <v>0</v>
      </c>
      <c r="BG298" t="b">
        <f>IF(metadata!V298="",FALSE,TRUE)</f>
        <v>0</v>
      </c>
      <c r="BH298" t="b">
        <f>OR(AND(IF(metadata!W298="",FALSE,TRUE),OR(EXACT(metadata!W298,"missing: not collected"),EXACT(metadata!W298,"missing: not provided"),EXACT(metadata!W298,"missing: restricted access"))),AND(IF(metadata!W298="",FALSE,TRUE),OR(EXACT(metadata!W298,"TRUE"),EXACT(metadata!W298,"FALSE"))))</f>
        <v>0</v>
      </c>
      <c r="BI298" t="b">
        <f>AND(IF(metadata!X298="",FALSE,TRUE),EXACT(metadata!X298,"other"))</f>
        <v>0</v>
      </c>
      <c r="BJ298" t="b">
        <f>IF(metadata!Y298="",FALSE,TRUE)</f>
        <v>0</v>
      </c>
      <c r="BK298" t="b">
        <f>OR(AND(IF(metadata!Z298="",FALSE,TRUE),OR(EXACT(metadata!Z298,"missing: not collected"),EXACT(metadata!Z298,"missing: not provided"))),AND(IF(metadata!Z298="",FALSE,IF(ISERROR(INT(metadata!Z298)),FALSE,INT(metadata!Z298)=metadata!Z298)),metadata!Z298&gt;0))</f>
        <v>0</v>
      </c>
      <c r="BL298" t="b">
        <f>AND(IF(metadata!AA298="",FALSE,TRUE),EXACT(metadata!AA298,"Not applicable"))</f>
        <v>0</v>
      </c>
      <c r="BM298" t="b">
        <f>IF(metadata!AB298="",FALSE,TRUE)</f>
        <v>0</v>
      </c>
    </row>
    <row r="299" spans="1:65" x14ac:dyDescent="0.2">
      <c r="A299" s="5" t="str">
        <f ca="1">IF(B299=" "," ",HYPERLINK(CONCATENATE("#metadata!",ADDRESS(INDEX($AH$2:$AH$1001,MATCH(ROWS($AF$2:AF299),$AF$2:$AF$1001,0),0),1)),INDEX($AK$2:$AK$1001,MATCH(ROWS($AF$2:AF299),$AF$2:$AF$1001,0),0)))</f>
        <v xml:space="preserve"> </v>
      </c>
      <c r="B299" s="4" t="str">
        <f ca="1">IF(OR(INDEX($AG$2:$AG$1001,MATCH(ROWS($AF$2:AF299),$AF$2:$AF$1001,0),1)&gt;=100000,INDEX($AM$1005:$BM$1005,1,MATCH(COLUMNS($AM$1006:AM1006),$AM$1006:$BM$1006,0))&gt;=100000), " ",IF(INDEX($AM$2:$BM$1001,MATCH(ROWS($AF$2:AF299),$AF$2:$AF$1001,0),MATCH(COLUMNS($AM$1006:AM1006),$AM$1006:$BM$1006,0)), HYPERLINK("#",""), HYPERLINK(CONCATENATE("#metadata!", ADDRESS(INDEX($AH$2:$AH$1001,MATCH(ROWS($AF$2:AF299),$AF$2:$AF$1001,0),0), INDEX($AM$1004:$BM$1004,1,MATCH(COLUMNS($AM$1006:AM1006),$AM$1006:$BM$1006,0)))),"Fix")))</f>
        <v xml:space="preserve"> </v>
      </c>
      <c r="C299" s="4" t="str">
        <f ca="1">IF(OR(INDEX($AG$2:$AG$1001,MATCH(ROWS($AF$2:AF299),$AF$2:$AF$1001,0),1)&gt;=100000,INDEX($AM$1005:$BM$1005,1,MATCH(COLUMNS($AM$1006:AN1006),$AM$1006:$BM$1006,0))&gt;=100000), " ",IF(INDEX($AM$2:$BM$1001,MATCH(ROWS($AF$2:AF299),$AF$2:$AF$1001,0),MATCH(COLUMNS($AM$1006:AN1006),$AM$1006:$BM$1006,0)), HYPERLINK("#",""), HYPERLINK(CONCATENATE("#metadata!", ADDRESS(INDEX($AH$2:$AH$1001,MATCH(ROWS($AF$2:AF299),$AF$2:$AF$1001,0),0), INDEX($AM$1004:$BM$1004,1,MATCH(COLUMNS($AM$1006:AN1006),$AM$1006:$BM$1006,0)))),"Fix")))</f>
        <v xml:space="preserve"> </v>
      </c>
      <c r="D299" s="4" t="str">
        <f ca="1">IF(OR(INDEX($AG$2:$AG$1001,MATCH(ROWS($AF$2:AF299),$AF$2:$AF$1001,0),1)&gt;=100000,INDEX($AM$1005:$BM$1005,1,MATCH(COLUMNS($AM$1006:AO1006),$AM$1006:$BM$1006,0))&gt;=100000), " ",IF(INDEX($AM$2:$BM$1001,MATCH(ROWS($AF$2:AF299),$AF$2:$AF$1001,0),MATCH(COLUMNS($AM$1006:AO1006),$AM$1006:$BM$1006,0)), HYPERLINK("#",""), HYPERLINK(CONCATENATE("#metadata!", ADDRESS(INDEX($AH$2:$AH$1001,MATCH(ROWS($AF$2:AF299),$AF$2:$AF$1001,0),0), INDEX($AM$1004:$BM$1004,1,MATCH(COLUMNS($AM$1006:AO1006),$AM$1006:$BM$1006,0)))),"Fix")))</f>
        <v xml:space="preserve"> </v>
      </c>
      <c r="E299" s="4" t="str">
        <f ca="1">IF(OR(INDEX($AG$2:$AG$1001,MATCH(ROWS($AF$2:AF299),$AF$2:$AF$1001,0),1)&gt;=100000,INDEX($AM$1005:$BM$1005,1,MATCH(COLUMNS($AM$1006:AP1006),$AM$1006:$BM$1006,0))&gt;=100000), " ",IF(INDEX($AM$2:$BM$1001,MATCH(ROWS($AF$2:AF299),$AF$2:$AF$1001,0),MATCH(COLUMNS($AM$1006:AP1006),$AM$1006:$BM$1006,0)), HYPERLINK("#",""), HYPERLINK(CONCATENATE("#metadata!", ADDRESS(INDEX($AH$2:$AH$1001,MATCH(ROWS($AF$2:AF299),$AF$2:$AF$1001,0),0), INDEX($AM$1004:$BM$1004,1,MATCH(COLUMNS($AM$1006:AP1006),$AM$1006:$BM$1006,0)))),"Fix")))</f>
        <v xml:space="preserve"> </v>
      </c>
      <c r="F299" s="4" t="str">
        <f ca="1">IF(OR(INDEX($AG$2:$AG$1001,MATCH(ROWS($AF$2:AF299),$AF$2:$AF$1001,0),1)&gt;=100000,INDEX($AM$1005:$BM$1005,1,MATCH(COLUMNS($AM$1006:AQ1006),$AM$1006:$BM$1006,0))&gt;=100000), " ",IF(INDEX($AM$2:$BM$1001,MATCH(ROWS($AF$2:AF299),$AF$2:$AF$1001,0),MATCH(COLUMNS($AM$1006:AQ1006),$AM$1006:$BM$1006,0)), HYPERLINK("#",""), HYPERLINK(CONCATENATE("#metadata!", ADDRESS(INDEX($AH$2:$AH$1001,MATCH(ROWS($AF$2:AF299),$AF$2:$AF$1001,0),0), INDEX($AM$1004:$BM$1004,1,MATCH(COLUMNS($AM$1006:AQ1006),$AM$1006:$BM$1006,0)))),"Fix")))</f>
        <v xml:space="preserve"> </v>
      </c>
      <c r="G299" s="4" t="str">
        <f ca="1">IF(OR(INDEX($AG$2:$AG$1001,MATCH(ROWS($AF$2:AF299),$AF$2:$AF$1001,0),1)&gt;=100000,INDEX($AM$1005:$BM$1005,1,MATCH(COLUMNS($AM$1006:AR1006),$AM$1006:$BM$1006,0))&gt;=100000), " ",IF(INDEX($AM$2:$BM$1001,MATCH(ROWS($AF$2:AF299),$AF$2:$AF$1001,0),MATCH(COLUMNS($AM$1006:AR1006),$AM$1006:$BM$1006,0)), HYPERLINK("#",""), HYPERLINK(CONCATENATE("#metadata!", ADDRESS(INDEX($AH$2:$AH$1001,MATCH(ROWS($AF$2:AF299),$AF$2:$AF$1001,0),0), INDEX($AM$1004:$BM$1004,1,MATCH(COLUMNS($AM$1006:AR1006),$AM$1006:$BM$1006,0)))),"Fix")))</f>
        <v xml:space="preserve"> </v>
      </c>
      <c r="H299" s="4" t="str">
        <f ca="1">IF(OR(INDEX($AG$2:$AG$1001,MATCH(ROWS($AF$2:AF299),$AF$2:$AF$1001,0),1)&gt;=100000,INDEX($AM$1005:$BM$1005,1,MATCH(COLUMNS($AM$1006:AS1006),$AM$1006:$BM$1006,0))&gt;=100000), " ",IF(INDEX($AM$2:$BM$1001,MATCH(ROWS($AF$2:AF299),$AF$2:$AF$1001,0),MATCH(COLUMNS($AM$1006:AS1006),$AM$1006:$BM$1006,0)), HYPERLINK("#",""), HYPERLINK(CONCATENATE("#metadata!", ADDRESS(INDEX($AH$2:$AH$1001,MATCH(ROWS($AF$2:AF299),$AF$2:$AF$1001,0),0), INDEX($AM$1004:$BM$1004,1,MATCH(COLUMNS($AM$1006:AS1006),$AM$1006:$BM$1006,0)))),"Fix")))</f>
        <v xml:space="preserve"> </v>
      </c>
      <c r="I299" s="4" t="str">
        <f ca="1">IF(OR(INDEX($AG$2:$AG$1001,MATCH(ROWS($AF$2:AF299),$AF$2:$AF$1001,0),1)&gt;=100000,INDEX($AM$1005:$BM$1005,1,MATCH(COLUMNS($AM$1006:AT1006),$AM$1006:$BM$1006,0))&gt;=100000), " ",IF(INDEX($AM$2:$BM$1001,MATCH(ROWS($AF$2:AF299),$AF$2:$AF$1001,0),MATCH(COLUMNS($AM$1006:AT1006),$AM$1006:$BM$1006,0)), HYPERLINK("#",""), HYPERLINK(CONCATENATE("#metadata!", ADDRESS(INDEX($AH$2:$AH$1001,MATCH(ROWS($AF$2:AF299),$AF$2:$AF$1001,0),0), INDEX($AM$1004:$BM$1004,1,MATCH(COLUMNS($AM$1006:AT1006),$AM$1006:$BM$1006,0)))),"Fix")))</f>
        <v xml:space="preserve"> </v>
      </c>
      <c r="J299" s="4" t="str">
        <f ca="1">IF(OR(INDEX($AG$2:$AG$1001,MATCH(ROWS($AF$2:AF299),$AF$2:$AF$1001,0),1)&gt;=100000,INDEX($AM$1005:$BM$1005,1,MATCH(COLUMNS($AM$1006:AU1006),$AM$1006:$BM$1006,0))&gt;=100000), " ",IF(INDEX($AM$2:$BM$1001,MATCH(ROWS($AF$2:AF299),$AF$2:$AF$1001,0),MATCH(COLUMNS($AM$1006:AU1006),$AM$1006:$BM$1006,0)), HYPERLINK("#",""), HYPERLINK(CONCATENATE("#metadata!", ADDRESS(INDEX($AH$2:$AH$1001,MATCH(ROWS($AF$2:AF299),$AF$2:$AF$1001,0),0), INDEX($AM$1004:$BM$1004,1,MATCH(COLUMNS($AM$1006:AU1006),$AM$1006:$BM$1006,0)))),"Fix")))</f>
        <v xml:space="preserve"> </v>
      </c>
      <c r="K299" s="4" t="str">
        <f ca="1">IF(OR(INDEX($AG$2:$AG$1001,MATCH(ROWS($AF$2:AF299),$AF$2:$AF$1001,0),1)&gt;=100000,INDEX($AM$1005:$BM$1005,1,MATCH(COLUMNS($AM$1006:AV1006),$AM$1006:$BM$1006,0))&gt;=100000), " ",IF(INDEX($AM$2:$BM$1001,MATCH(ROWS($AF$2:AF299),$AF$2:$AF$1001,0),MATCH(COLUMNS($AM$1006:AV1006),$AM$1006:$BM$1006,0)), HYPERLINK("#",""), HYPERLINK(CONCATENATE("#metadata!", ADDRESS(INDEX($AH$2:$AH$1001,MATCH(ROWS($AF$2:AF299),$AF$2:$AF$1001,0),0), INDEX($AM$1004:$BM$1004,1,MATCH(COLUMNS($AM$1006:AV1006),$AM$1006:$BM$1006,0)))),"Fix")))</f>
        <v xml:space="preserve"> </v>
      </c>
      <c r="L299" s="4" t="str">
        <f ca="1">IF(OR(INDEX($AG$2:$AG$1001,MATCH(ROWS($AF$2:AF299),$AF$2:$AF$1001,0),1)&gt;=100000,INDEX($AM$1005:$BM$1005,1,MATCH(COLUMNS($AM$1006:AW1006),$AM$1006:$BM$1006,0))&gt;=100000), " ",IF(INDEX($AM$2:$BM$1001,MATCH(ROWS($AF$2:AF299),$AF$2:$AF$1001,0),MATCH(COLUMNS($AM$1006:AW1006),$AM$1006:$BM$1006,0)), HYPERLINK("#",""), HYPERLINK(CONCATENATE("#metadata!", ADDRESS(INDEX($AH$2:$AH$1001,MATCH(ROWS($AF$2:AF299),$AF$2:$AF$1001,0),0), INDEX($AM$1004:$BM$1004,1,MATCH(COLUMNS($AM$1006:AW1006),$AM$1006:$BM$1006,0)))),"Fix")))</f>
        <v xml:space="preserve"> </v>
      </c>
      <c r="M299" s="4" t="str">
        <f ca="1">IF(OR(INDEX($AG$2:$AG$1001,MATCH(ROWS($AF$2:AF299),$AF$2:$AF$1001,0),1)&gt;=100000,INDEX($AM$1005:$BM$1005,1,MATCH(COLUMNS($AM$1006:AX1006),$AM$1006:$BM$1006,0))&gt;=100000), " ",IF(INDEX($AM$2:$BM$1001,MATCH(ROWS($AF$2:AF299),$AF$2:$AF$1001,0),MATCH(COLUMNS($AM$1006:AX1006),$AM$1006:$BM$1006,0)), HYPERLINK("#",""), HYPERLINK(CONCATENATE("#metadata!", ADDRESS(INDEX($AH$2:$AH$1001,MATCH(ROWS($AF$2:AF299),$AF$2:$AF$1001,0),0), INDEX($AM$1004:$BM$1004,1,MATCH(COLUMNS($AM$1006:AX1006),$AM$1006:$BM$1006,0)))),"Fix")))</f>
        <v xml:space="preserve"> </v>
      </c>
      <c r="N299" s="4" t="str">
        <f ca="1">IF(OR(INDEX($AG$2:$AG$1001,MATCH(ROWS($AF$2:AF299),$AF$2:$AF$1001,0),1)&gt;=100000,INDEX($AM$1005:$BM$1005,1,MATCH(COLUMNS($AM$1006:AY1006),$AM$1006:$BM$1006,0))&gt;=100000), " ",IF(INDEX($AM$2:$BM$1001,MATCH(ROWS($AF$2:AF299),$AF$2:$AF$1001,0),MATCH(COLUMNS($AM$1006:AY1006),$AM$1006:$BM$1006,0)), HYPERLINK("#",""), HYPERLINK(CONCATENATE("#metadata!", ADDRESS(INDEX($AH$2:$AH$1001,MATCH(ROWS($AF$2:AF299),$AF$2:$AF$1001,0),0), INDEX($AM$1004:$BM$1004,1,MATCH(COLUMNS($AM$1006:AY1006),$AM$1006:$BM$1006,0)))),"Fix")))</f>
        <v xml:space="preserve"> </v>
      </c>
      <c r="O299" s="4" t="str">
        <f ca="1">IF(OR(INDEX($AG$2:$AG$1001,MATCH(ROWS($AF$2:AF299),$AF$2:$AF$1001,0),1)&gt;=100000,INDEX($AM$1005:$BM$1005,1,MATCH(COLUMNS($AM$1006:AZ1006),$AM$1006:$BM$1006,0))&gt;=100000), " ",IF(INDEX($AM$2:$BM$1001,MATCH(ROWS($AF$2:AF299),$AF$2:$AF$1001,0),MATCH(COLUMNS($AM$1006:AZ1006),$AM$1006:$BM$1006,0)), HYPERLINK("#",""), HYPERLINK(CONCATENATE("#metadata!", ADDRESS(INDEX($AH$2:$AH$1001,MATCH(ROWS($AF$2:AF299),$AF$2:$AF$1001,0),0), INDEX($AM$1004:$BM$1004,1,MATCH(COLUMNS($AM$1006:AZ1006),$AM$1006:$BM$1006,0)))),"Fix")))</f>
        <v xml:space="preserve"> </v>
      </c>
      <c r="P299" s="4" t="str">
        <f ca="1">IF(OR(INDEX($AG$2:$AG$1001,MATCH(ROWS($AF$2:AF299),$AF$2:$AF$1001,0),1)&gt;=100000,INDEX($AM$1005:$BM$1005,1,MATCH(COLUMNS($AM$1006:BA1006),$AM$1006:$BM$1006,0))&gt;=100000), " ",IF(INDEX($AM$2:$BM$1001,MATCH(ROWS($AF$2:AF299),$AF$2:$AF$1001,0),MATCH(COLUMNS($AM$1006:BA1006),$AM$1006:$BM$1006,0)), HYPERLINK("#",""), HYPERLINK(CONCATENATE("#metadata!", ADDRESS(INDEX($AH$2:$AH$1001,MATCH(ROWS($AF$2:AF299),$AF$2:$AF$1001,0),0), INDEX($AM$1004:$BM$1004,1,MATCH(COLUMNS($AM$1006:BA1006),$AM$1006:$BM$1006,0)))),"Fix")))</f>
        <v xml:space="preserve"> </v>
      </c>
      <c r="Q299" s="4" t="str">
        <f ca="1">IF(OR(INDEX($AG$2:$AG$1001,MATCH(ROWS($AF$2:AF299),$AF$2:$AF$1001,0),1)&gt;=100000,INDEX($AM$1005:$BM$1005,1,MATCH(COLUMNS($AM$1006:BB1006),$AM$1006:$BM$1006,0))&gt;=100000), " ",IF(INDEX($AM$2:$BM$1001,MATCH(ROWS($AF$2:AF299),$AF$2:$AF$1001,0),MATCH(COLUMNS($AM$1006:BB1006),$AM$1006:$BM$1006,0)), HYPERLINK("#",""), HYPERLINK(CONCATENATE("#metadata!", ADDRESS(INDEX($AH$2:$AH$1001,MATCH(ROWS($AF$2:AF299),$AF$2:$AF$1001,0),0), INDEX($AM$1004:$BM$1004,1,MATCH(COLUMNS($AM$1006:BB1006),$AM$1006:$BM$1006,0)))),"Fix")))</f>
        <v xml:space="preserve"> </v>
      </c>
      <c r="R299" s="4" t="str">
        <f ca="1">IF(OR(INDEX($AG$2:$AG$1001,MATCH(ROWS($AF$2:AF299),$AF$2:$AF$1001,0),1)&gt;=100000,INDEX($AM$1005:$BM$1005,1,MATCH(COLUMNS($AM$1006:BC1006),$AM$1006:$BM$1006,0))&gt;=100000), " ",IF(INDEX($AM$2:$BM$1001,MATCH(ROWS($AF$2:AF299),$AF$2:$AF$1001,0),MATCH(COLUMNS($AM$1006:BC1006),$AM$1006:$BM$1006,0)), HYPERLINK("#",""), HYPERLINK(CONCATENATE("#metadata!", ADDRESS(INDEX($AH$2:$AH$1001,MATCH(ROWS($AF$2:AF299),$AF$2:$AF$1001,0),0), INDEX($AM$1004:$BM$1004,1,MATCH(COLUMNS($AM$1006:BC1006),$AM$1006:$BM$1006,0)))),"Fix")))</f>
        <v xml:space="preserve"> </v>
      </c>
      <c r="S299" s="4" t="str">
        <f ca="1">IF(OR(INDEX($AG$2:$AG$1001,MATCH(ROWS($AF$2:AF299),$AF$2:$AF$1001,0),1)&gt;=100000,INDEX($AM$1005:$BM$1005,1,MATCH(COLUMNS($AM$1006:BD1006),$AM$1006:$BM$1006,0))&gt;=100000), " ",IF(INDEX($AM$2:$BM$1001,MATCH(ROWS($AF$2:AF299),$AF$2:$AF$1001,0),MATCH(COLUMNS($AM$1006:BD1006),$AM$1006:$BM$1006,0)), HYPERLINK("#",""), HYPERLINK(CONCATENATE("#metadata!", ADDRESS(INDEX($AH$2:$AH$1001,MATCH(ROWS($AF$2:AF299),$AF$2:$AF$1001,0),0), INDEX($AM$1004:$BM$1004,1,MATCH(COLUMNS($AM$1006:BD1006),$AM$1006:$BM$1006,0)))),"Fix")))</f>
        <v xml:space="preserve"> </v>
      </c>
      <c r="T299" s="4" t="str">
        <f ca="1">IF(OR(INDEX($AG$2:$AG$1001,MATCH(ROWS($AF$2:AF299),$AF$2:$AF$1001,0),1)&gt;=100000,INDEX($AM$1005:$BM$1005,1,MATCH(COLUMNS($AM$1006:BE1006),$AM$1006:$BM$1006,0))&gt;=100000), " ",IF(INDEX($AM$2:$BM$1001,MATCH(ROWS($AF$2:AF299),$AF$2:$AF$1001,0),MATCH(COLUMNS($AM$1006:BE1006),$AM$1006:$BM$1006,0)), HYPERLINK("#",""), HYPERLINK(CONCATENATE("#metadata!", ADDRESS(INDEX($AH$2:$AH$1001,MATCH(ROWS($AF$2:AF299),$AF$2:$AF$1001,0),0), INDEX($AM$1004:$BM$1004,1,MATCH(COLUMNS($AM$1006:BE1006),$AM$1006:$BM$1006,0)))),"Fix")))</f>
        <v xml:space="preserve"> </v>
      </c>
      <c r="U299" s="4" t="str">
        <f ca="1">IF(OR(INDEX($AG$2:$AG$1001,MATCH(ROWS($AF$2:AF299),$AF$2:$AF$1001,0),1)&gt;=100000,INDEX($AM$1005:$BM$1005,1,MATCH(COLUMNS($AM$1006:BF1006),$AM$1006:$BM$1006,0))&gt;=100000), " ",IF(INDEX($AM$2:$BM$1001,MATCH(ROWS($AF$2:AF299),$AF$2:$AF$1001,0),MATCH(COLUMNS($AM$1006:BF1006),$AM$1006:$BM$1006,0)), HYPERLINK("#",""), HYPERLINK(CONCATENATE("#metadata!", ADDRESS(INDEX($AH$2:$AH$1001,MATCH(ROWS($AF$2:AF299),$AF$2:$AF$1001,0),0), INDEX($AM$1004:$BM$1004,1,MATCH(COLUMNS($AM$1006:BF1006),$AM$1006:$BM$1006,0)))),"Fix")))</f>
        <v xml:space="preserve"> </v>
      </c>
      <c r="V299" s="4" t="str">
        <f ca="1">IF(OR(INDEX($AG$2:$AG$1001,MATCH(ROWS($AF$2:AF299),$AF$2:$AF$1001,0),1)&gt;=100000,INDEX($AM$1005:$BM$1005,1,MATCH(COLUMNS($AM$1006:BG1006),$AM$1006:$BM$1006,0))&gt;=100000), " ",IF(INDEX($AM$2:$BM$1001,MATCH(ROWS($AF$2:AF299),$AF$2:$AF$1001,0),MATCH(COLUMNS($AM$1006:BG1006),$AM$1006:$BM$1006,0)), HYPERLINK("#",""), HYPERLINK(CONCATENATE("#metadata!", ADDRESS(INDEX($AH$2:$AH$1001,MATCH(ROWS($AF$2:AF299),$AF$2:$AF$1001,0),0), INDEX($AM$1004:$BM$1004,1,MATCH(COLUMNS($AM$1006:BG1006),$AM$1006:$BM$1006,0)))),"Fix")))</f>
        <v xml:space="preserve"> </v>
      </c>
      <c r="W299" s="4" t="str">
        <f ca="1">IF(OR(INDEX($AG$2:$AG$1001,MATCH(ROWS($AF$2:AF299),$AF$2:$AF$1001,0),1)&gt;=100000,INDEX($AM$1005:$BM$1005,1,MATCH(COLUMNS($AM$1006:BH1006),$AM$1006:$BM$1006,0))&gt;=100000), " ",IF(INDEX($AM$2:$BM$1001,MATCH(ROWS($AF$2:AF299),$AF$2:$AF$1001,0),MATCH(COLUMNS($AM$1006:BH1006),$AM$1006:$BM$1006,0)), HYPERLINK("#",""), HYPERLINK(CONCATENATE("#metadata!", ADDRESS(INDEX($AH$2:$AH$1001,MATCH(ROWS($AF$2:AF299),$AF$2:$AF$1001,0),0), INDEX($AM$1004:$BM$1004,1,MATCH(COLUMNS($AM$1006:BH1006),$AM$1006:$BM$1006,0)))),"Fix")))</f>
        <v xml:space="preserve"> </v>
      </c>
      <c r="X299" s="4" t="str">
        <f ca="1">IF(OR(INDEX($AG$2:$AG$1001,MATCH(ROWS($AF$2:AF299),$AF$2:$AF$1001,0),1)&gt;=100000,INDEX($AM$1005:$BM$1005,1,MATCH(COLUMNS($AM$1006:BI1006),$AM$1006:$BM$1006,0))&gt;=100000), " ",IF(INDEX($AM$2:$BM$1001,MATCH(ROWS($AF$2:AF299),$AF$2:$AF$1001,0),MATCH(COLUMNS($AM$1006:BI1006),$AM$1006:$BM$1006,0)), HYPERLINK("#",""), HYPERLINK(CONCATENATE("#metadata!", ADDRESS(INDEX($AH$2:$AH$1001,MATCH(ROWS($AF$2:AF299),$AF$2:$AF$1001,0),0), INDEX($AM$1004:$BM$1004,1,MATCH(COLUMNS($AM$1006:BI1006),$AM$1006:$BM$1006,0)))),"Fix")))</f>
        <v xml:space="preserve"> </v>
      </c>
      <c r="Y299" s="4" t="str">
        <f ca="1">IF(OR(INDEX($AG$2:$AG$1001,MATCH(ROWS($AF$2:AF299),$AF$2:$AF$1001,0),1)&gt;=100000,INDEX($AM$1005:$BM$1005,1,MATCH(COLUMNS($AM$1006:BJ1006),$AM$1006:$BM$1006,0))&gt;=100000), " ",IF(INDEX($AM$2:$BM$1001,MATCH(ROWS($AF$2:AF299),$AF$2:$AF$1001,0),MATCH(COLUMNS($AM$1006:BJ1006),$AM$1006:$BM$1006,0)), HYPERLINK("#",""), HYPERLINK(CONCATENATE("#metadata!", ADDRESS(INDEX($AH$2:$AH$1001,MATCH(ROWS($AF$2:AF299),$AF$2:$AF$1001,0),0), INDEX($AM$1004:$BM$1004,1,MATCH(COLUMNS($AM$1006:BJ1006),$AM$1006:$BM$1006,0)))),"Fix")))</f>
        <v xml:space="preserve"> </v>
      </c>
      <c r="Z299" s="4" t="str">
        <f ca="1">IF(OR(INDEX($AG$2:$AG$1001,MATCH(ROWS($AF$2:AF299),$AF$2:$AF$1001,0),1)&gt;=100000,INDEX($AM$1005:$BM$1005,1,MATCH(COLUMNS($AM$1006:BK1006),$AM$1006:$BM$1006,0))&gt;=100000), " ",IF(INDEX($AM$2:$BM$1001,MATCH(ROWS($AF$2:AF299),$AF$2:$AF$1001,0),MATCH(COLUMNS($AM$1006:BK1006),$AM$1006:$BM$1006,0)), HYPERLINK("#",""), HYPERLINK(CONCATENATE("#metadata!", ADDRESS(INDEX($AH$2:$AH$1001,MATCH(ROWS($AF$2:AF299),$AF$2:$AF$1001,0),0), INDEX($AM$1004:$BM$1004,1,MATCH(COLUMNS($AM$1006:BK1006),$AM$1006:$BM$1006,0)))),"Fix")))</f>
        <v xml:space="preserve"> </v>
      </c>
      <c r="AA299" s="4" t="str">
        <f ca="1">IF(OR(INDEX($AG$2:$AG$1001,MATCH(ROWS($AF$2:AF299),$AF$2:$AF$1001,0),1)&gt;=100000,INDEX($AM$1005:$BM$1005,1,MATCH(COLUMNS($AM$1006:BL1006),$AM$1006:$BM$1006,0))&gt;=100000), " ",IF(INDEX($AM$2:$BM$1001,MATCH(ROWS($AF$2:AF299),$AF$2:$AF$1001,0),MATCH(COLUMNS($AM$1006:BL1006),$AM$1006:$BM$1006,0)), HYPERLINK("#",""), HYPERLINK(CONCATENATE("#metadata!", ADDRESS(INDEX($AH$2:$AH$1001,MATCH(ROWS($AF$2:AF299),$AF$2:$AF$1001,0),0), INDEX($AM$1004:$BM$1004,1,MATCH(COLUMNS($AM$1006:BL1006),$AM$1006:$BM$1006,0)))),"Fix")))</f>
        <v xml:space="preserve"> </v>
      </c>
      <c r="AB299" s="4" t="str">
        <f ca="1">IF(OR(INDEX($AG$2:$AG$1001,MATCH(ROWS($AF$2:AF299),$AF$2:$AF$1001,0),1)&gt;=100000,INDEX($AM$1005:$BM$1005,1,MATCH(COLUMNS($AM$1006:BM1006),$AM$1006:$BM$1006,0))&gt;=100000), " ",IF(INDEX($AM$2:$BM$1001,MATCH(ROWS($AF$2:AF299),$AF$2:$AF$1001,0),MATCH(COLUMNS($AM$1006:BM1006),$AM$1006:$BM$1006,0)), HYPERLINK("#",""), HYPERLINK(CONCATENATE("#metadata!", ADDRESS(INDEX($AH$2:$AH$1001,MATCH(ROWS($AF$2:AF299),$AF$2:$AF$1001,0),0), INDEX($AM$1004:$BM$1004,1,MATCH(COLUMNS($AM$1006:BM1006),$AM$1006:$BM$1006,0)))),"Fix")))</f>
        <v xml:space="preserve"> </v>
      </c>
      <c r="AF299">
        <v>298</v>
      </c>
      <c r="AG299">
        <v>100299</v>
      </c>
      <c r="AH299">
        <v>299</v>
      </c>
      <c r="AI299" t="b">
        <f t="shared" si="4"/>
        <v>1</v>
      </c>
      <c r="AJ299" t="b">
        <f>COUNTBLANK(metadata!B299:AB299)=COLUMNS(metadata!B299:AB299)</f>
        <v>1</v>
      </c>
      <c r="AK299" t="str">
        <v/>
      </c>
      <c r="AM299" t="b">
        <f ca="1">AND(IF(metadata!B299="",FALSE,TRUE),COUNTIF(metadata!B:B, metadata!B299) = 1,NOT(ISERROR(SUMPRODUCT(SEARCH(MID(metadata!B299,ROW(INDIRECT("1:"&amp;LEN(metadata!B299))), 1),"0123456789abcdefghijklmnopqrstuvwxyzABCDEFGHIJKLMNOPQRSTUVWXYZ.")))))</f>
        <v>0</v>
      </c>
      <c r="AN299" t="b">
        <f ca="1">OR(AND(IF(metadata!C299="",FALSE,TRUE),OR(EXACT(metadata!C299,"missing: not collected"),EXACT(metadata!C299,"missing: not provided"),EXACT(metadata!C299,"missing: restricted access"))),AND(IF(metadata!C299="",FALSE,TRUE),AND(AND(IFERROR(INT(LEFT(metadata!C299,4))&gt;1900,FALSE),IFERROR(INT(LEFT(metadata!C299,4))&lt;=YEAR(NOW()),FALSE)), OR(MID(metadata!C299,5,1)="", AND(AND(MID(metadata!C299,5,1)="-",IFERROR(INT(MID(metadata!C299,6,1))&gt;=0,FALSE),IFERROR(INT(MID(metadata!C299,6,1))&lt;=1,FALSE),NOT(MID(metadata!C299,7,1)=""),IFERROR(INT(MID(metadata!C299,6,2))&gt;=1,FALSE),IFERROR(INT(MID(metadata!C299,6,2))&lt;=12,FALSE)), OR(MID(metadata!C299,8,1)="", AND(AND(MID(metadata!C299,8,1)="-",IFERROR(INT(MID(metadata!C299,9,1))&gt;=0,FALSE),IFERROR(INT(MID(metadata!C299,9,1))&lt;=3,FALSE),NOT(MID(metadata!C299,10,1)=""),IFERROR(INT(MID(metadata!C299,9,2))&gt;=1,FALSE),IFERROR(INT(MID(metadata!C299,9,2))&lt;=31,FALSE)), OR(MID(metadata!C299,11,1)="", AND(AND(MID(metadata!C299,11,1)=" ",IFERROR(INT(MID(metadata!C299,12,1))&gt;=0,FALSE),IFERROR(INT(MID(metadata!C299,12,1))&lt;=2,FALSE),NOT(MID(metadata!C299,13,1)=""),IFERROR(INT(MID(metadata!C299,12,2))&gt;=0,FALSE),IFERROR(INT(MID(metadata!C299,12,2))&lt;=23,FALSE)), OR(MID(metadata!C299,14,1)="", AND(AND(MID(metadata!C299,14,1)=":",IFERROR(INT(MID(metadata!C299,15,1))&gt;=0,FALSE),IFERROR(INT(MID(metadata!C299,15,1))&lt;=5,FALSE),NOT(MID(metadata!C299,16,1)=""),IFERROR(INT(MID(metadata!C299,15,2))&gt;=0,FALSE),IFERROR(INT(MID(metadata!C299,15,2))&lt;=59,FALSE)), OR(MID(metadata!C299,17,1)="", AND(AND(MID(metadata!C299,17,1)=":",IFERROR(INT(MID(metadata!C299,18,1))&gt;=0,FALSE),IFERROR(INT(MID(metadata!C299,18,1))&lt;=5,FALSE),NOT(MID(metadata!C299,19,1)=""),IFERROR(INT(MID(metadata!C299,18,2))&gt;=0,FALSE),IFERROR(INT(MID(metadata!C299,18,2))&lt;=59,FALSE)), LEN(metadata!C299)&lt;=19)))))))))))))</f>
        <v>0</v>
      </c>
      <c r="AO299" t="b">
        <f>AND(IF(metadata!D299="",FALSE,TRUE),EXACT(metadata!D299,"Not applicable"))</f>
        <v>0</v>
      </c>
      <c r="AP299" t="b">
        <f>IF(metadata!E299="",FALSE,TRUE)</f>
        <v>0</v>
      </c>
      <c r="AQ299" t="b">
        <f>OR(AND(IF(metadata!F299="",FALSE,TRUE),OR(EXACT(metadata!F299,"missing: not collected"),EXACT(metadata!F299,"missing: not provided"))),AND(IF(metadata!F299="",FALSE,TRUE),OR(EXACT(metadata!F299,"TRUE"),EXACT(metadata!F299,"FALSE"))))</f>
        <v>0</v>
      </c>
      <c r="AR299" t="b">
        <f>OR(AND(IF(metadata!G299="",FALSE,TRUE),OR(EXACT(metadata!G299,"missing: not collected"),EXACT(metadata!G299,"missing: not provided"),EXACT(metadata!G299,"missing: restricted access"))),AND(IF(metadata!G299="",FALSE,ISNUMBER(VALUE(metadata!G299))),metadata!G299&gt;=-413))</f>
        <v>0</v>
      </c>
      <c r="AS299" t="b">
        <f>AND(IF(metadata!H299="",FALSE,TRUE),EXACT(metadata!H299,"meters"))</f>
        <v>0</v>
      </c>
      <c r="AT299" t="b">
        <f>AND(IF(metadata!I299="",FALSE,TRUE),OR(EXACT(metadata!I299,"Host-associated"),EXACT(metadata!I299,"Free-living")))</f>
        <v>0</v>
      </c>
      <c r="AU299" t="b">
        <f>AND(IF(metadata!J299="",FALSE,TRUE),OR(EXACT(metadata!J299,"Animal"),EXACT(metadata!J299,"Fungus"),EXACT(metadata!J299,"Plant"),EXACT(metadata!J299,"Saline"),EXACT(metadata!J299,"Non-saline")))</f>
        <v>0</v>
      </c>
      <c r="AV299" t="b">
        <f>AND(IF(metadata!K299="",FALSE,TRUE),OR(EXACT(metadata!K299,"Plant secretion"),EXACT(metadata!K299,"Plant rhizosphere"),EXACT(metadata!K299,"Plant surface"),EXACT(metadata!K299,"Plant corpus"),EXACT(metadata!K299,"Fungus surface"),EXACT(metadata!K299,"Fungus corpus"),EXACT(metadata!K299,"Animal surface"),EXACT(metadata!K299,"Animal proximal gut"),EXACT(metadata!K299,"Animal corpus"),EXACT(metadata!K299,"Animal distal gut"),EXACT(metadata!K299,"Animal secretion"),EXACT(metadata!K299,"Sub-surface (non-saline)"),EXACT(metadata!K299,"Surface (non-saline)"),EXACT(metadata!K299,"Water (non-saline)"),EXACT(metadata!K299,"Soil (non-saline)"),EXACT(metadata!K299,"Aerosol (non-saline)"),EXACT(metadata!K299,"Sediment (non-saline)"),EXACT(metadata!K299,"Surface (saline)"),EXACT(metadata!K299,"Water (saline)"),EXACT(metadata!K299,"Hypersaline (saline)"),EXACT(metadata!K299,"Aerosol (saline)"),EXACT(metadata!K299,"Sediment (saline)")))</f>
        <v>0</v>
      </c>
      <c r="AW299" t="b">
        <f>IF(metadata!L299="",FALSE,TRUE)</f>
        <v>0</v>
      </c>
      <c r="AX299" t="b">
        <f>IF(metadata!M299="",FALSE,TRUE)</f>
        <v>0</v>
      </c>
      <c r="AY299" t="b">
        <f>IF(metadata!N299="",FALSE,TRUE)</f>
        <v>0</v>
      </c>
      <c r="AZ299" t="b">
        <f>OR(AND(IF(metadata!O299="",FALSE,TRUE),OR(EXACT(metadata!O299,"missing: not collected"),EXACT(metadata!O299,"missing: not provided"),EXACT(metadata!O299,"missing: restricted access"))),AND(IF(metadata!O299="",FALSE,TRUE),OR(EXACT(metadata!O299,"air"),EXACT(metadata!O299,"built environment"),EXACT(metadata!O299,"host-associated"),EXACT(metadata!O299,"human-associated"),EXACT(metadata!O299,"human-skin"),EXACT(metadata!O299,"human-oral"),EXACT(metadata!O299,"human-gut"),EXACT(metadata!O299,"human-vaginal"),EXACT(metadata!O299,"microbial mat/biofilm"),EXACT(metadata!O299,"misc environment"),EXACT(metadata!O299,"plant-associated"),EXACT(metadata!O299,"sediment"),EXACT(metadata!O299,"soil"),EXACT(metadata!O299,"wastewater/sludge"),EXACT(metadata!O299,"water"))))</f>
        <v>0</v>
      </c>
      <c r="BA299" t="b">
        <f>IF(metadata!P299="",FALSE,TRUE)</f>
        <v>0</v>
      </c>
      <c r="BB299" t="b">
        <f>IF(metadata!Q299="",FALSE,TRUE)</f>
        <v>0</v>
      </c>
      <c r="BC299" t="b">
        <f>OR(AND(IF(metadata!R299="",FALSE,TRUE),OR(EXACT(metadata!R299,"missing: not collected"),EXACT(metadata!R299,"missing: not provided"),EXACT(metadata!R299,"missing: restricted access"))),AND(IF(metadata!R299="",FALSE,ISNUMBER(VALUE(metadata!R299))),metadata!R299&gt;=-90,metadata!R299&lt;=90))</f>
        <v>0</v>
      </c>
      <c r="BD299" t="b">
        <f>AND(IF(metadata!S299="",FALSE,TRUE),EXACT(metadata!S299,"Decimal degrees"))</f>
        <v>0</v>
      </c>
      <c r="BE299" t="b">
        <f>OR(AND(IF(metadata!T299="",FALSE,TRUE),OR(EXACT(metadata!T299,"missing: not collected"),EXACT(metadata!T299,"missing: not provided"),EXACT(metadata!T299,"missing: restricted access"))),AND(IF(metadata!T299="",FALSE,ISNUMBER(VALUE(metadata!T299))),metadata!T299&gt;=-180,metadata!T299&lt;=180))</f>
        <v>0</v>
      </c>
      <c r="BF299" t="b">
        <f>AND(IF(metadata!U299="",FALSE,TRUE),EXACT(metadata!U299,"Decimal degrees"))</f>
        <v>0</v>
      </c>
      <c r="BG299" t="b">
        <f>IF(metadata!V299="",FALSE,TRUE)</f>
        <v>0</v>
      </c>
      <c r="BH299" t="b">
        <f>OR(AND(IF(metadata!W299="",FALSE,TRUE),OR(EXACT(metadata!W299,"missing: not collected"),EXACT(metadata!W299,"missing: not provided"),EXACT(metadata!W299,"missing: restricted access"))),AND(IF(metadata!W299="",FALSE,TRUE),OR(EXACT(metadata!W299,"TRUE"),EXACT(metadata!W299,"FALSE"))))</f>
        <v>0</v>
      </c>
      <c r="BI299" t="b">
        <f>AND(IF(metadata!X299="",FALSE,TRUE),EXACT(metadata!X299,"other"))</f>
        <v>0</v>
      </c>
      <c r="BJ299" t="b">
        <f>IF(metadata!Y299="",FALSE,TRUE)</f>
        <v>0</v>
      </c>
      <c r="BK299" t="b">
        <f>OR(AND(IF(metadata!Z299="",FALSE,TRUE),OR(EXACT(metadata!Z299,"missing: not collected"),EXACT(metadata!Z299,"missing: not provided"))),AND(IF(metadata!Z299="",FALSE,IF(ISERROR(INT(metadata!Z299)),FALSE,INT(metadata!Z299)=metadata!Z299)),metadata!Z299&gt;0))</f>
        <v>0</v>
      </c>
      <c r="BL299" t="b">
        <f>AND(IF(metadata!AA299="",FALSE,TRUE),EXACT(metadata!AA299,"Not applicable"))</f>
        <v>0</v>
      </c>
      <c r="BM299" t="b">
        <f>IF(metadata!AB299="",FALSE,TRUE)</f>
        <v>0</v>
      </c>
    </row>
    <row r="300" spans="1:65" x14ac:dyDescent="0.2">
      <c r="A300" s="5" t="str">
        <f ca="1">IF(B300=" "," ",HYPERLINK(CONCATENATE("#metadata!",ADDRESS(INDEX($AH$2:$AH$1001,MATCH(ROWS($AF$2:AF300),$AF$2:$AF$1001,0),0),1)),INDEX($AK$2:$AK$1001,MATCH(ROWS($AF$2:AF300),$AF$2:$AF$1001,0),0)))</f>
        <v xml:space="preserve"> </v>
      </c>
      <c r="B300" s="4" t="str">
        <f ca="1">IF(OR(INDEX($AG$2:$AG$1001,MATCH(ROWS($AF$2:AF300),$AF$2:$AF$1001,0),1)&gt;=100000,INDEX($AM$1005:$BM$1005,1,MATCH(COLUMNS($AM$1006:AM1006),$AM$1006:$BM$1006,0))&gt;=100000), " ",IF(INDEX($AM$2:$BM$1001,MATCH(ROWS($AF$2:AF300),$AF$2:$AF$1001,0),MATCH(COLUMNS($AM$1006:AM1006),$AM$1006:$BM$1006,0)), HYPERLINK("#",""), HYPERLINK(CONCATENATE("#metadata!", ADDRESS(INDEX($AH$2:$AH$1001,MATCH(ROWS($AF$2:AF300),$AF$2:$AF$1001,0),0), INDEX($AM$1004:$BM$1004,1,MATCH(COLUMNS($AM$1006:AM1006),$AM$1006:$BM$1006,0)))),"Fix")))</f>
        <v xml:space="preserve"> </v>
      </c>
      <c r="C300" s="4" t="str">
        <f ca="1">IF(OR(INDEX($AG$2:$AG$1001,MATCH(ROWS($AF$2:AF300),$AF$2:$AF$1001,0),1)&gt;=100000,INDEX($AM$1005:$BM$1005,1,MATCH(COLUMNS($AM$1006:AN1006),$AM$1006:$BM$1006,0))&gt;=100000), " ",IF(INDEX($AM$2:$BM$1001,MATCH(ROWS($AF$2:AF300),$AF$2:$AF$1001,0),MATCH(COLUMNS($AM$1006:AN1006),$AM$1006:$BM$1006,0)), HYPERLINK("#",""), HYPERLINK(CONCATENATE("#metadata!", ADDRESS(INDEX($AH$2:$AH$1001,MATCH(ROWS($AF$2:AF300),$AF$2:$AF$1001,0),0), INDEX($AM$1004:$BM$1004,1,MATCH(COLUMNS($AM$1006:AN1006),$AM$1006:$BM$1006,0)))),"Fix")))</f>
        <v xml:space="preserve"> </v>
      </c>
      <c r="D300" s="4" t="str">
        <f ca="1">IF(OR(INDEX($AG$2:$AG$1001,MATCH(ROWS($AF$2:AF300),$AF$2:$AF$1001,0),1)&gt;=100000,INDEX($AM$1005:$BM$1005,1,MATCH(COLUMNS($AM$1006:AO1006),$AM$1006:$BM$1006,0))&gt;=100000), " ",IF(INDEX($AM$2:$BM$1001,MATCH(ROWS($AF$2:AF300),$AF$2:$AF$1001,0),MATCH(COLUMNS($AM$1006:AO1006),$AM$1006:$BM$1006,0)), HYPERLINK("#",""), HYPERLINK(CONCATENATE("#metadata!", ADDRESS(INDEX($AH$2:$AH$1001,MATCH(ROWS($AF$2:AF300),$AF$2:$AF$1001,0),0), INDEX($AM$1004:$BM$1004,1,MATCH(COLUMNS($AM$1006:AO1006),$AM$1006:$BM$1006,0)))),"Fix")))</f>
        <v xml:space="preserve"> </v>
      </c>
      <c r="E300" s="4" t="str">
        <f ca="1">IF(OR(INDEX($AG$2:$AG$1001,MATCH(ROWS($AF$2:AF300),$AF$2:$AF$1001,0),1)&gt;=100000,INDEX($AM$1005:$BM$1005,1,MATCH(COLUMNS($AM$1006:AP1006),$AM$1006:$BM$1006,0))&gt;=100000), " ",IF(INDEX($AM$2:$BM$1001,MATCH(ROWS($AF$2:AF300),$AF$2:$AF$1001,0),MATCH(COLUMNS($AM$1006:AP1006),$AM$1006:$BM$1006,0)), HYPERLINK("#",""), HYPERLINK(CONCATENATE("#metadata!", ADDRESS(INDEX($AH$2:$AH$1001,MATCH(ROWS($AF$2:AF300),$AF$2:$AF$1001,0),0), INDEX($AM$1004:$BM$1004,1,MATCH(COLUMNS($AM$1006:AP1006),$AM$1006:$BM$1006,0)))),"Fix")))</f>
        <v xml:space="preserve"> </v>
      </c>
      <c r="F300" s="4" t="str">
        <f ca="1">IF(OR(INDEX($AG$2:$AG$1001,MATCH(ROWS($AF$2:AF300),$AF$2:$AF$1001,0),1)&gt;=100000,INDEX($AM$1005:$BM$1005,1,MATCH(COLUMNS($AM$1006:AQ1006),$AM$1006:$BM$1006,0))&gt;=100000), " ",IF(INDEX($AM$2:$BM$1001,MATCH(ROWS($AF$2:AF300),$AF$2:$AF$1001,0),MATCH(COLUMNS($AM$1006:AQ1006),$AM$1006:$BM$1006,0)), HYPERLINK("#",""), HYPERLINK(CONCATENATE("#metadata!", ADDRESS(INDEX($AH$2:$AH$1001,MATCH(ROWS($AF$2:AF300),$AF$2:$AF$1001,0),0), INDEX($AM$1004:$BM$1004,1,MATCH(COLUMNS($AM$1006:AQ1006),$AM$1006:$BM$1006,0)))),"Fix")))</f>
        <v xml:space="preserve"> </v>
      </c>
      <c r="G300" s="4" t="str">
        <f ca="1">IF(OR(INDEX($AG$2:$AG$1001,MATCH(ROWS($AF$2:AF300),$AF$2:$AF$1001,0),1)&gt;=100000,INDEX($AM$1005:$BM$1005,1,MATCH(COLUMNS($AM$1006:AR1006),$AM$1006:$BM$1006,0))&gt;=100000), " ",IF(INDEX($AM$2:$BM$1001,MATCH(ROWS($AF$2:AF300),$AF$2:$AF$1001,0),MATCH(COLUMNS($AM$1006:AR1006),$AM$1006:$BM$1006,0)), HYPERLINK("#",""), HYPERLINK(CONCATENATE("#metadata!", ADDRESS(INDEX($AH$2:$AH$1001,MATCH(ROWS($AF$2:AF300),$AF$2:$AF$1001,0),0), INDEX($AM$1004:$BM$1004,1,MATCH(COLUMNS($AM$1006:AR1006),$AM$1006:$BM$1006,0)))),"Fix")))</f>
        <v xml:space="preserve"> </v>
      </c>
      <c r="H300" s="4" t="str">
        <f ca="1">IF(OR(INDEX($AG$2:$AG$1001,MATCH(ROWS($AF$2:AF300),$AF$2:$AF$1001,0),1)&gt;=100000,INDEX($AM$1005:$BM$1005,1,MATCH(COLUMNS($AM$1006:AS1006),$AM$1006:$BM$1006,0))&gt;=100000), " ",IF(INDEX($AM$2:$BM$1001,MATCH(ROWS($AF$2:AF300),$AF$2:$AF$1001,0),MATCH(COLUMNS($AM$1006:AS1006),$AM$1006:$BM$1006,0)), HYPERLINK("#",""), HYPERLINK(CONCATENATE("#metadata!", ADDRESS(INDEX($AH$2:$AH$1001,MATCH(ROWS($AF$2:AF300),$AF$2:$AF$1001,0),0), INDEX($AM$1004:$BM$1004,1,MATCH(COLUMNS($AM$1006:AS1006),$AM$1006:$BM$1006,0)))),"Fix")))</f>
        <v xml:space="preserve"> </v>
      </c>
      <c r="I300" s="4" t="str">
        <f ca="1">IF(OR(INDEX($AG$2:$AG$1001,MATCH(ROWS($AF$2:AF300),$AF$2:$AF$1001,0),1)&gt;=100000,INDEX($AM$1005:$BM$1005,1,MATCH(COLUMNS($AM$1006:AT1006),$AM$1006:$BM$1006,0))&gt;=100000), " ",IF(INDEX($AM$2:$BM$1001,MATCH(ROWS($AF$2:AF300),$AF$2:$AF$1001,0),MATCH(COLUMNS($AM$1006:AT1006),$AM$1006:$BM$1006,0)), HYPERLINK("#",""), HYPERLINK(CONCATENATE("#metadata!", ADDRESS(INDEX($AH$2:$AH$1001,MATCH(ROWS($AF$2:AF300),$AF$2:$AF$1001,0),0), INDEX($AM$1004:$BM$1004,1,MATCH(COLUMNS($AM$1006:AT1006),$AM$1006:$BM$1006,0)))),"Fix")))</f>
        <v xml:space="preserve"> </v>
      </c>
      <c r="J300" s="4" t="str">
        <f ca="1">IF(OR(INDEX($AG$2:$AG$1001,MATCH(ROWS($AF$2:AF300),$AF$2:$AF$1001,0),1)&gt;=100000,INDEX($AM$1005:$BM$1005,1,MATCH(COLUMNS($AM$1006:AU1006),$AM$1006:$BM$1006,0))&gt;=100000), " ",IF(INDEX($AM$2:$BM$1001,MATCH(ROWS($AF$2:AF300),$AF$2:$AF$1001,0),MATCH(COLUMNS($AM$1006:AU1006),$AM$1006:$BM$1006,0)), HYPERLINK("#",""), HYPERLINK(CONCATENATE("#metadata!", ADDRESS(INDEX($AH$2:$AH$1001,MATCH(ROWS($AF$2:AF300),$AF$2:$AF$1001,0),0), INDEX($AM$1004:$BM$1004,1,MATCH(COLUMNS($AM$1006:AU1006),$AM$1006:$BM$1006,0)))),"Fix")))</f>
        <v xml:space="preserve"> </v>
      </c>
      <c r="K300" s="4" t="str">
        <f ca="1">IF(OR(INDEX($AG$2:$AG$1001,MATCH(ROWS($AF$2:AF300),$AF$2:$AF$1001,0),1)&gt;=100000,INDEX($AM$1005:$BM$1005,1,MATCH(COLUMNS($AM$1006:AV1006),$AM$1006:$BM$1006,0))&gt;=100000), " ",IF(INDEX($AM$2:$BM$1001,MATCH(ROWS($AF$2:AF300),$AF$2:$AF$1001,0),MATCH(COLUMNS($AM$1006:AV1006),$AM$1006:$BM$1006,0)), HYPERLINK("#",""), HYPERLINK(CONCATENATE("#metadata!", ADDRESS(INDEX($AH$2:$AH$1001,MATCH(ROWS($AF$2:AF300),$AF$2:$AF$1001,0),0), INDEX($AM$1004:$BM$1004,1,MATCH(COLUMNS($AM$1006:AV1006),$AM$1006:$BM$1006,0)))),"Fix")))</f>
        <v xml:space="preserve"> </v>
      </c>
      <c r="L300" s="4" t="str">
        <f ca="1">IF(OR(INDEX($AG$2:$AG$1001,MATCH(ROWS($AF$2:AF300),$AF$2:$AF$1001,0),1)&gt;=100000,INDEX($AM$1005:$BM$1005,1,MATCH(COLUMNS($AM$1006:AW1006),$AM$1006:$BM$1006,0))&gt;=100000), " ",IF(INDEX($AM$2:$BM$1001,MATCH(ROWS($AF$2:AF300),$AF$2:$AF$1001,0),MATCH(COLUMNS($AM$1006:AW1006),$AM$1006:$BM$1006,0)), HYPERLINK("#",""), HYPERLINK(CONCATENATE("#metadata!", ADDRESS(INDEX($AH$2:$AH$1001,MATCH(ROWS($AF$2:AF300),$AF$2:$AF$1001,0),0), INDEX($AM$1004:$BM$1004,1,MATCH(COLUMNS($AM$1006:AW1006),$AM$1006:$BM$1006,0)))),"Fix")))</f>
        <v xml:space="preserve"> </v>
      </c>
      <c r="M300" s="4" t="str">
        <f ca="1">IF(OR(INDEX($AG$2:$AG$1001,MATCH(ROWS($AF$2:AF300),$AF$2:$AF$1001,0),1)&gt;=100000,INDEX($AM$1005:$BM$1005,1,MATCH(COLUMNS($AM$1006:AX1006),$AM$1006:$BM$1006,0))&gt;=100000), " ",IF(INDEX($AM$2:$BM$1001,MATCH(ROWS($AF$2:AF300),$AF$2:$AF$1001,0),MATCH(COLUMNS($AM$1006:AX1006),$AM$1006:$BM$1006,0)), HYPERLINK("#",""), HYPERLINK(CONCATENATE("#metadata!", ADDRESS(INDEX($AH$2:$AH$1001,MATCH(ROWS($AF$2:AF300),$AF$2:$AF$1001,0),0), INDEX($AM$1004:$BM$1004,1,MATCH(COLUMNS($AM$1006:AX1006),$AM$1006:$BM$1006,0)))),"Fix")))</f>
        <v xml:space="preserve"> </v>
      </c>
      <c r="N300" s="4" t="str">
        <f ca="1">IF(OR(INDEX($AG$2:$AG$1001,MATCH(ROWS($AF$2:AF300),$AF$2:$AF$1001,0),1)&gt;=100000,INDEX($AM$1005:$BM$1005,1,MATCH(COLUMNS($AM$1006:AY1006),$AM$1006:$BM$1006,0))&gt;=100000), " ",IF(INDEX($AM$2:$BM$1001,MATCH(ROWS($AF$2:AF300),$AF$2:$AF$1001,0),MATCH(COLUMNS($AM$1006:AY1006),$AM$1006:$BM$1006,0)), HYPERLINK("#",""), HYPERLINK(CONCATENATE("#metadata!", ADDRESS(INDEX($AH$2:$AH$1001,MATCH(ROWS($AF$2:AF300),$AF$2:$AF$1001,0),0), INDEX($AM$1004:$BM$1004,1,MATCH(COLUMNS($AM$1006:AY1006),$AM$1006:$BM$1006,0)))),"Fix")))</f>
        <v xml:space="preserve"> </v>
      </c>
      <c r="O300" s="4" t="str">
        <f ca="1">IF(OR(INDEX($AG$2:$AG$1001,MATCH(ROWS($AF$2:AF300),$AF$2:$AF$1001,0),1)&gt;=100000,INDEX($AM$1005:$BM$1005,1,MATCH(COLUMNS($AM$1006:AZ1006),$AM$1006:$BM$1006,0))&gt;=100000), " ",IF(INDEX($AM$2:$BM$1001,MATCH(ROWS($AF$2:AF300),$AF$2:$AF$1001,0),MATCH(COLUMNS($AM$1006:AZ1006),$AM$1006:$BM$1006,0)), HYPERLINK("#",""), HYPERLINK(CONCATENATE("#metadata!", ADDRESS(INDEX($AH$2:$AH$1001,MATCH(ROWS($AF$2:AF300),$AF$2:$AF$1001,0),0), INDEX($AM$1004:$BM$1004,1,MATCH(COLUMNS($AM$1006:AZ1006),$AM$1006:$BM$1006,0)))),"Fix")))</f>
        <v xml:space="preserve"> </v>
      </c>
      <c r="P300" s="4" t="str">
        <f ca="1">IF(OR(INDEX($AG$2:$AG$1001,MATCH(ROWS($AF$2:AF300),$AF$2:$AF$1001,0),1)&gt;=100000,INDEX($AM$1005:$BM$1005,1,MATCH(COLUMNS($AM$1006:BA1006),$AM$1006:$BM$1006,0))&gt;=100000), " ",IF(INDEX($AM$2:$BM$1001,MATCH(ROWS($AF$2:AF300),$AF$2:$AF$1001,0),MATCH(COLUMNS($AM$1006:BA1006),$AM$1006:$BM$1006,0)), HYPERLINK("#",""), HYPERLINK(CONCATENATE("#metadata!", ADDRESS(INDEX($AH$2:$AH$1001,MATCH(ROWS($AF$2:AF300),$AF$2:$AF$1001,0),0), INDEX($AM$1004:$BM$1004,1,MATCH(COLUMNS($AM$1006:BA1006),$AM$1006:$BM$1006,0)))),"Fix")))</f>
        <v xml:space="preserve"> </v>
      </c>
      <c r="Q300" s="4" t="str">
        <f ca="1">IF(OR(INDEX($AG$2:$AG$1001,MATCH(ROWS($AF$2:AF300),$AF$2:$AF$1001,0),1)&gt;=100000,INDEX($AM$1005:$BM$1005,1,MATCH(COLUMNS($AM$1006:BB1006),$AM$1006:$BM$1006,0))&gt;=100000), " ",IF(INDEX($AM$2:$BM$1001,MATCH(ROWS($AF$2:AF300),$AF$2:$AF$1001,0),MATCH(COLUMNS($AM$1006:BB1006),$AM$1006:$BM$1006,0)), HYPERLINK("#",""), HYPERLINK(CONCATENATE("#metadata!", ADDRESS(INDEX($AH$2:$AH$1001,MATCH(ROWS($AF$2:AF300),$AF$2:$AF$1001,0),0), INDEX($AM$1004:$BM$1004,1,MATCH(COLUMNS($AM$1006:BB1006),$AM$1006:$BM$1006,0)))),"Fix")))</f>
        <v xml:space="preserve"> </v>
      </c>
      <c r="R300" s="4" t="str">
        <f ca="1">IF(OR(INDEX($AG$2:$AG$1001,MATCH(ROWS($AF$2:AF300),$AF$2:$AF$1001,0),1)&gt;=100000,INDEX($AM$1005:$BM$1005,1,MATCH(COLUMNS($AM$1006:BC1006),$AM$1006:$BM$1006,0))&gt;=100000), " ",IF(INDEX($AM$2:$BM$1001,MATCH(ROWS($AF$2:AF300),$AF$2:$AF$1001,0),MATCH(COLUMNS($AM$1006:BC1006),$AM$1006:$BM$1006,0)), HYPERLINK("#",""), HYPERLINK(CONCATENATE("#metadata!", ADDRESS(INDEX($AH$2:$AH$1001,MATCH(ROWS($AF$2:AF300),$AF$2:$AF$1001,0),0), INDEX($AM$1004:$BM$1004,1,MATCH(COLUMNS($AM$1006:BC1006),$AM$1006:$BM$1006,0)))),"Fix")))</f>
        <v xml:space="preserve"> </v>
      </c>
      <c r="S300" s="4" t="str">
        <f ca="1">IF(OR(INDEX($AG$2:$AG$1001,MATCH(ROWS($AF$2:AF300),$AF$2:$AF$1001,0),1)&gt;=100000,INDEX($AM$1005:$BM$1005,1,MATCH(COLUMNS($AM$1006:BD1006),$AM$1006:$BM$1006,0))&gt;=100000), " ",IF(INDEX($AM$2:$BM$1001,MATCH(ROWS($AF$2:AF300),$AF$2:$AF$1001,0),MATCH(COLUMNS($AM$1006:BD1006),$AM$1006:$BM$1006,0)), HYPERLINK("#",""), HYPERLINK(CONCATENATE("#metadata!", ADDRESS(INDEX($AH$2:$AH$1001,MATCH(ROWS($AF$2:AF300),$AF$2:$AF$1001,0),0), INDEX($AM$1004:$BM$1004,1,MATCH(COLUMNS($AM$1006:BD1006),$AM$1006:$BM$1006,0)))),"Fix")))</f>
        <v xml:space="preserve"> </v>
      </c>
      <c r="T300" s="4" t="str">
        <f ca="1">IF(OR(INDEX($AG$2:$AG$1001,MATCH(ROWS($AF$2:AF300),$AF$2:$AF$1001,0),1)&gt;=100000,INDEX($AM$1005:$BM$1005,1,MATCH(COLUMNS($AM$1006:BE1006),$AM$1006:$BM$1006,0))&gt;=100000), " ",IF(INDEX($AM$2:$BM$1001,MATCH(ROWS($AF$2:AF300),$AF$2:$AF$1001,0),MATCH(COLUMNS($AM$1006:BE1006),$AM$1006:$BM$1006,0)), HYPERLINK("#",""), HYPERLINK(CONCATENATE("#metadata!", ADDRESS(INDEX($AH$2:$AH$1001,MATCH(ROWS($AF$2:AF300),$AF$2:$AF$1001,0),0), INDEX($AM$1004:$BM$1004,1,MATCH(COLUMNS($AM$1006:BE1006),$AM$1006:$BM$1006,0)))),"Fix")))</f>
        <v xml:space="preserve"> </v>
      </c>
      <c r="U300" s="4" t="str">
        <f ca="1">IF(OR(INDEX($AG$2:$AG$1001,MATCH(ROWS($AF$2:AF300),$AF$2:$AF$1001,0),1)&gt;=100000,INDEX($AM$1005:$BM$1005,1,MATCH(COLUMNS($AM$1006:BF1006),$AM$1006:$BM$1006,0))&gt;=100000), " ",IF(INDEX($AM$2:$BM$1001,MATCH(ROWS($AF$2:AF300),$AF$2:$AF$1001,0),MATCH(COLUMNS($AM$1006:BF1006),$AM$1006:$BM$1006,0)), HYPERLINK("#",""), HYPERLINK(CONCATENATE("#metadata!", ADDRESS(INDEX($AH$2:$AH$1001,MATCH(ROWS($AF$2:AF300),$AF$2:$AF$1001,0),0), INDEX($AM$1004:$BM$1004,1,MATCH(COLUMNS($AM$1006:BF1006),$AM$1006:$BM$1006,0)))),"Fix")))</f>
        <v xml:space="preserve"> </v>
      </c>
      <c r="V300" s="4" t="str">
        <f ca="1">IF(OR(INDEX($AG$2:$AG$1001,MATCH(ROWS($AF$2:AF300),$AF$2:$AF$1001,0),1)&gt;=100000,INDEX($AM$1005:$BM$1005,1,MATCH(COLUMNS($AM$1006:BG1006),$AM$1006:$BM$1006,0))&gt;=100000), " ",IF(INDEX($AM$2:$BM$1001,MATCH(ROWS($AF$2:AF300),$AF$2:$AF$1001,0),MATCH(COLUMNS($AM$1006:BG1006),$AM$1006:$BM$1006,0)), HYPERLINK("#",""), HYPERLINK(CONCATENATE("#metadata!", ADDRESS(INDEX($AH$2:$AH$1001,MATCH(ROWS($AF$2:AF300),$AF$2:$AF$1001,0),0), INDEX($AM$1004:$BM$1004,1,MATCH(COLUMNS($AM$1006:BG1006),$AM$1006:$BM$1006,0)))),"Fix")))</f>
        <v xml:space="preserve"> </v>
      </c>
      <c r="W300" s="4" t="str">
        <f ca="1">IF(OR(INDEX($AG$2:$AG$1001,MATCH(ROWS($AF$2:AF300),$AF$2:$AF$1001,0),1)&gt;=100000,INDEX($AM$1005:$BM$1005,1,MATCH(COLUMNS($AM$1006:BH1006),$AM$1006:$BM$1006,0))&gt;=100000), " ",IF(INDEX($AM$2:$BM$1001,MATCH(ROWS($AF$2:AF300),$AF$2:$AF$1001,0),MATCH(COLUMNS($AM$1006:BH1006),$AM$1006:$BM$1006,0)), HYPERLINK("#",""), HYPERLINK(CONCATENATE("#metadata!", ADDRESS(INDEX($AH$2:$AH$1001,MATCH(ROWS($AF$2:AF300),$AF$2:$AF$1001,0),0), INDEX($AM$1004:$BM$1004,1,MATCH(COLUMNS($AM$1006:BH1006),$AM$1006:$BM$1006,0)))),"Fix")))</f>
        <v xml:space="preserve"> </v>
      </c>
      <c r="X300" s="4" t="str">
        <f ca="1">IF(OR(INDEX($AG$2:$AG$1001,MATCH(ROWS($AF$2:AF300),$AF$2:$AF$1001,0),1)&gt;=100000,INDEX($AM$1005:$BM$1005,1,MATCH(COLUMNS($AM$1006:BI1006),$AM$1006:$BM$1006,0))&gt;=100000), " ",IF(INDEX($AM$2:$BM$1001,MATCH(ROWS($AF$2:AF300),$AF$2:$AF$1001,0),MATCH(COLUMNS($AM$1006:BI1006),$AM$1006:$BM$1006,0)), HYPERLINK("#",""), HYPERLINK(CONCATENATE("#metadata!", ADDRESS(INDEX($AH$2:$AH$1001,MATCH(ROWS($AF$2:AF300),$AF$2:$AF$1001,0),0), INDEX($AM$1004:$BM$1004,1,MATCH(COLUMNS($AM$1006:BI1006),$AM$1006:$BM$1006,0)))),"Fix")))</f>
        <v xml:space="preserve"> </v>
      </c>
      <c r="Y300" s="4" t="str">
        <f ca="1">IF(OR(INDEX($AG$2:$AG$1001,MATCH(ROWS($AF$2:AF300),$AF$2:$AF$1001,0),1)&gt;=100000,INDEX($AM$1005:$BM$1005,1,MATCH(COLUMNS($AM$1006:BJ1006),$AM$1006:$BM$1006,0))&gt;=100000), " ",IF(INDEX($AM$2:$BM$1001,MATCH(ROWS($AF$2:AF300),$AF$2:$AF$1001,0),MATCH(COLUMNS($AM$1006:BJ1006),$AM$1006:$BM$1006,0)), HYPERLINK("#",""), HYPERLINK(CONCATENATE("#metadata!", ADDRESS(INDEX($AH$2:$AH$1001,MATCH(ROWS($AF$2:AF300),$AF$2:$AF$1001,0),0), INDEX($AM$1004:$BM$1004,1,MATCH(COLUMNS($AM$1006:BJ1006),$AM$1006:$BM$1006,0)))),"Fix")))</f>
        <v xml:space="preserve"> </v>
      </c>
      <c r="Z300" s="4" t="str">
        <f ca="1">IF(OR(INDEX($AG$2:$AG$1001,MATCH(ROWS($AF$2:AF300),$AF$2:$AF$1001,0),1)&gt;=100000,INDEX($AM$1005:$BM$1005,1,MATCH(COLUMNS($AM$1006:BK1006),$AM$1006:$BM$1006,0))&gt;=100000), " ",IF(INDEX($AM$2:$BM$1001,MATCH(ROWS($AF$2:AF300),$AF$2:$AF$1001,0),MATCH(COLUMNS($AM$1006:BK1006),$AM$1006:$BM$1006,0)), HYPERLINK("#",""), HYPERLINK(CONCATENATE("#metadata!", ADDRESS(INDEX($AH$2:$AH$1001,MATCH(ROWS($AF$2:AF300),$AF$2:$AF$1001,0),0), INDEX($AM$1004:$BM$1004,1,MATCH(COLUMNS($AM$1006:BK1006),$AM$1006:$BM$1006,0)))),"Fix")))</f>
        <v xml:space="preserve"> </v>
      </c>
      <c r="AA300" s="4" t="str">
        <f ca="1">IF(OR(INDEX($AG$2:$AG$1001,MATCH(ROWS($AF$2:AF300),$AF$2:$AF$1001,0),1)&gt;=100000,INDEX($AM$1005:$BM$1005,1,MATCH(COLUMNS($AM$1006:BL1006),$AM$1006:$BM$1006,0))&gt;=100000), " ",IF(INDEX($AM$2:$BM$1001,MATCH(ROWS($AF$2:AF300),$AF$2:$AF$1001,0),MATCH(COLUMNS($AM$1006:BL1006),$AM$1006:$BM$1006,0)), HYPERLINK("#",""), HYPERLINK(CONCATENATE("#metadata!", ADDRESS(INDEX($AH$2:$AH$1001,MATCH(ROWS($AF$2:AF300),$AF$2:$AF$1001,0),0), INDEX($AM$1004:$BM$1004,1,MATCH(COLUMNS($AM$1006:BL1006),$AM$1006:$BM$1006,0)))),"Fix")))</f>
        <v xml:space="preserve"> </v>
      </c>
      <c r="AB300" s="4" t="str">
        <f ca="1">IF(OR(INDEX($AG$2:$AG$1001,MATCH(ROWS($AF$2:AF300),$AF$2:$AF$1001,0),1)&gt;=100000,INDEX($AM$1005:$BM$1005,1,MATCH(COLUMNS($AM$1006:BM1006),$AM$1006:$BM$1006,0))&gt;=100000), " ",IF(INDEX($AM$2:$BM$1001,MATCH(ROWS($AF$2:AF300),$AF$2:$AF$1001,0),MATCH(COLUMNS($AM$1006:BM1006),$AM$1006:$BM$1006,0)), HYPERLINK("#",""), HYPERLINK(CONCATENATE("#metadata!", ADDRESS(INDEX($AH$2:$AH$1001,MATCH(ROWS($AF$2:AF300),$AF$2:$AF$1001,0),0), INDEX($AM$1004:$BM$1004,1,MATCH(COLUMNS($AM$1006:BM1006),$AM$1006:$BM$1006,0)))),"Fix")))</f>
        <v xml:space="preserve"> </v>
      </c>
      <c r="AF300">
        <v>299</v>
      </c>
      <c r="AG300">
        <v>100300</v>
      </c>
      <c r="AH300">
        <v>300</v>
      </c>
      <c r="AI300" t="b">
        <f t="shared" si="4"/>
        <v>1</v>
      </c>
      <c r="AJ300" t="b">
        <f>COUNTBLANK(metadata!B300:AB300)=COLUMNS(metadata!B300:AB300)</f>
        <v>1</v>
      </c>
      <c r="AK300" t="str">
        <v/>
      </c>
      <c r="AM300" t="b">
        <f ca="1">AND(IF(metadata!B300="",FALSE,TRUE),COUNTIF(metadata!B:B, metadata!B300) = 1,NOT(ISERROR(SUMPRODUCT(SEARCH(MID(metadata!B300,ROW(INDIRECT("1:"&amp;LEN(metadata!B300))), 1),"0123456789abcdefghijklmnopqrstuvwxyzABCDEFGHIJKLMNOPQRSTUVWXYZ.")))))</f>
        <v>0</v>
      </c>
      <c r="AN300" t="b">
        <f ca="1">OR(AND(IF(metadata!C300="",FALSE,TRUE),OR(EXACT(metadata!C300,"missing: not collected"),EXACT(metadata!C300,"missing: not provided"),EXACT(metadata!C300,"missing: restricted access"))),AND(IF(metadata!C300="",FALSE,TRUE),AND(AND(IFERROR(INT(LEFT(metadata!C300,4))&gt;1900,FALSE),IFERROR(INT(LEFT(metadata!C300,4))&lt;=YEAR(NOW()),FALSE)), OR(MID(metadata!C300,5,1)="", AND(AND(MID(metadata!C300,5,1)="-",IFERROR(INT(MID(metadata!C300,6,1))&gt;=0,FALSE),IFERROR(INT(MID(metadata!C300,6,1))&lt;=1,FALSE),NOT(MID(metadata!C300,7,1)=""),IFERROR(INT(MID(metadata!C300,6,2))&gt;=1,FALSE),IFERROR(INT(MID(metadata!C300,6,2))&lt;=12,FALSE)), OR(MID(metadata!C300,8,1)="", AND(AND(MID(metadata!C300,8,1)="-",IFERROR(INT(MID(metadata!C300,9,1))&gt;=0,FALSE),IFERROR(INT(MID(metadata!C300,9,1))&lt;=3,FALSE),NOT(MID(metadata!C300,10,1)=""),IFERROR(INT(MID(metadata!C300,9,2))&gt;=1,FALSE),IFERROR(INT(MID(metadata!C300,9,2))&lt;=31,FALSE)), OR(MID(metadata!C300,11,1)="", AND(AND(MID(metadata!C300,11,1)=" ",IFERROR(INT(MID(metadata!C300,12,1))&gt;=0,FALSE),IFERROR(INT(MID(metadata!C300,12,1))&lt;=2,FALSE),NOT(MID(metadata!C300,13,1)=""),IFERROR(INT(MID(metadata!C300,12,2))&gt;=0,FALSE),IFERROR(INT(MID(metadata!C300,12,2))&lt;=23,FALSE)), OR(MID(metadata!C300,14,1)="", AND(AND(MID(metadata!C300,14,1)=":",IFERROR(INT(MID(metadata!C300,15,1))&gt;=0,FALSE),IFERROR(INT(MID(metadata!C300,15,1))&lt;=5,FALSE),NOT(MID(metadata!C300,16,1)=""),IFERROR(INT(MID(metadata!C300,15,2))&gt;=0,FALSE),IFERROR(INT(MID(metadata!C300,15,2))&lt;=59,FALSE)), OR(MID(metadata!C300,17,1)="", AND(AND(MID(metadata!C300,17,1)=":",IFERROR(INT(MID(metadata!C300,18,1))&gt;=0,FALSE),IFERROR(INT(MID(metadata!C300,18,1))&lt;=5,FALSE),NOT(MID(metadata!C300,19,1)=""),IFERROR(INT(MID(metadata!C300,18,2))&gt;=0,FALSE),IFERROR(INT(MID(metadata!C300,18,2))&lt;=59,FALSE)), LEN(metadata!C300)&lt;=19)))))))))))))</f>
        <v>0</v>
      </c>
      <c r="AO300" t="b">
        <f>AND(IF(metadata!D300="",FALSE,TRUE),EXACT(metadata!D300,"Not applicable"))</f>
        <v>0</v>
      </c>
      <c r="AP300" t="b">
        <f>IF(metadata!E300="",FALSE,TRUE)</f>
        <v>0</v>
      </c>
      <c r="AQ300" t="b">
        <f>OR(AND(IF(metadata!F300="",FALSE,TRUE),OR(EXACT(metadata!F300,"missing: not collected"),EXACT(metadata!F300,"missing: not provided"))),AND(IF(metadata!F300="",FALSE,TRUE),OR(EXACT(metadata!F300,"TRUE"),EXACT(metadata!F300,"FALSE"))))</f>
        <v>0</v>
      </c>
      <c r="AR300" t="b">
        <f>OR(AND(IF(metadata!G300="",FALSE,TRUE),OR(EXACT(metadata!G300,"missing: not collected"),EXACT(metadata!G300,"missing: not provided"),EXACT(metadata!G300,"missing: restricted access"))),AND(IF(metadata!G300="",FALSE,ISNUMBER(VALUE(metadata!G300))),metadata!G300&gt;=-413))</f>
        <v>0</v>
      </c>
      <c r="AS300" t="b">
        <f>AND(IF(metadata!H300="",FALSE,TRUE),EXACT(metadata!H300,"meters"))</f>
        <v>0</v>
      </c>
      <c r="AT300" t="b">
        <f>AND(IF(metadata!I300="",FALSE,TRUE),OR(EXACT(metadata!I300,"Host-associated"),EXACT(metadata!I300,"Free-living")))</f>
        <v>0</v>
      </c>
      <c r="AU300" t="b">
        <f>AND(IF(metadata!J300="",FALSE,TRUE),OR(EXACT(metadata!J300,"Animal"),EXACT(metadata!J300,"Fungus"),EXACT(metadata!J300,"Plant"),EXACT(metadata!J300,"Saline"),EXACT(metadata!J300,"Non-saline")))</f>
        <v>0</v>
      </c>
      <c r="AV300" t="b">
        <f>AND(IF(metadata!K300="",FALSE,TRUE),OR(EXACT(metadata!K300,"Plant secretion"),EXACT(metadata!K300,"Plant rhizosphere"),EXACT(metadata!K300,"Plant surface"),EXACT(metadata!K300,"Plant corpus"),EXACT(metadata!K300,"Fungus surface"),EXACT(metadata!K300,"Fungus corpus"),EXACT(metadata!K300,"Animal surface"),EXACT(metadata!K300,"Animal proximal gut"),EXACT(metadata!K300,"Animal corpus"),EXACT(metadata!K300,"Animal distal gut"),EXACT(metadata!K300,"Animal secretion"),EXACT(metadata!K300,"Sub-surface (non-saline)"),EXACT(metadata!K300,"Surface (non-saline)"),EXACT(metadata!K300,"Water (non-saline)"),EXACT(metadata!K300,"Soil (non-saline)"),EXACT(metadata!K300,"Aerosol (non-saline)"),EXACT(metadata!K300,"Sediment (non-saline)"),EXACT(metadata!K300,"Surface (saline)"),EXACT(metadata!K300,"Water (saline)"),EXACT(metadata!K300,"Hypersaline (saline)"),EXACT(metadata!K300,"Aerosol (saline)"),EXACT(metadata!K300,"Sediment (saline)")))</f>
        <v>0</v>
      </c>
      <c r="AW300" t="b">
        <f>IF(metadata!L300="",FALSE,TRUE)</f>
        <v>0</v>
      </c>
      <c r="AX300" t="b">
        <f>IF(metadata!M300="",FALSE,TRUE)</f>
        <v>0</v>
      </c>
      <c r="AY300" t="b">
        <f>IF(metadata!N300="",FALSE,TRUE)</f>
        <v>0</v>
      </c>
      <c r="AZ300" t="b">
        <f>OR(AND(IF(metadata!O300="",FALSE,TRUE),OR(EXACT(metadata!O300,"missing: not collected"),EXACT(metadata!O300,"missing: not provided"),EXACT(metadata!O300,"missing: restricted access"))),AND(IF(metadata!O300="",FALSE,TRUE),OR(EXACT(metadata!O300,"air"),EXACT(metadata!O300,"built environment"),EXACT(metadata!O300,"host-associated"),EXACT(metadata!O300,"human-associated"),EXACT(metadata!O300,"human-skin"),EXACT(metadata!O300,"human-oral"),EXACT(metadata!O300,"human-gut"),EXACT(metadata!O300,"human-vaginal"),EXACT(metadata!O300,"microbial mat/biofilm"),EXACT(metadata!O300,"misc environment"),EXACT(metadata!O300,"plant-associated"),EXACT(metadata!O300,"sediment"),EXACT(metadata!O300,"soil"),EXACT(metadata!O300,"wastewater/sludge"),EXACT(metadata!O300,"water"))))</f>
        <v>0</v>
      </c>
      <c r="BA300" t="b">
        <f>IF(metadata!P300="",FALSE,TRUE)</f>
        <v>0</v>
      </c>
      <c r="BB300" t="b">
        <f>IF(metadata!Q300="",FALSE,TRUE)</f>
        <v>0</v>
      </c>
      <c r="BC300" t="b">
        <f>OR(AND(IF(metadata!R300="",FALSE,TRUE),OR(EXACT(metadata!R300,"missing: not collected"),EXACT(metadata!R300,"missing: not provided"),EXACT(metadata!R300,"missing: restricted access"))),AND(IF(metadata!R300="",FALSE,ISNUMBER(VALUE(metadata!R300))),metadata!R300&gt;=-90,metadata!R300&lt;=90))</f>
        <v>0</v>
      </c>
      <c r="BD300" t="b">
        <f>AND(IF(metadata!S300="",FALSE,TRUE),EXACT(metadata!S300,"Decimal degrees"))</f>
        <v>0</v>
      </c>
      <c r="BE300" t="b">
        <f>OR(AND(IF(metadata!T300="",FALSE,TRUE),OR(EXACT(metadata!T300,"missing: not collected"),EXACT(metadata!T300,"missing: not provided"),EXACT(metadata!T300,"missing: restricted access"))),AND(IF(metadata!T300="",FALSE,ISNUMBER(VALUE(metadata!T300))),metadata!T300&gt;=-180,metadata!T300&lt;=180))</f>
        <v>0</v>
      </c>
      <c r="BF300" t="b">
        <f>AND(IF(metadata!U300="",FALSE,TRUE),EXACT(metadata!U300,"Decimal degrees"))</f>
        <v>0</v>
      </c>
      <c r="BG300" t="b">
        <f>IF(metadata!V300="",FALSE,TRUE)</f>
        <v>0</v>
      </c>
      <c r="BH300" t="b">
        <f>OR(AND(IF(metadata!W300="",FALSE,TRUE),OR(EXACT(metadata!W300,"missing: not collected"),EXACT(metadata!W300,"missing: not provided"),EXACT(metadata!W300,"missing: restricted access"))),AND(IF(metadata!W300="",FALSE,TRUE),OR(EXACT(metadata!W300,"TRUE"),EXACT(metadata!W300,"FALSE"))))</f>
        <v>0</v>
      </c>
      <c r="BI300" t="b">
        <f>AND(IF(metadata!X300="",FALSE,TRUE),EXACT(metadata!X300,"other"))</f>
        <v>0</v>
      </c>
      <c r="BJ300" t="b">
        <f>IF(metadata!Y300="",FALSE,TRUE)</f>
        <v>0</v>
      </c>
      <c r="BK300" t="b">
        <f>OR(AND(IF(metadata!Z300="",FALSE,TRUE),OR(EXACT(metadata!Z300,"missing: not collected"),EXACT(metadata!Z300,"missing: not provided"))),AND(IF(metadata!Z300="",FALSE,IF(ISERROR(INT(metadata!Z300)),FALSE,INT(metadata!Z300)=metadata!Z300)),metadata!Z300&gt;0))</f>
        <v>0</v>
      </c>
      <c r="BL300" t="b">
        <f>AND(IF(metadata!AA300="",FALSE,TRUE),EXACT(metadata!AA300,"Not applicable"))</f>
        <v>0</v>
      </c>
      <c r="BM300" t="b">
        <f>IF(metadata!AB300="",FALSE,TRUE)</f>
        <v>0</v>
      </c>
    </row>
    <row r="301" spans="1:65" x14ac:dyDescent="0.2">
      <c r="A301" s="5" t="str">
        <f ca="1">IF(B301=" "," ",HYPERLINK(CONCATENATE("#metadata!",ADDRESS(INDEX($AH$2:$AH$1001,MATCH(ROWS($AF$2:AF301),$AF$2:$AF$1001,0),0),1)),INDEX($AK$2:$AK$1001,MATCH(ROWS($AF$2:AF301),$AF$2:$AF$1001,0),0)))</f>
        <v xml:space="preserve"> </v>
      </c>
      <c r="B301" s="4" t="str">
        <f ca="1">IF(OR(INDEX($AG$2:$AG$1001,MATCH(ROWS($AF$2:AF301),$AF$2:$AF$1001,0),1)&gt;=100000,INDEX($AM$1005:$BM$1005,1,MATCH(COLUMNS($AM$1006:AM1006),$AM$1006:$BM$1006,0))&gt;=100000), " ",IF(INDEX($AM$2:$BM$1001,MATCH(ROWS($AF$2:AF301),$AF$2:$AF$1001,0),MATCH(COLUMNS($AM$1006:AM1006),$AM$1006:$BM$1006,0)), HYPERLINK("#",""), HYPERLINK(CONCATENATE("#metadata!", ADDRESS(INDEX($AH$2:$AH$1001,MATCH(ROWS($AF$2:AF301),$AF$2:$AF$1001,0),0), INDEX($AM$1004:$BM$1004,1,MATCH(COLUMNS($AM$1006:AM1006),$AM$1006:$BM$1006,0)))),"Fix")))</f>
        <v xml:space="preserve"> </v>
      </c>
      <c r="C301" s="4" t="str">
        <f ca="1">IF(OR(INDEX($AG$2:$AG$1001,MATCH(ROWS($AF$2:AF301),$AF$2:$AF$1001,0),1)&gt;=100000,INDEX($AM$1005:$BM$1005,1,MATCH(COLUMNS($AM$1006:AN1006),$AM$1006:$BM$1006,0))&gt;=100000), " ",IF(INDEX($AM$2:$BM$1001,MATCH(ROWS($AF$2:AF301),$AF$2:$AF$1001,0),MATCH(COLUMNS($AM$1006:AN1006),$AM$1006:$BM$1006,0)), HYPERLINK("#",""), HYPERLINK(CONCATENATE("#metadata!", ADDRESS(INDEX($AH$2:$AH$1001,MATCH(ROWS($AF$2:AF301),$AF$2:$AF$1001,0),0), INDEX($AM$1004:$BM$1004,1,MATCH(COLUMNS($AM$1006:AN1006),$AM$1006:$BM$1006,0)))),"Fix")))</f>
        <v xml:space="preserve"> </v>
      </c>
      <c r="D301" s="4" t="str">
        <f ca="1">IF(OR(INDEX($AG$2:$AG$1001,MATCH(ROWS($AF$2:AF301),$AF$2:$AF$1001,0),1)&gt;=100000,INDEX($AM$1005:$BM$1005,1,MATCH(COLUMNS($AM$1006:AO1006),$AM$1006:$BM$1006,0))&gt;=100000), " ",IF(INDEX($AM$2:$BM$1001,MATCH(ROWS($AF$2:AF301),$AF$2:$AF$1001,0),MATCH(COLUMNS($AM$1006:AO1006),$AM$1006:$BM$1006,0)), HYPERLINK("#",""), HYPERLINK(CONCATENATE("#metadata!", ADDRESS(INDEX($AH$2:$AH$1001,MATCH(ROWS($AF$2:AF301),$AF$2:$AF$1001,0),0), INDEX($AM$1004:$BM$1004,1,MATCH(COLUMNS($AM$1006:AO1006),$AM$1006:$BM$1006,0)))),"Fix")))</f>
        <v xml:space="preserve"> </v>
      </c>
      <c r="E301" s="4" t="str">
        <f ca="1">IF(OR(INDEX($AG$2:$AG$1001,MATCH(ROWS($AF$2:AF301),$AF$2:$AF$1001,0),1)&gt;=100000,INDEX($AM$1005:$BM$1005,1,MATCH(COLUMNS($AM$1006:AP1006),$AM$1006:$BM$1006,0))&gt;=100000), " ",IF(INDEX($AM$2:$BM$1001,MATCH(ROWS($AF$2:AF301),$AF$2:$AF$1001,0),MATCH(COLUMNS($AM$1006:AP1006),$AM$1006:$BM$1006,0)), HYPERLINK("#",""), HYPERLINK(CONCATENATE("#metadata!", ADDRESS(INDEX($AH$2:$AH$1001,MATCH(ROWS($AF$2:AF301),$AF$2:$AF$1001,0),0), INDEX($AM$1004:$BM$1004,1,MATCH(COLUMNS($AM$1006:AP1006),$AM$1006:$BM$1006,0)))),"Fix")))</f>
        <v xml:space="preserve"> </v>
      </c>
      <c r="F301" s="4" t="str">
        <f ca="1">IF(OR(INDEX($AG$2:$AG$1001,MATCH(ROWS($AF$2:AF301),$AF$2:$AF$1001,0),1)&gt;=100000,INDEX($AM$1005:$BM$1005,1,MATCH(COLUMNS($AM$1006:AQ1006),$AM$1006:$BM$1006,0))&gt;=100000), " ",IF(INDEX($AM$2:$BM$1001,MATCH(ROWS($AF$2:AF301),$AF$2:$AF$1001,0),MATCH(COLUMNS($AM$1006:AQ1006),$AM$1006:$BM$1006,0)), HYPERLINK("#",""), HYPERLINK(CONCATENATE("#metadata!", ADDRESS(INDEX($AH$2:$AH$1001,MATCH(ROWS($AF$2:AF301),$AF$2:$AF$1001,0),0), INDEX($AM$1004:$BM$1004,1,MATCH(COLUMNS($AM$1006:AQ1006),$AM$1006:$BM$1006,0)))),"Fix")))</f>
        <v xml:space="preserve"> </v>
      </c>
      <c r="G301" s="4" t="str">
        <f ca="1">IF(OR(INDEX($AG$2:$AG$1001,MATCH(ROWS($AF$2:AF301),$AF$2:$AF$1001,0),1)&gt;=100000,INDEX($AM$1005:$BM$1005,1,MATCH(COLUMNS($AM$1006:AR1006),$AM$1006:$BM$1006,0))&gt;=100000), " ",IF(INDEX($AM$2:$BM$1001,MATCH(ROWS($AF$2:AF301),$AF$2:$AF$1001,0),MATCH(COLUMNS($AM$1006:AR1006),$AM$1006:$BM$1006,0)), HYPERLINK("#",""), HYPERLINK(CONCATENATE("#metadata!", ADDRESS(INDEX($AH$2:$AH$1001,MATCH(ROWS($AF$2:AF301),$AF$2:$AF$1001,0),0), INDEX($AM$1004:$BM$1004,1,MATCH(COLUMNS($AM$1006:AR1006),$AM$1006:$BM$1006,0)))),"Fix")))</f>
        <v xml:space="preserve"> </v>
      </c>
      <c r="H301" s="4" t="str">
        <f ca="1">IF(OR(INDEX($AG$2:$AG$1001,MATCH(ROWS($AF$2:AF301),$AF$2:$AF$1001,0),1)&gt;=100000,INDEX($AM$1005:$BM$1005,1,MATCH(COLUMNS($AM$1006:AS1006),$AM$1006:$BM$1006,0))&gt;=100000), " ",IF(INDEX($AM$2:$BM$1001,MATCH(ROWS($AF$2:AF301),$AF$2:$AF$1001,0),MATCH(COLUMNS($AM$1006:AS1006),$AM$1006:$BM$1006,0)), HYPERLINK("#",""), HYPERLINK(CONCATENATE("#metadata!", ADDRESS(INDEX($AH$2:$AH$1001,MATCH(ROWS($AF$2:AF301),$AF$2:$AF$1001,0),0), INDEX($AM$1004:$BM$1004,1,MATCH(COLUMNS($AM$1006:AS1006),$AM$1006:$BM$1006,0)))),"Fix")))</f>
        <v xml:space="preserve"> </v>
      </c>
      <c r="I301" s="4" t="str">
        <f ca="1">IF(OR(INDEX($AG$2:$AG$1001,MATCH(ROWS($AF$2:AF301),$AF$2:$AF$1001,0),1)&gt;=100000,INDEX($AM$1005:$BM$1005,1,MATCH(COLUMNS($AM$1006:AT1006),$AM$1006:$BM$1006,0))&gt;=100000), " ",IF(INDEX($AM$2:$BM$1001,MATCH(ROWS($AF$2:AF301),$AF$2:$AF$1001,0),MATCH(COLUMNS($AM$1006:AT1006),$AM$1006:$BM$1006,0)), HYPERLINK("#",""), HYPERLINK(CONCATENATE("#metadata!", ADDRESS(INDEX($AH$2:$AH$1001,MATCH(ROWS($AF$2:AF301),$AF$2:$AF$1001,0),0), INDEX($AM$1004:$BM$1004,1,MATCH(COLUMNS($AM$1006:AT1006),$AM$1006:$BM$1006,0)))),"Fix")))</f>
        <v xml:space="preserve"> </v>
      </c>
      <c r="J301" s="4" t="str">
        <f ca="1">IF(OR(INDEX($AG$2:$AG$1001,MATCH(ROWS($AF$2:AF301),$AF$2:$AF$1001,0),1)&gt;=100000,INDEX($AM$1005:$BM$1005,1,MATCH(COLUMNS($AM$1006:AU1006),$AM$1006:$BM$1006,0))&gt;=100000), " ",IF(INDEX($AM$2:$BM$1001,MATCH(ROWS($AF$2:AF301),$AF$2:$AF$1001,0),MATCH(COLUMNS($AM$1006:AU1006),$AM$1006:$BM$1006,0)), HYPERLINK("#",""), HYPERLINK(CONCATENATE("#metadata!", ADDRESS(INDEX($AH$2:$AH$1001,MATCH(ROWS($AF$2:AF301),$AF$2:$AF$1001,0),0), INDEX($AM$1004:$BM$1004,1,MATCH(COLUMNS($AM$1006:AU1006),$AM$1006:$BM$1006,0)))),"Fix")))</f>
        <v xml:space="preserve"> </v>
      </c>
      <c r="K301" s="4" t="str">
        <f ca="1">IF(OR(INDEX($AG$2:$AG$1001,MATCH(ROWS($AF$2:AF301),$AF$2:$AF$1001,0),1)&gt;=100000,INDEX($AM$1005:$BM$1005,1,MATCH(COLUMNS($AM$1006:AV1006),$AM$1006:$BM$1006,0))&gt;=100000), " ",IF(INDEX($AM$2:$BM$1001,MATCH(ROWS($AF$2:AF301),$AF$2:$AF$1001,0),MATCH(COLUMNS($AM$1006:AV1006),$AM$1006:$BM$1006,0)), HYPERLINK("#",""), HYPERLINK(CONCATENATE("#metadata!", ADDRESS(INDEX($AH$2:$AH$1001,MATCH(ROWS($AF$2:AF301),$AF$2:$AF$1001,0),0), INDEX($AM$1004:$BM$1004,1,MATCH(COLUMNS($AM$1006:AV1006),$AM$1006:$BM$1006,0)))),"Fix")))</f>
        <v xml:space="preserve"> </v>
      </c>
      <c r="L301" s="4" t="str">
        <f ca="1">IF(OR(INDEX($AG$2:$AG$1001,MATCH(ROWS($AF$2:AF301),$AF$2:$AF$1001,0),1)&gt;=100000,INDEX($AM$1005:$BM$1005,1,MATCH(COLUMNS($AM$1006:AW1006),$AM$1006:$BM$1006,0))&gt;=100000), " ",IF(INDEX($AM$2:$BM$1001,MATCH(ROWS($AF$2:AF301),$AF$2:$AF$1001,0),MATCH(COLUMNS($AM$1006:AW1006),$AM$1006:$BM$1006,0)), HYPERLINK("#",""), HYPERLINK(CONCATENATE("#metadata!", ADDRESS(INDEX($AH$2:$AH$1001,MATCH(ROWS($AF$2:AF301),$AF$2:$AF$1001,0),0), INDEX($AM$1004:$BM$1004,1,MATCH(COLUMNS($AM$1006:AW1006),$AM$1006:$BM$1006,0)))),"Fix")))</f>
        <v xml:space="preserve"> </v>
      </c>
      <c r="M301" s="4" t="str">
        <f ca="1">IF(OR(INDEX($AG$2:$AG$1001,MATCH(ROWS($AF$2:AF301),$AF$2:$AF$1001,0),1)&gt;=100000,INDEX($AM$1005:$BM$1005,1,MATCH(COLUMNS($AM$1006:AX1006),$AM$1006:$BM$1006,0))&gt;=100000), " ",IF(INDEX($AM$2:$BM$1001,MATCH(ROWS($AF$2:AF301),$AF$2:$AF$1001,0),MATCH(COLUMNS($AM$1006:AX1006),$AM$1006:$BM$1006,0)), HYPERLINK("#",""), HYPERLINK(CONCATENATE("#metadata!", ADDRESS(INDEX($AH$2:$AH$1001,MATCH(ROWS($AF$2:AF301),$AF$2:$AF$1001,0),0), INDEX($AM$1004:$BM$1004,1,MATCH(COLUMNS($AM$1006:AX1006),$AM$1006:$BM$1006,0)))),"Fix")))</f>
        <v xml:space="preserve"> </v>
      </c>
      <c r="N301" s="4" t="str">
        <f ca="1">IF(OR(INDEX($AG$2:$AG$1001,MATCH(ROWS($AF$2:AF301),$AF$2:$AF$1001,0),1)&gt;=100000,INDEX($AM$1005:$BM$1005,1,MATCH(COLUMNS($AM$1006:AY1006),$AM$1006:$BM$1006,0))&gt;=100000), " ",IF(INDEX($AM$2:$BM$1001,MATCH(ROWS($AF$2:AF301),$AF$2:$AF$1001,0),MATCH(COLUMNS($AM$1006:AY1006),$AM$1006:$BM$1006,0)), HYPERLINK("#",""), HYPERLINK(CONCATENATE("#metadata!", ADDRESS(INDEX($AH$2:$AH$1001,MATCH(ROWS($AF$2:AF301),$AF$2:$AF$1001,0),0), INDEX($AM$1004:$BM$1004,1,MATCH(COLUMNS($AM$1006:AY1006),$AM$1006:$BM$1006,0)))),"Fix")))</f>
        <v xml:space="preserve"> </v>
      </c>
      <c r="O301" s="4" t="str">
        <f ca="1">IF(OR(INDEX($AG$2:$AG$1001,MATCH(ROWS($AF$2:AF301),$AF$2:$AF$1001,0),1)&gt;=100000,INDEX($AM$1005:$BM$1005,1,MATCH(COLUMNS($AM$1006:AZ1006),$AM$1006:$BM$1006,0))&gt;=100000), " ",IF(INDEX($AM$2:$BM$1001,MATCH(ROWS($AF$2:AF301),$AF$2:$AF$1001,0),MATCH(COLUMNS($AM$1006:AZ1006),$AM$1006:$BM$1006,0)), HYPERLINK("#",""), HYPERLINK(CONCATENATE("#metadata!", ADDRESS(INDEX($AH$2:$AH$1001,MATCH(ROWS($AF$2:AF301),$AF$2:$AF$1001,0),0), INDEX($AM$1004:$BM$1004,1,MATCH(COLUMNS($AM$1006:AZ1006),$AM$1006:$BM$1006,0)))),"Fix")))</f>
        <v xml:space="preserve"> </v>
      </c>
      <c r="P301" s="4" t="str">
        <f ca="1">IF(OR(INDEX($AG$2:$AG$1001,MATCH(ROWS($AF$2:AF301),$AF$2:$AF$1001,0),1)&gt;=100000,INDEX($AM$1005:$BM$1005,1,MATCH(COLUMNS($AM$1006:BA1006),$AM$1006:$BM$1006,0))&gt;=100000), " ",IF(INDEX($AM$2:$BM$1001,MATCH(ROWS($AF$2:AF301),$AF$2:$AF$1001,0),MATCH(COLUMNS($AM$1006:BA1006),$AM$1006:$BM$1006,0)), HYPERLINK("#",""), HYPERLINK(CONCATENATE("#metadata!", ADDRESS(INDEX($AH$2:$AH$1001,MATCH(ROWS($AF$2:AF301),$AF$2:$AF$1001,0),0), INDEX($AM$1004:$BM$1004,1,MATCH(COLUMNS($AM$1006:BA1006),$AM$1006:$BM$1006,0)))),"Fix")))</f>
        <v xml:space="preserve"> </v>
      </c>
      <c r="Q301" s="4" t="str">
        <f ca="1">IF(OR(INDEX($AG$2:$AG$1001,MATCH(ROWS($AF$2:AF301),$AF$2:$AF$1001,0),1)&gt;=100000,INDEX($AM$1005:$BM$1005,1,MATCH(COLUMNS($AM$1006:BB1006),$AM$1006:$BM$1006,0))&gt;=100000), " ",IF(INDEX($AM$2:$BM$1001,MATCH(ROWS($AF$2:AF301),$AF$2:$AF$1001,0),MATCH(COLUMNS($AM$1006:BB1006),$AM$1006:$BM$1006,0)), HYPERLINK("#",""), HYPERLINK(CONCATENATE("#metadata!", ADDRESS(INDEX($AH$2:$AH$1001,MATCH(ROWS($AF$2:AF301),$AF$2:$AF$1001,0),0), INDEX($AM$1004:$BM$1004,1,MATCH(COLUMNS($AM$1006:BB1006),$AM$1006:$BM$1006,0)))),"Fix")))</f>
        <v xml:space="preserve"> </v>
      </c>
      <c r="R301" s="4" t="str">
        <f ca="1">IF(OR(INDEX($AG$2:$AG$1001,MATCH(ROWS($AF$2:AF301),$AF$2:$AF$1001,0),1)&gt;=100000,INDEX($AM$1005:$BM$1005,1,MATCH(COLUMNS($AM$1006:BC1006),$AM$1006:$BM$1006,0))&gt;=100000), " ",IF(INDEX($AM$2:$BM$1001,MATCH(ROWS($AF$2:AF301),$AF$2:$AF$1001,0),MATCH(COLUMNS($AM$1006:BC1006),$AM$1006:$BM$1006,0)), HYPERLINK("#",""), HYPERLINK(CONCATENATE("#metadata!", ADDRESS(INDEX($AH$2:$AH$1001,MATCH(ROWS($AF$2:AF301),$AF$2:$AF$1001,0),0), INDEX($AM$1004:$BM$1004,1,MATCH(COLUMNS($AM$1006:BC1006),$AM$1006:$BM$1006,0)))),"Fix")))</f>
        <v xml:space="preserve"> </v>
      </c>
      <c r="S301" s="4" t="str">
        <f ca="1">IF(OR(INDEX($AG$2:$AG$1001,MATCH(ROWS($AF$2:AF301),$AF$2:$AF$1001,0),1)&gt;=100000,INDEX($AM$1005:$BM$1005,1,MATCH(COLUMNS($AM$1006:BD1006),$AM$1006:$BM$1006,0))&gt;=100000), " ",IF(INDEX($AM$2:$BM$1001,MATCH(ROWS($AF$2:AF301),$AF$2:$AF$1001,0),MATCH(COLUMNS($AM$1006:BD1006),$AM$1006:$BM$1006,0)), HYPERLINK("#",""), HYPERLINK(CONCATENATE("#metadata!", ADDRESS(INDEX($AH$2:$AH$1001,MATCH(ROWS($AF$2:AF301),$AF$2:$AF$1001,0),0), INDEX($AM$1004:$BM$1004,1,MATCH(COLUMNS($AM$1006:BD1006),$AM$1006:$BM$1006,0)))),"Fix")))</f>
        <v xml:space="preserve"> </v>
      </c>
      <c r="T301" s="4" t="str">
        <f ca="1">IF(OR(INDEX($AG$2:$AG$1001,MATCH(ROWS($AF$2:AF301),$AF$2:$AF$1001,0),1)&gt;=100000,INDEX($AM$1005:$BM$1005,1,MATCH(COLUMNS($AM$1006:BE1006),$AM$1006:$BM$1006,0))&gt;=100000), " ",IF(INDEX($AM$2:$BM$1001,MATCH(ROWS($AF$2:AF301),$AF$2:$AF$1001,0),MATCH(COLUMNS($AM$1006:BE1006),$AM$1006:$BM$1006,0)), HYPERLINK("#",""), HYPERLINK(CONCATENATE("#metadata!", ADDRESS(INDEX($AH$2:$AH$1001,MATCH(ROWS($AF$2:AF301),$AF$2:$AF$1001,0),0), INDEX($AM$1004:$BM$1004,1,MATCH(COLUMNS($AM$1006:BE1006),$AM$1006:$BM$1006,0)))),"Fix")))</f>
        <v xml:space="preserve"> </v>
      </c>
      <c r="U301" s="4" t="str">
        <f ca="1">IF(OR(INDEX($AG$2:$AG$1001,MATCH(ROWS($AF$2:AF301),$AF$2:$AF$1001,0),1)&gt;=100000,INDEX($AM$1005:$BM$1005,1,MATCH(COLUMNS($AM$1006:BF1006),$AM$1006:$BM$1006,0))&gt;=100000), " ",IF(INDEX($AM$2:$BM$1001,MATCH(ROWS($AF$2:AF301),$AF$2:$AF$1001,0),MATCH(COLUMNS($AM$1006:BF1006),$AM$1006:$BM$1006,0)), HYPERLINK("#",""), HYPERLINK(CONCATENATE("#metadata!", ADDRESS(INDEX($AH$2:$AH$1001,MATCH(ROWS($AF$2:AF301),$AF$2:$AF$1001,0),0), INDEX($AM$1004:$BM$1004,1,MATCH(COLUMNS($AM$1006:BF1006),$AM$1006:$BM$1006,0)))),"Fix")))</f>
        <v xml:space="preserve"> </v>
      </c>
      <c r="V301" s="4" t="str">
        <f ca="1">IF(OR(INDEX($AG$2:$AG$1001,MATCH(ROWS($AF$2:AF301),$AF$2:$AF$1001,0),1)&gt;=100000,INDEX($AM$1005:$BM$1005,1,MATCH(COLUMNS($AM$1006:BG1006),$AM$1006:$BM$1006,0))&gt;=100000), " ",IF(INDEX($AM$2:$BM$1001,MATCH(ROWS($AF$2:AF301),$AF$2:$AF$1001,0),MATCH(COLUMNS($AM$1006:BG1006),$AM$1006:$BM$1006,0)), HYPERLINK("#",""), HYPERLINK(CONCATENATE("#metadata!", ADDRESS(INDEX($AH$2:$AH$1001,MATCH(ROWS($AF$2:AF301),$AF$2:$AF$1001,0),0), INDEX($AM$1004:$BM$1004,1,MATCH(COLUMNS($AM$1006:BG1006),$AM$1006:$BM$1006,0)))),"Fix")))</f>
        <v xml:space="preserve"> </v>
      </c>
      <c r="W301" s="4" t="str">
        <f ca="1">IF(OR(INDEX($AG$2:$AG$1001,MATCH(ROWS($AF$2:AF301),$AF$2:$AF$1001,0),1)&gt;=100000,INDEX($AM$1005:$BM$1005,1,MATCH(COLUMNS($AM$1006:BH1006),$AM$1006:$BM$1006,0))&gt;=100000), " ",IF(INDEX($AM$2:$BM$1001,MATCH(ROWS($AF$2:AF301),$AF$2:$AF$1001,0),MATCH(COLUMNS($AM$1006:BH1006),$AM$1006:$BM$1006,0)), HYPERLINK("#",""), HYPERLINK(CONCATENATE("#metadata!", ADDRESS(INDEX($AH$2:$AH$1001,MATCH(ROWS($AF$2:AF301),$AF$2:$AF$1001,0),0), INDEX($AM$1004:$BM$1004,1,MATCH(COLUMNS($AM$1006:BH1006),$AM$1006:$BM$1006,0)))),"Fix")))</f>
        <v xml:space="preserve"> </v>
      </c>
      <c r="X301" s="4" t="str">
        <f ca="1">IF(OR(INDEX($AG$2:$AG$1001,MATCH(ROWS($AF$2:AF301),$AF$2:$AF$1001,0),1)&gt;=100000,INDEX($AM$1005:$BM$1005,1,MATCH(COLUMNS($AM$1006:BI1006),$AM$1006:$BM$1006,0))&gt;=100000), " ",IF(INDEX($AM$2:$BM$1001,MATCH(ROWS($AF$2:AF301),$AF$2:$AF$1001,0),MATCH(COLUMNS($AM$1006:BI1006),$AM$1006:$BM$1006,0)), HYPERLINK("#",""), HYPERLINK(CONCATENATE("#metadata!", ADDRESS(INDEX($AH$2:$AH$1001,MATCH(ROWS($AF$2:AF301),$AF$2:$AF$1001,0),0), INDEX($AM$1004:$BM$1004,1,MATCH(COLUMNS($AM$1006:BI1006),$AM$1006:$BM$1006,0)))),"Fix")))</f>
        <v xml:space="preserve"> </v>
      </c>
      <c r="Y301" s="4" t="str">
        <f ca="1">IF(OR(INDEX($AG$2:$AG$1001,MATCH(ROWS($AF$2:AF301),$AF$2:$AF$1001,0),1)&gt;=100000,INDEX($AM$1005:$BM$1005,1,MATCH(COLUMNS($AM$1006:BJ1006),$AM$1006:$BM$1006,0))&gt;=100000), " ",IF(INDEX($AM$2:$BM$1001,MATCH(ROWS($AF$2:AF301),$AF$2:$AF$1001,0),MATCH(COLUMNS($AM$1006:BJ1006),$AM$1006:$BM$1006,0)), HYPERLINK("#",""), HYPERLINK(CONCATENATE("#metadata!", ADDRESS(INDEX($AH$2:$AH$1001,MATCH(ROWS($AF$2:AF301),$AF$2:$AF$1001,0),0), INDEX($AM$1004:$BM$1004,1,MATCH(COLUMNS($AM$1006:BJ1006),$AM$1006:$BM$1006,0)))),"Fix")))</f>
        <v xml:space="preserve"> </v>
      </c>
      <c r="Z301" s="4" t="str">
        <f ca="1">IF(OR(INDEX($AG$2:$AG$1001,MATCH(ROWS($AF$2:AF301),$AF$2:$AF$1001,0),1)&gt;=100000,INDEX($AM$1005:$BM$1005,1,MATCH(COLUMNS($AM$1006:BK1006),$AM$1006:$BM$1006,0))&gt;=100000), " ",IF(INDEX($AM$2:$BM$1001,MATCH(ROWS($AF$2:AF301),$AF$2:$AF$1001,0),MATCH(COLUMNS($AM$1006:BK1006),$AM$1006:$BM$1006,0)), HYPERLINK("#",""), HYPERLINK(CONCATENATE("#metadata!", ADDRESS(INDEX($AH$2:$AH$1001,MATCH(ROWS($AF$2:AF301),$AF$2:$AF$1001,0),0), INDEX($AM$1004:$BM$1004,1,MATCH(COLUMNS($AM$1006:BK1006),$AM$1006:$BM$1006,0)))),"Fix")))</f>
        <v xml:space="preserve"> </v>
      </c>
      <c r="AA301" s="4" t="str">
        <f ca="1">IF(OR(INDEX($AG$2:$AG$1001,MATCH(ROWS($AF$2:AF301),$AF$2:$AF$1001,0),1)&gt;=100000,INDEX($AM$1005:$BM$1005,1,MATCH(COLUMNS($AM$1006:BL1006),$AM$1006:$BM$1006,0))&gt;=100000), " ",IF(INDEX($AM$2:$BM$1001,MATCH(ROWS($AF$2:AF301),$AF$2:$AF$1001,0),MATCH(COLUMNS($AM$1006:BL1006),$AM$1006:$BM$1006,0)), HYPERLINK("#",""), HYPERLINK(CONCATENATE("#metadata!", ADDRESS(INDEX($AH$2:$AH$1001,MATCH(ROWS($AF$2:AF301),$AF$2:$AF$1001,0),0), INDEX($AM$1004:$BM$1004,1,MATCH(COLUMNS($AM$1006:BL1006),$AM$1006:$BM$1006,0)))),"Fix")))</f>
        <v xml:space="preserve"> </v>
      </c>
      <c r="AB301" s="4" t="str">
        <f ca="1">IF(OR(INDEX($AG$2:$AG$1001,MATCH(ROWS($AF$2:AF301),$AF$2:$AF$1001,0),1)&gt;=100000,INDEX($AM$1005:$BM$1005,1,MATCH(COLUMNS($AM$1006:BM1006),$AM$1006:$BM$1006,0))&gt;=100000), " ",IF(INDEX($AM$2:$BM$1001,MATCH(ROWS($AF$2:AF301),$AF$2:$AF$1001,0),MATCH(COLUMNS($AM$1006:BM1006),$AM$1006:$BM$1006,0)), HYPERLINK("#",""), HYPERLINK(CONCATENATE("#metadata!", ADDRESS(INDEX($AH$2:$AH$1001,MATCH(ROWS($AF$2:AF301),$AF$2:$AF$1001,0),0), INDEX($AM$1004:$BM$1004,1,MATCH(COLUMNS($AM$1006:BM1006),$AM$1006:$BM$1006,0)))),"Fix")))</f>
        <v xml:space="preserve"> </v>
      </c>
      <c r="AF301">
        <v>300</v>
      </c>
      <c r="AG301">
        <v>100301</v>
      </c>
      <c r="AH301">
        <v>301</v>
      </c>
      <c r="AI301" t="b">
        <f t="shared" si="4"/>
        <v>1</v>
      </c>
      <c r="AJ301" t="b">
        <f>COUNTBLANK(metadata!B301:AB301)=COLUMNS(metadata!B301:AB301)</f>
        <v>1</v>
      </c>
      <c r="AK301" t="str">
        <v/>
      </c>
      <c r="AM301" t="b">
        <f ca="1">AND(IF(metadata!B301="",FALSE,TRUE),COUNTIF(metadata!B:B, metadata!B301) = 1,NOT(ISERROR(SUMPRODUCT(SEARCH(MID(metadata!B301,ROW(INDIRECT("1:"&amp;LEN(metadata!B301))), 1),"0123456789abcdefghijklmnopqrstuvwxyzABCDEFGHIJKLMNOPQRSTUVWXYZ.")))))</f>
        <v>0</v>
      </c>
      <c r="AN301" t="b">
        <f ca="1">OR(AND(IF(metadata!C301="",FALSE,TRUE),OR(EXACT(metadata!C301,"missing: not collected"),EXACT(metadata!C301,"missing: not provided"),EXACT(metadata!C301,"missing: restricted access"))),AND(IF(metadata!C301="",FALSE,TRUE),AND(AND(IFERROR(INT(LEFT(metadata!C301,4))&gt;1900,FALSE),IFERROR(INT(LEFT(metadata!C301,4))&lt;=YEAR(NOW()),FALSE)), OR(MID(metadata!C301,5,1)="", AND(AND(MID(metadata!C301,5,1)="-",IFERROR(INT(MID(metadata!C301,6,1))&gt;=0,FALSE),IFERROR(INT(MID(metadata!C301,6,1))&lt;=1,FALSE),NOT(MID(metadata!C301,7,1)=""),IFERROR(INT(MID(metadata!C301,6,2))&gt;=1,FALSE),IFERROR(INT(MID(metadata!C301,6,2))&lt;=12,FALSE)), OR(MID(metadata!C301,8,1)="", AND(AND(MID(metadata!C301,8,1)="-",IFERROR(INT(MID(metadata!C301,9,1))&gt;=0,FALSE),IFERROR(INT(MID(metadata!C301,9,1))&lt;=3,FALSE),NOT(MID(metadata!C301,10,1)=""),IFERROR(INT(MID(metadata!C301,9,2))&gt;=1,FALSE),IFERROR(INT(MID(metadata!C301,9,2))&lt;=31,FALSE)), OR(MID(metadata!C301,11,1)="", AND(AND(MID(metadata!C301,11,1)=" ",IFERROR(INT(MID(metadata!C301,12,1))&gt;=0,FALSE),IFERROR(INT(MID(metadata!C301,12,1))&lt;=2,FALSE),NOT(MID(metadata!C301,13,1)=""),IFERROR(INT(MID(metadata!C301,12,2))&gt;=0,FALSE),IFERROR(INT(MID(metadata!C301,12,2))&lt;=23,FALSE)), OR(MID(metadata!C301,14,1)="", AND(AND(MID(metadata!C301,14,1)=":",IFERROR(INT(MID(metadata!C301,15,1))&gt;=0,FALSE),IFERROR(INT(MID(metadata!C301,15,1))&lt;=5,FALSE),NOT(MID(metadata!C301,16,1)=""),IFERROR(INT(MID(metadata!C301,15,2))&gt;=0,FALSE),IFERROR(INT(MID(metadata!C301,15,2))&lt;=59,FALSE)), OR(MID(metadata!C301,17,1)="", AND(AND(MID(metadata!C301,17,1)=":",IFERROR(INT(MID(metadata!C301,18,1))&gt;=0,FALSE),IFERROR(INT(MID(metadata!C301,18,1))&lt;=5,FALSE),NOT(MID(metadata!C301,19,1)=""),IFERROR(INT(MID(metadata!C301,18,2))&gt;=0,FALSE),IFERROR(INT(MID(metadata!C301,18,2))&lt;=59,FALSE)), LEN(metadata!C301)&lt;=19)))))))))))))</f>
        <v>0</v>
      </c>
      <c r="AO301" t="b">
        <f>AND(IF(metadata!D301="",FALSE,TRUE),EXACT(metadata!D301,"Not applicable"))</f>
        <v>0</v>
      </c>
      <c r="AP301" t="b">
        <f>IF(metadata!E301="",FALSE,TRUE)</f>
        <v>0</v>
      </c>
      <c r="AQ301" t="b">
        <f>OR(AND(IF(metadata!F301="",FALSE,TRUE),OR(EXACT(metadata!F301,"missing: not collected"),EXACT(metadata!F301,"missing: not provided"))),AND(IF(metadata!F301="",FALSE,TRUE),OR(EXACT(metadata!F301,"TRUE"),EXACT(metadata!F301,"FALSE"))))</f>
        <v>0</v>
      </c>
      <c r="AR301" t="b">
        <f>OR(AND(IF(metadata!G301="",FALSE,TRUE),OR(EXACT(metadata!G301,"missing: not collected"),EXACT(metadata!G301,"missing: not provided"),EXACT(metadata!G301,"missing: restricted access"))),AND(IF(metadata!G301="",FALSE,ISNUMBER(VALUE(metadata!G301))),metadata!G301&gt;=-413))</f>
        <v>0</v>
      </c>
      <c r="AS301" t="b">
        <f>AND(IF(metadata!H301="",FALSE,TRUE),EXACT(metadata!H301,"meters"))</f>
        <v>0</v>
      </c>
      <c r="AT301" t="b">
        <f>AND(IF(metadata!I301="",FALSE,TRUE),OR(EXACT(metadata!I301,"Host-associated"),EXACT(metadata!I301,"Free-living")))</f>
        <v>0</v>
      </c>
      <c r="AU301" t="b">
        <f>AND(IF(metadata!J301="",FALSE,TRUE),OR(EXACT(metadata!J301,"Animal"),EXACT(metadata!J301,"Fungus"),EXACT(metadata!J301,"Plant"),EXACT(metadata!J301,"Saline"),EXACT(metadata!J301,"Non-saline")))</f>
        <v>0</v>
      </c>
      <c r="AV301" t="b">
        <f>AND(IF(metadata!K301="",FALSE,TRUE),OR(EXACT(metadata!K301,"Plant secretion"),EXACT(metadata!K301,"Plant rhizosphere"),EXACT(metadata!K301,"Plant surface"),EXACT(metadata!K301,"Plant corpus"),EXACT(metadata!K301,"Fungus surface"),EXACT(metadata!K301,"Fungus corpus"),EXACT(metadata!K301,"Animal surface"),EXACT(metadata!K301,"Animal proximal gut"),EXACT(metadata!K301,"Animal corpus"),EXACT(metadata!K301,"Animal distal gut"),EXACT(metadata!K301,"Animal secretion"),EXACT(metadata!K301,"Sub-surface (non-saline)"),EXACT(metadata!K301,"Surface (non-saline)"),EXACT(metadata!K301,"Water (non-saline)"),EXACT(metadata!K301,"Soil (non-saline)"),EXACT(metadata!K301,"Aerosol (non-saline)"),EXACT(metadata!K301,"Sediment (non-saline)"),EXACT(metadata!K301,"Surface (saline)"),EXACT(metadata!K301,"Water (saline)"),EXACT(metadata!K301,"Hypersaline (saline)"),EXACT(metadata!K301,"Aerosol (saline)"),EXACT(metadata!K301,"Sediment (saline)")))</f>
        <v>0</v>
      </c>
      <c r="AW301" t="b">
        <f>IF(metadata!L301="",FALSE,TRUE)</f>
        <v>0</v>
      </c>
      <c r="AX301" t="b">
        <f>IF(metadata!M301="",FALSE,TRUE)</f>
        <v>0</v>
      </c>
      <c r="AY301" t="b">
        <f>IF(metadata!N301="",FALSE,TRUE)</f>
        <v>0</v>
      </c>
      <c r="AZ301" t="b">
        <f>OR(AND(IF(metadata!O301="",FALSE,TRUE),OR(EXACT(metadata!O301,"missing: not collected"),EXACT(metadata!O301,"missing: not provided"),EXACT(metadata!O301,"missing: restricted access"))),AND(IF(metadata!O301="",FALSE,TRUE),OR(EXACT(metadata!O301,"air"),EXACT(metadata!O301,"built environment"),EXACT(metadata!O301,"host-associated"),EXACT(metadata!O301,"human-associated"),EXACT(metadata!O301,"human-skin"),EXACT(metadata!O301,"human-oral"),EXACT(metadata!O301,"human-gut"),EXACT(metadata!O301,"human-vaginal"),EXACT(metadata!O301,"microbial mat/biofilm"),EXACT(metadata!O301,"misc environment"),EXACT(metadata!O301,"plant-associated"),EXACT(metadata!O301,"sediment"),EXACT(metadata!O301,"soil"),EXACT(metadata!O301,"wastewater/sludge"),EXACT(metadata!O301,"water"))))</f>
        <v>0</v>
      </c>
      <c r="BA301" t="b">
        <f>IF(metadata!P301="",FALSE,TRUE)</f>
        <v>0</v>
      </c>
      <c r="BB301" t="b">
        <f>IF(metadata!Q301="",FALSE,TRUE)</f>
        <v>0</v>
      </c>
      <c r="BC301" t="b">
        <f>OR(AND(IF(metadata!R301="",FALSE,TRUE),OR(EXACT(metadata!R301,"missing: not collected"),EXACT(metadata!R301,"missing: not provided"),EXACT(metadata!R301,"missing: restricted access"))),AND(IF(metadata!R301="",FALSE,ISNUMBER(VALUE(metadata!R301))),metadata!R301&gt;=-90,metadata!R301&lt;=90))</f>
        <v>0</v>
      </c>
      <c r="BD301" t="b">
        <f>AND(IF(metadata!S301="",FALSE,TRUE),EXACT(metadata!S301,"Decimal degrees"))</f>
        <v>0</v>
      </c>
      <c r="BE301" t="b">
        <f>OR(AND(IF(metadata!T301="",FALSE,TRUE),OR(EXACT(metadata!T301,"missing: not collected"),EXACT(metadata!T301,"missing: not provided"),EXACT(metadata!T301,"missing: restricted access"))),AND(IF(metadata!T301="",FALSE,ISNUMBER(VALUE(metadata!T301))),metadata!T301&gt;=-180,metadata!T301&lt;=180))</f>
        <v>0</v>
      </c>
      <c r="BF301" t="b">
        <f>AND(IF(metadata!U301="",FALSE,TRUE),EXACT(metadata!U301,"Decimal degrees"))</f>
        <v>0</v>
      </c>
      <c r="BG301" t="b">
        <f>IF(metadata!V301="",FALSE,TRUE)</f>
        <v>0</v>
      </c>
      <c r="BH301" t="b">
        <f>OR(AND(IF(metadata!W301="",FALSE,TRUE),OR(EXACT(metadata!W301,"missing: not collected"),EXACT(metadata!W301,"missing: not provided"),EXACT(metadata!W301,"missing: restricted access"))),AND(IF(metadata!W301="",FALSE,TRUE),OR(EXACT(metadata!W301,"TRUE"),EXACT(metadata!W301,"FALSE"))))</f>
        <v>0</v>
      </c>
      <c r="BI301" t="b">
        <f>AND(IF(metadata!X301="",FALSE,TRUE),EXACT(metadata!X301,"other"))</f>
        <v>0</v>
      </c>
      <c r="BJ301" t="b">
        <f>IF(metadata!Y301="",FALSE,TRUE)</f>
        <v>0</v>
      </c>
      <c r="BK301" t="b">
        <f>OR(AND(IF(metadata!Z301="",FALSE,TRUE),OR(EXACT(metadata!Z301,"missing: not collected"),EXACT(metadata!Z301,"missing: not provided"))),AND(IF(metadata!Z301="",FALSE,IF(ISERROR(INT(metadata!Z301)),FALSE,INT(metadata!Z301)=metadata!Z301)),metadata!Z301&gt;0))</f>
        <v>0</v>
      </c>
      <c r="BL301" t="b">
        <f>AND(IF(metadata!AA301="",FALSE,TRUE),EXACT(metadata!AA301,"Not applicable"))</f>
        <v>0</v>
      </c>
      <c r="BM301" t="b">
        <f>IF(metadata!AB301="",FALSE,TRUE)</f>
        <v>0</v>
      </c>
    </row>
    <row r="302" spans="1:65" x14ac:dyDescent="0.2">
      <c r="A302" s="5" t="str">
        <f ca="1">IF(B302=" "," ",HYPERLINK(CONCATENATE("#metadata!",ADDRESS(INDEX($AH$2:$AH$1001,MATCH(ROWS($AF$2:AF302),$AF$2:$AF$1001,0),0),1)),INDEX($AK$2:$AK$1001,MATCH(ROWS($AF$2:AF302),$AF$2:$AF$1001,0),0)))</f>
        <v xml:space="preserve"> </v>
      </c>
      <c r="B302" s="4" t="str">
        <f ca="1">IF(OR(INDEX($AG$2:$AG$1001,MATCH(ROWS($AF$2:AF302),$AF$2:$AF$1001,0),1)&gt;=100000,INDEX($AM$1005:$BM$1005,1,MATCH(COLUMNS($AM$1006:AM1006),$AM$1006:$BM$1006,0))&gt;=100000), " ",IF(INDEX($AM$2:$BM$1001,MATCH(ROWS($AF$2:AF302),$AF$2:$AF$1001,0),MATCH(COLUMNS($AM$1006:AM1006),$AM$1006:$BM$1006,0)), HYPERLINK("#",""), HYPERLINK(CONCATENATE("#metadata!", ADDRESS(INDEX($AH$2:$AH$1001,MATCH(ROWS($AF$2:AF302),$AF$2:$AF$1001,0),0), INDEX($AM$1004:$BM$1004,1,MATCH(COLUMNS($AM$1006:AM1006),$AM$1006:$BM$1006,0)))),"Fix")))</f>
        <v xml:space="preserve"> </v>
      </c>
      <c r="C302" s="4" t="str">
        <f ca="1">IF(OR(INDEX($AG$2:$AG$1001,MATCH(ROWS($AF$2:AF302),$AF$2:$AF$1001,0),1)&gt;=100000,INDEX($AM$1005:$BM$1005,1,MATCH(COLUMNS($AM$1006:AN1006),$AM$1006:$BM$1006,0))&gt;=100000), " ",IF(INDEX($AM$2:$BM$1001,MATCH(ROWS($AF$2:AF302),$AF$2:$AF$1001,0),MATCH(COLUMNS($AM$1006:AN1006),$AM$1006:$BM$1006,0)), HYPERLINK("#",""), HYPERLINK(CONCATENATE("#metadata!", ADDRESS(INDEX($AH$2:$AH$1001,MATCH(ROWS($AF$2:AF302),$AF$2:$AF$1001,0),0), INDEX($AM$1004:$BM$1004,1,MATCH(COLUMNS($AM$1006:AN1006),$AM$1006:$BM$1006,0)))),"Fix")))</f>
        <v xml:space="preserve"> </v>
      </c>
      <c r="D302" s="4" t="str">
        <f ca="1">IF(OR(INDEX($AG$2:$AG$1001,MATCH(ROWS($AF$2:AF302),$AF$2:$AF$1001,0),1)&gt;=100000,INDEX($AM$1005:$BM$1005,1,MATCH(COLUMNS($AM$1006:AO1006),$AM$1006:$BM$1006,0))&gt;=100000), " ",IF(INDEX($AM$2:$BM$1001,MATCH(ROWS($AF$2:AF302),$AF$2:$AF$1001,0),MATCH(COLUMNS($AM$1006:AO1006),$AM$1006:$BM$1006,0)), HYPERLINK("#",""), HYPERLINK(CONCATENATE("#metadata!", ADDRESS(INDEX($AH$2:$AH$1001,MATCH(ROWS($AF$2:AF302),$AF$2:$AF$1001,0),0), INDEX($AM$1004:$BM$1004,1,MATCH(COLUMNS($AM$1006:AO1006),$AM$1006:$BM$1006,0)))),"Fix")))</f>
        <v xml:space="preserve"> </v>
      </c>
      <c r="E302" s="4" t="str">
        <f ca="1">IF(OR(INDEX($AG$2:$AG$1001,MATCH(ROWS($AF$2:AF302),$AF$2:$AF$1001,0),1)&gt;=100000,INDEX($AM$1005:$BM$1005,1,MATCH(COLUMNS($AM$1006:AP1006),$AM$1006:$BM$1006,0))&gt;=100000), " ",IF(INDEX($AM$2:$BM$1001,MATCH(ROWS($AF$2:AF302),$AF$2:$AF$1001,0),MATCH(COLUMNS($AM$1006:AP1006),$AM$1006:$BM$1006,0)), HYPERLINK("#",""), HYPERLINK(CONCATENATE("#metadata!", ADDRESS(INDEX($AH$2:$AH$1001,MATCH(ROWS($AF$2:AF302),$AF$2:$AF$1001,0),0), INDEX($AM$1004:$BM$1004,1,MATCH(COLUMNS($AM$1006:AP1006),$AM$1006:$BM$1006,0)))),"Fix")))</f>
        <v xml:space="preserve"> </v>
      </c>
      <c r="F302" s="4" t="str">
        <f ca="1">IF(OR(INDEX($AG$2:$AG$1001,MATCH(ROWS($AF$2:AF302),$AF$2:$AF$1001,0),1)&gt;=100000,INDEX($AM$1005:$BM$1005,1,MATCH(COLUMNS($AM$1006:AQ1006),$AM$1006:$BM$1006,0))&gt;=100000), " ",IF(INDEX($AM$2:$BM$1001,MATCH(ROWS($AF$2:AF302),$AF$2:$AF$1001,0),MATCH(COLUMNS($AM$1006:AQ1006),$AM$1006:$BM$1006,0)), HYPERLINK("#",""), HYPERLINK(CONCATENATE("#metadata!", ADDRESS(INDEX($AH$2:$AH$1001,MATCH(ROWS($AF$2:AF302),$AF$2:$AF$1001,0),0), INDEX($AM$1004:$BM$1004,1,MATCH(COLUMNS($AM$1006:AQ1006),$AM$1006:$BM$1006,0)))),"Fix")))</f>
        <v xml:space="preserve"> </v>
      </c>
      <c r="G302" s="4" t="str">
        <f ca="1">IF(OR(INDEX($AG$2:$AG$1001,MATCH(ROWS($AF$2:AF302),$AF$2:$AF$1001,0),1)&gt;=100000,INDEX($AM$1005:$BM$1005,1,MATCH(COLUMNS($AM$1006:AR1006),$AM$1006:$BM$1006,0))&gt;=100000), " ",IF(INDEX($AM$2:$BM$1001,MATCH(ROWS($AF$2:AF302),$AF$2:$AF$1001,0),MATCH(COLUMNS($AM$1006:AR1006),$AM$1006:$BM$1006,0)), HYPERLINK("#",""), HYPERLINK(CONCATENATE("#metadata!", ADDRESS(INDEX($AH$2:$AH$1001,MATCH(ROWS($AF$2:AF302),$AF$2:$AF$1001,0),0), INDEX($AM$1004:$BM$1004,1,MATCH(COLUMNS($AM$1006:AR1006),$AM$1006:$BM$1006,0)))),"Fix")))</f>
        <v xml:space="preserve"> </v>
      </c>
      <c r="H302" s="4" t="str">
        <f ca="1">IF(OR(INDEX($AG$2:$AG$1001,MATCH(ROWS($AF$2:AF302),$AF$2:$AF$1001,0),1)&gt;=100000,INDEX($AM$1005:$BM$1005,1,MATCH(COLUMNS($AM$1006:AS1006),$AM$1006:$BM$1006,0))&gt;=100000), " ",IF(INDEX($AM$2:$BM$1001,MATCH(ROWS($AF$2:AF302),$AF$2:$AF$1001,0),MATCH(COLUMNS($AM$1006:AS1006),$AM$1006:$BM$1006,0)), HYPERLINK("#",""), HYPERLINK(CONCATENATE("#metadata!", ADDRESS(INDEX($AH$2:$AH$1001,MATCH(ROWS($AF$2:AF302),$AF$2:$AF$1001,0),0), INDEX($AM$1004:$BM$1004,1,MATCH(COLUMNS($AM$1006:AS1006),$AM$1006:$BM$1006,0)))),"Fix")))</f>
        <v xml:space="preserve"> </v>
      </c>
      <c r="I302" s="4" t="str">
        <f ca="1">IF(OR(INDEX($AG$2:$AG$1001,MATCH(ROWS($AF$2:AF302),$AF$2:$AF$1001,0),1)&gt;=100000,INDEX($AM$1005:$BM$1005,1,MATCH(COLUMNS($AM$1006:AT1006),$AM$1006:$BM$1006,0))&gt;=100000), " ",IF(INDEX($AM$2:$BM$1001,MATCH(ROWS($AF$2:AF302),$AF$2:$AF$1001,0),MATCH(COLUMNS($AM$1006:AT1006),$AM$1006:$BM$1006,0)), HYPERLINK("#",""), HYPERLINK(CONCATENATE("#metadata!", ADDRESS(INDEX($AH$2:$AH$1001,MATCH(ROWS($AF$2:AF302),$AF$2:$AF$1001,0),0), INDEX($AM$1004:$BM$1004,1,MATCH(COLUMNS($AM$1006:AT1006),$AM$1006:$BM$1006,0)))),"Fix")))</f>
        <v xml:space="preserve"> </v>
      </c>
      <c r="J302" s="4" t="str">
        <f ca="1">IF(OR(INDEX($AG$2:$AG$1001,MATCH(ROWS($AF$2:AF302),$AF$2:$AF$1001,0),1)&gt;=100000,INDEX($AM$1005:$BM$1005,1,MATCH(COLUMNS($AM$1006:AU1006),$AM$1006:$BM$1006,0))&gt;=100000), " ",IF(INDEX($AM$2:$BM$1001,MATCH(ROWS($AF$2:AF302),$AF$2:$AF$1001,0),MATCH(COLUMNS($AM$1006:AU1006),$AM$1006:$BM$1006,0)), HYPERLINK("#",""), HYPERLINK(CONCATENATE("#metadata!", ADDRESS(INDEX($AH$2:$AH$1001,MATCH(ROWS($AF$2:AF302),$AF$2:$AF$1001,0),0), INDEX($AM$1004:$BM$1004,1,MATCH(COLUMNS($AM$1006:AU1006),$AM$1006:$BM$1006,0)))),"Fix")))</f>
        <v xml:space="preserve"> </v>
      </c>
      <c r="K302" s="4" t="str">
        <f ca="1">IF(OR(INDEX($AG$2:$AG$1001,MATCH(ROWS($AF$2:AF302),$AF$2:$AF$1001,0),1)&gt;=100000,INDEX($AM$1005:$BM$1005,1,MATCH(COLUMNS($AM$1006:AV1006),$AM$1006:$BM$1006,0))&gt;=100000), " ",IF(INDEX($AM$2:$BM$1001,MATCH(ROWS($AF$2:AF302),$AF$2:$AF$1001,0),MATCH(COLUMNS($AM$1006:AV1006),$AM$1006:$BM$1006,0)), HYPERLINK("#",""), HYPERLINK(CONCATENATE("#metadata!", ADDRESS(INDEX($AH$2:$AH$1001,MATCH(ROWS($AF$2:AF302),$AF$2:$AF$1001,0),0), INDEX($AM$1004:$BM$1004,1,MATCH(COLUMNS($AM$1006:AV1006),$AM$1006:$BM$1006,0)))),"Fix")))</f>
        <v xml:space="preserve"> </v>
      </c>
      <c r="L302" s="4" t="str">
        <f ca="1">IF(OR(INDEX($AG$2:$AG$1001,MATCH(ROWS($AF$2:AF302),$AF$2:$AF$1001,0),1)&gt;=100000,INDEX($AM$1005:$BM$1005,1,MATCH(COLUMNS($AM$1006:AW1006),$AM$1006:$BM$1006,0))&gt;=100000), " ",IF(INDEX($AM$2:$BM$1001,MATCH(ROWS($AF$2:AF302),$AF$2:$AF$1001,0),MATCH(COLUMNS($AM$1006:AW1006),$AM$1006:$BM$1006,0)), HYPERLINK("#",""), HYPERLINK(CONCATENATE("#metadata!", ADDRESS(INDEX($AH$2:$AH$1001,MATCH(ROWS($AF$2:AF302),$AF$2:$AF$1001,0),0), INDEX($AM$1004:$BM$1004,1,MATCH(COLUMNS($AM$1006:AW1006),$AM$1006:$BM$1006,0)))),"Fix")))</f>
        <v xml:space="preserve"> </v>
      </c>
      <c r="M302" s="4" t="str">
        <f ca="1">IF(OR(INDEX($AG$2:$AG$1001,MATCH(ROWS($AF$2:AF302),$AF$2:$AF$1001,0),1)&gt;=100000,INDEX($AM$1005:$BM$1005,1,MATCH(COLUMNS($AM$1006:AX1006),$AM$1006:$BM$1006,0))&gt;=100000), " ",IF(INDEX($AM$2:$BM$1001,MATCH(ROWS($AF$2:AF302),$AF$2:$AF$1001,0),MATCH(COLUMNS($AM$1006:AX1006),$AM$1006:$BM$1006,0)), HYPERLINK("#",""), HYPERLINK(CONCATENATE("#metadata!", ADDRESS(INDEX($AH$2:$AH$1001,MATCH(ROWS($AF$2:AF302),$AF$2:$AF$1001,0),0), INDEX($AM$1004:$BM$1004,1,MATCH(COLUMNS($AM$1006:AX1006),$AM$1006:$BM$1006,0)))),"Fix")))</f>
        <v xml:space="preserve"> </v>
      </c>
      <c r="N302" s="4" t="str">
        <f ca="1">IF(OR(INDEX($AG$2:$AG$1001,MATCH(ROWS($AF$2:AF302),$AF$2:$AF$1001,0),1)&gt;=100000,INDEX($AM$1005:$BM$1005,1,MATCH(COLUMNS($AM$1006:AY1006),$AM$1006:$BM$1006,0))&gt;=100000), " ",IF(INDEX($AM$2:$BM$1001,MATCH(ROWS($AF$2:AF302),$AF$2:$AF$1001,0),MATCH(COLUMNS($AM$1006:AY1006),$AM$1006:$BM$1006,0)), HYPERLINK("#",""), HYPERLINK(CONCATENATE("#metadata!", ADDRESS(INDEX($AH$2:$AH$1001,MATCH(ROWS($AF$2:AF302),$AF$2:$AF$1001,0),0), INDEX($AM$1004:$BM$1004,1,MATCH(COLUMNS($AM$1006:AY1006),$AM$1006:$BM$1006,0)))),"Fix")))</f>
        <v xml:space="preserve"> </v>
      </c>
      <c r="O302" s="4" t="str">
        <f ca="1">IF(OR(INDEX($AG$2:$AG$1001,MATCH(ROWS($AF$2:AF302),$AF$2:$AF$1001,0),1)&gt;=100000,INDEX($AM$1005:$BM$1005,1,MATCH(COLUMNS($AM$1006:AZ1006),$AM$1006:$BM$1006,0))&gt;=100000), " ",IF(INDEX($AM$2:$BM$1001,MATCH(ROWS($AF$2:AF302),$AF$2:$AF$1001,0),MATCH(COLUMNS($AM$1006:AZ1006),$AM$1006:$BM$1006,0)), HYPERLINK("#",""), HYPERLINK(CONCATENATE("#metadata!", ADDRESS(INDEX($AH$2:$AH$1001,MATCH(ROWS($AF$2:AF302),$AF$2:$AF$1001,0),0), INDEX($AM$1004:$BM$1004,1,MATCH(COLUMNS($AM$1006:AZ1006),$AM$1006:$BM$1006,0)))),"Fix")))</f>
        <v xml:space="preserve"> </v>
      </c>
      <c r="P302" s="4" t="str">
        <f ca="1">IF(OR(INDEX($AG$2:$AG$1001,MATCH(ROWS($AF$2:AF302),$AF$2:$AF$1001,0),1)&gt;=100000,INDEX($AM$1005:$BM$1005,1,MATCH(COLUMNS($AM$1006:BA1006),$AM$1006:$BM$1006,0))&gt;=100000), " ",IF(INDEX($AM$2:$BM$1001,MATCH(ROWS($AF$2:AF302),$AF$2:$AF$1001,0),MATCH(COLUMNS($AM$1006:BA1006),$AM$1006:$BM$1006,0)), HYPERLINK("#",""), HYPERLINK(CONCATENATE("#metadata!", ADDRESS(INDEX($AH$2:$AH$1001,MATCH(ROWS($AF$2:AF302),$AF$2:$AF$1001,0),0), INDEX($AM$1004:$BM$1004,1,MATCH(COLUMNS($AM$1006:BA1006),$AM$1006:$BM$1006,0)))),"Fix")))</f>
        <v xml:space="preserve"> </v>
      </c>
      <c r="Q302" s="4" t="str">
        <f ca="1">IF(OR(INDEX($AG$2:$AG$1001,MATCH(ROWS($AF$2:AF302),$AF$2:$AF$1001,0),1)&gt;=100000,INDEX($AM$1005:$BM$1005,1,MATCH(COLUMNS($AM$1006:BB1006),$AM$1006:$BM$1006,0))&gt;=100000), " ",IF(INDEX($AM$2:$BM$1001,MATCH(ROWS($AF$2:AF302),$AF$2:$AF$1001,0),MATCH(COLUMNS($AM$1006:BB1006),$AM$1006:$BM$1006,0)), HYPERLINK("#",""), HYPERLINK(CONCATENATE("#metadata!", ADDRESS(INDEX($AH$2:$AH$1001,MATCH(ROWS($AF$2:AF302),$AF$2:$AF$1001,0),0), INDEX($AM$1004:$BM$1004,1,MATCH(COLUMNS($AM$1006:BB1006),$AM$1006:$BM$1006,0)))),"Fix")))</f>
        <v xml:space="preserve"> </v>
      </c>
      <c r="R302" s="4" t="str">
        <f ca="1">IF(OR(INDEX($AG$2:$AG$1001,MATCH(ROWS($AF$2:AF302),$AF$2:$AF$1001,0),1)&gt;=100000,INDEX($AM$1005:$BM$1005,1,MATCH(COLUMNS($AM$1006:BC1006),$AM$1006:$BM$1006,0))&gt;=100000), " ",IF(INDEX($AM$2:$BM$1001,MATCH(ROWS($AF$2:AF302),$AF$2:$AF$1001,0),MATCH(COLUMNS($AM$1006:BC1006),$AM$1006:$BM$1006,0)), HYPERLINK("#",""), HYPERLINK(CONCATENATE("#metadata!", ADDRESS(INDEX($AH$2:$AH$1001,MATCH(ROWS($AF$2:AF302),$AF$2:$AF$1001,0),0), INDEX($AM$1004:$BM$1004,1,MATCH(COLUMNS($AM$1006:BC1006),$AM$1006:$BM$1006,0)))),"Fix")))</f>
        <v xml:space="preserve"> </v>
      </c>
      <c r="S302" s="4" t="str">
        <f ca="1">IF(OR(INDEX($AG$2:$AG$1001,MATCH(ROWS($AF$2:AF302),$AF$2:$AF$1001,0),1)&gt;=100000,INDEX($AM$1005:$BM$1005,1,MATCH(COLUMNS($AM$1006:BD1006),$AM$1006:$BM$1006,0))&gt;=100000), " ",IF(INDEX($AM$2:$BM$1001,MATCH(ROWS($AF$2:AF302),$AF$2:$AF$1001,0),MATCH(COLUMNS($AM$1006:BD1006),$AM$1006:$BM$1006,0)), HYPERLINK("#",""), HYPERLINK(CONCATENATE("#metadata!", ADDRESS(INDEX($AH$2:$AH$1001,MATCH(ROWS($AF$2:AF302),$AF$2:$AF$1001,0),0), INDEX($AM$1004:$BM$1004,1,MATCH(COLUMNS($AM$1006:BD1006),$AM$1006:$BM$1006,0)))),"Fix")))</f>
        <v xml:space="preserve"> </v>
      </c>
      <c r="T302" s="4" t="str">
        <f ca="1">IF(OR(INDEX($AG$2:$AG$1001,MATCH(ROWS($AF$2:AF302),$AF$2:$AF$1001,0),1)&gt;=100000,INDEX($AM$1005:$BM$1005,1,MATCH(COLUMNS($AM$1006:BE1006),$AM$1006:$BM$1006,0))&gt;=100000), " ",IF(INDEX($AM$2:$BM$1001,MATCH(ROWS($AF$2:AF302),$AF$2:$AF$1001,0),MATCH(COLUMNS($AM$1006:BE1006),$AM$1006:$BM$1006,0)), HYPERLINK("#",""), HYPERLINK(CONCATENATE("#metadata!", ADDRESS(INDEX($AH$2:$AH$1001,MATCH(ROWS($AF$2:AF302),$AF$2:$AF$1001,0),0), INDEX($AM$1004:$BM$1004,1,MATCH(COLUMNS($AM$1006:BE1006),$AM$1006:$BM$1006,0)))),"Fix")))</f>
        <v xml:space="preserve"> </v>
      </c>
      <c r="U302" s="4" t="str">
        <f ca="1">IF(OR(INDEX($AG$2:$AG$1001,MATCH(ROWS($AF$2:AF302),$AF$2:$AF$1001,0),1)&gt;=100000,INDEX($AM$1005:$BM$1005,1,MATCH(COLUMNS($AM$1006:BF1006),$AM$1006:$BM$1006,0))&gt;=100000), " ",IF(INDEX($AM$2:$BM$1001,MATCH(ROWS($AF$2:AF302),$AF$2:$AF$1001,0),MATCH(COLUMNS($AM$1006:BF1006),$AM$1006:$BM$1006,0)), HYPERLINK("#",""), HYPERLINK(CONCATENATE("#metadata!", ADDRESS(INDEX($AH$2:$AH$1001,MATCH(ROWS($AF$2:AF302),$AF$2:$AF$1001,0),0), INDEX($AM$1004:$BM$1004,1,MATCH(COLUMNS($AM$1006:BF1006),$AM$1006:$BM$1006,0)))),"Fix")))</f>
        <v xml:space="preserve"> </v>
      </c>
      <c r="V302" s="4" t="str">
        <f ca="1">IF(OR(INDEX($AG$2:$AG$1001,MATCH(ROWS($AF$2:AF302),$AF$2:$AF$1001,0),1)&gt;=100000,INDEX($AM$1005:$BM$1005,1,MATCH(COLUMNS($AM$1006:BG1006),$AM$1006:$BM$1006,0))&gt;=100000), " ",IF(INDEX($AM$2:$BM$1001,MATCH(ROWS($AF$2:AF302),$AF$2:$AF$1001,0),MATCH(COLUMNS($AM$1006:BG1006),$AM$1006:$BM$1006,0)), HYPERLINK("#",""), HYPERLINK(CONCATENATE("#metadata!", ADDRESS(INDEX($AH$2:$AH$1001,MATCH(ROWS($AF$2:AF302),$AF$2:$AF$1001,0),0), INDEX($AM$1004:$BM$1004,1,MATCH(COLUMNS($AM$1006:BG1006),$AM$1006:$BM$1006,0)))),"Fix")))</f>
        <v xml:space="preserve"> </v>
      </c>
      <c r="W302" s="4" t="str">
        <f ca="1">IF(OR(INDEX($AG$2:$AG$1001,MATCH(ROWS($AF$2:AF302),$AF$2:$AF$1001,0),1)&gt;=100000,INDEX($AM$1005:$BM$1005,1,MATCH(COLUMNS($AM$1006:BH1006),$AM$1006:$BM$1006,0))&gt;=100000), " ",IF(INDEX($AM$2:$BM$1001,MATCH(ROWS($AF$2:AF302),$AF$2:$AF$1001,0),MATCH(COLUMNS($AM$1006:BH1006),$AM$1006:$BM$1006,0)), HYPERLINK("#",""), HYPERLINK(CONCATENATE("#metadata!", ADDRESS(INDEX($AH$2:$AH$1001,MATCH(ROWS($AF$2:AF302),$AF$2:$AF$1001,0),0), INDEX($AM$1004:$BM$1004,1,MATCH(COLUMNS($AM$1006:BH1006),$AM$1006:$BM$1006,0)))),"Fix")))</f>
        <v xml:space="preserve"> </v>
      </c>
      <c r="X302" s="4" t="str">
        <f ca="1">IF(OR(INDEX($AG$2:$AG$1001,MATCH(ROWS($AF$2:AF302),$AF$2:$AF$1001,0),1)&gt;=100000,INDEX($AM$1005:$BM$1005,1,MATCH(COLUMNS($AM$1006:BI1006),$AM$1006:$BM$1006,0))&gt;=100000), " ",IF(INDEX($AM$2:$BM$1001,MATCH(ROWS($AF$2:AF302),$AF$2:$AF$1001,0),MATCH(COLUMNS($AM$1006:BI1006),$AM$1006:$BM$1006,0)), HYPERLINK("#",""), HYPERLINK(CONCATENATE("#metadata!", ADDRESS(INDEX($AH$2:$AH$1001,MATCH(ROWS($AF$2:AF302),$AF$2:$AF$1001,0),0), INDEX($AM$1004:$BM$1004,1,MATCH(COLUMNS($AM$1006:BI1006),$AM$1006:$BM$1006,0)))),"Fix")))</f>
        <v xml:space="preserve"> </v>
      </c>
      <c r="Y302" s="4" t="str">
        <f ca="1">IF(OR(INDEX($AG$2:$AG$1001,MATCH(ROWS($AF$2:AF302),$AF$2:$AF$1001,0),1)&gt;=100000,INDEX($AM$1005:$BM$1005,1,MATCH(COLUMNS($AM$1006:BJ1006),$AM$1006:$BM$1006,0))&gt;=100000), " ",IF(INDEX($AM$2:$BM$1001,MATCH(ROWS($AF$2:AF302),$AF$2:$AF$1001,0),MATCH(COLUMNS($AM$1006:BJ1006),$AM$1006:$BM$1006,0)), HYPERLINK("#",""), HYPERLINK(CONCATENATE("#metadata!", ADDRESS(INDEX($AH$2:$AH$1001,MATCH(ROWS($AF$2:AF302),$AF$2:$AF$1001,0),0), INDEX($AM$1004:$BM$1004,1,MATCH(COLUMNS($AM$1006:BJ1006),$AM$1006:$BM$1006,0)))),"Fix")))</f>
        <v xml:space="preserve"> </v>
      </c>
      <c r="Z302" s="4" t="str">
        <f ca="1">IF(OR(INDEX($AG$2:$AG$1001,MATCH(ROWS($AF$2:AF302),$AF$2:$AF$1001,0),1)&gt;=100000,INDEX($AM$1005:$BM$1005,1,MATCH(COLUMNS($AM$1006:BK1006),$AM$1006:$BM$1006,0))&gt;=100000), " ",IF(INDEX($AM$2:$BM$1001,MATCH(ROWS($AF$2:AF302),$AF$2:$AF$1001,0),MATCH(COLUMNS($AM$1006:BK1006),$AM$1006:$BM$1006,0)), HYPERLINK("#",""), HYPERLINK(CONCATENATE("#metadata!", ADDRESS(INDEX($AH$2:$AH$1001,MATCH(ROWS($AF$2:AF302),$AF$2:$AF$1001,0),0), INDEX($AM$1004:$BM$1004,1,MATCH(COLUMNS($AM$1006:BK1006),$AM$1006:$BM$1006,0)))),"Fix")))</f>
        <v xml:space="preserve"> </v>
      </c>
      <c r="AA302" s="4" t="str">
        <f ca="1">IF(OR(INDEX($AG$2:$AG$1001,MATCH(ROWS($AF$2:AF302),$AF$2:$AF$1001,0),1)&gt;=100000,INDEX($AM$1005:$BM$1005,1,MATCH(COLUMNS($AM$1006:BL1006),$AM$1006:$BM$1006,0))&gt;=100000), " ",IF(INDEX($AM$2:$BM$1001,MATCH(ROWS($AF$2:AF302),$AF$2:$AF$1001,0),MATCH(COLUMNS($AM$1006:BL1006),$AM$1006:$BM$1006,0)), HYPERLINK("#",""), HYPERLINK(CONCATENATE("#metadata!", ADDRESS(INDEX($AH$2:$AH$1001,MATCH(ROWS($AF$2:AF302),$AF$2:$AF$1001,0),0), INDEX($AM$1004:$BM$1004,1,MATCH(COLUMNS($AM$1006:BL1006),$AM$1006:$BM$1006,0)))),"Fix")))</f>
        <v xml:space="preserve"> </v>
      </c>
      <c r="AB302" s="4" t="str">
        <f ca="1">IF(OR(INDEX($AG$2:$AG$1001,MATCH(ROWS($AF$2:AF302),$AF$2:$AF$1001,0),1)&gt;=100000,INDEX($AM$1005:$BM$1005,1,MATCH(COLUMNS($AM$1006:BM1006),$AM$1006:$BM$1006,0))&gt;=100000), " ",IF(INDEX($AM$2:$BM$1001,MATCH(ROWS($AF$2:AF302),$AF$2:$AF$1001,0),MATCH(COLUMNS($AM$1006:BM1006),$AM$1006:$BM$1006,0)), HYPERLINK("#",""), HYPERLINK(CONCATENATE("#metadata!", ADDRESS(INDEX($AH$2:$AH$1001,MATCH(ROWS($AF$2:AF302),$AF$2:$AF$1001,0),0), INDEX($AM$1004:$BM$1004,1,MATCH(COLUMNS($AM$1006:BM1006),$AM$1006:$BM$1006,0)))),"Fix")))</f>
        <v xml:space="preserve"> </v>
      </c>
      <c r="AF302">
        <v>301</v>
      </c>
      <c r="AG302">
        <v>100302</v>
      </c>
      <c r="AH302">
        <v>302</v>
      </c>
      <c r="AI302" t="b">
        <f t="shared" si="4"/>
        <v>1</v>
      </c>
      <c r="AJ302" t="b">
        <f>COUNTBLANK(metadata!B302:AB302)=COLUMNS(metadata!B302:AB302)</f>
        <v>1</v>
      </c>
      <c r="AK302" t="str">
        <v/>
      </c>
      <c r="AM302" t="b">
        <f ca="1">AND(IF(metadata!B302="",FALSE,TRUE),COUNTIF(metadata!B:B, metadata!B302) = 1,NOT(ISERROR(SUMPRODUCT(SEARCH(MID(metadata!B302,ROW(INDIRECT("1:"&amp;LEN(metadata!B302))), 1),"0123456789abcdefghijklmnopqrstuvwxyzABCDEFGHIJKLMNOPQRSTUVWXYZ.")))))</f>
        <v>0</v>
      </c>
      <c r="AN302" t="b">
        <f ca="1">OR(AND(IF(metadata!C302="",FALSE,TRUE),OR(EXACT(metadata!C302,"missing: not collected"),EXACT(metadata!C302,"missing: not provided"),EXACT(metadata!C302,"missing: restricted access"))),AND(IF(metadata!C302="",FALSE,TRUE),AND(AND(IFERROR(INT(LEFT(metadata!C302,4))&gt;1900,FALSE),IFERROR(INT(LEFT(metadata!C302,4))&lt;=YEAR(NOW()),FALSE)), OR(MID(metadata!C302,5,1)="", AND(AND(MID(metadata!C302,5,1)="-",IFERROR(INT(MID(metadata!C302,6,1))&gt;=0,FALSE),IFERROR(INT(MID(metadata!C302,6,1))&lt;=1,FALSE),NOT(MID(metadata!C302,7,1)=""),IFERROR(INT(MID(metadata!C302,6,2))&gt;=1,FALSE),IFERROR(INT(MID(metadata!C302,6,2))&lt;=12,FALSE)), OR(MID(metadata!C302,8,1)="", AND(AND(MID(metadata!C302,8,1)="-",IFERROR(INT(MID(metadata!C302,9,1))&gt;=0,FALSE),IFERROR(INT(MID(metadata!C302,9,1))&lt;=3,FALSE),NOT(MID(metadata!C302,10,1)=""),IFERROR(INT(MID(metadata!C302,9,2))&gt;=1,FALSE),IFERROR(INT(MID(metadata!C302,9,2))&lt;=31,FALSE)), OR(MID(metadata!C302,11,1)="", AND(AND(MID(metadata!C302,11,1)=" ",IFERROR(INT(MID(metadata!C302,12,1))&gt;=0,FALSE),IFERROR(INT(MID(metadata!C302,12,1))&lt;=2,FALSE),NOT(MID(metadata!C302,13,1)=""),IFERROR(INT(MID(metadata!C302,12,2))&gt;=0,FALSE),IFERROR(INT(MID(metadata!C302,12,2))&lt;=23,FALSE)), OR(MID(metadata!C302,14,1)="", AND(AND(MID(metadata!C302,14,1)=":",IFERROR(INT(MID(metadata!C302,15,1))&gt;=0,FALSE),IFERROR(INT(MID(metadata!C302,15,1))&lt;=5,FALSE),NOT(MID(metadata!C302,16,1)=""),IFERROR(INT(MID(metadata!C302,15,2))&gt;=0,FALSE),IFERROR(INT(MID(metadata!C302,15,2))&lt;=59,FALSE)), OR(MID(metadata!C302,17,1)="", AND(AND(MID(metadata!C302,17,1)=":",IFERROR(INT(MID(metadata!C302,18,1))&gt;=0,FALSE),IFERROR(INT(MID(metadata!C302,18,1))&lt;=5,FALSE),NOT(MID(metadata!C302,19,1)=""),IFERROR(INT(MID(metadata!C302,18,2))&gt;=0,FALSE),IFERROR(INT(MID(metadata!C302,18,2))&lt;=59,FALSE)), LEN(metadata!C302)&lt;=19)))))))))))))</f>
        <v>0</v>
      </c>
      <c r="AO302" t="b">
        <f>AND(IF(metadata!D302="",FALSE,TRUE),EXACT(metadata!D302,"Not applicable"))</f>
        <v>0</v>
      </c>
      <c r="AP302" t="b">
        <f>IF(metadata!E302="",FALSE,TRUE)</f>
        <v>0</v>
      </c>
      <c r="AQ302" t="b">
        <f>OR(AND(IF(metadata!F302="",FALSE,TRUE),OR(EXACT(metadata!F302,"missing: not collected"),EXACT(metadata!F302,"missing: not provided"))),AND(IF(metadata!F302="",FALSE,TRUE),OR(EXACT(metadata!F302,"TRUE"),EXACT(metadata!F302,"FALSE"))))</f>
        <v>0</v>
      </c>
      <c r="AR302" t="b">
        <f>OR(AND(IF(metadata!G302="",FALSE,TRUE),OR(EXACT(metadata!G302,"missing: not collected"),EXACT(metadata!G302,"missing: not provided"),EXACT(metadata!G302,"missing: restricted access"))),AND(IF(metadata!G302="",FALSE,ISNUMBER(VALUE(metadata!G302))),metadata!G302&gt;=-413))</f>
        <v>0</v>
      </c>
      <c r="AS302" t="b">
        <f>AND(IF(metadata!H302="",FALSE,TRUE),EXACT(metadata!H302,"meters"))</f>
        <v>0</v>
      </c>
      <c r="AT302" t="b">
        <f>AND(IF(metadata!I302="",FALSE,TRUE),OR(EXACT(metadata!I302,"Host-associated"),EXACT(metadata!I302,"Free-living")))</f>
        <v>0</v>
      </c>
      <c r="AU302" t="b">
        <f>AND(IF(metadata!J302="",FALSE,TRUE),OR(EXACT(metadata!J302,"Animal"),EXACT(metadata!J302,"Fungus"),EXACT(metadata!J302,"Plant"),EXACT(metadata!J302,"Saline"),EXACT(metadata!J302,"Non-saline")))</f>
        <v>0</v>
      </c>
      <c r="AV302" t="b">
        <f>AND(IF(metadata!K302="",FALSE,TRUE),OR(EXACT(metadata!K302,"Plant secretion"),EXACT(metadata!K302,"Plant rhizosphere"),EXACT(metadata!K302,"Plant surface"),EXACT(metadata!K302,"Plant corpus"),EXACT(metadata!K302,"Fungus surface"),EXACT(metadata!K302,"Fungus corpus"),EXACT(metadata!K302,"Animal surface"),EXACT(metadata!K302,"Animal proximal gut"),EXACT(metadata!K302,"Animal corpus"),EXACT(metadata!K302,"Animal distal gut"),EXACT(metadata!K302,"Animal secretion"),EXACT(metadata!K302,"Sub-surface (non-saline)"),EXACT(metadata!K302,"Surface (non-saline)"),EXACT(metadata!K302,"Water (non-saline)"),EXACT(metadata!K302,"Soil (non-saline)"),EXACT(metadata!K302,"Aerosol (non-saline)"),EXACT(metadata!K302,"Sediment (non-saline)"),EXACT(metadata!K302,"Surface (saline)"),EXACT(metadata!K302,"Water (saline)"),EXACT(metadata!K302,"Hypersaline (saline)"),EXACT(metadata!K302,"Aerosol (saline)"),EXACT(metadata!K302,"Sediment (saline)")))</f>
        <v>0</v>
      </c>
      <c r="AW302" t="b">
        <f>IF(metadata!L302="",FALSE,TRUE)</f>
        <v>0</v>
      </c>
      <c r="AX302" t="b">
        <f>IF(metadata!M302="",FALSE,TRUE)</f>
        <v>0</v>
      </c>
      <c r="AY302" t="b">
        <f>IF(metadata!N302="",FALSE,TRUE)</f>
        <v>0</v>
      </c>
      <c r="AZ302" t="b">
        <f>OR(AND(IF(metadata!O302="",FALSE,TRUE),OR(EXACT(metadata!O302,"missing: not collected"),EXACT(metadata!O302,"missing: not provided"),EXACT(metadata!O302,"missing: restricted access"))),AND(IF(metadata!O302="",FALSE,TRUE),OR(EXACT(metadata!O302,"air"),EXACT(metadata!O302,"built environment"),EXACT(metadata!O302,"host-associated"),EXACT(metadata!O302,"human-associated"),EXACT(metadata!O302,"human-skin"),EXACT(metadata!O302,"human-oral"),EXACT(metadata!O302,"human-gut"),EXACT(metadata!O302,"human-vaginal"),EXACT(metadata!O302,"microbial mat/biofilm"),EXACT(metadata!O302,"misc environment"),EXACT(metadata!O302,"plant-associated"),EXACT(metadata!O302,"sediment"),EXACT(metadata!O302,"soil"),EXACT(metadata!O302,"wastewater/sludge"),EXACT(metadata!O302,"water"))))</f>
        <v>0</v>
      </c>
      <c r="BA302" t="b">
        <f>IF(metadata!P302="",FALSE,TRUE)</f>
        <v>0</v>
      </c>
      <c r="BB302" t="b">
        <f>IF(metadata!Q302="",FALSE,TRUE)</f>
        <v>0</v>
      </c>
      <c r="BC302" t="b">
        <f>OR(AND(IF(metadata!R302="",FALSE,TRUE),OR(EXACT(metadata!R302,"missing: not collected"),EXACT(metadata!R302,"missing: not provided"),EXACT(metadata!R302,"missing: restricted access"))),AND(IF(metadata!R302="",FALSE,ISNUMBER(VALUE(metadata!R302))),metadata!R302&gt;=-90,metadata!R302&lt;=90))</f>
        <v>0</v>
      </c>
      <c r="BD302" t="b">
        <f>AND(IF(metadata!S302="",FALSE,TRUE),EXACT(metadata!S302,"Decimal degrees"))</f>
        <v>0</v>
      </c>
      <c r="BE302" t="b">
        <f>OR(AND(IF(metadata!T302="",FALSE,TRUE),OR(EXACT(metadata!T302,"missing: not collected"),EXACT(metadata!T302,"missing: not provided"),EXACT(metadata!T302,"missing: restricted access"))),AND(IF(metadata!T302="",FALSE,ISNUMBER(VALUE(metadata!T302))),metadata!T302&gt;=-180,metadata!T302&lt;=180))</f>
        <v>0</v>
      </c>
      <c r="BF302" t="b">
        <f>AND(IF(metadata!U302="",FALSE,TRUE),EXACT(metadata!U302,"Decimal degrees"))</f>
        <v>0</v>
      </c>
      <c r="BG302" t="b">
        <f>IF(metadata!V302="",FALSE,TRUE)</f>
        <v>0</v>
      </c>
      <c r="BH302" t="b">
        <f>OR(AND(IF(metadata!W302="",FALSE,TRUE),OR(EXACT(metadata!W302,"missing: not collected"),EXACT(metadata!W302,"missing: not provided"),EXACT(metadata!W302,"missing: restricted access"))),AND(IF(metadata!W302="",FALSE,TRUE),OR(EXACT(metadata!W302,"TRUE"),EXACT(metadata!W302,"FALSE"))))</f>
        <v>0</v>
      </c>
      <c r="BI302" t="b">
        <f>AND(IF(metadata!X302="",FALSE,TRUE),EXACT(metadata!X302,"other"))</f>
        <v>0</v>
      </c>
      <c r="BJ302" t="b">
        <f>IF(metadata!Y302="",FALSE,TRUE)</f>
        <v>0</v>
      </c>
      <c r="BK302" t="b">
        <f>OR(AND(IF(metadata!Z302="",FALSE,TRUE),OR(EXACT(metadata!Z302,"missing: not collected"),EXACT(metadata!Z302,"missing: not provided"))),AND(IF(metadata!Z302="",FALSE,IF(ISERROR(INT(metadata!Z302)),FALSE,INT(metadata!Z302)=metadata!Z302)),metadata!Z302&gt;0))</f>
        <v>0</v>
      </c>
      <c r="BL302" t="b">
        <f>AND(IF(metadata!AA302="",FALSE,TRUE),EXACT(metadata!AA302,"Not applicable"))</f>
        <v>0</v>
      </c>
      <c r="BM302" t="b">
        <f>IF(metadata!AB302="",FALSE,TRUE)</f>
        <v>0</v>
      </c>
    </row>
    <row r="303" spans="1:65" x14ac:dyDescent="0.2">
      <c r="A303" s="5" t="str">
        <f ca="1">IF(B303=" "," ",HYPERLINK(CONCATENATE("#metadata!",ADDRESS(INDEX($AH$2:$AH$1001,MATCH(ROWS($AF$2:AF303),$AF$2:$AF$1001,0),0),1)),INDEX($AK$2:$AK$1001,MATCH(ROWS($AF$2:AF303),$AF$2:$AF$1001,0),0)))</f>
        <v xml:space="preserve"> </v>
      </c>
      <c r="B303" s="4" t="str">
        <f ca="1">IF(OR(INDEX($AG$2:$AG$1001,MATCH(ROWS($AF$2:AF303),$AF$2:$AF$1001,0),1)&gt;=100000,INDEX($AM$1005:$BM$1005,1,MATCH(COLUMNS($AM$1006:AM1006),$AM$1006:$BM$1006,0))&gt;=100000), " ",IF(INDEX($AM$2:$BM$1001,MATCH(ROWS($AF$2:AF303),$AF$2:$AF$1001,0),MATCH(COLUMNS($AM$1006:AM1006),$AM$1006:$BM$1006,0)), HYPERLINK("#",""), HYPERLINK(CONCATENATE("#metadata!", ADDRESS(INDEX($AH$2:$AH$1001,MATCH(ROWS($AF$2:AF303),$AF$2:$AF$1001,0),0), INDEX($AM$1004:$BM$1004,1,MATCH(COLUMNS($AM$1006:AM1006),$AM$1006:$BM$1006,0)))),"Fix")))</f>
        <v xml:space="preserve"> </v>
      </c>
      <c r="C303" s="4" t="str">
        <f ca="1">IF(OR(INDEX($AG$2:$AG$1001,MATCH(ROWS($AF$2:AF303),$AF$2:$AF$1001,0),1)&gt;=100000,INDEX($AM$1005:$BM$1005,1,MATCH(COLUMNS($AM$1006:AN1006),$AM$1006:$BM$1006,0))&gt;=100000), " ",IF(INDEX($AM$2:$BM$1001,MATCH(ROWS($AF$2:AF303),$AF$2:$AF$1001,0),MATCH(COLUMNS($AM$1006:AN1006),$AM$1006:$BM$1006,0)), HYPERLINK("#",""), HYPERLINK(CONCATENATE("#metadata!", ADDRESS(INDEX($AH$2:$AH$1001,MATCH(ROWS($AF$2:AF303),$AF$2:$AF$1001,0),0), INDEX($AM$1004:$BM$1004,1,MATCH(COLUMNS($AM$1006:AN1006),$AM$1006:$BM$1006,0)))),"Fix")))</f>
        <v xml:space="preserve"> </v>
      </c>
      <c r="D303" s="4" t="str">
        <f ca="1">IF(OR(INDEX($AG$2:$AG$1001,MATCH(ROWS($AF$2:AF303),$AF$2:$AF$1001,0),1)&gt;=100000,INDEX($AM$1005:$BM$1005,1,MATCH(COLUMNS($AM$1006:AO1006),$AM$1006:$BM$1006,0))&gt;=100000), " ",IF(INDEX($AM$2:$BM$1001,MATCH(ROWS($AF$2:AF303),$AF$2:$AF$1001,0),MATCH(COLUMNS($AM$1006:AO1006),$AM$1006:$BM$1006,0)), HYPERLINK("#",""), HYPERLINK(CONCATENATE("#metadata!", ADDRESS(INDEX($AH$2:$AH$1001,MATCH(ROWS($AF$2:AF303),$AF$2:$AF$1001,0),0), INDEX($AM$1004:$BM$1004,1,MATCH(COLUMNS($AM$1006:AO1006),$AM$1006:$BM$1006,0)))),"Fix")))</f>
        <v xml:space="preserve"> </v>
      </c>
      <c r="E303" s="4" t="str">
        <f ca="1">IF(OR(INDEX($AG$2:$AG$1001,MATCH(ROWS($AF$2:AF303),$AF$2:$AF$1001,0),1)&gt;=100000,INDEX($AM$1005:$BM$1005,1,MATCH(COLUMNS($AM$1006:AP1006),$AM$1006:$BM$1006,0))&gt;=100000), " ",IF(INDEX($AM$2:$BM$1001,MATCH(ROWS($AF$2:AF303),$AF$2:$AF$1001,0),MATCH(COLUMNS($AM$1006:AP1006),$AM$1006:$BM$1006,0)), HYPERLINK("#",""), HYPERLINK(CONCATENATE("#metadata!", ADDRESS(INDEX($AH$2:$AH$1001,MATCH(ROWS($AF$2:AF303),$AF$2:$AF$1001,0),0), INDEX($AM$1004:$BM$1004,1,MATCH(COLUMNS($AM$1006:AP1006),$AM$1006:$BM$1006,0)))),"Fix")))</f>
        <v xml:space="preserve"> </v>
      </c>
      <c r="F303" s="4" t="str">
        <f ca="1">IF(OR(INDEX($AG$2:$AG$1001,MATCH(ROWS($AF$2:AF303),$AF$2:$AF$1001,0),1)&gt;=100000,INDEX($AM$1005:$BM$1005,1,MATCH(COLUMNS($AM$1006:AQ1006),$AM$1006:$BM$1006,0))&gt;=100000), " ",IF(INDEX($AM$2:$BM$1001,MATCH(ROWS($AF$2:AF303),$AF$2:$AF$1001,0),MATCH(COLUMNS($AM$1006:AQ1006),$AM$1006:$BM$1006,0)), HYPERLINK("#",""), HYPERLINK(CONCATENATE("#metadata!", ADDRESS(INDEX($AH$2:$AH$1001,MATCH(ROWS($AF$2:AF303),$AF$2:$AF$1001,0),0), INDEX($AM$1004:$BM$1004,1,MATCH(COLUMNS($AM$1006:AQ1006),$AM$1006:$BM$1006,0)))),"Fix")))</f>
        <v xml:space="preserve"> </v>
      </c>
      <c r="G303" s="4" t="str">
        <f ca="1">IF(OR(INDEX($AG$2:$AG$1001,MATCH(ROWS($AF$2:AF303),$AF$2:$AF$1001,0),1)&gt;=100000,INDEX($AM$1005:$BM$1005,1,MATCH(COLUMNS($AM$1006:AR1006),$AM$1006:$BM$1006,0))&gt;=100000), " ",IF(INDEX($AM$2:$BM$1001,MATCH(ROWS($AF$2:AF303),$AF$2:$AF$1001,0),MATCH(COLUMNS($AM$1006:AR1006),$AM$1006:$BM$1006,0)), HYPERLINK("#",""), HYPERLINK(CONCATENATE("#metadata!", ADDRESS(INDEX($AH$2:$AH$1001,MATCH(ROWS($AF$2:AF303),$AF$2:$AF$1001,0),0), INDEX($AM$1004:$BM$1004,1,MATCH(COLUMNS($AM$1006:AR1006),$AM$1006:$BM$1006,0)))),"Fix")))</f>
        <v xml:space="preserve"> </v>
      </c>
      <c r="H303" s="4" t="str">
        <f ca="1">IF(OR(INDEX($AG$2:$AG$1001,MATCH(ROWS($AF$2:AF303),$AF$2:$AF$1001,0),1)&gt;=100000,INDEX($AM$1005:$BM$1005,1,MATCH(COLUMNS($AM$1006:AS1006),$AM$1006:$BM$1006,0))&gt;=100000), " ",IF(INDEX($AM$2:$BM$1001,MATCH(ROWS($AF$2:AF303),$AF$2:$AF$1001,0),MATCH(COLUMNS($AM$1006:AS1006),$AM$1006:$BM$1006,0)), HYPERLINK("#",""), HYPERLINK(CONCATENATE("#metadata!", ADDRESS(INDEX($AH$2:$AH$1001,MATCH(ROWS($AF$2:AF303),$AF$2:$AF$1001,0),0), INDEX($AM$1004:$BM$1004,1,MATCH(COLUMNS($AM$1006:AS1006),$AM$1006:$BM$1006,0)))),"Fix")))</f>
        <v xml:space="preserve"> </v>
      </c>
      <c r="I303" s="4" t="str">
        <f ca="1">IF(OR(INDEX($AG$2:$AG$1001,MATCH(ROWS($AF$2:AF303),$AF$2:$AF$1001,0),1)&gt;=100000,INDEX($AM$1005:$BM$1005,1,MATCH(COLUMNS($AM$1006:AT1006),$AM$1006:$BM$1006,0))&gt;=100000), " ",IF(INDEX($AM$2:$BM$1001,MATCH(ROWS($AF$2:AF303),$AF$2:$AF$1001,0),MATCH(COLUMNS($AM$1006:AT1006),$AM$1006:$BM$1006,0)), HYPERLINK("#",""), HYPERLINK(CONCATENATE("#metadata!", ADDRESS(INDEX($AH$2:$AH$1001,MATCH(ROWS($AF$2:AF303),$AF$2:$AF$1001,0),0), INDEX($AM$1004:$BM$1004,1,MATCH(COLUMNS($AM$1006:AT1006),$AM$1006:$BM$1006,0)))),"Fix")))</f>
        <v xml:space="preserve"> </v>
      </c>
      <c r="J303" s="4" t="str">
        <f ca="1">IF(OR(INDEX($AG$2:$AG$1001,MATCH(ROWS($AF$2:AF303),$AF$2:$AF$1001,0),1)&gt;=100000,INDEX($AM$1005:$BM$1005,1,MATCH(COLUMNS($AM$1006:AU1006),$AM$1006:$BM$1006,0))&gt;=100000), " ",IF(INDEX($AM$2:$BM$1001,MATCH(ROWS($AF$2:AF303),$AF$2:$AF$1001,0),MATCH(COLUMNS($AM$1006:AU1006),$AM$1006:$BM$1006,0)), HYPERLINK("#",""), HYPERLINK(CONCATENATE("#metadata!", ADDRESS(INDEX($AH$2:$AH$1001,MATCH(ROWS($AF$2:AF303),$AF$2:$AF$1001,0),0), INDEX($AM$1004:$BM$1004,1,MATCH(COLUMNS($AM$1006:AU1006),$AM$1006:$BM$1006,0)))),"Fix")))</f>
        <v xml:space="preserve"> </v>
      </c>
      <c r="K303" s="4" t="str">
        <f ca="1">IF(OR(INDEX($AG$2:$AG$1001,MATCH(ROWS($AF$2:AF303),$AF$2:$AF$1001,0),1)&gt;=100000,INDEX($AM$1005:$BM$1005,1,MATCH(COLUMNS($AM$1006:AV1006),$AM$1006:$BM$1006,0))&gt;=100000), " ",IF(INDEX($AM$2:$BM$1001,MATCH(ROWS($AF$2:AF303),$AF$2:$AF$1001,0),MATCH(COLUMNS($AM$1006:AV1006),$AM$1006:$BM$1006,0)), HYPERLINK("#",""), HYPERLINK(CONCATENATE("#metadata!", ADDRESS(INDEX($AH$2:$AH$1001,MATCH(ROWS($AF$2:AF303),$AF$2:$AF$1001,0),0), INDEX($AM$1004:$BM$1004,1,MATCH(COLUMNS($AM$1006:AV1006),$AM$1006:$BM$1006,0)))),"Fix")))</f>
        <v xml:space="preserve"> </v>
      </c>
      <c r="L303" s="4" t="str">
        <f ca="1">IF(OR(INDEX($AG$2:$AG$1001,MATCH(ROWS($AF$2:AF303),$AF$2:$AF$1001,0),1)&gt;=100000,INDEX($AM$1005:$BM$1005,1,MATCH(COLUMNS($AM$1006:AW1006),$AM$1006:$BM$1006,0))&gt;=100000), " ",IF(INDEX($AM$2:$BM$1001,MATCH(ROWS($AF$2:AF303),$AF$2:$AF$1001,0),MATCH(COLUMNS($AM$1006:AW1006),$AM$1006:$BM$1006,0)), HYPERLINK("#",""), HYPERLINK(CONCATENATE("#metadata!", ADDRESS(INDEX($AH$2:$AH$1001,MATCH(ROWS($AF$2:AF303),$AF$2:$AF$1001,0),0), INDEX($AM$1004:$BM$1004,1,MATCH(COLUMNS($AM$1006:AW1006),$AM$1006:$BM$1006,0)))),"Fix")))</f>
        <v xml:space="preserve"> </v>
      </c>
      <c r="M303" s="4" t="str">
        <f ca="1">IF(OR(INDEX($AG$2:$AG$1001,MATCH(ROWS($AF$2:AF303),$AF$2:$AF$1001,0),1)&gt;=100000,INDEX($AM$1005:$BM$1005,1,MATCH(COLUMNS($AM$1006:AX1006),$AM$1006:$BM$1006,0))&gt;=100000), " ",IF(INDEX($AM$2:$BM$1001,MATCH(ROWS($AF$2:AF303),$AF$2:$AF$1001,0),MATCH(COLUMNS($AM$1006:AX1006),$AM$1006:$BM$1006,0)), HYPERLINK("#",""), HYPERLINK(CONCATENATE("#metadata!", ADDRESS(INDEX($AH$2:$AH$1001,MATCH(ROWS($AF$2:AF303),$AF$2:$AF$1001,0),0), INDEX($AM$1004:$BM$1004,1,MATCH(COLUMNS($AM$1006:AX1006),$AM$1006:$BM$1006,0)))),"Fix")))</f>
        <v xml:space="preserve"> </v>
      </c>
      <c r="N303" s="4" t="str">
        <f ca="1">IF(OR(INDEX($AG$2:$AG$1001,MATCH(ROWS($AF$2:AF303),$AF$2:$AF$1001,0),1)&gt;=100000,INDEX($AM$1005:$BM$1005,1,MATCH(COLUMNS($AM$1006:AY1006),$AM$1006:$BM$1006,0))&gt;=100000), " ",IF(INDEX($AM$2:$BM$1001,MATCH(ROWS($AF$2:AF303),$AF$2:$AF$1001,0),MATCH(COLUMNS($AM$1006:AY1006),$AM$1006:$BM$1006,0)), HYPERLINK("#",""), HYPERLINK(CONCATENATE("#metadata!", ADDRESS(INDEX($AH$2:$AH$1001,MATCH(ROWS($AF$2:AF303),$AF$2:$AF$1001,0),0), INDEX($AM$1004:$BM$1004,1,MATCH(COLUMNS($AM$1006:AY1006),$AM$1006:$BM$1006,0)))),"Fix")))</f>
        <v xml:space="preserve"> </v>
      </c>
      <c r="O303" s="4" t="str">
        <f ca="1">IF(OR(INDEX($AG$2:$AG$1001,MATCH(ROWS($AF$2:AF303),$AF$2:$AF$1001,0),1)&gt;=100000,INDEX($AM$1005:$BM$1005,1,MATCH(COLUMNS($AM$1006:AZ1006),$AM$1006:$BM$1006,0))&gt;=100000), " ",IF(INDEX($AM$2:$BM$1001,MATCH(ROWS($AF$2:AF303),$AF$2:$AF$1001,0),MATCH(COLUMNS($AM$1006:AZ1006),$AM$1006:$BM$1006,0)), HYPERLINK("#",""), HYPERLINK(CONCATENATE("#metadata!", ADDRESS(INDEX($AH$2:$AH$1001,MATCH(ROWS($AF$2:AF303),$AF$2:$AF$1001,0),0), INDEX($AM$1004:$BM$1004,1,MATCH(COLUMNS($AM$1006:AZ1006),$AM$1006:$BM$1006,0)))),"Fix")))</f>
        <v xml:space="preserve"> </v>
      </c>
      <c r="P303" s="4" t="str">
        <f ca="1">IF(OR(INDEX($AG$2:$AG$1001,MATCH(ROWS($AF$2:AF303),$AF$2:$AF$1001,0),1)&gt;=100000,INDEX($AM$1005:$BM$1005,1,MATCH(COLUMNS($AM$1006:BA1006),$AM$1006:$BM$1006,0))&gt;=100000), " ",IF(INDEX($AM$2:$BM$1001,MATCH(ROWS($AF$2:AF303),$AF$2:$AF$1001,0),MATCH(COLUMNS($AM$1006:BA1006),$AM$1006:$BM$1006,0)), HYPERLINK("#",""), HYPERLINK(CONCATENATE("#metadata!", ADDRESS(INDEX($AH$2:$AH$1001,MATCH(ROWS($AF$2:AF303),$AF$2:$AF$1001,0),0), INDEX($AM$1004:$BM$1004,1,MATCH(COLUMNS($AM$1006:BA1006),$AM$1006:$BM$1006,0)))),"Fix")))</f>
        <v xml:space="preserve"> </v>
      </c>
      <c r="Q303" s="4" t="str">
        <f ca="1">IF(OR(INDEX($AG$2:$AG$1001,MATCH(ROWS($AF$2:AF303),$AF$2:$AF$1001,0),1)&gt;=100000,INDEX($AM$1005:$BM$1005,1,MATCH(COLUMNS($AM$1006:BB1006),$AM$1006:$BM$1006,0))&gt;=100000), " ",IF(INDEX($AM$2:$BM$1001,MATCH(ROWS($AF$2:AF303),$AF$2:$AF$1001,0),MATCH(COLUMNS($AM$1006:BB1006),$AM$1006:$BM$1006,0)), HYPERLINK("#",""), HYPERLINK(CONCATENATE("#metadata!", ADDRESS(INDEX($AH$2:$AH$1001,MATCH(ROWS($AF$2:AF303),$AF$2:$AF$1001,0),0), INDEX($AM$1004:$BM$1004,1,MATCH(COLUMNS($AM$1006:BB1006),$AM$1006:$BM$1006,0)))),"Fix")))</f>
        <v xml:space="preserve"> </v>
      </c>
      <c r="R303" s="4" t="str">
        <f ca="1">IF(OR(INDEX($AG$2:$AG$1001,MATCH(ROWS($AF$2:AF303),$AF$2:$AF$1001,0),1)&gt;=100000,INDEX($AM$1005:$BM$1005,1,MATCH(COLUMNS($AM$1006:BC1006),$AM$1006:$BM$1006,0))&gt;=100000), " ",IF(INDEX($AM$2:$BM$1001,MATCH(ROWS($AF$2:AF303),$AF$2:$AF$1001,0),MATCH(COLUMNS($AM$1006:BC1006),$AM$1006:$BM$1006,0)), HYPERLINK("#",""), HYPERLINK(CONCATENATE("#metadata!", ADDRESS(INDEX($AH$2:$AH$1001,MATCH(ROWS($AF$2:AF303),$AF$2:$AF$1001,0),0), INDEX($AM$1004:$BM$1004,1,MATCH(COLUMNS($AM$1006:BC1006),$AM$1006:$BM$1006,0)))),"Fix")))</f>
        <v xml:space="preserve"> </v>
      </c>
      <c r="S303" s="4" t="str">
        <f ca="1">IF(OR(INDEX($AG$2:$AG$1001,MATCH(ROWS($AF$2:AF303),$AF$2:$AF$1001,0),1)&gt;=100000,INDEX($AM$1005:$BM$1005,1,MATCH(COLUMNS($AM$1006:BD1006),$AM$1006:$BM$1006,0))&gt;=100000), " ",IF(INDEX($AM$2:$BM$1001,MATCH(ROWS($AF$2:AF303),$AF$2:$AF$1001,0),MATCH(COLUMNS($AM$1006:BD1006),$AM$1006:$BM$1006,0)), HYPERLINK("#",""), HYPERLINK(CONCATENATE("#metadata!", ADDRESS(INDEX($AH$2:$AH$1001,MATCH(ROWS($AF$2:AF303),$AF$2:$AF$1001,0),0), INDEX($AM$1004:$BM$1004,1,MATCH(COLUMNS($AM$1006:BD1006),$AM$1006:$BM$1006,0)))),"Fix")))</f>
        <v xml:space="preserve"> </v>
      </c>
      <c r="T303" s="4" t="str">
        <f ca="1">IF(OR(INDEX($AG$2:$AG$1001,MATCH(ROWS($AF$2:AF303),$AF$2:$AF$1001,0),1)&gt;=100000,INDEX($AM$1005:$BM$1005,1,MATCH(COLUMNS($AM$1006:BE1006),$AM$1006:$BM$1006,0))&gt;=100000), " ",IF(INDEX($AM$2:$BM$1001,MATCH(ROWS($AF$2:AF303),$AF$2:$AF$1001,0),MATCH(COLUMNS($AM$1006:BE1006),$AM$1006:$BM$1006,0)), HYPERLINK("#",""), HYPERLINK(CONCATENATE("#metadata!", ADDRESS(INDEX($AH$2:$AH$1001,MATCH(ROWS($AF$2:AF303),$AF$2:$AF$1001,0),0), INDEX($AM$1004:$BM$1004,1,MATCH(COLUMNS($AM$1006:BE1006),$AM$1006:$BM$1006,0)))),"Fix")))</f>
        <v xml:space="preserve"> </v>
      </c>
      <c r="U303" s="4" t="str">
        <f ca="1">IF(OR(INDEX($AG$2:$AG$1001,MATCH(ROWS($AF$2:AF303),$AF$2:$AF$1001,0),1)&gt;=100000,INDEX($AM$1005:$BM$1005,1,MATCH(COLUMNS($AM$1006:BF1006),$AM$1006:$BM$1006,0))&gt;=100000), " ",IF(INDEX($AM$2:$BM$1001,MATCH(ROWS($AF$2:AF303),$AF$2:$AF$1001,0),MATCH(COLUMNS($AM$1006:BF1006),$AM$1006:$BM$1006,0)), HYPERLINK("#",""), HYPERLINK(CONCATENATE("#metadata!", ADDRESS(INDEX($AH$2:$AH$1001,MATCH(ROWS($AF$2:AF303),$AF$2:$AF$1001,0),0), INDEX($AM$1004:$BM$1004,1,MATCH(COLUMNS($AM$1006:BF1006),$AM$1006:$BM$1006,0)))),"Fix")))</f>
        <v xml:space="preserve"> </v>
      </c>
      <c r="V303" s="4" t="str">
        <f ca="1">IF(OR(INDEX($AG$2:$AG$1001,MATCH(ROWS($AF$2:AF303),$AF$2:$AF$1001,0),1)&gt;=100000,INDEX($AM$1005:$BM$1005,1,MATCH(COLUMNS($AM$1006:BG1006),$AM$1006:$BM$1006,0))&gt;=100000), " ",IF(INDEX($AM$2:$BM$1001,MATCH(ROWS($AF$2:AF303),$AF$2:$AF$1001,0),MATCH(COLUMNS($AM$1006:BG1006),$AM$1006:$BM$1006,0)), HYPERLINK("#",""), HYPERLINK(CONCATENATE("#metadata!", ADDRESS(INDEX($AH$2:$AH$1001,MATCH(ROWS($AF$2:AF303),$AF$2:$AF$1001,0),0), INDEX($AM$1004:$BM$1004,1,MATCH(COLUMNS($AM$1006:BG1006),$AM$1006:$BM$1006,0)))),"Fix")))</f>
        <v xml:space="preserve"> </v>
      </c>
      <c r="W303" s="4" t="str">
        <f ca="1">IF(OR(INDEX($AG$2:$AG$1001,MATCH(ROWS($AF$2:AF303),$AF$2:$AF$1001,0),1)&gt;=100000,INDEX($AM$1005:$BM$1005,1,MATCH(COLUMNS($AM$1006:BH1006),$AM$1006:$BM$1006,0))&gt;=100000), " ",IF(INDEX($AM$2:$BM$1001,MATCH(ROWS($AF$2:AF303),$AF$2:$AF$1001,0),MATCH(COLUMNS($AM$1006:BH1006),$AM$1006:$BM$1006,0)), HYPERLINK("#",""), HYPERLINK(CONCATENATE("#metadata!", ADDRESS(INDEX($AH$2:$AH$1001,MATCH(ROWS($AF$2:AF303),$AF$2:$AF$1001,0),0), INDEX($AM$1004:$BM$1004,1,MATCH(COLUMNS($AM$1006:BH1006),$AM$1006:$BM$1006,0)))),"Fix")))</f>
        <v xml:space="preserve"> </v>
      </c>
      <c r="X303" s="4" t="str">
        <f ca="1">IF(OR(INDEX($AG$2:$AG$1001,MATCH(ROWS($AF$2:AF303),$AF$2:$AF$1001,0),1)&gt;=100000,INDEX($AM$1005:$BM$1005,1,MATCH(COLUMNS($AM$1006:BI1006),$AM$1006:$BM$1006,0))&gt;=100000), " ",IF(INDEX($AM$2:$BM$1001,MATCH(ROWS($AF$2:AF303),$AF$2:$AF$1001,0),MATCH(COLUMNS($AM$1006:BI1006),$AM$1006:$BM$1006,0)), HYPERLINK("#",""), HYPERLINK(CONCATENATE("#metadata!", ADDRESS(INDEX($AH$2:$AH$1001,MATCH(ROWS($AF$2:AF303),$AF$2:$AF$1001,0),0), INDEX($AM$1004:$BM$1004,1,MATCH(COLUMNS($AM$1006:BI1006),$AM$1006:$BM$1006,0)))),"Fix")))</f>
        <v xml:space="preserve"> </v>
      </c>
      <c r="Y303" s="4" t="str">
        <f ca="1">IF(OR(INDEX($AG$2:$AG$1001,MATCH(ROWS($AF$2:AF303),$AF$2:$AF$1001,0),1)&gt;=100000,INDEX($AM$1005:$BM$1005,1,MATCH(COLUMNS($AM$1006:BJ1006),$AM$1006:$BM$1006,0))&gt;=100000), " ",IF(INDEX($AM$2:$BM$1001,MATCH(ROWS($AF$2:AF303),$AF$2:$AF$1001,0),MATCH(COLUMNS($AM$1006:BJ1006),$AM$1006:$BM$1006,0)), HYPERLINK("#",""), HYPERLINK(CONCATENATE("#metadata!", ADDRESS(INDEX($AH$2:$AH$1001,MATCH(ROWS($AF$2:AF303),$AF$2:$AF$1001,0),0), INDEX($AM$1004:$BM$1004,1,MATCH(COLUMNS($AM$1006:BJ1006),$AM$1006:$BM$1006,0)))),"Fix")))</f>
        <v xml:space="preserve"> </v>
      </c>
      <c r="Z303" s="4" t="str">
        <f ca="1">IF(OR(INDEX($AG$2:$AG$1001,MATCH(ROWS($AF$2:AF303),$AF$2:$AF$1001,0),1)&gt;=100000,INDEX($AM$1005:$BM$1005,1,MATCH(COLUMNS($AM$1006:BK1006),$AM$1006:$BM$1006,0))&gt;=100000), " ",IF(INDEX($AM$2:$BM$1001,MATCH(ROWS($AF$2:AF303),$AF$2:$AF$1001,0),MATCH(COLUMNS($AM$1006:BK1006),$AM$1006:$BM$1006,0)), HYPERLINK("#",""), HYPERLINK(CONCATENATE("#metadata!", ADDRESS(INDEX($AH$2:$AH$1001,MATCH(ROWS($AF$2:AF303),$AF$2:$AF$1001,0),0), INDEX($AM$1004:$BM$1004,1,MATCH(COLUMNS($AM$1006:BK1006),$AM$1006:$BM$1006,0)))),"Fix")))</f>
        <v xml:space="preserve"> </v>
      </c>
      <c r="AA303" s="4" t="str">
        <f ca="1">IF(OR(INDEX($AG$2:$AG$1001,MATCH(ROWS($AF$2:AF303),$AF$2:$AF$1001,0),1)&gt;=100000,INDEX($AM$1005:$BM$1005,1,MATCH(COLUMNS($AM$1006:BL1006),$AM$1006:$BM$1006,0))&gt;=100000), " ",IF(INDEX($AM$2:$BM$1001,MATCH(ROWS($AF$2:AF303),$AF$2:$AF$1001,0),MATCH(COLUMNS($AM$1006:BL1006),$AM$1006:$BM$1006,0)), HYPERLINK("#",""), HYPERLINK(CONCATENATE("#metadata!", ADDRESS(INDEX($AH$2:$AH$1001,MATCH(ROWS($AF$2:AF303),$AF$2:$AF$1001,0),0), INDEX($AM$1004:$BM$1004,1,MATCH(COLUMNS($AM$1006:BL1006),$AM$1006:$BM$1006,0)))),"Fix")))</f>
        <v xml:space="preserve"> </v>
      </c>
      <c r="AB303" s="4" t="str">
        <f ca="1">IF(OR(INDEX($AG$2:$AG$1001,MATCH(ROWS($AF$2:AF303),$AF$2:$AF$1001,0),1)&gt;=100000,INDEX($AM$1005:$BM$1005,1,MATCH(COLUMNS($AM$1006:BM1006),$AM$1006:$BM$1006,0))&gt;=100000), " ",IF(INDEX($AM$2:$BM$1001,MATCH(ROWS($AF$2:AF303),$AF$2:$AF$1001,0),MATCH(COLUMNS($AM$1006:BM1006),$AM$1006:$BM$1006,0)), HYPERLINK("#",""), HYPERLINK(CONCATENATE("#metadata!", ADDRESS(INDEX($AH$2:$AH$1001,MATCH(ROWS($AF$2:AF303),$AF$2:$AF$1001,0),0), INDEX($AM$1004:$BM$1004,1,MATCH(COLUMNS($AM$1006:BM1006),$AM$1006:$BM$1006,0)))),"Fix")))</f>
        <v xml:space="preserve"> </v>
      </c>
      <c r="AF303">
        <v>302</v>
      </c>
      <c r="AG303">
        <v>100303</v>
      </c>
      <c r="AH303">
        <v>303</v>
      </c>
      <c r="AI303" t="b">
        <f t="shared" si="4"/>
        <v>1</v>
      </c>
      <c r="AJ303" t="b">
        <f>COUNTBLANK(metadata!B303:AB303)=COLUMNS(metadata!B303:AB303)</f>
        <v>1</v>
      </c>
      <c r="AK303" t="str">
        <v/>
      </c>
      <c r="AM303" t="b">
        <f ca="1">AND(IF(metadata!B303="",FALSE,TRUE),COUNTIF(metadata!B:B, metadata!B303) = 1,NOT(ISERROR(SUMPRODUCT(SEARCH(MID(metadata!B303,ROW(INDIRECT("1:"&amp;LEN(metadata!B303))), 1),"0123456789abcdefghijklmnopqrstuvwxyzABCDEFGHIJKLMNOPQRSTUVWXYZ.")))))</f>
        <v>0</v>
      </c>
      <c r="AN303" t="b">
        <f ca="1">OR(AND(IF(metadata!C303="",FALSE,TRUE),OR(EXACT(metadata!C303,"missing: not collected"),EXACT(metadata!C303,"missing: not provided"),EXACT(metadata!C303,"missing: restricted access"))),AND(IF(metadata!C303="",FALSE,TRUE),AND(AND(IFERROR(INT(LEFT(metadata!C303,4))&gt;1900,FALSE),IFERROR(INT(LEFT(metadata!C303,4))&lt;=YEAR(NOW()),FALSE)), OR(MID(metadata!C303,5,1)="", AND(AND(MID(metadata!C303,5,1)="-",IFERROR(INT(MID(metadata!C303,6,1))&gt;=0,FALSE),IFERROR(INT(MID(metadata!C303,6,1))&lt;=1,FALSE),NOT(MID(metadata!C303,7,1)=""),IFERROR(INT(MID(metadata!C303,6,2))&gt;=1,FALSE),IFERROR(INT(MID(metadata!C303,6,2))&lt;=12,FALSE)), OR(MID(metadata!C303,8,1)="", AND(AND(MID(metadata!C303,8,1)="-",IFERROR(INT(MID(metadata!C303,9,1))&gt;=0,FALSE),IFERROR(INT(MID(metadata!C303,9,1))&lt;=3,FALSE),NOT(MID(metadata!C303,10,1)=""),IFERROR(INT(MID(metadata!C303,9,2))&gt;=1,FALSE),IFERROR(INT(MID(metadata!C303,9,2))&lt;=31,FALSE)), OR(MID(metadata!C303,11,1)="", AND(AND(MID(metadata!C303,11,1)=" ",IFERROR(INT(MID(metadata!C303,12,1))&gt;=0,FALSE),IFERROR(INT(MID(metadata!C303,12,1))&lt;=2,FALSE),NOT(MID(metadata!C303,13,1)=""),IFERROR(INT(MID(metadata!C303,12,2))&gt;=0,FALSE),IFERROR(INT(MID(metadata!C303,12,2))&lt;=23,FALSE)), OR(MID(metadata!C303,14,1)="", AND(AND(MID(metadata!C303,14,1)=":",IFERROR(INT(MID(metadata!C303,15,1))&gt;=0,FALSE),IFERROR(INT(MID(metadata!C303,15,1))&lt;=5,FALSE),NOT(MID(metadata!C303,16,1)=""),IFERROR(INT(MID(metadata!C303,15,2))&gt;=0,FALSE),IFERROR(INT(MID(metadata!C303,15,2))&lt;=59,FALSE)), OR(MID(metadata!C303,17,1)="", AND(AND(MID(metadata!C303,17,1)=":",IFERROR(INT(MID(metadata!C303,18,1))&gt;=0,FALSE),IFERROR(INT(MID(metadata!C303,18,1))&lt;=5,FALSE),NOT(MID(metadata!C303,19,1)=""),IFERROR(INT(MID(metadata!C303,18,2))&gt;=0,FALSE),IFERROR(INT(MID(metadata!C303,18,2))&lt;=59,FALSE)), LEN(metadata!C303)&lt;=19)))))))))))))</f>
        <v>0</v>
      </c>
      <c r="AO303" t="b">
        <f>AND(IF(metadata!D303="",FALSE,TRUE),EXACT(metadata!D303,"Not applicable"))</f>
        <v>0</v>
      </c>
      <c r="AP303" t="b">
        <f>IF(metadata!E303="",FALSE,TRUE)</f>
        <v>0</v>
      </c>
      <c r="AQ303" t="b">
        <f>OR(AND(IF(metadata!F303="",FALSE,TRUE),OR(EXACT(metadata!F303,"missing: not collected"),EXACT(metadata!F303,"missing: not provided"))),AND(IF(metadata!F303="",FALSE,TRUE),OR(EXACT(metadata!F303,"TRUE"),EXACT(metadata!F303,"FALSE"))))</f>
        <v>0</v>
      </c>
      <c r="AR303" t="b">
        <f>OR(AND(IF(metadata!G303="",FALSE,TRUE),OR(EXACT(metadata!G303,"missing: not collected"),EXACT(metadata!G303,"missing: not provided"),EXACT(metadata!G303,"missing: restricted access"))),AND(IF(metadata!G303="",FALSE,ISNUMBER(VALUE(metadata!G303))),metadata!G303&gt;=-413))</f>
        <v>0</v>
      </c>
      <c r="AS303" t="b">
        <f>AND(IF(metadata!H303="",FALSE,TRUE),EXACT(metadata!H303,"meters"))</f>
        <v>0</v>
      </c>
      <c r="AT303" t="b">
        <f>AND(IF(metadata!I303="",FALSE,TRUE),OR(EXACT(metadata!I303,"Host-associated"),EXACT(metadata!I303,"Free-living")))</f>
        <v>0</v>
      </c>
      <c r="AU303" t="b">
        <f>AND(IF(metadata!J303="",FALSE,TRUE),OR(EXACT(metadata!J303,"Animal"),EXACT(metadata!J303,"Fungus"),EXACT(metadata!J303,"Plant"),EXACT(metadata!J303,"Saline"),EXACT(metadata!J303,"Non-saline")))</f>
        <v>0</v>
      </c>
      <c r="AV303" t="b">
        <f>AND(IF(metadata!K303="",FALSE,TRUE),OR(EXACT(metadata!K303,"Plant secretion"),EXACT(metadata!K303,"Plant rhizosphere"),EXACT(metadata!K303,"Plant surface"),EXACT(metadata!K303,"Plant corpus"),EXACT(metadata!K303,"Fungus surface"),EXACT(metadata!K303,"Fungus corpus"),EXACT(metadata!K303,"Animal surface"),EXACT(metadata!K303,"Animal proximal gut"),EXACT(metadata!K303,"Animal corpus"),EXACT(metadata!K303,"Animal distal gut"),EXACT(metadata!K303,"Animal secretion"),EXACT(metadata!K303,"Sub-surface (non-saline)"),EXACT(metadata!K303,"Surface (non-saline)"),EXACT(metadata!K303,"Water (non-saline)"),EXACT(metadata!K303,"Soil (non-saline)"),EXACT(metadata!K303,"Aerosol (non-saline)"),EXACT(metadata!K303,"Sediment (non-saline)"),EXACT(metadata!K303,"Surface (saline)"),EXACT(metadata!K303,"Water (saline)"),EXACT(metadata!K303,"Hypersaline (saline)"),EXACT(metadata!K303,"Aerosol (saline)"),EXACT(metadata!K303,"Sediment (saline)")))</f>
        <v>0</v>
      </c>
      <c r="AW303" t="b">
        <f>IF(metadata!L303="",FALSE,TRUE)</f>
        <v>0</v>
      </c>
      <c r="AX303" t="b">
        <f>IF(metadata!M303="",FALSE,TRUE)</f>
        <v>0</v>
      </c>
      <c r="AY303" t="b">
        <f>IF(metadata!N303="",FALSE,TRUE)</f>
        <v>0</v>
      </c>
      <c r="AZ303" t="b">
        <f>OR(AND(IF(metadata!O303="",FALSE,TRUE),OR(EXACT(metadata!O303,"missing: not collected"),EXACT(metadata!O303,"missing: not provided"),EXACT(metadata!O303,"missing: restricted access"))),AND(IF(metadata!O303="",FALSE,TRUE),OR(EXACT(metadata!O303,"air"),EXACT(metadata!O303,"built environment"),EXACT(metadata!O303,"host-associated"),EXACT(metadata!O303,"human-associated"),EXACT(metadata!O303,"human-skin"),EXACT(metadata!O303,"human-oral"),EXACT(metadata!O303,"human-gut"),EXACT(metadata!O303,"human-vaginal"),EXACT(metadata!O303,"microbial mat/biofilm"),EXACT(metadata!O303,"misc environment"),EXACT(metadata!O303,"plant-associated"),EXACT(metadata!O303,"sediment"),EXACT(metadata!O303,"soil"),EXACT(metadata!O303,"wastewater/sludge"),EXACT(metadata!O303,"water"))))</f>
        <v>0</v>
      </c>
      <c r="BA303" t="b">
        <f>IF(metadata!P303="",FALSE,TRUE)</f>
        <v>0</v>
      </c>
      <c r="BB303" t="b">
        <f>IF(metadata!Q303="",FALSE,TRUE)</f>
        <v>0</v>
      </c>
      <c r="BC303" t="b">
        <f>OR(AND(IF(metadata!R303="",FALSE,TRUE),OR(EXACT(metadata!R303,"missing: not collected"),EXACT(metadata!R303,"missing: not provided"),EXACT(metadata!R303,"missing: restricted access"))),AND(IF(metadata!R303="",FALSE,ISNUMBER(VALUE(metadata!R303))),metadata!R303&gt;=-90,metadata!R303&lt;=90))</f>
        <v>0</v>
      </c>
      <c r="BD303" t="b">
        <f>AND(IF(metadata!S303="",FALSE,TRUE),EXACT(metadata!S303,"Decimal degrees"))</f>
        <v>0</v>
      </c>
      <c r="BE303" t="b">
        <f>OR(AND(IF(metadata!T303="",FALSE,TRUE),OR(EXACT(metadata!T303,"missing: not collected"),EXACT(metadata!T303,"missing: not provided"),EXACT(metadata!T303,"missing: restricted access"))),AND(IF(metadata!T303="",FALSE,ISNUMBER(VALUE(metadata!T303))),metadata!T303&gt;=-180,metadata!T303&lt;=180))</f>
        <v>0</v>
      </c>
      <c r="BF303" t="b">
        <f>AND(IF(metadata!U303="",FALSE,TRUE),EXACT(metadata!U303,"Decimal degrees"))</f>
        <v>0</v>
      </c>
      <c r="BG303" t="b">
        <f>IF(metadata!V303="",FALSE,TRUE)</f>
        <v>0</v>
      </c>
      <c r="BH303" t="b">
        <f>OR(AND(IF(metadata!W303="",FALSE,TRUE),OR(EXACT(metadata!W303,"missing: not collected"),EXACT(metadata!W303,"missing: not provided"),EXACT(metadata!W303,"missing: restricted access"))),AND(IF(metadata!W303="",FALSE,TRUE),OR(EXACT(metadata!W303,"TRUE"),EXACT(metadata!W303,"FALSE"))))</f>
        <v>0</v>
      </c>
      <c r="BI303" t="b">
        <f>AND(IF(metadata!X303="",FALSE,TRUE),EXACT(metadata!X303,"other"))</f>
        <v>0</v>
      </c>
      <c r="BJ303" t="b">
        <f>IF(metadata!Y303="",FALSE,TRUE)</f>
        <v>0</v>
      </c>
      <c r="BK303" t="b">
        <f>OR(AND(IF(metadata!Z303="",FALSE,TRUE),OR(EXACT(metadata!Z303,"missing: not collected"),EXACT(metadata!Z303,"missing: not provided"))),AND(IF(metadata!Z303="",FALSE,IF(ISERROR(INT(metadata!Z303)),FALSE,INT(metadata!Z303)=metadata!Z303)),metadata!Z303&gt;0))</f>
        <v>0</v>
      </c>
      <c r="BL303" t="b">
        <f>AND(IF(metadata!AA303="",FALSE,TRUE),EXACT(metadata!AA303,"Not applicable"))</f>
        <v>0</v>
      </c>
      <c r="BM303" t="b">
        <f>IF(metadata!AB303="",FALSE,TRUE)</f>
        <v>0</v>
      </c>
    </row>
    <row r="304" spans="1:65" x14ac:dyDescent="0.2">
      <c r="A304" s="5" t="str">
        <f ca="1">IF(B304=" "," ",HYPERLINK(CONCATENATE("#metadata!",ADDRESS(INDEX($AH$2:$AH$1001,MATCH(ROWS($AF$2:AF304),$AF$2:$AF$1001,0),0),1)),INDEX($AK$2:$AK$1001,MATCH(ROWS($AF$2:AF304),$AF$2:$AF$1001,0),0)))</f>
        <v xml:space="preserve"> </v>
      </c>
      <c r="B304" s="4" t="str">
        <f ca="1">IF(OR(INDEX($AG$2:$AG$1001,MATCH(ROWS($AF$2:AF304),$AF$2:$AF$1001,0),1)&gt;=100000,INDEX($AM$1005:$BM$1005,1,MATCH(COLUMNS($AM$1006:AM1006),$AM$1006:$BM$1006,0))&gt;=100000), " ",IF(INDEX($AM$2:$BM$1001,MATCH(ROWS($AF$2:AF304),$AF$2:$AF$1001,0),MATCH(COLUMNS($AM$1006:AM1006),$AM$1006:$BM$1006,0)), HYPERLINK("#",""), HYPERLINK(CONCATENATE("#metadata!", ADDRESS(INDEX($AH$2:$AH$1001,MATCH(ROWS($AF$2:AF304),$AF$2:$AF$1001,0),0), INDEX($AM$1004:$BM$1004,1,MATCH(COLUMNS($AM$1006:AM1006),$AM$1006:$BM$1006,0)))),"Fix")))</f>
        <v xml:space="preserve"> </v>
      </c>
      <c r="C304" s="4" t="str">
        <f ca="1">IF(OR(INDEX($AG$2:$AG$1001,MATCH(ROWS($AF$2:AF304),$AF$2:$AF$1001,0),1)&gt;=100000,INDEX($AM$1005:$BM$1005,1,MATCH(COLUMNS($AM$1006:AN1006),$AM$1006:$BM$1006,0))&gt;=100000), " ",IF(INDEX($AM$2:$BM$1001,MATCH(ROWS($AF$2:AF304),$AF$2:$AF$1001,0),MATCH(COLUMNS($AM$1006:AN1006),$AM$1006:$BM$1006,0)), HYPERLINK("#",""), HYPERLINK(CONCATENATE("#metadata!", ADDRESS(INDEX($AH$2:$AH$1001,MATCH(ROWS($AF$2:AF304),$AF$2:$AF$1001,0),0), INDEX($AM$1004:$BM$1004,1,MATCH(COLUMNS($AM$1006:AN1006),$AM$1006:$BM$1006,0)))),"Fix")))</f>
        <v xml:space="preserve"> </v>
      </c>
      <c r="D304" s="4" t="str">
        <f ca="1">IF(OR(INDEX($AG$2:$AG$1001,MATCH(ROWS($AF$2:AF304),$AF$2:$AF$1001,0),1)&gt;=100000,INDEX($AM$1005:$BM$1005,1,MATCH(COLUMNS($AM$1006:AO1006),$AM$1006:$BM$1006,0))&gt;=100000), " ",IF(INDEX($AM$2:$BM$1001,MATCH(ROWS($AF$2:AF304),$AF$2:$AF$1001,0),MATCH(COLUMNS($AM$1006:AO1006),$AM$1006:$BM$1006,0)), HYPERLINK("#",""), HYPERLINK(CONCATENATE("#metadata!", ADDRESS(INDEX($AH$2:$AH$1001,MATCH(ROWS($AF$2:AF304),$AF$2:$AF$1001,0),0), INDEX($AM$1004:$BM$1004,1,MATCH(COLUMNS($AM$1006:AO1006),$AM$1006:$BM$1006,0)))),"Fix")))</f>
        <v xml:space="preserve"> </v>
      </c>
      <c r="E304" s="4" t="str">
        <f ca="1">IF(OR(INDEX($AG$2:$AG$1001,MATCH(ROWS($AF$2:AF304),$AF$2:$AF$1001,0),1)&gt;=100000,INDEX($AM$1005:$BM$1005,1,MATCH(COLUMNS($AM$1006:AP1006),$AM$1006:$BM$1006,0))&gt;=100000), " ",IF(INDEX($AM$2:$BM$1001,MATCH(ROWS($AF$2:AF304),$AF$2:$AF$1001,0),MATCH(COLUMNS($AM$1006:AP1006),$AM$1006:$BM$1006,0)), HYPERLINK("#",""), HYPERLINK(CONCATENATE("#metadata!", ADDRESS(INDEX($AH$2:$AH$1001,MATCH(ROWS($AF$2:AF304),$AF$2:$AF$1001,0),0), INDEX($AM$1004:$BM$1004,1,MATCH(COLUMNS($AM$1006:AP1006),$AM$1006:$BM$1006,0)))),"Fix")))</f>
        <v xml:space="preserve"> </v>
      </c>
      <c r="F304" s="4" t="str">
        <f ca="1">IF(OR(INDEX($AG$2:$AG$1001,MATCH(ROWS($AF$2:AF304),$AF$2:$AF$1001,0),1)&gt;=100000,INDEX($AM$1005:$BM$1005,1,MATCH(COLUMNS($AM$1006:AQ1006),$AM$1006:$BM$1006,0))&gt;=100000), " ",IF(INDEX($AM$2:$BM$1001,MATCH(ROWS($AF$2:AF304),$AF$2:$AF$1001,0),MATCH(COLUMNS($AM$1006:AQ1006),$AM$1006:$BM$1006,0)), HYPERLINK("#",""), HYPERLINK(CONCATENATE("#metadata!", ADDRESS(INDEX($AH$2:$AH$1001,MATCH(ROWS($AF$2:AF304),$AF$2:$AF$1001,0),0), INDEX($AM$1004:$BM$1004,1,MATCH(COLUMNS($AM$1006:AQ1006),$AM$1006:$BM$1006,0)))),"Fix")))</f>
        <v xml:space="preserve"> </v>
      </c>
      <c r="G304" s="4" t="str">
        <f ca="1">IF(OR(INDEX($AG$2:$AG$1001,MATCH(ROWS($AF$2:AF304),$AF$2:$AF$1001,0),1)&gt;=100000,INDEX($AM$1005:$BM$1005,1,MATCH(COLUMNS($AM$1006:AR1006),$AM$1006:$BM$1006,0))&gt;=100000), " ",IF(INDEX($AM$2:$BM$1001,MATCH(ROWS($AF$2:AF304),$AF$2:$AF$1001,0),MATCH(COLUMNS($AM$1006:AR1006),$AM$1006:$BM$1006,0)), HYPERLINK("#",""), HYPERLINK(CONCATENATE("#metadata!", ADDRESS(INDEX($AH$2:$AH$1001,MATCH(ROWS($AF$2:AF304),$AF$2:$AF$1001,0),0), INDEX($AM$1004:$BM$1004,1,MATCH(COLUMNS($AM$1006:AR1006),$AM$1006:$BM$1006,0)))),"Fix")))</f>
        <v xml:space="preserve"> </v>
      </c>
      <c r="H304" s="4" t="str">
        <f ca="1">IF(OR(INDEX($AG$2:$AG$1001,MATCH(ROWS($AF$2:AF304),$AF$2:$AF$1001,0),1)&gt;=100000,INDEX($AM$1005:$BM$1005,1,MATCH(COLUMNS($AM$1006:AS1006),$AM$1006:$BM$1006,0))&gt;=100000), " ",IF(INDEX($AM$2:$BM$1001,MATCH(ROWS($AF$2:AF304),$AF$2:$AF$1001,0),MATCH(COLUMNS($AM$1006:AS1006),$AM$1006:$BM$1006,0)), HYPERLINK("#",""), HYPERLINK(CONCATENATE("#metadata!", ADDRESS(INDEX($AH$2:$AH$1001,MATCH(ROWS($AF$2:AF304),$AF$2:$AF$1001,0),0), INDEX($AM$1004:$BM$1004,1,MATCH(COLUMNS($AM$1006:AS1006),$AM$1006:$BM$1006,0)))),"Fix")))</f>
        <v xml:space="preserve"> </v>
      </c>
      <c r="I304" s="4" t="str">
        <f ca="1">IF(OR(INDEX($AG$2:$AG$1001,MATCH(ROWS($AF$2:AF304),$AF$2:$AF$1001,0),1)&gt;=100000,INDEX($AM$1005:$BM$1005,1,MATCH(COLUMNS($AM$1006:AT1006),$AM$1006:$BM$1006,0))&gt;=100000), " ",IF(INDEX($AM$2:$BM$1001,MATCH(ROWS($AF$2:AF304),$AF$2:$AF$1001,0),MATCH(COLUMNS($AM$1006:AT1006),$AM$1006:$BM$1006,0)), HYPERLINK("#",""), HYPERLINK(CONCATENATE("#metadata!", ADDRESS(INDEX($AH$2:$AH$1001,MATCH(ROWS($AF$2:AF304),$AF$2:$AF$1001,0),0), INDEX($AM$1004:$BM$1004,1,MATCH(COLUMNS($AM$1006:AT1006),$AM$1006:$BM$1006,0)))),"Fix")))</f>
        <v xml:space="preserve"> </v>
      </c>
      <c r="J304" s="4" t="str">
        <f ca="1">IF(OR(INDEX($AG$2:$AG$1001,MATCH(ROWS($AF$2:AF304),$AF$2:$AF$1001,0),1)&gt;=100000,INDEX($AM$1005:$BM$1005,1,MATCH(COLUMNS($AM$1006:AU1006),$AM$1006:$BM$1006,0))&gt;=100000), " ",IF(INDEX($AM$2:$BM$1001,MATCH(ROWS($AF$2:AF304),$AF$2:$AF$1001,0),MATCH(COLUMNS($AM$1006:AU1006),$AM$1006:$BM$1006,0)), HYPERLINK("#",""), HYPERLINK(CONCATENATE("#metadata!", ADDRESS(INDEX($AH$2:$AH$1001,MATCH(ROWS($AF$2:AF304),$AF$2:$AF$1001,0),0), INDEX($AM$1004:$BM$1004,1,MATCH(COLUMNS($AM$1006:AU1006),$AM$1006:$BM$1006,0)))),"Fix")))</f>
        <v xml:space="preserve"> </v>
      </c>
      <c r="K304" s="4" t="str">
        <f ca="1">IF(OR(INDEX($AG$2:$AG$1001,MATCH(ROWS($AF$2:AF304),$AF$2:$AF$1001,0),1)&gt;=100000,INDEX($AM$1005:$BM$1005,1,MATCH(COLUMNS($AM$1006:AV1006),$AM$1006:$BM$1006,0))&gt;=100000), " ",IF(INDEX($AM$2:$BM$1001,MATCH(ROWS($AF$2:AF304),$AF$2:$AF$1001,0),MATCH(COLUMNS($AM$1006:AV1006),$AM$1006:$BM$1006,0)), HYPERLINK("#",""), HYPERLINK(CONCATENATE("#metadata!", ADDRESS(INDEX($AH$2:$AH$1001,MATCH(ROWS($AF$2:AF304),$AF$2:$AF$1001,0),0), INDEX($AM$1004:$BM$1004,1,MATCH(COLUMNS($AM$1006:AV1006),$AM$1006:$BM$1006,0)))),"Fix")))</f>
        <v xml:space="preserve"> </v>
      </c>
      <c r="L304" s="4" t="str">
        <f ca="1">IF(OR(INDEX($AG$2:$AG$1001,MATCH(ROWS($AF$2:AF304),$AF$2:$AF$1001,0),1)&gt;=100000,INDEX($AM$1005:$BM$1005,1,MATCH(COLUMNS($AM$1006:AW1006),$AM$1006:$BM$1006,0))&gt;=100000), " ",IF(INDEX($AM$2:$BM$1001,MATCH(ROWS($AF$2:AF304),$AF$2:$AF$1001,0),MATCH(COLUMNS($AM$1006:AW1006),$AM$1006:$BM$1006,0)), HYPERLINK("#",""), HYPERLINK(CONCATENATE("#metadata!", ADDRESS(INDEX($AH$2:$AH$1001,MATCH(ROWS($AF$2:AF304),$AF$2:$AF$1001,0),0), INDEX($AM$1004:$BM$1004,1,MATCH(COLUMNS($AM$1006:AW1006),$AM$1006:$BM$1006,0)))),"Fix")))</f>
        <v xml:space="preserve"> </v>
      </c>
      <c r="M304" s="4" t="str">
        <f ca="1">IF(OR(INDEX($AG$2:$AG$1001,MATCH(ROWS($AF$2:AF304),$AF$2:$AF$1001,0),1)&gt;=100000,INDEX($AM$1005:$BM$1005,1,MATCH(COLUMNS($AM$1006:AX1006),$AM$1006:$BM$1006,0))&gt;=100000), " ",IF(INDEX($AM$2:$BM$1001,MATCH(ROWS($AF$2:AF304),$AF$2:$AF$1001,0),MATCH(COLUMNS($AM$1006:AX1006),$AM$1006:$BM$1006,0)), HYPERLINK("#",""), HYPERLINK(CONCATENATE("#metadata!", ADDRESS(INDEX($AH$2:$AH$1001,MATCH(ROWS($AF$2:AF304),$AF$2:$AF$1001,0),0), INDEX($AM$1004:$BM$1004,1,MATCH(COLUMNS($AM$1006:AX1006),$AM$1006:$BM$1006,0)))),"Fix")))</f>
        <v xml:space="preserve"> </v>
      </c>
      <c r="N304" s="4" t="str">
        <f ca="1">IF(OR(INDEX($AG$2:$AG$1001,MATCH(ROWS($AF$2:AF304),$AF$2:$AF$1001,0),1)&gt;=100000,INDEX($AM$1005:$BM$1005,1,MATCH(COLUMNS($AM$1006:AY1006),$AM$1006:$BM$1006,0))&gt;=100000), " ",IF(INDEX($AM$2:$BM$1001,MATCH(ROWS($AF$2:AF304),$AF$2:$AF$1001,0),MATCH(COLUMNS($AM$1006:AY1006),$AM$1006:$BM$1006,0)), HYPERLINK("#",""), HYPERLINK(CONCATENATE("#metadata!", ADDRESS(INDEX($AH$2:$AH$1001,MATCH(ROWS($AF$2:AF304),$AF$2:$AF$1001,0),0), INDEX($AM$1004:$BM$1004,1,MATCH(COLUMNS($AM$1006:AY1006),$AM$1006:$BM$1006,0)))),"Fix")))</f>
        <v xml:space="preserve"> </v>
      </c>
      <c r="O304" s="4" t="str">
        <f ca="1">IF(OR(INDEX($AG$2:$AG$1001,MATCH(ROWS($AF$2:AF304),$AF$2:$AF$1001,0),1)&gt;=100000,INDEX($AM$1005:$BM$1005,1,MATCH(COLUMNS($AM$1006:AZ1006),$AM$1006:$BM$1006,0))&gt;=100000), " ",IF(INDEX($AM$2:$BM$1001,MATCH(ROWS($AF$2:AF304),$AF$2:$AF$1001,0),MATCH(COLUMNS($AM$1006:AZ1006),$AM$1006:$BM$1006,0)), HYPERLINK("#",""), HYPERLINK(CONCATENATE("#metadata!", ADDRESS(INDEX($AH$2:$AH$1001,MATCH(ROWS($AF$2:AF304),$AF$2:$AF$1001,0),0), INDEX($AM$1004:$BM$1004,1,MATCH(COLUMNS($AM$1006:AZ1006),$AM$1006:$BM$1006,0)))),"Fix")))</f>
        <v xml:space="preserve"> </v>
      </c>
      <c r="P304" s="4" t="str">
        <f ca="1">IF(OR(INDEX($AG$2:$AG$1001,MATCH(ROWS($AF$2:AF304),$AF$2:$AF$1001,0),1)&gt;=100000,INDEX($AM$1005:$BM$1005,1,MATCH(COLUMNS($AM$1006:BA1006),$AM$1006:$BM$1006,0))&gt;=100000), " ",IF(INDEX($AM$2:$BM$1001,MATCH(ROWS($AF$2:AF304),$AF$2:$AF$1001,0),MATCH(COLUMNS($AM$1006:BA1006),$AM$1006:$BM$1006,0)), HYPERLINK("#",""), HYPERLINK(CONCATENATE("#metadata!", ADDRESS(INDEX($AH$2:$AH$1001,MATCH(ROWS($AF$2:AF304),$AF$2:$AF$1001,0),0), INDEX($AM$1004:$BM$1004,1,MATCH(COLUMNS($AM$1006:BA1006),$AM$1006:$BM$1006,0)))),"Fix")))</f>
        <v xml:space="preserve"> </v>
      </c>
      <c r="Q304" s="4" t="str">
        <f ca="1">IF(OR(INDEX($AG$2:$AG$1001,MATCH(ROWS($AF$2:AF304),$AF$2:$AF$1001,0),1)&gt;=100000,INDEX($AM$1005:$BM$1005,1,MATCH(COLUMNS($AM$1006:BB1006),$AM$1006:$BM$1006,0))&gt;=100000), " ",IF(INDEX($AM$2:$BM$1001,MATCH(ROWS($AF$2:AF304),$AF$2:$AF$1001,0),MATCH(COLUMNS($AM$1006:BB1006),$AM$1006:$BM$1006,0)), HYPERLINK("#",""), HYPERLINK(CONCATENATE("#metadata!", ADDRESS(INDEX($AH$2:$AH$1001,MATCH(ROWS($AF$2:AF304),$AF$2:$AF$1001,0),0), INDEX($AM$1004:$BM$1004,1,MATCH(COLUMNS($AM$1006:BB1006),$AM$1006:$BM$1006,0)))),"Fix")))</f>
        <v xml:space="preserve"> </v>
      </c>
      <c r="R304" s="4" t="str">
        <f ca="1">IF(OR(INDEX($AG$2:$AG$1001,MATCH(ROWS($AF$2:AF304),$AF$2:$AF$1001,0),1)&gt;=100000,INDEX($AM$1005:$BM$1005,1,MATCH(COLUMNS($AM$1006:BC1006),$AM$1006:$BM$1006,0))&gt;=100000), " ",IF(INDEX($AM$2:$BM$1001,MATCH(ROWS($AF$2:AF304),$AF$2:$AF$1001,0),MATCH(COLUMNS($AM$1006:BC1006),$AM$1006:$BM$1006,0)), HYPERLINK("#",""), HYPERLINK(CONCATENATE("#metadata!", ADDRESS(INDEX($AH$2:$AH$1001,MATCH(ROWS($AF$2:AF304),$AF$2:$AF$1001,0),0), INDEX($AM$1004:$BM$1004,1,MATCH(COLUMNS($AM$1006:BC1006),$AM$1006:$BM$1006,0)))),"Fix")))</f>
        <v xml:space="preserve"> </v>
      </c>
      <c r="S304" s="4" t="str">
        <f ca="1">IF(OR(INDEX($AG$2:$AG$1001,MATCH(ROWS($AF$2:AF304),$AF$2:$AF$1001,0),1)&gt;=100000,INDEX($AM$1005:$BM$1005,1,MATCH(COLUMNS($AM$1006:BD1006),$AM$1006:$BM$1006,0))&gt;=100000), " ",IF(INDEX($AM$2:$BM$1001,MATCH(ROWS($AF$2:AF304),$AF$2:$AF$1001,0),MATCH(COLUMNS($AM$1006:BD1006),$AM$1006:$BM$1006,0)), HYPERLINK("#",""), HYPERLINK(CONCATENATE("#metadata!", ADDRESS(INDEX($AH$2:$AH$1001,MATCH(ROWS($AF$2:AF304),$AF$2:$AF$1001,0),0), INDEX($AM$1004:$BM$1004,1,MATCH(COLUMNS($AM$1006:BD1006),$AM$1006:$BM$1006,0)))),"Fix")))</f>
        <v xml:space="preserve"> </v>
      </c>
      <c r="T304" s="4" t="str">
        <f ca="1">IF(OR(INDEX($AG$2:$AG$1001,MATCH(ROWS($AF$2:AF304),$AF$2:$AF$1001,0),1)&gt;=100000,INDEX($AM$1005:$BM$1005,1,MATCH(COLUMNS($AM$1006:BE1006),$AM$1006:$BM$1006,0))&gt;=100000), " ",IF(INDEX($AM$2:$BM$1001,MATCH(ROWS($AF$2:AF304),$AF$2:$AF$1001,0),MATCH(COLUMNS($AM$1006:BE1006),$AM$1006:$BM$1006,0)), HYPERLINK("#",""), HYPERLINK(CONCATENATE("#metadata!", ADDRESS(INDEX($AH$2:$AH$1001,MATCH(ROWS($AF$2:AF304),$AF$2:$AF$1001,0),0), INDEX($AM$1004:$BM$1004,1,MATCH(COLUMNS($AM$1006:BE1006),$AM$1006:$BM$1006,0)))),"Fix")))</f>
        <v xml:space="preserve"> </v>
      </c>
      <c r="U304" s="4" t="str">
        <f ca="1">IF(OR(INDEX($AG$2:$AG$1001,MATCH(ROWS($AF$2:AF304),$AF$2:$AF$1001,0),1)&gt;=100000,INDEX($AM$1005:$BM$1005,1,MATCH(COLUMNS($AM$1006:BF1006),$AM$1006:$BM$1006,0))&gt;=100000), " ",IF(INDEX($AM$2:$BM$1001,MATCH(ROWS($AF$2:AF304),$AF$2:$AF$1001,0),MATCH(COLUMNS($AM$1006:BF1006),$AM$1006:$BM$1006,0)), HYPERLINK("#",""), HYPERLINK(CONCATENATE("#metadata!", ADDRESS(INDEX($AH$2:$AH$1001,MATCH(ROWS($AF$2:AF304),$AF$2:$AF$1001,0),0), INDEX($AM$1004:$BM$1004,1,MATCH(COLUMNS($AM$1006:BF1006),$AM$1006:$BM$1006,0)))),"Fix")))</f>
        <v xml:space="preserve"> </v>
      </c>
      <c r="V304" s="4" t="str">
        <f ca="1">IF(OR(INDEX($AG$2:$AG$1001,MATCH(ROWS($AF$2:AF304),$AF$2:$AF$1001,0),1)&gt;=100000,INDEX($AM$1005:$BM$1005,1,MATCH(COLUMNS($AM$1006:BG1006),$AM$1006:$BM$1006,0))&gt;=100000), " ",IF(INDEX($AM$2:$BM$1001,MATCH(ROWS($AF$2:AF304),$AF$2:$AF$1001,0),MATCH(COLUMNS($AM$1006:BG1006),$AM$1006:$BM$1006,0)), HYPERLINK("#",""), HYPERLINK(CONCATENATE("#metadata!", ADDRESS(INDEX($AH$2:$AH$1001,MATCH(ROWS($AF$2:AF304),$AF$2:$AF$1001,0),0), INDEX($AM$1004:$BM$1004,1,MATCH(COLUMNS($AM$1006:BG1006),$AM$1006:$BM$1006,0)))),"Fix")))</f>
        <v xml:space="preserve"> </v>
      </c>
      <c r="W304" s="4" t="str">
        <f ca="1">IF(OR(INDEX($AG$2:$AG$1001,MATCH(ROWS($AF$2:AF304),$AF$2:$AF$1001,0),1)&gt;=100000,INDEX($AM$1005:$BM$1005,1,MATCH(COLUMNS($AM$1006:BH1006),$AM$1006:$BM$1006,0))&gt;=100000), " ",IF(INDEX($AM$2:$BM$1001,MATCH(ROWS($AF$2:AF304),$AF$2:$AF$1001,0),MATCH(COLUMNS($AM$1006:BH1006),$AM$1006:$BM$1006,0)), HYPERLINK("#",""), HYPERLINK(CONCATENATE("#metadata!", ADDRESS(INDEX($AH$2:$AH$1001,MATCH(ROWS($AF$2:AF304),$AF$2:$AF$1001,0),0), INDEX($AM$1004:$BM$1004,1,MATCH(COLUMNS($AM$1006:BH1006),$AM$1006:$BM$1006,0)))),"Fix")))</f>
        <v xml:space="preserve"> </v>
      </c>
      <c r="X304" s="4" t="str">
        <f ca="1">IF(OR(INDEX($AG$2:$AG$1001,MATCH(ROWS($AF$2:AF304),$AF$2:$AF$1001,0),1)&gt;=100000,INDEX($AM$1005:$BM$1005,1,MATCH(COLUMNS($AM$1006:BI1006),$AM$1006:$BM$1006,0))&gt;=100000), " ",IF(INDEX($AM$2:$BM$1001,MATCH(ROWS($AF$2:AF304),$AF$2:$AF$1001,0),MATCH(COLUMNS($AM$1006:BI1006),$AM$1006:$BM$1006,0)), HYPERLINK("#",""), HYPERLINK(CONCATENATE("#metadata!", ADDRESS(INDEX($AH$2:$AH$1001,MATCH(ROWS($AF$2:AF304),$AF$2:$AF$1001,0),0), INDEX($AM$1004:$BM$1004,1,MATCH(COLUMNS($AM$1006:BI1006),$AM$1006:$BM$1006,0)))),"Fix")))</f>
        <v xml:space="preserve"> </v>
      </c>
      <c r="Y304" s="4" t="str">
        <f ca="1">IF(OR(INDEX($AG$2:$AG$1001,MATCH(ROWS($AF$2:AF304),$AF$2:$AF$1001,0),1)&gt;=100000,INDEX($AM$1005:$BM$1005,1,MATCH(COLUMNS($AM$1006:BJ1006),$AM$1006:$BM$1006,0))&gt;=100000), " ",IF(INDEX($AM$2:$BM$1001,MATCH(ROWS($AF$2:AF304),$AF$2:$AF$1001,0),MATCH(COLUMNS($AM$1006:BJ1006),$AM$1006:$BM$1006,0)), HYPERLINK("#",""), HYPERLINK(CONCATENATE("#metadata!", ADDRESS(INDEX($AH$2:$AH$1001,MATCH(ROWS($AF$2:AF304),$AF$2:$AF$1001,0),0), INDEX($AM$1004:$BM$1004,1,MATCH(COLUMNS($AM$1006:BJ1006),$AM$1006:$BM$1006,0)))),"Fix")))</f>
        <v xml:space="preserve"> </v>
      </c>
      <c r="Z304" s="4" t="str">
        <f ca="1">IF(OR(INDEX($AG$2:$AG$1001,MATCH(ROWS($AF$2:AF304),$AF$2:$AF$1001,0),1)&gt;=100000,INDEX($AM$1005:$BM$1005,1,MATCH(COLUMNS($AM$1006:BK1006),$AM$1006:$BM$1006,0))&gt;=100000), " ",IF(INDEX($AM$2:$BM$1001,MATCH(ROWS($AF$2:AF304),$AF$2:$AF$1001,0),MATCH(COLUMNS($AM$1006:BK1006),$AM$1006:$BM$1006,0)), HYPERLINK("#",""), HYPERLINK(CONCATENATE("#metadata!", ADDRESS(INDEX($AH$2:$AH$1001,MATCH(ROWS($AF$2:AF304),$AF$2:$AF$1001,0),0), INDEX($AM$1004:$BM$1004,1,MATCH(COLUMNS($AM$1006:BK1006),$AM$1006:$BM$1006,0)))),"Fix")))</f>
        <v xml:space="preserve"> </v>
      </c>
      <c r="AA304" s="4" t="str">
        <f ca="1">IF(OR(INDEX($AG$2:$AG$1001,MATCH(ROWS($AF$2:AF304),$AF$2:$AF$1001,0),1)&gt;=100000,INDEX($AM$1005:$BM$1005,1,MATCH(COLUMNS($AM$1006:BL1006),$AM$1006:$BM$1006,0))&gt;=100000), " ",IF(INDEX($AM$2:$BM$1001,MATCH(ROWS($AF$2:AF304),$AF$2:$AF$1001,0),MATCH(COLUMNS($AM$1006:BL1006),$AM$1006:$BM$1006,0)), HYPERLINK("#",""), HYPERLINK(CONCATENATE("#metadata!", ADDRESS(INDEX($AH$2:$AH$1001,MATCH(ROWS($AF$2:AF304),$AF$2:$AF$1001,0),0), INDEX($AM$1004:$BM$1004,1,MATCH(COLUMNS($AM$1006:BL1006),$AM$1006:$BM$1006,0)))),"Fix")))</f>
        <v xml:space="preserve"> </v>
      </c>
      <c r="AB304" s="4" t="str">
        <f ca="1">IF(OR(INDEX($AG$2:$AG$1001,MATCH(ROWS($AF$2:AF304),$AF$2:$AF$1001,0),1)&gt;=100000,INDEX($AM$1005:$BM$1005,1,MATCH(COLUMNS($AM$1006:BM1006),$AM$1006:$BM$1006,0))&gt;=100000), " ",IF(INDEX($AM$2:$BM$1001,MATCH(ROWS($AF$2:AF304),$AF$2:$AF$1001,0),MATCH(COLUMNS($AM$1006:BM1006),$AM$1006:$BM$1006,0)), HYPERLINK("#",""), HYPERLINK(CONCATENATE("#metadata!", ADDRESS(INDEX($AH$2:$AH$1001,MATCH(ROWS($AF$2:AF304),$AF$2:$AF$1001,0),0), INDEX($AM$1004:$BM$1004,1,MATCH(COLUMNS($AM$1006:BM1006),$AM$1006:$BM$1006,0)))),"Fix")))</f>
        <v xml:space="preserve"> </v>
      </c>
      <c r="AF304">
        <v>303</v>
      </c>
      <c r="AG304">
        <v>100304</v>
      </c>
      <c r="AH304">
        <v>304</v>
      </c>
      <c r="AI304" t="b">
        <f t="shared" si="4"/>
        <v>1</v>
      </c>
      <c r="AJ304" t="b">
        <f>COUNTBLANK(metadata!B304:AB304)=COLUMNS(metadata!B304:AB304)</f>
        <v>1</v>
      </c>
      <c r="AK304" t="str">
        <v/>
      </c>
      <c r="AM304" t="b">
        <f ca="1">AND(IF(metadata!B304="",FALSE,TRUE),COUNTIF(metadata!B:B, metadata!B304) = 1,NOT(ISERROR(SUMPRODUCT(SEARCH(MID(metadata!B304,ROW(INDIRECT("1:"&amp;LEN(metadata!B304))), 1),"0123456789abcdefghijklmnopqrstuvwxyzABCDEFGHIJKLMNOPQRSTUVWXYZ.")))))</f>
        <v>0</v>
      </c>
      <c r="AN304" t="b">
        <f ca="1">OR(AND(IF(metadata!C304="",FALSE,TRUE),OR(EXACT(metadata!C304,"missing: not collected"),EXACT(metadata!C304,"missing: not provided"),EXACT(metadata!C304,"missing: restricted access"))),AND(IF(metadata!C304="",FALSE,TRUE),AND(AND(IFERROR(INT(LEFT(metadata!C304,4))&gt;1900,FALSE),IFERROR(INT(LEFT(metadata!C304,4))&lt;=YEAR(NOW()),FALSE)), OR(MID(metadata!C304,5,1)="", AND(AND(MID(metadata!C304,5,1)="-",IFERROR(INT(MID(metadata!C304,6,1))&gt;=0,FALSE),IFERROR(INT(MID(metadata!C304,6,1))&lt;=1,FALSE),NOT(MID(metadata!C304,7,1)=""),IFERROR(INT(MID(metadata!C304,6,2))&gt;=1,FALSE),IFERROR(INT(MID(metadata!C304,6,2))&lt;=12,FALSE)), OR(MID(metadata!C304,8,1)="", AND(AND(MID(metadata!C304,8,1)="-",IFERROR(INT(MID(metadata!C304,9,1))&gt;=0,FALSE),IFERROR(INT(MID(metadata!C304,9,1))&lt;=3,FALSE),NOT(MID(metadata!C304,10,1)=""),IFERROR(INT(MID(metadata!C304,9,2))&gt;=1,FALSE),IFERROR(INT(MID(metadata!C304,9,2))&lt;=31,FALSE)), OR(MID(metadata!C304,11,1)="", AND(AND(MID(metadata!C304,11,1)=" ",IFERROR(INT(MID(metadata!C304,12,1))&gt;=0,FALSE),IFERROR(INT(MID(metadata!C304,12,1))&lt;=2,FALSE),NOT(MID(metadata!C304,13,1)=""),IFERROR(INT(MID(metadata!C304,12,2))&gt;=0,FALSE),IFERROR(INT(MID(metadata!C304,12,2))&lt;=23,FALSE)), OR(MID(metadata!C304,14,1)="", AND(AND(MID(metadata!C304,14,1)=":",IFERROR(INT(MID(metadata!C304,15,1))&gt;=0,FALSE),IFERROR(INT(MID(metadata!C304,15,1))&lt;=5,FALSE),NOT(MID(metadata!C304,16,1)=""),IFERROR(INT(MID(metadata!C304,15,2))&gt;=0,FALSE),IFERROR(INT(MID(metadata!C304,15,2))&lt;=59,FALSE)), OR(MID(metadata!C304,17,1)="", AND(AND(MID(metadata!C304,17,1)=":",IFERROR(INT(MID(metadata!C304,18,1))&gt;=0,FALSE),IFERROR(INT(MID(metadata!C304,18,1))&lt;=5,FALSE),NOT(MID(metadata!C304,19,1)=""),IFERROR(INT(MID(metadata!C304,18,2))&gt;=0,FALSE),IFERROR(INT(MID(metadata!C304,18,2))&lt;=59,FALSE)), LEN(metadata!C304)&lt;=19)))))))))))))</f>
        <v>0</v>
      </c>
      <c r="AO304" t="b">
        <f>AND(IF(metadata!D304="",FALSE,TRUE),EXACT(metadata!D304,"Not applicable"))</f>
        <v>0</v>
      </c>
      <c r="AP304" t="b">
        <f>IF(metadata!E304="",FALSE,TRUE)</f>
        <v>0</v>
      </c>
      <c r="AQ304" t="b">
        <f>OR(AND(IF(metadata!F304="",FALSE,TRUE),OR(EXACT(metadata!F304,"missing: not collected"),EXACT(metadata!F304,"missing: not provided"))),AND(IF(metadata!F304="",FALSE,TRUE),OR(EXACT(metadata!F304,"TRUE"),EXACT(metadata!F304,"FALSE"))))</f>
        <v>0</v>
      </c>
      <c r="AR304" t="b">
        <f>OR(AND(IF(metadata!G304="",FALSE,TRUE),OR(EXACT(metadata!G304,"missing: not collected"),EXACT(metadata!G304,"missing: not provided"),EXACT(metadata!G304,"missing: restricted access"))),AND(IF(metadata!G304="",FALSE,ISNUMBER(VALUE(metadata!G304))),metadata!G304&gt;=-413))</f>
        <v>0</v>
      </c>
      <c r="AS304" t="b">
        <f>AND(IF(metadata!H304="",FALSE,TRUE),EXACT(metadata!H304,"meters"))</f>
        <v>0</v>
      </c>
      <c r="AT304" t="b">
        <f>AND(IF(metadata!I304="",FALSE,TRUE),OR(EXACT(metadata!I304,"Host-associated"),EXACT(metadata!I304,"Free-living")))</f>
        <v>0</v>
      </c>
      <c r="AU304" t="b">
        <f>AND(IF(metadata!J304="",FALSE,TRUE),OR(EXACT(metadata!J304,"Animal"),EXACT(metadata!J304,"Fungus"),EXACT(metadata!J304,"Plant"),EXACT(metadata!J304,"Saline"),EXACT(metadata!J304,"Non-saline")))</f>
        <v>0</v>
      </c>
      <c r="AV304" t="b">
        <f>AND(IF(metadata!K304="",FALSE,TRUE),OR(EXACT(metadata!K304,"Plant secretion"),EXACT(metadata!K304,"Plant rhizosphere"),EXACT(metadata!K304,"Plant surface"),EXACT(metadata!K304,"Plant corpus"),EXACT(metadata!K304,"Fungus surface"),EXACT(metadata!K304,"Fungus corpus"),EXACT(metadata!K304,"Animal surface"),EXACT(metadata!K304,"Animal proximal gut"),EXACT(metadata!K304,"Animal corpus"),EXACT(metadata!K304,"Animal distal gut"),EXACT(metadata!K304,"Animal secretion"),EXACT(metadata!K304,"Sub-surface (non-saline)"),EXACT(metadata!K304,"Surface (non-saline)"),EXACT(metadata!K304,"Water (non-saline)"),EXACT(metadata!K304,"Soil (non-saline)"),EXACT(metadata!K304,"Aerosol (non-saline)"),EXACT(metadata!K304,"Sediment (non-saline)"),EXACT(metadata!K304,"Surface (saline)"),EXACT(metadata!K304,"Water (saline)"),EXACT(metadata!K304,"Hypersaline (saline)"),EXACT(metadata!K304,"Aerosol (saline)"),EXACT(metadata!K304,"Sediment (saline)")))</f>
        <v>0</v>
      </c>
      <c r="AW304" t="b">
        <f>IF(metadata!L304="",FALSE,TRUE)</f>
        <v>0</v>
      </c>
      <c r="AX304" t="b">
        <f>IF(metadata!M304="",FALSE,TRUE)</f>
        <v>0</v>
      </c>
      <c r="AY304" t="b">
        <f>IF(metadata!N304="",FALSE,TRUE)</f>
        <v>0</v>
      </c>
      <c r="AZ304" t="b">
        <f>OR(AND(IF(metadata!O304="",FALSE,TRUE),OR(EXACT(metadata!O304,"missing: not collected"),EXACT(metadata!O304,"missing: not provided"),EXACT(metadata!O304,"missing: restricted access"))),AND(IF(metadata!O304="",FALSE,TRUE),OR(EXACT(metadata!O304,"air"),EXACT(metadata!O304,"built environment"),EXACT(metadata!O304,"host-associated"),EXACT(metadata!O304,"human-associated"),EXACT(metadata!O304,"human-skin"),EXACT(metadata!O304,"human-oral"),EXACT(metadata!O304,"human-gut"),EXACT(metadata!O304,"human-vaginal"),EXACT(metadata!O304,"microbial mat/biofilm"),EXACT(metadata!O304,"misc environment"),EXACT(metadata!O304,"plant-associated"),EXACT(metadata!O304,"sediment"),EXACT(metadata!O304,"soil"),EXACT(metadata!O304,"wastewater/sludge"),EXACT(metadata!O304,"water"))))</f>
        <v>0</v>
      </c>
      <c r="BA304" t="b">
        <f>IF(metadata!P304="",FALSE,TRUE)</f>
        <v>0</v>
      </c>
      <c r="BB304" t="b">
        <f>IF(metadata!Q304="",FALSE,TRUE)</f>
        <v>0</v>
      </c>
      <c r="BC304" t="b">
        <f>OR(AND(IF(metadata!R304="",FALSE,TRUE),OR(EXACT(metadata!R304,"missing: not collected"),EXACT(metadata!R304,"missing: not provided"),EXACT(metadata!R304,"missing: restricted access"))),AND(IF(metadata!R304="",FALSE,ISNUMBER(VALUE(metadata!R304))),metadata!R304&gt;=-90,metadata!R304&lt;=90))</f>
        <v>0</v>
      </c>
      <c r="BD304" t="b">
        <f>AND(IF(metadata!S304="",FALSE,TRUE),EXACT(metadata!S304,"Decimal degrees"))</f>
        <v>0</v>
      </c>
      <c r="BE304" t="b">
        <f>OR(AND(IF(metadata!T304="",FALSE,TRUE),OR(EXACT(metadata!T304,"missing: not collected"),EXACT(metadata!T304,"missing: not provided"),EXACT(metadata!T304,"missing: restricted access"))),AND(IF(metadata!T304="",FALSE,ISNUMBER(VALUE(metadata!T304))),metadata!T304&gt;=-180,metadata!T304&lt;=180))</f>
        <v>0</v>
      </c>
      <c r="BF304" t="b">
        <f>AND(IF(metadata!U304="",FALSE,TRUE),EXACT(metadata!U304,"Decimal degrees"))</f>
        <v>0</v>
      </c>
      <c r="BG304" t="b">
        <f>IF(metadata!V304="",FALSE,TRUE)</f>
        <v>0</v>
      </c>
      <c r="BH304" t="b">
        <f>OR(AND(IF(metadata!W304="",FALSE,TRUE),OR(EXACT(metadata!W304,"missing: not collected"),EXACT(metadata!W304,"missing: not provided"),EXACT(metadata!W304,"missing: restricted access"))),AND(IF(metadata!W304="",FALSE,TRUE),OR(EXACT(metadata!W304,"TRUE"),EXACT(metadata!W304,"FALSE"))))</f>
        <v>0</v>
      </c>
      <c r="BI304" t="b">
        <f>AND(IF(metadata!X304="",FALSE,TRUE),EXACT(metadata!X304,"other"))</f>
        <v>0</v>
      </c>
      <c r="BJ304" t="b">
        <f>IF(metadata!Y304="",FALSE,TRUE)</f>
        <v>0</v>
      </c>
      <c r="BK304" t="b">
        <f>OR(AND(IF(metadata!Z304="",FALSE,TRUE),OR(EXACT(metadata!Z304,"missing: not collected"),EXACT(metadata!Z304,"missing: not provided"))),AND(IF(metadata!Z304="",FALSE,IF(ISERROR(INT(metadata!Z304)),FALSE,INT(metadata!Z304)=metadata!Z304)),metadata!Z304&gt;0))</f>
        <v>0</v>
      </c>
      <c r="BL304" t="b">
        <f>AND(IF(metadata!AA304="",FALSE,TRUE),EXACT(metadata!AA304,"Not applicable"))</f>
        <v>0</v>
      </c>
      <c r="BM304" t="b">
        <f>IF(metadata!AB304="",FALSE,TRUE)</f>
        <v>0</v>
      </c>
    </row>
    <row r="305" spans="1:65" x14ac:dyDescent="0.2">
      <c r="A305" s="5" t="str">
        <f ca="1">IF(B305=" "," ",HYPERLINK(CONCATENATE("#metadata!",ADDRESS(INDEX($AH$2:$AH$1001,MATCH(ROWS($AF$2:AF305),$AF$2:$AF$1001,0),0),1)),INDEX($AK$2:$AK$1001,MATCH(ROWS($AF$2:AF305),$AF$2:$AF$1001,0),0)))</f>
        <v xml:space="preserve"> </v>
      </c>
      <c r="B305" s="4" t="str">
        <f ca="1">IF(OR(INDEX($AG$2:$AG$1001,MATCH(ROWS($AF$2:AF305),$AF$2:$AF$1001,0),1)&gt;=100000,INDEX($AM$1005:$BM$1005,1,MATCH(COLUMNS($AM$1006:AM1006),$AM$1006:$BM$1006,0))&gt;=100000), " ",IF(INDEX($AM$2:$BM$1001,MATCH(ROWS($AF$2:AF305),$AF$2:$AF$1001,0),MATCH(COLUMNS($AM$1006:AM1006),$AM$1006:$BM$1006,0)), HYPERLINK("#",""), HYPERLINK(CONCATENATE("#metadata!", ADDRESS(INDEX($AH$2:$AH$1001,MATCH(ROWS($AF$2:AF305),$AF$2:$AF$1001,0),0), INDEX($AM$1004:$BM$1004,1,MATCH(COLUMNS($AM$1006:AM1006),$AM$1006:$BM$1006,0)))),"Fix")))</f>
        <v xml:space="preserve"> </v>
      </c>
      <c r="C305" s="4" t="str">
        <f ca="1">IF(OR(INDEX($AG$2:$AG$1001,MATCH(ROWS($AF$2:AF305),$AF$2:$AF$1001,0),1)&gt;=100000,INDEX($AM$1005:$BM$1005,1,MATCH(COLUMNS($AM$1006:AN1006),$AM$1006:$BM$1006,0))&gt;=100000), " ",IF(INDEX($AM$2:$BM$1001,MATCH(ROWS($AF$2:AF305),$AF$2:$AF$1001,0),MATCH(COLUMNS($AM$1006:AN1006),$AM$1006:$BM$1006,0)), HYPERLINK("#",""), HYPERLINK(CONCATENATE("#metadata!", ADDRESS(INDEX($AH$2:$AH$1001,MATCH(ROWS($AF$2:AF305),$AF$2:$AF$1001,0),0), INDEX($AM$1004:$BM$1004,1,MATCH(COLUMNS($AM$1006:AN1006),$AM$1006:$BM$1006,0)))),"Fix")))</f>
        <v xml:space="preserve"> </v>
      </c>
      <c r="D305" s="4" t="str">
        <f ca="1">IF(OR(INDEX($AG$2:$AG$1001,MATCH(ROWS($AF$2:AF305),$AF$2:$AF$1001,0),1)&gt;=100000,INDEX($AM$1005:$BM$1005,1,MATCH(COLUMNS($AM$1006:AO1006),$AM$1006:$BM$1006,0))&gt;=100000), " ",IF(INDEX($AM$2:$BM$1001,MATCH(ROWS($AF$2:AF305),$AF$2:$AF$1001,0),MATCH(COLUMNS($AM$1006:AO1006),$AM$1006:$BM$1006,0)), HYPERLINK("#",""), HYPERLINK(CONCATENATE("#metadata!", ADDRESS(INDEX($AH$2:$AH$1001,MATCH(ROWS($AF$2:AF305),$AF$2:$AF$1001,0),0), INDEX($AM$1004:$BM$1004,1,MATCH(COLUMNS($AM$1006:AO1006),$AM$1006:$BM$1006,0)))),"Fix")))</f>
        <v xml:space="preserve"> </v>
      </c>
      <c r="E305" s="4" t="str">
        <f ca="1">IF(OR(INDEX($AG$2:$AG$1001,MATCH(ROWS($AF$2:AF305),$AF$2:$AF$1001,0),1)&gt;=100000,INDEX($AM$1005:$BM$1005,1,MATCH(COLUMNS($AM$1006:AP1006),$AM$1006:$BM$1006,0))&gt;=100000), " ",IF(INDEX($AM$2:$BM$1001,MATCH(ROWS($AF$2:AF305),$AF$2:$AF$1001,0),MATCH(COLUMNS($AM$1006:AP1006),$AM$1006:$BM$1006,0)), HYPERLINK("#",""), HYPERLINK(CONCATENATE("#metadata!", ADDRESS(INDEX($AH$2:$AH$1001,MATCH(ROWS($AF$2:AF305),$AF$2:$AF$1001,0),0), INDEX($AM$1004:$BM$1004,1,MATCH(COLUMNS($AM$1006:AP1006),$AM$1006:$BM$1006,0)))),"Fix")))</f>
        <v xml:space="preserve"> </v>
      </c>
      <c r="F305" s="4" t="str">
        <f ca="1">IF(OR(INDEX($AG$2:$AG$1001,MATCH(ROWS($AF$2:AF305),$AF$2:$AF$1001,0),1)&gt;=100000,INDEX($AM$1005:$BM$1005,1,MATCH(COLUMNS($AM$1006:AQ1006),$AM$1006:$BM$1006,0))&gt;=100000), " ",IF(INDEX($AM$2:$BM$1001,MATCH(ROWS($AF$2:AF305),$AF$2:$AF$1001,0),MATCH(COLUMNS($AM$1006:AQ1006),$AM$1006:$BM$1006,0)), HYPERLINK("#",""), HYPERLINK(CONCATENATE("#metadata!", ADDRESS(INDEX($AH$2:$AH$1001,MATCH(ROWS($AF$2:AF305),$AF$2:$AF$1001,0),0), INDEX($AM$1004:$BM$1004,1,MATCH(COLUMNS($AM$1006:AQ1006),$AM$1006:$BM$1006,0)))),"Fix")))</f>
        <v xml:space="preserve"> </v>
      </c>
      <c r="G305" s="4" t="str">
        <f ca="1">IF(OR(INDEX($AG$2:$AG$1001,MATCH(ROWS($AF$2:AF305),$AF$2:$AF$1001,0),1)&gt;=100000,INDEX($AM$1005:$BM$1005,1,MATCH(COLUMNS($AM$1006:AR1006),$AM$1006:$BM$1006,0))&gt;=100000), " ",IF(INDEX($AM$2:$BM$1001,MATCH(ROWS($AF$2:AF305),$AF$2:$AF$1001,0),MATCH(COLUMNS($AM$1006:AR1006),$AM$1006:$BM$1006,0)), HYPERLINK("#",""), HYPERLINK(CONCATENATE("#metadata!", ADDRESS(INDEX($AH$2:$AH$1001,MATCH(ROWS($AF$2:AF305),$AF$2:$AF$1001,0),0), INDEX($AM$1004:$BM$1004,1,MATCH(COLUMNS($AM$1006:AR1006),$AM$1006:$BM$1006,0)))),"Fix")))</f>
        <v xml:space="preserve"> </v>
      </c>
      <c r="H305" s="4" t="str">
        <f ca="1">IF(OR(INDEX($AG$2:$AG$1001,MATCH(ROWS($AF$2:AF305),$AF$2:$AF$1001,0),1)&gt;=100000,INDEX($AM$1005:$BM$1005,1,MATCH(COLUMNS($AM$1006:AS1006),$AM$1006:$BM$1006,0))&gt;=100000), " ",IF(INDEX($AM$2:$BM$1001,MATCH(ROWS($AF$2:AF305),$AF$2:$AF$1001,0),MATCH(COLUMNS($AM$1006:AS1006),$AM$1006:$BM$1006,0)), HYPERLINK("#",""), HYPERLINK(CONCATENATE("#metadata!", ADDRESS(INDEX($AH$2:$AH$1001,MATCH(ROWS($AF$2:AF305),$AF$2:$AF$1001,0),0), INDEX($AM$1004:$BM$1004,1,MATCH(COLUMNS($AM$1006:AS1006),$AM$1006:$BM$1006,0)))),"Fix")))</f>
        <v xml:space="preserve"> </v>
      </c>
      <c r="I305" s="4" t="str">
        <f ca="1">IF(OR(INDEX($AG$2:$AG$1001,MATCH(ROWS($AF$2:AF305),$AF$2:$AF$1001,0),1)&gt;=100000,INDEX($AM$1005:$BM$1005,1,MATCH(COLUMNS($AM$1006:AT1006),$AM$1006:$BM$1006,0))&gt;=100000), " ",IF(INDEX($AM$2:$BM$1001,MATCH(ROWS($AF$2:AF305),$AF$2:$AF$1001,0),MATCH(COLUMNS($AM$1006:AT1006),$AM$1006:$BM$1006,0)), HYPERLINK("#",""), HYPERLINK(CONCATENATE("#metadata!", ADDRESS(INDEX($AH$2:$AH$1001,MATCH(ROWS($AF$2:AF305),$AF$2:$AF$1001,0),0), INDEX($AM$1004:$BM$1004,1,MATCH(COLUMNS($AM$1006:AT1006),$AM$1006:$BM$1006,0)))),"Fix")))</f>
        <v xml:space="preserve"> </v>
      </c>
      <c r="J305" s="4" t="str">
        <f ca="1">IF(OR(INDEX($AG$2:$AG$1001,MATCH(ROWS($AF$2:AF305),$AF$2:$AF$1001,0),1)&gt;=100000,INDEX($AM$1005:$BM$1005,1,MATCH(COLUMNS($AM$1006:AU1006),$AM$1006:$BM$1006,0))&gt;=100000), " ",IF(INDEX($AM$2:$BM$1001,MATCH(ROWS($AF$2:AF305),$AF$2:$AF$1001,0),MATCH(COLUMNS($AM$1006:AU1006),$AM$1006:$BM$1006,0)), HYPERLINK("#",""), HYPERLINK(CONCATENATE("#metadata!", ADDRESS(INDEX($AH$2:$AH$1001,MATCH(ROWS($AF$2:AF305),$AF$2:$AF$1001,0),0), INDEX($AM$1004:$BM$1004,1,MATCH(COLUMNS($AM$1006:AU1006),$AM$1006:$BM$1006,0)))),"Fix")))</f>
        <v xml:space="preserve"> </v>
      </c>
      <c r="K305" s="4" t="str">
        <f ca="1">IF(OR(INDEX($AG$2:$AG$1001,MATCH(ROWS($AF$2:AF305),$AF$2:$AF$1001,0),1)&gt;=100000,INDEX($AM$1005:$BM$1005,1,MATCH(COLUMNS($AM$1006:AV1006),$AM$1006:$BM$1006,0))&gt;=100000), " ",IF(INDEX($AM$2:$BM$1001,MATCH(ROWS($AF$2:AF305),$AF$2:$AF$1001,0),MATCH(COLUMNS($AM$1006:AV1006),$AM$1006:$BM$1006,0)), HYPERLINK("#",""), HYPERLINK(CONCATENATE("#metadata!", ADDRESS(INDEX($AH$2:$AH$1001,MATCH(ROWS($AF$2:AF305),$AF$2:$AF$1001,0),0), INDEX($AM$1004:$BM$1004,1,MATCH(COLUMNS($AM$1006:AV1006),$AM$1006:$BM$1006,0)))),"Fix")))</f>
        <v xml:space="preserve"> </v>
      </c>
      <c r="L305" s="4" t="str">
        <f ca="1">IF(OR(INDEX($AG$2:$AG$1001,MATCH(ROWS($AF$2:AF305),$AF$2:$AF$1001,0),1)&gt;=100000,INDEX($AM$1005:$BM$1005,1,MATCH(COLUMNS($AM$1006:AW1006),$AM$1006:$BM$1006,0))&gt;=100000), " ",IF(INDEX($AM$2:$BM$1001,MATCH(ROWS($AF$2:AF305),$AF$2:$AF$1001,0),MATCH(COLUMNS($AM$1006:AW1006),$AM$1006:$BM$1006,0)), HYPERLINK("#",""), HYPERLINK(CONCATENATE("#metadata!", ADDRESS(INDEX($AH$2:$AH$1001,MATCH(ROWS($AF$2:AF305),$AF$2:$AF$1001,0),0), INDEX($AM$1004:$BM$1004,1,MATCH(COLUMNS($AM$1006:AW1006),$AM$1006:$BM$1006,0)))),"Fix")))</f>
        <v xml:space="preserve"> </v>
      </c>
      <c r="M305" s="4" t="str">
        <f ca="1">IF(OR(INDEX($AG$2:$AG$1001,MATCH(ROWS($AF$2:AF305),$AF$2:$AF$1001,0),1)&gt;=100000,INDEX($AM$1005:$BM$1005,1,MATCH(COLUMNS($AM$1006:AX1006),$AM$1006:$BM$1006,0))&gt;=100000), " ",IF(INDEX($AM$2:$BM$1001,MATCH(ROWS($AF$2:AF305),$AF$2:$AF$1001,0),MATCH(COLUMNS($AM$1006:AX1006),$AM$1006:$BM$1006,0)), HYPERLINK("#",""), HYPERLINK(CONCATENATE("#metadata!", ADDRESS(INDEX($AH$2:$AH$1001,MATCH(ROWS($AF$2:AF305),$AF$2:$AF$1001,0),0), INDEX($AM$1004:$BM$1004,1,MATCH(COLUMNS($AM$1006:AX1006),$AM$1006:$BM$1006,0)))),"Fix")))</f>
        <v xml:space="preserve"> </v>
      </c>
      <c r="N305" s="4" t="str">
        <f ca="1">IF(OR(INDEX($AG$2:$AG$1001,MATCH(ROWS($AF$2:AF305),$AF$2:$AF$1001,0),1)&gt;=100000,INDEX($AM$1005:$BM$1005,1,MATCH(COLUMNS($AM$1006:AY1006),$AM$1006:$BM$1006,0))&gt;=100000), " ",IF(INDEX($AM$2:$BM$1001,MATCH(ROWS($AF$2:AF305),$AF$2:$AF$1001,0),MATCH(COLUMNS($AM$1006:AY1006),$AM$1006:$BM$1006,0)), HYPERLINK("#",""), HYPERLINK(CONCATENATE("#metadata!", ADDRESS(INDEX($AH$2:$AH$1001,MATCH(ROWS($AF$2:AF305),$AF$2:$AF$1001,0),0), INDEX($AM$1004:$BM$1004,1,MATCH(COLUMNS($AM$1006:AY1006),$AM$1006:$BM$1006,0)))),"Fix")))</f>
        <v xml:space="preserve"> </v>
      </c>
      <c r="O305" s="4" t="str">
        <f ca="1">IF(OR(INDEX($AG$2:$AG$1001,MATCH(ROWS($AF$2:AF305),$AF$2:$AF$1001,0),1)&gt;=100000,INDEX($AM$1005:$BM$1005,1,MATCH(COLUMNS($AM$1006:AZ1006),$AM$1006:$BM$1006,0))&gt;=100000), " ",IF(INDEX($AM$2:$BM$1001,MATCH(ROWS($AF$2:AF305),$AF$2:$AF$1001,0),MATCH(COLUMNS($AM$1006:AZ1006),$AM$1006:$BM$1006,0)), HYPERLINK("#",""), HYPERLINK(CONCATENATE("#metadata!", ADDRESS(INDEX($AH$2:$AH$1001,MATCH(ROWS($AF$2:AF305),$AF$2:$AF$1001,0),0), INDEX($AM$1004:$BM$1004,1,MATCH(COLUMNS($AM$1006:AZ1006),$AM$1006:$BM$1006,0)))),"Fix")))</f>
        <v xml:space="preserve"> </v>
      </c>
      <c r="P305" s="4" t="str">
        <f ca="1">IF(OR(INDEX($AG$2:$AG$1001,MATCH(ROWS($AF$2:AF305),$AF$2:$AF$1001,0),1)&gt;=100000,INDEX($AM$1005:$BM$1005,1,MATCH(COLUMNS($AM$1006:BA1006),$AM$1006:$BM$1006,0))&gt;=100000), " ",IF(INDEX($AM$2:$BM$1001,MATCH(ROWS($AF$2:AF305),$AF$2:$AF$1001,0),MATCH(COLUMNS($AM$1006:BA1006),$AM$1006:$BM$1006,0)), HYPERLINK("#",""), HYPERLINK(CONCATENATE("#metadata!", ADDRESS(INDEX($AH$2:$AH$1001,MATCH(ROWS($AF$2:AF305),$AF$2:$AF$1001,0),0), INDEX($AM$1004:$BM$1004,1,MATCH(COLUMNS($AM$1006:BA1006),$AM$1006:$BM$1006,0)))),"Fix")))</f>
        <v xml:space="preserve"> </v>
      </c>
      <c r="Q305" s="4" t="str">
        <f ca="1">IF(OR(INDEX($AG$2:$AG$1001,MATCH(ROWS($AF$2:AF305),$AF$2:$AF$1001,0),1)&gt;=100000,INDEX($AM$1005:$BM$1005,1,MATCH(COLUMNS($AM$1006:BB1006),$AM$1006:$BM$1006,0))&gt;=100000), " ",IF(INDEX($AM$2:$BM$1001,MATCH(ROWS($AF$2:AF305),$AF$2:$AF$1001,0),MATCH(COLUMNS($AM$1006:BB1006),$AM$1006:$BM$1006,0)), HYPERLINK("#",""), HYPERLINK(CONCATENATE("#metadata!", ADDRESS(INDEX($AH$2:$AH$1001,MATCH(ROWS($AF$2:AF305),$AF$2:$AF$1001,0),0), INDEX($AM$1004:$BM$1004,1,MATCH(COLUMNS($AM$1006:BB1006),$AM$1006:$BM$1006,0)))),"Fix")))</f>
        <v xml:space="preserve"> </v>
      </c>
      <c r="R305" s="4" t="str">
        <f ca="1">IF(OR(INDEX($AG$2:$AG$1001,MATCH(ROWS($AF$2:AF305),$AF$2:$AF$1001,0),1)&gt;=100000,INDEX($AM$1005:$BM$1005,1,MATCH(COLUMNS($AM$1006:BC1006),$AM$1006:$BM$1006,0))&gt;=100000), " ",IF(INDEX($AM$2:$BM$1001,MATCH(ROWS($AF$2:AF305),$AF$2:$AF$1001,0),MATCH(COLUMNS($AM$1006:BC1006),$AM$1006:$BM$1006,0)), HYPERLINK("#",""), HYPERLINK(CONCATENATE("#metadata!", ADDRESS(INDEX($AH$2:$AH$1001,MATCH(ROWS($AF$2:AF305),$AF$2:$AF$1001,0),0), INDEX($AM$1004:$BM$1004,1,MATCH(COLUMNS($AM$1006:BC1006),$AM$1006:$BM$1006,0)))),"Fix")))</f>
        <v xml:space="preserve"> </v>
      </c>
      <c r="S305" s="4" t="str">
        <f ca="1">IF(OR(INDEX($AG$2:$AG$1001,MATCH(ROWS($AF$2:AF305),$AF$2:$AF$1001,0),1)&gt;=100000,INDEX($AM$1005:$BM$1005,1,MATCH(COLUMNS($AM$1006:BD1006),$AM$1006:$BM$1006,0))&gt;=100000), " ",IF(INDEX($AM$2:$BM$1001,MATCH(ROWS($AF$2:AF305),$AF$2:$AF$1001,0),MATCH(COLUMNS($AM$1006:BD1006),$AM$1006:$BM$1006,0)), HYPERLINK("#",""), HYPERLINK(CONCATENATE("#metadata!", ADDRESS(INDEX($AH$2:$AH$1001,MATCH(ROWS($AF$2:AF305),$AF$2:$AF$1001,0),0), INDEX($AM$1004:$BM$1004,1,MATCH(COLUMNS($AM$1006:BD1006),$AM$1006:$BM$1006,0)))),"Fix")))</f>
        <v xml:space="preserve"> </v>
      </c>
      <c r="T305" s="4" t="str">
        <f ca="1">IF(OR(INDEX($AG$2:$AG$1001,MATCH(ROWS($AF$2:AF305),$AF$2:$AF$1001,0),1)&gt;=100000,INDEX($AM$1005:$BM$1005,1,MATCH(COLUMNS($AM$1006:BE1006),$AM$1006:$BM$1006,0))&gt;=100000), " ",IF(INDEX($AM$2:$BM$1001,MATCH(ROWS($AF$2:AF305),$AF$2:$AF$1001,0),MATCH(COLUMNS($AM$1006:BE1006),$AM$1006:$BM$1006,0)), HYPERLINK("#",""), HYPERLINK(CONCATENATE("#metadata!", ADDRESS(INDEX($AH$2:$AH$1001,MATCH(ROWS($AF$2:AF305),$AF$2:$AF$1001,0),0), INDEX($AM$1004:$BM$1004,1,MATCH(COLUMNS($AM$1006:BE1006),$AM$1006:$BM$1006,0)))),"Fix")))</f>
        <v xml:space="preserve"> </v>
      </c>
      <c r="U305" s="4" t="str">
        <f ca="1">IF(OR(INDEX($AG$2:$AG$1001,MATCH(ROWS($AF$2:AF305),$AF$2:$AF$1001,0),1)&gt;=100000,INDEX($AM$1005:$BM$1005,1,MATCH(COLUMNS($AM$1006:BF1006),$AM$1006:$BM$1006,0))&gt;=100000), " ",IF(INDEX($AM$2:$BM$1001,MATCH(ROWS($AF$2:AF305),$AF$2:$AF$1001,0),MATCH(COLUMNS($AM$1006:BF1006),$AM$1006:$BM$1006,0)), HYPERLINK("#",""), HYPERLINK(CONCATENATE("#metadata!", ADDRESS(INDEX($AH$2:$AH$1001,MATCH(ROWS($AF$2:AF305),$AF$2:$AF$1001,0),0), INDEX($AM$1004:$BM$1004,1,MATCH(COLUMNS($AM$1006:BF1006),$AM$1006:$BM$1006,0)))),"Fix")))</f>
        <v xml:space="preserve"> </v>
      </c>
      <c r="V305" s="4" t="str">
        <f ca="1">IF(OR(INDEX($AG$2:$AG$1001,MATCH(ROWS($AF$2:AF305),$AF$2:$AF$1001,0),1)&gt;=100000,INDEX($AM$1005:$BM$1005,1,MATCH(COLUMNS($AM$1006:BG1006),$AM$1006:$BM$1006,0))&gt;=100000), " ",IF(INDEX($AM$2:$BM$1001,MATCH(ROWS($AF$2:AF305),$AF$2:$AF$1001,0),MATCH(COLUMNS($AM$1006:BG1006),$AM$1006:$BM$1006,0)), HYPERLINK("#",""), HYPERLINK(CONCATENATE("#metadata!", ADDRESS(INDEX($AH$2:$AH$1001,MATCH(ROWS($AF$2:AF305),$AF$2:$AF$1001,0),0), INDEX($AM$1004:$BM$1004,1,MATCH(COLUMNS($AM$1006:BG1006),$AM$1006:$BM$1006,0)))),"Fix")))</f>
        <v xml:space="preserve"> </v>
      </c>
      <c r="W305" s="4" t="str">
        <f ca="1">IF(OR(INDEX($AG$2:$AG$1001,MATCH(ROWS($AF$2:AF305),$AF$2:$AF$1001,0),1)&gt;=100000,INDEX($AM$1005:$BM$1005,1,MATCH(COLUMNS($AM$1006:BH1006),$AM$1006:$BM$1006,0))&gt;=100000), " ",IF(INDEX($AM$2:$BM$1001,MATCH(ROWS($AF$2:AF305),$AF$2:$AF$1001,0),MATCH(COLUMNS($AM$1006:BH1006),$AM$1006:$BM$1006,0)), HYPERLINK("#",""), HYPERLINK(CONCATENATE("#metadata!", ADDRESS(INDEX($AH$2:$AH$1001,MATCH(ROWS($AF$2:AF305),$AF$2:$AF$1001,0),0), INDEX($AM$1004:$BM$1004,1,MATCH(COLUMNS($AM$1006:BH1006),$AM$1006:$BM$1006,0)))),"Fix")))</f>
        <v xml:space="preserve"> </v>
      </c>
      <c r="X305" s="4" t="str">
        <f ca="1">IF(OR(INDEX($AG$2:$AG$1001,MATCH(ROWS($AF$2:AF305),$AF$2:$AF$1001,0),1)&gt;=100000,INDEX($AM$1005:$BM$1005,1,MATCH(COLUMNS($AM$1006:BI1006),$AM$1006:$BM$1006,0))&gt;=100000), " ",IF(INDEX($AM$2:$BM$1001,MATCH(ROWS($AF$2:AF305),$AF$2:$AF$1001,0),MATCH(COLUMNS($AM$1006:BI1006),$AM$1006:$BM$1006,0)), HYPERLINK("#",""), HYPERLINK(CONCATENATE("#metadata!", ADDRESS(INDEX($AH$2:$AH$1001,MATCH(ROWS($AF$2:AF305),$AF$2:$AF$1001,0),0), INDEX($AM$1004:$BM$1004,1,MATCH(COLUMNS($AM$1006:BI1006),$AM$1006:$BM$1006,0)))),"Fix")))</f>
        <v xml:space="preserve"> </v>
      </c>
      <c r="Y305" s="4" t="str">
        <f ca="1">IF(OR(INDEX($AG$2:$AG$1001,MATCH(ROWS($AF$2:AF305),$AF$2:$AF$1001,0),1)&gt;=100000,INDEX($AM$1005:$BM$1005,1,MATCH(COLUMNS($AM$1006:BJ1006),$AM$1006:$BM$1006,0))&gt;=100000), " ",IF(INDEX($AM$2:$BM$1001,MATCH(ROWS($AF$2:AF305),$AF$2:$AF$1001,0),MATCH(COLUMNS($AM$1006:BJ1006),$AM$1006:$BM$1006,0)), HYPERLINK("#",""), HYPERLINK(CONCATENATE("#metadata!", ADDRESS(INDEX($AH$2:$AH$1001,MATCH(ROWS($AF$2:AF305),$AF$2:$AF$1001,0),0), INDEX($AM$1004:$BM$1004,1,MATCH(COLUMNS($AM$1006:BJ1006),$AM$1006:$BM$1006,0)))),"Fix")))</f>
        <v xml:space="preserve"> </v>
      </c>
      <c r="Z305" s="4" t="str">
        <f ca="1">IF(OR(INDEX($AG$2:$AG$1001,MATCH(ROWS($AF$2:AF305),$AF$2:$AF$1001,0),1)&gt;=100000,INDEX($AM$1005:$BM$1005,1,MATCH(COLUMNS($AM$1006:BK1006),$AM$1006:$BM$1006,0))&gt;=100000), " ",IF(INDEX($AM$2:$BM$1001,MATCH(ROWS($AF$2:AF305),$AF$2:$AF$1001,0),MATCH(COLUMNS($AM$1006:BK1006),$AM$1006:$BM$1006,0)), HYPERLINK("#",""), HYPERLINK(CONCATENATE("#metadata!", ADDRESS(INDEX($AH$2:$AH$1001,MATCH(ROWS($AF$2:AF305),$AF$2:$AF$1001,0),0), INDEX($AM$1004:$BM$1004,1,MATCH(COLUMNS($AM$1006:BK1006),$AM$1006:$BM$1006,0)))),"Fix")))</f>
        <v xml:space="preserve"> </v>
      </c>
      <c r="AA305" s="4" t="str">
        <f ca="1">IF(OR(INDEX($AG$2:$AG$1001,MATCH(ROWS($AF$2:AF305),$AF$2:$AF$1001,0),1)&gt;=100000,INDEX($AM$1005:$BM$1005,1,MATCH(COLUMNS($AM$1006:BL1006),$AM$1006:$BM$1006,0))&gt;=100000), " ",IF(INDEX($AM$2:$BM$1001,MATCH(ROWS($AF$2:AF305),$AF$2:$AF$1001,0),MATCH(COLUMNS($AM$1006:BL1006),$AM$1006:$BM$1006,0)), HYPERLINK("#",""), HYPERLINK(CONCATENATE("#metadata!", ADDRESS(INDEX($AH$2:$AH$1001,MATCH(ROWS($AF$2:AF305),$AF$2:$AF$1001,0),0), INDEX($AM$1004:$BM$1004,1,MATCH(COLUMNS($AM$1006:BL1006),$AM$1006:$BM$1006,0)))),"Fix")))</f>
        <v xml:space="preserve"> </v>
      </c>
      <c r="AB305" s="4" t="str">
        <f ca="1">IF(OR(INDEX($AG$2:$AG$1001,MATCH(ROWS($AF$2:AF305),$AF$2:$AF$1001,0),1)&gt;=100000,INDEX($AM$1005:$BM$1005,1,MATCH(COLUMNS($AM$1006:BM1006),$AM$1006:$BM$1006,0))&gt;=100000), " ",IF(INDEX($AM$2:$BM$1001,MATCH(ROWS($AF$2:AF305),$AF$2:$AF$1001,0),MATCH(COLUMNS($AM$1006:BM1006),$AM$1006:$BM$1006,0)), HYPERLINK("#",""), HYPERLINK(CONCATENATE("#metadata!", ADDRESS(INDEX($AH$2:$AH$1001,MATCH(ROWS($AF$2:AF305),$AF$2:$AF$1001,0),0), INDEX($AM$1004:$BM$1004,1,MATCH(COLUMNS($AM$1006:BM1006),$AM$1006:$BM$1006,0)))),"Fix")))</f>
        <v xml:space="preserve"> </v>
      </c>
      <c r="AF305">
        <v>304</v>
      </c>
      <c r="AG305">
        <v>100305</v>
      </c>
      <c r="AH305">
        <v>305</v>
      </c>
      <c r="AI305" t="b">
        <f t="shared" si="4"/>
        <v>1</v>
      </c>
      <c r="AJ305" t="b">
        <f>COUNTBLANK(metadata!B305:AB305)=COLUMNS(metadata!B305:AB305)</f>
        <v>1</v>
      </c>
      <c r="AK305" t="str">
        <v/>
      </c>
      <c r="AM305" t="b">
        <f ca="1">AND(IF(metadata!B305="",FALSE,TRUE),COUNTIF(metadata!B:B, metadata!B305) = 1,NOT(ISERROR(SUMPRODUCT(SEARCH(MID(metadata!B305,ROW(INDIRECT("1:"&amp;LEN(metadata!B305))), 1),"0123456789abcdefghijklmnopqrstuvwxyzABCDEFGHIJKLMNOPQRSTUVWXYZ.")))))</f>
        <v>0</v>
      </c>
      <c r="AN305" t="b">
        <f ca="1">OR(AND(IF(metadata!C305="",FALSE,TRUE),OR(EXACT(metadata!C305,"missing: not collected"),EXACT(metadata!C305,"missing: not provided"),EXACT(metadata!C305,"missing: restricted access"))),AND(IF(metadata!C305="",FALSE,TRUE),AND(AND(IFERROR(INT(LEFT(metadata!C305,4))&gt;1900,FALSE),IFERROR(INT(LEFT(metadata!C305,4))&lt;=YEAR(NOW()),FALSE)), OR(MID(metadata!C305,5,1)="", AND(AND(MID(metadata!C305,5,1)="-",IFERROR(INT(MID(metadata!C305,6,1))&gt;=0,FALSE),IFERROR(INT(MID(metadata!C305,6,1))&lt;=1,FALSE),NOT(MID(metadata!C305,7,1)=""),IFERROR(INT(MID(metadata!C305,6,2))&gt;=1,FALSE),IFERROR(INT(MID(metadata!C305,6,2))&lt;=12,FALSE)), OR(MID(metadata!C305,8,1)="", AND(AND(MID(metadata!C305,8,1)="-",IFERROR(INT(MID(metadata!C305,9,1))&gt;=0,FALSE),IFERROR(INT(MID(metadata!C305,9,1))&lt;=3,FALSE),NOT(MID(metadata!C305,10,1)=""),IFERROR(INT(MID(metadata!C305,9,2))&gt;=1,FALSE),IFERROR(INT(MID(metadata!C305,9,2))&lt;=31,FALSE)), OR(MID(metadata!C305,11,1)="", AND(AND(MID(metadata!C305,11,1)=" ",IFERROR(INT(MID(metadata!C305,12,1))&gt;=0,FALSE),IFERROR(INT(MID(metadata!C305,12,1))&lt;=2,FALSE),NOT(MID(metadata!C305,13,1)=""),IFERROR(INT(MID(metadata!C305,12,2))&gt;=0,FALSE),IFERROR(INT(MID(metadata!C305,12,2))&lt;=23,FALSE)), OR(MID(metadata!C305,14,1)="", AND(AND(MID(metadata!C305,14,1)=":",IFERROR(INT(MID(metadata!C305,15,1))&gt;=0,FALSE),IFERROR(INT(MID(metadata!C305,15,1))&lt;=5,FALSE),NOT(MID(metadata!C305,16,1)=""),IFERROR(INT(MID(metadata!C305,15,2))&gt;=0,FALSE),IFERROR(INT(MID(metadata!C305,15,2))&lt;=59,FALSE)), OR(MID(metadata!C305,17,1)="", AND(AND(MID(metadata!C305,17,1)=":",IFERROR(INT(MID(metadata!C305,18,1))&gt;=0,FALSE),IFERROR(INT(MID(metadata!C305,18,1))&lt;=5,FALSE),NOT(MID(metadata!C305,19,1)=""),IFERROR(INT(MID(metadata!C305,18,2))&gt;=0,FALSE),IFERROR(INT(MID(metadata!C305,18,2))&lt;=59,FALSE)), LEN(metadata!C305)&lt;=19)))))))))))))</f>
        <v>0</v>
      </c>
      <c r="AO305" t="b">
        <f>AND(IF(metadata!D305="",FALSE,TRUE),EXACT(metadata!D305,"Not applicable"))</f>
        <v>0</v>
      </c>
      <c r="AP305" t="b">
        <f>IF(metadata!E305="",FALSE,TRUE)</f>
        <v>0</v>
      </c>
      <c r="AQ305" t="b">
        <f>OR(AND(IF(metadata!F305="",FALSE,TRUE),OR(EXACT(metadata!F305,"missing: not collected"),EXACT(metadata!F305,"missing: not provided"))),AND(IF(metadata!F305="",FALSE,TRUE),OR(EXACT(metadata!F305,"TRUE"),EXACT(metadata!F305,"FALSE"))))</f>
        <v>0</v>
      </c>
      <c r="AR305" t="b">
        <f>OR(AND(IF(metadata!G305="",FALSE,TRUE),OR(EXACT(metadata!G305,"missing: not collected"),EXACT(metadata!G305,"missing: not provided"),EXACT(metadata!G305,"missing: restricted access"))),AND(IF(metadata!G305="",FALSE,ISNUMBER(VALUE(metadata!G305))),metadata!G305&gt;=-413))</f>
        <v>0</v>
      </c>
      <c r="AS305" t="b">
        <f>AND(IF(metadata!H305="",FALSE,TRUE),EXACT(metadata!H305,"meters"))</f>
        <v>0</v>
      </c>
      <c r="AT305" t="b">
        <f>AND(IF(metadata!I305="",FALSE,TRUE),OR(EXACT(metadata!I305,"Host-associated"),EXACT(metadata!I305,"Free-living")))</f>
        <v>0</v>
      </c>
      <c r="AU305" t="b">
        <f>AND(IF(metadata!J305="",FALSE,TRUE),OR(EXACT(metadata!J305,"Animal"),EXACT(metadata!J305,"Fungus"),EXACT(metadata!J305,"Plant"),EXACT(metadata!J305,"Saline"),EXACT(metadata!J305,"Non-saline")))</f>
        <v>0</v>
      </c>
      <c r="AV305" t="b">
        <f>AND(IF(metadata!K305="",FALSE,TRUE),OR(EXACT(metadata!K305,"Plant secretion"),EXACT(metadata!K305,"Plant rhizosphere"),EXACT(metadata!K305,"Plant surface"),EXACT(metadata!K305,"Plant corpus"),EXACT(metadata!K305,"Fungus surface"),EXACT(metadata!K305,"Fungus corpus"),EXACT(metadata!K305,"Animal surface"),EXACT(metadata!K305,"Animal proximal gut"),EXACT(metadata!K305,"Animal corpus"),EXACT(metadata!K305,"Animal distal gut"),EXACT(metadata!K305,"Animal secretion"),EXACT(metadata!K305,"Sub-surface (non-saline)"),EXACT(metadata!K305,"Surface (non-saline)"),EXACT(metadata!K305,"Water (non-saline)"),EXACT(metadata!K305,"Soil (non-saline)"),EXACT(metadata!K305,"Aerosol (non-saline)"),EXACT(metadata!K305,"Sediment (non-saline)"),EXACT(metadata!K305,"Surface (saline)"),EXACT(metadata!K305,"Water (saline)"),EXACT(metadata!K305,"Hypersaline (saline)"),EXACT(metadata!K305,"Aerosol (saline)"),EXACT(metadata!K305,"Sediment (saline)")))</f>
        <v>0</v>
      </c>
      <c r="AW305" t="b">
        <f>IF(metadata!L305="",FALSE,TRUE)</f>
        <v>0</v>
      </c>
      <c r="AX305" t="b">
        <f>IF(metadata!M305="",FALSE,TRUE)</f>
        <v>0</v>
      </c>
      <c r="AY305" t="b">
        <f>IF(metadata!N305="",FALSE,TRUE)</f>
        <v>0</v>
      </c>
      <c r="AZ305" t="b">
        <f>OR(AND(IF(metadata!O305="",FALSE,TRUE),OR(EXACT(metadata!O305,"missing: not collected"),EXACT(metadata!O305,"missing: not provided"),EXACT(metadata!O305,"missing: restricted access"))),AND(IF(metadata!O305="",FALSE,TRUE),OR(EXACT(metadata!O305,"air"),EXACT(metadata!O305,"built environment"),EXACT(metadata!O305,"host-associated"),EXACT(metadata!O305,"human-associated"),EXACT(metadata!O305,"human-skin"),EXACT(metadata!O305,"human-oral"),EXACT(metadata!O305,"human-gut"),EXACT(metadata!O305,"human-vaginal"),EXACT(metadata!O305,"microbial mat/biofilm"),EXACT(metadata!O305,"misc environment"),EXACT(metadata!O305,"plant-associated"),EXACT(metadata!O305,"sediment"),EXACT(metadata!O305,"soil"),EXACT(metadata!O305,"wastewater/sludge"),EXACT(metadata!O305,"water"))))</f>
        <v>0</v>
      </c>
      <c r="BA305" t="b">
        <f>IF(metadata!P305="",FALSE,TRUE)</f>
        <v>0</v>
      </c>
      <c r="BB305" t="b">
        <f>IF(metadata!Q305="",FALSE,TRUE)</f>
        <v>0</v>
      </c>
      <c r="BC305" t="b">
        <f>OR(AND(IF(metadata!R305="",FALSE,TRUE),OR(EXACT(metadata!R305,"missing: not collected"),EXACT(metadata!R305,"missing: not provided"),EXACT(metadata!R305,"missing: restricted access"))),AND(IF(metadata!R305="",FALSE,ISNUMBER(VALUE(metadata!R305))),metadata!R305&gt;=-90,metadata!R305&lt;=90))</f>
        <v>0</v>
      </c>
      <c r="BD305" t="b">
        <f>AND(IF(metadata!S305="",FALSE,TRUE),EXACT(metadata!S305,"Decimal degrees"))</f>
        <v>0</v>
      </c>
      <c r="BE305" t="b">
        <f>OR(AND(IF(metadata!T305="",FALSE,TRUE),OR(EXACT(metadata!T305,"missing: not collected"),EXACT(metadata!T305,"missing: not provided"),EXACT(metadata!T305,"missing: restricted access"))),AND(IF(metadata!T305="",FALSE,ISNUMBER(VALUE(metadata!T305))),metadata!T305&gt;=-180,metadata!T305&lt;=180))</f>
        <v>0</v>
      </c>
      <c r="BF305" t="b">
        <f>AND(IF(metadata!U305="",FALSE,TRUE),EXACT(metadata!U305,"Decimal degrees"))</f>
        <v>0</v>
      </c>
      <c r="BG305" t="b">
        <f>IF(metadata!V305="",FALSE,TRUE)</f>
        <v>0</v>
      </c>
      <c r="BH305" t="b">
        <f>OR(AND(IF(metadata!W305="",FALSE,TRUE),OR(EXACT(metadata!W305,"missing: not collected"),EXACT(metadata!W305,"missing: not provided"),EXACT(metadata!W305,"missing: restricted access"))),AND(IF(metadata!W305="",FALSE,TRUE),OR(EXACT(metadata!W305,"TRUE"),EXACT(metadata!W305,"FALSE"))))</f>
        <v>0</v>
      </c>
      <c r="BI305" t="b">
        <f>AND(IF(metadata!X305="",FALSE,TRUE),EXACT(metadata!X305,"other"))</f>
        <v>0</v>
      </c>
      <c r="BJ305" t="b">
        <f>IF(metadata!Y305="",FALSE,TRUE)</f>
        <v>0</v>
      </c>
      <c r="BK305" t="b">
        <f>OR(AND(IF(metadata!Z305="",FALSE,TRUE),OR(EXACT(metadata!Z305,"missing: not collected"),EXACT(metadata!Z305,"missing: not provided"))),AND(IF(metadata!Z305="",FALSE,IF(ISERROR(INT(metadata!Z305)),FALSE,INT(metadata!Z305)=metadata!Z305)),metadata!Z305&gt;0))</f>
        <v>0</v>
      </c>
      <c r="BL305" t="b">
        <f>AND(IF(metadata!AA305="",FALSE,TRUE),EXACT(metadata!AA305,"Not applicable"))</f>
        <v>0</v>
      </c>
      <c r="BM305" t="b">
        <f>IF(metadata!AB305="",FALSE,TRUE)</f>
        <v>0</v>
      </c>
    </row>
    <row r="306" spans="1:65" x14ac:dyDescent="0.2">
      <c r="A306" s="5" t="str">
        <f ca="1">IF(B306=" "," ",HYPERLINK(CONCATENATE("#metadata!",ADDRESS(INDEX($AH$2:$AH$1001,MATCH(ROWS($AF$2:AF306),$AF$2:$AF$1001,0),0),1)),INDEX($AK$2:$AK$1001,MATCH(ROWS($AF$2:AF306),$AF$2:$AF$1001,0),0)))</f>
        <v xml:space="preserve"> </v>
      </c>
      <c r="B306" s="4" t="str">
        <f ca="1">IF(OR(INDEX($AG$2:$AG$1001,MATCH(ROWS($AF$2:AF306),$AF$2:$AF$1001,0),1)&gt;=100000,INDEX($AM$1005:$BM$1005,1,MATCH(COLUMNS($AM$1006:AM1006),$AM$1006:$BM$1006,0))&gt;=100000), " ",IF(INDEX($AM$2:$BM$1001,MATCH(ROWS($AF$2:AF306),$AF$2:$AF$1001,0),MATCH(COLUMNS($AM$1006:AM1006),$AM$1006:$BM$1006,0)), HYPERLINK("#",""), HYPERLINK(CONCATENATE("#metadata!", ADDRESS(INDEX($AH$2:$AH$1001,MATCH(ROWS($AF$2:AF306),$AF$2:$AF$1001,0),0), INDEX($AM$1004:$BM$1004,1,MATCH(COLUMNS($AM$1006:AM1006),$AM$1006:$BM$1006,0)))),"Fix")))</f>
        <v xml:space="preserve"> </v>
      </c>
      <c r="C306" s="4" t="str">
        <f ca="1">IF(OR(INDEX($AG$2:$AG$1001,MATCH(ROWS($AF$2:AF306),$AF$2:$AF$1001,0),1)&gt;=100000,INDEX($AM$1005:$BM$1005,1,MATCH(COLUMNS($AM$1006:AN1006),$AM$1006:$BM$1006,0))&gt;=100000), " ",IF(INDEX($AM$2:$BM$1001,MATCH(ROWS($AF$2:AF306),$AF$2:$AF$1001,0),MATCH(COLUMNS($AM$1006:AN1006),$AM$1006:$BM$1006,0)), HYPERLINK("#",""), HYPERLINK(CONCATENATE("#metadata!", ADDRESS(INDEX($AH$2:$AH$1001,MATCH(ROWS($AF$2:AF306),$AF$2:$AF$1001,0),0), INDEX($AM$1004:$BM$1004,1,MATCH(COLUMNS($AM$1006:AN1006),$AM$1006:$BM$1006,0)))),"Fix")))</f>
        <v xml:space="preserve"> </v>
      </c>
      <c r="D306" s="4" t="str">
        <f ca="1">IF(OR(INDEX($AG$2:$AG$1001,MATCH(ROWS($AF$2:AF306),$AF$2:$AF$1001,0),1)&gt;=100000,INDEX($AM$1005:$BM$1005,1,MATCH(COLUMNS($AM$1006:AO1006),$AM$1006:$BM$1006,0))&gt;=100000), " ",IF(INDEX($AM$2:$BM$1001,MATCH(ROWS($AF$2:AF306),$AF$2:$AF$1001,0),MATCH(COLUMNS($AM$1006:AO1006),$AM$1006:$BM$1006,0)), HYPERLINK("#",""), HYPERLINK(CONCATENATE("#metadata!", ADDRESS(INDEX($AH$2:$AH$1001,MATCH(ROWS($AF$2:AF306),$AF$2:$AF$1001,0),0), INDEX($AM$1004:$BM$1004,1,MATCH(COLUMNS($AM$1006:AO1006),$AM$1006:$BM$1006,0)))),"Fix")))</f>
        <v xml:space="preserve"> </v>
      </c>
      <c r="E306" s="4" t="str">
        <f ca="1">IF(OR(INDEX($AG$2:$AG$1001,MATCH(ROWS($AF$2:AF306),$AF$2:$AF$1001,0),1)&gt;=100000,INDEX($AM$1005:$BM$1005,1,MATCH(COLUMNS($AM$1006:AP1006),$AM$1006:$BM$1006,0))&gt;=100000), " ",IF(INDEX($AM$2:$BM$1001,MATCH(ROWS($AF$2:AF306),$AF$2:$AF$1001,0),MATCH(COLUMNS($AM$1006:AP1006),$AM$1006:$BM$1006,0)), HYPERLINK("#",""), HYPERLINK(CONCATENATE("#metadata!", ADDRESS(INDEX($AH$2:$AH$1001,MATCH(ROWS($AF$2:AF306),$AF$2:$AF$1001,0),0), INDEX($AM$1004:$BM$1004,1,MATCH(COLUMNS($AM$1006:AP1006),$AM$1006:$BM$1006,0)))),"Fix")))</f>
        <v xml:space="preserve"> </v>
      </c>
      <c r="F306" s="4" t="str">
        <f ca="1">IF(OR(INDEX($AG$2:$AG$1001,MATCH(ROWS($AF$2:AF306),$AF$2:$AF$1001,0),1)&gt;=100000,INDEX($AM$1005:$BM$1005,1,MATCH(COLUMNS($AM$1006:AQ1006),$AM$1006:$BM$1006,0))&gt;=100000), " ",IF(INDEX($AM$2:$BM$1001,MATCH(ROWS($AF$2:AF306),$AF$2:$AF$1001,0),MATCH(COLUMNS($AM$1006:AQ1006),$AM$1006:$BM$1006,0)), HYPERLINK("#",""), HYPERLINK(CONCATENATE("#metadata!", ADDRESS(INDEX($AH$2:$AH$1001,MATCH(ROWS($AF$2:AF306),$AF$2:$AF$1001,0),0), INDEX($AM$1004:$BM$1004,1,MATCH(COLUMNS($AM$1006:AQ1006),$AM$1006:$BM$1006,0)))),"Fix")))</f>
        <v xml:space="preserve"> </v>
      </c>
      <c r="G306" s="4" t="str">
        <f ca="1">IF(OR(INDEX($AG$2:$AG$1001,MATCH(ROWS($AF$2:AF306),$AF$2:$AF$1001,0),1)&gt;=100000,INDEX($AM$1005:$BM$1005,1,MATCH(COLUMNS($AM$1006:AR1006),$AM$1006:$BM$1006,0))&gt;=100000), " ",IF(INDEX($AM$2:$BM$1001,MATCH(ROWS($AF$2:AF306),$AF$2:$AF$1001,0),MATCH(COLUMNS($AM$1006:AR1006),$AM$1006:$BM$1006,0)), HYPERLINK("#",""), HYPERLINK(CONCATENATE("#metadata!", ADDRESS(INDEX($AH$2:$AH$1001,MATCH(ROWS($AF$2:AF306),$AF$2:$AF$1001,0),0), INDEX($AM$1004:$BM$1004,1,MATCH(COLUMNS($AM$1006:AR1006),$AM$1006:$BM$1006,0)))),"Fix")))</f>
        <v xml:space="preserve"> </v>
      </c>
      <c r="H306" s="4" t="str">
        <f ca="1">IF(OR(INDEX($AG$2:$AG$1001,MATCH(ROWS($AF$2:AF306),$AF$2:$AF$1001,0),1)&gt;=100000,INDEX($AM$1005:$BM$1005,1,MATCH(COLUMNS($AM$1006:AS1006),$AM$1006:$BM$1006,0))&gt;=100000), " ",IF(INDEX($AM$2:$BM$1001,MATCH(ROWS($AF$2:AF306),$AF$2:$AF$1001,0),MATCH(COLUMNS($AM$1006:AS1006),$AM$1006:$BM$1006,0)), HYPERLINK("#",""), HYPERLINK(CONCATENATE("#metadata!", ADDRESS(INDEX($AH$2:$AH$1001,MATCH(ROWS($AF$2:AF306),$AF$2:$AF$1001,0),0), INDEX($AM$1004:$BM$1004,1,MATCH(COLUMNS($AM$1006:AS1006),$AM$1006:$BM$1006,0)))),"Fix")))</f>
        <v xml:space="preserve"> </v>
      </c>
      <c r="I306" s="4" t="str">
        <f ca="1">IF(OR(INDEX($AG$2:$AG$1001,MATCH(ROWS($AF$2:AF306),$AF$2:$AF$1001,0),1)&gt;=100000,INDEX($AM$1005:$BM$1005,1,MATCH(COLUMNS($AM$1006:AT1006),$AM$1006:$BM$1006,0))&gt;=100000), " ",IF(INDEX($AM$2:$BM$1001,MATCH(ROWS($AF$2:AF306),$AF$2:$AF$1001,0),MATCH(COLUMNS($AM$1006:AT1006),$AM$1006:$BM$1006,0)), HYPERLINK("#",""), HYPERLINK(CONCATENATE("#metadata!", ADDRESS(INDEX($AH$2:$AH$1001,MATCH(ROWS($AF$2:AF306),$AF$2:$AF$1001,0),0), INDEX($AM$1004:$BM$1004,1,MATCH(COLUMNS($AM$1006:AT1006),$AM$1006:$BM$1006,0)))),"Fix")))</f>
        <v xml:space="preserve"> </v>
      </c>
      <c r="J306" s="4" t="str">
        <f ca="1">IF(OR(INDEX($AG$2:$AG$1001,MATCH(ROWS($AF$2:AF306),$AF$2:$AF$1001,0),1)&gt;=100000,INDEX($AM$1005:$BM$1005,1,MATCH(COLUMNS($AM$1006:AU1006),$AM$1006:$BM$1006,0))&gt;=100000), " ",IF(INDEX($AM$2:$BM$1001,MATCH(ROWS($AF$2:AF306),$AF$2:$AF$1001,0),MATCH(COLUMNS($AM$1006:AU1006),$AM$1006:$BM$1006,0)), HYPERLINK("#",""), HYPERLINK(CONCATENATE("#metadata!", ADDRESS(INDEX($AH$2:$AH$1001,MATCH(ROWS($AF$2:AF306),$AF$2:$AF$1001,0),0), INDEX($AM$1004:$BM$1004,1,MATCH(COLUMNS($AM$1006:AU1006),$AM$1006:$BM$1006,0)))),"Fix")))</f>
        <v xml:space="preserve"> </v>
      </c>
      <c r="K306" s="4" t="str">
        <f ca="1">IF(OR(INDEX($AG$2:$AG$1001,MATCH(ROWS($AF$2:AF306),$AF$2:$AF$1001,0),1)&gt;=100000,INDEX($AM$1005:$BM$1005,1,MATCH(COLUMNS($AM$1006:AV1006),$AM$1006:$BM$1006,0))&gt;=100000), " ",IF(INDEX($AM$2:$BM$1001,MATCH(ROWS($AF$2:AF306),$AF$2:$AF$1001,0),MATCH(COLUMNS($AM$1006:AV1006),$AM$1006:$BM$1006,0)), HYPERLINK("#",""), HYPERLINK(CONCATENATE("#metadata!", ADDRESS(INDEX($AH$2:$AH$1001,MATCH(ROWS($AF$2:AF306),$AF$2:$AF$1001,0),0), INDEX($AM$1004:$BM$1004,1,MATCH(COLUMNS($AM$1006:AV1006),$AM$1006:$BM$1006,0)))),"Fix")))</f>
        <v xml:space="preserve"> </v>
      </c>
      <c r="L306" s="4" t="str">
        <f ca="1">IF(OR(INDEX($AG$2:$AG$1001,MATCH(ROWS($AF$2:AF306),$AF$2:$AF$1001,0),1)&gt;=100000,INDEX($AM$1005:$BM$1005,1,MATCH(COLUMNS($AM$1006:AW1006),$AM$1006:$BM$1006,0))&gt;=100000), " ",IF(INDEX($AM$2:$BM$1001,MATCH(ROWS($AF$2:AF306),$AF$2:$AF$1001,0),MATCH(COLUMNS($AM$1006:AW1006),$AM$1006:$BM$1006,0)), HYPERLINK("#",""), HYPERLINK(CONCATENATE("#metadata!", ADDRESS(INDEX($AH$2:$AH$1001,MATCH(ROWS($AF$2:AF306),$AF$2:$AF$1001,0),0), INDEX($AM$1004:$BM$1004,1,MATCH(COLUMNS($AM$1006:AW1006),$AM$1006:$BM$1006,0)))),"Fix")))</f>
        <v xml:space="preserve"> </v>
      </c>
      <c r="M306" s="4" t="str">
        <f ca="1">IF(OR(INDEX($AG$2:$AG$1001,MATCH(ROWS($AF$2:AF306),$AF$2:$AF$1001,0),1)&gt;=100000,INDEX($AM$1005:$BM$1005,1,MATCH(COLUMNS($AM$1006:AX1006),$AM$1006:$BM$1006,0))&gt;=100000), " ",IF(INDEX($AM$2:$BM$1001,MATCH(ROWS($AF$2:AF306),$AF$2:$AF$1001,0),MATCH(COLUMNS($AM$1006:AX1006),$AM$1006:$BM$1006,0)), HYPERLINK("#",""), HYPERLINK(CONCATENATE("#metadata!", ADDRESS(INDEX($AH$2:$AH$1001,MATCH(ROWS($AF$2:AF306),$AF$2:$AF$1001,0),0), INDEX($AM$1004:$BM$1004,1,MATCH(COLUMNS($AM$1006:AX1006),$AM$1006:$BM$1006,0)))),"Fix")))</f>
        <v xml:space="preserve"> </v>
      </c>
      <c r="N306" s="4" t="str">
        <f ca="1">IF(OR(INDEX($AG$2:$AG$1001,MATCH(ROWS($AF$2:AF306),$AF$2:$AF$1001,0),1)&gt;=100000,INDEX($AM$1005:$BM$1005,1,MATCH(COLUMNS($AM$1006:AY1006),$AM$1006:$BM$1006,0))&gt;=100000), " ",IF(INDEX($AM$2:$BM$1001,MATCH(ROWS($AF$2:AF306),$AF$2:$AF$1001,0),MATCH(COLUMNS($AM$1006:AY1006),$AM$1006:$BM$1006,0)), HYPERLINK("#",""), HYPERLINK(CONCATENATE("#metadata!", ADDRESS(INDEX($AH$2:$AH$1001,MATCH(ROWS($AF$2:AF306),$AF$2:$AF$1001,0),0), INDEX($AM$1004:$BM$1004,1,MATCH(COLUMNS($AM$1006:AY1006),$AM$1006:$BM$1006,0)))),"Fix")))</f>
        <v xml:space="preserve"> </v>
      </c>
      <c r="O306" s="4" t="str">
        <f ca="1">IF(OR(INDEX($AG$2:$AG$1001,MATCH(ROWS($AF$2:AF306),$AF$2:$AF$1001,0),1)&gt;=100000,INDEX($AM$1005:$BM$1005,1,MATCH(COLUMNS($AM$1006:AZ1006),$AM$1006:$BM$1006,0))&gt;=100000), " ",IF(INDEX($AM$2:$BM$1001,MATCH(ROWS($AF$2:AF306),$AF$2:$AF$1001,0),MATCH(COLUMNS($AM$1006:AZ1006),$AM$1006:$BM$1006,0)), HYPERLINK("#",""), HYPERLINK(CONCATENATE("#metadata!", ADDRESS(INDEX($AH$2:$AH$1001,MATCH(ROWS($AF$2:AF306),$AF$2:$AF$1001,0),0), INDEX($AM$1004:$BM$1004,1,MATCH(COLUMNS($AM$1006:AZ1006),$AM$1006:$BM$1006,0)))),"Fix")))</f>
        <v xml:space="preserve"> </v>
      </c>
      <c r="P306" s="4" t="str">
        <f ca="1">IF(OR(INDEX($AG$2:$AG$1001,MATCH(ROWS($AF$2:AF306),$AF$2:$AF$1001,0),1)&gt;=100000,INDEX($AM$1005:$BM$1005,1,MATCH(COLUMNS($AM$1006:BA1006),$AM$1006:$BM$1006,0))&gt;=100000), " ",IF(INDEX($AM$2:$BM$1001,MATCH(ROWS($AF$2:AF306),$AF$2:$AF$1001,0),MATCH(COLUMNS($AM$1006:BA1006),$AM$1006:$BM$1006,0)), HYPERLINK("#",""), HYPERLINK(CONCATENATE("#metadata!", ADDRESS(INDEX($AH$2:$AH$1001,MATCH(ROWS($AF$2:AF306),$AF$2:$AF$1001,0),0), INDEX($AM$1004:$BM$1004,1,MATCH(COLUMNS($AM$1006:BA1006),$AM$1006:$BM$1006,0)))),"Fix")))</f>
        <v xml:space="preserve"> </v>
      </c>
      <c r="Q306" s="4" t="str">
        <f ca="1">IF(OR(INDEX($AG$2:$AG$1001,MATCH(ROWS($AF$2:AF306),$AF$2:$AF$1001,0),1)&gt;=100000,INDEX($AM$1005:$BM$1005,1,MATCH(COLUMNS($AM$1006:BB1006),$AM$1006:$BM$1006,0))&gt;=100000), " ",IF(INDEX($AM$2:$BM$1001,MATCH(ROWS($AF$2:AF306),$AF$2:$AF$1001,0),MATCH(COLUMNS($AM$1006:BB1006),$AM$1006:$BM$1006,0)), HYPERLINK("#",""), HYPERLINK(CONCATENATE("#metadata!", ADDRESS(INDEX($AH$2:$AH$1001,MATCH(ROWS($AF$2:AF306),$AF$2:$AF$1001,0),0), INDEX($AM$1004:$BM$1004,1,MATCH(COLUMNS($AM$1006:BB1006),$AM$1006:$BM$1006,0)))),"Fix")))</f>
        <v xml:space="preserve"> </v>
      </c>
      <c r="R306" s="4" t="str">
        <f ca="1">IF(OR(INDEX($AG$2:$AG$1001,MATCH(ROWS($AF$2:AF306),$AF$2:$AF$1001,0),1)&gt;=100000,INDEX($AM$1005:$BM$1005,1,MATCH(COLUMNS($AM$1006:BC1006),$AM$1006:$BM$1006,0))&gt;=100000), " ",IF(INDEX($AM$2:$BM$1001,MATCH(ROWS($AF$2:AF306),$AF$2:$AF$1001,0),MATCH(COLUMNS($AM$1006:BC1006),$AM$1006:$BM$1006,0)), HYPERLINK("#",""), HYPERLINK(CONCATENATE("#metadata!", ADDRESS(INDEX($AH$2:$AH$1001,MATCH(ROWS($AF$2:AF306),$AF$2:$AF$1001,0),0), INDEX($AM$1004:$BM$1004,1,MATCH(COLUMNS($AM$1006:BC1006),$AM$1006:$BM$1006,0)))),"Fix")))</f>
        <v xml:space="preserve"> </v>
      </c>
      <c r="S306" s="4" t="str">
        <f ca="1">IF(OR(INDEX($AG$2:$AG$1001,MATCH(ROWS($AF$2:AF306),$AF$2:$AF$1001,0),1)&gt;=100000,INDEX($AM$1005:$BM$1005,1,MATCH(COLUMNS($AM$1006:BD1006),$AM$1006:$BM$1006,0))&gt;=100000), " ",IF(INDEX($AM$2:$BM$1001,MATCH(ROWS($AF$2:AF306),$AF$2:$AF$1001,0),MATCH(COLUMNS($AM$1006:BD1006),$AM$1006:$BM$1006,0)), HYPERLINK("#",""), HYPERLINK(CONCATENATE("#metadata!", ADDRESS(INDEX($AH$2:$AH$1001,MATCH(ROWS($AF$2:AF306),$AF$2:$AF$1001,0),0), INDEX($AM$1004:$BM$1004,1,MATCH(COLUMNS($AM$1006:BD1006),$AM$1006:$BM$1006,0)))),"Fix")))</f>
        <v xml:space="preserve"> </v>
      </c>
      <c r="T306" s="4" t="str">
        <f ca="1">IF(OR(INDEX($AG$2:$AG$1001,MATCH(ROWS($AF$2:AF306),$AF$2:$AF$1001,0),1)&gt;=100000,INDEX($AM$1005:$BM$1005,1,MATCH(COLUMNS($AM$1006:BE1006),$AM$1006:$BM$1006,0))&gt;=100000), " ",IF(INDEX($AM$2:$BM$1001,MATCH(ROWS($AF$2:AF306),$AF$2:$AF$1001,0),MATCH(COLUMNS($AM$1006:BE1006),$AM$1006:$BM$1006,0)), HYPERLINK("#",""), HYPERLINK(CONCATENATE("#metadata!", ADDRESS(INDEX($AH$2:$AH$1001,MATCH(ROWS($AF$2:AF306),$AF$2:$AF$1001,0),0), INDEX($AM$1004:$BM$1004,1,MATCH(COLUMNS($AM$1006:BE1006),$AM$1006:$BM$1006,0)))),"Fix")))</f>
        <v xml:space="preserve"> </v>
      </c>
      <c r="U306" s="4" t="str">
        <f ca="1">IF(OR(INDEX($AG$2:$AG$1001,MATCH(ROWS($AF$2:AF306),$AF$2:$AF$1001,0),1)&gt;=100000,INDEX($AM$1005:$BM$1005,1,MATCH(COLUMNS($AM$1006:BF1006),$AM$1006:$BM$1006,0))&gt;=100000), " ",IF(INDEX($AM$2:$BM$1001,MATCH(ROWS($AF$2:AF306),$AF$2:$AF$1001,0),MATCH(COLUMNS($AM$1006:BF1006),$AM$1006:$BM$1006,0)), HYPERLINK("#",""), HYPERLINK(CONCATENATE("#metadata!", ADDRESS(INDEX($AH$2:$AH$1001,MATCH(ROWS($AF$2:AF306),$AF$2:$AF$1001,0),0), INDEX($AM$1004:$BM$1004,1,MATCH(COLUMNS($AM$1006:BF1006),$AM$1006:$BM$1006,0)))),"Fix")))</f>
        <v xml:space="preserve"> </v>
      </c>
      <c r="V306" s="4" t="str">
        <f ca="1">IF(OR(INDEX($AG$2:$AG$1001,MATCH(ROWS($AF$2:AF306),$AF$2:$AF$1001,0),1)&gt;=100000,INDEX($AM$1005:$BM$1005,1,MATCH(COLUMNS($AM$1006:BG1006),$AM$1006:$BM$1006,0))&gt;=100000), " ",IF(INDEX($AM$2:$BM$1001,MATCH(ROWS($AF$2:AF306),$AF$2:$AF$1001,0),MATCH(COLUMNS($AM$1006:BG1006),$AM$1006:$BM$1006,0)), HYPERLINK("#",""), HYPERLINK(CONCATENATE("#metadata!", ADDRESS(INDEX($AH$2:$AH$1001,MATCH(ROWS($AF$2:AF306),$AF$2:$AF$1001,0),0), INDEX($AM$1004:$BM$1004,1,MATCH(COLUMNS($AM$1006:BG1006),$AM$1006:$BM$1006,0)))),"Fix")))</f>
        <v xml:space="preserve"> </v>
      </c>
      <c r="W306" s="4" t="str">
        <f ca="1">IF(OR(INDEX($AG$2:$AG$1001,MATCH(ROWS($AF$2:AF306),$AF$2:$AF$1001,0),1)&gt;=100000,INDEX($AM$1005:$BM$1005,1,MATCH(COLUMNS($AM$1006:BH1006),$AM$1006:$BM$1006,0))&gt;=100000), " ",IF(INDEX($AM$2:$BM$1001,MATCH(ROWS($AF$2:AF306),$AF$2:$AF$1001,0),MATCH(COLUMNS($AM$1006:BH1006),$AM$1006:$BM$1006,0)), HYPERLINK("#",""), HYPERLINK(CONCATENATE("#metadata!", ADDRESS(INDEX($AH$2:$AH$1001,MATCH(ROWS($AF$2:AF306),$AF$2:$AF$1001,0),0), INDEX($AM$1004:$BM$1004,1,MATCH(COLUMNS($AM$1006:BH1006),$AM$1006:$BM$1006,0)))),"Fix")))</f>
        <v xml:space="preserve"> </v>
      </c>
      <c r="X306" s="4" t="str">
        <f ca="1">IF(OR(INDEX($AG$2:$AG$1001,MATCH(ROWS($AF$2:AF306),$AF$2:$AF$1001,0),1)&gt;=100000,INDEX($AM$1005:$BM$1005,1,MATCH(COLUMNS($AM$1006:BI1006),$AM$1006:$BM$1006,0))&gt;=100000), " ",IF(INDEX($AM$2:$BM$1001,MATCH(ROWS($AF$2:AF306),$AF$2:$AF$1001,0),MATCH(COLUMNS($AM$1006:BI1006),$AM$1006:$BM$1006,0)), HYPERLINK("#",""), HYPERLINK(CONCATENATE("#metadata!", ADDRESS(INDEX($AH$2:$AH$1001,MATCH(ROWS($AF$2:AF306),$AF$2:$AF$1001,0),0), INDEX($AM$1004:$BM$1004,1,MATCH(COLUMNS($AM$1006:BI1006),$AM$1006:$BM$1006,0)))),"Fix")))</f>
        <v xml:space="preserve"> </v>
      </c>
      <c r="Y306" s="4" t="str">
        <f ca="1">IF(OR(INDEX($AG$2:$AG$1001,MATCH(ROWS($AF$2:AF306),$AF$2:$AF$1001,0),1)&gt;=100000,INDEX($AM$1005:$BM$1005,1,MATCH(COLUMNS($AM$1006:BJ1006),$AM$1006:$BM$1006,0))&gt;=100000), " ",IF(INDEX($AM$2:$BM$1001,MATCH(ROWS($AF$2:AF306),$AF$2:$AF$1001,0),MATCH(COLUMNS($AM$1006:BJ1006),$AM$1006:$BM$1006,0)), HYPERLINK("#",""), HYPERLINK(CONCATENATE("#metadata!", ADDRESS(INDEX($AH$2:$AH$1001,MATCH(ROWS($AF$2:AF306),$AF$2:$AF$1001,0),0), INDEX($AM$1004:$BM$1004,1,MATCH(COLUMNS($AM$1006:BJ1006),$AM$1006:$BM$1006,0)))),"Fix")))</f>
        <v xml:space="preserve"> </v>
      </c>
      <c r="Z306" s="4" t="str">
        <f ca="1">IF(OR(INDEX($AG$2:$AG$1001,MATCH(ROWS($AF$2:AF306),$AF$2:$AF$1001,0),1)&gt;=100000,INDEX($AM$1005:$BM$1005,1,MATCH(COLUMNS($AM$1006:BK1006),$AM$1006:$BM$1006,0))&gt;=100000), " ",IF(INDEX($AM$2:$BM$1001,MATCH(ROWS($AF$2:AF306),$AF$2:$AF$1001,0),MATCH(COLUMNS($AM$1006:BK1006),$AM$1006:$BM$1006,0)), HYPERLINK("#",""), HYPERLINK(CONCATENATE("#metadata!", ADDRESS(INDEX($AH$2:$AH$1001,MATCH(ROWS($AF$2:AF306),$AF$2:$AF$1001,0),0), INDEX($AM$1004:$BM$1004,1,MATCH(COLUMNS($AM$1006:BK1006),$AM$1006:$BM$1006,0)))),"Fix")))</f>
        <v xml:space="preserve"> </v>
      </c>
      <c r="AA306" s="4" t="str">
        <f ca="1">IF(OR(INDEX($AG$2:$AG$1001,MATCH(ROWS($AF$2:AF306),$AF$2:$AF$1001,0),1)&gt;=100000,INDEX($AM$1005:$BM$1005,1,MATCH(COLUMNS($AM$1006:BL1006),$AM$1006:$BM$1006,0))&gt;=100000), " ",IF(INDEX($AM$2:$BM$1001,MATCH(ROWS($AF$2:AF306),$AF$2:$AF$1001,0),MATCH(COLUMNS($AM$1006:BL1006),$AM$1006:$BM$1006,0)), HYPERLINK("#",""), HYPERLINK(CONCATENATE("#metadata!", ADDRESS(INDEX($AH$2:$AH$1001,MATCH(ROWS($AF$2:AF306),$AF$2:$AF$1001,0),0), INDEX($AM$1004:$BM$1004,1,MATCH(COLUMNS($AM$1006:BL1006),$AM$1006:$BM$1006,0)))),"Fix")))</f>
        <v xml:space="preserve"> </v>
      </c>
      <c r="AB306" s="4" t="str">
        <f ca="1">IF(OR(INDEX($AG$2:$AG$1001,MATCH(ROWS($AF$2:AF306),$AF$2:$AF$1001,0),1)&gt;=100000,INDEX($AM$1005:$BM$1005,1,MATCH(COLUMNS($AM$1006:BM1006),$AM$1006:$BM$1006,0))&gt;=100000), " ",IF(INDEX($AM$2:$BM$1001,MATCH(ROWS($AF$2:AF306),$AF$2:$AF$1001,0),MATCH(COLUMNS($AM$1006:BM1006),$AM$1006:$BM$1006,0)), HYPERLINK("#",""), HYPERLINK(CONCATENATE("#metadata!", ADDRESS(INDEX($AH$2:$AH$1001,MATCH(ROWS($AF$2:AF306),$AF$2:$AF$1001,0),0), INDEX($AM$1004:$BM$1004,1,MATCH(COLUMNS($AM$1006:BM1006),$AM$1006:$BM$1006,0)))),"Fix")))</f>
        <v xml:space="preserve"> </v>
      </c>
      <c r="AF306">
        <v>305</v>
      </c>
      <c r="AG306">
        <v>100306</v>
      </c>
      <c r="AH306">
        <v>306</v>
      </c>
      <c r="AI306" t="b">
        <f t="shared" si="4"/>
        <v>1</v>
      </c>
      <c r="AJ306" t="b">
        <f>COUNTBLANK(metadata!B306:AB306)=COLUMNS(metadata!B306:AB306)</f>
        <v>1</v>
      </c>
      <c r="AK306" t="str">
        <v/>
      </c>
      <c r="AM306" t="b">
        <f ca="1">AND(IF(metadata!B306="",FALSE,TRUE),COUNTIF(metadata!B:B, metadata!B306) = 1,NOT(ISERROR(SUMPRODUCT(SEARCH(MID(metadata!B306,ROW(INDIRECT("1:"&amp;LEN(metadata!B306))), 1),"0123456789abcdefghijklmnopqrstuvwxyzABCDEFGHIJKLMNOPQRSTUVWXYZ.")))))</f>
        <v>0</v>
      </c>
      <c r="AN306" t="b">
        <f ca="1">OR(AND(IF(metadata!C306="",FALSE,TRUE),OR(EXACT(metadata!C306,"missing: not collected"),EXACT(metadata!C306,"missing: not provided"),EXACT(metadata!C306,"missing: restricted access"))),AND(IF(metadata!C306="",FALSE,TRUE),AND(AND(IFERROR(INT(LEFT(metadata!C306,4))&gt;1900,FALSE),IFERROR(INT(LEFT(metadata!C306,4))&lt;=YEAR(NOW()),FALSE)), OR(MID(metadata!C306,5,1)="", AND(AND(MID(metadata!C306,5,1)="-",IFERROR(INT(MID(metadata!C306,6,1))&gt;=0,FALSE),IFERROR(INT(MID(metadata!C306,6,1))&lt;=1,FALSE),NOT(MID(metadata!C306,7,1)=""),IFERROR(INT(MID(metadata!C306,6,2))&gt;=1,FALSE),IFERROR(INT(MID(metadata!C306,6,2))&lt;=12,FALSE)), OR(MID(metadata!C306,8,1)="", AND(AND(MID(metadata!C306,8,1)="-",IFERROR(INT(MID(metadata!C306,9,1))&gt;=0,FALSE),IFERROR(INT(MID(metadata!C306,9,1))&lt;=3,FALSE),NOT(MID(metadata!C306,10,1)=""),IFERROR(INT(MID(metadata!C306,9,2))&gt;=1,FALSE),IFERROR(INT(MID(metadata!C306,9,2))&lt;=31,FALSE)), OR(MID(metadata!C306,11,1)="", AND(AND(MID(metadata!C306,11,1)=" ",IFERROR(INT(MID(metadata!C306,12,1))&gt;=0,FALSE),IFERROR(INT(MID(metadata!C306,12,1))&lt;=2,FALSE),NOT(MID(metadata!C306,13,1)=""),IFERROR(INT(MID(metadata!C306,12,2))&gt;=0,FALSE),IFERROR(INT(MID(metadata!C306,12,2))&lt;=23,FALSE)), OR(MID(metadata!C306,14,1)="", AND(AND(MID(metadata!C306,14,1)=":",IFERROR(INT(MID(metadata!C306,15,1))&gt;=0,FALSE),IFERROR(INT(MID(metadata!C306,15,1))&lt;=5,FALSE),NOT(MID(metadata!C306,16,1)=""),IFERROR(INT(MID(metadata!C306,15,2))&gt;=0,FALSE),IFERROR(INT(MID(metadata!C306,15,2))&lt;=59,FALSE)), OR(MID(metadata!C306,17,1)="", AND(AND(MID(metadata!C306,17,1)=":",IFERROR(INT(MID(metadata!C306,18,1))&gt;=0,FALSE),IFERROR(INT(MID(metadata!C306,18,1))&lt;=5,FALSE),NOT(MID(metadata!C306,19,1)=""),IFERROR(INT(MID(metadata!C306,18,2))&gt;=0,FALSE),IFERROR(INT(MID(metadata!C306,18,2))&lt;=59,FALSE)), LEN(metadata!C306)&lt;=19)))))))))))))</f>
        <v>0</v>
      </c>
      <c r="AO306" t="b">
        <f>AND(IF(metadata!D306="",FALSE,TRUE),EXACT(metadata!D306,"Not applicable"))</f>
        <v>0</v>
      </c>
      <c r="AP306" t="b">
        <f>IF(metadata!E306="",FALSE,TRUE)</f>
        <v>0</v>
      </c>
      <c r="AQ306" t="b">
        <f>OR(AND(IF(metadata!F306="",FALSE,TRUE),OR(EXACT(metadata!F306,"missing: not collected"),EXACT(metadata!F306,"missing: not provided"))),AND(IF(metadata!F306="",FALSE,TRUE),OR(EXACT(metadata!F306,"TRUE"),EXACT(metadata!F306,"FALSE"))))</f>
        <v>0</v>
      </c>
      <c r="AR306" t="b">
        <f>OR(AND(IF(metadata!G306="",FALSE,TRUE),OR(EXACT(metadata!G306,"missing: not collected"),EXACT(metadata!G306,"missing: not provided"),EXACT(metadata!G306,"missing: restricted access"))),AND(IF(metadata!G306="",FALSE,ISNUMBER(VALUE(metadata!G306))),metadata!G306&gt;=-413))</f>
        <v>0</v>
      </c>
      <c r="AS306" t="b">
        <f>AND(IF(metadata!H306="",FALSE,TRUE),EXACT(metadata!H306,"meters"))</f>
        <v>0</v>
      </c>
      <c r="AT306" t="b">
        <f>AND(IF(metadata!I306="",FALSE,TRUE),OR(EXACT(metadata!I306,"Host-associated"),EXACT(metadata!I306,"Free-living")))</f>
        <v>0</v>
      </c>
      <c r="AU306" t="b">
        <f>AND(IF(metadata!J306="",FALSE,TRUE),OR(EXACT(metadata!J306,"Animal"),EXACT(metadata!J306,"Fungus"),EXACT(metadata!J306,"Plant"),EXACT(metadata!J306,"Saline"),EXACT(metadata!J306,"Non-saline")))</f>
        <v>0</v>
      </c>
      <c r="AV306" t="b">
        <f>AND(IF(metadata!K306="",FALSE,TRUE),OR(EXACT(metadata!K306,"Plant secretion"),EXACT(metadata!K306,"Plant rhizosphere"),EXACT(metadata!K306,"Plant surface"),EXACT(metadata!K306,"Plant corpus"),EXACT(metadata!K306,"Fungus surface"),EXACT(metadata!K306,"Fungus corpus"),EXACT(metadata!K306,"Animal surface"),EXACT(metadata!K306,"Animal proximal gut"),EXACT(metadata!K306,"Animal corpus"),EXACT(metadata!K306,"Animal distal gut"),EXACT(metadata!K306,"Animal secretion"),EXACT(metadata!K306,"Sub-surface (non-saline)"),EXACT(metadata!K306,"Surface (non-saline)"),EXACT(metadata!K306,"Water (non-saline)"),EXACT(metadata!K306,"Soil (non-saline)"),EXACT(metadata!K306,"Aerosol (non-saline)"),EXACT(metadata!K306,"Sediment (non-saline)"),EXACT(metadata!K306,"Surface (saline)"),EXACT(metadata!K306,"Water (saline)"),EXACT(metadata!K306,"Hypersaline (saline)"),EXACT(metadata!K306,"Aerosol (saline)"),EXACT(metadata!K306,"Sediment (saline)")))</f>
        <v>0</v>
      </c>
      <c r="AW306" t="b">
        <f>IF(metadata!L306="",FALSE,TRUE)</f>
        <v>0</v>
      </c>
      <c r="AX306" t="b">
        <f>IF(metadata!M306="",FALSE,TRUE)</f>
        <v>0</v>
      </c>
      <c r="AY306" t="b">
        <f>IF(metadata!N306="",FALSE,TRUE)</f>
        <v>0</v>
      </c>
      <c r="AZ306" t="b">
        <f>OR(AND(IF(metadata!O306="",FALSE,TRUE),OR(EXACT(metadata!O306,"missing: not collected"),EXACT(metadata!O306,"missing: not provided"),EXACT(metadata!O306,"missing: restricted access"))),AND(IF(metadata!O306="",FALSE,TRUE),OR(EXACT(metadata!O306,"air"),EXACT(metadata!O306,"built environment"),EXACT(metadata!O306,"host-associated"),EXACT(metadata!O306,"human-associated"),EXACT(metadata!O306,"human-skin"),EXACT(metadata!O306,"human-oral"),EXACT(metadata!O306,"human-gut"),EXACT(metadata!O306,"human-vaginal"),EXACT(metadata!O306,"microbial mat/biofilm"),EXACT(metadata!O306,"misc environment"),EXACT(metadata!O306,"plant-associated"),EXACT(metadata!O306,"sediment"),EXACT(metadata!O306,"soil"),EXACT(metadata!O306,"wastewater/sludge"),EXACT(metadata!O306,"water"))))</f>
        <v>0</v>
      </c>
      <c r="BA306" t="b">
        <f>IF(metadata!P306="",FALSE,TRUE)</f>
        <v>0</v>
      </c>
      <c r="BB306" t="b">
        <f>IF(metadata!Q306="",FALSE,TRUE)</f>
        <v>0</v>
      </c>
      <c r="BC306" t="b">
        <f>OR(AND(IF(metadata!R306="",FALSE,TRUE),OR(EXACT(metadata!R306,"missing: not collected"),EXACT(metadata!R306,"missing: not provided"),EXACT(metadata!R306,"missing: restricted access"))),AND(IF(metadata!R306="",FALSE,ISNUMBER(VALUE(metadata!R306))),metadata!R306&gt;=-90,metadata!R306&lt;=90))</f>
        <v>0</v>
      </c>
      <c r="BD306" t="b">
        <f>AND(IF(metadata!S306="",FALSE,TRUE),EXACT(metadata!S306,"Decimal degrees"))</f>
        <v>0</v>
      </c>
      <c r="BE306" t="b">
        <f>OR(AND(IF(metadata!T306="",FALSE,TRUE),OR(EXACT(metadata!T306,"missing: not collected"),EXACT(metadata!T306,"missing: not provided"),EXACT(metadata!T306,"missing: restricted access"))),AND(IF(metadata!T306="",FALSE,ISNUMBER(VALUE(metadata!T306))),metadata!T306&gt;=-180,metadata!T306&lt;=180))</f>
        <v>0</v>
      </c>
      <c r="BF306" t="b">
        <f>AND(IF(metadata!U306="",FALSE,TRUE),EXACT(metadata!U306,"Decimal degrees"))</f>
        <v>0</v>
      </c>
      <c r="BG306" t="b">
        <f>IF(metadata!V306="",FALSE,TRUE)</f>
        <v>0</v>
      </c>
      <c r="BH306" t="b">
        <f>OR(AND(IF(metadata!W306="",FALSE,TRUE),OR(EXACT(metadata!W306,"missing: not collected"),EXACT(metadata!W306,"missing: not provided"),EXACT(metadata!W306,"missing: restricted access"))),AND(IF(metadata!W306="",FALSE,TRUE),OR(EXACT(metadata!W306,"TRUE"),EXACT(metadata!W306,"FALSE"))))</f>
        <v>0</v>
      </c>
      <c r="BI306" t="b">
        <f>AND(IF(metadata!X306="",FALSE,TRUE),EXACT(metadata!X306,"other"))</f>
        <v>0</v>
      </c>
      <c r="BJ306" t="b">
        <f>IF(metadata!Y306="",FALSE,TRUE)</f>
        <v>0</v>
      </c>
      <c r="BK306" t="b">
        <f>OR(AND(IF(metadata!Z306="",FALSE,TRUE),OR(EXACT(metadata!Z306,"missing: not collected"),EXACT(metadata!Z306,"missing: not provided"))),AND(IF(metadata!Z306="",FALSE,IF(ISERROR(INT(metadata!Z306)),FALSE,INT(metadata!Z306)=metadata!Z306)),metadata!Z306&gt;0))</f>
        <v>0</v>
      </c>
      <c r="BL306" t="b">
        <f>AND(IF(metadata!AA306="",FALSE,TRUE),EXACT(metadata!AA306,"Not applicable"))</f>
        <v>0</v>
      </c>
      <c r="BM306" t="b">
        <f>IF(metadata!AB306="",FALSE,TRUE)</f>
        <v>0</v>
      </c>
    </row>
    <row r="307" spans="1:65" x14ac:dyDescent="0.2">
      <c r="A307" s="5" t="str">
        <f ca="1">IF(B307=" "," ",HYPERLINK(CONCATENATE("#metadata!",ADDRESS(INDEX($AH$2:$AH$1001,MATCH(ROWS($AF$2:AF307),$AF$2:$AF$1001,0),0),1)),INDEX($AK$2:$AK$1001,MATCH(ROWS($AF$2:AF307),$AF$2:$AF$1001,0),0)))</f>
        <v xml:space="preserve"> </v>
      </c>
      <c r="B307" s="4" t="str">
        <f ca="1">IF(OR(INDEX($AG$2:$AG$1001,MATCH(ROWS($AF$2:AF307),$AF$2:$AF$1001,0),1)&gt;=100000,INDEX($AM$1005:$BM$1005,1,MATCH(COLUMNS($AM$1006:AM1006),$AM$1006:$BM$1006,0))&gt;=100000), " ",IF(INDEX($AM$2:$BM$1001,MATCH(ROWS($AF$2:AF307),$AF$2:$AF$1001,0),MATCH(COLUMNS($AM$1006:AM1006),$AM$1006:$BM$1006,0)), HYPERLINK("#",""), HYPERLINK(CONCATENATE("#metadata!", ADDRESS(INDEX($AH$2:$AH$1001,MATCH(ROWS($AF$2:AF307),$AF$2:$AF$1001,0),0), INDEX($AM$1004:$BM$1004,1,MATCH(COLUMNS($AM$1006:AM1006),$AM$1006:$BM$1006,0)))),"Fix")))</f>
        <v xml:space="preserve"> </v>
      </c>
      <c r="C307" s="4" t="str">
        <f ca="1">IF(OR(INDEX($AG$2:$AG$1001,MATCH(ROWS($AF$2:AF307),$AF$2:$AF$1001,0),1)&gt;=100000,INDEX($AM$1005:$BM$1005,1,MATCH(COLUMNS($AM$1006:AN1006),$AM$1006:$BM$1006,0))&gt;=100000), " ",IF(INDEX($AM$2:$BM$1001,MATCH(ROWS($AF$2:AF307),$AF$2:$AF$1001,0),MATCH(COLUMNS($AM$1006:AN1006),$AM$1006:$BM$1006,0)), HYPERLINK("#",""), HYPERLINK(CONCATENATE("#metadata!", ADDRESS(INDEX($AH$2:$AH$1001,MATCH(ROWS($AF$2:AF307),$AF$2:$AF$1001,0),0), INDEX($AM$1004:$BM$1004,1,MATCH(COLUMNS($AM$1006:AN1006),$AM$1006:$BM$1006,0)))),"Fix")))</f>
        <v xml:space="preserve"> </v>
      </c>
      <c r="D307" s="4" t="str">
        <f ca="1">IF(OR(INDEX($AG$2:$AG$1001,MATCH(ROWS($AF$2:AF307),$AF$2:$AF$1001,0),1)&gt;=100000,INDEX($AM$1005:$BM$1005,1,MATCH(COLUMNS($AM$1006:AO1006),$AM$1006:$BM$1006,0))&gt;=100000), " ",IF(INDEX($AM$2:$BM$1001,MATCH(ROWS($AF$2:AF307),$AF$2:$AF$1001,0),MATCH(COLUMNS($AM$1006:AO1006),$AM$1006:$BM$1006,0)), HYPERLINK("#",""), HYPERLINK(CONCATENATE("#metadata!", ADDRESS(INDEX($AH$2:$AH$1001,MATCH(ROWS($AF$2:AF307),$AF$2:$AF$1001,0),0), INDEX($AM$1004:$BM$1004,1,MATCH(COLUMNS($AM$1006:AO1006),$AM$1006:$BM$1006,0)))),"Fix")))</f>
        <v xml:space="preserve"> </v>
      </c>
      <c r="E307" s="4" t="str">
        <f ca="1">IF(OR(INDEX($AG$2:$AG$1001,MATCH(ROWS($AF$2:AF307),$AF$2:$AF$1001,0),1)&gt;=100000,INDEX($AM$1005:$BM$1005,1,MATCH(COLUMNS($AM$1006:AP1006),$AM$1006:$BM$1006,0))&gt;=100000), " ",IF(INDEX($AM$2:$BM$1001,MATCH(ROWS($AF$2:AF307),$AF$2:$AF$1001,0),MATCH(COLUMNS($AM$1006:AP1006),$AM$1006:$BM$1006,0)), HYPERLINK("#",""), HYPERLINK(CONCATENATE("#metadata!", ADDRESS(INDEX($AH$2:$AH$1001,MATCH(ROWS($AF$2:AF307),$AF$2:$AF$1001,0),0), INDEX($AM$1004:$BM$1004,1,MATCH(COLUMNS($AM$1006:AP1006),$AM$1006:$BM$1006,0)))),"Fix")))</f>
        <v xml:space="preserve"> </v>
      </c>
      <c r="F307" s="4" t="str">
        <f ca="1">IF(OR(INDEX($AG$2:$AG$1001,MATCH(ROWS($AF$2:AF307),$AF$2:$AF$1001,0),1)&gt;=100000,INDEX($AM$1005:$BM$1005,1,MATCH(COLUMNS($AM$1006:AQ1006),$AM$1006:$BM$1006,0))&gt;=100000), " ",IF(INDEX($AM$2:$BM$1001,MATCH(ROWS($AF$2:AF307),$AF$2:$AF$1001,0),MATCH(COLUMNS($AM$1006:AQ1006),$AM$1006:$BM$1006,0)), HYPERLINK("#",""), HYPERLINK(CONCATENATE("#metadata!", ADDRESS(INDEX($AH$2:$AH$1001,MATCH(ROWS($AF$2:AF307),$AF$2:$AF$1001,0),0), INDEX($AM$1004:$BM$1004,1,MATCH(COLUMNS($AM$1006:AQ1006),$AM$1006:$BM$1006,0)))),"Fix")))</f>
        <v xml:space="preserve"> </v>
      </c>
      <c r="G307" s="4" t="str">
        <f ca="1">IF(OR(INDEX($AG$2:$AG$1001,MATCH(ROWS($AF$2:AF307),$AF$2:$AF$1001,0),1)&gt;=100000,INDEX($AM$1005:$BM$1005,1,MATCH(COLUMNS($AM$1006:AR1006),$AM$1006:$BM$1006,0))&gt;=100000), " ",IF(INDEX($AM$2:$BM$1001,MATCH(ROWS($AF$2:AF307),$AF$2:$AF$1001,0),MATCH(COLUMNS($AM$1006:AR1006),$AM$1006:$BM$1006,0)), HYPERLINK("#",""), HYPERLINK(CONCATENATE("#metadata!", ADDRESS(INDEX($AH$2:$AH$1001,MATCH(ROWS($AF$2:AF307),$AF$2:$AF$1001,0),0), INDEX($AM$1004:$BM$1004,1,MATCH(COLUMNS($AM$1006:AR1006),$AM$1006:$BM$1006,0)))),"Fix")))</f>
        <v xml:space="preserve"> </v>
      </c>
      <c r="H307" s="4" t="str">
        <f ca="1">IF(OR(INDEX($AG$2:$AG$1001,MATCH(ROWS($AF$2:AF307),$AF$2:$AF$1001,0),1)&gt;=100000,INDEX($AM$1005:$BM$1005,1,MATCH(COLUMNS($AM$1006:AS1006),$AM$1006:$BM$1006,0))&gt;=100000), " ",IF(INDEX($AM$2:$BM$1001,MATCH(ROWS($AF$2:AF307),$AF$2:$AF$1001,0),MATCH(COLUMNS($AM$1006:AS1006),$AM$1006:$BM$1006,0)), HYPERLINK("#",""), HYPERLINK(CONCATENATE("#metadata!", ADDRESS(INDEX($AH$2:$AH$1001,MATCH(ROWS($AF$2:AF307),$AF$2:$AF$1001,0),0), INDEX($AM$1004:$BM$1004,1,MATCH(COLUMNS($AM$1006:AS1006),$AM$1006:$BM$1006,0)))),"Fix")))</f>
        <v xml:space="preserve"> </v>
      </c>
      <c r="I307" s="4" t="str">
        <f ca="1">IF(OR(INDEX($AG$2:$AG$1001,MATCH(ROWS($AF$2:AF307),$AF$2:$AF$1001,0),1)&gt;=100000,INDEX($AM$1005:$BM$1005,1,MATCH(COLUMNS($AM$1006:AT1006),$AM$1006:$BM$1006,0))&gt;=100000), " ",IF(INDEX($AM$2:$BM$1001,MATCH(ROWS($AF$2:AF307),$AF$2:$AF$1001,0),MATCH(COLUMNS($AM$1006:AT1006),$AM$1006:$BM$1006,0)), HYPERLINK("#",""), HYPERLINK(CONCATENATE("#metadata!", ADDRESS(INDEX($AH$2:$AH$1001,MATCH(ROWS($AF$2:AF307),$AF$2:$AF$1001,0),0), INDEX($AM$1004:$BM$1004,1,MATCH(COLUMNS($AM$1006:AT1006),$AM$1006:$BM$1006,0)))),"Fix")))</f>
        <v xml:space="preserve"> </v>
      </c>
      <c r="J307" s="4" t="str">
        <f ca="1">IF(OR(INDEX($AG$2:$AG$1001,MATCH(ROWS($AF$2:AF307),$AF$2:$AF$1001,0),1)&gt;=100000,INDEX($AM$1005:$BM$1005,1,MATCH(COLUMNS($AM$1006:AU1006),$AM$1006:$BM$1006,0))&gt;=100000), " ",IF(INDEX($AM$2:$BM$1001,MATCH(ROWS($AF$2:AF307),$AF$2:$AF$1001,0),MATCH(COLUMNS($AM$1006:AU1006),$AM$1006:$BM$1006,0)), HYPERLINK("#",""), HYPERLINK(CONCATENATE("#metadata!", ADDRESS(INDEX($AH$2:$AH$1001,MATCH(ROWS($AF$2:AF307),$AF$2:$AF$1001,0),0), INDEX($AM$1004:$BM$1004,1,MATCH(COLUMNS($AM$1006:AU1006),$AM$1006:$BM$1006,0)))),"Fix")))</f>
        <v xml:space="preserve"> </v>
      </c>
      <c r="K307" s="4" t="str">
        <f ca="1">IF(OR(INDEX($AG$2:$AG$1001,MATCH(ROWS($AF$2:AF307),$AF$2:$AF$1001,0),1)&gt;=100000,INDEX($AM$1005:$BM$1005,1,MATCH(COLUMNS($AM$1006:AV1006),$AM$1006:$BM$1006,0))&gt;=100000), " ",IF(INDEX($AM$2:$BM$1001,MATCH(ROWS($AF$2:AF307),$AF$2:$AF$1001,0),MATCH(COLUMNS($AM$1006:AV1006),$AM$1006:$BM$1006,0)), HYPERLINK("#",""), HYPERLINK(CONCATENATE("#metadata!", ADDRESS(INDEX($AH$2:$AH$1001,MATCH(ROWS($AF$2:AF307),$AF$2:$AF$1001,0),0), INDEX($AM$1004:$BM$1004,1,MATCH(COLUMNS($AM$1006:AV1006),$AM$1006:$BM$1006,0)))),"Fix")))</f>
        <v xml:space="preserve"> </v>
      </c>
      <c r="L307" s="4" t="str">
        <f ca="1">IF(OR(INDEX($AG$2:$AG$1001,MATCH(ROWS($AF$2:AF307),$AF$2:$AF$1001,0),1)&gt;=100000,INDEX($AM$1005:$BM$1005,1,MATCH(COLUMNS($AM$1006:AW1006),$AM$1006:$BM$1006,0))&gt;=100000), " ",IF(INDEX($AM$2:$BM$1001,MATCH(ROWS($AF$2:AF307),$AF$2:$AF$1001,0),MATCH(COLUMNS($AM$1006:AW1006),$AM$1006:$BM$1006,0)), HYPERLINK("#",""), HYPERLINK(CONCATENATE("#metadata!", ADDRESS(INDEX($AH$2:$AH$1001,MATCH(ROWS($AF$2:AF307),$AF$2:$AF$1001,0),0), INDEX($AM$1004:$BM$1004,1,MATCH(COLUMNS($AM$1006:AW1006),$AM$1006:$BM$1006,0)))),"Fix")))</f>
        <v xml:space="preserve"> </v>
      </c>
      <c r="M307" s="4" t="str">
        <f ca="1">IF(OR(INDEX($AG$2:$AG$1001,MATCH(ROWS($AF$2:AF307),$AF$2:$AF$1001,0),1)&gt;=100000,INDEX($AM$1005:$BM$1005,1,MATCH(COLUMNS($AM$1006:AX1006),$AM$1006:$BM$1006,0))&gt;=100000), " ",IF(INDEX($AM$2:$BM$1001,MATCH(ROWS($AF$2:AF307),$AF$2:$AF$1001,0),MATCH(COLUMNS($AM$1006:AX1006),$AM$1006:$BM$1006,0)), HYPERLINK("#",""), HYPERLINK(CONCATENATE("#metadata!", ADDRESS(INDEX($AH$2:$AH$1001,MATCH(ROWS($AF$2:AF307),$AF$2:$AF$1001,0),0), INDEX($AM$1004:$BM$1004,1,MATCH(COLUMNS($AM$1006:AX1006),$AM$1006:$BM$1006,0)))),"Fix")))</f>
        <v xml:space="preserve"> </v>
      </c>
      <c r="N307" s="4" t="str">
        <f ca="1">IF(OR(INDEX($AG$2:$AG$1001,MATCH(ROWS($AF$2:AF307),$AF$2:$AF$1001,0),1)&gt;=100000,INDEX($AM$1005:$BM$1005,1,MATCH(COLUMNS($AM$1006:AY1006),$AM$1006:$BM$1006,0))&gt;=100000), " ",IF(INDEX($AM$2:$BM$1001,MATCH(ROWS($AF$2:AF307),$AF$2:$AF$1001,0),MATCH(COLUMNS($AM$1006:AY1006),$AM$1006:$BM$1006,0)), HYPERLINK("#",""), HYPERLINK(CONCATENATE("#metadata!", ADDRESS(INDEX($AH$2:$AH$1001,MATCH(ROWS($AF$2:AF307),$AF$2:$AF$1001,0),0), INDEX($AM$1004:$BM$1004,1,MATCH(COLUMNS($AM$1006:AY1006),$AM$1006:$BM$1006,0)))),"Fix")))</f>
        <v xml:space="preserve"> </v>
      </c>
      <c r="O307" s="4" t="str">
        <f ca="1">IF(OR(INDEX($AG$2:$AG$1001,MATCH(ROWS($AF$2:AF307),$AF$2:$AF$1001,0),1)&gt;=100000,INDEX($AM$1005:$BM$1005,1,MATCH(COLUMNS($AM$1006:AZ1006),$AM$1006:$BM$1006,0))&gt;=100000), " ",IF(INDEX($AM$2:$BM$1001,MATCH(ROWS($AF$2:AF307),$AF$2:$AF$1001,0),MATCH(COLUMNS($AM$1006:AZ1006),$AM$1006:$BM$1006,0)), HYPERLINK("#",""), HYPERLINK(CONCATENATE("#metadata!", ADDRESS(INDEX($AH$2:$AH$1001,MATCH(ROWS($AF$2:AF307),$AF$2:$AF$1001,0),0), INDEX($AM$1004:$BM$1004,1,MATCH(COLUMNS($AM$1006:AZ1006),$AM$1006:$BM$1006,0)))),"Fix")))</f>
        <v xml:space="preserve"> </v>
      </c>
      <c r="P307" s="4" t="str">
        <f ca="1">IF(OR(INDEX($AG$2:$AG$1001,MATCH(ROWS($AF$2:AF307),$AF$2:$AF$1001,0),1)&gt;=100000,INDEX($AM$1005:$BM$1005,1,MATCH(COLUMNS($AM$1006:BA1006),$AM$1006:$BM$1006,0))&gt;=100000), " ",IF(INDEX($AM$2:$BM$1001,MATCH(ROWS($AF$2:AF307),$AF$2:$AF$1001,0),MATCH(COLUMNS($AM$1006:BA1006),$AM$1006:$BM$1006,0)), HYPERLINK("#",""), HYPERLINK(CONCATENATE("#metadata!", ADDRESS(INDEX($AH$2:$AH$1001,MATCH(ROWS($AF$2:AF307),$AF$2:$AF$1001,0),0), INDEX($AM$1004:$BM$1004,1,MATCH(COLUMNS($AM$1006:BA1006),$AM$1006:$BM$1006,0)))),"Fix")))</f>
        <v xml:space="preserve"> </v>
      </c>
      <c r="Q307" s="4" t="str">
        <f ca="1">IF(OR(INDEX($AG$2:$AG$1001,MATCH(ROWS($AF$2:AF307),$AF$2:$AF$1001,0),1)&gt;=100000,INDEX($AM$1005:$BM$1005,1,MATCH(COLUMNS($AM$1006:BB1006),$AM$1006:$BM$1006,0))&gt;=100000), " ",IF(INDEX($AM$2:$BM$1001,MATCH(ROWS($AF$2:AF307),$AF$2:$AF$1001,0),MATCH(COLUMNS($AM$1006:BB1006),$AM$1006:$BM$1006,0)), HYPERLINK("#",""), HYPERLINK(CONCATENATE("#metadata!", ADDRESS(INDEX($AH$2:$AH$1001,MATCH(ROWS($AF$2:AF307),$AF$2:$AF$1001,0),0), INDEX($AM$1004:$BM$1004,1,MATCH(COLUMNS($AM$1006:BB1006),$AM$1006:$BM$1006,0)))),"Fix")))</f>
        <v xml:space="preserve"> </v>
      </c>
      <c r="R307" s="4" t="str">
        <f ca="1">IF(OR(INDEX($AG$2:$AG$1001,MATCH(ROWS($AF$2:AF307),$AF$2:$AF$1001,0),1)&gt;=100000,INDEX($AM$1005:$BM$1005,1,MATCH(COLUMNS($AM$1006:BC1006),$AM$1006:$BM$1006,0))&gt;=100000), " ",IF(INDEX($AM$2:$BM$1001,MATCH(ROWS($AF$2:AF307),$AF$2:$AF$1001,0),MATCH(COLUMNS($AM$1006:BC1006),$AM$1006:$BM$1006,0)), HYPERLINK("#",""), HYPERLINK(CONCATENATE("#metadata!", ADDRESS(INDEX($AH$2:$AH$1001,MATCH(ROWS($AF$2:AF307),$AF$2:$AF$1001,0),0), INDEX($AM$1004:$BM$1004,1,MATCH(COLUMNS($AM$1006:BC1006),$AM$1006:$BM$1006,0)))),"Fix")))</f>
        <v xml:space="preserve"> </v>
      </c>
      <c r="S307" s="4" t="str">
        <f ca="1">IF(OR(INDEX($AG$2:$AG$1001,MATCH(ROWS($AF$2:AF307),$AF$2:$AF$1001,0),1)&gt;=100000,INDEX($AM$1005:$BM$1005,1,MATCH(COLUMNS($AM$1006:BD1006),$AM$1006:$BM$1006,0))&gt;=100000), " ",IF(INDEX($AM$2:$BM$1001,MATCH(ROWS($AF$2:AF307),$AF$2:$AF$1001,0),MATCH(COLUMNS($AM$1006:BD1006),$AM$1006:$BM$1006,0)), HYPERLINK("#",""), HYPERLINK(CONCATENATE("#metadata!", ADDRESS(INDEX($AH$2:$AH$1001,MATCH(ROWS($AF$2:AF307),$AF$2:$AF$1001,0),0), INDEX($AM$1004:$BM$1004,1,MATCH(COLUMNS($AM$1006:BD1006),$AM$1006:$BM$1006,0)))),"Fix")))</f>
        <v xml:space="preserve"> </v>
      </c>
      <c r="T307" s="4" t="str">
        <f ca="1">IF(OR(INDEX($AG$2:$AG$1001,MATCH(ROWS($AF$2:AF307),$AF$2:$AF$1001,0),1)&gt;=100000,INDEX($AM$1005:$BM$1005,1,MATCH(COLUMNS($AM$1006:BE1006),$AM$1006:$BM$1006,0))&gt;=100000), " ",IF(INDEX($AM$2:$BM$1001,MATCH(ROWS($AF$2:AF307),$AF$2:$AF$1001,0),MATCH(COLUMNS($AM$1006:BE1006),$AM$1006:$BM$1006,0)), HYPERLINK("#",""), HYPERLINK(CONCATENATE("#metadata!", ADDRESS(INDEX($AH$2:$AH$1001,MATCH(ROWS($AF$2:AF307),$AF$2:$AF$1001,0),0), INDEX($AM$1004:$BM$1004,1,MATCH(COLUMNS($AM$1006:BE1006),$AM$1006:$BM$1006,0)))),"Fix")))</f>
        <v xml:space="preserve"> </v>
      </c>
      <c r="U307" s="4" t="str">
        <f ca="1">IF(OR(INDEX($AG$2:$AG$1001,MATCH(ROWS($AF$2:AF307),$AF$2:$AF$1001,0),1)&gt;=100000,INDEX($AM$1005:$BM$1005,1,MATCH(COLUMNS($AM$1006:BF1006),$AM$1006:$BM$1006,0))&gt;=100000), " ",IF(INDEX($AM$2:$BM$1001,MATCH(ROWS($AF$2:AF307),$AF$2:$AF$1001,0),MATCH(COLUMNS($AM$1006:BF1006),$AM$1006:$BM$1006,0)), HYPERLINK("#",""), HYPERLINK(CONCATENATE("#metadata!", ADDRESS(INDEX($AH$2:$AH$1001,MATCH(ROWS($AF$2:AF307),$AF$2:$AF$1001,0),0), INDEX($AM$1004:$BM$1004,1,MATCH(COLUMNS($AM$1006:BF1006),$AM$1006:$BM$1006,0)))),"Fix")))</f>
        <v xml:space="preserve"> </v>
      </c>
      <c r="V307" s="4" t="str">
        <f ca="1">IF(OR(INDEX($AG$2:$AG$1001,MATCH(ROWS($AF$2:AF307),$AF$2:$AF$1001,0),1)&gt;=100000,INDEX($AM$1005:$BM$1005,1,MATCH(COLUMNS($AM$1006:BG1006),$AM$1006:$BM$1006,0))&gt;=100000), " ",IF(INDEX($AM$2:$BM$1001,MATCH(ROWS($AF$2:AF307),$AF$2:$AF$1001,0),MATCH(COLUMNS($AM$1006:BG1006),$AM$1006:$BM$1006,0)), HYPERLINK("#",""), HYPERLINK(CONCATENATE("#metadata!", ADDRESS(INDEX($AH$2:$AH$1001,MATCH(ROWS($AF$2:AF307),$AF$2:$AF$1001,0),0), INDEX($AM$1004:$BM$1004,1,MATCH(COLUMNS($AM$1006:BG1006),$AM$1006:$BM$1006,0)))),"Fix")))</f>
        <v xml:space="preserve"> </v>
      </c>
      <c r="W307" s="4" t="str">
        <f ca="1">IF(OR(INDEX($AG$2:$AG$1001,MATCH(ROWS($AF$2:AF307),$AF$2:$AF$1001,0),1)&gt;=100000,INDEX($AM$1005:$BM$1005,1,MATCH(COLUMNS($AM$1006:BH1006),$AM$1006:$BM$1006,0))&gt;=100000), " ",IF(INDEX($AM$2:$BM$1001,MATCH(ROWS($AF$2:AF307),$AF$2:$AF$1001,0),MATCH(COLUMNS($AM$1006:BH1006),$AM$1006:$BM$1006,0)), HYPERLINK("#",""), HYPERLINK(CONCATENATE("#metadata!", ADDRESS(INDEX($AH$2:$AH$1001,MATCH(ROWS($AF$2:AF307),$AF$2:$AF$1001,0),0), INDEX($AM$1004:$BM$1004,1,MATCH(COLUMNS($AM$1006:BH1006),$AM$1006:$BM$1006,0)))),"Fix")))</f>
        <v xml:space="preserve"> </v>
      </c>
      <c r="X307" s="4" t="str">
        <f ca="1">IF(OR(INDEX($AG$2:$AG$1001,MATCH(ROWS($AF$2:AF307),$AF$2:$AF$1001,0),1)&gt;=100000,INDEX($AM$1005:$BM$1005,1,MATCH(COLUMNS($AM$1006:BI1006),$AM$1006:$BM$1006,0))&gt;=100000), " ",IF(INDEX($AM$2:$BM$1001,MATCH(ROWS($AF$2:AF307),$AF$2:$AF$1001,0),MATCH(COLUMNS($AM$1006:BI1006),$AM$1006:$BM$1006,0)), HYPERLINK("#",""), HYPERLINK(CONCATENATE("#metadata!", ADDRESS(INDEX($AH$2:$AH$1001,MATCH(ROWS($AF$2:AF307),$AF$2:$AF$1001,0),0), INDEX($AM$1004:$BM$1004,1,MATCH(COLUMNS($AM$1006:BI1006),$AM$1006:$BM$1006,0)))),"Fix")))</f>
        <v xml:space="preserve"> </v>
      </c>
      <c r="Y307" s="4" t="str">
        <f ca="1">IF(OR(INDEX($AG$2:$AG$1001,MATCH(ROWS($AF$2:AF307),$AF$2:$AF$1001,0),1)&gt;=100000,INDEX($AM$1005:$BM$1005,1,MATCH(COLUMNS($AM$1006:BJ1006),$AM$1006:$BM$1006,0))&gt;=100000), " ",IF(INDEX($AM$2:$BM$1001,MATCH(ROWS($AF$2:AF307),$AF$2:$AF$1001,0),MATCH(COLUMNS($AM$1006:BJ1006),$AM$1006:$BM$1006,0)), HYPERLINK("#",""), HYPERLINK(CONCATENATE("#metadata!", ADDRESS(INDEX($AH$2:$AH$1001,MATCH(ROWS($AF$2:AF307),$AF$2:$AF$1001,0),0), INDEX($AM$1004:$BM$1004,1,MATCH(COLUMNS($AM$1006:BJ1006),$AM$1006:$BM$1006,0)))),"Fix")))</f>
        <v xml:space="preserve"> </v>
      </c>
      <c r="Z307" s="4" t="str">
        <f ca="1">IF(OR(INDEX($AG$2:$AG$1001,MATCH(ROWS($AF$2:AF307),$AF$2:$AF$1001,0),1)&gt;=100000,INDEX($AM$1005:$BM$1005,1,MATCH(COLUMNS($AM$1006:BK1006),$AM$1006:$BM$1006,0))&gt;=100000), " ",IF(INDEX($AM$2:$BM$1001,MATCH(ROWS($AF$2:AF307),$AF$2:$AF$1001,0),MATCH(COLUMNS($AM$1006:BK1006),$AM$1006:$BM$1006,0)), HYPERLINK("#",""), HYPERLINK(CONCATENATE("#metadata!", ADDRESS(INDEX($AH$2:$AH$1001,MATCH(ROWS($AF$2:AF307),$AF$2:$AF$1001,0),0), INDEX($AM$1004:$BM$1004,1,MATCH(COLUMNS($AM$1006:BK1006),$AM$1006:$BM$1006,0)))),"Fix")))</f>
        <v xml:space="preserve"> </v>
      </c>
      <c r="AA307" s="4" t="str">
        <f ca="1">IF(OR(INDEX($AG$2:$AG$1001,MATCH(ROWS($AF$2:AF307),$AF$2:$AF$1001,0),1)&gt;=100000,INDEX($AM$1005:$BM$1005,1,MATCH(COLUMNS($AM$1006:BL1006),$AM$1006:$BM$1006,0))&gt;=100000), " ",IF(INDEX($AM$2:$BM$1001,MATCH(ROWS($AF$2:AF307),$AF$2:$AF$1001,0),MATCH(COLUMNS($AM$1006:BL1006),$AM$1006:$BM$1006,0)), HYPERLINK("#",""), HYPERLINK(CONCATENATE("#metadata!", ADDRESS(INDEX($AH$2:$AH$1001,MATCH(ROWS($AF$2:AF307),$AF$2:$AF$1001,0),0), INDEX($AM$1004:$BM$1004,1,MATCH(COLUMNS($AM$1006:BL1006),$AM$1006:$BM$1006,0)))),"Fix")))</f>
        <v xml:space="preserve"> </v>
      </c>
      <c r="AB307" s="4" t="str">
        <f ca="1">IF(OR(INDEX($AG$2:$AG$1001,MATCH(ROWS($AF$2:AF307),$AF$2:$AF$1001,0),1)&gt;=100000,INDEX($AM$1005:$BM$1005,1,MATCH(COLUMNS($AM$1006:BM1006),$AM$1006:$BM$1006,0))&gt;=100000), " ",IF(INDEX($AM$2:$BM$1001,MATCH(ROWS($AF$2:AF307),$AF$2:$AF$1001,0),MATCH(COLUMNS($AM$1006:BM1006),$AM$1006:$BM$1006,0)), HYPERLINK("#",""), HYPERLINK(CONCATENATE("#metadata!", ADDRESS(INDEX($AH$2:$AH$1001,MATCH(ROWS($AF$2:AF307),$AF$2:$AF$1001,0),0), INDEX($AM$1004:$BM$1004,1,MATCH(COLUMNS($AM$1006:BM1006),$AM$1006:$BM$1006,0)))),"Fix")))</f>
        <v xml:space="preserve"> </v>
      </c>
      <c r="AF307">
        <v>306</v>
      </c>
      <c r="AG307">
        <v>100307</v>
      </c>
      <c r="AH307">
        <v>307</v>
      </c>
      <c r="AI307" t="b">
        <f t="shared" si="4"/>
        <v>1</v>
      </c>
      <c r="AJ307" t="b">
        <f>COUNTBLANK(metadata!B307:AB307)=COLUMNS(metadata!B307:AB307)</f>
        <v>1</v>
      </c>
      <c r="AK307" t="str">
        <v/>
      </c>
      <c r="AM307" t="b">
        <f ca="1">AND(IF(metadata!B307="",FALSE,TRUE),COUNTIF(metadata!B:B, metadata!B307) = 1,NOT(ISERROR(SUMPRODUCT(SEARCH(MID(metadata!B307,ROW(INDIRECT("1:"&amp;LEN(metadata!B307))), 1),"0123456789abcdefghijklmnopqrstuvwxyzABCDEFGHIJKLMNOPQRSTUVWXYZ.")))))</f>
        <v>0</v>
      </c>
      <c r="AN307" t="b">
        <f ca="1">OR(AND(IF(metadata!C307="",FALSE,TRUE),OR(EXACT(metadata!C307,"missing: not collected"),EXACT(metadata!C307,"missing: not provided"),EXACT(metadata!C307,"missing: restricted access"))),AND(IF(metadata!C307="",FALSE,TRUE),AND(AND(IFERROR(INT(LEFT(metadata!C307,4))&gt;1900,FALSE),IFERROR(INT(LEFT(metadata!C307,4))&lt;=YEAR(NOW()),FALSE)), OR(MID(metadata!C307,5,1)="", AND(AND(MID(metadata!C307,5,1)="-",IFERROR(INT(MID(metadata!C307,6,1))&gt;=0,FALSE),IFERROR(INT(MID(metadata!C307,6,1))&lt;=1,FALSE),NOT(MID(metadata!C307,7,1)=""),IFERROR(INT(MID(metadata!C307,6,2))&gt;=1,FALSE),IFERROR(INT(MID(metadata!C307,6,2))&lt;=12,FALSE)), OR(MID(metadata!C307,8,1)="", AND(AND(MID(metadata!C307,8,1)="-",IFERROR(INT(MID(metadata!C307,9,1))&gt;=0,FALSE),IFERROR(INT(MID(metadata!C307,9,1))&lt;=3,FALSE),NOT(MID(metadata!C307,10,1)=""),IFERROR(INT(MID(metadata!C307,9,2))&gt;=1,FALSE),IFERROR(INT(MID(metadata!C307,9,2))&lt;=31,FALSE)), OR(MID(metadata!C307,11,1)="", AND(AND(MID(metadata!C307,11,1)=" ",IFERROR(INT(MID(metadata!C307,12,1))&gt;=0,FALSE),IFERROR(INT(MID(metadata!C307,12,1))&lt;=2,FALSE),NOT(MID(metadata!C307,13,1)=""),IFERROR(INT(MID(metadata!C307,12,2))&gt;=0,FALSE),IFERROR(INT(MID(metadata!C307,12,2))&lt;=23,FALSE)), OR(MID(metadata!C307,14,1)="", AND(AND(MID(metadata!C307,14,1)=":",IFERROR(INT(MID(metadata!C307,15,1))&gt;=0,FALSE),IFERROR(INT(MID(metadata!C307,15,1))&lt;=5,FALSE),NOT(MID(metadata!C307,16,1)=""),IFERROR(INT(MID(metadata!C307,15,2))&gt;=0,FALSE),IFERROR(INT(MID(metadata!C307,15,2))&lt;=59,FALSE)), OR(MID(metadata!C307,17,1)="", AND(AND(MID(metadata!C307,17,1)=":",IFERROR(INT(MID(metadata!C307,18,1))&gt;=0,FALSE),IFERROR(INT(MID(metadata!C307,18,1))&lt;=5,FALSE),NOT(MID(metadata!C307,19,1)=""),IFERROR(INT(MID(metadata!C307,18,2))&gt;=0,FALSE),IFERROR(INT(MID(metadata!C307,18,2))&lt;=59,FALSE)), LEN(metadata!C307)&lt;=19)))))))))))))</f>
        <v>0</v>
      </c>
      <c r="AO307" t="b">
        <f>AND(IF(metadata!D307="",FALSE,TRUE),EXACT(metadata!D307,"Not applicable"))</f>
        <v>0</v>
      </c>
      <c r="AP307" t="b">
        <f>IF(metadata!E307="",FALSE,TRUE)</f>
        <v>0</v>
      </c>
      <c r="AQ307" t="b">
        <f>OR(AND(IF(metadata!F307="",FALSE,TRUE),OR(EXACT(metadata!F307,"missing: not collected"),EXACT(metadata!F307,"missing: not provided"))),AND(IF(metadata!F307="",FALSE,TRUE),OR(EXACT(metadata!F307,"TRUE"),EXACT(metadata!F307,"FALSE"))))</f>
        <v>0</v>
      </c>
      <c r="AR307" t="b">
        <f>OR(AND(IF(metadata!G307="",FALSE,TRUE),OR(EXACT(metadata!G307,"missing: not collected"),EXACT(metadata!G307,"missing: not provided"),EXACT(metadata!G307,"missing: restricted access"))),AND(IF(metadata!G307="",FALSE,ISNUMBER(VALUE(metadata!G307))),metadata!G307&gt;=-413))</f>
        <v>0</v>
      </c>
      <c r="AS307" t="b">
        <f>AND(IF(metadata!H307="",FALSE,TRUE),EXACT(metadata!H307,"meters"))</f>
        <v>0</v>
      </c>
      <c r="AT307" t="b">
        <f>AND(IF(metadata!I307="",FALSE,TRUE),OR(EXACT(metadata!I307,"Host-associated"),EXACT(metadata!I307,"Free-living")))</f>
        <v>0</v>
      </c>
      <c r="AU307" t="b">
        <f>AND(IF(metadata!J307="",FALSE,TRUE),OR(EXACT(metadata!J307,"Animal"),EXACT(metadata!J307,"Fungus"),EXACT(metadata!J307,"Plant"),EXACT(metadata!J307,"Saline"),EXACT(metadata!J307,"Non-saline")))</f>
        <v>0</v>
      </c>
      <c r="AV307" t="b">
        <f>AND(IF(metadata!K307="",FALSE,TRUE),OR(EXACT(metadata!K307,"Plant secretion"),EXACT(metadata!K307,"Plant rhizosphere"),EXACT(metadata!K307,"Plant surface"),EXACT(metadata!K307,"Plant corpus"),EXACT(metadata!K307,"Fungus surface"),EXACT(metadata!K307,"Fungus corpus"),EXACT(metadata!K307,"Animal surface"),EXACT(metadata!K307,"Animal proximal gut"),EXACT(metadata!K307,"Animal corpus"),EXACT(metadata!K307,"Animal distal gut"),EXACT(metadata!K307,"Animal secretion"),EXACT(metadata!K307,"Sub-surface (non-saline)"),EXACT(metadata!K307,"Surface (non-saline)"),EXACT(metadata!K307,"Water (non-saline)"),EXACT(metadata!K307,"Soil (non-saline)"),EXACT(metadata!K307,"Aerosol (non-saline)"),EXACT(metadata!K307,"Sediment (non-saline)"),EXACT(metadata!K307,"Surface (saline)"),EXACT(metadata!K307,"Water (saline)"),EXACT(metadata!K307,"Hypersaline (saline)"),EXACT(metadata!K307,"Aerosol (saline)"),EXACT(metadata!K307,"Sediment (saline)")))</f>
        <v>0</v>
      </c>
      <c r="AW307" t="b">
        <f>IF(metadata!L307="",FALSE,TRUE)</f>
        <v>0</v>
      </c>
      <c r="AX307" t="b">
        <f>IF(metadata!M307="",FALSE,TRUE)</f>
        <v>0</v>
      </c>
      <c r="AY307" t="b">
        <f>IF(metadata!N307="",FALSE,TRUE)</f>
        <v>0</v>
      </c>
      <c r="AZ307" t="b">
        <f>OR(AND(IF(metadata!O307="",FALSE,TRUE),OR(EXACT(metadata!O307,"missing: not collected"),EXACT(metadata!O307,"missing: not provided"),EXACT(metadata!O307,"missing: restricted access"))),AND(IF(metadata!O307="",FALSE,TRUE),OR(EXACT(metadata!O307,"air"),EXACT(metadata!O307,"built environment"),EXACT(metadata!O307,"host-associated"),EXACT(metadata!O307,"human-associated"),EXACT(metadata!O307,"human-skin"),EXACT(metadata!O307,"human-oral"),EXACT(metadata!O307,"human-gut"),EXACT(metadata!O307,"human-vaginal"),EXACT(metadata!O307,"microbial mat/biofilm"),EXACT(metadata!O307,"misc environment"),EXACT(metadata!O307,"plant-associated"),EXACT(metadata!O307,"sediment"),EXACT(metadata!O307,"soil"),EXACT(metadata!O307,"wastewater/sludge"),EXACT(metadata!O307,"water"))))</f>
        <v>0</v>
      </c>
      <c r="BA307" t="b">
        <f>IF(metadata!P307="",FALSE,TRUE)</f>
        <v>0</v>
      </c>
      <c r="BB307" t="b">
        <f>IF(metadata!Q307="",FALSE,TRUE)</f>
        <v>0</v>
      </c>
      <c r="BC307" t="b">
        <f>OR(AND(IF(metadata!R307="",FALSE,TRUE),OR(EXACT(metadata!R307,"missing: not collected"),EXACT(metadata!R307,"missing: not provided"),EXACT(metadata!R307,"missing: restricted access"))),AND(IF(metadata!R307="",FALSE,ISNUMBER(VALUE(metadata!R307))),metadata!R307&gt;=-90,metadata!R307&lt;=90))</f>
        <v>0</v>
      </c>
      <c r="BD307" t="b">
        <f>AND(IF(metadata!S307="",FALSE,TRUE),EXACT(metadata!S307,"Decimal degrees"))</f>
        <v>0</v>
      </c>
      <c r="BE307" t="b">
        <f>OR(AND(IF(metadata!T307="",FALSE,TRUE),OR(EXACT(metadata!T307,"missing: not collected"),EXACT(metadata!T307,"missing: not provided"),EXACT(metadata!T307,"missing: restricted access"))),AND(IF(metadata!T307="",FALSE,ISNUMBER(VALUE(metadata!T307))),metadata!T307&gt;=-180,metadata!T307&lt;=180))</f>
        <v>0</v>
      </c>
      <c r="BF307" t="b">
        <f>AND(IF(metadata!U307="",FALSE,TRUE),EXACT(metadata!U307,"Decimal degrees"))</f>
        <v>0</v>
      </c>
      <c r="BG307" t="b">
        <f>IF(metadata!V307="",FALSE,TRUE)</f>
        <v>0</v>
      </c>
      <c r="BH307" t="b">
        <f>OR(AND(IF(metadata!W307="",FALSE,TRUE),OR(EXACT(metadata!W307,"missing: not collected"),EXACT(metadata!W307,"missing: not provided"),EXACT(metadata!W307,"missing: restricted access"))),AND(IF(metadata!W307="",FALSE,TRUE),OR(EXACT(metadata!W307,"TRUE"),EXACT(metadata!W307,"FALSE"))))</f>
        <v>0</v>
      </c>
      <c r="BI307" t="b">
        <f>AND(IF(metadata!X307="",FALSE,TRUE),EXACT(metadata!X307,"other"))</f>
        <v>0</v>
      </c>
      <c r="BJ307" t="b">
        <f>IF(metadata!Y307="",FALSE,TRUE)</f>
        <v>0</v>
      </c>
      <c r="BK307" t="b">
        <f>OR(AND(IF(metadata!Z307="",FALSE,TRUE),OR(EXACT(metadata!Z307,"missing: not collected"),EXACT(metadata!Z307,"missing: not provided"))),AND(IF(metadata!Z307="",FALSE,IF(ISERROR(INT(metadata!Z307)),FALSE,INT(metadata!Z307)=metadata!Z307)),metadata!Z307&gt;0))</f>
        <v>0</v>
      </c>
      <c r="BL307" t="b">
        <f>AND(IF(metadata!AA307="",FALSE,TRUE),EXACT(metadata!AA307,"Not applicable"))</f>
        <v>0</v>
      </c>
      <c r="BM307" t="b">
        <f>IF(metadata!AB307="",FALSE,TRUE)</f>
        <v>0</v>
      </c>
    </row>
    <row r="308" spans="1:65" x14ac:dyDescent="0.2">
      <c r="A308" s="5" t="str">
        <f ca="1">IF(B308=" "," ",HYPERLINK(CONCATENATE("#metadata!",ADDRESS(INDEX($AH$2:$AH$1001,MATCH(ROWS($AF$2:AF308),$AF$2:$AF$1001,0),0),1)),INDEX($AK$2:$AK$1001,MATCH(ROWS($AF$2:AF308),$AF$2:$AF$1001,0),0)))</f>
        <v xml:space="preserve"> </v>
      </c>
      <c r="B308" s="4" t="str">
        <f ca="1">IF(OR(INDEX($AG$2:$AG$1001,MATCH(ROWS($AF$2:AF308),$AF$2:$AF$1001,0),1)&gt;=100000,INDEX($AM$1005:$BM$1005,1,MATCH(COLUMNS($AM$1006:AM1006),$AM$1006:$BM$1006,0))&gt;=100000), " ",IF(INDEX($AM$2:$BM$1001,MATCH(ROWS($AF$2:AF308),$AF$2:$AF$1001,0),MATCH(COLUMNS($AM$1006:AM1006),$AM$1006:$BM$1006,0)), HYPERLINK("#",""), HYPERLINK(CONCATENATE("#metadata!", ADDRESS(INDEX($AH$2:$AH$1001,MATCH(ROWS($AF$2:AF308),$AF$2:$AF$1001,0),0), INDEX($AM$1004:$BM$1004,1,MATCH(COLUMNS($AM$1006:AM1006),$AM$1006:$BM$1006,0)))),"Fix")))</f>
        <v xml:space="preserve"> </v>
      </c>
      <c r="C308" s="4" t="str">
        <f ca="1">IF(OR(INDEX($AG$2:$AG$1001,MATCH(ROWS($AF$2:AF308),$AF$2:$AF$1001,0),1)&gt;=100000,INDEX($AM$1005:$BM$1005,1,MATCH(COLUMNS($AM$1006:AN1006),$AM$1006:$BM$1006,0))&gt;=100000), " ",IF(INDEX($AM$2:$BM$1001,MATCH(ROWS($AF$2:AF308),$AF$2:$AF$1001,0),MATCH(COLUMNS($AM$1006:AN1006),$AM$1006:$BM$1006,0)), HYPERLINK("#",""), HYPERLINK(CONCATENATE("#metadata!", ADDRESS(INDEX($AH$2:$AH$1001,MATCH(ROWS($AF$2:AF308),$AF$2:$AF$1001,0),0), INDEX($AM$1004:$BM$1004,1,MATCH(COLUMNS($AM$1006:AN1006),$AM$1006:$BM$1006,0)))),"Fix")))</f>
        <v xml:space="preserve"> </v>
      </c>
      <c r="D308" s="4" t="str">
        <f ca="1">IF(OR(INDEX($AG$2:$AG$1001,MATCH(ROWS($AF$2:AF308),$AF$2:$AF$1001,0),1)&gt;=100000,INDEX($AM$1005:$BM$1005,1,MATCH(COLUMNS($AM$1006:AO1006),$AM$1006:$BM$1006,0))&gt;=100000), " ",IF(INDEX($AM$2:$BM$1001,MATCH(ROWS($AF$2:AF308),$AF$2:$AF$1001,0),MATCH(COLUMNS($AM$1006:AO1006),$AM$1006:$BM$1006,0)), HYPERLINK("#",""), HYPERLINK(CONCATENATE("#metadata!", ADDRESS(INDEX($AH$2:$AH$1001,MATCH(ROWS($AF$2:AF308),$AF$2:$AF$1001,0),0), INDEX($AM$1004:$BM$1004,1,MATCH(COLUMNS($AM$1006:AO1006),$AM$1006:$BM$1006,0)))),"Fix")))</f>
        <v xml:space="preserve"> </v>
      </c>
      <c r="E308" s="4" t="str">
        <f ca="1">IF(OR(INDEX($AG$2:$AG$1001,MATCH(ROWS($AF$2:AF308),$AF$2:$AF$1001,0),1)&gt;=100000,INDEX($AM$1005:$BM$1005,1,MATCH(COLUMNS($AM$1006:AP1006),$AM$1006:$BM$1006,0))&gt;=100000), " ",IF(INDEX($AM$2:$BM$1001,MATCH(ROWS($AF$2:AF308),$AF$2:$AF$1001,0),MATCH(COLUMNS($AM$1006:AP1006),$AM$1006:$BM$1006,0)), HYPERLINK("#",""), HYPERLINK(CONCATENATE("#metadata!", ADDRESS(INDEX($AH$2:$AH$1001,MATCH(ROWS($AF$2:AF308),$AF$2:$AF$1001,0),0), INDEX($AM$1004:$BM$1004,1,MATCH(COLUMNS($AM$1006:AP1006),$AM$1006:$BM$1006,0)))),"Fix")))</f>
        <v xml:space="preserve"> </v>
      </c>
      <c r="F308" s="4" t="str">
        <f ca="1">IF(OR(INDEX($AG$2:$AG$1001,MATCH(ROWS($AF$2:AF308),$AF$2:$AF$1001,0),1)&gt;=100000,INDEX($AM$1005:$BM$1005,1,MATCH(COLUMNS($AM$1006:AQ1006),$AM$1006:$BM$1006,0))&gt;=100000), " ",IF(INDEX($AM$2:$BM$1001,MATCH(ROWS($AF$2:AF308),$AF$2:$AF$1001,0),MATCH(COLUMNS($AM$1006:AQ1006),$AM$1006:$BM$1006,0)), HYPERLINK("#",""), HYPERLINK(CONCATENATE("#metadata!", ADDRESS(INDEX($AH$2:$AH$1001,MATCH(ROWS($AF$2:AF308),$AF$2:$AF$1001,0),0), INDEX($AM$1004:$BM$1004,1,MATCH(COLUMNS($AM$1006:AQ1006),$AM$1006:$BM$1006,0)))),"Fix")))</f>
        <v xml:space="preserve"> </v>
      </c>
      <c r="G308" s="4" t="str">
        <f ca="1">IF(OR(INDEX($AG$2:$AG$1001,MATCH(ROWS($AF$2:AF308),$AF$2:$AF$1001,0),1)&gt;=100000,INDEX($AM$1005:$BM$1005,1,MATCH(COLUMNS($AM$1006:AR1006),$AM$1006:$BM$1006,0))&gt;=100000), " ",IF(INDEX($AM$2:$BM$1001,MATCH(ROWS($AF$2:AF308),$AF$2:$AF$1001,0),MATCH(COLUMNS($AM$1006:AR1006),$AM$1006:$BM$1006,0)), HYPERLINK("#",""), HYPERLINK(CONCATENATE("#metadata!", ADDRESS(INDEX($AH$2:$AH$1001,MATCH(ROWS($AF$2:AF308),$AF$2:$AF$1001,0),0), INDEX($AM$1004:$BM$1004,1,MATCH(COLUMNS($AM$1006:AR1006),$AM$1006:$BM$1006,0)))),"Fix")))</f>
        <v xml:space="preserve"> </v>
      </c>
      <c r="H308" s="4" t="str">
        <f ca="1">IF(OR(INDEX($AG$2:$AG$1001,MATCH(ROWS($AF$2:AF308),$AF$2:$AF$1001,0),1)&gt;=100000,INDEX($AM$1005:$BM$1005,1,MATCH(COLUMNS($AM$1006:AS1006),$AM$1006:$BM$1006,0))&gt;=100000), " ",IF(INDEX($AM$2:$BM$1001,MATCH(ROWS($AF$2:AF308),$AF$2:$AF$1001,0),MATCH(COLUMNS($AM$1006:AS1006),$AM$1006:$BM$1006,0)), HYPERLINK("#",""), HYPERLINK(CONCATENATE("#metadata!", ADDRESS(INDEX($AH$2:$AH$1001,MATCH(ROWS($AF$2:AF308),$AF$2:$AF$1001,0),0), INDEX($AM$1004:$BM$1004,1,MATCH(COLUMNS($AM$1006:AS1006),$AM$1006:$BM$1006,0)))),"Fix")))</f>
        <v xml:space="preserve"> </v>
      </c>
      <c r="I308" s="4" t="str">
        <f ca="1">IF(OR(INDEX($AG$2:$AG$1001,MATCH(ROWS($AF$2:AF308),$AF$2:$AF$1001,0),1)&gt;=100000,INDEX($AM$1005:$BM$1005,1,MATCH(COLUMNS($AM$1006:AT1006),$AM$1006:$BM$1006,0))&gt;=100000), " ",IF(INDEX($AM$2:$BM$1001,MATCH(ROWS($AF$2:AF308),$AF$2:$AF$1001,0),MATCH(COLUMNS($AM$1006:AT1006),$AM$1006:$BM$1006,0)), HYPERLINK("#",""), HYPERLINK(CONCATENATE("#metadata!", ADDRESS(INDEX($AH$2:$AH$1001,MATCH(ROWS($AF$2:AF308),$AF$2:$AF$1001,0),0), INDEX($AM$1004:$BM$1004,1,MATCH(COLUMNS($AM$1006:AT1006),$AM$1006:$BM$1006,0)))),"Fix")))</f>
        <v xml:space="preserve"> </v>
      </c>
      <c r="J308" s="4" t="str">
        <f ca="1">IF(OR(INDEX($AG$2:$AG$1001,MATCH(ROWS($AF$2:AF308),$AF$2:$AF$1001,0),1)&gt;=100000,INDEX($AM$1005:$BM$1005,1,MATCH(COLUMNS($AM$1006:AU1006),$AM$1006:$BM$1006,0))&gt;=100000), " ",IF(INDEX($AM$2:$BM$1001,MATCH(ROWS($AF$2:AF308),$AF$2:$AF$1001,0),MATCH(COLUMNS($AM$1006:AU1006),$AM$1006:$BM$1006,0)), HYPERLINK("#",""), HYPERLINK(CONCATENATE("#metadata!", ADDRESS(INDEX($AH$2:$AH$1001,MATCH(ROWS($AF$2:AF308),$AF$2:$AF$1001,0),0), INDEX($AM$1004:$BM$1004,1,MATCH(COLUMNS($AM$1006:AU1006),$AM$1006:$BM$1006,0)))),"Fix")))</f>
        <v xml:space="preserve"> </v>
      </c>
      <c r="K308" s="4" t="str">
        <f ca="1">IF(OR(INDEX($AG$2:$AG$1001,MATCH(ROWS($AF$2:AF308),$AF$2:$AF$1001,0),1)&gt;=100000,INDEX($AM$1005:$BM$1005,1,MATCH(COLUMNS($AM$1006:AV1006),$AM$1006:$BM$1006,0))&gt;=100000), " ",IF(INDEX($AM$2:$BM$1001,MATCH(ROWS($AF$2:AF308),$AF$2:$AF$1001,0),MATCH(COLUMNS($AM$1006:AV1006),$AM$1006:$BM$1006,0)), HYPERLINK("#",""), HYPERLINK(CONCATENATE("#metadata!", ADDRESS(INDEX($AH$2:$AH$1001,MATCH(ROWS($AF$2:AF308),$AF$2:$AF$1001,0),0), INDEX($AM$1004:$BM$1004,1,MATCH(COLUMNS($AM$1006:AV1006),$AM$1006:$BM$1006,0)))),"Fix")))</f>
        <v xml:space="preserve"> </v>
      </c>
      <c r="L308" s="4" t="str">
        <f ca="1">IF(OR(INDEX($AG$2:$AG$1001,MATCH(ROWS($AF$2:AF308),$AF$2:$AF$1001,0),1)&gt;=100000,INDEX($AM$1005:$BM$1005,1,MATCH(COLUMNS($AM$1006:AW1006),$AM$1006:$BM$1006,0))&gt;=100000), " ",IF(INDEX($AM$2:$BM$1001,MATCH(ROWS($AF$2:AF308),$AF$2:$AF$1001,0),MATCH(COLUMNS($AM$1006:AW1006),$AM$1006:$BM$1006,0)), HYPERLINK("#",""), HYPERLINK(CONCATENATE("#metadata!", ADDRESS(INDEX($AH$2:$AH$1001,MATCH(ROWS($AF$2:AF308),$AF$2:$AF$1001,0),0), INDEX($AM$1004:$BM$1004,1,MATCH(COLUMNS($AM$1006:AW1006),$AM$1006:$BM$1006,0)))),"Fix")))</f>
        <v xml:space="preserve"> </v>
      </c>
      <c r="M308" s="4" t="str">
        <f ca="1">IF(OR(INDEX($AG$2:$AG$1001,MATCH(ROWS($AF$2:AF308),$AF$2:$AF$1001,0),1)&gt;=100000,INDEX($AM$1005:$BM$1005,1,MATCH(COLUMNS($AM$1006:AX1006),$AM$1006:$BM$1006,0))&gt;=100000), " ",IF(INDEX($AM$2:$BM$1001,MATCH(ROWS($AF$2:AF308),$AF$2:$AF$1001,0),MATCH(COLUMNS($AM$1006:AX1006),$AM$1006:$BM$1006,0)), HYPERLINK("#",""), HYPERLINK(CONCATENATE("#metadata!", ADDRESS(INDEX($AH$2:$AH$1001,MATCH(ROWS($AF$2:AF308),$AF$2:$AF$1001,0),0), INDEX($AM$1004:$BM$1004,1,MATCH(COLUMNS($AM$1006:AX1006),$AM$1006:$BM$1006,0)))),"Fix")))</f>
        <v xml:space="preserve"> </v>
      </c>
      <c r="N308" s="4" t="str">
        <f ca="1">IF(OR(INDEX($AG$2:$AG$1001,MATCH(ROWS($AF$2:AF308),$AF$2:$AF$1001,0),1)&gt;=100000,INDEX($AM$1005:$BM$1005,1,MATCH(COLUMNS($AM$1006:AY1006),$AM$1006:$BM$1006,0))&gt;=100000), " ",IF(INDEX($AM$2:$BM$1001,MATCH(ROWS($AF$2:AF308),$AF$2:$AF$1001,0),MATCH(COLUMNS($AM$1006:AY1006),$AM$1006:$BM$1006,0)), HYPERLINK("#",""), HYPERLINK(CONCATENATE("#metadata!", ADDRESS(INDEX($AH$2:$AH$1001,MATCH(ROWS($AF$2:AF308),$AF$2:$AF$1001,0),0), INDEX($AM$1004:$BM$1004,1,MATCH(COLUMNS($AM$1006:AY1006),$AM$1006:$BM$1006,0)))),"Fix")))</f>
        <v xml:space="preserve"> </v>
      </c>
      <c r="O308" s="4" t="str">
        <f ca="1">IF(OR(INDEX($AG$2:$AG$1001,MATCH(ROWS($AF$2:AF308),$AF$2:$AF$1001,0),1)&gt;=100000,INDEX($AM$1005:$BM$1005,1,MATCH(COLUMNS($AM$1006:AZ1006),$AM$1006:$BM$1006,0))&gt;=100000), " ",IF(INDEX($AM$2:$BM$1001,MATCH(ROWS($AF$2:AF308),$AF$2:$AF$1001,0),MATCH(COLUMNS($AM$1006:AZ1006),$AM$1006:$BM$1006,0)), HYPERLINK("#",""), HYPERLINK(CONCATENATE("#metadata!", ADDRESS(INDEX($AH$2:$AH$1001,MATCH(ROWS($AF$2:AF308),$AF$2:$AF$1001,0),0), INDEX($AM$1004:$BM$1004,1,MATCH(COLUMNS($AM$1006:AZ1006),$AM$1006:$BM$1006,0)))),"Fix")))</f>
        <v xml:space="preserve"> </v>
      </c>
      <c r="P308" s="4" t="str">
        <f ca="1">IF(OR(INDEX($AG$2:$AG$1001,MATCH(ROWS($AF$2:AF308),$AF$2:$AF$1001,0),1)&gt;=100000,INDEX($AM$1005:$BM$1005,1,MATCH(COLUMNS($AM$1006:BA1006),$AM$1006:$BM$1006,0))&gt;=100000), " ",IF(INDEX($AM$2:$BM$1001,MATCH(ROWS($AF$2:AF308),$AF$2:$AF$1001,0),MATCH(COLUMNS($AM$1006:BA1006),$AM$1006:$BM$1006,0)), HYPERLINK("#",""), HYPERLINK(CONCATENATE("#metadata!", ADDRESS(INDEX($AH$2:$AH$1001,MATCH(ROWS($AF$2:AF308),$AF$2:$AF$1001,0),0), INDEX($AM$1004:$BM$1004,1,MATCH(COLUMNS($AM$1006:BA1006),$AM$1006:$BM$1006,0)))),"Fix")))</f>
        <v xml:space="preserve"> </v>
      </c>
      <c r="Q308" s="4" t="str">
        <f ca="1">IF(OR(INDEX($AG$2:$AG$1001,MATCH(ROWS($AF$2:AF308),$AF$2:$AF$1001,0),1)&gt;=100000,INDEX($AM$1005:$BM$1005,1,MATCH(COLUMNS($AM$1006:BB1006),$AM$1006:$BM$1006,0))&gt;=100000), " ",IF(INDEX($AM$2:$BM$1001,MATCH(ROWS($AF$2:AF308),$AF$2:$AF$1001,0),MATCH(COLUMNS($AM$1006:BB1006),$AM$1006:$BM$1006,0)), HYPERLINK("#",""), HYPERLINK(CONCATENATE("#metadata!", ADDRESS(INDEX($AH$2:$AH$1001,MATCH(ROWS($AF$2:AF308),$AF$2:$AF$1001,0),0), INDEX($AM$1004:$BM$1004,1,MATCH(COLUMNS($AM$1006:BB1006),$AM$1006:$BM$1006,0)))),"Fix")))</f>
        <v xml:space="preserve"> </v>
      </c>
      <c r="R308" s="4" t="str">
        <f ca="1">IF(OR(INDEX($AG$2:$AG$1001,MATCH(ROWS($AF$2:AF308),$AF$2:$AF$1001,0),1)&gt;=100000,INDEX($AM$1005:$BM$1005,1,MATCH(COLUMNS($AM$1006:BC1006),$AM$1006:$BM$1006,0))&gt;=100000), " ",IF(INDEX($AM$2:$BM$1001,MATCH(ROWS($AF$2:AF308),$AF$2:$AF$1001,0),MATCH(COLUMNS($AM$1006:BC1006),$AM$1006:$BM$1006,0)), HYPERLINK("#",""), HYPERLINK(CONCATENATE("#metadata!", ADDRESS(INDEX($AH$2:$AH$1001,MATCH(ROWS($AF$2:AF308),$AF$2:$AF$1001,0),0), INDEX($AM$1004:$BM$1004,1,MATCH(COLUMNS($AM$1006:BC1006),$AM$1006:$BM$1006,0)))),"Fix")))</f>
        <v xml:space="preserve"> </v>
      </c>
      <c r="S308" s="4" t="str">
        <f ca="1">IF(OR(INDEX($AG$2:$AG$1001,MATCH(ROWS($AF$2:AF308),$AF$2:$AF$1001,0),1)&gt;=100000,INDEX($AM$1005:$BM$1005,1,MATCH(COLUMNS($AM$1006:BD1006),$AM$1006:$BM$1006,0))&gt;=100000), " ",IF(INDEX($AM$2:$BM$1001,MATCH(ROWS($AF$2:AF308),$AF$2:$AF$1001,0),MATCH(COLUMNS($AM$1006:BD1006),$AM$1006:$BM$1006,0)), HYPERLINK("#",""), HYPERLINK(CONCATENATE("#metadata!", ADDRESS(INDEX($AH$2:$AH$1001,MATCH(ROWS($AF$2:AF308),$AF$2:$AF$1001,0),0), INDEX($AM$1004:$BM$1004,1,MATCH(COLUMNS($AM$1006:BD1006),$AM$1006:$BM$1006,0)))),"Fix")))</f>
        <v xml:space="preserve"> </v>
      </c>
      <c r="T308" s="4" t="str">
        <f ca="1">IF(OR(INDEX($AG$2:$AG$1001,MATCH(ROWS($AF$2:AF308),$AF$2:$AF$1001,0),1)&gt;=100000,INDEX($AM$1005:$BM$1005,1,MATCH(COLUMNS($AM$1006:BE1006),$AM$1006:$BM$1006,0))&gt;=100000), " ",IF(INDEX($AM$2:$BM$1001,MATCH(ROWS($AF$2:AF308),$AF$2:$AF$1001,0),MATCH(COLUMNS($AM$1006:BE1006),$AM$1006:$BM$1006,0)), HYPERLINK("#",""), HYPERLINK(CONCATENATE("#metadata!", ADDRESS(INDEX($AH$2:$AH$1001,MATCH(ROWS($AF$2:AF308),$AF$2:$AF$1001,0),0), INDEX($AM$1004:$BM$1004,1,MATCH(COLUMNS($AM$1006:BE1006),$AM$1006:$BM$1006,0)))),"Fix")))</f>
        <v xml:space="preserve"> </v>
      </c>
      <c r="U308" s="4" t="str">
        <f ca="1">IF(OR(INDEX($AG$2:$AG$1001,MATCH(ROWS($AF$2:AF308),$AF$2:$AF$1001,0),1)&gt;=100000,INDEX($AM$1005:$BM$1005,1,MATCH(COLUMNS($AM$1006:BF1006),$AM$1006:$BM$1006,0))&gt;=100000), " ",IF(INDEX($AM$2:$BM$1001,MATCH(ROWS($AF$2:AF308),$AF$2:$AF$1001,0),MATCH(COLUMNS($AM$1006:BF1006),$AM$1006:$BM$1006,0)), HYPERLINK("#",""), HYPERLINK(CONCATENATE("#metadata!", ADDRESS(INDEX($AH$2:$AH$1001,MATCH(ROWS($AF$2:AF308),$AF$2:$AF$1001,0),0), INDEX($AM$1004:$BM$1004,1,MATCH(COLUMNS($AM$1006:BF1006),$AM$1006:$BM$1006,0)))),"Fix")))</f>
        <v xml:space="preserve"> </v>
      </c>
      <c r="V308" s="4" t="str">
        <f ca="1">IF(OR(INDEX($AG$2:$AG$1001,MATCH(ROWS($AF$2:AF308),$AF$2:$AF$1001,0),1)&gt;=100000,INDEX($AM$1005:$BM$1005,1,MATCH(COLUMNS($AM$1006:BG1006),$AM$1006:$BM$1006,0))&gt;=100000), " ",IF(INDEX($AM$2:$BM$1001,MATCH(ROWS($AF$2:AF308),$AF$2:$AF$1001,0),MATCH(COLUMNS($AM$1006:BG1006),$AM$1006:$BM$1006,0)), HYPERLINK("#",""), HYPERLINK(CONCATENATE("#metadata!", ADDRESS(INDEX($AH$2:$AH$1001,MATCH(ROWS($AF$2:AF308),$AF$2:$AF$1001,0),0), INDEX($AM$1004:$BM$1004,1,MATCH(COLUMNS($AM$1006:BG1006),$AM$1006:$BM$1006,0)))),"Fix")))</f>
        <v xml:space="preserve"> </v>
      </c>
      <c r="W308" s="4" t="str">
        <f ca="1">IF(OR(INDEX($AG$2:$AG$1001,MATCH(ROWS($AF$2:AF308),$AF$2:$AF$1001,0),1)&gt;=100000,INDEX($AM$1005:$BM$1005,1,MATCH(COLUMNS($AM$1006:BH1006),$AM$1006:$BM$1006,0))&gt;=100000), " ",IF(INDEX($AM$2:$BM$1001,MATCH(ROWS($AF$2:AF308),$AF$2:$AF$1001,0),MATCH(COLUMNS($AM$1006:BH1006),$AM$1006:$BM$1006,0)), HYPERLINK("#",""), HYPERLINK(CONCATENATE("#metadata!", ADDRESS(INDEX($AH$2:$AH$1001,MATCH(ROWS($AF$2:AF308),$AF$2:$AF$1001,0),0), INDEX($AM$1004:$BM$1004,1,MATCH(COLUMNS($AM$1006:BH1006),$AM$1006:$BM$1006,0)))),"Fix")))</f>
        <v xml:space="preserve"> </v>
      </c>
      <c r="X308" s="4" t="str">
        <f ca="1">IF(OR(INDEX($AG$2:$AG$1001,MATCH(ROWS($AF$2:AF308),$AF$2:$AF$1001,0),1)&gt;=100000,INDEX($AM$1005:$BM$1005,1,MATCH(COLUMNS($AM$1006:BI1006),$AM$1006:$BM$1006,0))&gt;=100000), " ",IF(INDEX($AM$2:$BM$1001,MATCH(ROWS($AF$2:AF308),$AF$2:$AF$1001,0),MATCH(COLUMNS($AM$1006:BI1006),$AM$1006:$BM$1006,0)), HYPERLINK("#",""), HYPERLINK(CONCATENATE("#metadata!", ADDRESS(INDEX($AH$2:$AH$1001,MATCH(ROWS($AF$2:AF308),$AF$2:$AF$1001,0),0), INDEX($AM$1004:$BM$1004,1,MATCH(COLUMNS($AM$1006:BI1006),$AM$1006:$BM$1006,0)))),"Fix")))</f>
        <v xml:space="preserve"> </v>
      </c>
      <c r="Y308" s="4" t="str">
        <f ca="1">IF(OR(INDEX($AG$2:$AG$1001,MATCH(ROWS($AF$2:AF308),$AF$2:$AF$1001,0),1)&gt;=100000,INDEX($AM$1005:$BM$1005,1,MATCH(COLUMNS($AM$1006:BJ1006),$AM$1006:$BM$1006,0))&gt;=100000), " ",IF(INDEX($AM$2:$BM$1001,MATCH(ROWS($AF$2:AF308),$AF$2:$AF$1001,0),MATCH(COLUMNS($AM$1006:BJ1006),$AM$1006:$BM$1006,0)), HYPERLINK("#",""), HYPERLINK(CONCATENATE("#metadata!", ADDRESS(INDEX($AH$2:$AH$1001,MATCH(ROWS($AF$2:AF308),$AF$2:$AF$1001,0),0), INDEX($AM$1004:$BM$1004,1,MATCH(COLUMNS($AM$1006:BJ1006),$AM$1006:$BM$1006,0)))),"Fix")))</f>
        <v xml:space="preserve"> </v>
      </c>
      <c r="Z308" s="4" t="str">
        <f ca="1">IF(OR(INDEX($AG$2:$AG$1001,MATCH(ROWS($AF$2:AF308),$AF$2:$AF$1001,0),1)&gt;=100000,INDEX($AM$1005:$BM$1005,1,MATCH(COLUMNS($AM$1006:BK1006),$AM$1006:$BM$1006,0))&gt;=100000), " ",IF(INDEX($AM$2:$BM$1001,MATCH(ROWS($AF$2:AF308),$AF$2:$AF$1001,0),MATCH(COLUMNS($AM$1006:BK1006),$AM$1006:$BM$1006,0)), HYPERLINK("#",""), HYPERLINK(CONCATENATE("#metadata!", ADDRESS(INDEX($AH$2:$AH$1001,MATCH(ROWS($AF$2:AF308),$AF$2:$AF$1001,0),0), INDEX($AM$1004:$BM$1004,1,MATCH(COLUMNS($AM$1006:BK1006),$AM$1006:$BM$1006,0)))),"Fix")))</f>
        <v xml:space="preserve"> </v>
      </c>
      <c r="AA308" s="4" t="str">
        <f ca="1">IF(OR(INDEX($AG$2:$AG$1001,MATCH(ROWS($AF$2:AF308),$AF$2:$AF$1001,0),1)&gt;=100000,INDEX($AM$1005:$BM$1005,1,MATCH(COLUMNS($AM$1006:BL1006),$AM$1006:$BM$1006,0))&gt;=100000), " ",IF(INDEX($AM$2:$BM$1001,MATCH(ROWS($AF$2:AF308),$AF$2:$AF$1001,0),MATCH(COLUMNS($AM$1006:BL1006),$AM$1006:$BM$1006,0)), HYPERLINK("#",""), HYPERLINK(CONCATENATE("#metadata!", ADDRESS(INDEX($AH$2:$AH$1001,MATCH(ROWS($AF$2:AF308),$AF$2:$AF$1001,0),0), INDEX($AM$1004:$BM$1004,1,MATCH(COLUMNS($AM$1006:BL1006),$AM$1006:$BM$1006,0)))),"Fix")))</f>
        <v xml:space="preserve"> </v>
      </c>
      <c r="AB308" s="4" t="str">
        <f ca="1">IF(OR(INDEX($AG$2:$AG$1001,MATCH(ROWS($AF$2:AF308),$AF$2:$AF$1001,0),1)&gt;=100000,INDEX($AM$1005:$BM$1005,1,MATCH(COLUMNS($AM$1006:BM1006),$AM$1006:$BM$1006,0))&gt;=100000), " ",IF(INDEX($AM$2:$BM$1001,MATCH(ROWS($AF$2:AF308),$AF$2:$AF$1001,0),MATCH(COLUMNS($AM$1006:BM1006),$AM$1006:$BM$1006,0)), HYPERLINK("#",""), HYPERLINK(CONCATENATE("#metadata!", ADDRESS(INDEX($AH$2:$AH$1001,MATCH(ROWS($AF$2:AF308),$AF$2:$AF$1001,0),0), INDEX($AM$1004:$BM$1004,1,MATCH(COLUMNS($AM$1006:BM1006),$AM$1006:$BM$1006,0)))),"Fix")))</f>
        <v xml:space="preserve"> </v>
      </c>
      <c r="AF308">
        <v>307</v>
      </c>
      <c r="AG308">
        <v>100308</v>
      </c>
      <c r="AH308">
        <v>308</v>
      </c>
      <c r="AI308" t="b">
        <f t="shared" si="4"/>
        <v>1</v>
      </c>
      <c r="AJ308" t="b">
        <f>COUNTBLANK(metadata!B308:AB308)=COLUMNS(metadata!B308:AB308)</f>
        <v>1</v>
      </c>
      <c r="AK308" t="str">
        <v/>
      </c>
      <c r="AM308" t="b">
        <f ca="1">AND(IF(metadata!B308="",FALSE,TRUE),COUNTIF(metadata!B:B, metadata!B308) = 1,NOT(ISERROR(SUMPRODUCT(SEARCH(MID(metadata!B308,ROW(INDIRECT("1:"&amp;LEN(metadata!B308))), 1),"0123456789abcdefghijklmnopqrstuvwxyzABCDEFGHIJKLMNOPQRSTUVWXYZ.")))))</f>
        <v>0</v>
      </c>
      <c r="AN308" t="b">
        <f ca="1">OR(AND(IF(metadata!C308="",FALSE,TRUE),OR(EXACT(metadata!C308,"missing: not collected"),EXACT(metadata!C308,"missing: not provided"),EXACT(metadata!C308,"missing: restricted access"))),AND(IF(metadata!C308="",FALSE,TRUE),AND(AND(IFERROR(INT(LEFT(metadata!C308,4))&gt;1900,FALSE),IFERROR(INT(LEFT(metadata!C308,4))&lt;=YEAR(NOW()),FALSE)), OR(MID(metadata!C308,5,1)="", AND(AND(MID(metadata!C308,5,1)="-",IFERROR(INT(MID(metadata!C308,6,1))&gt;=0,FALSE),IFERROR(INT(MID(metadata!C308,6,1))&lt;=1,FALSE),NOT(MID(metadata!C308,7,1)=""),IFERROR(INT(MID(metadata!C308,6,2))&gt;=1,FALSE),IFERROR(INT(MID(metadata!C308,6,2))&lt;=12,FALSE)), OR(MID(metadata!C308,8,1)="", AND(AND(MID(metadata!C308,8,1)="-",IFERROR(INT(MID(metadata!C308,9,1))&gt;=0,FALSE),IFERROR(INT(MID(metadata!C308,9,1))&lt;=3,FALSE),NOT(MID(metadata!C308,10,1)=""),IFERROR(INT(MID(metadata!C308,9,2))&gt;=1,FALSE),IFERROR(INT(MID(metadata!C308,9,2))&lt;=31,FALSE)), OR(MID(metadata!C308,11,1)="", AND(AND(MID(metadata!C308,11,1)=" ",IFERROR(INT(MID(metadata!C308,12,1))&gt;=0,FALSE),IFERROR(INT(MID(metadata!C308,12,1))&lt;=2,FALSE),NOT(MID(metadata!C308,13,1)=""),IFERROR(INT(MID(metadata!C308,12,2))&gt;=0,FALSE),IFERROR(INT(MID(metadata!C308,12,2))&lt;=23,FALSE)), OR(MID(metadata!C308,14,1)="", AND(AND(MID(metadata!C308,14,1)=":",IFERROR(INT(MID(metadata!C308,15,1))&gt;=0,FALSE),IFERROR(INT(MID(metadata!C308,15,1))&lt;=5,FALSE),NOT(MID(metadata!C308,16,1)=""),IFERROR(INT(MID(metadata!C308,15,2))&gt;=0,FALSE),IFERROR(INT(MID(metadata!C308,15,2))&lt;=59,FALSE)), OR(MID(metadata!C308,17,1)="", AND(AND(MID(metadata!C308,17,1)=":",IFERROR(INT(MID(metadata!C308,18,1))&gt;=0,FALSE),IFERROR(INT(MID(metadata!C308,18,1))&lt;=5,FALSE),NOT(MID(metadata!C308,19,1)=""),IFERROR(INT(MID(metadata!C308,18,2))&gt;=0,FALSE),IFERROR(INT(MID(metadata!C308,18,2))&lt;=59,FALSE)), LEN(metadata!C308)&lt;=19)))))))))))))</f>
        <v>0</v>
      </c>
      <c r="AO308" t="b">
        <f>AND(IF(metadata!D308="",FALSE,TRUE),EXACT(metadata!D308,"Not applicable"))</f>
        <v>0</v>
      </c>
      <c r="AP308" t="b">
        <f>IF(metadata!E308="",FALSE,TRUE)</f>
        <v>0</v>
      </c>
      <c r="AQ308" t="b">
        <f>OR(AND(IF(metadata!F308="",FALSE,TRUE),OR(EXACT(metadata!F308,"missing: not collected"),EXACT(metadata!F308,"missing: not provided"))),AND(IF(metadata!F308="",FALSE,TRUE),OR(EXACT(metadata!F308,"TRUE"),EXACT(metadata!F308,"FALSE"))))</f>
        <v>0</v>
      </c>
      <c r="AR308" t="b">
        <f>OR(AND(IF(metadata!G308="",FALSE,TRUE),OR(EXACT(metadata!G308,"missing: not collected"),EXACT(metadata!G308,"missing: not provided"),EXACT(metadata!G308,"missing: restricted access"))),AND(IF(metadata!G308="",FALSE,ISNUMBER(VALUE(metadata!G308))),metadata!G308&gt;=-413))</f>
        <v>0</v>
      </c>
      <c r="AS308" t="b">
        <f>AND(IF(metadata!H308="",FALSE,TRUE),EXACT(metadata!H308,"meters"))</f>
        <v>0</v>
      </c>
      <c r="AT308" t="b">
        <f>AND(IF(metadata!I308="",FALSE,TRUE),OR(EXACT(metadata!I308,"Host-associated"),EXACT(metadata!I308,"Free-living")))</f>
        <v>0</v>
      </c>
      <c r="AU308" t="b">
        <f>AND(IF(metadata!J308="",FALSE,TRUE),OR(EXACT(metadata!J308,"Animal"),EXACT(metadata!J308,"Fungus"),EXACT(metadata!J308,"Plant"),EXACT(metadata!J308,"Saline"),EXACT(metadata!J308,"Non-saline")))</f>
        <v>0</v>
      </c>
      <c r="AV308" t="b">
        <f>AND(IF(metadata!K308="",FALSE,TRUE),OR(EXACT(metadata!K308,"Plant secretion"),EXACT(metadata!K308,"Plant rhizosphere"),EXACT(metadata!K308,"Plant surface"),EXACT(metadata!K308,"Plant corpus"),EXACT(metadata!K308,"Fungus surface"),EXACT(metadata!K308,"Fungus corpus"),EXACT(metadata!K308,"Animal surface"),EXACT(metadata!K308,"Animal proximal gut"),EXACT(metadata!K308,"Animal corpus"),EXACT(metadata!K308,"Animal distal gut"),EXACT(metadata!K308,"Animal secretion"),EXACT(metadata!K308,"Sub-surface (non-saline)"),EXACT(metadata!K308,"Surface (non-saline)"),EXACT(metadata!K308,"Water (non-saline)"),EXACT(metadata!K308,"Soil (non-saline)"),EXACT(metadata!K308,"Aerosol (non-saline)"),EXACT(metadata!K308,"Sediment (non-saline)"),EXACT(metadata!K308,"Surface (saline)"),EXACT(metadata!K308,"Water (saline)"),EXACT(metadata!K308,"Hypersaline (saline)"),EXACT(metadata!K308,"Aerosol (saline)"),EXACT(metadata!K308,"Sediment (saline)")))</f>
        <v>0</v>
      </c>
      <c r="AW308" t="b">
        <f>IF(metadata!L308="",FALSE,TRUE)</f>
        <v>0</v>
      </c>
      <c r="AX308" t="b">
        <f>IF(metadata!M308="",FALSE,TRUE)</f>
        <v>0</v>
      </c>
      <c r="AY308" t="b">
        <f>IF(metadata!N308="",FALSE,TRUE)</f>
        <v>0</v>
      </c>
      <c r="AZ308" t="b">
        <f>OR(AND(IF(metadata!O308="",FALSE,TRUE),OR(EXACT(metadata!O308,"missing: not collected"),EXACT(metadata!O308,"missing: not provided"),EXACT(metadata!O308,"missing: restricted access"))),AND(IF(metadata!O308="",FALSE,TRUE),OR(EXACT(metadata!O308,"air"),EXACT(metadata!O308,"built environment"),EXACT(metadata!O308,"host-associated"),EXACT(metadata!O308,"human-associated"),EXACT(metadata!O308,"human-skin"),EXACT(metadata!O308,"human-oral"),EXACT(metadata!O308,"human-gut"),EXACT(metadata!O308,"human-vaginal"),EXACT(metadata!O308,"microbial mat/biofilm"),EXACT(metadata!O308,"misc environment"),EXACT(metadata!O308,"plant-associated"),EXACT(metadata!O308,"sediment"),EXACT(metadata!O308,"soil"),EXACT(metadata!O308,"wastewater/sludge"),EXACT(metadata!O308,"water"))))</f>
        <v>0</v>
      </c>
      <c r="BA308" t="b">
        <f>IF(metadata!P308="",FALSE,TRUE)</f>
        <v>0</v>
      </c>
      <c r="BB308" t="b">
        <f>IF(metadata!Q308="",FALSE,TRUE)</f>
        <v>0</v>
      </c>
      <c r="BC308" t="b">
        <f>OR(AND(IF(metadata!R308="",FALSE,TRUE),OR(EXACT(metadata!R308,"missing: not collected"),EXACT(metadata!R308,"missing: not provided"),EXACT(metadata!R308,"missing: restricted access"))),AND(IF(metadata!R308="",FALSE,ISNUMBER(VALUE(metadata!R308))),metadata!R308&gt;=-90,metadata!R308&lt;=90))</f>
        <v>0</v>
      </c>
      <c r="BD308" t="b">
        <f>AND(IF(metadata!S308="",FALSE,TRUE),EXACT(metadata!S308,"Decimal degrees"))</f>
        <v>0</v>
      </c>
      <c r="BE308" t="b">
        <f>OR(AND(IF(metadata!T308="",FALSE,TRUE),OR(EXACT(metadata!T308,"missing: not collected"),EXACT(metadata!T308,"missing: not provided"),EXACT(metadata!T308,"missing: restricted access"))),AND(IF(metadata!T308="",FALSE,ISNUMBER(VALUE(metadata!T308))),metadata!T308&gt;=-180,metadata!T308&lt;=180))</f>
        <v>0</v>
      </c>
      <c r="BF308" t="b">
        <f>AND(IF(metadata!U308="",FALSE,TRUE),EXACT(metadata!U308,"Decimal degrees"))</f>
        <v>0</v>
      </c>
      <c r="BG308" t="b">
        <f>IF(metadata!V308="",FALSE,TRUE)</f>
        <v>0</v>
      </c>
      <c r="BH308" t="b">
        <f>OR(AND(IF(metadata!W308="",FALSE,TRUE),OR(EXACT(metadata!W308,"missing: not collected"),EXACT(metadata!W308,"missing: not provided"),EXACT(metadata!W308,"missing: restricted access"))),AND(IF(metadata!W308="",FALSE,TRUE),OR(EXACT(metadata!W308,"TRUE"),EXACT(metadata!W308,"FALSE"))))</f>
        <v>0</v>
      </c>
      <c r="BI308" t="b">
        <f>AND(IF(metadata!X308="",FALSE,TRUE),EXACT(metadata!X308,"other"))</f>
        <v>0</v>
      </c>
      <c r="BJ308" t="b">
        <f>IF(metadata!Y308="",FALSE,TRUE)</f>
        <v>0</v>
      </c>
      <c r="BK308" t="b">
        <f>OR(AND(IF(metadata!Z308="",FALSE,TRUE),OR(EXACT(metadata!Z308,"missing: not collected"),EXACT(metadata!Z308,"missing: not provided"))),AND(IF(metadata!Z308="",FALSE,IF(ISERROR(INT(metadata!Z308)),FALSE,INT(metadata!Z308)=metadata!Z308)),metadata!Z308&gt;0))</f>
        <v>0</v>
      </c>
      <c r="BL308" t="b">
        <f>AND(IF(metadata!AA308="",FALSE,TRUE),EXACT(metadata!AA308,"Not applicable"))</f>
        <v>0</v>
      </c>
      <c r="BM308" t="b">
        <f>IF(metadata!AB308="",FALSE,TRUE)</f>
        <v>0</v>
      </c>
    </row>
    <row r="309" spans="1:65" x14ac:dyDescent="0.2">
      <c r="A309" s="5" t="str">
        <f ca="1">IF(B309=" "," ",HYPERLINK(CONCATENATE("#metadata!",ADDRESS(INDEX($AH$2:$AH$1001,MATCH(ROWS($AF$2:AF309),$AF$2:$AF$1001,0),0),1)),INDEX($AK$2:$AK$1001,MATCH(ROWS($AF$2:AF309),$AF$2:$AF$1001,0),0)))</f>
        <v xml:space="preserve"> </v>
      </c>
      <c r="B309" s="4" t="str">
        <f ca="1">IF(OR(INDEX($AG$2:$AG$1001,MATCH(ROWS($AF$2:AF309),$AF$2:$AF$1001,0),1)&gt;=100000,INDEX($AM$1005:$BM$1005,1,MATCH(COLUMNS($AM$1006:AM1006),$AM$1006:$BM$1006,0))&gt;=100000), " ",IF(INDEX($AM$2:$BM$1001,MATCH(ROWS($AF$2:AF309),$AF$2:$AF$1001,0),MATCH(COLUMNS($AM$1006:AM1006),$AM$1006:$BM$1006,0)), HYPERLINK("#",""), HYPERLINK(CONCATENATE("#metadata!", ADDRESS(INDEX($AH$2:$AH$1001,MATCH(ROWS($AF$2:AF309),$AF$2:$AF$1001,0),0), INDEX($AM$1004:$BM$1004,1,MATCH(COLUMNS($AM$1006:AM1006),$AM$1006:$BM$1006,0)))),"Fix")))</f>
        <v xml:space="preserve"> </v>
      </c>
      <c r="C309" s="4" t="str">
        <f ca="1">IF(OR(INDEX($AG$2:$AG$1001,MATCH(ROWS($AF$2:AF309),$AF$2:$AF$1001,0),1)&gt;=100000,INDEX($AM$1005:$BM$1005,1,MATCH(COLUMNS($AM$1006:AN1006),$AM$1006:$BM$1006,0))&gt;=100000), " ",IF(INDEX($AM$2:$BM$1001,MATCH(ROWS($AF$2:AF309),$AF$2:$AF$1001,0),MATCH(COLUMNS($AM$1006:AN1006),$AM$1006:$BM$1006,0)), HYPERLINK("#",""), HYPERLINK(CONCATENATE("#metadata!", ADDRESS(INDEX($AH$2:$AH$1001,MATCH(ROWS($AF$2:AF309),$AF$2:$AF$1001,0),0), INDEX($AM$1004:$BM$1004,1,MATCH(COLUMNS($AM$1006:AN1006),$AM$1006:$BM$1006,0)))),"Fix")))</f>
        <v xml:space="preserve"> </v>
      </c>
      <c r="D309" s="4" t="str">
        <f ca="1">IF(OR(INDEX($AG$2:$AG$1001,MATCH(ROWS($AF$2:AF309),$AF$2:$AF$1001,0),1)&gt;=100000,INDEX($AM$1005:$BM$1005,1,MATCH(COLUMNS($AM$1006:AO1006),$AM$1006:$BM$1006,0))&gt;=100000), " ",IF(INDEX($AM$2:$BM$1001,MATCH(ROWS($AF$2:AF309),$AF$2:$AF$1001,0),MATCH(COLUMNS($AM$1006:AO1006),$AM$1006:$BM$1006,0)), HYPERLINK("#",""), HYPERLINK(CONCATENATE("#metadata!", ADDRESS(INDEX($AH$2:$AH$1001,MATCH(ROWS($AF$2:AF309),$AF$2:$AF$1001,0),0), INDEX($AM$1004:$BM$1004,1,MATCH(COLUMNS($AM$1006:AO1006),$AM$1006:$BM$1006,0)))),"Fix")))</f>
        <v xml:space="preserve"> </v>
      </c>
      <c r="E309" s="4" t="str">
        <f ca="1">IF(OR(INDEX($AG$2:$AG$1001,MATCH(ROWS($AF$2:AF309),$AF$2:$AF$1001,0),1)&gt;=100000,INDEX($AM$1005:$BM$1005,1,MATCH(COLUMNS($AM$1006:AP1006),$AM$1006:$BM$1006,0))&gt;=100000), " ",IF(INDEX($AM$2:$BM$1001,MATCH(ROWS($AF$2:AF309),$AF$2:$AF$1001,0),MATCH(COLUMNS($AM$1006:AP1006),$AM$1006:$BM$1006,0)), HYPERLINK("#",""), HYPERLINK(CONCATENATE("#metadata!", ADDRESS(INDEX($AH$2:$AH$1001,MATCH(ROWS($AF$2:AF309),$AF$2:$AF$1001,0),0), INDEX($AM$1004:$BM$1004,1,MATCH(COLUMNS($AM$1006:AP1006),$AM$1006:$BM$1006,0)))),"Fix")))</f>
        <v xml:space="preserve"> </v>
      </c>
      <c r="F309" s="4" t="str">
        <f ca="1">IF(OR(INDEX($AG$2:$AG$1001,MATCH(ROWS($AF$2:AF309),$AF$2:$AF$1001,0),1)&gt;=100000,INDEX($AM$1005:$BM$1005,1,MATCH(COLUMNS($AM$1006:AQ1006),$AM$1006:$BM$1006,0))&gt;=100000), " ",IF(INDEX($AM$2:$BM$1001,MATCH(ROWS($AF$2:AF309),$AF$2:$AF$1001,0),MATCH(COLUMNS($AM$1006:AQ1006),$AM$1006:$BM$1006,0)), HYPERLINK("#",""), HYPERLINK(CONCATENATE("#metadata!", ADDRESS(INDEX($AH$2:$AH$1001,MATCH(ROWS($AF$2:AF309),$AF$2:$AF$1001,0),0), INDEX($AM$1004:$BM$1004,1,MATCH(COLUMNS($AM$1006:AQ1006),$AM$1006:$BM$1006,0)))),"Fix")))</f>
        <v xml:space="preserve"> </v>
      </c>
      <c r="G309" s="4" t="str">
        <f ca="1">IF(OR(INDEX($AG$2:$AG$1001,MATCH(ROWS($AF$2:AF309),$AF$2:$AF$1001,0),1)&gt;=100000,INDEX($AM$1005:$BM$1005,1,MATCH(COLUMNS($AM$1006:AR1006),$AM$1006:$BM$1006,0))&gt;=100000), " ",IF(INDEX($AM$2:$BM$1001,MATCH(ROWS($AF$2:AF309),$AF$2:$AF$1001,0),MATCH(COLUMNS($AM$1006:AR1006),$AM$1006:$BM$1006,0)), HYPERLINK("#",""), HYPERLINK(CONCATENATE("#metadata!", ADDRESS(INDEX($AH$2:$AH$1001,MATCH(ROWS($AF$2:AF309),$AF$2:$AF$1001,0),0), INDEX($AM$1004:$BM$1004,1,MATCH(COLUMNS($AM$1006:AR1006),$AM$1006:$BM$1006,0)))),"Fix")))</f>
        <v xml:space="preserve"> </v>
      </c>
      <c r="H309" s="4" t="str">
        <f ca="1">IF(OR(INDEX($AG$2:$AG$1001,MATCH(ROWS($AF$2:AF309),$AF$2:$AF$1001,0),1)&gt;=100000,INDEX($AM$1005:$BM$1005,1,MATCH(COLUMNS($AM$1006:AS1006),$AM$1006:$BM$1006,0))&gt;=100000), " ",IF(INDEX($AM$2:$BM$1001,MATCH(ROWS($AF$2:AF309),$AF$2:$AF$1001,0),MATCH(COLUMNS($AM$1006:AS1006),$AM$1006:$BM$1006,0)), HYPERLINK("#",""), HYPERLINK(CONCATENATE("#metadata!", ADDRESS(INDEX($AH$2:$AH$1001,MATCH(ROWS($AF$2:AF309),$AF$2:$AF$1001,0),0), INDEX($AM$1004:$BM$1004,1,MATCH(COLUMNS($AM$1006:AS1006),$AM$1006:$BM$1006,0)))),"Fix")))</f>
        <v xml:space="preserve"> </v>
      </c>
      <c r="I309" s="4" t="str">
        <f ca="1">IF(OR(INDEX($AG$2:$AG$1001,MATCH(ROWS($AF$2:AF309),$AF$2:$AF$1001,0),1)&gt;=100000,INDEX($AM$1005:$BM$1005,1,MATCH(COLUMNS($AM$1006:AT1006),$AM$1006:$BM$1006,0))&gt;=100000), " ",IF(INDEX($AM$2:$BM$1001,MATCH(ROWS($AF$2:AF309),$AF$2:$AF$1001,0),MATCH(COLUMNS($AM$1006:AT1006),$AM$1006:$BM$1006,0)), HYPERLINK("#",""), HYPERLINK(CONCATENATE("#metadata!", ADDRESS(INDEX($AH$2:$AH$1001,MATCH(ROWS($AF$2:AF309),$AF$2:$AF$1001,0),0), INDEX($AM$1004:$BM$1004,1,MATCH(COLUMNS($AM$1006:AT1006),$AM$1006:$BM$1006,0)))),"Fix")))</f>
        <v xml:space="preserve"> </v>
      </c>
      <c r="J309" s="4" t="str">
        <f ca="1">IF(OR(INDEX($AG$2:$AG$1001,MATCH(ROWS($AF$2:AF309),$AF$2:$AF$1001,0),1)&gt;=100000,INDEX($AM$1005:$BM$1005,1,MATCH(COLUMNS($AM$1006:AU1006),$AM$1006:$BM$1006,0))&gt;=100000), " ",IF(INDEX($AM$2:$BM$1001,MATCH(ROWS($AF$2:AF309),$AF$2:$AF$1001,0),MATCH(COLUMNS($AM$1006:AU1006),$AM$1006:$BM$1006,0)), HYPERLINK("#",""), HYPERLINK(CONCATENATE("#metadata!", ADDRESS(INDEX($AH$2:$AH$1001,MATCH(ROWS($AF$2:AF309),$AF$2:$AF$1001,0),0), INDEX($AM$1004:$BM$1004,1,MATCH(COLUMNS($AM$1006:AU1006),$AM$1006:$BM$1006,0)))),"Fix")))</f>
        <v xml:space="preserve"> </v>
      </c>
      <c r="K309" s="4" t="str">
        <f ca="1">IF(OR(INDEX($AG$2:$AG$1001,MATCH(ROWS($AF$2:AF309),$AF$2:$AF$1001,0),1)&gt;=100000,INDEX($AM$1005:$BM$1005,1,MATCH(COLUMNS($AM$1006:AV1006),$AM$1006:$BM$1006,0))&gt;=100000), " ",IF(INDEX($AM$2:$BM$1001,MATCH(ROWS($AF$2:AF309),$AF$2:$AF$1001,0),MATCH(COLUMNS($AM$1006:AV1006),$AM$1006:$BM$1006,0)), HYPERLINK("#",""), HYPERLINK(CONCATENATE("#metadata!", ADDRESS(INDEX($AH$2:$AH$1001,MATCH(ROWS($AF$2:AF309),$AF$2:$AF$1001,0),0), INDEX($AM$1004:$BM$1004,1,MATCH(COLUMNS($AM$1006:AV1006),$AM$1006:$BM$1006,0)))),"Fix")))</f>
        <v xml:space="preserve"> </v>
      </c>
      <c r="L309" s="4" t="str">
        <f ca="1">IF(OR(INDEX($AG$2:$AG$1001,MATCH(ROWS($AF$2:AF309),$AF$2:$AF$1001,0),1)&gt;=100000,INDEX($AM$1005:$BM$1005,1,MATCH(COLUMNS($AM$1006:AW1006),$AM$1006:$BM$1006,0))&gt;=100000), " ",IF(INDEX($AM$2:$BM$1001,MATCH(ROWS($AF$2:AF309),$AF$2:$AF$1001,0),MATCH(COLUMNS($AM$1006:AW1006),$AM$1006:$BM$1006,0)), HYPERLINK("#",""), HYPERLINK(CONCATENATE("#metadata!", ADDRESS(INDEX($AH$2:$AH$1001,MATCH(ROWS($AF$2:AF309),$AF$2:$AF$1001,0),0), INDEX($AM$1004:$BM$1004,1,MATCH(COLUMNS($AM$1006:AW1006),$AM$1006:$BM$1006,0)))),"Fix")))</f>
        <v xml:space="preserve"> </v>
      </c>
      <c r="M309" s="4" t="str">
        <f ca="1">IF(OR(INDEX($AG$2:$AG$1001,MATCH(ROWS($AF$2:AF309),$AF$2:$AF$1001,0),1)&gt;=100000,INDEX($AM$1005:$BM$1005,1,MATCH(COLUMNS($AM$1006:AX1006),$AM$1006:$BM$1006,0))&gt;=100000), " ",IF(INDEX($AM$2:$BM$1001,MATCH(ROWS($AF$2:AF309),$AF$2:$AF$1001,0),MATCH(COLUMNS($AM$1006:AX1006),$AM$1006:$BM$1006,0)), HYPERLINK("#",""), HYPERLINK(CONCATENATE("#metadata!", ADDRESS(INDEX($AH$2:$AH$1001,MATCH(ROWS($AF$2:AF309),$AF$2:$AF$1001,0),0), INDEX($AM$1004:$BM$1004,1,MATCH(COLUMNS($AM$1006:AX1006),$AM$1006:$BM$1006,0)))),"Fix")))</f>
        <v xml:space="preserve"> </v>
      </c>
      <c r="N309" s="4" t="str">
        <f ca="1">IF(OR(INDEX($AG$2:$AG$1001,MATCH(ROWS($AF$2:AF309),$AF$2:$AF$1001,0),1)&gt;=100000,INDEX($AM$1005:$BM$1005,1,MATCH(COLUMNS($AM$1006:AY1006),$AM$1006:$BM$1006,0))&gt;=100000), " ",IF(INDEX($AM$2:$BM$1001,MATCH(ROWS($AF$2:AF309),$AF$2:$AF$1001,0),MATCH(COLUMNS($AM$1006:AY1006),$AM$1006:$BM$1006,0)), HYPERLINK("#",""), HYPERLINK(CONCATENATE("#metadata!", ADDRESS(INDEX($AH$2:$AH$1001,MATCH(ROWS($AF$2:AF309),$AF$2:$AF$1001,0),0), INDEX($AM$1004:$BM$1004,1,MATCH(COLUMNS($AM$1006:AY1006),$AM$1006:$BM$1006,0)))),"Fix")))</f>
        <v xml:space="preserve"> </v>
      </c>
      <c r="O309" s="4" t="str">
        <f ca="1">IF(OR(INDEX($AG$2:$AG$1001,MATCH(ROWS($AF$2:AF309),$AF$2:$AF$1001,0),1)&gt;=100000,INDEX($AM$1005:$BM$1005,1,MATCH(COLUMNS($AM$1006:AZ1006),$AM$1006:$BM$1006,0))&gt;=100000), " ",IF(INDEX($AM$2:$BM$1001,MATCH(ROWS($AF$2:AF309),$AF$2:$AF$1001,0),MATCH(COLUMNS($AM$1006:AZ1006),$AM$1006:$BM$1006,0)), HYPERLINK("#",""), HYPERLINK(CONCATENATE("#metadata!", ADDRESS(INDEX($AH$2:$AH$1001,MATCH(ROWS($AF$2:AF309),$AF$2:$AF$1001,0),0), INDEX($AM$1004:$BM$1004,1,MATCH(COLUMNS($AM$1006:AZ1006),$AM$1006:$BM$1006,0)))),"Fix")))</f>
        <v xml:space="preserve"> </v>
      </c>
      <c r="P309" s="4" t="str">
        <f ca="1">IF(OR(INDEX($AG$2:$AG$1001,MATCH(ROWS($AF$2:AF309),$AF$2:$AF$1001,0),1)&gt;=100000,INDEX($AM$1005:$BM$1005,1,MATCH(COLUMNS($AM$1006:BA1006),$AM$1006:$BM$1006,0))&gt;=100000), " ",IF(INDEX($AM$2:$BM$1001,MATCH(ROWS($AF$2:AF309),$AF$2:$AF$1001,0),MATCH(COLUMNS($AM$1006:BA1006),$AM$1006:$BM$1006,0)), HYPERLINK("#",""), HYPERLINK(CONCATENATE("#metadata!", ADDRESS(INDEX($AH$2:$AH$1001,MATCH(ROWS($AF$2:AF309),$AF$2:$AF$1001,0),0), INDEX($AM$1004:$BM$1004,1,MATCH(COLUMNS($AM$1006:BA1006),$AM$1006:$BM$1006,0)))),"Fix")))</f>
        <v xml:space="preserve"> </v>
      </c>
      <c r="Q309" s="4" t="str">
        <f ca="1">IF(OR(INDEX($AG$2:$AG$1001,MATCH(ROWS($AF$2:AF309),$AF$2:$AF$1001,0),1)&gt;=100000,INDEX($AM$1005:$BM$1005,1,MATCH(COLUMNS($AM$1006:BB1006),$AM$1006:$BM$1006,0))&gt;=100000), " ",IF(INDEX($AM$2:$BM$1001,MATCH(ROWS($AF$2:AF309),$AF$2:$AF$1001,0),MATCH(COLUMNS($AM$1006:BB1006),$AM$1006:$BM$1006,0)), HYPERLINK("#",""), HYPERLINK(CONCATENATE("#metadata!", ADDRESS(INDEX($AH$2:$AH$1001,MATCH(ROWS($AF$2:AF309),$AF$2:$AF$1001,0),0), INDEX($AM$1004:$BM$1004,1,MATCH(COLUMNS($AM$1006:BB1006),$AM$1006:$BM$1006,0)))),"Fix")))</f>
        <v xml:space="preserve"> </v>
      </c>
      <c r="R309" s="4" t="str">
        <f ca="1">IF(OR(INDEX($AG$2:$AG$1001,MATCH(ROWS($AF$2:AF309),$AF$2:$AF$1001,0),1)&gt;=100000,INDEX($AM$1005:$BM$1005,1,MATCH(COLUMNS($AM$1006:BC1006),$AM$1006:$BM$1006,0))&gt;=100000), " ",IF(INDEX($AM$2:$BM$1001,MATCH(ROWS($AF$2:AF309),$AF$2:$AF$1001,0),MATCH(COLUMNS($AM$1006:BC1006),$AM$1006:$BM$1006,0)), HYPERLINK("#",""), HYPERLINK(CONCATENATE("#metadata!", ADDRESS(INDEX($AH$2:$AH$1001,MATCH(ROWS($AF$2:AF309),$AF$2:$AF$1001,0),0), INDEX($AM$1004:$BM$1004,1,MATCH(COLUMNS($AM$1006:BC1006),$AM$1006:$BM$1006,0)))),"Fix")))</f>
        <v xml:space="preserve"> </v>
      </c>
      <c r="S309" s="4" t="str">
        <f ca="1">IF(OR(INDEX($AG$2:$AG$1001,MATCH(ROWS($AF$2:AF309),$AF$2:$AF$1001,0),1)&gt;=100000,INDEX($AM$1005:$BM$1005,1,MATCH(COLUMNS($AM$1006:BD1006),$AM$1006:$BM$1006,0))&gt;=100000), " ",IF(INDEX($AM$2:$BM$1001,MATCH(ROWS($AF$2:AF309),$AF$2:$AF$1001,0),MATCH(COLUMNS($AM$1006:BD1006),$AM$1006:$BM$1006,0)), HYPERLINK("#",""), HYPERLINK(CONCATENATE("#metadata!", ADDRESS(INDEX($AH$2:$AH$1001,MATCH(ROWS($AF$2:AF309),$AF$2:$AF$1001,0),0), INDEX($AM$1004:$BM$1004,1,MATCH(COLUMNS($AM$1006:BD1006),$AM$1006:$BM$1006,0)))),"Fix")))</f>
        <v xml:space="preserve"> </v>
      </c>
      <c r="T309" s="4" t="str">
        <f ca="1">IF(OR(INDEX($AG$2:$AG$1001,MATCH(ROWS($AF$2:AF309),$AF$2:$AF$1001,0),1)&gt;=100000,INDEX($AM$1005:$BM$1005,1,MATCH(COLUMNS($AM$1006:BE1006),$AM$1006:$BM$1006,0))&gt;=100000), " ",IF(INDEX($AM$2:$BM$1001,MATCH(ROWS($AF$2:AF309),$AF$2:$AF$1001,0),MATCH(COLUMNS($AM$1006:BE1006),$AM$1006:$BM$1006,0)), HYPERLINK("#",""), HYPERLINK(CONCATENATE("#metadata!", ADDRESS(INDEX($AH$2:$AH$1001,MATCH(ROWS($AF$2:AF309),$AF$2:$AF$1001,0),0), INDEX($AM$1004:$BM$1004,1,MATCH(COLUMNS($AM$1006:BE1006),$AM$1006:$BM$1006,0)))),"Fix")))</f>
        <v xml:space="preserve"> </v>
      </c>
      <c r="U309" s="4" t="str">
        <f ca="1">IF(OR(INDEX($AG$2:$AG$1001,MATCH(ROWS($AF$2:AF309),$AF$2:$AF$1001,0),1)&gt;=100000,INDEX($AM$1005:$BM$1005,1,MATCH(COLUMNS($AM$1006:BF1006),$AM$1006:$BM$1006,0))&gt;=100000), " ",IF(INDEX($AM$2:$BM$1001,MATCH(ROWS($AF$2:AF309),$AF$2:$AF$1001,0),MATCH(COLUMNS($AM$1006:BF1006),$AM$1006:$BM$1006,0)), HYPERLINK("#",""), HYPERLINK(CONCATENATE("#metadata!", ADDRESS(INDEX($AH$2:$AH$1001,MATCH(ROWS($AF$2:AF309),$AF$2:$AF$1001,0),0), INDEX($AM$1004:$BM$1004,1,MATCH(COLUMNS($AM$1006:BF1006),$AM$1006:$BM$1006,0)))),"Fix")))</f>
        <v xml:space="preserve"> </v>
      </c>
      <c r="V309" s="4" t="str">
        <f ca="1">IF(OR(INDEX($AG$2:$AG$1001,MATCH(ROWS($AF$2:AF309),$AF$2:$AF$1001,0),1)&gt;=100000,INDEX($AM$1005:$BM$1005,1,MATCH(COLUMNS($AM$1006:BG1006),$AM$1006:$BM$1006,0))&gt;=100000), " ",IF(INDEX($AM$2:$BM$1001,MATCH(ROWS($AF$2:AF309),$AF$2:$AF$1001,0),MATCH(COLUMNS($AM$1006:BG1006),$AM$1006:$BM$1006,0)), HYPERLINK("#",""), HYPERLINK(CONCATENATE("#metadata!", ADDRESS(INDEX($AH$2:$AH$1001,MATCH(ROWS($AF$2:AF309),$AF$2:$AF$1001,0),0), INDEX($AM$1004:$BM$1004,1,MATCH(COLUMNS($AM$1006:BG1006),$AM$1006:$BM$1006,0)))),"Fix")))</f>
        <v xml:space="preserve"> </v>
      </c>
      <c r="W309" s="4" t="str">
        <f ca="1">IF(OR(INDEX($AG$2:$AG$1001,MATCH(ROWS($AF$2:AF309),$AF$2:$AF$1001,0),1)&gt;=100000,INDEX($AM$1005:$BM$1005,1,MATCH(COLUMNS($AM$1006:BH1006),$AM$1006:$BM$1006,0))&gt;=100000), " ",IF(INDEX($AM$2:$BM$1001,MATCH(ROWS($AF$2:AF309),$AF$2:$AF$1001,0),MATCH(COLUMNS($AM$1006:BH1006),$AM$1006:$BM$1006,0)), HYPERLINK("#",""), HYPERLINK(CONCATENATE("#metadata!", ADDRESS(INDEX($AH$2:$AH$1001,MATCH(ROWS($AF$2:AF309),$AF$2:$AF$1001,0),0), INDEX($AM$1004:$BM$1004,1,MATCH(COLUMNS($AM$1006:BH1006),$AM$1006:$BM$1006,0)))),"Fix")))</f>
        <v xml:space="preserve"> </v>
      </c>
      <c r="X309" s="4" t="str">
        <f ca="1">IF(OR(INDEX($AG$2:$AG$1001,MATCH(ROWS($AF$2:AF309),$AF$2:$AF$1001,0),1)&gt;=100000,INDEX($AM$1005:$BM$1005,1,MATCH(COLUMNS($AM$1006:BI1006),$AM$1006:$BM$1006,0))&gt;=100000), " ",IF(INDEX($AM$2:$BM$1001,MATCH(ROWS($AF$2:AF309),$AF$2:$AF$1001,0),MATCH(COLUMNS($AM$1006:BI1006),$AM$1006:$BM$1006,0)), HYPERLINK("#",""), HYPERLINK(CONCATENATE("#metadata!", ADDRESS(INDEX($AH$2:$AH$1001,MATCH(ROWS($AF$2:AF309),$AF$2:$AF$1001,0),0), INDEX($AM$1004:$BM$1004,1,MATCH(COLUMNS($AM$1006:BI1006),$AM$1006:$BM$1006,0)))),"Fix")))</f>
        <v xml:space="preserve"> </v>
      </c>
      <c r="Y309" s="4" t="str">
        <f ca="1">IF(OR(INDEX($AG$2:$AG$1001,MATCH(ROWS($AF$2:AF309),$AF$2:$AF$1001,0),1)&gt;=100000,INDEX($AM$1005:$BM$1005,1,MATCH(COLUMNS($AM$1006:BJ1006),$AM$1006:$BM$1006,0))&gt;=100000), " ",IF(INDEX($AM$2:$BM$1001,MATCH(ROWS($AF$2:AF309),$AF$2:$AF$1001,0),MATCH(COLUMNS($AM$1006:BJ1006),$AM$1006:$BM$1006,0)), HYPERLINK("#",""), HYPERLINK(CONCATENATE("#metadata!", ADDRESS(INDEX($AH$2:$AH$1001,MATCH(ROWS($AF$2:AF309),$AF$2:$AF$1001,0),0), INDEX($AM$1004:$BM$1004,1,MATCH(COLUMNS($AM$1006:BJ1006),$AM$1006:$BM$1006,0)))),"Fix")))</f>
        <v xml:space="preserve"> </v>
      </c>
      <c r="Z309" s="4" t="str">
        <f ca="1">IF(OR(INDEX($AG$2:$AG$1001,MATCH(ROWS($AF$2:AF309),$AF$2:$AF$1001,0),1)&gt;=100000,INDEX($AM$1005:$BM$1005,1,MATCH(COLUMNS($AM$1006:BK1006),$AM$1006:$BM$1006,0))&gt;=100000), " ",IF(INDEX($AM$2:$BM$1001,MATCH(ROWS($AF$2:AF309),$AF$2:$AF$1001,0),MATCH(COLUMNS($AM$1006:BK1006),$AM$1006:$BM$1006,0)), HYPERLINK("#",""), HYPERLINK(CONCATENATE("#metadata!", ADDRESS(INDEX($AH$2:$AH$1001,MATCH(ROWS($AF$2:AF309),$AF$2:$AF$1001,0),0), INDEX($AM$1004:$BM$1004,1,MATCH(COLUMNS($AM$1006:BK1006),$AM$1006:$BM$1006,0)))),"Fix")))</f>
        <v xml:space="preserve"> </v>
      </c>
      <c r="AA309" s="4" t="str">
        <f ca="1">IF(OR(INDEX($AG$2:$AG$1001,MATCH(ROWS($AF$2:AF309),$AF$2:$AF$1001,0),1)&gt;=100000,INDEX($AM$1005:$BM$1005,1,MATCH(COLUMNS($AM$1006:BL1006),$AM$1006:$BM$1006,0))&gt;=100000), " ",IF(INDEX($AM$2:$BM$1001,MATCH(ROWS($AF$2:AF309),$AF$2:$AF$1001,0),MATCH(COLUMNS($AM$1006:BL1006),$AM$1006:$BM$1006,0)), HYPERLINK("#",""), HYPERLINK(CONCATENATE("#metadata!", ADDRESS(INDEX($AH$2:$AH$1001,MATCH(ROWS($AF$2:AF309),$AF$2:$AF$1001,0),0), INDEX($AM$1004:$BM$1004,1,MATCH(COLUMNS($AM$1006:BL1006),$AM$1006:$BM$1006,0)))),"Fix")))</f>
        <v xml:space="preserve"> </v>
      </c>
      <c r="AB309" s="4" t="str">
        <f ca="1">IF(OR(INDEX($AG$2:$AG$1001,MATCH(ROWS($AF$2:AF309),$AF$2:$AF$1001,0),1)&gt;=100000,INDEX($AM$1005:$BM$1005,1,MATCH(COLUMNS($AM$1006:BM1006),$AM$1006:$BM$1006,0))&gt;=100000), " ",IF(INDEX($AM$2:$BM$1001,MATCH(ROWS($AF$2:AF309),$AF$2:$AF$1001,0),MATCH(COLUMNS($AM$1006:BM1006),$AM$1006:$BM$1006,0)), HYPERLINK("#",""), HYPERLINK(CONCATENATE("#metadata!", ADDRESS(INDEX($AH$2:$AH$1001,MATCH(ROWS($AF$2:AF309),$AF$2:$AF$1001,0),0), INDEX($AM$1004:$BM$1004,1,MATCH(COLUMNS($AM$1006:BM1006),$AM$1006:$BM$1006,0)))),"Fix")))</f>
        <v xml:space="preserve"> </v>
      </c>
      <c r="AF309">
        <v>308</v>
      </c>
      <c r="AG309">
        <v>100309</v>
      </c>
      <c r="AH309">
        <v>309</v>
      </c>
      <c r="AI309" t="b">
        <f t="shared" si="4"/>
        <v>1</v>
      </c>
      <c r="AJ309" t="b">
        <f>COUNTBLANK(metadata!B309:AB309)=COLUMNS(metadata!B309:AB309)</f>
        <v>1</v>
      </c>
      <c r="AK309" t="str">
        <v/>
      </c>
      <c r="AM309" t="b">
        <f ca="1">AND(IF(metadata!B309="",FALSE,TRUE),COUNTIF(metadata!B:B, metadata!B309) = 1,NOT(ISERROR(SUMPRODUCT(SEARCH(MID(metadata!B309,ROW(INDIRECT("1:"&amp;LEN(metadata!B309))), 1),"0123456789abcdefghijklmnopqrstuvwxyzABCDEFGHIJKLMNOPQRSTUVWXYZ.")))))</f>
        <v>0</v>
      </c>
      <c r="AN309" t="b">
        <f ca="1">OR(AND(IF(metadata!C309="",FALSE,TRUE),OR(EXACT(metadata!C309,"missing: not collected"),EXACT(metadata!C309,"missing: not provided"),EXACT(metadata!C309,"missing: restricted access"))),AND(IF(metadata!C309="",FALSE,TRUE),AND(AND(IFERROR(INT(LEFT(metadata!C309,4))&gt;1900,FALSE),IFERROR(INT(LEFT(metadata!C309,4))&lt;=YEAR(NOW()),FALSE)), OR(MID(metadata!C309,5,1)="", AND(AND(MID(metadata!C309,5,1)="-",IFERROR(INT(MID(metadata!C309,6,1))&gt;=0,FALSE),IFERROR(INT(MID(metadata!C309,6,1))&lt;=1,FALSE),NOT(MID(metadata!C309,7,1)=""),IFERROR(INT(MID(metadata!C309,6,2))&gt;=1,FALSE),IFERROR(INT(MID(metadata!C309,6,2))&lt;=12,FALSE)), OR(MID(metadata!C309,8,1)="", AND(AND(MID(metadata!C309,8,1)="-",IFERROR(INT(MID(metadata!C309,9,1))&gt;=0,FALSE),IFERROR(INT(MID(metadata!C309,9,1))&lt;=3,FALSE),NOT(MID(metadata!C309,10,1)=""),IFERROR(INT(MID(metadata!C309,9,2))&gt;=1,FALSE),IFERROR(INT(MID(metadata!C309,9,2))&lt;=31,FALSE)), OR(MID(metadata!C309,11,1)="", AND(AND(MID(metadata!C309,11,1)=" ",IFERROR(INT(MID(metadata!C309,12,1))&gt;=0,FALSE),IFERROR(INT(MID(metadata!C309,12,1))&lt;=2,FALSE),NOT(MID(metadata!C309,13,1)=""),IFERROR(INT(MID(metadata!C309,12,2))&gt;=0,FALSE),IFERROR(INT(MID(metadata!C309,12,2))&lt;=23,FALSE)), OR(MID(metadata!C309,14,1)="", AND(AND(MID(metadata!C309,14,1)=":",IFERROR(INT(MID(metadata!C309,15,1))&gt;=0,FALSE),IFERROR(INT(MID(metadata!C309,15,1))&lt;=5,FALSE),NOT(MID(metadata!C309,16,1)=""),IFERROR(INT(MID(metadata!C309,15,2))&gt;=0,FALSE),IFERROR(INT(MID(metadata!C309,15,2))&lt;=59,FALSE)), OR(MID(metadata!C309,17,1)="", AND(AND(MID(metadata!C309,17,1)=":",IFERROR(INT(MID(metadata!C309,18,1))&gt;=0,FALSE),IFERROR(INT(MID(metadata!C309,18,1))&lt;=5,FALSE),NOT(MID(metadata!C309,19,1)=""),IFERROR(INT(MID(metadata!C309,18,2))&gt;=0,FALSE),IFERROR(INT(MID(metadata!C309,18,2))&lt;=59,FALSE)), LEN(metadata!C309)&lt;=19)))))))))))))</f>
        <v>0</v>
      </c>
      <c r="AO309" t="b">
        <f>AND(IF(metadata!D309="",FALSE,TRUE),EXACT(metadata!D309,"Not applicable"))</f>
        <v>0</v>
      </c>
      <c r="AP309" t="b">
        <f>IF(metadata!E309="",FALSE,TRUE)</f>
        <v>0</v>
      </c>
      <c r="AQ309" t="b">
        <f>OR(AND(IF(metadata!F309="",FALSE,TRUE),OR(EXACT(metadata!F309,"missing: not collected"),EXACT(metadata!F309,"missing: not provided"))),AND(IF(metadata!F309="",FALSE,TRUE),OR(EXACT(metadata!F309,"TRUE"),EXACT(metadata!F309,"FALSE"))))</f>
        <v>0</v>
      </c>
      <c r="AR309" t="b">
        <f>OR(AND(IF(metadata!G309="",FALSE,TRUE),OR(EXACT(metadata!G309,"missing: not collected"),EXACT(metadata!G309,"missing: not provided"),EXACT(metadata!G309,"missing: restricted access"))),AND(IF(metadata!G309="",FALSE,ISNUMBER(VALUE(metadata!G309))),metadata!G309&gt;=-413))</f>
        <v>0</v>
      </c>
      <c r="AS309" t="b">
        <f>AND(IF(metadata!H309="",FALSE,TRUE),EXACT(metadata!H309,"meters"))</f>
        <v>0</v>
      </c>
      <c r="AT309" t="b">
        <f>AND(IF(metadata!I309="",FALSE,TRUE),OR(EXACT(metadata!I309,"Host-associated"),EXACT(metadata!I309,"Free-living")))</f>
        <v>0</v>
      </c>
      <c r="AU309" t="b">
        <f>AND(IF(metadata!J309="",FALSE,TRUE),OR(EXACT(metadata!J309,"Animal"),EXACT(metadata!J309,"Fungus"),EXACT(metadata!J309,"Plant"),EXACT(metadata!J309,"Saline"),EXACT(metadata!J309,"Non-saline")))</f>
        <v>0</v>
      </c>
      <c r="AV309" t="b">
        <f>AND(IF(metadata!K309="",FALSE,TRUE),OR(EXACT(metadata!K309,"Plant secretion"),EXACT(metadata!K309,"Plant rhizosphere"),EXACT(metadata!K309,"Plant surface"),EXACT(metadata!K309,"Plant corpus"),EXACT(metadata!K309,"Fungus surface"),EXACT(metadata!K309,"Fungus corpus"),EXACT(metadata!K309,"Animal surface"),EXACT(metadata!K309,"Animal proximal gut"),EXACT(metadata!K309,"Animal corpus"),EXACT(metadata!K309,"Animal distal gut"),EXACT(metadata!K309,"Animal secretion"),EXACT(metadata!K309,"Sub-surface (non-saline)"),EXACT(metadata!K309,"Surface (non-saline)"),EXACT(metadata!K309,"Water (non-saline)"),EXACT(metadata!K309,"Soil (non-saline)"),EXACT(metadata!K309,"Aerosol (non-saline)"),EXACT(metadata!K309,"Sediment (non-saline)"),EXACT(metadata!K309,"Surface (saline)"),EXACT(metadata!K309,"Water (saline)"),EXACT(metadata!K309,"Hypersaline (saline)"),EXACT(metadata!K309,"Aerosol (saline)"),EXACT(metadata!K309,"Sediment (saline)")))</f>
        <v>0</v>
      </c>
      <c r="AW309" t="b">
        <f>IF(metadata!L309="",FALSE,TRUE)</f>
        <v>0</v>
      </c>
      <c r="AX309" t="b">
        <f>IF(metadata!M309="",FALSE,TRUE)</f>
        <v>0</v>
      </c>
      <c r="AY309" t="b">
        <f>IF(metadata!N309="",FALSE,TRUE)</f>
        <v>0</v>
      </c>
      <c r="AZ309" t="b">
        <f>OR(AND(IF(metadata!O309="",FALSE,TRUE),OR(EXACT(metadata!O309,"missing: not collected"),EXACT(metadata!O309,"missing: not provided"),EXACT(metadata!O309,"missing: restricted access"))),AND(IF(metadata!O309="",FALSE,TRUE),OR(EXACT(metadata!O309,"air"),EXACT(metadata!O309,"built environment"),EXACT(metadata!O309,"host-associated"),EXACT(metadata!O309,"human-associated"),EXACT(metadata!O309,"human-skin"),EXACT(metadata!O309,"human-oral"),EXACT(metadata!O309,"human-gut"),EXACT(metadata!O309,"human-vaginal"),EXACT(metadata!O309,"microbial mat/biofilm"),EXACT(metadata!O309,"misc environment"),EXACT(metadata!O309,"plant-associated"),EXACT(metadata!O309,"sediment"),EXACT(metadata!O309,"soil"),EXACT(metadata!O309,"wastewater/sludge"),EXACT(metadata!O309,"water"))))</f>
        <v>0</v>
      </c>
      <c r="BA309" t="b">
        <f>IF(metadata!P309="",FALSE,TRUE)</f>
        <v>0</v>
      </c>
      <c r="BB309" t="b">
        <f>IF(metadata!Q309="",FALSE,TRUE)</f>
        <v>0</v>
      </c>
      <c r="BC309" t="b">
        <f>OR(AND(IF(metadata!R309="",FALSE,TRUE),OR(EXACT(metadata!R309,"missing: not collected"),EXACT(metadata!R309,"missing: not provided"),EXACT(metadata!R309,"missing: restricted access"))),AND(IF(metadata!R309="",FALSE,ISNUMBER(VALUE(metadata!R309))),metadata!R309&gt;=-90,metadata!R309&lt;=90))</f>
        <v>0</v>
      </c>
      <c r="BD309" t="b">
        <f>AND(IF(metadata!S309="",FALSE,TRUE),EXACT(metadata!S309,"Decimal degrees"))</f>
        <v>0</v>
      </c>
      <c r="BE309" t="b">
        <f>OR(AND(IF(metadata!T309="",FALSE,TRUE),OR(EXACT(metadata!T309,"missing: not collected"),EXACT(metadata!T309,"missing: not provided"),EXACT(metadata!T309,"missing: restricted access"))),AND(IF(metadata!T309="",FALSE,ISNUMBER(VALUE(metadata!T309))),metadata!T309&gt;=-180,metadata!T309&lt;=180))</f>
        <v>0</v>
      </c>
      <c r="BF309" t="b">
        <f>AND(IF(metadata!U309="",FALSE,TRUE),EXACT(metadata!U309,"Decimal degrees"))</f>
        <v>0</v>
      </c>
      <c r="BG309" t="b">
        <f>IF(metadata!V309="",FALSE,TRUE)</f>
        <v>0</v>
      </c>
      <c r="BH309" t="b">
        <f>OR(AND(IF(metadata!W309="",FALSE,TRUE),OR(EXACT(metadata!W309,"missing: not collected"),EXACT(metadata!W309,"missing: not provided"),EXACT(metadata!W309,"missing: restricted access"))),AND(IF(metadata!W309="",FALSE,TRUE),OR(EXACT(metadata!W309,"TRUE"),EXACT(metadata!W309,"FALSE"))))</f>
        <v>0</v>
      </c>
      <c r="BI309" t="b">
        <f>AND(IF(metadata!X309="",FALSE,TRUE),EXACT(metadata!X309,"other"))</f>
        <v>0</v>
      </c>
      <c r="BJ309" t="b">
        <f>IF(metadata!Y309="",FALSE,TRUE)</f>
        <v>0</v>
      </c>
      <c r="BK309" t="b">
        <f>OR(AND(IF(metadata!Z309="",FALSE,TRUE),OR(EXACT(metadata!Z309,"missing: not collected"),EXACT(metadata!Z309,"missing: not provided"))),AND(IF(metadata!Z309="",FALSE,IF(ISERROR(INT(metadata!Z309)),FALSE,INT(metadata!Z309)=metadata!Z309)),metadata!Z309&gt;0))</f>
        <v>0</v>
      </c>
      <c r="BL309" t="b">
        <f>AND(IF(metadata!AA309="",FALSE,TRUE),EXACT(metadata!AA309,"Not applicable"))</f>
        <v>0</v>
      </c>
      <c r="BM309" t="b">
        <f>IF(metadata!AB309="",FALSE,TRUE)</f>
        <v>0</v>
      </c>
    </row>
    <row r="310" spans="1:65" x14ac:dyDescent="0.2">
      <c r="A310" s="5" t="str">
        <f ca="1">IF(B310=" "," ",HYPERLINK(CONCATENATE("#metadata!",ADDRESS(INDEX($AH$2:$AH$1001,MATCH(ROWS($AF$2:AF310),$AF$2:$AF$1001,0),0),1)),INDEX($AK$2:$AK$1001,MATCH(ROWS($AF$2:AF310),$AF$2:$AF$1001,0),0)))</f>
        <v xml:space="preserve"> </v>
      </c>
      <c r="B310" s="4" t="str">
        <f ca="1">IF(OR(INDEX($AG$2:$AG$1001,MATCH(ROWS($AF$2:AF310),$AF$2:$AF$1001,0),1)&gt;=100000,INDEX($AM$1005:$BM$1005,1,MATCH(COLUMNS($AM$1006:AM1006),$AM$1006:$BM$1006,0))&gt;=100000), " ",IF(INDEX($AM$2:$BM$1001,MATCH(ROWS($AF$2:AF310),$AF$2:$AF$1001,0),MATCH(COLUMNS($AM$1006:AM1006),$AM$1006:$BM$1006,0)), HYPERLINK("#",""), HYPERLINK(CONCATENATE("#metadata!", ADDRESS(INDEX($AH$2:$AH$1001,MATCH(ROWS($AF$2:AF310),$AF$2:$AF$1001,0),0), INDEX($AM$1004:$BM$1004,1,MATCH(COLUMNS($AM$1006:AM1006),$AM$1006:$BM$1006,0)))),"Fix")))</f>
        <v xml:space="preserve"> </v>
      </c>
      <c r="C310" s="4" t="str">
        <f ca="1">IF(OR(INDEX($AG$2:$AG$1001,MATCH(ROWS($AF$2:AF310),$AF$2:$AF$1001,0),1)&gt;=100000,INDEX($AM$1005:$BM$1005,1,MATCH(COLUMNS($AM$1006:AN1006),$AM$1006:$BM$1006,0))&gt;=100000), " ",IF(INDEX($AM$2:$BM$1001,MATCH(ROWS($AF$2:AF310),$AF$2:$AF$1001,0),MATCH(COLUMNS($AM$1006:AN1006),$AM$1006:$BM$1006,0)), HYPERLINK("#",""), HYPERLINK(CONCATENATE("#metadata!", ADDRESS(INDEX($AH$2:$AH$1001,MATCH(ROWS($AF$2:AF310),$AF$2:$AF$1001,0),0), INDEX($AM$1004:$BM$1004,1,MATCH(COLUMNS($AM$1006:AN1006),$AM$1006:$BM$1006,0)))),"Fix")))</f>
        <v xml:space="preserve"> </v>
      </c>
      <c r="D310" s="4" t="str">
        <f ca="1">IF(OR(INDEX($AG$2:$AG$1001,MATCH(ROWS($AF$2:AF310),$AF$2:$AF$1001,0),1)&gt;=100000,INDEX($AM$1005:$BM$1005,1,MATCH(COLUMNS($AM$1006:AO1006),$AM$1006:$BM$1006,0))&gt;=100000), " ",IF(INDEX($AM$2:$BM$1001,MATCH(ROWS($AF$2:AF310),$AF$2:$AF$1001,0),MATCH(COLUMNS($AM$1006:AO1006),$AM$1006:$BM$1006,0)), HYPERLINK("#",""), HYPERLINK(CONCATENATE("#metadata!", ADDRESS(INDEX($AH$2:$AH$1001,MATCH(ROWS($AF$2:AF310),$AF$2:$AF$1001,0),0), INDEX($AM$1004:$BM$1004,1,MATCH(COLUMNS($AM$1006:AO1006),$AM$1006:$BM$1006,0)))),"Fix")))</f>
        <v xml:space="preserve"> </v>
      </c>
      <c r="E310" s="4" t="str">
        <f ca="1">IF(OR(INDEX($AG$2:$AG$1001,MATCH(ROWS($AF$2:AF310),$AF$2:$AF$1001,0),1)&gt;=100000,INDEX($AM$1005:$BM$1005,1,MATCH(COLUMNS($AM$1006:AP1006),$AM$1006:$BM$1006,0))&gt;=100000), " ",IF(INDEX($AM$2:$BM$1001,MATCH(ROWS($AF$2:AF310),$AF$2:$AF$1001,0),MATCH(COLUMNS($AM$1006:AP1006),$AM$1006:$BM$1006,0)), HYPERLINK("#",""), HYPERLINK(CONCATENATE("#metadata!", ADDRESS(INDEX($AH$2:$AH$1001,MATCH(ROWS($AF$2:AF310),$AF$2:$AF$1001,0),0), INDEX($AM$1004:$BM$1004,1,MATCH(COLUMNS($AM$1006:AP1006),$AM$1006:$BM$1006,0)))),"Fix")))</f>
        <v xml:space="preserve"> </v>
      </c>
      <c r="F310" s="4" t="str">
        <f ca="1">IF(OR(INDEX($AG$2:$AG$1001,MATCH(ROWS($AF$2:AF310),$AF$2:$AF$1001,0),1)&gt;=100000,INDEX($AM$1005:$BM$1005,1,MATCH(COLUMNS($AM$1006:AQ1006),$AM$1006:$BM$1006,0))&gt;=100000), " ",IF(INDEX($AM$2:$BM$1001,MATCH(ROWS($AF$2:AF310),$AF$2:$AF$1001,0),MATCH(COLUMNS($AM$1006:AQ1006),$AM$1006:$BM$1006,0)), HYPERLINK("#",""), HYPERLINK(CONCATENATE("#metadata!", ADDRESS(INDEX($AH$2:$AH$1001,MATCH(ROWS($AF$2:AF310),$AF$2:$AF$1001,0),0), INDEX($AM$1004:$BM$1004,1,MATCH(COLUMNS($AM$1006:AQ1006),$AM$1006:$BM$1006,0)))),"Fix")))</f>
        <v xml:space="preserve"> </v>
      </c>
      <c r="G310" s="4" t="str">
        <f ca="1">IF(OR(INDEX($AG$2:$AG$1001,MATCH(ROWS($AF$2:AF310),$AF$2:$AF$1001,0),1)&gt;=100000,INDEX($AM$1005:$BM$1005,1,MATCH(COLUMNS($AM$1006:AR1006),$AM$1006:$BM$1006,0))&gt;=100000), " ",IF(INDEX($AM$2:$BM$1001,MATCH(ROWS($AF$2:AF310),$AF$2:$AF$1001,0),MATCH(COLUMNS($AM$1006:AR1006),$AM$1006:$BM$1006,0)), HYPERLINK("#",""), HYPERLINK(CONCATENATE("#metadata!", ADDRESS(INDEX($AH$2:$AH$1001,MATCH(ROWS($AF$2:AF310),$AF$2:$AF$1001,0),0), INDEX($AM$1004:$BM$1004,1,MATCH(COLUMNS($AM$1006:AR1006),$AM$1006:$BM$1006,0)))),"Fix")))</f>
        <v xml:space="preserve"> </v>
      </c>
      <c r="H310" s="4" t="str">
        <f ca="1">IF(OR(INDEX($AG$2:$AG$1001,MATCH(ROWS($AF$2:AF310),$AF$2:$AF$1001,0),1)&gt;=100000,INDEX($AM$1005:$BM$1005,1,MATCH(COLUMNS($AM$1006:AS1006),$AM$1006:$BM$1006,0))&gt;=100000), " ",IF(INDEX($AM$2:$BM$1001,MATCH(ROWS($AF$2:AF310),$AF$2:$AF$1001,0),MATCH(COLUMNS($AM$1006:AS1006),$AM$1006:$BM$1006,0)), HYPERLINK("#",""), HYPERLINK(CONCATENATE("#metadata!", ADDRESS(INDEX($AH$2:$AH$1001,MATCH(ROWS($AF$2:AF310),$AF$2:$AF$1001,0),0), INDEX($AM$1004:$BM$1004,1,MATCH(COLUMNS($AM$1006:AS1006),$AM$1006:$BM$1006,0)))),"Fix")))</f>
        <v xml:space="preserve"> </v>
      </c>
      <c r="I310" s="4" t="str">
        <f ca="1">IF(OR(INDEX($AG$2:$AG$1001,MATCH(ROWS($AF$2:AF310),$AF$2:$AF$1001,0),1)&gt;=100000,INDEX($AM$1005:$BM$1005,1,MATCH(COLUMNS($AM$1006:AT1006),$AM$1006:$BM$1006,0))&gt;=100000), " ",IF(INDEX($AM$2:$BM$1001,MATCH(ROWS($AF$2:AF310),$AF$2:$AF$1001,0),MATCH(COLUMNS($AM$1006:AT1006),$AM$1006:$BM$1006,0)), HYPERLINK("#",""), HYPERLINK(CONCATENATE("#metadata!", ADDRESS(INDEX($AH$2:$AH$1001,MATCH(ROWS($AF$2:AF310),$AF$2:$AF$1001,0),0), INDEX($AM$1004:$BM$1004,1,MATCH(COLUMNS($AM$1006:AT1006),$AM$1006:$BM$1006,0)))),"Fix")))</f>
        <v xml:space="preserve"> </v>
      </c>
      <c r="J310" s="4" t="str">
        <f ca="1">IF(OR(INDEX($AG$2:$AG$1001,MATCH(ROWS($AF$2:AF310),$AF$2:$AF$1001,0),1)&gt;=100000,INDEX($AM$1005:$BM$1005,1,MATCH(COLUMNS($AM$1006:AU1006),$AM$1006:$BM$1006,0))&gt;=100000), " ",IF(INDEX($AM$2:$BM$1001,MATCH(ROWS($AF$2:AF310),$AF$2:$AF$1001,0),MATCH(COLUMNS($AM$1006:AU1006),$AM$1006:$BM$1006,0)), HYPERLINK("#",""), HYPERLINK(CONCATENATE("#metadata!", ADDRESS(INDEX($AH$2:$AH$1001,MATCH(ROWS($AF$2:AF310),$AF$2:$AF$1001,0),0), INDEX($AM$1004:$BM$1004,1,MATCH(COLUMNS($AM$1006:AU1006),$AM$1006:$BM$1006,0)))),"Fix")))</f>
        <v xml:space="preserve"> </v>
      </c>
      <c r="K310" s="4" t="str">
        <f ca="1">IF(OR(INDEX($AG$2:$AG$1001,MATCH(ROWS($AF$2:AF310),$AF$2:$AF$1001,0),1)&gt;=100000,INDEX($AM$1005:$BM$1005,1,MATCH(COLUMNS($AM$1006:AV1006),$AM$1006:$BM$1006,0))&gt;=100000), " ",IF(INDEX($AM$2:$BM$1001,MATCH(ROWS($AF$2:AF310),$AF$2:$AF$1001,0),MATCH(COLUMNS($AM$1006:AV1006),$AM$1006:$BM$1006,0)), HYPERLINK("#",""), HYPERLINK(CONCATENATE("#metadata!", ADDRESS(INDEX($AH$2:$AH$1001,MATCH(ROWS($AF$2:AF310),$AF$2:$AF$1001,0),0), INDEX($AM$1004:$BM$1004,1,MATCH(COLUMNS($AM$1006:AV1006),$AM$1006:$BM$1006,0)))),"Fix")))</f>
        <v xml:space="preserve"> </v>
      </c>
      <c r="L310" s="4" t="str">
        <f ca="1">IF(OR(INDEX($AG$2:$AG$1001,MATCH(ROWS($AF$2:AF310),$AF$2:$AF$1001,0),1)&gt;=100000,INDEX($AM$1005:$BM$1005,1,MATCH(COLUMNS($AM$1006:AW1006),$AM$1006:$BM$1006,0))&gt;=100000), " ",IF(INDEX($AM$2:$BM$1001,MATCH(ROWS($AF$2:AF310),$AF$2:$AF$1001,0),MATCH(COLUMNS($AM$1006:AW1006),$AM$1006:$BM$1006,0)), HYPERLINK("#",""), HYPERLINK(CONCATENATE("#metadata!", ADDRESS(INDEX($AH$2:$AH$1001,MATCH(ROWS($AF$2:AF310),$AF$2:$AF$1001,0),0), INDEX($AM$1004:$BM$1004,1,MATCH(COLUMNS($AM$1006:AW1006),$AM$1006:$BM$1006,0)))),"Fix")))</f>
        <v xml:space="preserve"> </v>
      </c>
      <c r="M310" s="4" t="str">
        <f ca="1">IF(OR(INDEX($AG$2:$AG$1001,MATCH(ROWS($AF$2:AF310),$AF$2:$AF$1001,0),1)&gt;=100000,INDEX($AM$1005:$BM$1005,1,MATCH(COLUMNS($AM$1006:AX1006),$AM$1006:$BM$1006,0))&gt;=100000), " ",IF(INDEX($AM$2:$BM$1001,MATCH(ROWS($AF$2:AF310),$AF$2:$AF$1001,0),MATCH(COLUMNS($AM$1006:AX1006),$AM$1006:$BM$1006,0)), HYPERLINK("#",""), HYPERLINK(CONCATENATE("#metadata!", ADDRESS(INDEX($AH$2:$AH$1001,MATCH(ROWS($AF$2:AF310),$AF$2:$AF$1001,0),0), INDEX($AM$1004:$BM$1004,1,MATCH(COLUMNS($AM$1006:AX1006),$AM$1006:$BM$1006,0)))),"Fix")))</f>
        <v xml:space="preserve"> </v>
      </c>
      <c r="N310" s="4" t="str">
        <f ca="1">IF(OR(INDEX($AG$2:$AG$1001,MATCH(ROWS($AF$2:AF310),$AF$2:$AF$1001,0),1)&gt;=100000,INDEX($AM$1005:$BM$1005,1,MATCH(COLUMNS($AM$1006:AY1006),$AM$1006:$BM$1006,0))&gt;=100000), " ",IF(INDEX($AM$2:$BM$1001,MATCH(ROWS($AF$2:AF310),$AF$2:$AF$1001,0),MATCH(COLUMNS($AM$1006:AY1006),$AM$1006:$BM$1006,0)), HYPERLINK("#",""), HYPERLINK(CONCATENATE("#metadata!", ADDRESS(INDEX($AH$2:$AH$1001,MATCH(ROWS($AF$2:AF310),$AF$2:$AF$1001,0),0), INDEX($AM$1004:$BM$1004,1,MATCH(COLUMNS($AM$1006:AY1006),$AM$1006:$BM$1006,0)))),"Fix")))</f>
        <v xml:space="preserve"> </v>
      </c>
      <c r="O310" s="4" t="str">
        <f ca="1">IF(OR(INDEX($AG$2:$AG$1001,MATCH(ROWS($AF$2:AF310),$AF$2:$AF$1001,0),1)&gt;=100000,INDEX($AM$1005:$BM$1005,1,MATCH(COLUMNS($AM$1006:AZ1006),$AM$1006:$BM$1006,0))&gt;=100000), " ",IF(INDEX($AM$2:$BM$1001,MATCH(ROWS($AF$2:AF310),$AF$2:$AF$1001,0),MATCH(COLUMNS($AM$1006:AZ1006),$AM$1006:$BM$1006,0)), HYPERLINK("#",""), HYPERLINK(CONCATENATE("#metadata!", ADDRESS(INDEX($AH$2:$AH$1001,MATCH(ROWS($AF$2:AF310),$AF$2:$AF$1001,0),0), INDEX($AM$1004:$BM$1004,1,MATCH(COLUMNS($AM$1006:AZ1006),$AM$1006:$BM$1006,0)))),"Fix")))</f>
        <v xml:space="preserve"> </v>
      </c>
      <c r="P310" s="4" t="str">
        <f ca="1">IF(OR(INDEX($AG$2:$AG$1001,MATCH(ROWS($AF$2:AF310),$AF$2:$AF$1001,0),1)&gt;=100000,INDEX($AM$1005:$BM$1005,1,MATCH(COLUMNS($AM$1006:BA1006),$AM$1006:$BM$1006,0))&gt;=100000), " ",IF(INDEX($AM$2:$BM$1001,MATCH(ROWS($AF$2:AF310),$AF$2:$AF$1001,0),MATCH(COLUMNS($AM$1006:BA1006),$AM$1006:$BM$1006,0)), HYPERLINK("#",""), HYPERLINK(CONCATENATE("#metadata!", ADDRESS(INDEX($AH$2:$AH$1001,MATCH(ROWS($AF$2:AF310),$AF$2:$AF$1001,0),0), INDEX($AM$1004:$BM$1004,1,MATCH(COLUMNS($AM$1006:BA1006),$AM$1006:$BM$1006,0)))),"Fix")))</f>
        <v xml:space="preserve"> </v>
      </c>
      <c r="Q310" s="4" t="str">
        <f ca="1">IF(OR(INDEX($AG$2:$AG$1001,MATCH(ROWS($AF$2:AF310),$AF$2:$AF$1001,0),1)&gt;=100000,INDEX($AM$1005:$BM$1005,1,MATCH(COLUMNS($AM$1006:BB1006),$AM$1006:$BM$1006,0))&gt;=100000), " ",IF(INDEX($AM$2:$BM$1001,MATCH(ROWS($AF$2:AF310),$AF$2:$AF$1001,0),MATCH(COLUMNS($AM$1006:BB1006),$AM$1006:$BM$1006,0)), HYPERLINK("#",""), HYPERLINK(CONCATENATE("#metadata!", ADDRESS(INDEX($AH$2:$AH$1001,MATCH(ROWS($AF$2:AF310),$AF$2:$AF$1001,0),0), INDEX($AM$1004:$BM$1004,1,MATCH(COLUMNS($AM$1006:BB1006),$AM$1006:$BM$1006,0)))),"Fix")))</f>
        <v xml:space="preserve"> </v>
      </c>
      <c r="R310" s="4" t="str">
        <f ca="1">IF(OR(INDEX($AG$2:$AG$1001,MATCH(ROWS($AF$2:AF310),$AF$2:$AF$1001,0),1)&gt;=100000,INDEX($AM$1005:$BM$1005,1,MATCH(COLUMNS($AM$1006:BC1006),$AM$1006:$BM$1006,0))&gt;=100000), " ",IF(INDEX($AM$2:$BM$1001,MATCH(ROWS($AF$2:AF310),$AF$2:$AF$1001,0),MATCH(COLUMNS($AM$1006:BC1006),$AM$1006:$BM$1006,0)), HYPERLINK("#",""), HYPERLINK(CONCATENATE("#metadata!", ADDRESS(INDEX($AH$2:$AH$1001,MATCH(ROWS($AF$2:AF310),$AF$2:$AF$1001,0),0), INDEX($AM$1004:$BM$1004,1,MATCH(COLUMNS($AM$1006:BC1006),$AM$1006:$BM$1006,0)))),"Fix")))</f>
        <v xml:space="preserve"> </v>
      </c>
      <c r="S310" s="4" t="str">
        <f ca="1">IF(OR(INDEX($AG$2:$AG$1001,MATCH(ROWS($AF$2:AF310),$AF$2:$AF$1001,0),1)&gt;=100000,INDEX($AM$1005:$BM$1005,1,MATCH(COLUMNS($AM$1006:BD1006),$AM$1006:$BM$1006,0))&gt;=100000), " ",IF(INDEX($AM$2:$BM$1001,MATCH(ROWS($AF$2:AF310),$AF$2:$AF$1001,0),MATCH(COLUMNS($AM$1006:BD1006),$AM$1006:$BM$1006,0)), HYPERLINK("#",""), HYPERLINK(CONCATENATE("#metadata!", ADDRESS(INDEX($AH$2:$AH$1001,MATCH(ROWS($AF$2:AF310),$AF$2:$AF$1001,0),0), INDEX($AM$1004:$BM$1004,1,MATCH(COLUMNS($AM$1006:BD1006),$AM$1006:$BM$1006,0)))),"Fix")))</f>
        <v xml:space="preserve"> </v>
      </c>
      <c r="T310" s="4" t="str">
        <f ca="1">IF(OR(INDEX($AG$2:$AG$1001,MATCH(ROWS($AF$2:AF310),$AF$2:$AF$1001,0),1)&gt;=100000,INDEX($AM$1005:$BM$1005,1,MATCH(COLUMNS($AM$1006:BE1006),$AM$1006:$BM$1006,0))&gt;=100000), " ",IF(INDEX($AM$2:$BM$1001,MATCH(ROWS($AF$2:AF310),$AF$2:$AF$1001,0),MATCH(COLUMNS($AM$1006:BE1006),$AM$1006:$BM$1006,0)), HYPERLINK("#",""), HYPERLINK(CONCATENATE("#metadata!", ADDRESS(INDEX($AH$2:$AH$1001,MATCH(ROWS($AF$2:AF310),$AF$2:$AF$1001,0),0), INDEX($AM$1004:$BM$1004,1,MATCH(COLUMNS($AM$1006:BE1006),$AM$1006:$BM$1006,0)))),"Fix")))</f>
        <v xml:space="preserve"> </v>
      </c>
      <c r="U310" s="4" t="str">
        <f ca="1">IF(OR(INDEX($AG$2:$AG$1001,MATCH(ROWS($AF$2:AF310),$AF$2:$AF$1001,0),1)&gt;=100000,INDEX($AM$1005:$BM$1005,1,MATCH(COLUMNS($AM$1006:BF1006),$AM$1006:$BM$1006,0))&gt;=100000), " ",IF(INDEX($AM$2:$BM$1001,MATCH(ROWS($AF$2:AF310),$AF$2:$AF$1001,0),MATCH(COLUMNS($AM$1006:BF1006),$AM$1006:$BM$1006,0)), HYPERLINK("#",""), HYPERLINK(CONCATENATE("#metadata!", ADDRESS(INDEX($AH$2:$AH$1001,MATCH(ROWS($AF$2:AF310),$AF$2:$AF$1001,0),0), INDEX($AM$1004:$BM$1004,1,MATCH(COLUMNS($AM$1006:BF1006),$AM$1006:$BM$1006,0)))),"Fix")))</f>
        <v xml:space="preserve"> </v>
      </c>
      <c r="V310" s="4" t="str">
        <f ca="1">IF(OR(INDEX($AG$2:$AG$1001,MATCH(ROWS($AF$2:AF310),$AF$2:$AF$1001,0),1)&gt;=100000,INDEX($AM$1005:$BM$1005,1,MATCH(COLUMNS($AM$1006:BG1006),$AM$1006:$BM$1006,0))&gt;=100000), " ",IF(INDEX($AM$2:$BM$1001,MATCH(ROWS($AF$2:AF310),$AF$2:$AF$1001,0),MATCH(COLUMNS($AM$1006:BG1006),$AM$1006:$BM$1006,0)), HYPERLINK("#",""), HYPERLINK(CONCATENATE("#metadata!", ADDRESS(INDEX($AH$2:$AH$1001,MATCH(ROWS($AF$2:AF310),$AF$2:$AF$1001,0),0), INDEX($AM$1004:$BM$1004,1,MATCH(COLUMNS($AM$1006:BG1006),$AM$1006:$BM$1006,0)))),"Fix")))</f>
        <v xml:space="preserve"> </v>
      </c>
      <c r="W310" s="4" t="str">
        <f ca="1">IF(OR(INDEX($AG$2:$AG$1001,MATCH(ROWS($AF$2:AF310),$AF$2:$AF$1001,0),1)&gt;=100000,INDEX($AM$1005:$BM$1005,1,MATCH(COLUMNS($AM$1006:BH1006),$AM$1006:$BM$1006,0))&gt;=100000), " ",IF(INDEX($AM$2:$BM$1001,MATCH(ROWS($AF$2:AF310),$AF$2:$AF$1001,0),MATCH(COLUMNS($AM$1006:BH1006),$AM$1006:$BM$1006,0)), HYPERLINK("#",""), HYPERLINK(CONCATENATE("#metadata!", ADDRESS(INDEX($AH$2:$AH$1001,MATCH(ROWS($AF$2:AF310),$AF$2:$AF$1001,0),0), INDEX($AM$1004:$BM$1004,1,MATCH(COLUMNS($AM$1006:BH1006),$AM$1006:$BM$1006,0)))),"Fix")))</f>
        <v xml:space="preserve"> </v>
      </c>
      <c r="X310" s="4" t="str">
        <f ca="1">IF(OR(INDEX($AG$2:$AG$1001,MATCH(ROWS($AF$2:AF310),$AF$2:$AF$1001,0),1)&gt;=100000,INDEX($AM$1005:$BM$1005,1,MATCH(COLUMNS($AM$1006:BI1006),$AM$1006:$BM$1006,0))&gt;=100000), " ",IF(INDEX($AM$2:$BM$1001,MATCH(ROWS($AF$2:AF310),$AF$2:$AF$1001,0),MATCH(COLUMNS($AM$1006:BI1006),$AM$1006:$BM$1006,0)), HYPERLINK("#",""), HYPERLINK(CONCATENATE("#metadata!", ADDRESS(INDEX($AH$2:$AH$1001,MATCH(ROWS($AF$2:AF310),$AF$2:$AF$1001,0),0), INDEX($AM$1004:$BM$1004,1,MATCH(COLUMNS($AM$1006:BI1006),$AM$1006:$BM$1006,0)))),"Fix")))</f>
        <v xml:space="preserve"> </v>
      </c>
      <c r="Y310" s="4" t="str">
        <f ca="1">IF(OR(INDEX($AG$2:$AG$1001,MATCH(ROWS($AF$2:AF310),$AF$2:$AF$1001,0),1)&gt;=100000,INDEX($AM$1005:$BM$1005,1,MATCH(COLUMNS($AM$1006:BJ1006),$AM$1006:$BM$1006,0))&gt;=100000), " ",IF(INDEX($AM$2:$BM$1001,MATCH(ROWS($AF$2:AF310),$AF$2:$AF$1001,0),MATCH(COLUMNS($AM$1006:BJ1006),$AM$1006:$BM$1006,0)), HYPERLINK("#",""), HYPERLINK(CONCATENATE("#metadata!", ADDRESS(INDEX($AH$2:$AH$1001,MATCH(ROWS($AF$2:AF310),$AF$2:$AF$1001,0),0), INDEX($AM$1004:$BM$1004,1,MATCH(COLUMNS($AM$1006:BJ1006),$AM$1006:$BM$1006,0)))),"Fix")))</f>
        <v xml:space="preserve"> </v>
      </c>
      <c r="Z310" s="4" t="str">
        <f ca="1">IF(OR(INDEX($AG$2:$AG$1001,MATCH(ROWS($AF$2:AF310),$AF$2:$AF$1001,0),1)&gt;=100000,INDEX($AM$1005:$BM$1005,1,MATCH(COLUMNS($AM$1006:BK1006),$AM$1006:$BM$1006,0))&gt;=100000), " ",IF(INDEX($AM$2:$BM$1001,MATCH(ROWS($AF$2:AF310),$AF$2:$AF$1001,0),MATCH(COLUMNS($AM$1006:BK1006),$AM$1006:$BM$1006,0)), HYPERLINK("#",""), HYPERLINK(CONCATENATE("#metadata!", ADDRESS(INDEX($AH$2:$AH$1001,MATCH(ROWS($AF$2:AF310),$AF$2:$AF$1001,0),0), INDEX($AM$1004:$BM$1004,1,MATCH(COLUMNS($AM$1006:BK1006),$AM$1006:$BM$1006,0)))),"Fix")))</f>
        <v xml:space="preserve"> </v>
      </c>
      <c r="AA310" s="4" t="str">
        <f ca="1">IF(OR(INDEX($AG$2:$AG$1001,MATCH(ROWS($AF$2:AF310),$AF$2:$AF$1001,0),1)&gt;=100000,INDEX($AM$1005:$BM$1005,1,MATCH(COLUMNS($AM$1006:BL1006),$AM$1006:$BM$1006,0))&gt;=100000), " ",IF(INDEX($AM$2:$BM$1001,MATCH(ROWS($AF$2:AF310),$AF$2:$AF$1001,0),MATCH(COLUMNS($AM$1006:BL1006),$AM$1006:$BM$1006,0)), HYPERLINK("#",""), HYPERLINK(CONCATENATE("#metadata!", ADDRESS(INDEX($AH$2:$AH$1001,MATCH(ROWS($AF$2:AF310),$AF$2:$AF$1001,0),0), INDEX($AM$1004:$BM$1004,1,MATCH(COLUMNS($AM$1006:BL1006),$AM$1006:$BM$1006,0)))),"Fix")))</f>
        <v xml:space="preserve"> </v>
      </c>
      <c r="AB310" s="4" t="str">
        <f ca="1">IF(OR(INDEX($AG$2:$AG$1001,MATCH(ROWS($AF$2:AF310),$AF$2:$AF$1001,0),1)&gt;=100000,INDEX($AM$1005:$BM$1005,1,MATCH(COLUMNS($AM$1006:BM1006),$AM$1006:$BM$1006,0))&gt;=100000), " ",IF(INDEX($AM$2:$BM$1001,MATCH(ROWS($AF$2:AF310),$AF$2:$AF$1001,0),MATCH(COLUMNS($AM$1006:BM1006),$AM$1006:$BM$1006,0)), HYPERLINK("#",""), HYPERLINK(CONCATENATE("#metadata!", ADDRESS(INDEX($AH$2:$AH$1001,MATCH(ROWS($AF$2:AF310),$AF$2:$AF$1001,0),0), INDEX($AM$1004:$BM$1004,1,MATCH(COLUMNS($AM$1006:BM1006),$AM$1006:$BM$1006,0)))),"Fix")))</f>
        <v xml:space="preserve"> </v>
      </c>
      <c r="AF310">
        <v>309</v>
      </c>
      <c r="AG310">
        <v>100310</v>
      </c>
      <c r="AH310">
        <v>310</v>
      </c>
      <c r="AI310" t="b">
        <f t="shared" si="4"/>
        <v>1</v>
      </c>
      <c r="AJ310" t="b">
        <f>COUNTBLANK(metadata!B310:AB310)=COLUMNS(metadata!B310:AB310)</f>
        <v>1</v>
      </c>
      <c r="AK310" t="str">
        <v/>
      </c>
      <c r="AM310" t="b">
        <f ca="1">AND(IF(metadata!B310="",FALSE,TRUE),COUNTIF(metadata!B:B, metadata!B310) = 1,NOT(ISERROR(SUMPRODUCT(SEARCH(MID(metadata!B310,ROW(INDIRECT("1:"&amp;LEN(metadata!B310))), 1),"0123456789abcdefghijklmnopqrstuvwxyzABCDEFGHIJKLMNOPQRSTUVWXYZ.")))))</f>
        <v>0</v>
      </c>
      <c r="AN310" t="b">
        <f ca="1">OR(AND(IF(metadata!C310="",FALSE,TRUE),OR(EXACT(metadata!C310,"missing: not collected"),EXACT(metadata!C310,"missing: not provided"),EXACT(metadata!C310,"missing: restricted access"))),AND(IF(metadata!C310="",FALSE,TRUE),AND(AND(IFERROR(INT(LEFT(metadata!C310,4))&gt;1900,FALSE),IFERROR(INT(LEFT(metadata!C310,4))&lt;=YEAR(NOW()),FALSE)), OR(MID(metadata!C310,5,1)="", AND(AND(MID(metadata!C310,5,1)="-",IFERROR(INT(MID(metadata!C310,6,1))&gt;=0,FALSE),IFERROR(INT(MID(metadata!C310,6,1))&lt;=1,FALSE),NOT(MID(metadata!C310,7,1)=""),IFERROR(INT(MID(metadata!C310,6,2))&gt;=1,FALSE),IFERROR(INT(MID(metadata!C310,6,2))&lt;=12,FALSE)), OR(MID(metadata!C310,8,1)="", AND(AND(MID(metadata!C310,8,1)="-",IFERROR(INT(MID(metadata!C310,9,1))&gt;=0,FALSE),IFERROR(INT(MID(metadata!C310,9,1))&lt;=3,FALSE),NOT(MID(metadata!C310,10,1)=""),IFERROR(INT(MID(metadata!C310,9,2))&gt;=1,FALSE),IFERROR(INT(MID(metadata!C310,9,2))&lt;=31,FALSE)), OR(MID(metadata!C310,11,1)="", AND(AND(MID(metadata!C310,11,1)=" ",IFERROR(INT(MID(metadata!C310,12,1))&gt;=0,FALSE),IFERROR(INT(MID(metadata!C310,12,1))&lt;=2,FALSE),NOT(MID(metadata!C310,13,1)=""),IFERROR(INT(MID(metadata!C310,12,2))&gt;=0,FALSE),IFERROR(INT(MID(metadata!C310,12,2))&lt;=23,FALSE)), OR(MID(metadata!C310,14,1)="", AND(AND(MID(metadata!C310,14,1)=":",IFERROR(INT(MID(metadata!C310,15,1))&gt;=0,FALSE),IFERROR(INT(MID(metadata!C310,15,1))&lt;=5,FALSE),NOT(MID(metadata!C310,16,1)=""),IFERROR(INT(MID(metadata!C310,15,2))&gt;=0,FALSE),IFERROR(INT(MID(metadata!C310,15,2))&lt;=59,FALSE)), OR(MID(metadata!C310,17,1)="", AND(AND(MID(metadata!C310,17,1)=":",IFERROR(INT(MID(metadata!C310,18,1))&gt;=0,FALSE),IFERROR(INT(MID(metadata!C310,18,1))&lt;=5,FALSE),NOT(MID(metadata!C310,19,1)=""),IFERROR(INT(MID(metadata!C310,18,2))&gt;=0,FALSE),IFERROR(INT(MID(metadata!C310,18,2))&lt;=59,FALSE)), LEN(metadata!C310)&lt;=19)))))))))))))</f>
        <v>0</v>
      </c>
      <c r="AO310" t="b">
        <f>AND(IF(metadata!D310="",FALSE,TRUE),EXACT(metadata!D310,"Not applicable"))</f>
        <v>0</v>
      </c>
      <c r="AP310" t="b">
        <f>IF(metadata!E310="",FALSE,TRUE)</f>
        <v>0</v>
      </c>
      <c r="AQ310" t="b">
        <f>OR(AND(IF(metadata!F310="",FALSE,TRUE),OR(EXACT(metadata!F310,"missing: not collected"),EXACT(metadata!F310,"missing: not provided"))),AND(IF(metadata!F310="",FALSE,TRUE),OR(EXACT(metadata!F310,"TRUE"),EXACT(metadata!F310,"FALSE"))))</f>
        <v>0</v>
      </c>
      <c r="AR310" t="b">
        <f>OR(AND(IF(metadata!G310="",FALSE,TRUE),OR(EXACT(metadata!G310,"missing: not collected"),EXACT(metadata!G310,"missing: not provided"),EXACT(metadata!G310,"missing: restricted access"))),AND(IF(metadata!G310="",FALSE,ISNUMBER(VALUE(metadata!G310))),metadata!G310&gt;=-413))</f>
        <v>0</v>
      </c>
      <c r="AS310" t="b">
        <f>AND(IF(metadata!H310="",FALSE,TRUE),EXACT(metadata!H310,"meters"))</f>
        <v>0</v>
      </c>
      <c r="AT310" t="b">
        <f>AND(IF(metadata!I310="",FALSE,TRUE),OR(EXACT(metadata!I310,"Host-associated"),EXACT(metadata!I310,"Free-living")))</f>
        <v>0</v>
      </c>
      <c r="AU310" t="b">
        <f>AND(IF(metadata!J310="",FALSE,TRUE),OR(EXACT(metadata!J310,"Animal"),EXACT(metadata!J310,"Fungus"),EXACT(metadata!J310,"Plant"),EXACT(metadata!J310,"Saline"),EXACT(metadata!J310,"Non-saline")))</f>
        <v>0</v>
      </c>
      <c r="AV310" t="b">
        <f>AND(IF(metadata!K310="",FALSE,TRUE),OR(EXACT(metadata!K310,"Plant secretion"),EXACT(metadata!K310,"Plant rhizosphere"),EXACT(metadata!K310,"Plant surface"),EXACT(metadata!K310,"Plant corpus"),EXACT(metadata!K310,"Fungus surface"),EXACT(metadata!K310,"Fungus corpus"),EXACT(metadata!K310,"Animal surface"),EXACT(metadata!K310,"Animal proximal gut"),EXACT(metadata!K310,"Animal corpus"),EXACT(metadata!K310,"Animal distal gut"),EXACT(metadata!K310,"Animal secretion"),EXACT(metadata!K310,"Sub-surface (non-saline)"),EXACT(metadata!K310,"Surface (non-saline)"),EXACT(metadata!K310,"Water (non-saline)"),EXACT(metadata!K310,"Soil (non-saline)"),EXACT(metadata!K310,"Aerosol (non-saline)"),EXACT(metadata!K310,"Sediment (non-saline)"),EXACT(metadata!K310,"Surface (saline)"),EXACT(metadata!K310,"Water (saline)"),EXACT(metadata!K310,"Hypersaline (saline)"),EXACT(metadata!K310,"Aerosol (saline)"),EXACT(metadata!K310,"Sediment (saline)")))</f>
        <v>0</v>
      </c>
      <c r="AW310" t="b">
        <f>IF(metadata!L310="",FALSE,TRUE)</f>
        <v>0</v>
      </c>
      <c r="AX310" t="b">
        <f>IF(metadata!M310="",FALSE,TRUE)</f>
        <v>0</v>
      </c>
      <c r="AY310" t="b">
        <f>IF(metadata!N310="",FALSE,TRUE)</f>
        <v>0</v>
      </c>
      <c r="AZ310" t="b">
        <f>OR(AND(IF(metadata!O310="",FALSE,TRUE),OR(EXACT(metadata!O310,"missing: not collected"),EXACT(metadata!O310,"missing: not provided"),EXACT(metadata!O310,"missing: restricted access"))),AND(IF(metadata!O310="",FALSE,TRUE),OR(EXACT(metadata!O310,"air"),EXACT(metadata!O310,"built environment"),EXACT(metadata!O310,"host-associated"),EXACT(metadata!O310,"human-associated"),EXACT(metadata!O310,"human-skin"),EXACT(metadata!O310,"human-oral"),EXACT(metadata!O310,"human-gut"),EXACT(metadata!O310,"human-vaginal"),EXACT(metadata!O310,"microbial mat/biofilm"),EXACT(metadata!O310,"misc environment"),EXACT(metadata!O310,"plant-associated"),EXACT(metadata!O310,"sediment"),EXACT(metadata!O310,"soil"),EXACT(metadata!O310,"wastewater/sludge"),EXACT(metadata!O310,"water"))))</f>
        <v>0</v>
      </c>
      <c r="BA310" t="b">
        <f>IF(metadata!P310="",FALSE,TRUE)</f>
        <v>0</v>
      </c>
      <c r="BB310" t="b">
        <f>IF(metadata!Q310="",FALSE,TRUE)</f>
        <v>0</v>
      </c>
      <c r="BC310" t="b">
        <f>OR(AND(IF(metadata!R310="",FALSE,TRUE),OR(EXACT(metadata!R310,"missing: not collected"),EXACT(metadata!R310,"missing: not provided"),EXACT(metadata!R310,"missing: restricted access"))),AND(IF(metadata!R310="",FALSE,ISNUMBER(VALUE(metadata!R310))),metadata!R310&gt;=-90,metadata!R310&lt;=90))</f>
        <v>0</v>
      </c>
      <c r="BD310" t="b">
        <f>AND(IF(metadata!S310="",FALSE,TRUE),EXACT(metadata!S310,"Decimal degrees"))</f>
        <v>0</v>
      </c>
      <c r="BE310" t="b">
        <f>OR(AND(IF(metadata!T310="",FALSE,TRUE),OR(EXACT(metadata!T310,"missing: not collected"),EXACT(metadata!T310,"missing: not provided"),EXACT(metadata!T310,"missing: restricted access"))),AND(IF(metadata!T310="",FALSE,ISNUMBER(VALUE(metadata!T310))),metadata!T310&gt;=-180,metadata!T310&lt;=180))</f>
        <v>0</v>
      </c>
      <c r="BF310" t="b">
        <f>AND(IF(metadata!U310="",FALSE,TRUE),EXACT(metadata!U310,"Decimal degrees"))</f>
        <v>0</v>
      </c>
      <c r="BG310" t="b">
        <f>IF(metadata!V310="",FALSE,TRUE)</f>
        <v>0</v>
      </c>
      <c r="BH310" t="b">
        <f>OR(AND(IF(metadata!W310="",FALSE,TRUE),OR(EXACT(metadata!W310,"missing: not collected"),EXACT(metadata!W310,"missing: not provided"),EXACT(metadata!W310,"missing: restricted access"))),AND(IF(metadata!W310="",FALSE,TRUE),OR(EXACT(metadata!W310,"TRUE"),EXACT(metadata!W310,"FALSE"))))</f>
        <v>0</v>
      </c>
      <c r="BI310" t="b">
        <f>AND(IF(metadata!X310="",FALSE,TRUE),EXACT(metadata!X310,"other"))</f>
        <v>0</v>
      </c>
      <c r="BJ310" t="b">
        <f>IF(metadata!Y310="",FALSE,TRUE)</f>
        <v>0</v>
      </c>
      <c r="BK310" t="b">
        <f>OR(AND(IF(metadata!Z310="",FALSE,TRUE),OR(EXACT(metadata!Z310,"missing: not collected"),EXACT(metadata!Z310,"missing: not provided"))),AND(IF(metadata!Z310="",FALSE,IF(ISERROR(INT(metadata!Z310)),FALSE,INT(metadata!Z310)=metadata!Z310)),metadata!Z310&gt;0))</f>
        <v>0</v>
      </c>
      <c r="BL310" t="b">
        <f>AND(IF(metadata!AA310="",FALSE,TRUE),EXACT(metadata!AA310,"Not applicable"))</f>
        <v>0</v>
      </c>
      <c r="BM310" t="b">
        <f>IF(metadata!AB310="",FALSE,TRUE)</f>
        <v>0</v>
      </c>
    </row>
    <row r="311" spans="1:65" x14ac:dyDescent="0.2">
      <c r="A311" s="5" t="str">
        <f ca="1">IF(B311=" "," ",HYPERLINK(CONCATENATE("#metadata!",ADDRESS(INDEX($AH$2:$AH$1001,MATCH(ROWS($AF$2:AF311),$AF$2:$AF$1001,0),0),1)),INDEX($AK$2:$AK$1001,MATCH(ROWS($AF$2:AF311),$AF$2:$AF$1001,0),0)))</f>
        <v xml:space="preserve"> </v>
      </c>
      <c r="B311" s="4" t="str">
        <f ca="1">IF(OR(INDEX($AG$2:$AG$1001,MATCH(ROWS($AF$2:AF311),$AF$2:$AF$1001,0),1)&gt;=100000,INDEX($AM$1005:$BM$1005,1,MATCH(COLUMNS($AM$1006:AM1006),$AM$1006:$BM$1006,0))&gt;=100000), " ",IF(INDEX($AM$2:$BM$1001,MATCH(ROWS($AF$2:AF311),$AF$2:$AF$1001,0),MATCH(COLUMNS($AM$1006:AM1006),$AM$1006:$BM$1006,0)), HYPERLINK("#",""), HYPERLINK(CONCATENATE("#metadata!", ADDRESS(INDEX($AH$2:$AH$1001,MATCH(ROWS($AF$2:AF311),$AF$2:$AF$1001,0),0), INDEX($AM$1004:$BM$1004,1,MATCH(COLUMNS($AM$1006:AM1006),$AM$1006:$BM$1006,0)))),"Fix")))</f>
        <v xml:space="preserve"> </v>
      </c>
      <c r="C311" s="4" t="str">
        <f ca="1">IF(OR(INDEX($AG$2:$AG$1001,MATCH(ROWS($AF$2:AF311),$AF$2:$AF$1001,0),1)&gt;=100000,INDEX($AM$1005:$BM$1005,1,MATCH(COLUMNS($AM$1006:AN1006),$AM$1006:$BM$1006,0))&gt;=100000), " ",IF(INDEX($AM$2:$BM$1001,MATCH(ROWS($AF$2:AF311),$AF$2:$AF$1001,0),MATCH(COLUMNS($AM$1006:AN1006),$AM$1006:$BM$1006,0)), HYPERLINK("#",""), HYPERLINK(CONCATENATE("#metadata!", ADDRESS(INDEX($AH$2:$AH$1001,MATCH(ROWS($AF$2:AF311),$AF$2:$AF$1001,0),0), INDEX($AM$1004:$BM$1004,1,MATCH(COLUMNS($AM$1006:AN1006),$AM$1006:$BM$1006,0)))),"Fix")))</f>
        <v xml:space="preserve"> </v>
      </c>
      <c r="D311" s="4" t="str">
        <f ca="1">IF(OR(INDEX($AG$2:$AG$1001,MATCH(ROWS($AF$2:AF311),$AF$2:$AF$1001,0),1)&gt;=100000,INDEX($AM$1005:$BM$1005,1,MATCH(COLUMNS($AM$1006:AO1006),$AM$1006:$BM$1006,0))&gt;=100000), " ",IF(INDEX($AM$2:$BM$1001,MATCH(ROWS($AF$2:AF311),$AF$2:$AF$1001,0),MATCH(COLUMNS($AM$1006:AO1006),$AM$1006:$BM$1006,0)), HYPERLINK("#",""), HYPERLINK(CONCATENATE("#metadata!", ADDRESS(INDEX($AH$2:$AH$1001,MATCH(ROWS($AF$2:AF311),$AF$2:$AF$1001,0),0), INDEX($AM$1004:$BM$1004,1,MATCH(COLUMNS($AM$1006:AO1006),$AM$1006:$BM$1006,0)))),"Fix")))</f>
        <v xml:space="preserve"> </v>
      </c>
      <c r="E311" s="4" t="str">
        <f ca="1">IF(OR(INDEX($AG$2:$AG$1001,MATCH(ROWS($AF$2:AF311),$AF$2:$AF$1001,0),1)&gt;=100000,INDEX($AM$1005:$BM$1005,1,MATCH(COLUMNS($AM$1006:AP1006),$AM$1006:$BM$1006,0))&gt;=100000), " ",IF(INDEX($AM$2:$BM$1001,MATCH(ROWS($AF$2:AF311),$AF$2:$AF$1001,0),MATCH(COLUMNS($AM$1006:AP1006),$AM$1006:$BM$1006,0)), HYPERLINK("#",""), HYPERLINK(CONCATENATE("#metadata!", ADDRESS(INDEX($AH$2:$AH$1001,MATCH(ROWS($AF$2:AF311),$AF$2:$AF$1001,0),0), INDEX($AM$1004:$BM$1004,1,MATCH(COLUMNS($AM$1006:AP1006),$AM$1006:$BM$1006,0)))),"Fix")))</f>
        <v xml:space="preserve"> </v>
      </c>
      <c r="F311" s="4" t="str">
        <f ca="1">IF(OR(INDEX($AG$2:$AG$1001,MATCH(ROWS($AF$2:AF311),$AF$2:$AF$1001,0),1)&gt;=100000,INDEX($AM$1005:$BM$1005,1,MATCH(COLUMNS($AM$1006:AQ1006),$AM$1006:$BM$1006,0))&gt;=100000), " ",IF(INDEX($AM$2:$BM$1001,MATCH(ROWS($AF$2:AF311),$AF$2:$AF$1001,0),MATCH(COLUMNS($AM$1006:AQ1006),$AM$1006:$BM$1006,0)), HYPERLINK("#",""), HYPERLINK(CONCATENATE("#metadata!", ADDRESS(INDEX($AH$2:$AH$1001,MATCH(ROWS($AF$2:AF311),$AF$2:$AF$1001,0),0), INDEX($AM$1004:$BM$1004,1,MATCH(COLUMNS($AM$1006:AQ1006),$AM$1006:$BM$1006,0)))),"Fix")))</f>
        <v xml:space="preserve"> </v>
      </c>
      <c r="G311" s="4" t="str">
        <f ca="1">IF(OR(INDEX($AG$2:$AG$1001,MATCH(ROWS($AF$2:AF311),$AF$2:$AF$1001,0),1)&gt;=100000,INDEX($AM$1005:$BM$1005,1,MATCH(COLUMNS($AM$1006:AR1006),$AM$1006:$BM$1006,0))&gt;=100000), " ",IF(INDEX($AM$2:$BM$1001,MATCH(ROWS($AF$2:AF311),$AF$2:$AF$1001,0),MATCH(COLUMNS($AM$1006:AR1006),$AM$1006:$BM$1006,0)), HYPERLINK("#",""), HYPERLINK(CONCATENATE("#metadata!", ADDRESS(INDEX($AH$2:$AH$1001,MATCH(ROWS($AF$2:AF311),$AF$2:$AF$1001,0),0), INDEX($AM$1004:$BM$1004,1,MATCH(COLUMNS($AM$1006:AR1006),$AM$1006:$BM$1006,0)))),"Fix")))</f>
        <v xml:space="preserve"> </v>
      </c>
      <c r="H311" s="4" t="str">
        <f ca="1">IF(OR(INDEX($AG$2:$AG$1001,MATCH(ROWS($AF$2:AF311),$AF$2:$AF$1001,0),1)&gt;=100000,INDEX($AM$1005:$BM$1005,1,MATCH(COLUMNS($AM$1006:AS1006),$AM$1006:$BM$1006,0))&gt;=100000), " ",IF(INDEX($AM$2:$BM$1001,MATCH(ROWS($AF$2:AF311),$AF$2:$AF$1001,0),MATCH(COLUMNS($AM$1006:AS1006),$AM$1006:$BM$1006,0)), HYPERLINK("#",""), HYPERLINK(CONCATENATE("#metadata!", ADDRESS(INDEX($AH$2:$AH$1001,MATCH(ROWS($AF$2:AF311),$AF$2:$AF$1001,0),0), INDEX($AM$1004:$BM$1004,1,MATCH(COLUMNS($AM$1006:AS1006),$AM$1006:$BM$1006,0)))),"Fix")))</f>
        <v xml:space="preserve"> </v>
      </c>
      <c r="I311" s="4" t="str">
        <f ca="1">IF(OR(INDEX($AG$2:$AG$1001,MATCH(ROWS($AF$2:AF311),$AF$2:$AF$1001,0),1)&gt;=100000,INDEX($AM$1005:$BM$1005,1,MATCH(COLUMNS($AM$1006:AT1006),$AM$1006:$BM$1006,0))&gt;=100000), " ",IF(INDEX($AM$2:$BM$1001,MATCH(ROWS($AF$2:AF311),$AF$2:$AF$1001,0),MATCH(COLUMNS($AM$1006:AT1006),$AM$1006:$BM$1006,0)), HYPERLINK("#",""), HYPERLINK(CONCATENATE("#metadata!", ADDRESS(INDEX($AH$2:$AH$1001,MATCH(ROWS($AF$2:AF311),$AF$2:$AF$1001,0),0), INDEX($AM$1004:$BM$1004,1,MATCH(COLUMNS($AM$1006:AT1006),$AM$1006:$BM$1006,0)))),"Fix")))</f>
        <v xml:space="preserve"> </v>
      </c>
      <c r="J311" s="4" t="str">
        <f ca="1">IF(OR(INDEX($AG$2:$AG$1001,MATCH(ROWS($AF$2:AF311),$AF$2:$AF$1001,0),1)&gt;=100000,INDEX($AM$1005:$BM$1005,1,MATCH(COLUMNS($AM$1006:AU1006),$AM$1006:$BM$1006,0))&gt;=100000), " ",IF(INDEX($AM$2:$BM$1001,MATCH(ROWS($AF$2:AF311),$AF$2:$AF$1001,0),MATCH(COLUMNS($AM$1006:AU1006),$AM$1006:$BM$1006,0)), HYPERLINK("#",""), HYPERLINK(CONCATENATE("#metadata!", ADDRESS(INDEX($AH$2:$AH$1001,MATCH(ROWS($AF$2:AF311),$AF$2:$AF$1001,0),0), INDEX($AM$1004:$BM$1004,1,MATCH(COLUMNS($AM$1006:AU1006),$AM$1006:$BM$1006,0)))),"Fix")))</f>
        <v xml:space="preserve"> </v>
      </c>
      <c r="K311" s="4" t="str">
        <f ca="1">IF(OR(INDEX($AG$2:$AG$1001,MATCH(ROWS($AF$2:AF311),$AF$2:$AF$1001,0),1)&gt;=100000,INDEX($AM$1005:$BM$1005,1,MATCH(COLUMNS($AM$1006:AV1006),$AM$1006:$BM$1006,0))&gt;=100000), " ",IF(INDEX($AM$2:$BM$1001,MATCH(ROWS($AF$2:AF311),$AF$2:$AF$1001,0),MATCH(COLUMNS($AM$1006:AV1006),$AM$1006:$BM$1006,0)), HYPERLINK("#",""), HYPERLINK(CONCATENATE("#metadata!", ADDRESS(INDEX($AH$2:$AH$1001,MATCH(ROWS($AF$2:AF311),$AF$2:$AF$1001,0),0), INDEX($AM$1004:$BM$1004,1,MATCH(COLUMNS($AM$1006:AV1006),$AM$1006:$BM$1006,0)))),"Fix")))</f>
        <v xml:space="preserve"> </v>
      </c>
      <c r="L311" s="4" t="str">
        <f ca="1">IF(OR(INDEX($AG$2:$AG$1001,MATCH(ROWS($AF$2:AF311),$AF$2:$AF$1001,0),1)&gt;=100000,INDEX($AM$1005:$BM$1005,1,MATCH(COLUMNS($AM$1006:AW1006),$AM$1006:$BM$1006,0))&gt;=100000), " ",IF(INDEX($AM$2:$BM$1001,MATCH(ROWS($AF$2:AF311),$AF$2:$AF$1001,0),MATCH(COLUMNS($AM$1006:AW1006),$AM$1006:$BM$1006,0)), HYPERLINK("#",""), HYPERLINK(CONCATENATE("#metadata!", ADDRESS(INDEX($AH$2:$AH$1001,MATCH(ROWS($AF$2:AF311),$AF$2:$AF$1001,0),0), INDEX($AM$1004:$BM$1004,1,MATCH(COLUMNS($AM$1006:AW1006),$AM$1006:$BM$1006,0)))),"Fix")))</f>
        <v xml:space="preserve"> </v>
      </c>
      <c r="M311" s="4" t="str">
        <f ca="1">IF(OR(INDEX($AG$2:$AG$1001,MATCH(ROWS($AF$2:AF311),$AF$2:$AF$1001,0),1)&gt;=100000,INDEX($AM$1005:$BM$1005,1,MATCH(COLUMNS($AM$1006:AX1006),$AM$1006:$BM$1006,0))&gt;=100000), " ",IF(INDEX($AM$2:$BM$1001,MATCH(ROWS($AF$2:AF311),$AF$2:$AF$1001,0),MATCH(COLUMNS($AM$1006:AX1006),$AM$1006:$BM$1006,0)), HYPERLINK("#",""), HYPERLINK(CONCATENATE("#metadata!", ADDRESS(INDEX($AH$2:$AH$1001,MATCH(ROWS($AF$2:AF311),$AF$2:$AF$1001,0),0), INDEX($AM$1004:$BM$1004,1,MATCH(COLUMNS($AM$1006:AX1006),$AM$1006:$BM$1006,0)))),"Fix")))</f>
        <v xml:space="preserve"> </v>
      </c>
      <c r="N311" s="4" t="str">
        <f ca="1">IF(OR(INDEX($AG$2:$AG$1001,MATCH(ROWS($AF$2:AF311),$AF$2:$AF$1001,0),1)&gt;=100000,INDEX($AM$1005:$BM$1005,1,MATCH(COLUMNS($AM$1006:AY1006),$AM$1006:$BM$1006,0))&gt;=100000), " ",IF(INDEX($AM$2:$BM$1001,MATCH(ROWS($AF$2:AF311),$AF$2:$AF$1001,0),MATCH(COLUMNS($AM$1006:AY1006),$AM$1006:$BM$1006,0)), HYPERLINK("#",""), HYPERLINK(CONCATENATE("#metadata!", ADDRESS(INDEX($AH$2:$AH$1001,MATCH(ROWS($AF$2:AF311),$AF$2:$AF$1001,0),0), INDEX($AM$1004:$BM$1004,1,MATCH(COLUMNS($AM$1006:AY1006),$AM$1006:$BM$1006,0)))),"Fix")))</f>
        <v xml:space="preserve"> </v>
      </c>
      <c r="O311" s="4" t="str">
        <f ca="1">IF(OR(INDEX($AG$2:$AG$1001,MATCH(ROWS($AF$2:AF311),$AF$2:$AF$1001,0),1)&gt;=100000,INDEX($AM$1005:$BM$1005,1,MATCH(COLUMNS($AM$1006:AZ1006),$AM$1006:$BM$1006,0))&gt;=100000), " ",IF(INDEX($AM$2:$BM$1001,MATCH(ROWS($AF$2:AF311),$AF$2:$AF$1001,0),MATCH(COLUMNS($AM$1006:AZ1006),$AM$1006:$BM$1006,0)), HYPERLINK("#",""), HYPERLINK(CONCATENATE("#metadata!", ADDRESS(INDEX($AH$2:$AH$1001,MATCH(ROWS($AF$2:AF311),$AF$2:$AF$1001,0),0), INDEX($AM$1004:$BM$1004,1,MATCH(COLUMNS($AM$1006:AZ1006),$AM$1006:$BM$1006,0)))),"Fix")))</f>
        <v xml:space="preserve"> </v>
      </c>
      <c r="P311" s="4" t="str">
        <f ca="1">IF(OR(INDEX($AG$2:$AG$1001,MATCH(ROWS($AF$2:AF311),$AF$2:$AF$1001,0),1)&gt;=100000,INDEX($AM$1005:$BM$1005,1,MATCH(COLUMNS($AM$1006:BA1006),$AM$1006:$BM$1006,0))&gt;=100000), " ",IF(INDEX($AM$2:$BM$1001,MATCH(ROWS($AF$2:AF311),$AF$2:$AF$1001,0),MATCH(COLUMNS($AM$1006:BA1006),$AM$1006:$BM$1006,0)), HYPERLINK("#",""), HYPERLINK(CONCATENATE("#metadata!", ADDRESS(INDEX($AH$2:$AH$1001,MATCH(ROWS($AF$2:AF311),$AF$2:$AF$1001,0),0), INDEX($AM$1004:$BM$1004,1,MATCH(COLUMNS($AM$1006:BA1006),$AM$1006:$BM$1006,0)))),"Fix")))</f>
        <v xml:space="preserve"> </v>
      </c>
      <c r="Q311" s="4" t="str">
        <f ca="1">IF(OR(INDEX($AG$2:$AG$1001,MATCH(ROWS($AF$2:AF311),$AF$2:$AF$1001,0),1)&gt;=100000,INDEX($AM$1005:$BM$1005,1,MATCH(COLUMNS($AM$1006:BB1006),$AM$1006:$BM$1006,0))&gt;=100000), " ",IF(INDEX($AM$2:$BM$1001,MATCH(ROWS($AF$2:AF311),$AF$2:$AF$1001,0),MATCH(COLUMNS($AM$1006:BB1006),$AM$1006:$BM$1006,0)), HYPERLINK("#",""), HYPERLINK(CONCATENATE("#metadata!", ADDRESS(INDEX($AH$2:$AH$1001,MATCH(ROWS($AF$2:AF311),$AF$2:$AF$1001,0),0), INDEX($AM$1004:$BM$1004,1,MATCH(COLUMNS($AM$1006:BB1006),$AM$1006:$BM$1006,0)))),"Fix")))</f>
        <v xml:space="preserve"> </v>
      </c>
      <c r="R311" s="4" t="str">
        <f ca="1">IF(OR(INDEX($AG$2:$AG$1001,MATCH(ROWS($AF$2:AF311),$AF$2:$AF$1001,0),1)&gt;=100000,INDEX($AM$1005:$BM$1005,1,MATCH(COLUMNS($AM$1006:BC1006),$AM$1006:$BM$1006,0))&gt;=100000), " ",IF(INDEX($AM$2:$BM$1001,MATCH(ROWS($AF$2:AF311),$AF$2:$AF$1001,0),MATCH(COLUMNS($AM$1006:BC1006),$AM$1006:$BM$1006,0)), HYPERLINK("#",""), HYPERLINK(CONCATENATE("#metadata!", ADDRESS(INDEX($AH$2:$AH$1001,MATCH(ROWS($AF$2:AF311),$AF$2:$AF$1001,0),0), INDEX($AM$1004:$BM$1004,1,MATCH(COLUMNS($AM$1006:BC1006),$AM$1006:$BM$1006,0)))),"Fix")))</f>
        <v xml:space="preserve"> </v>
      </c>
      <c r="S311" s="4" t="str">
        <f ca="1">IF(OR(INDEX($AG$2:$AG$1001,MATCH(ROWS($AF$2:AF311),$AF$2:$AF$1001,0),1)&gt;=100000,INDEX($AM$1005:$BM$1005,1,MATCH(COLUMNS($AM$1006:BD1006),$AM$1006:$BM$1006,0))&gt;=100000), " ",IF(INDEX($AM$2:$BM$1001,MATCH(ROWS($AF$2:AF311),$AF$2:$AF$1001,0),MATCH(COLUMNS($AM$1006:BD1006),$AM$1006:$BM$1006,0)), HYPERLINK("#",""), HYPERLINK(CONCATENATE("#metadata!", ADDRESS(INDEX($AH$2:$AH$1001,MATCH(ROWS($AF$2:AF311),$AF$2:$AF$1001,0),0), INDEX($AM$1004:$BM$1004,1,MATCH(COLUMNS($AM$1006:BD1006),$AM$1006:$BM$1006,0)))),"Fix")))</f>
        <v xml:space="preserve"> </v>
      </c>
      <c r="T311" s="4" t="str">
        <f ca="1">IF(OR(INDEX($AG$2:$AG$1001,MATCH(ROWS($AF$2:AF311),$AF$2:$AF$1001,0),1)&gt;=100000,INDEX($AM$1005:$BM$1005,1,MATCH(COLUMNS($AM$1006:BE1006),$AM$1006:$BM$1006,0))&gt;=100000), " ",IF(INDEX($AM$2:$BM$1001,MATCH(ROWS($AF$2:AF311),$AF$2:$AF$1001,0),MATCH(COLUMNS($AM$1006:BE1006),$AM$1006:$BM$1006,0)), HYPERLINK("#",""), HYPERLINK(CONCATENATE("#metadata!", ADDRESS(INDEX($AH$2:$AH$1001,MATCH(ROWS($AF$2:AF311),$AF$2:$AF$1001,0),0), INDEX($AM$1004:$BM$1004,1,MATCH(COLUMNS($AM$1006:BE1006),$AM$1006:$BM$1006,0)))),"Fix")))</f>
        <v xml:space="preserve"> </v>
      </c>
      <c r="U311" s="4" t="str">
        <f ca="1">IF(OR(INDEX($AG$2:$AG$1001,MATCH(ROWS($AF$2:AF311),$AF$2:$AF$1001,0),1)&gt;=100000,INDEX($AM$1005:$BM$1005,1,MATCH(COLUMNS($AM$1006:BF1006),$AM$1006:$BM$1006,0))&gt;=100000), " ",IF(INDEX($AM$2:$BM$1001,MATCH(ROWS($AF$2:AF311),$AF$2:$AF$1001,0),MATCH(COLUMNS($AM$1006:BF1006),$AM$1006:$BM$1006,0)), HYPERLINK("#",""), HYPERLINK(CONCATENATE("#metadata!", ADDRESS(INDEX($AH$2:$AH$1001,MATCH(ROWS($AF$2:AF311),$AF$2:$AF$1001,0),0), INDEX($AM$1004:$BM$1004,1,MATCH(COLUMNS($AM$1006:BF1006),$AM$1006:$BM$1006,0)))),"Fix")))</f>
        <v xml:space="preserve"> </v>
      </c>
      <c r="V311" s="4" t="str">
        <f ca="1">IF(OR(INDEX($AG$2:$AG$1001,MATCH(ROWS($AF$2:AF311),$AF$2:$AF$1001,0),1)&gt;=100000,INDEX($AM$1005:$BM$1005,1,MATCH(COLUMNS($AM$1006:BG1006),$AM$1006:$BM$1006,0))&gt;=100000), " ",IF(INDEX($AM$2:$BM$1001,MATCH(ROWS($AF$2:AF311),$AF$2:$AF$1001,0),MATCH(COLUMNS($AM$1006:BG1006),$AM$1006:$BM$1006,0)), HYPERLINK("#",""), HYPERLINK(CONCATENATE("#metadata!", ADDRESS(INDEX($AH$2:$AH$1001,MATCH(ROWS($AF$2:AF311),$AF$2:$AF$1001,0),0), INDEX($AM$1004:$BM$1004,1,MATCH(COLUMNS($AM$1006:BG1006),$AM$1006:$BM$1006,0)))),"Fix")))</f>
        <v xml:space="preserve"> </v>
      </c>
      <c r="W311" s="4" t="str">
        <f ca="1">IF(OR(INDEX($AG$2:$AG$1001,MATCH(ROWS($AF$2:AF311),$AF$2:$AF$1001,0),1)&gt;=100000,INDEX($AM$1005:$BM$1005,1,MATCH(COLUMNS($AM$1006:BH1006),$AM$1006:$BM$1006,0))&gt;=100000), " ",IF(INDEX($AM$2:$BM$1001,MATCH(ROWS($AF$2:AF311),$AF$2:$AF$1001,0),MATCH(COLUMNS($AM$1006:BH1006),$AM$1006:$BM$1006,0)), HYPERLINK("#",""), HYPERLINK(CONCATENATE("#metadata!", ADDRESS(INDEX($AH$2:$AH$1001,MATCH(ROWS($AF$2:AF311),$AF$2:$AF$1001,0),0), INDEX($AM$1004:$BM$1004,1,MATCH(COLUMNS($AM$1006:BH1006),$AM$1006:$BM$1006,0)))),"Fix")))</f>
        <v xml:space="preserve"> </v>
      </c>
      <c r="X311" s="4" t="str">
        <f ca="1">IF(OR(INDEX($AG$2:$AG$1001,MATCH(ROWS($AF$2:AF311),$AF$2:$AF$1001,0),1)&gt;=100000,INDEX($AM$1005:$BM$1005,1,MATCH(COLUMNS($AM$1006:BI1006),$AM$1006:$BM$1006,0))&gt;=100000), " ",IF(INDEX($AM$2:$BM$1001,MATCH(ROWS($AF$2:AF311),$AF$2:$AF$1001,0),MATCH(COLUMNS($AM$1006:BI1006),$AM$1006:$BM$1006,0)), HYPERLINK("#",""), HYPERLINK(CONCATENATE("#metadata!", ADDRESS(INDEX($AH$2:$AH$1001,MATCH(ROWS($AF$2:AF311),$AF$2:$AF$1001,0),0), INDEX($AM$1004:$BM$1004,1,MATCH(COLUMNS($AM$1006:BI1006),$AM$1006:$BM$1006,0)))),"Fix")))</f>
        <v xml:space="preserve"> </v>
      </c>
      <c r="Y311" s="4" t="str">
        <f ca="1">IF(OR(INDEX($AG$2:$AG$1001,MATCH(ROWS($AF$2:AF311),$AF$2:$AF$1001,0),1)&gt;=100000,INDEX($AM$1005:$BM$1005,1,MATCH(COLUMNS($AM$1006:BJ1006),$AM$1006:$BM$1006,0))&gt;=100000), " ",IF(INDEX($AM$2:$BM$1001,MATCH(ROWS($AF$2:AF311),$AF$2:$AF$1001,0),MATCH(COLUMNS($AM$1006:BJ1006),$AM$1006:$BM$1006,0)), HYPERLINK("#",""), HYPERLINK(CONCATENATE("#metadata!", ADDRESS(INDEX($AH$2:$AH$1001,MATCH(ROWS($AF$2:AF311),$AF$2:$AF$1001,0),0), INDEX($AM$1004:$BM$1004,1,MATCH(COLUMNS($AM$1006:BJ1006),$AM$1006:$BM$1006,0)))),"Fix")))</f>
        <v xml:space="preserve"> </v>
      </c>
      <c r="Z311" s="4" t="str">
        <f ca="1">IF(OR(INDEX($AG$2:$AG$1001,MATCH(ROWS($AF$2:AF311),$AF$2:$AF$1001,0),1)&gt;=100000,INDEX($AM$1005:$BM$1005,1,MATCH(COLUMNS($AM$1006:BK1006),$AM$1006:$BM$1006,0))&gt;=100000), " ",IF(INDEX($AM$2:$BM$1001,MATCH(ROWS($AF$2:AF311),$AF$2:$AF$1001,0),MATCH(COLUMNS($AM$1006:BK1006),$AM$1006:$BM$1006,0)), HYPERLINK("#",""), HYPERLINK(CONCATENATE("#metadata!", ADDRESS(INDEX($AH$2:$AH$1001,MATCH(ROWS($AF$2:AF311),$AF$2:$AF$1001,0),0), INDEX($AM$1004:$BM$1004,1,MATCH(COLUMNS($AM$1006:BK1006),$AM$1006:$BM$1006,0)))),"Fix")))</f>
        <v xml:space="preserve"> </v>
      </c>
      <c r="AA311" s="4" t="str">
        <f ca="1">IF(OR(INDEX($AG$2:$AG$1001,MATCH(ROWS($AF$2:AF311),$AF$2:$AF$1001,0),1)&gt;=100000,INDEX($AM$1005:$BM$1005,1,MATCH(COLUMNS($AM$1006:BL1006),$AM$1006:$BM$1006,0))&gt;=100000), " ",IF(INDEX($AM$2:$BM$1001,MATCH(ROWS($AF$2:AF311),$AF$2:$AF$1001,0),MATCH(COLUMNS($AM$1006:BL1006),$AM$1006:$BM$1006,0)), HYPERLINK("#",""), HYPERLINK(CONCATENATE("#metadata!", ADDRESS(INDEX($AH$2:$AH$1001,MATCH(ROWS($AF$2:AF311),$AF$2:$AF$1001,0),0), INDEX($AM$1004:$BM$1004,1,MATCH(COLUMNS($AM$1006:BL1006),$AM$1006:$BM$1006,0)))),"Fix")))</f>
        <v xml:space="preserve"> </v>
      </c>
      <c r="AB311" s="4" t="str">
        <f ca="1">IF(OR(INDEX($AG$2:$AG$1001,MATCH(ROWS($AF$2:AF311),$AF$2:$AF$1001,0),1)&gt;=100000,INDEX($AM$1005:$BM$1005,1,MATCH(COLUMNS($AM$1006:BM1006),$AM$1006:$BM$1006,0))&gt;=100000), " ",IF(INDEX($AM$2:$BM$1001,MATCH(ROWS($AF$2:AF311),$AF$2:$AF$1001,0),MATCH(COLUMNS($AM$1006:BM1006),$AM$1006:$BM$1006,0)), HYPERLINK("#",""), HYPERLINK(CONCATENATE("#metadata!", ADDRESS(INDEX($AH$2:$AH$1001,MATCH(ROWS($AF$2:AF311),$AF$2:$AF$1001,0),0), INDEX($AM$1004:$BM$1004,1,MATCH(COLUMNS($AM$1006:BM1006),$AM$1006:$BM$1006,0)))),"Fix")))</f>
        <v xml:space="preserve"> </v>
      </c>
      <c r="AF311">
        <v>310</v>
      </c>
      <c r="AG311">
        <v>100311</v>
      </c>
      <c r="AH311">
        <v>311</v>
      </c>
      <c r="AI311" t="b">
        <f t="shared" si="4"/>
        <v>1</v>
      </c>
      <c r="AJ311" t="b">
        <f>COUNTBLANK(metadata!B311:AB311)=COLUMNS(metadata!B311:AB311)</f>
        <v>1</v>
      </c>
      <c r="AK311" t="str">
        <v/>
      </c>
      <c r="AM311" t="b">
        <f ca="1">AND(IF(metadata!B311="",FALSE,TRUE),COUNTIF(metadata!B:B, metadata!B311) = 1,NOT(ISERROR(SUMPRODUCT(SEARCH(MID(metadata!B311,ROW(INDIRECT("1:"&amp;LEN(metadata!B311))), 1),"0123456789abcdefghijklmnopqrstuvwxyzABCDEFGHIJKLMNOPQRSTUVWXYZ.")))))</f>
        <v>0</v>
      </c>
      <c r="AN311" t="b">
        <f ca="1">OR(AND(IF(metadata!C311="",FALSE,TRUE),OR(EXACT(metadata!C311,"missing: not collected"),EXACT(metadata!C311,"missing: not provided"),EXACT(metadata!C311,"missing: restricted access"))),AND(IF(metadata!C311="",FALSE,TRUE),AND(AND(IFERROR(INT(LEFT(metadata!C311,4))&gt;1900,FALSE),IFERROR(INT(LEFT(metadata!C311,4))&lt;=YEAR(NOW()),FALSE)), OR(MID(metadata!C311,5,1)="", AND(AND(MID(metadata!C311,5,1)="-",IFERROR(INT(MID(metadata!C311,6,1))&gt;=0,FALSE),IFERROR(INT(MID(metadata!C311,6,1))&lt;=1,FALSE),NOT(MID(metadata!C311,7,1)=""),IFERROR(INT(MID(metadata!C311,6,2))&gt;=1,FALSE),IFERROR(INT(MID(metadata!C311,6,2))&lt;=12,FALSE)), OR(MID(metadata!C311,8,1)="", AND(AND(MID(metadata!C311,8,1)="-",IFERROR(INT(MID(metadata!C311,9,1))&gt;=0,FALSE),IFERROR(INT(MID(metadata!C311,9,1))&lt;=3,FALSE),NOT(MID(metadata!C311,10,1)=""),IFERROR(INT(MID(metadata!C311,9,2))&gt;=1,FALSE),IFERROR(INT(MID(metadata!C311,9,2))&lt;=31,FALSE)), OR(MID(metadata!C311,11,1)="", AND(AND(MID(metadata!C311,11,1)=" ",IFERROR(INT(MID(metadata!C311,12,1))&gt;=0,FALSE),IFERROR(INT(MID(metadata!C311,12,1))&lt;=2,FALSE),NOT(MID(metadata!C311,13,1)=""),IFERROR(INT(MID(metadata!C311,12,2))&gt;=0,FALSE),IFERROR(INT(MID(metadata!C311,12,2))&lt;=23,FALSE)), OR(MID(metadata!C311,14,1)="", AND(AND(MID(metadata!C311,14,1)=":",IFERROR(INT(MID(metadata!C311,15,1))&gt;=0,FALSE),IFERROR(INT(MID(metadata!C311,15,1))&lt;=5,FALSE),NOT(MID(metadata!C311,16,1)=""),IFERROR(INT(MID(metadata!C311,15,2))&gt;=0,FALSE),IFERROR(INT(MID(metadata!C311,15,2))&lt;=59,FALSE)), OR(MID(metadata!C311,17,1)="", AND(AND(MID(metadata!C311,17,1)=":",IFERROR(INT(MID(metadata!C311,18,1))&gt;=0,FALSE),IFERROR(INT(MID(metadata!C311,18,1))&lt;=5,FALSE),NOT(MID(metadata!C311,19,1)=""),IFERROR(INT(MID(metadata!C311,18,2))&gt;=0,FALSE),IFERROR(INT(MID(metadata!C311,18,2))&lt;=59,FALSE)), LEN(metadata!C311)&lt;=19)))))))))))))</f>
        <v>0</v>
      </c>
      <c r="AO311" t="b">
        <f>AND(IF(metadata!D311="",FALSE,TRUE),EXACT(metadata!D311,"Not applicable"))</f>
        <v>0</v>
      </c>
      <c r="AP311" t="b">
        <f>IF(metadata!E311="",FALSE,TRUE)</f>
        <v>0</v>
      </c>
      <c r="AQ311" t="b">
        <f>OR(AND(IF(metadata!F311="",FALSE,TRUE),OR(EXACT(metadata!F311,"missing: not collected"),EXACT(metadata!F311,"missing: not provided"))),AND(IF(metadata!F311="",FALSE,TRUE),OR(EXACT(metadata!F311,"TRUE"),EXACT(metadata!F311,"FALSE"))))</f>
        <v>0</v>
      </c>
      <c r="AR311" t="b">
        <f>OR(AND(IF(metadata!G311="",FALSE,TRUE),OR(EXACT(metadata!G311,"missing: not collected"),EXACT(metadata!G311,"missing: not provided"),EXACT(metadata!G311,"missing: restricted access"))),AND(IF(metadata!G311="",FALSE,ISNUMBER(VALUE(metadata!G311))),metadata!G311&gt;=-413))</f>
        <v>0</v>
      </c>
      <c r="AS311" t="b">
        <f>AND(IF(metadata!H311="",FALSE,TRUE),EXACT(metadata!H311,"meters"))</f>
        <v>0</v>
      </c>
      <c r="AT311" t="b">
        <f>AND(IF(metadata!I311="",FALSE,TRUE),OR(EXACT(metadata!I311,"Host-associated"),EXACT(metadata!I311,"Free-living")))</f>
        <v>0</v>
      </c>
      <c r="AU311" t="b">
        <f>AND(IF(metadata!J311="",FALSE,TRUE),OR(EXACT(metadata!J311,"Animal"),EXACT(metadata!J311,"Fungus"),EXACT(metadata!J311,"Plant"),EXACT(metadata!J311,"Saline"),EXACT(metadata!J311,"Non-saline")))</f>
        <v>0</v>
      </c>
      <c r="AV311" t="b">
        <f>AND(IF(metadata!K311="",FALSE,TRUE),OR(EXACT(metadata!K311,"Plant secretion"),EXACT(metadata!K311,"Plant rhizosphere"),EXACT(metadata!K311,"Plant surface"),EXACT(metadata!K311,"Plant corpus"),EXACT(metadata!K311,"Fungus surface"),EXACT(metadata!K311,"Fungus corpus"),EXACT(metadata!K311,"Animal surface"),EXACT(metadata!K311,"Animal proximal gut"),EXACT(metadata!K311,"Animal corpus"),EXACT(metadata!K311,"Animal distal gut"),EXACT(metadata!K311,"Animal secretion"),EXACT(metadata!K311,"Sub-surface (non-saline)"),EXACT(metadata!K311,"Surface (non-saline)"),EXACT(metadata!K311,"Water (non-saline)"),EXACT(metadata!K311,"Soil (non-saline)"),EXACT(metadata!K311,"Aerosol (non-saline)"),EXACT(metadata!K311,"Sediment (non-saline)"),EXACT(metadata!K311,"Surface (saline)"),EXACT(metadata!K311,"Water (saline)"),EXACT(metadata!K311,"Hypersaline (saline)"),EXACT(metadata!K311,"Aerosol (saline)"),EXACT(metadata!K311,"Sediment (saline)")))</f>
        <v>0</v>
      </c>
      <c r="AW311" t="b">
        <f>IF(metadata!L311="",FALSE,TRUE)</f>
        <v>0</v>
      </c>
      <c r="AX311" t="b">
        <f>IF(metadata!M311="",FALSE,TRUE)</f>
        <v>0</v>
      </c>
      <c r="AY311" t="b">
        <f>IF(metadata!N311="",FALSE,TRUE)</f>
        <v>0</v>
      </c>
      <c r="AZ311" t="b">
        <f>OR(AND(IF(metadata!O311="",FALSE,TRUE),OR(EXACT(metadata!O311,"missing: not collected"),EXACT(metadata!O311,"missing: not provided"),EXACT(metadata!O311,"missing: restricted access"))),AND(IF(metadata!O311="",FALSE,TRUE),OR(EXACT(metadata!O311,"air"),EXACT(metadata!O311,"built environment"),EXACT(metadata!O311,"host-associated"),EXACT(metadata!O311,"human-associated"),EXACT(metadata!O311,"human-skin"),EXACT(metadata!O311,"human-oral"),EXACT(metadata!O311,"human-gut"),EXACT(metadata!O311,"human-vaginal"),EXACT(metadata!O311,"microbial mat/biofilm"),EXACT(metadata!O311,"misc environment"),EXACT(metadata!O311,"plant-associated"),EXACT(metadata!O311,"sediment"),EXACT(metadata!O311,"soil"),EXACT(metadata!O311,"wastewater/sludge"),EXACT(metadata!O311,"water"))))</f>
        <v>0</v>
      </c>
      <c r="BA311" t="b">
        <f>IF(metadata!P311="",FALSE,TRUE)</f>
        <v>0</v>
      </c>
      <c r="BB311" t="b">
        <f>IF(metadata!Q311="",FALSE,TRUE)</f>
        <v>0</v>
      </c>
      <c r="BC311" t="b">
        <f>OR(AND(IF(metadata!R311="",FALSE,TRUE),OR(EXACT(metadata!R311,"missing: not collected"),EXACT(metadata!R311,"missing: not provided"),EXACT(metadata!R311,"missing: restricted access"))),AND(IF(metadata!R311="",FALSE,ISNUMBER(VALUE(metadata!R311))),metadata!R311&gt;=-90,metadata!R311&lt;=90))</f>
        <v>0</v>
      </c>
      <c r="BD311" t="b">
        <f>AND(IF(metadata!S311="",FALSE,TRUE),EXACT(metadata!S311,"Decimal degrees"))</f>
        <v>0</v>
      </c>
      <c r="BE311" t="b">
        <f>OR(AND(IF(metadata!T311="",FALSE,TRUE),OR(EXACT(metadata!T311,"missing: not collected"),EXACT(metadata!T311,"missing: not provided"),EXACT(metadata!T311,"missing: restricted access"))),AND(IF(metadata!T311="",FALSE,ISNUMBER(VALUE(metadata!T311))),metadata!T311&gt;=-180,metadata!T311&lt;=180))</f>
        <v>0</v>
      </c>
      <c r="BF311" t="b">
        <f>AND(IF(metadata!U311="",FALSE,TRUE),EXACT(metadata!U311,"Decimal degrees"))</f>
        <v>0</v>
      </c>
      <c r="BG311" t="b">
        <f>IF(metadata!V311="",FALSE,TRUE)</f>
        <v>0</v>
      </c>
      <c r="BH311" t="b">
        <f>OR(AND(IF(metadata!W311="",FALSE,TRUE),OR(EXACT(metadata!W311,"missing: not collected"),EXACT(metadata!W311,"missing: not provided"),EXACT(metadata!W311,"missing: restricted access"))),AND(IF(metadata!W311="",FALSE,TRUE),OR(EXACT(metadata!W311,"TRUE"),EXACT(metadata!W311,"FALSE"))))</f>
        <v>0</v>
      </c>
      <c r="BI311" t="b">
        <f>AND(IF(metadata!X311="",FALSE,TRUE),EXACT(metadata!X311,"other"))</f>
        <v>0</v>
      </c>
      <c r="BJ311" t="b">
        <f>IF(metadata!Y311="",FALSE,TRUE)</f>
        <v>0</v>
      </c>
      <c r="BK311" t="b">
        <f>OR(AND(IF(metadata!Z311="",FALSE,TRUE),OR(EXACT(metadata!Z311,"missing: not collected"),EXACT(metadata!Z311,"missing: not provided"))),AND(IF(metadata!Z311="",FALSE,IF(ISERROR(INT(metadata!Z311)),FALSE,INT(metadata!Z311)=metadata!Z311)),metadata!Z311&gt;0))</f>
        <v>0</v>
      </c>
      <c r="BL311" t="b">
        <f>AND(IF(metadata!AA311="",FALSE,TRUE),EXACT(metadata!AA311,"Not applicable"))</f>
        <v>0</v>
      </c>
      <c r="BM311" t="b">
        <f>IF(metadata!AB311="",FALSE,TRUE)</f>
        <v>0</v>
      </c>
    </row>
    <row r="312" spans="1:65" x14ac:dyDescent="0.2">
      <c r="A312" s="5" t="str">
        <f ca="1">IF(B312=" "," ",HYPERLINK(CONCATENATE("#metadata!",ADDRESS(INDEX($AH$2:$AH$1001,MATCH(ROWS($AF$2:AF312),$AF$2:$AF$1001,0),0),1)),INDEX($AK$2:$AK$1001,MATCH(ROWS($AF$2:AF312),$AF$2:$AF$1001,0),0)))</f>
        <v xml:space="preserve"> </v>
      </c>
      <c r="B312" s="4" t="str">
        <f ca="1">IF(OR(INDEX($AG$2:$AG$1001,MATCH(ROWS($AF$2:AF312),$AF$2:$AF$1001,0),1)&gt;=100000,INDEX($AM$1005:$BM$1005,1,MATCH(COLUMNS($AM$1006:AM1006),$AM$1006:$BM$1006,0))&gt;=100000), " ",IF(INDEX($AM$2:$BM$1001,MATCH(ROWS($AF$2:AF312),$AF$2:$AF$1001,0),MATCH(COLUMNS($AM$1006:AM1006),$AM$1006:$BM$1006,0)), HYPERLINK("#",""), HYPERLINK(CONCATENATE("#metadata!", ADDRESS(INDEX($AH$2:$AH$1001,MATCH(ROWS($AF$2:AF312),$AF$2:$AF$1001,0),0), INDEX($AM$1004:$BM$1004,1,MATCH(COLUMNS($AM$1006:AM1006),$AM$1006:$BM$1006,0)))),"Fix")))</f>
        <v xml:space="preserve"> </v>
      </c>
      <c r="C312" s="4" t="str">
        <f ca="1">IF(OR(INDEX($AG$2:$AG$1001,MATCH(ROWS($AF$2:AF312),$AF$2:$AF$1001,0),1)&gt;=100000,INDEX($AM$1005:$BM$1005,1,MATCH(COLUMNS($AM$1006:AN1006),$AM$1006:$BM$1006,0))&gt;=100000), " ",IF(INDEX($AM$2:$BM$1001,MATCH(ROWS($AF$2:AF312),$AF$2:$AF$1001,0),MATCH(COLUMNS($AM$1006:AN1006),$AM$1006:$BM$1006,0)), HYPERLINK("#",""), HYPERLINK(CONCATENATE("#metadata!", ADDRESS(INDEX($AH$2:$AH$1001,MATCH(ROWS($AF$2:AF312),$AF$2:$AF$1001,0),0), INDEX($AM$1004:$BM$1004,1,MATCH(COLUMNS($AM$1006:AN1006),$AM$1006:$BM$1006,0)))),"Fix")))</f>
        <v xml:space="preserve"> </v>
      </c>
      <c r="D312" s="4" t="str">
        <f ca="1">IF(OR(INDEX($AG$2:$AG$1001,MATCH(ROWS($AF$2:AF312),$AF$2:$AF$1001,0),1)&gt;=100000,INDEX($AM$1005:$BM$1005,1,MATCH(COLUMNS($AM$1006:AO1006),$AM$1006:$BM$1006,0))&gt;=100000), " ",IF(INDEX($AM$2:$BM$1001,MATCH(ROWS($AF$2:AF312),$AF$2:$AF$1001,0),MATCH(COLUMNS($AM$1006:AO1006),$AM$1006:$BM$1006,0)), HYPERLINK("#",""), HYPERLINK(CONCATENATE("#metadata!", ADDRESS(INDEX($AH$2:$AH$1001,MATCH(ROWS($AF$2:AF312),$AF$2:$AF$1001,0),0), INDEX($AM$1004:$BM$1004,1,MATCH(COLUMNS($AM$1006:AO1006),$AM$1006:$BM$1006,0)))),"Fix")))</f>
        <v xml:space="preserve"> </v>
      </c>
      <c r="E312" s="4" t="str">
        <f ca="1">IF(OR(INDEX($AG$2:$AG$1001,MATCH(ROWS($AF$2:AF312),$AF$2:$AF$1001,0),1)&gt;=100000,INDEX($AM$1005:$BM$1005,1,MATCH(COLUMNS($AM$1006:AP1006),$AM$1006:$BM$1006,0))&gt;=100000), " ",IF(INDEX($AM$2:$BM$1001,MATCH(ROWS($AF$2:AF312),$AF$2:$AF$1001,0),MATCH(COLUMNS($AM$1006:AP1006),$AM$1006:$BM$1006,0)), HYPERLINK("#",""), HYPERLINK(CONCATENATE("#metadata!", ADDRESS(INDEX($AH$2:$AH$1001,MATCH(ROWS($AF$2:AF312),$AF$2:$AF$1001,0),0), INDEX($AM$1004:$BM$1004,1,MATCH(COLUMNS($AM$1006:AP1006),$AM$1006:$BM$1006,0)))),"Fix")))</f>
        <v xml:space="preserve"> </v>
      </c>
      <c r="F312" s="4" t="str">
        <f ca="1">IF(OR(INDEX($AG$2:$AG$1001,MATCH(ROWS($AF$2:AF312),$AF$2:$AF$1001,0),1)&gt;=100000,INDEX($AM$1005:$BM$1005,1,MATCH(COLUMNS($AM$1006:AQ1006),$AM$1006:$BM$1006,0))&gt;=100000), " ",IF(INDEX($AM$2:$BM$1001,MATCH(ROWS($AF$2:AF312),$AF$2:$AF$1001,0),MATCH(COLUMNS($AM$1006:AQ1006),$AM$1006:$BM$1006,0)), HYPERLINK("#",""), HYPERLINK(CONCATENATE("#metadata!", ADDRESS(INDEX($AH$2:$AH$1001,MATCH(ROWS($AF$2:AF312),$AF$2:$AF$1001,0),0), INDEX($AM$1004:$BM$1004,1,MATCH(COLUMNS($AM$1006:AQ1006),$AM$1006:$BM$1006,0)))),"Fix")))</f>
        <v xml:space="preserve"> </v>
      </c>
      <c r="G312" s="4" t="str">
        <f ca="1">IF(OR(INDEX($AG$2:$AG$1001,MATCH(ROWS($AF$2:AF312),$AF$2:$AF$1001,0),1)&gt;=100000,INDEX($AM$1005:$BM$1005,1,MATCH(COLUMNS($AM$1006:AR1006),$AM$1006:$BM$1006,0))&gt;=100000), " ",IF(INDEX($AM$2:$BM$1001,MATCH(ROWS($AF$2:AF312),$AF$2:$AF$1001,0),MATCH(COLUMNS($AM$1006:AR1006),$AM$1006:$BM$1006,0)), HYPERLINK("#",""), HYPERLINK(CONCATENATE("#metadata!", ADDRESS(INDEX($AH$2:$AH$1001,MATCH(ROWS($AF$2:AF312),$AF$2:$AF$1001,0),0), INDEX($AM$1004:$BM$1004,1,MATCH(COLUMNS($AM$1006:AR1006),$AM$1006:$BM$1006,0)))),"Fix")))</f>
        <v xml:space="preserve"> </v>
      </c>
      <c r="H312" s="4" t="str">
        <f ca="1">IF(OR(INDEX($AG$2:$AG$1001,MATCH(ROWS($AF$2:AF312),$AF$2:$AF$1001,0),1)&gt;=100000,INDEX($AM$1005:$BM$1005,1,MATCH(COLUMNS($AM$1006:AS1006),$AM$1006:$BM$1006,0))&gt;=100000), " ",IF(INDEX($AM$2:$BM$1001,MATCH(ROWS($AF$2:AF312),$AF$2:$AF$1001,0),MATCH(COLUMNS($AM$1006:AS1006),$AM$1006:$BM$1006,0)), HYPERLINK("#",""), HYPERLINK(CONCATENATE("#metadata!", ADDRESS(INDEX($AH$2:$AH$1001,MATCH(ROWS($AF$2:AF312),$AF$2:$AF$1001,0),0), INDEX($AM$1004:$BM$1004,1,MATCH(COLUMNS($AM$1006:AS1006),$AM$1006:$BM$1006,0)))),"Fix")))</f>
        <v xml:space="preserve"> </v>
      </c>
      <c r="I312" s="4" t="str">
        <f ca="1">IF(OR(INDEX($AG$2:$AG$1001,MATCH(ROWS($AF$2:AF312),$AF$2:$AF$1001,0),1)&gt;=100000,INDEX($AM$1005:$BM$1005,1,MATCH(COLUMNS($AM$1006:AT1006),$AM$1006:$BM$1006,0))&gt;=100000), " ",IF(INDEX($AM$2:$BM$1001,MATCH(ROWS($AF$2:AF312),$AF$2:$AF$1001,0),MATCH(COLUMNS($AM$1006:AT1006),$AM$1006:$BM$1006,0)), HYPERLINK("#",""), HYPERLINK(CONCATENATE("#metadata!", ADDRESS(INDEX($AH$2:$AH$1001,MATCH(ROWS($AF$2:AF312),$AF$2:$AF$1001,0),0), INDEX($AM$1004:$BM$1004,1,MATCH(COLUMNS($AM$1006:AT1006),$AM$1006:$BM$1006,0)))),"Fix")))</f>
        <v xml:space="preserve"> </v>
      </c>
      <c r="J312" s="4" t="str">
        <f ca="1">IF(OR(INDEX($AG$2:$AG$1001,MATCH(ROWS($AF$2:AF312),$AF$2:$AF$1001,0),1)&gt;=100000,INDEX($AM$1005:$BM$1005,1,MATCH(COLUMNS($AM$1006:AU1006),$AM$1006:$BM$1006,0))&gt;=100000), " ",IF(INDEX($AM$2:$BM$1001,MATCH(ROWS($AF$2:AF312),$AF$2:$AF$1001,0),MATCH(COLUMNS($AM$1006:AU1006),$AM$1006:$BM$1006,0)), HYPERLINK("#",""), HYPERLINK(CONCATENATE("#metadata!", ADDRESS(INDEX($AH$2:$AH$1001,MATCH(ROWS($AF$2:AF312),$AF$2:$AF$1001,0),0), INDEX($AM$1004:$BM$1004,1,MATCH(COLUMNS($AM$1006:AU1006),$AM$1006:$BM$1006,0)))),"Fix")))</f>
        <v xml:space="preserve"> </v>
      </c>
      <c r="K312" s="4" t="str">
        <f ca="1">IF(OR(INDEX($AG$2:$AG$1001,MATCH(ROWS($AF$2:AF312),$AF$2:$AF$1001,0),1)&gt;=100000,INDEX($AM$1005:$BM$1005,1,MATCH(COLUMNS($AM$1006:AV1006),$AM$1006:$BM$1006,0))&gt;=100000), " ",IF(INDEX($AM$2:$BM$1001,MATCH(ROWS($AF$2:AF312),$AF$2:$AF$1001,0),MATCH(COLUMNS($AM$1006:AV1006),$AM$1006:$BM$1006,0)), HYPERLINK("#",""), HYPERLINK(CONCATENATE("#metadata!", ADDRESS(INDEX($AH$2:$AH$1001,MATCH(ROWS($AF$2:AF312),$AF$2:$AF$1001,0),0), INDEX($AM$1004:$BM$1004,1,MATCH(COLUMNS($AM$1006:AV1006),$AM$1006:$BM$1006,0)))),"Fix")))</f>
        <v xml:space="preserve"> </v>
      </c>
      <c r="L312" s="4" t="str">
        <f ca="1">IF(OR(INDEX($AG$2:$AG$1001,MATCH(ROWS($AF$2:AF312),$AF$2:$AF$1001,0),1)&gt;=100000,INDEX($AM$1005:$BM$1005,1,MATCH(COLUMNS($AM$1006:AW1006),$AM$1006:$BM$1006,0))&gt;=100000), " ",IF(INDEX($AM$2:$BM$1001,MATCH(ROWS($AF$2:AF312),$AF$2:$AF$1001,0),MATCH(COLUMNS($AM$1006:AW1006),$AM$1006:$BM$1006,0)), HYPERLINK("#",""), HYPERLINK(CONCATENATE("#metadata!", ADDRESS(INDEX($AH$2:$AH$1001,MATCH(ROWS($AF$2:AF312),$AF$2:$AF$1001,0),0), INDEX($AM$1004:$BM$1004,1,MATCH(COLUMNS($AM$1006:AW1006),$AM$1006:$BM$1006,0)))),"Fix")))</f>
        <v xml:space="preserve"> </v>
      </c>
      <c r="M312" s="4" t="str">
        <f ca="1">IF(OR(INDEX($AG$2:$AG$1001,MATCH(ROWS($AF$2:AF312),$AF$2:$AF$1001,0),1)&gt;=100000,INDEX($AM$1005:$BM$1005,1,MATCH(COLUMNS($AM$1006:AX1006),$AM$1006:$BM$1006,0))&gt;=100000), " ",IF(INDEX($AM$2:$BM$1001,MATCH(ROWS($AF$2:AF312),$AF$2:$AF$1001,0),MATCH(COLUMNS($AM$1006:AX1006),$AM$1006:$BM$1006,0)), HYPERLINK("#",""), HYPERLINK(CONCATENATE("#metadata!", ADDRESS(INDEX($AH$2:$AH$1001,MATCH(ROWS($AF$2:AF312),$AF$2:$AF$1001,0),0), INDEX($AM$1004:$BM$1004,1,MATCH(COLUMNS($AM$1006:AX1006),$AM$1006:$BM$1006,0)))),"Fix")))</f>
        <v xml:space="preserve"> </v>
      </c>
      <c r="N312" s="4" t="str">
        <f ca="1">IF(OR(INDEX($AG$2:$AG$1001,MATCH(ROWS($AF$2:AF312),$AF$2:$AF$1001,0),1)&gt;=100000,INDEX($AM$1005:$BM$1005,1,MATCH(COLUMNS($AM$1006:AY1006),$AM$1006:$BM$1006,0))&gt;=100000), " ",IF(INDEX($AM$2:$BM$1001,MATCH(ROWS($AF$2:AF312),$AF$2:$AF$1001,0),MATCH(COLUMNS($AM$1006:AY1006),$AM$1006:$BM$1006,0)), HYPERLINK("#",""), HYPERLINK(CONCATENATE("#metadata!", ADDRESS(INDEX($AH$2:$AH$1001,MATCH(ROWS($AF$2:AF312),$AF$2:$AF$1001,0),0), INDEX($AM$1004:$BM$1004,1,MATCH(COLUMNS($AM$1006:AY1006),$AM$1006:$BM$1006,0)))),"Fix")))</f>
        <v xml:space="preserve"> </v>
      </c>
      <c r="O312" s="4" t="str">
        <f ca="1">IF(OR(INDEX($AG$2:$AG$1001,MATCH(ROWS($AF$2:AF312),$AF$2:$AF$1001,0),1)&gt;=100000,INDEX($AM$1005:$BM$1005,1,MATCH(COLUMNS($AM$1006:AZ1006),$AM$1006:$BM$1006,0))&gt;=100000), " ",IF(INDEX($AM$2:$BM$1001,MATCH(ROWS($AF$2:AF312),$AF$2:$AF$1001,0),MATCH(COLUMNS($AM$1006:AZ1006),$AM$1006:$BM$1006,0)), HYPERLINK("#",""), HYPERLINK(CONCATENATE("#metadata!", ADDRESS(INDEX($AH$2:$AH$1001,MATCH(ROWS($AF$2:AF312),$AF$2:$AF$1001,0),0), INDEX($AM$1004:$BM$1004,1,MATCH(COLUMNS($AM$1006:AZ1006),$AM$1006:$BM$1006,0)))),"Fix")))</f>
        <v xml:space="preserve"> </v>
      </c>
      <c r="P312" s="4" t="str">
        <f ca="1">IF(OR(INDEX($AG$2:$AG$1001,MATCH(ROWS($AF$2:AF312),$AF$2:$AF$1001,0),1)&gt;=100000,INDEX($AM$1005:$BM$1005,1,MATCH(COLUMNS($AM$1006:BA1006),$AM$1006:$BM$1006,0))&gt;=100000), " ",IF(INDEX($AM$2:$BM$1001,MATCH(ROWS($AF$2:AF312),$AF$2:$AF$1001,0),MATCH(COLUMNS($AM$1006:BA1006),$AM$1006:$BM$1006,0)), HYPERLINK("#",""), HYPERLINK(CONCATENATE("#metadata!", ADDRESS(INDEX($AH$2:$AH$1001,MATCH(ROWS($AF$2:AF312),$AF$2:$AF$1001,0),0), INDEX($AM$1004:$BM$1004,1,MATCH(COLUMNS($AM$1006:BA1006),$AM$1006:$BM$1006,0)))),"Fix")))</f>
        <v xml:space="preserve"> </v>
      </c>
      <c r="Q312" s="4" t="str">
        <f ca="1">IF(OR(INDEX($AG$2:$AG$1001,MATCH(ROWS($AF$2:AF312),$AF$2:$AF$1001,0),1)&gt;=100000,INDEX($AM$1005:$BM$1005,1,MATCH(COLUMNS($AM$1006:BB1006),$AM$1006:$BM$1006,0))&gt;=100000), " ",IF(INDEX($AM$2:$BM$1001,MATCH(ROWS($AF$2:AF312),$AF$2:$AF$1001,0),MATCH(COLUMNS($AM$1006:BB1006),$AM$1006:$BM$1006,0)), HYPERLINK("#",""), HYPERLINK(CONCATENATE("#metadata!", ADDRESS(INDEX($AH$2:$AH$1001,MATCH(ROWS($AF$2:AF312),$AF$2:$AF$1001,0),0), INDEX($AM$1004:$BM$1004,1,MATCH(COLUMNS($AM$1006:BB1006),$AM$1006:$BM$1006,0)))),"Fix")))</f>
        <v xml:space="preserve"> </v>
      </c>
      <c r="R312" s="4" t="str">
        <f ca="1">IF(OR(INDEX($AG$2:$AG$1001,MATCH(ROWS($AF$2:AF312),$AF$2:$AF$1001,0),1)&gt;=100000,INDEX($AM$1005:$BM$1005,1,MATCH(COLUMNS($AM$1006:BC1006),$AM$1006:$BM$1006,0))&gt;=100000), " ",IF(INDEX($AM$2:$BM$1001,MATCH(ROWS($AF$2:AF312),$AF$2:$AF$1001,0),MATCH(COLUMNS($AM$1006:BC1006),$AM$1006:$BM$1006,0)), HYPERLINK("#",""), HYPERLINK(CONCATENATE("#metadata!", ADDRESS(INDEX($AH$2:$AH$1001,MATCH(ROWS($AF$2:AF312),$AF$2:$AF$1001,0),0), INDEX($AM$1004:$BM$1004,1,MATCH(COLUMNS($AM$1006:BC1006),$AM$1006:$BM$1006,0)))),"Fix")))</f>
        <v xml:space="preserve"> </v>
      </c>
      <c r="S312" s="4" t="str">
        <f ca="1">IF(OR(INDEX($AG$2:$AG$1001,MATCH(ROWS($AF$2:AF312),$AF$2:$AF$1001,0),1)&gt;=100000,INDEX($AM$1005:$BM$1005,1,MATCH(COLUMNS($AM$1006:BD1006),$AM$1006:$BM$1006,0))&gt;=100000), " ",IF(INDEX($AM$2:$BM$1001,MATCH(ROWS($AF$2:AF312),$AF$2:$AF$1001,0),MATCH(COLUMNS($AM$1006:BD1006),$AM$1006:$BM$1006,0)), HYPERLINK("#",""), HYPERLINK(CONCATENATE("#metadata!", ADDRESS(INDEX($AH$2:$AH$1001,MATCH(ROWS($AF$2:AF312),$AF$2:$AF$1001,0),0), INDEX($AM$1004:$BM$1004,1,MATCH(COLUMNS($AM$1006:BD1006),$AM$1006:$BM$1006,0)))),"Fix")))</f>
        <v xml:space="preserve"> </v>
      </c>
      <c r="T312" s="4" t="str">
        <f ca="1">IF(OR(INDEX($AG$2:$AG$1001,MATCH(ROWS($AF$2:AF312),$AF$2:$AF$1001,0),1)&gt;=100000,INDEX($AM$1005:$BM$1005,1,MATCH(COLUMNS($AM$1006:BE1006),$AM$1006:$BM$1006,0))&gt;=100000), " ",IF(INDEX($AM$2:$BM$1001,MATCH(ROWS($AF$2:AF312),$AF$2:$AF$1001,0),MATCH(COLUMNS($AM$1006:BE1006),$AM$1006:$BM$1006,0)), HYPERLINK("#",""), HYPERLINK(CONCATENATE("#metadata!", ADDRESS(INDEX($AH$2:$AH$1001,MATCH(ROWS($AF$2:AF312),$AF$2:$AF$1001,0),0), INDEX($AM$1004:$BM$1004,1,MATCH(COLUMNS($AM$1006:BE1006),$AM$1006:$BM$1006,0)))),"Fix")))</f>
        <v xml:space="preserve"> </v>
      </c>
      <c r="U312" s="4" t="str">
        <f ca="1">IF(OR(INDEX($AG$2:$AG$1001,MATCH(ROWS($AF$2:AF312),$AF$2:$AF$1001,0),1)&gt;=100000,INDEX($AM$1005:$BM$1005,1,MATCH(COLUMNS($AM$1006:BF1006),$AM$1006:$BM$1006,0))&gt;=100000), " ",IF(INDEX($AM$2:$BM$1001,MATCH(ROWS($AF$2:AF312),$AF$2:$AF$1001,0),MATCH(COLUMNS($AM$1006:BF1006),$AM$1006:$BM$1006,0)), HYPERLINK("#",""), HYPERLINK(CONCATENATE("#metadata!", ADDRESS(INDEX($AH$2:$AH$1001,MATCH(ROWS($AF$2:AF312),$AF$2:$AF$1001,0),0), INDEX($AM$1004:$BM$1004,1,MATCH(COLUMNS($AM$1006:BF1006),$AM$1006:$BM$1006,0)))),"Fix")))</f>
        <v xml:space="preserve"> </v>
      </c>
      <c r="V312" s="4" t="str">
        <f ca="1">IF(OR(INDEX($AG$2:$AG$1001,MATCH(ROWS($AF$2:AF312),$AF$2:$AF$1001,0),1)&gt;=100000,INDEX($AM$1005:$BM$1005,1,MATCH(COLUMNS($AM$1006:BG1006),$AM$1006:$BM$1006,0))&gt;=100000), " ",IF(INDEX($AM$2:$BM$1001,MATCH(ROWS($AF$2:AF312),$AF$2:$AF$1001,0),MATCH(COLUMNS($AM$1006:BG1006),$AM$1006:$BM$1006,0)), HYPERLINK("#",""), HYPERLINK(CONCATENATE("#metadata!", ADDRESS(INDEX($AH$2:$AH$1001,MATCH(ROWS($AF$2:AF312),$AF$2:$AF$1001,0),0), INDEX($AM$1004:$BM$1004,1,MATCH(COLUMNS($AM$1006:BG1006),$AM$1006:$BM$1006,0)))),"Fix")))</f>
        <v xml:space="preserve"> </v>
      </c>
      <c r="W312" s="4" t="str">
        <f ca="1">IF(OR(INDEX($AG$2:$AG$1001,MATCH(ROWS($AF$2:AF312),$AF$2:$AF$1001,0),1)&gt;=100000,INDEX($AM$1005:$BM$1005,1,MATCH(COLUMNS($AM$1006:BH1006),$AM$1006:$BM$1006,0))&gt;=100000), " ",IF(INDEX($AM$2:$BM$1001,MATCH(ROWS($AF$2:AF312),$AF$2:$AF$1001,0),MATCH(COLUMNS($AM$1006:BH1006),$AM$1006:$BM$1006,0)), HYPERLINK("#",""), HYPERLINK(CONCATENATE("#metadata!", ADDRESS(INDEX($AH$2:$AH$1001,MATCH(ROWS($AF$2:AF312),$AF$2:$AF$1001,0),0), INDEX($AM$1004:$BM$1004,1,MATCH(COLUMNS($AM$1006:BH1006),$AM$1006:$BM$1006,0)))),"Fix")))</f>
        <v xml:space="preserve"> </v>
      </c>
      <c r="X312" s="4" t="str">
        <f ca="1">IF(OR(INDEX($AG$2:$AG$1001,MATCH(ROWS($AF$2:AF312),$AF$2:$AF$1001,0),1)&gt;=100000,INDEX($AM$1005:$BM$1005,1,MATCH(COLUMNS($AM$1006:BI1006),$AM$1006:$BM$1006,0))&gt;=100000), " ",IF(INDEX($AM$2:$BM$1001,MATCH(ROWS($AF$2:AF312),$AF$2:$AF$1001,0),MATCH(COLUMNS($AM$1006:BI1006),$AM$1006:$BM$1006,0)), HYPERLINK("#",""), HYPERLINK(CONCATENATE("#metadata!", ADDRESS(INDEX($AH$2:$AH$1001,MATCH(ROWS($AF$2:AF312),$AF$2:$AF$1001,0),0), INDEX($AM$1004:$BM$1004,1,MATCH(COLUMNS($AM$1006:BI1006),$AM$1006:$BM$1006,0)))),"Fix")))</f>
        <v xml:space="preserve"> </v>
      </c>
      <c r="Y312" s="4" t="str">
        <f ca="1">IF(OR(INDEX($AG$2:$AG$1001,MATCH(ROWS($AF$2:AF312),$AF$2:$AF$1001,0),1)&gt;=100000,INDEX($AM$1005:$BM$1005,1,MATCH(COLUMNS($AM$1006:BJ1006),$AM$1006:$BM$1006,0))&gt;=100000), " ",IF(INDEX($AM$2:$BM$1001,MATCH(ROWS($AF$2:AF312),$AF$2:$AF$1001,0),MATCH(COLUMNS($AM$1006:BJ1006),$AM$1006:$BM$1006,0)), HYPERLINK("#",""), HYPERLINK(CONCATENATE("#metadata!", ADDRESS(INDEX($AH$2:$AH$1001,MATCH(ROWS($AF$2:AF312),$AF$2:$AF$1001,0),0), INDEX($AM$1004:$BM$1004,1,MATCH(COLUMNS($AM$1006:BJ1006),$AM$1006:$BM$1006,0)))),"Fix")))</f>
        <v xml:space="preserve"> </v>
      </c>
      <c r="Z312" s="4" t="str">
        <f ca="1">IF(OR(INDEX($AG$2:$AG$1001,MATCH(ROWS($AF$2:AF312),$AF$2:$AF$1001,0),1)&gt;=100000,INDEX($AM$1005:$BM$1005,1,MATCH(COLUMNS($AM$1006:BK1006),$AM$1006:$BM$1006,0))&gt;=100000), " ",IF(INDEX($AM$2:$BM$1001,MATCH(ROWS($AF$2:AF312),$AF$2:$AF$1001,0),MATCH(COLUMNS($AM$1006:BK1006),$AM$1006:$BM$1006,0)), HYPERLINK("#",""), HYPERLINK(CONCATENATE("#metadata!", ADDRESS(INDEX($AH$2:$AH$1001,MATCH(ROWS($AF$2:AF312),$AF$2:$AF$1001,0),0), INDEX($AM$1004:$BM$1004,1,MATCH(COLUMNS($AM$1006:BK1006),$AM$1006:$BM$1006,0)))),"Fix")))</f>
        <v xml:space="preserve"> </v>
      </c>
      <c r="AA312" s="4" t="str">
        <f ca="1">IF(OR(INDEX($AG$2:$AG$1001,MATCH(ROWS($AF$2:AF312),$AF$2:$AF$1001,0),1)&gt;=100000,INDEX($AM$1005:$BM$1005,1,MATCH(COLUMNS($AM$1006:BL1006),$AM$1006:$BM$1006,0))&gt;=100000), " ",IF(INDEX($AM$2:$BM$1001,MATCH(ROWS($AF$2:AF312),$AF$2:$AF$1001,0),MATCH(COLUMNS($AM$1006:BL1006),$AM$1006:$BM$1006,0)), HYPERLINK("#",""), HYPERLINK(CONCATENATE("#metadata!", ADDRESS(INDEX($AH$2:$AH$1001,MATCH(ROWS($AF$2:AF312),$AF$2:$AF$1001,0),0), INDEX($AM$1004:$BM$1004,1,MATCH(COLUMNS($AM$1006:BL1006),$AM$1006:$BM$1006,0)))),"Fix")))</f>
        <v xml:space="preserve"> </v>
      </c>
      <c r="AB312" s="4" t="str">
        <f ca="1">IF(OR(INDEX($AG$2:$AG$1001,MATCH(ROWS($AF$2:AF312),$AF$2:$AF$1001,0),1)&gt;=100000,INDEX($AM$1005:$BM$1005,1,MATCH(COLUMNS($AM$1006:BM1006),$AM$1006:$BM$1006,0))&gt;=100000), " ",IF(INDEX($AM$2:$BM$1001,MATCH(ROWS($AF$2:AF312),$AF$2:$AF$1001,0),MATCH(COLUMNS($AM$1006:BM1006),$AM$1006:$BM$1006,0)), HYPERLINK("#",""), HYPERLINK(CONCATENATE("#metadata!", ADDRESS(INDEX($AH$2:$AH$1001,MATCH(ROWS($AF$2:AF312),$AF$2:$AF$1001,0),0), INDEX($AM$1004:$BM$1004,1,MATCH(COLUMNS($AM$1006:BM1006),$AM$1006:$BM$1006,0)))),"Fix")))</f>
        <v xml:space="preserve"> </v>
      </c>
      <c r="AF312">
        <v>311</v>
      </c>
      <c r="AG312">
        <v>100312</v>
      </c>
      <c r="AH312">
        <v>312</v>
      </c>
      <c r="AI312" t="b">
        <f t="shared" si="4"/>
        <v>1</v>
      </c>
      <c r="AJ312" t="b">
        <f>COUNTBLANK(metadata!B312:AB312)=COLUMNS(metadata!B312:AB312)</f>
        <v>1</v>
      </c>
      <c r="AK312" t="str">
        <v/>
      </c>
      <c r="AM312" t="b">
        <f ca="1">AND(IF(metadata!B312="",FALSE,TRUE),COUNTIF(metadata!B:B, metadata!B312) = 1,NOT(ISERROR(SUMPRODUCT(SEARCH(MID(metadata!B312,ROW(INDIRECT("1:"&amp;LEN(metadata!B312))), 1),"0123456789abcdefghijklmnopqrstuvwxyzABCDEFGHIJKLMNOPQRSTUVWXYZ.")))))</f>
        <v>0</v>
      </c>
      <c r="AN312" t="b">
        <f ca="1">OR(AND(IF(metadata!C312="",FALSE,TRUE),OR(EXACT(metadata!C312,"missing: not collected"),EXACT(metadata!C312,"missing: not provided"),EXACT(metadata!C312,"missing: restricted access"))),AND(IF(metadata!C312="",FALSE,TRUE),AND(AND(IFERROR(INT(LEFT(metadata!C312,4))&gt;1900,FALSE),IFERROR(INT(LEFT(metadata!C312,4))&lt;=YEAR(NOW()),FALSE)), OR(MID(metadata!C312,5,1)="", AND(AND(MID(metadata!C312,5,1)="-",IFERROR(INT(MID(metadata!C312,6,1))&gt;=0,FALSE),IFERROR(INT(MID(metadata!C312,6,1))&lt;=1,FALSE),NOT(MID(metadata!C312,7,1)=""),IFERROR(INT(MID(metadata!C312,6,2))&gt;=1,FALSE),IFERROR(INT(MID(metadata!C312,6,2))&lt;=12,FALSE)), OR(MID(metadata!C312,8,1)="", AND(AND(MID(metadata!C312,8,1)="-",IFERROR(INT(MID(metadata!C312,9,1))&gt;=0,FALSE),IFERROR(INT(MID(metadata!C312,9,1))&lt;=3,FALSE),NOT(MID(metadata!C312,10,1)=""),IFERROR(INT(MID(metadata!C312,9,2))&gt;=1,FALSE),IFERROR(INT(MID(metadata!C312,9,2))&lt;=31,FALSE)), OR(MID(metadata!C312,11,1)="", AND(AND(MID(metadata!C312,11,1)=" ",IFERROR(INT(MID(metadata!C312,12,1))&gt;=0,FALSE),IFERROR(INT(MID(metadata!C312,12,1))&lt;=2,FALSE),NOT(MID(metadata!C312,13,1)=""),IFERROR(INT(MID(metadata!C312,12,2))&gt;=0,FALSE),IFERROR(INT(MID(metadata!C312,12,2))&lt;=23,FALSE)), OR(MID(metadata!C312,14,1)="", AND(AND(MID(metadata!C312,14,1)=":",IFERROR(INT(MID(metadata!C312,15,1))&gt;=0,FALSE),IFERROR(INT(MID(metadata!C312,15,1))&lt;=5,FALSE),NOT(MID(metadata!C312,16,1)=""),IFERROR(INT(MID(metadata!C312,15,2))&gt;=0,FALSE),IFERROR(INT(MID(metadata!C312,15,2))&lt;=59,FALSE)), OR(MID(metadata!C312,17,1)="", AND(AND(MID(metadata!C312,17,1)=":",IFERROR(INT(MID(metadata!C312,18,1))&gt;=0,FALSE),IFERROR(INT(MID(metadata!C312,18,1))&lt;=5,FALSE),NOT(MID(metadata!C312,19,1)=""),IFERROR(INT(MID(metadata!C312,18,2))&gt;=0,FALSE),IFERROR(INT(MID(metadata!C312,18,2))&lt;=59,FALSE)), LEN(metadata!C312)&lt;=19)))))))))))))</f>
        <v>0</v>
      </c>
      <c r="AO312" t="b">
        <f>AND(IF(metadata!D312="",FALSE,TRUE),EXACT(metadata!D312,"Not applicable"))</f>
        <v>0</v>
      </c>
      <c r="AP312" t="b">
        <f>IF(metadata!E312="",FALSE,TRUE)</f>
        <v>0</v>
      </c>
      <c r="AQ312" t="b">
        <f>OR(AND(IF(metadata!F312="",FALSE,TRUE),OR(EXACT(metadata!F312,"missing: not collected"),EXACT(metadata!F312,"missing: not provided"))),AND(IF(metadata!F312="",FALSE,TRUE),OR(EXACT(metadata!F312,"TRUE"),EXACT(metadata!F312,"FALSE"))))</f>
        <v>0</v>
      </c>
      <c r="AR312" t="b">
        <f>OR(AND(IF(metadata!G312="",FALSE,TRUE),OR(EXACT(metadata!G312,"missing: not collected"),EXACT(metadata!G312,"missing: not provided"),EXACT(metadata!G312,"missing: restricted access"))),AND(IF(metadata!G312="",FALSE,ISNUMBER(VALUE(metadata!G312))),metadata!G312&gt;=-413))</f>
        <v>0</v>
      </c>
      <c r="AS312" t="b">
        <f>AND(IF(metadata!H312="",FALSE,TRUE),EXACT(metadata!H312,"meters"))</f>
        <v>0</v>
      </c>
      <c r="AT312" t="b">
        <f>AND(IF(metadata!I312="",FALSE,TRUE),OR(EXACT(metadata!I312,"Host-associated"),EXACT(metadata!I312,"Free-living")))</f>
        <v>0</v>
      </c>
      <c r="AU312" t="b">
        <f>AND(IF(metadata!J312="",FALSE,TRUE),OR(EXACT(metadata!J312,"Animal"),EXACT(metadata!J312,"Fungus"),EXACT(metadata!J312,"Plant"),EXACT(metadata!J312,"Saline"),EXACT(metadata!J312,"Non-saline")))</f>
        <v>0</v>
      </c>
      <c r="AV312" t="b">
        <f>AND(IF(metadata!K312="",FALSE,TRUE),OR(EXACT(metadata!K312,"Plant secretion"),EXACT(metadata!K312,"Plant rhizosphere"),EXACT(metadata!K312,"Plant surface"),EXACT(metadata!K312,"Plant corpus"),EXACT(metadata!K312,"Fungus surface"),EXACT(metadata!K312,"Fungus corpus"),EXACT(metadata!K312,"Animal surface"),EXACT(metadata!K312,"Animal proximal gut"),EXACT(metadata!K312,"Animal corpus"),EXACT(metadata!K312,"Animal distal gut"),EXACT(metadata!K312,"Animal secretion"),EXACT(metadata!K312,"Sub-surface (non-saline)"),EXACT(metadata!K312,"Surface (non-saline)"),EXACT(metadata!K312,"Water (non-saline)"),EXACT(metadata!K312,"Soil (non-saline)"),EXACT(metadata!K312,"Aerosol (non-saline)"),EXACT(metadata!K312,"Sediment (non-saline)"),EXACT(metadata!K312,"Surface (saline)"),EXACT(metadata!K312,"Water (saline)"),EXACT(metadata!K312,"Hypersaline (saline)"),EXACT(metadata!K312,"Aerosol (saline)"),EXACT(metadata!K312,"Sediment (saline)")))</f>
        <v>0</v>
      </c>
      <c r="AW312" t="b">
        <f>IF(metadata!L312="",FALSE,TRUE)</f>
        <v>0</v>
      </c>
      <c r="AX312" t="b">
        <f>IF(metadata!M312="",FALSE,TRUE)</f>
        <v>0</v>
      </c>
      <c r="AY312" t="b">
        <f>IF(metadata!N312="",FALSE,TRUE)</f>
        <v>0</v>
      </c>
      <c r="AZ312" t="b">
        <f>OR(AND(IF(metadata!O312="",FALSE,TRUE),OR(EXACT(metadata!O312,"missing: not collected"),EXACT(metadata!O312,"missing: not provided"),EXACT(metadata!O312,"missing: restricted access"))),AND(IF(metadata!O312="",FALSE,TRUE),OR(EXACT(metadata!O312,"air"),EXACT(metadata!O312,"built environment"),EXACT(metadata!O312,"host-associated"),EXACT(metadata!O312,"human-associated"),EXACT(metadata!O312,"human-skin"),EXACT(metadata!O312,"human-oral"),EXACT(metadata!O312,"human-gut"),EXACT(metadata!O312,"human-vaginal"),EXACT(metadata!O312,"microbial mat/biofilm"),EXACT(metadata!O312,"misc environment"),EXACT(metadata!O312,"plant-associated"),EXACT(metadata!O312,"sediment"),EXACT(metadata!O312,"soil"),EXACT(metadata!O312,"wastewater/sludge"),EXACT(metadata!O312,"water"))))</f>
        <v>0</v>
      </c>
      <c r="BA312" t="b">
        <f>IF(metadata!P312="",FALSE,TRUE)</f>
        <v>0</v>
      </c>
      <c r="BB312" t="b">
        <f>IF(metadata!Q312="",FALSE,TRUE)</f>
        <v>0</v>
      </c>
      <c r="BC312" t="b">
        <f>OR(AND(IF(metadata!R312="",FALSE,TRUE),OR(EXACT(metadata!R312,"missing: not collected"),EXACT(metadata!R312,"missing: not provided"),EXACT(metadata!R312,"missing: restricted access"))),AND(IF(metadata!R312="",FALSE,ISNUMBER(VALUE(metadata!R312))),metadata!R312&gt;=-90,metadata!R312&lt;=90))</f>
        <v>0</v>
      </c>
      <c r="BD312" t="b">
        <f>AND(IF(metadata!S312="",FALSE,TRUE),EXACT(metadata!S312,"Decimal degrees"))</f>
        <v>0</v>
      </c>
      <c r="BE312" t="b">
        <f>OR(AND(IF(metadata!T312="",FALSE,TRUE),OR(EXACT(metadata!T312,"missing: not collected"),EXACT(metadata!T312,"missing: not provided"),EXACT(metadata!T312,"missing: restricted access"))),AND(IF(metadata!T312="",FALSE,ISNUMBER(VALUE(metadata!T312))),metadata!T312&gt;=-180,metadata!T312&lt;=180))</f>
        <v>0</v>
      </c>
      <c r="BF312" t="b">
        <f>AND(IF(metadata!U312="",FALSE,TRUE),EXACT(metadata!U312,"Decimal degrees"))</f>
        <v>0</v>
      </c>
      <c r="BG312" t="b">
        <f>IF(metadata!V312="",FALSE,TRUE)</f>
        <v>0</v>
      </c>
      <c r="BH312" t="b">
        <f>OR(AND(IF(metadata!W312="",FALSE,TRUE),OR(EXACT(metadata!W312,"missing: not collected"),EXACT(metadata!W312,"missing: not provided"),EXACT(metadata!W312,"missing: restricted access"))),AND(IF(metadata!W312="",FALSE,TRUE),OR(EXACT(metadata!W312,"TRUE"),EXACT(metadata!W312,"FALSE"))))</f>
        <v>0</v>
      </c>
      <c r="BI312" t="b">
        <f>AND(IF(metadata!X312="",FALSE,TRUE),EXACT(metadata!X312,"other"))</f>
        <v>0</v>
      </c>
      <c r="BJ312" t="b">
        <f>IF(metadata!Y312="",FALSE,TRUE)</f>
        <v>0</v>
      </c>
      <c r="BK312" t="b">
        <f>OR(AND(IF(metadata!Z312="",FALSE,TRUE),OR(EXACT(metadata!Z312,"missing: not collected"),EXACT(metadata!Z312,"missing: not provided"))),AND(IF(metadata!Z312="",FALSE,IF(ISERROR(INT(metadata!Z312)),FALSE,INT(metadata!Z312)=metadata!Z312)),metadata!Z312&gt;0))</f>
        <v>0</v>
      </c>
      <c r="BL312" t="b">
        <f>AND(IF(metadata!AA312="",FALSE,TRUE),EXACT(metadata!AA312,"Not applicable"))</f>
        <v>0</v>
      </c>
      <c r="BM312" t="b">
        <f>IF(metadata!AB312="",FALSE,TRUE)</f>
        <v>0</v>
      </c>
    </row>
    <row r="313" spans="1:65" x14ac:dyDescent="0.2">
      <c r="A313" s="5" t="str">
        <f ca="1">IF(B313=" "," ",HYPERLINK(CONCATENATE("#metadata!",ADDRESS(INDEX($AH$2:$AH$1001,MATCH(ROWS($AF$2:AF313),$AF$2:$AF$1001,0),0),1)),INDEX($AK$2:$AK$1001,MATCH(ROWS($AF$2:AF313),$AF$2:$AF$1001,0),0)))</f>
        <v xml:space="preserve"> </v>
      </c>
      <c r="B313" s="4" t="str">
        <f ca="1">IF(OR(INDEX($AG$2:$AG$1001,MATCH(ROWS($AF$2:AF313),$AF$2:$AF$1001,0),1)&gt;=100000,INDEX($AM$1005:$BM$1005,1,MATCH(COLUMNS($AM$1006:AM1006),$AM$1006:$BM$1006,0))&gt;=100000), " ",IF(INDEX($AM$2:$BM$1001,MATCH(ROWS($AF$2:AF313),$AF$2:$AF$1001,0),MATCH(COLUMNS($AM$1006:AM1006),$AM$1006:$BM$1006,0)), HYPERLINK("#",""), HYPERLINK(CONCATENATE("#metadata!", ADDRESS(INDEX($AH$2:$AH$1001,MATCH(ROWS($AF$2:AF313),$AF$2:$AF$1001,0),0), INDEX($AM$1004:$BM$1004,1,MATCH(COLUMNS($AM$1006:AM1006),$AM$1006:$BM$1006,0)))),"Fix")))</f>
        <v xml:space="preserve"> </v>
      </c>
      <c r="C313" s="4" t="str">
        <f ca="1">IF(OR(INDEX($AG$2:$AG$1001,MATCH(ROWS($AF$2:AF313),$AF$2:$AF$1001,0),1)&gt;=100000,INDEX($AM$1005:$BM$1005,1,MATCH(COLUMNS($AM$1006:AN1006),$AM$1006:$BM$1006,0))&gt;=100000), " ",IF(INDEX($AM$2:$BM$1001,MATCH(ROWS($AF$2:AF313),$AF$2:$AF$1001,0),MATCH(COLUMNS($AM$1006:AN1006),$AM$1006:$BM$1006,0)), HYPERLINK("#",""), HYPERLINK(CONCATENATE("#metadata!", ADDRESS(INDEX($AH$2:$AH$1001,MATCH(ROWS($AF$2:AF313),$AF$2:$AF$1001,0),0), INDEX($AM$1004:$BM$1004,1,MATCH(COLUMNS($AM$1006:AN1006),$AM$1006:$BM$1006,0)))),"Fix")))</f>
        <v xml:space="preserve"> </v>
      </c>
      <c r="D313" s="4" t="str">
        <f ca="1">IF(OR(INDEX($AG$2:$AG$1001,MATCH(ROWS($AF$2:AF313),$AF$2:$AF$1001,0),1)&gt;=100000,INDEX($AM$1005:$BM$1005,1,MATCH(COLUMNS($AM$1006:AO1006),$AM$1006:$BM$1006,0))&gt;=100000), " ",IF(INDEX($AM$2:$BM$1001,MATCH(ROWS($AF$2:AF313),$AF$2:$AF$1001,0),MATCH(COLUMNS($AM$1006:AO1006),$AM$1006:$BM$1006,0)), HYPERLINK("#",""), HYPERLINK(CONCATENATE("#metadata!", ADDRESS(INDEX($AH$2:$AH$1001,MATCH(ROWS($AF$2:AF313),$AF$2:$AF$1001,0),0), INDEX($AM$1004:$BM$1004,1,MATCH(COLUMNS($AM$1006:AO1006),$AM$1006:$BM$1006,0)))),"Fix")))</f>
        <v xml:space="preserve"> </v>
      </c>
      <c r="E313" s="4" t="str">
        <f ca="1">IF(OR(INDEX($AG$2:$AG$1001,MATCH(ROWS($AF$2:AF313),$AF$2:$AF$1001,0),1)&gt;=100000,INDEX($AM$1005:$BM$1005,1,MATCH(COLUMNS($AM$1006:AP1006),$AM$1006:$BM$1006,0))&gt;=100000), " ",IF(INDEX($AM$2:$BM$1001,MATCH(ROWS($AF$2:AF313),$AF$2:$AF$1001,0),MATCH(COLUMNS($AM$1006:AP1006),$AM$1006:$BM$1006,0)), HYPERLINK("#",""), HYPERLINK(CONCATENATE("#metadata!", ADDRESS(INDEX($AH$2:$AH$1001,MATCH(ROWS($AF$2:AF313),$AF$2:$AF$1001,0),0), INDEX($AM$1004:$BM$1004,1,MATCH(COLUMNS($AM$1006:AP1006),$AM$1006:$BM$1006,0)))),"Fix")))</f>
        <v xml:space="preserve"> </v>
      </c>
      <c r="F313" s="4" t="str">
        <f ca="1">IF(OR(INDEX($AG$2:$AG$1001,MATCH(ROWS($AF$2:AF313),$AF$2:$AF$1001,0),1)&gt;=100000,INDEX($AM$1005:$BM$1005,1,MATCH(COLUMNS($AM$1006:AQ1006),$AM$1006:$BM$1006,0))&gt;=100000), " ",IF(INDEX($AM$2:$BM$1001,MATCH(ROWS($AF$2:AF313),$AF$2:$AF$1001,0),MATCH(COLUMNS($AM$1006:AQ1006),$AM$1006:$BM$1006,0)), HYPERLINK("#",""), HYPERLINK(CONCATENATE("#metadata!", ADDRESS(INDEX($AH$2:$AH$1001,MATCH(ROWS($AF$2:AF313),$AF$2:$AF$1001,0),0), INDEX($AM$1004:$BM$1004,1,MATCH(COLUMNS($AM$1006:AQ1006),$AM$1006:$BM$1006,0)))),"Fix")))</f>
        <v xml:space="preserve"> </v>
      </c>
      <c r="G313" s="4" t="str">
        <f ca="1">IF(OR(INDEX($AG$2:$AG$1001,MATCH(ROWS($AF$2:AF313),$AF$2:$AF$1001,0),1)&gt;=100000,INDEX($AM$1005:$BM$1005,1,MATCH(COLUMNS($AM$1006:AR1006),$AM$1006:$BM$1006,0))&gt;=100000), " ",IF(INDEX($AM$2:$BM$1001,MATCH(ROWS($AF$2:AF313),$AF$2:$AF$1001,0),MATCH(COLUMNS($AM$1006:AR1006),$AM$1006:$BM$1006,0)), HYPERLINK("#",""), HYPERLINK(CONCATENATE("#metadata!", ADDRESS(INDEX($AH$2:$AH$1001,MATCH(ROWS($AF$2:AF313),$AF$2:$AF$1001,0),0), INDEX($AM$1004:$BM$1004,1,MATCH(COLUMNS($AM$1006:AR1006),$AM$1006:$BM$1006,0)))),"Fix")))</f>
        <v xml:space="preserve"> </v>
      </c>
      <c r="H313" s="4" t="str">
        <f ca="1">IF(OR(INDEX($AG$2:$AG$1001,MATCH(ROWS($AF$2:AF313),$AF$2:$AF$1001,0),1)&gt;=100000,INDEX($AM$1005:$BM$1005,1,MATCH(COLUMNS($AM$1006:AS1006),$AM$1006:$BM$1006,0))&gt;=100000), " ",IF(INDEX($AM$2:$BM$1001,MATCH(ROWS($AF$2:AF313),$AF$2:$AF$1001,0),MATCH(COLUMNS($AM$1006:AS1006),$AM$1006:$BM$1006,0)), HYPERLINK("#",""), HYPERLINK(CONCATENATE("#metadata!", ADDRESS(INDEX($AH$2:$AH$1001,MATCH(ROWS($AF$2:AF313),$AF$2:$AF$1001,0),0), INDEX($AM$1004:$BM$1004,1,MATCH(COLUMNS($AM$1006:AS1006),$AM$1006:$BM$1006,0)))),"Fix")))</f>
        <v xml:space="preserve"> </v>
      </c>
      <c r="I313" s="4" t="str">
        <f ca="1">IF(OR(INDEX($AG$2:$AG$1001,MATCH(ROWS($AF$2:AF313),$AF$2:$AF$1001,0),1)&gt;=100000,INDEX($AM$1005:$BM$1005,1,MATCH(COLUMNS($AM$1006:AT1006),$AM$1006:$BM$1006,0))&gt;=100000), " ",IF(INDEX($AM$2:$BM$1001,MATCH(ROWS($AF$2:AF313),$AF$2:$AF$1001,0),MATCH(COLUMNS($AM$1006:AT1006),$AM$1006:$BM$1006,0)), HYPERLINK("#",""), HYPERLINK(CONCATENATE("#metadata!", ADDRESS(INDEX($AH$2:$AH$1001,MATCH(ROWS($AF$2:AF313),$AF$2:$AF$1001,0),0), INDEX($AM$1004:$BM$1004,1,MATCH(COLUMNS($AM$1006:AT1006),$AM$1006:$BM$1006,0)))),"Fix")))</f>
        <v xml:space="preserve"> </v>
      </c>
      <c r="J313" s="4" t="str">
        <f ca="1">IF(OR(INDEX($AG$2:$AG$1001,MATCH(ROWS($AF$2:AF313),$AF$2:$AF$1001,0),1)&gt;=100000,INDEX($AM$1005:$BM$1005,1,MATCH(COLUMNS($AM$1006:AU1006),$AM$1006:$BM$1006,0))&gt;=100000), " ",IF(INDEX($AM$2:$BM$1001,MATCH(ROWS($AF$2:AF313),$AF$2:$AF$1001,0),MATCH(COLUMNS($AM$1006:AU1006),$AM$1006:$BM$1006,0)), HYPERLINK("#",""), HYPERLINK(CONCATENATE("#metadata!", ADDRESS(INDEX($AH$2:$AH$1001,MATCH(ROWS($AF$2:AF313),$AF$2:$AF$1001,0),0), INDEX($AM$1004:$BM$1004,1,MATCH(COLUMNS($AM$1006:AU1006),$AM$1006:$BM$1006,0)))),"Fix")))</f>
        <v xml:space="preserve"> </v>
      </c>
      <c r="K313" s="4" t="str">
        <f ca="1">IF(OR(INDEX($AG$2:$AG$1001,MATCH(ROWS($AF$2:AF313),$AF$2:$AF$1001,0),1)&gt;=100000,INDEX($AM$1005:$BM$1005,1,MATCH(COLUMNS($AM$1006:AV1006),$AM$1006:$BM$1006,0))&gt;=100000), " ",IF(INDEX($AM$2:$BM$1001,MATCH(ROWS($AF$2:AF313),$AF$2:$AF$1001,0),MATCH(COLUMNS($AM$1006:AV1006),$AM$1006:$BM$1006,0)), HYPERLINK("#",""), HYPERLINK(CONCATENATE("#metadata!", ADDRESS(INDEX($AH$2:$AH$1001,MATCH(ROWS($AF$2:AF313),$AF$2:$AF$1001,0),0), INDEX($AM$1004:$BM$1004,1,MATCH(COLUMNS($AM$1006:AV1006),$AM$1006:$BM$1006,0)))),"Fix")))</f>
        <v xml:space="preserve"> </v>
      </c>
      <c r="L313" s="4" t="str">
        <f ca="1">IF(OR(INDEX($AG$2:$AG$1001,MATCH(ROWS($AF$2:AF313),$AF$2:$AF$1001,0),1)&gt;=100000,INDEX($AM$1005:$BM$1005,1,MATCH(COLUMNS($AM$1006:AW1006),$AM$1006:$BM$1006,0))&gt;=100000), " ",IF(INDEX($AM$2:$BM$1001,MATCH(ROWS($AF$2:AF313),$AF$2:$AF$1001,0),MATCH(COLUMNS($AM$1006:AW1006),$AM$1006:$BM$1006,0)), HYPERLINK("#",""), HYPERLINK(CONCATENATE("#metadata!", ADDRESS(INDEX($AH$2:$AH$1001,MATCH(ROWS($AF$2:AF313),$AF$2:$AF$1001,0),0), INDEX($AM$1004:$BM$1004,1,MATCH(COLUMNS($AM$1006:AW1006),$AM$1006:$BM$1006,0)))),"Fix")))</f>
        <v xml:space="preserve"> </v>
      </c>
      <c r="M313" s="4" t="str">
        <f ca="1">IF(OR(INDEX($AG$2:$AG$1001,MATCH(ROWS($AF$2:AF313),$AF$2:$AF$1001,0),1)&gt;=100000,INDEX($AM$1005:$BM$1005,1,MATCH(COLUMNS($AM$1006:AX1006),$AM$1006:$BM$1006,0))&gt;=100000), " ",IF(INDEX($AM$2:$BM$1001,MATCH(ROWS($AF$2:AF313),$AF$2:$AF$1001,0),MATCH(COLUMNS($AM$1006:AX1006),$AM$1006:$BM$1006,0)), HYPERLINK("#",""), HYPERLINK(CONCATENATE("#metadata!", ADDRESS(INDEX($AH$2:$AH$1001,MATCH(ROWS($AF$2:AF313),$AF$2:$AF$1001,0),0), INDEX($AM$1004:$BM$1004,1,MATCH(COLUMNS($AM$1006:AX1006),$AM$1006:$BM$1006,0)))),"Fix")))</f>
        <v xml:space="preserve"> </v>
      </c>
      <c r="N313" s="4" t="str">
        <f ca="1">IF(OR(INDEX($AG$2:$AG$1001,MATCH(ROWS($AF$2:AF313),$AF$2:$AF$1001,0),1)&gt;=100000,INDEX($AM$1005:$BM$1005,1,MATCH(COLUMNS($AM$1006:AY1006),$AM$1006:$BM$1006,0))&gt;=100000), " ",IF(INDEX($AM$2:$BM$1001,MATCH(ROWS($AF$2:AF313),$AF$2:$AF$1001,0),MATCH(COLUMNS($AM$1006:AY1006),$AM$1006:$BM$1006,0)), HYPERLINK("#",""), HYPERLINK(CONCATENATE("#metadata!", ADDRESS(INDEX($AH$2:$AH$1001,MATCH(ROWS($AF$2:AF313),$AF$2:$AF$1001,0),0), INDEX($AM$1004:$BM$1004,1,MATCH(COLUMNS($AM$1006:AY1006),$AM$1006:$BM$1006,0)))),"Fix")))</f>
        <v xml:space="preserve"> </v>
      </c>
      <c r="O313" s="4" t="str">
        <f ca="1">IF(OR(INDEX($AG$2:$AG$1001,MATCH(ROWS($AF$2:AF313),$AF$2:$AF$1001,0),1)&gt;=100000,INDEX($AM$1005:$BM$1005,1,MATCH(COLUMNS($AM$1006:AZ1006),$AM$1006:$BM$1006,0))&gt;=100000), " ",IF(INDEX($AM$2:$BM$1001,MATCH(ROWS($AF$2:AF313),$AF$2:$AF$1001,0),MATCH(COLUMNS($AM$1006:AZ1006),$AM$1006:$BM$1006,0)), HYPERLINK("#",""), HYPERLINK(CONCATENATE("#metadata!", ADDRESS(INDEX($AH$2:$AH$1001,MATCH(ROWS($AF$2:AF313),$AF$2:$AF$1001,0),0), INDEX($AM$1004:$BM$1004,1,MATCH(COLUMNS($AM$1006:AZ1006),$AM$1006:$BM$1006,0)))),"Fix")))</f>
        <v xml:space="preserve"> </v>
      </c>
      <c r="P313" s="4" t="str">
        <f ca="1">IF(OR(INDEX($AG$2:$AG$1001,MATCH(ROWS($AF$2:AF313),$AF$2:$AF$1001,0),1)&gt;=100000,INDEX($AM$1005:$BM$1005,1,MATCH(COLUMNS($AM$1006:BA1006),$AM$1006:$BM$1006,0))&gt;=100000), " ",IF(INDEX($AM$2:$BM$1001,MATCH(ROWS($AF$2:AF313),$AF$2:$AF$1001,0),MATCH(COLUMNS($AM$1006:BA1006),$AM$1006:$BM$1006,0)), HYPERLINK("#",""), HYPERLINK(CONCATENATE("#metadata!", ADDRESS(INDEX($AH$2:$AH$1001,MATCH(ROWS($AF$2:AF313),$AF$2:$AF$1001,0),0), INDEX($AM$1004:$BM$1004,1,MATCH(COLUMNS($AM$1006:BA1006),$AM$1006:$BM$1006,0)))),"Fix")))</f>
        <v xml:space="preserve"> </v>
      </c>
      <c r="Q313" s="4" t="str">
        <f ca="1">IF(OR(INDEX($AG$2:$AG$1001,MATCH(ROWS($AF$2:AF313),$AF$2:$AF$1001,0),1)&gt;=100000,INDEX($AM$1005:$BM$1005,1,MATCH(COLUMNS($AM$1006:BB1006),$AM$1006:$BM$1006,0))&gt;=100000), " ",IF(INDEX($AM$2:$BM$1001,MATCH(ROWS($AF$2:AF313),$AF$2:$AF$1001,0),MATCH(COLUMNS($AM$1006:BB1006),$AM$1006:$BM$1006,0)), HYPERLINK("#",""), HYPERLINK(CONCATENATE("#metadata!", ADDRESS(INDEX($AH$2:$AH$1001,MATCH(ROWS($AF$2:AF313),$AF$2:$AF$1001,0),0), INDEX($AM$1004:$BM$1004,1,MATCH(COLUMNS($AM$1006:BB1006),$AM$1006:$BM$1006,0)))),"Fix")))</f>
        <v xml:space="preserve"> </v>
      </c>
      <c r="R313" s="4" t="str">
        <f ca="1">IF(OR(INDEX($AG$2:$AG$1001,MATCH(ROWS($AF$2:AF313),$AF$2:$AF$1001,0),1)&gt;=100000,INDEX($AM$1005:$BM$1005,1,MATCH(COLUMNS($AM$1006:BC1006),$AM$1006:$BM$1006,0))&gt;=100000), " ",IF(INDEX($AM$2:$BM$1001,MATCH(ROWS($AF$2:AF313),$AF$2:$AF$1001,0),MATCH(COLUMNS($AM$1006:BC1006),$AM$1006:$BM$1006,0)), HYPERLINK("#",""), HYPERLINK(CONCATENATE("#metadata!", ADDRESS(INDEX($AH$2:$AH$1001,MATCH(ROWS($AF$2:AF313),$AF$2:$AF$1001,0),0), INDEX($AM$1004:$BM$1004,1,MATCH(COLUMNS($AM$1006:BC1006),$AM$1006:$BM$1006,0)))),"Fix")))</f>
        <v xml:space="preserve"> </v>
      </c>
      <c r="S313" s="4" t="str">
        <f ca="1">IF(OR(INDEX($AG$2:$AG$1001,MATCH(ROWS($AF$2:AF313),$AF$2:$AF$1001,0),1)&gt;=100000,INDEX($AM$1005:$BM$1005,1,MATCH(COLUMNS($AM$1006:BD1006),$AM$1006:$BM$1006,0))&gt;=100000), " ",IF(INDEX($AM$2:$BM$1001,MATCH(ROWS($AF$2:AF313),$AF$2:$AF$1001,0),MATCH(COLUMNS($AM$1006:BD1006),$AM$1006:$BM$1006,0)), HYPERLINK("#",""), HYPERLINK(CONCATENATE("#metadata!", ADDRESS(INDEX($AH$2:$AH$1001,MATCH(ROWS($AF$2:AF313),$AF$2:$AF$1001,0),0), INDEX($AM$1004:$BM$1004,1,MATCH(COLUMNS($AM$1006:BD1006),$AM$1006:$BM$1006,0)))),"Fix")))</f>
        <v xml:space="preserve"> </v>
      </c>
      <c r="T313" s="4" t="str">
        <f ca="1">IF(OR(INDEX($AG$2:$AG$1001,MATCH(ROWS($AF$2:AF313),$AF$2:$AF$1001,0),1)&gt;=100000,INDEX($AM$1005:$BM$1005,1,MATCH(COLUMNS($AM$1006:BE1006),$AM$1006:$BM$1006,0))&gt;=100000), " ",IF(INDEX($AM$2:$BM$1001,MATCH(ROWS($AF$2:AF313),$AF$2:$AF$1001,0),MATCH(COLUMNS($AM$1006:BE1006),$AM$1006:$BM$1006,0)), HYPERLINK("#",""), HYPERLINK(CONCATENATE("#metadata!", ADDRESS(INDEX($AH$2:$AH$1001,MATCH(ROWS($AF$2:AF313),$AF$2:$AF$1001,0),0), INDEX($AM$1004:$BM$1004,1,MATCH(COLUMNS($AM$1006:BE1006),$AM$1006:$BM$1006,0)))),"Fix")))</f>
        <v xml:space="preserve"> </v>
      </c>
      <c r="U313" s="4" t="str">
        <f ca="1">IF(OR(INDEX($AG$2:$AG$1001,MATCH(ROWS($AF$2:AF313),$AF$2:$AF$1001,0),1)&gt;=100000,INDEX($AM$1005:$BM$1005,1,MATCH(COLUMNS($AM$1006:BF1006),$AM$1006:$BM$1006,0))&gt;=100000), " ",IF(INDEX($AM$2:$BM$1001,MATCH(ROWS($AF$2:AF313),$AF$2:$AF$1001,0),MATCH(COLUMNS($AM$1006:BF1006),$AM$1006:$BM$1006,0)), HYPERLINK("#",""), HYPERLINK(CONCATENATE("#metadata!", ADDRESS(INDEX($AH$2:$AH$1001,MATCH(ROWS($AF$2:AF313),$AF$2:$AF$1001,0),0), INDEX($AM$1004:$BM$1004,1,MATCH(COLUMNS($AM$1006:BF1006),$AM$1006:$BM$1006,0)))),"Fix")))</f>
        <v xml:space="preserve"> </v>
      </c>
      <c r="V313" s="4" t="str">
        <f ca="1">IF(OR(INDEX($AG$2:$AG$1001,MATCH(ROWS($AF$2:AF313),$AF$2:$AF$1001,0),1)&gt;=100000,INDEX($AM$1005:$BM$1005,1,MATCH(COLUMNS($AM$1006:BG1006),$AM$1006:$BM$1006,0))&gt;=100000), " ",IF(INDEX($AM$2:$BM$1001,MATCH(ROWS($AF$2:AF313),$AF$2:$AF$1001,0),MATCH(COLUMNS($AM$1006:BG1006),$AM$1006:$BM$1006,0)), HYPERLINK("#",""), HYPERLINK(CONCATENATE("#metadata!", ADDRESS(INDEX($AH$2:$AH$1001,MATCH(ROWS($AF$2:AF313),$AF$2:$AF$1001,0),0), INDEX($AM$1004:$BM$1004,1,MATCH(COLUMNS($AM$1006:BG1006),$AM$1006:$BM$1006,0)))),"Fix")))</f>
        <v xml:space="preserve"> </v>
      </c>
      <c r="W313" s="4" t="str">
        <f ca="1">IF(OR(INDEX($AG$2:$AG$1001,MATCH(ROWS($AF$2:AF313),$AF$2:$AF$1001,0),1)&gt;=100000,INDEX($AM$1005:$BM$1005,1,MATCH(COLUMNS($AM$1006:BH1006),$AM$1006:$BM$1006,0))&gt;=100000), " ",IF(INDEX($AM$2:$BM$1001,MATCH(ROWS($AF$2:AF313),$AF$2:$AF$1001,0),MATCH(COLUMNS($AM$1006:BH1006),$AM$1006:$BM$1006,0)), HYPERLINK("#",""), HYPERLINK(CONCATENATE("#metadata!", ADDRESS(INDEX($AH$2:$AH$1001,MATCH(ROWS($AF$2:AF313),$AF$2:$AF$1001,0),0), INDEX($AM$1004:$BM$1004,1,MATCH(COLUMNS($AM$1006:BH1006),$AM$1006:$BM$1006,0)))),"Fix")))</f>
        <v xml:space="preserve"> </v>
      </c>
      <c r="X313" s="4" t="str">
        <f ca="1">IF(OR(INDEX($AG$2:$AG$1001,MATCH(ROWS($AF$2:AF313),$AF$2:$AF$1001,0),1)&gt;=100000,INDEX($AM$1005:$BM$1005,1,MATCH(COLUMNS($AM$1006:BI1006),$AM$1006:$BM$1006,0))&gt;=100000), " ",IF(INDEX($AM$2:$BM$1001,MATCH(ROWS($AF$2:AF313),$AF$2:$AF$1001,0),MATCH(COLUMNS($AM$1006:BI1006),$AM$1006:$BM$1006,0)), HYPERLINK("#",""), HYPERLINK(CONCATENATE("#metadata!", ADDRESS(INDEX($AH$2:$AH$1001,MATCH(ROWS($AF$2:AF313),$AF$2:$AF$1001,0),0), INDEX($AM$1004:$BM$1004,1,MATCH(COLUMNS($AM$1006:BI1006),$AM$1006:$BM$1006,0)))),"Fix")))</f>
        <v xml:space="preserve"> </v>
      </c>
      <c r="Y313" s="4" t="str">
        <f ca="1">IF(OR(INDEX($AG$2:$AG$1001,MATCH(ROWS($AF$2:AF313),$AF$2:$AF$1001,0),1)&gt;=100000,INDEX($AM$1005:$BM$1005,1,MATCH(COLUMNS($AM$1006:BJ1006),$AM$1006:$BM$1006,0))&gt;=100000), " ",IF(INDEX($AM$2:$BM$1001,MATCH(ROWS($AF$2:AF313),$AF$2:$AF$1001,0),MATCH(COLUMNS($AM$1006:BJ1006),$AM$1006:$BM$1006,0)), HYPERLINK("#",""), HYPERLINK(CONCATENATE("#metadata!", ADDRESS(INDEX($AH$2:$AH$1001,MATCH(ROWS($AF$2:AF313),$AF$2:$AF$1001,0),0), INDEX($AM$1004:$BM$1004,1,MATCH(COLUMNS($AM$1006:BJ1006),$AM$1006:$BM$1006,0)))),"Fix")))</f>
        <v xml:space="preserve"> </v>
      </c>
      <c r="Z313" s="4" t="str">
        <f ca="1">IF(OR(INDEX($AG$2:$AG$1001,MATCH(ROWS($AF$2:AF313),$AF$2:$AF$1001,0),1)&gt;=100000,INDEX($AM$1005:$BM$1005,1,MATCH(COLUMNS($AM$1006:BK1006),$AM$1006:$BM$1006,0))&gt;=100000), " ",IF(INDEX($AM$2:$BM$1001,MATCH(ROWS($AF$2:AF313),$AF$2:$AF$1001,0),MATCH(COLUMNS($AM$1006:BK1006),$AM$1006:$BM$1006,0)), HYPERLINK("#",""), HYPERLINK(CONCATENATE("#metadata!", ADDRESS(INDEX($AH$2:$AH$1001,MATCH(ROWS($AF$2:AF313),$AF$2:$AF$1001,0),0), INDEX($AM$1004:$BM$1004,1,MATCH(COLUMNS($AM$1006:BK1006),$AM$1006:$BM$1006,0)))),"Fix")))</f>
        <v xml:space="preserve"> </v>
      </c>
      <c r="AA313" s="4" t="str">
        <f ca="1">IF(OR(INDEX($AG$2:$AG$1001,MATCH(ROWS($AF$2:AF313),$AF$2:$AF$1001,0),1)&gt;=100000,INDEX($AM$1005:$BM$1005,1,MATCH(COLUMNS($AM$1006:BL1006),$AM$1006:$BM$1006,0))&gt;=100000), " ",IF(INDEX($AM$2:$BM$1001,MATCH(ROWS($AF$2:AF313),$AF$2:$AF$1001,0),MATCH(COLUMNS($AM$1006:BL1006),$AM$1006:$BM$1006,0)), HYPERLINK("#",""), HYPERLINK(CONCATENATE("#metadata!", ADDRESS(INDEX($AH$2:$AH$1001,MATCH(ROWS($AF$2:AF313),$AF$2:$AF$1001,0),0), INDEX($AM$1004:$BM$1004,1,MATCH(COLUMNS($AM$1006:BL1006),$AM$1006:$BM$1006,0)))),"Fix")))</f>
        <v xml:space="preserve"> </v>
      </c>
      <c r="AB313" s="4" t="str">
        <f ca="1">IF(OR(INDEX($AG$2:$AG$1001,MATCH(ROWS($AF$2:AF313),$AF$2:$AF$1001,0),1)&gt;=100000,INDEX($AM$1005:$BM$1005,1,MATCH(COLUMNS($AM$1006:BM1006),$AM$1006:$BM$1006,0))&gt;=100000), " ",IF(INDEX($AM$2:$BM$1001,MATCH(ROWS($AF$2:AF313),$AF$2:$AF$1001,0),MATCH(COLUMNS($AM$1006:BM1006),$AM$1006:$BM$1006,0)), HYPERLINK("#",""), HYPERLINK(CONCATENATE("#metadata!", ADDRESS(INDEX($AH$2:$AH$1001,MATCH(ROWS($AF$2:AF313),$AF$2:$AF$1001,0),0), INDEX($AM$1004:$BM$1004,1,MATCH(COLUMNS($AM$1006:BM1006),$AM$1006:$BM$1006,0)))),"Fix")))</f>
        <v xml:space="preserve"> </v>
      </c>
      <c r="AF313">
        <v>312</v>
      </c>
      <c r="AG313">
        <v>100313</v>
      </c>
      <c r="AH313">
        <v>313</v>
      </c>
      <c r="AI313" t="b">
        <f t="shared" si="4"/>
        <v>1</v>
      </c>
      <c r="AJ313" t="b">
        <f>COUNTBLANK(metadata!B313:AB313)=COLUMNS(metadata!B313:AB313)</f>
        <v>1</v>
      </c>
      <c r="AK313" t="str">
        <v/>
      </c>
      <c r="AM313" t="b">
        <f ca="1">AND(IF(metadata!B313="",FALSE,TRUE),COUNTIF(metadata!B:B, metadata!B313) = 1,NOT(ISERROR(SUMPRODUCT(SEARCH(MID(metadata!B313,ROW(INDIRECT("1:"&amp;LEN(metadata!B313))), 1),"0123456789abcdefghijklmnopqrstuvwxyzABCDEFGHIJKLMNOPQRSTUVWXYZ.")))))</f>
        <v>0</v>
      </c>
      <c r="AN313" t="b">
        <f ca="1">OR(AND(IF(metadata!C313="",FALSE,TRUE),OR(EXACT(metadata!C313,"missing: not collected"),EXACT(metadata!C313,"missing: not provided"),EXACT(metadata!C313,"missing: restricted access"))),AND(IF(metadata!C313="",FALSE,TRUE),AND(AND(IFERROR(INT(LEFT(metadata!C313,4))&gt;1900,FALSE),IFERROR(INT(LEFT(metadata!C313,4))&lt;=YEAR(NOW()),FALSE)), OR(MID(metadata!C313,5,1)="", AND(AND(MID(metadata!C313,5,1)="-",IFERROR(INT(MID(metadata!C313,6,1))&gt;=0,FALSE),IFERROR(INT(MID(metadata!C313,6,1))&lt;=1,FALSE),NOT(MID(metadata!C313,7,1)=""),IFERROR(INT(MID(metadata!C313,6,2))&gt;=1,FALSE),IFERROR(INT(MID(metadata!C313,6,2))&lt;=12,FALSE)), OR(MID(metadata!C313,8,1)="", AND(AND(MID(metadata!C313,8,1)="-",IFERROR(INT(MID(metadata!C313,9,1))&gt;=0,FALSE),IFERROR(INT(MID(metadata!C313,9,1))&lt;=3,FALSE),NOT(MID(metadata!C313,10,1)=""),IFERROR(INT(MID(metadata!C313,9,2))&gt;=1,FALSE),IFERROR(INT(MID(metadata!C313,9,2))&lt;=31,FALSE)), OR(MID(metadata!C313,11,1)="", AND(AND(MID(metadata!C313,11,1)=" ",IFERROR(INT(MID(metadata!C313,12,1))&gt;=0,FALSE),IFERROR(INT(MID(metadata!C313,12,1))&lt;=2,FALSE),NOT(MID(metadata!C313,13,1)=""),IFERROR(INT(MID(metadata!C313,12,2))&gt;=0,FALSE),IFERROR(INT(MID(metadata!C313,12,2))&lt;=23,FALSE)), OR(MID(metadata!C313,14,1)="", AND(AND(MID(metadata!C313,14,1)=":",IFERROR(INT(MID(metadata!C313,15,1))&gt;=0,FALSE),IFERROR(INT(MID(metadata!C313,15,1))&lt;=5,FALSE),NOT(MID(metadata!C313,16,1)=""),IFERROR(INT(MID(metadata!C313,15,2))&gt;=0,FALSE),IFERROR(INT(MID(metadata!C313,15,2))&lt;=59,FALSE)), OR(MID(metadata!C313,17,1)="", AND(AND(MID(metadata!C313,17,1)=":",IFERROR(INT(MID(metadata!C313,18,1))&gt;=0,FALSE),IFERROR(INT(MID(metadata!C313,18,1))&lt;=5,FALSE),NOT(MID(metadata!C313,19,1)=""),IFERROR(INT(MID(metadata!C313,18,2))&gt;=0,FALSE),IFERROR(INT(MID(metadata!C313,18,2))&lt;=59,FALSE)), LEN(metadata!C313)&lt;=19)))))))))))))</f>
        <v>0</v>
      </c>
      <c r="AO313" t="b">
        <f>AND(IF(metadata!D313="",FALSE,TRUE),EXACT(metadata!D313,"Not applicable"))</f>
        <v>0</v>
      </c>
      <c r="AP313" t="b">
        <f>IF(metadata!E313="",FALSE,TRUE)</f>
        <v>0</v>
      </c>
      <c r="AQ313" t="b">
        <f>OR(AND(IF(metadata!F313="",FALSE,TRUE),OR(EXACT(metadata!F313,"missing: not collected"),EXACT(metadata!F313,"missing: not provided"))),AND(IF(metadata!F313="",FALSE,TRUE),OR(EXACT(metadata!F313,"TRUE"),EXACT(metadata!F313,"FALSE"))))</f>
        <v>0</v>
      </c>
      <c r="AR313" t="b">
        <f>OR(AND(IF(metadata!G313="",FALSE,TRUE),OR(EXACT(metadata!G313,"missing: not collected"),EXACT(metadata!G313,"missing: not provided"),EXACT(metadata!G313,"missing: restricted access"))),AND(IF(metadata!G313="",FALSE,ISNUMBER(VALUE(metadata!G313))),metadata!G313&gt;=-413))</f>
        <v>0</v>
      </c>
      <c r="AS313" t="b">
        <f>AND(IF(metadata!H313="",FALSE,TRUE),EXACT(metadata!H313,"meters"))</f>
        <v>0</v>
      </c>
      <c r="AT313" t="b">
        <f>AND(IF(metadata!I313="",FALSE,TRUE),OR(EXACT(metadata!I313,"Host-associated"),EXACT(metadata!I313,"Free-living")))</f>
        <v>0</v>
      </c>
      <c r="AU313" t="b">
        <f>AND(IF(metadata!J313="",FALSE,TRUE),OR(EXACT(metadata!J313,"Animal"),EXACT(metadata!J313,"Fungus"),EXACT(metadata!J313,"Plant"),EXACT(metadata!J313,"Saline"),EXACT(metadata!J313,"Non-saline")))</f>
        <v>0</v>
      </c>
      <c r="AV313" t="b">
        <f>AND(IF(metadata!K313="",FALSE,TRUE),OR(EXACT(metadata!K313,"Plant secretion"),EXACT(metadata!K313,"Plant rhizosphere"),EXACT(metadata!K313,"Plant surface"),EXACT(metadata!K313,"Plant corpus"),EXACT(metadata!K313,"Fungus surface"),EXACT(metadata!K313,"Fungus corpus"),EXACT(metadata!K313,"Animal surface"),EXACT(metadata!K313,"Animal proximal gut"),EXACT(metadata!K313,"Animal corpus"),EXACT(metadata!K313,"Animal distal gut"),EXACT(metadata!K313,"Animal secretion"),EXACT(metadata!K313,"Sub-surface (non-saline)"),EXACT(metadata!K313,"Surface (non-saline)"),EXACT(metadata!K313,"Water (non-saline)"),EXACT(metadata!K313,"Soil (non-saline)"),EXACT(metadata!K313,"Aerosol (non-saline)"),EXACT(metadata!K313,"Sediment (non-saline)"),EXACT(metadata!K313,"Surface (saline)"),EXACT(metadata!K313,"Water (saline)"),EXACT(metadata!K313,"Hypersaline (saline)"),EXACT(metadata!K313,"Aerosol (saline)"),EXACT(metadata!K313,"Sediment (saline)")))</f>
        <v>0</v>
      </c>
      <c r="AW313" t="b">
        <f>IF(metadata!L313="",FALSE,TRUE)</f>
        <v>0</v>
      </c>
      <c r="AX313" t="b">
        <f>IF(metadata!M313="",FALSE,TRUE)</f>
        <v>0</v>
      </c>
      <c r="AY313" t="b">
        <f>IF(metadata!N313="",FALSE,TRUE)</f>
        <v>0</v>
      </c>
      <c r="AZ313" t="b">
        <f>OR(AND(IF(metadata!O313="",FALSE,TRUE),OR(EXACT(metadata!O313,"missing: not collected"),EXACT(metadata!O313,"missing: not provided"),EXACT(metadata!O313,"missing: restricted access"))),AND(IF(metadata!O313="",FALSE,TRUE),OR(EXACT(metadata!O313,"air"),EXACT(metadata!O313,"built environment"),EXACT(metadata!O313,"host-associated"),EXACT(metadata!O313,"human-associated"),EXACT(metadata!O313,"human-skin"),EXACT(metadata!O313,"human-oral"),EXACT(metadata!O313,"human-gut"),EXACT(metadata!O313,"human-vaginal"),EXACT(metadata!O313,"microbial mat/biofilm"),EXACT(metadata!O313,"misc environment"),EXACT(metadata!O313,"plant-associated"),EXACT(metadata!O313,"sediment"),EXACT(metadata!O313,"soil"),EXACT(metadata!O313,"wastewater/sludge"),EXACT(metadata!O313,"water"))))</f>
        <v>0</v>
      </c>
      <c r="BA313" t="b">
        <f>IF(metadata!P313="",FALSE,TRUE)</f>
        <v>0</v>
      </c>
      <c r="BB313" t="b">
        <f>IF(metadata!Q313="",FALSE,TRUE)</f>
        <v>0</v>
      </c>
      <c r="BC313" t="b">
        <f>OR(AND(IF(metadata!R313="",FALSE,TRUE),OR(EXACT(metadata!R313,"missing: not collected"),EXACT(metadata!R313,"missing: not provided"),EXACT(metadata!R313,"missing: restricted access"))),AND(IF(metadata!R313="",FALSE,ISNUMBER(VALUE(metadata!R313))),metadata!R313&gt;=-90,metadata!R313&lt;=90))</f>
        <v>0</v>
      </c>
      <c r="BD313" t="b">
        <f>AND(IF(metadata!S313="",FALSE,TRUE),EXACT(metadata!S313,"Decimal degrees"))</f>
        <v>0</v>
      </c>
      <c r="BE313" t="b">
        <f>OR(AND(IF(metadata!T313="",FALSE,TRUE),OR(EXACT(metadata!T313,"missing: not collected"),EXACT(metadata!T313,"missing: not provided"),EXACT(metadata!T313,"missing: restricted access"))),AND(IF(metadata!T313="",FALSE,ISNUMBER(VALUE(metadata!T313))),metadata!T313&gt;=-180,metadata!T313&lt;=180))</f>
        <v>0</v>
      </c>
      <c r="BF313" t="b">
        <f>AND(IF(metadata!U313="",FALSE,TRUE),EXACT(metadata!U313,"Decimal degrees"))</f>
        <v>0</v>
      </c>
      <c r="BG313" t="b">
        <f>IF(metadata!V313="",FALSE,TRUE)</f>
        <v>0</v>
      </c>
      <c r="BH313" t="b">
        <f>OR(AND(IF(metadata!W313="",FALSE,TRUE),OR(EXACT(metadata!W313,"missing: not collected"),EXACT(metadata!W313,"missing: not provided"),EXACT(metadata!W313,"missing: restricted access"))),AND(IF(metadata!W313="",FALSE,TRUE),OR(EXACT(metadata!W313,"TRUE"),EXACT(metadata!W313,"FALSE"))))</f>
        <v>0</v>
      </c>
      <c r="BI313" t="b">
        <f>AND(IF(metadata!X313="",FALSE,TRUE),EXACT(metadata!X313,"other"))</f>
        <v>0</v>
      </c>
      <c r="BJ313" t="b">
        <f>IF(metadata!Y313="",FALSE,TRUE)</f>
        <v>0</v>
      </c>
      <c r="BK313" t="b">
        <f>OR(AND(IF(metadata!Z313="",FALSE,TRUE),OR(EXACT(metadata!Z313,"missing: not collected"),EXACT(metadata!Z313,"missing: not provided"))),AND(IF(metadata!Z313="",FALSE,IF(ISERROR(INT(metadata!Z313)),FALSE,INT(metadata!Z313)=metadata!Z313)),metadata!Z313&gt;0))</f>
        <v>0</v>
      </c>
      <c r="BL313" t="b">
        <f>AND(IF(metadata!AA313="",FALSE,TRUE),EXACT(metadata!AA313,"Not applicable"))</f>
        <v>0</v>
      </c>
      <c r="BM313" t="b">
        <f>IF(metadata!AB313="",FALSE,TRUE)</f>
        <v>0</v>
      </c>
    </row>
    <row r="314" spans="1:65" x14ac:dyDescent="0.2">
      <c r="A314" s="5" t="str">
        <f ca="1">IF(B314=" "," ",HYPERLINK(CONCATENATE("#metadata!",ADDRESS(INDEX($AH$2:$AH$1001,MATCH(ROWS($AF$2:AF314),$AF$2:$AF$1001,0),0),1)),INDEX($AK$2:$AK$1001,MATCH(ROWS($AF$2:AF314),$AF$2:$AF$1001,0),0)))</f>
        <v xml:space="preserve"> </v>
      </c>
      <c r="B314" s="4" t="str">
        <f ca="1">IF(OR(INDEX($AG$2:$AG$1001,MATCH(ROWS($AF$2:AF314),$AF$2:$AF$1001,0),1)&gt;=100000,INDEX($AM$1005:$BM$1005,1,MATCH(COLUMNS($AM$1006:AM1006),$AM$1006:$BM$1006,0))&gt;=100000), " ",IF(INDEX($AM$2:$BM$1001,MATCH(ROWS($AF$2:AF314),$AF$2:$AF$1001,0),MATCH(COLUMNS($AM$1006:AM1006),$AM$1006:$BM$1006,0)), HYPERLINK("#",""), HYPERLINK(CONCATENATE("#metadata!", ADDRESS(INDEX($AH$2:$AH$1001,MATCH(ROWS($AF$2:AF314),$AF$2:$AF$1001,0),0), INDEX($AM$1004:$BM$1004,1,MATCH(COLUMNS($AM$1006:AM1006),$AM$1006:$BM$1006,0)))),"Fix")))</f>
        <v xml:space="preserve"> </v>
      </c>
      <c r="C314" s="4" t="str">
        <f ca="1">IF(OR(INDEX($AG$2:$AG$1001,MATCH(ROWS($AF$2:AF314),$AF$2:$AF$1001,0),1)&gt;=100000,INDEX($AM$1005:$BM$1005,1,MATCH(COLUMNS($AM$1006:AN1006),$AM$1006:$BM$1006,0))&gt;=100000), " ",IF(INDEX($AM$2:$BM$1001,MATCH(ROWS($AF$2:AF314),$AF$2:$AF$1001,0),MATCH(COLUMNS($AM$1006:AN1006),$AM$1006:$BM$1006,0)), HYPERLINK("#",""), HYPERLINK(CONCATENATE("#metadata!", ADDRESS(INDEX($AH$2:$AH$1001,MATCH(ROWS($AF$2:AF314),$AF$2:$AF$1001,0),0), INDEX($AM$1004:$BM$1004,1,MATCH(COLUMNS($AM$1006:AN1006),$AM$1006:$BM$1006,0)))),"Fix")))</f>
        <v xml:space="preserve"> </v>
      </c>
      <c r="D314" s="4" t="str">
        <f ca="1">IF(OR(INDEX($AG$2:$AG$1001,MATCH(ROWS($AF$2:AF314),$AF$2:$AF$1001,0),1)&gt;=100000,INDEX($AM$1005:$BM$1005,1,MATCH(COLUMNS($AM$1006:AO1006),$AM$1006:$BM$1006,0))&gt;=100000), " ",IF(INDEX($AM$2:$BM$1001,MATCH(ROWS($AF$2:AF314),$AF$2:$AF$1001,0),MATCH(COLUMNS($AM$1006:AO1006),$AM$1006:$BM$1006,0)), HYPERLINK("#",""), HYPERLINK(CONCATENATE("#metadata!", ADDRESS(INDEX($AH$2:$AH$1001,MATCH(ROWS($AF$2:AF314),$AF$2:$AF$1001,0),0), INDEX($AM$1004:$BM$1004,1,MATCH(COLUMNS($AM$1006:AO1006),$AM$1006:$BM$1006,0)))),"Fix")))</f>
        <v xml:space="preserve"> </v>
      </c>
      <c r="E314" s="4" t="str">
        <f ca="1">IF(OR(INDEX($AG$2:$AG$1001,MATCH(ROWS($AF$2:AF314),$AF$2:$AF$1001,0),1)&gt;=100000,INDEX($AM$1005:$BM$1005,1,MATCH(COLUMNS($AM$1006:AP1006),$AM$1006:$BM$1006,0))&gt;=100000), " ",IF(INDEX($AM$2:$BM$1001,MATCH(ROWS($AF$2:AF314),$AF$2:$AF$1001,0),MATCH(COLUMNS($AM$1006:AP1006),$AM$1006:$BM$1006,0)), HYPERLINK("#",""), HYPERLINK(CONCATENATE("#metadata!", ADDRESS(INDEX($AH$2:$AH$1001,MATCH(ROWS($AF$2:AF314),$AF$2:$AF$1001,0),0), INDEX($AM$1004:$BM$1004,1,MATCH(COLUMNS($AM$1006:AP1006),$AM$1006:$BM$1006,0)))),"Fix")))</f>
        <v xml:space="preserve"> </v>
      </c>
      <c r="F314" s="4" t="str">
        <f ca="1">IF(OR(INDEX($AG$2:$AG$1001,MATCH(ROWS($AF$2:AF314),$AF$2:$AF$1001,0),1)&gt;=100000,INDEX($AM$1005:$BM$1005,1,MATCH(COLUMNS($AM$1006:AQ1006),$AM$1006:$BM$1006,0))&gt;=100000), " ",IF(INDEX($AM$2:$BM$1001,MATCH(ROWS($AF$2:AF314),$AF$2:$AF$1001,0),MATCH(COLUMNS($AM$1006:AQ1006),$AM$1006:$BM$1006,0)), HYPERLINK("#",""), HYPERLINK(CONCATENATE("#metadata!", ADDRESS(INDEX($AH$2:$AH$1001,MATCH(ROWS($AF$2:AF314),$AF$2:$AF$1001,0),0), INDEX($AM$1004:$BM$1004,1,MATCH(COLUMNS($AM$1006:AQ1006),$AM$1006:$BM$1006,0)))),"Fix")))</f>
        <v xml:space="preserve"> </v>
      </c>
      <c r="G314" s="4" t="str">
        <f ca="1">IF(OR(INDEX($AG$2:$AG$1001,MATCH(ROWS($AF$2:AF314),$AF$2:$AF$1001,0),1)&gt;=100000,INDEX($AM$1005:$BM$1005,1,MATCH(COLUMNS($AM$1006:AR1006),$AM$1006:$BM$1006,0))&gt;=100000), " ",IF(INDEX($AM$2:$BM$1001,MATCH(ROWS($AF$2:AF314),$AF$2:$AF$1001,0),MATCH(COLUMNS($AM$1006:AR1006),$AM$1006:$BM$1006,0)), HYPERLINK("#",""), HYPERLINK(CONCATENATE("#metadata!", ADDRESS(INDEX($AH$2:$AH$1001,MATCH(ROWS($AF$2:AF314),$AF$2:$AF$1001,0),0), INDEX($AM$1004:$BM$1004,1,MATCH(COLUMNS($AM$1006:AR1006),$AM$1006:$BM$1006,0)))),"Fix")))</f>
        <v xml:space="preserve"> </v>
      </c>
      <c r="H314" s="4" t="str">
        <f ca="1">IF(OR(INDEX($AG$2:$AG$1001,MATCH(ROWS($AF$2:AF314),$AF$2:$AF$1001,0),1)&gt;=100000,INDEX($AM$1005:$BM$1005,1,MATCH(COLUMNS($AM$1006:AS1006),$AM$1006:$BM$1006,0))&gt;=100000), " ",IF(INDEX($AM$2:$BM$1001,MATCH(ROWS($AF$2:AF314),$AF$2:$AF$1001,0),MATCH(COLUMNS($AM$1006:AS1006),$AM$1006:$BM$1006,0)), HYPERLINK("#",""), HYPERLINK(CONCATENATE("#metadata!", ADDRESS(INDEX($AH$2:$AH$1001,MATCH(ROWS($AF$2:AF314),$AF$2:$AF$1001,0),0), INDEX($AM$1004:$BM$1004,1,MATCH(COLUMNS($AM$1006:AS1006),$AM$1006:$BM$1006,0)))),"Fix")))</f>
        <v xml:space="preserve"> </v>
      </c>
      <c r="I314" s="4" t="str">
        <f ca="1">IF(OR(INDEX($AG$2:$AG$1001,MATCH(ROWS($AF$2:AF314),$AF$2:$AF$1001,0),1)&gt;=100000,INDEX($AM$1005:$BM$1005,1,MATCH(COLUMNS($AM$1006:AT1006),$AM$1006:$BM$1006,0))&gt;=100000), " ",IF(INDEX($AM$2:$BM$1001,MATCH(ROWS($AF$2:AF314),$AF$2:$AF$1001,0),MATCH(COLUMNS($AM$1006:AT1006),$AM$1006:$BM$1006,0)), HYPERLINK("#",""), HYPERLINK(CONCATENATE("#metadata!", ADDRESS(INDEX($AH$2:$AH$1001,MATCH(ROWS($AF$2:AF314),$AF$2:$AF$1001,0),0), INDEX($AM$1004:$BM$1004,1,MATCH(COLUMNS($AM$1006:AT1006),$AM$1006:$BM$1006,0)))),"Fix")))</f>
        <v xml:space="preserve"> </v>
      </c>
      <c r="J314" s="4" t="str">
        <f ca="1">IF(OR(INDEX($AG$2:$AG$1001,MATCH(ROWS($AF$2:AF314),$AF$2:$AF$1001,0),1)&gt;=100000,INDEX($AM$1005:$BM$1005,1,MATCH(COLUMNS($AM$1006:AU1006),$AM$1006:$BM$1006,0))&gt;=100000), " ",IF(INDEX($AM$2:$BM$1001,MATCH(ROWS($AF$2:AF314),$AF$2:$AF$1001,0),MATCH(COLUMNS($AM$1006:AU1006),$AM$1006:$BM$1006,0)), HYPERLINK("#",""), HYPERLINK(CONCATENATE("#metadata!", ADDRESS(INDEX($AH$2:$AH$1001,MATCH(ROWS($AF$2:AF314),$AF$2:$AF$1001,0),0), INDEX($AM$1004:$BM$1004,1,MATCH(COLUMNS($AM$1006:AU1006),$AM$1006:$BM$1006,0)))),"Fix")))</f>
        <v xml:space="preserve"> </v>
      </c>
      <c r="K314" s="4" t="str">
        <f ca="1">IF(OR(INDEX($AG$2:$AG$1001,MATCH(ROWS($AF$2:AF314),$AF$2:$AF$1001,0),1)&gt;=100000,INDEX($AM$1005:$BM$1005,1,MATCH(COLUMNS($AM$1006:AV1006),$AM$1006:$BM$1006,0))&gt;=100000), " ",IF(INDEX($AM$2:$BM$1001,MATCH(ROWS($AF$2:AF314),$AF$2:$AF$1001,0),MATCH(COLUMNS($AM$1006:AV1006),$AM$1006:$BM$1006,0)), HYPERLINK("#",""), HYPERLINK(CONCATENATE("#metadata!", ADDRESS(INDEX($AH$2:$AH$1001,MATCH(ROWS($AF$2:AF314),$AF$2:$AF$1001,0),0), INDEX($AM$1004:$BM$1004,1,MATCH(COLUMNS($AM$1006:AV1006),$AM$1006:$BM$1006,0)))),"Fix")))</f>
        <v xml:space="preserve"> </v>
      </c>
      <c r="L314" s="4" t="str">
        <f ca="1">IF(OR(INDEX($AG$2:$AG$1001,MATCH(ROWS($AF$2:AF314),$AF$2:$AF$1001,0),1)&gt;=100000,INDEX($AM$1005:$BM$1005,1,MATCH(COLUMNS($AM$1006:AW1006),$AM$1006:$BM$1006,0))&gt;=100000), " ",IF(INDEX($AM$2:$BM$1001,MATCH(ROWS($AF$2:AF314),$AF$2:$AF$1001,0),MATCH(COLUMNS($AM$1006:AW1006),$AM$1006:$BM$1006,0)), HYPERLINK("#",""), HYPERLINK(CONCATENATE("#metadata!", ADDRESS(INDEX($AH$2:$AH$1001,MATCH(ROWS($AF$2:AF314),$AF$2:$AF$1001,0),0), INDEX($AM$1004:$BM$1004,1,MATCH(COLUMNS($AM$1006:AW1006),$AM$1006:$BM$1006,0)))),"Fix")))</f>
        <v xml:space="preserve"> </v>
      </c>
      <c r="M314" s="4" t="str">
        <f ca="1">IF(OR(INDEX($AG$2:$AG$1001,MATCH(ROWS($AF$2:AF314),$AF$2:$AF$1001,0),1)&gt;=100000,INDEX($AM$1005:$BM$1005,1,MATCH(COLUMNS($AM$1006:AX1006),$AM$1006:$BM$1006,0))&gt;=100000), " ",IF(INDEX($AM$2:$BM$1001,MATCH(ROWS($AF$2:AF314),$AF$2:$AF$1001,0),MATCH(COLUMNS($AM$1006:AX1006),$AM$1006:$BM$1006,0)), HYPERLINK("#",""), HYPERLINK(CONCATENATE("#metadata!", ADDRESS(INDEX($AH$2:$AH$1001,MATCH(ROWS($AF$2:AF314),$AF$2:$AF$1001,0),0), INDEX($AM$1004:$BM$1004,1,MATCH(COLUMNS($AM$1006:AX1006),$AM$1006:$BM$1006,0)))),"Fix")))</f>
        <v xml:space="preserve"> </v>
      </c>
      <c r="N314" s="4" t="str">
        <f ca="1">IF(OR(INDEX($AG$2:$AG$1001,MATCH(ROWS($AF$2:AF314),$AF$2:$AF$1001,0),1)&gt;=100000,INDEX($AM$1005:$BM$1005,1,MATCH(COLUMNS($AM$1006:AY1006),$AM$1006:$BM$1006,0))&gt;=100000), " ",IF(INDEX($AM$2:$BM$1001,MATCH(ROWS($AF$2:AF314),$AF$2:$AF$1001,0),MATCH(COLUMNS($AM$1006:AY1006),$AM$1006:$BM$1006,0)), HYPERLINK("#",""), HYPERLINK(CONCATENATE("#metadata!", ADDRESS(INDEX($AH$2:$AH$1001,MATCH(ROWS($AF$2:AF314),$AF$2:$AF$1001,0),0), INDEX($AM$1004:$BM$1004,1,MATCH(COLUMNS($AM$1006:AY1006),$AM$1006:$BM$1006,0)))),"Fix")))</f>
        <v xml:space="preserve"> </v>
      </c>
      <c r="O314" s="4" t="str">
        <f ca="1">IF(OR(INDEX($AG$2:$AG$1001,MATCH(ROWS($AF$2:AF314),$AF$2:$AF$1001,0),1)&gt;=100000,INDEX($AM$1005:$BM$1005,1,MATCH(COLUMNS($AM$1006:AZ1006),$AM$1006:$BM$1006,0))&gt;=100000), " ",IF(INDEX($AM$2:$BM$1001,MATCH(ROWS($AF$2:AF314),$AF$2:$AF$1001,0),MATCH(COLUMNS($AM$1006:AZ1006),$AM$1006:$BM$1006,0)), HYPERLINK("#",""), HYPERLINK(CONCATENATE("#metadata!", ADDRESS(INDEX($AH$2:$AH$1001,MATCH(ROWS($AF$2:AF314),$AF$2:$AF$1001,0),0), INDEX($AM$1004:$BM$1004,1,MATCH(COLUMNS($AM$1006:AZ1006),$AM$1006:$BM$1006,0)))),"Fix")))</f>
        <v xml:space="preserve"> </v>
      </c>
      <c r="P314" s="4" t="str">
        <f ca="1">IF(OR(INDEX($AG$2:$AG$1001,MATCH(ROWS($AF$2:AF314),$AF$2:$AF$1001,0),1)&gt;=100000,INDEX($AM$1005:$BM$1005,1,MATCH(COLUMNS($AM$1006:BA1006),$AM$1006:$BM$1006,0))&gt;=100000), " ",IF(INDEX($AM$2:$BM$1001,MATCH(ROWS($AF$2:AF314),$AF$2:$AF$1001,0),MATCH(COLUMNS($AM$1006:BA1006),$AM$1006:$BM$1006,0)), HYPERLINK("#",""), HYPERLINK(CONCATENATE("#metadata!", ADDRESS(INDEX($AH$2:$AH$1001,MATCH(ROWS($AF$2:AF314),$AF$2:$AF$1001,0),0), INDEX($AM$1004:$BM$1004,1,MATCH(COLUMNS($AM$1006:BA1006),$AM$1006:$BM$1006,0)))),"Fix")))</f>
        <v xml:space="preserve"> </v>
      </c>
      <c r="Q314" s="4" t="str">
        <f ca="1">IF(OR(INDEX($AG$2:$AG$1001,MATCH(ROWS($AF$2:AF314),$AF$2:$AF$1001,0),1)&gt;=100000,INDEX($AM$1005:$BM$1005,1,MATCH(COLUMNS($AM$1006:BB1006),$AM$1006:$BM$1006,0))&gt;=100000), " ",IF(INDEX($AM$2:$BM$1001,MATCH(ROWS($AF$2:AF314),$AF$2:$AF$1001,0),MATCH(COLUMNS($AM$1006:BB1006),$AM$1006:$BM$1006,0)), HYPERLINK("#",""), HYPERLINK(CONCATENATE("#metadata!", ADDRESS(INDEX($AH$2:$AH$1001,MATCH(ROWS($AF$2:AF314),$AF$2:$AF$1001,0),0), INDEX($AM$1004:$BM$1004,1,MATCH(COLUMNS($AM$1006:BB1006),$AM$1006:$BM$1006,0)))),"Fix")))</f>
        <v xml:space="preserve"> </v>
      </c>
      <c r="R314" s="4" t="str">
        <f ca="1">IF(OR(INDEX($AG$2:$AG$1001,MATCH(ROWS($AF$2:AF314),$AF$2:$AF$1001,0),1)&gt;=100000,INDEX($AM$1005:$BM$1005,1,MATCH(COLUMNS($AM$1006:BC1006),$AM$1006:$BM$1006,0))&gt;=100000), " ",IF(INDEX($AM$2:$BM$1001,MATCH(ROWS($AF$2:AF314),$AF$2:$AF$1001,0),MATCH(COLUMNS($AM$1006:BC1006),$AM$1006:$BM$1006,0)), HYPERLINK("#",""), HYPERLINK(CONCATENATE("#metadata!", ADDRESS(INDEX($AH$2:$AH$1001,MATCH(ROWS($AF$2:AF314),$AF$2:$AF$1001,0),0), INDEX($AM$1004:$BM$1004,1,MATCH(COLUMNS($AM$1006:BC1006),$AM$1006:$BM$1006,0)))),"Fix")))</f>
        <v xml:space="preserve"> </v>
      </c>
      <c r="S314" s="4" t="str">
        <f ca="1">IF(OR(INDEX($AG$2:$AG$1001,MATCH(ROWS($AF$2:AF314),$AF$2:$AF$1001,0),1)&gt;=100000,INDEX($AM$1005:$BM$1005,1,MATCH(COLUMNS($AM$1006:BD1006),$AM$1006:$BM$1006,0))&gt;=100000), " ",IF(INDEX($AM$2:$BM$1001,MATCH(ROWS($AF$2:AF314),$AF$2:$AF$1001,0),MATCH(COLUMNS($AM$1006:BD1006),$AM$1006:$BM$1006,0)), HYPERLINK("#",""), HYPERLINK(CONCATENATE("#metadata!", ADDRESS(INDEX($AH$2:$AH$1001,MATCH(ROWS($AF$2:AF314),$AF$2:$AF$1001,0),0), INDEX($AM$1004:$BM$1004,1,MATCH(COLUMNS($AM$1006:BD1006),$AM$1006:$BM$1006,0)))),"Fix")))</f>
        <v xml:space="preserve"> </v>
      </c>
      <c r="T314" s="4" t="str">
        <f ca="1">IF(OR(INDEX($AG$2:$AG$1001,MATCH(ROWS($AF$2:AF314),$AF$2:$AF$1001,0),1)&gt;=100000,INDEX($AM$1005:$BM$1005,1,MATCH(COLUMNS($AM$1006:BE1006),$AM$1006:$BM$1006,0))&gt;=100000), " ",IF(INDEX($AM$2:$BM$1001,MATCH(ROWS($AF$2:AF314),$AF$2:$AF$1001,0),MATCH(COLUMNS($AM$1006:BE1006),$AM$1006:$BM$1006,0)), HYPERLINK("#",""), HYPERLINK(CONCATENATE("#metadata!", ADDRESS(INDEX($AH$2:$AH$1001,MATCH(ROWS($AF$2:AF314),$AF$2:$AF$1001,0),0), INDEX($AM$1004:$BM$1004,1,MATCH(COLUMNS($AM$1006:BE1006),$AM$1006:$BM$1006,0)))),"Fix")))</f>
        <v xml:space="preserve"> </v>
      </c>
      <c r="U314" s="4" t="str">
        <f ca="1">IF(OR(INDEX($AG$2:$AG$1001,MATCH(ROWS($AF$2:AF314),$AF$2:$AF$1001,0),1)&gt;=100000,INDEX($AM$1005:$BM$1005,1,MATCH(COLUMNS($AM$1006:BF1006),$AM$1006:$BM$1006,0))&gt;=100000), " ",IF(INDEX($AM$2:$BM$1001,MATCH(ROWS($AF$2:AF314),$AF$2:$AF$1001,0),MATCH(COLUMNS($AM$1006:BF1006),$AM$1006:$BM$1006,0)), HYPERLINK("#",""), HYPERLINK(CONCATENATE("#metadata!", ADDRESS(INDEX($AH$2:$AH$1001,MATCH(ROWS($AF$2:AF314),$AF$2:$AF$1001,0),0), INDEX($AM$1004:$BM$1004,1,MATCH(COLUMNS($AM$1006:BF1006),$AM$1006:$BM$1006,0)))),"Fix")))</f>
        <v xml:space="preserve"> </v>
      </c>
      <c r="V314" s="4" t="str">
        <f ca="1">IF(OR(INDEX($AG$2:$AG$1001,MATCH(ROWS($AF$2:AF314),$AF$2:$AF$1001,0),1)&gt;=100000,INDEX($AM$1005:$BM$1005,1,MATCH(COLUMNS($AM$1006:BG1006),$AM$1006:$BM$1006,0))&gt;=100000), " ",IF(INDEX($AM$2:$BM$1001,MATCH(ROWS($AF$2:AF314),$AF$2:$AF$1001,0),MATCH(COLUMNS($AM$1006:BG1006),$AM$1006:$BM$1006,0)), HYPERLINK("#",""), HYPERLINK(CONCATENATE("#metadata!", ADDRESS(INDEX($AH$2:$AH$1001,MATCH(ROWS($AF$2:AF314),$AF$2:$AF$1001,0),0), INDEX($AM$1004:$BM$1004,1,MATCH(COLUMNS($AM$1006:BG1006),$AM$1006:$BM$1006,0)))),"Fix")))</f>
        <v xml:space="preserve"> </v>
      </c>
      <c r="W314" s="4" t="str">
        <f ca="1">IF(OR(INDEX($AG$2:$AG$1001,MATCH(ROWS($AF$2:AF314),$AF$2:$AF$1001,0),1)&gt;=100000,INDEX($AM$1005:$BM$1005,1,MATCH(COLUMNS($AM$1006:BH1006),$AM$1006:$BM$1006,0))&gt;=100000), " ",IF(INDEX($AM$2:$BM$1001,MATCH(ROWS($AF$2:AF314),$AF$2:$AF$1001,0),MATCH(COLUMNS($AM$1006:BH1006),$AM$1006:$BM$1006,0)), HYPERLINK("#",""), HYPERLINK(CONCATENATE("#metadata!", ADDRESS(INDEX($AH$2:$AH$1001,MATCH(ROWS($AF$2:AF314),$AF$2:$AF$1001,0),0), INDEX($AM$1004:$BM$1004,1,MATCH(COLUMNS($AM$1006:BH1006),$AM$1006:$BM$1006,0)))),"Fix")))</f>
        <v xml:space="preserve"> </v>
      </c>
      <c r="X314" s="4" t="str">
        <f ca="1">IF(OR(INDEX($AG$2:$AG$1001,MATCH(ROWS($AF$2:AF314),$AF$2:$AF$1001,0),1)&gt;=100000,INDEX($AM$1005:$BM$1005,1,MATCH(COLUMNS($AM$1006:BI1006),$AM$1006:$BM$1006,0))&gt;=100000), " ",IF(INDEX($AM$2:$BM$1001,MATCH(ROWS($AF$2:AF314),$AF$2:$AF$1001,0),MATCH(COLUMNS($AM$1006:BI1006),$AM$1006:$BM$1006,0)), HYPERLINK("#",""), HYPERLINK(CONCATENATE("#metadata!", ADDRESS(INDEX($AH$2:$AH$1001,MATCH(ROWS($AF$2:AF314),$AF$2:$AF$1001,0),0), INDEX($AM$1004:$BM$1004,1,MATCH(COLUMNS($AM$1006:BI1006),$AM$1006:$BM$1006,0)))),"Fix")))</f>
        <v xml:space="preserve"> </v>
      </c>
      <c r="Y314" s="4" t="str">
        <f ca="1">IF(OR(INDEX($AG$2:$AG$1001,MATCH(ROWS($AF$2:AF314),$AF$2:$AF$1001,0),1)&gt;=100000,INDEX($AM$1005:$BM$1005,1,MATCH(COLUMNS($AM$1006:BJ1006),$AM$1006:$BM$1006,0))&gt;=100000), " ",IF(INDEX($AM$2:$BM$1001,MATCH(ROWS($AF$2:AF314),$AF$2:$AF$1001,0),MATCH(COLUMNS($AM$1006:BJ1006),$AM$1006:$BM$1006,0)), HYPERLINK("#",""), HYPERLINK(CONCATENATE("#metadata!", ADDRESS(INDEX($AH$2:$AH$1001,MATCH(ROWS($AF$2:AF314),$AF$2:$AF$1001,0),0), INDEX($AM$1004:$BM$1004,1,MATCH(COLUMNS($AM$1006:BJ1006),$AM$1006:$BM$1006,0)))),"Fix")))</f>
        <v xml:space="preserve"> </v>
      </c>
      <c r="Z314" s="4" t="str">
        <f ca="1">IF(OR(INDEX($AG$2:$AG$1001,MATCH(ROWS($AF$2:AF314),$AF$2:$AF$1001,0),1)&gt;=100000,INDEX($AM$1005:$BM$1005,1,MATCH(COLUMNS($AM$1006:BK1006),$AM$1006:$BM$1006,0))&gt;=100000), " ",IF(INDEX($AM$2:$BM$1001,MATCH(ROWS($AF$2:AF314),$AF$2:$AF$1001,0),MATCH(COLUMNS($AM$1006:BK1006),$AM$1006:$BM$1006,0)), HYPERLINK("#",""), HYPERLINK(CONCATENATE("#metadata!", ADDRESS(INDEX($AH$2:$AH$1001,MATCH(ROWS($AF$2:AF314),$AF$2:$AF$1001,0),0), INDEX($AM$1004:$BM$1004,1,MATCH(COLUMNS($AM$1006:BK1006),$AM$1006:$BM$1006,0)))),"Fix")))</f>
        <v xml:space="preserve"> </v>
      </c>
      <c r="AA314" s="4" t="str">
        <f ca="1">IF(OR(INDEX($AG$2:$AG$1001,MATCH(ROWS($AF$2:AF314),$AF$2:$AF$1001,0),1)&gt;=100000,INDEX($AM$1005:$BM$1005,1,MATCH(COLUMNS($AM$1006:BL1006),$AM$1006:$BM$1006,0))&gt;=100000), " ",IF(INDEX($AM$2:$BM$1001,MATCH(ROWS($AF$2:AF314),$AF$2:$AF$1001,0),MATCH(COLUMNS($AM$1006:BL1006),$AM$1006:$BM$1006,0)), HYPERLINK("#",""), HYPERLINK(CONCATENATE("#metadata!", ADDRESS(INDEX($AH$2:$AH$1001,MATCH(ROWS($AF$2:AF314),$AF$2:$AF$1001,0),0), INDEX($AM$1004:$BM$1004,1,MATCH(COLUMNS($AM$1006:BL1006),$AM$1006:$BM$1006,0)))),"Fix")))</f>
        <v xml:space="preserve"> </v>
      </c>
      <c r="AB314" s="4" t="str">
        <f ca="1">IF(OR(INDEX($AG$2:$AG$1001,MATCH(ROWS($AF$2:AF314),$AF$2:$AF$1001,0),1)&gt;=100000,INDEX($AM$1005:$BM$1005,1,MATCH(COLUMNS($AM$1006:BM1006),$AM$1006:$BM$1006,0))&gt;=100000), " ",IF(INDEX($AM$2:$BM$1001,MATCH(ROWS($AF$2:AF314),$AF$2:$AF$1001,0),MATCH(COLUMNS($AM$1006:BM1006),$AM$1006:$BM$1006,0)), HYPERLINK("#",""), HYPERLINK(CONCATENATE("#metadata!", ADDRESS(INDEX($AH$2:$AH$1001,MATCH(ROWS($AF$2:AF314),$AF$2:$AF$1001,0),0), INDEX($AM$1004:$BM$1004,1,MATCH(COLUMNS($AM$1006:BM1006),$AM$1006:$BM$1006,0)))),"Fix")))</f>
        <v xml:space="preserve"> </v>
      </c>
      <c r="AF314">
        <v>313</v>
      </c>
      <c r="AG314">
        <v>100314</v>
      </c>
      <c r="AH314">
        <v>314</v>
      </c>
      <c r="AI314" t="b">
        <f t="shared" si="4"/>
        <v>1</v>
      </c>
      <c r="AJ314" t="b">
        <f>COUNTBLANK(metadata!B314:AB314)=COLUMNS(metadata!B314:AB314)</f>
        <v>1</v>
      </c>
      <c r="AK314" t="str">
        <v/>
      </c>
      <c r="AM314" t="b">
        <f ca="1">AND(IF(metadata!B314="",FALSE,TRUE),COUNTIF(metadata!B:B, metadata!B314) = 1,NOT(ISERROR(SUMPRODUCT(SEARCH(MID(metadata!B314,ROW(INDIRECT("1:"&amp;LEN(metadata!B314))), 1),"0123456789abcdefghijklmnopqrstuvwxyzABCDEFGHIJKLMNOPQRSTUVWXYZ.")))))</f>
        <v>0</v>
      </c>
      <c r="AN314" t="b">
        <f ca="1">OR(AND(IF(metadata!C314="",FALSE,TRUE),OR(EXACT(metadata!C314,"missing: not collected"),EXACT(metadata!C314,"missing: not provided"),EXACT(metadata!C314,"missing: restricted access"))),AND(IF(metadata!C314="",FALSE,TRUE),AND(AND(IFERROR(INT(LEFT(metadata!C314,4))&gt;1900,FALSE),IFERROR(INT(LEFT(metadata!C314,4))&lt;=YEAR(NOW()),FALSE)), OR(MID(metadata!C314,5,1)="", AND(AND(MID(metadata!C314,5,1)="-",IFERROR(INT(MID(metadata!C314,6,1))&gt;=0,FALSE),IFERROR(INT(MID(metadata!C314,6,1))&lt;=1,FALSE),NOT(MID(metadata!C314,7,1)=""),IFERROR(INT(MID(metadata!C314,6,2))&gt;=1,FALSE),IFERROR(INT(MID(metadata!C314,6,2))&lt;=12,FALSE)), OR(MID(metadata!C314,8,1)="", AND(AND(MID(metadata!C314,8,1)="-",IFERROR(INT(MID(metadata!C314,9,1))&gt;=0,FALSE),IFERROR(INT(MID(metadata!C314,9,1))&lt;=3,FALSE),NOT(MID(metadata!C314,10,1)=""),IFERROR(INT(MID(metadata!C314,9,2))&gt;=1,FALSE),IFERROR(INT(MID(metadata!C314,9,2))&lt;=31,FALSE)), OR(MID(metadata!C314,11,1)="", AND(AND(MID(metadata!C314,11,1)=" ",IFERROR(INT(MID(metadata!C314,12,1))&gt;=0,FALSE),IFERROR(INT(MID(metadata!C314,12,1))&lt;=2,FALSE),NOT(MID(metadata!C314,13,1)=""),IFERROR(INT(MID(metadata!C314,12,2))&gt;=0,FALSE),IFERROR(INT(MID(metadata!C314,12,2))&lt;=23,FALSE)), OR(MID(metadata!C314,14,1)="", AND(AND(MID(metadata!C314,14,1)=":",IFERROR(INT(MID(metadata!C314,15,1))&gt;=0,FALSE),IFERROR(INT(MID(metadata!C314,15,1))&lt;=5,FALSE),NOT(MID(metadata!C314,16,1)=""),IFERROR(INT(MID(metadata!C314,15,2))&gt;=0,FALSE),IFERROR(INT(MID(metadata!C314,15,2))&lt;=59,FALSE)), OR(MID(metadata!C314,17,1)="", AND(AND(MID(metadata!C314,17,1)=":",IFERROR(INT(MID(metadata!C314,18,1))&gt;=0,FALSE),IFERROR(INT(MID(metadata!C314,18,1))&lt;=5,FALSE),NOT(MID(metadata!C314,19,1)=""),IFERROR(INT(MID(metadata!C314,18,2))&gt;=0,FALSE),IFERROR(INT(MID(metadata!C314,18,2))&lt;=59,FALSE)), LEN(metadata!C314)&lt;=19)))))))))))))</f>
        <v>0</v>
      </c>
      <c r="AO314" t="b">
        <f>AND(IF(metadata!D314="",FALSE,TRUE),EXACT(metadata!D314,"Not applicable"))</f>
        <v>0</v>
      </c>
      <c r="AP314" t="b">
        <f>IF(metadata!E314="",FALSE,TRUE)</f>
        <v>0</v>
      </c>
      <c r="AQ314" t="b">
        <f>OR(AND(IF(metadata!F314="",FALSE,TRUE),OR(EXACT(metadata!F314,"missing: not collected"),EXACT(metadata!F314,"missing: not provided"))),AND(IF(metadata!F314="",FALSE,TRUE),OR(EXACT(metadata!F314,"TRUE"),EXACT(metadata!F314,"FALSE"))))</f>
        <v>0</v>
      </c>
      <c r="AR314" t="b">
        <f>OR(AND(IF(metadata!G314="",FALSE,TRUE),OR(EXACT(metadata!G314,"missing: not collected"),EXACT(metadata!G314,"missing: not provided"),EXACT(metadata!G314,"missing: restricted access"))),AND(IF(metadata!G314="",FALSE,ISNUMBER(VALUE(metadata!G314))),metadata!G314&gt;=-413))</f>
        <v>0</v>
      </c>
      <c r="AS314" t="b">
        <f>AND(IF(metadata!H314="",FALSE,TRUE),EXACT(metadata!H314,"meters"))</f>
        <v>0</v>
      </c>
      <c r="AT314" t="b">
        <f>AND(IF(metadata!I314="",FALSE,TRUE),OR(EXACT(metadata!I314,"Host-associated"),EXACT(metadata!I314,"Free-living")))</f>
        <v>0</v>
      </c>
      <c r="AU314" t="b">
        <f>AND(IF(metadata!J314="",FALSE,TRUE),OR(EXACT(metadata!J314,"Animal"),EXACT(metadata!J314,"Fungus"),EXACT(metadata!J314,"Plant"),EXACT(metadata!J314,"Saline"),EXACT(metadata!J314,"Non-saline")))</f>
        <v>0</v>
      </c>
      <c r="AV314" t="b">
        <f>AND(IF(metadata!K314="",FALSE,TRUE),OR(EXACT(metadata!K314,"Plant secretion"),EXACT(metadata!K314,"Plant rhizosphere"),EXACT(metadata!K314,"Plant surface"),EXACT(metadata!K314,"Plant corpus"),EXACT(metadata!K314,"Fungus surface"),EXACT(metadata!K314,"Fungus corpus"),EXACT(metadata!K314,"Animal surface"),EXACT(metadata!K314,"Animal proximal gut"),EXACT(metadata!K314,"Animal corpus"),EXACT(metadata!K314,"Animal distal gut"),EXACT(metadata!K314,"Animal secretion"),EXACT(metadata!K314,"Sub-surface (non-saline)"),EXACT(metadata!K314,"Surface (non-saline)"),EXACT(metadata!K314,"Water (non-saline)"),EXACT(metadata!K314,"Soil (non-saline)"),EXACT(metadata!K314,"Aerosol (non-saline)"),EXACT(metadata!K314,"Sediment (non-saline)"),EXACT(metadata!K314,"Surface (saline)"),EXACT(metadata!K314,"Water (saline)"),EXACT(metadata!K314,"Hypersaline (saline)"),EXACT(metadata!K314,"Aerosol (saline)"),EXACT(metadata!K314,"Sediment (saline)")))</f>
        <v>0</v>
      </c>
      <c r="AW314" t="b">
        <f>IF(metadata!L314="",FALSE,TRUE)</f>
        <v>0</v>
      </c>
      <c r="AX314" t="b">
        <f>IF(metadata!M314="",FALSE,TRUE)</f>
        <v>0</v>
      </c>
      <c r="AY314" t="b">
        <f>IF(metadata!N314="",FALSE,TRUE)</f>
        <v>0</v>
      </c>
      <c r="AZ314" t="b">
        <f>OR(AND(IF(metadata!O314="",FALSE,TRUE),OR(EXACT(metadata!O314,"missing: not collected"),EXACT(metadata!O314,"missing: not provided"),EXACT(metadata!O314,"missing: restricted access"))),AND(IF(metadata!O314="",FALSE,TRUE),OR(EXACT(metadata!O314,"air"),EXACT(metadata!O314,"built environment"),EXACT(metadata!O314,"host-associated"),EXACT(metadata!O314,"human-associated"),EXACT(metadata!O314,"human-skin"),EXACT(metadata!O314,"human-oral"),EXACT(metadata!O314,"human-gut"),EXACT(metadata!O314,"human-vaginal"),EXACT(metadata!O314,"microbial mat/biofilm"),EXACT(metadata!O314,"misc environment"),EXACT(metadata!O314,"plant-associated"),EXACT(metadata!O314,"sediment"),EXACT(metadata!O314,"soil"),EXACT(metadata!O314,"wastewater/sludge"),EXACT(metadata!O314,"water"))))</f>
        <v>0</v>
      </c>
      <c r="BA314" t="b">
        <f>IF(metadata!P314="",FALSE,TRUE)</f>
        <v>0</v>
      </c>
      <c r="BB314" t="b">
        <f>IF(metadata!Q314="",FALSE,TRUE)</f>
        <v>0</v>
      </c>
      <c r="BC314" t="b">
        <f>OR(AND(IF(metadata!R314="",FALSE,TRUE),OR(EXACT(metadata!R314,"missing: not collected"),EXACT(metadata!R314,"missing: not provided"),EXACT(metadata!R314,"missing: restricted access"))),AND(IF(metadata!R314="",FALSE,ISNUMBER(VALUE(metadata!R314))),metadata!R314&gt;=-90,metadata!R314&lt;=90))</f>
        <v>0</v>
      </c>
      <c r="BD314" t="b">
        <f>AND(IF(metadata!S314="",FALSE,TRUE),EXACT(metadata!S314,"Decimal degrees"))</f>
        <v>0</v>
      </c>
      <c r="BE314" t="b">
        <f>OR(AND(IF(metadata!T314="",FALSE,TRUE),OR(EXACT(metadata!T314,"missing: not collected"),EXACT(metadata!T314,"missing: not provided"),EXACT(metadata!T314,"missing: restricted access"))),AND(IF(metadata!T314="",FALSE,ISNUMBER(VALUE(metadata!T314))),metadata!T314&gt;=-180,metadata!T314&lt;=180))</f>
        <v>0</v>
      </c>
      <c r="BF314" t="b">
        <f>AND(IF(metadata!U314="",FALSE,TRUE),EXACT(metadata!U314,"Decimal degrees"))</f>
        <v>0</v>
      </c>
      <c r="BG314" t="b">
        <f>IF(metadata!V314="",FALSE,TRUE)</f>
        <v>0</v>
      </c>
      <c r="BH314" t="b">
        <f>OR(AND(IF(metadata!W314="",FALSE,TRUE),OR(EXACT(metadata!W314,"missing: not collected"),EXACT(metadata!W314,"missing: not provided"),EXACT(metadata!W314,"missing: restricted access"))),AND(IF(metadata!W314="",FALSE,TRUE),OR(EXACT(metadata!W314,"TRUE"),EXACT(metadata!W314,"FALSE"))))</f>
        <v>0</v>
      </c>
      <c r="BI314" t="b">
        <f>AND(IF(metadata!X314="",FALSE,TRUE),EXACT(metadata!X314,"other"))</f>
        <v>0</v>
      </c>
      <c r="BJ314" t="b">
        <f>IF(metadata!Y314="",FALSE,TRUE)</f>
        <v>0</v>
      </c>
      <c r="BK314" t="b">
        <f>OR(AND(IF(metadata!Z314="",FALSE,TRUE),OR(EXACT(metadata!Z314,"missing: not collected"),EXACT(metadata!Z314,"missing: not provided"))),AND(IF(metadata!Z314="",FALSE,IF(ISERROR(INT(metadata!Z314)),FALSE,INT(metadata!Z314)=metadata!Z314)),metadata!Z314&gt;0))</f>
        <v>0</v>
      </c>
      <c r="BL314" t="b">
        <f>AND(IF(metadata!AA314="",FALSE,TRUE),EXACT(metadata!AA314,"Not applicable"))</f>
        <v>0</v>
      </c>
      <c r="BM314" t="b">
        <f>IF(metadata!AB314="",FALSE,TRUE)</f>
        <v>0</v>
      </c>
    </row>
    <row r="315" spans="1:65" x14ac:dyDescent="0.2">
      <c r="A315" s="5" t="str">
        <f ca="1">IF(B315=" "," ",HYPERLINK(CONCATENATE("#metadata!",ADDRESS(INDEX($AH$2:$AH$1001,MATCH(ROWS($AF$2:AF315),$AF$2:$AF$1001,0),0),1)),INDEX($AK$2:$AK$1001,MATCH(ROWS($AF$2:AF315),$AF$2:$AF$1001,0),0)))</f>
        <v xml:space="preserve"> </v>
      </c>
      <c r="B315" s="4" t="str">
        <f ca="1">IF(OR(INDEX($AG$2:$AG$1001,MATCH(ROWS($AF$2:AF315),$AF$2:$AF$1001,0),1)&gt;=100000,INDEX($AM$1005:$BM$1005,1,MATCH(COLUMNS($AM$1006:AM1006),$AM$1006:$BM$1006,0))&gt;=100000), " ",IF(INDEX($AM$2:$BM$1001,MATCH(ROWS($AF$2:AF315),$AF$2:$AF$1001,0),MATCH(COLUMNS($AM$1006:AM1006),$AM$1006:$BM$1006,0)), HYPERLINK("#",""), HYPERLINK(CONCATENATE("#metadata!", ADDRESS(INDEX($AH$2:$AH$1001,MATCH(ROWS($AF$2:AF315),$AF$2:$AF$1001,0),0), INDEX($AM$1004:$BM$1004,1,MATCH(COLUMNS($AM$1006:AM1006),$AM$1006:$BM$1006,0)))),"Fix")))</f>
        <v xml:space="preserve"> </v>
      </c>
      <c r="C315" s="4" t="str">
        <f ca="1">IF(OR(INDEX($AG$2:$AG$1001,MATCH(ROWS($AF$2:AF315),$AF$2:$AF$1001,0),1)&gt;=100000,INDEX($AM$1005:$BM$1005,1,MATCH(COLUMNS($AM$1006:AN1006),$AM$1006:$BM$1006,0))&gt;=100000), " ",IF(INDEX($AM$2:$BM$1001,MATCH(ROWS($AF$2:AF315),$AF$2:$AF$1001,0),MATCH(COLUMNS($AM$1006:AN1006),$AM$1006:$BM$1006,0)), HYPERLINK("#",""), HYPERLINK(CONCATENATE("#metadata!", ADDRESS(INDEX($AH$2:$AH$1001,MATCH(ROWS($AF$2:AF315),$AF$2:$AF$1001,0),0), INDEX($AM$1004:$BM$1004,1,MATCH(COLUMNS($AM$1006:AN1006),$AM$1006:$BM$1006,0)))),"Fix")))</f>
        <v xml:space="preserve"> </v>
      </c>
      <c r="D315" s="4" t="str">
        <f ca="1">IF(OR(INDEX($AG$2:$AG$1001,MATCH(ROWS($AF$2:AF315),$AF$2:$AF$1001,0),1)&gt;=100000,INDEX($AM$1005:$BM$1005,1,MATCH(COLUMNS($AM$1006:AO1006),$AM$1006:$BM$1006,0))&gt;=100000), " ",IF(INDEX($AM$2:$BM$1001,MATCH(ROWS($AF$2:AF315),$AF$2:$AF$1001,0),MATCH(COLUMNS($AM$1006:AO1006),$AM$1006:$BM$1006,0)), HYPERLINK("#",""), HYPERLINK(CONCATENATE("#metadata!", ADDRESS(INDEX($AH$2:$AH$1001,MATCH(ROWS($AF$2:AF315),$AF$2:$AF$1001,0),0), INDEX($AM$1004:$BM$1004,1,MATCH(COLUMNS($AM$1006:AO1006),$AM$1006:$BM$1006,0)))),"Fix")))</f>
        <v xml:space="preserve"> </v>
      </c>
      <c r="E315" s="4" t="str">
        <f ca="1">IF(OR(INDEX($AG$2:$AG$1001,MATCH(ROWS($AF$2:AF315),$AF$2:$AF$1001,0),1)&gt;=100000,INDEX($AM$1005:$BM$1005,1,MATCH(COLUMNS($AM$1006:AP1006),$AM$1006:$BM$1006,0))&gt;=100000), " ",IF(INDEX($AM$2:$BM$1001,MATCH(ROWS($AF$2:AF315),$AF$2:$AF$1001,0),MATCH(COLUMNS($AM$1006:AP1006),$AM$1006:$BM$1006,0)), HYPERLINK("#",""), HYPERLINK(CONCATENATE("#metadata!", ADDRESS(INDEX($AH$2:$AH$1001,MATCH(ROWS($AF$2:AF315),$AF$2:$AF$1001,0),0), INDEX($AM$1004:$BM$1004,1,MATCH(COLUMNS($AM$1006:AP1006),$AM$1006:$BM$1006,0)))),"Fix")))</f>
        <v xml:space="preserve"> </v>
      </c>
      <c r="F315" s="4" t="str">
        <f ca="1">IF(OR(INDEX($AG$2:$AG$1001,MATCH(ROWS($AF$2:AF315),$AF$2:$AF$1001,0),1)&gt;=100000,INDEX($AM$1005:$BM$1005,1,MATCH(COLUMNS($AM$1006:AQ1006),$AM$1006:$BM$1006,0))&gt;=100000), " ",IF(INDEX($AM$2:$BM$1001,MATCH(ROWS($AF$2:AF315),$AF$2:$AF$1001,0),MATCH(COLUMNS($AM$1006:AQ1006),$AM$1006:$BM$1006,0)), HYPERLINK("#",""), HYPERLINK(CONCATENATE("#metadata!", ADDRESS(INDEX($AH$2:$AH$1001,MATCH(ROWS($AF$2:AF315),$AF$2:$AF$1001,0),0), INDEX($AM$1004:$BM$1004,1,MATCH(COLUMNS($AM$1006:AQ1006),$AM$1006:$BM$1006,0)))),"Fix")))</f>
        <v xml:space="preserve"> </v>
      </c>
      <c r="G315" s="4" t="str">
        <f ca="1">IF(OR(INDEX($AG$2:$AG$1001,MATCH(ROWS($AF$2:AF315),$AF$2:$AF$1001,0),1)&gt;=100000,INDEX($AM$1005:$BM$1005,1,MATCH(COLUMNS($AM$1006:AR1006),$AM$1006:$BM$1006,0))&gt;=100000), " ",IF(INDEX($AM$2:$BM$1001,MATCH(ROWS($AF$2:AF315),$AF$2:$AF$1001,0),MATCH(COLUMNS($AM$1006:AR1006),$AM$1006:$BM$1006,0)), HYPERLINK("#",""), HYPERLINK(CONCATENATE("#metadata!", ADDRESS(INDEX($AH$2:$AH$1001,MATCH(ROWS($AF$2:AF315),$AF$2:$AF$1001,0),0), INDEX($AM$1004:$BM$1004,1,MATCH(COLUMNS($AM$1006:AR1006),$AM$1006:$BM$1006,0)))),"Fix")))</f>
        <v xml:space="preserve"> </v>
      </c>
      <c r="H315" s="4" t="str">
        <f ca="1">IF(OR(INDEX($AG$2:$AG$1001,MATCH(ROWS($AF$2:AF315),$AF$2:$AF$1001,0),1)&gt;=100000,INDEX($AM$1005:$BM$1005,1,MATCH(COLUMNS($AM$1006:AS1006),$AM$1006:$BM$1006,0))&gt;=100000), " ",IF(INDEX($AM$2:$BM$1001,MATCH(ROWS($AF$2:AF315),$AF$2:$AF$1001,0),MATCH(COLUMNS($AM$1006:AS1006),$AM$1006:$BM$1006,0)), HYPERLINK("#",""), HYPERLINK(CONCATENATE("#metadata!", ADDRESS(INDEX($AH$2:$AH$1001,MATCH(ROWS($AF$2:AF315),$AF$2:$AF$1001,0),0), INDEX($AM$1004:$BM$1004,1,MATCH(COLUMNS($AM$1006:AS1006),$AM$1006:$BM$1006,0)))),"Fix")))</f>
        <v xml:space="preserve"> </v>
      </c>
      <c r="I315" s="4" t="str">
        <f ca="1">IF(OR(INDEX($AG$2:$AG$1001,MATCH(ROWS($AF$2:AF315),$AF$2:$AF$1001,0),1)&gt;=100000,INDEX($AM$1005:$BM$1005,1,MATCH(COLUMNS($AM$1006:AT1006),$AM$1006:$BM$1006,0))&gt;=100000), " ",IF(INDEX($AM$2:$BM$1001,MATCH(ROWS($AF$2:AF315),$AF$2:$AF$1001,0),MATCH(COLUMNS($AM$1006:AT1006),$AM$1006:$BM$1006,0)), HYPERLINK("#",""), HYPERLINK(CONCATENATE("#metadata!", ADDRESS(INDEX($AH$2:$AH$1001,MATCH(ROWS($AF$2:AF315),$AF$2:$AF$1001,0),0), INDEX($AM$1004:$BM$1004,1,MATCH(COLUMNS($AM$1006:AT1006),$AM$1006:$BM$1006,0)))),"Fix")))</f>
        <v xml:space="preserve"> </v>
      </c>
      <c r="J315" s="4" t="str">
        <f ca="1">IF(OR(INDEX($AG$2:$AG$1001,MATCH(ROWS($AF$2:AF315),$AF$2:$AF$1001,0),1)&gt;=100000,INDEX($AM$1005:$BM$1005,1,MATCH(COLUMNS($AM$1006:AU1006),$AM$1006:$BM$1006,0))&gt;=100000), " ",IF(INDEX($AM$2:$BM$1001,MATCH(ROWS($AF$2:AF315),$AF$2:$AF$1001,0),MATCH(COLUMNS($AM$1006:AU1006),$AM$1006:$BM$1006,0)), HYPERLINK("#",""), HYPERLINK(CONCATENATE("#metadata!", ADDRESS(INDEX($AH$2:$AH$1001,MATCH(ROWS($AF$2:AF315),$AF$2:$AF$1001,0),0), INDEX($AM$1004:$BM$1004,1,MATCH(COLUMNS($AM$1006:AU1006),$AM$1006:$BM$1006,0)))),"Fix")))</f>
        <v xml:space="preserve"> </v>
      </c>
      <c r="K315" s="4" t="str">
        <f ca="1">IF(OR(INDEX($AG$2:$AG$1001,MATCH(ROWS($AF$2:AF315),$AF$2:$AF$1001,0),1)&gt;=100000,INDEX($AM$1005:$BM$1005,1,MATCH(COLUMNS($AM$1006:AV1006),$AM$1006:$BM$1006,0))&gt;=100000), " ",IF(INDEX($AM$2:$BM$1001,MATCH(ROWS($AF$2:AF315),$AF$2:$AF$1001,0),MATCH(COLUMNS($AM$1006:AV1006),$AM$1006:$BM$1006,0)), HYPERLINK("#",""), HYPERLINK(CONCATENATE("#metadata!", ADDRESS(INDEX($AH$2:$AH$1001,MATCH(ROWS($AF$2:AF315),$AF$2:$AF$1001,0),0), INDEX($AM$1004:$BM$1004,1,MATCH(COLUMNS($AM$1006:AV1006),$AM$1006:$BM$1006,0)))),"Fix")))</f>
        <v xml:space="preserve"> </v>
      </c>
      <c r="L315" s="4" t="str">
        <f ca="1">IF(OR(INDEX($AG$2:$AG$1001,MATCH(ROWS($AF$2:AF315),$AF$2:$AF$1001,0),1)&gt;=100000,INDEX($AM$1005:$BM$1005,1,MATCH(COLUMNS($AM$1006:AW1006),$AM$1006:$BM$1006,0))&gt;=100000), " ",IF(INDEX($AM$2:$BM$1001,MATCH(ROWS($AF$2:AF315),$AF$2:$AF$1001,0),MATCH(COLUMNS($AM$1006:AW1006),$AM$1006:$BM$1006,0)), HYPERLINK("#",""), HYPERLINK(CONCATENATE("#metadata!", ADDRESS(INDEX($AH$2:$AH$1001,MATCH(ROWS($AF$2:AF315),$AF$2:$AF$1001,0),0), INDEX($AM$1004:$BM$1004,1,MATCH(COLUMNS($AM$1006:AW1006),$AM$1006:$BM$1006,0)))),"Fix")))</f>
        <v xml:space="preserve"> </v>
      </c>
      <c r="M315" s="4" t="str">
        <f ca="1">IF(OR(INDEX($AG$2:$AG$1001,MATCH(ROWS($AF$2:AF315),$AF$2:$AF$1001,0),1)&gt;=100000,INDEX($AM$1005:$BM$1005,1,MATCH(COLUMNS($AM$1006:AX1006),$AM$1006:$BM$1006,0))&gt;=100000), " ",IF(INDEX($AM$2:$BM$1001,MATCH(ROWS($AF$2:AF315),$AF$2:$AF$1001,0),MATCH(COLUMNS($AM$1006:AX1006),$AM$1006:$BM$1006,0)), HYPERLINK("#",""), HYPERLINK(CONCATENATE("#metadata!", ADDRESS(INDEX($AH$2:$AH$1001,MATCH(ROWS($AF$2:AF315),$AF$2:$AF$1001,0),0), INDEX($AM$1004:$BM$1004,1,MATCH(COLUMNS($AM$1006:AX1006),$AM$1006:$BM$1006,0)))),"Fix")))</f>
        <v xml:space="preserve"> </v>
      </c>
      <c r="N315" s="4" t="str">
        <f ca="1">IF(OR(INDEX($AG$2:$AG$1001,MATCH(ROWS($AF$2:AF315),$AF$2:$AF$1001,0),1)&gt;=100000,INDEX($AM$1005:$BM$1005,1,MATCH(COLUMNS($AM$1006:AY1006),$AM$1006:$BM$1006,0))&gt;=100000), " ",IF(INDEX($AM$2:$BM$1001,MATCH(ROWS($AF$2:AF315),$AF$2:$AF$1001,0),MATCH(COLUMNS($AM$1006:AY1006),$AM$1006:$BM$1006,0)), HYPERLINK("#",""), HYPERLINK(CONCATENATE("#metadata!", ADDRESS(INDEX($AH$2:$AH$1001,MATCH(ROWS($AF$2:AF315),$AF$2:$AF$1001,0),0), INDEX($AM$1004:$BM$1004,1,MATCH(COLUMNS($AM$1006:AY1006),$AM$1006:$BM$1006,0)))),"Fix")))</f>
        <v xml:space="preserve"> </v>
      </c>
      <c r="O315" s="4" t="str">
        <f ca="1">IF(OR(INDEX($AG$2:$AG$1001,MATCH(ROWS($AF$2:AF315),$AF$2:$AF$1001,0),1)&gt;=100000,INDEX($AM$1005:$BM$1005,1,MATCH(COLUMNS($AM$1006:AZ1006),$AM$1006:$BM$1006,0))&gt;=100000), " ",IF(INDEX($AM$2:$BM$1001,MATCH(ROWS($AF$2:AF315),$AF$2:$AF$1001,0),MATCH(COLUMNS($AM$1006:AZ1006),$AM$1006:$BM$1006,0)), HYPERLINK("#",""), HYPERLINK(CONCATENATE("#metadata!", ADDRESS(INDEX($AH$2:$AH$1001,MATCH(ROWS($AF$2:AF315),$AF$2:$AF$1001,0),0), INDEX($AM$1004:$BM$1004,1,MATCH(COLUMNS($AM$1006:AZ1006),$AM$1006:$BM$1006,0)))),"Fix")))</f>
        <v xml:space="preserve"> </v>
      </c>
      <c r="P315" s="4" t="str">
        <f ca="1">IF(OR(INDEX($AG$2:$AG$1001,MATCH(ROWS($AF$2:AF315),$AF$2:$AF$1001,0),1)&gt;=100000,INDEX($AM$1005:$BM$1005,1,MATCH(COLUMNS($AM$1006:BA1006),$AM$1006:$BM$1006,0))&gt;=100000), " ",IF(INDEX($AM$2:$BM$1001,MATCH(ROWS($AF$2:AF315),$AF$2:$AF$1001,0),MATCH(COLUMNS($AM$1006:BA1006),$AM$1006:$BM$1006,0)), HYPERLINK("#",""), HYPERLINK(CONCATENATE("#metadata!", ADDRESS(INDEX($AH$2:$AH$1001,MATCH(ROWS($AF$2:AF315),$AF$2:$AF$1001,0),0), INDEX($AM$1004:$BM$1004,1,MATCH(COLUMNS($AM$1006:BA1006),$AM$1006:$BM$1006,0)))),"Fix")))</f>
        <v xml:space="preserve"> </v>
      </c>
      <c r="Q315" s="4" t="str">
        <f ca="1">IF(OR(INDEX($AG$2:$AG$1001,MATCH(ROWS($AF$2:AF315),$AF$2:$AF$1001,0),1)&gt;=100000,INDEX($AM$1005:$BM$1005,1,MATCH(COLUMNS($AM$1006:BB1006),$AM$1006:$BM$1006,0))&gt;=100000), " ",IF(INDEX($AM$2:$BM$1001,MATCH(ROWS($AF$2:AF315),$AF$2:$AF$1001,0),MATCH(COLUMNS($AM$1006:BB1006),$AM$1006:$BM$1006,0)), HYPERLINK("#",""), HYPERLINK(CONCATENATE("#metadata!", ADDRESS(INDEX($AH$2:$AH$1001,MATCH(ROWS($AF$2:AF315),$AF$2:$AF$1001,0),0), INDEX($AM$1004:$BM$1004,1,MATCH(COLUMNS($AM$1006:BB1006),$AM$1006:$BM$1006,0)))),"Fix")))</f>
        <v xml:space="preserve"> </v>
      </c>
      <c r="R315" s="4" t="str">
        <f ca="1">IF(OR(INDEX($AG$2:$AG$1001,MATCH(ROWS($AF$2:AF315),$AF$2:$AF$1001,0),1)&gt;=100000,INDEX($AM$1005:$BM$1005,1,MATCH(COLUMNS($AM$1006:BC1006),$AM$1006:$BM$1006,0))&gt;=100000), " ",IF(INDEX($AM$2:$BM$1001,MATCH(ROWS($AF$2:AF315),$AF$2:$AF$1001,0),MATCH(COLUMNS($AM$1006:BC1006),$AM$1006:$BM$1006,0)), HYPERLINK("#",""), HYPERLINK(CONCATENATE("#metadata!", ADDRESS(INDEX($AH$2:$AH$1001,MATCH(ROWS($AF$2:AF315),$AF$2:$AF$1001,0),0), INDEX($AM$1004:$BM$1004,1,MATCH(COLUMNS($AM$1006:BC1006),$AM$1006:$BM$1006,0)))),"Fix")))</f>
        <v xml:space="preserve"> </v>
      </c>
      <c r="S315" s="4" t="str">
        <f ca="1">IF(OR(INDEX($AG$2:$AG$1001,MATCH(ROWS($AF$2:AF315),$AF$2:$AF$1001,0),1)&gt;=100000,INDEX($AM$1005:$BM$1005,1,MATCH(COLUMNS($AM$1006:BD1006),$AM$1006:$BM$1006,0))&gt;=100000), " ",IF(INDEX($AM$2:$BM$1001,MATCH(ROWS($AF$2:AF315),$AF$2:$AF$1001,0),MATCH(COLUMNS($AM$1006:BD1006),$AM$1006:$BM$1006,0)), HYPERLINK("#",""), HYPERLINK(CONCATENATE("#metadata!", ADDRESS(INDEX($AH$2:$AH$1001,MATCH(ROWS($AF$2:AF315),$AF$2:$AF$1001,0),0), INDEX($AM$1004:$BM$1004,1,MATCH(COLUMNS($AM$1006:BD1006),$AM$1006:$BM$1006,0)))),"Fix")))</f>
        <v xml:space="preserve"> </v>
      </c>
      <c r="T315" s="4" t="str">
        <f ca="1">IF(OR(INDEX($AG$2:$AG$1001,MATCH(ROWS($AF$2:AF315),$AF$2:$AF$1001,0),1)&gt;=100000,INDEX($AM$1005:$BM$1005,1,MATCH(COLUMNS($AM$1006:BE1006),$AM$1006:$BM$1006,0))&gt;=100000), " ",IF(INDEX($AM$2:$BM$1001,MATCH(ROWS($AF$2:AF315),$AF$2:$AF$1001,0),MATCH(COLUMNS($AM$1006:BE1006),$AM$1006:$BM$1006,0)), HYPERLINK("#",""), HYPERLINK(CONCATENATE("#metadata!", ADDRESS(INDEX($AH$2:$AH$1001,MATCH(ROWS($AF$2:AF315),$AF$2:$AF$1001,0),0), INDEX($AM$1004:$BM$1004,1,MATCH(COLUMNS($AM$1006:BE1006),$AM$1006:$BM$1006,0)))),"Fix")))</f>
        <v xml:space="preserve"> </v>
      </c>
      <c r="U315" s="4" t="str">
        <f ca="1">IF(OR(INDEX($AG$2:$AG$1001,MATCH(ROWS($AF$2:AF315),$AF$2:$AF$1001,0),1)&gt;=100000,INDEX($AM$1005:$BM$1005,1,MATCH(COLUMNS($AM$1006:BF1006),$AM$1006:$BM$1006,0))&gt;=100000), " ",IF(INDEX($AM$2:$BM$1001,MATCH(ROWS($AF$2:AF315),$AF$2:$AF$1001,0),MATCH(COLUMNS($AM$1006:BF1006),$AM$1006:$BM$1006,0)), HYPERLINK("#",""), HYPERLINK(CONCATENATE("#metadata!", ADDRESS(INDEX($AH$2:$AH$1001,MATCH(ROWS($AF$2:AF315),$AF$2:$AF$1001,0),0), INDEX($AM$1004:$BM$1004,1,MATCH(COLUMNS($AM$1006:BF1006),$AM$1006:$BM$1006,0)))),"Fix")))</f>
        <v xml:space="preserve"> </v>
      </c>
      <c r="V315" s="4" t="str">
        <f ca="1">IF(OR(INDEX($AG$2:$AG$1001,MATCH(ROWS($AF$2:AF315),$AF$2:$AF$1001,0),1)&gt;=100000,INDEX($AM$1005:$BM$1005,1,MATCH(COLUMNS($AM$1006:BG1006),$AM$1006:$BM$1006,0))&gt;=100000), " ",IF(INDEX($AM$2:$BM$1001,MATCH(ROWS($AF$2:AF315),$AF$2:$AF$1001,0),MATCH(COLUMNS($AM$1006:BG1006),$AM$1006:$BM$1006,0)), HYPERLINK("#",""), HYPERLINK(CONCATENATE("#metadata!", ADDRESS(INDEX($AH$2:$AH$1001,MATCH(ROWS($AF$2:AF315),$AF$2:$AF$1001,0),0), INDEX($AM$1004:$BM$1004,1,MATCH(COLUMNS($AM$1006:BG1006),$AM$1006:$BM$1006,0)))),"Fix")))</f>
        <v xml:space="preserve"> </v>
      </c>
      <c r="W315" s="4" t="str">
        <f ca="1">IF(OR(INDEX($AG$2:$AG$1001,MATCH(ROWS($AF$2:AF315),$AF$2:$AF$1001,0),1)&gt;=100000,INDEX($AM$1005:$BM$1005,1,MATCH(COLUMNS($AM$1006:BH1006),$AM$1006:$BM$1006,0))&gt;=100000), " ",IF(INDEX($AM$2:$BM$1001,MATCH(ROWS($AF$2:AF315),$AF$2:$AF$1001,0),MATCH(COLUMNS($AM$1006:BH1006),$AM$1006:$BM$1006,0)), HYPERLINK("#",""), HYPERLINK(CONCATENATE("#metadata!", ADDRESS(INDEX($AH$2:$AH$1001,MATCH(ROWS($AF$2:AF315),$AF$2:$AF$1001,0),0), INDEX($AM$1004:$BM$1004,1,MATCH(COLUMNS($AM$1006:BH1006),$AM$1006:$BM$1006,0)))),"Fix")))</f>
        <v xml:space="preserve"> </v>
      </c>
      <c r="X315" s="4" t="str">
        <f ca="1">IF(OR(INDEX($AG$2:$AG$1001,MATCH(ROWS($AF$2:AF315),$AF$2:$AF$1001,0),1)&gt;=100000,INDEX($AM$1005:$BM$1005,1,MATCH(COLUMNS($AM$1006:BI1006),$AM$1006:$BM$1006,0))&gt;=100000), " ",IF(INDEX($AM$2:$BM$1001,MATCH(ROWS($AF$2:AF315),$AF$2:$AF$1001,0),MATCH(COLUMNS($AM$1006:BI1006),$AM$1006:$BM$1006,0)), HYPERLINK("#",""), HYPERLINK(CONCATENATE("#metadata!", ADDRESS(INDEX($AH$2:$AH$1001,MATCH(ROWS($AF$2:AF315),$AF$2:$AF$1001,0),0), INDEX($AM$1004:$BM$1004,1,MATCH(COLUMNS($AM$1006:BI1006),$AM$1006:$BM$1006,0)))),"Fix")))</f>
        <v xml:space="preserve"> </v>
      </c>
      <c r="Y315" s="4" t="str">
        <f ca="1">IF(OR(INDEX($AG$2:$AG$1001,MATCH(ROWS($AF$2:AF315),$AF$2:$AF$1001,0),1)&gt;=100000,INDEX($AM$1005:$BM$1005,1,MATCH(COLUMNS($AM$1006:BJ1006),$AM$1006:$BM$1006,0))&gt;=100000), " ",IF(INDEX($AM$2:$BM$1001,MATCH(ROWS($AF$2:AF315),$AF$2:$AF$1001,0),MATCH(COLUMNS($AM$1006:BJ1006),$AM$1006:$BM$1006,0)), HYPERLINK("#",""), HYPERLINK(CONCATENATE("#metadata!", ADDRESS(INDEX($AH$2:$AH$1001,MATCH(ROWS($AF$2:AF315),$AF$2:$AF$1001,0),0), INDEX($AM$1004:$BM$1004,1,MATCH(COLUMNS($AM$1006:BJ1006),$AM$1006:$BM$1006,0)))),"Fix")))</f>
        <v xml:space="preserve"> </v>
      </c>
      <c r="Z315" s="4" t="str">
        <f ca="1">IF(OR(INDEX($AG$2:$AG$1001,MATCH(ROWS($AF$2:AF315),$AF$2:$AF$1001,0),1)&gt;=100000,INDEX($AM$1005:$BM$1005,1,MATCH(COLUMNS($AM$1006:BK1006),$AM$1006:$BM$1006,0))&gt;=100000), " ",IF(INDEX($AM$2:$BM$1001,MATCH(ROWS($AF$2:AF315),$AF$2:$AF$1001,0),MATCH(COLUMNS($AM$1006:BK1006),$AM$1006:$BM$1006,0)), HYPERLINK("#",""), HYPERLINK(CONCATENATE("#metadata!", ADDRESS(INDEX($AH$2:$AH$1001,MATCH(ROWS($AF$2:AF315),$AF$2:$AF$1001,0),0), INDEX($AM$1004:$BM$1004,1,MATCH(COLUMNS($AM$1006:BK1006),$AM$1006:$BM$1006,0)))),"Fix")))</f>
        <v xml:space="preserve"> </v>
      </c>
      <c r="AA315" s="4" t="str">
        <f ca="1">IF(OR(INDEX($AG$2:$AG$1001,MATCH(ROWS($AF$2:AF315),$AF$2:$AF$1001,0),1)&gt;=100000,INDEX($AM$1005:$BM$1005,1,MATCH(COLUMNS($AM$1006:BL1006),$AM$1006:$BM$1006,0))&gt;=100000), " ",IF(INDEX($AM$2:$BM$1001,MATCH(ROWS($AF$2:AF315),$AF$2:$AF$1001,0),MATCH(COLUMNS($AM$1006:BL1006),$AM$1006:$BM$1006,0)), HYPERLINK("#",""), HYPERLINK(CONCATENATE("#metadata!", ADDRESS(INDEX($AH$2:$AH$1001,MATCH(ROWS($AF$2:AF315),$AF$2:$AF$1001,0),0), INDEX($AM$1004:$BM$1004,1,MATCH(COLUMNS($AM$1006:BL1006),$AM$1006:$BM$1006,0)))),"Fix")))</f>
        <v xml:space="preserve"> </v>
      </c>
      <c r="AB315" s="4" t="str">
        <f ca="1">IF(OR(INDEX($AG$2:$AG$1001,MATCH(ROWS($AF$2:AF315),$AF$2:$AF$1001,0),1)&gt;=100000,INDEX($AM$1005:$BM$1005,1,MATCH(COLUMNS($AM$1006:BM1006),$AM$1006:$BM$1006,0))&gt;=100000), " ",IF(INDEX($AM$2:$BM$1001,MATCH(ROWS($AF$2:AF315),$AF$2:$AF$1001,0),MATCH(COLUMNS($AM$1006:BM1006),$AM$1006:$BM$1006,0)), HYPERLINK("#",""), HYPERLINK(CONCATENATE("#metadata!", ADDRESS(INDEX($AH$2:$AH$1001,MATCH(ROWS($AF$2:AF315),$AF$2:$AF$1001,0),0), INDEX($AM$1004:$BM$1004,1,MATCH(COLUMNS($AM$1006:BM1006),$AM$1006:$BM$1006,0)))),"Fix")))</f>
        <v xml:space="preserve"> </v>
      </c>
      <c r="AF315">
        <v>314</v>
      </c>
      <c r="AG315">
        <v>100315</v>
      </c>
      <c r="AH315">
        <v>315</v>
      </c>
      <c r="AI315" t="b">
        <f t="shared" si="4"/>
        <v>1</v>
      </c>
      <c r="AJ315" t="b">
        <f>COUNTBLANK(metadata!B315:AB315)=COLUMNS(metadata!B315:AB315)</f>
        <v>1</v>
      </c>
      <c r="AK315" t="str">
        <v/>
      </c>
      <c r="AM315" t="b">
        <f ca="1">AND(IF(metadata!B315="",FALSE,TRUE),COUNTIF(metadata!B:B, metadata!B315) = 1,NOT(ISERROR(SUMPRODUCT(SEARCH(MID(metadata!B315,ROW(INDIRECT("1:"&amp;LEN(metadata!B315))), 1),"0123456789abcdefghijklmnopqrstuvwxyzABCDEFGHIJKLMNOPQRSTUVWXYZ.")))))</f>
        <v>0</v>
      </c>
      <c r="AN315" t="b">
        <f ca="1">OR(AND(IF(metadata!C315="",FALSE,TRUE),OR(EXACT(metadata!C315,"missing: not collected"),EXACT(metadata!C315,"missing: not provided"),EXACT(metadata!C315,"missing: restricted access"))),AND(IF(metadata!C315="",FALSE,TRUE),AND(AND(IFERROR(INT(LEFT(metadata!C315,4))&gt;1900,FALSE),IFERROR(INT(LEFT(metadata!C315,4))&lt;=YEAR(NOW()),FALSE)), OR(MID(metadata!C315,5,1)="", AND(AND(MID(metadata!C315,5,1)="-",IFERROR(INT(MID(metadata!C315,6,1))&gt;=0,FALSE),IFERROR(INT(MID(metadata!C315,6,1))&lt;=1,FALSE),NOT(MID(metadata!C315,7,1)=""),IFERROR(INT(MID(metadata!C315,6,2))&gt;=1,FALSE),IFERROR(INT(MID(metadata!C315,6,2))&lt;=12,FALSE)), OR(MID(metadata!C315,8,1)="", AND(AND(MID(metadata!C315,8,1)="-",IFERROR(INT(MID(metadata!C315,9,1))&gt;=0,FALSE),IFERROR(INT(MID(metadata!C315,9,1))&lt;=3,FALSE),NOT(MID(metadata!C315,10,1)=""),IFERROR(INT(MID(metadata!C315,9,2))&gt;=1,FALSE),IFERROR(INT(MID(metadata!C315,9,2))&lt;=31,FALSE)), OR(MID(metadata!C315,11,1)="", AND(AND(MID(metadata!C315,11,1)=" ",IFERROR(INT(MID(metadata!C315,12,1))&gt;=0,FALSE),IFERROR(INT(MID(metadata!C315,12,1))&lt;=2,FALSE),NOT(MID(metadata!C315,13,1)=""),IFERROR(INT(MID(metadata!C315,12,2))&gt;=0,FALSE),IFERROR(INT(MID(metadata!C315,12,2))&lt;=23,FALSE)), OR(MID(metadata!C315,14,1)="", AND(AND(MID(metadata!C315,14,1)=":",IFERROR(INT(MID(metadata!C315,15,1))&gt;=0,FALSE),IFERROR(INT(MID(metadata!C315,15,1))&lt;=5,FALSE),NOT(MID(metadata!C315,16,1)=""),IFERROR(INT(MID(metadata!C315,15,2))&gt;=0,FALSE),IFERROR(INT(MID(metadata!C315,15,2))&lt;=59,FALSE)), OR(MID(metadata!C315,17,1)="", AND(AND(MID(metadata!C315,17,1)=":",IFERROR(INT(MID(metadata!C315,18,1))&gt;=0,FALSE),IFERROR(INT(MID(metadata!C315,18,1))&lt;=5,FALSE),NOT(MID(metadata!C315,19,1)=""),IFERROR(INT(MID(metadata!C315,18,2))&gt;=0,FALSE),IFERROR(INT(MID(metadata!C315,18,2))&lt;=59,FALSE)), LEN(metadata!C315)&lt;=19)))))))))))))</f>
        <v>0</v>
      </c>
      <c r="AO315" t="b">
        <f>AND(IF(metadata!D315="",FALSE,TRUE),EXACT(metadata!D315,"Not applicable"))</f>
        <v>0</v>
      </c>
      <c r="AP315" t="b">
        <f>IF(metadata!E315="",FALSE,TRUE)</f>
        <v>0</v>
      </c>
      <c r="AQ315" t="b">
        <f>OR(AND(IF(metadata!F315="",FALSE,TRUE),OR(EXACT(metadata!F315,"missing: not collected"),EXACT(metadata!F315,"missing: not provided"))),AND(IF(metadata!F315="",FALSE,TRUE),OR(EXACT(metadata!F315,"TRUE"),EXACT(metadata!F315,"FALSE"))))</f>
        <v>0</v>
      </c>
      <c r="AR315" t="b">
        <f>OR(AND(IF(metadata!G315="",FALSE,TRUE),OR(EXACT(metadata!G315,"missing: not collected"),EXACT(metadata!G315,"missing: not provided"),EXACT(metadata!G315,"missing: restricted access"))),AND(IF(metadata!G315="",FALSE,ISNUMBER(VALUE(metadata!G315))),metadata!G315&gt;=-413))</f>
        <v>0</v>
      </c>
      <c r="AS315" t="b">
        <f>AND(IF(metadata!H315="",FALSE,TRUE),EXACT(metadata!H315,"meters"))</f>
        <v>0</v>
      </c>
      <c r="AT315" t="b">
        <f>AND(IF(metadata!I315="",FALSE,TRUE),OR(EXACT(metadata!I315,"Host-associated"),EXACT(metadata!I315,"Free-living")))</f>
        <v>0</v>
      </c>
      <c r="AU315" t="b">
        <f>AND(IF(metadata!J315="",FALSE,TRUE),OR(EXACT(metadata!J315,"Animal"),EXACT(metadata!J315,"Fungus"),EXACT(metadata!J315,"Plant"),EXACT(metadata!J315,"Saline"),EXACT(metadata!J315,"Non-saline")))</f>
        <v>0</v>
      </c>
      <c r="AV315" t="b">
        <f>AND(IF(metadata!K315="",FALSE,TRUE),OR(EXACT(metadata!K315,"Plant secretion"),EXACT(metadata!K315,"Plant rhizosphere"),EXACT(metadata!K315,"Plant surface"),EXACT(metadata!K315,"Plant corpus"),EXACT(metadata!K315,"Fungus surface"),EXACT(metadata!K315,"Fungus corpus"),EXACT(metadata!K315,"Animal surface"),EXACT(metadata!K315,"Animal proximal gut"),EXACT(metadata!K315,"Animal corpus"),EXACT(metadata!K315,"Animal distal gut"),EXACT(metadata!K315,"Animal secretion"),EXACT(metadata!K315,"Sub-surface (non-saline)"),EXACT(metadata!K315,"Surface (non-saline)"),EXACT(metadata!K315,"Water (non-saline)"),EXACT(metadata!K315,"Soil (non-saline)"),EXACT(metadata!K315,"Aerosol (non-saline)"),EXACT(metadata!K315,"Sediment (non-saline)"),EXACT(metadata!K315,"Surface (saline)"),EXACT(metadata!K315,"Water (saline)"),EXACT(metadata!K315,"Hypersaline (saline)"),EXACT(metadata!K315,"Aerosol (saline)"),EXACT(metadata!K315,"Sediment (saline)")))</f>
        <v>0</v>
      </c>
      <c r="AW315" t="b">
        <f>IF(metadata!L315="",FALSE,TRUE)</f>
        <v>0</v>
      </c>
      <c r="AX315" t="b">
        <f>IF(metadata!M315="",FALSE,TRUE)</f>
        <v>0</v>
      </c>
      <c r="AY315" t="b">
        <f>IF(metadata!N315="",FALSE,TRUE)</f>
        <v>0</v>
      </c>
      <c r="AZ315" t="b">
        <f>OR(AND(IF(metadata!O315="",FALSE,TRUE),OR(EXACT(metadata!O315,"missing: not collected"),EXACT(metadata!O315,"missing: not provided"),EXACT(metadata!O315,"missing: restricted access"))),AND(IF(metadata!O315="",FALSE,TRUE),OR(EXACT(metadata!O315,"air"),EXACT(metadata!O315,"built environment"),EXACT(metadata!O315,"host-associated"),EXACT(metadata!O315,"human-associated"),EXACT(metadata!O315,"human-skin"),EXACT(metadata!O315,"human-oral"),EXACT(metadata!O315,"human-gut"),EXACT(metadata!O315,"human-vaginal"),EXACT(metadata!O315,"microbial mat/biofilm"),EXACT(metadata!O315,"misc environment"),EXACT(metadata!O315,"plant-associated"),EXACT(metadata!O315,"sediment"),EXACT(metadata!O315,"soil"),EXACT(metadata!O315,"wastewater/sludge"),EXACT(metadata!O315,"water"))))</f>
        <v>0</v>
      </c>
      <c r="BA315" t="b">
        <f>IF(metadata!P315="",FALSE,TRUE)</f>
        <v>0</v>
      </c>
      <c r="BB315" t="b">
        <f>IF(metadata!Q315="",FALSE,TRUE)</f>
        <v>0</v>
      </c>
      <c r="BC315" t="b">
        <f>OR(AND(IF(metadata!R315="",FALSE,TRUE),OR(EXACT(metadata!R315,"missing: not collected"),EXACT(metadata!R315,"missing: not provided"),EXACT(metadata!R315,"missing: restricted access"))),AND(IF(metadata!R315="",FALSE,ISNUMBER(VALUE(metadata!R315))),metadata!R315&gt;=-90,metadata!R315&lt;=90))</f>
        <v>0</v>
      </c>
      <c r="BD315" t="b">
        <f>AND(IF(metadata!S315="",FALSE,TRUE),EXACT(metadata!S315,"Decimal degrees"))</f>
        <v>0</v>
      </c>
      <c r="BE315" t="b">
        <f>OR(AND(IF(metadata!T315="",FALSE,TRUE),OR(EXACT(metadata!T315,"missing: not collected"),EXACT(metadata!T315,"missing: not provided"),EXACT(metadata!T315,"missing: restricted access"))),AND(IF(metadata!T315="",FALSE,ISNUMBER(VALUE(metadata!T315))),metadata!T315&gt;=-180,metadata!T315&lt;=180))</f>
        <v>0</v>
      </c>
      <c r="BF315" t="b">
        <f>AND(IF(metadata!U315="",FALSE,TRUE),EXACT(metadata!U315,"Decimal degrees"))</f>
        <v>0</v>
      </c>
      <c r="BG315" t="b">
        <f>IF(metadata!V315="",FALSE,TRUE)</f>
        <v>0</v>
      </c>
      <c r="BH315" t="b">
        <f>OR(AND(IF(metadata!W315="",FALSE,TRUE),OR(EXACT(metadata!W315,"missing: not collected"),EXACT(metadata!W315,"missing: not provided"),EXACT(metadata!W315,"missing: restricted access"))),AND(IF(metadata!W315="",FALSE,TRUE),OR(EXACT(metadata!W315,"TRUE"),EXACT(metadata!W315,"FALSE"))))</f>
        <v>0</v>
      </c>
      <c r="BI315" t="b">
        <f>AND(IF(metadata!X315="",FALSE,TRUE),EXACT(metadata!X315,"other"))</f>
        <v>0</v>
      </c>
      <c r="BJ315" t="b">
        <f>IF(metadata!Y315="",FALSE,TRUE)</f>
        <v>0</v>
      </c>
      <c r="BK315" t="b">
        <f>OR(AND(IF(metadata!Z315="",FALSE,TRUE),OR(EXACT(metadata!Z315,"missing: not collected"),EXACT(metadata!Z315,"missing: not provided"))),AND(IF(metadata!Z315="",FALSE,IF(ISERROR(INT(metadata!Z315)),FALSE,INT(metadata!Z315)=metadata!Z315)),metadata!Z315&gt;0))</f>
        <v>0</v>
      </c>
      <c r="BL315" t="b">
        <f>AND(IF(metadata!AA315="",FALSE,TRUE),EXACT(metadata!AA315,"Not applicable"))</f>
        <v>0</v>
      </c>
      <c r="BM315" t="b">
        <f>IF(metadata!AB315="",FALSE,TRUE)</f>
        <v>0</v>
      </c>
    </row>
    <row r="316" spans="1:65" x14ac:dyDescent="0.2">
      <c r="A316" s="5" t="str">
        <f ca="1">IF(B316=" "," ",HYPERLINK(CONCATENATE("#metadata!",ADDRESS(INDEX($AH$2:$AH$1001,MATCH(ROWS($AF$2:AF316),$AF$2:$AF$1001,0),0),1)),INDEX($AK$2:$AK$1001,MATCH(ROWS($AF$2:AF316),$AF$2:$AF$1001,0),0)))</f>
        <v xml:space="preserve"> </v>
      </c>
      <c r="B316" s="4" t="str">
        <f ca="1">IF(OR(INDEX($AG$2:$AG$1001,MATCH(ROWS($AF$2:AF316),$AF$2:$AF$1001,0),1)&gt;=100000,INDEX($AM$1005:$BM$1005,1,MATCH(COLUMNS($AM$1006:AM1006),$AM$1006:$BM$1006,0))&gt;=100000), " ",IF(INDEX($AM$2:$BM$1001,MATCH(ROWS($AF$2:AF316),$AF$2:$AF$1001,0),MATCH(COLUMNS($AM$1006:AM1006),$AM$1006:$BM$1006,0)), HYPERLINK("#",""), HYPERLINK(CONCATENATE("#metadata!", ADDRESS(INDEX($AH$2:$AH$1001,MATCH(ROWS($AF$2:AF316),$AF$2:$AF$1001,0),0), INDEX($AM$1004:$BM$1004,1,MATCH(COLUMNS($AM$1006:AM1006),$AM$1006:$BM$1006,0)))),"Fix")))</f>
        <v xml:space="preserve"> </v>
      </c>
      <c r="C316" s="4" t="str">
        <f ca="1">IF(OR(INDEX($AG$2:$AG$1001,MATCH(ROWS($AF$2:AF316),$AF$2:$AF$1001,0),1)&gt;=100000,INDEX($AM$1005:$BM$1005,1,MATCH(COLUMNS($AM$1006:AN1006),$AM$1006:$BM$1006,0))&gt;=100000), " ",IF(INDEX($AM$2:$BM$1001,MATCH(ROWS($AF$2:AF316),$AF$2:$AF$1001,0),MATCH(COLUMNS($AM$1006:AN1006),$AM$1006:$BM$1006,0)), HYPERLINK("#",""), HYPERLINK(CONCATENATE("#metadata!", ADDRESS(INDEX($AH$2:$AH$1001,MATCH(ROWS($AF$2:AF316),$AF$2:$AF$1001,0),0), INDEX($AM$1004:$BM$1004,1,MATCH(COLUMNS($AM$1006:AN1006),$AM$1006:$BM$1006,0)))),"Fix")))</f>
        <v xml:space="preserve"> </v>
      </c>
      <c r="D316" s="4" t="str">
        <f ca="1">IF(OR(INDEX($AG$2:$AG$1001,MATCH(ROWS($AF$2:AF316),$AF$2:$AF$1001,0),1)&gt;=100000,INDEX($AM$1005:$BM$1005,1,MATCH(COLUMNS($AM$1006:AO1006),$AM$1006:$BM$1006,0))&gt;=100000), " ",IF(INDEX($AM$2:$BM$1001,MATCH(ROWS($AF$2:AF316),$AF$2:$AF$1001,0),MATCH(COLUMNS($AM$1006:AO1006),$AM$1006:$BM$1006,0)), HYPERLINK("#",""), HYPERLINK(CONCATENATE("#metadata!", ADDRESS(INDEX($AH$2:$AH$1001,MATCH(ROWS($AF$2:AF316),$AF$2:$AF$1001,0),0), INDEX($AM$1004:$BM$1004,1,MATCH(COLUMNS($AM$1006:AO1006),$AM$1006:$BM$1006,0)))),"Fix")))</f>
        <v xml:space="preserve"> </v>
      </c>
      <c r="E316" s="4" t="str">
        <f ca="1">IF(OR(INDEX($AG$2:$AG$1001,MATCH(ROWS($AF$2:AF316),$AF$2:$AF$1001,0),1)&gt;=100000,INDEX($AM$1005:$BM$1005,1,MATCH(COLUMNS($AM$1006:AP1006),$AM$1006:$BM$1006,0))&gt;=100000), " ",IF(INDEX($AM$2:$BM$1001,MATCH(ROWS($AF$2:AF316),$AF$2:$AF$1001,0),MATCH(COLUMNS($AM$1006:AP1006),$AM$1006:$BM$1006,0)), HYPERLINK("#",""), HYPERLINK(CONCATENATE("#metadata!", ADDRESS(INDEX($AH$2:$AH$1001,MATCH(ROWS($AF$2:AF316),$AF$2:$AF$1001,0),0), INDEX($AM$1004:$BM$1004,1,MATCH(COLUMNS($AM$1006:AP1006),$AM$1006:$BM$1006,0)))),"Fix")))</f>
        <v xml:space="preserve"> </v>
      </c>
      <c r="F316" s="4" t="str">
        <f ca="1">IF(OR(INDEX($AG$2:$AG$1001,MATCH(ROWS($AF$2:AF316),$AF$2:$AF$1001,0),1)&gt;=100000,INDEX($AM$1005:$BM$1005,1,MATCH(COLUMNS($AM$1006:AQ1006),$AM$1006:$BM$1006,0))&gt;=100000), " ",IF(INDEX($AM$2:$BM$1001,MATCH(ROWS($AF$2:AF316),$AF$2:$AF$1001,0),MATCH(COLUMNS($AM$1006:AQ1006),$AM$1006:$BM$1006,0)), HYPERLINK("#",""), HYPERLINK(CONCATENATE("#metadata!", ADDRESS(INDEX($AH$2:$AH$1001,MATCH(ROWS($AF$2:AF316),$AF$2:$AF$1001,0),0), INDEX($AM$1004:$BM$1004,1,MATCH(COLUMNS($AM$1006:AQ1006),$AM$1006:$BM$1006,0)))),"Fix")))</f>
        <v xml:space="preserve"> </v>
      </c>
      <c r="G316" s="4" t="str">
        <f ca="1">IF(OR(INDEX($AG$2:$AG$1001,MATCH(ROWS($AF$2:AF316),$AF$2:$AF$1001,0),1)&gt;=100000,INDEX($AM$1005:$BM$1005,1,MATCH(COLUMNS($AM$1006:AR1006),$AM$1006:$BM$1006,0))&gt;=100000), " ",IF(INDEX($AM$2:$BM$1001,MATCH(ROWS($AF$2:AF316),$AF$2:$AF$1001,0),MATCH(COLUMNS($AM$1006:AR1006),$AM$1006:$BM$1006,0)), HYPERLINK("#",""), HYPERLINK(CONCATENATE("#metadata!", ADDRESS(INDEX($AH$2:$AH$1001,MATCH(ROWS($AF$2:AF316),$AF$2:$AF$1001,0),0), INDEX($AM$1004:$BM$1004,1,MATCH(COLUMNS($AM$1006:AR1006),$AM$1006:$BM$1006,0)))),"Fix")))</f>
        <v xml:space="preserve"> </v>
      </c>
      <c r="H316" s="4" t="str">
        <f ca="1">IF(OR(INDEX($AG$2:$AG$1001,MATCH(ROWS($AF$2:AF316),$AF$2:$AF$1001,0),1)&gt;=100000,INDEX($AM$1005:$BM$1005,1,MATCH(COLUMNS($AM$1006:AS1006),$AM$1006:$BM$1006,0))&gt;=100000), " ",IF(INDEX($AM$2:$BM$1001,MATCH(ROWS($AF$2:AF316),$AF$2:$AF$1001,0),MATCH(COLUMNS($AM$1006:AS1006),$AM$1006:$BM$1006,0)), HYPERLINK("#",""), HYPERLINK(CONCATENATE("#metadata!", ADDRESS(INDEX($AH$2:$AH$1001,MATCH(ROWS($AF$2:AF316),$AF$2:$AF$1001,0),0), INDEX($AM$1004:$BM$1004,1,MATCH(COLUMNS($AM$1006:AS1006),$AM$1006:$BM$1006,0)))),"Fix")))</f>
        <v xml:space="preserve"> </v>
      </c>
      <c r="I316" s="4" t="str">
        <f ca="1">IF(OR(INDEX($AG$2:$AG$1001,MATCH(ROWS($AF$2:AF316),$AF$2:$AF$1001,0),1)&gt;=100000,INDEX($AM$1005:$BM$1005,1,MATCH(COLUMNS($AM$1006:AT1006),$AM$1006:$BM$1006,0))&gt;=100000), " ",IF(INDEX($AM$2:$BM$1001,MATCH(ROWS($AF$2:AF316),$AF$2:$AF$1001,0),MATCH(COLUMNS($AM$1006:AT1006),$AM$1006:$BM$1006,0)), HYPERLINK("#",""), HYPERLINK(CONCATENATE("#metadata!", ADDRESS(INDEX($AH$2:$AH$1001,MATCH(ROWS($AF$2:AF316),$AF$2:$AF$1001,0),0), INDEX($AM$1004:$BM$1004,1,MATCH(COLUMNS($AM$1006:AT1006),$AM$1006:$BM$1006,0)))),"Fix")))</f>
        <v xml:space="preserve"> </v>
      </c>
      <c r="J316" s="4" t="str">
        <f ca="1">IF(OR(INDEX($AG$2:$AG$1001,MATCH(ROWS($AF$2:AF316),$AF$2:$AF$1001,0),1)&gt;=100000,INDEX($AM$1005:$BM$1005,1,MATCH(COLUMNS($AM$1006:AU1006),$AM$1006:$BM$1006,0))&gt;=100000), " ",IF(INDEX($AM$2:$BM$1001,MATCH(ROWS($AF$2:AF316),$AF$2:$AF$1001,0),MATCH(COLUMNS($AM$1006:AU1006),$AM$1006:$BM$1006,0)), HYPERLINK("#",""), HYPERLINK(CONCATENATE("#metadata!", ADDRESS(INDEX($AH$2:$AH$1001,MATCH(ROWS($AF$2:AF316),$AF$2:$AF$1001,0),0), INDEX($AM$1004:$BM$1004,1,MATCH(COLUMNS($AM$1006:AU1006),$AM$1006:$BM$1006,0)))),"Fix")))</f>
        <v xml:space="preserve"> </v>
      </c>
      <c r="K316" s="4" t="str">
        <f ca="1">IF(OR(INDEX($AG$2:$AG$1001,MATCH(ROWS($AF$2:AF316),$AF$2:$AF$1001,0),1)&gt;=100000,INDEX($AM$1005:$BM$1005,1,MATCH(COLUMNS($AM$1006:AV1006),$AM$1006:$BM$1006,0))&gt;=100000), " ",IF(INDEX($AM$2:$BM$1001,MATCH(ROWS($AF$2:AF316),$AF$2:$AF$1001,0),MATCH(COLUMNS($AM$1006:AV1006),$AM$1006:$BM$1006,0)), HYPERLINK("#",""), HYPERLINK(CONCATENATE("#metadata!", ADDRESS(INDEX($AH$2:$AH$1001,MATCH(ROWS($AF$2:AF316),$AF$2:$AF$1001,0),0), INDEX($AM$1004:$BM$1004,1,MATCH(COLUMNS($AM$1006:AV1006),$AM$1006:$BM$1006,0)))),"Fix")))</f>
        <v xml:space="preserve"> </v>
      </c>
      <c r="L316" s="4" t="str">
        <f ca="1">IF(OR(INDEX($AG$2:$AG$1001,MATCH(ROWS($AF$2:AF316),$AF$2:$AF$1001,0),1)&gt;=100000,INDEX($AM$1005:$BM$1005,1,MATCH(COLUMNS($AM$1006:AW1006),$AM$1006:$BM$1006,0))&gt;=100000), " ",IF(INDEX($AM$2:$BM$1001,MATCH(ROWS($AF$2:AF316),$AF$2:$AF$1001,0),MATCH(COLUMNS($AM$1006:AW1006),$AM$1006:$BM$1006,0)), HYPERLINK("#",""), HYPERLINK(CONCATENATE("#metadata!", ADDRESS(INDEX($AH$2:$AH$1001,MATCH(ROWS($AF$2:AF316),$AF$2:$AF$1001,0),0), INDEX($AM$1004:$BM$1004,1,MATCH(COLUMNS($AM$1006:AW1006),$AM$1006:$BM$1006,0)))),"Fix")))</f>
        <v xml:space="preserve"> </v>
      </c>
      <c r="M316" s="4" t="str">
        <f ca="1">IF(OR(INDEX($AG$2:$AG$1001,MATCH(ROWS($AF$2:AF316),$AF$2:$AF$1001,0),1)&gt;=100000,INDEX($AM$1005:$BM$1005,1,MATCH(COLUMNS($AM$1006:AX1006),$AM$1006:$BM$1006,0))&gt;=100000), " ",IF(INDEX($AM$2:$BM$1001,MATCH(ROWS($AF$2:AF316),$AF$2:$AF$1001,0),MATCH(COLUMNS($AM$1006:AX1006),$AM$1006:$BM$1006,0)), HYPERLINK("#",""), HYPERLINK(CONCATENATE("#metadata!", ADDRESS(INDEX($AH$2:$AH$1001,MATCH(ROWS($AF$2:AF316),$AF$2:$AF$1001,0),0), INDEX($AM$1004:$BM$1004,1,MATCH(COLUMNS($AM$1006:AX1006),$AM$1006:$BM$1006,0)))),"Fix")))</f>
        <v xml:space="preserve"> </v>
      </c>
      <c r="N316" s="4" t="str">
        <f ca="1">IF(OR(INDEX($AG$2:$AG$1001,MATCH(ROWS($AF$2:AF316),$AF$2:$AF$1001,0),1)&gt;=100000,INDEX($AM$1005:$BM$1005,1,MATCH(COLUMNS($AM$1006:AY1006),$AM$1006:$BM$1006,0))&gt;=100000), " ",IF(INDEX($AM$2:$BM$1001,MATCH(ROWS($AF$2:AF316),$AF$2:$AF$1001,0),MATCH(COLUMNS($AM$1006:AY1006),$AM$1006:$BM$1006,0)), HYPERLINK("#",""), HYPERLINK(CONCATENATE("#metadata!", ADDRESS(INDEX($AH$2:$AH$1001,MATCH(ROWS($AF$2:AF316),$AF$2:$AF$1001,0),0), INDEX($AM$1004:$BM$1004,1,MATCH(COLUMNS($AM$1006:AY1006),$AM$1006:$BM$1006,0)))),"Fix")))</f>
        <v xml:space="preserve"> </v>
      </c>
      <c r="O316" s="4" t="str">
        <f ca="1">IF(OR(INDEX($AG$2:$AG$1001,MATCH(ROWS($AF$2:AF316),$AF$2:$AF$1001,0),1)&gt;=100000,INDEX($AM$1005:$BM$1005,1,MATCH(COLUMNS($AM$1006:AZ1006),$AM$1006:$BM$1006,0))&gt;=100000), " ",IF(INDEX($AM$2:$BM$1001,MATCH(ROWS($AF$2:AF316),$AF$2:$AF$1001,0),MATCH(COLUMNS($AM$1006:AZ1006),$AM$1006:$BM$1006,0)), HYPERLINK("#",""), HYPERLINK(CONCATENATE("#metadata!", ADDRESS(INDEX($AH$2:$AH$1001,MATCH(ROWS($AF$2:AF316),$AF$2:$AF$1001,0),0), INDEX($AM$1004:$BM$1004,1,MATCH(COLUMNS($AM$1006:AZ1006),$AM$1006:$BM$1006,0)))),"Fix")))</f>
        <v xml:space="preserve"> </v>
      </c>
      <c r="P316" s="4" t="str">
        <f ca="1">IF(OR(INDEX($AG$2:$AG$1001,MATCH(ROWS($AF$2:AF316),$AF$2:$AF$1001,0),1)&gt;=100000,INDEX($AM$1005:$BM$1005,1,MATCH(COLUMNS($AM$1006:BA1006),$AM$1006:$BM$1006,0))&gt;=100000), " ",IF(INDEX($AM$2:$BM$1001,MATCH(ROWS($AF$2:AF316),$AF$2:$AF$1001,0),MATCH(COLUMNS($AM$1006:BA1006),$AM$1006:$BM$1006,0)), HYPERLINK("#",""), HYPERLINK(CONCATENATE("#metadata!", ADDRESS(INDEX($AH$2:$AH$1001,MATCH(ROWS($AF$2:AF316),$AF$2:$AF$1001,0),0), INDEX($AM$1004:$BM$1004,1,MATCH(COLUMNS($AM$1006:BA1006),$AM$1006:$BM$1006,0)))),"Fix")))</f>
        <v xml:space="preserve"> </v>
      </c>
      <c r="Q316" s="4" t="str">
        <f ca="1">IF(OR(INDEX($AG$2:$AG$1001,MATCH(ROWS($AF$2:AF316),$AF$2:$AF$1001,0),1)&gt;=100000,INDEX($AM$1005:$BM$1005,1,MATCH(COLUMNS($AM$1006:BB1006),$AM$1006:$BM$1006,0))&gt;=100000), " ",IF(INDEX($AM$2:$BM$1001,MATCH(ROWS($AF$2:AF316),$AF$2:$AF$1001,0),MATCH(COLUMNS($AM$1006:BB1006),$AM$1006:$BM$1006,0)), HYPERLINK("#",""), HYPERLINK(CONCATENATE("#metadata!", ADDRESS(INDEX($AH$2:$AH$1001,MATCH(ROWS($AF$2:AF316),$AF$2:$AF$1001,0),0), INDEX($AM$1004:$BM$1004,1,MATCH(COLUMNS($AM$1006:BB1006),$AM$1006:$BM$1006,0)))),"Fix")))</f>
        <v xml:space="preserve"> </v>
      </c>
      <c r="R316" s="4" t="str">
        <f ca="1">IF(OR(INDEX($AG$2:$AG$1001,MATCH(ROWS($AF$2:AF316),$AF$2:$AF$1001,0),1)&gt;=100000,INDEX($AM$1005:$BM$1005,1,MATCH(COLUMNS($AM$1006:BC1006),$AM$1006:$BM$1006,0))&gt;=100000), " ",IF(INDEX($AM$2:$BM$1001,MATCH(ROWS($AF$2:AF316),$AF$2:$AF$1001,0),MATCH(COLUMNS($AM$1006:BC1006),$AM$1006:$BM$1006,0)), HYPERLINK("#",""), HYPERLINK(CONCATENATE("#metadata!", ADDRESS(INDEX($AH$2:$AH$1001,MATCH(ROWS($AF$2:AF316),$AF$2:$AF$1001,0),0), INDEX($AM$1004:$BM$1004,1,MATCH(COLUMNS($AM$1006:BC1006),$AM$1006:$BM$1006,0)))),"Fix")))</f>
        <v xml:space="preserve"> </v>
      </c>
      <c r="S316" s="4" t="str">
        <f ca="1">IF(OR(INDEX($AG$2:$AG$1001,MATCH(ROWS($AF$2:AF316),$AF$2:$AF$1001,0),1)&gt;=100000,INDEX($AM$1005:$BM$1005,1,MATCH(COLUMNS($AM$1006:BD1006),$AM$1006:$BM$1006,0))&gt;=100000), " ",IF(INDEX($AM$2:$BM$1001,MATCH(ROWS($AF$2:AF316),$AF$2:$AF$1001,0),MATCH(COLUMNS($AM$1006:BD1006),$AM$1006:$BM$1006,0)), HYPERLINK("#",""), HYPERLINK(CONCATENATE("#metadata!", ADDRESS(INDEX($AH$2:$AH$1001,MATCH(ROWS($AF$2:AF316),$AF$2:$AF$1001,0),0), INDEX($AM$1004:$BM$1004,1,MATCH(COLUMNS($AM$1006:BD1006),$AM$1006:$BM$1006,0)))),"Fix")))</f>
        <v xml:space="preserve"> </v>
      </c>
      <c r="T316" s="4" t="str">
        <f ca="1">IF(OR(INDEX($AG$2:$AG$1001,MATCH(ROWS($AF$2:AF316),$AF$2:$AF$1001,0),1)&gt;=100000,INDEX($AM$1005:$BM$1005,1,MATCH(COLUMNS($AM$1006:BE1006),$AM$1006:$BM$1006,0))&gt;=100000), " ",IF(INDEX($AM$2:$BM$1001,MATCH(ROWS($AF$2:AF316),$AF$2:$AF$1001,0),MATCH(COLUMNS($AM$1006:BE1006),$AM$1006:$BM$1006,0)), HYPERLINK("#",""), HYPERLINK(CONCATENATE("#metadata!", ADDRESS(INDEX($AH$2:$AH$1001,MATCH(ROWS($AF$2:AF316),$AF$2:$AF$1001,0),0), INDEX($AM$1004:$BM$1004,1,MATCH(COLUMNS($AM$1006:BE1006),$AM$1006:$BM$1006,0)))),"Fix")))</f>
        <v xml:space="preserve"> </v>
      </c>
      <c r="U316" s="4" t="str">
        <f ca="1">IF(OR(INDEX($AG$2:$AG$1001,MATCH(ROWS($AF$2:AF316),$AF$2:$AF$1001,0),1)&gt;=100000,INDEX($AM$1005:$BM$1005,1,MATCH(COLUMNS($AM$1006:BF1006),$AM$1006:$BM$1006,0))&gt;=100000), " ",IF(INDEX($AM$2:$BM$1001,MATCH(ROWS($AF$2:AF316),$AF$2:$AF$1001,0),MATCH(COLUMNS($AM$1006:BF1006),$AM$1006:$BM$1006,0)), HYPERLINK("#",""), HYPERLINK(CONCATENATE("#metadata!", ADDRESS(INDEX($AH$2:$AH$1001,MATCH(ROWS($AF$2:AF316),$AF$2:$AF$1001,0),0), INDEX($AM$1004:$BM$1004,1,MATCH(COLUMNS($AM$1006:BF1006),$AM$1006:$BM$1006,0)))),"Fix")))</f>
        <v xml:space="preserve"> </v>
      </c>
      <c r="V316" s="4" t="str">
        <f ca="1">IF(OR(INDEX($AG$2:$AG$1001,MATCH(ROWS($AF$2:AF316),$AF$2:$AF$1001,0),1)&gt;=100000,INDEX($AM$1005:$BM$1005,1,MATCH(COLUMNS($AM$1006:BG1006),$AM$1006:$BM$1006,0))&gt;=100000), " ",IF(INDEX($AM$2:$BM$1001,MATCH(ROWS($AF$2:AF316),$AF$2:$AF$1001,0),MATCH(COLUMNS($AM$1006:BG1006),$AM$1006:$BM$1006,0)), HYPERLINK("#",""), HYPERLINK(CONCATENATE("#metadata!", ADDRESS(INDEX($AH$2:$AH$1001,MATCH(ROWS($AF$2:AF316),$AF$2:$AF$1001,0),0), INDEX($AM$1004:$BM$1004,1,MATCH(COLUMNS($AM$1006:BG1006),$AM$1006:$BM$1006,0)))),"Fix")))</f>
        <v xml:space="preserve"> </v>
      </c>
      <c r="W316" s="4" t="str">
        <f ca="1">IF(OR(INDEX($AG$2:$AG$1001,MATCH(ROWS($AF$2:AF316),$AF$2:$AF$1001,0),1)&gt;=100000,INDEX($AM$1005:$BM$1005,1,MATCH(COLUMNS($AM$1006:BH1006),$AM$1006:$BM$1006,0))&gt;=100000), " ",IF(INDEX($AM$2:$BM$1001,MATCH(ROWS($AF$2:AF316),$AF$2:$AF$1001,0),MATCH(COLUMNS($AM$1006:BH1006),$AM$1006:$BM$1006,0)), HYPERLINK("#",""), HYPERLINK(CONCATENATE("#metadata!", ADDRESS(INDEX($AH$2:$AH$1001,MATCH(ROWS($AF$2:AF316),$AF$2:$AF$1001,0),0), INDEX($AM$1004:$BM$1004,1,MATCH(COLUMNS($AM$1006:BH1006),$AM$1006:$BM$1006,0)))),"Fix")))</f>
        <v xml:space="preserve"> </v>
      </c>
      <c r="X316" s="4" t="str">
        <f ca="1">IF(OR(INDEX($AG$2:$AG$1001,MATCH(ROWS($AF$2:AF316),$AF$2:$AF$1001,0),1)&gt;=100000,INDEX($AM$1005:$BM$1005,1,MATCH(COLUMNS($AM$1006:BI1006),$AM$1006:$BM$1006,0))&gt;=100000), " ",IF(INDEX($AM$2:$BM$1001,MATCH(ROWS($AF$2:AF316),$AF$2:$AF$1001,0),MATCH(COLUMNS($AM$1006:BI1006),$AM$1006:$BM$1006,0)), HYPERLINK("#",""), HYPERLINK(CONCATENATE("#metadata!", ADDRESS(INDEX($AH$2:$AH$1001,MATCH(ROWS($AF$2:AF316),$AF$2:$AF$1001,0),0), INDEX($AM$1004:$BM$1004,1,MATCH(COLUMNS($AM$1006:BI1006),$AM$1006:$BM$1006,0)))),"Fix")))</f>
        <v xml:space="preserve"> </v>
      </c>
      <c r="Y316" s="4" t="str">
        <f ca="1">IF(OR(INDEX($AG$2:$AG$1001,MATCH(ROWS($AF$2:AF316),$AF$2:$AF$1001,0),1)&gt;=100000,INDEX($AM$1005:$BM$1005,1,MATCH(COLUMNS($AM$1006:BJ1006),$AM$1006:$BM$1006,0))&gt;=100000), " ",IF(INDEX($AM$2:$BM$1001,MATCH(ROWS($AF$2:AF316),$AF$2:$AF$1001,0),MATCH(COLUMNS($AM$1006:BJ1006),$AM$1006:$BM$1006,0)), HYPERLINK("#",""), HYPERLINK(CONCATENATE("#metadata!", ADDRESS(INDEX($AH$2:$AH$1001,MATCH(ROWS($AF$2:AF316),$AF$2:$AF$1001,0),0), INDEX($AM$1004:$BM$1004,1,MATCH(COLUMNS($AM$1006:BJ1006),$AM$1006:$BM$1006,0)))),"Fix")))</f>
        <v xml:space="preserve"> </v>
      </c>
      <c r="Z316" s="4" t="str">
        <f ca="1">IF(OR(INDEX($AG$2:$AG$1001,MATCH(ROWS($AF$2:AF316),$AF$2:$AF$1001,0),1)&gt;=100000,INDEX($AM$1005:$BM$1005,1,MATCH(COLUMNS($AM$1006:BK1006),$AM$1006:$BM$1006,0))&gt;=100000), " ",IF(INDEX($AM$2:$BM$1001,MATCH(ROWS($AF$2:AF316),$AF$2:$AF$1001,0),MATCH(COLUMNS($AM$1006:BK1006),$AM$1006:$BM$1006,0)), HYPERLINK("#",""), HYPERLINK(CONCATENATE("#metadata!", ADDRESS(INDEX($AH$2:$AH$1001,MATCH(ROWS($AF$2:AF316),$AF$2:$AF$1001,0),0), INDEX($AM$1004:$BM$1004,1,MATCH(COLUMNS($AM$1006:BK1006),$AM$1006:$BM$1006,0)))),"Fix")))</f>
        <v xml:space="preserve"> </v>
      </c>
      <c r="AA316" s="4" t="str">
        <f ca="1">IF(OR(INDEX($AG$2:$AG$1001,MATCH(ROWS($AF$2:AF316),$AF$2:$AF$1001,0),1)&gt;=100000,INDEX($AM$1005:$BM$1005,1,MATCH(COLUMNS($AM$1006:BL1006),$AM$1006:$BM$1006,0))&gt;=100000), " ",IF(INDEX($AM$2:$BM$1001,MATCH(ROWS($AF$2:AF316),$AF$2:$AF$1001,0),MATCH(COLUMNS($AM$1006:BL1006),$AM$1006:$BM$1006,0)), HYPERLINK("#",""), HYPERLINK(CONCATENATE("#metadata!", ADDRESS(INDEX($AH$2:$AH$1001,MATCH(ROWS($AF$2:AF316),$AF$2:$AF$1001,0),0), INDEX($AM$1004:$BM$1004,1,MATCH(COLUMNS($AM$1006:BL1006),$AM$1006:$BM$1006,0)))),"Fix")))</f>
        <v xml:space="preserve"> </v>
      </c>
      <c r="AB316" s="4" t="str">
        <f ca="1">IF(OR(INDEX($AG$2:$AG$1001,MATCH(ROWS($AF$2:AF316),$AF$2:$AF$1001,0),1)&gt;=100000,INDEX($AM$1005:$BM$1005,1,MATCH(COLUMNS($AM$1006:BM1006),$AM$1006:$BM$1006,0))&gt;=100000), " ",IF(INDEX($AM$2:$BM$1001,MATCH(ROWS($AF$2:AF316),$AF$2:$AF$1001,0),MATCH(COLUMNS($AM$1006:BM1006),$AM$1006:$BM$1006,0)), HYPERLINK("#",""), HYPERLINK(CONCATENATE("#metadata!", ADDRESS(INDEX($AH$2:$AH$1001,MATCH(ROWS($AF$2:AF316),$AF$2:$AF$1001,0),0), INDEX($AM$1004:$BM$1004,1,MATCH(COLUMNS($AM$1006:BM1006),$AM$1006:$BM$1006,0)))),"Fix")))</f>
        <v xml:space="preserve"> </v>
      </c>
      <c r="AF316">
        <v>315</v>
      </c>
      <c r="AG316">
        <v>100316</v>
      </c>
      <c r="AH316">
        <v>316</v>
      </c>
      <c r="AI316" t="b">
        <f t="shared" si="4"/>
        <v>1</v>
      </c>
      <c r="AJ316" t="b">
        <f>COUNTBLANK(metadata!B316:AB316)=COLUMNS(metadata!B316:AB316)</f>
        <v>1</v>
      </c>
      <c r="AK316" t="str">
        <v/>
      </c>
      <c r="AM316" t="b">
        <f ca="1">AND(IF(metadata!B316="",FALSE,TRUE),COUNTIF(metadata!B:B, metadata!B316) = 1,NOT(ISERROR(SUMPRODUCT(SEARCH(MID(metadata!B316,ROW(INDIRECT("1:"&amp;LEN(metadata!B316))), 1),"0123456789abcdefghijklmnopqrstuvwxyzABCDEFGHIJKLMNOPQRSTUVWXYZ.")))))</f>
        <v>0</v>
      </c>
      <c r="AN316" t="b">
        <f ca="1">OR(AND(IF(metadata!C316="",FALSE,TRUE),OR(EXACT(metadata!C316,"missing: not collected"),EXACT(metadata!C316,"missing: not provided"),EXACT(metadata!C316,"missing: restricted access"))),AND(IF(metadata!C316="",FALSE,TRUE),AND(AND(IFERROR(INT(LEFT(metadata!C316,4))&gt;1900,FALSE),IFERROR(INT(LEFT(metadata!C316,4))&lt;=YEAR(NOW()),FALSE)), OR(MID(metadata!C316,5,1)="", AND(AND(MID(metadata!C316,5,1)="-",IFERROR(INT(MID(metadata!C316,6,1))&gt;=0,FALSE),IFERROR(INT(MID(metadata!C316,6,1))&lt;=1,FALSE),NOT(MID(metadata!C316,7,1)=""),IFERROR(INT(MID(metadata!C316,6,2))&gt;=1,FALSE),IFERROR(INT(MID(metadata!C316,6,2))&lt;=12,FALSE)), OR(MID(metadata!C316,8,1)="", AND(AND(MID(metadata!C316,8,1)="-",IFERROR(INT(MID(metadata!C316,9,1))&gt;=0,FALSE),IFERROR(INT(MID(metadata!C316,9,1))&lt;=3,FALSE),NOT(MID(metadata!C316,10,1)=""),IFERROR(INT(MID(metadata!C316,9,2))&gt;=1,FALSE),IFERROR(INT(MID(metadata!C316,9,2))&lt;=31,FALSE)), OR(MID(metadata!C316,11,1)="", AND(AND(MID(metadata!C316,11,1)=" ",IFERROR(INT(MID(metadata!C316,12,1))&gt;=0,FALSE),IFERROR(INT(MID(metadata!C316,12,1))&lt;=2,FALSE),NOT(MID(metadata!C316,13,1)=""),IFERROR(INT(MID(metadata!C316,12,2))&gt;=0,FALSE),IFERROR(INT(MID(metadata!C316,12,2))&lt;=23,FALSE)), OR(MID(metadata!C316,14,1)="", AND(AND(MID(metadata!C316,14,1)=":",IFERROR(INT(MID(metadata!C316,15,1))&gt;=0,FALSE),IFERROR(INT(MID(metadata!C316,15,1))&lt;=5,FALSE),NOT(MID(metadata!C316,16,1)=""),IFERROR(INT(MID(metadata!C316,15,2))&gt;=0,FALSE),IFERROR(INT(MID(metadata!C316,15,2))&lt;=59,FALSE)), OR(MID(metadata!C316,17,1)="", AND(AND(MID(metadata!C316,17,1)=":",IFERROR(INT(MID(metadata!C316,18,1))&gt;=0,FALSE),IFERROR(INT(MID(metadata!C316,18,1))&lt;=5,FALSE),NOT(MID(metadata!C316,19,1)=""),IFERROR(INT(MID(metadata!C316,18,2))&gt;=0,FALSE),IFERROR(INT(MID(metadata!C316,18,2))&lt;=59,FALSE)), LEN(metadata!C316)&lt;=19)))))))))))))</f>
        <v>0</v>
      </c>
      <c r="AO316" t="b">
        <f>AND(IF(metadata!D316="",FALSE,TRUE),EXACT(metadata!D316,"Not applicable"))</f>
        <v>0</v>
      </c>
      <c r="AP316" t="b">
        <f>IF(metadata!E316="",FALSE,TRUE)</f>
        <v>0</v>
      </c>
      <c r="AQ316" t="b">
        <f>OR(AND(IF(metadata!F316="",FALSE,TRUE),OR(EXACT(metadata!F316,"missing: not collected"),EXACT(metadata!F316,"missing: not provided"))),AND(IF(metadata!F316="",FALSE,TRUE),OR(EXACT(metadata!F316,"TRUE"),EXACT(metadata!F316,"FALSE"))))</f>
        <v>0</v>
      </c>
      <c r="AR316" t="b">
        <f>OR(AND(IF(metadata!G316="",FALSE,TRUE),OR(EXACT(metadata!G316,"missing: not collected"),EXACT(metadata!G316,"missing: not provided"),EXACT(metadata!G316,"missing: restricted access"))),AND(IF(metadata!G316="",FALSE,ISNUMBER(VALUE(metadata!G316))),metadata!G316&gt;=-413))</f>
        <v>0</v>
      </c>
      <c r="AS316" t="b">
        <f>AND(IF(metadata!H316="",FALSE,TRUE),EXACT(metadata!H316,"meters"))</f>
        <v>0</v>
      </c>
      <c r="AT316" t="b">
        <f>AND(IF(metadata!I316="",FALSE,TRUE),OR(EXACT(metadata!I316,"Host-associated"),EXACT(metadata!I316,"Free-living")))</f>
        <v>0</v>
      </c>
      <c r="AU316" t="b">
        <f>AND(IF(metadata!J316="",FALSE,TRUE),OR(EXACT(metadata!J316,"Animal"),EXACT(metadata!J316,"Fungus"),EXACT(metadata!J316,"Plant"),EXACT(metadata!J316,"Saline"),EXACT(metadata!J316,"Non-saline")))</f>
        <v>0</v>
      </c>
      <c r="AV316" t="b">
        <f>AND(IF(metadata!K316="",FALSE,TRUE),OR(EXACT(metadata!K316,"Plant secretion"),EXACT(metadata!K316,"Plant rhizosphere"),EXACT(metadata!K316,"Plant surface"),EXACT(metadata!K316,"Plant corpus"),EXACT(metadata!K316,"Fungus surface"),EXACT(metadata!K316,"Fungus corpus"),EXACT(metadata!K316,"Animal surface"),EXACT(metadata!K316,"Animal proximal gut"),EXACT(metadata!K316,"Animal corpus"),EXACT(metadata!K316,"Animal distal gut"),EXACT(metadata!K316,"Animal secretion"),EXACT(metadata!K316,"Sub-surface (non-saline)"),EXACT(metadata!K316,"Surface (non-saline)"),EXACT(metadata!K316,"Water (non-saline)"),EXACT(metadata!K316,"Soil (non-saline)"),EXACT(metadata!K316,"Aerosol (non-saline)"),EXACT(metadata!K316,"Sediment (non-saline)"),EXACT(metadata!K316,"Surface (saline)"),EXACT(metadata!K316,"Water (saline)"),EXACT(metadata!K316,"Hypersaline (saline)"),EXACT(metadata!K316,"Aerosol (saline)"),EXACT(metadata!K316,"Sediment (saline)")))</f>
        <v>0</v>
      </c>
      <c r="AW316" t="b">
        <f>IF(metadata!L316="",FALSE,TRUE)</f>
        <v>0</v>
      </c>
      <c r="AX316" t="b">
        <f>IF(metadata!M316="",FALSE,TRUE)</f>
        <v>0</v>
      </c>
      <c r="AY316" t="b">
        <f>IF(metadata!N316="",FALSE,TRUE)</f>
        <v>0</v>
      </c>
      <c r="AZ316" t="b">
        <f>OR(AND(IF(metadata!O316="",FALSE,TRUE),OR(EXACT(metadata!O316,"missing: not collected"),EXACT(metadata!O316,"missing: not provided"),EXACT(metadata!O316,"missing: restricted access"))),AND(IF(metadata!O316="",FALSE,TRUE),OR(EXACT(metadata!O316,"air"),EXACT(metadata!O316,"built environment"),EXACT(metadata!O316,"host-associated"),EXACT(metadata!O316,"human-associated"),EXACT(metadata!O316,"human-skin"),EXACT(metadata!O316,"human-oral"),EXACT(metadata!O316,"human-gut"),EXACT(metadata!O316,"human-vaginal"),EXACT(metadata!O316,"microbial mat/biofilm"),EXACT(metadata!O316,"misc environment"),EXACT(metadata!O316,"plant-associated"),EXACT(metadata!O316,"sediment"),EXACT(metadata!O316,"soil"),EXACT(metadata!O316,"wastewater/sludge"),EXACT(metadata!O316,"water"))))</f>
        <v>0</v>
      </c>
      <c r="BA316" t="b">
        <f>IF(metadata!P316="",FALSE,TRUE)</f>
        <v>0</v>
      </c>
      <c r="BB316" t="b">
        <f>IF(metadata!Q316="",FALSE,TRUE)</f>
        <v>0</v>
      </c>
      <c r="BC316" t="b">
        <f>OR(AND(IF(metadata!R316="",FALSE,TRUE),OR(EXACT(metadata!R316,"missing: not collected"),EXACT(metadata!R316,"missing: not provided"),EXACT(metadata!R316,"missing: restricted access"))),AND(IF(metadata!R316="",FALSE,ISNUMBER(VALUE(metadata!R316))),metadata!R316&gt;=-90,metadata!R316&lt;=90))</f>
        <v>0</v>
      </c>
      <c r="BD316" t="b">
        <f>AND(IF(metadata!S316="",FALSE,TRUE),EXACT(metadata!S316,"Decimal degrees"))</f>
        <v>0</v>
      </c>
      <c r="BE316" t="b">
        <f>OR(AND(IF(metadata!T316="",FALSE,TRUE),OR(EXACT(metadata!T316,"missing: not collected"),EXACT(metadata!T316,"missing: not provided"),EXACT(metadata!T316,"missing: restricted access"))),AND(IF(metadata!T316="",FALSE,ISNUMBER(VALUE(metadata!T316))),metadata!T316&gt;=-180,metadata!T316&lt;=180))</f>
        <v>0</v>
      </c>
      <c r="BF316" t="b">
        <f>AND(IF(metadata!U316="",FALSE,TRUE),EXACT(metadata!U316,"Decimal degrees"))</f>
        <v>0</v>
      </c>
      <c r="BG316" t="b">
        <f>IF(metadata!V316="",FALSE,TRUE)</f>
        <v>0</v>
      </c>
      <c r="BH316" t="b">
        <f>OR(AND(IF(metadata!W316="",FALSE,TRUE),OR(EXACT(metadata!W316,"missing: not collected"),EXACT(metadata!W316,"missing: not provided"),EXACT(metadata!W316,"missing: restricted access"))),AND(IF(metadata!W316="",FALSE,TRUE),OR(EXACT(metadata!W316,"TRUE"),EXACT(metadata!W316,"FALSE"))))</f>
        <v>0</v>
      </c>
      <c r="BI316" t="b">
        <f>AND(IF(metadata!X316="",FALSE,TRUE),EXACT(metadata!X316,"other"))</f>
        <v>0</v>
      </c>
      <c r="BJ316" t="b">
        <f>IF(metadata!Y316="",FALSE,TRUE)</f>
        <v>0</v>
      </c>
      <c r="BK316" t="b">
        <f>OR(AND(IF(metadata!Z316="",FALSE,TRUE),OR(EXACT(metadata!Z316,"missing: not collected"),EXACT(metadata!Z316,"missing: not provided"))),AND(IF(metadata!Z316="",FALSE,IF(ISERROR(INT(metadata!Z316)),FALSE,INT(metadata!Z316)=metadata!Z316)),metadata!Z316&gt;0))</f>
        <v>0</v>
      </c>
      <c r="BL316" t="b">
        <f>AND(IF(metadata!AA316="",FALSE,TRUE),EXACT(metadata!AA316,"Not applicable"))</f>
        <v>0</v>
      </c>
      <c r="BM316" t="b">
        <f>IF(metadata!AB316="",FALSE,TRUE)</f>
        <v>0</v>
      </c>
    </row>
    <row r="317" spans="1:65" x14ac:dyDescent="0.2">
      <c r="A317" s="5" t="str">
        <f ca="1">IF(B317=" "," ",HYPERLINK(CONCATENATE("#metadata!",ADDRESS(INDEX($AH$2:$AH$1001,MATCH(ROWS($AF$2:AF317),$AF$2:$AF$1001,0),0),1)),INDEX($AK$2:$AK$1001,MATCH(ROWS($AF$2:AF317),$AF$2:$AF$1001,0),0)))</f>
        <v xml:space="preserve"> </v>
      </c>
      <c r="B317" s="4" t="str">
        <f ca="1">IF(OR(INDEX($AG$2:$AG$1001,MATCH(ROWS($AF$2:AF317),$AF$2:$AF$1001,0),1)&gt;=100000,INDEX($AM$1005:$BM$1005,1,MATCH(COLUMNS($AM$1006:AM1006),$AM$1006:$BM$1006,0))&gt;=100000), " ",IF(INDEX($AM$2:$BM$1001,MATCH(ROWS($AF$2:AF317),$AF$2:$AF$1001,0),MATCH(COLUMNS($AM$1006:AM1006),$AM$1006:$BM$1006,0)), HYPERLINK("#",""), HYPERLINK(CONCATENATE("#metadata!", ADDRESS(INDEX($AH$2:$AH$1001,MATCH(ROWS($AF$2:AF317),$AF$2:$AF$1001,0),0), INDEX($AM$1004:$BM$1004,1,MATCH(COLUMNS($AM$1006:AM1006),$AM$1006:$BM$1006,0)))),"Fix")))</f>
        <v xml:space="preserve"> </v>
      </c>
      <c r="C317" s="4" t="str">
        <f ca="1">IF(OR(INDEX($AG$2:$AG$1001,MATCH(ROWS($AF$2:AF317),$AF$2:$AF$1001,0),1)&gt;=100000,INDEX($AM$1005:$BM$1005,1,MATCH(COLUMNS($AM$1006:AN1006),$AM$1006:$BM$1006,0))&gt;=100000), " ",IF(INDEX($AM$2:$BM$1001,MATCH(ROWS($AF$2:AF317),$AF$2:$AF$1001,0),MATCH(COLUMNS($AM$1006:AN1006),$AM$1006:$BM$1006,0)), HYPERLINK("#",""), HYPERLINK(CONCATENATE("#metadata!", ADDRESS(INDEX($AH$2:$AH$1001,MATCH(ROWS($AF$2:AF317),$AF$2:$AF$1001,0),0), INDEX($AM$1004:$BM$1004,1,MATCH(COLUMNS($AM$1006:AN1006),$AM$1006:$BM$1006,0)))),"Fix")))</f>
        <v xml:space="preserve"> </v>
      </c>
      <c r="D317" s="4" t="str">
        <f ca="1">IF(OR(INDEX($AG$2:$AG$1001,MATCH(ROWS($AF$2:AF317),$AF$2:$AF$1001,0),1)&gt;=100000,INDEX($AM$1005:$BM$1005,1,MATCH(COLUMNS($AM$1006:AO1006),$AM$1006:$BM$1006,0))&gt;=100000), " ",IF(INDEX($AM$2:$BM$1001,MATCH(ROWS($AF$2:AF317),$AF$2:$AF$1001,0),MATCH(COLUMNS($AM$1006:AO1006),$AM$1006:$BM$1006,0)), HYPERLINK("#",""), HYPERLINK(CONCATENATE("#metadata!", ADDRESS(INDEX($AH$2:$AH$1001,MATCH(ROWS($AF$2:AF317),$AF$2:$AF$1001,0),0), INDEX($AM$1004:$BM$1004,1,MATCH(COLUMNS($AM$1006:AO1006),$AM$1006:$BM$1006,0)))),"Fix")))</f>
        <v xml:space="preserve"> </v>
      </c>
      <c r="E317" s="4" t="str">
        <f ca="1">IF(OR(INDEX($AG$2:$AG$1001,MATCH(ROWS($AF$2:AF317),$AF$2:$AF$1001,0),1)&gt;=100000,INDEX($AM$1005:$BM$1005,1,MATCH(COLUMNS($AM$1006:AP1006),$AM$1006:$BM$1006,0))&gt;=100000), " ",IF(INDEX($AM$2:$BM$1001,MATCH(ROWS($AF$2:AF317),$AF$2:$AF$1001,0),MATCH(COLUMNS($AM$1006:AP1006),$AM$1006:$BM$1006,0)), HYPERLINK("#",""), HYPERLINK(CONCATENATE("#metadata!", ADDRESS(INDEX($AH$2:$AH$1001,MATCH(ROWS($AF$2:AF317),$AF$2:$AF$1001,0),0), INDEX($AM$1004:$BM$1004,1,MATCH(COLUMNS($AM$1006:AP1006),$AM$1006:$BM$1006,0)))),"Fix")))</f>
        <v xml:space="preserve"> </v>
      </c>
      <c r="F317" s="4" t="str">
        <f ca="1">IF(OR(INDEX($AG$2:$AG$1001,MATCH(ROWS($AF$2:AF317),$AF$2:$AF$1001,0),1)&gt;=100000,INDEX($AM$1005:$BM$1005,1,MATCH(COLUMNS($AM$1006:AQ1006),$AM$1006:$BM$1006,0))&gt;=100000), " ",IF(INDEX($AM$2:$BM$1001,MATCH(ROWS($AF$2:AF317),$AF$2:$AF$1001,0),MATCH(COLUMNS($AM$1006:AQ1006),$AM$1006:$BM$1006,0)), HYPERLINK("#",""), HYPERLINK(CONCATENATE("#metadata!", ADDRESS(INDEX($AH$2:$AH$1001,MATCH(ROWS($AF$2:AF317),$AF$2:$AF$1001,0),0), INDEX($AM$1004:$BM$1004,1,MATCH(COLUMNS($AM$1006:AQ1006),$AM$1006:$BM$1006,0)))),"Fix")))</f>
        <v xml:space="preserve"> </v>
      </c>
      <c r="G317" s="4" t="str">
        <f ca="1">IF(OR(INDEX($AG$2:$AG$1001,MATCH(ROWS($AF$2:AF317),$AF$2:$AF$1001,0),1)&gt;=100000,INDEX($AM$1005:$BM$1005,1,MATCH(COLUMNS($AM$1006:AR1006),$AM$1006:$BM$1006,0))&gt;=100000), " ",IF(INDEX($AM$2:$BM$1001,MATCH(ROWS($AF$2:AF317),$AF$2:$AF$1001,0),MATCH(COLUMNS($AM$1006:AR1006),$AM$1006:$BM$1006,0)), HYPERLINK("#",""), HYPERLINK(CONCATENATE("#metadata!", ADDRESS(INDEX($AH$2:$AH$1001,MATCH(ROWS($AF$2:AF317),$AF$2:$AF$1001,0),0), INDEX($AM$1004:$BM$1004,1,MATCH(COLUMNS($AM$1006:AR1006),$AM$1006:$BM$1006,0)))),"Fix")))</f>
        <v xml:space="preserve"> </v>
      </c>
      <c r="H317" s="4" t="str">
        <f ca="1">IF(OR(INDEX($AG$2:$AG$1001,MATCH(ROWS($AF$2:AF317),$AF$2:$AF$1001,0),1)&gt;=100000,INDEX($AM$1005:$BM$1005,1,MATCH(COLUMNS($AM$1006:AS1006),$AM$1006:$BM$1006,0))&gt;=100000), " ",IF(INDEX($AM$2:$BM$1001,MATCH(ROWS($AF$2:AF317),$AF$2:$AF$1001,0),MATCH(COLUMNS($AM$1006:AS1006),$AM$1006:$BM$1006,0)), HYPERLINK("#",""), HYPERLINK(CONCATENATE("#metadata!", ADDRESS(INDEX($AH$2:$AH$1001,MATCH(ROWS($AF$2:AF317),$AF$2:$AF$1001,0),0), INDEX($AM$1004:$BM$1004,1,MATCH(COLUMNS($AM$1006:AS1006),$AM$1006:$BM$1006,0)))),"Fix")))</f>
        <v xml:space="preserve"> </v>
      </c>
      <c r="I317" s="4" t="str">
        <f ca="1">IF(OR(INDEX($AG$2:$AG$1001,MATCH(ROWS($AF$2:AF317),$AF$2:$AF$1001,0),1)&gt;=100000,INDEX($AM$1005:$BM$1005,1,MATCH(COLUMNS($AM$1006:AT1006),$AM$1006:$BM$1006,0))&gt;=100000), " ",IF(INDEX($AM$2:$BM$1001,MATCH(ROWS($AF$2:AF317),$AF$2:$AF$1001,0),MATCH(COLUMNS($AM$1006:AT1006),$AM$1006:$BM$1006,0)), HYPERLINK("#",""), HYPERLINK(CONCATENATE("#metadata!", ADDRESS(INDEX($AH$2:$AH$1001,MATCH(ROWS($AF$2:AF317),$AF$2:$AF$1001,0),0), INDEX($AM$1004:$BM$1004,1,MATCH(COLUMNS($AM$1006:AT1006),$AM$1006:$BM$1006,0)))),"Fix")))</f>
        <v xml:space="preserve"> </v>
      </c>
      <c r="J317" s="4" t="str">
        <f ca="1">IF(OR(INDEX($AG$2:$AG$1001,MATCH(ROWS($AF$2:AF317),$AF$2:$AF$1001,0),1)&gt;=100000,INDEX($AM$1005:$BM$1005,1,MATCH(COLUMNS($AM$1006:AU1006),$AM$1006:$BM$1006,0))&gt;=100000), " ",IF(INDEX($AM$2:$BM$1001,MATCH(ROWS($AF$2:AF317),$AF$2:$AF$1001,0),MATCH(COLUMNS($AM$1006:AU1006),$AM$1006:$BM$1006,0)), HYPERLINK("#",""), HYPERLINK(CONCATENATE("#metadata!", ADDRESS(INDEX($AH$2:$AH$1001,MATCH(ROWS($AF$2:AF317),$AF$2:$AF$1001,0),0), INDEX($AM$1004:$BM$1004,1,MATCH(COLUMNS($AM$1006:AU1006),$AM$1006:$BM$1006,0)))),"Fix")))</f>
        <v xml:space="preserve"> </v>
      </c>
      <c r="K317" s="4" t="str">
        <f ca="1">IF(OR(INDEX($AG$2:$AG$1001,MATCH(ROWS($AF$2:AF317),$AF$2:$AF$1001,0),1)&gt;=100000,INDEX($AM$1005:$BM$1005,1,MATCH(COLUMNS($AM$1006:AV1006),$AM$1006:$BM$1006,0))&gt;=100000), " ",IF(INDEX($AM$2:$BM$1001,MATCH(ROWS($AF$2:AF317),$AF$2:$AF$1001,0),MATCH(COLUMNS($AM$1006:AV1006),$AM$1006:$BM$1006,0)), HYPERLINK("#",""), HYPERLINK(CONCATENATE("#metadata!", ADDRESS(INDEX($AH$2:$AH$1001,MATCH(ROWS($AF$2:AF317),$AF$2:$AF$1001,0),0), INDEX($AM$1004:$BM$1004,1,MATCH(COLUMNS($AM$1006:AV1006),$AM$1006:$BM$1006,0)))),"Fix")))</f>
        <v xml:space="preserve"> </v>
      </c>
      <c r="L317" s="4" t="str">
        <f ca="1">IF(OR(INDEX($AG$2:$AG$1001,MATCH(ROWS($AF$2:AF317),$AF$2:$AF$1001,0),1)&gt;=100000,INDEX($AM$1005:$BM$1005,1,MATCH(COLUMNS($AM$1006:AW1006),$AM$1006:$BM$1006,0))&gt;=100000), " ",IF(INDEX($AM$2:$BM$1001,MATCH(ROWS($AF$2:AF317),$AF$2:$AF$1001,0),MATCH(COLUMNS($AM$1006:AW1006),$AM$1006:$BM$1006,0)), HYPERLINK("#",""), HYPERLINK(CONCATENATE("#metadata!", ADDRESS(INDEX($AH$2:$AH$1001,MATCH(ROWS($AF$2:AF317),$AF$2:$AF$1001,0),0), INDEX($AM$1004:$BM$1004,1,MATCH(COLUMNS($AM$1006:AW1006),$AM$1006:$BM$1006,0)))),"Fix")))</f>
        <v xml:space="preserve"> </v>
      </c>
      <c r="M317" s="4" t="str">
        <f ca="1">IF(OR(INDEX($AG$2:$AG$1001,MATCH(ROWS($AF$2:AF317),$AF$2:$AF$1001,0),1)&gt;=100000,INDEX($AM$1005:$BM$1005,1,MATCH(COLUMNS($AM$1006:AX1006),$AM$1006:$BM$1006,0))&gt;=100000), " ",IF(INDEX($AM$2:$BM$1001,MATCH(ROWS($AF$2:AF317),$AF$2:$AF$1001,0),MATCH(COLUMNS($AM$1006:AX1006),$AM$1006:$BM$1006,0)), HYPERLINK("#",""), HYPERLINK(CONCATENATE("#metadata!", ADDRESS(INDEX($AH$2:$AH$1001,MATCH(ROWS($AF$2:AF317),$AF$2:$AF$1001,0),0), INDEX($AM$1004:$BM$1004,1,MATCH(COLUMNS($AM$1006:AX1006),$AM$1006:$BM$1006,0)))),"Fix")))</f>
        <v xml:space="preserve"> </v>
      </c>
      <c r="N317" s="4" t="str">
        <f ca="1">IF(OR(INDEX($AG$2:$AG$1001,MATCH(ROWS($AF$2:AF317),$AF$2:$AF$1001,0),1)&gt;=100000,INDEX($AM$1005:$BM$1005,1,MATCH(COLUMNS($AM$1006:AY1006),$AM$1006:$BM$1006,0))&gt;=100000), " ",IF(INDEX($AM$2:$BM$1001,MATCH(ROWS($AF$2:AF317),$AF$2:$AF$1001,0),MATCH(COLUMNS($AM$1006:AY1006),$AM$1006:$BM$1006,0)), HYPERLINK("#",""), HYPERLINK(CONCATENATE("#metadata!", ADDRESS(INDEX($AH$2:$AH$1001,MATCH(ROWS($AF$2:AF317),$AF$2:$AF$1001,0),0), INDEX($AM$1004:$BM$1004,1,MATCH(COLUMNS($AM$1006:AY1006),$AM$1006:$BM$1006,0)))),"Fix")))</f>
        <v xml:space="preserve"> </v>
      </c>
      <c r="O317" s="4" t="str">
        <f ca="1">IF(OR(INDEX($AG$2:$AG$1001,MATCH(ROWS($AF$2:AF317),$AF$2:$AF$1001,0),1)&gt;=100000,INDEX($AM$1005:$BM$1005,1,MATCH(COLUMNS($AM$1006:AZ1006),$AM$1006:$BM$1006,0))&gt;=100000), " ",IF(INDEX($AM$2:$BM$1001,MATCH(ROWS($AF$2:AF317),$AF$2:$AF$1001,0),MATCH(COLUMNS($AM$1006:AZ1006),$AM$1006:$BM$1006,0)), HYPERLINK("#",""), HYPERLINK(CONCATENATE("#metadata!", ADDRESS(INDEX($AH$2:$AH$1001,MATCH(ROWS($AF$2:AF317),$AF$2:$AF$1001,0),0), INDEX($AM$1004:$BM$1004,1,MATCH(COLUMNS($AM$1006:AZ1006),$AM$1006:$BM$1006,0)))),"Fix")))</f>
        <v xml:space="preserve"> </v>
      </c>
      <c r="P317" s="4" t="str">
        <f ca="1">IF(OR(INDEX($AG$2:$AG$1001,MATCH(ROWS($AF$2:AF317),$AF$2:$AF$1001,0),1)&gt;=100000,INDEX($AM$1005:$BM$1005,1,MATCH(COLUMNS($AM$1006:BA1006),$AM$1006:$BM$1006,0))&gt;=100000), " ",IF(INDEX($AM$2:$BM$1001,MATCH(ROWS($AF$2:AF317),$AF$2:$AF$1001,0),MATCH(COLUMNS($AM$1006:BA1006),$AM$1006:$BM$1006,0)), HYPERLINK("#",""), HYPERLINK(CONCATENATE("#metadata!", ADDRESS(INDEX($AH$2:$AH$1001,MATCH(ROWS($AF$2:AF317),$AF$2:$AF$1001,0),0), INDEX($AM$1004:$BM$1004,1,MATCH(COLUMNS($AM$1006:BA1006),$AM$1006:$BM$1006,0)))),"Fix")))</f>
        <v xml:space="preserve"> </v>
      </c>
      <c r="Q317" s="4" t="str">
        <f ca="1">IF(OR(INDEX($AG$2:$AG$1001,MATCH(ROWS($AF$2:AF317),$AF$2:$AF$1001,0),1)&gt;=100000,INDEX($AM$1005:$BM$1005,1,MATCH(COLUMNS($AM$1006:BB1006),$AM$1006:$BM$1006,0))&gt;=100000), " ",IF(INDEX($AM$2:$BM$1001,MATCH(ROWS($AF$2:AF317),$AF$2:$AF$1001,0),MATCH(COLUMNS($AM$1006:BB1006),$AM$1006:$BM$1006,0)), HYPERLINK("#",""), HYPERLINK(CONCATENATE("#metadata!", ADDRESS(INDEX($AH$2:$AH$1001,MATCH(ROWS($AF$2:AF317),$AF$2:$AF$1001,0),0), INDEX($AM$1004:$BM$1004,1,MATCH(COLUMNS($AM$1006:BB1006),$AM$1006:$BM$1006,0)))),"Fix")))</f>
        <v xml:space="preserve"> </v>
      </c>
      <c r="R317" s="4" t="str">
        <f ca="1">IF(OR(INDEX($AG$2:$AG$1001,MATCH(ROWS($AF$2:AF317),$AF$2:$AF$1001,0),1)&gt;=100000,INDEX($AM$1005:$BM$1005,1,MATCH(COLUMNS($AM$1006:BC1006),$AM$1006:$BM$1006,0))&gt;=100000), " ",IF(INDEX($AM$2:$BM$1001,MATCH(ROWS($AF$2:AF317),$AF$2:$AF$1001,0),MATCH(COLUMNS($AM$1006:BC1006),$AM$1006:$BM$1006,0)), HYPERLINK("#",""), HYPERLINK(CONCATENATE("#metadata!", ADDRESS(INDEX($AH$2:$AH$1001,MATCH(ROWS($AF$2:AF317),$AF$2:$AF$1001,0),0), INDEX($AM$1004:$BM$1004,1,MATCH(COLUMNS($AM$1006:BC1006),$AM$1006:$BM$1006,0)))),"Fix")))</f>
        <v xml:space="preserve"> </v>
      </c>
      <c r="S317" s="4" t="str">
        <f ca="1">IF(OR(INDEX($AG$2:$AG$1001,MATCH(ROWS($AF$2:AF317),$AF$2:$AF$1001,0),1)&gt;=100000,INDEX($AM$1005:$BM$1005,1,MATCH(COLUMNS($AM$1006:BD1006),$AM$1006:$BM$1006,0))&gt;=100000), " ",IF(INDEX($AM$2:$BM$1001,MATCH(ROWS($AF$2:AF317),$AF$2:$AF$1001,0),MATCH(COLUMNS($AM$1006:BD1006),$AM$1006:$BM$1006,0)), HYPERLINK("#",""), HYPERLINK(CONCATENATE("#metadata!", ADDRESS(INDEX($AH$2:$AH$1001,MATCH(ROWS($AF$2:AF317),$AF$2:$AF$1001,0),0), INDEX($AM$1004:$BM$1004,1,MATCH(COLUMNS($AM$1006:BD1006),$AM$1006:$BM$1006,0)))),"Fix")))</f>
        <v xml:space="preserve"> </v>
      </c>
      <c r="T317" s="4" t="str">
        <f ca="1">IF(OR(INDEX($AG$2:$AG$1001,MATCH(ROWS($AF$2:AF317),$AF$2:$AF$1001,0),1)&gt;=100000,INDEX($AM$1005:$BM$1005,1,MATCH(COLUMNS($AM$1006:BE1006),$AM$1006:$BM$1006,0))&gt;=100000), " ",IF(INDEX($AM$2:$BM$1001,MATCH(ROWS($AF$2:AF317),$AF$2:$AF$1001,0),MATCH(COLUMNS($AM$1006:BE1006),$AM$1006:$BM$1006,0)), HYPERLINK("#",""), HYPERLINK(CONCATENATE("#metadata!", ADDRESS(INDEX($AH$2:$AH$1001,MATCH(ROWS($AF$2:AF317),$AF$2:$AF$1001,0),0), INDEX($AM$1004:$BM$1004,1,MATCH(COLUMNS($AM$1006:BE1006),$AM$1006:$BM$1006,0)))),"Fix")))</f>
        <v xml:space="preserve"> </v>
      </c>
      <c r="U317" s="4" t="str">
        <f ca="1">IF(OR(INDEX($AG$2:$AG$1001,MATCH(ROWS($AF$2:AF317),$AF$2:$AF$1001,0),1)&gt;=100000,INDEX($AM$1005:$BM$1005,1,MATCH(COLUMNS($AM$1006:BF1006),$AM$1006:$BM$1006,0))&gt;=100000), " ",IF(INDEX($AM$2:$BM$1001,MATCH(ROWS($AF$2:AF317),$AF$2:$AF$1001,0),MATCH(COLUMNS($AM$1006:BF1006),$AM$1006:$BM$1006,0)), HYPERLINK("#",""), HYPERLINK(CONCATENATE("#metadata!", ADDRESS(INDEX($AH$2:$AH$1001,MATCH(ROWS($AF$2:AF317),$AF$2:$AF$1001,0),0), INDEX($AM$1004:$BM$1004,1,MATCH(COLUMNS($AM$1006:BF1006),$AM$1006:$BM$1006,0)))),"Fix")))</f>
        <v xml:space="preserve"> </v>
      </c>
      <c r="V317" s="4" t="str">
        <f ca="1">IF(OR(INDEX($AG$2:$AG$1001,MATCH(ROWS($AF$2:AF317),$AF$2:$AF$1001,0),1)&gt;=100000,INDEX($AM$1005:$BM$1005,1,MATCH(COLUMNS($AM$1006:BG1006),$AM$1006:$BM$1006,0))&gt;=100000), " ",IF(INDEX($AM$2:$BM$1001,MATCH(ROWS($AF$2:AF317),$AF$2:$AF$1001,0),MATCH(COLUMNS($AM$1006:BG1006),$AM$1006:$BM$1006,0)), HYPERLINK("#",""), HYPERLINK(CONCATENATE("#metadata!", ADDRESS(INDEX($AH$2:$AH$1001,MATCH(ROWS($AF$2:AF317),$AF$2:$AF$1001,0),0), INDEX($AM$1004:$BM$1004,1,MATCH(COLUMNS($AM$1006:BG1006),$AM$1006:$BM$1006,0)))),"Fix")))</f>
        <v xml:space="preserve"> </v>
      </c>
      <c r="W317" s="4" t="str">
        <f ca="1">IF(OR(INDEX($AG$2:$AG$1001,MATCH(ROWS($AF$2:AF317),$AF$2:$AF$1001,0),1)&gt;=100000,INDEX($AM$1005:$BM$1005,1,MATCH(COLUMNS($AM$1006:BH1006),$AM$1006:$BM$1006,0))&gt;=100000), " ",IF(INDEX($AM$2:$BM$1001,MATCH(ROWS($AF$2:AF317),$AF$2:$AF$1001,0),MATCH(COLUMNS($AM$1006:BH1006),$AM$1006:$BM$1006,0)), HYPERLINK("#",""), HYPERLINK(CONCATENATE("#metadata!", ADDRESS(INDEX($AH$2:$AH$1001,MATCH(ROWS($AF$2:AF317),$AF$2:$AF$1001,0),0), INDEX($AM$1004:$BM$1004,1,MATCH(COLUMNS($AM$1006:BH1006),$AM$1006:$BM$1006,0)))),"Fix")))</f>
        <v xml:space="preserve"> </v>
      </c>
      <c r="X317" s="4" t="str">
        <f ca="1">IF(OR(INDEX($AG$2:$AG$1001,MATCH(ROWS($AF$2:AF317),$AF$2:$AF$1001,0),1)&gt;=100000,INDEX($AM$1005:$BM$1005,1,MATCH(COLUMNS($AM$1006:BI1006),$AM$1006:$BM$1006,0))&gt;=100000), " ",IF(INDEX($AM$2:$BM$1001,MATCH(ROWS($AF$2:AF317),$AF$2:$AF$1001,0),MATCH(COLUMNS($AM$1006:BI1006),$AM$1006:$BM$1006,0)), HYPERLINK("#",""), HYPERLINK(CONCATENATE("#metadata!", ADDRESS(INDEX($AH$2:$AH$1001,MATCH(ROWS($AF$2:AF317),$AF$2:$AF$1001,0),0), INDEX($AM$1004:$BM$1004,1,MATCH(COLUMNS($AM$1006:BI1006),$AM$1006:$BM$1006,0)))),"Fix")))</f>
        <v xml:space="preserve"> </v>
      </c>
      <c r="Y317" s="4" t="str">
        <f ca="1">IF(OR(INDEX($AG$2:$AG$1001,MATCH(ROWS($AF$2:AF317),$AF$2:$AF$1001,0),1)&gt;=100000,INDEX($AM$1005:$BM$1005,1,MATCH(COLUMNS($AM$1006:BJ1006),$AM$1006:$BM$1006,0))&gt;=100000), " ",IF(INDEX($AM$2:$BM$1001,MATCH(ROWS($AF$2:AF317),$AF$2:$AF$1001,0),MATCH(COLUMNS($AM$1006:BJ1006),$AM$1006:$BM$1006,0)), HYPERLINK("#",""), HYPERLINK(CONCATENATE("#metadata!", ADDRESS(INDEX($AH$2:$AH$1001,MATCH(ROWS($AF$2:AF317),$AF$2:$AF$1001,0),0), INDEX($AM$1004:$BM$1004,1,MATCH(COLUMNS($AM$1006:BJ1006),$AM$1006:$BM$1006,0)))),"Fix")))</f>
        <v xml:space="preserve"> </v>
      </c>
      <c r="Z317" s="4" t="str">
        <f ca="1">IF(OR(INDEX($AG$2:$AG$1001,MATCH(ROWS($AF$2:AF317),$AF$2:$AF$1001,0),1)&gt;=100000,INDEX($AM$1005:$BM$1005,1,MATCH(COLUMNS($AM$1006:BK1006),$AM$1006:$BM$1006,0))&gt;=100000), " ",IF(INDEX($AM$2:$BM$1001,MATCH(ROWS($AF$2:AF317),$AF$2:$AF$1001,0),MATCH(COLUMNS($AM$1006:BK1006),$AM$1006:$BM$1006,0)), HYPERLINK("#",""), HYPERLINK(CONCATENATE("#metadata!", ADDRESS(INDEX($AH$2:$AH$1001,MATCH(ROWS($AF$2:AF317),$AF$2:$AF$1001,0),0), INDEX($AM$1004:$BM$1004,1,MATCH(COLUMNS($AM$1006:BK1006),$AM$1006:$BM$1006,0)))),"Fix")))</f>
        <v xml:space="preserve"> </v>
      </c>
      <c r="AA317" s="4" t="str">
        <f ca="1">IF(OR(INDEX($AG$2:$AG$1001,MATCH(ROWS($AF$2:AF317),$AF$2:$AF$1001,0),1)&gt;=100000,INDEX($AM$1005:$BM$1005,1,MATCH(COLUMNS($AM$1006:BL1006),$AM$1006:$BM$1006,0))&gt;=100000), " ",IF(INDEX($AM$2:$BM$1001,MATCH(ROWS($AF$2:AF317),$AF$2:$AF$1001,0),MATCH(COLUMNS($AM$1006:BL1006),$AM$1006:$BM$1006,0)), HYPERLINK("#",""), HYPERLINK(CONCATENATE("#metadata!", ADDRESS(INDEX($AH$2:$AH$1001,MATCH(ROWS($AF$2:AF317),$AF$2:$AF$1001,0),0), INDEX($AM$1004:$BM$1004,1,MATCH(COLUMNS($AM$1006:BL1006),$AM$1006:$BM$1006,0)))),"Fix")))</f>
        <v xml:space="preserve"> </v>
      </c>
      <c r="AB317" s="4" t="str">
        <f ca="1">IF(OR(INDEX($AG$2:$AG$1001,MATCH(ROWS($AF$2:AF317),$AF$2:$AF$1001,0),1)&gt;=100000,INDEX($AM$1005:$BM$1005,1,MATCH(COLUMNS($AM$1006:BM1006),$AM$1006:$BM$1006,0))&gt;=100000), " ",IF(INDEX($AM$2:$BM$1001,MATCH(ROWS($AF$2:AF317),$AF$2:$AF$1001,0),MATCH(COLUMNS($AM$1006:BM1006),$AM$1006:$BM$1006,0)), HYPERLINK("#",""), HYPERLINK(CONCATENATE("#metadata!", ADDRESS(INDEX($AH$2:$AH$1001,MATCH(ROWS($AF$2:AF317),$AF$2:$AF$1001,0),0), INDEX($AM$1004:$BM$1004,1,MATCH(COLUMNS($AM$1006:BM1006),$AM$1006:$BM$1006,0)))),"Fix")))</f>
        <v xml:space="preserve"> </v>
      </c>
      <c r="AF317">
        <v>316</v>
      </c>
      <c r="AG317">
        <v>100317</v>
      </c>
      <c r="AH317">
        <v>317</v>
      </c>
      <c r="AI317" t="b">
        <f t="shared" si="4"/>
        <v>1</v>
      </c>
      <c r="AJ317" t="b">
        <f>COUNTBLANK(metadata!B317:AB317)=COLUMNS(metadata!B317:AB317)</f>
        <v>1</v>
      </c>
      <c r="AK317" t="str">
        <v/>
      </c>
      <c r="AM317" t="b">
        <f ca="1">AND(IF(metadata!B317="",FALSE,TRUE),COUNTIF(metadata!B:B, metadata!B317) = 1,NOT(ISERROR(SUMPRODUCT(SEARCH(MID(metadata!B317,ROW(INDIRECT("1:"&amp;LEN(metadata!B317))), 1),"0123456789abcdefghijklmnopqrstuvwxyzABCDEFGHIJKLMNOPQRSTUVWXYZ.")))))</f>
        <v>0</v>
      </c>
      <c r="AN317" t="b">
        <f ca="1">OR(AND(IF(metadata!C317="",FALSE,TRUE),OR(EXACT(metadata!C317,"missing: not collected"),EXACT(metadata!C317,"missing: not provided"),EXACT(metadata!C317,"missing: restricted access"))),AND(IF(metadata!C317="",FALSE,TRUE),AND(AND(IFERROR(INT(LEFT(metadata!C317,4))&gt;1900,FALSE),IFERROR(INT(LEFT(metadata!C317,4))&lt;=YEAR(NOW()),FALSE)), OR(MID(metadata!C317,5,1)="", AND(AND(MID(metadata!C317,5,1)="-",IFERROR(INT(MID(metadata!C317,6,1))&gt;=0,FALSE),IFERROR(INT(MID(metadata!C317,6,1))&lt;=1,FALSE),NOT(MID(metadata!C317,7,1)=""),IFERROR(INT(MID(metadata!C317,6,2))&gt;=1,FALSE),IFERROR(INT(MID(metadata!C317,6,2))&lt;=12,FALSE)), OR(MID(metadata!C317,8,1)="", AND(AND(MID(metadata!C317,8,1)="-",IFERROR(INT(MID(metadata!C317,9,1))&gt;=0,FALSE),IFERROR(INT(MID(metadata!C317,9,1))&lt;=3,FALSE),NOT(MID(metadata!C317,10,1)=""),IFERROR(INT(MID(metadata!C317,9,2))&gt;=1,FALSE),IFERROR(INT(MID(metadata!C317,9,2))&lt;=31,FALSE)), OR(MID(metadata!C317,11,1)="", AND(AND(MID(metadata!C317,11,1)=" ",IFERROR(INT(MID(metadata!C317,12,1))&gt;=0,FALSE),IFERROR(INT(MID(metadata!C317,12,1))&lt;=2,FALSE),NOT(MID(metadata!C317,13,1)=""),IFERROR(INT(MID(metadata!C317,12,2))&gt;=0,FALSE),IFERROR(INT(MID(metadata!C317,12,2))&lt;=23,FALSE)), OR(MID(metadata!C317,14,1)="", AND(AND(MID(metadata!C317,14,1)=":",IFERROR(INT(MID(metadata!C317,15,1))&gt;=0,FALSE),IFERROR(INT(MID(metadata!C317,15,1))&lt;=5,FALSE),NOT(MID(metadata!C317,16,1)=""),IFERROR(INT(MID(metadata!C317,15,2))&gt;=0,FALSE),IFERROR(INT(MID(metadata!C317,15,2))&lt;=59,FALSE)), OR(MID(metadata!C317,17,1)="", AND(AND(MID(metadata!C317,17,1)=":",IFERROR(INT(MID(metadata!C317,18,1))&gt;=0,FALSE),IFERROR(INT(MID(metadata!C317,18,1))&lt;=5,FALSE),NOT(MID(metadata!C317,19,1)=""),IFERROR(INT(MID(metadata!C317,18,2))&gt;=0,FALSE),IFERROR(INT(MID(metadata!C317,18,2))&lt;=59,FALSE)), LEN(metadata!C317)&lt;=19)))))))))))))</f>
        <v>0</v>
      </c>
      <c r="AO317" t="b">
        <f>AND(IF(metadata!D317="",FALSE,TRUE),EXACT(metadata!D317,"Not applicable"))</f>
        <v>0</v>
      </c>
      <c r="AP317" t="b">
        <f>IF(metadata!E317="",FALSE,TRUE)</f>
        <v>0</v>
      </c>
      <c r="AQ317" t="b">
        <f>OR(AND(IF(metadata!F317="",FALSE,TRUE),OR(EXACT(metadata!F317,"missing: not collected"),EXACT(metadata!F317,"missing: not provided"))),AND(IF(metadata!F317="",FALSE,TRUE),OR(EXACT(metadata!F317,"TRUE"),EXACT(metadata!F317,"FALSE"))))</f>
        <v>0</v>
      </c>
      <c r="AR317" t="b">
        <f>OR(AND(IF(metadata!G317="",FALSE,TRUE),OR(EXACT(metadata!G317,"missing: not collected"),EXACT(metadata!G317,"missing: not provided"),EXACT(metadata!G317,"missing: restricted access"))),AND(IF(metadata!G317="",FALSE,ISNUMBER(VALUE(metadata!G317))),metadata!G317&gt;=-413))</f>
        <v>0</v>
      </c>
      <c r="AS317" t="b">
        <f>AND(IF(metadata!H317="",FALSE,TRUE),EXACT(metadata!H317,"meters"))</f>
        <v>0</v>
      </c>
      <c r="AT317" t="b">
        <f>AND(IF(metadata!I317="",FALSE,TRUE),OR(EXACT(metadata!I317,"Host-associated"),EXACT(metadata!I317,"Free-living")))</f>
        <v>0</v>
      </c>
      <c r="AU317" t="b">
        <f>AND(IF(metadata!J317="",FALSE,TRUE),OR(EXACT(metadata!J317,"Animal"),EXACT(metadata!J317,"Fungus"),EXACT(metadata!J317,"Plant"),EXACT(metadata!J317,"Saline"),EXACT(metadata!J317,"Non-saline")))</f>
        <v>0</v>
      </c>
      <c r="AV317" t="b">
        <f>AND(IF(metadata!K317="",FALSE,TRUE),OR(EXACT(metadata!K317,"Plant secretion"),EXACT(metadata!K317,"Plant rhizosphere"),EXACT(metadata!K317,"Plant surface"),EXACT(metadata!K317,"Plant corpus"),EXACT(metadata!K317,"Fungus surface"),EXACT(metadata!K317,"Fungus corpus"),EXACT(metadata!K317,"Animal surface"),EXACT(metadata!K317,"Animal proximal gut"),EXACT(metadata!K317,"Animal corpus"),EXACT(metadata!K317,"Animal distal gut"),EXACT(metadata!K317,"Animal secretion"),EXACT(metadata!K317,"Sub-surface (non-saline)"),EXACT(metadata!K317,"Surface (non-saline)"),EXACT(metadata!K317,"Water (non-saline)"),EXACT(metadata!K317,"Soil (non-saline)"),EXACT(metadata!K317,"Aerosol (non-saline)"),EXACT(metadata!K317,"Sediment (non-saline)"),EXACT(metadata!K317,"Surface (saline)"),EXACT(metadata!K317,"Water (saline)"),EXACT(metadata!K317,"Hypersaline (saline)"),EXACT(metadata!K317,"Aerosol (saline)"),EXACT(metadata!K317,"Sediment (saline)")))</f>
        <v>0</v>
      </c>
      <c r="AW317" t="b">
        <f>IF(metadata!L317="",FALSE,TRUE)</f>
        <v>0</v>
      </c>
      <c r="AX317" t="b">
        <f>IF(metadata!M317="",FALSE,TRUE)</f>
        <v>0</v>
      </c>
      <c r="AY317" t="b">
        <f>IF(metadata!N317="",FALSE,TRUE)</f>
        <v>0</v>
      </c>
      <c r="AZ317" t="b">
        <f>OR(AND(IF(metadata!O317="",FALSE,TRUE),OR(EXACT(metadata!O317,"missing: not collected"),EXACT(metadata!O317,"missing: not provided"),EXACT(metadata!O317,"missing: restricted access"))),AND(IF(metadata!O317="",FALSE,TRUE),OR(EXACT(metadata!O317,"air"),EXACT(metadata!O317,"built environment"),EXACT(metadata!O317,"host-associated"),EXACT(metadata!O317,"human-associated"),EXACT(metadata!O317,"human-skin"),EXACT(metadata!O317,"human-oral"),EXACT(metadata!O317,"human-gut"),EXACT(metadata!O317,"human-vaginal"),EXACT(metadata!O317,"microbial mat/biofilm"),EXACT(metadata!O317,"misc environment"),EXACT(metadata!O317,"plant-associated"),EXACT(metadata!O317,"sediment"),EXACT(metadata!O317,"soil"),EXACT(metadata!O317,"wastewater/sludge"),EXACT(metadata!O317,"water"))))</f>
        <v>0</v>
      </c>
      <c r="BA317" t="b">
        <f>IF(metadata!P317="",FALSE,TRUE)</f>
        <v>0</v>
      </c>
      <c r="BB317" t="b">
        <f>IF(metadata!Q317="",FALSE,TRUE)</f>
        <v>0</v>
      </c>
      <c r="BC317" t="b">
        <f>OR(AND(IF(metadata!R317="",FALSE,TRUE),OR(EXACT(metadata!R317,"missing: not collected"),EXACT(metadata!R317,"missing: not provided"),EXACT(metadata!R317,"missing: restricted access"))),AND(IF(metadata!R317="",FALSE,ISNUMBER(VALUE(metadata!R317))),metadata!R317&gt;=-90,metadata!R317&lt;=90))</f>
        <v>0</v>
      </c>
      <c r="BD317" t="b">
        <f>AND(IF(metadata!S317="",FALSE,TRUE),EXACT(metadata!S317,"Decimal degrees"))</f>
        <v>0</v>
      </c>
      <c r="BE317" t="b">
        <f>OR(AND(IF(metadata!T317="",FALSE,TRUE),OR(EXACT(metadata!T317,"missing: not collected"),EXACT(metadata!T317,"missing: not provided"),EXACT(metadata!T317,"missing: restricted access"))),AND(IF(metadata!T317="",FALSE,ISNUMBER(VALUE(metadata!T317))),metadata!T317&gt;=-180,metadata!T317&lt;=180))</f>
        <v>0</v>
      </c>
      <c r="BF317" t="b">
        <f>AND(IF(metadata!U317="",FALSE,TRUE),EXACT(metadata!U317,"Decimal degrees"))</f>
        <v>0</v>
      </c>
      <c r="BG317" t="b">
        <f>IF(metadata!V317="",FALSE,TRUE)</f>
        <v>0</v>
      </c>
      <c r="BH317" t="b">
        <f>OR(AND(IF(metadata!W317="",FALSE,TRUE),OR(EXACT(metadata!W317,"missing: not collected"),EXACT(metadata!W317,"missing: not provided"),EXACT(metadata!W317,"missing: restricted access"))),AND(IF(metadata!W317="",FALSE,TRUE),OR(EXACT(metadata!W317,"TRUE"),EXACT(metadata!W317,"FALSE"))))</f>
        <v>0</v>
      </c>
      <c r="BI317" t="b">
        <f>AND(IF(metadata!X317="",FALSE,TRUE),EXACT(metadata!X317,"other"))</f>
        <v>0</v>
      </c>
      <c r="BJ317" t="b">
        <f>IF(metadata!Y317="",FALSE,TRUE)</f>
        <v>0</v>
      </c>
      <c r="BK317" t="b">
        <f>OR(AND(IF(metadata!Z317="",FALSE,TRUE),OR(EXACT(metadata!Z317,"missing: not collected"),EXACT(metadata!Z317,"missing: not provided"))),AND(IF(metadata!Z317="",FALSE,IF(ISERROR(INT(metadata!Z317)),FALSE,INT(metadata!Z317)=metadata!Z317)),metadata!Z317&gt;0))</f>
        <v>0</v>
      </c>
      <c r="BL317" t="b">
        <f>AND(IF(metadata!AA317="",FALSE,TRUE),EXACT(metadata!AA317,"Not applicable"))</f>
        <v>0</v>
      </c>
      <c r="BM317" t="b">
        <f>IF(metadata!AB317="",FALSE,TRUE)</f>
        <v>0</v>
      </c>
    </row>
    <row r="318" spans="1:65" x14ac:dyDescent="0.2">
      <c r="A318" s="5" t="str">
        <f ca="1">IF(B318=" "," ",HYPERLINK(CONCATENATE("#metadata!",ADDRESS(INDEX($AH$2:$AH$1001,MATCH(ROWS($AF$2:AF318),$AF$2:$AF$1001,0),0),1)),INDEX($AK$2:$AK$1001,MATCH(ROWS($AF$2:AF318),$AF$2:$AF$1001,0),0)))</f>
        <v xml:space="preserve"> </v>
      </c>
      <c r="B318" s="4" t="str">
        <f ca="1">IF(OR(INDEX($AG$2:$AG$1001,MATCH(ROWS($AF$2:AF318),$AF$2:$AF$1001,0),1)&gt;=100000,INDEX($AM$1005:$BM$1005,1,MATCH(COLUMNS($AM$1006:AM1006),$AM$1006:$BM$1006,0))&gt;=100000), " ",IF(INDEX($AM$2:$BM$1001,MATCH(ROWS($AF$2:AF318),$AF$2:$AF$1001,0),MATCH(COLUMNS($AM$1006:AM1006),$AM$1006:$BM$1006,0)), HYPERLINK("#",""), HYPERLINK(CONCATENATE("#metadata!", ADDRESS(INDEX($AH$2:$AH$1001,MATCH(ROWS($AF$2:AF318),$AF$2:$AF$1001,0),0), INDEX($AM$1004:$BM$1004,1,MATCH(COLUMNS($AM$1006:AM1006),$AM$1006:$BM$1006,0)))),"Fix")))</f>
        <v xml:space="preserve"> </v>
      </c>
      <c r="C318" s="4" t="str">
        <f ca="1">IF(OR(INDEX($AG$2:$AG$1001,MATCH(ROWS($AF$2:AF318),$AF$2:$AF$1001,0),1)&gt;=100000,INDEX($AM$1005:$BM$1005,1,MATCH(COLUMNS($AM$1006:AN1006),$AM$1006:$BM$1006,0))&gt;=100000), " ",IF(INDEX($AM$2:$BM$1001,MATCH(ROWS($AF$2:AF318),$AF$2:$AF$1001,0),MATCH(COLUMNS($AM$1006:AN1006),$AM$1006:$BM$1006,0)), HYPERLINK("#",""), HYPERLINK(CONCATENATE("#metadata!", ADDRESS(INDEX($AH$2:$AH$1001,MATCH(ROWS($AF$2:AF318),$AF$2:$AF$1001,0),0), INDEX($AM$1004:$BM$1004,1,MATCH(COLUMNS($AM$1006:AN1006),$AM$1006:$BM$1006,0)))),"Fix")))</f>
        <v xml:space="preserve"> </v>
      </c>
      <c r="D318" s="4" t="str">
        <f ca="1">IF(OR(INDEX($AG$2:$AG$1001,MATCH(ROWS($AF$2:AF318),$AF$2:$AF$1001,0),1)&gt;=100000,INDEX($AM$1005:$BM$1005,1,MATCH(COLUMNS($AM$1006:AO1006),$AM$1006:$BM$1006,0))&gt;=100000), " ",IF(INDEX($AM$2:$BM$1001,MATCH(ROWS($AF$2:AF318),$AF$2:$AF$1001,0),MATCH(COLUMNS($AM$1006:AO1006),$AM$1006:$BM$1006,0)), HYPERLINK("#",""), HYPERLINK(CONCATENATE("#metadata!", ADDRESS(INDEX($AH$2:$AH$1001,MATCH(ROWS($AF$2:AF318),$AF$2:$AF$1001,0),0), INDEX($AM$1004:$BM$1004,1,MATCH(COLUMNS($AM$1006:AO1006),$AM$1006:$BM$1006,0)))),"Fix")))</f>
        <v xml:space="preserve"> </v>
      </c>
      <c r="E318" s="4" t="str">
        <f ca="1">IF(OR(INDEX($AG$2:$AG$1001,MATCH(ROWS($AF$2:AF318),$AF$2:$AF$1001,0),1)&gt;=100000,INDEX($AM$1005:$BM$1005,1,MATCH(COLUMNS($AM$1006:AP1006),$AM$1006:$BM$1006,0))&gt;=100000), " ",IF(INDEX($AM$2:$BM$1001,MATCH(ROWS($AF$2:AF318),$AF$2:$AF$1001,0),MATCH(COLUMNS($AM$1006:AP1006),$AM$1006:$BM$1006,0)), HYPERLINK("#",""), HYPERLINK(CONCATENATE("#metadata!", ADDRESS(INDEX($AH$2:$AH$1001,MATCH(ROWS($AF$2:AF318),$AF$2:$AF$1001,0),0), INDEX($AM$1004:$BM$1004,1,MATCH(COLUMNS($AM$1006:AP1006),$AM$1006:$BM$1006,0)))),"Fix")))</f>
        <v xml:space="preserve"> </v>
      </c>
      <c r="F318" s="4" t="str">
        <f ca="1">IF(OR(INDEX($AG$2:$AG$1001,MATCH(ROWS($AF$2:AF318),$AF$2:$AF$1001,0),1)&gt;=100000,INDEX($AM$1005:$BM$1005,1,MATCH(COLUMNS($AM$1006:AQ1006),$AM$1006:$BM$1006,0))&gt;=100000), " ",IF(INDEX($AM$2:$BM$1001,MATCH(ROWS($AF$2:AF318),$AF$2:$AF$1001,0),MATCH(COLUMNS($AM$1006:AQ1006),$AM$1006:$BM$1006,0)), HYPERLINK("#",""), HYPERLINK(CONCATENATE("#metadata!", ADDRESS(INDEX($AH$2:$AH$1001,MATCH(ROWS($AF$2:AF318),$AF$2:$AF$1001,0),0), INDEX($AM$1004:$BM$1004,1,MATCH(COLUMNS($AM$1006:AQ1006),$AM$1006:$BM$1006,0)))),"Fix")))</f>
        <v xml:space="preserve"> </v>
      </c>
      <c r="G318" s="4" t="str">
        <f ca="1">IF(OR(INDEX($AG$2:$AG$1001,MATCH(ROWS($AF$2:AF318),$AF$2:$AF$1001,0),1)&gt;=100000,INDEX($AM$1005:$BM$1005,1,MATCH(COLUMNS($AM$1006:AR1006),$AM$1006:$BM$1006,0))&gt;=100000), " ",IF(INDEX($AM$2:$BM$1001,MATCH(ROWS($AF$2:AF318),$AF$2:$AF$1001,0),MATCH(COLUMNS($AM$1006:AR1006),$AM$1006:$BM$1006,0)), HYPERLINK("#",""), HYPERLINK(CONCATENATE("#metadata!", ADDRESS(INDEX($AH$2:$AH$1001,MATCH(ROWS($AF$2:AF318),$AF$2:$AF$1001,0),0), INDEX($AM$1004:$BM$1004,1,MATCH(COLUMNS($AM$1006:AR1006),$AM$1006:$BM$1006,0)))),"Fix")))</f>
        <v xml:space="preserve"> </v>
      </c>
      <c r="H318" s="4" t="str">
        <f ca="1">IF(OR(INDEX($AG$2:$AG$1001,MATCH(ROWS($AF$2:AF318),$AF$2:$AF$1001,0),1)&gt;=100000,INDEX($AM$1005:$BM$1005,1,MATCH(COLUMNS($AM$1006:AS1006),$AM$1006:$BM$1006,0))&gt;=100000), " ",IF(INDEX($AM$2:$BM$1001,MATCH(ROWS($AF$2:AF318),$AF$2:$AF$1001,0),MATCH(COLUMNS($AM$1006:AS1006),$AM$1006:$BM$1006,0)), HYPERLINK("#",""), HYPERLINK(CONCATENATE("#metadata!", ADDRESS(INDEX($AH$2:$AH$1001,MATCH(ROWS($AF$2:AF318),$AF$2:$AF$1001,0),0), INDEX($AM$1004:$BM$1004,1,MATCH(COLUMNS($AM$1006:AS1006),$AM$1006:$BM$1006,0)))),"Fix")))</f>
        <v xml:space="preserve"> </v>
      </c>
      <c r="I318" s="4" t="str">
        <f ca="1">IF(OR(INDEX($AG$2:$AG$1001,MATCH(ROWS($AF$2:AF318),$AF$2:$AF$1001,0),1)&gt;=100000,INDEX($AM$1005:$BM$1005,1,MATCH(COLUMNS($AM$1006:AT1006),$AM$1006:$BM$1006,0))&gt;=100000), " ",IF(INDEX($AM$2:$BM$1001,MATCH(ROWS($AF$2:AF318),$AF$2:$AF$1001,0),MATCH(COLUMNS($AM$1006:AT1006),$AM$1006:$BM$1006,0)), HYPERLINK("#",""), HYPERLINK(CONCATENATE("#metadata!", ADDRESS(INDEX($AH$2:$AH$1001,MATCH(ROWS($AF$2:AF318),$AF$2:$AF$1001,0),0), INDEX($AM$1004:$BM$1004,1,MATCH(COLUMNS($AM$1006:AT1006),$AM$1006:$BM$1006,0)))),"Fix")))</f>
        <v xml:space="preserve"> </v>
      </c>
      <c r="J318" s="4" t="str">
        <f ca="1">IF(OR(INDEX($AG$2:$AG$1001,MATCH(ROWS($AF$2:AF318),$AF$2:$AF$1001,0),1)&gt;=100000,INDEX($AM$1005:$BM$1005,1,MATCH(COLUMNS($AM$1006:AU1006),$AM$1006:$BM$1006,0))&gt;=100000), " ",IF(INDEX($AM$2:$BM$1001,MATCH(ROWS($AF$2:AF318),$AF$2:$AF$1001,0),MATCH(COLUMNS($AM$1006:AU1006),$AM$1006:$BM$1006,0)), HYPERLINK("#",""), HYPERLINK(CONCATENATE("#metadata!", ADDRESS(INDEX($AH$2:$AH$1001,MATCH(ROWS($AF$2:AF318),$AF$2:$AF$1001,0),0), INDEX($AM$1004:$BM$1004,1,MATCH(COLUMNS($AM$1006:AU1006),$AM$1006:$BM$1006,0)))),"Fix")))</f>
        <v xml:space="preserve"> </v>
      </c>
      <c r="K318" s="4" t="str">
        <f ca="1">IF(OR(INDEX($AG$2:$AG$1001,MATCH(ROWS($AF$2:AF318),$AF$2:$AF$1001,0),1)&gt;=100000,INDEX($AM$1005:$BM$1005,1,MATCH(COLUMNS($AM$1006:AV1006),$AM$1006:$BM$1006,0))&gt;=100000), " ",IF(INDEX($AM$2:$BM$1001,MATCH(ROWS($AF$2:AF318),$AF$2:$AF$1001,0),MATCH(COLUMNS($AM$1006:AV1006),$AM$1006:$BM$1006,0)), HYPERLINK("#",""), HYPERLINK(CONCATENATE("#metadata!", ADDRESS(INDEX($AH$2:$AH$1001,MATCH(ROWS($AF$2:AF318),$AF$2:$AF$1001,0),0), INDEX($AM$1004:$BM$1004,1,MATCH(COLUMNS($AM$1006:AV1006),$AM$1006:$BM$1006,0)))),"Fix")))</f>
        <v xml:space="preserve"> </v>
      </c>
      <c r="L318" s="4" t="str">
        <f ca="1">IF(OR(INDEX($AG$2:$AG$1001,MATCH(ROWS($AF$2:AF318),$AF$2:$AF$1001,0),1)&gt;=100000,INDEX($AM$1005:$BM$1005,1,MATCH(COLUMNS($AM$1006:AW1006),$AM$1006:$BM$1006,0))&gt;=100000), " ",IF(INDEX($AM$2:$BM$1001,MATCH(ROWS($AF$2:AF318),$AF$2:$AF$1001,0),MATCH(COLUMNS($AM$1006:AW1006),$AM$1006:$BM$1006,0)), HYPERLINK("#",""), HYPERLINK(CONCATENATE("#metadata!", ADDRESS(INDEX($AH$2:$AH$1001,MATCH(ROWS($AF$2:AF318),$AF$2:$AF$1001,0),0), INDEX($AM$1004:$BM$1004,1,MATCH(COLUMNS($AM$1006:AW1006),$AM$1006:$BM$1006,0)))),"Fix")))</f>
        <v xml:space="preserve"> </v>
      </c>
      <c r="M318" s="4" t="str">
        <f ca="1">IF(OR(INDEX($AG$2:$AG$1001,MATCH(ROWS($AF$2:AF318),$AF$2:$AF$1001,0),1)&gt;=100000,INDEX($AM$1005:$BM$1005,1,MATCH(COLUMNS($AM$1006:AX1006),$AM$1006:$BM$1006,0))&gt;=100000), " ",IF(INDEX($AM$2:$BM$1001,MATCH(ROWS($AF$2:AF318),$AF$2:$AF$1001,0),MATCH(COLUMNS($AM$1006:AX1006),$AM$1006:$BM$1006,0)), HYPERLINK("#",""), HYPERLINK(CONCATENATE("#metadata!", ADDRESS(INDEX($AH$2:$AH$1001,MATCH(ROWS($AF$2:AF318),$AF$2:$AF$1001,0),0), INDEX($AM$1004:$BM$1004,1,MATCH(COLUMNS($AM$1006:AX1006),$AM$1006:$BM$1006,0)))),"Fix")))</f>
        <v xml:space="preserve"> </v>
      </c>
      <c r="N318" s="4" t="str">
        <f ca="1">IF(OR(INDEX($AG$2:$AG$1001,MATCH(ROWS($AF$2:AF318),$AF$2:$AF$1001,0),1)&gt;=100000,INDEX($AM$1005:$BM$1005,1,MATCH(COLUMNS($AM$1006:AY1006),$AM$1006:$BM$1006,0))&gt;=100000), " ",IF(INDEX($AM$2:$BM$1001,MATCH(ROWS($AF$2:AF318),$AF$2:$AF$1001,0),MATCH(COLUMNS($AM$1006:AY1006),$AM$1006:$BM$1006,0)), HYPERLINK("#",""), HYPERLINK(CONCATENATE("#metadata!", ADDRESS(INDEX($AH$2:$AH$1001,MATCH(ROWS($AF$2:AF318),$AF$2:$AF$1001,0),0), INDEX($AM$1004:$BM$1004,1,MATCH(COLUMNS($AM$1006:AY1006),$AM$1006:$BM$1006,0)))),"Fix")))</f>
        <v xml:space="preserve"> </v>
      </c>
      <c r="O318" s="4" t="str">
        <f ca="1">IF(OR(INDEX($AG$2:$AG$1001,MATCH(ROWS($AF$2:AF318),$AF$2:$AF$1001,0),1)&gt;=100000,INDEX($AM$1005:$BM$1005,1,MATCH(COLUMNS($AM$1006:AZ1006),$AM$1006:$BM$1006,0))&gt;=100000), " ",IF(INDEX($AM$2:$BM$1001,MATCH(ROWS($AF$2:AF318),$AF$2:$AF$1001,0),MATCH(COLUMNS($AM$1006:AZ1006),$AM$1006:$BM$1006,0)), HYPERLINK("#",""), HYPERLINK(CONCATENATE("#metadata!", ADDRESS(INDEX($AH$2:$AH$1001,MATCH(ROWS($AF$2:AF318),$AF$2:$AF$1001,0),0), INDEX($AM$1004:$BM$1004,1,MATCH(COLUMNS($AM$1006:AZ1006),$AM$1006:$BM$1006,0)))),"Fix")))</f>
        <v xml:space="preserve"> </v>
      </c>
      <c r="P318" s="4" t="str">
        <f ca="1">IF(OR(INDEX($AG$2:$AG$1001,MATCH(ROWS($AF$2:AF318),$AF$2:$AF$1001,0),1)&gt;=100000,INDEX($AM$1005:$BM$1005,1,MATCH(COLUMNS($AM$1006:BA1006),$AM$1006:$BM$1006,0))&gt;=100000), " ",IF(INDEX($AM$2:$BM$1001,MATCH(ROWS($AF$2:AF318),$AF$2:$AF$1001,0),MATCH(COLUMNS($AM$1006:BA1006),$AM$1006:$BM$1006,0)), HYPERLINK("#",""), HYPERLINK(CONCATENATE("#metadata!", ADDRESS(INDEX($AH$2:$AH$1001,MATCH(ROWS($AF$2:AF318),$AF$2:$AF$1001,0),0), INDEX($AM$1004:$BM$1004,1,MATCH(COLUMNS($AM$1006:BA1006),$AM$1006:$BM$1006,0)))),"Fix")))</f>
        <v xml:space="preserve"> </v>
      </c>
      <c r="Q318" s="4" t="str">
        <f ca="1">IF(OR(INDEX($AG$2:$AG$1001,MATCH(ROWS($AF$2:AF318),$AF$2:$AF$1001,0),1)&gt;=100000,INDEX($AM$1005:$BM$1005,1,MATCH(COLUMNS($AM$1006:BB1006),$AM$1006:$BM$1006,0))&gt;=100000), " ",IF(INDEX($AM$2:$BM$1001,MATCH(ROWS($AF$2:AF318),$AF$2:$AF$1001,0),MATCH(COLUMNS($AM$1006:BB1006),$AM$1006:$BM$1006,0)), HYPERLINK("#",""), HYPERLINK(CONCATENATE("#metadata!", ADDRESS(INDEX($AH$2:$AH$1001,MATCH(ROWS($AF$2:AF318),$AF$2:$AF$1001,0),0), INDEX($AM$1004:$BM$1004,1,MATCH(COLUMNS($AM$1006:BB1006),$AM$1006:$BM$1006,0)))),"Fix")))</f>
        <v xml:space="preserve"> </v>
      </c>
      <c r="R318" s="4" t="str">
        <f ca="1">IF(OR(INDEX($AG$2:$AG$1001,MATCH(ROWS($AF$2:AF318),$AF$2:$AF$1001,0),1)&gt;=100000,INDEX($AM$1005:$BM$1005,1,MATCH(COLUMNS($AM$1006:BC1006),$AM$1006:$BM$1006,0))&gt;=100000), " ",IF(INDEX($AM$2:$BM$1001,MATCH(ROWS($AF$2:AF318),$AF$2:$AF$1001,0),MATCH(COLUMNS($AM$1006:BC1006),$AM$1006:$BM$1006,0)), HYPERLINK("#",""), HYPERLINK(CONCATENATE("#metadata!", ADDRESS(INDEX($AH$2:$AH$1001,MATCH(ROWS($AF$2:AF318),$AF$2:$AF$1001,0),0), INDEX($AM$1004:$BM$1004,1,MATCH(COLUMNS($AM$1006:BC1006),$AM$1006:$BM$1006,0)))),"Fix")))</f>
        <v xml:space="preserve"> </v>
      </c>
      <c r="S318" s="4" t="str">
        <f ca="1">IF(OR(INDEX($AG$2:$AG$1001,MATCH(ROWS($AF$2:AF318),$AF$2:$AF$1001,0),1)&gt;=100000,INDEX($AM$1005:$BM$1005,1,MATCH(COLUMNS($AM$1006:BD1006),$AM$1006:$BM$1006,0))&gt;=100000), " ",IF(INDEX($AM$2:$BM$1001,MATCH(ROWS($AF$2:AF318),$AF$2:$AF$1001,0),MATCH(COLUMNS($AM$1006:BD1006),$AM$1006:$BM$1006,0)), HYPERLINK("#",""), HYPERLINK(CONCATENATE("#metadata!", ADDRESS(INDEX($AH$2:$AH$1001,MATCH(ROWS($AF$2:AF318),$AF$2:$AF$1001,0),0), INDEX($AM$1004:$BM$1004,1,MATCH(COLUMNS($AM$1006:BD1006),$AM$1006:$BM$1006,0)))),"Fix")))</f>
        <v xml:space="preserve"> </v>
      </c>
      <c r="T318" s="4" t="str">
        <f ca="1">IF(OR(INDEX($AG$2:$AG$1001,MATCH(ROWS($AF$2:AF318),$AF$2:$AF$1001,0),1)&gt;=100000,INDEX($AM$1005:$BM$1005,1,MATCH(COLUMNS($AM$1006:BE1006),$AM$1006:$BM$1006,0))&gt;=100000), " ",IF(INDEX($AM$2:$BM$1001,MATCH(ROWS($AF$2:AF318),$AF$2:$AF$1001,0),MATCH(COLUMNS($AM$1006:BE1006),$AM$1006:$BM$1006,0)), HYPERLINK("#",""), HYPERLINK(CONCATENATE("#metadata!", ADDRESS(INDEX($AH$2:$AH$1001,MATCH(ROWS($AF$2:AF318),$AF$2:$AF$1001,0),0), INDEX($AM$1004:$BM$1004,1,MATCH(COLUMNS($AM$1006:BE1006),$AM$1006:$BM$1006,0)))),"Fix")))</f>
        <v xml:space="preserve"> </v>
      </c>
      <c r="U318" s="4" t="str">
        <f ca="1">IF(OR(INDEX($AG$2:$AG$1001,MATCH(ROWS($AF$2:AF318),$AF$2:$AF$1001,0),1)&gt;=100000,INDEX($AM$1005:$BM$1005,1,MATCH(COLUMNS($AM$1006:BF1006),$AM$1006:$BM$1006,0))&gt;=100000), " ",IF(INDEX($AM$2:$BM$1001,MATCH(ROWS($AF$2:AF318),$AF$2:$AF$1001,0),MATCH(COLUMNS($AM$1006:BF1006),$AM$1006:$BM$1006,0)), HYPERLINK("#",""), HYPERLINK(CONCATENATE("#metadata!", ADDRESS(INDEX($AH$2:$AH$1001,MATCH(ROWS($AF$2:AF318),$AF$2:$AF$1001,0),0), INDEX($AM$1004:$BM$1004,1,MATCH(COLUMNS($AM$1006:BF1006),$AM$1006:$BM$1006,0)))),"Fix")))</f>
        <v xml:space="preserve"> </v>
      </c>
      <c r="V318" s="4" t="str">
        <f ca="1">IF(OR(INDEX($AG$2:$AG$1001,MATCH(ROWS($AF$2:AF318),$AF$2:$AF$1001,0),1)&gt;=100000,INDEX($AM$1005:$BM$1005,1,MATCH(COLUMNS($AM$1006:BG1006),$AM$1006:$BM$1006,0))&gt;=100000), " ",IF(INDEX($AM$2:$BM$1001,MATCH(ROWS($AF$2:AF318),$AF$2:$AF$1001,0),MATCH(COLUMNS($AM$1006:BG1006),$AM$1006:$BM$1006,0)), HYPERLINK("#",""), HYPERLINK(CONCATENATE("#metadata!", ADDRESS(INDEX($AH$2:$AH$1001,MATCH(ROWS($AF$2:AF318),$AF$2:$AF$1001,0),0), INDEX($AM$1004:$BM$1004,1,MATCH(COLUMNS($AM$1006:BG1006),$AM$1006:$BM$1006,0)))),"Fix")))</f>
        <v xml:space="preserve"> </v>
      </c>
      <c r="W318" s="4" t="str">
        <f ca="1">IF(OR(INDEX($AG$2:$AG$1001,MATCH(ROWS($AF$2:AF318),$AF$2:$AF$1001,0),1)&gt;=100000,INDEX($AM$1005:$BM$1005,1,MATCH(COLUMNS($AM$1006:BH1006),$AM$1006:$BM$1006,0))&gt;=100000), " ",IF(INDEX($AM$2:$BM$1001,MATCH(ROWS($AF$2:AF318),$AF$2:$AF$1001,0),MATCH(COLUMNS($AM$1006:BH1006),$AM$1006:$BM$1006,0)), HYPERLINK("#",""), HYPERLINK(CONCATENATE("#metadata!", ADDRESS(INDEX($AH$2:$AH$1001,MATCH(ROWS($AF$2:AF318),$AF$2:$AF$1001,0),0), INDEX($AM$1004:$BM$1004,1,MATCH(COLUMNS($AM$1006:BH1006),$AM$1006:$BM$1006,0)))),"Fix")))</f>
        <v xml:space="preserve"> </v>
      </c>
      <c r="X318" s="4" t="str">
        <f ca="1">IF(OR(INDEX($AG$2:$AG$1001,MATCH(ROWS($AF$2:AF318),$AF$2:$AF$1001,0),1)&gt;=100000,INDEX($AM$1005:$BM$1005,1,MATCH(COLUMNS($AM$1006:BI1006),$AM$1006:$BM$1006,0))&gt;=100000), " ",IF(INDEX($AM$2:$BM$1001,MATCH(ROWS($AF$2:AF318),$AF$2:$AF$1001,0),MATCH(COLUMNS($AM$1006:BI1006),$AM$1006:$BM$1006,0)), HYPERLINK("#",""), HYPERLINK(CONCATENATE("#metadata!", ADDRESS(INDEX($AH$2:$AH$1001,MATCH(ROWS($AF$2:AF318),$AF$2:$AF$1001,0),0), INDEX($AM$1004:$BM$1004,1,MATCH(COLUMNS($AM$1006:BI1006),$AM$1006:$BM$1006,0)))),"Fix")))</f>
        <v xml:space="preserve"> </v>
      </c>
      <c r="Y318" s="4" t="str">
        <f ca="1">IF(OR(INDEX($AG$2:$AG$1001,MATCH(ROWS($AF$2:AF318),$AF$2:$AF$1001,0),1)&gt;=100000,INDEX($AM$1005:$BM$1005,1,MATCH(COLUMNS($AM$1006:BJ1006),$AM$1006:$BM$1006,0))&gt;=100000), " ",IF(INDEX($AM$2:$BM$1001,MATCH(ROWS($AF$2:AF318),$AF$2:$AF$1001,0),MATCH(COLUMNS($AM$1006:BJ1006),$AM$1006:$BM$1006,0)), HYPERLINK("#",""), HYPERLINK(CONCATENATE("#metadata!", ADDRESS(INDEX($AH$2:$AH$1001,MATCH(ROWS($AF$2:AF318),$AF$2:$AF$1001,0),0), INDEX($AM$1004:$BM$1004,1,MATCH(COLUMNS($AM$1006:BJ1006),$AM$1006:$BM$1006,0)))),"Fix")))</f>
        <v xml:space="preserve"> </v>
      </c>
      <c r="Z318" s="4" t="str">
        <f ca="1">IF(OR(INDEX($AG$2:$AG$1001,MATCH(ROWS($AF$2:AF318),$AF$2:$AF$1001,0),1)&gt;=100000,INDEX($AM$1005:$BM$1005,1,MATCH(COLUMNS($AM$1006:BK1006),$AM$1006:$BM$1006,0))&gt;=100000), " ",IF(INDEX($AM$2:$BM$1001,MATCH(ROWS($AF$2:AF318),$AF$2:$AF$1001,0),MATCH(COLUMNS($AM$1006:BK1006),$AM$1006:$BM$1006,0)), HYPERLINK("#",""), HYPERLINK(CONCATENATE("#metadata!", ADDRESS(INDEX($AH$2:$AH$1001,MATCH(ROWS($AF$2:AF318),$AF$2:$AF$1001,0),0), INDEX($AM$1004:$BM$1004,1,MATCH(COLUMNS($AM$1006:BK1006),$AM$1006:$BM$1006,0)))),"Fix")))</f>
        <v xml:space="preserve"> </v>
      </c>
      <c r="AA318" s="4" t="str">
        <f ca="1">IF(OR(INDEX($AG$2:$AG$1001,MATCH(ROWS($AF$2:AF318),$AF$2:$AF$1001,0),1)&gt;=100000,INDEX($AM$1005:$BM$1005,1,MATCH(COLUMNS($AM$1006:BL1006),$AM$1006:$BM$1006,0))&gt;=100000), " ",IF(INDEX($AM$2:$BM$1001,MATCH(ROWS($AF$2:AF318),$AF$2:$AF$1001,0),MATCH(COLUMNS($AM$1006:BL1006),$AM$1006:$BM$1006,0)), HYPERLINK("#",""), HYPERLINK(CONCATENATE("#metadata!", ADDRESS(INDEX($AH$2:$AH$1001,MATCH(ROWS($AF$2:AF318),$AF$2:$AF$1001,0),0), INDEX($AM$1004:$BM$1004,1,MATCH(COLUMNS($AM$1006:BL1006),$AM$1006:$BM$1006,0)))),"Fix")))</f>
        <v xml:space="preserve"> </v>
      </c>
      <c r="AB318" s="4" t="str">
        <f ca="1">IF(OR(INDEX($AG$2:$AG$1001,MATCH(ROWS($AF$2:AF318),$AF$2:$AF$1001,0),1)&gt;=100000,INDEX($AM$1005:$BM$1005,1,MATCH(COLUMNS($AM$1006:BM1006),$AM$1006:$BM$1006,0))&gt;=100000), " ",IF(INDEX($AM$2:$BM$1001,MATCH(ROWS($AF$2:AF318),$AF$2:$AF$1001,0),MATCH(COLUMNS($AM$1006:BM1006),$AM$1006:$BM$1006,0)), HYPERLINK("#",""), HYPERLINK(CONCATENATE("#metadata!", ADDRESS(INDEX($AH$2:$AH$1001,MATCH(ROWS($AF$2:AF318),$AF$2:$AF$1001,0),0), INDEX($AM$1004:$BM$1004,1,MATCH(COLUMNS($AM$1006:BM1006),$AM$1006:$BM$1006,0)))),"Fix")))</f>
        <v xml:space="preserve"> </v>
      </c>
      <c r="AF318">
        <v>317</v>
      </c>
      <c r="AG318">
        <v>100318</v>
      </c>
      <c r="AH318">
        <v>318</v>
      </c>
      <c r="AI318" t="b">
        <f t="shared" si="4"/>
        <v>1</v>
      </c>
      <c r="AJ318" t="b">
        <f>COUNTBLANK(metadata!B318:AB318)=COLUMNS(metadata!B318:AB318)</f>
        <v>1</v>
      </c>
      <c r="AK318" t="str">
        <v/>
      </c>
      <c r="AM318" t="b">
        <f ca="1">AND(IF(metadata!B318="",FALSE,TRUE),COUNTIF(metadata!B:B, metadata!B318) = 1,NOT(ISERROR(SUMPRODUCT(SEARCH(MID(metadata!B318,ROW(INDIRECT("1:"&amp;LEN(metadata!B318))), 1),"0123456789abcdefghijklmnopqrstuvwxyzABCDEFGHIJKLMNOPQRSTUVWXYZ.")))))</f>
        <v>0</v>
      </c>
      <c r="AN318" t="b">
        <f ca="1">OR(AND(IF(metadata!C318="",FALSE,TRUE),OR(EXACT(metadata!C318,"missing: not collected"),EXACT(metadata!C318,"missing: not provided"),EXACT(metadata!C318,"missing: restricted access"))),AND(IF(metadata!C318="",FALSE,TRUE),AND(AND(IFERROR(INT(LEFT(metadata!C318,4))&gt;1900,FALSE),IFERROR(INT(LEFT(metadata!C318,4))&lt;=YEAR(NOW()),FALSE)), OR(MID(metadata!C318,5,1)="", AND(AND(MID(metadata!C318,5,1)="-",IFERROR(INT(MID(metadata!C318,6,1))&gt;=0,FALSE),IFERROR(INT(MID(metadata!C318,6,1))&lt;=1,FALSE),NOT(MID(metadata!C318,7,1)=""),IFERROR(INT(MID(metadata!C318,6,2))&gt;=1,FALSE),IFERROR(INT(MID(metadata!C318,6,2))&lt;=12,FALSE)), OR(MID(metadata!C318,8,1)="", AND(AND(MID(metadata!C318,8,1)="-",IFERROR(INT(MID(metadata!C318,9,1))&gt;=0,FALSE),IFERROR(INT(MID(metadata!C318,9,1))&lt;=3,FALSE),NOT(MID(metadata!C318,10,1)=""),IFERROR(INT(MID(metadata!C318,9,2))&gt;=1,FALSE),IFERROR(INT(MID(metadata!C318,9,2))&lt;=31,FALSE)), OR(MID(metadata!C318,11,1)="", AND(AND(MID(metadata!C318,11,1)=" ",IFERROR(INT(MID(metadata!C318,12,1))&gt;=0,FALSE),IFERROR(INT(MID(metadata!C318,12,1))&lt;=2,FALSE),NOT(MID(metadata!C318,13,1)=""),IFERROR(INT(MID(metadata!C318,12,2))&gt;=0,FALSE),IFERROR(INT(MID(metadata!C318,12,2))&lt;=23,FALSE)), OR(MID(metadata!C318,14,1)="", AND(AND(MID(metadata!C318,14,1)=":",IFERROR(INT(MID(metadata!C318,15,1))&gt;=0,FALSE),IFERROR(INT(MID(metadata!C318,15,1))&lt;=5,FALSE),NOT(MID(metadata!C318,16,1)=""),IFERROR(INT(MID(metadata!C318,15,2))&gt;=0,FALSE),IFERROR(INT(MID(metadata!C318,15,2))&lt;=59,FALSE)), OR(MID(metadata!C318,17,1)="", AND(AND(MID(metadata!C318,17,1)=":",IFERROR(INT(MID(metadata!C318,18,1))&gt;=0,FALSE),IFERROR(INT(MID(metadata!C318,18,1))&lt;=5,FALSE),NOT(MID(metadata!C318,19,1)=""),IFERROR(INT(MID(metadata!C318,18,2))&gt;=0,FALSE),IFERROR(INT(MID(metadata!C318,18,2))&lt;=59,FALSE)), LEN(metadata!C318)&lt;=19)))))))))))))</f>
        <v>0</v>
      </c>
      <c r="AO318" t="b">
        <f>AND(IF(metadata!D318="",FALSE,TRUE),EXACT(metadata!D318,"Not applicable"))</f>
        <v>0</v>
      </c>
      <c r="AP318" t="b">
        <f>IF(metadata!E318="",FALSE,TRUE)</f>
        <v>0</v>
      </c>
      <c r="AQ318" t="b">
        <f>OR(AND(IF(metadata!F318="",FALSE,TRUE),OR(EXACT(metadata!F318,"missing: not collected"),EXACT(metadata!F318,"missing: not provided"))),AND(IF(metadata!F318="",FALSE,TRUE),OR(EXACT(metadata!F318,"TRUE"),EXACT(metadata!F318,"FALSE"))))</f>
        <v>0</v>
      </c>
      <c r="AR318" t="b">
        <f>OR(AND(IF(metadata!G318="",FALSE,TRUE),OR(EXACT(metadata!G318,"missing: not collected"),EXACT(metadata!G318,"missing: not provided"),EXACT(metadata!G318,"missing: restricted access"))),AND(IF(metadata!G318="",FALSE,ISNUMBER(VALUE(metadata!G318))),metadata!G318&gt;=-413))</f>
        <v>0</v>
      </c>
      <c r="AS318" t="b">
        <f>AND(IF(metadata!H318="",FALSE,TRUE),EXACT(metadata!H318,"meters"))</f>
        <v>0</v>
      </c>
      <c r="AT318" t="b">
        <f>AND(IF(metadata!I318="",FALSE,TRUE),OR(EXACT(metadata!I318,"Host-associated"),EXACT(metadata!I318,"Free-living")))</f>
        <v>0</v>
      </c>
      <c r="AU318" t="b">
        <f>AND(IF(metadata!J318="",FALSE,TRUE),OR(EXACT(metadata!J318,"Animal"),EXACT(metadata!J318,"Fungus"),EXACT(metadata!J318,"Plant"),EXACT(metadata!J318,"Saline"),EXACT(metadata!J318,"Non-saline")))</f>
        <v>0</v>
      </c>
      <c r="AV318" t="b">
        <f>AND(IF(metadata!K318="",FALSE,TRUE),OR(EXACT(metadata!K318,"Plant secretion"),EXACT(metadata!K318,"Plant rhizosphere"),EXACT(metadata!K318,"Plant surface"),EXACT(metadata!K318,"Plant corpus"),EXACT(metadata!K318,"Fungus surface"),EXACT(metadata!K318,"Fungus corpus"),EXACT(metadata!K318,"Animal surface"),EXACT(metadata!K318,"Animal proximal gut"),EXACT(metadata!K318,"Animal corpus"),EXACT(metadata!K318,"Animal distal gut"),EXACT(metadata!K318,"Animal secretion"),EXACT(metadata!K318,"Sub-surface (non-saline)"),EXACT(metadata!K318,"Surface (non-saline)"),EXACT(metadata!K318,"Water (non-saline)"),EXACT(metadata!K318,"Soil (non-saline)"),EXACT(metadata!K318,"Aerosol (non-saline)"),EXACT(metadata!K318,"Sediment (non-saline)"),EXACT(metadata!K318,"Surface (saline)"),EXACT(metadata!K318,"Water (saline)"),EXACT(metadata!K318,"Hypersaline (saline)"),EXACT(metadata!K318,"Aerosol (saline)"),EXACT(metadata!K318,"Sediment (saline)")))</f>
        <v>0</v>
      </c>
      <c r="AW318" t="b">
        <f>IF(metadata!L318="",FALSE,TRUE)</f>
        <v>0</v>
      </c>
      <c r="AX318" t="b">
        <f>IF(metadata!M318="",FALSE,TRUE)</f>
        <v>0</v>
      </c>
      <c r="AY318" t="b">
        <f>IF(metadata!N318="",FALSE,TRUE)</f>
        <v>0</v>
      </c>
      <c r="AZ318" t="b">
        <f>OR(AND(IF(metadata!O318="",FALSE,TRUE),OR(EXACT(metadata!O318,"missing: not collected"),EXACT(metadata!O318,"missing: not provided"),EXACT(metadata!O318,"missing: restricted access"))),AND(IF(metadata!O318="",FALSE,TRUE),OR(EXACT(metadata!O318,"air"),EXACT(metadata!O318,"built environment"),EXACT(metadata!O318,"host-associated"),EXACT(metadata!O318,"human-associated"),EXACT(metadata!O318,"human-skin"),EXACT(metadata!O318,"human-oral"),EXACT(metadata!O318,"human-gut"),EXACT(metadata!O318,"human-vaginal"),EXACT(metadata!O318,"microbial mat/biofilm"),EXACT(metadata!O318,"misc environment"),EXACT(metadata!O318,"plant-associated"),EXACT(metadata!O318,"sediment"),EXACT(metadata!O318,"soil"),EXACT(metadata!O318,"wastewater/sludge"),EXACT(metadata!O318,"water"))))</f>
        <v>0</v>
      </c>
      <c r="BA318" t="b">
        <f>IF(metadata!P318="",FALSE,TRUE)</f>
        <v>0</v>
      </c>
      <c r="BB318" t="b">
        <f>IF(metadata!Q318="",FALSE,TRUE)</f>
        <v>0</v>
      </c>
      <c r="BC318" t="b">
        <f>OR(AND(IF(metadata!R318="",FALSE,TRUE),OR(EXACT(metadata!R318,"missing: not collected"),EXACT(metadata!R318,"missing: not provided"),EXACT(metadata!R318,"missing: restricted access"))),AND(IF(metadata!R318="",FALSE,ISNUMBER(VALUE(metadata!R318))),metadata!R318&gt;=-90,metadata!R318&lt;=90))</f>
        <v>0</v>
      </c>
      <c r="BD318" t="b">
        <f>AND(IF(metadata!S318="",FALSE,TRUE),EXACT(metadata!S318,"Decimal degrees"))</f>
        <v>0</v>
      </c>
      <c r="BE318" t="b">
        <f>OR(AND(IF(metadata!T318="",FALSE,TRUE),OR(EXACT(metadata!T318,"missing: not collected"),EXACT(metadata!T318,"missing: not provided"),EXACT(metadata!T318,"missing: restricted access"))),AND(IF(metadata!T318="",FALSE,ISNUMBER(VALUE(metadata!T318))),metadata!T318&gt;=-180,metadata!T318&lt;=180))</f>
        <v>0</v>
      </c>
      <c r="BF318" t="b">
        <f>AND(IF(metadata!U318="",FALSE,TRUE),EXACT(metadata!U318,"Decimal degrees"))</f>
        <v>0</v>
      </c>
      <c r="BG318" t="b">
        <f>IF(metadata!V318="",FALSE,TRUE)</f>
        <v>0</v>
      </c>
      <c r="BH318" t="b">
        <f>OR(AND(IF(metadata!W318="",FALSE,TRUE),OR(EXACT(metadata!W318,"missing: not collected"),EXACT(metadata!W318,"missing: not provided"),EXACT(metadata!W318,"missing: restricted access"))),AND(IF(metadata!W318="",FALSE,TRUE),OR(EXACT(metadata!W318,"TRUE"),EXACT(metadata!W318,"FALSE"))))</f>
        <v>0</v>
      </c>
      <c r="BI318" t="b">
        <f>AND(IF(metadata!X318="",FALSE,TRUE),EXACT(metadata!X318,"other"))</f>
        <v>0</v>
      </c>
      <c r="BJ318" t="b">
        <f>IF(metadata!Y318="",FALSE,TRUE)</f>
        <v>0</v>
      </c>
      <c r="BK318" t="b">
        <f>OR(AND(IF(metadata!Z318="",FALSE,TRUE),OR(EXACT(metadata!Z318,"missing: not collected"),EXACT(metadata!Z318,"missing: not provided"))),AND(IF(metadata!Z318="",FALSE,IF(ISERROR(INT(metadata!Z318)),FALSE,INT(metadata!Z318)=metadata!Z318)),metadata!Z318&gt;0))</f>
        <v>0</v>
      </c>
      <c r="BL318" t="b">
        <f>AND(IF(metadata!AA318="",FALSE,TRUE),EXACT(metadata!AA318,"Not applicable"))</f>
        <v>0</v>
      </c>
      <c r="BM318" t="b">
        <f>IF(metadata!AB318="",FALSE,TRUE)</f>
        <v>0</v>
      </c>
    </row>
    <row r="319" spans="1:65" x14ac:dyDescent="0.2">
      <c r="A319" s="5" t="str">
        <f ca="1">IF(B319=" "," ",HYPERLINK(CONCATENATE("#metadata!",ADDRESS(INDEX($AH$2:$AH$1001,MATCH(ROWS($AF$2:AF319),$AF$2:$AF$1001,0),0),1)),INDEX($AK$2:$AK$1001,MATCH(ROWS($AF$2:AF319),$AF$2:$AF$1001,0),0)))</f>
        <v xml:space="preserve"> </v>
      </c>
      <c r="B319" s="4" t="str">
        <f ca="1">IF(OR(INDEX($AG$2:$AG$1001,MATCH(ROWS($AF$2:AF319),$AF$2:$AF$1001,0),1)&gt;=100000,INDEX($AM$1005:$BM$1005,1,MATCH(COLUMNS($AM$1006:AM1006),$AM$1006:$BM$1006,0))&gt;=100000), " ",IF(INDEX($AM$2:$BM$1001,MATCH(ROWS($AF$2:AF319),$AF$2:$AF$1001,0),MATCH(COLUMNS($AM$1006:AM1006),$AM$1006:$BM$1006,0)), HYPERLINK("#",""), HYPERLINK(CONCATENATE("#metadata!", ADDRESS(INDEX($AH$2:$AH$1001,MATCH(ROWS($AF$2:AF319),$AF$2:$AF$1001,0),0), INDEX($AM$1004:$BM$1004,1,MATCH(COLUMNS($AM$1006:AM1006),$AM$1006:$BM$1006,0)))),"Fix")))</f>
        <v xml:space="preserve"> </v>
      </c>
      <c r="C319" s="4" t="str">
        <f ca="1">IF(OR(INDEX($AG$2:$AG$1001,MATCH(ROWS($AF$2:AF319),$AF$2:$AF$1001,0),1)&gt;=100000,INDEX($AM$1005:$BM$1005,1,MATCH(COLUMNS($AM$1006:AN1006),$AM$1006:$BM$1006,0))&gt;=100000), " ",IF(INDEX($AM$2:$BM$1001,MATCH(ROWS($AF$2:AF319),$AF$2:$AF$1001,0),MATCH(COLUMNS($AM$1006:AN1006),$AM$1006:$BM$1006,0)), HYPERLINK("#",""), HYPERLINK(CONCATENATE("#metadata!", ADDRESS(INDEX($AH$2:$AH$1001,MATCH(ROWS($AF$2:AF319),$AF$2:$AF$1001,0),0), INDEX($AM$1004:$BM$1004,1,MATCH(COLUMNS($AM$1006:AN1006),$AM$1006:$BM$1006,0)))),"Fix")))</f>
        <v xml:space="preserve"> </v>
      </c>
      <c r="D319" s="4" t="str">
        <f ca="1">IF(OR(INDEX($AG$2:$AG$1001,MATCH(ROWS($AF$2:AF319),$AF$2:$AF$1001,0),1)&gt;=100000,INDEX($AM$1005:$BM$1005,1,MATCH(COLUMNS($AM$1006:AO1006),$AM$1006:$BM$1006,0))&gt;=100000), " ",IF(INDEX($AM$2:$BM$1001,MATCH(ROWS($AF$2:AF319),$AF$2:$AF$1001,0),MATCH(COLUMNS($AM$1006:AO1006),$AM$1006:$BM$1006,0)), HYPERLINK("#",""), HYPERLINK(CONCATENATE("#metadata!", ADDRESS(INDEX($AH$2:$AH$1001,MATCH(ROWS($AF$2:AF319),$AF$2:$AF$1001,0),0), INDEX($AM$1004:$BM$1004,1,MATCH(COLUMNS($AM$1006:AO1006),$AM$1006:$BM$1006,0)))),"Fix")))</f>
        <v xml:space="preserve"> </v>
      </c>
      <c r="E319" s="4" t="str">
        <f ca="1">IF(OR(INDEX($AG$2:$AG$1001,MATCH(ROWS($AF$2:AF319),$AF$2:$AF$1001,0),1)&gt;=100000,INDEX($AM$1005:$BM$1005,1,MATCH(COLUMNS($AM$1006:AP1006),$AM$1006:$BM$1006,0))&gt;=100000), " ",IF(INDEX($AM$2:$BM$1001,MATCH(ROWS($AF$2:AF319),$AF$2:$AF$1001,0),MATCH(COLUMNS($AM$1006:AP1006),$AM$1006:$BM$1006,0)), HYPERLINK("#",""), HYPERLINK(CONCATENATE("#metadata!", ADDRESS(INDEX($AH$2:$AH$1001,MATCH(ROWS($AF$2:AF319),$AF$2:$AF$1001,0),0), INDEX($AM$1004:$BM$1004,1,MATCH(COLUMNS($AM$1006:AP1006),$AM$1006:$BM$1006,0)))),"Fix")))</f>
        <v xml:space="preserve"> </v>
      </c>
      <c r="F319" s="4" t="str">
        <f ca="1">IF(OR(INDEX($AG$2:$AG$1001,MATCH(ROWS($AF$2:AF319),$AF$2:$AF$1001,0),1)&gt;=100000,INDEX($AM$1005:$BM$1005,1,MATCH(COLUMNS($AM$1006:AQ1006),$AM$1006:$BM$1006,0))&gt;=100000), " ",IF(INDEX($AM$2:$BM$1001,MATCH(ROWS($AF$2:AF319),$AF$2:$AF$1001,0),MATCH(COLUMNS($AM$1006:AQ1006),$AM$1006:$BM$1006,0)), HYPERLINK("#",""), HYPERLINK(CONCATENATE("#metadata!", ADDRESS(INDEX($AH$2:$AH$1001,MATCH(ROWS($AF$2:AF319),$AF$2:$AF$1001,0),0), INDEX($AM$1004:$BM$1004,1,MATCH(COLUMNS($AM$1006:AQ1006),$AM$1006:$BM$1006,0)))),"Fix")))</f>
        <v xml:space="preserve"> </v>
      </c>
      <c r="G319" s="4" t="str">
        <f ca="1">IF(OR(INDEX($AG$2:$AG$1001,MATCH(ROWS($AF$2:AF319),$AF$2:$AF$1001,0),1)&gt;=100000,INDEX($AM$1005:$BM$1005,1,MATCH(COLUMNS($AM$1006:AR1006),$AM$1006:$BM$1006,0))&gt;=100000), " ",IF(INDEX($AM$2:$BM$1001,MATCH(ROWS($AF$2:AF319),$AF$2:$AF$1001,0),MATCH(COLUMNS($AM$1006:AR1006),$AM$1006:$BM$1006,0)), HYPERLINK("#",""), HYPERLINK(CONCATENATE("#metadata!", ADDRESS(INDEX($AH$2:$AH$1001,MATCH(ROWS($AF$2:AF319),$AF$2:$AF$1001,0),0), INDEX($AM$1004:$BM$1004,1,MATCH(COLUMNS($AM$1006:AR1006),$AM$1006:$BM$1006,0)))),"Fix")))</f>
        <v xml:space="preserve"> </v>
      </c>
      <c r="H319" s="4" t="str">
        <f ca="1">IF(OR(INDEX($AG$2:$AG$1001,MATCH(ROWS($AF$2:AF319),$AF$2:$AF$1001,0),1)&gt;=100000,INDEX($AM$1005:$BM$1005,1,MATCH(COLUMNS($AM$1006:AS1006),$AM$1006:$BM$1006,0))&gt;=100000), " ",IF(INDEX($AM$2:$BM$1001,MATCH(ROWS($AF$2:AF319),$AF$2:$AF$1001,0),MATCH(COLUMNS($AM$1006:AS1006),$AM$1006:$BM$1006,0)), HYPERLINK("#",""), HYPERLINK(CONCATENATE("#metadata!", ADDRESS(INDEX($AH$2:$AH$1001,MATCH(ROWS($AF$2:AF319),$AF$2:$AF$1001,0),0), INDEX($AM$1004:$BM$1004,1,MATCH(COLUMNS($AM$1006:AS1006),$AM$1006:$BM$1006,0)))),"Fix")))</f>
        <v xml:space="preserve"> </v>
      </c>
      <c r="I319" s="4" t="str">
        <f ca="1">IF(OR(INDEX($AG$2:$AG$1001,MATCH(ROWS($AF$2:AF319),$AF$2:$AF$1001,0),1)&gt;=100000,INDEX($AM$1005:$BM$1005,1,MATCH(COLUMNS($AM$1006:AT1006),$AM$1006:$BM$1006,0))&gt;=100000), " ",IF(INDEX($AM$2:$BM$1001,MATCH(ROWS($AF$2:AF319),$AF$2:$AF$1001,0),MATCH(COLUMNS($AM$1006:AT1006),$AM$1006:$BM$1006,0)), HYPERLINK("#",""), HYPERLINK(CONCATENATE("#metadata!", ADDRESS(INDEX($AH$2:$AH$1001,MATCH(ROWS($AF$2:AF319),$AF$2:$AF$1001,0),0), INDEX($AM$1004:$BM$1004,1,MATCH(COLUMNS($AM$1006:AT1006),$AM$1006:$BM$1006,0)))),"Fix")))</f>
        <v xml:space="preserve"> </v>
      </c>
      <c r="J319" s="4" t="str">
        <f ca="1">IF(OR(INDEX($AG$2:$AG$1001,MATCH(ROWS($AF$2:AF319),$AF$2:$AF$1001,0),1)&gt;=100000,INDEX($AM$1005:$BM$1005,1,MATCH(COLUMNS($AM$1006:AU1006),$AM$1006:$BM$1006,0))&gt;=100000), " ",IF(INDEX($AM$2:$BM$1001,MATCH(ROWS($AF$2:AF319),$AF$2:$AF$1001,0),MATCH(COLUMNS($AM$1006:AU1006),$AM$1006:$BM$1006,0)), HYPERLINK("#",""), HYPERLINK(CONCATENATE("#metadata!", ADDRESS(INDEX($AH$2:$AH$1001,MATCH(ROWS($AF$2:AF319),$AF$2:$AF$1001,0),0), INDEX($AM$1004:$BM$1004,1,MATCH(COLUMNS($AM$1006:AU1006),$AM$1006:$BM$1006,0)))),"Fix")))</f>
        <v xml:space="preserve"> </v>
      </c>
      <c r="K319" s="4" t="str">
        <f ca="1">IF(OR(INDEX($AG$2:$AG$1001,MATCH(ROWS($AF$2:AF319),$AF$2:$AF$1001,0),1)&gt;=100000,INDEX($AM$1005:$BM$1005,1,MATCH(COLUMNS($AM$1006:AV1006),$AM$1006:$BM$1006,0))&gt;=100000), " ",IF(INDEX($AM$2:$BM$1001,MATCH(ROWS($AF$2:AF319),$AF$2:$AF$1001,0),MATCH(COLUMNS($AM$1006:AV1006),$AM$1006:$BM$1006,0)), HYPERLINK("#",""), HYPERLINK(CONCATENATE("#metadata!", ADDRESS(INDEX($AH$2:$AH$1001,MATCH(ROWS($AF$2:AF319),$AF$2:$AF$1001,0),0), INDEX($AM$1004:$BM$1004,1,MATCH(COLUMNS($AM$1006:AV1006),$AM$1006:$BM$1006,0)))),"Fix")))</f>
        <v xml:space="preserve"> </v>
      </c>
      <c r="L319" s="4" t="str">
        <f ca="1">IF(OR(INDEX($AG$2:$AG$1001,MATCH(ROWS($AF$2:AF319),$AF$2:$AF$1001,0),1)&gt;=100000,INDEX($AM$1005:$BM$1005,1,MATCH(COLUMNS($AM$1006:AW1006),$AM$1006:$BM$1006,0))&gt;=100000), " ",IF(INDEX($AM$2:$BM$1001,MATCH(ROWS($AF$2:AF319),$AF$2:$AF$1001,0),MATCH(COLUMNS($AM$1006:AW1006),$AM$1006:$BM$1006,0)), HYPERLINK("#",""), HYPERLINK(CONCATENATE("#metadata!", ADDRESS(INDEX($AH$2:$AH$1001,MATCH(ROWS($AF$2:AF319),$AF$2:$AF$1001,0),0), INDEX($AM$1004:$BM$1004,1,MATCH(COLUMNS($AM$1006:AW1006),$AM$1006:$BM$1006,0)))),"Fix")))</f>
        <v xml:space="preserve"> </v>
      </c>
      <c r="M319" s="4" t="str">
        <f ca="1">IF(OR(INDEX($AG$2:$AG$1001,MATCH(ROWS($AF$2:AF319),$AF$2:$AF$1001,0),1)&gt;=100000,INDEX($AM$1005:$BM$1005,1,MATCH(COLUMNS($AM$1006:AX1006),$AM$1006:$BM$1006,0))&gt;=100000), " ",IF(INDEX($AM$2:$BM$1001,MATCH(ROWS($AF$2:AF319),$AF$2:$AF$1001,0),MATCH(COLUMNS($AM$1006:AX1006),$AM$1006:$BM$1006,0)), HYPERLINK("#",""), HYPERLINK(CONCATENATE("#metadata!", ADDRESS(INDEX($AH$2:$AH$1001,MATCH(ROWS($AF$2:AF319),$AF$2:$AF$1001,0),0), INDEX($AM$1004:$BM$1004,1,MATCH(COLUMNS($AM$1006:AX1006),$AM$1006:$BM$1006,0)))),"Fix")))</f>
        <v xml:space="preserve"> </v>
      </c>
      <c r="N319" s="4" t="str">
        <f ca="1">IF(OR(INDEX($AG$2:$AG$1001,MATCH(ROWS($AF$2:AF319),$AF$2:$AF$1001,0),1)&gt;=100000,INDEX($AM$1005:$BM$1005,1,MATCH(COLUMNS($AM$1006:AY1006),$AM$1006:$BM$1006,0))&gt;=100000), " ",IF(INDEX($AM$2:$BM$1001,MATCH(ROWS($AF$2:AF319),$AF$2:$AF$1001,0),MATCH(COLUMNS($AM$1006:AY1006),$AM$1006:$BM$1006,0)), HYPERLINK("#",""), HYPERLINK(CONCATENATE("#metadata!", ADDRESS(INDEX($AH$2:$AH$1001,MATCH(ROWS($AF$2:AF319),$AF$2:$AF$1001,0),0), INDEX($AM$1004:$BM$1004,1,MATCH(COLUMNS($AM$1006:AY1006),$AM$1006:$BM$1006,0)))),"Fix")))</f>
        <v xml:space="preserve"> </v>
      </c>
      <c r="O319" s="4" t="str">
        <f ca="1">IF(OR(INDEX($AG$2:$AG$1001,MATCH(ROWS($AF$2:AF319),$AF$2:$AF$1001,0),1)&gt;=100000,INDEX($AM$1005:$BM$1005,1,MATCH(COLUMNS($AM$1006:AZ1006),$AM$1006:$BM$1006,0))&gt;=100000), " ",IF(INDEX($AM$2:$BM$1001,MATCH(ROWS($AF$2:AF319),$AF$2:$AF$1001,0),MATCH(COLUMNS($AM$1006:AZ1006),$AM$1006:$BM$1006,0)), HYPERLINK("#",""), HYPERLINK(CONCATENATE("#metadata!", ADDRESS(INDEX($AH$2:$AH$1001,MATCH(ROWS($AF$2:AF319),$AF$2:$AF$1001,0),0), INDEX($AM$1004:$BM$1004,1,MATCH(COLUMNS($AM$1006:AZ1006),$AM$1006:$BM$1006,0)))),"Fix")))</f>
        <v xml:space="preserve"> </v>
      </c>
      <c r="P319" s="4" t="str">
        <f ca="1">IF(OR(INDEX($AG$2:$AG$1001,MATCH(ROWS($AF$2:AF319),$AF$2:$AF$1001,0),1)&gt;=100000,INDEX($AM$1005:$BM$1005,1,MATCH(COLUMNS($AM$1006:BA1006),$AM$1006:$BM$1006,0))&gt;=100000), " ",IF(INDEX($AM$2:$BM$1001,MATCH(ROWS($AF$2:AF319),$AF$2:$AF$1001,0),MATCH(COLUMNS($AM$1006:BA1006),$AM$1006:$BM$1006,0)), HYPERLINK("#",""), HYPERLINK(CONCATENATE("#metadata!", ADDRESS(INDEX($AH$2:$AH$1001,MATCH(ROWS($AF$2:AF319),$AF$2:$AF$1001,0),0), INDEX($AM$1004:$BM$1004,1,MATCH(COLUMNS($AM$1006:BA1006),$AM$1006:$BM$1006,0)))),"Fix")))</f>
        <v xml:space="preserve"> </v>
      </c>
      <c r="Q319" s="4" t="str">
        <f ca="1">IF(OR(INDEX($AG$2:$AG$1001,MATCH(ROWS($AF$2:AF319),$AF$2:$AF$1001,0),1)&gt;=100000,INDEX($AM$1005:$BM$1005,1,MATCH(COLUMNS($AM$1006:BB1006),$AM$1006:$BM$1006,0))&gt;=100000), " ",IF(INDEX($AM$2:$BM$1001,MATCH(ROWS($AF$2:AF319),$AF$2:$AF$1001,0),MATCH(COLUMNS($AM$1006:BB1006),$AM$1006:$BM$1006,0)), HYPERLINK("#",""), HYPERLINK(CONCATENATE("#metadata!", ADDRESS(INDEX($AH$2:$AH$1001,MATCH(ROWS($AF$2:AF319),$AF$2:$AF$1001,0),0), INDEX($AM$1004:$BM$1004,1,MATCH(COLUMNS($AM$1006:BB1006),$AM$1006:$BM$1006,0)))),"Fix")))</f>
        <v xml:space="preserve"> </v>
      </c>
      <c r="R319" s="4" t="str">
        <f ca="1">IF(OR(INDEX($AG$2:$AG$1001,MATCH(ROWS($AF$2:AF319),$AF$2:$AF$1001,0),1)&gt;=100000,INDEX($AM$1005:$BM$1005,1,MATCH(COLUMNS($AM$1006:BC1006),$AM$1006:$BM$1006,0))&gt;=100000), " ",IF(INDEX($AM$2:$BM$1001,MATCH(ROWS($AF$2:AF319),$AF$2:$AF$1001,0),MATCH(COLUMNS($AM$1006:BC1006),$AM$1006:$BM$1006,0)), HYPERLINK("#",""), HYPERLINK(CONCATENATE("#metadata!", ADDRESS(INDEX($AH$2:$AH$1001,MATCH(ROWS($AF$2:AF319),$AF$2:$AF$1001,0),0), INDEX($AM$1004:$BM$1004,1,MATCH(COLUMNS($AM$1006:BC1006),$AM$1006:$BM$1006,0)))),"Fix")))</f>
        <v xml:space="preserve"> </v>
      </c>
      <c r="S319" s="4" t="str">
        <f ca="1">IF(OR(INDEX($AG$2:$AG$1001,MATCH(ROWS($AF$2:AF319),$AF$2:$AF$1001,0),1)&gt;=100000,INDEX($AM$1005:$BM$1005,1,MATCH(COLUMNS($AM$1006:BD1006),$AM$1006:$BM$1006,0))&gt;=100000), " ",IF(INDEX($AM$2:$BM$1001,MATCH(ROWS($AF$2:AF319),$AF$2:$AF$1001,0),MATCH(COLUMNS($AM$1006:BD1006),$AM$1006:$BM$1006,0)), HYPERLINK("#",""), HYPERLINK(CONCATENATE("#metadata!", ADDRESS(INDEX($AH$2:$AH$1001,MATCH(ROWS($AF$2:AF319),$AF$2:$AF$1001,0),0), INDEX($AM$1004:$BM$1004,1,MATCH(COLUMNS($AM$1006:BD1006),$AM$1006:$BM$1006,0)))),"Fix")))</f>
        <v xml:space="preserve"> </v>
      </c>
      <c r="T319" s="4" t="str">
        <f ca="1">IF(OR(INDEX($AG$2:$AG$1001,MATCH(ROWS($AF$2:AF319),$AF$2:$AF$1001,0),1)&gt;=100000,INDEX($AM$1005:$BM$1005,1,MATCH(COLUMNS($AM$1006:BE1006),$AM$1006:$BM$1006,0))&gt;=100000), " ",IF(INDEX($AM$2:$BM$1001,MATCH(ROWS($AF$2:AF319),$AF$2:$AF$1001,0),MATCH(COLUMNS($AM$1006:BE1006),$AM$1006:$BM$1006,0)), HYPERLINK("#",""), HYPERLINK(CONCATENATE("#metadata!", ADDRESS(INDEX($AH$2:$AH$1001,MATCH(ROWS($AF$2:AF319),$AF$2:$AF$1001,0),0), INDEX($AM$1004:$BM$1004,1,MATCH(COLUMNS($AM$1006:BE1006),$AM$1006:$BM$1006,0)))),"Fix")))</f>
        <v xml:space="preserve"> </v>
      </c>
      <c r="U319" s="4" t="str">
        <f ca="1">IF(OR(INDEX($AG$2:$AG$1001,MATCH(ROWS($AF$2:AF319),$AF$2:$AF$1001,0),1)&gt;=100000,INDEX($AM$1005:$BM$1005,1,MATCH(COLUMNS($AM$1006:BF1006),$AM$1006:$BM$1006,0))&gt;=100000), " ",IF(INDEX($AM$2:$BM$1001,MATCH(ROWS($AF$2:AF319),$AF$2:$AF$1001,0),MATCH(COLUMNS($AM$1006:BF1006),$AM$1006:$BM$1006,0)), HYPERLINK("#",""), HYPERLINK(CONCATENATE("#metadata!", ADDRESS(INDEX($AH$2:$AH$1001,MATCH(ROWS($AF$2:AF319),$AF$2:$AF$1001,0),0), INDEX($AM$1004:$BM$1004,1,MATCH(COLUMNS($AM$1006:BF1006),$AM$1006:$BM$1006,0)))),"Fix")))</f>
        <v xml:space="preserve"> </v>
      </c>
      <c r="V319" s="4" t="str">
        <f ca="1">IF(OR(INDEX($AG$2:$AG$1001,MATCH(ROWS($AF$2:AF319),$AF$2:$AF$1001,0),1)&gt;=100000,INDEX($AM$1005:$BM$1005,1,MATCH(COLUMNS($AM$1006:BG1006),$AM$1006:$BM$1006,0))&gt;=100000), " ",IF(INDEX($AM$2:$BM$1001,MATCH(ROWS($AF$2:AF319),$AF$2:$AF$1001,0),MATCH(COLUMNS($AM$1006:BG1006),$AM$1006:$BM$1006,0)), HYPERLINK("#",""), HYPERLINK(CONCATENATE("#metadata!", ADDRESS(INDEX($AH$2:$AH$1001,MATCH(ROWS($AF$2:AF319),$AF$2:$AF$1001,0),0), INDEX($AM$1004:$BM$1004,1,MATCH(COLUMNS($AM$1006:BG1006),$AM$1006:$BM$1006,0)))),"Fix")))</f>
        <v xml:space="preserve"> </v>
      </c>
      <c r="W319" s="4" t="str">
        <f ca="1">IF(OR(INDEX($AG$2:$AG$1001,MATCH(ROWS($AF$2:AF319),$AF$2:$AF$1001,0),1)&gt;=100000,INDEX($AM$1005:$BM$1005,1,MATCH(COLUMNS($AM$1006:BH1006),$AM$1006:$BM$1006,0))&gt;=100000), " ",IF(INDEX($AM$2:$BM$1001,MATCH(ROWS($AF$2:AF319),$AF$2:$AF$1001,0),MATCH(COLUMNS($AM$1006:BH1006),$AM$1006:$BM$1006,0)), HYPERLINK("#",""), HYPERLINK(CONCATENATE("#metadata!", ADDRESS(INDEX($AH$2:$AH$1001,MATCH(ROWS($AF$2:AF319),$AF$2:$AF$1001,0),0), INDEX($AM$1004:$BM$1004,1,MATCH(COLUMNS($AM$1006:BH1006),$AM$1006:$BM$1006,0)))),"Fix")))</f>
        <v xml:space="preserve"> </v>
      </c>
      <c r="X319" s="4" t="str">
        <f ca="1">IF(OR(INDEX($AG$2:$AG$1001,MATCH(ROWS($AF$2:AF319),$AF$2:$AF$1001,0),1)&gt;=100000,INDEX($AM$1005:$BM$1005,1,MATCH(COLUMNS($AM$1006:BI1006),$AM$1006:$BM$1006,0))&gt;=100000), " ",IF(INDEX($AM$2:$BM$1001,MATCH(ROWS($AF$2:AF319),$AF$2:$AF$1001,0),MATCH(COLUMNS($AM$1006:BI1006),$AM$1006:$BM$1006,0)), HYPERLINK("#",""), HYPERLINK(CONCATENATE("#metadata!", ADDRESS(INDEX($AH$2:$AH$1001,MATCH(ROWS($AF$2:AF319),$AF$2:$AF$1001,0),0), INDEX($AM$1004:$BM$1004,1,MATCH(COLUMNS($AM$1006:BI1006),$AM$1006:$BM$1006,0)))),"Fix")))</f>
        <v xml:space="preserve"> </v>
      </c>
      <c r="Y319" s="4" t="str">
        <f ca="1">IF(OR(INDEX($AG$2:$AG$1001,MATCH(ROWS($AF$2:AF319),$AF$2:$AF$1001,0),1)&gt;=100000,INDEX($AM$1005:$BM$1005,1,MATCH(COLUMNS($AM$1006:BJ1006),$AM$1006:$BM$1006,0))&gt;=100000), " ",IF(INDEX($AM$2:$BM$1001,MATCH(ROWS($AF$2:AF319),$AF$2:$AF$1001,0),MATCH(COLUMNS($AM$1006:BJ1006),$AM$1006:$BM$1006,0)), HYPERLINK("#",""), HYPERLINK(CONCATENATE("#metadata!", ADDRESS(INDEX($AH$2:$AH$1001,MATCH(ROWS($AF$2:AF319),$AF$2:$AF$1001,0),0), INDEX($AM$1004:$BM$1004,1,MATCH(COLUMNS($AM$1006:BJ1006),$AM$1006:$BM$1006,0)))),"Fix")))</f>
        <v xml:space="preserve"> </v>
      </c>
      <c r="Z319" s="4" t="str">
        <f ca="1">IF(OR(INDEX($AG$2:$AG$1001,MATCH(ROWS($AF$2:AF319),$AF$2:$AF$1001,0),1)&gt;=100000,INDEX($AM$1005:$BM$1005,1,MATCH(COLUMNS($AM$1006:BK1006),$AM$1006:$BM$1006,0))&gt;=100000), " ",IF(INDEX($AM$2:$BM$1001,MATCH(ROWS($AF$2:AF319),$AF$2:$AF$1001,0),MATCH(COLUMNS($AM$1006:BK1006),$AM$1006:$BM$1006,0)), HYPERLINK("#",""), HYPERLINK(CONCATENATE("#metadata!", ADDRESS(INDEX($AH$2:$AH$1001,MATCH(ROWS($AF$2:AF319),$AF$2:$AF$1001,0),0), INDEX($AM$1004:$BM$1004,1,MATCH(COLUMNS($AM$1006:BK1006),$AM$1006:$BM$1006,0)))),"Fix")))</f>
        <v xml:space="preserve"> </v>
      </c>
      <c r="AA319" s="4" t="str">
        <f ca="1">IF(OR(INDEX($AG$2:$AG$1001,MATCH(ROWS($AF$2:AF319),$AF$2:$AF$1001,0),1)&gt;=100000,INDEX($AM$1005:$BM$1005,1,MATCH(COLUMNS($AM$1006:BL1006),$AM$1006:$BM$1006,0))&gt;=100000), " ",IF(INDEX($AM$2:$BM$1001,MATCH(ROWS($AF$2:AF319),$AF$2:$AF$1001,0),MATCH(COLUMNS($AM$1006:BL1006),$AM$1006:$BM$1006,0)), HYPERLINK("#",""), HYPERLINK(CONCATENATE("#metadata!", ADDRESS(INDEX($AH$2:$AH$1001,MATCH(ROWS($AF$2:AF319),$AF$2:$AF$1001,0),0), INDEX($AM$1004:$BM$1004,1,MATCH(COLUMNS($AM$1006:BL1006),$AM$1006:$BM$1006,0)))),"Fix")))</f>
        <v xml:space="preserve"> </v>
      </c>
      <c r="AB319" s="4" t="str">
        <f ca="1">IF(OR(INDEX($AG$2:$AG$1001,MATCH(ROWS($AF$2:AF319),$AF$2:$AF$1001,0),1)&gt;=100000,INDEX($AM$1005:$BM$1005,1,MATCH(COLUMNS($AM$1006:BM1006),$AM$1006:$BM$1006,0))&gt;=100000), " ",IF(INDEX($AM$2:$BM$1001,MATCH(ROWS($AF$2:AF319),$AF$2:$AF$1001,0),MATCH(COLUMNS($AM$1006:BM1006),$AM$1006:$BM$1006,0)), HYPERLINK("#",""), HYPERLINK(CONCATENATE("#metadata!", ADDRESS(INDEX($AH$2:$AH$1001,MATCH(ROWS($AF$2:AF319),$AF$2:$AF$1001,0),0), INDEX($AM$1004:$BM$1004,1,MATCH(COLUMNS($AM$1006:BM1006),$AM$1006:$BM$1006,0)))),"Fix")))</f>
        <v xml:space="preserve"> </v>
      </c>
      <c r="AF319">
        <v>318</v>
      </c>
      <c r="AG319">
        <v>100319</v>
      </c>
      <c r="AH319">
        <v>319</v>
      </c>
      <c r="AI319" t="b">
        <f t="shared" si="4"/>
        <v>1</v>
      </c>
      <c r="AJ319" t="b">
        <f>COUNTBLANK(metadata!B319:AB319)=COLUMNS(metadata!B319:AB319)</f>
        <v>1</v>
      </c>
      <c r="AK319" t="str">
        <v/>
      </c>
      <c r="AM319" t="b">
        <f ca="1">AND(IF(metadata!B319="",FALSE,TRUE),COUNTIF(metadata!B:B, metadata!B319) = 1,NOT(ISERROR(SUMPRODUCT(SEARCH(MID(metadata!B319,ROW(INDIRECT("1:"&amp;LEN(metadata!B319))), 1),"0123456789abcdefghijklmnopqrstuvwxyzABCDEFGHIJKLMNOPQRSTUVWXYZ.")))))</f>
        <v>0</v>
      </c>
      <c r="AN319" t="b">
        <f ca="1">OR(AND(IF(metadata!C319="",FALSE,TRUE),OR(EXACT(metadata!C319,"missing: not collected"),EXACT(metadata!C319,"missing: not provided"),EXACT(metadata!C319,"missing: restricted access"))),AND(IF(metadata!C319="",FALSE,TRUE),AND(AND(IFERROR(INT(LEFT(metadata!C319,4))&gt;1900,FALSE),IFERROR(INT(LEFT(metadata!C319,4))&lt;=YEAR(NOW()),FALSE)), OR(MID(metadata!C319,5,1)="", AND(AND(MID(metadata!C319,5,1)="-",IFERROR(INT(MID(metadata!C319,6,1))&gt;=0,FALSE),IFERROR(INT(MID(metadata!C319,6,1))&lt;=1,FALSE),NOT(MID(metadata!C319,7,1)=""),IFERROR(INT(MID(metadata!C319,6,2))&gt;=1,FALSE),IFERROR(INT(MID(metadata!C319,6,2))&lt;=12,FALSE)), OR(MID(metadata!C319,8,1)="", AND(AND(MID(metadata!C319,8,1)="-",IFERROR(INT(MID(metadata!C319,9,1))&gt;=0,FALSE),IFERROR(INT(MID(metadata!C319,9,1))&lt;=3,FALSE),NOT(MID(metadata!C319,10,1)=""),IFERROR(INT(MID(metadata!C319,9,2))&gt;=1,FALSE),IFERROR(INT(MID(metadata!C319,9,2))&lt;=31,FALSE)), OR(MID(metadata!C319,11,1)="", AND(AND(MID(metadata!C319,11,1)=" ",IFERROR(INT(MID(metadata!C319,12,1))&gt;=0,FALSE),IFERROR(INT(MID(metadata!C319,12,1))&lt;=2,FALSE),NOT(MID(metadata!C319,13,1)=""),IFERROR(INT(MID(metadata!C319,12,2))&gt;=0,FALSE),IFERROR(INT(MID(metadata!C319,12,2))&lt;=23,FALSE)), OR(MID(metadata!C319,14,1)="", AND(AND(MID(metadata!C319,14,1)=":",IFERROR(INT(MID(metadata!C319,15,1))&gt;=0,FALSE),IFERROR(INT(MID(metadata!C319,15,1))&lt;=5,FALSE),NOT(MID(metadata!C319,16,1)=""),IFERROR(INT(MID(metadata!C319,15,2))&gt;=0,FALSE),IFERROR(INT(MID(metadata!C319,15,2))&lt;=59,FALSE)), OR(MID(metadata!C319,17,1)="", AND(AND(MID(metadata!C319,17,1)=":",IFERROR(INT(MID(metadata!C319,18,1))&gt;=0,FALSE),IFERROR(INT(MID(metadata!C319,18,1))&lt;=5,FALSE),NOT(MID(metadata!C319,19,1)=""),IFERROR(INT(MID(metadata!C319,18,2))&gt;=0,FALSE),IFERROR(INT(MID(metadata!C319,18,2))&lt;=59,FALSE)), LEN(metadata!C319)&lt;=19)))))))))))))</f>
        <v>0</v>
      </c>
      <c r="AO319" t="b">
        <f>AND(IF(metadata!D319="",FALSE,TRUE),EXACT(metadata!D319,"Not applicable"))</f>
        <v>0</v>
      </c>
      <c r="AP319" t="b">
        <f>IF(metadata!E319="",FALSE,TRUE)</f>
        <v>0</v>
      </c>
      <c r="AQ319" t="b">
        <f>OR(AND(IF(metadata!F319="",FALSE,TRUE),OR(EXACT(metadata!F319,"missing: not collected"),EXACT(metadata!F319,"missing: not provided"))),AND(IF(metadata!F319="",FALSE,TRUE),OR(EXACT(metadata!F319,"TRUE"),EXACT(metadata!F319,"FALSE"))))</f>
        <v>0</v>
      </c>
      <c r="AR319" t="b">
        <f>OR(AND(IF(metadata!G319="",FALSE,TRUE),OR(EXACT(metadata!G319,"missing: not collected"),EXACT(metadata!G319,"missing: not provided"),EXACT(metadata!G319,"missing: restricted access"))),AND(IF(metadata!G319="",FALSE,ISNUMBER(VALUE(metadata!G319))),metadata!G319&gt;=-413))</f>
        <v>0</v>
      </c>
      <c r="AS319" t="b">
        <f>AND(IF(metadata!H319="",FALSE,TRUE),EXACT(metadata!H319,"meters"))</f>
        <v>0</v>
      </c>
      <c r="AT319" t="b">
        <f>AND(IF(metadata!I319="",FALSE,TRUE),OR(EXACT(metadata!I319,"Host-associated"),EXACT(metadata!I319,"Free-living")))</f>
        <v>0</v>
      </c>
      <c r="AU319" t="b">
        <f>AND(IF(metadata!J319="",FALSE,TRUE),OR(EXACT(metadata!J319,"Animal"),EXACT(metadata!J319,"Fungus"),EXACT(metadata!J319,"Plant"),EXACT(metadata!J319,"Saline"),EXACT(metadata!J319,"Non-saline")))</f>
        <v>0</v>
      </c>
      <c r="AV319" t="b">
        <f>AND(IF(metadata!K319="",FALSE,TRUE),OR(EXACT(metadata!K319,"Plant secretion"),EXACT(metadata!K319,"Plant rhizosphere"),EXACT(metadata!K319,"Plant surface"),EXACT(metadata!K319,"Plant corpus"),EXACT(metadata!K319,"Fungus surface"),EXACT(metadata!K319,"Fungus corpus"),EXACT(metadata!K319,"Animal surface"),EXACT(metadata!K319,"Animal proximal gut"),EXACT(metadata!K319,"Animal corpus"),EXACT(metadata!K319,"Animal distal gut"),EXACT(metadata!K319,"Animal secretion"),EXACT(metadata!K319,"Sub-surface (non-saline)"),EXACT(metadata!K319,"Surface (non-saline)"),EXACT(metadata!K319,"Water (non-saline)"),EXACT(metadata!K319,"Soil (non-saline)"),EXACT(metadata!K319,"Aerosol (non-saline)"),EXACT(metadata!K319,"Sediment (non-saline)"),EXACT(metadata!K319,"Surface (saline)"),EXACT(metadata!K319,"Water (saline)"),EXACT(metadata!K319,"Hypersaline (saline)"),EXACT(metadata!K319,"Aerosol (saline)"),EXACT(metadata!K319,"Sediment (saline)")))</f>
        <v>0</v>
      </c>
      <c r="AW319" t="b">
        <f>IF(metadata!L319="",FALSE,TRUE)</f>
        <v>0</v>
      </c>
      <c r="AX319" t="b">
        <f>IF(metadata!M319="",FALSE,TRUE)</f>
        <v>0</v>
      </c>
      <c r="AY319" t="b">
        <f>IF(metadata!N319="",FALSE,TRUE)</f>
        <v>0</v>
      </c>
      <c r="AZ319" t="b">
        <f>OR(AND(IF(metadata!O319="",FALSE,TRUE),OR(EXACT(metadata!O319,"missing: not collected"),EXACT(metadata!O319,"missing: not provided"),EXACT(metadata!O319,"missing: restricted access"))),AND(IF(metadata!O319="",FALSE,TRUE),OR(EXACT(metadata!O319,"air"),EXACT(metadata!O319,"built environment"),EXACT(metadata!O319,"host-associated"),EXACT(metadata!O319,"human-associated"),EXACT(metadata!O319,"human-skin"),EXACT(metadata!O319,"human-oral"),EXACT(metadata!O319,"human-gut"),EXACT(metadata!O319,"human-vaginal"),EXACT(metadata!O319,"microbial mat/biofilm"),EXACT(metadata!O319,"misc environment"),EXACT(metadata!O319,"plant-associated"),EXACT(metadata!O319,"sediment"),EXACT(metadata!O319,"soil"),EXACT(metadata!O319,"wastewater/sludge"),EXACT(metadata!O319,"water"))))</f>
        <v>0</v>
      </c>
      <c r="BA319" t="b">
        <f>IF(metadata!P319="",FALSE,TRUE)</f>
        <v>0</v>
      </c>
      <c r="BB319" t="b">
        <f>IF(metadata!Q319="",FALSE,TRUE)</f>
        <v>0</v>
      </c>
      <c r="BC319" t="b">
        <f>OR(AND(IF(metadata!R319="",FALSE,TRUE),OR(EXACT(metadata!R319,"missing: not collected"),EXACT(metadata!R319,"missing: not provided"),EXACT(metadata!R319,"missing: restricted access"))),AND(IF(metadata!R319="",FALSE,ISNUMBER(VALUE(metadata!R319))),metadata!R319&gt;=-90,metadata!R319&lt;=90))</f>
        <v>0</v>
      </c>
      <c r="BD319" t="b">
        <f>AND(IF(metadata!S319="",FALSE,TRUE),EXACT(metadata!S319,"Decimal degrees"))</f>
        <v>0</v>
      </c>
      <c r="BE319" t="b">
        <f>OR(AND(IF(metadata!T319="",FALSE,TRUE),OR(EXACT(metadata!T319,"missing: not collected"),EXACT(metadata!T319,"missing: not provided"),EXACT(metadata!T319,"missing: restricted access"))),AND(IF(metadata!T319="",FALSE,ISNUMBER(VALUE(metadata!T319))),metadata!T319&gt;=-180,metadata!T319&lt;=180))</f>
        <v>0</v>
      </c>
      <c r="BF319" t="b">
        <f>AND(IF(metadata!U319="",FALSE,TRUE),EXACT(metadata!U319,"Decimal degrees"))</f>
        <v>0</v>
      </c>
      <c r="BG319" t="b">
        <f>IF(metadata!V319="",FALSE,TRUE)</f>
        <v>0</v>
      </c>
      <c r="BH319" t="b">
        <f>OR(AND(IF(metadata!W319="",FALSE,TRUE),OR(EXACT(metadata!W319,"missing: not collected"),EXACT(metadata!W319,"missing: not provided"),EXACT(metadata!W319,"missing: restricted access"))),AND(IF(metadata!W319="",FALSE,TRUE),OR(EXACT(metadata!W319,"TRUE"),EXACT(metadata!W319,"FALSE"))))</f>
        <v>0</v>
      </c>
      <c r="BI319" t="b">
        <f>AND(IF(metadata!X319="",FALSE,TRUE),EXACT(metadata!X319,"other"))</f>
        <v>0</v>
      </c>
      <c r="BJ319" t="b">
        <f>IF(metadata!Y319="",FALSE,TRUE)</f>
        <v>0</v>
      </c>
      <c r="BK319" t="b">
        <f>OR(AND(IF(metadata!Z319="",FALSE,TRUE),OR(EXACT(metadata!Z319,"missing: not collected"),EXACT(metadata!Z319,"missing: not provided"))),AND(IF(metadata!Z319="",FALSE,IF(ISERROR(INT(metadata!Z319)),FALSE,INT(metadata!Z319)=metadata!Z319)),metadata!Z319&gt;0))</f>
        <v>0</v>
      </c>
      <c r="BL319" t="b">
        <f>AND(IF(metadata!AA319="",FALSE,TRUE),EXACT(metadata!AA319,"Not applicable"))</f>
        <v>0</v>
      </c>
      <c r="BM319" t="b">
        <f>IF(metadata!AB319="",FALSE,TRUE)</f>
        <v>0</v>
      </c>
    </row>
    <row r="320" spans="1:65" x14ac:dyDescent="0.2">
      <c r="A320" s="5" t="str">
        <f ca="1">IF(B320=" "," ",HYPERLINK(CONCATENATE("#metadata!",ADDRESS(INDEX($AH$2:$AH$1001,MATCH(ROWS($AF$2:AF320),$AF$2:$AF$1001,0),0),1)),INDEX($AK$2:$AK$1001,MATCH(ROWS($AF$2:AF320),$AF$2:$AF$1001,0),0)))</f>
        <v xml:space="preserve"> </v>
      </c>
      <c r="B320" s="4" t="str">
        <f ca="1">IF(OR(INDEX($AG$2:$AG$1001,MATCH(ROWS($AF$2:AF320),$AF$2:$AF$1001,0),1)&gt;=100000,INDEX($AM$1005:$BM$1005,1,MATCH(COLUMNS($AM$1006:AM1006),$AM$1006:$BM$1006,0))&gt;=100000), " ",IF(INDEX($AM$2:$BM$1001,MATCH(ROWS($AF$2:AF320),$AF$2:$AF$1001,0),MATCH(COLUMNS($AM$1006:AM1006),$AM$1006:$BM$1006,0)), HYPERLINK("#",""), HYPERLINK(CONCATENATE("#metadata!", ADDRESS(INDEX($AH$2:$AH$1001,MATCH(ROWS($AF$2:AF320),$AF$2:$AF$1001,0),0), INDEX($AM$1004:$BM$1004,1,MATCH(COLUMNS($AM$1006:AM1006),$AM$1006:$BM$1006,0)))),"Fix")))</f>
        <v xml:space="preserve"> </v>
      </c>
      <c r="C320" s="4" t="str">
        <f ca="1">IF(OR(INDEX($AG$2:$AG$1001,MATCH(ROWS($AF$2:AF320),$AF$2:$AF$1001,0),1)&gt;=100000,INDEX($AM$1005:$BM$1005,1,MATCH(COLUMNS($AM$1006:AN1006),$AM$1006:$BM$1006,0))&gt;=100000), " ",IF(INDEX($AM$2:$BM$1001,MATCH(ROWS($AF$2:AF320),$AF$2:$AF$1001,0),MATCH(COLUMNS($AM$1006:AN1006),$AM$1006:$BM$1006,0)), HYPERLINK("#",""), HYPERLINK(CONCATENATE("#metadata!", ADDRESS(INDEX($AH$2:$AH$1001,MATCH(ROWS($AF$2:AF320),$AF$2:$AF$1001,0),0), INDEX($AM$1004:$BM$1004,1,MATCH(COLUMNS($AM$1006:AN1006),$AM$1006:$BM$1006,0)))),"Fix")))</f>
        <v xml:space="preserve"> </v>
      </c>
      <c r="D320" s="4" t="str">
        <f ca="1">IF(OR(INDEX($AG$2:$AG$1001,MATCH(ROWS($AF$2:AF320),$AF$2:$AF$1001,0),1)&gt;=100000,INDEX($AM$1005:$BM$1005,1,MATCH(COLUMNS($AM$1006:AO1006),$AM$1006:$BM$1006,0))&gt;=100000), " ",IF(INDEX($AM$2:$BM$1001,MATCH(ROWS($AF$2:AF320),$AF$2:$AF$1001,0),MATCH(COLUMNS($AM$1006:AO1006),$AM$1006:$BM$1006,0)), HYPERLINK("#",""), HYPERLINK(CONCATENATE("#metadata!", ADDRESS(INDEX($AH$2:$AH$1001,MATCH(ROWS($AF$2:AF320),$AF$2:$AF$1001,0),0), INDEX($AM$1004:$BM$1004,1,MATCH(COLUMNS($AM$1006:AO1006),$AM$1006:$BM$1006,0)))),"Fix")))</f>
        <v xml:space="preserve"> </v>
      </c>
      <c r="E320" s="4" t="str">
        <f ca="1">IF(OR(INDEX($AG$2:$AG$1001,MATCH(ROWS($AF$2:AF320),$AF$2:$AF$1001,0),1)&gt;=100000,INDEX($AM$1005:$BM$1005,1,MATCH(COLUMNS($AM$1006:AP1006),$AM$1006:$BM$1006,0))&gt;=100000), " ",IF(INDEX($AM$2:$BM$1001,MATCH(ROWS($AF$2:AF320),$AF$2:$AF$1001,0),MATCH(COLUMNS($AM$1006:AP1006),$AM$1006:$BM$1006,0)), HYPERLINK("#",""), HYPERLINK(CONCATENATE("#metadata!", ADDRESS(INDEX($AH$2:$AH$1001,MATCH(ROWS($AF$2:AF320),$AF$2:$AF$1001,0),0), INDEX($AM$1004:$BM$1004,1,MATCH(COLUMNS($AM$1006:AP1006),$AM$1006:$BM$1006,0)))),"Fix")))</f>
        <v xml:space="preserve"> </v>
      </c>
      <c r="F320" s="4" t="str">
        <f ca="1">IF(OR(INDEX($AG$2:$AG$1001,MATCH(ROWS($AF$2:AF320),$AF$2:$AF$1001,0),1)&gt;=100000,INDEX($AM$1005:$BM$1005,1,MATCH(COLUMNS($AM$1006:AQ1006),$AM$1006:$BM$1006,0))&gt;=100000), " ",IF(INDEX($AM$2:$BM$1001,MATCH(ROWS($AF$2:AF320),$AF$2:$AF$1001,0),MATCH(COLUMNS($AM$1006:AQ1006),$AM$1006:$BM$1006,0)), HYPERLINK("#",""), HYPERLINK(CONCATENATE("#metadata!", ADDRESS(INDEX($AH$2:$AH$1001,MATCH(ROWS($AF$2:AF320),$AF$2:$AF$1001,0),0), INDEX($AM$1004:$BM$1004,1,MATCH(COLUMNS($AM$1006:AQ1006),$AM$1006:$BM$1006,0)))),"Fix")))</f>
        <v xml:space="preserve"> </v>
      </c>
      <c r="G320" s="4" t="str">
        <f ca="1">IF(OR(INDEX($AG$2:$AG$1001,MATCH(ROWS($AF$2:AF320),$AF$2:$AF$1001,0),1)&gt;=100000,INDEX($AM$1005:$BM$1005,1,MATCH(COLUMNS($AM$1006:AR1006),$AM$1006:$BM$1006,0))&gt;=100000), " ",IF(INDEX($AM$2:$BM$1001,MATCH(ROWS($AF$2:AF320),$AF$2:$AF$1001,0),MATCH(COLUMNS($AM$1006:AR1006),$AM$1006:$BM$1006,0)), HYPERLINK("#",""), HYPERLINK(CONCATENATE("#metadata!", ADDRESS(INDEX($AH$2:$AH$1001,MATCH(ROWS($AF$2:AF320),$AF$2:$AF$1001,0),0), INDEX($AM$1004:$BM$1004,1,MATCH(COLUMNS($AM$1006:AR1006),$AM$1006:$BM$1006,0)))),"Fix")))</f>
        <v xml:space="preserve"> </v>
      </c>
      <c r="H320" s="4" t="str">
        <f ca="1">IF(OR(INDEX($AG$2:$AG$1001,MATCH(ROWS($AF$2:AF320),$AF$2:$AF$1001,0),1)&gt;=100000,INDEX($AM$1005:$BM$1005,1,MATCH(COLUMNS($AM$1006:AS1006),$AM$1006:$BM$1006,0))&gt;=100000), " ",IF(INDEX($AM$2:$BM$1001,MATCH(ROWS($AF$2:AF320),$AF$2:$AF$1001,0),MATCH(COLUMNS($AM$1006:AS1006),$AM$1006:$BM$1006,0)), HYPERLINK("#",""), HYPERLINK(CONCATENATE("#metadata!", ADDRESS(INDEX($AH$2:$AH$1001,MATCH(ROWS($AF$2:AF320),$AF$2:$AF$1001,0),0), INDEX($AM$1004:$BM$1004,1,MATCH(COLUMNS($AM$1006:AS1006),$AM$1006:$BM$1006,0)))),"Fix")))</f>
        <v xml:space="preserve"> </v>
      </c>
      <c r="I320" s="4" t="str">
        <f ca="1">IF(OR(INDEX($AG$2:$AG$1001,MATCH(ROWS($AF$2:AF320),$AF$2:$AF$1001,0),1)&gt;=100000,INDEX($AM$1005:$BM$1005,1,MATCH(COLUMNS($AM$1006:AT1006),$AM$1006:$BM$1006,0))&gt;=100000), " ",IF(INDEX($AM$2:$BM$1001,MATCH(ROWS($AF$2:AF320),$AF$2:$AF$1001,0),MATCH(COLUMNS($AM$1006:AT1006),$AM$1006:$BM$1006,0)), HYPERLINK("#",""), HYPERLINK(CONCATENATE("#metadata!", ADDRESS(INDEX($AH$2:$AH$1001,MATCH(ROWS($AF$2:AF320),$AF$2:$AF$1001,0),0), INDEX($AM$1004:$BM$1004,1,MATCH(COLUMNS($AM$1006:AT1006),$AM$1006:$BM$1006,0)))),"Fix")))</f>
        <v xml:space="preserve"> </v>
      </c>
      <c r="J320" s="4" t="str">
        <f ca="1">IF(OR(INDEX($AG$2:$AG$1001,MATCH(ROWS($AF$2:AF320),$AF$2:$AF$1001,0),1)&gt;=100000,INDEX($AM$1005:$BM$1005,1,MATCH(COLUMNS($AM$1006:AU1006),$AM$1006:$BM$1006,0))&gt;=100000), " ",IF(INDEX($AM$2:$BM$1001,MATCH(ROWS($AF$2:AF320),$AF$2:$AF$1001,0),MATCH(COLUMNS($AM$1006:AU1006),$AM$1006:$BM$1006,0)), HYPERLINK("#",""), HYPERLINK(CONCATENATE("#metadata!", ADDRESS(INDEX($AH$2:$AH$1001,MATCH(ROWS($AF$2:AF320),$AF$2:$AF$1001,0),0), INDEX($AM$1004:$BM$1004,1,MATCH(COLUMNS($AM$1006:AU1006),$AM$1006:$BM$1006,0)))),"Fix")))</f>
        <v xml:space="preserve"> </v>
      </c>
      <c r="K320" s="4" t="str">
        <f ca="1">IF(OR(INDEX($AG$2:$AG$1001,MATCH(ROWS($AF$2:AF320),$AF$2:$AF$1001,0),1)&gt;=100000,INDEX($AM$1005:$BM$1005,1,MATCH(COLUMNS($AM$1006:AV1006),$AM$1006:$BM$1006,0))&gt;=100000), " ",IF(INDEX($AM$2:$BM$1001,MATCH(ROWS($AF$2:AF320),$AF$2:$AF$1001,0),MATCH(COLUMNS($AM$1006:AV1006),$AM$1006:$BM$1006,0)), HYPERLINK("#",""), HYPERLINK(CONCATENATE("#metadata!", ADDRESS(INDEX($AH$2:$AH$1001,MATCH(ROWS($AF$2:AF320),$AF$2:$AF$1001,0),0), INDEX($AM$1004:$BM$1004,1,MATCH(COLUMNS($AM$1006:AV1006),$AM$1006:$BM$1006,0)))),"Fix")))</f>
        <v xml:space="preserve"> </v>
      </c>
      <c r="L320" s="4" t="str">
        <f ca="1">IF(OR(INDEX($AG$2:$AG$1001,MATCH(ROWS($AF$2:AF320),$AF$2:$AF$1001,0),1)&gt;=100000,INDEX($AM$1005:$BM$1005,1,MATCH(COLUMNS($AM$1006:AW1006),$AM$1006:$BM$1006,0))&gt;=100000), " ",IF(INDEX($AM$2:$BM$1001,MATCH(ROWS($AF$2:AF320),$AF$2:$AF$1001,0),MATCH(COLUMNS($AM$1006:AW1006),$AM$1006:$BM$1006,0)), HYPERLINK("#",""), HYPERLINK(CONCATENATE("#metadata!", ADDRESS(INDEX($AH$2:$AH$1001,MATCH(ROWS($AF$2:AF320),$AF$2:$AF$1001,0),0), INDEX($AM$1004:$BM$1004,1,MATCH(COLUMNS($AM$1006:AW1006),$AM$1006:$BM$1006,0)))),"Fix")))</f>
        <v xml:space="preserve"> </v>
      </c>
      <c r="M320" s="4" t="str">
        <f ca="1">IF(OR(INDEX($AG$2:$AG$1001,MATCH(ROWS($AF$2:AF320),$AF$2:$AF$1001,0),1)&gt;=100000,INDEX($AM$1005:$BM$1005,1,MATCH(COLUMNS($AM$1006:AX1006),$AM$1006:$BM$1006,0))&gt;=100000), " ",IF(INDEX($AM$2:$BM$1001,MATCH(ROWS($AF$2:AF320),$AF$2:$AF$1001,0),MATCH(COLUMNS($AM$1006:AX1006),$AM$1006:$BM$1006,0)), HYPERLINK("#",""), HYPERLINK(CONCATENATE("#metadata!", ADDRESS(INDEX($AH$2:$AH$1001,MATCH(ROWS($AF$2:AF320),$AF$2:$AF$1001,0),0), INDEX($AM$1004:$BM$1004,1,MATCH(COLUMNS($AM$1006:AX1006),$AM$1006:$BM$1006,0)))),"Fix")))</f>
        <v xml:space="preserve"> </v>
      </c>
      <c r="N320" s="4" t="str">
        <f ca="1">IF(OR(INDEX($AG$2:$AG$1001,MATCH(ROWS($AF$2:AF320),$AF$2:$AF$1001,0),1)&gt;=100000,INDEX($AM$1005:$BM$1005,1,MATCH(COLUMNS($AM$1006:AY1006),$AM$1006:$BM$1006,0))&gt;=100000), " ",IF(INDEX($AM$2:$BM$1001,MATCH(ROWS($AF$2:AF320),$AF$2:$AF$1001,0),MATCH(COLUMNS($AM$1006:AY1006),$AM$1006:$BM$1006,0)), HYPERLINK("#",""), HYPERLINK(CONCATENATE("#metadata!", ADDRESS(INDEX($AH$2:$AH$1001,MATCH(ROWS($AF$2:AF320),$AF$2:$AF$1001,0),0), INDEX($AM$1004:$BM$1004,1,MATCH(COLUMNS($AM$1006:AY1006),$AM$1006:$BM$1006,0)))),"Fix")))</f>
        <v xml:space="preserve"> </v>
      </c>
      <c r="O320" s="4" t="str">
        <f ca="1">IF(OR(INDEX($AG$2:$AG$1001,MATCH(ROWS($AF$2:AF320),$AF$2:$AF$1001,0),1)&gt;=100000,INDEX($AM$1005:$BM$1005,1,MATCH(COLUMNS($AM$1006:AZ1006),$AM$1006:$BM$1006,0))&gt;=100000), " ",IF(INDEX($AM$2:$BM$1001,MATCH(ROWS($AF$2:AF320),$AF$2:$AF$1001,0),MATCH(COLUMNS($AM$1006:AZ1006),$AM$1006:$BM$1006,0)), HYPERLINK("#",""), HYPERLINK(CONCATENATE("#metadata!", ADDRESS(INDEX($AH$2:$AH$1001,MATCH(ROWS($AF$2:AF320),$AF$2:$AF$1001,0),0), INDEX($AM$1004:$BM$1004,1,MATCH(COLUMNS($AM$1006:AZ1006),$AM$1006:$BM$1006,0)))),"Fix")))</f>
        <v xml:space="preserve"> </v>
      </c>
      <c r="P320" s="4" t="str">
        <f ca="1">IF(OR(INDEX($AG$2:$AG$1001,MATCH(ROWS($AF$2:AF320),$AF$2:$AF$1001,0),1)&gt;=100000,INDEX($AM$1005:$BM$1005,1,MATCH(COLUMNS($AM$1006:BA1006),$AM$1006:$BM$1006,0))&gt;=100000), " ",IF(INDEX($AM$2:$BM$1001,MATCH(ROWS($AF$2:AF320),$AF$2:$AF$1001,0),MATCH(COLUMNS($AM$1006:BA1006),$AM$1006:$BM$1006,0)), HYPERLINK("#",""), HYPERLINK(CONCATENATE("#metadata!", ADDRESS(INDEX($AH$2:$AH$1001,MATCH(ROWS($AF$2:AF320),$AF$2:$AF$1001,0),0), INDEX($AM$1004:$BM$1004,1,MATCH(COLUMNS($AM$1006:BA1006),$AM$1006:$BM$1006,0)))),"Fix")))</f>
        <v xml:space="preserve"> </v>
      </c>
      <c r="Q320" s="4" t="str">
        <f ca="1">IF(OR(INDEX($AG$2:$AG$1001,MATCH(ROWS($AF$2:AF320),$AF$2:$AF$1001,0),1)&gt;=100000,INDEX($AM$1005:$BM$1005,1,MATCH(COLUMNS($AM$1006:BB1006),$AM$1006:$BM$1006,0))&gt;=100000), " ",IF(INDEX($AM$2:$BM$1001,MATCH(ROWS($AF$2:AF320),$AF$2:$AF$1001,0),MATCH(COLUMNS($AM$1006:BB1006),$AM$1006:$BM$1006,0)), HYPERLINK("#",""), HYPERLINK(CONCATENATE("#metadata!", ADDRESS(INDEX($AH$2:$AH$1001,MATCH(ROWS($AF$2:AF320),$AF$2:$AF$1001,0),0), INDEX($AM$1004:$BM$1004,1,MATCH(COLUMNS($AM$1006:BB1006),$AM$1006:$BM$1006,0)))),"Fix")))</f>
        <v xml:space="preserve"> </v>
      </c>
      <c r="R320" s="4" t="str">
        <f ca="1">IF(OR(INDEX($AG$2:$AG$1001,MATCH(ROWS($AF$2:AF320),$AF$2:$AF$1001,0),1)&gt;=100000,INDEX($AM$1005:$BM$1005,1,MATCH(COLUMNS($AM$1006:BC1006),$AM$1006:$BM$1006,0))&gt;=100000), " ",IF(INDEX($AM$2:$BM$1001,MATCH(ROWS($AF$2:AF320),$AF$2:$AF$1001,0),MATCH(COLUMNS($AM$1006:BC1006),$AM$1006:$BM$1006,0)), HYPERLINK("#",""), HYPERLINK(CONCATENATE("#metadata!", ADDRESS(INDEX($AH$2:$AH$1001,MATCH(ROWS($AF$2:AF320),$AF$2:$AF$1001,0),0), INDEX($AM$1004:$BM$1004,1,MATCH(COLUMNS($AM$1006:BC1006),$AM$1006:$BM$1006,0)))),"Fix")))</f>
        <v xml:space="preserve"> </v>
      </c>
      <c r="S320" s="4" t="str">
        <f ca="1">IF(OR(INDEX($AG$2:$AG$1001,MATCH(ROWS($AF$2:AF320),$AF$2:$AF$1001,0),1)&gt;=100000,INDEX($AM$1005:$BM$1005,1,MATCH(COLUMNS($AM$1006:BD1006),$AM$1006:$BM$1006,0))&gt;=100000), " ",IF(INDEX($AM$2:$BM$1001,MATCH(ROWS($AF$2:AF320),$AF$2:$AF$1001,0),MATCH(COLUMNS($AM$1006:BD1006),$AM$1006:$BM$1006,0)), HYPERLINK("#",""), HYPERLINK(CONCATENATE("#metadata!", ADDRESS(INDEX($AH$2:$AH$1001,MATCH(ROWS($AF$2:AF320),$AF$2:$AF$1001,0),0), INDEX($AM$1004:$BM$1004,1,MATCH(COLUMNS($AM$1006:BD1006),$AM$1006:$BM$1006,0)))),"Fix")))</f>
        <v xml:space="preserve"> </v>
      </c>
      <c r="T320" s="4" t="str">
        <f ca="1">IF(OR(INDEX($AG$2:$AG$1001,MATCH(ROWS($AF$2:AF320),$AF$2:$AF$1001,0),1)&gt;=100000,INDEX($AM$1005:$BM$1005,1,MATCH(COLUMNS($AM$1006:BE1006),$AM$1006:$BM$1006,0))&gt;=100000), " ",IF(INDEX($AM$2:$BM$1001,MATCH(ROWS($AF$2:AF320),$AF$2:$AF$1001,0),MATCH(COLUMNS($AM$1006:BE1006),$AM$1006:$BM$1006,0)), HYPERLINK("#",""), HYPERLINK(CONCATENATE("#metadata!", ADDRESS(INDEX($AH$2:$AH$1001,MATCH(ROWS($AF$2:AF320),$AF$2:$AF$1001,0),0), INDEX($AM$1004:$BM$1004,1,MATCH(COLUMNS($AM$1006:BE1006),$AM$1006:$BM$1006,0)))),"Fix")))</f>
        <v xml:space="preserve"> </v>
      </c>
      <c r="U320" s="4" t="str">
        <f ca="1">IF(OR(INDEX($AG$2:$AG$1001,MATCH(ROWS($AF$2:AF320),$AF$2:$AF$1001,0),1)&gt;=100000,INDEX($AM$1005:$BM$1005,1,MATCH(COLUMNS($AM$1006:BF1006),$AM$1006:$BM$1006,0))&gt;=100000), " ",IF(INDEX($AM$2:$BM$1001,MATCH(ROWS($AF$2:AF320),$AF$2:$AF$1001,0),MATCH(COLUMNS($AM$1006:BF1006),$AM$1006:$BM$1006,0)), HYPERLINK("#",""), HYPERLINK(CONCATENATE("#metadata!", ADDRESS(INDEX($AH$2:$AH$1001,MATCH(ROWS($AF$2:AF320),$AF$2:$AF$1001,0),0), INDEX($AM$1004:$BM$1004,1,MATCH(COLUMNS($AM$1006:BF1006),$AM$1006:$BM$1006,0)))),"Fix")))</f>
        <v xml:space="preserve"> </v>
      </c>
      <c r="V320" s="4" t="str">
        <f ca="1">IF(OR(INDEX($AG$2:$AG$1001,MATCH(ROWS($AF$2:AF320),$AF$2:$AF$1001,0),1)&gt;=100000,INDEX($AM$1005:$BM$1005,1,MATCH(COLUMNS($AM$1006:BG1006),$AM$1006:$BM$1006,0))&gt;=100000), " ",IF(INDEX($AM$2:$BM$1001,MATCH(ROWS($AF$2:AF320),$AF$2:$AF$1001,0),MATCH(COLUMNS($AM$1006:BG1006),$AM$1006:$BM$1006,0)), HYPERLINK("#",""), HYPERLINK(CONCATENATE("#metadata!", ADDRESS(INDEX($AH$2:$AH$1001,MATCH(ROWS($AF$2:AF320),$AF$2:$AF$1001,0),0), INDEX($AM$1004:$BM$1004,1,MATCH(COLUMNS($AM$1006:BG1006),$AM$1006:$BM$1006,0)))),"Fix")))</f>
        <v xml:space="preserve"> </v>
      </c>
      <c r="W320" s="4" t="str">
        <f ca="1">IF(OR(INDEX($AG$2:$AG$1001,MATCH(ROWS($AF$2:AF320),$AF$2:$AF$1001,0),1)&gt;=100000,INDEX($AM$1005:$BM$1005,1,MATCH(COLUMNS($AM$1006:BH1006),$AM$1006:$BM$1006,0))&gt;=100000), " ",IF(INDEX($AM$2:$BM$1001,MATCH(ROWS($AF$2:AF320),$AF$2:$AF$1001,0),MATCH(COLUMNS($AM$1006:BH1006),$AM$1006:$BM$1006,0)), HYPERLINK("#",""), HYPERLINK(CONCATENATE("#metadata!", ADDRESS(INDEX($AH$2:$AH$1001,MATCH(ROWS($AF$2:AF320),$AF$2:$AF$1001,0),0), INDEX($AM$1004:$BM$1004,1,MATCH(COLUMNS($AM$1006:BH1006),$AM$1006:$BM$1006,0)))),"Fix")))</f>
        <v xml:space="preserve"> </v>
      </c>
      <c r="X320" s="4" t="str">
        <f ca="1">IF(OR(INDEX($AG$2:$AG$1001,MATCH(ROWS($AF$2:AF320),$AF$2:$AF$1001,0),1)&gt;=100000,INDEX($AM$1005:$BM$1005,1,MATCH(COLUMNS($AM$1006:BI1006),$AM$1006:$BM$1006,0))&gt;=100000), " ",IF(INDEX($AM$2:$BM$1001,MATCH(ROWS($AF$2:AF320),$AF$2:$AF$1001,0),MATCH(COLUMNS($AM$1006:BI1006),$AM$1006:$BM$1006,0)), HYPERLINK("#",""), HYPERLINK(CONCATENATE("#metadata!", ADDRESS(INDEX($AH$2:$AH$1001,MATCH(ROWS($AF$2:AF320),$AF$2:$AF$1001,0),0), INDEX($AM$1004:$BM$1004,1,MATCH(COLUMNS($AM$1006:BI1006),$AM$1006:$BM$1006,0)))),"Fix")))</f>
        <v xml:space="preserve"> </v>
      </c>
      <c r="Y320" s="4" t="str">
        <f ca="1">IF(OR(INDEX($AG$2:$AG$1001,MATCH(ROWS($AF$2:AF320),$AF$2:$AF$1001,0),1)&gt;=100000,INDEX($AM$1005:$BM$1005,1,MATCH(COLUMNS($AM$1006:BJ1006),$AM$1006:$BM$1006,0))&gt;=100000), " ",IF(INDEX($AM$2:$BM$1001,MATCH(ROWS($AF$2:AF320),$AF$2:$AF$1001,0),MATCH(COLUMNS($AM$1006:BJ1006),$AM$1006:$BM$1006,0)), HYPERLINK("#",""), HYPERLINK(CONCATENATE("#metadata!", ADDRESS(INDEX($AH$2:$AH$1001,MATCH(ROWS($AF$2:AF320),$AF$2:$AF$1001,0),0), INDEX($AM$1004:$BM$1004,1,MATCH(COLUMNS($AM$1006:BJ1006),$AM$1006:$BM$1006,0)))),"Fix")))</f>
        <v xml:space="preserve"> </v>
      </c>
      <c r="Z320" s="4" t="str">
        <f ca="1">IF(OR(INDEX($AG$2:$AG$1001,MATCH(ROWS($AF$2:AF320),$AF$2:$AF$1001,0),1)&gt;=100000,INDEX($AM$1005:$BM$1005,1,MATCH(COLUMNS($AM$1006:BK1006),$AM$1006:$BM$1006,0))&gt;=100000), " ",IF(INDEX($AM$2:$BM$1001,MATCH(ROWS($AF$2:AF320),$AF$2:$AF$1001,0),MATCH(COLUMNS($AM$1006:BK1006),$AM$1006:$BM$1006,0)), HYPERLINK("#",""), HYPERLINK(CONCATENATE("#metadata!", ADDRESS(INDEX($AH$2:$AH$1001,MATCH(ROWS($AF$2:AF320),$AF$2:$AF$1001,0),0), INDEX($AM$1004:$BM$1004,1,MATCH(COLUMNS($AM$1006:BK1006),$AM$1006:$BM$1006,0)))),"Fix")))</f>
        <v xml:space="preserve"> </v>
      </c>
      <c r="AA320" s="4" t="str">
        <f ca="1">IF(OR(INDEX($AG$2:$AG$1001,MATCH(ROWS($AF$2:AF320),$AF$2:$AF$1001,0),1)&gt;=100000,INDEX($AM$1005:$BM$1005,1,MATCH(COLUMNS($AM$1006:BL1006),$AM$1006:$BM$1006,0))&gt;=100000), " ",IF(INDEX($AM$2:$BM$1001,MATCH(ROWS($AF$2:AF320),$AF$2:$AF$1001,0),MATCH(COLUMNS($AM$1006:BL1006),$AM$1006:$BM$1006,0)), HYPERLINK("#",""), HYPERLINK(CONCATENATE("#metadata!", ADDRESS(INDEX($AH$2:$AH$1001,MATCH(ROWS($AF$2:AF320),$AF$2:$AF$1001,0),0), INDEX($AM$1004:$BM$1004,1,MATCH(COLUMNS($AM$1006:BL1006),$AM$1006:$BM$1006,0)))),"Fix")))</f>
        <v xml:space="preserve"> </v>
      </c>
      <c r="AB320" s="4" t="str">
        <f ca="1">IF(OR(INDEX($AG$2:$AG$1001,MATCH(ROWS($AF$2:AF320),$AF$2:$AF$1001,0),1)&gt;=100000,INDEX($AM$1005:$BM$1005,1,MATCH(COLUMNS($AM$1006:BM1006),$AM$1006:$BM$1006,0))&gt;=100000), " ",IF(INDEX($AM$2:$BM$1001,MATCH(ROWS($AF$2:AF320),$AF$2:$AF$1001,0),MATCH(COLUMNS($AM$1006:BM1006),$AM$1006:$BM$1006,0)), HYPERLINK("#",""), HYPERLINK(CONCATENATE("#metadata!", ADDRESS(INDEX($AH$2:$AH$1001,MATCH(ROWS($AF$2:AF320),$AF$2:$AF$1001,0),0), INDEX($AM$1004:$BM$1004,1,MATCH(COLUMNS($AM$1006:BM1006),$AM$1006:$BM$1006,0)))),"Fix")))</f>
        <v xml:space="preserve"> </v>
      </c>
      <c r="AF320">
        <v>319</v>
      </c>
      <c r="AG320">
        <v>100320</v>
      </c>
      <c r="AH320">
        <v>320</v>
      </c>
      <c r="AI320" t="b">
        <f t="shared" si="4"/>
        <v>1</v>
      </c>
      <c r="AJ320" t="b">
        <f>COUNTBLANK(metadata!B320:AB320)=COLUMNS(metadata!B320:AB320)</f>
        <v>1</v>
      </c>
      <c r="AK320" t="str">
        <v/>
      </c>
      <c r="AM320" t="b">
        <f ca="1">AND(IF(metadata!B320="",FALSE,TRUE),COUNTIF(metadata!B:B, metadata!B320) = 1,NOT(ISERROR(SUMPRODUCT(SEARCH(MID(metadata!B320,ROW(INDIRECT("1:"&amp;LEN(metadata!B320))), 1),"0123456789abcdefghijklmnopqrstuvwxyzABCDEFGHIJKLMNOPQRSTUVWXYZ.")))))</f>
        <v>0</v>
      </c>
      <c r="AN320" t="b">
        <f ca="1">OR(AND(IF(metadata!C320="",FALSE,TRUE),OR(EXACT(metadata!C320,"missing: not collected"),EXACT(metadata!C320,"missing: not provided"),EXACT(metadata!C320,"missing: restricted access"))),AND(IF(metadata!C320="",FALSE,TRUE),AND(AND(IFERROR(INT(LEFT(metadata!C320,4))&gt;1900,FALSE),IFERROR(INT(LEFT(metadata!C320,4))&lt;=YEAR(NOW()),FALSE)), OR(MID(metadata!C320,5,1)="", AND(AND(MID(metadata!C320,5,1)="-",IFERROR(INT(MID(metadata!C320,6,1))&gt;=0,FALSE),IFERROR(INT(MID(metadata!C320,6,1))&lt;=1,FALSE),NOT(MID(metadata!C320,7,1)=""),IFERROR(INT(MID(metadata!C320,6,2))&gt;=1,FALSE),IFERROR(INT(MID(metadata!C320,6,2))&lt;=12,FALSE)), OR(MID(metadata!C320,8,1)="", AND(AND(MID(metadata!C320,8,1)="-",IFERROR(INT(MID(metadata!C320,9,1))&gt;=0,FALSE),IFERROR(INT(MID(metadata!C320,9,1))&lt;=3,FALSE),NOT(MID(metadata!C320,10,1)=""),IFERROR(INT(MID(metadata!C320,9,2))&gt;=1,FALSE),IFERROR(INT(MID(metadata!C320,9,2))&lt;=31,FALSE)), OR(MID(metadata!C320,11,1)="", AND(AND(MID(metadata!C320,11,1)=" ",IFERROR(INT(MID(metadata!C320,12,1))&gt;=0,FALSE),IFERROR(INT(MID(metadata!C320,12,1))&lt;=2,FALSE),NOT(MID(metadata!C320,13,1)=""),IFERROR(INT(MID(metadata!C320,12,2))&gt;=0,FALSE),IFERROR(INT(MID(metadata!C320,12,2))&lt;=23,FALSE)), OR(MID(metadata!C320,14,1)="", AND(AND(MID(metadata!C320,14,1)=":",IFERROR(INT(MID(metadata!C320,15,1))&gt;=0,FALSE),IFERROR(INT(MID(metadata!C320,15,1))&lt;=5,FALSE),NOT(MID(metadata!C320,16,1)=""),IFERROR(INT(MID(metadata!C320,15,2))&gt;=0,FALSE),IFERROR(INT(MID(metadata!C320,15,2))&lt;=59,FALSE)), OR(MID(metadata!C320,17,1)="", AND(AND(MID(metadata!C320,17,1)=":",IFERROR(INT(MID(metadata!C320,18,1))&gt;=0,FALSE),IFERROR(INT(MID(metadata!C320,18,1))&lt;=5,FALSE),NOT(MID(metadata!C320,19,1)=""),IFERROR(INT(MID(metadata!C320,18,2))&gt;=0,FALSE),IFERROR(INT(MID(metadata!C320,18,2))&lt;=59,FALSE)), LEN(metadata!C320)&lt;=19)))))))))))))</f>
        <v>0</v>
      </c>
      <c r="AO320" t="b">
        <f>AND(IF(metadata!D320="",FALSE,TRUE),EXACT(metadata!D320,"Not applicable"))</f>
        <v>0</v>
      </c>
      <c r="AP320" t="b">
        <f>IF(metadata!E320="",FALSE,TRUE)</f>
        <v>0</v>
      </c>
      <c r="AQ320" t="b">
        <f>OR(AND(IF(metadata!F320="",FALSE,TRUE),OR(EXACT(metadata!F320,"missing: not collected"),EXACT(metadata!F320,"missing: not provided"))),AND(IF(metadata!F320="",FALSE,TRUE),OR(EXACT(metadata!F320,"TRUE"),EXACT(metadata!F320,"FALSE"))))</f>
        <v>0</v>
      </c>
      <c r="AR320" t="b">
        <f>OR(AND(IF(metadata!G320="",FALSE,TRUE),OR(EXACT(metadata!G320,"missing: not collected"),EXACT(metadata!G320,"missing: not provided"),EXACT(metadata!G320,"missing: restricted access"))),AND(IF(metadata!G320="",FALSE,ISNUMBER(VALUE(metadata!G320))),metadata!G320&gt;=-413))</f>
        <v>0</v>
      </c>
      <c r="AS320" t="b">
        <f>AND(IF(metadata!H320="",FALSE,TRUE),EXACT(metadata!H320,"meters"))</f>
        <v>0</v>
      </c>
      <c r="AT320" t="b">
        <f>AND(IF(metadata!I320="",FALSE,TRUE),OR(EXACT(metadata!I320,"Host-associated"),EXACT(metadata!I320,"Free-living")))</f>
        <v>0</v>
      </c>
      <c r="AU320" t="b">
        <f>AND(IF(metadata!J320="",FALSE,TRUE),OR(EXACT(metadata!J320,"Animal"),EXACT(metadata!J320,"Fungus"),EXACT(metadata!J320,"Plant"),EXACT(metadata!J320,"Saline"),EXACT(metadata!J320,"Non-saline")))</f>
        <v>0</v>
      </c>
      <c r="AV320" t="b">
        <f>AND(IF(metadata!K320="",FALSE,TRUE),OR(EXACT(metadata!K320,"Plant secretion"),EXACT(metadata!K320,"Plant rhizosphere"),EXACT(metadata!K320,"Plant surface"),EXACT(metadata!K320,"Plant corpus"),EXACT(metadata!K320,"Fungus surface"),EXACT(metadata!K320,"Fungus corpus"),EXACT(metadata!K320,"Animal surface"),EXACT(metadata!K320,"Animal proximal gut"),EXACT(metadata!K320,"Animal corpus"),EXACT(metadata!K320,"Animal distal gut"),EXACT(metadata!K320,"Animal secretion"),EXACT(metadata!K320,"Sub-surface (non-saline)"),EXACT(metadata!K320,"Surface (non-saline)"),EXACT(metadata!K320,"Water (non-saline)"),EXACT(metadata!K320,"Soil (non-saline)"),EXACT(metadata!K320,"Aerosol (non-saline)"),EXACT(metadata!K320,"Sediment (non-saline)"),EXACT(metadata!K320,"Surface (saline)"),EXACT(metadata!K320,"Water (saline)"),EXACT(metadata!K320,"Hypersaline (saline)"),EXACT(metadata!K320,"Aerosol (saline)"),EXACT(metadata!K320,"Sediment (saline)")))</f>
        <v>0</v>
      </c>
      <c r="AW320" t="b">
        <f>IF(metadata!L320="",FALSE,TRUE)</f>
        <v>0</v>
      </c>
      <c r="AX320" t="b">
        <f>IF(metadata!M320="",FALSE,TRUE)</f>
        <v>0</v>
      </c>
      <c r="AY320" t="b">
        <f>IF(metadata!N320="",FALSE,TRUE)</f>
        <v>0</v>
      </c>
      <c r="AZ320" t="b">
        <f>OR(AND(IF(metadata!O320="",FALSE,TRUE),OR(EXACT(metadata!O320,"missing: not collected"),EXACT(metadata!O320,"missing: not provided"),EXACT(metadata!O320,"missing: restricted access"))),AND(IF(metadata!O320="",FALSE,TRUE),OR(EXACT(metadata!O320,"air"),EXACT(metadata!O320,"built environment"),EXACT(metadata!O320,"host-associated"),EXACT(metadata!O320,"human-associated"),EXACT(metadata!O320,"human-skin"),EXACT(metadata!O320,"human-oral"),EXACT(metadata!O320,"human-gut"),EXACT(metadata!O320,"human-vaginal"),EXACT(metadata!O320,"microbial mat/biofilm"),EXACT(metadata!O320,"misc environment"),EXACT(metadata!O320,"plant-associated"),EXACT(metadata!O320,"sediment"),EXACT(metadata!O320,"soil"),EXACT(metadata!O320,"wastewater/sludge"),EXACT(metadata!O320,"water"))))</f>
        <v>0</v>
      </c>
      <c r="BA320" t="b">
        <f>IF(metadata!P320="",FALSE,TRUE)</f>
        <v>0</v>
      </c>
      <c r="BB320" t="b">
        <f>IF(metadata!Q320="",FALSE,TRUE)</f>
        <v>0</v>
      </c>
      <c r="BC320" t="b">
        <f>OR(AND(IF(metadata!R320="",FALSE,TRUE),OR(EXACT(metadata!R320,"missing: not collected"),EXACT(metadata!R320,"missing: not provided"),EXACT(metadata!R320,"missing: restricted access"))),AND(IF(metadata!R320="",FALSE,ISNUMBER(VALUE(metadata!R320))),metadata!R320&gt;=-90,metadata!R320&lt;=90))</f>
        <v>0</v>
      </c>
      <c r="BD320" t="b">
        <f>AND(IF(metadata!S320="",FALSE,TRUE),EXACT(metadata!S320,"Decimal degrees"))</f>
        <v>0</v>
      </c>
      <c r="BE320" t="b">
        <f>OR(AND(IF(metadata!T320="",FALSE,TRUE),OR(EXACT(metadata!T320,"missing: not collected"),EXACT(metadata!T320,"missing: not provided"),EXACT(metadata!T320,"missing: restricted access"))),AND(IF(metadata!T320="",FALSE,ISNUMBER(VALUE(metadata!T320))),metadata!T320&gt;=-180,metadata!T320&lt;=180))</f>
        <v>0</v>
      </c>
      <c r="BF320" t="b">
        <f>AND(IF(metadata!U320="",FALSE,TRUE),EXACT(metadata!U320,"Decimal degrees"))</f>
        <v>0</v>
      </c>
      <c r="BG320" t="b">
        <f>IF(metadata!V320="",FALSE,TRUE)</f>
        <v>0</v>
      </c>
      <c r="BH320" t="b">
        <f>OR(AND(IF(metadata!W320="",FALSE,TRUE),OR(EXACT(metadata!W320,"missing: not collected"),EXACT(metadata!W320,"missing: not provided"),EXACT(metadata!W320,"missing: restricted access"))),AND(IF(metadata!W320="",FALSE,TRUE),OR(EXACT(metadata!W320,"TRUE"),EXACT(metadata!W320,"FALSE"))))</f>
        <v>0</v>
      </c>
      <c r="BI320" t="b">
        <f>AND(IF(metadata!X320="",FALSE,TRUE),EXACT(metadata!X320,"other"))</f>
        <v>0</v>
      </c>
      <c r="BJ320" t="b">
        <f>IF(metadata!Y320="",FALSE,TRUE)</f>
        <v>0</v>
      </c>
      <c r="BK320" t="b">
        <f>OR(AND(IF(metadata!Z320="",FALSE,TRUE),OR(EXACT(metadata!Z320,"missing: not collected"),EXACT(metadata!Z320,"missing: not provided"))),AND(IF(metadata!Z320="",FALSE,IF(ISERROR(INT(metadata!Z320)),FALSE,INT(metadata!Z320)=metadata!Z320)),metadata!Z320&gt;0))</f>
        <v>0</v>
      </c>
      <c r="BL320" t="b">
        <f>AND(IF(metadata!AA320="",FALSE,TRUE),EXACT(metadata!AA320,"Not applicable"))</f>
        <v>0</v>
      </c>
      <c r="BM320" t="b">
        <f>IF(metadata!AB320="",FALSE,TRUE)</f>
        <v>0</v>
      </c>
    </row>
    <row r="321" spans="1:65" x14ac:dyDescent="0.2">
      <c r="A321" s="5" t="str">
        <f ca="1">IF(B321=" "," ",HYPERLINK(CONCATENATE("#metadata!",ADDRESS(INDEX($AH$2:$AH$1001,MATCH(ROWS($AF$2:AF321),$AF$2:$AF$1001,0),0),1)),INDEX($AK$2:$AK$1001,MATCH(ROWS($AF$2:AF321),$AF$2:$AF$1001,0),0)))</f>
        <v xml:space="preserve"> </v>
      </c>
      <c r="B321" s="4" t="str">
        <f ca="1">IF(OR(INDEX($AG$2:$AG$1001,MATCH(ROWS($AF$2:AF321),$AF$2:$AF$1001,0),1)&gt;=100000,INDEX($AM$1005:$BM$1005,1,MATCH(COLUMNS($AM$1006:AM1006),$AM$1006:$BM$1006,0))&gt;=100000), " ",IF(INDEX($AM$2:$BM$1001,MATCH(ROWS($AF$2:AF321),$AF$2:$AF$1001,0),MATCH(COLUMNS($AM$1006:AM1006),$AM$1006:$BM$1006,0)), HYPERLINK("#",""), HYPERLINK(CONCATENATE("#metadata!", ADDRESS(INDEX($AH$2:$AH$1001,MATCH(ROWS($AF$2:AF321),$AF$2:$AF$1001,0),0), INDEX($AM$1004:$BM$1004,1,MATCH(COLUMNS($AM$1006:AM1006),$AM$1006:$BM$1006,0)))),"Fix")))</f>
        <v xml:space="preserve"> </v>
      </c>
      <c r="C321" s="4" t="str">
        <f ca="1">IF(OR(INDEX($AG$2:$AG$1001,MATCH(ROWS($AF$2:AF321),$AF$2:$AF$1001,0),1)&gt;=100000,INDEX($AM$1005:$BM$1005,1,MATCH(COLUMNS($AM$1006:AN1006),$AM$1006:$BM$1006,0))&gt;=100000), " ",IF(INDEX($AM$2:$BM$1001,MATCH(ROWS($AF$2:AF321),$AF$2:$AF$1001,0),MATCH(COLUMNS($AM$1006:AN1006),$AM$1006:$BM$1006,0)), HYPERLINK("#",""), HYPERLINK(CONCATENATE("#metadata!", ADDRESS(INDEX($AH$2:$AH$1001,MATCH(ROWS($AF$2:AF321),$AF$2:$AF$1001,0),0), INDEX($AM$1004:$BM$1004,1,MATCH(COLUMNS($AM$1006:AN1006),$AM$1006:$BM$1006,0)))),"Fix")))</f>
        <v xml:space="preserve"> </v>
      </c>
      <c r="D321" s="4" t="str">
        <f ca="1">IF(OR(INDEX($AG$2:$AG$1001,MATCH(ROWS($AF$2:AF321),$AF$2:$AF$1001,0),1)&gt;=100000,INDEX($AM$1005:$BM$1005,1,MATCH(COLUMNS($AM$1006:AO1006),$AM$1006:$BM$1006,0))&gt;=100000), " ",IF(INDEX($AM$2:$BM$1001,MATCH(ROWS($AF$2:AF321),$AF$2:$AF$1001,0),MATCH(COLUMNS($AM$1006:AO1006),$AM$1006:$BM$1006,0)), HYPERLINK("#",""), HYPERLINK(CONCATENATE("#metadata!", ADDRESS(INDEX($AH$2:$AH$1001,MATCH(ROWS($AF$2:AF321),$AF$2:$AF$1001,0),0), INDEX($AM$1004:$BM$1004,1,MATCH(COLUMNS($AM$1006:AO1006),$AM$1006:$BM$1006,0)))),"Fix")))</f>
        <v xml:space="preserve"> </v>
      </c>
      <c r="E321" s="4" t="str">
        <f ca="1">IF(OR(INDEX($AG$2:$AG$1001,MATCH(ROWS($AF$2:AF321),$AF$2:$AF$1001,0),1)&gt;=100000,INDEX($AM$1005:$BM$1005,1,MATCH(COLUMNS($AM$1006:AP1006),$AM$1006:$BM$1006,0))&gt;=100000), " ",IF(INDEX($AM$2:$BM$1001,MATCH(ROWS($AF$2:AF321),$AF$2:$AF$1001,0),MATCH(COLUMNS($AM$1006:AP1006),$AM$1006:$BM$1006,0)), HYPERLINK("#",""), HYPERLINK(CONCATENATE("#metadata!", ADDRESS(INDEX($AH$2:$AH$1001,MATCH(ROWS($AF$2:AF321),$AF$2:$AF$1001,0),0), INDEX($AM$1004:$BM$1004,1,MATCH(COLUMNS($AM$1006:AP1006),$AM$1006:$BM$1006,0)))),"Fix")))</f>
        <v xml:space="preserve"> </v>
      </c>
      <c r="F321" s="4" t="str">
        <f ca="1">IF(OR(INDEX($AG$2:$AG$1001,MATCH(ROWS($AF$2:AF321),$AF$2:$AF$1001,0),1)&gt;=100000,INDEX($AM$1005:$BM$1005,1,MATCH(COLUMNS($AM$1006:AQ1006),$AM$1006:$BM$1006,0))&gt;=100000), " ",IF(INDEX($AM$2:$BM$1001,MATCH(ROWS($AF$2:AF321),$AF$2:$AF$1001,0),MATCH(COLUMNS($AM$1006:AQ1006),$AM$1006:$BM$1006,0)), HYPERLINK("#",""), HYPERLINK(CONCATENATE("#metadata!", ADDRESS(INDEX($AH$2:$AH$1001,MATCH(ROWS($AF$2:AF321),$AF$2:$AF$1001,0),0), INDEX($AM$1004:$BM$1004,1,MATCH(COLUMNS($AM$1006:AQ1006),$AM$1006:$BM$1006,0)))),"Fix")))</f>
        <v xml:space="preserve"> </v>
      </c>
      <c r="G321" s="4" t="str">
        <f ca="1">IF(OR(INDEX($AG$2:$AG$1001,MATCH(ROWS($AF$2:AF321),$AF$2:$AF$1001,0),1)&gt;=100000,INDEX($AM$1005:$BM$1005,1,MATCH(COLUMNS($AM$1006:AR1006),$AM$1006:$BM$1006,0))&gt;=100000), " ",IF(INDEX($AM$2:$BM$1001,MATCH(ROWS($AF$2:AF321),$AF$2:$AF$1001,0),MATCH(COLUMNS($AM$1006:AR1006),$AM$1006:$BM$1006,0)), HYPERLINK("#",""), HYPERLINK(CONCATENATE("#metadata!", ADDRESS(INDEX($AH$2:$AH$1001,MATCH(ROWS($AF$2:AF321),$AF$2:$AF$1001,0),0), INDEX($AM$1004:$BM$1004,1,MATCH(COLUMNS($AM$1006:AR1006),$AM$1006:$BM$1006,0)))),"Fix")))</f>
        <v xml:space="preserve"> </v>
      </c>
      <c r="H321" s="4" t="str">
        <f ca="1">IF(OR(INDEX($AG$2:$AG$1001,MATCH(ROWS($AF$2:AF321),$AF$2:$AF$1001,0),1)&gt;=100000,INDEX($AM$1005:$BM$1005,1,MATCH(COLUMNS($AM$1006:AS1006),$AM$1006:$BM$1006,0))&gt;=100000), " ",IF(INDEX($AM$2:$BM$1001,MATCH(ROWS($AF$2:AF321),$AF$2:$AF$1001,0),MATCH(COLUMNS($AM$1006:AS1006),$AM$1006:$BM$1006,0)), HYPERLINK("#",""), HYPERLINK(CONCATENATE("#metadata!", ADDRESS(INDEX($AH$2:$AH$1001,MATCH(ROWS($AF$2:AF321),$AF$2:$AF$1001,0),0), INDEX($AM$1004:$BM$1004,1,MATCH(COLUMNS($AM$1006:AS1006),$AM$1006:$BM$1006,0)))),"Fix")))</f>
        <v xml:space="preserve"> </v>
      </c>
      <c r="I321" s="4" t="str">
        <f ca="1">IF(OR(INDEX($AG$2:$AG$1001,MATCH(ROWS($AF$2:AF321),$AF$2:$AF$1001,0),1)&gt;=100000,INDEX($AM$1005:$BM$1005,1,MATCH(COLUMNS($AM$1006:AT1006),$AM$1006:$BM$1006,0))&gt;=100000), " ",IF(INDEX($AM$2:$BM$1001,MATCH(ROWS($AF$2:AF321),$AF$2:$AF$1001,0),MATCH(COLUMNS($AM$1006:AT1006),$AM$1006:$BM$1006,0)), HYPERLINK("#",""), HYPERLINK(CONCATENATE("#metadata!", ADDRESS(INDEX($AH$2:$AH$1001,MATCH(ROWS($AF$2:AF321),$AF$2:$AF$1001,0),0), INDEX($AM$1004:$BM$1004,1,MATCH(COLUMNS($AM$1006:AT1006),$AM$1006:$BM$1006,0)))),"Fix")))</f>
        <v xml:space="preserve"> </v>
      </c>
      <c r="J321" s="4" t="str">
        <f ca="1">IF(OR(INDEX($AG$2:$AG$1001,MATCH(ROWS($AF$2:AF321),$AF$2:$AF$1001,0),1)&gt;=100000,INDEX($AM$1005:$BM$1005,1,MATCH(COLUMNS($AM$1006:AU1006),$AM$1006:$BM$1006,0))&gt;=100000), " ",IF(INDEX($AM$2:$BM$1001,MATCH(ROWS($AF$2:AF321),$AF$2:$AF$1001,0),MATCH(COLUMNS($AM$1006:AU1006),$AM$1006:$BM$1006,0)), HYPERLINK("#",""), HYPERLINK(CONCATENATE("#metadata!", ADDRESS(INDEX($AH$2:$AH$1001,MATCH(ROWS($AF$2:AF321),$AF$2:$AF$1001,0),0), INDEX($AM$1004:$BM$1004,1,MATCH(COLUMNS($AM$1006:AU1006),$AM$1006:$BM$1006,0)))),"Fix")))</f>
        <v xml:space="preserve"> </v>
      </c>
      <c r="K321" s="4" t="str">
        <f ca="1">IF(OR(INDEX($AG$2:$AG$1001,MATCH(ROWS($AF$2:AF321),$AF$2:$AF$1001,0),1)&gt;=100000,INDEX($AM$1005:$BM$1005,1,MATCH(COLUMNS($AM$1006:AV1006),$AM$1006:$BM$1006,0))&gt;=100000), " ",IF(INDEX($AM$2:$BM$1001,MATCH(ROWS($AF$2:AF321),$AF$2:$AF$1001,0),MATCH(COLUMNS($AM$1006:AV1006),$AM$1006:$BM$1006,0)), HYPERLINK("#",""), HYPERLINK(CONCATENATE("#metadata!", ADDRESS(INDEX($AH$2:$AH$1001,MATCH(ROWS($AF$2:AF321),$AF$2:$AF$1001,0),0), INDEX($AM$1004:$BM$1004,1,MATCH(COLUMNS($AM$1006:AV1006),$AM$1006:$BM$1006,0)))),"Fix")))</f>
        <v xml:space="preserve"> </v>
      </c>
      <c r="L321" s="4" t="str">
        <f ca="1">IF(OR(INDEX($AG$2:$AG$1001,MATCH(ROWS($AF$2:AF321),$AF$2:$AF$1001,0),1)&gt;=100000,INDEX($AM$1005:$BM$1005,1,MATCH(COLUMNS($AM$1006:AW1006),$AM$1006:$BM$1006,0))&gt;=100000), " ",IF(INDEX($AM$2:$BM$1001,MATCH(ROWS($AF$2:AF321),$AF$2:$AF$1001,0),MATCH(COLUMNS($AM$1006:AW1006),$AM$1006:$BM$1006,0)), HYPERLINK("#",""), HYPERLINK(CONCATENATE("#metadata!", ADDRESS(INDEX($AH$2:$AH$1001,MATCH(ROWS($AF$2:AF321),$AF$2:$AF$1001,0),0), INDEX($AM$1004:$BM$1004,1,MATCH(COLUMNS($AM$1006:AW1006),$AM$1006:$BM$1006,0)))),"Fix")))</f>
        <v xml:space="preserve"> </v>
      </c>
      <c r="M321" s="4" t="str">
        <f ca="1">IF(OR(INDEX($AG$2:$AG$1001,MATCH(ROWS($AF$2:AF321),$AF$2:$AF$1001,0),1)&gt;=100000,INDEX($AM$1005:$BM$1005,1,MATCH(COLUMNS($AM$1006:AX1006),$AM$1006:$BM$1006,0))&gt;=100000), " ",IF(INDEX($AM$2:$BM$1001,MATCH(ROWS($AF$2:AF321),$AF$2:$AF$1001,0),MATCH(COLUMNS($AM$1006:AX1006),$AM$1006:$BM$1006,0)), HYPERLINK("#",""), HYPERLINK(CONCATENATE("#metadata!", ADDRESS(INDEX($AH$2:$AH$1001,MATCH(ROWS($AF$2:AF321),$AF$2:$AF$1001,0),0), INDEX($AM$1004:$BM$1004,1,MATCH(COLUMNS($AM$1006:AX1006),$AM$1006:$BM$1006,0)))),"Fix")))</f>
        <v xml:space="preserve"> </v>
      </c>
      <c r="N321" s="4" t="str">
        <f ca="1">IF(OR(INDEX($AG$2:$AG$1001,MATCH(ROWS($AF$2:AF321),$AF$2:$AF$1001,0),1)&gt;=100000,INDEX($AM$1005:$BM$1005,1,MATCH(COLUMNS($AM$1006:AY1006),$AM$1006:$BM$1006,0))&gt;=100000), " ",IF(INDEX($AM$2:$BM$1001,MATCH(ROWS($AF$2:AF321),$AF$2:$AF$1001,0),MATCH(COLUMNS($AM$1006:AY1006),$AM$1006:$BM$1006,0)), HYPERLINK("#",""), HYPERLINK(CONCATENATE("#metadata!", ADDRESS(INDEX($AH$2:$AH$1001,MATCH(ROWS($AF$2:AF321),$AF$2:$AF$1001,0),0), INDEX($AM$1004:$BM$1004,1,MATCH(COLUMNS($AM$1006:AY1006),$AM$1006:$BM$1006,0)))),"Fix")))</f>
        <v xml:space="preserve"> </v>
      </c>
      <c r="O321" s="4" t="str">
        <f ca="1">IF(OR(INDEX($AG$2:$AG$1001,MATCH(ROWS($AF$2:AF321),$AF$2:$AF$1001,0),1)&gt;=100000,INDEX($AM$1005:$BM$1005,1,MATCH(COLUMNS($AM$1006:AZ1006),$AM$1006:$BM$1006,0))&gt;=100000), " ",IF(INDEX($AM$2:$BM$1001,MATCH(ROWS($AF$2:AF321),$AF$2:$AF$1001,0),MATCH(COLUMNS($AM$1006:AZ1006),$AM$1006:$BM$1006,0)), HYPERLINK("#",""), HYPERLINK(CONCATENATE("#metadata!", ADDRESS(INDEX($AH$2:$AH$1001,MATCH(ROWS($AF$2:AF321),$AF$2:$AF$1001,0),0), INDEX($AM$1004:$BM$1004,1,MATCH(COLUMNS($AM$1006:AZ1006),$AM$1006:$BM$1006,0)))),"Fix")))</f>
        <v xml:space="preserve"> </v>
      </c>
      <c r="P321" s="4" t="str">
        <f ca="1">IF(OR(INDEX($AG$2:$AG$1001,MATCH(ROWS($AF$2:AF321),$AF$2:$AF$1001,0),1)&gt;=100000,INDEX($AM$1005:$BM$1005,1,MATCH(COLUMNS($AM$1006:BA1006),$AM$1006:$BM$1006,0))&gt;=100000), " ",IF(INDEX($AM$2:$BM$1001,MATCH(ROWS($AF$2:AF321),$AF$2:$AF$1001,0),MATCH(COLUMNS($AM$1006:BA1006),$AM$1006:$BM$1006,0)), HYPERLINK("#",""), HYPERLINK(CONCATENATE("#metadata!", ADDRESS(INDEX($AH$2:$AH$1001,MATCH(ROWS($AF$2:AF321),$AF$2:$AF$1001,0),0), INDEX($AM$1004:$BM$1004,1,MATCH(COLUMNS($AM$1006:BA1006),$AM$1006:$BM$1006,0)))),"Fix")))</f>
        <v xml:space="preserve"> </v>
      </c>
      <c r="Q321" s="4" t="str">
        <f ca="1">IF(OR(INDEX($AG$2:$AG$1001,MATCH(ROWS($AF$2:AF321),$AF$2:$AF$1001,0),1)&gt;=100000,INDEX($AM$1005:$BM$1005,1,MATCH(COLUMNS($AM$1006:BB1006),$AM$1006:$BM$1006,0))&gt;=100000), " ",IF(INDEX($AM$2:$BM$1001,MATCH(ROWS($AF$2:AF321),$AF$2:$AF$1001,0),MATCH(COLUMNS($AM$1006:BB1006),$AM$1006:$BM$1006,0)), HYPERLINK("#",""), HYPERLINK(CONCATENATE("#metadata!", ADDRESS(INDEX($AH$2:$AH$1001,MATCH(ROWS($AF$2:AF321),$AF$2:$AF$1001,0),0), INDEX($AM$1004:$BM$1004,1,MATCH(COLUMNS($AM$1006:BB1006),$AM$1006:$BM$1006,0)))),"Fix")))</f>
        <v xml:space="preserve"> </v>
      </c>
      <c r="R321" s="4" t="str">
        <f ca="1">IF(OR(INDEX($AG$2:$AG$1001,MATCH(ROWS($AF$2:AF321),$AF$2:$AF$1001,0),1)&gt;=100000,INDEX($AM$1005:$BM$1005,1,MATCH(COLUMNS($AM$1006:BC1006),$AM$1006:$BM$1006,0))&gt;=100000), " ",IF(INDEX($AM$2:$BM$1001,MATCH(ROWS($AF$2:AF321),$AF$2:$AF$1001,0),MATCH(COLUMNS($AM$1006:BC1006),$AM$1006:$BM$1006,0)), HYPERLINK("#",""), HYPERLINK(CONCATENATE("#metadata!", ADDRESS(INDEX($AH$2:$AH$1001,MATCH(ROWS($AF$2:AF321),$AF$2:$AF$1001,0),0), INDEX($AM$1004:$BM$1004,1,MATCH(COLUMNS($AM$1006:BC1006),$AM$1006:$BM$1006,0)))),"Fix")))</f>
        <v xml:space="preserve"> </v>
      </c>
      <c r="S321" s="4" t="str">
        <f ca="1">IF(OR(INDEX($AG$2:$AG$1001,MATCH(ROWS($AF$2:AF321),$AF$2:$AF$1001,0),1)&gt;=100000,INDEX($AM$1005:$BM$1005,1,MATCH(COLUMNS($AM$1006:BD1006),$AM$1006:$BM$1006,0))&gt;=100000), " ",IF(INDEX($AM$2:$BM$1001,MATCH(ROWS($AF$2:AF321),$AF$2:$AF$1001,0),MATCH(COLUMNS($AM$1006:BD1006),$AM$1006:$BM$1006,0)), HYPERLINK("#",""), HYPERLINK(CONCATENATE("#metadata!", ADDRESS(INDEX($AH$2:$AH$1001,MATCH(ROWS($AF$2:AF321),$AF$2:$AF$1001,0),0), INDEX($AM$1004:$BM$1004,1,MATCH(COLUMNS($AM$1006:BD1006),$AM$1006:$BM$1006,0)))),"Fix")))</f>
        <v xml:space="preserve"> </v>
      </c>
      <c r="T321" s="4" t="str">
        <f ca="1">IF(OR(INDEX($AG$2:$AG$1001,MATCH(ROWS($AF$2:AF321),$AF$2:$AF$1001,0),1)&gt;=100000,INDEX($AM$1005:$BM$1005,1,MATCH(COLUMNS($AM$1006:BE1006),$AM$1006:$BM$1006,0))&gt;=100000), " ",IF(INDEX($AM$2:$BM$1001,MATCH(ROWS($AF$2:AF321),$AF$2:$AF$1001,0),MATCH(COLUMNS($AM$1006:BE1006),$AM$1006:$BM$1006,0)), HYPERLINK("#",""), HYPERLINK(CONCATENATE("#metadata!", ADDRESS(INDEX($AH$2:$AH$1001,MATCH(ROWS($AF$2:AF321),$AF$2:$AF$1001,0),0), INDEX($AM$1004:$BM$1004,1,MATCH(COLUMNS($AM$1006:BE1006),$AM$1006:$BM$1006,0)))),"Fix")))</f>
        <v xml:space="preserve"> </v>
      </c>
      <c r="U321" s="4" t="str">
        <f ca="1">IF(OR(INDEX($AG$2:$AG$1001,MATCH(ROWS($AF$2:AF321),$AF$2:$AF$1001,0),1)&gt;=100000,INDEX($AM$1005:$BM$1005,1,MATCH(COLUMNS($AM$1006:BF1006),$AM$1006:$BM$1006,0))&gt;=100000), " ",IF(INDEX($AM$2:$BM$1001,MATCH(ROWS($AF$2:AF321),$AF$2:$AF$1001,0),MATCH(COLUMNS($AM$1006:BF1006),$AM$1006:$BM$1006,0)), HYPERLINK("#",""), HYPERLINK(CONCATENATE("#metadata!", ADDRESS(INDEX($AH$2:$AH$1001,MATCH(ROWS($AF$2:AF321),$AF$2:$AF$1001,0),0), INDEX($AM$1004:$BM$1004,1,MATCH(COLUMNS($AM$1006:BF1006),$AM$1006:$BM$1006,0)))),"Fix")))</f>
        <v xml:space="preserve"> </v>
      </c>
      <c r="V321" s="4" t="str">
        <f ca="1">IF(OR(INDEX($AG$2:$AG$1001,MATCH(ROWS($AF$2:AF321),$AF$2:$AF$1001,0),1)&gt;=100000,INDEX($AM$1005:$BM$1005,1,MATCH(COLUMNS($AM$1006:BG1006),$AM$1006:$BM$1006,0))&gt;=100000), " ",IF(INDEX($AM$2:$BM$1001,MATCH(ROWS($AF$2:AF321),$AF$2:$AF$1001,0),MATCH(COLUMNS($AM$1006:BG1006),$AM$1006:$BM$1006,0)), HYPERLINK("#",""), HYPERLINK(CONCATENATE("#metadata!", ADDRESS(INDEX($AH$2:$AH$1001,MATCH(ROWS($AF$2:AF321),$AF$2:$AF$1001,0),0), INDEX($AM$1004:$BM$1004,1,MATCH(COLUMNS($AM$1006:BG1006),$AM$1006:$BM$1006,0)))),"Fix")))</f>
        <v xml:space="preserve"> </v>
      </c>
      <c r="W321" s="4" t="str">
        <f ca="1">IF(OR(INDEX($AG$2:$AG$1001,MATCH(ROWS($AF$2:AF321),$AF$2:$AF$1001,0),1)&gt;=100000,INDEX($AM$1005:$BM$1005,1,MATCH(COLUMNS($AM$1006:BH1006),$AM$1006:$BM$1006,0))&gt;=100000), " ",IF(INDEX($AM$2:$BM$1001,MATCH(ROWS($AF$2:AF321),$AF$2:$AF$1001,0),MATCH(COLUMNS($AM$1006:BH1006),$AM$1006:$BM$1006,0)), HYPERLINK("#",""), HYPERLINK(CONCATENATE("#metadata!", ADDRESS(INDEX($AH$2:$AH$1001,MATCH(ROWS($AF$2:AF321),$AF$2:$AF$1001,0),0), INDEX($AM$1004:$BM$1004,1,MATCH(COLUMNS($AM$1006:BH1006),$AM$1006:$BM$1006,0)))),"Fix")))</f>
        <v xml:space="preserve"> </v>
      </c>
      <c r="X321" s="4" t="str">
        <f ca="1">IF(OR(INDEX($AG$2:$AG$1001,MATCH(ROWS($AF$2:AF321),$AF$2:$AF$1001,0),1)&gt;=100000,INDEX($AM$1005:$BM$1005,1,MATCH(COLUMNS($AM$1006:BI1006),$AM$1006:$BM$1006,0))&gt;=100000), " ",IF(INDEX($AM$2:$BM$1001,MATCH(ROWS($AF$2:AF321),$AF$2:$AF$1001,0),MATCH(COLUMNS($AM$1006:BI1006),$AM$1006:$BM$1006,0)), HYPERLINK("#",""), HYPERLINK(CONCATENATE("#metadata!", ADDRESS(INDEX($AH$2:$AH$1001,MATCH(ROWS($AF$2:AF321),$AF$2:$AF$1001,0),0), INDEX($AM$1004:$BM$1004,1,MATCH(COLUMNS($AM$1006:BI1006),$AM$1006:$BM$1006,0)))),"Fix")))</f>
        <v xml:space="preserve"> </v>
      </c>
      <c r="Y321" s="4" t="str">
        <f ca="1">IF(OR(INDEX($AG$2:$AG$1001,MATCH(ROWS($AF$2:AF321),$AF$2:$AF$1001,0),1)&gt;=100000,INDEX($AM$1005:$BM$1005,1,MATCH(COLUMNS($AM$1006:BJ1006),$AM$1006:$BM$1006,0))&gt;=100000), " ",IF(INDEX($AM$2:$BM$1001,MATCH(ROWS($AF$2:AF321),$AF$2:$AF$1001,0),MATCH(COLUMNS($AM$1006:BJ1006),$AM$1006:$BM$1006,0)), HYPERLINK("#",""), HYPERLINK(CONCATENATE("#metadata!", ADDRESS(INDEX($AH$2:$AH$1001,MATCH(ROWS($AF$2:AF321),$AF$2:$AF$1001,0),0), INDEX($AM$1004:$BM$1004,1,MATCH(COLUMNS($AM$1006:BJ1006),$AM$1006:$BM$1006,0)))),"Fix")))</f>
        <v xml:space="preserve"> </v>
      </c>
      <c r="Z321" s="4" t="str">
        <f ca="1">IF(OR(INDEX($AG$2:$AG$1001,MATCH(ROWS($AF$2:AF321),$AF$2:$AF$1001,0),1)&gt;=100000,INDEX($AM$1005:$BM$1005,1,MATCH(COLUMNS($AM$1006:BK1006),$AM$1006:$BM$1006,0))&gt;=100000), " ",IF(INDEX($AM$2:$BM$1001,MATCH(ROWS($AF$2:AF321),$AF$2:$AF$1001,0),MATCH(COLUMNS($AM$1006:BK1006),$AM$1006:$BM$1006,0)), HYPERLINK("#",""), HYPERLINK(CONCATENATE("#metadata!", ADDRESS(INDEX($AH$2:$AH$1001,MATCH(ROWS($AF$2:AF321),$AF$2:$AF$1001,0),0), INDEX($AM$1004:$BM$1004,1,MATCH(COLUMNS($AM$1006:BK1006),$AM$1006:$BM$1006,0)))),"Fix")))</f>
        <v xml:space="preserve"> </v>
      </c>
      <c r="AA321" s="4" t="str">
        <f ca="1">IF(OR(INDEX($AG$2:$AG$1001,MATCH(ROWS($AF$2:AF321),$AF$2:$AF$1001,0),1)&gt;=100000,INDEX($AM$1005:$BM$1005,1,MATCH(COLUMNS($AM$1006:BL1006),$AM$1006:$BM$1006,0))&gt;=100000), " ",IF(INDEX($AM$2:$BM$1001,MATCH(ROWS($AF$2:AF321),$AF$2:$AF$1001,0),MATCH(COLUMNS($AM$1006:BL1006),$AM$1006:$BM$1006,0)), HYPERLINK("#",""), HYPERLINK(CONCATENATE("#metadata!", ADDRESS(INDEX($AH$2:$AH$1001,MATCH(ROWS($AF$2:AF321),$AF$2:$AF$1001,0),0), INDEX($AM$1004:$BM$1004,1,MATCH(COLUMNS($AM$1006:BL1006),$AM$1006:$BM$1006,0)))),"Fix")))</f>
        <v xml:space="preserve"> </v>
      </c>
      <c r="AB321" s="4" t="str">
        <f ca="1">IF(OR(INDEX($AG$2:$AG$1001,MATCH(ROWS($AF$2:AF321),$AF$2:$AF$1001,0),1)&gt;=100000,INDEX($AM$1005:$BM$1005,1,MATCH(COLUMNS($AM$1006:BM1006),$AM$1006:$BM$1006,0))&gt;=100000), " ",IF(INDEX($AM$2:$BM$1001,MATCH(ROWS($AF$2:AF321),$AF$2:$AF$1001,0),MATCH(COLUMNS($AM$1006:BM1006),$AM$1006:$BM$1006,0)), HYPERLINK("#",""), HYPERLINK(CONCATENATE("#metadata!", ADDRESS(INDEX($AH$2:$AH$1001,MATCH(ROWS($AF$2:AF321),$AF$2:$AF$1001,0),0), INDEX($AM$1004:$BM$1004,1,MATCH(COLUMNS($AM$1006:BM1006),$AM$1006:$BM$1006,0)))),"Fix")))</f>
        <v xml:space="preserve"> </v>
      </c>
      <c r="AF321">
        <v>320</v>
      </c>
      <c r="AG321">
        <v>100321</v>
      </c>
      <c r="AH321">
        <v>321</v>
      </c>
      <c r="AI321" t="b">
        <f t="shared" si="4"/>
        <v>1</v>
      </c>
      <c r="AJ321" t="b">
        <f>COUNTBLANK(metadata!B321:AB321)=COLUMNS(metadata!B321:AB321)</f>
        <v>1</v>
      </c>
      <c r="AK321" t="str">
        <v/>
      </c>
      <c r="AM321" t="b">
        <f ca="1">AND(IF(metadata!B321="",FALSE,TRUE),COUNTIF(metadata!B:B, metadata!B321) = 1,NOT(ISERROR(SUMPRODUCT(SEARCH(MID(metadata!B321,ROW(INDIRECT("1:"&amp;LEN(metadata!B321))), 1),"0123456789abcdefghijklmnopqrstuvwxyzABCDEFGHIJKLMNOPQRSTUVWXYZ.")))))</f>
        <v>0</v>
      </c>
      <c r="AN321" t="b">
        <f ca="1">OR(AND(IF(metadata!C321="",FALSE,TRUE),OR(EXACT(metadata!C321,"missing: not collected"),EXACT(metadata!C321,"missing: not provided"),EXACT(metadata!C321,"missing: restricted access"))),AND(IF(metadata!C321="",FALSE,TRUE),AND(AND(IFERROR(INT(LEFT(metadata!C321,4))&gt;1900,FALSE),IFERROR(INT(LEFT(metadata!C321,4))&lt;=YEAR(NOW()),FALSE)), OR(MID(metadata!C321,5,1)="", AND(AND(MID(metadata!C321,5,1)="-",IFERROR(INT(MID(metadata!C321,6,1))&gt;=0,FALSE),IFERROR(INT(MID(metadata!C321,6,1))&lt;=1,FALSE),NOT(MID(metadata!C321,7,1)=""),IFERROR(INT(MID(metadata!C321,6,2))&gt;=1,FALSE),IFERROR(INT(MID(metadata!C321,6,2))&lt;=12,FALSE)), OR(MID(metadata!C321,8,1)="", AND(AND(MID(metadata!C321,8,1)="-",IFERROR(INT(MID(metadata!C321,9,1))&gt;=0,FALSE),IFERROR(INT(MID(metadata!C321,9,1))&lt;=3,FALSE),NOT(MID(metadata!C321,10,1)=""),IFERROR(INT(MID(metadata!C321,9,2))&gt;=1,FALSE),IFERROR(INT(MID(metadata!C321,9,2))&lt;=31,FALSE)), OR(MID(metadata!C321,11,1)="", AND(AND(MID(metadata!C321,11,1)=" ",IFERROR(INT(MID(metadata!C321,12,1))&gt;=0,FALSE),IFERROR(INT(MID(metadata!C321,12,1))&lt;=2,FALSE),NOT(MID(metadata!C321,13,1)=""),IFERROR(INT(MID(metadata!C321,12,2))&gt;=0,FALSE),IFERROR(INT(MID(metadata!C321,12,2))&lt;=23,FALSE)), OR(MID(metadata!C321,14,1)="", AND(AND(MID(metadata!C321,14,1)=":",IFERROR(INT(MID(metadata!C321,15,1))&gt;=0,FALSE),IFERROR(INT(MID(metadata!C321,15,1))&lt;=5,FALSE),NOT(MID(metadata!C321,16,1)=""),IFERROR(INT(MID(metadata!C321,15,2))&gt;=0,FALSE),IFERROR(INT(MID(metadata!C321,15,2))&lt;=59,FALSE)), OR(MID(metadata!C321,17,1)="", AND(AND(MID(metadata!C321,17,1)=":",IFERROR(INT(MID(metadata!C321,18,1))&gt;=0,FALSE),IFERROR(INT(MID(metadata!C321,18,1))&lt;=5,FALSE),NOT(MID(metadata!C321,19,1)=""),IFERROR(INT(MID(metadata!C321,18,2))&gt;=0,FALSE),IFERROR(INT(MID(metadata!C321,18,2))&lt;=59,FALSE)), LEN(metadata!C321)&lt;=19)))))))))))))</f>
        <v>0</v>
      </c>
      <c r="AO321" t="b">
        <f>AND(IF(metadata!D321="",FALSE,TRUE),EXACT(metadata!D321,"Not applicable"))</f>
        <v>0</v>
      </c>
      <c r="AP321" t="b">
        <f>IF(metadata!E321="",FALSE,TRUE)</f>
        <v>0</v>
      </c>
      <c r="AQ321" t="b">
        <f>OR(AND(IF(metadata!F321="",FALSE,TRUE),OR(EXACT(metadata!F321,"missing: not collected"),EXACT(metadata!F321,"missing: not provided"))),AND(IF(metadata!F321="",FALSE,TRUE),OR(EXACT(metadata!F321,"TRUE"),EXACT(metadata!F321,"FALSE"))))</f>
        <v>0</v>
      </c>
      <c r="AR321" t="b">
        <f>OR(AND(IF(metadata!G321="",FALSE,TRUE),OR(EXACT(metadata!G321,"missing: not collected"),EXACT(metadata!G321,"missing: not provided"),EXACT(metadata!G321,"missing: restricted access"))),AND(IF(metadata!G321="",FALSE,ISNUMBER(VALUE(metadata!G321))),metadata!G321&gt;=-413))</f>
        <v>0</v>
      </c>
      <c r="AS321" t="b">
        <f>AND(IF(metadata!H321="",FALSE,TRUE),EXACT(metadata!H321,"meters"))</f>
        <v>0</v>
      </c>
      <c r="AT321" t="b">
        <f>AND(IF(metadata!I321="",FALSE,TRUE),OR(EXACT(metadata!I321,"Host-associated"),EXACT(metadata!I321,"Free-living")))</f>
        <v>0</v>
      </c>
      <c r="AU321" t="b">
        <f>AND(IF(metadata!J321="",FALSE,TRUE),OR(EXACT(metadata!J321,"Animal"),EXACT(metadata!J321,"Fungus"),EXACT(metadata!J321,"Plant"),EXACT(metadata!J321,"Saline"),EXACT(metadata!J321,"Non-saline")))</f>
        <v>0</v>
      </c>
      <c r="AV321" t="b">
        <f>AND(IF(metadata!K321="",FALSE,TRUE),OR(EXACT(metadata!K321,"Plant secretion"),EXACT(metadata!K321,"Plant rhizosphere"),EXACT(metadata!K321,"Plant surface"),EXACT(metadata!K321,"Plant corpus"),EXACT(metadata!K321,"Fungus surface"),EXACT(metadata!K321,"Fungus corpus"),EXACT(metadata!K321,"Animal surface"),EXACT(metadata!K321,"Animal proximal gut"),EXACT(metadata!K321,"Animal corpus"),EXACT(metadata!K321,"Animal distal gut"),EXACT(metadata!K321,"Animal secretion"),EXACT(metadata!K321,"Sub-surface (non-saline)"),EXACT(metadata!K321,"Surface (non-saline)"),EXACT(metadata!K321,"Water (non-saline)"),EXACT(metadata!K321,"Soil (non-saline)"),EXACT(metadata!K321,"Aerosol (non-saline)"),EXACT(metadata!K321,"Sediment (non-saline)"),EXACT(metadata!K321,"Surface (saline)"),EXACT(metadata!K321,"Water (saline)"),EXACT(metadata!K321,"Hypersaline (saline)"),EXACT(metadata!K321,"Aerosol (saline)"),EXACT(metadata!K321,"Sediment (saline)")))</f>
        <v>0</v>
      </c>
      <c r="AW321" t="b">
        <f>IF(metadata!L321="",FALSE,TRUE)</f>
        <v>0</v>
      </c>
      <c r="AX321" t="b">
        <f>IF(metadata!M321="",FALSE,TRUE)</f>
        <v>0</v>
      </c>
      <c r="AY321" t="b">
        <f>IF(metadata!N321="",FALSE,TRUE)</f>
        <v>0</v>
      </c>
      <c r="AZ321" t="b">
        <f>OR(AND(IF(metadata!O321="",FALSE,TRUE),OR(EXACT(metadata!O321,"missing: not collected"),EXACT(metadata!O321,"missing: not provided"),EXACT(metadata!O321,"missing: restricted access"))),AND(IF(metadata!O321="",FALSE,TRUE),OR(EXACT(metadata!O321,"air"),EXACT(metadata!O321,"built environment"),EXACT(metadata!O321,"host-associated"),EXACT(metadata!O321,"human-associated"),EXACT(metadata!O321,"human-skin"),EXACT(metadata!O321,"human-oral"),EXACT(metadata!O321,"human-gut"),EXACT(metadata!O321,"human-vaginal"),EXACT(metadata!O321,"microbial mat/biofilm"),EXACT(metadata!O321,"misc environment"),EXACT(metadata!O321,"plant-associated"),EXACT(metadata!O321,"sediment"),EXACT(metadata!O321,"soil"),EXACT(metadata!O321,"wastewater/sludge"),EXACT(metadata!O321,"water"))))</f>
        <v>0</v>
      </c>
      <c r="BA321" t="b">
        <f>IF(metadata!P321="",FALSE,TRUE)</f>
        <v>0</v>
      </c>
      <c r="BB321" t="b">
        <f>IF(metadata!Q321="",FALSE,TRUE)</f>
        <v>0</v>
      </c>
      <c r="BC321" t="b">
        <f>OR(AND(IF(metadata!R321="",FALSE,TRUE),OR(EXACT(metadata!R321,"missing: not collected"),EXACT(metadata!R321,"missing: not provided"),EXACT(metadata!R321,"missing: restricted access"))),AND(IF(metadata!R321="",FALSE,ISNUMBER(VALUE(metadata!R321))),metadata!R321&gt;=-90,metadata!R321&lt;=90))</f>
        <v>0</v>
      </c>
      <c r="BD321" t="b">
        <f>AND(IF(metadata!S321="",FALSE,TRUE),EXACT(metadata!S321,"Decimal degrees"))</f>
        <v>0</v>
      </c>
      <c r="BE321" t="b">
        <f>OR(AND(IF(metadata!T321="",FALSE,TRUE),OR(EXACT(metadata!T321,"missing: not collected"),EXACT(metadata!T321,"missing: not provided"),EXACT(metadata!T321,"missing: restricted access"))),AND(IF(metadata!T321="",FALSE,ISNUMBER(VALUE(metadata!T321))),metadata!T321&gt;=-180,metadata!T321&lt;=180))</f>
        <v>0</v>
      </c>
      <c r="BF321" t="b">
        <f>AND(IF(metadata!U321="",FALSE,TRUE),EXACT(metadata!U321,"Decimal degrees"))</f>
        <v>0</v>
      </c>
      <c r="BG321" t="b">
        <f>IF(metadata!V321="",FALSE,TRUE)</f>
        <v>0</v>
      </c>
      <c r="BH321" t="b">
        <f>OR(AND(IF(metadata!W321="",FALSE,TRUE),OR(EXACT(metadata!W321,"missing: not collected"),EXACT(metadata!W321,"missing: not provided"),EXACT(metadata!W321,"missing: restricted access"))),AND(IF(metadata!W321="",FALSE,TRUE),OR(EXACT(metadata!W321,"TRUE"),EXACT(metadata!W321,"FALSE"))))</f>
        <v>0</v>
      </c>
      <c r="BI321" t="b">
        <f>AND(IF(metadata!X321="",FALSE,TRUE),EXACT(metadata!X321,"other"))</f>
        <v>0</v>
      </c>
      <c r="BJ321" t="b">
        <f>IF(metadata!Y321="",FALSE,TRUE)</f>
        <v>0</v>
      </c>
      <c r="BK321" t="b">
        <f>OR(AND(IF(metadata!Z321="",FALSE,TRUE),OR(EXACT(metadata!Z321,"missing: not collected"),EXACT(metadata!Z321,"missing: not provided"))),AND(IF(metadata!Z321="",FALSE,IF(ISERROR(INT(metadata!Z321)),FALSE,INT(metadata!Z321)=metadata!Z321)),metadata!Z321&gt;0))</f>
        <v>0</v>
      </c>
      <c r="BL321" t="b">
        <f>AND(IF(metadata!AA321="",FALSE,TRUE),EXACT(metadata!AA321,"Not applicable"))</f>
        <v>0</v>
      </c>
      <c r="BM321" t="b">
        <f>IF(metadata!AB321="",FALSE,TRUE)</f>
        <v>0</v>
      </c>
    </row>
    <row r="322" spans="1:65" x14ac:dyDescent="0.2">
      <c r="A322" s="5" t="str">
        <f ca="1">IF(B322=" "," ",HYPERLINK(CONCATENATE("#metadata!",ADDRESS(INDEX($AH$2:$AH$1001,MATCH(ROWS($AF$2:AF322),$AF$2:$AF$1001,0),0),1)),INDEX($AK$2:$AK$1001,MATCH(ROWS($AF$2:AF322),$AF$2:$AF$1001,0),0)))</f>
        <v xml:space="preserve"> </v>
      </c>
      <c r="B322" s="4" t="str">
        <f ca="1">IF(OR(INDEX($AG$2:$AG$1001,MATCH(ROWS($AF$2:AF322),$AF$2:$AF$1001,0),1)&gt;=100000,INDEX($AM$1005:$BM$1005,1,MATCH(COLUMNS($AM$1006:AM1006),$AM$1006:$BM$1006,0))&gt;=100000), " ",IF(INDEX($AM$2:$BM$1001,MATCH(ROWS($AF$2:AF322),$AF$2:$AF$1001,0),MATCH(COLUMNS($AM$1006:AM1006),$AM$1006:$BM$1006,0)), HYPERLINK("#",""), HYPERLINK(CONCATENATE("#metadata!", ADDRESS(INDEX($AH$2:$AH$1001,MATCH(ROWS($AF$2:AF322),$AF$2:$AF$1001,0),0), INDEX($AM$1004:$BM$1004,1,MATCH(COLUMNS($AM$1006:AM1006),$AM$1006:$BM$1006,0)))),"Fix")))</f>
        <v xml:space="preserve"> </v>
      </c>
      <c r="C322" s="4" t="str">
        <f ca="1">IF(OR(INDEX($AG$2:$AG$1001,MATCH(ROWS($AF$2:AF322),$AF$2:$AF$1001,0),1)&gt;=100000,INDEX($AM$1005:$BM$1005,1,MATCH(COLUMNS($AM$1006:AN1006),$AM$1006:$BM$1006,0))&gt;=100000), " ",IF(INDEX($AM$2:$BM$1001,MATCH(ROWS($AF$2:AF322),$AF$2:$AF$1001,0),MATCH(COLUMNS($AM$1006:AN1006),$AM$1006:$BM$1006,0)), HYPERLINK("#",""), HYPERLINK(CONCATENATE("#metadata!", ADDRESS(INDEX($AH$2:$AH$1001,MATCH(ROWS($AF$2:AF322),$AF$2:$AF$1001,0),0), INDEX($AM$1004:$BM$1004,1,MATCH(COLUMNS($AM$1006:AN1006),$AM$1006:$BM$1006,0)))),"Fix")))</f>
        <v xml:space="preserve"> </v>
      </c>
      <c r="D322" s="4" t="str">
        <f ca="1">IF(OR(INDEX($AG$2:$AG$1001,MATCH(ROWS($AF$2:AF322),$AF$2:$AF$1001,0),1)&gt;=100000,INDEX($AM$1005:$BM$1005,1,MATCH(COLUMNS($AM$1006:AO1006),$AM$1006:$BM$1006,0))&gt;=100000), " ",IF(INDEX($AM$2:$BM$1001,MATCH(ROWS($AF$2:AF322),$AF$2:$AF$1001,0),MATCH(COLUMNS($AM$1006:AO1006),$AM$1006:$BM$1006,0)), HYPERLINK("#",""), HYPERLINK(CONCATENATE("#metadata!", ADDRESS(INDEX($AH$2:$AH$1001,MATCH(ROWS($AF$2:AF322),$AF$2:$AF$1001,0),0), INDEX($AM$1004:$BM$1004,1,MATCH(COLUMNS($AM$1006:AO1006),$AM$1006:$BM$1006,0)))),"Fix")))</f>
        <v xml:space="preserve"> </v>
      </c>
      <c r="E322" s="4" t="str">
        <f ca="1">IF(OR(INDEX($AG$2:$AG$1001,MATCH(ROWS($AF$2:AF322),$AF$2:$AF$1001,0),1)&gt;=100000,INDEX($AM$1005:$BM$1005,1,MATCH(COLUMNS($AM$1006:AP1006),$AM$1006:$BM$1006,0))&gt;=100000), " ",IF(INDEX($AM$2:$BM$1001,MATCH(ROWS($AF$2:AF322),$AF$2:$AF$1001,0),MATCH(COLUMNS($AM$1006:AP1006),$AM$1006:$BM$1006,0)), HYPERLINK("#",""), HYPERLINK(CONCATENATE("#metadata!", ADDRESS(INDEX($AH$2:$AH$1001,MATCH(ROWS($AF$2:AF322),$AF$2:$AF$1001,0),0), INDEX($AM$1004:$BM$1004,1,MATCH(COLUMNS($AM$1006:AP1006),$AM$1006:$BM$1006,0)))),"Fix")))</f>
        <v xml:space="preserve"> </v>
      </c>
      <c r="F322" s="4" t="str">
        <f ca="1">IF(OR(INDEX($AG$2:$AG$1001,MATCH(ROWS($AF$2:AF322),$AF$2:$AF$1001,0),1)&gt;=100000,INDEX($AM$1005:$BM$1005,1,MATCH(COLUMNS($AM$1006:AQ1006),$AM$1006:$BM$1006,0))&gt;=100000), " ",IF(INDEX($AM$2:$BM$1001,MATCH(ROWS($AF$2:AF322),$AF$2:$AF$1001,0),MATCH(COLUMNS($AM$1006:AQ1006),$AM$1006:$BM$1006,0)), HYPERLINK("#",""), HYPERLINK(CONCATENATE("#metadata!", ADDRESS(INDEX($AH$2:$AH$1001,MATCH(ROWS($AF$2:AF322),$AF$2:$AF$1001,0),0), INDEX($AM$1004:$BM$1004,1,MATCH(COLUMNS($AM$1006:AQ1006),$AM$1006:$BM$1006,0)))),"Fix")))</f>
        <v xml:space="preserve"> </v>
      </c>
      <c r="G322" s="4" t="str">
        <f ca="1">IF(OR(INDEX($AG$2:$AG$1001,MATCH(ROWS($AF$2:AF322),$AF$2:$AF$1001,0),1)&gt;=100000,INDEX($AM$1005:$BM$1005,1,MATCH(COLUMNS($AM$1006:AR1006),$AM$1006:$BM$1006,0))&gt;=100000), " ",IF(INDEX($AM$2:$BM$1001,MATCH(ROWS($AF$2:AF322),$AF$2:$AF$1001,0),MATCH(COLUMNS($AM$1006:AR1006),$AM$1006:$BM$1006,0)), HYPERLINK("#",""), HYPERLINK(CONCATENATE("#metadata!", ADDRESS(INDEX($AH$2:$AH$1001,MATCH(ROWS($AF$2:AF322),$AF$2:$AF$1001,0),0), INDEX($AM$1004:$BM$1004,1,MATCH(COLUMNS($AM$1006:AR1006),$AM$1006:$BM$1006,0)))),"Fix")))</f>
        <v xml:space="preserve"> </v>
      </c>
      <c r="H322" s="4" t="str">
        <f ca="1">IF(OR(INDEX($AG$2:$AG$1001,MATCH(ROWS($AF$2:AF322),$AF$2:$AF$1001,0),1)&gt;=100000,INDEX($AM$1005:$BM$1005,1,MATCH(COLUMNS($AM$1006:AS1006),$AM$1006:$BM$1006,0))&gt;=100000), " ",IF(INDEX($AM$2:$BM$1001,MATCH(ROWS($AF$2:AF322),$AF$2:$AF$1001,0),MATCH(COLUMNS($AM$1006:AS1006),$AM$1006:$BM$1006,0)), HYPERLINK("#",""), HYPERLINK(CONCATENATE("#metadata!", ADDRESS(INDEX($AH$2:$AH$1001,MATCH(ROWS($AF$2:AF322),$AF$2:$AF$1001,0),0), INDEX($AM$1004:$BM$1004,1,MATCH(COLUMNS($AM$1006:AS1006),$AM$1006:$BM$1006,0)))),"Fix")))</f>
        <v xml:space="preserve"> </v>
      </c>
      <c r="I322" s="4" t="str">
        <f ca="1">IF(OR(INDEX($AG$2:$AG$1001,MATCH(ROWS($AF$2:AF322),$AF$2:$AF$1001,0),1)&gt;=100000,INDEX($AM$1005:$BM$1005,1,MATCH(COLUMNS($AM$1006:AT1006),$AM$1006:$BM$1006,0))&gt;=100000), " ",IF(INDEX($AM$2:$BM$1001,MATCH(ROWS($AF$2:AF322),$AF$2:$AF$1001,0),MATCH(COLUMNS($AM$1006:AT1006),$AM$1006:$BM$1006,0)), HYPERLINK("#",""), HYPERLINK(CONCATENATE("#metadata!", ADDRESS(INDEX($AH$2:$AH$1001,MATCH(ROWS($AF$2:AF322),$AF$2:$AF$1001,0),0), INDEX($AM$1004:$BM$1004,1,MATCH(COLUMNS($AM$1006:AT1006),$AM$1006:$BM$1006,0)))),"Fix")))</f>
        <v xml:space="preserve"> </v>
      </c>
      <c r="J322" s="4" t="str">
        <f ca="1">IF(OR(INDEX($AG$2:$AG$1001,MATCH(ROWS($AF$2:AF322),$AF$2:$AF$1001,0),1)&gt;=100000,INDEX($AM$1005:$BM$1005,1,MATCH(COLUMNS($AM$1006:AU1006),$AM$1006:$BM$1006,0))&gt;=100000), " ",IF(INDEX($AM$2:$BM$1001,MATCH(ROWS($AF$2:AF322),$AF$2:$AF$1001,0),MATCH(COLUMNS($AM$1006:AU1006),$AM$1006:$BM$1006,0)), HYPERLINK("#",""), HYPERLINK(CONCATENATE("#metadata!", ADDRESS(INDEX($AH$2:$AH$1001,MATCH(ROWS($AF$2:AF322),$AF$2:$AF$1001,0),0), INDEX($AM$1004:$BM$1004,1,MATCH(COLUMNS($AM$1006:AU1006),$AM$1006:$BM$1006,0)))),"Fix")))</f>
        <v xml:space="preserve"> </v>
      </c>
      <c r="K322" s="4" t="str">
        <f ca="1">IF(OR(INDEX($AG$2:$AG$1001,MATCH(ROWS($AF$2:AF322),$AF$2:$AF$1001,0),1)&gt;=100000,INDEX($AM$1005:$BM$1005,1,MATCH(COLUMNS($AM$1006:AV1006),$AM$1006:$BM$1006,0))&gt;=100000), " ",IF(INDEX($AM$2:$BM$1001,MATCH(ROWS($AF$2:AF322),$AF$2:$AF$1001,0),MATCH(COLUMNS($AM$1006:AV1006),$AM$1006:$BM$1006,0)), HYPERLINK("#",""), HYPERLINK(CONCATENATE("#metadata!", ADDRESS(INDEX($AH$2:$AH$1001,MATCH(ROWS($AF$2:AF322),$AF$2:$AF$1001,0),0), INDEX($AM$1004:$BM$1004,1,MATCH(COLUMNS($AM$1006:AV1006),$AM$1006:$BM$1006,0)))),"Fix")))</f>
        <v xml:space="preserve"> </v>
      </c>
      <c r="L322" s="4" t="str">
        <f ca="1">IF(OR(INDEX($AG$2:$AG$1001,MATCH(ROWS($AF$2:AF322),$AF$2:$AF$1001,0),1)&gt;=100000,INDEX($AM$1005:$BM$1005,1,MATCH(COLUMNS($AM$1006:AW1006),$AM$1006:$BM$1006,0))&gt;=100000), " ",IF(INDEX($AM$2:$BM$1001,MATCH(ROWS($AF$2:AF322),$AF$2:$AF$1001,0),MATCH(COLUMNS($AM$1006:AW1006),$AM$1006:$BM$1006,0)), HYPERLINK("#",""), HYPERLINK(CONCATENATE("#metadata!", ADDRESS(INDEX($AH$2:$AH$1001,MATCH(ROWS($AF$2:AF322),$AF$2:$AF$1001,0),0), INDEX($AM$1004:$BM$1004,1,MATCH(COLUMNS($AM$1006:AW1006),$AM$1006:$BM$1006,0)))),"Fix")))</f>
        <v xml:space="preserve"> </v>
      </c>
      <c r="M322" s="4" t="str">
        <f ca="1">IF(OR(INDEX($AG$2:$AG$1001,MATCH(ROWS($AF$2:AF322),$AF$2:$AF$1001,0),1)&gt;=100000,INDEX($AM$1005:$BM$1005,1,MATCH(COLUMNS($AM$1006:AX1006),$AM$1006:$BM$1006,0))&gt;=100000), " ",IF(INDEX($AM$2:$BM$1001,MATCH(ROWS($AF$2:AF322),$AF$2:$AF$1001,0),MATCH(COLUMNS($AM$1006:AX1006),$AM$1006:$BM$1006,0)), HYPERLINK("#",""), HYPERLINK(CONCATENATE("#metadata!", ADDRESS(INDEX($AH$2:$AH$1001,MATCH(ROWS($AF$2:AF322),$AF$2:$AF$1001,0),0), INDEX($AM$1004:$BM$1004,1,MATCH(COLUMNS($AM$1006:AX1006),$AM$1006:$BM$1006,0)))),"Fix")))</f>
        <v xml:space="preserve"> </v>
      </c>
      <c r="N322" s="4" t="str">
        <f ca="1">IF(OR(INDEX($AG$2:$AG$1001,MATCH(ROWS($AF$2:AF322),$AF$2:$AF$1001,0),1)&gt;=100000,INDEX($AM$1005:$BM$1005,1,MATCH(COLUMNS($AM$1006:AY1006),$AM$1006:$BM$1006,0))&gt;=100000), " ",IF(INDEX($AM$2:$BM$1001,MATCH(ROWS($AF$2:AF322),$AF$2:$AF$1001,0),MATCH(COLUMNS($AM$1006:AY1006),$AM$1006:$BM$1006,0)), HYPERLINK("#",""), HYPERLINK(CONCATENATE("#metadata!", ADDRESS(INDEX($AH$2:$AH$1001,MATCH(ROWS($AF$2:AF322),$AF$2:$AF$1001,0),0), INDEX($AM$1004:$BM$1004,1,MATCH(COLUMNS($AM$1006:AY1006),$AM$1006:$BM$1006,0)))),"Fix")))</f>
        <v xml:space="preserve"> </v>
      </c>
      <c r="O322" s="4" t="str">
        <f ca="1">IF(OR(INDEX($AG$2:$AG$1001,MATCH(ROWS($AF$2:AF322),$AF$2:$AF$1001,0),1)&gt;=100000,INDEX($AM$1005:$BM$1005,1,MATCH(COLUMNS($AM$1006:AZ1006),$AM$1006:$BM$1006,0))&gt;=100000), " ",IF(INDEX($AM$2:$BM$1001,MATCH(ROWS($AF$2:AF322),$AF$2:$AF$1001,0),MATCH(COLUMNS($AM$1006:AZ1006),$AM$1006:$BM$1006,0)), HYPERLINK("#",""), HYPERLINK(CONCATENATE("#metadata!", ADDRESS(INDEX($AH$2:$AH$1001,MATCH(ROWS($AF$2:AF322),$AF$2:$AF$1001,0),0), INDEX($AM$1004:$BM$1004,1,MATCH(COLUMNS($AM$1006:AZ1006),$AM$1006:$BM$1006,0)))),"Fix")))</f>
        <v xml:space="preserve"> </v>
      </c>
      <c r="P322" s="4" t="str">
        <f ca="1">IF(OR(INDEX($AG$2:$AG$1001,MATCH(ROWS($AF$2:AF322),$AF$2:$AF$1001,0),1)&gt;=100000,INDEX($AM$1005:$BM$1005,1,MATCH(COLUMNS($AM$1006:BA1006),$AM$1006:$BM$1006,0))&gt;=100000), " ",IF(INDEX($AM$2:$BM$1001,MATCH(ROWS($AF$2:AF322),$AF$2:$AF$1001,0),MATCH(COLUMNS($AM$1006:BA1006),$AM$1006:$BM$1006,0)), HYPERLINK("#",""), HYPERLINK(CONCATENATE("#metadata!", ADDRESS(INDEX($AH$2:$AH$1001,MATCH(ROWS($AF$2:AF322),$AF$2:$AF$1001,0),0), INDEX($AM$1004:$BM$1004,1,MATCH(COLUMNS($AM$1006:BA1006),$AM$1006:$BM$1006,0)))),"Fix")))</f>
        <v xml:space="preserve"> </v>
      </c>
      <c r="Q322" s="4" t="str">
        <f ca="1">IF(OR(INDEX($AG$2:$AG$1001,MATCH(ROWS($AF$2:AF322),$AF$2:$AF$1001,0),1)&gt;=100000,INDEX($AM$1005:$BM$1005,1,MATCH(COLUMNS($AM$1006:BB1006),$AM$1006:$BM$1006,0))&gt;=100000), " ",IF(INDEX($AM$2:$BM$1001,MATCH(ROWS($AF$2:AF322),$AF$2:$AF$1001,0),MATCH(COLUMNS($AM$1006:BB1006),$AM$1006:$BM$1006,0)), HYPERLINK("#",""), HYPERLINK(CONCATENATE("#metadata!", ADDRESS(INDEX($AH$2:$AH$1001,MATCH(ROWS($AF$2:AF322),$AF$2:$AF$1001,0),0), INDEX($AM$1004:$BM$1004,1,MATCH(COLUMNS($AM$1006:BB1006),$AM$1006:$BM$1006,0)))),"Fix")))</f>
        <v xml:space="preserve"> </v>
      </c>
      <c r="R322" s="4" t="str">
        <f ca="1">IF(OR(INDEX($AG$2:$AG$1001,MATCH(ROWS($AF$2:AF322),$AF$2:$AF$1001,0),1)&gt;=100000,INDEX($AM$1005:$BM$1005,1,MATCH(COLUMNS($AM$1006:BC1006),$AM$1006:$BM$1006,0))&gt;=100000), " ",IF(INDEX($AM$2:$BM$1001,MATCH(ROWS($AF$2:AF322),$AF$2:$AF$1001,0),MATCH(COLUMNS($AM$1006:BC1006),$AM$1006:$BM$1006,0)), HYPERLINK("#",""), HYPERLINK(CONCATENATE("#metadata!", ADDRESS(INDEX($AH$2:$AH$1001,MATCH(ROWS($AF$2:AF322),$AF$2:$AF$1001,0),0), INDEX($AM$1004:$BM$1004,1,MATCH(COLUMNS($AM$1006:BC1006),$AM$1006:$BM$1006,0)))),"Fix")))</f>
        <v xml:space="preserve"> </v>
      </c>
      <c r="S322" s="4" t="str">
        <f ca="1">IF(OR(INDEX($AG$2:$AG$1001,MATCH(ROWS($AF$2:AF322),$AF$2:$AF$1001,0),1)&gt;=100000,INDEX($AM$1005:$BM$1005,1,MATCH(COLUMNS($AM$1006:BD1006),$AM$1006:$BM$1006,0))&gt;=100000), " ",IF(INDEX($AM$2:$BM$1001,MATCH(ROWS($AF$2:AF322),$AF$2:$AF$1001,0),MATCH(COLUMNS($AM$1006:BD1006),$AM$1006:$BM$1006,0)), HYPERLINK("#",""), HYPERLINK(CONCATENATE("#metadata!", ADDRESS(INDEX($AH$2:$AH$1001,MATCH(ROWS($AF$2:AF322),$AF$2:$AF$1001,0),0), INDEX($AM$1004:$BM$1004,1,MATCH(COLUMNS($AM$1006:BD1006),$AM$1006:$BM$1006,0)))),"Fix")))</f>
        <v xml:space="preserve"> </v>
      </c>
      <c r="T322" s="4" t="str">
        <f ca="1">IF(OR(INDEX($AG$2:$AG$1001,MATCH(ROWS($AF$2:AF322),$AF$2:$AF$1001,0),1)&gt;=100000,INDEX($AM$1005:$BM$1005,1,MATCH(COLUMNS($AM$1006:BE1006),$AM$1006:$BM$1006,0))&gt;=100000), " ",IF(INDEX($AM$2:$BM$1001,MATCH(ROWS($AF$2:AF322),$AF$2:$AF$1001,0),MATCH(COLUMNS($AM$1006:BE1006),$AM$1006:$BM$1006,0)), HYPERLINK("#",""), HYPERLINK(CONCATENATE("#metadata!", ADDRESS(INDEX($AH$2:$AH$1001,MATCH(ROWS($AF$2:AF322),$AF$2:$AF$1001,0),0), INDEX($AM$1004:$BM$1004,1,MATCH(COLUMNS($AM$1006:BE1006),$AM$1006:$BM$1006,0)))),"Fix")))</f>
        <v xml:space="preserve"> </v>
      </c>
      <c r="U322" s="4" t="str">
        <f ca="1">IF(OR(INDEX($AG$2:$AG$1001,MATCH(ROWS($AF$2:AF322),$AF$2:$AF$1001,0),1)&gt;=100000,INDEX($AM$1005:$BM$1005,1,MATCH(COLUMNS($AM$1006:BF1006),$AM$1006:$BM$1006,0))&gt;=100000), " ",IF(INDEX($AM$2:$BM$1001,MATCH(ROWS($AF$2:AF322),$AF$2:$AF$1001,0),MATCH(COLUMNS($AM$1006:BF1006),$AM$1006:$BM$1006,0)), HYPERLINK("#",""), HYPERLINK(CONCATENATE("#metadata!", ADDRESS(INDEX($AH$2:$AH$1001,MATCH(ROWS($AF$2:AF322),$AF$2:$AF$1001,0),0), INDEX($AM$1004:$BM$1004,1,MATCH(COLUMNS($AM$1006:BF1006),$AM$1006:$BM$1006,0)))),"Fix")))</f>
        <v xml:space="preserve"> </v>
      </c>
      <c r="V322" s="4" t="str">
        <f ca="1">IF(OR(INDEX($AG$2:$AG$1001,MATCH(ROWS($AF$2:AF322),$AF$2:$AF$1001,0),1)&gt;=100000,INDEX($AM$1005:$BM$1005,1,MATCH(COLUMNS($AM$1006:BG1006),$AM$1006:$BM$1006,0))&gt;=100000), " ",IF(INDEX($AM$2:$BM$1001,MATCH(ROWS($AF$2:AF322),$AF$2:$AF$1001,0),MATCH(COLUMNS($AM$1006:BG1006),$AM$1006:$BM$1006,0)), HYPERLINK("#",""), HYPERLINK(CONCATENATE("#metadata!", ADDRESS(INDEX($AH$2:$AH$1001,MATCH(ROWS($AF$2:AF322),$AF$2:$AF$1001,0),0), INDEX($AM$1004:$BM$1004,1,MATCH(COLUMNS($AM$1006:BG1006),$AM$1006:$BM$1006,0)))),"Fix")))</f>
        <v xml:space="preserve"> </v>
      </c>
      <c r="W322" s="4" t="str">
        <f ca="1">IF(OR(INDEX($AG$2:$AG$1001,MATCH(ROWS($AF$2:AF322),$AF$2:$AF$1001,0),1)&gt;=100000,INDEX($AM$1005:$BM$1005,1,MATCH(COLUMNS($AM$1006:BH1006),$AM$1006:$BM$1006,0))&gt;=100000), " ",IF(INDEX($AM$2:$BM$1001,MATCH(ROWS($AF$2:AF322),$AF$2:$AF$1001,0),MATCH(COLUMNS($AM$1006:BH1006),$AM$1006:$BM$1006,0)), HYPERLINK("#",""), HYPERLINK(CONCATENATE("#metadata!", ADDRESS(INDEX($AH$2:$AH$1001,MATCH(ROWS($AF$2:AF322),$AF$2:$AF$1001,0),0), INDEX($AM$1004:$BM$1004,1,MATCH(COLUMNS($AM$1006:BH1006),$AM$1006:$BM$1006,0)))),"Fix")))</f>
        <v xml:space="preserve"> </v>
      </c>
      <c r="X322" s="4" t="str">
        <f ca="1">IF(OR(INDEX($AG$2:$AG$1001,MATCH(ROWS($AF$2:AF322),$AF$2:$AF$1001,0),1)&gt;=100000,INDEX($AM$1005:$BM$1005,1,MATCH(COLUMNS($AM$1006:BI1006),$AM$1006:$BM$1006,0))&gt;=100000), " ",IF(INDEX($AM$2:$BM$1001,MATCH(ROWS($AF$2:AF322),$AF$2:$AF$1001,0),MATCH(COLUMNS($AM$1006:BI1006),$AM$1006:$BM$1006,0)), HYPERLINK("#",""), HYPERLINK(CONCATENATE("#metadata!", ADDRESS(INDEX($AH$2:$AH$1001,MATCH(ROWS($AF$2:AF322),$AF$2:$AF$1001,0),0), INDEX($AM$1004:$BM$1004,1,MATCH(COLUMNS($AM$1006:BI1006),$AM$1006:$BM$1006,0)))),"Fix")))</f>
        <v xml:space="preserve"> </v>
      </c>
      <c r="Y322" s="4" t="str">
        <f ca="1">IF(OR(INDEX($AG$2:$AG$1001,MATCH(ROWS($AF$2:AF322),$AF$2:$AF$1001,0),1)&gt;=100000,INDEX($AM$1005:$BM$1005,1,MATCH(COLUMNS($AM$1006:BJ1006),$AM$1006:$BM$1006,0))&gt;=100000), " ",IF(INDEX($AM$2:$BM$1001,MATCH(ROWS($AF$2:AF322),$AF$2:$AF$1001,0),MATCH(COLUMNS($AM$1006:BJ1006),$AM$1006:$BM$1006,0)), HYPERLINK("#",""), HYPERLINK(CONCATENATE("#metadata!", ADDRESS(INDEX($AH$2:$AH$1001,MATCH(ROWS($AF$2:AF322),$AF$2:$AF$1001,0),0), INDEX($AM$1004:$BM$1004,1,MATCH(COLUMNS($AM$1006:BJ1006),$AM$1006:$BM$1006,0)))),"Fix")))</f>
        <v xml:space="preserve"> </v>
      </c>
      <c r="Z322" s="4" t="str">
        <f ca="1">IF(OR(INDEX($AG$2:$AG$1001,MATCH(ROWS($AF$2:AF322),$AF$2:$AF$1001,0),1)&gt;=100000,INDEX($AM$1005:$BM$1005,1,MATCH(COLUMNS($AM$1006:BK1006),$AM$1006:$BM$1006,0))&gt;=100000), " ",IF(INDEX($AM$2:$BM$1001,MATCH(ROWS($AF$2:AF322),$AF$2:$AF$1001,0),MATCH(COLUMNS($AM$1006:BK1006),$AM$1006:$BM$1006,0)), HYPERLINK("#",""), HYPERLINK(CONCATENATE("#metadata!", ADDRESS(INDEX($AH$2:$AH$1001,MATCH(ROWS($AF$2:AF322),$AF$2:$AF$1001,0),0), INDEX($AM$1004:$BM$1004,1,MATCH(COLUMNS($AM$1006:BK1006),$AM$1006:$BM$1006,0)))),"Fix")))</f>
        <v xml:space="preserve"> </v>
      </c>
      <c r="AA322" s="4" t="str">
        <f ca="1">IF(OR(INDEX($AG$2:$AG$1001,MATCH(ROWS($AF$2:AF322),$AF$2:$AF$1001,0),1)&gt;=100000,INDEX($AM$1005:$BM$1005,1,MATCH(COLUMNS($AM$1006:BL1006),$AM$1006:$BM$1006,0))&gt;=100000), " ",IF(INDEX($AM$2:$BM$1001,MATCH(ROWS($AF$2:AF322),$AF$2:$AF$1001,0),MATCH(COLUMNS($AM$1006:BL1006),$AM$1006:$BM$1006,0)), HYPERLINK("#",""), HYPERLINK(CONCATENATE("#metadata!", ADDRESS(INDEX($AH$2:$AH$1001,MATCH(ROWS($AF$2:AF322),$AF$2:$AF$1001,0),0), INDEX($AM$1004:$BM$1004,1,MATCH(COLUMNS($AM$1006:BL1006),$AM$1006:$BM$1006,0)))),"Fix")))</f>
        <v xml:space="preserve"> </v>
      </c>
      <c r="AB322" s="4" t="str">
        <f ca="1">IF(OR(INDEX($AG$2:$AG$1001,MATCH(ROWS($AF$2:AF322),$AF$2:$AF$1001,0),1)&gt;=100000,INDEX($AM$1005:$BM$1005,1,MATCH(COLUMNS($AM$1006:BM1006),$AM$1006:$BM$1006,0))&gt;=100000), " ",IF(INDEX($AM$2:$BM$1001,MATCH(ROWS($AF$2:AF322),$AF$2:$AF$1001,0),MATCH(COLUMNS($AM$1006:BM1006),$AM$1006:$BM$1006,0)), HYPERLINK("#",""), HYPERLINK(CONCATENATE("#metadata!", ADDRESS(INDEX($AH$2:$AH$1001,MATCH(ROWS($AF$2:AF322),$AF$2:$AF$1001,0),0), INDEX($AM$1004:$BM$1004,1,MATCH(COLUMNS($AM$1006:BM1006),$AM$1006:$BM$1006,0)))),"Fix")))</f>
        <v xml:space="preserve"> </v>
      </c>
      <c r="AF322">
        <v>321</v>
      </c>
      <c r="AG322">
        <v>100322</v>
      </c>
      <c r="AH322">
        <v>322</v>
      </c>
      <c r="AI322" t="b">
        <f t="shared" ref="AI322:AI385" si="5">IF(AJ322,TRUE,AND(AM322:BM322))</f>
        <v>1</v>
      </c>
      <c r="AJ322" t="b">
        <f>COUNTBLANK(metadata!B322:AB322)=COLUMNS(metadata!B322:AB322)</f>
        <v>1</v>
      </c>
      <c r="AK322" t="str">
        <v/>
      </c>
      <c r="AM322" t="b">
        <f ca="1">AND(IF(metadata!B322="",FALSE,TRUE),COUNTIF(metadata!B:B, metadata!B322) = 1,NOT(ISERROR(SUMPRODUCT(SEARCH(MID(metadata!B322,ROW(INDIRECT("1:"&amp;LEN(metadata!B322))), 1),"0123456789abcdefghijklmnopqrstuvwxyzABCDEFGHIJKLMNOPQRSTUVWXYZ.")))))</f>
        <v>0</v>
      </c>
      <c r="AN322" t="b">
        <f ca="1">OR(AND(IF(metadata!C322="",FALSE,TRUE),OR(EXACT(metadata!C322,"missing: not collected"),EXACT(metadata!C322,"missing: not provided"),EXACT(metadata!C322,"missing: restricted access"))),AND(IF(metadata!C322="",FALSE,TRUE),AND(AND(IFERROR(INT(LEFT(metadata!C322,4))&gt;1900,FALSE),IFERROR(INT(LEFT(metadata!C322,4))&lt;=YEAR(NOW()),FALSE)), OR(MID(metadata!C322,5,1)="", AND(AND(MID(metadata!C322,5,1)="-",IFERROR(INT(MID(metadata!C322,6,1))&gt;=0,FALSE),IFERROR(INT(MID(metadata!C322,6,1))&lt;=1,FALSE),NOT(MID(metadata!C322,7,1)=""),IFERROR(INT(MID(metadata!C322,6,2))&gt;=1,FALSE),IFERROR(INT(MID(metadata!C322,6,2))&lt;=12,FALSE)), OR(MID(metadata!C322,8,1)="", AND(AND(MID(metadata!C322,8,1)="-",IFERROR(INT(MID(metadata!C322,9,1))&gt;=0,FALSE),IFERROR(INT(MID(metadata!C322,9,1))&lt;=3,FALSE),NOT(MID(metadata!C322,10,1)=""),IFERROR(INT(MID(metadata!C322,9,2))&gt;=1,FALSE),IFERROR(INT(MID(metadata!C322,9,2))&lt;=31,FALSE)), OR(MID(metadata!C322,11,1)="", AND(AND(MID(metadata!C322,11,1)=" ",IFERROR(INT(MID(metadata!C322,12,1))&gt;=0,FALSE),IFERROR(INT(MID(metadata!C322,12,1))&lt;=2,FALSE),NOT(MID(metadata!C322,13,1)=""),IFERROR(INT(MID(metadata!C322,12,2))&gt;=0,FALSE),IFERROR(INT(MID(metadata!C322,12,2))&lt;=23,FALSE)), OR(MID(metadata!C322,14,1)="", AND(AND(MID(metadata!C322,14,1)=":",IFERROR(INT(MID(metadata!C322,15,1))&gt;=0,FALSE),IFERROR(INT(MID(metadata!C322,15,1))&lt;=5,FALSE),NOT(MID(metadata!C322,16,1)=""),IFERROR(INT(MID(metadata!C322,15,2))&gt;=0,FALSE),IFERROR(INT(MID(metadata!C322,15,2))&lt;=59,FALSE)), OR(MID(metadata!C322,17,1)="", AND(AND(MID(metadata!C322,17,1)=":",IFERROR(INT(MID(metadata!C322,18,1))&gt;=0,FALSE),IFERROR(INT(MID(metadata!C322,18,1))&lt;=5,FALSE),NOT(MID(metadata!C322,19,1)=""),IFERROR(INT(MID(metadata!C322,18,2))&gt;=0,FALSE),IFERROR(INT(MID(metadata!C322,18,2))&lt;=59,FALSE)), LEN(metadata!C322)&lt;=19)))))))))))))</f>
        <v>0</v>
      </c>
      <c r="AO322" t="b">
        <f>AND(IF(metadata!D322="",FALSE,TRUE),EXACT(metadata!D322,"Not applicable"))</f>
        <v>0</v>
      </c>
      <c r="AP322" t="b">
        <f>IF(metadata!E322="",FALSE,TRUE)</f>
        <v>0</v>
      </c>
      <c r="AQ322" t="b">
        <f>OR(AND(IF(metadata!F322="",FALSE,TRUE),OR(EXACT(metadata!F322,"missing: not collected"),EXACT(metadata!F322,"missing: not provided"))),AND(IF(metadata!F322="",FALSE,TRUE),OR(EXACT(metadata!F322,"TRUE"),EXACT(metadata!F322,"FALSE"))))</f>
        <v>0</v>
      </c>
      <c r="AR322" t="b">
        <f>OR(AND(IF(metadata!G322="",FALSE,TRUE),OR(EXACT(metadata!G322,"missing: not collected"),EXACT(metadata!G322,"missing: not provided"),EXACT(metadata!G322,"missing: restricted access"))),AND(IF(metadata!G322="",FALSE,ISNUMBER(VALUE(metadata!G322))),metadata!G322&gt;=-413))</f>
        <v>0</v>
      </c>
      <c r="AS322" t="b">
        <f>AND(IF(metadata!H322="",FALSE,TRUE),EXACT(metadata!H322,"meters"))</f>
        <v>0</v>
      </c>
      <c r="AT322" t="b">
        <f>AND(IF(metadata!I322="",FALSE,TRUE),OR(EXACT(metadata!I322,"Host-associated"),EXACT(metadata!I322,"Free-living")))</f>
        <v>0</v>
      </c>
      <c r="AU322" t="b">
        <f>AND(IF(metadata!J322="",FALSE,TRUE),OR(EXACT(metadata!J322,"Animal"),EXACT(metadata!J322,"Fungus"),EXACT(metadata!J322,"Plant"),EXACT(metadata!J322,"Saline"),EXACT(metadata!J322,"Non-saline")))</f>
        <v>0</v>
      </c>
      <c r="AV322" t="b">
        <f>AND(IF(metadata!K322="",FALSE,TRUE),OR(EXACT(metadata!K322,"Plant secretion"),EXACT(metadata!K322,"Plant rhizosphere"),EXACT(metadata!K322,"Plant surface"),EXACT(metadata!K322,"Plant corpus"),EXACT(metadata!K322,"Fungus surface"),EXACT(metadata!K322,"Fungus corpus"),EXACT(metadata!K322,"Animal surface"),EXACT(metadata!K322,"Animal proximal gut"),EXACT(metadata!K322,"Animal corpus"),EXACT(metadata!K322,"Animal distal gut"),EXACT(metadata!K322,"Animal secretion"),EXACT(metadata!K322,"Sub-surface (non-saline)"),EXACT(metadata!K322,"Surface (non-saline)"),EXACT(metadata!K322,"Water (non-saline)"),EXACT(metadata!K322,"Soil (non-saline)"),EXACT(metadata!K322,"Aerosol (non-saline)"),EXACT(metadata!K322,"Sediment (non-saline)"),EXACT(metadata!K322,"Surface (saline)"),EXACT(metadata!K322,"Water (saline)"),EXACT(metadata!K322,"Hypersaline (saline)"),EXACT(metadata!K322,"Aerosol (saline)"),EXACT(metadata!K322,"Sediment (saline)")))</f>
        <v>0</v>
      </c>
      <c r="AW322" t="b">
        <f>IF(metadata!L322="",FALSE,TRUE)</f>
        <v>0</v>
      </c>
      <c r="AX322" t="b">
        <f>IF(metadata!M322="",FALSE,TRUE)</f>
        <v>0</v>
      </c>
      <c r="AY322" t="b">
        <f>IF(metadata!N322="",FALSE,TRUE)</f>
        <v>0</v>
      </c>
      <c r="AZ322" t="b">
        <f>OR(AND(IF(metadata!O322="",FALSE,TRUE),OR(EXACT(metadata!O322,"missing: not collected"),EXACT(metadata!O322,"missing: not provided"),EXACT(metadata!O322,"missing: restricted access"))),AND(IF(metadata!O322="",FALSE,TRUE),OR(EXACT(metadata!O322,"air"),EXACT(metadata!O322,"built environment"),EXACT(metadata!O322,"host-associated"),EXACT(metadata!O322,"human-associated"),EXACT(metadata!O322,"human-skin"),EXACT(metadata!O322,"human-oral"),EXACT(metadata!O322,"human-gut"),EXACT(metadata!O322,"human-vaginal"),EXACT(metadata!O322,"microbial mat/biofilm"),EXACT(metadata!O322,"misc environment"),EXACT(metadata!O322,"plant-associated"),EXACT(metadata!O322,"sediment"),EXACT(metadata!O322,"soil"),EXACT(metadata!O322,"wastewater/sludge"),EXACT(metadata!O322,"water"))))</f>
        <v>0</v>
      </c>
      <c r="BA322" t="b">
        <f>IF(metadata!P322="",FALSE,TRUE)</f>
        <v>0</v>
      </c>
      <c r="BB322" t="b">
        <f>IF(metadata!Q322="",FALSE,TRUE)</f>
        <v>0</v>
      </c>
      <c r="BC322" t="b">
        <f>OR(AND(IF(metadata!R322="",FALSE,TRUE),OR(EXACT(metadata!R322,"missing: not collected"),EXACT(metadata!R322,"missing: not provided"),EXACT(metadata!R322,"missing: restricted access"))),AND(IF(metadata!R322="",FALSE,ISNUMBER(VALUE(metadata!R322))),metadata!R322&gt;=-90,metadata!R322&lt;=90))</f>
        <v>0</v>
      </c>
      <c r="BD322" t="b">
        <f>AND(IF(metadata!S322="",FALSE,TRUE),EXACT(metadata!S322,"Decimal degrees"))</f>
        <v>0</v>
      </c>
      <c r="BE322" t="b">
        <f>OR(AND(IF(metadata!T322="",FALSE,TRUE),OR(EXACT(metadata!T322,"missing: not collected"),EXACT(metadata!T322,"missing: not provided"),EXACT(metadata!T322,"missing: restricted access"))),AND(IF(metadata!T322="",FALSE,ISNUMBER(VALUE(metadata!T322))),metadata!T322&gt;=-180,metadata!T322&lt;=180))</f>
        <v>0</v>
      </c>
      <c r="BF322" t="b">
        <f>AND(IF(metadata!U322="",FALSE,TRUE),EXACT(metadata!U322,"Decimal degrees"))</f>
        <v>0</v>
      </c>
      <c r="BG322" t="b">
        <f>IF(metadata!V322="",FALSE,TRUE)</f>
        <v>0</v>
      </c>
      <c r="BH322" t="b">
        <f>OR(AND(IF(metadata!W322="",FALSE,TRUE),OR(EXACT(metadata!W322,"missing: not collected"),EXACT(metadata!W322,"missing: not provided"),EXACT(metadata!W322,"missing: restricted access"))),AND(IF(metadata!W322="",FALSE,TRUE),OR(EXACT(metadata!W322,"TRUE"),EXACT(metadata!W322,"FALSE"))))</f>
        <v>0</v>
      </c>
      <c r="BI322" t="b">
        <f>AND(IF(metadata!X322="",FALSE,TRUE),EXACT(metadata!X322,"other"))</f>
        <v>0</v>
      </c>
      <c r="BJ322" t="b">
        <f>IF(metadata!Y322="",FALSE,TRUE)</f>
        <v>0</v>
      </c>
      <c r="BK322" t="b">
        <f>OR(AND(IF(metadata!Z322="",FALSE,TRUE),OR(EXACT(metadata!Z322,"missing: not collected"),EXACT(metadata!Z322,"missing: not provided"))),AND(IF(metadata!Z322="",FALSE,IF(ISERROR(INT(metadata!Z322)),FALSE,INT(metadata!Z322)=metadata!Z322)),metadata!Z322&gt;0))</f>
        <v>0</v>
      </c>
      <c r="BL322" t="b">
        <f>AND(IF(metadata!AA322="",FALSE,TRUE),EXACT(metadata!AA322,"Not applicable"))</f>
        <v>0</v>
      </c>
      <c r="BM322" t="b">
        <f>IF(metadata!AB322="",FALSE,TRUE)</f>
        <v>0</v>
      </c>
    </row>
    <row r="323" spans="1:65" x14ac:dyDescent="0.2">
      <c r="A323" s="5" t="str">
        <f ca="1">IF(B323=" "," ",HYPERLINK(CONCATENATE("#metadata!",ADDRESS(INDEX($AH$2:$AH$1001,MATCH(ROWS($AF$2:AF323),$AF$2:$AF$1001,0),0),1)),INDEX($AK$2:$AK$1001,MATCH(ROWS($AF$2:AF323),$AF$2:$AF$1001,0),0)))</f>
        <v xml:space="preserve"> </v>
      </c>
      <c r="B323" s="4" t="str">
        <f ca="1">IF(OR(INDEX($AG$2:$AG$1001,MATCH(ROWS($AF$2:AF323),$AF$2:$AF$1001,0),1)&gt;=100000,INDEX($AM$1005:$BM$1005,1,MATCH(COLUMNS($AM$1006:AM1006),$AM$1006:$BM$1006,0))&gt;=100000), " ",IF(INDEX($AM$2:$BM$1001,MATCH(ROWS($AF$2:AF323),$AF$2:$AF$1001,0),MATCH(COLUMNS($AM$1006:AM1006),$AM$1006:$BM$1006,0)), HYPERLINK("#",""), HYPERLINK(CONCATENATE("#metadata!", ADDRESS(INDEX($AH$2:$AH$1001,MATCH(ROWS($AF$2:AF323),$AF$2:$AF$1001,0),0), INDEX($AM$1004:$BM$1004,1,MATCH(COLUMNS($AM$1006:AM1006),$AM$1006:$BM$1006,0)))),"Fix")))</f>
        <v xml:space="preserve"> </v>
      </c>
      <c r="C323" s="4" t="str">
        <f ca="1">IF(OR(INDEX($AG$2:$AG$1001,MATCH(ROWS($AF$2:AF323),$AF$2:$AF$1001,0),1)&gt;=100000,INDEX($AM$1005:$BM$1005,1,MATCH(COLUMNS($AM$1006:AN1006),$AM$1006:$BM$1006,0))&gt;=100000), " ",IF(INDEX($AM$2:$BM$1001,MATCH(ROWS($AF$2:AF323),$AF$2:$AF$1001,0),MATCH(COLUMNS($AM$1006:AN1006),$AM$1006:$BM$1006,0)), HYPERLINK("#",""), HYPERLINK(CONCATENATE("#metadata!", ADDRESS(INDEX($AH$2:$AH$1001,MATCH(ROWS($AF$2:AF323),$AF$2:$AF$1001,0),0), INDEX($AM$1004:$BM$1004,1,MATCH(COLUMNS($AM$1006:AN1006),$AM$1006:$BM$1006,0)))),"Fix")))</f>
        <v xml:space="preserve"> </v>
      </c>
      <c r="D323" s="4" t="str">
        <f ca="1">IF(OR(INDEX($AG$2:$AG$1001,MATCH(ROWS($AF$2:AF323),$AF$2:$AF$1001,0),1)&gt;=100000,INDEX($AM$1005:$BM$1005,1,MATCH(COLUMNS($AM$1006:AO1006),$AM$1006:$BM$1006,0))&gt;=100000), " ",IF(INDEX($AM$2:$BM$1001,MATCH(ROWS($AF$2:AF323),$AF$2:$AF$1001,0),MATCH(COLUMNS($AM$1006:AO1006),$AM$1006:$BM$1006,0)), HYPERLINK("#",""), HYPERLINK(CONCATENATE("#metadata!", ADDRESS(INDEX($AH$2:$AH$1001,MATCH(ROWS($AF$2:AF323),$AF$2:$AF$1001,0),0), INDEX($AM$1004:$BM$1004,1,MATCH(COLUMNS($AM$1006:AO1006),$AM$1006:$BM$1006,0)))),"Fix")))</f>
        <v xml:space="preserve"> </v>
      </c>
      <c r="E323" s="4" t="str">
        <f ca="1">IF(OR(INDEX($AG$2:$AG$1001,MATCH(ROWS($AF$2:AF323),$AF$2:$AF$1001,0),1)&gt;=100000,INDEX($AM$1005:$BM$1005,1,MATCH(COLUMNS($AM$1006:AP1006),$AM$1006:$BM$1006,0))&gt;=100000), " ",IF(INDEX($AM$2:$BM$1001,MATCH(ROWS($AF$2:AF323),$AF$2:$AF$1001,0),MATCH(COLUMNS($AM$1006:AP1006),$AM$1006:$BM$1006,0)), HYPERLINK("#",""), HYPERLINK(CONCATENATE("#metadata!", ADDRESS(INDEX($AH$2:$AH$1001,MATCH(ROWS($AF$2:AF323),$AF$2:$AF$1001,0),0), INDEX($AM$1004:$BM$1004,1,MATCH(COLUMNS($AM$1006:AP1006),$AM$1006:$BM$1006,0)))),"Fix")))</f>
        <v xml:space="preserve"> </v>
      </c>
      <c r="F323" s="4" t="str">
        <f ca="1">IF(OR(INDEX($AG$2:$AG$1001,MATCH(ROWS($AF$2:AF323),$AF$2:$AF$1001,0),1)&gt;=100000,INDEX($AM$1005:$BM$1005,1,MATCH(COLUMNS($AM$1006:AQ1006),$AM$1006:$BM$1006,0))&gt;=100000), " ",IF(INDEX($AM$2:$BM$1001,MATCH(ROWS($AF$2:AF323),$AF$2:$AF$1001,0),MATCH(COLUMNS($AM$1006:AQ1006),$AM$1006:$BM$1006,0)), HYPERLINK("#",""), HYPERLINK(CONCATENATE("#metadata!", ADDRESS(INDEX($AH$2:$AH$1001,MATCH(ROWS($AF$2:AF323),$AF$2:$AF$1001,0),0), INDEX($AM$1004:$BM$1004,1,MATCH(COLUMNS($AM$1006:AQ1006),$AM$1006:$BM$1006,0)))),"Fix")))</f>
        <v xml:space="preserve"> </v>
      </c>
      <c r="G323" s="4" t="str">
        <f ca="1">IF(OR(INDEX($AG$2:$AG$1001,MATCH(ROWS($AF$2:AF323),$AF$2:$AF$1001,0),1)&gt;=100000,INDEX($AM$1005:$BM$1005,1,MATCH(COLUMNS($AM$1006:AR1006),$AM$1006:$BM$1006,0))&gt;=100000), " ",IF(INDEX($AM$2:$BM$1001,MATCH(ROWS($AF$2:AF323),$AF$2:$AF$1001,0),MATCH(COLUMNS($AM$1006:AR1006),$AM$1006:$BM$1006,0)), HYPERLINK("#",""), HYPERLINK(CONCATENATE("#metadata!", ADDRESS(INDEX($AH$2:$AH$1001,MATCH(ROWS($AF$2:AF323),$AF$2:$AF$1001,0),0), INDEX($AM$1004:$BM$1004,1,MATCH(COLUMNS($AM$1006:AR1006),$AM$1006:$BM$1006,0)))),"Fix")))</f>
        <v xml:space="preserve"> </v>
      </c>
      <c r="H323" s="4" t="str">
        <f ca="1">IF(OR(INDEX($AG$2:$AG$1001,MATCH(ROWS($AF$2:AF323),$AF$2:$AF$1001,0),1)&gt;=100000,INDEX($AM$1005:$BM$1005,1,MATCH(COLUMNS($AM$1006:AS1006),$AM$1006:$BM$1006,0))&gt;=100000), " ",IF(INDEX($AM$2:$BM$1001,MATCH(ROWS($AF$2:AF323),$AF$2:$AF$1001,0),MATCH(COLUMNS($AM$1006:AS1006),$AM$1006:$BM$1006,0)), HYPERLINK("#",""), HYPERLINK(CONCATENATE("#metadata!", ADDRESS(INDEX($AH$2:$AH$1001,MATCH(ROWS($AF$2:AF323),$AF$2:$AF$1001,0),0), INDEX($AM$1004:$BM$1004,1,MATCH(COLUMNS($AM$1006:AS1006),$AM$1006:$BM$1006,0)))),"Fix")))</f>
        <v xml:space="preserve"> </v>
      </c>
      <c r="I323" s="4" t="str">
        <f ca="1">IF(OR(INDEX($AG$2:$AG$1001,MATCH(ROWS($AF$2:AF323),$AF$2:$AF$1001,0),1)&gt;=100000,INDEX($AM$1005:$BM$1005,1,MATCH(COLUMNS($AM$1006:AT1006),$AM$1006:$BM$1006,0))&gt;=100000), " ",IF(INDEX($AM$2:$BM$1001,MATCH(ROWS($AF$2:AF323),$AF$2:$AF$1001,0),MATCH(COLUMNS($AM$1006:AT1006),$AM$1006:$BM$1006,0)), HYPERLINK("#",""), HYPERLINK(CONCATENATE("#metadata!", ADDRESS(INDEX($AH$2:$AH$1001,MATCH(ROWS($AF$2:AF323),$AF$2:$AF$1001,0),0), INDEX($AM$1004:$BM$1004,1,MATCH(COLUMNS($AM$1006:AT1006),$AM$1006:$BM$1006,0)))),"Fix")))</f>
        <v xml:space="preserve"> </v>
      </c>
      <c r="J323" s="4" t="str">
        <f ca="1">IF(OR(INDEX($AG$2:$AG$1001,MATCH(ROWS($AF$2:AF323),$AF$2:$AF$1001,0),1)&gt;=100000,INDEX($AM$1005:$BM$1005,1,MATCH(COLUMNS($AM$1006:AU1006),$AM$1006:$BM$1006,0))&gt;=100000), " ",IF(INDEX($AM$2:$BM$1001,MATCH(ROWS($AF$2:AF323),$AF$2:$AF$1001,0),MATCH(COLUMNS($AM$1006:AU1006),$AM$1006:$BM$1006,0)), HYPERLINK("#",""), HYPERLINK(CONCATENATE("#metadata!", ADDRESS(INDEX($AH$2:$AH$1001,MATCH(ROWS($AF$2:AF323),$AF$2:$AF$1001,0),0), INDEX($AM$1004:$BM$1004,1,MATCH(COLUMNS($AM$1006:AU1006),$AM$1006:$BM$1006,0)))),"Fix")))</f>
        <v xml:space="preserve"> </v>
      </c>
      <c r="K323" s="4" t="str">
        <f ca="1">IF(OR(INDEX($AG$2:$AG$1001,MATCH(ROWS($AF$2:AF323),$AF$2:$AF$1001,0),1)&gt;=100000,INDEX($AM$1005:$BM$1005,1,MATCH(COLUMNS($AM$1006:AV1006),$AM$1006:$BM$1006,0))&gt;=100000), " ",IF(INDEX($AM$2:$BM$1001,MATCH(ROWS($AF$2:AF323),$AF$2:$AF$1001,0),MATCH(COLUMNS($AM$1006:AV1006),$AM$1006:$BM$1006,0)), HYPERLINK("#",""), HYPERLINK(CONCATENATE("#metadata!", ADDRESS(INDEX($AH$2:$AH$1001,MATCH(ROWS($AF$2:AF323),$AF$2:$AF$1001,0),0), INDEX($AM$1004:$BM$1004,1,MATCH(COLUMNS($AM$1006:AV1006),$AM$1006:$BM$1006,0)))),"Fix")))</f>
        <v xml:space="preserve"> </v>
      </c>
      <c r="L323" s="4" t="str">
        <f ca="1">IF(OR(INDEX($AG$2:$AG$1001,MATCH(ROWS($AF$2:AF323),$AF$2:$AF$1001,0),1)&gt;=100000,INDEX($AM$1005:$BM$1005,1,MATCH(COLUMNS($AM$1006:AW1006),$AM$1006:$BM$1006,0))&gt;=100000), " ",IF(INDEX($AM$2:$BM$1001,MATCH(ROWS($AF$2:AF323),$AF$2:$AF$1001,0),MATCH(COLUMNS($AM$1006:AW1006),$AM$1006:$BM$1006,0)), HYPERLINK("#",""), HYPERLINK(CONCATENATE("#metadata!", ADDRESS(INDEX($AH$2:$AH$1001,MATCH(ROWS($AF$2:AF323),$AF$2:$AF$1001,0),0), INDEX($AM$1004:$BM$1004,1,MATCH(COLUMNS($AM$1006:AW1006),$AM$1006:$BM$1006,0)))),"Fix")))</f>
        <v xml:space="preserve"> </v>
      </c>
      <c r="M323" s="4" t="str">
        <f ca="1">IF(OR(INDEX($AG$2:$AG$1001,MATCH(ROWS($AF$2:AF323),$AF$2:$AF$1001,0),1)&gt;=100000,INDEX($AM$1005:$BM$1005,1,MATCH(COLUMNS($AM$1006:AX1006),$AM$1006:$BM$1006,0))&gt;=100000), " ",IF(INDEX($AM$2:$BM$1001,MATCH(ROWS($AF$2:AF323),$AF$2:$AF$1001,0),MATCH(COLUMNS($AM$1006:AX1006),$AM$1006:$BM$1006,0)), HYPERLINK("#",""), HYPERLINK(CONCATENATE("#metadata!", ADDRESS(INDEX($AH$2:$AH$1001,MATCH(ROWS($AF$2:AF323),$AF$2:$AF$1001,0),0), INDEX($AM$1004:$BM$1004,1,MATCH(COLUMNS($AM$1006:AX1006),$AM$1006:$BM$1006,0)))),"Fix")))</f>
        <v xml:space="preserve"> </v>
      </c>
      <c r="N323" s="4" t="str">
        <f ca="1">IF(OR(INDEX($AG$2:$AG$1001,MATCH(ROWS($AF$2:AF323),$AF$2:$AF$1001,0),1)&gt;=100000,INDEX($AM$1005:$BM$1005,1,MATCH(COLUMNS($AM$1006:AY1006),$AM$1006:$BM$1006,0))&gt;=100000), " ",IF(INDEX($AM$2:$BM$1001,MATCH(ROWS($AF$2:AF323),$AF$2:$AF$1001,0),MATCH(COLUMNS($AM$1006:AY1006),$AM$1006:$BM$1006,0)), HYPERLINK("#",""), HYPERLINK(CONCATENATE("#metadata!", ADDRESS(INDEX($AH$2:$AH$1001,MATCH(ROWS($AF$2:AF323),$AF$2:$AF$1001,0),0), INDEX($AM$1004:$BM$1004,1,MATCH(COLUMNS($AM$1006:AY1006),$AM$1006:$BM$1006,0)))),"Fix")))</f>
        <v xml:space="preserve"> </v>
      </c>
      <c r="O323" s="4" t="str">
        <f ca="1">IF(OR(INDEX($AG$2:$AG$1001,MATCH(ROWS($AF$2:AF323),$AF$2:$AF$1001,0),1)&gt;=100000,INDEX($AM$1005:$BM$1005,1,MATCH(COLUMNS($AM$1006:AZ1006),$AM$1006:$BM$1006,0))&gt;=100000), " ",IF(INDEX($AM$2:$BM$1001,MATCH(ROWS($AF$2:AF323),$AF$2:$AF$1001,0),MATCH(COLUMNS($AM$1006:AZ1006),$AM$1006:$BM$1006,0)), HYPERLINK("#",""), HYPERLINK(CONCATENATE("#metadata!", ADDRESS(INDEX($AH$2:$AH$1001,MATCH(ROWS($AF$2:AF323),$AF$2:$AF$1001,0),0), INDEX($AM$1004:$BM$1004,1,MATCH(COLUMNS($AM$1006:AZ1006),$AM$1006:$BM$1006,0)))),"Fix")))</f>
        <v xml:space="preserve"> </v>
      </c>
      <c r="P323" s="4" t="str">
        <f ca="1">IF(OR(INDEX($AG$2:$AG$1001,MATCH(ROWS($AF$2:AF323),$AF$2:$AF$1001,0),1)&gt;=100000,INDEX($AM$1005:$BM$1005,1,MATCH(COLUMNS($AM$1006:BA1006),$AM$1006:$BM$1006,0))&gt;=100000), " ",IF(INDEX($AM$2:$BM$1001,MATCH(ROWS($AF$2:AF323),$AF$2:$AF$1001,0),MATCH(COLUMNS($AM$1006:BA1006),$AM$1006:$BM$1006,0)), HYPERLINK("#",""), HYPERLINK(CONCATENATE("#metadata!", ADDRESS(INDEX($AH$2:$AH$1001,MATCH(ROWS($AF$2:AF323),$AF$2:$AF$1001,0),0), INDEX($AM$1004:$BM$1004,1,MATCH(COLUMNS($AM$1006:BA1006),$AM$1006:$BM$1006,0)))),"Fix")))</f>
        <v xml:space="preserve"> </v>
      </c>
      <c r="Q323" s="4" t="str">
        <f ca="1">IF(OR(INDEX($AG$2:$AG$1001,MATCH(ROWS($AF$2:AF323),$AF$2:$AF$1001,0),1)&gt;=100000,INDEX($AM$1005:$BM$1005,1,MATCH(COLUMNS($AM$1006:BB1006),$AM$1006:$BM$1006,0))&gt;=100000), " ",IF(INDEX($AM$2:$BM$1001,MATCH(ROWS($AF$2:AF323),$AF$2:$AF$1001,0),MATCH(COLUMNS($AM$1006:BB1006),$AM$1006:$BM$1006,0)), HYPERLINK("#",""), HYPERLINK(CONCATENATE("#metadata!", ADDRESS(INDEX($AH$2:$AH$1001,MATCH(ROWS($AF$2:AF323),$AF$2:$AF$1001,0),0), INDEX($AM$1004:$BM$1004,1,MATCH(COLUMNS($AM$1006:BB1006),$AM$1006:$BM$1006,0)))),"Fix")))</f>
        <v xml:space="preserve"> </v>
      </c>
      <c r="R323" s="4" t="str">
        <f ca="1">IF(OR(INDEX($AG$2:$AG$1001,MATCH(ROWS($AF$2:AF323),$AF$2:$AF$1001,0),1)&gt;=100000,INDEX($AM$1005:$BM$1005,1,MATCH(COLUMNS($AM$1006:BC1006),$AM$1006:$BM$1006,0))&gt;=100000), " ",IF(INDEX($AM$2:$BM$1001,MATCH(ROWS($AF$2:AF323),$AF$2:$AF$1001,0),MATCH(COLUMNS($AM$1006:BC1006),$AM$1006:$BM$1006,0)), HYPERLINK("#",""), HYPERLINK(CONCATENATE("#metadata!", ADDRESS(INDEX($AH$2:$AH$1001,MATCH(ROWS($AF$2:AF323),$AF$2:$AF$1001,0),0), INDEX($AM$1004:$BM$1004,1,MATCH(COLUMNS($AM$1006:BC1006),$AM$1006:$BM$1006,0)))),"Fix")))</f>
        <v xml:space="preserve"> </v>
      </c>
      <c r="S323" s="4" t="str">
        <f ca="1">IF(OR(INDEX($AG$2:$AG$1001,MATCH(ROWS($AF$2:AF323),$AF$2:$AF$1001,0),1)&gt;=100000,INDEX($AM$1005:$BM$1005,1,MATCH(COLUMNS($AM$1006:BD1006),$AM$1006:$BM$1006,0))&gt;=100000), " ",IF(INDEX($AM$2:$BM$1001,MATCH(ROWS($AF$2:AF323),$AF$2:$AF$1001,0),MATCH(COLUMNS($AM$1006:BD1006),$AM$1006:$BM$1006,0)), HYPERLINK("#",""), HYPERLINK(CONCATENATE("#metadata!", ADDRESS(INDEX($AH$2:$AH$1001,MATCH(ROWS($AF$2:AF323),$AF$2:$AF$1001,0),0), INDEX($AM$1004:$BM$1004,1,MATCH(COLUMNS($AM$1006:BD1006),$AM$1006:$BM$1006,0)))),"Fix")))</f>
        <v xml:space="preserve"> </v>
      </c>
      <c r="T323" s="4" t="str">
        <f ca="1">IF(OR(INDEX($AG$2:$AG$1001,MATCH(ROWS($AF$2:AF323),$AF$2:$AF$1001,0),1)&gt;=100000,INDEX($AM$1005:$BM$1005,1,MATCH(COLUMNS($AM$1006:BE1006),$AM$1006:$BM$1006,0))&gt;=100000), " ",IF(INDEX($AM$2:$BM$1001,MATCH(ROWS($AF$2:AF323),$AF$2:$AF$1001,0),MATCH(COLUMNS($AM$1006:BE1006),$AM$1006:$BM$1006,0)), HYPERLINK("#",""), HYPERLINK(CONCATENATE("#metadata!", ADDRESS(INDEX($AH$2:$AH$1001,MATCH(ROWS($AF$2:AF323),$AF$2:$AF$1001,0),0), INDEX($AM$1004:$BM$1004,1,MATCH(COLUMNS($AM$1006:BE1006),$AM$1006:$BM$1006,0)))),"Fix")))</f>
        <v xml:space="preserve"> </v>
      </c>
      <c r="U323" s="4" t="str">
        <f ca="1">IF(OR(INDEX($AG$2:$AG$1001,MATCH(ROWS($AF$2:AF323),$AF$2:$AF$1001,0),1)&gt;=100000,INDEX($AM$1005:$BM$1005,1,MATCH(COLUMNS($AM$1006:BF1006),$AM$1006:$BM$1006,0))&gt;=100000), " ",IF(INDEX($AM$2:$BM$1001,MATCH(ROWS($AF$2:AF323),$AF$2:$AF$1001,0),MATCH(COLUMNS($AM$1006:BF1006),$AM$1006:$BM$1006,0)), HYPERLINK("#",""), HYPERLINK(CONCATENATE("#metadata!", ADDRESS(INDEX($AH$2:$AH$1001,MATCH(ROWS($AF$2:AF323),$AF$2:$AF$1001,0),0), INDEX($AM$1004:$BM$1004,1,MATCH(COLUMNS($AM$1006:BF1006),$AM$1006:$BM$1006,0)))),"Fix")))</f>
        <v xml:space="preserve"> </v>
      </c>
      <c r="V323" s="4" t="str">
        <f ca="1">IF(OR(INDEX($AG$2:$AG$1001,MATCH(ROWS($AF$2:AF323),$AF$2:$AF$1001,0),1)&gt;=100000,INDEX($AM$1005:$BM$1005,1,MATCH(COLUMNS($AM$1006:BG1006),$AM$1006:$BM$1006,0))&gt;=100000), " ",IF(INDEX($AM$2:$BM$1001,MATCH(ROWS($AF$2:AF323),$AF$2:$AF$1001,0),MATCH(COLUMNS($AM$1006:BG1006),$AM$1006:$BM$1006,0)), HYPERLINK("#",""), HYPERLINK(CONCATENATE("#metadata!", ADDRESS(INDEX($AH$2:$AH$1001,MATCH(ROWS($AF$2:AF323),$AF$2:$AF$1001,0),0), INDEX($AM$1004:$BM$1004,1,MATCH(COLUMNS($AM$1006:BG1006),$AM$1006:$BM$1006,0)))),"Fix")))</f>
        <v xml:space="preserve"> </v>
      </c>
      <c r="W323" s="4" t="str">
        <f ca="1">IF(OR(INDEX($AG$2:$AG$1001,MATCH(ROWS($AF$2:AF323),$AF$2:$AF$1001,0),1)&gt;=100000,INDEX($AM$1005:$BM$1005,1,MATCH(COLUMNS($AM$1006:BH1006),$AM$1006:$BM$1006,0))&gt;=100000), " ",IF(INDEX($AM$2:$BM$1001,MATCH(ROWS($AF$2:AF323),$AF$2:$AF$1001,0),MATCH(COLUMNS($AM$1006:BH1006),$AM$1006:$BM$1006,0)), HYPERLINK("#",""), HYPERLINK(CONCATENATE("#metadata!", ADDRESS(INDEX($AH$2:$AH$1001,MATCH(ROWS($AF$2:AF323),$AF$2:$AF$1001,0),0), INDEX($AM$1004:$BM$1004,1,MATCH(COLUMNS($AM$1006:BH1006),$AM$1006:$BM$1006,0)))),"Fix")))</f>
        <v xml:space="preserve"> </v>
      </c>
      <c r="X323" s="4" t="str">
        <f ca="1">IF(OR(INDEX($AG$2:$AG$1001,MATCH(ROWS($AF$2:AF323),$AF$2:$AF$1001,0),1)&gt;=100000,INDEX($AM$1005:$BM$1005,1,MATCH(COLUMNS($AM$1006:BI1006),$AM$1006:$BM$1006,0))&gt;=100000), " ",IF(INDEX($AM$2:$BM$1001,MATCH(ROWS($AF$2:AF323),$AF$2:$AF$1001,0),MATCH(COLUMNS($AM$1006:BI1006),$AM$1006:$BM$1006,0)), HYPERLINK("#",""), HYPERLINK(CONCATENATE("#metadata!", ADDRESS(INDEX($AH$2:$AH$1001,MATCH(ROWS($AF$2:AF323),$AF$2:$AF$1001,0),0), INDEX($AM$1004:$BM$1004,1,MATCH(COLUMNS($AM$1006:BI1006),$AM$1006:$BM$1006,0)))),"Fix")))</f>
        <v xml:space="preserve"> </v>
      </c>
      <c r="Y323" s="4" t="str">
        <f ca="1">IF(OR(INDEX($AG$2:$AG$1001,MATCH(ROWS($AF$2:AF323),$AF$2:$AF$1001,0),1)&gt;=100000,INDEX($AM$1005:$BM$1005,1,MATCH(COLUMNS($AM$1006:BJ1006),$AM$1006:$BM$1006,0))&gt;=100000), " ",IF(INDEX($AM$2:$BM$1001,MATCH(ROWS($AF$2:AF323),$AF$2:$AF$1001,0),MATCH(COLUMNS($AM$1006:BJ1006),$AM$1006:$BM$1006,0)), HYPERLINK("#",""), HYPERLINK(CONCATENATE("#metadata!", ADDRESS(INDEX($AH$2:$AH$1001,MATCH(ROWS($AF$2:AF323),$AF$2:$AF$1001,0),0), INDEX($AM$1004:$BM$1004,1,MATCH(COLUMNS($AM$1006:BJ1006),$AM$1006:$BM$1006,0)))),"Fix")))</f>
        <v xml:space="preserve"> </v>
      </c>
      <c r="Z323" s="4" t="str">
        <f ca="1">IF(OR(INDEX($AG$2:$AG$1001,MATCH(ROWS($AF$2:AF323),$AF$2:$AF$1001,0),1)&gt;=100000,INDEX($AM$1005:$BM$1005,1,MATCH(COLUMNS($AM$1006:BK1006),$AM$1006:$BM$1006,0))&gt;=100000), " ",IF(INDEX($AM$2:$BM$1001,MATCH(ROWS($AF$2:AF323),$AF$2:$AF$1001,0),MATCH(COLUMNS($AM$1006:BK1006),$AM$1006:$BM$1006,0)), HYPERLINK("#",""), HYPERLINK(CONCATENATE("#metadata!", ADDRESS(INDEX($AH$2:$AH$1001,MATCH(ROWS($AF$2:AF323),$AF$2:$AF$1001,0),0), INDEX($AM$1004:$BM$1004,1,MATCH(COLUMNS($AM$1006:BK1006),$AM$1006:$BM$1006,0)))),"Fix")))</f>
        <v xml:space="preserve"> </v>
      </c>
      <c r="AA323" s="4" t="str">
        <f ca="1">IF(OR(INDEX($AG$2:$AG$1001,MATCH(ROWS($AF$2:AF323),$AF$2:$AF$1001,0),1)&gt;=100000,INDEX($AM$1005:$BM$1005,1,MATCH(COLUMNS($AM$1006:BL1006),$AM$1006:$BM$1006,0))&gt;=100000), " ",IF(INDEX($AM$2:$BM$1001,MATCH(ROWS($AF$2:AF323),$AF$2:$AF$1001,0),MATCH(COLUMNS($AM$1006:BL1006),$AM$1006:$BM$1006,0)), HYPERLINK("#",""), HYPERLINK(CONCATENATE("#metadata!", ADDRESS(INDEX($AH$2:$AH$1001,MATCH(ROWS($AF$2:AF323),$AF$2:$AF$1001,0),0), INDEX($AM$1004:$BM$1004,1,MATCH(COLUMNS($AM$1006:BL1006),$AM$1006:$BM$1006,0)))),"Fix")))</f>
        <v xml:space="preserve"> </v>
      </c>
      <c r="AB323" s="4" t="str">
        <f ca="1">IF(OR(INDEX($AG$2:$AG$1001,MATCH(ROWS($AF$2:AF323),$AF$2:$AF$1001,0),1)&gt;=100000,INDEX($AM$1005:$BM$1005,1,MATCH(COLUMNS($AM$1006:BM1006),$AM$1006:$BM$1006,0))&gt;=100000), " ",IF(INDEX($AM$2:$BM$1001,MATCH(ROWS($AF$2:AF323),$AF$2:$AF$1001,0),MATCH(COLUMNS($AM$1006:BM1006),$AM$1006:$BM$1006,0)), HYPERLINK("#",""), HYPERLINK(CONCATENATE("#metadata!", ADDRESS(INDEX($AH$2:$AH$1001,MATCH(ROWS($AF$2:AF323),$AF$2:$AF$1001,0),0), INDEX($AM$1004:$BM$1004,1,MATCH(COLUMNS($AM$1006:BM1006),$AM$1006:$BM$1006,0)))),"Fix")))</f>
        <v xml:space="preserve"> </v>
      </c>
      <c r="AF323">
        <v>322</v>
      </c>
      <c r="AG323">
        <v>100323</v>
      </c>
      <c r="AH323">
        <v>323</v>
      </c>
      <c r="AI323" t="b">
        <f t="shared" si="5"/>
        <v>1</v>
      </c>
      <c r="AJ323" t="b">
        <f>COUNTBLANK(metadata!B323:AB323)=COLUMNS(metadata!B323:AB323)</f>
        <v>1</v>
      </c>
      <c r="AK323" t="str">
        <v/>
      </c>
      <c r="AM323" t="b">
        <f ca="1">AND(IF(metadata!B323="",FALSE,TRUE),COUNTIF(metadata!B:B, metadata!B323) = 1,NOT(ISERROR(SUMPRODUCT(SEARCH(MID(metadata!B323,ROW(INDIRECT("1:"&amp;LEN(metadata!B323))), 1),"0123456789abcdefghijklmnopqrstuvwxyzABCDEFGHIJKLMNOPQRSTUVWXYZ.")))))</f>
        <v>0</v>
      </c>
      <c r="AN323" t="b">
        <f ca="1">OR(AND(IF(metadata!C323="",FALSE,TRUE),OR(EXACT(metadata!C323,"missing: not collected"),EXACT(metadata!C323,"missing: not provided"),EXACT(metadata!C323,"missing: restricted access"))),AND(IF(metadata!C323="",FALSE,TRUE),AND(AND(IFERROR(INT(LEFT(metadata!C323,4))&gt;1900,FALSE),IFERROR(INT(LEFT(metadata!C323,4))&lt;=YEAR(NOW()),FALSE)), OR(MID(metadata!C323,5,1)="", AND(AND(MID(metadata!C323,5,1)="-",IFERROR(INT(MID(metadata!C323,6,1))&gt;=0,FALSE),IFERROR(INT(MID(metadata!C323,6,1))&lt;=1,FALSE),NOT(MID(metadata!C323,7,1)=""),IFERROR(INT(MID(metadata!C323,6,2))&gt;=1,FALSE),IFERROR(INT(MID(metadata!C323,6,2))&lt;=12,FALSE)), OR(MID(metadata!C323,8,1)="", AND(AND(MID(metadata!C323,8,1)="-",IFERROR(INT(MID(metadata!C323,9,1))&gt;=0,FALSE),IFERROR(INT(MID(metadata!C323,9,1))&lt;=3,FALSE),NOT(MID(metadata!C323,10,1)=""),IFERROR(INT(MID(metadata!C323,9,2))&gt;=1,FALSE),IFERROR(INT(MID(metadata!C323,9,2))&lt;=31,FALSE)), OR(MID(metadata!C323,11,1)="", AND(AND(MID(metadata!C323,11,1)=" ",IFERROR(INT(MID(metadata!C323,12,1))&gt;=0,FALSE),IFERROR(INT(MID(metadata!C323,12,1))&lt;=2,FALSE),NOT(MID(metadata!C323,13,1)=""),IFERROR(INT(MID(metadata!C323,12,2))&gt;=0,FALSE),IFERROR(INT(MID(metadata!C323,12,2))&lt;=23,FALSE)), OR(MID(metadata!C323,14,1)="", AND(AND(MID(metadata!C323,14,1)=":",IFERROR(INT(MID(metadata!C323,15,1))&gt;=0,FALSE),IFERROR(INT(MID(metadata!C323,15,1))&lt;=5,FALSE),NOT(MID(metadata!C323,16,1)=""),IFERROR(INT(MID(metadata!C323,15,2))&gt;=0,FALSE),IFERROR(INT(MID(metadata!C323,15,2))&lt;=59,FALSE)), OR(MID(metadata!C323,17,1)="", AND(AND(MID(metadata!C323,17,1)=":",IFERROR(INT(MID(metadata!C323,18,1))&gt;=0,FALSE),IFERROR(INT(MID(metadata!C323,18,1))&lt;=5,FALSE),NOT(MID(metadata!C323,19,1)=""),IFERROR(INT(MID(metadata!C323,18,2))&gt;=0,FALSE),IFERROR(INT(MID(metadata!C323,18,2))&lt;=59,FALSE)), LEN(metadata!C323)&lt;=19)))))))))))))</f>
        <v>0</v>
      </c>
      <c r="AO323" t="b">
        <f>AND(IF(metadata!D323="",FALSE,TRUE),EXACT(metadata!D323,"Not applicable"))</f>
        <v>0</v>
      </c>
      <c r="AP323" t="b">
        <f>IF(metadata!E323="",FALSE,TRUE)</f>
        <v>0</v>
      </c>
      <c r="AQ323" t="b">
        <f>OR(AND(IF(metadata!F323="",FALSE,TRUE),OR(EXACT(metadata!F323,"missing: not collected"),EXACT(metadata!F323,"missing: not provided"))),AND(IF(metadata!F323="",FALSE,TRUE),OR(EXACT(metadata!F323,"TRUE"),EXACT(metadata!F323,"FALSE"))))</f>
        <v>0</v>
      </c>
      <c r="AR323" t="b">
        <f>OR(AND(IF(metadata!G323="",FALSE,TRUE),OR(EXACT(metadata!G323,"missing: not collected"),EXACT(metadata!G323,"missing: not provided"),EXACT(metadata!G323,"missing: restricted access"))),AND(IF(metadata!G323="",FALSE,ISNUMBER(VALUE(metadata!G323))),metadata!G323&gt;=-413))</f>
        <v>0</v>
      </c>
      <c r="AS323" t="b">
        <f>AND(IF(metadata!H323="",FALSE,TRUE),EXACT(metadata!H323,"meters"))</f>
        <v>0</v>
      </c>
      <c r="AT323" t="b">
        <f>AND(IF(metadata!I323="",FALSE,TRUE),OR(EXACT(metadata!I323,"Host-associated"),EXACT(metadata!I323,"Free-living")))</f>
        <v>0</v>
      </c>
      <c r="AU323" t="b">
        <f>AND(IF(metadata!J323="",FALSE,TRUE),OR(EXACT(metadata!J323,"Animal"),EXACT(metadata!J323,"Fungus"),EXACT(metadata!J323,"Plant"),EXACT(metadata!J323,"Saline"),EXACT(metadata!J323,"Non-saline")))</f>
        <v>0</v>
      </c>
      <c r="AV323" t="b">
        <f>AND(IF(metadata!K323="",FALSE,TRUE),OR(EXACT(metadata!K323,"Plant secretion"),EXACT(metadata!K323,"Plant rhizosphere"),EXACT(metadata!K323,"Plant surface"),EXACT(metadata!K323,"Plant corpus"),EXACT(metadata!K323,"Fungus surface"),EXACT(metadata!K323,"Fungus corpus"),EXACT(metadata!K323,"Animal surface"),EXACT(metadata!K323,"Animal proximal gut"),EXACT(metadata!K323,"Animal corpus"),EXACT(metadata!K323,"Animal distal gut"),EXACT(metadata!K323,"Animal secretion"),EXACT(metadata!K323,"Sub-surface (non-saline)"),EXACT(metadata!K323,"Surface (non-saline)"),EXACT(metadata!K323,"Water (non-saline)"),EXACT(metadata!K323,"Soil (non-saline)"),EXACT(metadata!K323,"Aerosol (non-saline)"),EXACT(metadata!K323,"Sediment (non-saline)"),EXACT(metadata!K323,"Surface (saline)"),EXACT(metadata!K323,"Water (saline)"),EXACT(metadata!K323,"Hypersaline (saline)"),EXACT(metadata!K323,"Aerosol (saline)"),EXACT(metadata!K323,"Sediment (saline)")))</f>
        <v>0</v>
      </c>
      <c r="AW323" t="b">
        <f>IF(metadata!L323="",FALSE,TRUE)</f>
        <v>0</v>
      </c>
      <c r="AX323" t="b">
        <f>IF(metadata!M323="",FALSE,TRUE)</f>
        <v>0</v>
      </c>
      <c r="AY323" t="b">
        <f>IF(metadata!N323="",FALSE,TRUE)</f>
        <v>0</v>
      </c>
      <c r="AZ323" t="b">
        <f>OR(AND(IF(metadata!O323="",FALSE,TRUE),OR(EXACT(metadata!O323,"missing: not collected"),EXACT(metadata!O323,"missing: not provided"),EXACT(metadata!O323,"missing: restricted access"))),AND(IF(metadata!O323="",FALSE,TRUE),OR(EXACT(metadata!O323,"air"),EXACT(metadata!O323,"built environment"),EXACT(metadata!O323,"host-associated"),EXACT(metadata!O323,"human-associated"),EXACT(metadata!O323,"human-skin"),EXACT(metadata!O323,"human-oral"),EXACT(metadata!O323,"human-gut"),EXACT(metadata!O323,"human-vaginal"),EXACT(metadata!O323,"microbial mat/biofilm"),EXACT(metadata!O323,"misc environment"),EXACT(metadata!O323,"plant-associated"),EXACT(metadata!O323,"sediment"),EXACT(metadata!O323,"soil"),EXACT(metadata!O323,"wastewater/sludge"),EXACT(metadata!O323,"water"))))</f>
        <v>0</v>
      </c>
      <c r="BA323" t="b">
        <f>IF(metadata!P323="",FALSE,TRUE)</f>
        <v>0</v>
      </c>
      <c r="BB323" t="b">
        <f>IF(metadata!Q323="",FALSE,TRUE)</f>
        <v>0</v>
      </c>
      <c r="BC323" t="b">
        <f>OR(AND(IF(metadata!R323="",FALSE,TRUE),OR(EXACT(metadata!R323,"missing: not collected"),EXACT(metadata!R323,"missing: not provided"),EXACT(metadata!R323,"missing: restricted access"))),AND(IF(metadata!R323="",FALSE,ISNUMBER(VALUE(metadata!R323))),metadata!R323&gt;=-90,metadata!R323&lt;=90))</f>
        <v>0</v>
      </c>
      <c r="BD323" t="b">
        <f>AND(IF(metadata!S323="",FALSE,TRUE),EXACT(metadata!S323,"Decimal degrees"))</f>
        <v>0</v>
      </c>
      <c r="BE323" t="b">
        <f>OR(AND(IF(metadata!T323="",FALSE,TRUE),OR(EXACT(metadata!T323,"missing: not collected"),EXACT(metadata!T323,"missing: not provided"),EXACT(metadata!T323,"missing: restricted access"))),AND(IF(metadata!T323="",FALSE,ISNUMBER(VALUE(metadata!T323))),metadata!T323&gt;=-180,metadata!T323&lt;=180))</f>
        <v>0</v>
      </c>
      <c r="BF323" t="b">
        <f>AND(IF(metadata!U323="",FALSE,TRUE),EXACT(metadata!U323,"Decimal degrees"))</f>
        <v>0</v>
      </c>
      <c r="BG323" t="b">
        <f>IF(metadata!V323="",FALSE,TRUE)</f>
        <v>0</v>
      </c>
      <c r="BH323" t="b">
        <f>OR(AND(IF(metadata!W323="",FALSE,TRUE),OR(EXACT(metadata!W323,"missing: not collected"),EXACT(metadata!W323,"missing: not provided"),EXACT(metadata!W323,"missing: restricted access"))),AND(IF(metadata!W323="",FALSE,TRUE),OR(EXACT(metadata!W323,"TRUE"),EXACT(metadata!W323,"FALSE"))))</f>
        <v>0</v>
      </c>
      <c r="BI323" t="b">
        <f>AND(IF(metadata!X323="",FALSE,TRUE),EXACT(metadata!X323,"other"))</f>
        <v>0</v>
      </c>
      <c r="BJ323" t="b">
        <f>IF(metadata!Y323="",FALSE,TRUE)</f>
        <v>0</v>
      </c>
      <c r="BK323" t="b">
        <f>OR(AND(IF(metadata!Z323="",FALSE,TRUE),OR(EXACT(metadata!Z323,"missing: not collected"),EXACT(metadata!Z323,"missing: not provided"))),AND(IF(metadata!Z323="",FALSE,IF(ISERROR(INT(metadata!Z323)),FALSE,INT(metadata!Z323)=metadata!Z323)),metadata!Z323&gt;0))</f>
        <v>0</v>
      </c>
      <c r="BL323" t="b">
        <f>AND(IF(metadata!AA323="",FALSE,TRUE),EXACT(metadata!AA323,"Not applicable"))</f>
        <v>0</v>
      </c>
      <c r="BM323" t="b">
        <f>IF(metadata!AB323="",FALSE,TRUE)</f>
        <v>0</v>
      </c>
    </row>
    <row r="324" spans="1:65" x14ac:dyDescent="0.2">
      <c r="A324" s="5" t="str">
        <f ca="1">IF(B324=" "," ",HYPERLINK(CONCATENATE("#metadata!",ADDRESS(INDEX($AH$2:$AH$1001,MATCH(ROWS($AF$2:AF324),$AF$2:$AF$1001,0),0),1)),INDEX($AK$2:$AK$1001,MATCH(ROWS($AF$2:AF324),$AF$2:$AF$1001,0),0)))</f>
        <v xml:space="preserve"> </v>
      </c>
      <c r="B324" s="4" t="str">
        <f ca="1">IF(OR(INDEX($AG$2:$AG$1001,MATCH(ROWS($AF$2:AF324),$AF$2:$AF$1001,0),1)&gt;=100000,INDEX($AM$1005:$BM$1005,1,MATCH(COLUMNS($AM$1006:AM1006),$AM$1006:$BM$1006,0))&gt;=100000), " ",IF(INDEX($AM$2:$BM$1001,MATCH(ROWS($AF$2:AF324),$AF$2:$AF$1001,0),MATCH(COLUMNS($AM$1006:AM1006),$AM$1006:$BM$1006,0)), HYPERLINK("#",""), HYPERLINK(CONCATENATE("#metadata!", ADDRESS(INDEX($AH$2:$AH$1001,MATCH(ROWS($AF$2:AF324),$AF$2:$AF$1001,0),0), INDEX($AM$1004:$BM$1004,1,MATCH(COLUMNS($AM$1006:AM1006),$AM$1006:$BM$1006,0)))),"Fix")))</f>
        <v xml:space="preserve"> </v>
      </c>
      <c r="C324" s="4" t="str">
        <f ca="1">IF(OR(INDEX($AG$2:$AG$1001,MATCH(ROWS($AF$2:AF324),$AF$2:$AF$1001,0),1)&gt;=100000,INDEX($AM$1005:$BM$1005,1,MATCH(COLUMNS($AM$1006:AN1006),$AM$1006:$BM$1006,0))&gt;=100000), " ",IF(INDEX($AM$2:$BM$1001,MATCH(ROWS($AF$2:AF324),$AF$2:$AF$1001,0),MATCH(COLUMNS($AM$1006:AN1006),$AM$1006:$BM$1006,0)), HYPERLINK("#",""), HYPERLINK(CONCATENATE("#metadata!", ADDRESS(INDEX($AH$2:$AH$1001,MATCH(ROWS($AF$2:AF324),$AF$2:$AF$1001,0),0), INDEX($AM$1004:$BM$1004,1,MATCH(COLUMNS($AM$1006:AN1006),$AM$1006:$BM$1006,0)))),"Fix")))</f>
        <v xml:space="preserve"> </v>
      </c>
      <c r="D324" s="4" t="str">
        <f ca="1">IF(OR(INDEX($AG$2:$AG$1001,MATCH(ROWS($AF$2:AF324),$AF$2:$AF$1001,0),1)&gt;=100000,INDEX($AM$1005:$BM$1005,1,MATCH(COLUMNS($AM$1006:AO1006),$AM$1006:$BM$1006,0))&gt;=100000), " ",IF(INDEX($AM$2:$BM$1001,MATCH(ROWS($AF$2:AF324),$AF$2:$AF$1001,0),MATCH(COLUMNS($AM$1006:AO1006),$AM$1006:$BM$1006,0)), HYPERLINK("#",""), HYPERLINK(CONCATENATE("#metadata!", ADDRESS(INDEX($AH$2:$AH$1001,MATCH(ROWS($AF$2:AF324),$AF$2:$AF$1001,0),0), INDEX($AM$1004:$BM$1004,1,MATCH(COLUMNS($AM$1006:AO1006),$AM$1006:$BM$1006,0)))),"Fix")))</f>
        <v xml:space="preserve"> </v>
      </c>
      <c r="E324" s="4" t="str">
        <f ca="1">IF(OR(INDEX($AG$2:$AG$1001,MATCH(ROWS($AF$2:AF324),$AF$2:$AF$1001,0),1)&gt;=100000,INDEX($AM$1005:$BM$1005,1,MATCH(COLUMNS($AM$1006:AP1006),$AM$1006:$BM$1006,0))&gt;=100000), " ",IF(INDEX($AM$2:$BM$1001,MATCH(ROWS($AF$2:AF324),$AF$2:$AF$1001,0),MATCH(COLUMNS($AM$1006:AP1006),$AM$1006:$BM$1006,0)), HYPERLINK("#",""), HYPERLINK(CONCATENATE("#metadata!", ADDRESS(INDEX($AH$2:$AH$1001,MATCH(ROWS($AF$2:AF324),$AF$2:$AF$1001,0),0), INDEX($AM$1004:$BM$1004,1,MATCH(COLUMNS($AM$1006:AP1006),$AM$1006:$BM$1006,0)))),"Fix")))</f>
        <v xml:space="preserve"> </v>
      </c>
      <c r="F324" s="4" t="str">
        <f ca="1">IF(OR(INDEX($AG$2:$AG$1001,MATCH(ROWS($AF$2:AF324),$AF$2:$AF$1001,0),1)&gt;=100000,INDEX($AM$1005:$BM$1005,1,MATCH(COLUMNS($AM$1006:AQ1006),$AM$1006:$BM$1006,0))&gt;=100000), " ",IF(INDEX($AM$2:$BM$1001,MATCH(ROWS($AF$2:AF324),$AF$2:$AF$1001,0),MATCH(COLUMNS($AM$1006:AQ1006),$AM$1006:$BM$1006,0)), HYPERLINK("#",""), HYPERLINK(CONCATENATE("#metadata!", ADDRESS(INDEX($AH$2:$AH$1001,MATCH(ROWS($AF$2:AF324),$AF$2:$AF$1001,0),0), INDEX($AM$1004:$BM$1004,1,MATCH(COLUMNS($AM$1006:AQ1006),$AM$1006:$BM$1006,0)))),"Fix")))</f>
        <v xml:space="preserve"> </v>
      </c>
      <c r="G324" s="4" t="str">
        <f ca="1">IF(OR(INDEX($AG$2:$AG$1001,MATCH(ROWS($AF$2:AF324),$AF$2:$AF$1001,0),1)&gt;=100000,INDEX($AM$1005:$BM$1005,1,MATCH(COLUMNS($AM$1006:AR1006),$AM$1006:$BM$1006,0))&gt;=100000), " ",IF(INDEX($AM$2:$BM$1001,MATCH(ROWS($AF$2:AF324),$AF$2:$AF$1001,0),MATCH(COLUMNS($AM$1006:AR1006),$AM$1006:$BM$1006,0)), HYPERLINK("#",""), HYPERLINK(CONCATENATE("#metadata!", ADDRESS(INDEX($AH$2:$AH$1001,MATCH(ROWS($AF$2:AF324),$AF$2:$AF$1001,0),0), INDEX($AM$1004:$BM$1004,1,MATCH(COLUMNS($AM$1006:AR1006),$AM$1006:$BM$1006,0)))),"Fix")))</f>
        <v xml:space="preserve"> </v>
      </c>
      <c r="H324" s="4" t="str">
        <f ca="1">IF(OR(INDEX($AG$2:$AG$1001,MATCH(ROWS($AF$2:AF324),$AF$2:$AF$1001,0),1)&gt;=100000,INDEX($AM$1005:$BM$1005,1,MATCH(COLUMNS($AM$1006:AS1006),$AM$1006:$BM$1006,0))&gt;=100000), " ",IF(INDEX($AM$2:$BM$1001,MATCH(ROWS($AF$2:AF324),$AF$2:$AF$1001,0),MATCH(COLUMNS($AM$1006:AS1006),$AM$1006:$BM$1006,0)), HYPERLINK("#",""), HYPERLINK(CONCATENATE("#metadata!", ADDRESS(INDEX($AH$2:$AH$1001,MATCH(ROWS($AF$2:AF324),$AF$2:$AF$1001,0),0), INDEX($AM$1004:$BM$1004,1,MATCH(COLUMNS($AM$1006:AS1006),$AM$1006:$BM$1006,0)))),"Fix")))</f>
        <v xml:space="preserve"> </v>
      </c>
      <c r="I324" s="4" t="str">
        <f ca="1">IF(OR(INDEX($AG$2:$AG$1001,MATCH(ROWS($AF$2:AF324),$AF$2:$AF$1001,0),1)&gt;=100000,INDEX($AM$1005:$BM$1005,1,MATCH(COLUMNS($AM$1006:AT1006),$AM$1006:$BM$1006,0))&gt;=100000), " ",IF(INDEX($AM$2:$BM$1001,MATCH(ROWS($AF$2:AF324),$AF$2:$AF$1001,0),MATCH(COLUMNS($AM$1006:AT1006),$AM$1006:$BM$1006,0)), HYPERLINK("#",""), HYPERLINK(CONCATENATE("#metadata!", ADDRESS(INDEX($AH$2:$AH$1001,MATCH(ROWS($AF$2:AF324),$AF$2:$AF$1001,0),0), INDEX($AM$1004:$BM$1004,1,MATCH(COLUMNS($AM$1006:AT1006),$AM$1006:$BM$1006,0)))),"Fix")))</f>
        <v xml:space="preserve"> </v>
      </c>
      <c r="J324" s="4" t="str">
        <f ca="1">IF(OR(INDEX($AG$2:$AG$1001,MATCH(ROWS($AF$2:AF324),$AF$2:$AF$1001,0),1)&gt;=100000,INDEX($AM$1005:$BM$1005,1,MATCH(COLUMNS($AM$1006:AU1006),$AM$1006:$BM$1006,0))&gt;=100000), " ",IF(INDEX($AM$2:$BM$1001,MATCH(ROWS($AF$2:AF324),$AF$2:$AF$1001,0),MATCH(COLUMNS($AM$1006:AU1006),$AM$1006:$BM$1006,0)), HYPERLINK("#",""), HYPERLINK(CONCATENATE("#metadata!", ADDRESS(INDEX($AH$2:$AH$1001,MATCH(ROWS($AF$2:AF324),$AF$2:$AF$1001,0),0), INDEX($AM$1004:$BM$1004,1,MATCH(COLUMNS($AM$1006:AU1006),$AM$1006:$BM$1006,0)))),"Fix")))</f>
        <v xml:space="preserve"> </v>
      </c>
      <c r="K324" s="4" t="str">
        <f ca="1">IF(OR(INDEX($AG$2:$AG$1001,MATCH(ROWS($AF$2:AF324),$AF$2:$AF$1001,0),1)&gt;=100000,INDEX($AM$1005:$BM$1005,1,MATCH(COLUMNS($AM$1006:AV1006),$AM$1006:$BM$1006,0))&gt;=100000), " ",IF(INDEX($AM$2:$BM$1001,MATCH(ROWS($AF$2:AF324),$AF$2:$AF$1001,0),MATCH(COLUMNS($AM$1006:AV1006),$AM$1006:$BM$1006,0)), HYPERLINK("#",""), HYPERLINK(CONCATENATE("#metadata!", ADDRESS(INDEX($AH$2:$AH$1001,MATCH(ROWS($AF$2:AF324),$AF$2:$AF$1001,0),0), INDEX($AM$1004:$BM$1004,1,MATCH(COLUMNS($AM$1006:AV1006),$AM$1006:$BM$1006,0)))),"Fix")))</f>
        <v xml:space="preserve"> </v>
      </c>
      <c r="L324" s="4" t="str">
        <f ca="1">IF(OR(INDEX($AG$2:$AG$1001,MATCH(ROWS($AF$2:AF324),$AF$2:$AF$1001,0),1)&gt;=100000,INDEX($AM$1005:$BM$1005,1,MATCH(COLUMNS($AM$1006:AW1006),$AM$1006:$BM$1006,0))&gt;=100000), " ",IF(INDEX($AM$2:$BM$1001,MATCH(ROWS($AF$2:AF324),$AF$2:$AF$1001,0),MATCH(COLUMNS($AM$1006:AW1006),$AM$1006:$BM$1006,0)), HYPERLINK("#",""), HYPERLINK(CONCATENATE("#metadata!", ADDRESS(INDEX($AH$2:$AH$1001,MATCH(ROWS($AF$2:AF324),$AF$2:$AF$1001,0),0), INDEX($AM$1004:$BM$1004,1,MATCH(COLUMNS($AM$1006:AW1006),$AM$1006:$BM$1006,0)))),"Fix")))</f>
        <v xml:space="preserve"> </v>
      </c>
      <c r="M324" s="4" t="str">
        <f ca="1">IF(OR(INDEX($AG$2:$AG$1001,MATCH(ROWS($AF$2:AF324),$AF$2:$AF$1001,0),1)&gt;=100000,INDEX($AM$1005:$BM$1005,1,MATCH(COLUMNS($AM$1006:AX1006),$AM$1006:$BM$1006,0))&gt;=100000), " ",IF(INDEX($AM$2:$BM$1001,MATCH(ROWS($AF$2:AF324),$AF$2:$AF$1001,0),MATCH(COLUMNS($AM$1006:AX1006),$AM$1006:$BM$1006,0)), HYPERLINK("#",""), HYPERLINK(CONCATENATE("#metadata!", ADDRESS(INDEX($AH$2:$AH$1001,MATCH(ROWS($AF$2:AF324),$AF$2:$AF$1001,0),0), INDEX($AM$1004:$BM$1004,1,MATCH(COLUMNS($AM$1006:AX1006),$AM$1006:$BM$1006,0)))),"Fix")))</f>
        <v xml:space="preserve"> </v>
      </c>
      <c r="N324" s="4" t="str">
        <f ca="1">IF(OR(INDEX($AG$2:$AG$1001,MATCH(ROWS($AF$2:AF324),$AF$2:$AF$1001,0),1)&gt;=100000,INDEX($AM$1005:$BM$1005,1,MATCH(COLUMNS($AM$1006:AY1006),$AM$1006:$BM$1006,0))&gt;=100000), " ",IF(INDEX($AM$2:$BM$1001,MATCH(ROWS($AF$2:AF324),$AF$2:$AF$1001,0),MATCH(COLUMNS($AM$1006:AY1006),$AM$1006:$BM$1006,0)), HYPERLINK("#",""), HYPERLINK(CONCATENATE("#metadata!", ADDRESS(INDEX($AH$2:$AH$1001,MATCH(ROWS($AF$2:AF324),$AF$2:$AF$1001,0),0), INDEX($AM$1004:$BM$1004,1,MATCH(COLUMNS($AM$1006:AY1006),$AM$1006:$BM$1006,0)))),"Fix")))</f>
        <v xml:space="preserve"> </v>
      </c>
      <c r="O324" s="4" t="str">
        <f ca="1">IF(OR(INDEX($AG$2:$AG$1001,MATCH(ROWS($AF$2:AF324),$AF$2:$AF$1001,0),1)&gt;=100000,INDEX($AM$1005:$BM$1005,1,MATCH(COLUMNS($AM$1006:AZ1006),$AM$1006:$BM$1006,0))&gt;=100000), " ",IF(INDEX($AM$2:$BM$1001,MATCH(ROWS($AF$2:AF324),$AF$2:$AF$1001,0),MATCH(COLUMNS($AM$1006:AZ1006),$AM$1006:$BM$1006,0)), HYPERLINK("#",""), HYPERLINK(CONCATENATE("#metadata!", ADDRESS(INDEX($AH$2:$AH$1001,MATCH(ROWS($AF$2:AF324),$AF$2:$AF$1001,0),0), INDEX($AM$1004:$BM$1004,1,MATCH(COLUMNS($AM$1006:AZ1006),$AM$1006:$BM$1006,0)))),"Fix")))</f>
        <v xml:space="preserve"> </v>
      </c>
      <c r="P324" s="4" t="str">
        <f ca="1">IF(OR(INDEX($AG$2:$AG$1001,MATCH(ROWS($AF$2:AF324),$AF$2:$AF$1001,0),1)&gt;=100000,INDEX($AM$1005:$BM$1005,1,MATCH(COLUMNS($AM$1006:BA1006),$AM$1006:$BM$1006,0))&gt;=100000), " ",IF(INDEX($AM$2:$BM$1001,MATCH(ROWS($AF$2:AF324),$AF$2:$AF$1001,0),MATCH(COLUMNS($AM$1006:BA1006),$AM$1006:$BM$1006,0)), HYPERLINK("#",""), HYPERLINK(CONCATENATE("#metadata!", ADDRESS(INDEX($AH$2:$AH$1001,MATCH(ROWS($AF$2:AF324),$AF$2:$AF$1001,0),0), INDEX($AM$1004:$BM$1004,1,MATCH(COLUMNS($AM$1006:BA1006),$AM$1006:$BM$1006,0)))),"Fix")))</f>
        <v xml:space="preserve"> </v>
      </c>
      <c r="Q324" s="4" t="str">
        <f ca="1">IF(OR(INDEX($AG$2:$AG$1001,MATCH(ROWS($AF$2:AF324),$AF$2:$AF$1001,0),1)&gt;=100000,INDEX($AM$1005:$BM$1005,1,MATCH(COLUMNS($AM$1006:BB1006),$AM$1006:$BM$1006,0))&gt;=100000), " ",IF(INDEX($AM$2:$BM$1001,MATCH(ROWS($AF$2:AF324),$AF$2:$AF$1001,0),MATCH(COLUMNS($AM$1006:BB1006),$AM$1006:$BM$1006,0)), HYPERLINK("#",""), HYPERLINK(CONCATENATE("#metadata!", ADDRESS(INDEX($AH$2:$AH$1001,MATCH(ROWS($AF$2:AF324),$AF$2:$AF$1001,0),0), INDEX($AM$1004:$BM$1004,1,MATCH(COLUMNS($AM$1006:BB1006),$AM$1006:$BM$1006,0)))),"Fix")))</f>
        <v xml:space="preserve"> </v>
      </c>
      <c r="R324" s="4" t="str">
        <f ca="1">IF(OR(INDEX($AG$2:$AG$1001,MATCH(ROWS($AF$2:AF324),$AF$2:$AF$1001,0),1)&gt;=100000,INDEX($AM$1005:$BM$1005,1,MATCH(COLUMNS($AM$1006:BC1006),$AM$1006:$BM$1006,0))&gt;=100000), " ",IF(INDEX($AM$2:$BM$1001,MATCH(ROWS($AF$2:AF324),$AF$2:$AF$1001,0),MATCH(COLUMNS($AM$1006:BC1006),$AM$1006:$BM$1006,0)), HYPERLINK("#",""), HYPERLINK(CONCATENATE("#metadata!", ADDRESS(INDEX($AH$2:$AH$1001,MATCH(ROWS($AF$2:AF324),$AF$2:$AF$1001,0),0), INDEX($AM$1004:$BM$1004,1,MATCH(COLUMNS($AM$1006:BC1006),$AM$1006:$BM$1006,0)))),"Fix")))</f>
        <v xml:space="preserve"> </v>
      </c>
      <c r="S324" s="4" t="str">
        <f ca="1">IF(OR(INDEX($AG$2:$AG$1001,MATCH(ROWS($AF$2:AF324),$AF$2:$AF$1001,0),1)&gt;=100000,INDEX($AM$1005:$BM$1005,1,MATCH(COLUMNS($AM$1006:BD1006),$AM$1006:$BM$1006,0))&gt;=100000), " ",IF(INDEX($AM$2:$BM$1001,MATCH(ROWS($AF$2:AF324),$AF$2:$AF$1001,0),MATCH(COLUMNS($AM$1006:BD1006),$AM$1006:$BM$1006,0)), HYPERLINK("#",""), HYPERLINK(CONCATENATE("#metadata!", ADDRESS(INDEX($AH$2:$AH$1001,MATCH(ROWS($AF$2:AF324),$AF$2:$AF$1001,0),0), INDEX($AM$1004:$BM$1004,1,MATCH(COLUMNS($AM$1006:BD1006),$AM$1006:$BM$1006,0)))),"Fix")))</f>
        <v xml:space="preserve"> </v>
      </c>
      <c r="T324" s="4" t="str">
        <f ca="1">IF(OR(INDEX($AG$2:$AG$1001,MATCH(ROWS($AF$2:AF324),$AF$2:$AF$1001,0),1)&gt;=100000,INDEX($AM$1005:$BM$1005,1,MATCH(COLUMNS($AM$1006:BE1006),$AM$1006:$BM$1006,0))&gt;=100000), " ",IF(INDEX($AM$2:$BM$1001,MATCH(ROWS($AF$2:AF324),$AF$2:$AF$1001,0),MATCH(COLUMNS($AM$1006:BE1006),$AM$1006:$BM$1006,0)), HYPERLINK("#",""), HYPERLINK(CONCATENATE("#metadata!", ADDRESS(INDEX($AH$2:$AH$1001,MATCH(ROWS($AF$2:AF324),$AF$2:$AF$1001,0),0), INDEX($AM$1004:$BM$1004,1,MATCH(COLUMNS($AM$1006:BE1006),$AM$1006:$BM$1006,0)))),"Fix")))</f>
        <v xml:space="preserve"> </v>
      </c>
      <c r="U324" s="4" t="str">
        <f ca="1">IF(OR(INDEX($AG$2:$AG$1001,MATCH(ROWS($AF$2:AF324),$AF$2:$AF$1001,0),1)&gt;=100000,INDEX($AM$1005:$BM$1005,1,MATCH(COLUMNS($AM$1006:BF1006),$AM$1006:$BM$1006,0))&gt;=100000), " ",IF(INDEX($AM$2:$BM$1001,MATCH(ROWS($AF$2:AF324),$AF$2:$AF$1001,0),MATCH(COLUMNS($AM$1006:BF1006),$AM$1006:$BM$1006,0)), HYPERLINK("#",""), HYPERLINK(CONCATENATE("#metadata!", ADDRESS(INDEX($AH$2:$AH$1001,MATCH(ROWS($AF$2:AF324),$AF$2:$AF$1001,0),0), INDEX($AM$1004:$BM$1004,1,MATCH(COLUMNS($AM$1006:BF1006),$AM$1006:$BM$1006,0)))),"Fix")))</f>
        <v xml:space="preserve"> </v>
      </c>
      <c r="V324" s="4" t="str">
        <f ca="1">IF(OR(INDEX($AG$2:$AG$1001,MATCH(ROWS($AF$2:AF324),$AF$2:$AF$1001,0),1)&gt;=100000,INDEX($AM$1005:$BM$1005,1,MATCH(COLUMNS($AM$1006:BG1006),$AM$1006:$BM$1006,0))&gt;=100000), " ",IF(INDEX($AM$2:$BM$1001,MATCH(ROWS($AF$2:AF324),$AF$2:$AF$1001,0),MATCH(COLUMNS($AM$1006:BG1006),$AM$1006:$BM$1006,0)), HYPERLINK("#",""), HYPERLINK(CONCATENATE("#metadata!", ADDRESS(INDEX($AH$2:$AH$1001,MATCH(ROWS($AF$2:AF324),$AF$2:$AF$1001,0),0), INDEX($AM$1004:$BM$1004,1,MATCH(COLUMNS($AM$1006:BG1006),$AM$1006:$BM$1006,0)))),"Fix")))</f>
        <v xml:space="preserve"> </v>
      </c>
      <c r="W324" s="4" t="str">
        <f ca="1">IF(OR(INDEX($AG$2:$AG$1001,MATCH(ROWS($AF$2:AF324),$AF$2:$AF$1001,0),1)&gt;=100000,INDEX($AM$1005:$BM$1005,1,MATCH(COLUMNS($AM$1006:BH1006),$AM$1006:$BM$1006,0))&gt;=100000), " ",IF(INDEX($AM$2:$BM$1001,MATCH(ROWS($AF$2:AF324),$AF$2:$AF$1001,0),MATCH(COLUMNS($AM$1006:BH1006),$AM$1006:$BM$1006,0)), HYPERLINK("#",""), HYPERLINK(CONCATENATE("#metadata!", ADDRESS(INDEX($AH$2:$AH$1001,MATCH(ROWS($AF$2:AF324),$AF$2:$AF$1001,0),0), INDEX($AM$1004:$BM$1004,1,MATCH(COLUMNS($AM$1006:BH1006),$AM$1006:$BM$1006,0)))),"Fix")))</f>
        <v xml:space="preserve"> </v>
      </c>
      <c r="X324" s="4" t="str">
        <f ca="1">IF(OR(INDEX($AG$2:$AG$1001,MATCH(ROWS($AF$2:AF324),$AF$2:$AF$1001,0),1)&gt;=100000,INDEX($AM$1005:$BM$1005,1,MATCH(COLUMNS($AM$1006:BI1006),$AM$1006:$BM$1006,0))&gt;=100000), " ",IF(INDEX($AM$2:$BM$1001,MATCH(ROWS($AF$2:AF324),$AF$2:$AF$1001,0),MATCH(COLUMNS($AM$1006:BI1006),$AM$1006:$BM$1006,0)), HYPERLINK("#",""), HYPERLINK(CONCATENATE("#metadata!", ADDRESS(INDEX($AH$2:$AH$1001,MATCH(ROWS($AF$2:AF324),$AF$2:$AF$1001,0),0), INDEX($AM$1004:$BM$1004,1,MATCH(COLUMNS($AM$1006:BI1006),$AM$1006:$BM$1006,0)))),"Fix")))</f>
        <v xml:space="preserve"> </v>
      </c>
      <c r="Y324" s="4" t="str">
        <f ca="1">IF(OR(INDEX($AG$2:$AG$1001,MATCH(ROWS($AF$2:AF324),$AF$2:$AF$1001,0),1)&gt;=100000,INDEX($AM$1005:$BM$1005,1,MATCH(COLUMNS($AM$1006:BJ1006),$AM$1006:$BM$1006,0))&gt;=100000), " ",IF(INDEX($AM$2:$BM$1001,MATCH(ROWS($AF$2:AF324),$AF$2:$AF$1001,0),MATCH(COLUMNS($AM$1006:BJ1006),$AM$1006:$BM$1006,0)), HYPERLINK("#",""), HYPERLINK(CONCATENATE("#metadata!", ADDRESS(INDEX($AH$2:$AH$1001,MATCH(ROWS($AF$2:AF324),$AF$2:$AF$1001,0),0), INDEX($AM$1004:$BM$1004,1,MATCH(COLUMNS($AM$1006:BJ1006),$AM$1006:$BM$1006,0)))),"Fix")))</f>
        <v xml:space="preserve"> </v>
      </c>
      <c r="Z324" s="4" t="str">
        <f ca="1">IF(OR(INDEX($AG$2:$AG$1001,MATCH(ROWS($AF$2:AF324),$AF$2:$AF$1001,0),1)&gt;=100000,INDEX($AM$1005:$BM$1005,1,MATCH(COLUMNS($AM$1006:BK1006),$AM$1006:$BM$1006,0))&gt;=100000), " ",IF(INDEX($AM$2:$BM$1001,MATCH(ROWS($AF$2:AF324),$AF$2:$AF$1001,0),MATCH(COLUMNS($AM$1006:BK1006),$AM$1006:$BM$1006,0)), HYPERLINK("#",""), HYPERLINK(CONCATENATE("#metadata!", ADDRESS(INDEX($AH$2:$AH$1001,MATCH(ROWS($AF$2:AF324),$AF$2:$AF$1001,0),0), INDEX($AM$1004:$BM$1004,1,MATCH(COLUMNS($AM$1006:BK1006),$AM$1006:$BM$1006,0)))),"Fix")))</f>
        <v xml:space="preserve"> </v>
      </c>
      <c r="AA324" s="4" t="str">
        <f ca="1">IF(OR(INDEX($AG$2:$AG$1001,MATCH(ROWS($AF$2:AF324),$AF$2:$AF$1001,0),1)&gt;=100000,INDEX($AM$1005:$BM$1005,1,MATCH(COLUMNS($AM$1006:BL1006),$AM$1006:$BM$1006,0))&gt;=100000), " ",IF(INDEX($AM$2:$BM$1001,MATCH(ROWS($AF$2:AF324),$AF$2:$AF$1001,0),MATCH(COLUMNS($AM$1006:BL1006),$AM$1006:$BM$1006,0)), HYPERLINK("#",""), HYPERLINK(CONCATENATE("#metadata!", ADDRESS(INDEX($AH$2:$AH$1001,MATCH(ROWS($AF$2:AF324),$AF$2:$AF$1001,0),0), INDEX($AM$1004:$BM$1004,1,MATCH(COLUMNS($AM$1006:BL1006),$AM$1006:$BM$1006,0)))),"Fix")))</f>
        <v xml:space="preserve"> </v>
      </c>
      <c r="AB324" s="4" t="str">
        <f ca="1">IF(OR(INDEX($AG$2:$AG$1001,MATCH(ROWS($AF$2:AF324),$AF$2:$AF$1001,0),1)&gt;=100000,INDEX($AM$1005:$BM$1005,1,MATCH(COLUMNS($AM$1006:BM1006),$AM$1006:$BM$1006,0))&gt;=100000), " ",IF(INDEX($AM$2:$BM$1001,MATCH(ROWS($AF$2:AF324),$AF$2:$AF$1001,0),MATCH(COLUMNS($AM$1006:BM1006),$AM$1006:$BM$1006,0)), HYPERLINK("#",""), HYPERLINK(CONCATENATE("#metadata!", ADDRESS(INDEX($AH$2:$AH$1001,MATCH(ROWS($AF$2:AF324),$AF$2:$AF$1001,0),0), INDEX($AM$1004:$BM$1004,1,MATCH(COLUMNS($AM$1006:BM1006),$AM$1006:$BM$1006,0)))),"Fix")))</f>
        <v xml:space="preserve"> </v>
      </c>
      <c r="AF324">
        <v>323</v>
      </c>
      <c r="AG324">
        <v>100324</v>
      </c>
      <c r="AH324">
        <v>324</v>
      </c>
      <c r="AI324" t="b">
        <f t="shared" si="5"/>
        <v>1</v>
      </c>
      <c r="AJ324" t="b">
        <f>COUNTBLANK(metadata!B324:AB324)=COLUMNS(metadata!B324:AB324)</f>
        <v>1</v>
      </c>
      <c r="AK324" t="str">
        <v/>
      </c>
      <c r="AM324" t="b">
        <f ca="1">AND(IF(metadata!B324="",FALSE,TRUE),COUNTIF(metadata!B:B, metadata!B324) = 1,NOT(ISERROR(SUMPRODUCT(SEARCH(MID(metadata!B324,ROW(INDIRECT("1:"&amp;LEN(metadata!B324))), 1),"0123456789abcdefghijklmnopqrstuvwxyzABCDEFGHIJKLMNOPQRSTUVWXYZ.")))))</f>
        <v>0</v>
      </c>
      <c r="AN324" t="b">
        <f ca="1">OR(AND(IF(metadata!C324="",FALSE,TRUE),OR(EXACT(metadata!C324,"missing: not collected"),EXACT(metadata!C324,"missing: not provided"),EXACT(metadata!C324,"missing: restricted access"))),AND(IF(metadata!C324="",FALSE,TRUE),AND(AND(IFERROR(INT(LEFT(metadata!C324,4))&gt;1900,FALSE),IFERROR(INT(LEFT(metadata!C324,4))&lt;=YEAR(NOW()),FALSE)), OR(MID(metadata!C324,5,1)="", AND(AND(MID(metadata!C324,5,1)="-",IFERROR(INT(MID(metadata!C324,6,1))&gt;=0,FALSE),IFERROR(INT(MID(metadata!C324,6,1))&lt;=1,FALSE),NOT(MID(metadata!C324,7,1)=""),IFERROR(INT(MID(metadata!C324,6,2))&gt;=1,FALSE),IFERROR(INT(MID(metadata!C324,6,2))&lt;=12,FALSE)), OR(MID(metadata!C324,8,1)="", AND(AND(MID(metadata!C324,8,1)="-",IFERROR(INT(MID(metadata!C324,9,1))&gt;=0,FALSE),IFERROR(INT(MID(metadata!C324,9,1))&lt;=3,FALSE),NOT(MID(metadata!C324,10,1)=""),IFERROR(INT(MID(metadata!C324,9,2))&gt;=1,FALSE),IFERROR(INT(MID(metadata!C324,9,2))&lt;=31,FALSE)), OR(MID(metadata!C324,11,1)="", AND(AND(MID(metadata!C324,11,1)=" ",IFERROR(INT(MID(metadata!C324,12,1))&gt;=0,FALSE),IFERROR(INT(MID(metadata!C324,12,1))&lt;=2,FALSE),NOT(MID(metadata!C324,13,1)=""),IFERROR(INT(MID(metadata!C324,12,2))&gt;=0,FALSE),IFERROR(INT(MID(metadata!C324,12,2))&lt;=23,FALSE)), OR(MID(metadata!C324,14,1)="", AND(AND(MID(metadata!C324,14,1)=":",IFERROR(INT(MID(metadata!C324,15,1))&gt;=0,FALSE),IFERROR(INT(MID(metadata!C324,15,1))&lt;=5,FALSE),NOT(MID(metadata!C324,16,1)=""),IFERROR(INT(MID(metadata!C324,15,2))&gt;=0,FALSE),IFERROR(INT(MID(metadata!C324,15,2))&lt;=59,FALSE)), OR(MID(metadata!C324,17,1)="", AND(AND(MID(metadata!C324,17,1)=":",IFERROR(INT(MID(metadata!C324,18,1))&gt;=0,FALSE),IFERROR(INT(MID(metadata!C324,18,1))&lt;=5,FALSE),NOT(MID(metadata!C324,19,1)=""),IFERROR(INT(MID(metadata!C324,18,2))&gt;=0,FALSE),IFERROR(INT(MID(metadata!C324,18,2))&lt;=59,FALSE)), LEN(metadata!C324)&lt;=19)))))))))))))</f>
        <v>0</v>
      </c>
      <c r="AO324" t="b">
        <f>AND(IF(metadata!D324="",FALSE,TRUE),EXACT(metadata!D324,"Not applicable"))</f>
        <v>0</v>
      </c>
      <c r="AP324" t="b">
        <f>IF(metadata!E324="",FALSE,TRUE)</f>
        <v>0</v>
      </c>
      <c r="AQ324" t="b">
        <f>OR(AND(IF(metadata!F324="",FALSE,TRUE),OR(EXACT(metadata!F324,"missing: not collected"),EXACT(metadata!F324,"missing: not provided"))),AND(IF(metadata!F324="",FALSE,TRUE),OR(EXACT(metadata!F324,"TRUE"),EXACT(metadata!F324,"FALSE"))))</f>
        <v>0</v>
      </c>
      <c r="AR324" t="b">
        <f>OR(AND(IF(metadata!G324="",FALSE,TRUE),OR(EXACT(metadata!G324,"missing: not collected"),EXACT(metadata!G324,"missing: not provided"),EXACT(metadata!G324,"missing: restricted access"))),AND(IF(metadata!G324="",FALSE,ISNUMBER(VALUE(metadata!G324))),metadata!G324&gt;=-413))</f>
        <v>0</v>
      </c>
      <c r="AS324" t="b">
        <f>AND(IF(metadata!H324="",FALSE,TRUE),EXACT(metadata!H324,"meters"))</f>
        <v>0</v>
      </c>
      <c r="AT324" t="b">
        <f>AND(IF(metadata!I324="",FALSE,TRUE),OR(EXACT(metadata!I324,"Host-associated"),EXACT(metadata!I324,"Free-living")))</f>
        <v>0</v>
      </c>
      <c r="AU324" t="b">
        <f>AND(IF(metadata!J324="",FALSE,TRUE),OR(EXACT(metadata!J324,"Animal"),EXACT(metadata!J324,"Fungus"),EXACT(metadata!J324,"Plant"),EXACT(metadata!J324,"Saline"),EXACT(metadata!J324,"Non-saline")))</f>
        <v>0</v>
      </c>
      <c r="AV324" t="b">
        <f>AND(IF(metadata!K324="",FALSE,TRUE),OR(EXACT(metadata!K324,"Plant secretion"),EXACT(metadata!K324,"Plant rhizosphere"),EXACT(metadata!K324,"Plant surface"),EXACT(metadata!K324,"Plant corpus"),EXACT(metadata!K324,"Fungus surface"),EXACT(metadata!K324,"Fungus corpus"),EXACT(metadata!K324,"Animal surface"),EXACT(metadata!K324,"Animal proximal gut"),EXACT(metadata!K324,"Animal corpus"),EXACT(metadata!K324,"Animal distal gut"),EXACT(metadata!K324,"Animal secretion"),EXACT(metadata!K324,"Sub-surface (non-saline)"),EXACT(metadata!K324,"Surface (non-saline)"),EXACT(metadata!K324,"Water (non-saline)"),EXACT(metadata!K324,"Soil (non-saline)"),EXACT(metadata!K324,"Aerosol (non-saline)"),EXACT(metadata!K324,"Sediment (non-saline)"),EXACT(metadata!K324,"Surface (saline)"),EXACT(metadata!K324,"Water (saline)"),EXACT(metadata!K324,"Hypersaline (saline)"),EXACT(metadata!K324,"Aerosol (saline)"),EXACT(metadata!K324,"Sediment (saline)")))</f>
        <v>0</v>
      </c>
      <c r="AW324" t="b">
        <f>IF(metadata!L324="",FALSE,TRUE)</f>
        <v>0</v>
      </c>
      <c r="AX324" t="b">
        <f>IF(metadata!M324="",FALSE,TRUE)</f>
        <v>0</v>
      </c>
      <c r="AY324" t="b">
        <f>IF(metadata!N324="",FALSE,TRUE)</f>
        <v>0</v>
      </c>
      <c r="AZ324" t="b">
        <f>OR(AND(IF(metadata!O324="",FALSE,TRUE),OR(EXACT(metadata!O324,"missing: not collected"),EXACT(metadata!O324,"missing: not provided"),EXACT(metadata!O324,"missing: restricted access"))),AND(IF(metadata!O324="",FALSE,TRUE),OR(EXACT(metadata!O324,"air"),EXACT(metadata!O324,"built environment"),EXACT(metadata!O324,"host-associated"),EXACT(metadata!O324,"human-associated"),EXACT(metadata!O324,"human-skin"),EXACT(metadata!O324,"human-oral"),EXACT(metadata!O324,"human-gut"),EXACT(metadata!O324,"human-vaginal"),EXACT(metadata!O324,"microbial mat/biofilm"),EXACT(metadata!O324,"misc environment"),EXACT(metadata!O324,"plant-associated"),EXACT(metadata!O324,"sediment"),EXACT(metadata!O324,"soil"),EXACT(metadata!O324,"wastewater/sludge"),EXACT(metadata!O324,"water"))))</f>
        <v>0</v>
      </c>
      <c r="BA324" t="b">
        <f>IF(metadata!P324="",FALSE,TRUE)</f>
        <v>0</v>
      </c>
      <c r="BB324" t="b">
        <f>IF(metadata!Q324="",FALSE,TRUE)</f>
        <v>0</v>
      </c>
      <c r="BC324" t="b">
        <f>OR(AND(IF(metadata!R324="",FALSE,TRUE),OR(EXACT(metadata!R324,"missing: not collected"),EXACT(metadata!R324,"missing: not provided"),EXACT(metadata!R324,"missing: restricted access"))),AND(IF(metadata!R324="",FALSE,ISNUMBER(VALUE(metadata!R324))),metadata!R324&gt;=-90,metadata!R324&lt;=90))</f>
        <v>0</v>
      </c>
      <c r="BD324" t="b">
        <f>AND(IF(metadata!S324="",FALSE,TRUE),EXACT(metadata!S324,"Decimal degrees"))</f>
        <v>0</v>
      </c>
      <c r="BE324" t="b">
        <f>OR(AND(IF(metadata!T324="",FALSE,TRUE),OR(EXACT(metadata!T324,"missing: not collected"),EXACT(metadata!T324,"missing: not provided"),EXACT(metadata!T324,"missing: restricted access"))),AND(IF(metadata!T324="",FALSE,ISNUMBER(VALUE(metadata!T324))),metadata!T324&gt;=-180,metadata!T324&lt;=180))</f>
        <v>0</v>
      </c>
      <c r="BF324" t="b">
        <f>AND(IF(metadata!U324="",FALSE,TRUE),EXACT(metadata!U324,"Decimal degrees"))</f>
        <v>0</v>
      </c>
      <c r="BG324" t="b">
        <f>IF(metadata!V324="",FALSE,TRUE)</f>
        <v>0</v>
      </c>
      <c r="BH324" t="b">
        <f>OR(AND(IF(metadata!W324="",FALSE,TRUE),OR(EXACT(metadata!W324,"missing: not collected"),EXACT(metadata!W324,"missing: not provided"),EXACT(metadata!W324,"missing: restricted access"))),AND(IF(metadata!W324="",FALSE,TRUE),OR(EXACT(metadata!W324,"TRUE"),EXACT(metadata!W324,"FALSE"))))</f>
        <v>0</v>
      </c>
      <c r="BI324" t="b">
        <f>AND(IF(metadata!X324="",FALSE,TRUE),EXACT(metadata!X324,"other"))</f>
        <v>0</v>
      </c>
      <c r="BJ324" t="b">
        <f>IF(metadata!Y324="",FALSE,TRUE)</f>
        <v>0</v>
      </c>
      <c r="BK324" t="b">
        <f>OR(AND(IF(metadata!Z324="",FALSE,TRUE),OR(EXACT(metadata!Z324,"missing: not collected"),EXACT(metadata!Z324,"missing: not provided"))),AND(IF(metadata!Z324="",FALSE,IF(ISERROR(INT(metadata!Z324)),FALSE,INT(metadata!Z324)=metadata!Z324)),metadata!Z324&gt;0))</f>
        <v>0</v>
      </c>
      <c r="BL324" t="b">
        <f>AND(IF(metadata!AA324="",FALSE,TRUE),EXACT(metadata!AA324,"Not applicable"))</f>
        <v>0</v>
      </c>
      <c r="BM324" t="b">
        <f>IF(metadata!AB324="",FALSE,TRUE)</f>
        <v>0</v>
      </c>
    </row>
    <row r="325" spans="1:65" x14ac:dyDescent="0.2">
      <c r="A325" s="5" t="str">
        <f ca="1">IF(B325=" "," ",HYPERLINK(CONCATENATE("#metadata!",ADDRESS(INDEX($AH$2:$AH$1001,MATCH(ROWS($AF$2:AF325),$AF$2:$AF$1001,0),0),1)),INDEX($AK$2:$AK$1001,MATCH(ROWS($AF$2:AF325),$AF$2:$AF$1001,0),0)))</f>
        <v xml:space="preserve"> </v>
      </c>
      <c r="B325" s="4" t="str">
        <f ca="1">IF(OR(INDEX($AG$2:$AG$1001,MATCH(ROWS($AF$2:AF325),$AF$2:$AF$1001,0),1)&gt;=100000,INDEX($AM$1005:$BM$1005,1,MATCH(COLUMNS($AM$1006:AM1006),$AM$1006:$BM$1006,0))&gt;=100000), " ",IF(INDEX($AM$2:$BM$1001,MATCH(ROWS($AF$2:AF325),$AF$2:$AF$1001,0),MATCH(COLUMNS($AM$1006:AM1006),$AM$1006:$BM$1006,0)), HYPERLINK("#",""), HYPERLINK(CONCATENATE("#metadata!", ADDRESS(INDEX($AH$2:$AH$1001,MATCH(ROWS($AF$2:AF325),$AF$2:$AF$1001,0),0), INDEX($AM$1004:$BM$1004,1,MATCH(COLUMNS($AM$1006:AM1006),$AM$1006:$BM$1006,0)))),"Fix")))</f>
        <v xml:space="preserve"> </v>
      </c>
      <c r="C325" s="4" t="str">
        <f ca="1">IF(OR(INDEX($AG$2:$AG$1001,MATCH(ROWS($AF$2:AF325),$AF$2:$AF$1001,0),1)&gt;=100000,INDEX($AM$1005:$BM$1005,1,MATCH(COLUMNS($AM$1006:AN1006),$AM$1006:$BM$1006,0))&gt;=100000), " ",IF(INDEX($AM$2:$BM$1001,MATCH(ROWS($AF$2:AF325),$AF$2:$AF$1001,0),MATCH(COLUMNS($AM$1006:AN1006),$AM$1006:$BM$1006,0)), HYPERLINK("#",""), HYPERLINK(CONCATENATE("#metadata!", ADDRESS(INDEX($AH$2:$AH$1001,MATCH(ROWS($AF$2:AF325),$AF$2:$AF$1001,0),0), INDEX($AM$1004:$BM$1004,1,MATCH(COLUMNS($AM$1006:AN1006),$AM$1006:$BM$1006,0)))),"Fix")))</f>
        <v xml:space="preserve"> </v>
      </c>
      <c r="D325" s="4" t="str">
        <f ca="1">IF(OR(INDEX($AG$2:$AG$1001,MATCH(ROWS($AF$2:AF325),$AF$2:$AF$1001,0),1)&gt;=100000,INDEX($AM$1005:$BM$1005,1,MATCH(COLUMNS($AM$1006:AO1006),$AM$1006:$BM$1006,0))&gt;=100000), " ",IF(INDEX($AM$2:$BM$1001,MATCH(ROWS($AF$2:AF325),$AF$2:$AF$1001,0),MATCH(COLUMNS($AM$1006:AO1006),$AM$1006:$BM$1006,0)), HYPERLINK("#",""), HYPERLINK(CONCATENATE("#metadata!", ADDRESS(INDEX($AH$2:$AH$1001,MATCH(ROWS($AF$2:AF325),$AF$2:$AF$1001,0),0), INDEX($AM$1004:$BM$1004,1,MATCH(COLUMNS($AM$1006:AO1006),$AM$1006:$BM$1006,0)))),"Fix")))</f>
        <v xml:space="preserve"> </v>
      </c>
      <c r="E325" s="4" t="str">
        <f ca="1">IF(OR(INDEX($AG$2:$AG$1001,MATCH(ROWS($AF$2:AF325),$AF$2:$AF$1001,0),1)&gt;=100000,INDEX($AM$1005:$BM$1005,1,MATCH(COLUMNS($AM$1006:AP1006),$AM$1006:$BM$1006,0))&gt;=100000), " ",IF(INDEX($AM$2:$BM$1001,MATCH(ROWS($AF$2:AF325),$AF$2:$AF$1001,0),MATCH(COLUMNS($AM$1006:AP1006),$AM$1006:$BM$1006,0)), HYPERLINK("#",""), HYPERLINK(CONCATENATE("#metadata!", ADDRESS(INDEX($AH$2:$AH$1001,MATCH(ROWS($AF$2:AF325),$AF$2:$AF$1001,0),0), INDEX($AM$1004:$BM$1004,1,MATCH(COLUMNS($AM$1006:AP1006),$AM$1006:$BM$1006,0)))),"Fix")))</f>
        <v xml:space="preserve"> </v>
      </c>
      <c r="F325" s="4" t="str">
        <f ca="1">IF(OR(INDEX($AG$2:$AG$1001,MATCH(ROWS($AF$2:AF325),$AF$2:$AF$1001,0),1)&gt;=100000,INDEX($AM$1005:$BM$1005,1,MATCH(COLUMNS($AM$1006:AQ1006),$AM$1006:$BM$1006,0))&gt;=100000), " ",IF(INDEX($AM$2:$BM$1001,MATCH(ROWS($AF$2:AF325),$AF$2:$AF$1001,0),MATCH(COLUMNS($AM$1006:AQ1006),$AM$1006:$BM$1006,0)), HYPERLINK("#",""), HYPERLINK(CONCATENATE("#metadata!", ADDRESS(INDEX($AH$2:$AH$1001,MATCH(ROWS($AF$2:AF325),$AF$2:$AF$1001,0),0), INDEX($AM$1004:$BM$1004,1,MATCH(COLUMNS($AM$1006:AQ1006),$AM$1006:$BM$1006,0)))),"Fix")))</f>
        <v xml:space="preserve"> </v>
      </c>
      <c r="G325" s="4" t="str">
        <f ca="1">IF(OR(INDEX($AG$2:$AG$1001,MATCH(ROWS($AF$2:AF325),$AF$2:$AF$1001,0),1)&gt;=100000,INDEX($AM$1005:$BM$1005,1,MATCH(COLUMNS($AM$1006:AR1006),$AM$1006:$BM$1006,0))&gt;=100000), " ",IF(INDEX($AM$2:$BM$1001,MATCH(ROWS($AF$2:AF325),$AF$2:$AF$1001,0),MATCH(COLUMNS($AM$1006:AR1006),$AM$1006:$BM$1006,0)), HYPERLINK("#",""), HYPERLINK(CONCATENATE("#metadata!", ADDRESS(INDEX($AH$2:$AH$1001,MATCH(ROWS($AF$2:AF325),$AF$2:$AF$1001,0),0), INDEX($AM$1004:$BM$1004,1,MATCH(COLUMNS($AM$1006:AR1006),$AM$1006:$BM$1006,0)))),"Fix")))</f>
        <v xml:space="preserve"> </v>
      </c>
      <c r="H325" s="4" t="str">
        <f ca="1">IF(OR(INDEX($AG$2:$AG$1001,MATCH(ROWS($AF$2:AF325),$AF$2:$AF$1001,0),1)&gt;=100000,INDEX($AM$1005:$BM$1005,1,MATCH(COLUMNS($AM$1006:AS1006),$AM$1006:$BM$1006,0))&gt;=100000), " ",IF(INDEX($AM$2:$BM$1001,MATCH(ROWS($AF$2:AF325),$AF$2:$AF$1001,0),MATCH(COLUMNS($AM$1006:AS1006),$AM$1006:$BM$1006,0)), HYPERLINK("#",""), HYPERLINK(CONCATENATE("#metadata!", ADDRESS(INDEX($AH$2:$AH$1001,MATCH(ROWS($AF$2:AF325),$AF$2:$AF$1001,0),0), INDEX($AM$1004:$BM$1004,1,MATCH(COLUMNS($AM$1006:AS1006),$AM$1006:$BM$1006,0)))),"Fix")))</f>
        <v xml:space="preserve"> </v>
      </c>
      <c r="I325" s="4" t="str">
        <f ca="1">IF(OR(INDEX($AG$2:$AG$1001,MATCH(ROWS($AF$2:AF325),$AF$2:$AF$1001,0),1)&gt;=100000,INDEX($AM$1005:$BM$1005,1,MATCH(COLUMNS($AM$1006:AT1006),$AM$1006:$BM$1006,0))&gt;=100000), " ",IF(INDEX($AM$2:$BM$1001,MATCH(ROWS($AF$2:AF325),$AF$2:$AF$1001,0),MATCH(COLUMNS($AM$1006:AT1006),$AM$1006:$BM$1006,0)), HYPERLINK("#",""), HYPERLINK(CONCATENATE("#metadata!", ADDRESS(INDEX($AH$2:$AH$1001,MATCH(ROWS($AF$2:AF325),$AF$2:$AF$1001,0),0), INDEX($AM$1004:$BM$1004,1,MATCH(COLUMNS($AM$1006:AT1006),$AM$1006:$BM$1006,0)))),"Fix")))</f>
        <v xml:space="preserve"> </v>
      </c>
      <c r="J325" s="4" t="str">
        <f ca="1">IF(OR(INDEX($AG$2:$AG$1001,MATCH(ROWS($AF$2:AF325),$AF$2:$AF$1001,0),1)&gt;=100000,INDEX($AM$1005:$BM$1005,1,MATCH(COLUMNS($AM$1006:AU1006),$AM$1006:$BM$1006,0))&gt;=100000), " ",IF(INDEX($AM$2:$BM$1001,MATCH(ROWS($AF$2:AF325),$AF$2:$AF$1001,0),MATCH(COLUMNS($AM$1006:AU1006),$AM$1006:$BM$1006,0)), HYPERLINK("#",""), HYPERLINK(CONCATENATE("#metadata!", ADDRESS(INDEX($AH$2:$AH$1001,MATCH(ROWS($AF$2:AF325),$AF$2:$AF$1001,0),0), INDEX($AM$1004:$BM$1004,1,MATCH(COLUMNS($AM$1006:AU1006),$AM$1006:$BM$1006,0)))),"Fix")))</f>
        <v xml:space="preserve"> </v>
      </c>
      <c r="K325" s="4" t="str">
        <f ca="1">IF(OR(INDEX($AG$2:$AG$1001,MATCH(ROWS($AF$2:AF325),$AF$2:$AF$1001,0),1)&gt;=100000,INDEX($AM$1005:$BM$1005,1,MATCH(COLUMNS($AM$1006:AV1006),$AM$1006:$BM$1006,0))&gt;=100000), " ",IF(INDEX($AM$2:$BM$1001,MATCH(ROWS($AF$2:AF325),$AF$2:$AF$1001,0),MATCH(COLUMNS($AM$1006:AV1006),$AM$1006:$BM$1006,0)), HYPERLINK("#",""), HYPERLINK(CONCATENATE("#metadata!", ADDRESS(INDEX($AH$2:$AH$1001,MATCH(ROWS($AF$2:AF325),$AF$2:$AF$1001,0),0), INDEX($AM$1004:$BM$1004,1,MATCH(COLUMNS($AM$1006:AV1006),$AM$1006:$BM$1006,0)))),"Fix")))</f>
        <v xml:space="preserve"> </v>
      </c>
      <c r="L325" s="4" t="str">
        <f ca="1">IF(OR(INDEX($AG$2:$AG$1001,MATCH(ROWS($AF$2:AF325),$AF$2:$AF$1001,0),1)&gt;=100000,INDEX($AM$1005:$BM$1005,1,MATCH(COLUMNS($AM$1006:AW1006),$AM$1006:$BM$1006,0))&gt;=100000), " ",IF(INDEX($AM$2:$BM$1001,MATCH(ROWS($AF$2:AF325),$AF$2:$AF$1001,0),MATCH(COLUMNS($AM$1006:AW1006),$AM$1006:$BM$1006,0)), HYPERLINK("#",""), HYPERLINK(CONCATENATE("#metadata!", ADDRESS(INDEX($AH$2:$AH$1001,MATCH(ROWS($AF$2:AF325),$AF$2:$AF$1001,0),0), INDEX($AM$1004:$BM$1004,1,MATCH(COLUMNS($AM$1006:AW1006),$AM$1006:$BM$1006,0)))),"Fix")))</f>
        <v xml:space="preserve"> </v>
      </c>
      <c r="M325" s="4" t="str">
        <f ca="1">IF(OR(INDEX($AG$2:$AG$1001,MATCH(ROWS($AF$2:AF325),$AF$2:$AF$1001,0),1)&gt;=100000,INDEX($AM$1005:$BM$1005,1,MATCH(COLUMNS($AM$1006:AX1006),$AM$1006:$BM$1006,0))&gt;=100000), " ",IF(INDEX($AM$2:$BM$1001,MATCH(ROWS($AF$2:AF325),$AF$2:$AF$1001,0),MATCH(COLUMNS($AM$1006:AX1006),$AM$1006:$BM$1006,0)), HYPERLINK("#",""), HYPERLINK(CONCATENATE("#metadata!", ADDRESS(INDEX($AH$2:$AH$1001,MATCH(ROWS($AF$2:AF325),$AF$2:$AF$1001,0),0), INDEX($AM$1004:$BM$1004,1,MATCH(COLUMNS($AM$1006:AX1006),$AM$1006:$BM$1006,0)))),"Fix")))</f>
        <v xml:space="preserve"> </v>
      </c>
      <c r="N325" s="4" t="str">
        <f ca="1">IF(OR(INDEX($AG$2:$AG$1001,MATCH(ROWS($AF$2:AF325),$AF$2:$AF$1001,0),1)&gt;=100000,INDEX($AM$1005:$BM$1005,1,MATCH(COLUMNS($AM$1006:AY1006),$AM$1006:$BM$1006,0))&gt;=100000), " ",IF(INDEX($AM$2:$BM$1001,MATCH(ROWS($AF$2:AF325),$AF$2:$AF$1001,0),MATCH(COLUMNS($AM$1006:AY1006),$AM$1006:$BM$1006,0)), HYPERLINK("#",""), HYPERLINK(CONCATENATE("#metadata!", ADDRESS(INDEX($AH$2:$AH$1001,MATCH(ROWS($AF$2:AF325),$AF$2:$AF$1001,0),0), INDEX($AM$1004:$BM$1004,1,MATCH(COLUMNS($AM$1006:AY1006),$AM$1006:$BM$1006,0)))),"Fix")))</f>
        <v xml:space="preserve"> </v>
      </c>
      <c r="O325" s="4" t="str">
        <f ca="1">IF(OR(INDEX($AG$2:$AG$1001,MATCH(ROWS($AF$2:AF325),$AF$2:$AF$1001,0),1)&gt;=100000,INDEX($AM$1005:$BM$1005,1,MATCH(COLUMNS($AM$1006:AZ1006),$AM$1006:$BM$1006,0))&gt;=100000), " ",IF(INDEX($AM$2:$BM$1001,MATCH(ROWS($AF$2:AF325),$AF$2:$AF$1001,0),MATCH(COLUMNS($AM$1006:AZ1006),$AM$1006:$BM$1006,0)), HYPERLINK("#",""), HYPERLINK(CONCATENATE("#metadata!", ADDRESS(INDEX($AH$2:$AH$1001,MATCH(ROWS($AF$2:AF325),$AF$2:$AF$1001,0),0), INDEX($AM$1004:$BM$1004,1,MATCH(COLUMNS($AM$1006:AZ1006),$AM$1006:$BM$1006,0)))),"Fix")))</f>
        <v xml:space="preserve"> </v>
      </c>
      <c r="P325" s="4" t="str">
        <f ca="1">IF(OR(INDEX($AG$2:$AG$1001,MATCH(ROWS($AF$2:AF325),$AF$2:$AF$1001,0),1)&gt;=100000,INDEX($AM$1005:$BM$1005,1,MATCH(COLUMNS($AM$1006:BA1006),$AM$1006:$BM$1006,0))&gt;=100000), " ",IF(INDEX($AM$2:$BM$1001,MATCH(ROWS($AF$2:AF325),$AF$2:$AF$1001,0),MATCH(COLUMNS($AM$1006:BA1006),$AM$1006:$BM$1006,0)), HYPERLINK("#",""), HYPERLINK(CONCATENATE("#metadata!", ADDRESS(INDEX($AH$2:$AH$1001,MATCH(ROWS($AF$2:AF325),$AF$2:$AF$1001,0),0), INDEX($AM$1004:$BM$1004,1,MATCH(COLUMNS($AM$1006:BA1006),$AM$1006:$BM$1006,0)))),"Fix")))</f>
        <v xml:space="preserve"> </v>
      </c>
      <c r="Q325" s="4" t="str">
        <f ca="1">IF(OR(INDEX($AG$2:$AG$1001,MATCH(ROWS($AF$2:AF325),$AF$2:$AF$1001,0),1)&gt;=100000,INDEX($AM$1005:$BM$1005,1,MATCH(COLUMNS($AM$1006:BB1006),$AM$1006:$BM$1006,0))&gt;=100000), " ",IF(INDEX($AM$2:$BM$1001,MATCH(ROWS($AF$2:AF325),$AF$2:$AF$1001,0),MATCH(COLUMNS($AM$1006:BB1006),$AM$1006:$BM$1006,0)), HYPERLINK("#",""), HYPERLINK(CONCATENATE("#metadata!", ADDRESS(INDEX($AH$2:$AH$1001,MATCH(ROWS($AF$2:AF325),$AF$2:$AF$1001,0),0), INDEX($AM$1004:$BM$1004,1,MATCH(COLUMNS($AM$1006:BB1006),$AM$1006:$BM$1006,0)))),"Fix")))</f>
        <v xml:space="preserve"> </v>
      </c>
      <c r="R325" s="4" t="str">
        <f ca="1">IF(OR(INDEX($AG$2:$AG$1001,MATCH(ROWS($AF$2:AF325),$AF$2:$AF$1001,0),1)&gt;=100000,INDEX($AM$1005:$BM$1005,1,MATCH(COLUMNS($AM$1006:BC1006),$AM$1006:$BM$1006,0))&gt;=100000), " ",IF(INDEX($AM$2:$BM$1001,MATCH(ROWS($AF$2:AF325),$AF$2:$AF$1001,0),MATCH(COLUMNS($AM$1006:BC1006),$AM$1006:$BM$1006,0)), HYPERLINK("#",""), HYPERLINK(CONCATENATE("#metadata!", ADDRESS(INDEX($AH$2:$AH$1001,MATCH(ROWS($AF$2:AF325),$AF$2:$AF$1001,0),0), INDEX($AM$1004:$BM$1004,1,MATCH(COLUMNS($AM$1006:BC1006),$AM$1006:$BM$1006,0)))),"Fix")))</f>
        <v xml:space="preserve"> </v>
      </c>
      <c r="S325" s="4" t="str">
        <f ca="1">IF(OR(INDEX($AG$2:$AG$1001,MATCH(ROWS($AF$2:AF325),$AF$2:$AF$1001,0),1)&gt;=100000,INDEX($AM$1005:$BM$1005,1,MATCH(COLUMNS($AM$1006:BD1006),$AM$1006:$BM$1006,0))&gt;=100000), " ",IF(INDEX($AM$2:$BM$1001,MATCH(ROWS($AF$2:AF325),$AF$2:$AF$1001,0),MATCH(COLUMNS($AM$1006:BD1006),$AM$1006:$BM$1006,0)), HYPERLINK("#",""), HYPERLINK(CONCATENATE("#metadata!", ADDRESS(INDEX($AH$2:$AH$1001,MATCH(ROWS($AF$2:AF325),$AF$2:$AF$1001,0),0), INDEX($AM$1004:$BM$1004,1,MATCH(COLUMNS($AM$1006:BD1006),$AM$1006:$BM$1006,0)))),"Fix")))</f>
        <v xml:space="preserve"> </v>
      </c>
      <c r="T325" s="4" t="str">
        <f ca="1">IF(OR(INDEX($AG$2:$AG$1001,MATCH(ROWS($AF$2:AF325),$AF$2:$AF$1001,0),1)&gt;=100000,INDEX($AM$1005:$BM$1005,1,MATCH(COLUMNS($AM$1006:BE1006),$AM$1006:$BM$1006,0))&gt;=100000), " ",IF(INDEX($AM$2:$BM$1001,MATCH(ROWS($AF$2:AF325),$AF$2:$AF$1001,0),MATCH(COLUMNS($AM$1006:BE1006),$AM$1006:$BM$1006,0)), HYPERLINK("#",""), HYPERLINK(CONCATENATE("#metadata!", ADDRESS(INDEX($AH$2:$AH$1001,MATCH(ROWS($AF$2:AF325),$AF$2:$AF$1001,0),0), INDEX($AM$1004:$BM$1004,1,MATCH(COLUMNS($AM$1006:BE1006),$AM$1006:$BM$1006,0)))),"Fix")))</f>
        <v xml:space="preserve"> </v>
      </c>
      <c r="U325" s="4" t="str">
        <f ca="1">IF(OR(INDEX($AG$2:$AG$1001,MATCH(ROWS($AF$2:AF325),$AF$2:$AF$1001,0),1)&gt;=100000,INDEX($AM$1005:$BM$1005,1,MATCH(COLUMNS($AM$1006:BF1006),$AM$1006:$BM$1006,0))&gt;=100000), " ",IF(INDEX($AM$2:$BM$1001,MATCH(ROWS($AF$2:AF325),$AF$2:$AF$1001,0),MATCH(COLUMNS($AM$1006:BF1006),$AM$1006:$BM$1006,0)), HYPERLINK("#",""), HYPERLINK(CONCATENATE("#metadata!", ADDRESS(INDEX($AH$2:$AH$1001,MATCH(ROWS($AF$2:AF325),$AF$2:$AF$1001,0),0), INDEX($AM$1004:$BM$1004,1,MATCH(COLUMNS($AM$1006:BF1006),$AM$1006:$BM$1006,0)))),"Fix")))</f>
        <v xml:space="preserve"> </v>
      </c>
      <c r="V325" s="4" t="str">
        <f ca="1">IF(OR(INDEX($AG$2:$AG$1001,MATCH(ROWS($AF$2:AF325),$AF$2:$AF$1001,0),1)&gt;=100000,INDEX($AM$1005:$BM$1005,1,MATCH(COLUMNS($AM$1006:BG1006),$AM$1006:$BM$1006,0))&gt;=100000), " ",IF(INDEX($AM$2:$BM$1001,MATCH(ROWS($AF$2:AF325),$AF$2:$AF$1001,0),MATCH(COLUMNS($AM$1006:BG1006),$AM$1006:$BM$1006,0)), HYPERLINK("#",""), HYPERLINK(CONCATENATE("#metadata!", ADDRESS(INDEX($AH$2:$AH$1001,MATCH(ROWS($AF$2:AF325),$AF$2:$AF$1001,0),0), INDEX($AM$1004:$BM$1004,1,MATCH(COLUMNS($AM$1006:BG1006),$AM$1006:$BM$1006,0)))),"Fix")))</f>
        <v xml:space="preserve"> </v>
      </c>
      <c r="W325" s="4" t="str">
        <f ca="1">IF(OR(INDEX($AG$2:$AG$1001,MATCH(ROWS($AF$2:AF325),$AF$2:$AF$1001,0),1)&gt;=100000,INDEX($AM$1005:$BM$1005,1,MATCH(COLUMNS($AM$1006:BH1006),$AM$1006:$BM$1006,0))&gt;=100000), " ",IF(INDEX($AM$2:$BM$1001,MATCH(ROWS($AF$2:AF325),$AF$2:$AF$1001,0),MATCH(COLUMNS($AM$1006:BH1006),$AM$1006:$BM$1006,0)), HYPERLINK("#",""), HYPERLINK(CONCATENATE("#metadata!", ADDRESS(INDEX($AH$2:$AH$1001,MATCH(ROWS($AF$2:AF325),$AF$2:$AF$1001,0),0), INDEX($AM$1004:$BM$1004,1,MATCH(COLUMNS($AM$1006:BH1006),$AM$1006:$BM$1006,0)))),"Fix")))</f>
        <v xml:space="preserve"> </v>
      </c>
      <c r="X325" s="4" t="str">
        <f ca="1">IF(OR(INDEX($AG$2:$AG$1001,MATCH(ROWS($AF$2:AF325),$AF$2:$AF$1001,0),1)&gt;=100000,INDEX($AM$1005:$BM$1005,1,MATCH(COLUMNS($AM$1006:BI1006),$AM$1006:$BM$1006,0))&gt;=100000), " ",IF(INDEX($AM$2:$BM$1001,MATCH(ROWS($AF$2:AF325),$AF$2:$AF$1001,0),MATCH(COLUMNS($AM$1006:BI1006),$AM$1006:$BM$1006,0)), HYPERLINK("#",""), HYPERLINK(CONCATENATE("#metadata!", ADDRESS(INDEX($AH$2:$AH$1001,MATCH(ROWS($AF$2:AF325),$AF$2:$AF$1001,0),0), INDEX($AM$1004:$BM$1004,1,MATCH(COLUMNS($AM$1006:BI1006),$AM$1006:$BM$1006,0)))),"Fix")))</f>
        <v xml:space="preserve"> </v>
      </c>
      <c r="Y325" s="4" t="str">
        <f ca="1">IF(OR(INDEX($AG$2:$AG$1001,MATCH(ROWS($AF$2:AF325),$AF$2:$AF$1001,0),1)&gt;=100000,INDEX($AM$1005:$BM$1005,1,MATCH(COLUMNS($AM$1006:BJ1006),$AM$1006:$BM$1006,0))&gt;=100000), " ",IF(INDEX($AM$2:$BM$1001,MATCH(ROWS($AF$2:AF325),$AF$2:$AF$1001,0),MATCH(COLUMNS($AM$1006:BJ1006),$AM$1006:$BM$1006,0)), HYPERLINK("#",""), HYPERLINK(CONCATENATE("#metadata!", ADDRESS(INDEX($AH$2:$AH$1001,MATCH(ROWS($AF$2:AF325),$AF$2:$AF$1001,0),0), INDEX($AM$1004:$BM$1004,1,MATCH(COLUMNS($AM$1006:BJ1006),$AM$1006:$BM$1006,0)))),"Fix")))</f>
        <v xml:space="preserve"> </v>
      </c>
      <c r="Z325" s="4" t="str">
        <f ca="1">IF(OR(INDEX($AG$2:$AG$1001,MATCH(ROWS($AF$2:AF325),$AF$2:$AF$1001,0),1)&gt;=100000,INDEX($AM$1005:$BM$1005,1,MATCH(COLUMNS($AM$1006:BK1006),$AM$1006:$BM$1006,0))&gt;=100000), " ",IF(INDEX($AM$2:$BM$1001,MATCH(ROWS($AF$2:AF325),$AF$2:$AF$1001,0),MATCH(COLUMNS($AM$1006:BK1006),$AM$1006:$BM$1006,0)), HYPERLINK("#",""), HYPERLINK(CONCATENATE("#metadata!", ADDRESS(INDEX($AH$2:$AH$1001,MATCH(ROWS($AF$2:AF325),$AF$2:$AF$1001,0),0), INDEX($AM$1004:$BM$1004,1,MATCH(COLUMNS($AM$1006:BK1006),$AM$1006:$BM$1006,0)))),"Fix")))</f>
        <v xml:space="preserve"> </v>
      </c>
      <c r="AA325" s="4" t="str">
        <f ca="1">IF(OR(INDEX($AG$2:$AG$1001,MATCH(ROWS($AF$2:AF325),$AF$2:$AF$1001,0),1)&gt;=100000,INDEX($AM$1005:$BM$1005,1,MATCH(COLUMNS($AM$1006:BL1006),$AM$1006:$BM$1006,0))&gt;=100000), " ",IF(INDEX($AM$2:$BM$1001,MATCH(ROWS($AF$2:AF325),$AF$2:$AF$1001,0),MATCH(COLUMNS($AM$1006:BL1006),$AM$1006:$BM$1006,0)), HYPERLINK("#",""), HYPERLINK(CONCATENATE("#metadata!", ADDRESS(INDEX($AH$2:$AH$1001,MATCH(ROWS($AF$2:AF325),$AF$2:$AF$1001,0),0), INDEX($AM$1004:$BM$1004,1,MATCH(COLUMNS($AM$1006:BL1006),$AM$1006:$BM$1006,0)))),"Fix")))</f>
        <v xml:space="preserve"> </v>
      </c>
      <c r="AB325" s="4" t="str">
        <f ca="1">IF(OR(INDEX($AG$2:$AG$1001,MATCH(ROWS($AF$2:AF325),$AF$2:$AF$1001,0),1)&gt;=100000,INDEX($AM$1005:$BM$1005,1,MATCH(COLUMNS($AM$1006:BM1006),$AM$1006:$BM$1006,0))&gt;=100000), " ",IF(INDEX($AM$2:$BM$1001,MATCH(ROWS($AF$2:AF325),$AF$2:$AF$1001,0),MATCH(COLUMNS($AM$1006:BM1006),$AM$1006:$BM$1006,0)), HYPERLINK("#",""), HYPERLINK(CONCATENATE("#metadata!", ADDRESS(INDEX($AH$2:$AH$1001,MATCH(ROWS($AF$2:AF325),$AF$2:$AF$1001,0),0), INDEX($AM$1004:$BM$1004,1,MATCH(COLUMNS($AM$1006:BM1006),$AM$1006:$BM$1006,0)))),"Fix")))</f>
        <v xml:space="preserve"> </v>
      </c>
      <c r="AF325">
        <v>324</v>
      </c>
      <c r="AG325">
        <v>100325</v>
      </c>
      <c r="AH325">
        <v>325</v>
      </c>
      <c r="AI325" t="b">
        <f t="shared" si="5"/>
        <v>1</v>
      </c>
      <c r="AJ325" t="b">
        <f>COUNTBLANK(metadata!B325:AB325)=COLUMNS(metadata!B325:AB325)</f>
        <v>1</v>
      </c>
      <c r="AK325" t="str">
        <v/>
      </c>
      <c r="AM325" t="b">
        <f ca="1">AND(IF(metadata!B325="",FALSE,TRUE),COUNTIF(metadata!B:B, metadata!B325) = 1,NOT(ISERROR(SUMPRODUCT(SEARCH(MID(metadata!B325,ROW(INDIRECT("1:"&amp;LEN(metadata!B325))), 1),"0123456789abcdefghijklmnopqrstuvwxyzABCDEFGHIJKLMNOPQRSTUVWXYZ.")))))</f>
        <v>0</v>
      </c>
      <c r="AN325" t="b">
        <f ca="1">OR(AND(IF(metadata!C325="",FALSE,TRUE),OR(EXACT(metadata!C325,"missing: not collected"),EXACT(metadata!C325,"missing: not provided"),EXACT(metadata!C325,"missing: restricted access"))),AND(IF(metadata!C325="",FALSE,TRUE),AND(AND(IFERROR(INT(LEFT(metadata!C325,4))&gt;1900,FALSE),IFERROR(INT(LEFT(metadata!C325,4))&lt;=YEAR(NOW()),FALSE)), OR(MID(metadata!C325,5,1)="", AND(AND(MID(metadata!C325,5,1)="-",IFERROR(INT(MID(metadata!C325,6,1))&gt;=0,FALSE),IFERROR(INT(MID(metadata!C325,6,1))&lt;=1,FALSE),NOT(MID(metadata!C325,7,1)=""),IFERROR(INT(MID(metadata!C325,6,2))&gt;=1,FALSE),IFERROR(INT(MID(metadata!C325,6,2))&lt;=12,FALSE)), OR(MID(metadata!C325,8,1)="", AND(AND(MID(metadata!C325,8,1)="-",IFERROR(INT(MID(metadata!C325,9,1))&gt;=0,FALSE),IFERROR(INT(MID(metadata!C325,9,1))&lt;=3,FALSE),NOT(MID(metadata!C325,10,1)=""),IFERROR(INT(MID(metadata!C325,9,2))&gt;=1,FALSE),IFERROR(INT(MID(metadata!C325,9,2))&lt;=31,FALSE)), OR(MID(metadata!C325,11,1)="", AND(AND(MID(metadata!C325,11,1)=" ",IFERROR(INT(MID(metadata!C325,12,1))&gt;=0,FALSE),IFERROR(INT(MID(metadata!C325,12,1))&lt;=2,FALSE),NOT(MID(metadata!C325,13,1)=""),IFERROR(INT(MID(metadata!C325,12,2))&gt;=0,FALSE),IFERROR(INT(MID(metadata!C325,12,2))&lt;=23,FALSE)), OR(MID(metadata!C325,14,1)="", AND(AND(MID(metadata!C325,14,1)=":",IFERROR(INT(MID(metadata!C325,15,1))&gt;=0,FALSE),IFERROR(INT(MID(metadata!C325,15,1))&lt;=5,FALSE),NOT(MID(metadata!C325,16,1)=""),IFERROR(INT(MID(metadata!C325,15,2))&gt;=0,FALSE),IFERROR(INT(MID(metadata!C325,15,2))&lt;=59,FALSE)), OR(MID(metadata!C325,17,1)="", AND(AND(MID(metadata!C325,17,1)=":",IFERROR(INT(MID(metadata!C325,18,1))&gt;=0,FALSE),IFERROR(INT(MID(metadata!C325,18,1))&lt;=5,FALSE),NOT(MID(metadata!C325,19,1)=""),IFERROR(INT(MID(metadata!C325,18,2))&gt;=0,FALSE),IFERROR(INT(MID(metadata!C325,18,2))&lt;=59,FALSE)), LEN(metadata!C325)&lt;=19)))))))))))))</f>
        <v>0</v>
      </c>
      <c r="AO325" t="b">
        <f>AND(IF(metadata!D325="",FALSE,TRUE),EXACT(metadata!D325,"Not applicable"))</f>
        <v>0</v>
      </c>
      <c r="AP325" t="b">
        <f>IF(metadata!E325="",FALSE,TRUE)</f>
        <v>0</v>
      </c>
      <c r="AQ325" t="b">
        <f>OR(AND(IF(metadata!F325="",FALSE,TRUE),OR(EXACT(metadata!F325,"missing: not collected"),EXACT(metadata!F325,"missing: not provided"))),AND(IF(metadata!F325="",FALSE,TRUE),OR(EXACT(metadata!F325,"TRUE"),EXACT(metadata!F325,"FALSE"))))</f>
        <v>0</v>
      </c>
      <c r="AR325" t="b">
        <f>OR(AND(IF(metadata!G325="",FALSE,TRUE),OR(EXACT(metadata!G325,"missing: not collected"),EXACT(metadata!G325,"missing: not provided"),EXACT(metadata!G325,"missing: restricted access"))),AND(IF(metadata!G325="",FALSE,ISNUMBER(VALUE(metadata!G325))),metadata!G325&gt;=-413))</f>
        <v>0</v>
      </c>
      <c r="AS325" t="b">
        <f>AND(IF(metadata!H325="",FALSE,TRUE),EXACT(metadata!H325,"meters"))</f>
        <v>0</v>
      </c>
      <c r="AT325" t="b">
        <f>AND(IF(metadata!I325="",FALSE,TRUE),OR(EXACT(metadata!I325,"Host-associated"),EXACT(metadata!I325,"Free-living")))</f>
        <v>0</v>
      </c>
      <c r="AU325" t="b">
        <f>AND(IF(metadata!J325="",FALSE,TRUE),OR(EXACT(metadata!J325,"Animal"),EXACT(metadata!J325,"Fungus"),EXACT(metadata!J325,"Plant"),EXACT(metadata!J325,"Saline"),EXACT(metadata!J325,"Non-saline")))</f>
        <v>0</v>
      </c>
      <c r="AV325" t="b">
        <f>AND(IF(metadata!K325="",FALSE,TRUE),OR(EXACT(metadata!K325,"Plant secretion"),EXACT(metadata!K325,"Plant rhizosphere"),EXACT(metadata!K325,"Plant surface"),EXACT(metadata!K325,"Plant corpus"),EXACT(metadata!K325,"Fungus surface"),EXACT(metadata!K325,"Fungus corpus"),EXACT(metadata!K325,"Animal surface"),EXACT(metadata!K325,"Animal proximal gut"),EXACT(metadata!K325,"Animal corpus"),EXACT(metadata!K325,"Animal distal gut"),EXACT(metadata!K325,"Animal secretion"),EXACT(metadata!K325,"Sub-surface (non-saline)"),EXACT(metadata!K325,"Surface (non-saline)"),EXACT(metadata!K325,"Water (non-saline)"),EXACT(metadata!K325,"Soil (non-saline)"),EXACT(metadata!K325,"Aerosol (non-saline)"),EXACT(metadata!K325,"Sediment (non-saline)"),EXACT(metadata!K325,"Surface (saline)"),EXACT(metadata!K325,"Water (saline)"),EXACT(metadata!K325,"Hypersaline (saline)"),EXACT(metadata!K325,"Aerosol (saline)"),EXACT(metadata!K325,"Sediment (saline)")))</f>
        <v>0</v>
      </c>
      <c r="AW325" t="b">
        <f>IF(metadata!L325="",FALSE,TRUE)</f>
        <v>0</v>
      </c>
      <c r="AX325" t="b">
        <f>IF(metadata!M325="",FALSE,TRUE)</f>
        <v>0</v>
      </c>
      <c r="AY325" t="b">
        <f>IF(metadata!N325="",FALSE,TRUE)</f>
        <v>0</v>
      </c>
      <c r="AZ325" t="b">
        <f>OR(AND(IF(metadata!O325="",FALSE,TRUE),OR(EXACT(metadata!O325,"missing: not collected"),EXACT(metadata!O325,"missing: not provided"),EXACT(metadata!O325,"missing: restricted access"))),AND(IF(metadata!O325="",FALSE,TRUE),OR(EXACT(metadata!O325,"air"),EXACT(metadata!O325,"built environment"),EXACT(metadata!O325,"host-associated"),EXACT(metadata!O325,"human-associated"),EXACT(metadata!O325,"human-skin"),EXACT(metadata!O325,"human-oral"),EXACT(metadata!O325,"human-gut"),EXACT(metadata!O325,"human-vaginal"),EXACT(metadata!O325,"microbial mat/biofilm"),EXACT(metadata!O325,"misc environment"),EXACT(metadata!O325,"plant-associated"),EXACT(metadata!O325,"sediment"),EXACT(metadata!O325,"soil"),EXACT(metadata!O325,"wastewater/sludge"),EXACT(metadata!O325,"water"))))</f>
        <v>0</v>
      </c>
      <c r="BA325" t="b">
        <f>IF(metadata!P325="",FALSE,TRUE)</f>
        <v>0</v>
      </c>
      <c r="BB325" t="b">
        <f>IF(metadata!Q325="",FALSE,TRUE)</f>
        <v>0</v>
      </c>
      <c r="BC325" t="b">
        <f>OR(AND(IF(metadata!R325="",FALSE,TRUE),OR(EXACT(metadata!R325,"missing: not collected"),EXACT(metadata!R325,"missing: not provided"),EXACT(metadata!R325,"missing: restricted access"))),AND(IF(metadata!R325="",FALSE,ISNUMBER(VALUE(metadata!R325))),metadata!R325&gt;=-90,metadata!R325&lt;=90))</f>
        <v>0</v>
      </c>
      <c r="BD325" t="b">
        <f>AND(IF(metadata!S325="",FALSE,TRUE),EXACT(metadata!S325,"Decimal degrees"))</f>
        <v>0</v>
      </c>
      <c r="BE325" t="b">
        <f>OR(AND(IF(metadata!T325="",FALSE,TRUE),OR(EXACT(metadata!T325,"missing: not collected"),EXACT(metadata!T325,"missing: not provided"),EXACT(metadata!T325,"missing: restricted access"))),AND(IF(metadata!T325="",FALSE,ISNUMBER(VALUE(metadata!T325))),metadata!T325&gt;=-180,metadata!T325&lt;=180))</f>
        <v>0</v>
      </c>
      <c r="BF325" t="b">
        <f>AND(IF(metadata!U325="",FALSE,TRUE),EXACT(metadata!U325,"Decimal degrees"))</f>
        <v>0</v>
      </c>
      <c r="BG325" t="b">
        <f>IF(metadata!V325="",FALSE,TRUE)</f>
        <v>0</v>
      </c>
      <c r="BH325" t="b">
        <f>OR(AND(IF(metadata!W325="",FALSE,TRUE),OR(EXACT(metadata!W325,"missing: not collected"),EXACT(metadata!W325,"missing: not provided"),EXACT(metadata!W325,"missing: restricted access"))),AND(IF(metadata!W325="",FALSE,TRUE),OR(EXACT(metadata!W325,"TRUE"),EXACT(metadata!W325,"FALSE"))))</f>
        <v>0</v>
      </c>
      <c r="BI325" t="b">
        <f>AND(IF(metadata!X325="",FALSE,TRUE),EXACT(metadata!X325,"other"))</f>
        <v>0</v>
      </c>
      <c r="BJ325" t="b">
        <f>IF(metadata!Y325="",FALSE,TRUE)</f>
        <v>0</v>
      </c>
      <c r="BK325" t="b">
        <f>OR(AND(IF(metadata!Z325="",FALSE,TRUE),OR(EXACT(metadata!Z325,"missing: not collected"),EXACT(metadata!Z325,"missing: not provided"))),AND(IF(metadata!Z325="",FALSE,IF(ISERROR(INT(metadata!Z325)),FALSE,INT(metadata!Z325)=metadata!Z325)),metadata!Z325&gt;0))</f>
        <v>0</v>
      </c>
      <c r="BL325" t="b">
        <f>AND(IF(metadata!AA325="",FALSE,TRUE),EXACT(metadata!AA325,"Not applicable"))</f>
        <v>0</v>
      </c>
      <c r="BM325" t="b">
        <f>IF(metadata!AB325="",FALSE,TRUE)</f>
        <v>0</v>
      </c>
    </row>
    <row r="326" spans="1:65" x14ac:dyDescent="0.2">
      <c r="A326" s="5" t="str">
        <f ca="1">IF(B326=" "," ",HYPERLINK(CONCATENATE("#metadata!",ADDRESS(INDEX($AH$2:$AH$1001,MATCH(ROWS($AF$2:AF326),$AF$2:$AF$1001,0),0),1)),INDEX($AK$2:$AK$1001,MATCH(ROWS($AF$2:AF326),$AF$2:$AF$1001,0),0)))</f>
        <v xml:space="preserve"> </v>
      </c>
      <c r="B326" s="4" t="str">
        <f ca="1">IF(OR(INDEX($AG$2:$AG$1001,MATCH(ROWS($AF$2:AF326),$AF$2:$AF$1001,0),1)&gt;=100000,INDEX($AM$1005:$BM$1005,1,MATCH(COLUMNS($AM$1006:AM1006),$AM$1006:$BM$1006,0))&gt;=100000), " ",IF(INDEX($AM$2:$BM$1001,MATCH(ROWS($AF$2:AF326),$AF$2:$AF$1001,0),MATCH(COLUMNS($AM$1006:AM1006),$AM$1006:$BM$1006,0)), HYPERLINK("#",""), HYPERLINK(CONCATENATE("#metadata!", ADDRESS(INDEX($AH$2:$AH$1001,MATCH(ROWS($AF$2:AF326),$AF$2:$AF$1001,0),0), INDEX($AM$1004:$BM$1004,1,MATCH(COLUMNS($AM$1006:AM1006),$AM$1006:$BM$1006,0)))),"Fix")))</f>
        <v xml:space="preserve"> </v>
      </c>
      <c r="C326" s="4" t="str">
        <f ca="1">IF(OR(INDEX($AG$2:$AG$1001,MATCH(ROWS($AF$2:AF326),$AF$2:$AF$1001,0),1)&gt;=100000,INDEX($AM$1005:$BM$1005,1,MATCH(COLUMNS($AM$1006:AN1006),$AM$1006:$BM$1006,0))&gt;=100000), " ",IF(INDEX($AM$2:$BM$1001,MATCH(ROWS($AF$2:AF326),$AF$2:$AF$1001,0),MATCH(COLUMNS($AM$1006:AN1006),$AM$1006:$BM$1006,0)), HYPERLINK("#",""), HYPERLINK(CONCATENATE("#metadata!", ADDRESS(INDEX($AH$2:$AH$1001,MATCH(ROWS($AF$2:AF326),$AF$2:$AF$1001,0),0), INDEX($AM$1004:$BM$1004,1,MATCH(COLUMNS($AM$1006:AN1006),$AM$1006:$BM$1006,0)))),"Fix")))</f>
        <v xml:space="preserve"> </v>
      </c>
      <c r="D326" s="4" t="str">
        <f ca="1">IF(OR(INDEX($AG$2:$AG$1001,MATCH(ROWS($AF$2:AF326),$AF$2:$AF$1001,0),1)&gt;=100000,INDEX($AM$1005:$BM$1005,1,MATCH(COLUMNS($AM$1006:AO1006),$AM$1006:$BM$1006,0))&gt;=100000), " ",IF(INDEX($AM$2:$BM$1001,MATCH(ROWS($AF$2:AF326),$AF$2:$AF$1001,0),MATCH(COLUMNS($AM$1006:AO1006),$AM$1006:$BM$1006,0)), HYPERLINK("#",""), HYPERLINK(CONCATENATE("#metadata!", ADDRESS(INDEX($AH$2:$AH$1001,MATCH(ROWS($AF$2:AF326),$AF$2:$AF$1001,0),0), INDEX($AM$1004:$BM$1004,1,MATCH(COLUMNS($AM$1006:AO1006),$AM$1006:$BM$1006,0)))),"Fix")))</f>
        <v xml:space="preserve"> </v>
      </c>
      <c r="E326" s="4" t="str">
        <f ca="1">IF(OR(INDEX($AG$2:$AG$1001,MATCH(ROWS($AF$2:AF326),$AF$2:$AF$1001,0),1)&gt;=100000,INDEX($AM$1005:$BM$1005,1,MATCH(COLUMNS($AM$1006:AP1006),$AM$1006:$BM$1006,0))&gt;=100000), " ",IF(INDEX($AM$2:$BM$1001,MATCH(ROWS($AF$2:AF326),$AF$2:$AF$1001,0),MATCH(COLUMNS($AM$1006:AP1006),$AM$1006:$BM$1006,0)), HYPERLINK("#",""), HYPERLINK(CONCATENATE("#metadata!", ADDRESS(INDEX($AH$2:$AH$1001,MATCH(ROWS($AF$2:AF326),$AF$2:$AF$1001,0),0), INDEX($AM$1004:$BM$1004,1,MATCH(COLUMNS($AM$1006:AP1006),$AM$1006:$BM$1006,0)))),"Fix")))</f>
        <v xml:space="preserve"> </v>
      </c>
      <c r="F326" s="4" t="str">
        <f ca="1">IF(OR(INDEX($AG$2:$AG$1001,MATCH(ROWS($AF$2:AF326),$AF$2:$AF$1001,0),1)&gt;=100000,INDEX($AM$1005:$BM$1005,1,MATCH(COLUMNS($AM$1006:AQ1006),$AM$1006:$BM$1006,0))&gt;=100000), " ",IF(INDEX($AM$2:$BM$1001,MATCH(ROWS($AF$2:AF326),$AF$2:$AF$1001,0),MATCH(COLUMNS($AM$1006:AQ1006),$AM$1006:$BM$1006,0)), HYPERLINK("#",""), HYPERLINK(CONCATENATE("#metadata!", ADDRESS(INDEX($AH$2:$AH$1001,MATCH(ROWS($AF$2:AF326),$AF$2:$AF$1001,0),0), INDEX($AM$1004:$BM$1004,1,MATCH(COLUMNS($AM$1006:AQ1006),$AM$1006:$BM$1006,0)))),"Fix")))</f>
        <v xml:space="preserve"> </v>
      </c>
      <c r="G326" s="4" t="str">
        <f ca="1">IF(OR(INDEX($AG$2:$AG$1001,MATCH(ROWS($AF$2:AF326),$AF$2:$AF$1001,0),1)&gt;=100000,INDEX($AM$1005:$BM$1005,1,MATCH(COLUMNS($AM$1006:AR1006),$AM$1006:$BM$1006,0))&gt;=100000), " ",IF(INDEX($AM$2:$BM$1001,MATCH(ROWS($AF$2:AF326),$AF$2:$AF$1001,0),MATCH(COLUMNS($AM$1006:AR1006),$AM$1006:$BM$1006,0)), HYPERLINK("#",""), HYPERLINK(CONCATENATE("#metadata!", ADDRESS(INDEX($AH$2:$AH$1001,MATCH(ROWS($AF$2:AF326),$AF$2:$AF$1001,0),0), INDEX($AM$1004:$BM$1004,1,MATCH(COLUMNS($AM$1006:AR1006),$AM$1006:$BM$1006,0)))),"Fix")))</f>
        <v xml:space="preserve"> </v>
      </c>
      <c r="H326" s="4" t="str">
        <f ca="1">IF(OR(INDEX($AG$2:$AG$1001,MATCH(ROWS($AF$2:AF326),$AF$2:$AF$1001,0),1)&gt;=100000,INDEX($AM$1005:$BM$1005,1,MATCH(COLUMNS($AM$1006:AS1006),$AM$1006:$BM$1006,0))&gt;=100000), " ",IF(INDEX($AM$2:$BM$1001,MATCH(ROWS($AF$2:AF326),$AF$2:$AF$1001,0),MATCH(COLUMNS($AM$1006:AS1006),$AM$1006:$BM$1006,0)), HYPERLINK("#",""), HYPERLINK(CONCATENATE("#metadata!", ADDRESS(INDEX($AH$2:$AH$1001,MATCH(ROWS($AF$2:AF326),$AF$2:$AF$1001,0),0), INDEX($AM$1004:$BM$1004,1,MATCH(COLUMNS($AM$1006:AS1006),$AM$1006:$BM$1006,0)))),"Fix")))</f>
        <v xml:space="preserve"> </v>
      </c>
      <c r="I326" s="4" t="str">
        <f ca="1">IF(OR(INDEX($AG$2:$AG$1001,MATCH(ROWS($AF$2:AF326),$AF$2:$AF$1001,0),1)&gt;=100000,INDEX($AM$1005:$BM$1005,1,MATCH(COLUMNS($AM$1006:AT1006),$AM$1006:$BM$1006,0))&gt;=100000), " ",IF(INDEX($AM$2:$BM$1001,MATCH(ROWS($AF$2:AF326),$AF$2:$AF$1001,0),MATCH(COLUMNS($AM$1006:AT1006),$AM$1006:$BM$1006,0)), HYPERLINK("#",""), HYPERLINK(CONCATENATE("#metadata!", ADDRESS(INDEX($AH$2:$AH$1001,MATCH(ROWS($AF$2:AF326),$AF$2:$AF$1001,0),0), INDEX($AM$1004:$BM$1004,1,MATCH(COLUMNS($AM$1006:AT1006),$AM$1006:$BM$1006,0)))),"Fix")))</f>
        <v xml:space="preserve"> </v>
      </c>
      <c r="J326" s="4" t="str">
        <f ca="1">IF(OR(INDEX($AG$2:$AG$1001,MATCH(ROWS($AF$2:AF326),$AF$2:$AF$1001,0),1)&gt;=100000,INDEX($AM$1005:$BM$1005,1,MATCH(COLUMNS($AM$1006:AU1006),$AM$1006:$BM$1006,0))&gt;=100000), " ",IF(INDEX($AM$2:$BM$1001,MATCH(ROWS($AF$2:AF326),$AF$2:$AF$1001,0),MATCH(COLUMNS($AM$1006:AU1006),$AM$1006:$BM$1006,0)), HYPERLINK("#",""), HYPERLINK(CONCATENATE("#metadata!", ADDRESS(INDEX($AH$2:$AH$1001,MATCH(ROWS($AF$2:AF326),$AF$2:$AF$1001,0),0), INDEX($AM$1004:$BM$1004,1,MATCH(COLUMNS($AM$1006:AU1006),$AM$1006:$BM$1006,0)))),"Fix")))</f>
        <v xml:space="preserve"> </v>
      </c>
      <c r="K326" s="4" t="str">
        <f ca="1">IF(OR(INDEX($AG$2:$AG$1001,MATCH(ROWS($AF$2:AF326),$AF$2:$AF$1001,0),1)&gt;=100000,INDEX($AM$1005:$BM$1005,1,MATCH(COLUMNS($AM$1006:AV1006),$AM$1006:$BM$1006,0))&gt;=100000), " ",IF(INDEX($AM$2:$BM$1001,MATCH(ROWS($AF$2:AF326),$AF$2:$AF$1001,0),MATCH(COLUMNS($AM$1006:AV1006),$AM$1006:$BM$1006,0)), HYPERLINK("#",""), HYPERLINK(CONCATENATE("#metadata!", ADDRESS(INDEX($AH$2:$AH$1001,MATCH(ROWS($AF$2:AF326),$AF$2:$AF$1001,0),0), INDEX($AM$1004:$BM$1004,1,MATCH(COLUMNS($AM$1006:AV1006),$AM$1006:$BM$1006,0)))),"Fix")))</f>
        <v xml:space="preserve"> </v>
      </c>
      <c r="L326" s="4" t="str">
        <f ca="1">IF(OR(INDEX($AG$2:$AG$1001,MATCH(ROWS($AF$2:AF326),$AF$2:$AF$1001,0),1)&gt;=100000,INDEX($AM$1005:$BM$1005,1,MATCH(COLUMNS($AM$1006:AW1006),$AM$1006:$BM$1006,0))&gt;=100000), " ",IF(INDEX($AM$2:$BM$1001,MATCH(ROWS($AF$2:AF326),$AF$2:$AF$1001,0),MATCH(COLUMNS($AM$1006:AW1006),$AM$1006:$BM$1006,0)), HYPERLINK("#",""), HYPERLINK(CONCATENATE("#metadata!", ADDRESS(INDEX($AH$2:$AH$1001,MATCH(ROWS($AF$2:AF326),$AF$2:$AF$1001,0),0), INDEX($AM$1004:$BM$1004,1,MATCH(COLUMNS($AM$1006:AW1006),$AM$1006:$BM$1006,0)))),"Fix")))</f>
        <v xml:space="preserve"> </v>
      </c>
      <c r="M326" s="4" t="str">
        <f ca="1">IF(OR(INDEX($AG$2:$AG$1001,MATCH(ROWS($AF$2:AF326),$AF$2:$AF$1001,0),1)&gt;=100000,INDEX($AM$1005:$BM$1005,1,MATCH(COLUMNS($AM$1006:AX1006),$AM$1006:$BM$1006,0))&gt;=100000), " ",IF(INDEX($AM$2:$BM$1001,MATCH(ROWS($AF$2:AF326),$AF$2:$AF$1001,0),MATCH(COLUMNS($AM$1006:AX1006),$AM$1006:$BM$1006,0)), HYPERLINK("#",""), HYPERLINK(CONCATENATE("#metadata!", ADDRESS(INDEX($AH$2:$AH$1001,MATCH(ROWS($AF$2:AF326),$AF$2:$AF$1001,0),0), INDEX($AM$1004:$BM$1004,1,MATCH(COLUMNS($AM$1006:AX1006),$AM$1006:$BM$1006,0)))),"Fix")))</f>
        <v xml:space="preserve"> </v>
      </c>
      <c r="N326" s="4" t="str">
        <f ca="1">IF(OR(INDEX($AG$2:$AG$1001,MATCH(ROWS($AF$2:AF326),$AF$2:$AF$1001,0),1)&gt;=100000,INDEX($AM$1005:$BM$1005,1,MATCH(COLUMNS($AM$1006:AY1006),$AM$1006:$BM$1006,0))&gt;=100000), " ",IF(INDEX($AM$2:$BM$1001,MATCH(ROWS($AF$2:AF326),$AF$2:$AF$1001,0),MATCH(COLUMNS($AM$1006:AY1006),$AM$1006:$BM$1006,0)), HYPERLINK("#",""), HYPERLINK(CONCATENATE("#metadata!", ADDRESS(INDEX($AH$2:$AH$1001,MATCH(ROWS($AF$2:AF326),$AF$2:$AF$1001,0),0), INDEX($AM$1004:$BM$1004,1,MATCH(COLUMNS($AM$1006:AY1006),$AM$1006:$BM$1006,0)))),"Fix")))</f>
        <v xml:space="preserve"> </v>
      </c>
      <c r="O326" s="4" t="str">
        <f ca="1">IF(OR(INDEX($AG$2:$AG$1001,MATCH(ROWS($AF$2:AF326),$AF$2:$AF$1001,0),1)&gt;=100000,INDEX($AM$1005:$BM$1005,1,MATCH(COLUMNS($AM$1006:AZ1006),$AM$1006:$BM$1006,0))&gt;=100000), " ",IF(INDEX($AM$2:$BM$1001,MATCH(ROWS($AF$2:AF326),$AF$2:$AF$1001,0),MATCH(COLUMNS($AM$1006:AZ1006),$AM$1006:$BM$1006,0)), HYPERLINK("#",""), HYPERLINK(CONCATENATE("#metadata!", ADDRESS(INDEX($AH$2:$AH$1001,MATCH(ROWS($AF$2:AF326),$AF$2:$AF$1001,0),0), INDEX($AM$1004:$BM$1004,1,MATCH(COLUMNS($AM$1006:AZ1006),$AM$1006:$BM$1006,0)))),"Fix")))</f>
        <v xml:space="preserve"> </v>
      </c>
      <c r="P326" s="4" t="str">
        <f ca="1">IF(OR(INDEX($AG$2:$AG$1001,MATCH(ROWS($AF$2:AF326),$AF$2:$AF$1001,0),1)&gt;=100000,INDEX($AM$1005:$BM$1005,1,MATCH(COLUMNS($AM$1006:BA1006),$AM$1006:$BM$1006,0))&gt;=100000), " ",IF(INDEX($AM$2:$BM$1001,MATCH(ROWS($AF$2:AF326),$AF$2:$AF$1001,0),MATCH(COLUMNS($AM$1006:BA1006),$AM$1006:$BM$1006,0)), HYPERLINK("#",""), HYPERLINK(CONCATENATE("#metadata!", ADDRESS(INDEX($AH$2:$AH$1001,MATCH(ROWS($AF$2:AF326),$AF$2:$AF$1001,0),0), INDEX($AM$1004:$BM$1004,1,MATCH(COLUMNS($AM$1006:BA1006),$AM$1006:$BM$1006,0)))),"Fix")))</f>
        <v xml:space="preserve"> </v>
      </c>
      <c r="Q326" s="4" t="str">
        <f ca="1">IF(OR(INDEX($AG$2:$AG$1001,MATCH(ROWS($AF$2:AF326),$AF$2:$AF$1001,0),1)&gt;=100000,INDEX($AM$1005:$BM$1005,1,MATCH(COLUMNS($AM$1006:BB1006),$AM$1006:$BM$1006,0))&gt;=100000), " ",IF(INDEX($AM$2:$BM$1001,MATCH(ROWS($AF$2:AF326),$AF$2:$AF$1001,0),MATCH(COLUMNS($AM$1006:BB1006),$AM$1006:$BM$1006,0)), HYPERLINK("#",""), HYPERLINK(CONCATENATE("#metadata!", ADDRESS(INDEX($AH$2:$AH$1001,MATCH(ROWS($AF$2:AF326),$AF$2:$AF$1001,0),0), INDEX($AM$1004:$BM$1004,1,MATCH(COLUMNS($AM$1006:BB1006),$AM$1006:$BM$1006,0)))),"Fix")))</f>
        <v xml:space="preserve"> </v>
      </c>
      <c r="R326" s="4" t="str">
        <f ca="1">IF(OR(INDEX($AG$2:$AG$1001,MATCH(ROWS($AF$2:AF326),$AF$2:$AF$1001,0),1)&gt;=100000,INDEX($AM$1005:$BM$1005,1,MATCH(COLUMNS($AM$1006:BC1006),$AM$1006:$BM$1006,0))&gt;=100000), " ",IF(INDEX($AM$2:$BM$1001,MATCH(ROWS($AF$2:AF326),$AF$2:$AF$1001,0),MATCH(COLUMNS($AM$1006:BC1006),$AM$1006:$BM$1006,0)), HYPERLINK("#",""), HYPERLINK(CONCATENATE("#metadata!", ADDRESS(INDEX($AH$2:$AH$1001,MATCH(ROWS($AF$2:AF326),$AF$2:$AF$1001,0),0), INDEX($AM$1004:$BM$1004,1,MATCH(COLUMNS($AM$1006:BC1006),$AM$1006:$BM$1006,0)))),"Fix")))</f>
        <v xml:space="preserve"> </v>
      </c>
      <c r="S326" s="4" t="str">
        <f ca="1">IF(OR(INDEX($AG$2:$AG$1001,MATCH(ROWS($AF$2:AF326),$AF$2:$AF$1001,0),1)&gt;=100000,INDEX($AM$1005:$BM$1005,1,MATCH(COLUMNS($AM$1006:BD1006),$AM$1006:$BM$1006,0))&gt;=100000), " ",IF(INDEX($AM$2:$BM$1001,MATCH(ROWS($AF$2:AF326),$AF$2:$AF$1001,0),MATCH(COLUMNS($AM$1006:BD1006),$AM$1006:$BM$1006,0)), HYPERLINK("#",""), HYPERLINK(CONCATENATE("#metadata!", ADDRESS(INDEX($AH$2:$AH$1001,MATCH(ROWS($AF$2:AF326),$AF$2:$AF$1001,0),0), INDEX($AM$1004:$BM$1004,1,MATCH(COLUMNS($AM$1006:BD1006),$AM$1006:$BM$1006,0)))),"Fix")))</f>
        <v xml:space="preserve"> </v>
      </c>
      <c r="T326" s="4" t="str">
        <f ca="1">IF(OR(INDEX($AG$2:$AG$1001,MATCH(ROWS($AF$2:AF326),$AF$2:$AF$1001,0),1)&gt;=100000,INDEX($AM$1005:$BM$1005,1,MATCH(COLUMNS($AM$1006:BE1006),$AM$1006:$BM$1006,0))&gt;=100000), " ",IF(INDEX($AM$2:$BM$1001,MATCH(ROWS($AF$2:AF326),$AF$2:$AF$1001,0),MATCH(COLUMNS($AM$1006:BE1006),$AM$1006:$BM$1006,0)), HYPERLINK("#",""), HYPERLINK(CONCATENATE("#metadata!", ADDRESS(INDEX($AH$2:$AH$1001,MATCH(ROWS($AF$2:AF326),$AF$2:$AF$1001,0),0), INDEX($AM$1004:$BM$1004,1,MATCH(COLUMNS($AM$1006:BE1006),$AM$1006:$BM$1006,0)))),"Fix")))</f>
        <v xml:space="preserve"> </v>
      </c>
      <c r="U326" s="4" t="str">
        <f ca="1">IF(OR(INDEX($AG$2:$AG$1001,MATCH(ROWS($AF$2:AF326),$AF$2:$AF$1001,0),1)&gt;=100000,INDEX($AM$1005:$BM$1005,1,MATCH(COLUMNS($AM$1006:BF1006),$AM$1006:$BM$1006,0))&gt;=100000), " ",IF(INDEX($AM$2:$BM$1001,MATCH(ROWS($AF$2:AF326),$AF$2:$AF$1001,0),MATCH(COLUMNS($AM$1006:BF1006),$AM$1006:$BM$1006,0)), HYPERLINK("#",""), HYPERLINK(CONCATENATE("#metadata!", ADDRESS(INDEX($AH$2:$AH$1001,MATCH(ROWS($AF$2:AF326),$AF$2:$AF$1001,0),0), INDEX($AM$1004:$BM$1004,1,MATCH(COLUMNS($AM$1006:BF1006),$AM$1006:$BM$1006,0)))),"Fix")))</f>
        <v xml:space="preserve"> </v>
      </c>
      <c r="V326" s="4" t="str">
        <f ca="1">IF(OR(INDEX($AG$2:$AG$1001,MATCH(ROWS($AF$2:AF326),$AF$2:$AF$1001,0),1)&gt;=100000,INDEX($AM$1005:$BM$1005,1,MATCH(COLUMNS($AM$1006:BG1006),$AM$1006:$BM$1006,0))&gt;=100000), " ",IF(INDEX($AM$2:$BM$1001,MATCH(ROWS($AF$2:AF326),$AF$2:$AF$1001,0),MATCH(COLUMNS($AM$1006:BG1006),$AM$1006:$BM$1006,0)), HYPERLINK("#",""), HYPERLINK(CONCATENATE("#metadata!", ADDRESS(INDEX($AH$2:$AH$1001,MATCH(ROWS($AF$2:AF326),$AF$2:$AF$1001,0),0), INDEX($AM$1004:$BM$1004,1,MATCH(COLUMNS($AM$1006:BG1006),$AM$1006:$BM$1006,0)))),"Fix")))</f>
        <v xml:space="preserve"> </v>
      </c>
      <c r="W326" s="4" t="str">
        <f ca="1">IF(OR(INDEX($AG$2:$AG$1001,MATCH(ROWS($AF$2:AF326),$AF$2:$AF$1001,0),1)&gt;=100000,INDEX($AM$1005:$BM$1005,1,MATCH(COLUMNS($AM$1006:BH1006),$AM$1006:$BM$1006,0))&gt;=100000), " ",IF(INDEX($AM$2:$BM$1001,MATCH(ROWS($AF$2:AF326),$AF$2:$AF$1001,0),MATCH(COLUMNS($AM$1006:BH1006),$AM$1006:$BM$1006,0)), HYPERLINK("#",""), HYPERLINK(CONCATENATE("#metadata!", ADDRESS(INDEX($AH$2:$AH$1001,MATCH(ROWS($AF$2:AF326),$AF$2:$AF$1001,0),0), INDEX($AM$1004:$BM$1004,1,MATCH(COLUMNS($AM$1006:BH1006),$AM$1006:$BM$1006,0)))),"Fix")))</f>
        <v xml:space="preserve"> </v>
      </c>
      <c r="X326" s="4" t="str">
        <f ca="1">IF(OR(INDEX($AG$2:$AG$1001,MATCH(ROWS($AF$2:AF326),$AF$2:$AF$1001,0),1)&gt;=100000,INDEX($AM$1005:$BM$1005,1,MATCH(COLUMNS($AM$1006:BI1006),$AM$1006:$BM$1006,0))&gt;=100000), " ",IF(INDEX($AM$2:$BM$1001,MATCH(ROWS($AF$2:AF326),$AF$2:$AF$1001,0),MATCH(COLUMNS($AM$1006:BI1006),$AM$1006:$BM$1006,0)), HYPERLINK("#",""), HYPERLINK(CONCATENATE("#metadata!", ADDRESS(INDEX($AH$2:$AH$1001,MATCH(ROWS($AF$2:AF326),$AF$2:$AF$1001,0),0), INDEX($AM$1004:$BM$1004,1,MATCH(COLUMNS($AM$1006:BI1006),$AM$1006:$BM$1006,0)))),"Fix")))</f>
        <v xml:space="preserve"> </v>
      </c>
      <c r="Y326" s="4" t="str">
        <f ca="1">IF(OR(INDEX($AG$2:$AG$1001,MATCH(ROWS($AF$2:AF326),$AF$2:$AF$1001,0),1)&gt;=100000,INDEX($AM$1005:$BM$1005,1,MATCH(COLUMNS($AM$1006:BJ1006),$AM$1006:$BM$1006,0))&gt;=100000), " ",IF(INDEX($AM$2:$BM$1001,MATCH(ROWS($AF$2:AF326),$AF$2:$AF$1001,0),MATCH(COLUMNS($AM$1006:BJ1006),$AM$1006:$BM$1006,0)), HYPERLINK("#",""), HYPERLINK(CONCATENATE("#metadata!", ADDRESS(INDEX($AH$2:$AH$1001,MATCH(ROWS($AF$2:AF326),$AF$2:$AF$1001,0),0), INDEX($AM$1004:$BM$1004,1,MATCH(COLUMNS($AM$1006:BJ1006),$AM$1006:$BM$1006,0)))),"Fix")))</f>
        <v xml:space="preserve"> </v>
      </c>
      <c r="Z326" s="4" t="str">
        <f ca="1">IF(OR(INDEX($AG$2:$AG$1001,MATCH(ROWS($AF$2:AF326),$AF$2:$AF$1001,0),1)&gt;=100000,INDEX($AM$1005:$BM$1005,1,MATCH(COLUMNS($AM$1006:BK1006),$AM$1006:$BM$1006,0))&gt;=100000), " ",IF(INDEX($AM$2:$BM$1001,MATCH(ROWS($AF$2:AF326),$AF$2:$AF$1001,0),MATCH(COLUMNS($AM$1006:BK1006),$AM$1006:$BM$1006,0)), HYPERLINK("#",""), HYPERLINK(CONCATENATE("#metadata!", ADDRESS(INDEX($AH$2:$AH$1001,MATCH(ROWS($AF$2:AF326),$AF$2:$AF$1001,0),0), INDEX($AM$1004:$BM$1004,1,MATCH(COLUMNS($AM$1006:BK1006),$AM$1006:$BM$1006,0)))),"Fix")))</f>
        <v xml:space="preserve"> </v>
      </c>
      <c r="AA326" s="4" t="str">
        <f ca="1">IF(OR(INDEX($AG$2:$AG$1001,MATCH(ROWS($AF$2:AF326),$AF$2:$AF$1001,0),1)&gt;=100000,INDEX($AM$1005:$BM$1005,1,MATCH(COLUMNS($AM$1006:BL1006),$AM$1006:$BM$1006,0))&gt;=100000), " ",IF(INDEX($AM$2:$BM$1001,MATCH(ROWS($AF$2:AF326),$AF$2:$AF$1001,0),MATCH(COLUMNS($AM$1006:BL1006),$AM$1006:$BM$1006,0)), HYPERLINK("#",""), HYPERLINK(CONCATENATE("#metadata!", ADDRESS(INDEX($AH$2:$AH$1001,MATCH(ROWS($AF$2:AF326),$AF$2:$AF$1001,0),0), INDEX($AM$1004:$BM$1004,1,MATCH(COLUMNS($AM$1006:BL1006),$AM$1006:$BM$1006,0)))),"Fix")))</f>
        <v xml:space="preserve"> </v>
      </c>
      <c r="AB326" s="4" t="str">
        <f ca="1">IF(OR(INDEX($AG$2:$AG$1001,MATCH(ROWS($AF$2:AF326),$AF$2:$AF$1001,0),1)&gt;=100000,INDEX($AM$1005:$BM$1005,1,MATCH(COLUMNS($AM$1006:BM1006),$AM$1006:$BM$1006,0))&gt;=100000), " ",IF(INDEX($AM$2:$BM$1001,MATCH(ROWS($AF$2:AF326),$AF$2:$AF$1001,0),MATCH(COLUMNS($AM$1006:BM1006),$AM$1006:$BM$1006,0)), HYPERLINK("#",""), HYPERLINK(CONCATENATE("#metadata!", ADDRESS(INDEX($AH$2:$AH$1001,MATCH(ROWS($AF$2:AF326),$AF$2:$AF$1001,0),0), INDEX($AM$1004:$BM$1004,1,MATCH(COLUMNS($AM$1006:BM1006),$AM$1006:$BM$1006,0)))),"Fix")))</f>
        <v xml:space="preserve"> </v>
      </c>
      <c r="AF326">
        <v>325</v>
      </c>
      <c r="AG326">
        <v>100326</v>
      </c>
      <c r="AH326">
        <v>326</v>
      </c>
      <c r="AI326" t="b">
        <f t="shared" si="5"/>
        <v>1</v>
      </c>
      <c r="AJ326" t="b">
        <f>COUNTBLANK(metadata!B326:AB326)=COLUMNS(metadata!B326:AB326)</f>
        <v>1</v>
      </c>
      <c r="AK326" t="str">
        <v/>
      </c>
      <c r="AM326" t="b">
        <f ca="1">AND(IF(metadata!B326="",FALSE,TRUE),COUNTIF(metadata!B:B, metadata!B326) = 1,NOT(ISERROR(SUMPRODUCT(SEARCH(MID(metadata!B326,ROW(INDIRECT("1:"&amp;LEN(metadata!B326))), 1),"0123456789abcdefghijklmnopqrstuvwxyzABCDEFGHIJKLMNOPQRSTUVWXYZ.")))))</f>
        <v>0</v>
      </c>
      <c r="AN326" t="b">
        <f ca="1">OR(AND(IF(metadata!C326="",FALSE,TRUE),OR(EXACT(metadata!C326,"missing: not collected"),EXACT(metadata!C326,"missing: not provided"),EXACT(metadata!C326,"missing: restricted access"))),AND(IF(metadata!C326="",FALSE,TRUE),AND(AND(IFERROR(INT(LEFT(metadata!C326,4))&gt;1900,FALSE),IFERROR(INT(LEFT(metadata!C326,4))&lt;=YEAR(NOW()),FALSE)), OR(MID(metadata!C326,5,1)="", AND(AND(MID(metadata!C326,5,1)="-",IFERROR(INT(MID(metadata!C326,6,1))&gt;=0,FALSE),IFERROR(INT(MID(metadata!C326,6,1))&lt;=1,FALSE),NOT(MID(metadata!C326,7,1)=""),IFERROR(INT(MID(metadata!C326,6,2))&gt;=1,FALSE),IFERROR(INT(MID(metadata!C326,6,2))&lt;=12,FALSE)), OR(MID(metadata!C326,8,1)="", AND(AND(MID(metadata!C326,8,1)="-",IFERROR(INT(MID(metadata!C326,9,1))&gt;=0,FALSE),IFERROR(INT(MID(metadata!C326,9,1))&lt;=3,FALSE),NOT(MID(metadata!C326,10,1)=""),IFERROR(INT(MID(metadata!C326,9,2))&gt;=1,FALSE),IFERROR(INT(MID(metadata!C326,9,2))&lt;=31,FALSE)), OR(MID(metadata!C326,11,1)="", AND(AND(MID(metadata!C326,11,1)=" ",IFERROR(INT(MID(metadata!C326,12,1))&gt;=0,FALSE),IFERROR(INT(MID(metadata!C326,12,1))&lt;=2,FALSE),NOT(MID(metadata!C326,13,1)=""),IFERROR(INT(MID(metadata!C326,12,2))&gt;=0,FALSE),IFERROR(INT(MID(metadata!C326,12,2))&lt;=23,FALSE)), OR(MID(metadata!C326,14,1)="", AND(AND(MID(metadata!C326,14,1)=":",IFERROR(INT(MID(metadata!C326,15,1))&gt;=0,FALSE),IFERROR(INT(MID(metadata!C326,15,1))&lt;=5,FALSE),NOT(MID(metadata!C326,16,1)=""),IFERROR(INT(MID(metadata!C326,15,2))&gt;=0,FALSE),IFERROR(INT(MID(metadata!C326,15,2))&lt;=59,FALSE)), OR(MID(metadata!C326,17,1)="", AND(AND(MID(metadata!C326,17,1)=":",IFERROR(INT(MID(metadata!C326,18,1))&gt;=0,FALSE),IFERROR(INT(MID(metadata!C326,18,1))&lt;=5,FALSE),NOT(MID(metadata!C326,19,1)=""),IFERROR(INT(MID(metadata!C326,18,2))&gt;=0,FALSE),IFERROR(INT(MID(metadata!C326,18,2))&lt;=59,FALSE)), LEN(metadata!C326)&lt;=19)))))))))))))</f>
        <v>0</v>
      </c>
      <c r="AO326" t="b">
        <f>AND(IF(metadata!D326="",FALSE,TRUE),EXACT(metadata!D326,"Not applicable"))</f>
        <v>0</v>
      </c>
      <c r="AP326" t="b">
        <f>IF(metadata!E326="",FALSE,TRUE)</f>
        <v>0</v>
      </c>
      <c r="AQ326" t="b">
        <f>OR(AND(IF(metadata!F326="",FALSE,TRUE),OR(EXACT(metadata!F326,"missing: not collected"),EXACT(metadata!F326,"missing: not provided"))),AND(IF(metadata!F326="",FALSE,TRUE),OR(EXACT(metadata!F326,"TRUE"),EXACT(metadata!F326,"FALSE"))))</f>
        <v>0</v>
      </c>
      <c r="AR326" t="b">
        <f>OR(AND(IF(metadata!G326="",FALSE,TRUE),OR(EXACT(metadata!G326,"missing: not collected"),EXACT(metadata!G326,"missing: not provided"),EXACT(metadata!G326,"missing: restricted access"))),AND(IF(metadata!G326="",FALSE,ISNUMBER(VALUE(metadata!G326))),metadata!G326&gt;=-413))</f>
        <v>0</v>
      </c>
      <c r="AS326" t="b">
        <f>AND(IF(metadata!H326="",FALSE,TRUE),EXACT(metadata!H326,"meters"))</f>
        <v>0</v>
      </c>
      <c r="AT326" t="b">
        <f>AND(IF(metadata!I326="",FALSE,TRUE),OR(EXACT(metadata!I326,"Host-associated"),EXACT(metadata!I326,"Free-living")))</f>
        <v>0</v>
      </c>
      <c r="AU326" t="b">
        <f>AND(IF(metadata!J326="",FALSE,TRUE),OR(EXACT(metadata!J326,"Animal"),EXACT(metadata!J326,"Fungus"),EXACT(metadata!J326,"Plant"),EXACT(metadata!J326,"Saline"),EXACT(metadata!J326,"Non-saline")))</f>
        <v>0</v>
      </c>
      <c r="AV326" t="b">
        <f>AND(IF(metadata!K326="",FALSE,TRUE),OR(EXACT(metadata!K326,"Plant secretion"),EXACT(metadata!K326,"Plant rhizosphere"),EXACT(metadata!K326,"Plant surface"),EXACT(metadata!K326,"Plant corpus"),EXACT(metadata!K326,"Fungus surface"),EXACT(metadata!K326,"Fungus corpus"),EXACT(metadata!K326,"Animal surface"),EXACT(metadata!K326,"Animal proximal gut"),EXACT(metadata!K326,"Animal corpus"),EXACT(metadata!K326,"Animal distal gut"),EXACT(metadata!K326,"Animal secretion"),EXACT(metadata!K326,"Sub-surface (non-saline)"),EXACT(metadata!K326,"Surface (non-saline)"),EXACT(metadata!K326,"Water (non-saline)"),EXACT(metadata!K326,"Soil (non-saline)"),EXACT(metadata!K326,"Aerosol (non-saline)"),EXACT(metadata!K326,"Sediment (non-saline)"),EXACT(metadata!K326,"Surface (saline)"),EXACT(metadata!K326,"Water (saline)"),EXACT(metadata!K326,"Hypersaline (saline)"),EXACT(metadata!K326,"Aerosol (saline)"),EXACT(metadata!K326,"Sediment (saline)")))</f>
        <v>0</v>
      </c>
      <c r="AW326" t="b">
        <f>IF(metadata!L326="",FALSE,TRUE)</f>
        <v>0</v>
      </c>
      <c r="AX326" t="b">
        <f>IF(metadata!M326="",FALSE,TRUE)</f>
        <v>0</v>
      </c>
      <c r="AY326" t="b">
        <f>IF(metadata!N326="",FALSE,TRUE)</f>
        <v>0</v>
      </c>
      <c r="AZ326" t="b">
        <f>OR(AND(IF(metadata!O326="",FALSE,TRUE),OR(EXACT(metadata!O326,"missing: not collected"),EXACT(metadata!O326,"missing: not provided"),EXACT(metadata!O326,"missing: restricted access"))),AND(IF(metadata!O326="",FALSE,TRUE),OR(EXACT(metadata!O326,"air"),EXACT(metadata!O326,"built environment"),EXACT(metadata!O326,"host-associated"),EXACT(metadata!O326,"human-associated"),EXACT(metadata!O326,"human-skin"),EXACT(metadata!O326,"human-oral"),EXACT(metadata!O326,"human-gut"),EXACT(metadata!O326,"human-vaginal"),EXACT(metadata!O326,"microbial mat/biofilm"),EXACT(metadata!O326,"misc environment"),EXACT(metadata!O326,"plant-associated"),EXACT(metadata!O326,"sediment"),EXACT(metadata!O326,"soil"),EXACT(metadata!O326,"wastewater/sludge"),EXACT(metadata!O326,"water"))))</f>
        <v>0</v>
      </c>
      <c r="BA326" t="b">
        <f>IF(metadata!P326="",FALSE,TRUE)</f>
        <v>0</v>
      </c>
      <c r="BB326" t="b">
        <f>IF(metadata!Q326="",FALSE,TRUE)</f>
        <v>0</v>
      </c>
      <c r="BC326" t="b">
        <f>OR(AND(IF(metadata!R326="",FALSE,TRUE),OR(EXACT(metadata!R326,"missing: not collected"),EXACT(metadata!R326,"missing: not provided"),EXACT(metadata!R326,"missing: restricted access"))),AND(IF(metadata!R326="",FALSE,ISNUMBER(VALUE(metadata!R326))),metadata!R326&gt;=-90,metadata!R326&lt;=90))</f>
        <v>0</v>
      </c>
      <c r="BD326" t="b">
        <f>AND(IF(metadata!S326="",FALSE,TRUE),EXACT(metadata!S326,"Decimal degrees"))</f>
        <v>0</v>
      </c>
      <c r="BE326" t="b">
        <f>OR(AND(IF(metadata!T326="",FALSE,TRUE),OR(EXACT(metadata!T326,"missing: not collected"),EXACT(metadata!T326,"missing: not provided"),EXACT(metadata!T326,"missing: restricted access"))),AND(IF(metadata!T326="",FALSE,ISNUMBER(VALUE(metadata!T326))),metadata!T326&gt;=-180,metadata!T326&lt;=180))</f>
        <v>0</v>
      </c>
      <c r="BF326" t="b">
        <f>AND(IF(metadata!U326="",FALSE,TRUE),EXACT(metadata!U326,"Decimal degrees"))</f>
        <v>0</v>
      </c>
      <c r="BG326" t="b">
        <f>IF(metadata!V326="",FALSE,TRUE)</f>
        <v>0</v>
      </c>
      <c r="BH326" t="b">
        <f>OR(AND(IF(metadata!W326="",FALSE,TRUE),OR(EXACT(metadata!W326,"missing: not collected"),EXACT(metadata!W326,"missing: not provided"),EXACT(metadata!W326,"missing: restricted access"))),AND(IF(metadata!W326="",FALSE,TRUE),OR(EXACT(metadata!W326,"TRUE"),EXACT(metadata!W326,"FALSE"))))</f>
        <v>0</v>
      </c>
      <c r="BI326" t="b">
        <f>AND(IF(metadata!X326="",FALSE,TRUE),EXACT(metadata!X326,"other"))</f>
        <v>0</v>
      </c>
      <c r="BJ326" t="b">
        <f>IF(metadata!Y326="",FALSE,TRUE)</f>
        <v>0</v>
      </c>
      <c r="BK326" t="b">
        <f>OR(AND(IF(metadata!Z326="",FALSE,TRUE),OR(EXACT(metadata!Z326,"missing: not collected"),EXACT(metadata!Z326,"missing: not provided"))),AND(IF(metadata!Z326="",FALSE,IF(ISERROR(INT(metadata!Z326)),FALSE,INT(metadata!Z326)=metadata!Z326)),metadata!Z326&gt;0))</f>
        <v>0</v>
      </c>
      <c r="BL326" t="b">
        <f>AND(IF(metadata!AA326="",FALSE,TRUE),EXACT(metadata!AA326,"Not applicable"))</f>
        <v>0</v>
      </c>
      <c r="BM326" t="b">
        <f>IF(metadata!AB326="",FALSE,TRUE)</f>
        <v>0</v>
      </c>
    </row>
    <row r="327" spans="1:65" x14ac:dyDescent="0.2">
      <c r="A327" s="5" t="str">
        <f ca="1">IF(B327=" "," ",HYPERLINK(CONCATENATE("#metadata!",ADDRESS(INDEX($AH$2:$AH$1001,MATCH(ROWS($AF$2:AF327),$AF$2:$AF$1001,0),0),1)),INDEX($AK$2:$AK$1001,MATCH(ROWS($AF$2:AF327),$AF$2:$AF$1001,0),0)))</f>
        <v xml:space="preserve"> </v>
      </c>
      <c r="B327" s="4" t="str">
        <f ca="1">IF(OR(INDEX($AG$2:$AG$1001,MATCH(ROWS($AF$2:AF327),$AF$2:$AF$1001,0),1)&gt;=100000,INDEX($AM$1005:$BM$1005,1,MATCH(COLUMNS($AM$1006:AM1006),$AM$1006:$BM$1006,0))&gt;=100000), " ",IF(INDEX($AM$2:$BM$1001,MATCH(ROWS($AF$2:AF327),$AF$2:$AF$1001,0),MATCH(COLUMNS($AM$1006:AM1006),$AM$1006:$BM$1006,0)), HYPERLINK("#",""), HYPERLINK(CONCATENATE("#metadata!", ADDRESS(INDEX($AH$2:$AH$1001,MATCH(ROWS($AF$2:AF327),$AF$2:$AF$1001,0),0), INDEX($AM$1004:$BM$1004,1,MATCH(COLUMNS($AM$1006:AM1006),$AM$1006:$BM$1006,0)))),"Fix")))</f>
        <v xml:space="preserve"> </v>
      </c>
      <c r="C327" s="4" t="str">
        <f ca="1">IF(OR(INDEX($AG$2:$AG$1001,MATCH(ROWS($AF$2:AF327),$AF$2:$AF$1001,0),1)&gt;=100000,INDEX($AM$1005:$BM$1005,1,MATCH(COLUMNS($AM$1006:AN1006),$AM$1006:$BM$1006,0))&gt;=100000), " ",IF(INDEX($AM$2:$BM$1001,MATCH(ROWS($AF$2:AF327),$AF$2:$AF$1001,0),MATCH(COLUMNS($AM$1006:AN1006),$AM$1006:$BM$1006,0)), HYPERLINK("#",""), HYPERLINK(CONCATENATE("#metadata!", ADDRESS(INDEX($AH$2:$AH$1001,MATCH(ROWS($AF$2:AF327),$AF$2:$AF$1001,0),0), INDEX($AM$1004:$BM$1004,1,MATCH(COLUMNS($AM$1006:AN1006),$AM$1006:$BM$1006,0)))),"Fix")))</f>
        <v xml:space="preserve"> </v>
      </c>
      <c r="D327" s="4" t="str">
        <f ca="1">IF(OR(INDEX($AG$2:$AG$1001,MATCH(ROWS($AF$2:AF327),$AF$2:$AF$1001,0),1)&gt;=100000,INDEX($AM$1005:$BM$1005,1,MATCH(COLUMNS($AM$1006:AO1006),$AM$1006:$BM$1006,0))&gt;=100000), " ",IF(INDEX($AM$2:$BM$1001,MATCH(ROWS($AF$2:AF327),$AF$2:$AF$1001,0),MATCH(COLUMNS($AM$1006:AO1006),$AM$1006:$BM$1006,0)), HYPERLINK("#",""), HYPERLINK(CONCATENATE("#metadata!", ADDRESS(INDEX($AH$2:$AH$1001,MATCH(ROWS($AF$2:AF327),$AF$2:$AF$1001,0),0), INDEX($AM$1004:$BM$1004,1,MATCH(COLUMNS($AM$1006:AO1006),$AM$1006:$BM$1006,0)))),"Fix")))</f>
        <v xml:space="preserve"> </v>
      </c>
      <c r="E327" s="4" t="str">
        <f ca="1">IF(OR(INDEX($AG$2:$AG$1001,MATCH(ROWS($AF$2:AF327),$AF$2:$AF$1001,0),1)&gt;=100000,INDEX($AM$1005:$BM$1005,1,MATCH(COLUMNS($AM$1006:AP1006),$AM$1006:$BM$1006,0))&gt;=100000), " ",IF(INDEX($AM$2:$BM$1001,MATCH(ROWS($AF$2:AF327),$AF$2:$AF$1001,0),MATCH(COLUMNS($AM$1006:AP1006),$AM$1006:$BM$1006,0)), HYPERLINK("#",""), HYPERLINK(CONCATENATE("#metadata!", ADDRESS(INDEX($AH$2:$AH$1001,MATCH(ROWS($AF$2:AF327),$AF$2:$AF$1001,0),0), INDEX($AM$1004:$BM$1004,1,MATCH(COLUMNS($AM$1006:AP1006),$AM$1006:$BM$1006,0)))),"Fix")))</f>
        <v xml:space="preserve"> </v>
      </c>
      <c r="F327" s="4" t="str">
        <f ca="1">IF(OR(INDEX($AG$2:$AG$1001,MATCH(ROWS($AF$2:AF327),$AF$2:$AF$1001,0),1)&gt;=100000,INDEX($AM$1005:$BM$1005,1,MATCH(COLUMNS($AM$1006:AQ1006),$AM$1006:$BM$1006,0))&gt;=100000), " ",IF(INDEX($AM$2:$BM$1001,MATCH(ROWS($AF$2:AF327),$AF$2:$AF$1001,0),MATCH(COLUMNS($AM$1006:AQ1006),$AM$1006:$BM$1006,0)), HYPERLINK("#",""), HYPERLINK(CONCATENATE("#metadata!", ADDRESS(INDEX($AH$2:$AH$1001,MATCH(ROWS($AF$2:AF327),$AF$2:$AF$1001,0),0), INDEX($AM$1004:$BM$1004,1,MATCH(COLUMNS($AM$1006:AQ1006),$AM$1006:$BM$1006,0)))),"Fix")))</f>
        <v xml:space="preserve"> </v>
      </c>
      <c r="G327" s="4" t="str">
        <f ca="1">IF(OR(INDEX($AG$2:$AG$1001,MATCH(ROWS($AF$2:AF327),$AF$2:$AF$1001,0),1)&gt;=100000,INDEX($AM$1005:$BM$1005,1,MATCH(COLUMNS($AM$1006:AR1006),$AM$1006:$BM$1006,0))&gt;=100000), " ",IF(INDEX($AM$2:$BM$1001,MATCH(ROWS($AF$2:AF327),$AF$2:$AF$1001,0),MATCH(COLUMNS($AM$1006:AR1006),$AM$1006:$BM$1006,0)), HYPERLINK("#",""), HYPERLINK(CONCATENATE("#metadata!", ADDRESS(INDEX($AH$2:$AH$1001,MATCH(ROWS($AF$2:AF327),$AF$2:$AF$1001,0),0), INDEX($AM$1004:$BM$1004,1,MATCH(COLUMNS($AM$1006:AR1006),$AM$1006:$BM$1006,0)))),"Fix")))</f>
        <v xml:space="preserve"> </v>
      </c>
      <c r="H327" s="4" t="str">
        <f ca="1">IF(OR(INDEX($AG$2:$AG$1001,MATCH(ROWS($AF$2:AF327),$AF$2:$AF$1001,0),1)&gt;=100000,INDEX($AM$1005:$BM$1005,1,MATCH(COLUMNS($AM$1006:AS1006),$AM$1006:$BM$1006,0))&gt;=100000), " ",IF(INDEX($AM$2:$BM$1001,MATCH(ROWS($AF$2:AF327),$AF$2:$AF$1001,0),MATCH(COLUMNS($AM$1006:AS1006),$AM$1006:$BM$1006,0)), HYPERLINK("#",""), HYPERLINK(CONCATENATE("#metadata!", ADDRESS(INDEX($AH$2:$AH$1001,MATCH(ROWS($AF$2:AF327),$AF$2:$AF$1001,0),0), INDEX($AM$1004:$BM$1004,1,MATCH(COLUMNS($AM$1006:AS1006),$AM$1006:$BM$1006,0)))),"Fix")))</f>
        <v xml:space="preserve"> </v>
      </c>
      <c r="I327" s="4" t="str">
        <f ca="1">IF(OR(INDEX($AG$2:$AG$1001,MATCH(ROWS($AF$2:AF327),$AF$2:$AF$1001,0),1)&gt;=100000,INDEX($AM$1005:$BM$1005,1,MATCH(COLUMNS($AM$1006:AT1006),$AM$1006:$BM$1006,0))&gt;=100000), " ",IF(INDEX($AM$2:$BM$1001,MATCH(ROWS($AF$2:AF327),$AF$2:$AF$1001,0),MATCH(COLUMNS($AM$1006:AT1006),$AM$1006:$BM$1006,0)), HYPERLINK("#",""), HYPERLINK(CONCATENATE("#metadata!", ADDRESS(INDEX($AH$2:$AH$1001,MATCH(ROWS($AF$2:AF327),$AF$2:$AF$1001,0),0), INDEX($AM$1004:$BM$1004,1,MATCH(COLUMNS($AM$1006:AT1006),$AM$1006:$BM$1006,0)))),"Fix")))</f>
        <v xml:space="preserve"> </v>
      </c>
      <c r="J327" s="4" t="str">
        <f ca="1">IF(OR(INDEX($AG$2:$AG$1001,MATCH(ROWS($AF$2:AF327),$AF$2:$AF$1001,0),1)&gt;=100000,INDEX($AM$1005:$BM$1005,1,MATCH(COLUMNS($AM$1006:AU1006),$AM$1006:$BM$1006,0))&gt;=100000), " ",IF(INDEX($AM$2:$BM$1001,MATCH(ROWS($AF$2:AF327),$AF$2:$AF$1001,0),MATCH(COLUMNS($AM$1006:AU1006),$AM$1006:$BM$1006,0)), HYPERLINK("#",""), HYPERLINK(CONCATENATE("#metadata!", ADDRESS(INDEX($AH$2:$AH$1001,MATCH(ROWS($AF$2:AF327),$AF$2:$AF$1001,0),0), INDEX($AM$1004:$BM$1004,1,MATCH(COLUMNS($AM$1006:AU1006),$AM$1006:$BM$1006,0)))),"Fix")))</f>
        <v xml:space="preserve"> </v>
      </c>
      <c r="K327" s="4" t="str">
        <f ca="1">IF(OR(INDEX($AG$2:$AG$1001,MATCH(ROWS($AF$2:AF327),$AF$2:$AF$1001,0),1)&gt;=100000,INDEX($AM$1005:$BM$1005,1,MATCH(COLUMNS($AM$1006:AV1006),$AM$1006:$BM$1006,0))&gt;=100000), " ",IF(INDEX($AM$2:$BM$1001,MATCH(ROWS($AF$2:AF327),$AF$2:$AF$1001,0),MATCH(COLUMNS($AM$1006:AV1006),$AM$1006:$BM$1006,0)), HYPERLINK("#",""), HYPERLINK(CONCATENATE("#metadata!", ADDRESS(INDEX($AH$2:$AH$1001,MATCH(ROWS($AF$2:AF327),$AF$2:$AF$1001,0),0), INDEX($AM$1004:$BM$1004,1,MATCH(COLUMNS($AM$1006:AV1006),$AM$1006:$BM$1006,0)))),"Fix")))</f>
        <v xml:space="preserve"> </v>
      </c>
      <c r="L327" s="4" t="str">
        <f ca="1">IF(OR(INDEX($AG$2:$AG$1001,MATCH(ROWS($AF$2:AF327),$AF$2:$AF$1001,0),1)&gt;=100000,INDEX($AM$1005:$BM$1005,1,MATCH(COLUMNS($AM$1006:AW1006),$AM$1006:$BM$1006,0))&gt;=100000), " ",IF(INDEX($AM$2:$BM$1001,MATCH(ROWS($AF$2:AF327),$AF$2:$AF$1001,0),MATCH(COLUMNS($AM$1006:AW1006),$AM$1006:$BM$1006,0)), HYPERLINK("#",""), HYPERLINK(CONCATENATE("#metadata!", ADDRESS(INDEX($AH$2:$AH$1001,MATCH(ROWS($AF$2:AF327),$AF$2:$AF$1001,0),0), INDEX($AM$1004:$BM$1004,1,MATCH(COLUMNS($AM$1006:AW1006),$AM$1006:$BM$1006,0)))),"Fix")))</f>
        <v xml:space="preserve"> </v>
      </c>
      <c r="M327" s="4" t="str">
        <f ca="1">IF(OR(INDEX($AG$2:$AG$1001,MATCH(ROWS($AF$2:AF327),$AF$2:$AF$1001,0),1)&gt;=100000,INDEX($AM$1005:$BM$1005,1,MATCH(COLUMNS($AM$1006:AX1006),$AM$1006:$BM$1006,0))&gt;=100000), " ",IF(INDEX($AM$2:$BM$1001,MATCH(ROWS($AF$2:AF327),$AF$2:$AF$1001,0),MATCH(COLUMNS($AM$1006:AX1006),$AM$1006:$BM$1006,0)), HYPERLINK("#",""), HYPERLINK(CONCATENATE("#metadata!", ADDRESS(INDEX($AH$2:$AH$1001,MATCH(ROWS($AF$2:AF327),$AF$2:$AF$1001,0),0), INDEX($AM$1004:$BM$1004,1,MATCH(COLUMNS($AM$1006:AX1006),$AM$1006:$BM$1006,0)))),"Fix")))</f>
        <v xml:space="preserve"> </v>
      </c>
      <c r="N327" s="4" t="str">
        <f ca="1">IF(OR(INDEX($AG$2:$AG$1001,MATCH(ROWS($AF$2:AF327),$AF$2:$AF$1001,0),1)&gt;=100000,INDEX($AM$1005:$BM$1005,1,MATCH(COLUMNS($AM$1006:AY1006),$AM$1006:$BM$1006,0))&gt;=100000), " ",IF(INDEX($AM$2:$BM$1001,MATCH(ROWS($AF$2:AF327),$AF$2:$AF$1001,0),MATCH(COLUMNS($AM$1006:AY1006),$AM$1006:$BM$1006,0)), HYPERLINK("#",""), HYPERLINK(CONCATENATE("#metadata!", ADDRESS(INDEX($AH$2:$AH$1001,MATCH(ROWS($AF$2:AF327),$AF$2:$AF$1001,0),0), INDEX($AM$1004:$BM$1004,1,MATCH(COLUMNS($AM$1006:AY1006),$AM$1006:$BM$1006,0)))),"Fix")))</f>
        <v xml:space="preserve"> </v>
      </c>
      <c r="O327" s="4" t="str">
        <f ca="1">IF(OR(INDEX($AG$2:$AG$1001,MATCH(ROWS($AF$2:AF327),$AF$2:$AF$1001,0),1)&gt;=100000,INDEX($AM$1005:$BM$1005,1,MATCH(COLUMNS($AM$1006:AZ1006),$AM$1006:$BM$1006,0))&gt;=100000), " ",IF(INDEX($AM$2:$BM$1001,MATCH(ROWS($AF$2:AF327),$AF$2:$AF$1001,0),MATCH(COLUMNS($AM$1006:AZ1006),$AM$1006:$BM$1006,0)), HYPERLINK("#",""), HYPERLINK(CONCATENATE("#metadata!", ADDRESS(INDEX($AH$2:$AH$1001,MATCH(ROWS($AF$2:AF327),$AF$2:$AF$1001,0),0), INDEX($AM$1004:$BM$1004,1,MATCH(COLUMNS($AM$1006:AZ1006),$AM$1006:$BM$1006,0)))),"Fix")))</f>
        <v xml:space="preserve"> </v>
      </c>
      <c r="P327" s="4" t="str">
        <f ca="1">IF(OR(INDEX($AG$2:$AG$1001,MATCH(ROWS($AF$2:AF327),$AF$2:$AF$1001,0),1)&gt;=100000,INDEX($AM$1005:$BM$1005,1,MATCH(COLUMNS($AM$1006:BA1006),$AM$1006:$BM$1006,0))&gt;=100000), " ",IF(INDEX($AM$2:$BM$1001,MATCH(ROWS($AF$2:AF327),$AF$2:$AF$1001,0),MATCH(COLUMNS($AM$1006:BA1006),$AM$1006:$BM$1006,0)), HYPERLINK("#",""), HYPERLINK(CONCATENATE("#metadata!", ADDRESS(INDEX($AH$2:$AH$1001,MATCH(ROWS($AF$2:AF327),$AF$2:$AF$1001,0),0), INDEX($AM$1004:$BM$1004,1,MATCH(COLUMNS($AM$1006:BA1006),$AM$1006:$BM$1006,0)))),"Fix")))</f>
        <v xml:space="preserve"> </v>
      </c>
      <c r="Q327" s="4" t="str">
        <f ca="1">IF(OR(INDEX($AG$2:$AG$1001,MATCH(ROWS($AF$2:AF327),$AF$2:$AF$1001,0),1)&gt;=100000,INDEX($AM$1005:$BM$1005,1,MATCH(COLUMNS($AM$1006:BB1006),$AM$1006:$BM$1006,0))&gt;=100000), " ",IF(INDEX($AM$2:$BM$1001,MATCH(ROWS($AF$2:AF327),$AF$2:$AF$1001,0),MATCH(COLUMNS($AM$1006:BB1006),$AM$1006:$BM$1006,0)), HYPERLINK("#",""), HYPERLINK(CONCATENATE("#metadata!", ADDRESS(INDEX($AH$2:$AH$1001,MATCH(ROWS($AF$2:AF327),$AF$2:$AF$1001,0),0), INDEX($AM$1004:$BM$1004,1,MATCH(COLUMNS($AM$1006:BB1006),$AM$1006:$BM$1006,0)))),"Fix")))</f>
        <v xml:space="preserve"> </v>
      </c>
      <c r="R327" s="4" t="str">
        <f ca="1">IF(OR(INDEX($AG$2:$AG$1001,MATCH(ROWS($AF$2:AF327),$AF$2:$AF$1001,0),1)&gt;=100000,INDEX($AM$1005:$BM$1005,1,MATCH(COLUMNS($AM$1006:BC1006),$AM$1006:$BM$1006,0))&gt;=100000), " ",IF(INDEX($AM$2:$BM$1001,MATCH(ROWS($AF$2:AF327),$AF$2:$AF$1001,0),MATCH(COLUMNS($AM$1006:BC1006),$AM$1006:$BM$1006,0)), HYPERLINK("#",""), HYPERLINK(CONCATENATE("#metadata!", ADDRESS(INDEX($AH$2:$AH$1001,MATCH(ROWS($AF$2:AF327),$AF$2:$AF$1001,0),0), INDEX($AM$1004:$BM$1004,1,MATCH(COLUMNS($AM$1006:BC1006),$AM$1006:$BM$1006,0)))),"Fix")))</f>
        <v xml:space="preserve"> </v>
      </c>
      <c r="S327" s="4" t="str">
        <f ca="1">IF(OR(INDEX($AG$2:$AG$1001,MATCH(ROWS($AF$2:AF327),$AF$2:$AF$1001,0),1)&gt;=100000,INDEX($AM$1005:$BM$1005,1,MATCH(COLUMNS($AM$1006:BD1006),$AM$1006:$BM$1006,0))&gt;=100000), " ",IF(INDEX($AM$2:$BM$1001,MATCH(ROWS($AF$2:AF327),$AF$2:$AF$1001,0),MATCH(COLUMNS($AM$1006:BD1006),$AM$1006:$BM$1006,0)), HYPERLINK("#",""), HYPERLINK(CONCATENATE("#metadata!", ADDRESS(INDEX($AH$2:$AH$1001,MATCH(ROWS($AF$2:AF327),$AF$2:$AF$1001,0),0), INDEX($AM$1004:$BM$1004,1,MATCH(COLUMNS($AM$1006:BD1006),$AM$1006:$BM$1006,0)))),"Fix")))</f>
        <v xml:space="preserve"> </v>
      </c>
      <c r="T327" s="4" t="str">
        <f ca="1">IF(OR(INDEX($AG$2:$AG$1001,MATCH(ROWS($AF$2:AF327),$AF$2:$AF$1001,0),1)&gt;=100000,INDEX($AM$1005:$BM$1005,1,MATCH(COLUMNS($AM$1006:BE1006),$AM$1006:$BM$1006,0))&gt;=100000), " ",IF(INDEX($AM$2:$BM$1001,MATCH(ROWS($AF$2:AF327),$AF$2:$AF$1001,0),MATCH(COLUMNS($AM$1006:BE1006),$AM$1006:$BM$1006,0)), HYPERLINK("#",""), HYPERLINK(CONCATENATE("#metadata!", ADDRESS(INDEX($AH$2:$AH$1001,MATCH(ROWS($AF$2:AF327),$AF$2:$AF$1001,0),0), INDEX($AM$1004:$BM$1004,1,MATCH(COLUMNS($AM$1006:BE1006),$AM$1006:$BM$1006,0)))),"Fix")))</f>
        <v xml:space="preserve"> </v>
      </c>
      <c r="U327" s="4" t="str">
        <f ca="1">IF(OR(INDEX($AG$2:$AG$1001,MATCH(ROWS($AF$2:AF327),$AF$2:$AF$1001,0),1)&gt;=100000,INDEX($AM$1005:$BM$1005,1,MATCH(COLUMNS($AM$1006:BF1006),$AM$1006:$BM$1006,0))&gt;=100000), " ",IF(INDEX($AM$2:$BM$1001,MATCH(ROWS($AF$2:AF327),$AF$2:$AF$1001,0),MATCH(COLUMNS($AM$1006:BF1006),$AM$1006:$BM$1006,0)), HYPERLINK("#",""), HYPERLINK(CONCATENATE("#metadata!", ADDRESS(INDEX($AH$2:$AH$1001,MATCH(ROWS($AF$2:AF327),$AF$2:$AF$1001,0),0), INDEX($AM$1004:$BM$1004,1,MATCH(COLUMNS($AM$1006:BF1006),$AM$1006:$BM$1006,0)))),"Fix")))</f>
        <v xml:space="preserve"> </v>
      </c>
      <c r="V327" s="4" t="str">
        <f ca="1">IF(OR(INDEX($AG$2:$AG$1001,MATCH(ROWS($AF$2:AF327),$AF$2:$AF$1001,0),1)&gt;=100000,INDEX($AM$1005:$BM$1005,1,MATCH(COLUMNS($AM$1006:BG1006),$AM$1006:$BM$1006,0))&gt;=100000), " ",IF(INDEX($AM$2:$BM$1001,MATCH(ROWS($AF$2:AF327),$AF$2:$AF$1001,0),MATCH(COLUMNS($AM$1006:BG1006),$AM$1006:$BM$1006,0)), HYPERLINK("#",""), HYPERLINK(CONCATENATE("#metadata!", ADDRESS(INDEX($AH$2:$AH$1001,MATCH(ROWS($AF$2:AF327),$AF$2:$AF$1001,0),0), INDEX($AM$1004:$BM$1004,1,MATCH(COLUMNS($AM$1006:BG1006),$AM$1006:$BM$1006,0)))),"Fix")))</f>
        <v xml:space="preserve"> </v>
      </c>
      <c r="W327" s="4" t="str">
        <f ca="1">IF(OR(INDEX($AG$2:$AG$1001,MATCH(ROWS($AF$2:AF327),$AF$2:$AF$1001,0),1)&gt;=100000,INDEX($AM$1005:$BM$1005,1,MATCH(COLUMNS($AM$1006:BH1006),$AM$1006:$BM$1006,0))&gt;=100000), " ",IF(INDEX($AM$2:$BM$1001,MATCH(ROWS($AF$2:AF327),$AF$2:$AF$1001,0),MATCH(COLUMNS($AM$1006:BH1006),$AM$1006:$BM$1006,0)), HYPERLINK("#",""), HYPERLINK(CONCATENATE("#metadata!", ADDRESS(INDEX($AH$2:$AH$1001,MATCH(ROWS($AF$2:AF327),$AF$2:$AF$1001,0),0), INDEX($AM$1004:$BM$1004,1,MATCH(COLUMNS($AM$1006:BH1006),$AM$1006:$BM$1006,0)))),"Fix")))</f>
        <v xml:space="preserve"> </v>
      </c>
      <c r="X327" s="4" t="str">
        <f ca="1">IF(OR(INDEX($AG$2:$AG$1001,MATCH(ROWS($AF$2:AF327),$AF$2:$AF$1001,0),1)&gt;=100000,INDEX($AM$1005:$BM$1005,1,MATCH(COLUMNS($AM$1006:BI1006),$AM$1006:$BM$1006,0))&gt;=100000), " ",IF(INDEX($AM$2:$BM$1001,MATCH(ROWS($AF$2:AF327),$AF$2:$AF$1001,0),MATCH(COLUMNS($AM$1006:BI1006),$AM$1006:$BM$1006,0)), HYPERLINK("#",""), HYPERLINK(CONCATENATE("#metadata!", ADDRESS(INDEX($AH$2:$AH$1001,MATCH(ROWS($AF$2:AF327),$AF$2:$AF$1001,0),0), INDEX($AM$1004:$BM$1004,1,MATCH(COLUMNS($AM$1006:BI1006),$AM$1006:$BM$1006,0)))),"Fix")))</f>
        <v xml:space="preserve"> </v>
      </c>
      <c r="Y327" s="4" t="str">
        <f ca="1">IF(OR(INDEX($AG$2:$AG$1001,MATCH(ROWS($AF$2:AF327),$AF$2:$AF$1001,0),1)&gt;=100000,INDEX($AM$1005:$BM$1005,1,MATCH(COLUMNS($AM$1006:BJ1006),$AM$1006:$BM$1006,0))&gt;=100000), " ",IF(INDEX($AM$2:$BM$1001,MATCH(ROWS($AF$2:AF327),$AF$2:$AF$1001,0),MATCH(COLUMNS($AM$1006:BJ1006),$AM$1006:$BM$1006,0)), HYPERLINK("#",""), HYPERLINK(CONCATENATE("#metadata!", ADDRESS(INDEX($AH$2:$AH$1001,MATCH(ROWS($AF$2:AF327),$AF$2:$AF$1001,0),0), INDEX($AM$1004:$BM$1004,1,MATCH(COLUMNS($AM$1006:BJ1006),$AM$1006:$BM$1006,0)))),"Fix")))</f>
        <v xml:space="preserve"> </v>
      </c>
      <c r="Z327" s="4" t="str">
        <f ca="1">IF(OR(INDEX($AG$2:$AG$1001,MATCH(ROWS($AF$2:AF327),$AF$2:$AF$1001,0),1)&gt;=100000,INDEX($AM$1005:$BM$1005,1,MATCH(COLUMNS($AM$1006:BK1006),$AM$1006:$BM$1006,0))&gt;=100000), " ",IF(INDEX($AM$2:$BM$1001,MATCH(ROWS($AF$2:AF327),$AF$2:$AF$1001,0),MATCH(COLUMNS($AM$1006:BK1006),$AM$1006:$BM$1006,0)), HYPERLINK("#",""), HYPERLINK(CONCATENATE("#metadata!", ADDRESS(INDEX($AH$2:$AH$1001,MATCH(ROWS($AF$2:AF327),$AF$2:$AF$1001,0),0), INDEX($AM$1004:$BM$1004,1,MATCH(COLUMNS($AM$1006:BK1006),$AM$1006:$BM$1006,0)))),"Fix")))</f>
        <v xml:space="preserve"> </v>
      </c>
      <c r="AA327" s="4" t="str">
        <f ca="1">IF(OR(INDEX($AG$2:$AG$1001,MATCH(ROWS($AF$2:AF327),$AF$2:$AF$1001,0),1)&gt;=100000,INDEX($AM$1005:$BM$1005,1,MATCH(COLUMNS($AM$1006:BL1006),$AM$1006:$BM$1006,0))&gt;=100000), " ",IF(INDEX($AM$2:$BM$1001,MATCH(ROWS($AF$2:AF327),$AF$2:$AF$1001,0),MATCH(COLUMNS($AM$1006:BL1006),$AM$1006:$BM$1006,0)), HYPERLINK("#",""), HYPERLINK(CONCATENATE("#metadata!", ADDRESS(INDEX($AH$2:$AH$1001,MATCH(ROWS($AF$2:AF327),$AF$2:$AF$1001,0),0), INDEX($AM$1004:$BM$1004,1,MATCH(COLUMNS($AM$1006:BL1006),$AM$1006:$BM$1006,0)))),"Fix")))</f>
        <v xml:space="preserve"> </v>
      </c>
      <c r="AB327" s="4" t="str">
        <f ca="1">IF(OR(INDEX($AG$2:$AG$1001,MATCH(ROWS($AF$2:AF327),$AF$2:$AF$1001,0),1)&gt;=100000,INDEX($AM$1005:$BM$1005,1,MATCH(COLUMNS($AM$1006:BM1006),$AM$1006:$BM$1006,0))&gt;=100000), " ",IF(INDEX($AM$2:$BM$1001,MATCH(ROWS($AF$2:AF327),$AF$2:$AF$1001,0),MATCH(COLUMNS($AM$1006:BM1006),$AM$1006:$BM$1006,0)), HYPERLINK("#",""), HYPERLINK(CONCATENATE("#metadata!", ADDRESS(INDEX($AH$2:$AH$1001,MATCH(ROWS($AF$2:AF327),$AF$2:$AF$1001,0),0), INDEX($AM$1004:$BM$1004,1,MATCH(COLUMNS($AM$1006:BM1006),$AM$1006:$BM$1006,0)))),"Fix")))</f>
        <v xml:space="preserve"> </v>
      </c>
      <c r="AF327">
        <v>326</v>
      </c>
      <c r="AG327">
        <v>100327</v>
      </c>
      <c r="AH327">
        <v>327</v>
      </c>
      <c r="AI327" t="b">
        <f t="shared" si="5"/>
        <v>1</v>
      </c>
      <c r="AJ327" t="b">
        <f>COUNTBLANK(metadata!B327:AB327)=COLUMNS(metadata!B327:AB327)</f>
        <v>1</v>
      </c>
      <c r="AK327" t="str">
        <v/>
      </c>
      <c r="AM327" t="b">
        <f ca="1">AND(IF(metadata!B327="",FALSE,TRUE),COUNTIF(metadata!B:B, metadata!B327) = 1,NOT(ISERROR(SUMPRODUCT(SEARCH(MID(metadata!B327,ROW(INDIRECT("1:"&amp;LEN(metadata!B327))), 1),"0123456789abcdefghijklmnopqrstuvwxyzABCDEFGHIJKLMNOPQRSTUVWXYZ.")))))</f>
        <v>0</v>
      </c>
      <c r="AN327" t="b">
        <f ca="1">OR(AND(IF(metadata!C327="",FALSE,TRUE),OR(EXACT(metadata!C327,"missing: not collected"),EXACT(metadata!C327,"missing: not provided"),EXACT(metadata!C327,"missing: restricted access"))),AND(IF(metadata!C327="",FALSE,TRUE),AND(AND(IFERROR(INT(LEFT(metadata!C327,4))&gt;1900,FALSE),IFERROR(INT(LEFT(metadata!C327,4))&lt;=YEAR(NOW()),FALSE)), OR(MID(metadata!C327,5,1)="", AND(AND(MID(metadata!C327,5,1)="-",IFERROR(INT(MID(metadata!C327,6,1))&gt;=0,FALSE),IFERROR(INT(MID(metadata!C327,6,1))&lt;=1,FALSE),NOT(MID(metadata!C327,7,1)=""),IFERROR(INT(MID(metadata!C327,6,2))&gt;=1,FALSE),IFERROR(INT(MID(metadata!C327,6,2))&lt;=12,FALSE)), OR(MID(metadata!C327,8,1)="", AND(AND(MID(metadata!C327,8,1)="-",IFERROR(INT(MID(metadata!C327,9,1))&gt;=0,FALSE),IFERROR(INT(MID(metadata!C327,9,1))&lt;=3,FALSE),NOT(MID(metadata!C327,10,1)=""),IFERROR(INT(MID(metadata!C327,9,2))&gt;=1,FALSE),IFERROR(INT(MID(metadata!C327,9,2))&lt;=31,FALSE)), OR(MID(metadata!C327,11,1)="", AND(AND(MID(metadata!C327,11,1)=" ",IFERROR(INT(MID(metadata!C327,12,1))&gt;=0,FALSE),IFERROR(INT(MID(metadata!C327,12,1))&lt;=2,FALSE),NOT(MID(metadata!C327,13,1)=""),IFERROR(INT(MID(metadata!C327,12,2))&gt;=0,FALSE),IFERROR(INT(MID(metadata!C327,12,2))&lt;=23,FALSE)), OR(MID(metadata!C327,14,1)="", AND(AND(MID(metadata!C327,14,1)=":",IFERROR(INT(MID(metadata!C327,15,1))&gt;=0,FALSE),IFERROR(INT(MID(metadata!C327,15,1))&lt;=5,FALSE),NOT(MID(metadata!C327,16,1)=""),IFERROR(INT(MID(metadata!C327,15,2))&gt;=0,FALSE),IFERROR(INT(MID(metadata!C327,15,2))&lt;=59,FALSE)), OR(MID(metadata!C327,17,1)="", AND(AND(MID(metadata!C327,17,1)=":",IFERROR(INT(MID(metadata!C327,18,1))&gt;=0,FALSE),IFERROR(INT(MID(metadata!C327,18,1))&lt;=5,FALSE),NOT(MID(metadata!C327,19,1)=""),IFERROR(INT(MID(metadata!C327,18,2))&gt;=0,FALSE),IFERROR(INT(MID(metadata!C327,18,2))&lt;=59,FALSE)), LEN(metadata!C327)&lt;=19)))))))))))))</f>
        <v>0</v>
      </c>
      <c r="AO327" t="b">
        <f>AND(IF(metadata!D327="",FALSE,TRUE),EXACT(metadata!D327,"Not applicable"))</f>
        <v>0</v>
      </c>
      <c r="AP327" t="b">
        <f>IF(metadata!E327="",FALSE,TRUE)</f>
        <v>0</v>
      </c>
      <c r="AQ327" t="b">
        <f>OR(AND(IF(metadata!F327="",FALSE,TRUE),OR(EXACT(metadata!F327,"missing: not collected"),EXACT(metadata!F327,"missing: not provided"))),AND(IF(metadata!F327="",FALSE,TRUE),OR(EXACT(metadata!F327,"TRUE"),EXACT(metadata!F327,"FALSE"))))</f>
        <v>0</v>
      </c>
      <c r="AR327" t="b">
        <f>OR(AND(IF(metadata!G327="",FALSE,TRUE),OR(EXACT(metadata!G327,"missing: not collected"),EXACT(metadata!G327,"missing: not provided"),EXACT(metadata!G327,"missing: restricted access"))),AND(IF(metadata!G327="",FALSE,ISNUMBER(VALUE(metadata!G327))),metadata!G327&gt;=-413))</f>
        <v>0</v>
      </c>
      <c r="AS327" t="b">
        <f>AND(IF(metadata!H327="",FALSE,TRUE),EXACT(metadata!H327,"meters"))</f>
        <v>0</v>
      </c>
      <c r="AT327" t="b">
        <f>AND(IF(metadata!I327="",FALSE,TRUE),OR(EXACT(metadata!I327,"Host-associated"),EXACT(metadata!I327,"Free-living")))</f>
        <v>0</v>
      </c>
      <c r="AU327" t="b">
        <f>AND(IF(metadata!J327="",FALSE,TRUE),OR(EXACT(metadata!J327,"Animal"),EXACT(metadata!J327,"Fungus"),EXACT(metadata!J327,"Plant"),EXACT(metadata!J327,"Saline"),EXACT(metadata!J327,"Non-saline")))</f>
        <v>0</v>
      </c>
      <c r="AV327" t="b">
        <f>AND(IF(metadata!K327="",FALSE,TRUE),OR(EXACT(metadata!K327,"Plant secretion"),EXACT(metadata!K327,"Plant rhizosphere"),EXACT(metadata!K327,"Plant surface"),EXACT(metadata!K327,"Plant corpus"),EXACT(metadata!K327,"Fungus surface"),EXACT(metadata!K327,"Fungus corpus"),EXACT(metadata!K327,"Animal surface"),EXACT(metadata!K327,"Animal proximal gut"),EXACT(metadata!K327,"Animal corpus"),EXACT(metadata!K327,"Animal distal gut"),EXACT(metadata!K327,"Animal secretion"),EXACT(metadata!K327,"Sub-surface (non-saline)"),EXACT(metadata!K327,"Surface (non-saline)"),EXACT(metadata!K327,"Water (non-saline)"),EXACT(metadata!K327,"Soil (non-saline)"),EXACT(metadata!K327,"Aerosol (non-saline)"),EXACT(metadata!K327,"Sediment (non-saline)"),EXACT(metadata!K327,"Surface (saline)"),EXACT(metadata!K327,"Water (saline)"),EXACT(metadata!K327,"Hypersaline (saline)"),EXACT(metadata!K327,"Aerosol (saline)"),EXACT(metadata!K327,"Sediment (saline)")))</f>
        <v>0</v>
      </c>
      <c r="AW327" t="b">
        <f>IF(metadata!L327="",FALSE,TRUE)</f>
        <v>0</v>
      </c>
      <c r="AX327" t="b">
        <f>IF(metadata!M327="",FALSE,TRUE)</f>
        <v>0</v>
      </c>
      <c r="AY327" t="b">
        <f>IF(metadata!N327="",FALSE,TRUE)</f>
        <v>0</v>
      </c>
      <c r="AZ327" t="b">
        <f>OR(AND(IF(metadata!O327="",FALSE,TRUE),OR(EXACT(metadata!O327,"missing: not collected"),EXACT(metadata!O327,"missing: not provided"),EXACT(metadata!O327,"missing: restricted access"))),AND(IF(metadata!O327="",FALSE,TRUE),OR(EXACT(metadata!O327,"air"),EXACT(metadata!O327,"built environment"),EXACT(metadata!O327,"host-associated"),EXACT(metadata!O327,"human-associated"),EXACT(metadata!O327,"human-skin"),EXACT(metadata!O327,"human-oral"),EXACT(metadata!O327,"human-gut"),EXACT(metadata!O327,"human-vaginal"),EXACT(metadata!O327,"microbial mat/biofilm"),EXACT(metadata!O327,"misc environment"),EXACT(metadata!O327,"plant-associated"),EXACT(metadata!O327,"sediment"),EXACT(metadata!O327,"soil"),EXACT(metadata!O327,"wastewater/sludge"),EXACT(metadata!O327,"water"))))</f>
        <v>0</v>
      </c>
      <c r="BA327" t="b">
        <f>IF(metadata!P327="",FALSE,TRUE)</f>
        <v>0</v>
      </c>
      <c r="BB327" t="b">
        <f>IF(metadata!Q327="",FALSE,TRUE)</f>
        <v>0</v>
      </c>
      <c r="BC327" t="b">
        <f>OR(AND(IF(metadata!R327="",FALSE,TRUE),OR(EXACT(metadata!R327,"missing: not collected"),EXACT(metadata!R327,"missing: not provided"),EXACT(metadata!R327,"missing: restricted access"))),AND(IF(metadata!R327="",FALSE,ISNUMBER(VALUE(metadata!R327))),metadata!R327&gt;=-90,metadata!R327&lt;=90))</f>
        <v>0</v>
      </c>
      <c r="BD327" t="b">
        <f>AND(IF(metadata!S327="",FALSE,TRUE),EXACT(metadata!S327,"Decimal degrees"))</f>
        <v>0</v>
      </c>
      <c r="BE327" t="b">
        <f>OR(AND(IF(metadata!T327="",FALSE,TRUE),OR(EXACT(metadata!T327,"missing: not collected"),EXACT(metadata!T327,"missing: not provided"),EXACT(metadata!T327,"missing: restricted access"))),AND(IF(metadata!T327="",FALSE,ISNUMBER(VALUE(metadata!T327))),metadata!T327&gt;=-180,metadata!T327&lt;=180))</f>
        <v>0</v>
      </c>
      <c r="BF327" t="b">
        <f>AND(IF(metadata!U327="",FALSE,TRUE),EXACT(metadata!U327,"Decimal degrees"))</f>
        <v>0</v>
      </c>
      <c r="BG327" t="b">
        <f>IF(metadata!V327="",FALSE,TRUE)</f>
        <v>0</v>
      </c>
      <c r="BH327" t="b">
        <f>OR(AND(IF(metadata!W327="",FALSE,TRUE),OR(EXACT(metadata!W327,"missing: not collected"),EXACT(metadata!W327,"missing: not provided"),EXACT(metadata!W327,"missing: restricted access"))),AND(IF(metadata!W327="",FALSE,TRUE),OR(EXACT(metadata!W327,"TRUE"),EXACT(metadata!W327,"FALSE"))))</f>
        <v>0</v>
      </c>
      <c r="BI327" t="b">
        <f>AND(IF(metadata!X327="",FALSE,TRUE),EXACT(metadata!X327,"other"))</f>
        <v>0</v>
      </c>
      <c r="BJ327" t="b">
        <f>IF(metadata!Y327="",FALSE,TRUE)</f>
        <v>0</v>
      </c>
      <c r="BK327" t="b">
        <f>OR(AND(IF(metadata!Z327="",FALSE,TRUE),OR(EXACT(metadata!Z327,"missing: not collected"),EXACT(metadata!Z327,"missing: not provided"))),AND(IF(metadata!Z327="",FALSE,IF(ISERROR(INT(metadata!Z327)),FALSE,INT(metadata!Z327)=metadata!Z327)),metadata!Z327&gt;0))</f>
        <v>0</v>
      </c>
      <c r="BL327" t="b">
        <f>AND(IF(metadata!AA327="",FALSE,TRUE),EXACT(metadata!AA327,"Not applicable"))</f>
        <v>0</v>
      </c>
      <c r="BM327" t="b">
        <f>IF(metadata!AB327="",FALSE,TRUE)</f>
        <v>0</v>
      </c>
    </row>
    <row r="328" spans="1:65" x14ac:dyDescent="0.2">
      <c r="A328" s="5" t="str">
        <f ca="1">IF(B328=" "," ",HYPERLINK(CONCATENATE("#metadata!",ADDRESS(INDEX($AH$2:$AH$1001,MATCH(ROWS($AF$2:AF328),$AF$2:$AF$1001,0),0),1)),INDEX($AK$2:$AK$1001,MATCH(ROWS($AF$2:AF328),$AF$2:$AF$1001,0),0)))</f>
        <v xml:space="preserve"> </v>
      </c>
      <c r="B328" s="4" t="str">
        <f ca="1">IF(OR(INDEX($AG$2:$AG$1001,MATCH(ROWS($AF$2:AF328),$AF$2:$AF$1001,0),1)&gt;=100000,INDEX($AM$1005:$BM$1005,1,MATCH(COLUMNS($AM$1006:AM1006),$AM$1006:$BM$1006,0))&gt;=100000), " ",IF(INDEX($AM$2:$BM$1001,MATCH(ROWS($AF$2:AF328),$AF$2:$AF$1001,0),MATCH(COLUMNS($AM$1006:AM1006),$AM$1006:$BM$1006,0)), HYPERLINK("#",""), HYPERLINK(CONCATENATE("#metadata!", ADDRESS(INDEX($AH$2:$AH$1001,MATCH(ROWS($AF$2:AF328),$AF$2:$AF$1001,0),0), INDEX($AM$1004:$BM$1004,1,MATCH(COLUMNS($AM$1006:AM1006),$AM$1006:$BM$1006,0)))),"Fix")))</f>
        <v xml:space="preserve"> </v>
      </c>
      <c r="C328" s="4" t="str">
        <f ca="1">IF(OR(INDEX($AG$2:$AG$1001,MATCH(ROWS($AF$2:AF328),$AF$2:$AF$1001,0),1)&gt;=100000,INDEX($AM$1005:$BM$1005,1,MATCH(COLUMNS($AM$1006:AN1006),$AM$1006:$BM$1006,0))&gt;=100000), " ",IF(INDEX($AM$2:$BM$1001,MATCH(ROWS($AF$2:AF328),$AF$2:$AF$1001,0),MATCH(COLUMNS($AM$1006:AN1006),$AM$1006:$BM$1006,0)), HYPERLINK("#",""), HYPERLINK(CONCATENATE("#metadata!", ADDRESS(INDEX($AH$2:$AH$1001,MATCH(ROWS($AF$2:AF328),$AF$2:$AF$1001,0),0), INDEX($AM$1004:$BM$1004,1,MATCH(COLUMNS($AM$1006:AN1006),$AM$1006:$BM$1006,0)))),"Fix")))</f>
        <v xml:space="preserve"> </v>
      </c>
      <c r="D328" s="4" t="str">
        <f ca="1">IF(OR(INDEX($AG$2:$AG$1001,MATCH(ROWS($AF$2:AF328),$AF$2:$AF$1001,0),1)&gt;=100000,INDEX($AM$1005:$BM$1005,1,MATCH(COLUMNS($AM$1006:AO1006),$AM$1006:$BM$1006,0))&gt;=100000), " ",IF(INDEX($AM$2:$BM$1001,MATCH(ROWS($AF$2:AF328),$AF$2:$AF$1001,0),MATCH(COLUMNS($AM$1006:AO1006),$AM$1006:$BM$1006,0)), HYPERLINK("#",""), HYPERLINK(CONCATENATE("#metadata!", ADDRESS(INDEX($AH$2:$AH$1001,MATCH(ROWS($AF$2:AF328),$AF$2:$AF$1001,0),0), INDEX($AM$1004:$BM$1004,1,MATCH(COLUMNS($AM$1006:AO1006),$AM$1006:$BM$1006,0)))),"Fix")))</f>
        <v xml:space="preserve"> </v>
      </c>
      <c r="E328" s="4" t="str">
        <f ca="1">IF(OR(INDEX($AG$2:$AG$1001,MATCH(ROWS($AF$2:AF328),$AF$2:$AF$1001,0),1)&gt;=100000,INDEX($AM$1005:$BM$1005,1,MATCH(COLUMNS($AM$1006:AP1006),$AM$1006:$BM$1006,0))&gt;=100000), " ",IF(INDEX($AM$2:$BM$1001,MATCH(ROWS($AF$2:AF328),$AF$2:$AF$1001,0),MATCH(COLUMNS($AM$1006:AP1006),$AM$1006:$BM$1006,0)), HYPERLINK("#",""), HYPERLINK(CONCATENATE("#metadata!", ADDRESS(INDEX($AH$2:$AH$1001,MATCH(ROWS($AF$2:AF328),$AF$2:$AF$1001,0),0), INDEX($AM$1004:$BM$1004,1,MATCH(COLUMNS($AM$1006:AP1006),$AM$1006:$BM$1006,0)))),"Fix")))</f>
        <v xml:space="preserve"> </v>
      </c>
      <c r="F328" s="4" t="str">
        <f ca="1">IF(OR(INDEX($AG$2:$AG$1001,MATCH(ROWS($AF$2:AF328),$AF$2:$AF$1001,0),1)&gt;=100000,INDEX($AM$1005:$BM$1005,1,MATCH(COLUMNS($AM$1006:AQ1006),$AM$1006:$BM$1006,0))&gt;=100000), " ",IF(INDEX($AM$2:$BM$1001,MATCH(ROWS($AF$2:AF328),$AF$2:$AF$1001,0),MATCH(COLUMNS($AM$1006:AQ1006),$AM$1006:$BM$1006,0)), HYPERLINK("#",""), HYPERLINK(CONCATENATE("#metadata!", ADDRESS(INDEX($AH$2:$AH$1001,MATCH(ROWS($AF$2:AF328),$AF$2:$AF$1001,0),0), INDEX($AM$1004:$BM$1004,1,MATCH(COLUMNS($AM$1006:AQ1006),$AM$1006:$BM$1006,0)))),"Fix")))</f>
        <v xml:space="preserve"> </v>
      </c>
      <c r="G328" s="4" t="str">
        <f ca="1">IF(OR(INDEX($AG$2:$AG$1001,MATCH(ROWS($AF$2:AF328),$AF$2:$AF$1001,0),1)&gt;=100000,INDEX($AM$1005:$BM$1005,1,MATCH(COLUMNS($AM$1006:AR1006),$AM$1006:$BM$1006,0))&gt;=100000), " ",IF(INDEX($AM$2:$BM$1001,MATCH(ROWS($AF$2:AF328),$AF$2:$AF$1001,0),MATCH(COLUMNS($AM$1006:AR1006),$AM$1006:$BM$1006,0)), HYPERLINK("#",""), HYPERLINK(CONCATENATE("#metadata!", ADDRESS(INDEX($AH$2:$AH$1001,MATCH(ROWS($AF$2:AF328),$AF$2:$AF$1001,0),0), INDEX($AM$1004:$BM$1004,1,MATCH(COLUMNS($AM$1006:AR1006),$AM$1006:$BM$1006,0)))),"Fix")))</f>
        <v xml:space="preserve"> </v>
      </c>
      <c r="H328" s="4" t="str">
        <f ca="1">IF(OR(INDEX($AG$2:$AG$1001,MATCH(ROWS($AF$2:AF328),$AF$2:$AF$1001,0),1)&gt;=100000,INDEX($AM$1005:$BM$1005,1,MATCH(COLUMNS($AM$1006:AS1006),$AM$1006:$BM$1006,0))&gt;=100000), " ",IF(INDEX($AM$2:$BM$1001,MATCH(ROWS($AF$2:AF328),$AF$2:$AF$1001,0),MATCH(COLUMNS($AM$1006:AS1006),$AM$1006:$BM$1006,0)), HYPERLINK("#",""), HYPERLINK(CONCATENATE("#metadata!", ADDRESS(INDEX($AH$2:$AH$1001,MATCH(ROWS($AF$2:AF328),$AF$2:$AF$1001,0),0), INDEX($AM$1004:$BM$1004,1,MATCH(COLUMNS($AM$1006:AS1006),$AM$1006:$BM$1006,0)))),"Fix")))</f>
        <v xml:space="preserve"> </v>
      </c>
      <c r="I328" s="4" t="str">
        <f ca="1">IF(OR(INDEX($AG$2:$AG$1001,MATCH(ROWS($AF$2:AF328),$AF$2:$AF$1001,0),1)&gt;=100000,INDEX($AM$1005:$BM$1005,1,MATCH(COLUMNS($AM$1006:AT1006),$AM$1006:$BM$1006,0))&gt;=100000), " ",IF(INDEX($AM$2:$BM$1001,MATCH(ROWS($AF$2:AF328),$AF$2:$AF$1001,0),MATCH(COLUMNS($AM$1006:AT1006),$AM$1006:$BM$1006,0)), HYPERLINK("#",""), HYPERLINK(CONCATENATE("#metadata!", ADDRESS(INDEX($AH$2:$AH$1001,MATCH(ROWS($AF$2:AF328),$AF$2:$AF$1001,0),0), INDEX($AM$1004:$BM$1004,1,MATCH(COLUMNS($AM$1006:AT1006),$AM$1006:$BM$1006,0)))),"Fix")))</f>
        <v xml:space="preserve"> </v>
      </c>
      <c r="J328" s="4" t="str">
        <f ca="1">IF(OR(INDEX($AG$2:$AG$1001,MATCH(ROWS($AF$2:AF328),$AF$2:$AF$1001,0),1)&gt;=100000,INDEX($AM$1005:$BM$1005,1,MATCH(COLUMNS($AM$1006:AU1006),$AM$1006:$BM$1006,0))&gt;=100000), " ",IF(INDEX($AM$2:$BM$1001,MATCH(ROWS($AF$2:AF328),$AF$2:$AF$1001,0),MATCH(COLUMNS($AM$1006:AU1006),$AM$1006:$BM$1006,0)), HYPERLINK("#",""), HYPERLINK(CONCATENATE("#metadata!", ADDRESS(INDEX($AH$2:$AH$1001,MATCH(ROWS($AF$2:AF328),$AF$2:$AF$1001,0),0), INDEX($AM$1004:$BM$1004,1,MATCH(COLUMNS($AM$1006:AU1006),$AM$1006:$BM$1006,0)))),"Fix")))</f>
        <v xml:space="preserve"> </v>
      </c>
      <c r="K328" s="4" t="str">
        <f ca="1">IF(OR(INDEX($AG$2:$AG$1001,MATCH(ROWS($AF$2:AF328),$AF$2:$AF$1001,0),1)&gt;=100000,INDEX($AM$1005:$BM$1005,1,MATCH(COLUMNS($AM$1006:AV1006),$AM$1006:$BM$1006,0))&gt;=100000), " ",IF(INDEX($AM$2:$BM$1001,MATCH(ROWS($AF$2:AF328),$AF$2:$AF$1001,0),MATCH(COLUMNS($AM$1006:AV1006),$AM$1006:$BM$1006,0)), HYPERLINK("#",""), HYPERLINK(CONCATENATE("#metadata!", ADDRESS(INDEX($AH$2:$AH$1001,MATCH(ROWS($AF$2:AF328),$AF$2:$AF$1001,0),0), INDEX($AM$1004:$BM$1004,1,MATCH(COLUMNS($AM$1006:AV1006),$AM$1006:$BM$1006,0)))),"Fix")))</f>
        <v xml:space="preserve"> </v>
      </c>
      <c r="L328" s="4" t="str">
        <f ca="1">IF(OR(INDEX($AG$2:$AG$1001,MATCH(ROWS($AF$2:AF328),$AF$2:$AF$1001,0),1)&gt;=100000,INDEX($AM$1005:$BM$1005,1,MATCH(COLUMNS($AM$1006:AW1006),$AM$1006:$BM$1006,0))&gt;=100000), " ",IF(INDEX($AM$2:$BM$1001,MATCH(ROWS($AF$2:AF328),$AF$2:$AF$1001,0),MATCH(COLUMNS($AM$1006:AW1006),$AM$1006:$BM$1006,0)), HYPERLINK("#",""), HYPERLINK(CONCATENATE("#metadata!", ADDRESS(INDEX($AH$2:$AH$1001,MATCH(ROWS($AF$2:AF328),$AF$2:$AF$1001,0),0), INDEX($AM$1004:$BM$1004,1,MATCH(COLUMNS($AM$1006:AW1006),$AM$1006:$BM$1006,0)))),"Fix")))</f>
        <v xml:space="preserve"> </v>
      </c>
      <c r="M328" s="4" t="str">
        <f ca="1">IF(OR(INDEX($AG$2:$AG$1001,MATCH(ROWS($AF$2:AF328),$AF$2:$AF$1001,0),1)&gt;=100000,INDEX($AM$1005:$BM$1005,1,MATCH(COLUMNS($AM$1006:AX1006),$AM$1006:$BM$1006,0))&gt;=100000), " ",IF(INDEX($AM$2:$BM$1001,MATCH(ROWS($AF$2:AF328),$AF$2:$AF$1001,0),MATCH(COLUMNS($AM$1006:AX1006),$AM$1006:$BM$1006,0)), HYPERLINK("#",""), HYPERLINK(CONCATENATE("#metadata!", ADDRESS(INDEX($AH$2:$AH$1001,MATCH(ROWS($AF$2:AF328),$AF$2:$AF$1001,0),0), INDEX($AM$1004:$BM$1004,1,MATCH(COLUMNS($AM$1006:AX1006),$AM$1006:$BM$1006,0)))),"Fix")))</f>
        <v xml:space="preserve"> </v>
      </c>
      <c r="N328" s="4" t="str">
        <f ca="1">IF(OR(INDEX($AG$2:$AG$1001,MATCH(ROWS($AF$2:AF328),$AF$2:$AF$1001,0),1)&gt;=100000,INDEX($AM$1005:$BM$1005,1,MATCH(COLUMNS($AM$1006:AY1006),$AM$1006:$BM$1006,0))&gt;=100000), " ",IF(INDEX($AM$2:$BM$1001,MATCH(ROWS($AF$2:AF328),$AF$2:$AF$1001,0),MATCH(COLUMNS($AM$1006:AY1006),$AM$1006:$BM$1006,0)), HYPERLINK("#",""), HYPERLINK(CONCATENATE("#metadata!", ADDRESS(INDEX($AH$2:$AH$1001,MATCH(ROWS($AF$2:AF328),$AF$2:$AF$1001,0),0), INDEX($AM$1004:$BM$1004,1,MATCH(COLUMNS($AM$1006:AY1006),$AM$1006:$BM$1006,0)))),"Fix")))</f>
        <v xml:space="preserve"> </v>
      </c>
      <c r="O328" s="4" t="str">
        <f ca="1">IF(OR(INDEX($AG$2:$AG$1001,MATCH(ROWS($AF$2:AF328),$AF$2:$AF$1001,0),1)&gt;=100000,INDEX($AM$1005:$BM$1005,1,MATCH(COLUMNS($AM$1006:AZ1006),$AM$1006:$BM$1006,0))&gt;=100000), " ",IF(INDEX($AM$2:$BM$1001,MATCH(ROWS($AF$2:AF328),$AF$2:$AF$1001,0),MATCH(COLUMNS($AM$1006:AZ1006),$AM$1006:$BM$1006,0)), HYPERLINK("#",""), HYPERLINK(CONCATENATE("#metadata!", ADDRESS(INDEX($AH$2:$AH$1001,MATCH(ROWS($AF$2:AF328),$AF$2:$AF$1001,0),0), INDEX($AM$1004:$BM$1004,1,MATCH(COLUMNS($AM$1006:AZ1006),$AM$1006:$BM$1006,0)))),"Fix")))</f>
        <v xml:space="preserve"> </v>
      </c>
      <c r="P328" s="4" t="str">
        <f ca="1">IF(OR(INDEX($AG$2:$AG$1001,MATCH(ROWS($AF$2:AF328),$AF$2:$AF$1001,0),1)&gt;=100000,INDEX($AM$1005:$BM$1005,1,MATCH(COLUMNS($AM$1006:BA1006),$AM$1006:$BM$1006,0))&gt;=100000), " ",IF(INDEX($AM$2:$BM$1001,MATCH(ROWS($AF$2:AF328),$AF$2:$AF$1001,0),MATCH(COLUMNS($AM$1006:BA1006),$AM$1006:$BM$1006,0)), HYPERLINK("#",""), HYPERLINK(CONCATENATE("#metadata!", ADDRESS(INDEX($AH$2:$AH$1001,MATCH(ROWS($AF$2:AF328),$AF$2:$AF$1001,0),0), INDEX($AM$1004:$BM$1004,1,MATCH(COLUMNS($AM$1006:BA1006),$AM$1006:$BM$1006,0)))),"Fix")))</f>
        <v xml:space="preserve"> </v>
      </c>
      <c r="Q328" s="4" t="str">
        <f ca="1">IF(OR(INDEX($AG$2:$AG$1001,MATCH(ROWS($AF$2:AF328),$AF$2:$AF$1001,0),1)&gt;=100000,INDEX($AM$1005:$BM$1005,1,MATCH(COLUMNS($AM$1006:BB1006),$AM$1006:$BM$1006,0))&gt;=100000), " ",IF(INDEX($AM$2:$BM$1001,MATCH(ROWS($AF$2:AF328),$AF$2:$AF$1001,0),MATCH(COLUMNS($AM$1006:BB1006),$AM$1006:$BM$1006,0)), HYPERLINK("#",""), HYPERLINK(CONCATENATE("#metadata!", ADDRESS(INDEX($AH$2:$AH$1001,MATCH(ROWS($AF$2:AF328),$AF$2:$AF$1001,0),0), INDEX($AM$1004:$BM$1004,1,MATCH(COLUMNS($AM$1006:BB1006),$AM$1006:$BM$1006,0)))),"Fix")))</f>
        <v xml:space="preserve"> </v>
      </c>
      <c r="R328" s="4" t="str">
        <f ca="1">IF(OR(INDEX($AG$2:$AG$1001,MATCH(ROWS($AF$2:AF328),$AF$2:$AF$1001,0),1)&gt;=100000,INDEX($AM$1005:$BM$1005,1,MATCH(COLUMNS($AM$1006:BC1006),$AM$1006:$BM$1006,0))&gt;=100000), " ",IF(INDEX($AM$2:$BM$1001,MATCH(ROWS($AF$2:AF328),$AF$2:$AF$1001,0),MATCH(COLUMNS($AM$1006:BC1006),$AM$1006:$BM$1006,0)), HYPERLINK("#",""), HYPERLINK(CONCATENATE("#metadata!", ADDRESS(INDEX($AH$2:$AH$1001,MATCH(ROWS($AF$2:AF328),$AF$2:$AF$1001,0),0), INDEX($AM$1004:$BM$1004,1,MATCH(COLUMNS($AM$1006:BC1006),$AM$1006:$BM$1006,0)))),"Fix")))</f>
        <v xml:space="preserve"> </v>
      </c>
      <c r="S328" s="4" t="str">
        <f ca="1">IF(OR(INDEX($AG$2:$AG$1001,MATCH(ROWS($AF$2:AF328),$AF$2:$AF$1001,0),1)&gt;=100000,INDEX($AM$1005:$BM$1005,1,MATCH(COLUMNS($AM$1006:BD1006),$AM$1006:$BM$1006,0))&gt;=100000), " ",IF(INDEX($AM$2:$BM$1001,MATCH(ROWS($AF$2:AF328),$AF$2:$AF$1001,0),MATCH(COLUMNS($AM$1006:BD1006),$AM$1006:$BM$1006,0)), HYPERLINK("#",""), HYPERLINK(CONCATENATE("#metadata!", ADDRESS(INDEX($AH$2:$AH$1001,MATCH(ROWS($AF$2:AF328),$AF$2:$AF$1001,0),0), INDEX($AM$1004:$BM$1004,1,MATCH(COLUMNS($AM$1006:BD1006),$AM$1006:$BM$1006,0)))),"Fix")))</f>
        <v xml:space="preserve"> </v>
      </c>
      <c r="T328" s="4" t="str">
        <f ca="1">IF(OR(INDEX($AG$2:$AG$1001,MATCH(ROWS($AF$2:AF328),$AF$2:$AF$1001,0),1)&gt;=100000,INDEX($AM$1005:$BM$1005,1,MATCH(COLUMNS($AM$1006:BE1006),$AM$1006:$BM$1006,0))&gt;=100000), " ",IF(INDEX($AM$2:$BM$1001,MATCH(ROWS($AF$2:AF328),$AF$2:$AF$1001,0),MATCH(COLUMNS($AM$1006:BE1006),$AM$1006:$BM$1006,0)), HYPERLINK("#",""), HYPERLINK(CONCATENATE("#metadata!", ADDRESS(INDEX($AH$2:$AH$1001,MATCH(ROWS($AF$2:AF328),$AF$2:$AF$1001,0),0), INDEX($AM$1004:$BM$1004,1,MATCH(COLUMNS($AM$1006:BE1006),$AM$1006:$BM$1006,0)))),"Fix")))</f>
        <v xml:space="preserve"> </v>
      </c>
      <c r="U328" s="4" t="str">
        <f ca="1">IF(OR(INDEX($AG$2:$AG$1001,MATCH(ROWS($AF$2:AF328),$AF$2:$AF$1001,0),1)&gt;=100000,INDEX($AM$1005:$BM$1005,1,MATCH(COLUMNS($AM$1006:BF1006),$AM$1006:$BM$1006,0))&gt;=100000), " ",IF(INDEX($AM$2:$BM$1001,MATCH(ROWS($AF$2:AF328),$AF$2:$AF$1001,0),MATCH(COLUMNS($AM$1006:BF1006),$AM$1006:$BM$1006,0)), HYPERLINK("#",""), HYPERLINK(CONCATENATE("#metadata!", ADDRESS(INDEX($AH$2:$AH$1001,MATCH(ROWS($AF$2:AF328),$AF$2:$AF$1001,0),0), INDEX($AM$1004:$BM$1004,1,MATCH(COLUMNS($AM$1006:BF1006),$AM$1006:$BM$1006,0)))),"Fix")))</f>
        <v xml:space="preserve"> </v>
      </c>
      <c r="V328" s="4" t="str">
        <f ca="1">IF(OR(INDEX($AG$2:$AG$1001,MATCH(ROWS($AF$2:AF328),$AF$2:$AF$1001,0),1)&gt;=100000,INDEX($AM$1005:$BM$1005,1,MATCH(COLUMNS($AM$1006:BG1006),$AM$1006:$BM$1006,0))&gt;=100000), " ",IF(INDEX($AM$2:$BM$1001,MATCH(ROWS($AF$2:AF328),$AF$2:$AF$1001,0),MATCH(COLUMNS($AM$1006:BG1006),$AM$1006:$BM$1006,0)), HYPERLINK("#",""), HYPERLINK(CONCATENATE("#metadata!", ADDRESS(INDEX($AH$2:$AH$1001,MATCH(ROWS($AF$2:AF328),$AF$2:$AF$1001,0),0), INDEX($AM$1004:$BM$1004,1,MATCH(COLUMNS($AM$1006:BG1006),$AM$1006:$BM$1006,0)))),"Fix")))</f>
        <v xml:space="preserve"> </v>
      </c>
      <c r="W328" s="4" t="str">
        <f ca="1">IF(OR(INDEX($AG$2:$AG$1001,MATCH(ROWS($AF$2:AF328),$AF$2:$AF$1001,0),1)&gt;=100000,INDEX($AM$1005:$BM$1005,1,MATCH(COLUMNS($AM$1006:BH1006),$AM$1006:$BM$1006,0))&gt;=100000), " ",IF(INDEX($AM$2:$BM$1001,MATCH(ROWS($AF$2:AF328),$AF$2:$AF$1001,0),MATCH(COLUMNS($AM$1006:BH1006),$AM$1006:$BM$1006,0)), HYPERLINK("#",""), HYPERLINK(CONCATENATE("#metadata!", ADDRESS(INDEX($AH$2:$AH$1001,MATCH(ROWS($AF$2:AF328),$AF$2:$AF$1001,0),0), INDEX($AM$1004:$BM$1004,1,MATCH(COLUMNS($AM$1006:BH1006),$AM$1006:$BM$1006,0)))),"Fix")))</f>
        <v xml:space="preserve"> </v>
      </c>
      <c r="X328" s="4" t="str">
        <f ca="1">IF(OR(INDEX($AG$2:$AG$1001,MATCH(ROWS($AF$2:AF328),$AF$2:$AF$1001,0),1)&gt;=100000,INDEX($AM$1005:$BM$1005,1,MATCH(COLUMNS($AM$1006:BI1006),$AM$1006:$BM$1006,0))&gt;=100000), " ",IF(INDEX($AM$2:$BM$1001,MATCH(ROWS($AF$2:AF328),$AF$2:$AF$1001,0),MATCH(COLUMNS($AM$1006:BI1006),$AM$1006:$BM$1006,0)), HYPERLINK("#",""), HYPERLINK(CONCATENATE("#metadata!", ADDRESS(INDEX($AH$2:$AH$1001,MATCH(ROWS($AF$2:AF328),$AF$2:$AF$1001,0),0), INDEX($AM$1004:$BM$1004,1,MATCH(COLUMNS($AM$1006:BI1006),$AM$1006:$BM$1006,0)))),"Fix")))</f>
        <v xml:space="preserve"> </v>
      </c>
      <c r="Y328" s="4" t="str">
        <f ca="1">IF(OR(INDEX($AG$2:$AG$1001,MATCH(ROWS($AF$2:AF328),$AF$2:$AF$1001,0),1)&gt;=100000,INDEX($AM$1005:$BM$1005,1,MATCH(COLUMNS($AM$1006:BJ1006),$AM$1006:$BM$1006,0))&gt;=100000), " ",IF(INDEX($AM$2:$BM$1001,MATCH(ROWS($AF$2:AF328),$AF$2:$AF$1001,0),MATCH(COLUMNS($AM$1006:BJ1006),$AM$1006:$BM$1006,0)), HYPERLINK("#",""), HYPERLINK(CONCATENATE("#metadata!", ADDRESS(INDEX($AH$2:$AH$1001,MATCH(ROWS($AF$2:AF328),$AF$2:$AF$1001,0),0), INDEX($AM$1004:$BM$1004,1,MATCH(COLUMNS($AM$1006:BJ1006),$AM$1006:$BM$1006,0)))),"Fix")))</f>
        <v xml:space="preserve"> </v>
      </c>
      <c r="Z328" s="4" t="str">
        <f ca="1">IF(OR(INDEX($AG$2:$AG$1001,MATCH(ROWS($AF$2:AF328),$AF$2:$AF$1001,0),1)&gt;=100000,INDEX($AM$1005:$BM$1005,1,MATCH(COLUMNS($AM$1006:BK1006),$AM$1006:$BM$1006,0))&gt;=100000), " ",IF(INDEX($AM$2:$BM$1001,MATCH(ROWS($AF$2:AF328),$AF$2:$AF$1001,0),MATCH(COLUMNS($AM$1006:BK1006),$AM$1006:$BM$1006,0)), HYPERLINK("#",""), HYPERLINK(CONCATENATE("#metadata!", ADDRESS(INDEX($AH$2:$AH$1001,MATCH(ROWS($AF$2:AF328),$AF$2:$AF$1001,0),0), INDEX($AM$1004:$BM$1004,1,MATCH(COLUMNS($AM$1006:BK1006),$AM$1006:$BM$1006,0)))),"Fix")))</f>
        <v xml:space="preserve"> </v>
      </c>
      <c r="AA328" s="4" t="str">
        <f ca="1">IF(OR(INDEX($AG$2:$AG$1001,MATCH(ROWS($AF$2:AF328),$AF$2:$AF$1001,0),1)&gt;=100000,INDEX($AM$1005:$BM$1005,1,MATCH(COLUMNS($AM$1006:BL1006),$AM$1006:$BM$1006,0))&gt;=100000), " ",IF(INDEX($AM$2:$BM$1001,MATCH(ROWS($AF$2:AF328),$AF$2:$AF$1001,0),MATCH(COLUMNS($AM$1006:BL1006),$AM$1006:$BM$1006,0)), HYPERLINK("#",""), HYPERLINK(CONCATENATE("#metadata!", ADDRESS(INDEX($AH$2:$AH$1001,MATCH(ROWS($AF$2:AF328),$AF$2:$AF$1001,0),0), INDEX($AM$1004:$BM$1004,1,MATCH(COLUMNS($AM$1006:BL1006),$AM$1006:$BM$1006,0)))),"Fix")))</f>
        <v xml:space="preserve"> </v>
      </c>
      <c r="AB328" s="4" t="str">
        <f ca="1">IF(OR(INDEX($AG$2:$AG$1001,MATCH(ROWS($AF$2:AF328),$AF$2:$AF$1001,0),1)&gt;=100000,INDEX($AM$1005:$BM$1005,1,MATCH(COLUMNS($AM$1006:BM1006),$AM$1006:$BM$1006,0))&gt;=100000), " ",IF(INDEX($AM$2:$BM$1001,MATCH(ROWS($AF$2:AF328),$AF$2:$AF$1001,0),MATCH(COLUMNS($AM$1006:BM1006),$AM$1006:$BM$1006,0)), HYPERLINK("#",""), HYPERLINK(CONCATENATE("#metadata!", ADDRESS(INDEX($AH$2:$AH$1001,MATCH(ROWS($AF$2:AF328),$AF$2:$AF$1001,0),0), INDEX($AM$1004:$BM$1004,1,MATCH(COLUMNS($AM$1006:BM1006),$AM$1006:$BM$1006,0)))),"Fix")))</f>
        <v xml:space="preserve"> </v>
      </c>
      <c r="AF328">
        <v>327</v>
      </c>
      <c r="AG328">
        <v>100328</v>
      </c>
      <c r="AH328">
        <v>328</v>
      </c>
      <c r="AI328" t="b">
        <f t="shared" si="5"/>
        <v>1</v>
      </c>
      <c r="AJ328" t="b">
        <f>COUNTBLANK(metadata!B328:AB328)=COLUMNS(metadata!B328:AB328)</f>
        <v>1</v>
      </c>
      <c r="AK328" t="str">
        <v/>
      </c>
      <c r="AM328" t="b">
        <f ca="1">AND(IF(metadata!B328="",FALSE,TRUE),COUNTIF(metadata!B:B, metadata!B328) = 1,NOT(ISERROR(SUMPRODUCT(SEARCH(MID(metadata!B328,ROW(INDIRECT("1:"&amp;LEN(metadata!B328))), 1),"0123456789abcdefghijklmnopqrstuvwxyzABCDEFGHIJKLMNOPQRSTUVWXYZ.")))))</f>
        <v>0</v>
      </c>
      <c r="AN328" t="b">
        <f ca="1">OR(AND(IF(metadata!C328="",FALSE,TRUE),OR(EXACT(metadata!C328,"missing: not collected"),EXACT(metadata!C328,"missing: not provided"),EXACT(metadata!C328,"missing: restricted access"))),AND(IF(metadata!C328="",FALSE,TRUE),AND(AND(IFERROR(INT(LEFT(metadata!C328,4))&gt;1900,FALSE),IFERROR(INT(LEFT(metadata!C328,4))&lt;=YEAR(NOW()),FALSE)), OR(MID(metadata!C328,5,1)="", AND(AND(MID(metadata!C328,5,1)="-",IFERROR(INT(MID(metadata!C328,6,1))&gt;=0,FALSE),IFERROR(INT(MID(metadata!C328,6,1))&lt;=1,FALSE),NOT(MID(metadata!C328,7,1)=""),IFERROR(INT(MID(metadata!C328,6,2))&gt;=1,FALSE),IFERROR(INT(MID(metadata!C328,6,2))&lt;=12,FALSE)), OR(MID(metadata!C328,8,1)="", AND(AND(MID(metadata!C328,8,1)="-",IFERROR(INT(MID(metadata!C328,9,1))&gt;=0,FALSE),IFERROR(INT(MID(metadata!C328,9,1))&lt;=3,FALSE),NOT(MID(metadata!C328,10,1)=""),IFERROR(INT(MID(metadata!C328,9,2))&gt;=1,FALSE),IFERROR(INT(MID(metadata!C328,9,2))&lt;=31,FALSE)), OR(MID(metadata!C328,11,1)="", AND(AND(MID(metadata!C328,11,1)=" ",IFERROR(INT(MID(metadata!C328,12,1))&gt;=0,FALSE),IFERROR(INT(MID(metadata!C328,12,1))&lt;=2,FALSE),NOT(MID(metadata!C328,13,1)=""),IFERROR(INT(MID(metadata!C328,12,2))&gt;=0,FALSE),IFERROR(INT(MID(metadata!C328,12,2))&lt;=23,FALSE)), OR(MID(metadata!C328,14,1)="", AND(AND(MID(metadata!C328,14,1)=":",IFERROR(INT(MID(metadata!C328,15,1))&gt;=0,FALSE),IFERROR(INT(MID(metadata!C328,15,1))&lt;=5,FALSE),NOT(MID(metadata!C328,16,1)=""),IFERROR(INT(MID(metadata!C328,15,2))&gt;=0,FALSE),IFERROR(INT(MID(metadata!C328,15,2))&lt;=59,FALSE)), OR(MID(metadata!C328,17,1)="", AND(AND(MID(metadata!C328,17,1)=":",IFERROR(INT(MID(metadata!C328,18,1))&gt;=0,FALSE),IFERROR(INT(MID(metadata!C328,18,1))&lt;=5,FALSE),NOT(MID(metadata!C328,19,1)=""),IFERROR(INT(MID(metadata!C328,18,2))&gt;=0,FALSE),IFERROR(INT(MID(metadata!C328,18,2))&lt;=59,FALSE)), LEN(metadata!C328)&lt;=19)))))))))))))</f>
        <v>0</v>
      </c>
      <c r="AO328" t="b">
        <f>AND(IF(metadata!D328="",FALSE,TRUE),EXACT(metadata!D328,"Not applicable"))</f>
        <v>0</v>
      </c>
      <c r="AP328" t="b">
        <f>IF(metadata!E328="",FALSE,TRUE)</f>
        <v>0</v>
      </c>
      <c r="AQ328" t="b">
        <f>OR(AND(IF(metadata!F328="",FALSE,TRUE),OR(EXACT(metadata!F328,"missing: not collected"),EXACT(metadata!F328,"missing: not provided"))),AND(IF(metadata!F328="",FALSE,TRUE),OR(EXACT(metadata!F328,"TRUE"),EXACT(metadata!F328,"FALSE"))))</f>
        <v>0</v>
      </c>
      <c r="AR328" t="b">
        <f>OR(AND(IF(metadata!G328="",FALSE,TRUE),OR(EXACT(metadata!G328,"missing: not collected"),EXACT(metadata!G328,"missing: not provided"),EXACT(metadata!G328,"missing: restricted access"))),AND(IF(metadata!G328="",FALSE,ISNUMBER(VALUE(metadata!G328))),metadata!G328&gt;=-413))</f>
        <v>0</v>
      </c>
      <c r="AS328" t="b">
        <f>AND(IF(metadata!H328="",FALSE,TRUE),EXACT(metadata!H328,"meters"))</f>
        <v>0</v>
      </c>
      <c r="AT328" t="b">
        <f>AND(IF(metadata!I328="",FALSE,TRUE),OR(EXACT(metadata!I328,"Host-associated"),EXACT(metadata!I328,"Free-living")))</f>
        <v>0</v>
      </c>
      <c r="AU328" t="b">
        <f>AND(IF(metadata!J328="",FALSE,TRUE),OR(EXACT(metadata!J328,"Animal"),EXACT(metadata!J328,"Fungus"),EXACT(metadata!J328,"Plant"),EXACT(metadata!J328,"Saline"),EXACT(metadata!J328,"Non-saline")))</f>
        <v>0</v>
      </c>
      <c r="AV328" t="b">
        <f>AND(IF(metadata!K328="",FALSE,TRUE),OR(EXACT(metadata!K328,"Plant secretion"),EXACT(metadata!K328,"Plant rhizosphere"),EXACT(metadata!K328,"Plant surface"),EXACT(metadata!K328,"Plant corpus"),EXACT(metadata!K328,"Fungus surface"),EXACT(metadata!K328,"Fungus corpus"),EXACT(metadata!K328,"Animal surface"),EXACT(metadata!K328,"Animal proximal gut"),EXACT(metadata!K328,"Animal corpus"),EXACT(metadata!K328,"Animal distal gut"),EXACT(metadata!K328,"Animal secretion"),EXACT(metadata!K328,"Sub-surface (non-saline)"),EXACT(metadata!K328,"Surface (non-saline)"),EXACT(metadata!K328,"Water (non-saline)"),EXACT(metadata!K328,"Soil (non-saline)"),EXACT(metadata!K328,"Aerosol (non-saline)"),EXACT(metadata!K328,"Sediment (non-saline)"),EXACT(metadata!K328,"Surface (saline)"),EXACT(metadata!K328,"Water (saline)"),EXACT(metadata!K328,"Hypersaline (saline)"),EXACT(metadata!K328,"Aerosol (saline)"),EXACT(metadata!K328,"Sediment (saline)")))</f>
        <v>0</v>
      </c>
      <c r="AW328" t="b">
        <f>IF(metadata!L328="",FALSE,TRUE)</f>
        <v>0</v>
      </c>
      <c r="AX328" t="b">
        <f>IF(metadata!M328="",FALSE,TRUE)</f>
        <v>0</v>
      </c>
      <c r="AY328" t="b">
        <f>IF(metadata!N328="",FALSE,TRUE)</f>
        <v>0</v>
      </c>
      <c r="AZ328" t="b">
        <f>OR(AND(IF(metadata!O328="",FALSE,TRUE),OR(EXACT(metadata!O328,"missing: not collected"),EXACT(metadata!O328,"missing: not provided"),EXACT(metadata!O328,"missing: restricted access"))),AND(IF(metadata!O328="",FALSE,TRUE),OR(EXACT(metadata!O328,"air"),EXACT(metadata!O328,"built environment"),EXACT(metadata!O328,"host-associated"),EXACT(metadata!O328,"human-associated"),EXACT(metadata!O328,"human-skin"),EXACT(metadata!O328,"human-oral"),EXACT(metadata!O328,"human-gut"),EXACT(metadata!O328,"human-vaginal"),EXACT(metadata!O328,"microbial mat/biofilm"),EXACT(metadata!O328,"misc environment"),EXACT(metadata!O328,"plant-associated"),EXACT(metadata!O328,"sediment"),EXACT(metadata!O328,"soil"),EXACT(metadata!O328,"wastewater/sludge"),EXACT(metadata!O328,"water"))))</f>
        <v>0</v>
      </c>
      <c r="BA328" t="b">
        <f>IF(metadata!P328="",FALSE,TRUE)</f>
        <v>0</v>
      </c>
      <c r="BB328" t="b">
        <f>IF(metadata!Q328="",FALSE,TRUE)</f>
        <v>0</v>
      </c>
      <c r="BC328" t="b">
        <f>OR(AND(IF(metadata!R328="",FALSE,TRUE),OR(EXACT(metadata!R328,"missing: not collected"),EXACT(metadata!R328,"missing: not provided"),EXACT(metadata!R328,"missing: restricted access"))),AND(IF(metadata!R328="",FALSE,ISNUMBER(VALUE(metadata!R328))),metadata!R328&gt;=-90,metadata!R328&lt;=90))</f>
        <v>0</v>
      </c>
      <c r="BD328" t="b">
        <f>AND(IF(metadata!S328="",FALSE,TRUE),EXACT(metadata!S328,"Decimal degrees"))</f>
        <v>0</v>
      </c>
      <c r="BE328" t="b">
        <f>OR(AND(IF(metadata!T328="",FALSE,TRUE),OR(EXACT(metadata!T328,"missing: not collected"),EXACT(metadata!T328,"missing: not provided"),EXACT(metadata!T328,"missing: restricted access"))),AND(IF(metadata!T328="",FALSE,ISNUMBER(VALUE(metadata!T328))),metadata!T328&gt;=-180,metadata!T328&lt;=180))</f>
        <v>0</v>
      </c>
      <c r="BF328" t="b">
        <f>AND(IF(metadata!U328="",FALSE,TRUE),EXACT(metadata!U328,"Decimal degrees"))</f>
        <v>0</v>
      </c>
      <c r="BG328" t="b">
        <f>IF(metadata!V328="",FALSE,TRUE)</f>
        <v>0</v>
      </c>
      <c r="BH328" t="b">
        <f>OR(AND(IF(metadata!W328="",FALSE,TRUE),OR(EXACT(metadata!W328,"missing: not collected"),EXACT(metadata!W328,"missing: not provided"),EXACT(metadata!W328,"missing: restricted access"))),AND(IF(metadata!W328="",FALSE,TRUE),OR(EXACT(metadata!W328,"TRUE"),EXACT(metadata!W328,"FALSE"))))</f>
        <v>0</v>
      </c>
      <c r="BI328" t="b">
        <f>AND(IF(metadata!X328="",FALSE,TRUE),EXACT(metadata!X328,"other"))</f>
        <v>0</v>
      </c>
      <c r="BJ328" t="b">
        <f>IF(metadata!Y328="",FALSE,TRUE)</f>
        <v>0</v>
      </c>
      <c r="BK328" t="b">
        <f>OR(AND(IF(metadata!Z328="",FALSE,TRUE),OR(EXACT(metadata!Z328,"missing: not collected"),EXACT(metadata!Z328,"missing: not provided"))),AND(IF(metadata!Z328="",FALSE,IF(ISERROR(INT(metadata!Z328)),FALSE,INT(metadata!Z328)=metadata!Z328)),metadata!Z328&gt;0))</f>
        <v>0</v>
      </c>
      <c r="BL328" t="b">
        <f>AND(IF(metadata!AA328="",FALSE,TRUE),EXACT(metadata!AA328,"Not applicable"))</f>
        <v>0</v>
      </c>
      <c r="BM328" t="b">
        <f>IF(metadata!AB328="",FALSE,TRUE)</f>
        <v>0</v>
      </c>
    </row>
    <row r="329" spans="1:65" x14ac:dyDescent="0.2">
      <c r="A329" s="5" t="str">
        <f ca="1">IF(B329=" "," ",HYPERLINK(CONCATENATE("#metadata!",ADDRESS(INDEX($AH$2:$AH$1001,MATCH(ROWS($AF$2:AF329),$AF$2:$AF$1001,0),0),1)),INDEX($AK$2:$AK$1001,MATCH(ROWS($AF$2:AF329),$AF$2:$AF$1001,0),0)))</f>
        <v xml:space="preserve"> </v>
      </c>
      <c r="B329" s="4" t="str">
        <f ca="1">IF(OR(INDEX($AG$2:$AG$1001,MATCH(ROWS($AF$2:AF329),$AF$2:$AF$1001,0),1)&gt;=100000,INDEX($AM$1005:$BM$1005,1,MATCH(COLUMNS($AM$1006:AM1006),$AM$1006:$BM$1006,0))&gt;=100000), " ",IF(INDEX($AM$2:$BM$1001,MATCH(ROWS($AF$2:AF329),$AF$2:$AF$1001,0),MATCH(COLUMNS($AM$1006:AM1006),$AM$1006:$BM$1006,0)), HYPERLINK("#",""), HYPERLINK(CONCATENATE("#metadata!", ADDRESS(INDEX($AH$2:$AH$1001,MATCH(ROWS($AF$2:AF329),$AF$2:$AF$1001,0),0), INDEX($AM$1004:$BM$1004,1,MATCH(COLUMNS($AM$1006:AM1006),$AM$1006:$BM$1006,0)))),"Fix")))</f>
        <v xml:space="preserve"> </v>
      </c>
      <c r="C329" s="4" t="str">
        <f ca="1">IF(OR(INDEX($AG$2:$AG$1001,MATCH(ROWS($AF$2:AF329),$AF$2:$AF$1001,0),1)&gt;=100000,INDEX($AM$1005:$BM$1005,1,MATCH(COLUMNS($AM$1006:AN1006),$AM$1006:$BM$1006,0))&gt;=100000), " ",IF(INDEX($AM$2:$BM$1001,MATCH(ROWS($AF$2:AF329),$AF$2:$AF$1001,0),MATCH(COLUMNS($AM$1006:AN1006),$AM$1006:$BM$1006,0)), HYPERLINK("#",""), HYPERLINK(CONCATENATE("#metadata!", ADDRESS(INDEX($AH$2:$AH$1001,MATCH(ROWS($AF$2:AF329),$AF$2:$AF$1001,0),0), INDEX($AM$1004:$BM$1004,1,MATCH(COLUMNS($AM$1006:AN1006),$AM$1006:$BM$1006,0)))),"Fix")))</f>
        <v xml:space="preserve"> </v>
      </c>
      <c r="D329" s="4" t="str">
        <f ca="1">IF(OR(INDEX($AG$2:$AG$1001,MATCH(ROWS($AF$2:AF329),$AF$2:$AF$1001,0),1)&gt;=100000,INDEX($AM$1005:$BM$1005,1,MATCH(COLUMNS($AM$1006:AO1006),$AM$1006:$BM$1006,0))&gt;=100000), " ",IF(INDEX($AM$2:$BM$1001,MATCH(ROWS($AF$2:AF329),$AF$2:$AF$1001,0),MATCH(COLUMNS($AM$1006:AO1006),$AM$1006:$BM$1006,0)), HYPERLINK("#",""), HYPERLINK(CONCATENATE("#metadata!", ADDRESS(INDEX($AH$2:$AH$1001,MATCH(ROWS($AF$2:AF329),$AF$2:$AF$1001,0),0), INDEX($AM$1004:$BM$1004,1,MATCH(COLUMNS($AM$1006:AO1006),$AM$1006:$BM$1006,0)))),"Fix")))</f>
        <v xml:space="preserve"> </v>
      </c>
      <c r="E329" s="4" t="str">
        <f ca="1">IF(OR(INDEX($AG$2:$AG$1001,MATCH(ROWS($AF$2:AF329),$AF$2:$AF$1001,0),1)&gt;=100000,INDEX($AM$1005:$BM$1005,1,MATCH(COLUMNS($AM$1006:AP1006),$AM$1006:$BM$1006,0))&gt;=100000), " ",IF(INDEX($AM$2:$BM$1001,MATCH(ROWS($AF$2:AF329),$AF$2:$AF$1001,0),MATCH(COLUMNS($AM$1006:AP1006),$AM$1006:$BM$1006,0)), HYPERLINK("#",""), HYPERLINK(CONCATENATE("#metadata!", ADDRESS(INDEX($AH$2:$AH$1001,MATCH(ROWS($AF$2:AF329),$AF$2:$AF$1001,0),0), INDEX($AM$1004:$BM$1004,1,MATCH(COLUMNS($AM$1006:AP1006),$AM$1006:$BM$1006,0)))),"Fix")))</f>
        <v xml:space="preserve"> </v>
      </c>
      <c r="F329" s="4" t="str">
        <f ca="1">IF(OR(INDEX($AG$2:$AG$1001,MATCH(ROWS($AF$2:AF329),$AF$2:$AF$1001,0),1)&gt;=100000,INDEX($AM$1005:$BM$1005,1,MATCH(COLUMNS($AM$1006:AQ1006),$AM$1006:$BM$1006,0))&gt;=100000), " ",IF(INDEX($AM$2:$BM$1001,MATCH(ROWS($AF$2:AF329),$AF$2:$AF$1001,0),MATCH(COLUMNS($AM$1006:AQ1006),$AM$1006:$BM$1006,0)), HYPERLINK("#",""), HYPERLINK(CONCATENATE("#metadata!", ADDRESS(INDEX($AH$2:$AH$1001,MATCH(ROWS($AF$2:AF329),$AF$2:$AF$1001,0),0), INDEX($AM$1004:$BM$1004,1,MATCH(COLUMNS($AM$1006:AQ1006),$AM$1006:$BM$1006,0)))),"Fix")))</f>
        <v xml:space="preserve"> </v>
      </c>
      <c r="G329" s="4" t="str">
        <f ca="1">IF(OR(INDEX($AG$2:$AG$1001,MATCH(ROWS($AF$2:AF329),$AF$2:$AF$1001,0),1)&gt;=100000,INDEX($AM$1005:$BM$1005,1,MATCH(COLUMNS($AM$1006:AR1006),$AM$1006:$BM$1006,0))&gt;=100000), " ",IF(INDEX($AM$2:$BM$1001,MATCH(ROWS($AF$2:AF329),$AF$2:$AF$1001,0),MATCH(COLUMNS($AM$1006:AR1006),$AM$1006:$BM$1006,0)), HYPERLINK("#",""), HYPERLINK(CONCATENATE("#metadata!", ADDRESS(INDEX($AH$2:$AH$1001,MATCH(ROWS($AF$2:AF329),$AF$2:$AF$1001,0),0), INDEX($AM$1004:$BM$1004,1,MATCH(COLUMNS($AM$1006:AR1006),$AM$1006:$BM$1006,0)))),"Fix")))</f>
        <v xml:space="preserve"> </v>
      </c>
      <c r="H329" s="4" t="str">
        <f ca="1">IF(OR(INDEX($AG$2:$AG$1001,MATCH(ROWS($AF$2:AF329),$AF$2:$AF$1001,0),1)&gt;=100000,INDEX($AM$1005:$BM$1005,1,MATCH(COLUMNS($AM$1006:AS1006),$AM$1006:$BM$1006,0))&gt;=100000), " ",IF(INDEX($AM$2:$BM$1001,MATCH(ROWS($AF$2:AF329),$AF$2:$AF$1001,0),MATCH(COLUMNS($AM$1006:AS1006),$AM$1006:$BM$1006,0)), HYPERLINK("#",""), HYPERLINK(CONCATENATE("#metadata!", ADDRESS(INDEX($AH$2:$AH$1001,MATCH(ROWS($AF$2:AF329),$AF$2:$AF$1001,0),0), INDEX($AM$1004:$BM$1004,1,MATCH(COLUMNS($AM$1006:AS1006),$AM$1006:$BM$1006,0)))),"Fix")))</f>
        <v xml:space="preserve"> </v>
      </c>
      <c r="I329" s="4" t="str">
        <f ca="1">IF(OR(INDEX($AG$2:$AG$1001,MATCH(ROWS($AF$2:AF329),$AF$2:$AF$1001,0),1)&gt;=100000,INDEX($AM$1005:$BM$1005,1,MATCH(COLUMNS($AM$1006:AT1006),$AM$1006:$BM$1006,0))&gt;=100000), " ",IF(INDEX($AM$2:$BM$1001,MATCH(ROWS($AF$2:AF329),$AF$2:$AF$1001,0),MATCH(COLUMNS($AM$1006:AT1006),$AM$1006:$BM$1006,0)), HYPERLINK("#",""), HYPERLINK(CONCATENATE("#metadata!", ADDRESS(INDEX($AH$2:$AH$1001,MATCH(ROWS($AF$2:AF329),$AF$2:$AF$1001,0),0), INDEX($AM$1004:$BM$1004,1,MATCH(COLUMNS($AM$1006:AT1006),$AM$1006:$BM$1006,0)))),"Fix")))</f>
        <v xml:space="preserve"> </v>
      </c>
      <c r="J329" s="4" t="str">
        <f ca="1">IF(OR(INDEX($AG$2:$AG$1001,MATCH(ROWS($AF$2:AF329),$AF$2:$AF$1001,0),1)&gt;=100000,INDEX($AM$1005:$BM$1005,1,MATCH(COLUMNS($AM$1006:AU1006),$AM$1006:$BM$1006,0))&gt;=100000), " ",IF(INDEX($AM$2:$BM$1001,MATCH(ROWS($AF$2:AF329),$AF$2:$AF$1001,0),MATCH(COLUMNS($AM$1006:AU1006),$AM$1006:$BM$1006,0)), HYPERLINK("#",""), HYPERLINK(CONCATENATE("#metadata!", ADDRESS(INDEX($AH$2:$AH$1001,MATCH(ROWS($AF$2:AF329),$AF$2:$AF$1001,0),0), INDEX($AM$1004:$BM$1004,1,MATCH(COLUMNS($AM$1006:AU1006),$AM$1006:$BM$1006,0)))),"Fix")))</f>
        <v xml:space="preserve"> </v>
      </c>
      <c r="K329" s="4" t="str">
        <f ca="1">IF(OR(INDEX($AG$2:$AG$1001,MATCH(ROWS($AF$2:AF329),$AF$2:$AF$1001,0),1)&gt;=100000,INDEX($AM$1005:$BM$1005,1,MATCH(COLUMNS($AM$1006:AV1006),$AM$1006:$BM$1006,0))&gt;=100000), " ",IF(INDEX($AM$2:$BM$1001,MATCH(ROWS($AF$2:AF329),$AF$2:$AF$1001,0),MATCH(COLUMNS($AM$1006:AV1006),$AM$1006:$BM$1006,0)), HYPERLINK("#",""), HYPERLINK(CONCATENATE("#metadata!", ADDRESS(INDEX($AH$2:$AH$1001,MATCH(ROWS($AF$2:AF329),$AF$2:$AF$1001,0),0), INDEX($AM$1004:$BM$1004,1,MATCH(COLUMNS($AM$1006:AV1006),$AM$1006:$BM$1006,0)))),"Fix")))</f>
        <v xml:space="preserve"> </v>
      </c>
      <c r="L329" s="4" t="str">
        <f ca="1">IF(OR(INDEX($AG$2:$AG$1001,MATCH(ROWS($AF$2:AF329),$AF$2:$AF$1001,0),1)&gt;=100000,INDEX($AM$1005:$BM$1005,1,MATCH(COLUMNS($AM$1006:AW1006),$AM$1006:$BM$1006,0))&gt;=100000), " ",IF(INDEX($AM$2:$BM$1001,MATCH(ROWS($AF$2:AF329),$AF$2:$AF$1001,0),MATCH(COLUMNS($AM$1006:AW1006),$AM$1006:$BM$1006,0)), HYPERLINK("#",""), HYPERLINK(CONCATENATE("#metadata!", ADDRESS(INDEX($AH$2:$AH$1001,MATCH(ROWS($AF$2:AF329),$AF$2:$AF$1001,0),0), INDEX($AM$1004:$BM$1004,1,MATCH(COLUMNS($AM$1006:AW1006),$AM$1006:$BM$1006,0)))),"Fix")))</f>
        <v xml:space="preserve"> </v>
      </c>
      <c r="M329" s="4" t="str">
        <f ca="1">IF(OR(INDEX($AG$2:$AG$1001,MATCH(ROWS($AF$2:AF329),$AF$2:$AF$1001,0),1)&gt;=100000,INDEX($AM$1005:$BM$1005,1,MATCH(COLUMNS($AM$1006:AX1006),$AM$1006:$BM$1006,0))&gt;=100000), " ",IF(INDEX($AM$2:$BM$1001,MATCH(ROWS($AF$2:AF329),$AF$2:$AF$1001,0),MATCH(COLUMNS($AM$1006:AX1006),$AM$1006:$BM$1006,0)), HYPERLINK("#",""), HYPERLINK(CONCATENATE("#metadata!", ADDRESS(INDEX($AH$2:$AH$1001,MATCH(ROWS($AF$2:AF329),$AF$2:$AF$1001,0),0), INDEX($AM$1004:$BM$1004,1,MATCH(COLUMNS($AM$1006:AX1006),$AM$1006:$BM$1006,0)))),"Fix")))</f>
        <v xml:space="preserve"> </v>
      </c>
      <c r="N329" s="4" t="str">
        <f ca="1">IF(OR(INDEX($AG$2:$AG$1001,MATCH(ROWS($AF$2:AF329),$AF$2:$AF$1001,0),1)&gt;=100000,INDEX($AM$1005:$BM$1005,1,MATCH(COLUMNS($AM$1006:AY1006),$AM$1006:$BM$1006,0))&gt;=100000), " ",IF(INDEX($AM$2:$BM$1001,MATCH(ROWS($AF$2:AF329),$AF$2:$AF$1001,0),MATCH(COLUMNS($AM$1006:AY1006),$AM$1006:$BM$1006,0)), HYPERLINK("#",""), HYPERLINK(CONCATENATE("#metadata!", ADDRESS(INDEX($AH$2:$AH$1001,MATCH(ROWS($AF$2:AF329),$AF$2:$AF$1001,0),0), INDEX($AM$1004:$BM$1004,1,MATCH(COLUMNS($AM$1006:AY1006),$AM$1006:$BM$1006,0)))),"Fix")))</f>
        <v xml:space="preserve"> </v>
      </c>
      <c r="O329" s="4" t="str">
        <f ca="1">IF(OR(INDEX($AG$2:$AG$1001,MATCH(ROWS($AF$2:AF329),$AF$2:$AF$1001,0),1)&gt;=100000,INDEX($AM$1005:$BM$1005,1,MATCH(COLUMNS($AM$1006:AZ1006),$AM$1006:$BM$1006,0))&gt;=100000), " ",IF(INDEX($AM$2:$BM$1001,MATCH(ROWS($AF$2:AF329),$AF$2:$AF$1001,0),MATCH(COLUMNS($AM$1006:AZ1006),$AM$1006:$BM$1006,0)), HYPERLINK("#",""), HYPERLINK(CONCATENATE("#metadata!", ADDRESS(INDEX($AH$2:$AH$1001,MATCH(ROWS($AF$2:AF329),$AF$2:$AF$1001,0),0), INDEX($AM$1004:$BM$1004,1,MATCH(COLUMNS($AM$1006:AZ1006),$AM$1006:$BM$1006,0)))),"Fix")))</f>
        <v xml:space="preserve"> </v>
      </c>
      <c r="P329" s="4" t="str">
        <f ca="1">IF(OR(INDEX($AG$2:$AG$1001,MATCH(ROWS($AF$2:AF329),$AF$2:$AF$1001,0),1)&gt;=100000,INDEX($AM$1005:$BM$1005,1,MATCH(COLUMNS($AM$1006:BA1006),$AM$1006:$BM$1006,0))&gt;=100000), " ",IF(INDEX($AM$2:$BM$1001,MATCH(ROWS($AF$2:AF329),$AF$2:$AF$1001,0),MATCH(COLUMNS($AM$1006:BA1006),$AM$1006:$BM$1006,0)), HYPERLINK("#",""), HYPERLINK(CONCATENATE("#metadata!", ADDRESS(INDEX($AH$2:$AH$1001,MATCH(ROWS($AF$2:AF329),$AF$2:$AF$1001,0),0), INDEX($AM$1004:$BM$1004,1,MATCH(COLUMNS($AM$1006:BA1006),$AM$1006:$BM$1006,0)))),"Fix")))</f>
        <v xml:space="preserve"> </v>
      </c>
      <c r="Q329" s="4" t="str">
        <f ca="1">IF(OR(INDEX($AG$2:$AG$1001,MATCH(ROWS($AF$2:AF329),$AF$2:$AF$1001,0),1)&gt;=100000,INDEX($AM$1005:$BM$1005,1,MATCH(COLUMNS($AM$1006:BB1006),$AM$1006:$BM$1006,0))&gt;=100000), " ",IF(INDEX($AM$2:$BM$1001,MATCH(ROWS($AF$2:AF329),$AF$2:$AF$1001,0),MATCH(COLUMNS($AM$1006:BB1006),$AM$1006:$BM$1006,0)), HYPERLINK("#",""), HYPERLINK(CONCATENATE("#metadata!", ADDRESS(INDEX($AH$2:$AH$1001,MATCH(ROWS($AF$2:AF329),$AF$2:$AF$1001,0),0), INDEX($AM$1004:$BM$1004,1,MATCH(COLUMNS($AM$1006:BB1006),$AM$1006:$BM$1006,0)))),"Fix")))</f>
        <v xml:space="preserve"> </v>
      </c>
      <c r="R329" s="4" t="str">
        <f ca="1">IF(OR(INDEX($AG$2:$AG$1001,MATCH(ROWS($AF$2:AF329),$AF$2:$AF$1001,0),1)&gt;=100000,INDEX($AM$1005:$BM$1005,1,MATCH(COLUMNS($AM$1006:BC1006),$AM$1006:$BM$1006,0))&gt;=100000), " ",IF(INDEX($AM$2:$BM$1001,MATCH(ROWS($AF$2:AF329),$AF$2:$AF$1001,0),MATCH(COLUMNS($AM$1006:BC1006),$AM$1006:$BM$1006,0)), HYPERLINK("#",""), HYPERLINK(CONCATENATE("#metadata!", ADDRESS(INDEX($AH$2:$AH$1001,MATCH(ROWS($AF$2:AF329),$AF$2:$AF$1001,0),0), INDEX($AM$1004:$BM$1004,1,MATCH(COLUMNS($AM$1006:BC1006),$AM$1006:$BM$1006,0)))),"Fix")))</f>
        <v xml:space="preserve"> </v>
      </c>
      <c r="S329" s="4" t="str">
        <f ca="1">IF(OR(INDEX($AG$2:$AG$1001,MATCH(ROWS($AF$2:AF329),$AF$2:$AF$1001,0),1)&gt;=100000,INDEX($AM$1005:$BM$1005,1,MATCH(COLUMNS($AM$1006:BD1006),$AM$1006:$BM$1006,0))&gt;=100000), " ",IF(INDEX($AM$2:$BM$1001,MATCH(ROWS($AF$2:AF329),$AF$2:$AF$1001,0),MATCH(COLUMNS($AM$1006:BD1006),$AM$1006:$BM$1006,0)), HYPERLINK("#",""), HYPERLINK(CONCATENATE("#metadata!", ADDRESS(INDEX($AH$2:$AH$1001,MATCH(ROWS($AF$2:AF329),$AF$2:$AF$1001,0),0), INDEX($AM$1004:$BM$1004,1,MATCH(COLUMNS($AM$1006:BD1006),$AM$1006:$BM$1006,0)))),"Fix")))</f>
        <v xml:space="preserve"> </v>
      </c>
      <c r="T329" s="4" t="str">
        <f ca="1">IF(OR(INDEX($AG$2:$AG$1001,MATCH(ROWS($AF$2:AF329),$AF$2:$AF$1001,0),1)&gt;=100000,INDEX($AM$1005:$BM$1005,1,MATCH(COLUMNS($AM$1006:BE1006),$AM$1006:$BM$1006,0))&gt;=100000), " ",IF(INDEX($AM$2:$BM$1001,MATCH(ROWS($AF$2:AF329),$AF$2:$AF$1001,0),MATCH(COLUMNS($AM$1006:BE1006),$AM$1006:$BM$1006,0)), HYPERLINK("#",""), HYPERLINK(CONCATENATE("#metadata!", ADDRESS(INDEX($AH$2:$AH$1001,MATCH(ROWS($AF$2:AF329),$AF$2:$AF$1001,0),0), INDEX($AM$1004:$BM$1004,1,MATCH(COLUMNS($AM$1006:BE1006),$AM$1006:$BM$1006,0)))),"Fix")))</f>
        <v xml:space="preserve"> </v>
      </c>
      <c r="U329" s="4" t="str">
        <f ca="1">IF(OR(INDEX($AG$2:$AG$1001,MATCH(ROWS($AF$2:AF329),$AF$2:$AF$1001,0),1)&gt;=100000,INDEX($AM$1005:$BM$1005,1,MATCH(COLUMNS($AM$1006:BF1006),$AM$1006:$BM$1006,0))&gt;=100000), " ",IF(INDEX($AM$2:$BM$1001,MATCH(ROWS($AF$2:AF329),$AF$2:$AF$1001,0),MATCH(COLUMNS($AM$1006:BF1006),$AM$1006:$BM$1006,0)), HYPERLINK("#",""), HYPERLINK(CONCATENATE("#metadata!", ADDRESS(INDEX($AH$2:$AH$1001,MATCH(ROWS($AF$2:AF329),$AF$2:$AF$1001,0),0), INDEX($AM$1004:$BM$1004,1,MATCH(COLUMNS($AM$1006:BF1006),$AM$1006:$BM$1006,0)))),"Fix")))</f>
        <v xml:space="preserve"> </v>
      </c>
      <c r="V329" s="4" t="str">
        <f ca="1">IF(OR(INDEX($AG$2:$AG$1001,MATCH(ROWS($AF$2:AF329),$AF$2:$AF$1001,0),1)&gt;=100000,INDEX($AM$1005:$BM$1005,1,MATCH(COLUMNS($AM$1006:BG1006),$AM$1006:$BM$1006,0))&gt;=100000), " ",IF(INDEX($AM$2:$BM$1001,MATCH(ROWS($AF$2:AF329),$AF$2:$AF$1001,0),MATCH(COLUMNS($AM$1006:BG1006),$AM$1006:$BM$1006,0)), HYPERLINK("#",""), HYPERLINK(CONCATENATE("#metadata!", ADDRESS(INDEX($AH$2:$AH$1001,MATCH(ROWS($AF$2:AF329),$AF$2:$AF$1001,0),0), INDEX($AM$1004:$BM$1004,1,MATCH(COLUMNS($AM$1006:BG1006),$AM$1006:$BM$1006,0)))),"Fix")))</f>
        <v xml:space="preserve"> </v>
      </c>
      <c r="W329" s="4" t="str">
        <f ca="1">IF(OR(INDEX($AG$2:$AG$1001,MATCH(ROWS($AF$2:AF329),$AF$2:$AF$1001,0),1)&gt;=100000,INDEX($AM$1005:$BM$1005,1,MATCH(COLUMNS($AM$1006:BH1006),$AM$1006:$BM$1006,0))&gt;=100000), " ",IF(INDEX($AM$2:$BM$1001,MATCH(ROWS($AF$2:AF329),$AF$2:$AF$1001,0),MATCH(COLUMNS($AM$1006:BH1006),$AM$1006:$BM$1006,0)), HYPERLINK("#",""), HYPERLINK(CONCATENATE("#metadata!", ADDRESS(INDEX($AH$2:$AH$1001,MATCH(ROWS($AF$2:AF329),$AF$2:$AF$1001,0),0), INDEX($AM$1004:$BM$1004,1,MATCH(COLUMNS($AM$1006:BH1006),$AM$1006:$BM$1006,0)))),"Fix")))</f>
        <v xml:space="preserve"> </v>
      </c>
      <c r="X329" s="4" t="str">
        <f ca="1">IF(OR(INDEX($AG$2:$AG$1001,MATCH(ROWS($AF$2:AF329),$AF$2:$AF$1001,0),1)&gt;=100000,INDEX($AM$1005:$BM$1005,1,MATCH(COLUMNS($AM$1006:BI1006),$AM$1006:$BM$1006,0))&gt;=100000), " ",IF(INDEX($AM$2:$BM$1001,MATCH(ROWS($AF$2:AF329),$AF$2:$AF$1001,0),MATCH(COLUMNS($AM$1006:BI1006),$AM$1006:$BM$1006,0)), HYPERLINK("#",""), HYPERLINK(CONCATENATE("#metadata!", ADDRESS(INDEX($AH$2:$AH$1001,MATCH(ROWS($AF$2:AF329),$AF$2:$AF$1001,0),0), INDEX($AM$1004:$BM$1004,1,MATCH(COLUMNS($AM$1006:BI1006),$AM$1006:$BM$1006,0)))),"Fix")))</f>
        <v xml:space="preserve"> </v>
      </c>
      <c r="Y329" s="4" t="str">
        <f ca="1">IF(OR(INDEX($AG$2:$AG$1001,MATCH(ROWS($AF$2:AF329),$AF$2:$AF$1001,0),1)&gt;=100000,INDEX($AM$1005:$BM$1005,1,MATCH(COLUMNS($AM$1006:BJ1006),$AM$1006:$BM$1006,0))&gt;=100000), " ",IF(INDEX($AM$2:$BM$1001,MATCH(ROWS($AF$2:AF329),$AF$2:$AF$1001,0),MATCH(COLUMNS($AM$1006:BJ1006),$AM$1006:$BM$1006,0)), HYPERLINK("#",""), HYPERLINK(CONCATENATE("#metadata!", ADDRESS(INDEX($AH$2:$AH$1001,MATCH(ROWS($AF$2:AF329),$AF$2:$AF$1001,0),0), INDEX($AM$1004:$BM$1004,1,MATCH(COLUMNS($AM$1006:BJ1006),$AM$1006:$BM$1006,0)))),"Fix")))</f>
        <v xml:space="preserve"> </v>
      </c>
      <c r="Z329" s="4" t="str">
        <f ca="1">IF(OR(INDEX($AG$2:$AG$1001,MATCH(ROWS($AF$2:AF329),$AF$2:$AF$1001,0),1)&gt;=100000,INDEX($AM$1005:$BM$1005,1,MATCH(COLUMNS($AM$1006:BK1006),$AM$1006:$BM$1006,0))&gt;=100000), " ",IF(INDEX($AM$2:$BM$1001,MATCH(ROWS($AF$2:AF329),$AF$2:$AF$1001,0),MATCH(COLUMNS($AM$1006:BK1006),$AM$1006:$BM$1006,0)), HYPERLINK("#",""), HYPERLINK(CONCATENATE("#metadata!", ADDRESS(INDEX($AH$2:$AH$1001,MATCH(ROWS($AF$2:AF329),$AF$2:$AF$1001,0),0), INDEX($AM$1004:$BM$1004,1,MATCH(COLUMNS($AM$1006:BK1006),$AM$1006:$BM$1006,0)))),"Fix")))</f>
        <v xml:space="preserve"> </v>
      </c>
      <c r="AA329" s="4" t="str">
        <f ca="1">IF(OR(INDEX($AG$2:$AG$1001,MATCH(ROWS($AF$2:AF329),$AF$2:$AF$1001,0),1)&gt;=100000,INDEX($AM$1005:$BM$1005,1,MATCH(COLUMNS($AM$1006:BL1006),$AM$1006:$BM$1006,0))&gt;=100000), " ",IF(INDEX($AM$2:$BM$1001,MATCH(ROWS($AF$2:AF329),$AF$2:$AF$1001,0),MATCH(COLUMNS($AM$1006:BL1006),$AM$1006:$BM$1006,0)), HYPERLINK("#",""), HYPERLINK(CONCATENATE("#metadata!", ADDRESS(INDEX($AH$2:$AH$1001,MATCH(ROWS($AF$2:AF329),$AF$2:$AF$1001,0),0), INDEX($AM$1004:$BM$1004,1,MATCH(COLUMNS($AM$1006:BL1006),$AM$1006:$BM$1006,0)))),"Fix")))</f>
        <v xml:space="preserve"> </v>
      </c>
      <c r="AB329" s="4" t="str">
        <f ca="1">IF(OR(INDEX($AG$2:$AG$1001,MATCH(ROWS($AF$2:AF329),$AF$2:$AF$1001,0),1)&gt;=100000,INDEX($AM$1005:$BM$1005,1,MATCH(COLUMNS($AM$1006:BM1006),$AM$1006:$BM$1006,0))&gt;=100000), " ",IF(INDEX($AM$2:$BM$1001,MATCH(ROWS($AF$2:AF329),$AF$2:$AF$1001,0),MATCH(COLUMNS($AM$1006:BM1006),$AM$1006:$BM$1006,0)), HYPERLINK("#",""), HYPERLINK(CONCATENATE("#metadata!", ADDRESS(INDEX($AH$2:$AH$1001,MATCH(ROWS($AF$2:AF329),$AF$2:$AF$1001,0),0), INDEX($AM$1004:$BM$1004,1,MATCH(COLUMNS($AM$1006:BM1006),$AM$1006:$BM$1006,0)))),"Fix")))</f>
        <v xml:space="preserve"> </v>
      </c>
      <c r="AF329">
        <v>328</v>
      </c>
      <c r="AG329">
        <v>100329</v>
      </c>
      <c r="AH329">
        <v>329</v>
      </c>
      <c r="AI329" t="b">
        <f t="shared" si="5"/>
        <v>1</v>
      </c>
      <c r="AJ329" t="b">
        <f>COUNTBLANK(metadata!B329:AB329)=COLUMNS(metadata!B329:AB329)</f>
        <v>1</v>
      </c>
      <c r="AK329" t="str">
        <v/>
      </c>
      <c r="AM329" t="b">
        <f ca="1">AND(IF(metadata!B329="",FALSE,TRUE),COUNTIF(metadata!B:B, metadata!B329) = 1,NOT(ISERROR(SUMPRODUCT(SEARCH(MID(metadata!B329,ROW(INDIRECT("1:"&amp;LEN(metadata!B329))), 1),"0123456789abcdefghijklmnopqrstuvwxyzABCDEFGHIJKLMNOPQRSTUVWXYZ.")))))</f>
        <v>0</v>
      </c>
      <c r="AN329" t="b">
        <f ca="1">OR(AND(IF(metadata!C329="",FALSE,TRUE),OR(EXACT(metadata!C329,"missing: not collected"),EXACT(metadata!C329,"missing: not provided"),EXACT(metadata!C329,"missing: restricted access"))),AND(IF(metadata!C329="",FALSE,TRUE),AND(AND(IFERROR(INT(LEFT(metadata!C329,4))&gt;1900,FALSE),IFERROR(INT(LEFT(metadata!C329,4))&lt;=YEAR(NOW()),FALSE)), OR(MID(metadata!C329,5,1)="", AND(AND(MID(metadata!C329,5,1)="-",IFERROR(INT(MID(metadata!C329,6,1))&gt;=0,FALSE),IFERROR(INT(MID(metadata!C329,6,1))&lt;=1,FALSE),NOT(MID(metadata!C329,7,1)=""),IFERROR(INT(MID(metadata!C329,6,2))&gt;=1,FALSE),IFERROR(INT(MID(metadata!C329,6,2))&lt;=12,FALSE)), OR(MID(metadata!C329,8,1)="", AND(AND(MID(metadata!C329,8,1)="-",IFERROR(INT(MID(metadata!C329,9,1))&gt;=0,FALSE),IFERROR(INT(MID(metadata!C329,9,1))&lt;=3,FALSE),NOT(MID(metadata!C329,10,1)=""),IFERROR(INT(MID(metadata!C329,9,2))&gt;=1,FALSE),IFERROR(INT(MID(metadata!C329,9,2))&lt;=31,FALSE)), OR(MID(metadata!C329,11,1)="", AND(AND(MID(metadata!C329,11,1)=" ",IFERROR(INT(MID(metadata!C329,12,1))&gt;=0,FALSE),IFERROR(INT(MID(metadata!C329,12,1))&lt;=2,FALSE),NOT(MID(metadata!C329,13,1)=""),IFERROR(INT(MID(metadata!C329,12,2))&gt;=0,FALSE),IFERROR(INT(MID(metadata!C329,12,2))&lt;=23,FALSE)), OR(MID(metadata!C329,14,1)="", AND(AND(MID(metadata!C329,14,1)=":",IFERROR(INT(MID(metadata!C329,15,1))&gt;=0,FALSE),IFERROR(INT(MID(metadata!C329,15,1))&lt;=5,FALSE),NOT(MID(metadata!C329,16,1)=""),IFERROR(INT(MID(metadata!C329,15,2))&gt;=0,FALSE),IFERROR(INT(MID(metadata!C329,15,2))&lt;=59,FALSE)), OR(MID(metadata!C329,17,1)="", AND(AND(MID(metadata!C329,17,1)=":",IFERROR(INT(MID(metadata!C329,18,1))&gt;=0,FALSE),IFERROR(INT(MID(metadata!C329,18,1))&lt;=5,FALSE),NOT(MID(metadata!C329,19,1)=""),IFERROR(INT(MID(metadata!C329,18,2))&gt;=0,FALSE),IFERROR(INT(MID(metadata!C329,18,2))&lt;=59,FALSE)), LEN(metadata!C329)&lt;=19)))))))))))))</f>
        <v>0</v>
      </c>
      <c r="AO329" t="b">
        <f>AND(IF(metadata!D329="",FALSE,TRUE),EXACT(metadata!D329,"Not applicable"))</f>
        <v>0</v>
      </c>
      <c r="AP329" t="b">
        <f>IF(metadata!E329="",FALSE,TRUE)</f>
        <v>0</v>
      </c>
      <c r="AQ329" t="b">
        <f>OR(AND(IF(metadata!F329="",FALSE,TRUE),OR(EXACT(metadata!F329,"missing: not collected"),EXACT(metadata!F329,"missing: not provided"))),AND(IF(metadata!F329="",FALSE,TRUE),OR(EXACT(metadata!F329,"TRUE"),EXACT(metadata!F329,"FALSE"))))</f>
        <v>0</v>
      </c>
      <c r="AR329" t="b">
        <f>OR(AND(IF(metadata!G329="",FALSE,TRUE),OR(EXACT(metadata!G329,"missing: not collected"),EXACT(metadata!G329,"missing: not provided"),EXACT(metadata!G329,"missing: restricted access"))),AND(IF(metadata!G329="",FALSE,ISNUMBER(VALUE(metadata!G329))),metadata!G329&gt;=-413))</f>
        <v>0</v>
      </c>
      <c r="AS329" t="b">
        <f>AND(IF(metadata!H329="",FALSE,TRUE),EXACT(metadata!H329,"meters"))</f>
        <v>0</v>
      </c>
      <c r="AT329" t="b">
        <f>AND(IF(metadata!I329="",FALSE,TRUE),OR(EXACT(metadata!I329,"Host-associated"),EXACT(metadata!I329,"Free-living")))</f>
        <v>0</v>
      </c>
      <c r="AU329" t="b">
        <f>AND(IF(metadata!J329="",FALSE,TRUE),OR(EXACT(metadata!J329,"Animal"),EXACT(metadata!J329,"Fungus"),EXACT(metadata!J329,"Plant"),EXACT(metadata!J329,"Saline"),EXACT(metadata!J329,"Non-saline")))</f>
        <v>0</v>
      </c>
      <c r="AV329" t="b">
        <f>AND(IF(metadata!K329="",FALSE,TRUE),OR(EXACT(metadata!K329,"Plant secretion"),EXACT(metadata!K329,"Plant rhizosphere"),EXACT(metadata!K329,"Plant surface"),EXACT(metadata!K329,"Plant corpus"),EXACT(metadata!K329,"Fungus surface"),EXACT(metadata!K329,"Fungus corpus"),EXACT(metadata!K329,"Animal surface"),EXACT(metadata!K329,"Animal proximal gut"),EXACT(metadata!K329,"Animal corpus"),EXACT(metadata!K329,"Animal distal gut"),EXACT(metadata!K329,"Animal secretion"),EXACT(metadata!K329,"Sub-surface (non-saline)"),EXACT(metadata!K329,"Surface (non-saline)"),EXACT(metadata!K329,"Water (non-saline)"),EXACT(metadata!K329,"Soil (non-saline)"),EXACT(metadata!K329,"Aerosol (non-saline)"),EXACT(metadata!K329,"Sediment (non-saline)"),EXACT(metadata!K329,"Surface (saline)"),EXACT(metadata!K329,"Water (saline)"),EXACT(metadata!K329,"Hypersaline (saline)"),EXACT(metadata!K329,"Aerosol (saline)"),EXACT(metadata!K329,"Sediment (saline)")))</f>
        <v>0</v>
      </c>
      <c r="AW329" t="b">
        <f>IF(metadata!L329="",FALSE,TRUE)</f>
        <v>0</v>
      </c>
      <c r="AX329" t="b">
        <f>IF(metadata!M329="",FALSE,TRUE)</f>
        <v>0</v>
      </c>
      <c r="AY329" t="b">
        <f>IF(metadata!N329="",FALSE,TRUE)</f>
        <v>0</v>
      </c>
      <c r="AZ329" t="b">
        <f>OR(AND(IF(metadata!O329="",FALSE,TRUE),OR(EXACT(metadata!O329,"missing: not collected"),EXACT(metadata!O329,"missing: not provided"),EXACT(metadata!O329,"missing: restricted access"))),AND(IF(metadata!O329="",FALSE,TRUE),OR(EXACT(metadata!O329,"air"),EXACT(metadata!O329,"built environment"),EXACT(metadata!O329,"host-associated"),EXACT(metadata!O329,"human-associated"),EXACT(metadata!O329,"human-skin"),EXACT(metadata!O329,"human-oral"),EXACT(metadata!O329,"human-gut"),EXACT(metadata!O329,"human-vaginal"),EXACT(metadata!O329,"microbial mat/biofilm"),EXACT(metadata!O329,"misc environment"),EXACT(metadata!O329,"plant-associated"),EXACT(metadata!O329,"sediment"),EXACT(metadata!O329,"soil"),EXACT(metadata!O329,"wastewater/sludge"),EXACT(metadata!O329,"water"))))</f>
        <v>0</v>
      </c>
      <c r="BA329" t="b">
        <f>IF(metadata!P329="",FALSE,TRUE)</f>
        <v>0</v>
      </c>
      <c r="BB329" t="b">
        <f>IF(metadata!Q329="",FALSE,TRUE)</f>
        <v>0</v>
      </c>
      <c r="BC329" t="b">
        <f>OR(AND(IF(metadata!R329="",FALSE,TRUE),OR(EXACT(metadata!R329,"missing: not collected"),EXACT(metadata!R329,"missing: not provided"),EXACT(metadata!R329,"missing: restricted access"))),AND(IF(metadata!R329="",FALSE,ISNUMBER(VALUE(metadata!R329))),metadata!R329&gt;=-90,metadata!R329&lt;=90))</f>
        <v>0</v>
      </c>
      <c r="BD329" t="b">
        <f>AND(IF(metadata!S329="",FALSE,TRUE),EXACT(metadata!S329,"Decimal degrees"))</f>
        <v>0</v>
      </c>
      <c r="BE329" t="b">
        <f>OR(AND(IF(metadata!T329="",FALSE,TRUE),OR(EXACT(metadata!T329,"missing: not collected"),EXACT(metadata!T329,"missing: not provided"),EXACT(metadata!T329,"missing: restricted access"))),AND(IF(metadata!T329="",FALSE,ISNUMBER(VALUE(metadata!T329))),metadata!T329&gt;=-180,metadata!T329&lt;=180))</f>
        <v>0</v>
      </c>
      <c r="BF329" t="b">
        <f>AND(IF(metadata!U329="",FALSE,TRUE),EXACT(metadata!U329,"Decimal degrees"))</f>
        <v>0</v>
      </c>
      <c r="BG329" t="b">
        <f>IF(metadata!V329="",FALSE,TRUE)</f>
        <v>0</v>
      </c>
      <c r="BH329" t="b">
        <f>OR(AND(IF(metadata!W329="",FALSE,TRUE),OR(EXACT(metadata!W329,"missing: not collected"),EXACT(metadata!W329,"missing: not provided"),EXACT(metadata!W329,"missing: restricted access"))),AND(IF(metadata!W329="",FALSE,TRUE),OR(EXACT(metadata!W329,"TRUE"),EXACT(metadata!W329,"FALSE"))))</f>
        <v>0</v>
      </c>
      <c r="BI329" t="b">
        <f>AND(IF(metadata!X329="",FALSE,TRUE),EXACT(metadata!X329,"other"))</f>
        <v>0</v>
      </c>
      <c r="BJ329" t="b">
        <f>IF(metadata!Y329="",FALSE,TRUE)</f>
        <v>0</v>
      </c>
      <c r="BK329" t="b">
        <f>OR(AND(IF(metadata!Z329="",FALSE,TRUE),OR(EXACT(metadata!Z329,"missing: not collected"),EXACT(metadata!Z329,"missing: not provided"))),AND(IF(metadata!Z329="",FALSE,IF(ISERROR(INT(metadata!Z329)),FALSE,INT(metadata!Z329)=metadata!Z329)),metadata!Z329&gt;0))</f>
        <v>0</v>
      </c>
      <c r="BL329" t="b">
        <f>AND(IF(metadata!AA329="",FALSE,TRUE),EXACT(metadata!AA329,"Not applicable"))</f>
        <v>0</v>
      </c>
      <c r="BM329" t="b">
        <f>IF(metadata!AB329="",FALSE,TRUE)</f>
        <v>0</v>
      </c>
    </row>
    <row r="330" spans="1:65" x14ac:dyDescent="0.2">
      <c r="A330" s="5" t="str">
        <f ca="1">IF(B330=" "," ",HYPERLINK(CONCATENATE("#metadata!",ADDRESS(INDEX($AH$2:$AH$1001,MATCH(ROWS($AF$2:AF330),$AF$2:$AF$1001,0),0),1)),INDEX($AK$2:$AK$1001,MATCH(ROWS($AF$2:AF330),$AF$2:$AF$1001,0),0)))</f>
        <v xml:space="preserve"> </v>
      </c>
      <c r="B330" s="4" t="str">
        <f ca="1">IF(OR(INDEX($AG$2:$AG$1001,MATCH(ROWS($AF$2:AF330),$AF$2:$AF$1001,0),1)&gt;=100000,INDEX($AM$1005:$BM$1005,1,MATCH(COLUMNS($AM$1006:AM1006),$AM$1006:$BM$1006,0))&gt;=100000), " ",IF(INDEX($AM$2:$BM$1001,MATCH(ROWS($AF$2:AF330),$AF$2:$AF$1001,0),MATCH(COLUMNS($AM$1006:AM1006),$AM$1006:$BM$1006,0)), HYPERLINK("#",""), HYPERLINK(CONCATENATE("#metadata!", ADDRESS(INDEX($AH$2:$AH$1001,MATCH(ROWS($AF$2:AF330),$AF$2:$AF$1001,0),0), INDEX($AM$1004:$BM$1004,1,MATCH(COLUMNS($AM$1006:AM1006),$AM$1006:$BM$1006,0)))),"Fix")))</f>
        <v xml:space="preserve"> </v>
      </c>
      <c r="C330" s="4" t="str">
        <f ca="1">IF(OR(INDEX($AG$2:$AG$1001,MATCH(ROWS($AF$2:AF330),$AF$2:$AF$1001,0),1)&gt;=100000,INDEX($AM$1005:$BM$1005,1,MATCH(COLUMNS($AM$1006:AN1006),$AM$1006:$BM$1006,0))&gt;=100000), " ",IF(INDEX($AM$2:$BM$1001,MATCH(ROWS($AF$2:AF330),$AF$2:$AF$1001,0),MATCH(COLUMNS($AM$1006:AN1006),$AM$1006:$BM$1006,0)), HYPERLINK("#",""), HYPERLINK(CONCATENATE("#metadata!", ADDRESS(INDEX($AH$2:$AH$1001,MATCH(ROWS($AF$2:AF330),$AF$2:$AF$1001,0),0), INDEX($AM$1004:$BM$1004,1,MATCH(COLUMNS($AM$1006:AN1006),$AM$1006:$BM$1006,0)))),"Fix")))</f>
        <v xml:space="preserve"> </v>
      </c>
      <c r="D330" s="4" t="str">
        <f ca="1">IF(OR(INDEX($AG$2:$AG$1001,MATCH(ROWS($AF$2:AF330),$AF$2:$AF$1001,0),1)&gt;=100000,INDEX($AM$1005:$BM$1005,1,MATCH(COLUMNS($AM$1006:AO1006),$AM$1006:$BM$1006,0))&gt;=100000), " ",IF(INDEX($AM$2:$BM$1001,MATCH(ROWS($AF$2:AF330),$AF$2:$AF$1001,0),MATCH(COLUMNS($AM$1006:AO1006),$AM$1006:$BM$1006,0)), HYPERLINK("#",""), HYPERLINK(CONCATENATE("#metadata!", ADDRESS(INDEX($AH$2:$AH$1001,MATCH(ROWS($AF$2:AF330),$AF$2:$AF$1001,0),0), INDEX($AM$1004:$BM$1004,1,MATCH(COLUMNS($AM$1006:AO1006),$AM$1006:$BM$1006,0)))),"Fix")))</f>
        <v xml:space="preserve"> </v>
      </c>
      <c r="E330" s="4" t="str">
        <f ca="1">IF(OR(INDEX($AG$2:$AG$1001,MATCH(ROWS($AF$2:AF330),$AF$2:$AF$1001,0),1)&gt;=100000,INDEX($AM$1005:$BM$1005,1,MATCH(COLUMNS($AM$1006:AP1006),$AM$1006:$BM$1006,0))&gt;=100000), " ",IF(INDEX($AM$2:$BM$1001,MATCH(ROWS($AF$2:AF330),$AF$2:$AF$1001,0),MATCH(COLUMNS($AM$1006:AP1006),$AM$1006:$BM$1006,0)), HYPERLINK("#",""), HYPERLINK(CONCATENATE("#metadata!", ADDRESS(INDEX($AH$2:$AH$1001,MATCH(ROWS($AF$2:AF330),$AF$2:$AF$1001,0),0), INDEX($AM$1004:$BM$1004,1,MATCH(COLUMNS($AM$1006:AP1006),$AM$1006:$BM$1006,0)))),"Fix")))</f>
        <v xml:space="preserve"> </v>
      </c>
      <c r="F330" s="4" t="str">
        <f ca="1">IF(OR(INDEX($AG$2:$AG$1001,MATCH(ROWS($AF$2:AF330),$AF$2:$AF$1001,0),1)&gt;=100000,INDEX($AM$1005:$BM$1005,1,MATCH(COLUMNS($AM$1006:AQ1006),$AM$1006:$BM$1006,0))&gt;=100000), " ",IF(INDEX($AM$2:$BM$1001,MATCH(ROWS($AF$2:AF330),$AF$2:$AF$1001,0),MATCH(COLUMNS($AM$1006:AQ1006),$AM$1006:$BM$1006,0)), HYPERLINK("#",""), HYPERLINK(CONCATENATE("#metadata!", ADDRESS(INDEX($AH$2:$AH$1001,MATCH(ROWS($AF$2:AF330),$AF$2:$AF$1001,0),0), INDEX($AM$1004:$BM$1004,1,MATCH(COLUMNS($AM$1006:AQ1006),$AM$1006:$BM$1006,0)))),"Fix")))</f>
        <v xml:space="preserve"> </v>
      </c>
      <c r="G330" s="4" t="str">
        <f ca="1">IF(OR(INDEX($AG$2:$AG$1001,MATCH(ROWS($AF$2:AF330),$AF$2:$AF$1001,0),1)&gt;=100000,INDEX($AM$1005:$BM$1005,1,MATCH(COLUMNS($AM$1006:AR1006),$AM$1006:$BM$1006,0))&gt;=100000), " ",IF(INDEX($AM$2:$BM$1001,MATCH(ROWS($AF$2:AF330),$AF$2:$AF$1001,0),MATCH(COLUMNS($AM$1006:AR1006),$AM$1006:$BM$1006,0)), HYPERLINK("#",""), HYPERLINK(CONCATENATE("#metadata!", ADDRESS(INDEX($AH$2:$AH$1001,MATCH(ROWS($AF$2:AF330),$AF$2:$AF$1001,0),0), INDEX($AM$1004:$BM$1004,1,MATCH(COLUMNS($AM$1006:AR1006),$AM$1006:$BM$1006,0)))),"Fix")))</f>
        <v xml:space="preserve"> </v>
      </c>
      <c r="H330" s="4" t="str">
        <f ca="1">IF(OR(INDEX($AG$2:$AG$1001,MATCH(ROWS($AF$2:AF330),$AF$2:$AF$1001,0),1)&gt;=100000,INDEX($AM$1005:$BM$1005,1,MATCH(COLUMNS($AM$1006:AS1006),$AM$1006:$BM$1006,0))&gt;=100000), " ",IF(INDEX($AM$2:$BM$1001,MATCH(ROWS($AF$2:AF330),$AF$2:$AF$1001,0),MATCH(COLUMNS($AM$1006:AS1006),$AM$1006:$BM$1006,0)), HYPERLINK("#",""), HYPERLINK(CONCATENATE("#metadata!", ADDRESS(INDEX($AH$2:$AH$1001,MATCH(ROWS($AF$2:AF330),$AF$2:$AF$1001,0),0), INDEX($AM$1004:$BM$1004,1,MATCH(COLUMNS($AM$1006:AS1006),$AM$1006:$BM$1006,0)))),"Fix")))</f>
        <v xml:space="preserve"> </v>
      </c>
      <c r="I330" s="4" t="str">
        <f ca="1">IF(OR(INDEX($AG$2:$AG$1001,MATCH(ROWS($AF$2:AF330),$AF$2:$AF$1001,0),1)&gt;=100000,INDEX($AM$1005:$BM$1005,1,MATCH(COLUMNS($AM$1006:AT1006),$AM$1006:$BM$1006,0))&gt;=100000), " ",IF(INDEX($AM$2:$BM$1001,MATCH(ROWS($AF$2:AF330),$AF$2:$AF$1001,0),MATCH(COLUMNS($AM$1006:AT1006),$AM$1006:$BM$1006,0)), HYPERLINK("#",""), HYPERLINK(CONCATENATE("#metadata!", ADDRESS(INDEX($AH$2:$AH$1001,MATCH(ROWS($AF$2:AF330),$AF$2:$AF$1001,0),0), INDEX($AM$1004:$BM$1004,1,MATCH(COLUMNS($AM$1006:AT1006),$AM$1006:$BM$1006,0)))),"Fix")))</f>
        <v xml:space="preserve"> </v>
      </c>
      <c r="J330" s="4" t="str">
        <f ca="1">IF(OR(INDEX($AG$2:$AG$1001,MATCH(ROWS($AF$2:AF330),$AF$2:$AF$1001,0),1)&gt;=100000,INDEX($AM$1005:$BM$1005,1,MATCH(COLUMNS($AM$1006:AU1006),$AM$1006:$BM$1006,0))&gt;=100000), " ",IF(INDEX($AM$2:$BM$1001,MATCH(ROWS($AF$2:AF330),$AF$2:$AF$1001,0),MATCH(COLUMNS($AM$1006:AU1006),$AM$1006:$BM$1006,0)), HYPERLINK("#",""), HYPERLINK(CONCATENATE("#metadata!", ADDRESS(INDEX($AH$2:$AH$1001,MATCH(ROWS($AF$2:AF330),$AF$2:$AF$1001,0),0), INDEX($AM$1004:$BM$1004,1,MATCH(COLUMNS($AM$1006:AU1006),$AM$1006:$BM$1006,0)))),"Fix")))</f>
        <v xml:space="preserve"> </v>
      </c>
      <c r="K330" s="4" t="str">
        <f ca="1">IF(OR(INDEX($AG$2:$AG$1001,MATCH(ROWS($AF$2:AF330),$AF$2:$AF$1001,0),1)&gt;=100000,INDEX($AM$1005:$BM$1005,1,MATCH(COLUMNS($AM$1006:AV1006),$AM$1006:$BM$1006,0))&gt;=100000), " ",IF(INDEX($AM$2:$BM$1001,MATCH(ROWS($AF$2:AF330),$AF$2:$AF$1001,0),MATCH(COLUMNS($AM$1006:AV1006),$AM$1006:$BM$1006,0)), HYPERLINK("#",""), HYPERLINK(CONCATENATE("#metadata!", ADDRESS(INDEX($AH$2:$AH$1001,MATCH(ROWS($AF$2:AF330),$AF$2:$AF$1001,0),0), INDEX($AM$1004:$BM$1004,1,MATCH(COLUMNS($AM$1006:AV1006),$AM$1006:$BM$1006,0)))),"Fix")))</f>
        <v xml:space="preserve"> </v>
      </c>
      <c r="L330" s="4" t="str">
        <f ca="1">IF(OR(INDEX($AG$2:$AG$1001,MATCH(ROWS($AF$2:AF330),$AF$2:$AF$1001,0),1)&gt;=100000,INDEX($AM$1005:$BM$1005,1,MATCH(COLUMNS($AM$1006:AW1006),$AM$1006:$BM$1006,0))&gt;=100000), " ",IF(INDEX($AM$2:$BM$1001,MATCH(ROWS($AF$2:AF330),$AF$2:$AF$1001,0),MATCH(COLUMNS($AM$1006:AW1006),$AM$1006:$BM$1006,0)), HYPERLINK("#",""), HYPERLINK(CONCATENATE("#metadata!", ADDRESS(INDEX($AH$2:$AH$1001,MATCH(ROWS($AF$2:AF330),$AF$2:$AF$1001,0),0), INDEX($AM$1004:$BM$1004,1,MATCH(COLUMNS($AM$1006:AW1006),$AM$1006:$BM$1006,0)))),"Fix")))</f>
        <v xml:space="preserve"> </v>
      </c>
      <c r="M330" s="4" t="str">
        <f ca="1">IF(OR(INDEX($AG$2:$AG$1001,MATCH(ROWS($AF$2:AF330),$AF$2:$AF$1001,0),1)&gt;=100000,INDEX($AM$1005:$BM$1005,1,MATCH(COLUMNS($AM$1006:AX1006),$AM$1006:$BM$1006,0))&gt;=100000), " ",IF(INDEX($AM$2:$BM$1001,MATCH(ROWS($AF$2:AF330),$AF$2:$AF$1001,0),MATCH(COLUMNS($AM$1006:AX1006),$AM$1006:$BM$1006,0)), HYPERLINK("#",""), HYPERLINK(CONCATENATE("#metadata!", ADDRESS(INDEX($AH$2:$AH$1001,MATCH(ROWS($AF$2:AF330),$AF$2:$AF$1001,0),0), INDEX($AM$1004:$BM$1004,1,MATCH(COLUMNS($AM$1006:AX1006),$AM$1006:$BM$1006,0)))),"Fix")))</f>
        <v xml:space="preserve"> </v>
      </c>
      <c r="N330" s="4" t="str">
        <f ca="1">IF(OR(INDEX($AG$2:$AG$1001,MATCH(ROWS($AF$2:AF330),$AF$2:$AF$1001,0),1)&gt;=100000,INDEX($AM$1005:$BM$1005,1,MATCH(COLUMNS($AM$1006:AY1006),$AM$1006:$BM$1006,0))&gt;=100000), " ",IF(INDEX($AM$2:$BM$1001,MATCH(ROWS($AF$2:AF330),$AF$2:$AF$1001,0),MATCH(COLUMNS($AM$1006:AY1006),$AM$1006:$BM$1006,0)), HYPERLINK("#",""), HYPERLINK(CONCATENATE("#metadata!", ADDRESS(INDEX($AH$2:$AH$1001,MATCH(ROWS($AF$2:AF330),$AF$2:$AF$1001,0),0), INDEX($AM$1004:$BM$1004,1,MATCH(COLUMNS($AM$1006:AY1006),$AM$1006:$BM$1006,0)))),"Fix")))</f>
        <v xml:space="preserve"> </v>
      </c>
      <c r="O330" s="4" t="str">
        <f ca="1">IF(OR(INDEX($AG$2:$AG$1001,MATCH(ROWS($AF$2:AF330),$AF$2:$AF$1001,0),1)&gt;=100000,INDEX($AM$1005:$BM$1005,1,MATCH(COLUMNS($AM$1006:AZ1006),$AM$1006:$BM$1006,0))&gt;=100000), " ",IF(INDEX($AM$2:$BM$1001,MATCH(ROWS($AF$2:AF330),$AF$2:$AF$1001,0),MATCH(COLUMNS($AM$1006:AZ1006),$AM$1006:$BM$1006,0)), HYPERLINK("#",""), HYPERLINK(CONCATENATE("#metadata!", ADDRESS(INDEX($AH$2:$AH$1001,MATCH(ROWS($AF$2:AF330),$AF$2:$AF$1001,0),0), INDEX($AM$1004:$BM$1004,1,MATCH(COLUMNS($AM$1006:AZ1006),$AM$1006:$BM$1006,0)))),"Fix")))</f>
        <v xml:space="preserve"> </v>
      </c>
      <c r="P330" s="4" t="str">
        <f ca="1">IF(OR(INDEX($AG$2:$AG$1001,MATCH(ROWS($AF$2:AF330),$AF$2:$AF$1001,0),1)&gt;=100000,INDEX($AM$1005:$BM$1005,1,MATCH(COLUMNS($AM$1006:BA1006),$AM$1006:$BM$1006,0))&gt;=100000), " ",IF(INDEX($AM$2:$BM$1001,MATCH(ROWS($AF$2:AF330),$AF$2:$AF$1001,0),MATCH(COLUMNS($AM$1006:BA1006),$AM$1006:$BM$1006,0)), HYPERLINK("#",""), HYPERLINK(CONCATENATE("#metadata!", ADDRESS(INDEX($AH$2:$AH$1001,MATCH(ROWS($AF$2:AF330),$AF$2:$AF$1001,0),0), INDEX($AM$1004:$BM$1004,1,MATCH(COLUMNS($AM$1006:BA1006),$AM$1006:$BM$1006,0)))),"Fix")))</f>
        <v xml:space="preserve"> </v>
      </c>
      <c r="Q330" s="4" t="str">
        <f ca="1">IF(OR(INDEX($AG$2:$AG$1001,MATCH(ROWS($AF$2:AF330),$AF$2:$AF$1001,0),1)&gt;=100000,INDEX($AM$1005:$BM$1005,1,MATCH(COLUMNS($AM$1006:BB1006),$AM$1006:$BM$1006,0))&gt;=100000), " ",IF(INDEX($AM$2:$BM$1001,MATCH(ROWS($AF$2:AF330),$AF$2:$AF$1001,0),MATCH(COLUMNS($AM$1006:BB1006),$AM$1006:$BM$1006,0)), HYPERLINK("#",""), HYPERLINK(CONCATENATE("#metadata!", ADDRESS(INDEX($AH$2:$AH$1001,MATCH(ROWS($AF$2:AF330),$AF$2:$AF$1001,0),0), INDEX($AM$1004:$BM$1004,1,MATCH(COLUMNS($AM$1006:BB1006),$AM$1006:$BM$1006,0)))),"Fix")))</f>
        <v xml:space="preserve"> </v>
      </c>
      <c r="R330" s="4" t="str">
        <f ca="1">IF(OR(INDEX($AG$2:$AG$1001,MATCH(ROWS($AF$2:AF330),$AF$2:$AF$1001,0),1)&gt;=100000,INDEX($AM$1005:$BM$1005,1,MATCH(COLUMNS($AM$1006:BC1006),$AM$1006:$BM$1006,0))&gt;=100000), " ",IF(INDEX($AM$2:$BM$1001,MATCH(ROWS($AF$2:AF330),$AF$2:$AF$1001,0),MATCH(COLUMNS($AM$1006:BC1006),$AM$1006:$BM$1006,0)), HYPERLINK("#",""), HYPERLINK(CONCATENATE("#metadata!", ADDRESS(INDEX($AH$2:$AH$1001,MATCH(ROWS($AF$2:AF330),$AF$2:$AF$1001,0),0), INDEX($AM$1004:$BM$1004,1,MATCH(COLUMNS($AM$1006:BC1006),$AM$1006:$BM$1006,0)))),"Fix")))</f>
        <v xml:space="preserve"> </v>
      </c>
      <c r="S330" s="4" t="str">
        <f ca="1">IF(OR(INDEX($AG$2:$AG$1001,MATCH(ROWS($AF$2:AF330),$AF$2:$AF$1001,0),1)&gt;=100000,INDEX($AM$1005:$BM$1005,1,MATCH(COLUMNS($AM$1006:BD1006),$AM$1006:$BM$1006,0))&gt;=100000), " ",IF(INDEX($AM$2:$BM$1001,MATCH(ROWS($AF$2:AF330),$AF$2:$AF$1001,0),MATCH(COLUMNS($AM$1006:BD1006),$AM$1006:$BM$1006,0)), HYPERLINK("#",""), HYPERLINK(CONCATENATE("#metadata!", ADDRESS(INDEX($AH$2:$AH$1001,MATCH(ROWS($AF$2:AF330),$AF$2:$AF$1001,0),0), INDEX($AM$1004:$BM$1004,1,MATCH(COLUMNS($AM$1006:BD1006),$AM$1006:$BM$1006,0)))),"Fix")))</f>
        <v xml:space="preserve"> </v>
      </c>
      <c r="T330" s="4" t="str">
        <f ca="1">IF(OR(INDEX($AG$2:$AG$1001,MATCH(ROWS($AF$2:AF330),$AF$2:$AF$1001,0),1)&gt;=100000,INDEX($AM$1005:$BM$1005,1,MATCH(COLUMNS($AM$1006:BE1006),$AM$1006:$BM$1006,0))&gt;=100000), " ",IF(INDEX($AM$2:$BM$1001,MATCH(ROWS($AF$2:AF330),$AF$2:$AF$1001,0),MATCH(COLUMNS($AM$1006:BE1006),$AM$1006:$BM$1006,0)), HYPERLINK("#",""), HYPERLINK(CONCATENATE("#metadata!", ADDRESS(INDEX($AH$2:$AH$1001,MATCH(ROWS($AF$2:AF330),$AF$2:$AF$1001,0),0), INDEX($AM$1004:$BM$1004,1,MATCH(COLUMNS($AM$1006:BE1006),$AM$1006:$BM$1006,0)))),"Fix")))</f>
        <v xml:space="preserve"> </v>
      </c>
      <c r="U330" s="4" t="str">
        <f ca="1">IF(OR(INDEX($AG$2:$AG$1001,MATCH(ROWS($AF$2:AF330),$AF$2:$AF$1001,0),1)&gt;=100000,INDEX($AM$1005:$BM$1005,1,MATCH(COLUMNS($AM$1006:BF1006),$AM$1006:$BM$1006,0))&gt;=100000), " ",IF(INDEX($AM$2:$BM$1001,MATCH(ROWS($AF$2:AF330),$AF$2:$AF$1001,0),MATCH(COLUMNS($AM$1006:BF1006),$AM$1006:$BM$1006,0)), HYPERLINK("#",""), HYPERLINK(CONCATENATE("#metadata!", ADDRESS(INDEX($AH$2:$AH$1001,MATCH(ROWS($AF$2:AF330),$AF$2:$AF$1001,0),0), INDEX($AM$1004:$BM$1004,1,MATCH(COLUMNS($AM$1006:BF1006),$AM$1006:$BM$1006,0)))),"Fix")))</f>
        <v xml:space="preserve"> </v>
      </c>
      <c r="V330" s="4" t="str">
        <f ca="1">IF(OR(INDEX($AG$2:$AG$1001,MATCH(ROWS($AF$2:AF330),$AF$2:$AF$1001,0),1)&gt;=100000,INDEX($AM$1005:$BM$1005,1,MATCH(COLUMNS($AM$1006:BG1006),$AM$1006:$BM$1006,0))&gt;=100000), " ",IF(INDEX($AM$2:$BM$1001,MATCH(ROWS($AF$2:AF330),$AF$2:$AF$1001,0),MATCH(COLUMNS($AM$1006:BG1006),$AM$1006:$BM$1006,0)), HYPERLINK("#",""), HYPERLINK(CONCATENATE("#metadata!", ADDRESS(INDEX($AH$2:$AH$1001,MATCH(ROWS($AF$2:AF330),$AF$2:$AF$1001,0),0), INDEX($AM$1004:$BM$1004,1,MATCH(COLUMNS($AM$1006:BG1006),$AM$1006:$BM$1006,0)))),"Fix")))</f>
        <v xml:space="preserve"> </v>
      </c>
      <c r="W330" s="4" t="str">
        <f ca="1">IF(OR(INDEX($AG$2:$AG$1001,MATCH(ROWS($AF$2:AF330),$AF$2:$AF$1001,0),1)&gt;=100000,INDEX($AM$1005:$BM$1005,1,MATCH(COLUMNS($AM$1006:BH1006),$AM$1006:$BM$1006,0))&gt;=100000), " ",IF(INDEX($AM$2:$BM$1001,MATCH(ROWS($AF$2:AF330),$AF$2:$AF$1001,0),MATCH(COLUMNS($AM$1006:BH1006),$AM$1006:$BM$1006,0)), HYPERLINK("#",""), HYPERLINK(CONCATENATE("#metadata!", ADDRESS(INDEX($AH$2:$AH$1001,MATCH(ROWS($AF$2:AF330),$AF$2:$AF$1001,0),0), INDEX($AM$1004:$BM$1004,1,MATCH(COLUMNS($AM$1006:BH1006),$AM$1006:$BM$1006,0)))),"Fix")))</f>
        <v xml:space="preserve"> </v>
      </c>
      <c r="X330" s="4" t="str">
        <f ca="1">IF(OR(INDEX($AG$2:$AG$1001,MATCH(ROWS($AF$2:AF330),$AF$2:$AF$1001,0),1)&gt;=100000,INDEX($AM$1005:$BM$1005,1,MATCH(COLUMNS($AM$1006:BI1006),$AM$1006:$BM$1006,0))&gt;=100000), " ",IF(INDEX($AM$2:$BM$1001,MATCH(ROWS($AF$2:AF330),$AF$2:$AF$1001,0),MATCH(COLUMNS($AM$1006:BI1006),$AM$1006:$BM$1006,0)), HYPERLINK("#",""), HYPERLINK(CONCATENATE("#metadata!", ADDRESS(INDEX($AH$2:$AH$1001,MATCH(ROWS($AF$2:AF330),$AF$2:$AF$1001,0),0), INDEX($AM$1004:$BM$1004,1,MATCH(COLUMNS($AM$1006:BI1006),$AM$1006:$BM$1006,0)))),"Fix")))</f>
        <v xml:space="preserve"> </v>
      </c>
      <c r="Y330" s="4" t="str">
        <f ca="1">IF(OR(INDEX($AG$2:$AG$1001,MATCH(ROWS($AF$2:AF330),$AF$2:$AF$1001,0),1)&gt;=100000,INDEX($AM$1005:$BM$1005,1,MATCH(COLUMNS($AM$1006:BJ1006),$AM$1006:$BM$1006,0))&gt;=100000), " ",IF(INDEX($AM$2:$BM$1001,MATCH(ROWS($AF$2:AF330),$AF$2:$AF$1001,0),MATCH(COLUMNS($AM$1006:BJ1006),$AM$1006:$BM$1006,0)), HYPERLINK("#",""), HYPERLINK(CONCATENATE("#metadata!", ADDRESS(INDEX($AH$2:$AH$1001,MATCH(ROWS($AF$2:AF330),$AF$2:$AF$1001,0),0), INDEX($AM$1004:$BM$1004,1,MATCH(COLUMNS($AM$1006:BJ1006),$AM$1006:$BM$1006,0)))),"Fix")))</f>
        <v xml:space="preserve"> </v>
      </c>
      <c r="Z330" s="4" t="str">
        <f ca="1">IF(OR(INDEX($AG$2:$AG$1001,MATCH(ROWS($AF$2:AF330),$AF$2:$AF$1001,0),1)&gt;=100000,INDEX($AM$1005:$BM$1005,1,MATCH(COLUMNS($AM$1006:BK1006),$AM$1006:$BM$1006,0))&gt;=100000), " ",IF(INDEX($AM$2:$BM$1001,MATCH(ROWS($AF$2:AF330),$AF$2:$AF$1001,0),MATCH(COLUMNS($AM$1006:BK1006),$AM$1006:$BM$1006,0)), HYPERLINK("#",""), HYPERLINK(CONCATENATE("#metadata!", ADDRESS(INDEX($AH$2:$AH$1001,MATCH(ROWS($AF$2:AF330),$AF$2:$AF$1001,0),0), INDEX($AM$1004:$BM$1004,1,MATCH(COLUMNS($AM$1006:BK1006),$AM$1006:$BM$1006,0)))),"Fix")))</f>
        <v xml:space="preserve"> </v>
      </c>
      <c r="AA330" s="4" t="str">
        <f ca="1">IF(OR(INDEX($AG$2:$AG$1001,MATCH(ROWS($AF$2:AF330),$AF$2:$AF$1001,0),1)&gt;=100000,INDEX($AM$1005:$BM$1005,1,MATCH(COLUMNS($AM$1006:BL1006),$AM$1006:$BM$1006,0))&gt;=100000), " ",IF(INDEX($AM$2:$BM$1001,MATCH(ROWS($AF$2:AF330),$AF$2:$AF$1001,0),MATCH(COLUMNS($AM$1006:BL1006),$AM$1006:$BM$1006,0)), HYPERLINK("#",""), HYPERLINK(CONCATENATE("#metadata!", ADDRESS(INDEX($AH$2:$AH$1001,MATCH(ROWS($AF$2:AF330),$AF$2:$AF$1001,0),0), INDEX($AM$1004:$BM$1004,1,MATCH(COLUMNS($AM$1006:BL1006),$AM$1006:$BM$1006,0)))),"Fix")))</f>
        <v xml:space="preserve"> </v>
      </c>
      <c r="AB330" s="4" t="str">
        <f ca="1">IF(OR(INDEX($AG$2:$AG$1001,MATCH(ROWS($AF$2:AF330),$AF$2:$AF$1001,0),1)&gt;=100000,INDEX($AM$1005:$BM$1005,1,MATCH(COLUMNS($AM$1006:BM1006),$AM$1006:$BM$1006,0))&gt;=100000), " ",IF(INDEX($AM$2:$BM$1001,MATCH(ROWS($AF$2:AF330),$AF$2:$AF$1001,0),MATCH(COLUMNS($AM$1006:BM1006),$AM$1006:$BM$1006,0)), HYPERLINK("#",""), HYPERLINK(CONCATENATE("#metadata!", ADDRESS(INDEX($AH$2:$AH$1001,MATCH(ROWS($AF$2:AF330),$AF$2:$AF$1001,0),0), INDEX($AM$1004:$BM$1004,1,MATCH(COLUMNS($AM$1006:BM1006),$AM$1006:$BM$1006,0)))),"Fix")))</f>
        <v xml:space="preserve"> </v>
      </c>
      <c r="AF330">
        <v>329</v>
      </c>
      <c r="AG330">
        <v>100330</v>
      </c>
      <c r="AH330">
        <v>330</v>
      </c>
      <c r="AI330" t="b">
        <f t="shared" si="5"/>
        <v>1</v>
      </c>
      <c r="AJ330" t="b">
        <f>COUNTBLANK(metadata!B330:AB330)=COLUMNS(metadata!B330:AB330)</f>
        <v>1</v>
      </c>
      <c r="AK330" t="str">
        <v/>
      </c>
      <c r="AM330" t="b">
        <f ca="1">AND(IF(metadata!B330="",FALSE,TRUE),COUNTIF(metadata!B:B, metadata!B330) = 1,NOT(ISERROR(SUMPRODUCT(SEARCH(MID(metadata!B330,ROW(INDIRECT("1:"&amp;LEN(metadata!B330))), 1),"0123456789abcdefghijklmnopqrstuvwxyzABCDEFGHIJKLMNOPQRSTUVWXYZ.")))))</f>
        <v>0</v>
      </c>
      <c r="AN330" t="b">
        <f ca="1">OR(AND(IF(metadata!C330="",FALSE,TRUE),OR(EXACT(metadata!C330,"missing: not collected"),EXACT(metadata!C330,"missing: not provided"),EXACT(metadata!C330,"missing: restricted access"))),AND(IF(metadata!C330="",FALSE,TRUE),AND(AND(IFERROR(INT(LEFT(metadata!C330,4))&gt;1900,FALSE),IFERROR(INT(LEFT(metadata!C330,4))&lt;=YEAR(NOW()),FALSE)), OR(MID(metadata!C330,5,1)="", AND(AND(MID(metadata!C330,5,1)="-",IFERROR(INT(MID(metadata!C330,6,1))&gt;=0,FALSE),IFERROR(INT(MID(metadata!C330,6,1))&lt;=1,FALSE),NOT(MID(metadata!C330,7,1)=""),IFERROR(INT(MID(metadata!C330,6,2))&gt;=1,FALSE),IFERROR(INT(MID(metadata!C330,6,2))&lt;=12,FALSE)), OR(MID(metadata!C330,8,1)="", AND(AND(MID(metadata!C330,8,1)="-",IFERROR(INT(MID(metadata!C330,9,1))&gt;=0,FALSE),IFERROR(INT(MID(metadata!C330,9,1))&lt;=3,FALSE),NOT(MID(metadata!C330,10,1)=""),IFERROR(INT(MID(metadata!C330,9,2))&gt;=1,FALSE),IFERROR(INT(MID(metadata!C330,9,2))&lt;=31,FALSE)), OR(MID(metadata!C330,11,1)="", AND(AND(MID(metadata!C330,11,1)=" ",IFERROR(INT(MID(metadata!C330,12,1))&gt;=0,FALSE),IFERROR(INT(MID(metadata!C330,12,1))&lt;=2,FALSE),NOT(MID(metadata!C330,13,1)=""),IFERROR(INT(MID(metadata!C330,12,2))&gt;=0,FALSE),IFERROR(INT(MID(metadata!C330,12,2))&lt;=23,FALSE)), OR(MID(metadata!C330,14,1)="", AND(AND(MID(metadata!C330,14,1)=":",IFERROR(INT(MID(metadata!C330,15,1))&gt;=0,FALSE),IFERROR(INT(MID(metadata!C330,15,1))&lt;=5,FALSE),NOT(MID(metadata!C330,16,1)=""),IFERROR(INT(MID(metadata!C330,15,2))&gt;=0,FALSE),IFERROR(INT(MID(metadata!C330,15,2))&lt;=59,FALSE)), OR(MID(metadata!C330,17,1)="", AND(AND(MID(metadata!C330,17,1)=":",IFERROR(INT(MID(metadata!C330,18,1))&gt;=0,FALSE),IFERROR(INT(MID(metadata!C330,18,1))&lt;=5,FALSE),NOT(MID(metadata!C330,19,1)=""),IFERROR(INT(MID(metadata!C330,18,2))&gt;=0,FALSE),IFERROR(INT(MID(metadata!C330,18,2))&lt;=59,FALSE)), LEN(metadata!C330)&lt;=19)))))))))))))</f>
        <v>0</v>
      </c>
      <c r="AO330" t="b">
        <f>AND(IF(metadata!D330="",FALSE,TRUE),EXACT(metadata!D330,"Not applicable"))</f>
        <v>0</v>
      </c>
      <c r="AP330" t="b">
        <f>IF(metadata!E330="",FALSE,TRUE)</f>
        <v>0</v>
      </c>
      <c r="AQ330" t="b">
        <f>OR(AND(IF(metadata!F330="",FALSE,TRUE),OR(EXACT(metadata!F330,"missing: not collected"),EXACT(metadata!F330,"missing: not provided"))),AND(IF(metadata!F330="",FALSE,TRUE),OR(EXACT(metadata!F330,"TRUE"),EXACT(metadata!F330,"FALSE"))))</f>
        <v>0</v>
      </c>
      <c r="AR330" t="b">
        <f>OR(AND(IF(metadata!G330="",FALSE,TRUE),OR(EXACT(metadata!G330,"missing: not collected"),EXACT(metadata!G330,"missing: not provided"),EXACT(metadata!G330,"missing: restricted access"))),AND(IF(metadata!G330="",FALSE,ISNUMBER(VALUE(metadata!G330))),metadata!G330&gt;=-413))</f>
        <v>0</v>
      </c>
      <c r="AS330" t="b">
        <f>AND(IF(metadata!H330="",FALSE,TRUE),EXACT(metadata!H330,"meters"))</f>
        <v>0</v>
      </c>
      <c r="AT330" t="b">
        <f>AND(IF(metadata!I330="",FALSE,TRUE),OR(EXACT(metadata!I330,"Host-associated"),EXACT(metadata!I330,"Free-living")))</f>
        <v>0</v>
      </c>
      <c r="AU330" t="b">
        <f>AND(IF(metadata!J330="",FALSE,TRUE),OR(EXACT(metadata!J330,"Animal"),EXACT(metadata!J330,"Fungus"),EXACT(metadata!J330,"Plant"),EXACT(metadata!J330,"Saline"),EXACT(metadata!J330,"Non-saline")))</f>
        <v>0</v>
      </c>
      <c r="AV330" t="b">
        <f>AND(IF(metadata!K330="",FALSE,TRUE),OR(EXACT(metadata!K330,"Plant secretion"),EXACT(metadata!K330,"Plant rhizosphere"),EXACT(metadata!K330,"Plant surface"),EXACT(metadata!K330,"Plant corpus"),EXACT(metadata!K330,"Fungus surface"),EXACT(metadata!K330,"Fungus corpus"),EXACT(metadata!K330,"Animal surface"),EXACT(metadata!K330,"Animal proximal gut"),EXACT(metadata!K330,"Animal corpus"),EXACT(metadata!K330,"Animal distal gut"),EXACT(metadata!K330,"Animal secretion"),EXACT(metadata!K330,"Sub-surface (non-saline)"),EXACT(metadata!K330,"Surface (non-saline)"),EXACT(metadata!K330,"Water (non-saline)"),EXACT(metadata!K330,"Soil (non-saline)"),EXACT(metadata!K330,"Aerosol (non-saline)"),EXACT(metadata!K330,"Sediment (non-saline)"),EXACT(metadata!K330,"Surface (saline)"),EXACT(metadata!K330,"Water (saline)"),EXACT(metadata!K330,"Hypersaline (saline)"),EXACT(metadata!K330,"Aerosol (saline)"),EXACT(metadata!K330,"Sediment (saline)")))</f>
        <v>0</v>
      </c>
      <c r="AW330" t="b">
        <f>IF(metadata!L330="",FALSE,TRUE)</f>
        <v>0</v>
      </c>
      <c r="AX330" t="b">
        <f>IF(metadata!M330="",FALSE,TRUE)</f>
        <v>0</v>
      </c>
      <c r="AY330" t="b">
        <f>IF(metadata!N330="",FALSE,TRUE)</f>
        <v>0</v>
      </c>
      <c r="AZ330" t="b">
        <f>OR(AND(IF(metadata!O330="",FALSE,TRUE),OR(EXACT(metadata!O330,"missing: not collected"),EXACT(metadata!O330,"missing: not provided"),EXACT(metadata!O330,"missing: restricted access"))),AND(IF(metadata!O330="",FALSE,TRUE),OR(EXACT(metadata!O330,"air"),EXACT(metadata!O330,"built environment"),EXACT(metadata!O330,"host-associated"),EXACT(metadata!O330,"human-associated"),EXACT(metadata!O330,"human-skin"),EXACT(metadata!O330,"human-oral"),EXACT(metadata!O330,"human-gut"),EXACT(metadata!O330,"human-vaginal"),EXACT(metadata!O330,"microbial mat/biofilm"),EXACT(metadata!O330,"misc environment"),EXACT(metadata!O330,"plant-associated"),EXACT(metadata!O330,"sediment"),EXACT(metadata!O330,"soil"),EXACT(metadata!O330,"wastewater/sludge"),EXACT(metadata!O330,"water"))))</f>
        <v>0</v>
      </c>
      <c r="BA330" t="b">
        <f>IF(metadata!P330="",FALSE,TRUE)</f>
        <v>0</v>
      </c>
      <c r="BB330" t="b">
        <f>IF(metadata!Q330="",FALSE,TRUE)</f>
        <v>0</v>
      </c>
      <c r="BC330" t="b">
        <f>OR(AND(IF(metadata!R330="",FALSE,TRUE),OR(EXACT(metadata!R330,"missing: not collected"),EXACT(metadata!R330,"missing: not provided"),EXACT(metadata!R330,"missing: restricted access"))),AND(IF(metadata!R330="",FALSE,ISNUMBER(VALUE(metadata!R330))),metadata!R330&gt;=-90,metadata!R330&lt;=90))</f>
        <v>0</v>
      </c>
      <c r="BD330" t="b">
        <f>AND(IF(metadata!S330="",FALSE,TRUE),EXACT(metadata!S330,"Decimal degrees"))</f>
        <v>0</v>
      </c>
      <c r="BE330" t="b">
        <f>OR(AND(IF(metadata!T330="",FALSE,TRUE),OR(EXACT(metadata!T330,"missing: not collected"),EXACT(metadata!T330,"missing: not provided"),EXACT(metadata!T330,"missing: restricted access"))),AND(IF(metadata!T330="",FALSE,ISNUMBER(VALUE(metadata!T330))),metadata!T330&gt;=-180,metadata!T330&lt;=180))</f>
        <v>0</v>
      </c>
      <c r="BF330" t="b">
        <f>AND(IF(metadata!U330="",FALSE,TRUE),EXACT(metadata!U330,"Decimal degrees"))</f>
        <v>0</v>
      </c>
      <c r="BG330" t="b">
        <f>IF(metadata!V330="",FALSE,TRUE)</f>
        <v>0</v>
      </c>
      <c r="BH330" t="b">
        <f>OR(AND(IF(metadata!W330="",FALSE,TRUE),OR(EXACT(metadata!W330,"missing: not collected"),EXACT(metadata!W330,"missing: not provided"),EXACT(metadata!W330,"missing: restricted access"))),AND(IF(metadata!W330="",FALSE,TRUE),OR(EXACT(metadata!W330,"TRUE"),EXACT(metadata!W330,"FALSE"))))</f>
        <v>0</v>
      </c>
      <c r="BI330" t="b">
        <f>AND(IF(metadata!X330="",FALSE,TRUE),EXACT(metadata!X330,"other"))</f>
        <v>0</v>
      </c>
      <c r="BJ330" t="b">
        <f>IF(metadata!Y330="",FALSE,TRUE)</f>
        <v>0</v>
      </c>
      <c r="BK330" t="b">
        <f>OR(AND(IF(metadata!Z330="",FALSE,TRUE),OR(EXACT(metadata!Z330,"missing: not collected"),EXACT(metadata!Z330,"missing: not provided"))),AND(IF(metadata!Z330="",FALSE,IF(ISERROR(INT(metadata!Z330)),FALSE,INT(metadata!Z330)=metadata!Z330)),metadata!Z330&gt;0))</f>
        <v>0</v>
      </c>
      <c r="BL330" t="b">
        <f>AND(IF(metadata!AA330="",FALSE,TRUE),EXACT(metadata!AA330,"Not applicable"))</f>
        <v>0</v>
      </c>
      <c r="BM330" t="b">
        <f>IF(metadata!AB330="",FALSE,TRUE)</f>
        <v>0</v>
      </c>
    </row>
    <row r="331" spans="1:65" x14ac:dyDescent="0.2">
      <c r="A331" s="5" t="str">
        <f ca="1">IF(B331=" "," ",HYPERLINK(CONCATENATE("#metadata!",ADDRESS(INDEX($AH$2:$AH$1001,MATCH(ROWS($AF$2:AF331),$AF$2:$AF$1001,0),0),1)),INDEX($AK$2:$AK$1001,MATCH(ROWS($AF$2:AF331),$AF$2:$AF$1001,0),0)))</f>
        <v xml:space="preserve"> </v>
      </c>
      <c r="B331" s="4" t="str">
        <f ca="1">IF(OR(INDEX($AG$2:$AG$1001,MATCH(ROWS($AF$2:AF331),$AF$2:$AF$1001,0),1)&gt;=100000,INDEX($AM$1005:$BM$1005,1,MATCH(COLUMNS($AM$1006:AM1006),$AM$1006:$BM$1006,0))&gt;=100000), " ",IF(INDEX($AM$2:$BM$1001,MATCH(ROWS($AF$2:AF331),$AF$2:$AF$1001,0),MATCH(COLUMNS($AM$1006:AM1006),$AM$1006:$BM$1006,0)), HYPERLINK("#",""), HYPERLINK(CONCATENATE("#metadata!", ADDRESS(INDEX($AH$2:$AH$1001,MATCH(ROWS($AF$2:AF331),$AF$2:$AF$1001,0),0), INDEX($AM$1004:$BM$1004,1,MATCH(COLUMNS($AM$1006:AM1006),$AM$1006:$BM$1006,0)))),"Fix")))</f>
        <v xml:space="preserve"> </v>
      </c>
      <c r="C331" s="4" t="str">
        <f ca="1">IF(OR(INDEX($AG$2:$AG$1001,MATCH(ROWS($AF$2:AF331),$AF$2:$AF$1001,0),1)&gt;=100000,INDEX($AM$1005:$BM$1005,1,MATCH(COLUMNS($AM$1006:AN1006),$AM$1006:$BM$1006,0))&gt;=100000), " ",IF(INDEX($AM$2:$BM$1001,MATCH(ROWS($AF$2:AF331),$AF$2:$AF$1001,0),MATCH(COLUMNS($AM$1006:AN1006),$AM$1006:$BM$1006,0)), HYPERLINK("#",""), HYPERLINK(CONCATENATE("#metadata!", ADDRESS(INDEX($AH$2:$AH$1001,MATCH(ROWS($AF$2:AF331),$AF$2:$AF$1001,0),0), INDEX($AM$1004:$BM$1004,1,MATCH(COLUMNS($AM$1006:AN1006),$AM$1006:$BM$1006,0)))),"Fix")))</f>
        <v xml:space="preserve"> </v>
      </c>
      <c r="D331" s="4" t="str">
        <f ca="1">IF(OR(INDEX($AG$2:$AG$1001,MATCH(ROWS($AF$2:AF331),$AF$2:$AF$1001,0),1)&gt;=100000,INDEX($AM$1005:$BM$1005,1,MATCH(COLUMNS($AM$1006:AO1006),$AM$1006:$BM$1006,0))&gt;=100000), " ",IF(INDEX($AM$2:$BM$1001,MATCH(ROWS($AF$2:AF331),$AF$2:$AF$1001,0),MATCH(COLUMNS($AM$1006:AO1006),$AM$1006:$BM$1006,0)), HYPERLINK("#",""), HYPERLINK(CONCATENATE("#metadata!", ADDRESS(INDEX($AH$2:$AH$1001,MATCH(ROWS($AF$2:AF331),$AF$2:$AF$1001,0),0), INDEX($AM$1004:$BM$1004,1,MATCH(COLUMNS($AM$1006:AO1006),$AM$1006:$BM$1006,0)))),"Fix")))</f>
        <v xml:space="preserve"> </v>
      </c>
      <c r="E331" s="4" t="str">
        <f ca="1">IF(OR(INDEX($AG$2:$AG$1001,MATCH(ROWS($AF$2:AF331),$AF$2:$AF$1001,0),1)&gt;=100000,INDEX($AM$1005:$BM$1005,1,MATCH(COLUMNS($AM$1006:AP1006),$AM$1006:$BM$1006,0))&gt;=100000), " ",IF(INDEX($AM$2:$BM$1001,MATCH(ROWS($AF$2:AF331),$AF$2:$AF$1001,0),MATCH(COLUMNS($AM$1006:AP1006),$AM$1006:$BM$1006,0)), HYPERLINK("#",""), HYPERLINK(CONCATENATE("#metadata!", ADDRESS(INDEX($AH$2:$AH$1001,MATCH(ROWS($AF$2:AF331),$AF$2:$AF$1001,0),0), INDEX($AM$1004:$BM$1004,1,MATCH(COLUMNS($AM$1006:AP1006),$AM$1006:$BM$1006,0)))),"Fix")))</f>
        <v xml:space="preserve"> </v>
      </c>
      <c r="F331" s="4" t="str">
        <f ca="1">IF(OR(INDEX($AG$2:$AG$1001,MATCH(ROWS($AF$2:AF331),$AF$2:$AF$1001,0),1)&gt;=100000,INDEX($AM$1005:$BM$1005,1,MATCH(COLUMNS($AM$1006:AQ1006),$AM$1006:$BM$1006,0))&gt;=100000), " ",IF(INDEX($AM$2:$BM$1001,MATCH(ROWS($AF$2:AF331),$AF$2:$AF$1001,0),MATCH(COLUMNS($AM$1006:AQ1006),$AM$1006:$BM$1006,0)), HYPERLINK("#",""), HYPERLINK(CONCATENATE("#metadata!", ADDRESS(INDEX($AH$2:$AH$1001,MATCH(ROWS($AF$2:AF331),$AF$2:$AF$1001,0),0), INDEX($AM$1004:$BM$1004,1,MATCH(COLUMNS($AM$1006:AQ1006),$AM$1006:$BM$1006,0)))),"Fix")))</f>
        <v xml:space="preserve"> </v>
      </c>
      <c r="G331" s="4" t="str">
        <f ca="1">IF(OR(INDEX($AG$2:$AG$1001,MATCH(ROWS($AF$2:AF331),$AF$2:$AF$1001,0),1)&gt;=100000,INDEX($AM$1005:$BM$1005,1,MATCH(COLUMNS($AM$1006:AR1006),$AM$1006:$BM$1006,0))&gt;=100000), " ",IF(INDEX($AM$2:$BM$1001,MATCH(ROWS($AF$2:AF331),$AF$2:$AF$1001,0),MATCH(COLUMNS($AM$1006:AR1006),$AM$1006:$BM$1006,0)), HYPERLINK("#",""), HYPERLINK(CONCATENATE("#metadata!", ADDRESS(INDEX($AH$2:$AH$1001,MATCH(ROWS($AF$2:AF331),$AF$2:$AF$1001,0),0), INDEX($AM$1004:$BM$1004,1,MATCH(COLUMNS($AM$1006:AR1006),$AM$1006:$BM$1006,0)))),"Fix")))</f>
        <v xml:space="preserve"> </v>
      </c>
      <c r="H331" s="4" t="str">
        <f ca="1">IF(OR(INDEX($AG$2:$AG$1001,MATCH(ROWS($AF$2:AF331),$AF$2:$AF$1001,0),1)&gt;=100000,INDEX($AM$1005:$BM$1005,1,MATCH(COLUMNS($AM$1006:AS1006),$AM$1006:$BM$1006,0))&gt;=100000), " ",IF(INDEX($AM$2:$BM$1001,MATCH(ROWS($AF$2:AF331),$AF$2:$AF$1001,0),MATCH(COLUMNS($AM$1006:AS1006),$AM$1006:$BM$1006,0)), HYPERLINK("#",""), HYPERLINK(CONCATENATE("#metadata!", ADDRESS(INDEX($AH$2:$AH$1001,MATCH(ROWS($AF$2:AF331),$AF$2:$AF$1001,0),0), INDEX($AM$1004:$BM$1004,1,MATCH(COLUMNS($AM$1006:AS1006),$AM$1006:$BM$1006,0)))),"Fix")))</f>
        <v xml:space="preserve"> </v>
      </c>
      <c r="I331" s="4" t="str">
        <f ca="1">IF(OR(INDEX($AG$2:$AG$1001,MATCH(ROWS($AF$2:AF331),$AF$2:$AF$1001,0),1)&gt;=100000,INDEX($AM$1005:$BM$1005,1,MATCH(COLUMNS($AM$1006:AT1006),$AM$1006:$BM$1006,0))&gt;=100000), " ",IF(INDEX($AM$2:$BM$1001,MATCH(ROWS($AF$2:AF331),$AF$2:$AF$1001,0),MATCH(COLUMNS($AM$1006:AT1006),$AM$1006:$BM$1006,0)), HYPERLINK("#",""), HYPERLINK(CONCATENATE("#metadata!", ADDRESS(INDEX($AH$2:$AH$1001,MATCH(ROWS($AF$2:AF331),$AF$2:$AF$1001,0),0), INDEX($AM$1004:$BM$1004,1,MATCH(COLUMNS($AM$1006:AT1006),$AM$1006:$BM$1006,0)))),"Fix")))</f>
        <v xml:space="preserve"> </v>
      </c>
      <c r="J331" s="4" t="str">
        <f ca="1">IF(OR(INDEX($AG$2:$AG$1001,MATCH(ROWS($AF$2:AF331),$AF$2:$AF$1001,0),1)&gt;=100000,INDEX($AM$1005:$BM$1005,1,MATCH(COLUMNS($AM$1006:AU1006),$AM$1006:$BM$1006,0))&gt;=100000), " ",IF(INDEX($AM$2:$BM$1001,MATCH(ROWS($AF$2:AF331),$AF$2:$AF$1001,0),MATCH(COLUMNS($AM$1006:AU1006),$AM$1006:$BM$1006,0)), HYPERLINK("#",""), HYPERLINK(CONCATENATE("#metadata!", ADDRESS(INDEX($AH$2:$AH$1001,MATCH(ROWS($AF$2:AF331),$AF$2:$AF$1001,0),0), INDEX($AM$1004:$BM$1004,1,MATCH(COLUMNS($AM$1006:AU1006),$AM$1006:$BM$1006,0)))),"Fix")))</f>
        <v xml:space="preserve"> </v>
      </c>
      <c r="K331" s="4" t="str">
        <f ca="1">IF(OR(INDEX($AG$2:$AG$1001,MATCH(ROWS($AF$2:AF331),$AF$2:$AF$1001,0),1)&gt;=100000,INDEX($AM$1005:$BM$1005,1,MATCH(COLUMNS($AM$1006:AV1006),$AM$1006:$BM$1006,0))&gt;=100000), " ",IF(INDEX($AM$2:$BM$1001,MATCH(ROWS($AF$2:AF331),$AF$2:$AF$1001,0),MATCH(COLUMNS($AM$1006:AV1006),$AM$1006:$BM$1006,0)), HYPERLINK("#",""), HYPERLINK(CONCATENATE("#metadata!", ADDRESS(INDEX($AH$2:$AH$1001,MATCH(ROWS($AF$2:AF331),$AF$2:$AF$1001,0),0), INDEX($AM$1004:$BM$1004,1,MATCH(COLUMNS($AM$1006:AV1006),$AM$1006:$BM$1006,0)))),"Fix")))</f>
        <v xml:space="preserve"> </v>
      </c>
      <c r="L331" s="4" t="str">
        <f ca="1">IF(OR(INDEX($AG$2:$AG$1001,MATCH(ROWS($AF$2:AF331),$AF$2:$AF$1001,0),1)&gt;=100000,INDEX($AM$1005:$BM$1005,1,MATCH(COLUMNS($AM$1006:AW1006),$AM$1006:$BM$1006,0))&gt;=100000), " ",IF(INDEX($AM$2:$BM$1001,MATCH(ROWS($AF$2:AF331),$AF$2:$AF$1001,0),MATCH(COLUMNS($AM$1006:AW1006),$AM$1006:$BM$1006,0)), HYPERLINK("#",""), HYPERLINK(CONCATENATE("#metadata!", ADDRESS(INDEX($AH$2:$AH$1001,MATCH(ROWS($AF$2:AF331),$AF$2:$AF$1001,0),0), INDEX($AM$1004:$BM$1004,1,MATCH(COLUMNS($AM$1006:AW1006),$AM$1006:$BM$1006,0)))),"Fix")))</f>
        <v xml:space="preserve"> </v>
      </c>
      <c r="M331" s="4" t="str">
        <f ca="1">IF(OR(INDEX($AG$2:$AG$1001,MATCH(ROWS($AF$2:AF331),$AF$2:$AF$1001,0),1)&gt;=100000,INDEX($AM$1005:$BM$1005,1,MATCH(COLUMNS($AM$1006:AX1006),$AM$1006:$BM$1006,0))&gt;=100000), " ",IF(INDEX($AM$2:$BM$1001,MATCH(ROWS($AF$2:AF331),$AF$2:$AF$1001,0),MATCH(COLUMNS($AM$1006:AX1006),$AM$1006:$BM$1006,0)), HYPERLINK("#",""), HYPERLINK(CONCATENATE("#metadata!", ADDRESS(INDEX($AH$2:$AH$1001,MATCH(ROWS($AF$2:AF331),$AF$2:$AF$1001,0),0), INDEX($AM$1004:$BM$1004,1,MATCH(COLUMNS($AM$1006:AX1006),$AM$1006:$BM$1006,0)))),"Fix")))</f>
        <v xml:space="preserve"> </v>
      </c>
      <c r="N331" s="4" t="str">
        <f ca="1">IF(OR(INDEX($AG$2:$AG$1001,MATCH(ROWS($AF$2:AF331),$AF$2:$AF$1001,0),1)&gt;=100000,INDEX($AM$1005:$BM$1005,1,MATCH(COLUMNS($AM$1006:AY1006),$AM$1006:$BM$1006,0))&gt;=100000), " ",IF(INDEX($AM$2:$BM$1001,MATCH(ROWS($AF$2:AF331),$AF$2:$AF$1001,0),MATCH(COLUMNS($AM$1006:AY1006),$AM$1006:$BM$1006,0)), HYPERLINK("#",""), HYPERLINK(CONCATENATE("#metadata!", ADDRESS(INDEX($AH$2:$AH$1001,MATCH(ROWS($AF$2:AF331),$AF$2:$AF$1001,0),0), INDEX($AM$1004:$BM$1004,1,MATCH(COLUMNS($AM$1006:AY1006),$AM$1006:$BM$1006,0)))),"Fix")))</f>
        <v xml:space="preserve"> </v>
      </c>
      <c r="O331" s="4" t="str">
        <f ca="1">IF(OR(INDEX($AG$2:$AG$1001,MATCH(ROWS($AF$2:AF331),$AF$2:$AF$1001,0),1)&gt;=100000,INDEX($AM$1005:$BM$1005,1,MATCH(COLUMNS($AM$1006:AZ1006),$AM$1006:$BM$1006,0))&gt;=100000), " ",IF(INDEX($AM$2:$BM$1001,MATCH(ROWS($AF$2:AF331),$AF$2:$AF$1001,0),MATCH(COLUMNS($AM$1006:AZ1006),$AM$1006:$BM$1006,0)), HYPERLINK("#",""), HYPERLINK(CONCATENATE("#metadata!", ADDRESS(INDEX($AH$2:$AH$1001,MATCH(ROWS($AF$2:AF331),$AF$2:$AF$1001,0),0), INDEX($AM$1004:$BM$1004,1,MATCH(COLUMNS($AM$1006:AZ1006),$AM$1006:$BM$1006,0)))),"Fix")))</f>
        <v xml:space="preserve"> </v>
      </c>
      <c r="P331" s="4" t="str">
        <f ca="1">IF(OR(INDEX($AG$2:$AG$1001,MATCH(ROWS($AF$2:AF331),$AF$2:$AF$1001,0),1)&gt;=100000,INDEX($AM$1005:$BM$1005,1,MATCH(COLUMNS($AM$1006:BA1006),$AM$1006:$BM$1006,0))&gt;=100000), " ",IF(INDEX($AM$2:$BM$1001,MATCH(ROWS($AF$2:AF331),$AF$2:$AF$1001,0),MATCH(COLUMNS($AM$1006:BA1006),$AM$1006:$BM$1006,0)), HYPERLINK("#",""), HYPERLINK(CONCATENATE("#metadata!", ADDRESS(INDEX($AH$2:$AH$1001,MATCH(ROWS($AF$2:AF331),$AF$2:$AF$1001,0),0), INDEX($AM$1004:$BM$1004,1,MATCH(COLUMNS($AM$1006:BA1006),$AM$1006:$BM$1006,0)))),"Fix")))</f>
        <v xml:space="preserve"> </v>
      </c>
      <c r="Q331" s="4" t="str">
        <f ca="1">IF(OR(INDEX($AG$2:$AG$1001,MATCH(ROWS($AF$2:AF331),$AF$2:$AF$1001,0),1)&gt;=100000,INDEX($AM$1005:$BM$1005,1,MATCH(COLUMNS($AM$1006:BB1006),$AM$1006:$BM$1006,0))&gt;=100000), " ",IF(INDEX($AM$2:$BM$1001,MATCH(ROWS($AF$2:AF331),$AF$2:$AF$1001,0),MATCH(COLUMNS($AM$1006:BB1006),$AM$1006:$BM$1006,0)), HYPERLINK("#",""), HYPERLINK(CONCATENATE("#metadata!", ADDRESS(INDEX($AH$2:$AH$1001,MATCH(ROWS($AF$2:AF331),$AF$2:$AF$1001,0),0), INDEX($AM$1004:$BM$1004,1,MATCH(COLUMNS($AM$1006:BB1006),$AM$1006:$BM$1006,0)))),"Fix")))</f>
        <v xml:space="preserve"> </v>
      </c>
      <c r="R331" s="4" t="str">
        <f ca="1">IF(OR(INDEX($AG$2:$AG$1001,MATCH(ROWS($AF$2:AF331),$AF$2:$AF$1001,0),1)&gt;=100000,INDEX($AM$1005:$BM$1005,1,MATCH(COLUMNS($AM$1006:BC1006),$AM$1006:$BM$1006,0))&gt;=100000), " ",IF(INDEX($AM$2:$BM$1001,MATCH(ROWS($AF$2:AF331),$AF$2:$AF$1001,0),MATCH(COLUMNS($AM$1006:BC1006),$AM$1006:$BM$1006,0)), HYPERLINK("#",""), HYPERLINK(CONCATENATE("#metadata!", ADDRESS(INDEX($AH$2:$AH$1001,MATCH(ROWS($AF$2:AF331),$AF$2:$AF$1001,0),0), INDEX($AM$1004:$BM$1004,1,MATCH(COLUMNS($AM$1006:BC1006),$AM$1006:$BM$1006,0)))),"Fix")))</f>
        <v xml:space="preserve"> </v>
      </c>
      <c r="S331" s="4" t="str">
        <f ca="1">IF(OR(INDEX($AG$2:$AG$1001,MATCH(ROWS($AF$2:AF331),$AF$2:$AF$1001,0),1)&gt;=100000,INDEX($AM$1005:$BM$1005,1,MATCH(COLUMNS($AM$1006:BD1006),$AM$1006:$BM$1006,0))&gt;=100000), " ",IF(INDEX($AM$2:$BM$1001,MATCH(ROWS($AF$2:AF331),$AF$2:$AF$1001,0),MATCH(COLUMNS($AM$1006:BD1006),$AM$1006:$BM$1006,0)), HYPERLINK("#",""), HYPERLINK(CONCATENATE("#metadata!", ADDRESS(INDEX($AH$2:$AH$1001,MATCH(ROWS($AF$2:AF331),$AF$2:$AF$1001,0),0), INDEX($AM$1004:$BM$1004,1,MATCH(COLUMNS($AM$1006:BD1006),$AM$1006:$BM$1006,0)))),"Fix")))</f>
        <v xml:space="preserve"> </v>
      </c>
      <c r="T331" s="4" t="str">
        <f ca="1">IF(OR(INDEX($AG$2:$AG$1001,MATCH(ROWS($AF$2:AF331),$AF$2:$AF$1001,0),1)&gt;=100000,INDEX($AM$1005:$BM$1005,1,MATCH(COLUMNS($AM$1006:BE1006),$AM$1006:$BM$1006,0))&gt;=100000), " ",IF(INDEX($AM$2:$BM$1001,MATCH(ROWS($AF$2:AF331),$AF$2:$AF$1001,0),MATCH(COLUMNS($AM$1006:BE1006),$AM$1006:$BM$1006,0)), HYPERLINK("#",""), HYPERLINK(CONCATENATE("#metadata!", ADDRESS(INDEX($AH$2:$AH$1001,MATCH(ROWS($AF$2:AF331),$AF$2:$AF$1001,0),0), INDEX($AM$1004:$BM$1004,1,MATCH(COLUMNS($AM$1006:BE1006),$AM$1006:$BM$1006,0)))),"Fix")))</f>
        <v xml:space="preserve"> </v>
      </c>
      <c r="U331" s="4" t="str">
        <f ca="1">IF(OR(INDEX($AG$2:$AG$1001,MATCH(ROWS($AF$2:AF331),$AF$2:$AF$1001,0),1)&gt;=100000,INDEX($AM$1005:$BM$1005,1,MATCH(COLUMNS($AM$1006:BF1006),$AM$1006:$BM$1006,0))&gt;=100000), " ",IF(INDEX($AM$2:$BM$1001,MATCH(ROWS($AF$2:AF331),$AF$2:$AF$1001,0),MATCH(COLUMNS($AM$1006:BF1006),$AM$1006:$BM$1006,0)), HYPERLINK("#",""), HYPERLINK(CONCATENATE("#metadata!", ADDRESS(INDEX($AH$2:$AH$1001,MATCH(ROWS($AF$2:AF331),$AF$2:$AF$1001,0),0), INDEX($AM$1004:$BM$1004,1,MATCH(COLUMNS($AM$1006:BF1006),$AM$1006:$BM$1006,0)))),"Fix")))</f>
        <v xml:space="preserve"> </v>
      </c>
      <c r="V331" s="4" t="str">
        <f ca="1">IF(OR(INDEX($AG$2:$AG$1001,MATCH(ROWS($AF$2:AF331),$AF$2:$AF$1001,0),1)&gt;=100000,INDEX($AM$1005:$BM$1005,1,MATCH(COLUMNS($AM$1006:BG1006),$AM$1006:$BM$1006,0))&gt;=100000), " ",IF(INDEX($AM$2:$BM$1001,MATCH(ROWS($AF$2:AF331),$AF$2:$AF$1001,0),MATCH(COLUMNS($AM$1006:BG1006),$AM$1006:$BM$1006,0)), HYPERLINK("#",""), HYPERLINK(CONCATENATE("#metadata!", ADDRESS(INDEX($AH$2:$AH$1001,MATCH(ROWS($AF$2:AF331),$AF$2:$AF$1001,0),0), INDEX($AM$1004:$BM$1004,1,MATCH(COLUMNS($AM$1006:BG1006),$AM$1006:$BM$1006,0)))),"Fix")))</f>
        <v xml:space="preserve"> </v>
      </c>
      <c r="W331" s="4" t="str">
        <f ca="1">IF(OR(INDEX($AG$2:$AG$1001,MATCH(ROWS($AF$2:AF331),$AF$2:$AF$1001,0),1)&gt;=100000,INDEX($AM$1005:$BM$1005,1,MATCH(COLUMNS($AM$1006:BH1006),$AM$1006:$BM$1006,0))&gt;=100000), " ",IF(INDEX($AM$2:$BM$1001,MATCH(ROWS($AF$2:AF331),$AF$2:$AF$1001,0),MATCH(COLUMNS($AM$1006:BH1006),$AM$1006:$BM$1006,0)), HYPERLINK("#",""), HYPERLINK(CONCATENATE("#metadata!", ADDRESS(INDEX($AH$2:$AH$1001,MATCH(ROWS($AF$2:AF331),$AF$2:$AF$1001,0),0), INDEX($AM$1004:$BM$1004,1,MATCH(COLUMNS($AM$1006:BH1006),$AM$1006:$BM$1006,0)))),"Fix")))</f>
        <v xml:space="preserve"> </v>
      </c>
      <c r="X331" s="4" t="str">
        <f ca="1">IF(OR(INDEX($AG$2:$AG$1001,MATCH(ROWS($AF$2:AF331),$AF$2:$AF$1001,0),1)&gt;=100000,INDEX($AM$1005:$BM$1005,1,MATCH(COLUMNS($AM$1006:BI1006),$AM$1006:$BM$1006,0))&gt;=100000), " ",IF(INDEX($AM$2:$BM$1001,MATCH(ROWS($AF$2:AF331),$AF$2:$AF$1001,0),MATCH(COLUMNS($AM$1006:BI1006),$AM$1006:$BM$1006,0)), HYPERLINK("#",""), HYPERLINK(CONCATENATE("#metadata!", ADDRESS(INDEX($AH$2:$AH$1001,MATCH(ROWS($AF$2:AF331),$AF$2:$AF$1001,0),0), INDEX($AM$1004:$BM$1004,1,MATCH(COLUMNS($AM$1006:BI1006),$AM$1006:$BM$1006,0)))),"Fix")))</f>
        <v xml:space="preserve"> </v>
      </c>
      <c r="Y331" s="4" t="str">
        <f ca="1">IF(OR(INDEX($AG$2:$AG$1001,MATCH(ROWS($AF$2:AF331),$AF$2:$AF$1001,0),1)&gt;=100000,INDEX($AM$1005:$BM$1005,1,MATCH(COLUMNS($AM$1006:BJ1006),$AM$1006:$BM$1006,0))&gt;=100000), " ",IF(INDEX($AM$2:$BM$1001,MATCH(ROWS($AF$2:AF331),$AF$2:$AF$1001,0),MATCH(COLUMNS($AM$1006:BJ1006),$AM$1006:$BM$1006,0)), HYPERLINK("#",""), HYPERLINK(CONCATENATE("#metadata!", ADDRESS(INDEX($AH$2:$AH$1001,MATCH(ROWS($AF$2:AF331),$AF$2:$AF$1001,0),0), INDEX($AM$1004:$BM$1004,1,MATCH(COLUMNS($AM$1006:BJ1006),$AM$1006:$BM$1006,0)))),"Fix")))</f>
        <v xml:space="preserve"> </v>
      </c>
      <c r="Z331" s="4" t="str">
        <f ca="1">IF(OR(INDEX($AG$2:$AG$1001,MATCH(ROWS($AF$2:AF331),$AF$2:$AF$1001,0),1)&gt;=100000,INDEX($AM$1005:$BM$1005,1,MATCH(COLUMNS($AM$1006:BK1006),$AM$1006:$BM$1006,0))&gt;=100000), " ",IF(INDEX($AM$2:$BM$1001,MATCH(ROWS($AF$2:AF331),$AF$2:$AF$1001,0),MATCH(COLUMNS($AM$1006:BK1006),$AM$1006:$BM$1006,0)), HYPERLINK("#",""), HYPERLINK(CONCATENATE("#metadata!", ADDRESS(INDEX($AH$2:$AH$1001,MATCH(ROWS($AF$2:AF331),$AF$2:$AF$1001,0),0), INDEX($AM$1004:$BM$1004,1,MATCH(COLUMNS($AM$1006:BK1006),$AM$1006:$BM$1006,0)))),"Fix")))</f>
        <v xml:space="preserve"> </v>
      </c>
      <c r="AA331" s="4" t="str">
        <f ca="1">IF(OR(INDEX($AG$2:$AG$1001,MATCH(ROWS($AF$2:AF331),$AF$2:$AF$1001,0),1)&gt;=100000,INDEX($AM$1005:$BM$1005,1,MATCH(COLUMNS($AM$1006:BL1006),$AM$1006:$BM$1006,0))&gt;=100000), " ",IF(INDEX($AM$2:$BM$1001,MATCH(ROWS($AF$2:AF331),$AF$2:$AF$1001,0),MATCH(COLUMNS($AM$1006:BL1006),$AM$1006:$BM$1006,0)), HYPERLINK("#",""), HYPERLINK(CONCATENATE("#metadata!", ADDRESS(INDEX($AH$2:$AH$1001,MATCH(ROWS($AF$2:AF331),$AF$2:$AF$1001,0),0), INDEX($AM$1004:$BM$1004,1,MATCH(COLUMNS($AM$1006:BL1006),$AM$1006:$BM$1006,0)))),"Fix")))</f>
        <v xml:space="preserve"> </v>
      </c>
      <c r="AB331" s="4" t="str">
        <f ca="1">IF(OR(INDEX($AG$2:$AG$1001,MATCH(ROWS($AF$2:AF331),$AF$2:$AF$1001,0),1)&gt;=100000,INDEX($AM$1005:$BM$1005,1,MATCH(COLUMNS($AM$1006:BM1006),$AM$1006:$BM$1006,0))&gt;=100000), " ",IF(INDEX($AM$2:$BM$1001,MATCH(ROWS($AF$2:AF331),$AF$2:$AF$1001,0),MATCH(COLUMNS($AM$1006:BM1006),$AM$1006:$BM$1006,0)), HYPERLINK("#",""), HYPERLINK(CONCATENATE("#metadata!", ADDRESS(INDEX($AH$2:$AH$1001,MATCH(ROWS($AF$2:AF331),$AF$2:$AF$1001,0),0), INDEX($AM$1004:$BM$1004,1,MATCH(COLUMNS($AM$1006:BM1006),$AM$1006:$BM$1006,0)))),"Fix")))</f>
        <v xml:space="preserve"> </v>
      </c>
      <c r="AF331">
        <v>330</v>
      </c>
      <c r="AG331">
        <v>100331</v>
      </c>
      <c r="AH331">
        <v>331</v>
      </c>
      <c r="AI331" t="b">
        <f t="shared" si="5"/>
        <v>1</v>
      </c>
      <c r="AJ331" t="b">
        <f>COUNTBLANK(metadata!B331:AB331)=COLUMNS(metadata!B331:AB331)</f>
        <v>1</v>
      </c>
      <c r="AK331" t="str">
        <v/>
      </c>
      <c r="AM331" t="b">
        <f ca="1">AND(IF(metadata!B331="",FALSE,TRUE),COUNTIF(metadata!B:B, metadata!B331) = 1,NOT(ISERROR(SUMPRODUCT(SEARCH(MID(metadata!B331,ROW(INDIRECT("1:"&amp;LEN(metadata!B331))), 1),"0123456789abcdefghijklmnopqrstuvwxyzABCDEFGHIJKLMNOPQRSTUVWXYZ.")))))</f>
        <v>0</v>
      </c>
      <c r="AN331" t="b">
        <f ca="1">OR(AND(IF(metadata!C331="",FALSE,TRUE),OR(EXACT(metadata!C331,"missing: not collected"),EXACT(metadata!C331,"missing: not provided"),EXACT(metadata!C331,"missing: restricted access"))),AND(IF(metadata!C331="",FALSE,TRUE),AND(AND(IFERROR(INT(LEFT(metadata!C331,4))&gt;1900,FALSE),IFERROR(INT(LEFT(metadata!C331,4))&lt;=YEAR(NOW()),FALSE)), OR(MID(metadata!C331,5,1)="", AND(AND(MID(metadata!C331,5,1)="-",IFERROR(INT(MID(metadata!C331,6,1))&gt;=0,FALSE),IFERROR(INT(MID(metadata!C331,6,1))&lt;=1,FALSE),NOT(MID(metadata!C331,7,1)=""),IFERROR(INT(MID(metadata!C331,6,2))&gt;=1,FALSE),IFERROR(INT(MID(metadata!C331,6,2))&lt;=12,FALSE)), OR(MID(metadata!C331,8,1)="", AND(AND(MID(metadata!C331,8,1)="-",IFERROR(INT(MID(metadata!C331,9,1))&gt;=0,FALSE),IFERROR(INT(MID(metadata!C331,9,1))&lt;=3,FALSE),NOT(MID(metadata!C331,10,1)=""),IFERROR(INT(MID(metadata!C331,9,2))&gt;=1,FALSE),IFERROR(INT(MID(metadata!C331,9,2))&lt;=31,FALSE)), OR(MID(metadata!C331,11,1)="", AND(AND(MID(metadata!C331,11,1)=" ",IFERROR(INT(MID(metadata!C331,12,1))&gt;=0,FALSE),IFERROR(INT(MID(metadata!C331,12,1))&lt;=2,FALSE),NOT(MID(metadata!C331,13,1)=""),IFERROR(INT(MID(metadata!C331,12,2))&gt;=0,FALSE),IFERROR(INT(MID(metadata!C331,12,2))&lt;=23,FALSE)), OR(MID(metadata!C331,14,1)="", AND(AND(MID(metadata!C331,14,1)=":",IFERROR(INT(MID(metadata!C331,15,1))&gt;=0,FALSE),IFERROR(INT(MID(metadata!C331,15,1))&lt;=5,FALSE),NOT(MID(metadata!C331,16,1)=""),IFERROR(INT(MID(metadata!C331,15,2))&gt;=0,FALSE),IFERROR(INT(MID(metadata!C331,15,2))&lt;=59,FALSE)), OR(MID(metadata!C331,17,1)="", AND(AND(MID(metadata!C331,17,1)=":",IFERROR(INT(MID(metadata!C331,18,1))&gt;=0,FALSE),IFERROR(INT(MID(metadata!C331,18,1))&lt;=5,FALSE),NOT(MID(metadata!C331,19,1)=""),IFERROR(INT(MID(metadata!C331,18,2))&gt;=0,FALSE),IFERROR(INT(MID(metadata!C331,18,2))&lt;=59,FALSE)), LEN(metadata!C331)&lt;=19)))))))))))))</f>
        <v>0</v>
      </c>
      <c r="AO331" t="b">
        <f>AND(IF(metadata!D331="",FALSE,TRUE),EXACT(metadata!D331,"Not applicable"))</f>
        <v>0</v>
      </c>
      <c r="AP331" t="b">
        <f>IF(metadata!E331="",FALSE,TRUE)</f>
        <v>0</v>
      </c>
      <c r="AQ331" t="b">
        <f>OR(AND(IF(metadata!F331="",FALSE,TRUE),OR(EXACT(metadata!F331,"missing: not collected"),EXACT(metadata!F331,"missing: not provided"))),AND(IF(metadata!F331="",FALSE,TRUE),OR(EXACT(metadata!F331,"TRUE"),EXACT(metadata!F331,"FALSE"))))</f>
        <v>0</v>
      </c>
      <c r="AR331" t="b">
        <f>OR(AND(IF(metadata!G331="",FALSE,TRUE),OR(EXACT(metadata!G331,"missing: not collected"),EXACT(metadata!G331,"missing: not provided"),EXACT(metadata!G331,"missing: restricted access"))),AND(IF(metadata!G331="",FALSE,ISNUMBER(VALUE(metadata!G331))),metadata!G331&gt;=-413))</f>
        <v>0</v>
      </c>
      <c r="AS331" t="b">
        <f>AND(IF(metadata!H331="",FALSE,TRUE),EXACT(metadata!H331,"meters"))</f>
        <v>0</v>
      </c>
      <c r="AT331" t="b">
        <f>AND(IF(metadata!I331="",FALSE,TRUE),OR(EXACT(metadata!I331,"Host-associated"),EXACT(metadata!I331,"Free-living")))</f>
        <v>0</v>
      </c>
      <c r="AU331" t="b">
        <f>AND(IF(metadata!J331="",FALSE,TRUE),OR(EXACT(metadata!J331,"Animal"),EXACT(metadata!J331,"Fungus"),EXACT(metadata!J331,"Plant"),EXACT(metadata!J331,"Saline"),EXACT(metadata!J331,"Non-saline")))</f>
        <v>0</v>
      </c>
      <c r="AV331" t="b">
        <f>AND(IF(metadata!K331="",FALSE,TRUE),OR(EXACT(metadata!K331,"Plant secretion"),EXACT(metadata!K331,"Plant rhizosphere"),EXACT(metadata!K331,"Plant surface"),EXACT(metadata!K331,"Plant corpus"),EXACT(metadata!K331,"Fungus surface"),EXACT(metadata!K331,"Fungus corpus"),EXACT(metadata!K331,"Animal surface"),EXACT(metadata!K331,"Animal proximal gut"),EXACT(metadata!K331,"Animal corpus"),EXACT(metadata!K331,"Animal distal gut"),EXACT(metadata!K331,"Animal secretion"),EXACT(metadata!K331,"Sub-surface (non-saline)"),EXACT(metadata!K331,"Surface (non-saline)"),EXACT(metadata!K331,"Water (non-saline)"),EXACT(metadata!K331,"Soil (non-saline)"),EXACT(metadata!K331,"Aerosol (non-saline)"),EXACT(metadata!K331,"Sediment (non-saline)"),EXACT(metadata!K331,"Surface (saline)"),EXACT(metadata!K331,"Water (saline)"),EXACT(metadata!K331,"Hypersaline (saline)"),EXACT(metadata!K331,"Aerosol (saline)"),EXACT(metadata!K331,"Sediment (saline)")))</f>
        <v>0</v>
      </c>
      <c r="AW331" t="b">
        <f>IF(metadata!L331="",FALSE,TRUE)</f>
        <v>0</v>
      </c>
      <c r="AX331" t="b">
        <f>IF(metadata!M331="",FALSE,TRUE)</f>
        <v>0</v>
      </c>
      <c r="AY331" t="b">
        <f>IF(metadata!N331="",FALSE,TRUE)</f>
        <v>0</v>
      </c>
      <c r="AZ331" t="b">
        <f>OR(AND(IF(metadata!O331="",FALSE,TRUE),OR(EXACT(metadata!O331,"missing: not collected"),EXACT(metadata!O331,"missing: not provided"),EXACT(metadata!O331,"missing: restricted access"))),AND(IF(metadata!O331="",FALSE,TRUE),OR(EXACT(metadata!O331,"air"),EXACT(metadata!O331,"built environment"),EXACT(metadata!O331,"host-associated"),EXACT(metadata!O331,"human-associated"),EXACT(metadata!O331,"human-skin"),EXACT(metadata!O331,"human-oral"),EXACT(metadata!O331,"human-gut"),EXACT(metadata!O331,"human-vaginal"),EXACT(metadata!O331,"microbial mat/biofilm"),EXACT(metadata!O331,"misc environment"),EXACT(metadata!O331,"plant-associated"),EXACT(metadata!O331,"sediment"),EXACT(metadata!O331,"soil"),EXACT(metadata!O331,"wastewater/sludge"),EXACT(metadata!O331,"water"))))</f>
        <v>0</v>
      </c>
      <c r="BA331" t="b">
        <f>IF(metadata!P331="",FALSE,TRUE)</f>
        <v>0</v>
      </c>
      <c r="BB331" t="b">
        <f>IF(metadata!Q331="",FALSE,TRUE)</f>
        <v>0</v>
      </c>
      <c r="BC331" t="b">
        <f>OR(AND(IF(metadata!R331="",FALSE,TRUE),OR(EXACT(metadata!R331,"missing: not collected"),EXACT(metadata!R331,"missing: not provided"),EXACT(metadata!R331,"missing: restricted access"))),AND(IF(metadata!R331="",FALSE,ISNUMBER(VALUE(metadata!R331))),metadata!R331&gt;=-90,metadata!R331&lt;=90))</f>
        <v>0</v>
      </c>
      <c r="BD331" t="b">
        <f>AND(IF(metadata!S331="",FALSE,TRUE),EXACT(metadata!S331,"Decimal degrees"))</f>
        <v>0</v>
      </c>
      <c r="BE331" t="b">
        <f>OR(AND(IF(metadata!T331="",FALSE,TRUE),OR(EXACT(metadata!T331,"missing: not collected"),EXACT(metadata!T331,"missing: not provided"),EXACT(metadata!T331,"missing: restricted access"))),AND(IF(metadata!T331="",FALSE,ISNUMBER(VALUE(metadata!T331))),metadata!T331&gt;=-180,metadata!T331&lt;=180))</f>
        <v>0</v>
      </c>
      <c r="BF331" t="b">
        <f>AND(IF(metadata!U331="",FALSE,TRUE),EXACT(metadata!U331,"Decimal degrees"))</f>
        <v>0</v>
      </c>
      <c r="BG331" t="b">
        <f>IF(metadata!V331="",FALSE,TRUE)</f>
        <v>0</v>
      </c>
      <c r="BH331" t="b">
        <f>OR(AND(IF(metadata!W331="",FALSE,TRUE),OR(EXACT(metadata!W331,"missing: not collected"),EXACT(metadata!W331,"missing: not provided"),EXACT(metadata!W331,"missing: restricted access"))),AND(IF(metadata!W331="",FALSE,TRUE),OR(EXACT(metadata!W331,"TRUE"),EXACT(metadata!W331,"FALSE"))))</f>
        <v>0</v>
      </c>
      <c r="BI331" t="b">
        <f>AND(IF(metadata!X331="",FALSE,TRUE),EXACT(metadata!X331,"other"))</f>
        <v>0</v>
      </c>
      <c r="BJ331" t="b">
        <f>IF(metadata!Y331="",FALSE,TRUE)</f>
        <v>0</v>
      </c>
      <c r="BK331" t="b">
        <f>OR(AND(IF(metadata!Z331="",FALSE,TRUE),OR(EXACT(metadata!Z331,"missing: not collected"),EXACT(metadata!Z331,"missing: not provided"))),AND(IF(metadata!Z331="",FALSE,IF(ISERROR(INT(metadata!Z331)),FALSE,INT(metadata!Z331)=metadata!Z331)),metadata!Z331&gt;0))</f>
        <v>0</v>
      </c>
      <c r="BL331" t="b">
        <f>AND(IF(metadata!AA331="",FALSE,TRUE),EXACT(metadata!AA331,"Not applicable"))</f>
        <v>0</v>
      </c>
      <c r="BM331" t="b">
        <f>IF(metadata!AB331="",FALSE,TRUE)</f>
        <v>0</v>
      </c>
    </row>
    <row r="332" spans="1:65" x14ac:dyDescent="0.2">
      <c r="A332" s="5" t="str">
        <f ca="1">IF(B332=" "," ",HYPERLINK(CONCATENATE("#metadata!",ADDRESS(INDEX($AH$2:$AH$1001,MATCH(ROWS($AF$2:AF332),$AF$2:$AF$1001,0),0),1)),INDEX($AK$2:$AK$1001,MATCH(ROWS($AF$2:AF332),$AF$2:$AF$1001,0),0)))</f>
        <v xml:space="preserve"> </v>
      </c>
      <c r="B332" s="4" t="str">
        <f ca="1">IF(OR(INDEX($AG$2:$AG$1001,MATCH(ROWS($AF$2:AF332),$AF$2:$AF$1001,0),1)&gt;=100000,INDEX($AM$1005:$BM$1005,1,MATCH(COLUMNS($AM$1006:AM1006),$AM$1006:$BM$1006,0))&gt;=100000), " ",IF(INDEX($AM$2:$BM$1001,MATCH(ROWS($AF$2:AF332),$AF$2:$AF$1001,0),MATCH(COLUMNS($AM$1006:AM1006),$AM$1006:$BM$1006,0)), HYPERLINK("#",""), HYPERLINK(CONCATENATE("#metadata!", ADDRESS(INDEX($AH$2:$AH$1001,MATCH(ROWS($AF$2:AF332),$AF$2:$AF$1001,0),0), INDEX($AM$1004:$BM$1004,1,MATCH(COLUMNS($AM$1006:AM1006),$AM$1006:$BM$1006,0)))),"Fix")))</f>
        <v xml:space="preserve"> </v>
      </c>
      <c r="C332" s="4" t="str">
        <f ca="1">IF(OR(INDEX($AG$2:$AG$1001,MATCH(ROWS($AF$2:AF332),$AF$2:$AF$1001,0),1)&gt;=100000,INDEX($AM$1005:$BM$1005,1,MATCH(COLUMNS($AM$1006:AN1006),$AM$1006:$BM$1006,0))&gt;=100000), " ",IF(INDEX($AM$2:$BM$1001,MATCH(ROWS($AF$2:AF332),$AF$2:$AF$1001,0),MATCH(COLUMNS($AM$1006:AN1006),$AM$1006:$BM$1006,0)), HYPERLINK("#",""), HYPERLINK(CONCATENATE("#metadata!", ADDRESS(INDEX($AH$2:$AH$1001,MATCH(ROWS($AF$2:AF332),$AF$2:$AF$1001,0),0), INDEX($AM$1004:$BM$1004,1,MATCH(COLUMNS($AM$1006:AN1006),$AM$1006:$BM$1006,0)))),"Fix")))</f>
        <v xml:space="preserve"> </v>
      </c>
      <c r="D332" s="4" t="str">
        <f ca="1">IF(OR(INDEX($AG$2:$AG$1001,MATCH(ROWS($AF$2:AF332),$AF$2:$AF$1001,0),1)&gt;=100000,INDEX($AM$1005:$BM$1005,1,MATCH(COLUMNS($AM$1006:AO1006),$AM$1006:$BM$1006,0))&gt;=100000), " ",IF(INDEX($AM$2:$BM$1001,MATCH(ROWS($AF$2:AF332),$AF$2:$AF$1001,0),MATCH(COLUMNS($AM$1006:AO1006),$AM$1006:$BM$1006,0)), HYPERLINK("#",""), HYPERLINK(CONCATENATE("#metadata!", ADDRESS(INDEX($AH$2:$AH$1001,MATCH(ROWS($AF$2:AF332),$AF$2:$AF$1001,0),0), INDEX($AM$1004:$BM$1004,1,MATCH(COLUMNS($AM$1006:AO1006),$AM$1006:$BM$1006,0)))),"Fix")))</f>
        <v xml:space="preserve"> </v>
      </c>
      <c r="E332" s="4" t="str">
        <f ca="1">IF(OR(INDEX($AG$2:$AG$1001,MATCH(ROWS($AF$2:AF332),$AF$2:$AF$1001,0),1)&gt;=100000,INDEX($AM$1005:$BM$1005,1,MATCH(COLUMNS($AM$1006:AP1006),$AM$1006:$BM$1006,0))&gt;=100000), " ",IF(INDEX($AM$2:$BM$1001,MATCH(ROWS($AF$2:AF332),$AF$2:$AF$1001,0),MATCH(COLUMNS($AM$1006:AP1006),$AM$1006:$BM$1006,0)), HYPERLINK("#",""), HYPERLINK(CONCATENATE("#metadata!", ADDRESS(INDEX($AH$2:$AH$1001,MATCH(ROWS($AF$2:AF332),$AF$2:$AF$1001,0),0), INDEX($AM$1004:$BM$1004,1,MATCH(COLUMNS($AM$1006:AP1006),$AM$1006:$BM$1006,0)))),"Fix")))</f>
        <v xml:space="preserve"> </v>
      </c>
      <c r="F332" s="4" t="str">
        <f ca="1">IF(OR(INDEX($AG$2:$AG$1001,MATCH(ROWS($AF$2:AF332),$AF$2:$AF$1001,0),1)&gt;=100000,INDEX($AM$1005:$BM$1005,1,MATCH(COLUMNS($AM$1006:AQ1006),$AM$1006:$BM$1006,0))&gt;=100000), " ",IF(INDEX($AM$2:$BM$1001,MATCH(ROWS($AF$2:AF332),$AF$2:$AF$1001,0),MATCH(COLUMNS($AM$1006:AQ1006),$AM$1006:$BM$1006,0)), HYPERLINK("#",""), HYPERLINK(CONCATENATE("#metadata!", ADDRESS(INDEX($AH$2:$AH$1001,MATCH(ROWS($AF$2:AF332),$AF$2:$AF$1001,0),0), INDEX($AM$1004:$BM$1004,1,MATCH(COLUMNS($AM$1006:AQ1006),$AM$1006:$BM$1006,0)))),"Fix")))</f>
        <v xml:space="preserve"> </v>
      </c>
      <c r="G332" s="4" t="str">
        <f ca="1">IF(OR(INDEX($AG$2:$AG$1001,MATCH(ROWS($AF$2:AF332),$AF$2:$AF$1001,0),1)&gt;=100000,INDEX($AM$1005:$BM$1005,1,MATCH(COLUMNS($AM$1006:AR1006),$AM$1006:$BM$1006,0))&gt;=100000), " ",IF(INDEX($AM$2:$BM$1001,MATCH(ROWS($AF$2:AF332),$AF$2:$AF$1001,0),MATCH(COLUMNS($AM$1006:AR1006),$AM$1006:$BM$1006,0)), HYPERLINK("#",""), HYPERLINK(CONCATENATE("#metadata!", ADDRESS(INDEX($AH$2:$AH$1001,MATCH(ROWS($AF$2:AF332),$AF$2:$AF$1001,0),0), INDEX($AM$1004:$BM$1004,1,MATCH(COLUMNS($AM$1006:AR1006),$AM$1006:$BM$1006,0)))),"Fix")))</f>
        <v xml:space="preserve"> </v>
      </c>
      <c r="H332" s="4" t="str">
        <f ca="1">IF(OR(INDEX($AG$2:$AG$1001,MATCH(ROWS($AF$2:AF332),$AF$2:$AF$1001,0),1)&gt;=100000,INDEX($AM$1005:$BM$1005,1,MATCH(COLUMNS($AM$1006:AS1006),$AM$1006:$BM$1006,0))&gt;=100000), " ",IF(INDEX($AM$2:$BM$1001,MATCH(ROWS($AF$2:AF332),$AF$2:$AF$1001,0),MATCH(COLUMNS($AM$1006:AS1006),$AM$1006:$BM$1006,0)), HYPERLINK("#",""), HYPERLINK(CONCATENATE("#metadata!", ADDRESS(INDEX($AH$2:$AH$1001,MATCH(ROWS($AF$2:AF332),$AF$2:$AF$1001,0),0), INDEX($AM$1004:$BM$1004,1,MATCH(COLUMNS($AM$1006:AS1006),$AM$1006:$BM$1006,0)))),"Fix")))</f>
        <v xml:space="preserve"> </v>
      </c>
      <c r="I332" s="4" t="str">
        <f ca="1">IF(OR(INDEX($AG$2:$AG$1001,MATCH(ROWS($AF$2:AF332),$AF$2:$AF$1001,0),1)&gt;=100000,INDEX($AM$1005:$BM$1005,1,MATCH(COLUMNS($AM$1006:AT1006),$AM$1006:$BM$1006,0))&gt;=100000), " ",IF(INDEX($AM$2:$BM$1001,MATCH(ROWS($AF$2:AF332),$AF$2:$AF$1001,0),MATCH(COLUMNS($AM$1006:AT1006),$AM$1006:$BM$1006,0)), HYPERLINK("#",""), HYPERLINK(CONCATENATE("#metadata!", ADDRESS(INDEX($AH$2:$AH$1001,MATCH(ROWS($AF$2:AF332),$AF$2:$AF$1001,0),0), INDEX($AM$1004:$BM$1004,1,MATCH(COLUMNS($AM$1006:AT1006),$AM$1006:$BM$1006,0)))),"Fix")))</f>
        <v xml:space="preserve"> </v>
      </c>
      <c r="J332" s="4" t="str">
        <f ca="1">IF(OR(INDEX($AG$2:$AG$1001,MATCH(ROWS($AF$2:AF332),$AF$2:$AF$1001,0),1)&gt;=100000,INDEX($AM$1005:$BM$1005,1,MATCH(COLUMNS($AM$1006:AU1006),$AM$1006:$BM$1006,0))&gt;=100000), " ",IF(INDEX($AM$2:$BM$1001,MATCH(ROWS($AF$2:AF332),$AF$2:$AF$1001,0),MATCH(COLUMNS($AM$1006:AU1006),$AM$1006:$BM$1006,0)), HYPERLINK("#",""), HYPERLINK(CONCATENATE("#metadata!", ADDRESS(INDEX($AH$2:$AH$1001,MATCH(ROWS($AF$2:AF332),$AF$2:$AF$1001,0),0), INDEX($AM$1004:$BM$1004,1,MATCH(COLUMNS($AM$1006:AU1006),$AM$1006:$BM$1006,0)))),"Fix")))</f>
        <v xml:space="preserve"> </v>
      </c>
      <c r="K332" s="4" t="str">
        <f ca="1">IF(OR(INDEX($AG$2:$AG$1001,MATCH(ROWS($AF$2:AF332),$AF$2:$AF$1001,0),1)&gt;=100000,INDEX($AM$1005:$BM$1005,1,MATCH(COLUMNS($AM$1006:AV1006),$AM$1006:$BM$1006,0))&gt;=100000), " ",IF(INDEX($AM$2:$BM$1001,MATCH(ROWS($AF$2:AF332),$AF$2:$AF$1001,0),MATCH(COLUMNS($AM$1006:AV1006),$AM$1006:$BM$1006,0)), HYPERLINK("#",""), HYPERLINK(CONCATENATE("#metadata!", ADDRESS(INDEX($AH$2:$AH$1001,MATCH(ROWS($AF$2:AF332),$AF$2:$AF$1001,0),0), INDEX($AM$1004:$BM$1004,1,MATCH(COLUMNS($AM$1006:AV1006),$AM$1006:$BM$1006,0)))),"Fix")))</f>
        <v xml:space="preserve"> </v>
      </c>
      <c r="L332" s="4" t="str">
        <f ca="1">IF(OR(INDEX($AG$2:$AG$1001,MATCH(ROWS($AF$2:AF332),$AF$2:$AF$1001,0),1)&gt;=100000,INDEX($AM$1005:$BM$1005,1,MATCH(COLUMNS($AM$1006:AW1006),$AM$1006:$BM$1006,0))&gt;=100000), " ",IF(INDEX($AM$2:$BM$1001,MATCH(ROWS($AF$2:AF332),$AF$2:$AF$1001,0),MATCH(COLUMNS($AM$1006:AW1006),$AM$1006:$BM$1006,0)), HYPERLINK("#",""), HYPERLINK(CONCATENATE("#metadata!", ADDRESS(INDEX($AH$2:$AH$1001,MATCH(ROWS($AF$2:AF332),$AF$2:$AF$1001,0),0), INDEX($AM$1004:$BM$1004,1,MATCH(COLUMNS($AM$1006:AW1006),$AM$1006:$BM$1006,0)))),"Fix")))</f>
        <v xml:space="preserve"> </v>
      </c>
      <c r="M332" s="4" t="str">
        <f ca="1">IF(OR(INDEX($AG$2:$AG$1001,MATCH(ROWS($AF$2:AF332),$AF$2:$AF$1001,0),1)&gt;=100000,INDEX($AM$1005:$BM$1005,1,MATCH(COLUMNS($AM$1006:AX1006),$AM$1006:$BM$1006,0))&gt;=100000), " ",IF(INDEX($AM$2:$BM$1001,MATCH(ROWS($AF$2:AF332),$AF$2:$AF$1001,0),MATCH(COLUMNS($AM$1006:AX1006),$AM$1006:$BM$1006,0)), HYPERLINK("#",""), HYPERLINK(CONCATENATE("#metadata!", ADDRESS(INDEX($AH$2:$AH$1001,MATCH(ROWS($AF$2:AF332),$AF$2:$AF$1001,0),0), INDEX($AM$1004:$BM$1004,1,MATCH(COLUMNS($AM$1006:AX1006),$AM$1006:$BM$1006,0)))),"Fix")))</f>
        <v xml:space="preserve"> </v>
      </c>
      <c r="N332" s="4" t="str">
        <f ca="1">IF(OR(INDEX($AG$2:$AG$1001,MATCH(ROWS($AF$2:AF332),$AF$2:$AF$1001,0),1)&gt;=100000,INDEX($AM$1005:$BM$1005,1,MATCH(COLUMNS($AM$1006:AY1006),$AM$1006:$BM$1006,0))&gt;=100000), " ",IF(INDEX($AM$2:$BM$1001,MATCH(ROWS($AF$2:AF332),$AF$2:$AF$1001,0),MATCH(COLUMNS($AM$1006:AY1006),$AM$1006:$BM$1006,0)), HYPERLINK("#",""), HYPERLINK(CONCATENATE("#metadata!", ADDRESS(INDEX($AH$2:$AH$1001,MATCH(ROWS($AF$2:AF332),$AF$2:$AF$1001,0),0), INDEX($AM$1004:$BM$1004,1,MATCH(COLUMNS($AM$1006:AY1006),$AM$1006:$BM$1006,0)))),"Fix")))</f>
        <v xml:space="preserve"> </v>
      </c>
      <c r="O332" s="4" t="str">
        <f ca="1">IF(OR(INDEX($AG$2:$AG$1001,MATCH(ROWS($AF$2:AF332),$AF$2:$AF$1001,0),1)&gt;=100000,INDEX($AM$1005:$BM$1005,1,MATCH(COLUMNS($AM$1006:AZ1006),$AM$1006:$BM$1006,0))&gt;=100000), " ",IF(INDEX($AM$2:$BM$1001,MATCH(ROWS($AF$2:AF332),$AF$2:$AF$1001,0),MATCH(COLUMNS($AM$1006:AZ1006),$AM$1006:$BM$1006,0)), HYPERLINK("#",""), HYPERLINK(CONCATENATE("#metadata!", ADDRESS(INDEX($AH$2:$AH$1001,MATCH(ROWS($AF$2:AF332),$AF$2:$AF$1001,0),0), INDEX($AM$1004:$BM$1004,1,MATCH(COLUMNS($AM$1006:AZ1006),$AM$1006:$BM$1006,0)))),"Fix")))</f>
        <v xml:space="preserve"> </v>
      </c>
      <c r="P332" s="4" t="str">
        <f ca="1">IF(OR(INDEX($AG$2:$AG$1001,MATCH(ROWS($AF$2:AF332),$AF$2:$AF$1001,0),1)&gt;=100000,INDEX($AM$1005:$BM$1005,1,MATCH(COLUMNS($AM$1006:BA1006),$AM$1006:$BM$1006,0))&gt;=100000), " ",IF(INDEX($AM$2:$BM$1001,MATCH(ROWS($AF$2:AF332),$AF$2:$AF$1001,0),MATCH(COLUMNS($AM$1006:BA1006),$AM$1006:$BM$1006,0)), HYPERLINK("#",""), HYPERLINK(CONCATENATE("#metadata!", ADDRESS(INDEX($AH$2:$AH$1001,MATCH(ROWS($AF$2:AF332),$AF$2:$AF$1001,0),0), INDEX($AM$1004:$BM$1004,1,MATCH(COLUMNS($AM$1006:BA1006),$AM$1006:$BM$1006,0)))),"Fix")))</f>
        <v xml:space="preserve"> </v>
      </c>
      <c r="Q332" s="4" t="str">
        <f ca="1">IF(OR(INDEX($AG$2:$AG$1001,MATCH(ROWS($AF$2:AF332),$AF$2:$AF$1001,0),1)&gt;=100000,INDEX($AM$1005:$BM$1005,1,MATCH(COLUMNS($AM$1006:BB1006),$AM$1006:$BM$1006,0))&gt;=100000), " ",IF(INDEX($AM$2:$BM$1001,MATCH(ROWS($AF$2:AF332),$AF$2:$AF$1001,0),MATCH(COLUMNS($AM$1006:BB1006),$AM$1006:$BM$1006,0)), HYPERLINK("#",""), HYPERLINK(CONCATENATE("#metadata!", ADDRESS(INDEX($AH$2:$AH$1001,MATCH(ROWS($AF$2:AF332),$AF$2:$AF$1001,0),0), INDEX($AM$1004:$BM$1004,1,MATCH(COLUMNS($AM$1006:BB1006),$AM$1006:$BM$1006,0)))),"Fix")))</f>
        <v xml:space="preserve"> </v>
      </c>
      <c r="R332" s="4" t="str">
        <f ca="1">IF(OR(INDEX($AG$2:$AG$1001,MATCH(ROWS($AF$2:AF332),$AF$2:$AF$1001,0),1)&gt;=100000,INDEX($AM$1005:$BM$1005,1,MATCH(COLUMNS($AM$1006:BC1006),$AM$1006:$BM$1006,0))&gt;=100000), " ",IF(INDEX($AM$2:$BM$1001,MATCH(ROWS($AF$2:AF332),$AF$2:$AF$1001,0),MATCH(COLUMNS($AM$1006:BC1006),$AM$1006:$BM$1006,0)), HYPERLINK("#",""), HYPERLINK(CONCATENATE("#metadata!", ADDRESS(INDEX($AH$2:$AH$1001,MATCH(ROWS($AF$2:AF332),$AF$2:$AF$1001,0),0), INDEX($AM$1004:$BM$1004,1,MATCH(COLUMNS($AM$1006:BC1006),$AM$1006:$BM$1006,0)))),"Fix")))</f>
        <v xml:space="preserve"> </v>
      </c>
      <c r="S332" s="4" t="str">
        <f ca="1">IF(OR(INDEX($AG$2:$AG$1001,MATCH(ROWS($AF$2:AF332),$AF$2:$AF$1001,0),1)&gt;=100000,INDEX($AM$1005:$BM$1005,1,MATCH(COLUMNS($AM$1006:BD1006),$AM$1006:$BM$1006,0))&gt;=100000), " ",IF(INDEX($AM$2:$BM$1001,MATCH(ROWS($AF$2:AF332),$AF$2:$AF$1001,0),MATCH(COLUMNS($AM$1006:BD1006),$AM$1006:$BM$1006,0)), HYPERLINK("#",""), HYPERLINK(CONCATENATE("#metadata!", ADDRESS(INDEX($AH$2:$AH$1001,MATCH(ROWS($AF$2:AF332),$AF$2:$AF$1001,0),0), INDEX($AM$1004:$BM$1004,1,MATCH(COLUMNS($AM$1006:BD1006),$AM$1006:$BM$1006,0)))),"Fix")))</f>
        <v xml:space="preserve"> </v>
      </c>
      <c r="T332" s="4" t="str">
        <f ca="1">IF(OR(INDEX($AG$2:$AG$1001,MATCH(ROWS($AF$2:AF332),$AF$2:$AF$1001,0),1)&gt;=100000,INDEX($AM$1005:$BM$1005,1,MATCH(COLUMNS($AM$1006:BE1006),$AM$1006:$BM$1006,0))&gt;=100000), " ",IF(INDEX($AM$2:$BM$1001,MATCH(ROWS($AF$2:AF332),$AF$2:$AF$1001,0),MATCH(COLUMNS($AM$1006:BE1006),$AM$1006:$BM$1006,0)), HYPERLINK("#",""), HYPERLINK(CONCATENATE("#metadata!", ADDRESS(INDEX($AH$2:$AH$1001,MATCH(ROWS($AF$2:AF332),$AF$2:$AF$1001,0),0), INDEX($AM$1004:$BM$1004,1,MATCH(COLUMNS($AM$1006:BE1006),$AM$1006:$BM$1006,0)))),"Fix")))</f>
        <v xml:space="preserve"> </v>
      </c>
      <c r="U332" s="4" t="str">
        <f ca="1">IF(OR(INDEX($AG$2:$AG$1001,MATCH(ROWS($AF$2:AF332),$AF$2:$AF$1001,0),1)&gt;=100000,INDEX($AM$1005:$BM$1005,1,MATCH(COLUMNS($AM$1006:BF1006),$AM$1006:$BM$1006,0))&gt;=100000), " ",IF(INDEX($AM$2:$BM$1001,MATCH(ROWS($AF$2:AF332),$AF$2:$AF$1001,0),MATCH(COLUMNS($AM$1006:BF1006),$AM$1006:$BM$1006,0)), HYPERLINK("#",""), HYPERLINK(CONCATENATE("#metadata!", ADDRESS(INDEX($AH$2:$AH$1001,MATCH(ROWS($AF$2:AF332),$AF$2:$AF$1001,0),0), INDEX($AM$1004:$BM$1004,1,MATCH(COLUMNS($AM$1006:BF1006),$AM$1006:$BM$1006,0)))),"Fix")))</f>
        <v xml:space="preserve"> </v>
      </c>
      <c r="V332" s="4" t="str">
        <f ca="1">IF(OR(INDEX($AG$2:$AG$1001,MATCH(ROWS($AF$2:AF332),$AF$2:$AF$1001,0),1)&gt;=100000,INDEX($AM$1005:$BM$1005,1,MATCH(COLUMNS($AM$1006:BG1006),$AM$1006:$BM$1006,0))&gt;=100000), " ",IF(INDEX($AM$2:$BM$1001,MATCH(ROWS($AF$2:AF332),$AF$2:$AF$1001,0),MATCH(COLUMNS($AM$1006:BG1006),$AM$1006:$BM$1006,0)), HYPERLINK("#",""), HYPERLINK(CONCATENATE("#metadata!", ADDRESS(INDEX($AH$2:$AH$1001,MATCH(ROWS($AF$2:AF332),$AF$2:$AF$1001,0),0), INDEX($AM$1004:$BM$1004,1,MATCH(COLUMNS($AM$1006:BG1006),$AM$1006:$BM$1006,0)))),"Fix")))</f>
        <v xml:space="preserve"> </v>
      </c>
      <c r="W332" s="4" t="str">
        <f ca="1">IF(OR(INDEX($AG$2:$AG$1001,MATCH(ROWS($AF$2:AF332),$AF$2:$AF$1001,0),1)&gt;=100000,INDEX($AM$1005:$BM$1005,1,MATCH(COLUMNS($AM$1006:BH1006),$AM$1006:$BM$1006,0))&gt;=100000), " ",IF(INDEX($AM$2:$BM$1001,MATCH(ROWS($AF$2:AF332),$AF$2:$AF$1001,0),MATCH(COLUMNS($AM$1006:BH1006),$AM$1006:$BM$1006,0)), HYPERLINK("#",""), HYPERLINK(CONCATENATE("#metadata!", ADDRESS(INDEX($AH$2:$AH$1001,MATCH(ROWS($AF$2:AF332),$AF$2:$AF$1001,0),0), INDEX($AM$1004:$BM$1004,1,MATCH(COLUMNS($AM$1006:BH1006),$AM$1006:$BM$1006,0)))),"Fix")))</f>
        <v xml:space="preserve"> </v>
      </c>
      <c r="X332" s="4" t="str">
        <f ca="1">IF(OR(INDEX($AG$2:$AG$1001,MATCH(ROWS($AF$2:AF332),$AF$2:$AF$1001,0),1)&gt;=100000,INDEX($AM$1005:$BM$1005,1,MATCH(COLUMNS($AM$1006:BI1006),$AM$1006:$BM$1006,0))&gt;=100000), " ",IF(INDEX($AM$2:$BM$1001,MATCH(ROWS($AF$2:AF332),$AF$2:$AF$1001,0),MATCH(COLUMNS($AM$1006:BI1006),$AM$1006:$BM$1006,0)), HYPERLINK("#",""), HYPERLINK(CONCATENATE("#metadata!", ADDRESS(INDEX($AH$2:$AH$1001,MATCH(ROWS($AF$2:AF332),$AF$2:$AF$1001,0),0), INDEX($AM$1004:$BM$1004,1,MATCH(COLUMNS($AM$1006:BI1006),$AM$1006:$BM$1006,0)))),"Fix")))</f>
        <v xml:space="preserve"> </v>
      </c>
      <c r="Y332" s="4" t="str">
        <f ca="1">IF(OR(INDEX($AG$2:$AG$1001,MATCH(ROWS($AF$2:AF332),$AF$2:$AF$1001,0),1)&gt;=100000,INDEX($AM$1005:$BM$1005,1,MATCH(COLUMNS($AM$1006:BJ1006),$AM$1006:$BM$1006,0))&gt;=100000), " ",IF(INDEX($AM$2:$BM$1001,MATCH(ROWS($AF$2:AF332),$AF$2:$AF$1001,0),MATCH(COLUMNS($AM$1006:BJ1006),$AM$1006:$BM$1006,0)), HYPERLINK("#",""), HYPERLINK(CONCATENATE("#metadata!", ADDRESS(INDEX($AH$2:$AH$1001,MATCH(ROWS($AF$2:AF332),$AF$2:$AF$1001,0),0), INDEX($AM$1004:$BM$1004,1,MATCH(COLUMNS($AM$1006:BJ1006),$AM$1006:$BM$1006,0)))),"Fix")))</f>
        <v xml:space="preserve"> </v>
      </c>
      <c r="Z332" s="4" t="str">
        <f ca="1">IF(OR(INDEX($AG$2:$AG$1001,MATCH(ROWS($AF$2:AF332),$AF$2:$AF$1001,0),1)&gt;=100000,INDEX($AM$1005:$BM$1005,1,MATCH(COLUMNS($AM$1006:BK1006),$AM$1006:$BM$1006,0))&gt;=100000), " ",IF(INDEX($AM$2:$BM$1001,MATCH(ROWS($AF$2:AF332),$AF$2:$AF$1001,0),MATCH(COLUMNS($AM$1006:BK1006),$AM$1006:$BM$1006,0)), HYPERLINK("#",""), HYPERLINK(CONCATENATE("#metadata!", ADDRESS(INDEX($AH$2:$AH$1001,MATCH(ROWS($AF$2:AF332),$AF$2:$AF$1001,0),0), INDEX($AM$1004:$BM$1004,1,MATCH(COLUMNS($AM$1006:BK1006),$AM$1006:$BM$1006,0)))),"Fix")))</f>
        <v xml:space="preserve"> </v>
      </c>
      <c r="AA332" s="4" t="str">
        <f ca="1">IF(OR(INDEX($AG$2:$AG$1001,MATCH(ROWS($AF$2:AF332),$AF$2:$AF$1001,0),1)&gt;=100000,INDEX($AM$1005:$BM$1005,1,MATCH(COLUMNS($AM$1006:BL1006),$AM$1006:$BM$1006,0))&gt;=100000), " ",IF(INDEX($AM$2:$BM$1001,MATCH(ROWS($AF$2:AF332),$AF$2:$AF$1001,0),MATCH(COLUMNS($AM$1006:BL1006),$AM$1006:$BM$1006,0)), HYPERLINK("#",""), HYPERLINK(CONCATENATE("#metadata!", ADDRESS(INDEX($AH$2:$AH$1001,MATCH(ROWS($AF$2:AF332),$AF$2:$AF$1001,0),0), INDEX($AM$1004:$BM$1004,1,MATCH(COLUMNS($AM$1006:BL1006),$AM$1006:$BM$1006,0)))),"Fix")))</f>
        <v xml:space="preserve"> </v>
      </c>
      <c r="AB332" s="4" t="str">
        <f ca="1">IF(OR(INDEX($AG$2:$AG$1001,MATCH(ROWS($AF$2:AF332),$AF$2:$AF$1001,0),1)&gt;=100000,INDEX($AM$1005:$BM$1005,1,MATCH(COLUMNS($AM$1006:BM1006),$AM$1006:$BM$1006,0))&gt;=100000), " ",IF(INDEX($AM$2:$BM$1001,MATCH(ROWS($AF$2:AF332),$AF$2:$AF$1001,0),MATCH(COLUMNS($AM$1006:BM1006),$AM$1006:$BM$1006,0)), HYPERLINK("#",""), HYPERLINK(CONCATENATE("#metadata!", ADDRESS(INDEX($AH$2:$AH$1001,MATCH(ROWS($AF$2:AF332),$AF$2:$AF$1001,0),0), INDEX($AM$1004:$BM$1004,1,MATCH(COLUMNS($AM$1006:BM1006),$AM$1006:$BM$1006,0)))),"Fix")))</f>
        <v xml:space="preserve"> </v>
      </c>
      <c r="AF332">
        <v>331</v>
      </c>
      <c r="AG332">
        <v>100332</v>
      </c>
      <c r="AH332">
        <v>332</v>
      </c>
      <c r="AI332" t="b">
        <f t="shared" si="5"/>
        <v>1</v>
      </c>
      <c r="AJ332" t="b">
        <f>COUNTBLANK(metadata!B332:AB332)=COLUMNS(metadata!B332:AB332)</f>
        <v>1</v>
      </c>
      <c r="AK332" t="str">
        <v/>
      </c>
      <c r="AM332" t="b">
        <f ca="1">AND(IF(metadata!B332="",FALSE,TRUE),COUNTIF(metadata!B:B, metadata!B332) = 1,NOT(ISERROR(SUMPRODUCT(SEARCH(MID(metadata!B332,ROW(INDIRECT("1:"&amp;LEN(metadata!B332))), 1),"0123456789abcdefghijklmnopqrstuvwxyzABCDEFGHIJKLMNOPQRSTUVWXYZ.")))))</f>
        <v>0</v>
      </c>
      <c r="AN332" t="b">
        <f ca="1">OR(AND(IF(metadata!C332="",FALSE,TRUE),OR(EXACT(metadata!C332,"missing: not collected"),EXACT(metadata!C332,"missing: not provided"),EXACT(metadata!C332,"missing: restricted access"))),AND(IF(metadata!C332="",FALSE,TRUE),AND(AND(IFERROR(INT(LEFT(metadata!C332,4))&gt;1900,FALSE),IFERROR(INT(LEFT(metadata!C332,4))&lt;=YEAR(NOW()),FALSE)), OR(MID(metadata!C332,5,1)="", AND(AND(MID(metadata!C332,5,1)="-",IFERROR(INT(MID(metadata!C332,6,1))&gt;=0,FALSE),IFERROR(INT(MID(metadata!C332,6,1))&lt;=1,FALSE),NOT(MID(metadata!C332,7,1)=""),IFERROR(INT(MID(metadata!C332,6,2))&gt;=1,FALSE),IFERROR(INT(MID(metadata!C332,6,2))&lt;=12,FALSE)), OR(MID(metadata!C332,8,1)="", AND(AND(MID(metadata!C332,8,1)="-",IFERROR(INT(MID(metadata!C332,9,1))&gt;=0,FALSE),IFERROR(INT(MID(metadata!C332,9,1))&lt;=3,FALSE),NOT(MID(metadata!C332,10,1)=""),IFERROR(INT(MID(metadata!C332,9,2))&gt;=1,FALSE),IFERROR(INT(MID(metadata!C332,9,2))&lt;=31,FALSE)), OR(MID(metadata!C332,11,1)="", AND(AND(MID(metadata!C332,11,1)=" ",IFERROR(INT(MID(metadata!C332,12,1))&gt;=0,FALSE),IFERROR(INT(MID(metadata!C332,12,1))&lt;=2,FALSE),NOT(MID(metadata!C332,13,1)=""),IFERROR(INT(MID(metadata!C332,12,2))&gt;=0,FALSE),IFERROR(INT(MID(metadata!C332,12,2))&lt;=23,FALSE)), OR(MID(metadata!C332,14,1)="", AND(AND(MID(metadata!C332,14,1)=":",IFERROR(INT(MID(metadata!C332,15,1))&gt;=0,FALSE),IFERROR(INT(MID(metadata!C332,15,1))&lt;=5,FALSE),NOT(MID(metadata!C332,16,1)=""),IFERROR(INT(MID(metadata!C332,15,2))&gt;=0,FALSE),IFERROR(INT(MID(metadata!C332,15,2))&lt;=59,FALSE)), OR(MID(metadata!C332,17,1)="", AND(AND(MID(metadata!C332,17,1)=":",IFERROR(INT(MID(metadata!C332,18,1))&gt;=0,FALSE),IFERROR(INT(MID(metadata!C332,18,1))&lt;=5,FALSE),NOT(MID(metadata!C332,19,1)=""),IFERROR(INT(MID(metadata!C332,18,2))&gt;=0,FALSE),IFERROR(INT(MID(metadata!C332,18,2))&lt;=59,FALSE)), LEN(metadata!C332)&lt;=19)))))))))))))</f>
        <v>0</v>
      </c>
      <c r="AO332" t="b">
        <f>AND(IF(metadata!D332="",FALSE,TRUE),EXACT(metadata!D332,"Not applicable"))</f>
        <v>0</v>
      </c>
      <c r="AP332" t="b">
        <f>IF(metadata!E332="",FALSE,TRUE)</f>
        <v>0</v>
      </c>
      <c r="AQ332" t="b">
        <f>OR(AND(IF(metadata!F332="",FALSE,TRUE),OR(EXACT(metadata!F332,"missing: not collected"),EXACT(metadata!F332,"missing: not provided"))),AND(IF(metadata!F332="",FALSE,TRUE),OR(EXACT(metadata!F332,"TRUE"),EXACT(metadata!F332,"FALSE"))))</f>
        <v>0</v>
      </c>
      <c r="AR332" t="b">
        <f>OR(AND(IF(metadata!G332="",FALSE,TRUE),OR(EXACT(metadata!G332,"missing: not collected"),EXACT(metadata!G332,"missing: not provided"),EXACT(metadata!G332,"missing: restricted access"))),AND(IF(metadata!G332="",FALSE,ISNUMBER(VALUE(metadata!G332))),metadata!G332&gt;=-413))</f>
        <v>0</v>
      </c>
      <c r="AS332" t="b">
        <f>AND(IF(metadata!H332="",FALSE,TRUE),EXACT(metadata!H332,"meters"))</f>
        <v>0</v>
      </c>
      <c r="AT332" t="b">
        <f>AND(IF(metadata!I332="",FALSE,TRUE),OR(EXACT(metadata!I332,"Host-associated"),EXACT(metadata!I332,"Free-living")))</f>
        <v>0</v>
      </c>
      <c r="AU332" t="b">
        <f>AND(IF(metadata!J332="",FALSE,TRUE),OR(EXACT(metadata!J332,"Animal"),EXACT(metadata!J332,"Fungus"),EXACT(metadata!J332,"Plant"),EXACT(metadata!J332,"Saline"),EXACT(metadata!J332,"Non-saline")))</f>
        <v>0</v>
      </c>
      <c r="AV332" t="b">
        <f>AND(IF(metadata!K332="",FALSE,TRUE),OR(EXACT(metadata!K332,"Plant secretion"),EXACT(metadata!K332,"Plant rhizosphere"),EXACT(metadata!K332,"Plant surface"),EXACT(metadata!K332,"Plant corpus"),EXACT(metadata!K332,"Fungus surface"),EXACT(metadata!K332,"Fungus corpus"),EXACT(metadata!K332,"Animal surface"),EXACT(metadata!K332,"Animal proximal gut"),EXACT(metadata!K332,"Animal corpus"),EXACT(metadata!K332,"Animal distal gut"),EXACT(metadata!K332,"Animal secretion"),EXACT(metadata!K332,"Sub-surface (non-saline)"),EXACT(metadata!K332,"Surface (non-saline)"),EXACT(metadata!K332,"Water (non-saline)"),EXACT(metadata!K332,"Soil (non-saline)"),EXACT(metadata!K332,"Aerosol (non-saline)"),EXACT(metadata!K332,"Sediment (non-saline)"),EXACT(metadata!K332,"Surface (saline)"),EXACT(metadata!K332,"Water (saline)"),EXACT(metadata!K332,"Hypersaline (saline)"),EXACT(metadata!K332,"Aerosol (saline)"),EXACT(metadata!K332,"Sediment (saline)")))</f>
        <v>0</v>
      </c>
      <c r="AW332" t="b">
        <f>IF(metadata!L332="",FALSE,TRUE)</f>
        <v>0</v>
      </c>
      <c r="AX332" t="b">
        <f>IF(metadata!M332="",FALSE,TRUE)</f>
        <v>0</v>
      </c>
      <c r="AY332" t="b">
        <f>IF(metadata!N332="",FALSE,TRUE)</f>
        <v>0</v>
      </c>
      <c r="AZ332" t="b">
        <f>OR(AND(IF(metadata!O332="",FALSE,TRUE),OR(EXACT(metadata!O332,"missing: not collected"),EXACT(metadata!O332,"missing: not provided"),EXACT(metadata!O332,"missing: restricted access"))),AND(IF(metadata!O332="",FALSE,TRUE),OR(EXACT(metadata!O332,"air"),EXACT(metadata!O332,"built environment"),EXACT(metadata!O332,"host-associated"),EXACT(metadata!O332,"human-associated"),EXACT(metadata!O332,"human-skin"),EXACT(metadata!O332,"human-oral"),EXACT(metadata!O332,"human-gut"),EXACT(metadata!O332,"human-vaginal"),EXACT(metadata!O332,"microbial mat/biofilm"),EXACT(metadata!O332,"misc environment"),EXACT(metadata!O332,"plant-associated"),EXACT(metadata!O332,"sediment"),EXACT(metadata!O332,"soil"),EXACT(metadata!O332,"wastewater/sludge"),EXACT(metadata!O332,"water"))))</f>
        <v>0</v>
      </c>
      <c r="BA332" t="b">
        <f>IF(metadata!P332="",FALSE,TRUE)</f>
        <v>0</v>
      </c>
      <c r="BB332" t="b">
        <f>IF(metadata!Q332="",FALSE,TRUE)</f>
        <v>0</v>
      </c>
      <c r="BC332" t="b">
        <f>OR(AND(IF(metadata!R332="",FALSE,TRUE),OR(EXACT(metadata!R332,"missing: not collected"),EXACT(metadata!R332,"missing: not provided"),EXACT(metadata!R332,"missing: restricted access"))),AND(IF(metadata!R332="",FALSE,ISNUMBER(VALUE(metadata!R332))),metadata!R332&gt;=-90,metadata!R332&lt;=90))</f>
        <v>0</v>
      </c>
      <c r="BD332" t="b">
        <f>AND(IF(metadata!S332="",FALSE,TRUE),EXACT(metadata!S332,"Decimal degrees"))</f>
        <v>0</v>
      </c>
      <c r="BE332" t="b">
        <f>OR(AND(IF(metadata!T332="",FALSE,TRUE),OR(EXACT(metadata!T332,"missing: not collected"),EXACT(metadata!T332,"missing: not provided"),EXACT(metadata!T332,"missing: restricted access"))),AND(IF(metadata!T332="",FALSE,ISNUMBER(VALUE(metadata!T332))),metadata!T332&gt;=-180,metadata!T332&lt;=180))</f>
        <v>0</v>
      </c>
      <c r="BF332" t="b">
        <f>AND(IF(metadata!U332="",FALSE,TRUE),EXACT(metadata!U332,"Decimal degrees"))</f>
        <v>0</v>
      </c>
      <c r="BG332" t="b">
        <f>IF(metadata!V332="",FALSE,TRUE)</f>
        <v>0</v>
      </c>
      <c r="BH332" t="b">
        <f>OR(AND(IF(metadata!W332="",FALSE,TRUE),OR(EXACT(metadata!W332,"missing: not collected"),EXACT(metadata!W332,"missing: not provided"),EXACT(metadata!W332,"missing: restricted access"))),AND(IF(metadata!W332="",FALSE,TRUE),OR(EXACT(metadata!W332,"TRUE"),EXACT(metadata!W332,"FALSE"))))</f>
        <v>0</v>
      </c>
      <c r="BI332" t="b">
        <f>AND(IF(metadata!X332="",FALSE,TRUE),EXACT(metadata!X332,"other"))</f>
        <v>0</v>
      </c>
      <c r="BJ332" t="b">
        <f>IF(metadata!Y332="",FALSE,TRUE)</f>
        <v>0</v>
      </c>
      <c r="BK332" t="b">
        <f>OR(AND(IF(metadata!Z332="",FALSE,TRUE),OR(EXACT(metadata!Z332,"missing: not collected"),EXACT(metadata!Z332,"missing: not provided"))),AND(IF(metadata!Z332="",FALSE,IF(ISERROR(INT(metadata!Z332)),FALSE,INT(metadata!Z332)=metadata!Z332)),metadata!Z332&gt;0))</f>
        <v>0</v>
      </c>
      <c r="BL332" t="b">
        <f>AND(IF(metadata!AA332="",FALSE,TRUE),EXACT(metadata!AA332,"Not applicable"))</f>
        <v>0</v>
      </c>
      <c r="BM332" t="b">
        <f>IF(metadata!AB332="",FALSE,TRUE)</f>
        <v>0</v>
      </c>
    </row>
    <row r="333" spans="1:65" x14ac:dyDescent="0.2">
      <c r="A333" s="5" t="str">
        <f ca="1">IF(B333=" "," ",HYPERLINK(CONCATENATE("#metadata!",ADDRESS(INDEX($AH$2:$AH$1001,MATCH(ROWS($AF$2:AF333),$AF$2:$AF$1001,0),0),1)),INDEX($AK$2:$AK$1001,MATCH(ROWS($AF$2:AF333),$AF$2:$AF$1001,0),0)))</f>
        <v xml:space="preserve"> </v>
      </c>
      <c r="B333" s="4" t="str">
        <f ca="1">IF(OR(INDEX($AG$2:$AG$1001,MATCH(ROWS($AF$2:AF333),$AF$2:$AF$1001,0),1)&gt;=100000,INDEX($AM$1005:$BM$1005,1,MATCH(COLUMNS($AM$1006:AM1006),$AM$1006:$BM$1006,0))&gt;=100000), " ",IF(INDEX($AM$2:$BM$1001,MATCH(ROWS($AF$2:AF333),$AF$2:$AF$1001,0),MATCH(COLUMNS($AM$1006:AM1006),$AM$1006:$BM$1006,0)), HYPERLINK("#",""), HYPERLINK(CONCATENATE("#metadata!", ADDRESS(INDEX($AH$2:$AH$1001,MATCH(ROWS($AF$2:AF333),$AF$2:$AF$1001,0),0), INDEX($AM$1004:$BM$1004,1,MATCH(COLUMNS($AM$1006:AM1006),$AM$1006:$BM$1006,0)))),"Fix")))</f>
        <v xml:space="preserve"> </v>
      </c>
      <c r="C333" s="4" t="str">
        <f ca="1">IF(OR(INDEX($AG$2:$AG$1001,MATCH(ROWS($AF$2:AF333),$AF$2:$AF$1001,0),1)&gt;=100000,INDEX($AM$1005:$BM$1005,1,MATCH(COLUMNS($AM$1006:AN1006),$AM$1006:$BM$1006,0))&gt;=100000), " ",IF(INDEX($AM$2:$BM$1001,MATCH(ROWS($AF$2:AF333),$AF$2:$AF$1001,0),MATCH(COLUMNS($AM$1006:AN1006),$AM$1006:$BM$1006,0)), HYPERLINK("#",""), HYPERLINK(CONCATENATE("#metadata!", ADDRESS(INDEX($AH$2:$AH$1001,MATCH(ROWS($AF$2:AF333),$AF$2:$AF$1001,0),0), INDEX($AM$1004:$BM$1004,1,MATCH(COLUMNS($AM$1006:AN1006),$AM$1006:$BM$1006,0)))),"Fix")))</f>
        <v xml:space="preserve"> </v>
      </c>
      <c r="D333" s="4" t="str">
        <f ca="1">IF(OR(INDEX($AG$2:$AG$1001,MATCH(ROWS($AF$2:AF333),$AF$2:$AF$1001,0),1)&gt;=100000,INDEX($AM$1005:$BM$1005,1,MATCH(COLUMNS($AM$1006:AO1006),$AM$1006:$BM$1006,0))&gt;=100000), " ",IF(INDEX($AM$2:$BM$1001,MATCH(ROWS($AF$2:AF333),$AF$2:$AF$1001,0),MATCH(COLUMNS($AM$1006:AO1006),$AM$1006:$BM$1006,0)), HYPERLINK("#",""), HYPERLINK(CONCATENATE("#metadata!", ADDRESS(INDEX($AH$2:$AH$1001,MATCH(ROWS($AF$2:AF333),$AF$2:$AF$1001,0),0), INDEX($AM$1004:$BM$1004,1,MATCH(COLUMNS($AM$1006:AO1006),$AM$1006:$BM$1006,0)))),"Fix")))</f>
        <v xml:space="preserve"> </v>
      </c>
      <c r="E333" s="4" t="str">
        <f ca="1">IF(OR(INDEX($AG$2:$AG$1001,MATCH(ROWS($AF$2:AF333),$AF$2:$AF$1001,0),1)&gt;=100000,INDEX($AM$1005:$BM$1005,1,MATCH(COLUMNS($AM$1006:AP1006),$AM$1006:$BM$1006,0))&gt;=100000), " ",IF(INDEX($AM$2:$BM$1001,MATCH(ROWS($AF$2:AF333),$AF$2:$AF$1001,0),MATCH(COLUMNS($AM$1006:AP1006),$AM$1006:$BM$1006,0)), HYPERLINK("#",""), HYPERLINK(CONCATENATE("#metadata!", ADDRESS(INDEX($AH$2:$AH$1001,MATCH(ROWS($AF$2:AF333),$AF$2:$AF$1001,0),0), INDEX($AM$1004:$BM$1004,1,MATCH(COLUMNS($AM$1006:AP1006),$AM$1006:$BM$1006,0)))),"Fix")))</f>
        <v xml:space="preserve"> </v>
      </c>
      <c r="F333" s="4" t="str">
        <f ca="1">IF(OR(INDEX($AG$2:$AG$1001,MATCH(ROWS($AF$2:AF333),$AF$2:$AF$1001,0),1)&gt;=100000,INDEX($AM$1005:$BM$1005,1,MATCH(COLUMNS($AM$1006:AQ1006),$AM$1006:$BM$1006,0))&gt;=100000), " ",IF(INDEX($AM$2:$BM$1001,MATCH(ROWS($AF$2:AF333),$AF$2:$AF$1001,0),MATCH(COLUMNS($AM$1006:AQ1006),$AM$1006:$BM$1006,0)), HYPERLINK("#",""), HYPERLINK(CONCATENATE("#metadata!", ADDRESS(INDEX($AH$2:$AH$1001,MATCH(ROWS($AF$2:AF333),$AF$2:$AF$1001,0),0), INDEX($AM$1004:$BM$1004,1,MATCH(COLUMNS($AM$1006:AQ1006),$AM$1006:$BM$1006,0)))),"Fix")))</f>
        <v xml:space="preserve"> </v>
      </c>
      <c r="G333" s="4" t="str">
        <f ca="1">IF(OR(INDEX($AG$2:$AG$1001,MATCH(ROWS($AF$2:AF333),$AF$2:$AF$1001,0),1)&gt;=100000,INDEX($AM$1005:$BM$1005,1,MATCH(COLUMNS($AM$1006:AR1006),$AM$1006:$BM$1006,0))&gt;=100000), " ",IF(INDEX($AM$2:$BM$1001,MATCH(ROWS($AF$2:AF333),$AF$2:$AF$1001,0),MATCH(COLUMNS($AM$1006:AR1006),$AM$1006:$BM$1006,0)), HYPERLINK("#",""), HYPERLINK(CONCATENATE("#metadata!", ADDRESS(INDEX($AH$2:$AH$1001,MATCH(ROWS($AF$2:AF333),$AF$2:$AF$1001,0),0), INDEX($AM$1004:$BM$1004,1,MATCH(COLUMNS($AM$1006:AR1006),$AM$1006:$BM$1006,0)))),"Fix")))</f>
        <v xml:space="preserve"> </v>
      </c>
      <c r="H333" s="4" t="str">
        <f ca="1">IF(OR(INDEX($AG$2:$AG$1001,MATCH(ROWS($AF$2:AF333),$AF$2:$AF$1001,0),1)&gt;=100000,INDEX($AM$1005:$BM$1005,1,MATCH(COLUMNS($AM$1006:AS1006),$AM$1006:$BM$1006,0))&gt;=100000), " ",IF(INDEX($AM$2:$BM$1001,MATCH(ROWS($AF$2:AF333),$AF$2:$AF$1001,0),MATCH(COLUMNS($AM$1006:AS1006),$AM$1006:$BM$1006,0)), HYPERLINK("#",""), HYPERLINK(CONCATENATE("#metadata!", ADDRESS(INDEX($AH$2:$AH$1001,MATCH(ROWS($AF$2:AF333),$AF$2:$AF$1001,0),0), INDEX($AM$1004:$BM$1004,1,MATCH(COLUMNS($AM$1006:AS1006),$AM$1006:$BM$1006,0)))),"Fix")))</f>
        <v xml:space="preserve"> </v>
      </c>
      <c r="I333" s="4" t="str">
        <f ca="1">IF(OR(INDEX($AG$2:$AG$1001,MATCH(ROWS($AF$2:AF333),$AF$2:$AF$1001,0),1)&gt;=100000,INDEX($AM$1005:$BM$1005,1,MATCH(COLUMNS($AM$1006:AT1006),$AM$1006:$BM$1006,0))&gt;=100000), " ",IF(INDEX($AM$2:$BM$1001,MATCH(ROWS($AF$2:AF333),$AF$2:$AF$1001,0),MATCH(COLUMNS($AM$1006:AT1006),$AM$1006:$BM$1006,0)), HYPERLINK("#",""), HYPERLINK(CONCATENATE("#metadata!", ADDRESS(INDEX($AH$2:$AH$1001,MATCH(ROWS($AF$2:AF333),$AF$2:$AF$1001,0),0), INDEX($AM$1004:$BM$1004,1,MATCH(COLUMNS($AM$1006:AT1006),$AM$1006:$BM$1006,0)))),"Fix")))</f>
        <v xml:space="preserve"> </v>
      </c>
      <c r="J333" s="4" t="str">
        <f ca="1">IF(OR(INDEX($AG$2:$AG$1001,MATCH(ROWS($AF$2:AF333),$AF$2:$AF$1001,0),1)&gt;=100000,INDEX($AM$1005:$BM$1005,1,MATCH(COLUMNS($AM$1006:AU1006),$AM$1006:$BM$1006,0))&gt;=100000), " ",IF(INDEX($AM$2:$BM$1001,MATCH(ROWS($AF$2:AF333),$AF$2:$AF$1001,0),MATCH(COLUMNS($AM$1006:AU1006),$AM$1006:$BM$1006,0)), HYPERLINK("#",""), HYPERLINK(CONCATENATE("#metadata!", ADDRESS(INDEX($AH$2:$AH$1001,MATCH(ROWS($AF$2:AF333),$AF$2:$AF$1001,0),0), INDEX($AM$1004:$BM$1004,1,MATCH(COLUMNS($AM$1006:AU1006),$AM$1006:$BM$1006,0)))),"Fix")))</f>
        <v xml:space="preserve"> </v>
      </c>
      <c r="K333" s="4" t="str">
        <f ca="1">IF(OR(INDEX($AG$2:$AG$1001,MATCH(ROWS($AF$2:AF333),$AF$2:$AF$1001,0),1)&gt;=100000,INDEX($AM$1005:$BM$1005,1,MATCH(COLUMNS($AM$1006:AV1006),$AM$1006:$BM$1006,0))&gt;=100000), " ",IF(INDEX($AM$2:$BM$1001,MATCH(ROWS($AF$2:AF333),$AF$2:$AF$1001,0),MATCH(COLUMNS($AM$1006:AV1006),$AM$1006:$BM$1006,0)), HYPERLINK("#",""), HYPERLINK(CONCATENATE("#metadata!", ADDRESS(INDEX($AH$2:$AH$1001,MATCH(ROWS($AF$2:AF333),$AF$2:$AF$1001,0),0), INDEX($AM$1004:$BM$1004,1,MATCH(COLUMNS($AM$1006:AV1006),$AM$1006:$BM$1006,0)))),"Fix")))</f>
        <v xml:space="preserve"> </v>
      </c>
      <c r="L333" s="4" t="str">
        <f ca="1">IF(OR(INDEX($AG$2:$AG$1001,MATCH(ROWS($AF$2:AF333),$AF$2:$AF$1001,0),1)&gt;=100000,INDEX($AM$1005:$BM$1005,1,MATCH(COLUMNS($AM$1006:AW1006),$AM$1006:$BM$1006,0))&gt;=100000), " ",IF(INDEX($AM$2:$BM$1001,MATCH(ROWS($AF$2:AF333),$AF$2:$AF$1001,0),MATCH(COLUMNS($AM$1006:AW1006),$AM$1006:$BM$1006,0)), HYPERLINK("#",""), HYPERLINK(CONCATENATE("#metadata!", ADDRESS(INDEX($AH$2:$AH$1001,MATCH(ROWS($AF$2:AF333),$AF$2:$AF$1001,0),0), INDEX($AM$1004:$BM$1004,1,MATCH(COLUMNS($AM$1006:AW1006),$AM$1006:$BM$1006,0)))),"Fix")))</f>
        <v xml:space="preserve"> </v>
      </c>
      <c r="M333" s="4" t="str">
        <f ca="1">IF(OR(INDEX($AG$2:$AG$1001,MATCH(ROWS($AF$2:AF333),$AF$2:$AF$1001,0),1)&gt;=100000,INDEX($AM$1005:$BM$1005,1,MATCH(COLUMNS($AM$1006:AX1006),$AM$1006:$BM$1006,0))&gt;=100000), " ",IF(INDEX($AM$2:$BM$1001,MATCH(ROWS($AF$2:AF333),$AF$2:$AF$1001,0),MATCH(COLUMNS($AM$1006:AX1006),$AM$1006:$BM$1006,0)), HYPERLINK("#",""), HYPERLINK(CONCATENATE("#metadata!", ADDRESS(INDEX($AH$2:$AH$1001,MATCH(ROWS($AF$2:AF333),$AF$2:$AF$1001,0),0), INDEX($AM$1004:$BM$1004,1,MATCH(COLUMNS($AM$1006:AX1006),$AM$1006:$BM$1006,0)))),"Fix")))</f>
        <v xml:space="preserve"> </v>
      </c>
      <c r="N333" s="4" t="str">
        <f ca="1">IF(OR(INDEX($AG$2:$AG$1001,MATCH(ROWS($AF$2:AF333),$AF$2:$AF$1001,0),1)&gt;=100000,INDEX($AM$1005:$BM$1005,1,MATCH(COLUMNS($AM$1006:AY1006),$AM$1006:$BM$1006,0))&gt;=100000), " ",IF(INDEX($AM$2:$BM$1001,MATCH(ROWS($AF$2:AF333),$AF$2:$AF$1001,0),MATCH(COLUMNS($AM$1006:AY1006),$AM$1006:$BM$1006,0)), HYPERLINK("#",""), HYPERLINK(CONCATENATE("#metadata!", ADDRESS(INDEX($AH$2:$AH$1001,MATCH(ROWS($AF$2:AF333),$AF$2:$AF$1001,0),0), INDEX($AM$1004:$BM$1004,1,MATCH(COLUMNS($AM$1006:AY1006),$AM$1006:$BM$1006,0)))),"Fix")))</f>
        <v xml:space="preserve"> </v>
      </c>
      <c r="O333" s="4" t="str">
        <f ca="1">IF(OR(INDEX($AG$2:$AG$1001,MATCH(ROWS($AF$2:AF333),$AF$2:$AF$1001,0),1)&gt;=100000,INDEX($AM$1005:$BM$1005,1,MATCH(COLUMNS($AM$1006:AZ1006),$AM$1006:$BM$1006,0))&gt;=100000), " ",IF(INDEX($AM$2:$BM$1001,MATCH(ROWS($AF$2:AF333),$AF$2:$AF$1001,0),MATCH(COLUMNS($AM$1006:AZ1006),$AM$1006:$BM$1006,0)), HYPERLINK("#",""), HYPERLINK(CONCATENATE("#metadata!", ADDRESS(INDEX($AH$2:$AH$1001,MATCH(ROWS($AF$2:AF333),$AF$2:$AF$1001,0),0), INDEX($AM$1004:$BM$1004,1,MATCH(COLUMNS($AM$1006:AZ1006),$AM$1006:$BM$1006,0)))),"Fix")))</f>
        <v xml:space="preserve"> </v>
      </c>
      <c r="P333" s="4" t="str">
        <f ca="1">IF(OR(INDEX($AG$2:$AG$1001,MATCH(ROWS($AF$2:AF333),$AF$2:$AF$1001,0),1)&gt;=100000,INDEX($AM$1005:$BM$1005,1,MATCH(COLUMNS($AM$1006:BA1006),$AM$1006:$BM$1006,0))&gt;=100000), " ",IF(INDEX($AM$2:$BM$1001,MATCH(ROWS($AF$2:AF333),$AF$2:$AF$1001,0),MATCH(COLUMNS($AM$1006:BA1006),$AM$1006:$BM$1006,0)), HYPERLINK("#",""), HYPERLINK(CONCATENATE("#metadata!", ADDRESS(INDEX($AH$2:$AH$1001,MATCH(ROWS($AF$2:AF333),$AF$2:$AF$1001,0),0), INDEX($AM$1004:$BM$1004,1,MATCH(COLUMNS($AM$1006:BA1006),$AM$1006:$BM$1006,0)))),"Fix")))</f>
        <v xml:space="preserve"> </v>
      </c>
      <c r="Q333" s="4" t="str">
        <f ca="1">IF(OR(INDEX($AG$2:$AG$1001,MATCH(ROWS($AF$2:AF333),$AF$2:$AF$1001,0),1)&gt;=100000,INDEX($AM$1005:$BM$1005,1,MATCH(COLUMNS($AM$1006:BB1006),$AM$1006:$BM$1006,0))&gt;=100000), " ",IF(INDEX($AM$2:$BM$1001,MATCH(ROWS($AF$2:AF333),$AF$2:$AF$1001,0),MATCH(COLUMNS($AM$1006:BB1006),$AM$1006:$BM$1006,0)), HYPERLINK("#",""), HYPERLINK(CONCATENATE("#metadata!", ADDRESS(INDEX($AH$2:$AH$1001,MATCH(ROWS($AF$2:AF333),$AF$2:$AF$1001,0),0), INDEX($AM$1004:$BM$1004,1,MATCH(COLUMNS($AM$1006:BB1006),$AM$1006:$BM$1006,0)))),"Fix")))</f>
        <v xml:space="preserve"> </v>
      </c>
      <c r="R333" s="4" t="str">
        <f ca="1">IF(OR(INDEX($AG$2:$AG$1001,MATCH(ROWS($AF$2:AF333),$AF$2:$AF$1001,0),1)&gt;=100000,INDEX($AM$1005:$BM$1005,1,MATCH(COLUMNS($AM$1006:BC1006),$AM$1006:$BM$1006,0))&gt;=100000), " ",IF(INDEX($AM$2:$BM$1001,MATCH(ROWS($AF$2:AF333),$AF$2:$AF$1001,0),MATCH(COLUMNS($AM$1006:BC1006),$AM$1006:$BM$1006,0)), HYPERLINK("#",""), HYPERLINK(CONCATENATE("#metadata!", ADDRESS(INDEX($AH$2:$AH$1001,MATCH(ROWS($AF$2:AF333),$AF$2:$AF$1001,0),0), INDEX($AM$1004:$BM$1004,1,MATCH(COLUMNS($AM$1006:BC1006),$AM$1006:$BM$1006,0)))),"Fix")))</f>
        <v xml:space="preserve"> </v>
      </c>
      <c r="S333" s="4" t="str">
        <f ca="1">IF(OR(INDEX($AG$2:$AG$1001,MATCH(ROWS($AF$2:AF333),$AF$2:$AF$1001,0),1)&gt;=100000,INDEX($AM$1005:$BM$1005,1,MATCH(COLUMNS($AM$1006:BD1006),$AM$1006:$BM$1006,0))&gt;=100000), " ",IF(INDEX($AM$2:$BM$1001,MATCH(ROWS($AF$2:AF333),$AF$2:$AF$1001,0),MATCH(COLUMNS($AM$1006:BD1006),$AM$1006:$BM$1006,0)), HYPERLINK("#",""), HYPERLINK(CONCATENATE("#metadata!", ADDRESS(INDEX($AH$2:$AH$1001,MATCH(ROWS($AF$2:AF333),$AF$2:$AF$1001,0),0), INDEX($AM$1004:$BM$1004,1,MATCH(COLUMNS($AM$1006:BD1006),$AM$1006:$BM$1006,0)))),"Fix")))</f>
        <v xml:space="preserve"> </v>
      </c>
      <c r="T333" s="4" t="str">
        <f ca="1">IF(OR(INDEX($AG$2:$AG$1001,MATCH(ROWS($AF$2:AF333),$AF$2:$AF$1001,0),1)&gt;=100000,INDEX($AM$1005:$BM$1005,1,MATCH(COLUMNS($AM$1006:BE1006),$AM$1006:$BM$1006,0))&gt;=100000), " ",IF(INDEX($AM$2:$BM$1001,MATCH(ROWS($AF$2:AF333),$AF$2:$AF$1001,0),MATCH(COLUMNS($AM$1006:BE1006),$AM$1006:$BM$1006,0)), HYPERLINK("#",""), HYPERLINK(CONCATENATE("#metadata!", ADDRESS(INDEX($AH$2:$AH$1001,MATCH(ROWS($AF$2:AF333),$AF$2:$AF$1001,0),0), INDEX($AM$1004:$BM$1004,1,MATCH(COLUMNS($AM$1006:BE1006),$AM$1006:$BM$1006,0)))),"Fix")))</f>
        <v xml:space="preserve"> </v>
      </c>
      <c r="U333" s="4" t="str">
        <f ca="1">IF(OR(INDEX($AG$2:$AG$1001,MATCH(ROWS($AF$2:AF333),$AF$2:$AF$1001,0),1)&gt;=100000,INDEX($AM$1005:$BM$1005,1,MATCH(COLUMNS($AM$1006:BF1006),$AM$1006:$BM$1006,0))&gt;=100000), " ",IF(INDEX($AM$2:$BM$1001,MATCH(ROWS($AF$2:AF333),$AF$2:$AF$1001,0),MATCH(COLUMNS($AM$1006:BF1006),$AM$1006:$BM$1006,0)), HYPERLINK("#",""), HYPERLINK(CONCATENATE("#metadata!", ADDRESS(INDEX($AH$2:$AH$1001,MATCH(ROWS($AF$2:AF333),$AF$2:$AF$1001,0),0), INDEX($AM$1004:$BM$1004,1,MATCH(COLUMNS($AM$1006:BF1006),$AM$1006:$BM$1006,0)))),"Fix")))</f>
        <v xml:space="preserve"> </v>
      </c>
      <c r="V333" s="4" t="str">
        <f ca="1">IF(OR(INDEX($AG$2:$AG$1001,MATCH(ROWS($AF$2:AF333),$AF$2:$AF$1001,0),1)&gt;=100000,INDEX($AM$1005:$BM$1005,1,MATCH(COLUMNS($AM$1006:BG1006),$AM$1006:$BM$1006,0))&gt;=100000), " ",IF(INDEX($AM$2:$BM$1001,MATCH(ROWS($AF$2:AF333),$AF$2:$AF$1001,0),MATCH(COLUMNS($AM$1006:BG1006),$AM$1006:$BM$1006,0)), HYPERLINK("#",""), HYPERLINK(CONCATENATE("#metadata!", ADDRESS(INDEX($AH$2:$AH$1001,MATCH(ROWS($AF$2:AF333),$AF$2:$AF$1001,0),0), INDEX($AM$1004:$BM$1004,1,MATCH(COLUMNS($AM$1006:BG1006),$AM$1006:$BM$1006,0)))),"Fix")))</f>
        <v xml:space="preserve"> </v>
      </c>
      <c r="W333" s="4" t="str">
        <f ca="1">IF(OR(INDEX($AG$2:$AG$1001,MATCH(ROWS($AF$2:AF333),$AF$2:$AF$1001,0),1)&gt;=100000,INDEX($AM$1005:$BM$1005,1,MATCH(COLUMNS($AM$1006:BH1006),$AM$1006:$BM$1006,0))&gt;=100000), " ",IF(INDEX($AM$2:$BM$1001,MATCH(ROWS($AF$2:AF333),$AF$2:$AF$1001,0),MATCH(COLUMNS($AM$1006:BH1006),$AM$1006:$BM$1006,0)), HYPERLINK("#",""), HYPERLINK(CONCATENATE("#metadata!", ADDRESS(INDEX($AH$2:$AH$1001,MATCH(ROWS($AF$2:AF333),$AF$2:$AF$1001,0),0), INDEX($AM$1004:$BM$1004,1,MATCH(COLUMNS($AM$1006:BH1006),$AM$1006:$BM$1006,0)))),"Fix")))</f>
        <v xml:space="preserve"> </v>
      </c>
      <c r="X333" s="4" t="str">
        <f ca="1">IF(OR(INDEX($AG$2:$AG$1001,MATCH(ROWS($AF$2:AF333),$AF$2:$AF$1001,0),1)&gt;=100000,INDEX($AM$1005:$BM$1005,1,MATCH(COLUMNS($AM$1006:BI1006),$AM$1006:$BM$1006,0))&gt;=100000), " ",IF(INDEX($AM$2:$BM$1001,MATCH(ROWS($AF$2:AF333),$AF$2:$AF$1001,0),MATCH(COLUMNS($AM$1006:BI1006),$AM$1006:$BM$1006,0)), HYPERLINK("#",""), HYPERLINK(CONCATENATE("#metadata!", ADDRESS(INDEX($AH$2:$AH$1001,MATCH(ROWS($AF$2:AF333),$AF$2:$AF$1001,0),0), INDEX($AM$1004:$BM$1004,1,MATCH(COLUMNS($AM$1006:BI1006),$AM$1006:$BM$1006,0)))),"Fix")))</f>
        <v xml:space="preserve"> </v>
      </c>
      <c r="Y333" s="4" t="str">
        <f ca="1">IF(OR(INDEX($AG$2:$AG$1001,MATCH(ROWS($AF$2:AF333),$AF$2:$AF$1001,0),1)&gt;=100000,INDEX($AM$1005:$BM$1005,1,MATCH(COLUMNS($AM$1006:BJ1006),$AM$1006:$BM$1006,0))&gt;=100000), " ",IF(INDEX($AM$2:$BM$1001,MATCH(ROWS($AF$2:AF333),$AF$2:$AF$1001,0),MATCH(COLUMNS($AM$1006:BJ1006),$AM$1006:$BM$1006,0)), HYPERLINK("#",""), HYPERLINK(CONCATENATE("#metadata!", ADDRESS(INDEX($AH$2:$AH$1001,MATCH(ROWS($AF$2:AF333),$AF$2:$AF$1001,0),0), INDEX($AM$1004:$BM$1004,1,MATCH(COLUMNS($AM$1006:BJ1006),$AM$1006:$BM$1006,0)))),"Fix")))</f>
        <v xml:space="preserve"> </v>
      </c>
      <c r="Z333" s="4" t="str">
        <f ca="1">IF(OR(INDEX($AG$2:$AG$1001,MATCH(ROWS($AF$2:AF333),$AF$2:$AF$1001,0),1)&gt;=100000,INDEX($AM$1005:$BM$1005,1,MATCH(COLUMNS($AM$1006:BK1006),$AM$1006:$BM$1006,0))&gt;=100000), " ",IF(INDEX($AM$2:$BM$1001,MATCH(ROWS($AF$2:AF333),$AF$2:$AF$1001,0),MATCH(COLUMNS($AM$1006:BK1006),$AM$1006:$BM$1006,0)), HYPERLINK("#",""), HYPERLINK(CONCATENATE("#metadata!", ADDRESS(INDEX($AH$2:$AH$1001,MATCH(ROWS($AF$2:AF333),$AF$2:$AF$1001,0),0), INDEX($AM$1004:$BM$1004,1,MATCH(COLUMNS($AM$1006:BK1006),$AM$1006:$BM$1006,0)))),"Fix")))</f>
        <v xml:space="preserve"> </v>
      </c>
      <c r="AA333" s="4" t="str">
        <f ca="1">IF(OR(INDEX($AG$2:$AG$1001,MATCH(ROWS($AF$2:AF333),$AF$2:$AF$1001,0),1)&gt;=100000,INDEX($AM$1005:$BM$1005,1,MATCH(COLUMNS($AM$1006:BL1006),$AM$1006:$BM$1006,0))&gt;=100000), " ",IF(INDEX($AM$2:$BM$1001,MATCH(ROWS($AF$2:AF333),$AF$2:$AF$1001,0),MATCH(COLUMNS($AM$1006:BL1006),$AM$1006:$BM$1006,0)), HYPERLINK("#",""), HYPERLINK(CONCATENATE("#metadata!", ADDRESS(INDEX($AH$2:$AH$1001,MATCH(ROWS($AF$2:AF333),$AF$2:$AF$1001,0),0), INDEX($AM$1004:$BM$1004,1,MATCH(COLUMNS($AM$1006:BL1006),$AM$1006:$BM$1006,0)))),"Fix")))</f>
        <v xml:space="preserve"> </v>
      </c>
      <c r="AB333" s="4" t="str">
        <f ca="1">IF(OR(INDEX($AG$2:$AG$1001,MATCH(ROWS($AF$2:AF333),$AF$2:$AF$1001,0),1)&gt;=100000,INDEX($AM$1005:$BM$1005,1,MATCH(COLUMNS($AM$1006:BM1006),$AM$1006:$BM$1006,0))&gt;=100000), " ",IF(INDEX($AM$2:$BM$1001,MATCH(ROWS($AF$2:AF333),$AF$2:$AF$1001,0),MATCH(COLUMNS($AM$1006:BM1006),$AM$1006:$BM$1006,0)), HYPERLINK("#",""), HYPERLINK(CONCATENATE("#metadata!", ADDRESS(INDEX($AH$2:$AH$1001,MATCH(ROWS($AF$2:AF333),$AF$2:$AF$1001,0),0), INDEX($AM$1004:$BM$1004,1,MATCH(COLUMNS($AM$1006:BM1006),$AM$1006:$BM$1006,0)))),"Fix")))</f>
        <v xml:space="preserve"> </v>
      </c>
      <c r="AF333">
        <v>332</v>
      </c>
      <c r="AG333">
        <v>100333</v>
      </c>
      <c r="AH333">
        <v>333</v>
      </c>
      <c r="AI333" t="b">
        <f t="shared" si="5"/>
        <v>1</v>
      </c>
      <c r="AJ333" t="b">
        <f>COUNTBLANK(metadata!B333:AB333)=COLUMNS(metadata!B333:AB333)</f>
        <v>1</v>
      </c>
      <c r="AK333" t="str">
        <v/>
      </c>
      <c r="AM333" t="b">
        <f ca="1">AND(IF(metadata!B333="",FALSE,TRUE),COUNTIF(metadata!B:B, metadata!B333) = 1,NOT(ISERROR(SUMPRODUCT(SEARCH(MID(metadata!B333,ROW(INDIRECT("1:"&amp;LEN(metadata!B333))), 1),"0123456789abcdefghijklmnopqrstuvwxyzABCDEFGHIJKLMNOPQRSTUVWXYZ.")))))</f>
        <v>0</v>
      </c>
      <c r="AN333" t="b">
        <f ca="1">OR(AND(IF(metadata!C333="",FALSE,TRUE),OR(EXACT(metadata!C333,"missing: not collected"),EXACT(metadata!C333,"missing: not provided"),EXACT(metadata!C333,"missing: restricted access"))),AND(IF(metadata!C333="",FALSE,TRUE),AND(AND(IFERROR(INT(LEFT(metadata!C333,4))&gt;1900,FALSE),IFERROR(INT(LEFT(metadata!C333,4))&lt;=YEAR(NOW()),FALSE)), OR(MID(metadata!C333,5,1)="", AND(AND(MID(metadata!C333,5,1)="-",IFERROR(INT(MID(metadata!C333,6,1))&gt;=0,FALSE),IFERROR(INT(MID(metadata!C333,6,1))&lt;=1,FALSE),NOT(MID(metadata!C333,7,1)=""),IFERROR(INT(MID(metadata!C333,6,2))&gt;=1,FALSE),IFERROR(INT(MID(metadata!C333,6,2))&lt;=12,FALSE)), OR(MID(metadata!C333,8,1)="", AND(AND(MID(metadata!C333,8,1)="-",IFERROR(INT(MID(metadata!C333,9,1))&gt;=0,FALSE),IFERROR(INT(MID(metadata!C333,9,1))&lt;=3,FALSE),NOT(MID(metadata!C333,10,1)=""),IFERROR(INT(MID(metadata!C333,9,2))&gt;=1,FALSE),IFERROR(INT(MID(metadata!C333,9,2))&lt;=31,FALSE)), OR(MID(metadata!C333,11,1)="", AND(AND(MID(metadata!C333,11,1)=" ",IFERROR(INT(MID(metadata!C333,12,1))&gt;=0,FALSE),IFERROR(INT(MID(metadata!C333,12,1))&lt;=2,FALSE),NOT(MID(metadata!C333,13,1)=""),IFERROR(INT(MID(metadata!C333,12,2))&gt;=0,FALSE),IFERROR(INT(MID(metadata!C333,12,2))&lt;=23,FALSE)), OR(MID(metadata!C333,14,1)="", AND(AND(MID(metadata!C333,14,1)=":",IFERROR(INT(MID(metadata!C333,15,1))&gt;=0,FALSE),IFERROR(INT(MID(metadata!C333,15,1))&lt;=5,FALSE),NOT(MID(metadata!C333,16,1)=""),IFERROR(INT(MID(metadata!C333,15,2))&gt;=0,FALSE),IFERROR(INT(MID(metadata!C333,15,2))&lt;=59,FALSE)), OR(MID(metadata!C333,17,1)="", AND(AND(MID(metadata!C333,17,1)=":",IFERROR(INT(MID(metadata!C333,18,1))&gt;=0,FALSE),IFERROR(INT(MID(metadata!C333,18,1))&lt;=5,FALSE),NOT(MID(metadata!C333,19,1)=""),IFERROR(INT(MID(metadata!C333,18,2))&gt;=0,FALSE),IFERROR(INT(MID(metadata!C333,18,2))&lt;=59,FALSE)), LEN(metadata!C333)&lt;=19)))))))))))))</f>
        <v>0</v>
      </c>
      <c r="AO333" t="b">
        <f>AND(IF(metadata!D333="",FALSE,TRUE),EXACT(metadata!D333,"Not applicable"))</f>
        <v>0</v>
      </c>
      <c r="AP333" t="b">
        <f>IF(metadata!E333="",FALSE,TRUE)</f>
        <v>0</v>
      </c>
      <c r="AQ333" t="b">
        <f>OR(AND(IF(metadata!F333="",FALSE,TRUE),OR(EXACT(metadata!F333,"missing: not collected"),EXACT(metadata!F333,"missing: not provided"))),AND(IF(metadata!F333="",FALSE,TRUE),OR(EXACT(metadata!F333,"TRUE"),EXACT(metadata!F333,"FALSE"))))</f>
        <v>0</v>
      </c>
      <c r="AR333" t="b">
        <f>OR(AND(IF(metadata!G333="",FALSE,TRUE),OR(EXACT(metadata!G333,"missing: not collected"),EXACT(metadata!G333,"missing: not provided"),EXACT(metadata!G333,"missing: restricted access"))),AND(IF(metadata!G333="",FALSE,ISNUMBER(VALUE(metadata!G333))),metadata!G333&gt;=-413))</f>
        <v>0</v>
      </c>
      <c r="AS333" t="b">
        <f>AND(IF(metadata!H333="",FALSE,TRUE),EXACT(metadata!H333,"meters"))</f>
        <v>0</v>
      </c>
      <c r="AT333" t="b">
        <f>AND(IF(metadata!I333="",FALSE,TRUE),OR(EXACT(metadata!I333,"Host-associated"),EXACT(metadata!I333,"Free-living")))</f>
        <v>0</v>
      </c>
      <c r="AU333" t="b">
        <f>AND(IF(metadata!J333="",FALSE,TRUE),OR(EXACT(metadata!J333,"Animal"),EXACT(metadata!J333,"Fungus"),EXACT(metadata!J333,"Plant"),EXACT(metadata!J333,"Saline"),EXACT(metadata!J333,"Non-saline")))</f>
        <v>0</v>
      </c>
      <c r="AV333" t="b">
        <f>AND(IF(metadata!K333="",FALSE,TRUE),OR(EXACT(metadata!K333,"Plant secretion"),EXACT(metadata!K333,"Plant rhizosphere"),EXACT(metadata!K333,"Plant surface"),EXACT(metadata!K333,"Plant corpus"),EXACT(metadata!K333,"Fungus surface"),EXACT(metadata!K333,"Fungus corpus"),EXACT(metadata!K333,"Animal surface"),EXACT(metadata!K333,"Animal proximal gut"),EXACT(metadata!K333,"Animal corpus"),EXACT(metadata!K333,"Animal distal gut"),EXACT(metadata!K333,"Animal secretion"),EXACT(metadata!K333,"Sub-surface (non-saline)"),EXACT(metadata!K333,"Surface (non-saline)"),EXACT(metadata!K333,"Water (non-saline)"),EXACT(metadata!K333,"Soil (non-saline)"),EXACT(metadata!K333,"Aerosol (non-saline)"),EXACT(metadata!K333,"Sediment (non-saline)"),EXACT(metadata!K333,"Surface (saline)"),EXACT(metadata!K333,"Water (saline)"),EXACT(metadata!K333,"Hypersaline (saline)"),EXACT(metadata!K333,"Aerosol (saline)"),EXACT(metadata!K333,"Sediment (saline)")))</f>
        <v>0</v>
      </c>
      <c r="AW333" t="b">
        <f>IF(metadata!L333="",FALSE,TRUE)</f>
        <v>0</v>
      </c>
      <c r="AX333" t="b">
        <f>IF(metadata!M333="",FALSE,TRUE)</f>
        <v>0</v>
      </c>
      <c r="AY333" t="b">
        <f>IF(metadata!N333="",FALSE,TRUE)</f>
        <v>0</v>
      </c>
      <c r="AZ333" t="b">
        <f>OR(AND(IF(metadata!O333="",FALSE,TRUE),OR(EXACT(metadata!O333,"missing: not collected"),EXACT(metadata!O333,"missing: not provided"),EXACT(metadata!O333,"missing: restricted access"))),AND(IF(metadata!O333="",FALSE,TRUE),OR(EXACT(metadata!O333,"air"),EXACT(metadata!O333,"built environment"),EXACT(metadata!O333,"host-associated"),EXACT(metadata!O333,"human-associated"),EXACT(metadata!O333,"human-skin"),EXACT(metadata!O333,"human-oral"),EXACT(metadata!O333,"human-gut"),EXACT(metadata!O333,"human-vaginal"),EXACT(metadata!O333,"microbial mat/biofilm"),EXACT(metadata!O333,"misc environment"),EXACT(metadata!O333,"plant-associated"),EXACT(metadata!O333,"sediment"),EXACT(metadata!O333,"soil"),EXACT(metadata!O333,"wastewater/sludge"),EXACT(metadata!O333,"water"))))</f>
        <v>0</v>
      </c>
      <c r="BA333" t="b">
        <f>IF(metadata!P333="",FALSE,TRUE)</f>
        <v>0</v>
      </c>
      <c r="BB333" t="b">
        <f>IF(metadata!Q333="",FALSE,TRUE)</f>
        <v>0</v>
      </c>
      <c r="BC333" t="b">
        <f>OR(AND(IF(metadata!R333="",FALSE,TRUE),OR(EXACT(metadata!R333,"missing: not collected"),EXACT(metadata!R333,"missing: not provided"),EXACT(metadata!R333,"missing: restricted access"))),AND(IF(metadata!R333="",FALSE,ISNUMBER(VALUE(metadata!R333))),metadata!R333&gt;=-90,metadata!R333&lt;=90))</f>
        <v>0</v>
      </c>
      <c r="BD333" t="b">
        <f>AND(IF(metadata!S333="",FALSE,TRUE),EXACT(metadata!S333,"Decimal degrees"))</f>
        <v>0</v>
      </c>
      <c r="BE333" t="b">
        <f>OR(AND(IF(metadata!T333="",FALSE,TRUE),OR(EXACT(metadata!T333,"missing: not collected"),EXACT(metadata!T333,"missing: not provided"),EXACT(metadata!T333,"missing: restricted access"))),AND(IF(metadata!T333="",FALSE,ISNUMBER(VALUE(metadata!T333))),metadata!T333&gt;=-180,metadata!T333&lt;=180))</f>
        <v>0</v>
      </c>
      <c r="BF333" t="b">
        <f>AND(IF(metadata!U333="",FALSE,TRUE),EXACT(metadata!U333,"Decimal degrees"))</f>
        <v>0</v>
      </c>
      <c r="BG333" t="b">
        <f>IF(metadata!V333="",FALSE,TRUE)</f>
        <v>0</v>
      </c>
      <c r="BH333" t="b">
        <f>OR(AND(IF(metadata!W333="",FALSE,TRUE),OR(EXACT(metadata!W333,"missing: not collected"),EXACT(metadata!W333,"missing: not provided"),EXACT(metadata!W333,"missing: restricted access"))),AND(IF(metadata!W333="",FALSE,TRUE),OR(EXACT(metadata!W333,"TRUE"),EXACT(metadata!W333,"FALSE"))))</f>
        <v>0</v>
      </c>
      <c r="BI333" t="b">
        <f>AND(IF(metadata!X333="",FALSE,TRUE),EXACT(metadata!X333,"other"))</f>
        <v>0</v>
      </c>
      <c r="BJ333" t="b">
        <f>IF(metadata!Y333="",FALSE,TRUE)</f>
        <v>0</v>
      </c>
      <c r="BK333" t="b">
        <f>OR(AND(IF(metadata!Z333="",FALSE,TRUE),OR(EXACT(metadata!Z333,"missing: not collected"),EXACT(metadata!Z333,"missing: not provided"))),AND(IF(metadata!Z333="",FALSE,IF(ISERROR(INT(metadata!Z333)),FALSE,INT(metadata!Z333)=metadata!Z333)),metadata!Z333&gt;0))</f>
        <v>0</v>
      </c>
      <c r="BL333" t="b">
        <f>AND(IF(metadata!AA333="",FALSE,TRUE),EXACT(metadata!AA333,"Not applicable"))</f>
        <v>0</v>
      </c>
      <c r="BM333" t="b">
        <f>IF(metadata!AB333="",FALSE,TRUE)</f>
        <v>0</v>
      </c>
    </row>
    <row r="334" spans="1:65" x14ac:dyDescent="0.2">
      <c r="A334" s="5" t="str">
        <f ca="1">IF(B334=" "," ",HYPERLINK(CONCATENATE("#metadata!",ADDRESS(INDEX($AH$2:$AH$1001,MATCH(ROWS($AF$2:AF334),$AF$2:$AF$1001,0),0),1)),INDEX($AK$2:$AK$1001,MATCH(ROWS($AF$2:AF334),$AF$2:$AF$1001,0),0)))</f>
        <v xml:space="preserve"> </v>
      </c>
      <c r="B334" s="4" t="str">
        <f ca="1">IF(OR(INDEX($AG$2:$AG$1001,MATCH(ROWS($AF$2:AF334),$AF$2:$AF$1001,0),1)&gt;=100000,INDEX($AM$1005:$BM$1005,1,MATCH(COLUMNS($AM$1006:AM1006),$AM$1006:$BM$1006,0))&gt;=100000), " ",IF(INDEX($AM$2:$BM$1001,MATCH(ROWS($AF$2:AF334),$AF$2:$AF$1001,0),MATCH(COLUMNS($AM$1006:AM1006),$AM$1006:$BM$1006,0)), HYPERLINK("#",""), HYPERLINK(CONCATENATE("#metadata!", ADDRESS(INDEX($AH$2:$AH$1001,MATCH(ROWS($AF$2:AF334),$AF$2:$AF$1001,0),0), INDEX($AM$1004:$BM$1004,1,MATCH(COLUMNS($AM$1006:AM1006),$AM$1006:$BM$1006,0)))),"Fix")))</f>
        <v xml:space="preserve"> </v>
      </c>
      <c r="C334" s="4" t="str">
        <f ca="1">IF(OR(INDEX($AG$2:$AG$1001,MATCH(ROWS($AF$2:AF334),$AF$2:$AF$1001,0),1)&gt;=100000,INDEX($AM$1005:$BM$1005,1,MATCH(COLUMNS($AM$1006:AN1006),$AM$1006:$BM$1006,0))&gt;=100000), " ",IF(INDEX($AM$2:$BM$1001,MATCH(ROWS($AF$2:AF334),$AF$2:$AF$1001,0),MATCH(COLUMNS($AM$1006:AN1006),$AM$1006:$BM$1006,0)), HYPERLINK("#",""), HYPERLINK(CONCATENATE("#metadata!", ADDRESS(INDEX($AH$2:$AH$1001,MATCH(ROWS($AF$2:AF334),$AF$2:$AF$1001,0),0), INDEX($AM$1004:$BM$1004,1,MATCH(COLUMNS($AM$1006:AN1006),$AM$1006:$BM$1006,0)))),"Fix")))</f>
        <v xml:space="preserve"> </v>
      </c>
      <c r="D334" s="4" t="str">
        <f ca="1">IF(OR(INDEX($AG$2:$AG$1001,MATCH(ROWS($AF$2:AF334),$AF$2:$AF$1001,0),1)&gt;=100000,INDEX($AM$1005:$BM$1005,1,MATCH(COLUMNS($AM$1006:AO1006),$AM$1006:$BM$1006,0))&gt;=100000), " ",IF(INDEX($AM$2:$BM$1001,MATCH(ROWS($AF$2:AF334),$AF$2:$AF$1001,0),MATCH(COLUMNS($AM$1006:AO1006),$AM$1006:$BM$1006,0)), HYPERLINK("#",""), HYPERLINK(CONCATENATE("#metadata!", ADDRESS(INDEX($AH$2:$AH$1001,MATCH(ROWS($AF$2:AF334),$AF$2:$AF$1001,0),0), INDEX($AM$1004:$BM$1004,1,MATCH(COLUMNS($AM$1006:AO1006),$AM$1006:$BM$1006,0)))),"Fix")))</f>
        <v xml:space="preserve"> </v>
      </c>
      <c r="E334" s="4" t="str">
        <f ca="1">IF(OR(INDEX($AG$2:$AG$1001,MATCH(ROWS($AF$2:AF334),$AF$2:$AF$1001,0),1)&gt;=100000,INDEX($AM$1005:$BM$1005,1,MATCH(COLUMNS($AM$1006:AP1006),$AM$1006:$BM$1006,0))&gt;=100000), " ",IF(INDEX($AM$2:$BM$1001,MATCH(ROWS($AF$2:AF334),$AF$2:$AF$1001,0),MATCH(COLUMNS($AM$1006:AP1006),$AM$1006:$BM$1006,0)), HYPERLINK("#",""), HYPERLINK(CONCATENATE("#metadata!", ADDRESS(INDEX($AH$2:$AH$1001,MATCH(ROWS($AF$2:AF334),$AF$2:$AF$1001,0),0), INDEX($AM$1004:$BM$1004,1,MATCH(COLUMNS($AM$1006:AP1006),$AM$1006:$BM$1006,0)))),"Fix")))</f>
        <v xml:space="preserve"> </v>
      </c>
      <c r="F334" s="4" t="str">
        <f ca="1">IF(OR(INDEX($AG$2:$AG$1001,MATCH(ROWS($AF$2:AF334),$AF$2:$AF$1001,0),1)&gt;=100000,INDEX($AM$1005:$BM$1005,1,MATCH(COLUMNS($AM$1006:AQ1006),$AM$1006:$BM$1006,0))&gt;=100000), " ",IF(INDEX($AM$2:$BM$1001,MATCH(ROWS($AF$2:AF334),$AF$2:$AF$1001,0),MATCH(COLUMNS($AM$1006:AQ1006),$AM$1006:$BM$1006,0)), HYPERLINK("#",""), HYPERLINK(CONCATENATE("#metadata!", ADDRESS(INDEX($AH$2:$AH$1001,MATCH(ROWS($AF$2:AF334),$AF$2:$AF$1001,0),0), INDEX($AM$1004:$BM$1004,1,MATCH(COLUMNS($AM$1006:AQ1006),$AM$1006:$BM$1006,0)))),"Fix")))</f>
        <v xml:space="preserve"> </v>
      </c>
      <c r="G334" s="4" t="str">
        <f ca="1">IF(OR(INDEX($AG$2:$AG$1001,MATCH(ROWS($AF$2:AF334),$AF$2:$AF$1001,0),1)&gt;=100000,INDEX($AM$1005:$BM$1005,1,MATCH(COLUMNS($AM$1006:AR1006),$AM$1006:$BM$1006,0))&gt;=100000), " ",IF(INDEX($AM$2:$BM$1001,MATCH(ROWS($AF$2:AF334),$AF$2:$AF$1001,0),MATCH(COLUMNS($AM$1006:AR1006),$AM$1006:$BM$1006,0)), HYPERLINK("#",""), HYPERLINK(CONCATENATE("#metadata!", ADDRESS(INDEX($AH$2:$AH$1001,MATCH(ROWS($AF$2:AF334),$AF$2:$AF$1001,0),0), INDEX($AM$1004:$BM$1004,1,MATCH(COLUMNS($AM$1006:AR1006),$AM$1006:$BM$1006,0)))),"Fix")))</f>
        <v xml:space="preserve"> </v>
      </c>
      <c r="H334" s="4" t="str">
        <f ca="1">IF(OR(INDEX($AG$2:$AG$1001,MATCH(ROWS($AF$2:AF334),$AF$2:$AF$1001,0),1)&gt;=100000,INDEX($AM$1005:$BM$1005,1,MATCH(COLUMNS($AM$1006:AS1006),$AM$1006:$BM$1006,0))&gt;=100000), " ",IF(INDEX($AM$2:$BM$1001,MATCH(ROWS($AF$2:AF334),$AF$2:$AF$1001,0),MATCH(COLUMNS($AM$1006:AS1006),$AM$1006:$BM$1006,0)), HYPERLINK("#",""), HYPERLINK(CONCATENATE("#metadata!", ADDRESS(INDEX($AH$2:$AH$1001,MATCH(ROWS($AF$2:AF334),$AF$2:$AF$1001,0),0), INDEX($AM$1004:$BM$1004,1,MATCH(COLUMNS($AM$1006:AS1006),$AM$1006:$BM$1006,0)))),"Fix")))</f>
        <v xml:space="preserve"> </v>
      </c>
      <c r="I334" s="4" t="str">
        <f ca="1">IF(OR(INDEX($AG$2:$AG$1001,MATCH(ROWS($AF$2:AF334),$AF$2:$AF$1001,0),1)&gt;=100000,INDEX($AM$1005:$BM$1005,1,MATCH(COLUMNS($AM$1006:AT1006),$AM$1006:$BM$1006,0))&gt;=100000), " ",IF(INDEX($AM$2:$BM$1001,MATCH(ROWS($AF$2:AF334),$AF$2:$AF$1001,0),MATCH(COLUMNS($AM$1006:AT1006),$AM$1006:$BM$1006,0)), HYPERLINK("#",""), HYPERLINK(CONCATENATE("#metadata!", ADDRESS(INDEX($AH$2:$AH$1001,MATCH(ROWS($AF$2:AF334),$AF$2:$AF$1001,0),0), INDEX($AM$1004:$BM$1004,1,MATCH(COLUMNS($AM$1006:AT1006),$AM$1006:$BM$1006,0)))),"Fix")))</f>
        <v xml:space="preserve"> </v>
      </c>
      <c r="J334" s="4" t="str">
        <f ca="1">IF(OR(INDEX($AG$2:$AG$1001,MATCH(ROWS($AF$2:AF334),$AF$2:$AF$1001,0),1)&gt;=100000,INDEX($AM$1005:$BM$1005,1,MATCH(COLUMNS($AM$1006:AU1006),$AM$1006:$BM$1006,0))&gt;=100000), " ",IF(INDEX($AM$2:$BM$1001,MATCH(ROWS($AF$2:AF334),$AF$2:$AF$1001,0),MATCH(COLUMNS($AM$1006:AU1006),$AM$1006:$BM$1006,0)), HYPERLINK("#",""), HYPERLINK(CONCATENATE("#metadata!", ADDRESS(INDEX($AH$2:$AH$1001,MATCH(ROWS($AF$2:AF334),$AF$2:$AF$1001,0),0), INDEX($AM$1004:$BM$1004,1,MATCH(COLUMNS($AM$1006:AU1006),$AM$1006:$BM$1006,0)))),"Fix")))</f>
        <v xml:space="preserve"> </v>
      </c>
      <c r="K334" s="4" t="str">
        <f ca="1">IF(OR(INDEX($AG$2:$AG$1001,MATCH(ROWS($AF$2:AF334),$AF$2:$AF$1001,0),1)&gt;=100000,INDEX($AM$1005:$BM$1005,1,MATCH(COLUMNS($AM$1006:AV1006),$AM$1006:$BM$1006,0))&gt;=100000), " ",IF(INDEX($AM$2:$BM$1001,MATCH(ROWS($AF$2:AF334),$AF$2:$AF$1001,0),MATCH(COLUMNS($AM$1006:AV1006),$AM$1006:$BM$1006,0)), HYPERLINK("#",""), HYPERLINK(CONCATENATE("#metadata!", ADDRESS(INDEX($AH$2:$AH$1001,MATCH(ROWS($AF$2:AF334),$AF$2:$AF$1001,0),0), INDEX($AM$1004:$BM$1004,1,MATCH(COLUMNS($AM$1006:AV1006),$AM$1006:$BM$1006,0)))),"Fix")))</f>
        <v xml:space="preserve"> </v>
      </c>
      <c r="L334" s="4" t="str">
        <f ca="1">IF(OR(INDEX($AG$2:$AG$1001,MATCH(ROWS($AF$2:AF334),$AF$2:$AF$1001,0),1)&gt;=100000,INDEX($AM$1005:$BM$1005,1,MATCH(COLUMNS($AM$1006:AW1006),$AM$1006:$BM$1006,0))&gt;=100000), " ",IF(INDEX($AM$2:$BM$1001,MATCH(ROWS($AF$2:AF334),$AF$2:$AF$1001,0),MATCH(COLUMNS($AM$1006:AW1006),$AM$1006:$BM$1006,0)), HYPERLINK("#",""), HYPERLINK(CONCATENATE("#metadata!", ADDRESS(INDEX($AH$2:$AH$1001,MATCH(ROWS($AF$2:AF334),$AF$2:$AF$1001,0),0), INDEX($AM$1004:$BM$1004,1,MATCH(COLUMNS($AM$1006:AW1006),$AM$1006:$BM$1006,0)))),"Fix")))</f>
        <v xml:space="preserve"> </v>
      </c>
      <c r="M334" s="4" t="str">
        <f ca="1">IF(OR(INDEX($AG$2:$AG$1001,MATCH(ROWS($AF$2:AF334),$AF$2:$AF$1001,0),1)&gt;=100000,INDEX($AM$1005:$BM$1005,1,MATCH(COLUMNS($AM$1006:AX1006),$AM$1006:$BM$1006,0))&gt;=100000), " ",IF(INDEX($AM$2:$BM$1001,MATCH(ROWS($AF$2:AF334),$AF$2:$AF$1001,0),MATCH(COLUMNS($AM$1006:AX1006),$AM$1006:$BM$1006,0)), HYPERLINK("#",""), HYPERLINK(CONCATENATE("#metadata!", ADDRESS(INDEX($AH$2:$AH$1001,MATCH(ROWS($AF$2:AF334),$AF$2:$AF$1001,0),0), INDEX($AM$1004:$BM$1004,1,MATCH(COLUMNS($AM$1006:AX1006),$AM$1006:$BM$1006,0)))),"Fix")))</f>
        <v xml:space="preserve"> </v>
      </c>
      <c r="N334" s="4" t="str">
        <f ca="1">IF(OR(INDEX($AG$2:$AG$1001,MATCH(ROWS($AF$2:AF334),$AF$2:$AF$1001,0),1)&gt;=100000,INDEX($AM$1005:$BM$1005,1,MATCH(COLUMNS($AM$1006:AY1006),$AM$1006:$BM$1006,0))&gt;=100000), " ",IF(INDEX($AM$2:$BM$1001,MATCH(ROWS($AF$2:AF334),$AF$2:$AF$1001,0),MATCH(COLUMNS($AM$1006:AY1006),$AM$1006:$BM$1006,0)), HYPERLINK("#",""), HYPERLINK(CONCATENATE("#metadata!", ADDRESS(INDEX($AH$2:$AH$1001,MATCH(ROWS($AF$2:AF334),$AF$2:$AF$1001,0),0), INDEX($AM$1004:$BM$1004,1,MATCH(COLUMNS($AM$1006:AY1006),$AM$1006:$BM$1006,0)))),"Fix")))</f>
        <v xml:space="preserve"> </v>
      </c>
      <c r="O334" s="4" t="str">
        <f ca="1">IF(OR(INDEX($AG$2:$AG$1001,MATCH(ROWS($AF$2:AF334),$AF$2:$AF$1001,0),1)&gt;=100000,INDEX($AM$1005:$BM$1005,1,MATCH(COLUMNS($AM$1006:AZ1006),$AM$1006:$BM$1006,0))&gt;=100000), " ",IF(INDEX($AM$2:$BM$1001,MATCH(ROWS($AF$2:AF334),$AF$2:$AF$1001,0),MATCH(COLUMNS($AM$1006:AZ1006),$AM$1006:$BM$1006,0)), HYPERLINK("#",""), HYPERLINK(CONCATENATE("#metadata!", ADDRESS(INDEX($AH$2:$AH$1001,MATCH(ROWS($AF$2:AF334),$AF$2:$AF$1001,0),0), INDEX($AM$1004:$BM$1004,1,MATCH(COLUMNS($AM$1006:AZ1006),$AM$1006:$BM$1006,0)))),"Fix")))</f>
        <v xml:space="preserve"> </v>
      </c>
      <c r="P334" s="4" t="str">
        <f ca="1">IF(OR(INDEX($AG$2:$AG$1001,MATCH(ROWS($AF$2:AF334),$AF$2:$AF$1001,0),1)&gt;=100000,INDEX($AM$1005:$BM$1005,1,MATCH(COLUMNS($AM$1006:BA1006),$AM$1006:$BM$1006,0))&gt;=100000), " ",IF(INDEX($AM$2:$BM$1001,MATCH(ROWS($AF$2:AF334),$AF$2:$AF$1001,0),MATCH(COLUMNS($AM$1006:BA1006),$AM$1006:$BM$1006,0)), HYPERLINK("#",""), HYPERLINK(CONCATENATE("#metadata!", ADDRESS(INDEX($AH$2:$AH$1001,MATCH(ROWS($AF$2:AF334),$AF$2:$AF$1001,0),0), INDEX($AM$1004:$BM$1004,1,MATCH(COLUMNS($AM$1006:BA1006),$AM$1006:$BM$1006,0)))),"Fix")))</f>
        <v xml:space="preserve"> </v>
      </c>
      <c r="Q334" s="4" t="str">
        <f ca="1">IF(OR(INDEX($AG$2:$AG$1001,MATCH(ROWS($AF$2:AF334),$AF$2:$AF$1001,0),1)&gt;=100000,INDEX($AM$1005:$BM$1005,1,MATCH(COLUMNS($AM$1006:BB1006),$AM$1006:$BM$1006,0))&gt;=100000), " ",IF(INDEX($AM$2:$BM$1001,MATCH(ROWS($AF$2:AF334),$AF$2:$AF$1001,0),MATCH(COLUMNS($AM$1006:BB1006),$AM$1006:$BM$1006,0)), HYPERLINK("#",""), HYPERLINK(CONCATENATE("#metadata!", ADDRESS(INDEX($AH$2:$AH$1001,MATCH(ROWS($AF$2:AF334),$AF$2:$AF$1001,0),0), INDEX($AM$1004:$BM$1004,1,MATCH(COLUMNS($AM$1006:BB1006),$AM$1006:$BM$1006,0)))),"Fix")))</f>
        <v xml:space="preserve"> </v>
      </c>
      <c r="R334" s="4" t="str">
        <f ca="1">IF(OR(INDEX($AG$2:$AG$1001,MATCH(ROWS($AF$2:AF334),$AF$2:$AF$1001,0),1)&gt;=100000,INDEX($AM$1005:$BM$1005,1,MATCH(COLUMNS($AM$1006:BC1006),$AM$1006:$BM$1006,0))&gt;=100000), " ",IF(INDEX($AM$2:$BM$1001,MATCH(ROWS($AF$2:AF334),$AF$2:$AF$1001,0),MATCH(COLUMNS($AM$1006:BC1006),$AM$1006:$BM$1006,0)), HYPERLINK("#",""), HYPERLINK(CONCATENATE("#metadata!", ADDRESS(INDEX($AH$2:$AH$1001,MATCH(ROWS($AF$2:AF334),$AF$2:$AF$1001,0),0), INDEX($AM$1004:$BM$1004,1,MATCH(COLUMNS($AM$1006:BC1006),$AM$1006:$BM$1006,0)))),"Fix")))</f>
        <v xml:space="preserve"> </v>
      </c>
      <c r="S334" s="4" t="str">
        <f ca="1">IF(OR(INDEX($AG$2:$AG$1001,MATCH(ROWS($AF$2:AF334),$AF$2:$AF$1001,0),1)&gt;=100000,INDEX($AM$1005:$BM$1005,1,MATCH(COLUMNS($AM$1006:BD1006),$AM$1006:$BM$1006,0))&gt;=100000), " ",IF(INDEX($AM$2:$BM$1001,MATCH(ROWS($AF$2:AF334),$AF$2:$AF$1001,0),MATCH(COLUMNS($AM$1006:BD1006),$AM$1006:$BM$1006,0)), HYPERLINK("#",""), HYPERLINK(CONCATENATE("#metadata!", ADDRESS(INDEX($AH$2:$AH$1001,MATCH(ROWS($AF$2:AF334),$AF$2:$AF$1001,0),0), INDEX($AM$1004:$BM$1004,1,MATCH(COLUMNS($AM$1006:BD1006),$AM$1006:$BM$1006,0)))),"Fix")))</f>
        <v xml:space="preserve"> </v>
      </c>
      <c r="T334" s="4" t="str">
        <f ca="1">IF(OR(INDEX($AG$2:$AG$1001,MATCH(ROWS($AF$2:AF334),$AF$2:$AF$1001,0),1)&gt;=100000,INDEX($AM$1005:$BM$1005,1,MATCH(COLUMNS($AM$1006:BE1006),$AM$1006:$BM$1006,0))&gt;=100000), " ",IF(INDEX($AM$2:$BM$1001,MATCH(ROWS($AF$2:AF334),$AF$2:$AF$1001,0),MATCH(COLUMNS($AM$1006:BE1006),$AM$1006:$BM$1006,0)), HYPERLINK("#",""), HYPERLINK(CONCATENATE("#metadata!", ADDRESS(INDEX($AH$2:$AH$1001,MATCH(ROWS($AF$2:AF334),$AF$2:$AF$1001,0),0), INDEX($AM$1004:$BM$1004,1,MATCH(COLUMNS($AM$1006:BE1006),$AM$1006:$BM$1006,0)))),"Fix")))</f>
        <v xml:space="preserve"> </v>
      </c>
      <c r="U334" s="4" t="str">
        <f ca="1">IF(OR(INDEX($AG$2:$AG$1001,MATCH(ROWS($AF$2:AF334),$AF$2:$AF$1001,0),1)&gt;=100000,INDEX($AM$1005:$BM$1005,1,MATCH(COLUMNS($AM$1006:BF1006),$AM$1006:$BM$1006,0))&gt;=100000), " ",IF(INDEX($AM$2:$BM$1001,MATCH(ROWS($AF$2:AF334),$AF$2:$AF$1001,0),MATCH(COLUMNS($AM$1006:BF1006),$AM$1006:$BM$1006,0)), HYPERLINK("#",""), HYPERLINK(CONCATENATE("#metadata!", ADDRESS(INDEX($AH$2:$AH$1001,MATCH(ROWS($AF$2:AF334),$AF$2:$AF$1001,0),0), INDEX($AM$1004:$BM$1004,1,MATCH(COLUMNS($AM$1006:BF1006),$AM$1006:$BM$1006,0)))),"Fix")))</f>
        <v xml:space="preserve"> </v>
      </c>
      <c r="V334" s="4" t="str">
        <f ca="1">IF(OR(INDEX($AG$2:$AG$1001,MATCH(ROWS($AF$2:AF334),$AF$2:$AF$1001,0),1)&gt;=100000,INDEX($AM$1005:$BM$1005,1,MATCH(COLUMNS($AM$1006:BG1006),$AM$1006:$BM$1006,0))&gt;=100000), " ",IF(INDEX($AM$2:$BM$1001,MATCH(ROWS($AF$2:AF334),$AF$2:$AF$1001,0),MATCH(COLUMNS($AM$1006:BG1006),$AM$1006:$BM$1006,0)), HYPERLINK("#",""), HYPERLINK(CONCATENATE("#metadata!", ADDRESS(INDEX($AH$2:$AH$1001,MATCH(ROWS($AF$2:AF334),$AF$2:$AF$1001,0),0), INDEX($AM$1004:$BM$1004,1,MATCH(COLUMNS($AM$1006:BG1006),$AM$1006:$BM$1006,0)))),"Fix")))</f>
        <v xml:space="preserve"> </v>
      </c>
      <c r="W334" s="4" t="str">
        <f ca="1">IF(OR(INDEX($AG$2:$AG$1001,MATCH(ROWS($AF$2:AF334),$AF$2:$AF$1001,0),1)&gt;=100000,INDEX($AM$1005:$BM$1005,1,MATCH(COLUMNS($AM$1006:BH1006),$AM$1006:$BM$1006,0))&gt;=100000), " ",IF(INDEX($AM$2:$BM$1001,MATCH(ROWS($AF$2:AF334),$AF$2:$AF$1001,0),MATCH(COLUMNS($AM$1006:BH1006),$AM$1006:$BM$1006,0)), HYPERLINK("#",""), HYPERLINK(CONCATENATE("#metadata!", ADDRESS(INDEX($AH$2:$AH$1001,MATCH(ROWS($AF$2:AF334),$AF$2:$AF$1001,0),0), INDEX($AM$1004:$BM$1004,1,MATCH(COLUMNS($AM$1006:BH1006),$AM$1006:$BM$1006,0)))),"Fix")))</f>
        <v xml:space="preserve"> </v>
      </c>
      <c r="X334" s="4" t="str">
        <f ca="1">IF(OR(INDEX($AG$2:$AG$1001,MATCH(ROWS($AF$2:AF334),$AF$2:$AF$1001,0),1)&gt;=100000,INDEX($AM$1005:$BM$1005,1,MATCH(COLUMNS($AM$1006:BI1006),$AM$1006:$BM$1006,0))&gt;=100000), " ",IF(INDEX($AM$2:$BM$1001,MATCH(ROWS($AF$2:AF334),$AF$2:$AF$1001,0),MATCH(COLUMNS($AM$1006:BI1006),$AM$1006:$BM$1006,0)), HYPERLINK("#",""), HYPERLINK(CONCATENATE("#metadata!", ADDRESS(INDEX($AH$2:$AH$1001,MATCH(ROWS($AF$2:AF334),$AF$2:$AF$1001,0),0), INDEX($AM$1004:$BM$1004,1,MATCH(COLUMNS($AM$1006:BI1006),$AM$1006:$BM$1006,0)))),"Fix")))</f>
        <v xml:space="preserve"> </v>
      </c>
      <c r="Y334" s="4" t="str">
        <f ca="1">IF(OR(INDEX($AG$2:$AG$1001,MATCH(ROWS($AF$2:AF334),$AF$2:$AF$1001,0),1)&gt;=100000,INDEX($AM$1005:$BM$1005,1,MATCH(COLUMNS($AM$1006:BJ1006),$AM$1006:$BM$1006,0))&gt;=100000), " ",IF(INDEX($AM$2:$BM$1001,MATCH(ROWS($AF$2:AF334),$AF$2:$AF$1001,0),MATCH(COLUMNS($AM$1006:BJ1006),$AM$1006:$BM$1006,0)), HYPERLINK("#",""), HYPERLINK(CONCATENATE("#metadata!", ADDRESS(INDEX($AH$2:$AH$1001,MATCH(ROWS($AF$2:AF334),$AF$2:$AF$1001,0),0), INDEX($AM$1004:$BM$1004,1,MATCH(COLUMNS($AM$1006:BJ1006),$AM$1006:$BM$1006,0)))),"Fix")))</f>
        <v xml:space="preserve"> </v>
      </c>
      <c r="Z334" s="4" t="str">
        <f ca="1">IF(OR(INDEX($AG$2:$AG$1001,MATCH(ROWS($AF$2:AF334),$AF$2:$AF$1001,0),1)&gt;=100000,INDEX($AM$1005:$BM$1005,1,MATCH(COLUMNS($AM$1006:BK1006),$AM$1006:$BM$1006,0))&gt;=100000), " ",IF(INDEX($AM$2:$BM$1001,MATCH(ROWS($AF$2:AF334),$AF$2:$AF$1001,0),MATCH(COLUMNS($AM$1006:BK1006),$AM$1006:$BM$1006,0)), HYPERLINK("#",""), HYPERLINK(CONCATENATE("#metadata!", ADDRESS(INDEX($AH$2:$AH$1001,MATCH(ROWS($AF$2:AF334),$AF$2:$AF$1001,0),0), INDEX($AM$1004:$BM$1004,1,MATCH(COLUMNS($AM$1006:BK1006),$AM$1006:$BM$1006,0)))),"Fix")))</f>
        <v xml:space="preserve"> </v>
      </c>
      <c r="AA334" s="4" t="str">
        <f ca="1">IF(OR(INDEX($AG$2:$AG$1001,MATCH(ROWS($AF$2:AF334),$AF$2:$AF$1001,0),1)&gt;=100000,INDEX($AM$1005:$BM$1005,1,MATCH(COLUMNS($AM$1006:BL1006),$AM$1006:$BM$1006,0))&gt;=100000), " ",IF(INDEX($AM$2:$BM$1001,MATCH(ROWS($AF$2:AF334),$AF$2:$AF$1001,0),MATCH(COLUMNS($AM$1006:BL1006),$AM$1006:$BM$1006,0)), HYPERLINK("#",""), HYPERLINK(CONCATENATE("#metadata!", ADDRESS(INDEX($AH$2:$AH$1001,MATCH(ROWS($AF$2:AF334),$AF$2:$AF$1001,0),0), INDEX($AM$1004:$BM$1004,1,MATCH(COLUMNS($AM$1006:BL1006),$AM$1006:$BM$1006,0)))),"Fix")))</f>
        <v xml:space="preserve"> </v>
      </c>
      <c r="AB334" s="4" t="str">
        <f ca="1">IF(OR(INDEX($AG$2:$AG$1001,MATCH(ROWS($AF$2:AF334),$AF$2:$AF$1001,0),1)&gt;=100000,INDEX($AM$1005:$BM$1005,1,MATCH(COLUMNS($AM$1006:BM1006),$AM$1006:$BM$1006,0))&gt;=100000), " ",IF(INDEX($AM$2:$BM$1001,MATCH(ROWS($AF$2:AF334),$AF$2:$AF$1001,0),MATCH(COLUMNS($AM$1006:BM1006),$AM$1006:$BM$1006,0)), HYPERLINK("#",""), HYPERLINK(CONCATENATE("#metadata!", ADDRESS(INDEX($AH$2:$AH$1001,MATCH(ROWS($AF$2:AF334),$AF$2:$AF$1001,0),0), INDEX($AM$1004:$BM$1004,1,MATCH(COLUMNS($AM$1006:BM1006),$AM$1006:$BM$1006,0)))),"Fix")))</f>
        <v xml:space="preserve"> </v>
      </c>
      <c r="AF334">
        <v>333</v>
      </c>
      <c r="AG334">
        <v>100334</v>
      </c>
      <c r="AH334">
        <v>334</v>
      </c>
      <c r="AI334" t="b">
        <f t="shared" si="5"/>
        <v>1</v>
      </c>
      <c r="AJ334" t="b">
        <f>COUNTBLANK(metadata!B334:AB334)=COLUMNS(metadata!B334:AB334)</f>
        <v>1</v>
      </c>
      <c r="AK334" t="str">
        <v/>
      </c>
      <c r="AM334" t="b">
        <f ca="1">AND(IF(metadata!B334="",FALSE,TRUE),COUNTIF(metadata!B:B, metadata!B334) = 1,NOT(ISERROR(SUMPRODUCT(SEARCH(MID(metadata!B334,ROW(INDIRECT("1:"&amp;LEN(metadata!B334))), 1),"0123456789abcdefghijklmnopqrstuvwxyzABCDEFGHIJKLMNOPQRSTUVWXYZ.")))))</f>
        <v>0</v>
      </c>
      <c r="AN334" t="b">
        <f ca="1">OR(AND(IF(metadata!C334="",FALSE,TRUE),OR(EXACT(metadata!C334,"missing: not collected"),EXACT(metadata!C334,"missing: not provided"),EXACT(metadata!C334,"missing: restricted access"))),AND(IF(metadata!C334="",FALSE,TRUE),AND(AND(IFERROR(INT(LEFT(metadata!C334,4))&gt;1900,FALSE),IFERROR(INT(LEFT(metadata!C334,4))&lt;=YEAR(NOW()),FALSE)), OR(MID(metadata!C334,5,1)="", AND(AND(MID(metadata!C334,5,1)="-",IFERROR(INT(MID(metadata!C334,6,1))&gt;=0,FALSE),IFERROR(INT(MID(metadata!C334,6,1))&lt;=1,FALSE),NOT(MID(metadata!C334,7,1)=""),IFERROR(INT(MID(metadata!C334,6,2))&gt;=1,FALSE),IFERROR(INT(MID(metadata!C334,6,2))&lt;=12,FALSE)), OR(MID(metadata!C334,8,1)="", AND(AND(MID(metadata!C334,8,1)="-",IFERROR(INT(MID(metadata!C334,9,1))&gt;=0,FALSE),IFERROR(INT(MID(metadata!C334,9,1))&lt;=3,FALSE),NOT(MID(metadata!C334,10,1)=""),IFERROR(INT(MID(metadata!C334,9,2))&gt;=1,FALSE),IFERROR(INT(MID(metadata!C334,9,2))&lt;=31,FALSE)), OR(MID(metadata!C334,11,1)="", AND(AND(MID(metadata!C334,11,1)=" ",IFERROR(INT(MID(metadata!C334,12,1))&gt;=0,FALSE),IFERROR(INT(MID(metadata!C334,12,1))&lt;=2,FALSE),NOT(MID(metadata!C334,13,1)=""),IFERROR(INT(MID(metadata!C334,12,2))&gt;=0,FALSE),IFERROR(INT(MID(metadata!C334,12,2))&lt;=23,FALSE)), OR(MID(metadata!C334,14,1)="", AND(AND(MID(metadata!C334,14,1)=":",IFERROR(INT(MID(metadata!C334,15,1))&gt;=0,FALSE),IFERROR(INT(MID(metadata!C334,15,1))&lt;=5,FALSE),NOT(MID(metadata!C334,16,1)=""),IFERROR(INT(MID(metadata!C334,15,2))&gt;=0,FALSE),IFERROR(INT(MID(metadata!C334,15,2))&lt;=59,FALSE)), OR(MID(metadata!C334,17,1)="", AND(AND(MID(metadata!C334,17,1)=":",IFERROR(INT(MID(metadata!C334,18,1))&gt;=0,FALSE),IFERROR(INT(MID(metadata!C334,18,1))&lt;=5,FALSE),NOT(MID(metadata!C334,19,1)=""),IFERROR(INT(MID(metadata!C334,18,2))&gt;=0,FALSE),IFERROR(INT(MID(metadata!C334,18,2))&lt;=59,FALSE)), LEN(metadata!C334)&lt;=19)))))))))))))</f>
        <v>0</v>
      </c>
      <c r="AO334" t="b">
        <f>AND(IF(metadata!D334="",FALSE,TRUE),EXACT(metadata!D334,"Not applicable"))</f>
        <v>0</v>
      </c>
      <c r="AP334" t="b">
        <f>IF(metadata!E334="",FALSE,TRUE)</f>
        <v>0</v>
      </c>
      <c r="AQ334" t="b">
        <f>OR(AND(IF(metadata!F334="",FALSE,TRUE),OR(EXACT(metadata!F334,"missing: not collected"),EXACT(metadata!F334,"missing: not provided"))),AND(IF(metadata!F334="",FALSE,TRUE),OR(EXACT(metadata!F334,"TRUE"),EXACT(metadata!F334,"FALSE"))))</f>
        <v>0</v>
      </c>
      <c r="AR334" t="b">
        <f>OR(AND(IF(metadata!G334="",FALSE,TRUE),OR(EXACT(metadata!G334,"missing: not collected"),EXACT(metadata!G334,"missing: not provided"),EXACT(metadata!G334,"missing: restricted access"))),AND(IF(metadata!G334="",FALSE,ISNUMBER(VALUE(metadata!G334))),metadata!G334&gt;=-413))</f>
        <v>0</v>
      </c>
      <c r="AS334" t="b">
        <f>AND(IF(metadata!H334="",FALSE,TRUE),EXACT(metadata!H334,"meters"))</f>
        <v>0</v>
      </c>
      <c r="AT334" t="b">
        <f>AND(IF(metadata!I334="",FALSE,TRUE),OR(EXACT(metadata!I334,"Host-associated"),EXACT(metadata!I334,"Free-living")))</f>
        <v>0</v>
      </c>
      <c r="AU334" t="b">
        <f>AND(IF(metadata!J334="",FALSE,TRUE),OR(EXACT(metadata!J334,"Animal"),EXACT(metadata!J334,"Fungus"),EXACT(metadata!J334,"Plant"),EXACT(metadata!J334,"Saline"),EXACT(metadata!J334,"Non-saline")))</f>
        <v>0</v>
      </c>
      <c r="AV334" t="b">
        <f>AND(IF(metadata!K334="",FALSE,TRUE),OR(EXACT(metadata!K334,"Plant secretion"),EXACT(metadata!K334,"Plant rhizosphere"),EXACT(metadata!K334,"Plant surface"),EXACT(metadata!K334,"Plant corpus"),EXACT(metadata!K334,"Fungus surface"),EXACT(metadata!K334,"Fungus corpus"),EXACT(metadata!K334,"Animal surface"),EXACT(metadata!K334,"Animal proximal gut"),EXACT(metadata!K334,"Animal corpus"),EXACT(metadata!K334,"Animal distal gut"),EXACT(metadata!K334,"Animal secretion"),EXACT(metadata!K334,"Sub-surface (non-saline)"),EXACT(metadata!K334,"Surface (non-saline)"),EXACT(metadata!K334,"Water (non-saline)"),EXACT(metadata!K334,"Soil (non-saline)"),EXACT(metadata!K334,"Aerosol (non-saline)"),EXACT(metadata!K334,"Sediment (non-saline)"),EXACT(metadata!K334,"Surface (saline)"),EXACT(metadata!K334,"Water (saline)"),EXACT(metadata!K334,"Hypersaline (saline)"),EXACT(metadata!K334,"Aerosol (saline)"),EXACT(metadata!K334,"Sediment (saline)")))</f>
        <v>0</v>
      </c>
      <c r="AW334" t="b">
        <f>IF(metadata!L334="",FALSE,TRUE)</f>
        <v>0</v>
      </c>
      <c r="AX334" t="b">
        <f>IF(metadata!M334="",FALSE,TRUE)</f>
        <v>0</v>
      </c>
      <c r="AY334" t="b">
        <f>IF(metadata!N334="",FALSE,TRUE)</f>
        <v>0</v>
      </c>
      <c r="AZ334" t="b">
        <f>OR(AND(IF(metadata!O334="",FALSE,TRUE),OR(EXACT(metadata!O334,"missing: not collected"),EXACT(metadata!O334,"missing: not provided"),EXACT(metadata!O334,"missing: restricted access"))),AND(IF(metadata!O334="",FALSE,TRUE),OR(EXACT(metadata!O334,"air"),EXACT(metadata!O334,"built environment"),EXACT(metadata!O334,"host-associated"),EXACT(metadata!O334,"human-associated"),EXACT(metadata!O334,"human-skin"),EXACT(metadata!O334,"human-oral"),EXACT(metadata!O334,"human-gut"),EXACT(metadata!O334,"human-vaginal"),EXACT(metadata!O334,"microbial mat/biofilm"),EXACT(metadata!O334,"misc environment"),EXACT(metadata!O334,"plant-associated"),EXACT(metadata!O334,"sediment"),EXACT(metadata!O334,"soil"),EXACT(metadata!O334,"wastewater/sludge"),EXACT(metadata!O334,"water"))))</f>
        <v>0</v>
      </c>
      <c r="BA334" t="b">
        <f>IF(metadata!P334="",FALSE,TRUE)</f>
        <v>0</v>
      </c>
      <c r="BB334" t="b">
        <f>IF(metadata!Q334="",FALSE,TRUE)</f>
        <v>0</v>
      </c>
      <c r="BC334" t="b">
        <f>OR(AND(IF(metadata!R334="",FALSE,TRUE),OR(EXACT(metadata!R334,"missing: not collected"),EXACT(metadata!R334,"missing: not provided"),EXACT(metadata!R334,"missing: restricted access"))),AND(IF(metadata!R334="",FALSE,ISNUMBER(VALUE(metadata!R334))),metadata!R334&gt;=-90,metadata!R334&lt;=90))</f>
        <v>0</v>
      </c>
      <c r="BD334" t="b">
        <f>AND(IF(metadata!S334="",FALSE,TRUE),EXACT(metadata!S334,"Decimal degrees"))</f>
        <v>0</v>
      </c>
      <c r="BE334" t="b">
        <f>OR(AND(IF(metadata!T334="",FALSE,TRUE),OR(EXACT(metadata!T334,"missing: not collected"),EXACT(metadata!T334,"missing: not provided"),EXACT(metadata!T334,"missing: restricted access"))),AND(IF(metadata!T334="",FALSE,ISNUMBER(VALUE(metadata!T334))),metadata!T334&gt;=-180,metadata!T334&lt;=180))</f>
        <v>0</v>
      </c>
      <c r="BF334" t="b">
        <f>AND(IF(metadata!U334="",FALSE,TRUE),EXACT(metadata!U334,"Decimal degrees"))</f>
        <v>0</v>
      </c>
      <c r="BG334" t="b">
        <f>IF(metadata!V334="",FALSE,TRUE)</f>
        <v>0</v>
      </c>
      <c r="BH334" t="b">
        <f>OR(AND(IF(metadata!W334="",FALSE,TRUE),OR(EXACT(metadata!W334,"missing: not collected"),EXACT(metadata!W334,"missing: not provided"),EXACT(metadata!W334,"missing: restricted access"))),AND(IF(metadata!W334="",FALSE,TRUE),OR(EXACT(metadata!W334,"TRUE"),EXACT(metadata!W334,"FALSE"))))</f>
        <v>0</v>
      </c>
      <c r="BI334" t="b">
        <f>AND(IF(metadata!X334="",FALSE,TRUE),EXACT(metadata!X334,"other"))</f>
        <v>0</v>
      </c>
      <c r="BJ334" t="b">
        <f>IF(metadata!Y334="",FALSE,TRUE)</f>
        <v>0</v>
      </c>
      <c r="BK334" t="b">
        <f>OR(AND(IF(metadata!Z334="",FALSE,TRUE),OR(EXACT(metadata!Z334,"missing: not collected"),EXACT(metadata!Z334,"missing: not provided"))),AND(IF(metadata!Z334="",FALSE,IF(ISERROR(INT(metadata!Z334)),FALSE,INT(metadata!Z334)=metadata!Z334)),metadata!Z334&gt;0))</f>
        <v>0</v>
      </c>
      <c r="BL334" t="b">
        <f>AND(IF(metadata!AA334="",FALSE,TRUE),EXACT(metadata!AA334,"Not applicable"))</f>
        <v>0</v>
      </c>
      <c r="BM334" t="b">
        <f>IF(metadata!AB334="",FALSE,TRUE)</f>
        <v>0</v>
      </c>
    </row>
    <row r="335" spans="1:65" x14ac:dyDescent="0.2">
      <c r="A335" s="5" t="str">
        <f ca="1">IF(B335=" "," ",HYPERLINK(CONCATENATE("#metadata!",ADDRESS(INDEX($AH$2:$AH$1001,MATCH(ROWS($AF$2:AF335),$AF$2:$AF$1001,0),0),1)),INDEX($AK$2:$AK$1001,MATCH(ROWS($AF$2:AF335),$AF$2:$AF$1001,0),0)))</f>
        <v xml:space="preserve"> </v>
      </c>
      <c r="B335" s="4" t="str">
        <f ca="1">IF(OR(INDEX($AG$2:$AG$1001,MATCH(ROWS($AF$2:AF335),$AF$2:$AF$1001,0),1)&gt;=100000,INDEX($AM$1005:$BM$1005,1,MATCH(COLUMNS($AM$1006:AM1006),$AM$1006:$BM$1006,0))&gt;=100000), " ",IF(INDEX($AM$2:$BM$1001,MATCH(ROWS($AF$2:AF335),$AF$2:$AF$1001,0),MATCH(COLUMNS($AM$1006:AM1006),$AM$1006:$BM$1006,0)), HYPERLINK("#",""), HYPERLINK(CONCATENATE("#metadata!", ADDRESS(INDEX($AH$2:$AH$1001,MATCH(ROWS($AF$2:AF335),$AF$2:$AF$1001,0),0), INDEX($AM$1004:$BM$1004,1,MATCH(COLUMNS($AM$1006:AM1006),$AM$1006:$BM$1006,0)))),"Fix")))</f>
        <v xml:space="preserve"> </v>
      </c>
      <c r="C335" s="4" t="str">
        <f ca="1">IF(OR(INDEX($AG$2:$AG$1001,MATCH(ROWS($AF$2:AF335),$AF$2:$AF$1001,0),1)&gt;=100000,INDEX($AM$1005:$BM$1005,1,MATCH(COLUMNS($AM$1006:AN1006),$AM$1006:$BM$1006,0))&gt;=100000), " ",IF(INDEX($AM$2:$BM$1001,MATCH(ROWS($AF$2:AF335),$AF$2:$AF$1001,0),MATCH(COLUMNS($AM$1006:AN1006),$AM$1006:$BM$1006,0)), HYPERLINK("#",""), HYPERLINK(CONCATENATE("#metadata!", ADDRESS(INDEX($AH$2:$AH$1001,MATCH(ROWS($AF$2:AF335),$AF$2:$AF$1001,0),0), INDEX($AM$1004:$BM$1004,1,MATCH(COLUMNS($AM$1006:AN1006),$AM$1006:$BM$1006,0)))),"Fix")))</f>
        <v xml:space="preserve"> </v>
      </c>
      <c r="D335" s="4" t="str">
        <f ca="1">IF(OR(INDEX($AG$2:$AG$1001,MATCH(ROWS($AF$2:AF335),$AF$2:$AF$1001,0),1)&gt;=100000,INDEX($AM$1005:$BM$1005,1,MATCH(COLUMNS($AM$1006:AO1006),$AM$1006:$BM$1006,0))&gt;=100000), " ",IF(INDEX($AM$2:$BM$1001,MATCH(ROWS($AF$2:AF335),$AF$2:$AF$1001,0),MATCH(COLUMNS($AM$1006:AO1006),$AM$1006:$BM$1006,0)), HYPERLINK("#",""), HYPERLINK(CONCATENATE("#metadata!", ADDRESS(INDEX($AH$2:$AH$1001,MATCH(ROWS($AF$2:AF335),$AF$2:$AF$1001,0),0), INDEX($AM$1004:$BM$1004,1,MATCH(COLUMNS($AM$1006:AO1006),$AM$1006:$BM$1006,0)))),"Fix")))</f>
        <v xml:space="preserve"> </v>
      </c>
      <c r="E335" s="4" t="str">
        <f ca="1">IF(OR(INDEX($AG$2:$AG$1001,MATCH(ROWS($AF$2:AF335),$AF$2:$AF$1001,0),1)&gt;=100000,INDEX($AM$1005:$BM$1005,1,MATCH(COLUMNS($AM$1006:AP1006),$AM$1006:$BM$1006,0))&gt;=100000), " ",IF(INDEX($AM$2:$BM$1001,MATCH(ROWS($AF$2:AF335),$AF$2:$AF$1001,0),MATCH(COLUMNS($AM$1006:AP1006),$AM$1006:$BM$1006,0)), HYPERLINK("#",""), HYPERLINK(CONCATENATE("#metadata!", ADDRESS(INDEX($AH$2:$AH$1001,MATCH(ROWS($AF$2:AF335),$AF$2:$AF$1001,0),0), INDEX($AM$1004:$BM$1004,1,MATCH(COLUMNS($AM$1006:AP1006),$AM$1006:$BM$1006,0)))),"Fix")))</f>
        <v xml:space="preserve"> </v>
      </c>
      <c r="F335" s="4" t="str">
        <f ca="1">IF(OR(INDEX($AG$2:$AG$1001,MATCH(ROWS($AF$2:AF335),$AF$2:$AF$1001,0),1)&gt;=100000,INDEX($AM$1005:$BM$1005,1,MATCH(COLUMNS($AM$1006:AQ1006),$AM$1006:$BM$1006,0))&gt;=100000), " ",IF(INDEX($AM$2:$BM$1001,MATCH(ROWS($AF$2:AF335),$AF$2:$AF$1001,0),MATCH(COLUMNS($AM$1006:AQ1006),$AM$1006:$BM$1006,0)), HYPERLINK("#",""), HYPERLINK(CONCATENATE("#metadata!", ADDRESS(INDEX($AH$2:$AH$1001,MATCH(ROWS($AF$2:AF335),$AF$2:$AF$1001,0),0), INDEX($AM$1004:$BM$1004,1,MATCH(COLUMNS($AM$1006:AQ1006),$AM$1006:$BM$1006,0)))),"Fix")))</f>
        <v xml:space="preserve"> </v>
      </c>
      <c r="G335" s="4" t="str">
        <f ca="1">IF(OR(INDEX($AG$2:$AG$1001,MATCH(ROWS($AF$2:AF335),$AF$2:$AF$1001,0),1)&gt;=100000,INDEX($AM$1005:$BM$1005,1,MATCH(COLUMNS($AM$1006:AR1006),$AM$1006:$BM$1006,0))&gt;=100000), " ",IF(INDEX($AM$2:$BM$1001,MATCH(ROWS($AF$2:AF335),$AF$2:$AF$1001,0),MATCH(COLUMNS($AM$1006:AR1006),$AM$1006:$BM$1006,0)), HYPERLINK("#",""), HYPERLINK(CONCATENATE("#metadata!", ADDRESS(INDEX($AH$2:$AH$1001,MATCH(ROWS($AF$2:AF335),$AF$2:$AF$1001,0),0), INDEX($AM$1004:$BM$1004,1,MATCH(COLUMNS($AM$1006:AR1006),$AM$1006:$BM$1006,0)))),"Fix")))</f>
        <v xml:space="preserve"> </v>
      </c>
      <c r="H335" s="4" t="str">
        <f ca="1">IF(OR(INDEX($AG$2:$AG$1001,MATCH(ROWS($AF$2:AF335),$AF$2:$AF$1001,0),1)&gt;=100000,INDEX($AM$1005:$BM$1005,1,MATCH(COLUMNS($AM$1006:AS1006),$AM$1006:$BM$1006,0))&gt;=100000), " ",IF(INDEX($AM$2:$BM$1001,MATCH(ROWS($AF$2:AF335),$AF$2:$AF$1001,0),MATCH(COLUMNS($AM$1006:AS1006),$AM$1006:$BM$1006,0)), HYPERLINK("#",""), HYPERLINK(CONCATENATE("#metadata!", ADDRESS(INDEX($AH$2:$AH$1001,MATCH(ROWS($AF$2:AF335),$AF$2:$AF$1001,0),0), INDEX($AM$1004:$BM$1004,1,MATCH(COLUMNS($AM$1006:AS1006),$AM$1006:$BM$1006,0)))),"Fix")))</f>
        <v xml:space="preserve"> </v>
      </c>
      <c r="I335" s="4" t="str">
        <f ca="1">IF(OR(INDEX($AG$2:$AG$1001,MATCH(ROWS($AF$2:AF335),$AF$2:$AF$1001,0),1)&gt;=100000,INDEX($AM$1005:$BM$1005,1,MATCH(COLUMNS($AM$1006:AT1006),$AM$1006:$BM$1006,0))&gt;=100000), " ",IF(INDEX($AM$2:$BM$1001,MATCH(ROWS($AF$2:AF335),$AF$2:$AF$1001,0),MATCH(COLUMNS($AM$1006:AT1006),$AM$1006:$BM$1006,0)), HYPERLINK("#",""), HYPERLINK(CONCATENATE("#metadata!", ADDRESS(INDEX($AH$2:$AH$1001,MATCH(ROWS($AF$2:AF335),$AF$2:$AF$1001,0),0), INDEX($AM$1004:$BM$1004,1,MATCH(COLUMNS($AM$1006:AT1006),$AM$1006:$BM$1006,0)))),"Fix")))</f>
        <v xml:space="preserve"> </v>
      </c>
      <c r="J335" s="4" t="str">
        <f ca="1">IF(OR(INDEX($AG$2:$AG$1001,MATCH(ROWS($AF$2:AF335),$AF$2:$AF$1001,0),1)&gt;=100000,INDEX($AM$1005:$BM$1005,1,MATCH(COLUMNS($AM$1006:AU1006),$AM$1006:$BM$1006,0))&gt;=100000), " ",IF(INDEX($AM$2:$BM$1001,MATCH(ROWS($AF$2:AF335),$AF$2:$AF$1001,0),MATCH(COLUMNS($AM$1006:AU1006),$AM$1006:$BM$1006,0)), HYPERLINK("#",""), HYPERLINK(CONCATENATE("#metadata!", ADDRESS(INDEX($AH$2:$AH$1001,MATCH(ROWS($AF$2:AF335),$AF$2:$AF$1001,0),0), INDEX($AM$1004:$BM$1004,1,MATCH(COLUMNS($AM$1006:AU1006),$AM$1006:$BM$1006,0)))),"Fix")))</f>
        <v xml:space="preserve"> </v>
      </c>
      <c r="K335" s="4" t="str">
        <f ca="1">IF(OR(INDEX($AG$2:$AG$1001,MATCH(ROWS($AF$2:AF335),$AF$2:$AF$1001,0),1)&gt;=100000,INDEX($AM$1005:$BM$1005,1,MATCH(COLUMNS($AM$1006:AV1006),$AM$1006:$BM$1006,0))&gt;=100000), " ",IF(INDEX($AM$2:$BM$1001,MATCH(ROWS($AF$2:AF335),$AF$2:$AF$1001,0),MATCH(COLUMNS($AM$1006:AV1006),$AM$1006:$BM$1006,0)), HYPERLINK("#",""), HYPERLINK(CONCATENATE("#metadata!", ADDRESS(INDEX($AH$2:$AH$1001,MATCH(ROWS($AF$2:AF335),$AF$2:$AF$1001,0),0), INDEX($AM$1004:$BM$1004,1,MATCH(COLUMNS($AM$1006:AV1006),$AM$1006:$BM$1006,0)))),"Fix")))</f>
        <v xml:space="preserve"> </v>
      </c>
      <c r="L335" s="4" t="str">
        <f ca="1">IF(OR(INDEX($AG$2:$AG$1001,MATCH(ROWS($AF$2:AF335),$AF$2:$AF$1001,0),1)&gt;=100000,INDEX($AM$1005:$BM$1005,1,MATCH(COLUMNS($AM$1006:AW1006),$AM$1006:$BM$1006,0))&gt;=100000), " ",IF(INDEX($AM$2:$BM$1001,MATCH(ROWS($AF$2:AF335),$AF$2:$AF$1001,0),MATCH(COLUMNS($AM$1006:AW1006),$AM$1006:$BM$1006,0)), HYPERLINK("#",""), HYPERLINK(CONCATENATE("#metadata!", ADDRESS(INDEX($AH$2:$AH$1001,MATCH(ROWS($AF$2:AF335),$AF$2:$AF$1001,0),0), INDEX($AM$1004:$BM$1004,1,MATCH(COLUMNS($AM$1006:AW1006),$AM$1006:$BM$1006,0)))),"Fix")))</f>
        <v xml:space="preserve"> </v>
      </c>
      <c r="M335" s="4" t="str">
        <f ca="1">IF(OR(INDEX($AG$2:$AG$1001,MATCH(ROWS($AF$2:AF335),$AF$2:$AF$1001,0),1)&gt;=100000,INDEX($AM$1005:$BM$1005,1,MATCH(COLUMNS($AM$1006:AX1006),$AM$1006:$BM$1006,0))&gt;=100000), " ",IF(INDEX($AM$2:$BM$1001,MATCH(ROWS($AF$2:AF335),$AF$2:$AF$1001,0),MATCH(COLUMNS($AM$1006:AX1006),$AM$1006:$BM$1006,0)), HYPERLINK("#",""), HYPERLINK(CONCATENATE("#metadata!", ADDRESS(INDEX($AH$2:$AH$1001,MATCH(ROWS($AF$2:AF335),$AF$2:$AF$1001,0),0), INDEX($AM$1004:$BM$1004,1,MATCH(COLUMNS($AM$1006:AX1006),$AM$1006:$BM$1006,0)))),"Fix")))</f>
        <v xml:space="preserve"> </v>
      </c>
      <c r="N335" s="4" t="str">
        <f ca="1">IF(OR(INDEX($AG$2:$AG$1001,MATCH(ROWS($AF$2:AF335),$AF$2:$AF$1001,0),1)&gt;=100000,INDEX($AM$1005:$BM$1005,1,MATCH(COLUMNS($AM$1006:AY1006),$AM$1006:$BM$1006,0))&gt;=100000), " ",IF(INDEX($AM$2:$BM$1001,MATCH(ROWS($AF$2:AF335),$AF$2:$AF$1001,0),MATCH(COLUMNS($AM$1006:AY1006),$AM$1006:$BM$1006,0)), HYPERLINK("#",""), HYPERLINK(CONCATENATE("#metadata!", ADDRESS(INDEX($AH$2:$AH$1001,MATCH(ROWS($AF$2:AF335),$AF$2:$AF$1001,0),0), INDEX($AM$1004:$BM$1004,1,MATCH(COLUMNS($AM$1006:AY1006),$AM$1006:$BM$1006,0)))),"Fix")))</f>
        <v xml:space="preserve"> </v>
      </c>
      <c r="O335" s="4" t="str">
        <f ca="1">IF(OR(INDEX($AG$2:$AG$1001,MATCH(ROWS($AF$2:AF335),$AF$2:$AF$1001,0),1)&gt;=100000,INDEX($AM$1005:$BM$1005,1,MATCH(COLUMNS($AM$1006:AZ1006),$AM$1006:$BM$1006,0))&gt;=100000), " ",IF(INDEX($AM$2:$BM$1001,MATCH(ROWS($AF$2:AF335),$AF$2:$AF$1001,0),MATCH(COLUMNS($AM$1006:AZ1006),$AM$1006:$BM$1006,0)), HYPERLINK("#",""), HYPERLINK(CONCATENATE("#metadata!", ADDRESS(INDEX($AH$2:$AH$1001,MATCH(ROWS($AF$2:AF335),$AF$2:$AF$1001,0),0), INDEX($AM$1004:$BM$1004,1,MATCH(COLUMNS($AM$1006:AZ1006),$AM$1006:$BM$1006,0)))),"Fix")))</f>
        <v xml:space="preserve"> </v>
      </c>
      <c r="P335" s="4" t="str">
        <f ca="1">IF(OR(INDEX($AG$2:$AG$1001,MATCH(ROWS($AF$2:AF335),$AF$2:$AF$1001,0),1)&gt;=100000,INDEX($AM$1005:$BM$1005,1,MATCH(COLUMNS($AM$1006:BA1006),$AM$1006:$BM$1006,0))&gt;=100000), " ",IF(INDEX($AM$2:$BM$1001,MATCH(ROWS($AF$2:AF335),$AF$2:$AF$1001,0),MATCH(COLUMNS($AM$1006:BA1006),$AM$1006:$BM$1006,0)), HYPERLINK("#",""), HYPERLINK(CONCATENATE("#metadata!", ADDRESS(INDEX($AH$2:$AH$1001,MATCH(ROWS($AF$2:AF335),$AF$2:$AF$1001,0),0), INDEX($AM$1004:$BM$1004,1,MATCH(COLUMNS($AM$1006:BA1006),$AM$1006:$BM$1006,0)))),"Fix")))</f>
        <v xml:space="preserve"> </v>
      </c>
      <c r="Q335" s="4" t="str">
        <f ca="1">IF(OR(INDEX($AG$2:$AG$1001,MATCH(ROWS($AF$2:AF335),$AF$2:$AF$1001,0),1)&gt;=100000,INDEX($AM$1005:$BM$1005,1,MATCH(COLUMNS($AM$1006:BB1006),$AM$1006:$BM$1006,0))&gt;=100000), " ",IF(INDEX($AM$2:$BM$1001,MATCH(ROWS($AF$2:AF335),$AF$2:$AF$1001,0),MATCH(COLUMNS($AM$1006:BB1006),$AM$1006:$BM$1006,0)), HYPERLINK("#",""), HYPERLINK(CONCATENATE("#metadata!", ADDRESS(INDEX($AH$2:$AH$1001,MATCH(ROWS($AF$2:AF335),$AF$2:$AF$1001,0),0), INDEX($AM$1004:$BM$1004,1,MATCH(COLUMNS($AM$1006:BB1006),$AM$1006:$BM$1006,0)))),"Fix")))</f>
        <v xml:space="preserve"> </v>
      </c>
      <c r="R335" s="4" t="str">
        <f ca="1">IF(OR(INDEX($AG$2:$AG$1001,MATCH(ROWS($AF$2:AF335),$AF$2:$AF$1001,0),1)&gt;=100000,INDEX($AM$1005:$BM$1005,1,MATCH(COLUMNS($AM$1006:BC1006),$AM$1006:$BM$1006,0))&gt;=100000), " ",IF(INDEX($AM$2:$BM$1001,MATCH(ROWS($AF$2:AF335),$AF$2:$AF$1001,0),MATCH(COLUMNS($AM$1006:BC1006),$AM$1006:$BM$1006,0)), HYPERLINK("#",""), HYPERLINK(CONCATENATE("#metadata!", ADDRESS(INDEX($AH$2:$AH$1001,MATCH(ROWS($AF$2:AF335),$AF$2:$AF$1001,0),0), INDEX($AM$1004:$BM$1004,1,MATCH(COLUMNS($AM$1006:BC1006),$AM$1006:$BM$1006,0)))),"Fix")))</f>
        <v xml:space="preserve"> </v>
      </c>
      <c r="S335" s="4" t="str">
        <f ca="1">IF(OR(INDEX($AG$2:$AG$1001,MATCH(ROWS($AF$2:AF335),$AF$2:$AF$1001,0),1)&gt;=100000,INDEX($AM$1005:$BM$1005,1,MATCH(COLUMNS($AM$1006:BD1006),$AM$1006:$BM$1006,0))&gt;=100000), " ",IF(INDEX($AM$2:$BM$1001,MATCH(ROWS($AF$2:AF335),$AF$2:$AF$1001,0),MATCH(COLUMNS($AM$1006:BD1006),$AM$1006:$BM$1006,0)), HYPERLINK("#",""), HYPERLINK(CONCATENATE("#metadata!", ADDRESS(INDEX($AH$2:$AH$1001,MATCH(ROWS($AF$2:AF335),$AF$2:$AF$1001,0),0), INDEX($AM$1004:$BM$1004,1,MATCH(COLUMNS($AM$1006:BD1006),$AM$1006:$BM$1006,0)))),"Fix")))</f>
        <v xml:space="preserve"> </v>
      </c>
      <c r="T335" s="4" t="str">
        <f ca="1">IF(OR(INDEX($AG$2:$AG$1001,MATCH(ROWS($AF$2:AF335),$AF$2:$AF$1001,0),1)&gt;=100000,INDEX($AM$1005:$BM$1005,1,MATCH(COLUMNS($AM$1006:BE1006),$AM$1006:$BM$1006,0))&gt;=100000), " ",IF(INDEX($AM$2:$BM$1001,MATCH(ROWS($AF$2:AF335),$AF$2:$AF$1001,0),MATCH(COLUMNS($AM$1006:BE1006),$AM$1006:$BM$1006,0)), HYPERLINK("#",""), HYPERLINK(CONCATENATE("#metadata!", ADDRESS(INDEX($AH$2:$AH$1001,MATCH(ROWS($AF$2:AF335),$AF$2:$AF$1001,0),0), INDEX($AM$1004:$BM$1004,1,MATCH(COLUMNS($AM$1006:BE1006),$AM$1006:$BM$1006,0)))),"Fix")))</f>
        <v xml:space="preserve"> </v>
      </c>
      <c r="U335" s="4" t="str">
        <f ca="1">IF(OR(INDEX($AG$2:$AG$1001,MATCH(ROWS($AF$2:AF335),$AF$2:$AF$1001,0),1)&gt;=100000,INDEX($AM$1005:$BM$1005,1,MATCH(COLUMNS($AM$1006:BF1006),$AM$1006:$BM$1006,0))&gt;=100000), " ",IF(INDEX($AM$2:$BM$1001,MATCH(ROWS($AF$2:AF335),$AF$2:$AF$1001,0),MATCH(COLUMNS($AM$1006:BF1006),$AM$1006:$BM$1006,0)), HYPERLINK("#",""), HYPERLINK(CONCATENATE("#metadata!", ADDRESS(INDEX($AH$2:$AH$1001,MATCH(ROWS($AF$2:AF335),$AF$2:$AF$1001,0),0), INDEX($AM$1004:$BM$1004,1,MATCH(COLUMNS($AM$1006:BF1006),$AM$1006:$BM$1006,0)))),"Fix")))</f>
        <v xml:space="preserve"> </v>
      </c>
      <c r="V335" s="4" t="str">
        <f ca="1">IF(OR(INDEX($AG$2:$AG$1001,MATCH(ROWS($AF$2:AF335),$AF$2:$AF$1001,0),1)&gt;=100000,INDEX($AM$1005:$BM$1005,1,MATCH(COLUMNS($AM$1006:BG1006),$AM$1006:$BM$1006,0))&gt;=100000), " ",IF(INDEX($AM$2:$BM$1001,MATCH(ROWS($AF$2:AF335),$AF$2:$AF$1001,0),MATCH(COLUMNS($AM$1006:BG1006),$AM$1006:$BM$1006,0)), HYPERLINK("#",""), HYPERLINK(CONCATENATE("#metadata!", ADDRESS(INDEX($AH$2:$AH$1001,MATCH(ROWS($AF$2:AF335),$AF$2:$AF$1001,0),0), INDEX($AM$1004:$BM$1004,1,MATCH(COLUMNS($AM$1006:BG1006),$AM$1006:$BM$1006,0)))),"Fix")))</f>
        <v xml:space="preserve"> </v>
      </c>
      <c r="W335" s="4" t="str">
        <f ca="1">IF(OR(INDEX($AG$2:$AG$1001,MATCH(ROWS($AF$2:AF335),$AF$2:$AF$1001,0),1)&gt;=100000,INDEX($AM$1005:$BM$1005,1,MATCH(COLUMNS($AM$1006:BH1006),$AM$1006:$BM$1006,0))&gt;=100000), " ",IF(INDEX($AM$2:$BM$1001,MATCH(ROWS($AF$2:AF335),$AF$2:$AF$1001,0),MATCH(COLUMNS($AM$1006:BH1006),$AM$1006:$BM$1006,0)), HYPERLINK("#",""), HYPERLINK(CONCATENATE("#metadata!", ADDRESS(INDEX($AH$2:$AH$1001,MATCH(ROWS($AF$2:AF335),$AF$2:$AF$1001,0),0), INDEX($AM$1004:$BM$1004,1,MATCH(COLUMNS($AM$1006:BH1006),$AM$1006:$BM$1006,0)))),"Fix")))</f>
        <v xml:space="preserve"> </v>
      </c>
      <c r="X335" s="4" t="str">
        <f ca="1">IF(OR(INDEX($AG$2:$AG$1001,MATCH(ROWS($AF$2:AF335),$AF$2:$AF$1001,0),1)&gt;=100000,INDEX($AM$1005:$BM$1005,1,MATCH(COLUMNS($AM$1006:BI1006),$AM$1006:$BM$1006,0))&gt;=100000), " ",IF(INDEX($AM$2:$BM$1001,MATCH(ROWS($AF$2:AF335),$AF$2:$AF$1001,0),MATCH(COLUMNS($AM$1006:BI1006),$AM$1006:$BM$1006,0)), HYPERLINK("#",""), HYPERLINK(CONCATENATE("#metadata!", ADDRESS(INDEX($AH$2:$AH$1001,MATCH(ROWS($AF$2:AF335),$AF$2:$AF$1001,0),0), INDEX($AM$1004:$BM$1004,1,MATCH(COLUMNS($AM$1006:BI1006),$AM$1006:$BM$1006,0)))),"Fix")))</f>
        <v xml:space="preserve"> </v>
      </c>
      <c r="Y335" s="4" t="str">
        <f ca="1">IF(OR(INDEX($AG$2:$AG$1001,MATCH(ROWS($AF$2:AF335),$AF$2:$AF$1001,0),1)&gt;=100000,INDEX($AM$1005:$BM$1005,1,MATCH(COLUMNS($AM$1006:BJ1006),$AM$1006:$BM$1006,0))&gt;=100000), " ",IF(INDEX($AM$2:$BM$1001,MATCH(ROWS($AF$2:AF335),$AF$2:$AF$1001,0),MATCH(COLUMNS($AM$1006:BJ1006),$AM$1006:$BM$1006,0)), HYPERLINK("#",""), HYPERLINK(CONCATENATE("#metadata!", ADDRESS(INDEX($AH$2:$AH$1001,MATCH(ROWS($AF$2:AF335),$AF$2:$AF$1001,0),0), INDEX($AM$1004:$BM$1004,1,MATCH(COLUMNS($AM$1006:BJ1006),$AM$1006:$BM$1006,0)))),"Fix")))</f>
        <v xml:space="preserve"> </v>
      </c>
      <c r="Z335" s="4" t="str">
        <f ca="1">IF(OR(INDEX($AG$2:$AG$1001,MATCH(ROWS($AF$2:AF335),$AF$2:$AF$1001,0),1)&gt;=100000,INDEX($AM$1005:$BM$1005,1,MATCH(COLUMNS($AM$1006:BK1006),$AM$1006:$BM$1006,0))&gt;=100000), " ",IF(INDEX($AM$2:$BM$1001,MATCH(ROWS($AF$2:AF335),$AF$2:$AF$1001,0),MATCH(COLUMNS($AM$1006:BK1006),$AM$1006:$BM$1006,0)), HYPERLINK("#",""), HYPERLINK(CONCATENATE("#metadata!", ADDRESS(INDEX($AH$2:$AH$1001,MATCH(ROWS($AF$2:AF335),$AF$2:$AF$1001,0),0), INDEX($AM$1004:$BM$1004,1,MATCH(COLUMNS($AM$1006:BK1006),$AM$1006:$BM$1006,0)))),"Fix")))</f>
        <v xml:space="preserve"> </v>
      </c>
      <c r="AA335" s="4" t="str">
        <f ca="1">IF(OR(INDEX($AG$2:$AG$1001,MATCH(ROWS($AF$2:AF335),$AF$2:$AF$1001,0),1)&gt;=100000,INDEX($AM$1005:$BM$1005,1,MATCH(COLUMNS($AM$1006:BL1006),$AM$1006:$BM$1006,0))&gt;=100000), " ",IF(INDEX($AM$2:$BM$1001,MATCH(ROWS($AF$2:AF335),$AF$2:$AF$1001,0),MATCH(COLUMNS($AM$1006:BL1006),$AM$1006:$BM$1006,0)), HYPERLINK("#",""), HYPERLINK(CONCATENATE("#metadata!", ADDRESS(INDEX($AH$2:$AH$1001,MATCH(ROWS($AF$2:AF335),$AF$2:$AF$1001,0),0), INDEX($AM$1004:$BM$1004,1,MATCH(COLUMNS($AM$1006:BL1006),$AM$1006:$BM$1006,0)))),"Fix")))</f>
        <v xml:space="preserve"> </v>
      </c>
      <c r="AB335" s="4" t="str">
        <f ca="1">IF(OR(INDEX($AG$2:$AG$1001,MATCH(ROWS($AF$2:AF335),$AF$2:$AF$1001,0),1)&gt;=100000,INDEX($AM$1005:$BM$1005,1,MATCH(COLUMNS($AM$1006:BM1006),$AM$1006:$BM$1006,0))&gt;=100000), " ",IF(INDEX($AM$2:$BM$1001,MATCH(ROWS($AF$2:AF335),$AF$2:$AF$1001,0),MATCH(COLUMNS($AM$1006:BM1006),$AM$1006:$BM$1006,0)), HYPERLINK("#",""), HYPERLINK(CONCATENATE("#metadata!", ADDRESS(INDEX($AH$2:$AH$1001,MATCH(ROWS($AF$2:AF335),$AF$2:$AF$1001,0),0), INDEX($AM$1004:$BM$1004,1,MATCH(COLUMNS($AM$1006:BM1006),$AM$1006:$BM$1006,0)))),"Fix")))</f>
        <v xml:space="preserve"> </v>
      </c>
      <c r="AF335">
        <v>334</v>
      </c>
      <c r="AG335">
        <v>100335</v>
      </c>
      <c r="AH335">
        <v>335</v>
      </c>
      <c r="AI335" t="b">
        <f t="shared" si="5"/>
        <v>1</v>
      </c>
      <c r="AJ335" t="b">
        <f>COUNTBLANK(metadata!B335:AB335)=COLUMNS(metadata!B335:AB335)</f>
        <v>1</v>
      </c>
      <c r="AK335" t="str">
        <v/>
      </c>
      <c r="AM335" t="b">
        <f ca="1">AND(IF(metadata!B335="",FALSE,TRUE),COUNTIF(metadata!B:B, metadata!B335) = 1,NOT(ISERROR(SUMPRODUCT(SEARCH(MID(metadata!B335,ROW(INDIRECT("1:"&amp;LEN(metadata!B335))), 1),"0123456789abcdefghijklmnopqrstuvwxyzABCDEFGHIJKLMNOPQRSTUVWXYZ.")))))</f>
        <v>0</v>
      </c>
      <c r="AN335" t="b">
        <f ca="1">OR(AND(IF(metadata!C335="",FALSE,TRUE),OR(EXACT(metadata!C335,"missing: not collected"),EXACT(metadata!C335,"missing: not provided"),EXACT(metadata!C335,"missing: restricted access"))),AND(IF(metadata!C335="",FALSE,TRUE),AND(AND(IFERROR(INT(LEFT(metadata!C335,4))&gt;1900,FALSE),IFERROR(INT(LEFT(metadata!C335,4))&lt;=YEAR(NOW()),FALSE)), OR(MID(metadata!C335,5,1)="", AND(AND(MID(metadata!C335,5,1)="-",IFERROR(INT(MID(metadata!C335,6,1))&gt;=0,FALSE),IFERROR(INT(MID(metadata!C335,6,1))&lt;=1,FALSE),NOT(MID(metadata!C335,7,1)=""),IFERROR(INT(MID(metadata!C335,6,2))&gt;=1,FALSE),IFERROR(INT(MID(metadata!C335,6,2))&lt;=12,FALSE)), OR(MID(metadata!C335,8,1)="", AND(AND(MID(metadata!C335,8,1)="-",IFERROR(INT(MID(metadata!C335,9,1))&gt;=0,FALSE),IFERROR(INT(MID(metadata!C335,9,1))&lt;=3,FALSE),NOT(MID(metadata!C335,10,1)=""),IFERROR(INT(MID(metadata!C335,9,2))&gt;=1,FALSE),IFERROR(INT(MID(metadata!C335,9,2))&lt;=31,FALSE)), OR(MID(metadata!C335,11,1)="", AND(AND(MID(metadata!C335,11,1)=" ",IFERROR(INT(MID(metadata!C335,12,1))&gt;=0,FALSE),IFERROR(INT(MID(metadata!C335,12,1))&lt;=2,FALSE),NOT(MID(metadata!C335,13,1)=""),IFERROR(INT(MID(metadata!C335,12,2))&gt;=0,FALSE),IFERROR(INT(MID(metadata!C335,12,2))&lt;=23,FALSE)), OR(MID(metadata!C335,14,1)="", AND(AND(MID(metadata!C335,14,1)=":",IFERROR(INT(MID(metadata!C335,15,1))&gt;=0,FALSE),IFERROR(INT(MID(metadata!C335,15,1))&lt;=5,FALSE),NOT(MID(metadata!C335,16,1)=""),IFERROR(INT(MID(metadata!C335,15,2))&gt;=0,FALSE),IFERROR(INT(MID(metadata!C335,15,2))&lt;=59,FALSE)), OR(MID(metadata!C335,17,1)="", AND(AND(MID(metadata!C335,17,1)=":",IFERROR(INT(MID(metadata!C335,18,1))&gt;=0,FALSE),IFERROR(INT(MID(metadata!C335,18,1))&lt;=5,FALSE),NOT(MID(metadata!C335,19,1)=""),IFERROR(INT(MID(metadata!C335,18,2))&gt;=0,FALSE),IFERROR(INT(MID(metadata!C335,18,2))&lt;=59,FALSE)), LEN(metadata!C335)&lt;=19)))))))))))))</f>
        <v>0</v>
      </c>
      <c r="AO335" t="b">
        <f>AND(IF(metadata!D335="",FALSE,TRUE),EXACT(metadata!D335,"Not applicable"))</f>
        <v>0</v>
      </c>
      <c r="AP335" t="b">
        <f>IF(metadata!E335="",FALSE,TRUE)</f>
        <v>0</v>
      </c>
      <c r="AQ335" t="b">
        <f>OR(AND(IF(metadata!F335="",FALSE,TRUE),OR(EXACT(metadata!F335,"missing: not collected"),EXACT(metadata!F335,"missing: not provided"))),AND(IF(metadata!F335="",FALSE,TRUE),OR(EXACT(metadata!F335,"TRUE"),EXACT(metadata!F335,"FALSE"))))</f>
        <v>0</v>
      </c>
      <c r="AR335" t="b">
        <f>OR(AND(IF(metadata!G335="",FALSE,TRUE),OR(EXACT(metadata!G335,"missing: not collected"),EXACT(metadata!G335,"missing: not provided"),EXACT(metadata!G335,"missing: restricted access"))),AND(IF(metadata!G335="",FALSE,ISNUMBER(VALUE(metadata!G335))),metadata!G335&gt;=-413))</f>
        <v>0</v>
      </c>
      <c r="AS335" t="b">
        <f>AND(IF(metadata!H335="",FALSE,TRUE),EXACT(metadata!H335,"meters"))</f>
        <v>0</v>
      </c>
      <c r="AT335" t="b">
        <f>AND(IF(metadata!I335="",FALSE,TRUE),OR(EXACT(metadata!I335,"Host-associated"),EXACT(metadata!I335,"Free-living")))</f>
        <v>0</v>
      </c>
      <c r="AU335" t="b">
        <f>AND(IF(metadata!J335="",FALSE,TRUE),OR(EXACT(metadata!J335,"Animal"),EXACT(metadata!J335,"Fungus"),EXACT(metadata!J335,"Plant"),EXACT(metadata!J335,"Saline"),EXACT(metadata!J335,"Non-saline")))</f>
        <v>0</v>
      </c>
      <c r="AV335" t="b">
        <f>AND(IF(metadata!K335="",FALSE,TRUE),OR(EXACT(metadata!K335,"Plant secretion"),EXACT(metadata!K335,"Plant rhizosphere"),EXACT(metadata!K335,"Plant surface"),EXACT(metadata!K335,"Plant corpus"),EXACT(metadata!K335,"Fungus surface"),EXACT(metadata!K335,"Fungus corpus"),EXACT(metadata!K335,"Animal surface"),EXACT(metadata!K335,"Animal proximal gut"),EXACT(metadata!K335,"Animal corpus"),EXACT(metadata!K335,"Animal distal gut"),EXACT(metadata!K335,"Animal secretion"),EXACT(metadata!K335,"Sub-surface (non-saline)"),EXACT(metadata!K335,"Surface (non-saline)"),EXACT(metadata!K335,"Water (non-saline)"),EXACT(metadata!K335,"Soil (non-saline)"),EXACT(metadata!K335,"Aerosol (non-saline)"),EXACT(metadata!K335,"Sediment (non-saline)"),EXACT(metadata!K335,"Surface (saline)"),EXACT(metadata!K335,"Water (saline)"),EXACT(metadata!K335,"Hypersaline (saline)"),EXACT(metadata!K335,"Aerosol (saline)"),EXACT(metadata!K335,"Sediment (saline)")))</f>
        <v>0</v>
      </c>
      <c r="AW335" t="b">
        <f>IF(metadata!L335="",FALSE,TRUE)</f>
        <v>0</v>
      </c>
      <c r="AX335" t="b">
        <f>IF(metadata!M335="",FALSE,TRUE)</f>
        <v>0</v>
      </c>
      <c r="AY335" t="b">
        <f>IF(metadata!N335="",FALSE,TRUE)</f>
        <v>0</v>
      </c>
      <c r="AZ335" t="b">
        <f>OR(AND(IF(metadata!O335="",FALSE,TRUE),OR(EXACT(metadata!O335,"missing: not collected"),EXACT(metadata!O335,"missing: not provided"),EXACT(metadata!O335,"missing: restricted access"))),AND(IF(metadata!O335="",FALSE,TRUE),OR(EXACT(metadata!O335,"air"),EXACT(metadata!O335,"built environment"),EXACT(metadata!O335,"host-associated"),EXACT(metadata!O335,"human-associated"),EXACT(metadata!O335,"human-skin"),EXACT(metadata!O335,"human-oral"),EXACT(metadata!O335,"human-gut"),EXACT(metadata!O335,"human-vaginal"),EXACT(metadata!O335,"microbial mat/biofilm"),EXACT(metadata!O335,"misc environment"),EXACT(metadata!O335,"plant-associated"),EXACT(metadata!O335,"sediment"),EXACT(metadata!O335,"soil"),EXACT(metadata!O335,"wastewater/sludge"),EXACT(metadata!O335,"water"))))</f>
        <v>0</v>
      </c>
      <c r="BA335" t="b">
        <f>IF(metadata!P335="",FALSE,TRUE)</f>
        <v>0</v>
      </c>
      <c r="BB335" t="b">
        <f>IF(metadata!Q335="",FALSE,TRUE)</f>
        <v>0</v>
      </c>
      <c r="BC335" t="b">
        <f>OR(AND(IF(metadata!R335="",FALSE,TRUE),OR(EXACT(metadata!R335,"missing: not collected"),EXACT(metadata!R335,"missing: not provided"),EXACT(metadata!R335,"missing: restricted access"))),AND(IF(metadata!R335="",FALSE,ISNUMBER(VALUE(metadata!R335))),metadata!R335&gt;=-90,metadata!R335&lt;=90))</f>
        <v>0</v>
      </c>
      <c r="BD335" t="b">
        <f>AND(IF(metadata!S335="",FALSE,TRUE),EXACT(metadata!S335,"Decimal degrees"))</f>
        <v>0</v>
      </c>
      <c r="BE335" t="b">
        <f>OR(AND(IF(metadata!T335="",FALSE,TRUE),OR(EXACT(metadata!T335,"missing: not collected"),EXACT(metadata!T335,"missing: not provided"),EXACT(metadata!T335,"missing: restricted access"))),AND(IF(metadata!T335="",FALSE,ISNUMBER(VALUE(metadata!T335))),metadata!T335&gt;=-180,metadata!T335&lt;=180))</f>
        <v>0</v>
      </c>
      <c r="BF335" t="b">
        <f>AND(IF(metadata!U335="",FALSE,TRUE),EXACT(metadata!U335,"Decimal degrees"))</f>
        <v>0</v>
      </c>
      <c r="BG335" t="b">
        <f>IF(metadata!V335="",FALSE,TRUE)</f>
        <v>0</v>
      </c>
      <c r="BH335" t="b">
        <f>OR(AND(IF(metadata!W335="",FALSE,TRUE),OR(EXACT(metadata!W335,"missing: not collected"),EXACT(metadata!W335,"missing: not provided"),EXACT(metadata!W335,"missing: restricted access"))),AND(IF(metadata!W335="",FALSE,TRUE),OR(EXACT(metadata!W335,"TRUE"),EXACT(metadata!W335,"FALSE"))))</f>
        <v>0</v>
      </c>
      <c r="BI335" t="b">
        <f>AND(IF(metadata!X335="",FALSE,TRUE),EXACT(metadata!X335,"other"))</f>
        <v>0</v>
      </c>
      <c r="BJ335" t="b">
        <f>IF(metadata!Y335="",FALSE,TRUE)</f>
        <v>0</v>
      </c>
      <c r="BK335" t="b">
        <f>OR(AND(IF(metadata!Z335="",FALSE,TRUE),OR(EXACT(metadata!Z335,"missing: not collected"),EXACT(metadata!Z335,"missing: not provided"))),AND(IF(metadata!Z335="",FALSE,IF(ISERROR(INT(metadata!Z335)),FALSE,INT(metadata!Z335)=metadata!Z335)),metadata!Z335&gt;0))</f>
        <v>0</v>
      </c>
      <c r="BL335" t="b">
        <f>AND(IF(metadata!AA335="",FALSE,TRUE),EXACT(metadata!AA335,"Not applicable"))</f>
        <v>0</v>
      </c>
      <c r="BM335" t="b">
        <f>IF(metadata!AB335="",FALSE,TRUE)</f>
        <v>0</v>
      </c>
    </row>
    <row r="336" spans="1:65" x14ac:dyDescent="0.2">
      <c r="A336" s="5" t="str">
        <f ca="1">IF(B336=" "," ",HYPERLINK(CONCATENATE("#metadata!",ADDRESS(INDEX($AH$2:$AH$1001,MATCH(ROWS($AF$2:AF336),$AF$2:$AF$1001,0),0),1)),INDEX($AK$2:$AK$1001,MATCH(ROWS($AF$2:AF336),$AF$2:$AF$1001,0),0)))</f>
        <v xml:space="preserve"> </v>
      </c>
      <c r="B336" s="4" t="str">
        <f ca="1">IF(OR(INDEX($AG$2:$AG$1001,MATCH(ROWS($AF$2:AF336),$AF$2:$AF$1001,0),1)&gt;=100000,INDEX($AM$1005:$BM$1005,1,MATCH(COLUMNS($AM$1006:AM1006),$AM$1006:$BM$1006,0))&gt;=100000), " ",IF(INDEX($AM$2:$BM$1001,MATCH(ROWS($AF$2:AF336),$AF$2:$AF$1001,0),MATCH(COLUMNS($AM$1006:AM1006),$AM$1006:$BM$1006,0)), HYPERLINK("#",""), HYPERLINK(CONCATENATE("#metadata!", ADDRESS(INDEX($AH$2:$AH$1001,MATCH(ROWS($AF$2:AF336),$AF$2:$AF$1001,0),0), INDEX($AM$1004:$BM$1004,1,MATCH(COLUMNS($AM$1006:AM1006),$AM$1006:$BM$1006,0)))),"Fix")))</f>
        <v xml:space="preserve"> </v>
      </c>
      <c r="C336" s="4" t="str">
        <f ca="1">IF(OR(INDEX($AG$2:$AG$1001,MATCH(ROWS($AF$2:AF336),$AF$2:$AF$1001,0),1)&gt;=100000,INDEX($AM$1005:$BM$1005,1,MATCH(COLUMNS($AM$1006:AN1006),$AM$1006:$BM$1006,0))&gt;=100000), " ",IF(INDEX($AM$2:$BM$1001,MATCH(ROWS($AF$2:AF336),$AF$2:$AF$1001,0),MATCH(COLUMNS($AM$1006:AN1006),$AM$1006:$BM$1006,0)), HYPERLINK("#",""), HYPERLINK(CONCATENATE("#metadata!", ADDRESS(INDEX($AH$2:$AH$1001,MATCH(ROWS($AF$2:AF336),$AF$2:$AF$1001,0),0), INDEX($AM$1004:$BM$1004,1,MATCH(COLUMNS($AM$1006:AN1006),$AM$1006:$BM$1006,0)))),"Fix")))</f>
        <v xml:space="preserve"> </v>
      </c>
      <c r="D336" s="4" t="str">
        <f ca="1">IF(OR(INDEX($AG$2:$AG$1001,MATCH(ROWS($AF$2:AF336),$AF$2:$AF$1001,0),1)&gt;=100000,INDEX($AM$1005:$BM$1005,1,MATCH(COLUMNS($AM$1006:AO1006),$AM$1006:$BM$1006,0))&gt;=100000), " ",IF(INDEX($AM$2:$BM$1001,MATCH(ROWS($AF$2:AF336),$AF$2:$AF$1001,0),MATCH(COLUMNS($AM$1006:AO1006),$AM$1006:$BM$1006,0)), HYPERLINK("#",""), HYPERLINK(CONCATENATE("#metadata!", ADDRESS(INDEX($AH$2:$AH$1001,MATCH(ROWS($AF$2:AF336),$AF$2:$AF$1001,0),0), INDEX($AM$1004:$BM$1004,1,MATCH(COLUMNS($AM$1006:AO1006),$AM$1006:$BM$1006,0)))),"Fix")))</f>
        <v xml:space="preserve"> </v>
      </c>
      <c r="E336" s="4" t="str">
        <f ca="1">IF(OR(INDEX($AG$2:$AG$1001,MATCH(ROWS($AF$2:AF336),$AF$2:$AF$1001,0),1)&gt;=100000,INDEX($AM$1005:$BM$1005,1,MATCH(COLUMNS($AM$1006:AP1006),$AM$1006:$BM$1006,0))&gt;=100000), " ",IF(INDEX($AM$2:$BM$1001,MATCH(ROWS($AF$2:AF336),$AF$2:$AF$1001,0),MATCH(COLUMNS($AM$1006:AP1006),$AM$1006:$BM$1006,0)), HYPERLINK("#",""), HYPERLINK(CONCATENATE("#metadata!", ADDRESS(INDEX($AH$2:$AH$1001,MATCH(ROWS($AF$2:AF336),$AF$2:$AF$1001,0),0), INDEX($AM$1004:$BM$1004,1,MATCH(COLUMNS($AM$1006:AP1006),$AM$1006:$BM$1006,0)))),"Fix")))</f>
        <v xml:space="preserve"> </v>
      </c>
      <c r="F336" s="4" t="str">
        <f ca="1">IF(OR(INDEX($AG$2:$AG$1001,MATCH(ROWS($AF$2:AF336),$AF$2:$AF$1001,0),1)&gt;=100000,INDEX($AM$1005:$BM$1005,1,MATCH(COLUMNS($AM$1006:AQ1006),$AM$1006:$BM$1006,0))&gt;=100000), " ",IF(INDEX($AM$2:$BM$1001,MATCH(ROWS($AF$2:AF336),$AF$2:$AF$1001,0),MATCH(COLUMNS($AM$1006:AQ1006),$AM$1006:$BM$1006,0)), HYPERLINK("#",""), HYPERLINK(CONCATENATE("#metadata!", ADDRESS(INDEX($AH$2:$AH$1001,MATCH(ROWS($AF$2:AF336),$AF$2:$AF$1001,0),0), INDEX($AM$1004:$BM$1004,1,MATCH(COLUMNS($AM$1006:AQ1006),$AM$1006:$BM$1006,0)))),"Fix")))</f>
        <v xml:space="preserve"> </v>
      </c>
      <c r="G336" s="4" t="str">
        <f ca="1">IF(OR(INDEX($AG$2:$AG$1001,MATCH(ROWS($AF$2:AF336),$AF$2:$AF$1001,0),1)&gt;=100000,INDEX($AM$1005:$BM$1005,1,MATCH(COLUMNS($AM$1006:AR1006),$AM$1006:$BM$1006,0))&gt;=100000), " ",IF(INDEX($AM$2:$BM$1001,MATCH(ROWS($AF$2:AF336),$AF$2:$AF$1001,0),MATCH(COLUMNS($AM$1006:AR1006),$AM$1006:$BM$1006,0)), HYPERLINK("#",""), HYPERLINK(CONCATENATE("#metadata!", ADDRESS(INDEX($AH$2:$AH$1001,MATCH(ROWS($AF$2:AF336),$AF$2:$AF$1001,0),0), INDEX($AM$1004:$BM$1004,1,MATCH(COLUMNS($AM$1006:AR1006),$AM$1006:$BM$1006,0)))),"Fix")))</f>
        <v xml:space="preserve"> </v>
      </c>
      <c r="H336" s="4" t="str">
        <f ca="1">IF(OR(INDEX($AG$2:$AG$1001,MATCH(ROWS($AF$2:AF336),$AF$2:$AF$1001,0),1)&gt;=100000,INDEX($AM$1005:$BM$1005,1,MATCH(COLUMNS($AM$1006:AS1006),$AM$1006:$BM$1006,0))&gt;=100000), " ",IF(INDEX($AM$2:$BM$1001,MATCH(ROWS($AF$2:AF336),$AF$2:$AF$1001,0),MATCH(COLUMNS($AM$1006:AS1006),$AM$1006:$BM$1006,0)), HYPERLINK("#",""), HYPERLINK(CONCATENATE("#metadata!", ADDRESS(INDEX($AH$2:$AH$1001,MATCH(ROWS($AF$2:AF336),$AF$2:$AF$1001,0),0), INDEX($AM$1004:$BM$1004,1,MATCH(COLUMNS($AM$1006:AS1006),$AM$1006:$BM$1006,0)))),"Fix")))</f>
        <v xml:space="preserve"> </v>
      </c>
      <c r="I336" s="4" t="str">
        <f ca="1">IF(OR(INDEX($AG$2:$AG$1001,MATCH(ROWS($AF$2:AF336),$AF$2:$AF$1001,0),1)&gt;=100000,INDEX($AM$1005:$BM$1005,1,MATCH(COLUMNS($AM$1006:AT1006),$AM$1006:$BM$1006,0))&gt;=100000), " ",IF(INDEX($AM$2:$BM$1001,MATCH(ROWS($AF$2:AF336),$AF$2:$AF$1001,0),MATCH(COLUMNS($AM$1006:AT1006),$AM$1006:$BM$1006,0)), HYPERLINK("#",""), HYPERLINK(CONCATENATE("#metadata!", ADDRESS(INDEX($AH$2:$AH$1001,MATCH(ROWS($AF$2:AF336),$AF$2:$AF$1001,0),0), INDEX($AM$1004:$BM$1004,1,MATCH(COLUMNS($AM$1006:AT1006),$AM$1006:$BM$1006,0)))),"Fix")))</f>
        <v xml:space="preserve"> </v>
      </c>
      <c r="J336" s="4" t="str">
        <f ca="1">IF(OR(INDEX($AG$2:$AG$1001,MATCH(ROWS($AF$2:AF336),$AF$2:$AF$1001,0),1)&gt;=100000,INDEX($AM$1005:$BM$1005,1,MATCH(COLUMNS($AM$1006:AU1006),$AM$1006:$BM$1006,0))&gt;=100000), " ",IF(INDEX($AM$2:$BM$1001,MATCH(ROWS($AF$2:AF336),$AF$2:$AF$1001,0),MATCH(COLUMNS($AM$1006:AU1006),$AM$1006:$BM$1006,0)), HYPERLINK("#",""), HYPERLINK(CONCATENATE("#metadata!", ADDRESS(INDEX($AH$2:$AH$1001,MATCH(ROWS($AF$2:AF336),$AF$2:$AF$1001,0),0), INDEX($AM$1004:$BM$1004,1,MATCH(COLUMNS($AM$1006:AU1006),$AM$1006:$BM$1006,0)))),"Fix")))</f>
        <v xml:space="preserve"> </v>
      </c>
      <c r="K336" s="4" t="str">
        <f ca="1">IF(OR(INDEX($AG$2:$AG$1001,MATCH(ROWS($AF$2:AF336),$AF$2:$AF$1001,0),1)&gt;=100000,INDEX($AM$1005:$BM$1005,1,MATCH(COLUMNS($AM$1006:AV1006),$AM$1006:$BM$1006,0))&gt;=100000), " ",IF(INDEX($AM$2:$BM$1001,MATCH(ROWS($AF$2:AF336),$AF$2:$AF$1001,0),MATCH(COLUMNS($AM$1006:AV1006),$AM$1006:$BM$1006,0)), HYPERLINK("#",""), HYPERLINK(CONCATENATE("#metadata!", ADDRESS(INDEX($AH$2:$AH$1001,MATCH(ROWS($AF$2:AF336),$AF$2:$AF$1001,0),0), INDEX($AM$1004:$BM$1004,1,MATCH(COLUMNS($AM$1006:AV1006),$AM$1006:$BM$1006,0)))),"Fix")))</f>
        <v xml:space="preserve"> </v>
      </c>
      <c r="L336" s="4" t="str">
        <f ca="1">IF(OR(INDEX($AG$2:$AG$1001,MATCH(ROWS($AF$2:AF336),$AF$2:$AF$1001,0),1)&gt;=100000,INDEX($AM$1005:$BM$1005,1,MATCH(COLUMNS($AM$1006:AW1006),$AM$1006:$BM$1006,0))&gt;=100000), " ",IF(INDEX($AM$2:$BM$1001,MATCH(ROWS($AF$2:AF336),$AF$2:$AF$1001,0),MATCH(COLUMNS($AM$1006:AW1006),$AM$1006:$BM$1006,0)), HYPERLINK("#",""), HYPERLINK(CONCATENATE("#metadata!", ADDRESS(INDEX($AH$2:$AH$1001,MATCH(ROWS($AF$2:AF336),$AF$2:$AF$1001,0),0), INDEX($AM$1004:$BM$1004,1,MATCH(COLUMNS($AM$1006:AW1006),$AM$1006:$BM$1006,0)))),"Fix")))</f>
        <v xml:space="preserve"> </v>
      </c>
      <c r="M336" s="4" t="str">
        <f ca="1">IF(OR(INDEX($AG$2:$AG$1001,MATCH(ROWS($AF$2:AF336),$AF$2:$AF$1001,0),1)&gt;=100000,INDEX($AM$1005:$BM$1005,1,MATCH(COLUMNS($AM$1006:AX1006),$AM$1006:$BM$1006,0))&gt;=100000), " ",IF(INDEX($AM$2:$BM$1001,MATCH(ROWS($AF$2:AF336),$AF$2:$AF$1001,0),MATCH(COLUMNS($AM$1006:AX1006),$AM$1006:$BM$1006,0)), HYPERLINK("#",""), HYPERLINK(CONCATENATE("#metadata!", ADDRESS(INDEX($AH$2:$AH$1001,MATCH(ROWS($AF$2:AF336),$AF$2:$AF$1001,0),0), INDEX($AM$1004:$BM$1004,1,MATCH(COLUMNS($AM$1006:AX1006),$AM$1006:$BM$1006,0)))),"Fix")))</f>
        <v xml:space="preserve"> </v>
      </c>
      <c r="N336" s="4" t="str">
        <f ca="1">IF(OR(INDEX($AG$2:$AG$1001,MATCH(ROWS($AF$2:AF336),$AF$2:$AF$1001,0),1)&gt;=100000,INDEX($AM$1005:$BM$1005,1,MATCH(COLUMNS($AM$1006:AY1006),$AM$1006:$BM$1006,0))&gt;=100000), " ",IF(INDEX($AM$2:$BM$1001,MATCH(ROWS($AF$2:AF336),$AF$2:$AF$1001,0),MATCH(COLUMNS($AM$1006:AY1006),$AM$1006:$BM$1006,0)), HYPERLINK("#",""), HYPERLINK(CONCATENATE("#metadata!", ADDRESS(INDEX($AH$2:$AH$1001,MATCH(ROWS($AF$2:AF336),$AF$2:$AF$1001,0),0), INDEX($AM$1004:$BM$1004,1,MATCH(COLUMNS($AM$1006:AY1006),$AM$1006:$BM$1006,0)))),"Fix")))</f>
        <v xml:space="preserve"> </v>
      </c>
      <c r="O336" s="4" t="str">
        <f ca="1">IF(OR(INDEX($AG$2:$AG$1001,MATCH(ROWS($AF$2:AF336),$AF$2:$AF$1001,0),1)&gt;=100000,INDEX($AM$1005:$BM$1005,1,MATCH(COLUMNS($AM$1006:AZ1006),$AM$1006:$BM$1006,0))&gt;=100000), " ",IF(INDEX($AM$2:$BM$1001,MATCH(ROWS($AF$2:AF336),$AF$2:$AF$1001,0),MATCH(COLUMNS($AM$1006:AZ1006),$AM$1006:$BM$1006,0)), HYPERLINK("#",""), HYPERLINK(CONCATENATE("#metadata!", ADDRESS(INDEX($AH$2:$AH$1001,MATCH(ROWS($AF$2:AF336),$AF$2:$AF$1001,0),0), INDEX($AM$1004:$BM$1004,1,MATCH(COLUMNS($AM$1006:AZ1006),$AM$1006:$BM$1006,0)))),"Fix")))</f>
        <v xml:space="preserve"> </v>
      </c>
      <c r="P336" s="4" t="str">
        <f ca="1">IF(OR(INDEX($AG$2:$AG$1001,MATCH(ROWS($AF$2:AF336),$AF$2:$AF$1001,0),1)&gt;=100000,INDEX($AM$1005:$BM$1005,1,MATCH(COLUMNS($AM$1006:BA1006),$AM$1006:$BM$1006,0))&gt;=100000), " ",IF(INDEX($AM$2:$BM$1001,MATCH(ROWS($AF$2:AF336),$AF$2:$AF$1001,0),MATCH(COLUMNS($AM$1006:BA1006),$AM$1006:$BM$1006,0)), HYPERLINK("#",""), HYPERLINK(CONCATENATE("#metadata!", ADDRESS(INDEX($AH$2:$AH$1001,MATCH(ROWS($AF$2:AF336),$AF$2:$AF$1001,0),0), INDEX($AM$1004:$BM$1004,1,MATCH(COLUMNS($AM$1006:BA1006),$AM$1006:$BM$1006,0)))),"Fix")))</f>
        <v xml:space="preserve"> </v>
      </c>
      <c r="Q336" s="4" t="str">
        <f ca="1">IF(OR(INDEX($AG$2:$AG$1001,MATCH(ROWS($AF$2:AF336),$AF$2:$AF$1001,0),1)&gt;=100000,INDEX($AM$1005:$BM$1005,1,MATCH(COLUMNS($AM$1006:BB1006),$AM$1006:$BM$1006,0))&gt;=100000), " ",IF(INDEX($AM$2:$BM$1001,MATCH(ROWS($AF$2:AF336),$AF$2:$AF$1001,0),MATCH(COLUMNS($AM$1006:BB1006),$AM$1006:$BM$1006,0)), HYPERLINK("#",""), HYPERLINK(CONCATENATE("#metadata!", ADDRESS(INDEX($AH$2:$AH$1001,MATCH(ROWS($AF$2:AF336),$AF$2:$AF$1001,0),0), INDEX($AM$1004:$BM$1004,1,MATCH(COLUMNS($AM$1006:BB1006),$AM$1006:$BM$1006,0)))),"Fix")))</f>
        <v xml:space="preserve"> </v>
      </c>
      <c r="R336" s="4" t="str">
        <f ca="1">IF(OR(INDEX($AG$2:$AG$1001,MATCH(ROWS($AF$2:AF336),$AF$2:$AF$1001,0),1)&gt;=100000,INDEX($AM$1005:$BM$1005,1,MATCH(COLUMNS($AM$1006:BC1006),$AM$1006:$BM$1006,0))&gt;=100000), " ",IF(INDEX($AM$2:$BM$1001,MATCH(ROWS($AF$2:AF336),$AF$2:$AF$1001,0),MATCH(COLUMNS($AM$1006:BC1006),$AM$1006:$BM$1006,0)), HYPERLINK("#",""), HYPERLINK(CONCATENATE("#metadata!", ADDRESS(INDEX($AH$2:$AH$1001,MATCH(ROWS($AF$2:AF336),$AF$2:$AF$1001,0),0), INDEX($AM$1004:$BM$1004,1,MATCH(COLUMNS($AM$1006:BC1006),$AM$1006:$BM$1006,0)))),"Fix")))</f>
        <v xml:space="preserve"> </v>
      </c>
      <c r="S336" s="4" t="str">
        <f ca="1">IF(OR(INDEX($AG$2:$AG$1001,MATCH(ROWS($AF$2:AF336),$AF$2:$AF$1001,0),1)&gt;=100000,INDEX($AM$1005:$BM$1005,1,MATCH(COLUMNS($AM$1006:BD1006),$AM$1006:$BM$1006,0))&gt;=100000), " ",IF(INDEX($AM$2:$BM$1001,MATCH(ROWS($AF$2:AF336),$AF$2:$AF$1001,0),MATCH(COLUMNS($AM$1006:BD1006),$AM$1006:$BM$1006,0)), HYPERLINK("#",""), HYPERLINK(CONCATENATE("#metadata!", ADDRESS(INDEX($AH$2:$AH$1001,MATCH(ROWS($AF$2:AF336),$AF$2:$AF$1001,0),0), INDEX($AM$1004:$BM$1004,1,MATCH(COLUMNS($AM$1006:BD1006),$AM$1006:$BM$1006,0)))),"Fix")))</f>
        <v xml:space="preserve"> </v>
      </c>
      <c r="T336" s="4" t="str">
        <f ca="1">IF(OR(INDEX($AG$2:$AG$1001,MATCH(ROWS($AF$2:AF336),$AF$2:$AF$1001,0),1)&gt;=100000,INDEX($AM$1005:$BM$1005,1,MATCH(COLUMNS($AM$1006:BE1006),$AM$1006:$BM$1006,0))&gt;=100000), " ",IF(INDEX($AM$2:$BM$1001,MATCH(ROWS($AF$2:AF336),$AF$2:$AF$1001,0),MATCH(COLUMNS($AM$1006:BE1006),$AM$1006:$BM$1006,0)), HYPERLINK("#",""), HYPERLINK(CONCATENATE("#metadata!", ADDRESS(INDEX($AH$2:$AH$1001,MATCH(ROWS($AF$2:AF336),$AF$2:$AF$1001,0),0), INDEX($AM$1004:$BM$1004,1,MATCH(COLUMNS($AM$1006:BE1006),$AM$1006:$BM$1006,0)))),"Fix")))</f>
        <v xml:space="preserve"> </v>
      </c>
      <c r="U336" s="4" t="str">
        <f ca="1">IF(OR(INDEX($AG$2:$AG$1001,MATCH(ROWS($AF$2:AF336),$AF$2:$AF$1001,0),1)&gt;=100000,INDEX($AM$1005:$BM$1005,1,MATCH(COLUMNS($AM$1006:BF1006),$AM$1006:$BM$1006,0))&gt;=100000), " ",IF(INDEX($AM$2:$BM$1001,MATCH(ROWS($AF$2:AF336),$AF$2:$AF$1001,0),MATCH(COLUMNS($AM$1006:BF1006),$AM$1006:$BM$1006,0)), HYPERLINK("#",""), HYPERLINK(CONCATENATE("#metadata!", ADDRESS(INDEX($AH$2:$AH$1001,MATCH(ROWS($AF$2:AF336),$AF$2:$AF$1001,0),0), INDEX($AM$1004:$BM$1004,1,MATCH(COLUMNS($AM$1006:BF1006),$AM$1006:$BM$1006,0)))),"Fix")))</f>
        <v xml:space="preserve"> </v>
      </c>
      <c r="V336" s="4" t="str">
        <f ca="1">IF(OR(INDEX($AG$2:$AG$1001,MATCH(ROWS($AF$2:AF336),$AF$2:$AF$1001,0),1)&gt;=100000,INDEX($AM$1005:$BM$1005,1,MATCH(COLUMNS($AM$1006:BG1006),$AM$1006:$BM$1006,0))&gt;=100000), " ",IF(INDEX($AM$2:$BM$1001,MATCH(ROWS($AF$2:AF336),$AF$2:$AF$1001,0),MATCH(COLUMNS($AM$1006:BG1006),$AM$1006:$BM$1006,0)), HYPERLINK("#",""), HYPERLINK(CONCATENATE("#metadata!", ADDRESS(INDEX($AH$2:$AH$1001,MATCH(ROWS($AF$2:AF336),$AF$2:$AF$1001,0),0), INDEX($AM$1004:$BM$1004,1,MATCH(COLUMNS($AM$1006:BG1006),$AM$1006:$BM$1006,0)))),"Fix")))</f>
        <v xml:space="preserve"> </v>
      </c>
      <c r="W336" s="4" t="str">
        <f ca="1">IF(OR(INDEX($AG$2:$AG$1001,MATCH(ROWS($AF$2:AF336),$AF$2:$AF$1001,0),1)&gt;=100000,INDEX($AM$1005:$BM$1005,1,MATCH(COLUMNS($AM$1006:BH1006),$AM$1006:$BM$1006,0))&gt;=100000), " ",IF(INDEX($AM$2:$BM$1001,MATCH(ROWS($AF$2:AF336),$AF$2:$AF$1001,0),MATCH(COLUMNS($AM$1006:BH1006),$AM$1006:$BM$1006,0)), HYPERLINK("#",""), HYPERLINK(CONCATENATE("#metadata!", ADDRESS(INDEX($AH$2:$AH$1001,MATCH(ROWS($AF$2:AF336),$AF$2:$AF$1001,0),0), INDEX($AM$1004:$BM$1004,1,MATCH(COLUMNS($AM$1006:BH1006),$AM$1006:$BM$1006,0)))),"Fix")))</f>
        <v xml:space="preserve"> </v>
      </c>
      <c r="X336" s="4" t="str">
        <f ca="1">IF(OR(INDEX($AG$2:$AG$1001,MATCH(ROWS($AF$2:AF336),$AF$2:$AF$1001,0),1)&gt;=100000,INDEX($AM$1005:$BM$1005,1,MATCH(COLUMNS($AM$1006:BI1006),$AM$1006:$BM$1006,0))&gt;=100000), " ",IF(INDEX($AM$2:$BM$1001,MATCH(ROWS($AF$2:AF336),$AF$2:$AF$1001,0),MATCH(COLUMNS($AM$1006:BI1006),$AM$1006:$BM$1006,0)), HYPERLINK("#",""), HYPERLINK(CONCATENATE("#metadata!", ADDRESS(INDEX($AH$2:$AH$1001,MATCH(ROWS($AF$2:AF336),$AF$2:$AF$1001,0),0), INDEX($AM$1004:$BM$1004,1,MATCH(COLUMNS($AM$1006:BI1006),$AM$1006:$BM$1006,0)))),"Fix")))</f>
        <v xml:space="preserve"> </v>
      </c>
      <c r="Y336" s="4" t="str">
        <f ca="1">IF(OR(INDEX($AG$2:$AG$1001,MATCH(ROWS($AF$2:AF336),$AF$2:$AF$1001,0),1)&gt;=100000,INDEX($AM$1005:$BM$1005,1,MATCH(COLUMNS($AM$1006:BJ1006),$AM$1006:$BM$1006,0))&gt;=100000), " ",IF(INDEX($AM$2:$BM$1001,MATCH(ROWS($AF$2:AF336),$AF$2:$AF$1001,0),MATCH(COLUMNS($AM$1006:BJ1006),$AM$1006:$BM$1006,0)), HYPERLINK("#",""), HYPERLINK(CONCATENATE("#metadata!", ADDRESS(INDEX($AH$2:$AH$1001,MATCH(ROWS($AF$2:AF336),$AF$2:$AF$1001,0),0), INDEX($AM$1004:$BM$1004,1,MATCH(COLUMNS($AM$1006:BJ1006),$AM$1006:$BM$1006,0)))),"Fix")))</f>
        <v xml:space="preserve"> </v>
      </c>
      <c r="Z336" s="4" t="str">
        <f ca="1">IF(OR(INDEX($AG$2:$AG$1001,MATCH(ROWS($AF$2:AF336),$AF$2:$AF$1001,0),1)&gt;=100000,INDEX($AM$1005:$BM$1005,1,MATCH(COLUMNS($AM$1006:BK1006),$AM$1006:$BM$1006,0))&gt;=100000), " ",IF(INDEX($AM$2:$BM$1001,MATCH(ROWS($AF$2:AF336),$AF$2:$AF$1001,0),MATCH(COLUMNS($AM$1006:BK1006),$AM$1006:$BM$1006,0)), HYPERLINK("#",""), HYPERLINK(CONCATENATE("#metadata!", ADDRESS(INDEX($AH$2:$AH$1001,MATCH(ROWS($AF$2:AF336),$AF$2:$AF$1001,0),0), INDEX($AM$1004:$BM$1004,1,MATCH(COLUMNS($AM$1006:BK1006),$AM$1006:$BM$1006,0)))),"Fix")))</f>
        <v xml:space="preserve"> </v>
      </c>
      <c r="AA336" s="4" t="str">
        <f ca="1">IF(OR(INDEX($AG$2:$AG$1001,MATCH(ROWS($AF$2:AF336),$AF$2:$AF$1001,0),1)&gt;=100000,INDEX($AM$1005:$BM$1005,1,MATCH(COLUMNS($AM$1006:BL1006),$AM$1006:$BM$1006,0))&gt;=100000), " ",IF(INDEX($AM$2:$BM$1001,MATCH(ROWS($AF$2:AF336),$AF$2:$AF$1001,0),MATCH(COLUMNS($AM$1006:BL1006),$AM$1006:$BM$1006,0)), HYPERLINK("#",""), HYPERLINK(CONCATENATE("#metadata!", ADDRESS(INDEX($AH$2:$AH$1001,MATCH(ROWS($AF$2:AF336),$AF$2:$AF$1001,0),0), INDEX($AM$1004:$BM$1004,1,MATCH(COLUMNS($AM$1006:BL1006),$AM$1006:$BM$1006,0)))),"Fix")))</f>
        <v xml:space="preserve"> </v>
      </c>
      <c r="AB336" s="4" t="str">
        <f ca="1">IF(OR(INDEX($AG$2:$AG$1001,MATCH(ROWS($AF$2:AF336),$AF$2:$AF$1001,0),1)&gt;=100000,INDEX($AM$1005:$BM$1005,1,MATCH(COLUMNS($AM$1006:BM1006),$AM$1006:$BM$1006,0))&gt;=100000), " ",IF(INDEX($AM$2:$BM$1001,MATCH(ROWS($AF$2:AF336),$AF$2:$AF$1001,0),MATCH(COLUMNS($AM$1006:BM1006),$AM$1006:$BM$1006,0)), HYPERLINK("#",""), HYPERLINK(CONCATENATE("#metadata!", ADDRESS(INDEX($AH$2:$AH$1001,MATCH(ROWS($AF$2:AF336),$AF$2:$AF$1001,0),0), INDEX($AM$1004:$BM$1004,1,MATCH(COLUMNS($AM$1006:BM1006),$AM$1006:$BM$1006,0)))),"Fix")))</f>
        <v xml:space="preserve"> </v>
      </c>
      <c r="AF336">
        <v>335</v>
      </c>
      <c r="AG336">
        <v>100336</v>
      </c>
      <c r="AH336">
        <v>336</v>
      </c>
      <c r="AI336" t="b">
        <f t="shared" si="5"/>
        <v>1</v>
      </c>
      <c r="AJ336" t="b">
        <f>COUNTBLANK(metadata!B336:AB336)=COLUMNS(metadata!B336:AB336)</f>
        <v>1</v>
      </c>
      <c r="AK336" t="str">
        <v/>
      </c>
      <c r="AM336" t="b">
        <f ca="1">AND(IF(metadata!B336="",FALSE,TRUE),COUNTIF(metadata!B:B, metadata!B336) = 1,NOT(ISERROR(SUMPRODUCT(SEARCH(MID(metadata!B336,ROW(INDIRECT("1:"&amp;LEN(metadata!B336))), 1),"0123456789abcdefghijklmnopqrstuvwxyzABCDEFGHIJKLMNOPQRSTUVWXYZ.")))))</f>
        <v>0</v>
      </c>
      <c r="AN336" t="b">
        <f ca="1">OR(AND(IF(metadata!C336="",FALSE,TRUE),OR(EXACT(metadata!C336,"missing: not collected"),EXACT(metadata!C336,"missing: not provided"),EXACT(metadata!C336,"missing: restricted access"))),AND(IF(metadata!C336="",FALSE,TRUE),AND(AND(IFERROR(INT(LEFT(metadata!C336,4))&gt;1900,FALSE),IFERROR(INT(LEFT(metadata!C336,4))&lt;=YEAR(NOW()),FALSE)), OR(MID(metadata!C336,5,1)="", AND(AND(MID(metadata!C336,5,1)="-",IFERROR(INT(MID(metadata!C336,6,1))&gt;=0,FALSE),IFERROR(INT(MID(metadata!C336,6,1))&lt;=1,FALSE),NOT(MID(metadata!C336,7,1)=""),IFERROR(INT(MID(metadata!C336,6,2))&gt;=1,FALSE),IFERROR(INT(MID(metadata!C336,6,2))&lt;=12,FALSE)), OR(MID(metadata!C336,8,1)="", AND(AND(MID(metadata!C336,8,1)="-",IFERROR(INT(MID(metadata!C336,9,1))&gt;=0,FALSE),IFERROR(INT(MID(metadata!C336,9,1))&lt;=3,FALSE),NOT(MID(metadata!C336,10,1)=""),IFERROR(INT(MID(metadata!C336,9,2))&gt;=1,FALSE),IFERROR(INT(MID(metadata!C336,9,2))&lt;=31,FALSE)), OR(MID(metadata!C336,11,1)="", AND(AND(MID(metadata!C336,11,1)=" ",IFERROR(INT(MID(metadata!C336,12,1))&gt;=0,FALSE),IFERROR(INT(MID(metadata!C336,12,1))&lt;=2,FALSE),NOT(MID(metadata!C336,13,1)=""),IFERROR(INT(MID(metadata!C336,12,2))&gt;=0,FALSE),IFERROR(INT(MID(metadata!C336,12,2))&lt;=23,FALSE)), OR(MID(metadata!C336,14,1)="", AND(AND(MID(metadata!C336,14,1)=":",IFERROR(INT(MID(metadata!C336,15,1))&gt;=0,FALSE),IFERROR(INT(MID(metadata!C336,15,1))&lt;=5,FALSE),NOT(MID(metadata!C336,16,1)=""),IFERROR(INT(MID(metadata!C336,15,2))&gt;=0,FALSE),IFERROR(INT(MID(metadata!C336,15,2))&lt;=59,FALSE)), OR(MID(metadata!C336,17,1)="", AND(AND(MID(metadata!C336,17,1)=":",IFERROR(INT(MID(metadata!C336,18,1))&gt;=0,FALSE),IFERROR(INT(MID(metadata!C336,18,1))&lt;=5,FALSE),NOT(MID(metadata!C336,19,1)=""),IFERROR(INT(MID(metadata!C336,18,2))&gt;=0,FALSE),IFERROR(INT(MID(metadata!C336,18,2))&lt;=59,FALSE)), LEN(metadata!C336)&lt;=19)))))))))))))</f>
        <v>0</v>
      </c>
      <c r="AO336" t="b">
        <f>AND(IF(metadata!D336="",FALSE,TRUE),EXACT(metadata!D336,"Not applicable"))</f>
        <v>0</v>
      </c>
      <c r="AP336" t="b">
        <f>IF(metadata!E336="",FALSE,TRUE)</f>
        <v>0</v>
      </c>
      <c r="AQ336" t="b">
        <f>OR(AND(IF(metadata!F336="",FALSE,TRUE),OR(EXACT(metadata!F336,"missing: not collected"),EXACT(metadata!F336,"missing: not provided"))),AND(IF(metadata!F336="",FALSE,TRUE),OR(EXACT(metadata!F336,"TRUE"),EXACT(metadata!F336,"FALSE"))))</f>
        <v>0</v>
      </c>
      <c r="AR336" t="b">
        <f>OR(AND(IF(metadata!G336="",FALSE,TRUE),OR(EXACT(metadata!G336,"missing: not collected"),EXACT(metadata!G336,"missing: not provided"),EXACT(metadata!G336,"missing: restricted access"))),AND(IF(metadata!G336="",FALSE,ISNUMBER(VALUE(metadata!G336))),metadata!G336&gt;=-413))</f>
        <v>0</v>
      </c>
      <c r="AS336" t="b">
        <f>AND(IF(metadata!H336="",FALSE,TRUE),EXACT(metadata!H336,"meters"))</f>
        <v>0</v>
      </c>
      <c r="AT336" t="b">
        <f>AND(IF(metadata!I336="",FALSE,TRUE),OR(EXACT(metadata!I336,"Host-associated"),EXACT(metadata!I336,"Free-living")))</f>
        <v>0</v>
      </c>
      <c r="AU336" t="b">
        <f>AND(IF(metadata!J336="",FALSE,TRUE),OR(EXACT(metadata!J336,"Animal"),EXACT(metadata!J336,"Fungus"),EXACT(metadata!J336,"Plant"),EXACT(metadata!J336,"Saline"),EXACT(metadata!J336,"Non-saline")))</f>
        <v>0</v>
      </c>
      <c r="AV336" t="b">
        <f>AND(IF(metadata!K336="",FALSE,TRUE),OR(EXACT(metadata!K336,"Plant secretion"),EXACT(metadata!K336,"Plant rhizosphere"),EXACT(metadata!K336,"Plant surface"),EXACT(metadata!K336,"Plant corpus"),EXACT(metadata!K336,"Fungus surface"),EXACT(metadata!K336,"Fungus corpus"),EXACT(metadata!K336,"Animal surface"),EXACT(metadata!K336,"Animal proximal gut"),EXACT(metadata!K336,"Animal corpus"),EXACT(metadata!K336,"Animal distal gut"),EXACT(metadata!K336,"Animal secretion"),EXACT(metadata!K336,"Sub-surface (non-saline)"),EXACT(metadata!K336,"Surface (non-saline)"),EXACT(metadata!K336,"Water (non-saline)"),EXACT(metadata!K336,"Soil (non-saline)"),EXACT(metadata!K336,"Aerosol (non-saline)"),EXACT(metadata!K336,"Sediment (non-saline)"),EXACT(metadata!K336,"Surface (saline)"),EXACT(metadata!K336,"Water (saline)"),EXACT(metadata!K336,"Hypersaline (saline)"),EXACT(metadata!K336,"Aerosol (saline)"),EXACT(metadata!K336,"Sediment (saline)")))</f>
        <v>0</v>
      </c>
      <c r="AW336" t="b">
        <f>IF(metadata!L336="",FALSE,TRUE)</f>
        <v>0</v>
      </c>
      <c r="AX336" t="b">
        <f>IF(metadata!M336="",FALSE,TRUE)</f>
        <v>0</v>
      </c>
      <c r="AY336" t="b">
        <f>IF(metadata!N336="",FALSE,TRUE)</f>
        <v>0</v>
      </c>
      <c r="AZ336" t="b">
        <f>OR(AND(IF(metadata!O336="",FALSE,TRUE),OR(EXACT(metadata!O336,"missing: not collected"),EXACT(metadata!O336,"missing: not provided"),EXACT(metadata!O336,"missing: restricted access"))),AND(IF(metadata!O336="",FALSE,TRUE),OR(EXACT(metadata!O336,"air"),EXACT(metadata!O336,"built environment"),EXACT(metadata!O336,"host-associated"),EXACT(metadata!O336,"human-associated"),EXACT(metadata!O336,"human-skin"),EXACT(metadata!O336,"human-oral"),EXACT(metadata!O336,"human-gut"),EXACT(metadata!O336,"human-vaginal"),EXACT(metadata!O336,"microbial mat/biofilm"),EXACT(metadata!O336,"misc environment"),EXACT(metadata!O336,"plant-associated"),EXACT(metadata!O336,"sediment"),EXACT(metadata!O336,"soil"),EXACT(metadata!O336,"wastewater/sludge"),EXACT(metadata!O336,"water"))))</f>
        <v>0</v>
      </c>
      <c r="BA336" t="b">
        <f>IF(metadata!P336="",FALSE,TRUE)</f>
        <v>0</v>
      </c>
      <c r="BB336" t="b">
        <f>IF(metadata!Q336="",FALSE,TRUE)</f>
        <v>0</v>
      </c>
      <c r="BC336" t="b">
        <f>OR(AND(IF(metadata!R336="",FALSE,TRUE),OR(EXACT(metadata!R336,"missing: not collected"),EXACT(metadata!R336,"missing: not provided"),EXACT(metadata!R336,"missing: restricted access"))),AND(IF(metadata!R336="",FALSE,ISNUMBER(VALUE(metadata!R336))),metadata!R336&gt;=-90,metadata!R336&lt;=90))</f>
        <v>0</v>
      </c>
      <c r="BD336" t="b">
        <f>AND(IF(metadata!S336="",FALSE,TRUE),EXACT(metadata!S336,"Decimal degrees"))</f>
        <v>0</v>
      </c>
      <c r="BE336" t="b">
        <f>OR(AND(IF(metadata!T336="",FALSE,TRUE),OR(EXACT(metadata!T336,"missing: not collected"),EXACT(metadata!T336,"missing: not provided"),EXACT(metadata!T336,"missing: restricted access"))),AND(IF(metadata!T336="",FALSE,ISNUMBER(VALUE(metadata!T336))),metadata!T336&gt;=-180,metadata!T336&lt;=180))</f>
        <v>0</v>
      </c>
      <c r="BF336" t="b">
        <f>AND(IF(metadata!U336="",FALSE,TRUE),EXACT(metadata!U336,"Decimal degrees"))</f>
        <v>0</v>
      </c>
      <c r="BG336" t="b">
        <f>IF(metadata!V336="",FALSE,TRUE)</f>
        <v>0</v>
      </c>
      <c r="BH336" t="b">
        <f>OR(AND(IF(metadata!W336="",FALSE,TRUE),OR(EXACT(metadata!W336,"missing: not collected"),EXACT(metadata!W336,"missing: not provided"),EXACT(metadata!W336,"missing: restricted access"))),AND(IF(metadata!W336="",FALSE,TRUE),OR(EXACT(metadata!W336,"TRUE"),EXACT(metadata!W336,"FALSE"))))</f>
        <v>0</v>
      </c>
      <c r="BI336" t="b">
        <f>AND(IF(metadata!X336="",FALSE,TRUE),EXACT(metadata!X336,"other"))</f>
        <v>0</v>
      </c>
      <c r="BJ336" t="b">
        <f>IF(metadata!Y336="",FALSE,TRUE)</f>
        <v>0</v>
      </c>
      <c r="BK336" t="b">
        <f>OR(AND(IF(metadata!Z336="",FALSE,TRUE),OR(EXACT(metadata!Z336,"missing: not collected"),EXACT(metadata!Z336,"missing: not provided"))),AND(IF(metadata!Z336="",FALSE,IF(ISERROR(INT(metadata!Z336)),FALSE,INT(metadata!Z336)=metadata!Z336)),metadata!Z336&gt;0))</f>
        <v>0</v>
      </c>
      <c r="BL336" t="b">
        <f>AND(IF(metadata!AA336="",FALSE,TRUE),EXACT(metadata!AA336,"Not applicable"))</f>
        <v>0</v>
      </c>
      <c r="BM336" t="b">
        <f>IF(metadata!AB336="",FALSE,TRUE)</f>
        <v>0</v>
      </c>
    </row>
    <row r="337" spans="1:65" x14ac:dyDescent="0.2">
      <c r="A337" s="5" t="str">
        <f ca="1">IF(B337=" "," ",HYPERLINK(CONCATENATE("#metadata!",ADDRESS(INDEX($AH$2:$AH$1001,MATCH(ROWS($AF$2:AF337),$AF$2:$AF$1001,0),0),1)),INDEX($AK$2:$AK$1001,MATCH(ROWS($AF$2:AF337),$AF$2:$AF$1001,0),0)))</f>
        <v xml:space="preserve"> </v>
      </c>
      <c r="B337" s="4" t="str">
        <f ca="1">IF(OR(INDEX($AG$2:$AG$1001,MATCH(ROWS($AF$2:AF337),$AF$2:$AF$1001,0),1)&gt;=100000,INDEX($AM$1005:$BM$1005,1,MATCH(COLUMNS($AM$1006:AM1006),$AM$1006:$BM$1006,0))&gt;=100000), " ",IF(INDEX($AM$2:$BM$1001,MATCH(ROWS($AF$2:AF337),$AF$2:$AF$1001,0),MATCH(COLUMNS($AM$1006:AM1006),$AM$1006:$BM$1006,0)), HYPERLINK("#",""), HYPERLINK(CONCATENATE("#metadata!", ADDRESS(INDEX($AH$2:$AH$1001,MATCH(ROWS($AF$2:AF337),$AF$2:$AF$1001,0),0), INDEX($AM$1004:$BM$1004,1,MATCH(COLUMNS($AM$1006:AM1006),$AM$1006:$BM$1006,0)))),"Fix")))</f>
        <v xml:space="preserve"> </v>
      </c>
      <c r="C337" s="4" t="str">
        <f ca="1">IF(OR(INDEX($AG$2:$AG$1001,MATCH(ROWS($AF$2:AF337),$AF$2:$AF$1001,0),1)&gt;=100000,INDEX($AM$1005:$BM$1005,1,MATCH(COLUMNS($AM$1006:AN1006),$AM$1006:$BM$1006,0))&gt;=100000), " ",IF(INDEX($AM$2:$BM$1001,MATCH(ROWS($AF$2:AF337),$AF$2:$AF$1001,0),MATCH(COLUMNS($AM$1006:AN1006),$AM$1006:$BM$1006,0)), HYPERLINK("#",""), HYPERLINK(CONCATENATE("#metadata!", ADDRESS(INDEX($AH$2:$AH$1001,MATCH(ROWS($AF$2:AF337),$AF$2:$AF$1001,0),0), INDEX($AM$1004:$BM$1004,1,MATCH(COLUMNS($AM$1006:AN1006),$AM$1006:$BM$1006,0)))),"Fix")))</f>
        <v xml:space="preserve"> </v>
      </c>
      <c r="D337" s="4" t="str">
        <f ca="1">IF(OR(INDEX($AG$2:$AG$1001,MATCH(ROWS($AF$2:AF337),$AF$2:$AF$1001,0),1)&gt;=100000,INDEX($AM$1005:$BM$1005,1,MATCH(COLUMNS($AM$1006:AO1006),$AM$1006:$BM$1006,0))&gt;=100000), " ",IF(INDEX($AM$2:$BM$1001,MATCH(ROWS($AF$2:AF337),$AF$2:$AF$1001,0),MATCH(COLUMNS($AM$1006:AO1006),$AM$1006:$BM$1006,0)), HYPERLINK("#",""), HYPERLINK(CONCATENATE("#metadata!", ADDRESS(INDEX($AH$2:$AH$1001,MATCH(ROWS($AF$2:AF337),$AF$2:$AF$1001,0),0), INDEX($AM$1004:$BM$1004,1,MATCH(COLUMNS($AM$1006:AO1006),$AM$1006:$BM$1006,0)))),"Fix")))</f>
        <v xml:space="preserve"> </v>
      </c>
      <c r="E337" s="4" t="str">
        <f ca="1">IF(OR(INDEX($AG$2:$AG$1001,MATCH(ROWS($AF$2:AF337),$AF$2:$AF$1001,0),1)&gt;=100000,INDEX($AM$1005:$BM$1005,1,MATCH(COLUMNS($AM$1006:AP1006),$AM$1006:$BM$1006,0))&gt;=100000), " ",IF(INDEX($AM$2:$BM$1001,MATCH(ROWS($AF$2:AF337),$AF$2:$AF$1001,0),MATCH(COLUMNS($AM$1006:AP1006),$AM$1006:$BM$1006,0)), HYPERLINK("#",""), HYPERLINK(CONCATENATE("#metadata!", ADDRESS(INDEX($AH$2:$AH$1001,MATCH(ROWS($AF$2:AF337),$AF$2:$AF$1001,0),0), INDEX($AM$1004:$BM$1004,1,MATCH(COLUMNS($AM$1006:AP1006),$AM$1006:$BM$1006,0)))),"Fix")))</f>
        <v xml:space="preserve"> </v>
      </c>
      <c r="F337" s="4" t="str">
        <f ca="1">IF(OR(INDEX($AG$2:$AG$1001,MATCH(ROWS($AF$2:AF337),$AF$2:$AF$1001,0),1)&gt;=100000,INDEX($AM$1005:$BM$1005,1,MATCH(COLUMNS($AM$1006:AQ1006),$AM$1006:$BM$1006,0))&gt;=100000), " ",IF(INDEX($AM$2:$BM$1001,MATCH(ROWS($AF$2:AF337),$AF$2:$AF$1001,0),MATCH(COLUMNS($AM$1006:AQ1006),$AM$1006:$BM$1006,0)), HYPERLINK("#",""), HYPERLINK(CONCATENATE("#metadata!", ADDRESS(INDEX($AH$2:$AH$1001,MATCH(ROWS($AF$2:AF337),$AF$2:$AF$1001,0),0), INDEX($AM$1004:$BM$1004,1,MATCH(COLUMNS($AM$1006:AQ1006),$AM$1006:$BM$1006,0)))),"Fix")))</f>
        <v xml:space="preserve"> </v>
      </c>
      <c r="G337" s="4" t="str">
        <f ca="1">IF(OR(INDEX($AG$2:$AG$1001,MATCH(ROWS($AF$2:AF337),$AF$2:$AF$1001,0),1)&gt;=100000,INDEX($AM$1005:$BM$1005,1,MATCH(COLUMNS($AM$1006:AR1006),$AM$1006:$BM$1006,0))&gt;=100000), " ",IF(INDEX($AM$2:$BM$1001,MATCH(ROWS($AF$2:AF337),$AF$2:$AF$1001,0),MATCH(COLUMNS($AM$1006:AR1006),$AM$1006:$BM$1006,0)), HYPERLINK("#",""), HYPERLINK(CONCATENATE("#metadata!", ADDRESS(INDEX($AH$2:$AH$1001,MATCH(ROWS($AF$2:AF337),$AF$2:$AF$1001,0),0), INDEX($AM$1004:$BM$1004,1,MATCH(COLUMNS($AM$1006:AR1006),$AM$1006:$BM$1006,0)))),"Fix")))</f>
        <v xml:space="preserve"> </v>
      </c>
      <c r="H337" s="4" t="str">
        <f ca="1">IF(OR(INDEX($AG$2:$AG$1001,MATCH(ROWS($AF$2:AF337),$AF$2:$AF$1001,0),1)&gt;=100000,INDEX($AM$1005:$BM$1005,1,MATCH(COLUMNS($AM$1006:AS1006),$AM$1006:$BM$1006,0))&gt;=100000), " ",IF(INDEX($AM$2:$BM$1001,MATCH(ROWS($AF$2:AF337),$AF$2:$AF$1001,0),MATCH(COLUMNS($AM$1006:AS1006),$AM$1006:$BM$1006,0)), HYPERLINK("#",""), HYPERLINK(CONCATENATE("#metadata!", ADDRESS(INDEX($AH$2:$AH$1001,MATCH(ROWS($AF$2:AF337),$AF$2:$AF$1001,0),0), INDEX($AM$1004:$BM$1004,1,MATCH(COLUMNS($AM$1006:AS1006),$AM$1006:$BM$1006,0)))),"Fix")))</f>
        <v xml:space="preserve"> </v>
      </c>
      <c r="I337" s="4" t="str">
        <f ca="1">IF(OR(INDEX($AG$2:$AG$1001,MATCH(ROWS($AF$2:AF337),$AF$2:$AF$1001,0),1)&gt;=100000,INDEX($AM$1005:$BM$1005,1,MATCH(COLUMNS($AM$1006:AT1006),$AM$1006:$BM$1006,0))&gt;=100000), " ",IF(INDEX($AM$2:$BM$1001,MATCH(ROWS($AF$2:AF337),$AF$2:$AF$1001,0),MATCH(COLUMNS($AM$1006:AT1006),$AM$1006:$BM$1006,0)), HYPERLINK("#",""), HYPERLINK(CONCATENATE("#metadata!", ADDRESS(INDEX($AH$2:$AH$1001,MATCH(ROWS($AF$2:AF337),$AF$2:$AF$1001,0),0), INDEX($AM$1004:$BM$1004,1,MATCH(COLUMNS($AM$1006:AT1006),$AM$1006:$BM$1006,0)))),"Fix")))</f>
        <v xml:space="preserve"> </v>
      </c>
      <c r="J337" s="4" t="str">
        <f ca="1">IF(OR(INDEX($AG$2:$AG$1001,MATCH(ROWS($AF$2:AF337),$AF$2:$AF$1001,0),1)&gt;=100000,INDEX($AM$1005:$BM$1005,1,MATCH(COLUMNS($AM$1006:AU1006),$AM$1006:$BM$1006,0))&gt;=100000), " ",IF(INDEX($AM$2:$BM$1001,MATCH(ROWS($AF$2:AF337),$AF$2:$AF$1001,0),MATCH(COLUMNS($AM$1006:AU1006),$AM$1006:$BM$1006,0)), HYPERLINK("#",""), HYPERLINK(CONCATENATE("#metadata!", ADDRESS(INDEX($AH$2:$AH$1001,MATCH(ROWS($AF$2:AF337),$AF$2:$AF$1001,0),0), INDEX($AM$1004:$BM$1004,1,MATCH(COLUMNS($AM$1006:AU1006),$AM$1006:$BM$1006,0)))),"Fix")))</f>
        <v xml:space="preserve"> </v>
      </c>
      <c r="K337" s="4" t="str">
        <f ca="1">IF(OR(INDEX($AG$2:$AG$1001,MATCH(ROWS($AF$2:AF337),$AF$2:$AF$1001,0),1)&gt;=100000,INDEX($AM$1005:$BM$1005,1,MATCH(COLUMNS($AM$1006:AV1006),$AM$1006:$BM$1006,0))&gt;=100000), " ",IF(INDEX($AM$2:$BM$1001,MATCH(ROWS($AF$2:AF337),$AF$2:$AF$1001,0),MATCH(COLUMNS($AM$1006:AV1006),$AM$1006:$BM$1006,0)), HYPERLINK("#",""), HYPERLINK(CONCATENATE("#metadata!", ADDRESS(INDEX($AH$2:$AH$1001,MATCH(ROWS($AF$2:AF337),$AF$2:$AF$1001,0),0), INDEX($AM$1004:$BM$1004,1,MATCH(COLUMNS($AM$1006:AV1006),$AM$1006:$BM$1006,0)))),"Fix")))</f>
        <v xml:space="preserve"> </v>
      </c>
      <c r="L337" s="4" t="str">
        <f ca="1">IF(OR(INDEX($AG$2:$AG$1001,MATCH(ROWS($AF$2:AF337),$AF$2:$AF$1001,0),1)&gt;=100000,INDEX($AM$1005:$BM$1005,1,MATCH(COLUMNS($AM$1006:AW1006),$AM$1006:$BM$1006,0))&gt;=100000), " ",IF(INDEX($AM$2:$BM$1001,MATCH(ROWS($AF$2:AF337),$AF$2:$AF$1001,0),MATCH(COLUMNS($AM$1006:AW1006),$AM$1006:$BM$1006,0)), HYPERLINK("#",""), HYPERLINK(CONCATENATE("#metadata!", ADDRESS(INDEX($AH$2:$AH$1001,MATCH(ROWS($AF$2:AF337),$AF$2:$AF$1001,0),0), INDEX($AM$1004:$BM$1004,1,MATCH(COLUMNS($AM$1006:AW1006),$AM$1006:$BM$1006,0)))),"Fix")))</f>
        <v xml:space="preserve"> </v>
      </c>
      <c r="M337" s="4" t="str">
        <f ca="1">IF(OR(INDEX($AG$2:$AG$1001,MATCH(ROWS($AF$2:AF337),$AF$2:$AF$1001,0),1)&gt;=100000,INDEX($AM$1005:$BM$1005,1,MATCH(COLUMNS($AM$1006:AX1006),$AM$1006:$BM$1006,0))&gt;=100000), " ",IF(INDEX($AM$2:$BM$1001,MATCH(ROWS($AF$2:AF337),$AF$2:$AF$1001,0),MATCH(COLUMNS($AM$1006:AX1006),$AM$1006:$BM$1006,0)), HYPERLINK("#",""), HYPERLINK(CONCATENATE("#metadata!", ADDRESS(INDEX($AH$2:$AH$1001,MATCH(ROWS($AF$2:AF337),$AF$2:$AF$1001,0),0), INDEX($AM$1004:$BM$1004,1,MATCH(COLUMNS($AM$1006:AX1006),$AM$1006:$BM$1006,0)))),"Fix")))</f>
        <v xml:space="preserve"> </v>
      </c>
      <c r="N337" s="4" t="str">
        <f ca="1">IF(OR(INDEX($AG$2:$AG$1001,MATCH(ROWS($AF$2:AF337),$AF$2:$AF$1001,0),1)&gt;=100000,INDEX($AM$1005:$BM$1005,1,MATCH(COLUMNS($AM$1006:AY1006),$AM$1006:$BM$1006,0))&gt;=100000), " ",IF(INDEX($AM$2:$BM$1001,MATCH(ROWS($AF$2:AF337),$AF$2:$AF$1001,0),MATCH(COLUMNS($AM$1006:AY1006),$AM$1006:$BM$1006,0)), HYPERLINK("#",""), HYPERLINK(CONCATENATE("#metadata!", ADDRESS(INDEX($AH$2:$AH$1001,MATCH(ROWS($AF$2:AF337),$AF$2:$AF$1001,0),0), INDEX($AM$1004:$BM$1004,1,MATCH(COLUMNS($AM$1006:AY1006),$AM$1006:$BM$1006,0)))),"Fix")))</f>
        <v xml:space="preserve"> </v>
      </c>
      <c r="O337" s="4" t="str">
        <f ca="1">IF(OR(INDEX($AG$2:$AG$1001,MATCH(ROWS($AF$2:AF337),$AF$2:$AF$1001,0),1)&gt;=100000,INDEX($AM$1005:$BM$1005,1,MATCH(COLUMNS($AM$1006:AZ1006),$AM$1006:$BM$1006,0))&gt;=100000), " ",IF(INDEX($AM$2:$BM$1001,MATCH(ROWS($AF$2:AF337),$AF$2:$AF$1001,0),MATCH(COLUMNS($AM$1006:AZ1006),$AM$1006:$BM$1006,0)), HYPERLINK("#",""), HYPERLINK(CONCATENATE("#metadata!", ADDRESS(INDEX($AH$2:$AH$1001,MATCH(ROWS($AF$2:AF337),$AF$2:$AF$1001,0),0), INDEX($AM$1004:$BM$1004,1,MATCH(COLUMNS($AM$1006:AZ1006),$AM$1006:$BM$1006,0)))),"Fix")))</f>
        <v xml:space="preserve"> </v>
      </c>
      <c r="P337" s="4" t="str">
        <f ca="1">IF(OR(INDEX($AG$2:$AG$1001,MATCH(ROWS($AF$2:AF337),$AF$2:$AF$1001,0),1)&gt;=100000,INDEX($AM$1005:$BM$1005,1,MATCH(COLUMNS($AM$1006:BA1006),$AM$1006:$BM$1006,0))&gt;=100000), " ",IF(INDEX($AM$2:$BM$1001,MATCH(ROWS($AF$2:AF337),$AF$2:$AF$1001,0),MATCH(COLUMNS($AM$1006:BA1006),$AM$1006:$BM$1006,0)), HYPERLINK("#",""), HYPERLINK(CONCATENATE("#metadata!", ADDRESS(INDEX($AH$2:$AH$1001,MATCH(ROWS($AF$2:AF337),$AF$2:$AF$1001,0),0), INDEX($AM$1004:$BM$1004,1,MATCH(COLUMNS($AM$1006:BA1006),$AM$1006:$BM$1006,0)))),"Fix")))</f>
        <v xml:space="preserve"> </v>
      </c>
      <c r="Q337" s="4" t="str">
        <f ca="1">IF(OR(INDEX($AG$2:$AG$1001,MATCH(ROWS($AF$2:AF337),$AF$2:$AF$1001,0),1)&gt;=100000,INDEX($AM$1005:$BM$1005,1,MATCH(COLUMNS($AM$1006:BB1006),$AM$1006:$BM$1006,0))&gt;=100000), " ",IF(INDEX($AM$2:$BM$1001,MATCH(ROWS($AF$2:AF337),$AF$2:$AF$1001,0),MATCH(COLUMNS($AM$1006:BB1006),$AM$1006:$BM$1006,0)), HYPERLINK("#",""), HYPERLINK(CONCATENATE("#metadata!", ADDRESS(INDEX($AH$2:$AH$1001,MATCH(ROWS($AF$2:AF337),$AF$2:$AF$1001,0),0), INDEX($AM$1004:$BM$1004,1,MATCH(COLUMNS($AM$1006:BB1006),$AM$1006:$BM$1006,0)))),"Fix")))</f>
        <v xml:space="preserve"> </v>
      </c>
      <c r="R337" s="4" t="str">
        <f ca="1">IF(OR(INDEX($AG$2:$AG$1001,MATCH(ROWS($AF$2:AF337),$AF$2:$AF$1001,0),1)&gt;=100000,INDEX($AM$1005:$BM$1005,1,MATCH(COLUMNS($AM$1006:BC1006),$AM$1006:$BM$1006,0))&gt;=100000), " ",IF(INDEX($AM$2:$BM$1001,MATCH(ROWS($AF$2:AF337),$AF$2:$AF$1001,0),MATCH(COLUMNS($AM$1006:BC1006),$AM$1006:$BM$1006,0)), HYPERLINK("#",""), HYPERLINK(CONCATENATE("#metadata!", ADDRESS(INDEX($AH$2:$AH$1001,MATCH(ROWS($AF$2:AF337),$AF$2:$AF$1001,0),0), INDEX($AM$1004:$BM$1004,1,MATCH(COLUMNS($AM$1006:BC1006),$AM$1006:$BM$1006,0)))),"Fix")))</f>
        <v xml:space="preserve"> </v>
      </c>
      <c r="S337" s="4" t="str">
        <f ca="1">IF(OR(INDEX($AG$2:$AG$1001,MATCH(ROWS($AF$2:AF337),$AF$2:$AF$1001,0),1)&gt;=100000,INDEX($AM$1005:$BM$1005,1,MATCH(COLUMNS($AM$1006:BD1006),$AM$1006:$BM$1006,0))&gt;=100000), " ",IF(INDEX($AM$2:$BM$1001,MATCH(ROWS($AF$2:AF337),$AF$2:$AF$1001,0),MATCH(COLUMNS($AM$1006:BD1006),$AM$1006:$BM$1006,0)), HYPERLINK("#",""), HYPERLINK(CONCATENATE("#metadata!", ADDRESS(INDEX($AH$2:$AH$1001,MATCH(ROWS($AF$2:AF337),$AF$2:$AF$1001,0),0), INDEX($AM$1004:$BM$1004,1,MATCH(COLUMNS($AM$1006:BD1006),$AM$1006:$BM$1006,0)))),"Fix")))</f>
        <v xml:space="preserve"> </v>
      </c>
      <c r="T337" s="4" t="str">
        <f ca="1">IF(OR(INDEX($AG$2:$AG$1001,MATCH(ROWS($AF$2:AF337),$AF$2:$AF$1001,0),1)&gt;=100000,INDEX($AM$1005:$BM$1005,1,MATCH(COLUMNS($AM$1006:BE1006),$AM$1006:$BM$1006,0))&gt;=100000), " ",IF(INDEX($AM$2:$BM$1001,MATCH(ROWS($AF$2:AF337),$AF$2:$AF$1001,0),MATCH(COLUMNS($AM$1006:BE1006),$AM$1006:$BM$1006,0)), HYPERLINK("#",""), HYPERLINK(CONCATENATE("#metadata!", ADDRESS(INDEX($AH$2:$AH$1001,MATCH(ROWS($AF$2:AF337),$AF$2:$AF$1001,0),0), INDEX($AM$1004:$BM$1004,1,MATCH(COLUMNS($AM$1006:BE1006),$AM$1006:$BM$1006,0)))),"Fix")))</f>
        <v xml:space="preserve"> </v>
      </c>
      <c r="U337" s="4" t="str">
        <f ca="1">IF(OR(INDEX($AG$2:$AG$1001,MATCH(ROWS($AF$2:AF337),$AF$2:$AF$1001,0),1)&gt;=100000,INDEX($AM$1005:$BM$1005,1,MATCH(COLUMNS($AM$1006:BF1006),$AM$1006:$BM$1006,0))&gt;=100000), " ",IF(INDEX($AM$2:$BM$1001,MATCH(ROWS($AF$2:AF337),$AF$2:$AF$1001,0),MATCH(COLUMNS($AM$1006:BF1006),$AM$1006:$BM$1006,0)), HYPERLINK("#",""), HYPERLINK(CONCATENATE("#metadata!", ADDRESS(INDEX($AH$2:$AH$1001,MATCH(ROWS($AF$2:AF337),$AF$2:$AF$1001,0),0), INDEX($AM$1004:$BM$1004,1,MATCH(COLUMNS($AM$1006:BF1006),$AM$1006:$BM$1006,0)))),"Fix")))</f>
        <v xml:space="preserve"> </v>
      </c>
      <c r="V337" s="4" t="str">
        <f ca="1">IF(OR(INDEX($AG$2:$AG$1001,MATCH(ROWS($AF$2:AF337),$AF$2:$AF$1001,0),1)&gt;=100000,INDEX($AM$1005:$BM$1005,1,MATCH(COLUMNS($AM$1006:BG1006),$AM$1006:$BM$1006,0))&gt;=100000), " ",IF(INDEX($AM$2:$BM$1001,MATCH(ROWS($AF$2:AF337),$AF$2:$AF$1001,0),MATCH(COLUMNS($AM$1006:BG1006),$AM$1006:$BM$1006,0)), HYPERLINK("#",""), HYPERLINK(CONCATENATE("#metadata!", ADDRESS(INDEX($AH$2:$AH$1001,MATCH(ROWS($AF$2:AF337),$AF$2:$AF$1001,0),0), INDEX($AM$1004:$BM$1004,1,MATCH(COLUMNS($AM$1006:BG1006),$AM$1006:$BM$1006,0)))),"Fix")))</f>
        <v xml:space="preserve"> </v>
      </c>
      <c r="W337" s="4" t="str">
        <f ca="1">IF(OR(INDEX($AG$2:$AG$1001,MATCH(ROWS($AF$2:AF337),$AF$2:$AF$1001,0),1)&gt;=100000,INDEX($AM$1005:$BM$1005,1,MATCH(COLUMNS($AM$1006:BH1006),$AM$1006:$BM$1006,0))&gt;=100000), " ",IF(INDEX($AM$2:$BM$1001,MATCH(ROWS($AF$2:AF337),$AF$2:$AF$1001,0),MATCH(COLUMNS($AM$1006:BH1006),$AM$1006:$BM$1006,0)), HYPERLINK("#",""), HYPERLINK(CONCATENATE("#metadata!", ADDRESS(INDEX($AH$2:$AH$1001,MATCH(ROWS($AF$2:AF337),$AF$2:$AF$1001,0),0), INDEX($AM$1004:$BM$1004,1,MATCH(COLUMNS($AM$1006:BH1006),$AM$1006:$BM$1006,0)))),"Fix")))</f>
        <v xml:space="preserve"> </v>
      </c>
      <c r="X337" s="4" t="str">
        <f ca="1">IF(OR(INDEX($AG$2:$AG$1001,MATCH(ROWS($AF$2:AF337),$AF$2:$AF$1001,0),1)&gt;=100000,INDEX($AM$1005:$BM$1005,1,MATCH(COLUMNS($AM$1006:BI1006),$AM$1006:$BM$1006,0))&gt;=100000), " ",IF(INDEX($AM$2:$BM$1001,MATCH(ROWS($AF$2:AF337),$AF$2:$AF$1001,0),MATCH(COLUMNS($AM$1006:BI1006),$AM$1006:$BM$1006,0)), HYPERLINK("#",""), HYPERLINK(CONCATENATE("#metadata!", ADDRESS(INDEX($AH$2:$AH$1001,MATCH(ROWS($AF$2:AF337),$AF$2:$AF$1001,0),0), INDEX($AM$1004:$BM$1004,1,MATCH(COLUMNS($AM$1006:BI1006),$AM$1006:$BM$1006,0)))),"Fix")))</f>
        <v xml:space="preserve"> </v>
      </c>
      <c r="Y337" s="4" t="str">
        <f ca="1">IF(OR(INDEX($AG$2:$AG$1001,MATCH(ROWS($AF$2:AF337),$AF$2:$AF$1001,0),1)&gt;=100000,INDEX($AM$1005:$BM$1005,1,MATCH(COLUMNS($AM$1006:BJ1006),$AM$1006:$BM$1006,0))&gt;=100000), " ",IF(INDEX($AM$2:$BM$1001,MATCH(ROWS($AF$2:AF337),$AF$2:$AF$1001,0),MATCH(COLUMNS($AM$1006:BJ1006),$AM$1006:$BM$1006,0)), HYPERLINK("#",""), HYPERLINK(CONCATENATE("#metadata!", ADDRESS(INDEX($AH$2:$AH$1001,MATCH(ROWS($AF$2:AF337),$AF$2:$AF$1001,0),0), INDEX($AM$1004:$BM$1004,1,MATCH(COLUMNS($AM$1006:BJ1006),$AM$1006:$BM$1006,0)))),"Fix")))</f>
        <v xml:space="preserve"> </v>
      </c>
      <c r="Z337" s="4" t="str">
        <f ca="1">IF(OR(INDEX($AG$2:$AG$1001,MATCH(ROWS($AF$2:AF337),$AF$2:$AF$1001,0),1)&gt;=100000,INDEX($AM$1005:$BM$1005,1,MATCH(COLUMNS($AM$1006:BK1006),$AM$1006:$BM$1006,0))&gt;=100000), " ",IF(INDEX($AM$2:$BM$1001,MATCH(ROWS($AF$2:AF337),$AF$2:$AF$1001,0),MATCH(COLUMNS($AM$1006:BK1006),$AM$1006:$BM$1006,0)), HYPERLINK("#",""), HYPERLINK(CONCATENATE("#metadata!", ADDRESS(INDEX($AH$2:$AH$1001,MATCH(ROWS($AF$2:AF337),$AF$2:$AF$1001,0),0), INDEX($AM$1004:$BM$1004,1,MATCH(COLUMNS($AM$1006:BK1006),$AM$1006:$BM$1006,0)))),"Fix")))</f>
        <v xml:space="preserve"> </v>
      </c>
      <c r="AA337" s="4" t="str">
        <f ca="1">IF(OR(INDEX($AG$2:$AG$1001,MATCH(ROWS($AF$2:AF337),$AF$2:$AF$1001,0),1)&gt;=100000,INDEX($AM$1005:$BM$1005,1,MATCH(COLUMNS($AM$1006:BL1006),$AM$1006:$BM$1006,0))&gt;=100000), " ",IF(INDEX($AM$2:$BM$1001,MATCH(ROWS($AF$2:AF337),$AF$2:$AF$1001,0),MATCH(COLUMNS($AM$1006:BL1006),$AM$1006:$BM$1006,0)), HYPERLINK("#",""), HYPERLINK(CONCATENATE("#metadata!", ADDRESS(INDEX($AH$2:$AH$1001,MATCH(ROWS($AF$2:AF337),$AF$2:$AF$1001,0),0), INDEX($AM$1004:$BM$1004,1,MATCH(COLUMNS($AM$1006:BL1006),$AM$1006:$BM$1006,0)))),"Fix")))</f>
        <v xml:space="preserve"> </v>
      </c>
      <c r="AB337" s="4" t="str">
        <f ca="1">IF(OR(INDEX($AG$2:$AG$1001,MATCH(ROWS($AF$2:AF337),$AF$2:$AF$1001,0),1)&gt;=100000,INDEX($AM$1005:$BM$1005,1,MATCH(COLUMNS($AM$1006:BM1006),$AM$1006:$BM$1006,0))&gt;=100000), " ",IF(INDEX($AM$2:$BM$1001,MATCH(ROWS($AF$2:AF337),$AF$2:$AF$1001,0),MATCH(COLUMNS($AM$1006:BM1006),$AM$1006:$BM$1006,0)), HYPERLINK("#",""), HYPERLINK(CONCATENATE("#metadata!", ADDRESS(INDEX($AH$2:$AH$1001,MATCH(ROWS($AF$2:AF337),$AF$2:$AF$1001,0),0), INDEX($AM$1004:$BM$1004,1,MATCH(COLUMNS($AM$1006:BM1006),$AM$1006:$BM$1006,0)))),"Fix")))</f>
        <v xml:space="preserve"> </v>
      </c>
      <c r="AF337">
        <v>336</v>
      </c>
      <c r="AG337">
        <v>100337</v>
      </c>
      <c r="AH337">
        <v>337</v>
      </c>
      <c r="AI337" t="b">
        <f t="shared" si="5"/>
        <v>1</v>
      </c>
      <c r="AJ337" t="b">
        <f>COUNTBLANK(metadata!B337:AB337)=COLUMNS(metadata!B337:AB337)</f>
        <v>1</v>
      </c>
      <c r="AK337" t="str">
        <v/>
      </c>
      <c r="AM337" t="b">
        <f ca="1">AND(IF(metadata!B337="",FALSE,TRUE),COUNTIF(metadata!B:B, metadata!B337) = 1,NOT(ISERROR(SUMPRODUCT(SEARCH(MID(metadata!B337,ROW(INDIRECT("1:"&amp;LEN(metadata!B337))), 1),"0123456789abcdefghijklmnopqrstuvwxyzABCDEFGHIJKLMNOPQRSTUVWXYZ.")))))</f>
        <v>0</v>
      </c>
      <c r="AN337" t="b">
        <f ca="1">OR(AND(IF(metadata!C337="",FALSE,TRUE),OR(EXACT(metadata!C337,"missing: not collected"),EXACT(metadata!C337,"missing: not provided"),EXACT(metadata!C337,"missing: restricted access"))),AND(IF(metadata!C337="",FALSE,TRUE),AND(AND(IFERROR(INT(LEFT(metadata!C337,4))&gt;1900,FALSE),IFERROR(INT(LEFT(metadata!C337,4))&lt;=YEAR(NOW()),FALSE)), OR(MID(metadata!C337,5,1)="", AND(AND(MID(metadata!C337,5,1)="-",IFERROR(INT(MID(metadata!C337,6,1))&gt;=0,FALSE),IFERROR(INT(MID(metadata!C337,6,1))&lt;=1,FALSE),NOT(MID(metadata!C337,7,1)=""),IFERROR(INT(MID(metadata!C337,6,2))&gt;=1,FALSE),IFERROR(INT(MID(metadata!C337,6,2))&lt;=12,FALSE)), OR(MID(metadata!C337,8,1)="", AND(AND(MID(metadata!C337,8,1)="-",IFERROR(INT(MID(metadata!C337,9,1))&gt;=0,FALSE),IFERROR(INT(MID(metadata!C337,9,1))&lt;=3,FALSE),NOT(MID(metadata!C337,10,1)=""),IFERROR(INT(MID(metadata!C337,9,2))&gt;=1,FALSE),IFERROR(INT(MID(metadata!C337,9,2))&lt;=31,FALSE)), OR(MID(metadata!C337,11,1)="", AND(AND(MID(metadata!C337,11,1)=" ",IFERROR(INT(MID(metadata!C337,12,1))&gt;=0,FALSE),IFERROR(INT(MID(metadata!C337,12,1))&lt;=2,FALSE),NOT(MID(metadata!C337,13,1)=""),IFERROR(INT(MID(metadata!C337,12,2))&gt;=0,FALSE),IFERROR(INT(MID(metadata!C337,12,2))&lt;=23,FALSE)), OR(MID(metadata!C337,14,1)="", AND(AND(MID(metadata!C337,14,1)=":",IFERROR(INT(MID(metadata!C337,15,1))&gt;=0,FALSE),IFERROR(INT(MID(metadata!C337,15,1))&lt;=5,FALSE),NOT(MID(metadata!C337,16,1)=""),IFERROR(INT(MID(metadata!C337,15,2))&gt;=0,FALSE),IFERROR(INT(MID(metadata!C337,15,2))&lt;=59,FALSE)), OR(MID(metadata!C337,17,1)="", AND(AND(MID(metadata!C337,17,1)=":",IFERROR(INT(MID(metadata!C337,18,1))&gt;=0,FALSE),IFERROR(INT(MID(metadata!C337,18,1))&lt;=5,FALSE),NOT(MID(metadata!C337,19,1)=""),IFERROR(INT(MID(metadata!C337,18,2))&gt;=0,FALSE),IFERROR(INT(MID(metadata!C337,18,2))&lt;=59,FALSE)), LEN(metadata!C337)&lt;=19)))))))))))))</f>
        <v>0</v>
      </c>
      <c r="AO337" t="b">
        <f>AND(IF(metadata!D337="",FALSE,TRUE),EXACT(metadata!D337,"Not applicable"))</f>
        <v>0</v>
      </c>
      <c r="AP337" t="b">
        <f>IF(metadata!E337="",FALSE,TRUE)</f>
        <v>0</v>
      </c>
      <c r="AQ337" t="b">
        <f>OR(AND(IF(metadata!F337="",FALSE,TRUE),OR(EXACT(metadata!F337,"missing: not collected"),EXACT(metadata!F337,"missing: not provided"))),AND(IF(metadata!F337="",FALSE,TRUE),OR(EXACT(metadata!F337,"TRUE"),EXACT(metadata!F337,"FALSE"))))</f>
        <v>0</v>
      </c>
      <c r="AR337" t="b">
        <f>OR(AND(IF(metadata!G337="",FALSE,TRUE),OR(EXACT(metadata!G337,"missing: not collected"),EXACT(metadata!G337,"missing: not provided"),EXACT(metadata!G337,"missing: restricted access"))),AND(IF(metadata!G337="",FALSE,ISNUMBER(VALUE(metadata!G337))),metadata!G337&gt;=-413))</f>
        <v>0</v>
      </c>
      <c r="AS337" t="b">
        <f>AND(IF(metadata!H337="",FALSE,TRUE),EXACT(metadata!H337,"meters"))</f>
        <v>0</v>
      </c>
      <c r="AT337" t="b">
        <f>AND(IF(metadata!I337="",FALSE,TRUE),OR(EXACT(metadata!I337,"Host-associated"),EXACT(metadata!I337,"Free-living")))</f>
        <v>0</v>
      </c>
      <c r="AU337" t="b">
        <f>AND(IF(metadata!J337="",FALSE,TRUE),OR(EXACT(metadata!J337,"Animal"),EXACT(metadata!J337,"Fungus"),EXACT(metadata!J337,"Plant"),EXACT(metadata!J337,"Saline"),EXACT(metadata!J337,"Non-saline")))</f>
        <v>0</v>
      </c>
      <c r="AV337" t="b">
        <f>AND(IF(metadata!K337="",FALSE,TRUE),OR(EXACT(metadata!K337,"Plant secretion"),EXACT(metadata!K337,"Plant rhizosphere"),EXACT(metadata!K337,"Plant surface"),EXACT(metadata!K337,"Plant corpus"),EXACT(metadata!K337,"Fungus surface"),EXACT(metadata!K337,"Fungus corpus"),EXACT(metadata!K337,"Animal surface"),EXACT(metadata!K337,"Animal proximal gut"),EXACT(metadata!K337,"Animal corpus"),EXACT(metadata!K337,"Animal distal gut"),EXACT(metadata!K337,"Animal secretion"),EXACT(metadata!K337,"Sub-surface (non-saline)"),EXACT(metadata!K337,"Surface (non-saline)"),EXACT(metadata!K337,"Water (non-saline)"),EXACT(metadata!K337,"Soil (non-saline)"),EXACT(metadata!K337,"Aerosol (non-saline)"),EXACT(metadata!K337,"Sediment (non-saline)"),EXACT(metadata!K337,"Surface (saline)"),EXACT(metadata!K337,"Water (saline)"),EXACT(metadata!K337,"Hypersaline (saline)"),EXACT(metadata!K337,"Aerosol (saline)"),EXACT(metadata!K337,"Sediment (saline)")))</f>
        <v>0</v>
      </c>
      <c r="AW337" t="b">
        <f>IF(metadata!L337="",FALSE,TRUE)</f>
        <v>0</v>
      </c>
      <c r="AX337" t="b">
        <f>IF(metadata!M337="",FALSE,TRUE)</f>
        <v>0</v>
      </c>
      <c r="AY337" t="b">
        <f>IF(metadata!N337="",FALSE,TRUE)</f>
        <v>0</v>
      </c>
      <c r="AZ337" t="b">
        <f>OR(AND(IF(metadata!O337="",FALSE,TRUE),OR(EXACT(metadata!O337,"missing: not collected"),EXACT(metadata!O337,"missing: not provided"),EXACT(metadata!O337,"missing: restricted access"))),AND(IF(metadata!O337="",FALSE,TRUE),OR(EXACT(metadata!O337,"air"),EXACT(metadata!O337,"built environment"),EXACT(metadata!O337,"host-associated"),EXACT(metadata!O337,"human-associated"),EXACT(metadata!O337,"human-skin"),EXACT(metadata!O337,"human-oral"),EXACT(metadata!O337,"human-gut"),EXACT(metadata!O337,"human-vaginal"),EXACT(metadata!O337,"microbial mat/biofilm"),EXACT(metadata!O337,"misc environment"),EXACT(metadata!O337,"plant-associated"),EXACT(metadata!O337,"sediment"),EXACT(metadata!O337,"soil"),EXACT(metadata!O337,"wastewater/sludge"),EXACT(metadata!O337,"water"))))</f>
        <v>0</v>
      </c>
      <c r="BA337" t="b">
        <f>IF(metadata!P337="",FALSE,TRUE)</f>
        <v>0</v>
      </c>
      <c r="BB337" t="b">
        <f>IF(metadata!Q337="",FALSE,TRUE)</f>
        <v>0</v>
      </c>
      <c r="BC337" t="b">
        <f>OR(AND(IF(metadata!R337="",FALSE,TRUE),OR(EXACT(metadata!R337,"missing: not collected"),EXACT(metadata!R337,"missing: not provided"),EXACT(metadata!R337,"missing: restricted access"))),AND(IF(metadata!R337="",FALSE,ISNUMBER(VALUE(metadata!R337))),metadata!R337&gt;=-90,metadata!R337&lt;=90))</f>
        <v>0</v>
      </c>
      <c r="BD337" t="b">
        <f>AND(IF(metadata!S337="",FALSE,TRUE),EXACT(metadata!S337,"Decimal degrees"))</f>
        <v>0</v>
      </c>
      <c r="BE337" t="b">
        <f>OR(AND(IF(metadata!T337="",FALSE,TRUE),OR(EXACT(metadata!T337,"missing: not collected"),EXACT(metadata!T337,"missing: not provided"),EXACT(metadata!T337,"missing: restricted access"))),AND(IF(metadata!T337="",FALSE,ISNUMBER(VALUE(metadata!T337))),metadata!T337&gt;=-180,metadata!T337&lt;=180))</f>
        <v>0</v>
      </c>
      <c r="BF337" t="b">
        <f>AND(IF(metadata!U337="",FALSE,TRUE),EXACT(metadata!U337,"Decimal degrees"))</f>
        <v>0</v>
      </c>
      <c r="BG337" t="b">
        <f>IF(metadata!V337="",FALSE,TRUE)</f>
        <v>0</v>
      </c>
      <c r="BH337" t="b">
        <f>OR(AND(IF(metadata!W337="",FALSE,TRUE),OR(EXACT(metadata!W337,"missing: not collected"),EXACT(metadata!W337,"missing: not provided"),EXACT(metadata!W337,"missing: restricted access"))),AND(IF(metadata!W337="",FALSE,TRUE),OR(EXACT(metadata!W337,"TRUE"),EXACT(metadata!W337,"FALSE"))))</f>
        <v>0</v>
      </c>
      <c r="BI337" t="b">
        <f>AND(IF(metadata!X337="",FALSE,TRUE),EXACT(metadata!X337,"other"))</f>
        <v>0</v>
      </c>
      <c r="BJ337" t="b">
        <f>IF(metadata!Y337="",FALSE,TRUE)</f>
        <v>0</v>
      </c>
      <c r="BK337" t="b">
        <f>OR(AND(IF(metadata!Z337="",FALSE,TRUE),OR(EXACT(metadata!Z337,"missing: not collected"),EXACT(metadata!Z337,"missing: not provided"))),AND(IF(metadata!Z337="",FALSE,IF(ISERROR(INT(metadata!Z337)),FALSE,INT(metadata!Z337)=metadata!Z337)),metadata!Z337&gt;0))</f>
        <v>0</v>
      </c>
      <c r="BL337" t="b">
        <f>AND(IF(metadata!AA337="",FALSE,TRUE),EXACT(metadata!AA337,"Not applicable"))</f>
        <v>0</v>
      </c>
      <c r="BM337" t="b">
        <f>IF(metadata!AB337="",FALSE,TRUE)</f>
        <v>0</v>
      </c>
    </row>
    <row r="338" spans="1:65" x14ac:dyDescent="0.2">
      <c r="A338" s="5" t="str">
        <f ca="1">IF(B338=" "," ",HYPERLINK(CONCATENATE("#metadata!",ADDRESS(INDEX($AH$2:$AH$1001,MATCH(ROWS($AF$2:AF338),$AF$2:$AF$1001,0),0),1)),INDEX($AK$2:$AK$1001,MATCH(ROWS($AF$2:AF338),$AF$2:$AF$1001,0),0)))</f>
        <v xml:space="preserve"> </v>
      </c>
      <c r="B338" s="4" t="str">
        <f ca="1">IF(OR(INDEX($AG$2:$AG$1001,MATCH(ROWS($AF$2:AF338),$AF$2:$AF$1001,0),1)&gt;=100000,INDEX($AM$1005:$BM$1005,1,MATCH(COLUMNS($AM$1006:AM1006),$AM$1006:$BM$1006,0))&gt;=100000), " ",IF(INDEX($AM$2:$BM$1001,MATCH(ROWS($AF$2:AF338),$AF$2:$AF$1001,0),MATCH(COLUMNS($AM$1006:AM1006),$AM$1006:$BM$1006,0)), HYPERLINK("#",""), HYPERLINK(CONCATENATE("#metadata!", ADDRESS(INDEX($AH$2:$AH$1001,MATCH(ROWS($AF$2:AF338),$AF$2:$AF$1001,0),0), INDEX($AM$1004:$BM$1004,1,MATCH(COLUMNS($AM$1006:AM1006),$AM$1006:$BM$1006,0)))),"Fix")))</f>
        <v xml:space="preserve"> </v>
      </c>
      <c r="C338" s="4" t="str">
        <f ca="1">IF(OR(INDEX($AG$2:$AG$1001,MATCH(ROWS($AF$2:AF338),$AF$2:$AF$1001,0),1)&gt;=100000,INDEX($AM$1005:$BM$1005,1,MATCH(COLUMNS($AM$1006:AN1006),$AM$1006:$BM$1006,0))&gt;=100000), " ",IF(INDEX($AM$2:$BM$1001,MATCH(ROWS($AF$2:AF338),$AF$2:$AF$1001,0),MATCH(COLUMNS($AM$1006:AN1006),$AM$1006:$BM$1006,0)), HYPERLINK("#",""), HYPERLINK(CONCATENATE("#metadata!", ADDRESS(INDEX($AH$2:$AH$1001,MATCH(ROWS($AF$2:AF338),$AF$2:$AF$1001,0),0), INDEX($AM$1004:$BM$1004,1,MATCH(COLUMNS($AM$1006:AN1006),$AM$1006:$BM$1006,0)))),"Fix")))</f>
        <v xml:space="preserve"> </v>
      </c>
      <c r="D338" s="4" t="str">
        <f ca="1">IF(OR(INDEX($AG$2:$AG$1001,MATCH(ROWS($AF$2:AF338),$AF$2:$AF$1001,0),1)&gt;=100000,INDEX($AM$1005:$BM$1005,1,MATCH(COLUMNS($AM$1006:AO1006),$AM$1006:$BM$1006,0))&gt;=100000), " ",IF(INDEX($AM$2:$BM$1001,MATCH(ROWS($AF$2:AF338),$AF$2:$AF$1001,0),MATCH(COLUMNS($AM$1006:AO1006),$AM$1006:$BM$1006,0)), HYPERLINK("#",""), HYPERLINK(CONCATENATE("#metadata!", ADDRESS(INDEX($AH$2:$AH$1001,MATCH(ROWS($AF$2:AF338),$AF$2:$AF$1001,0),0), INDEX($AM$1004:$BM$1004,1,MATCH(COLUMNS($AM$1006:AO1006),$AM$1006:$BM$1006,0)))),"Fix")))</f>
        <v xml:space="preserve"> </v>
      </c>
      <c r="E338" s="4" t="str">
        <f ca="1">IF(OR(INDEX($AG$2:$AG$1001,MATCH(ROWS($AF$2:AF338),$AF$2:$AF$1001,0),1)&gt;=100000,INDEX($AM$1005:$BM$1005,1,MATCH(COLUMNS($AM$1006:AP1006),$AM$1006:$BM$1006,0))&gt;=100000), " ",IF(INDEX($AM$2:$BM$1001,MATCH(ROWS($AF$2:AF338),$AF$2:$AF$1001,0),MATCH(COLUMNS($AM$1006:AP1006),$AM$1006:$BM$1006,0)), HYPERLINK("#",""), HYPERLINK(CONCATENATE("#metadata!", ADDRESS(INDEX($AH$2:$AH$1001,MATCH(ROWS($AF$2:AF338),$AF$2:$AF$1001,0),0), INDEX($AM$1004:$BM$1004,1,MATCH(COLUMNS($AM$1006:AP1006),$AM$1006:$BM$1006,0)))),"Fix")))</f>
        <v xml:space="preserve"> </v>
      </c>
      <c r="F338" s="4" t="str">
        <f ca="1">IF(OR(INDEX($AG$2:$AG$1001,MATCH(ROWS($AF$2:AF338),$AF$2:$AF$1001,0),1)&gt;=100000,INDEX($AM$1005:$BM$1005,1,MATCH(COLUMNS($AM$1006:AQ1006),$AM$1006:$BM$1006,0))&gt;=100000), " ",IF(INDEX($AM$2:$BM$1001,MATCH(ROWS($AF$2:AF338),$AF$2:$AF$1001,0),MATCH(COLUMNS($AM$1006:AQ1006),$AM$1006:$BM$1006,0)), HYPERLINK("#",""), HYPERLINK(CONCATENATE("#metadata!", ADDRESS(INDEX($AH$2:$AH$1001,MATCH(ROWS($AF$2:AF338),$AF$2:$AF$1001,0),0), INDEX($AM$1004:$BM$1004,1,MATCH(COLUMNS($AM$1006:AQ1006),$AM$1006:$BM$1006,0)))),"Fix")))</f>
        <v xml:space="preserve"> </v>
      </c>
      <c r="G338" s="4" t="str">
        <f ca="1">IF(OR(INDEX($AG$2:$AG$1001,MATCH(ROWS($AF$2:AF338),$AF$2:$AF$1001,0),1)&gt;=100000,INDEX($AM$1005:$BM$1005,1,MATCH(COLUMNS($AM$1006:AR1006),$AM$1006:$BM$1006,0))&gt;=100000), " ",IF(INDEX($AM$2:$BM$1001,MATCH(ROWS($AF$2:AF338),$AF$2:$AF$1001,0),MATCH(COLUMNS($AM$1006:AR1006),$AM$1006:$BM$1006,0)), HYPERLINK("#",""), HYPERLINK(CONCATENATE("#metadata!", ADDRESS(INDEX($AH$2:$AH$1001,MATCH(ROWS($AF$2:AF338),$AF$2:$AF$1001,0),0), INDEX($AM$1004:$BM$1004,1,MATCH(COLUMNS($AM$1006:AR1006),$AM$1006:$BM$1006,0)))),"Fix")))</f>
        <v xml:space="preserve"> </v>
      </c>
      <c r="H338" s="4" t="str">
        <f ca="1">IF(OR(INDEX($AG$2:$AG$1001,MATCH(ROWS($AF$2:AF338),$AF$2:$AF$1001,0),1)&gt;=100000,INDEX($AM$1005:$BM$1005,1,MATCH(COLUMNS($AM$1006:AS1006),$AM$1006:$BM$1006,0))&gt;=100000), " ",IF(INDEX($AM$2:$BM$1001,MATCH(ROWS($AF$2:AF338),$AF$2:$AF$1001,0),MATCH(COLUMNS($AM$1006:AS1006),$AM$1006:$BM$1006,0)), HYPERLINK("#",""), HYPERLINK(CONCATENATE("#metadata!", ADDRESS(INDEX($AH$2:$AH$1001,MATCH(ROWS($AF$2:AF338),$AF$2:$AF$1001,0),0), INDEX($AM$1004:$BM$1004,1,MATCH(COLUMNS($AM$1006:AS1006),$AM$1006:$BM$1006,0)))),"Fix")))</f>
        <v xml:space="preserve"> </v>
      </c>
      <c r="I338" s="4" t="str">
        <f ca="1">IF(OR(INDEX($AG$2:$AG$1001,MATCH(ROWS($AF$2:AF338),$AF$2:$AF$1001,0),1)&gt;=100000,INDEX($AM$1005:$BM$1005,1,MATCH(COLUMNS($AM$1006:AT1006),$AM$1006:$BM$1006,0))&gt;=100000), " ",IF(INDEX($AM$2:$BM$1001,MATCH(ROWS($AF$2:AF338),$AF$2:$AF$1001,0),MATCH(COLUMNS($AM$1006:AT1006),$AM$1006:$BM$1006,0)), HYPERLINK("#",""), HYPERLINK(CONCATENATE("#metadata!", ADDRESS(INDEX($AH$2:$AH$1001,MATCH(ROWS($AF$2:AF338),$AF$2:$AF$1001,0),0), INDEX($AM$1004:$BM$1004,1,MATCH(COLUMNS($AM$1006:AT1006),$AM$1006:$BM$1006,0)))),"Fix")))</f>
        <v xml:space="preserve"> </v>
      </c>
      <c r="J338" s="4" t="str">
        <f ca="1">IF(OR(INDEX($AG$2:$AG$1001,MATCH(ROWS($AF$2:AF338),$AF$2:$AF$1001,0),1)&gt;=100000,INDEX($AM$1005:$BM$1005,1,MATCH(COLUMNS($AM$1006:AU1006),$AM$1006:$BM$1006,0))&gt;=100000), " ",IF(INDEX($AM$2:$BM$1001,MATCH(ROWS($AF$2:AF338),$AF$2:$AF$1001,0),MATCH(COLUMNS($AM$1006:AU1006),$AM$1006:$BM$1006,0)), HYPERLINK("#",""), HYPERLINK(CONCATENATE("#metadata!", ADDRESS(INDEX($AH$2:$AH$1001,MATCH(ROWS($AF$2:AF338),$AF$2:$AF$1001,0),0), INDEX($AM$1004:$BM$1004,1,MATCH(COLUMNS($AM$1006:AU1006),$AM$1006:$BM$1006,0)))),"Fix")))</f>
        <v xml:space="preserve"> </v>
      </c>
      <c r="K338" s="4" t="str">
        <f ca="1">IF(OR(INDEX($AG$2:$AG$1001,MATCH(ROWS($AF$2:AF338),$AF$2:$AF$1001,0),1)&gt;=100000,INDEX($AM$1005:$BM$1005,1,MATCH(COLUMNS($AM$1006:AV1006),$AM$1006:$BM$1006,0))&gt;=100000), " ",IF(INDEX($AM$2:$BM$1001,MATCH(ROWS($AF$2:AF338),$AF$2:$AF$1001,0),MATCH(COLUMNS($AM$1006:AV1006),$AM$1006:$BM$1006,0)), HYPERLINK("#",""), HYPERLINK(CONCATENATE("#metadata!", ADDRESS(INDEX($AH$2:$AH$1001,MATCH(ROWS($AF$2:AF338),$AF$2:$AF$1001,0),0), INDEX($AM$1004:$BM$1004,1,MATCH(COLUMNS($AM$1006:AV1006),$AM$1006:$BM$1006,0)))),"Fix")))</f>
        <v xml:space="preserve"> </v>
      </c>
      <c r="L338" s="4" t="str">
        <f ca="1">IF(OR(INDEX($AG$2:$AG$1001,MATCH(ROWS($AF$2:AF338),$AF$2:$AF$1001,0),1)&gt;=100000,INDEX($AM$1005:$BM$1005,1,MATCH(COLUMNS($AM$1006:AW1006),$AM$1006:$BM$1006,0))&gt;=100000), " ",IF(INDEX($AM$2:$BM$1001,MATCH(ROWS($AF$2:AF338),$AF$2:$AF$1001,0),MATCH(COLUMNS($AM$1006:AW1006),$AM$1006:$BM$1006,0)), HYPERLINK("#",""), HYPERLINK(CONCATENATE("#metadata!", ADDRESS(INDEX($AH$2:$AH$1001,MATCH(ROWS($AF$2:AF338),$AF$2:$AF$1001,0),0), INDEX($AM$1004:$BM$1004,1,MATCH(COLUMNS($AM$1006:AW1006),$AM$1006:$BM$1006,0)))),"Fix")))</f>
        <v xml:space="preserve"> </v>
      </c>
      <c r="M338" s="4" t="str">
        <f ca="1">IF(OR(INDEX($AG$2:$AG$1001,MATCH(ROWS($AF$2:AF338),$AF$2:$AF$1001,0),1)&gt;=100000,INDEX($AM$1005:$BM$1005,1,MATCH(COLUMNS($AM$1006:AX1006),$AM$1006:$BM$1006,0))&gt;=100000), " ",IF(INDEX($AM$2:$BM$1001,MATCH(ROWS($AF$2:AF338),$AF$2:$AF$1001,0),MATCH(COLUMNS($AM$1006:AX1006),$AM$1006:$BM$1006,0)), HYPERLINK("#",""), HYPERLINK(CONCATENATE("#metadata!", ADDRESS(INDEX($AH$2:$AH$1001,MATCH(ROWS($AF$2:AF338),$AF$2:$AF$1001,0),0), INDEX($AM$1004:$BM$1004,1,MATCH(COLUMNS($AM$1006:AX1006),$AM$1006:$BM$1006,0)))),"Fix")))</f>
        <v xml:space="preserve"> </v>
      </c>
      <c r="N338" s="4" t="str">
        <f ca="1">IF(OR(INDEX($AG$2:$AG$1001,MATCH(ROWS($AF$2:AF338),$AF$2:$AF$1001,0),1)&gt;=100000,INDEX($AM$1005:$BM$1005,1,MATCH(COLUMNS($AM$1006:AY1006),$AM$1006:$BM$1006,0))&gt;=100000), " ",IF(INDEX($AM$2:$BM$1001,MATCH(ROWS($AF$2:AF338),$AF$2:$AF$1001,0),MATCH(COLUMNS($AM$1006:AY1006),$AM$1006:$BM$1006,0)), HYPERLINK("#",""), HYPERLINK(CONCATENATE("#metadata!", ADDRESS(INDEX($AH$2:$AH$1001,MATCH(ROWS($AF$2:AF338),$AF$2:$AF$1001,0),0), INDEX($AM$1004:$BM$1004,1,MATCH(COLUMNS($AM$1006:AY1006),$AM$1006:$BM$1006,0)))),"Fix")))</f>
        <v xml:space="preserve"> </v>
      </c>
      <c r="O338" s="4" t="str">
        <f ca="1">IF(OR(INDEX($AG$2:$AG$1001,MATCH(ROWS($AF$2:AF338),$AF$2:$AF$1001,0),1)&gt;=100000,INDEX($AM$1005:$BM$1005,1,MATCH(COLUMNS($AM$1006:AZ1006),$AM$1006:$BM$1006,0))&gt;=100000), " ",IF(INDEX($AM$2:$BM$1001,MATCH(ROWS($AF$2:AF338),$AF$2:$AF$1001,0),MATCH(COLUMNS($AM$1006:AZ1006),$AM$1006:$BM$1006,0)), HYPERLINK("#",""), HYPERLINK(CONCATENATE("#metadata!", ADDRESS(INDEX($AH$2:$AH$1001,MATCH(ROWS($AF$2:AF338),$AF$2:$AF$1001,0),0), INDEX($AM$1004:$BM$1004,1,MATCH(COLUMNS($AM$1006:AZ1006),$AM$1006:$BM$1006,0)))),"Fix")))</f>
        <v xml:space="preserve"> </v>
      </c>
      <c r="P338" s="4" t="str">
        <f ca="1">IF(OR(INDEX($AG$2:$AG$1001,MATCH(ROWS($AF$2:AF338),$AF$2:$AF$1001,0),1)&gt;=100000,INDEX($AM$1005:$BM$1005,1,MATCH(COLUMNS($AM$1006:BA1006),$AM$1006:$BM$1006,0))&gt;=100000), " ",IF(INDEX($AM$2:$BM$1001,MATCH(ROWS($AF$2:AF338),$AF$2:$AF$1001,0),MATCH(COLUMNS($AM$1006:BA1006),$AM$1006:$BM$1006,0)), HYPERLINK("#",""), HYPERLINK(CONCATENATE("#metadata!", ADDRESS(INDEX($AH$2:$AH$1001,MATCH(ROWS($AF$2:AF338),$AF$2:$AF$1001,0),0), INDEX($AM$1004:$BM$1004,1,MATCH(COLUMNS($AM$1006:BA1006),$AM$1006:$BM$1006,0)))),"Fix")))</f>
        <v xml:space="preserve"> </v>
      </c>
      <c r="Q338" s="4" t="str">
        <f ca="1">IF(OR(INDEX($AG$2:$AG$1001,MATCH(ROWS($AF$2:AF338),$AF$2:$AF$1001,0),1)&gt;=100000,INDEX($AM$1005:$BM$1005,1,MATCH(COLUMNS($AM$1006:BB1006),$AM$1006:$BM$1006,0))&gt;=100000), " ",IF(INDEX($AM$2:$BM$1001,MATCH(ROWS($AF$2:AF338),$AF$2:$AF$1001,0),MATCH(COLUMNS($AM$1006:BB1006),$AM$1006:$BM$1006,0)), HYPERLINK("#",""), HYPERLINK(CONCATENATE("#metadata!", ADDRESS(INDEX($AH$2:$AH$1001,MATCH(ROWS($AF$2:AF338),$AF$2:$AF$1001,0),0), INDEX($AM$1004:$BM$1004,1,MATCH(COLUMNS($AM$1006:BB1006),$AM$1006:$BM$1006,0)))),"Fix")))</f>
        <v xml:space="preserve"> </v>
      </c>
      <c r="R338" s="4" t="str">
        <f ca="1">IF(OR(INDEX($AG$2:$AG$1001,MATCH(ROWS($AF$2:AF338),$AF$2:$AF$1001,0),1)&gt;=100000,INDEX($AM$1005:$BM$1005,1,MATCH(COLUMNS($AM$1006:BC1006),$AM$1006:$BM$1006,0))&gt;=100000), " ",IF(INDEX($AM$2:$BM$1001,MATCH(ROWS($AF$2:AF338),$AF$2:$AF$1001,0),MATCH(COLUMNS($AM$1006:BC1006),$AM$1006:$BM$1006,0)), HYPERLINK("#",""), HYPERLINK(CONCATENATE("#metadata!", ADDRESS(INDEX($AH$2:$AH$1001,MATCH(ROWS($AF$2:AF338),$AF$2:$AF$1001,0),0), INDEX($AM$1004:$BM$1004,1,MATCH(COLUMNS($AM$1006:BC1006),$AM$1006:$BM$1006,0)))),"Fix")))</f>
        <v xml:space="preserve"> </v>
      </c>
      <c r="S338" s="4" t="str">
        <f ca="1">IF(OR(INDEX($AG$2:$AG$1001,MATCH(ROWS($AF$2:AF338),$AF$2:$AF$1001,0),1)&gt;=100000,INDEX($AM$1005:$BM$1005,1,MATCH(COLUMNS($AM$1006:BD1006),$AM$1006:$BM$1006,0))&gt;=100000), " ",IF(INDEX($AM$2:$BM$1001,MATCH(ROWS($AF$2:AF338),$AF$2:$AF$1001,0),MATCH(COLUMNS($AM$1006:BD1006),$AM$1006:$BM$1006,0)), HYPERLINK("#",""), HYPERLINK(CONCATENATE("#metadata!", ADDRESS(INDEX($AH$2:$AH$1001,MATCH(ROWS($AF$2:AF338),$AF$2:$AF$1001,0),0), INDEX($AM$1004:$BM$1004,1,MATCH(COLUMNS($AM$1006:BD1006),$AM$1006:$BM$1006,0)))),"Fix")))</f>
        <v xml:space="preserve"> </v>
      </c>
      <c r="T338" s="4" t="str">
        <f ca="1">IF(OR(INDEX($AG$2:$AG$1001,MATCH(ROWS($AF$2:AF338),$AF$2:$AF$1001,0),1)&gt;=100000,INDEX($AM$1005:$BM$1005,1,MATCH(COLUMNS($AM$1006:BE1006),$AM$1006:$BM$1006,0))&gt;=100000), " ",IF(INDEX($AM$2:$BM$1001,MATCH(ROWS($AF$2:AF338),$AF$2:$AF$1001,0),MATCH(COLUMNS($AM$1006:BE1006),$AM$1006:$BM$1006,0)), HYPERLINK("#",""), HYPERLINK(CONCATENATE("#metadata!", ADDRESS(INDEX($AH$2:$AH$1001,MATCH(ROWS($AF$2:AF338),$AF$2:$AF$1001,0),0), INDEX($AM$1004:$BM$1004,1,MATCH(COLUMNS($AM$1006:BE1006),$AM$1006:$BM$1006,0)))),"Fix")))</f>
        <v xml:space="preserve"> </v>
      </c>
      <c r="U338" s="4" t="str">
        <f ca="1">IF(OR(INDEX($AG$2:$AG$1001,MATCH(ROWS($AF$2:AF338),$AF$2:$AF$1001,0),1)&gt;=100000,INDEX($AM$1005:$BM$1005,1,MATCH(COLUMNS($AM$1006:BF1006),$AM$1006:$BM$1006,0))&gt;=100000), " ",IF(INDEX($AM$2:$BM$1001,MATCH(ROWS($AF$2:AF338),$AF$2:$AF$1001,0),MATCH(COLUMNS($AM$1006:BF1006),$AM$1006:$BM$1006,0)), HYPERLINK("#",""), HYPERLINK(CONCATENATE("#metadata!", ADDRESS(INDEX($AH$2:$AH$1001,MATCH(ROWS($AF$2:AF338),$AF$2:$AF$1001,0),0), INDEX($AM$1004:$BM$1004,1,MATCH(COLUMNS($AM$1006:BF1006),$AM$1006:$BM$1006,0)))),"Fix")))</f>
        <v xml:space="preserve"> </v>
      </c>
      <c r="V338" s="4" t="str">
        <f ca="1">IF(OR(INDEX($AG$2:$AG$1001,MATCH(ROWS($AF$2:AF338),$AF$2:$AF$1001,0),1)&gt;=100000,INDEX($AM$1005:$BM$1005,1,MATCH(COLUMNS($AM$1006:BG1006),$AM$1006:$BM$1006,0))&gt;=100000), " ",IF(INDEX($AM$2:$BM$1001,MATCH(ROWS($AF$2:AF338),$AF$2:$AF$1001,0),MATCH(COLUMNS($AM$1006:BG1006),$AM$1006:$BM$1006,0)), HYPERLINK("#",""), HYPERLINK(CONCATENATE("#metadata!", ADDRESS(INDEX($AH$2:$AH$1001,MATCH(ROWS($AF$2:AF338),$AF$2:$AF$1001,0),0), INDEX($AM$1004:$BM$1004,1,MATCH(COLUMNS($AM$1006:BG1006),$AM$1006:$BM$1006,0)))),"Fix")))</f>
        <v xml:space="preserve"> </v>
      </c>
      <c r="W338" s="4" t="str">
        <f ca="1">IF(OR(INDEX($AG$2:$AG$1001,MATCH(ROWS($AF$2:AF338),$AF$2:$AF$1001,0),1)&gt;=100000,INDEX($AM$1005:$BM$1005,1,MATCH(COLUMNS($AM$1006:BH1006),$AM$1006:$BM$1006,0))&gt;=100000), " ",IF(INDEX($AM$2:$BM$1001,MATCH(ROWS($AF$2:AF338),$AF$2:$AF$1001,0),MATCH(COLUMNS($AM$1006:BH1006),$AM$1006:$BM$1006,0)), HYPERLINK("#",""), HYPERLINK(CONCATENATE("#metadata!", ADDRESS(INDEX($AH$2:$AH$1001,MATCH(ROWS($AF$2:AF338),$AF$2:$AF$1001,0),0), INDEX($AM$1004:$BM$1004,1,MATCH(COLUMNS($AM$1006:BH1006),$AM$1006:$BM$1006,0)))),"Fix")))</f>
        <v xml:space="preserve"> </v>
      </c>
      <c r="X338" s="4" t="str">
        <f ca="1">IF(OR(INDEX($AG$2:$AG$1001,MATCH(ROWS($AF$2:AF338),$AF$2:$AF$1001,0),1)&gt;=100000,INDEX($AM$1005:$BM$1005,1,MATCH(COLUMNS($AM$1006:BI1006),$AM$1006:$BM$1006,0))&gt;=100000), " ",IF(INDEX($AM$2:$BM$1001,MATCH(ROWS($AF$2:AF338),$AF$2:$AF$1001,0),MATCH(COLUMNS($AM$1006:BI1006),$AM$1006:$BM$1006,0)), HYPERLINK("#",""), HYPERLINK(CONCATENATE("#metadata!", ADDRESS(INDEX($AH$2:$AH$1001,MATCH(ROWS($AF$2:AF338),$AF$2:$AF$1001,0),0), INDEX($AM$1004:$BM$1004,1,MATCH(COLUMNS($AM$1006:BI1006),$AM$1006:$BM$1006,0)))),"Fix")))</f>
        <v xml:space="preserve"> </v>
      </c>
      <c r="Y338" s="4" t="str">
        <f ca="1">IF(OR(INDEX($AG$2:$AG$1001,MATCH(ROWS($AF$2:AF338),$AF$2:$AF$1001,0),1)&gt;=100000,INDEX($AM$1005:$BM$1005,1,MATCH(COLUMNS($AM$1006:BJ1006),$AM$1006:$BM$1006,0))&gt;=100000), " ",IF(INDEX($AM$2:$BM$1001,MATCH(ROWS($AF$2:AF338),$AF$2:$AF$1001,0),MATCH(COLUMNS($AM$1006:BJ1006),$AM$1006:$BM$1006,0)), HYPERLINK("#",""), HYPERLINK(CONCATENATE("#metadata!", ADDRESS(INDEX($AH$2:$AH$1001,MATCH(ROWS($AF$2:AF338),$AF$2:$AF$1001,0),0), INDEX($AM$1004:$BM$1004,1,MATCH(COLUMNS($AM$1006:BJ1006),$AM$1006:$BM$1006,0)))),"Fix")))</f>
        <v xml:space="preserve"> </v>
      </c>
      <c r="Z338" s="4" t="str">
        <f ca="1">IF(OR(INDEX($AG$2:$AG$1001,MATCH(ROWS($AF$2:AF338),$AF$2:$AF$1001,0),1)&gt;=100000,INDEX($AM$1005:$BM$1005,1,MATCH(COLUMNS($AM$1006:BK1006),$AM$1006:$BM$1006,0))&gt;=100000), " ",IF(INDEX($AM$2:$BM$1001,MATCH(ROWS($AF$2:AF338),$AF$2:$AF$1001,0),MATCH(COLUMNS($AM$1006:BK1006),$AM$1006:$BM$1006,0)), HYPERLINK("#",""), HYPERLINK(CONCATENATE("#metadata!", ADDRESS(INDEX($AH$2:$AH$1001,MATCH(ROWS($AF$2:AF338),$AF$2:$AF$1001,0),0), INDEX($AM$1004:$BM$1004,1,MATCH(COLUMNS($AM$1006:BK1006),$AM$1006:$BM$1006,0)))),"Fix")))</f>
        <v xml:space="preserve"> </v>
      </c>
      <c r="AA338" s="4" t="str">
        <f ca="1">IF(OR(INDEX($AG$2:$AG$1001,MATCH(ROWS($AF$2:AF338),$AF$2:$AF$1001,0),1)&gt;=100000,INDEX($AM$1005:$BM$1005,1,MATCH(COLUMNS($AM$1006:BL1006),$AM$1006:$BM$1006,0))&gt;=100000), " ",IF(INDEX($AM$2:$BM$1001,MATCH(ROWS($AF$2:AF338),$AF$2:$AF$1001,0),MATCH(COLUMNS($AM$1006:BL1006),$AM$1006:$BM$1006,0)), HYPERLINK("#",""), HYPERLINK(CONCATENATE("#metadata!", ADDRESS(INDEX($AH$2:$AH$1001,MATCH(ROWS($AF$2:AF338),$AF$2:$AF$1001,0),0), INDEX($AM$1004:$BM$1004,1,MATCH(COLUMNS($AM$1006:BL1006),$AM$1006:$BM$1006,0)))),"Fix")))</f>
        <v xml:space="preserve"> </v>
      </c>
      <c r="AB338" s="4" t="str">
        <f ca="1">IF(OR(INDEX($AG$2:$AG$1001,MATCH(ROWS($AF$2:AF338),$AF$2:$AF$1001,0),1)&gt;=100000,INDEX($AM$1005:$BM$1005,1,MATCH(COLUMNS($AM$1006:BM1006),$AM$1006:$BM$1006,0))&gt;=100000), " ",IF(INDEX($AM$2:$BM$1001,MATCH(ROWS($AF$2:AF338),$AF$2:$AF$1001,0),MATCH(COLUMNS($AM$1006:BM1006),$AM$1006:$BM$1006,0)), HYPERLINK("#",""), HYPERLINK(CONCATENATE("#metadata!", ADDRESS(INDEX($AH$2:$AH$1001,MATCH(ROWS($AF$2:AF338),$AF$2:$AF$1001,0),0), INDEX($AM$1004:$BM$1004,1,MATCH(COLUMNS($AM$1006:BM1006),$AM$1006:$BM$1006,0)))),"Fix")))</f>
        <v xml:space="preserve"> </v>
      </c>
      <c r="AF338">
        <v>337</v>
      </c>
      <c r="AG338">
        <v>100338</v>
      </c>
      <c r="AH338">
        <v>338</v>
      </c>
      <c r="AI338" t="b">
        <f t="shared" si="5"/>
        <v>1</v>
      </c>
      <c r="AJ338" t="b">
        <f>COUNTBLANK(metadata!B338:AB338)=COLUMNS(metadata!B338:AB338)</f>
        <v>1</v>
      </c>
      <c r="AK338" t="str">
        <v/>
      </c>
      <c r="AM338" t="b">
        <f ca="1">AND(IF(metadata!B338="",FALSE,TRUE),COUNTIF(metadata!B:B, metadata!B338) = 1,NOT(ISERROR(SUMPRODUCT(SEARCH(MID(metadata!B338,ROW(INDIRECT("1:"&amp;LEN(metadata!B338))), 1),"0123456789abcdefghijklmnopqrstuvwxyzABCDEFGHIJKLMNOPQRSTUVWXYZ.")))))</f>
        <v>0</v>
      </c>
      <c r="AN338" t="b">
        <f ca="1">OR(AND(IF(metadata!C338="",FALSE,TRUE),OR(EXACT(metadata!C338,"missing: not collected"),EXACT(metadata!C338,"missing: not provided"),EXACT(metadata!C338,"missing: restricted access"))),AND(IF(metadata!C338="",FALSE,TRUE),AND(AND(IFERROR(INT(LEFT(metadata!C338,4))&gt;1900,FALSE),IFERROR(INT(LEFT(metadata!C338,4))&lt;=YEAR(NOW()),FALSE)), OR(MID(metadata!C338,5,1)="", AND(AND(MID(metadata!C338,5,1)="-",IFERROR(INT(MID(metadata!C338,6,1))&gt;=0,FALSE),IFERROR(INT(MID(metadata!C338,6,1))&lt;=1,FALSE),NOT(MID(metadata!C338,7,1)=""),IFERROR(INT(MID(metadata!C338,6,2))&gt;=1,FALSE),IFERROR(INT(MID(metadata!C338,6,2))&lt;=12,FALSE)), OR(MID(metadata!C338,8,1)="", AND(AND(MID(metadata!C338,8,1)="-",IFERROR(INT(MID(metadata!C338,9,1))&gt;=0,FALSE),IFERROR(INT(MID(metadata!C338,9,1))&lt;=3,FALSE),NOT(MID(metadata!C338,10,1)=""),IFERROR(INT(MID(metadata!C338,9,2))&gt;=1,FALSE),IFERROR(INT(MID(metadata!C338,9,2))&lt;=31,FALSE)), OR(MID(metadata!C338,11,1)="", AND(AND(MID(metadata!C338,11,1)=" ",IFERROR(INT(MID(metadata!C338,12,1))&gt;=0,FALSE),IFERROR(INT(MID(metadata!C338,12,1))&lt;=2,FALSE),NOT(MID(metadata!C338,13,1)=""),IFERROR(INT(MID(metadata!C338,12,2))&gt;=0,FALSE),IFERROR(INT(MID(metadata!C338,12,2))&lt;=23,FALSE)), OR(MID(metadata!C338,14,1)="", AND(AND(MID(metadata!C338,14,1)=":",IFERROR(INT(MID(metadata!C338,15,1))&gt;=0,FALSE),IFERROR(INT(MID(metadata!C338,15,1))&lt;=5,FALSE),NOT(MID(metadata!C338,16,1)=""),IFERROR(INT(MID(metadata!C338,15,2))&gt;=0,FALSE),IFERROR(INT(MID(metadata!C338,15,2))&lt;=59,FALSE)), OR(MID(metadata!C338,17,1)="", AND(AND(MID(metadata!C338,17,1)=":",IFERROR(INT(MID(metadata!C338,18,1))&gt;=0,FALSE),IFERROR(INT(MID(metadata!C338,18,1))&lt;=5,FALSE),NOT(MID(metadata!C338,19,1)=""),IFERROR(INT(MID(metadata!C338,18,2))&gt;=0,FALSE),IFERROR(INT(MID(metadata!C338,18,2))&lt;=59,FALSE)), LEN(metadata!C338)&lt;=19)))))))))))))</f>
        <v>0</v>
      </c>
      <c r="AO338" t="b">
        <f>AND(IF(metadata!D338="",FALSE,TRUE),EXACT(metadata!D338,"Not applicable"))</f>
        <v>0</v>
      </c>
      <c r="AP338" t="b">
        <f>IF(metadata!E338="",FALSE,TRUE)</f>
        <v>0</v>
      </c>
      <c r="AQ338" t="b">
        <f>OR(AND(IF(metadata!F338="",FALSE,TRUE),OR(EXACT(metadata!F338,"missing: not collected"),EXACT(metadata!F338,"missing: not provided"))),AND(IF(metadata!F338="",FALSE,TRUE),OR(EXACT(metadata!F338,"TRUE"),EXACT(metadata!F338,"FALSE"))))</f>
        <v>0</v>
      </c>
      <c r="AR338" t="b">
        <f>OR(AND(IF(metadata!G338="",FALSE,TRUE),OR(EXACT(metadata!G338,"missing: not collected"),EXACT(metadata!G338,"missing: not provided"),EXACT(metadata!G338,"missing: restricted access"))),AND(IF(metadata!G338="",FALSE,ISNUMBER(VALUE(metadata!G338))),metadata!G338&gt;=-413))</f>
        <v>0</v>
      </c>
      <c r="AS338" t="b">
        <f>AND(IF(metadata!H338="",FALSE,TRUE),EXACT(metadata!H338,"meters"))</f>
        <v>0</v>
      </c>
      <c r="AT338" t="b">
        <f>AND(IF(metadata!I338="",FALSE,TRUE),OR(EXACT(metadata!I338,"Host-associated"),EXACT(metadata!I338,"Free-living")))</f>
        <v>0</v>
      </c>
      <c r="AU338" t="b">
        <f>AND(IF(metadata!J338="",FALSE,TRUE),OR(EXACT(metadata!J338,"Animal"),EXACT(metadata!J338,"Fungus"),EXACT(metadata!J338,"Plant"),EXACT(metadata!J338,"Saline"),EXACT(metadata!J338,"Non-saline")))</f>
        <v>0</v>
      </c>
      <c r="AV338" t="b">
        <f>AND(IF(metadata!K338="",FALSE,TRUE),OR(EXACT(metadata!K338,"Plant secretion"),EXACT(metadata!K338,"Plant rhizosphere"),EXACT(metadata!K338,"Plant surface"),EXACT(metadata!K338,"Plant corpus"),EXACT(metadata!K338,"Fungus surface"),EXACT(metadata!K338,"Fungus corpus"),EXACT(metadata!K338,"Animal surface"),EXACT(metadata!K338,"Animal proximal gut"),EXACT(metadata!K338,"Animal corpus"),EXACT(metadata!K338,"Animal distal gut"),EXACT(metadata!K338,"Animal secretion"),EXACT(metadata!K338,"Sub-surface (non-saline)"),EXACT(metadata!K338,"Surface (non-saline)"),EXACT(metadata!K338,"Water (non-saline)"),EXACT(metadata!K338,"Soil (non-saline)"),EXACT(metadata!K338,"Aerosol (non-saline)"),EXACT(metadata!K338,"Sediment (non-saline)"),EXACT(metadata!K338,"Surface (saline)"),EXACT(metadata!K338,"Water (saline)"),EXACT(metadata!K338,"Hypersaline (saline)"),EXACT(metadata!K338,"Aerosol (saline)"),EXACT(metadata!K338,"Sediment (saline)")))</f>
        <v>0</v>
      </c>
      <c r="AW338" t="b">
        <f>IF(metadata!L338="",FALSE,TRUE)</f>
        <v>0</v>
      </c>
      <c r="AX338" t="b">
        <f>IF(metadata!M338="",FALSE,TRUE)</f>
        <v>0</v>
      </c>
      <c r="AY338" t="b">
        <f>IF(metadata!N338="",FALSE,TRUE)</f>
        <v>0</v>
      </c>
      <c r="AZ338" t="b">
        <f>OR(AND(IF(metadata!O338="",FALSE,TRUE),OR(EXACT(metadata!O338,"missing: not collected"),EXACT(metadata!O338,"missing: not provided"),EXACT(metadata!O338,"missing: restricted access"))),AND(IF(metadata!O338="",FALSE,TRUE),OR(EXACT(metadata!O338,"air"),EXACT(metadata!O338,"built environment"),EXACT(metadata!O338,"host-associated"),EXACT(metadata!O338,"human-associated"),EXACT(metadata!O338,"human-skin"),EXACT(metadata!O338,"human-oral"),EXACT(metadata!O338,"human-gut"),EXACT(metadata!O338,"human-vaginal"),EXACT(metadata!O338,"microbial mat/biofilm"),EXACT(metadata!O338,"misc environment"),EXACT(metadata!O338,"plant-associated"),EXACT(metadata!O338,"sediment"),EXACT(metadata!O338,"soil"),EXACT(metadata!O338,"wastewater/sludge"),EXACT(metadata!O338,"water"))))</f>
        <v>0</v>
      </c>
      <c r="BA338" t="b">
        <f>IF(metadata!P338="",FALSE,TRUE)</f>
        <v>0</v>
      </c>
      <c r="BB338" t="b">
        <f>IF(metadata!Q338="",FALSE,TRUE)</f>
        <v>0</v>
      </c>
      <c r="BC338" t="b">
        <f>OR(AND(IF(metadata!R338="",FALSE,TRUE),OR(EXACT(metadata!R338,"missing: not collected"),EXACT(metadata!R338,"missing: not provided"),EXACT(metadata!R338,"missing: restricted access"))),AND(IF(metadata!R338="",FALSE,ISNUMBER(VALUE(metadata!R338))),metadata!R338&gt;=-90,metadata!R338&lt;=90))</f>
        <v>0</v>
      </c>
      <c r="BD338" t="b">
        <f>AND(IF(metadata!S338="",FALSE,TRUE),EXACT(metadata!S338,"Decimal degrees"))</f>
        <v>0</v>
      </c>
      <c r="BE338" t="b">
        <f>OR(AND(IF(metadata!T338="",FALSE,TRUE),OR(EXACT(metadata!T338,"missing: not collected"),EXACT(metadata!T338,"missing: not provided"),EXACT(metadata!T338,"missing: restricted access"))),AND(IF(metadata!T338="",FALSE,ISNUMBER(VALUE(metadata!T338))),metadata!T338&gt;=-180,metadata!T338&lt;=180))</f>
        <v>0</v>
      </c>
      <c r="BF338" t="b">
        <f>AND(IF(metadata!U338="",FALSE,TRUE),EXACT(metadata!U338,"Decimal degrees"))</f>
        <v>0</v>
      </c>
      <c r="BG338" t="b">
        <f>IF(metadata!V338="",FALSE,TRUE)</f>
        <v>0</v>
      </c>
      <c r="BH338" t="b">
        <f>OR(AND(IF(metadata!W338="",FALSE,TRUE),OR(EXACT(metadata!W338,"missing: not collected"),EXACT(metadata!W338,"missing: not provided"),EXACT(metadata!W338,"missing: restricted access"))),AND(IF(metadata!W338="",FALSE,TRUE),OR(EXACT(metadata!W338,"TRUE"),EXACT(metadata!W338,"FALSE"))))</f>
        <v>0</v>
      </c>
      <c r="BI338" t="b">
        <f>AND(IF(metadata!X338="",FALSE,TRUE),EXACT(metadata!X338,"other"))</f>
        <v>0</v>
      </c>
      <c r="BJ338" t="b">
        <f>IF(metadata!Y338="",FALSE,TRUE)</f>
        <v>0</v>
      </c>
      <c r="BK338" t="b">
        <f>OR(AND(IF(metadata!Z338="",FALSE,TRUE),OR(EXACT(metadata!Z338,"missing: not collected"),EXACT(metadata!Z338,"missing: not provided"))),AND(IF(metadata!Z338="",FALSE,IF(ISERROR(INT(metadata!Z338)),FALSE,INT(metadata!Z338)=metadata!Z338)),metadata!Z338&gt;0))</f>
        <v>0</v>
      </c>
      <c r="BL338" t="b">
        <f>AND(IF(metadata!AA338="",FALSE,TRUE),EXACT(metadata!AA338,"Not applicable"))</f>
        <v>0</v>
      </c>
      <c r="BM338" t="b">
        <f>IF(metadata!AB338="",FALSE,TRUE)</f>
        <v>0</v>
      </c>
    </row>
    <row r="339" spans="1:65" x14ac:dyDescent="0.2">
      <c r="A339" s="5" t="str">
        <f ca="1">IF(B339=" "," ",HYPERLINK(CONCATENATE("#metadata!",ADDRESS(INDEX($AH$2:$AH$1001,MATCH(ROWS($AF$2:AF339),$AF$2:$AF$1001,0),0),1)),INDEX($AK$2:$AK$1001,MATCH(ROWS($AF$2:AF339),$AF$2:$AF$1001,0),0)))</f>
        <v xml:space="preserve"> </v>
      </c>
      <c r="B339" s="4" t="str">
        <f ca="1">IF(OR(INDEX($AG$2:$AG$1001,MATCH(ROWS($AF$2:AF339),$AF$2:$AF$1001,0),1)&gt;=100000,INDEX($AM$1005:$BM$1005,1,MATCH(COLUMNS($AM$1006:AM1006),$AM$1006:$BM$1006,0))&gt;=100000), " ",IF(INDEX($AM$2:$BM$1001,MATCH(ROWS($AF$2:AF339),$AF$2:$AF$1001,0),MATCH(COLUMNS($AM$1006:AM1006),$AM$1006:$BM$1006,0)), HYPERLINK("#",""), HYPERLINK(CONCATENATE("#metadata!", ADDRESS(INDEX($AH$2:$AH$1001,MATCH(ROWS($AF$2:AF339),$AF$2:$AF$1001,0),0), INDEX($AM$1004:$BM$1004,1,MATCH(COLUMNS($AM$1006:AM1006),$AM$1006:$BM$1006,0)))),"Fix")))</f>
        <v xml:space="preserve"> </v>
      </c>
      <c r="C339" s="4" t="str">
        <f ca="1">IF(OR(INDEX($AG$2:$AG$1001,MATCH(ROWS($AF$2:AF339),$AF$2:$AF$1001,0),1)&gt;=100000,INDEX($AM$1005:$BM$1005,1,MATCH(COLUMNS($AM$1006:AN1006),$AM$1006:$BM$1006,0))&gt;=100000), " ",IF(INDEX($AM$2:$BM$1001,MATCH(ROWS($AF$2:AF339),$AF$2:$AF$1001,0),MATCH(COLUMNS($AM$1006:AN1006),$AM$1006:$BM$1006,0)), HYPERLINK("#",""), HYPERLINK(CONCATENATE("#metadata!", ADDRESS(INDEX($AH$2:$AH$1001,MATCH(ROWS($AF$2:AF339),$AF$2:$AF$1001,0),0), INDEX($AM$1004:$BM$1004,1,MATCH(COLUMNS($AM$1006:AN1006),$AM$1006:$BM$1006,0)))),"Fix")))</f>
        <v xml:space="preserve"> </v>
      </c>
      <c r="D339" s="4" t="str">
        <f ca="1">IF(OR(INDEX($AG$2:$AG$1001,MATCH(ROWS($AF$2:AF339),$AF$2:$AF$1001,0),1)&gt;=100000,INDEX($AM$1005:$BM$1005,1,MATCH(COLUMNS($AM$1006:AO1006),$AM$1006:$BM$1006,0))&gt;=100000), " ",IF(INDEX($AM$2:$BM$1001,MATCH(ROWS($AF$2:AF339),$AF$2:$AF$1001,0),MATCH(COLUMNS($AM$1006:AO1006),$AM$1006:$BM$1006,0)), HYPERLINK("#",""), HYPERLINK(CONCATENATE("#metadata!", ADDRESS(INDEX($AH$2:$AH$1001,MATCH(ROWS($AF$2:AF339),$AF$2:$AF$1001,0),0), INDEX($AM$1004:$BM$1004,1,MATCH(COLUMNS($AM$1006:AO1006),$AM$1006:$BM$1006,0)))),"Fix")))</f>
        <v xml:space="preserve"> </v>
      </c>
      <c r="E339" s="4" t="str">
        <f ca="1">IF(OR(INDEX($AG$2:$AG$1001,MATCH(ROWS($AF$2:AF339),$AF$2:$AF$1001,0),1)&gt;=100000,INDEX($AM$1005:$BM$1005,1,MATCH(COLUMNS($AM$1006:AP1006),$AM$1006:$BM$1006,0))&gt;=100000), " ",IF(INDEX($AM$2:$BM$1001,MATCH(ROWS($AF$2:AF339),$AF$2:$AF$1001,0),MATCH(COLUMNS($AM$1006:AP1006),$AM$1006:$BM$1006,0)), HYPERLINK("#",""), HYPERLINK(CONCATENATE("#metadata!", ADDRESS(INDEX($AH$2:$AH$1001,MATCH(ROWS($AF$2:AF339),$AF$2:$AF$1001,0),0), INDEX($AM$1004:$BM$1004,1,MATCH(COLUMNS($AM$1006:AP1006),$AM$1006:$BM$1006,0)))),"Fix")))</f>
        <v xml:space="preserve"> </v>
      </c>
      <c r="F339" s="4" t="str">
        <f ca="1">IF(OR(INDEX($AG$2:$AG$1001,MATCH(ROWS($AF$2:AF339),$AF$2:$AF$1001,0),1)&gt;=100000,INDEX($AM$1005:$BM$1005,1,MATCH(COLUMNS($AM$1006:AQ1006),$AM$1006:$BM$1006,0))&gt;=100000), " ",IF(INDEX($AM$2:$BM$1001,MATCH(ROWS($AF$2:AF339),$AF$2:$AF$1001,0),MATCH(COLUMNS($AM$1006:AQ1006),$AM$1006:$BM$1006,0)), HYPERLINK("#",""), HYPERLINK(CONCATENATE("#metadata!", ADDRESS(INDEX($AH$2:$AH$1001,MATCH(ROWS($AF$2:AF339),$AF$2:$AF$1001,0),0), INDEX($AM$1004:$BM$1004,1,MATCH(COLUMNS($AM$1006:AQ1006),$AM$1006:$BM$1006,0)))),"Fix")))</f>
        <v xml:space="preserve"> </v>
      </c>
      <c r="G339" s="4" t="str">
        <f ca="1">IF(OR(INDEX($AG$2:$AG$1001,MATCH(ROWS($AF$2:AF339),$AF$2:$AF$1001,0),1)&gt;=100000,INDEX($AM$1005:$BM$1005,1,MATCH(COLUMNS($AM$1006:AR1006),$AM$1006:$BM$1006,0))&gt;=100000), " ",IF(INDEX($AM$2:$BM$1001,MATCH(ROWS($AF$2:AF339),$AF$2:$AF$1001,0),MATCH(COLUMNS($AM$1006:AR1006),$AM$1006:$BM$1006,0)), HYPERLINK("#",""), HYPERLINK(CONCATENATE("#metadata!", ADDRESS(INDEX($AH$2:$AH$1001,MATCH(ROWS($AF$2:AF339),$AF$2:$AF$1001,0),0), INDEX($AM$1004:$BM$1004,1,MATCH(COLUMNS($AM$1006:AR1006),$AM$1006:$BM$1006,0)))),"Fix")))</f>
        <v xml:space="preserve"> </v>
      </c>
      <c r="H339" s="4" t="str">
        <f ca="1">IF(OR(INDEX($AG$2:$AG$1001,MATCH(ROWS($AF$2:AF339),$AF$2:$AF$1001,0),1)&gt;=100000,INDEX($AM$1005:$BM$1005,1,MATCH(COLUMNS($AM$1006:AS1006),$AM$1006:$BM$1006,0))&gt;=100000), " ",IF(INDEX($AM$2:$BM$1001,MATCH(ROWS($AF$2:AF339),$AF$2:$AF$1001,0),MATCH(COLUMNS($AM$1006:AS1006),$AM$1006:$BM$1006,0)), HYPERLINK("#",""), HYPERLINK(CONCATENATE("#metadata!", ADDRESS(INDEX($AH$2:$AH$1001,MATCH(ROWS($AF$2:AF339),$AF$2:$AF$1001,0),0), INDEX($AM$1004:$BM$1004,1,MATCH(COLUMNS($AM$1006:AS1006),$AM$1006:$BM$1006,0)))),"Fix")))</f>
        <v xml:space="preserve"> </v>
      </c>
      <c r="I339" s="4" t="str">
        <f ca="1">IF(OR(INDEX($AG$2:$AG$1001,MATCH(ROWS($AF$2:AF339),$AF$2:$AF$1001,0),1)&gt;=100000,INDEX($AM$1005:$BM$1005,1,MATCH(COLUMNS($AM$1006:AT1006),$AM$1006:$BM$1006,0))&gt;=100000), " ",IF(INDEX($AM$2:$BM$1001,MATCH(ROWS($AF$2:AF339),$AF$2:$AF$1001,0),MATCH(COLUMNS($AM$1006:AT1006),$AM$1006:$BM$1006,0)), HYPERLINK("#",""), HYPERLINK(CONCATENATE("#metadata!", ADDRESS(INDEX($AH$2:$AH$1001,MATCH(ROWS($AF$2:AF339),$AF$2:$AF$1001,0),0), INDEX($AM$1004:$BM$1004,1,MATCH(COLUMNS($AM$1006:AT1006),$AM$1006:$BM$1006,0)))),"Fix")))</f>
        <v xml:space="preserve"> </v>
      </c>
      <c r="J339" s="4" t="str">
        <f ca="1">IF(OR(INDEX($AG$2:$AG$1001,MATCH(ROWS($AF$2:AF339),$AF$2:$AF$1001,0),1)&gt;=100000,INDEX($AM$1005:$BM$1005,1,MATCH(COLUMNS($AM$1006:AU1006),$AM$1006:$BM$1006,0))&gt;=100000), " ",IF(INDEX($AM$2:$BM$1001,MATCH(ROWS($AF$2:AF339),$AF$2:$AF$1001,0),MATCH(COLUMNS($AM$1006:AU1006),$AM$1006:$BM$1006,0)), HYPERLINK("#",""), HYPERLINK(CONCATENATE("#metadata!", ADDRESS(INDEX($AH$2:$AH$1001,MATCH(ROWS($AF$2:AF339),$AF$2:$AF$1001,0),0), INDEX($AM$1004:$BM$1004,1,MATCH(COLUMNS($AM$1006:AU1006),$AM$1006:$BM$1006,0)))),"Fix")))</f>
        <v xml:space="preserve"> </v>
      </c>
      <c r="K339" s="4" t="str">
        <f ca="1">IF(OR(INDEX($AG$2:$AG$1001,MATCH(ROWS($AF$2:AF339),$AF$2:$AF$1001,0),1)&gt;=100000,INDEX($AM$1005:$BM$1005,1,MATCH(COLUMNS($AM$1006:AV1006),$AM$1006:$BM$1006,0))&gt;=100000), " ",IF(INDEX($AM$2:$BM$1001,MATCH(ROWS($AF$2:AF339),$AF$2:$AF$1001,0),MATCH(COLUMNS($AM$1006:AV1006),$AM$1006:$BM$1006,0)), HYPERLINK("#",""), HYPERLINK(CONCATENATE("#metadata!", ADDRESS(INDEX($AH$2:$AH$1001,MATCH(ROWS($AF$2:AF339),$AF$2:$AF$1001,0),0), INDEX($AM$1004:$BM$1004,1,MATCH(COLUMNS($AM$1006:AV1006),$AM$1006:$BM$1006,0)))),"Fix")))</f>
        <v xml:space="preserve"> </v>
      </c>
      <c r="L339" s="4" t="str">
        <f ca="1">IF(OR(INDEX($AG$2:$AG$1001,MATCH(ROWS($AF$2:AF339),$AF$2:$AF$1001,0),1)&gt;=100000,INDEX($AM$1005:$BM$1005,1,MATCH(COLUMNS($AM$1006:AW1006),$AM$1006:$BM$1006,0))&gt;=100000), " ",IF(INDEX($AM$2:$BM$1001,MATCH(ROWS($AF$2:AF339),$AF$2:$AF$1001,0),MATCH(COLUMNS($AM$1006:AW1006),$AM$1006:$BM$1006,0)), HYPERLINK("#",""), HYPERLINK(CONCATENATE("#metadata!", ADDRESS(INDEX($AH$2:$AH$1001,MATCH(ROWS($AF$2:AF339),$AF$2:$AF$1001,0),0), INDEX($AM$1004:$BM$1004,1,MATCH(COLUMNS($AM$1006:AW1006),$AM$1006:$BM$1006,0)))),"Fix")))</f>
        <v xml:space="preserve"> </v>
      </c>
      <c r="M339" s="4" t="str">
        <f ca="1">IF(OR(INDEX($AG$2:$AG$1001,MATCH(ROWS($AF$2:AF339),$AF$2:$AF$1001,0),1)&gt;=100000,INDEX($AM$1005:$BM$1005,1,MATCH(COLUMNS($AM$1006:AX1006),$AM$1006:$BM$1006,0))&gt;=100000), " ",IF(INDEX($AM$2:$BM$1001,MATCH(ROWS($AF$2:AF339),$AF$2:$AF$1001,0),MATCH(COLUMNS($AM$1006:AX1006),$AM$1006:$BM$1006,0)), HYPERLINK("#",""), HYPERLINK(CONCATENATE("#metadata!", ADDRESS(INDEX($AH$2:$AH$1001,MATCH(ROWS($AF$2:AF339),$AF$2:$AF$1001,0),0), INDEX($AM$1004:$BM$1004,1,MATCH(COLUMNS($AM$1006:AX1006),$AM$1006:$BM$1006,0)))),"Fix")))</f>
        <v xml:space="preserve"> </v>
      </c>
      <c r="N339" s="4" t="str">
        <f ca="1">IF(OR(INDEX($AG$2:$AG$1001,MATCH(ROWS($AF$2:AF339),$AF$2:$AF$1001,0),1)&gt;=100000,INDEX($AM$1005:$BM$1005,1,MATCH(COLUMNS($AM$1006:AY1006),$AM$1006:$BM$1006,0))&gt;=100000), " ",IF(INDEX($AM$2:$BM$1001,MATCH(ROWS($AF$2:AF339),$AF$2:$AF$1001,0),MATCH(COLUMNS($AM$1006:AY1006),$AM$1006:$BM$1006,0)), HYPERLINK("#",""), HYPERLINK(CONCATENATE("#metadata!", ADDRESS(INDEX($AH$2:$AH$1001,MATCH(ROWS($AF$2:AF339),$AF$2:$AF$1001,0),0), INDEX($AM$1004:$BM$1004,1,MATCH(COLUMNS($AM$1006:AY1006),$AM$1006:$BM$1006,0)))),"Fix")))</f>
        <v xml:space="preserve"> </v>
      </c>
      <c r="O339" s="4" t="str">
        <f ca="1">IF(OR(INDEX($AG$2:$AG$1001,MATCH(ROWS($AF$2:AF339),$AF$2:$AF$1001,0),1)&gt;=100000,INDEX($AM$1005:$BM$1005,1,MATCH(COLUMNS($AM$1006:AZ1006),$AM$1006:$BM$1006,0))&gt;=100000), " ",IF(INDEX($AM$2:$BM$1001,MATCH(ROWS($AF$2:AF339),$AF$2:$AF$1001,0),MATCH(COLUMNS($AM$1006:AZ1006),$AM$1006:$BM$1006,0)), HYPERLINK("#",""), HYPERLINK(CONCATENATE("#metadata!", ADDRESS(INDEX($AH$2:$AH$1001,MATCH(ROWS($AF$2:AF339),$AF$2:$AF$1001,0),0), INDEX($AM$1004:$BM$1004,1,MATCH(COLUMNS($AM$1006:AZ1006),$AM$1006:$BM$1006,0)))),"Fix")))</f>
        <v xml:space="preserve"> </v>
      </c>
      <c r="P339" s="4" t="str">
        <f ca="1">IF(OR(INDEX($AG$2:$AG$1001,MATCH(ROWS($AF$2:AF339),$AF$2:$AF$1001,0),1)&gt;=100000,INDEX($AM$1005:$BM$1005,1,MATCH(COLUMNS($AM$1006:BA1006),$AM$1006:$BM$1006,0))&gt;=100000), " ",IF(INDEX($AM$2:$BM$1001,MATCH(ROWS($AF$2:AF339),$AF$2:$AF$1001,0),MATCH(COLUMNS($AM$1006:BA1006),$AM$1006:$BM$1006,0)), HYPERLINK("#",""), HYPERLINK(CONCATENATE("#metadata!", ADDRESS(INDEX($AH$2:$AH$1001,MATCH(ROWS($AF$2:AF339),$AF$2:$AF$1001,0),0), INDEX($AM$1004:$BM$1004,1,MATCH(COLUMNS($AM$1006:BA1006),$AM$1006:$BM$1006,0)))),"Fix")))</f>
        <v xml:space="preserve"> </v>
      </c>
      <c r="Q339" s="4" t="str">
        <f ca="1">IF(OR(INDEX($AG$2:$AG$1001,MATCH(ROWS($AF$2:AF339),$AF$2:$AF$1001,0),1)&gt;=100000,INDEX($AM$1005:$BM$1005,1,MATCH(COLUMNS($AM$1006:BB1006),$AM$1006:$BM$1006,0))&gt;=100000), " ",IF(INDEX($AM$2:$BM$1001,MATCH(ROWS($AF$2:AF339),$AF$2:$AF$1001,0),MATCH(COLUMNS($AM$1006:BB1006),$AM$1006:$BM$1006,0)), HYPERLINK("#",""), HYPERLINK(CONCATENATE("#metadata!", ADDRESS(INDEX($AH$2:$AH$1001,MATCH(ROWS($AF$2:AF339),$AF$2:$AF$1001,0),0), INDEX($AM$1004:$BM$1004,1,MATCH(COLUMNS($AM$1006:BB1006),$AM$1006:$BM$1006,0)))),"Fix")))</f>
        <v xml:space="preserve"> </v>
      </c>
      <c r="R339" s="4" t="str">
        <f ca="1">IF(OR(INDEX($AG$2:$AG$1001,MATCH(ROWS($AF$2:AF339),$AF$2:$AF$1001,0),1)&gt;=100000,INDEX($AM$1005:$BM$1005,1,MATCH(COLUMNS($AM$1006:BC1006),$AM$1006:$BM$1006,0))&gt;=100000), " ",IF(INDEX($AM$2:$BM$1001,MATCH(ROWS($AF$2:AF339),$AF$2:$AF$1001,0),MATCH(COLUMNS($AM$1006:BC1006),$AM$1006:$BM$1006,0)), HYPERLINK("#",""), HYPERLINK(CONCATENATE("#metadata!", ADDRESS(INDEX($AH$2:$AH$1001,MATCH(ROWS($AF$2:AF339),$AF$2:$AF$1001,0),0), INDEX($AM$1004:$BM$1004,1,MATCH(COLUMNS($AM$1006:BC1006),$AM$1006:$BM$1006,0)))),"Fix")))</f>
        <v xml:space="preserve"> </v>
      </c>
      <c r="S339" s="4" t="str">
        <f ca="1">IF(OR(INDEX($AG$2:$AG$1001,MATCH(ROWS($AF$2:AF339),$AF$2:$AF$1001,0),1)&gt;=100000,INDEX($AM$1005:$BM$1005,1,MATCH(COLUMNS($AM$1006:BD1006),$AM$1006:$BM$1006,0))&gt;=100000), " ",IF(INDEX($AM$2:$BM$1001,MATCH(ROWS($AF$2:AF339),$AF$2:$AF$1001,0),MATCH(COLUMNS($AM$1006:BD1006),$AM$1006:$BM$1006,0)), HYPERLINK("#",""), HYPERLINK(CONCATENATE("#metadata!", ADDRESS(INDEX($AH$2:$AH$1001,MATCH(ROWS($AF$2:AF339),$AF$2:$AF$1001,0),0), INDEX($AM$1004:$BM$1004,1,MATCH(COLUMNS($AM$1006:BD1006),$AM$1006:$BM$1006,0)))),"Fix")))</f>
        <v xml:space="preserve"> </v>
      </c>
      <c r="T339" s="4" t="str">
        <f ca="1">IF(OR(INDEX($AG$2:$AG$1001,MATCH(ROWS($AF$2:AF339),$AF$2:$AF$1001,0),1)&gt;=100000,INDEX($AM$1005:$BM$1005,1,MATCH(COLUMNS($AM$1006:BE1006),$AM$1006:$BM$1006,0))&gt;=100000), " ",IF(INDEX($AM$2:$BM$1001,MATCH(ROWS($AF$2:AF339),$AF$2:$AF$1001,0),MATCH(COLUMNS($AM$1006:BE1006),$AM$1006:$BM$1006,0)), HYPERLINK("#",""), HYPERLINK(CONCATENATE("#metadata!", ADDRESS(INDEX($AH$2:$AH$1001,MATCH(ROWS($AF$2:AF339),$AF$2:$AF$1001,0),0), INDEX($AM$1004:$BM$1004,1,MATCH(COLUMNS($AM$1006:BE1006),$AM$1006:$BM$1006,0)))),"Fix")))</f>
        <v xml:space="preserve"> </v>
      </c>
      <c r="U339" s="4" t="str">
        <f ca="1">IF(OR(INDEX($AG$2:$AG$1001,MATCH(ROWS($AF$2:AF339),$AF$2:$AF$1001,0),1)&gt;=100000,INDEX($AM$1005:$BM$1005,1,MATCH(COLUMNS($AM$1006:BF1006),$AM$1006:$BM$1006,0))&gt;=100000), " ",IF(INDEX($AM$2:$BM$1001,MATCH(ROWS($AF$2:AF339),$AF$2:$AF$1001,0),MATCH(COLUMNS($AM$1006:BF1006),$AM$1006:$BM$1006,0)), HYPERLINK("#",""), HYPERLINK(CONCATENATE("#metadata!", ADDRESS(INDEX($AH$2:$AH$1001,MATCH(ROWS($AF$2:AF339),$AF$2:$AF$1001,0),0), INDEX($AM$1004:$BM$1004,1,MATCH(COLUMNS($AM$1006:BF1006),$AM$1006:$BM$1006,0)))),"Fix")))</f>
        <v xml:space="preserve"> </v>
      </c>
      <c r="V339" s="4" t="str">
        <f ca="1">IF(OR(INDEX($AG$2:$AG$1001,MATCH(ROWS($AF$2:AF339),$AF$2:$AF$1001,0),1)&gt;=100000,INDEX($AM$1005:$BM$1005,1,MATCH(COLUMNS($AM$1006:BG1006),$AM$1006:$BM$1006,0))&gt;=100000), " ",IF(INDEX($AM$2:$BM$1001,MATCH(ROWS($AF$2:AF339),$AF$2:$AF$1001,0),MATCH(COLUMNS($AM$1006:BG1006),$AM$1006:$BM$1006,0)), HYPERLINK("#",""), HYPERLINK(CONCATENATE("#metadata!", ADDRESS(INDEX($AH$2:$AH$1001,MATCH(ROWS($AF$2:AF339),$AF$2:$AF$1001,0),0), INDEX($AM$1004:$BM$1004,1,MATCH(COLUMNS($AM$1006:BG1006),$AM$1006:$BM$1006,0)))),"Fix")))</f>
        <v xml:space="preserve"> </v>
      </c>
      <c r="W339" s="4" t="str">
        <f ca="1">IF(OR(INDEX($AG$2:$AG$1001,MATCH(ROWS($AF$2:AF339),$AF$2:$AF$1001,0),1)&gt;=100000,INDEX($AM$1005:$BM$1005,1,MATCH(COLUMNS($AM$1006:BH1006),$AM$1006:$BM$1006,0))&gt;=100000), " ",IF(INDEX($AM$2:$BM$1001,MATCH(ROWS($AF$2:AF339),$AF$2:$AF$1001,0),MATCH(COLUMNS($AM$1006:BH1006),$AM$1006:$BM$1006,0)), HYPERLINK("#",""), HYPERLINK(CONCATENATE("#metadata!", ADDRESS(INDEX($AH$2:$AH$1001,MATCH(ROWS($AF$2:AF339),$AF$2:$AF$1001,0),0), INDEX($AM$1004:$BM$1004,1,MATCH(COLUMNS($AM$1006:BH1006),$AM$1006:$BM$1006,0)))),"Fix")))</f>
        <v xml:space="preserve"> </v>
      </c>
      <c r="X339" s="4" t="str">
        <f ca="1">IF(OR(INDEX($AG$2:$AG$1001,MATCH(ROWS($AF$2:AF339),$AF$2:$AF$1001,0),1)&gt;=100000,INDEX($AM$1005:$BM$1005,1,MATCH(COLUMNS($AM$1006:BI1006),$AM$1006:$BM$1006,0))&gt;=100000), " ",IF(INDEX($AM$2:$BM$1001,MATCH(ROWS($AF$2:AF339),$AF$2:$AF$1001,0),MATCH(COLUMNS($AM$1006:BI1006),$AM$1006:$BM$1006,0)), HYPERLINK("#",""), HYPERLINK(CONCATENATE("#metadata!", ADDRESS(INDEX($AH$2:$AH$1001,MATCH(ROWS($AF$2:AF339),$AF$2:$AF$1001,0),0), INDEX($AM$1004:$BM$1004,1,MATCH(COLUMNS($AM$1006:BI1006),$AM$1006:$BM$1006,0)))),"Fix")))</f>
        <v xml:space="preserve"> </v>
      </c>
      <c r="Y339" s="4" t="str">
        <f ca="1">IF(OR(INDEX($AG$2:$AG$1001,MATCH(ROWS($AF$2:AF339),$AF$2:$AF$1001,0),1)&gt;=100000,INDEX($AM$1005:$BM$1005,1,MATCH(COLUMNS($AM$1006:BJ1006),$AM$1006:$BM$1006,0))&gt;=100000), " ",IF(INDEX($AM$2:$BM$1001,MATCH(ROWS($AF$2:AF339),$AF$2:$AF$1001,0),MATCH(COLUMNS($AM$1006:BJ1006),$AM$1006:$BM$1006,0)), HYPERLINK("#",""), HYPERLINK(CONCATENATE("#metadata!", ADDRESS(INDEX($AH$2:$AH$1001,MATCH(ROWS($AF$2:AF339),$AF$2:$AF$1001,0),0), INDEX($AM$1004:$BM$1004,1,MATCH(COLUMNS($AM$1006:BJ1006),$AM$1006:$BM$1006,0)))),"Fix")))</f>
        <v xml:space="preserve"> </v>
      </c>
      <c r="Z339" s="4" t="str">
        <f ca="1">IF(OR(INDEX($AG$2:$AG$1001,MATCH(ROWS($AF$2:AF339),$AF$2:$AF$1001,0),1)&gt;=100000,INDEX($AM$1005:$BM$1005,1,MATCH(COLUMNS($AM$1006:BK1006),$AM$1006:$BM$1006,0))&gt;=100000), " ",IF(INDEX($AM$2:$BM$1001,MATCH(ROWS($AF$2:AF339),$AF$2:$AF$1001,0),MATCH(COLUMNS($AM$1006:BK1006),$AM$1006:$BM$1006,0)), HYPERLINK("#",""), HYPERLINK(CONCATENATE("#metadata!", ADDRESS(INDEX($AH$2:$AH$1001,MATCH(ROWS($AF$2:AF339),$AF$2:$AF$1001,0),0), INDEX($AM$1004:$BM$1004,1,MATCH(COLUMNS($AM$1006:BK1006),$AM$1006:$BM$1006,0)))),"Fix")))</f>
        <v xml:space="preserve"> </v>
      </c>
      <c r="AA339" s="4" t="str">
        <f ca="1">IF(OR(INDEX($AG$2:$AG$1001,MATCH(ROWS($AF$2:AF339),$AF$2:$AF$1001,0),1)&gt;=100000,INDEX($AM$1005:$BM$1005,1,MATCH(COLUMNS($AM$1006:BL1006),$AM$1006:$BM$1006,0))&gt;=100000), " ",IF(INDEX($AM$2:$BM$1001,MATCH(ROWS($AF$2:AF339),$AF$2:$AF$1001,0),MATCH(COLUMNS($AM$1006:BL1006),$AM$1006:$BM$1006,0)), HYPERLINK("#",""), HYPERLINK(CONCATENATE("#metadata!", ADDRESS(INDEX($AH$2:$AH$1001,MATCH(ROWS($AF$2:AF339),$AF$2:$AF$1001,0),0), INDEX($AM$1004:$BM$1004,1,MATCH(COLUMNS($AM$1006:BL1006),$AM$1006:$BM$1006,0)))),"Fix")))</f>
        <v xml:space="preserve"> </v>
      </c>
      <c r="AB339" s="4" t="str">
        <f ca="1">IF(OR(INDEX($AG$2:$AG$1001,MATCH(ROWS($AF$2:AF339),$AF$2:$AF$1001,0),1)&gt;=100000,INDEX($AM$1005:$BM$1005,1,MATCH(COLUMNS($AM$1006:BM1006),$AM$1006:$BM$1006,0))&gt;=100000), " ",IF(INDEX($AM$2:$BM$1001,MATCH(ROWS($AF$2:AF339),$AF$2:$AF$1001,0),MATCH(COLUMNS($AM$1006:BM1006),$AM$1006:$BM$1006,0)), HYPERLINK("#",""), HYPERLINK(CONCATENATE("#metadata!", ADDRESS(INDEX($AH$2:$AH$1001,MATCH(ROWS($AF$2:AF339),$AF$2:$AF$1001,0),0), INDEX($AM$1004:$BM$1004,1,MATCH(COLUMNS($AM$1006:BM1006),$AM$1006:$BM$1006,0)))),"Fix")))</f>
        <v xml:space="preserve"> </v>
      </c>
      <c r="AF339">
        <v>338</v>
      </c>
      <c r="AG339">
        <v>100339</v>
      </c>
      <c r="AH339">
        <v>339</v>
      </c>
      <c r="AI339" t="b">
        <f t="shared" si="5"/>
        <v>1</v>
      </c>
      <c r="AJ339" t="b">
        <f>COUNTBLANK(metadata!B339:AB339)=COLUMNS(metadata!B339:AB339)</f>
        <v>1</v>
      </c>
      <c r="AK339" t="str">
        <v/>
      </c>
      <c r="AM339" t="b">
        <f ca="1">AND(IF(metadata!B339="",FALSE,TRUE),COUNTIF(metadata!B:B, metadata!B339) = 1,NOT(ISERROR(SUMPRODUCT(SEARCH(MID(metadata!B339,ROW(INDIRECT("1:"&amp;LEN(metadata!B339))), 1),"0123456789abcdefghijklmnopqrstuvwxyzABCDEFGHIJKLMNOPQRSTUVWXYZ.")))))</f>
        <v>0</v>
      </c>
      <c r="AN339" t="b">
        <f ca="1">OR(AND(IF(metadata!C339="",FALSE,TRUE),OR(EXACT(metadata!C339,"missing: not collected"),EXACT(metadata!C339,"missing: not provided"),EXACT(metadata!C339,"missing: restricted access"))),AND(IF(metadata!C339="",FALSE,TRUE),AND(AND(IFERROR(INT(LEFT(metadata!C339,4))&gt;1900,FALSE),IFERROR(INT(LEFT(metadata!C339,4))&lt;=YEAR(NOW()),FALSE)), OR(MID(metadata!C339,5,1)="", AND(AND(MID(metadata!C339,5,1)="-",IFERROR(INT(MID(metadata!C339,6,1))&gt;=0,FALSE),IFERROR(INT(MID(metadata!C339,6,1))&lt;=1,FALSE),NOT(MID(metadata!C339,7,1)=""),IFERROR(INT(MID(metadata!C339,6,2))&gt;=1,FALSE),IFERROR(INT(MID(metadata!C339,6,2))&lt;=12,FALSE)), OR(MID(metadata!C339,8,1)="", AND(AND(MID(metadata!C339,8,1)="-",IFERROR(INT(MID(metadata!C339,9,1))&gt;=0,FALSE),IFERROR(INT(MID(metadata!C339,9,1))&lt;=3,FALSE),NOT(MID(metadata!C339,10,1)=""),IFERROR(INT(MID(metadata!C339,9,2))&gt;=1,FALSE),IFERROR(INT(MID(metadata!C339,9,2))&lt;=31,FALSE)), OR(MID(metadata!C339,11,1)="", AND(AND(MID(metadata!C339,11,1)=" ",IFERROR(INT(MID(metadata!C339,12,1))&gt;=0,FALSE),IFERROR(INT(MID(metadata!C339,12,1))&lt;=2,FALSE),NOT(MID(metadata!C339,13,1)=""),IFERROR(INT(MID(metadata!C339,12,2))&gt;=0,FALSE),IFERROR(INT(MID(metadata!C339,12,2))&lt;=23,FALSE)), OR(MID(metadata!C339,14,1)="", AND(AND(MID(metadata!C339,14,1)=":",IFERROR(INT(MID(metadata!C339,15,1))&gt;=0,FALSE),IFERROR(INT(MID(metadata!C339,15,1))&lt;=5,FALSE),NOT(MID(metadata!C339,16,1)=""),IFERROR(INT(MID(metadata!C339,15,2))&gt;=0,FALSE),IFERROR(INT(MID(metadata!C339,15,2))&lt;=59,FALSE)), OR(MID(metadata!C339,17,1)="", AND(AND(MID(metadata!C339,17,1)=":",IFERROR(INT(MID(metadata!C339,18,1))&gt;=0,FALSE),IFERROR(INT(MID(metadata!C339,18,1))&lt;=5,FALSE),NOT(MID(metadata!C339,19,1)=""),IFERROR(INT(MID(metadata!C339,18,2))&gt;=0,FALSE),IFERROR(INT(MID(metadata!C339,18,2))&lt;=59,FALSE)), LEN(metadata!C339)&lt;=19)))))))))))))</f>
        <v>0</v>
      </c>
      <c r="AO339" t="b">
        <f>AND(IF(metadata!D339="",FALSE,TRUE),EXACT(metadata!D339,"Not applicable"))</f>
        <v>0</v>
      </c>
      <c r="AP339" t="b">
        <f>IF(metadata!E339="",FALSE,TRUE)</f>
        <v>0</v>
      </c>
      <c r="AQ339" t="b">
        <f>OR(AND(IF(metadata!F339="",FALSE,TRUE),OR(EXACT(metadata!F339,"missing: not collected"),EXACT(metadata!F339,"missing: not provided"))),AND(IF(metadata!F339="",FALSE,TRUE),OR(EXACT(metadata!F339,"TRUE"),EXACT(metadata!F339,"FALSE"))))</f>
        <v>0</v>
      </c>
      <c r="AR339" t="b">
        <f>OR(AND(IF(metadata!G339="",FALSE,TRUE),OR(EXACT(metadata!G339,"missing: not collected"),EXACT(metadata!G339,"missing: not provided"),EXACT(metadata!G339,"missing: restricted access"))),AND(IF(metadata!G339="",FALSE,ISNUMBER(VALUE(metadata!G339))),metadata!G339&gt;=-413))</f>
        <v>0</v>
      </c>
      <c r="AS339" t="b">
        <f>AND(IF(metadata!H339="",FALSE,TRUE),EXACT(metadata!H339,"meters"))</f>
        <v>0</v>
      </c>
      <c r="AT339" t="b">
        <f>AND(IF(metadata!I339="",FALSE,TRUE),OR(EXACT(metadata!I339,"Host-associated"),EXACT(metadata!I339,"Free-living")))</f>
        <v>0</v>
      </c>
      <c r="AU339" t="b">
        <f>AND(IF(metadata!J339="",FALSE,TRUE),OR(EXACT(metadata!J339,"Animal"),EXACT(metadata!J339,"Fungus"),EXACT(metadata!J339,"Plant"),EXACT(metadata!J339,"Saline"),EXACT(metadata!J339,"Non-saline")))</f>
        <v>0</v>
      </c>
      <c r="AV339" t="b">
        <f>AND(IF(metadata!K339="",FALSE,TRUE),OR(EXACT(metadata!K339,"Plant secretion"),EXACT(metadata!K339,"Plant rhizosphere"),EXACT(metadata!K339,"Plant surface"),EXACT(metadata!K339,"Plant corpus"),EXACT(metadata!K339,"Fungus surface"),EXACT(metadata!K339,"Fungus corpus"),EXACT(metadata!K339,"Animal surface"),EXACT(metadata!K339,"Animal proximal gut"),EXACT(metadata!K339,"Animal corpus"),EXACT(metadata!K339,"Animal distal gut"),EXACT(metadata!K339,"Animal secretion"),EXACT(metadata!K339,"Sub-surface (non-saline)"),EXACT(metadata!K339,"Surface (non-saline)"),EXACT(metadata!K339,"Water (non-saline)"),EXACT(metadata!K339,"Soil (non-saline)"),EXACT(metadata!K339,"Aerosol (non-saline)"),EXACT(metadata!K339,"Sediment (non-saline)"),EXACT(metadata!K339,"Surface (saline)"),EXACT(metadata!K339,"Water (saline)"),EXACT(metadata!K339,"Hypersaline (saline)"),EXACT(metadata!K339,"Aerosol (saline)"),EXACT(metadata!K339,"Sediment (saline)")))</f>
        <v>0</v>
      </c>
      <c r="AW339" t="b">
        <f>IF(metadata!L339="",FALSE,TRUE)</f>
        <v>0</v>
      </c>
      <c r="AX339" t="b">
        <f>IF(metadata!M339="",FALSE,TRUE)</f>
        <v>0</v>
      </c>
      <c r="AY339" t="b">
        <f>IF(metadata!N339="",FALSE,TRUE)</f>
        <v>0</v>
      </c>
      <c r="AZ339" t="b">
        <f>OR(AND(IF(metadata!O339="",FALSE,TRUE),OR(EXACT(metadata!O339,"missing: not collected"),EXACT(metadata!O339,"missing: not provided"),EXACT(metadata!O339,"missing: restricted access"))),AND(IF(metadata!O339="",FALSE,TRUE),OR(EXACT(metadata!O339,"air"),EXACT(metadata!O339,"built environment"),EXACT(metadata!O339,"host-associated"),EXACT(metadata!O339,"human-associated"),EXACT(metadata!O339,"human-skin"),EXACT(metadata!O339,"human-oral"),EXACT(metadata!O339,"human-gut"),EXACT(metadata!O339,"human-vaginal"),EXACT(metadata!O339,"microbial mat/biofilm"),EXACT(metadata!O339,"misc environment"),EXACT(metadata!O339,"plant-associated"),EXACT(metadata!O339,"sediment"),EXACT(metadata!O339,"soil"),EXACT(metadata!O339,"wastewater/sludge"),EXACT(metadata!O339,"water"))))</f>
        <v>0</v>
      </c>
      <c r="BA339" t="b">
        <f>IF(metadata!P339="",FALSE,TRUE)</f>
        <v>0</v>
      </c>
      <c r="BB339" t="b">
        <f>IF(metadata!Q339="",FALSE,TRUE)</f>
        <v>0</v>
      </c>
      <c r="BC339" t="b">
        <f>OR(AND(IF(metadata!R339="",FALSE,TRUE),OR(EXACT(metadata!R339,"missing: not collected"),EXACT(metadata!R339,"missing: not provided"),EXACT(metadata!R339,"missing: restricted access"))),AND(IF(metadata!R339="",FALSE,ISNUMBER(VALUE(metadata!R339))),metadata!R339&gt;=-90,metadata!R339&lt;=90))</f>
        <v>0</v>
      </c>
      <c r="BD339" t="b">
        <f>AND(IF(metadata!S339="",FALSE,TRUE),EXACT(metadata!S339,"Decimal degrees"))</f>
        <v>0</v>
      </c>
      <c r="BE339" t="b">
        <f>OR(AND(IF(metadata!T339="",FALSE,TRUE),OR(EXACT(metadata!T339,"missing: not collected"),EXACT(metadata!T339,"missing: not provided"),EXACT(metadata!T339,"missing: restricted access"))),AND(IF(metadata!T339="",FALSE,ISNUMBER(VALUE(metadata!T339))),metadata!T339&gt;=-180,metadata!T339&lt;=180))</f>
        <v>0</v>
      </c>
      <c r="BF339" t="b">
        <f>AND(IF(metadata!U339="",FALSE,TRUE),EXACT(metadata!U339,"Decimal degrees"))</f>
        <v>0</v>
      </c>
      <c r="BG339" t="b">
        <f>IF(metadata!V339="",FALSE,TRUE)</f>
        <v>0</v>
      </c>
      <c r="BH339" t="b">
        <f>OR(AND(IF(metadata!W339="",FALSE,TRUE),OR(EXACT(metadata!W339,"missing: not collected"),EXACT(metadata!W339,"missing: not provided"),EXACT(metadata!W339,"missing: restricted access"))),AND(IF(metadata!W339="",FALSE,TRUE),OR(EXACT(metadata!W339,"TRUE"),EXACT(metadata!W339,"FALSE"))))</f>
        <v>0</v>
      </c>
      <c r="BI339" t="b">
        <f>AND(IF(metadata!X339="",FALSE,TRUE),EXACT(metadata!X339,"other"))</f>
        <v>0</v>
      </c>
      <c r="BJ339" t="b">
        <f>IF(metadata!Y339="",FALSE,TRUE)</f>
        <v>0</v>
      </c>
      <c r="BK339" t="b">
        <f>OR(AND(IF(metadata!Z339="",FALSE,TRUE),OR(EXACT(metadata!Z339,"missing: not collected"),EXACT(metadata!Z339,"missing: not provided"))),AND(IF(metadata!Z339="",FALSE,IF(ISERROR(INT(metadata!Z339)),FALSE,INT(metadata!Z339)=metadata!Z339)),metadata!Z339&gt;0))</f>
        <v>0</v>
      </c>
      <c r="BL339" t="b">
        <f>AND(IF(metadata!AA339="",FALSE,TRUE),EXACT(metadata!AA339,"Not applicable"))</f>
        <v>0</v>
      </c>
      <c r="BM339" t="b">
        <f>IF(metadata!AB339="",FALSE,TRUE)</f>
        <v>0</v>
      </c>
    </row>
    <row r="340" spans="1:65" x14ac:dyDescent="0.2">
      <c r="A340" s="5" t="str">
        <f ca="1">IF(B340=" "," ",HYPERLINK(CONCATENATE("#metadata!",ADDRESS(INDEX($AH$2:$AH$1001,MATCH(ROWS($AF$2:AF340),$AF$2:$AF$1001,0),0),1)),INDEX($AK$2:$AK$1001,MATCH(ROWS($AF$2:AF340),$AF$2:$AF$1001,0),0)))</f>
        <v xml:space="preserve"> </v>
      </c>
      <c r="B340" s="4" t="str">
        <f ca="1">IF(OR(INDEX($AG$2:$AG$1001,MATCH(ROWS($AF$2:AF340),$AF$2:$AF$1001,0),1)&gt;=100000,INDEX($AM$1005:$BM$1005,1,MATCH(COLUMNS($AM$1006:AM1006),$AM$1006:$BM$1006,0))&gt;=100000), " ",IF(INDEX($AM$2:$BM$1001,MATCH(ROWS($AF$2:AF340),$AF$2:$AF$1001,0),MATCH(COLUMNS($AM$1006:AM1006),$AM$1006:$BM$1006,0)), HYPERLINK("#",""), HYPERLINK(CONCATENATE("#metadata!", ADDRESS(INDEX($AH$2:$AH$1001,MATCH(ROWS($AF$2:AF340),$AF$2:$AF$1001,0),0), INDEX($AM$1004:$BM$1004,1,MATCH(COLUMNS($AM$1006:AM1006),$AM$1006:$BM$1006,0)))),"Fix")))</f>
        <v xml:space="preserve"> </v>
      </c>
      <c r="C340" s="4" t="str">
        <f ca="1">IF(OR(INDEX($AG$2:$AG$1001,MATCH(ROWS($AF$2:AF340),$AF$2:$AF$1001,0),1)&gt;=100000,INDEX($AM$1005:$BM$1005,1,MATCH(COLUMNS($AM$1006:AN1006),$AM$1006:$BM$1006,0))&gt;=100000), " ",IF(INDEX($AM$2:$BM$1001,MATCH(ROWS($AF$2:AF340),$AF$2:$AF$1001,0),MATCH(COLUMNS($AM$1006:AN1006),$AM$1006:$BM$1006,0)), HYPERLINK("#",""), HYPERLINK(CONCATENATE("#metadata!", ADDRESS(INDEX($AH$2:$AH$1001,MATCH(ROWS($AF$2:AF340),$AF$2:$AF$1001,0),0), INDEX($AM$1004:$BM$1004,1,MATCH(COLUMNS($AM$1006:AN1006),$AM$1006:$BM$1006,0)))),"Fix")))</f>
        <v xml:space="preserve"> </v>
      </c>
      <c r="D340" s="4" t="str">
        <f ca="1">IF(OR(INDEX($AG$2:$AG$1001,MATCH(ROWS($AF$2:AF340),$AF$2:$AF$1001,0),1)&gt;=100000,INDEX($AM$1005:$BM$1005,1,MATCH(COLUMNS($AM$1006:AO1006),$AM$1006:$BM$1006,0))&gt;=100000), " ",IF(INDEX($AM$2:$BM$1001,MATCH(ROWS($AF$2:AF340),$AF$2:$AF$1001,0),MATCH(COLUMNS($AM$1006:AO1006),$AM$1006:$BM$1006,0)), HYPERLINK("#",""), HYPERLINK(CONCATENATE("#metadata!", ADDRESS(INDEX($AH$2:$AH$1001,MATCH(ROWS($AF$2:AF340),$AF$2:$AF$1001,0),0), INDEX($AM$1004:$BM$1004,1,MATCH(COLUMNS($AM$1006:AO1006),$AM$1006:$BM$1006,0)))),"Fix")))</f>
        <v xml:space="preserve"> </v>
      </c>
      <c r="E340" s="4" t="str">
        <f ca="1">IF(OR(INDEX($AG$2:$AG$1001,MATCH(ROWS($AF$2:AF340),$AF$2:$AF$1001,0),1)&gt;=100000,INDEX($AM$1005:$BM$1005,1,MATCH(COLUMNS($AM$1006:AP1006),$AM$1006:$BM$1006,0))&gt;=100000), " ",IF(INDEX($AM$2:$BM$1001,MATCH(ROWS($AF$2:AF340),$AF$2:$AF$1001,0),MATCH(COLUMNS($AM$1006:AP1006),$AM$1006:$BM$1006,0)), HYPERLINK("#",""), HYPERLINK(CONCATENATE("#metadata!", ADDRESS(INDEX($AH$2:$AH$1001,MATCH(ROWS($AF$2:AF340),$AF$2:$AF$1001,0),0), INDEX($AM$1004:$BM$1004,1,MATCH(COLUMNS($AM$1006:AP1006),$AM$1006:$BM$1006,0)))),"Fix")))</f>
        <v xml:space="preserve"> </v>
      </c>
      <c r="F340" s="4" t="str">
        <f ca="1">IF(OR(INDEX($AG$2:$AG$1001,MATCH(ROWS($AF$2:AF340),$AF$2:$AF$1001,0),1)&gt;=100000,INDEX($AM$1005:$BM$1005,1,MATCH(COLUMNS($AM$1006:AQ1006),$AM$1006:$BM$1006,0))&gt;=100000), " ",IF(INDEX($AM$2:$BM$1001,MATCH(ROWS($AF$2:AF340),$AF$2:$AF$1001,0),MATCH(COLUMNS($AM$1006:AQ1006),$AM$1006:$BM$1006,0)), HYPERLINK("#",""), HYPERLINK(CONCATENATE("#metadata!", ADDRESS(INDEX($AH$2:$AH$1001,MATCH(ROWS($AF$2:AF340),$AF$2:$AF$1001,0),0), INDEX($AM$1004:$BM$1004,1,MATCH(COLUMNS($AM$1006:AQ1006),$AM$1006:$BM$1006,0)))),"Fix")))</f>
        <v xml:space="preserve"> </v>
      </c>
      <c r="G340" s="4" t="str">
        <f ca="1">IF(OR(INDEX($AG$2:$AG$1001,MATCH(ROWS($AF$2:AF340),$AF$2:$AF$1001,0),1)&gt;=100000,INDEX($AM$1005:$BM$1005,1,MATCH(COLUMNS($AM$1006:AR1006),$AM$1006:$BM$1006,0))&gt;=100000), " ",IF(INDEX($AM$2:$BM$1001,MATCH(ROWS($AF$2:AF340),$AF$2:$AF$1001,0),MATCH(COLUMNS($AM$1006:AR1006),$AM$1006:$BM$1006,0)), HYPERLINK("#",""), HYPERLINK(CONCATENATE("#metadata!", ADDRESS(INDEX($AH$2:$AH$1001,MATCH(ROWS($AF$2:AF340),$AF$2:$AF$1001,0),0), INDEX($AM$1004:$BM$1004,1,MATCH(COLUMNS($AM$1006:AR1006),$AM$1006:$BM$1006,0)))),"Fix")))</f>
        <v xml:space="preserve"> </v>
      </c>
      <c r="H340" s="4" t="str">
        <f ca="1">IF(OR(INDEX($AG$2:$AG$1001,MATCH(ROWS($AF$2:AF340),$AF$2:$AF$1001,0),1)&gt;=100000,INDEX($AM$1005:$BM$1005,1,MATCH(COLUMNS($AM$1006:AS1006),$AM$1006:$BM$1006,0))&gt;=100000), " ",IF(INDEX($AM$2:$BM$1001,MATCH(ROWS($AF$2:AF340),$AF$2:$AF$1001,0),MATCH(COLUMNS($AM$1006:AS1006),$AM$1006:$BM$1006,0)), HYPERLINK("#",""), HYPERLINK(CONCATENATE("#metadata!", ADDRESS(INDEX($AH$2:$AH$1001,MATCH(ROWS($AF$2:AF340),$AF$2:$AF$1001,0),0), INDEX($AM$1004:$BM$1004,1,MATCH(COLUMNS($AM$1006:AS1006),$AM$1006:$BM$1006,0)))),"Fix")))</f>
        <v xml:space="preserve"> </v>
      </c>
      <c r="I340" s="4" t="str">
        <f ca="1">IF(OR(INDEX($AG$2:$AG$1001,MATCH(ROWS($AF$2:AF340),$AF$2:$AF$1001,0),1)&gt;=100000,INDEX($AM$1005:$BM$1005,1,MATCH(COLUMNS($AM$1006:AT1006),$AM$1006:$BM$1006,0))&gt;=100000), " ",IF(INDEX($AM$2:$BM$1001,MATCH(ROWS($AF$2:AF340),$AF$2:$AF$1001,0),MATCH(COLUMNS($AM$1006:AT1006),$AM$1006:$BM$1006,0)), HYPERLINK("#",""), HYPERLINK(CONCATENATE("#metadata!", ADDRESS(INDEX($AH$2:$AH$1001,MATCH(ROWS($AF$2:AF340),$AF$2:$AF$1001,0),0), INDEX($AM$1004:$BM$1004,1,MATCH(COLUMNS($AM$1006:AT1006),$AM$1006:$BM$1006,0)))),"Fix")))</f>
        <v xml:space="preserve"> </v>
      </c>
      <c r="J340" s="4" t="str">
        <f ca="1">IF(OR(INDEX($AG$2:$AG$1001,MATCH(ROWS($AF$2:AF340),$AF$2:$AF$1001,0),1)&gt;=100000,INDEX($AM$1005:$BM$1005,1,MATCH(COLUMNS($AM$1006:AU1006),$AM$1006:$BM$1006,0))&gt;=100000), " ",IF(INDEX($AM$2:$BM$1001,MATCH(ROWS($AF$2:AF340),$AF$2:$AF$1001,0),MATCH(COLUMNS($AM$1006:AU1006),$AM$1006:$BM$1006,0)), HYPERLINK("#",""), HYPERLINK(CONCATENATE("#metadata!", ADDRESS(INDEX($AH$2:$AH$1001,MATCH(ROWS($AF$2:AF340),$AF$2:$AF$1001,0),0), INDEX($AM$1004:$BM$1004,1,MATCH(COLUMNS($AM$1006:AU1006),$AM$1006:$BM$1006,0)))),"Fix")))</f>
        <v xml:space="preserve"> </v>
      </c>
      <c r="K340" s="4" t="str">
        <f ca="1">IF(OR(INDEX($AG$2:$AG$1001,MATCH(ROWS($AF$2:AF340),$AF$2:$AF$1001,0),1)&gt;=100000,INDEX($AM$1005:$BM$1005,1,MATCH(COLUMNS($AM$1006:AV1006),$AM$1006:$BM$1006,0))&gt;=100000), " ",IF(INDEX($AM$2:$BM$1001,MATCH(ROWS($AF$2:AF340),$AF$2:$AF$1001,0),MATCH(COLUMNS($AM$1006:AV1006),$AM$1006:$BM$1006,0)), HYPERLINK("#",""), HYPERLINK(CONCATENATE("#metadata!", ADDRESS(INDEX($AH$2:$AH$1001,MATCH(ROWS($AF$2:AF340),$AF$2:$AF$1001,0),0), INDEX($AM$1004:$BM$1004,1,MATCH(COLUMNS($AM$1006:AV1006),$AM$1006:$BM$1006,0)))),"Fix")))</f>
        <v xml:space="preserve"> </v>
      </c>
      <c r="L340" s="4" t="str">
        <f ca="1">IF(OR(INDEX($AG$2:$AG$1001,MATCH(ROWS($AF$2:AF340),$AF$2:$AF$1001,0),1)&gt;=100000,INDEX($AM$1005:$BM$1005,1,MATCH(COLUMNS($AM$1006:AW1006),$AM$1006:$BM$1006,0))&gt;=100000), " ",IF(INDEX($AM$2:$BM$1001,MATCH(ROWS($AF$2:AF340),$AF$2:$AF$1001,0),MATCH(COLUMNS($AM$1006:AW1006),$AM$1006:$BM$1006,0)), HYPERLINK("#",""), HYPERLINK(CONCATENATE("#metadata!", ADDRESS(INDEX($AH$2:$AH$1001,MATCH(ROWS($AF$2:AF340),$AF$2:$AF$1001,0),0), INDEX($AM$1004:$BM$1004,1,MATCH(COLUMNS($AM$1006:AW1006),$AM$1006:$BM$1006,0)))),"Fix")))</f>
        <v xml:space="preserve"> </v>
      </c>
      <c r="M340" s="4" t="str">
        <f ca="1">IF(OR(INDEX($AG$2:$AG$1001,MATCH(ROWS($AF$2:AF340),$AF$2:$AF$1001,0),1)&gt;=100000,INDEX($AM$1005:$BM$1005,1,MATCH(COLUMNS($AM$1006:AX1006),$AM$1006:$BM$1006,0))&gt;=100000), " ",IF(INDEX($AM$2:$BM$1001,MATCH(ROWS($AF$2:AF340),$AF$2:$AF$1001,0),MATCH(COLUMNS($AM$1006:AX1006),$AM$1006:$BM$1006,0)), HYPERLINK("#",""), HYPERLINK(CONCATENATE("#metadata!", ADDRESS(INDEX($AH$2:$AH$1001,MATCH(ROWS($AF$2:AF340),$AF$2:$AF$1001,0),0), INDEX($AM$1004:$BM$1004,1,MATCH(COLUMNS($AM$1006:AX1006),$AM$1006:$BM$1006,0)))),"Fix")))</f>
        <v xml:space="preserve"> </v>
      </c>
      <c r="N340" s="4" t="str">
        <f ca="1">IF(OR(INDEX($AG$2:$AG$1001,MATCH(ROWS($AF$2:AF340),$AF$2:$AF$1001,0),1)&gt;=100000,INDEX($AM$1005:$BM$1005,1,MATCH(COLUMNS($AM$1006:AY1006),$AM$1006:$BM$1006,0))&gt;=100000), " ",IF(INDEX($AM$2:$BM$1001,MATCH(ROWS($AF$2:AF340),$AF$2:$AF$1001,0),MATCH(COLUMNS($AM$1006:AY1006),$AM$1006:$BM$1006,0)), HYPERLINK("#",""), HYPERLINK(CONCATENATE("#metadata!", ADDRESS(INDEX($AH$2:$AH$1001,MATCH(ROWS($AF$2:AF340),$AF$2:$AF$1001,0),0), INDEX($AM$1004:$BM$1004,1,MATCH(COLUMNS($AM$1006:AY1006),$AM$1006:$BM$1006,0)))),"Fix")))</f>
        <v xml:space="preserve"> </v>
      </c>
      <c r="O340" s="4" t="str">
        <f ca="1">IF(OR(INDEX($AG$2:$AG$1001,MATCH(ROWS($AF$2:AF340),$AF$2:$AF$1001,0),1)&gt;=100000,INDEX($AM$1005:$BM$1005,1,MATCH(COLUMNS($AM$1006:AZ1006),$AM$1006:$BM$1006,0))&gt;=100000), " ",IF(INDEX($AM$2:$BM$1001,MATCH(ROWS($AF$2:AF340),$AF$2:$AF$1001,0),MATCH(COLUMNS($AM$1006:AZ1006),$AM$1006:$BM$1006,0)), HYPERLINK("#",""), HYPERLINK(CONCATENATE("#metadata!", ADDRESS(INDEX($AH$2:$AH$1001,MATCH(ROWS($AF$2:AF340),$AF$2:$AF$1001,0),0), INDEX($AM$1004:$BM$1004,1,MATCH(COLUMNS($AM$1006:AZ1006),$AM$1006:$BM$1006,0)))),"Fix")))</f>
        <v xml:space="preserve"> </v>
      </c>
      <c r="P340" s="4" t="str">
        <f ca="1">IF(OR(INDEX($AG$2:$AG$1001,MATCH(ROWS($AF$2:AF340),$AF$2:$AF$1001,0),1)&gt;=100000,INDEX($AM$1005:$BM$1005,1,MATCH(COLUMNS($AM$1006:BA1006),$AM$1006:$BM$1006,0))&gt;=100000), " ",IF(INDEX($AM$2:$BM$1001,MATCH(ROWS($AF$2:AF340),$AF$2:$AF$1001,0),MATCH(COLUMNS($AM$1006:BA1006),$AM$1006:$BM$1006,0)), HYPERLINK("#",""), HYPERLINK(CONCATENATE("#metadata!", ADDRESS(INDEX($AH$2:$AH$1001,MATCH(ROWS($AF$2:AF340),$AF$2:$AF$1001,0),0), INDEX($AM$1004:$BM$1004,1,MATCH(COLUMNS($AM$1006:BA1006),$AM$1006:$BM$1006,0)))),"Fix")))</f>
        <v xml:space="preserve"> </v>
      </c>
      <c r="Q340" s="4" t="str">
        <f ca="1">IF(OR(INDEX($AG$2:$AG$1001,MATCH(ROWS($AF$2:AF340),$AF$2:$AF$1001,0),1)&gt;=100000,INDEX($AM$1005:$BM$1005,1,MATCH(COLUMNS($AM$1006:BB1006),$AM$1006:$BM$1006,0))&gt;=100000), " ",IF(INDEX($AM$2:$BM$1001,MATCH(ROWS($AF$2:AF340),$AF$2:$AF$1001,0),MATCH(COLUMNS($AM$1006:BB1006),$AM$1006:$BM$1006,0)), HYPERLINK("#",""), HYPERLINK(CONCATENATE("#metadata!", ADDRESS(INDEX($AH$2:$AH$1001,MATCH(ROWS($AF$2:AF340),$AF$2:$AF$1001,0),0), INDEX($AM$1004:$BM$1004,1,MATCH(COLUMNS($AM$1006:BB1006),$AM$1006:$BM$1006,0)))),"Fix")))</f>
        <v xml:space="preserve"> </v>
      </c>
      <c r="R340" s="4" t="str">
        <f ca="1">IF(OR(INDEX($AG$2:$AG$1001,MATCH(ROWS($AF$2:AF340),$AF$2:$AF$1001,0),1)&gt;=100000,INDEX($AM$1005:$BM$1005,1,MATCH(COLUMNS($AM$1006:BC1006),$AM$1006:$BM$1006,0))&gt;=100000), " ",IF(INDEX($AM$2:$BM$1001,MATCH(ROWS($AF$2:AF340),$AF$2:$AF$1001,0),MATCH(COLUMNS($AM$1006:BC1006),$AM$1006:$BM$1006,0)), HYPERLINK("#",""), HYPERLINK(CONCATENATE("#metadata!", ADDRESS(INDEX($AH$2:$AH$1001,MATCH(ROWS($AF$2:AF340),$AF$2:$AF$1001,0),0), INDEX($AM$1004:$BM$1004,1,MATCH(COLUMNS($AM$1006:BC1006),$AM$1006:$BM$1006,0)))),"Fix")))</f>
        <v xml:space="preserve"> </v>
      </c>
      <c r="S340" s="4" t="str">
        <f ca="1">IF(OR(INDEX($AG$2:$AG$1001,MATCH(ROWS($AF$2:AF340),$AF$2:$AF$1001,0),1)&gt;=100000,INDEX($AM$1005:$BM$1005,1,MATCH(COLUMNS($AM$1006:BD1006),$AM$1006:$BM$1006,0))&gt;=100000), " ",IF(INDEX($AM$2:$BM$1001,MATCH(ROWS($AF$2:AF340),$AF$2:$AF$1001,0),MATCH(COLUMNS($AM$1006:BD1006),$AM$1006:$BM$1006,0)), HYPERLINK("#",""), HYPERLINK(CONCATENATE("#metadata!", ADDRESS(INDEX($AH$2:$AH$1001,MATCH(ROWS($AF$2:AF340),$AF$2:$AF$1001,0),0), INDEX($AM$1004:$BM$1004,1,MATCH(COLUMNS($AM$1006:BD1006),$AM$1006:$BM$1006,0)))),"Fix")))</f>
        <v xml:space="preserve"> </v>
      </c>
      <c r="T340" s="4" t="str">
        <f ca="1">IF(OR(INDEX($AG$2:$AG$1001,MATCH(ROWS($AF$2:AF340),$AF$2:$AF$1001,0),1)&gt;=100000,INDEX($AM$1005:$BM$1005,1,MATCH(COLUMNS($AM$1006:BE1006),$AM$1006:$BM$1006,0))&gt;=100000), " ",IF(INDEX($AM$2:$BM$1001,MATCH(ROWS($AF$2:AF340),$AF$2:$AF$1001,0),MATCH(COLUMNS($AM$1006:BE1006),$AM$1006:$BM$1006,0)), HYPERLINK("#",""), HYPERLINK(CONCATENATE("#metadata!", ADDRESS(INDEX($AH$2:$AH$1001,MATCH(ROWS($AF$2:AF340),$AF$2:$AF$1001,0),0), INDEX($AM$1004:$BM$1004,1,MATCH(COLUMNS($AM$1006:BE1006),$AM$1006:$BM$1006,0)))),"Fix")))</f>
        <v xml:space="preserve"> </v>
      </c>
      <c r="U340" s="4" t="str">
        <f ca="1">IF(OR(INDEX($AG$2:$AG$1001,MATCH(ROWS($AF$2:AF340),$AF$2:$AF$1001,0),1)&gt;=100000,INDEX($AM$1005:$BM$1005,1,MATCH(COLUMNS($AM$1006:BF1006),$AM$1006:$BM$1006,0))&gt;=100000), " ",IF(INDEX($AM$2:$BM$1001,MATCH(ROWS($AF$2:AF340),$AF$2:$AF$1001,0),MATCH(COLUMNS($AM$1006:BF1006),$AM$1006:$BM$1006,0)), HYPERLINK("#",""), HYPERLINK(CONCATENATE("#metadata!", ADDRESS(INDEX($AH$2:$AH$1001,MATCH(ROWS($AF$2:AF340),$AF$2:$AF$1001,0),0), INDEX($AM$1004:$BM$1004,1,MATCH(COLUMNS($AM$1006:BF1006),$AM$1006:$BM$1006,0)))),"Fix")))</f>
        <v xml:space="preserve"> </v>
      </c>
      <c r="V340" s="4" t="str">
        <f ca="1">IF(OR(INDEX($AG$2:$AG$1001,MATCH(ROWS($AF$2:AF340),$AF$2:$AF$1001,0),1)&gt;=100000,INDEX($AM$1005:$BM$1005,1,MATCH(COLUMNS($AM$1006:BG1006),$AM$1006:$BM$1006,0))&gt;=100000), " ",IF(INDEX($AM$2:$BM$1001,MATCH(ROWS($AF$2:AF340),$AF$2:$AF$1001,0),MATCH(COLUMNS($AM$1006:BG1006),$AM$1006:$BM$1006,0)), HYPERLINK("#",""), HYPERLINK(CONCATENATE("#metadata!", ADDRESS(INDEX($AH$2:$AH$1001,MATCH(ROWS($AF$2:AF340),$AF$2:$AF$1001,0),0), INDEX($AM$1004:$BM$1004,1,MATCH(COLUMNS($AM$1006:BG1006),$AM$1006:$BM$1006,0)))),"Fix")))</f>
        <v xml:space="preserve"> </v>
      </c>
      <c r="W340" s="4" t="str">
        <f ca="1">IF(OR(INDEX($AG$2:$AG$1001,MATCH(ROWS($AF$2:AF340),$AF$2:$AF$1001,0),1)&gt;=100000,INDEX($AM$1005:$BM$1005,1,MATCH(COLUMNS($AM$1006:BH1006),$AM$1006:$BM$1006,0))&gt;=100000), " ",IF(INDEX($AM$2:$BM$1001,MATCH(ROWS($AF$2:AF340),$AF$2:$AF$1001,0),MATCH(COLUMNS($AM$1006:BH1006),$AM$1006:$BM$1006,0)), HYPERLINK("#",""), HYPERLINK(CONCATENATE("#metadata!", ADDRESS(INDEX($AH$2:$AH$1001,MATCH(ROWS($AF$2:AF340),$AF$2:$AF$1001,0),0), INDEX($AM$1004:$BM$1004,1,MATCH(COLUMNS($AM$1006:BH1006),$AM$1006:$BM$1006,0)))),"Fix")))</f>
        <v xml:space="preserve"> </v>
      </c>
      <c r="X340" s="4" t="str">
        <f ca="1">IF(OR(INDEX($AG$2:$AG$1001,MATCH(ROWS($AF$2:AF340),$AF$2:$AF$1001,0),1)&gt;=100000,INDEX($AM$1005:$BM$1005,1,MATCH(COLUMNS($AM$1006:BI1006),$AM$1006:$BM$1006,0))&gt;=100000), " ",IF(INDEX($AM$2:$BM$1001,MATCH(ROWS($AF$2:AF340),$AF$2:$AF$1001,0),MATCH(COLUMNS($AM$1006:BI1006),$AM$1006:$BM$1006,0)), HYPERLINK("#",""), HYPERLINK(CONCATENATE("#metadata!", ADDRESS(INDEX($AH$2:$AH$1001,MATCH(ROWS($AF$2:AF340),$AF$2:$AF$1001,0),0), INDEX($AM$1004:$BM$1004,1,MATCH(COLUMNS($AM$1006:BI1006),$AM$1006:$BM$1006,0)))),"Fix")))</f>
        <v xml:space="preserve"> </v>
      </c>
      <c r="Y340" s="4" t="str">
        <f ca="1">IF(OR(INDEX($AG$2:$AG$1001,MATCH(ROWS($AF$2:AF340),$AF$2:$AF$1001,0),1)&gt;=100000,INDEX($AM$1005:$BM$1005,1,MATCH(COLUMNS($AM$1006:BJ1006),$AM$1006:$BM$1006,0))&gt;=100000), " ",IF(INDEX($AM$2:$BM$1001,MATCH(ROWS($AF$2:AF340),$AF$2:$AF$1001,0),MATCH(COLUMNS($AM$1006:BJ1006),$AM$1006:$BM$1006,0)), HYPERLINK("#",""), HYPERLINK(CONCATENATE("#metadata!", ADDRESS(INDEX($AH$2:$AH$1001,MATCH(ROWS($AF$2:AF340),$AF$2:$AF$1001,0),0), INDEX($AM$1004:$BM$1004,1,MATCH(COLUMNS($AM$1006:BJ1006),$AM$1006:$BM$1006,0)))),"Fix")))</f>
        <v xml:space="preserve"> </v>
      </c>
      <c r="Z340" s="4" t="str">
        <f ca="1">IF(OR(INDEX($AG$2:$AG$1001,MATCH(ROWS($AF$2:AF340),$AF$2:$AF$1001,0),1)&gt;=100000,INDEX($AM$1005:$BM$1005,1,MATCH(COLUMNS($AM$1006:BK1006),$AM$1006:$BM$1006,0))&gt;=100000), " ",IF(INDEX($AM$2:$BM$1001,MATCH(ROWS($AF$2:AF340),$AF$2:$AF$1001,0),MATCH(COLUMNS($AM$1006:BK1006),$AM$1006:$BM$1006,0)), HYPERLINK("#",""), HYPERLINK(CONCATENATE("#metadata!", ADDRESS(INDEX($AH$2:$AH$1001,MATCH(ROWS($AF$2:AF340),$AF$2:$AF$1001,0),0), INDEX($AM$1004:$BM$1004,1,MATCH(COLUMNS($AM$1006:BK1006),$AM$1006:$BM$1006,0)))),"Fix")))</f>
        <v xml:space="preserve"> </v>
      </c>
      <c r="AA340" s="4" t="str">
        <f ca="1">IF(OR(INDEX($AG$2:$AG$1001,MATCH(ROWS($AF$2:AF340),$AF$2:$AF$1001,0),1)&gt;=100000,INDEX($AM$1005:$BM$1005,1,MATCH(COLUMNS($AM$1006:BL1006),$AM$1006:$BM$1006,0))&gt;=100000), " ",IF(INDEX($AM$2:$BM$1001,MATCH(ROWS($AF$2:AF340),$AF$2:$AF$1001,0),MATCH(COLUMNS($AM$1006:BL1006),$AM$1006:$BM$1006,0)), HYPERLINK("#",""), HYPERLINK(CONCATENATE("#metadata!", ADDRESS(INDEX($AH$2:$AH$1001,MATCH(ROWS($AF$2:AF340),$AF$2:$AF$1001,0),0), INDEX($AM$1004:$BM$1004,1,MATCH(COLUMNS($AM$1006:BL1006),$AM$1006:$BM$1006,0)))),"Fix")))</f>
        <v xml:space="preserve"> </v>
      </c>
      <c r="AB340" s="4" t="str">
        <f ca="1">IF(OR(INDEX($AG$2:$AG$1001,MATCH(ROWS($AF$2:AF340),$AF$2:$AF$1001,0),1)&gt;=100000,INDEX($AM$1005:$BM$1005,1,MATCH(COLUMNS($AM$1006:BM1006),$AM$1006:$BM$1006,0))&gt;=100000), " ",IF(INDEX($AM$2:$BM$1001,MATCH(ROWS($AF$2:AF340),$AF$2:$AF$1001,0),MATCH(COLUMNS($AM$1006:BM1006),$AM$1006:$BM$1006,0)), HYPERLINK("#",""), HYPERLINK(CONCATENATE("#metadata!", ADDRESS(INDEX($AH$2:$AH$1001,MATCH(ROWS($AF$2:AF340),$AF$2:$AF$1001,0),0), INDEX($AM$1004:$BM$1004,1,MATCH(COLUMNS($AM$1006:BM1006),$AM$1006:$BM$1006,0)))),"Fix")))</f>
        <v xml:space="preserve"> </v>
      </c>
      <c r="AF340">
        <v>339</v>
      </c>
      <c r="AG340">
        <v>100340</v>
      </c>
      <c r="AH340">
        <v>340</v>
      </c>
      <c r="AI340" t="b">
        <f t="shared" si="5"/>
        <v>1</v>
      </c>
      <c r="AJ340" t="b">
        <f>COUNTBLANK(metadata!B340:AB340)=COLUMNS(metadata!B340:AB340)</f>
        <v>1</v>
      </c>
      <c r="AK340" t="str">
        <v/>
      </c>
      <c r="AM340" t="b">
        <f ca="1">AND(IF(metadata!B340="",FALSE,TRUE),COUNTIF(metadata!B:B, metadata!B340) = 1,NOT(ISERROR(SUMPRODUCT(SEARCH(MID(metadata!B340,ROW(INDIRECT("1:"&amp;LEN(metadata!B340))), 1),"0123456789abcdefghijklmnopqrstuvwxyzABCDEFGHIJKLMNOPQRSTUVWXYZ.")))))</f>
        <v>0</v>
      </c>
      <c r="AN340" t="b">
        <f ca="1">OR(AND(IF(metadata!C340="",FALSE,TRUE),OR(EXACT(metadata!C340,"missing: not collected"),EXACT(metadata!C340,"missing: not provided"),EXACT(metadata!C340,"missing: restricted access"))),AND(IF(metadata!C340="",FALSE,TRUE),AND(AND(IFERROR(INT(LEFT(metadata!C340,4))&gt;1900,FALSE),IFERROR(INT(LEFT(metadata!C340,4))&lt;=YEAR(NOW()),FALSE)), OR(MID(metadata!C340,5,1)="", AND(AND(MID(metadata!C340,5,1)="-",IFERROR(INT(MID(metadata!C340,6,1))&gt;=0,FALSE),IFERROR(INT(MID(metadata!C340,6,1))&lt;=1,FALSE),NOT(MID(metadata!C340,7,1)=""),IFERROR(INT(MID(metadata!C340,6,2))&gt;=1,FALSE),IFERROR(INT(MID(metadata!C340,6,2))&lt;=12,FALSE)), OR(MID(metadata!C340,8,1)="", AND(AND(MID(metadata!C340,8,1)="-",IFERROR(INT(MID(metadata!C340,9,1))&gt;=0,FALSE),IFERROR(INT(MID(metadata!C340,9,1))&lt;=3,FALSE),NOT(MID(metadata!C340,10,1)=""),IFERROR(INT(MID(metadata!C340,9,2))&gt;=1,FALSE),IFERROR(INT(MID(metadata!C340,9,2))&lt;=31,FALSE)), OR(MID(metadata!C340,11,1)="", AND(AND(MID(metadata!C340,11,1)=" ",IFERROR(INT(MID(metadata!C340,12,1))&gt;=0,FALSE),IFERROR(INT(MID(metadata!C340,12,1))&lt;=2,FALSE),NOT(MID(metadata!C340,13,1)=""),IFERROR(INT(MID(metadata!C340,12,2))&gt;=0,FALSE),IFERROR(INT(MID(metadata!C340,12,2))&lt;=23,FALSE)), OR(MID(metadata!C340,14,1)="", AND(AND(MID(metadata!C340,14,1)=":",IFERROR(INT(MID(metadata!C340,15,1))&gt;=0,FALSE),IFERROR(INT(MID(metadata!C340,15,1))&lt;=5,FALSE),NOT(MID(metadata!C340,16,1)=""),IFERROR(INT(MID(metadata!C340,15,2))&gt;=0,FALSE),IFERROR(INT(MID(metadata!C340,15,2))&lt;=59,FALSE)), OR(MID(metadata!C340,17,1)="", AND(AND(MID(metadata!C340,17,1)=":",IFERROR(INT(MID(metadata!C340,18,1))&gt;=0,FALSE),IFERROR(INT(MID(metadata!C340,18,1))&lt;=5,FALSE),NOT(MID(metadata!C340,19,1)=""),IFERROR(INT(MID(metadata!C340,18,2))&gt;=0,FALSE),IFERROR(INT(MID(metadata!C340,18,2))&lt;=59,FALSE)), LEN(metadata!C340)&lt;=19)))))))))))))</f>
        <v>0</v>
      </c>
      <c r="AO340" t="b">
        <f>AND(IF(metadata!D340="",FALSE,TRUE),EXACT(metadata!D340,"Not applicable"))</f>
        <v>0</v>
      </c>
      <c r="AP340" t="b">
        <f>IF(metadata!E340="",FALSE,TRUE)</f>
        <v>0</v>
      </c>
      <c r="AQ340" t="b">
        <f>OR(AND(IF(metadata!F340="",FALSE,TRUE),OR(EXACT(metadata!F340,"missing: not collected"),EXACT(metadata!F340,"missing: not provided"))),AND(IF(metadata!F340="",FALSE,TRUE),OR(EXACT(metadata!F340,"TRUE"),EXACT(metadata!F340,"FALSE"))))</f>
        <v>0</v>
      </c>
      <c r="AR340" t="b">
        <f>OR(AND(IF(metadata!G340="",FALSE,TRUE),OR(EXACT(metadata!G340,"missing: not collected"),EXACT(metadata!G340,"missing: not provided"),EXACT(metadata!G340,"missing: restricted access"))),AND(IF(metadata!G340="",FALSE,ISNUMBER(VALUE(metadata!G340))),metadata!G340&gt;=-413))</f>
        <v>0</v>
      </c>
      <c r="AS340" t="b">
        <f>AND(IF(metadata!H340="",FALSE,TRUE),EXACT(metadata!H340,"meters"))</f>
        <v>0</v>
      </c>
      <c r="AT340" t="b">
        <f>AND(IF(metadata!I340="",FALSE,TRUE),OR(EXACT(metadata!I340,"Host-associated"),EXACT(metadata!I340,"Free-living")))</f>
        <v>0</v>
      </c>
      <c r="AU340" t="b">
        <f>AND(IF(metadata!J340="",FALSE,TRUE),OR(EXACT(metadata!J340,"Animal"),EXACT(metadata!J340,"Fungus"),EXACT(metadata!J340,"Plant"),EXACT(metadata!J340,"Saline"),EXACT(metadata!J340,"Non-saline")))</f>
        <v>0</v>
      </c>
      <c r="AV340" t="b">
        <f>AND(IF(metadata!K340="",FALSE,TRUE),OR(EXACT(metadata!K340,"Plant secretion"),EXACT(metadata!K340,"Plant rhizosphere"),EXACT(metadata!K340,"Plant surface"),EXACT(metadata!K340,"Plant corpus"),EXACT(metadata!K340,"Fungus surface"),EXACT(metadata!K340,"Fungus corpus"),EXACT(metadata!K340,"Animal surface"),EXACT(metadata!K340,"Animal proximal gut"),EXACT(metadata!K340,"Animal corpus"),EXACT(metadata!K340,"Animal distal gut"),EXACT(metadata!K340,"Animal secretion"),EXACT(metadata!K340,"Sub-surface (non-saline)"),EXACT(metadata!K340,"Surface (non-saline)"),EXACT(metadata!K340,"Water (non-saline)"),EXACT(metadata!K340,"Soil (non-saline)"),EXACT(metadata!K340,"Aerosol (non-saline)"),EXACT(metadata!K340,"Sediment (non-saline)"),EXACT(metadata!K340,"Surface (saline)"),EXACT(metadata!K340,"Water (saline)"),EXACT(metadata!K340,"Hypersaline (saline)"),EXACT(metadata!K340,"Aerosol (saline)"),EXACT(metadata!K340,"Sediment (saline)")))</f>
        <v>0</v>
      </c>
      <c r="AW340" t="b">
        <f>IF(metadata!L340="",FALSE,TRUE)</f>
        <v>0</v>
      </c>
      <c r="AX340" t="b">
        <f>IF(metadata!M340="",FALSE,TRUE)</f>
        <v>0</v>
      </c>
      <c r="AY340" t="b">
        <f>IF(metadata!N340="",FALSE,TRUE)</f>
        <v>0</v>
      </c>
      <c r="AZ340" t="b">
        <f>OR(AND(IF(metadata!O340="",FALSE,TRUE),OR(EXACT(metadata!O340,"missing: not collected"),EXACT(metadata!O340,"missing: not provided"),EXACT(metadata!O340,"missing: restricted access"))),AND(IF(metadata!O340="",FALSE,TRUE),OR(EXACT(metadata!O340,"air"),EXACT(metadata!O340,"built environment"),EXACT(metadata!O340,"host-associated"),EXACT(metadata!O340,"human-associated"),EXACT(metadata!O340,"human-skin"),EXACT(metadata!O340,"human-oral"),EXACT(metadata!O340,"human-gut"),EXACT(metadata!O340,"human-vaginal"),EXACT(metadata!O340,"microbial mat/biofilm"),EXACT(metadata!O340,"misc environment"),EXACT(metadata!O340,"plant-associated"),EXACT(metadata!O340,"sediment"),EXACT(metadata!O340,"soil"),EXACT(metadata!O340,"wastewater/sludge"),EXACT(metadata!O340,"water"))))</f>
        <v>0</v>
      </c>
      <c r="BA340" t="b">
        <f>IF(metadata!P340="",FALSE,TRUE)</f>
        <v>0</v>
      </c>
      <c r="BB340" t="b">
        <f>IF(metadata!Q340="",FALSE,TRUE)</f>
        <v>0</v>
      </c>
      <c r="BC340" t="b">
        <f>OR(AND(IF(metadata!R340="",FALSE,TRUE),OR(EXACT(metadata!R340,"missing: not collected"),EXACT(metadata!R340,"missing: not provided"),EXACT(metadata!R340,"missing: restricted access"))),AND(IF(metadata!R340="",FALSE,ISNUMBER(VALUE(metadata!R340))),metadata!R340&gt;=-90,metadata!R340&lt;=90))</f>
        <v>0</v>
      </c>
      <c r="BD340" t="b">
        <f>AND(IF(metadata!S340="",FALSE,TRUE),EXACT(metadata!S340,"Decimal degrees"))</f>
        <v>0</v>
      </c>
      <c r="BE340" t="b">
        <f>OR(AND(IF(metadata!T340="",FALSE,TRUE),OR(EXACT(metadata!T340,"missing: not collected"),EXACT(metadata!T340,"missing: not provided"),EXACT(metadata!T340,"missing: restricted access"))),AND(IF(metadata!T340="",FALSE,ISNUMBER(VALUE(metadata!T340))),metadata!T340&gt;=-180,metadata!T340&lt;=180))</f>
        <v>0</v>
      </c>
      <c r="BF340" t="b">
        <f>AND(IF(metadata!U340="",FALSE,TRUE),EXACT(metadata!U340,"Decimal degrees"))</f>
        <v>0</v>
      </c>
      <c r="BG340" t="b">
        <f>IF(metadata!V340="",FALSE,TRUE)</f>
        <v>0</v>
      </c>
      <c r="BH340" t="b">
        <f>OR(AND(IF(metadata!W340="",FALSE,TRUE),OR(EXACT(metadata!W340,"missing: not collected"),EXACT(metadata!W340,"missing: not provided"),EXACT(metadata!W340,"missing: restricted access"))),AND(IF(metadata!W340="",FALSE,TRUE),OR(EXACT(metadata!W340,"TRUE"),EXACT(metadata!W340,"FALSE"))))</f>
        <v>0</v>
      </c>
      <c r="BI340" t="b">
        <f>AND(IF(metadata!X340="",FALSE,TRUE),EXACT(metadata!X340,"other"))</f>
        <v>0</v>
      </c>
      <c r="BJ340" t="b">
        <f>IF(metadata!Y340="",FALSE,TRUE)</f>
        <v>0</v>
      </c>
      <c r="BK340" t="b">
        <f>OR(AND(IF(metadata!Z340="",FALSE,TRUE),OR(EXACT(metadata!Z340,"missing: not collected"),EXACT(metadata!Z340,"missing: not provided"))),AND(IF(metadata!Z340="",FALSE,IF(ISERROR(INT(metadata!Z340)),FALSE,INT(metadata!Z340)=metadata!Z340)),metadata!Z340&gt;0))</f>
        <v>0</v>
      </c>
      <c r="BL340" t="b">
        <f>AND(IF(metadata!AA340="",FALSE,TRUE),EXACT(metadata!AA340,"Not applicable"))</f>
        <v>0</v>
      </c>
      <c r="BM340" t="b">
        <f>IF(metadata!AB340="",FALSE,TRUE)</f>
        <v>0</v>
      </c>
    </row>
    <row r="341" spans="1:65" x14ac:dyDescent="0.2">
      <c r="A341" s="5" t="str">
        <f ca="1">IF(B341=" "," ",HYPERLINK(CONCATENATE("#metadata!",ADDRESS(INDEX($AH$2:$AH$1001,MATCH(ROWS($AF$2:AF341),$AF$2:$AF$1001,0),0),1)),INDEX($AK$2:$AK$1001,MATCH(ROWS($AF$2:AF341),$AF$2:$AF$1001,0),0)))</f>
        <v xml:space="preserve"> </v>
      </c>
      <c r="B341" s="4" t="str">
        <f ca="1">IF(OR(INDEX($AG$2:$AG$1001,MATCH(ROWS($AF$2:AF341),$AF$2:$AF$1001,0),1)&gt;=100000,INDEX($AM$1005:$BM$1005,1,MATCH(COLUMNS($AM$1006:AM1006),$AM$1006:$BM$1006,0))&gt;=100000), " ",IF(INDEX($AM$2:$BM$1001,MATCH(ROWS($AF$2:AF341),$AF$2:$AF$1001,0),MATCH(COLUMNS($AM$1006:AM1006),$AM$1006:$BM$1006,0)), HYPERLINK("#",""), HYPERLINK(CONCATENATE("#metadata!", ADDRESS(INDEX($AH$2:$AH$1001,MATCH(ROWS($AF$2:AF341),$AF$2:$AF$1001,0),0), INDEX($AM$1004:$BM$1004,1,MATCH(COLUMNS($AM$1006:AM1006),$AM$1006:$BM$1006,0)))),"Fix")))</f>
        <v xml:space="preserve"> </v>
      </c>
      <c r="C341" s="4" t="str">
        <f ca="1">IF(OR(INDEX($AG$2:$AG$1001,MATCH(ROWS($AF$2:AF341),$AF$2:$AF$1001,0),1)&gt;=100000,INDEX($AM$1005:$BM$1005,1,MATCH(COLUMNS($AM$1006:AN1006),$AM$1006:$BM$1006,0))&gt;=100000), " ",IF(INDEX($AM$2:$BM$1001,MATCH(ROWS($AF$2:AF341),$AF$2:$AF$1001,0),MATCH(COLUMNS($AM$1006:AN1006),$AM$1006:$BM$1006,0)), HYPERLINK("#",""), HYPERLINK(CONCATENATE("#metadata!", ADDRESS(INDEX($AH$2:$AH$1001,MATCH(ROWS($AF$2:AF341),$AF$2:$AF$1001,0),0), INDEX($AM$1004:$BM$1004,1,MATCH(COLUMNS($AM$1006:AN1006),$AM$1006:$BM$1006,0)))),"Fix")))</f>
        <v xml:space="preserve"> </v>
      </c>
      <c r="D341" s="4" t="str">
        <f ca="1">IF(OR(INDEX($AG$2:$AG$1001,MATCH(ROWS($AF$2:AF341),$AF$2:$AF$1001,0),1)&gt;=100000,INDEX($AM$1005:$BM$1005,1,MATCH(COLUMNS($AM$1006:AO1006),$AM$1006:$BM$1006,0))&gt;=100000), " ",IF(INDEX($AM$2:$BM$1001,MATCH(ROWS($AF$2:AF341),$AF$2:$AF$1001,0),MATCH(COLUMNS($AM$1006:AO1006),$AM$1006:$BM$1006,0)), HYPERLINK("#",""), HYPERLINK(CONCATENATE("#metadata!", ADDRESS(INDEX($AH$2:$AH$1001,MATCH(ROWS($AF$2:AF341),$AF$2:$AF$1001,0),0), INDEX($AM$1004:$BM$1004,1,MATCH(COLUMNS($AM$1006:AO1006),$AM$1006:$BM$1006,0)))),"Fix")))</f>
        <v xml:space="preserve"> </v>
      </c>
      <c r="E341" s="4" t="str">
        <f ca="1">IF(OR(INDEX($AG$2:$AG$1001,MATCH(ROWS($AF$2:AF341),$AF$2:$AF$1001,0),1)&gt;=100000,INDEX($AM$1005:$BM$1005,1,MATCH(COLUMNS($AM$1006:AP1006),$AM$1006:$BM$1006,0))&gt;=100000), " ",IF(INDEX($AM$2:$BM$1001,MATCH(ROWS($AF$2:AF341),$AF$2:$AF$1001,0),MATCH(COLUMNS($AM$1006:AP1006),$AM$1006:$BM$1006,0)), HYPERLINK("#",""), HYPERLINK(CONCATENATE("#metadata!", ADDRESS(INDEX($AH$2:$AH$1001,MATCH(ROWS($AF$2:AF341),$AF$2:$AF$1001,0),0), INDEX($AM$1004:$BM$1004,1,MATCH(COLUMNS($AM$1006:AP1006),$AM$1006:$BM$1006,0)))),"Fix")))</f>
        <v xml:space="preserve"> </v>
      </c>
      <c r="F341" s="4" t="str">
        <f ca="1">IF(OR(INDEX($AG$2:$AG$1001,MATCH(ROWS($AF$2:AF341),$AF$2:$AF$1001,0),1)&gt;=100000,INDEX($AM$1005:$BM$1005,1,MATCH(COLUMNS($AM$1006:AQ1006),$AM$1006:$BM$1006,0))&gt;=100000), " ",IF(INDEX($AM$2:$BM$1001,MATCH(ROWS($AF$2:AF341),$AF$2:$AF$1001,0),MATCH(COLUMNS($AM$1006:AQ1006),$AM$1006:$BM$1006,0)), HYPERLINK("#",""), HYPERLINK(CONCATENATE("#metadata!", ADDRESS(INDEX($AH$2:$AH$1001,MATCH(ROWS($AF$2:AF341),$AF$2:$AF$1001,0),0), INDEX($AM$1004:$BM$1004,1,MATCH(COLUMNS($AM$1006:AQ1006),$AM$1006:$BM$1006,0)))),"Fix")))</f>
        <v xml:space="preserve"> </v>
      </c>
      <c r="G341" s="4" t="str">
        <f ca="1">IF(OR(INDEX($AG$2:$AG$1001,MATCH(ROWS($AF$2:AF341),$AF$2:$AF$1001,0),1)&gt;=100000,INDEX($AM$1005:$BM$1005,1,MATCH(COLUMNS($AM$1006:AR1006),$AM$1006:$BM$1006,0))&gt;=100000), " ",IF(INDEX($AM$2:$BM$1001,MATCH(ROWS($AF$2:AF341),$AF$2:$AF$1001,0),MATCH(COLUMNS($AM$1006:AR1006),$AM$1006:$BM$1006,0)), HYPERLINK("#",""), HYPERLINK(CONCATENATE("#metadata!", ADDRESS(INDEX($AH$2:$AH$1001,MATCH(ROWS($AF$2:AF341),$AF$2:$AF$1001,0),0), INDEX($AM$1004:$BM$1004,1,MATCH(COLUMNS($AM$1006:AR1006),$AM$1006:$BM$1006,0)))),"Fix")))</f>
        <v xml:space="preserve"> </v>
      </c>
      <c r="H341" s="4" t="str">
        <f ca="1">IF(OR(INDEX($AG$2:$AG$1001,MATCH(ROWS($AF$2:AF341),$AF$2:$AF$1001,0),1)&gt;=100000,INDEX($AM$1005:$BM$1005,1,MATCH(COLUMNS($AM$1006:AS1006),$AM$1006:$BM$1006,0))&gt;=100000), " ",IF(INDEX($AM$2:$BM$1001,MATCH(ROWS($AF$2:AF341),$AF$2:$AF$1001,0),MATCH(COLUMNS($AM$1006:AS1006),$AM$1006:$BM$1006,0)), HYPERLINK("#",""), HYPERLINK(CONCATENATE("#metadata!", ADDRESS(INDEX($AH$2:$AH$1001,MATCH(ROWS($AF$2:AF341),$AF$2:$AF$1001,0),0), INDEX($AM$1004:$BM$1004,1,MATCH(COLUMNS($AM$1006:AS1006),$AM$1006:$BM$1006,0)))),"Fix")))</f>
        <v xml:space="preserve"> </v>
      </c>
      <c r="I341" s="4" t="str">
        <f ca="1">IF(OR(INDEX($AG$2:$AG$1001,MATCH(ROWS($AF$2:AF341),$AF$2:$AF$1001,0),1)&gt;=100000,INDEX($AM$1005:$BM$1005,1,MATCH(COLUMNS($AM$1006:AT1006),$AM$1006:$BM$1006,0))&gt;=100000), " ",IF(INDEX($AM$2:$BM$1001,MATCH(ROWS($AF$2:AF341),$AF$2:$AF$1001,0),MATCH(COLUMNS($AM$1006:AT1006),$AM$1006:$BM$1006,0)), HYPERLINK("#",""), HYPERLINK(CONCATENATE("#metadata!", ADDRESS(INDEX($AH$2:$AH$1001,MATCH(ROWS($AF$2:AF341),$AF$2:$AF$1001,0),0), INDEX($AM$1004:$BM$1004,1,MATCH(COLUMNS($AM$1006:AT1006),$AM$1006:$BM$1006,0)))),"Fix")))</f>
        <v xml:space="preserve"> </v>
      </c>
      <c r="J341" s="4" t="str">
        <f ca="1">IF(OR(INDEX($AG$2:$AG$1001,MATCH(ROWS($AF$2:AF341),$AF$2:$AF$1001,0),1)&gt;=100000,INDEX($AM$1005:$BM$1005,1,MATCH(COLUMNS($AM$1006:AU1006),$AM$1006:$BM$1006,0))&gt;=100000), " ",IF(INDEX($AM$2:$BM$1001,MATCH(ROWS($AF$2:AF341),$AF$2:$AF$1001,0),MATCH(COLUMNS($AM$1006:AU1006),$AM$1006:$BM$1006,0)), HYPERLINK("#",""), HYPERLINK(CONCATENATE("#metadata!", ADDRESS(INDEX($AH$2:$AH$1001,MATCH(ROWS($AF$2:AF341),$AF$2:$AF$1001,0),0), INDEX($AM$1004:$BM$1004,1,MATCH(COLUMNS($AM$1006:AU1006),$AM$1006:$BM$1006,0)))),"Fix")))</f>
        <v xml:space="preserve"> </v>
      </c>
      <c r="K341" s="4" t="str">
        <f ca="1">IF(OR(INDEX($AG$2:$AG$1001,MATCH(ROWS($AF$2:AF341),$AF$2:$AF$1001,0),1)&gt;=100000,INDEX($AM$1005:$BM$1005,1,MATCH(COLUMNS($AM$1006:AV1006),$AM$1006:$BM$1006,0))&gt;=100000), " ",IF(INDEX($AM$2:$BM$1001,MATCH(ROWS($AF$2:AF341),$AF$2:$AF$1001,0),MATCH(COLUMNS($AM$1006:AV1006),$AM$1006:$BM$1006,0)), HYPERLINK("#",""), HYPERLINK(CONCATENATE("#metadata!", ADDRESS(INDEX($AH$2:$AH$1001,MATCH(ROWS($AF$2:AF341),$AF$2:$AF$1001,0),0), INDEX($AM$1004:$BM$1004,1,MATCH(COLUMNS($AM$1006:AV1006),$AM$1006:$BM$1006,0)))),"Fix")))</f>
        <v xml:space="preserve"> </v>
      </c>
      <c r="L341" s="4" t="str">
        <f ca="1">IF(OR(INDEX($AG$2:$AG$1001,MATCH(ROWS($AF$2:AF341),$AF$2:$AF$1001,0),1)&gt;=100000,INDEX($AM$1005:$BM$1005,1,MATCH(COLUMNS($AM$1006:AW1006),$AM$1006:$BM$1006,0))&gt;=100000), " ",IF(INDEX($AM$2:$BM$1001,MATCH(ROWS($AF$2:AF341),$AF$2:$AF$1001,0),MATCH(COLUMNS($AM$1006:AW1006),$AM$1006:$BM$1006,0)), HYPERLINK("#",""), HYPERLINK(CONCATENATE("#metadata!", ADDRESS(INDEX($AH$2:$AH$1001,MATCH(ROWS($AF$2:AF341),$AF$2:$AF$1001,0),0), INDEX($AM$1004:$BM$1004,1,MATCH(COLUMNS($AM$1006:AW1006),$AM$1006:$BM$1006,0)))),"Fix")))</f>
        <v xml:space="preserve"> </v>
      </c>
      <c r="M341" s="4" t="str">
        <f ca="1">IF(OR(INDEX($AG$2:$AG$1001,MATCH(ROWS($AF$2:AF341),$AF$2:$AF$1001,0),1)&gt;=100000,INDEX($AM$1005:$BM$1005,1,MATCH(COLUMNS($AM$1006:AX1006),$AM$1006:$BM$1006,0))&gt;=100000), " ",IF(INDEX($AM$2:$BM$1001,MATCH(ROWS($AF$2:AF341),$AF$2:$AF$1001,0),MATCH(COLUMNS($AM$1006:AX1006),$AM$1006:$BM$1006,0)), HYPERLINK("#",""), HYPERLINK(CONCATENATE("#metadata!", ADDRESS(INDEX($AH$2:$AH$1001,MATCH(ROWS($AF$2:AF341),$AF$2:$AF$1001,0),0), INDEX($AM$1004:$BM$1004,1,MATCH(COLUMNS($AM$1006:AX1006),$AM$1006:$BM$1006,0)))),"Fix")))</f>
        <v xml:space="preserve"> </v>
      </c>
      <c r="N341" s="4" t="str">
        <f ca="1">IF(OR(INDEX($AG$2:$AG$1001,MATCH(ROWS($AF$2:AF341),$AF$2:$AF$1001,0),1)&gt;=100000,INDEX($AM$1005:$BM$1005,1,MATCH(COLUMNS($AM$1006:AY1006),$AM$1006:$BM$1006,0))&gt;=100000), " ",IF(INDEX($AM$2:$BM$1001,MATCH(ROWS($AF$2:AF341),$AF$2:$AF$1001,0),MATCH(COLUMNS($AM$1006:AY1006),$AM$1006:$BM$1006,0)), HYPERLINK("#",""), HYPERLINK(CONCATENATE("#metadata!", ADDRESS(INDEX($AH$2:$AH$1001,MATCH(ROWS($AF$2:AF341),$AF$2:$AF$1001,0),0), INDEX($AM$1004:$BM$1004,1,MATCH(COLUMNS($AM$1006:AY1006),$AM$1006:$BM$1006,0)))),"Fix")))</f>
        <v xml:space="preserve"> </v>
      </c>
      <c r="O341" s="4" t="str">
        <f ca="1">IF(OR(INDEX($AG$2:$AG$1001,MATCH(ROWS($AF$2:AF341),$AF$2:$AF$1001,0),1)&gt;=100000,INDEX($AM$1005:$BM$1005,1,MATCH(COLUMNS($AM$1006:AZ1006),$AM$1006:$BM$1006,0))&gt;=100000), " ",IF(INDEX($AM$2:$BM$1001,MATCH(ROWS($AF$2:AF341),$AF$2:$AF$1001,0),MATCH(COLUMNS($AM$1006:AZ1006),$AM$1006:$BM$1006,0)), HYPERLINK("#",""), HYPERLINK(CONCATENATE("#metadata!", ADDRESS(INDEX($AH$2:$AH$1001,MATCH(ROWS($AF$2:AF341),$AF$2:$AF$1001,0),0), INDEX($AM$1004:$BM$1004,1,MATCH(COLUMNS($AM$1006:AZ1006),$AM$1006:$BM$1006,0)))),"Fix")))</f>
        <v xml:space="preserve"> </v>
      </c>
      <c r="P341" s="4" t="str">
        <f ca="1">IF(OR(INDEX($AG$2:$AG$1001,MATCH(ROWS($AF$2:AF341),$AF$2:$AF$1001,0),1)&gt;=100000,INDEX($AM$1005:$BM$1005,1,MATCH(COLUMNS($AM$1006:BA1006),$AM$1006:$BM$1006,0))&gt;=100000), " ",IF(INDEX($AM$2:$BM$1001,MATCH(ROWS($AF$2:AF341),$AF$2:$AF$1001,0),MATCH(COLUMNS($AM$1006:BA1006),$AM$1006:$BM$1006,0)), HYPERLINK("#",""), HYPERLINK(CONCATENATE("#metadata!", ADDRESS(INDEX($AH$2:$AH$1001,MATCH(ROWS($AF$2:AF341),$AF$2:$AF$1001,0),0), INDEX($AM$1004:$BM$1004,1,MATCH(COLUMNS($AM$1006:BA1006),$AM$1006:$BM$1006,0)))),"Fix")))</f>
        <v xml:space="preserve"> </v>
      </c>
      <c r="Q341" s="4" t="str">
        <f ca="1">IF(OR(INDEX($AG$2:$AG$1001,MATCH(ROWS($AF$2:AF341),$AF$2:$AF$1001,0),1)&gt;=100000,INDEX($AM$1005:$BM$1005,1,MATCH(COLUMNS($AM$1006:BB1006),$AM$1006:$BM$1006,0))&gt;=100000), " ",IF(INDEX($AM$2:$BM$1001,MATCH(ROWS($AF$2:AF341),$AF$2:$AF$1001,0),MATCH(COLUMNS($AM$1006:BB1006),$AM$1006:$BM$1006,0)), HYPERLINK("#",""), HYPERLINK(CONCATENATE("#metadata!", ADDRESS(INDEX($AH$2:$AH$1001,MATCH(ROWS($AF$2:AF341),$AF$2:$AF$1001,0),0), INDEX($AM$1004:$BM$1004,1,MATCH(COLUMNS($AM$1006:BB1006),$AM$1006:$BM$1006,0)))),"Fix")))</f>
        <v xml:space="preserve"> </v>
      </c>
      <c r="R341" s="4" t="str">
        <f ca="1">IF(OR(INDEX($AG$2:$AG$1001,MATCH(ROWS($AF$2:AF341),$AF$2:$AF$1001,0),1)&gt;=100000,INDEX($AM$1005:$BM$1005,1,MATCH(COLUMNS($AM$1006:BC1006),$AM$1006:$BM$1006,0))&gt;=100000), " ",IF(INDEX($AM$2:$BM$1001,MATCH(ROWS($AF$2:AF341),$AF$2:$AF$1001,0),MATCH(COLUMNS($AM$1006:BC1006),$AM$1006:$BM$1006,0)), HYPERLINK("#",""), HYPERLINK(CONCATENATE("#metadata!", ADDRESS(INDEX($AH$2:$AH$1001,MATCH(ROWS($AF$2:AF341),$AF$2:$AF$1001,0),0), INDEX($AM$1004:$BM$1004,1,MATCH(COLUMNS($AM$1006:BC1006),$AM$1006:$BM$1006,0)))),"Fix")))</f>
        <v xml:space="preserve"> </v>
      </c>
      <c r="S341" s="4" t="str">
        <f ca="1">IF(OR(INDEX($AG$2:$AG$1001,MATCH(ROWS($AF$2:AF341),$AF$2:$AF$1001,0),1)&gt;=100000,INDEX($AM$1005:$BM$1005,1,MATCH(COLUMNS($AM$1006:BD1006),$AM$1006:$BM$1006,0))&gt;=100000), " ",IF(INDEX($AM$2:$BM$1001,MATCH(ROWS($AF$2:AF341),$AF$2:$AF$1001,0),MATCH(COLUMNS($AM$1006:BD1006),$AM$1006:$BM$1006,0)), HYPERLINK("#",""), HYPERLINK(CONCATENATE("#metadata!", ADDRESS(INDEX($AH$2:$AH$1001,MATCH(ROWS($AF$2:AF341),$AF$2:$AF$1001,0),0), INDEX($AM$1004:$BM$1004,1,MATCH(COLUMNS($AM$1006:BD1006),$AM$1006:$BM$1006,0)))),"Fix")))</f>
        <v xml:space="preserve"> </v>
      </c>
      <c r="T341" s="4" t="str">
        <f ca="1">IF(OR(INDEX($AG$2:$AG$1001,MATCH(ROWS($AF$2:AF341),$AF$2:$AF$1001,0),1)&gt;=100000,INDEX($AM$1005:$BM$1005,1,MATCH(COLUMNS($AM$1006:BE1006),$AM$1006:$BM$1006,0))&gt;=100000), " ",IF(INDEX($AM$2:$BM$1001,MATCH(ROWS($AF$2:AF341),$AF$2:$AF$1001,0),MATCH(COLUMNS($AM$1006:BE1006),$AM$1006:$BM$1006,0)), HYPERLINK("#",""), HYPERLINK(CONCATENATE("#metadata!", ADDRESS(INDEX($AH$2:$AH$1001,MATCH(ROWS($AF$2:AF341),$AF$2:$AF$1001,0),0), INDEX($AM$1004:$BM$1004,1,MATCH(COLUMNS($AM$1006:BE1006),$AM$1006:$BM$1006,0)))),"Fix")))</f>
        <v xml:space="preserve"> </v>
      </c>
      <c r="U341" s="4" t="str">
        <f ca="1">IF(OR(INDEX($AG$2:$AG$1001,MATCH(ROWS($AF$2:AF341),$AF$2:$AF$1001,0),1)&gt;=100000,INDEX($AM$1005:$BM$1005,1,MATCH(COLUMNS($AM$1006:BF1006),$AM$1006:$BM$1006,0))&gt;=100000), " ",IF(INDEX($AM$2:$BM$1001,MATCH(ROWS($AF$2:AF341),$AF$2:$AF$1001,0),MATCH(COLUMNS($AM$1006:BF1006),$AM$1006:$BM$1006,0)), HYPERLINK("#",""), HYPERLINK(CONCATENATE("#metadata!", ADDRESS(INDEX($AH$2:$AH$1001,MATCH(ROWS($AF$2:AF341),$AF$2:$AF$1001,0),0), INDEX($AM$1004:$BM$1004,1,MATCH(COLUMNS($AM$1006:BF1006),$AM$1006:$BM$1006,0)))),"Fix")))</f>
        <v xml:space="preserve"> </v>
      </c>
      <c r="V341" s="4" t="str">
        <f ca="1">IF(OR(INDEX($AG$2:$AG$1001,MATCH(ROWS($AF$2:AF341),$AF$2:$AF$1001,0),1)&gt;=100000,INDEX($AM$1005:$BM$1005,1,MATCH(COLUMNS($AM$1006:BG1006),$AM$1006:$BM$1006,0))&gt;=100000), " ",IF(INDEX($AM$2:$BM$1001,MATCH(ROWS($AF$2:AF341),$AF$2:$AF$1001,0),MATCH(COLUMNS($AM$1006:BG1006),$AM$1006:$BM$1006,0)), HYPERLINK("#",""), HYPERLINK(CONCATENATE("#metadata!", ADDRESS(INDEX($AH$2:$AH$1001,MATCH(ROWS($AF$2:AF341),$AF$2:$AF$1001,0),0), INDEX($AM$1004:$BM$1004,1,MATCH(COLUMNS($AM$1006:BG1006),$AM$1006:$BM$1006,0)))),"Fix")))</f>
        <v xml:space="preserve"> </v>
      </c>
      <c r="W341" s="4" t="str">
        <f ca="1">IF(OR(INDEX($AG$2:$AG$1001,MATCH(ROWS($AF$2:AF341),$AF$2:$AF$1001,0),1)&gt;=100000,INDEX($AM$1005:$BM$1005,1,MATCH(COLUMNS($AM$1006:BH1006),$AM$1006:$BM$1006,0))&gt;=100000), " ",IF(INDEX($AM$2:$BM$1001,MATCH(ROWS($AF$2:AF341),$AF$2:$AF$1001,0),MATCH(COLUMNS($AM$1006:BH1006),$AM$1006:$BM$1006,0)), HYPERLINK("#",""), HYPERLINK(CONCATENATE("#metadata!", ADDRESS(INDEX($AH$2:$AH$1001,MATCH(ROWS($AF$2:AF341),$AF$2:$AF$1001,0),0), INDEX($AM$1004:$BM$1004,1,MATCH(COLUMNS($AM$1006:BH1006),$AM$1006:$BM$1006,0)))),"Fix")))</f>
        <v xml:space="preserve"> </v>
      </c>
      <c r="X341" s="4" t="str">
        <f ca="1">IF(OR(INDEX($AG$2:$AG$1001,MATCH(ROWS($AF$2:AF341),$AF$2:$AF$1001,0),1)&gt;=100000,INDEX($AM$1005:$BM$1005,1,MATCH(COLUMNS($AM$1006:BI1006),$AM$1006:$BM$1006,0))&gt;=100000), " ",IF(INDEX($AM$2:$BM$1001,MATCH(ROWS($AF$2:AF341),$AF$2:$AF$1001,0),MATCH(COLUMNS($AM$1006:BI1006),$AM$1006:$BM$1006,0)), HYPERLINK("#",""), HYPERLINK(CONCATENATE("#metadata!", ADDRESS(INDEX($AH$2:$AH$1001,MATCH(ROWS($AF$2:AF341),$AF$2:$AF$1001,0),0), INDEX($AM$1004:$BM$1004,1,MATCH(COLUMNS($AM$1006:BI1006),$AM$1006:$BM$1006,0)))),"Fix")))</f>
        <v xml:space="preserve"> </v>
      </c>
      <c r="Y341" s="4" t="str">
        <f ca="1">IF(OR(INDEX($AG$2:$AG$1001,MATCH(ROWS($AF$2:AF341),$AF$2:$AF$1001,0),1)&gt;=100000,INDEX($AM$1005:$BM$1005,1,MATCH(COLUMNS($AM$1006:BJ1006),$AM$1006:$BM$1006,0))&gt;=100000), " ",IF(INDEX($AM$2:$BM$1001,MATCH(ROWS($AF$2:AF341),$AF$2:$AF$1001,0),MATCH(COLUMNS($AM$1006:BJ1006),$AM$1006:$BM$1006,0)), HYPERLINK("#",""), HYPERLINK(CONCATENATE("#metadata!", ADDRESS(INDEX($AH$2:$AH$1001,MATCH(ROWS($AF$2:AF341),$AF$2:$AF$1001,0),0), INDEX($AM$1004:$BM$1004,1,MATCH(COLUMNS($AM$1006:BJ1006),$AM$1006:$BM$1006,0)))),"Fix")))</f>
        <v xml:space="preserve"> </v>
      </c>
      <c r="Z341" s="4" t="str">
        <f ca="1">IF(OR(INDEX($AG$2:$AG$1001,MATCH(ROWS($AF$2:AF341),$AF$2:$AF$1001,0),1)&gt;=100000,INDEX($AM$1005:$BM$1005,1,MATCH(COLUMNS($AM$1006:BK1006),$AM$1006:$BM$1006,0))&gt;=100000), " ",IF(INDEX($AM$2:$BM$1001,MATCH(ROWS($AF$2:AF341),$AF$2:$AF$1001,0),MATCH(COLUMNS($AM$1006:BK1006),$AM$1006:$BM$1006,0)), HYPERLINK("#",""), HYPERLINK(CONCATENATE("#metadata!", ADDRESS(INDEX($AH$2:$AH$1001,MATCH(ROWS($AF$2:AF341),$AF$2:$AF$1001,0),0), INDEX($AM$1004:$BM$1004,1,MATCH(COLUMNS($AM$1006:BK1006),$AM$1006:$BM$1006,0)))),"Fix")))</f>
        <v xml:space="preserve"> </v>
      </c>
      <c r="AA341" s="4" t="str">
        <f ca="1">IF(OR(INDEX($AG$2:$AG$1001,MATCH(ROWS($AF$2:AF341),$AF$2:$AF$1001,0),1)&gt;=100000,INDEX($AM$1005:$BM$1005,1,MATCH(COLUMNS($AM$1006:BL1006),$AM$1006:$BM$1006,0))&gt;=100000), " ",IF(INDEX($AM$2:$BM$1001,MATCH(ROWS($AF$2:AF341),$AF$2:$AF$1001,0),MATCH(COLUMNS($AM$1006:BL1006),$AM$1006:$BM$1006,0)), HYPERLINK("#",""), HYPERLINK(CONCATENATE("#metadata!", ADDRESS(INDEX($AH$2:$AH$1001,MATCH(ROWS($AF$2:AF341),$AF$2:$AF$1001,0),0), INDEX($AM$1004:$BM$1004,1,MATCH(COLUMNS($AM$1006:BL1006),$AM$1006:$BM$1006,0)))),"Fix")))</f>
        <v xml:space="preserve"> </v>
      </c>
      <c r="AB341" s="4" t="str">
        <f ca="1">IF(OR(INDEX($AG$2:$AG$1001,MATCH(ROWS($AF$2:AF341),$AF$2:$AF$1001,0),1)&gt;=100000,INDEX($AM$1005:$BM$1005,1,MATCH(COLUMNS($AM$1006:BM1006),$AM$1006:$BM$1006,0))&gt;=100000), " ",IF(INDEX($AM$2:$BM$1001,MATCH(ROWS($AF$2:AF341),$AF$2:$AF$1001,0),MATCH(COLUMNS($AM$1006:BM1006),$AM$1006:$BM$1006,0)), HYPERLINK("#",""), HYPERLINK(CONCATENATE("#metadata!", ADDRESS(INDEX($AH$2:$AH$1001,MATCH(ROWS($AF$2:AF341),$AF$2:$AF$1001,0),0), INDEX($AM$1004:$BM$1004,1,MATCH(COLUMNS($AM$1006:BM1006),$AM$1006:$BM$1006,0)))),"Fix")))</f>
        <v xml:space="preserve"> </v>
      </c>
      <c r="AF341">
        <v>340</v>
      </c>
      <c r="AG341">
        <v>100341</v>
      </c>
      <c r="AH341">
        <v>341</v>
      </c>
      <c r="AI341" t="b">
        <f t="shared" si="5"/>
        <v>1</v>
      </c>
      <c r="AJ341" t="b">
        <f>COUNTBLANK(metadata!B341:AB341)=COLUMNS(metadata!B341:AB341)</f>
        <v>1</v>
      </c>
      <c r="AK341" t="str">
        <v/>
      </c>
      <c r="AM341" t="b">
        <f ca="1">AND(IF(metadata!B341="",FALSE,TRUE),COUNTIF(metadata!B:B, metadata!B341) = 1,NOT(ISERROR(SUMPRODUCT(SEARCH(MID(metadata!B341,ROW(INDIRECT("1:"&amp;LEN(metadata!B341))), 1),"0123456789abcdefghijklmnopqrstuvwxyzABCDEFGHIJKLMNOPQRSTUVWXYZ.")))))</f>
        <v>0</v>
      </c>
      <c r="AN341" t="b">
        <f ca="1">OR(AND(IF(metadata!C341="",FALSE,TRUE),OR(EXACT(metadata!C341,"missing: not collected"),EXACT(metadata!C341,"missing: not provided"),EXACT(metadata!C341,"missing: restricted access"))),AND(IF(metadata!C341="",FALSE,TRUE),AND(AND(IFERROR(INT(LEFT(metadata!C341,4))&gt;1900,FALSE),IFERROR(INT(LEFT(metadata!C341,4))&lt;=YEAR(NOW()),FALSE)), OR(MID(metadata!C341,5,1)="", AND(AND(MID(metadata!C341,5,1)="-",IFERROR(INT(MID(metadata!C341,6,1))&gt;=0,FALSE),IFERROR(INT(MID(metadata!C341,6,1))&lt;=1,FALSE),NOT(MID(metadata!C341,7,1)=""),IFERROR(INT(MID(metadata!C341,6,2))&gt;=1,FALSE),IFERROR(INT(MID(metadata!C341,6,2))&lt;=12,FALSE)), OR(MID(metadata!C341,8,1)="", AND(AND(MID(metadata!C341,8,1)="-",IFERROR(INT(MID(metadata!C341,9,1))&gt;=0,FALSE),IFERROR(INT(MID(metadata!C341,9,1))&lt;=3,FALSE),NOT(MID(metadata!C341,10,1)=""),IFERROR(INT(MID(metadata!C341,9,2))&gt;=1,FALSE),IFERROR(INT(MID(metadata!C341,9,2))&lt;=31,FALSE)), OR(MID(metadata!C341,11,1)="", AND(AND(MID(metadata!C341,11,1)=" ",IFERROR(INT(MID(metadata!C341,12,1))&gt;=0,FALSE),IFERROR(INT(MID(metadata!C341,12,1))&lt;=2,FALSE),NOT(MID(metadata!C341,13,1)=""),IFERROR(INT(MID(metadata!C341,12,2))&gt;=0,FALSE),IFERROR(INT(MID(metadata!C341,12,2))&lt;=23,FALSE)), OR(MID(metadata!C341,14,1)="", AND(AND(MID(metadata!C341,14,1)=":",IFERROR(INT(MID(metadata!C341,15,1))&gt;=0,FALSE),IFERROR(INT(MID(metadata!C341,15,1))&lt;=5,FALSE),NOT(MID(metadata!C341,16,1)=""),IFERROR(INT(MID(metadata!C341,15,2))&gt;=0,FALSE),IFERROR(INT(MID(metadata!C341,15,2))&lt;=59,FALSE)), OR(MID(metadata!C341,17,1)="", AND(AND(MID(metadata!C341,17,1)=":",IFERROR(INT(MID(metadata!C341,18,1))&gt;=0,FALSE),IFERROR(INT(MID(metadata!C341,18,1))&lt;=5,FALSE),NOT(MID(metadata!C341,19,1)=""),IFERROR(INT(MID(metadata!C341,18,2))&gt;=0,FALSE),IFERROR(INT(MID(metadata!C341,18,2))&lt;=59,FALSE)), LEN(metadata!C341)&lt;=19)))))))))))))</f>
        <v>0</v>
      </c>
      <c r="AO341" t="b">
        <f>AND(IF(metadata!D341="",FALSE,TRUE),EXACT(metadata!D341,"Not applicable"))</f>
        <v>0</v>
      </c>
      <c r="AP341" t="b">
        <f>IF(metadata!E341="",FALSE,TRUE)</f>
        <v>0</v>
      </c>
      <c r="AQ341" t="b">
        <f>OR(AND(IF(metadata!F341="",FALSE,TRUE),OR(EXACT(metadata!F341,"missing: not collected"),EXACT(metadata!F341,"missing: not provided"))),AND(IF(metadata!F341="",FALSE,TRUE),OR(EXACT(metadata!F341,"TRUE"),EXACT(metadata!F341,"FALSE"))))</f>
        <v>0</v>
      </c>
      <c r="AR341" t="b">
        <f>OR(AND(IF(metadata!G341="",FALSE,TRUE),OR(EXACT(metadata!G341,"missing: not collected"),EXACT(metadata!G341,"missing: not provided"),EXACT(metadata!G341,"missing: restricted access"))),AND(IF(metadata!G341="",FALSE,ISNUMBER(VALUE(metadata!G341))),metadata!G341&gt;=-413))</f>
        <v>0</v>
      </c>
      <c r="AS341" t="b">
        <f>AND(IF(metadata!H341="",FALSE,TRUE),EXACT(metadata!H341,"meters"))</f>
        <v>0</v>
      </c>
      <c r="AT341" t="b">
        <f>AND(IF(metadata!I341="",FALSE,TRUE),OR(EXACT(metadata!I341,"Host-associated"),EXACT(metadata!I341,"Free-living")))</f>
        <v>0</v>
      </c>
      <c r="AU341" t="b">
        <f>AND(IF(metadata!J341="",FALSE,TRUE),OR(EXACT(metadata!J341,"Animal"),EXACT(metadata!J341,"Fungus"),EXACT(metadata!J341,"Plant"),EXACT(metadata!J341,"Saline"),EXACT(metadata!J341,"Non-saline")))</f>
        <v>0</v>
      </c>
      <c r="AV341" t="b">
        <f>AND(IF(metadata!K341="",FALSE,TRUE),OR(EXACT(metadata!K341,"Plant secretion"),EXACT(metadata!K341,"Plant rhizosphere"),EXACT(metadata!K341,"Plant surface"),EXACT(metadata!K341,"Plant corpus"),EXACT(metadata!K341,"Fungus surface"),EXACT(metadata!K341,"Fungus corpus"),EXACT(metadata!K341,"Animal surface"),EXACT(metadata!K341,"Animal proximal gut"),EXACT(metadata!K341,"Animal corpus"),EXACT(metadata!K341,"Animal distal gut"),EXACT(metadata!K341,"Animal secretion"),EXACT(metadata!K341,"Sub-surface (non-saline)"),EXACT(metadata!K341,"Surface (non-saline)"),EXACT(metadata!K341,"Water (non-saline)"),EXACT(metadata!K341,"Soil (non-saline)"),EXACT(metadata!K341,"Aerosol (non-saline)"),EXACT(metadata!K341,"Sediment (non-saline)"),EXACT(metadata!K341,"Surface (saline)"),EXACT(metadata!K341,"Water (saline)"),EXACT(metadata!K341,"Hypersaline (saline)"),EXACT(metadata!K341,"Aerosol (saline)"),EXACT(metadata!K341,"Sediment (saline)")))</f>
        <v>0</v>
      </c>
      <c r="AW341" t="b">
        <f>IF(metadata!L341="",FALSE,TRUE)</f>
        <v>0</v>
      </c>
      <c r="AX341" t="b">
        <f>IF(metadata!M341="",FALSE,TRUE)</f>
        <v>0</v>
      </c>
      <c r="AY341" t="b">
        <f>IF(metadata!N341="",FALSE,TRUE)</f>
        <v>0</v>
      </c>
      <c r="AZ341" t="b">
        <f>OR(AND(IF(metadata!O341="",FALSE,TRUE),OR(EXACT(metadata!O341,"missing: not collected"),EXACT(metadata!O341,"missing: not provided"),EXACT(metadata!O341,"missing: restricted access"))),AND(IF(metadata!O341="",FALSE,TRUE),OR(EXACT(metadata!O341,"air"),EXACT(metadata!O341,"built environment"),EXACT(metadata!O341,"host-associated"),EXACT(metadata!O341,"human-associated"),EXACT(metadata!O341,"human-skin"),EXACT(metadata!O341,"human-oral"),EXACT(metadata!O341,"human-gut"),EXACT(metadata!O341,"human-vaginal"),EXACT(metadata!O341,"microbial mat/biofilm"),EXACT(metadata!O341,"misc environment"),EXACT(metadata!O341,"plant-associated"),EXACT(metadata!O341,"sediment"),EXACT(metadata!O341,"soil"),EXACT(metadata!O341,"wastewater/sludge"),EXACT(metadata!O341,"water"))))</f>
        <v>0</v>
      </c>
      <c r="BA341" t="b">
        <f>IF(metadata!P341="",FALSE,TRUE)</f>
        <v>0</v>
      </c>
      <c r="BB341" t="b">
        <f>IF(metadata!Q341="",FALSE,TRUE)</f>
        <v>0</v>
      </c>
      <c r="BC341" t="b">
        <f>OR(AND(IF(metadata!R341="",FALSE,TRUE),OR(EXACT(metadata!R341,"missing: not collected"),EXACT(metadata!R341,"missing: not provided"),EXACT(metadata!R341,"missing: restricted access"))),AND(IF(metadata!R341="",FALSE,ISNUMBER(VALUE(metadata!R341))),metadata!R341&gt;=-90,metadata!R341&lt;=90))</f>
        <v>0</v>
      </c>
      <c r="BD341" t="b">
        <f>AND(IF(metadata!S341="",FALSE,TRUE),EXACT(metadata!S341,"Decimal degrees"))</f>
        <v>0</v>
      </c>
      <c r="BE341" t="b">
        <f>OR(AND(IF(metadata!T341="",FALSE,TRUE),OR(EXACT(metadata!T341,"missing: not collected"),EXACT(metadata!T341,"missing: not provided"),EXACT(metadata!T341,"missing: restricted access"))),AND(IF(metadata!T341="",FALSE,ISNUMBER(VALUE(metadata!T341))),metadata!T341&gt;=-180,metadata!T341&lt;=180))</f>
        <v>0</v>
      </c>
      <c r="BF341" t="b">
        <f>AND(IF(metadata!U341="",FALSE,TRUE),EXACT(metadata!U341,"Decimal degrees"))</f>
        <v>0</v>
      </c>
      <c r="BG341" t="b">
        <f>IF(metadata!V341="",FALSE,TRUE)</f>
        <v>0</v>
      </c>
      <c r="BH341" t="b">
        <f>OR(AND(IF(metadata!W341="",FALSE,TRUE),OR(EXACT(metadata!W341,"missing: not collected"),EXACT(metadata!W341,"missing: not provided"),EXACT(metadata!W341,"missing: restricted access"))),AND(IF(metadata!W341="",FALSE,TRUE),OR(EXACT(metadata!W341,"TRUE"),EXACT(metadata!W341,"FALSE"))))</f>
        <v>0</v>
      </c>
      <c r="BI341" t="b">
        <f>AND(IF(metadata!X341="",FALSE,TRUE),EXACT(metadata!X341,"other"))</f>
        <v>0</v>
      </c>
      <c r="BJ341" t="b">
        <f>IF(metadata!Y341="",FALSE,TRUE)</f>
        <v>0</v>
      </c>
      <c r="BK341" t="b">
        <f>OR(AND(IF(metadata!Z341="",FALSE,TRUE),OR(EXACT(metadata!Z341,"missing: not collected"),EXACT(metadata!Z341,"missing: not provided"))),AND(IF(metadata!Z341="",FALSE,IF(ISERROR(INT(metadata!Z341)),FALSE,INT(metadata!Z341)=metadata!Z341)),metadata!Z341&gt;0))</f>
        <v>0</v>
      </c>
      <c r="BL341" t="b">
        <f>AND(IF(metadata!AA341="",FALSE,TRUE),EXACT(metadata!AA341,"Not applicable"))</f>
        <v>0</v>
      </c>
      <c r="BM341" t="b">
        <f>IF(metadata!AB341="",FALSE,TRUE)</f>
        <v>0</v>
      </c>
    </row>
    <row r="342" spans="1:65" x14ac:dyDescent="0.2">
      <c r="A342" s="5" t="str">
        <f ca="1">IF(B342=" "," ",HYPERLINK(CONCATENATE("#metadata!",ADDRESS(INDEX($AH$2:$AH$1001,MATCH(ROWS($AF$2:AF342),$AF$2:$AF$1001,0),0),1)),INDEX($AK$2:$AK$1001,MATCH(ROWS($AF$2:AF342),$AF$2:$AF$1001,0),0)))</f>
        <v xml:space="preserve"> </v>
      </c>
      <c r="B342" s="4" t="str">
        <f ca="1">IF(OR(INDEX($AG$2:$AG$1001,MATCH(ROWS($AF$2:AF342),$AF$2:$AF$1001,0),1)&gt;=100000,INDEX($AM$1005:$BM$1005,1,MATCH(COLUMNS($AM$1006:AM1006),$AM$1006:$BM$1006,0))&gt;=100000), " ",IF(INDEX($AM$2:$BM$1001,MATCH(ROWS($AF$2:AF342),$AF$2:$AF$1001,0),MATCH(COLUMNS($AM$1006:AM1006),$AM$1006:$BM$1006,0)), HYPERLINK("#",""), HYPERLINK(CONCATENATE("#metadata!", ADDRESS(INDEX($AH$2:$AH$1001,MATCH(ROWS($AF$2:AF342),$AF$2:$AF$1001,0),0), INDEX($AM$1004:$BM$1004,1,MATCH(COLUMNS($AM$1006:AM1006),$AM$1006:$BM$1006,0)))),"Fix")))</f>
        <v xml:space="preserve"> </v>
      </c>
      <c r="C342" s="4" t="str">
        <f ca="1">IF(OR(INDEX($AG$2:$AG$1001,MATCH(ROWS($AF$2:AF342),$AF$2:$AF$1001,0),1)&gt;=100000,INDEX($AM$1005:$BM$1005,1,MATCH(COLUMNS($AM$1006:AN1006),$AM$1006:$BM$1006,0))&gt;=100000), " ",IF(INDEX($AM$2:$BM$1001,MATCH(ROWS($AF$2:AF342),$AF$2:$AF$1001,0),MATCH(COLUMNS($AM$1006:AN1006),$AM$1006:$BM$1006,0)), HYPERLINK("#",""), HYPERLINK(CONCATENATE("#metadata!", ADDRESS(INDEX($AH$2:$AH$1001,MATCH(ROWS($AF$2:AF342),$AF$2:$AF$1001,0),0), INDEX($AM$1004:$BM$1004,1,MATCH(COLUMNS($AM$1006:AN1006),$AM$1006:$BM$1006,0)))),"Fix")))</f>
        <v xml:space="preserve"> </v>
      </c>
      <c r="D342" s="4" t="str">
        <f ca="1">IF(OR(INDEX($AG$2:$AG$1001,MATCH(ROWS($AF$2:AF342),$AF$2:$AF$1001,0),1)&gt;=100000,INDEX($AM$1005:$BM$1005,1,MATCH(COLUMNS($AM$1006:AO1006),$AM$1006:$BM$1006,0))&gt;=100000), " ",IF(INDEX($AM$2:$BM$1001,MATCH(ROWS($AF$2:AF342),$AF$2:$AF$1001,0),MATCH(COLUMNS($AM$1006:AO1006),$AM$1006:$BM$1006,0)), HYPERLINK("#",""), HYPERLINK(CONCATENATE("#metadata!", ADDRESS(INDEX($AH$2:$AH$1001,MATCH(ROWS($AF$2:AF342),$AF$2:$AF$1001,0),0), INDEX($AM$1004:$BM$1004,1,MATCH(COLUMNS($AM$1006:AO1006),$AM$1006:$BM$1006,0)))),"Fix")))</f>
        <v xml:space="preserve"> </v>
      </c>
      <c r="E342" s="4" t="str">
        <f ca="1">IF(OR(INDEX($AG$2:$AG$1001,MATCH(ROWS($AF$2:AF342),$AF$2:$AF$1001,0),1)&gt;=100000,INDEX($AM$1005:$BM$1005,1,MATCH(COLUMNS($AM$1006:AP1006),$AM$1006:$BM$1006,0))&gt;=100000), " ",IF(INDEX($AM$2:$BM$1001,MATCH(ROWS($AF$2:AF342),$AF$2:$AF$1001,0),MATCH(COLUMNS($AM$1006:AP1006),$AM$1006:$BM$1006,0)), HYPERLINK("#",""), HYPERLINK(CONCATENATE("#metadata!", ADDRESS(INDEX($AH$2:$AH$1001,MATCH(ROWS($AF$2:AF342),$AF$2:$AF$1001,0),0), INDEX($AM$1004:$BM$1004,1,MATCH(COLUMNS($AM$1006:AP1006),$AM$1006:$BM$1006,0)))),"Fix")))</f>
        <v xml:space="preserve"> </v>
      </c>
      <c r="F342" s="4" t="str">
        <f ca="1">IF(OR(INDEX($AG$2:$AG$1001,MATCH(ROWS($AF$2:AF342),$AF$2:$AF$1001,0),1)&gt;=100000,INDEX($AM$1005:$BM$1005,1,MATCH(COLUMNS($AM$1006:AQ1006),$AM$1006:$BM$1006,0))&gt;=100000), " ",IF(INDEX($AM$2:$BM$1001,MATCH(ROWS($AF$2:AF342),$AF$2:$AF$1001,0),MATCH(COLUMNS($AM$1006:AQ1006),$AM$1006:$BM$1006,0)), HYPERLINK("#",""), HYPERLINK(CONCATENATE("#metadata!", ADDRESS(INDEX($AH$2:$AH$1001,MATCH(ROWS($AF$2:AF342),$AF$2:$AF$1001,0),0), INDEX($AM$1004:$BM$1004,1,MATCH(COLUMNS($AM$1006:AQ1006),$AM$1006:$BM$1006,0)))),"Fix")))</f>
        <v xml:space="preserve"> </v>
      </c>
      <c r="G342" s="4" t="str">
        <f ca="1">IF(OR(INDEX($AG$2:$AG$1001,MATCH(ROWS($AF$2:AF342),$AF$2:$AF$1001,0),1)&gt;=100000,INDEX($AM$1005:$BM$1005,1,MATCH(COLUMNS($AM$1006:AR1006),$AM$1006:$BM$1006,0))&gt;=100000), " ",IF(INDEX($AM$2:$BM$1001,MATCH(ROWS($AF$2:AF342),$AF$2:$AF$1001,0),MATCH(COLUMNS($AM$1006:AR1006),$AM$1006:$BM$1006,0)), HYPERLINK("#",""), HYPERLINK(CONCATENATE("#metadata!", ADDRESS(INDEX($AH$2:$AH$1001,MATCH(ROWS($AF$2:AF342),$AF$2:$AF$1001,0),0), INDEX($AM$1004:$BM$1004,1,MATCH(COLUMNS($AM$1006:AR1006),$AM$1006:$BM$1006,0)))),"Fix")))</f>
        <v xml:space="preserve"> </v>
      </c>
      <c r="H342" s="4" t="str">
        <f ca="1">IF(OR(INDEX($AG$2:$AG$1001,MATCH(ROWS($AF$2:AF342),$AF$2:$AF$1001,0),1)&gt;=100000,INDEX($AM$1005:$BM$1005,1,MATCH(COLUMNS($AM$1006:AS1006),$AM$1006:$BM$1006,0))&gt;=100000), " ",IF(INDEX($AM$2:$BM$1001,MATCH(ROWS($AF$2:AF342),$AF$2:$AF$1001,0),MATCH(COLUMNS($AM$1006:AS1006),$AM$1006:$BM$1006,0)), HYPERLINK("#",""), HYPERLINK(CONCATENATE("#metadata!", ADDRESS(INDEX($AH$2:$AH$1001,MATCH(ROWS($AF$2:AF342),$AF$2:$AF$1001,0),0), INDEX($AM$1004:$BM$1004,1,MATCH(COLUMNS($AM$1006:AS1006),$AM$1006:$BM$1006,0)))),"Fix")))</f>
        <v xml:space="preserve"> </v>
      </c>
      <c r="I342" s="4" t="str">
        <f ca="1">IF(OR(INDEX($AG$2:$AG$1001,MATCH(ROWS($AF$2:AF342),$AF$2:$AF$1001,0),1)&gt;=100000,INDEX($AM$1005:$BM$1005,1,MATCH(COLUMNS($AM$1006:AT1006),$AM$1006:$BM$1006,0))&gt;=100000), " ",IF(INDEX($AM$2:$BM$1001,MATCH(ROWS($AF$2:AF342),$AF$2:$AF$1001,0),MATCH(COLUMNS($AM$1006:AT1006),$AM$1006:$BM$1006,0)), HYPERLINK("#",""), HYPERLINK(CONCATENATE("#metadata!", ADDRESS(INDEX($AH$2:$AH$1001,MATCH(ROWS($AF$2:AF342),$AF$2:$AF$1001,0),0), INDEX($AM$1004:$BM$1004,1,MATCH(COLUMNS($AM$1006:AT1006),$AM$1006:$BM$1006,0)))),"Fix")))</f>
        <v xml:space="preserve"> </v>
      </c>
      <c r="J342" s="4" t="str">
        <f ca="1">IF(OR(INDEX($AG$2:$AG$1001,MATCH(ROWS($AF$2:AF342),$AF$2:$AF$1001,0),1)&gt;=100000,INDEX($AM$1005:$BM$1005,1,MATCH(COLUMNS($AM$1006:AU1006),$AM$1006:$BM$1006,0))&gt;=100000), " ",IF(INDEX($AM$2:$BM$1001,MATCH(ROWS($AF$2:AF342),$AF$2:$AF$1001,0),MATCH(COLUMNS($AM$1006:AU1006),$AM$1006:$BM$1006,0)), HYPERLINK("#",""), HYPERLINK(CONCATENATE("#metadata!", ADDRESS(INDEX($AH$2:$AH$1001,MATCH(ROWS($AF$2:AF342),$AF$2:$AF$1001,0),0), INDEX($AM$1004:$BM$1004,1,MATCH(COLUMNS($AM$1006:AU1006),$AM$1006:$BM$1006,0)))),"Fix")))</f>
        <v xml:space="preserve"> </v>
      </c>
      <c r="K342" s="4" t="str">
        <f ca="1">IF(OR(INDEX($AG$2:$AG$1001,MATCH(ROWS($AF$2:AF342),$AF$2:$AF$1001,0),1)&gt;=100000,INDEX($AM$1005:$BM$1005,1,MATCH(COLUMNS($AM$1006:AV1006),$AM$1006:$BM$1006,0))&gt;=100000), " ",IF(INDEX($AM$2:$BM$1001,MATCH(ROWS($AF$2:AF342),$AF$2:$AF$1001,0),MATCH(COLUMNS($AM$1006:AV1006),$AM$1006:$BM$1006,0)), HYPERLINK("#",""), HYPERLINK(CONCATENATE("#metadata!", ADDRESS(INDEX($AH$2:$AH$1001,MATCH(ROWS($AF$2:AF342),$AF$2:$AF$1001,0),0), INDEX($AM$1004:$BM$1004,1,MATCH(COLUMNS($AM$1006:AV1006),$AM$1006:$BM$1006,0)))),"Fix")))</f>
        <v xml:space="preserve"> </v>
      </c>
      <c r="L342" s="4" t="str">
        <f ca="1">IF(OR(INDEX($AG$2:$AG$1001,MATCH(ROWS($AF$2:AF342),$AF$2:$AF$1001,0),1)&gt;=100000,INDEX($AM$1005:$BM$1005,1,MATCH(COLUMNS($AM$1006:AW1006),$AM$1006:$BM$1006,0))&gt;=100000), " ",IF(INDEX($AM$2:$BM$1001,MATCH(ROWS($AF$2:AF342),$AF$2:$AF$1001,0),MATCH(COLUMNS($AM$1006:AW1006),$AM$1006:$BM$1006,0)), HYPERLINK("#",""), HYPERLINK(CONCATENATE("#metadata!", ADDRESS(INDEX($AH$2:$AH$1001,MATCH(ROWS($AF$2:AF342),$AF$2:$AF$1001,0),0), INDEX($AM$1004:$BM$1004,1,MATCH(COLUMNS($AM$1006:AW1006),$AM$1006:$BM$1006,0)))),"Fix")))</f>
        <v xml:space="preserve"> </v>
      </c>
      <c r="M342" s="4" t="str">
        <f ca="1">IF(OR(INDEX($AG$2:$AG$1001,MATCH(ROWS($AF$2:AF342),$AF$2:$AF$1001,0),1)&gt;=100000,INDEX($AM$1005:$BM$1005,1,MATCH(COLUMNS($AM$1006:AX1006),$AM$1006:$BM$1006,0))&gt;=100000), " ",IF(INDEX($AM$2:$BM$1001,MATCH(ROWS($AF$2:AF342),$AF$2:$AF$1001,0),MATCH(COLUMNS($AM$1006:AX1006),$AM$1006:$BM$1006,0)), HYPERLINK("#",""), HYPERLINK(CONCATENATE("#metadata!", ADDRESS(INDEX($AH$2:$AH$1001,MATCH(ROWS($AF$2:AF342),$AF$2:$AF$1001,0),0), INDEX($AM$1004:$BM$1004,1,MATCH(COLUMNS($AM$1006:AX1006),$AM$1006:$BM$1006,0)))),"Fix")))</f>
        <v xml:space="preserve"> </v>
      </c>
      <c r="N342" s="4" t="str">
        <f ca="1">IF(OR(INDEX($AG$2:$AG$1001,MATCH(ROWS($AF$2:AF342),$AF$2:$AF$1001,0),1)&gt;=100000,INDEX($AM$1005:$BM$1005,1,MATCH(COLUMNS($AM$1006:AY1006),$AM$1006:$BM$1006,0))&gt;=100000), " ",IF(INDEX($AM$2:$BM$1001,MATCH(ROWS($AF$2:AF342),$AF$2:$AF$1001,0),MATCH(COLUMNS($AM$1006:AY1006),$AM$1006:$BM$1006,0)), HYPERLINK("#",""), HYPERLINK(CONCATENATE("#metadata!", ADDRESS(INDEX($AH$2:$AH$1001,MATCH(ROWS($AF$2:AF342),$AF$2:$AF$1001,0),0), INDEX($AM$1004:$BM$1004,1,MATCH(COLUMNS($AM$1006:AY1006),$AM$1006:$BM$1006,0)))),"Fix")))</f>
        <v xml:space="preserve"> </v>
      </c>
      <c r="O342" s="4" t="str">
        <f ca="1">IF(OR(INDEX($AG$2:$AG$1001,MATCH(ROWS($AF$2:AF342),$AF$2:$AF$1001,0),1)&gt;=100000,INDEX($AM$1005:$BM$1005,1,MATCH(COLUMNS($AM$1006:AZ1006),$AM$1006:$BM$1006,0))&gt;=100000), " ",IF(INDEX($AM$2:$BM$1001,MATCH(ROWS($AF$2:AF342),$AF$2:$AF$1001,0),MATCH(COLUMNS($AM$1006:AZ1006),$AM$1006:$BM$1006,0)), HYPERLINK("#",""), HYPERLINK(CONCATENATE("#metadata!", ADDRESS(INDEX($AH$2:$AH$1001,MATCH(ROWS($AF$2:AF342),$AF$2:$AF$1001,0),0), INDEX($AM$1004:$BM$1004,1,MATCH(COLUMNS($AM$1006:AZ1006),$AM$1006:$BM$1006,0)))),"Fix")))</f>
        <v xml:space="preserve"> </v>
      </c>
      <c r="P342" s="4" t="str">
        <f ca="1">IF(OR(INDEX($AG$2:$AG$1001,MATCH(ROWS($AF$2:AF342),$AF$2:$AF$1001,0),1)&gt;=100000,INDEX($AM$1005:$BM$1005,1,MATCH(COLUMNS($AM$1006:BA1006),$AM$1006:$BM$1006,0))&gt;=100000), " ",IF(INDEX($AM$2:$BM$1001,MATCH(ROWS($AF$2:AF342),$AF$2:$AF$1001,0),MATCH(COLUMNS($AM$1006:BA1006),$AM$1006:$BM$1006,0)), HYPERLINK("#",""), HYPERLINK(CONCATENATE("#metadata!", ADDRESS(INDEX($AH$2:$AH$1001,MATCH(ROWS($AF$2:AF342),$AF$2:$AF$1001,0),0), INDEX($AM$1004:$BM$1004,1,MATCH(COLUMNS($AM$1006:BA1006),$AM$1006:$BM$1006,0)))),"Fix")))</f>
        <v xml:space="preserve"> </v>
      </c>
      <c r="Q342" s="4" t="str">
        <f ca="1">IF(OR(INDEX($AG$2:$AG$1001,MATCH(ROWS($AF$2:AF342),$AF$2:$AF$1001,0),1)&gt;=100000,INDEX($AM$1005:$BM$1005,1,MATCH(COLUMNS($AM$1006:BB1006),$AM$1006:$BM$1006,0))&gt;=100000), " ",IF(INDEX($AM$2:$BM$1001,MATCH(ROWS($AF$2:AF342),$AF$2:$AF$1001,0),MATCH(COLUMNS($AM$1006:BB1006),$AM$1006:$BM$1006,0)), HYPERLINK("#",""), HYPERLINK(CONCATENATE("#metadata!", ADDRESS(INDEX($AH$2:$AH$1001,MATCH(ROWS($AF$2:AF342),$AF$2:$AF$1001,0),0), INDEX($AM$1004:$BM$1004,1,MATCH(COLUMNS($AM$1006:BB1006),$AM$1006:$BM$1006,0)))),"Fix")))</f>
        <v xml:space="preserve"> </v>
      </c>
      <c r="R342" s="4" t="str">
        <f ca="1">IF(OR(INDEX($AG$2:$AG$1001,MATCH(ROWS($AF$2:AF342),$AF$2:$AF$1001,0),1)&gt;=100000,INDEX($AM$1005:$BM$1005,1,MATCH(COLUMNS($AM$1006:BC1006),$AM$1006:$BM$1006,0))&gt;=100000), " ",IF(INDEX($AM$2:$BM$1001,MATCH(ROWS($AF$2:AF342),$AF$2:$AF$1001,0),MATCH(COLUMNS($AM$1006:BC1006),$AM$1006:$BM$1006,0)), HYPERLINK("#",""), HYPERLINK(CONCATENATE("#metadata!", ADDRESS(INDEX($AH$2:$AH$1001,MATCH(ROWS($AF$2:AF342),$AF$2:$AF$1001,0),0), INDEX($AM$1004:$BM$1004,1,MATCH(COLUMNS($AM$1006:BC1006),$AM$1006:$BM$1006,0)))),"Fix")))</f>
        <v xml:space="preserve"> </v>
      </c>
      <c r="S342" s="4" t="str">
        <f ca="1">IF(OR(INDEX($AG$2:$AG$1001,MATCH(ROWS($AF$2:AF342),$AF$2:$AF$1001,0),1)&gt;=100000,INDEX($AM$1005:$BM$1005,1,MATCH(COLUMNS($AM$1006:BD1006),$AM$1006:$BM$1006,0))&gt;=100000), " ",IF(INDEX($AM$2:$BM$1001,MATCH(ROWS($AF$2:AF342),$AF$2:$AF$1001,0),MATCH(COLUMNS($AM$1006:BD1006),$AM$1006:$BM$1006,0)), HYPERLINK("#",""), HYPERLINK(CONCATENATE("#metadata!", ADDRESS(INDEX($AH$2:$AH$1001,MATCH(ROWS($AF$2:AF342),$AF$2:$AF$1001,0),0), INDEX($AM$1004:$BM$1004,1,MATCH(COLUMNS($AM$1006:BD1006),$AM$1006:$BM$1006,0)))),"Fix")))</f>
        <v xml:space="preserve"> </v>
      </c>
      <c r="T342" s="4" t="str">
        <f ca="1">IF(OR(INDEX($AG$2:$AG$1001,MATCH(ROWS($AF$2:AF342),$AF$2:$AF$1001,0),1)&gt;=100000,INDEX($AM$1005:$BM$1005,1,MATCH(COLUMNS($AM$1006:BE1006),$AM$1006:$BM$1006,0))&gt;=100000), " ",IF(INDEX($AM$2:$BM$1001,MATCH(ROWS($AF$2:AF342),$AF$2:$AF$1001,0),MATCH(COLUMNS($AM$1006:BE1006),$AM$1006:$BM$1006,0)), HYPERLINK("#",""), HYPERLINK(CONCATENATE("#metadata!", ADDRESS(INDEX($AH$2:$AH$1001,MATCH(ROWS($AF$2:AF342),$AF$2:$AF$1001,0),0), INDEX($AM$1004:$BM$1004,1,MATCH(COLUMNS($AM$1006:BE1006),$AM$1006:$BM$1006,0)))),"Fix")))</f>
        <v xml:space="preserve"> </v>
      </c>
      <c r="U342" s="4" t="str">
        <f ca="1">IF(OR(INDEX($AG$2:$AG$1001,MATCH(ROWS($AF$2:AF342),$AF$2:$AF$1001,0),1)&gt;=100000,INDEX($AM$1005:$BM$1005,1,MATCH(COLUMNS($AM$1006:BF1006),$AM$1006:$BM$1006,0))&gt;=100000), " ",IF(INDEX($AM$2:$BM$1001,MATCH(ROWS($AF$2:AF342),$AF$2:$AF$1001,0),MATCH(COLUMNS($AM$1006:BF1006),$AM$1006:$BM$1006,0)), HYPERLINK("#",""), HYPERLINK(CONCATENATE("#metadata!", ADDRESS(INDEX($AH$2:$AH$1001,MATCH(ROWS($AF$2:AF342),$AF$2:$AF$1001,0),0), INDEX($AM$1004:$BM$1004,1,MATCH(COLUMNS($AM$1006:BF1006),$AM$1006:$BM$1006,0)))),"Fix")))</f>
        <v xml:space="preserve"> </v>
      </c>
      <c r="V342" s="4" t="str">
        <f ca="1">IF(OR(INDEX($AG$2:$AG$1001,MATCH(ROWS($AF$2:AF342),$AF$2:$AF$1001,0),1)&gt;=100000,INDEX($AM$1005:$BM$1005,1,MATCH(COLUMNS($AM$1006:BG1006),$AM$1006:$BM$1006,0))&gt;=100000), " ",IF(INDEX($AM$2:$BM$1001,MATCH(ROWS($AF$2:AF342),$AF$2:$AF$1001,0),MATCH(COLUMNS($AM$1006:BG1006),$AM$1006:$BM$1006,0)), HYPERLINK("#",""), HYPERLINK(CONCATENATE("#metadata!", ADDRESS(INDEX($AH$2:$AH$1001,MATCH(ROWS($AF$2:AF342),$AF$2:$AF$1001,0),0), INDEX($AM$1004:$BM$1004,1,MATCH(COLUMNS($AM$1006:BG1006),$AM$1006:$BM$1006,0)))),"Fix")))</f>
        <v xml:space="preserve"> </v>
      </c>
      <c r="W342" s="4" t="str">
        <f ca="1">IF(OR(INDEX($AG$2:$AG$1001,MATCH(ROWS($AF$2:AF342),$AF$2:$AF$1001,0),1)&gt;=100000,INDEX($AM$1005:$BM$1005,1,MATCH(COLUMNS($AM$1006:BH1006),$AM$1006:$BM$1006,0))&gt;=100000), " ",IF(INDEX($AM$2:$BM$1001,MATCH(ROWS($AF$2:AF342),$AF$2:$AF$1001,0),MATCH(COLUMNS($AM$1006:BH1006),$AM$1006:$BM$1006,0)), HYPERLINK("#",""), HYPERLINK(CONCATENATE("#metadata!", ADDRESS(INDEX($AH$2:$AH$1001,MATCH(ROWS($AF$2:AF342),$AF$2:$AF$1001,0),0), INDEX($AM$1004:$BM$1004,1,MATCH(COLUMNS($AM$1006:BH1006),$AM$1006:$BM$1006,0)))),"Fix")))</f>
        <v xml:space="preserve"> </v>
      </c>
      <c r="X342" s="4" t="str">
        <f ca="1">IF(OR(INDEX($AG$2:$AG$1001,MATCH(ROWS($AF$2:AF342),$AF$2:$AF$1001,0),1)&gt;=100000,INDEX($AM$1005:$BM$1005,1,MATCH(COLUMNS($AM$1006:BI1006),$AM$1006:$BM$1006,0))&gt;=100000), " ",IF(INDEX($AM$2:$BM$1001,MATCH(ROWS($AF$2:AF342),$AF$2:$AF$1001,0),MATCH(COLUMNS($AM$1006:BI1006),$AM$1006:$BM$1006,0)), HYPERLINK("#",""), HYPERLINK(CONCATENATE("#metadata!", ADDRESS(INDEX($AH$2:$AH$1001,MATCH(ROWS($AF$2:AF342),$AF$2:$AF$1001,0),0), INDEX($AM$1004:$BM$1004,1,MATCH(COLUMNS($AM$1006:BI1006),$AM$1006:$BM$1006,0)))),"Fix")))</f>
        <v xml:space="preserve"> </v>
      </c>
      <c r="Y342" s="4" t="str">
        <f ca="1">IF(OR(INDEX($AG$2:$AG$1001,MATCH(ROWS($AF$2:AF342),$AF$2:$AF$1001,0),1)&gt;=100000,INDEX($AM$1005:$BM$1005,1,MATCH(COLUMNS($AM$1006:BJ1006),$AM$1006:$BM$1006,0))&gt;=100000), " ",IF(INDEX($AM$2:$BM$1001,MATCH(ROWS($AF$2:AF342),$AF$2:$AF$1001,0),MATCH(COLUMNS($AM$1006:BJ1006),$AM$1006:$BM$1006,0)), HYPERLINK("#",""), HYPERLINK(CONCATENATE("#metadata!", ADDRESS(INDEX($AH$2:$AH$1001,MATCH(ROWS($AF$2:AF342),$AF$2:$AF$1001,0),0), INDEX($AM$1004:$BM$1004,1,MATCH(COLUMNS($AM$1006:BJ1006),$AM$1006:$BM$1006,0)))),"Fix")))</f>
        <v xml:space="preserve"> </v>
      </c>
      <c r="Z342" s="4" t="str">
        <f ca="1">IF(OR(INDEX($AG$2:$AG$1001,MATCH(ROWS($AF$2:AF342),$AF$2:$AF$1001,0),1)&gt;=100000,INDEX($AM$1005:$BM$1005,1,MATCH(COLUMNS($AM$1006:BK1006),$AM$1006:$BM$1006,0))&gt;=100000), " ",IF(INDEX($AM$2:$BM$1001,MATCH(ROWS($AF$2:AF342),$AF$2:$AF$1001,0),MATCH(COLUMNS($AM$1006:BK1006),$AM$1006:$BM$1006,0)), HYPERLINK("#",""), HYPERLINK(CONCATENATE("#metadata!", ADDRESS(INDEX($AH$2:$AH$1001,MATCH(ROWS($AF$2:AF342),$AF$2:$AF$1001,0),0), INDEX($AM$1004:$BM$1004,1,MATCH(COLUMNS($AM$1006:BK1006),$AM$1006:$BM$1006,0)))),"Fix")))</f>
        <v xml:space="preserve"> </v>
      </c>
      <c r="AA342" s="4" t="str">
        <f ca="1">IF(OR(INDEX($AG$2:$AG$1001,MATCH(ROWS($AF$2:AF342),$AF$2:$AF$1001,0),1)&gt;=100000,INDEX($AM$1005:$BM$1005,1,MATCH(COLUMNS($AM$1006:BL1006),$AM$1006:$BM$1006,0))&gt;=100000), " ",IF(INDEX($AM$2:$BM$1001,MATCH(ROWS($AF$2:AF342),$AF$2:$AF$1001,0),MATCH(COLUMNS($AM$1006:BL1006),$AM$1006:$BM$1006,0)), HYPERLINK("#",""), HYPERLINK(CONCATENATE("#metadata!", ADDRESS(INDEX($AH$2:$AH$1001,MATCH(ROWS($AF$2:AF342),$AF$2:$AF$1001,0),0), INDEX($AM$1004:$BM$1004,1,MATCH(COLUMNS($AM$1006:BL1006),$AM$1006:$BM$1006,0)))),"Fix")))</f>
        <v xml:space="preserve"> </v>
      </c>
      <c r="AB342" s="4" t="str">
        <f ca="1">IF(OR(INDEX($AG$2:$AG$1001,MATCH(ROWS($AF$2:AF342),$AF$2:$AF$1001,0),1)&gt;=100000,INDEX($AM$1005:$BM$1005,1,MATCH(COLUMNS($AM$1006:BM1006),$AM$1006:$BM$1006,0))&gt;=100000), " ",IF(INDEX($AM$2:$BM$1001,MATCH(ROWS($AF$2:AF342),$AF$2:$AF$1001,0),MATCH(COLUMNS($AM$1006:BM1006),$AM$1006:$BM$1006,0)), HYPERLINK("#",""), HYPERLINK(CONCATENATE("#metadata!", ADDRESS(INDEX($AH$2:$AH$1001,MATCH(ROWS($AF$2:AF342),$AF$2:$AF$1001,0),0), INDEX($AM$1004:$BM$1004,1,MATCH(COLUMNS($AM$1006:BM1006),$AM$1006:$BM$1006,0)))),"Fix")))</f>
        <v xml:space="preserve"> </v>
      </c>
      <c r="AF342">
        <v>341</v>
      </c>
      <c r="AG342">
        <v>100342</v>
      </c>
      <c r="AH342">
        <v>342</v>
      </c>
      <c r="AI342" t="b">
        <f t="shared" si="5"/>
        <v>1</v>
      </c>
      <c r="AJ342" t="b">
        <f>COUNTBLANK(metadata!B342:AB342)=COLUMNS(metadata!B342:AB342)</f>
        <v>1</v>
      </c>
      <c r="AK342" t="str">
        <v/>
      </c>
      <c r="AM342" t="b">
        <f ca="1">AND(IF(metadata!B342="",FALSE,TRUE),COUNTIF(metadata!B:B, metadata!B342) = 1,NOT(ISERROR(SUMPRODUCT(SEARCH(MID(metadata!B342,ROW(INDIRECT("1:"&amp;LEN(metadata!B342))), 1),"0123456789abcdefghijklmnopqrstuvwxyzABCDEFGHIJKLMNOPQRSTUVWXYZ.")))))</f>
        <v>0</v>
      </c>
      <c r="AN342" t="b">
        <f ca="1">OR(AND(IF(metadata!C342="",FALSE,TRUE),OR(EXACT(metadata!C342,"missing: not collected"),EXACT(metadata!C342,"missing: not provided"),EXACT(metadata!C342,"missing: restricted access"))),AND(IF(metadata!C342="",FALSE,TRUE),AND(AND(IFERROR(INT(LEFT(metadata!C342,4))&gt;1900,FALSE),IFERROR(INT(LEFT(metadata!C342,4))&lt;=YEAR(NOW()),FALSE)), OR(MID(metadata!C342,5,1)="", AND(AND(MID(metadata!C342,5,1)="-",IFERROR(INT(MID(metadata!C342,6,1))&gt;=0,FALSE),IFERROR(INT(MID(metadata!C342,6,1))&lt;=1,FALSE),NOT(MID(metadata!C342,7,1)=""),IFERROR(INT(MID(metadata!C342,6,2))&gt;=1,FALSE),IFERROR(INT(MID(metadata!C342,6,2))&lt;=12,FALSE)), OR(MID(metadata!C342,8,1)="", AND(AND(MID(metadata!C342,8,1)="-",IFERROR(INT(MID(metadata!C342,9,1))&gt;=0,FALSE),IFERROR(INT(MID(metadata!C342,9,1))&lt;=3,FALSE),NOT(MID(metadata!C342,10,1)=""),IFERROR(INT(MID(metadata!C342,9,2))&gt;=1,FALSE),IFERROR(INT(MID(metadata!C342,9,2))&lt;=31,FALSE)), OR(MID(metadata!C342,11,1)="", AND(AND(MID(metadata!C342,11,1)=" ",IFERROR(INT(MID(metadata!C342,12,1))&gt;=0,FALSE),IFERROR(INT(MID(metadata!C342,12,1))&lt;=2,FALSE),NOT(MID(metadata!C342,13,1)=""),IFERROR(INT(MID(metadata!C342,12,2))&gt;=0,FALSE),IFERROR(INT(MID(metadata!C342,12,2))&lt;=23,FALSE)), OR(MID(metadata!C342,14,1)="", AND(AND(MID(metadata!C342,14,1)=":",IFERROR(INT(MID(metadata!C342,15,1))&gt;=0,FALSE),IFERROR(INT(MID(metadata!C342,15,1))&lt;=5,FALSE),NOT(MID(metadata!C342,16,1)=""),IFERROR(INT(MID(metadata!C342,15,2))&gt;=0,FALSE),IFERROR(INT(MID(metadata!C342,15,2))&lt;=59,FALSE)), OR(MID(metadata!C342,17,1)="", AND(AND(MID(metadata!C342,17,1)=":",IFERROR(INT(MID(metadata!C342,18,1))&gt;=0,FALSE),IFERROR(INT(MID(metadata!C342,18,1))&lt;=5,FALSE),NOT(MID(metadata!C342,19,1)=""),IFERROR(INT(MID(metadata!C342,18,2))&gt;=0,FALSE),IFERROR(INT(MID(metadata!C342,18,2))&lt;=59,FALSE)), LEN(metadata!C342)&lt;=19)))))))))))))</f>
        <v>0</v>
      </c>
      <c r="AO342" t="b">
        <f>AND(IF(metadata!D342="",FALSE,TRUE),EXACT(metadata!D342,"Not applicable"))</f>
        <v>0</v>
      </c>
      <c r="AP342" t="b">
        <f>IF(metadata!E342="",FALSE,TRUE)</f>
        <v>0</v>
      </c>
      <c r="AQ342" t="b">
        <f>OR(AND(IF(metadata!F342="",FALSE,TRUE),OR(EXACT(metadata!F342,"missing: not collected"),EXACT(metadata!F342,"missing: not provided"))),AND(IF(metadata!F342="",FALSE,TRUE),OR(EXACT(metadata!F342,"TRUE"),EXACT(metadata!F342,"FALSE"))))</f>
        <v>0</v>
      </c>
      <c r="AR342" t="b">
        <f>OR(AND(IF(metadata!G342="",FALSE,TRUE),OR(EXACT(metadata!G342,"missing: not collected"),EXACT(metadata!G342,"missing: not provided"),EXACT(metadata!G342,"missing: restricted access"))),AND(IF(metadata!G342="",FALSE,ISNUMBER(VALUE(metadata!G342))),metadata!G342&gt;=-413))</f>
        <v>0</v>
      </c>
      <c r="AS342" t="b">
        <f>AND(IF(metadata!H342="",FALSE,TRUE),EXACT(metadata!H342,"meters"))</f>
        <v>0</v>
      </c>
      <c r="AT342" t="b">
        <f>AND(IF(metadata!I342="",FALSE,TRUE),OR(EXACT(metadata!I342,"Host-associated"),EXACT(metadata!I342,"Free-living")))</f>
        <v>0</v>
      </c>
      <c r="AU342" t="b">
        <f>AND(IF(metadata!J342="",FALSE,TRUE),OR(EXACT(metadata!J342,"Animal"),EXACT(metadata!J342,"Fungus"),EXACT(metadata!J342,"Plant"),EXACT(metadata!J342,"Saline"),EXACT(metadata!J342,"Non-saline")))</f>
        <v>0</v>
      </c>
      <c r="AV342" t="b">
        <f>AND(IF(metadata!K342="",FALSE,TRUE),OR(EXACT(metadata!K342,"Plant secretion"),EXACT(metadata!K342,"Plant rhizosphere"),EXACT(metadata!K342,"Plant surface"),EXACT(metadata!K342,"Plant corpus"),EXACT(metadata!K342,"Fungus surface"),EXACT(metadata!K342,"Fungus corpus"),EXACT(metadata!K342,"Animal surface"),EXACT(metadata!K342,"Animal proximal gut"),EXACT(metadata!K342,"Animal corpus"),EXACT(metadata!K342,"Animal distal gut"),EXACT(metadata!K342,"Animal secretion"),EXACT(metadata!K342,"Sub-surface (non-saline)"),EXACT(metadata!K342,"Surface (non-saline)"),EXACT(metadata!K342,"Water (non-saline)"),EXACT(metadata!K342,"Soil (non-saline)"),EXACT(metadata!K342,"Aerosol (non-saline)"),EXACT(metadata!K342,"Sediment (non-saline)"),EXACT(metadata!K342,"Surface (saline)"),EXACT(metadata!K342,"Water (saline)"),EXACT(metadata!K342,"Hypersaline (saline)"),EXACT(metadata!K342,"Aerosol (saline)"),EXACT(metadata!K342,"Sediment (saline)")))</f>
        <v>0</v>
      </c>
      <c r="AW342" t="b">
        <f>IF(metadata!L342="",FALSE,TRUE)</f>
        <v>0</v>
      </c>
      <c r="AX342" t="b">
        <f>IF(metadata!M342="",FALSE,TRUE)</f>
        <v>0</v>
      </c>
      <c r="AY342" t="b">
        <f>IF(metadata!N342="",FALSE,TRUE)</f>
        <v>0</v>
      </c>
      <c r="AZ342" t="b">
        <f>OR(AND(IF(metadata!O342="",FALSE,TRUE),OR(EXACT(metadata!O342,"missing: not collected"),EXACT(metadata!O342,"missing: not provided"),EXACT(metadata!O342,"missing: restricted access"))),AND(IF(metadata!O342="",FALSE,TRUE),OR(EXACT(metadata!O342,"air"),EXACT(metadata!O342,"built environment"),EXACT(metadata!O342,"host-associated"),EXACT(metadata!O342,"human-associated"),EXACT(metadata!O342,"human-skin"),EXACT(metadata!O342,"human-oral"),EXACT(metadata!O342,"human-gut"),EXACT(metadata!O342,"human-vaginal"),EXACT(metadata!O342,"microbial mat/biofilm"),EXACT(metadata!O342,"misc environment"),EXACT(metadata!O342,"plant-associated"),EXACT(metadata!O342,"sediment"),EXACT(metadata!O342,"soil"),EXACT(metadata!O342,"wastewater/sludge"),EXACT(metadata!O342,"water"))))</f>
        <v>0</v>
      </c>
      <c r="BA342" t="b">
        <f>IF(metadata!P342="",FALSE,TRUE)</f>
        <v>0</v>
      </c>
      <c r="BB342" t="b">
        <f>IF(metadata!Q342="",FALSE,TRUE)</f>
        <v>0</v>
      </c>
      <c r="BC342" t="b">
        <f>OR(AND(IF(metadata!R342="",FALSE,TRUE),OR(EXACT(metadata!R342,"missing: not collected"),EXACT(metadata!R342,"missing: not provided"),EXACT(metadata!R342,"missing: restricted access"))),AND(IF(metadata!R342="",FALSE,ISNUMBER(VALUE(metadata!R342))),metadata!R342&gt;=-90,metadata!R342&lt;=90))</f>
        <v>0</v>
      </c>
      <c r="BD342" t="b">
        <f>AND(IF(metadata!S342="",FALSE,TRUE),EXACT(metadata!S342,"Decimal degrees"))</f>
        <v>0</v>
      </c>
      <c r="BE342" t="b">
        <f>OR(AND(IF(metadata!T342="",FALSE,TRUE),OR(EXACT(metadata!T342,"missing: not collected"),EXACT(metadata!T342,"missing: not provided"),EXACT(metadata!T342,"missing: restricted access"))),AND(IF(metadata!T342="",FALSE,ISNUMBER(VALUE(metadata!T342))),metadata!T342&gt;=-180,metadata!T342&lt;=180))</f>
        <v>0</v>
      </c>
      <c r="BF342" t="b">
        <f>AND(IF(metadata!U342="",FALSE,TRUE),EXACT(metadata!U342,"Decimal degrees"))</f>
        <v>0</v>
      </c>
      <c r="BG342" t="b">
        <f>IF(metadata!V342="",FALSE,TRUE)</f>
        <v>0</v>
      </c>
      <c r="BH342" t="b">
        <f>OR(AND(IF(metadata!W342="",FALSE,TRUE),OR(EXACT(metadata!W342,"missing: not collected"),EXACT(metadata!W342,"missing: not provided"),EXACT(metadata!W342,"missing: restricted access"))),AND(IF(metadata!W342="",FALSE,TRUE),OR(EXACT(metadata!W342,"TRUE"),EXACT(metadata!W342,"FALSE"))))</f>
        <v>0</v>
      </c>
      <c r="BI342" t="b">
        <f>AND(IF(metadata!X342="",FALSE,TRUE),EXACT(metadata!X342,"other"))</f>
        <v>0</v>
      </c>
      <c r="BJ342" t="b">
        <f>IF(metadata!Y342="",FALSE,TRUE)</f>
        <v>0</v>
      </c>
      <c r="BK342" t="b">
        <f>OR(AND(IF(metadata!Z342="",FALSE,TRUE),OR(EXACT(metadata!Z342,"missing: not collected"),EXACT(metadata!Z342,"missing: not provided"))),AND(IF(metadata!Z342="",FALSE,IF(ISERROR(INT(metadata!Z342)),FALSE,INT(metadata!Z342)=metadata!Z342)),metadata!Z342&gt;0))</f>
        <v>0</v>
      </c>
      <c r="BL342" t="b">
        <f>AND(IF(metadata!AA342="",FALSE,TRUE),EXACT(metadata!AA342,"Not applicable"))</f>
        <v>0</v>
      </c>
      <c r="BM342" t="b">
        <f>IF(metadata!AB342="",FALSE,TRUE)</f>
        <v>0</v>
      </c>
    </row>
    <row r="343" spans="1:65" x14ac:dyDescent="0.2">
      <c r="A343" s="5" t="str">
        <f ca="1">IF(B343=" "," ",HYPERLINK(CONCATENATE("#metadata!",ADDRESS(INDEX($AH$2:$AH$1001,MATCH(ROWS($AF$2:AF343),$AF$2:$AF$1001,0),0),1)),INDEX($AK$2:$AK$1001,MATCH(ROWS($AF$2:AF343),$AF$2:$AF$1001,0),0)))</f>
        <v xml:space="preserve"> </v>
      </c>
      <c r="B343" s="4" t="str">
        <f ca="1">IF(OR(INDEX($AG$2:$AG$1001,MATCH(ROWS($AF$2:AF343),$AF$2:$AF$1001,0),1)&gt;=100000,INDEX($AM$1005:$BM$1005,1,MATCH(COLUMNS($AM$1006:AM1006),$AM$1006:$BM$1006,0))&gt;=100000), " ",IF(INDEX($AM$2:$BM$1001,MATCH(ROWS($AF$2:AF343),$AF$2:$AF$1001,0),MATCH(COLUMNS($AM$1006:AM1006),$AM$1006:$BM$1006,0)), HYPERLINK("#",""), HYPERLINK(CONCATENATE("#metadata!", ADDRESS(INDEX($AH$2:$AH$1001,MATCH(ROWS($AF$2:AF343),$AF$2:$AF$1001,0),0), INDEX($AM$1004:$BM$1004,1,MATCH(COLUMNS($AM$1006:AM1006),$AM$1006:$BM$1006,0)))),"Fix")))</f>
        <v xml:space="preserve"> </v>
      </c>
      <c r="C343" s="4" t="str">
        <f ca="1">IF(OR(INDEX($AG$2:$AG$1001,MATCH(ROWS($AF$2:AF343),$AF$2:$AF$1001,0),1)&gt;=100000,INDEX($AM$1005:$BM$1005,1,MATCH(COLUMNS($AM$1006:AN1006),$AM$1006:$BM$1006,0))&gt;=100000), " ",IF(INDEX($AM$2:$BM$1001,MATCH(ROWS($AF$2:AF343),$AF$2:$AF$1001,0),MATCH(COLUMNS($AM$1006:AN1006),$AM$1006:$BM$1006,0)), HYPERLINK("#",""), HYPERLINK(CONCATENATE("#metadata!", ADDRESS(INDEX($AH$2:$AH$1001,MATCH(ROWS($AF$2:AF343),$AF$2:$AF$1001,0),0), INDEX($AM$1004:$BM$1004,1,MATCH(COLUMNS($AM$1006:AN1006),$AM$1006:$BM$1006,0)))),"Fix")))</f>
        <v xml:space="preserve"> </v>
      </c>
      <c r="D343" s="4" t="str">
        <f ca="1">IF(OR(INDEX($AG$2:$AG$1001,MATCH(ROWS($AF$2:AF343),$AF$2:$AF$1001,0),1)&gt;=100000,INDEX($AM$1005:$BM$1005,1,MATCH(COLUMNS($AM$1006:AO1006),$AM$1006:$BM$1006,0))&gt;=100000), " ",IF(INDEX($AM$2:$BM$1001,MATCH(ROWS($AF$2:AF343),$AF$2:$AF$1001,0),MATCH(COLUMNS($AM$1006:AO1006),$AM$1006:$BM$1006,0)), HYPERLINK("#",""), HYPERLINK(CONCATENATE("#metadata!", ADDRESS(INDEX($AH$2:$AH$1001,MATCH(ROWS($AF$2:AF343),$AF$2:$AF$1001,0),0), INDEX($AM$1004:$BM$1004,1,MATCH(COLUMNS($AM$1006:AO1006),$AM$1006:$BM$1006,0)))),"Fix")))</f>
        <v xml:space="preserve"> </v>
      </c>
      <c r="E343" s="4" t="str">
        <f ca="1">IF(OR(INDEX($AG$2:$AG$1001,MATCH(ROWS($AF$2:AF343),$AF$2:$AF$1001,0),1)&gt;=100000,INDEX($AM$1005:$BM$1005,1,MATCH(COLUMNS($AM$1006:AP1006),$AM$1006:$BM$1006,0))&gt;=100000), " ",IF(INDEX($AM$2:$BM$1001,MATCH(ROWS($AF$2:AF343),$AF$2:$AF$1001,0),MATCH(COLUMNS($AM$1006:AP1006),$AM$1006:$BM$1006,0)), HYPERLINK("#",""), HYPERLINK(CONCATENATE("#metadata!", ADDRESS(INDEX($AH$2:$AH$1001,MATCH(ROWS($AF$2:AF343),$AF$2:$AF$1001,0),0), INDEX($AM$1004:$BM$1004,1,MATCH(COLUMNS($AM$1006:AP1006),$AM$1006:$BM$1006,0)))),"Fix")))</f>
        <v xml:space="preserve"> </v>
      </c>
      <c r="F343" s="4" t="str">
        <f ca="1">IF(OR(INDEX($AG$2:$AG$1001,MATCH(ROWS($AF$2:AF343),$AF$2:$AF$1001,0),1)&gt;=100000,INDEX($AM$1005:$BM$1005,1,MATCH(COLUMNS($AM$1006:AQ1006),$AM$1006:$BM$1006,0))&gt;=100000), " ",IF(INDEX($AM$2:$BM$1001,MATCH(ROWS($AF$2:AF343),$AF$2:$AF$1001,0),MATCH(COLUMNS($AM$1006:AQ1006),$AM$1006:$BM$1006,0)), HYPERLINK("#",""), HYPERLINK(CONCATENATE("#metadata!", ADDRESS(INDEX($AH$2:$AH$1001,MATCH(ROWS($AF$2:AF343),$AF$2:$AF$1001,0),0), INDEX($AM$1004:$BM$1004,1,MATCH(COLUMNS($AM$1006:AQ1006),$AM$1006:$BM$1006,0)))),"Fix")))</f>
        <v xml:space="preserve"> </v>
      </c>
      <c r="G343" s="4" t="str">
        <f ca="1">IF(OR(INDEX($AG$2:$AG$1001,MATCH(ROWS($AF$2:AF343),$AF$2:$AF$1001,0),1)&gt;=100000,INDEX($AM$1005:$BM$1005,1,MATCH(COLUMNS($AM$1006:AR1006),$AM$1006:$BM$1006,0))&gt;=100000), " ",IF(INDEX($AM$2:$BM$1001,MATCH(ROWS($AF$2:AF343),$AF$2:$AF$1001,0),MATCH(COLUMNS($AM$1006:AR1006),$AM$1006:$BM$1006,0)), HYPERLINK("#",""), HYPERLINK(CONCATENATE("#metadata!", ADDRESS(INDEX($AH$2:$AH$1001,MATCH(ROWS($AF$2:AF343),$AF$2:$AF$1001,0),0), INDEX($AM$1004:$BM$1004,1,MATCH(COLUMNS($AM$1006:AR1006),$AM$1006:$BM$1006,0)))),"Fix")))</f>
        <v xml:space="preserve"> </v>
      </c>
      <c r="H343" s="4" t="str">
        <f ca="1">IF(OR(INDEX($AG$2:$AG$1001,MATCH(ROWS($AF$2:AF343),$AF$2:$AF$1001,0),1)&gt;=100000,INDEX($AM$1005:$BM$1005,1,MATCH(COLUMNS($AM$1006:AS1006),$AM$1006:$BM$1006,0))&gt;=100000), " ",IF(INDEX($AM$2:$BM$1001,MATCH(ROWS($AF$2:AF343),$AF$2:$AF$1001,0),MATCH(COLUMNS($AM$1006:AS1006),$AM$1006:$BM$1006,0)), HYPERLINK("#",""), HYPERLINK(CONCATENATE("#metadata!", ADDRESS(INDEX($AH$2:$AH$1001,MATCH(ROWS($AF$2:AF343),$AF$2:$AF$1001,0),0), INDEX($AM$1004:$BM$1004,1,MATCH(COLUMNS($AM$1006:AS1006),$AM$1006:$BM$1006,0)))),"Fix")))</f>
        <v xml:space="preserve"> </v>
      </c>
      <c r="I343" s="4" t="str">
        <f ca="1">IF(OR(INDEX($AG$2:$AG$1001,MATCH(ROWS($AF$2:AF343),$AF$2:$AF$1001,0),1)&gt;=100000,INDEX($AM$1005:$BM$1005,1,MATCH(COLUMNS($AM$1006:AT1006),$AM$1006:$BM$1006,0))&gt;=100000), " ",IF(INDEX($AM$2:$BM$1001,MATCH(ROWS($AF$2:AF343),$AF$2:$AF$1001,0),MATCH(COLUMNS($AM$1006:AT1006),$AM$1006:$BM$1006,0)), HYPERLINK("#",""), HYPERLINK(CONCATENATE("#metadata!", ADDRESS(INDEX($AH$2:$AH$1001,MATCH(ROWS($AF$2:AF343),$AF$2:$AF$1001,0),0), INDEX($AM$1004:$BM$1004,1,MATCH(COLUMNS($AM$1006:AT1006),$AM$1006:$BM$1006,0)))),"Fix")))</f>
        <v xml:space="preserve"> </v>
      </c>
      <c r="J343" s="4" t="str">
        <f ca="1">IF(OR(INDEX($AG$2:$AG$1001,MATCH(ROWS($AF$2:AF343),$AF$2:$AF$1001,0),1)&gt;=100000,INDEX($AM$1005:$BM$1005,1,MATCH(COLUMNS($AM$1006:AU1006),$AM$1006:$BM$1006,0))&gt;=100000), " ",IF(INDEX($AM$2:$BM$1001,MATCH(ROWS($AF$2:AF343),$AF$2:$AF$1001,0),MATCH(COLUMNS($AM$1006:AU1006),$AM$1006:$BM$1006,0)), HYPERLINK("#",""), HYPERLINK(CONCATENATE("#metadata!", ADDRESS(INDEX($AH$2:$AH$1001,MATCH(ROWS($AF$2:AF343),$AF$2:$AF$1001,0),0), INDEX($AM$1004:$BM$1004,1,MATCH(COLUMNS($AM$1006:AU1006),$AM$1006:$BM$1006,0)))),"Fix")))</f>
        <v xml:space="preserve"> </v>
      </c>
      <c r="K343" s="4" t="str">
        <f ca="1">IF(OR(INDEX($AG$2:$AG$1001,MATCH(ROWS($AF$2:AF343),$AF$2:$AF$1001,0),1)&gt;=100000,INDEX($AM$1005:$BM$1005,1,MATCH(COLUMNS($AM$1006:AV1006),$AM$1006:$BM$1006,0))&gt;=100000), " ",IF(INDEX($AM$2:$BM$1001,MATCH(ROWS($AF$2:AF343),$AF$2:$AF$1001,0),MATCH(COLUMNS($AM$1006:AV1006),$AM$1006:$BM$1006,0)), HYPERLINK("#",""), HYPERLINK(CONCATENATE("#metadata!", ADDRESS(INDEX($AH$2:$AH$1001,MATCH(ROWS($AF$2:AF343),$AF$2:$AF$1001,0),0), INDEX($AM$1004:$BM$1004,1,MATCH(COLUMNS($AM$1006:AV1006),$AM$1006:$BM$1006,0)))),"Fix")))</f>
        <v xml:space="preserve"> </v>
      </c>
      <c r="L343" s="4" t="str">
        <f ca="1">IF(OR(INDEX($AG$2:$AG$1001,MATCH(ROWS($AF$2:AF343),$AF$2:$AF$1001,0),1)&gt;=100000,INDEX($AM$1005:$BM$1005,1,MATCH(COLUMNS($AM$1006:AW1006),$AM$1006:$BM$1006,0))&gt;=100000), " ",IF(INDEX($AM$2:$BM$1001,MATCH(ROWS($AF$2:AF343),$AF$2:$AF$1001,0),MATCH(COLUMNS($AM$1006:AW1006),$AM$1006:$BM$1006,0)), HYPERLINK("#",""), HYPERLINK(CONCATENATE("#metadata!", ADDRESS(INDEX($AH$2:$AH$1001,MATCH(ROWS($AF$2:AF343),$AF$2:$AF$1001,0),0), INDEX($AM$1004:$BM$1004,1,MATCH(COLUMNS($AM$1006:AW1006),$AM$1006:$BM$1006,0)))),"Fix")))</f>
        <v xml:space="preserve"> </v>
      </c>
      <c r="M343" s="4" t="str">
        <f ca="1">IF(OR(INDEX($AG$2:$AG$1001,MATCH(ROWS($AF$2:AF343),$AF$2:$AF$1001,0),1)&gt;=100000,INDEX($AM$1005:$BM$1005,1,MATCH(COLUMNS($AM$1006:AX1006),$AM$1006:$BM$1006,0))&gt;=100000), " ",IF(INDEX($AM$2:$BM$1001,MATCH(ROWS($AF$2:AF343),$AF$2:$AF$1001,0),MATCH(COLUMNS($AM$1006:AX1006),$AM$1006:$BM$1006,0)), HYPERLINK("#",""), HYPERLINK(CONCATENATE("#metadata!", ADDRESS(INDEX($AH$2:$AH$1001,MATCH(ROWS($AF$2:AF343),$AF$2:$AF$1001,0),0), INDEX($AM$1004:$BM$1004,1,MATCH(COLUMNS($AM$1006:AX1006),$AM$1006:$BM$1006,0)))),"Fix")))</f>
        <v xml:space="preserve"> </v>
      </c>
      <c r="N343" s="4" t="str">
        <f ca="1">IF(OR(INDEX($AG$2:$AG$1001,MATCH(ROWS($AF$2:AF343),$AF$2:$AF$1001,0),1)&gt;=100000,INDEX($AM$1005:$BM$1005,1,MATCH(COLUMNS($AM$1006:AY1006),$AM$1006:$BM$1006,0))&gt;=100000), " ",IF(INDEX($AM$2:$BM$1001,MATCH(ROWS($AF$2:AF343),$AF$2:$AF$1001,0),MATCH(COLUMNS($AM$1006:AY1006),$AM$1006:$BM$1006,0)), HYPERLINK("#",""), HYPERLINK(CONCATENATE("#metadata!", ADDRESS(INDEX($AH$2:$AH$1001,MATCH(ROWS($AF$2:AF343),$AF$2:$AF$1001,0),0), INDEX($AM$1004:$BM$1004,1,MATCH(COLUMNS($AM$1006:AY1006),$AM$1006:$BM$1006,0)))),"Fix")))</f>
        <v xml:space="preserve"> </v>
      </c>
      <c r="O343" s="4" t="str">
        <f ca="1">IF(OR(INDEX($AG$2:$AG$1001,MATCH(ROWS($AF$2:AF343),$AF$2:$AF$1001,0),1)&gt;=100000,INDEX($AM$1005:$BM$1005,1,MATCH(COLUMNS($AM$1006:AZ1006),$AM$1006:$BM$1006,0))&gt;=100000), " ",IF(INDEX($AM$2:$BM$1001,MATCH(ROWS($AF$2:AF343),$AF$2:$AF$1001,0),MATCH(COLUMNS($AM$1006:AZ1006),$AM$1006:$BM$1006,0)), HYPERLINK("#",""), HYPERLINK(CONCATENATE("#metadata!", ADDRESS(INDEX($AH$2:$AH$1001,MATCH(ROWS($AF$2:AF343),$AF$2:$AF$1001,0),0), INDEX($AM$1004:$BM$1004,1,MATCH(COLUMNS($AM$1006:AZ1006),$AM$1006:$BM$1006,0)))),"Fix")))</f>
        <v xml:space="preserve"> </v>
      </c>
      <c r="P343" s="4" t="str">
        <f ca="1">IF(OR(INDEX($AG$2:$AG$1001,MATCH(ROWS($AF$2:AF343),$AF$2:$AF$1001,0),1)&gt;=100000,INDEX($AM$1005:$BM$1005,1,MATCH(COLUMNS($AM$1006:BA1006),$AM$1006:$BM$1006,0))&gt;=100000), " ",IF(INDEX($AM$2:$BM$1001,MATCH(ROWS($AF$2:AF343),$AF$2:$AF$1001,0),MATCH(COLUMNS($AM$1006:BA1006),$AM$1006:$BM$1006,0)), HYPERLINK("#",""), HYPERLINK(CONCATENATE("#metadata!", ADDRESS(INDEX($AH$2:$AH$1001,MATCH(ROWS($AF$2:AF343),$AF$2:$AF$1001,0),0), INDEX($AM$1004:$BM$1004,1,MATCH(COLUMNS($AM$1006:BA1006),$AM$1006:$BM$1006,0)))),"Fix")))</f>
        <v xml:space="preserve"> </v>
      </c>
      <c r="Q343" s="4" t="str">
        <f ca="1">IF(OR(INDEX($AG$2:$AG$1001,MATCH(ROWS($AF$2:AF343),$AF$2:$AF$1001,0),1)&gt;=100000,INDEX($AM$1005:$BM$1005,1,MATCH(COLUMNS($AM$1006:BB1006),$AM$1006:$BM$1006,0))&gt;=100000), " ",IF(INDEX($AM$2:$BM$1001,MATCH(ROWS($AF$2:AF343),$AF$2:$AF$1001,0),MATCH(COLUMNS($AM$1006:BB1006),$AM$1006:$BM$1006,0)), HYPERLINK("#",""), HYPERLINK(CONCATENATE("#metadata!", ADDRESS(INDEX($AH$2:$AH$1001,MATCH(ROWS($AF$2:AF343),$AF$2:$AF$1001,0),0), INDEX($AM$1004:$BM$1004,1,MATCH(COLUMNS($AM$1006:BB1006),$AM$1006:$BM$1006,0)))),"Fix")))</f>
        <v xml:space="preserve"> </v>
      </c>
      <c r="R343" s="4" t="str">
        <f ca="1">IF(OR(INDEX($AG$2:$AG$1001,MATCH(ROWS($AF$2:AF343),$AF$2:$AF$1001,0),1)&gt;=100000,INDEX($AM$1005:$BM$1005,1,MATCH(COLUMNS($AM$1006:BC1006),$AM$1006:$BM$1006,0))&gt;=100000), " ",IF(INDEX($AM$2:$BM$1001,MATCH(ROWS($AF$2:AF343),$AF$2:$AF$1001,0),MATCH(COLUMNS($AM$1006:BC1006),$AM$1006:$BM$1006,0)), HYPERLINK("#",""), HYPERLINK(CONCATENATE("#metadata!", ADDRESS(INDEX($AH$2:$AH$1001,MATCH(ROWS($AF$2:AF343),$AF$2:$AF$1001,0),0), INDEX($AM$1004:$BM$1004,1,MATCH(COLUMNS($AM$1006:BC1006),$AM$1006:$BM$1006,0)))),"Fix")))</f>
        <v xml:space="preserve"> </v>
      </c>
      <c r="S343" s="4" t="str">
        <f ca="1">IF(OR(INDEX($AG$2:$AG$1001,MATCH(ROWS($AF$2:AF343),$AF$2:$AF$1001,0),1)&gt;=100000,INDEX($AM$1005:$BM$1005,1,MATCH(COLUMNS($AM$1006:BD1006),$AM$1006:$BM$1006,0))&gt;=100000), " ",IF(INDEX($AM$2:$BM$1001,MATCH(ROWS($AF$2:AF343),$AF$2:$AF$1001,0),MATCH(COLUMNS($AM$1006:BD1006),$AM$1006:$BM$1006,0)), HYPERLINK("#",""), HYPERLINK(CONCATENATE("#metadata!", ADDRESS(INDEX($AH$2:$AH$1001,MATCH(ROWS($AF$2:AF343),$AF$2:$AF$1001,0),0), INDEX($AM$1004:$BM$1004,1,MATCH(COLUMNS($AM$1006:BD1006),$AM$1006:$BM$1006,0)))),"Fix")))</f>
        <v xml:space="preserve"> </v>
      </c>
      <c r="T343" s="4" t="str">
        <f ca="1">IF(OR(INDEX($AG$2:$AG$1001,MATCH(ROWS($AF$2:AF343),$AF$2:$AF$1001,0),1)&gt;=100000,INDEX($AM$1005:$BM$1005,1,MATCH(COLUMNS($AM$1006:BE1006),$AM$1006:$BM$1006,0))&gt;=100000), " ",IF(INDEX($AM$2:$BM$1001,MATCH(ROWS($AF$2:AF343),$AF$2:$AF$1001,0),MATCH(COLUMNS($AM$1006:BE1006),$AM$1006:$BM$1006,0)), HYPERLINK("#",""), HYPERLINK(CONCATENATE("#metadata!", ADDRESS(INDEX($AH$2:$AH$1001,MATCH(ROWS($AF$2:AF343),$AF$2:$AF$1001,0),0), INDEX($AM$1004:$BM$1004,1,MATCH(COLUMNS($AM$1006:BE1006),$AM$1006:$BM$1006,0)))),"Fix")))</f>
        <v xml:space="preserve"> </v>
      </c>
      <c r="U343" s="4" t="str">
        <f ca="1">IF(OR(INDEX($AG$2:$AG$1001,MATCH(ROWS($AF$2:AF343),$AF$2:$AF$1001,0),1)&gt;=100000,INDEX($AM$1005:$BM$1005,1,MATCH(COLUMNS($AM$1006:BF1006),$AM$1006:$BM$1006,0))&gt;=100000), " ",IF(INDEX($AM$2:$BM$1001,MATCH(ROWS($AF$2:AF343),$AF$2:$AF$1001,0),MATCH(COLUMNS($AM$1006:BF1006),$AM$1006:$BM$1006,0)), HYPERLINK("#",""), HYPERLINK(CONCATENATE("#metadata!", ADDRESS(INDEX($AH$2:$AH$1001,MATCH(ROWS($AF$2:AF343),$AF$2:$AF$1001,0),0), INDEX($AM$1004:$BM$1004,1,MATCH(COLUMNS($AM$1006:BF1006),$AM$1006:$BM$1006,0)))),"Fix")))</f>
        <v xml:space="preserve"> </v>
      </c>
      <c r="V343" s="4" t="str">
        <f ca="1">IF(OR(INDEX($AG$2:$AG$1001,MATCH(ROWS($AF$2:AF343),$AF$2:$AF$1001,0),1)&gt;=100000,INDEX($AM$1005:$BM$1005,1,MATCH(COLUMNS($AM$1006:BG1006),$AM$1006:$BM$1006,0))&gt;=100000), " ",IF(INDEX($AM$2:$BM$1001,MATCH(ROWS($AF$2:AF343),$AF$2:$AF$1001,0),MATCH(COLUMNS($AM$1006:BG1006),$AM$1006:$BM$1006,0)), HYPERLINK("#",""), HYPERLINK(CONCATENATE("#metadata!", ADDRESS(INDEX($AH$2:$AH$1001,MATCH(ROWS($AF$2:AF343),$AF$2:$AF$1001,0),0), INDEX($AM$1004:$BM$1004,1,MATCH(COLUMNS($AM$1006:BG1006),$AM$1006:$BM$1006,0)))),"Fix")))</f>
        <v xml:space="preserve"> </v>
      </c>
      <c r="W343" s="4" t="str">
        <f ca="1">IF(OR(INDEX($AG$2:$AG$1001,MATCH(ROWS($AF$2:AF343),$AF$2:$AF$1001,0),1)&gt;=100000,INDEX($AM$1005:$BM$1005,1,MATCH(COLUMNS($AM$1006:BH1006),$AM$1006:$BM$1006,0))&gt;=100000), " ",IF(INDEX($AM$2:$BM$1001,MATCH(ROWS($AF$2:AF343),$AF$2:$AF$1001,0),MATCH(COLUMNS($AM$1006:BH1006),$AM$1006:$BM$1006,0)), HYPERLINK("#",""), HYPERLINK(CONCATENATE("#metadata!", ADDRESS(INDEX($AH$2:$AH$1001,MATCH(ROWS($AF$2:AF343),$AF$2:$AF$1001,0),0), INDEX($AM$1004:$BM$1004,1,MATCH(COLUMNS($AM$1006:BH1006),$AM$1006:$BM$1006,0)))),"Fix")))</f>
        <v xml:space="preserve"> </v>
      </c>
      <c r="X343" s="4" t="str">
        <f ca="1">IF(OR(INDEX($AG$2:$AG$1001,MATCH(ROWS($AF$2:AF343),$AF$2:$AF$1001,0),1)&gt;=100000,INDEX($AM$1005:$BM$1005,1,MATCH(COLUMNS($AM$1006:BI1006),$AM$1006:$BM$1006,0))&gt;=100000), " ",IF(INDEX($AM$2:$BM$1001,MATCH(ROWS($AF$2:AF343),$AF$2:$AF$1001,0),MATCH(COLUMNS($AM$1006:BI1006),$AM$1006:$BM$1006,0)), HYPERLINK("#",""), HYPERLINK(CONCATENATE("#metadata!", ADDRESS(INDEX($AH$2:$AH$1001,MATCH(ROWS($AF$2:AF343),$AF$2:$AF$1001,0),0), INDEX($AM$1004:$BM$1004,1,MATCH(COLUMNS($AM$1006:BI1006),$AM$1006:$BM$1006,0)))),"Fix")))</f>
        <v xml:space="preserve"> </v>
      </c>
      <c r="Y343" s="4" t="str">
        <f ca="1">IF(OR(INDEX($AG$2:$AG$1001,MATCH(ROWS($AF$2:AF343),$AF$2:$AF$1001,0),1)&gt;=100000,INDEX($AM$1005:$BM$1005,1,MATCH(COLUMNS($AM$1006:BJ1006),$AM$1006:$BM$1006,0))&gt;=100000), " ",IF(INDEX($AM$2:$BM$1001,MATCH(ROWS($AF$2:AF343),$AF$2:$AF$1001,0),MATCH(COLUMNS($AM$1006:BJ1006),$AM$1006:$BM$1006,0)), HYPERLINK("#",""), HYPERLINK(CONCATENATE("#metadata!", ADDRESS(INDEX($AH$2:$AH$1001,MATCH(ROWS($AF$2:AF343),$AF$2:$AF$1001,0),0), INDEX($AM$1004:$BM$1004,1,MATCH(COLUMNS($AM$1006:BJ1006),$AM$1006:$BM$1006,0)))),"Fix")))</f>
        <v xml:space="preserve"> </v>
      </c>
      <c r="Z343" s="4" t="str">
        <f ca="1">IF(OR(INDEX($AG$2:$AG$1001,MATCH(ROWS($AF$2:AF343),$AF$2:$AF$1001,0),1)&gt;=100000,INDEX($AM$1005:$BM$1005,1,MATCH(COLUMNS($AM$1006:BK1006),$AM$1006:$BM$1006,0))&gt;=100000), " ",IF(INDEX($AM$2:$BM$1001,MATCH(ROWS($AF$2:AF343),$AF$2:$AF$1001,0),MATCH(COLUMNS($AM$1006:BK1006),$AM$1006:$BM$1006,0)), HYPERLINK("#",""), HYPERLINK(CONCATENATE("#metadata!", ADDRESS(INDEX($AH$2:$AH$1001,MATCH(ROWS($AF$2:AF343),$AF$2:$AF$1001,0),0), INDEX($AM$1004:$BM$1004,1,MATCH(COLUMNS($AM$1006:BK1006),$AM$1006:$BM$1006,0)))),"Fix")))</f>
        <v xml:space="preserve"> </v>
      </c>
      <c r="AA343" s="4" t="str">
        <f ca="1">IF(OR(INDEX($AG$2:$AG$1001,MATCH(ROWS($AF$2:AF343),$AF$2:$AF$1001,0),1)&gt;=100000,INDEX($AM$1005:$BM$1005,1,MATCH(COLUMNS($AM$1006:BL1006),$AM$1006:$BM$1006,0))&gt;=100000), " ",IF(INDEX($AM$2:$BM$1001,MATCH(ROWS($AF$2:AF343),$AF$2:$AF$1001,0),MATCH(COLUMNS($AM$1006:BL1006),$AM$1006:$BM$1006,0)), HYPERLINK("#",""), HYPERLINK(CONCATENATE("#metadata!", ADDRESS(INDEX($AH$2:$AH$1001,MATCH(ROWS($AF$2:AF343),$AF$2:$AF$1001,0),0), INDEX($AM$1004:$BM$1004,1,MATCH(COLUMNS($AM$1006:BL1006),$AM$1006:$BM$1006,0)))),"Fix")))</f>
        <v xml:space="preserve"> </v>
      </c>
      <c r="AB343" s="4" t="str">
        <f ca="1">IF(OR(INDEX($AG$2:$AG$1001,MATCH(ROWS($AF$2:AF343),$AF$2:$AF$1001,0),1)&gt;=100000,INDEX($AM$1005:$BM$1005,1,MATCH(COLUMNS($AM$1006:BM1006),$AM$1006:$BM$1006,0))&gt;=100000), " ",IF(INDEX($AM$2:$BM$1001,MATCH(ROWS($AF$2:AF343),$AF$2:$AF$1001,0),MATCH(COLUMNS($AM$1006:BM1006),$AM$1006:$BM$1006,0)), HYPERLINK("#",""), HYPERLINK(CONCATENATE("#metadata!", ADDRESS(INDEX($AH$2:$AH$1001,MATCH(ROWS($AF$2:AF343),$AF$2:$AF$1001,0),0), INDEX($AM$1004:$BM$1004,1,MATCH(COLUMNS($AM$1006:BM1006),$AM$1006:$BM$1006,0)))),"Fix")))</f>
        <v xml:space="preserve"> </v>
      </c>
      <c r="AF343">
        <v>342</v>
      </c>
      <c r="AG343">
        <v>100343</v>
      </c>
      <c r="AH343">
        <v>343</v>
      </c>
      <c r="AI343" t="b">
        <f t="shared" si="5"/>
        <v>1</v>
      </c>
      <c r="AJ343" t="b">
        <f>COUNTBLANK(metadata!B343:AB343)=COLUMNS(metadata!B343:AB343)</f>
        <v>1</v>
      </c>
      <c r="AK343" t="str">
        <v/>
      </c>
      <c r="AM343" t="b">
        <f ca="1">AND(IF(metadata!B343="",FALSE,TRUE),COUNTIF(metadata!B:B, metadata!B343) = 1,NOT(ISERROR(SUMPRODUCT(SEARCH(MID(metadata!B343,ROW(INDIRECT("1:"&amp;LEN(metadata!B343))), 1),"0123456789abcdefghijklmnopqrstuvwxyzABCDEFGHIJKLMNOPQRSTUVWXYZ.")))))</f>
        <v>0</v>
      </c>
      <c r="AN343" t="b">
        <f ca="1">OR(AND(IF(metadata!C343="",FALSE,TRUE),OR(EXACT(metadata!C343,"missing: not collected"),EXACT(metadata!C343,"missing: not provided"),EXACT(metadata!C343,"missing: restricted access"))),AND(IF(metadata!C343="",FALSE,TRUE),AND(AND(IFERROR(INT(LEFT(metadata!C343,4))&gt;1900,FALSE),IFERROR(INT(LEFT(metadata!C343,4))&lt;=YEAR(NOW()),FALSE)), OR(MID(metadata!C343,5,1)="", AND(AND(MID(metadata!C343,5,1)="-",IFERROR(INT(MID(metadata!C343,6,1))&gt;=0,FALSE),IFERROR(INT(MID(metadata!C343,6,1))&lt;=1,FALSE),NOT(MID(metadata!C343,7,1)=""),IFERROR(INT(MID(metadata!C343,6,2))&gt;=1,FALSE),IFERROR(INT(MID(metadata!C343,6,2))&lt;=12,FALSE)), OR(MID(metadata!C343,8,1)="", AND(AND(MID(metadata!C343,8,1)="-",IFERROR(INT(MID(metadata!C343,9,1))&gt;=0,FALSE),IFERROR(INT(MID(metadata!C343,9,1))&lt;=3,FALSE),NOT(MID(metadata!C343,10,1)=""),IFERROR(INT(MID(metadata!C343,9,2))&gt;=1,FALSE),IFERROR(INT(MID(metadata!C343,9,2))&lt;=31,FALSE)), OR(MID(metadata!C343,11,1)="", AND(AND(MID(metadata!C343,11,1)=" ",IFERROR(INT(MID(metadata!C343,12,1))&gt;=0,FALSE),IFERROR(INT(MID(metadata!C343,12,1))&lt;=2,FALSE),NOT(MID(metadata!C343,13,1)=""),IFERROR(INT(MID(metadata!C343,12,2))&gt;=0,FALSE),IFERROR(INT(MID(metadata!C343,12,2))&lt;=23,FALSE)), OR(MID(metadata!C343,14,1)="", AND(AND(MID(metadata!C343,14,1)=":",IFERROR(INT(MID(metadata!C343,15,1))&gt;=0,FALSE),IFERROR(INT(MID(metadata!C343,15,1))&lt;=5,FALSE),NOT(MID(metadata!C343,16,1)=""),IFERROR(INT(MID(metadata!C343,15,2))&gt;=0,FALSE),IFERROR(INT(MID(metadata!C343,15,2))&lt;=59,FALSE)), OR(MID(metadata!C343,17,1)="", AND(AND(MID(metadata!C343,17,1)=":",IFERROR(INT(MID(metadata!C343,18,1))&gt;=0,FALSE),IFERROR(INT(MID(metadata!C343,18,1))&lt;=5,FALSE),NOT(MID(metadata!C343,19,1)=""),IFERROR(INT(MID(metadata!C343,18,2))&gt;=0,FALSE),IFERROR(INT(MID(metadata!C343,18,2))&lt;=59,FALSE)), LEN(metadata!C343)&lt;=19)))))))))))))</f>
        <v>0</v>
      </c>
      <c r="AO343" t="b">
        <f>AND(IF(metadata!D343="",FALSE,TRUE),EXACT(metadata!D343,"Not applicable"))</f>
        <v>0</v>
      </c>
      <c r="AP343" t="b">
        <f>IF(metadata!E343="",FALSE,TRUE)</f>
        <v>0</v>
      </c>
      <c r="AQ343" t="b">
        <f>OR(AND(IF(metadata!F343="",FALSE,TRUE),OR(EXACT(metadata!F343,"missing: not collected"),EXACT(metadata!F343,"missing: not provided"))),AND(IF(metadata!F343="",FALSE,TRUE),OR(EXACT(metadata!F343,"TRUE"),EXACT(metadata!F343,"FALSE"))))</f>
        <v>0</v>
      </c>
      <c r="AR343" t="b">
        <f>OR(AND(IF(metadata!G343="",FALSE,TRUE),OR(EXACT(metadata!G343,"missing: not collected"),EXACT(metadata!G343,"missing: not provided"),EXACT(metadata!G343,"missing: restricted access"))),AND(IF(metadata!G343="",FALSE,ISNUMBER(VALUE(metadata!G343))),metadata!G343&gt;=-413))</f>
        <v>0</v>
      </c>
      <c r="AS343" t="b">
        <f>AND(IF(metadata!H343="",FALSE,TRUE),EXACT(metadata!H343,"meters"))</f>
        <v>0</v>
      </c>
      <c r="AT343" t="b">
        <f>AND(IF(metadata!I343="",FALSE,TRUE),OR(EXACT(metadata!I343,"Host-associated"),EXACT(metadata!I343,"Free-living")))</f>
        <v>0</v>
      </c>
      <c r="AU343" t="b">
        <f>AND(IF(metadata!J343="",FALSE,TRUE),OR(EXACT(metadata!J343,"Animal"),EXACT(metadata!J343,"Fungus"),EXACT(metadata!J343,"Plant"),EXACT(metadata!J343,"Saline"),EXACT(metadata!J343,"Non-saline")))</f>
        <v>0</v>
      </c>
      <c r="AV343" t="b">
        <f>AND(IF(metadata!K343="",FALSE,TRUE),OR(EXACT(metadata!K343,"Plant secretion"),EXACT(metadata!K343,"Plant rhizosphere"),EXACT(metadata!K343,"Plant surface"),EXACT(metadata!K343,"Plant corpus"),EXACT(metadata!K343,"Fungus surface"),EXACT(metadata!K343,"Fungus corpus"),EXACT(metadata!K343,"Animal surface"),EXACT(metadata!K343,"Animal proximal gut"),EXACT(metadata!K343,"Animal corpus"),EXACT(metadata!K343,"Animal distal gut"),EXACT(metadata!K343,"Animal secretion"),EXACT(metadata!K343,"Sub-surface (non-saline)"),EXACT(metadata!K343,"Surface (non-saline)"),EXACT(metadata!K343,"Water (non-saline)"),EXACT(metadata!K343,"Soil (non-saline)"),EXACT(metadata!K343,"Aerosol (non-saline)"),EXACT(metadata!K343,"Sediment (non-saline)"),EXACT(metadata!K343,"Surface (saline)"),EXACT(metadata!K343,"Water (saline)"),EXACT(metadata!K343,"Hypersaline (saline)"),EXACT(metadata!K343,"Aerosol (saline)"),EXACT(metadata!K343,"Sediment (saline)")))</f>
        <v>0</v>
      </c>
      <c r="AW343" t="b">
        <f>IF(metadata!L343="",FALSE,TRUE)</f>
        <v>0</v>
      </c>
      <c r="AX343" t="b">
        <f>IF(metadata!M343="",FALSE,TRUE)</f>
        <v>0</v>
      </c>
      <c r="AY343" t="b">
        <f>IF(metadata!N343="",FALSE,TRUE)</f>
        <v>0</v>
      </c>
      <c r="AZ343" t="b">
        <f>OR(AND(IF(metadata!O343="",FALSE,TRUE),OR(EXACT(metadata!O343,"missing: not collected"),EXACT(metadata!O343,"missing: not provided"),EXACT(metadata!O343,"missing: restricted access"))),AND(IF(metadata!O343="",FALSE,TRUE),OR(EXACT(metadata!O343,"air"),EXACT(metadata!O343,"built environment"),EXACT(metadata!O343,"host-associated"),EXACT(metadata!O343,"human-associated"),EXACT(metadata!O343,"human-skin"),EXACT(metadata!O343,"human-oral"),EXACT(metadata!O343,"human-gut"),EXACT(metadata!O343,"human-vaginal"),EXACT(metadata!O343,"microbial mat/biofilm"),EXACT(metadata!O343,"misc environment"),EXACT(metadata!O343,"plant-associated"),EXACT(metadata!O343,"sediment"),EXACT(metadata!O343,"soil"),EXACT(metadata!O343,"wastewater/sludge"),EXACT(metadata!O343,"water"))))</f>
        <v>0</v>
      </c>
      <c r="BA343" t="b">
        <f>IF(metadata!P343="",FALSE,TRUE)</f>
        <v>0</v>
      </c>
      <c r="BB343" t="b">
        <f>IF(metadata!Q343="",FALSE,TRUE)</f>
        <v>0</v>
      </c>
      <c r="BC343" t="b">
        <f>OR(AND(IF(metadata!R343="",FALSE,TRUE),OR(EXACT(metadata!R343,"missing: not collected"),EXACT(metadata!R343,"missing: not provided"),EXACT(metadata!R343,"missing: restricted access"))),AND(IF(metadata!R343="",FALSE,ISNUMBER(VALUE(metadata!R343))),metadata!R343&gt;=-90,metadata!R343&lt;=90))</f>
        <v>0</v>
      </c>
      <c r="BD343" t="b">
        <f>AND(IF(metadata!S343="",FALSE,TRUE),EXACT(metadata!S343,"Decimal degrees"))</f>
        <v>0</v>
      </c>
      <c r="BE343" t="b">
        <f>OR(AND(IF(metadata!T343="",FALSE,TRUE),OR(EXACT(metadata!T343,"missing: not collected"),EXACT(metadata!T343,"missing: not provided"),EXACT(metadata!T343,"missing: restricted access"))),AND(IF(metadata!T343="",FALSE,ISNUMBER(VALUE(metadata!T343))),metadata!T343&gt;=-180,metadata!T343&lt;=180))</f>
        <v>0</v>
      </c>
      <c r="BF343" t="b">
        <f>AND(IF(metadata!U343="",FALSE,TRUE),EXACT(metadata!U343,"Decimal degrees"))</f>
        <v>0</v>
      </c>
      <c r="BG343" t="b">
        <f>IF(metadata!V343="",FALSE,TRUE)</f>
        <v>0</v>
      </c>
      <c r="BH343" t="b">
        <f>OR(AND(IF(metadata!W343="",FALSE,TRUE),OR(EXACT(metadata!W343,"missing: not collected"),EXACT(metadata!W343,"missing: not provided"),EXACT(metadata!W343,"missing: restricted access"))),AND(IF(metadata!W343="",FALSE,TRUE),OR(EXACT(metadata!W343,"TRUE"),EXACT(metadata!W343,"FALSE"))))</f>
        <v>0</v>
      </c>
      <c r="BI343" t="b">
        <f>AND(IF(metadata!X343="",FALSE,TRUE),EXACT(metadata!X343,"other"))</f>
        <v>0</v>
      </c>
      <c r="BJ343" t="b">
        <f>IF(metadata!Y343="",FALSE,TRUE)</f>
        <v>0</v>
      </c>
      <c r="BK343" t="b">
        <f>OR(AND(IF(metadata!Z343="",FALSE,TRUE),OR(EXACT(metadata!Z343,"missing: not collected"),EXACT(metadata!Z343,"missing: not provided"))),AND(IF(metadata!Z343="",FALSE,IF(ISERROR(INT(metadata!Z343)),FALSE,INT(metadata!Z343)=metadata!Z343)),metadata!Z343&gt;0))</f>
        <v>0</v>
      </c>
      <c r="BL343" t="b">
        <f>AND(IF(metadata!AA343="",FALSE,TRUE),EXACT(metadata!AA343,"Not applicable"))</f>
        <v>0</v>
      </c>
      <c r="BM343" t="b">
        <f>IF(metadata!AB343="",FALSE,TRUE)</f>
        <v>0</v>
      </c>
    </row>
    <row r="344" spans="1:65" x14ac:dyDescent="0.2">
      <c r="A344" s="5" t="str">
        <f ca="1">IF(B344=" "," ",HYPERLINK(CONCATENATE("#metadata!",ADDRESS(INDEX($AH$2:$AH$1001,MATCH(ROWS($AF$2:AF344),$AF$2:$AF$1001,0),0),1)),INDEX($AK$2:$AK$1001,MATCH(ROWS($AF$2:AF344),$AF$2:$AF$1001,0),0)))</f>
        <v xml:space="preserve"> </v>
      </c>
      <c r="B344" s="4" t="str">
        <f ca="1">IF(OR(INDEX($AG$2:$AG$1001,MATCH(ROWS($AF$2:AF344),$AF$2:$AF$1001,0),1)&gt;=100000,INDEX($AM$1005:$BM$1005,1,MATCH(COLUMNS($AM$1006:AM1006),$AM$1006:$BM$1006,0))&gt;=100000), " ",IF(INDEX($AM$2:$BM$1001,MATCH(ROWS($AF$2:AF344),$AF$2:$AF$1001,0),MATCH(COLUMNS($AM$1006:AM1006),$AM$1006:$BM$1006,0)), HYPERLINK("#",""), HYPERLINK(CONCATENATE("#metadata!", ADDRESS(INDEX($AH$2:$AH$1001,MATCH(ROWS($AF$2:AF344),$AF$2:$AF$1001,0),0), INDEX($AM$1004:$BM$1004,1,MATCH(COLUMNS($AM$1006:AM1006),$AM$1006:$BM$1006,0)))),"Fix")))</f>
        <v xml:space="preserve"> </v>
      </c>
      <c r="C344" s="4" t="str">
        <f ca="1">IF(OR(INDEX($AG$2:$AG$1001,MATCH(ROWS($AF$2:AF344),$AF$2:$AF$1001,0),1)&gt;=100000,INDEX($AM$1005:$BM$1005,1,MATCH(COLUMNS($AM$1006:AN1006),$AM$1006:$BM$1006,0))&gt;=100000), " ",IF(INDEX($AM$2:$BM$1001,MATCH(ROWS($AF$2:AF344),$AF$2:$AF$1001,0),MATCH(COLUMNS($AM$1006:AN1006),$AM$1006:$BM$1006,0)), HYPERLINK("#",""), HYPERLINK(CONCATENATE("#metadata!", ADDRESS(INDEX($AH$2:$AH$1001,MATCH(ROWS($AF$2:AF344),$AF$2:$AF$1001,0),0), INDEX($AM$1004:$BM$1004,1,MATCH(COLUMNS($AM$1006:AN1006),$AM$1006:$BM$1006,0)))),"Fix")))</f>
        <v xml:space="preserve"> </v>
      </c>
      <c r="D344" s="4" t="str">
        <f ca="1">IF(OR(INDEX($AG$2:$AG$1001,MATCH(ROWS($AF$2:AF344),$AF$2:$AF$1001,0),1)&gt;=100000,INDEX($AM$1005:$BM$1005,1,MATCH(COLUMNS($AM$1006:AO1006),$AM$1006:$BM$1006,0))&gt;=100000), " ",IF(INDEX($AM$2:$BM$1001,MATCH(ROWS($AF$2:AF344),$AF$2:$AF$1001,0),MATCH(COLUMNS($AM$1006:AO1006),$AM$1006:$BM$1006,0)), HYPERLINK("#",""), HYPERLINK(CONCATENATE("#metadata!", ADDRESS(INDEX($AH$2:$AH$1001,MATCH(ROWS($AF$2:AF344),$AF$2:$AF$1001,0),0), INDEX($AM$1004:$BM$1004,1,MATCH(COLUMNS($AM$1006:AO1006),$AM$1006:$BM$1006,0)))),"Fix")))</f>
        <v xml:space="preserve"> </v>
      </c>
      <c r="E344" s="4" t="str">
        <f ca="1">IF(OR(INDEX($AG$2:$AG$1001,MATCH(ROWS($AF$2:AF344),$AF$2:$AF$1001,0),1)&gt;=100000,INDEX($AM$1005:$BM$1005,1,MATCH(COLUMNS($AM$1006:AP1006),$AM$1006:$BM$1006,0))&gt;=100000), " ",IF(INDEX($AM$2:$BM$1001,MATCH(ROWS($AF$2:AF344),$AF$2:$AF$1001,0),MATCH(COLUMNS($AM$1006:AP1006),$AM$1006:$BM$1006,0)), HYPERLINK("#",""), HYPERLINK(CONCATENATE("#metadata!", ADDRESS(INDEX($AH$2:$AH$1001,MATCH(ROWS($AF$2:AF344),$AF$2:$AF$1001,0),0), INDEX($AM$1004:$BM$1004,1,MATCH(COLUMNS($AM$1006:AP1006),$AM$1006:$BM$1006,0)))),"Fix")))</f>
        <v xml:space="preserve"> </v>
      </c>
      <c r="F344" s="4" t="str">
        <f ca="1">IF(OR(INDEX($AG$2:$AG$1001,MATCH(ROWS($AF$2:AF344),$AF$2:$AF$1001,0),1)&gt;=100000,INDEX($AM$1005:$BM$1005,1,MATCH(COLUMNS($AM$1006:AQ1006),$AM$1006:$BM$1006,0))&gt;=100000), " ",IF(INDEX($AM$2:$BM$1001,MATCH(ROWS($AF$2:AF344),$AF$2:$AF$1001,0),MATCH(COLUMNS($AM$1006:AQ1006),$AM$1006:$BM$1006,0)), HYPERLINK("#",""), HYPERLINK(CONCATENATE("#metadata!", ADDRESS(INDEX($AH$2:$AH$1001,MATCH(ROWS($AF$2:AF344),$AF$2:$AF$1001,0),0), INDEX($AM$1004:$BM$1004,1,MATCH(COLUMNS($AM$1006:AQ1006),$AM$1006:$BM$1006,0)))),"Fix")))</f>
        <v xml:space="preserve"> </v>
      </c>
      <c r="G344" s="4" t="str">
        <f ca="1">IF(OR(INDEX($AG$2:$AG$1001,MATCH(ROWS($AF$2:AF344),$AF$2:$AF$1001,0),1)&gt;=100000,INDEX($AM$1005:$BM$1005,1,MATCH(COLUMNS($AM$1006:AR1006),$AM$1006:$BM$1006,0))&gt;=100000), " ",IF(INDEX($AM$2:$BM$1001,MATCH(ROWS($AF$2:AF344),$AF$2:$AF$1001,0),MATCH(COLUMNS($AM$1006:AR1006),$AM$1006:$BM$1006,0)), HYPERLINK("#",""), HYPERLINK(CONCATENATE("#metadata!", ADDRESS(INDEX($AH$2:$AH$1001,MATCH(ROWS($AF$2:AF344),$AF$2:$AF$1001,0),0), INDEX($AM$1004:$BM$1004,1,MATCH(COLUMNS($AM$1006:AR1006),$AM$1006:$BM$1006,0)))),"Fix")))</f>
        <v xml:space="preserve"> </v>
      </c>
      <c r="H344" s="4" t="str">
        <f ca="1">IF(OR(INDEX($AG$2:$AG$1001,MATCH(ROWS($AF$2:AF344),$AF$2:$AF$1001,0),1)&gt;=100000,INDEX($AM$1005:$BM$1005,1,MATCH(COLUMNS($AM$1006:AS1006),$AM$1006:$BM$1006,0))&gt;=100000), " ",IF(INDEX($AM$2:$BM$1001,MATCH(ROWS($AF$2:AF344),$AF$2:$AF$1001,0),MATCH(COLUMNS($AM$1006:AS1006),$AM$1006:$BM$1006,0)), HYPERLINK("#",""), HYPERLINK(CONCATENATE("#metadata!", ADDRESS(INDEX($AH$2:$AH$1001,MATCH(ROWS($AF$2:AF344),$AF$2:$AF$1001,0),0), INDEX($AM$1004:$BM$1004,1,MATCH(COLUMNS($AM$1006:AS1006),$AM$1006:$BM$1006,0)))),"Fix")))</f>
        <v xml:space="preserve"> </v>
      </c>
      <c r="I344" s="4" t="str">
        <f ca="1">IF(OR(INDEX($AG$2:$AG$1001,MATCH(ROWS($AF$2:AF344),$AF$2:$AF$1001,0),1)&gt;=100000,INDEX($AM$1005:$BM$1005,1,MATCH(COLUMNS($AM$1006:AT1006),$AM$1006:$BM$1006,0))&gt;=100000), " ",IF(INDEX($AM$2:$BM$1001,MATCH(ROWS($AF$2:AF344),$AF$2:$AF$1001,0),MATCH(COLUMNS($AM$1006:AT1006),$AM$1006:$BM$1006,0)), HYPERLINK("#",""), HYPERLINK(CONCATENATE("#metadata!", ADDRESS(INDEX($AH$2:$AH$1001,MATCH(ROWS($AF$2:AF344),$AF$2:$AF$1001,0),0), INDEX($AM$1004:$BM$1004,1,MATCH(COLUMNS($AM$1006:AT1006),$AM$1006:$BM$1006,0)))),"Fix")))</f>
        <v xml:space="preserve"> </v>
      </c>
      <c r="J344" s="4" t="str">
        <f ca="1">IF(OR(INDEX($AG$2:$AG$1001,MATCH(ROWS($AF$2:AF344),$AF$2:$AF$1001,0),1)&gt;=100000,INDEX($AM$1005:$BM$1005,1,MATCH(COLUMNS($AM$1006:AU1006),$AM$1006:$BM$1006,0))&gt;=100000), " ",IF(INDEX($AM$2:$BM$1001,MATCH(ROWS($AF$2:AF344),$AF$2:$AF$1001,0),MATCH(COLUMNS($AM$1006:AU1006),$AM$1006:$BM$1006,0)), HYPERLINK("#",""), HYPERLINK(CONCATENATE("#metadata!", ADDRESS(INDEX($AH$2:$AH$1001,MATCH(ROWS($AF$2:AF344),$AF$2:$AF$1001,0),0), INDEX($AM$1004:$BM$1004,1,MATCH(COLUMNS($AM$1006:AU1006),$AM$1006:$BM$1006,0)))),"Fix")))</f>
        <v xml:space="preserve"> </v>
      </c>
      <c r="K344" s="4" t="str">
        <f ca="1">IF(OR(INDEX($AG$2:$AG$1001,MATCH(ROWS($AF$2:AF344),$AF$2:$AF$1001,0),1)&gt;=100000,INDEX($AM$1005:$BM$1005,1,MATCH(COLUMNS($AM$1006:AV1006),$AM$1006:$BM$1006,0))&gt;=100000), " ",IF(INDEX($AM$2:$BM$1001,MATCH(ROWS($AF$2:AF344),$AF$2:$AF$1001,0),MATCH(COLUMNS($AM$1006:AV1006),$AM$1006:$BM$1006,0)), HYPERLINK("#",""), HYPERLINK(CONCATENATE("#metadata!", ADDRESS(INDEX($AH$2:$AH$1001,MATCH(ROWS($AF$2:AF344),$AF$2:$AF$1001,0),0), INDEX($AM$1004:$BM$1004,1,MATCH(COLUMNS($AM$1006:AV1006),$AM$1006:$BM$1006,0)))),"Fix")))</f>
        <v xml:space="preserve"> </v>
      </c>
      <c r="L344" s="4" t="str">
        <f ca="1">IF(OR(INDEX($AG$2:$AG$1001,MATCH(ROWS($AF$2:AF344),$AF$2:$AF$1001,0),1)&gt;=100000,INDEX($AM$1005:$BM$1005,1,MATCH(COLUMNS($AM$1006:AW1006),$AM$1006:$BM$1006,0))&gt;=100000), " ",IF(INDEX($AM$2:$BM$1001,MATCH(ROWS($AF$2:AF344),$AF$2:$AF$1001,0),MATCH(COLUMNS($AM$1006:AW1006),$AM$1006:$BM$1006,0)), HYPERLINK("#",""), HYPERLINK(CONCATENATE("#metadata!", ADDRESS(INDEX($AH$2:$AH$1001,MATCH(ROWS($AF$2:AF344),$AF$2:$AF$1001,0),0), INDEX($AM$1004:$BM$1004,1,MATCH(COLUMNS($AM$1006:AW1006),$AM$1006:$BM$1006,0)))),"Fix")))</f>
        <v xml:space="preserve"> </v>
      </c>
      <c r="M344" s="4" t="str">
        <f ca="1">IF(OR(INDEX($AG$2:$AG$1001,MATCH(ROWS($AF$2:AF344),$AF$2:$AF$1001,0),1)&gt;=100000,INDEX($AM$1005:$BM$1005,1,MATCH(COLUMNS($AM$1006:AX1006),$AM$1006:$BM$1006,0))&gt;=100000), " ",IF(INDEX($AM$2:$BM$1001,MATCH(ROWS($AF$2:AF344),$AF$2:$AF$1001,0),MATCH(COLUMNS($AM$1006:AX1006),$AM$1006:$BM$1006,0)), HYPERLINK("#",""), HYPERLINK(CONCATENATE("#metadata!", ADDRESS(INDEX($AH$2:$AH$1001,MATCH(ROWS($AF$2:AF344),$AF$2:$AF$1001,0),0), INDEX($AM$1004:$BM$1004,1,MATCH(COLUMNS($AM$1006:AX1006),$AM$1006:$BM$1006,0)))),"Fix")))</f>
        <v xml:space="preserve"> </v>
      </c>
      <c r="N344" s="4" t="str">
        <f ca="1">IF(OR(INDEX($AG$2:$AG$1001,MATCH(ROWS($AF$2:AF344),$AF$2:$AF$1001,0),1)&gt;=100000,INDEX($AM$1005:$BM$1005,1,MATCH(COLUMNS($AM$1006:AY1006),$AM$1006:$BM$1006,0))&gt;=100000), " ",IF(INDEX($AM$2:$BM$1001,MATCH(ROWS($AF$2:AF344),$AF$2:$AF$1001,0),MATCH(COLUMNS($AM$1006:AY1006),$AM$1006:$BM$1006,0)), HYPERLINK("#",""), HYPERLINK(CONCATENATE("#metadata!", ADDRESS(INDEX($AH$2:$AH$1001,MATCH(ROWS($AF$2:AF344),$AF$2:$AF$1001,0),0), INDEX($AM$1004:$BM$1004,1,MATCH(COLUMNS($AM$1006:AY1006),$AM$1006:$BM$1006,0)))),"Fix")))</f>
        <v xml:space="preserve"> </v>
      </c>
      <c r="O344" s="4" t="str">
        <f ca="1">IF(OR(INDEX($AG$2:$AG$1001,MATCH(ROWS($AF$2:AF344),$AF$2:$AF$1001,0),1)&gt;=100000,INDEX($AM$1005:$BM$1005,1,MATCH(COLUMNS($AM$1006:AZ1006),$AM$1006:$BM$1006,0))&gt;=100000), " ",IF(INDEX($AM$2:$BM$1001,MATCH(ROWS($AF$2:AF344),$AF$2:$AF$1001,0),MATCH(COLUMNS($AM$1006:AZ1006),$AM$1006:$BM$1006,0)), HYPERLINK("#",""), HYPERLINK(CONCATENATE("#metadata!", ADDRESS(INDEX($AH$2:$AH$1001,MATCH(ROWS($AF$2:AF344),$AF$2:$AF$1001,0),0), INDEX($AM$1004:$BM$1004,1,MATCH(COLUMNS($AM$1006:AZ1006),$AM$1006:$BM$1006,0)))),"Fix")))</f>
        <v xml:space="preserve"> </v>
      </c>
      <c r="P344" s="4" t="str">
        <f ca="1">IF(OR(INDEX($AG$2:$AG$1001,MATCH(ROWS($AF$2:AF344),$AF$2:$AF$1001,0),1)&gt;=100000,INDEX($AM$1005:$BM$1005,1,MATCH(COLUMNS($AM$1006:BA1006),$AM$1006:$BM$1006,0))&gt;=100000), " ",IF(INDEX($AM$2:$BM$1001,MATCH(ROWS($AF$2:AF344),$AF$2:$AF$1001,0),MATCH(COLUMNS($AM$1006:BA1006),$AM$1006:$BM$1006,0)), HYPERLINK("#",""), HYPERLINK(CONCATENATE("#metadata!", ADDRESS(INDEX($AH$2:$AH$1001,MATCH(ROWS($AF$2:AF344),$AF$2:$AF$1001,0),0), INDEX($AM$1004:$BM$1004,1,MATCH(COLUMNS($AM$1006:BA1006),$AM$1006:$BM$1006,0)))),"Fix")))</f>
        <v xml:space="preserve"> </v>
      </c>
      <c r="Q344" s="4" t="str">
        <f ca="1">IF(OR(INDEX($AG$2:$AG$1001,MATCH(ROWS($AF$2:AF344),$AF$2:$AF$1001,0),1)&gt;=100000,INDEX($AM$1005:$BM$1005,1,MATCH(COLUMNS($AM$1006:BB1006),$AM$1006:$BM$1006,0))&gt;=100000), " ",IF(INDEX($AM$2:$BM$1001,MATCH(ROWS($AF$2:AF344),$AF$2:$AF$1001,0),MATCH(COLUMNS($AM$1006:BB1006),$AM$1006:$BM$1006,0)), HYPERLINK("#",""), HYPERLINK(CONCATENATE("#metadata!", ADDRESS(INDEX($AH$2:$AH$1001,MATCH(ROWS($AF$2:AF344),$AF$2:$AF$1001,0),0), INDEX($AM$1004:$BM$1004,1,MATCH(COLUMNS($AM$1006:BB1006),$AM$1006:$BM$1006,0)))),"Fix")))</f>
        <v xml:space="preserve"> </v>
      </c>
      <c r="R344" s="4" t="str">
        <f ca="1">IF(OR(INDEX($AG$2:$AG$1001,MATCH(ROWS($AF$2:AF344),$AF$2:$AF$1001,0),1)&gt;=100000,INDEX($AM$1005:$BM$1005,1,MATCH(COLUMNS($AM$1006:BC1006),$AM$1006:$BM$1006,0))&gt;=100000), " ",IF(INDEX($AM$2:$BM$1001,MATCH(ROWS($AF$2:AF344),$AF$2:$AF$1001,0),MATCH(COLUMNS($AM$1006:BC1006),$AM$1006:$BM$1006,0)), HYPERLINK("#",""), HYPERLINK(CONCATENATE("#metadata!", ADDRESS(INDEX($AH$2:$AH$1001,MATCH(ROWS($AF$2:AF344),$AF$2:$AF$1001,0),0), INDEX($AM$1004:$BM$1004,1,MATCH(COLUMNS($AM$1006:BC1006),$AM$1006:$BM$1006,0)))),"Fix")))</f>
        <v xml:space="preserve"> </v>
      </c>
      <c r="S344" s="4" t="str">
        <f ca="1">IF(OR(INDEX($AG$2:$AG$1001,MATCH(ROWS($AF$2:AF344),$AF$2:$AF$1001,0),1)&gt;=100000,INDEX($AM$1005:$BM$1005,1,MATCH(COLUMNS($AM$1006:BD1006),$AM$1006:$BM$1006,0))&gt;=100000), " ",IF(INDEX($AM$2:$BM$1001,MATCH(ROWS($AF$2:AF344),$AF$2:$AF$1001,0),MATCH(COLUMNS($AM$1006:BD1006),$AM$1006:$BM$1006,0)), HYPERLINK("#",""), HYPERLINK(CONCATENATE("#metadata!", ADDRESS(INDEX($AH$2:$AH$1001,MATCH(ROWS($AF$2:AF344),$AF$2:$AF$1001,0),0), INDEX($AM$1004:$BM$1004,1,MATCH(COLUMNS($AM$1006:BD1006),$AM$1006:$BM$1006,0)))),"Fix")))</f>
        <v xml:space="preserve"> </v>
      </c>
      <c r="T344" s="4" t="str">
        <f ca="1">IF(OR(INDEX($AG$2:$AG$1001,MATCH(ROWS($AF$2:AF344),$AF$2:$AF$1001,0),1)&gt;=100000,INDEX($AM$1005:$BM$1005,1,MATCH(COLUMNS($AM$1006:BE1006),$AM$1006:$BM$1006,0))&gt;=100000), " ",IF(INDEX($AM$2:$BM$1001,MATCH(ROWS($AF$2:AF344),$AF$2:$AF$1001,0),MATCH(COLUMNS($AM$1006:BE1006),$AM$1006:$BM$1006,0)), HYPERLINK("#",""), HYPERLINK(CONCATENATE("#metadata!", ADDRESS(INDEX($AH$2:$AH$1001,MATCH(ROWS($AF$2:AF344),$AF$2:$AF$1001,0),0), INDEX($AM$1004:$BM$1004,1,MATCH(COLUMNS($AM$1006:BE1006),$AM$1006:$BM$1006,0)))),"Fix")))</f>
        <v xml:space="preserve"> </v>
      </c>
      <c r="U344" s="4" t="str">
        <f ca="1">IF(OR(INDEX($AG$2:$AG$1001,MATCH(ROWS($AF$2:AF344),$AF$2:$AF$1001,0),1)&gt;=100000,INDEX($AM$1005:$BM$1005,1,MATCH(COLUMNS($AM$1006:BF1006),$AM$1006:$BM$1006,0))&gt;=100000), " ",IF(INDEX($AM$2:$BM$1001,MATCH(ROWS($AF$2:AF344),$AF$2:$AF$1001,0),MATCH(COLUMNS($AM$1006:BF1006),$AM$1006:$BM$1006,0)), HYPERLINK("#",""), HYPERLINK(CONCATENATE("#metadata!", ADDRESS(INDEX($AH$2:$AH$1001,MATCH(ROWS($AF$2:AF344),$AF$2:$AF$1001,0),0), INDEX($AM$1004:$BM$1004,1,MATCH(COLUMNS($AM$1006:BF1006),$AM$1006:$BM$1006,0)))),"Fix")))</f>
        <v xml:space="preserve"> </v>
      </c>
      <c r="V344" s="4" t="str">
        <f ca="1">IF(OR(INDEX($AG$2:$AG$1001,MATCH(ROWS($AF$2:AF344),$AF$2:$AF$1001,0),1)&gt;=100000,INDEX($AM$1005:$BM$1005,1,MATCH(COLUMNS($AM$1006:BG1006),$AM$1006:$BM$1006,0))&gt;=100000), " ",IF(INDEX($AM$2:$BM$1001,MATCH(ROWS($AF$2:AF344),$AF$2:$AF$1001,0),MATCH(COLUMNS($AM$1006:BG1006),$AM$1006:$BM$1006,0)), HYPERLINK("#",""), HYPERLINK(CONCATENATE("#metadata!", ADDRESS(INDEX($AH$2:$AH$1001,MATCH(ROWS($AF$2:AF344),$AF$2:$AF$1001,0),0), INDEX($AM$1004:$BM$1004,1,MATCH(COLUMNS($AM$1006:BG1006),$AM$1006:$BM$1006,0)))),"Fix")))</f>
        <v xml:space="preserve"> </v>
      </c>
      <c r="W344" s="4" t="str">
        <f ca="1">IF(OR(INDEX($AG$2:$AG$1001,MATCH(ROWS($AF$2:AF344),$AF$2:$AF$1001,0),1)&gt;=100000,INDEX($AM$1005:$BM$1005,1,MATCH(COLUMNS($AM$1006:BH1006),$AM$1006:$BM$1006,0))&gt;=100000), " ",IF(INDEX($AM$2:$BM$1001,MATCH(ROWS($AF$2:AF344),$AF$2:$AF$1001,0),MATCH(COLUMNS($AM$1006:BH1006),$AM$1006:$BM$1006,0)), HYPERLINK("#",""), HYPERLINK(CONCATENATE("#metadata!", ADDRESS(INDEX($AH$2:$AH$1001,MATCH(ROWS($AF$2:AF344),$AF$2:$AF$1001,0),0), INDEX($AM$1004:$BM$1004,1,MATCH(COLUMNS($AM$1006:BH1006),$AM$1006:$BM$1006,0)))),"Fix")))</f>
        <v xml:space="preserve"> </v>
      </c>
      <c r="X344" s="4" t="str">
        <f ca="1">IF(OR(INDEX($AG$2:$AG$1001,MATCH(ROWS($AF$2:AF344),$AF$2:$AF$1001,0),1)&gt;=100000,INDEX($AM$1005:$BM$1005,1,MATCH(COLUMNS($AM$1006:BI1006),$AM$1006:$BM$1006,0))&gt;=100000), " ",IF(INDEX($AM$2:$BM$1001,MATCH(ROWS($AF$2:AF344),$AF$2:$AF$1001,0),MATCH(COLUMNS($AM$1006:BI1006),$AM$1006:$BM$1006,0)), HYPERLINK("#",""), HYPERLINK(CONCATENATE("#metadata!", ADDRESS(INDEX($AH$2:$AH$1001,MATCH(ROWS($AF$2:AF344),$AF$2:$AF$1001,0),0), INDEX($AM$1004:$BM$1004,1,MATCH(COLUMNS($AM$1006:BI1006),$AM$1006:$BM$1006,0)))),"Fix")))</f>
        <v xml:space="preserve"> </v>
      </c>
      <c r="Y344" s="4" t="str">
        <f ca="1">IF(OR(INDEX($AG$2:$AG$1001,MATCH(ROWS($AF$2:AF344),$AF$2:$AF$1001,0),1)&gt;=100000,INDEX($AM$1005:$BM$1005,1,MATCH(COLUMNS($AM$1006:BJ1006),$AM$1006:$BM$1006,0))&gt;=100000), " ",IF(INDEX($AM$2:$BM$1001,MATCH(ROWS($AF$2:AF344),$AF$2:$AF$1001,0),MATCH(COLUMNS($AM$1006:BJ1006),$AM$1006:$BM$1006,0)), HYPERLINK("#",""), HYPERLINK(CONCATENATE("#metadata!", ADDRESS(INDEX($AH$2:$AH$1001,MATCH(ROWS($AF$2:AF344),$AF$2:$AF$1001,0),0), INDEX($AM$1004:$BM$1004,1,MATCH(COLUMNS($AM$1006:BJ1006),$AM$1006:$BM$1006,0)))),"Fix")))</f>
        <v xml:space="preserve"> </v>
      </c>
      <c r="Z344" s="4" t="str">
        <f ca="1">IF(OR(INDEX($AG$2:$AG$1001,MATCH(ROWS($AF$2:AF344),$AF$2:$AF$1001,0),1)&gt;=100000,INDEX($AM$1005:$BM$1005,1,MATCH(COLUMNS($AM$1006:BK1006),$AM$1006:$BM$1006,0))&gt;=100000), " ",IF(INDEX($AM$2:$BM$1001,MATCH(ROWS($AF$2:AF344),$AF$2:$AF$1001,0),MATCH(COLUMNS($AM$1006:BK1006),$AM$1006:$BM$1006,0)), HYPERLINK("#",""), HYPERLINK(CONCATENATE("#metadata!", ADDRESS(INDEX($AH$2:$AH$1001,MATCH(ROWS($AF$2:AF344),$AF$2:$AF$1001,0),0), INDEX($AM$1004:$BM$1004,1,MATCH(COLUMNS($AM$1006:BK1006),$AM$1006:$BM$1006,0)))),"Fix")))</f>
        <v xml:space="preserve"> </v>
      </c>
      <c r="AA344" s="4" t="str">
        <f ca="1">IF(OR(INDEX($AG$2:$AG$1001,MATCH(ROWS($AF$2:AF344),$AF$2:$AF$1001,0),1)&gt;=100000,INDEX($AM$1005:$BM$1005,1,MATCH(COLUMNS($AM$1006:BL1006),$AM$1006:$BM$1006,0))&gt;=100000), " ",IF(INDEX($AM$2:$BM$1001,MATCH(ROWS($AF$2:AF344),$AF$2:$AF$1001,0),MATCH(COLUMNS($AM$1006:BL1006),$AM$1006:$BM$1006,0)), HYPERLINK("#",""), HYPERLINK(CONCATENATE("#metadata!", ADDRESS(INDEX($AH$2:$AH$1001,MATCH(ROWS($AF$2:AF344),$AF$2:$AF$1001,0),0), INDEX($AM$1004:$BM$1004,1,MATCH(COLUMNS($AM$1006:BL1006),$AM$1006:$BM$1006,0)))),"Fix")))</f>
        <v xml:space="preserve"> </v>
      </c>
      <c r="AB344" s="4" t="str">
        <f ca="1">IF(OR(INDEX($AG$2:$AG$1001,MATCH(ROWS($AF$2:AF344),$AF$2:$AF$1001,0),1)&gt;=100000,INDEX($AM$1005:$BM$1005,1,MATCH(COLUMNS($AM$1006:BM1006),$AM$1006:$BM$1006,0))&gt;=100000), " ",IF(INDEX($AM$2:$BM$1001,MATCH(ROWS($AF$2:AF344),$AF$2:$AF$1001,0),MATCH(COLUMNS($AM$1006:BM1006),$AM$1006:$BM$1006,0)), HYPERLINK("#",""), HYPERLINK(CONCATENATE("#metadata!", ADDRESS(INDEX($AH$2:$AH$1001,MATCH(ROWS($AF$2:AF344),$AF$2:$AF$1001,0),0), INDEX($AM$1004:$BM$1004,1,MATCH(COLUMNS($AM$1006:BM1006),$AM$1006:$BM$1006,0)))),"Fix")))</f>
        <v xml:space="preserve"> </v>
      </c>
      <c r="AF344">
        <v>343</v>
      </c>
      <c r="AG344">
        <v>100344</v>
      </c>
      <c r="AH344">
        <v>344</v>
      </c>
      <c r="AI344" t="b">
        <f t="shared" si="5"/>
        <v>1</v>
      </c>
      <c r="AJ344" t="b">
        <f>COUNTBLANK(metadata!B344:AB344)=COLUMNS(metadata!B344:AB344)</f>
        <v>1</v>
      </c>
      <c r="AK344" t="str">
        <v/>
      </c>
      <c r="AM344" t="b">
        <f ca="1">AND(IF(metadata!B344="",FALSE,TRUE),COUNTIF(metadata!B:B, metadata!B344) = 1,NOT(ISERROR(SUMPRODUCT(SEARCH(MID(metadata!B344,ROW(INDIRECT("1:"&amp;LEN(metadata!B344))), 1),"0123456789abcdefghijklmnopqrstuvwxyzABCDEFGHIJKLMNOPQRSTUVWXYZ.")))))</f>
        <v>0</v>
      </c>
      <c r="AN344" t="b">
        <f ca="1">OR(AND(IF(metadata!C344="",FALSE,TRUE),OR(EXACT(metadata!C344,"missing: not collected"),EXACT(metadata!C344,"missing: not provided"),EXACT(metadata!C344,"missing: restricted access"))),AND(IF(metadata!C344="",FALSE,TRUE),AND(AND(IFERROR(INT(LEFT(metadata!C344,4))&gt;1900,FALSE),IFERROR(INT(LEFT(metadata!C344,4))&lt;=YEAR(NOW()),FALSE)), OR(MID(metadata!C344,5,1)="", AND(AND(MID(metadata!C344,5,1)="-",IFERROR(INT(MID(metadata!C344,6,1))&gt;=0,FALSE),IFERROR(INT(MID(metadata!C344,6,1))&lt;=1,FALSE),NOT(MID(metadata!C344,7,1)=""),IFERROR(INT(MID(metadata!C344,6,2))&gt;=1,FALSE),IFERROR(INT(MID(metadata!C344,6,2))&lt;=12,FALSE)), OR(MID(metadata!C344,8,1)="", AND(AND(MID(metadata!C344,8,1)="-",IFERROR(INT(MID(metadata!C344,9,1))&gt;=0,FALSE),IFERROR(INT(MID(metadata!C344,9,1))&lt;=3,FALSE),NOT(MID(metadata!C344,10,1)=""),IFERROR(INT(MID(metadata!C344,9,2))&gt;=1,FALSE),IFERROR(INT(MID(metadata!C344,9,2))&lt;=31,FALSE)), OR(MID(metadata!C344,11,1)="", AND(AND(MID(metadata!C344,11,1)=" ",IFERROR(INT(MID(metadata!C344,12,1))&gt;=0,FALSE),IFERROR(INT(MID(metadata!C344,12,1))&lt;=2,FALSE),NOT(MID(metadata!C344,13,1)=""),IFERROR(INT(MID(metadata!C344,12,2))&gt;=0,FALSE),IFERROR(INT(MID(metadata!C344,12,2))&lt;=23,FALSE)), OR(MID(metadata!C344,14,1)="", AND(AND(MID(metadata!C344,14,1)=":",IFERROR(INT(MID(metadata!C344,15,1))&gt;=0,FALSE),IFERROR(INT(MID(metadata!C344,15,1))&lt;=5,FALSE),NOT(MID(metadata!C344,16,1)=""),IFERROR(INT(MID(metadata!C344,15,2))&gt;=0,FALSE),IFERROR(INT(MID(metadata!C344,15,2))&lt;=59,FALSE)), OR(MID(metadata!C344,17,1)="", AND(AND(MID(metadata!C344,17,1)=":",IFERROR(INT(MID(metadata!C344,18,1))&gt;=0,FALSE),IFERROR(INT(MID(metadata!C344,18,1))&lt;=5,FALSE),NOT(MID(metadata!C344,19,1)=""),IFERROR(INT(MID(metadata!C344,18,2))&gt;=0,FALSE),IFERROR(INT(MID(metadata!C344,18,2))&lt;=59,FALSE)), LEN(metadata!C344)&lt;=19)))))))))))))</f>
        <v>0</v>
      </c>
      <c r="AO344" t="b">
        <f>AND(IF(metadata!D344="",FALSE,TRUE),EXACT(metadata!D344,"Not applicable"))</f>
        <v>0</v>
      </c>
      <c r="AP344" t="b">
        <f>IF(metadata!E344="",FALSE,TRUE)</f>
        <v>0</v>
      </c>
      <c r="AQ344" t="b">
        <f>OR(AND(IF(metadata!F344="",FALSE,TRUE),OR(EXACT(metadata!F344,"missing: not collected"),EXACT(metadata!F344,"missing: not provided"))),AND(IF(metadata!F344="",FALSE,TRUE),OR(EXACT(metadata!F344,"TRUE"),EXACT(metadata!F344,"FALSE"))))</f>
        <v>0</v>
      </c>
      <c r="AR344" t="b">
        <f>OR(AND(IF(metadata!G344="",FALSE,TRUE),OR(EXACT(metadata!G344,"missing: not collected"),EXACT(metadata!G344,"missing: not provided"),EXACT(metadata!G344,"missing: restricted access"))),AND(IF(metadata!G344="",FALSE,ISNUMBER(VALUE(metadata!G344))),metadata!G344&gt;=-413))</f>
        <v>0</v>
      </c>
      <c r="AS344" t="b">
        <f>AND(IF(metadata!H344="",FALSE,TRUE),EXACT(metadata!H344,"meters"))</f>
        <v>0</v>
      </c>
      <c r="AT344" t="b">
        <f>AND(IF(metadata!I344="",FALSE,TRUE),OR(EXACT(metadata!I344,"Host-associated"),EXACT(metadata!I344,"Free-living")))</f>
        <v>0</v>
      </c>
      <c r="AU344" t="b">
        <f>AND(IF(metadata!J344="",FALSE,TRUE),OR(EXACT(metadata!J344,"Animal"),EXACT(metadata!J344,"Fungus"),EXACT(metadata!J344,"Plant"),EXACT(metadata!J344,"Saline"),EXACT(metadata!J344,"Non-saline")))</f>
        <v>0</v>
      </c>
      <c r="AV344" t="b">
        <f>AND(IF(metadata!K344="",FALSE,TRUE),OR(EXACT(metadata!K344,"Plant secretion"),EXACT(metadata!K344,"Plant rhizosphere"),EXACT(metadata!K344,"Plant surface"),EXACT(metadata!K344,"Plant corpus"),EXACT(metadata!K344,"Fungus surface"),EXACT(metadata!K344,"Fungus corpus"),EXACT(metadata!K344,"Animal surface"),EXACT(metadata!K344,"Animal proximal gut"),EXACT(metadata!K344,"Animal corpus"),EXACT(metadata!K344,"Animal distal gut"),EXACT(metadata!K344,"Animal secretion"),EXACT(metadata!K344,"Sub-surface (non-saline)"),EXACT(metadata!K344,"Surface (non-saline)"),EXACT(metadata!K344,"Water (non-saline)"),EXACT(metadata!K344,"Soil (non-saline)"),EXACT(metadata!K344,"Aerosol (non-saline)"),EXACT(metadata!K344,"Sediment (non-saline)"),EXACT(metadata!K344,"Surface (saline)"),EXACT(metadata!K344,"Water (saline)"),EXACT(metadata!K344,"Hypersaline (saline)"),EXACT(metadata!K344,"Aerosol (saline)"),EXACT(metadata!K344,"Sediment (saline)")))</f>
        <v>0</v>
      </c>
      <c r="AW344" t="b">
        <f>IF(metadata!L344="",FALSE,TRUE)</f>
        <v>0</v>
      </c>
      <c r="AX344" t="b">
        <f>IF(metadata!M344="",FALSE,TRUE)</f>
        <v>0</v>
      </c>
      <c r="AY344" t="b">
        <f>IF(metadata!N344="",FALSE,TRUE)</f>
        <v>0</v>
      </c>
      <c r="AZ344" t="b">
        <f>OR(AND(IF(metadata!O344="",FALSE,TRUE),OR(EXACT(metadata!O344,"missing: not collected"),EXACT(metadata!O344,"missing: not provided"),EXACT(metadata!O344,"missing: restricted access"))),AND(IF(metadata!O344="",FALSE,TRUE),OR(EXACT(metadata!O344,"air"),EXACT(metadata!O344,"built environment"),EXACT(metadata!O344,"host-associated"),EXACT(metadata!O344,"human-associated"),EXACT(metadata!O344,"human-skin"),EXACT(metadata!O344,"human-oral"),EXACT(metadata!O344,"human-gut"),EXACT(metadata!O344,"human-vaginal"),EXACT(metadata!O344,"microbial mat/biofilm"),EXACT(metadata!O344,"misc environment"),EXACT(metadata!O344,"plant-associated"),EXACT(metadata!O344,"sediment"),EXACT(metadata!O344,"soil"),EXACT(metadata!O344,"wastewater/sludge"),EXACT(metadata!O344,"water"))))</f>
        <v>0</v>
      </c>
      <c r="BA344" t="b">
        <f>IF(metadata!P344="",FALSE,TRUE)</f>
        <v>0</v>
      </c>
      <c r="BB344" t="b">
        <f>IF(metadata!Q344="",FALSE,TRUE)</f>
        <v>0</v>
      </c>
      <c r="BC344" t="b">
        <f>OR(AND(IF(metadata!R344="",FALSE,TRUE),OR(EXACT(metadata!R344,"missing: not collected"),EXACT(metadata!R344,"missing: not provided"),EXACT(metadata!R344,"missing: restricted access"))),AND(IF(metadata!R344="",FALSE,ISNUMBER(VALUE(metadata!R344))),metadata!R344&gt;=-90,metadata!R344&lt;=90))</f>
        <v>0</v>
      </c>
      <c r="BD344" t="b">
        <f>AND(IF(metadata!S344="",FALSE,TRUE),EXACT(metadata!S344,"Decimal degrees"))</f>
        <v>0</v>
      </c>
      <c r="BE344" t="b">
        <f>OR(AND(IF(metadata!T344="",FALSE,TRUE),OR(EXACT(metadata!T344,"missing: not collected"),EXACT(metadata!T344,"missing: not provided"),EXACT(metadata!T344,"missing: restricted access"))),AND(IF(metadata!T344="",FALSE,ISNUMBER(VALUE(metadata!T344))),metadata!T344&gt;=-180,metadata!T344&lt;=180))</f>
        <v>0</v>
      </c>
      <c r="BF344" t="b">
        <f>AND(IF(metadata!U344="",FALSE,TRUE),EXACT(metadata!U344,"Decimal degrees"))</f>
        <v>0</v>
      </c>
      <c r="BG344" t="b">
        <f>IF(metadata!V344="",FALSE,TRUE)</f>
        <v>0</v>
      </c>
      <c r="BH344" t="b">
        <f>OR(AND(IF(metadata!W344="",FALSE,TRUE),OR(EXACT(metadata!W344,"missing: not collected"),EXACT(metadata!W344,"missing: not provided"),EXACT(metadata!W344,"missing: restricted access"))),AND(IF(metadata!W344="",FALSE,TRUE),OR(EXACT(metadata!W344,"TRUE"),EXACT(metadata!W344,"FALSE"))))</f>
        <v>0</v>
      </c>
      <c r="BI344" t="b">
        <f>AND(IF(metadata!X344="",FALSE,TRUE),EXACT(metadata!X344,"other"))</f>
        <v>0</v>
      </c>
      <c r="BJ344" t="b">
        <f>IF(metadata!Y344="",FALSE,TRUE)</f>
        <v>0</v>
      </c>
      <c r="BK344" t="b">
        <f>OR(AND(IF(metadata!Z344="",FALSE,TRUE),OR(EXACT(metadata!Z344,"missing: not collected"),EXACT(metadata!Z344,"missing: not provided"))),AND(IF(metadata!Z344="",FALSE,IF(ISERROR(INT(metadata!Z344)),FALSE,INT(metadata!Z344)=metadata!Z344)),metadata!Z344&gt;0))</f>
        <v>0</v>
      </c>
      <c r="BL344" t="b">
        <f>AND(IF(metadata!AA344="",FALSE,TRUE),EXACT(metadata!AA344,"Not applicable"))</f>
        <v>0</v>
      </c>
      <c r="BM344" t="b">
        <f>IF(metadata!AB344="",FALSE,TRUE)</f>
        <v>0</v>
      </c>
    </row>
    <row r="345" spans="1:65" x14ac:dyDescent="0.2">
      <c r="A345" s="5" t="str">
        <f ca="1">IF(B345=" "," ",HYPERLINK(CONCATENATE("#metadata!",ADDRESS(INDEX($AH$2:$AH$1001,MATCH(ROWS($AF$2:AF345),$AF$2:$AF$1001,0),0),1)),INDEX($AK$2:$AK$1001,MATCH(ROWS($AF$2:AF345),$AF$2:$AF$1001,0),0)))</f>
        <v xml:space="preserve"> </v>
      </c>
      <c r="B345" s="4" t="str">
        <f ca="1">IF(OR(INDEX($AG$2:$AG$1001,MATCH(ROWS($AF$2:AF345),$AF$2:$AF$1001,0),1)&gt;=100000,INDEX($AM$1005:$BM$1005,1,MATCH(COLUMNS($AM$1006:AM1006),$AM$1006:$BM$1006,0))&gt;=100000), " ",IF(INDEX($AM$2:$BM$1001,MATCH(ROWS($AF$2:AF345),$AF$2:$AF$1001,0),MATCH(COLUMNS($AM$1006:AM1006),$AM$1006:$BM$1006,0)), HYPERLINK("#",""), HYPERLINK(CONCATENATE("#metadata!", ADDRESS(INDEX($AH$2:$AH$1001,MATCH(ROWS($AF$2:AF345),$AF$2:$AF$1001,0),0), INDEX($AM$1004:$BM$1004,1,MATCH(COLUMNS($AM$1006:AM1006),$AM$1006:$BM$1006,0)))),"Fix")))</f>
        <v xml:space="preserve"> </v>
      </c>
      <c r="C345" s="4" t="str">
        <f ca="1">IF(OR(INDEX($AG$2:$AG$1001,MATCH(ROWS($AF$2:AF345),$AF$2:$AF$1001,0),1)&gt;=100000,INDEX($AM$1005:$BM$1005,1,MATCH(COLUMNS($AM$1006:AN1006),$AM$1006:$BM$1006,0))&gt;=100000), " ",IF(INDEX($AM$2:$BM$1001,MATCH(ROWS($AF$2:AF345),$AF$2:$AF$1001,0),MATCH(COLUMNS($AM$1006:AN1006),$AM$1006:$BM$1006,0)), HYPERLINK("#",""), HYPERLINK(CONCATENATE("#metadata!", ADDRESS(INDEX($AH$2:$AH$1001,MATCH(ROWS($AF$2:AF345),$AF$2:$AF$1001,0),0), INDEX($AM$1004:$BM$1004,1,MATCH(COLUMNS($AM$1006:AN1006),$AM$1006:$BM$1006,0)))),"Fix")))</f>
        <v xml:space="preserve"> </v>
      </c>
      <c r="D345" s="4" t="str">
        <f ca="1">IF(OR(INDEX($AG$2:$AG$1001,MATCH(ROWS($AF$2:AF345),$AF$2:$AF$1001,0),1)&gt;=100000,INDEX($AM$1005:$BM$1005,1,MATCH(COLUMNS($AM$1006:AO1006),$AM$1006:$BM$1006,0))&gt;=100000), " ",IF(INDEX($AM$2:$BM$1001,MATCH(ROWS($AF$2:AF345),$AF$2:$AF$1001,0),MATCH(COLUMNS($AM$1006:AO1006),$AM$1006:$BM$1006,0)), HYPERLINK("#",""), HYPERLINK(CONCATENATE("#metadata!", ADDRESS(INDEX($AH$2:$AH$1001,MATCH(ROWS($AF$2:AF345),$AF$2:$AF$1001,0),0), INDEX($AM$1004:$BM$1004,1,MATCH(COLUMNS($AM$1006:AO1006),$AM$1006:$BM$1006,0)))),"Fix")))</f>
        <v xml:space="preserve"> </v>
      </c>
      <c r="E345" s="4" t="str">
        <f ca="1">IF(OR(INDEX($AG$2:$AG$1001,MATCH(ROWS($AF$2:AF345),$AF$2:$AF$1001,0),1)&gt;=100000,INDEX($AM$1005:$BM$1005,1,MATCH(COLUMNS($AM$1006:AP1006),$AM$1006:$BM$1006,0))&gt;=100000), " ",IF(INDEX($AM$2:$BM$1001,MATCH(ROWS($AF$2:AF345),$AF$2:$AF$1001,0),MATCH(COLUMNS($AM$1006:AP1006),$AM$1006:$BM$1006,0)), HYPERLINK("#",""), HYPERLINK(CONCATENATE("#metadata!", ADDRESS(INDEX($AH$2:$AH$1001,MATCH(ROWS($AF$2:AF345),$AF$2:$AF$1001,0),0), INDEX($AM$1004:$BM$1004,1,MATCH(COLUMNS($AM$1006:AP1006),$AM$1006:$BM$1006,0)))),"Fix")))</f>
        <v xml:space="preserve"> </v>
      </c>
      <c r="F345" s="4" t="str">
        <f ca="1">IF(OR(INDEX($AG$2:$AG$1001,MATCH(ROWS($AF$2:AF345),$AF$2:$AF$1001,0),1)&gt;=100000,INDEX($AM$1005:$BM$1005,1,MATCH(COLUMNS($AM$1006:AQ1006),$AM$1006:$BM$1006,0))&gt;=100000), " ",IF(INDEX($AM$2:$BM$1001,MATCH(ROWS($AF$2:AF345),$AF$2:$AF$1001,0),MATCH(COLUMNS($AM$1006:AQ1006),$AM$1006:$BM$1006,0)), HYPERLINK("#",""), HYPERLINK(CONCATENATE("#metadata!", ADDRESS(INDEX($AH$2:$AH$1001,MATCH(ROWS($AF$2:AF345),$AF$2:$AF$1001,0),0), INDEX($AM$1004:$BM$1004,1,MATCH(COLUMNS($AM$1006:AQ1006),$AM$1006:$BM$1006,0)))),"Fix")))</f>
        <v xml:space="preserve"> </v>
      </c>
      <c r="G345" s="4" t="str">
        <f ca="1">IF(OR(INDEX($AG$2:$AG$1001,MATCH(ROWS($AF$2:AF345),$AF$2:$AF$1001,0),1)&gt;=100000,INDEX($AM$1005:$BM$1005,1,MATCH(COLUMNS($AM$1006:AR1006),$AM$1006:$BM$1006,0))&gt;=100000), " ",IF(INDEX($AM$2:$BM$1001,MATCH(ROWS($AF$2:AF345),$AF$2:$AF$1001,0),MATCH(COLUMNS($AM$1006:AR1006),$AM$1006:$BM$1006,0)), HYPERLINK("#",""), HYPERLINK(CONCATENATE("#metadata!", ADDRESS(INDEX($AH$2:$AH$1001,MATCH(ROWS($AF$2:AF345),$AF$2:$AF$1001,0),0), INDEX($AM$1004:$BM$1004,1,MATCH(COLUMNS($AM$1006:AR1006),$AM$1006:$BM$1006,0)))),"Fix")))</f>
        <v xml:space="preserve"> </v>
      </c>
      <c r="H345" s="4" t="str">
        <f ca="1">IF(OR(INDEX($AG$2:$AG$1001,MATCH(ROWS($AF$2:AF345),$AF$2:$AF$1001,0),1)&gt;=100000,INDEX($AM$1005:$BM$1005,1,MATCH(COLUMNS($AM$1006:AS1006),$AM$1006:$BM$1006,0))&gt;=100000), " ",IF(INDEX($AM$2:$BM$1001,MATCH(ROWS($AF$2:AF345),$AF$2:$AF$1001,0),MATCH(COLUMNS($AM$1006:AS1006),$AM$1006:$BM$1006,0)), HYPERLINK("#",""), HYPERLINK(CONCATENATE("#metadata!", ADDRESS(INDEX($AH$2:$AH$1001,MATCH(ROWS($AF$2:AF345),$AF$2:$AF$1001,0),0), INDEX($AM$1004:$BM$1004,1,MATCH(COLUMNS($AM$1006:AS1006),$AM$1006:$BM$1006,0)))),"Fix")))</f>
        <v xml:space="preserve"> </v>
      </c>
      <c r="I345" s="4" t="str">
        <f ca="1">IF(OR(INDEX($AG$2:$AG$1001,MATCH(ROWS($AF$2:AF345),$AF$2:$AF$1001,0),1)&gt;=100000,INDEX($AM$1005:$BM$1005,1,MATCH(COLUMNS($AM$1006:AT1006),$AM$1006:$BM$1006,0))&gt;=100000), " ",IF(INDEX($AM$2:$BM$1001,MATCH(ROWS($AF$2:AF345),$AF$2:$AF$1001,0),MATCH(COLUMNS($AM$1006:AT1006),$AM$1006:$BM$1006,0)), HYPERLINK("#",""), HYPERLINK(CONCATENATE("#metadata!", ADDRESS(INDEX($AH$2:$AH$1001,MATCH(ROWS($AF$2:AF345),$AF$2:$AF$1001,0),0), INDEX($AM$1004:$BM$1004,1,MATCH(COLUMNS($AM$1006:AT1006),$AM$1006:$BM$1006,0)))),"Fix")))</f>
        <v xml:space="preserve"> </v>
      </c>
      <c r="J345" s="4" t="str">
        <f ca="1">IF(OR(INDEX($AG$2:$AG$1001,MATCH(ROWS($AF$2:AF345),$AF$2:$AF$1001,0),1)&gt;=100000,INDEX($AM$1005:$BM$1005,1,MATCH(COLUMNS($AM$1006:AU1006),$AM$1006:$BM$1006,0))&gt;=100000), " ",IF(INDEX($AM$2:$BM$1001,MATCH(ROWS($AF$2:AF345),$AF$2:$AF$1001,0),MATCH(COLUMNS($AM$1006:AU1006),$AM$1006:$BM$1006,0)), HYPERLINK("#",""), HYPERLINK(CONCATENATE("#metadata!", ADDRESS(INDEX($AH$2:$AH$1001,MATCH(ROWS($AF$2:AF345),$AF$2:$AF$1001,0),0), INDEX($AM$1004:$BM$1004,1,MATCH(COLUMNS($AM$1006:AU1006),$AM$1006:$BM$1006,0)))),"Fix")))</f>
        <v xml:space="preserve"> </v>
      </c>
      <c r="K345" s="4" t="str">
        <f ca="1">IF(OR(INDEX($AG$2:$AG$1001,MATCH(ROWS($AF$2:AF345),$AF$2:$AF$1001,0),1)&gt;=100000,INDEX($AM$1005:$BM$1005,1,MATCH(COLUMNS($AM$1006:AV1006),$AM$1006:$BM$1006,0))&gt;=100000), " ",IF(INDEX($AM$2:$BM$1001,MATCH(ROWS($AF$2:AF345),$AF$2:$AF$1001,0),MATCH(COLUMNS($AM$1006:AV1006),$AM$1006:$BM$1006,0)), HYPERLINK("#",""), HYPERLINK(CONCATENATE("#metadata!", ADDRESS(INDEX($AH$2:$AH$1001,MATCH(ROWS($AF$2:AF345),$AF$2:$AF$1001,0),0), INDEX($AM$1004:$BM$1004,1,MATCH(COLUMNS($AM$1006:AV1006),$AM$1006:$BM$1006,0)))),"Fix")))</f>
        <v xml:space="preserve"> </v>
      </c>
      <c r="L345" s="4" t="str">
        <f ca="1">IF(OR(INDEX($AG$2:$AG$1001,MATCH(ROWS($AF$2:AF345),$AF$2:$AF$1001,0),1)&gt;=100000,INDEX($AM$1005:$BM$1005,1,MATCH(COLUMNS($AM$1006:AW1006),$AM$1006:$BM$1006,0))&gt;=100000), " ",IF(INDEX($AM$2:$BM$1001,MATCH(ROWS($AF$2:AF345),$AF$2:$AF$1001,0),MATCH(COLUMNS($AM$1006:AW1006),$AM$1006:$BM$1006,0)), HYPERLINK("#",""), HYPERLINK(CONCATENATE("#metadata!", ADDRESS(INDEX($AH$2:$AH$1001,MATCH(ROWS($AF$2:AF345),$AF$2:$AF$1001,0),0), INDEX($AM$1004:$BM$1004,1,MATCH(COLUMNS($AM$1006:AW1006),$AM$1006:$BM$1006,0)))),"Fix")))</f>
        <v xml:space="preserve"> </v>
      </c>
      <c r="M345" s="4" t="str">
        <f ca="1">IF(OR(INDEX($AG$2:$AG$1001,MATCH(ROWS($AF$2:AF345),$AF$2:$AF$1001,0),1)&gt;=100000,INDEX($AM$1005:$BM$1005,1,MATCH(COLUMNS($AM$1006:AX1006),$AM$1006:$BM$1006,0))&gt;=100000), " ",IF(INDEX($AM$2:$BM$1001,MATCH(ROWS($AF$2:AF345),$AF$2:$AF$1001,0),MATCH(COLUMNS($AM$1006:AX1006),$AM$1006:$BM$1006,0)), HYPERLINK("#",""), HYPERLINK(CONCATENATE("#metadata!", ADDRESS(INDEX($AH$2:$AH$1001,MATCH(ROWS($AF$2:AF345),$AF$2:$AF$1001,0),0), INDEX($AM$1004:$BM$1004,1,MATCH(COLUMNS($AM$1006:AX1006),$AM$1006:$BM$1006,0)))),"Fix")))</f>
        <v xml:space="preserve"> </v>
      </c>
      <c r="N345" s="4" t="str">
        <f ca="1">IF(OR(INDEX($AG$2:$AG$1001,MATCH(ROWS($AF$2:AF345),$AF$2:$AF$1001,0),1)&gt;=100000,INDEX($AM$1005:$BM$1005,1,MATCH(COLUMNS($AM$1006:AY1006),$AM$1006:$BM$1006,0))&gt;=100000), " ",IF(INDEX($AM$2:$BM$1001,MATCH(ROWS($AF$2:AF345),$AF$2:$AF$1001,0),MATCH(COLUMNS($AM$1006:AY1006),$AM$1006:$BM$1006,0)), HYPERLINK("#",""), HYPERLINK(CONCATENATE("#metadata!", ADDRESS(INDEX($AH$2:$AH$1001,MATCH(ROWS($AF$2:AF345),$AF$2:$AF$1001,0),0), INDEX($AM$1004:$BM$1004,1,MATCH(COLUMNS($AM$1006:AY1006),$AM$1006:$BM$1006,0)))),"Fix")))</f>
        <v xml:space="preserve"> </v>
      </c>
      <c r="O345" s="4" t="str">
        <f ca="1">IF(OR(INDEX($AG$2:$AG$1001,MATCH(ROWS($AF$2:AF345),$AF$2:$AF$1001,0),1)&gt;=100000,INDEX($AM$1005:$BM$1005,1,MATCH(COLUMNS($AM$1006:AZ1006),$AM$1006:$BM$1006,0))&gt;=100000), " ",IF(INDEX($AM$2:$BM$1001,MATCH(ROWS($AF$2:AF345),$AF$2:$AF$1001,0),MATCH(COLUMNS($AM$1006:AZ1006),$AM$1006:$BM$1006,0)), HYPERLINK("#",""), HYPERLINK(CONCATENATE("#metadata!", ADDRESS(INDEX($AH$2:$AH$1001,MATCH(ROWS($AF$2:AF345),$AF$2:$AF$1001,0),0), INDEX($AM$1004:$BM$1004,1,MATCH(COLUMNS($AM$1006:AZ1006),$AM$1006:$BM$1006,0)))),"Fix")))</f>
        <v xml:space="preserve"> </v>
      </c>
      <c r="P345" s="4" t="str">
        <f ca="1">IF(OR(INDEX($AG$2:$AG$1001,MATCH(ROWS($AF$2:AF345),$AF$2:$AF$1001,0),1)&gt;=100000,INDEX($AM$1005:$BM$1005,1,MATCH(COLUMNS($AM$1006:BA1006),$AM$1006:$BM$1006,0))&gt;=100000), " ",IF(INDEX($AM$2:$BM$1001,MATCH(ROWS($AF$2:AF345),$AF$2:$AF$1001,0),MATCH(COLUMNS($AM$1006:BA1006),$AM$1006:$BM$1006,0)), HYPERLINK("#",""), HYPERLINK(CONCATENATE("#metadata!", ADDRESS(INDEX($AH$2:$AH$1001,MATCH(ROWS($AF$2:AF345),$AF$2:$AF$1001,0),0), INDEX($AM$1004:$BM$1004,1,MATCH(COLUMNS($AM$1006:BA1006),$AM$1006:$BM$1006,0)))),"Fix")))</f>
        <v xml:space="preserve"> </v>
      </c>
      <c r="Q345" s="4" t="str">
        <f ca="1">IF(OR(INDEX($AG$2:$AG$1001,MATCH(ROWS($AF$2:AF345),$AF$2:$AF$1001,0),1)&gt;=100000,INDEX($AM$1005:$BM$1005,1,MATCH(COLUMNS($AM$1006:BB1006),$AM$1006:$BM$1006,0))&gt;=100000), " ",IF(INDEX($AM$2:$BM$1001,MATCH(ROWS($AF$2:AF345),$AF$2:$AF$1001,0),MATCH(COLUMNS($AM$1006:BB1006),$AM$1006:$BM$1006,0)), HYPERLINK("#",""), HYPERLINK(CONCATENATE("#metadata!", ADDRESS(INDEX($AH$2:$AH$1001,MATCH(ROWS($AF$2:AF345),$AF$2:$AF$1001,0),0), INDEX($AM$1004:$BM$1004,1,MATCH(COLUMNS($AM$1006:BB1006),$AM$1006:$BM$1006,0)))),"Fix")))</f>
        <v xml:space="preserve"> </v>
      </c>
      <c r="R345" s="4" t="str">
        <f ca="1">IF(OR(INDEX($AG$2:$AG$1001,MATCH(ROWS($AF$2:AF345),$AF$2:$AF$1001,0),1)&gt;=100000,INDEX($AM$1005:$BM$1005,1,MATCH(COLUMNS($AM$1006:BC1006),$AM$1006:$BM$1006,0))&gt;=100000), " ",IF(INDEX($AM$2:$BM$1001,MATCH(ROWS($AF$2:AF345),$AF$2:$AF$1001,0),MATCH(COLUMNS($AM$1006:BC1006),$AM$1006:$BM$1006,0)), HYPERLINK("#",""), HYPERLINK(CONCATENATE("#metadata!", ADDRESS(INDEX($AH$2:$AH$1001,MATCH(ROWS($AF$2:AF345),$AF$2:$AF$1001,0),0), INDEX($AM$1004:$BM$1004,1,MATCH(COLUMNS($AM$1006:BC1006),$AM$1006:$BM$1006,0)))),"Fix")))</f>
        <v xml:space="preserve"> </v>
      </c>
      <c r="S345" s="4" t="str">
        <f ca="1">IF(OR(INDEX($AG$2:$AG$1001,MATCH(ROWS($AF$2:AF345),$AF$2:$AF$1001,0),1)&gt;=100000,INDEX($AM$1005:$BM$1005,1,MATCH(COLUMNS($AM$1006:BD1006),$AM$1006:$BM$1006,0))&gt;=100000), " ",IF(INDEX($AM$2:$BM$1001,MATCH(ROWS($AF$2:AF345),$AF$2:$AF$1001,0),MATCH(COLUMNS($AM$1006:BD1006),$AM$1006:$BM$1006,0)), HYPERLINK("#",""), HYPERLINK(CONCATENATE("#metadata!", ADDRESS(INDEX($AH$2:$AH$1001,MATCH(ROWS($AF$2:AF345),$AF$2:$AF$1001,0),0), INDEX($AM$1004:$BM$1004,1,MATCH(COLUMNS($AM$1006:BD1006),$AM$1006:$BM$1006,0)))),"Fix")))</f>
        <v xml:space="preserve"> </v>
      </c>
      <c r="T345" s="4" t="str">
        <f ca="1">IF(OR(INDEX($AG$2:$AG$1001,MATCH(ROWS($AF$2:AF345),$AF$2:$AF$1001,0),1)&gt;=100000,INDEX($AM$1005:$BM$1005,1,MATCH(COLUMNS($AM$1006:BE1006),$AM$1006:$BM$1006,0))&gt;=100000), " ",IF(INDEX($AM$2:$BM$1001,MATCH(ROWS($AF$2:AF345),$AF$2:$AF$1001,0),MATCH(COLUMNS($AM$1006:BE1006),$AM$1006:$BM$1006,0)), HYPERLINK("#",""), HYPERLINK(CONCATENATE("#metadata!", ADDRESS(INDEX($AH$2:$AH$1001,MATCH(ROWS($AF$2:AF345),$AF$2:$AF$1001,0),0), INDEX($AM$1004:$BM$1004,1,MATCH(COLUMNS($AM$1006:BE1006),$AM$1006:$BM$1006,0)))),"Fix")))</f>
        <v xml:space="preserve"> </v>
      </c>
      <c r="U345" s="4" t="str">
        <f ca="1">IF(OR(INDEX($AG$2:$AG$1001,MATCH(ROWS($AF$2:AF345),$AF$2:$AF$1001,0),1)&gt;=100000,INDEX($AM$1005:$BM$1005,1,MATCH(COLUMNS($AM$1006:BF1006),$AM$1006:$BM$1006,0))&gt;=100000), " ",IF(INDEX($AM$2:$BM$1001,MATCH(ROWS($AF$2:AF345),$AF$2:$AF$1001,0),MATCH(COLUMNS($AM$1006:BF1006),$AM$1006:$BM$1006,0)), HYPERLINK("#",""), HYPERLINK(CONCATENATE("#metadata!", ADDRESS(INDEX($AH$2:$AH$1001,MATCH(ROWS($AF$2:AF345),$AF$2:$AF$1001,0),0), INDEX($AM$1004:$BM$1004,1,MATCH(COLUMNS($AM$1006:BF1006),$AM$1006:$BM$1006,0)))),"Fix")))</f>
        <v xml:space="preserve"> </v>
      </c>
      <c r="V345" s="4" t="str">
        <f ca="1">IF(OR(INDEX($AG$2:$AG$1001,MATCH(ROWS($AF$2:AF345),$AF$2:$AF$1001,0),1)&gt;=100000,INDEX($AM$1005:$BM$1005,1,MATCH(COLUMNS($AM$1006:BG1006),$AM$1006:$BM$1006,0))&gt;=100000), " ",IF(INDEX($AM$2:$BM$1001,MATCH(ROWS($AF$2:AF345),$AF$2:$AF$1001,0),MATCH(COLUMNS($AM$1006:BG1006),$AM$1006:$BM$1006,0)), HYPERLINK("#",""), HYPERLINK(CONCATENATE("#metadata!", ADDRESS(INDEX($AH$2:$AH$1001,MATCH(ROWS($AF$2:AF345),$AF$2:$AF$1001,0),0), INDEX($AM$1004:$BM$1004,1,MATCH(COLUMNS($AM$1006:BG1006),$AM$1006:$BM$1006,0)))),"Fix")))</f>
        <v xml:space="preserve"> </v>
      </c>
      <c r="W345" s="4" t="str">
        <f ca="1">IF(OR(INDEX($AG$2:$AG$1001,MATCH(ROWS($AF$2:AF345),$AF$2:$AF$1001,0),1)&gt;=100000,INDEX($AM$1005:$BM$1005,1,MATCH(COLUMNS($AM$1006:BH1006),$AM$1006:$BM$1006,0))&gt;=100000), " ",IF(INDEX($AM$2:$BM$1001,MATCH(ROWS($AF$2:AF345),$AF$2:$AF$1001,0),MATCH(COLUMNS($AM$1006:BH1006),$AM$1006:$BM$1006,0)), HYPERLINK("#",""), HYPERLINK(CONCATENATE("#metadata!", ADDRESS(INDEX($AH$2:$AH$1001,MATCH(ROWS($AF$2:AF345),$AF$2:$AF$1001,0),0), INDEX($AM$1004:$BM$1004,1,MATCH(COLUMNS($AM$1006:BH1006),$AM$1006:$BM$1006,0)))),"Fix")))</f>
        <v xml:space="preserve"> </v>
      </c>
      <c r="X345" s="4" t="str">
        <f ca="1">IF(OR(INDEX($AG$2:$AG$1001,MATCH(ROWS($AF$2:AF345),$AF$2:$AF$1001,0),1)&gt;=100000,INDEX($AM$1005:$BM$1005,1,MATCH(COLUMNS($AM$1006:BI1006),$AM$1006:$BM$1006,0))&gt;=100000), " ",IF(INDEX($AM$2:$BM$1001,MATCH(ROWS($AF$2:AF345),$AF$2:$AF$1001,0),MATCH(COLUMNS($AM$1006:BI1006),$AM$1006:$BM$1006,0)), HYPERLINK("#",""), HYPERLINK(CONCATENATE("#metadata!", ADDRESS(INDEX($AH$2:$AH$1001,MATCH(ROWS($AF$2:AF345),$AF$2:$AF$1001,0),0), INDEX($AM$1004:$BM$1004,1,MATCH(COLUMNS($AM$1006:BI1006),$AM$1006:$BM$1006,0)))),"Fix")))</f>
        <v xml:space="preserve"> </v>
      </c>
      <c r="Y345" s="4" t="str">
        <f ca="1">IF(OR(INDEX($AG$2:$AG$1001,MATCH(ROWS($AF$2:AF345),$AF$2:$AF$1001,0),1)&gt;=100000,INDEX($AM$1005:$BM$1005,1,MATCH(COLUMNS($AM$1006:BJ1006),$AM$1006:$BM$1006,0))&gt;=100000), " ",IF(INDEX($AM$2:$BM$1001,MATCH(ROWS($AF$2:AF345),$AF$2:$AF$1001,0),MATCH(COLUMNS($AM$1006:BJ1006),$AM$1006:$BM$1006,0)), HYPERLINK("#",""), HYPERLINK(CONCATENATE("#metadata!", ADDRESS(INDEX($AH$2:$AH$1001,MATCH(ROWS($AF$2:AF345),$AF$2:$AF$1001,0),0), INDEX($AM$1004:$BM$1004,1,MATCH(COLUMNS($AM$1006:BJ1006),$AM$1006:$BM$1006,0)))),"Fix")))</f>
        <v xml:space="preserve"> </v>
      </c>
      <c r="Z345" s="4" t="str">
        <f ca="1">IF(OR(INDEX($AG$2:$AG$1001,MATCH(ROWS($AF$2:AF345),$AF$2:$AF$1001,0),1)&gt;=100000,INDEX($AM$1005:$BM$1005,1,MATCH(COLUMNS($AM$1006:BK1006),$AM$1006:$BM$1006,0))&gt;=100000), " ",IF(INDEX($AM$2:$BM$1001,MATCH(ROWS($AF$2:AF345),$AF$2:$AF$1001,0),MATCH(COLUMNS($AM$1006:BK1006),$AM$1006:$BM$1006,0)), HYPERLINK("#",""), HYPERLINK(CONCATENATE("#metadata!", ADDRESS(INDEX($AH$2:$AH$1001,MATCH(ROWS($AF$2:AF345),$AF$2:$AF$1001,0),0), INDEX($AM$1004:$BM$1004,1,MATCH(COLUMNS($AM$1006:BK1006),$AM$1006:$BM$1006,0)))),"Fix")))</f>
        <v xml:space="preserve"> </v>
      </c>
      <c r="AA345" s="4" t="str">
        <f ca="1">IF(OR(INDEX($AG$2:$AG$1001,MATCH(ROWS($AF$2:AF345),$AF$2:$AF$1001,0),1)&gt;=100000,INDEX($AM$1005:$BM$1005,1,MATCH(COLUMNS($AM$1006:BL1006),$AM$1006:$BM$1006,0))&gt;=100000), " ",IF(INDEX($AM$2:$BM$1001,MATCH(ROWS($AF$2:AF345),$AF$2:$AF$1001,0),MATCH(COLUMNS($AM$1006:BL1006),$AM$1006:$BM$1006,0)), HYPERLINK("#",""), HYPERLINK(CONCATENATE("#metadata!", ADDRESS(INDEX($AH$2:$AH$1001,MATCH(ROWS($AF$2:AF345),$AF$2:$AF$1001,0),0), INDEX($AM$1004:$BM$1004,1,MATCH(COLUMNS($AM$1006:BL1006),$AM$1006:$BM$1006,0)))),"Fix")))</f>
        <v xml:space="preserve"> </v>
      </c>
      <c r="AB345" s="4" t="str">
        <f ca="1">IF(OR(INDEX($AG$2:$AG$1001,MATCH(ROWS($AF$2:AF345),$AF$2:$AF$1001,0),1)&gt;=100000,INDEX($AM$1005:$BM$1005,1,MATCH(COLUMNS($AM$1006:BM1006),$AM$1006:$BM$1006,0))&gt;=100000), " ",IF(INDEX($AM$2:$BM$1001,MATCH(ROWS($AF$2:AF345),$AF$2:$AF$1001,0),MATCH(COLUMNS($AM$1006:BM1006),$AM$1006:$BM$1006,0)), HYPERLINK("#",""), HYPERLINK(CONCATENATE("#metadata!", ADDRESS(INDEX($AH$2:$AH$1001,MATCH(ROWS($AF$2:AF345),$AF$2:$AF$1001,0),0), INDEX($AM$1004:$BM$1004,1,MATCH(COLUMNS($AM$1006:BM1006),$AM$1006:$BM$1006,0)))),"Fix")))</f>
        <v xml:space="preserve"> </v>
      </c>
      <c r="AF345">
        <v>344</v>
      </c>
      <c r="AG345">
        <v>100345</v>
      </c>
      <c r="AH345">
        <v>345</v>
      </c>
      <c r="AI345" t="b">
        <f t="shared" si="5"/>
        <v>1</v>
      </c>
      <c r="AJ345" t="b">
        <f>COUNTBLANK(metadata!B345:AB345)=COLUMNS(metadata!B345:AB345)</f>
        <v>1</v>
      </c>
      <c r="AK345" t="str">
        <v/>
      </c>
      <c r="AM345" t="b">
        <f ca="1">AND(IF(metadata!B345="",FALSE,TRUE),COUNTIF(metadata!B:B, metadata!B345) = 1,NOT(ISERROR(SUMPRODUCT(SEARCH(MID(metadata!B345,ROW(INDIRECT("1:"&amp;LEN(metadata!B345))), 1),"0123456789abcdefghijklmnopqrstuvwxyzABCDEFGHIJKLMNOPQRSTUVWXYZ.")))))</f>
        <v>0</v>
      </c>
      <c r="AN345" t="b">
        <f ca="1">OR(AND(IF(metadata!C345="",FALSE,TRUE),OR(EXACT(metadata!C345,"missing: not collected"),EXACT(metadata!C345,"missing: not provided"),EXACT(metadata!C345,"missing: restricted access"))),AND(IF(metadata!C345="",FALSE,TRUE),AND(AND(IFERROR(INT(LEFT(metadata!C345,4))&gt;1900,FALSE),IFERROR(INT(LEFT(metadata!C345,4))&lt;=YEAR(NOW()),FALSE)), OR(MID(metadata!C345,5,1)="", AND(AND(MID(metadata!C345,5,1)="-",IFERROR(INT(MID(metadata!C345,6,1))&gt;=0,FALSE),IFERROR(INT(MID(metadata!C345,6,1))&lt;=1,FALSE),NOT(MID(metadata!C345,7,1)=""),IFERROR(INT(MID(metadata!C345,6,2))&gt;=1,FALSE),IFERROR(INT(MID(metadata!C345,6,2))&lt;=12,FALSE)), OR(MID(metadata!C345,8,1)="", AND(AND(MID(metadata!C345,8,1)="-",IFERROR(INT(MID(metadata!C345,9,1))&gt;=0,FALSE),IFERROR(INT(MID(metadata!C345,9,1))&lt;=3,FALSE),NOT(MID(metadata!C345,10,1)=""),IFERROR(INT(MID(metadata!C345,9,2))&gt;=1,FALSE),IFERROR(INT(MID(metadata!C345,9,2))&lt;=31,FALSE)), OR(MID(metadata!C345,11,1)="", AND(AND(MID(metadata!C345,11,1)=" ",IFERROR(INT(MID(metadata!C345,12,1))&gt;=0,FALSE),IFERROR(INT(MID(metadata!C345,12,1))&lt;=2,FALSE),NOT(MID(metadata!C345,13,1)=""),IFERROR(INT(MID(metadata!C345,12,2))&gt;=0,FALSE),IFERROR(INT(MID(metadata!C345,12,2))&lt;=23,FALSE)), OR(MID(metadata!C345,14,1)="", AND(AND(MID(metadata!C345,14,1)=":",IFERROR(INT(MID(metadata!C345,15,1))&gt;=0,FALSE),IFERROR(INT(MID(metadata!C345,15,1))&lt;=5,FALSE),NOT(MID(metadata!C345,16,1)=""),IFERROR(INT(MID(metadata!C345,15,2))&gt;=0,FALSE),IFERROR(INT(MID(metadata!C345,15,2))&lt;=59,FALSE)), OR(MID(metadata!C345,17,1)="", AND(AND(MID(metadata!C345,17,1)=":",IFERROR(INT(MID(metadata!C345,18,1))&gt;=0,FALSE),IFERROR(INT(MID(metadata!C345,18,1))&lt;=5,FALSE),NOT(MID(metadata!C345,19,1)=""),IFERROR(INT(MID(metadata!C345,18,2))&gt;=0,FALSE),IFERROR(INT(MID(metadata!C345,18,2))&lt;=59,FALSE)), LEN(metadata!C345)&lt;=19)))))))))))))</f>
        <v>0</v>
      </c>
      <c r="AO345" t="b">
        <f>AND(IF(metadata!D345="",FALSE,TRUE),EXACT(metadata!D345,"Not applicable"))</f>
        <v>0</v>
      </c>
      <c r="AP345" t="b">
        <f>IF(metadata!E345="",FALSE,TRUE)</f>
        <v>0</v>
      </c>
      <c r="AQ345" t="b">
        <f>OR(AND(IF(metadata!F345="",FALSE,TRUE),OR(EXACT(metadata!F345,"missing: not collected"),EXACT(metadata!F345,"missing: not provided"))),AND(IF(metadata!F345="",FALSE,TRUE),OR(EXACT(metadata!F345,"TRUE"),EXACT(metadata!F345,"FALSE"))))</f>
        <v>0</v>
      </c>
      <c r="AR345" t="b">
        <f>OR(AND(IF(metadata!G345="",FALSE,TRUE),OR(EXACT(metadata!G345,"missing: not collected"),EXACT(metadata!G345,"missing: not provided"),EXACT(metadata!G345,"missing: restricted access"))),AND(IF(metadata!G345="",FALSE,ISNUMBER(VALUE(metadata!G345))),metadata!G345&gt;=-413))</f>
        <v>0</v>
      </c>
      <c r="AS345" t="b">
        <f>AND(IF(metadata!H345="",FALSE,TRUE),EXACT(metadata!H345,"meters"))</f>
        <v>0</v>
      </c>
      <c r="AT345" t="b">
        <f>AND(IF(metadata!I345="",FALSE,TRUE),OR(EXACT(metadata!I345,"Host-associated"),EXACT(metadata!I345,"Free-living")))</f>
        <v>0</v>
      </c>
      <c r="AU345" t="b">
        <f>AND(IF(metadata!J345="",FALSE,TRUE),OR(EXACT(metadata!J345,"Animal"),EXACT(metadata!J345,"Fungus"),EXACT(metadata!J345,"Plant"),EXACT(metadata!J345,"Saline"),EXACT(metadata!J345,"Non-saline")))</f>
        <v>0</v>
      </c>
      <c r="AV345" t="b">
        <f>AND(IF(metadata!K345="",FALSE,TRUE),OR(EXACT(metadata!K345,"Plant secretion"),EXACT(metadata!K345,"Plant rhizosphere"),EXACT(metadata!K345,"Plant surface"),EXACT(metadata!K345,"Plant corpus"),EXACT(metadata!K345,"Fungus surface"),EXACT(metadata!K345,"Fungus corpus"),EXACT(metadata!K345,"Animal surface"),EXACT(metadata!K345,"Animal proximal gut"),EXACT(metadata!K345,"Animal corpus"),EXACT(metadata!K345,"Animal distal gut"),EXACT(metadata!K345,"Animal secretion"),EXACT(metadata!K345,"Sub-surface (non-saline)"),EXACT(metadata!K345,"Surface (non-saline)"),EXACT(metadata!K345,"Water (non-saline)"),EXACT(metadata!K345,"Soil (non-saline)"),EXACT(metadata!K345,"Aerosol (non-saline)"),EXACT(metadata!K345,"Sediment (non-saline)"),EXACT(metadata!K345,"Surface (saline)"),EXACT(metadata!K345,"Water (saline)"),EXACT(metadata!K345,"Hypersaline (saline)"),EXACT(metadata!K345,"Aerosol (saline)"),EXACT(metadata!K345,"Sediment (saline)")))</f>
        <v>0</v>
      </c>
      <c r="AW345" t="b">
        <f>IF(metadata!L345="",FALSE,TRUE)</f>
        <v>0</v>
      </c>
      <c r="AX345" t="b">
        <f>IF(metadata!M345="",FALSE,TRUE)</f>
        <v>0</v>
      </c>
      <c r="AY345" t="b">
        <f>IF(metadata!N345="",FALSE,TRUE)</f>
        <v>0</v>
      </c>
      <c r="AZ345" t="b">
        <f>OR(AND(IF(metadata!O345="",FALSE,TRUE),OR(EXACT(metadata!O345,"missing: not collected"),EXACT(metadata!O345,"missing: not provided"),EXACT(metadata!O345,"missing: restricted access"))),AND(IF(metadata!O345="",FALSE,TRUE),OR(EXACT(metadata!O345,"air"),EXACT(metadata!O345,"built environment"),EXACT(metadata!O345,"host-associated"),EXACT(metadata!O345,"human-associated"),EXACT(metadata!O345,"human-skin"),EXACT(metadata!O345,"human-oral"),EXACT(metadata!O345,"human-gut"),EXACT(metadata!O345,"human-vaginal"),EXACT(metadata!O345,"microbial mat/biofilm"),EXACT(metadata!O345,"misc environment"),EXACT(metadata!O345,"plant-associated"),EXACT(metadata!O345,"sediment"),EXACT(metadata!O345,"soil"),EXACT(metadata!O345,"wastewater/sludge"),EXACT(metadata!O345,"water"))))</f>
        <v>0</v>
      </c>
      <c r="BA345" t="b">
        <f>IF(metadata!P345="",FALSE,TRUE)</f>
        <v>0</v>
      </c>
      <c r="BB345" t="b">
        <f>IF(metadata!Q345="",FALSE,TRUE)</f>
        <v>0</v>
      </c>
      <c r="BC345" t="b">
        <f>OR(AND(IF(metadata!R345="",FALSE,TRUE),OR(EXACT(metadata!R345,"missing: not collected"),EXACT(metadata!R345,"missing: not provided"),EXACT(metadata!R345,"missing: restricted access"))),AND(IF(metadata!R345="",FALSE,ISNUMBER(VALUE(metadata!R345))),metadata!R345&gt;=-90,metadata!R345&lt;=90))</f>
        <v>0</v>
      </c>
      <c r="BD345" t="b">
        <f>AND(IF(metadata!S345="",FALSE,TRUE),EXACT(metadata!S345,"Decimal degrees"))</f>
        <v>0</v>
      </c>
      <c r="BE345" t="b">
        <f>OR(AND(IF(metadata!T345="",FALSE,TRUE),OR(EXACT(metadata!T345,"missing: not collected"),EXACT(metadata!T345,"missing: not provided"),EXACT(metadata!T345,"missing: restricted access"))),AND(IF(metadata!T345="",FALSE,ISNUMBER(VALUE(metadata!T345))),metadata!T345&gt;=-180,metadata!T345&lt;=180))</f>
        <v>0</v>
      </c>
      <c r="BF345" t="b">
        <f>AND(IF(metadata!U345="",FALSE,TRUE),EXACT(metadata!U345,"Decimal degrees"))</f>
        <v>0</v>
      </c>
      <c r="BG345" t="b">
        <f>IF(metadata!V345="",FALSE,TRUE)</f>
        <v>0</v>
      </c>
      <c r="BH345" t="b">
        <f>OR(AND(IF(metadata!W345="",FALSE,TRUE),OR(EXACT(metadata!W345,"missing: not collected"),EXACT(metadata!W345,"missing: not provided"),EXACT(metadata!W345,"missing: restricted access"))),AND(IF(metadata!W345="",FALSE,TRUE),OR(EXACT(metadata!W345,"TRUE"),EXACT(metadata!W345,"FALSE"))))</f>
        <v>0</v>
      </c>
      <c r="BI345" t="b">
        <f>AND(IF(metadata!X345="",FALSE,TRUE),EXACT(metadata!X345,"other"))</f>
        <v>0</v>
      </c>
      <c r="BJ345" t="b">
        <f>IF(metadata!Y345="",FALSE,TRUE)</f>
        <v>0</v>
      </c>
      <c r="BK345" t="b">
        <f>OR(AND(IF(metadata!Z345="",FALSE,TRUE),OR(EXACT(metadata!Z345,"missing: not collected"),EXACT(metadata!Z345,"missing: not provided"))),AND(IF(metadata!Z345="",FALSE,IF(ISERROR(INT(metadata!Z345)),FALSE,INT(metadata!Z345)=metadata!Z345)),metadata!Z345&gt;0))</f>
        <v>0</v>
      </c>
      <c r="BL345" t="b">
        <f>AND(IF(metadata!AA345="",FALSE,TRUE),EXACT(metadata!AA345,"Not applicable"))</f>
        <v>0</v>
      </c>
      <c r="BM345" t="b">
        <f>IF(metadata!AB345="",FALSE,TRUE)</f>
        <v>0</v>
      </c>
    </row>
    <row r="346" spans="1:65" x14ac:dyDescent="0.2">
      <c r="A346" s="5" t="str">
        <f ca="1">IF(B346=" "," ",HYPERLINK(CONCATENATE("#metadata!",ADDRESS(INDEX($AH$2:$AH$1001,MATCH(ROWS($AF$2:AF346),$AF$2:$AF$1001,0),0),1)),INDEX($AK$2:$AK$1001,MATCH(ROWS($AF$2:AF346),$AF$2:$AF$1001,0),0)))</f>
        <v xml:space="preserve"> </v>
      </c>
      <c r="B346" s="4" t="str">
        <f ca="1">IF(OR(INDEX($AG$2:$AG$1001,MATCH(ROWS($AF$2:AF346),$AF$2:$AF$1001,0),1)&gt;=100000,INDEX($AM$1005:$BM$1005,1,MATCH(COLUMNS($AM$1006:AM1006),$AM$1006:$BM$1006,0))&gt;=100000), " ",IF(INDEX($AM$2:$BM$1001,MATCH(ROWS($AF$2:AF346),$AF$2:$AF$1001,0),MATCH(COLUMNS($AM$1006:AM1006),$AM$1006:$BM$1006,0)), HYPERLINK("#",""), HYPERLINK(CONCATENATE("#metadata!", ADDRESS(INDEX($AH$2:$AH$1001,MATCH(ROWS($AF$2:AF346),$AF$2:$AF$1001,0),0), INDEX($AM$1004:$BM$1004,1,MATCH(COLUMNS($AM$1006:AM1006),$AM$1006:$BM$1006,0)))),"Fix")))</f>
        <v xml:space="preserve"> </v>
      </c>
      <c r="C346" s="4" t="str">
        <f ca="1">IF(OR(INDEX($AG$2:$AG$1001,MATCH(ROWS($AF$2:AF346),$AF$2:$AF$1001,0),1)&gt;=100000,INDEX($AM$1005:$BM$1005,1,MATCH(COLUMNS($AM$1006:AN1006),$AM$1006:$BM$1006,0))&gt;=100000), " ",IF(INDEX($AM$2:$BM$1001,MATCH(ROWS($AF$2:AF346),$AF$2:$AF$1001,0),MATCH(COLUMNS($AM$1006:AN1006),$AM$1006:$BM$1006,0)), HYPERLINK("#",""), HYPERLINK(CONCATENATE("#metadata!", ADDRESS(INDEX($AH$2:$AH$1001,MATCH(ROWS($AF$2:AF346),$AF$2:$AF$1001,0),0), INDEX($AM$1004:$BM$1004,1,MATCH(COLUMNS($AM$1006:AN1006),$AM$1006:$BM$1006,0)))),"Fix")))</f>
        <v xml:space="preserve"> </v>
      </c>
      <c r="D346" s="4" t="str">
        <f ca="1">IF(OR(INDEX($AG$2:$AG$1001,MATCH(ROWS($AF$2:AF346),$AF$2:$AF$1001,0),1)&gt;=100000,INDEX($AM$1005:$BM$1005,1,MATCH(COLUMNS($AM$1006:AO1006),$AM$1006:$BM$1006,0))&gt;=100000), " ",IF(INDEX($AM$2:$BM$1001,MATCH(ROWS($AF$2:AF346),$AF$2:$AF$1001,0),MATCH(COLUMNS($AM$1006:AO1006),$AM$1006:$BM$1006,0)), HYPERLINK("#",""), HYPERLINK(CONCATENATE("#metadata!", ADDRESS(INDEX($AH$2:$AH$1001,MATCH(ROWS($AF$2:AF346),$AF$2:$AF$1001,0),0), INDEX($AM$1004:$BM$1004,1,MATCH(COLUMNS($AM$1006:AO1006),$AM$1006:$BM$1006,0)))),"Fix")))</f>
        <v xml:space="preserve"> </v>
      </c>
      <c r="E346" s="4" t="str">
        <f ca="1">IF(OR(INDEX($AG$2:$AG$1001,MATCH(ROWS($AF$2:AF346),$AF$2:$AF$1001,0),1)&gt;=100000,INDEX($AM$1005:$BM$1005,1,MATCH(COLUMNS($AM$1006:AP1006),$AM$1006:$BM$1006,0))&gt;=100000), " ",IF(INDEX($AM$2:$BM$1001,MATCH(ROWS($AF$2:AF346),$AF$2:$AF$1001,0),MATCH(COLUMNS($AM$1006:AP1006),$AM$1006:$BM$1006,0)), HYPERLINK("#",""), HYPERLINK(CONCATENATE("#metadata!", ADDRESS(INDEX($AH$2:$AH$1001,MATCH(ROWS($AF$2:AF346),$AF$2:$AF$1001,0),0), INDEX($AM$1004:$BM$1004,1,MATCH(COLUMNS($AM$1006:AP1006),$AM$1006:$BM$1006,0)))),"Fix")))</f>
        <v xml:space="preserve"> </v>
      </c>
      <c r="F346" s="4" t="str">
        <f ca="1">IF(OR(INDEX($AG$2:$AG$1001,MATCH(ROWS($AF$2:AF346),$AF$2:$AF$1001,0),1)&gt;=100000,INDEX($AM$1005:$BM$1005,1,MATCH(COLUMNS($AM$1006:AQ1006),$AM$1006:$BM$1006,0))&gt;=100000), " ",IF(INDEX($AM$2:$BM$1001,MATCH(ROWS($AF$2:AF346),$AF$2:$AF$1001,0),MATCH(COLUMNS($AM$1006:AQ1006),$AM$1006:$BM$1006,0)), HYPERLINK("#",""), HYPERLINK(CONCATENATE("#metadata!", ADDRESS(INDEX($AH$2:$AH$1001,MATCH(ROWS($AF$2:AF346),$AF$2:$AF$1001,0),0), INDEX($AM$1004:$BM$1004,1,MATCH(COLUMNS($AM$1006:AQ1006),$AM$1006:$BM$1006,0)))),"Fix")))</f>
        <v xml:space="preserve"> </v>
      </c>
      <c r="G346" s="4" t="str">
        <f ca="1">IF(OR(INDEX($AG$2:$AG$1001,MATCH(ROWS($AF$2:AF346),$AF$2:$AF$1001,0),1)&gt;=100000,INDEX($AM$1005:$BM$1005,1,MATCH(COLUMNS($AM$1006:AR1006),$AM$1006:$BM$1006,0))&gt;=100000), " ",IF(INDEX($AM$2:$BM$1001,MATCH(ROWS($AF$2:AF346),$AF$2:$AF$1001,0),MATCH(COLUMNS($AM$1006:AR1006),$AM$1006:$BM$1006,0)), HYPERLINK("#",""), HYPERLINK(CONCATENATE("#metadata!", ADDRESS(INDEX($AH$2:$AH$1001,MATCH(ROWS($AF$2:AF346),$AF$2:$AF$1001,0),0), INDEX($AM$1004:$BM$1004,1,MATCH(COLUMNS($AM$1006:AR1006),$AM$1006:$BM$1006,0)))),"Fix")))</f>
        <v xml:space="preserve"> </v>
      </c>
      <c r="H346" s="4" t="str">
        <f ca="1">IF(OR(INDEX($AG$2:$AG$1001,MATCH(ROWS($AF$2:AF346),$AF$2:$AF$1001,0),1)&gt;=100000,INDEX($AM$1005:$BM$1005,1,MATCH(COLUMNS($AM$1006:AS1006),$AM$1006:$BM$1006,0))&gt;=100000), " ",IF(INDEX($AM$2:$BM$1001,MATCH(ROWS($AF$2:AF346),$AF$2:$AF$1001,0),MATCH(COLUMNS($AM$1006:AS1006),$AM$1006:$BM$1006,0)), HYPERLINK("#",""), HYPERLINK(CONCATENATE("#metadata!", ADDRESS(INDEX($AH$2:$AH$1001,MATCH(ROWS($AF$2:AF346),$AF$2:$AF$1001,0),0), INDEX($AM$1004:$BM$1004,1,MATCH(COLUMNS($AM$1006:AS1006),$AM$1006:$BM$1006,0)))),"Fix")))</f>
        <v xml:space="preserve"> </v>
      </c>
      <c r="I346" s="4" t="str">
        <f ca="1">IF(OR(INDEX($AG$2:$AG$1001,MATCH(ROWS($AF$2:AF346),$AF$2:$AF$1001,0),1)&gt;=100000,INDEX($AM$1005:$BM$1005,1,MATCH(COLUMNS($AM$1006:AT1006),$AM$1006:$BM$1006,0))&gt;=100000), " ",IF(INDEX($AM$2:$BM$1001,MATCH(ROWS($AF$2:AF346),$AF$2:$AF$1001,0),MATCH(COLUMNS($AM$1006:AT1006),$AM$1006:$BM$1006,0)), HYPERLINK("#",""), HYPERLINK(CONCATENATE("#metadata!", ADDRESS(INDEX($AH$2:$AH$1001,MATCH(ROWS($AF$2:AF346),$AF$2:$AF$1001,0),0), INDEX($AM$1004:$BM$1004,1,MATCH(COLUMNS($AM$1006:AT1006),$AM$1006:$BM$1006,0)))),"Fix")))</f>
        <v xml:space="preserve"> </v>
      </c>
      <c r="J346" s="4" t="str">
        <f ca="1">IF(OR(INDEX($AG$2:$AG$1001,MATCH(ROWS($AF$2:AF346),$AF$2:$AF$1001,0),1)&gt;=100000,INDEX($AM$1005:$BM$1005,1,MATCH(COLUMNS($AM$1006:AU1006),$AM$1006:$BM$1006,0))&gt;=100000), " ",IF(INDEX($AM$2:$BM$1001,MATCH(ROWS($AF$2:AF346),$AF$2:$AF$1001,0),MATCH(COLUMNS($AM$1006:AU1006),$AM$1006:$BM$1006,0)), HYPERLINK("#",""), HYPERLINK(CONCATENATE("#metadata!", ADDRESS(INDEX($AH$2:$AH$1001,MATCH(ROWS($AF$2:AF346),$AF$2:$AF$1001,0),0), INDEX($AM$1004:$BM$1004,1,MATCH(COLUMNS($AM$1006:AU1006),$AM$1006:$BM$1006,0)))),"Fix")))</f>
        <v xml:space="preserve"> </v>
      </c>
      <c r="K346" s="4" t="str">
        <f ca="1">IF(OR(INDEX($AG$2:$AG$1001,MATCH(ROWS($AF$2:AF346),$AF$2:$AF$1001,0),1)&gt;=100000,INDEX($AM$1005:$BM$1005,1,MATCH(COLUMNS($AM$1006:AV1006),$AM$1006:$BM$1006,0))&gt;=100000), " ",IF(INDEX($AM$2:$BM$1001,MATCH(ROWS($AF$2:AF346),$AF$2:$AF$1001,0),MATCH(COLUMNS($AM$1006:AV1006),$AM$1006:$BM$1006,0)), HYPERLINK("#",""), HYPERLINK(CONCATENATE("#metadata!", ADDRESS(INDEX($AH$2:$AH$1001,MATCH(ROWS($AF$2:AF346),$AF$2:$AF$1001,0),0), INDEX($AM$1004:$BM$1004,1,MATCH(COLUMNS($AM$1006:AV1006),$AM$1006:$BM$1006,0)))),"Fix")))</f>
        <v xml:space="preserve"> </v>
      </c>
      <c r="L346" s="4" t="str">
        <f ca="1">IF(OR(INDEX($AG$2:$AG$1001,MATCH(ROWS($AF$2:AF346),$AF$2:$AF$1001,0),1)&gt;=100000,INDEX($AM$1005:$BM$1005,1,MATCH(COLUMNS($AM$1006:AW1006),$AM$1006:$BM$1006,0))&gt;=100000), " ",IF(INDEX($AM$2:$BM$1001,MATCH(ROWS($AF$2:AF346),$AF$2:$AF$1001,0),MATCH(COLUMNS($AM$1006:AW1006),$AM$1006:$BM$1006,0)), HYPERLINK("#",""), HYPERLINK(CONCATENATE("#metadata!", ADDRESS(INDEX($AH$2:$AH$1001,MATCH(ROWS($AF$2:AF346),$AF$2:$AF$1001,0),0), INDEX($AM$1004:$BM$1004,1,MATCH(COLUMNS($AM$1006:AW1006),$AM$1006:$BM$1006,0)))),"Fix")))</f>
        <v xml:space="preserve"> </v>
      </c>
      <c r="M346" s="4" t="str">
        <f ca="1">IF(OR(INDEX($AG$2:$AG$1001,MATCH(ROWS($AF$2:AF346),$AF$2:$AF$1001,0),1)&gt;=100000,INDEX($AM$1005:$BM$1005,1,MATCH(COLUMNS($AM$1006:AX1006),$AM$1006:$BM$1006,0))&gt;=100000), " ",IF(INDEX($AM$2:$BM$1001,MATCH(ROWS($AF$2:AF346),$AF$2:$AF$1001,0),MATCH(COLUMNS($AM$1006:AX1006),$AM$1006:$BM$1006,0)), HYPERLINK("#",""), HYPERLINK(CONCATENATE("#metadata!", ADDRESS(INDEX($AH$2:$AH$1001,MATCH(ROWS($AF$2:AF346),$AF$2:$AF$1001,0),0), INDEX($AM$1004:$BM$1004,1,MATCH(COLUMNS($AM$1006:AX1006),$AM$1006:$BM$1006,0)))),"Fix")))</f>
        <v xml:space="preserve"> </v>
      </c>
      <c r="N346" s="4" t="str">
        <f ca="1">IF(OR(INDEX($AG$2:$AG$1001,MATCH(ROWS($AF$2:AF346),$AF$2:$AF$1001,0),1)&gt;=100000,INDEX($AM$1005:$BM$1005,1,MATCH(COLUMNS($AM$1006:AY1006),$AM$1006:$BM$1006,0))&gt;=100000), " ",IF(INDEX($AM$2:$BM$1001,MATCH(ROWS($AF$2:AF346),$AF$2:$AF$1001,0),MATCH(COLUMNS($AM$1006:AY1006),$AM$1006:$BM$1006,0)), HYPERLINK("#",""), HYPERLINK(CONCATENATE("#metadata!", ADDRESS(INDEX($AH$2:$AH$1001,MATCH(ROWS($AF$2:AF346),$AF$2:$AF$1001,0),0), INDEX($AM$1004:$BM$1004,1,MATCH(COLUMNS($AM$1006:AY1006),$AM$1006:$BM$1006,0)))),"Fix")))</f>
        <v xml:space="preserve"> </v>
      </c>
      <c r="O346" s="4" t="str">
        <f ca="1">IF(OR(INDEX($AG$2:$AG$1001,MATCH(ROWS($AF$2:AF346),$AF$2:$AF$1001,0),1)&gt;=100000,INDEX($AM$1005:$BM$1005,1,MATCH(COLUMNS($AM$1006:AZ1006),$AM$1006:$BM$1006,0))&gt;=100000), " ",IF(INDEX($AM$2:$BM$1001,MATCH(ROWS($AF$2:AF346),$AF$2:$AF$1001,0),MATCH(COLUMNS($AM$1006:AZ1006),$AM$1006:$BM$1006,0)), HYPERLINK("#",""), HYPERLINK(CONCATENATE("#metadata!", ADDRESS(INDEX($AH$2:$AH$1001,MATCH(ROWS($AF$2:AF346),$AF$2:$AF$1001,0),0), INDEX($AM$1004:$BM$1004,1,MATCH(COLUMNS($AM$1006:AZ1006),$AM$1006:$BM$1006,0)))),"Fix")))</f>
        <v xml:space="preserve"> </v>
      </c>
      <c r="P346" s="4" t="str">
        <f ca="1">IF(OR(INDEX($AG$2:$AG$1001,MATCH(ROWS($AF$2:AF346),$AF$2:$AF$1001,0),1)&gt;=100000,INDEX($AM$1005:$BM$1005,1,MATCH(COLUMNS($AM$1006:BA1006),$AM$1006:$BM$1006,0))&gt;=100000), " ",IF(INDEX($AM$2:$BM$1001,MATCH(ROWS($AF$2:AF346),$AF$2:$AF$1001,0),MATCH(COLUMNS($AM$1006:BA1006),$AM$1006:$BM$1006,0)), HYPERLINK("#",""), HYPERLINK(CONCATENATE("#metadata!", ADDRESS(INDEX($AH$2:$AH$1001,MATCH(ROWS($AF$2:AF346),$AF$2:$AF$1001,0),0), INDEX($AM$1004:$BM$1004,1,MATCH(COLUMNS($AM$1006:BA1006),$AM$1006:$BM$1006,0)))),"Fix")))</f>
        <v xml:space="preserve"> </v>
      </c>
      <c r="Q346" s="4" t="str">
        <f ca="1">IF(OR(INDEX($AG$2:$AG$1001,MATCH(ROWS($AF$2:AF346),$AF$2:$AF$1001,0),1)&gt;=100000,INDEX($AM$1005:$BM$1005,1,MATCH(COLUMNS($AM$1006:BB1006),$AM$1006:$BM$1006,0))&gt;=100000), " ",IF(INDEX($AM$2:$BM$1001,MATCH(ROWS($AF$2:AF346),$AF$2:$AF$1001,0),MATCH(COLUMNS($AM$1006:BB1006),$AM$1006:$BM$1006,0)), HYPERLINK("#",""), HYPERLINK(CONCATENATE("#metadata!", ADDRESS(INDEX($AH$2:$AH$1001,MATCH(ROWS($AF$2:AF346),$AF$2:$AF$1001,0),0), INDEX($AM$1004:$BM$1004,1,MATCH(COLUMNS($AM$1006:BB1006),$AM$1006:$BM$1006,0)))),"Fix")))</f>
        <v xml:space="preserve"> </v>
      </c>
      <c r="R346" s="4" t="str">
        <f ca="1">IF(OR(INDEX($AG$2:$AG$1001,MATCH(ROWS($AF$2:AF346),$AF$2:$AF$1001,0),1)&gt;=100000,INDEX($AM$1005:$BM$1005,1,MATCH(COLUMNS($AM$1006:BC1006),$AM$1006:$BM$1006,0))&gt;=100000), " ",IF(INDEX($AM$2:$BM$1001,MATCH(ROWS($AF$2:AF346),$AF$2:$AF$1001,0),MATCH(COLUMNS($AM$1006:BC1006),$AM$1006:$BM$1006,0)), HYPERLINK("#",""), HYPERLINK(CONCATENATE("#metadata!", ADDRESS(INDEX($AH$2:$AH$1001,MATCH(ROWS($AF$2:AF346),$AF$2:$AF$1001,0),0), INDEX($AM$1004:$BM$1004,1,MATCH(COLUMNS($AM$1006:BC1006),$AM$1006:$BM$1006,0)))),"Fix")))</f>
        <v xml:space="preserve"> </v>
      </c>
      <c r="S346" s="4" t="str">
        <f ca="1">IF(OR(INDEX($AG$2:$AG$1001,MATCH(ROWS($AF$2:AF346),$AF$2:$AF$1001,0),1)&gt;=100000,INDEX($AM$1005:$BM$1005,1,MATCH(COLUMNS($AM$1006:BD1006),$AM$1006:$BM$1006,0))&gt;=100000), " ",IF(INDEX($AM$2:$BM$1001,MATCH(ROWS($AF$2:AF346),$AF$2:$AF$1001,0),MATCH(COLUMNS($AM$1006:BD1006),$AM$1006:$BM$1006,0)), HYPERLINK("#",""), HYPERLINK(CONCATENATE("#metadata!", ADDRESS(INDEX($AH$2:$AH$1001,MATCH(ROWS($AF$2:AF346),$AF$2:$AF$1001,0),0), INDEX($AM$1004:$BM$1004,1,MATCH(COLUMNS($AM$1006:BD1006),$AM$1006:$BM$1006,0)))),"Fix")))</f>
        <v xml:space="preserve"> </v>
      </c>
      <c r="T346" s="4" t="str">
        <f ca="1">IF(OR(INDEX($AG$2:$AG$1001,MATCH(ROWS($AF$2:AF346),$AF$2:$AF$1001,0),1)&gt;=100000,INDEX($AM$1005:$BM$1005,1,MATCH(COLUMNS($AM$1006:BE1006),$AM$1006:$BM$1006,0))&gt;=100000), " ",IF(INDEX($AM$2:$BM$1001,MATCH(ROWS($AF$2:AF346),$AF$2:$AF$1001,0),MATCH(COLUMNS($AM$1006:BE1006),$AM$1006:$BM$1006,0)), HYPERLINK("#",""), HYPERLINK(CONCATENATE("#metadata!", ADDRESS(INDEX($AH$2:$AH$1001,MATCH(ROWS($AF$2:AF346),$AF$2:$AF$1001,0),0), INDEX($AM$1004:$BM$1004,1,MATCH(COLUMNS($AM$1006:BE1006),$AM$1006:$BM$1006,0)))),"Fix")))</f>
        <v xml:space="preserve"> </v>
      </c>
      <c r="U346" s="4" t="str">
        <f ca="1">IF(OR(INDEX($AG$2:$AG$1001,MATCH(ROWS($AF$2:AF346),$AF$2:$AF$1001,0),1)&gt;=100000,INDEX($AM$1005:$BM$1005,1,MATCH(COLUMNS($AM$1006:BF1006),$AM$1006:$BM$1006,0))&gt;=100000), " ",IF(INDEX($AM$2:$BM$1001,MATCH(ROWS($AF$2:AF346),$AF$2:$AF$1001,0),MATCH(COLUMNS($AM$1006:BF1006),$AM$1006:$BM$1006,0)), HYPERLINK("#",""), HYPERLINK(CONCATENATE("#metadata!", ADDRESS(INDEX($AH$2:$AH$1001,MATCH(ROWS($AF$2:AF346),$AF$2:$AF$1001,0),0), INDEX($AM$1004:$BM$1004,1,MATCH(COLUMNS($AM$1006:BF1006),$AM$1006:$BM$1006,0)))),"Fix")))</f>
        <v xml:space="preserve"> </v>
      </c>
      <c r="V346" s="4" t="str">
        <f ca="1">IF(OR(INDEX($AG$2:$AG$1001,MATCH(ROWS($AF$2:AF346),$AF$2:$AF$1001,0),1)&gt;=100000,INDEX($AM$1005:$BM$1005,1,MATCH(COLUMNS($AM$1006:BG1006),$AM$1006:$BM$1006,0))&gt;=100000), " ",IF(INDEX($AM$2:$BM$1001,MATCH(ROWS($AF$2:AF346),$AF$2:$AF$1001,0),MATCH(COLUMNS($AM$1006:BG1006),$AM$1006:$BM$1006,0)), HYPERLINK("#",""), HYPERLINK(CONCATENATE("#metadata!", ADDRESS(INDEX($AH$2:$AH$1001,MATCH(ROWS($AF$2:AF346),$AF$2:$AF$1001,0),0), INDEX($AM$1004:$BM$1004,1,MATCH(COLUMNS($AM$1006:BG1006),$AM$1006:$BM$1006,0)))),"Fix")))</f>
        <v xml:space="preserve"> </v>
      </c>
      <c r="W346" s="4" t="str">
        <f ca="1">IF(OR(INDEX($AG$2:$AG$1001,MATCH(ROWS($AF$2:AF346),$AF$2:$AF$1001,0),1)&gt;=100000,INDEX($AM$1005:$BM$1005,1,MATCH(COLUMNS($AM$1006:BH1006),$AM$1006:$BM$1006,0))&gt;=100000), " ",IF(INDEX($AM$2:$BM$1001,MATCH(ROWS($AF$2:AF346),$AF$2:$AF$1001,0),MATCH(COLUMNS($AM$1006:BH1006),$AM$1006:$BM$1006,0)), HYPERLINK("#",""), HYPERLINK(CONCATENATE("#metadata!", ADDRESS(INDEX($AH$2:$AH$1001,MATCH(ROWS($AF$2:AF346),$AF$2:$AF$1001,0),0), INDEX($AM$1004:$BM$1004,1,MATCH(COLUMNS($AM$1006:BH1006),$AM$1006:$BM$1006,0)))),"Fix")))</f>
        <v xml:space="preserve"> </v>
      </c>
      <c r="X346" s="4" t="str">
        <f ca="1">IF(OR(INDEX($AG$2:$AG$1001,MATCH(ROWS($AF$2:AF346),$AF$2:$AF$1001,0),1)&gt;=100000,INDEX($AM$1005:$BM$1005,1,MATCH(COLUMNS($AM$1006:BI1006),$AM$1006:$BM$1006,0))&gt;=100000), " ",IF(INDEX($AM$2:$BM$1001,MATCH(ROWS($AF$2:AF346),$AF$2:$AF$1001,0),MATCH(COLUMNS($AM$1006:BI1006),$AM$1006:$BM$1006,0)), HYPERLINK("#",""), HYPERLINK(CONCATENATE("#metadata!", ADDRESS(INDEX($AH$2:$AH$1001,MATCH(ROWS($AF$2:AF346),$AF$2:$AF$1001,0),0), INDEX($AM$1004:$BM$1004,1,MATCH(COLUMNS($AM$1006:BI1006),$AM$1006:$BM$1006,0)))),"Fix")))</f>
        <v xml:space="preserve"> </v>
      </c>
      <c r="Y346" s="4" t="str">
        <f ca="1">IF(OR(INDEX($AG$2:$AG$1001,MATCH(ROWS($AF$2:AF346),$AF$2:$AF$1001,0),1)&gt;=100000,INDEX($AM$1005:$BM$1005,1,MATCH(COLUMNS($AM$1006:BJ1006),$AM$1006:$BM$1006,0))&gt;=100000), " ",IF(INDEX($AM$2:$BM$1001,MATCH(ROWS($AF$2:AF346),$AF$2:$AF$1001,0),MATCH(COLUMNS($AM$1006:BJ1006),$AM$1006:$BM$1006,0)), HYPERLINK("#",""), HYPERLINK(CONCATENATE("#metadata!", ADDRESS(INDEX($AH$2:$AH$1001,MATCH(ROWS($AF$2:AF346),$AF$2:$AF$1001,0),0), INDEX($AM$1004:$BM$1004,1,MATCH(COLUMNS($AM$1006:BJ1006),$AM$1006:$BM$1006,0)))),"Fix")))</f>
        <v xml:space="preserve"> </v>
      </c>
      <c r="Z346" s="4" t="str">
        <f ca="1">IF(OR(INDEX($AG$2:$AG$1001,MATCH(ROWS($AF$2:AF346),$AF$2:$AF$1001,0),1)&gt;=100000,INDEX($AM$1005:$BM$1005,1,MATCH(COLUMNS($AM$1006:BK1006),$AM$1006:$BM$1006,0))&gt;=100000), " ",IF(INDEX($AM$2:$BM$1001,MATCH(ROWS($AF$2:AF346),$AF$2:$AF$1001,0),MATCH(COLUMNS($AM$1006:BK1006),$AM$1006:$BM$1006,0)), HYPERLINK("#",""), HYPERLINK(CONCATENATE("#metadata!", ADDRESS(INDEX($AH$2:$AH$1001,MATCH(ROWS($AF$2:AF346),$AF$2:$AF$1001,0),0), INDEX($AM$1004:$BM$1004,1,MATCH(COLUMNS($AM$1006:BK1006),$AM$1006:$BM$1006,0)))),"Fix")))</f>
        <v xml:space="preserve"> </v>
      </c>
      <c r="AA346" s="4" t="str">
        <f ca="1">IF(OR(INDEX($AG$2:$AG$1001,MATCH(ROWS($AF$2:AF346),$AF$2:$AF$1001,0),1)&gt;=100000,INDEX($AM$1005:$BM$1005,1,MATCH(COLUMNS($AM$1006:BL1006),$AM$1006:$BM$1006,0))&gt;=100000), " ",IF(INDEX($AM$2:$BM$1001,MATCH(ROWS($AF$2:AF346),$AF$2:$AF$1001,0),MATCH(COLUMNS($AM$1006:BL1006),$AM$1006:$BM$1006,0)), HYPERLINK("#",""), HYPERLINK(CONCATENATE("#metadata!", ADDRESS(INDEX($AH$2:$AH$1001,MATCH(ROWS($AF$2:AF346),$AF$2:$AF$1001,0),0), INDEX($AM$1004:$BM$1004,1,MATCH(COLUMNS($AM$1006:BL1006),$AM$1006:$BM$1006,0)))),"Fix")))</f>
        <v xml:space="preserve"> </v>
      </c>
      <c r="AB346" s="4" t="str">
        <f ca="1">IF(OR(INDEX($AG$2:$AG$1001,MATCH(ROWS($AF$2:AF346),$AF$2:$AF$1001,0),1)&gt;=100000,INDEX($AM$1005:$BM$1005,1,MATCH(COLUMNS($AM$1006:BM1006),$AM$1006:$BM$1006,0))&gt;=100000), " ",IF(INDEX($AM$2:$BM$1001,MATCH(ROWS($AF$2:AF346),$AF$2:$AF$1001,0),MATCH(COLUMNS($AM$1006:BM1006),$AM$1006:$BM$1006,0)), HYPERLINK("#",""), HYPERLINK(CONCATENATE("#metadata!", ADDRESS(INDEX($AH$2:$AH$1001,MATCH(ROWS($AF$2:AF346),$AF$2:$AF$1001,0),0), INDEX($AM$1004:$BM$1004,1,MATCH(COLUMNS($AM$1006:BM1006),$AM$1006:$BM$1006,0)))),"Fix")))</f>
        <v xml:space="preserve"> </v>
      </c>
      <c r="AF346">
        <v>345</v>
      </c>
      <c r="AG346">
        <v>100346</v>
      </c>
      <c r="AH346">
        <v>346</v>
      </c>
      <c r="AI346" t="b">
        <f t="shared" si="5"/>
        <v>1</v>
      </c>
      <c r="AJ346" t="b">
        <f>COUNTBLANK(metadata!B346:AB346)=COLUMNS(metadata!B346:AB346)</f>
        <v>1</v>
      </c>
      <c r="AK346" t="str">
        <v/>
      </c>
      <c r="AM346" t="b">
        <f ca="1">AND(IF(metadata!B346="",FALSE,TRUE),COUNTIF(metadata!B:B, metadata!B346) = 1,NOT(ISERROR(SUMPRODUCT(SEARCH(MID(metadata!B346,ROW(INDIRECT("1:"&amp;LEN(metadata!B346))), 1),"0123456789abcdefghijklmnopqrstuvwxyzABCDEFGHIJKLMNOPQRSTUVWXYZ.")))))</f>
        <v>0</v>
      </c>
      <c r="AN346" t="b">
        <f ca="1">OR(AND(IF(metadata!C346="",FALSE,TRUE),OR(EXACT(metadata!C346,"missing: not collected"),EXACT(metadata!C346,"missing: not provided"),EXACT(metadata!C346,"missing: restricted access"))),AND(IF(metadata!C346="",FALSE,TRUE),AND(AND(IFERROR(INT(LEFT(metadata!C346,4))&gt;1900,FALSE),IFERROR(INT(LEFT(metadata!C346,4))&lt;=YEAR(NOW()),FALSE)), OR(MID(metadata!C346,5,1)="", AND(AND(MID(metadata!C346,5,1)="-",IFERROR(INT(MID(metadata!C346,6,1))&gt;=0,FALSE),IFERROR(INT(MID(metadata!C346,6,1))&lt;=1,FALSE),NOT(MID(metadata!C346,7,1)=""),IFERROR(INT(MID(metadata!C346,6,2))&gt;=1,FALSE),IFERROR(INT(MID(metadata!C346,6,2))&lt;=12,FALSE)), OR(MID(metadata!C346,8,1)="", AND(AND(MID(metadata!C346,8,1)="-",IFERROR(INT(MID(metadata!C346,9,1))&gt;=0,FALSE),IFERROR(INT(MID(metadata!C346,9,1))&lt;=3,FALSE),NOT(MID(metadata!C346,10,1)=""),IFERROR(INT(MID(metadata!C346,9,2))&gt;=1,FALSE),IFERROR(INT(MID(metadata!C346,9,2))&lt;=31,FALSE)), OR(MID(metadata!C346,11,1)="", AND(AND(MID(metadata!C346,11,1)=" ",IFERROR(INT(MID(metadata!C346,12,1))&gt;=0,FALSE),IFERROR(INT(MID(metadata!C346,12,1))&lt;=2,FALSE),NOT(MID(metadata!C346,13,1)=""),IFERROR(INT(MID(metadata!C346,12,2))&gt;=0,FALSE),IFERROR(INT(MID(metadata!C346,12,2))&lt;=23,FALSE)), OR(MID(metadata!C346,14,1)="", AND(AND(MID(metadata!C346,14,1)=":",IFERROR(INT(MID(metadata!C346,15,1))&gt;=0,FALSE),IFERROR(INT(MID(metadata!C346,15,1))&lt;=5,FALSE),NOT(MID(metadata!C346,16,1)=""),IFERROR(INT(MID(metadata!C346,15,2))&gt;=0,FALSE),IFERROR(INT(MID(metadata!C346,15,2))&lt;=59,FALSE)), OR(MID(metadata!C346,17,1)="", AND(AND(MID(metadata!C346,17,1)=":",IFERROR(INT(MID(metadata!C346,18,1))&gt;=0,FALSE),IFERROR(INT(MID(metadata!C346,18,1))&lt;=5,FALSE),NOT(MID(metadata!C346,19,1)=""),IFERROR(INT(MID(metadata!C346,18,2))&gt;=0,FALSE),IFERROR(INT(MID(metadata!C346,18,2))&lt;=59,FALSE)), LEN(metadata!C346)&lt;=19)))))))))))))</f>
        <v>0</v>
      </c>
      <c r="AO346" t="b">
        <f>AND(IF(metadata!D346="",FALSE,TRUE),EXACT(metadata!D346,"Not applicable"))</f>
        <v>0</v>
      </c>
      <c r="AP346" t="b">
        <f>IF(metadata!E346="",FALSE,TRUE)</f>
        <v>0</v>
      </c>
      <c r="AQ346" t="b">
        <f>OR(AND(IF(metadata!F346="",FALSE,TRUE),OR(EXACT(metadata!F346,"missing: not collected"),EXACT(metadata!F346,"missing: not provided"))),AND(IF(metadata!F346="",FALSE,TRUE),OR(EXACT(metadata!F346,"TRUE"),EXACT(metadata!F346,"FALSE"))))</f>
        <v>0</v>
      </c>
      <c r="AR346" t="b">
        <f>OR(AND(IF(metadata!G346="",FALSE,TRUE),OR(EXACT(metadata!G346,"missing: not collected"),EXACT(metadata!G346,"missing: not provided"),EXACT(metadata!G346,"missing: restricted access"))),AND(IF(metadata!G346="",FALSE,ISNUMBER(VALUE(metadata!G346))),metadata!G346&gt;=-413))</f>
        <v>0</v>
      </c>
      <c r="AS346" t="b">
        <f>AND(IF(metadata!H346="",FALSE,TRUE),EXACT(metadata!H346,"meters"))</f>
        <v>0</v>
      </c>
      <c r="AT346" t="b">
        <f>AND(IF(metadata!I346="",FALSE,TRUE),OR(EXACT(metadata!I346,"Host-associated"),EXACT(metadata!I346,"Free-living")))</f>
        <v>0</v>
      </c>
      <c r="AU346" t="b">
        <f>AND(IF(metadata!J346="",FALSE,TRUE),OR(EXACT(metadata!J346,"Animal"),EXACT(metadata!J346,"Fungus"),EXACT(metadata!J346,"Plant"),EXACT(metadata!J346,"Saline"),EXACT(metadata!J346,"Non-saline")))</f>
        <v>0</v>
      </c>
      <c r="AV346" t="b">
        <f>AND(IF(metadata!K346="",FALSE,TRUE),OR(EXACT(metadata!K346,"Plant secretion"),EXACT(metadata!K346,"Plant rhizosphere"),EXACT(metadata!K346,"Plant surface"),EXACT(metadata!K346,"Plant corpus"),EXACT(metadata!K346,"Fungus surface"),EXACT(metadata!K346,"Fungus corpus"),EXACT(metadata!K346,"Animal surface"),EXACT(metadata!K346,"Animal proximal gut"),EXACT(metadata!K346,"Animal corpus"),EXACT(metadata!K346,"Animal distal gut"),EXACT(metadata!K346,"Animal secretion"),EXACT(metadata!K346,"Sub-surface (non-saline)"),EXACT(metadata!K346,"Surface (non-saline)"),EXACT(metadata!K346,"Water (non-saline)"),EXACT(metadata!K346,"Soil (non-saline)"),EXACT(metadata!K346,"Aerosol (non-saline)"),EXACT(metadata!K346,"Sediment (non-saline)"),EXACT(metadata!K346,"Surface (saline)"),EXACT(metadata!K346,"Water (saline)"),EXACT(metadata!K346,"Hypersaline (saline)"),EXACT(metadata!K346,"Aerosol (saline)"),EXACT(metadata!K346,"Sediment (saline)")))</f>
        <v>0</v>
      </c>
      <c r="AW346" t="b">
        <f>IF(metadata!L346="",FALSE,TRUE)</f>
        <v>0</v>
      </c>
      <c r="AX346" t="b">
        <f>IF(metadata!M346="",FALSE,TRUE)</f>
        <v>0</v>
      </c>
      <c r="AY346" t="b">
        <f>IF(metadata!N346="",FALSE,TRUE)</f>
        <v>0</v>
      </c>
      <c r="AZ346" t="b">
        <f>OR(AND(IF(metadata!O346="",FALSE,TRUE),OR(EXACT(metadata!O346,"missing: not collected"),EXACT(metadata!O346,"missing: not provided"),EXACT(metadata!O346,"missing: restricted access"))),AND(IF(metadata!O346="",FALSE,TRUE),OR(EXACT(metadata!O346,"air"),EXACT(metadata!O346,"built environment"),EXACT(metadata!O346,"host-associated"),EXACT(metadata!O346,"human-associated"),EXACT(metadata!O346,"human-skin"),EXACT(metadata!O346,"human-oral"),EXACT(metadata!O346,"human-gut"),EXACT(metadata!O346,"human-vaginal"),EXACT(metadata!O346,"microbial mat/biofilm"),EXACT(metadata!O346,"misc environment"),EXACT(metadata!O346,"plant-associated"),EXACT(metadata!O346,"sediment"),EXACT(metadata!O346,"soil"),EXACT(metadata!O346,"wastewater/sludge"),EXACT(metadata!O346,"water"))))</f>
        <v>0</v>
      </c>
      <c r="BA346" t="b">
        <f>IF(metadata!P346="",FALSE,TRUE)</f>
        <v>0</v>
      </c>
      <c r="BB346" t="b">
        <f>IF(metadata!Q346="",FALSE,TRUE)</f>
        <v>0</v>
      </c>
      <c r="BC346" t="b">
        <f>OR(AND(IF(metadata!R346="",FALSE,TRUE),OR(EXACT(metadata!R346,"missing: not collected"),EXACT(metadata!R346,"missing: not provided"),EXACT(metadata!R346,"missing: restricted access"))),AND(IF(metadata!R346="",FALSE,ISNUMBER(VALUE(metadata!R346))),metadata!R346&gt;=-90,metadata!R346&lt;=90))</f>
        <v>0</v>
      </c>
      <c r="BD346" t="b">
        <f>AND(IF(metadata!S346="",FALSE,TRUE),EXACT(metadata!S346,"Decimal degrees"))</f>
        <v>0</v>
      </c>
      <c r="BE346" t="b">
        <f>OR(AND(IF(metadata!T346="",FALSE,TRUE),OR(EXACT(metadata!T346,"missing: not collected"),EXACT(metadata!T346,"missing: not provided"),EXACT(metadata!T346,"missing: restricted access"))),AND(IF(metadata!T346="",FALSE,ISNUMBER(VALUE(metadata!T346))),metadata!T346&gt;=-180,metadata!T346&lt;=180))</f>
        <v>0</v>
      </c>
      <c r="BF346" t="b">
        <f>AND(IF(metadata!U346="",FALSE,TRUE),EXACT(metadata!U346,"Decimal degrees"))</f>
        <v>0</v>
      </c>
      <c r="BG346" t="b">
        <f>IF(metadata!V346="",FALSE,TRUE)</f>
        <v>0</v>
      </c>
      <c r="BH346" t="b">
        <f>OR(AND(IF(metadata!W346="",FALSE,TRUE),OR(EXACT(metadata!W346,"missing: not collected"),EXACT(metadata!W346,"missing: not provided"),EXACT(metadata!W346,"missing: restricted access"))),AND(IF(metadata!W346="",FALSE,TRUE),OR(EXACT(metadata!W346,"TRUE"),EXACT(metadata!W346,"FALSE"))))</f>
        <v>0</v>
      </c>
      <c r="BI346" t="b">
        <f>AND(IF(metadata!X346="",FALSE,TRUE),EXACT(metadata!X346,"other"))</f>
        <v>0</v>
      </c>
      <c r="BJ346" t="b">
        <f>IF(metadata!Y346="",FALSE,TRUE)</f>
        <v>0</v>
      </c>
      <c r="BK346" t="b">
        <f>OR(AND(IF(metadata!Z346="",FALSE,TRUE),OR(EXACT(metadata!Z346,"missing: not collected"),EXACT(metadata!Z346,"missing: not provided"))),AND(IF(metadata!Z346="",FALSE,IF(ISERROR(INT(metadata!Z346)),FALSE,INT(metadata!Z346)=metadata!Z346)),metadata!Z346&gt;0))</f>
        <v>0</v>
      </c>
      <c r="BL346" t="b">
        <f>AND(IF(metadata!AA346="",FALSE,TRUE),EXACT(metadata!AA346,"Not applicable"))</f>
        <v>0</v>
      </c>
      <c r="BM346" t="b">
        <f>IF(metadata!AB346="",FALSE,TRUE)</f>
        <v>0</v>
      </c>
    </row>
    <row r="347" spans="1:65" x14ac:dyDescent="0.2">
      <c r="A347" s="5" t="str">
        <f ca="1">IF(B347=" "," ",HYPERLINK(CONCATENATE("#metadata!",ADDRESS(INDEX($AH$2:$AH$1001,MATCH(ROWS($AF$2:AF347),$AF$2:$AF$1001,0),0),1)),INDEX($AK$2:$AK$1001,MATCH(ROWS($AF$2:AF347),$AF$2:$AF$1001,0),0)))</f>
        <v xml:space="preserve"> </v>
      </c>
      <c r="B347" s="4" t="str">
        <f ca="1">IF(OR(INDEX($AG$2:$AG$1001,MATCH(ROWS($AF$2:AF347),$AF$2:$AF$1001,0),1)&gt;=100000,INDEX($AM$1005:$BM$1005,1,MATCH(COLUMNS($AM$1006:AM1006),$AM$1006:$BM$1006,0))&gt;=100000), " ",IF(INDEX($AM$2:$BM$1001,MATCH(ROWS($AF$2:AF347),$AF$2:$AF$1001,0),MATCH(COLUMNS($AM$1006:AM1006),$AM$1006:$BM$1006,0)), HYPERLINK("#",""), HYPERLINK(CONCATENATE("#metadata!", ADDRESS(INDEX($AH$2:$AH$1001,MATCH(ROWS($AF$2:AF347),$AF$2:$AF$1001,0),0), INDEX($AM$1004:$BM$1004,1,MATCH(COLUMNS($AM$1006:AM1006),$AM$1006:$BM$1006,0)))),"Fix")))</f>
        <v xml:space="preserve"> </v>
      </c>
      <c r="C347" s="4" t="str">
        <f ca="1">IF(OR(INDEX($AG$2:$AG$1001,MATCH(ROWS($AF$2:AF347),$AF$2:$AF$1001,0),1)&gt;=100000,INDEX($AM$1005:$BM$1005,1,MATCH(COLUMNS($AM$1006:AN1006),$AM$1006:$BM$1006,0))&gt;=100000), " ",IF(INDEX($AM$2:$BM$1001,MATCH(ROWS($AF$2:AF347),$AF$2:$AF$1001,0),MATCH(COLUMNS($AM$1006:AN1006),$AM$1006:$BM$1006,0)), HYPERLINK("#",""), HYPERLINK(CONCATENATE("#metadata!", ADDRESS(INDEX($AH$2:$AH$1001,MATCH(ROWS($AF$2:AF347),$AF$2:$AF$1001,0),0), INDEX($AM$1004:$BM$1004,1,MATCH(COLUMNS($AM$1006:AN1006),$AM$1006:$BM$1006,0)))),"Fix")))</f>
        <v xml:space="preserve"> </v>
      </c>
      <c r="D347" s="4" t="str">
        <f ca="1">IF(OR(INDEX($AG$2:$AG$1001,MATCH(ROWS($AF$2:AF347),$AF$2:$AF$1001,0),1)&gt;=100000,INDEX($AM$1005:$BM$1005,1,MATCH(COLUMNS($AM$1006:AO1006),$AM$1006:$BM$1006,0))&gt;=100000), " ",IF(INDEX($AM$2:$BM$1001,MATCH(ROWS($AF$2:AF347),$AF$2:$AF$1001,0),MATCH(COLUMNS($AM$1006:AO1006),$AM$1006:$BM$1006,0)), HYPERLINK("#",""), HYPERLINK(CONCATENATE("#metadata!", ADDRESS(INDEX($AH$2:$AH$1001,MATCH(ROWS($AF$2:AF347),$AF$2:$AF$1001,0),0), INDEX($AM$1004:$BM$1004,1,MATCH(COLUMNS($AM$1006:AO1006),$AM$1006:$BM$1006,0)))),"Fix")))</f>
        <v xml:space="preserve"> </v>
      </c>
      <c r="E347" s="4" t="str">
        <f ca="1">IF(OR(INDEX($AG$2:$AG$1001,MATCH(ROWS($AF$2:AF347),$AF$2:$AF$1001,0),1)&gt;=100000,INDEX($AM$1005:$BM$1005,1,MATCH(COLUMNS($AM$1006:AP1006),$AM$1006:$BM$1006,0))&gt;=100000), " ",IF(INDEX($AM$2:$BM$1001,MATCH(ROWS($AF$2:AF347),$AF$2:$AF$1001,0),MATCH(COLUMNS($AM$1006:AP1006),$AM$1006:$BM$1006,0)), HYPERLINK("#",""), HYPERLINK(CONCATENATE("#metadata!", ADDRESS(INDEX($AH$2:$AH$1001,MATCH(ROWS($AF$2:AF347),$AF$2:$AF$1001,0),0), INDEX($AM$1004:$BM$1004,1,MATCH(COLUMNS($AM$1006:AP1006),$AM$1006:$BM$1006,0)))),"Fix")))</f>
        <v xml:space="preserve"> </v>
      </c>
      <c r="F347" s="4" t="str">
        <f ca="1">IF(OR(INDEX($AG$2:$AG$1001,MATCH(ROWS($AF$2:AF347),$AF$2:$AF$1001,0),1)&gt;=100000,INDEX($AM$1005:$BM$1005,1,MATCH(COLUMNS($AM$1006:AQ1006),$AM$1006:$BM$1006,0))&gt;=100000), " ",IF(INDEX($AM$2:$BM$1001,MATCH(ROWS($AF$2:AF347),$AF$2:$AF$1001,0),MATCH(COLUMNS($AM$1006:AQ1006),$AM$1006:$BM$1006,0)), HYPERLINK("#",""), HYPERLINK(CONCATENATE("#metadata!", ADDRESS(INDEX($AH$2:$AH$1001,MATCH(ROWS($AF$2:AF347),$AF$2:$AF$1001,0),0), INDEX($AM$1004:$BM$1004,1,MATCH(COLUMNS($AM$1006:AQ1006),$AM$1006:$BM$1006,0)))),"Fix")))</f>
        <v xml:space="preserve"> </v>
      </c>
      <c r="G347" s="4" t="str">
        <f ca="1">IF(OR(INDEX($AG$2:$AG$1001,MATCH(ROWS($AF$2:AF347),$AF$2:$AF$1001,0),1)&gt;=100000,INDEX($AM$1005:$BM$1005,1,MATCH(COLUMNS($AM$1006:AR1006),$AM$1006:$BM$1006,0))&gt;=100000), " ",IF(INDEX($AM$2:$BM$1001,MATCH(ROWS($AF$2:AF347),$AF$2:$AF$1001,0),MATCH(COLUMNS($AM$1006:AR1006),$AM$1006:$BM$1006,0)), HYPERLINK("#",""), HYPERLINK(CONCATENATE("#metadata!", ADDRESS(INDEX($AH$2:$AH$1001,MATCH(ROWS($AF$2:AF347),$AF$2:$AF$1001,0),0), INDEX($AM$1004:$BM$1004,1,MATCH(COLUMNS($AM$1006:AR1006),$AM$1006:$BM$1006,0)))),"Fix")))</f>
        <v xml:space="preserve"> </v>
      </c>
      <c r="H347" s="4" t="str">
        <f ca="1">IF(OR(INDEX($AG$2:$AG$1001,MATCH(ROWS($AF$2:AF347),$AF$2:$AF$1001,0),1)&gt;=100000,INDEX($AM$1005:$BM$1005,1,MATCH(COLUMNS($AM$1006:AS1006),$AM$1006:$BM$1006,0))&gt;=100000), " ",IF(INDEX($AM$2:$BM$1001,MATCH(ROWS($AF$2:AF347),$AF$2:$AF$1001,0),MATCH(COLUMNS($AM$1006:AS1006),$AM$1006:$BM$1006,0)), HYPERLINK("#",""), HYPERLINK(CONCATENATE("#metadata!", ADDRESS(INDEX($AH$2:$AH$1001,MATCH(ROWS($AF$2:AF347),$AF$2:$AF$1001,0),0), INDEX($AM$1004:$BM$1004,1,MATCH(COLUMNS($AM$1006:AS1006),$AM$1006:$BM$1006,0)))),"Fix")))</f>
        <v xml:space="preserve"> </v>
      </c>
      <c r="I347" s="4" t="str">
        <f ca="1">IF(OR(INDEX($AG$2:$AG$1001,MATCH(ROWS($AF$2:AF347),$AF$2:$AF$1001,0),1)&gt;=100000,INDEX($AM$1005:$BM$1005,1,MATCH(COLUMNS($AM$1006:AT1006),$AM$1006:$BM$1006,0))&gt;=100000), " ",IF(INDEX($AM$2:$BM$1001,MATCH(ROWS($AF$2:AF347),$AF$2:$AF$1001,0),MATCH(COLUMNS($AM$1006:AT1006),$AM$1006:$BM$1006,0)), HYPERLINK("#",""), HYPERLINK(CONCATENATE("#metadata!", ADDRESS(INDEX($AH$2:$AH$1001,MATCH(ROWS($AF$2:AF347),$AF$2:$AF$1001,0),0), INDEX($AM$1004:$BM$1004,1,MATCH(COLUMNS($AM$1006:AT1006),$AM$1006:$BM$1006,0)))),"Fix")))</f>
        <v xml:space="preserve"> </v>
      </c>
      <c r="J347" s="4" t="str">
        <f ca="1">IF(OR(INDEX($AG$2:$AG$1001,MATCH(ROWS($AF$2:AF347),$AF$2:$AF$1001,0),1)&gt;=100000,INDEX($AM$1005:$BM$1005,1,MATCH(COLUMNS($AM$1006:AU1006),$AM$1006:$BM$1006,0))&gt;=100000), " ",IF(INDEX($AM$2:$BM$1001,MATCH(ROWS($AF$2:AF347),$AF$2:$AF$1001,0),MATCH(COLUMNS($AM$1006:AU1006),$AM$1006:$BM$1006,0)), HYPERLINK("#",""), HYPERLINK(CONCATENATE("#metadata!", ADDRESS(INDEX($AH$2:$AH$1001,MATCH(ROWS($AF$2:AF347),$AF$2:$AF$1001,0),0), INDEX($AM$1004:$BM$1004,1,MATCH(COLUMNS($AM$1006:AU1006),$AM$1006:$BM$1006,0)))),"Fix")))</f>
        <v xml:space="preserve"> </v>
      </c>
      <c r="K347" s="4" t="str">
        <f ca="1">IF(OR(INDEX($AG$2:$AG$1001,MATCH(ROWS($AF$2:AF347),$AF$2:$AF$1001,0),1)&gt;=100000,INDEX($AM$1005:$BM$1005,1,MATCH(COLUMNS($AM$1006:AV1006),$AM$1006:$BM$1006,0))&gt;=100000), " ",IF(INDEX($AM$2:$BM$1001,MATCH(ROWS($AF$2:AF347),$AF$2:$AF$1001,0),MATCH(COLUMNS($AM$1006:AV1006),$AM$1006:$BM$1006,0)), HYPERLINK("#",""), HYPERLINK(CONCATENATE("#metadata!", ADDRESS(INDEX($AH$2:$AH$1001,MATCH(ROWS($AF$2:AF347),$AF$2:$AF$1001,0),0), INDEX($AM$1004:$BM$1004,1,MATCH(COLUMNS($AM$1006:AV1006),$AM$1006:$BM$1006,0)))),"Fix")))</f>
        <v xml:space="preserve"> </v>
      </c>
      <c r="L347" s="4" t="str">
        <f ca="1">IF(OR(INDEX($AG$2:$AG$1001,MATCH(ROWS($AF$2:AF347),$AF$2:$AF$1001,0),1)&gt;=100000,INDEX($AM$1005:$BM$1005,1,MATCH(COLUMNS($AM$1006:AW1006),$AM$1006:$BM$1006,0))&gt;=100000), " ",IF(INDEX($AM$2:$BM$1001,MATCH(ROWS($AF$2:AF347),$AF$2:$AF$1001,0),MATCH(COLUMNS($AM$1006:AW1006),$AM$1006:$BM$1006,0)), HYPERLINK("#",""), HYPERLINK(CONCATENATE("#metadata!", ADDRESS(INDEX($AH$2:$AH$1001,MATCH(ROWS($AF$2:AF347),$AF$2:$AF$1001,0),0), INDEX($AM$1004:$BM$1004,1,MATCH(COLUMNS($AM$1006:AW1006),$AM$1006:$BM$1006,0)))),"Fix")))</f>
        <v xml:space="preserve"> </v>
      </c>
      <c r="M347" s="4" t="str">
        <f ca="1">IF(OR(INDEX($AG$2:$AG$1001,MATCH(ROWS($AF$2:AF347),$AF$2:$AF$1001,0),1)&gt;=100000,INDEX($AM$1005:$BM$1005,1,MATCH(COLUMNS($AM$1006:AX1006),$AM$1006:$BM$1006,0))&gt;=100000), " ",IF(INDEX($AM$2:$BM$1001,MATCH(ROWS($AF$2:AF347),$AF$2:$AF$1001,0),MATCH(COLUMNS($AM$1006:AX1006),$AM$1006:$BM$1006,0)), HYPERLINK("#",""), HYPERLINK(CONCATENATE("#metadata!", ADDRESS(INDEX($AH$2:$AH$1001,MATCH(ROWS($AF$2:AF347),$AF$2:$AF$1001,0),0), INDEX($AM$1004:$BM$1004,1,MATCH(COLUMNS($AM$1006:AX1006),$AM$1006:$BM$1006,0)))),"Fix")))</f>
        <v xml:space="preserve"> </v>
      </c>
      <c r="N347" s="4" t="str">
        <f ca="1">IF(OR(INDEX($AG$2:$AG$1001,MATCH(ROWS($AF$2:AF347),$AF$2:$AF$1001,0),1)&gt;=100000,INDEX($AM$1005:$BM$1005,1,MATCH(COLUMNS($AM$1006:AY1006),$AM$1006:$BM$1006,0))&gt;=100000), " ",IF(INDEX($AM$2:$BM$1001,MATCH(ROWS($AF$2:AF347),$AF$2:$AF$1001,0),MATCH(COLUMNS($AM$1006:AY1006),$AM$1006:$BM$1006,0)), HYPERLINK("#",""), HYPERLINK(CONCATENATE("#metadata!", ADDRESS(INDEX($AH$2:$AH$1001,MATCH(ROWS($AF$2:AF347),$AF$2:$AF$1001,0),0), INDEX($AM$1004:$BM$1004,1,MATCH(COLUMNS($AM$1006:AY1006),$AM$1006:$BM$1006,0)))),"Fix")))</f>
        <v xml:space="preserve"> </v>
      </c>
      <c r="O347" s="4" t="str">
        <f ca="1">IF(OR(INDEX($AG$2:$AG$1001,MATCH(ROWS($AF$2:AF347),$AF$2:$AF$1001,0),1)&gt;=100000,INDEX($AM$1005:$BM$1005,1,MATCH(COLUMNS($AM$1006:AZ1006),$AM$1006:$BM$1006,0))&gt;=100000), " ",IF(INDEX($AM$2:$BM$1001,MATCH(ROWS($AF$2:AF347),$AF$2:$AF$1001,0),MATCH(COLUMNS($AM$1006:AZ1006),$AM$1006:$BM$1006,0)), HYPERLINK("#",""), HYPERLINK(CONCATENATE("#metadata!", ADDRESS(INDEX($AH$2:$AH$1001,MATCH(ROWS($AF$2:AF347),$AF$2:$AF$1001,0),0), INDEX($AM$1004:$BM$1004,1,MATCH(COLUMNS($AM$1006:AZ1006),$AM$1006:$BM$1006,0)))),"Fix")))</f>
        <v xml:space="preserve"> </v>
      </c>
      <c r="P347" s="4" t="str">
        <f ca="1">IF(OR(INDEX($AG$2:$AG$1001,MATCH(ROWS($AF$2:AF347),$AF$2:$AF$1001,0),1)&gt;=100000,INDEX($AM$1005:$BM$1005,1,MATCH(COLUMNS($AM$1006:BA1006),$AM$1006:$BM$1006,0))&gt;=100000), " ",IF(INDEX($AM$2:$BM$1001,MATCH(ROWS($AF$2:AF347),$AF$2:$AF$1001,0),MATCH(COLUMNS($AM$1006:BA1006),$AM$1006:$BM$1006,0)), HYPERLINK("#",""), HYPERLINK(CONCATENATE("#metadata!", ADDRESS(INDEX($AH$2:$AH$1001,MATCH(ROWS($AF$2:AF347),$AF$2:$AF$1001,0),0), INDEX($AM$1004:$BM$1004,1,MATCH(COLUMNS($AM$1006:BA1006),$AM$1006:$BM$1006,0)))),"Fix")))</f>
        <v xml:space="preserve"> </v>
      </c>
      <c r="Q347" s="4" t="str">
        <f ca="1">IF(OR(INDEX($AG$2:$AG$1001,MATCH(ROWS($AF$2:AF347),$AF$2:$AF$1001,0),1)&gt;=100000,INDEX($AM$1005:$BM$1005,1,MATCH(COLUMNS($AM$1006:BB1006),$AM$1006:$BM$1006,0))&gt;=100000), " ",IF(INDEX($AM$2:$BM$1001,MATCH(ROWS($AF$2:AF347),$AF$2:$AF$1001,0),MATCH(COLUMNS($AM$1006:BB1006),$AM$1006:$BM$1006,0)), HYPERLINK("#",""), HYPERLINK(CONCATENATE("#metadata!", ADDRESS(INDEX($AH$2:$AH$1001,MATCH(ROWS($AF$2:AF347),$AF$2:$AF$1001,0),0), INDEX($AM$1004:$BM$1004,1,MATCH(COLUMNS($AM$1006:BB1006),$AM$1006:$BM$1006,0)))),"Fix")))</f>
        <v xml:space="preserve"> </v>
      </c>
      <c r="R347" s="4" t="str">
        <f ca="1">IF(OR(INDEX($AG$2:$AG$1001,MATCH(ROWS($AF$2:AF347),$AF$2:$AF$1001,0),1)&gt;=100000,INDEX($AM$1005:$BM$1005,1,MATCH(COLUMNS($AM$1006:BC1006),$AM$1006:$BM$1006,0))&gt;=100000), " ",IF(INDEX($AM$2:$BM$1001,MATCH(ROWS($AF$2:AF347),$AF$2:$AF$1001,0),MATCH(COLUMNS($AM$1006:BC1006),$AM$1006:$BM$1006,0)), HYPERLINK("#",""), HYPERLINK(CONCATENATE("#metadata!", ADDRESS(INDEX($AH$2:$AH$1001,MATCH(ROWS($AF$2:AF347),$AF$2:$AF$1001,0),0), INDEX($AM$1004:$BM$1004,1,MATCH(COLUMNS($AM$1006:BC1006),$AM$1006:$BM$1006,0)))),"Fix")))</f>
        <v xml:space="preserve"> </v>
      </c>
      <c r="S347" s="4" t="str">
        <f ca="1">IF(OR(INDEX($AG$2:$AG$1001,MATCH(ROWS($AF$2:AF347),$AF$2:$AF$1001,0),1)&gt;=100000,INDEX($AM$1005:$BM$1005,1,MATCH(COLUMNS($AM$1006:BD1006),$AM$1006:$BM$1006,0))&gt;=100000), " ",IF(INDEX($AM$2:$BM$1001,MATCH(ROWS($AF$2:AF347),$AF$2:$AF$1001,0),MATCH(COLUMNS($AM$1006:BD1006),$AM$1006:$BM$1006,0)), HYPERLINK("#",""), HYPERLINK(CONCATENATE("#metadata!", ADDRESS(INDEX($AH$2:$AH$1001,MATCH(ROWS($AF$2:AF347),$AF$2:$AF$1001,0),0), INDEX($AM$1004:$BM$1004,1,MATCH(COLUMNS($AM$1006:BD1006),$AM$1006:$BM$1006,0)))),"Fix")))</f>
        <v xml:space="preserve"> </v>
      </c>
      <c r="T347" s="4" t="str">
        <f ca="1">IF(OR(INDEX($AG$2:$AG$1001,MATCH(ROWS($AF$2:AF347),$AF$2:$AF$1001,0),1)&gt;=100000,INDEX($AM$1005:$BM$1005,1,MATCH(COLUMNS($AM$1006:BE1006),$AM$1006:$BM$1006,0))&gt;=100000), " ",IF(INDEX($AM$2:$BM$1001,MATCH(ROWS($AF$2:AF347),$AF$2:$AF$1001,0),MATCH(COLUMNS($AM$1006:BE1006),$AM$1006:$BM$1006,0)), HYPERLINK("#",""), HYPERLINK(CONCATENATE("#metadata!", ADDRESS(INDEX($AH$2:$AH$1001,MATCH(ROWS($AF$2:AF347),$AF$2:$AF$1001,0),0), INDEX($AM$1004:$BM$1004,1,MATCH(COLUMNS($AM$1006:BE1006),$AM$1006:$BM$1006,0)))),"Fix")))</f>
        <v xml:space="preserve"> </v>
      </c>
      <c r="U347" s="4" t="str">
        <f ca="1">IF(OR(INDEX($AG$2:$AG$1001,MATCH(ROWS($AF$2:AF347),$AF$2:$AF$1001,0),1)&gt;=100000,INDEX($AM$1005:$BM$1005,1,MATCH(COLUMNS($AM$1006:BF1006),$AM$1006:$BM$1006,0))&gt;=100000), " ",IF(INDEX($AM$2:$BM$1001,MATCH(ROWS($AF$2:AF347),$AF$2:$AF$1001,0),MATCH(COLUMNS($AM$1006:BF1006),$AM$1006:$BM$1006,0)), HYPERLINK("#",""), HYPERLINK(CONCATENATE("#metadata!", ADDRESS(INDEX($AH$2:$AH$1001,MATCH(ROWS($AF$2:AF347),$AF$2:$AF$1001,0),0), INDEX($AM$1004:$BM$1004,1,MATCH(COLUMNS($AM$1006:BF1006),$AM$1006:$BM$1006,0)))),"Fix")))</f>
        <v xml:space="preserve"> </v>
      </c>
      <c r="V347" s="4" t="str">
        <f ca="1">IF(OR(INDEX($AG$2:$AG$1001,MATCH(ROWS($AF$2:AF347),$AF$2:$AF$1001,0),1)&gt;=100000,INDEX($AM$1005:$BM$1005,1,MATCH(COLUMNS($AM$1006:BG1006),$AM$1006:$BM$1006,0))&gt;=100000), " ",IF(INDEX($AM$2:$BM$1001,MATCH(ROWS($AF$2:AF347),$AF$2:$AF$1001,0),MATCH(COLUMNS($AM$1006:BG1006),$AM$1006:$BM$1006,0)), HYPERLINK("#",""), HYPERLINK(CONCATENATE("#metadata!", ADDRESS(INDEX($AH$2:$AH$1001,MATCH(ROWS($AF$2:AF347),$AF$2:$AF$1001,0),0), INDEX($AM$1004:$BM$1004,1,MATCH(COLUMNS($AM$1006:BG1006),$AM$1006:$BM$1006,0)))),"Fix")))</f>
        <v xml:space="preserve"> </v>
      </c>
      <c r="W347" s="4" t="str">
        <f ca="1">IF(OR(INDEX($AG$2:$AG$1001,MATCH(ROWS($AF$2:AF347),$AF$2:$AF$1001,0),1)&gt;=100000,INDEX($AM$1005:$BM$1005,1,MATCH(COLUMNS($AM$1006:BH1006),$AM$1006:$BM$1006,0))&gt;=100000), " ",IF(INDEX($AM$2:$BM$1001,MATCH(ROWS($AF$2:AF347),$AF$2:$AF$1001,0),MATCH(COLUMNS($AM$1006:BH1006),$AM$1006:$BM$1006,0)), HYPERLINK("#",""), HYPERLINK(CONCATENATE("#metadata!", ADDRESS(INDEX($AH$2:$AH$1001,MATCH(ROWS($AF$2:AF347),$AF$2:$AF$1001,0),0), INDEX($AM$1004:$BM$1004,1,MATCH(COLUMNS($AM$1006:BH1006),$AM$1006:$BM$1006,0)))),"Fix")))</f>
        <v xml:space="preserve"> </v>
      </c>
      <c r="X347" s="4" t="str">
        <f ca="1">IF(OR(INDEX($AG$2:$AG$1001,MATCH(ROWS($AF$2:AF347),$AF$2:$AF$1001,0),1)&gt;=100000,INDEX($AM$1005:$BM$1005,1,MATCH(COLUMNS($AM$1006:BI1006),$AM$1006:$BM$1006,0))&gt;=100000), " ",IF(INDEX($AM$2:$BM$1001,MATCH(ROWS($AF$2:AF347),$AF$2:$AF$1001,0),MATCH(COLUMNS($AM$1006:BI1006),$AM$1006:$BM$1006,0)), HYPERLINK("#",""), HYPERLINK(CONCATENATE("#metadata!", ADDRESS(INDEX($AH$2:$AH$1001,MATCH(ROWS($AF$2:AF347),$AF$2:$AF$1001,0),0), INDEX($AM$1004:$BM$1004,1,MATCH(COLUMNS($AM$1006:BI1006),$AM$1006:$BM$1006,0)))),"Fix")))</f>
        <v xml:space="preserve"> </v>
      </c>
      <c r="Y347" s="4" t="str">
        <f ca="1">IF(OR(INDEX($AG$2:$AG$1001,MATCH(ROWS($AF$2:AF347),$AF$2:$AF$1001,0),1)&gt;=100000,INDEX($AM$1005:$BM$1005,1,MATCH(COLUMNS($AM$1006:BJ1006),$AM$1006:$BM$1006,0))&gt;=100000), " ",IF(INDEX($AM$2:$BM$1001,MATCH(ROWS($AF$2:AF347),$AF$2:$AF$1001,0),MATCH(COLUMNS($AM$1006:BJ1006),$AM$1006:$BM$1006,0)), HYPERLINK("#",""), HYPERLINK(CONCATENATE("#metadata!", ADDRESS(INDEX($AH$2:$AH$1001,MATCH(ROWS($AF$2:AF347),$AF$2:$AF$1001,0),0), INDEX($AM$1004:$BM$1004,1,MATCH(COLUMNS($AM$1006:BJ1006),$AM$1006:$BM$1006,0)))),"Fix")))</f>
        <v xml:space="preserve"> </v>
      </c>
      <c r="Z347" s="4" t="str">
        <f ca="1">IF(OR(INDEX($AG$2:$AG$1001,MATCH(ROWS($AF$2:AF347),$AF$2:$AF$1001,0),1)&gt;=100000,INDEX($AM$1005:$BM$1005,1,MATCH(COLUMNS($AM$1006:BK1006),$AM$1006:$BM$1006,0))&gt;=100000), " ",IF(INDEX($AM$2:$BM$1001,MATCH(ROWS($AF$2:AF347),$AF$2:$AF$1001,0),MATCH(COLUMNS($AM$1006:BK1006),$AM$1006:$BM$1006,0)), HYPERLINK("#",""), HYPERLINK(CONCATENATE("#metadata!", ADDRESS(INDEX($AH$2:$AH$1001,MATCH(ROWS($AF$2:AF347),$AF$2:$AF$1001,0),0), INDEX($AM$1004:$BM$1004,1,MATCH(COLUMNS($AM$1006:BK1006),$AM$1006:$BM$1006,0)))),"Fix")))</f>
        <v xml:space="preserve"> </v>
      </c>
      <c r="AA347" s="4" t="str">
        <f ca="1">IF(OR(INDEX($AG$2:$AG$1001,MATCH(ROWS($AF$2:AF347),$AF$2:$AF$1001,0),1)&gt;=100000,INDEX($AM$1005:$BM$1005,1,MATCH(COLUMNS($AM$1006:BL1006),$AM$1006:$BM$1006,0))&gt;=100000), " ",IF(INDEX($AM$2:$BM$1001,MATCH(ROWS($AF$2:AF347),$AF$2:$AF$1001,0),MATCH(COLUMNS($AM$1006:BL1006),$AM$1006:$BM$1006,0)), HYPERLINK("#",""), HYPERLINK(CONCATENATE("#metadata!", ADDRESS(INDEX($AH$2:$AH$1001,MATCH(ROWS($AF$2:AF347),$AF$2:$AF$1001,0),0), INDEX($AM$1004:$BM$1004,1,MATCH(COLUMNS($AM$1006:BL1006),$AM$1006:$BM$1006,0)))),"Fix")))</f>
        <v xml:space="preserve"> </v>
      </c>
      <c r="AB347" s="4" t="str">
        <f ca="1">IF(OR(INDEX($AG$2:$AG$1001,MATCH(ROWS($AF$2:AF347),$AF$2:$AF$1001,0),1)&gt;=100000,INDEX($AM$1005:$BM$1005,1,MATCH(COLUMNS($AM$1006:BM1006),$AM$1006:$BM$1006,0))&gt;=100000), " ",IF(INDEX($AM$2:$BM$1001,MATCH(ROWS($AF$2:AF347),$AF$2:$AF$1001,0),MATCH(COLUMNS($AM$1006:BM1006),$AM$1006:$BM$1006,0)), HYPERLINK("#",""), HYPERLINK(CONCATENATE("#metadata!", ADDRESS(INDEX($AH$2:$AH$1001,MATCH(ROWS($AF$2:AF347),$AF$2:$AF$1001,0),0), INDEX($AM$1004:$BM$1004,1,MATCH(COLUMNS($AM$1006:BM1006),$AM$1006:$BM$1006,0)))),"Fix")))</f>
        <v xml:space="preserve"> </v>
      </c>
      <c r="AF347">
        <v>346</v>
      </c>
      <c r="AG347">
        <v>100347</v>
      </c>
      <c r="AH347">
        <v>347</v>
      </c>
      <c r="AI347" t="b">
        <f t="shared" si="5"/>
        <v>1</v>
      </c>
      <c r="AJ347" t="b">
        <f>COUNTBLANK(metadata!B347:AB347)=COLUMNS(metadata!B347:AB347)</f>
        <v>1</v>
      </c>
      <c r="AK347" t="str">
        <v/>
      </c>
      <c r="AM347" t="b">
        <f ca="1">AND(IF(metadata!B347="",FALSE,TRUE),COUNTIF(metadata!B:B, metadata!B347) = 1,NOT(ISERROR(SUMPRODUCT(SEARCH(MID(metadata!B347,ROW(INDIRECT("1:"&amp;LEN(metadata!B347))), 1),"0123456789abcdefghijklmnopqrstuvwxyzABCDEFGHIJKLMNOPQRSTUVWXYZ.")))))</f>
        <v>0</v>
      </c>
      <c r="AN347" t="b">
        <f ca="1">OR(AND(IF(metadata!C347="",FALSE,TRUE),OR(EXACT(metadata!C347,"missing: not collected"),EXACT(metadata!C347,"missing: not provided"),EXACT(metadata!C347,"missing: restricted access"))),AND(IF(metadata!C347="",FALSE,TRUE),AND(AND(IFERROR(INT(LEFT(metadata!C347,4))&gt;1900,FALSE),IFERROR(INT(LEFT(metadata!C347,4))&lt;=YEAR(NOW()),FALSE)), OR(MID(metadata!C347,5,1)="", AND(AND(MID(metadata!C347,5,1)="-",IFERROR(INT(MID(metadata!C347,6,1))&gt;=0,FALSE),IFERROR(INT(MID(metadata!C347,6,1))&lt;=1,FALSE),NOT(MID(metadata!C347,7,1)=""),IFERROR(INT(MID(metadata!C347,6,2))&gt;=1,FALSE),IFERROR(INT(MID(metadata!C347,6,2))&lt;=12,FALSE)), OR(MID(metadata!C347,8,1)="", AND(AND(MID(metadata!C347,8,1)="-",IFERROR(INT(MID(metadata!C347,9,1))&gt;=0,FALSE),IFERROR(INT(MID(metadata!C347,9,1))&lt;=3,FALSE),NOT(MID(metadata!C347,10,1)=""),IFERROR(INT(MID(metadata!C347,9,2))&gt;=1,FALSE),IFERROR(INT(MID(metadata!C347,9,2))&lt;=31,FALSE)), OR(MID(metadata!C347,11,1)="", AND(AND(MID(metadata!C347,11,1)=" ",IFERROR(INT(MID(metadata!C347,12,1))&gt;=0,FALSE),IFERROR(INT(MID(metadata!C347,12,1))&lt;=2,FALSE),NOT(MID(metadata!C347,13,1)=""),IFERROR(INT(MID(metadata!C347,12,2))&gt;=0,FALSE),IFERROR(INT(MID(metadata!C347,12,2))&lt;=23,FALSE)), OR(MID(metadata!C347,14,1)="", AND(AND(MID(metadata!C347,14,1)=":",IFERROR(INT(MID(metadata!C347,15,1))&gt;=0,FALSE),IFERROR(INT(MID(metadata!C347,15,1))&lt;=5,FALSE),NOT(MID(metadata!C347,16,1)=""),IFERROR(INT(MID(metadata!C347,15,2))&gt;=0,FALSE),IFERROR(INT(MID(metadata!C347,15,2))&lt;=59,FALSE)), OR(MID(metadata!C347,17,1)="", AND(AND(MID(metadata!C347,17,1)=":",IFERROR(INT(MID(metadata!C347,18,1))&gt;=0,FALSE),IFERROR(INT(MID(metadata!C347,18,1))&lt;=5,FALSE),NOT(MID(metadata!C347,19,1)=""),IFERROR(INT(MID(metadata!C347,18,2))&gt;=0,FALSE),IFERROR(INT(MID(metadata!C347,18,2))&lt;=59,FALSE)), LEN(metadata!C347)&lt;=19)))))))))))))</f>
        <v>0</v>
      </c>
      <c r="AO347" t="b">
        <f>AND(IF(metadata!D347="",FALSE,TRUE),EXACT(metadata!D347,"Not applicable"))</f>
        <v>0</v>
      </c>
      <c r="AP347" t="b">
        <f>IF(metadata!E347="",FALSE,TRUE)</f>
        <v>0</v>
      </c>
      <c r="AQ347" t="b">
        <f>OR(AND(IF(metadata!F347="",FALSE,TRUE),OR(EXACT(metadata!F347,"missing: not collected"),EXACT(metadata!F347,"missing: not provided"))),AND(IF(metadata!F347="",FALSE,TRUE),OR(EXACT(metadata!F347,"TRUE"),EXACT(metadata!F347,"FALSE"))))</f>
        <v>0</v>
      </c>
      <c r="AR347" t="b">
        <f>OR(AND(IF(metadata!G347="",FALSE,TRUE),OR(EXACT(metadata!G347,"missing: not collected"),EXACT(metadata!G347,"missing: not provided"),EXACT(metadata!G347,"missing: restricted access"))),AND(IF(metadata!G347="",FALSE,ISNUMBER(VALUE(metadata!G347))),metadata!G347&gt;=-413))</f>
        <v>0</v>
      </c>
      <c r="AS347" t="b">
        <f>AND(IF(metadata!H347="",FALSE,TRUE),EXACT(metadata!H347,"meters"))</f>
        <v>0</v>
      </c>
      <c r="AT347" t="b">
        <f>AND(IF(metadata!I347="",FALSE,TRUE),OR(EXACT(metadata!I347,"Host-associated"),EXACT(metadata!I347,"Free-living")))</f>
        <v>0</v>
      </c>
      <c r="AU347" t="b">
        <f>AND(IF(metadata!J347="",FALSE,TRUE),OR(EXACT(metadata!J347,"Animal"),EXACT(metadata!J347,"Fungus"),EXACT(metadata!J347,"Plant"),EXACT(metadata!J347,"Saline"),EXACT(metadata!J347,"Non-saline")))</f>
        <v>0</v>
      </c>
      <c r="AV347" t="b">
        <f>AND(IF(metadata!K347="",FALSE,TRUE),OR(EXACT(metadata!K347,"Plant secretion"),EXACT(metadata!K347,"Plant rhizosphere"),EXACT(metadata!K347,"Plant surface"),EXACT(metadata!K347,"Plant corpus"),EXACT(metadata!K347,"Fungus surface"),EXACT(metadata!K347,"Fungus corpus"),EXACT(metadata!K347,"Animal surface"),EXACT(metadata!K347,"Animal proximal gut"),EXACT(metadata!K347,"Animal corpus"),EXACT(metadata!K347,"Animal distal gut"),EXACT(metadata!K347,"Animal secretion"),EXACT(metadata!K347,"Sub-surface (non-saline)"),EXACT(metadata!K347,"Surface (non-saline)"),EXACT(metadata!K347,"Water (non-saline)"),EXACT(metadata!K347,"Soil (non-saline)"),EXACT(metadata!K347,"Aerosol (non-saline)"),EXACT(metadata!K347,"Sediment (non-saline)"),EXACT(metadata!K347,"Surface (saline)"),EXACT(metadata!K347,"Water (saline)"),EXACT(metadata!K347,"Hypersaline (saline)"),EXACT(metadata!K347,"Aerosol (saline)"),EXACT(metadata!K347,"Sediment (saline)")))</f>
        <v>0</v>
      </c>
      <c r="AW347" t="b">
        <f>IF(metadata!L347="",FALSE,TRUE)</f>
        <v>0</v>
      </c>
      <c r="AX347" t="b">
        <f>IF(metadata!M347="",FALSE,TRUE)</f>
        <v>0</v>
      </c>
      <c r="AY347" t="b">
        <f>IF(metadata!N347="",FALSE,TRUE)</f>
        <v>0</v>
      </c>
      <c r="AZ347" t="b">
        <f>OR(AND(IF(metadata!O347="",FALSE,TRUE),OR(EXACT(metadata!O347,"missing: not collected"),EXACT(metadata!O347,"missing: not provided"),EXACT(metadata!O347,"missing: restricted access"))),AND(IF(metadata!O347="",FALSE,TRUE),OR(EXACT(metadata!O347,"air"),EXACT(metadata!O347,"built environment"),EXACT(metadata!O347,"host-associated"),EXACT(metadata!O347,"human-associated"),EXACT(metadata!O347,"human-skin"),EXACT(metadata!O347,"human-oral"),EXACT(metadata!O347,"human-gut"),EXACT(metadata!O347,"human-vaginal"),EXACT(metadata!O347,"microbial mat/biofilm"),EXACT(metadata!O347,"misc environment"),EXACT(metadata!O347,"plant-associated"),EXACT(metadata!O347,"sediment"),EXACT(metadata!O347,"soil"),EXACT(metadata!O347,"wastewater/sludge"),EXACT(metadata!O347,"water"))))</f>
        <v>0</v>
      </c>
      <c r="BA347" t="b">
        <f>IF(metadata!P347="",FALSE,TRUE)</f>
        <v>0</v>
      </c>
      <c r="BB347" t="b">
        <f>IF(metadata!Q347="",FALSE,TRUE)</f>
        <v>0</v>
      </c>
      <c r="BC347" t="b">
        <f>OR(AND(IF(metadata!R347="",FALSE,TRUE),OR(EXACT(metadata!R347,"missing: not collected"),EXACT(metadata!R347,"missing: not provided"),EXACT(metadata!R347,"missing: restricted access"))),AND(IF(metadata!R347="",FALSE,ISNUMBER(VALUE(metadata!R347))),metadata!R347&gt;=-90,metadata!R347&lt;=90))</f>
        <v>0</v>
      </c>
      <c r="BD347" t="b">
        <f>AND(IF(metadata!S347="",FALSE,TRUE),EXACT(metadata!S347,"Decimal degrees"))</f>
        <v>0</v>
      </c>
      <c r="BE347" t="b">
        <f>OR(AND(IF(metadata!T347="",FALSE,TRUE),OR(EXACT(metadata!T347,"missing: not collected"),EXACT(metadata!T347,"missing: not provided"),EXACT(metadata!T347,"missing: restricted access"))),AND(IF(metadata!T347="",FALSE,ISNUMBER(VALUE(metadata!T347))),metadata!T347&gt;=-180,metadata!T347&lt;=180))</f>
        <v>0</v>
      </c>
      <c r="BF347" t="b">
        <f>AND(IF(metadata!U347="",FALSE,TRUE),EXACT(metadata!U347,"Decimal degrees"))</f>
        <v>0</v>
      </c>
      <c r="BG347" t="b">
        <f>IF(metadata!V347="",FALSE,TRUE)</f>
        <v>0</v>
      </c>
      <c r="BH347" t="b">
        <f>OR(AND(IF(metadata!W347="",FALSE,TRUE),OR(EXACT(metadata!W347,"missing: not collected"),EXACT(metadata!W347,"missing: not provided"),EXACT(metadata!W347,"missing: restricted access"))),AND(IF(metadata!W347="",FALSE,TRUE),OR(EXACT(metadata!W347,"TRUE"),EXACT(metadata!W347,"FALSE"))))</f>
        <v>0</v>
      </c>
      <c r="BI347" t="b">
        <f>AND(IF(metadata!X347="",FALSE,TRUE),EXACT(metadata!X347,"other"))</f>
        <v>0</v>
      </c>
      <c r="BJ347" t="b">
        <f>IF(metadata!Y347="",FALSE,TRUE)</f>
        <v>0</v>
      </c>
      <c r="BK347" t="b">
        <f>OR(AND(IF(metadata!Z347="",FALSE,TRUE),OR(EXACT(metadata!Z347,"missing: not collected"),EXACT(metadata!Z347,"missing: not provided"))),AND(IF(metadata!Z347="",FALSE,IF(ISERROR(INT(metadata!Z347)),FALSE,INT(metadata!Z347)=metadata!Z347)),metadata!Z347&gt;0))</f>
        <v>0</v>
      </c>
      <c r="BL347" t="b">
        <f>AND(IF(metadata!AA347="",FALSE,TRUE),EXACT(metadata!AA347,"Not applicable"))</f>
        <v>0</v>
      </c>
      <c r="BM347" t="b">
        <f>IF(metadata!AB347="",FALSE,TRUE)</f>
        <v>0</v>
      </c>
    </row>
    <row r="348" spans="1:65" x14ac:dyDescent="0.2">
      <c r="A348" s="5" t="str">
        <f ca="1">IF(B348=" "," ",HYPERLINK(CONCATENATE("#metadata!",ADDRESS(INDEX($AH$2:$AH$1001,MATCH(ROWS($AF$2:AF348),$AF$2:$AF$1001,0),0),1)),INDEX($AK$2:$AK$1001,MATCH(ROWS($AF$2:AF348),$AF$2:$AF$1001,0),0)))</f>
        <v xml:space="preserve"> </v>
      </c>
      <c r="B348" s="4" t="str">
        <f ca="1">IF(OR(INDEX($AG$2:$AG$1001,MATCH(ROWS($AF$2:AF348),$AF$2:$AF$1001,0),1)&gt;=100000,INDEX($AM$1005:$BM$1005,1,MATCH(COLUMNS($AM$1006:AM1006),$AM$1006:$BM$1006,0))&gt;=100000), " ",IF(INDEX($AM$2:$BM$1001,MATCH(ROWS($AF$2:AF348),$AF$2:$AF$1001,0),MATCH(COLUMNS($AM$1006:AM1006),$AM$1006:$BM$1006,0)), HYPERLINK("#",""), HYPERLINK(CONCATENATE("#metadata!", ADDRESS(INDEX($AH$2:$AH$1001,MATCH(ROWS($AF$2:AF348),$AF$2:$AF$1001,0),0), INDEX($AM$1004:$BM$1004,1,MATCH(COLUMNS($AM$1006:AM1006),$AM$1006:$BM$1006,0)))),"Fix")))</f>
        <v xml:space="preserve"> </v>
      </c>
      <c r="C348" s="4" t="str">
        <f ca="1">IF(OR(INDEX($AG$2:$AG$1001,MATCH(ROWS($AF$2:AF348),$AF$2:$AF$1001,0),1)&gt;=100000,INDEX($AM$1005:$BM$1005,1,MATCH(COLUMNS($AM$1006:AN1006),$AM$1006:$BM$1006,0))&gt;=100000), " ",IF(INDEX($AM$2:$BM$1001,MATCH(ROWS($AF$2:AF348),$AF$2:$AF$1001,0),MATCH(COLUMNS($AM$1006:AN1006),$AM$1006:$BM$1006,0)), HYPERLINK("#",""), HYPERLINK(CONCATENATE("#metadata!", ADDRESS(INDEX($AH$2:$AH$1001,MATCH(ROWS($AF$2:AF348),$AF$2:$AF$1001,0),0), INDEX($AM$1004:$BM$1004,1,MATCH(COLUMNS($AM$1006:AN1006),$AM$1006:$BM$1006,0)))),"Fix")))</f>
        <v xml:space="preserve"> </v>
      </c>
      <c r="D348" s="4" t="str">
        <f ca="1">IF(OR(INDEX($AG$2:$AG$1001,MATCH(ROWS($AF$2:AF348),$AF$2:$AF$1001,0),1)&gt;=100000,INDEX($AM$1005:$BM$1005,1,MATCH(COLUMNS($AM$1006:AO1006),$AM$1006:$BM$1006,0))&gt;=100000), " ",IF(INDEX($AM$2:$BM$1001,MATCH(ROWS($AF$2:AF348),$AF$2:$AF$1001,0),MATCH(COLUMNS($AM$1006:AO1006),$AM$1006:$BM$1006,0)), HYPERLINK("#",""), HYPERLINK(CONCATENATE("#metadata!", ADDRESS(INDEX($AH$2:$AH$1001,MATCH(ROWS($AF$2:AF348),$AF$2:$AF$1001,0),0), INDEX($AM$1004:$BM$1004,1,MATCH(COLUMNS($AM$1006:AO1006),$AM$1006:$BM$1006,0)))),"Fix")))</f>
        <v xml:space="preserve"> </v>
      </c>
      <c r="E348" s="4" t="str">
        <f ca="1">IF(OR(INDEX($AG$2:$AG$1001,MATCH(ROWS($AF$2:AF348),$AF$2:$AF$1001,0),1)&gt;=100000,INDEX($AM$1005:$BM$1005,1,MATCH(COLUMNS($AM$1006:AP1006),$AM$1006:$BM$1006,0))&gt;=100000), " ",IF(INDEX($AM$2:$BM$1001,MATCH(ROWS($AF$2:AF348),$AF$2:$AF$1001,0),MATCH(COLUMNS($AM$1006:AP1006),$AM$1006:$BM$1006,0)), HYPERLINK("#",""), HYPERLINK(CONCATENATE("#metadata!", ADDRESS(INDEX($AH$2:$AH$1001,MATCH(ROWS($AF$2:AF348),$AF$2:$AF$1001,0),0), INDEX($AM$1004:$BM$1004,1,MATCH(COLUMNS($AM$1006:AP1006),$AM$1006:$BM$1006,0)))),"Fix")))</f>
        <v xml:space="preserve"> </v>
      </c>
      <c r="F348" s="4" t="str">
        <f ca="1">IF(OR(INDEX($AG$2:$AG$1001,MATCH(ROWS($AF$2:AF348),$AF$2:$AF$1001,0),1)&gt;=100000,INDEX($AM$1005:$BM$1005,1,MATCH(COLUMNS($AM$1006:AQ1006),$AM$1006:$BM$1006,0))&gt;=100000), " ",IF(INDEX($AM$2:$BM$1001,MATCH(ROWS($AF$2:AF348),$AF$2:$AF$1001,0),MATCH(COLUMNS($AM$1006:AQ1006),$AM$1006:$BM$1006,0)), HYPERLINK("#",""), HYPERLINK(CONCATENATE("#metadata!", ADDRESS(INDEX($AH$2:$AH$1001,MATCH(ROWS($AF$2:AF348),$AF$2:$AF$1001,0),0), INDEX($AM$1004:$BM$1004,1,MATCH(COLUMNS($AM$1006:AQ1006),$AM$1006:$BM$1006,0)))),"Fix")))</f>
        <v xml:space="preserve"> </v>
      </c>
      <c r="G348" s="4" t="str">
        <f ca="1">IF(OR(INDEX($AG$2:$AG$1001,MATCH(ROWS($AF$2:AF348),$AF$2:$AF$1001,0),1)&gt;=100000,INDEX($AM$1005:$BM$1005,1,MATCH(COLUMNS($AM$1006:AR1006),$AM$1006:$BM$1006,0))&gt;=100000), " ",IF(INDEX($AM$2:$BM$1001,MATCH(ROWS($AF$2:AF348),$AF$2:$AF$1001,0),MATCH(COLUMNS($AM$1006:AR1006),$AM$1006:$BM$1006,0)), HYPERLINK("#",""), HYPERLINK(CONCATENATE("#metadata!", ADDRESS(INDEX($AH$2:$AH$1001,MATCH(ROWS($AF$2:AF348),$AF$2:$AF$1001,0),0), INDEX($AM$1004:$BM$1004,1,MATCH(COLUMNS($AM$1006:AR1006),$AM$1006:$BM$1006,0)))),"Fix")))</f>
        <v xml:space="preserve"> </v>
      </c>
      <c r="H348" s="4" t="str">
        <f ca="1">IF(OR(INDEX($AG$2:$AG$1001,MATCH(ROWS($AF$2:AF348),$AF$2:$AF$1001,0),1)&gt;=100000,INDEX($AM$1005:$BM$1005,1,MATCH(COLUMNS($AM$1006:AS1006),$AM$1006:$BM$1006,0))&gt;=100000), " ",IF(INDEX($AM$2:$BM$1001,MATCH(ROWS($AF$2:AF348),$AF$2:$AF$1001,0),MATCH(COLUMNS($AM$1006:AS1006),$AM$1006:$BM$1006,0)), HYPERLINK("#",""), HYPERLINK(CONCATENATE("#metadata!", ADDRESS(INDEX($AH$2:$AH$1001,MATCH(ROWS($AF$2:AF348),$AF$2:$AF$1001,0),0), INDEX($AM$1004:$BM$1004,1,MATCH(COLUMNS($AM$1006:AS1006),$AM$1006:$BM$1006,0)))),"Fix")))</f>
        <v xml:space="preserve"> </v>
      </c>
      <c r="I348" s="4" t="str">
        <f ca="1">IF(OR(INDEX($AG$2:$AG$1001,MATCH(ROWS($AF$2:AF348),$AF$2:$AF$1001,0),1)&gt;=100000,INDEX($AM$1005:$BM$1005,1,MATCH(COLUMNS($AM$1006:AT1006),$AM$1006:$BM$1006,0))&gt;=100000), " ",IF(INDEX($AM$2:$BM$1001,MATCH(ROWS($AF$2:AF348),$AF$2:$AF$1001,0),MATCH(COLUMNS($AM$1006:AT1006),$AM$1006:$BM$1006,0)), HYPERLINK("#",""), HYPERLINK(CONCATENATE("#metadata!", ADDRESS(INDEX($AH$2:$AH$1001,MATCH(ROWS($AF$2:AF348),$AF$2:$AF$1001,0),0), INDEX($AM$1004:$BM$1004,1,MATCH(COLUMNS($AM$1006:AT1006),$AM$1006:$BM$1006,0)))),"Fix")))</f>
        <v xml:space="preserve"> </v>
      </c>
      <c r="J348" s="4" t="str">
        <f ca="1">IF(OR(INDEX($AG$2:$AG$1001,MATCH(ROWS($AF$2:AF348),$AF$2:$AF$1001,0),1)&gt;=100000,INDEX($AM$1005:$BM$1005,1,MATCH(COLUMNS($AM$1006:AU1006),$AM$1006:$BM$1006,0))&gt;=100000), " ",IF(INDEX($AM$2:$BM$1001,MATCH(ROWS($AF$2:AF348),$AF$2:$AF$1001,0),MATCH(COLUMNS($AM$1006:AU1006),$AM$1006:$BM$1006,0)), HYPERLINK("#",""), HYPERLINK(CONCATENATE("#metadata!", ADDRESS(INDEX($AH$2:$AH$1001,MATCH(ROWS($AF$2:AF348),$AF$2:$AF$1001,0),0), INDEX($AM$1004:$BM$1004,1,MATCH(COLUMNS($AM$1006:AU1006),$AM$1006:$BM$1006,0)))),"Fix")))</f>
        <v xml:space="preserve"> </v>
      </c>
      <c r="K348" s="4" t="str">
        <f ca="1">IF(OR(INDEX($AG$2:$AG$1001,MATCH(ROWS($AF$2:AF348),$AF$2:$AF$1001,0),1)&gt;=100000,INDEX($AM$1005:$BM$1005,1,MATCH(COLUMNS($AM$1006:AV1006),$AM$1006:$BM$1006,0))&gt;=100000), " ",IF(INDEX($AM$2:$BM$1001,MATCH(ROWS($AF$2:AF348),$AF$2:$AF$1001,0),MATCH(COLUMNS($AM$1006:AV1006),$AM$1006:$BM$1006,0)), HYPERLINK("#",""), HYPERLINK(CONCATENATE("#metadata!", ADDRESS(INDEX($AH$2:$AH$1001,MATCH(ROWS($AF$2:AF348),$AF$2:$AF$1001,0),0), INDEX($AM$1004:$BM$1004,1,MATCH(COLUMNS($AM$1006:AV1006),$AM$1006:$BM$1006,0)))),"Fix")))</f>
        <v xml:space="preserve"> </v>
      </c>
      <c r="L348" s="4" t="str">
        <f ca="1">IF(OR(INDEX($AG$2:$AG$1001,MATCH(ROWS($AF$2:AF348),$AF$2:$AF$1001,0),1)&gt;=100000,INDEX($AM$1005:$BM$1005,1,MATCH(COLUMNS($AM$1006:AW1006),$AM$1006:$BM$1006,0))&gt;=100000), " ",IF(INDEX($AM$2:$BM$1001,MATCH(ROWS($AF$2:AF348),$AF$2:$AF$1001,0),MATCH(COLUMNS($AM$1006:AW1006),$AM$1006:$BM$1006,0)), HYPERLINK("#",""), HYPERLINK(CONCATENATE("#metadata!", ADDRESS(INDEX($AH$2:$AH$1001,MATCH(ROWS($AF$2:AF348),$AF$2:$AF$1001,0),0), INDEX($AM$1004:$BM$1004,1,MATCH(COLUMNS($AM$1006:AW1006),$AM$1006:$BM$1006,0)))),"Fix")))</f>
        <v xml:space="preserve"> </v>
      </c>
      <c r="M348" s="4" t="str">
        <f ca="1">IF(OR(INDEX($AG$2:$AG$1001,MATCH(ROWS($AF$2:AF348),$AF$2:$AF$1001,0),1)&gt;=100000,INDEX($AM$1005:$BM$1005,1,MATCH(COLUMNS($AM$1006:AX1006),$AM$1006:$BM$1006,0))&gt;=100000), " ",IF(INDEX($AM$2:$BM$1001,MATCH(ROWS($AF$2:AF348),$AF$2:$AF$1001,0),MATCH(COLUMNS($AM$1006:AX1006),$AM$1006:$BM$1006,0)), HYPERLINK("#",""), HYPERLINK(CONCATENATE("#metadata!", ADDRESS(INDEX($AH$2:$AH$1001,MATCH(ROWS($AF$2:AF348),$AF$2:$AF$1001,0),0), INDEX($AM$1004:$BM$1004,1,MATCH(COLUMNS($AM$1006:AX1006),$AM$1006:$BM$1006,0)))),"Fix")))</f>
        <v xml:space="preserve"> </v>
      </c>
      <c r="N348" s="4" t="str">
        <f ca="1">IF(OR(INDEX($AG$2:$AG$1001,MATCH(ROWS($AF$2:AF348),$AF$2:$AF$1001,0),1)&gt;=100000,INDEX($AM$1005:$BM$1005,1,MATCH(COLUMNS($AM$1006:AY1006),$AM$1006:$BM$1006,0))&gt;=100000), " ",IF(INDEX($AM$2:$BM$1001,MATCH(ROWS($AF$2:AF348),$AF$2:$AF$1001,0),MATCH(COLUMNS($AM$1006:AY1006),$AM$1006:$BM$1006,0)), HYPERLINK("#",""), HYPERLINK(CONCATENATE("#metadata!", ADDRESS(INDEX($AH$2:$AH$1001,MATCH(ROWS($AF$2:AF348),$AF$2:$AF$1001,0),0), INDEX($AM$1004:$BM$1004,1,MATCH(COLUMNS($AM$1006:AY1006),$AM$1006:$BM$1006,0)))),"Fix")))</f>
        <v xml:space="preserve"> </v>
      </c>
      <c r="O348" s="4" t="str">
        <f ca="1">IF(OR(INDEX($AG$2:$AG$1001,MATCH(ROWS($AF$2:AF348),$AF$2:$AF$1001,0),1)&gt;=100000,INDEX($AM$1005:$BM$1005,1,MATCH(COLUMNS($AM$1006:AZ1006),$AM$1006:$BM$1006,0))&gt;=100000), " ",IF(INDEX($AM$2:$BM$1001,MATCH(ROWS($AF$2:AF348),$AF$2:$AF$1001,0),MATCH(COLUMNS($AM$1006:AZ1006),$AM$1006:$BM$1006,0)), HYPERLINK("#",""), HYPERLINK(CONCATENATE("#metadata!", ADDRESS(INDEX($AH$2:$AH$1001,MATCH(ROWS($AF$2:AF348),$AF$2:$AF$1001,0),0), INDEX($AM$1004:$BM$1004,1,MATCH(COLUMNS($AM$1006:AZ1006),$AM$1006:$BM$1006,0)))),"Fix")))</f>
        <v xml:space="preserve"> </v>
      </c>
      <c r="P348" s="4" t="str">
        <f ca="1">IF(OR(INDEX($AG$2:$AG$1001,MATCH(ROWS($AF$2:AF348),$AF$2:$AF$1001,0),1)&gt;=100000,INDEX($AM$1005:$BM$1005,1,MATCH(COLUMNS($AM$1006:BA1006),$AM$1006:$BM$1006,0))&gt;=100000), " ",IF(INDEX($AM$2:$BM$1001,MATCH(ROWS($AF$2:AF348),$AF$2:$AF$1001,0),MATCH(COLUMNS($AM$1006:BA1006),$AM$1006:$BM$1006,0)), HYPERLINK("#",""), HYPERLINK(CONCATENATE("#metadata!", ADDRESS(INDEX($AH$2:$AH$1001,MATCH(ROWS($AF$2:AF348),$AF$2:$AF$1001,0),0), INDEX($AM$1004:$BM$1004,1,MATCH(COLUMNS($AM$1006:BA1006),$AM$1006:$BM$1006,0)))),"Fix")))</f>
        <v xml:space="preserve"> </v>
      </c>
      <c r="Q348" s="4" t="str">
        <f ca="1">IF(OR(INDEX($AG$2:$AG$1001,MATCH(ROWS($AF$2:AF348),$AF$2:$AF$1001,0),1)&gt;=100000,INDEX($AM$1005:$BM$1005,1,MATCH(COLUMNS($AM$1006:BB1006),$AM$1006:$BM$1006,0))&gt;=100000), " ",IF(INDEX($AM$2:$BM$1001,MATCH(ROWS($AF$2:AF348),$AF$2:$AF$1001,0),MATCH(COLUMNS($AM$1006:BB1006),$AM$1006:$BM$1006,0)), HYPERLINK("#",""), HYPERLINK(CONCATENATE("#metadata!", ADDRESS(INDEX($AH$2:$AH$1001,MATCH(ROWS($AF$2:AF348),$AF$2:$AF$1001,0),0), INDEX($AM$1004:$BM$1004,1,MATCH(COLUMNS($AM$1006:BB1006),$AM$1006:$BM$1006,0)))),"Fix")))</f>
        <v xml:space="preserve"> </v>
      </c>
      <c r="R348" s="4" t="str">
        <f ca="1">IF(OR(INDEX($AG$2:$AG$1001,MATCH(ROWS($AF$2:AF348),$AF$2:$AF$1001,0),1)&gt;=100000,INDEX($AM$1005:$BM$1005,1,MATCH(COLUMNS($AM$1006:BC1006),$AM$1006:$BM$1006,0))&gt;=100000), " ",IF(INDEX($AM$2:$BM$1001,MATCH(ROWS($AF$2:AF348),$AF$2:$AF$1001,0),MATCH(COLUMNS($AM$1006:BC1006),$AM$1006:$BM$1006,0)), HYPERLINK("#",""), HYPERLINK(CONCATENATE("#metadata!", ADDRESS(INDEX($AH$2:$AH$1001,MATCH(ROWS($AF$2:AF348),$AF$2:$AF$1001,0),0), INDEX($AM$1004:$BM$1004,1,MATCH(COLUMNS($AM$1006:BC1006),$AM$1006:$BM$1006,0)))),"Fix")))</f>
        <v xml:space="preserve"> </v>
      </c>
      <c r="S348" s="4" t="str">
        <f ca="1">IF(OR(INDEX($AG$2:$AG$1001,MATCH(ROWS($AF$2:AF348),$AF$2:$AF$1001,0),1)&gt;=100000,INDEX($AM$1005:$BM$1005,1,MATCH(COLUMNS($AM$1006:BD1006),$AM$1006:$BM$1006,0))&gt;=100000), " ",IF(INDEX($AM$2:$BM$1001,MATCH(ROWS($AF$2:AF348),$AF$2:$AF$1001,0),MATCH(COLUMNS($AM$1006:BD1006),$AM$1006:$BM$1006,0)), HYPERLINK("#",""), HYPERLINK(CONCATENATE("#metadata!", ADDRESS(INDEX($AH$2:$AH$1001,MATCH(ROWS($AF$2:AF348),$AF$2:$AF$1001,0),0), INDEX($AM$1004:$BM$1004,1,MATCH(COLUMNS($AM$1006:BD1006),$AM$1006:$BM$1006,0)))),"Fix")))</f>
        <v xml:space="preserve"> </v>
      </c>
      <c r="T348" s="4" t="str">
        <f ca="1">IF(OR(INDEX($AG$2:$AG$1001,MATCH(ROWS($AF$2:AF348),$AF$2:$AF$1001,0),1)&gt;=100000,INDEX($AM$1005:$BM$1005,1,MATCH(COLUMNS($AM$1006:BE1006),$AM$1006:$BM$1006,0))&gt;=100000), " ",IF(INDEX($AM$2:$BM$1001,MATCH(ROWS($AF$2:AF348),$AF$2:$AF$1001,0),MATCH(COLUMNS($AM$1006:BE1006),$AM$1006:$BM$1006,0)), HYPERLINK("#",""), HYPERLINK(CONCATENATE("#metadata!", ADDRESS(INDEX($AH$2:$AH$1001,MATCH(ROWS($AF$2:AF348),$AF$2:$AF$1001,0),0), INDEX($AM$1004:$BM$1004,1,MATCH(COLUMNS($AM$1006:BE1006),$AM$1006:$BM$1006,0)))),"Fix")))</f>
        <v xml:space="preserve"> </v>
      </c>
      <c r="U348" s="4" t="str">
        <f ca="1">IF(OR(INDEX($AG$2:$AG$1001,MATCH(ROWS($AF$2:AF348),$AF$2:$AF$1001,0),1)&gt;=100000,INDEX($AM$1005:$BM$1005,1,MATCH(COLUMNS($AM$1006:BF1006),$AM$1006:$BM$1006,0))&gt;=100000), " ",IF(INDEX($AM$2:$BM$1001,MATCH(ROWS($AF$2:AF348),$AF$2:$AF$1001,0),MATCH(COLUMNS($AM$1006:BF1006),$AM$1006:$BM$1006,0)), HYPERLINK("#",""), HYPERLINK(CONCATENATE("#metadata!", ADDRESS(INDEX($AH$2:$AH$1001,MATCH(ROWS($AF$2:AF348),$AF$2:$AF$1001,0),0), INDEX($AM$1004:$BM$1004,1,MATCH(COLUMNS($AM$1006:BF1006),$AM$1006:$BM$1006,0)))),"Fix")))</f>
        <v xml:space="preserve"> </v>
      </c>
      <c r="V348" s="4" t="str">
        <f ca="1">IF(OR(INDEX($AG$2:$AG$1001,MATCH(ROWS($AF$2:AF348),$AF$2:$AF$1001,0),1)&gt;=100000,INDEX($AM$1005:$BM$1005,1,MATCH(COLUMNS($AM$1006:BG1006),$AM$1006:$BM$1006,0))&gt;=100000), " ",IF(INDEX($AM$2:$BM$1001,MATCH(ROWS($AF$2:AF348),$AF$2:$AF$1001,0),MATCH(COLUMNS($AM$1006:BG1006),$AM$1006:$BM$1006,0)), HYPERLINK("#",""), HYPERLINK(CONCATENATE("#metadata!", ADDRESS(INDEX($AH$2:$AH$1001,MATCH(ROWS($AF$2:AF348),$AF$2:$AF$1001,0),0), INDEX($AM$1004:$BM$1004,1,MATCH(COLUMNS($AM$1006:BG1006),$AM$1006:$BM$1006,0)))),"Fix")))</f>
        <v xml:space="preserve"> </v>
      </c>
      <c r="W348" s="4" t="str">
        <f ca="1">IF(OR(INDEX($AG$2:$AG$1001,MATCH(ROWS($AF$2:AF348),$AF$2:$AF$1001,0),1)&gt;=100000,INDEX($AM$1005:$BM$1005,1,MATCH(COLUMNS($AM$1006:BH1006),$AM$1006:$BM$1006,0))&gt;=100000), " ",IF(INDEX($AM$2:$BM$1001,MATCH(ROWS($AF$2:AF348),$AF$2:$AF$1001,0),MATCH(COLUMNS($AM$1006:BH1006),$AM$1006:$BM$1006,0)), HYPERLINK("#",""), HYPERLINK(CONCATENATE("#metadata!", ADDRESS(INDEX($AH$2:$AH$1001,MATCH(ROWS($AF$2:AF348),$AF$2:$AF$1001,0),0), INDEX($AM$1004:$BM$1004,1,MATCH(COLUMNS($AM$1006:BH1006),$AM$1006:$BM$1006,0)))),"Fix")))</f>
        <v xml:space="preserve"> </v>
      </c>
      <c r="X348" s="4" t="str">
        <f ca="1">IF(OR(INDEX($AG$2:$AG$1001,MATCH(ROWS($AF$2:AF348),$AF$2:$AF$1001,0),1)&gt;=100000,INDEX($AM$1005:$BM$1005,1,MATCH(COLUMNS($AM$1006:BI1006),$AM$1006:$BM$1006,0))&gt;=100000), " ",IF(INDEX($AM$2:$BM$1001,MATCH(ROWS($AF$2:AF348),$AF$2:$AF$1001,0),MATCH(COLUMNS($AM$1006:BI1006),$AM$1006:$BM$1006,0)), HYPERLINK("#",""), HYPERLINK(CONCATENATE("#metadata!", ADDRESS(INDEX($AH$2:$AH$1001,MATCH(ROWS($AF$2:AF348),$AF$2:$AF$1001,0),0), INDEX($AM$1004:$BM$1004,1,MATCH(COLUMNS($AM$1006:BI1006),$AM$1006:$BM$1006,0)))),"Fix")))</f>
        <v xml:space="preserve"> </v>
      </c>
      <c r="Y348" s="4" t="str">
        <f ca="1">IF(OR(INDEX($AG$2:$AG$1001,MATCH(ROWS($AF$2:AF348),$AF$2:$AF$1001,0),1)&gt;=100000,INDEX($AM$1005:$BM$1005,1,MATCH(COLUMNS($AM$1006:BJ1006),$AM$1006:$BM$1006,0))&gt;=100000), " ",IF(INDEX($AM$2:$BM$1001,MATCH(ROWS($AF$2:AF348),$AF$2:$AF$1001,0),MATCH(COLUMNS($AM$1006:BJ1006),$AM$1006:$BM$1006,0)), HYPERLINK("#",""), HYPERLINK(CONCATENATE("#metadata!", ADDRESS(INDEX($AH$2:$AH$1001,MATCH(ROWS($AF$2:AF348),$AF$2:$AF$1001,0),0), INDEX($AM$1004:$BM$1004,1,MATCH(COLUMNS($AM$1006:BJ1006),$AM$1006:$BM$1006,0)))),"Fix")))</f>
        <v xml:space="preserve"> </v>
      </c>
      <c r="Z348" s="4" t="str">
        <f ca="1">IF(OR(INDEX($AG$2:$AG$1001,MATCH(ROWS($AF$2:AF348),$AF$2:$AF$1001,0),1)&gt;=100000,INDEX($AM$1005:$BM$1005,1,MATCH(COLUMNS($AM$1006:BK1006),$AM$1006:$BM$1006,0))&gt;=100000), " ",IF(INDEX($AM$2:$BM$1001,MATCH(ROWS($AF$2:AF348),$AF$2:$AF$1001,0),MATCH(COLUMNS($AM$1006:BK1006),$AM$1006:$BM$1006,0)), HYPERLINK("#",""), HYPERLINK(CONCATENATE("#metadata!", ADDRESS(INDEX($AH$2:$AH$1001,MATCH(ROWS($AF$2:AF348),$AF$2:$AF$1001,0),0), INDEX($AM$1004:$BM$1004,1,MATCH(COLUMNS($AM$1006:BK1006),$AM$1006:$BM$1006,0)))),"Fix")))</f>
        <v xml:space="preserve"> </v>
      </c>
      <c r="AA348" s="4" t="str">
        <f ca="1">IF(OR(INDEX($AG$2:$AG$1001,MATCH(ROWS($AF$2:AF348),$AF$2:$AF$1001,0),1)&gt;=100000,INDEX($AM$1005:$BM$1005,1,MATCH(COLUMNS($AM$1006:BL1006),$AM$1006:$BM$1006,0))&gt;=100000), " ",IF(INDEX($AM$2:$BM$1001,MATCH(ROWS($AF$2:AF348),$AF$2:$AF$1001,0),MATCH(COLUMNS($AM$1006:BL1006),$AM$1006:$BM$1006,0)), HYPERLINK("#",""), HYPERLINK(CONCATENATE("#metadata!", ADDRESS(INDEX($AH$2:$AH$1001,MATCH(ROWS($AF$2:AF348),$AF$2:$AF$1001,0),0), INDEX($AM$1004:$BM$1004,1,MATCH(COLUMNS($AM$1006:BL1006),$AM$1006:$BM$1006,0)))),"Fix")))</f>
        <v xml:space="preserve"> </v>
      </c>
      <c r="AB348" s="4" t="str">
        <f ca="1">IF(OR(INDEX($AG$2:$AG$1001,MATCH(ROWS($AF$2:AF348),$AF$2:$AF$1001,0),1)&gt;=100000,INDEX($AM$1005:$BM$1005,1,MATCH(COLUMNS($AM$1006:BM1006),$AM$1006:$BM$1006,0))&gt;=100000), " ",IF(INDEX($AM$2:$BM$1001,MATCH(ROWS($AF$2:AF348),$AF$2:$AF$1001,0),MATCH(COLUMNS($AM$1006:BM1006),$AM$1006:$BM$1006,0)), HYPERLINK("#",""), HYPERLINK(CONCATENATE("#metadata!", ADDRESS(INDEX($AH$2:$AH$1001,MATCH(ROWS($AF$2:AF348),$AF$2:$AF$1001,0),0), INDEX($AM$1004:$BM$1004,1,MATCH(COLUMNS($AM$1006:BM1006),$AM$1006:$BM$1006,0)))),"Fix")))</f>
        <v xml:space="preserve"> </v>
      </c>
      <c r="AF348">
        <v>347</v>
      </c>
      <c r="AG348">
        <v>100348</v>
      </c>
      <c r="AH348">
        <v>348</v>
      </c>
      <c r="AI348" t="b">
        <f t="shared" si="5"/>
        <v>1</v>
      </c>
      <c r="AJ348" t="b">
        <f>COUNTBLANK(metadata!B348:AB348)=COLUMNS(metadata!B348:AB348)</f>
        <v>1</v>
      </c>
      <c r="AK348" t="str">
        <v/>
      </c>
      <c r="AM348" t="b">
        <f ca="1">AND(IF(metadata!B348="",FALSE,TRUE),COUNTIF(metadata!B:B, metadata!B348) = 1,NOT(ISERROR(SUMPRODUCT(SEARCH(MID(metadata!B348,ROW(INDIRECT("1:"&amp;LEN(metadata!B348))), 1),"0123456789abcdefghijklmnopqrstuvwxyzABCDEFGHIJKLMNOPQRSTUVWXYZ.")))))</f>
        <v>0</v>
      </c>
      <c r="AN348" t="b">
        <f ca="1">OR(AND(IF(metadata!C348="",FALSE,TRUE),OR(EXACT(metadata!C348,"missing: not collected"),EXACT(metadata!C348,"missing: not provided"),EXACT(metadata!C348,"missing: restricted access"))),AND(IF(metadata!C348="",FALSE,TRUE),AND(AND(IFERROR(INT(LEFT(metadata!C348,4))&gt;1900,FALSE),IFERROR(INT(LEFT(metadata!C348,4))&lt;=YEAR(NOW()),FALSE)), OR(MID(metadata!C348,5,1)="", AND(AND(MID(metadata!C348,5,1)="-",IFERROR(INT(MID(metadata!C348,6,1))&gt;=0,FALSE),IFERROR(INT(MID(metadata!C348,6,1))&lt;=1,FALSE),NOT(MID(metadata!C348,7,1)=""),IFERROR(INT(MID(metadata!C348,6,2))&gt;=1,FALSE),IFERROR(INT(MID(metadata!C348,6,2))&lt;=12,FALSE)), OR(MID(metadata!C348,8,1)="", AND(AND(MID(metadata!C348,8,1)="-",IFERROR(INT(MID(metadata!C348,9,1))&gt;=0,FALSE),IFERROR(INT(MID(metadata!C348,9,1))&lt;=3,FALSE),NOT(MID(metadata!C348,10,1)=""),IFERROR(INT(MID(metadata!C348,9,2))&gt;=1,FALSE),IFERROR(INT(MID(metadata!C348,9,2))&lt;=31,FALSE)), OR(MID(metadata!C348,11,1)="", AND(AND(MID(metadata!C348,11,1)=" ",IFERROR(INT(MID(metadata!C348,12,1))&gt;=0,FALSE),IFERROR(INT(MID(metadata!C348,12,1))&lt;=2,FALSE),NOT(MID(metadata!C348,13,1)=""),IFERROR(INT(MID(metadata!C348,12,2))&gt;=0,FALSE),IFERROR(INT(MID(metadata!C348,12,2))&lt;=23,FALSE)), OR(MID(metadata!C348,14,1)="", AND(AND(MID(metadata!C348,14,1)=":",IFERROR(INT(MID(metadata!C348,15,1))&gt;=0,FALSE),IFERROR(INT(MID(metadata!C348,15,1))&lt;=5,FALSE),NOT(MID(metadata!C348,16,1)=""),IFERROR(INT(MID(metadata!C348,15,2))&gt;=0,FALSE),IFERROR(INT(MID(metadata!C348,15,2))&lt;=59,FALSE)), OR(MID(metadata!C348,17,1)="", AND(AND(MID(metadata!C348,17,1)=":",IFERROR(INT(MID(metadata!C348,18,1))&gt;=0,FALSE),IFERROR(INT(MID(metadata!C348,18,1))&lt;=5,FALSE),NOT(MID(metadata!C348,19,1)=""),IFERROR(INT(MID(metadata!C348,18,2))&gt;=0,FALSE),IFERROR(INT(MID(metadata!C348,18,2))&lt;=59,FALSE)), LEN(metadata!C348)&lt;=19)))))))))))))</f>
        <v>0</v>
      </c>
      <c r="AO348" t="b">
        <f>AND(IF(metadata!D348="",FALSE,TRUE),EXACT(metadata!D348,"Not applicable"))</f>
        <v>0</v>
      </c>
      <c r="AP348" t="b">
        <f>IF(metadata!E348="",FALSE,TRUE)</f>
        <v>0</v>
      </c>
      <c r="AQ348" t="b">
        <f>OR(AND(IF(metadata!F348="",FALSE,TRUE),OR(EXACT(metadata!F348,"missing: not collected"),EXACT(metadata!F348,"missing: not provided"))),AND(IF(metadata!F348="",FALSE,TRUE),OR(EXACT(metadata!F348,"TRUE"),EXACT(metadata!F348,"FALSE"))))</f>
        <v>0</v>
      </c>
      <c r="AR348" t="b">
        <f>OR(AND(IF(metadata!G348="",FALSE,TRUE),OR(EXACT(metadata!G348,"missing: not collected"),EXACT(metadata!G348,"missing: not provided"),EXACT(metadata!G348,"missing: restricted access"))),AND(IF(metadata!G348="",FALSE,ISNUMBER(VALUE(metadata!G348))),metadata!G348&gt;=-413))</f>
        <v>0</v>
      </c>
      <c r="AS348" t="b">
        <f>AND(IF(metadata!H348="",FALSE,TRUE),EXACT(metadata!H348,"meters"))</f>
        <v>0</v>
      </c>
      <c r="AT348" t="b">
        <f>AND(IF(metadata!I348="",FALSE,TRUE),OR(EXACT(metadata!I348,"Host-associated"),EXACT(metadata!I348,"Free-living")))</f>
        <v>0</v>
      </c>
      <c r="AU348" t="b">
        <f>AND(IF(metadata!J348="",FALSE,TRUE),OR(EXACT(metadata!J348,"Animal"),EXACT(metadata!J348,"Fungus"),EXACT(metadata!J348,"Plant"),EXACT(metadata!J348,"Saline"),EXACT(metadata!J348,"Non-saline")))</f>
        <v>0</v>
      </c>
      <c r="AV348" t="b">
        <f>AND(IF(metadata!K348="",FALSE,TRUE),OR(EXACT(metadata!K348,"Plant secretion"),EXACT(metadata!K348,"Plant rhizosphere"),EXACT(metadata!K348,"Plant surface"),EXACT(metadata!K348,"Plant corpus"),EXACT(metadata!K348,"Fungus surface"),EXACT(metadata!K348,"Fungus corpus"),EXACT(metadata!K348,"Animal surface"),EXACT(metadata!K348,"Animal proximal gut"),EXACT(metadata!K348,"Animal corpus"),EXACT(metadata!K348,"Animal distal gut"),EXACT(metadata!K348,"Animal secretion"),EXACT(metadata!K348,"Sub-surface (non-saline)"),EXACT(metadata!K348,"Surface (non-saline)"),EXACT(metadata!K348,"Water (non-saline)"),EXACT(metadata!K348,"Soil (non-saline)"),EXACT(metadata!K348,"Aerosol (non-saline)"),EXACT(metadata!K348,"Sediment (non-saline)"),EXACT(metadata!K348,"Surface (saline)"),EXACT(metadata!K348,"Water (saline)"),EXACT(metadata!K348,"Hypersaline (saline)"),EXACT(metadata!K348,"Aerosol (saline)"),EXACT(metadata!K348,"Sediment (saline)")))</f>
        <v>0</v>
      </c>
      <c r="AW348" t="b">
        <f>IF(metadata!L348="",FALSE,TRUE)</f>
        <v>0</v>
      </c>
      <c r="AX348" t="b">
        <f>IF(metadata!M348="",FALSE,TRUE)</f>
        <v>0</v>
      </c>
      <c r="AY348" t="b">
        <f>IF(metadata!N348="",FALSE,TRUE)</f>
        <v>0</v>
      </c>
      <c r="AZ348" t="b">
        <f>OR(AND(IF(metadata!O348="",FALSE,TRUE),OR(EXACT(metadata!O348,"missing: not collected"),EXACT(metadata!O348,"missing: not provided"),EXACT(metadata!O348,"missing: restricted access"))),AND(IF(metadata!O348="",FALSE,TRUE),OR(EXACT(metadata!O348,"air"),EXACT(metadata!O348,"built environment"),EXACT(metadata!O348,"host-associated"),EXACT(metadata!O348,"human-associated"),EXACT(metadata!O348,"human-skin"),EXACT(metadata!O348,"human-oral"),EXACT(metadata!O348,"human-gut"),EXACT(metadata!O348,"human-vaginal"),EXACT(metadata!O348,"microbial mat/biofilm"),EXACT(metadata!O348,"misc environment"),EXACT(metadata!O348,"plant-associated"),EXACT(metadata!O348,"sediment"),EXACT(metadata!O348,"soil"),EXACT(metadata!O348,"wastewater/sludge"),EXACT(metadata!O348,"water"))))</f>
        <v>0</v>
      </c>
      <c r="BA348" t="b">
        <f>IF(metadata!P348="",FALSE,TRUE)</f>
        <v>0</v>
      </c>
      <c r="BB348" t="b">
        <f>IF(metadata!Q348="",FALSE,TRUE)</f>
        <v>0</v>
      </c>
      <c r="BC348" t="b">
        <f>OR(AND(IF(metadata!R348="",FALSE,TRUE),OR(EXACT(metadata!R348,"missing: not collected"),EXACT(metadata!R348,"missing: not provided"),EXACT(metadata!R348,"missing: restricted access"))),AND(IF(metadata!R348="",FALSE,ISNUMBER(VALUE(metadata!R348))),metadata!R348&gt;=-90,metadata!R348&lt;=90))</f>
        <v>0</v>
      </c>
      <c r="BD348" t="b">
        <f>AND(IF(metadata!S348="",FALSE,TRUE),EXACT(metadata!S348,"Decimal degrees"))</f>
        <v>0</v>
      </c>
      <c r="BE348" t="b">
        <f>OR(AND(IF(metadata!T348="",FALSE,TRUE),OR(EXACT(metadata!T348,"missing: not collected"),EXACT(metadata!T348,"missing: not provided"),EXACT(metadata!T348,"missing: restricted access"))),AND(IF(metadata!T348="",FALSE,ISNUMBER(VALUE(metadata!T348))),metadata!T348&gt;=-180,metadata!T348&lt;=180))</f>
        <v>0</v>
      </c>
      <c r="BF348" t="b">
        <f>AND(IF(metadata!U348="",FALSE,TRUE),EXACT(metadata!U348,"Decimal degrees"))</f>
        <v>0</v>
      </c>
      <c r="BG348" t="b">
        <f>IF(metadata!V348="",FALSE,TRUE)</f>
        <v>0</v>
      </c>
      <c r="BH348" t="b">
        <f>OR(AND(IF(metadata!W348="",FALSE,TRUE),OR(EXACT(metadata!W348,"missing: not collected"),EXACT(metadata!W348,"missing: not provided"),EXACT(metadata!W348,"missing: restricted access"))),AND(IF(metadata!W348="",FALSE,TRUE),OR(EXACT(metadata!W348,"TRUE"),EXACT(metadata!W348,"FALSE"))))</f>
        <v>0</v>
      </c>
      <c r="BI348" t="b">
        <f>AND(IF(metadata!X348="",FALSE,TRUE),EXACT(metadata!X348,"other"))</f>
        <v>0</v>
      </c>
      <c r="BJ348" t="b">
        <f>IF(metadata!Y348="",FALSE,TRUE)</f>
        <v>0</v>
      </c>
      <c r="BK348" t="b">
        <f>OR(AND(IF(metadata!Z348="",FALSE,TRUE),OR(EXACT(metadata!Z348,"missing: not collected"),EXACT(metadata!Z348,"missing: not provided"))),AND(IF(metadata!Z348="",FALSE,IF(ISERROR(INT(metadata!Z348)),FALSE,INT(metadata!Z348)=metadata!Z348)),metadata!Z348&gt;0))</f>
        <v>0</v>
      </c>
      <c r="BL348" t="b">
        <f>AND(IF(metadata!AA348="",FALSE,TRUE),EXACT(metadata!AA348,"Not applicable"))</f>
        <v>0</v>
      </c>
      <c r="BM348" t="b">
        <f>IF(metadata!AB348="",FALSE,TRUE)</f>
        <v>0</v>
      </c>
    </row>
    <row r="349" spans="1:65" x14ac:dyDescent="0.2">
      <c r="A349" s="5" t="str">
        <f ca="1">IF(B349=" "," ",HYPERLINK(CONCATENATE("#metadata!",ADDRESS(INDEX($AH$2:$AH$1001,MATCH(ROWS($AF$2:AF349),$AF$2:$AF$1001,0),0),1)),INDEX($AK$2:$AK$1001,MATCH(ROWS($AF$2:AF349),$AF$2:$AF$1001,0),0)))</f>
        <v xml:space="preserve"> </v>
      </c>
      <c r="B349" s="4" t="str">
        <f ca="1">IF(OR(INDEX($AG$2:$AG$1001,MATCH(ROWS($AF$2:AF349),$AF$2:$AF$1001,0),1)&gt;=100000,INDEX($AM$1005:$BM$1005,1,MATCH(COLUMNS($AM$1006:AM1006),$AM$1006:$BM$1006,0))&gt;=100000), " ",IF(INDEX($AM$2:$BM$1001,MATCH(ROWS($AF$2:AF349),$AF$2:$AF$1001,0),MATCH(COLUMNS($AM$1006:AM1006),$AM$1006:$BM$1006,0)), HYPERLINK("#",""), HYPERLINK(CONCATENATE("#metadata!", ADDRESS(INDEX($AH$2:$AH$1001,MATCH(ROWS($AF$2:AF349),$AF$2:$AF$1001,0),0), INDEX($AM$1004:$BM$1004,1,MATCH(COLUMNS($AM$1006:AM1006),$AM$1006:$BM$1006,0)))),"Fix")))</f>
        <v xml:space="preserve"> </v>
      </c>
      <c r="C349" s="4" t="str">
        <f ca="1">IF(OR(INDEX($AG$2:$AG$1001,MATCH(ROWS($AF$2:AF349),$AF$2:$AF$1001,0),1)&gt;=100000,INDEX($AM$1005:$BM$1005,1,MATCH(COLUMNS($AM$1006:AN1006),$AM$1006:$BM$1006,0))&gt;=100000), " ",IF(INDEX($AM$2:$BM$1001,MATCH(ROWS($AF$2:AF349),$AF$2:$AF$1001,0),MATCH(COLUMNS($AM$1006:AN1006),$AM$1006:$BM$1006,0)), HYPERLINK("#",""), HYPERLINK(CONCATENATE("#metadata!", ADDRESS(INDEX($AH$2:$AH$1001,MATCH(ROWS($AF$2:AF349),$AF$2:$AF$1001,0),0), INDEX($AM$1004:$BM$1004,1,MATCH(COLUMNS($AM$1006:AN1006),$AM$1006:$BM$1006,0)))),"Fix")))</f>
        <v xml:space="preserve"> </v>
      </c>
      <c r="D349" s="4" t="str">
        <f ca="1">IF(OR(INDEX($AG$2:$AG$1001,MATCH(ROWS($AF$2:AF349),$AF$2:$AF$1001,0),1)&gt;=100000,INDEX($AM$1005:$BM$1005,1,MATCH(COLUMNS($AM$1006:AO1006),$AM$1006:$BM$1006,0))&gt;=100000), " ",IF(INDEX($AM$2:$BM$1001,MATCH(ROWS($AF$2:AF349),$AF$2:$AF$1001,0),MATCH(COLUMNS($AM$1006:AO1006),$AM$1006:$BM$1006,0)), HYPERLINK("#",""), HYPERLINK(CONCATENATE("#metadata!", ADDRESS(INDEX($AH$2:$AH$1001,MATCH(ROWS($AF$2:AF349),$AF$2:$AF$1001,0),0), INDEX($AM$1004:$BM$1004,1,MATCH(COLUMNS($AM$1006:AO1006),$AM$1006:$BM$1006,0)))),"Fix")))</f>
        <v xml:space="preserve"> </v>
      </c>
      <c r="E349" s="4" t="str">
        <f ca="1">IF(OR(INDEX($AG$2:$AG$1001,MATCH(ROWS($AF$2:AF349),$AF$2:$AF$1001,0),1)&gt;=100000,INDEX($AM$1005:$BM$1005,1,MATCH(COLUMNS($AM$1006:AP1006),$AM$1006:$BM$1006,0))&gt;=100000), " ",IF(INDEX($AM$2:$BM$1001,MATCH(ROWS($AF$2:AF349),$AF$2:$AF$1001,0),MATCH(COLUMNS($AM$1006:AP1006),$AM$1006:$BM$1006,0)), HYPERLINK("#",""), HYPERLINK(CONCATENATE("#metadata!", ADDRESS(INDEX($AH$2:$AH$1001,MATCH(ROWS($AF$2:AF349),$AF$2:$AF$1001,0),0), INDEX($AM$1004:$BM$1004,1,MATCH(COLUMNS($AM$1006:AP1006),$AM$1006:$BM$1006,0)))),"Fix")))</f>
        <v xml:space="preserve"> </v>
      </c>
      <c r="F349" s="4" t="str">
        <f ca="1">IF(OR(INDEX($AG$2:$AG$1001,MATCH(ROWS($AF$2:AF349),$AF$2:$AF$1001,0),1)&gt;=100000,INDEX($AM$1005:$BM$1005,1,MATCH(COLUMNS($AM$1006:AQ1006),$AM$1006:$BM$1006,0))&gt;=100000), " ",IF(INDEX($AM$2:$BM$1001,MATCH(ROWS($AF$2:AF349),$AF$2:$AF$1001,0),MATCH(COLUMNS($AM$1006:AQ1006),$AM$1006:$BM$1006,0)), HYPERLINK("#",""), HYPERLINK(CONCATENATE("#metadata!", ADDRESS(INDEX($AH$2:$AH$1001,MATCH(ROWS($AF$2:AF349),$AF$2:$AF$1001,0),0), INDEX($AM$1004:$BM$1004,1,MATCH(COLUMNS($AM$1006:AQ1006),$AM$1006:$BM$1006,0)))),"Fix")))</f>
        <v xml:space="preserve"> </v>
      </c>
      <c r="G349" s="4" t="str">
        <f ca="1">IF(OR(INDEX($AG$2:$AG$1001,MATCH(ROWS($AF$2:AF349),$AF$2:$AF$1001,0),1)&gt;=100000,INDEX($AM$1005:$BM$1005,1,MATCH(COLUMNS($AM$1006:AR1006),$AM$1006:$BM$1006,0))&gt;=100000), " ",IF(INDEX($AM$2:$BM$1001,MATCH(ROWS($AF$2:AF349),$AF$2:$AF$1001,0),MATCH(COLUMNS($AM$1006:AR1006),$AM$1006:$BM$1006,0)), HYPERLINK("#",""), HYPERLINK(CONCATENATE("#metadata!", ADDRESS(INDEX($AH$2:$AH$1001,MATCH(ROWS($AF$2:AF349),$AF$2:$AF$1001,0),0), INDEX($AM$1004:$BM$1004,1,MATCH(COLUMNS($AM$1006:AR1006),$AM$1006:$BM$1006,0)))),"Fix")))</f>
        <v xml:space="preserve"> </v>
      </c>
      <c r="H349" s="4" t="str">
        <f ca="1">IF(OR(INDEX($AG$2:$AG$1001,MATCH(ROWS($AF$2:AF349),$AF$2:$AF$1001,0),1)&gt;=100000,INDEX($AM$1005:$BM$1005,1,MATCH(COLUMNS($AM$1006:AS1006),$AM$1006:$BM$1006,0))&gt;=100000), " ",IF(INDEX($AM$2:$BM$1001,MATCH(ROWS($AF$2:AF349),$AF$2:$AF$1001,0),MATCH(COLUMNS($AM$1006:AS1006),$AM$1006:$BM$1006,0)), HYPERLINK("#",""), HYPERLINK(CONCATENATE("#metadata!", ADDRESS(INDEX($AH$2:$AH$1001,MATCH(ROWS($AF$2:AF349),$AF$2:$AF$1001,0),0), INDEX($AM$1004:$BM$1004,1,MATCH(COLUMNS($AM$1006:AS1006),$AM$1006:$BM$1006,0)))),"Fix")))</f>
        <v xml:space="preserve"> </v>
      </c>
      <c r="I349" s="4" t="str">
        <f ca="1">IF(OR(INDEX($AG$2:$AG$1001,MATCH(ROWS($AF$2:AF349),$AF$2:$AF$1001,0),1)&gt;=100000,INDEX($AM$1005:$BM$1005,1,MATCH(COLUMNS($AM$1006:AT1006),$AM$1006:$BM$1006,0))&gt;=100000), " ",IF(INDEX($AM$2:$BM$1001,MATCH(ROWS($AF$2:AF349),$AF$2:$AF$1001,0),MATCH(COLUMNS($AM$1006:AT1006),$AM$1006:$BM$1006,0)), HYPERLINK("#",""), HYPERLINK(CONCATENATE("#metadata!", ADDRESS(INDEX($AH$2:$AH$1001,MATCH(ROWS($AF$2:AF349),$AF$2:$AF$1001,0),0), INDEX($AM$1004:$BM$1004,1,MATCH(COLUMNS($AM$1006:AT1006),$AM$1006:$BM$1006,0)))),"Fix")))</f>
        <v xml:space="preserve"> </v>
      </c>
      <c r="J349" s="4" t="str">
        <f ca="1">IF(OR(INDEX($AG$2:$AG$1001,MATCH(ROWS($AF$2:AF349),$AF$2:$AF$1001,0),1)&gt;=100000,INDEX($AM$1005:$BM$1005,1,MATCH(COLUMNS($AM$1006:AU1006),$AM$1006:$BM$1006,0))&gt;=100000), " ",IF(INDEX($AM$2:$BM$1001,MATCH(ROWS($AF$2:AF349),$AF$2:$AF$1001,0),MATCH(COLUMNS($AM$1006:AU1006),$AM$1006:$BM$1006,0)), HYPERLINK("#",""), HYPERLINK(CONCATENATE("#metadata!", ADDRESS(INDEX($AH$2:$AH$1001,MATCH(ROWS($AF$2:AF349),$AF$2:$AF$1001,0),0), INDEX($AM$1004:$BM$1004,1,MATCH(COLUMNS($AM$1006:AU1006),$AM$1006:$BM$1006,0)))),"Fix")))</f>
        <v xml:space="preserve"> </v>
      </c>
      <c r="K349" s="4" t="str">
        <f ca="1">IF(OR(INDEX($AG$2:$AG$1001,MATCH(ROWS($AF$2:AF349),$AF$2:$AF$1001,0),1)&gt;=100000,INDEX($AM$1005:$BM$1005,1,MATCH(COLUMNS($AM$1006:AV1006),$AM$1006:$BM$1006,0))&gt;=100000), " ",IF(INDEX($AM$2:$BM$1001,MATCH(ROWS($AF$2:AF349),$AF$2:$AF$1001,0),MATCH(COLUMNS($AM$1006:AV1006),$AM$1006:$BM$1006,0)), HYPERLINK("#",""), HYPERLINK(CONCATENATE("#metadata!", ADDRESS(INDEX($AH$2:$AH$1001,MATCH(ROWS($AF$2:AF349),$AF$2:$AF$1001,0),0), INDEX($AM$1004:$BM$1004,1,MATCH(COLUMNS($AM$1006:AV1006),$AM$1006:$BM$1006,0)))),"Fix")))</f>
        <v xml:space="preserve"> </v>
      </c>
      <c r="L349" s="4" t="str">
        <f ca="1">IF(OR(INDEX($AG$2:$AG$1001,MATCH(ROWS($AF$2:AF349),$AF$2:$AF$1001,0),1)&gt;=100000,INDEX($AM$1005:$BM$1005,1,MATCH(COLUMNS($AM$1006:AW1006),$AM$1006:$BM$1006,0))&gt;=100000), " ",IF(INDEX($AM$2:$BM$1001,MATCH(ROWS($AF$2:AF349),$AF$2:$AF$1001,0),MATCH(COLUMNS($AM$1006:AW1006),$AM$1006:$BM$1006,0)), HYPERLINK("#",""), HYPERLINK(CONCATENATE("#metadata!", ADDRESS(INDEX($AH$2:$AH$1001,MATCH(ROWS($AF$2:AF349),$AF$2:$AF$1001,0),0), INDEX($AM$1004:$BM$1004,1,MATCH(COLUMNS($AM$1006:AW1006),$AM$1006:$BM$1006,0)))),"Fix")))</f>
        <v xml:space="preserve"> </v>
      </c>
      <c r="M349" s="4" t="str">
        <f ca="1">IF(OR(INDEX($AG$2:$AG$1001,MATCH(ROWS($AF$2:AF349),$AF$2:$AF$1001,0),1)&gt;=100000,INDEX($AM$1005:$BM$1005,1,MATCH(COLUMNS($AM$1006:AX1006),$AM$1006:$BM$1006,0))&gt;=100000), " ",IF(INDEX($AM$2:$BM$1001,MATCH(ROWS($AF$2:AF349),$AF$2:$AF$1001,0),MATCH(COLUMNS($AM$1006:AX1006),$AM$1006:$BM$1006,0)), HYPERLINK("#",""), HYPERLINK(CONCATENATE("#metadata!", ADDRESS(INDEX($AH$2:$AH$1001,MATCH(ROWS($AF$2:AF349),$AF$2:$AF$1001,0),0), INDEX($AM$1004:$BM$1004,1,MATCH(COLUMNS($AM$1006:AX1006),$AM$1006:$BM$1006,0)))),"Fix")))</f>
        <v xml:space="preserve"> </v>
      </c>
      <c r="N349" s="4" t="str">
        <f ca="1">IF(OR(INDEX($AG$2:$AG$1001,MATCH(ROWS($AF$2:AF349),$AF$2:$AF$1001,0),1)&gt;=100000,INDEX($AM$1005:$BM$1005,1,MATCH(COLUMNS($AM$1006:AY1006),$AM$1006:$BM$1006,0))&gt;=100000), " ",IF(INDEX($AM$2:$BM$1001,MATCH(ROWS($AF$2:AF349),$AF$2:$AF$1001,0),MATCH(COLUMNS($AM$1006:AY1006),$AM$1006:$BM$1006,0)), HYPERLINK("#",""), HYPERLINK(CONCATENATE("#metadata!", ADDRESS(INDEX($AH$2:$AH$1001,MATCH(ROWS($AF$2:AF349),$AF$2:$AF$1001,0),0), INDEX($AM$1004:$BM$1004,1,MATCH(COLUMNS($AM$1006:AY1006),$AM$1006:$BM$1006,0)))),"Fix")))</f>
        <v xml:space="preserve"> </v>
      </c>
      <c r="O349" s="4" t="str">
        <f ca="1">IF(OR(INDEX($AG$2:$AG$1001,MATCH(ROWS($AF$2:AF349),$AF$2:$AF$1001,0),1)&gt;=100000,INDEX($AM$1005:$BM$1005,1,MATCH(COLUMNS($AM$1006:AZ1006),$AM$1006:$BM$1006,0))&gt;=100000), " ",IF(INDEX($AM$2:$BM$1001,MATCH(ROWS($AF$2:AF349),$AF$2:$AF$1001,0),MATCH(COLUMNS($AM$1006:AZ1006),$AM$1006:$BM$1006,0)), HYPERLINK("#",""), HYPERLINK(CONCATENATE("#metadata!", ADDRESS(INDEX($AH$2:$AH$1001,MATCH(ROWS($AF$2:AF349),$AF$2:$AF$1001,0),0), INDEX($AM$1004:$BM$1004,1,MATCH(COLUMNS($AM$1006:AZ1006),$AM$1006:$BM$1006,0)))),"Fix")))</f>
        <v xml:space="preserve"> </v>
      </c>
      <c r="P349" s="4" t="str">
        <f ca="1">IF(OR(INDEX($AG$2:$AG$1001,MATCH(ROWS($AF$2:AF349),$AF$2:$AF$1001,0),1)&gt;=100000,INDEX($AM$1005:$BM$1005,1,MATCH(COLUMNS($AM$1006:BA1006),$AM$1006:$BM$1006,0))&gt;=100000), " ",IF(INDEX($AM$2:$BM$1001,MATCH(ROWS($AF$2:AF349),$AF$2:$AF$1001,0),MATCH(COLUMNS($AM$1006:BA1006),$AM$1006:$BM$1006,0)), HYPERLINK("#",""), HYPERLINK(CONCATENATE("#metadata!", ADDRESS(INDEX($AH$2:$AH$1001,MATCH(ROWS($AF$2:AF349),$AF$2:$AF$1001,0),0), INDEX($AM$1004:$BM$1004,1,MATCH(COLUMNS($AM$1006:BA1006),$AM$1006:$BM$1006,0)))),"Fix")))</f>
        <v xml:space="preserve"> </v>
      </c>
      <c r="Q349" s="4" t="str">
        <f ca="1">IF(OR(INDEX($AG$2:$AG$1001,MATCH(ROWS($AF$2:AF349),$AF$2:$AF$1001,0),1)&gt;=100000,INDEX($AM$1005:$BM$1005,1,MATCH(COLUMNS($AM$1006:BB1006),$AM$1006:$BM$1006,0))&gt;=100000), " ",IF(INDEX($AM$2:$BM$1001,MATCH(ROWS($AF$2:AF349),$AF$2:$AF$1001,0),MATCH(COLUMNS($AM$1006:BB1006),$AM$1006:$BM$1006,0)), HYPERLINK("#",""), HYPERLINK(CONCATENATE("#metadata!", ADDRESS(INDEX($AH$2:$AH$1001,MATCH(ROWS($AF$2:AF349),$AF$2:$AF$1001,0),0), INDEX($AM$1004:$BM$1004,1,MATCH(COLUMNS($AM$1006:BB1006),$AM$1006:$BM$1006,0)))),"Fix")))</f>
        <v xml:space="preserve"> </v>
      </c>
      <c r="R349" s="4" t="str">
        <f ca="1">IF(OR(INDEX($AG$2:$AG$1001,MATCH(ROWS($AF$2:AF349),$AF$2:$AF$1001,0),1)&gt;=100000,INDEX($AM$1005:$BM$1005,1,MATCH(COLUMNS($AM$1006:BC1006),$AM$1006:$BM$1006,0))&gt;=100000), " ",IF(INDEX($AM$2:$BM$1001,MATCH(ROWS($AF$2:AF349),$AF$2:$AF$1001,0),MATCH(COLUMNS($AM$1006:BC1006),$AM$1006:$BM$1006,0)), HYPERLINK("#",""), HYPERLINK(CONCATENATE("#metadata!", ADDRESS(INDEX($AH$2:$AH$1001,MATCH(ROWS($AF$2:AF349),$AF$2:$AF$1001,0),0), INDEX($AM$1004:$BM$1004,1,MATCH(COLUMNS($AM$1006:BC1006),$AM$1006:$BM$1006,0)))),"Fix")))</f>
        <v xml:space="preserve"> </v>
      </c>
      <c r="S349" s="4" t="str">
        <f ca="1">IF(OR(INDEX($AG$2:$AG$1001,MATCH(ROWS($AF$2:AF349),$AF$2:$AF$1001,0),1)&gt;=100000,INDEX($AM$1005:$BM$1005,1,MATCH(COLUMNS($AM$1006:BD1006),$AM$1006:$BM$1006,0))&gt;=100000), " ",IF(INDEX($AM$2:$BM$1001,MATCH(ROWS($AF$2:AF349),$AF$2:$AF$1001,0),MATCH(COLUMNS($AM$1006:BD1006),$AM$1006:$BM$1006,0)), HYPERLINK("#",""), HYPERLINK(CONCATENATE("#metadata!", ADDRESS(INDEX($AH$2:$AH$1001,MATCH(ROWS($AF$2:AF349),$AF$2:$AF$1001,0),0), INDEX($AM$1004:$BM$1004,1,MATCH(COLUMNS($AM$1006:BD1006),$AM$1006:$BM$1006,0)))),"Fix")))</f>
        <v xml:space="preserve"> </v>
      </c>
      <c r="T349" s="4" t="str">
        <f ca="1">IF(OR(INDEX($AG$2:$AG$1001,MATCH(ROWS($AF$2:AF349),$AF$2:$AF$1001,0),1)&gt;=100000,INDEX($AM$1005:$BM$1005,1,MATCH(COLUMNS($AM$1006:BE1006),$AM$1006:$BM$1006,0))&gt;=100000), " ",IF(INDEX($AM$2:$BM$1001,MATCH(ROWS($AF$2:AF349),$AF$2:$AF$1001,0),MATCH(COLUMNS($AM$1006:BE1006),$AM$1006:$BM$1006,0)), HYPERLINK("#",""), HYPERLINK(CONCATENATE("#metadata!", ADDRESS(INDEX($AH$2:$AH$1001,MATCH(ROWS($AF$2:AF349),$AF$2:$AF$1001,0),0), INDEX($AM$1004:$BM$1004,1,MATCH(COLUMNS($AM$1006:BE1006),$AM$1006:$BM$1006,0)))),"Fix")))</f>
        <v xml:space="preserve"> </v>
      </c>
      <c r="U349" s="4" t="str">
        <f ca="1">IF(OR(INDEX($AG$2:$AG$1001,MATCH(ROWS($AF$2:AF349),$AF$2:$AF$1001,0),1)&gt;=100000,INDEX($AM$1005:$BM$1005,1,MATCH(COLUMNS($AM$1006:BF1006),$AM$1006:$BM$1006,0))&gt;=100000), " ",IF(INDEX($AM$2:$BM$1001,MATCH(ROWS($AF$2:AF349),$AF$2:$AF$1001,0),MATCH(COLUMNS($AM$1006:BF1006),$AM$1006:$BM$1006,0)), HYPERLINK("#",""), HYPERLINK(CONCATENATE("#metadata!", ADDRESS(INDEX($AH$2:$AH$1001,MATCH(ROWS($AF$2:AF349),$AF$2:$AF$1001,0),0), INDEX($AM$1004:$BM$1004,1,MATCH(COLUMNS($AM$1006:BF1006),$AM$1006:$BM$1006,0)))),"Fix")))</f>
        <v xml:space="preserve"> </v>
      </c>
      <c r="V349" s="4" t="str">
        <f ca="1">IF(OR(INDEX($AG$2:$AG$1001,MATCH(ROWS($AF$2:AF349),$AF$2:$AF$1001,0),1)&gt;=100000,INDEX($AM$1005:$BM$1005,1,MATCH(COLUMNS($AM$1006:BG1006),$AM$1006:$BM$1006,0))&gt;=100000), " ",IF(INDEX($AM$2:$BM$1001,MATCH(ROWS($AF$2:AF349),$AF$2:$AF$1001,0),MATCH(COLUMNS($AM$1006:BG1006),$AM$1006:$BM$1006,0)), HYPERLINK("#",""), HYPERLINK(CONCATENATE("#metadata!", ADDRESS(INDEX($AH$2:$AH$1001,MATCH(ROWS($AF$2:AF349),$AF$2:$AF$1001,0),0), INDEX($AM$1004:$BM$1004,1,MATCH(COLUMNS($AM$1006:BG1006),$AM$1006:$BM$1006,0)))),"Fix")))</f>
        <v xml:space="preserve"> </v>
      </c>
      <c r="W349" s="4" t="str">
        <f ca="1">IF(OR(INDEX($AG$2:$AG$1001,MATCH(ROWS($AF$2:AF349),$AF$2:$AF$1001,0),1)&gt;=100000,INDEX($AM$1005:$BM$1005,1,MATCH(COLUMNS($AM$1006:BH1006),$AM$1006:$BM$1006,0))&gt;=100000), " ",IF(INDEX($AM$2:$BM$1001,MATCH(ROWS($AF$2:AF349),$AF$2:$AF$1001,0),MATCH(COLUMNS($AM$1006:BH1006),$AM$1006:$BM$1006,0)), HYPERLINK("#",""), HYPERLINK(CONCATENATE("#metadata!", ADDRESS(INDEX($AH$2:$AH$1001,MATCH(ROWS($AF$2:AF349),$AF$2:$AF$1001,0),0), INDEX($AM$1004:$BM$1004,1,MATCH(COLUMNS($AM$1006:BH1006),$AM$1006:$BM$1006,0)))),"Fix")))</f>
        <v xml:space="preserve"> </v>
      </c>
      <c r="X349" s="4" t="str">
        <f ca="1">IF(OR(INDEX($AG$2:$AG$1001,MATCH(ROWS($AF$2:AF349),$AF$2:$AF$1001,0),1)&gt;=100000,INDEX($AM$1005:$BM$1005,1,MATCH(COLUMNS($AM$1006:BI1006),$AM$1006:$BM$1006,0))&gt;=100000), " ",IF(INDEX($AM$2:$BM$1001,MATCH(ROWS($AF$2:AF349),$AF$2:$AF$1001,0),MATCH(COLUMNS($AM$1006:BI1006),$AM$1006:$BM$1006,0)), HYPERLINK("#",""), HYPERLINK(CONCATENATE("#metadata!", ADDRESS(INDEX($AH$2:$AH$1001,MATCH(ROWS($AF$2:AF349),$AF$2:$AF$1001,0),0), INDEX($AM$1004:$BM$1004,1,MATCH(COLUMNS($AM$1006:BI1006),$AM$1006:$BM$1006,0)))),"Fix")))</f>
        <v xml:space="preserve"> </v>
      </c>
      <c r="Y349" s="4" t="str">
        <f ca="1">IF(OR(INDEX($AG$2:$AG$1001,MATCH(ROWS($AF$2:AF349),$AF$2:$AF$1001,0),1)&gt;=100000,INDEX($AM$1005:$BM$1005,1,MATCH(COLUMNS($AM$1006:BJ1006),$AM$1006:$BM$1006,0))&gt;=100000), " ",IF(INDEX($AM$2:$BM$1001,MATCH(ROWS($AF$2:AF349),$AF$2:$AF$1001,0),MATCH(COLUMNS($AM$1006:BJ1006),$AM$1006:$BM$1006,0)), HYPERLINK("#",""), HYPERLINK(CONCATENATE("#metadata!", ADDRESS(INDEX($AH$2:$AH$1001,MATCH(ROWS($AF$2:AF349),$AF$2:$AF$1001,0),0), INDEX($AM$1004:$BM$1004,1,MATCH(COLUMNS($AM$1006:BJ1006),$AM$1006:$BM$1006,0)))),"Fix")))</f>
        <v xml:space="preserve"> </v>
      </c>
      <c r="Z349" s="4" t="str">
        <f ca="1">IF(OR(INDEX($AG$2:$AG$1001,MATCH(ROWS($AF$2:AF349),$AF$2:$AF$1001,0),1)&gt;=100000,INDEX($AM$1005:$BM$1005,1,MATCH(COLUMNS($AM$1006:BK1006),$AM$1006:$BM$1006,0))&gt;=100000), " ",IF(INDEX($AM$2:$BM$1001,MATCH(ROWS($AF$2:AF349),$AF$2:$AF$1001,0),MATCH(COLUMNS($AM$1006:BK1006),$AM$1006:$BM$1006,0)), HYPERLINK("#",""), HYPERLINK(CONCATENATE("#metadata!", ADDRESS(INDEX($AH$2:$AH$1001,MATCH(ROWS($AF$2:AF349),$AF$2:$AF$1001,0),0), INDEX($AM$1004:$BM$1004,1,MATCH(COLUMNS($AM$1006:BK1006),$AM$1006:$BM$1006,0)))),"Fix")))</f>
        <v xml:space="preserve"> </v>
      </c>
      <c r="AA349" s="4" t="str">
        <f ca="1">IF(OR(INDEX($AG$2:$AG$1001,MATCH(ROWS($AF$2:AF349),$AF$2:$AF$1001,0),1)&gt;=100000,INDEX($AM$1005:$BM$1005,1,MATCH(COLUMNS($AM$1006:BL1006),$AM$1006:$BM$1006,0))&gt;=100000), " ",IF(INDEX($AM$2:$BM$1001,MATCH(ROWS($AF$2:AF349),$AF$2:$AF$1001,0),MATCH(COLUMNS($AM$1006:BL1006),$AM$1006:$BM$1006,0)), HYPERLINK("#",""), HYPERLINK(CONCATENATE("#metadata!", ADDRESS(INDEX($AH$2:$AH$1001,MATCH(ROWS($AF$2:AF349),$AF$2:$AF$1001,0),0), INDEX($AM$1004:$BM$1004,1,MATCH(COLUMNS($AM$1006:BL1006),$AM$1006:$BM$1006,0)))),"Fix")))</f>
        <v xml:space="preserve"> </v>
      </c>
      <c r="AB349" s="4" t="str">
        <f ca="1">IF(OR(INDEX($AG$2:$AG$1001,MATCH(ROWS($AF$2:AF349),$AF$2:$AF$1001,0),1)&gt;=100000,INDEX($AM$1005:$BM$1005,1,MATCH(COLUMNS($AM$1006:BM1006),$AM$1006:$BM$1006,0))&gt;=100000), " ",IF(INDEX($AM$2:$BM$1001,MATCH(ROWS($AF$2:AF349),$AF$2:$AF$1001,0),MATCH(COLUMNS($AM$1006:BM1006),$AM$1006:$BM$1006,0)), HYPERLINK("#",""), HYPERLINK(CONCATENATE("#metadata!", ADDRESS(INDEX($AH$2:$AH$1001,MATCH(ROWS($AF$2:AF349),$AF$2:$AF$1001,0),0), INDEX($AM$1004:$BM$1004,1,MATCH(COLUMNS($AM$1006:BM1006),$AM$1006:$BM$1006,0)))),"Fix")))</f>
        <v xml:space="preserve"> </v>
      </c>
      <c r="AF349">
        <v>348</v>
      </c>
      <c r="AG349">
        <v>100349</v>
      </c>
      <c r="AH349">
        <v>349</v>
      </c>
      <c r="AI349" t="b">
        <f t="shared" si="5"/>
        <v>1</v>
      </c>
      <c r="AJ349" t="b">
        <f>COUNTBLANK(metadata!B349:AB349)=COLUMNS(metadata!B349:AB349)</f>
        <v>1</v>
      </c>
      <c r="AK349" t="str">
        <v/>
      </c>
      <c r="AM349" t="b">
        <f ca="1">AND(IF(metadata!B349="",FALSE,TRUE),COUNTIF(metadata!B:B, metadata!B349) = 1,NOT(ISERROR(SUMPRODUCT(SEARCH(MID(metadata!B349,ROW(INDIRECT("1:"&amp;LEN(metadata!B349))), 1),"0123456789abcdefghijklmnopqrstuvwxyzABCDEFGHIJKLMNOPQRSTUVWXYZ.")))))</f>
        <v>0</v>
      </c>
      <c r="AN349" t="b">
        <f ca="1">OR(AND(IF(metadata!C349="",FALSE,TRUE),OR(EXACT(metadata!C349,"missing: not collected"),EXACT(metadata!C349,"missing: not provided"),EXACT(metadata!C349,"missing: restricted access"))),AND(IF(metadata!C349="",FALSE,TRUE),AND(AND(IFERROR(INT(LEFT(metadata!C349,4))&gt;1900,FALSE),IFERROR(INT(LEFT(metadata!C349,4))&lt;=YEAR(NOW()),FALSE)), OR(MID(metadata!C349,5,1)="", AND(AND(MID(metadata!C349,5,1)="-",IFERROR(INT(MID(metadata!C349,6,1))&gt;=0,FALSE),IFERROR(INT(MID(metadata!C349,6,1))&lt;=1,FALSE),NOT(MID(metadata!C349,7,1)=""),IFERROR(INT(MID(metadata!C349,6,2))&gt;=1,FALSE),IFERROR(INT(MID(metadata!C349,6,2))&lt;=12,FALSE)), OR(MID(metadata!C349,8,1)="", AND(AND(MID(metadata!C349,8,1)="-",IFERROR(INT(MID(metadata!C349,9,1))&gt;=0,FALSE),IFERROR(INT(MID(metadata!C349,9,1))&lt;=3,FALSE),NOT(MID(metadata!C349,10,1)=""),IFERROR(INT(MID(metadata!C349,9,2))&gt;=1,FALSE),IFERROR(INT(MID(metadata!C349,9,2))&lt;=31,FALSE)), OR(MID(metadata!C349,11,1)="", AND(AND(MID(metadata!C349,11,1)=" ",IFERROR(INT(MID(metadata!C349,12,1))&gt;=0,FALSE),IFERROR(INT(MID(metadata!C349,12,1))&lt;=2,FALSE),NOT(MID(metadata!C349,13,1)=""),IFERROR(INT(MID(metadata!C349,12,2))&gt;=0,FALSE),IFERROR(INT(MID(metadata!C349,12,2))&lt;=23,FALSE)), OR(MID(metadata!C349,14,1)="", AND(AND(MID(metadata!C349,14,1)=":",IFERROR(INT(MID(metadata!C349,15,1))&gt;=0,FALSE),IFERROR(INT(MID(metadata!C349,15,1))&lt;=5,FALSE),NOT(MID(metadata!C349,16,1)=""),IFERROR(INT(MID(metadata!C349,15,2))&gt;=0,FALSE),IFERROR(INT(MID(metadata!C349,15,2))&lt;=59,FALSE)), OR(MID(metadata!C349,17,1)="", AND(AND(MID(metadata!C349,17,1)=":",IFERROR(INT(MID(metadata!C349,18,1))&gt;=0,FALSE),IFERROR(INT(MID(metadata!C349,18,1))&lt;=5,FALSE),NOT(MID(metadata!C349,19,1)=""),IFERROR(INT(MID(metadata!C349,18,2))&gt;=0,FALSE),IFERROR(INT(MID(metadata!C349,18,2))&lt;=59,FALSE)), LEN(metadata!C349)&lt;=19)))))))))))))</f>
        <v>0</v>
      </c>
      <c r="AO349" t="b">
        <f>AND(IF(metadata!D349="",FALSE,TRUE),EXACT(metadata!D349,"Not applicable"))</f>
        <v>0</v>
      </c>
      <c r="AP349" t="b">
        <f>IF(metadata!E349="",FALSE,TRUE)</f>
        <v>0</v>
      </c>
      <c r="AQ349" t="b">
        <f>OR(AND(IF(metadata!F349="",FALSE,TRUE),OR(EXACT(metadata!F349,"missing: not collected"),EXACT(metadata!F349,"missing: not provided"))),AND(IF(metadata!F349="",FALSE,TRUE),OR(EXACT(metadata!F349,"TRUE"),EXACT(metadata!F349,"FALSE"))))</f>
        <v>0</v>
      </c>
      <c r="AR349" t="b">
        <f>OR(AND(IF(metadata!G349="",FALSE,TRUE),OR(EXACT(metadata!G349,"missing: not collected"),EXACT(metadata!G349,"missing: not provided"),EXACT(metadata!G349,"missing: restricted access"))),AND(IF(metadata!G349="",FALSE,ISNUMBER(VALUE(metadata!G349))),metadata!G349&gt;=-413))</f>
        <v>0</v>
      </c>
      <c r="AS349" t="b">
        <f>AND(IF(metadata!H349="",FALSE,TRUE),EXACT(metadata!H349,"meters"))</f>
        <v>0</v>
      </c>
      <c r="AT349" t="b">
        <f>AND(IF(metadata!I349="",FALSE,TRUE),OR(EXACT(metadata!I349,"Host-associated"),EXACT(metadata!I349,"Free-living")))</f>
        <v>0</v>
      </c>
      <c r="AU349" t="b">
        <f>AND(IF(metadata!J349="",FALSE,TRUE),OR(EXACT(metadata!J349,"Animal"),EXACT(metadata!J349,"Fungus"),EXACT(metadata!J349,"Plant"),EXACT(metadata!J349,"Saline"),EXACT(metadata!J349,"Non-saline")))</f>
        <v>0</v>
      </c>
      <c r="AV349" t="b">
        <f>AND(IF(metadata!K349="",FALSE,TRUE),OR(EXACT(metadata!K349,"Plant secretion"),EXACT(metadata!K349,"Plant rhizosphere"),EXACT(metadata!K349,"Plant surface"),EXACT(metadata!K349,"Plant corpus"),EXACT(metadata!K349,"Fungus surface"),EXACT(metadata!K349,"Fungus corpus"),EXACT(metadata!K349,"Animal surface"),EXACT(metadata!K349,"Animal proximal gut"),EXACT(metadata!K349,"Animal corpus"),EXACT(metadata!K349,"Animal distal gut"),EXACT(metadata!K349,"Animal secretion"),EXACT(metadata!K349,"Sub-surface (non-saline)"),EXACT(metadata!K349,"Surface (non-saline)"),EXACT(metadata!K349,"Water (non-saline)"),EXACT(metadata!K349,"Soil (non-saline)"),EXACT(metadata!K349,"Aerosol (non-saline)"),EXACT(metadata!K349,"Sediment (non-saline)"),EXACT(metadata!K349,"Surface (saline)"),EXACT(metadata!K349,"Water (saline)"),EXACT(metadata!K349,"Hypersaline (saline)"),EXACT(metadata!K349,"Aerosol (saline)"),EXACT(metadata!K349,"Sediment (saline)")))</f>
        <v>0</v>
      </c>
      <c r="AW349" t="b">
        <f>IF(metadata!L349="",FALSE,TRUE)</f>
        <v>0</v>
      </c>
      <c r="AX349" t="b">
        <f>IF(metadata!M349="",FALSE,TRUE)</f>
        <v>0</v>
      </c>
      <c r="AY349" t="b">
        <f>IF(metadata!N349="",FALSE,TRUE)</f>
        <v>0</v>
      </c>
      <c r="AZ349" t="b">
        <f>OR(AND(IF(metadata!O349="",FALSE,TRUE),OR(EXACT(metadata!O349,"missing: not collected"),EXACT(metadata!O349,"missing: not provided"),EXACT(metadata!O349,"missing: restricted access"))),AND(IF(metadata!O349="",FALSE,TRUE),OR(EXACT(metadata!O349,"air"),EXACT(metadata!O349,"built environment"),EXACT(metadata!O349,"host-associated"),EXACT(metadata!O349,"human-associated"),EXACT(metadata!O349,"human-skin"),EXACT(metadata!O349,"human-oral"),EXACT(metadata!O349,"human-gut"),EXACT(metadata!O349,"human-vaginal"),EXACT(metadata!O349,"microbial mat/biofilm"),EXACT(metadata!O349,"misc environment"),EXACT(metadata!O349,"plant-associated"),EXACT(metadata!O349,"sediment"),EXACT(metadata!O349,"soil"),EXACT(metadata!O349,"wastewater/sludge"),EXACT(metadata!O349,"water"))))</f>
        <v>0</v>
      </c>
      <c r="BA349" t="b">
        <f>IF(metadata!P349="",FALSE,TRUE)</f>
        <v>0</v>
      </c>
      <c r="BB349" t="b">
        <f>IF(metadata!Q349="",FALSE,TRUE)</f>
        <v>0</v>
      </c>
      <c r="BC349" t="b">
        <f>OR(AND(IF(metadata!R349="",FALSE,TRUE),OR(EXACT(metadata!R349,"missing: not collected"),EXACT(metadata!R349,"missing: not provided"),EXACT(metadata!R349,"missing: restricted access"))),AND(IF(metadata!R349="",FALSE,ISNUMBER(VALUE(metadata!R349))),metadata!R349&gt;=-90,metadata!R349&lt;=90))</f>
        <v>0</v>
      </c>
      <c r="BD349" t="b">
        <f>AND(IF(metadata!S349="",FALSE,TRUE),EXACT(metadata!S349,"Decimal degrees"))</f>
        <v>0</v>
      </c>
      <c r="BE349" t="b">
        <f>OR(AND(IF(metadata!T349="",FALSE,TRUE),OR(EXACT(metadata!T349,"missing: not collected"),EXACT(metadata!T349,"missing: not provided"),EXACT(metadata!T349,"missing: restricted access"))),AND(IF(metadata!T349="",FALSE,ISNUMBER(VALUE(metadata!T349))),metadata!T349&gt;=-180,metadata!T349&lt;=180))</f>
        <v>0</v>
      </c>
      <c r="BF349" t="b">
        <f>AND(IF(metadata!U349="",FALSE,TRUE),EXACT(metadata!U349,"Decimal degrees"))</f>
        <v>0</v>
      </c>
      <c r="BG349" t="b">
        <f>IF(metadata!V349="",FALSE,TRUE)</f>
        <v>0</v>
      </c>
      <c r="BH349" t="b">
        <f>OR(AND(IF(metadata!W349="",FALSE,TRUE),OR(EXACT(metadata!W349,"missing: not collected"),EXACT(metadata!W349,"missing: not provided"),EXACT(metadata!W349,"missing: restricted access"))),AND(IF(metadata!W349="",FALSE,TRUE),OR(EXACT(metadata!W349,"TRUE"),EXACT(metadata!W349,"FALSE"))))</f>
        <v>0</v>
      </c>
      <c r="BI349" t="b">
        <f>AND(IF(metadata!X349="",FALSE,TRUE),EXACT(metadata!X349,"other"))</f>
        <v>0</v>
      </c>
      <c r="BJ349" t="b">
        <f>IF(metadata!Y349="",FALSE,TRUE)</f>
        <v>0</v>
      </c>
      <c r="BK349" t="b">
        <f>OR(AND(IF(metadata!Z349="",FALSE,TRUE),OR(EXACT(metadata!Z349,"missing: not collected"),EXACT(metadata!Z349,"missing: not provided"))),AND(IF(metadata!Z349="",FALSE,IF(ISERROR(INT(metadata!Z349)),FALSE,INT(metadata!Z349)=metadata!Z349)),metadata!Z349&gt;0))</f>
        <v>0</v>
      </c>
      <c r="BL349" t="b">
        <f>AND(IF(metadata!AA349="",FALSE,TRUE),EXACT(metadata!AA349,"Not applicable"))</f>
        <v>0</v>
      </c>
      <c r="BM349" t="b">
        <f>IF(metadata!AB349="",FALSE,TRUE)</f>
        <v>0</v>
      </c>
    </row>
    <row r="350" spans="1:65" x14ac:dyDescent="0.2">
      <c r="A350" s="5" t="str">
        <f ca="1">IF(B350=" "," ",HYPERLINK(CONCATENATE("#metadata!",ADDRESS(INDEX($AH$2:$AH$1001,MATCH(ROWS($AF$2:AF350),$AF$2:$AF$1001,0),0),1)),INDEX($AK$2:$AK$1001,MATCH(ROWS($AF$2:AF350),$AF$2:$AF$1001,0),0)))</f>
        <v xml:space="preserve"> </v>
      </c>
      <c r="B350" s="4" t="str">
        <f ca="1">IF(OR(INDEX($AG$2:$AG$1001,MATCH(ROWS($AF$2:AF350),$AF$2:$AF$1001,0),1)&gt;=100000,INDEX($AM$1005:$BM$1005,1,MATCH(COLUMNS($AM$1006:AM1006),$AM$1006:$BM$1006,0))&gt;=100000), " ",IF(INDEX($AM$2:$BM$1001,MATCH(ROWS($AF$2:AF350),$AF$2:$AF$1001,0),MATCH(COLUMNS($AM$1006:AM1006),$AM$1006:$BM$1006,0)), HYPERLINK("#",""), HYPERLINK(CONCATENATE("#metadata!", ADDRESS(INDEX($AH$2:$AH$1001,MATCH(ROWS($AF$2:AF350),$AF$2:$AF$1001,0),0), INDEX($AM$1004:$BM$1004,1,MATCH(COLUMNS($AM$1006:AM1006),$AM$1006:$BM$1006,0)))),"Fix")))</f>
        <v xml:space="preserve"> </v>
      </c>
      <c r="C350" s="4" t="str">
        <f ca="1">IF(OR(INDEX($AG$2:$AG$1001,MATCH(ROWS($AF$2:AF350),$AF$2:$AF$1001,0),1)&gt;=100000,INDEX($AM$1005:$BM$1005,1,MATCH(COLUMNS($AM$1006:AN1006),$AM$1006:$BM$1006,0))&gt;=100000), " ",IF(INDEX($AM$2:$BM$1001,MATCH(ROWS($AF$2:AF350),$AF$2:$AF$1001,0),MATCH(COLUMNS($AM$1006:AN1006),$AM$1006:$BM$1006,0)), HYPERLINK("#",""), HYPERLINK(CONCATENATE("#metadata!", ADDRESS(INDEX($AH$2:$AH$1001,MATCH(ROWS($AF$2:AF350),$AF$2:$AF$1001,0),0), INDEX($AM$1004:$BM$1004,1,MATCH(COLUMNS($AM$1006:AN1006),$AM$1006:$BM$1006,0)))),"Fix")))</f>
        <v xml:space="preserve"> </v>
      </c>
      <c r="D350" s="4" t="str">
        <f ca="1">IF(OR(INDEX($AG$2:$AG$1001,MATCH(ROWS($AF$2:AF350),$AF$2:$AF$1001,0),1)&gt;=100000,INDEX($AM$1005:$BM$1005,1,MATCH(COLUMNS($AM$1006:AO1006),$AM$1006:$BM$1006,0))&gt;=100000), " ",IF(INDEX($AM$2:$BM$1001,MATCH(ROWS($AF$2:AF350),$AF$2:$AF$1001,0),MATCH(COLUMNS($AM$1006:AO1006),$AM$1006:$BM$1006,0)), HYPERLINK("#",""), HYPERLINK(CONCATENATE("#metadata!", ADDRESS(INDEX($AH$2:$AH$1001,MATCH(ROWS($AF$2:AF350),$AF$2:$AF$1001,0),0), INDEX($AM$1004:$BM$1004,1,MATCH(COLUMNS($AM$1006:AO1006),$AM$1006:$BM$1006,0)))),"Fix")))</f>
        <v xml:space="preserve"> </v>
      </c>
      <c r="E350" s="4" t="str">
        <f ca="1">IF(OR(INDEX($AG$2:$AG$1001,MATCH(ROWS($AF$2:AF350),$AF$2:$AF$1001,0),1)&gt;=100000,INDEX($AM$1005:$BM$1005,1,MATCH(COLUMNS($AM$1006:AP1006),$AM$1006:$BM$1006,0))&gt;=100000), " ",IF(INDEX($AM$2:$BM$1001,MATCH(ROWS($AF$2:AF350),$AF$2:$AF$1001,0),MATCH(COLUMNS($AM$1006:AP1006),$AM$1006:$BM$1006,0)), HYPERLINK("#",""), HYPERLINK(CONCATENATE("#metadata!", ADDRESS(INDEX($AH$2:$AH$1001,MATCH(ROWS($AF$2:AF350),$AF$2:$AF$1001,0),0), INDEX($AM$1004:$BM$1004,1,MATCH(COLUMNS($AM$1006:AP1006),$AM$1006:$BM$1006,0)))),"Fix")))</f>
        <v xml:space="preserve"> </v>
      </c>
      <c r="F350" s="4" t="str">
        <f ca="1">IF(OR(INDEX($AG$2:$AG$1001,MATCH(ROWS($AF$2:AF350),$AF$2:$AF$1001,0),1)&gt;=100000,INDEX($AM$1005:$BM$1005,1,MATCH(COLUMNS($AM$1006:AQ1006),$AM$1006:$BM$1006,0))&gt;=100000), " ",IF(INDEX($AM$2:$BM$1001,MATCH(ROWS($AF$2:AF350),$AF$2:$AF$1001,0),MATCH(COLUMNS($AM$1006:AQ1006),$AM$1006:$BM$1006,0)), HYPERLINK("#",""), HYPERLINK(CONCATENATE("#metadata!", ADDRESS(INDEX($AH$2:$AH$1001,MATCH(ROWS($AF$2:AF350),$AF$2:$AF$1001,0),0), INDEX($AM$1004:$BM$1004,1,MATCH(COLUMNS($AM$1006:AQ1006),$AM$1006:$BM$1006,0)))),"Fix")))</f>
        <v xml:space="preserve"> </v>
      </c>
      <c r="G350" s="4" t="str">
        <f ca="1">IF(OR(INDEX($AG$2:$AG$1001,MATCH(ROWS($AF$2:AF350),$AF$2:$AF$1001,0),1)&gt;=100000,INDEX($AM$1005:$BM$1005,1,MATCH(COLUMNS($AM$1006:AR1006),$AM$1006:$BM$1006,0))&gt;=100000), " ",IF(INDEX($AM$2:$BM$1001,MATCH(ROWS($AF$2:AF350),$AF$2:$AF$1001,0),MATCH(COLUMNS($AM$1006:AR1006),$AM$1006:$BM$1006,0)), HYPERLINK("#",""), HYPERLINK(CONCATENATE("#metadata!", ADDRESS(INDEX($AH$2:$AH$1001,MATCH(ROWS($AF$2:AF350),$AF$2:$AF$1001,0),0), INDEX($AM$1004:$BM$1004,1,MATCH(COLUMNS($AM$1006:AR1006),$AM$1006:$BM$1006,0)))),"Fix")))</f>
        <v xml:space="preserve"> </v>
      </c>
      <c r="H350" s="4" t="str">
        <f ca="1">IF(OR(INDEX($AG$2:$AG$1001,MATCH(ROWS($AF$2:AF350),$AF$2:$AF$1001,0),1)&gt;=100000,INDEX($AM$1005:$BM$1005,1,MATCH(COLUMNS($AM$1006:AS1006),$AM$1006:$BM$1006,0))&gt;=100000), " ",IF(INDEX($AM$2:$BM$1001,MATCH(ROWS($AF$2:AF350),$AF$2:$AF$1001,0),MATCH(COLUMNS($AM$1006:AS1006),$AM$1006:$BM$1006,0)), HYPERLINK("#",""), HYPERLINK(CONCATENATE("#metadata!", ADDRESS(INDEX($AH$2:$AH$1001,MATCH(ROWS($AF$2:AF350),$AF$2:$AF$1001,0),0), INDEX($AM$1004:$BM$1004,1,MATCH(COLUMNS($AM$1006:AS1006),$AM$1006:$BM$1006,0)))),"Fix")))</f>
        <v xml:space="preserve"> </v>
      </c>
      <c r="I350" s="4" t="str">
        <f ca="1">IF(OR(INDEX($AG$2:$AG$1001,MATCH(ROWS($AF$2:AF350),$AF$2:$AF$1001,0),1)&gt;=100000,INDEX($AM$1005:$BM$1005,1,MATCH(COLUMNS($AM$1006:AT1006),$AM$1006:$BM$1006,0))&gt;=100000), " ",IF(INDEX($AM$2:$BM$1001,MATCH(ROWS($AF$2:AF350),$AF$2:$AF$1001,0),MATCH(COLUMNS($AM$1006:AT1006),$AM$1006:$BM$1006,0)), HYPERLINK("#",""), HYPERLINK(CONCATENATE("#metadata!", ADDRESS(INDEX($AH$2:$AH$1001,MATCH(ROWS($AF$2:AF350),$AF$2:$AF$1001,0),0), INDEX($AM$1004:$BM$1004,1,MATCH(COLUMNS($AM$1006:AT1006),$AM$1006:$BM$1006,0)))),"Fix")))</f>
        <v xml:space="preserve"> </v>
      </c>
      <c r="J350" s="4" t="str">
        <f ca="1">IF(OR(INDEX($AG$2:$AG$1001,MATCH(ROWS($AF$2:AF350),$AF$2:$AF$1001,0),1)&gt;=100000,INDEX($AM$1005:$BM$1005,1,MATCH(COLUMNS($AM$1006:AU1006),$AM$1006:$BM$1006,0))&gt;=100000), " ",IF(INDEX($AM$2:$BM$1001,MATCH(ROWS($AF$2:AF350),$AF$2:$AF$1001,0),MATCH(COLUMNS($AM$1006:AU1006),$AM$1006:$BM$1006,0)), HYPERLINK("#",""), HYPERLINK(CONCATENATE("#metadata!", ADDRESS(INDEX($AH$2:$AH$1001,MATCH(ROWS($AF$2:AF350),$AF$2:$AF$1001,0),0), INDEX($AM$1004:$BM$1004,1,MATCH(COLUMNS($AM$1006:AU1006),$AM$1006:$BM$1006,0)))),"Fix")))</f>
        <v xml:space="preserve"> </v>
      </c>
      <c r="K350" s="4" t="str">
        <f ca="1">IF(OR(INDEX($AG$2:$AG$1001,MATCH(ROWS($AF$2:AF350),$AF$2:$AF$1001,0),1)&gt;=100000,INDEX($AM$1005:$BM$1005,1,MATCH(COLUMNS($AM$1006:AV1006),$AM$1006:$BM$1006,0))&gt;=100000), " ",IF(INDEX($AM$2:$BM$1001,MATCH(ROWS($AF$2:AF350),$AF$2:$AF$1001,0),MATCH(COLUMNS($AM$1006:AV1006),$AM$1006:$BM$1006,0)), HYPERLINK("#",""), HYPERLINK(CONCATENATE("#metadata!", ADDRESS(INDEX($AH$2:$AH$1001,MATCH(ROWS($AF$2:AF350),$AF$2:$AF$1001,0),0), INDEX($AM$1004:$BM$1004,1,MATCH(COLUMNS($AM$1006:AV1006),$AM$1006:$BM$1006,0)))),"Fix")))</f>
        <v xml:space="preserve"> </v>
      </c>
      <c r="L350" s="4" t="str">
        <f ca="1">IF(OR(INDEX($AG$2:$AG$1001,MATCH(ROWS($AF$2:AF350),$AF$2:$AF$1001,0),1)&gt;=100000,INDEX($AM$1005:$BM$1005,1,MATCH(COLUMNS($AM$1006:AW1006),$AM$1006:$BM$1006,0))&gt;=100000), " ",IF(INDEX($AM$2:$BM$1001,MATCH(ROWS($AF$2:AF350),$AF$2:$AF$1001,0),MATCH(COLUMNS($AM$1006:AW1006),$AM$1006:$BM$1006,0)), HYPERLINK("#",""), HYPERLINK(CONCATENATE("#metadata!", ADDRESS(INDEX($AH$2:$AH$1001,MATCH(ROWS($AF$2:AF350),$AF$2:$AF$1001,0),0), INDEX($AM$1004:$BM$1004,1,MATCH(COLUMNS($AM$1006:AW1006),$AM$1006:$BM$1006,0)))),"Fix")))</f>
        <v xml:space="preserve"> </v>
      </c>
      <c r="M350" s="4" t="str">
        <f ca="1">IF(OR(INDEX($AG$2:$AG$1001,MATCH(ROWS($AF$2:AF350),$AF$2:$AF$1001,0),1)&gt;=100000,INDEX($AM$1005:$BM$1005,1,MATCH(COLUMNS($AM$1006:AX1006),$AM$1006:$BM$1006,0))&gt;=100000), " ",IF(INDEX($AM$2:$BM$1001,MATCH(ROWS($AF$2:AF350),$AF$2:$AF$1001,0),MATCH(COLUMNS($AM$1006:AX1006),$AM$1006:$BM$1006,0)), HYPERLINK("#",""), HYPERLINK(CONCATENATE("#metadata!", ADDRESS(INDEX($AH$2:$AH$1001,MATCH(ROWS($AF$2:AF350),$AF$2:$AF$1001,0),0), INDEX($AM$1004:$BM$1004,1,MATCH(COLUMNS($AM$1006:AX1006),$AM$1006:$BM$1006,0)))),"Fix")))</f>
        <v xml:space="preserve"> </v>
      </c>
      <c r="N350" s="4" t="str">
        <f ca="1">IF(OR(INDEX($AG$2:$AG$1001,MATCH(ROWS($AF$2:AF350),$AF$2:$AF$1001,0),1)&gt;=100000,INDEX($AM$1005:$BM$1005,1,MATCH(COLUMNS($AM$1006:AY1006),$AM$1006:$BM$1006,0))&gt;=100000), " ",IF(INDEX($AM$2:$BM$1001,MATCH(ROWS($AF$2:AF350),$AF$2:$AF$1001,0),MATCH(COLUMNS($AM$1006:AY1006),$AM$1006:$BM$1006,0)), HYPERLINK("#",""), HYPERLINK(CONCATENATE("#metadata!", ADDRESS(INDEX($AH$2:$AH$1001,MATCH(ROWS($AF$2:AF350),$AF$2:$AF$1001,0),0), INDEX($AM$1004:$BM$1004,1,MATCH(COLUMNS($AM$1006:AY1006),$AM$1006:$BM$1006,0)))),"Fix")))</f>
        <v xml:space="preserve"> </v>
      </c>
      <c r="O350" s="4" t="str">
        <f ca="1">IF(OR(INDEX($AG$2:$AG$1001,MATCH(ROWS($AF$2:AF350),$AF$2:$AF$1001,0),1)&gt;=100000,INDEX($AM$1005:$BM$1005,1,MATCH(COLUMNS($AM$1006:AZ1006),$AM$1006:$BM$1006,0))&gt;=100000), " ",IF(INDEX($AM$2:$BM$1001,MATCH(ROWS($AF$2:AF350),$AF$2:$AF$1001,0),MATCH(COLUMNS($AM$1006:AZ1006),$AM$1006:$BM$1006,0)), HYPERLINK("#",""), HYPERLINK(CONCATENATE("#metadata!", ADDRESS(INDEX($AH$2:$AH$1001,MATCH(ROWS($AF$2:AF350),$AF$2:$AF$1001,0),0), INDEX($AM$1004:$BM$1004,1,MATCH(COLUMNS($AM$1006:AZ1006),$AM$1006:$BM$1006,0)))),"Fix")))</f>
        <v xml:space="preserve"> </v>
      </c>
      <c r="P350" s="4" t="str">
        <f ca="1">IF(OR(INDEX($AG$2:$AG$1001,MATCH(ROWS($AF$2:AF350),$AF$2:$AF$1001,0),1)&gt;=100000,INDEX($AM$1005:$BM$1005,1,MATCH(COLUMNS($AM$1006:BA1006),$AM$1006:$BM$1006,0))&gt;=100000), " ",IF(INDEX($AM$2:$BM$1001,MATCH(ROWS($AF$2:AF350),$AF$2:$AF$1001,0),MATCH(COLUMNS($AM$1006:BA1006),$AM$1006:$BM$1006,0)), HYPERLINK("#",""), HYPERLINK(CONCATENATE("#metadata!", ADDRESS(INDEX($AH$2:$AH$1001,MATCH(ROWS($AF$2:AF350),$AF$2:$AF$1001,0),0), INDEX($AM$1004:$BM$1004,1,MATCH(COLUMNS($AM$1006:BA1006),$AM$1006:$BM$1006,0)))),"Fix")))</f>
        <v xml:space="preserve"> </v>
      </c>
      <c r="Q350" s="4" t="str">
        <f ca="1">IF(OR(INDEX($AG$2:$AG$1001,MATCH(ROWS($AF$2:AF350),$AF$2:$AF$1001,0),1)&gt;=100000,INDEX($AM$1005:$BM$1005,1,MATCH(COLUMNS($AM$1006:BB1006),$AM$1006:$BM$1006,0))&gt;=100000), " ",IF(INDEX($AM$2:$BM$1001,MATCH(ROWS($AF$2:AF350),$AF$2:$AF$1001,0),MATCH(COLUMNS($AM$1006:BB1006),$AM$1006:$BM$1006,0)), HYPERLINK("#",""), HYPERLINK(CONCATENATE("#metadata!", ADDRESS(INDEX($AH$2:$AH$1001,MATCH(ROWS($AF$2:AF350),$AF$2:$AF$1001,0),0), INDEX($AM$1004:$BM$1004,1,MATCH(COLUMNS($AM$1006:BB1006),$AM$1006:$BM$1006,0)))),"Fix")))</f>
        <v xml:space="preserve"> </v>
      </c>
      <c r="R350" s="4" t="str">
        <f ca="1">IF(OR(INDEX($AG$2:$AG$1001,MATCH(ROWS($AF$2:AF350),$AF$2:$AF$1001,0),1)&gt;=100000,INDEX($AM$1005:$BM$1005,1,MATCH(COLUMNS($AM$1006:BC1006),$AM$1006:$BM$1006,0))&gt;=100000), " ",IF(INDEX($AM$2:$BM$1001,MATCH(ROWS($AF$2:AF350),$AF$2:$AF$1001,0),MATCH(COLUMNS($AM$1006:BC1006),$AM$1006:$BM$1006,0)), HYPERLINK("#",""), HYPERLINK(CONCATENATE("#metadata!", ADDRESS(INDEX($AH$2:$AH$1001,MATCH(ROWS($AF$2:AF350),$AF$2:$AF$1001,0),0), INDEX($AM$1004:$BM$1004,1,MATCH(COLUMNS($AM$1006:BC1006),$AM$1006:$BM$1006,0)))),"Fix")))</f>
        <v xml:space="preserve"> </v>
      </c>
      <c r="S350" s="4" t="str">
        <f ca="1">IF(OR(INDEX($AG$2:$AG$1001,MATCH(ROWS($AF$2:AF350),$AF$2:$AF$1001,0),1)&gt;=100000,INDEX($AM$1005:$BM$1005,1,MATCH(COLUMNS($AM$1006:BD1006),$AM$1006:$BM$1006,0))&gt;=100000), " ",IF(INDEX($AM$2:$BM$1001,MATCH(ROWS($AF$2:AF350),$AF$2:$AF$1001,0),MATCH(COLUMNS($AM$1006:BD1006),$AM$1006:$BM$1006,0)), HYPERLINK("#",""), HYPERLINK(CONCATENATE("#metadata!", ADDRESS(INDEX($AH$2:$AH$1001,MATCH(ROWS($AF$2:AF350),$AF$2:$AF$1001,0),0), INDEX($AM$1004:$BM$1004,1,MATCH(COLUMNS($AM$1006:BD1006),$AM$1006:$BM$1006,0)))),"Fix")))</f>
        <v xml:space="preserve"> </v>
      </c>
      <c r="T350" s="4" t="str">
        <f ca="1">IF(OR(INDEX($AG$2:$AG$1001,MATCH(ROWS($AF$2:AF350),$AF$2:$AF$1001,0),1)&gt;=100000,INDEX($AM$1005:$BM$1005,1,MATCH(COLUMNS($AM$1006:BE1006),$AM$1006:$BM$1006,0))&gt;=100000), " ",IF(INDEX($AM$2:$BM$1001,MATCH(ROWS($AF$2:AF350),$AF$2:$AF$1001,0),MATCH(COLUMNS($AM$1006:BE1006),$AM$1006:$BM$1006,0)), HYPERLINK("#",""), HYPERLINK(CONCATENATE("#metadata!", ADDRESS(INDEX($AH$2:$AH$1001,MATCH(ROWS($AF$2:AF350),$AF$2:$AF$1001,0),0), INDEX($AM$1004:$BM$1004,1,MATCH(COLUMNS($AM$1006:BE1006),$AM$1006:$BM$1006,0)))),"Fix")))</f>
        <v xml:space="preserve"> </v>
      </c>
      <c r="U350" s="4" t="str">
        <f ca="1">IF(OR(INDEX($AG$2:$AG$1001,MATCH(ROWS($AF$2:AF350),$AF$2:$AF$1001,0),1)&gt;=100000,INDEX($AM$1005:$BM$1005,1,MATCH(COLUMNS($AM$1006:BF1006),$AM$1006:$BM$1006,0))&gt;=100000), " ",IF(INDEX($AM$2:$BM$1001,MATCH(ROWS($AF$2:AF350),$AF$2:$AF$1001,0),MATCH(COLUMNS($AM$1006:BF1006),$AM$1006:$BM$1006,0)), HYPERLINK("#",""), HYPERLINK(CONCATENATE("#metadata!", ADDRESS(INDEX($AH$2:$AH$1001,MATCH(ROWS($AF$2:AF350),$AF$2:$AF$1001,0),0), INDEX($AM$1004:$BM$1004,1,MATCH(COLUMNS($AM$1006:BF1006),$AM$1006:$BM$1006,0)))),"Fix")))</f>
        <v xml:space="preserve"> </v>
      </c>
      <c r="V350" s="4" t="str">
        <f ca="1">IF(OR(INDEX($AG$2:$AG$1001,MATCH(ROWS($AF$2:AF350),$AF$2:$AF$1001,0),1)&gt;=100000,INDEX($AM$1005:$BM$1005,1,MATCH(COLUMNS($AM$1006:BG1006),$AM$1006:$BM$1006,0))&gt;=100000), " ",IF(INDEX($AM$2:$BM$1001,MATCH(ROWS($AF$2:AF350),$AF$2:$AF$1001,0),MATCH(COLUMNS($AM$1006:BG1006),$AM$1006:$BM$1006,0)), HYPERLINK("#",""), HYPERLINK(CONCATENATE("#metadata!", ADDRESS(INDEX($AH$2:$AH$1001,MATCH(ROWS($AF$2:AF350),$AF$2:$AF$1001,0),0), INDEX($AM$1004:$BM$1004,1,MATCH(COLUMNS($AM$1006:BG1006),$AM$1006:$BM$1006,0)))),"Fix")))</f>
        <v xml:space="preserve"> </v>
      </c>
      <c r="W350" s="4" t="str">
        <f ca="1">IF(OR(INDEX($AG$2:$AG$1001,MATCH(ROWS($AF$2:AF350),$AF$2:$AF$1001,0),1)&gt;=100000,INDEX($AM$1005:$BM$1005,1,MATCH(COLUMNS($AM$1006:BH1006),$AM$1006:$BM$1006,0))&gt;=100000), " ",IF(INDEX($AM$2:$BM$1001,MATCH(ROWS($AF$2:AF350),$AF$2:$AF$1001,0),MATCH(COLUMNS($AM$1006:BH1006),$AM$1006:$BM$1006,0)), HYPERLINK("#",""), HYPERLINK(CONCATENATE("#metadata!", ADDRESS(INDEX($AH$2:$AH$1001,MATCH(ROWS($AF$2:AF350),$AF$2:$AF$1001,0),0), INDEX($AM$1004:$BM$1004,1,MATCH(COLUMNS($AM$1006:BH1006),$AM$1006:$BM$1006,0)))),"Fix")))</f>
        <v xml:space="preserve"> </v>
      </c>
      <c r="X350" s="4" t="str">
        <f ca="1">IF(OR(INDEX($AG$2:$AG$1001,MATCH(ROWS($AF$2:AF350),$AF$2:$AF$1001,0),1)&gt;=100000,INDEX($AM$1005:$BM$1005,1,MATCH(COLUMNS($AM$1006:BI1006),$AM$1006:$BM$1006,0))&gt;=100000), " ",IF(INDEX($AM$2:$BM$1001,MATCH(ROWS($AF$2:AF350),$AF$2:$AF$1001,0),MATCH(COLUMNS($AM$1006:BI1006),$AM$1006:$BM$1006,0)), HYPERLINK("#",""), HYPERLINK(CONCATENATE("#metadata!", ADDRESS(INDEX($AH$2:$AH$1001,MATCH(ROWS($AF$2:AF350),$AF$2:$AF$1001,0),0), INDEX($AM$1004:$BM$1004,1,MATCH(COLUMNS($AM$1006:BI1006),$AM$1006:$BM$1006,0)))),"Fix")))</f>
        <v xml:space="preserve"> </v>
      </c>
      <c r="Y350" s="4" t="str">
        <f ca="1">IF(OR(INDEX($AG$2:$AG$1001,MATCH(ROWS($AF$2:AF350),$AF$2:$AF$1001,0),1)&gt;=100000,INDEX($AM$1005:$BM$1005,1,MATCH(COLUMNS($AM$1006:BJ1006),$AM$1006:$BM$1006,0))&gt;=100000), " ",IF(INDEX($AM$2:$BM$1001,MATCH(ROWS($AF$2:AF350),$AF$2:$AF$1001,0),MATCH(COLUMNS($AM$1006:BJ1006),$AM$1006:$BM$1006,0)), HYPERLINK("#",""), HYPERLINK(CONCATENATE("#metadata!", ADDRESS(INDEX($AH$2:$AH$1001,MATCH(ROWS($AF$2:AF350),$AF$2:$AF$1001,0),0), INDEX($AM$1004:$BM$1004,1,MATCH(COLUMNS($AM$1006:BJ1006),$AM$1006:$BM$1006,0)))),"Fix")))</f>
        <v xml:space="preserve"> </v>
      </c>
      <c r="Z350" s="4" t="str">
        <f ca="1">IF(OR(INDEX($AG$2:$AG$1001,MATCH(ROWS($AF$2:AF350),$AF$2:$AF$1001,0),1)&gt;=100000,INDEX($AM$1005:$BM$1005,1,MATCH(COLUMNS($AM$1006:BK1006),$AM$1006:$BM$1006,0))&gt;=100000), " ",IF(INDEX($AM$2:$BM$1001,MATCH(ROWS($AF$2:AF350),$AF$2:$AF$1001,0),MATCH(COLUMNS($AM$1006:BK1006),$AM$1006:$BM$1006,0)), HYPERLINK("#",""), HYPERLINK(CONCATENATE("#metadata!", ADDRESS(INDEX($AH$2:$AH$1001,MATCH(ROWS($AF$2:AF350),$AF$2:$AF$1001,0),0), INDEX($AM$1004:$BM$1004,1,MATCH(COLUMNS($AM$1006:BK1006),$AM$1006:$BM$1006,0)))),"Fix")))</f>
        <v xml:space="preserve"> </v>
      </c>
      <c r="AA350" s="4" t="str">
        <f ca="1">IF(OR(INDEX($AG$2:$AG$1001,MATCH(ROWS($AF$2:AF350),$AF$2:$AF$1001,0),1)&gt;=100000,INDEX($AM$1005:$BM$1005,1,MATCH(COLUMNS($AM$1006:BL1006),$AM$1006:$BM$1006,0))&gt;=100000), " ",IF(INDEX($AM$2:$BM$1001,MATCH(ROWS($AF$2:AF350),$AF$2:$AF$1001,0),MATCH(COLUMNS($AM$1006:BL1006),$AM$1006:$BM$1006,0)), HYPERLINK("#",""), HYPERLINK(CONCATENATE("#metadata!", ADDRESS(INDEX($AH$2:$AH$1001,MATCH(ROWS($AF$2:AF350),$AF$2:$AF$1001,0),0), INDEX($AM$1004:$BM$1004,1,MATCH(COLUMNS($AM$1006:BL1006),$AM$1006:$BM$1006,0)))),"Fix")))</f>
        <v xml:space="preserve"> </v>
      </c>
      <c r="AB350" s="4" t="str">
        <f ca="1">IF(OR(INDEX($AG$2:$AG$1001,MATCH(ROWS($AF$2:AF350),$AF$2:$AF$1001,0),1)&gt;=100000,INDEX($AM$1005:$BM$1005,1,MATCH(COLUMNS($AM$1006:BM1006),$AM$1006:$BM$1006,0))&gt;=100000), " ",IF(INDEX($AM$2:$BM$1001,MATCH(ROWS($AF$2:AF350),$AF$2:$AF$1001,0),MATCH(COLUMNS($AM$1006:BM1006),$AM$1006:$BM$1006,0)), HYPERLINK("#",""), HYPERLINK(CONCATENATE("#metadata!", ADDRESS(INDEX($AH$2:$AH$1001,MATCH(ROWS($AF$2:AF350),$AF$2:$AF$1001,0),0), INDEX($AM$1004:$BM$1004,1,MATCH(COLUMNS($AM$1006:BM1006),$AM$1006:$BM$1006,0)))),"Fix")))</f>
        <v xml:space="preserve"> </v>
      </c>
      <c r="AF350">
        <v>349</v>
      </c>
      <c r="AG350">
        <v>100350</v>
      </c>
      <c r="AH350">
        <v>350</v>
      </c>
      <c r="AI350" t="b">
        <f t="shared" si="5"/>
        <v>1</v>
      </c>
      <c r="AJ350" t="b">
        <f>COUNTBLANK(metadata!B350:AB350)=COLUMNS(metadata!B350:AB350)</f>
        <v>1</v>
      </c>
      <c r="AK350" t="str">
        <v/>
      </c>
      <c r="AM350" t="b">
        <f ca="1">AND(IF(metadata!B350="",FALSE,TRUE),COUNTIF(metadata!B:B, metadata!B350) = 1,NOT(ISERROR(SUMPRODUCT(SEARCH(MID(metadata!B350,ROW(INDIRECT("1:"&amp;LEN(metadata!B350))), 1),"0123456789abcdefghijklmnopqrstuvwxyzABCDEFGHIJKLMNOPQRSTUVWXYZ.")))))</f>
        <v>0</v>
      </c>
      <c r="AN350" t="b">
        <f ca="1">OR(AND(IF(metadata!C350="",FALSE,TRUE),OR(EXACT(metadata!C350,"missing: not collected"),EXACT(metadata!C350,"missing: not provided"),EXACT(metadata!C350,"missing: restricted access"))),AND(IF(metadata!C350="",FALSE,TRUE),AND(AND(IFERROR(INT(LEFT(metadata!C350,4))&gt;1900,FALSE),IFERROR(INT(LEFT(metadata!C350,4))&lt;=YEAR(NOW()),FALSE)), OR(MID(metadata!C350,5,1)="", AND(AND(MID(metadata!C350,5,1)="-",IFERROR(INT(MID(metadata!C350,6,1))&gt;=0,FALSE),IFERROR(INT(MID(metadata!C350,6,1))&lt;=1,FALSE),NOT(MID(metadata!C350,7,1)=""),IFERROR(INT(MID(metadata!C350,6,2))&gt;=1,FALSE),IFERROR(INT(MID(metadata!C350,6,2))&lt;=12,FALSE)), OR(MID(metadata!C350,8,1)="", AND(AND(MID(metadata!C350,8,1)="-",IFERROR(INT(MID(metadata!C350,9,1))&gt;=0,FALSE),IFERROR(INT(MID(metadata!C350,9,1))&lt;=3,FALSE),NOT(MID(metadata!C350,10,1)=""),IFERROR(INT(MID(metadata!C350,9,2))&gt;=1,FALSE),IFERROR(INT(MID(metadata!C350,9,2))&lt;=31,FALSE)), OR(MID(metadata!C350,11,1)="", AND(AND(MID(metadata!C350,11,1)=" ",IFERROR(INT(MID(metadata!C350,12,1))&gt;=0,FALSE),IFERROR(INT(MID(metadata!C350,12,1))&lt;=2,FALSE),NOT(MID(metadata!C350,13,1)=""),IFERROR(INT(MID(metadata!C350,12,2))&gt;=0,FALSE),IFERROR(INT(MID(metadata!C350,12,2))&lt;=23,FALSE)), OR(MID(metadata!C350,14,1)="", AND(AND(MID(metadata!C350,14,1)=":",IFERROR(INT(MID(metadata!C350,15,1))&gt;=0,FALSE),IFERROR(INT(MID(metadata!C350,15,1))&lt;=5,FALSE),NOT(MID(metadata!C350,16,1)=""),IFERROR(INT(MID(metadata!C350,15,2))&gt;=0,FALSE),IFERROR(INT(MID(metadata!C350,15,2))&lt;=59,FALSE)), OR(MID(metadata!C350,17,1)="", AND(AND(MID(metadata!C350,17,1)=":",IFERROR(INT(MID(metadata!C350,18,1))&gt;=0,FALSE),IFERROR(INT(MID(metadata!C350,18,1))&lt;=5,FALSE),NOT(MID(metadata!C350,19,1)=""),IFERROR(INT(MID(metadata!C350,18,2))&gt;=0,FALSE),IFERROR(INT(MID(metadata!C350,18,2))&lt;=59,FALSE)), LEN(metadata!C350)&lt;=19)))))))))))))</f>
        <v>0</v>
      </c>
      <c r="AO350" t="b">
        <f>AND(IF(metadata!D350="",FALSE,TRUE),EXACT(metadata!D350,"Not applicable"))</f>
        <v>0</v>
      </c>
      <c r="AP350" t="b">
        <f>IF(metadata!E350="",FALSE,TRUE)</f>
        <v>0</v>
      </c>
      <c r="AQ350" t="b">
        <f>OR(AND(IF(metadata!F350="",FALSE,TRUE),OR(EXACT(metadata!F350,"missing: not collected"),EXACT(metadata!F350,"missing: not provided"))),AND(IF(metadata!F350="",FALSE,TRUE),OR(EXACT(metadata!F350,"TRUE"),EXACT(metadata!F350,"FALSE"))))</f>
        <v>0</v>
      </c>
      <c r="AR350" t="b">
        <f>OR(AND(IF(metadata!G350="",FALSE,TRUE),OR(EXACT(metadata!G350,"missing: not collected"),EXACT(metadata!G350,"missing: not provided"),EXACT(metadata!G350,"missing: restricted access"))),AND(IF(metadata!G350="",FALSE,ISNUMBER(VALUE(metadata!G350))),metadata!G350&gt;=-413))</f>
        <v>0</v>
      </c>
      <c r="AS350" t="b">
        <f>AND(IF(metadata!H350="",FALSE,TRUE),EXACT(metadata!H350,"meters"))</f>
        <v>0</v>
      </c>
      <c r="AT350" t="b">
        <f>AND(IF(metadata!I350="",FALSE,TRUE),OR(EXACT(metadata!I350,"Host-associated"),EXACT(metadata!I350,"Free-living")))</f>
        <v>0</v>
      </c>
      <c r="AU350" t="b">
        <f>AND(IF(metadata!J350="",FALSE,TRUE),OR(EXACT(metadata!J350,"Animal"),EXACT(metadata!J350,"Fungus"),EXACT(metadata!J350,"Plant"),EXACT(metadata!J350,"Saline"),EXACT(metadata!J350,"Non-saline")))</f>
        <v>0</v>
      </c>
      <c r="AV350" t="b">
        <f>AND(IF(metadata!K350="",FALSE,TRUE),OR(EXACT(metadata!K350,"Plant secretion"),EXACT(metadata!K350,"Plant rhizosphere"),EXACT(metadata!K350,"Plant surface"),EXACT(metadata!K350,"Plant corpus"),EXACT(metadata!K350,"Fungus surface"),EXACT(metadata!K350,"Fungus corpus"),EXACT(metadata!K350,"Animal surface"),EXACT(metadata!K350,"Animal proximal gut"),EXACT(metadata!K350,"Animal corpus"),EXACT(metadata!K350,"Animal distal gut"),EXACT(metadata!K350,"Animal secretion"),EXACT(metadata!K350,"Sub-surface (non-saline)"),EXACT(metadata!K350,"Surface (non-saline)"),EXACT(metadata!K350,"Water (non-saline)"),EXACT(metadata!K350,"Soil (non-saline)"),EXACT(metadata!K350,"Aerosol (non-saline)"),EXACT(metadata!K350,"Sediment (non-saline)"),EXACT(metadata!K350,"Surface (saline)"),EXACT(metadata!K350,"Water (saline)"),EXACT(metadata!K350,"Hypersaline (saline)"),EXACT(metadata!K350,"Aerosol (saline)"),EXACT(metadata!K350,"Sediment (saline)")))</f>
        <v>0</v>
      </c>
      <c r="AW350" t="b">
        <f>IF(metadata!L350="",FALSE,TRUE)</f>
        <v>0</v>
      </c>
      <c r="AX350" t="b">
        <f>IF(metadata!M350="",FALSE,TRUE)</f>
        <v>0</v>
      </c>
      <c r="AY350" t="b">
        <f>IF(metadata!N350="",FALSE,TRUE)</f>
        <v>0</v>
      </c>
      <c r="AZ350" t="b">
        <f>OR(AND(IF(metadata!O350="",FALSE,TRUE),OR(EXACT(metadata!O350,"missing: not collected"),EXACT(metadata!O350,"missing: not provided"),EXACT(metadata!O350,"missing: restricted access"))),AND(IF(metadata!O350="",FALSE,TRUE),OR(EXACT(metadata!O350,"air"),EXACT(metadata!O350,"built environment"),EXACT(metadata!O350,"host-associated"),EXACT(metadata!O350,"human-associated"),EXACT(metadata!O350,"human-skin"),EXACT(metadata!O350,"human-oral"),EXACT(metadata!O350,"human-gut"),EXACT(metadata!O350,"human-vaginal"),EXACT(metadata!O350,"microbial mat/biofilm"),EXACT(metadata!O350,"misc environment"),EXACT(metadata!O350,"plant-associated"),EXACT(metadata!O350,"sediment"),EXACT(metadata!O350,"soil"),EXACT(metadata!O350,"wastewater/sludge"),EXACT(metadata!O350,"water"))))</f>
        <v>0</v>
      </c>
      <c r="BA350" t="b">
        <f>IF(metadata!P350="",FALSE,TRUE)</f>
        <v>0</v>
      </c>
      <c r="BB350" t="b">
        <f>IF(metadata!Q350="",FALSE,TRUE)</f>
        <v>0</v>
      </c>
      <c r="BC350" t="b">
        <f>OR(AND(IF(metadata!R350="",FALSE,TRUE),OR(EXACT(metadata!R350,"missing: not collected"),EXACT(metadata!R350,"missing: not provided"),EXACT(metadata!R350,"missing: restricted access"))),AND(IF(metadata!R350="",FALSE,ISNUMBER(VALUE(metadata!R350))),metadata!R350&gt;=-90,metadata!R350&lt;=90))</f>
        <v>0</v>
      </c>
      <c r="BD350" t="b">
        <f>AND(IF(metadata!S350="",FALSE,TRUE),EXACT(metadata!S350,"Decimal degrees"))</f>
        <v>0</v>
      </c>
      <c r="BE350" t="b">
        <f>OR(AND(IF(metadata!T350="",FALSE,TRUE),OR(EXACT(metadata!T350,"missing: not collected"),EXACT(metadata!T350,"missing: not provided"),EXACT(metadata!T350,"missing: restricted access"))),AND(IF(metadata!T350="",FALSE,ISNUMBER(VALUE(metadata!T350))),metadata!T350&gt;=-180,metadata!T350&lt;=180))</f>
        <v>0</v>
      </c>
      <c r="BF350" t="b">
        <f>AND(IF(metadata!U350="",FALSE,TRUE),EXACT(metadata!U350,"Decimal degrees"))</f>
        <v>0</v>
      </c>
      <c r="BG350" t="b">
        <f>IF(metadata!V350="",FALSE,TRUE)</f>
        <v>0</v>
      </c>
      <c r="BH350" t="b">
        <f>OR(AND(IF(metadata!W350="",FALSE,TRUE),OR(EXACT(metadata!W350,"missing: not collected"),EXACT(metadata!W350,"missing: not provided"),EXACT(metadata!W350,"missing: restricted access"))),AND(IF(metadata!W350="",FALSE,TRUE),OR(EXACT(metadata!W350,"TRUE"),EXACT(metadata!W350,"FALSE"))))</f>
        <v>0</v>
      </c>
      <c r="BI350" t="b">
        <f>AND(IF(metadata!X350="",FALSE,TRUE),EXACT(metadata!X350,"other"))</f>
        <v>0</v>
      </c>
      <c r="BJ350" t="b">
        <f>IF(metadata!Y350="",FALSE,TRUE)</f>
        <v>0</v>
      </c>
      <c r="BK350" t="b">
        <f>OR(AND(IF(metadata!Z350="",FALSE,TRUE),OR(EXACT(metadata!Z350,"missing: not collected"),EXACT(metadata!Z350,"missing: not provided"))),AND(IF(metadata!Z350="",FALSE,IF(ISERROR(INT(metadata!Z350)),FALSE,INT(metadata!Z350)=metadata!Z350)),metadata!Z350&gt;0))</f>
        <v>0</v>
      </c>
      <c r="BL350" t="b">
        <f>AND(IF(metadata!AA350="",FALSE,TRUE),EXACT(metadata!AA350,"Not applicable"))</f>
        <v>0</v>
      </c>
      <c r="BM350" t="b">
        <f>IF(metadata!AB350="",FALSE,TRUE)</f>
        <v>0</v>
      </c>
    </row>
    <row r="351" spans="1:65" x14ac:dyDescent="0.2">
      <c r="A351" s="5" t="str">
        <f ca="1">IF(B351=" "," ",HYPERLINK(CONCATENATE("#metadata!",ADDRESS(INDEX($AH$2:$AH$1001,MATCH(ROWS($AF$2:AF351),$AF$2:$AF$1001,0),0),1)),INDEX($AK$2:$AK$1001,MATCH(ROWS($AF$2:AF351),$AF$2:$AF$1001,0),0)))</f>
        <v xml:space="preserve"> </v>
      </c>
      <c r="B351" s="4" t="str">
        <f ca="1">IF(OR(INDEX($AG$2:$AG$1001,MATCH(ROWS($AF$2:AF351),$AF$2:$AF$1001,0),1)&gt;=100000,INDEX($AM$1005:$BM$1005,1,MATCH(COLUMNS($AM$1006:AM1006),$AM$1006:$BM$1006,0))&gt;=100000), " ",IF(INDEX($AM$2:$BM$1001,MATCH(ROWS($AF$2:AF351),$AF$2:$AF$1001,0),MATCH(COLUMNS($AM$1006:AM1006),$AM$1006:$BM$1006,0)), HYPERLINK("#",""), HYPERLINK(CONCATENATE("#metadata!", ADDRESS(INDEX($AH$2:$AH$1001,MATCH(ROWS($AF$2:AF351),$AF$2:$AF$1001,0),0), INDEX($AM$1004:$BM$1004,1,MATCH(COLUMNS($AM$1006:AM1006),$AM$1006:$BM$1006,0)))),"Fix")))</f>
        <v xml:space="preserve"> </v>
      </c>
      <c r="C351" s="4" t="str">
        <f ca="1">IF(OR(INDEX($AG$2:$AG$1001,MATCH(ROWS($AF$2:AF351),$AF$2:$AF$1001,0),1)&gt;=100000,INDEX($AM$1005:$BM$1005,1,MATCH(COLUMNS($AM$1006:AN1006),$AM$1006:$BM$1006,0))&gt;=100000), " ",IF(INDEX($AM$2:$BM$1001,MATCH(ROWS($AF$2:AF351),$AF$2:$AF$1001,0),MATCH(COLUMNS($AM$1006:AN1006),$AM$1006:$BM$1006,0)), HYPERLINK("#",""), HYPERLINK(CONCATENATE("#metadata!", ADDRESS(INDEX($AH$2:$AH$1001,MATCH(ROWS($AF$2:AF351),$AF$2:$AF$1001,0),0), INDEX($AM$1004:$BM$1004,1,MATCH(COLUMNS($AM$1006:AN1006),$AM$1006:$BM$1006,0)))),"Fix")))</f>
        <v xml:space="preserve"> </v>
      </c>
      <c r="D351" s="4" t="str">
        <f ca="1">IF(OR(INDEX($AG$2:$AG$1001,MATCH(ROWS($AF$2:AF351),$AF$2:$AF$1001,0),1)&gt;=100000,INDEX($AM$1005:$BM$1005,1,MATCH(COLUMNS($AM$1006:AO1006),$AM$1006:$BM$1006,0))&gt;=100000), " ",IF(INDEX($AM$2:$BM$1001,MATCH(ROWS($AF$2:AF351),$AF$2:$AF$1001,0),MATCH(COLUMNS($AM$1006:AO1006),$AM$1006:$BM$1006,0)), HYPERLINK("#",""), HYPERLINK(CONCATENATE("#metadata!", ADDRESS(INDEX($AH$2:$AH$1001,MATCH(ROWS($AF$2:AF351),$AF$2:$AF$1001,0),0), INDEX($AM$1004:$BM$1004,1,MATCH(COLUMNS($AM$1006:AO1006),$AM$1006:$BM$1006,0)))),"Fix")))</f>
        <v xml:space="preserve"> </v>
      </c>
      <c r="E351" s="4" t="str">
        <f ca="1">IF(OR(INDEX($AG$2:$AG$1001,MATCH(ROWS($AF$2:AF351),$AF$2:$AF$1001,0),1)&gt;=100000,INDEX($AM$1005:$BM$1005,1,MATCH(COLUMNS($AM$1006:AP1006),$AM$1006:$BM$1006,0))&gt;=100000), " ",IF(INDEX($AM$2:$BM$1001,MATCH(ROWS($AF$2:AF351),$AF$2:$AF$1001,0),MATCH(COLUMNS($AM$1006:AP1006),$AM$1006:$BM$1006,0)), HYPERLINK("#",""), HYPERLINK(CONCATENATE("#metadata!", ADDRESS(INDEX($AH$2:$AH$1001,MATCH(ROWS($AF$2:AF351),$AF$2:$AF$1001,0),0), INDEX($AM$1004:$BM$1004,1,MATCH(COLUMNS($AM$1006:AP1006),$AM$1006:$BM$1006,0)))),"Fix")))</f>
        <v xml:space="preserve"> </v>
      </c>
      <c r="F351" s="4" t="str">
        <f ca="1">IF(OR(INDEX($AG$2:$AG$1001,MATCH(ROWS($AF$2:AF351),$AF$2:$AF$1001,0),1)&gt;=100000,INDEX($AM$1005:$BM$1005,1,MATCH(COLUMNS($AM$1006:AQ1006),$AM$1006:$BM$1006,0))&gt;=100000), " ",IF(INDEX($AM$2:$BM$1001,MATCH(ROWS($AF$2:AF351),$AF$2:$AF$1001,0),MATCH(COLUMNS($AM$1006:AQ1006),$AM$1006:$BM$1006,0)), HYPERLINK("#",""), HYPERLINK(CONCATENATE("#metadata!", ADDRESS(INDEX($AH$2:$AH$1001,MATCH(ROWS($AF$2:AF351),$AF$2:$AF$1001,0),0), INDEX($AM$1004:$BM$1004,1,MATCH(COLUMNS($AM$1006:AQ1006),$AM$1006:$BM$1006,0)))),"Fix")))</f>
        <v xml:space="preserve"> </v>
      </c>
      <c r="G351" s="4" t="str">
        <f ca="1">IF(OR(INDEX($AG$2:$AG$1001,MATCH(ROWS($AF$2:AF351),$AF$2:$AF$1001,0),1)&gt;=100000,INDEX($AM$1005:$BM$1005,1,MATCH(COLUMNS($AM$1006:AR1006),$AM$1006:$BM$1006,0))&gt;=100000), " ",IF(INDEX($AM$2:$BM$1001,MATCH(ROWS($AF$2:AF351),$AF$2:$AF$1001,0),MATCH(COLUMNS($AM$1006:AR1006),$AM$1006:$BM$1006,0)), HYPERLINK("#",""), HYPERLINK(CONCATENATE("#metadata!", ADDRESS(INDEX($AH$2:$AH$1001,MATCH(ROWS($AF$2:AF351),$AF$2:$AF$1001,0),0), INDEX($AM$1004:$BM$1004,1,MATCH(COLUMNS($AM$1006:AR1006),$AM$1006:$BM$1006,0)))),"Fix")))</f>
        <v xml:space="preserve"> </v>
      </c>
      <c r="H351" s="4" t="str">
        <f ca="1">IF(OR(INDEX($AG$2:$AG$1001,MATCH(ROWS($AF$2:AF351),$AF$2:$AF$1001,0),1)&gt;=100000,INDEX($AM$1005:$BM$1005,1,MATCH(COLUMNS($AM$1006:AS1006),$AM$1006:$BM$1006,0))&gt;=100000), " ",IF(INDEX($AM$2:$BM$1001,MATCH(ROWS($AF$2:AF351),$AF$2:$AF$1001,0),MATCH(COLUMNS($AM$1006:AS1006),$AM$1006:$BM$1006,0)), HYPERLINK("#",""), HYPERLINK(CONCATENATE("#metadata!", ADDRESS(INDEX($AH$2:$AH$1001,MATCH(ROWS($AF$2:AF351),$AF$2:$AF$1001,0),0), INDEX($AM$1004:$BM$1004,1,MATCH(COLUMNS($AM$1006:AS1006),$AM$1006:$BM$1006,0)))),"Fix")))</f>
        <v xml:space="preserve"> </v>
      </c>
      <c r="I351" s="4" t="str">
        <f ca="1">IF(OR(INDEX($AG$2:$AG$1001,MATCH(ROWS($AF$2:AF351),$AF$2:$AF$1001,0),1)&gt;=100000,INDEX($AM$1005:$BM$1005,1,MATCH(COLUMNS($AM$1006:AT1006),$AM$1006:$BM$1006,0))&gt;=100000), " ",IF(INDEX($AM$2:$BM$1001,MATCH(ROWS($AF$2:AF351),$AF$2:$AF$1001,0),MATCH(COLUMNS($AM$1006:AT1006),$AM$1006:$BM$1006,0)), HYPERLINK("#",""), HYPERLINK(CONCATENATE("#metadata!", ADDRESS(INDEX($AH$2:$AH$1001,MATCH(ROWS($AF$2:AF351),$AF$2:$AF$1001,0),0), INDEX($AM$1004:$BM$1004,1,MATCH(COLUMNS($AM$1006:AT1006),$AM$1006:$BM$1006,0)))),"Fix")))</f>
        <v xml:space="preserve"> </v>
      </c>
      <c r="J351" s="4" t="str">
        <f ca="1">IF(OR(INDEX($AG$2:$AG$1001,MATCH(ROWS($AF$2:AF351),$AF$2:$AF$1001,0),1)&gt;=100000,INDEX($AM$1005:$BM$1005,1,MATCH(COLUMNS($AM$1006:AU1006),$AM$1006:$BM$1006,0))&gt;=100000), " ",IF(INDEX($AM$2:$BM$1001,MATCH(ROWS($AF$2:AF351),$AF$2:$AF$1001,0),MATCH(COLUMNS($AM$1006:AU1006),$AM$1006:$BM$1006,0)), HYPERLINK("#",""), HYPERLINK(CONCATENATE("#metadata!", ADDRESS(INDEX($AH$2:$AH$1001,MATCH(ROWS($AF$2:AF351),$AF$2:$AF$1001,0),0), INDEX($AM$1004:$BM$1004,1,MATCH(COLUMNS($AM$1006:AU1006),$AM$1006:$BM$1006,0)))),"Fix")))</f>
        <v xml:space="preserve"> </v>
      </c>
      <c r="K351" s="4" t="str">
        <f ca="1">IF(OR(INDEX($AG$2:$AG$1001,MATCH(ROWS($AF$2:AF351),$AF$2:$AF$1001,0),1)&gt;=100000,INDEX($AM$1005:$BM$1005,1,MATCH(COLUMNS($AM$1006:AV1006),$AM$1006:$BM$1006,0))&gt;=100000), " ",IF(INDEX($AM$2:$BM$1001,MATCH(ROWS($AF$2:AF351),$AF$2:$AF$1001,0),MATCH(COLUMNS($AM$1006:AV1006),$AM$1006:$BM$1006,0)), HYPERLINK("#",""), HYPERLINK(CONCATENATE("#metadata!", ADDRESS(INDEX($AH$2:$AH$1001,MATCH(ROWS($AF$2:AF351),$AF$2:$AF$1001,0),0), INDEX($AM$1004:$BM$1004,1,MATCH(COLUMNS($AM$1006:AV1006),$AM$1006:$BM$1006,0)))),"Fix")))</f>
        <v xml:space="preserve"> </v>
      </c>
      <c r="L351" s="4" t="str">
        <f ca="1">IF(OR(INDEX($AG$2:$AG$1001,MATCH(ROWS($AF$2:AF351),$AF$2:$AF$1001,0),1)&gt;=100000,INDEX($AM$1005:$BM$1005,1,MATCH(COLUMNS($AM$1006:AW1006),$AM$1006:$BM$1006,0))&gt;=100000), " ",IF(INDEX($AM$2:$BM$1001,MATCH(ROWS($AF$2:AF351),$AF$2:$AF$1001,0),MATCH(COLUMNS($AM$1006:AW1006),$AM$1006:$BM$1006,0)), HYPERLINK("#",""), HYPERLINK(CONCATENATE("#metadata!", ADDRESS(INDEX($AH$2:$AH$1001,MATCH(ROWS($AF$2:AF351),$AF$2:$AF$1001,0),0), INDEX($AM$1004:$BM$1004,1,MATCH(COLUMNS($AM$1006:AW1006),$AM$1006:$BM$1006,0)))),"Fix")))</f>
        <v xml:space="preserve"> </v>
      </c>
      <c r="M351" s="4" t="str">
        <f ca="1">IF(OR(INDEX($AG$2:$AG$1001,MATCH(ROWS($AF$2:AF351),$AF$2:$AF$1001,0),1)&gt;=100000,INDEX($AM$1005:$BM$1005,1,MATCH(COLUMNS($AM$1006:AX1006),$AM$1006:$BM$1006,0))&gt;=100000), " ",IF(INDEX($AM$2:$BM$1001,MATCH(ROWS($AF$2:AF351),$AF$2:$AF$1001,0),MATCH(COLUMNS($AM$1006:AX1006),$AM$1006:$BM$1006,0)), HYPERLINK("#",""), HYPERLINK(CONCATENATE("#metadata!", ADDRESS(INDEX($AH$2:$AH$1001,MATCH(ROWS($AF$2:AF351),$AF$2:$AF$1001,0),0), INDEX($AM$1004:$BM$1004,1,MATCH(COLUMNS($AM$1006:AX1006),$AM$1006:$BM$1006,0)))),"Fix")))</f>
        <v xml:space="preserve"> </v>
      </c>
      <c r="N351" s="4" t="str">
        <f ca="1">IF(OR(INDEX($AG$2:$AG$1001,MATCH(ROWS($AF$2:AF351),$AF$2:$AF$1001,0),1)&gt;=100000,INDEX($AM$1005:$BM$1005,1,MATCH(COLUMNS($AM$1006:AY1006),$AM$1006:$BM$1006,0))&gt;=100000), " ",IF(INDEX($AM$2:$BM$1001,MATCH(ROWS($AF$2:AF351),$AF$2:$AF$1001,0),MATCH(COLUMNS($AM$1006:AY1006),$AM$1006:$BM$1006,0)), HYPERLINK("#",""), HYPERLINK(CONCATENATE("#metadata!", ADDRESS(INDEX($AH$2:$AH$1001,MATCH(ROWS($AF$2:AF351),$AF$2:$AF$1001,0),0), INDEX($AM$1004:$BM$1004,1,MATCH(COLUMNS($AM$1006:AY1006),$AM$1006:$BM$1006,0)))),"Fix")))</f>
        <v xml:space="preserve"> </v>
      </c>
      <c r="O351" s="4" t="str">
        <f ca="1">IF(OR(INDEX($AG$2:$AG$1001,MATCH(ROWS($AF$2:AF351),$AF$2:$AF$1001,0),1)&gt;=100000,INDEX($AM$1005:$BM$1005,1,MATCH(COLUMNS($AM$1006:AZ1006),$AM$1006:$BM$1006,0))&gt;=100000), " ",IF(INDEX($AM$2:$BM$1001,MATCH(ROWS($AF$2:AF351),$AF$2:$AF$1001,0),MATCH(COLUMNS($AM$1006:AZ1006),$AM$1006:$BM$1006,0)), HYPERLINK("#",""), HYPERLINK(CONCATENATE("#metadata!", ADDRESS(INDEX($AH$2:$AH$1001,MATCH(ROWS($AF$2:AF351),$AF$2:$AF$1001,0),0), INDEX($AM$1004:$BM$1004,1,MATCH(COLUMNS($AM$1006:AZ1006),$AM$1006:$BM$1006,0)))),"Fix")))</f>
        <v xml:space="preserve"> </v>
      </c>
      <c r="P351" s="4" t="str">
        <f ca="1">IF(OR(INDEX($AG$2:$AG$1001,MATCH(ROWS($AF$2:AF351),$AF$2:$AF$1001,0),1)&gt;=100000,INDEX($AM$1005:$BM$1005,1,MATCH(COLUMNS($AM$1006:BA1006),$AM$1006:$BM$1006,0))&gt;=100000), " ",IF(INDEX($AM$2:$BM$1001,MATCH(ROWS($AF$2:AF351),$AF$2:$AF$1001,0),MATCH(COLUMNS($AM$1006:BA1006),$AM$1006:$BM$1006,0)), HYPERLINK("#",""), HYPERLINK(CONCATENATE("#metadata!", ADDRESS(INDEX($AH$2:$AH$1001,MATCH(ROWS($AF$2:AF351),$AF$2:$AF$1001,0),0), INDEX($AM$1004:$BM$1004,1,MATCH(COLUMNS($AM$1006:BA1006),$AM$1006:$BM$1006,0)))),"Fix")))</f>
        <v xml:space="preserve"> </v>
      </c>
      <c r="Q351" s="4" t="str">
        <f ca="1">IF(OR(INDEX($AG$2:$AG$1001,MATCH(ROWS($AF$2:AF351),$AF$2:$AF$1001,0),1)&gt;=100000,INDEX($AM$1005:$BM$1005,1,MATCH(COLUMNS($AM$1006:BB1006),$AM$1006:$BM$1006,0))&gt;=100000), " ",IF(INDEX($AM$2:$BM$1001,MATCH(ROWS($AF$2:AF351),$AF$2:$AF$1001,0),MATCH(COLUMNS($AM$1006:BB1006),$AM$1006:$BM$1006,0)), HYPERLINK("#",""), HYPERLINK(CONCATENATE("#metadata!", ADDRESS(INDEX($AH$2:$AH$1001,MATCH(ROWS($AF$2:AF351),$AF$2:$AF$1001,0),0), INDEX($AM$1004:$BM$1004,1,MATCH(COLUMNS($AM$1006:BB1006),$AM$1006:$BM$1006,0)))),"Fix")))</f>
        <v xml:space="preserve"> </v>
      </c>
      <c r="R351" s="4" t="str">
        <f ca="1">IF(OR(INDEX($AG$2:$AG$1001,MATCH(ROWS($AF$2:AF351),$AF$2:$AF$1001,0),1)&gt;=100000,INDEX($AM$1005:$BM$1005,1,MATCH(COLUMNS($AM$1006:BC1006),$AM$1006:$BM$1006,0))&gt;=100000), " ",IF(INDEX($AM$2:$BM$1001,MATCH(ROWS($AF$2:AF351),$AF$2:$AF$1001,0),MATCH(COLUMNS($AM$1006:BC1006),$AM$1006:$BM$1006,0)), HYPERLINK("#",""), HYPERLINK(CONCATENATE("#metadata!", ADDRESS(INDEX($AH$2:$AH$1001,MATCH(ROWS($AF$2:AF351),$AF$2:$AF$1001,0),0), INDEX($AM$1004:$BM$1004,1,MATCH(COLUMNS($AM$1006:BC1006),$AM$1006:$BM$1006,0)))),"Fix")))</f>
        <v xml:space="preserve"> </v>
      </c>
      <c r="S351" s="4" t="str">
        <f ca="1">IF(OR(INDEX($AG$2:$AG$1001,MATCH(ROWS($AF$2:AF351),$AF$2:$AF$1001,0),1)&gt;=100000,INDEX($AM$1005:$BM$1005,1,MATCH(COLUMNS($AM$1006:BD1006),$AM$1006:$BM$1006,0))&gt;=100000), " ",IF(INDEX($AM$2:$BM$1001,MATCH(ROWS($AF$2:AF351),$AF$2:$AF$1001,0),MATCH(COLUMNS($AM$1006:BD1006),$AM$1006:$BM$1006,0)), HYPERLINK("#",""), HYPERLINK(CONCATENATE("#metadata!", ADDRESS(INDEX($AH$2:$AH$1001,MATCH(ROWS($AF$2:AF351),$AF$2:$AF$1001,0),0), INDEX($AM$1004:$BM$1004,1,MATCH(COLUMNS($AM$1006:BD1006),$AM$1006:$BM$1006,0)))),"Fix")))</f>
        <v xml:space="preserve"> </v>
      </c>
      <c r="T351" s="4" t="str">
        <f ca="1">IF(OR(INDEX($AG$2:$AG$1001,MATCH(ROWS($AF$2:AF351),$AF$2:$AF$1001,0),1)&gt;=100000,INDEX($AM$1005:$BM$1005,1,MATCH(COLUMNS($AM$1006:BE1006),$AM$1006:$BM$1006,0))&gt;=100000), " ",IF(INDEX($AM$2:$BM$1001,MATCH(ROWS($AF$2:AF351),$AF$2:$AF$1001,0),MATCH(COLUMNS($AM$1006:BE1006),$AM$1006:$BM$1006,0)), HYPERLINK("#",""), HYPERLINK(CONCATENATE("#metadata!", ADDRESS(INDEX($AH$2:$AH$1001,MATCH(ROWS($AF$2:AF351),$AF$2:$AF$1001,0),0), INDEX($AM$1004:$BM$1004,1,MATCH(COLUMNS($AM$1006:BE1006),$AM$1006:$BM$1006,0)))),"Fix")))</f>
        <v xml:space="preserve"> </v>
      </c>
      <c r="U351" s="4" t="str">
        <f ca="1">IF(OR(INDEX($AG$2:$AG$1001,MATCH(ROWS($AF$2:AF351),$AF$2:$AF$1001,0),1)&gt;=100000,INDEX($AM$1005:$BM$1005,1,MATCH(COLUMNS($AM$1006:BF1006),$AM$1006:$BM$1006,0))&gt;=100000), " ",IF(INDEX($AM$2:$BM$1001,MATCH(ROWS($AF$2:AF351),$AF$2:$AF$1001,0),MATCH(COLUMNS($AM$1006:BF1006),$AM$1006:$BM$1006,0)), HYPERLINK("#",""), HYPERLINK(CONCATENATE("#metadata!", ADDRESS(INDEX($AH$2:$AH$1001,MATCH(ROWS($AF$2:AF351),$AF$2:$AF$1001,0),0), INDEX($AM$1004:$BM$1004,1,MATCH(COLUMNS($AM$1006:BF1006),$AM$1006:$BM$1006,0)))),"Fix")))</f>
        <v xml:space="preserve"> </v>
      </c>
      <c r="V351" s="4" t="str">
        <f ca="1">IF(OR(INDEX($AG$2:$AG$1001,MATCH(ROWS($AF$2:AF351),$AF$2:$AF$1001,0),1)&gt;=100000,INDEX($AM$1005:$BM$1005,1,MATCH(COLUMNS($AM$1006:BG1006),$AM$1006:$BM$1006,0))&gt;=100000), " ",IF(INDEX($AM$2:$BM$1001,MATCH(ROWS($AF$2:AF351),$AF$2:$AF$1001,0),MATCH(COLUMNS($AM$1006:BG1006),$AM$1006:$BM$1006,0)), HYPERLINK("#",""), HYPERLINK(CONCATENATE("#metadata!", ADDRESS(INDEX($AH$2:$AH$1001,MATCH(ROWS($AF$2:AF351),$AF$2:$AF$1001,0),0), INDEX($AM$1004:$BM$1004,1,MATCH(COLUMNS($AM$1006:BG1006),$AM$1006:$BM$1006,0)))),"Fix")))</f>
        <v xml:space="preserve"> </v>
      </c>
      <c r="W351" s="4" t="str">
        <f ca="1">IF(OR(INDEX($AG$2:$AG$1001,MATCH(ROWS($AF$2:AF351),$AF$2:$AF$1001,0),1)&gt;=100000,INDEX($AM$1005:$BM$1005,1,MATCH(COLUMNS($AM$1006:BH1006),$AM$1006:$BM$1006,0))&gt;=100000), " ",IF(INDEX($AM$2:$BM$1001,MATCH(ROWS($AF$2:AF351),$AF$2:$AF$1001,0),MATCH(COLUMNS($AM$1006:BH1006),$AM$1006:$BM$1006,0)), HYPERLINK("#",""), HYPERLINK(CONCATENATE("#metadata!", ADDRESS(INDEX($AH$2:$AH$1001,MATCH(ROWS($AF$2:AF351),$AF$2:$AF$1001,0),0), INDEX($AM$1004:$BM$1004,1,MATCH(COLUMNS($AM$1006:BH1006),$AM$1006:$BM$1006,0)))),"Fix")))</f>
        <v xml:space="preserve"> </v>
      </c>
      <c r="X351" s="4" t="str">
        <f ca="1">IF(OR(INDEX($AG$2:$AG$1001,MATCH(ROWS($AF$2:AF351),$AF$2:$AF$1001,0),1)&gt;=100000,INDEX($AM$1005:$BM$1005,1,MATCH(COLUMNS($AM$1006:BI1006),$AM$1006:$BM$1006,0))&gt;=100000), " ",IF(INDEX($AM$2:$BM$1001,MATCH(ROWS($AF$2:AF351),$AF$2:$AF$1001,0),MATCH(COLUMNS($AM$1006:BI1006),$AM$1006:$BM$1006,0)), HYPERLINK("#",""), HYPERLINK(CONCATENATE("#metadata!", ADDRESS(INDEX($AH$2:$AH$1001,MATCH(ROWS($AF$2:AF351),$AF$2:$AF$1001,0),0), INDEX($AM$1004:$BM$1004,1,MATCH(COLUMNS($AM$1006:BI1006),$AM$1006:$BM$1006,0)))),"Fix")))</f>
        <v xml:space="preserve"> </v>
      </c>
      <c r="Y351" s="4" t="str">
        <f ca="1">IF(OR(INDEX($AG$2:$AG$1001,MATCH(ROWS($AF$2:AF351),$AF$2:$AF$1001,0),1)&gt;=100000,INDEX($AM$1005:$BM$1005,1,MATCH(COLUMNS($AM$1006:BJ1006),$AM$1006:$BM$1006,0))&gt;=100000), " ",IF(INDEX($AM$2:$BM$1001,MATCH(ROWS($AF$2:AF351),$AF$2:$AF$1001,0),MATCH(COLUMNS($AM$1006:BJ1006),$AM$1006:$BM$1006,0)), HYPERLINK("#",""), HYPERLINK(CONCATENATE("#metadata!", ADDRESS(INDEX($AH$2:$AH$1001,MATCH(ROWS($AF$2:AF351),$AF$2:$AF$1001,0),0), INDEX($AM$1004:$BM$1004,1,MATCH(COLUMNS($AM$1006:BJ1006),$AM$1006:$BM$1006,0)))),"Fix")))</f>
        <v xml:space="preserve"> </v>
      </c>
      <c r="Z351" s="4" t="str">
        <f ca="1">IF(OR(INDEX($AG$2:$AG$1001,MATCH(ROWS($AF$2:AF351),$AF$2:$AF$1001,0),1)&gt;=100000,INDEX($AM$1005:$BM$1005,1,MATCH(COLUMNS($AM$1006:BK1006),$AM$1006:$BM$1006,0))&gt;=100000), " ",IF(INDEX($AM$2:$BM$1001,MATCH(ROWS($AF$2:AF351),$AF$2:$AF$1001,0),MATCH(COLUMNS($AM$1006:BK1006),$AM$1006:$BM$1006,0)), HYPERLINK("#",""), HYPERLINK(CONCATENATE("#metadata!", ADDRESS(INDEX($AH$2:$AH$1001,MATCH(ROWS($AF$2:AF351),$AF$2:$AF$1001,0),0), INDEX($AM$1004:$BM$1004,1,MATCH(COLUMNS($AM$1006:BK1006),$AM$1006:$BM$1006,0)))),"Fix")))</f>
        <v xml:space="preserve"> </v>
      </c>
      <c r="AA351" s="4" t="str">
        <f ca="1">IF(OR(INDEX($AG$2:$AG$1001,MATCH(ROWS($AF$2:AF351),$AF$2:$AF$1001,0),1)&gt;=100000,INDEX($AM$1005:$BM$1005,1,MATCH(COLUMNS($AM$1006:BL1006),$AM$1006:$BM$1006,0))&gt;=100000), " ",IF(INDEX($AM$2:$BM$1001,MATCH(ROWS($AF$2:AF351),$AF$2:$AF$1001,0),MATCH(COLUMNS($AM$1006:BL1006),$AM$1006:$BM$1006,0)), HYPERLINK("#",""), HYPERLINK(CONCATENATE("#metadata!", ADDRESS(INDEX($AH$2:$AH$1001,MATCH(ROWS($AF$2:AF351),$AF$2:$AF$1001,0),0), INDEX($AM$1004:$BM$1004,1,MATCH(COLUMNS($AM$1006:BL1006),$AM$1006:$BM$1006,0)))),"Fix")))</f>
        <v xml:space="preserve"> </v>
      </c>
      <c r="AB351" s="4" t="str">
        <f ca="1">IF(OR(INDEX($AG$2:$AG$1001,MATCH(ROWS($AF$2:AF351),$AF$2:$AF$1001,0),1)&gt;=100000,INDEX($AM$1005:$BM$1005,1,MATCH(COLUMNS($AM$1006:BM1006),$AM$1006:$BM$1006,0))&gt;=100000), " ",IF(INDEX($AM$2:$BM$1001,MATCH(ROWS($AF$2:AF351),$AF$2:$AF$1001,0),MATCH(COLUMNS($AM$1006:BM1006),$AM$1006:$BM$1006,0)), HYPERLINK("#",""), HYPERLINK(CONCATENATE("#metadata!", ADDRESS(INDEX($AH$2:$AH$1001,MATCH(ROWS($AF$2:AF351),$AF$2:$AF$1001,0),0), INDEX($AM$1004:$BM$1004,1,MATCH(COLUMNS($AM$1006:BM1006),$AM$1006:$BM$1006,0)))),"Fix")))</f>
        <v xml:space="preserve"> </v>
      </c>
      <c r="AF351">
        <v>350</v>
      </c>
      <c r="AG351">
        <v>100351</v>
      </c>
      <c r="AH351">
        <v>351</v>
      </c>
      <c r="AI351" t="b">
        <f t="shared" si="5"/>
        <v>1</v>
      </c>
      <c r="AJ351" t="b">
        <f>COUNTBLANK(metadata!B351:AB351)=COLUMNS(metadata!B351:AB351)</f>
        <v>1</v>
      </c>
      <c r="AK351" t="str">
        <v/>
      </c>
      <c r="AM351" t="b">
        <f ca="1">AND(IF(metadata!B351="",FALSE,TRUE),COUNTIF(metadata!B:B, metadata!B351) = 1,NOT(ISERROR(SUMPRODUCT(SEARCH(MID(metadata!B351,ROW(INDIRECT("1:"&amp;LEN(metadata!B351))), 1),"0123456789abcdefghijklmnopqrstuvwxyzABCDEFGHIJKLMNOPQRSTUVWXYZ.")))))</f>
        <v>0</v>
      </c>
      <c r="AN351" t="b">
        <f ca="1">OR(AND(IF(metadata!C351="",FALSE,TRUE),OR(EXACT(metadata!C351,"missing: not collected"),EXACT(metadata!C351,"missing: not provided"),EXACT(metadata!C351,"missing: restricted access"))),AND(IF(metadata!C351="",FALSE,TRUE),AND(AND(IFERROR(INT(LEFT(metadata!C351,4))&gt;1900,FALSE),IFERROR(INT(LEFT(metadata!C351,4))&lt;=YEAR(NOW()),FALSE)), OR(MID(metadata!C351,5,1)="", AND(AND(MID(metadata!C351,5,1)="-",IFERROR(INT(MID(metadata!C351,6,1))&gt;=0,FALSE),IFERROR(INT(MID(metadata!C351,6,1))&lt;=1,FALSE),NOT(MID(metadata!C351,7,1)=""),IFERROR(INT(MID(metadata!C351,6,2))&gt;=1,FALSE),IFERROR(INT(MID(metadata!C351,6,2))&lt;=12,FALSE)), OR(MID(metadata!C351,8,1)="", AND(AND(MID(metadata!C351,8,1)="-",IFERROR(INT(MID(metadata!C351,9,1))&gt;=0,FALSE),IFERROR(INT(MID(metadata!C351,9,1))&lt;=3,FALSE),NOT(MID(metadata!C351,10,1)=""),IFERROR(INT(MID(metadata!C351,9,2))&gt;=1,FALSE),IFERROR(INT(MID(metadata!C351,9,2))&lt;=31,FALSE)), OR(MID(metadata!C351,11,1)="", AND(AND(MID(metadata!C351,11,1)=" ",IFERROR(INT(MID(metadata!C351,12,1))&gt;=0,FALSE),IFERROR(INT(MID(metadata!C351,12,1))&lt;=2,FALSE),NOT(MID(metadata!C351,13,1)=""),IFERROR(INT(MID(metadata!C351,12,2))&gt;=0,FALSE),IFERROR(INT(MID(metadata!C351,12,2))&lt;=23,FALSE)), OR(MID(metadata!C351,14,1)="", AND(AND(MID(metadata!C351,14,1)=":",IFERROR(INT(MID(metadata!C351,15,1))&gt;=0,FALSE),IFERROR(INT(MID(metadata!C351,15,1))&lt;=5,FALSE),NOT(MID(metadata!C351,16,1)=""),IFERROR(INT(MID(metadata!C351,15,2))&gt;=0,FALSE),IFERROR(INT(MID(metadata!C351,15,2))&lt;=59,FALSE)), OR(MID(metadata!C351,17,1)="", AND(AND(MID(metadata!C351,17,1)=":",IFERROR(INT(MID(metadata!C351,18,1))&gt;=0,FALSE),IFERROR(INT(MID(metadata!C351,18,1))&lt;=5,FALSE),NOT(MID(metadata!C351,19,1)=""),IFERROR(INT(MID(metadata!C351,18,2))&gt;=0,FALSE),IFERROR(INT(MID(metadata!C351,18,2))&lt;=59,FALSE)), LEN(metadata!C351)&lt;=19)))))))))))))</f>
        <v>0</v>
      </c>
      <c r="AO351" t="b">
        <f>AND(IF(metadata!D351="",FALSE,TRUE),EXACT(metadata!D351,"Not applicable"))</f>
        <v>0</v>
      </c>
      <c r="AP351" t="b">
        <f>IF(metadata!E351="",FALSE,TRUE)</f>
        <v>0</v>
      </c>
      <c r="AQ351" t="b">
        <f>OR(AND(IF(metadata!F351="",FALSE,TRUE),OR(EXACT(metadata!F351,"missing: not collected"),EXACT(metadata!F351,"missing: not provided"))),AND(IF(metadata!F351="",FALSE,TRUE),OR(EXACT(metadata!F351,"TRUE"),EXACT(metadata!F351,"FALSE"))))</f>
        <v>0</v>
      </c>
      <c r="AR351" t="b">
        <f>OR(AND(IF(metadata!G351="",FALSE,TRUE),OR(EXACT(metadata!G351,"missing: not collected"),EXACT(metadata!G351,"missing: not provided"),EXACT(metadata!G351,"missing: restricted access"))),AND(IF(metadata!G351="",FALSE,ISNUMBER(VALUE(metadata!G351))),metadata!G351&gt;=-413))</f>
        <v>0</v>
      </c>
      <c r="AS351" t="b">
        <f>AND(IF(metadata!H351="",FALSE,TRUE),EXACT(metadata!H351,"meters"))</f>
        <v>0</v>
      </c>
      <c r="AT351" t="b">
        <f>AND(IF(metadata!I351="",FALSE,TRUE),OR(EXACT(metadata!I351,"Host-associated"),EXACT(metadata!I351,"Free-living")))</f>
        <v>0</v>
      </c>
      <c r="AU351" t="b">
        <f>AND(IF(metadata!J351="",FALSE,TRUE),OR(EXACT(metadata!J351,"Animal"),EXACT(metadata!J351,"Fungus"),EXACT(metadata!J351,"Plant"),EXACT(metadata!J351,"Saline"),EXACT(metadata!J351,"Non-saline")))</f>
        <v>0</v>
      </c>
      <c r="AV351" t="b">
        <f>AND(IF(metadata!K351="",FALSE,TRUE),OR(EXACT(metadata!K351,"Plant secretion"),EXACT(metadata!K351,"Plant rhizosphere"),EXACT(metadata!K351,"Plant surface"),EXACT(metadata!K351,"Plant corpus"),EXACT(metadata!K351,"Fungus surface"),EXACT(metadata!K351,"Fungus corpus"),EXACT(metadata!K351,"Animal surface"),EXACT(metadata!K351,"Animal proximal gut"),EXACT(metadata!K351,"Animal corpus"),EXACT(metadata!K351,"Animal distal gut"),EXACT(metadata!K351,"Animal secretion"),EXACT(metadata!K351,"Sub-surface (non-saline)"),EXACT(metadata!K351,"Surface (non-saline)"),EXACT(metadata!K351,"Water (non-saline)"),EXACT(metadata!K351,"Soil (non-saline)"),EXACT(metadata!K351,"Aerosol (non-saline)"),EXACT(metadata!K351,"Sediment (non-saline)"),EXACT(metadata!K351,"Surface (saline)"),EXACT(metadata!K351,"Water (saline)"),EXACT(metadata!K351,"Hypersaline (saline)"),EXACT(metadata!K351,"Aerosol (saline)"),EXACT(metadata!K351,"Sediment (saline)")))</f>
        <v>0</v>
      </c>
      <c r="AW351" t="b">
        <f>IF(metadata!L351="",FALSE,TRUE)</f>
        <v>0</v>
      </c>
      <c r="AX351" t="b">
        <f>IF(metadata!M351="",FALSE,TRUE)</f>
        <v>0</v>
      </c>
      <c r="AY351" t="b">
        <f>IF(metadata!N351="",FALSE,TRUE)</f>
        <v>0</v>
      </c>
      <c r="AZ351" t="b">
        <f>OR(AND(IF(metadata!O351="",FALSE,TRUE),OR(EXACT(metadata!O351,"missing: not collected"),EXACT(metadata!O351,"missing: not provided"),EXACT(metadata!O351,"missing: restricted access"))),AND(IF(metadata!O351="",FALSE,TRUE),OR(EXACT(metadata!O351,"air"),EXACT(metadata!O351,"built environment"),EXACT(metadata!O351,"host-associated"),EXACT(metadata!O351,"human-associated"),EXACT(metadata!O351,"human-skin"),EXACT(metadata!O351,"human-oral"),EXACT(metadata!O351,"human-gut"),EXACT(metadata!O351,"human-vaginal"),EXACT(metadata!O351,"microbial mat/biofilm"),EXACT(metadata!O351,"misc environment"),EXACT(metadata!O351,"plant-associated"),EXACT(metadata!O351,"sediment"),EXACT(metadata!O351,"soil"),EXACT(metadata!O351,"wastewater/sludge"),EXACT(metadata!O351,"water"))))</f>
        <v>0</v>
      </c>
      <c r="BA351" t="b">
        <f>IF(metadata!P351="",FALSE,TRUE)</f>
        <v>0</v>
      </c>
      <c r="BB351" t="b">
        <f>IF(metadata!Q351="",FALSE,TRUE)</f>
        <v>0</v>
      </c>
      <c r="BC351" t="b">
        <f>OR(AND(IF(metadata!R351="",FALSE,TRUE),OR(EXACT(metadata!R351,"missing: not collected"),EXACT(metadata!R351,"missing: not provided"),EXACT(metadata!R351,"missing: restricted access"))),AND(IF(metadata!R351="",FALSE,ISNUMBER(VALUE(metadata!R351))),metadata!R351&gt;=-90,metadata!R351&lt;=90))</f>
        <v>0</v>
      </c>
      <c r="BD351" t="b">
        <f>AND(IF(metadata!S351="",FALSE,TRUE),EXACT(metadata!S351,"Decimal degrees"))</f>
        <v>0</v>
      </c>
      <c r="BE351" t="b">
        <f>OR(AND(IF(metadata!T351="",FALSE,TRUE),OR(EXACT(metadata!T351,"missing: not collected"),EXACT(metadata!T351,"missing: not provided"),EXACT(metadata!T351,"missing: restricted access"))),AND(IF(metadata!T351="",FALSE,ISNUMBER(VALUE(metadata!T351))),metadata!T351&gt;=-180,metadata!T351&lt;=180))</f>
        <v>0</v>
      </c>
      <c r="BF351" t="b">
        <f>AND(IF(metadata!U351="",FALSE,TRUE),EXACT(metadata!U351,"Decimal degrees"))</f>
        <v>0</v>
      </c>
      <c r="BG351" t="b">
        <f>IF(metadata!V351="",FALSE,TRUE)</f>
        <v>0</v>
      </c>
      <c r="BH351" t="b">
        <f>OR(AND(IF(metadata!W351="",FALSE,TRUE),OR(EXACT(metadata!W351,"missing: not collected"),EXACT(metadata!W351,"missing: not provided"),EXACT(metadata!W351,"missing: restricted access"))),AND(IF(metadata!W351="",FALSE,TRUE),OR(EXACT(metadata!W351,"TRUE"),EXACT(metadata!W351,"FALSE"))))</f>
        <v>0</v>
      </c>
      <c r="BI351" t="b">
        <f>AND(IF(metadata!X351="",FALSE,TRUE),EXACT(metadata!X351,"other"))</f>
        <v>0</v>
      </c>
      <c r="BJ351" t="b">
        <f>IF(metadata!Y351="",FALSE,TRUE)</f>
        <v>0</v>
      </c>
      <c r="BK351" t="b">
        <f>OR(AND(IF(metadata!Z351="",FALSE,TRUE),OR(EXACT(metadata!Z351,"missing: not collected"),EXACT(metadata!Z351,"missing: not provided"))),AND(IF(metadata!Z351="",FALSE,IF(ISERROR(INT(metadata!Z351)),FALSE,INT(metadata!Z351)=metadata!Z351)),metadata!Z351&gt;0))</f>
        <v>0</v>
      </c>
      <c r="BL351" t="b">
        <f>AND(IF(metadata!AA351="",FALSE,TRUE),EXACT(metadata!AA351,"Not applicable"))</f>
        <v>0</v>
      </c>
      <c r="BM351" t="b">
        <f>IF(metadata!AB351="",FALSE,TRUE)</f>
        <v>0</v>
      </c>
    </row>
    <row r="352" spans="1:65" x14ac:dyDescent="0.2">
      <c r="A352" s="5" t="str">
        <f ca="1">IF(B352=" "," ",HYPERLINK(CONCATENATE("#metadata!",ADDRESS(INDEX($AH$2:$AH$1001,MATCH(ROWS($AF$2:AF352),$AF$2:$AF$1001,0),0),1)),INDEX($AK$2:$AK$1001,MATCH(ROWS($AF$2:AF352),$AF$2:$AF$1001,0),0)))</f>
        <v xml:space="preserve"> </v>
      </c>
      <c r="B352" s="4" t="str">
        <f ca="1">IF(OR(INDEX($AG$2:$AG$1001,MATCH(ROWS($AF$2:AF352),$AF$2:$AF$1001,0),1)&gt;=100000,INDEX($AM$1005:$BM$1005,1,MATCH(COLUMNS($AM$1006:AM1006),$AM$1006:$BM$1006,0))&gt;=100000), " ",IF(INDEX($AM$2:$BM$1001,MATCH(ROWS($AF$2:AF352),$AF$2:$AF$1001,0),MATCH(COLUMNS($AM$1006:AM1006),$AM$1006:$BM$1006,0)), HYPERLINK("#",""), HYPERLINK(CONCATENATE("#metadata!", ADDRESS(INDEX($AH$2:$AH$1001,MATCH(ROWS($AF$2:AF352),$AF$2:$AF$1001,0),0), INDEX($AM$1004:$BM$1004,1,MATCH(COLUMNS($AM$1006:AM1006),$AM$1006:$BM$1006,0)))),"Fix")))</f>
        <v xml:space="preserve"> </v>
      </c>
      <c r="C352" s="4" t="str">
        <f ca="1">IF(OR(INDEX($AG$2:$AG$1001,MATCH(ROWS($AF$2:AF352),$AF$2:$AF$1001,0),1)&gt;=100000,INDEX($AM$1005:$BM$1005,1,MATCH(COLUMNS($AM$1006:AN1006),$AM$1006:$BM$1006,0))&gt;=100000), " ",IF(INDEX($AM$2:$BM$1001,MATCH(ROWS($AF$2:AF352),$AF$2:$AF$1001,0),MATCH(COLUMNS($AM$1006:AN1006),$AM$1006:$BM$1006,0)), HYPERLINK("#",""), HYPERLINK(CONCATENATE("#metadata!", ADDRESS(INDEX($AH$2:$AH$1001,MATCH(ROWS($AF$2:AF352),$AF$2:$AF$1001,0),0), INDEX($AM$1004:$BM$1004,1,MATCH(COLUMNS($AM$1006:AN1006),$AM$1006:$BM$1006,0)))),"Fix")))</f>
        <v xml:space="preserve"> </v>
      </c>
      <c r="D352" s="4" t="str">
        <f ca="1">IF(OR(INDEX($AG$2:$AG$1001,MATCH(ROWS($AF$2:AF352),$AF$2:$AF$1001,0),1)&gt;=100000,INDEX($AM$1005:$BM$1005,1,MATCH(COLUMNS($AM$1006:AO1006),$AM$1006:$BM$1006,0))&gt;=100000), " ",IF(INDEX($AM$2:$BM$1001,MATCH(ROWS($AF$2:AF352),$AF$2:$AF$1001,0),MATCH(COLUMNS($AM$1006:AO1006),$AM$1006:$BM$1006,0)), HYPERLINK("#",""), HYPERLINK(CONCATENATE("#metadata!", ADDRESS(INDEX($AH$2:$AH$1001,MATCH(ROWS($AF$2:AF352),$AF$2:$AF$1001,0),0), INDEX($AM$1004:$BM$1004,1,MATCH(COLUMNS($AM$1006:AO1006),$AM$1006:$BM$1006,0)))),"Fix")))</f>
        <v xml:space="preserve"> </v>
      </c>
      <c r="E352" s="4" t="str">
        <f ca="1">IF(OR(INDEX($AG$2:$AG$1001,MATCH(ROWS($AF$2:AF352),$AF$2:$AF$1001,0),1)&gt;=100000,INDEX($AM$1005:$BM$1005,1,MATCH(COLUMNS($AM$1006:AP1006),$AM$1006:$BM$1006,0))&gt;=100000), " ",IF(INDEX($AM$2:$BM$1001,MATCH(ROWS($AF$2:AF352),$AF$2:$AF$1001,0),MATCH(COLUMNS($AM$1006:AP1006),$AM$1006:$BM$1006,0)), HYPERLINK("#",""), HYPERLINK(CONCATENATE("#metadata!", ADDRESS(INDEX($AH$2:$AH$1001,MATCH(ROWS($AF$2:AF352),$AF$2:$AF$1001,0),0), INDEX($AM$1004:$BM$1004,1,MATCH(COLUMNS($AM$1006:AP1006),$AM$1006:$BM$1006,0)))),"Fix")))</f>
        <v xml:space="preserve"> </v>
      </c>
      <c r="F352" s="4" t="str">
        <f ca="1">IF(OR(INDEX($AG$2:$AG$1001,MATCH(ROWS($AF$2:AF352),$AF$2:$AF$1001,0),1)&gt;=100000,INDEX($AM$1005:$BM$1005,1,MATCH(COLUMNS($AM$1006:AQ1006),$AM$1006:$BM$1006,0))&gt;=100000), " ",IF(INDEX($AM$2:$BM$1001,MATCH(ROWS($AF$2:AF352),$AF$2:$AF$1001,0),MATCH(COLUMNS($AM$1006:AQ1006),$AM$1006:$BM$1006,0)), HYPERLINK("#",""), HYPERLINK(CONCATENATE("#metadata!", ADDRESS(INDEX($AH$2:$AH$1001,MATCH(ROWS($AF$2:AF352),$AF$2:$AF$1001,0),0), INDEX($AM$1004:$BM$1004,1,MATCH(COLUMNS($AM$1006:AQ1006),$AM$1006:$BM$1006,0)))),"Fix")))</f>
        <v xml:space="preserve"> </v>
      </c>
      <c r="G352" s="4" t="str">
        <f ca="1">IF(OR(INDEX($AG$2:$AG$1001,MATCH(ROWS($AF$2:AF352),$AF$2:$AF$1001,0),1)&gt;=100000,INDEX($AM$1005:$BM$1005,1,MATCH(COLUMNS($AM$1006:AR1006),$AM$1006:$BM$1006,0))&gt;=100000), " ",IF(INDEX($AM$2:$BM$1001,MATCH(ROWS($AF$2:AF352),$AF$2:$AF$1001,0),MATCH(COLUMNS($AM$1006:AR1006),$AM$1006:$BM$1006,0)), HYPERLINK("#",""), HYPERLINK(CONCATENATE("#metadata!", ADDRESS(INDEX($AH$2:$AH$1001,MATCH(ROWS($AF$2:AF352),$AF$2:$AF$1001,0),0), INDEX($AM$1004:$BM$1004,1,MATCH(COLUMNS($AM$1006:AR1006),$AM$1006:$BM$1006,0)))),"Fix")))</f>
        <v xml:space="preserve"> </v>
      </c>
      <c r="H352" s="4" t="str">
        <f ca="1">IF(OR(INDEX($AG$2:$AG$1001,MATCH(ROWS($AF$2:AF352),$AF$2:$AF$1001,0),1)&gt;=100000,INDEX($AM$1005:$BM$1005,1,MATCH(COLUMNS($AM$1006:AS1006),$AM$1006:$BM$1006,0))&gt;=100000), " ",IF(INDEX($AM$2:$BM$1001,MATCH(ROWS($AF$2:AF352),$AF$2:$AF$1001,0),MATCH(COLUMNS($AM$1006:AS1006),$AM$1006:$BM$1006,0)), HYPERLINK("#",""), HYPERLINK(CONCATENATE("#metadata!", ADDRESS(INDEX($AH$2:$AH$1001,MATCH(ROWS($AF$2:AF352),$AF$2:$AF$1001,0),0), INDEX($AM$1004:$BM$1004,1,MATCH(COLUMNS($AM$1006:AS1006),$AM$1006:$BM$1006,0)))),"Fix")))</f>
        <v xml:space="preserve"> </v>
      </c>
      <c r="I352" s="4" t="str">
        <f ca="1">IF(OR(INDEX($AG$2:$AG$1001,MATCH(ROWS($AF$2:AF352),$AF$2:$AF$1001,0),1)&gt;=100000,INDEX($AM$1005:$BM$1005,1,MATCH(COLUMNS($AM$1006:AT1006),$AM$1006:$BM$1006,0))&gt;=100000), " ",IF(INDEX($AM$2:$BM$1001,MATCH(ROWS($AF$2:AF352),$AF$2:$AF$1001,0),MATCH(COLUMNS($AM$1006:AT1006),$AM$1006:$BM$1006,0)), HYPERLINK("#",""), HYPERLINK(CONCATENATE("#metadata!", ADDRESS(INDEX($AH$2:$AH$1001,MATCH(ROWS($AF$2:AF352),$AF$2:$AF$1001,0),0), INDEX($AM$1004:$BM$1004,1,MATCH(COLUMNS($AM$1006:AT1006),$AM$1006:$BM$1006,0)))),"Fix")))</f>
        <v xml:space="preserve"> </v>
      </c>
      <c r="J352" s="4" t="str">
        <f ca="1">IF(OR(INDEX($AG$2:$AG$1001,MATCH(ROWS($AF$2:AF352),$AF$2:$AF$1001,0),1)&gt;=100000,INDEX($AM$1005:$BM$1005,1,MATCH(COLUMNS($AM$1006:AU1006),$AM$1006:$BM$1006,0))&gt;=100000), " ",IF(INDEX($AM$2:$BM$1001,MATCH(ROWS($AF$2:AF352),$AF$2:$AF$1001,0),MATCH(COLUMNS($AM$1006:AU1006),$AM$1006:$BM$1006,0)), HYPERLINK("#",""), HYPERLINK(CONCATENATE("#metadata!", ADDRESS(INDEX($AH$2:$AH$1001,MATCH(ROWS($AF$2:AF352),$AF$2:$AF$1001,0),0), INDEX($AM$1004:$BM$1004,1,MATCH(COLUMNS($AM$1006:AU1006),$AM$1006:$BM$1006,0)))),"Fix")))</f>
        <v xml:space="preserve"> </v>
      </c>
      <c r="K352" s="4" t="str">
        <f ca="1">IF(OR(INDEX($AG$2:$AG$1001,MATCH(ROWS($AF$2:AF352),$AF$2:$AF$1001,0),1)&gt;=100000,INDEX($AM$1005:$BM$1005,1,MATCH(COLUMNS($AM$1006:AV1006),$AM$1006:$BM$1006,0))&gt;=100000), " ",IF(INDEX($AM$2:$BM$1001,MATCH(ROWS($AF$2:AF352),$AF$2:$AF$1001,0),MATCH(COLUMNS($AM$1006:AV1006),$AM$1006:$BM$1006,0)), HYPERLINK("#",""), HYPERLINK(CONCATENATE("#metadata!", ADDRESS(INDEX($AH$2:$AH$1001,MATCH(ROWS($AF$2:AF352),$AF$2:$AF$1001,0),0), INDEX($AM$1004:$BM$1004,1,MATCH(COLUMNS($AM$1006:AV1006),$AM$1006:$BM$1006,0)))),"Fix")))</f>
        <v xml:space="preserve"> </v>
      </c>
      <c r="L352" s="4" t="str">
        <f ca="1">IF(OR(INDEX($AG$2:$AG$1001,MATCH(ROWS($AF$2:AF352),$AF$2:$AF$1001,0),1)&gt;=100000,INDEX($AM$1005:$BM$1005,1,MATCH(COLUMNS($AM$1006:AW1006),$AM$1006:$BM$1006,0))&gt;=100000), " ",IF(INDEX($AM$2:$BM$1001,MATCH(ROWS($AF$2:AF352),$AF$2:$AF$1001,0),MATCH(COLUMNS($AM$1006:AW1006),$AM$1006:$BM$1006,0)), HYPERLINK("#",""), HYPERLINK(CONCATENATE("#metadata!", ADDRESS(INDEX($AH$2:$AH$1001,MATCH(ROWS($AF$2:AF352),$AF$2:$AF$1001,0),0), INDEX($AM$1004:$BM$1004,1,MATCH(COLUMNS($AM$1006:AW1006),$AM$1006:$BM$1006,0)))),"Fix")))</f>
        <v xml:space="preserve"> </v>
      </c>
      <c r="M352" s="4" t="str">
        <f ca="1">IF(OR(INDEX($AG$2:$AG$1001,MATCH(ROWS($AF$2:AF352),$AF$2:$AF$1001,0),1)&gt;=100000,INDEX($AM$1005:$BM$1005,1,MATCH(COLUMNS($AM$1006:AX1006),$AM$1006:$BM$1006,0))&gt;=100000), " ",IF(INDEX($AM$2:$BM$1001,MATCH(ROWS($AF$2:AF352),$AF$2:$AF$1001,0),MATCH(COLUMNS($AM$1006:AX1006),$AM$1006:$BM$1006,0)), HYPERLINK("#",""), HYPERLINK(CONCATENATE("#metadata!", ADDRESS(INDEX($AH$2:$AH$1001,MATCH(ROWS($AF$2:AF352),$AF$2:$AF$1001,0),0), INDEX($AM$1004:$BM$1004,1,MATCH(COLUMNS($AM$1006:AX1006),$AM$1006:$BM$1006,0)))),"Fix")))</f>
        <v xml:space="preserve"> </v>
      </c>
      <c r="N352" s="4" t="str">
        <f ca="1">IF(OR(INDEX($AG$2:$AG$1001,MATCH(ROWS($AF$2:AF352),$AF$2:$AF$1001,0),1)&gt;=100000,INDEX($AM$1005:$BM$1005,1,MATCH(COLUMNS($AM$1006:AY1006),$AM$1006:$BM$1006,0))&gt;=100000), " ",IF(INDEX($AM$2:$BM$1001,MATCH(ROWS($AF$2:AF352),$AF$2:$AF$1001,0),MATCH(COLUMNS($AM$1006:AY1006),$AM$1006:$BM$1006,0)), HYPERLINK("#",""), HYPERLINK(CONCATENATE("#metadata!", ADDRESS(INDEX($AH$2:$AH$1001,MATCH(ROWS($AF$2:AF352),$AF$2:$AF$1001,0),0), INDEX($AM$1004:$BM$1004,1,MATCH(COLUMNS($AM$1006:AY1006),$AM$1006:$BM$1006,0)))),"Fix")))</f>
        <v xml:space="preserve"> </v>
      </c>
      <c r="O352" s="4" t="str">
        <f ca="1">IF(OR(INDEX($AG$2:$AG$1001,MATCH(ROWS($AF$2:AF352),$AF$2:$AF$1001,0),1)&gt;=100000,INDEX($AM$1005:$BM$1005,1,MATCH(COLUMNS($AM$1006:AZ1006),$AM$1006:$BM$1006,0))&gt;=100000), " ",IF(INDEX($AM$2:$BM$1001,MATCH(ROWS($AF$2:AF352),$AF$2:$AF$1001,0),MATCH(COLUMNS($AM$1006:AZ1006),$AM$1006:$BM$1006,0)), HYPERLINK("#",""), HYPERLINK(CONCATENATE("#metadata!", ADDRESS(INDEX($AH$2:$AH$1001,MATCH(ROWS($AF$2:AF352),$AF$2:$AF$1001,0),0), INDEX($AM$1004:$BM$1004,1,MATCH(COLUMNS($AM$1006:AZ1006),$AM$1006:$BM$1006,0)))),"Fix")))</f>
        <v xml:space="preserve"> </v>
      </c>
      <c r="P352" s="4" t="str">
        <f ca="1">IF(OR(INDEX($AG$2:$AG$1001,MATCH(ROWS($AF$2:AF352),$AF$2:$AF$1001,0),1)&gt;=100000,INDEX($AM$1005:$BM$1005,1,MATCH(COLUMNS($AM$1006:BA1006),$AM$1006:$BM$1006,0))&gt;=100000), " ",IF(INDEX($AM$2:$BM$1001,MATCH(ROWS($AF$2:AF352),$AF$2:$AF$1001,0),MATCH(COLUMNS($AM$1006:BA1006),$AM$1006:$BM$1006,0)), HYPERLINK("#",""), HYPERLINK(CONCATENATE("#metadata!", ADDRESS(INDEX($AH$2:$AH$1001,MATCH(ROWS($AF$2:AF352),$AF$2:$AF$1001,0),0), INDEX($AM$1004:$BM$1004,1,MATCH(COLUMNS($AM$1006:BA1006),$AM$1006:$BM$1006,0)))),"Fix")))</f>
        <v xml:space="preserve"> </v>
      </c>
      <c r="Q352" s="4" t="str">
        <f ca="1">IF(OR(INDEX($AG$2:$AG$1001,MATCH(ROWS($AF$2:AF352),$AF$2:$AF$1001,0),1)&gt;=100000,INDEX($AM$1005:$BM$1005,1,MATCH(COLUMNS($AM$1006:BB1006),$AM$1006:$BM$1006,0))&gt;=100000), " ",IF(INDEX($AM$2:$BM$1001,MATCH(ROWS($AF$2:AF352),$AF$2:$AF$1001,0),MATCH(COLUMNS($AM$1006:BB1006),$AM$1006:$BM$1006,0)), HYPERLINK("#",""), HYPERLINK(CONCATENATE("#metadata!", ADDRESS(INDEX($AH$2:$AH$1001,MATCH(ROWS($AF$2:AF352),$AF$2:$AF$1001,0),0), INDEX($AM$1004:$BM$1004,1,MATCH(COLUMNS($AM$1006:BB1006),$AM$1006:$BM$1006,0)))),"Fix")))</f>
        <v xml:space="preserve"> </v>
      </c>
      <c r="R352" s="4" t="str">
        <f ca="1">IF(OR(INDEX($AG$2:$AG$1001,MATCH(ROWS($AF$2:AF352),$AF$2:$AF$1001,0),1)&gt;=100000,INDEX($AM$1005:$BM$1005,1,MATCH(COLUMNS($AM$1006:BC1006),$AM$1006:$BM$1006,0))&gt;=100000), " ",IF(INDEX($AM$2:$BM$1001,MATCH(ROWS($AF$2:AF352),$AF$2:$AF$1001,0),MATCH(COLUMNS($AM$1006:BC1006),$AM$1006:$BM$1006,0)), HYPERLINK("#",""), HYPERLINK(CONCATENATE("#metadata!", ADDRESS(INDEX($AH$2:$AH$1001,MATCH(ROWS($AF$2:AF352),$AF$2:$AF$1001,0),0), INDEX($AM$1004:$BM$1004,1,MATCH(COLUMNS($AM$1006:BC1006),$AM$1006:$BM$1006,0)))),"Fix")))</f>
        <v xml:space="preserve"> </v>
      </c>
      <c r="S352" s="4" t="str">
        <f ca="1">IF(OR(INDEX($AG$2:$AG$1001,MATCH(ROWS($AF$2:AF352),$AF$2:$AF$1001,0),1)&gt;=100000,INDEX($AM$1005:$BM$1005,1,MATCH(COLUMNS($AM$1006:BD1006),$AM$1006:$BM$1006,0))&gt;=100000), " ",IF(INDEX($AM$2:$BM$1001,MATCH(ROWS($AF$2:AF352),$AF$2:$AF$1001,0),MATCH(COLUMNS($AM$1006:BD1006),$AM$1006:$BM$1006,0)), HYPERLINK("#",""), HYPERLINK(CONCATENATE("#metadata!", ADDRESS(INDEX($AH$2:$AH$1001,MATCH(ROWS($AF$2:AF352),$AF$2:$AF$1001,0),0), INDEX($AM$1004:$BM$1004,1,MATCH(COLUMNS($AM$1006:BD1006),$AM$1006:$BM$1006,0)))),"Fix")))</f>
        <v xml:space="preserve"> </v>
      </c>
      <c r="T352" s="4" t="str">
        <f ca="1">IF(OR(INDEX($AG$2:$AG$1001,MATCH(ROWS($AF$2:AF352),$AF$2:$AF$1001,0),1)&gt;=100000,INDEX($AM$1005:$BM$1005,1,MATCH(COLUMNS($AM$1006:BE1006),$AM$1006:$BM$1006,0))&gt;=100000), " ",IF(INDEX($AM$2:$BM$1001,MATCH(ROWS($AF$2:AF352),$AF$2:$AF$1001,0),MATCH(COLUMNS($AM$1006:BE1006),$AM$1006:$BM$1006,0)), HYPERLINK("#",""), HYPERLINK(CONCATENATE("#metadata!", ADDRESS(INDEX($AH$2:$AH$1001,MATCH(ROWS($AF$2:AF352),$AF$2:$AF$1001,0),0), INDEX($AM$1004:$BM$1004,1,MATCH(COLUMNS($AM$1006:BE1006),$AM$1006:$BM$1006,0)))),"Fix")))</f>
        <v xml:space="preserve"> </v>
      </c>
      <c r="U352" s="4" t="str">
        <f ca="1">IF(OR(INDEX($AG$2:$AG$1001,MATCH(ROWS($AF$2:AF352),$AF$2:$AF$1001,0),1)&gt;=100000,INDEX($AM$1005:$BM$1005,1,MATCH(COLUMNS($AM$1006:BF1006),$AM$1006:$BM$1006,0))&gt;=100000), " ",IF(INDEX($AM$2:$BM$1001,MATCH(ROWS($AF$2:AF352),$AF$2:$AF$1001,0),MATCH(COLUMNS($AM$1006:BF1006),$AM$1006:$BM$1006,0)), HYPERLINK("#",""), HYPERLINK(CONCATENATE("#metadata!", ADDRESS(INDEX($AH$2:$AH$1001,MATCH(ROWS($AF$2:AF352),$AF$2:$AF$1001,0),0), INDEX($AM$1004:$BM$1004,1,MATCH(COLUMNS($AM$1006:BF1006),$AM$1006:$BM$1006,0)))),"Fix")))</f>
        <v xml:space="preserve"> </v>
      </c>
      <c r="V352" s="4" t="str">
        <f ca="1">IF(OR(INDEX($AG$2:$AG$1001,MATCH(ROWS($AF$2:AF352),$AF$2:$AF$1001,0),1)&gt;=100000,INDEX($AM$1005:$BM$1005,1,MATCH(COLUMNS($AM$1006:BG1006),$AM$1006:$BM$1006,0))&gt;=100000), " ",IF(INDEX($AM$2:$BM$1001,MATCH(ROWS($AF$2:AF352),$AF$2:$AF$1001,0),MATCH(COLUMNS($AM$1006:BG1006),$AM$1006:$BM$1006,0)), HYPERLINK("#",""), HYPERLINK(CONCATENATE("#metadata!", ADDRESS(INDEX($AH$2:$AH$1001,MATCH(ROWS($AF$2:AF352),$AF$2:$AF$1001,0),0), INDEX($AM$1004:$BM$1004,1,MATCH(COLUMNS($AM$1006:BG1006),$AM$1006:$BM$1006,0)))),"Fix")))</f>
        <v xml:space="preserve"> </v>
      </c>
      <c r="W352" s="4" t="str">
        <f ca="1">IF(OR(INDEX($AG$2:$AG$1001,MATCH(ROWS($AF$2:AF352),$AF$2:$AF$1001,0),1)&gt;=100000,INDEX($AM$1005:$BM$1005,1,MATCH(COLUMNS($AM$1006:BH1006),$AM$1006:$BM$1006,0))&gt;=100000), " ",IF(INDEX($AM$2:$BM$1001,MATCH(ROWS($AF$2:AF352),$AF$2:$AF$1001,0),MATCH(COLUMNS($AM$1006:BH1006),$AM$1006:$BM$1006,0)), HYPERLINK("#",""), HYPERLINK(CONCATENATE("#metadata!", ADDRESS(INDEX($AH$2:$AH$1001,MATCH(ROWS($AF$2:AF352),$AF$2:$AF$1001,0),0), INDEX($AM$1004:$BM$1004,1,MATCH(COLUMNS($AM$1006:BH1006),$AM$1006:$BM$1006,0)))),"Fix")))</f>
        <v xml:space="preserve"> </v>
      </c>
      <c r="X352" s="4" t="str">
        <f ca="1">IF(OR(INDEX($AG$2:$AG$1001,MATCH(ROWS($AF$2:AF352),$AF$2:$AF$1001,0),1)&gt;=100000,INDEX($AM$1005:$BM$1005,1,MATCH(COLUMNS($AM$1006:BI1006),$AM$1006:$BM$1006,0))&gt;=100000), " ",IF(INDEX($AM$2:$BM$1001,MATCH(ROWS($AF$2:AF352),$AF$2:$AF$1001,0),MATCH(COLUMNS($AM$1006:BI1006),$AM$1006:$BM$1006,0)), HYPERLINK("#",""), HYPERLINK(CONCATENATE("#metadata!", ADDRESS(INDEX($AH$2:$AH$1001,MATCH(ROWS($AF$2:AF352),$AF$2:$AF$1001,0),0), INDEX($AM$1004:$BM$1004,1,MATCH(COLUMNS($AM$1006:BI1006),$AM$1006:$BM$1006,0)))),"Fix")))</f>
        <v xml:space="preserve"> </v>
      </c>
      <c r="Y352" s="4" t="str">
        <f ca="1">IF(OR(INDEX($AG$2:$AG$1001,MATCH(ROWS($AF$2:AF352),$AF$2:$AF$1001,0),1)&gt;=100000,INDEX($AM$1005:$BM$1005,1,MATCH(COLUMNS($AM$1006:BJ1006),$AM$1006:$BM$1006,0))&gt;=100000), " ",IF(INDEX($AM$2:$BM$1001,MATCH(ROWS($AF$2:AF352),$AF$2:$AF$1001,0),MATCH(COLUMNS($AM$1006:BJ1006),$AM$1006:$BM$1006,0)), HYPERLINK("#",""), HYPERLINK(CONCATENATE("#metadata!", ADDRESS(INDEX($AH$2:$AH$1001,MATCH(ROWS($AF$2:AF352),$AF$2:$AF$1001,0),0), INDEX($AM$1004:$BM$1004,1,MATCH(COLUMNS($AM$1006:BJ1006),$AM$1006:$BM$1006,0)))),"Fix")))</f>
        <v xml:space="preserve"> </v>
      </c>
      <c r="Z352" s="4" t="str">
        <f ca="1">IF(OR(INDEX($AG$2:$AG$1001,MATCH(ROWS($AF$2:AF352),$AF$2:$AF$1001,0),1)&gt;=100000,INDEX($AM$1005:$BM$1005,1,MATCH(COLUMNS($AM$1006:BK1006),$AM$1006:$BM$1006,0))&gt;=100000), " ",IF(INDEX($AM$2:$BM$1001,MATCH(ROWS($AF$2:AF352),$AF$2:$AF$1001,0),MATCH(COLUMNS($AM$1006:BK1006),$AM$1006:$BM$1006,0)), HYPERLINK("#",""), HYPERLINK(CONCATENATE("#metadata!", ADDRESS(INDEX($AH$2:$AH$1001,MATCH(ROWS($AF$2:AF352),$AF$2:$AF$1001,0),0), INDEX($AM$1004:$BM$1004,1,MATCH(COLUMNS($AM$1006:BK1006),$AM$1006:$BM$1006,0)))),"Fix")))</f>
        <v xml:space="preserve"> </v>
      </c>
      <c r="AA352" s="4" t="str">
        <f ca="1">IF(OR(INDEX($AG$2:$AG$1001,MATCH(ROWS($AF$2:AF352),$AF$2:$AF$1001,0),1)&gt;=100000,INDEX($AM$1005:$BM$1005,1,MATCH(COLUMNS($AM$1006:BL1006),$AM$1006:$BM$1006,0))&gt;=100000), " ",IF(INDEX($AM$2:$BM$1001,MATCH(ROWS($AF$2:AF352),$AF$2:$AF$1001,0),MATCH(COLUMNS($AM$1006:BL1006),$AM$1006:$BM$1006,0)), HYPERLINK("#",""), HYPERLINK(CONCATENATE("#metadata!", ADDRESS(INDEX($AH$2:$AH$1001,MATCH(ROWS($AF$2:AF352),$AF$2:$AF$1001,0),0), INDEX($AM$1004:$BM$1004,1,MATCH(COLUMNS($AM$1006:BL1006),$AM$1006:$BM$1006,0)))),"Fix")))</f>
        <v xml:space="preserve"> </v>
      </c>
      <c r="AB352" s="4" t="str">
        <f ca="1">IF(OR(INDEX($AG$2:$AG$1001,MATCH(ROWS($AF$2:AF352),$AF$2:$AF$1001,0),1)&gt;=100000,INDEX($AM$1005:$BM$1005,1,MATCH(COLUMNS($AM$1006:BM1006),$AM$1006:$BM$1006,0))&gt;=100000), " ",IF(INDEX($AM$2:$BM$1001,MATCH(ROWS($AF$2:AF352),$AF$2:$AF$1001,0),MATCH(COLUMNS($AM$1006:BM1006),$AM$1006:$BM$1006,0)), HYPERLINK("#",""), HYPERLINK(CONCATENATE("#metadata!", ADDRESS(INDEX($AH$2:$AH$1001,MATCH(ROWS($AF$2:AF352),$AF$2:$AF$1001,0),0), INDEX($AM$1004:$BM$1004,1,MATCH(COLUMNS($AM$1006:BM1006),$AM$1006:$BM$1006,0)))),"Fix")))</f>
        <v xml:space="preserve"> </v>
      </c>
      <c r="AF352">
        <v>351</v>
      </c>
      <c r="AG352">
        <v>100352</v>
      </c>
      <c r="AH352">
        <v>352</v>
      </c>
      <c r="AI352" t="b">
        <f t="shared" si="5"/>
        <v>1</v>
      </c>
      <c r="AJ352" t="b">
        <f>COUNTBLANK(metadata!B352:AB352)=COLUMNS(metadata!B352:AB352)</f>
        <v>1</v>
      </c>
      <c r="AK352" t="str">
        <v/>
      </c>
      <c r="AM352" t="b">
        <f ca="1">AND(IF(metadata!B352="",FALSE,TRUE),COUNTIF(metadata!B:B, metadata!B352) = 1,NOT(ISERROR(SUMPRODUCT(SEARCH(MID(metadata!B352,ROW(INDIRECT("1:"&amp;LEN(metadata!B352))), 1),"0123456789abcdefghijklmnopqrstuvwxyzABCDEFGHIJKLMNOPQRSTUVWXYZ.")))))</f>
        <v>0</v>
      </c>
      <c r="AN352" t="b">
        <f ca="1">OR(AND(IF(metadata!C352="",FALSE,TRUE),OR(EXACT(metadata!C352,"missing: not collected"),EXACT(metadata!C352,"missing: not provided"),EXACT(metadata!C352,"missing: restricted access"))),AND(IF(metadata!C352="",FALSE,TRUE),AND(AND(IFERROR(INT(LEFT(metadata!C352,4))&gt;1900,FALSE),IFERROR(INT(LEFT(metadata!C352,4))&lt;=YEAR(NOW()),FALSE)), OR(MID(metadata!C352,5,1)="", AND(AND(MID(metadata!C352,5,1)="-",IFERROR(INT(MID(metadata!C352,6,1))&gt;=0,FALSE),IFERROR(INT(MID(metadata!C352,6,1))&lt;=1,FALSE),NOT(MID(metadata!C352,7,1)=""),IFERROR(INT(MID(metadata!C352,6,2))&gt;=1,FALSE),IFERROR(INT(MID(metadata!C352,6,2))&lt;=12,FALSE)), OR(MID(metadata!C352,8,1)="", AND(AND(MID(metadata!C352,8,1)="-",IFERROR(INT(MID(metadata!C352,9,1))&gt;=0,FALSE),IFERROR(INT(MID(metadata!C352,9,1))&lt;=3,FALSE),NOT(MID(metadata!C352,10,1)=""),IFERROR(INT(MID(metadata!C352,9,2))&gt;=1,FALSE),IFERROR(INT(MID(metadata!C352,9,2))&lt;=31,FALSE)), OR(MID(metadata!C352,11,1)="", AND(AND(MID(metadata!C352,11,1)=" ",IFERROR(INT(MID(metadata!C352,12,1))&gt;=0,FALSE),IFERROR(INT(MID(metadata!C352,12,1))&lt;=2,FALSE),NOT(MID(metadata!C352,13,1)=""),IFERROR(INT(MID(metadata!C352,12,2))&gt;=0,FALSE),IFERROR(INT(MID(metadata!C352,12,2))&lt;=23,FALSE)), OR(MID(metadata!C352,14,1)="", AND(AND(MID(metadata!C352,14,1)=":",IFERROR(INT(MID(metadata!C352,15,1))&gt;=0,FALSE),IFERROR(INT(MID(metadata!C352,15,1))&lt;=5,FALSE),NOT(MID(metadata!C352,16,1)=""),IFERROR(INT(MID(metadata!C352,15,2))&gt;=0,FALSE),IFERROR(INT(MID(metadata!C352,15,2))&lt;=59,FALSE)), OR(MID(metadata!C352,17,1)="", AND(AND(MID(metadata!C352,17,1)=":",IFERROR(INT(MID(metadata!C352,18,1))&gt;=0,FALSE),IFERROR(INT(MID(metadata!C352,18,1))&lt;=5,FALSE),NOT(MID(metadata!C352,19,1)=""),IFERROR(INT(MID(metadata!C352,18,2))&gt;=0,FALSE),IFERROR(INT(MID(metadata!C352,18,2))&lt;=59,FALSE)), LEN(metadata!C352)&lt;=19)))))))))))))</f>
        <v>0</v>
      </c>
      <c r="AO352" t="b">
        <f>AND(IF(metadata!D352="",FALSE,TRUE),EXACT(metadata!D352,"Not applicable"))</f>
        <v>0</v>
      </c>
      <c r="AP352" t="b">
        <f>IF(metadata!E352="",FALSE,TRUE)</f>
        <v>0</v>
      </c>
      <c r="AQ352" t="b">
        <f>OR(AND(IF(metadata!F352="",FALSE,TRUE),OR(EXACT(metadata!F352,"missing: not collected"),EXACT(metadata!F352,"missing: not provided"))),AND(IF(metadata!F352="",FALSE,TRUE),OR(EXACT(metadata!F352,"TRUE"),EXACT(metadata!F352,"FALSE"))))</f>
        <v>0</v>
      </c>
      <c r="AR352" t="b">
        <f>OR(AND(IF(metadata!G352="",FALSE,TRUE),OR(EXACT(metadata!G352,"missing: not collected"),EXACT(metadata!G352,"missing: not provided"),EXACT(metadata!G352,"missing: restricted access"))),AND(IF(metadata!G352="",FALSE,ISNUMBER(VALUE(metadata!G352))),metadata!G352&gt;=-413))</f>
        <v>0</v>
      </c>
      <c r="AS352" t="b">
        <f>AND(IF(metadata!H352="",FALSE,TRUE),EXACT(metadata!H352,"meters"))</f>
        <v>0</v>
      </c>
      <c r="AT352" t="b">
        <f>AND(IF(metadata!I352="",FALSE,TRUE),OR(EXACT(metadata!I352,"Host-associated"),EXACT(metadata!I352,"Free-living")))</f>
        <v>0</v>
      </c>
      <c r="AU352" t="b">
        <f>AND(IF(metadata!J352="",FALSE,TRUE),OR(EXACT(metadata!J352,"Animal"),EXACT(metadata!J352,"Fungus"),EXACT(metadata!J352,"Plant"),EXACT(metadata!J352,"Saline"),EXACT(metadata!J352,"Non-saline")))</f>
        <v>0</v>
      </c>
      <c r="AV352" t="b">
        <f>AND(IF(metadata!K352="",FALSE,TRUE),OR(EXACT(metadata!K352,"Plant secretion"),EXACT(metadata!K352,"Plant rhizosphere"),EXACT(metadata!K352,"Plant surface"),EXACT(metadata!K352,"Plant corpus"),EXACT(metadata!K352,"Fungus surface"),EXACT(metadata!K352,"Fungus corpus"),EXACT(metadata!K352,"Animal surface"),EXACT(metadata!K352,"Animal proximal gut"),EXACT(metadata!K352,"Animal corpus"),EXACT(metadata!K352,"Animal distal gut"),EXACT(metadata!K352,"Animal secretion"),EXACT(metadata!K352,"Sub-surface (non-saline)"),EXACT(metadata!K352,"Surface (non-saline)"),EXACT(metadata!K352,"Water (non-saline)"),EXACT(metadata!K352,"Soil (non-saline)"),EXACT(metadata!K352,"Aerosol (non-saline)"),EXACT(metadata!K352,"Sediment (non-saline)"),EXACT(metadata!K352,"Surface (saline)"),EXACT(metadata!K352,"Water (saline)"),EXACT(metadata!K352,"Hypersaline (saline)"),EXACT(metadata!K352,"Aerosol (saline)"),EXACT(metadata!K352,"Sediment (saline)")))</f>
        <v>0</v>
      </c>
      <c r="AW352" t="b">
        <f>IF(metadata!L352="",FALSE,TRUE)</f>
        <v>0</v>
      </c>
      <c r="AX352" t="b">
        <f>IF(metadata!M352="",FALSE,TRUE)</f>
        <v>0</v>
      </c>
      <c r="AY352" t="b">
        <f>IF(metadata!N352="",FALSE,TRUE)</f>
        <v>0</v>
      </c>
      <c r="AZ352" t="b">
        <f>OR(AND(IF(metadata!O352="",FALSE,TRUE),OR(EXACT(metadata!O352,"missing: not collected"),EXACT(metadata!O352,"missing: not provided"),EXACT(metadata!O352,"missing: restricted access"))),AND(IF(metadata!O352="",FALSE,TRUE),OR(EXACT(metadata!O352,"air"),EXACT(metadata!O352,"built environment"),EXACT(metadata!O352,"host-associated"),EXACT(metadata!O352,"human-associated"),EXACT(metadata!O352,"human-skin"),EXACT(metadata!O352,"human-oral"),EXACT(metadata!O352,"human-gut"),EXACT(metadata!O352,"human-vaginal"),EXACT(metadata!O352,"microbial mat/biofilm"),EXACT(metadata!O352,"misc environment"),EXACT(metadata!O352,"plant-associated"),EXACT(metadata!O352,"sediment"),EXACT(metadata!O352,"soil"),EXACT(metadata!O352,"wastewater/sludge"),EXACT(metadata!O352,"water"))))</f>
        <v>0</v>
      </c>
      <c r="BA352" t="b">
        <f>IF(metadata!P352="",FALSE,TRUE)</f>
        <v>0</v>
      </c>
      <c r="BB352" t="b">
        <f>IF(metadata!Q352="",FALSE,TRUE)</f>
        <v>0</v>
      </c>
      <c r="BC352" t="b">
        <f>OR(AND(IF(metadata!R352="",FALSE,TRUE),OR(EXACT(metadata!R352,"missing: not collected"),EXACT(metadata!R352,"missing: not provided"),EXACT(metadata!R352,"missing: restricted access"))),AND(IF(metadata!R352="",FALSE,ISNUMBER(VALUE(metadata!R352))),metadata!R352&gt;=-90,metadata!R352&lt;=90))</f>
        <v>0</v>
      </c>
      <c r="BD352" t="b">
        <f>AND(IF(metadata!S352="",FALSE,TRUE),EXACT(metadata!S352,"Decimal degrees"))</f>
        <v>0</v>
      </c>
      <c r="BE352" t="b">
        <f>OR(AND(IF(metadata!T352="",FALSE,TRUE),OR(EXACT(metadata!T352,"missing: not collected"),EXACT(metadata!T352,"missing: not provided"),EXACT(metadata!T352,"missing: restricted access"))),AND(IF(metadata!T352="",FALSE,ISNUMBER(VALUE(metadata!T352))),metadata!T352&gt;=-180,metadata!T352&lt;=180))</f>
        <v>0</v>
      </c>
      <c r="BF352" t="b">
        <f>AND(IF(metadata!U352="",FALSE,TRUE),EXACT(metadata!U352,"Decimal degrees"))</f>
        <v>0</v>
      </c>
      <c r="BG352" t="b">
        <f>IF(metadata!V352="",FALSE,TRUE)</f>
        <v>0</v>
      </c>
      <c r="BH352" t="b">
        <f>OR(AND(IF(metadata!W352="",FALSE,TRUE),OR(EXACT(metadata!W352,"missing: not collected"),EXACT(metadata!W352,"missing: not provided"),EXACT(metadata!W352,"missing: restricted access"))),AND(IF(metadata!W352="",FALSE,TRUE),OR(EXACT(metadata!W352,"TRUE"),EXACT(metadata!W352,"FALSE"))))</f>
        <v>0</v>
      </c>
      <c r="BI352" t="b">
        <f>AND(IF(metadata!X352="",FALSE,TRUE),EXACT(metadata!X352,"other"))</f>
        <v>0</v>
      </c>
      <c r="BJ352" t="b">
        <f>IF(metadata!Y352="",FALSE,TRUE)</f>
        <v>0</v>
      </c>
      <c r="BK352" t="b">
        <f>OR(AND(IF(metadata!Z352="",FALSE,TRUE),OR(EXACT(metadata!Z352,"missing: not collected"),EXACT(metadata!Z352,"missing: not provided"))),AND(IF(metadata!Z352="",FALSE,IF(ISERROR(INT(metadata!Z352)),FALSE,INT(metadata!Z352)=metadata!Z352)),metadata!Z352&gt;0))</f>
        <v>0</v>
      </c>
      <c r="BL352" t="b">
        <f>AND(IF(metadata!AA352="",FALSE,TRUE),EXACT(metadata!AA352,"Not applicable"))</f>
        <v>0</v>
      </c>
      <c r="BM352" t="b">
        <f>IF(metadata!AB352="",FALSE,TRUE)</f>
        <v>0</v>
      </c>
    </row>
    <row r="353" spans="1:65" x14ac:dyDescent="0.2">
      <c r="A353" s="5" t="str">
        <f ca="1">IF(B353=" "," ",HYPERLINK(CONCATENATE("#metadata!",ADDRESS(INDEX($AH$2:$AH$1001,MATCH(ROWS($AF$2:AF353),$AF$2:$AF$1001,0),0),1)),INDEX($AK$2:$AK$1001,MATCH(ROWS($AF$2:AF353),$AF$2:$AF$1001,0),0)))</f>
        <v xml:space="preserve"> </v>
      </c>
      <c r="B353" s="4" t="str">
        <f ca="1">IF(OR(INDEX($AG$2:$AG$1001,MATCH(ROWS($AF$2:AF353),$AF$2:$AF$1001,0),1)&gt;=100000,INDEX($AM$1005:$BM$1005,1,MATCH(COLUMNS($AM$1006:AM1006),$AM$1006:$BM$1006,0))&gt;=100000), " ",IF(INDEX($AM$2:$BM$1001,MATCH(ROWS($AF$2:AF353),$AF$2:$AF$1001,0),MATCH(COLUMNS($AM$1006:AM1006),$AM$1006:$BM$1006,0)), HYPERLINK("#",""), HYPERLINK(CONCATENATE("#metadata!", ADDRESS(INDEX($AH$2:$AH$1001,MATCH(ROWS($AF$2:AF353),$AF$2:$AF$1001,0),0), INDEX($AM$1004:$BM$1004,1,MATCH(COLUMNS($AM$1006:AM1006),$AM$1006:$BM$1006,0)))),"Fix")))</f>
        <v xml:space="preserve"> </v>
      </c>
      <c r="C353" s="4" t="str">
        <f ca="1">IF(OR(INDEX($AG$2:$AG$1001,MATCH(ROWS($AF$2:AF353),$AF$2:$AF$1001,0),1)&gt;=100000,INDEX($AM$1005:$BM$1005,1,MATCH(COLUMNS($AM$1006:AN1006),$AM$1006:$BM$1006,0))&gt;=100000), " ",IF(INDEX($AM$2:$BM$1001,MATCH(ROWS($AF$2:AF353),$AF$2:$AF$1001,0),MATCH(COLUMNS($AM$1006:AN1006),$AM$1006:$BM$1006,0)), HYPERLINK("#",""), HYPERLINK(CONCATENATE("#metadata!", ADDRESS(INDEX($AH$2:$AH$1001,MATCH(ROWS($AF$2:AF353),$AF$2:$AF$1001,0),0), INDEX($AM$1004:$BM$1004,1,MATCH(COLUMNS($AM$1006:AN1006),$AM$1006:$BM$1006,0)))),"Fix")))</f>
        <v xml:space="preserve"> </v>
      </c>
      <c r="D353" s="4" t="str">
        <f ca="1">IF(OR(INDEX($AG$2:$AG$1001,MATCH(ROWS($AF$2:AF353),$AF$2:$AF$1001,0),1)&gt;=100000,INDEX($AM$1005:$BM$1005,1,MATCH(COLUMNS($AM$1006:AO1006),$AM$1006:$BM$1006,0))&gt;=100000), " ",IF(INDEX($AM$2:$BM$1001,MATCH(ROWS($AF$2:AF353),$AF$2:$AF$1001,0),MATCH(COLUMNS($AM$1006:AO1006),$AM$1006:$BM$1006,0)), HYPERLINK("#",""), HYPERLINK(CONCATENATE("#metadata!", ADDRESS(INDEX($AH$2:$AH$1001,MATCH(ROWS($AF$2:AF353),$AF$2:$AF$1001,0),0), INDEX($AM$1004:$BM$1004,1,MATCH(COLUMNS($AM$1006:AO1006),$AM$1006:$BM$1006,0)))),"Fix")))</f>
        <v xml:space="preserve"> </v>
      </c>
      <c r="E353" s="4" t="str">
        <f ca="1">IF(OR(INDEX($AG$2:$AG$1001,MATCH(ROWS($AF$2:AF353),$AF$2:$AF$1001,0),1)&gt;=100000,INDEX($AM$1005:$BM$1005,1,MATCH(COLUMNS($AM$1006:AP1006),$AM$1006:$BM$1006,0))&gt;=100000), " ",IF(INDEX($AM$2:$BM$1001,MATCH(ROWS($AF$2:AF353),$AF$2:$AF$1001,0),MATCH(COLUMNS($AM$1006:AP1006),$AM$1006:$BM$1006,0)), HYPERLINK("#",""), HYPERLINK(CONCATENATE("#metadata!", ADDRESS(INDEX($AH$2:$AH$1001,MATCH(ROWS($AF$2:AF353),$AF$2:$AF$1001,0),0), INDEX($AM$1004:$BM$1004,1,MATCH(COLUMNS($AM$1006:AP1006),$AM$1006:$BM$1006,0)))),"Fix")))</f>
        <v xml:space="preserve"> </v>
      </c>
      <c r="F353" s="4" t="str">
        <f ca="1">IF(OR(INDEX($AG$2:$AG$1001,MATCH(ROWS($AF$2:AF353),$AF$2:$AF$1001,0),1)&gt;=100000,INDEX($AM$1005:$BM$1005,1,MATCH(COLUMNS($AM$1006:AQ1006),$AM$1006:$BM$1006,0))&gt;=100000), " ",IF(INDEX($AM$2:$BM$1001,MATCH(ROWS($AF$2:AF353),$AF$2:$AF$1001,0),MATCH(COLUMNS($AM$1006:AQ1006),$AM$1006:$BM$1006,0)), HYPERLINK("#",""), HYPERLINK(CONCATENATE("#metadata!", ADDRESS(INDEX($AH$2:$AH$1001,MATCH(ROWS($AF$2:AF353),$AF$2:$AF$1001,0),0), INDEX($AM$1004:$BM$1004,1,MATCH(COLUMNS($AM$1006:AQ1006),$AM$1006:$BM$1006,0)))),"Fix")))</f>
        <v xml:space="preserve"> </v>
      </c>
      <c r="G353" s="4" t="str">
        <f ca="1">IF(OR(INDEX($AG$2:$AG$1001,MATCH(ROWS($AF$2:AF353),$AF$2:$AF$1001,0),1)&gt;=100000,INDEX($AM$1005:$BM$1005,1,MATCH(COLUMNS($AM$1006:AR1006),$AM$1006:$BM$1006,0))&gt;=100000), " ",IF(INDEX($AM$2:$BM$1001,MATCH(ROWS($AF$2:AF353),$AF$2:$AF$1001,0),MATCH(COLUMNS($AM$1006:AR1006),$AM$1006:$BM$1006,0)), HYPERLINK("#",""), HYPERLINK(CONCATENATE("#metadata!", ADDRESS(INDEX($AH$2:$AH$1001,MATCH(ROWS($AF$2:AF353),$AF$2:$AF$1001,0),0), INDEX($AM$1004:$BM$1004,1,MATCH(COLUMNS($AM$1006:AR1006),$AM$1006:$BM$1006,0)))),"Fix")))</f>
        <v xml:space="preserve"> </v>
      </c>
      <c r="H353" s="4" t="str">
        <f ca="1">IF(OR(INDEX($AG$2:$AG$1001,MATCH(ROWS($AF$2:AF353),$AF$2:$AF$1001,0),1)&gt;=100000,INDEX($AM$1005:$BM$1005,1,MATCH(COLUMNS($AM$1006:AS1006),$AM$1006:$BM$1006,0))&gt;=100000), " ",IF(INDEX($AM$2:$BM$1001,MATCH(ROWS($AF$2:AF353),$AF$2:$AF$1001,0),MATCH(COLUMNS($AM$1006:AS1006),$AM$1006:$BM$1006,0)), HYPERLINK("#",""), HYPERLINK(CONCATENATE("#metadata!", ADDRESS(INDEX($AH$2:$AH$1001,MATCH(ROWS($AF$2:AF353),$AF$2:$AF$1001,0),0), INDEX($AM$1004:$BM$1004,1,MATCH(COLUMNS($AM$1006:AS1006),$AM$1006:$BM$1006,0)))),"Fix")))</f>
        <v xml:space="preserve"> </v>
      </c>
      <c r="I353" s="4" t="str">
        <f ca="1">IF(OR(INDEX($AG$2:$AG$1001,MATCH(ROWS($AF$2:AF353),$AF$2:$AF$1001,0),1)&gt;=100000,INDEX($AM$1005:$BM$1005,1,MATCH(COLUMNS($AM$1006:AT1006),$AM$1006:$BM$1006,0))&gt;=100000), " ",IF(INDEX($AM$2:$BM$1001,MATCH(ROWS($AF$2:AF353),$AF$2:$AF$1001,0),MATCH(COLUMNS($AM$1006:AT1006),$AM$1006:$BM$1006,0)), HYPERLINK("#",""), HYPERLINK(CONCATENATE("#metadata!", ADDRESS(INDEX($AH$2:$AH$1001,MATCH(ROWS($AF$2:AF353),$AF$2:$AF$1001,0),0), INDEX($AM$1004:$BM$1004,1,MATCH(COLUMNS($AM$1006:AT1006),$AM$1006:$BM$1006,0)))),"Fix")))</f>
        <v xml:space="preserve"> </v>
      </c>
      <c r="J353" s="4" t="str">
        <f ca="1">IF(OR(INDEX($AG$2:$AG$1001,MATCH(ROWS($AF$2:AF353),$AF$2:$AF$1001,0),1)&gt;=100000,INDEX($AM$1005:$BM$1005,1,MATCH(COLUMNS($AM$1006:AU1006),$AM$1006:$BM$1006,0))&gt;=100000), " ",IF(INDEX($AM$2:$BM$1001,MATCH(ROWS($AF$2:AF353),$AF$2:$AF$1001,0),MATCH(COLUMNS($AM$1006:AU1006),$AM$1006:$BM$1006,0)), HYPERLINK("#",""), HYPERLINK(CONCATENATE("#metadata!", ADDRESS(INDEX($AH$2:$AH$1001,MATCH(ROWS($AF$2:AF353),$AF$2:$AF$1001,0),0), INDEX($AM$1004:$BM$1004,1,MATCH(COLUMNS($AM$1006:AU1006),$AM$1006:$BM$1006,0)))),"Fix")))</f>
        <v xml:space="preserve"> </v>
      </c>
      <c r="K353" s="4" t="str">
        <f ca="1">IF(OR(INDEX($AG$2:$AG$1001,MATCH(ROWS($AF$2:AF353),$AF$2:$AF$1001,0),1)&gt;=100000,INDEX($AM$1005:$BM$1005,1,MATCH(COLUMNS($AM$1006:AV1006),$AM$1006:$BM$1006,0))&gt;=100000), " ",IF(INDEX($AM$2:$BM$1001,MATCH(ROWS($AF$2:AF353),$AF$2:$AF$1001,0),MATCH(COLUMNS($AM$1006:AV1006),$AM$1006:$BM$1006,0)), HYPERLINK("#",""), HYPERLINK(CONCATENATE("#metadata!", ADDRESS(INDEX($AH$2:$AH$1001,MATCH(ROWS($AF$2:AF353),$AF$2:$AF$1001,0),0), INDEX($AM$1004:$BM$1004,1,MATCH(COLUMNS($AM$1006:AV1006),$AM$1006:$BM$1006,0)))),"Fix")))</f>
        <v xml:space="preserve"> </v>
      </c>
      <c r="L353" s="4" t="str">
        <f ca="1">IF(OR(INDEX($AG$2:$AG$1001,MATCH(ROWS($AF$2:AF353),$AF$2:$AF$1001,0),1)&gt;=100000,INDEX($AM$1005:$BM$1005,1,MATCH(COLUMNS($AM$1006:AW1006),$AM$1006:$BM$1006,0))&gt;=100000), " ",IF(INDEX($AM$2:$BM$1001,MATCH(ROWS($AF$2:AF353),$AF$2:$AF$1001,0),MATCH(COLUMNS($AM$1006:AW1006),$AM$1006:$BM$1006,0)), HYPERLINK("#",""), HYPERLINK(CONCATENATE("#metadata!", ADDRESS(INDEX($AH$2:$AH$1001,MATCH(ROWS($AF$2:AF353),$AF$2:$AF$1001,0),0), INDEX($AM$1004:$BM$1004,1,MATCH(COLUMNS($AM$1006:AW1006),$AM$1006:$BM$1006,0)))),"Fix")))</f>
        <v xml:space="preserve"> </v>
      </c>
      <c r="M353" s="4" t="str">
        <f ca="1">IF(OR(INDEX($AG$2:$AG$1001,MATCH(ROWS($AF$2:AF353),$AF$2:$AF$1001,0),1)&gt;=100000,INDEX($AM$1005:$BM$1005,1,MATCH(COLUMNS($AM$1006:AX1006),$AM$1006:$BM$1006,0))&gt;=100000), " ",IF(INDEX($AM$2:$BM$1001,MATCH(ROWS($AF$2:AF353),$AF$2:$AF$1001,0),MATCH(COLUMNS($AM$1006:AX1006),$AM$1006:$BM$1006,0)), HYPERLINK("#",""), HYPERLINK(CONCATENATE("#metadata!", ADDRESS(INDEX($AH$2:$AH$1001,MATCH(ROWS($AF$2:AF353),$AF$2:$AF$1001,0),0), INDEX($AM$1004:$BM$1004,1,MATCH(COLUMNS($AM$1006:AX1006),$AM$1006:$BM$1006,0)))),"Fix")))</f>
        <v xml:space="preserve"> </v>
      </c>
      <c r="N353" s="4" t="str">
        <f ca="1">IF(OR(INDEX($AG$2:$AG$1001,MATCH(ROWS($AF$2:AF353),$AF$2:$AF$1001,0),1)&gt;=100000,INDEX($AM$1005:$BM$1005,1,MATCH(COLUMNS($AM$1006:AY1006),$AM$1006:$BM$1006,0))&gt;=100000), " ",IF(INDEX($AM$2:$BM$1001,MATCH(ROWS($AF$2:AF353),$AF$2:$AF$1001,0),MATCH(COLUMNS($AM$1006:AY1006),$AM$1006:$BM$1006,0)), HYPERLINK("#",""), HYPERLINK(CONCATENATE("#metadata!", ADDRESS(INDEX($AH$2:$AH$1001,MATCH(ROWS($AF$2:AF353),$AF$2:$AF$1001,0),0), INDEX($AM$1004:$BM$1004,1,MATCH(COLUMNS($AM$1006:AY1006),$AM$1006:$BM$1006,0)))),"Fix")))</f>
        <v xml:space="preserve"> </v>
      </c>
      <c r="O353" s="4" t="str">
        <f ca="1">IF(OR(INDEX($AG$2:$AG$1001,MATCH(ROWS($AF$2:AF353),$AF$2:$AF$1001,0),1)&gt;=100000,INDEX($AM$1005:$BM$1005,1,MATCH(COLUMNS($AM$1006:AZ1006),$AM$1006:$BM$1006,0))&gt;=100000), " ",IF(INDEX($AM$2:$BM$1001,MATCH(ROWS($AF$2:AF353),$AF$2:$AF$1001,0),MATCH(COLUMNS($AM$1006:AZ1006),$AM$1006:$BM$1006,0)), HYPERLINK("#",""), HYPERLINK(CONCATENATE("#metadata!", ADDRESS(INDEX($AH$2:$AH$1001,MATCH(ROWS($AF$2:AF353),$AF$2:$AF$1001,0),0), INDEX($AM$1004:$BM$1004,1,MATCH(COLUMNS($AM$1006:AZ1006),$AM$1006:$BM$1006,0)))),"Fix")))</f>
        <v xml:space="preserve"> </v>
      </c>
      <c r="P353" s="4" t="str">
        <f ca="1">IF(OR(INDEX($AG$2:$AG$1001,MATCH(ROWS($AF$2:AF353),$AF$2:$AF$1001,0),1)&gt;=100000,INDEX($AM$1005:$BM$1005,1,MATCH(COLUMNS($AM$1006:BA1006),$AM$1006:$BM$1006,0))&gt;=100000), " ",IF(INDEX($AM$2:$BM$1001,MATCH(ROWS($AF$2:AF353),$AF$2:$AF$1001,0),MATCH(COLUMNS($AM$1006:BA1006),$AM$1006:$BM$1006,0)), HYPERLINK("#",""), HYPERLINK(CONCATENATE("#metadata!", ADDRESS(INDEX($AH$2:$AH$1001,MATCH(ROWS($AF$2:AF353),$AF$2:$AF$1001,0),0), INDEX($AM$1004:$BM$1004,1,MATCH(COLUMNS($AM$1006:BA1006),$AM$1006:$BM$1006,0)))),"Fix")))</f>
        <v xml:space="preserve"> </v>
      </c>
      <c r="Q353" s="4" t="str">
        <f ca="1">IF(OR(INDEX($AG$2:$AG$1001,MATCH(ROWS($AF$2:AF353),$AF$2:$AF$1001,0),1)&gt;=100000,INDEX($AM$1005:$BM$1005,1,MATCH(COLUMNS($AM$1006:BB1006),$AM$1006:$BM$1006,0))&gt;=100000), " ",IF(INDEX($AM$2:$BM$1001,MATCH(ROWS($AF$2:AF353),$AF$2:$AF$1001,0),MATCH(COLUMNS($AM$1006:BB1006),$AM$1006:$BM$1006,0)), HYPERLINK("#",""), HYPERLINK(CONCATENATE("#metadata!", ADDRESS(INDEX($AH$2:$AH$1001,MATCH(ROWS($AF$2:AF353),$AF$2:$AF$1001,0),0), INDEX($AM$1004:$BM$1004,1,MATCH(COLUMNS($AM$1006:BB1006),$AM$1006:$BM$1006,0)))),"Fix")))</f>
        <v xml:space="preserve"> </v>
      </c>
      <c r="R353" s="4" t="str">
        <f ca="1">IF(OR(INDEX($AG$2:$AG$1001,MATCH(ROWS($AF$2:AF353),$AF$2:$AF$1001,0),1)&gt;=100000,INDEX($AM$1005:$BM$1005,1,MATCH(COLUMNS($AM$1006:BC1006),$AM$1006:$BM$1006,0))&gt;=100000), " ",IF(INDEX($AM$2:$BM$1001,MATCH(ROWS($AF$2:AF353),$AF$2:$AF$1001,0),MATCH(COLUMNS($AM$1006:BC1006),$AM$1006:$BM$1006,0)), HYPERLINK("#",""), HYPERLINK(CONCATENATE("#metadata!", ADDRESS(INDEX($AH$2:$AH$1001,MATCH(ROWS($AF$2:AF353),$AF$2:$AF$1001,0),0), INDEX($AM$1004:$BM$1004,1,MATCH(COLUMNS($AM$1006:BC1006),$AM$1006:$BM$1006,0)))),"Fix")))</f>
        <v xml:space="preserve"> </v>
      </c>
      <c r="S353" s="4" t="str">
        <f ca="1">IF(OR(INDEX($AG$2:$AG$1001,MATCH(ROWS($AF$2:AF353),$AF$2:$AF$1001,0),1)&gt;=100000,INDEX($AM$1005:$BM$1005,1,MATCH(COLUMNS($AM$1006:BD1006),$AM$1006:$BM$1006,0))&gt;=100000), " ",IF(INDEX($AM$2:$BM$1001,MATCH(ROWS($AF$2:AF353),$AF$2:$AF$1001,0),MATCH(COLUMNS($AM$1006:BD1006),$AM$1006:$BM$1006,0)), HYPERLINK("#",""), HYPERLINK(CONCATENATE("#metadata!", ADDRESS(INDEX($AH$2:$AH$1001,MATCH(ROWS($AF$2:AF353),$AF$2:$AF$1001,0),0), INDEX($AM$1004:$BM$1004,1,MATCH(COLUMNS($AM$1006:BD1006),$AM$1006:$BM$1006,0)))),"Fix")))</f>
        <v xml:space="preserve"> </v>
      </c>
      <c r="T353" s="4" t="str">
        <f ca="1">IF(OR(INDEX($AG$2:$AG$1001,MATCH(ROWS($AF$2:AF353),$AF$2:$AF$1001,0),1)&gt;=100000,INDEX($AM$1005:$BM$1005,1,MATCH(COLUMNS($AM$1006:BE1006),$AM$1006:$BM$1006,0))&gt;=100000), " ",IF(INDEX($AM$2:$BM$1001,MATCH(ROWS($AF$2:AF353),$AF$2:$AF$1001,0),MATCH(COLUMNS($AM$1006:BE1006),$AM$1006:$BM$1006,0)), HYPERLINK("#",""), HYPERLINK(CONCATENATE("#metadata!", ADDRESS(INDEX($AH$2:$AH$1001,MATCH(ROWS($AF$2:AF353),$AF$2:$AF$1001,0),0), INDEX($AM$1004:$BM$1004,1,MATCH(COLUMNS($AM$1006:BE1006),$AM$1006:$BM$1006,0)))),"Fix")))</f>
        <v xml:space="preserve"> </v>
      </c>
      <c r="U353" s="4" t="str">
        <f ca="1">IF(OR(INDEX($AG$2:$AG$1001,MATCH(ROWS($AF$2:AF353),$AF$2:$AF$1001,0),1)&gt;=100000,INDEX($AM$1005:$BM$1005,1,MATCH(COLUMNS($AM$1006:BF1006),$AM$1006:$BM$1006,0))&gt;=100000), " ",IF(INDEX($AM$2:$BM$1001,MATCH(ROWS($AF$2:AF353),$AF$2:$AF$1001,0),MATCH(COLUMNS($AM$1006:BF1006),$AM$1006:$BM$1006,0)), HYPERLINK("#",""), HYPERLINK(CONCATENATE("#metadata!", ADDRESS(INDEX($AH$2:$AH$1001,MATCH(ROWS($AF$2:AF353),$AF$2:$AF$1001,0),0), INDEX($AM$1004:$BM$1004,1,MATCH(COLUMNS($AM$1006:BF1006),$AM$1006:$BM$1006,0)))),"Fix")))</f>
        <v xml:space="preserve"> </v>
      </c>
      <c r="V353" s="4" t="str">
        <f ca="1">IF(OR(INDEX($AG$2:$AG$1001,MATCH(ROWS($AF$2:AF353),$AF$2:$AF$1001,0),1)&gt;=100000,INDEX($AM$1005:$BM$1005,1,MATCH(COLUMNS($AM$1006:BG1006),$AM$1006:$BM$1006,0))&gt;=100000), " ",IF(INDEX($AM$2:$BM$1001,MATCH(ROWS($AF$2:AF353),$AF$2:$AF$1001,0),MATCH(COLUMNS($AM$1006:BG1006),$AM$1006:$BM$1006,0)), HYPERLINK("#",""), HYPERLINK(CONCATENATE("#metadata!", ADDRESS(INDEX($AH$2:$AH$1001,MATCH(ROWS($AF$2:AF353),$AF$2:$AF$1001,0),0), INDEX($AM$1004:$BM$1004,1,MATCH(COLUMNS($AM$1006:BG1006),$AM$1006:$BM$1006,0)))),"Fix")))</f>
        <v xml:space="preserve"> </v>
      </c>
      <c r="W353" s="4" t="str">
        <f ca="1">IF(OR(INDEX($AG$2:$AG$1001,MATCH(ROWS($AF$2:AF353),$AF$2:$AF$1001,0),1)&gt;=100000,INDEX($AM$1005:$BM$1005,1,MATCH(COLUMNS($AM$1006:BH1006),$AM$1006:$BM$1006,0))&gt;=100000), " ",IF(INDEX($AM$2:$BM$1001,MATCH(ROWS($AF$2:AF353),$AF$2:$AF$1001,0),MATCH(COLUMNS($AM$1006:BH1006),$AM$1006:$BM$1006,0)), HYPERLINK("#",""), HYPERLINK(CONCATENATE("#metadata!", ADDRESS(INDEX($AH$2:$AH$1001,MATCH(ROWS($AF$2:AF353),$AF$2:$AF$1001,0),0), INDEX($AM$1004:$BM$1004,1,MATCH(COLUMNS($AM$1006:BH1006),$AM$1006:$BM$1006,0)))),"Fix")))</f>
        <v xml:space="preserve"> </v>
      </c>
      <c r="X353" s="4" t="str">
        <f ca="1">IF(OR(INDEX($AG$2:$AG$1001,MATCH(ROWS($AF$2:AF353),$AF$2:$AF$1001,0),1)&gt;=100000,INDEX($AM$1005:$BM$1005,1,MATCH(COLUMNS($AM$1006:BI1006),$AM$1006:$BM$1006,0))&gt;=100000), " ",IF(INDEX($AM$2:$BM$1001,MATCH(ROWS($AF$2:AF353),$AF$2:$AF$1001,0),MATCH(COLUMNS($AM$1006:BI1006),$AM$1006:$BM$1006,0)), HYPERLINK("#",""), HYPERLINK(CONCATENATE("#metadata!", ADDRESS(INDEX($AH$2:$AH$1001,MATCH(ROWS($AF$2:AF353),$AF$2:$AF$1001,0),0), INDEX($AM$1004:$BM$1004,1,MATCH(COLUMNS($AM$1006:BI1006),$AM$1006:$BM$1006,0)))),"Fix")))</f>
        <v xml:space="preserve"> </v>
      </c>
      <c r="Y353" s="4" t="str">
        <f ca="1">IF(OR(INDEX($AG$2:$AG$1001,MATCH(ROWS($AF$2:AF353),$AF$2:$AF$1001,0),1)&gt;=100000,INDEX($AM$1005:$BM$1005,1,MATCH(COLUMNS($AM$1006:BJ1006),$AM$1006:$BM$1006,0))&gt;=100000), " ",IF(INDEX($AM$2:$BM$1001,MATCH(ROWS($AF$2:AF353),$AF$2:$AF$1001,0),MATCH(COLUMNS($AM$1006:BJ1006),$AM$1006:$BM$1006,0)), HYPERLINK("#",""), HYPERLINK(CONCATENATE("#metadata!", ADDRESS(INDEX($AH$2:$AH$1001,MATCH(ROWS($AF$2:AF353),$AF$2:$AF$1001,0),0), INDEX($AM$1004:$BM$1004,1,MATCH(COLUMNS($AM$1006:BJ1006),$AM$1006:$BM$1006,0)))),"Fix")))</f>
        <v xml:space="preserve"> </v>
      </c>
      <c r="Z353" s="4" t="str">
        <f ca="1">IF(OR(INDEX($AG$2:$AG$1001,MATCH(ROWS($AF$2:AF353),$AF$2:$AF$1001,0),1)&gt;=100000,INDEX($AM$1005:$BM$1005,1,MATCH(COLUMNS($AM$1006:BK1006),$AM$1006:$BM$1006,0))&gt;=100000), " ",IF(INDEX($AM$2:$BM$1001,MATCH(ROWS($AF$2:AF353),$AF$2:$AF$1001,0),MATCH(COLUMNS($AM$1006:BK1006),$AM$1006:$BM$1006,0)), HYPERLINK("#",""), HYPERLINK(CONCATENATE("#metadata!", ADDRESS(INDEX($AH$2:$AH$1001,MATCH(ROWS($AF$2:AF353),$AF$2:$AF$1001,0),0), INDEX($AM$1004:$BM$1004,1,MATCH(COLUMNS($AM$1006:BK1006),$AM$1006:$BM$1006,0)))),"Fix")))</f>
        <v xml:space="preserve"> </v>
      </c>
      <c r="AA353" s="4" t="str">
        <f ca="1">IF(OR(INDEX($AG$2:$AG$1001,MATCH(ROWS($AF$2:AF353),$AF$2:$AF$1001,0),1)&gt;=100000,INDEX($AM$1005:$BM$1005,1,MATCH(COLUMNS($AM$1006:BL1006),$AM$1006:$BM$1006,0))&gt;=100000), " ",IF(INDEX($AM$2:$BM$1001,MATCH(ROWS($AF$2:AF353),$AF$2:$AF$1001,0),MATCH(COLUMNS($AM$1006:BL1006),$AM$1006:$BM$1006,0)), HYPERLINK("#",""), HYPERLINK(CONCATENATE("#metadata!", ADDRESS(INDEX($AH$2:$AH$1001,MATCH(ROWS($AF$2:AF353),$AF$2:$AF$1001,0),0), INDEX($AM$1004:$BM$1004,1,MATCH(COLUMNS($AM$1006:BL1006),$AM$1006:$BM$1006,0)))),"Fix")))</f>
        <v xml:space="preserve"> </v>
      </c>
      <c r="AB353" s="4" t="str">
        <f ca="1">IF(OR(INDEX($AG$2:$AG$1001,MATCH(ROWS($AF$2:AF353),$AF$2:$AF$1001,0),1)&gt;=100000,INDEX($AM$1005:$BM$1005,1,MATCH(COLUMNS($AM$1006:BM1006),$AM$1006:$BM$1006,0))&gt;=100000), " ",IF(INDEX($AM$2:$BM$1001,MATCH(ROWS($AF$2:AF353),$AF$2:$AF$1001,0),MATCH(COLUMNS($AM$1006:BM1006),$AM$1006:$BM$1006,0)), HYPERLINK("#",""), HYPERLINK(CONCATENATE("#metadata!", ADDRESS(INDEX($AH$2:$AH$1001,MATCH(ROWS($AF$2:AF353),$AF$2:$AF$1001,0),0), INDEX($AM$1004:$BM$1004,1,MATCH(COLUMNS($AM$1006:BM1006),$AM$1006:$BM$1006,0)))),"Fix")))</f>
        <v xml:space="preserve"> </v>
      </c>
      <c r="AF353">
        <v>352</v>
      </c>
      <c r="AG353">
        <v>100353</v>
      </c>
      <c r="AH353">
        <v>353</v>
      </c>
      <c r="AI353" t="b">
        <f t="shared" si="5"/>
        <v>1</v>
      </c>
      <c r="AJ353" t="b">
        <f>COUNTBLANK(metadata!B353:AB353)=COLUMNS(metadata!B353:AB353)</f>
        <v>1</v>
      </c>
      <c r="AK353" t="str">
        <v/>
      </c>
      <c r="AM353" t="b">
        <f ca="1">AND(IF(metadata!B353="",FALSE,TRUE),COUNTIF(metadata!B:B, metadata!B353) = 1,NOT(ISERROR(SUMPRODUCT(SEARCH(MID(metadata!B353,ROW(INDIRECT("1:"&amp;LEN(metadata!B353))), 1),"0123456789abcdefghijklmnopqrstuvwxyzABCDEFGHIJKLMNOPQRSTUVWXYZ.")))))</f>
        <v>0</v>
      </c>
      <c r="AN353" t="b">
        <f ca="1">OR(AND(IF(metadata!C353="",FALSE,TRUE),OR(EXACT(metadata!C353,"missing: not collected"),EXACT(metadata!C353,"missing: not provided"),EXACT(metadata!C353,"missing: restricted access"))),AND(IF(metadata!C353="",FALSE,TRUE),AND(AND(IFERROR(INT(LEFT(metadata!C353,4))&gt;1900,FALSE),IFERROR(INT(LEFT(metadata!C353,4))&lt;=YEAR(NOW()),FALSE)), OR(MID(metadata!C353,5,1)="", AND(AND(MID(metadata!C353,5,1)="-",IFERROR(INT(MID(metadata!C353,6,1))&gt;=0,FALSE),IFERROR(INT(MID(metadata!C353,6,1))&lt;=1,FALSE),NOT(MID(metadata!C353,7,1)=""),IFERROR(INT(MID(metadata!C353,6,2))&gt;=1,FALSE),IFERROR(INT(MID(metadata!C353,6,2))&lt;=12,FALSE)), OR(MID(metadata!C353,8,1)="", AND(AND(MID(metadata!C353,8,1)="-",IFERROR(INT(MID(metadata!C353,9,1))&gt;=0,FALSE),IFERROR(INT(MID(metadata!C353,9,1))&lt;=3,FALSE),NOT(MID(metadata!C353,10,1)=""),IFERROR(INT(MID(metadata!C353,9,2))&gt;=1,FALSE),IFERROR(INT(MID(metadata!C353,9,2))&lt;=31,FALSE)), OR(MID(metadata!C353,11,1)="", AND(AND(MID(metadata!C353,11,1)=" ",IFERROR(INT(MID(metadata!C353,12,1))&gt;=0,FALSE),IFERROR(INT(MID(metadata!C353,12,1))&lt;=2,FALSE),NOT(MID(metadata!C353,13,1)=""),IFERROR(INT(MID(metadata!C353,12,2))&gt;=0,FALSE),IFERROR(INT(MID(metadata!C353,12,2))&lt;=23,FALSE)), OR(MID(metadata!C353,14,1)="", AND(AND(MID(metadata!C353,14,1)=":",IFERROR(INT(MID(metadata!C353,15,1))&gt;=0,FALSE),IFERROR(INT(MID(metadata!C353,15,1))&lt;=5,FALSE),NOT(MID(metadata!C353,16,1)=""),IFERROR(INT(MID(metadata!C353,15,2))&gt;=0,FALSE),IFERROR(INT(MID(metadata!C353,15,2))&lt;=59,FALSE)), OR(MID(metadata!C353,17,1)="", AND(AND(MID(metadata!C353,17,1)=":",IFERROR(INT(MID(metadata!C353,18,1))&gt;=0,FALSE),IFERROR(INT(MID(metadata!C353,18,1))&lt;=5,FALSE),NOT(MID(metadata!C353,19,1)=""),IFERROR(INT(MID(metadata!C353,18,2))&gt;=0,FALSE),IFERROR(INT(MID(metadata!C353,18,2))&lt;=59,FALSE)), LEN(metadata!C353)&lt;=19)))))))))))))</f>
        <v>0</v>
      </c>
      <c r="AO353" t="b">
        <f>AND(IF(metadata!D353="",FALSE,TRUE),EXACT(metadata!D353,"Not applicable"))</f>
        <v>0</v>
      </c>
      <c r="AP353" t="b">
        <f>IF(metadata!E353="",FALSE,TRUE)</f>
        <v>0</v>
      </c>
      <c r="AQ353" t="b">
        <f>OR(AND(IF(metadata!F353="",FALSE,TRUE),OR(EXACT(metadata!F353,"missing: not collected"),EXACT(metadata!F353,"missing: not provided"))),AND(IF(metadata!F353="",FALSE,TRUE),OR(EXACT(metadata!F353,"TRUE"),EXACT(metadata!F353,"FALSE"))))</f>
        <v>0</v>
      </c>
      <c r="AR353" t="b">
        <f>OR(AND(IF(metadata!G353="",FALSE,TRUE),OR(EXACT(metadata!G353,"missing: not collected"),EXACT(metadata!G353,"missing: not provided"),EXACT(metadata!G353,"missing: restricted access"))),AND(IF(metadata!G353="",FALSE,ISNUMBER(VALUE(metadata!G353))),metadata!G353&gt;=-413))</f>
        <v>0</v>
      </c>
      <c r="AS353" t="b">
        <f>AND(IF(metadata!H353="",FALSE,TRUE),EXACT(metadata!H353,"meters"))</f>
        <v>0</v>
      </c>
      <c r="AT353" t="b">
        <f>AND(IF(metadata!I353="",FALSE,TRUE),OR(EXACT(metadata!I353,"Host-associated"),EXACT(metadata!I353,"Free-living")))</f>
        <v>0</v>
      </c>
      <c r="AU353" t="b">
        <f>AND(IF(metadata!J353="",FALSE,TRUE),OR(EXACT(metadata!J353,"Animal"),EXACT(metadata!J353,"Fungus"),EXACT(metadata!J353,"Plant"),EXACT(metadata!J353,"Saline"),EXACT(metadata!J353,"Non-saline")))</f>
        <v>0</v>
      </c>
      <c r="AV353" t="b">
        <f>AND(IF(metadata!K353="",FALSE,TRUE),OR(EXACT(metadata!K353,"Plant secretion"),EXACT(metadata!K353,"Plant rhizosphere"),EXACT(metadata!K353,"Plant surface"),EXACT(metadata!K353,"Plant corpus"),EXACT(metadata!K353,"Fungus surface"),EXACT(metadata!K353,"Fungus corpus"),EXACT(metadata!K353,"Animal surface"),EXACT(metadata!K353,"Animal proximal gut"),EXACT(metadata!K353,"Animal corpus"),EXACT(metadata!K353,"Animal distal gut"),EXACT(metadata!K353,"Animal secretion"),EXACT(metadata!K353,"Sub-surface (non-saline)"),EXACT(metadata!K353,"Surface (non-saline)"),EXACT(metadata!K353,"Water (non-saline)"),EXACT(metadata!K353,"Soil (non-saline)"),EXACT(metadata!K353,"Aerosol (non-saline)"),EXACT(metadata!K353,"Sediment (non-saline)"),EXACT(metadata!K353,"Surface (saline)"),EXACT(metadata!K353,"Water (saline)"),EXACT(metadata!K353,"Hypersaline (saline)"),EXACT(metadata!K353,"Aerosol (saline)"),EXACT(metadata!K353,"Sediment (saline)")))</f>
        <v>0</v>
      </c>
      <c r="AW353" t="b">
        <f>IF(metadata!L353="",FALSE,TRUE)</f>
        <v>0</v>
      </c>
      <c r="AX353" t="b">
        <f>IF(metadata!M353="",FALSE,TRUE)</f>
        <v>0</v>
      </c>
      <c r="AY353" t="b">
        <f>IF(metadata!N353="",FALSE,TRUE)</f>
        <v>0</v>
      </c>
      <c r="AZ353" t="b">
        <f>OR(AND(IF(metadata!O353="",FALSE,TRUE),OR(EXACT(metadata!O353,"missing: not collected"),EXACT(metadata!O353,"missing: not provided"),EXACT(metadata!O353,"missing: restricted access"))),AND(IF(metadata!O353="",FALSE,TRUE),OR(EXACT(metadata!O353,"air"),EXACT(metadata!O353,"built environment"),EXACT(metadata!O353,"host-associated"),EXACT(metadata!O353,"human-associated"),EXACT(metadata!O353,"human-skin"),EXACT(metadata!O353,"human-oral"),EXACT(metadata!O353,"human-gut"),EXACT(metadata!O353,"human-vaginal"),EXACT(metadata!O353,"microbial mat/biofilm"),EXACT(metadata!O353,"misc environment"),EXACT(metadata!O353,"plant-associated"),EXACT(metadata!O353,"sediment"),EXACT(metadata!O353,"soil"),EXACT(metadata!O353,"wastewater/sludge"),EXACT(metadata!O353,"water"))))</f>
        <v>0</v>
      </c>
      <c r="BA353" t="b">
        <f>IF(metadata!P353="",FALSE,TRUE)</f>
        <v>0</v>
      </c>
      <c r="BB353" t="b">
        <f>IF(metadata!Q353="",FALSE,TRUE)</f>
        <v>0</v>
      </c>
      <c r="BC353" t="b">
        <f>OR(AND(IF(metadata!R353="",FALSE,TRUE),OR(EXACT(metadata!R353,"missing: not collected"),EXACT(metadata!R353,"missing: not provided"),EXACT(metadata!R353,"missing: restricted access"))),AND(IF(metadata!R353="",FALSE,ISNUMBER(VALUE(metadata!R353))),metadata!R353&gt;=-90,metadata!R353&lt;=90))</f>
        <v>0</v>
      </c>
      <c r="BD353" t="b">
        <f>AND(IF(metadata!S353="",FALSE,TRUE),EXACT(metadata!S353,"Decimal degrees"))</f>
        <v>0</v>
      </c>
      <c r="BE353" t="b">
        <f>OR(AND(IF(metadata!T353="",FALSE,TRUE),OR(EXACT(metadata!T353,"missing: not collected"),EXACT(metadata!T353,"missing: not provided"),EXACT(metadata!T353,"missing: restricted access"))),AND(IF(metadata!T353="",FALSE,ISNUMBER(VALUE(metadata!T353))),metadata!T353&gt;=-180,metadata!T353&lt;=180))</f>
        <v>0</v>
      </c>
      <c r="BF353" t="b">
        <f>AND(IF(metadata!U353="",FALSE,TRUE),EXACT(metadata!U353,"Decimal degrees"))</f>
        <v>0</v>
      </c>
      <c r="BG353" t="b">
        <f>IF(metadata!V353="",FALSE,TRUE)</f>
        <v>0</v>
      </c>
      <c r="BH353" t="b">
        <f>OR(AND(IF(metadata!W353="",FALSE,TRUE),OR(EXACT(metadata!W353,"missing: not collected"),EXACT(metadata!W353,"missing: not provided"),EXACT(metadata!W353,"missing: restricted access"))),AND(IF(metadata!W353="",FALSE,TRUE),OR(EXACT(metadata!W353,"TRUE"),EXACT(metadata!W353,"FALSE"))))</f>
        <v>0</v>
      </c>
      <c r="BI353" t="b">
        <f>AND(IF(metadata!X353="",FALSE,TRUE),EXACT(metadata!X353,"other"))</f>
        <v>0</v>
      </c>
      <c r="BJ353" t="b">
        <f>IF(metadata!Y353="",FALSE,TRUE)</f>
        <v>0</v>
      </c>
      <c r="BK353" t="b">
        <f>OR(AND(IF(metadata!Z353="",FALSE,TRUE),OR(EXACT(metadata!Z353,"missing: not collected"),EXACT(metadata!Z353,"missing: not provided"))),AND(IF(metadata!Z353="",FALSE,IF(ISERROR(INT(metadata!Z353)),FALSE,INT(metadata!Z353)=metadata!Z353)),metadata!Z353&gt;0))</f>
        <v>0</v>
      </c>
      <c r="BL353" t="b">
        <f>AND(IF(metadata!AA353="",FALSE,TRUE),EXACT(metadata!AA353,"Not applicable"))</f>
        <v>0</v>
      </c>
      <c r="BM353" t="b">
        <f>IF(metadata!AB353="",FALSE,TRUE)</f>
        <v>0</v>
      </c>
    </row>
    <row r="354" spans="1:65" x14ac:dyDescent="0.2">
      <c r="A354" s="5" t="str">
        <f ca="1">IF(B354=" "," ",HYPERLINK(CONCATENATE("#metadata!",ADDRESS(INDEX($AH$2:$AH$1001,MATCH(ROWS($AF$2:AF354),$AF$2:$AF$1001,0),0),1)),INDEX($AK$2:$AK$1001,MATCH(ROWS($AF$2:AF354),$AF$2:$AF$1001,0),0)))</f>
        <v xml:space="preserve"> </v>
      </c>
      <c r="B354" s="4" t="str">
        <f ca="1">IF(OR(INDEX($AG$2:$AG$1001,MATCH(ROWS($AF$2:AF354),$AF$2:$AF$1001,0),1)&gt;=100000,INDEX($AM$1005:$BM$1005,1,MATCH(COLUMNS($AM$1006:AM1006),$AM$1006:$BM$1006,0))&gt;=100000), " ",IF(INDEX($AM$2:$BM$1001,MATCH(ROWS($AF$2:AF354),$AF$2:$AF$1001,0),MATCH(COLUMNS($AM$1006:AM1006),$AM$1006:$BM$1006,0)), HYPERLINK("#",""), HYPERLINK(CONCATENATE("#metadata!", ADDRESS(INDEX($AH$2:$AH$1001,MATCH(ROWS($AF$2:AF354),$AF$2:$AF$1001,0),0), INDEX($AM$1004:$BM$1004,1,MATCH(COLUMNS($AM$1006:AM1006),$AM$1006:$BM$1006,0)))),"Fix")))</f>
        <v xml:space="preserve"> </v>
      </c>
      <c r="C354" s="4" t="str">
        <f ca="1">IF(OR(INDEX($AG$2:$AG$1001,MATCH(ROWS($AF$2:AF354),$AF$2:$AF$1001,0),1)&gt;=100000,INDEX($AM$1005:$BM$1005,1,MATCH(COLUMNS($AM$1006:AN1006),$AM$1006:$BM$1006,0))&gt;=100000), " ",IF(INDEX($AM$2:$BM$1001,MATCH(ROWS($AF$2:AF354),$AF$2:$AF$1001,0),MATCH(COLUMNS($AM$1006:AN1006),$AM$1006:$BM$1006,0)), HYPERLINK("#",""), HYPERLINK(CONCATENATE("#metadata!", ADDRESS(INDEX($AH$2:$AH$1001,MATCH(ROWS($AF$2:AF354),$AF$2:$AF$1001,0),0), INDEX($AM$1004:$BM$1004,1,MATCH(COLUMNS($AM$1006:AN1006),$AM$1006:$BM$1006,0)))),"Fix")))</f>
        <v xml:space="preserve"> </v>
      </c>
      <c r="D354" s="4" t="str">
        <f ca="1">IF(OR(INDEX($AG$2:$AG$1001,MATCH(ROWS($AF$2:AF354),$AF$2:$AF$1001,0),1)&gt;=100000,INDEX($AM$1005:$BM$1005,1,MATCH(COLUMNS($AM$1006:AO1006),$AM$1006:$BM$1006,0))&gt;=100000), " ",IF(INDEX($AM$2:$BM$1001,MATCH(ROWS($AF$2:AF354),$AF$2:$AF$1001,0),MATCH(COLUMNS($AM$1006:AO1006),$AM$1006:$BM$1006,0)), HYPERLINK("#",""), HYPERLINK(CONCATENATE("#metadata!", ADDRESS(INDEX($AH$2:$AH$1001,MATCH(ROWS($AF$2:AF354),$AF$2:$AF$1001,0),0), INDEX($AM$1004:$BM$1004,1,MATCH(COLUMNS($AM$1006:AO1006),$AM$1006:$BM$1006,0)))),"Fix")))</f>
        <v xml:space="preserve"> </v>
      </c>
      <c r="E354" s="4" t="str">
        <f ca="1">IF(OR(INDEX($AG$2:$AG$1001,MATCH(ROWS($AF$2:AF354),$AF$2:$AF$1001,0),1)&gt;=100000,INDEX($AM$1005:$BM$1005,1,MATCH(COLUMNS($AM$1006:AP1006),$AM$1006:$BM$1006,0))&gt;=100000), " ",IF(INDEX($AM$2:$BM$1001,MATCH(ROWS($AF$2:AF354),$AF$2:$AF$1001,0),MATCH(COLUMNS($AM$1006:AP1006),$AM$1006:$BM$1006,0)), HYPERLINK("#",""), HYPERLINK(CONCATENATE("#metadata!", ADDRESS(INDEX($AH$2:$AH$1001,MATCH(ROWS($AF$2:AF354),$AF$2:$AF$1001,0),0), INDEX($AM$1004:$BM$1004,1,MATCH(COLUMNS($AM$1006:AP1006),$AM$1006:$BM$1006,0)))),"Fix")))</f>
        <v xml:space="preserve"> </v>
      </c>
      <c r="F354" s="4" t="str">
        <f ca="1">IF(OR(INDEX($AG$2:$AG$1001,MATCH(ROWS($AF$2:AF354),$AF$2:$AF$1001,0),1)&gt;=100000,INDEX($AM$1005:$BM$1005,1,MATCH(COLUMNS($AM$1006:AQ1006),$AM$1006:$BM$1006,0))&gt;=100000), " ",IF(INDEX($AM$2:$BM$1001,MATCH(ROWS($AF$2:AF354),$AF$2:$AF$1001,0),MATCH(COLUMNS($AM$1006:AQ1006),$AM$1006:$BM$1006,0)), HYPERLINK("#",""), HYPERLINK(CONCATENATE("#metadata!", ADDRESS(INDEX($AH$2:$AH$1001,MATCH(ROWS($AF$2:AF354),$AF$2:$AF$1001,0),0), INDEX($AM$1004:$BM$1004,1,MATCH(COLUMNS($AM$1006:AQ1006),$AM$1006:$BM$1006,0)))),"Fix")))</f>
        <v xml:space="preserve"> </v>
      </c>
      <c r="G354" s="4" t="str">
        <f ca="1">IF(OR(INDEX($AG$2:$AG$1001,MATCH(ROWS($AF$2:AF354),$AF$2:$AF$1001,0),1)&gt;=100000,INDEX($AM$1005:$BM$1005,1,MATCH(COLUMNS($AM$1006:AR1006),$AM$1006:$BM$1006,0))&gt;=100000), " ",IF(INDEX($AM$2:$BM$1001,MATCH(ROWS($AF$2:AF354),$AF$2:$AF$1001,0),MATCH(COLUMNS($AM$1006:AR1006),$AM$1006:$BM$1006,0)), HYPERLINK("#",""), HYPERLINK(CONCATENATE("#metadata!", ADDRESS(INDEX($AH$2:$AH$1001,MATCH(ROWS($AF$2:AF354),$AF$2:$AF$1001,0),0), INDEX($AM$1004:$BM$1004,1,MATCH(COLUMNS($AM$1006:AR1006),$AM$1006:$BM$1006,0)))),"Fix")))</f>
        <v xml:space="preserve"> </v>
      </c>
      <c r="H354" s="4" t="str">
        <f ca="1">IF(OR(INDEX($AG$2:$AG$1001,MATCH(ROWS($AF$2:AF354),$AF$2:$AF$1001,0),1)&gt;=100000,INDEX($AM$1005:$BM$1005,1,MATCH(COLUMNS($AM$1006:AS1006),$AM$1006:$BM$1006,0))&gt;=100000), " ",IF(INDEX($AM$2:$BM$1001,MATCH(ROWS($AF$2:AF354),$AF$2:$AF$1001,0),MATCH(COLUMNS($AM$1006:AS1006),$AM$1006:$BM$1006,0)), HYPERLINK("#",""), HYPERLINK(CONCATENATE("#metadata!", ADDRESS(INDEX($AH$2:$AH$1001,MATCH(ROWS($AF$2:AF354),$AF$2:$AF$1001,0),0), INDEX($AM$1004:$BM$1004,1,MATCH(COLUMNS($AM$1006:AS1006),$AM$1006:$BM$1006,0)))),"Fix")))</f>
        <v xml:space="preserve"> </v>
      </c>
      <c r="I354" s="4" t="str">
        <f ca="1">IF(OR(INDEX($AG$2:$AG$1001,MATCH(ROWS($AF$2:AF354),$AF$2:$AF$1001,0),1)&gt;=100000,INDEX($AM$1005:$BM$1005,1,MATCH(COLUMNS($AM$1006:AT1006),$AM$1006:$BM$1006,0))&gt;=100000), " ",IF(INDEX($AM$2:$BM$1001,MATCH(ROWS($AF$2:AF354),$AF$2:$AF$1001,0),MATCH(COLUMNS($AM$1006:AT1006),$AM$1006:$BM$1006,0)), HYPERLINK("#",""), HYPERLINK(CONCATENATE("#metadata!", ADDRESS(INDEX($AH$2:$AH$1001,MATCH(ROWS($AF$2:AF354),$AF$2:$AF$1001,0),0), INDEX($AM$1004:$BM$1004,1,MATCH(COLUMNS($AM$1006:AT1006),$AM$1006:$BM$1006,0)))),"Fix")))</f>
        <v xml:space="preserve"> </v>
      </c>
      <c r="J354" s="4" t="str">
        <f ca="1">IF(OR(INDEX($AG$2:$AG$1001,MATCH(ROWS($AF$2:AF354),$AF$2:$AF$1001,0),1)&gt;=100000,INDEX($AM$1005:$BM$1005,1,MATCH(COLUMNS($AM$1006:AU1006),$AM$1006:$BM$1006,0))&gt;=100000), " ",IF(INDEX($AM$2:$BM$1001,MATCH(ROWS($AF$2:AF354),$AF$2:$AF$1001,0),MATCH(COLUMNS($AM$1006:AU1006),$AM$1006:$BM$1006,0)), HYPERLINK("#",""), HYPERLINK(CONCATENATE("#metadata!", ADDRESS(INDEX($AH$2:$AH$1001,MATCH(ROWS($AF$2:AF354),$AF$2:$AF$1001,0),0), INDEX($AM$1004:$BM$1004,1,MATCH(COLUMNS($AM$1006:AU1006),$AM$1006:$BM$1006,0)))),"Fix")))</f>
        <v xml:space="preserve"> </v>
      </c>
      <c r="K354" s="4" t="str">
        <f ca="1">IF(OR(INDEX($AG$2:$AG$1001,MATCH(ROWS($AF$2:AF354),$AF$2:$AF$1001,0),1)&gt;=100000,INDEX($AM$1005:$BM$1005,1,MATCH(COLUMNS($AM$1006:AV1006),$AM$1006:$BM$1006,0))&gt;=100000), " ",IF(INDEX($AM$2:$BM$1001,MATCH(ROWS($AF$2:AF354),$AF$2:$AF$1001,0),MATCH(COLUMNS($AM$1006:AV1006),$AM$1006:$BM$1006,0)), HYPERLINK("#",""), HYPERLINK(CONCATENATE("#metadata!", ADDRESS(INDEX($AH$2:$AH$1001,MATCH(ROWS($AF$2:AF354),$AF$2:$AF$1001,0),0), INDEX($AM$1004:$BM$1004,1,MATCH(COLUMNS($AM$1006:AV1006),$AM$1006:$BM$1006,0)))),"Fix")))</f>
        <v xml:space="preserve"> </v>
      </c>
      <c r="L354" s="4" t="str">
        <f ca="1">IF(OR(INDEX($AG$2:$AG$1001,MATCH(ROWS($AF$2:AF354),$AF$2:$AF$1001,0),1)&gt;=100000,INDEX($AM$1005:$BM$1005,1,MATCH(COLUMNS($AM$1006:AW1006),$AM$1006:$BM$1006,0))&gt;=100000), " ",IF(INDEX($AM$2:$BM$1001,MATCH(ROWS($AF$2:AF354),$AF$2:$AF$1001,0),MATCH(COLUMNS($AM$1006:AW1006),$AM$1006:$BM$1006,0)), HYPERLINK("#",""), HYPERLINK(CONCATENATE("#metadata!", ADDRESS(INDEX($AH$2:$AH$1001,MATCH(ROWS($AF$2:AF354),$AF$2:$AF$1001,0),0), INDEX($AM$1004:$BM$1004,1,MATCH(COLUMNS($AM$1006:AW1006),$AM$1006:$BM$1006,0)))),"Fix")))</f>
        <v xml:space="preserve"> </v>
      </c>
      <c r="M354" s="4" t="str">
        <f ca="1">IF(OR(INDEX($AG$2:$AG$1001,MATCH(ROWS($AF$2:AF354),$AF$2:$AF$1001,0),1)&gt;=100000,INDEX($AM$1005:$BM$1005,1,MATCH(COLUMNS($AM$1006:AX1006),$AM$1006:$BM$1006,0))&gt;=100000), " ",IF(INDEX($AM$2:$BM$1001,MATCH(ROWS($AF$2:AF354),$AF$2:$AF$1001,0),MATCH(COLUMNS($AM$1006:AX1006),$AM$1006:$BM$1006,0)), HYPERLINK("#",""), HYPERLINK(CONCATENATE("#metadata!", ADDRESS(INDEX($AH$2:$AH$1001,MATCH(ROWS($AF$2:AF354),$AF$2:$AF$1001,0),0), INDEX($AM$1004:$BM$1004,1,MATCH(COLUMNS($AM$1006:AX1006),$AM$1006:$BM$1006,0)))),"Fix")))</f>
        <v xml:space="preserve"> </v>
      </c>
      <c r="N354" s="4" t="str">
        <f ca="1">IF(OR(INDEX($AG$2:$AG$1001,MATCH(ROWS($AF$2:AF354),$AF$2:$AF$1001,0),1)&gt;=100000,INDEX($AM$1005:$BM$1005,1,MATCH(COLUMNS($AM$1006:AY1006),$AM$1006:$BM$1006,0))&gt;=100000), " ",IF(INDEX($AM$2:$BM$1001,MATCH(ROWS($AF$2:AF354),$AF$2:$AF$1001,0),MATCH(COLUMNS($AM$1006:AY1006),$AM$1006:$BM$1006,0)), HYPERLINK("#",""), HYPERLINK(CONCATENATE("#metadata!", ADDRESS(INDEX($AH$2:$AH$1001,MATCH(ROWS($AF$2:AF354),$AF$2:$AF$1001,0),0), INDEX($AM$1004:$BM$1004,1,MATCH(COLUMNS($AM$1006:AY1006),$AM$1006:$BM$1006,0)))),"Fix")))</f>
        <v xml:space="preserve"> </v>
      </c>
      <c r="O354" s="4" t="str">
        <f ca="1">IF(OR(INDEX($AG$2:$AG$1001,MATCH(ROWS($AF$2:AF354),$AF$2:$AF$1001,0),1)&gt;=100000,INDEX($AM$1005:$BM$1005,1,MATCH(COLUMNS($AM$1006:AZ1006),$AM$1006:$BM$1006,0))&gt;=100000), " ",IF(INDEX($AM$2:$BM$1001,MATCH(ROWS($AF$2:AF354),$AF$2:$AF$1001,0),MATCH(COLUMNS($AM$1006:AZ1006),$AM$1006:$BM$1006,0)), HYPERLINK("#",""), HYPERLINK(CONCATENATE("#metadata!", ADDRESS(INDEX($AH$2:$AH$1001,MATCH(ROWS($AF$2:AF354),$AF$2:$AF$1001,0),0), INDEX($AM$1004:$BM$1004,1,MATCH(COLUMNS($AM$1006:AZ1006),$AM$1006:$BM$1006,0)))),"Fix")))</f>
        <v xml:space="preserve"> </v>
      </c>
      <c r="P354" s="4" t="str">
        <f ca="1">IF(OR(INDEX($AG$2:$AG$1001,MATCH(ROWS($AF$2:AF354),$AF$2:$AF$1001,0),1)&gt;=100000,INDEX($AM$1005:$BM$1005,1,MATCH(COLUMNS($AM$1006:BA1006),$AM$1006:$BM$1006,0))&gt;=100000), " ",IF(INDEX($AM$2:$BM$1001,MATCH(ROWS($AF$2:AF354),$AF$2:$AF$1001,0),MATCH(COLUMNS($AM$1006:BA1006),$AM$1006:$BM$1006,0)), HYPERLINK("#",""), HYPERLINK(CONCATENATE("#metadata!", ADDRESS(INDEX($AH$2:$AH$1001,MATCH(ROWS($AF$2:AF354),$AF$2:$AF$1001,0),0), INDEX($AM$1004:$BM$1004,1,MATCH(COLUMNS($AM$1006:BA1006),$AM$1006:$BM$1006,0)))),"Fix")))</f>
        <v xml:space="preserve"> </v>
      </c>
      <c r="Q354" s="4" t="str">
        <f ca="1">IF(OR(INDEX($AG$2:$AG$1001,MATCH(ROWS($AF$2:AF354),$AF$2:$AF$1001,0),1)&gt;=100000,INDEX($AM$1005:$BM$1005,1,MATCH(COLUMNS($AM$1006:BB1006),$AM$1006:$BM$1006,0))&gt;=100000), " ",IF(INDEX($AM$2:$BM$1001,MATCH(ROWS($AF$2:AF354),$AF$2:$AF$1001,0),MATCH(COLUMNS($AM$1006:BB1006),$AM$1006:$BM$1006,0)), HYPERLINK("#",""), HYPERLINK(CONCATENATE("#metadata!", ADDRESS(INDEX($AH$2:$AH$1001,MATCH(ROWS($AF$2:AF354),$AF$2:$AF$1001,0),0), INDEX($AM$1004:$BM$1004,1,MATCH(COLUMNS($AM$1006:BB1006),$AM$1006:$BM$1006,0)))),"Fix")))</f>
        <v xml:space="preserve"> </v>
      </c>
      <c r="R354" s="4" t="str">
        <f ca="1">IF(OR(INDEX($AG$2:$AG$1001,MATCH(ROWS($AF$2:AF354),$AF$2:$AF$1001,0),1)&gt;=100000,INDEX($AM$1005:$BM$1005,1,MATCH(COLUMNS($AM$1006:BC1006),$AM$1006:$BM$1006,0))&gt;=100000), " ",IF(INDEX($AM$2:$BM$1001,MATCH(ROWS($AF$2:AF354),$AF$2:$AF$1001,0),MATCH(COLUMNS($AM$1006:BC1006),$AM$1006:$BM$1006,0)), HYPERLINK("#",""), HYPERLINK(CONCATENATE("#metadata!", ADDRESS(INDEX($AH$2:$AH$1001,MATCH(ROWS($AF$2:AF354),$AF$2:$AF$1001,0),0), INDEX($AM$1004:$BM$1004,1,MATCH(COLUMNS($AM$1006:BC1006),$AM$1006:$BM$1006,0)))),"Fix")))</f>
        <v xml:space="preserve"> </v>
      </c>
      <c r="S354" s="4" t="str">
        <f ca="1">IF(OR(INDEX($AG$2:$AG$1001,MATCH(ROWS($AF$2:AF354),$AF$2:$AF$1001,0),1)&gt;=100000,INDEX($AM$1005:$BM$1005,1,MATCH(COLUMNS($AM$1006:BD1006),$AM$1006:$BM$1006,0))&gt;=100000), " ",IF(INDEX($AM$2:$BM$1001,MATCH(ROWS($AF$2:AF354),$AF$2:$AF$1001,0),MATCH(COLUMNS($AM$1006:BD1006),$AM$1006:$BM$1006,0)), HYPERLINK("#",""), HYPERLINK(CONCATENATE("#metadata!", ADDRESS(INDEX($AH$2:$AH$1001,MATCH(ROWS($AF$2:AF354),$AF$2:$AF$1001,0),0), INDEX($AM$1004:$BM$1004,1,MATCH(COLUMNS($AM$1006:BD1006),$AM$1006:$BM$1006,0)))),"Fix")))</f>
        <v xml:space="preserve"> </v>
      </c>
      <c r="T354" s="4" t="str">
        <f ca="1">IF(OR(INDEX($AG$2:$AG$1001,MATCH(ROWS($AF$2:AF354),$AF$2:$AF$1001,0),1)&gt;=100000,INDEX($AM$1005:$BM$1005,1,MATCH(COLUMNS($AM$1006:BE1006),$AM$1006:$BM$1006,0))&gt;=100000), " ",IF(INDEX($AM$2:$BM$1001,MATCH(ROWS($AF$2:AF354),$AF$2:$AF$1001,0),MATCH(COLUMNS($AM$1006:BE1006),$AM$1006:$BM$1006,0)), HYPERLINK("#",""), HYPERLINK(CONCATENATE("#metadata!", ADDRESS(INDEX($AH$2:$AH$1001,MATCH(ROWS($AF$2:AF354),$AF$2:$AF$1001,0),0), INDEX($AM$1004:$BM$1004,1,MATCH(COLUMNS($AM$1006:BE1006),$AM$1006:$BM$1006,0)))),"Fix")))</f>
        <v xml:space="preserve"> </v>
      </c>
      <c r="U354" s="4" t="str">
        <f ca="1">IF(OR(INDEX($AG$2:$AG$1001,MATCH(ROWS($AF$2:AF354),$AF$2:$AF$1001,0),1)&gt;=100000,INDEX($AM$1005:$BM$1005,1,MATCH(COLUMNS($AM$1006:BF1006),$AM$1006:$BM$1006,0))&gt;=100000), " ",IF(INDEX($AM$2:$BM$1001,MATCH(ROWS($AF$2:AF354),$AF$2:$AF$1001,0),MATCH(COLUMNS($AM$1006:BF1006),$AM$1006:$BM$1006,0)), HYPERLINK("#",""), HYPERLINK(CONCATENATE("#metadata!", ADDRESS(INDEX($AH$2:$AH$1001,MATCH(ROWS($AF$2:AF354),$AF$2:$AF$1001,0),0), INDEX($AM$1004:$BM$1004,1,MATCH(COLUMNS($AM$1006:BF1006),$AM$1006:$BM$1006,0)))),"Fix")))</f>
        <v xml:space="preserve"> </v>
      </c>
      <c r="V354" s="4" t="str">
        <f ca="1">IF(OR(INDEX($AG$2:$AG$1001,MATCH(ROWS($AF$2:AF354),$AF$2:$AF$1001,0),1)&gt;=100000,INDEX($AM$1005:$BM$1005,1,MATCH(COLUMNS($AM$1006:BG1006),$AM$1006:$BM$1006,0))&gt;=100000), " ",IF(INDEX($AM$2:$BM$1001,MATCH(ROWS($AF$2:AF354),$AF$2:$AF$1001,0),MATCH(COLUMNS($AM$1006:BG1006),$AM$1006:$BM$1006,0)), HYPERLINK("#",""), HYPERLINK(CONCATENATE("#metadata!", ADDRESS(INDEX($AH$2:$AH$1001,MATCH(ROWS($AF$2:AF354),$AF$2:$AF$1001,0),0), INDEX($AM$1004:$BM$1004,1,MATCH(COLUMNS($AM$1006:BG1006),$AM$1006:$BM$1006,0)))),"Fix")))</f>
        <v xml:space="preserve"> </v>
      </c>
      <c r="W354" s="4" t="str">
        <f ca="1">IF(OR(INDEX($AG$2:$AG$1001,MATCH(ROWS($AF$2:AF354),$AF$2:$AF$1001,0),1)&gt;=100000,INDEX($AM$1005:$BM$1005,1,MATCH(COLUMNS($AM$1006:BH1006),$AM$1006:$BM$1006,0))&gt;=100000), " ",IF(INDEX($AM$2:$BM$1001,MATCH(ROWS($AF$2:AF354),$AF$2:$AF$1001,0),MATCH(COLUMNS($AM$1006:BH1006),$AM$1006:$BM$1006,0)), HYPERLINK("#",""), HYPERLINK(CONCATENATE("#metadata!", ADDRESS(INDEX($AH$2:$AH$1001,MATCH(ROWS($AF$2:AF354),$AF$2:$AF$1001,0),0), INDEX($AM$1004:$BM$1004,1,MATCH(COLUMNS($AM$1006:BH1006),$AM$1006:$BM$1006,0)))),"Fix")))</f>
        <v xml:space="preserve"> </v>
      </c>
      <c r="X354" s="4" t="str">
        <f ca="1">IF(OR(INDEX($AG$2:$AG$1001,MATCH(ROWS($AF$2:AF354),$AF$2:$AF$1001,0),1)&gt;=100000,INDEX($AM$1005:$BM$1005,1,MATCH(COLUMNS($AM$1006:BI1006),$AM$1006:$BM$1006,0))&gt;=100000), " ",IF(INDEX($AM$2:$BM$1001,MATCH(ROWS($AF$2:AF354),$AF$2:$AF$1001,0),MATCH(COLUMNS($AM$1006:BI1006),$AM$1006:$BM$1006,0)), HYPERLINK("#",""), HYPERLINK(CONCATENATE("#metadata!", ADDRESS(INDEX($AH$2:$AH$1001,MATCH(ROWS($AF$2:AF354),$AF$2:$AF$1001,0),0), INDEX($AM$1004:$BM$1004,1,MATCH(COLUMNS($AM$1006:BI1006),$AM$1006:$BM$1006,0)))),"Fix")))</f>
        <v xml:space="preserve"> </v>
      </c>
      <c r="Y354" s="4" t="str">
        <f ca="1">IF(OR(INDEX($AG$2:$AG$1001,MATCH(ROWS($AF$2:AF354),$AF$2:$AF$1001,0),1)&gt;=100000,INDEX($AM$1005:$BM$1005,1,MATCH(COLUMNS($AM$1006:BJ1006),$AM$1006:$BM$1006,0))&gt;=100000), " ",IF(INDEX($AM$2:$BM$1001,MATCH(ROWS($AF$2:AF354),$AF$2:$AF$1001,0),MATCH(COLUMNS($AM$1006:BJ1006),$AM$1006:$BM$1006,0)), HYPERLINK("#",""), HYPERLINK(CONCATENATE("#metadata!", ADDRESS(INDEX($AH$2:$AH$1001,MATCH(ROWS($AF$2:AF354),$AF$2:$AF$1001,0),0), INDEX($AM$1004:$BM$1004,1,MATCH(COLUMNS($AM$1006:BJ1006),$AM$1006:$BM$1006,0)))),"Fix")))</f>
        <v xml:space="preserve"> </v>
      </c>
      <c r="Z354" s="4" t="str">
        <f ca="1">IF(OR(INDEX($AG$2:$AG$1001,MATCH(ROWS($AF$2:AF354),$AF$2:$AF$1001,0),1)&gt;=100000,INDEX($AM$1005:$BM$1005,1,MATCH(COLUMNS($AM$1006:BK1006),$AM$1006:$BM$1006,0))&gt;=100000), " ",IF(INDEX($AM$2:$BM$1001,MATCH(ROWS($AF$2:AF354),$AF$2:$AF$1001,0),MATCH(COLUMNS($AM$1006:BK1006),$AM$1006:$BM$1006,0)), HYPERLINK("#",""), HYPERLINK(CONCATENATE("#metadata!", ADDRESS(INDEX($AH$2:$AH$1001,MATCH(ROWS($AF$2:AF354),$AF$2:$AF$1001,0),0), INDEX($AM$1004:$BM$1004,1,MATCH(COLUMNS($AM$1006:BK1006),$AM$1006:$BM$1006,0)))),"Fix")))</f>
        <v xml:space="preserve"> </v>
      </c>
      <c r="AA354" s="4" t="str">
        <f ca="1">IF(OR(INDEX($AG$2:$AG$1001,MATCH(ROWS($AF$2:AF354),$AF$2:$AF$1001,0),1)&gt;=100000,INDEX($AM$1005:$BM$1005,1,MATCH(COLUMNS($AM$1006:BL1006),$AM$1006:$BM$1006,0))&gt;=100000), " ",IF(INDEX($AM$2:$BM$1001,MATCH(ROWS($AF$2:AF354),$AF$2:$AF$1001,0),MATCH(COLUMNS($AM$1006:BL1006),$AM$1006:$BM$1006,0)), HYPERLINK("#",""), HYPERLINK(CONCATENATE("#metadata!", ADDRESS(INDEX($AH$2:$AH$1001,MATCH(ROWS($AF$2:AF354),$AF$2:$AF$1001,0),0), INDEX($AM$1004:$BM$1004,1,MATCH(COLUMNS($AM$1006:BL1006),$AM$1006:$BM$1006,0)))),"Fix")))</f>
        <v xml:space="preserve"> </v>
      </c>
      <c r="AB354" s="4" t="str">
        <f ca="1">IF(OR(INDEX($AG$2:$AG$1001,MATCH(ROWS($AF$2:AF354),$AF$2:$AF$1001,0),1)&gt;=100000,INDEX($AM$1005:$BM$1005,1,MATCH(COLUMNS($AM$1006:BM1006),$AM$1006:$BM$1006,0))&gt;=100000), " ",IF(INDEX($AM$2:$BM$1001,MATCH(ROWS($AF$2:AF354),$AF$2:$AF$1001,0),MATCH(COLUMNS($AM$1006:BM1006),$AM$1006:$BM$1006,0)), HYPERLINK("#",""), HYPERLINK(CONCATENATE("#metadata!", ADDRESS(INDEX($AH$2:$AH$1001,MATCH(ROWS($AF$2:AF354),$AF$2:$AF$1001,0),0), INDEX($AM$1004:$BM$1004,1,MATCH(COLUMNS($AM$1006:BM1006),$AM$1006:$BM$1006,0)))),"Fix")))</f>
        <v xml:space="preserve"> </v>
      </c>
      <c r="AF354">
        <v>353</v>
      </c>
      <c r="AG354">
        <v>100354</v>
      </c>
      <c r="AH354">
        <v>354</v>
      </c>
      <c r="AI354" t="b">
        <f t="shared" si="5"/>
        <v>1</v>
      </c>
      <c r="AJ354" t="b">
        <f>COUNTBLANK(metadata!B354:AB354)=COLUMNS(metadata!B354:AB354)</f>
        <v>1</v>
      </c>
      <c r="AK354" t="str">
        <v/>
      </c>
      <c r="AM354" t="b">
        <f ca="1">AND(IF(metadata!B354="",FALSE,TRUE),COUNTIF(metadata!B:B, metadata!B354) = 1,NOT(ISERROR(SUMPRODUCT(SEARCH(MID(metadata!B354,ROW(INDIRECT("1:"&amp;LEN(metadata!B354))), 1),"0123456789abcdefghijklmnopqrstuvwxyzABCDEFGHIJKLMNOPQRSTUVWXYZ.")))))</f>
        <v>0</v>
      </c>
      <c r="AN354" t="b">
        <f ca="1">OR(AND(IF(metadata!C354="",FALSE,TRUE),OR(EXACT(metadata!C354,"missing: not collected"),EXACT(metadata!C354,"missing: not provided"),EXACT(metadata!C354,"missing: restricted access"))),AND(IF(metadata!C354="",FALSE,TRUE),AND(AND(IFERROR(INT(LEFT(metadata!C354,4))&gt;1900,FALSE),IFERROR(INT(LEFT(metadata!C354,4))&lt;=YEAR(NOW()),FALSE)), OR(MID(metadata!C354,5,1)="", AND(AND(MID(metadata!C354,5,1)="-",IFERROR(INT(MID(metadata!C354,6,1))&gt;=0,FALSE),IFERROR(INT(MID(metadata!C354,6,1))&lt;=1,FALSE),NOT(MID(metadata!C354,7,1)=""),IFERROR(INT(MID(metadata!C354,6,2))&gt;=1,FALSE),IFERROR(INT(MID(metadata!C354,6,2))&lt;=12,FALSE)), OR(MID(metadata!C354,8,1)="", AND(AND(MID(metadata!C354,8,1)="-",IFERROR(INT(MID(metadata!C354,9,1))&gt;=0,FALSE),IFERROR(INT(MID(metadata!C354,9,1))&lt;=3,FALSE),NOT(MID(metadata!C354,10,1)=""),IFERROR(INT(MID(metadata!C354,9,2))&gt;=1,FALSE),IFERROR(INT(MID(metadata!C354,9,2))&lt;=31,FALSE)), OR(MID(metadata!C354,11,1)="", AND(AND(MID(metadata!C354,11,1)=" ",IFERROR(INT(MID(metadata!C354,12,1))&gt;=0,FALSE),IFERROR(INT(MID(metadata!C354,12,1))&lt;=2,FALSE),NOT(MID(metadata!C354,13,1)=""),IFERROR(INT(MID(metadata!C354,12,2))&gt;=0,FALSE),IFERROR(INT(MID(metadata!C354,12,2))&lt;=23,FALSE)), OR(MID(metadata!C354,14,1)="", AND(AND(MID(metadata!C354,14,1)=":",IFERROR(INT(MID(metadata!C354,15,1))&gt;=0,FALSE),IFERROR(INT(MID(metadata!C354,15,1))&lt;=5,FALSE),NOT(MID(metadata!C354,16,1)=""),IFERROR(INT(MID(metadata!C354,15,2))&gt;=0,FALSE),IFERROR(INT(MID(metadata!C354,15,2))&lt;=59,FALSE)), OR(MID(metadata!C354,17,1)="", AND(AND(MID(metadata!C354,17,1)=":",IFERROR(INT(MID(metadata!C354,18,1))&gt;=0,FALSE),IFERROR(INT(MID(metadata!C354,18,1))&lt;=5,FALSE),NOT(MID(metadata!C354,19,1)=""),IFERROR(INT(MID(metadata!C354,18,2))&gt;=0,FALSE),IFERROR(INT(MID(metadata!C354,18,2))&lt;=59,FALSE)), LEN(metadata!C354)&lt;=19)))))))))))))</f>
        <v>0</v>
      </c>
      <c r="AO354" t="b">
        <f>AND(IF(metadata!D354="",FALSE,TRUE),EXACT(metadata!D354,"Not applicable"))</f>
        <v>0</v>
      </c>
      <c r="AP354" t="b">
        <f>IF(metadata!E354="",FALSE,TRUE)</f>
        <v>0</v>
      </c>
      <c r="AQ354" t="b">
        <f>OR(AND(IF(metadata!F354="",FALSE,TRUE),OR(EXACT(metadata!F354,"missing: not collected"),EXACT(metadata!F354,"missing: not provided"))),AND(IF(metadata!F354="",FALSE,TRUE),OR(EXACT(metadata!F354,"TRUE"),EXACT(metadata!F354,"FALSE"))))</f>
        <v>0</v>
      </c>
      <c r="AR354" t="b">
        <f>OR(AND(IF(metadata!G354="",FALSE,TRUE),OR(EXACT(metadata!G354,"missing: not collected"),EXACT(metadata!G354,"missing: not provided"),EXACT(metadata!G354,"missing: restricted access"))),AND(IF(metadata!G354="",FALSE,ISNUMBER(VALUE(metadata!G354))),metadata!G354&gt;=-413))</f>
        <v>0</v>
      </c>
      <c r="AS354" t="b">
        <f>AND(IF(metadata!H354="",FALSE,TRUE),EXACT(metadata!H354,"meters"))</f>
        <v>0</v>
      </c>
      <c r="AT354" t="b">
        <f>AND(IF(metadata!I354="",FALSE,TRUE),OR(EXACT(metadata!I354,"Host-associated"),EXACT(metadata!I354,"Free-living")))</f>
        <v>0</v>
      </c>
      <c r="AU354" t="b">
        <f>AND(IF(metadata!J354="",FALSE,TRUE),OR(EXACT(metadata!J354,"Animal"),EXACT(metadata!J354,"Fungus"),EXACT(metadata!J354,"Plant"),EXACT(metadata!J354,"Saline"),EXACT(metadata!J354,"Non-saline")))</f>
        <v>0</v>
      </c>
      <c r="AV354" t="b">
        <f>AND(IF(metadata!K354="",FALSE,TRUE),OR(EXACT(metadata!K354,"Plant secretion"),EXACT(metadata!K354,"Plant rhizosphere"),EXACT(metadata!K354,"Plant surface"),EXACT(metadata!K354,"Plant corpus"),EXACT(metadata!K354,"Fungus surface"),EXACT(metadata!K354,"Fungus corpus"),EXACT(metadata!K354,"Animal surface"),EXACT(metadata!K354,"Animal proximal gut"),EXACT(metadata!K354,"Animal corpus"),EXACT(metadata!K354,"Animal distal gut"),EXACT(metadata!K354,"Animal secretion"),EXACT(metadata!K354,"Sub-surface (non-saline)"),EXACT(metadata!K354,"Surface (non-saline)"),EXACT(metadata!K354,"Water (non-saline)"),EXACT(metadata!K354,"Soil (non-saline)"),EXACT(metadata!K354,"Aerosol (non-saline)"),EXACT(metadata!K354,"Sediment (non-saline)"),EXACT(metadata!K354,"Surface (saline)"),EXACT(metadata!K354,"Water (saline)"),EXACT(metadata!K354,"Hypersaline (saline)"),EXACT(metadata!K354,"Aerosol (saline)"),EXACT(metadata!K354,"Sediment (saline)")))</f>
        <v>0</v>
      </c>
      <c r="AW354" t="b">
        <f>IF(metadata!L354="",FALSE,TRUE)</f>
        <v>0</v>
      </c>
      <c r="AX354" t="b">
        <f>IF(metadata!M354="",FALSE,TRUE)</f>
        <v>0</v>
      </c>
      <c r="AY354" t="b">
        <f>IF(metadata!N354="",FALSE,TRUE)</f>
        <v>0</v>
      </c>
      <c r="AZ354" t="b">
        <f>OR(AND(IF(metadata!O354="",FALSE,TRUE),OR(EXACT(metadata!O354,"missing: not collected"),EXACT(metadata!O354,"missing: not provided"),EXACT(metadata!O354,"missing: restricted access"))),AND(IF(metadata!O354="",FALSE,TRUE),OR(EXACT(metadata!O354,"air"),EXACT(metadata!O354,"built environment"),EXACT(metadata!O354,"host-associated"),EXACT(metadata!O354,"human-associated"),EXACT(metadata!O354,"human-skin"),EXACT(metadata!O354,"human-oral"),EXACT(metadata!O354,"human-gut"),EXACT(metadata!O354,"human-vaginal"),EXACT(metadata!O354,"microbial mat/biofilm"),EXACT(metadata!O354,"misc environment"),EXACT(metadata!O354,"plant-associated"),EXACT(metadata!O354,"sediment"),EXACT(metadata!O354,"soil"),EXACT(metadata!O354,"wastewater/sludge"),EXACT(metadata!O354,"water"))))</f>
        <v>0</v>
      </c>
      <c r="BA354" t="b">
        <f>IF(metadata!P354="",FALSE,TRUE)</f>
        <v>0</v>
      </c>
      <c r="BB354" t="b">
        <f>IF(metadata!Q354="",FALSE,TRUE)</f>
        <v>0</v>
      </c>
      <c r="BC354" t="b">
        <f>OR(AND(IF(metadata!R354="",FALSE,TRUE),OR(EXACT(metadata!R354,"missing: not collected"),EXACT(metadata!R354,"missing: not provided"),EXACT(metadata!R354,"missing: restricted access"))),AND(IF(metadata!R354="",FALSE,ISNUMBER(VALUE(metadata!R354))),metadata!R354&gt;=-90,metadata!R354&lt;=90))</f>
        <v>0</v>
      </c>
      <c r="BD354" t="b">
        <f>AND(IF(metadata!S354="",FALSE,TRUE),EXACT(metadata!S354,"Decimal degrees"))</f>
        <v>0</v>
      </c>
      <c r="BE354" t="b">
        <f>OR(AND(IF(metadata!T354="",FALSE,TRUE),OR(EXACT(metadata!T354,"missing: not collected"),EXACT(metadata!T354,"missing: not provided"),EXACT(metadata!T354,"missing: restricted access"))),AND(IF(metadata!T354="",FALSE,ISNUMBER(VALUE(metadata!T354))),metadata!T354&gt;=-180,metadata!T354&lt;=180))</f>
        <v>0</v>
      </c>
      <c r="BF354" t="b">
        <f>AND(IF(metadata!U354="",FALSE,TRUE),EXACT(metadata!U354,"Decimal degrees"))</f>
        <v>0</v>
      </c>
      <c r="BG354" t="b">
        <f>IF(metadata!V354="",FALSE,TRUE)</f>
        <v>0</v>
      </c>
      <c r="BH354" t="b">
        <f>OR(AND(IF(metadata!W354="",FALSE,TRUE),OR(EXACT(metadata!W354,"missing: not collected"),EXACT(metadata!W354,"missing: not provided"),EXACT(metadata!W354,"missing: restricted access"))),AND(IF(metadata!W354="",FALSE,TRUE),OR(EXACT(metadata!W354,"TRUE"),EXACT(metadata!W354,"FALSE"))))</f>
        <v>0</v>
      </c>
      <c r="BI354" t="b">
        <f>AND(IF(metadata!X354="",FALSE,TRUE),EXACT(metadata!X354,"other"))</f>
        <v>0</v>
      </c>
      <c r="BJ354" t="b">
        <f>IF(metadata!Y354="",FALSE,TRUE)</f>
        <v>0</v>
      </c>
      <c r="BK354" t="b">
        <f>OR(AND(IF(metadata!Z354="",FALSE,TRUE),OR(EXACT(metadata!Z354,"missing: not collected"),EXACT(metadata!Z354,"missing: not provided"))),AND(IF(metadata!Z354="",FALSE,IF(ISERROR(INT(metadata!Z354)),FALSE,INT(metadata!Z354)=metadata!Z354)),metadata!Z354&gt;0))</f>
        <v>0</v>
      </c>
      <c r="BL354" t="b">
        <f>AND(IF(metadata!AA354="",FALSE,TRUE),EXACT(metadata!AA354,"Not applicable"))</f>
        <v>0</v>
      </c>
      <c r="BM354" t="b">
        <f>IF(metadata!AB354="",FALSE,TRUE)</f>
        <v>0</v>
      </c>
    </row>
    <row r="355" spans="1:65" x14ac:dyDescent="0.2">
      <c r="A355" s="5" t="str">
        <f ca="1">IF(B355=" "," ",HYPERLINK(CONCATENATE("#metadata!",ADDRESS(INDEX($AH$2:$AH$1001,MATCH(ROWS($AF$2:AF355),$AF$2:$AF$1001,0),0),1)),INDEX($AK$2:$AK$1001,MATCH(ROWS($AF$2:AF355),$AF$2:$AF$1001,0),0)))</f>
        <v xml:space="preserve"> </v>
      </c>
      <c r="B355" s="4" t="str">
        <f ca="1">IF(OR(INDEX($AG$2:$AG$1001,MATCH(ROWS($AF$2:AF355),$AF$2:$AF$1001,0),1)&gt;=100000,INDEX($AM$1005:$BM$1005,1,MATCH(COLUMNS($AM$1006:AM1006),$AM$1006:$BM$1006,0))&gt;=100000), " ",IF(INDEX($AM$2:$BM$1001,MATCH(ROWS($AF$2:AF355),$AF$2:$AF$1001,0),MATCH(COLUMNS($AM$1006:AM1006),$AM$1006:$BM$1006,0)), HYPERLINK("#",""), HYPERLINK(CONCATENATE("#metadata!", ADDRESS(INDEX($AH$2:$AH$1001,MATCH(ROWS($AF$2:AF355),$AF$2:$AF$1001,0),0), INDEX($AM$1004:$BM$1004,1,MATCH(COLUMNS($AM$1006:AM1006),$AM$1006:$BM$1006,0)))),"Fix")))</f>
        <v xml:space="preserve"> </v>
      </c>
      <c r="C355" s="4" t="str">
        <f ca="1">IF(OR(INDEX($AG$2:$AG$1001,MATCH(ROWS($AF$2:AF355),$AF$2:$AF$1001,0),1)&gt;=100000,INDEX($AM$1005:$BM$1005,1,MATCH(COLUMNS($AM$1006:AN1006),$AM$1006:$BM$1006,0))&gt;=100000), " ",IF(INDEX($AM$2:$BM$1001,MATCH(ROWS($AF$2:AF355),$AF$2:$AF$1001,0),MATCH(COLUMNS($AM$1006:AN1006),$AM$1006:$BM$1006,0)), HYPERLINK("#",""), HYPERLINK(CONCATENATE("#metadata!", ADDRESS(INDEX($AH$2:$AH$1001,MATCH(ROWS($AF$2:AF355),$AF$2:$AF$1001,0),0), INDEX($AM$1004:$BM$1004,1,MATCH(COLUMNS($AM$1006:AN1006),$AM$1006:$BM$1006,0)))),"Fix")))</f>
        <v xml:space="preserve"> </v>
      </c>
      <c r="D355" s="4" t="str">
        <f ca="1">IF(OR(INDEX($AG$2:$AG$1001,MATCH(ROWS($AF$2:AF355),$AF$2:$AF$1001,0),1)&gt;=100000,INDEX($AM$1005:$BM$1005,1,MATCH(COLUMNS($AM$1006:AO1006),$AM$1006:$BM$1006,0))&gt;=100000), " ",IF(INDEX($AM$2:$BM$1001,MATCH(ROWS($AF$2:AF355),$AF$2:$AF$1001,0),MATCH(COLUMNS($AM$1006:AO1006),$AM$1006:$BM$1006,0)), HYPERLINK("#",""), HYPERLINK(CONCATENATE("#metadata!", ADDRESS(INDEX($AH$2:$AH$1001,MATCH(ROWS($AF$2:AF355),$AF$2:$AF$1001,0),0), INDEX($AM$1004:$BM$1004,1,MATCH(COLUMNS($AM$1006:AO1006),$AM$1006:$BM$1006,0)))),"Fix")))</f>
        <v xml:space="preserve"> </v>
      </c>
      <c r="E355" s="4" t="str">
        <f ca="1">IF(OR(INDEX($AG$2:$AG$1001,MATCH(ROWS($AF$2:AF355),$AF$2:$AF$1001,0),1)&gt;=100000,INDEX($AM$1005:$BM$1005,1,MATCH(COLUMNS($AM$1006:AP1006),$AM$1006:$BM$1006,0))&gt;=100000), " ",IF(INDEX($AM$2:$BM$1001,MATCH(ROWS($AF$2:AF355),$AF$2:$AF$1001,0),MATCH(COLUMNS($AM$1006:AP1006),$AM$1006:$BM$1006,0)), HYPERLINK("#",""), HYPERLINK(CONCATENATE("#metadata!", ADDRESS(INDEX($AH$2:$AH$1001,MATCH(ROWS($AF$2:AF355),$AF$2:$AF$1001,0),0), INDEX($AM$1004:$BM$1004,1,MATCH(COLUMNS($AM$1006:AP1006),$AM$1006:$BM$1006,0)))),"Fix")))</f>
        <v xml:space="preserve"> </v>
      </c>
      <c r="F355" s="4" t="str">
        <f ca="1">IF(OR(INDEX($AG$2:$AG$1001,MATCH(ROWS($AF$2:AF355),$AF$2:$AF$1001,0),1)&gt;=100000,INDEX($AM$1005:$BM$1005,1,MATCH(COLUMNS($AM$1006:AQ1006),$AM$1006:$BM$1006,0))&gt;=100000), " ",IF(INDEX($AM$2:$BM$1001,MATCH(ROWS($AF$2:AF355),$AF$2:$AF$1001,0),MATCH(COLUMNS($AM$1006:AQ1006),$AM$1006:$BM$1006,0)), HYPERLINK("#",""), HYPERLINK(CONCATENATE("#metadata!", ADDRESS(INDEX($AH$2:$AH$1001,MATCH(ROWS($AF$2:AF355),$AF$2:$AF$1001,0),0), INDEX($AM$1004:$BM$1004,1,MATCH(COLUMNS($AM$1006:AQ1006),$AM$1006:$BM$1006,0)))),"Fix")))</f>
        <v xml:space="preserve"> </v>
      </c>
      <c r="G355" s="4" t="str">
        <f ca="1">IF(OR(INDEX($AG$2:$AG$1001,MATCH(ROWS($AF$2:AF355),$AF$2:$AF$1001,0),1)&gt;=100000,INDEX($AM$1005:$BM$1005,1,MATCH(COLUMNS($AM$1006:AR1006),$AM$1006:$BM$1006,0))&gt;=100000), " ",IF(INDEX($AM$2:$BM$1001,MATCH(ROWS($AF$2:AF355),$AF$2:$AF$1001,0),MATCH(COLUMNS($AM$1006:AR1006),$AM$1006:$BM$1006,0)), HYPERLINK("#",""), HYPERLINK(CONCATENATE("#metadata!", ADDRESS(INDEX($AH$2:$AH$1001,MATCH(ROWS($AF$2:AF355),$AF$2:$AF$1001,0),0), INDEX($AM$1004:$BM$1004,1,MATCH(COLUMNS($AM$1006:AR1006),$AM$1006:$BM$1006,0)))),"Fix")))</f>
        <v xml:space="preserve"> </v>
      </c>
      <c r="H355" s="4" t="str">
        <f ca="1">IF(OR(INDEX($AG$2:$AG$1001,MATCH(ROWS($AF$2:AF355),$AF$2:$AF$1001,0),1)&gt;=100000,INDEX($AM$1005:$BM$1005,1,MATCH(COLUMNS($AM$1006:AS1006),$AM$1006:$BM$1006,0))&gt;=100000), " ",IF(INDEX($AM$2:$BM$1001,MATCH(ROWS($AF$2:AF355),$AF$2:$AF$1001,0),MATCH(COLUMNS($AM$1006:AS1006),$AM$1006:$BM$1006,0)), HYPERLINK("#",""), HYPERLINK(CONCATENATE("#metadata!", ADDRESS(INDEX($AH$2:$AH$1001,MATCH(ROWS($AF$2:AF355),$AF$2:$AF$1001,0),0), INDEX($AM$1004:$BM$1004,1,MATCH(COLUMNS($AM$1006:AS1006),$AM$1006:$BM$1006,0)))),"Fix")))</f>
        <v xml:space="preserve"> </v>
      </c>
      <c r="I355" s="4" t="str">
        <f ca="1">IF(OR(INDEX($AG$2:$AG$1001,MATCH(ROWS($AF$2:AF355),$AF$2:$AF$1001,0),1)&gt;=100000,INDEX($AM$1005:$BM$1005,1,MATCH(COLUMNS($AM$1006:AT1006),$AM$1006:$BM$1006,0))&gt;=100000), " ",IF(INDEX($AM$2:$BM$1001,MATCH(ROWS($AF$2:AF355),$AF$2:$AF$1001,0),MATCH(COLUMNS($AM$1006:AT1006),$AM$1006:$BM$1006,0)), HYPERLINK("#",""), HYPERLINK(CONCATENATE("#metadata!", ADDRESS(INDEX($AH$2:$AH$1001,MATCH(ROWS($AF$2:AF355),$AF$2:$AF$1001,0),0), INDEX($AM$1004:$BM$1004,1,MATCH(COLUMNS($AM$1006:AT1006),$AM$1006:$BM$1006,0)))),"Fix")))</f>
        <v xml:space="preserve"> </v>
      </c>
      <c r="J355" s="4" t="str">
        <f ca="1">IF(OR(INDEX($AG$2:$AG$1001,MATCH(ROWS($AF$2:AF355),$AF$2:$AF$1001,0),1)&gt;=100000,INDEX($AM$1005:$BM$1005,1,MATCH(COLUMNS($AM$1006:AU1006),$AM$1006:$BM$1006,0))&gt;=100000), " ",IF(INDEX($AM$2:$BM$1001,MATCH(ROWS($AF$2:AF355),$AF$2:$AF$1001,0),MATCH(COLUMNS($AM$1006:AU1006),$AM$1006:$BM$1006,0)), HYPERLINK("#",""), HYPERLINK(CONCATENATE("#metadata!", ADDRESS(INDEX($AH$2:$AH$1001,MATCH(ROWS($AF$2:AF355),$AF$2:$AF$1001,0),0), INDEX($AM$1004:$BM$1004,1,MATCH(COLUMNS($AM$1006:AU1006),$AM$1006:$BM$1006,0)))),"Fix")))</f>
        <v xml:space="preserve"> </v>
      </c>
      <c r="K355" s="4" t="str">
        <f ca="1">IF(OR(INDEX($AG$2:$AG$1001,MATCH(ROWS($AF$2:AF355),$AF$2:$AF$1001,0),1)&gt;=100000,INDEX($AM$1005:$BM$1005,1,MATCH(COLUMNS($AM$1006:AV1006),$AM$1006:$BM$1006,0))&gt;=100000), " ",IF(INDEX($AM$2:$BM$1001,MATCH(ROWS($AF$2:AF355),$AF$2:$AF$1001,0),MATCH(COLUMNS($AM$1006:AV1006),$AM$1006:$BM$1006,0)), HYPERLINK("#",""), HYPERLINK(CONCATENATE("#metadata!", ADDRESS(INDEX($AH$2:$AH$1001,MATCH(ROWS($AF$2:AF355),$AF$2:$AF$1001,0),0), INDEX($AM$1004:$BM$1004,1,MATCH(COLUMNS($AM$1006:AV1006),$AM$1006:$BM$1006,0)))),"Fix")))</f>
        <v xml:space="preserve"> </v>
      </c>
      <c r="L355" s="4" t="str">
        <f ca="1">IF(OR(INDEX($AG$2:$AG$1001,MATCH(ROWS($AF$2:AF355),$AF$2:$AF$1001,0),1)&gt;=100000,INDEX($AM$1005:$BM$1005,1,MATCH(COLUMNS($AM$1006:AW1006),$AM$1006:$BM$1006,0))&gt;=100000), " ",IF(INDEX($AM$2:$BM$1001,MATCH(ROWS($AF$2:AF355),$AF$2:$AF$1001,0),MATCH(COLUMNS($AM$1006:AW1006),$AM$1006:$BM$1006,0)), HYPERLINK("#",""), HYPERLINK(CONCATENATE("#metadata!", ADDRESS(INDEX($AH$2:$AH$1001,MATCH(ROWS($AF$2:AF355),$AF$2:$AF$1001,0),0), INDEX($AM$1004:$BM$1004,1,MATCH(COLUMNS($AM$1006:AW1006),$AM$1006:$BM$1006,0)))),"Fix")))</f>
        <v xml:space="preserve"> </v>
      </c>
      <c r="M355" s="4" t="str">
        <f ca="1">IF(OR(INDEX($AG$2:$AG$1001,MATCH(ROWS($AF$2:AF355),$AF$2:$AF$1001,0),1)&gt;=100000,INDEX($AM$1005:$BM$1005,1,MATCH(COLUMNS($AM$1006:AX1006),$AM$1006:$BM$1006,0))&gt;=100000), " ",IF(INDEX($AM$2:$BM$1001,MATCH(ROWS($AF$2:AF355),$AF$2:$AF$1001,0),MATCH(COLUMNS($AM$1006:AX1006),$AM$1006:$BM$1006,0)), HYPERLINK("#",""), HYPERLINK(CONCATENATE("#metadata!", ADDRESS(INDEX($AH$2:$AH$1001,MATCH(ROWS($AF$2:AF355),$AF$2:$AF$1001,0),0), INDEX($AM$1004:$BM$1004,1,MATCH(COLUMNS($AM$1006:AX1006),$AM$1006:$BM$1006,0)))),"Fix")))</f>
        <v xml:space="preserve"> </v>
      </c>
      <c r="N355" s="4" t="str">
        <f ca="1">IF(OR(INDEX($AG$2:$AG$1001,MATCH(ROWS($AF$2:AF355),$AF$2:$AF$1001,0),1)&gt;=100000,INDEX($AM$1005:$BM$1005,1,MATCH(COLUMNS($AM$1006:AY1006),$AM$1006:$BM$1006,0))&gt;=100000), " ",IF(INDEX($AM$2:$BM$1001,MATCH(ROWS($AF$2:AF355),$AF$2:$AF$1001,0),MATCH(COLUMNS($AM$1006:AY1006),$AM$1006:$BM$1006,0)), HYPERLINK("#",""), HYPERLINK(CONCATENATE("#metadata!", ADDRESS(INDEX($AH$2:$AH$1001,MATCH(ROWS($AF$2:AF355),$AF$2:$AF$1001,0),0), INDEX($AM$1004:$BM$1004,1,MATCH(COLUMNS($AM$1006:AY1006),$AM$1006:$BM$1006,0)))),"Fix")))</f>
        <v xml:space="preserve"> </v>
      </c>
      <c r="O355" s="4" t="str">
        <f ca="1">IF(OR(INDEX($AG$2:$AG$1001,MATCH(ROWS($AF$2:AF355),$AF$2:$AF$1001,0),1)&gt;=100000,INDEX($AM$1005:$BM$1005,1,MATCH(COLUMNS($AM$1006:AZ1006),$AM$1006:$BM$1006,0))&gt;=100000), " ",IF(INDEX($AM$2:$BM$1001,MATCH(ROWS($AF$2:AF355),$AF$2:$AF$1001,0),MATCH(COLUMNS($AM$1006:AZ1006),$AM$1006:$BM$1006,0)), HYPERLINK("#",""), HYPERLINK(CONCATENATE("#metadata!", ADDRESS(INDEX($AH$2:$AH$1001,MATCH(ROWS($AF$2:AF355),$AF$2:$AF$1001,0),0), INDEX($AM$1004:$BM$1004,1,MATCH(COLUMNS($AM$1006:AZ1006),$AM$1006:$BM$1006,0)))),"Fix")))</f>
        <v xml:space="preserve"> </v>
      </c>
      <c r="P355" s="4" t="str">
        <f ca="1">IF(OR(INDEX($AG$2:$AG$1001,MATCH(ROWS($AF$2:AF355),$AF$2:$AF$1001,0),1)&gt;=100000,INDEX($AM$1005:$BM$1005,1,MATCH(COLUMNS($AM$1006:BA1006),$AM$1006:$BM$1006,0))&gt;=100000), " ",IF(INDEX($AM$2:$BM$1001,MATCH(ROWS($AF$2:AF355),$AF$2:$AF$1001,0),MATCH(COLUMNS($AM$1006:BA1006),$AM$1006:$BM$1006,0)), HYPERLINK("#",""), HYPERLINK(CONCATENATE("#metadata!", ADDRESS(INDEX($AH$2:$AH$1001,MATCH(ROWS($AF$2:AF355),$AF$2:$AF$1001,0),0), INDEX($AM$1004:$BM$1004,1,MATCH(COLUMNS($AM$1006:BA1006),$AM$1006:$BM$1006,0)))),"Fix")))</f>
        <v xml:space="preserve"> </v>
      </c>
      <c r="Q355" s="4" t="str">
        <f ca="1">IF(OR(INDEX($AG$2:$AG$1001,MATCH(ROWS($AF$2:AF355),$AF$2:$AF$1001,0),1)&gt;=100000,INDEX($AM$1005:$BM$1005,1,MATCH(COLUMNS($AM$1006:BB1006),$AM$1006:$BM$1006,0))&gt;=100000), " ",IF(INDEX($AM$2:$BM$1001,MATCH(ROWS($AF$2:AF355),$AF$2:$AF$1001,0),MATCH(COLUMNS($AM$1006:BB1006),$AM$1006:$BM$1006,0)), HYPERLINK("#",""), HYPERLINK(CONCATENATE("#metadata!", ADDRESS(INDEX($AH$2:$AH$1001,MATCH(ROWS($AF$2:AF355),$AF$2:$AF$1001,0),0), INDEX($AM$1004:$BM$1004,1,MATCH(COLUMNS($AM$1006:BB1006),$AM$1006:$BM$1006,0)))),"Fix")))</f>
        <v xml:space="preserve"> </v>
      </c>
      <c r="R355" s="4" t="str">
        <f ca="1">IF(OR(INDEX($AG$2:$AG$1001,MATCH(ROWS($AF$2:AF355),$AF$2:$AF$1001,0),1)&gt;=100000,INDEX($AM$1005:$BM$1005,1,MATCH(COLUMNS($AM$1006:BC1006),$AM$1006:$BM$1006,0))&gt;=100000), " ",IF(INDEX($AM$2:$BM$1001,MATCH(ROWS($AF$2:AF355),$AF$2:$AF$1001,0),MATCH(COLUMNS($AM$1006:BC1006),$AM$1006:$BM$1006,0)), HYPERLINK("#",""), HYPERLINK(CONCATENATE("#metadata!", ADDRESS(INDEX($AH$2:$AH$1001,MATCH(ROWS($AF$2:AF355),$AF$2:$AF$1001,0),0), INDEX($AM$1004:$BM$1004,1,MATCH(COLUMNS($AM$1006:BC1006),$AM$1006:$BM$1006,0)))),"Fix")))</f>
        <v xml:space="preserve"> </v>
      </c>
      <c r="S355" s="4" t="str">
        <f ca="1">IF(OR(INDEX($AG$2:$AG$1001,MATCH(ROWS($AF$2:AF355),$AF$2:$AF$1001,0),1)&gt;=100000,INDEX($AM$1005:$BM$1005,1,MATCH(COLUMNS($AM$1006:BD1006),$AM$1006:$BM$1006,0))&gt;=100000), " ",IF(INDEX($AM$2:$BM$1001,MATCH(ROWS($AF$2:AF355),$AF$2:$AF$1001,0),MATCH(COLUMNS($AM$1006:BD1006),$AM$1006:$BM$1006,0)), HYPERLINK("#",""), HYPERLINK(CONCATENATE("#metadata!", ADDRESS(INDEX($AH$2:$AH$1001,MATCH(ROWS($AF$2:AF355),$AF$2:$AF$1001,0),0), INDEX($AM$1004:$BM$1004,1,MATCH(COLUMNS($AM$1006:BD1006),$AM$1006:$BM$1006,0)))),"Fix")))</f>
        <v xml:space="preserve"> </v>
      </c>
      <c r="T355" s="4" t="str">
        <f ca="1">IF(OR(INDEX($AG$2:$AG$1001,MATCH(ROWS($AF$2:AF355),$AF$2:$AF$1001,0),1)&gt;=100000,INDEX($AM$1005:$BM$1005,1,MATCH(COLUMNS($AM$1006:BE1006),$AM$1006:$BM$1006,0))&gt;=100000), " ",IF(INDEX($AM$2:$BM$1001,MATCH(ROWS($AF$2:AF355),$AF$2:$AF$1001,0),MATCH(COLUMNS($AM$1006:BE1006),$AM$1006:$BM$1006,0)), HYPERLINK("#",""), HYPERLINK(CONCATENATE("#metadata!", ADDRESS(INDEX($AH$2:$AH$1001,MATCH(ROWS($AF$2:AF355),$AF$2:$AF$1001,0),0), INDEX($AM$1004:$BM$1004,1,MATCH(COLUMNS($AM$1006:BE1006),$AM$1006:$BM$1006,0)))),"Fix")))</f>
        <v xml:space="preserve"> </v>
      </c>
      <c r="U355" s="4" t="str">
        <f ca="1">IF(OR(INDEX($AG$2:$AG$1001,MATCH(ROWS($AF$2:AF355),$AF$2:$AF$1001,0),1)&gt;=100000,INDEX($AM$1005:$BM$1005,1,MATCH(COLUMNS($AM$1006:BF1006),$AM$1006:$BM$1006,0))&gt;=100000), " ",IF(INDEX($AM$2:$BM$1001,MATCH(ROWS($AF$2:AF355),$AF$2:$AF$1001,0),MATCH(COLUMNS($AM$1006:BF1006),$AM$1006:$BM$1006,0)), HYPERLINK("#",""), HYPERLINK(CONCATENATE("#metadata!", ADDRESS(INDEX($AH$2:$AH$1001,MATCH(ROWS($AF$2:AF355),$AF$2:$AF$1001,0),0), INDEX($AM$1004:$BM$1004,1,MATCH(COLUMNS($AM$1006:BF1006),$AM$1006:$BM$1006,0)))),"Fix")))</f>
        <v xml:space="preserve"> </v>
      </c>
      <c r="V355" s="4" t="str">
        <f ca="1">IF(OR(INDEX($AG$2:$AG$1001,MATCH(ROWS($AF$2:AF355),$AF$2:$AF$1001,0),1)&gt;=100000,INDEX($AM$1005:$BM$1005,1,MATCH(COLUMNS($AM$1006:BG1006),$AM$1006:$BM$1006,0))&gt;=100000), " ",IF(INDEX($AM$2:$BM$1001,MATCH(ROWS($AF$2:AF355),$AF$2:$AF$1001,0),MATCH(COLUMNS($AM$1006:BG1006),$AM$1006:$BM$1006,0)), HYPERLINK("#",""), HYPERLINK(CONCATENATE("#metadata!", ADDRESS(INDEX($AH$2:$AH$1001,MATCH(ROWS($AF$2:AF355),$AF$2:$AF$1001,0),0), INDEX($AM$1004:$BM$1004,1,MATCH(COLUMNS($AM$1006:BG1006),$AM$1006:$BM$1006,0)))),"Fix")))</f>
        <v xml:space="preserve"> </v>
      </c>
      <c r="W355" s="4" t="str">
        <f ca="1">IF(OR(INDEX($AG$2:$AG$1001,MATCH(ROWS($AF$2:AF355),$AF$2:$AF$1001,0),1)&gt;=100000,INDEX($AM$1005:$BM$1005,1,MATCH(COLUMNS($AM$1006:BH1006),$AM$1006:$BM$1006,0))&gt;=100000), " ",IF(INDEX($AM$2:$BM$1001,MATCH(ROWS($AF$2:AF355),$AF$2:$AF$1001,0),MATCH(COLUMNS($AM$1006:BH1006),$AM$1006:$BM$1006,0)), HYPERLINK("#",""), HYPERLINK(CONCATENATE("#metadata!", ADDRESS(INDEX($AH$2:$AH$1001,MATCH(ROWS($AF$2:AF355),$AF$2:$AF$1001,0),0), INDEX($AM$1004:$BM$1004,1,MATCH(COLUMNS($AM$1006:BH1006),$AM$1006:$BM$1006,0)))),"Fix")))</f>
        <v xml:space="preserve"> </v>
      </c>
      <c r="X355" s="4" t="str">
        <f ca="1">IF(OR(INDEX($AG$2:$AG$1001,MATCH(ROWS($AF$2:AF355),$AF$2:$AF$1001,0),1)&gt;=100000,INDEX($AM$1005:$BM$1005,1,MATCH(COLUMNS($AM$1006:BI1006),$AM$1006:$BM$1006,0))&gt;=100000), " ",IF(INDEX($AM$2:$BM$1001,MATCH(ROWS($AF$2:AF355),$AF$2:$AF$1001,0),MATCH(COLUMNS($AM$1006:BI1006),$AM$1006:$BM$1006,0)), HYPERLINK("#",""), HYPERLINK(CONCATENATE("#metadata!", ADDRESS(INDEX($AH$2:$AH$1001,MATCH(ROWS($AF$2:AF355),$AF$2:$AF$1001,0),0), INDEX($AM$1004:$BM$1004,1,MATCH(COLUMNS($AM$1006:BI1006),$AM$1006:$BM$1006,0)))),"Fix")))</f>
        <v xml:space="preserve"> </v>
      </c>
      <c r="Y355" s="4" t="str">
        <f ca="1">IF(OR(INDEX($AG$2:$AG$1001,MATCH(ROWS($AF$2:AF355),$AF$2:$AF$1001,0),1)&gt;=100000,INDEX($AM$1005:$BM$1005,1,MATCH(COLUMNS($AM$1006:BJ1006),$AM$1006:$BM$1006,0))&gt;=100000), " ",IF(INDEX($AM$2:$BM$1001,MATCH(ROWS($AF$2:AF355),$AF$2:$AF$1001,0),MATCH(COLUMNS($AM$1006:BJ1006),$AM$1006:$BM$1006,0)), HYPERLINK("#",""), HYPERLINK(CONCATENATE("#metadata!", ADDRESS(INDEX($AH$2:$AH$1001,MATCH(ROWS($AF$2:AF355),$AF$2:$AF$1001,0),0), INDEX($AM$1004:$BM$1004,1,MATCH(COLUMNS($AM$1006:BJ1006),$AM$1006:$BM$1006,0)))),"Fix")))</f>
        <v xml:space="preserve"> </v>
      </c>
      <c r="Z355" s="4" t="str">
        <f ca="1">IF(OR(INDEX($AG$2:$AG$1001,MATCH(ROWS($AF$2:AF355),$AF$2:$AF$1001,0),1)&gt;=100000,INDEX($AM$1005:$BM$1005,1,MATCH(COLUMNS($AM$1006:BK1006),$AM$1006:$BM$1006,0))&gt;=100000), " ",IF(INDEX($AM$2:$BM$1001,MATCH(ROWS($AF$2:AF355),$AF$2:$AF$1001,0),MATCH(COLUMNS($AM$1006:BK1006),$AM$1006:$BM$1006,0)), HYPERLINK("#",""), HYPERLINK(CONCATENATE("#metadata!", ADDRESS(INDEX($AH$2:$AH$1001,MATCH(ROWS($AF$2:AF355),$AF$2:$AF$1001,0),0), INDEX($AM$1004:$BM$1004,1,MATCH(COLUMNS($AM$1006:BK1006),$AM$1006:$BM$1006,0)))),"Fix")))</f>
        <v xml:space="preserve"> </v>
      </c>
      <c r="AA355" s="4" t="str">
        <f ca="1">IF(OR(INDEX($AG$2:$AG$1001,MATCH(ROWS($AF$2:AF355),$AF$2:$AF$1001,0),1)&gt;=100000,INDEX($AM$1005:$BM$1005,1,MATCH(COLUMNS($AM$1006:BL1006),$AM$1006:$BM$1006,0))&gt;=100000), " ",IF(INDEX($AM$2:$BM$1001,MATCH(ROWS($AF$2:AF355),$AF$2:$AF$1001,0),MATCH(COLUMNS($AM$1006:BL1006),$AM$1006:$BM$1006,0)), HYPERLINK("#",""), HYPERLINK(CONCATENATE("#metadata!", ADDRESS(INDEX($AH$2:$AH$1001,MATCH(ROWS($AF$2:AF355),$AF$2:$AF$1001,0),0), INDEX($AM$1004:$BM$1004,1,MATCH(COLUMNS($AM$1006:BL1006),$AM$1006:$BM$1006,0)))),"Fix")))</f>
        <v xml:space="preserve"> </v>
      </c>
      <c r="AB355" s="4" t="str">
        <f ca="1">IF(OR(INDEX($AG$2:$AG$1001,MATCH(ROWS($AF$2:AF355),$AF$2:$AF$1001,0),1)&gt;=100000,INDEX($AM$1005:$BM$1005,1,MATCH(COLUMNS($AM$1006:BM1006),$AM$1006:$BM$1006,0))&gt;=100000), " ",IF(INDEX($AM$2:$BM$1001,MATCH(ROWS($AF$2:AF355),$AF$2:$AF$1001,0),MATCH(COLUMNS($AM$1006:BM1006),$AM$1006:$BM$1006,0)), HYPERLINK("#",""), HYPERLINK(CONCATENATE("#metadata!", ADDRESS(INDEX($AH$2:$AH$1001,MATCH(ROWS($AF$2:AF355),$AF$2:$AF$1001,0),0), INDEX($AM$1004:$BM$1004,1,MATCH(COLUMNS($AM$1006:BM1006),$AM$1006:$BM$1006,0)))),"Fix")))</f>
        <v xml:space="preserve"> </v>
      </c>
      <c r="AF355">
        <v>354</v>
      </c>
      <c r="AG355">
        <v>100355</v>
      </c>
      <c r="AH355">
        <v>355</v>
      </c>
      <c r="AI355" t="b">
        <f t="shared" si="5"/>
        <v>1</v>
      </c>
      <c r="AJ355" t="b">
        <f>COUNTBLANK(metadata!B355:AB355)=COLUMNS(metadata!B355:AB355)</f>
        <v>1</v>
      </c>
      <c r="AK355" t="str">
        <v/>
      </c>
      <c r="AM355" t="b">
        <f ca="1">AND(IF(metadata!B355="",FALSE,TRUE),COUNTIF(metadata!B:B, metadata!B355) = 1,NOT(ISERROR(SUMPRODUCT(SEARCH(MID(metadata!B355,ROW(INDIRECT("1:"&amp;LEN(metadata!B355))), 1),"0123456789abcdefghijklmnopqrstuvwxyzABCDEFGHIJKLMNOPQRSTUVWXYZ.")))))</f>
        <v>0</v>
      </c>
      <c r="AN355" t="b">
        <f ca="1">OR(AND(IF(metadata!C355="",FALSE,TRUE),OR(EXACT(metadata!C355,"missing: not collected"),EXACT(metadata!C355,"missing: not provided"),EXACT(metadata!C355,"missing: restricted access"))),AND(IF(metadata!C355="",FALSE,TRUE),AND(AND(IFERROR(INT(LEFT(metadata!C355,4))&gt;1900,FALSE),IFERROR(INT(LEFT(metadata!C355,4))&lt;=YEAR(NOW()),FALSE)), OR(MID(metadata!C355,5,1)="", AND(AND(MID(metadata!C355,5,1)="-",IFERROR(INT(MID(metadata!C355,6,1))&gt;=0,FALSE),IFERROR(INT(MID(metadata!C355,6,1))&lt;=1,FALSE),NOT(MID(metadata!C355,7,1)=""),IFERROR(INT(MID(metadata!C355,6,2))&gt;=1,FALSE),IFERROR(INT(MID(metadata!C355,6,2))&lt;=12,FALSE)), OR(MID(metadata!C355,8,1)="", AND(AND(MID(metadata!C355,8,1)="-",IFERROR(INT(MID(metadata!C355,9,1))&gt;=0,FALSE),IFERROR(INT(MID(metadata!C355,9,1))&lt;=3,FALSE),NOT(MID(metadata!C355,10,1)=""),IFERROR(INT(MID(metadata!C355,9,2))&gt;=1,FALSE),IFERROR(INT(MID(metadata!C355,9,2))&lt;=31,FALSE)), OR(MID(metadata!C355,11,1)="", AND(AND(MID(metadata!C355,11,1)=" ",IFERROR(INT(MID(metadata!C355,12,1))&gt;=0,FALSE),IFERROR(INT(MID(metadata!C355,12,1))&lt;=2,FALSE),NOT(MID(metadata!C355,13,1)=""),IFERROR(INT(MID(metadata!C355,12,2))&gt;=0,FALSE),IFERROR(INT(MID(metadata!C355,12,2))&lt;=23,FALSE)), OR(MID(metadata!C355,14,1)="", AND(AND(MID(metadata!C355,14,1)=":",IFERROR(INT(MID(metadata!C355,15,1))&gt;=0,FALSE),IFERROR(INT(MID(metadata!C355,15,1))&lt;=5,FALSE),NOT(MID(metadata!C355,16,1)=""),IFERROR(INT(MID(metadata!C355,15,2))&gt;=0,FALSE),IFERROR(INT(MID(metadata!C355,15,2))&lt;=59,FALSE)), OR(MID(metadata!C355,17,1)="", AND(AND(MID(metadata!C355,17,1)=":",IFERROR(INT(MID(metadata!C355,18,1))&gt;=0,FALSE),IFERROR(INT(MID(metadata!C355,18,1))&lt;=5,FALSE),NOT(MID(metadata!C355,19,1)=""),IFERROR(INT(MID(metadata!C355,18,2))&gt;=0,FALSE),IFERROR(INT(MID(metadata!C355,18,2))&lt;=59,FALSE)), LEN(metadata!C355)&lt;=19)))))))))))))</f>
        <v>0</v>
      </c>
      <c r="AO355" t="b">
        <f>AND(IF(metadata!D355="",FALSE,TRUE),EXACT(metadata!D355,"Not applicable"))</f>
        <v>0</v>
      </c>
      <c r="AP355" t="b">
        <f>IF(metadata!E355="",FALSE,TRUE)</f>
        <v>0</v>
      </c>
      <c r="AQ355" t="b">
        <f>OR(AND(IF(metadata!F355="",FALSE,TRUE),OR(EXACT(metadata!F355,"missing: not collected"),EXACT(metadata!F355,"missing: not provided"))),AND(IF(metadata!F355="",FALSE,TRUE),OR(EXACT(metadata!F355,"TRUE"),EXACT(metadata!F355,"FALSE"))))</f>
        <v>0</v>
      </c>
      <c r="AR355" t="b">
        <f>OR(AND(IF(metadata!G355="",FALSE,TRUE),OR(EXACT(metadata!G355,"missing: not collected"),EXACT(metadata!G355,"missing: not provided"),EXACT(metadata!G355,"missing: restricted access"))),AND(IF(metadata!G355="",FALSE,ISNUMBER(VALUE(metadata!G355))),metadata!G355&gt;=-413))</f>
        <v>0</v>
      </c>
      <c r="AS355" t="b">
        <f>AND(IF(metadata!H355="",FALSE,TRUE),EXACT(metadata!H355,"meters"))</f>
        <v>0</v>
      </c>
      <c r="AT355" t="b">
        <f>AND(IF(metadata!I355="",FALSE,TRUE),OR(EXACT(metadata!I355,"Host-associated"),EXACT(metadata!I355,"Free-living")))</f>
        <v>0</v>
      </c>
      <c r="AU355" t="b">
        <f>AND(IF(metadata!J355="",FALSE,TRUE),OR(EXACT(metadata!J355,"Animal"),EXACT(metadata!J355,"Fungus"),EXACT(metadata!J355,"Plant"),EXACT(metadata!J355,"Saline"),EXACT(metadata!J355,"Non-saline")))</f>
        <v>0</v>
      </c>
      <c r="AV355" t="b">
        <f>AND(IF(metadata!K355="",FALSE,TRUE),OR(EXACT(metadata!K355,"Plant secretion"),EXACT(metadata!K355,"Plant rhizosphere"),EXACT(metadata!K355,"Plant surface"),EXACT(metadata!K355,"Plant corpus"),EXACT(metadata!K355,"Fungus surface"),EXACT(metadata!K355,"Fungus corpus"),EXACT(metadata!K355,"Animal surface"),EXACT(metadata!K355,"Animal proximal gut"),EXACT(metadata!K355,"Animal corpus"),EXACT(metadata!K355,"Animal distal gut"),EXACT(metadata!K355,"Animal secretion"),EXACT(metadata!K355,"Sub-surface (non-saline)"),EXACT(metadata!K355,"Surface (non-saline)"),EXACT(metadata!K355,"Water (non-saline)"),EXACT(metadata!K355,"Soil (non-saline)"),EXACT(metadata!K355,"Aerosol (non-saline)"),EXACT(metadata!K355,"Sediment (non-saline)"),EXACT(metadata!K355,"Surface (saline)"),EXACT(metadata!K355,"Water (saline)"),EXACT(metadata!K355,"Hypersaline (saline)"),EXACT(metadata!K355,"Aerosol (saline)"),EXACT(metadata!K355,"Sediment (saline)")))</f>
        <v>0</v>
      </c>
      <c r="AW355" t="b">
        <f>IF(metadata!L355="",FALSE,TRUE)</f>
        <v>0</v>
      </c>
      <c r="AX355" t="b">
        <f>IF(metadata!M355="",FALSE,TRUE)</f>
        <v>0</v>
      </c>
      <c r="AY355" t="b">
        <f>IF(metadata!N355="",FALSE,TRUE)</f>
        <v>0</v>
      </c>
      <c r="AZ355" t="b">
        <f>OR(AND(IF(metadata!O355="",FALSE,TRUE),OR(EXACT(metadata!O355,"missing: not collected"),EXACT(metadata!O355,"missing: not provided"),EXACT(metadata!O355,"missing: restricted access"))),AND(IF(metadata!O355="",FALSE,TRUE),OR(EXACT(metadata!O355,"air"),EXACT(metadata!O355,"built environment"),EXACT(metadata!O355,"host-associated"),EXACT(metadata!O355,"human-associated"),EXACT(metadata!O355,"human-skin"),EXACT(metadata!O355,"human-oral"),EXACT(metadata!O355,"human-gut"),EXACT(metadata!O355,"human-vaginal"),EXACT(metadata!O355,"microbial mat/biofilm"),EXACT(metadata!O355,"misc environment"),EXACT(metadata!O355,"plant-associated"),EXACT(metadata!O355,"sediment"),EXACT(metadata!O355,"soil"),EXACT(metadata!O355,"wastewater/sludge"),EXACT(metadata!O355,"water"))))</f>
        <v>0</v>
      </c>
      <c r="BA355" t="b">
        <f>IF(metadata!P355="",FALSE,TRUE)</f>
        <v>0</v>
      </c>
      <c r="BB355" t="b">
        <f>IF(metadata!Q355="",FALSE,TRUE)</f>
        <v>0</v>
      </c>
      <c r="BC355" t="b">
        <f>OR(AND(IF(metadata!R355="",FALSE,TRUE),OR(EXACT(metadata!R355,"missing: not collected"),EXACT(metadata!R355,"missing: not provided"),EXACT(metadata!R355,"missing: restricted access"))),AND(IF(metadata!R355="",FALSE,ISNUMBER(VALUE(metadata!R355))),metadata!R355&gt;=-90,metadata!R355&lt;=90))</f>
        <v>0</v>
      </c>
      <c r="BD355" t="b">
        <f>AND(IF(metadata!S355="",FALSE,TRUE),EXACT(metadata!S355,"Decimal degrees"))</f>
        <v>0</v>
      </c>
      <c r="BE355" t="b">
        <f>OR(AND(IF(metadata!T355="",FALSE,TRUE),OR(EXACT(metadata!T355,"missing: not collected"),EXACT(metadata!T355,"missing: not provided"),EXACT(metadata!T355,"missing: restricted access"))),AND(IF(metadata!T355="",FALSE,ISNUMBER(VALUE(metadata!T355))),metadata!T355&gt;=-180,metadata!T355&lt;=180))</f>
        <v>0</v>
      </c>
      <c r="BF355" t="b">
        <f>AND(IF(metadata!U355="",FALSE,TRUE),EXACT(metadata!U355,"Decimal degrees"))</f>
        <v>0</v>
      </c>
      <c r="BG355" t="b">
        <f>IF(metadata!V355="",FALSE,TRUE)</f>
        <v>0</v>
      </c>
      <c r="BH355" t="b">
        <f>OR(AND(IF(metadata!W355="",FALSE,TRUE),OR(EXACT(metadata!W355,"missing: not collected"),EXACT(metadata!W355,"missing: not provided"),EXACT(metadata!W355,"missing: restricted access"))),AND(IF(metadata!W355="",FALSE,TRUE),OR(EXACT(metadata!W355,"TRUE"),EXACT(metadata!W355,"FALSE"))))</f>
        <v>0</v>
      </c>
      <c r="BI355" t="b">
        <f>AND(IF(metadata!X355="",FALSE,TRUE),EXACT(metadata!X355,"other"))</f>
        <v>0</v>
      </c>
      <c r="BJ355" t="b">
        <f>IF(metadata!Y355="",FALSE,TRUE)</f>
        <v>0</v>
      </c>
      <c r="BK355" t="b">
        <f>OR(AND(IF(metadata!Z355="",FALSE,TRUE),OR(EXACT(metadata!Z355,"missing: not collected"),EXACT(metadata!Z355,"missing: not provided"))),AND(IF(metadata!Z355="",FALSE,IF(ISERROR(INT(metadata!Z355)),FALSE,INT(metadata!Z355)=metadata!Z355)),metadata!Z355&gt;0))</f>
        <v>0</v>
      </c>
      <c r="BL355" t="b">
        <f>AND(IF(metadata!AA355="",FALSE,TRUE),EXACT(metadata!AA355,"Not applicable"))</f>
        <v>0</v>
      </c>
      <c r="BM355" t="b">
        <f>IF(metadata!AB355="",FALSE,TRUE)</f>
        <v>0</v>
      </c>
    </row>
    <row r="356" spans="1:65" x14ac:dyDescent="0.2">
      <c r="A356" s="5" t="str">
        <f ca="1">IF(B356=" "," ",HYPERLINK(CONCATENATE("#metadata!",ADDRESS(INDEX($AH$2:$AH$1001,MATCH(ROWS($AF$2:AF356),$AF$2:$AF$1001,0),0),1)),INDEX($AK$2:$AK$1001,MATCH(ROWS($AF$2:AF356),$AF$2:$AF$1001,0),0)))</f>
        <v xml:space="preserve"> </v>
      </c>
      <c r="B356" s="4" t="str">
        <f ca="1">IF(OR(INDEX($AG$2:$AG$1001,MATCH(ROWS($AF$2:AF356),$AF$2:$AF$1001,0),1)&gt;=100000,INDEX($AM$1005:$BM$1005,1,MATCH(COLUMNS($AM$1006:AM1006),$AM$1006:$BM$1006,0))&gt;=100000), " ",IF(INDEX($AM$2:$BM$1001,MATCH(ROWS($AF$2:AF356),$AF$2:$AF$1001,0),MATCH(COLUMNS($AM$1006:AM1006),$AM$1006:$BM$1006,0)), HYPERLINK("#",""), HYPERLINK(CONCATENATE("#metadata!", ADDRESS(INDEX($AH$2:$AH$1001,MATCH(ROWS($AF$2:AF356),$AF$2:$AF$1001,0),0), INDEX($AM$1004:$BM$1004,1,MATCH(COLUMNS($AM$1006:AM1006),$AM$1006:$BM$1006,0)))),"Fix")))</f>
        <v xml:space="preserve"> </v>
      </c>
      <c r="C356" s="4" t="str">
        <f ca="1">IF(OR(INDEX($AG$2:$AG$1001,MATCH(ROWS($AF$2:AF356),$AF$2:$AF$1001,0),1)&gt;=100000,INDEX($AM$1005:$BM$1005,1,MATCH(COLUMNS($AM$1006:AN1006),$AM$1006:$BM$1006,0))&gt;=100000), " ",IF(INDEX($AM$2:$BM$1001,MATCH(ROWS($AF$2:AF356),$AF$2:$AF$1001,0),MATCH(COLUMNS($AM$1006:AN1006),$AM$1006:$BM$1006,0)), HYPERLINK("#",""), HYPERLINK(CONCATENATE("#metadata!", ADDRESS(INDEX($AH$2:$AH$1001,MATCH(ROWS($AF$2:AF356),$AF$2:$AF$1001,0),0), INDEX($AM$1004:$BM$1004,1,MATCH(COLUMNS($AM$1006:AN1006),$AM$1006:$BM$1006,0)))),"Fix")))</f>
        <v xml:space="preserve"> </v>
      </c>
      <c r="D356" s="4" t="str">
        <f ca="1">IF(OR(INDEX($AG$2:$AG$1001,MATCH(ROWS($AF$2:AF356),$AF$2:$AF$1001,0),1)&gt;=100000,INDEX($AM$1005:$BM$1005,1,MATCH(COLUMNS($AM$1006:AO1006),$AM$1006:$BM$1006,0))&gt;=100000), " ",IF(INDEX($AM$2:$BM$1001,MATCH(ROWS($AF$2:AF356),$AF$2:$AF$1001,0),MATCH(COLUMNS($AM$1006:AO1006),$AM$1006:$BM$1006,0)), HYPERLINK("#",""), HYPERLINK(CONCATENATE("#metadata!", ADDRESS(INDEX($AH$2:$AH$1001,MATCH(ROWS($AF$2:AF356),$AF$2:$AF$1001,0),0), INDEX($AM$1004:$BM$1004,1,MATCH(COLUMNS($AM$1006:AO1006),$AM$1006:$BM$1006,0)))),"Fix")))</f>
        <v xml:space="preserve"> </v>
      </c>
      <c r="E356" s="4" t="str">
        <f ca="1">IF(OR(INDEX($AG$2:$AG$1001,MATCH(ROWS($AF$2:AF356),$AF$2:$AF$1001,0),1)&gt;=100000,INDEX($AM$1005:$BM$1005,1,MATCH(COLUMNS($AM$1006:AP1006),$AM$1006:$BM$1006,0))&gt;=100000), " ",IF(INDEX($AM$2:$BM$1001,MATCH(ROWS($AF$2:AF356),$AF$2:$AF$1001,0),MATCH(COLUMNS($AM$1006:AP1006),$AM$1006:$BM$1006,0)), HYPERLINK("#",""), HYPERLINK(CONCATENATE("#metadata!", ADDRESS(INDEX($AH$2:$AH$1001,MATCH(ROWS($AF$2:AF356),$AF$2:$AF$1001,0),0), INDEX($AM$1004:$BM$1004,1,MATCH(COLUMNS($AM$1006:AP1006),$AM$1006:$BM$1006,0)))),"Fix")))</f>
        <v xml:space="preserve"> </v>
      </c>
      <c r="F356" s="4" t="str">
        <f ca="1">IF(OR(INDEX($AG$2:$AG$1001,MATCH(ROWS($AF$2:AF356),$AF$2:$AF$1001,0),1)&gt;=100000,INDEX($AM$1005:$BM$1005,1,MATCH(COLUMNS($AM$1006:AQ1006),$AM$1006:$BM$1006,0))&gt;=100000), " ",IF(INDEX($AM$2:$BM$1001,MATCH(ROWS($AF$2:AF356),$AF$2:$AF$1001,0),MATCH(COLUMNS($AM$1006:AQ1006),$AM$1006:$BM$1006,0)), HYPERLINK("#",""), HYPERLINK(CONCATENATE("#metadata!", ADDRESS(INDEX($AH$2:$AH$1001,MATCH(ROWS($AF$2:AF356),$AF$2:$AF$1001,0),0), INDEX($AM$1004:$BM$1004,1,MATCH(COLUMNS($AM$1006:AQ1006),$AM$1006:$BM$1006,0)))),"Fix")))</f>
        <v xml:space="preserve"> </v>
      </c>
      <c r="G356" s="4" t="str">
        <f ca="1">IF(OR(INDEX($AG$2:$AG$1001,MATCH(ROWS($AF$2:AF356),$AF$2:$AF$1001,0),1)&gt;=100000,INDEX($AM$1005:$BM$1005,1,MATCH(COLUMNS($AM$1006:AR1006),$AM$1006:$BM$1006,0))&gt;=100000), " ",IF(INDEX($AM$2:$BM$1001,MATCH(ROWS($AF$2:AF356),$AF$2:$AF$1001,0),MATCH(COLUMNS($AM$1006:AR1006),$AM$1006:$BM$1006,0)), HYPERLINK("#",""), HYPERLINK(CONCATENATE("#metadata!", ADDRESS(INDEX($AH$2:$AH$1001,MATCH(ROWS($AF$2:AF356),$AF$2:$AF$1001,0),0), INDEX($AM$1004:$BM$1004,1,MATCH(COLUMNS($AM$1006:AR1006),$AM$1006:$BM$1006,0)))),"Fix")))</f>
        <v xml:space="preserve"> </v>
      </c>
      <c r="H356" s="4" t="str">
        <f ca="1">IF(OR(INDEX($AG$2:$AG$1001,MATCH(ROWS($AF$2:AF356),$AF$2:$AF$1001,0),1)&gt;=100000,INDEX($AM$1005:$BM$1005,1,MATCH(COLUMNS($AM$1006:AS1006),$AM$1006:$BM$1006,0))&gt;=100000), " ",IF(INDEX($AM$2:$BM$1001,MATCH(ROWS($AF$2:AF356),$AF$2:$AF$1001,0),MATCH(COLUMNS($AM$1006:AS1006),$AM$1006:$BM$1006,0)), HYPERLINK("#",""), HYPERLINK(CONCATENATE("#metadata!", ADDRESS(INDEX($AH$2:$AH$1001,MATCH(ROWS($AF$2:AF356),$AF$2:$AF$1001,0),0), INDEX($AM$1004:$BM$1004,1,MATCH(COLUMNS($AM$1006:AS1006),$AM$1006:$BM$1006,0)))),"Fix")))</f>
        <v xml:space="preserve"> </v>
      </c>
      <c r="I356" s="4" t="str">
        <f ca="1">IF(OR(INDEX($AG$2:$AG$1001,MATCH(ROWS($AF$2:AF356),$AF$2:$AF$1001,0),1)&gt;=100000,INDEX($AM$1005:$BM$1005,1,MATCH(COLUMNS($AM$1006:AT1006),$AM$1006:$BM$1006,0))&gt;=100000), " ",IF(INDEX($AM$2:$BM$1001,MATCH(ROWS($AF$2:AF356),$AF$2:$AF$1001,0),MATCH(COLUMNS($AM$1006:AT1006),$AM$1006:$BM$1006,0)), HYPERLINK("#",""), HYPERLINK(CONCATENATE("#metadata!", ADDRESS(INDEX($AH$2:$AH$1001,MATCH(ROWS($AF$2:AF356),$AF$2:$AF$1001,0),0), INDEX($AM$1004:$BM$1004,1,MATCH(COLUMNS($AM$1006:AT1006),$AM$1006:$BM$1006,0)))),"Fix")))</f>
        <v xml:space="preserve"> </v>
      </c>
      <c r="J356" s="4" t="str">
        <f ca="1">IF(OR(INDEX($AG$2:$AG$1001,MATCH(ROWS($AF$2:AF356),$AF$2:$AF$1001,0),1)&gt;=100000,INDEX($AM$1005:$BM$1005,1,MATCH(COLUMNS($AM$1006:AU1006),$AM$1006:$BM$1006,0))&gt;=100000), " ",IF(INDEX($AM$2:$BM$1001,MATCH(ROWS($AF$2:AF356),$AF$2:$AF$1001,0),MATCH(COLUMNS($AM$1006:AU1006),$AM$1006:$BM$1006,0)), HYPERLINK("#",""), HYPERLINK(CONCATENATE("#metadata!", ADDRESS(INDEX($AH$2:$AH$1001,MATCH(ROWS($AF$2:AF356),$AF$2:$AF$1001,0),0), INDEX($AM$1004:$BM$1004,1,MATCH(COLUMNS($AM$1006:AU1006),$AM$1006:$BM$1006,0)))),"Fix")))</f>
        <v xml:space="preserve"> </v>
      </c>
      <c r="K356" s="4" t="str">
        <f ca="1">IF(OR(INDEX($AG$2:$AG$1001,MATCH(ROWS($AF$2:AF356),$AF$2:$AF$1001,0),1)&gt;=100000,INDEX($AM$1005:$BM$1005,1,MATCH(COLUMNS($AM$1006:AV1006),$AM$1006:$BM$1006,0))&gt;=100000), " ",IF(INDEX($AM$2:$BM$1001,MATCH(ROWS($AF$2:AF356),$AF$2:$AF$1001,0),MATCH(COLUMNS($AM$1006:AV1006),$AM$1006:$BM$1006,0)), HYPERLINK("#",""), HYPERLINK(CONCATENATE("#metadata!", ADDRESS(INDEX($AH$2:$AH$1001,MATCH(ROWS($AF$2:AF356),$AF$2:$AF$1001,0),0), INDEX($AM$1004:$BM$1004,1,MATCH(COLUMNS($AM$1006:AV1006),$AM$1006:$BM$1006,0)))),"Fix")))</f>
        <v xml:space="preserve"> </v>
      </c>
      <c r="L356" s="4" t="str">
        <f ca="1">IF(OR(INDEX($AG$2:$AG$1001,MATCH(ROWS($AF$2:AF356),$AF$2:$AF$1001,0),1)&gt;=100000,INDEX($AM$1005:$BM$1005,1,MATCH(COLUMNS($AM$1006:AW1006),$AM$1006:$BM$1006,0))&gt;=100000), " ",IF(INDEX($AM$2:$BM$1001,MATCH(ROWS($AF$2:AF356),$AF$2:$AF$1001,0),MATCH(COLUMNS($AM$1006:AW1006),$AM$1006:$BM$1006,0)), HYPERLINK("#",""), HYPERLINK(CONCATENATE("#metadata!", ADDRESS(INDEX($AH$2:$AH$1001,MATCH(ROWS($AF$2:AF356),$AF$2:$AF$1001,0),0), INDEX($AM$1004:$BM$1004,1,MATCH(COLUMNS($AM$1006:AW1006),$AM$1006:$BM$1006,0)))),"Fix")))</f>
        <v xml:space="preserve"> </v>
      </c>
      <c r="M356" s="4" t="str">
        <f ca="1">IF(OR(INDEX($AG$2:$AG$1001,MATCH(ROWS($AF$2:AF356),$AF$2:$AF$1001,0),1)&gt;=100000,INDEX($AM$1005:$BM$1005,1,MATCH(COLUMNS($AM$1006:AX1006),$AM$1006:$BM$1006,0))&gt;=100000), " ",IF(INDEX($AM$2:$BM$1001,MATCH(ROWS($AF$2:AF356),$AF$2:$AF$1001,0),MATCH(COLUMNS($AM$1006:AX1006),$AM$1006:$BM$1006,0)), HYPERLINK("#",""), HYPERLINK(CONCATENATE("#metadata!", ADDRESS(INDEX($AH$2:$AH$1001,MATCH(ROWS($AF$2:AF356),$AF$2:$AF$1001,0),0), INDEX($AM$1004:$BM$1004,1,MATCH(COLUMNS($AM$1006:AX1006),$AM$1006:$BM$1006,0)))),"Fix")))</f>
        <v xml:space="preserve"> </v>
      </c>
      <c r="N356" s="4" t="str">
        <f ca="1">IF(OR(INDEX($AG$2:$AG$1001,MATCH(ROWS($AF$2:AF356),$AF$2:$AF$1001,0),1)&gt;=100000,INDEX($AM$1005:$BM$1005,1,MATCH(COLUMNS($AM$1006:AY1006),$AM$1006:$BM$1006,0))&gt;=100000), " ",IF(INDEX($AM$2:$BM$1001,MATCH(ROWS($AF$2:AF356),$AF$2:$AF$1001,0),MATCH(COLUMNS($AM$1006:AY1006),$AM$1006:$BM$1006,0)), HYPERLINK("#",""), HYPERLINK(CONCATENATE("#metadata!", ADDRESS(INDEX($AH$2:$AH$1001,MATCH(ROWS($AF$2:AF356),$AF$2:$AF$1001,0),0), INDEX($AM$1004:$BM$1004,1,MATCH(COLUMNS($AM$1006:AY1006),$AM$1006:$BM$1006,0)))),"Fix")))</f>
        <v xml:space="preserve"> </v>
      </c>
      <c r="O356" s="4" t="str">
        <f ca="1">IF(OR(INDEX($AG$2:$AG$1001,MATCH(ROWS($AF$2:AF356),$AF$2:$AF$1001,0),1)&gt;=100000,INDEX($AM$1005:$BM$1005,1,MATCH(COLUMNS($AM$1006:AZ1006),$AM$1006:$BM$1006,0))&gt;=100000), " ",IF(INDEX($AM$2:$BM$1001,MATCH(ROWS($AF$2:AF356),$AF$2:$AF$1001,0),MATCH(COLUMNS($AM$1006:AZ1006),$AM$1006:$BM$1006,0)), HYPERLINK("#",""), HYPERLINK(CONCATENATE("#metadata!", ADDRESS(INDEX($AH$2:$AH$1001,MATCH(ROWS($AF$2:AF356),$AF$2:$AF$1001,0),0), INDEX($AM$1004:$BM$1004,1,MATCH(COLUMNS($AM$1006:AZ1006),$AM$1006:$BM$1006,0)))),"Fix")))</f>
        <v xml:space="preserve"> </v>
      </c>
      <c r="P356" s="4" t="str">
        <f ca="1">IF(OR(INDEX($AG$2:$AG$1001,MATCH(ROWS($AF$2:AF356),$AF$2:$AF$1001,0),1)&gt;=100000,INDEX($AM$1005:$BM$1005,1,MATCH(COLUMNS($AM$1006:BA1006),$AM$1006:$BM$1006,0))&gt;=100000), " ",IF(INDEX($AM$2:$BM$1001,MATCH(ROWS($AF$2:AF356),$AF$2:$AF$1001,0),MATCH(COLUMNS($AM$1006:BA1006),$AM$1006:$BM$1006,0)), HYPERLINK("#",""), HYPERLINK(CONCATENATE("#metadata!", ADDRESS(INDEX($AH$2:$AH$1001,MATCH(ROWS($AF$2:AF356),$AF$2:$AF$1001,0),0), INDEX($AM$1004:$BM$1004,1,MATCH(COLUMNS($AM$1006:BA1006),$AM$1006:$BM$1006,0)))),"Fix")))</f>
        <v xml:space="preserve"> </v>
      </c>
      <c r="Q356" s="4" t="str">
        <f ca="1">IF(OR(INDEX($AG$2:$AG$1001,MATCH(ROWS($AF$2:AF356),$AF$2:$AF$1001,0),1)&gt;=100000,INDEX($AM$1005:$BM$1005,1,MATCH(COLUMNS($AM$1006:BB1006),$AM$1006:$BM$1006,0))&gt;=100000), " ",IF(INDEX($AM$2:$BM$1001,MATCH(ROWS($AF$2:AF356),$AF$2:$AF$1001,0),MATCH(COLUMNS($AM$1006:BB1006),$AM$1006:$BM$1006,0)), HYPERLINK("#",""), HYPERLINK(CONCATENATE("#metadata!", ADDRESS(INDEX($AH$2:$AH$1001,MATCH(ROWS($AF$2:AF356),$AF$2:$AF$1001,0),0), INDEX($AM$1004:$BM$1004,1,MATCH(COLUMNS($AM$1006:BB1006),$AM$1006:$BM$1006,0)))),"Fix")))</f>
        <v xml:space="preserve"> </v>
      </c>
      <c r="R356" s="4" t="str">
        <f ca="1">IF(OR(INDEX($AG$2:$AG$1001,MATCH(ROWS($AF$2:AF356),$AF$2:$AF$1001,0),1)&gt;=100000,INDEX($AM$1005:$BM$1005,1,MATCH(COLUMNS($AM$1006:BC1006),$AM$1006:$BM$1006,0))&gt;=100000), " ",IF(INDEX($AM$2:$BM$1001,MATCH(ROWS($AF$2:AF356),$AF$2:$AF$1001,0),MATCH(COLUMNS($AM$1006:BC1006),$AM$1006:$BM$1006,0)), HYPERLINK("#",""), HYPERLINK(CONCATENATE("#metadata!", ADDRESS(INDEX($AH$2:$AH$1001,MATCH(ROWS($AF$2:AF356),$AF$2:$AF$1001,0),0), INDEX($AM$1004:$BM$1004,1,MATCH(COLUMNS($AM$1006:BC1006),$AM$1006:$BM$1006,0)))),"Fix")))</f>
        <v xml:space="preserve"> </v>
      </c>
      <c r="S356" s="4" t="str">
        <f ca="1">IF(OR(INDEX($AG$2:$AG$1001,MATCH(ROWS($AF$2:AF356),$AF$2:$AF$1001,0),1)&gt;=100000,INDEX($AM$1005:$BM$1005,1,MATCH(COLUMNS($AM$1006:BD1006),$AM$1006:$BM$1006,0))&gt;=100000), " ",IF(INDEX($AM$2:$BM$1001,MATCH(ROWS($AF$2:AF356),$AF$2:$AF$1001,0),MATCH(COLUMNS($AM$1006:BD1006),$AM$1006:$BM$1006,0)), HYPERLINK("#",""), HYPERLINK(CONCATENATE("#metadata!", ADDRESS(INDEX($AH$2:$AH$1001,MATCH(ROWS($AF$2:AF356),$AF$2:$AF$1001,0),0), INDEX($AM$1004:$BM$1004,1,MATCH(COLUMNS($AM$1006:BD1006),$AM$1006:$BM$1006,0)))),"Fix")))</f>
        <v xml:space="preserve"> </v>
      </c>
      <c r="T356" s="4" t="str">
        <f ca="1">IF(OR(INDEX($AG$2:$AG$1001,MATCH(ROWS($AF$2:AF356),$AF$2:$AF$1001,0),1)&gt;=100000,INDEX($AM$1005:$BM$1005,1,MATCH(COLUMNS($AM$1006:BE1006),$AM$1006:$BM$1006,0))&gt;=100000), " ",IF(INDEX($AM$2:$BM$1001,MATCH(ROWS($AF$2:AF356),$AF$2:$AF$1001,0),MATCH(COLUMNS($AM$1006:BE1006),$AM$1006:$BM$1006,0)), HYPERLINK("#",""), HYPERLINK(CONCATENATE("#metadata!", ADDRESS(INDEX($AH$2:$AH$1001,MATCH(ROWS($AF$2:AF356),$AF$2:$AF$1001,0),0), INDEX($AM$1004:$BM$1004,1,MATCH(COLUMNS($AM$1006:BE1006),$AM$1006:$BM$1006,0)))),"Fix")))</f>
        <v xml:space="preserve"> </v>
      </c>
      <c r="U356" s="4" t="str">
        <f ca="1">IF(OR(INDEX($AG$2:$AG$1001,MATCH(ROWS($AF$2:AF356),$AF$2:$AF$1001,0),1)&gt;=100000,INDEX($AM$1005:$BM$1005,1,MATCH(COLUMNS($AM$1006:BF1006),$AM$1006:$BM$1006,0))&gt;=100000), " ",IF(INDEX($AM$2:$BM$1001,MATCH(ROWS($AF$2:AF356),$AF$2:$AF$1001,0),MATCH(COLUMNS($AM$1006:BF1006),$AM$1006:$BM$1006,0)), HYPERLINK("#",""), HYPERLINK(CONCATENATE("#metadata!", ADDRESS(INDEX($AH$2:$AH$1001,MATCH(ROWS($AF$2:AF356),$AF$2:$AF$1001,0),0), INDEX($AM$1004:$BM$1004,1,MATCH(COLUMNS($AM$1006:BF1006),$AM$1006:$BM$1006,0)))),"Fix")))</f>
        <v xml:space="preserve"> </v>
      </c>
      <c r="V356" s="4" t="str">
        <f ca="1">IF(OR(INDEX($AG$2:$AG$1001,MATCH(ROWS($AF$2:AF356),$AF$2:$AF$1001,0),1)&gt;=100000,INDEX($AM$1005:$BM$1005,1,MATCH(COLUMNS($AM$1006:BG1006),$AM$1006:$BM$1006,0))&gt;=100000), " ",IF(INDEX($AM$2:$BM$1001,MATCH(ROWS($AF$2:AF356),$AF$2:$AF$1001,0),MATCH(COLUMNS($AM$1006:BG1006),$AM$1006:$BM$1006,0)), HYPERLINK("#",""), HYPERLINK(CONCATENATE("#metadata!", ADDRESS(INDEX($AH$2:$AH$1001,MATCH(ROWS($AF$2:AF356),$AF$2:$AF$1001,0),0), INDEX($AM$1004:$BM$1004,1,MATCH(COLUMNS($AM$1006:BG1006),$AM$1006:$BM$1006,0)))),"Fix")))</f>
        <v xml:space="preserve"> </v>
      </c>
      <c r="W356" s="4" t="str">
        <f ca="1">IF(OR(INDEX($AG$2:$AG$1001,MATCH(ROWS($AF$2:AF356),$AF$2:$AF$1001,0),1)&gt;=100000,INDEX($AM$1005:$BM$1005,1,MATCH(COLUMNS($AM$1006:BH1006),$AM$1006:$BM$1006,0))&gt;=100000), " ",IF(INDEX($AM$2:$BM$1001,MATCH(ROWS($AF$2:AF356),$AF$2:$AF$1001,0),MATCH(COLUMNS($AM$1006:BH1006),$AM$1006:$BM$1006,0)), HYPERLINK("#",""), HYPERLINK(CONCATENATE("#metadata!", ADDRESS(INDEX($AH$2:$AH$1001,MATCH(ROWS($AF$2:AF356),$AF$2:$AF$1001,0),0), INDEX($AM$1004:$BM$1004,1,MATCH(COLUMNS($AM$1006:BH1006),$AM$1006:$BM$1006,0)))),"Fix")))</f>
        <v xml:space="preserve"> </v>
      </c>
      <c r="X356" s="4" t="str">
        <f ca="1">IF(OR(INDEX($AG$2:$AG$1001,MATCH(ROWS($AF$2:AF356),$AF$2:$AF$1001,0),1)&gt;=100000,INDEX($AM$1005:$BM$1005,1,MATCH(COLUMNS($AM$1006:BI1006),$AM$1006:$BM$1006,0))&gt;=100000), " ",IF(INDEX($AM$2:$BM$1001,MATCH(ROWS($AF$2:AF356),$AF$2:$AF$1001,0),MATCH(COLUMNS($AM$1006:BI1006),$AM$1006:$BM$1006,0)), HYPERLINK("#",""), HYPERLINK(CONCATENATE("#metadata!", ADDRESS(INDEX($AH$2:$AH$1001,MATCH(ROWS($AF$2:AF356),$AF$2:$AF$1001,0),0), INDEX($AM$1004:$BM$1004,1,MATCH(COLUMNS($AM$1006:BI1006),$AM$1006:$BM$1006,0)))),"Fix")))</f>
        <v xml:space="preserve"> </v>
      </c>
      <c r="Y356" s="4" t="str">
        <f ca="1">IF(OR(INDEX($AG$2:$AG$1001,MATCH(ROWS($AF$2:AF356),$AF$2:$AF$1001,0),1)&gt;=100000,INDEX($AM$1005:$BM$1005,1,MATCH(COLUMNS($AM$1006:BJ1006),$AM$1006:$BM$1006,0))&gt;=100000), " ",IF(INDEX($AM$2:$BM$1001,MATCH(ROWS($AF$2:AF356),$AF$2:$AF$1001,0),MATCH(COLUMNS($AM$1006:BJ1006),$AM$1006:$BM$1006,0)), HYPERLINK("#",""), HYPERLINK(CONCATENATE("#metadata!", ADDRESS(INDEX($AH$2:$AH$1001,MATCH(ROWS($AF$2:AF356),$AF$2:$AF$1001,0),0), INDEX($AM$1004:$BM$1004,1,MATCH(COLUMNS($AM$1006:BJ1006),$AM$1006:$BM$1006,0)))),"Fix")))</f>
        <v xml:space="preserve"> </v>
      </c>
      <c r="Z356" s="4" t="str">
        <f ca="1">IF(OR(INDEX($AG$2:$AG$1001,MATCH(ROWS($AF$2:AF356),$AF$2:$AF$1001,0),1)&gt;=100000,INDEX($AM$1005:$BM$1005,1,MATCH(COLUMNS($AM$1006:BK1006),$AM$1006:$BM$1006,0))&gt;=100000), " ",IF(INDEX($AM$2:$BM$1001,MATCH(ROWS($AF$2:AF356),$AF$2:$AF$1001,0),MATCH(COLUMNS($AM$1006:BK1006),$AM$1006:$BM$1006,0)), HYPERLINK("#",""), HYPERLINK(CONCATENATE("#metadata!", ADDRESS(INDEX($AH$2:$AH$1001,MATCH(ROWS($AF$2:AF356),$AF$2:$AF$1001,0),0), INDEX($AM$1004:$BM$1004,1,MATCH(COLUMNS($AM$1006:BK1006),$AM$1006:$BM$1006,0)))),"Fix")))</f>
        <v xml:space="preserve"> </v>
      </c>
      <c r="AA356" s="4" t="str">
        <f ca="1">IF(OR(INDEX($AG$2:$AG$1001,MATCH(ROWS($AF$2:AF356),$AF$2:$AF$1001,0),1)&gt;=100000,INDEX($AM$1005:$BM$1005,1,MATCH(COLUMNS($AM$1006:BL1006),$AM$1006:$BM$1006,0))&gt;=100000), " ",IF(INDEX($AM$2:$BM$1001,MATCH(ROWS($AF$2:AF356),$AF$2:$AF$1001,0),MATCH(COLUMNS($AM$1006:BL1006),$AM$1006:$BM$1006,0)), HYPERLINK("#",""), HYPERLINK(CONCATENATE("#metadata!", ADDRESS(INDEX($AH$2:$AH$1001,MATCH(ROWS($AF$2:AF356),$AF$2:$AF$1001,0),0), INDEX($AM$1004:$BM$1004,1,MATCH(COLUMNS($AM$1006:BL1006),$AM$1006:$BM$1006,0)))),"Fix")))</f>
        <v xml:space="preserve"> </v>
      </c>
      <c r="AB356" s="4" t="str">
        <f ca="1">IF(OR(INDEX($AG$2:$AG$1001,MATCH(ROWS($AF$2:AF356),$AF$2:$AF$1001,0),1)&gt;=100000,INDEX($AM$1005:$BM$1005,1,MATCH(COLUMNS($AM$1006:BM1006),$AM$1006:$BM$1006,0))&gt;=100000), " ",IF(INDEX($AM$2:$BM$1001,MATCH(ROWS($AF$2:AF356),$AF$2:$AF$1001,0),MATCH(COLUMNS($AM$1006:BM1006),$AM$1006:$BM$1006,0)), HYPERLINK("#",""), HYPERLINK(CONCATENATE("#metadata!", ADDRESS(INDEX($AH$2:$AH$1001,MATCH(ROWS($AF$2:AF356),$AF$2:$AF$1001,0),0), INDEX($AM$1004:$BM$1004,1,MATCH(COLUMNS($AM$1006:BM1006),$AM$1006:$BM$1006,0)))),"Fix")))</f>
        <v xml:space="preserve"> </v>
      </c>
      <c r="AF356">
        <v>355</v>
      </c>
      <c r="AG356">
        <v>100356</v>
      </c>
      <c r="AH356">
        <v>356</v>
      </c>
      <c r="AI356" t="b">
        <f t="shared" si="5"/>
        <v>1</v>
      </c>
      <c r="AJ356" t="b">
        <f>COUNTBLANK(metadata!B356:AB356)=COLUMNS(metadata!B356:AB356)</f>
        <v>1</v>
      </c>
      <c r="AK356" t="str">
        <v/>
      </c>
      <c r="AM356" t="b">
        <f ca="1">AND(IF(metadata!B356="",FALSE,TRUE),COUNTIF(metadata!B:B, metadata!B356) = 1,NOT(ISERROR(SUMPRODUCT(SEARCH(MID(metadata!B356,ROW(INDIRECT("1:"&amp;LEN(metadata!B356))), 1),"0123456789abcdefghijklmnopqrstuvwxyzABCDEFGHIJKLMNOPQRSTUVWXYZ.")))))</f>
        <v>0</v>
      </c>
      <c r="AN356" t="b">
        <f ca="1">OR(AND(IF(metadata!C356="",FALSE,TRUE),OR(EXACT(metadata!C356,"missing: not collected"),EXACT(metadata!C356,"missing: not provided"),EXACT(metadata!C356,"missing: restricted access"))),AND(IF(metadata!C356="",FALSE,TRUE),AND(AND(IFERROR(INT(LEFT(metadata!C356,4))&gt;1900,FALSE),IFERROR(INT(LEFT(metadata!C356,4))&lt;=YEAR(NOW()),FALSE)), OR(MID(metadata!C356,5,1)="", AND(AND(MID(metadata!C356,5,1)="-",IFERROR(INT(MID(metadata!C356,6,1))&gt;=0,FALSE),IFERROR(INT(MID(metadata!C356,6,1))&lt;=1,FALSE),NOT(MID(metadata!C356,7,1)=""),IFERROR(INT(MID(metadata!C356,6,2))&gt;=1,FALSE),IFERROR(INT(MID(metadata!C356,6,2))&lt;=12,FALSE)), OR(MID(metadata!C356,8,1)="", AND(AND(MID(metadata!C356,8,1)="-",IFERROR(INT(MID(metadata!C356,9,1))&gt;=0,FALSE),IFERROR(INT(MID(metadata!C356,9,1))&lt;=3,FALSE),NOT(MID(metadata!C356,10,1)=""),IFERROR(INT(MID(metadata!C356,9,2))&gt;=1,FALSE),IFERROR(INT(MID(metadata!C356,9,2))&lt;=31,FALSE)), OR(MID(metadata!C356,11,1)="", AND(AND(MID(metadata!C356,11,1)=" ",IFERROR(INT(MID(metadata!C356,12,1))&gt;=0,FALSE),IFERROR(INT(MID(metadata!C356,12,1))&lt;=2,FALSE),NOT(MID(metadata!C356,13,1)=""),IFERROR(INT(MID(metadata!C356,12,2))&gt;=0,FALSE),IFERROR(INT(MID(metadata!C356,12,2))&lt;=23,FALSE)), OR(MID(metadata!C356,14,1)="", AND(AND(MID(metadata!C356,14,1)=":",IFERROR(INT(MID(metadata!C356,15,1))&gt;=0,FALSE),IFERROR(INT(MID(metadata!C356,15,1))&lt;=5,FALSE),NOT(MID(metadata!C356,16,1)=""),IFERROR(INT(MID(metadata!C356,15,2))&gt;=0,FALSE),IFERROR(INT(MID(metadata!C356,15,2))&lt;=59,FALSE)), OR(MID(metadata!C356,17,1)="", AND(AND(MID(metadata!C356,17,1)=":",IFERROR(INT(MID(metadata!C356,18,1))&gt;=0,FALSE),IFERROR(INT(MID(metadata!C356,18,1))&lt;=5,FALSE),NOT(MID(metadata!C356,19,1)=""),IFERROR(INT(MID(metadata!C356,18,2))&gt;=0,FALSE),IFERROR(INT(MID(metadata!C356,18,2))&lt;=59,FALSE)), LEN(metadata!C356)&lt;=19)))))))))))))</f>
        <v>0</v>
      </c>
      <c r="AO356" t="b">
        <f>AND(IF(metadata!D356="",FALSE,TRUE),EXACT(metadata!D356,"Not applicable"))</f>
        <v>0</v>
      </c>
      <c r="AP356" t="b">
        <f>IF(metadata!E356="",FALSE,TRUE)</f>
        <v>0</v>
      </c>
      <c r="AQ356" t="b">
        <f>OR(AND(IF(metadata!F356="",FALSE,TRUE),OR(EXACT(metadata!F356,"missing: not collected"),EXACT(metadata!F356,"missing: not provided"))),AND(IF(metadata!F356="",FALSE,TRUE),OR(EXACT(metadata!F356,"TRUE"),EXACT(metadata!F356,"FALSE"))))</f>
        <v>0</v>
      </c>
      <c r="AR356" t="b">
        <f>OR(AND(IF(metadata!G356="",FALSE,TRUE),OR(EXACT(metadata!G356,"missing: not collected"),EXACT(metadata!G356,"missing: not provided"),EXACT(metadata!G356,"missing: restricted access"))),AND(IF(metadata!G356="",FALSE,ISNUMBER(VALUE(metadata!G356))),metadata!G356&gt;=-413))</f>
        <v>0</v>
      </c>
      <c r="AS356" t="b">
        <f>AND(IF(metadata!H356="",FALSE,TRUE),EXACT(metadata!H356,"meters"))</f>
        <v>0</v>
      </c>
      <c r="AT356" t="b">
        <f>AND(IF(metadata!I356="",FALSE,TRUE),OR(EXACT(metadata!I356,"Host-associated"),EXACT(metadata!I356,"Free-living")))</f>
        <v>0</v>
      </c>
      <c r="AU356" t="b">
        <f>AND(IF(metadata!J356="",FALSE,TRUE),OR(EXACT(metadata!J356,"Animal"),EXACT(metadata!J356,"Fungus"),EXACT(metadata!J356,"Plant"),EXACT(metadata!J356,"Saline"),EXACT(metadata!J356,"Non-saline")))</f>
        <v>0</v>
      </c>
      <c r="AV356" t="b">
        <f>AND(IF(metadata!K356="",FALSE,TRUE),OR(EXACT(metadata!K356,"Plant secretion"),EXACT(metadata!K356,"Plant rhizosphere"),EXACT(metadata!K356,"Plant surface"),EXACT(metadata!K356,"Plant corpus"),EXACT(metadata!K356,"Fungus surface"),EXACT(metadata!K356,"Fungus corpus"),EXACT(metadata!K356,"Animal surface"),EXACT(metadata!K356,"Animal proximal gut"),EXACT(metadata!K356,"Animal corpus"),EXACT(metadata!K356,"Animal distal gut"),EXACT(metadata!K356,"Animal secretion"),EXACT(metadata!K356,"Sub-surface (non-saline)"),EXACT(metadata!K356,"Surface (non-saline)"),EXACT(metadata!K356,"Water (non-saline)"),EXACT(metadata!K356,"Soil (non-saline)"),EXACT(metadata!K356,"Aerosol (non-saline)"),EXACT(metadata!K356,"Sediment (non-saline)"),EXACT(metadata!K356,"Surface (saline)"),EXACT(metadata!K356,"Water (saline)"),EXACT(metadata!K356,"Hypersaline (saline)"),EXACT(metadata!K356,"Aerosol (saline)"),EXACT(metadata!K356,"Sediment (saline)")))</f>
        <v>0</v>
      </c>
      <c r="AW356" t="b">
        <f>IF(metadata!L356="",FALSE,TRUE)</f>
        <v>0</v>
      </c>
      <c r="AX356" t="b">
        <f>IF(metadata!M356="",FALSE,TRUE)</f>
        <v>0</v>
      </c>
      <c r="AY356" t="b">
        <f>IF(metadata!N356="",FALSE,TRUE)</f>
        <v>0</v>
      </c>
      <c r="AZ356" t="b">
        <f>OR(AND(IF(metadata!O356="",FALSE,TRUE),OR(EXACT(metadata!O356,"missing: not collected"),EXACT(metadata!O356,"missing: not provided"),EXACT(metadata!O356,"missing: restricted access"))),AND(IF(metadata!O356="",FALSE,TRUE),OR(EXACT(metadata!O356,"air"),EXACT(metadata!O356,"built environment"),EXACT(metadata!O356,"host-associated"),EXACT(metadata!O356,"human-associated"),EXACT(metadata!O356,"human-skin"),EXACT(metadata!O356,"human-oral"),EXACT(metadata!O356,"human-gut"),EXACT(metadata!O356,"human-vaginal"),EXACT(metadata!O356,"microbial mat/biofilm"),EXACT(metadata!O356,"misc environment"),EXACT(metadata!O356,"plant-associated"),EXACT(metadata!O356,"sediment"),EXACT(metadata!O356,"soil"),EXACT(metadata!O356,"wastewater/sludge"),EXACT(metadata!O356,"water"))))</f>
        <v>0</v>
      </c>
      <c r="BA356" t="b">
        <f>IF(metadata!P356="",FALSE,TRUE)</f>
        <v>0</v>
      </c>
      <c r="BB356" t="b">
        <f>IF(metadata!Q356="",FALSE,TRUE)</f>
        <v>0</v>
      </c>
      <c r="BC356" t="b">
        <f>OR(AND(IF(metadata!R356="",FALSE,TRUE),OR(EXACT(metadata!R356,"missing: not collected"),EXACT(metadata!R356,"missing: not provided"),EXACT(metadata!R356,"missing: restricted access"))),AND(IF(metadata!R356="",FALSE,ISNUMBER(VALUE(metadata!R356))),metadata!R356&gt;=-90,metadata!R356&lt;=90))</f>
        <v>0</v>
      </c>
      <c r="BD356" t="b">
        <f>AND(IF(metadata!S356="",FALSE,TRUE),EXACT(metadata!S356,"Decimal degrees"))</f>
        <v>0</v>
      </c>
      <c r="BE356" t="b">
        <f>OR(AND(IF(metadata!T356="",FALSE,TRUE),OR(EXACT(metadata!T356,"missing: not collected"),EXACT(metadata!T356,"missing: not provided"),EXACT(metadata!T356,"missing: restricted access"))),AND(IF(metadata!T356="",FALSE,ISNUMBER(VALUE(metadata!T356))),metadata!T356&gt;=-180,metadata!T356&lt;=180))</f>
        <v>0</v>
      </c>
      <c r="BF356" t="b">
        <f>AND(IF(metadata!U356="",FALSE,TRUE),EXACT(metadata!U356,"Decimal degrees"))</f>
        <v>0</v>
      </c>
      <c r="BG356" t="b">
        <f>IF(metadata!V356="",FALSE,TRUE)</f>
        <v>0</v>
      </c>
      <c r="BH356" t="b">
        <f>OR(AND(IF(metadata!W356="",FALSE,TRUE),OR(EXACT(metadata!W356,"missing: not collected"),EXACT(metadata!W356,"missing: not provided"),EXACT(metadata!W356,"missing: restricted access"))),AND(IF(metadata!W356="",FALSE,TRUE),OR(EXACT(metadata!W356,"TRUE"),EXACT(metadata!W356,"FALSE"))))</f>
        <v>0</v>
      </c>
      <c r="BI356" t="b">
        <f>AND(IF(metadata!X356="",FALSE,TRUE),EXACT(metadata!X356,"other"))</f>
        <v>0</v>
      </c>
      <c r="BJ356" t="b">
        <f>IF(metadata!Y356="",FALSE,TRUE)</f>
        <v>0</v>
      </c>
      <c r="BK356" t="b">
        <f>OR(AND(IF(metadata!Z356="",FALSE,TRUE),OR(EXACT(metadata!Z356,"missing: not collected"),EXACT(metadata!Z356,"missing: not provided"))),AND(IF(metadata!Z356="",FALSE,IF(ISERROR(INT(metadata!Z356)),FALSE,INT(metadata!Z356)=metadata!Z356)),metadata!Z356&gt;0))</f>
        <v>0</v>
      </c>
      <c r="BL356" t="b">
        <f>AND(IF(metadata!AA356="",FALSE,TRUE),EXACT(metadata!AA356,"Not applicable"))</f>
        <v>0</v>
      </c>
      <c r="BM356" t="b">
        <f>IF(metadata!AB356="",FALSE,TRUE)</f>
        <v>0</v>
      </c>
    </row>
    <row r="357" spans="1:65" x14ac:dyDescent="0.2">
      <c r="A357" s="5" t="str">
        <f ca="1">IF(B357=" "," ",HYPERLINK(CONCATENATE("#metadata!",ADDRESS(INDEX($AH$2:$AH$1001,MATCH(ROWS($AF$2:AF357),$AF$2:$AF$1001,0),0),1)),INDEX($AK$2:$AK$1001,MATCH(ROWS($AF$2:AF357),$AF$2:$AF$1001,0),0)))</f>
        <v xml:space="preserve"> </v>
      </c>
      <c r="B357" s="4" t="str">
        <f ca="1">IF(OR(INDEX($AG$2:$AG$1001,MATCH(ROWS($AF$2:AF357),$AF$2:$AF$1001,0),1)&gt;=100000,INDEX($AM$1005:$BM$1005,1,MATCH(COLUMNS($AM$1006:AM1006),$AM$1006:$BM$1006,0))&gt;=100000), " ",IF(INDEX($AM$2:$BM$1001,MATCH(ROWS($AF$2:AF357),$AF$2:$AF$1001,0),MATCH(COLUMNS($AM$1006:AM1006),$AM$1006:$BM$1006,0)), HYPERLINK("#",""), HYPERLINK(CONCATENATE("#metadata!", ADDRESS(INDEX($AH$2:$AH$1001,MATCH(ROWS($AF$2:AF357),$AF$2:$AF$1001,0),0), INDEX($AM$1004:$BM$1004,1,MATCH(COLUMNS($AM$1006:AM1006),$AM$1006:$BM$1006,0)))),"Fix")))</f>
        <v xml:space="preserve"> </v>
      </c>
      <c r="C357" s="4" t="str">
        <f ca="1">IF(OR(INDEX($AG$2:$AG$1001,MATCH(ROWS($AF$2:AF357),$AF$2:$AF$1001,0),1)&gt;=100000,INDEX($AM$1005:$BM$1005,1,MATCH(COLUMNS($AM$1006:AN1006),$AM$1006:$BM$1006,0))&gt;=100000), " ",IF(INDEX($AM$2:$BM$1001,MATCH(ROWS($AF$2:AF357),$AF$2:$AF$1001,0),MATCH(COLUMNS($AM$1006:AN1006),$AM$1006:$BM$1006,0)), HYPERLINK("#",""), HYPERLINK(CONCATENATE("#metadata!", ADDRESS(INDEX($AH$2:$AH$1001,MATCH(ROWS($AF$2:AF357),$AF$2:$AF$1001,0),0), INDEX($AM$1004:$BM$1004,1,MATCH(COLUMNS($AM$1006:AN1006),$AM$1006:$BM$1006,0)))),"Fix")))</f>
        <v xml:space="preserve"> </v>
      </c>
      <c r="D357" s="4" t="str">
        <f ca="1">IF(OR(INDEX($AG$2:$AG$1001,MATCH(ROWS($AF$2:AF357),$AF$2:$AF$1001,0),1)&gt;=100000,INDEX($AM$1005:$BM$1005,1,MATCH(COLUMNS($AM$1006:AO1006),$AM$1006:$BM$1006,0))&gt;=100000), " ",IF(INDEX($AM$2:$BM$1001,MATCH(ROWS($AF$2:AF357),$AF$2:$AF$1001,0),MATCH(COLUMNS($AM$1006:AO1006),$AM$1006:$BM$1006,0)), HYPERLINK("#",""), HYPERLINK(CONCATENATE("#metadata!", ADDRESS(INDEX($AH$2:$AH$1001,MATCH(ROWS($AF$2:AF357),$AF$2:$AF$1001,0),0), INDEX($AM$1004:$BM$1004,1,MATCH(COLUMNS($AM$1006:AO1006),$AM$1006:$BM$1006,0)))),"Fix")))</f>
        <v xml:space="preserve"> </v>
      </c>
      <c r="E357" s="4" t="str">
        <f ca="1">IF(OR(INDEX($AG$2:$AG$1001,MATCH(ROWS($AF$2:AF357),$AF$2:$AF$1001,0),1)&gt;=100000,INDEX($AM$1005:$BM$1005,1,MATCH(COLUMNS($AM$1006:AP1006),$AM$1006:$BM$1006,0))&gt;=100000), " ",IF(INDEX($AM$2:$BM$1001,MATCH(ROWS($AF$2:AF357),$AF$2:$AF$1001,0),MATCH(COLUMNS($AM$1006:AP1006),$AM$1006:$BM$1006,0)), HYPERLINK("#",""), HYPERLINK(CONCATENATE("#metadata!", ADDRESS(INDEX($AH$2:$AH$1001,MATCH(ROWS($AF$2:AF357),$AF$2:$AF$1001,0),0), INDEX($AM$1004:$BM$1004,1,MATCH(COLUMNS($AM$1006:AP1006),$AM$1006:$BM$1006,0)))),"Fix")))</f>
        <v xml:space="preserve"> </v>
      </c>
      <c r="F357" s="4" t="str">
        <f ca="1">IF(OR(INDEX($AG$2:$AG$1001,MATCH(ROWS($AF$2:AF357),$AF$2:$AF$1001,0),1)&gt;=100000,INDEX($AM$1005:$BM$1005,1,MATCH(COLUMNS($AM$1006:AQ1006),$AM$1006:$BM$1006,0))&gt;=100000), " ",IF(INDEX($AM$2:$BM$1001,MATCH(ROWS($AF$2:AF357),$AF$2:$AF$1001,0),MATCH(COLUMNS($AM$1006:AQ1006),$AM$1006:$BM$1006,0)), HYPERLINK("#",""), HYPERLINK(CONCATENATE("#metadata!", ADDRESS(INDEX($AH$2:$AH$1001,MATCH(ROWS($AF$2:AF357),$AF$2:$AF$1001,0),0), INDEX($AM$1004:$BM$1004,1,MATCH(COLUMNS($AM$1006:AQ1006),$AM$1006:$BM$1006,0)))),"Fix")))</f>
        <v xml:space="preserve"> </v>
      </c>
      <c r="G357" s="4" t="str">
        <f ca="1">IF(OR(INDEX($AG$2:$AG$1001,MATCH(ROWS($AF$2:AF357),$AF$2:$AF$1001,0),1)&gt;=100000,INDEX($AM$1005:$BM$1005,1,MATCH(COLUMNS($AM$1006:AR1006),$AM$1006:$BM$1006,0))&gt;=100000), " ",IF(INDEX($AM$2:$BM$1001,MATCH(ROWS($AF$2:AF357),$AF$2:$AF$1001,0),MATCH(COLUMNS($AM$1006:AR1006),$AM$1006:$BM$1006,0)), HYPERLINK("#",""), HYPERLINK(CONCATENATE("#metadata!", ADDRESS(INDEX($AH$2:$AH$1001,MATCH(ROWS($AF$2:AF357),$AF$2:$AF$1001,0),0), INDEX($AM$1004:$BM$1004,1,MATCH(COLUMNS($AM$1006:AR1006),$AM$1006:$BM$1006,0)))),"Fix")))</f>
        <v xml:space="preserve"> </v>
      </c>
      <c r="H357" s="4" t="str">
        <f ca="1">IF(OR(INDEX($AG$2:$AG$1001,MATCH(ROWS($AF$2:AF357),$AF$2:$AF$1001,0),1)&gt;=100000,INDEX($AM$1005:$BM$1005,1,MATCH(COLUMNS($AM$1006:AS1006),$AM$1006:$BM$1006,0))&gt;=100000), " ",IF(INDEX($AM$2:$BM$1001,MATCH(ROWS($AF$2:AF357),$AF$2:$AF$1001,0),MATCH(COLUMNS($AM$1006:AS1006),$AM$1006:$BM$1006,0)), HYPERLINK("#",""), HYPERLINK(CONCATENATE("#metadata!", ADDRESS(INDEX($AH$2:$AH$1001,MATCH(ROWS($AF$2:AF357),$AF$2:$AF$1001,0),0), INDEX($AM$1004:$BM$1004,1,MATCH(COLUMNS($AM$1006:AS1006),$AM$1006:$BM$1006,0)))),"Fix")))</f>
        <v xml:space="preserve"> </v>
      </c>
      <c r="I357" s="4" t="str">
        <f ca="1">IF(OR(INDEX($AG$2:$AG$1001,MATCH(ROWS($AF$2:AF357),$AF$2:$AF$1001,0),1)&gt;=100000,INDEX($AM$1005:$BM$1005,1,MATCH(COLUMNS($AM$1006:AT1006),$AM$1006:$BM$1006,0))&gt;=100000), " ",IF(INDEX($AM$2:$BM$1001,MATCH(ROWS($AF$2:AF357),$AF$2:$AF$1001,0),MATCH(COLUMNS($AM$1006:AT1006),$AM$1006:$BM$1006,0)), HYPERLINK("#",""), HYPERLINK(CONCATENATE("#metadata!", ADDRESS(INDEX($AH$2:$AH$1001,MATCH(ROWS($AF$2:AF357),$AF$2:$AF$1001,0),0), INDEX($AM$1004:$BM$1004,1,MATCH(COLUMNS($AM$1006:AT1006),$AM$1006:$BM$1006,0)))),"Fix")))</f>
        <v xml:space="preserve"> </v>
      </c>
      <c r="J357" s="4" t="str">
        <f ca="1">IF(OR(INDEX($AG$2:$AG$1001,MATCH(ROWS($AF$2:AF357),$AF$2:$AF$1001,0),1)&gt;=100000,INDEX($AM$1005:$BM$1005,1,MATCH(COLUMNS($AM$1006:AU1006),$AM$1006:$BM$1006,0))&gt;=100000), " ",IF(INDEX($AM$2:$BM$1001,MATCH(ROWS($AF$2:AF357),$AF$2:$AF$1001,0),MATCH(COLUMNS($AM$1006:AU1006),$AM$1006:$BM$1006,0)), HYPERLINK("#",""), HYPERLINK(CONCATENATE("#metadata!", ADDRESS(INDEX($AH$2:$AH$1001,MATCH(ROWS($AF$2:AF357),$AF$2:$AF$1001,0),0), INDEX($AM$1004:$BM$1004,1,MATCH(COLUMNS($AM$1006:AU1006),$AM$1006:$BM$1006,0)))),"Fix")))</f>
        <v xml:space="preserve"> </v>
      </c>
      <c r="K357" s="4" t="str">
        <f ca="1">IF(OR(INDEX($AG$2:$AG$1001,MATCH(ROWS($AF$2:AF357),$AF$2:$AF$1001,0),1)&gt;=100000,INDEX($AM$1005:$BM$1005,1,MATCH(COLUMNS($AM$1006:AV1006),$AM$1006:$BM$1006,0))&gt;=100000), " ",IF(INDEX($AM$2:$BM$1001,MATCH(ROWS($AF$2:AF357),$AF$2:$AF$1001,0),MATCH(COLUMNS($AM$1006:AV1006),$AM$1006:$BM$1006,0)), HYPERLINK("#",""), HYPERLINK(CONCATENATE("#metadata!", ADDRESS(INDEX($AH$2:$AH$1001,MATCH(ROWS($AF$2:AF357),$AF$2:$AF$1001,0),0), INDEX($AM$1004:$BM$1004,1,MATCH(COLUMNS($AM$1006:AV1006),$AM$1006:$BM$1006,0)))),"Fix")))</f>
        <v xml:space="preserve"> </v>
      </c>
      <c r="L357" s="4" t="str">
        <f ca="1">IF(OR(INDEX($AG$2:$AG$1001,MATCH(ROWS($AF$2:AF357),$AF$2:$AF$1001,0),1)&gt;=100000,INDEX($AM$1005:$BM$1005,1,MATCH(COLUMNS($AM$1006:AW1006),$AM$1006:$BM$1006,0))&gt;=100000), " ",IF(INDEX($AM$2:$BM$1001,MATCH(ROWS($AF$2:AF357),$AF$2:$AF$1001,0),MATCH(COLUMNS($AM$1006:AW1006),$AM$1006:$BM$1006,0)), HYPERLINK("#",""), HYPERLINK(CONCATENATE("#metadata!", ADDRESS(INDEX($AH$2:$AH$1001,MATCH(ROWS($AF$2:AF357),$AF$2:$AF$1001,0),0), INDEX($AM$1004:$BM$1004,1,MATCH(COLUMNS($AM$1006:AW1006),$AM$1006:$BM$1006,0)))),"Fix")))</f>
        <v xml:space="preserve"> </v>
      </c>
      <c r="M357" s="4" t="str">
        <f ca="1">IF(OR(INDEX($AG$2:$AG$1001,MATCH(ROWS($AF$2:AF357),$AF$2:$AF$1001,0),1)&gt;=100000,INDEX($AM$1005:$BM$1005,1,MATCH(COLUMNS($AM$1006:AX1006),$AM$1006:$BM$1006,0))&gt;=100000), " ",IF(INDEX($AM$2:$BM$1001,MATCH(ROWS($AF$2:AF357),$AF$2:$AF$1001,0),MATCH(COLUMNS($AM$1006:AX1006),$AM$1006:$BM$1006,0)), HYPERLINK("#",""), HYPERLINK(CONCATENATE("#metadata!", ADDRESS(INDEX($AH$2:$AH$1001,MATCH(ROWS($AF$2:AF357),$AF$2:$AF$1001,0),0), INDEX($AM$1004:$BM$1004,1,MATCH(COLUMNS($AM$1006:AX1006),$AM$1006:$BM$1006,0)))),"Fix")))</f>
        <v xml:space="preserve"> </v>
      </c>
      <c r="N357" s="4" t="str">
        <f ca="1">IF(OR(INDEX($AG$2:$AG$1001,MATCH(ROWS($AF$2:AF357),$AF$2:$AF$1001,0),1)&gt;=100000,INDEX($AM$1005:$BM$1005,1,MATCH(COLUMNS($AM$1006:AY1006),$AM$1006:$BM$1006,0))&gt;=100000), " ",IF(INDEX($AM$2:$BM$1001,MATCH(ROWS($AF$2:AF357),$AF$2:$AF$1001,0),MATCH(COLUMNS($AM$1006:AY1006),$AM$1006:$BM$1006,0)), HYPERLINK("#",""), HYPERLINK(CONCATENATE("#metadata!", ADDRESS(INDEX($AH$2:$AH$1001,MATCH(ROWS($AF$2:AF357),$AF$2:$AF$1001,0),0), INDEX($AM$1004:$BM$1004,1,MATCH(COLUMNS($AM$1006:AY1006),$AM$1006:$BM$1006,0)))),"Fix")))</f>
        <v xml:space="preserve"> </v>
      </c>
      <c r="O357" s="4" t="str">
        <f ca="1">IF(OR(INDEX($AG$2:$AG$1001,MATCH(ROWS($AF$2:AF357),$AF$2:$AF$1001,0),1)&gt;=100000,INDEX($AM$1005:$BM$1005,1,MATCH(COLUMNS($AM$1006:AZ1006),$AM$1006:$BM$1006,0))&gt;=100000), " ",IF(INDEX($AM$2:$BM$1001,MATCH(ROWS($AF$2:AF357),$AF$2:$AF$1001,0),MATCH(COLUMNS($AM$1006:AZ1006),$AM$1006:$BM$1006,0)), HYPERLINK("#",""), HYPERLINK(CONCATENATE("#metadata!", ADDRESS(INDEX($AH$2:$AH$1001,MATCH(ROWS($AF$2:AF357),$AF$2:$AF$1001,0),0), INDEX($AM$1004:$BM$1004,1,MATCH(COLUMNS($AM$1006:AZ1006),$AM$1006:$BM$1006,0)))),"Fix")))</f>
        <v xml:space="preserve"> </v>
      </c>
      <c r="P357" s="4" t="str">
        <f ca="1">IF(OR(INDEX($AG$2:$AG$1001,MATCH(ROWS($AF$2:AF357),$AF$2:$AF$1001,0),1)&gt;=100000,INDEX($AM$1005:$BM$1005,1,MATCH(COLUMNS($AM$1006:BA1006),$AM$1006:$BM$1006,0))&gt;=100000), " ",IF(INDEX($AM$2:$BM$1001,MATCH(ROWS($AF$2:AF357),$AF$2:$AF$1001,0),MATCH(COLUMNS($AM$1006:BA1006),$AM$1006:$BM$1006,0)), HYPERLINK("#",""), HYPERLINK(CONCATENATE("#metadata!", ADDRESS(INDEX($AH$2:$AH$1001,MATCH(ROWS($AF$2:AF357),$AF$2:$AF$1001,0),0), INDEX($AM$1004:$BM$1004,1,MATCH(COLUMNS($AM$1006:BA1006),$AM$1006:$BM$1006,0)))),"Fix")))</f>
        <v xml:space="preserve"> </v>
      </c>
      <c r="Q357" s="4" t="str">
        <f ca="1">IF(OR(INDEX($AG$2:$AG$1001,MATCH(ROWS($AF$2:AF357),$AF$2:$AF$1001,0),1)&gt;=100000,INDEX($AM$1005:$BM$1005,1,MATCH(COLUMNS($AM$1006:BB1006),$AM$1006:$BM$1006,0))&gt;=100000), " ",IF(INDEX($AM$2:$BM$1001,MATCH(ROWS($AF$2:AF357),$AF$2:$AF$1001,0),MATCH(COLUMNS($AM$1006:BB1006),$AM$1006:$BM$1006,0)), HYPERLINK("#",""), HYPERLINK(CONCATENATE("#metadata!", ADDRESS(INDEX($AH$2:$AH$1001,MATCH(ROWS($AF$2:AF357),$AF$2:$AF$1001,0),0), INDEX($AM$1004:$BM$1004,1,MATCH(COLUMNS($AM$1006:BB1006),$AM$1006:$BM$1006,0)))),"Fix")))</f>
        <v xml:space="preserve"> </v>
      </c>
      <c r="R357" s="4" t="str">
        <f ca="1">IF(OR(INDEX($AG$2:$AG$1001,MATCH(ROWS($AF$2:AF357),$AF$2:$AF$1001,0),1)&gt;=100000,INDEX($AM$1005:$BM$1005,1,MATCH(COLUMNS($AM$1006:BC1006),$AM$1006:$BM$1006,0))&gt;=100000), " ",IF(INDEX($AM$2:$BM$1001,MATCH(ROWS($AF$2:AF357),$AF$2:$AF$1001,0),MATCH(COLUMNS($AM$1006:BC1006),$AM$1006:$BM$1006,0)), HYPERLINK("#",""), HYPERLINK(CONCATENATE("#metadata!", ADDRESS(INDEX($AH$2:$AH$1001,MATCH(ROWS($AF$2:AF357),$AF$2:$AF$1001,0),0), INDEX($AM$1004:$BM$1004,1,MATCH(COLUMNS($AM$1006:BC1006),$AM$1006:$BM$1006,0)))),"Fix")))</f>
        <v xml:space="preserve"> </v>
      </c>
      <c r="S357" s="4" t="str">
        <f ca="1">IF(OR(INDEX($AG$2:$AG$1001,MATCH(ROWS($AF$2:AF357),$AF$2:$AF$1001,0),1)&gt;=100000,INDEX($AM$1005:$BM$1005,1,MATCH(COLUMNS($AM$1006:BD1006),$AM$1006:$BM$1006,0))&gt;=100000), " ",IF(INDEX($AM$2:$BM$1001,MATCH(ROWS($AF$2:AF357),$AF$2:$AF$1001,0),MATCH(COLUMNS($AM$1006:BD1006),$AM$1006:$BM$1006,0)), HYPERLINK("#",""), HYPERLINK(CONCATENATE("#metadata!", ADDRESS(INDEX($AH$2:$AH$1001,MATCH(ROWS($AF$2:AF357),$AF$2:$AF$1001,0),0), INDEX($AM$1004:$BM$1004,1,MATCH(COLUMNS($AM$1006:BD1006),$AM$1006:$BM$1006,0)))),"Fix")))</f>
        <v xml:space="preserve"> </v>
      </c>
      <c r="T357" s="4" t="str">
        <f ca="1">IF(OR(INDEX($AG$2:$AG$1001,MATCH(ROWS($AF$2:AF357),$AF$2:$AF$1001,0),1)&gt;=100000,INDEX($AM$1005:$BM$1005,1,MATCH(COLUMNS($AM$1006:BE1006),$AM$1006:$BM$1006,0))&gt;=100000), " ",IF(INDEX($AM$2:$BM$1001,MATCH(ROWS($AF$2:AF357),$AF$2:$AF$1001,0),MATCH(COLUMNS($AM$1006:BE1006),$AM$1006:$BM$1006,0)), HYPERLINK("#",""), HYPERLINK(CONCATENATE("#metadata!", ADDRESS(INDEX($AH$2:$AH$1001,MATCH(ROWS($AF$2:AF357),$AF$2:$AF$1001,0),0), INDEX($AM$1004:$BM$1004,1,MATCH(COLUMNS($AM$1006:BE1006),$AM$1006:$BM$1006,0)))),"Fix")))</f>
        <v xml:space="preserve"> </v>
      </c>
      <c r="U357" s="4" t="str">
        <f ca="1">IF(OR(INDEX($AG$2:$AG$1001,MATCH(ROWS($AF$2:AF357),$AF$2:$AF$1001,0),1)&gt;=100000,INDEX($AM$1005:$BM$1005,1,MATCH(COLUMNS($AM$1006:BF1006),$AM$1006:$BM$1006,0))&gt;=100000), " ",IF(INDEX($AM$2:$BM$1001,MATCH(ROWS($AF$2:AF357),$AF$2:$AF$1001,0),MATCH(COLUMNS($AM$1006:BF1006),$AM$1006:$BM$1006,0)), HYPERLINK("#",""), HYPERLINK(CONCATENATE("#metadata!", ADDRESS(INDEX($AH$2:$AH$1001,MATCH(ROWS($AF$2:AF357),$AF$2:$AF$1001,0),0), INDEX($AM$1004:$BM$1004,1,MATCH(COLUMNS($AM$1006:BF1006),$AM$1006:$BM$1006,0)))),"Fix")))</f>
        <v xml:space="preserve"> </v>
      </c>
      <c r="V357" s="4" t="str">
        <f ca="1">IF(OR(INDEX($AG$2:$AG$1001,MATCH(ROWS($AF$2:AF357),$AF$2:$AF$1001,0),1)&gt;=100000,INDEX($AM$1005:$BM$1005,1,MATCH(COLUMNS($AM$1006:BG1006),$AM$1006:$BM$1006,0))&gt;=100000), " ",IF(INDEX($AM$2:$BM$1001,MATCH(ROWS($AF$2:AF357),$AF$2:$AF$1001,0),MATCH(COLUMNS($AM$1006:BG1006),$AM$1006:$BM$1006,0)), HYPERLINK("#",""), HYPERLINK(CONCATENATE("#metadata!", ADDRESS(INDEX($AH$2:$AH$1001,MATCH(ROWS($AF$2:AF357),$AF$2:$AF$1001,0),0), INDEX($AM$1004:$BM$1004,1,MATCH(COLUMNS($AM$1006:BG1006),$AM$1006:$BM$1006,0)))),"Fix")))</f>
        <v xml:space="preserve"> </v>
      </c>
      <c r="W357" s="4" t="str">
        <f ca="1">IF(OR(INDEX($AG$2:$AG$1001,MATCH(ROWS($AF$2:AF357),$AF$2:$AF$1001,0),1)&gt;=100000,INDEX($AM$1005:$BM$1005,1,MATCH(COLUMNS($AM$1006:BH1006),$AM$1006:$BM$1006,0))&gt;=100000), " ",IF(INDEX($AM$2:$BM$1001,MATCH(ROWS($AF$2:AF357),$AF$2:$AF$1001,0),MATCH(COLUMNS($AM$1006:BH1006),$AM$1006:$BM$1006,0)), HYPERLINK("#",""), HYPERLINK(CONCATENATE("#metadata!", ADDRESS(INDEX($AH$2:$AH$1001,MATCH(ROWS($AF$2:AF357),$AF$2:$AF$1001,0),0), INDEX($AM$1004:$BM$1004,1,MATCH(COLUMNS($AM$1006:BH1006),$AM$1006:$BM$1006,0)))),"Fix")))</f>
        <v xml:space="preserve"> </v>
      </c>
      <c r="X357" s="4" t="str">
        <f ca="1">IF(OR(INDEX($AG$2:$AG$1001,MATCH(ROWS($AF$2:AF357),$AF$2:$AF$1001,0),1)&gt;=100000,INDEX($AM$1005:$BM$1005,1,MATCH(COLUMNS($AM$1006:BI1006),$AM$1006:$BM$1006,0))&gt;=100000), " ",IF(INDEX($AM$2:$BM$1001,MATCH(ROWS($AF$2:AF357),$AF$2:$AF$1001,0),MATCH(COLUMNS($AM$1006:BI1006),$AM$1006:$BM$1006,0)), HYPERLINK("#",""), HYPERLINK(CONCATENATE("#metadata!", ADDRESS(INDEX($AH$2:$AH$1001,MATCH(ROWS($AF$2:AF357),$AF$2:$AF$1001,0),0), INDEX($AM$1004:$BM$1004,1,MATCH(COLUMNS($AM$1006:BI1006),$AM$1006:$BM$1006,0)))),"Fix")))</f>
        <v xml:space="preserve"> </v>
      </c>
      <c r="Y357" s="4" t="str">
        <f ca="1">IF(OR(INDEX($AG$2:$AG$1001,MATCH(ROWS($AF$2:AF357),$AF$2:$AF$1001,0),1)&gt;=100000,INDEX($AM$1005:$BM$1005,1,MATCH(COLUMNS($AM$1006:BJ1006),$AM$1006:$BM$1006,0))&gt;=100000), " ",IF(INDEX($AM$2:$BM$1001,MATCH(ROWS($AF$2:AF357),$AF$2:$AF$1001,0),MATCH(COLUMNS($AM$1006:BJ1006),$AM$1006:$BM$1006,0)), HYPERLINK("#",""), HYPERLINK(CONCATENATE("#metadata!", ADDRESS(INDEX($AH$2:$AH$1001,MATCH(ROWS($AF$2:AF357),$AF$2:$AF$1001,0),0), INDEX($AM$1004:$BM$1004,1,MATCH(COLUMNS($AM$1006:BJ1006),$AM$1006:$BM$1006,0)))),"Fix")))</f>
        <v xml:space="preserve"> </v>
      </c>
      <c r="Z357" s="4" t="str">
        <f ca="1">IF(OR(INDEX($AG$2:$AG$1001,MATCH(ROWS($AF$2:AF357),$AF$2:$AF$1001,0),1)&gt;=100000,INDEX($AM$1005:$BM$1005,1,MATCH(COLUMNS($AM$1006:BK1006),$AM$1006:$BM$1006,0))&gt;=100000), " ",IF(INDEX($AM$2:$BM$1001,MATCH(ROWS($AF$2:AF357),$AF$2:$AF$1001,0),MATCH(COLUMNS($AM$1006:BK1006),$AM$1006:$BM$1006,0)), HYPERLINK("#",""), HYPERLINK(CONCATENATE("#metadata!", ADDRESS(INDEX($AH$2:$AH$1001,MATCH(ROWS($AF$2:AF357),$AF$2:$AF$1001,0),0), INDEX($AM$1004:$BM$1004,1,MATCH(COLUMNS($AM$1006:BK1006),$AM$1006:$BM$1006,0)))),"Fix")))</f>
        <v xml:space="preserve"> </v>
      </c>
      <c r="AA357" s="4" t="str">
        <f ca="1">IF(OR(INDEX($AG$2:$AG$1001,MATCH(ROWS($AF$2:AF357),$AF$2:$AF$1001,0),1)&gt;=100000,INDEX($AM$1005:$BM$1005,1,MATCH(COLUMNS($AM$1006:BL1006),$AM$1006:$BM$1006,0))&gt;=100000), " ",IF(INDEX($AM$2:$BM$1001,MATCH(ROWS($AF$2:AF357),$AF$2:$AF$1001,0),MATCH(COLUMNS($AM$1006:BL1006),$AM$1006:$BM$1006,0)), HYPERLINK("#",""), HYPERLINK(CONCATENATE("#metadata!", ADDRESS(INDEX($AH$2:$AH$1001,MATCH(ROWS($AF$2:AF357),$AF$2:$AF$1001,0),0), INDEX($AM$1004:$BM$1004,1,MATCH(COLUMNS($AM$1006:BL1006),$AM$1006:$BM$1006,0)))),"Fix")))</f>
        <v xml:space="preserve"> </v>
      </c>
      <c r="AB357" s="4" t="str">
        <f ca="1">IF(OR(INDEX($AG$2:$AG$1001,MATCH(ROWS($AF$2:AF357),$AF$2:$AF$1001,0),1)&gt;=100000,INDEX($AM$1005:$BM$1005,1,MATCH(COLUMNS($AM$1006:BM1006),$AM$1006:$BM$1006,0))&gt;=100000), " ",IF(INDEX($AM$2:$BM$1001,MATCH(ROWS($AF$2:AF357),$AF$2:$AF$1001,0),MATCH(COLUMNS($AM$1006:BM1006),$AM$1006:$BM$1006,0)), HYPERLINK("#",""), HYPERLINK(CONCATENATE("#metadata!", ADDRESS(INDEX($AH$2:$AH$1001,MATCH(ROWS($AF$2:AF357),$AF$2:$AF$1001,0),0), INDEX($AM$1004:$BM$1004,1,MATCH(COLUMNS($AM$1006:BM1006),$AM$1006:$BM$1006,0)))),"Fix")))</f>
        <v xml:space="preserve"> </v>
      </c>
      <c r="AF357">
        <v>356</v>
      </c>
      <c r="AG357">
        <v>100357</v>
      </c>
      <c r="AH357">
        <v>357</v>
      </c>
      <c r="AI357" t="b">
        <f t="shared" si="5"/>
        <v>1</v>
      </c>
      <c r="AJ357" t="b">
        <f>COUNTBLANK(metadata!B357:AB357)=COLUMNS(metadata!B357:AB357)</f>
        <v>1</v>
      </c>
      <c r="AK357" t="str">
        <v/>
      </c>
      <c r="AM357" t="b">
        <f ca="1">AND(IF(metadata!B357="",FALSE,TRUE),COUNTIF(metadata!B:B, metadata!B357) = 1,NOT(ISERROR(SUMPRODUCT(SEARCH(MID(metadata!B357,ROW(INDIRECT("1:"&amp;LEN(metadata!B357))), 1),"0123456789abcdefghijklmnopqrstuvwxyzABCDEFGHIJKLMNOPQRSTUVWXYZ.")))))</f>
        <v>0</v>
      </c>
      <c r="AN357" t="b">
        <f ca="1">OR(AND(IF(metadata!C357="",FALSE,TRUE),OR(EXACT(metadata!C357,"missing: not collected"),EXACT(metadata!C357,"missing: not provided"),EXACT(metadata!C357,"missing: restricted access"))),AND(IF(metadata!C357="",FALSE,TRUE),AND(AND(IFERROR(INT(LEFT(metadata!C357,4))&gt;1900,FALSE),IFERROR(INT(LEFT(metadata!C357,4))&lt;=YEAR(NOW()),FALSE)), OR(MID(metadata!C357,5,1)="", AND(AND(MID(metadata!C357,5,1)="-",IFERROR(INT(MID(metadata!C357,6,1))&gt;=0,FALSE),IFERROR(INT(MID(metadata!C357,6,1))&lt;=1,FALSE),NOT(MID(metadata!C357,7,1)=""),IFERROR(INT(MID(metadata!C357,6,2))&gt;=1,FALSE),IFERROR(INT(MID(metadata!C357,6,2))&lt;=12,FALSE)), OR(MID(metadata!C357,8,1)="", AND(AND(MID(metadata!C357,8,1)="-",IFERROR(INT(MID(metadata!C357,9,1))&gt;=0,FALSE),IFERROR(INT(MID(metadata!C357,9,1))&lt;=3,FALSE),NOT(MID(metadata!C357,10,1)=""),IFERROR(INT(MID(metadata!C357,9,2))&gt;=1,FALSE),IFERROR(INT(MID(metadata!C357,9,2))&lt;=31,FALSE)), OR(MID(metadata!C357,11,1)="", AND(AND(MID(metadata!C357,11,1)=" ",IFERROR(INT(MID(metadata!C357,12,1))&gt;=0,FALSE),IFERROR(INT(MID(metadata!C357,12,1))&lt;=2,FALSE),NOT(MID(metadata!C357,13,1)=""),IFERROR(INT(MID(metadata!C357,12,2))&gt;=0,FALSE),IFERROR(INT(MID(metadata!C357,12,2))&lt;=23,FALSE)), OR(MID(metadata!C357,14,1)="", AND(AND(MID(metadata!C357,14,1)=":",IFERROR(INT(MID(metadata!C357,15,1))&gt;=0,FALSE),IFERROR(INT(MID(metadata!C357,15,1))&lt;=5,FALSE),NOT(MID(metadata!C357,16,1)=""),IFERROR(INT(MID(metadata!C357,15,2))&gt;=0,FALSE),IFERROR(INT(MID(metadata!C357,15,2))&lt;=59,FALSE)), OR(MID(metadata!C357,17,1)="", AND(AND(MID(metadata!C357,17,1)=":",IFERROR(INT(MID(metadata!C357,18,1))&gt;=0,FALSE),IFERROR(INT(MID(metadata!C357,18,1))&lt;=5,FALSE),NOT(MID(metadata!C357,19,1)=""),IFERROR(INT(MID(metadata!C357,18,2))&gt;=0,FALSE),IFERROR(INT(MID(metadata!C357,18,2))&lt;=59,FALSE)), LEN(metadata!C357)&lt;=19)))))))))))))</f>
        <v>0</v>
      </c>
      <c r="AO357" t="b">
        <f>AND(IF(metadata!D357="",FALSE,TRUE),EXACT(metadata!D357,"Not applicable"))</f>
        <v>0</v>
      </c>
      <c r="AP357" t="b">
        <f>IF(metadata!E357="",FALSE,TRUE)</f>
        <v>0</v>
      </c>
      <c r="AQ357" t="b">
        <f>OR(AND(IF(metadata!F357="",FALSE,TRUE),OR(EXACT(metadata!F357,"missing: not collected"),EXACT(metadata!F357,"missing: not provided"))),AND(IF(metadata!F357="",FALSE,TRUE),OR(EXACT(metadata!F357,"TRUE"),EXACT(metadata!F357,"FALSE"))))</f>
        <v>0</v>
      </c>
      <c r="AR357" t="b">
        <f>OR(AND(IF(metadata!G357="",FALSE,TRUE),OR(EXACT(metadata!G357,"missing: not collected"),EXACT(metadata!G357,"missing: not provided"),EXACT(metadata!G357,"missing: restricted access"))),AND(IF(metadata!G357="",FALSE,ISNUMBER(VALUE(metadata!G357))),metadata!G357&gt;=-413))</f>
        <v>0</v>
      </c>
      <c r="AS357" t="b">
        <f>AND(IF(metadata!H357="",FALSE,TRUE),EXACT(metadata!H357,"meters"))</f>
        <v>0</v>
      </c>
      <c r="AT357" t="b">
        <f>AND(IF(metadata!I357="",FALSE,TRUE),OR(EXACT(metadata!I357,"Host-associated"),EXACT(metadata!I357,"Free-living")))</f>
        <v>0</v>
      </c>
      <c r="AU357" t="b">
        <f>AND(IF(metadata!J357="",FALSE,TRUE),OR(EXACT(metadata!J357,"Animal"),EXACT(metadata!J357,"Fungus"),EXACT(metadata!J357,"Plant"),EXACT(metadata!J357,"Saline"),EXACT(metadata!J357,"Non-saline")))</f>
        <v>0</v>
      </c>
      <c r="AV357" t="b">
        <f>AND(IF(metadata!K357="",FALSE,TRUE),OR(EXACT(metadata!K357,"Plant secretion"),EXACT(metadata!K357,"Plant rhizosphere"),EXACT(metadata!K357,"Plant surface"),EXACT(metadata!K357,"Plant corpus"),EXACT(metadata!K357,"Fungus surface"),EXACT(metadata!K357,"Fungus corpus"),EXACT(metadata!K357,"Animal surface"),EXACT(metadata!K357,"Animal proximal gut"),EXACT(metadata!K357,"Animal corpus"),EXACT(metadata!K357,"Animal distal gut"),EXACT(metadata!K357,"Animal secretion"),EXACT(metadata!K357,"Sub-surface (non-saline)"),EXACT(metadata!K357,"Surface (non-saline)"),EXACT(metadata!K357,"Water (non-saline)"),EXACT(metadata!K357,"Soil (non-saline)"),EXACT(metadata!K357,"Aerosol (non-saline)"),EXACT(metadata!K357,"Sediment (non-saline)"),EXACT(metadata!K357,"Surface (saline)"),EXACT(metadata!K357,"Water (saline)"),EXACT(metadata!K357,"Hypersaline (saline)"),EXACT(metadata!K357,"Aerosol (saline)"),EXACT(metadata!K357,"Sediment (saline)")))</f>
        <v>0</v>
      </c>
      <c r="AW357" t="b">
        <f>IF(metadata!L357="",FALSE,TRUE)</f>
        <v>0</v>
      </c>
      <c r="AX357" t="b">
        <f>IF(metadata!M357="",FALSE,TRUE)</f>
        <v>0</v>
      </c>
      <c r="AY357" t="b">
        <f>IF(metadata!N357="",FALSE,TRUE)</f>
        <v>0</v>
      </c>
      <c r="AZ357" t="b">
        <f>OR(AND(IF(metadata!O357="",FALSE,TRUE),OR(EXACT(metadata!O357,"missing: not collected"),EXACT(metadata!O357,"missing: not provided"),EXACT(metadata!O357,"missing: restricted access"))),AND(IF(metadata!O357="",FALSE,TRUE),OR(EXACT(metadata!O357,"air"),EXACT(metadata!O357,"built environment"),EXACT(metadata!O357,"host-associated"),EXACT(metadata!O357,"human-associated"),EXACT(metadata!O357,"human-skin"),EXACT(metadata!O357,"human-oral"),EXACT(metadata!O357,"human-gut"),EXACT(metadata!O357,"human-vaginal"),EXACT(metadata!O357,"microbial mat/biofilm"),EXACT(metadata!O357,"misc environment"),EXACT(metadata!O357,"plant-associated"),EXACT(metadata!O357,"sediment"),EXACT(metadata!O357,"soil"),EXACT(metadata!O357,"wastewater/sludge"),EXACT(metadata!O357,"water"))))</f>
        <v>0</v>
      </c>
      <c r="BA357" t="b">
        <f>IF(metadata!P357="",FALSE,TRUE)</f>
        <v>0</v>
      </c>
      <c r="BB357" t="b">
        <f>IF(metadata!Q357="",FALSE,TRUE)</f>
        <v>0</v>
      </c>
      <c r="BC357" t="b">
        <f>OR(AND(IF(metadata!R357="",FALSE,TRUE),OR(EXACT(metadata!R357,"missing: not collected"),EXACT(metadata!R357,"missing: not provided"),EXACT(metadata!R357,"missing: restricted access"))),AND(IF(metadata!R357="",FALSE,ISNUMBER(VALUE(metadata!R357))),metadata!R357&gt;=-90,metadata!R357&lt;=90))</f>
        <v>0</v>
      </c>
      <c r="BD357" t="b">
        <f>AND(IF(metadata!S357="",FALSE,TRUE),EXACT(metadata!S357,"Decimal degrees"))</f>
        <v>0</v>
      </c>
      <c r="BE357" t="b">
        <f>OR(AND(IF(metadata!T357="",FALSE,TRUE),OR(EXACT(metadata!T357,"missing: not collected"),EXACT(metadata!T357,"missing: not provided"),EXACT(metadata!T357,"missing: restricted access"))),AND(IF(metadata!T357="",FALSE,ISNUMBER(VALUE(metadata!T357))),metadata!T357&gt;=-180,metadata!T357&lt;=180))</f>
        <v>0</v>
      </c>
      <c r="BF357" t="b">
        <f>AND(IF(metadata!U357="",FALSE,TRUE),EXACT(metadata!U357,"Decimal degrees"))</f>
        <v>0</v>
      </c>
      <c r="BG357" t="b">
        <f>IF(metadata!V357="",FALSE,TRUE)</f>
        <v>0</v>
      </c>
      <c r="BH357" t="b">
        <f>OR(AND(IF(metadata!W357="",FALSE,TRUE),OR(EXACT(metadata!W357,"missing: not collected"),EXACT(metadata!W357,"missing: not provided"),EXACT(metadata!W357,"missing: restricted access"))),AND(IF(metadata!W357="",FALSE,TRUE),OR(EXACT(metadata!W357,"TRUE"),EXACT(metadata!W357,"FALSE"))))</f>
        <v>0</v>
      </c>
      <c r="BI357" t="b">
        <f>AND(IF(metadata!X357="",FALSE,TRUE),EXACT(metadata!X357,"other"))</f>
        <v>0</v>
      </c>
      <c r="BJ357" t="b">
        <f>IF(metadata!Y357="",FALSE,TRUE)</f>
        <v>0</v>
      </c>
      <c r="BK357" t="b">
        <f>OR(AND(IF(metadata!Z357="",FALSE,TRUE),OR(EXACT(metadata!Z357,"missing: not collected"),EXACT(metadata!Z357,"missing: not provided"))),AND(IF(metadata!Z357="",FALSE,IF(ISERROR(INT(metadata!Z357)),FALSE,INT(metadata!Z357)=metadata!Z357)),metadata!Z357&gt;0))</f>
        <v>0</v>
      </c>
      <c r="BL357" t="b">
        <f>AND(IF(metadata!AA357="",FALSE,TRUE),EXACT(metadata!AA357,"Not applicable"))</f>
        <v>0</v>
      </c>
      <c r="BM357" t="b">
        <f>IF(metadata!AB357="",FALSE,TRUE)</f>
        <v>0</v>
      </c>
    </row>
    <row r="358" spans="1:65" x14ac:dyDescent="0.2">
      <c r="A358" s="5" t="str">
        <f ca="1">IF(B358=" "," ",HYPERLINK(CONCATENATE("#metadata!",ADDRESS(INDEX($AH$2:$AH$1001,MATCH(ROWS($AF$2:AF358),$AF$2:$AF$1001,0),0),1)),INDEX($AK$2:$AK$1001,MATCH(ROWS($AF$2:AF358),$AF$2:$AF$1001,0),0)))</f>
        <v xml:space="preserve"> </v>
      </c>
      <c r="B358" s="4" t="str">
        <f ca="1">IF(OR(INDEX($AG$2:$AG$1001,MATCH(ROWS($AF$2:AF358),$AF$2:$AF$1001,0),1)&gt;=100000,INDEX($AM$1005:$BM$1005,1,MATCH(COLUMNS($AM$1006:AM1006),$AM$1006:$BM$1006,0))&gt;=100000), " ",IF(INDEX($AM$2:$BM$1001,MATCH(ROWS($AF$2:AF358),$AF$2:$AF$1001,0),MATCH(COLUMNS($AM$1006:AM1006),$AM$1006:$BM$1006,0)), HYPERLINK("#",""), HYPERLINK(CONCATENATE("#metadata!", ADDRESS(INDEX($AH$2:$AH$1001,MATCH(ROWS($AF$2:AF358),$AF$2:$AF$1001,0),0), INDEX($AM$1004:$BM$1004,1,MATCH(COLUMNS($AM$1006:AM1006),$AM$1006:$BM$1006,0)))),"Fix")))</f>
        <v xml:space="preserve"> </v>
      </c>
      <c r="C358" s="4" t="str">
        <f ca="1">IF(OR(INDEX($AG$2:$AG$1001,MATCH(ROWS($AF$2:AF358),$AF$2:$AF$1001,0),1)&gt;=100000,INDEX($AM$1005:$BM$1005,1,MATCH(COLUMNS($AM$1006:AN1006),$AM$1006:$BM$1006,0))&gt;=100000), " ",IF(INDEX($AM$2:$BM$1001,MATCH(ROWS($AF$2:AF358),$AF$2:$AF$1001,0),MATCH(COLUMNS($AM$1006:AN1006),$AM$1006:$BM$1006,0)), HYPERLINK("#",""), HYPERLINK(CONCATENATE("#metadata!", ADDRESS(INDEX($AH$2:$AH$1001,MATCH(ROWS($AF$2:AF358),$AF$2:$AF$1001,0),0), INDEX($AM$1004:$BM$1004,1,MATCH(COLUMNS($AM$1006:AN1006),$AM$1006:$BM$1006,0)))),"Fix")))</f>
        <v xml:space="preserve"> </v>
      </c>
      <c r="D358" s="4" t="str">
        <f ca="1">IF(OR(INDEX($AG$2:$AG$1001,MATCH(ROWS($AF$2:AF358),$AF$2:$AF$1001,0),1)&gt;=100000,INDEX($AM$1005:$BM$1005,1,MATCH(COLUMNS($AM$1006:AO1006),$AM$1006:$BM$1006,0))&gt;=100000), " ",IF(INDEX($AM$2:$BM$1001,MATCH(ROWS($AF$2:AF358),$AF$2:$AF$1001,0),MATCH(COLUMNS($AM$1006:AO1006),$AM$1006:$BM$1006,0)), HYPERLINK("#",""), HYPERLINK(CONCATENATE("#metadata!", ADDRESS(INDEX($AH$2:$AH$1001,MATCH(ROWS($AF$2:AF358),$AF$2:$AF$1001,0),0), INDEX($AM$1004:$BM$1004,1,MATCH(COLUMNS($AM$1006:AO1006),$AM$1006:$BM$1006,0)))),"Fix")))</f>
        <v xml:space="preserve"> </v>
      </c>
      <c r="E358" s="4" t="str">
        <f ca="1">IF(OR(INDEX($AG$2:$AG$1001,MATCH(ROWS($AF$2:AF358),$AF$2:$AF$1001,0),1)&gt;=100000,INDEX($AM$1005:$BM$1005,1,MATCH(COLUMNS($AM$1006:AP1006),$AM$1006:$BM$1006,0))&gt;=100000), " ",IF(INDEX($AM$2:$BM$1001,MATCH(ROWS($AF$2:AF358),$AF$2:$AF$1001,0),MATCH(COLUMNS($AM$1006:AP1006),$AM$1006:$BM$1006,0)), HYPERLINK("#",""), HYPERLINK(CONCATENATE("#metadata!", ADDRESS(INDEX($AH$2:$AH$1001,MATCH(ROWS($AF$2:AF358),$AF$2:$AF$1001,0),0), INDEX($AM$1004:$BM$1004,1,MATCH(COLUMNS($AM$1006:AP1006),$AM$1006:$BM$1006,0)))),"Fix")))</f>
        <v xml:space="preserve"> </v>
      </c>
      <c r="F358" s="4" t="str">
        <f ca="1">IF(OR(INDEX($AG$2:$AG$1001,MATCH(ROWS($AF$2:AF358),$AF$2:$AF$1001,0),1)&gt;=100000,INDEX($AM$1005:$BM$1005,1,MATCH(COLUMNS($AM$1006:AQ1006),$AM$1006:$BM$1006,0))&gt;=100000), " ",IF(INDEX($AM$2:$BM$1001,MATCH(ROWS($AF$2:AF358),$AF$2:$AF$1001,0),MATCH(COLUMNS($AM$1006:AQ1006),$AM$1006:$BM$1006,0)), HYPERLINK("#",""), HYPERLINK(CONCATENATE("#metadata!", ADDRESS(INDEX($AH$2:$AH$1001,MATCH(ROWS($AF$2:AF358),$AF$2:$AF$1001,0),0), INDEX($AM$1004:$BM$1004,1,MATCH(COLUMNS($AM$1006:AQ1006),$AM$1006:$BM$1006,0)))),"Fix")))</f>
        <v xml:space="preserve"> </v>
      </c>
      <c r="G358" s="4" t="str">
        <f ca="1">IF(OR(INDEX($AG$2:$AG$1001,MATCH(ROWS($AF$2:AF358),$AF$2:$AF$1001,0),1)&gt;=100000,INDEX($AM$1005:$BM$1005,1,MATCH(COLUMNS($AM$1006:AR1006),$AM$1006:$BM$1006,0))&gt;=100000), " ",IF(INDEX($AM$2:$BM$1001,MATCH(ROWS($AF$2:AF358),$AF$2:$AF$1001,0),MATCH(COLUMNS($AM$1006:AR1006),$AM$1006:$BM$1006,0)), HYPERLINK("#",""), HYPERLINK(CONCATENATE("#metadata!", ADDRESS(INDEX($AH$2:$AH$1001,MATCH(ROWS($AF$2:AF358),$AF$2:$AF$1001,0),0), INDEX($AM$1004:$BM$1004,1,MATCH(COLUMNS($AM$1006:AR1006),$AM$1006:$BM$1006,0)))),"Fix")))</f>
        <v xml:space="preserve"> </v>
      </c>
      <c r="H358" s="4" t="str">
        <f ca="1">IF(OR(INDEX($AG$2:$AG$1001,MATCH(ROWS($AF$2:AF358),$AF$2:$AF$1001,0),1)&gt;=100000,INDEX($AM$1005:$BM$1005,1,MATCH(COLUMNS($AM$1006:AS1006),$AM$1006:$BM$1006,0))&gt;=100000), " ",IF(INDEX($AM$2:$BM$1001,MATCH(ROWS($AF$2:AF358),$AF$2:$AF$1001,0),MATCH(COLUMNS($AM$1006:AS1006),$AM$1006:$BM$1006,0)), HYPERLINK("#",""), HYPERLINK(CONCATENATE("#metadata!", ADDRESS(INDEX($AH$2:$AH$1001,MATCH(ROWS($AF$2:AF358),$AF$2:$AF$1001,0),0), INDEX($AM$1004:$BM$1004,1,MATCH(COLUMNS($AM$1006:AS1006),$AM$1006:$BM$1006,0)))),"Fix")))</f>
        <v xml:space="preserve"> </v>
      </c>
      <c r="I358" s="4" t="str">
        <f ca="1">IF(OR(INDEX($AG$2:$AG$1001,MATCH(ROWS($AF$2:AF358),$AF$2:$AF$1001,0),1)&gt;=100000,INDEX($AM$1005:$BM$1005,1,MATCH(COLUMNS($AM$1006:AT1006),$AM$1006:$BM$1006,0))&gt;=100000), " ",IF(INDEX($AM$2:$BM$1001,MATCH(ROWS($AF$2:AF358),$AF$2:$AF$1001,0),MATCH(COLUMNS($AM$1006:AT1006),$AM$1006:$BM$1006,0)), HYPERLINK("#",""), HYPERLINK(CONCATENATE("#metadata!", ADDRESS(INDEX($AH$2:$AH$1001,MATCH(ROWS($AF$2:AF358),$AF$2:$AF$1001,0),0), INDEX($AM$1004:$BM$1004,1,MATCH(COLUMNS($AM$1006:AT1006),$AM$1006:$BM$1006,0)))),"Fix")))</f>
        <v xml:space="preserve"> </v>
      </c>
      <c r="J358" s="4" t="str">
        <f ca="1">IF(OR(INDEX($AG$2:$AG$1001,MATCH(ROWS($AF$2:AF358),$AF$2:$AF$1001,0),1)&gt;=100000,INDEX($AM$1005:$BM$1005,1,MATCH(COLUMNS($AM$1006:AU1006),$AM$1006:$BM$1006,0))&gt;=100000), " ",IF(INDEX($AM$2:$BM$1001,MATCH(ROWS($AF$2:AF358),$AF$2:$AF$1001,0),MATCH(COLUMNS($AM$1006:AU1006),$AM$1006:$BM$1006,0)), HYPERLINK("#",""), HYPERLINK(CONCATENATE("#metadata!", ADDRESS(INDEX($AH$2:$AH$1001,MATCH(ROWS($AF$2:AF358),$AF$2:$AF$1001,0),0), INDEX($AM$1004:$BM$1004,1,MATCH(COLUMNS($AM$1006:AU1006),$AM$1006:$BM$1006,0)))),"Fix")))</f>
        <v xml:space="preserve"> </v>
      </c>
      <c r="K358" s="4" t="str">
        <f ca="1">IF(OR(INDEX($AG$2:$AG$1001,MATCH(ROWS($AF$2:AF358),$AF$2:$AF$1001,0),1)&gt;=100000,INDEX($AM$1005:$BM$1005,1,MATCH(COLUMNS($AM$1006:AV1006),$AM$1006:$BM$1006,0))&gt;=100000), " ",IF(INDEX($AM$2:$BM$1001,MATCH(ROWS($AF$2:AF358),$AF$2:$AF$1001,0),MATCH(COLUMNS($AM$1006:AV1006),$AM$1006:$BM$1006,0)), HYPERLINK("#",""), HYPERLINK(CONCATENATE("#metadata!", ADDRESS(INDEX($AH$2:$AH$1001,MATCH(ROWS($AF$2:AF358),$AF$2:$AF$1001,0),0), INDEX($AM$1004:$BM$1004,1,MATCH(COLUMNS($AM$1006:AV1006),$AM$1006:$BM$1006,0)))),"Fix")))</f>
        <v xml:space="preserve"> </v>
      </c>
      <c r="L358" s="4" t="str">
        <f ca="1">IF(OR(INDEX($AG$2:$AG$1001,MATCH(ROWS($AF$2:AF358),$AF$2:$AF$1001,0),1)&gt;=100000,INDEX($AM$1005:$BM$1005,1,MATCH(COLUMNS($AM$1006:AW1006),$AM$1006:$BM$1006,0))&gt;=100000), " ",IF(INDEX($AM$2:$BM$1001,MATCH(ROWS($AF$2:AF358),$AF$2:$AF$1001,0),MATCH(COLUMNS($AM$1006:AW1006),$AM$1006:$BM$1006,0)), HYPERLINK("#",""), HYPERLINK(CONCATENATE("#metadata!", ADDRESS(INDEX($AH$2:$AH$1001,MATCH(ROWS($AF$2:AF358),$AF$2:$AF$1001,0),0), INDEX($AM$1004:$BM$1004,1,MATCH(COLUMNS($AM$1006:AW1006),$AM$1006:$BM$1006,0)))),"Fix")))</f>
        <v xml:space="preserve"> </v>
      </c>
      <c r="M358" s="4" t="str">
        <f ca="1">IF(OR(INDEX($AG$2:$AG$1001,MATCH(ROWS($AF$2:AF358),$AF$2:$AF$1001,0),1)&gt;=100000,INDEX($AM$1005:$BM$1005,1,MATCH(COLUMNS($AM$1006:AX1006),$AM$1006:$BM$1006,0))&gt;=100000), " ",IF(INDEX($AM$2:$BM$1001,MATCH(ROWS($AF$2:AF358),$AF$2:$AF$1001,0),MATCH(COLUMNS($AM$1006:AX1006),$AM$1006:$BM$1006,0)), HYPERLINK("#",""), HYPERLINK(CONCATENATE("#metadata!", ADDRESS(INDEX($AH$2:$AH$1001,MATCH(ROWS($AF$2:AF358),$AF$2:$AF$1001,0),0), INDEX($AM$1004:$BM$1004,1,MATCH(COLUMNS($AM$1006:AX1006),$AM$1006:$BM$1006,0)))),"Fix")))</f>
        <v xml:space="preserve"> </v>
      </c>
      <c r="N358" s="4" t="str">
        <f ca="1">IF(OR(INDEX($AG$2:$AG$1001,MATCH(ROWS($AF$2:AF358),$AF$2:$AF$1001,0),1)&gt;=100000,INDEX($AM$1005:$BM$1005,1,MATCH(COLUMNS($AM$1006:AY1006),$AM$1006:$BM$1006,0))&gt;=100000), " ",IF(INDEX($AM$2:$BM$1001,MATCH(ROWS($AF$2:AF358),$AF$2:$AF$1001,0),MATCH(COLUMNS($AM$1006:AY1006),$AM$1006:$BM$1006,0)), HYPERLINK("#",""), HYPERLINK(CONCATENATE("#metadata!", ADDRESS(INDEX($AH$2:$AH$1001,MATCH(ROWS($AF$2:AF358),$AF$2:$AF$1001,0),0), INDEX($AM$1004:$BM$1004,1,MATCH(COLUMNS($AM$1006:AY1006),$AM$1006:$BM$1006,0)))),"Fix")))</f>
        <v xml:space="preserve"> </v>
      </c>
      <c r="O358" s="4" t="str">
        <f ca="1">IF(OR(INDEX($AG$2:$AG$1001,MATCH(ROWS($AF$2:AF358),$AF$2:$AF$1001,0),1)&gt;=100000,INDEX($AM$1005:$BM$1005,1,MATCH(COLUMNS($AM$1006:AZ1006),$AM$1006:$BM$1006,0))&gt;=100000), " ",IF(INDEX($AM$2:$BM$1001,MATCH(ROWS($AF$2:AF358),$AF$2:$AF$1001,0),MATCH(COLUMNS($AM$1006:AZ1006),$AM$1006:$BM$1006,0)), HYPERLINK("#",""), HYPERLINK(CONCATENATE("#metadata!", ADDRESS(INDEX($AH$2:$AH$1001,MATCH(ROWS($AF$2:AF358),$AF$2:$AF$1001,0),0), INDEX($AM$1004:$BM$1004,1,MATCH(COLUMNS($AM$1006:AZ1006),$AM$1006:$BM$1006,0)))),"Fix")))</f>
        <v xml:space="preserve"> </v>
      </c>
      <c r="P358" s="4" t="str">
        <f ca="1">IF(OR(INDEX($AG$2:$AG$1001,MATCH(ROWS($AF$2:AF358),$AF$2:$AF$1001,0),1)&gt;=100000,INDEX($AM$1005:$BM$1005,1,MATCH(COLUMNS($AM$1006:BA1006),$AM$1006:$BM$1006,0))&gt;=100000), " ",IF(INDEX($AM$2:$BM$1001,MATCH(ROWS($AF$2:AF358),$AF$2:$AF$1001,0),MATCH(COLUMNS($AM$1006:BA1006),$AM$1006:$BM$1006,0)), HYPERLINK("#",""), HYPERLINK(CONCATENATE("#metadata!", ADDRESS(INDEX($AH$2:$AH$1001,MATCH(ROWS($AF$2:AF358),$AF$2:$AF$1001,0),0), INDEX($AM$1004:$BM$1004,1,MATCH(COLUMNS($AM$1006:BA1006),$AM$1006:$BM$1006,0)))),"Fix")))</f>
        <v xml:space="preserve"> </v>
      </c>
      <c r="Q358" s="4" t="str">
        <f ca="1">IF(OR(INDEX($AG$2:$AG$1001,MATCH(ROWS($AF$2:AF358),$AF$2:$AF$1001,0),1)&gt;=100000,INDEX($AM$1005:$BM$1005,1,MATCH(COLUMNS($AM$1006:BB1006),$AM$1006:$BM$1006,0))&gt;=100000), " ",IF(INDEX($AM$2:$BM$1001,MATCH(ROWS($AF$2:AF358),$AF$2:$AF$1001,0),MATCH(COLUMNS($AM$1006:BB1006),$AM$1006:$BM$1006,0)), HYPERLINK("#",""), HYPERLINK(CONCATENATE("#metadata!", ADDRESS(INDEX($AH$2:$AH$1001,MATCH(ROWS($AF$2:AF358),$AF$2:$AF$1001,0),0), INDEX($AM$1004:$BM$1004,1,MATCH(COLUMNS($AM$1006:BB1006),$AM$1006:$BM$1006,0)))),"Fix")))</f>
        <v xml:space="preserve"> </v>
      </c>
      <c r="R358" s="4" t="str">
        <f ca="1">IF(OR(INDEX($AG$2:$AG$1001,MATCH(ROWS($AF$2:AF358),$AF$2:$AF$1001,0),1)&gt;=100000,INDEX($AM$1005:$BM$1005,1,MATCH(COLUMNS($AM$1006:BC1006),$AM$1006:$BM$1006,0))&gt;=100000), " ",IF(INDEX($AM$2:$BM$1001,MATCH(ROWS($AF$2:AF358),$AF$2:$AF$1001,0),MATCH(COLUMNS($AM$1006:BC1006),$AM$1006:$BM$1006,0)), HYPERLINK("#",""), HYPERLINK(CONCATENATE("#metadata!", ADDRESS(INDEX($AH$2:$AH$1001,MATCH(ROWS($AF$2:AF358),$AF$2:$AF$1001,0),0), INDEX($AM$1004:$BM$1004,1,MATCH(COLUMNS($AM$1006:BC1006),$AM$1006:$BM$1006,0)))),"Fix")))</f>
        <v xml:space="preserve"> </v>
      </c>
      <c r="S358" s="4" t="str">
        <f ca="1">IF(OR(INDEX($AG$2:$AG$1001,MATCH(ROWS($AF$2:AF358),$AF$2:$AF$1001,0),1)&gt;=100000,INDEX($AM$1005:$BM$1005,1,MATCH(COLUMNS($AM$1006:BD1006),$AM$1006:$BM$1006,0))&gt;=100000), " ",IF(INDEX($AM$2:$BM$1001,MATCH(ROWS($AF$2:AF358),$AF$2:$AF$1001,0),MATCH(COLUMNS($AM$1006:BD1006),$AM$1006:$BM$1006,0)), HYPERLINK("#",""), HYPERLINK(CONCATENATE("#metadata!", ADDRESS(INDEX($AH$2:$AH$1001,MATCH(ROWS($AF$2:AF358),$AF$2:$AF$1001,0),0), INDEX($AM$1004:$BM$1004,1,MATCH(COLUMNS($AM$1006:BD1006),$AM$1006:$BM$1006,0)))),"Fix")))</f>
        <v xml:space="preserve"> </v>
      </c>
      <c r="T358" s="4" t="str">
        <f ca="1">IF(OR(INDEX($AG$2:$AG$1001,MATCH(ROWS($AF$2:AF358),$AF$2:$AF$1001,0),1)&gt;=100000,INDEX($AM$1005:$BM$1005,1,MATCH(COLUMNS($AM$1006:BE1006),$AM$1006:$BM$1006,0))&gt;=100000), " ",IF(INDEX($AM$2:$BM$1001,MATCH(ROWS($AF$2:AF358),$AF$2:$AF$1001,0),MATCH(COLUMNS($AM$1006:BE1006),$AM$1006:$BM$1006,0)), HYPERLINK("#",""), HYPERLINK(CONCATENATE("#metadata!", ADDRESS(INDEX($AH$2:$AH$1001,MATCH(ROWS($AF$2:AF358),$AF$2:$AF$1001,0),0), INDEX($AM$1004:$BM$1004,1,MATCH(COLUMNS($AM$1006:BE1006),$AM$1006:$BM$1006,0)))),"Fix")))</f>
        <v xml:space="preserve"> </v>
      </c>
      <c r="U358" s="4" t="str">
        <f ca="1">IF(OR(INDEX($AG$2:$AG$1001,MATCH(ROWS($AF$2:AF358),$AF$2:$AF$1001,0),1)&gt;=100000,INDEX($AM$1005:$BM$1005,1,MATCH(COLUMNS($AM$1006:BF1006),$AM$1006:$BM$1006,0))&gt;=100000), " ",IF(INDEX($AM$2:$BM$1001,MATCH(ROWS($AF$2:AF358),$AF$2:$AF$1001,0),MATCH(COLUMNS($AM$1006:BF1006),$AM$1006:$BM$1006,0)), HYPERLINK("#",""), HYPERLINK(CONCATENATE("#metadata!", ADDRESS(INDEX($AH$2:$AH$1001,MATCH(ROWS($AF$2:AF358),$AF$2:$AF$1001,0),0), INDEX($AM$1004:$BM$1004,1,MATCH(COLUMNS($AM$1006:BF1006),$AM$1006:$BM$1006,0)))),"Fix")))</f>
        <v xml:space="preserve"> </v>
      </c>
      <c r="V358" s="4" t="str">
        <f ca="1">IF(OR(INDEX($AG$2:$AG$1001,MATCH(ROWS($AF$2:AF358),$AF$2:$AF$1001,0),1)&gt;=100000,INDEX($AM$1005:$BM$1005,1,MATCH(COLUMNS($AM$1006:BG1006),$AM$1006:$BM$1006,0))&gt;=100000), " ",IF(INDEX($AM$2:$BM$1001,MATCH(ROWS($AF$2:AF358),$AF$2:$AF$1001,0),MATCH(COLUMNS($AM$1006:BG1006),$AM$1006:$BM$1006,0)), HYPERLINK("#",""), HYPERLINK(CONCATENATE("#metadata!", ADDRESS(INDEX($AH$2:$AH$1001,MATCH(ROWS($AF$2:AF358),$AF$2:$AF$1001,0),0), INDEX($AM$1004:$BM$1004,1,MATCH(COLUMNS($AM$1006:BG1006),$AM$1006:$BM$1006,0)))),"Fix")))</f>
        <v xml:space="preserve"> </v>
      </c>
      <c r="W358" s="4" t="str">
        <f ca="1">IF(OR(INDEX($AG$2:$AG$1001,MATCH(ROWS($AF$2:AF358),$AF$2:$AF$1001,0),1)&gt;=100000,INDEX($AM$1005:$BM$1005,1,MATCH(COLUMNS($AM$1006:BH1006),$AM$1006:$BM$1006,0))&gt;=100000), " ",IF(INDEX($AM$2:$BM$1001,MATCH(ROWS($AF$2:AF358),$AF$2:$AF$1001,0),MATCH(COLUMNS($AM$1006:BH1006),$AM$1006:$BM$1006,0)), HYPERLINK("#",""), HYPERLINK(CONCATENATE("#metadata!", ADDRESS(INDEX($AH$2:$AH$1001,MATCH(ROWS($AF$2:AF358),$AF$2:$AF$1001,0),0), INDEX($AM$1004:$BM$1004,1,MATCH(COLUMNS($AM$1006:BH1006),$AM$1006:$BM$1006,0)))),"Fix")))</f>
        <v xml:space="preserve"> </v>
      </c>
      <c r="X358" s="4" t="str">
        <f ca="1">IF(OR(INDEX($AG$2:$AG$1001,MATCH(ROWS($AF$2:AF358),$AF$2:$AF$1001,0),1)&gt;=100000,INDEX($AM$1005:$BM$1005,1,MATCH(COLUMNS($AM$1006:BI1006),$AM$1006:$BM$1006,0))&gt;=100000), " ",IF(INDEX($AM$2:$BM$1001,MATCH(ROWS($AF$2:AF358),$AF$2:$AF$1001,0),MATCH(COLUMNS($AM$1006:BI1006),$AM$1006:$BM$1006,0)), HYPERLINK("#",""), HYPERLINK(CONCATENATE("#metadata!", ADDRESS(INDEX($AH$2:$AH$1001,MATCH(ROWS($AF$2:AF358),$AF$2:$AF$1001,0),0), INDEX($AM$1004:$BM$1004,1,MATCH(COLUMNS($AM$1006:BI1006),$AM$1006:$BM$1006,0)))),"Fix")))</f>
        <v xml:space="preserve"> </v>
      </c>
      <c r="Y358" s="4" t="str">
        <f ca="1">IF(OR(INDEX($AG$2:$AG$1001,MATCH(ROWS($AF$2:AF358),$AF$2:$AF$1001,0),1)&gt;=100000,INDEX($AM$1005:$BM$1005,1,MATCH(COLUMNS($AM$1006:BJ1006),$AM$1006:$BM$1006,0))&gt;=100000), " ",IF(INDEX($AM$2:$BM$1001,MATCH(ROWS($AF$2:AF358),$AF$2:$AF$1001,0),MATCH(COLUMNS($AM$1006:BJ1006),$AM$1006:$BM$1006,0)), HYPERLINK("#",""), HYPERLINK(CONCATENATE("#metadata!", ADDRESS(INDEX($AH$2:$AH$1001,MATCH(ROWS($AF$2:AF358),$AF$2:$AF$1001,0),0), INDEX($AM$1004:$BM$1004,1,MATCH(COLUMNS($AM$1006:BJ1006),$AM$1006:$BM$1006,0)))),"Fix")))</f>
        <v xml:space="preserve"> </v>
      </c>
      <c r="Z358" s="4" t="str">
        <f ca="1">IF(OR(INDEX($AG$2:$AG$1001,MATCH(ROWS($AF$2:AF358),$AF$2:$AF$1001,0),1)&gt;=100000,INDEX($AM$1005:$BM$1005,1,MATCH(COLUMNS($AM$1006:BK1006),$AM$1006:$BM$1006,0))&gt;=100000), " ",IF(INDEX($AM$2:$BM$1001,MATCH(ROWS($AF$2:AF358),$AF$2:$AF$1001,0),MATCH(COLUMNS($AM$1006:BK1006),$AM$1006:$BM$1006,0)), HYPERLINK("#",""), HYPERLINK(CONCATENATE("#metadata!", ADDRESS(INDEX($AH$2:$AH$1001,MATCH(ROWS($AF$2:AF358),$AF$2:$AF$1001,0),0), INDEX($AM$1004:$BM$1004,1,MATCH(COLUMNS($AM$1006:BK1006),$AM$1006:$BM$1006,0)))),"Fix")))</f>
        <v xml:space="preserve"> </v>
      </c>
      <c r="AA358" s="4" t="str">
        <f ca="1">IF(OR(INDEX($AG$2:$AG$1001,MATCH(ROWS($AF$2:AF358),$AF$2:$AF$1001,0),1)&gt;=100000,INDEX($AM$1005:$BM$1005,1,MATCH(COLUMNS($AM$1006:BL1006),$AM$1006:$BM$1006,0))&gt;=100000), " ",IF(INDEX($AM$2:$BM$1001,MATCH(ROWS($AF$2:AF358),$AF$2:$AF$1001,0),MATCH(COLUMNS($AM$1006:BL1006),$AM$1006:$BM$1006,0)), HYPERLINK("#",""), HYPERLINK(CONCATENATE("#metadata!", ADDRESS(INDEX($AH$2:$AH$1001,MATCH(ROWS($AF$2:AF358),$AF$2:$AF$1001,0),0), INDEX($AM$1004:$BM$1004,1,MATCH(COLUMNS($AM$1006:BL1006),$AM$1006:$BM$1006,0)))),"Fix")))</f>
        <v xml:space="preserve"> </v>
      </c>
      <c r="AB358" s="4" t="str">
        <f ca="1">IF(OR(INDEX($AG$2:$AG$1001,MATCH(ROWS($AF$2:AF358),$AF$2:$AF$1001,0),1)&gt;=100000,INDEX($AM$1005:$BM$1005,1,MATCH(COLUMNS($AM$1006:BM1006),$AM$1006:$BM$1006,0))&gt;=100000), " ",IF(INDEX($AM$2:$BM$1001,MATCH(ROWS($AF$2:AF358),$AF$2:$AF$1001,0),MATCH(COLUMNS($AM$1006:BM1006),$AM$1006:$BM$1006,0)), HYPERLINK("#",""), HYPERLINK(CONCATENATE("#metadata!", ADDRESS(INDEX($AH$2:$AH$1001,MATCH(ROWS($AF$2:AF358),$AF$2:$AF$1001,0),0), INDEX($AM$1004:$BM$1004,1,MATCH(COLUMNS($AM$1006:BM1006),$AM$1006:$BM$1006,0)))),"Fix")))</f>
        <v xml:space="preserve"> </v>
      </c>
      <c r="AF358">
        <v>357</v>
      </c>
      <c r="AG358">
        <v>100358</v>
      </c>
      <c r="AH358">
        <v>358</v>
      </c>
      <c r="AI358" t="b">
        <f t="shared" si="5"/>
        <v>1</v>
      </c>
      <c r="AJ358" t="b">
        <f>COUNTBLANK(metadata!B358:AB358)=COLUMNS(metadata!B358:AB358)</f>
        <v>1</v>
      </c>
      <c r="AK358" t="str">
        <v/>
      </c>
      <c r="AM358" t="b">
        <f ca="1">AND(IF(metadata!B358="",FALSE,TRUE),COUNTIF(metadata!B:B, metadata!B358) = 1,NOT(ISERROR(SUMPRODUCT(SEARCH(MID(metadata!B358,ROW(INDIRECT("1:"&amp;LEN(metadata!B358))), 1),"0123456789abcdefghijklmnopqrstuvwxyzABCDEFGHIJKLMNOPQRSTUVWXYZ.")))))</f>
        <v>0</v>
      </c>
      <c r="AN358" t="b">
        <f ca="1">OR(AND(IF(metadata!C358="",FALSE,TRUE),OR(EXACT(metadata!C358,"missing: not collected"),EXACT(metadata!C358,"missing: not provided"),EXACT(metadata!C358,"missing: restricted access"))),AND(IF(metadata!C358="",FALSE,TRUE),AND(AND(IFERROR(INT(LEFT(metadata!C358,4))&gt;1900,FALSE),IFERROR(INT(LEFT(metadata!C358,4))&lt;=YEAR(NOW()),FALSE)), OR(MID(metadata!C358,5,1)="", AND(AND(MID(metadata!C358,5,1)="-",IFERROR(INT(MID(metadata!C358,6,1))&gt;=0,FALSE),IFERROR(INT(MID(metadata!C358,6,1))&lt;=1,FALSE),NOT(MID(metadata!C358,7,1)=""),IFERROR(INT(MID(metadata!C358,6,2))&gt;=1,FALSE),IFERROR(INT(MID(metadata!C358,6,2))&lt;=12,FALSE)), OR(MID(metadata!C358,8,1)="", AND(AND(MID(metadata!C358,8,1)="-",IFERROR(INT(MID(metadata!C358,9,1))&gt;=0,FALSE),IFERROR(INT(MID(metadata!C358,9,1))&lt;=3,FALSE),NOT(MID(metadata!C358,10,1)=""),IFERROR(INT(MID(metadata!C358,9,2))&gt;=1,FALSE),IFERROR(INT(MID(metadata!C358,9,2))&lt;=31,FALSE)), OR(MID(metadata!C358,11,1)="", AND(AND(MID(metadata!C358,11,1)=" ",IFERROR(INT(MID(metadata!C358,12,1))&gt;=0,FALSE),IFERROR(INT(MID(metadata!C358,12,1))&lt;=2,FALSE),NOT(MID(metadata!C358,13,1)=""),IFERROR(INT(MID(metadata!C358,12,2))&gt;=0,FALSE),IFERROR(INT(MID(metadata!C358,12,2))&lt;=23,FALSE)), OR(MID(metadata!C358,14,1)="", AND(AND(MID(metadata!C358,14,1)=":",IFERROR(INT(MID(metadata!C358,15,1))&gt;=0,FALSE),IFERROR(INT(MID(metadata!C358,15,1))&lt;=5,FALSE),NOT(MID(metadata!C358,16,1)=""),IFERROR(INT(MID(metadata!C358,15,2))&gt;=0,FALSE),IFERROR(INT(MID(metadata!C358,15,2))&lt;=59,FALSE)), OR(MID(metadata!C358,17,1)="", AND(AND(MID(metadata!C358,17,1)=":",IFERROR(INT(MID(metadata!C358,18,1))&gt;=0,FALSE),IFERROR(INT(MID(metadata!C358,18,1))&lt;=5,FALSE),NOT(MID(metadata!C358,19,1)=""),IFERROR(INT(MID(metadata!C358,18,2))&gt;=0,FALSE),IFERROR(INT(MID(metadata!C358,18,2))&lt;=59,FALSE)), LEN(metadata!C358)&lt;=19)))))))))))))</f>
        <v>0</v>
      </c>
      <c r="AO358" t="b">
        <f>AND(IF(metadata!D358="",FALSE,TRUE),EXACT(metadata!D358,"Not applicable"))</f>
        <v>0</v>
      </c>
      <c r="AP358" t="b">
        <f>IF(metadata!E358="",FALSE,TRUE)</f>
        <v>0</v>
      </c>
      <c r="AQ358" t="b">
        <f>OR(AND(IF(metadata!F358="",FALSE,TRUE),OR(EXACT(metadata!F358,"missing: not collected"),EXACT(metadata!F358,"missing: not provided"))),AND(IF(metadata!F358="",FALSE,TRUE),OR(EXACT(metadata!F358,"TRUE"),EXACT(metadata!F358,"FALSE"))))</f>
        <v>0</v>
      </c>
      <c r="AR358" t="b">
        <f>OR(AND(IF(metadata!G358="",FALSE,TRUE),OR(EXACT(metadata!G358,"missing: not collected"),EXACT(metadata!G358,"missing: not provided"),EXACT(metadata!G358,"missing: restricted access"))),AND(IF(metadata!G358="",FALSE,ISNUMBER(VALUE(metadata!G358))),metadata!G358&gt;=-413))</f>
        <v>0</v>
      </c>
      <c r="AS358" t="b">
        <f>AND(IF(metadata!H358="",FALSE,TRUE),EXACT(metadata!H358,"meters"))</f>
        <v>0</v>
      </c>
      <c r="AT358" t="b">
        <f>AND(IF(metadata!I358="",FALSE,TRUE),OR(EXACT(metadata!I358,"Host-associated"),EXACT(metadata!I358,"Free-living")))</f>
        <v>0</v>
      </c>
      <c r="AU358" t="b">
        <f>AND(IF(metadata!J358="",FALSE,TRUE),OR(EXACT(metadata!J358,"Animal"),EXACT(metadata!J358,"Fungus"),EXACT(metadata!J358,"Plant"),EXACT(metadata!J358,"Saline"),EXACT(metadata!J358,"Non-saline")))</f>
        <v>0</v>
      </c>
      <c r="AV358" t="b">
        <f>AND(IF(metadata!K358="",FALSE,TRUE),OR(EXACT(metadata!K358,"Plant secretion"),EXACT(metadata!K358,"Plant rhizosphere"),EXACT(metadata!K358,"Plant surface"),EXACT(metadata!K358,"Plant corpus"),EXACT(metadata!K358,"Fungus surface"),EXACT(metadata!K358,"Fungus corpus"),EXACT(metadata!K358,"Animal surface"),EXACT(metadata!K358,"Animal proximal gut"),EXACT(metadata!K358,"Animal corpus"),EXACT(metadata!K358,"Animal distal gut"),EXACT(metadata!K358,"Animal secretion"),EXACT(metadata!K358,"Sub-surface (non-saline)"),EXACT(metadata!K358,"Surface (non-saline)"),EXACT(metadata!K358,"Water (non-saline)"),EXACT(metadata!K358,"Soil (non-saline)"),EXACT(metadata!K358,"Aerosol (non-saline)"),EXACT(metadata!K358,"Sediment (non-saline)"),EXACT(metadata!K358,"Surface (saline)"),EXACT(metadata!K358,"Water (saline)"),EXACT(metadata!K358,"Hypersaline (saline)"),EXACT(metadata!K358,"Aerosol (saline)"),EXACT(metadata!K358,"Sediment (saline)")))</f>
        <v>0</v>
      </c>
      <c r="AW358" t="b">
        <f>IF(metadata!L358="",FALSE,TRUE)</f>
        <v>0</v>
      </c>
      <c r="AX358" t="b">
        <f>IF(metadata!M358="",FALSE,TRUE)</f>
        <v>0</v>
      </c>
      <c r="AY358" t="b">
        <f>IF(metadata!N358="",FALSE,TRUE)</f>
        <v>0</v>
      </c>
      <c r="AZ358" t="b">
        <f>OR(AND(IF(metadata!O358="",FALSE,TRUE),OR(EXACT(metadata!O358,"missing: not collected"),EXACT(metadata!O358,"missing: not provided"),EXACT(metadata!O358,"missing: restricted access"))),AND(IF(metadata!O358="",FALSE,TRUE),OR(EXACT(metadata!O358,"air"),EXACT(metadata!O358,"built environment"),EXACT(metadata!O358,"host-associated"),EXACT(metadata!O358,"human-associated"),EXACT(metadata!O358,"human-skin"),EXACT(metadata!O358,"human-oral"),EXACT(metadata!O358,"human-gut"),EXACT(metadata!O358,"human-vaginal"),EXACT(metadata!O358,"microbial mat/biofilm"),EXACT(metadata!O358,"misc environment"),EXACT(metadata!O358,"plant-associated"),EXACT(metadata!O358,"sediment"),EXACT(metadata!O358,"soil"),EXACT(metadata!O358,"wastewater/sludge"),EXACT(metadata!O358,"water"))))</f>
        <v>0</v>
      </c>
      <c r="BA358" t="b">
        <f>IF(metadata!P358="",FALSE,TRUE)</f>
        <v>0</v>
      </c>
      <c r="BB358" t="b">
        <f>IF(metadata!Q358="",FALSE,TRUE)</f>
        <v>0</v>
      </c>
      <c r="BC358" t="b">
        <f>OR(AND(IF(metadata!R358="",FALSE,TRUE),OR(EXACT(metadata!R358,"missing: not collected"),EXACT(metadata!R358,"missing: not provided"),EXACT(metadata!R358,"missing: restricted access"))),AND(IF(metadata!R358="",FALSE,ISNUMBER(VALUE(metadata!R358))),metadata!R358&gt;=-90,metadata!R358&lt;=90))</f>
        <v>0</v>
      </c>
      <c r="BD358" t="b">
        <f>AND(IF(metadata!S358="",FALSE,TRUE),EXACT(metadata!S358,"Decimal degrees"))</f>
        <v>0</v>
      </c>
      <c r="BE358" t="b">
        <f>OR(AND(IF(metadata!T358="",FALSE,TRUE),OR(EXACT(metadata!T358,"missing: not collected"),EXACT(metadata!T358,"missing: not provided"),EXACT(metadata!T358,"missing: restricted access"))),AND(IF(metadata!T358="",FALSE,ISNUMBER(VALUE(metadata!T358))),metadata!T358&gt;=-180,metadata!T358&lt;=180))</f>
        <v>0</v>
      </c>
      <c r="BF358" t="b">
        <f>AND(IF(metadata!U358="",FALSE,TRUE),EXACT(metadata!U358,"Decimal degrees"))</f>
        <v>0</v>
      </c>
      <c r="BG358" t="b">
        <f>IF(metadata!V358="",FALSE,TRUE)</f>
        <v>0</v>
      </c>
      <c r="BH358" t="b">
        <f>OR(AND(IF(metadata!W358="",FALSE,TRUE),OR(EXACT(metadata!W358,"missing: not collected"),EXACT(metadata!W358,"missing: not provided"),EXACT(metadata!W358,"missing: restricted access"))),AND(IF(metadata!W358="",FALSE,TRUE),OR(EXACT(metadata!W358,"TRUE"),EXACT(metadata!W358,"FALSE"))))</f>
        <v>0</v>
      </c>
      <c r="BI358" t="b">
        <f>AND(IF(metadata!X358="",FALSE,TRUE),EXACT(metadata!X358,"other"))</f>
        <v>0</v>
      </c>
      <c r="BJ358" t="b">
        <f>IF(metadata!Y358="",FALSE,TRUE)</f>
        <v>0</v>
      </c>
      <c r="BK358" t="b">
        <f>OR(AND(IF(metadata!Z358="",FALSE,TRUE),OR(EXACT(metadata!Z358,"missing: not collected"),EXACT(metadata!Z358,"missing: not provided"))),AND(IF(metadata!Z358="",FALSE,IF(ISERROR(INT(metadata!Z358)),FALSE,INT(metadata!Z358)=metadata!Z358)),metadata!Z358&gt;0))</f>
        <v>0</v>
      </c>
      <c r="BL358" t="b">
        <f>AND(IF(metadata!AA358="",FALSE,TRUE),EXACT(metadata!AA358,"Not applicable"))</f>
        <v>0</v>
      </c>
      <c r="BM358" t="b">
        <f>IF(metadata!AB358="",FALSE,TRUE)</f>
        <v>0</v>
      </c>
    </row>
    <row r="359" spans="1:65" x14ac:dyDescent="0.2">
      <c r="A359" s="5" t="str">
        <f ca="1">IF(B359=" "," ",HYPERLINK(CONCATENATE("#metadata!",ADDRESS(INDEX($AH$2:$AH$1001,MATCH(ROWS($AF$2:AF359),$AF$2:$AF$1001,0),0),1)),INDEX($AK$2:$AK$1001,MATCH(ROWS($AF$2:AF359),$AF$2:$AF$1001,0),0)))</f>
        <v xml:space="preserve"> </v>
      </c>
      <c r="B359" s="4" t="str">
        <f ca="1">IF(OR(INDEX($AG$2:$AG$1001,MATCH(ROWS($AF$2:AF359),$AF$2:$AF$1001,0),1)&gt;=100000,INDEX($AM$1005:$BM$1005,1,MATCH(COLUMNS($AM$1006:AM1006),$AM$1006:$BM$1006,0))&gt;=100000), " ",IF(INDEX($AM$2:$BM$1001,MATCH(ROWS($AF$2:AF359),$AF$2:$AF$1001,0),MATCH(COLUMNS($AM$1006:AM1006),$AM$1006:$BM$1006,0)), HYPERLINK("#",""), HYPERLINK(CONCATENATE("#metadata!", ADDRESS(INDEX($AH$2:$AH$1001,MATCH(ROWS($AF$2:AF359),$AF$2:$AF$1001,0),0), INDEX($AM$1004:$BM$1004,1,MATCH(COLUMNS($AM$1006:AM1006),$AM$1006:$BM$1006,0)))),"Fix")))</f>
        <v xml:space="preserve"> </v>
      </c>
      <c r="C359" s="4" t="str">
        <f ca="1">IF(OR(INDEX($AG$2:$AG$1001,MATCH(ROWS($AF$2:AF359),$AF$2:$AF$1001,0),1)&gt;=100000,INDEX($AM$1005:$BM$1005,1,MATCH(COLUMNS($AM$1006:AN1006),$AM$1006:$BM$1006,0))&gt;=100000), " ",IF(INDEX($AM$2:$BM$1001,MATCH(ROWS($AF$2:AF359),$AF$2:$AF$1001,0),MATCH(COLUMNS($AM$1006:AN1006),$AM$1006:$BM$1006,0)), HYPERLINK("#",""), HYPERLINK(CONCATENATE("#metadata!", ADDRESS(INDEX($AH$2:$AH$1001,MATCH(ROWS($AF$2:AF359),$AF$2:$AF$1001,0),0), INDEX($AM$1004:$BM$1004,1,MATCH(COLUMNS($AM$1006:AN1006),$AM$1006:$BM$1006,0)))),"Fix")))</f>
        <v xml:space="preserve"> </v>
      </c>
      <c r="D359" s="4" t="str">
        <f ca="1">IF(OR(INDEX($AG$2:$AG$1001,MATCH(ROWS($AF$2:AF359),$AF$2:$AF$1001,0),1)&gt;=100000,INDEX($AM$1005:$BM$1005,1,MATCH(COLUMNS($AM$1006:AO1006),$AM$1006:$BM$1006,0))&gt;=100000), " ",IF(INDEX($AM$2:$BM$1001,MATCH(ROWS($AF$2:AF359),$AF$2:$AF$1001,0),MATCH(COLUMNS($AM$1006:AO1006),$AM$1006:$BM$1006,0)), HYPERLINK("#",""), HYPERLINK(CONCATENATE("#metadata!", ADDRESS(INDEX($AH$2:$AH$1001,MATCH(ROWS($AF$2:AF359),$AF$2:$AF$1001,0),0), INDEX($AM$1004:$BM$1004,1,MATCH(COLUMNS($AM$1006:AO1006),$AM$1006:$BM$1006,0)))),"Fix")))</f>
        <v xml:space="preserve"> </v>
      </c>
      <c r="E359" s="4" t="str">
        <f ca="1">IF(OR(INDEX($AG$2:$AG$1001,MATCH(ROWS($AF$2:AF359),$AF$2:$AF$1001,0),1)&gt;=100000,INDEX($AM$1005:$BM$1005,1,MATCH(COLUMNS($AM$1006:AP1006),$AM$1006:$BM$1006,0))&gt;=100000), " ",IF(INDEX($AM$2:$BM$1001,MATCH(ROWS($AF$2:AF359),$AF$2:$AF$1001,0),MATCH(COLUMNS($AM$1006:AP1006),$AM$1006:$BM$1006,0)), HYPERLINK("#",""), HYPERLINK(CONCATENATE("#metadata!", ADDRESS(INDEX($AH$2:$AH$1001,MATCH(ROWS($AF$2:AF359),$AF$2:$AF$1001,0),0), INDEX($AM$1004:$BM$1004,1,MATCH(COLUMNS($AM$1006:AP1006),$AM$1006:$BM$1006,0)))),"Fix")))</f>
        <v xml:space="preserve"> </v>
      </c>
      <c r="F359" s="4" t="str">
        <f ca="1">IF(OR(INDEX($AG$2:$AG$1001,MATCH(ROWS($AF$2:AF359),$AF$2:$AF$1001,0),1)&gt;=100000,INDEX($AM$1005:$BM$1005,1,MATCH(COLUMNS($AM$1006:AQ1006),$AM$1006:$BM$1006,0))&gt;=100000), " ",IF(INDEX($AM$2:$BM$1001,MATCH(ROWS($AF$2:AF359),$AF$2:$AF$1001,0),MATCH(COLUMNS($AM$1006:AQ1006),$AM$1006:$BM$1006,0)), HYPERLINK("#",""), HYPERLINK(CONCATENATE("#metadata!", ADDRESS(INDEX($AH$2:$AH$1001,MATCH(ROWS($AF$2:AF359),$AF$2:$AF$1001,0),0), INDEX($AM$1004:$BM$1004,1,MATCH(COLUMNS($AM$1006:AQ1006),$AM$1006:$BM$1006,0)))),"Fix")))</f>
        <v xml:space="preserve"> </v>
      </c>
      <c r="G359" s="4" t="str">
        <f ca="1">IF(OR(INDEX($AG$2:$AG$1001,MATCH(ROWS($AF$2:AF359),$AF$2:$AF$1001,0),1)&gt;=100000,INDEX($AM$1005:$BM$1005,1,MATCH(COLUMNS($AM$1006:AR1006),$AM$1006:$BM$1006,0))&gt;=100000), " ",IF(INDEX($AM$2:$BM$1001,MATCH(ROWS($AF$2:AF359),$AF$2:$AF$1001,0),MATCH(COLUMNS($AM$1006:AR1006),$AM$1006:$BM$1006,0)), HYPERLINK("#",""), HYPERLINK(CONCATENATE("#metadata!", ADDRESS(INDEX($AH$2:$AH$1001,MATCH(ROWS($AF$2:AF359),$AF$2:$AF$1001,0),0), INDEX($AM$1004:$BM$1004,1,MATCH(COLUMNS($AM$1006:AR1006),$AM$1006:$BM$1006,0)))),"Fix")))</f>
        <v xml:space="preserve"> </v>
      </c>
      <c r="H359" s="4" t="str">
        <f ca="1">IF(OR(INDEX($AG$2:$AG$1001,MATCH(ROWS($AF$2:AF359),$AF$2:$AF$1001,0),1)&gt;=100000,INDEX($AM$1005:$BM$1005,1,MATCH(COLUMNS($AM$1006:AS1006),$AM$1006:$BM$1006,0))&gt;=100000), " ",IF(INDEX($AM$2:$BM$1001,MATCH(ROWS($AF$2:AF359),$AF$2:$AF$1001,0),MATCH(COLUMNS($AM$1006:AS1006),$AM$1006:$BM$1006,0)), HYPERLINK("#",""), HYPERLINK(CONCATENATE("#metadata!", ADDRESS(INDEX($AH$2:$AH$1001,MATCH(ROWS($AF$2:AF359),$AF$2:$AF$1001,0),0), INDEX($AM$1004:$BM$1004,1,MATCH(COLUMNS($AM$1006:AS1006),$AM$1006:$BM$1006,0)))),"Fix")))</f>
        <v xml:space="preserve"> </v>
      </c>
      <c r="I359" s="4" t="str">
        <f ca="1">IF(OR(INDEX($AG$2:$AG$1001,MATCH(ROWS($AF$2:AF359),$AF$2:$AF$1001,0),1)&gt;=100000,INDEX($AM$1005:$BM$1005,1,MATCH(COLUMNS($AM$1006:AT1006),$AM$1006:$BM$1006,0))&gt;=100000), " ",IF(INDEX($AM$2:$BM$1001,MATCH(ROWS($AF$2:AF359),$AF$2:$AF$1001,0),MATCH(COLUMNS($AM$1006:AT1006),$AM$1006:$BM$1006,0)), HYPERLINK("#",""), HYPERLINK(CONCATENATE("#metadata!", ADDRESS(INDEX($AH$2:$AH$1001,MATCH(ROWS($AF$2:AF359),$AF$2:$AF$1001,0),0), INDEX($AM$1004:$BM$1004,1,MATCH(COLUMNS($AM$1006:AT1006),$AM$1006:$BM$1006,0)))),"Fix")))</f>
        <v xml:space="preserve"> </v>
      </c>
      <c r="J359" s="4" t="str">
        <f ca="1">IF(OR(INDEX($AG$2:$AG$1001,MATCH(ROWS($AF$2:AF359),$AF$2:$AF$1001,0),1)&gt;=100000,INDEX($AM$1005:$BM$1005,1,MATCH(COLUMNS($AM$1006:AU1006),$AM$1006:$BM$1006,0))&gt;=100000), " ",IF(INDEX($AM$2:$BM$1001,MATCH(ROWS($AF$2:AF359),$AF$2:$AF$1001,0),MATCH(COLUMNS($AM$1006:AU1006),$AM$1006:$BM$1006,0)), HYPERLINK("#",""), HYPERLINK(CONCATENATE("#metadata!", ADDRESS(INDEX($AH$2:$AH$1001,MATCH(ROWS($AF$2:AF359),$AF$2:$AF$1001,0),0), INDEX($AM$1004:$BM$1004,1,MATCH(COLUMNS($AM$1006:AU1006),$AM$1006:$BM$1006,0)))),"Fix")))</f>
        <v xml:space="preserve"> </v>
      </c>
      <c r="K359" s="4" t="str">
        <f ca="1">IF(OR(INDEX($AG$2:$AG$1001,MATCH(ROWS($AF$2:AF359),$AF$2:$AF$1001,0),1)&gt;=100000,INDEX($AM$1005:$BM$1005,1,MATCH(COLUMNS($AM$1006:AV1006),$AM$1006:$BM$1006,0))&gt;=100000), " ",IF(INDEX($AM$2:$BM$1001,MATCH(ROWS($AF$2:AF359),$AF$2:$AF$1001,0),MATCH(COLUMNS($AM$1006:AV1006),$AM$1006:$BM$1006,0)), HYPERLINK("#",""), HYPERLINK(CONCATENATE("#metadata!", ADDRESS(INDEX($AH$2:$AH$1001,MATCH(ROWS($AF$2:AF359),$AF$2:$AF$1001,0),0), INDEX($AM$1004:$BM$1004,1,MATCH(COLUMNS($AM$1006:AV1006),$AM$1006:$BM$1006,0)))),"Fix")))</f>
        <v xml:space="preserve"> </v>
      </c>
      <c r="L359" s="4" t="str">
        <f ca="1">IF(OR(INDEX($AG$2:$AG$1001,MATCH(ROWS($AF$2:AF359),$AF$2:$AF$1001,0),1)&gt;=100000,INDEX($AM$1005:$BM$1005,1,MATCH(COLUMNS($AM$1006:AW1006),$AM$1006:$BM$1006,0))&gt;=100000), " ",IF(INDEX($AM$2:$BM$1001,MATCH(ROWS($AF$2:AF359),$AF$2:$AF$1001,0),MATCH(COLUMNS($AM$1006:AW1006),$AM$1006:$BM$1006,0)), HYPERLINK("#",""), HYPERLINK(CONCATENATE("#metadata!", ADDRESS(INDEX($AH$2:$AH$1001,MATCH(ROWS($AF$2:AF359),$AF$2:$AF$1001,0),0), INDEX($AM$1004:$BM$1004,1,MATCH(COLUMNS($AM$1006:AW1006),$AM$1006:$BM$1006,0)))),"Fix")))</f>
        <v xml:space="preserve"> </v>
      </c>
      <c r="M359" s="4" t="str">
        <f ca="1">IF(OR(INDEX($AG$2:$AG$1001,MATCH(ROWS($AF$2:AF359),$AF$2:$AF$1001,0),1)&gt;=100000,INDEX($AM$1005:$BM$1005,1,MATCH(COLUMNS($AM$1006:AX1006),$AM$1006:$BM$1006,0))&gt;=100000), " ",IF(INDEX($AM$2:$BM$1001,MATCH(ROWS($AF$2:AF359),$AF$2:$AF$1001,0),MATCH(COLUMNS($AM$1006:AX1006),$AM$1006:$BM$1006,0)), HYPERLINK("#",""), HYPERLINK(CONCATENATE("#metadata!", ADDRESS(INDEX($AH$2:$AH$1001,MATCH(ROWS($AF$2:AF359),$AF$2:$AF$1001,0),0), INDEX($AM$1004:$BM$1004,1,MATCH(COLUMNS($AM$1006:AX1006),$AM$1006:$BM$1006,0)))),"Fix")))</f>
        <v xml:space="preserve"> </v>
      </c>
      <c r="N359" s="4" t="str">
        <f ca="1">IF(OR(INDEX($AG$2:$AG$1001,MATCH(ROWS($AF$2:AF359),$AF$2:$AF$1001,0),1)&gt;=100000,INDEX($AM$1005:$BM$1005,1,MATCH(COLUMNS($AM$1006:AY1006),$AM$1006:$BM$1006,0))&gt;=100000), " ",IF(INDEX($AM$2:$BM$1001,MATCH(ROWS($AF$2:AF359),$AF$2:$AF$1001,0),MATCH(COLUMNS($AM$1006:AY1006),$AM$1006:$BM$1006,0)), HYPERLINK("#",""), HYPERLINK(CONCATENATE("#metadata!", ADDRESS(INDEX($AH$2:$AH$1001,MATCH(ROWS($AF$2:AF359),$AF$2:$AF$1001,0),0), INDEX($AM$1004:$BM$1004,1,MATCH(COLUMNS($AM$1006:AY1006),$AM$1006:$BM$1006,0)))),"Fix")))</f>
        <v xml:space="preserve"> </v>
      </c>
      <c r="O359" s="4" t="str">
        <f ca="1">IF(OR(INDEX($AG$2:$AG$1001,MATCH(ROWS($AF$2:AF359),$AF$2:$AF$1001,0),1)&gt;=100000,INDEX($AM$1005:$BM$1005,1,MATCH(COLUMNS($AM$1006:AZ1006),$AM$1006:$BM$1006,0))&gt;=100000), " ",IF(INDEX($AM$2:$BM$1001,MATCH(ROWS($AF$2:AF359),$AF$2:$AF$1001,0),MATCH(COLUMNS($AM$1006:AZ1006),$AM$1006:$BM$1006,0)), HYPERLINK("#",""), HYPERLINK(CONCATENATE("#metadata!", ADDRESS(INDEX($AH$2:$AH$1001,MATCH(ROWS($AF$2:AF359),$AF$2:$AF$1001,0),0), INDEX($AM$1004:$BM$1004,1,MATCH(COLUMNS($AM$1006:AZ1006),$AM$1006:$BM$1006,0)))),"Fix")))</f>
        <v xml:space="preserve"> </v>
      </c>
      <c r="P359" s="4" t="str">
        <f ca="1">IF(OR(INDEX($AG$2:$AG$1001,MATCH(ROWS($AF$2:AF359),$AF$2:$AF$1001,0),1)&gt;=100000,INDEX($AM$1005:$BM$1005,1,MATCH(COLUMNS($AM$1006:BA1006),$AM$1006:$BM$1006,0))&gt;=100000), " ",IF(INDEX($AM$2:$BM$1001,MATCH(ROWS($AF$2:AF359),$AF$2:$AF$1001,0),MATCH(COLUMNS($AM$1006:BA1006),$AM$1006:$BM$1006,0)), HYPERLINK("#",""), HYPERLINK(CONCATENATE("#metadata!", ADDRESS(INDEX($AH$2:$AH$1001,MATCH(ROWS($AF$2:AF359),$AF$2:$AF$1001,0),0), INDEX($AM$1004:$BM$1004,1,MATCH(COLUMNS($AM$1006:BA1006),$AM$1006:$BM$1006,0)))),"Fix")))</f>
        <v xml:space="preserve"> </v>
      </c>
      <c r="Q359" s="4" t="str">
        <f ca="1">IF(OR(INDEX($AG$2:$AG$1001,MATCH(ROWS($AF$2:AF359),$AF$2:$AF$1001,0),1)&gt;=100000,INDEX($AM$1005:$BM$1005,1,MATCH(COLUMNS($AM$1006:BB1006),$AM$1006:$BM$1006,0))&gt;=100000), " ",IF(INDEX($AM$2:$BM$1001,MATCH(ROWS($AF$2:AF359),$AF$2:$AF$1001,0),MATCH(COLUMNS($AM$1006:BB1006),$AM$1006:$BM$1006,0)), HYPERLINK("#",""), HYPERLINK(CONCATENATE("#metadata!", ADDRESS(INDEX($AH$2:$AH$1001,MATCH(ROWS($AF$2:AF359),$AF$2:$AF$1001,0),0), INDEX($AM$1004:$BM$1004,1,MATCH(COLUMNS($AM$1006:BB1006),$AM$1006:$BM$1006,0)))),"Fix")))</f>
        <v xml:space="preserve"> </v>
      </c>
      <c r="R359" s="4" t="str">
        <f ca="1">IF(OR(INDEX($AG$2:$AG$1001,MATCH(ROWS($AF$2:AF359),$AF$2:$AF$1001,0),1)&gt;=100000,INDEX($AM$1005:$BM$1005,1,MATCH(COLUMNS($AM$1006:BC1006),$AM$1006:$BM$1006,0))&gt;=100000), " ",IF(INDEX($AM$2:$BM$1001,MATCH(ROWS($AF$2:AF359),$AF$2:$AF$1001,0),MATCH(COLUMNS($AM$1006:BC1006),$AM$1006:$BM$1006,0)), HYPERLINK("#",""), HYPERLINK(CONCATENATE("#metadata!", ADDRESS(INDEX($AH$2:$AH$1001,MATCH(ROWS($AF$2:AF359),$AF$2:$AF$1001,0),0), INDEX($AM$1004:$BM$1004,1,MATCH(COLUMNS($AM$1006:BC1006),$AM$1006:$BM$1006,0)))),"Fix")))</f>
        <v xml:space="preserve"> </v>
      </c>
      <c r="S359" s="4" t="str">
        <f ca="1">IF(OR(INDEX($AG$2:$AG$1001,MATCH(ROWS($AF$2:AF359),$AF$2:$AF$1001,0),1)&gt;=100000,INDEX($AM$1005:$BM$1005,1,MATCH(COLUMNS($AM$1006:BD1006),$AM$1006:$BM$1006,0))&gt;=100000), " ",IF(INDEX($AM$2:$BM$1001,MATCH(ROWS($AF$2:AF359),$AF$2:$AF$1001,0),MATCH(COLUMNS($AM$1006:BD1006),$AM$1006:$BM$1006,0)), HYPERLINK("#",""), HYPERLINK(CONCATENATE("#metadata!", ADDRESS(INDEX($AH$2:$AH$1001,MATCH(ROWS($AF$2:AF359),$AF$2:$AF$1001,0),0), INDEX($AM$1004:$BM$1004,1,MATCH(COLUMNS($AM$1006:BD1006),$AM$1006:$BM$1006,0)))),"Fix")))</f>
        <v xml:space="preserve"> </v>
      </c>
      <c r="T359" s="4" t="str">
        <f ca="1">IF(OR(INDEX($AG$2:$AG$1001,MATCH(ROWS($AF$2:AF359),$AF$2:$AF$1001,0),1)&gt;=100000,INDEX($AM$1005:$BM$1005,1,MATCH(COLUMNS($AM$1006:BE1006),$AM$1006:$BM$1006,0))&gt;=100000), " ",IF(INDEX($AM$2:$BM$1001,MATCH(ROWS($AF$2:AF359),$AF$2:$AF$1001,0),MATCH(COLUMNS($AM$1006:BE1006),$AM$1006:$BM$1006,0)), HYPERLINK("#",""), HYPERLINK(CONCATENATE("#metadata!", ADDRESS(INDEX($AH$2:$AH$1001,MATCH(ROWS($AF$2:AF359),$AF$2:$AF$1001,0),0), INDEX($AM$1004:$BM$1004,1,MATCH(COLUMNS($AM$1006:BE1006),$AM$1006:$BM$1006,0)))),"Fix")))</f>
        <v xml:space="preserve"> </v>
      </c>
      <c r="U359" s="4" t="str">
        <f ca="1">IF(OR(INDEX($AG$2:$AG$1001,MATCH(ROWS($AF$2:AF359),$AF$2:$AF$1001,0),1)&gt;=100000,INDEX($AM$1005:$BM$1005,1,MATCH(COLUMNS($AM$1006:BF1006),$AM$1006:$BM$1006,0))&gt;=100000), " ",IF(INDEX($AM$2:$BM$1001,MATCH(ROWS($AF$2:AF359),$AF$2:$AF$1001,0),MATCH(COLUMNS($AM$1006:BF1006),$AM$1006:$BM$1006,0)), HYPERLINK("#",""), HYPERLINK(CONCATENATE("#metadata!", ADDRESS(INDEX($AH$2:$AH$1001,MATCH(ROWS($AF$2:AF359),$AF$2:$AF$1001,0),0), INDEX($AM$1004:$BM$1004,1,MATCH(COLUMNS($AM$1006:BF1006),$AM$1006:$BM$1006,0)))),"Fix")))</f>
        <v xml:space="preserve"> </v>
      </c>
      <c r="V359" s="4" t="str">
        <f ca="1">IF(OR(INDEX($AG$2:$AG$1001,MATCH(ROWS($AF$2:AF359),$AF$2:$AF$1001,0),1)&gt;=100000,INDEX($AM$1005:$BM$1005,1,MATCH(COLUMNS($AM$1006:BG1006),$AM$1006:$BM$1006,0))&gt;=100000), " ",IF(INDEX($AM$2:$BM$1001,MATCH(ROWS($AF$2:AF359),$AF$2:$AF$1001,0),MATCH(COLUMNS($AM$1006:BG1006),$AM$1006:$BM$1006,0)), HYPERLINK("#",""), HYPERLINK(CONCATENATE("#metadata!", ADDRESS(INDEX($AH$2:$AH$1001,MATCH(ROWS($AF$2:AF359),$AF$2:$AF$1001,0),0), INDEX($AM$1004:$BM$1004,1,MATCH(COLUMNS($AM$1006:BG1006),$AM$1006:$BM$1006,0)))),"Fix")))</f>
        <v xml:space="preserve"> </v>
      </c>
      <c r="W359" s="4" t="str">
        <f ca="1">IF(OR(INDEX($AG$2:$AG$1001,MATCH(ROWS($AF$2:AF359),$AF$2:$AF$1001,0),1)&gt;=100000,INDEX($AM$1005:$BM$1005,1,MATCH(COLUMNS($AM$1006:BH1006),$AM$1006:$BM$1006,0))&gt;=100000), " ",IF(INDEX($AM$2:$BM$1001,MATCH(ROWS($AF$2:AF359),$AF$2:$AF$1001,0),MATCH(COLUMNS($AM$1006:BH1006),$AM$1006:$BM$1006,0)), HYPERLINK("#",""), HYPERLINK(CONCATENATE("#metadata!", ADDRESS(INDEX($AH$2:$AH$1001,MATCH(ROWS($AF$2:AF359),$AF$2:$AF$1001,0),0), INDEX($AM$1004:$BM$1004,1,MATCH(COLUMNS($AM$1006:BH1006),$AM$1006:$BM$1006,0)))),"Fix")))</f>
        <v xml:space="preserve"> </v>
      </c>
      <c r="X359" s="4" t="str">
        <f ca="1">IF(OR(INDEX($AG$2:$AG$1001,MATCH(ROWS($AF$2:AF359),$AF$2:$AF$1001,0),1)&gt;=100000,INDEX($AM$1005:$BM$1005,1,MATCH(COLUMNS($AM$1006:BI1006),$AM$1006:$BM$1006,0))&gt;=100000), " ",IF(INDEX($AM$2:$BM$1001,MATCH(ROWS($AF$2:AF359),$AF$2:$AF$1001,0),MATCH(COLUMNS($AM$1006:BI1006),$AM$1006:$BM$1006,0)), HYPERLINK("#",""), HYPERLINK(CONCATENATE("#metadata!", ADDRESS(INDEX($AH$2:$AH$1001,MATCH(ROWS($AF$2:AF359),$AF$2:$AF$1001,0),0), INDEX($AM$1004:$BM$1004,1,MATCH(COLUMNS($AM$1006:BI1006),$AM$1006:$BM$1006,0)))),"Fix")))</f>
        <v xml:space="preserve"> </v>
      </c>
      <c r="Y359" s="4" t="str">
        <f ca="1">IF(OR(INDEX($AG$2:$AG$1001,MATCH(ROWS($AF$2:AF359),$AF$2:$AF$1001,0),1)&gt;=100000,INDEX($AM$1005:$BM$1005,1,MATCH(COLUMNS($AM$1006:BJ1006),$AM$1006:$BM$1006,0))&gt;=100000), " ",IF(INDEX($AM$2:$BM$1001,MATCH(ROWS($AF$2:AF359),$AF$2:$AF$1001,0),MATCH(COLUMNS($AM$1006:BJ1006),$AM$1006:$BM$1006,0)), HYPERLINK("#",""), HYPERLINK(CONCATENATE("#metadata!", ADDRESS(INDEX($AH$2:$AH$1001,MATCH(ROWS($AF$2:AF359),$AF$2:$AF$1001,0),0), INDEX($AM$1004:$BM$1004,1,MATCH(COLUMNS($AM$1006:BJ1006),$AM$1006:$BM$1006,0)))),"Fix")))</f>
        <v xml:space="preserve"> </v>
      </c>
      <c r="Z359" s="4" t="str">
        <f ca="1">IF(OR(INDEX($AG$2:$AG$1001,MATCH(ROWS($AF$2:AF359),$AF$2:$AF$1001,0),1)&gt;=100000,INDEX($AM$1005:$BM$1005,1,MATCH(COLUMNS($AM$1006:BK1006),$AM$1006:$BM$1006,0))&gt;=100000), " ",IF(INDEX($AM$2:$BM$1001,MATCH(ROWS($AF$2:AF359),$AF$2:$AF$1001,0),MATCH(COLUMNS($AM$1006:BK1006),$AM$1006:$BM$1006,0)), HYPERLINK("#",""), HYPERLINK(CONCATENATE("#metadata!", ADDRESS(INDEX($AH$2:$AH$1001,MATCH(ROWS($AF$2:AF359),$AF$2:$AF$1001,0),0), INDEX($AM$1004:$BM$1004,1,MATCH(COLUMNS($AM$1006:BK1006),$AM$1006:$BM$1006,0)))),"Fix")))</f>
        <v xml:space="preserve"> </v>
      </c>
      <c r="AA359" s="4" t="str">
        <f ca="1">IF(OR(INDEX($AG$2:$AG$1001,MATCH(ROWS($AF$2:AF359),$AF$2:$AF$1001,0),1)&gt;=100000,INDEX($AM$1005:$BM$1005,1,MATCH(COLUMNS($AM$1006:BL1006),$AM$1006:$BM$1006,0))&gt;=100000), " ",IF(INDEX($AM$2:$BM$1001,MATCH(ROWS($AF$2:AF359),$AF$2:$AF$1001,0),MATCH(COLUMNS($AM$1006:BL1006),$AM$1006:$BM$1006,0)), HYPERLINK("#",""), HYPERLINK(CONCATENATE("#metadata!", ADDRESS(INDEX($AH$2:$AH$1001,MATCH(ROWS($AF$2:AF359),$AF$2:$AF$1001,0),0), INDEX($AM$1004:$BM$1004,1,MATCH(COLUMNS($AM$1006:BL1006),$AM$1006:$BM$1006,0)))),"Fix")))</f>
        <v xml:space="preserve"> </v>
      </c>
      <c r="AB359" s="4" t="str">
        <f ca="1">IF(OR(INDEX($AG$2:$AG$1001,MATCH(ROWS($AF$2:AF359),$AF$2:$AF$1001,0),1)&gt;=100000,INDEX($AM$1005:$BM$1005,1,MATCH(COLUMNS($AM$1006:BM1006),$AM$1006:$BM$1006,0))&gt;=100000), " ",IF(INDEX($AM$2:$BM$1001,MATCH(ROWS($AF$2:AF359),$AF$2:$AF$1001,0),MATCH(COLUMNS($AM$1006:BM1006),$AM$1006:$BM$1006,0)), HYPERLINK("#",""), HYPERLINK(CONCATENATE("#metadata!", ADDRESS(INDEX($AH$2:$AH$1001,MATCH(ROWS($AF$2:AF359),$AF$2:$AF$1001,0),0), INDEX($AM$1004:$BM$1004,1,MATCH(COLUMNS($AM$1006:BM1006),$AM$1006:$BM$1006,0)))),"Fix")))</f>
        <v xml:space="preserve"> </v>
      </c>
      <c r="AF359">
        <v>358</v>
      </c>
      <c r="AG359">
        <v>100359</v>
      </c>
      <c r="AH359">
        <v>359</v>
      </c>
      <c r="AI359" t="b">
        <f t="shared" si="5"/>
        <v>1</v>
      </c>
      <c r="AJ359" t="b">
        <f>COUNTBLANK(metadata!B359:AB359)=COLUMNS(metadata!B359:AB359)</f>
        <v>1</v>
      </c>
      <c r="AK359" t="str">
        <v/>
      </c>
      <c r="AM359" t="b">
        <f ca="1">AND(IF(metadata!B359="",FALSE,TRUE),COUNTIF(metadata!B:B, metadata!B359) = 1,NOT(ISERROR(SUMPRODUCT(SEARCH(MID(metadata!B359,ROW(INDIRECT("1:"&amp;LEN(metadata!B359))), 1),"0123456789abcdefghijklmnopqrstuvwxyzABCDEFGHIJKLMNOPQRSTUVWXYZ.")))))</f>
        <v>0</v>
      </c>
      <c r="AN359" t="b">
        <f ca="1">OR(AND(IF(metadata!C359="",FALSE,TRUE),OR(EXACT(metadata!C359,"missing: not collected"),EXACT(metadata!C359,"missing: not provided"),EXACT(metadata!C359,"missing: restricted access"))),AND(IF(metadata!C359="",FALSE,TRUE),AND(AND(IFERROR(INT(LEFT(metadata!C359,4))&gt;1900,FALSE),IFERROR(INT(LEFT(metadata!C359,4))&lt;=YEAR(NOW()),FALSE)), OR(MID(metadata!C359,5,1)="", AND(AND(MID(metadata!C359,5,1)="-",IFERROR(INT(MID(metadata!C359,6,1))&gt;=0,FALSE),IFERROR(INT(MID(metadata!C359,6,1))&lt;=1,FALSE),NOT(MID(metadata!C359,7,1)=""),IFERROR(INT(MID(metadata!C359,6,2))&gt;=1,FALSE),IFERROR(INT(MID(metadata!C359,6,2))&lt;=12,FALSE)), OR(MID(metadata!C359,8,1)="", AND(AND(MID(metadata!C359,8,1)="-",IFERROR(INT(MID(metadata!C359,9,1))&gt;=0,FALSE),IFERROR(INT(MID(metadata!C359,9,1))&lt;=3,FALSE),NOT(MID(metadata!C359,10,1)=""),IFERROR(INT(MID(metadata!C359,9,2))&gt;=1,FALSE),IFERROR(INT(MID(metadata!C359,9,2))&lt;=31,FALSE)), OR(MID(metadata!C359,11,1)="", AND(AND(MID(metadata!C359,11,1)=" ",IFERROR(INT(MID(metadata!C359,12,1))&gt;=0,FALSE),IFERROR(INT(MID(metadata!C359,12,1))&lt;=2,FALSE),NOT(MID(metadata!C359,13,1)=""),IFERROR(INT(MID(metadata!C359,12,2))&gt;=0,FALSE),IFERROR(INT(MID(metadata!C359,12,2))&lt;=23,FALSE)), OR(MID(metadata!C359,14,1)="", AND(AND(MID(metadata!C359,14,1)=":",IFERROR(INT(MID(metadata!C359,15,1))&gt;=0,FALSE),IFERROR(INT(MID(metadata!C359,15,1))&lt;=5,FALSE),NOT(MID(metadata!C359,16,1)=""),IFERROR(INT(MID(metadata!C359,15,2))&gt;=0,FALSE),IFERROR(INT(MID(metadata!C359,15,2))&lt;=59,FALSE)), OR(MID(metadata!C359,17,1)="", AND(AND(MID(metadata!C359,17,1)=":",IFERROR(INT(MID(metadata!C359,18,1))&gt;=0,FALSE),IFERROR(INT(MID(metadata!C359,18,1))&lt;=5,FALSE),NOT(MID(metadata!C359,19,1)=""),IFERROR(INT(MID(metadata!C359,18,2))&gt;=0,FALSE),IFERROR(INT(MID(metadata!C359,18,2))&lt;=59,FALSE)), LEN(metadata!C359)&lt;=19)))))))))))))</f>
        <v>0</v>
      </c>
      <c r="AO359" t="b">
        <f>AND(IF(metadata!D359="",FALSE,TRUE),EXACT(metadata!D359,"Not applicable"))</f>
        <v>0</v>
      </c>
      <c r="AP359" t="b">
        <f>IF(metadata!E359="",FALSE,TRUE)</f>
        <v>0</v>
      </c>
      <c r="AQ359" t="b">
        <f>OR(AND(IF(metadata!F359="",FALSE,TRUE),OR(EXACT(metadata!F359,"missing: not collected"),EXACT(metadata!F359,"missing: not provided"))),AND(IF(metadata!F359="",FALSE,TRUE),OR(EXACT(metadata!F359,"TRUE"),EXACT(metadata!F359,"FALSE"))))</f>
        <v>0</v>
      </c>
      <c r="AR359" t="b">
        <f>OR(AND(IF(metadata!G359="",FALSE,TRUE),OR(EXACT(metadata!G359,"missing: not collected"),EXACT(metadata!G359,"missing: not provided"),EXACT(metadata!G359,"missing: restricted access"))),AND(IF(metadata!G359="",FALSE,ISNUMBER(VALUE(metadata!G359))),metadata!G359&gt;=-413))</f>
        <v>0</v>
      </c>
      <c r="AS359" t="b">
        <f>AND(IF(metadata!H359="",FALSE,TRUE),EXACT(metadata!H359,"meters"))</f>
        <v>0</v>
      </c>
      <c r="AT359" t="b">
        <f>AND(IF(metadata!I359="",FALSE,TRUE),OR(EXACT(metadata!I359,"Host-associated"),EXACT(metadata!I359,"Free-living")))</f>
        <v>0</v>
      </c>
      <c r="AU359" t="b">
        <f>AND(IF(metadata!J359="",FALSE,TRUE),OR(EXACT(metadata!J359,"Animal"),EXACT(metadata!J359,"Fungus"),EXACT(metadata!J359,"Plant"),EXACT(metadata!J359,"Saline"),EXACT(metadata!J359,"Non-saline")))</f>
        <v>0</v>
      </c>
      <c r="AV359" t="b">
        <f>AND(IF(metadata!K359="",FALSE,TRUE),OR(EXACT(metadata!K359,"Plant secretion"),EXACT(metadata!K359,"Plant rhizosphere"),EXACT(metadata!K359,"Plant surface"),EXACT(metadata!K359,"Plant corpus"),EXACT(metadata!K359,"Fungus surface"),EXACT(metadata!K359,"Fungus corpus"),EXACT(metadata!K359,"Animal surface"),EXACT(metadata!K359,"Animal proximal gut"),EXACT(metadata!K359,"Animal corpus"),EXACT(metadata!K359,"Animal distal gut"),EXACT(metadata!K359,"Animal secretion"),EXACT(metadata!K359,"Sub-surface (non-saline)"),EXACT(metadata!K359,"Surface (non-saline)"),EXACT(metadata!K359,"Water (non-saline)"),EXACT(metadata!K359,"Soil (non-saline)"),EXACT(metadata!K359,"Aerosol (non-saline)"),EXACT(metadata!K359,"Sediment (non-saline)"),EXACT(metadata!K359,"Surface (saline)"),EXACT(metadata!K359,"Water (saline)"),EXACT(metadata!K359,"Hypersaline (saline)"),EXACT(metadata!K359,"Aerosol (saline)"),EXACT(metadata!K359,"Sediment (saline)")))</f>
        <v>0</v>
      </c>
      <c r="AW359" t="b">
        <f>IF(metadata!L359="",FALSE,TRUE)</f>
        <v>0</v>
      </c>
      <c r="AX359" t="b">
        <f>IF(metadata!M359="",FALSE,TRUE)</f>
        <v>0</v>
      </c>
      <c r="AY359" t="b">
        <f>IF(metadata!N359="",FALSE,TRUE)</f>
        <v>0</v>
      </c>
      <c r="AZ359" t="b">
        <f>OR(AND(IF(metadata!O359="",FALSE,TRUE),OR(EXACT(metadata!O359,"missing: not collected"),EXACT(metadata!O359,"missing: not provided"),EXACT(metadata!O359,"missing: restricted access"))),AND(IF(metadata!O359="",FALSE,TRUE),OR(EXACT(metadata!O359,"air"),EXACT(metadata!O359,"built environment"),EXACT(metadata!O359,"host-associated"),EXACT(metadata!O359,"human-associated"),EXACT(metadata!O359,"human-skin"),EXACT(metadata!O359,"human-oral"),EXACT(metadata!O359,"human-gut"),EXACT(metadata!O359,"human-vaginal"),EXACT(metadata!O359,"microbial mat/biofilm"),EXACT(metadata!O359,"misc environment"),EXACT(metadata!O359,"plant-associated"),EXACT(metadata!O359,"sediment"),EXACT(metadata!O359,"soil"),EXACT(metadata!O359,"wastewater/sludge"),EXACT(metadata!O359,"water"))))</f>
        <v>0</v>
      </c>
      <c r="BA359" t="b">
        <f>IF(metadata!P359="",FALSE,TRUE)</f>
        <v>0</v>
      </c>
      <c r="BB359" t="b">
        <f>IF(metadata!Q359="",FALSE,TRUE)</f>
        <v>0</v>
      </c>
      <c r="BC359" t="b">
        <f>OR(AND(IF(metadata!R359="",FALSE,TRUE),OR(EXACT(metadata!R359,"missing: not collected"),EXACT(metadata!R359,"missing: not provided"),EXACT(metadata!R359,"missing: restricted access"))),AND(IF(metadata!R359="",FALSE,ISNUMBER(VALUE(metadata!R359))),metadata!R359&gt;=-90,metadata!R359&lt;=90))</f>
        <v>0</v>
      </c>
      <c r="BD359" t="b">
        <f>AND(IF(metadata!S359="",FALSE,TRUE),EXACT(metadata!S359,"Decimal degrees"))</f>
        <v>0</v>
      </c>
      <c r="BE359" t="b">
        <f>OR(AND(IF(metadata!T359="",FALSE,TRUE),OR(EXACT(metadata!T359,"missing: not collected"),EXACT(metadata!T359,"missing: not provided"),EXACT(metadata!T359,"missing: restricted access"))),AND(IF(metadata!T359="",FALSE,ISNUMBER(VALUE(metadata!T359))),metadata!T359&gt;=-180,metadata!T359&lt;=180))</f>
        <v>0</v>
      </c>
      <c r="BF359" t="b">
        <f>AND(IF(metadata!U359="",FALSE,TRUE),EXACT(metadata!U359,"Decimal degrees"))</f>
        <v>0</v>
      </c>
      <c r="BG359" t="b">
        <f>IF(metadata!V359="",FALSE,TRUE)</f>
        <v>0</v>
      </c>
      <c r="BH359" t="b">
        <f>OR(AND(IF(metadata!W359="",FALSE,TRUE),OR(EXACT(metadata!W359,"missing: not collected"),EXACT(metadata!W359,"missing: not provided"),EXACT(metadata!W359,"missing: restricted access"))),AND(IF(metadata!W359="",FALSE,TRUE),OR(EXACT(metadata!W359,"TRUE"),EXACT(metadata!W359,"FALSE"))))</f>
        <v>0</v>
      </c>
      <c r="BI359" t="b">
        <f>AND(IF(metadata!X359="",FALSE,TRUE),EXACT(metadata!X359,"other"))</f>
        <v>0</v>
      </c>
      <c r="BJ359" t="b">
        <f>IF(metadata!Y359="",FALSE,TRUE)</f>
        <v>0</v>
      </c>
      <c r="BK359" t="b">
        <f>OR(AND(IF(metadata!Z359="",FALSE,TRUE),OR(EXACT(metadata!Z359,"missing: not collected"),EXACT(metadata!Z359,"missing: not provided"))),AND(IF(metadata!Z359="",FALSE,IF(ISERROR(INT(metadata!Z359)),FALSE,INT(metadata!Z359)=metadata!Z359)),metadata!Z359&gt;0))</f>
        <v>0</v>
      </c>
      <c r="BL359" t="b">
        <f>AND(IF(metadata!AA359="",FALSE,TRUE),EXACT(metadata!AA359,"Not applicable"))</f>
        <v>0</v>
      </c>
      <c r="BM359" t="b">
        <f>IF(metadata!AB359="",FALSE,TRUE)</f>
        <v>0</v>
      </c>
    </row>
    <row r="360" spans="1:65" x14ac:dyDescent="0.2">
      <c r="A360" s="5" t="str">
        <f ca="1">IF(B360=" "," ",HYPERLINK(CONCATENATE("#metadata!",ADDRESS(INDEX($AH$2:$AH$1001,MATCH(ROWS($AF$2:AF360),$AF$2:$AF$1001,0),0),1)),INDEX($AK$2:$AK$1001,MATCH(ROWS($AF$2:AF360),$AF$2:$AF$1001,0),0)))</f>
        <v xml:space="preserve"> </v>
      </c>
      <c r="B360" s="4" t="str">
        <f ca="1">IF(OR(INDEX($AG$2:$AG$1001,MATCH(ROWS($AF$2:AF360),$AF$2:$AF$1001,0),1)&gt;=100000,INDEX($AM$1005:$BM$1005,1,MATCH(COLUMNS($AM$1006:AM1006),$AM$1006:$BM$1006,0))&gt;=100000), " ",IF(INDEX($AM$2:$BM$1001,MATCH(ROWS($AF$2:AF360),$AF$2:$AF$1001,0),MATCH(COLUMNS($AM$1006:AM1006),$AM$1006:$BM$1006,0)), HYPERLINK("#",""), HYPERLINK(CONCATENATE("#metadata!", ADDRESS(INDEX($AH$2:$AH$1001,MATCH(ROWS($AF$2:AF360),$AF$2:$AF$1001,0),0), INDEX($AM$1004:$BM$1004,1,MATCH(COLUMNS($AM$1006:AM1006),$AM$1006:$BM$1006,0)))),"Fix")))</f>
        <v xml:space="preserve"> </v>
      </c>
      <c r="C360" s="4" t="str">
        <f ca="1">IF(OR(INDEX($AG$2:$AG$1001,MATCH(ROWS($AF$2:AF360),$AF$2:$AF$1001,0),1)&gt;=100000,INDEX($AM$1005:$BM$1005,1,MATCH(COLUMNS($AM$1006:AN1006),$AM$1006:$BM$1006,0))&gt;=100000), " ",IF(INDEX($AM$2:$BM$1001,MATCH(ROWS($AF$2:AF360),$AF$2:$AF$1001,0),MATCH(COLUMNS($AM$1006:AN1006),$AM$1006:$BM$1006,0)), HYPERLINK("#",""), HYPERLINK(CONCATENATE("#metadata!", ADDRESS(INDEX($AH$2:$AH$1001,MATCH(ROWS($AF$2:AF360),$AF$2:$AF$1001,0),0), INDEX($AM$1004:$BM$1004,1,MATCH(COLUMNS($AM$1006:AN1006),$AM$1006:$BM$1006,0)))),"Fix")))</f>
        <v xml:space="preserve"> </v>
      </c>
      <c r="D360" s="4" t="str">
        <f ca="1">IF(OR(INDEX($AG$2:$AG$1001,MATCH(ROWS($AF$2:AF360),$AF$2:$AF$1001,0),1)&gt;=100000,INDEX($AM$1005:$BM$1005,1,MATCH(COLUMNS($AM$1006:AO1006),$AM$1006:$BM$1006,0))&gt;=100000), " ",IF(INDEX($AM$2:$BM$1001,MATCH(ROWS($AF$2:AF360),$AF$2:$AF$1001,0),MATCH(COLUMNS($AM$1006:AO1006),$AM$1006:$BM$1006,0)), HYPERLINK("#",""), HYPERLINK(CONCATENATE("#metadata!", ADDRESS(INDEX($AH$2:$AH$1001,MATCH(ROWS($AF$2:AF360),$AF$2:$AF$1001,0),0), INDEX($AM$1004:$BM$1004,1,MATCH(COLUMNS($AM$1006:AO1006),$AM$1006:$BM$1006,0)))),"Fix")))</f>
        <v xml:space="preserve"> </v>
      </c>
      <c r="E360" s="4" t="str">
        <f ca="1">IF(OR(INDEX($AG$2:$AG$1001,MATCH(ROWS($AF$2:AF360),$AF$2:$AF$1001,0),1)&gt;=100000,INDEX($AM$1005:$BM$1005,1,MATCH(COLUMNS($AM$1006:AP1006),$AM$1006:$BM$1006,0))&gt;=100000), " ",IF(INDEX($AM$2:$BM$1001,MATCH(ROWS($AF$2:AF360),$AF$2:$AF$1001,0),MATCH(COLUMNS($AM$1006:AP1006),$AM$1006:$BM$1006,0)), HYPERLINK("#",""), HYPERLINK(CONCATENATE("#metadata!", ADDRESS(INDEX($AH$2:$AH$1001,MATCH(ROWS($AF$2:AF360),$AF$2:$AF$1001,0),0), INDEX($AM$1004:$BM$1004,1,MATCH(COLUMNS($AM$1006:AP1006),$AM$1006:$BM$1006,0)))),"Fix")))</f>
        <v xml:space="preserve"> </v>
      </c>
      <c r="F360" s="4" t="str">
        <f ca="1">IF(OR(INDEX($AG$2:$AG$1001,MATCH(ROWS($AF$2:AF360),$AF$2:$AF$1001,0),1)&gt;=100000,INDEX($AM$1005:$BM$1005,1,MATCH(COLUMNS($AM$1006:AQ1006),$AM$1006:$BM$1006,0))&gt;=100000), " ",IF(INDEX($AM$2:$BM$1001,MATCH(ROWS($AF$2:AF360),$AF$2:$AF$1001,0),MATCH(COLUMNS($AM$1006:AQ1006),$AM$1006:$BM$1006,0)), HYPERLINK("#",""), HYPERLINK(CONCATENATE("#metadata!", ADDRESS(INDEX($AH$2:$AH$1001,MATCH(ROWS($AF$2:AF360),$AF$2:$AF$1001,0),0), INDEX($AM$1004:$BM$1004,1,MATCH(COLUMNS($AM$1006:AQ1006),$AM$1006:$BM$1006,0)))),"Fix")))</f>
        <v xml:space="preserve"> </v>
      </c>
      <c r="G360" s="4" t="str">
        <f ca="1">IF(OR(INDEX($AG$2:$AG$1001,MATCH(ROWS($AF$2:AF360),$AF$2:$AF$1001,0),1)&gt;=100000,INDEX($AM$1005:$BM$1005,1,MATCH(COLUMNS($AM$1006:AR1006),$AM$1006:$BM$1006,0))&gt;=100000), " ",IF(INDEX($AM$2:$BM$1001,MATCH(ROWS($AF$2:AF360),$AF$2:$AF$1001,0),MATCH(COLUMNS($AM$1006:AR1006),$AM$1006:$BM$1006,0)), HYPERLINK("#",""), HYPERLINK(CONCATENATE("#metadata!", ADDRESS(INDEX($AH$2:$AH$1001,MATCH(ROWS($AF$2:AF360),$AF$2:$AF$1001,0),0), INDEX($AM$1004:$BM$1004,1,MATCH(COLUMNS($AM$1006:AR1006),$AM$1006:$BM$1006,0)))),"Fix")))</f>
        <v xml:space="preserve"> </v>
      </c>
      <c r="H360" s="4" t="str">
        <f ca="1">IF(OR(INDEX($AG$2:$AG$1001,MATCH(ROWS($AF$2:AF360),$AF$2:$AF$1001,0),1)&gt;=100000,INDEX($AM$1005:$BM$1005,1,MATCH(COLUMNS($AM$1006:AS1006),$AM$1006:$BM$1006,0))&gt;=100000), " ",IF(INDEX($AM$2:$BM$1001,MATCH(ROWS($AF$2:AF360),$AF$2:$AF$1001,0),MATCH(COLUMNS($AM$1006:AS1006),$AM$1006:$BM$1006,0)), HYPERLINK("#",""), HYPERLINK(CONCATENATE("#metadata!", ADDRESS(INDEX($AH$2:$AH$1001,MATCH(ROWS($AF$2:AF360),$AF$2:$AF$1001,0),0), INDEX($AM$1004:$BM$1004,1,MATCH(COLUMNS($AM$1006:AS1006),$AM$1006:$BM$1006,0)))),"Fix")))</f>
        <v xml:space="preserve"> </v>
      </c>
      <c r="I360" s="4" t="str">
        <f ca="1">IF(OR(INDEX($AG$2:$AG$1001,MATCH(ROWS($AF$2:AF360),$AF$2:$AF$1001,0),1)&gt;=100000,INDEX($AM$1005:$BM$1005,1,MATCH(COLUMNS($AM$1006:AT1006),$AM$1006:$BM$1006,0))&gt;=100000), " ",IF(INDEX($AM$2:$BM$1001,MATCH(ROWS($AF$2:AF360),$AF$2:$AF$1001,0),MATCH(COLUMNS($AM$1006:AT1006),$AM$1006:$BM$1006,0)), HYPERLINK("#",""), HYPERLINK(CONCATENATE("#metadata!", ADDRESS(INDEX($AH$2:$AH$1001,MATCH(ROWS($AF$2:AF360),$AF$2:$AF$1001,0),0), INDEX($AM$1004:$BM$1004,1,MATCH(COLUMNS($AM$1006:AT1006),$AM$1006:$BM$1006,0)))),"Fix")))</f>
        <v xml:space="preserve"> </v>
      </c>
      <c r="J360" s="4" t="str">
        <f ca="1">IF(OR(INDEX($AG$2:$AG$1001,MATCH(ROWS($AF$2:AF360),$AF$2:$AF$1001,0),1)&gt;=100000,INDEX($AM$1005:$BM$1005,1,MATCH(COLUMNS($AM$1006:AU1006),$AM$1006:$BM$1006,0))&gt;=100000), " ",IF(INDEX($AM$2:$BM$1001,MATCH(ROWS($AF$2:AF360),$AF$2:$AF$1001,0),MATCH(COLUMNS($AM$1006:AU1006),$AM$1006:$BM$1006,0)), HYPERLINK("#",""), HYPERLINK(CONCATENATE("#metadata!", ADDRESS(INDEX($AH$2:$AH$1001,MATCH(ROWS($AF$2:AF360),$AF$2:$AF$1001,0),0), INDEX($AM$1004:$BM$1004,1,MATCH(COLUMNS($AM$1006:AU1006),$AM$1006:$BM$1006,0)))),"Fix")))</f>
        <v xml:space="preserve"> </v>
      </c>
      <c r="K360" s="4" t="str">
        <f ca="1">IF(OR(INDEX($AG$2:$AG$1001,MATCH(ROWS($AF$2:AF360),$AF$2:$AF$1001,0),1)&gt;=100000,INDEX($AM$1005:$BM$1005,1,MATCH(COLUMNS($AM$1006:AV1006),$AM$1006:$BM$1006,0))&gt;=100000), " ",IF(INDEX($AM$2:$BM$1001,MATCH(ROWS($AF$2:AF360),$AF$2:$AF$1001,0),MATCH(COLUMNS($AM$1006:AV1006),$AM$1006:$BM$1006,0)), HYPERLINK("#",""), HYPERLINK(CONCATENATE("#metadata!", ADDRESS(INDEX($AH$2:$AH$1001,MATCH(ROWS($AF$2:AF360),$AF$2:$AF$1001,0),0), INDEX($AM$1004:$BM$1004,1,MATCH(COLUMNS($AM$1006:AV1006),$AM$1006:$BM$1006,0)))),"Fix")))</f>
        <v xml:space="preserve"> </v>
      </c>
      <c r="L360" s="4" t="str">
        <f ca="1">IF(OR(INDEX($AG$2:$AG$1001,MATCH(ROWS($AF$2:AF360),$AF$2:$AF$1001,0),1)&gt;=100000,INDEX($AM$1005:$BM$1005,1,MATCH(COLUMNS($AM$1006:AW1006),$AM$1006:$BM$1006,0))&gt;=100000), " ",IF(INDEX($AM$2:$BM$1001,MATCH(ROWS($AF$2:AF360),$AF$2:$AF$1001,0),MATCH(COLUMNS($AM$1006:AW1006),$AM$1006:$BM$1006,0)), HYPERLINK("#",""), HYPERLINK(CONCATENATE("#metadata!", ADDRESS(INDEX($AH$2:$AH$1001,MATCH(ROWS($AF$2:AF360),$AF$2:$AF$1001,0),0), INDEX($AM$1004:$BM$1004,1,MATCH(COLUMNS($AM$1006:AW1006),$AM$1006:$BM$1006,0)))),"Fix")))</f>
        <v xml:space="preserve"> </v>
      </c>
      <c r="M360" s="4" t="str">
        <f ca="1">IF(OR(INDEX($AG$2:$AG$1001,MATCH(ROWS($AF$2:AF360),$AF$2:$AF$1001,0),1)&gt;=100000,INDEX($AM$1005:$BM$1005,1,MATCH(COLUMNS($AM$1006:AX1006),$AM$1006:$BM$1006,0))&gt;=100000), " ",IF(INDEX($AM$2:$BM$1001,MATCH(ROWS($AF$2:AF360),$AF$2:$AF$1001,0),MATCH(COLUMNS($AM$1006:AX1006),$AM$1006:$BM$1006,0)), HYPERLINK("#",""), HYPERLINK(CONCATENATE("#metadata!", ADDRESS(INDEX($AH$2:$AH$1001,MATCH(ROWS($AF$2:AF360),$AF$2:$AF$1001,0),0), INDEX($AM$1004:$BM$1004,1,MATCH(COLUMNS($AM$1006:AX1006),$AM$1006:$BM$1006,0)))),"Fix")))</f>
        <v xml:space="preserve"> </v>
      </c>
      <c r="N360" s="4" t="str">
        <f ca="1">IF(OR(INDEX($AG$2:$AG$1001,MATCH(ROWS($AF$2:AF360),$AF$2:$AF$1001,0),1)&gt;=100000,INDEX($AM$1005:$BM$1005,1,MATCH(COLUMNS($AM$1006:AY1006),$AM$1006:$BM$1006,0))&gt;=100000), " ",IF(INDEX($AM$2:$BM$1001,MATCH(ROWS($AF$2:AF360),$AF$2:$AF$1001,0),MATCH(COLUMNS($AM$1006:AY1006),$AM$1006:$BM$1006,0)), HYPERLINK("#",""), HYPERLINK(CONCATENATE("#metadata!", ADDRESS(INDEX($AH$2:$AH$1001,MATCH(ROWS($AF$2:AF360),$AF$2:$AF$1001,0),0), INDEX($AM$1004:$BM$1004,1,MATCH(COLUMNS($AM$1006:AY1006),$AM$1006:$BM$1006,0)))),"Fix")))</f>
        <v xml:space="preserve"> </v>
      </c>
      <c r="O360" s="4" t="str">
        <f ca="1">IF(OR(INDEX($AG$2:$AG$1001,MATCH(ROWS($AF$2:AF360),$AF$2:$AF$1001,0),1)&gt;=100000,INDEX($AM$1005:$BM$1005,1,MATCH(COLUMNS($AM$1006:AZ1006),$AM$1006:$BM$1006,0))&gt;=100000), " ",IF(INDEX($AM$2:$BM$1001,MATCH(ROWS($AF$2:AF360),$AF$2:$AF$1001,0),MATCH(COLUMNS($AM$1006:AZ1006),$AM$1006:$BM$1006,0)), HYPERLINK("#",""), HYPERLINK(CONCATENATE("#metadata!", ADDRESS(INDEX($AH$2:$AH$1001,MATCH(ROWS($AF$2:AF360),$AF$2:$AF$1001,0),0), INDEX($AM$1004:$BM$1004,1,MATCH(COLUMNS($AM$1006:AZ1006),$AM$1006:$BM$1006,0)))),"Fix")))</f>
        <v xml:space="preserve"> </v>
      </c>
      <c r="P360" s="4" t="str">
        <f ca="1">IF(OR(INDEX($AG$2:$AG$1001,MATCH(ROWS($AF$2:AF360),$AF$2:$AF$1001,0),1)&gt;=100000,INDEX($AM$1005:$BM$1005,1,MATCH(COLUMNS($AM$1006:BA1006),$AM$1006:$BM$1006,0))&gt;=100000), " ",IF(INDEX($AM$2:$BM$1001,MATCH(ROWS($AF$2:AF360),$AF$2:$AF$1001,0),MATCH(COLUMNS($AM$1006:BA1006),$AM$1006:$BM$1006,0)), HYPERLINK("#",""), HYPERLINK(CONCATENATE("#metadata!", ADDRESS(INDEX($AH$2:$AH$1001,MATCH(ROWS($AF$2:AF360),$AF$2:$AF$1001,0),0), INDEX($AM$1004:$BM$1004,1,MATCH(COLUMNS($AM$1006:BA1006),$AM$1006:$BM$1006,0)))),"Fix")))</f>
        <v xml:space="preserve"> </v>
      </c>
      <c r="Q360" s="4" t="str">
        <f ca="1">IF(OR(INDEX($AG$2:$AG$1001,MATCH(ROWS($AF$2:AF360),$AF$2:$AF$1001,0),1)&gt;=100000,INDEX($AM$1005:$BM$1005,1,MATCH(COLUMNS($AM$1006:BB1006),$AM$1006:$BM$1006,0))&gt;=100000), " ",IF(INDEX($AM$2:$BM$1001,MATCH(ROWS($AF$2:AF360),$AF$2:$AF$1001,0),MATCH(COLUMNS($AM$1006:BB1006),$AM$1006:$BM$1006,0)), HYPERLINK("#",""), HYPERLINK(CONCATENATE("#metadata!", ADDRESS(INDEX($AH$2:$AH$1001,MATCH(ROWS($AF$2:AF360),$AF$2:$AF$1001,0),0), INDEX($AM$1004:$BM$1004,1,MATCH(COLUMNS($AM$1006:BB1006),$AM$1006:$BM$1006,0)))),"Fix")))</f>
        <v xml:space="preserve"> </v>
      </c>
      <c r="R360" s="4" t="str">
        <f ca="1">IF(OR(INDEX($AG$2:$AG$1001,MATCH(ROWS($AF$2:AF360),$AF$2:$AF$1001,0),1)&gt;=100000,INDEX($AM$1005:$BM$1005,1,MATCH(COLUMNS($AM$1006:BC1006),$AM$1006:$BM$1006,0))&gt;=100000), " ",IF(INDEX($AM$2:$BM$1001,MATCH(ROWS($AF$2:AF360),$AF$2:$AF$1001,0),MATCH(COLUMNS($AM$1006:BC1006),$AM$1006:$BM$1006,0)), HYPERLINK("#",""), HYPERLINK(CONCATENATE("#metadata!", ADDRESS(INDEX($AH$2:$AH$1001,MATCH(ROWS($AF$2:AF360),$AF$2:$AF$1001,0),0), INDEX($AM$1004:$BM$1004,1,MATCH(COLUMNS($AM$1006:BC1006),$AM$1006:$BM$1006,0)))),"Fix")))</f>
        <v xml:space="preserve"> </v>
      </c>
      <c r="S360" s="4" t="str">
        <f ca="1">IF(OR(INDEX($AG$2:$AG$1001,MATCH(ROWS($AF$2:AF360),$AF$2:$AF$1001,0),1)&gt;=100000,INDEX($AM$1005:$BM$1005,1,MATCH(COLUMNS($AM$1006:BD1006),$AM$1006:$BM$1006,0))&gt;=100000), " ",IF(INDEX($AM$2:$BM$1001,MATCH(ROWS($AF$2:AF360),$AF$2:$AF$1001,0),MATCH(COLUMNS($AM$1006:BD1006),$AM$1006:$BM$1006,0)), HYPERLINK("#",""), HYPERLINK(CONCATENATE("#metadata!", ADDRESS(INDEX($AH$2:$AH$1001,MATCH(ROWS($AF$2:AF360),$AF$2:$AF$1001,0),0), INDEX($AM$1004:$BM$1004,1,MATCH(COLUMNS($AM$1006:BD1006),$AM$1006:$BM$1006,0)))),"Fix")))</f>
        <v xml:space="preserve"> </v>
      </c>
      <c r="T360" s="4" t="str">
        <f ca="1">IF(OR(INDEX($AG$2:$AG$1001,MATCH(ROWS($AF$2:AF360),$AF$2:$AF$1001,0),1)&gt;=100000,INDEX($AM$1005:$BM$1005,1,MATCH(COLUMNS($AM$1006:BE1006),$AM$1006:$BM$1006,0))&gt;=100000), " ",IF(INDEX($AM$2:$BM$1001,MATCH(ROWS($AF$2:AF360),$AF$2:$AF$1001,0),MATCH(COLUMNS($AM$1006:BE1006),$AM$1006:$BM$1006,0)), HYPERLINK("#",""), HYPERLINK(CONCATENATE("#metadata!", ADDRESS(INDEX($AH$2:$AH$1001,MATCH(ROWS($AF$2:AF360),$AF$2:$AF$1001,0),0), INDEX($AM$1004:$BM$1004,1,MATCH(COLUMNS($AM$1006:BE1006),$AM$1006:$BM$1006,0)))),"Fix")))</f>
        <v xml:space="preserve"> </v>
      </c>
      <c r="U360" s="4" t="str">
        <f ca="1">IF(OR(INDEX($AG$2:$AG$1001,MATCH(ROWS($AF$2:AF360),$AF$2:$AF$1001,0),1)&gt;=100000,INDEX($AM$1005:$BM$1005,1,MATCH(COLUMNS($AM$1006:BF1006),$AM$1006:$BM$1006,0))&gt;=100000), " ",IF(INDEX($AM$2:$BM$1001,MATCH(ROWS($AF$2:AF360),$AF$2:$AF$1001,0),MATCH(COLUMNS($AM$1006:BF1006),$AM$1006:$BM$1006,0)), HYPERLINK("#",""), HYPERLINK(CONCATENATE("#metadata!", ADDRESS(INDEX($AH$2:$AH$1001,MATCH(ROWS($AF$2:AF360),$AF$2:$AF$1001,0),0), INDEX($AM$1004:$BM$1004,1,MATCH(COLUMNS($AM$1006:BF1006),$AM$1006:$BM$1006,0)))),"Fix")))</f>
        <v xml:space="preserve"> </v>
      </c>
      <c r="V360" s="4" t="str">
        <f ca="1">IF(OR(INDEX($AG$2:$AG$1001,MATCH(ROWS($AF$2:AF360),$AF$2:$AF$1001,0),1)&gt;=100000,INDEX($AM$1005:$BM$1005,1,MATCH(COLUMNS($AM$1006:BG1006),$AM$1006:$BM$1006,0))&gt;=100000), " ",IF(INDEX($AM$2:$BM$1001,MATCH(ROWS($AF$2:AF360),$AF$2:$AF$1001,0),MATCH(COLUMNS($AM$1006:BG1006),$AM$1006:$BM$1006,0)), HYPERLINK("#",""), HYPERLINK(CONCATENATE("#metadata!", ADDRESS(INDEX($AH$2:$AH$1001,MATCH(ROWS($AF$2:AF360),$AF$2:$AF$1001,0),0), INDEX($AM$1004:$BM$1004,1,MATCH(COLUMNS($AM$1006:BG1006),$AM$1006:$BM$1006,0)))),"Fix")))</f>
        <v xml:space="preserve"> </v>
      </c>
      <c r="W360" s="4" t="str">
        <f ca="1">IF(OR(INDEX($AG$2:$AG$1001,MATCH(ROWS($AF$2:AF360),$AF$2:$AF$1001,0),1)&gt;=100000,INDEX($AM$1005:$BM$1005,1,MATCH(COLUMNS($AM$1006:BH1006),$AM$1006:$BM$1006,0))&gt;=100000), " ",IF(INDEX($AM$2:$BM$1001,MATCH(ROWS($AF$2:AF360),$AF$2:$AF$1001,0),MATCH(COLUMNS($AM$1006:BH1006),$AM$1006:$BM$1006,0)), HYPERLINK("#",""), HYPERLINK(CONCATENATE("#metadata!", ADDRESS(INDEX($AH$2:$AH$1001,MATCH(ROWS($AF$2:AF360),$AF$2:$AF$1001,0),0), INDEX($AM$1004:$BM$1004,1,MATCH(COLUMNS($AM$1006:BH1006),$AM$1006:$BM$1006,0)))),"Fix")))</f>
        <v xml:space="preserve"> </v>
      </c>
      <c r="X360" s="4" t="str">
        <f ca="1">IF(OR(INDEX($AG$2:$AG$1001,MATCH(ROWS($AF$2:AF360),$AF$2:$AF$1001,0),1)&gt;=100000,INDEX($AM$1005:$BM$1005,1,MATCH(COLUMNS($AM$1006:BI1006),$AM$1006:$BM$1006,0))&gt;=100000), " ",IF(INDEX($AM$2:$BM$1001,MATCH(ROWS($AF$2:AF360),$AF$2:$AF$1001,0),MATCH(COLUMNS($AM$1006:BI1006),$AM$1006:$BM$1006,0)), HYPERLINK("#",""), HYPERLINK(CONCATENATE("#metadata!", ADDRESS(INDEX($AH$2:$AH$1001,MATCH(ROWS($AF$2:AF360),$AF$2:$AF$1001,0),0), INDEX($AM$1004:$BM$1004,1,MATCH(COLUMNS($AM$1006:BI1006),$AM$1006:$BM$1006,0)))),"Fix")))</f>
        <v xml:space="preserve"> </v>
      </c>
      <c r="Y360" s="4" t="str">
        <f ca="1">IF(OR(INDEX($AG$2:$AG$1001,MATCH(ROWS($AF$2:AF360),$AF$2:$AF$1001,0),1)&gt;=100000,INDEX($AM$1005:$BM$1005,1,MATCH(COLUMNS($AM$1006:BJ1006),$AM$1006:$BM$1006,0))&gt;=100000), " ",IF(INDEX($AM$2:$BM$1001,MATCH(ROWS($AF$2:AF360),$AF$2:$AF$1001,0),MATCH(COLUMNS($AM$1006:BJ1006),$AM$1006:$BM$1006,0)), HYPERLINK("#",""), HYPERLINK(CONCATENATE("#metadata!", ADDRESS(INDEX($AH$2:$AH$1001,MATCH(ROWS($AF$2:AF360),$AF$2:$AF$1001,0),0), INDEX($AM$1004:$BM$1004,1,MATCH(COLUMNS($AM$1006:BJ1006),$AM$1006:$BM$1006,0)))),"Fix")))</f>
        <v xml:space="preserve"> </v>
      </c>
      <c r="Z360" s="4" t="str">
        <f ca="1">IF(OR(INDEX($AG$2:$AG$1001,MATCH(ROWS($AF$2:AF360),$AF$2:$AF$1001,0),1)&gt;=100000,INDEX($AM$1005:$BM$1005,1,MATCH(COLUMNS($AM$1006:BK1006),$AM$1006:$BM$1006,0))&gt;=100000), " ",IF(INDEX($AM$2:$BM$1001,MATCH(ROWS($AF$2:AF360),$AF$2:$AF$1001,0),MATCH(COLUMNS($AM$1006:BK1006),$AM$1006:$BM$1006,0)), HYPERLINK("#",""), HYPERLINK(CONCATENATE("#metadata!", ADDRESS(INDEX($AH$2:$AH$1001,MATCH(ROWS($AF$2:AF360),$AF$2:$AF$1001,0),0), INDEX($AM$1004:$BM$1004,1,MATCH(COLUMNS($AM$1006:BK1006),$AM$1006:$BM$1006,0)))),"Fix")))</f>
        <v xml:space="preserve"> </v>
      </c>
      <c r="AA360" s="4" t="str">
        <f ca="1">IF(OR(INDEX($AG$2:$AG$1001,MATCH(ROWS($AF$2:AF360),$AF$2:$AF$1001,0),1)&gt;=100000,INDEX($AM$1005:$BM$1005,1,MATCH(COLUMNS($AM$1006:BL1006),$AM$1006:$BM$1006,0))&gt;=100000), " ",IF(INDEX($AM$2:$BM$1001,MATCH(ROWS($AF$2:AF360),$AF$2:$AF$1001,0),MATCH(COLUMNS($AM$1006:BL1006),$AM$1006:$BM$1006,0)), HYPERLINK("#",""), HYPERLINK(CONCATENATE("#metadata!", ADDRESS(INDEX($AH$2:$AH$1001,MATCH(ROWS($AF$2:AF360),$AF$2:$AF$1001,0),0), INDEX($AM$1004:$BM$1004,1,MATCH(COLUMNS($AM$1006:BL1006),$AM$1006:$BM$1006,0)))),"Fix")))</f>
        <v xml:space="preserve"> </v>
      </c>
      <c r="AB360" s="4" t="str">
        <f ca="1">IF(OR(INDEX($AG$2:$AG$1001,MATCH(ROWS($AF$2:AF360),$AF$2:$AF$1001,0),1)&gt;=100000,INDEX($AM$1005:$BM$1005,1,MATCH(COLUMNS($AM$1006:BM1006),$AM$1006:$BM$1006,0))&gt;=100000), " ",IF(INDEX($AM$2:$BM$1001,MATCH(ROWS($AF$2:AF360),$AF$2:$AF$1001,0),MATCH(COLUMNS($AM$1006:BM1006),$AM$1006:$BM$1006,0)), HYPERLINK("#",""), HYPERLINK(CONCATENATE("#metadata!", ADDRESS(INDEX($AH$2:$AH$1001,MATCH(ROWS($AF$2:AF360),$AF$2:$AF$1001,0),0), INDEX($AM$1004:$BM$1004,1,MATCH(COLUMNS($AM$1006:BM1006),$AM$1006:$BM$1006,0)))),"Fix")))</f>
        <v xml:space="preserve"> </v>
      </c>
      <c r="AF360">
        <v>359</v>
      </c>
      <c r="AG360">
        <v>100360</v>
      </c>
      <c r="AH360">
        <v>360</v>
      </c>
      <c r="AI360" t="b">
        <f t="shared" si="5"/>
        <v>1</v>
      </c>
      <c r="AJ360" t="b">
        <f>COUNTBLANK(metadata!B360:AB360)=COLUMNS(metadata!B360:AB360)</f>
        <v>1</v>
      </c>
      <c r="AK360" t="str">
        <v/>
      </c>
      <c r="AM360" t="b">
        <f ca="1">AND(IF(metadata!B360="",FALSE,TRUE),COUNTIF(metadata!B:B, metadata!B360) = 1,NOT(ISERROR(SUMPRODUCT(SEARCH(MID(metadata!B360,ROW(INDIRECT("1:"&amp;LEN(metadata!B360))), 1),"0123456789abcdefghijklmnopqrstuvwxyzABCDEFGHIJKLMNOPQRSTUVWXYZ.")))))</f>
        <v>0</v>
      </c>
      <c r="AN360" t="b">
        <f ca="1">OR(AND(IF(metadata!C360="",FALSE,TRUE),OR(EXACT(metadata!C360,"missing: not collected"),EXACT(metadata!C360,"missing: not provided"),EXACT(metadata!C360,"missing: restricted access"))),AND(IF(metadata!C360="",FALSE,TRUE),AND(AND(IFERROR(INT(LEFT(metadata!C360,4))&gt;1900,FALSE),IFERROR(INT(LEFT(metadata!C360,4))&lt;=YEAR(NOW()),FALSE)), OR(MID(metadata!C360,5,1)="", AND(AND(MID(metadata!C360,5,1)="-",IFERROR(INT(MID(metadata!C360,6,1))&gt;=0,FALSE),IFERROR(INT(MID(metadata!C360,6,1))&lt;=1,FALSE),NOT(MID(metadata!C360,7,1)=""),IFERROR(INT(MID(metadata!C360,6,2))&gt;=1,FALSE),IFERROR(INT(MID(metadata!C360,6,2))&lt;=12,FALSE)), OR(MID(metadata!C360,8,1)="", AND(AND(MID(metadata!C360,8,1)="-",IFERROR(INT(MID(metadata!C360,9,1))&gt;=0,FALSE),IFERROR(INT(MID(metadata!C360,9,1))&lt;=3,FALSE),NOT(MID(metadata!C360,10,1)=""),IFERROR(INT(MID(metadata!C360,9,2))&gt;=1,FALSE),IFERROR(INT(MID(metadata!C360,9,2))&lt;=31,FALSE)), OR(MID(metadata!C360,11,1)="", AND(AND(MID(metadata!C360,11,1)=" ",IFERROR(INT(MID(metadata!C360,12,1))&gt;=0,FALSE),IFERROR(INT(MID(metadata!C360,12,1))&lt;=2,FALSE),NOT(MID(metadata!C360,13,1)=""),IFERROR(INT(MID(metadata!C360,12,2))&gt;=0,FALSE),IFERROR(INT(MID(metadata!C360,12,2))&lt;=23,FALSE)), OR(MID(metadata!C360,14,1)="", AND(AND(MID(metadata!C360,14,1)=":",IFERROR(INT(MID(metadata!C360,15,1))&gt;=0,FALSE),IFERROR(INT(MID(metadata!C360,15,1))&lt;=5,FALSE),NOT(MID(metadata!C360,16,1)=""),IFERROR(INT(MID(metadata!C360,15,2))&gt;=0,FALSE),IFERROR(INT(MID(metadata!C360,15,2))&lt;=59,FALSE)), OR(MID(metadata!C360,17,1)="", AND(AND(MID(metadata!C360,17,1)=":",IFERROR(INT(MID(metadata!C360,18,1))&gt;=0,FALSE),IFERROR(INT(MID(metadata!C360,18,1))&lt;=5,FALSE),NOT(MID(metadata!C360,19,1)=""),IFERROR(INT(MID(metadata!C360,18,2))&gt;=0,FALSE),IFERROR(INT(MID(metadata!C360,18,2))&lt;=59,FALSE)), LEN(metadata!C360)&lt;=19)))))))))))))</f>
        <v>0</v>
      </c>
      <c r="AO360" t="b">
        <f>AND(IF(metadata!D360="",FALSE,TRUE),EXACT(metadata!D360,"Not applicable"))</f>
        <v>0</v>
      </c>
      <c r="AP360" t="b">
        <f>IF(metadata!E360="",FALSE,TRUE)</f>
        <v>0</v>
      </c>
      <c r="AQ360" t="b">
        <f>OR(AND(IF(metadata!F360="",FALSE,TRUE),OR(EXACT(metadata!F360,"missing: not collected"),EXACT(metadata!F360,"missing: not provided"))),AND(IF(metadata!F360="",FALSE,TRUE),OR(EXACT(metadata!F360,"TRUE"),EXACT(metadata!F360,"FALSE"))))</f>
        <v>0</v>
      </c>
      <c r="AR360" t="b">
        <f>OR(AND(IF(metadata!G360="",FALSE,TRUE),OR(EXACT(metadata!G360,"missing: not collected"),EXACT(metadata!G360,"missing: not provided"),EXACT(metadata!G360,"missing: restricted access"))),AND(IF(metadata!G360="",FALSE,ISNUMBER(VALUE(metadata!G360))),metadata!G360&gt;=-413))</f>
        <v>0</v>
      </c>
      <c r="AS360" t="b">
        <f>AND(IF(metadata!H360="",FALSE,TRUE),EXACT(metadata!H360,"meters"))</f>
        <v>0</v>
      </c>
      <c r="AT360" t="b">
        <f>AND(IF(metadata!I360="",FALSE,TRUE),OR(EXACT(metadata!I360,"Host-associated"),EXACT(metadata!I360,"Free-living")))</f>
        <v>0</v>
      </c>
      <c r="AU360" t="b">
        <f>AND(IF(metadata!J360="",FALSE,TRUE),OR(EXACT(metadata!J360,"Animal"),EXACT(metadata!J360,"Fungus"),EXACT(metadata!J360,"Plant"),EXACT(metadata!J360,"Saline"),EXACT(metadata!J360,"Non-saline")))</f>
        <v>0</v>
      </c>
      <c r="AV360" t="b">
        <f>AND(IF(metadata!K360="",FALSE,TRUE),OR(EXACT(metadata!K360,"Plant secretion"),EXACT(metadata!K360,"Plant rhizosphere"),EXACT(metadata!K360,"Plant surface"),EXACT(metadata!K360,"Plant corpus"),EXACT(metadata!K360,"Fungus surface"),EXACT(metadata!K360,"Fungus corpus"),EXACT(metadata!K360,"Animal surface"),EXACT(metadata!K360,"Animal proximal gut"),EXACT(metadata!K360,"Animal corpus"),EXACT(metadata!K360,"Animal distal gut"),EXACT(metadata!K360,"Animal secretion"),EXACT(metadata!K360,"Sub-surface (non-saline)"),EXACT(metadata!K360,"Surface (non-saline)"),EXACT(metadata!K360,"Water (non-saline)"),EXACT(metadata!K360,"Soil (non-saline)"),EXACT(metadata!K360,"Aerosol (non-saline)"),EXACT(metadata!K360,"Sediment (non-saline)"),EXACT(metadata!K360,"Surface (saline)"),EXACT(metadata!K360,"Water (saline)"),EXACT(metadata!K360,"Hypersaline (saline)"),EXACT(metadata!K360,"Aerosol (saline)"),EXACT(metadata!K360,"Sediment (saline)")))</f>
        <v>0</v>
      </c>
      <c r="AW360" t="b">
        <f>IF(metadata!L360="",FALSE,TRUE)</f>
        <v>0</v>
      </c>
      <c r="AX360" t="b">
        <f>IF(metadata!M360="",FALSE,TRUE)</f>
        <v>0</v>
      </c>
      <c r="AY360" t="b">
        <f>IF(metadata!N360="",FALSE,TRUE)</f>
        <v>0</v>
      </c>
      <c r="AZ360" t="b">
        <f>OR(AND(IF(metadata!O360="",FALSE,TRUE),OR(EXACT(metadata!O360,"missing: not collected"),EXACT(metadata!O360,"missing: not provided"),EXACT(metadata!O360,"missing: restricted access"))),AND(IF(metadata!O360="",FALSE,TRUE),OR(EXACT(metadata!O360,"air"),EXACT(metadata!O360,"built environment"),EXACT(metadata!O360,"host-associated"),EXACT(metadata!O360,"human-associated"),EXACT(metadata!O360,"human-skin"),EXACT(metadata!O360,"human-oral"),EXACT(metadata!O360,"human-gut"),EXACT(metadata!O360,"human-vaginal"),EXACT(metadata!O360,"microbial mat/biofilm"),EXACT(metadata!O360,"misc environment"),EXACT(metadata!O360,"plant-associated"),EXACT(metadata!O360,"sediment"),EXACT(metadata!O360,"soil"),EXACT(metadata!O360,"wastewater/sludge"),EXACT(metadata!O360,"water"))))</f>
        <v>0</v>
      </c>
      <c r="BA360" t="b">
        <f>IF(metadata!P360="",FALSE,TRUE)</f>
        <v>0</v>
      </c>
      <c r="BB360" t="b">
        <f>IF(metadata!Q360="",FALSE,TRUE)</f>
        <v>0</v>
      </c>
      <c r="BC360" t="b">
        <f>OR(AND(IF(metadata!R360="",FALSE,TRUE),OR(EXACT(metadata!R360,"missing: not collected"),EXACT(metadata!R360,"missing: not provided"),EXACT(metadata!R360,"missing: restricted access"))),AND(IF(metadata!R360="",FALSE,ISNUMBER(VALUE(metadata!R360))),metadata!R360&gt;=-90,metadata!R360&lt;=90))</f>
        <v>0</v>
      </c>
      <c r="BD360" t="b">
        <f>AND(IF(metadata!S360="",FALSE,TRUE),EXACT(metadata!S360,"Decimal degrees"))</f>
        <v>0</v>
      </c>
      <c r="BE360" t="b">
        <f>OR(AND(IF(metadata!T360="",FALSE,TRUE),OR(EXACT(metadata!T360,"missing: not collected"),EXACT(metadata!T360,"missing: not provided"),EXACT(metadata!T360,"missing: restricted access"))),AND(IF(metadata!T360="",FALSE,ISNUMBER(VALUE(metadata!T360))),metadata!T360&gt;=-180,metadata!T360&lt;=180))</f>
        <v>0</v>
      </c>
      <c r="BF360" t="b">
        <f>AND(IF(metadata!U360="",FALSE,TRUE),EXACT(metadata!U360,"Decimal degrees"))</f>
        <v>0</v>
      </c>
      <c r="BG360" t="b">
        <f>IF(metadata!V360="",FALSE,TRUE)</f>
        <v>0</v>
      </c>
      <c r="BH360" t="b">
        <f>OR(AND(IF(metadata!W360="",FALSE,TRUE),OR(EXACT(metadata!W360,"missing: not collected"),EXACT(metadata!W360,"missing: not provided"),EXACT(metadata!W360,"missing: restricted access"))),AND(IF(metadata!W360="",FALSE,TRUE),OR(EXACT(metadata!W360,"TRUE"),EXACT(metadata!W360,"FALSE"))))</f>
        <v>0</v>
      </c>
      <c r="BI360" t="b">
        <f>AND(IF(metadata!X360="",FALSE,TRUE),EXACT(metadata!X360,"other"))</f>
        <v>0</v>
      </c>
      <c r="BJ360" t="b">
        <f>IF(metadata!Y360="",FALSE,TRUE)</f>
        <v>0</v>
      </c>
      <c r="BK360" t="b">
        <f>OR(AND(IF(metadata!Z360="",FALSE,TRUE),OR(EXACT(metadata!Z360,"missing: not collected"),EXACT(metadata!Z360,"missing: not provided"))),AND(IF(metadata!Z360="",FALSE,IF(ISERROR(INT(metadata!Z360)),FALSE,INT(metadata!Z360)=metadata!Z360)),metadata!Z360&gt;0))</f>
        <v>0</v>
      </c>
      <c r="BL360" t="b">
        <f>AND(IF(metadata!AA360="",FALSE,TRUE),EXACT(metadata!AA360,"Not applicable"))</f>
        <v>0</v>
      </c>
      <c r="BM360" t="b">
        <f>IF(metadata!AB360="",FALSE,TRUE)</f>
        <v>0</v>
      </c>
    </row>
    <row r="361" spans="1:65" x14ac:dyDescent="0.2">
      <c r="A361" s="5" t="str">
        <f ca="1">IF(B361=" "," ",HYPERLINK(CONCATENATE("#metadata!",ADDRESS(INDEX($AH$2:$AH$1001,MATCH(ROWS($AF$2:AF361),$AF$2:$AF$1001,0),0),1)),INDEX($AK$2:$AK$1001,MATCH(ROWS($AF$2:AF361),$AF$2:$AF$1001,0),0)))</f>
        <v xml:space="preserve"> </v>
      </c>
      <c r="B361" s="4" t="str">
        <f ca="1">IF(OR(INDEX($AG$2:$AG$1001,MATCH(ROWS($AF$2:AF361),$AF$2:$AF$1001,0),1)&gt;=100000,INDEX($AM$1005:$BM$1005,1,MATCH(COLUMNS($AM$1006:AM1006),$AM$1006:$BM$1006,0))&gt;=100000), " ",IF(INDEX($AM$2:$BM$1001,MATCH(ROWS($AF$2:AF361),$AF$2:$AF$1001,0),MATCH(COLUMNS($AM$1006:AM1006),$AM$1006:$BM$1006,0)), HYPERLINK("#",""), HYPERLINK(CONCATENATE("#metadata!", ADDRESS(INDEX($AH$2:$AH$1001,MATCH(ROWS($AF$2:AF361),$AF$2:$AF$1001,0),0), INDEX($AM$1004:$BM$1004,1,MATCH(COLUMNS($AM$1006:AM1006),$AM$1006:$BM$1006,0)))),"Fix")))</f>
        <v xml:space="preserve"> </v>
      </c>
      <c r="C361" s="4" t="str">
        <f ca="1">IF(OR(INDEX($AG$2:$AG$1001,MATCH(ROWS($AF$2:AF361),$AF$2:$AF$1001,0),1)&gt;=100000,INDEX($AM$1005:$BM$1005,1,MATCH(COLUMNS($AM$1006:AN1006),$AM$1006:$BM$1006,0))&gt;=100000), " ",IF(INDEX($AM$2:$BM$1001,MATCH(ROWS($AF$2:AF361),$AF$2:$AF$1001,0),MATCH(COLUMNS($AM$1006:AN1006),$AM$1006:$BM$1006,0)), HYPERLINK("#",""), HYPERLINK(CONCATENATE("#metadata!", ADDRESS(INDEX($AH$2:$AH$1001,MATCH(ROWS($AF$2:AF361),$AF$2:$AF$1001,0),0), INDEX($AM$1004:$BM$1004,1,MATCH(COLUMNS($AM$1006:AN1006),$AM$1006:$BM$1006,0)))),"Fix")))</f>
        <v xml:space="preserve"> </v>
      </c>
      <c r="D361" s="4" t="str">
        <f ca="1">IF(OR(INDEX($AG$2:$AG$1001,MATCH(ROWS($AF$2:AF361),$AF$2:$AF$1001,0),1)&gt;=100000,INDEX($AM$1005:$BM$1005,1,MATCH(COLUMNS($AM$1006:AO1006),$AM$1006:$BM$1006,0))&gt;=100000), " ",IF(INDEX($AM$2:$BM$1001,MATCH(ROWS($AF$2:AF361),$AF$2:$AF$1001,0),MATCH(COLUMNS($AM$1006:AO1006),$AM$1006:$BM$1006,0)), HYPERLINK("#",""), HYPERLINK(CONCATENATE("#metadata!", ADDRESS(INDEX($AH$2:$AH$1001,MATCH(ROWS($AF$2:AF361),$AF$2:$AF$1001,0),0), INDEX($AM$1004:$BM$1004,1,MATCH(COLUMNS($AM$1006:AO1006),$AM$1006:$BM$1006,0)))),"Fix")))</f>
        <v xml:space="preserve"> </v>
      </c>
      <c r="E361" s="4" t="str">
        <f ca="1">IF(OR(INDEX($AG$2:$AG$1001,MATCH(ROWS($AF$2:AF361),$AF$2:$AF$1001,0),1)&gt;=100000,INDEX($AM$1005:$BM$1005,1,MATCH(COLUMNS($AM$1006:AP1006),$AM$1006:$BM$1006,0))&gt;=100000), " ",IF(INDEX($AM$2:$BM$1001,MATCH(ROWS($AF$2:AF361),$AF$2:$AF$1001,0),MATCH(COLUMNS($AM$1006:AP1006),$AM$1006:$BM$1006,0)), HYPERLINK("#",""), HYPERLINK(CONCATENATE("#metadata!", ADDRESS(INDEX($AH$2:$AH$1001,MATCH(ROWS($AF$2:AF361),$AF$2:$AF$1001,0),0), INDEX($AM$1004:$BM$1004,1,MATCH(COLUMNS($AM$1006:AP1006),$AM$1006:$BM$1006,0)))),"Fix")))</f>
        <v xml:space="preserve"> </v>
      </c>
      <c r="F361" s="4" t="str">
        <f ca="1">IF(OR(INDEX($AG$2:$AG$1001,MATCH(ROWS($AF$2:AF361),$AF$2:$AF$1001,0),1)&gt;=100000,INDEX($AM$1005:$BM$1005,1,MATCH(COLUMNS($AM$1006:AQ1006),$AM$1006:$BM$1006,0))&gt;=100000), " ",IF(INDEX($AM$2:$BM$1001,MATCH(ROWS($AF$2:AF361),$AF$2:$AF$1001,0),MATCH(COLUMNS($AM$1006:AQ1006),$AM$1006:$BM$1006,0)), HYPERLINK("#",""), HYPERLINK(CONCATENATE("#metadata!", ADDRESS(INDEX($AH$2:$AH$1001,MATCH(ROWS($AF$2:AF361),$AF$2:$AF$1001,0),0), INDEX($AM$1004:$BM$1004,1,MATCH(COLUMNS($AM$1006:AQ1006),$AM$1006:$BM$1006,0)))),"Fix")))</f>
        <v xml:space="preserve"> </v>
      </c>
      <c r="G361" s="4" t="str">
        <f ca="1">IF(OR(INDEX($AG$2:$AG$1001,MATCH(ROWS($AF$2:AF361),$AF$2:$AF$1001,0),1)&gt;=100000,INDEX($AM$1005:$BM$1005,1,MATCH(COLUMNS($AM$1006:AR1006),$AM$1006:$BM$1006,0))&gt;=100000), " ",IF(INDEX($AM$2:$BM$1001,MATCH(ROWS($AF$2:AF361),$AF$2:$AF$1001,0),MATCH(COLUMNS($AM$1006:AR1006),$AM$1006:$BM$1006,0)), HYPERLINK("#",""), HYPERLINK(CONCATENATE("#metadata!", ADDRESS(INDEX($AH$2:$AH$1001,MATCH(ROWS($AF$2:AF361),$AF$2:$AF$1001,0),0), INDEX($AM$1004:$BM$1004,1,MATCH(COLUMNS($AM$1006:AR1006),$AM$1006:$BM$1006,0)))),"Fix")))</f>
        <v xml:space="preserve"> </v>
      </c>
      <c r="H361" s="4" t="str">
        <f ca="1">IF(OR(INDEX($AG$2:$AG$1001,MATCH(ROWS($AF$2:AF361),$AF$2:$AF$1001,0),1)&gt;=100000,INDEX($AM$1005:$BM$1005,1,MATCH(COLUMNS($AM$1006:AS1006),$AM$1006:$BM$1006,0))&gt;=100000), " ",IF(INDEX($AM$2:$BM$1001,MATCH(ROWS($AF$2:AF361),$AF$2:$AF$1001,0),MATCH(COLUMNS($AM$1006:AS1006),$AM$1006:$BM$1006,0)), HYPERLINK("#",""), HYPERLINK(CONCATENATE("#metadata!", ADDRESS(INDEX($AH$2:$AH$1001,MATCH(ROWS($AF$2:AF361),$AF$2:$AF$1001,0),0), INDEX($AM$1004:$BM$1004,1,MATCH(COLUMNS($AM$1006:AS1006),$AM$1006:$BM$1006,0)))),"Fix")))</f>
        <v xml:space="preserve"> </v>
      </c>
      <c r="I361" s="4" t="str">
        <f ca="1">IF(OR(INDEX($AG$2:$AG$1001,MATCH(ROWS($AF$2:AF361),$AF$2:$AF$1001,0),1)&gt;=100000,INDEX($AM$1005:$BM$1005,1,MATCH(COLUMNS($AM$1006:AT1006),$AM$1006:$BM$1006,0))&gt;=100000), " ",IF(INDEX($AM$2:$BM$1001,MATCH(ROWS($AF$2:AF361),$AF$2:$AF$1001,0),MATCH(COLUMNS($AM$1006:AT1006),$AM$1006:$BM$1006,0)), HYPERLINK("#",""), HYPERLINK(CONCATENATE("#metadata!", ADDRESS(INDEX($AH$2:$AH$1001,MATCH(ROWS($AF$2:AF361),$AF$2:$AF$1001,0),0), INDEX($AM$1004:$BM$1004,1,MATCH(COLUMNS($AM$1006:AT1006),$AM$1006:$BM$1006,0)))),"Fix")))</f>
        <v xml:space="preserve"> </v>
      </c>
      <c r="J361" s="4" t="str">
        <f ca="1">IF(OR(INDEX($AG$2:$AG$1001,MATCH(ROWS($AF$2:AF361),$AF$2:$AF$1001,0),1)&gt;=100000,INDEX($AM$1005:$BM$1005,1,MATCH(COLUMNS($AM$1006:AU1006),$AM$1006:$BM$1006,0))&gt;=100000), " ",IF(INDEX($AM$2:$BM$1001,MATCH(ROWS($AF$2:AF361),$AF$2:$AF$1001,0),MATCH(COLUMNS($AM$1006:AU1006),$AM$1006:$BM$1006,0)), HYPERLINK("#",""), HYPERLINK(CONCATENATE("#metadata!", ADDRESS(INDEX($AH$2:$AH$1001,MATCH(ROWS($AF$2:AF361),$AF$2:$AF$1001,0),0), INDEX($AM$1004:$BM$1004,1,MATCH(COLUMNS($AM$1006:AU1006),$AM$1006:$BM$1006,0)))),"Fix")))</f>
        <v xml:space="preserve"> </v>
      </c>
      <c r="K361" s="4" t="str">
        <f ca="1">IF(OR(INDEX($AG$2:$AG$1001,MATCH(ROWS($AF$2:AF361),$AF$2:$AF$1001,0),1)&gt;=100000,INDEX($AM$1005:$BM$1005,1,MATCH(COLUMNS($AM$1006:AV1006),$AM$1006:$BM$1006,0))&gt;=100000), " ",IF(INDEX($AM$2:$BM$1001,MATCH(ROWS($AF$2:AF361),$AF$2:$AF$1001,0),MATCH(COLUMNS($AM$1006:AV1006),$AM$1006:$BM$1006,0)), HYPERLINK("#",""), HYPERLINK(CONCATENATE("#metadata!", ADDRESS(INDEX($AH$2:$AH$1001,MATCH(ROWS($AF$2:AF361),$AF$2:$AF$1001,0),0), INDEX($AM$1004:$BM$1004,1,MATCH(COLUMNS($AM$1006:AV1006),$AM$1006:$BM$1006,0)))),"Fix")))</f>
        <v xml:space="preserve"> </v>
      </c>
      <c r="L361" s="4" t="str">
        <f ca="1">IF(OR(INDEX($AG$2:$AG$1001,MATCH(ROWS($AF$2:AF361),$AF$2:$AF$1001,0),1)&gt;=100000,INDEX($AM$1005:$BM$1005,1,MATCH(COLUMNS($AM$1006:AW1006),$AM$1006:$BM$1006,0))&gt;=100000), " ",IF(INDEX($AM$2:$BM$1001,MATCH(ROWS($AF$2:AF361),$AF$2:$AF$1001,0),MATCH(COLUMNS($AM$1006:AW1006),$AM$1006:$BM$1006,0)), HYPERLINK("#",""), HYPERLINK(CONCATENATE("#metadata!", ADDRESS(INDEX($AH$2:$AH$1001,MATCH(ROWS($AF$2:AF361),$AF$2:$AF$1001,0),0), INDEX($AM$1004:$BM$1004,1,MATCH(COLUMNS($AM$1006:AW1006),$AM$1006:$BM$1006,0)))),"Fix")))</f>
        <v xml:space="preserve"> </v>
      </c>
      <c r="M361" s="4" t="str">
        <f ca="1">IF(OR(INDEX($AG$2:$AG$1001,MATCH(ROWS($AF$2:AF361),$AF$2:$AF$1001,0),1)&gt;=100000,INDEX($AM$1005:$BM$1005,1,MATCH(COLUMNS($AM$1006:AX1006),$AM$1006:$BM$1006,0))&gt;=100000), " ",IF(INDEX($AM$2:$BM$1001,MATCH(ROWS($AF$2:AF361),$AF$2:$AF$1001,0),MATCH(COLUMNS($AM$1006:AX1006),$AM$1006:$BM$1006,0)), HYPERLINK("#",""), HYPERLINK(CONCATENATE("#metadata!", ADDRESS(INDEX($AH$2:$AH$1001,MATCH(ROWS($AF$2:AF361),$AF$2:$AF$1001,0),0), INDEX($AM$1004:$BM$1004,1,MATCH(COLUMNS($AM$1006:AX1006),$AM$1006:$BM$1006,0)))),"Fix")))</f>
        <v xml:space="preserve"> </v>
      </c>
      <c r="N361" s="4" t="str">
        <f ca="1">IF(OR(INDEX($AG$2:$AG$1001,MATCH(ROWS($AF$2:AF361),$AF$2:$AF$1001,0),1)&gt;=100000,INDEX($AM$1005:$BM$1005,1,MATCH(COLUMNS($AM$1006:AY1006),$AM$1006:$BM$1006,0))&gt;=100000), " ",IF(INDEX($AM$2:$BM$1001,MATCH(ROWS($AF$2:AF361),$AF$2:$AF$1001,0),MATCH(COLUMNS($AM$1006:AY1006),$AM$1006:$BM$1006,0)), HYPERLINK("#",""), HYPERLINK(CONCATENATE("#metadata!", ADDRESS(INDEX($AH$2:$AH$1001,MATCH(ROWS($AF$2:AF361),$AF$2:$AF$1001,0),0), INDEX($AM$1004:$BM$1004,1,MATCH(COLUMNS($AM$1006:AY1006),$AM$1006:$BM$1006,0)))),"Fix")))</f>
        <v xml:space="preserve"> </v>
      </c>
      <c r="O361" s="4" t="str">
        <f ca="1">IF(OR(INDEX($AG$2:$AG$1001,MATCH(ROWS($AF$2:AF361),$AF$2:$AF$1001,0),1)&gt;=100000,INDEX($AM$1005:$BM$1005,1,MATCH(COLUMNS($AM$1006:AZ1006),$AM$1006:$BM$1006,0))&gt;=100000), " ",IF(INDEX($AM$2:$BM$1001,MATCH(ROWS($AF$2:AF361),$AF$2:$AF$1001,0),MATCH(COLUMNS($AM$1006:AZ1006),$AM$1006:$BM$1006,0)), HYPERLINK("#",""), HYPERLINK(CONCATENATE("#metadata!", ADDRESS(INDEX($AH$2:$AH$1001,MATCH(ROWS($AF$2:AF361),$AF$2:$AF$1001,0),0), INDEX($AM$1004:$BM$1004,1,MATCH(COLUMNS($AM$1006:AZ1006),$AM$1006:$BM$1006,0)))),"Fix")))</f>
        <v xml:space="preserve"> </v>
      </c>
      <c r="P361" s="4" t="str">
        <f ca="1">IF(OR(INDEX($AG$2:$AG$1001,MATCH(ROWS($AF$2:AF361),$AF$2:$AF$1001,0),1)&gt;=100000,INDEX($AM$1005:$BM$1005,1,MATCH(COLUMNS($AM$1006:BA1006),$AM$1006:$BM$1006,0))&gt;=100000), " ",IF(INDEX($AM$2:$BM$1001,MATCH(ROWS($AF$2:AF361),$AF$2:$AF$1001,0),MATCH(COLUMNS($AM$1006:BA1006),$AM$1006:$BM$1006,0)), HYPERLINK("#",""), HYPERLINK(CONCATENATE("#metadata!", ADDRESS(INDEX($AH$2:$AH$1001,MATCH(ROWS($AF$2:AF361),$AF$2:$AF$1001,0),0), INDEX($AM$1004:$BM$1004,1,MATCH(COLUMNS($AM$1006:BA1006),$AM$1006:$BM$1006,0)))),"Fix")))</f>
        <v xml:space="preserve"> </v>
      </c>
      <c r="Q361" s="4" t="str">
        <f ca="1">IF(OR(INDEX($AG$2:$AG$1001,MATCH(ROWS($AF$2:AF361),$AF$2:$AF$1001,0),1)&gt;=100000,INDEX($AM$1005:$BM$1005,1,MATCH(COLUMNS($AM$1006:BB1006),$AM$1006:$BM$1006,0))&gt;=100000), " ",IF(INDEX($AM$2:$BM$1001,MATCH(ROWS($AF$2:AF361),$AF$2:$AF$1001,0),MATCH(COLUMNS($AM$1006:BB1006),$AM$1006:$BM$1006,0)), HYPERLINK("#",""), HYPERLINK(CONCATENATE("#metadata!", ADDRESS(INDEX($AH$2:$AH$1001,MATCH(ROWS($AF$2:AF361),$AF$2:$AF$1001,0),0), INDEX($AM$1004:$BM$1004,1,MATCH(COLUMNS($AM$1006:BB1006),$AM$1006:$BM$1006,0)))),"Fix")))</f>
        <v xml:space="preserve"> </v>
      </c>
      <c r="R361" s="4" t="str">
        <f ca="1">IF(OR(INDEX($AG$2:$AG$1001,MATCH(ROWS($AF$2:AF361),$AF$2:$AF$1001,0),1)&gt;=100000,INDEX($AM$1005:$BM$1005,1,MATCH(COLUMNS($AM$1006:BC1006),$AM$1006:$BM$1006,0))&gt;=100000), " ",IF(INDEX($AM$2:$BM$1001,MATCH(ROWS($AF$2:AF361),$AF$2:$AF$1001,0),MATCH(COLUMNS($AM$1006:BC1006),$AM$1006:$BM$1006,0)), HYPERLINK("#",""), HYPERLINK(CONCATENATE("#metadata!", ADDRESS(INDEX($AH$2:$AH$1001,MATCH(ROWS($AF$2:AF361),$AF$2:$AF$1001,0),0), INDEX($AM$1004:$BM$1004,1,MATCH(COLUMNS($AM$1006:BC1006),$AM$1006:$BM$1006,0)))),"Fix")))</f>
        <v xml:space="preserve"> </v>
      </c>
      <c r="S361" s="4" t="str">
        <f ca="1">IF(OR(INDEX($AG$2:$AG$1001,MATCH(ROWS($AF$2:AF361),$AF$2:$AF$1001,0),1)&gt;=100000,INDEX($AM$1005:$BM$1005,1,MATCH(COLUMNS($AM$1006:BD1006),$AM$1006:$BM$1006,0))&gt;=100000), " ",IF(INDEX($AM$2:$BM$1001,MATCH(ROWS($AF$2:AF361),$AF$2:$AF$1001,0),MATCH(COLUMNS($AM$1006:BD1006),$AM$1006:$BM$1006,0)), HYPERLINK("#",""), HYPERLINK(CONCATENATE("#metadata!", ADDRESS(INDEX($AH$2:$AH$1001,MATCH(ROWS($AF$2:AF361),$AF$2:$AF$1001,0),0), INDEX($AM$1004:$BM$1004,1,MATCH(COLUMNS($AM$1006:BD1006),$AM$1006:$BM$1006,0)))),"Fix")))</f>
        <v xml:space="preserve"> </v>
      </c>
      <c r="T361" s="4" t="str">
        <f ca="1">IF(OR(INDEX($AG$2:$AG$1001,MATCH(ROWS($AF$2:AF361),$AF$2:$AF$1001,0),1)&gt;=100000,INDEX($AM$1005:$BM$1005,1,MATCH(COLUMNS($AM$1006:BE1006),$AM$1006:$BM$1006,0))&gt;=100000), " ",IF(INDEX($AM$2:$BM$1001,MATCH(ROWS($AF$2:AF361),$AF$2:$AF$1001,0),MATCH(COLUMNS($AM$1006:BE1006),$AM$1006:$BM$1006,0)), HYPERLINK("#",""), HYPERLINK(CONCATENATE("#metadata!", ADDRESS(INDEX($AH$2:$AH$1001,MATCH(ROWS($AF$2:AF361),$AF$2:$AF$1001,0),0), INDEX($AM$1004:$BM$1004,1,MATCH(COLUMNS($AM$1006:BE1006),$AM$1006:$BM$1006,0)))),"Fix")))</f>
        <v xml:space="preserve"> </v>
      </c>
      <c r="U361" s="4" t="str">
        <f ca="1">IF(OR(INDEX($AG$2:$AG$1001,MATCH(ROWS($AF$2:AF361),$AF$2:$AF$1001,0),1)&gt;=100000,INDEX($AM$1005:$BM$1005,1,MATCH(COLUMNS($AM$1006:BF1006),$AM$1006:$BM$1006,0))&gt;=100000), " ",IF(INDEX($AM$2:$BM$1001,MATCH(ROWS($AF$2:AF361),$AF$2:$AF$1001,0),MATCH(COLUMNS($AM$1006:BF1006),$AM$1006:$BM$1006,0)), HYPERLINK("#",""), HYPERLINK(CONCATENATE("#metadata!", ADDRESS(INDEX($AH$2:$AH$1001,MATCH(ROWS($AF$2:AF361),$AF$2:$AF$1001,0),0), INDEX($AM$1004:$BM$1004,1,MATCH(COLUMNS($AM$1006:BF1006),$AM$1006:$BM$1006,0)))),"Fix")))</f>
        <v xml:space="preserve"> </v>
      </c>
      <c r="V361" s="4" t="str">
        <f ca="1">IF(OR(INDEX($AG$2:$AG$1001,MATCH(ROWS($AF$2:AF361),$AF$2:$AF$1001,0),1)&gt;=100000,INDEX($AM$1005:$BM$1005,1,MATCH(COLUMNS($AM$1006:BG1006),$AM$1006:$BM$1006,0))&gt;=100000), " ",IF(INDEX($AM$2:$BM$1001,MATCH(ROWS($AF$2:AF361),$AF$2:$AF$1001,0),MATCH(COLUMNS($AM$1006:BG1006),$AM$1006:$BM$1006,0)), HYPERLINK("#",""), HYPERLINK(CONCATENATE("#metadata!", ADDRESS(INDEX($AH$2:$AH$1001,MATCH(ROWS($AF$2:AF361),$AF$2:$AF$1001,0),0), INDEX($AM$1004:$BM$1004,1,MATCH(COLUMNS($AM$1006:BG1006),$AM$1006:$BM$1006,0)))),"Fix")))</f>
        <v xml:space="preserve"> </v>
      </c>
      <c r="W361" s="4" t="str">
        <f ca="1">IF(OR(INDEX($AG$2:$AG$1001,MATCH(ROWS($AF$2:AF361),$AF$2:$AF$1001,0),1)&gt;=100000,INDEX($AM$1005:$BM$1005,1,MATCH(COLUMNS($AM$1006:BH1006),$AM$1006:$BM$1006,0))&gt;=100000), " ",IF(INDEX($AM$2:$BM$1001,MATCH(ROWS($AF$2:AF361),$AF$2:$AF$1001,0),MATCH(COLUMNS($AM$1006:BH1006),$AM$1006:$BM$1006,0)), HYPERLINK("#",""), HYPERLINK(CONCATENATE("#metadata!", ADDRESS(INDEX($AH$2:$AH$1001,MATCH(ROWS($AF$2:AF361),$AF$2:$AF$1001,0),0), INDEX($AM$1004:$BM$1004,1,MATCH(COLUMNS($AM$1006:BH1006),$AM$1006:$BM$1006,0)))),"Fix")))</f>
        <v xml:space="preserve"> </v>
      </c>
      <c r="X361" s="4" t="str">
        <f ca="1">IF(OR(INDEX($AG$2:$AG$1001,MATCH(ROWS($AF$2:AF361),$AF$2:$AF$1001,0),1)&gt;=100000,INDEX($AM$1005:$BM$1005,1,MATCH(COLUMNS($AM$1006:BI1006),$AM$1006:$BM$1006,0))&gt;=100000), " ",IF(INDEX($AM$2:$BM$1001,MATCH(ROWS($AF$2:AF361),$AF$2:$AF$1001,0),MATCH(COLUMNS($AM$1006:BI1006),$AM$1006:$BM$1006,0)), HYPERLINK("#",""), HYPERLINK(CONCATENATE("#metadata!", ADDRESS(INDEX($AH$2:$AH$1001,MATCH(ROWS($AF$2:AF361),$AF$2:$AF$1001,0),0), INDEX($AM$1004:$BM$1004,1,MATCH(COLUMNS($AM$1006:BI1006),$AM$1006:$BM$1006,0)))),"Fix")))</f>
        <v xml:space="preserve"> </v>
      </c>
      <c r="Y361" s="4" t="str">
        <f ca="1">IF(OR(INDEX($AG$2:$AG$1001,MATCH(ROWS($AF$2:AF361),$AF$2:$AF$1001,0),1)&gt;=100000,INDEX($AM$1005:$BM$1005,1,MATCH(COLUMNS($AM$1006:BJ1006),$AM$1006:$BM$1006,0))&gt;=100000), " ",IF(INDEX($AM$2:$BM$1001,MATCH(ROWS($AF$2:AF361),$AF$2:$AF$1001,0),MATCH(COLUMNS($AM$1006:BJ1006),$AM$1006:$BM$1006,0)), HYPERLINK("#",""), HYPERLINK(CONCATENATE("#metadata!", ADDRESS(INDEX($AH$2:$AH$1001,MATCH(ROWS($AF$2:AF361),$AF$2:$AF$1001,0),0), INDEX($AM$1004:$BM$1004,1,MATCH(COLUMNS($AM$1006:BJ1006),$AM$1006:$BM$1006,0)))),"Fix")))</f>
        <v xml:space="preserve"> </v>
      </c>
      <c r="Z361" s="4" t="str">
        <f ca="1">IF(OR(INDEX($AG$2:$AG$1001,MATCH(ROWS($AF$2:AF361),$AF$2:$AF$1001,0),1)&gt;=100000,INDEX($AM$1005:$BM$1005,1,MATCH(COLUMNS($AM$1006:BK1006),$AM$1006:$BM$1006,0))&gt;=100000), " ",IF(INDEX($AM$2:$BM$1001,MATCH(ROWS($AF$2:AF361),$AF$2:$AF$1001,0),MATCH(COLUMNS($AM$1006:BK1006),$AM$1006:$BM$1006,0)), HYPERLINK("#",""), HYPERLINK(CONCATENATE("#metadata!", ADDRESS(INDEX($AH$2:$AH$1001,MATCH(ROWS($AF$2:AF361),$AF$2:$AF$1001,0),0), INDEX($AM$1004:$BM$1004,1,MATCH(COLUMNS($AM$1006:BK1006),$AM$1006:$BM$1006,0)))),"Fix")))</f>
        <v xml:space="preserve"> </v>
      </c>
      <c r="AA361" s="4" t="str">
        <f ca="1">IF(OR(INDEX($AG$2:$AG$1001,MATCH(ROWS($AF$2:AF361),$AF$2:$AF$1001,0),1)&gt;=100000,INDEX($AM$1005:$BM$1005,1,MATCH(COLUMNS($AM$1006:BL1006),$AM$1006:$BM$1006,0))&gt;=100000), " ",IF(INDEX($AM$2:$BM$1001,MATCH(ROWS($AF$2:AF361),$AF$2:$AF$1001,0),MATCH(COLUMNS($AM$1006:BL1006),$AM$1006:$BM$1006,0)), HYPERLINK("#",""), HYPERLINK(CONCATENATE("#metadata!", ADDRESS(INDEX($AH$2:$AH$1001,MATCH(ROWS($AF$2:AF361),$AF$2:$AF$1001,0),0), INDEX($AM$1004:$BM$1004,1,MATCH(COLUMNS($AM$1006:BL1006),$AM$1006:$BM$1006,0)))),"Fix")))</f>
        <v xml:space="preserve"> </v>
      </c>
      <c r="AB361" s="4" t="str">
        <f ca="1">IF(OR(INDEX($AG$2:$AG$1001,MATCH(ROWS($AF$2:AF361),$AF$2:$AF$1001,0),1)&gt;=100000,INDEX($AM$1005:$BM$1005,1,MATCH(COLUMNS($AM$1006:BM1006),$AM$1006:$BM$1006,0))&gt;=100000), " ",IF(INDEX($AM$2:$BM$1001,MATCH(ROWS($AF$2:AF361),$AF$2:$AF$1001,0),MATCH(COLUMNS($AM$1006:BM1006),$AM$1006:$BM$1006,0)), HYPERLINK("#",""), HYPERLINK(CONCATENATE("#metadata!", ADDRESS(INDEX($AH$2:$AH$1001,MATCH(ROWS($AF$2:AF361),$AF$2:$AF$1001,0),0), INDEX($AM$1004:$BM$1004,1,MATCH(COLUMNS($AM$1006:BM1006),$AM$1006:$BM$1006,0)))),"Fix")))</f>
        <v xml:space="preserve"> </v>
      </c>
      <c r="AF361">
        <v>360</v>
      </c>
      <c r="AG361">
        <v>100361</v>
      </c>
      <c r="AH361">
        <v>361</v>
      </c>
      <c r="AI361" t="b">
        <f t="shared" si="5"/>
        <v>1</v>
      </c>
      <c r="AJ361" t="b">
        <f>COUNTBLANK(metadata!B361:AB361)=COLUMNS(metadata!B361:AB361)</f>
        <v>1</v>
      </c>
      <c r="AK361" t="str">
        <v/>
      </c>
      <c r="AM361" t="b">
        <f ca="1">AND(IF(metadata!B361="",FALSE,TRUE),COUNTIF(metadata!B:B, metadata!B361) = 1,NOT(ISERROR(SUMPRODUCT(SEARCH(MID(metadata!B361,ROW(INDIRECT("1:"&amp;LEN(metadata!B361))), 1),"0123456789abcdefghijklmnopqrstuvwxyzABCDEFGHIJKLMNOPQRSTUVWXYZ.")))))</f>
        <v>0</v>
      </c>
      <c r="AN361" t="b">
        <f ca="1">OR(AND(IF(metadata!C361="",FALSE,TRUE),OR(EXACT(metadata!C361,"missing: not collected"),EXACT(metadata!C361,"missing: not provided"),EXACT(metadata!C361,"missing: restricted access"))),AND(IF(metadata!C361="",FALSE,TRUE),AND(AND(IFERROR(INT(LEFT(metadata!C361,4))&gt;1900,FALSE),IFERROR(INT(LEFT(metadata!C361,4))&lt;=YEAR(NOW()),FALSE)), OR(MID(metadata!C361,5,1)="", AND(AND(MID(metadata!C361,5,1)="-",IFERROR(INT(MID(metadata!C361,6,1))&gt;=0,FALSE),IFERROR(INT(MID(metadata!C361,6,1))&lt;=1,FALSE),NOT(MID(metadata!C361,7,1)=""),IFERROR(INT(MID(metadata!C361,6,2))&gt;=1,FALSE),IFERROR(INT(MID(metadata!C361,6,2))&lt;=12,FALSE)), OR(MID(metadata!C361,8,1)="", AND(AND(MID(metadata!C361,8,1)="-",IFERROR(INT(MID(metadata!C361,9,1))&gt;=0,FALSE),IFERROR(INT(MID(metadata!C361,9,1))&lt;=3,FALSE),NOT(MID(metadata!C361,10,1)=""),IFERROR(INT(MID(metadata!C361,9,2))&gt;=1,FALSE),IFERROR(INT(MID(metadata!C361,9,2))&lt;=31,FALSE)), OR(MID(metadata!C361,11,1)="", AND(AND(MID(metadata!C361,11,1)=" ",IFERROR(INT(MID(metadata!C361,12,1))&gt;=0,FALSE),IFERROR(INT(MID(metadata!C361,12,1))&lt;=2,FALSE),NOT(MID(metadata!C361,13,1)=""),IFERROR(INT(MID(metadata!C361,12,2))&gt;=0,FALSE),IFERROR(INT(MID(metadata!C361,12,2))&lt;=23,FALSE)), OR(MID(metadata!C361,14,1)="", AND(AND(MID(metadata!C361,14,1)=":",IFERROR(INT(MID(metadata!C361,15,1))&gt;=0,FALSE),IFERROR(INT(MID(metadata!C361,15,1))&lt;=5,FALSE),NOT(MID(metadata!C361,16,1)=""),IFERROR(INT(MID(metadata!C361,15,2))&gt;=0,FALSE),IFERROR(INT(MID(metadata!C361,15,2))&lt;=59,FALSE)), OR(MID(metadata!C361,17,1)="", AND(AND(MID(metadata!C361,17,1)=":",IFERROR(INT(MID(metadata!C361,18,1))&gt;=0,FALSE),IFERROR(INT(MID(metadata!C361,18,1))&lt;=5,FALSE),NOT(MID(metadata!C361,19,1)=""),IFERROR(INT(MID(metadata!C361,18,2))&gt;=0,FALSE),IFERROR(INT(MID(metadata!C361,18,2))&lt;=59,FALSE)), LEN(metadata!C361)&lt;=19)))))))))))))</f>
        <v>0</v>
      </c>
      <c r="AO361" t="b">
        <f>AND(IF(metadata!D361="",FALSE,TRUE),EXACT(metadata!D361,"Not applicable"))</f>
        <v>0</v>
      </c>
      <c r="AP361" t="b">
        <f>IF(metadata!E361="",FALSE,TRUE)</f>
        <v>0</v>
      </c>
      <c r="AQ361" t="b">
        <f>OR(AND(IF(metadata!F361="",FALSE,TRUE),OR(EXACT(metadata!F361,"missing: not collected"),EXACT(metadata!F361,"missing: not provided"))),AND(IF(metadata!F361="",FALSE,TRUE),OR(EXACT(metadata!F361,"TRUE"),EXACT(metadata!F361,"FALSE"))))</f>
        <v>0</v>
      </c>
      <c r="AR361" t="b">
        <f>OR(AND(IF(metadata!G361="",FALSE,TRUE),OR(EXACT(metadata!G361,"missing: not collected"),EXACT(metadata!G361,"missing: not provided"),EXACT(metadata!G361,"missing: restricted access"))),AND(IF(metadata!G361="",FALSE,ISNUMBER(VALUE(metadata!G361))),metadata!G361&gt;=-413))</f>
        <v>0</v>
      </c>
      <c r="AS361" t="b">
        <f>AND(IF(metadata!H361="",FALSE,TRUE),EXACT(metadata!H361,"meters"))</f>
        <v>0</v>
      </c>
      <c r="AT361" t="b">
        <f>AND(IF(metadata!I361="",FALSE,TRUE),OR(EXACT(metadata!I361,"Host-associated"),EXACT(metadata!I361,"Free-living")))</f>
        <v>0</v>
      </c>
      <c r="AU361" t="b">
        <f>AND(IF(metadata!J361="",FALSE,TRUE),OR(EXACT(metadata!J361,"Animal"),EXACT(metadata!J361,"Fungus"),EXACT(metadata!J361,"Plant"),EXACT(metadata!J361,"Saline"),EXACT(metadata!J361,"Non-saline")))</f>
        <v>0</v>
      </c>
      <c r="AV361" t="b">
        <f>AND(IF(metadata!K361="",FALSE,TRUE),OR(EXACT(metadata!K361,"Plant secretion"),EXACT(metadata!K361,"Plant rhizosphere"),EXACT(metadata!K361,"Plant surface"),EXACT(metadata!K361,"Plant corpus"),EXACT(metadata!K361,"Fungus surface"),EXACT(metadata!K361,"Fungus corpus"),EXACT(metadata!K361,"Animal surface"),EXACT(metadata!K361,"Animal proximal gut"),EXACT(metadata!K361,"Animal corpus"),EXACT(metadata!K361,"Animal distal gut"),EXACT(metadata!K361,"Animal secretion"),EXACT(metadata!K361,"Sub-surface (non-saline)"),EXACT(metadata!K361,"Surface (non-saline)"),EXACT(metadata!K361,"Water (non-saline)"),EXACT(metadata!K361,"Soil (non-saline)"),EXACT(metadata!K361,"Aerosol (non-saline)"),EXACT(metadata!K361,"Sediment (non-saline)"),EXACT(metadata!K361,"Surface (saline)"),EXACT(metadata!K361,"Water (saline)"),EXACT(metadata!K361,"Hypersaline (saline)"),EXACT(metadata!K361,"Aerosol (saline)"),EXACT(metadata!K361,"Sediment (saline)")))</f>
        <v>0</v>
      </c>
      <c r="AW361" t="b">
        <f>IF(metadata!L361="",FALSE,TRUE)</f>
        <v>0</v>
      </c>
      <c r="AX361" t="b">
        <f>IF(metadata!M361="",FALSE,TRUE)</f>
        <v>0</v>
      </c>
      <c r="AY361" t="b">
        <f>IF(metadata!N361="",FALSE,TRUE)</f>
        <v>0</v>
      </c>
      <c r="AZ361" t="b">
        <f>OR(AND(IF(metadata!O361="",FALSE,TRUE),OR(EXACT(metadata!O361,"missing: not collected"),EXACT(metadata!O361,"missing: not provided"),EXACT(metadata!O361,"missing: restricted access"))),AND(IF(metadata!O361="",FALSE,TRUE),OR(EXACT(metadata!O361,"air"),EXACT(metadata!O361,"built environment"),EXACT(metadata!O361,"host-associated"),EXACT(metadata!O361,"human-associated"),EXACT(metadata!O361,"human-skin"),EXACT(metadata!O361,"human-oral"),EXACT(metadata!O361,"human-gut"),EXACT(metadata!O361,"human-vaginal"),EXACT(metadata!O361,"microbial mat/biofilm"),EXACT(metadata!O361,"misc environment"),EXACT(metadata!O361,"plant-associated"),EXACT(metadata!O361,"sediment"),EXACT(metadata!O361,"soil"),EXACT(metadata!O361,"wastewater/sludge"),EXACT(metadata!O361,"water"))))</f>
        <v>0</v>
      </c>
      <c r="BA361" t="b">
        <f>IF(metadata!P361="",FALSE,TRUE)</f>
        <v>0</v>
      </c>
      <c r="BB361" t="b">
        <f>IF(metadata!Q361="",FALSE,TRUE)</f>
        <v>0</v>
      </c>
      <c r="BC361" t="b">
        <f>OR(AND(IF(metadata!R361="",FALSE,TRUE),OR(EXACT(metadata!R361,"missing: not collected"),EXACT(metadata!R361,"missing: not provided"),EXACT(metadata!R361,"missing: restricted access"))),AND(IF(metadata!R361="",FALSE,ISNUMBER(VALUE(metadata!R361))),metadata!R361&gt;=-90,metadata!R361&lt;=90))</f>
        <v>0</v>
      </c>
      <c r="BD361" t="b">
        <f>AND(IF(metadata!S361="",FALSE,TRUE),EXACT(metadata!S361,"Decimal degrees"))</f>
        <v>0</v>
      </c>
      <c r="BE361" t="b">
        <f>OR(AND(IF(metadata!T361="",FALSE,TRUE),OR(EXACT(metadata!T361,"missing: not collected"),EXACT(metadata!T361,"missing: not provided"),EXACT(metadata!T361,"missing: restricted access"))),AND(IF(metadata!T361="",FALSE,ISNUMBER(VALUE(metadata!T361))),metadata!T361&gt;=-180,metadata!T361&lt;=180))</f>
        <v>0</v>
      </c>
      <c r="BF361" t="b">
        <f>AND(IF(metadata!U361="",FALSE,TRUE),EXACT(metadata!U361,"Decimal degrees"))</f>
        <v>0</v>
      </c>
      <c r="BG361" t="b">
        <f>IF(metadata!V361="",FALSE,TRUE)</f>
        <v>0</v>
      </c>
      <c r="BH361" t="b">
        <f>OR(AND(IF(metadata!W361="",FALSE,TRUE),OR(EXACT(metadata!W361,"missing: not collected"),EXACT(metadata!W361,"missing: not provided"),EXACT(metadata!W361,"missing: restricted access"))),AND(IF(metadata!W361="",FALSE,TRUE),OR(EXACT(metadata!W361,"TRUE"),EXACT(metadata!W361,"FALSE"))))</f>
        <v>0</v>
      </c>
      <c r="BI361" t="b">
        <f>AND(IF(metadata!X361="",FALSE,TRUE),EXACT(metadata!X361,"other"))</f>
        <v>0</v>
      </c>
      <c r="BJ361" t="b">
        <f>IF(metadata!Y361="",FALSE,TRUE)</f>
        <v>0</v>
      </c>
      <c r="BK361" t="b">
        <f>OR(AND(IF(metadata!Z361="",FALSE,TRUE),OR(EXACT(metadata!Z361,"missing: not collected"),EXACT(metadata!Z361,"missing: not provided"))),AND(IF(metadata!Z361="",FALSE,IF(ISERROR(INT(metadata!Z361)),FALSE,INT(metadata!Z361)=metadata!Z361)),metadata!Z361&gt;0))</f>
        <v>0</v>
      </c>
      <c r="BL361" t="b">
        <f>AND(IF(metadata!AA361="",FALSE,TRUE),EXACT(metadata!AA361,"Not applicable"))</f>
        <v>0</v>
      </c>
      <c r="BM361" t="b">
        <f>IF(metadata!AB361="",FALSE,TRUE)</f>
        <v>0</v>
      </c>
    </row>
    <row r="362" spans="1:65" x14ac:dyDescent="0.2">
      <c r="A362" s="5" t="str">
        <f ca="1">IF(B362=" "," ",HYPERLINK(CONCATENATE("#metadata!",ADDRESS(INDEX($AH$2:$AH$1001,MATCH(ROWS($AF$2:AF362),$AF$2:$AF$1001,0),0),1)),INDEX($AK$2:$AK$1001,MATCH(ROWS($AF$2:AF362),$AF$2:$AF$1001,0),0)))</f>
        <v xml:space="preserve"> </v>
      </c>
      <c r="B362" s="4" t="str">
        <f ca="1">IF(OR(INDEX($AG$2:$AG$1001,MATCH(ROWS($AF$2:AF362),$AF$2:$AF$1001,0),1)&gt;=100000,INDEX($AM$1005:$BM$1005,1,MATCH(COLUMNS($AM$1006:AM1006),$AM$1006:$BM$1006,0))&gt;=100000), " ",IF(INDEX($AM$2:$BM$1001,MATCH(ROWS($AF$2:AF362),$AF$2:$AF$1001,0),MATCH(COLUMNS($AM$1006:AM1006),$AM$1006:$BM$1006,0)), HYPERLINK("#",""), HYPERLINK(CONCATENATE("#metadata!", ADDRESS(INDEX($AH$2:$AH$1001,MATCH(ROWS($AF$2:AF362),$AF$2:$AF$1001,0),0), INDEX($AM$1004:$BM$1004,1,MATCH(COLUMNS($AM$1006:AM1006),$AM$1006:$BM$1006,0)))),"Fix")))</f>
        <v xml:space="preserve"> </v>
      </c>
      <c r="C362" s="4" t="str">
        <f ca="1">IF(OR(INDEX($AG$2:$AG$1001,MATCH(ROWS($AF$2:AF362),$AF$2:$AF$1001,0),1)&gt;=100000,INDEX($AM$1005:$BM$1005,1,MATCH(COLUMNS($AM$1006:AN1006),$AM$1006:$BM$1006,0))&gt;=100000), " ",IF(INDEX($AM$2:$BM$1001,MATCH(ROWS($AF$2:AF362),$AF$2:$AF$1001,0),MATCH(COLUMNS($AM$1006:AN1006),$AM$1006:$BM$1006,0)), HYPERLINK("#",""), HYPERLINK(CONCATENATE("#metadata!", ADDRESS(INDEX($AH$2:$AH$1001,MATCH(ROWS($AF$2:AF362),$AF$2:$AF$1001,0),0), INDEX($AM$1004:$BM$1004,1,MATCH(COLUMNS($AM$1006:AN1006),$AM$1006:$BM$1006,0)))),"Fix")))</f>
        <v xml:space="preserve"> </v>
      </c>
      <c r="D362" s="4" t="str">
        <f ca="1">IF(OR(INDEX($AG$2:$AG$1001,MATCH(ROWS($AF$2:AF362),$AF$2:$AF$1001,0),1)&gt;=100000,INDEX($AM$1005:$BM$1005,1,MATCH(COLUMNS($AM$1006:AO1006),$AM$1006:$BM$1006,0))&gt;=100000), " ",IF(INDEX($AM$2:$BM$1001,MATCH(ROWS($AF$2:AF362),$AF$2:$AF$1001,0),MATCH(COLUMNS($AM$1006:AO1006),$AM$1006:$BM$1006,0)), HYPERLINK("#",""), HYPERLINK(CONCATENATE("#metadata!", ADDRESS(INDEX($AH$2:$AH$1001,MATCH(ROWS($AF$2:AF362),$AF$2:$AF$1001,0),0), INDEX($AM$1004:$BM$1004,1,MATCH(COLUMNS($AM$1006:AO1006),$AM$1006:$BM$1006,0)))),"Fix")))</f>
        <v xml:space="preserve"> </v>
      </c>
      <c r="E362" s="4" t="str">
        <f ca="1">IF(OR(INDEX($AG$2:$AG$1001,MATCH(ROWS($AF$2:AF362),$AF$2:$AF$1001,0),1)&gt;=100000,INDEX($AM$1005:$BM$1005,1,MATCH(COLUMNS($AM$1006:AP1006),$AM$1006:$BM$1006,0))&gt;=100000), " ",IF(INDEX($AM$2:$BM$1001,MATCH(ROWS($AF$2:AF362),$AF$2:$AF$1001,0),MATCH(COLUMNS($AM$1006:AP1006),$AM$1006:$BM$1006,0)), HYPERLINK("#",""), HYPERLINK(CONCATENATE("#metadata!", ADDRESS(INDEX($AH$2:$AH$1001,MATCH(ROWS($AF$2:AF362),$AF$2:$AF$1001,0),0), INDEX($AM$1004:$BM$1004,1,MATCH(COLUMNS($AM$1006:AP1006),$AM$1006:$BM$1006,0)))),"Fix")))</f>
        <v xml:space="preserve"> </v>
      </c>
      <c r="F362" s="4" t="str">
        <f ca="1">IF(OR(INDEX($AG$2:$AG$1001,MATCH(ROWS($AF$2:AF362),$AF$2:$AF$1001,0),1)&gt;=100000,INDEX($AM$1005:$BM$1005,1,MATCH(COLUMNS($AM$1006:AQ1006),$AM$1006:$BM$1006,0))&gt;=100000), " ",IF(INDEX($AM$2:$BM$1001,MATCH(ROWS($AF$2:AF362),$AF$2:$AF$1001,0),MATCH(COLUMNS($AM$1006:AQ1006),$AM$1006:$BM$1006,0)), HYPERLINK("#",""), HYPERLINK(CONCATENATE("#metadata!", ADDRESS(INDEX($AH$2:$AH$1001,MATCH(ROWS($AF$2:AF362),$AF$2:$AF$1001,0),0), INDEX($AM$1004:$BM$1004,1,MATCH(COLUMNS($AM$1006:AQ1006),$AM$1006:$BM$1006,0)))),"Fix")))</f>
        <v xml:space="preserve"> </v>
      </c>
      <c r="G362" s="4" t="str">
        <f ca="1">IF(OR(INDEX($AG$2:$AG$1001,MATCH(ROWS($AF$2:AF362),$AF$2:$AF$1001,0),1)&gt;=100000,INDEX($AM$1005:$BM$1005,1,MATCH(COLUMNS($AM$1006:AR1006),$AM$1006:$BM$1006,0))&gt;=100000), " ",IF(INDEX($AM$2:$BM$1001,MATCH(ROWS($AF$2:AF362),$AF$2:$AF$1001,0),MATCH(COLUMNS($AM$1006:AR1006),$AM$1006:$BM$1006,0)), HYPERLINK("#",""), HYPERLINK(CONCATENATE("#metadata!", ADDRESS(INDEX($AH$2:$AH$1001,MATCH(ROWS($AF$2:AF362),$AF$2:$AF$1001,0),0), INDEX($AM$1004:$BM$1004,1,MATCH(COLUMNS($AM$1006:AR1006),$AM$1006:$BM$1006,0)))),"Fix")))</f>
        <v xml:space="preserve"> </v>
      </c>
      <c r="H362" s="4" t="str">
        <f ca="1">IF(OR(INDEX($AG$2:$AG$1001,MATCH(ROWS($AF$2:AF362),$AF$2:$AF$1001,0),1)&gt;=100000,INDEX($AM$1005:$BM$1005,1,MATCH(COLUMNS($AM$1006:AS1006),$AM$1006:$BM$1006,0))&gt;=100000), " ",IF(INDEX($AM$2:$BM$1001,MATCH(ROWS($AF$2:AF362),$AF$2:$AF$1001,0),MATCH(COLUMNS($AM$1006:AS1006),$AM$1006:$BM$1006,0)), HYPERLINK("#",""), HYPERLINK(CONCATENATE("#metadata!", ADDRESS(INDEX($AH$2:$AH$1001,MATCH(ROWS($AF$2:AF362),$AF$2:$AF$1001,0),0), INDEX($AM$1004:$BM$1004,1,MATCH(COLUMNS($AM$1006:AS1006),$AM$1006:$BM$1006,0)))),"Fix")))</f>
        <v xml:space="preserve"> </v>
      </c>
      <c r="I362" s="4" t="str">
        <f ca="1">IF(OR(INDEX($AG$2:$AG$1001,MATCH(ROWS($AF$2:AF362),$AF$2:$AF$1001,0),1)&gt;=100000,INDEX($AM$1005:$BM$1005,1,MATCH(COLUMNS($AM$1006:AT1006),$AM$1006:$BM$1006,0))&gt;=100000), " ",IF(INDEX($AM$2:$BM$1001,MATCH(ROWS($AF$2:AF362),$AF$2:$AF$1001,0),MATCH(COLUMNS($AM$1006:AT1006),$AM$1006:$BM$1006,0)), HYPERLINK("#",""), HYPERLINK(CONCATENATE("#metadata!", ADDRESS(INDEX($AH$2:$AH$1001,MATCH(ROWS($AF$2:AF362),$AF$2:$AF$1001,0),0), INDEX($AM$1004:$BM$1004,1,MATCH(COLUMNS($AM$1006:AT1006),$AM$1006:$BM$1006,0)))),"Fix")))</f>
        <v xml:space="preserve"> </v>
      </c>
      <c r="J362" s="4" t="str">
        <f ca="1">IF(OR(INDEX($AG$2:$AG$1001,MATCH(ROWS($AF$2:AF362),$AF$2:$AF$1001,0),1)&gt;=100000,INDEX($AM$1005:$BM$1005,1,MATCH(COLUMNS($AM$1006:AU1006),$AM$1006:$BM$1006,0))&gt;=100000), " ",IF(INDEX($AM$2:$BM$1001,MATCH(ROWS($AF$2:AF362),$AF$2:$AF$1001,0),MATCH(COLUMNS($AM$1006:AU1006),$AM$1006:$BM$1006,0)), HYPERLINK("#",""), HYPERLINK(CONCATENATE("#metadata!", ADDRESS(INDEX($AH$2:$AH$1001,MATCH(ROWS($AF$2:AF362),$AF$2:$AF$1001,0),0), INDEX($AM$1004:$BM$1004,1,MATCH(COLUMNS($AM$1006:AU1006),$AM$1006:$BM$1006,0)))),"Fix")))</f>
        <v xml:space="preserve"> </v>
      </c>
      <c r="K362" s="4" t="str">
        <f ca="1">IF(OR(INDEX($AG$2:$AG$1001,MATCH(ROWS($AF$2:AF362),$AF$2:$AF$1001,0),1)&gt;=100000,INDEX($AM$1005:$BM$1005,1,MATCH(COLUMNS($AM$1006:AV1006),$AM$1006:$BM$1006,0))&gt;=100000), " ",IF(INDEX($AM$2:$BM$1001,MATCH(ROWS($AF$2:AF362),$AF$2:$AF$1001,0),MATCH(COLUMNS($AM$1006:AV1006),$AM$1006:$BM$1006,0)), HYPERLINK("#",""), HYPERLINK(CONCATENATE("#metadata!", ADDRESS(INDEX($AH$2:$AH$1001,MATCH(ROWS($AF$2:AF362),$AF$2:$AF$1001,0),0), INDEX($AM$1004:$BM$1004,1,MATCH(COLUMNS($AM$1006:AV1006),$AM$1006:$BM$1006,0)))),"Fix")))</f>
        <v xml:space="preserve"> </v>
      </c>
      <c r="L362" s="4" t="str">
        <f ca="1">IF(OR(INDEX($AG$2:$AG$1001,MATCH(ROWS($AF$2:AF362),$AF$2:$AF$1001,0),1)&gt;=100000,INDEX($AM$1005:$BM$1005,1,MATCH(COLUMNS($AM$1006:AW1006),$AM$1006:$BM$1006,0))&gt;=100000), " ",IF(INDEX($AM$2:$BM$1001,MATCH(ROWS($AF$2:AF362),$AF$2:$AF$1001,0),MATCH(COLUMNS($AM$1006:AW1006),$AM$1006:$BM$1006,0)), HYPERLINK("#",""), HYPERLINK(CONCATENATE("#metadata!", ADDRESS(INDEX($AH$2:$AH$1001,MATCH(ROWS($AF$2:AF362),$AF$2:$AF$1001,0),0), INDEX($AM$1004:$BM$1004,1,MATCH(COLUMNS($AM$1006:AW1006),$AM$1006:$BM$1006,0)))),"Fix")))</f>
        <v xml:space="preserve"> </v>
      </c>
      <c r="M362" s="4" t="str">
        <f ca="1">IF(OR(INDEX($AG$2:$AG$1001,MATCH(ROWS($AF$2:AF362),$AF$2:$AF$1001,0),1)&gt;=100000,INDEX($AM$1005:$BM$1005,1,MATCH(COLUMNS($AM$1006:AX1006),$AM$1006:$BM$1006,0))&gt;=100000), " ",IF(INDEX($AM$2:$BM$1001,MATCH(ROWS($AF$2:AF362),$AF$2:$AF$1001,0),MATCH(COLUMNS($AM$1006:AX1006),$AM$1006:$BM$1006,0)), HYPERLINK("#",""), HYPERLINK(CONCATENATE("#metadata!", ADDRESS(INDEX($AH$2:$AH$1001,MATCH(ROWS($AF$2:AF362),$AF$2:$AF$1001,0),0), INDEX($AM$1004:$BM$1004,1,MATCH(COLUMNS($AM$1006:AX1006),$AM$1006:$BM$1006,0)))),"Fix")))</f>
        <v xml:space="preserve"> </v>
      </c>
      <c r="N362" s="4" t="str">
        <f ca="1">IF(OR(INDEX($AG$2:$AG$1001,MATCH(ROWS($AF$2:AF362),$AF$2:$AF$1001,0),1)&gt;=100000,INDEX($AM$1005:$BM$1005,1,MATCH(COLUMNS($AM$1006:AY1006),$AM$1006:$BM$1006,0))&gt;=100000), " ",IF(INDEX($AM$2:$BM$1001,MATCH(ROWS($AF$2:AF362),$AF$2:$AF$1001,0),MATCH(COLUMNS($AM$1006:AY1006),$AM$1006:$BM$1006,0)), HYPERLINK("#",""), HYPERLINK(CONCATENATE("#metadata!", ADDRESS(INDEX($AH$2:$AH$1001,MATCH(ROWS($AF$2:AF362),$AF$2:$AF$1001,0),0), INDEX($AM$1004:$BM$1004,1,MATCH(COLUMNS($AM$1006:AY1006),$AM$1006:$BM$1006,0)))),"Fix")))</f>
        <v xml:space="preserve"> </v>
      </c>
      <c r="O362" s="4" t="str">
        <f ca="1">IF(OR(INDEX($AG$2:$AG$1001,MATCH(ROWS($AF$2:AF362),$AF$2:$AF$1001,0),1)&gt;=100000,INDEX($AM$1005:$BM$1005,1,MATCH(COLUMNS($AM$1006:AZ1006),$AM$1006:$BM$1006,0))&gt;=100000), " ",IF(INDEX($AM$2:$BM$1001,MATCH(ROWS($AF$2:AF362),$AF$2:$AF$1001,0),MATCH(COLUMNS($AM$1006:AZ1006),$AM$1006:$BM$1006,0)), HYPERLINK("#",""), HYPERLINK(CONCATENATE("#metadata!", ADDRESS(INDEX($AH$2:$AH$1001,MATCH(ROWS($AF$2:AF362),$AF$2:$AF$1001,0),0), INDEX($AM$1004:$BM$1004,1,MATCH(COLUMNS($AM$1006:AZ1006),$AM$1006:$BM$1006,0)))),"Fix")))</f>
        <v xml:space="preserve"> </v>
      </c>
      <c r="P362" s="4" t="str">
        <f ca="1">IF(OR(INDEX($AG$2:$AG$1001,MATCH(ROWS($AF$2:AF362),$AF$2:$AF$1001,0),1)&gt;=100000,INDEX($AM$1005:$BM$1005,1,MATCH(COLUMNS($AM$1006:BA1006),$AM$1006:$BM$1006,0))&gt;=100000), " ",IF(INDEX($AM$2:$BM$1001,MATCH(ROWS($AF$2:AF362),$AF$2:$AF$1001,0),MATCH(COLUMNS($AM$1006:BA1006),$AM$1006:$BM$1006,0)), HYPERLINK("#",""), HYPERLINK(CONCATENATE("#metadata!", ADDRESS(INDEX($AH$2:$AH$1001,MATCH(ROWS($AF$2:AF362),$AF$2:$AF$1001,0),0), INDEX($AM$1004:$BM$1004,1,MATCH(COLUMNS($AM$1006:BA1006),$AM$1006:$BM$1006,0)))),"Fix")))</f>
        <v xml:space="preserve"> </v>
      </c>
      <c r="Q362" s="4" t="str">
        <f ca="1">IF(OR(INDEX($AG$2:$AG$1001,MATCH(ROWS($AF$2:AF362),$AF$2:$AF$1001,0),1)&gt;=100000,INDEX($AM$1005:$BM$1005,1,MATCH(COLUMNS($AM$1006:BB1006),$AM$1006:$BM$1006,0))&gt;=100000), " ",IF(INDEX($AM$2:$BM$1001,MATCH(ROWS($AF$2:AF362),$AF$2:$AF$1001,0),MATCH(COLUMNS($AM$1006:BB1006),$AM$1006:$BM$1006,0)), HYPERLINK("#",""), HYPERLINK(CONCATENATE("#metadata!", ADDRESS(INDEX($AH$2:$AH$1001,MATCH(ROWS($AF$2:AF362),$AF$2:$AF$1001,0),0), INDEX($AM$1004:$BM$1004,1,MATCH(COLUMNS($AM$1006:BB1006),$AM$1006:$BM$1006,0)))),"Fix")))</f>
        <v xml:space="preserve"> </v>
      </c>
      <c r="R362" s="4" t="str">
        <f ca="1">IF(OR(INDEX($AG$2:$AG$1001,MATCH(ROWS($AF$2:AF362),$AF$2:$AF$1001,0),1)&gt;=100000,INDEX($AM$1005:$BM$1005,1,MATCH(COLUMNS($AM$1006:BC1006),$AM$1006:$BM$1006,0))&gt;=100000), " ",IF(INDEX($AM$2:$BM$1001,MATCH(ROWS($AF$2:AF362),$AF$2:$AF$1001,0),MATCH(COLUMNS($AM$1006:BC1006),$AM$1006:$BM$1006,0)), HYPERLINK("#",""), HYPERLINK(CONCATENATE("#metadata!", ADDRESS(INDEX($AH$2:$AH$1001,MATCH(ROWS($AF$2:AF362),$AF$2:$AF$1001,0),0), INDEX($AM$1004:$BM$1004,1,MATCH(COLUMNS($AM$1006:BC1006),$AM$1006:$BM$1006,0)))),"Fix")))</f>
        <v xml:space="preserve"> </v>
      </c>
      <c r="S362" s="4" t="str">
        <f ca="1">IF(OR(INDEX($AG$2:$AG$1001,MATCH(ROWS($AF$2:AF362),$AF$2:$AF$1001,0),1)&gt;=100000,INDEX($AM$1005:$BM$1005,1,MATCH(COLUMNS($AM$1006:BD1006),$AM$1006:$BM$1006,0))&gt;=100000), " ",IF(INDEX($AM$2:$BM$1001,MATCH(ROWS($AF$2:AF362),$AF$2:$AF$1001,0),MATCH(COLUMNS($AM$1006:BD1006),$AM$1006:$BM$1006,0)), HYPERLINK("#",""), HYPERLINK(CONCATENATE("#metadata!", ADDRESS(INDEX($AH$2:$AH$1001,MATCH(ROWS($AF$2:AF362),$AF$2:$AF$1001,0),0), INDEX($AM$1004:$BM$1004,1,MATCH(COLUMNS($AM$1006:BD1006),$AM$1006:$BM$1006,0)))),"Fix")))</f>
        <v xml:space="preserve"> </v>
      </c>
      <c r="T362" s="4" t="str">
        <f ca="1">IF(OR(INDEX($AG$2:$AG$1001,MATCH(ROWS($AF$2:AF362),$AF$2:$AF$1001,0),1)&gt;=100000,INDEX($AM$1005:$BM$1005,1,MATCH(COLUMNS($AM$1006:BE1006),$AM$1006:$BM$1006,0))&gt;=100000), " ",IF(INDEX($AM$2:$BM$1001,MATCH(ROWS($AF$2:AF362),$AF$2:$AF$1001,0),MATCH(COLUMNS($AM$1006:BE1006),$AM$1006:$BM$1006,0)), HYPERLINK("#",""), HYPERLINK(CONCATENATE("#metadata!", ADDRESS(INDEX($AH$2:$AH$1001,MATCH(ROWS($AF$2:AF362),$AF$2:$AF$1001,0),0), INDEX($AM$1004:$BM$1004,1,MATCH(COLUMNS($AM$1006:BE1006),$AM$1006:$BM$1006,0)))),"Fix")))</f>
        <v xml:space="preserve"> </v>
      </c>
      <c r="U362" s="4" t="str">
        <f ca="1">IF(OR(INDEX($AG$2:$AG$1001,MATCH(ROWS($AF$2:AF362),$AF$2:$AF$1001,0),1)&gt;=100000,INDEX($AM$1005:$BM$1005,1,MATCH(COLUMNS($AM$1006:BF1006),$AM$1006:$BM$1006,0))&gt;=100000), " ",IF(INDEX($AM$2:$BM$1001,MATCH(ROWS($AF$2:AF362),$AF$2:$AF$1001,0),MATCH(COLUMNS($AM$1006:BF1006),$AM$1006:$BM$1006,0)), HYPERLINK("#",""), HYPERLINK(CONCATENATE("#metadata!", ADDRESS(INDEX($AH$2:$AH$1001,MATCH(ROWS($AF$2:AF362),$AF$2:$AF$1001,0),0), INDEX($AM$1004:$BM$1004,1,MATCH(COLUMNS($AM$1006:BF1006),$AM$1006:$BM$1006,0)))),"Fix")))</f>
        <v xml:space="preserve"> </v>
      </c>
      <c r="V362" s="4" t="str">
        <f ca="1">IF(OR(INDEX($AG$2:$AG$1001,MATCH(ROWS($AF$2:AF362),$AF$2:$AF$1001,0),1)&gt;=100000,INDEX($AM$1005:$BM$1005,1,MATCH(COLUMNS($AM$1006:BG1006),$AM$1006:$BM$1006,0))&gt;=100000), " ",IF(INDEX($AM$2:$BM$1001,MATCH(ROWS($AF$2:AF362),$AF$2:$AF$1001,0),MATCH(COLUMNS($AM$1006:BG1006),$AM$1006:$BM$1006,0)), HYPERLINK("#",""), HYPERLINK(CONCATENATE("#metadata!", ADDRESS(INDEX($AH$2:$AH$1001,MATCH(ROWS($AF$2:AF362),$AF$2:$AF$1001,0),0), INDEX($AM$1004:$BM$1004,1,MATCH(COLUMNS($AM$1006:BG1006),$AM$1006:$BM$1006,0)))),"Fix")))</f>
        <v xml:space="preserve"> </v>
      </c>
      <c r="W362" s="4" t="str">
        <f ca="1">IF(OR(INDEX($AG$2:$AG$1001,MATCH(ROWS($AF$2:AF362),$AF$2:$AF$1001,0),1)&gt;=100000,INDEX($AM$1005:$BM$1005,1,MATCH(COLUMNS($AM$1006:BH1006),$AM$1006:$BM$1006,0))&gt;=100000), " ",IF(INDEX($AM$2:$BM$1001,MATCH(ROWS($AF$2:AF362),$AF$2:$AF$1001,0),MATCH(COLUMNS($AM$1006:BH1006),$AM$1006:$BM$1006,0)), HYPERLINK("#",""), HYPERLINK(CONCATENATE("#metadata!", ADDRESS(INDEX($AH$2:$AH$1001,MATCH(ROWS($AF$2:AF362),$AF$2:$AF$1001,0),0), INDEX($AM$1004:$BM$1004,1,MATCH(COLUMNS($AM$1006:BH1006),$AM$1006:$BM$1006,0)))),"Fix")))</f>
        <v xml:space="preserve"> </v>
      </c>
      <c r="X362" s="4" t="str">
        <f ca="1">IF(OR(INDEX($AG$2:$AG$1001,MATCH(ROWS($AF$2:AF362),$AF$2:$AF$1001,0),1)&gt;=100000,INDEX($AM$1005:$BM$1005,1,MATCH(COLUMNS($AM$1006:BI1006),$AM$1006:$BM$1006,0))&gt;=100000), " ",IF(INDEX($AM$2:$BM$1001,MATCH(ROWS($AF$2:AF362),$AF$2:$AF$1001,0),MATCH(COLUMNS($AM$1006:BI1006),$AM$1006:$BM$1006,0)), HYPERLINK("#",""), HYPERLINK(CONCATENATE("#metadata!", ADDRESS(INDEX($AH$2:$AH$1001,MATCH(ROWS($AF$2:AF362),$AF$2:$AF$1001,0),0), INDEX($AM$1004:$BM$1004,1,MATCH(COLUMNS($AM$1006:BI1006),$AM$1006:$BM$1006,0)))),"Fix")))</f>
        <v xml:space="preserve"> </v>
      </c>
      <c r="Y362" s="4" t="str">
        <f ca="1">IF(OR(INDEX($AG$2:$AG$1001,MATCH(ROWS($AF$2:AF362),$AF$2:$AF$1001,0),1)&gt;=100000,INDEX($AM$1005:$BM$1005,1,MATCH(COLUMNS($AM$1006:BJ1006),$AM$1006:$BM$1006,0))&gt;=100000), " ",IF(INDEX($AM$2:$BM$1001,MATCH(ROWS($AF$2:AF362),$AF$2:$AF$1001,0),MATCH(COLUMNS($AM$1006:BJ1006),$AM$1006:$BM$1006,0)), HYPERLINK("#",""), HYPERLINK(CONCATENATE("#metadata!", ADDRESS(INDEX($AH$2:$AH$1001,MATCH(ROWS($AF$2:AF362),$AF$2:$AF$1001,0),0), INDEX($AM$1004:$BM$1004,1,MATCH(COLUMNS($AM$1006:BJ1006),$AM$1006:$BM$1006,0)))),"Fix")))</f>
        <v xml:space="preserve"> </v>
      </c>
      <c r="Z362" s="4" t="str">
        <f ca="1">IF(OR(INDEX($AG$2:$AG$1001,MATCH(ROWS($AF$2:AF362),$AF$2:$AF$1001,0),1)&gt;=100000,INDEX($AM$1005:$BM$1005,1,MATCH(COLUMNS($AM$1006:BK1006),$AM$1006:$BM$1006,0))&gt;=100000), " ",IF(INDEX($AM$2:$BM$1001,MATCH(ROWS($AF$2:AF362),$AF$2:$AF$1001,0),MATCH(COLUMNS($AM$1006:BK1006),$AM$1006:$BM$1006,0)), HYPERLINK("#",""), HYPERLINK(CONCATENATE("#metadata!", ADDRESS(INDEX($AH$2:$AH$1001,MATCH(ROWS($AF$2:AF362),$AF$2:$AF$1001,0),0), INDEX($AM$1004:$BM$1004,1,MATCH(COLUMNS($AM$1006:BK1006),$AM$1006:$BM$1006,0)))),"Fix")))</f>
        <v xml:space="preserve"> </v>
      </c>
      <c r="AA362" s="4" t="str">
        <f ca="1">IF(OR(INDEX($AG$2:$AG$1001,MATCH(ROWS($AF$2:AF362),$AF$2:$AF$1001,0),1)&gt;=100000,INDEX($AM$1005:$BM$1005,1,MATCH(COLUMNS($AM$1006:BL1006),$AM$1006:$BM$1006,0))&gt;=100000), " ",IF(INDEX($AM$2:$BM$1001,MATCH(ROWS($AF$2:AF362),$AF$2:$AF$1001,0),MATCH(COLUMNS($AM$1006:BL1006),$AM$1006:$BM$1006,0)), HYPERLINK("#",""), HYPERLINK(CONCATENATE("#metadata!", ADDRESS(INDEX($AH$2:$AH$1001,MATCH(ROWS($AF$2:AF362),$AF$2:$AF$1001,0),0), INDEX($AM$1004:$BM$1004,1,MATCH(COLUMNS($AM$1006:BL1006),$AM$1006:$BM$1006,0)))),"Fix")))</f>
        <v xml:space="preserve"> </v>
      </c>
      <c r="AB362" s="4" t="str">
        <f ca="1">IF(OR(INDEX($AG$2:$AG$1001,MATCH(ROWS($AF$2:AF362),$AF$2:$AF$1001,0),1)&gt;=100000,INDEX($AM$1005:$BM$1005,1,MATCH(COLUMNS($AM$1006:BM1006),$AM$1006:$BM$1006,0))&gt;=100000), " ",IF(INDEX($AM$2:$BM$1001,MATCH(ROWS($AF$2:AF362),$AF$2:$AF$1001,0),MATCH(COLUMNS($AM$1006:BM1006),$AM$1006:$BM$1006,0)), HYPERLINK("#",""), HYPERLINK(CONCATENATE("#metadata!", ADDRESS(INDEX($AH$2:$AH$1001,MATCH(ROWS($AF$2:AF362),$AF$2:$AF$1001,0),0), INDEX($AM$1004:$BM$1004,1,MATCH(COLUMNS($AM$1006:BM1006),$AM$1006:$BM$1006,0)))),"Fix")))</f>
        <v xml:space="preserve"> </v>
      </c>
      <c r="AF362">
        <v>361</v>
      </c>
      <c r="AG362">
        <v>100362</v>
      </c>
      <c r="AH362">
        <v>362</v>
      </c>
      <c r="AI362" t="b">
        <f t="shared" si="5"/>
        <v>1</v>
      </c>
      <c r="AJ362" t="b">
        <f>COUNTBLANK(metadata!B362:AB362)=COLUMNS(metadata!B362:AB362)</f>
        <v>1</v>
      </c>
      <c r="AK362" t="str">
        <v/>
      </c>
      <c r="AM362" t="b">
        <f ca="1">AND(IF(metadata!B362="",FALSE,TRUE),COUNTIF(metadata!B:B, metadata!B362) = 1,NOT(ISERROR(SUMPRODUCT(SEARCH(MID(metadata!B362,ROW(INDIRECT("1:"&amp;LEN(metadata!B362))), 1),"0123456789abcdefghijklmnopqrstuvwxyzABCDEFGHIJKLMNOPQRSTUVWXYZ.")))))</f>
        <v>0</v>
      </c>
      <c r="AN362" t="b">
        <f ca="1">OR(AND(IF(metadata!C362="",FALSE,TRUE),OR(EXACT(metadata!C362,"missing: not collected"),EXACT(metadata!C362,"missing: not provided"),EXACT(metadata!C362,"missing: restricted access"))),AND(IF(metadata!C362="",FALSE,TRUE),AND(AND(IFERROR(INT(LEFT(metadata!C362,4))&gt;1900,FALSE),IFERROR(INT(LEFT(metadata!C362,4))&lt;=YEAR(NOW()),FALSE)), OR(MID(metadata!C362,5,1)="", AND(AND(MID(metadata!C362,5,1)="-",IFERROR(INT(MID(metadata!C362,6,1))&gt;=0,FALSE),IFERROR(INT(MID(metadata!C362,6,1))&lt;=1,FALSE),NOT(MID(metadata!C362,7,1)=""),IFERROR(INT(MID(metadata!C362,6,2))&gt;=1,FALSE),IFERROR(INT(MID(metadata!C362,6,2))&lt;=12,FALSE)), OR(MID(metadata!C362,8,1)="", AND(AND(MID(metadata!C362,8,1)="-",IFERROR(INT(MID(metadata!C362,9,1))&gt;=0,FALSE),IFERROR(INT(MID(metadata!C362,9,1))&lt;=3,FALSE),NOT(MID(metadata!C362,10,1)=""),IFERROR(INT(MID(metadata!C362,9,2))&gt;=1,FALSE),IFERROR(INT(MID(metadata!C362,9,2))&lt;=31,FALSE)), OR(MID(metadata!C362,11,1)="", AND(AND(MID(metadata!C362,11,1)=" ",IFERROR(INT(MID(metadata!C362,12,1))&gt;=0,FALSE),IFERROR(INT(MID(metadata!C362,12,1))&lt;=2,FALSE),NOT(MID(metadata!C362,13,1)=""),IFERROR(INT(MID(metadata!C362,12,2))&gt;=0,FALSE),IFERROR(INT(MID(metadata!C362,12,2))&lt;=23,FALSE)), OR(MID(metadata!C362,14,1)="", AND(AND(MID(metadata!C362,14,1)=":",IFERROR(INT(MID(metadata!C362,15,1))&gt;=0,FALSE),IFERROR(INT(MID(metadata!C362,15,1))&lt;=5,FALSE),NOT(MID(metadata!C362,16,1)=""),IFERROR(INT(MID(metadata!C362,15,2))&gt;=0,FALSE),IFERROR(INT(MID(metadata!C362,15,2))&lt;=59,FALSE)), OR(MID(metadata!C362,17,1)="", AND(AND(MID(metadata!C362,17,1)=":",IFERROR(INT(MID(metadata!C362,18,1))&gt;=0,FALSE),IFERROR(INT(MID(metadata!C362,18,1))&lt;=5,FALSE),NOT(MID(metadata!C362,19,1)=""),IFERROR(INT(MID(metadata!C362,18,2))&gt;=0,FALSE),IFERROR(INT(MID(metadata!C362,18,2))&lt;=59,FALSE)), LEN(metadata!C362)&lt;=19)))))))))))))</f>
        <v>0</v>
      </c>
      <c r="AO362" t="b">
        <f>AND(IF(metadata!D362="",FALSE,TRUE),EXACT(metadata!D362,"Not applicable"))</f>
        <v>0</v>
      </c>
      <c r="AP362" t="b">
        <f>IF(metadata!E362="",FALSE,TRUE)</f>
        <v>0</v>
      </c>
      <c r="AQ362" t="b">
        <f>OR(AND(IF(metadata!F362="",FALSE,TRUE),OR(EXACT(metadata!F362,"missing: not collected"),EXACT(metadata!F362,"missing: not provided"))),AND(IF(metadata!F362="",FALSE,TRUE),OR(EXACT(metadata!F362,"TRUE"),EXACT(metadata!F362,"FALSE"))))</f>
        <v>0</v>
      </c>
      <c r="AR362" t="b">
        <f>OR(AND(IF(metadata!G362="",FALSE,TRUE),OR(EXACT(metadata!G362,"missing: not collected"),EXACT(metadata!G362,"missing: not provided"),EXACT(metadata!G362,"missing: restricted access"))),AND(IF(metadata!G362="",FALSE,ISNUMBER(VALUE(metadata!G362))),metadata!G362&gt;=-413))</f>
        <v>0</v>
      </c>
      <c r="AS362" t="b">
        <f>AND(IF(metadata!H362="",FALSE,TRUE),EXACT(metadata!H362,"meters"))</f>
        <v>0</v>
      </c>
      <c r="AT362" t="b">
        <f>AND(IF(metadata!I362="",FALSE,TRUE),OR(EXACT(metadata!I362,"Host-associated"),EXACT(metadata!I362,"Free-living")))</f>
        <v>0</v>
      </c>
      <c r="AU362" t="b">
        <f>AND(IF(metadata!J362="",FALSE,TRUE),OR(EXACT(metadata!J362,"Animal"),EXACT(metadata!J362,"Fungus"),EXACT(metadata!J362,"Plant"),EXACT(metadata!J362,"Saline"),EXACT(metadata!J362,"Non-saline")))</f>
        <v>0</v>
      </c>
      <c r="AV362" t="b">
        <f>AND(IF(metadata!K362="",FALSE,TRUE),OR(EXACT(metadata!K362,"Plant secretion"),EXACT(metadata!K362,"Plant rhizosphere"),EXACT(metadata!K362,"Plant surface"),EXACT(metadata!K362,"Plant corpus"),EXACT(metadata!K362,"Fungus surface"),EXACT(metadata!K362,"Fungus corpus"),EXACT(metadata!K362,"Animal surface"),EXACT(metadata!K362,"Animal proximal gut"),EXACT(metadata!K362,"Animal corpus"),EXACT(metadata!K362,"Animal distal gut"),EXACT(metadata!K362,"Animal secretion"),EXACT(metadata!K362,"Sub-surface (non-saline)"),EXACT(metadata!K362,"Surface (non-saline)"),EXACT(metadata!K362,"Water (non-saline)"),EXACT(metadata!K362,"Soil (non-saline)"),EXACT(metadata!K362,"Aerosol (non-saline)"),EXACT(metadata!K362,"Sediment (non-saline)"),EXACT(metadata!K362,"Surface (saline)"),EXACT(metadata!K362,"Water (saline)"),EXACT(metadata!K362,"Hypersaline (saline)"),EXACT(metadata!K362,"Aerosol (saline)"),EXACT(metadata!K362,"Sediment (saline)")))</f>
        <v>0</v>
      </c>
      <c r="AW362" t="b">
        <f>IF(metadata!L362="",FALSE,TRUE)</f>
        <v>0</v>
      </c>
      <c r="AX362" t="b">
        <f>IF(metadata!M362="",FALSE,TRUE)</f>
        <v>0</v>
      </c>
      <c r="AY362" t="b">
        <f>IF(metadata!N362="",FALSE,TRUE)</f>
        <v>0</v>
      </c>
      <c r="AZ362" t="b">
        <f>OR(AND(IF(metadata!O362="",FALSE,TRUE),OR(EXACT(metadata!O362,"missing: not collected"),EXACT(metadata!O362,"missing: not provided"),EXACT(metadata!O362,"missing: restricted access"))),AND(IF(metadata!O362="",FALSE,TRUE),OR(EXACT(metadata!O362,"air"),EXACT(metadata!O362,"built environment"),EXACT(metadata!O362,"host-associated"),EXACT(metadata!O362,"human-associated"),EXACT(metadata!O362,"human-skin"),EXACT(metadata!O362,"human-oral"),EXACT(metadata!O362,"human-gut"),EXACT(metadata!O362,"human-vaginal"),EXACT(metadata!O362,"microbial mat/biofilm"),EXACT(metadata!O362,"misc environment"),EXACT(metadata!O362,"plant-associated"),EXACT(metadata!O362,"sediment"),EXACT(metadata!O362,"soil"),EXACT(metadata!O362,"wastewater/sludge"),EXACT(metadata!O362,"water"))))</f>
        <v>0</v>
      </c>
      <c r="BA362" t="b">
        <f>IF(metadata!P362="",FALSE,TRUE)</f>
        <v>0</v>
      </c>
      <c r="BB362" t="b">
        <f>IF(metadata!Q362="",FALSE,TRUE)</f>
        <v>0</v>
      </c>
      <c r="BC362" t="b">
        <f>OR(AND(IF(metadata!R362="",FALSE,TRUE),OR(EXACT(metadata!R362,"missing: not collected"),EXACT(metadata!R362,"missing: not provided"),EXACT(metadata!R362,"missing: restricted access"))),AND(IF(metadata!R362="",FALSE,ISNUMBER(VALUE(metadata!R362))),metadata!R362&gt;=-90,metadata!R362&lt;=90))</f>
        <v>0</v>
      </c>
      <c r="BD362" t="b">
        <f>AND(IF(metadata!S362="",FALSE,TRUE),EXACT(metadata!S362,"Decimal degrees"))</f>
        <v>0</v>
      </c>
      <c r="BE362" t="b">
        <f>OR(AND(IF(metadata!T362="",FALSE,TRUE),OR(EXACT(metadata!T362,"missing: not collected"),EXACT(metadata!T362,"missing: not provided"),EXACT(metadata!T362,"missing: restricted access"))),AND(IF(metadata!T362="",FALSE,ISNUMBER(VALUE(metadata!T362))),metadata!T362&gt;=-180,metadata!T362&lt;=180))</f>
        <v>0</v>
      </c>
      <c r="BF362" t="b">
        <f>AND(IF(metadata!U362="",FALSE,TRUE),EXACT(metadata!U362,"Decimal degrees"))</f>
        <v>0</v>
      </c>
      <c r="BG362" t="b">
        <f>IF(metadata!V362="",FALSE,TRUE)</f>
        <v>0</v>
      </c>
      <c r="BH362" t="b">
        <f>OR(AND(IF(metadata!W362="",FALSE,TRUE),OR(EXACT(metadata!W362,"missing: not collected"),EXACT(metadata!W362,"missing: not provided"),EXACT(metadata!W362,"missing: restricted access"))),AND(IF(metadata!W362="",FALSE,TRUE),OR(EXACT(metadata!W362,"TRUE"),EXACT(metadata!W362,"FALSE"))))</f>
        <v>0</v>
      </c>
      <c r="BI362" t="b">
        <f>AND(IF(metadata!X362="",FALSE,TRUE),EXACT(metadata!X362,"other"))</f>
        <v>0</v>
      </c>
      <c r="BJ362" t="b">
        <f>IF(metadata!Y362="",FALSE,TRUE)</f>
        <v>0</v>
      </c>
      <c r="BK362" t="b">
        <f>OR(AND(IF(metadata!Z362="",FALSE,TRUE),OR(EXACT(metadata!Z362,"missing: not collected"),EXACT(metadata!Z362,"missing: not provided"))),AND(IF(metadata!Z362="",FALSE,IF(ISERROR(INT(metadata!Z362)),FALSE,INT(metadata!Z362)=metadata!Z362)),metadata!Z362&gt;0))</f>
        <v>0</v>
      </c>
      <c r="BL362" t="b">
        <f>AND(IF(metadata!AA362="",FALSE,TRUE),EXACT(metadata!AA362,"Not applicable"))</f>
        <v>0</v>
      </c>
      <c r="BM362" t="b">
        <f>IF(metadata!AB362="",FALSE,TRUE)</f>
        <v>0</v>
      </c>
    </row>
    <row r="363" spans="1:65" x14ac:dyDescent="0.2">
      <c r="A363" s="5" t="str">
        <f ca="1">IF(B363=" "," ",HYPERLINK(CONCATENATE("#metadata!",ADDRESS(INDEX($AH$2:$AH$1001,MATCH(ROWS($AF$2:AF363),$AF$2:$AF$1001,0),0),1)),INDEX($AK$2:$AK$1001,MATCH(ROWS($AF$2:AF363),$AF$2:$AF$1001,0),0)))</f>
        <v xml:space="preserve"> </v>
      </c>
      <c r="B363" s="4" t="str">
        <f ca="1">IF(OR(INDEX($AG$2:$AG$1001,MATCH(ROWS($AF$2:AF363),$AF$2:$AF$1001,0),1)&gt;=100000,INDEX($AM$1005:$BM$1005,1,MATCH(COLUMNS($AM$1006:AM1006),$AM$1006:$BM$1006,0))&gt;=100000), " ",IF(INDEX($AM$2:$BM$1001,MATCH(ROWS($AF$2:AF363),$AF$2:$AF$1001,0),MATCH(COLUMNS($AM$1006:AM1006),$AM$1006:$BM$1006,0)), HYPERLINK("#",""), HYPERLINK(CONCATENATE("#metadata!", ADDRESS(INDEX($AH$2:$AH$1001,MATCH(ROWS($AF$2:AF363),$AF$2:$AF$1001,0),0), INDEX($AM$1004:$BM$1004,1,MATCH(COLUMNS($AM$1006:AM1006),$AM$1006:$BM$1006,0)))),"Fix")))</f>
        <v xml:space="preserve"> </v>
      </c>
      <c r="C363" s="4" t="str">
        <f ca="1">IF(OR(INDEX($AG$2:$AG$1001,MATCH(ROWS($AF$2:AF363),$AF$2:$AF$1001,0),1)&gt;=100000,INDEX($AM$1005:$BM$1005,1,MATCH(COLUMNS($AM$1006:AN1006),$AM$1006:$BM$1006,0))&gt;=100000), " ",IF(INDEX($AM$2:$BM$1001,MATCH(ROWS($AF$2:AF363),$AF$2:$AF$1001,0),MATCH(COLUMNS($AM$1006:AN1006),$AM$1006:$BM$1006,0)), HYPERLINK("#",""), HYPERLINK(CONCATENATE("#metadata!", ADDRESS(INDEX($AH$2:$AH$1001,MATCH(ROWS($AF$2:AF363),$AF$2:$AF$1001,0),0), INDEX($AM$1004:$BM$1004,1,MATCH(COLUMNS($AM$1006:AN1006),$AM$1006:$BM$1006,0)))),"Fix")))</f>
        <v xml:space="preserve"> </v>
      </c>
      <c r="D363" s="4" t="str">
        <f ca="1">IF(OR(INDEX($AG$2:$AG$1001,MATCH(ROWS($AF$2:AF363),$AF$2:$AF$1001,0),1)&gt;=100000,INDEX($AM$1005:$BM$1005,1,MATCH(COLUMNS($AM$1006:AO1006),$AM$1006:$BM$1006,0))&gt;=100000), " ",IF(INDEX($AM$2:$BM$1001,MATCH(ROWS($AF$2:AF363),$AF$2:$AF$1001,0),MATCH(COLUMNS($AM$1006:AO1006),$AM$1006:$BM$1006,0)), HYPERLINK("#",""), HYPERLINK(CONCATENATE("#metadata!", ADDRESS(INDEX($AH$2:$AH$1001,MATCH(ROWS($AF$2:AF363),$AF$2:$AF$1001,0),0), INDEX($AM$1004:$BM$1004,1,MATCH(COLUMNS($AM$1006:AO1006),$AM$1006:$BM$1006,0)))),"Fix")))</f>
        <v xml:space="preserve"> </v>
      </c>
      <c r="E363" s="4" t="str">
        <f ca="1">IF(OR(INDEX($AG$2:$AG$1001,MATCH(ROWS($AF$2:AF363),$AF$2:$AF$1001,0),1)&gt;=100000,INDEX($AM$1005:$BM$1005,1,MATCH(COLUMNS($AM$1006:AP1006),$AM$1006:$BM$1006,0))&gt;=100000), " ",IF(INDEX($AM$2:$BM$1001,MATCH(ROWS($AF$2:AF363),$AF$2:$AF$1001,0),MATCH(COLUMNS($AM$1006:AP1006),$AM$1006:$BM$1006,0)), HYPERLINK("#",""), HYPERLINK(CONCATENATE("#metadata!", ADDRESS(INDEX($AH$2:$AH$1001,MATCH(ROWS($AF$2:AF363),$AF$2:$AF$1001,0),0), INDEX($AM$1004:$BM$1004,1,MATCH(COLUMNS($AM$1006:AP1006),$AM$1006:$BM$1006,0)))),"Fix")))</f>
        <v xml:space="preserve"> </v>
      </c>
      <c r="F363" s="4" t="str">
        <f ca="1">IF(OR(INDEX($AG$2:$AG$1001,MATCH(ROWS($AF$2:AF363),$AF$2:$AF$1001,0),1)&gt;=100000,INDEX($AM$1005:$BM$1005,1,MATCH(COLUMNS($AM$1006:AQ1006),$AM$1006:$BM$1006,0))&gt;=100000), " ",IF(INDEX($AM$2:$BM$1001,MATCH(ROWS($AF$2:AF363),$AF$2:$AF$1001,0),MATCH(COLUMNS($AM$1006:AQ1006),$AM$1006:$BM$1006,0)), HYPERLINK("#",""), HYPERLINK(CONCATENATE("#metadata!", ADDRESS(INDEX($AH$2:$AH$1001,MATCH(ROWS($AF$2:AF363),$AF$2:$AF$1001,0),0), INDEX($AM$1004:$BM$1004,1,MATCH(COLUMNS($AM$1006:AQ1006),$AM$1006:$BM$1006,0)))),"Fix")))</f>
        <v xml:space="preserve"> </v>
      </c>
      <c r="G363" s="4" t="str">
        <f ca="1">IF(OR(INDEX($AG$2:$AG$1001,MATCH(ROWS($AF$2:AF363),$AF$2:$AF$1001,0),1)&gt;=100000,INDEX($AM$1005:$BM$1005,1,MATCH(COLUMNS($AM$1006:AR1006),$AM$1006:$BM$1006,0))&gt;=100000), " ",IF(INDEX($AM$2:$BM$1001,MATCH(ROWS($AF$2:AF363),$AF$2:$AF$1001,0),MATCH(COLUMNS($AM$1006:AR1006),$AM$1006:$BM$1006,0)), HYPERLINK("#",""), HYPERLINK(CONCATENATE("#metadata!", ADDRESS(INDEX($AH$2:$AH$1001,MATCH(ROWS($AF$2:AF363),$AF$2:$AF$1001,0),0), INDEX($AM$1004:$BM$1004,1,MATCH(COLUMNS($AM$1006:AR1006),$AM$1006:$BM$1006,0)))),"Fix")))</f>
        <v xml:space="preserve"> </v>
      </c>
      <c r="H363" s="4" t="str">
        <f ca="1">IF(OR(INDEX($AG$2:$AG$1001,MATCH(ROWS($AF$2:AF363),$AF$2:$AF$1001,0),1)&gt;=100000,INDEX($AM$1005:$BM$1005,1,MATCH(COLUMNS($AM$1006:AS1006),$AM$1006:$BM$1006,0))&gt;=100000), " ",IF(INDEX($AM$2:$BM$1001,MATCH(ROWS($AF$2:AF363),$AF$2:$AF$1001,0),MATCH(COLUMNS($AM$1006:AS1006),$AM$1006:$BM$1006,0)), HYPERLINK("#",""), HYPERLINK(CONCATENATE("#metadata!", ADDRESS(INDEX($AH$2:$AH$1001,MATCH(ROWS($AF$2:AF363),$AF$2:$AF$1001,0),0), INDEX($AM$1004:$BM$1004,1,MATCH(COLUMNS($AM$1006:AS1006),$AM$1006:$BM$1006,0)))),"Fix")))</f>
        <v xml:space="preserve"> </v>
      </c>
      <c r="I363" s="4" t="str">
        <f ca="1">IF(OR(INDEX($AG$2:$AG$1001,MATCH(ROWS($AF$2:AF363),$AF$2:$AF$1001,0),1)&gt;=100000,INDEX($AM$1005:$BM$1005,1,MATCH(COLUMNS($AM$1006:AT1006),$AM$1006:$BM$1006,0))&gt;=100000), " ",IF(INDEX($AM$2:$BM$1001,MATCH(ROWS($AF$2:AF363),$AF$2:$AF$1001,0),MATCH(COLUMNS($AM$1006:AT1006),$AM$1006:$BM$1006,0)), HYPERLINK("#",""), HYPERLINK(CONCATENATE("#metadata!", ADDRESS(INDEX($AH$2:$AH$1001,MATCH(ROWS($AF$2:AF363),$AF$2:$AF$1001,0),0), INDEX($AM$1004:$BM$1004,1,MATCH(COLUMNS($AM$1006:AT1006),$AM$1006:$BM$1006,0)))),"Fix")))</f>
        <v xml:space="preserve"> </v>
      </c>
      <c r="J363" s="4" t="str">
        <f ca="1">IF(OR(INDEX($AG$2:$AG$1001,MATCH(ROWS($AF$2:AF363),$AF$2:$AF$1001,0),1)&gt;=100000,INDEX($AM$1005:$BM$1005,1,MATCH(COLUMNS($AM$1006:AU1006),$AM$1006:$BM$1006,0))&gt;=100000), " ",IF(INDEX($AM$2:$BM$1001,MATCH(ROWS($AF$2:AF363),$AF$2:$AF$1001,0),MATCH(COLUMNS($AM$1006:AU1006),$AM$1006:$BM$1006,0)), HYPERLINK("#",""), HYPERLINK(CONCATENATE("#metadata!", ADDRESS(INDEX($AH$2:$AH$1001,MATCH(ROWS($AF$2:AF363),$AF$2:$AF$1001,0),0), INDEX($AM$1004:$BM$1004,1,MATCH(COLUMNS($AM$1006:AU1006),$AM$1006:$BM$1006,0)))),"Fix")))</f>
        <v xml:space="preserve"> </v>
      </c>
      <c r="K363" s="4" t="str">
        <f ca="1">IF(OR(INDEX($AG$2:$AG$1001,MATCH(ROWS($AF$2:AF363),$AF$2:$AF$1001,0),1)&gt;=100000,INDEX($AM$1005:$BM$1005,1,MATCH(COLUMNS($AM$1006:AV1006),$AM$1006:$BM$1006,0))&gt;=100000), " ",IF(INDEX($AM$2:$BM$1001,MATCH(ROWS($AF$2:AF363),$AF$2:$AF$1001,0),MATCH(COLUMNS($AM$1006:AV1006),$AM$1006:$BM$1006,0)), HYPERLINK("#",""), HYPERLINK(CONCATENATE("#metadata!", ADDRESS(INDEX($AH$2:$AH$1001,MATCH(ROWS($AF$2:AF363),$AF$2:$AF$1001,0),0), INDEX($AM$1004:$BM$1004,1,MATCH(COLUMNS($AM$1006:AV1006),$AM$1006:$BM$1006,0)))),"Fix")))</f>
        <v xml:space="preserve"> </v>
      </c>
      <c r="L363" s="4" t="str">
        <f ca="1">IF(OR(INDEX($AG$2:$AG$1001,MATCH(ROWS($AF$2:AF363),$AF$2:$AF$1001,0),1)&gt;=100000,INDEX($AM$1005:$BM$1005,1,MATCH(COLUMNS($AM$1006:AW1006),$AM$1006:$BM$1006,0))&gt;=100000), " ",IF(INDEX($AM$2:$BM$1001,MATCH(ROWS($AF$2:AF363),$AF$2:$AF$1001,0),MATCH(COLUMNS($AM$1006:AW1006),$AM$1006:$BM$1006,0)), HYPERLINK("#",""), HYPERLINK(CONCATENATE("#metadata!", ADDRESS(INDEX($AH$2:$AH$1001,MATCH(ROWS($AF$2:AF363),$AF$2:$AF$1001,0),0), INDEX($AM$1004:$BM$1004,1,MATCH(COLUMNS($AM$1006:AW1006),$AM$1006:$BM$1006,0)))),"Fix")))</f>
        <v xml:space="preserve"> </v>
      </c>
      <c r="M363" s="4" t="str">
        <f ca="1">IF(OR(INDEX($AG$2:$AG$1001,MATCH(ROWS($AF$2:AF363),$AF$2:$AF$1001,0),1)&gt;=100000,INDEX($AM$1005:$BM$1005,1,MATCH(COLUMNS($AM$1006:AX1006),$AM$1006:$BM$1006,0))&gt;=100000), " ",IF(INDEX($AM$2:$BM$1001,MATCH(ROWS($AF$2:AF363),$AF$2:$AF$1001,0),MATCH(COLUMNS($AM$1006:AX1006),$AM$1006:$BM$1006,0)), HYPERLINK("#",""), HYPERLINK(CONCATENATE("#metadata!", ADDRESS(INDEX($AH$2:$AH$1001,MATCH(ROWS($AF$2:AF363),$AF$2:$AF$1001,0),0), INDEX($AM$1004:$BM$1004,1,MATCH(COLUMNS($AM$1006:AX1006),$AM$1006:$BM$1006,0)))),"Fix")))</f>
        <v xml:space="preserve"> </v>
      </c>
      <c r="N363" s="4" t="str">
        <f ca="1">IF(OR(INDEX($AG$2:$AG$1001,MATCH(ROWS($AF$2:AF363),$AF$2:$AF$1001,0),1)&gt;=100000,INDEX($AM$1005:$BM$1005,1,MATCH(COLUMNS($AM$1006:AY1006),$AM$1006:$BM$1006,0))&gt;=100000), " ",IF(INDEX($AM$2:$BM$1001,MATCH(ROWS($AF$2:AF363),$AF$2:$AF$1001,0),MATCH(COLUMNS($AM$1006:AY1006),$AM$1006:$BM$1006,0)), HYPERLINK("#",""), HYPERLINK(CONCATENATE("#metadata!", ADDRESS(INDEX($AH$2:$AH$1001,MATCH(ROWS($AF$2:AF363),$AF$2:$AF$1001,0),0), INDEX($AM$1004:$BM$1004,1,MATCH(COLUMNS($AM$1006:AY1006),$AM$1006:$BM$1006,0)))),"Fix")))</f>
        <v xml:space="preserve"> </v>
      </c>
      <c r="O363" s="4" t="str">
        <f ca="1">IF(OR(INDEX($AG$2:$AG$1001,MATCH(ROWS($AF$2:AF363),$AF$2:$AF$1001,0),1)&gt;=100000,INDEX($AM$1005:$BM$1005,1,MATCH(COLUMNS($AM$1006:AZ1006),$AM$1006:$BM$1006,0))&gt;=100000), " ",IF(INDEX($AM$2:$BM$1001,MATCH(ROWS($AF$2:AF363),$AF$2:$AF$1001,0),MATCH(COLUMNS($AM$1006:AZ1006),$AM$1006:$BM$1006,0)), HYPERLINK("#",""), HYPERLINK(CONCATENATE("#metadata!", ADDRESS(INDEX($AH$2:$AH$1001,MATCH(ROWS($AF$2:AF363),$AF$2:$AF$1001,0),0), INDEX($AM$1004:$BM$1004,1,MATCH(COLUMNS($AM$1006:AZ1006),$AM$1006:$BM$1006,0)))),"Fix")))</f>
        <v xml:space="preserve"> </v>
      </c>
      <c r="P363" s="4" t="str">
        <f ca="1">IF(OR(INDEX($AG$2:$AG$1001,MATCH(ROWS($AF$2:AF363),$AF$2:$AF$1001,0),1)&gt;=100000,INDEX($AM$1005:$BM$1005,1,MATCH(COLUMNS($AM$1006:BA1006),$AM$1006:$BM$1006,0))&gt;=100000), " ",IF(INDEX($AM$2:$BM$1001,MATCH(ROWS($AF$2:AF363),$AF$2:$AF$1001,0),MATCH(COLUMNS($AM$1006:BA1006),$AM$1006:$BM$1006,0)), HYPERLINK("#",""), HYPERLINK(CONCATENATE("#metadata!", ADDRESS(INDEX($AH$2:$AH$1001,MATCH(ROWS($AF$2:AF363),$AF$2:$AF$1001,0),0), INDEX($AM$1004:$BM$1004,1,MATCH(COLUMNS($AM$1006:BA1006),$AM$1006:$BM$1006,0)))),"Fix")))</f>
        <v xml:space="preserve"> </v>
      </c>
      <c r="Q363" s="4" t="str">
        <f ca="1">IF(OR(INDEX($AG$2:$AG$1001,MATCH(ROWS($AF$2:AF363),$AF$2:$AF$1001,0),1)&gt;=100000,INDEX($AM$1005:$BM$1005,1,MATCH(COLUMNS($AM$1006:BB1006),$AM$1006:$BM$1006,0))&gt;=100000), " ",IF(INDEX($AM$2:$BM$1001,MATCH(ROWS($AF$2:AF363),$AF$2:$AF$1001,0),MATCH(COLUMNS($AM$1006:BB1006),$AM$1006:$BM$1006,0)), HYPERLINK("#",""), HYPERLINK(CONCATENATE("#metadata!", ADDRESS(INDEX($AH$2:$AH$1001,MATCH(ROWS($AF$2:AF363),$AF$2:$AF$1001,0),0), INDEX($AM$1004:$BM$1004,1,MATCH(COLUMNS($AM$1006:BB1006),$AM$1006:$BM$1006,0)))),"Fix")))</f>
        <v xml:space="preserve"> </v>
      </c>
      <c r="R363" s="4" t="str">
        <f ca="1">IF(OR(INDEX($AG$2:$AG$1001,MATCH(ROWS($AF$2:AF363),$AF$2:$AF$1001,0),1)&gt;=100000,INDEX($AM$1005:$BM$1005,1,MATCH(COLUMNS($AM$1006:BC1006),$AM$1006:$BM$1006,0))&gt;=100000), " ",IF(INDEX($AM$2:$BM$1001,MATCH(ROWS($AF$2:AF363),$AF$2:$AF$1001,0),MATCH(COLUMNS($AM$1006:BC1006),$AM$1006:$BM$1006,0)), HYPERLINK("#",""), HYPERLINK(CONCATENATE("#metadata!", ADDRESS(INDEX($AH$2:$AH$1001,MATCH(ROWS($AF$2:AF363),$AF$2:$AF$1001,0),0), INDEX($AM$1004:$BM$1004,1,MATCH(COLUMNS($AM$1006:BC1006),$AM$1006:$BM$1006,0)))),"Fix")))</f>
        <v xml:space="preserve"> </v>
      </c>
      <c r="S363" s="4" t="str">
        <f ca="1">IF(OR(INDEX($AG$2:$AG$1001,MATCH(ROWS($AF$2:AF363),$AF$2:$AF$1001,0),1)&gt;=100000,INDEX($AM$1005:$BM$1005,1,MATCH(COLUMNS($AM$1006:BD1006),$AM$1006:$BM$1006,0))&gt;=100000), " ",IF(INDEX($AM$2:$BM$1001,MATCH(ROWS($AF$2:AF363),$AF$2:$AF$1001,0),MATCH(COLUMNS($AM$1006:BD1006),$AM$1006:$BM$1006,0)), HYPERLINK("#",""), HYPERLINK(CONCATENATE("#metadata!", ADDRESS(INDEX($AH$2:$AH$1001,MATCH(ROWS($AF$2:AF363),$AF$2:$AF$1001,0),0), INDEX($AM$1004:$BM$1004,1,MATCH(COLUMNS($AM$1006:BD1006),$AM$1006:$BM$1006,0)))),"Fix")))</f>
        <v xml:space="preserve"> </v>
      </c>
      <c r="T363" s="4" t="str">
        <f ca="1">IF(OR(INDEX($AG$2:$AG$1001,MATCH(ROWS($AF$2:AF363),$AF$2:$AF$1001,0),1)&gt;=100000,INDEX($AM$1005:$BM$1005,1,MATCH(COLUMNS($AM$1006:BE1006),$AM$1006:$BM$1006,0))&gt;=100000), " ",IF(INDEX($AM$2:$BM$1001,MATCH(ROWS($AF$2:AF363),$AF$2:$AF$1001,0),MATCH(COLUMNS($AM$1006:BE1006),$AM$1006:$BM$1006,0)), HYPERLINK("#",""), HYPERLINK(CONCATENATE("#metadata!", ADDRESS(INDEX($AH$2:$AH$1001,MATCH(ROWS($AF$2:AF363),$AF$2:$AF$1001,0),0), INDEX($AM$1004:$BM$1004,1,MATCH(COLUMNS($AM$1006:BE1006),$AM$1006:$BM$1006,0)))),"Fix")))</f>
        <v xml:space="preserve"> </v>
      </c>
      <c r="U363" s="4" t="str">
        <f ca="1">IF(OR(INDEX($AG$2:$AG$1001,MATCH(ROWS($AF$2:AF363),$AF$2:$AF$1001,0),1)&gt;=100000,INDEX($AM$1005:$BM$1005,1,MATCH(COLUMNS($AM$1006:BF1006),$AM$1006:$BM$1006,0))&gt;=100000), " ",IF(INDEX($AM$2:$BM$1001,MATCH(ROWS($AF$2:AF363),$AF$2:$AF$1001,0),MATCH(COLUMNS($AM$1006:BF1006),$AM$1006:$BM$1006,0)), HYPERLINK("#",""), HYPERLINK(CONCATENATE("#metadata!", ADDRESS(INDEX($AH$2:$AH$1001,MATCH(ROWS($AF$2:AF363),$AF$2:$AF$1001,0),0), INDEX($AM$1004:$BM$1004,1,MATCH(COLUMNS($AM$1006:BF1006),$AM$1006:$BM$1006,0)))),"Fix")))</f>
        <v xml:space="preserve"> </v>
      </c>
      <c r="V363" s="4" t="str">
        <f ca="1">IF(OR(INDEX($AG$2:$AG$1001,MATCH(ROWS($AF$2:AF363),$AF$2:$AF$1001,0),1)&gt;=100000,INDEX($AM$1005:$BM$1005,1,MATCH(COLUMNS($AM$1006:BG1006),$AM$1006:$BM$1006,0))&gt;=100000), " ",IF(INDEX($AM$2:$BM$1001,MATCH(ROWS($AF$2:AF363),$AF$2:$AF$1001,0),MATCH(COLUMNS($AM$1006:BG1006),$AM$1006:$BM$1006,0)), HYPERLINK("#",""), HYPERLINK(CONCATENATE("#metadata!", ADDRESS(INDEX($AH$2:$AH$1001,MATCH(ROWS($AF$2:AF363),$AF$2:$AF$1001,0),0), INDEX($AM$1004:$BM$1004,1,MATCH(COLUMNS($AM$1006:BG1006),$AM$1006:$BM$1006,0)))),"Fix")))</f>
        <v xml:space="preserve"> </v>
      </c>
      <c r="W363" s="4" t="str">
        <f ca="1">IF(OR(INDEX($AG$2:$AG$1001,MATCH(ROWS($AF$2:AF363),$AF$2:$AF$1001,0),1)&gt;=100000,INDEX($AM$1005:$BM$1005,1,MATCH(COLUMNS($AM$1006:BH1006),$AM$1006:$BM$1006,0))&gt;=100000), " ",IF(INDEX($AM$2:$BM$1001,MATCH(ROWS($AF$2:AF363),$AF$2:$AF$1001,0),MATCH(COLUMNS($AM$1006:BH1006),$AM$1006:$BM$1006,0)), HYPERLINK("#",""), HYPERLINK(CONCATENATE("#metadata!", ADDRESS(INDEX($AH$2:$AH$1001,MATCH(ROWS($AF$2:AF363),$AF$2:$AF$1001,0),0), INDEX($AM$1004:$BM$1004,1,MATCH(COLUMNS($AM$1006:BH1006),$AM$1006:$BM$1006,0)))),"Fix")))</f>
        <v xml:space="preserve"> </v>
      </c>
      <c r="X363" s="4" t="str">
        <f ca="1">IF(OR(INDEX($AG$2:$AG$1001,MATCH(ROWS($AF$2:AF363),$AF$2:$AF$1001,0),1)&gt;=100000,INDEX($AM$1005:$BM$1005,1,MATCH(COLUMNS($AM$1006:BI1006),$AM$1006:$BM$1006,0))&gt;=100000), " ",IF(INDEX($AM$2:$BM$1001,MATCH(ROWS($AF$2:AF363),$AF$2:$AF$1001,0),MATCH(COLUMNS($AM$1006:BI1006),$AM$1006:$BM$1006,0)), HYPERLINK("#",""), HYPERLINK(CONCATENATE("#metadata!", ADDRESS(INDEX($AH$2:$AH$1001,MATCH(ROWS($AF$2:AF363),$AF$2:$AF$1001,0),0), INDEX($AM$1004:$BM$1004,1,MATCH(COLUMNS($AM$1006:BI1006),$AM$1006:$BM$1006,0)))),"Fix")))</f>
        <v xml:space="preserve"> </v>
      </c>
      <c r="Y363" s="4" t="str">
        <f ca="1">IF(OR(INDEX($AG$2:$AG$1001,MATCH(ROWS($AF$2:AF363),$AF$2:$AF$1001,0),1)&gt;=100000,INDEX($AM$1005:$BM$1005,1,MATCH(COLUMNS($AM$1006:BJ1006),$AM$1006:$BM$1006,0))&gt;=100000), " ",IF(INDEX($AM$2:$BM$1001,MATCH(ROWS($AF$2:AF363),$AF$2:$AF$1001,0),MATCH(COLUMNS($AM$1006:BJ1006),$AM$1006:$BM$1006,0)), HYPERLINK("#",""), HYPERLINK(CONCATENATE("#metadata!", ADDRESS(INDEX($AH$2:$AH$1001,MATCH(ROWS($AF$2:AF363),$AF$2:$AF$1001,0),0), INDEX($AM$1004:$BM$1004,1,MATCH(COLUMNS($AM$1006:BJ1006),$AM$1006:$BM$1006,0)))),"Fix")))</f>
        <v xml:space="preserve"> </v>
      </c>
      <c r="Z363" s="4" t="str">
        <f ca="1">IF(OR(INDEX($AG$2:$AG$1001,MATCH(ROWS($AF$2:AF363),$AF$2:$AF$1001,0),1)&gt;=100000,INDEX($AM$1005:$BM$1005,1,MATCH(COLUMNS($AM$1006:BK1006),$AM$1006:$BM$1006,0))&gt;=100000), " ",IF(INDEX($AM$2:$BM$1001,MATCH(ROWS($AF$2:AF363),$AF$2:$AF$1001,0),MATCH(COLUMNS($AM$1006:BK1006),$AM$1006:$BM$1006,0)), HYPERLINK("#",""), HYPERLINK(CONCATENATE("#metadata!", ADDRESS(INDEX($AH$2:$AH$1001,MATCH(ROWS($AF$2:AF363),$AF$2:$AF$1001,0),0), INDEX($AM$1004:$BM$1004,1,MATCH(COLUMNS($AM$1006:BK1006),$AM$1006:$BM$1006,0)))),"Fix")))</f>
        <v xml:space="preserve"> </v>
      </c>
      <c r="AA363" s="4" t="str">
        <f ca="1">IF(OR(INDEX($AG$2:$AG$1001,MATCH(ROWS($AF$2:AF363),$AF$2:$AF$1001,0),1)&gt;=100000,INDEX($AM$1005:$BM$1005,1,MATCH(COLUMNS($AM$1006:BL1006),$AM$1006:$BM$1006,0))&gt;=100000), " ",IF(INDEX($AM$2:$BM$1001,MATCH(ROWS($AF$2:AF363),$AF$2:$AF$1001,0),MATCH(COLUMNS($AM$1006:BL1006),$AM$1006:$BM$1006,0)), HYPERLINK("#",""), HYPERLINK(CONCATENATE("#metadata!", ADDRESS(INDEX($AH$2:$AH$1001,MATCH(ROWS($AF$2:AF363),$AF$2:$AF$1001,0),0), INDEX($AM$1004:$BM$1004,1,MATCH(COLUMNS($AM$1006:BL1006),$AM$1006:$BM$1006,0)))),"Fix")))</f>
        <v xml:space="preserve"> </v>
      </c>
      <c r="AB363" s="4" t="str">
        <f ca="1">IF(OR(INDEX($AG$2:$AG$1001,MATCH(ROWS($AF$2:AF363),$AF$2:$AF$1001,0),1)&gt;=100000,INDEX($AM$1005:$BM$1005,1,MATCH(COLUMNS($AM$1006:BM1006),$AM$1006:$BM$1006,0))&gt;=100000), " ",IF(INDEX($AM$2:$BM$1001,MATCH(ROWS($AF$2:AF363),$AF$2:$AF$1001,0),MATCH(COLUMNS($AM$1006:BM1006),$AM$1006:$BM$1006,0)), HYPERLINK("#",""), HYPERLINK(CONCATENATE("#metadata!", ADDRESS(INDEX($AH$2:$AH$1001,MATCH(ROWS($AF$2:AF363),$AF$2:$AF$1001,0),0), INDEX($AM$1004:$BM$1004,1,MATCH(COLUMNS($AM$1006:BM1006),$AM$1006:$BM$1006,0)))),"Fix")))</f>
        <v xml:space="preserve"> </v>
      </c>
      <c r="AF363">
        <v>362</v>
      </c>
      <c r="AG363">
        <v>100363</v>
      </c>
      <c r="AH363">
        <v>363</v>
      </c>
      <c r="AI363" t="b">
        <f t="shared" si="5"/>
        <v>1</v>
      </c>
      <c r="AJ363" t="b">
        <f>COUNTBLANK(metadata!B363:AB363)=COLUMNS(metadata!B363:AB363)</f>
        <v>1</v>
      </c>
      <c r="AK363" t="str">
        <v/>
      </c>
      <c r="AM363" t="b">
        <f ca="1">AND(IF(metadata!B363="",FALSE,TRUE),COUNTIF(metadata!B:B, metadata!B363) = 1,NOT(ISERROR(SUMPRODUCT(SEARCH(MID(metadata!B363,ROW(INDIRECT("1:"&amp;LEN(metadata!B363))), 1),"0123456789abcdefghijklmnopqrstuvwxyzABCDEFGHIJKLMNOPQRSTUVWXYZ.")))))</f>
        <v>0</v>
      </c>
      <c r="AN363" t="b">
        <f ca="1">OR(AND(IF(metadata!C363="",FALSE,TRUE),OR(EXACT(metadata!C363,"missing: not collected"),EXACT(metadata!C363,"missing: not provided"),EXACT(metadata!C363,"missing: restricted access"))),AND(IF(metadata!C363="",FALSE,TRUE),AND(AND(IFERROR(INT(LEFT(metadata!C363,4))&gt;1900,FALSE),IFERROR(INT(LEFT(metadata!C363,4))&lt;=YEAR(NOW()),FALSE)), OR(MID(metadata!C363,5,1)="", AND(AND(MID(metadata!C363,5,1)="-",IFERROR(INT(MID(metadata!C363,6,1))&gt;=0,FALSE),IFERROR(INT(MID(metadata!C363,6,1))&lt;=1,FALSE),NOT(MID(metadata!C363,7,1)=""),IFERROR(INT(MID(metadata!C363,6,2))&gt;=1,FALSE),IFERROR(INT(MID(metadata!C363,6,2))&lt;=12,FALSE)), OR(MID(metadata!C363,8,1)="", AND(AND(MID(metadata!C363,8,1)="-",IFERROR(INT(MID(metadata!C363,9,1))&gt;=0,FALSE),IFERROR(INT(MID(metadata!C363,9,1))&lt;=3,FALSE),NOT(MID(metadata!C363,10,1)=""),IFERROR(INT(MID(metadata!C363,9,2))&gt;=1,FALSE),IFERROR(INT(MID(metadata!C363,9,2))&lt;=31,FALSE)), OR(MID(metadata!C363,11,1)="", AND(AND(MID(metadata!C363,11,1)=" ",IFERROR(INT(MID(metadata!C363,12,1))&gt;=0,FALSE),IFERROR(INT(MID(metadata!C363,12,1))&lt;=2,FALSE),NOT(MID(metadata!C363,13,1)=""),IFERROR(INT(MID(metadata!C363,12,2))&gt;=0,FALSE),IFERROR(INT(MID(metadata!C363,12,2))&lt;=23,FALSE)), OR(MID(metadata!C363,14,1)="", AND(AND(MID(metadata!C363,14,1)=":",IFERROR(INT(MID(metadata!C363,15,1))&gt;=0,FALSE),IFERROR(INT(MID(metadata!C363,15,1))&lt;=5,FALSE),NOT(MID(metadata!C363,16,1)=""),IFERROR(INT(MID(metadata!C363,15,2))&gt;=0,FALSE),IFERROR(INT(MID(metadata!C363,15,2))&lt;=59,FALSE)), OR(MID(metadata!C363,17,1)="", AND(AND(MID(metadata!C363,17,1)=":",IFERROR(INT(MID(metadata!C363,18,1))&gt;=0,FALSE),IFERROR(INT(MID(metadata!C363,18,1))&lt;=5,FALSE),NOT(MID(metadata!C363,19,1)=""),IFERROR(INT(MID(metadata!C363,18,2))&gt;=0,FALSE),IFERROR(INT(MID(metadata!C363,18,2))&lt;=59,FALSE)), LEN(metadata!C363)&lt;=19)))))))))))))</f>
        <v>0</v>
      </c>
      <c r="AO363" t="b">
        <f>AND(IF(metadata!D363="",FALSE,TRUE),EXACT(metadata!D363,"Not applicable"))</f>
        <v>0</v>
      </c>
      <c r="AP363" t="b">
        <f>IF(metadata!E363="",FALSE,TRUE)</f>
        <v>0</v>
      </c>
      <c r="AQ363" t="b">
        <f>OR(AND(IF(metadata!F363="",FALSE,TRUE),OR(EXACT(metadata!F363,"missing: not collected"),EXACT(metadata!F363,"missing: not provided"))),AND(IF(metadata!F363="",FALSE,TRUE),OR(EXACT(metadata!F363,"TRUE"),EXACT(metadata!F363,"FALSE"))))</f>
        <v>0</v>
      </c>
      <c r="AR363" t="b">
        <f>OR(AND(IF(metadata!G363="",FALSE,TRUE),OR(EXACT(metadata!G363,"missing: not collected"),EXACT(metadata!G363,"missing: not provided"),EXACT(metadata!G363,"missing: restricted access"))),AND(IF(metadata!G363="",FALSE,ISNUMBER(VALUE(metadata!G363))),metadata!G363&gt;=-413))</f>
        <v>0</v>
      </c>
      <c r="AS363" t="b">
        <f>AND(IF(metadata!H363="",FALSE,TRUE),EXACT(metadata!H363,"meters"))</f>
        <v>0</v>
      </c>
      <c r="AT363" t="b">
        <f>AND(IF(metadata!I363="",FALSE,TRUE),OR(EXACT(metadata!I363,"Host-associated"),EXACT(metadata!I363,"Free-living")))</f>
        <v>0</v>
      </c>
      <c r="AU363" t="b">
        <f>AND(IF(metadata!J363="",FALSE,TRUE),OR(EXACT(metadata!J363,"Animal"),EXACT(metadata!J363,"Fungus"),EXACT(metadata!J363,"Plant"),EXACT(metadata!J363,"Saline"),EXACT(metadata!J363,"Non-saline")))</f>
        <v>0</v>
      </c>
      <c r="AV363" t="b">
        <f>AND(IF(metadata!K363="",FALSE,TRUE),OR(EXACT(metadata!K363,"Plant secretion"),EXACT(metadata!K363,"Plant rhizosphere"),EXACT(metadata!K363,"Plant surface"),EXACT(metadata!K363,"Plant corpus"),EXACT(metadata!K363,"Fungus surface"),EXACT(metadata!K363,"Fungus corpus"),EXACT(metadata!K363,"Animal surface"),EXACT(metadata!K363,"Animal proximal gut"),EXACT(metadata!K363,"Animal corpus"),EXACT(metadata!K363,"Animal distal gut"),EXACT(metadata!K363,"Animal secretion"),EXACT(metadata!K363,"Sub-surface (non-saline)"),EXACT(metadata!K363,"Surface (non-saline)"),EXACT(metadata!K363,"Water (non-saline)"),EXACT(metadata!K363,"Soil (non-saline)"),EXACT(metadata!K363,"Aerosol (non-saline)"),EXACT(metadata!K363,"Sediment (non-saline)"),EXACT(metadata!K363,"Surface (saline)"),EXACT(metadata!K363,"Water (saline)"),EXACT(metadata!K363,"Hypersaline (saline)"),EXACT(metadata!K363,"Aerosol (saline)"),EXACT(metadata!K363,"Sediment (saline)")))</f>
        <v>0</v>
      </c>
      <c r="AW363" t="b">
        <f>IF(metadata!L363="",FALSE,TRUE)</f>
        <v>0</v>
      </c>
      <c r="AX363" t="b">
        <f>IF(metadata!M363="",FALSE,TRUE)</f>
        <v>0</v>
      </c>
      <c r="AY363" t="b">
        <f>IF(metadata!N363="",FALSE,TRUE)</f>
        <v>0</v>
      </c>
      <c r="AZ363" t="b">
        <f>OR(AND(IF(metadata!O363="",FALSE,TRUE),OR(EXACT(metadata!O363,"missing: not collected"),EXACT(metadata!O363,"missing: not provided"),EXACT(metadata!O363,"missing: restricted access"))),AND(IF(metadata!O363="",FALSE,TRUE),OR(EXACT(metadata!O363,"air"),EXACT(metadata!O363,"built environment"),EXACT(metadata!O363,"host-associated"),EXACT(metadata!O363,"human-associated"),EXACT(metadata!O363,"human-skin"),EXACT(metadata!O363,"human-oral"),EXACT(metadata!O363,"human-gut"),EXACT(metadata!O363,"human-vaginal"),EXACT(metadata!O363,"microbial mat/biofilm"),EXACT(metadata!O363,"misc environment"),EXACT(metadata!O363,"plant-associated"),EXACT(metadata!O363,"sediment"),EXACT(metadata!O363,"soil"),EXACT(metadata!O363,"wastewater/sludge"),EXACT(metadata!O363,"water"))))</f>
        <v>0</v>
      </c>
      <c r="BA363" t="b">
        <f>IF(metadata!P363="",FALSE,TRUE)</f>
        <v>0</v>
      </c>
      <c r="BB363" t="b">
        <f>IF(metadata!Q363="",FALSE,TRUE)</f>
        <v>0</v>
      </c>
      <c r="BC363" t="b">
        <f>OR(AND(IF(metadata!R363="",FALSE,TRUE),OR(EXACT(metadata!R363,"missing: not collected"),EXACT(metadata!R363,"missing: not provided"),EXACT(metadata!R363,"missing: restricted access"))),AND(IF(metadata!R363="",FALSE,ISNUMBER(VALUE(metadata!R363))),metadata!R363&gt;=-90,metadata!R363&lt;=90))</f>
        <v>0</v>
      </c>
      <c r="BD363" t="b">
        <f>AND(IF(metadata!S363="",FALSE,TRUE),EXACT(metadata!S363,"Decimal degrees"))</f>
        <v>0</v>
      </c>
      <c r="BE363" t="b">
        <f>OR(AND(IF(metadata!T363="",FALSE,TRUE),OR(EXACT(metadata!T363,"missing: not collected"),EXACT(metadata!T363,"missing: not provided"),EXACT(metadata!T363,"missing: restricted access"))),AND(IF(metadata!T363="",FALSE,ISNUMBER(VALUE(metadata!T363))),metadata!T363&gt;=-180,metadata!T363&lt;=180))</f>
        <v>0</v>
      </c>
      <c r="BF363" t="b">
        <f>AND(IF(metadata!U363="",FALSE,TRUE),EXACT(metadata!U363,"Decimal degrees"))</f>
        <v>0</v>
      </c>
      <c r="BG363" t="b">
        <f>IF(metadata!V363="",FALSE,TRUE)</f>
        <v>0</v>
      </c>
      <c r="BH363" t="b">
        <f>OR(AND(IF(metadata!W363="",FALSE,TRUE),OR(EXACT(metadata!W363,"missing: not collected"),EXACT(metadata!W363,"missing: not provided"),EXACT(metadata!W363,"missing: restricted access"))),AND(IF(metadata!W363="",FALSE,TRUE),OR(EXACT(metadata!W363,"TRUE"),EXACT(metadata!W363,"FALSE"))))</f>
        <v>0</v>
      </c>
      <c r="BI363" t="b">
        <f>AND(IF(metadata!X363="",FALSE,TRUE),EXACT(metadata!X363,"other"))</f>
        <v>0</v>
      </c>
      <c r="BJ363" t="b">
        <f>IF(metadata!Y363="",FALSE,TRUE)</f>
        <v>0</v>
      </c>
      <c r="BK363" t="b">
        <f>OR(AND(IF(metadata!Z363="",FALSE,TRUE),OR(EXACT(metadata!Z363,"missing: not collected"),EXACT(metadata!Z363,"missing: not provided"))),AND(IF(metadata!Z363="",FALSE,IF(ISERROR(INT(metadata!Z363)),FALSE,INT(metadata!Z363)=metadata!Z363)),metadata!Z363&gt;0))</f>
        <v>0</v>
      </c>
      <c r="BL363" t="b">
        <f>AND(IF(metadata!AA363="",FALSE,TRUE),EXACT(metadata!AA363,"Not applicable"))</f>
        <v>0</v>
      </c>
      <c r="BM363" t="b">
        <f>IF(metadata!AB363="",FALSE,TRUE)</f>
        <v>0</v>
      </c>
    </row>
    <row r="364" spans="1:65" x14ac:dyDescent="0.2">
      <c r="A364" s="5" t="str">
        <f ca="1">IF(B364=" "," ",HYPERLINK(CONCATENATE("#metadata!",ADDRESS(INDEX($AH$2:$AH$1001,MATCH(ROWS($AF$2:AF364),$AF$2:$AF$1001,0),0),1)),INDEX($AK$2:$AK$1001,MATCH(ROWS($AF$2:AF364),$AF$2:$AF$1001,0),0)))</f>
        <v xml:space="preserve"> </v>
      </c>
      <c r="B364" s="4" t="str">
        <f ca="1">IF(OR(INDEX($AG$2:$AG$1001,MATCH(ROWS($AF$2:AF364),$AF$2:$AF$1001,0),1)&gt;=100000,INDEX($AM$1005:$BM$1005,1,MATCH(COLUMNS($AM$1006:AM1006),$AM$1006:$BM$1006,0))&gt;=100000), " ",IF(INDEX($AM$2:$BM$1001,MATCH(ROWS($AF$2:AF364),$AF$2:$AF$1001,0),MATCH(COLUMNS($AM$1006:AM1006),$AM$1006:$BM$1006,0)), HYPERLINK("#",""), HYPERLINK(CONCATENATE("#metadata!", ADDRESS(INDEX($AH$2:$AH$1001,MATCH(ROWS($AF$2:AF364),$AF$2:$AF$1001,0),0), INDEX($AM$1004:$BM$1004,1,MATCH(COLUMNS($AM$1006:AM1006),$AM$1006:$BM$1006,0)))),"Fix")))</f>
        <v xml:space="preserve"> </v>
      </c>
      <c r="C364" s="4" t="str">
        <f ca="1">IF(OR(INDEX($AG$2:$AG$1001,MATCH(ROWS($AF$2:AF364),$AF$2:$AF$1001,0),1)&gt;=100000,INDEX($AM$1005:$BM$1005,1,MATCH(COLUMNS($AM$1006:AN1006),$AM$1006:$BM$1006,0))&gt;=100000), " ",IF(INDEX($AM$2:$BM$1001,MATCH(ROWS($AF$2:AF364),$AF$2:$AF$1001,0),MATCH(COLUMNS($AM$1006:AN1006),$AM$1006:$BM$1006,0)), HYPERLINK("#",""), HYPERLINK(CONCATENATE("#metadata!", ADDRESS(INDEX($AH$2:$AH$1001,MATCH(ROWS($AF$2:AF364),$AF$2:$AF$1001,0),0), INDEX($AM$1004:$BM$1004,1,MATCH(COLUMNS($AM$1006:AN1006),$AM$1006:$BM$1006,0)))),"Fix")))</f>
        <v xml:space="preserve"> </v>
      </c>
      <c r="D364" s="4" t="str">
        <f ca="1">IF(OR(INDEX($AG$2:$AG$1001,MATCH(ROWS($AF$2:AF364),$AF$2:$AF$1001,0),1)&gt;=100000,INDEX($AM$1005:$BM$1005,1,MATCH(COLUMNS($AM$1006:AO1006),$AM$1006:$BM$1006,0))&gt;=100000), " ",IF(INDEX($AM$2:$BM$1001,MATCH(ROWS($AF$2:AF364),$AF$2:$AF$1001,0),MATCH(COLUMNS($AM$1006:AO1006),$AM$1006:$BM$1006,0)), HYPERLINK("#",""), HYPERLINK(CONCATENATE("#metadata!", ADDRESS(INDEX($AH$2:$AH$1001,MATCH(ROWS($AF$2:AF364),$AF$2:$AF$1001,0),0), INDEX($AM$1004:$BM$1004,1,MATCH(COLUMNS($AM$1006:AO1006),$AM$1006:$BM$1006,0)))),"Fix")))</f>
        <v xml:space="preserve"> </v>
      </c>
      <c r="E364" s="4" t="str">
        <f ca="1">IF(OR(INDEX($AG$2:$AG$1001,MATCH(ROWS($AF$2:AF364),$AF$2:$AF$1001,0),1)&gt;=100000,INDEX($AM$1005:$BM$1005,1,MATCH(COLUMNS($AM$1006:AP1006),$AM$1006:$BM$1006,0))&gt;=100000), " ",IF(INDEX($AM$2:$BM$1001,MATCH(ROWS($AF$2:AF364),$AF$2:$AF$1001,0),MATCH(COLUMNS($AM$1006:AP1006),$AM$1006:$BM$1006,0)), HYPERLINK("#",""), HYPERLINK(CONCATENATE("#metadata!", ADDRESS(INDEX($AH$2:$AH$1001,MATCH(ROWS($AF$2:AF364),$AF$2:$AF$1001,0),0), INDEX($AM$1004:$BM$1004,1,MATCH(COLUMNS($AM$1006:AP1006),$AM$1006:$BM$1006,0)))),"Fix")))</f>
        <v xml:space="preserve"> </v>
      </c>
      <c r="F364" s="4" t="str">
        <f ca="1">IF(OR(INDEX($AG$2:$AG$1001,MATCH(ROWS($AF$2:AF364),$AF$2:$AF$1001,0),1)&gt;=100000,INDEX($AM$1005:$BM$1005,1,MATCH(COLUMNS($AM$1006:AQ1006),$AM$1006:$BM$1006,0))&gt;=100000), " ",IF(INDEX($AM$2:$BM$1001,MATCH(ROWS($AF$2:AF364),$AF$2:$AF$1001,0),MATCH(COLUMNS($AM$1006:AQ1006),$AM$1006:$BM$1006,0)), HYPERLINK("#",""), HYPERLINK(CONCATENATE("#metadata!", ADDRESS(INDEX($AH$2:$AH$1001,MATCH(ROWS($AF$2:AF364),$AF$2:$AF$1001,0),0), INDEX($AM$1004:$BM$1004,1,MATCH(COLUMNS($AM$1006:AQ1006),$AM$1006:$BM$1006,0)))),"Fix")))</f>
        <v xml:space="preserve"> </v>
      </c>
      <c r="G364" s="4" t="str">
        <f ca="1">IF(OR(INDEX($AG$2:$AG$1001,MATCH(ROWS($AF$2:AF364),$AF$2:$AF$1001,0),1)&gt;=100000,INDEX($AM$1005:$BM$1005,1,MATCH(COLUMNS($AM$1006:AR1006),$AM$1006:$BM$1006,0))&gt;=100000), " ",IF(INDEX($AM$2:$BM$1001,MATCH(ROWS($AF$2:AF364),$AF$2:$AF$1001,0),MATCH(COLUMNS($AM$1006:AR1006),$AM$1006:$BM$1006,0)), HYPERLINK("#",""), HYPERLINK(CONCATENATE("#metadata!", ADDRESS(INDEX($AH$2:$AH$1001,MATCH(ROWS($AF$2:AF364),$AF$2:$AF$1001,0),0), INDEX($AM$1004:$BM$1004,1,MATCH(COLUMNS($AM$1006:AR1006),$AM$1006:$BM$1006,0)))),"Fix")))</f>
        <v xml:space="preserve"> </v>
      </c>
      <c r="H364" s="4" t="str">
        <f ca="1">IF(OR(INDEX($AG$2:$AG$1001,MATCH(ROWS($AF$2:AF364),$AF$2:$AF$1001,0),1)&gt;=100000,INDEX($AM$1005:$BM$1005,1,MATCH(COLUMNS($AM$1006:AS1006),$AM$1006:$BM$1006,0))&gt;=100000), " ",IF(INDEX($AM$2:$BM$1001,MATCH(ROWS($AF$2:AF364),$AF$2:$AF$1001,0),MATCH(COLUMNS($AM$1006:AS1006),$AM$1006:$BM$1006,0)), HYPERLINK("#",""), HYPERLINK(CONCATENATE("#metadata!", ADDRESS(INDEX($AH$2:$AH$1001,MATCH(ROWS($AF$2:AF364),$AF$2:$AF$1001,0),0), INDEX($AM$1004:$BM$1004,1,MATCH(COLUMNS($AM$1006:AS1006),$AM$1006:$BM$1006,0)))),"Fix")))</f>
        <v xml:space="preserve"> </v>
      </c>
      <c r="I364" s="4" t="str">
        <f ca="1">IF(OR(INDEX($AG$2:$AG$1001,MATCH(ROWS($AF$2:AF364),$AF$2:$AF$1001,0),1)&gt;=100000,INDEX($AM$1005:$BM$1005,1,MATCH(COLUMNS($AM$1006:AT1006),$AM$1006:$BM$1006,0))&gt;=100000), " ",IF(INDEX($AM$2:$BM$1001,MATCH(ROWS($AF$2:AF364),$AF$2:$AF$1001,0),MATCH(COLUMNS($AM$1006:AT1006),$AM$1006:$BM$1006,0)), HYPERLINK("#",""), HYPERLINK(CONCATENATE("#metadata!", ADDRESS(INDEX($AH$2:$AH$1001,MATCH(ROWS($AF$2:AF364),$AF$2:$AF$1001,0),0), INDEX($AM$1004:$BM$1004,1,MATCH(COLUMNS($AM$1006:AT1006),$AM$1006:$BM$1006,0)))),"Fix")))</f>
        <v xml:space="preserve"> </v>
      </c>
      <c r="J364" s="4" t="str">
        <f ca="1">IF(OR(INDEX($AG$2:$AG$1001,MATCH(ROWS($AF$2:AF364),$AF$2:$AF$1001,0),1)&gt;=100000,INDEX($AM$1005:$BM$1005,1,MATCH(COLUMNS($AM$1006:AU1006),$AM$1006:$BM$1006,0))&gt;=100000), " ",IF(INDEX($AM$2:$BM$1001,MATCH(ROWS($AF$2:AF364),$AF$2:$AF$1001,0),MATCH(COLUMNS($AM$1006:AU1006),$AM$1006:$BM$1006,0)), HYPERLINK("#",""), HYPERLINK(CONCATENATE("#metadata!", ADDRESS(INDEX($AH$2:$AH$1001,MATCH(ROWS($AF$2:AF364),$AF$2:$AF$1001,0),0), INDEX($AM$1004:$BM$1004,1,MATCH(COLUMNS($AM$1006:AU1006),$AM$1006:$BM$1006,0)))),"Fix")))</f>
        <v xml:space="preserve"> </v>
      </c>
      <c r="K364" s="4" t="str">
        <f ca="1">IF(OR(INDEX($AG$2:$AG$1001,MATCH(ROWS($AF$2:AF364),$AF$2:$AF$1001,0),1)&gt;=100000,INDEX($AM$1005:$BM$1005,1,MATCH(COLUMNS($AM$1006:AV1006),$AM$1006:$BM$1006,0))&gt;=100000), " ",IF(INDEX($AM$2:$BM$1001,MATCH(ROWS($AF$2:AF364),$AF$2:$AF$1001,0),MATCH(COLUMNS($AM$1006:AV1006),$AM$1006:$BM$1006,0)), HYPERLINK("#",""), HYPERLINK(CONCATENATE("#metadata!", ADDRESS(INDEX($AH$2:$AH$1001,MATCH(ROWS($AF$2:AF364),$AF$2:$AF$1001,0),0), INDEX($AM$1004:$BM$1004,1,MATCH(COLUMNS($AM$1006:AV1006),$AM$1006:$BM$1006,0)))),"Fix")))</f>
        <v xml:space="preserve"> </v>
      </c>
      <c r="L364" s="4" t="str">
        <f ca="1">IF(OR(INDEX($AG$2:$AG$1001,MATCH(ROWS($AF$2:AF364),$AF$2:$AF$1001,0),1)&gt;=100000,INDEX($AM$1005:$BM$1005,1,MATCH(COLUMNS($AM$1006:AW1006),$AM$1006:$BM$1006,0))&gt;=100000), " ",IF(INDEX($AM$2:$BM$1001,MATCH(ROWS($AF$2:AF364),$AF$2:$AF$1001,0),MATCH(COLUMNS($AM$1006:AW1006),$AM$1006:$BM$1006,0)), HYPERLINK("#",""), HYPERLINK(CONCATENATE("#metadata!", ADDRESS(INDEX($AH$2:$AH$1001,MATCH(ROWS($AF$2:AF364),$AF$2:$AF$1001,0),0), INDEX($AM$1004:$BM$1004,1,MATCH(COLUMNS($AM$1006:AW1006),$AM$1006:$BM$1006,0)))),"Fix")))</f>
        <v xml:space="preserve"> </v>
      </c>
      <c r="M364" s="4" t="str">
        <f ca="1">IF(OR(INDEX($AG$2:$AG$1001,MATCH(ROWS($AF$2:AF364),$AF$2:$AF$1001,0),1)&gt;=100000,INDEX($AM$1005:$BM$1005,1,MATCH(COLUMNS($AM$1006:AX1006),$AM$1006:$BM$1006,0))&gt;=100000), " ",IF(INDEX($AM$2:$BM$1001,MATCH(ROWS($AF$2:AF364),$AF$2:$AF$1001,0),MATCH(COLUMNS($AM$1006:AX1006),$AM$1006:$BM$1006,0)), HYPERLINK("#",""), HYPERLINK(CONCATENATE("#metadata!", ADDRESS(INDEX($AH$2:$AH$1001,MATCH(ROWS($AF$2:AF364),$AF$2:$AF$1001,0),0), INDEX($AM$1004:$BM$1004,1,MATCH(COLUMNS($AM$1006:AX1006),$AM$1006:$BM$1006,0)))),"Fix")))</f>
        <v xml:space="preserve"> </v>
      </c>
      <c r="N364" s="4" t="str">
        <f ca="1">IF(OR(INDEX($AG$2:$AG$1001,MATCH(ROWS($AF$2:AF364),$AF$2:$AF$1001,0),1)&gt;=100000,INDEX($AM$1005:$BM$1005,1,MATCH(COLUMNS($AM$1006:AY1006),$AM$1006:$BM$1006,0))&gt;=100000), " ",IF(INDEX($AM$2:$BM$1001,MATCH(ROWS($AF$2:AF364),$AF$2:$AF$1001,0),MATCH(COLUMNS($AM$1006:AY1006),$AM$1006:$BM$1006,0)), HYPERLINK("#",""), HYPERLINK(CONCATENATE("#metadata!", ADDRESS(INDEX($AH$2:$AH$1001,MATCH(ROWS($AF$2:AF364),$AF$2:$AF$1001,0),0), INDEX($AM$1004:$BM$1004,1,MATCH(COLUMNS($AM$1006:AY1006),$AM$1006:$BM$1006,0)))),"Fix")))</f>
        <v xml:space="preserve"> </v>
      </c>
      <c r="O364" s="4" t="str">
        <f ca="1">IF(OR(INDEX($AG$2:$AG$1001,MATCH(ROWS($AF$2:AF364),$AF$2:$AF$1001,0),1)&gt;=100000,INDEX($AM$1005:$BM$1005,1,MATCH(COLUMNS($AM$1006:AZ1006),$AM$1006:$BM$1006,0))&gt;=100000), " ",IF(INDEX($AM$2:$BM$1001,MATCH(ROWS($AF$2:AF364),$AF$2:$AF$1001,0),MATCH(COLUMNS($AM$1006:AZ1006),$AM$1006:$BM$1006,0)), HYPERLINK("#",""), HYPERLINK(CONCATENATE("#metadata!", ADDRESS(INDEX($AH$2:$AH$1001,MATCH(ROWS($AF$2:AF364),$AF$2:$AF$1001,0),0), INDEX($AM$1004:$BM$1004,1,MATCH(COLUMNS($AM$1006:AZ1006),$AM$1006:$BM$1006,0)))),"Fix")))</f>
        <v xml:space="preserve"> </v>
      </c>
      <c r="P364" s="4" t="str">
        <f ca="1">IF(OR(INDEX($AG$2:$AG$1001,MATCH(ROWS($AF$2:AF364),$AF$2:$AF$1001,0),1)&gt;=100000,INDEX($AM$1005:$BM$1005,1,MATCH(COLUMNS($AM$1006:BA1006),$AM$1006:$BM$1006,0))&gt;=100000), " ",IF(INDEX($AM$2:$BM$1001,MATCH(ROWS($AF$2:AF364),$AF$2:$AF$1001,0),MATCH(COLUMNS($AM$1006:BA1006),$AM$1006:$BM$1006,0)), HYPERLINK("#",""), HYPERLINK(CONCATENATE("#metadata!", ADDRESS(INDEX($AH$2:$AH$1001,MATCH(ROWS($AF$2:AF364),$AF$2:$AF$1001,0),0), INDEX($AM$1004:$BM$1004,1,MATCH(COLUMNS($AM$1006:BA1006),$AM$1006:$BM$1006,0)))),"Fix")))</f>
        <v xml:space="preserve"> </v>
      </c>
      <c r="Q364" s="4" t="str">
        <f ca="1">IF(OR(INDEX($AG$2:$AG$1001,MATCH(ROWS($AF$2:AF364),$AF$2:$AF$1001,0),1)&gt;=100000,INDEX($AM$1005:$BM$1005,1,MATCH(COLUMNS($AM$1006:BB1006),$AM$1006:$BM$1006,0))&gt;=100000), " ",IF(INDEX($AM$2:$BM$1001,MATCH(ROWS($AF$2:AF364),$AF$2:$AF$1001,0),MATCH(COLUMNS($AM$1006:BB1006),$AM$1006:$BM$1006,0)), HYPERLINK("#",""), HYPERLINK(CONCATENATE("#metadata!", ADDRESS(INDEX($AH$2:$AH$1001,MATCH(ROWS($AF$2:AF364),$AF$2:$AF$1001,0),0), INDEX($AM$1004:$BM$1004,1,MATCH(COLUMNS($AM$1006:BB1006),$AM$1006:$BM$1006,0)))),"Fix")))</f>
        <v xml:space="preserve"> </v>
      </c>
      <c r="R364" s="4" t="str">
        <f ca="1">IF(OR(INDEX($AG$2:$AG$1001,MATCH(ROWS($AF$2:AF364),$AF$2:$AF$1001,0),1)&gt;=100000,INDEX($AM$1005:$BM$1005,1,MATCH(COLUMNS($AM$1006:BC1006),$AM$1006:$BM$1006,0))&gt;=100000), " ",IF(INDEX($AM$2:$BM$1001,MATCH(ROWS($AF$2:AF364),$AF$2:$AF$1001,0),MATCH(COLUMNS($AM$1006:BC1006),$AM$1006:$BM$1006,0)), HYPERLINK("#",""), HYPERLINK(CONCATENATE("#metadata!", ADDRESS(INDEX($AH$2:$AH$1001,MATCH(ROWS($AF$2:AF364),$AF$2:$AF$1001,0),0), INDEX($AM$1004:$BM$1004,1,MATCH(COLUMNS($AM$1006:BC1006),$AM$1006:$BM$1006,0)))),"Fix")))</f>
        <v xml:space="preserve"> </v>
      </c>
      <c r="S364" s="4" t="str">
        <f ca="1">IF(OR(INDEX($AG$2:$AG$1001,MATCH(ROWS($AF$2:AF364),$AF$2:$AF$1001,0),1)&gt;=100000,INDEX($AM$1005:$BM$1005,1,MATCH(COLUMNS($AM$1006:BD1006),$AM$1006:$BM$1006,0))&gt;=100000), " ",IF(INDEX($AM$2:$BM$1001,MATCH(ROWS($AF$2:AF364),$AF$2:$AF$1001,0),MATCH(COLUMNS($AM$1006:BD1006),$AM$1006:$BM$1006,0)), HYPERLINK("#",""), HYPERLINK(CONCATENATE("#metadata!", ADDRESS(INDEX($AH$2:$AH$1001,MATCH(ROWS($AF$2:AF364),$AF$2:$AF$1001,0),0), INDEX($AM$1004:$BM$1004,1,MATCH(COLUMNS($AM$1006:BD1006),$AM$1006:$BM$1006,0)))),"Fix")))</f>
        <v xml:space="preserve"> </v>
      </c>
      <c r="T364" s="4" t="str">
        <f ca="1">IF(OR(INDEX($AG$2:$AG$1001,MATCH(ROWS($AF$2:AF364),$AF$2:$AF$1001,0),1)&gt;=100000,INDEX($AM$1005:$BM$1005,1,MATCH(COLUMNS($AM$1006:BE1006),$AM$1006:$BM$1006,0))&gt;=100000), " ",IF(INDEX($AM$2:$BM$1001,MATCH(ROWS($AF$2:AF364),$AF$2:$AF$1001,0),MATCH(COLUMNS($AM$1006:BE1006),$AM$1006:$BM$1006,0)), HYPERLINK("#",""), HYPERLINK(CONCATENATE("#metadata!", ADDRESS(INDEX($AH$2:$AH$1001,MATCH(ROWS($AF$2:AF364),$AF$2:$AF$1001,0),0), INDEX($AM$1004:$BM$1004,1,MATCH(COLUMNS($AM$1006:BE1006),$AM$1006:$BM$1006,0)))),"Fix")))</f>
        <v xml:space="preserve"> </v>
      </c>
      <c r="U364" s="4" t="str">
        <f ca="1">IF(OR(INDEX($AG$2:$AG$1001,MATCH(ROWS($AF$2:AF364),$AF$2:$AF$1001,0),1)&gt;=100000,INDEX($AM$1005:$BM$1005,1,MATCH(COLUMNS($AM$1006:BF1006),$AM$1006:$BM$1006,0))&gt;=100000), " ",IF(INDEX($AM$2:$BM$1001,MATCH(ROWS($AF$2:AF364),$AF$2:$AF$1001,0),MATCH(COLUMNS($AM$1006:BF1006),$AM$1006:$BM$1006,0)), HYPERLINK("#",""), HYPERLINK(CONCATENATE("#metadata!", ADDRESS(INDEX($AH$2:$AH$1001,MATCH(ROWS($AF$2:AF364),$AF$2:$AF$1001,0),0), INDEX($AM$1004:$BM$1004,1,MATCH(COLUMNS($AM$1006:BF1006),$AM$1006:$BM$1006,0)))),"Fix")))</f>
        <v xml:space="preserve"> </v>
      </c>
      <c r="V364" s="4" t="str">
        <f ca="1">IF(OR(INDEX($AG$2:$AG$1001,MATCH(ROWS($AF$2:AF364),$AF$2:$AF$1001,0),1)&gt;=100000,INDEX($AM$1005:$BM$1005,1,MATCH(COLUMNS($AM$1006:BG1006),$AM$1006:$BM$1006,0))&gt;=100000), " ",IF(INDEX($AM$2:$BM$1001,MATCH(ROWS($AF$2:AF364),$AF$2:$AF$1001,0),MATCH(COLUMNS($AM$1006:BG1006),$AM$1006:$BM$1006,0)), HYPERLINK("#",""), HYPERLINK(CONCATENATE("#metadata!", ADDRESS(INDEX($AH$2:$AH$1001,MATCH(ROWS($AF$2:AF364),$AF$2:$AF$1001,0),0), INDEX($AM$1004:$BM$1004,1,MATCH(COLUMNS($AM$1006:BG1006),$AM$1006:$BM$1006,0)))),"Fix")))</f>
        <v xml:space="preserve"> </v>
      </c>
      <c r="W364" s="4" t="str">
        <f ca="1">IF(OR(INDEX($AG$2:$AG$1001,MATCH(ROWS($AF$2:AF364),$AF$2:$AF$1001,0),1)&gt;=100000,INDEX($AM$1005:$BM$1005,1,MATCH(COLUMNS($AM$1006:BH1006),$AM$1006:$BM$1006,0))&gt;=100000), " ",IF(INDEX($AM$2:$BM$1001,MATCH(ROWS($AF$2:AF364),$AF$2:$AF$1001,0),MATCH(COLUMNS($AM$1006:BH1006),$AM$1006:$BM$1006,0)), HYPERLINK("#",""), HYPERLINK(CONCATENATE("#metadata!", ADDRESS(INDEX($AH$2:$AH$1001,MATCH(ROWS($AF$2:AF364),$AF$2:$AF$1001,0),0), INDEX($AM$1004:$BM$1004,1,MATCH(COLUMNS($AM$1006:BH1006),$AM$1006:$BM$1006,0)))),"Fix")))</f>
        <v xml:space="preserve"> </v>
      </c>
      <c r="X364" s="4" t="str">
        <f ca="1">IF(OR(INDEX($AG$2:$AG$1001,MATCH(ROWS($AF$2:AF364),$AF$2:$AF$1001,0),1)&gt;=100000,INDEX($AM$1005:$BM$1005,1,MATCH(COLUMNS($AM$1006:BI1006),$AM$1006:$BM$1006,0))&gt;=100000), " ",IF(INDEX($AM$2:$BM$1001,MATCH(ROWS($AF$2:AF364),$AF$2:$AF$1001,0),MATCH(COLUMNS($AM$1006:BI1006),$AM$1006:$BM$1006,0)), HYPERLINK("#",""), HYPERLINK(CONCATENATE("#metadata!", ADDRESS(INDEX($AH$2:$AH$1001,MATCH(ROWS($AF$2:AF364),$AF$2:$AF$1001,0),0), INDEX($AM$1004:$BM$1004,1,MATCH(COLUMNS($AM$1006:BI1006),$AM$1006:$BM$1006,0)))),"Fix")))</f>
        <v xml:space="preserve"> </v>
      </c>
      <c r="Y364" s="4" t="str">
        <f ca="1">IF(OR(INDEX($AG$2:$AG$1001,MATCH(ROWS($AF$2:AF364),$AF$2:$AF$1001,0),1)&gt;=100000,INDEX($AM$1005:$BM$1005,1,MATCH(COLUMNS($AM$1006:BJ1006),$AM$1006:$BM$1006,0))&gt;=100000), " ",IF(INDEX($AM$2:$BM$1001,MATCH(ROWS($AF$2:AF364),$AF$2:$AF$1001,0),MATCH(COLUMNS($AM$1006:BJ1006),$AM$1006:$BM$1006,0)), HYPERLINK("#",""), HYPERLINK(CONCATENATE("#metadata!", ADDRESS(INDEX($AH$2:$AH$1001,MATCH(ROWS($AF$2:AF364),$AF$2:$AF$1001,0),0), INDEX($AM$1004:$BM$1004,1,MATCH(COLUMNS($AM$1006:BJ1006),$AM$1006:$BM$1006,0)))),"Fix")))</f>
        <v xml:space="preserve"> </v>
      </c>
      <c r="Z364" s="4" t="str">
        <f ca="1">IF(OR(INDEX($AG$2:$AG$1001,MATCH(ROWS($AF$2:AF364),$AF$2:$AF$1001,0),1)&gt;=100000,INDEX($AM$1005:$BM$1005,1,MATCH(COLUMNS($AM$1006:BK1006),$AM$1006:$BM$1006,0))&gt;=100000), " ",IF(INDEX($AM$2:$BM$1001,MATCH(ROWS($AF$2:AF364),$AF$2:$AF$1001,0),MATCH(COLUMNS($AM$1006:BK1006),$AM$1006:$BM$1006,0)), HYPERLINK("#",""), HYPERLINK(CONCATENATE("#metadata!", ADDRESS(INDEX($AH$2:$AH$1001,MATCH(ROWS($AF$2:AF364),$AF$2:$AF$1001,0),0), INDEX($AM$1004:$BM$1004,1,MATCH(COLUMNS($AM$1006:BK1006),$AM$1006:$BM$1006,0)))),"Fix")))</f>
        <v xml:space="preserve"> </v>
      </c>
      <c r="AA364" s="4" t="str">
        <f ca="1">IF(OR(INDEX($AG$2:$AG$1001,MATCH(ROWS($AF$2:AF364),$AF$2:$AF$1001,0),1)&gt;=100000,INDEX($AM$1005:$BM$1005,1,MATCH(COLUMNS($AM$1006:BL1006),$AM$1006:$BM$1006,0))&gt;=100000), " ",IF(INDEX($AM$2:$BM$1001,MATCH(ROWS($AF$2:AF364),$AF$2:$AF$1001,0),MATCH(COLUMNS($AM$1006:BL1006),$AM$1006:$BM$1006,0)), HYPERLINK("#",""), HYPERLINK(CONCATENATE("#metadata!", ADDRESS(INDEX($AH$2:$AH$1001,MATCH(ROWS($AF$2:AF364),$AF$2:$AF$1001,0),0), INDEX($AM$1004:$BM$1004,1,MATCH(COLUMNS($AM$1006:BL1006),$AM$1006:$BM$1006,0)))),"Fix")))</f>
        <v xml:space="preserve"> </v>
      </c>
      <c r="AB364" s="4" t="str">
        <f ca="1">IF(OR(INDEX($AG$2:$AG$1001,MATCH(ROWS($AF$2:AF364),$AF$2:$AF$1001,0),1)&gt;=100000,INDEX($AM$1005:$BM$1005,1,MATCH(COLUMNS($AM$1006:BM1006),$AM$1006:$BM$1006,0))&gt;=100000), " ",IF(INDEX($AM$2:$BM$1001,MATCH(ROWS($AF$2:AF364),$AF$2:$AF$1001,0),MATCH(COLUMNS($AM$1006:BM1006),$AM$1006:$BM$1006,0)), HYPERLINK("#",""), HYPERLINK(CONCATENATE("#metadata!", ADDRESS(INDEX($AH$2:$AH$1001,MATCH(ROWS($AF$2:AF364),$AF$2:$AF$1001,0),0), INDEX($AM$1004:$BM$1004,1,MATCH(COLUMNS($AM$1006:BM1006),$AM$1006:$BM$1006,0)))),"Fix")))</f>
        <v xml:space="preserve"> </v>
      </c>
      <c r="AF364">
        <v>363</v>
      </c>
      <c r="AG364">
        <v>100364</v>
      </c>
      <c r="AH364">
        <v>364</v>
      </c>
      <c r="AI364" t="b">
        <f t="shared" si="5"/>
        <v>1</v>
      </c>
      <c r="AJ364" t="b">
        <f>COUNTBLANK(metadata!B364:AB364)=COLUMNS(metadata!B364:AB364)</f>
        <v>1</v>
      </c>
      <c r="AK364" t="str">
        <v/>
      </c>
      <c r="AM364" t="b">
        <f ca="1">AND(IF(metadata!B364="",FALSE,TRUE),COUNTIF(metadata!B:B, metadata!B364) = 1,NOT(ISERROR(SUMPRODUCT(SEARCH(MID(metadata!B364,ROW(INDIRECT("1:"&amp;LEN(metadata!B364))), 1),"0123456789abcdefghijklmnopqrstuvwxyzABCDEFGHIJKLMNOPQRSTUVWXYZ.")))))</f>
        <v>0</v>
      </c>
      <c r="AN364" t="b">
        <f ca="1">OR(AND(IF(metadata!C364="",FALSE,TRUE),OR(EXACT(metadata!C364,"missing: not collected"),EXACT(metadata!C364,"missing: not provided"),EXACT(metadata!C364,"missing: restricted access"))),AND(IF(metadata!C364="",FALSE,TRUE),AND(AND(IFERROR(INT(LEFT(metadata!C364,4))&gt;1900,FALSE),IFERROR(INT(LEFT(metadata!C364,4))&lt;=YEAR(NOW()),FALSE)), OR(MID(metadata!C364,5,1)="", AND(AND(MID(metadata!C364,5,1)="-",IFERROR(INT(MID(metadata!C364,6,1))&gt;=0,FALSE),IFERROR(INT(MID(metadata!C364,6,1))&lt;=1,FALSE),NOT(MID(metadata!C364,7,1)=""),IFERROR(INT(MID(metadata!C364,6,2))&gt;=1,FALSE),IFERROR(INT(MID(metadata!C364,6,2))&lt;=12,FALSE)), OR(MID(metadata!C364,8,1)="", AND(AND(MID(metadata!C364,8,1)="-",IFERROR(INT(MID(metadata!C364,9,1))&gt;=0,FALSE),IFERROR(INT(MID(metadata!C364,9,1))&lt;=3,FALSE),NOT(MID(metadata!C364,10,1)=""),IFERROR(INT(MID(metadata!C364,9,2))&gt;=1,FALSE),IFERROR(INT(MID(metadata!C364,9,2))&lt;=31,FALSE)), OR(MID(metadata!C364,11,1)="", AND(AND(MID(metadata!C364,11,1)=" ",IFERROR(INT(MID(metadata!C364,12,1))&gt;=0,FALSE),IFERROR(INT(MID(metadata!C364,12,1))&lt;=2,FALSE),NOT(MID(metadata!C364,13,1)=""),IFERROR(INT(MID(metadata!C364,12,2))&gt;=0,FALSE),IFERROR(INT(MID(metadata!C364,12,2))&lt;=23,FALSE)), OR(MID(metadata!C364,14,1)="", AND(AND(MID(metadata!C364,14,1)=":",IFERROR(INT(MID(metadata!C364,15,1))&gt;=0,FALSE),IFERROR(INT(MID(metadata!C364,15,1))&lt;=5,FALSE),NOT(MID(metadata!C364,16,1)=""),IFERROR(INT(MID(metadata!C364,15,2))&gt;=0,FALSE),IFERROR(INT(MID(metadata!C364,15,2))&lt;=59,FALSE)), OR(MID(metadata!C364,17,1)="", AND(AND(MID(metadata!C364,17,1)=":",IFERROR(INT(MID(metadata!C364,18,1))&gt;=0,FALSE),IFERROR(INT(MID(metadata!C364,18,1))&lt;=5,FALSE),NOT(MID(metadata!C364,19,1)=""),IFERROR(INT(MID(metadata!C364,18,2))&gt;=0,FALSE),IFERROR(INT(MID(metadata!C364,18,2))&lt;=59,FALSE)), LEN(metadata!C364)&lt;=19)))))))))))))</f>
        <v>0</v>
      </c>
      <c r="AO364" t="b">
        <f>AND(IF(metadata!D364="",FALSE,TRUE),EXACT(metadata!D364,"Not applicable"))</f>
        <v>0</v>
      </c>
      <c r="AP364" t="b">
        <f>IF(metadata!E364="",FALSE,TRUE)</f>
        <v>0</v>
      </c>
      <c r="AQ364" t="b">
        <f>OR(AND(IF(metadata!F364="",FALSE,TRUE),OR(EXACT(metadata!F364,"missing: not collected"),EXACT(metadata!F364,"missing: not provided"))),AND(IF(metadata!F364="",FALSE,TRUE),OR(EXACT(metadata!F364,"TRUE"),EXACT(metadata!F364,"FALSE"))))</f>
        <v>0</v>
      </c>
      <c r="AR364" t="b">
        <f>OR(AND(IF(metadata!G364="",FALSE,TRUE),OR(EXACT(metadata!G364,"missing: not collected"),EXACT(metadata!G364,"missing: not provided"),EXACT(metadata!G364,"missing: restricted access"))),AND(IF(metadata!G364="",FALSE,ISNUMBER(VALUE(metadata!G364))),metadata!G364&gt;=-413))</f>
        <v>0</v>
      </c>
      <c r="AS364" t="b">
        <f>AND(IF(metadata!H364="",FALSE,TRUE),EXACT(metadata!H364,"meters"))</f>
        <v>0</v>
      </c>
      <c r="AT364" t="b">
        <f>AND(IF(metadata!I364="",FALSE,TRUE),OR(EXACT(metadata!I364,"Host-associated"),EXACT(metadata!I364,"Free-living")))</f>
        <v>0</v>
      </c>
      <c r="AU364" t="b">
        <f>AND(IF(metadata!J364="",FALSE,TRUE),OR(EXACT(metadata!J364,"Animal"),EXACT(metadata!J364,"Fungus"),EXACT(metadata!J364,"Plant"),EXACT(metadata!J364,"Saline"),EXACT(metadata!J364,"Non-saline")))</f>
        <v>0</v>
      </c>
      <c r="AV364" t="b">
        <f>AND(IF(metadata!K364="",FALSE,TRUE),OR(EXACT(metadata!K364,"Plant secretion"),EXACT(metadata!K364,"Plant rhizosphere"),EXACT(metadata!K364,"Plant surface"),EXACT(metadata!K364,"Plant corpus"),EXACT(metadata!K364,"Fungus surface"),EXACT(metadata!K364,"Fungus corpus"),EXACT(metadata!K364,"Animal surface"),EXACT(metadata!K364,"Animal proximal gut"),EXACT(metadata!K364,"Animal corpus"),EXACT(metadata!K364,"Animal distal gut"),EXACT(metadata!K364,"Animal secretion"),EXACT(metadata!K364,"Sub-surface (non-saline)"),EXACT(metadata!K364,"Surface (non-saline)"),EXACT(metadata!K364,"Water (non-saline)"),EXACT(metadata!K364,"Soil (non-saline)"),EXACT(metadata!K364,"Aerosol (non-saline)"),EXACT(metadata!K364,"Sediment (non-saline)"),EXACT(metadata!K364,"Surface (saline)"),EXACT(metadata!K364,"Water (saline)"),EXACT(metadata!K364,"Hypersaline (saline)"),EXACT(metadata!K364,"Aerosol (saline)"),EXACT(metadata!K364,"Sediment (saline)")))</f>
        <v>0</v>
      </c>
      <c r="AW364" t="b">
        <f>IF(metadata!L364="",FALSE,TRUE)</f>
        <v>0</v>
      </c>
      <c r="AX364" t="b">
        <f>IF(metadata!M364="",FALSE,TRUE)</f>
        <v>0</v>
      </c>
      <c r="AY364" t="b">
        <f>IF(metadata!N364="",FALSE,TRUE)</f>
        <v>0</v>
      </c>
      <c r="AZ364" t="b">
        <f>OR(AND(IF(metadata!O364="",FALSE,TRUE),OR(EXACT(metadata!O364,"missing: not collected"),EXACT(metadata!O364,"missing: not provided"),EXACT(metadata!O364,"missing: restricted access"))),AND(IF(metadata!O364="",FALSE,TRUE),OR(EXACT(metadata!O364,"air"),EXACT(metadata!O364,"built environment"),EXACT(metadata!O364,"host-associated"),EXACT(metadata!O364,"human-associated"),EXACT(metadata!O364,"human-skin"),EXACT(metadata!O364,"human-oral"),EXACT(metadata!O364,"human-gut"),EXACT(metadata!O364,"human-vaginal"),EXACT(metadata!O364,"microbial mat/biofilm"),EXACT(metadata!O364,"misc environment"),EXACT(metadata!O364,"plant-associated"),EXACT(metadata!O364,"sediment"),EXACT(metadata!O364,"soil"),EXACT(metadata!O364,"wastewater/sludge"),EXACT(metadata!O364,"water"))))</f>
        <v>0</v>
      </c>
      <c r="BA364" t="b">
        <f>IF(metadata!P364="",FALSE,TRUE)</f>
        <v>0</v>
      </c>
      <c r="BB364" t="b">
        <f>IF(metadata!Q364="",FALSE,TRUE)</f>
        <v>0</v>
      </c>
      <c r="BC364" t="b">
        <f>OR(AND(IF(metadata!R364="",FALSE,TRUE),OR(EXACT(metadata!R364,"missing: not collected"),EXACT(metadata!R364,"missing: not provided"),EXACT(metadata!R364,"missing: restricted access"))),AND(IF(metadata!R364="",FALSE,ISNUMBER(VALUE(metadata!R364))),metadata!R364&gt;=-90,metadata!R364&lt;=90))</f>
        <v>0</v>
      </c>
      <c r="BD364" t="b">
        <f>AND(IF(metadata!S364="",FALSE,TRUE),EXACT(metadata!S364,"Decimal degrees"))</f>
        <v>0</v>
      </c>
      <c r="BE364" t="b">
        <f>OR(AND(IF(metadata!T364="",FALSE,TRUE),OR(EXACT(metadata!T364,"missing: not collected"),EXACT(metadata!T364,"missing: not provided"),EXACT(metadata!T364,"missing: restricted access"))),AND(IF(metadata!T364="",FALSE,ISNUMBER(VALUE(metadata!T364))),metadata!T364&gt;=-180,metadata!T364&lt;=180))</f>
        <v>0</v>
      </c>
      <c r="BF364" t="b">
        <f>AND(IF(metadata!U364="",FALSE,TRUE),EXACT(metadata!U364,"Decimal degrees"))</f>
        <v>0</v>
      </c>
      <c r="BG364" t="b">
        <f>IF(metadata!V364="",FALSE,TRUE)</f>
        <v>0</v>
      </c>
      <c r="BH364" t="b">
        <f>OR(AND(IF(metadata!W364="",FALSE,TRUE),OR(EXACT(metadata!W364,"missing: not collected"),EXACT(metadata!W364,"missing: not provided"),EXACT(metadata!W364,"missing: restricted access"))),AND(IF(metadata!W364="",FALSE,TRUE),OR(EXACT(metadata!W364,"TRUE"),EXACT(metadata!W364,"FALSE"))))</f>
        <v>0</v>
      </c>
      <c r="BI364" t="b">
        <f>AND(IF(metadata!X364="",FALSE,TRUE),EXACT(metadata!X364,"other"))</f>
        <v>0</v>
      </c>
      <c r="BJ364" t="b">
        <f>IF(metadata!Y364="",FALSE,TRUE)</f>
        <v>0</v>
      </c>
      <c r="BK364" t="b">
        <f>OR(AND(IF(metadata!Z364="",FALSE,TRUE),OR(EXACT(metadata!Z364,"missing: not collected"),EXACT(metadata!Z364,"missing: not provided"))),AND(IF(metadata!Z364="",FALSE,IF(ISERROR(INT(metadata!Z364)),FALSE,INT(metadata!Z364)=metadata!Z364)),metadata!Z364&gt;0))</f>
        <v>0</v>
      </c>
      <c r="BL364" t="b">
        <f>AND(IF(metadata!AA364="",FALSE,TRUE),EXACT(metadata!AA364,"Not applicable"))</f>
        <v>0</v>
      </c>
      <c r="BM364" t="b">
        <f>IF(metadata!AB364="",FALSE,TRUE)</f>
        <v>0</v>
      </c>
    </row>
    <row r="365" spans="1:65" x14ac:dyDescent="0.2">
      <c r="A365" s="5" t="str">
        <f ca="1">IF(B365=" "," ",HYPERLINK(CONCATENATE("#metadata!",ADDRESS(INDEX($AH$2:$AH$1001,MATCH(ROWS($AF$2:AF365),$AF$2:$AF$1001,0),0),1)),INDEX($AK$2:$AK$1001,MATCH(ROWS($AF$2:AF365),$AF$2:$AF$1001,0),0)))</f>
        <v xml:space="preserve"> </v>
      </c>
      <c r="B365" s="4" t="str">
        <f ca="1">IF(OR(INDEX($AG$2:$AG$1001,MATCH(ROWS($AF$2:AF365),$AF$2:$AF$1001,0),1)&gt;=100000,INDEX($AM$1005:$BM$1005,1,MATCH(COLUMNS($AM$1006:AM1006),$AM$1006:$BM$1006,0))&gt;=100000), " ",IF(INDEX($AM$2:$BM$1001,MATCH(ROWS($AF$2:AF365),$AF$2:$AF$1001,0),MATCH(COLUMNS($AM$1006:AM1006),$AM$1006:$BM$1006,0)), HYPERLINK("#",""), HYPERLINK(CONCATENATE("#metadata!", ADDRESS(INDEX($AH$2:$AH$1001,MATCH(ROWS($AF$2:AF365),$AF$2:$AF$1001,0),0), INDEX($AM$1004:$BM$1004,1,MATCH(COLUMNS($AM$1006:AM1006),$AM$1006:$BM$1006,0)))),"Fix")))</f>
        <v xml:space="preserve"> </v>
      </c>
      <c r="C365" s="4" t="str">
        <f ca="1">IF(OR(INDEX($AG$2:$AG$1001,MATCH(ROWS($AF$2:AF365),$AF$2:$AF$1001,0),1)&gt;=100000,INDEX($AM$1005:$BM$1005,1,MATCH(COLUMNS($AM$1006:AN1006),$AM$1006:$BM$1006,0))&gt;=100000), " ",IF(INDEX($AM$2:$BM$1001,MATCH(ROWS($AF$2:AF365),$AF$2:$AF$1001,0),MATCH(COLUMNS($AM$1006:AN1006),$AM$1006:$BM$1006,0)), HYPERLINK("#",""), HYPERLINK(CONCATENATE("#metadata!", ADDRESS(INDEX($AH$2:$AH$1001,MATCH(ROWS($AF$2:AF365),$AF$2:$AF$1001,0),0), INDEX($AM$1004:$BM$1004,1,MATCH(COLUMNS($AM$1006:AN1006),$AM$1006:$BM$1006,0)))),"Fix")))</f>
        <v xml:space="preserve"> </v>
      </c>
      <c r="D365" s="4" t="str">
        <f ca="1">IF(OR(INDEX($AG$2:$AG$1001,MATCH(ROWS($AF$2:AF365),$AF$2:$AF$1001,0),1)&gt;=100000,INDEX($AM$1005:$BM$1005,1,MATCH(COLUMNS($AM$1006:AO1006),$AM$1006:$BM$1006,0))&gt;=100000), " ",IF(INDEX($AM$2:$BM$1001,MATCH(ROWS($AF$2:AF365),$AF$2:$AF$1001,0),MATCH(COLUMNS($AM$1006:AO1006),$AM$1006:$BM$1006,0)), HYPERLINK("#",""), HYPERLINK(CONCATENATE("#metadata!", ADDRESS(INDEX($AH$2:$AH$1001,MATCH(ROWS($AF$2:AF365),$AF$2:$AF$1001,0),0), INDEX($AM$1004:$BM$1004,1,MATCH(COLUMNS($AM$1006:AO1006),$AM$1006:$BM$1006,0)))),"Fix")))</f>
        <v xml:space="preserve"> </v>
      </c>
      <c r="E365" s="4" t="str">
        <f ca="1">IF(OR(INDEX($AG$2:$AG$1001,MATCH(ROWS($AF$2:AF365),$AF$2:$AF$1001,0),1)&gt;=100000,INDEX($AM$1005:$BM$1005,1,MATCH(COLUMNS($AM$1006:AP1006),$AM$1006:$BM$1006,0))&gt;=100000), " ",IF(INDEX($AM$2:$BM$1001,MATCH(ROWS($AF$2:AF365),$AF$2:$AF$1001,0),MATCH(COLUMNS($AM$1006:AP1006),$AM$1006:$BM$1006,0)), HYPERLINK("#",""), HYPERLINK(CONCATENATE("#metadata!", ADDRESS(INDEX($AH$2:$AH$1001,MATCH(ROWS($AF$2:AF365),$AF$2:$AF$1001,0),0), INDEX($AM$1004:$BM$1004,1,MATCH(COLUMNS($AM$1006:AP1006),$AM$1006:$BM$1006,0)))),"Fix")))</f>
        <v xml:space="preserve"> </v>
      </c>
      <c r="F365" s="4" t="str">
        <f ca="1">IF(OR(INDEX($AG$2:$AG$1001,MATCH(ROWS($AF$2:AF365),$AF$2:$AF$1001,0),1)&gt;=100000,INDEX($AM$1005:$BM$1005,1,MATCH(COLUMNS($AM$1006:AQ1006),$AM$1006:$BM$1006,0))&gt;=100000), " ",IF(INDEX($AM$2:$BM$1001,MATCH(ROWS($AF$2:AF365),$AF$2:$AF$1001,0),MATCH(COLUMNS($AM$1006:AQ1006),$AM$1006:$BM$1006,0)), HYPERLINK("#",""), HYPERLINK(CONCATENATE("#metadata!", ADDRESS(INDEX($AH$2:$AH$1001,MATCH(ROWS($AF$2:AF365),$AF$2:$AF$1001,0),0), INDEX($AM$1004:$BM$1004,1,MATCH(COLUMNS($AM$1006:AQ1006),$AM$1006:$BM$1006,0)))),"Fix")))</f>
        <v xml:space="preserve"> </v>
      </c>
      <c r="G365" s="4" t="str">
        <f ca="1">IF(OR(INDEX($AG$2:$AG$1001,MATCH(ROWS($AF$2:AF365),$AF$2:$AF$1001,0),1)&gt;=100000,INDEX($AM$1005:$BM$1005,1,MATCH(COLUMNS($AM$1006:AR1006),$AM$1006:$BM$1006,0))&gt;=100000), " ",IF(INDEX($AM$2:$BM$1001,MATCH(ROWS($AF$2:AF365),$AF$2:$AF$1001,0),MATCH(COLUMNS($AM$1006:AR1006),$AM$1006:$BM$1006,0)), HYPERLINK("#",""), HYPERLINK(CONCATENATE("#metadata!", ADDRESS(INDEX($AH$2:$AH$1001,MATCH(ROWS($AF$2:AF365),$AF$2:$AF$1001,0),0), INDEX($AM$1004:$BM$1004,1,MATCH(COLUMNS($AM$1006:AR1006),$AM$1006:$BM$1006,0)))),"Fix")))</f>
        <v xml:space="preserve"> </v>
      </c>
      <c r="H365" s="4" t="str">
        <f ca="1">IF(OR(INDEX($AG$2:$AG$1001,MATCH(ROWS($AF$2:AF365),$AF$2:$AF$1001,0),1)&gt;=100000,INDEX($AM$1005:$BM$1005,1,MATCH(COLUMNS($AM$1006:AS1006),$AM$1006:$BM$1006,0))&gt;=100000), " ",IF(INDEX($AM$2:$BM$1001,MATCH(ROWS($AF$2:AF365),$AF$2:$AF$1001,0),MATCH(COLUMNS($AM$1006:AS1006),$AM$1006:$BM$1006,0)), HYPERLINK("#",""), HYPERLINK(CONCATENATE("#metadata!", ADDRESS(INDEX($AH$2:$AH$1001,MATCH(ROWS($AF$2:AF365),$AF$2:$AF$1001,0),0), INDEX($AM$1004:$BM$1004,1,MATCH(COLUMNS($AM$1006:AS1006),$AM$1006:$BM$1006,0)))),"Fix")))</f>
        <v xml:space="preserve"> </v>
      </c>
      <c r="I365" s="4" t="str">
        <f ca="1">IF(OR(INDEX($AG$2:$AG$1001,MATCH(ROWS($AF$2:AF365),$AF$2:$AF$1001,0),1)&gt;=100000,INDEX($AM$1005:$BM$1005,1,MATCH(COLUMNS($AM$1006:AT1006),$AM$1006:$BM$1006,0))&gt;=100000), " ",IF(INDEX($AM$2:$BM$1001,MATCH(ROWS($AF$2:AF365),$AF$2:$AF$1001,0),MATCH(COLUMNS($AM$1006:AT1006),$AM$1006:$BM$1006,0)), HYPERLINK("#",""), HYPERLINK(CONCATENATE("#metadata!", ADDRESS(INDEX($AH$2:$AH$1001,MATCH(ROWS($AF$2:AF365),$AF$2:$AF$1001,0),0), INDEX($AM$1004:$BM$1004,1,MATCH(COLUMNS($AM$1006:AT1006),$AM$1006:$BM$1006,0)))),"Fix")))</f>
        <v xml:space="preserve"> </v>
      </c>
      <c r="J365" s="4" t="str">
        <f ca="1">IF(OR(INDEX($AG$2:$AG$1001,MATCH(ROWS($AF$2:AF365),$AF$2:$AF$1001,0),1)&gt;=100000,INDEX($AM$1005:$BM$1005,1,MATCH(COLUMNS($AM$1006:AU1006),$AM$1006:$BM$1006,0))&gt;=100000), " ",IF(INDEX($AM$2:$BM$1001,MATCH(ROWS($AF$2:AF365),$AF$2:$AF$1001,0),MATCH(COLUMNS($AM$1006:AU1006),$AM$1006:$BM$1006,0)), HYPERLINK("#",""), HYPERLINK(CONCATENATE("#metadata!", ADDRESS(INDEX($AH$2:$AH$1001,MATCH(ROWS($AF$2:AF365),$AF$2:$AF$1001,0),0), INDEX($AM$1004:$BM$1004,1,MATCH(COLUMNS($AM$1006:AU1006),$AM$1006:$BM$1006,0)))),"Fix")))</f>
        <v xml:space="preserve"> </v>
      </c>
      <c r="K365" s="4" t="str">
        <f ca="1">IF(OR(INDEX($AG$2:$AG$1001,MATCH(ROWS($AF$2:AF365),$AF$2:$AF$1001,0),1)&gt;=100000,INDEX($AM$1005:$BM$1005,1,MATCH(COLUMNS($AM$1006:AV1006),$AM$1006:$BM$1006,0))&gt;=100000), " ",IF(INDEX($AM$2:$BM$1001,MATCH(ROWS($AF$2:AF365),$AF$2:$AF$1001,0),MATCH(COLUMNS($AM$1006:AV1006),$AM$1006:$BM$1006,0)), HYPERLINK("#",""), HYPERLINK(CONCATENATE("#metadata!", ADDRESS(INDEX($AH$2:$AH$1001,MATCH(ROWS($AF$2:AF365),$AF$2:$AF$1001,0),0), INDEX($AM$1004:$BM$1004,1,MATCH(COLUMNS($AM$1006:AV1006),$AM$1006:$BM$1006,0)))),"Fix")))</f>
        <v xml:space="preserve"> </v>
      </c>
      <c r="L365" s="4" t="str">
        <f ca="1">IF(OR(INDEX($AG$2:$AG$1001,MATCH(ROWS($AF$2:AF365),$AF$2:$AF$1001,0),1)&gt;=100000,INDEX($AM$1005:$BM$1005,1,MATCH(COLUMNS($AM$1006:AW1006),$AM$1006:$BM$1006,0))&gt;=100000), " ",IF(INDEX($AM$2:$BM$1001,MATCH(ROWS($AF$2:AF365),$AF$2:$AF$1001,0),MATCH(COLUMNS($AM$1006:AW1006),$AM$1006:$BM$1006,0)), HYPERLINK("#",""), HYPERLINK(CONCATENATE("#metadata!", ADDRESS(INDEX($AH$2:$AH$1001,MATCH(ROWS($AF$2:AF365),$AF$2:$AF$1001,0),0), INDEX($AM$1004:$BM$1004,1,MATCH(COLUMNS($AM$1006:AW1006),$AM$1006:$BM$1006,0)))),"Fix")))</f>
        <v xml:space="preserve"> </v>
      </c>
      <c r="M365" s="4" t="str">
        <f ca="1">IF(OR(INDEX($AG$2:$AG$1001,MATCH(ROWS($AF$2:AF365),$AF$2:$AF$1001,0),1)&gt;=100000,INDEX($AM$1005:$BM$1005,1,MATCH(COLUMNS($AM$1006:AX1006),$AM$1006:$BM$1006,0))&gt;=100000), " ",IF(INDEX($AM$2:$BM$1001,MATCH(ROWS($AF$2:AF365),$AF$2:$AF$1001,0),MATCH(COLUMNS($AM$1006:AX1006),$AM$1006:$BM$1006,0)), HYPERLINK("#",""), HYPERLINK(CONCATENATE("#metadata!", ADDRESS(INDEX($AH$2:$AH$1001,MATCH(ROWS($AF$2:AF365),$AF$2:$AF$1001,0),0), INDEX($AM$1004:$BM$1004,1,MATCH(COLUMNS($AM$1006:AX1006),$AM$1006:$BM$1006,0)))),"Fix")))</f>
        <v xml:space="preserve"> </v>
      </c>
      <c r="N365" s="4" t="str">
        <f ca="1">IF(OR(INDEX($AG$2:$AG$1001,MATCH(ROWS($AF$2:AF365),$AF$2:$AF$1001,0),1)&gt;=100000,INDEX($AM$1005:$BM$1005,1,MATCH(COLUMNS($AM$1006:AY1006),$AM$1006:$BM$1006,0))&gt;=100000), " ",IF(INDEX($AM$2:$BM$1001,MATCH(ROWS($AF$2:AF365),$AF$2:$AF$1001,0),MATCH(COLUMNS($AM$1006:AY1006),$AM$1006:$BM$1006,0)), HYPERLINK("#",""), HYPERLINK(CONCATENATE("#metadata!", ADDRESS(INDEX($AH$2:$AH$1001,MATCH(ROWS($AF$2:AF365),$AF$2:$AF$1001,0),0), INDEX($AM$1004:$BM$1004,1,MATCH(COLUMNS($AM$1006:AY1006),$AM$1006:$BM$1006,0)))),"Fix")))</f>
        <v xml:space="preserve"> </v>
      </c>
      <c r="O365" s="4" t="str">
        <f ca="1">IF(OR(INDEX($AG$2:$AG$1001,MATCH(ROWS($AF$2:AF365),$AF$2:$AF$1001,0),1)&gt;=100000,INDEX($AM$1005:$BM$1005,1,MATCH(COLUMNS($AM$1006:AZ1006),$AM$1006:$BM$1006,0))&gt;=100000), " ",IF(INDEX($AM$2:$BM$1001,MATCH(ROWS($AF$2:AF365),$AF$2:$AF$1001,0),MATCH(COLUMNS($AM$1006:AZ1006),$AM$1006:$BM$1006,0)), HYPERLINK("#",""), HYPERLINK(CONCATENATE("#metadata!", ADDRESS(INDEX($AH$2:$AH$1001,MATCH(ROWS($AF$2:AF365),$AF$2:$AF$1001,0),0), INDEX($AM$1004:$BM$1004,1,MATCH(COLUMNS($AM$1006:AZ1006),$AM$1006:$BM$1006,0)))),"Fix")))</f>
        <v xml:space="preserve"> </v>
      </c>
      <c r="P365" s="4" t="str">
        <f ca="1">IF(OR(INDEX($AG$2:$AG$1001,MATCH(ROWS($AF$2:AF365),$AF$2:$AF$1001,0),1)&gt;=100000,INDEX($AM$1005:$BM$1005,1,MATCH(COLUMNS($AM$1006:BA1006),$AM$1006:$BM$1006,0))&gt;=100000), " ",IF(INDEX($AM$2:$BM$1001,MATCH(ROWS($AF$2:AF365),$AF$2:$AF$1001,0),MATCH(COLUMNS($AM$1006:BA1006),$AM$1006:$BM$1006,0)), HYPERLINK("#",""), HYPERLINK(CONCATENATE("#metadata!", ADDRESS(INDEX($AH$2:$AH$1001,MATCH(ROWS($AF$2:AF365),$AF$2:$AF$1001,0),0), INDEX($AM$1004:$BM$1004,1,MATCH(COLUMNS($AM$1006:BA1006),$AM$1006:$BM$1006,0)))),"Fix")))</f>
        <v xml:space="preserve"> </v>
      </c>
      <c r="Q365" s="4" t="str">
        <f ca="1">IF(OR(INDEX($AG$2:$AG$1001,MATCH(ROWS($AF$2:AF365),$AF$2:$AF$1001,0),1)&gt;=100000,INDEX($AM$1005:$BM$1005,1,MATCH(COLUMNS($AM$1006:BB1006),$AM$1006:$BM$1006,0))&gt;=100000), " ",IF(INDEX($AM$2:$BM$1001,MATCH(ROWS($AF$2:AF365),$AF$2:$AF$1001,0),MATCH(COLUMNS($AM$1006:BB1006),$AM$1006:$BM$1006,0)), HYPERLINK("#",""), HYPERLINK(CONCATENATE("#metadata!", ADDRESS(INDEX($AH$2:$AH$1001,MATCH(ROWS($AF$2:AF365),$AF$2:$AF$1001,0),0), INDEX($AM$1004:$BM$1004,1,MATCH(COLUMNS($AM$1006:BB1006),$AM$1006:$BM$1006,0)))),"Fix")))</f>
        <v xml:space="preserve"> </v>
      </c>
      <c r="R365" s="4" t="str">
        <f ca="1">IF(OR(INDEX($AG$2:$AG$1001,MATCH(ROWS($AF$2:AF365),$AF$2:$AF$1001,0),1)&gt;=100000,INDEX($AM$1005:$BM$1005,1,MATCH(COLUMNS($AM$1006:BC1006),$AM$1006:$BM$1006,0))&gt;=100000), " ",IF(INDEX($AM$2:$BM$1001,MATCH(ROWS($AF$2:AF365),$AF$2:$AF$1001,0),MATCH(COLUMNS($AM$1006:BC1006),$AM$1006:$BM$1006,0)), HYPERLINK("#",""), HYPERLINK(CONCATENATE("#metadata!", ADDRESS(INDEX($AH$2:$AH$1001,MATCH(ROWS($AF$2:AF365),$AF$2:$AF$1001,0),0), INDEX($AM$1004:$BM$1004,1,MATCH(COLUMNS($AM$1006:BC1006),$AM$1006:$BM$1006,0)))),"Fix")))</f>
        <v xml:space="preserve"> </v>
      </c>
      <c r="S365" s="4" t="str">
        <f ca="1">IF(OR(INDEX($AG$2:$AG$1001,MATCH(ROWS($AF$2:AF365),$AF$2:$AF$1001,0),1)&gt;=100000,INDEX($AM$1005:$BM$1005,1,MATCH(COLUMNS($AM$1006:BD1006),$AM$1006:$BM$1006,0))&gt;=100000), " ",IF(INDEX($AM$2:$BM$1001,MATCH(ROWS($AF$2:AF365),$AF$2:$AF$1001,0),MATCH(COLUMNS($AM$1006:BD1006),$AM$1006:$BM$1006,0)), HYPERLINK("#",""), HYPERLINK(CONCATENATE("#metadata!", ADDRESS(INDEX($AH$2:$AH$1001,MATCH(ROWS($AF$2:AF365),$AF$2:$AF$1001,0),0), INDEX($AM$1004:$BM$1004,1,MATCH(COLUMNS($AM$1006:BD1006),$AM$1006:$BM$1006,0)))),"Fix")))</f>
        <v xml:space="preserve"> </v>
      </c>
      <c r="T365" s="4" t="str">
        <f ca="1">IF(OR(INDEX($AG$2:$AG$1001,MATCH(ROWS($AF$2:AF365),$AF$2:$AF$1001,0),1)&gt;=100000,INDEX($AM$1005:$BM$1005,1,MATCH(COLUMNS($AM$1006:BE1006),$AM$1006:$BM$1006,0))&gt;=100000), " ",IF(INDEX($AM$2:$BM$1001,MATCH(ROWS($AF$2:AF365),$AF$2:$AF$1001,0),MATCH(COLUMNS($AM$1006:BE1006),$AM$1006:$BM$1006,0)), HYPERLINK("#",""), HYPERLINK(CONCATENATE("#metadata!", ADDRESS(INDEX($AH$2:$AH$1001,MATCH(ROWS($AF$2:AF365),$AF$2:$AF$1001,0),0), INDEX($AM$1004:$BM$1004,1,MATCH(COLUMNS($AM$1006:BE1006),$AM$1006:$BM$1006,0)))),"Fix")))</f>
        <v xml:space="preserve"> </v>
      </c>
      <c r="U365" s="4" t="str">
        <f ca="1">IF(OR(INDEX($AG$2:$AG$1001,MATCH(ROWS($AF$2:AF365),$AF$2:$AF$1001,0),1)&gt;=100000,INDEX($AM$1005:$BM$1005,1,MATCH(COLUMNS($AM$1006:BF1006),$AM$1006:$BM$1006,0))&gt;=100000), " ",IF(INDEX($AM$2:$BM$1001,MATCH(ROWS($AF$2:AF365),$AF$2:$AF$1001,0),MATCH(COLUMNS($AM$1006:BF1006),$AM$1006:$BM$1006,0)), HYPERLINK("#",""), HYPERLINK(CONCATENATE("#metadata!", ADDRESS(INDEX($AH$2:$AH$1001,MATCH(ROWS($AF$2:AF365),$AF$2:$AF$1001,0),0), INDEX($AM$1004:$BM$1004,1,MATCH(COLUMNS($AM$1006:BF1006),$AM$1006:$BM$1006,0)))),"Fix")))</f>
        <v xml:space="preserve"> </v>
      </c>
      <c r="V365" s="4" t="str">
        <f ca="1">IF(OR(INDEX($AG$2:$AG$1001,MATCH(ROWS($AF$2:AF365),$AF$2:$AF$1001,0),1)&gt;=100000,INDEX($AM$1005:$BM$1005,1,MATCH(COLUMNS($AM$1006:BG1006),$AM$1006:$BM$1006,0))&gt;=100000), " ",IF(INDEX($AM$2:$BM$1001,MATCH(ROWS($AF$2:AF365),$AF$2:$AF$1001,0),MATCH(COLUMNS($AM$1006:BG1006),$AM$1006:$BM$1006,0)), HYPERLINK("#",""), HYPERLINK(CONCATENATE("#metadata!", ADDRESS(INDEX($AH$2:$AH$1001,MATCH(ROWS($AF$2:AF365),$AF$2:$AF$1001,0),0), INDEX($AM$1004:$BM$1004,1,MATCH(COLUMNS($AM$1006:BG1006),$AM$1006:$BM$1006,0)))),"Fix")))</f>
        <v xml:space="preserve"> </v>
      </c>
      <c r="W365" s="4" t="str">
        <f ca="1">IF(OR(INDEX($AG$2:$AG$1001,MATCH(ROWS($AF$2:AF365),$AF$2:$AF$1001,0),1)&gt;=100000,INDEX($AM$1005:$BM$1005,1,MATCH(COLUMNS($AM$1006:BH1006),$AM$1006:$BM$1006,0))&gt;=100000), " ",IF(INDEX($AM$2:$BM$1001,MATCH(ROWS($AF$2:AF365),$AF$2:$AF$1001,0),MATCH(COLUMNS($AM$1006:BH1006),$AM$1006:$BM$1006,0)), HYPERLINK("#",""), HYPERLINK(CONCATENATE("#metadata!", ADDRESS(INDEX($AH$2:$AH$1001,MATCH(ROWS($AF$2:AF365),$AF$2:$AF$1001,0),0), INDEX($AM$1004:$BM$1004,1,MATCH(COLUMNS($AM$1006:BH1006),$AM$1006:$BM$1006,0)))),"Fix")))</f>
        <v xml:space="preserve"> </v>
      </c>
      <c r="X365" s="4" t="str">
        <f ca="1">IF(OR(INDEX($AG$2:$AG$1001,MATCH(ROWS($AF$2:AF365),$AF$2:$AF$1001,0),1)&gt;=100000,INDEX($AM$1005:$BM$1005,1,MATCH(COLUMNS($AM$1006:BI1006),$AM$1006:$BM$1006,0))&gt;=100000), " ",IF(INDEX($AM$2:$BM$1001,MATCH(ROWS($AF$2:AF365),$AF$2:$AF$1001,0),MATCH(COLUMNS($AM$1006:BI1006),$AM$1006:$BM$1006,0)), HYPERLINK("#",""), HYPERLINK(CONCATENATE("#metadata!", ADDRESS(INDEX($AH$2:$AH$1001,MATCH(ROWS($AF$2:AF365),$AF$2:$AF$1001,0),0), INDEX($AM$1004:$BM$1004,1,MATCH(COLUMNS($AM$1006:BI1006),$AM$1006:$BM$1006,0)))),"Fix")))</f>
        <v xml:space="preserve"> </v>
      </c>
      <c r="Y365" s="4" t="str">
        <f ca="1">IF(OR(INDEX($AG$2:$AG$1001,MATCH(ROWS($AF$2:AF365),$AF$2:$AF$1001,0),1)&gt;=100000,INDEX($AM$1005:$BM$1005,1,MATCH(COLUMNS($AM$1006:BJ1006),$AM$1006:$BM$1006,0))&gt;=100000), " ",IF(INDEX($AM$2:$BM$1001,MATCH(ROWS($AF$2:AF365),$AF$2:$AF$1001,0),MATCH(COLUMNS($AM$1006:BJ1006),$AM$1006:$BM$1006,0)), HYPERLINK("#",""), HYPERLINK(CONCATENATE("#metadata!", ADDRESS(INDEX($AH$2:$AH$1001,MATCH(ROWS($AF$2:AF365),$AF$2:$AF$1001,0),0), INDEX($AM$1004:$BM$1004,1,MATCH(COLUMNS($AM$1006:BJ1006),$AM$1006:$BM$1006,0)))),"Fix")))</f>
        <v xml:space="preserve"> </v>
      </c>
      <c r="Z365" s="4" t="str">
        <f ca="1">IF(OR(INDEX($AG$2:$AG$1001,MATCH(ROWS($AF$2:AF365),$AF$2:$AF$1001,0),1)&gt;=100000,INDEX($AM$1005:$BM$1005,1,MATCH(COLUMNS($AM$1006:BK1006),$AM$1006:$BM$1006,0))&gt;=100000), " ",IF(INDEX($AM$2:$BM$1001,MATCH(ROWS($AF$2:AF365),$AF$2:$AF$1001,0),MATCH(COLUMNS($AM$1006:BK1006),$AM$1006:$BM$1006,0)), HYPERLINK("#",""), HYPERLINK(CONCATENATE("#metadata!", ADDRESS(INDEX($AH$2:$AH$1001,MATCH(ROWS($AF$2:AF365),$AF$2:$AF$1001,0),0), INDEX($AM$1004:$BM$1004,1,MATCH(COLUMNS($AM$1006:BK1006),$AM$1006:$BM$1006,0)))),"Fix")))</f>
        <v xml:space="preserve"> </v>
      </c>
      <c r="AA365" s="4" t="str">
        <f ca="1">IF(OR(INDEX($AG$2:$AG$1001,MATCH(ROWS($AF$2:AF365),$AF$2:$AF$1001,0),1)&gt;=100000,INDEX($AM$1005:$BM$1005,1,MATCH(COLUMNS($AM$1006:BL1006),$AM$1006:$BM$1006,0))&gt;=100000), " ",IF(INDEX($AM$2:$BM$1001,MATCH(ROWS($AF$2:AF365),$AF$2:$AF$1001,0),MATCH(COLUMNS($AM$1006:BL1006),$AM$1006:$BM$1006,0)), HYPERLINK("#",""), HYPERLINK(CONCATENATE("#metadata!", ADDRESS(INDEX($AH$2:$AH$1001,MATCH(ROWS($AF$2:AF365),$AF$2:$AF$1001,0),0), INDEX($AM$1004:$BM$1004,1,MATCH(COLUMNS($AM$1006:BL1006),$AM$1006:$BM$1006,0)))),"Fix")))</f>
        <v xml:space="preserve"> </v>
      </c>
      <c r="AB365" s="4" t="str">
        <f ca="1">IF(OR(INDEX($AG$2:$AG$1001,MATCH(ROWS($AF$2:AF365),$AF$2:$AF$1001,0),1)&gt;=100000,INDEX($AM$1005:$BM$1005,1,MATCH(COLUMNS($AM$1006:BM1006),$AM$1006:$BM$1006,0))&gt;=100000), " ",IF(INDEX($AM$2:$BM$1001,MATCH(ROWS($AF$2:AF365),$AF$2:$AF$1001,0),MATCH(COLUMNS($AM$1006:BM1006),$AM$1006:$BM$1006,0)), HYPERLINK("#",""), HYPERLINK(CONCATENATE("#metadata!", ADDRESS(INDEX($AH$2:$AH$1001,MATCH(ROWS($AF$2:AF365),$AF$2:$AF$1001,0),0), INDEX($AM$1004:$BM$1004,1,MATCH(COLUMNS($AM$1006:BM1006),$AM$1006:$BM$1006,0)))),"Fix")))</f>
        <v xml:space="preserve"> </v>
      </c>
      <c r="AF365">
        <v>364</v>
      </c>
      <c r="AG365">
        <v>100365</v>
      </c>
      <c r="AH365">
        <v>365</v>
      </c>
      <c r="AI365" t="b">
        <f t="shared" si="5"/>
        <v>1</v>
      </c>
      <c r="AJ365" t="b">
        <f>COUNTBLANK(metadata!B365:AB365)=COLUMNS(metadata!B365:AB365)</f>
        <v>1</v>
      </c>
      <c r="AK365" t="str">
        <v/>
      </c>
      <c r="AM365" t="b">
        <f ca="1">AND(IF(metadata!B365="",FALSE,TRUE),COUNTIF(metadata!B:B, metadata!B365) = 1,NOT(ISERROR(SUMPRODUCT(SEARCH(MID(metadata!B365,ROW(INDIRECT("1:"&amp;LEN(metadata!B365))), 1),"0123456789abcdefghijklmnopqrstuvwxyzABCDEFGHIJKLMNOPQRSTUVWXYZ.")))))</f>
        <v>0</v>
      </c>
      <c r="AN365" t="b">
        <f ca="1">OR(AND(IF(metadata!C365="",FALSE,TRUE),OR(EXACT(metadata!C365,"missing: not collected"),EXACT(metadata!C365,"missing: not provided"),EXACT(metadata!C365,"missing: restricted access"))),AND(IF(metadata!C365="",FALSE,TRUE),AND(AND(IFERROR(INT(LEFT(metadata!C365,4))&gt;1900,FALSE),IFERROR(INT(LEFT(metadata!C365,4))&lt;=YEAR(NOW()),FALSE)), OR(MID(metadata!C365,5,1)="", AND(AND(MID(metadata!C365,5,1)="-",IFERROR(INT(MID(metadata!C365,6,1))&gt;=0,FALSE),IFERROR(INT(MID(metadata!C365,6,1))&lt;=1,FALSE),NOT(MID(metadata!C365,7,1)=""),IFERROR(INT(MID(metadata!C365,6,2))&gt;=1,FALSE),IFERROR(INT(MID(metadata!C365,6,2))&lt;=12,FALSE)), OR(MID(metadata!C365,8,1)="", AND(AND(MID(metadata!C365,8,1)="-",IFERROR(INT(MID(metadata!C365,9,1))&gt;=0,FALSE),IFERROR(INT(MID(metadata!C365,9,1))&lt;=3,FALSE),NOT(MID(metadata!C365,10,1)=""),IFERROR(INT(MID(metadata!C365,9,2))&gt;=1,FALSE),IFERROR(INT(MID(metadata!C365,9,2))&lt;=31,FALSE)), OR(MID(metadata!C365,11,1)="", AND(AND(MID(metadata!C365,11,1)=" ",IFERROR(INT(MID(metadata!C365,12,1))&gt;=0,FALSE),IFERROR(INT(MID(metadata!C365,12,1))&lt;=2,FALSE),NOT(MID(metadata!C365,13,1)=""),IFERROR(INT(MID(metadata!C365,12,2))&gt;=0,FALSE),IFERROR(INT(MID(metadata!C365,12,2))&lt;=23,FALSE)), OR(MID(metadata!C365,14,1)="", AND(AND(MID(metadata!C365,14,1)=":",IFERROR(INT(MID(metadata!C365,15,1))&gt;=0,FALSE),IFERROR(INT(MID(metadata!C365,15,1))&lt;=5,FALSE),NOT(MID(metadata!C365,16,1)=""),IFERROR(INT(MID(metadata!C365,15,2))&gt;=0,FALSE),IFERROR(INT(MID(metadata!C365,15,2))&lt;=59,FALSE)), OR(MID(metadata!C365,17,1)="", AND(AND(MID(metadata!C365,17,1)=":",IFERROR(INT(MID(metadata!C365,18,1))&gt;=0,FALSE),IFERROR(INT(MID(metadata!C365,18,1))&lt;=5,FALSE),NOT(MID(metadata!C365,19,1)=""),IFERROR(INT(MID(metadata!C365,18,2))&gt;=0,FALSE),IFERROR(INT(MID(metadata!C365,18,2))&lt;=59,FALSE)), LEN(metadata!C365)&lt;=19)))))))))))))</f>
        <v>0</v>
      </c>
      <c r="AO365" t="b">
        <f>AND(IF(metadata!D365="",FALSE,TRUE),EXACT(metadata!D365,"Not applicable"))</f>
        <v>0</v>
      </c>
      <c r="AP365" t="b">
        <f>IF(metadata!E365="",FALSE,TRUE)</f>
        <v>0</v>
      </c>
      <c r="AQ365" t="b">
        <f>OR(AND(IF(metadata!F365="",FALSE,TRUE),OR(EXACT(metadata!F365,"missing: not collected"),EXACT(metadata!F365,"missing: not provided"))),AND(IF(metadata!F365="",FALSE,TRUE),OR(EXACT(metadata!F365,"TRUE"),EXACT(metadata!F365,"FALSE"))))</f>
        <v>0</v>
      </c>
      <c r="AR365" t="b">
        <f>OR(AND(IF(metadata!G365="",FALSE,TRUE),OR(EXACT(metadata!G365,"missing: not collected"),EXACT(metadata!G365,"missing: not provided"),EXACT(metadata!G365,"missing: restricted access"))),AND(IF(metadata!G365="",FALSE,ISNUMBER(VALUE(metadata!G365))),metadata!G365&gt;=-413))</f>
        <v>0</v>
      </c>
      <c r="AS365" t="b">
        <f>AND(IF(metadata!H365="",FALSE,TRUE),EXACT(metadata!H365,"meters"))</f>
        <v>0</v>
      </c>
      <c r="AT365" t="b">
        <f>AND(IF(metadata!I365="",FALSE,TRUE),OR(EXACT(metadata!I365,"Host-associated"),EXACT(metadata!I365,"Free-living")))</f>
        <v>0</v>
      </c>
      <c r="AU365" t="b">
        <f>AND(IF(metadata!J365="",FALSE,TRUE),OR(EXACT(metadata!J365,"Animal"),EXACT(metadata!J365,"Fungus"),EXACT(metadata!J365,"Plant"),EXACT(metadata!J365,"Saline"),EXACT(metadata!J365,"Non-saline")))</f>
        <v>0</v>
      </c>
      <c r="AV365" t="b">
        <f>AND(IF(metadata!K365="",FALSE,TRUE),OR(EXACT(metadata!K365,"Plant secretion"),EXACT(metadata!K365,"Plant rhizosphere"),EXACT(metadata!K365,"Plant surface"),EXACT(metadata!K365,"Plant corpus"),EXACT(metadata!K365,"Fungus surface"),EXACT(metadata!K365,"Fungus corpus"),EXACT(metadata!K365,"Animal surface"),EXACT(metadata!K365,"Animal proximal gut"),EXACT(metadata!K365,"Animal corpus"),EXACT(metadata!K365,"Animal distal gut"),EXACT(metadata!K365,"Animal secretion"),EXACT(metadata!K365,"Sub-surface (non-saline)"),EXACT(metadata!K365,"Surface (non-saline)"),EXACT(metadata!K365,"Water (non-saline)"),EXACT(metadata!K365,"Soil (non-saline)"),EXACT(metadata!K365,"Aerosol (non-saline)"),EXACT(metadata!K365,"Sediment (non-saline)"),EXACT(metadata!K365,"Surface (saline)"),EXACT(metadata!K365,"Water (saline)"),EXACT(metadata!K365,"Hypersaline (saline)"),EXACT(metadata!K365,"Aerosol (saline)"),EXACT(metadata!K365,"Sediment (saline)")))</f>
        <v>0</v>
      </c>
      <c r="AW365" t="b">
        <f>IF(metadata!L365="",FALSE,TRUE)</f>
        <v>0</v>
      </c>
      <c r="AX365" t="b">
        <f>IF(metadata!M365="",FALSE,TRUE)</f>
        <v>0</v>
      </c>
      <c r="AY365" t="b">
        <f>IF(metadata!N365="",FALSE,TRUE)</f>
        <v>0</v>
      </c>
      <c r="AZ365" t="b">
        <f>OR(AND(IF(metadata!O365="",FALSE,TRUE),OR(EXACT(metadata!O365,"missing: not collected"),EXACT(metadata!O365,"missing: not provided"),EXACT(metadata!O365,"missing: restricted access"))),AND(IF(metadata!O365="",FALSE,TRUE),OR(EXACT(metadata!O365,"air"),EXACT(metadata!O365,"built environment"),EXACT(metadata!O365,"host-associated"),EXACT(metadata!O365,"human-associated"),EXACT(metadata!O365,"human-skin"),EXACT(metadata!O365,"human-oral"),EXACT(metadata!O365,"human-gut"),EXACT(metadata!O365,"human-vaginal"),EXACT(metadata!O365,"microbial mat/biofilm"),EXACT(metadata!O365,"misc environment"),EXACT(metadata!O365,"plant-associated"),EXACT(metadata!O365,"sediment"),EXACT(metadata!O365,"soil"),EXACT(metadata!O365,"wastewater/sludge"),EXACT(metadata!O365,"water"))))</f>
        <v>0</v>
      </c>
      <c r="BA365" t="b">
        <f>IF(metadata!P365="",FALSE,TRUE)</f>
        <v>0</v>
      </c>
      <c r="BB365" t="b">
        <f>IF(metadata!Q365="",FALSE,TRUE)</f>
        <v>0</v>
      </c>
      <c r="BC365" t="b">
        <f>OR(AND(IF(metadata!R365="",FALSE,TRUE),OR(EXACT(metadata!R365,"missing: not collected"),EXACT(metadata!R365,"missing: not provided"),EXACT(metadata!R365,"missing: restricted access"))),AND(IF(metadata!R365="",FALSE,ISNUMBER(VALUE(metadata!R365))),metadata!R365&gt;=-90,metadata!R365&lt;=90))</f>
        <v>0</v>
      </c>
      <c r="BD365" t="b">
        <f>AND(IF(metadata!S365="",FALSE,TRUE),EXACT(metadata!S365,"Decimal degrees"))</f>
        <v>0</v>
      </c>
      <c r="BE365" t="b">
        <f>OR(AND(IF(metadata!T365="",FALSE,TRUE),OR(EXACT(metadata!T365,"missing: not collected"),EXACT(metadata!T365,"missing: not provided"),EXACT(metadata!T365,"missing: restricted access"))),AND(IF(metadata!T365="",FALSE,ISNUMBER(VALUE(metadata!T365))),metadata!T365&gt;=-180,metadata!T365&lt;=180))</f>
        <v>0</v>
      </c>
      <c r="BF365" t="b">
        <f>AND(IF(metadata!U365="",FALSE,TRUE),EXACT(metadata!U365,"Decimal degrees"))</f>
        <v>0</v>
      </c>
      <c r="BG365" t="b">
        <f>IF(metadata!V365="",FALSE,TRUE)</f>
        <v>0</v>
      </c>
      <c r="BH365" t="b">
        <f>OR(AND(IF(metadata!W365="",FALSE,TRUE),OR(EXACT(metadata!W365,"missing: not collected"),EXACT(metadata!W365,"missing: not provided"),EXACT(metadata!W365,"missing: restricted access"))),AND(IF(metadata!W365="",FALSE,TRUE),OR(EXACT(metadata!W365,"TRUE"),EXACT(metadata!W365,"FALSE"))))</f>
        <v>0</v>
      </c>
      <c r="BI365" t="b">
        <f>AND(IF(metadata!X365="",FALSE,TRUE),EXACT(metadata!X365,"other"))</f>
        <v>0</v>
      </c>
      <c r="BJ365" t="b">
        <f>IF(metadata!Y365="",FALSE,TRUE)</f>
        <v>0</v>
      </c>
      <c r="BK365" t="b">
        <f>OR(AND(IF(metadata!Z365="",FALSE,TRUE),OR(EXACT(metadata!Z365,"missing: not collected"),EXACT(metadata!Z365,"missing: not provided"))),AND(IF(metadata!Z365="",FALSE,IF(ISERROR(INT(metadata!Z365)),FALSE,INT(metadata!Z365)=metadata!Z365)),metadata!Z365&gt;0))</f>
        <v>0</v>
      </c>
      <c r="BL365" t="b">
        <f>AND(IF(metadata!AA365="",FALSE,TRUE),EXACT(metadata!AA365,"Not applicable"))</f>
        <v>0</v>
      </c>
      <c r="BM365" t="b">
        <f>IF(metadata!AB365="",FALSE,TRUE)</f>
        <v>0</v>
      </c>
    </row>
    <row r="366" spans="1:65" x14ac:dyDescent="0.2">
      <c r="A366" s="5" t="str">
        <f ca="1">IF(B366=" "," ",HYPERLINK(CONCATENATE("#metadata!",ADDRESS(INDEX($AH$2:$AH$1001,MATCH(ROWS($AF$2:AF366),$AF$2:$AF$1001,0),0),1)),INDEX($AK$2:$AK$1001,MATCH(ROWS($AF$2:AF366),$AF$2:$AF$1001,0),0)))</f>
        <v xml:space="preserve"> </v>
      </c>
      <c r="B366" s="4" t="str">
        <f ca="1">IF(OR(INDEX($AG$2:$AG$1001,MATCH(ROWS($AF$2:AF366),$AF$2:$AF$1001,0),1)&gt;=100000,INDEX($AM$1005:$BM$1005,1,MATCH(COLUMNS($AM$1006:AM1006),$AM$1006:$BM$1006,0))&gt;=100000), " ",IF(INDEX($AM$2:$BM$1001,MATCH(ROWS($AF$2:AF366),$AF$2:$AF$1001,0),MATCH(COLUMNS($AM$1006:AM1006),$AM$1006:$BM$1006,0)), HYPERLINK("#",""), HYPERLINK(CONCATENATE("#metadata!", ADDRESS(INDEX($AH$2:$AH$1001,MATCH(ROWS($AF$2:AF366),$AF$2:$AF$1001,0),0), INDEX($AM$1004:$BM$1004,1,MATCH(COLUMNS($AM$1006:AM1006),$AM$1006:$BM$1006,0)))),"Fix")))</f>
        <v xml:space="preserve"> </v>
      </c>
      <c r="C366" s="4" t="str">
        <f ca="1">IF(OR(INDEX($AG$2:$AG$1001,MATCH(ROWS($AF$2:AF366),$AF$2:$AF$1001,0),1)&gt;=100000,INDEX($AM$1005:$BM$1005,1,MATCH(COLUMNS($AM$1006:AN1006),$AM$1006:$BM$1006,0))&gt;=100000), " ",IF(INDEX($AM$2:$BM$1001,MATCH(ROWS($AF$2:AF366),$AF$2:$AF$1001,0),MATCH(COLUMNS($AM$1006:AN1006),$AM$1006:$BM$1006,0)), HYPERLINK("#",""), HYPERLINK(CONCATENATE("#metadata!", ADDRESS(INDEX($AH$2:$AH$1001,MATCH(ROWS($AF$2:AF366),$AF$2:$AF$1001,0),0), INDEX($AM$1004:$BM$1004,1,MATCH(COLUMNS($AM$1006:AN1006),$AM$1006:$BM$1006,0)))),"Fix")))</f>
        <v xml:space="preserve"> </v>
      </c>
      <c r="D366" s="4" t="str">
        <f ca="1">IF(OR(INDEX($AG$2:$AG$1001,MATCH(ROWS($AF$2:AF366),$AF$2:$AF$1001,0),1)&gt;=100000,INDEX($AM$1005:$BM$1005,1,MATCH(COLUMNS($AM$1006:AO1006),$AM$1006:$BM$1006,0))&gt;=100000), " ",IF(INDEX($AM$2:$BM$1001,MATCH(ROWS($AF$2:AF366),$AF$2:$AF$1001,0),MATCH(COLUMNS($AM$1006:AO1006),$AM$1006:$BM$1006,0)), HYPERLINK("#",""), HYPERLINK(CONCATENATE("#metadata!", ADDRESS(INDEX($AH$2:$AH$1001,MATCH(ROWS($AF$2:AF366),$AF$2:$AF$1001,0),0), INDEX($AM$1004:$BM$1004,1,MATCH(COLUMNS($AM$1006:AO1006),$AM$1006:$BM$1006,0)))),"Fix")))</f>
        <v xml:space="preserve"> </v>
      </c>
      <c r="E366" s="4" t="str">
        <f ca="1">IF(OR(INDEX($AG$2:$AG$1001,MATCH(ROWS($AF$2:AF366),$AF$2:$AF$1001,0),1)&gt;=100000,INDEX($AM$1005:$BM$1005,1,MATCH(COLUMNS($AM$1006:AP1006),$AM$1006:$BM$1006,0))&gt;=100000), " ",IF(INDEX($AM$2:$BM$1001,MATCH(ROWS($AF$2:AF366),$AF$2:$AF$1001,0),MATCH(COLUMNS($AM$1006:AP1006),$AM$1006:$BM$1006,0)), HYPERLINK("#",""), HYPERLINK(CONCATENATE("#metadata!", ADDRESS(INDEX($AH$2:$AH$1001,MATCH(ROWS($AF$2:AF366),$AF$2:$AF$1001,0),0), INDEX($AM$1004:$BM$1004,1,MATCH(COLUMNS($AM$1006:AP1006),$AM$1006:$BM$1006,0)))),"Fix")))</f>
        <v xml:space="preserve"> </v>
      </c>
      <c r="F366" s="4" t="str">
        <f ca="1">IF(OR(INDEX($AG$2:$AG$1001,MATCH(ROWS($AF$2:AF366),$AF$2:$AF$1001,0),1)&gt;=100000,INDEX($AM$1005:$BM$1005,1,MATCH(COLUMNS($AM$1006:AQ1006),$AM$1006:$BM$1006,0))&gt;=100000), " ",IF(INDEX($AM$2:$BM$1001,MATCH(ROWS($AF$2:AF366),$AF$2:$AF$1001,0),MATCH(COLUMNS($AM$1006:AQ1006),$AM$1006:$BM$1006,0)), HYPERLINK("#",""), HYPERLINK(CONCATENATE("#metadata!", ADDRESS(INDEX($AH$2:$AH$1001,MATCH(ROWS($AF$2:AF366),$AF$2:$AF$1001,0),0), INDEX($AM$1004:$BM$1004,1,MATCH(COLUMNS($AM$1006:AQ1006),$AM$1006:$BM$1006,0)))),"Fix")))</f>
        <v xml:space="preserve"> </v>
      </c>
      <c r="G366" s="4" t="str">
        <f ca="1">IF(OR(INDEX($AG$2:$AG$1001,MATCH(ROWS($AF$2:AF366),$AF$2:$AF$1001,0),1)&gt;=100000,INDEX($AM$1005:$BM$1005,1,MATCH(COLUMNS($AM$1006:AR1006),$AM$1006:$BM$1006,0))&gt;=100000), " ",IF(INDEX($AM$2:$BM$1001,MATCH(ROWS($AF$2:AF366),$AF$2:$AF$1001,0),MATCH(COLUMNS($AM$1006:AR1006),$AM$1006:$BM$1006,0)), HYPERLINK("#",""), HYPERLINK(CONCATENATE("#metadata!", ADDRESS(INDEX($AH$2:$AH$1001,MATCH(ROWS($AF$2:AF366),$AF$2:$AF$1001,0),0), INDEX($AM$1004:$BM$1004,1,MATCH(COLUMNS($AM$1006:AR1006),$AM$1006:$BM$1006,0)))),"Fix")))</f>
        <v xml:space="preserve"> </v>
      </c>
      <c r="H366" s="4" t="str">
        <f ca="1">IF(OR(INDEX($AG$2:$AG$1001,MATCH(ROWS($AF$2:AF366),$AF$2:$AF$1001,0),1)&gt;=100000,INDEX($AM$1005:$BM$1005,1,MATCH(COLUMNS($AM$1006:AS1006),$AM$1006:$BM$1006,0))&gt;=100000), " ",IF(INDEX($AM$2:$BM$1001,MATCH(ROWS($AF$2:AF366),$AF$2:$AF$1001,0),MATCH(COLUMNS($AM$1006:AS1006),$AM$1006:$BM$1006,0)), HYPERLINK("#",""), HYPERLINK(CONCATENATE("#metadata!", ADDRESS(INDEX($AH$2:$AH$1001,MATCH(ROWS($AF$2:AF366),$AF$2:$AF$1001,0),0), INDEX($AM$1004:$BM$1004,1,MATCH(COLUMNS($AM$1006:AS1006),$AM$1006:$BM$1006,0)))),"Fix")))</f>
        <v xml:space="preserve"> </v>
      </c>
      <c r="I366" s="4" t="str">
        <f ca="1">IF(OR(INDEX($AG$2:$AG$1001,MATCH(ROWS($AF$2:AF366),$AF$2:$AF$1001,0),1)&gt;=100000,INDEX($AM$1005:$BM$1005,1,MATCH(COLUMNS($AM$1006:AT1006),$AM$1006:$BM$1006,0))&gt;=100000), " ",IF(INDEX($AM$2:$BM$1001,MATCH(ROWS($AF$2:AF366),$AF$2:$AF$1001,0),MATCH(COLUMNS($AM$1006:AT1006),$AM$1006:$BM$1006,0)), HYPERLINK("#",""), HYPERLINK(CONCATENATE("#metadata!", ADDRESS(INDEX($AH$2:$AH$1001,MATCH(ROWS($AF$2:AF366),$AF$2:$AF$1001,0),0), INDEX($AM$1004:$BM$1004,1,MATCH(COLUMNS($AM$1006:AT1006),$AM$1006:$BM$1006,0)))),"Fix")))</f>
        <v xml:space="preserve"> </v>
      </c>
      <c r="J366" s="4" t="str">
        <f ca="1">IF(OR(INDEX($AG$2:$AG$1001,MATCH(ROWS($AF$2:AF366),$AF$2:$AF$1001,0),1)&gt;=100000,INDEX($AM$1005:$BM$1005,1,MATCH(COLUMNS($AM$1006:AU1006),$AM$1006:$BM$1006,0))&gt;=100000), " ",IF(INDEX($AM$2:$BM$1001,MATCH(ROWS($AF$2:AF366),$AF$2:$AF$1001,0),MATCH(COLUMNS($AM$1006:AU1006),$AM$1006:$BM$1006,0)), HYPERLINK("#",""), HYPERLINK(CONCATENATE("#metadata!", ADDRESS(INDEX($AH$2:$AH$1001,MATCH(ROWS($AF$2:AF366),$AF$2:$AF$1001,0),0), INDEX($AM$1004:$BM$1004,1,MATCH(COLUMNS($AM$1006:AU1006),$AM$1006:$BM$1006,0)))),"Fix")))</f>
        <v xml:space="preserve"> </v>
      </c>
      <c r="K366" s="4" t="str">
        <f ca="1">IF(OR(INDEX($AG$2:$AG$1001,MATCH(ROWS($AF$2:AF366),$AF$2:$AF$1001,0),1)&gt;=100000,INDEX($AM$1005:$BM$1005,1,MATCH(COLUMNS($AM$1006:AV1006),$AM$1006:$BM$1006,0))&gt;=100000), " ",IF(INDEX($AM$2:$BM$1001,MATCH(ROWS($AF$2:AF366),$AF$2:$AF$1001,0),MATCH(COLUMNS($AM$1006:AV1006),$AM$1006:$BM$1006,0)), HYPERLINK("#",""), HYPERLINK(CONCATENATE("#metadata!", ADDRESS(INDEX($AH$2:$AH$1001,MATCH(ROWS($AF$2:AF366),$AF$2:$AF$1001,0),0), INDEX($AM$1004:$BM$1004,1,MATCH(COLUMNS($AM$1006:AV1006),$AM$1006:$BM$1006,0)))),"Fix")))</f>
        <v xml:space="preserve"> </v>
      </c>
      <c r="L366" s="4" t="str">
        <f ca="1">IF(OR(INDEX($AG$2:$AG$1001,MATCH(ROWS($AF$2:AF366),$AF$2:$AF$1001,0),1)&gt;=100000,INDEX($AM$1005:$BM$1005,1,MATCH(COLUMNS($AM$1006:AW1006),$AM$1006:$BM$1006,0))&gt;=100000), " ",IF(INDEX($AM$2:$BM$1001,MATCH(ROWS($AF$2:AF366),$AF$2:$AF$1001,0),MATCH(COLUMNS($AM$1006:AW1006),$AM$1006:$BM$1006,0)), HYPERLINK("#",""), HYPERLINK(CONCATENATE("#metadata!", ADDRESS(INDEX($AH$2:$AH$1001,MATCH(ROWS($AF$2:AF366),$AF$2:$AF$1001,0),0), INDEX($AM$1004:$BM$1004,1,MATCH(COLUMNS($AM$1006:AW1006),$AM$1006:$BM$1006,0)))),"Fix")))</f>
        <v xml:space="preserve"> </v>
      </c>
      <c r="M366" s="4" t="str">
        <f ca="1">IF(OR(INDEX($AG$2:$AG$1001,MATCH(ROWS($AF$2:AF366),$AF$2:$AF$1001,0),1)&gt;=100000,INDEX($AM$1005:$BM$1005,1,MATCH(COLUMNS($AM$1006:AX1006),$AM$1006:$BM$1006,0))&gt;=100000), " ",IF(INDEX($AM$2:$BM$1001,MATCH(ROWS($AF$2:AF366),$AF$2:$AF$1001,0),MATCH(COLUMNS($AM$1006:AX1006),$AM$1006:$BM$1006,0)), HYPERLINK("#",""), HYPERLINK(CONCATENATE("#metadata!", ADDRESS(INDEX($AH$2:$AH$1001,MATCH(ROWS($AF$2:AF366),$AF$2:$AF$1001,0),0), INDEX($AM$1004:$BM$1004,1,MATCH(COLUMNS($AM$1006:AX1006),$AM$1006:$BM$1006,0)))),"Fix")))</f>
        <v xml:space="preserve"> </v>
      </c>
      <c r="N366" s="4" t="str">
        <f ca="1">IF(OR(INDEX($AG$2:$AG$1001,MATCH(ROWS($AF$2:AF366),$AF$2:$AF$1001,0),1)&gt;=100000,INDEX($AM$1005:$BM$1005,1,MATCH(COLUMNS($AM$1006:AY1006),$AM$1006:$BM$1006,0))&gt;=100000), " ",IF(INDEX($AM$2:$BM$1001,MATCH(ROWS($AF$2:AF366),$AF$2:$AF$1001,0),MATCH(COLUMNS($AM$1006:AY1006),$AM$1006:$BM$1006,0)), HYPERLINK("#",""), HYPERLINK(CONCATENATE("#metadata!", ADDRESS(INDEX($AH$2:$AH$1001,MATCH(ROWS($AF$2:AF366),$AF$2:$AF$1001,0),0), INDEX($AM$1004:$BM$1004,1,MATCH(COLUMNS($AM$1006:AY1006),$AM$1006:$BM$1006,0)))),"Fix")))</f>
        <v xml:space="preserve"> </v>
      </c>
      <c r="O366" s="4" t="str">
        <f ca="1">IF(OR(INDEX($AG$2:$AG$1001,MATCH(ROWS($AF$2:AF366),$AF$2:$AF$1001,0),1)&gt;=100000,INDEX($AM$1005:$BM$1005,1,MATCH(COLUMNS($AM$1006:AZ1006),$AM$1006:$BM$1006,0))&gt;=100000), " ",IF(INDEX($AM$2:$BM$1001,MATCH(ROWS($AF$2:AF366),$AF$2:$AF$1001,0),MATCH(COLUMNS($AM$1006:AZ1006),$AM$1006:$BM$1006,0)), HYPERLINK("#",""), HYPERLINK(CONCATENATE("#metadata!", ADDRESS(INDEX($AH$2:$AH$1001,MATCH(ROWS($AF$2:AF366),$AF$2:$AF$1001,0),0), INDEX($AM$1004:$BM$1004,1,MATCH(COLUMNS($AM$1006:AZ1006),$AM$1006:$BM$1006,0)))),"Fix")))</f>
        <v xml:space="preserve"> </v>
      </c>
      <c r="P366" s="4" t="str">
        <f ca="1">IF(OR(INDEX($AG$2:$AG$1001,MATCH(ROWS($AF$2:AF366),$AF$2:$AF$1001,0),1)&gt;=100000,INDEX($AM$1005:$BM$1005,1,MATCH(COLUMNS($AM$1006:BA1006),$AM$1006:$BM$1006,0))&gt;=100000), " ",IF(INDEX($AM$2:$BM$1001,MATCH(ROWS($AF$2:AF366),$AF$2:$AF$1001,0),MATCH(COLUMNS($AM$1006:BA1006),$AM$1006:$BM$1006,0)), HYPERLINK("#",""), HYPERLINK(CONCATENATE("#metadata!", ADDRESS(INDEX($AH$2:$AH$1001,MATCH(ROWS($AF$2:AF366),$AF$2:$AF$1001,0),0), INDEX($AM$1004:$BM$1004,1,MATCH(COLUMNS($AM$1006:BA1006),$AM$1006:$BM$1006,0)))),"Fix")))</f>
        <v xml:space="preserve"> </v>
      </c>
      <c r="Q366" s="4" t="str">
        <f ca="1">IF(OR(INDEX($AG$2:$AG$1001,MATCH(ROWS($AF$2:AF366),$AF$2:$AF$1001,0),1)&gt;=100000,INDEX($AM$1005:$BM$1005,1,MATCH(COLUMNS($AM$1006:BB1006),$AM$1006:$BM$1006,0))&gt;=100000), " ",IF(INDEX($AM$2:$BM$1001,MATCH(ROWS($AF$2:AF366),$AF$2:$AF$1001,0),MATCH(COLUMNS($AM$1006:BB1006),$AM$1006:$BM$1006,0)), HYPERLINK("#",""), HYPERLINK(CONCATENATE("#metadata!", ADDRESS(INDEX($AH$2:$AH$1001,MATCH(ROWS($AF$2:AF366),$AF$2:$AF$1001,0),0), INDEX($AM$1004:$BM$1004,1,MATCH(COLUMNS($AM$1006:BB1006),$AM$1006:$BM$1006,0)))),"Fix")))</f>
        <v xml:space="preserve"> </v>
      </c>
      <c r="R366" s="4" t="str">
        <f ca="1">IF(OR(INDEX($AG$2:$AG$1001,MATCH(ROWS($AF$2:AF366),$AF$2:$AF$1001,0),1)&gt;=100000,INDEX($AM$1005:$BM$1005,1,MATCH(COLUMNS($AM$1006:BC1006),$AM$1006:$BM$1006,0))&gt;=100000), " ",IF(INDEX($AM$2:$BM$1001,MATCH(ROWS($AF$2:AF366),$AF$2:$AF$1001,0),MATCH(COLUMNS($AM$1006:BC1006),$AM$1006:$BM$1006,0)), HYPERLINK("#",""), HYPERLINK(CONCATENATE("#metadata!", ADDRESS(INDEX($AH$2:$AH$1001,MATCH(ROWS($AF$2:AF366),$AF$2:$AF$1001,0),0), INDEX($AM$1004:$BM$1004,1,MATCH(COLUMNS($AM$1006:BC1006),$AM$1006:$BM$1006,0)))),"Fix")))</f>
        <v xml:space="preserve"> </v>
      </c>
      <c r="S366" s="4" t="str">
        <f ca="1">IF(OR(INDEX($AG$2:$AG$1001,MATCH(ROWS($AF$2:AF366),$AF$2:$AF$1001,0),1)&gt;=100000,INDEX($AM$1005:$BM$1005,1,MATCH(COLUMNS($AM$1006:BD1006),$AM$1006:$BM$1006,0))&gt;=100000), " ",IF(INDEX($AM$2:$BM$1001,MATCH(ROWS($AF$2:AF366),$AF$2:$AF$1001,0),MATCH(COLUMNS($AM$1006:BD1006),$AM$1006:$BM$1006,0)), HYPERLINK("#",""), HYPERLINK(CONCATENATE("#metadata!", ADDRESS(INDEX($AH$2:$AH$1001,MATCH(ROWS($AF$2:AF366),$AF$2:$AF$1001,0),0), INDEX($AM$1004:$BM$1004,1,MATCH(COLUMNS($AM$1006:BD1006),$AM$1006:$BM$1006,0)))),"Fix")))</f>
        <v xml:space="preserve"> </v>
      </c>
      <c r="T366" s="4" t="str">
        <f ca="1">IF(OR(INDEX($AG$2:$AG$1001,MATCH(ROWS($AF$2:AF366),$AF$2:$AF$1001,0),1)&gt;=100000,INDEX($AM$1005:$BM$1005,1,MATCH(COLUMNS($AM$1006:BE1006),$AM$1006:$BM$1006,0))&gt;=100000), " ",IF(INDEX($AM$2:$BM$1001,MATCH(ROWS($AF$2:AF366),$AF$2:$AF$1001,0),MATCH(COLUMNS($AM$1006:BE1006),$AM$1006:$BM$1006,0)), HYPERLINK("#",""), HYPERLINK(CONCATENATE("#metadata!", ADDRESS(INDEX($AH$2:$AH$1001,MATCH(ROWS($AF$2:AF366),$AF$2:$AF$1001,0),0), INDEX($AM$1004:$BM$1004,1,MATCH(COLUMNS($AM$1006:BE1006),$AM$1006:$BM$1006,0)))),"Fix")))</f>
        <v xml:space="preserve"> </v>
      </c>
      <c r="U366" s="4" t="str">
        <f ca="1">IF(OR(INDEX($AG$2:$AG$1001,MATCH(ROWS($AF$2:AF366),$AF$2:$AF$1001,0),1)&gt;=100000,INDEX($AM$1005:$BM$1005,1,MATCH(COLUMNS($AM$1006:BF1006),$AM$1006:$BM$1006,0))&gt;=100000), " ",IF(INDEX($AM$2:$BM$1001,MATCH(ROWS($AF$2:AF366),$AF$2:$AF$1001,0),MATCH(COLUMNS($AM$1006:BF1006),$AM$1006:$BM$1006,0)), HYPERLINK("#",""), HYPERLINK(CONCATENATE("#metadata!", ADDRESS(INDEX($AH$2:$AH$1001,MATCH(ROWS($AF$2:AF366),$AF$2:$AF$1001,0),0), INDEX($AM$1004:$BM$1004,1,MATCH(COLUMNS($AM$1006:BF1006),$AM$1006:$BM$1006,0)))),"Fix")))</f>
        <v xml:space="preserve"> </v>
      </c>
      <c r="V366" s="4" t="str">
        <f ca="1">IF(OR(INDEX($AG$2:$AG$1001,MATCH(ROWS($AF$2:AF366),$AF$2:$AF$1001,0),1)&gt;=100000,INDEX($AM$1005:$BM$1005,1,MATCH(COLUMNS($AM$1006:BG1006),$AM$1006:$BM$1006,0))&gt;=100000), " ",IF(INDEX($AM$2:$BM$1001,MATCH(ROWS($AF$2:AF366),$AF$2:$AF$1001,0),MATCH(COLUMNS($AM$1006:BG1006),$AM$1006:$BM$1006,0)), HYPERLINK("#",""), HYPERLINK(CONCATENATE("#metadata!", ADDRESS(INDEX($AH$2:$AH$1001,MATCH(ROWS($AF$2:AF366),$AF$2:$AF$1001,0),0), INDEX($AM$1004:$BM$1004,1,MATCH(COLUMNS($AM$1006:BG1006),$AM$1006:$BM$1006,0)))),"Fix")))</f>
        <v xml:space="preserve"> </v>
      </c>
      <c r="W366" s="4" t="str">
        <f ca="1">IF(OR(INDEX($AG$2:$AG$1001,MATCH(ROWS($AF$2:AF366),$AF$2:$AF$1001,0),1)&gt;=100000,INDEX($AM$1005:$BM$1005,1,MATCH(COLUMNS($AM$1006:BH1006),$AM$1006:$BM$1006,0))&gt;=100000), " ",IF(INDEX($AM$2:$BM$1001,MATCH(ROWS($AF$2:AF366),$AF$2:$AF$1001,0),MATCH(COLUMNS($AM$1006:BH1006),$AM$1006:$BM$1006,0)), HYPERLINK("#",""), HYPERLINK(CONCATENATE("#metadata!", ADDRESS(INDEX($AH$2:$AH$1001,MATCH(ROWS($AF$2:AF366),$AF$2:$AF$1001,0),0), INDEX($AM$1004:$BM$1004,1,MATCH(COLUMNS($AM$1006:BH1006),$AM$1006:$BM$1006,0)))),"Fix")))</f>
        <v xml:space="preserve"> </v>
      </c>
      <c r="X366" s="4" t="str">
        <f ca="1">IF(OR(INDEX($AG$2:$AG$1001,MATCH(ROWS($AF$2:AF366),$AF$2:$AF$1001,0),1)&gt;=100000,INDEX($AM$1005:$BM$1005,1,MATCH(COLUMNS($AM$1006:BI1006),$AM$1006:$BM$1006,0))&gt;=100000), " ",IF(INDEX($AM$2:$BM$1001,MATCH(ROWS($AF$2:AF366),$AF$2:$AF$1001,0),MATCH(COLUMNS($AM$1006:BI1006),$AM$1006:$BM$1006,0)), HYPERLINK("#",""), HYPERLINK(CONCATENATE("#metadata!", ADDRESS(INDEX($AH$2:$AH$1001,MATCH(ROWS($AF$2:AF366),$AF$2:$AF$1001,0),0), INDEX($AM$1004:$BM$1004,1,MATCH(COLUMNS($AM$1006:BI1006),$AM$1006:$BM$1006,0)))),"Fix")))</f>
        <v xml:space="preserve"> </v>
      </c>
      <c r="Y366" s="4" t="str">
        <f ca="1">IF(OR(INDEX($AG$2:$AG$1001,MATCH(ROWS($AF$2:AF366),$AF$2:$AF$1001,0),1)&gt;=100000,INDEX($AM$1005:$BM$1005,1,MATCH(COLUMNS($AM$1006:BJ1006),$AM$1006:$BM$1006,0))&gt;=100000), " ",IF(INDEX($AM$2:$BM$1001,MATCH(ROWS($AF$2:AF366),$AF$2:$AF$1001,0),MATCH(COLUMNS($AM$1006:BJ1006),$AM$1006:$BM$1006,0)), HYPERLINK("#",""), HYPERLINK(CONCATENATE("#metadata!", ADDRESS(INDEX($AH$2:$AH$1001,MATCH(ROWS($AF$2:AF366),$AF$2:$AF$1001,0),0), INDEX($AM$1004:$BM$1004,1,MATCH(COLUMNS($AM$1006:BJ1006),$AM$1006:$BM$1006,0)))),"Fix")))</f>
        <v xml:space="preserve"> </v>
      </c>
      <c r="Z366" s="4" t="str">
        <f ca="1">IF(OR(INDEX($AG$2:$AG$1001,MATCH(ROWS($AF$2:AF366),$AF$2:$AF$1001,0),1)&gt;=100000,INDEX($AM$1005:$BM$1005,1,MATCH(COLUMNS($AM$1006:BK1006),$AM$1006:$BM$1006,0))&gt;=100000), " ",IF(INDEX($AM$2:$BM$1001,MATCH(ROWS($AF$2:AF366),$AF$2:$AF$1001,0),MATCH(COLUMNS($AM$1006:BK1006),$AM$1006:$BM$1006,0)), HYPERLINK("#",""), HYPERLINK(CONCATENATE("#metadata!", ADDRESS(INDEX($AH$2:$AH$1001,MATCH(ROWS($AF$2:AF366),$AF$2:$AF$1001,0),0), INDEX($AM$1004:$BM$1004,1,MATCH(COLUMNS($AM$1006:BK1006),$AM$1006:$BM$1006,0)))),"Fix")))</f>
        <v xml:space="preserve"> </v>
      </c>
      <c r="AA366" s="4" t="str">
        <f ca="1">IF(OR(INDEX($AG$2:$AG$1001,MATCH(ROWS($AF$2:AF366),$AF$2:$AF$1001,0),1)&gt;=100000,INDEX($AM$1005:$BM$1005,1,MATCH(COLUMNS($AM$1006:BL1006),$AM$1006:$BM$1006,0))&gt;=100000), " ",IF(INDEX($AM$2:$BM$1001,MATCH(ROWS($AF$2:AF366),$AF$2:$AF$1001,0),MATCH(COLUMNS($AM$1006:BL1006),$AM$1006:$BM$1006,0)), HYPERLINK("#",""), HYPERLINK(CONCATENATE("#metadata!", ADDRESS(INDEX($AH$2:$AH$1001,MATCH(ROWS($AF$2:AF366),$AF$2:$AF$1001,0),0), INDEX($AM$1004:$BM$1004,1,MATCH(COLUMNS($AM$1006:BL1006),$AM$1006:$BM$1006,0)))),"Fix")))</f>
        <v xml:space="preserve"> </v>
      </c>
      <c r="AB366" s="4" t="str">
        <f ca="1">IF(OR(INDEX($AG$2:$AG$1001,MATCH(ROWS($AF$2:AF366),$AF$2:$AF$1001,0),1)&gt;=100000,INDEX($AM$1005:$BM$1005,1,MATCH(COLUMNS($AM$1006:BM1006),$AM$1006:$BM$1006,0))&gt;=100000), " ",IF(INDEX($AM$2:$BM$1001,MATCH(ROWS($AF$2:AF366),$AF$2:$AF$1001,0),MATCH(COLUMNS($AM$1006:BM1006),$AM$1006:$BM$1006,0)), HYPERLINK("#",""), HYPERLINK(CONCATENATE("#metadata!", ADDRESS(INDEX($AH$2:$AH$1001,MATCH(ROWS($AF$2:AF366),$AF$2:$AF$1001,0),0), INDEX($AM$1004:$BM$1004,1,MATCH(COLUMNS($AM$1006:BM1006),$AM$1006:$BM$1006,0)))),"Fix")))</f>
        <v xml:space="preserve"> </v>
      </c>
      <c r="AF366">
        <v>365</v>
      </c>
      <c r="AG366">
        <v>100366</v>
      </c>
      <c r="AH366">
        <v>366</v>
      </c>
      <c r="AI366" t="b">
        <f t="shared" si="5"/>
        <v>1</v>
      </c>
      <c r="AJ366" t="b">
        <f>COUNTBLANK(metadata!B366:AB366)=COLUMNS(metadata!B366:AB366)</f>
        <v>1</v>
      </c>
      <c r="AK366" t="str">
        <v/>
      </c>
      <c r="AM366" t="b">
        <f ca="1">AND(IF(metadata!B366="",FALSE,TRUE),COUNTIF(metadata!B:B, metadata!B366) = 1,NOT(ISERROR(SUMPRODUCT(SEARCH(MID(metadata!B366,ROW(INDIRECT("1:"&amp;LEN(metadata!B366))), 1),"0123456789abcdefghijklmnopqrstuvwxyzABCDEFGHIJKLMNOPQRSTUVWXYZ.")))))</f>
        <v>0</v>
      </c>
      <c r="AN366" t="b">
        <f ca="1">OR(AND(IF(metadata!C366="",FALSE,TRUE),OR(EXACT(metadata!C366,"missing: not collected"),EXACT(metadata!C366,"missing: not provided"),EXACT(metadata!C366,"missing: restricted access"))),AND(IF(metadata!C366="",FALSE,TRUE),AND(AND(IFERROR(INT(LEFT(metadata!C366,4))&gt;1900,FALSE),IFERROR(INT(LEFT(metadata!C366,4))&lt;=YEAR(NOW()),FALSE)), OR(MID(metadata!C366,5,1)="", AND(AND(MID(metadata!C366,5,1)="-",IFERROR(INT(MID(metadata!C366,6,1))&gt;=0,FALSE),IFERROR(INT(MID(metadata!C366,6,1))&lt;=1,FALSE),NOT(MID(metadata!C366,7,1)=""),IFERROR(INT(MID(metadata!C366,6,2))&gt;=1,FALSE),IFERROR(INT(MID(metadata!C366,6,2))&lt;=12,FALSE)), OR(MID(metadata!C366,8,1)="", AND(AND(MID(metadata!C366,8,1)="-",IFERROR(INT(MID(metadata!C366,9,1))&gt;=0,FALSE),IFERROR(INT(MID(metadata!C366,9,1))&lt;=3,FALSE),NOT(MID(metadata!C366,10,1)=""),IFERROR(INT(MID(metadata!C366,9,2))&gt;=1,FALSE),IFERROR(INT(MID(metadata!C366,9,2))&lt;=31,FALSE)), OR(MID(metadata!C366,11,1)="", AND(AND(MID(metadata!C366,11,1)=" ",IFERROR(INT(MID(metadata!C366,12,1))&gt;=0,FALSE),IFERROR(INT(MID(metadata!C366,12,1))&lt;=2,FALSE),NOT(MID(metadata!C366,13,1)=""),IFERROR(INT(MID(metadata!C366,12,2))&gt;=0,FALSE),IFERROR(INT(MID(metadata!C366,12,2))&lt;=23,FALSE)), OR(MID(metadata!C366,14,1)="", AND(AND(MID(metadata!C366,14,1)=":",IFERROR(INT(MID(metadata!C366,15,1))&gt;=0,FALSE),IFERROR(INT(MID(metadata!C366,15,1))&lt;=5,FALSE),NOT(MID(metadata!C366,16,1)=""),IFERROR(INT(MID(metadata!C366,15,2))&gt;=0,FALSE),IFERROR(INT(MID(metadata!C366,15,2))&lt;=59,FALSE)), OR(MID(metadata!C366,17,1)="", AND(AND(MID(metadata!C366,17,1)=":",IFERROR(INT(MID(metadata!C366,18,1))&gt;=0,FALSE),IFERROR(INT(MID(metadata!C366,18,1))&lt;=5,FALSE),NOT(MID(metadata!C366,19,1)=""),IFERROR(INT(MID(metadata!C366,18,2))&gt;=0,FALSE),IFERROR(INT(MID(metadata!C366,18,2))&lt;=59,FALSE)), LEN(metadata!C366)&lt;=19)))))))))))))</f>
        <v>0</v>
      </c>
      <c r="AO366" t="b">
        <f>AND(IF(metadata!D366="",FALSE,TRUE),EXACT(metadata!D366,"Not applicable"))</f>
        <v>0</v>
      </c>
      <c r="AP366" t="b">
        <f>IF(metadata!E366="",FALSE,TRUE)</f>
        <v>0</v>
      </c>
      <c r="AQ366" t="b">
        <f>OR(AND(IF(metadata!F366="",FALSE,TRUE),OR(EXACT(metadata!F366,"missing: not collected"),EXACT(metadata!F366,"missing: not provided"))),AND(IF(metadata!F366="",FALSE,TRUE),OR(EXACT(metadata!F366,"TRUE"),EXACT(metadata!F366,"FALSE"))))</f>
        <v>0</v>
      </c>
      <c r="AR366" t="b">
        <f>OR(AND(IF(metadata!G366="",FALSE,TRUE),OR(EXACT(metadata!G366,"missing: not collected"),EXACT(metadata!G366,"missing: not provided"),EXACT(metadata!G366,"missing: restricted access"))),AND(IF(metadata!G366="",FALSE,ISNUMBER(VALUE(metadata!G366))),metadata!G366&gt;=-413))</f>
        <v>0</v>
      </c>
      <c r="AS366" t="b">
        <f>AND(IF(metadata!H366="",FALSE,TRUE),EXACT(metadata!H366,"meters"))</f>
        <v>0</v>
      </c>
      <c r="AT366" t="b">
        <f>AND(IF(metadata!I366="",FALSE,TRUE),OR(EXACT(metadata!I366,"Host-associated"),EXACT(metadata!I366,"Free-living")))</f>
        <v>0</v>
      </c>
      <c r="AU366" t="b">
        <f>AND(IF(metadata!J366="",FALSE,TRUE),OR(EXACT(metadata!J366,"Animal"),EXACT(metadata!J366,"Fungus"),EXACT(metadata!J366,"Plant"),EXACT(metadata!J366,"Saline"),EXACT(metadata!J366,"Non-saline")))</f>
        <v>0</v>
      </c>
      <c r="AV366" t="b">
        <f>AND(IF(metadata!K366="",FALSE,TRUE),OR(EXACT(metadata!K366,"Plant secretion"),EXACT(metadata!K366,"Plant rhizosphere"),EXACT(metadata!K366,"Plant surface"),EXACT(metadata!K366,"Plant corpus"),EXACT(metadata!K366,"Fungus surface"),EXACT(metadata!K366,"Fungus corpus"),EXACT(metadata!K366,"Animal surface"),EXACT(metadata!K366,"Animal proximal gut"),EXACT(metadata!K366,"Animal corpus"),EXACT(metadata!K366,"Animal distal gut"),EXACT(metadata!K366,"Animal secretion"),EXACT(metadata!K366,"Sub-surface (non-saline)"),EXACT(metadata!K366,"Surface (non-saline)"),EXACT(metadata!K366,"Water (non-saline)"),EXACT(metadata!K366,"Soil (non-saline)"),EXACT(metadata!K366,"Aerosol (non-saline)"),EXACT(metadata!K366,"Sediment (non-saline)"),EXACT(metadata!K366,"Surface (saline)"),EXACT(metadata!K366,"Water (saline)"),EXACT(metadata!K366,"Hypersaline (saline)"),EXACT(metadata!K366,"Aerosol (saline)"),EXACT(metadata!K366,"Sediment (saline)")))</f>
        <v>0</v>
      </c>
      <c r="AW366" t="b">
        <f>IF(metadata!L366="",FALSE,TRUE)</f>
        <v>0</v>
      </c>
      <c r="AX366" t="b">
        <f>IF(metadata!M366="",FALSE,TRUE)</f>
        <v>0</v>
      </c>
      <c r="AY366" t="b">
        <f>IF(metadata!N366="",FALSE,TRUE)</f>
        <v>0</v>
      </c>
      <c r="AZ366" t="b">
        <f>OR(AND(IF(metadata!O366="",FALSE,TRUE),OR(EXACT(metadata!O366,"missing: not collected"),EXACT(metadata!O366,"missing: not provided"),EXACT(metadata!O366,"missing: restricted access"))),AND(IF(metadata!O366="",FALSE,TRUE),OR(EXACT(metadata!O366,"air"),EXACT(metadata!O366,"built environment"),EXACT(metadata!O366,"host-associated"),EXACT(metadata!O366,"human-associated"),EXACT(metadata!O366,"human-skin"),EXACT(metadata!O366,"human-oral"),EXACT(metadata!O366,"human-gut"),EXACT(metadata!O366,"human-vaginal"),EXACT(metadata!O366,"microbial mat/biofilm"),EXACT(metadata!O366,"misc environment"),EXACT(metadata!O366,"plant-associated"),EXACT(metadata!O366,"sediment"),EXACT(metadata!O366,"soil"),EXACT(metadata!O366,"wastewater/sludge"),EXACT(metadata!O366,"water"))))</f>
        <v>0</v>
      </c>
      <c r="BA366" t="b">
        <f>IF(metadata!P366="",FALSE,TRUE)</f>
        <v>0</v>
      </c>
      <c r="BB366" t="b">
        <f>IF(metadata!Q366="",FALSE,TRUE)</f>
        <v>0</v>
      </c>
      <c r="BC366" t="b">
        <f>OR(AND(IF(metadata!R366="",FALSE,TRUE),OR(EXACT(metadata!R366,"missing: not collected"),EXACT(metadata!R366,"missing: not provided"),EXACT(metadata!R366,"missing: restricted access"))),AND(IF(metadata!R366="",FALSE,ISNUMBER(VALUE(metadata!R366))),metadata!R366&gt;=-90,metadata!R366&lt;=90))</f>
        <v>0</v>
      </c>
      <c r="BD366" t="b">
        <f>AND(IF(metadata!S366="",FALSE,TRUE),EXACT(metadata!S366,"Decimal degrees"))</f>
        <v>0</v>
      </c>
      <c r="BE366" t="b">
        <f>OR(AND(IF(metadata!T366="",FALSE,TRUE),OR(EXACT(metadata!T366,"missing: not collected"),EXACT(metadata!T366,"missing: not provided"),EXACT(metadata!T366,"missing: restricted access"))),AND(IF(metadata!T366="",FALSE,ISNUMBER(VALUE(metadata!T366))),metadata!T366&gt;=-180,metadata!T366&lt;=180))</f>
        <v>0</v>
      </c>
      <c r="BF366" t="b">
        <f>AND(IF(metadata!U366="",FALSE,TRUE),EXACT(metadata!U366,"Decimal degrees"))</f>
        <v>0</v>
      </c>
      <c r="BG366" t="b">
        <f>IF(metadata!V366="",FALSE,TRUE)</f>
        <v>0</v>
      </c>
      <c r="BH366" t="b">
        <f>OR(AND(IF(metadata!W366="",FALSE,TRUE),OR(EXACT(metadata!W366,"missing: not collected"),EXACT(metadata!W366,"missing: not provided"),EXACT(metadata!W366,"missing: restricted access"))),AND(IF(metadata!W366="",FALSE,TRUE),OR(EXACT(metadata!W366,"TRUE"),EXACT(metadata!W366,"FALSE"))))</f>
        <v>0</v>
      </c>
      <c r="BI366" t="b">
        <f>AND(IF(metadata!X366="",FALSE,TRUE),EXACT(metadata!X366,"other"))</f>
        <v>0</v>
      </c>
      <c r="BJ366" t="b">
        <f>IF(metadata!Y366="",FALSE,TRUE)</f>
        <v>0</v>
      </c>
      <c r="BK366" t="b">
        <f>OR(AND(IF(metadata!Z366="",FALSE,TRUE),OR(EXACT(metadata!Z366,"missing: not collected"),EXACT(metadata!Z366,"missing: not provided"))),AND(IF(metadata!Z366="",FALSE,IF(ISERROR(INT(metadata!Z366)),FALSE,INT(metadata!Z366)=metadata!Z366)),metadata!Z366&gt;0))</f>
        <v>0</v>
      </c>
      <c r="BL366" t="b">
        <f>AND(IF(metadata!AA366="",FALSE,TRUE),EXACT(metadata!AA366,"Not applicable"))</f>
        <v>0</v>
      </c>
      <c r="BM366" t="b">
        <f>IF(metadata!AB366="",FALSE,TRUE)</f>
        <v>0</v>
      </c>
    </row>
    <row r="367" spans="1:65" x14ac:dyDescent="0.2">
      <c r="A367" s="5" t="str">
        <f ca="1">IF(B367=" "," ",HYPERLINK(CONCATENATE("#metadata!",ADDRESS(INDEX($AH$2:$AH$1001,MATCH(ROWS($AF$2:AF367),$AF$2:$AF$1001,0),0),1)),INDEX($AK$2:$AK$1001,MATCH(ROWS($AF$2:AF367),$AF$2:$AF$1001,0),0)))</f>
        <v xml:space="preserve"> </v>
      </c>
      <c r="B367" s="4" t="str">
        <f ca="1">IF(OR(INDEX($AG$2:$AG$1001,MATCH(ROWS($AF$2:AF367),$AF$2:$AF$1001,0),1)&gt;=100000,INDEX($AM$1005:$BM$1005,1,MATCH(COLUMNS($AM$1006:AM1006),$AM$1006:$BM$1006,0))&gt;=100000), " ",IF(INDEX($AM$2:$BM$1001,MATCH(ROWS($AF$2:AF367),$AF$2:$AF$1001,0),MATCH(COLUMNS($AM$1006:AM1006),$AM$1006:$BM$1006,0)), HYPERLINK("#",""), HYPERLINK(CONCATENATE("#metadata!", ADDRESS(INDEX($AH$2:$AH$1001,MATCH(ROWS($AF$2:AF367),$AF$2:$AF$1001,0),0), INDEX($AM$1004:$BM$1004,1,MATCH(COLUMNS($AM$1006:AM1006),$AM$1006:$BM$1006,0)))),"Fix")))</f>
        <v xml:space="preserve"> </v>
      </c>
      <c r="C367" s="4" t="str">
        <f ca="1">IF(OR(INDEX($AG$2:$AG$1001,MATCH(ROWS($AF$2:AF367),$AF$2:$AF$1001,0),1)&gt;=100000,INDEX($AM$1005:$BM$1005,1,MATCH(COLUMNS($AM$1006:AN1006),$AM$1006:$BM$1006,0))&gt;=100000), " ",IF(INDEX($AM$2:$BM$1001,MATCH(ROWS($AF$2:AF367),$AF$2:$AF$1001,0),MATCH(COLUMNS($AM$1006:AN1006),$AM$1006:$BM$1006,0)), HYPERLINK("#",""), HYPERLINK(CONCATENATE("#metadata!", ADDRESS(INDEX($AH$2:$AH$1001,MATCH(ROWS($AF$2:AF367),$AF$2:$AF$1001,0),0), INDEX($AM$1004:$BM$1004,1,MATCH(COLUMNS($AM$1006:AN1006),$AM$1006:$BM$1006,0)))),"Fix")))</f>
        <v xml:space="preserve"> </v>
      </c>
      <c r="D367" s="4" t="str">
        <f ca="1">IF(OR(INDEX($AG$2:$AG$1001,MATCH(ROWS($AF$2:AF367),$AF$2:$AF$1001,0),1)&gt;=100000,INDEX($AM$1005:$BM$1005,1,MATCH(COLUMNS($AM$1006:AO1006),$AM$1006:$BM$1006,0))&gt;=100000), " ",IF(INDEX($AM$2:$BM$1001,MATCH(ROWS($AF$2:AF367),$AF$2:$AF$1001,0),MATCH(COLUMNS($AM$1006:AO1006),$AM$1006:$BM$1006,0)), HYPERLINK("#",""), HYPERLINK(CONCATENATE("#metadata!", ADDRESS(INDEX($AH$2:$AH$1001,MATCH(ROWS($AF$2:AF367),$AF$2:$AF$1001,0),0), INDEX($AM$1004:$BM$1004,1,MATCH(COLUMNS($AM$1006:AO1006),$AM$1006:$BM$1006,0)))),"Fix")))</f>
        <v xml:space="preserve"> </v>
      </c>
      <c r="E367" s="4" t="str">
        <f ca="1">IF(OR(INDEX($AG$2:$AG$1001,MATCH(ROWS($AF$2:AF367),$AF$2:$AF$1001,0),1)&gt;=100000,INDEX($AM$1005:$BM$1005,1,MATCH(COLUMNS($AM$1006:AP1006),$AM$1006:$BM$1006,0))&gt;=100000), " ",IF(INDEX($AM$2:$BM$1001,MATCH(ROWS($AF$2:AF367),$AF$2:$AF$1001,0),MATCH(COLUMNS($AM$1006:AP1006),$AM$1006:$BM$1006,0)), HYPERLINK("#",""), HYPERLINK(CONCATENATE("#metadata!", ADDRESS(INDEX($AH$2:$AH$1001,MATCH(ROWS($AF$2:AF367),$AF$2:$AF$1001,0),0), INDEX($AM$1004:$BM$1004,1,MATCH(COLUMNS($AM$1006:AP1006),$AM$1006:$BM$1006,0)))),"Fix")))</f>
        <v xml:space="preserve"> </v>
      </c>
      <c r="F367" s="4" t="str">
        <f ca="1">IF(OR(INDEX($AG$2:$AG$1001,MATCH(ROWS($AF$2:AF367),$AF$2:$AF$1001,0),1)&gt;=100000,INDEX($AM$1005:$BM$1005,1,MATCH(COLUMNS($AM$1006:AQ1006),$AM$1006:$BM$1006,0))&gt;=100000), " ",IF(INDEX($AM$2:$BM$1001,MATCH(ROWS($AF$2:AF367),$AF$2:$AF$1001,0),MATCH(COLUMNS($AM$1006:AQ1006),$AM$1006:$BM$1006,0)), HYPERLINK("#",""), HYPERLINK(CONCATENATE("#metadata!", ADDRESS(INDEX($AH$2:$AH$1001,MATCH(ROWS($AF$2:AF367),$AF$2:$AF$1001,0),0), INDEX($AM$1004:$BM$1004,1,MATCH(COLUMNS($AM$1006:AQ1006),$AM$1006:$BM$1006,0)))),"Fix")))</f>
        <v xml:space="preserve"> </v>
      </c>
      <c r="G367" s="4" t="str">
        <f ca="1">IF(OR(INDEX($AG$2:$AG$1001,MATCH(ROWS($AF$2:AF367),$AF$2:$AF$1001,0),1)&gt;=100000,INDEX($AM$1005:$BM$1005,1,MATCH(COLUMNS($AM$1006:AR1006),$AM$1006:$BM$1006,0))&gt;=100000), " ",IF(INDEX($AM$2:$BM$1001,MATCH(ROWS($AF$2:AF367),$AF$2:$AF$1001,0),MATCH(COLUMNS($AM$1006:AR1006),$AM$1006:$BM$1006,0)), HYPERLINK("#",""), HYPERLINK(CONCATENATE("#metadata!", ADDRESS(INDEX($AH$2:$AH$1001,MATCH(ROWS($AF$2:AF367),$AF$2:$AF$1001,0),0), INDEX($AM$1004:$BM$1004,1,MATCH(COLUMNS($AM$1006:AR1006),$AM$1006:$BM$1006,0)))),"Fix")))</f>
        <v xml:space="preserve"> </v>
      </c>
      <c r="H367" s="4" t="str">
        <f ca="1">IF(OR(INDEX($AG$2:$AG$1001,MATCH(ROWS($AF$2:AF367),$AF$2:$AF$1001,0),1)&gt;=100000,INDEX($AM$1005:$BM$1005,1,MATCH(COLUMNS($AM$1006:AS1006),$AM$1006:$BM$1006,0))&gt;=100000), " ",IF(INDEX($AM$2:$BM$1001,MATCH(ROWS($AF$2:AF367),$AF$2:$AF$1001,0),MATCH(COLUMNS($AM$1006:AS1006),$AM$1006:$BM$1006,0)), HYPERLINK("#",""), HYPERLINK(CONCATENATE("#metadata!", ADDRESS(INDEX($AH$2:$AH$1001,MATCH(ROWS($AF$2:AF367),$AF$2:$AF$1001,0),0), INDEX($AM$1004:$BM$1004,1,MATCH(COLUMNS($AM$1006:AS1006),$AM$1006:$BM$1006,0)))),"Fix")))</f>
        <v xml:space="preserve"> </v>
      </c>
      <c r="I367" s="4" t="str">
        <f ca="1">IF(OR(INDEX($AG$2:$AG$1001,MATCH(ROWS($AF$2:AF367),$AF$2:$AF$1001,0),1)&gt;=100000,INDEX($AM$1005:$BM$1005,1,MATCH(COLUMNS($AM$1006:AT1006),$AM$1006:$BM$1006,0))&gt;=100000), " ",IF(INDEX($AM$2:$BM$1001,MATCH(ROWS($AF$2:AF367),$AF$2:$AF$1001,0),MATCH(COLUMNS($AM$1006:AT1006),$AM$1006:$BM$1006,0)), HYPERLINK("#",""), HYPERLINK(CONCATENATE("#metadata!", ADDRESS(INDEX($AH$2:$AH$1001,MATCH(ROWS($AF$2:AF367),$AF$2:$AF$1001,0),0), INDEX($AM$1004:$BM$1004,1,MATCH(COLUMNS($AM$1006:AT1006),$AM$1006:$BM$1006,0)))),"Fix")))</f>
        <v xml:space="preserve"> </v>
      </c>
      <c r="J367" s="4" t="str">
        <f ca="1">IF(OR(INDEX($AG$2:$AG$1001,MATCH(ROWS($AF$2:AF367),$AF$2:$AF$1001,0),1)&gt;=100000,INDEX($AM$1005:$BM$1005,1,MATCH(COLUMNS($AM$1006:AU1006),$AM$1006:$BM$1006,0))&gt;=100000), " ",IF(INDEX($AM$2:$BM$1001,MATCH(ROWS($AF$2:AF367),$AF$2:$AF$1001,0),MATCH(COLUMNS($AM$1006:AU1006),$AM$1006:$BM$1006,0)), HYPERLINK("#",""), HYPERLINK(CONCATENATE("#metadata!", ADDRESS(INDEX($AH$2:$AH$1001,MATCH(ROWS($AF$2:AF367),$AF$2:$AF$1001,0),0), INDEX($AM$1004:$BM$1004,1,MATCH(COLUMNS($AM$1006:AU1006),$AM$1006:$BM$1006,0)))),"Fix")))</f>
        <v xml:space="preserve"> </v>
      </c>
      <c r="K367" s="4" t="str">
        <f ca="1">IF(OR(INDEX($AG$2:$AG$1001,MATCH(ROWS($AF$2:AF367),$AF$2:$AF$1001,0),1)&gt;=100000,INDEX($AM$1005:$BM$1005,1,MATCH(COLUMNS($AM$1006:AV1006),$AM$1006:$BM$1006,0))&gt;=100000), " ",IF(INDEX($AM$2:$BM$1001,MATCH(ROWS($AF$2:AF367),$AF$2:$AF$1001,0),MATCH(COLUMNS($AM$1006:AV1006),$AM$1006:$BM$1006,0)), HYPERLINK("#",""), HYPERLINK(CONCATENATE("#metadata!", ADDRESS(INDEX($AH$2:$AH$1001,MATCH(ROWS($AF$2:AF367),$AF$2:$AF$1001,0),0), INDEX($AM$1004:$BM$1004,1,MATCH(COLUMNS($AM$1006:AV1006),$AM$1006:$BM$1006,0)))),"Fix")))</f>
        <v xml:space="preserve"> </v>
      </c>
      <c r="L367" s="4" t="str">
        <f ca="1">IF(OR(INDEX($AG$2:$AG$1001,MATCH(ROWS($AF$2:AF367),$AF$2:$AF$1001,0),1)&gt;=100000,INDEX($AM$1005:$BM$1005,1,MATCH(COLUMNS($AM$1006:AW1006),$AM$1006:$BM$1006,0))&gt;=100000), " ",IF(INDEX($AM$2:$BM$1001,MATCH(ROWS($AF$2:AF367),$AF$2:$AF$1001,0),MATCH(COLUMNS($AM$1006:AW1006),$AM$1006:$BM$1006,0)), HYPERLINK("#",""), HYPERLINK(CONCATENATE("#metadata!", ADDRESS(INDEX($AH$2:$AH$1001,MATCH(ROWS($AF$2:AF367),$AF$2:$AF$1001,0),0), INDEX($AM$1004:$BM$1004,1,MATCH(COLUMNS($AM$1006:AW1006),$AM$1006:$BM$1006,0)))),"Fix")))</f>
        <v xml:space="preserve"> </v>
      </c>
      <c r="M367" s="4" t="str">
        <f ca="1">IF(OR(INDEX($AG$2:$AG$1001,MATCH(ROWS($AF$2:AF367),$AF$2:$AF$1001,0),1)&gt;=100000,INDEX($AM$1005:$BM$1005,1,MATCH(COLUMNS($AM$1006:AX1006),$AM$1006:$BM$1006,0))&gt;=100000), " ",IF(INDEX($AM$2:$BM$1001,MATCH(ROWS($AF$2:AF367),$AF$2:$AF$1001,0),MATCH(COLUMNS($AM$1006:AX1006),$AM$1006:$BM$1006,0)), HYPERLINK("#",""), HYPERLINK(CONCATENATE("#metadata!", ADDRESS(INDEX($AH$2:$AH$1001,MATCH(ROWS($AF$2:AF367),$AF$2:$AF$1001,0),0), INDEX($AM$1004:$BM$1004,1,MATCH(COLUMNS($AM$1006:AX1006),$AM$1006:$BM$1006,0)))),"Fix")))</f>
        <v xml:space="preserve"> </v>
      </c>
      <c r="N367" s="4" t="str">
        <f ca="1">IF(OR(INDEX($AG$2:$AG$1001,MATCH(ROWS($AF$2:AF367),$AF$2:$AF$1001,0),1)&gt;=100000,INDEX($AM$1005:$BM$1005,1,MATCH(COLUMNS($AM$1006:AY1006),$AM$1006:$BM$1006,0))&gt;=100000), " ",IF(INDEX($AM$2:$BM$1001,MATCH(ROWS($AF$2:AF367),$AF$2:$AF$1001,0),MATCH(COLUMNS($AM$1006:AY1006),$AM$1006:$BM$1006,0)), HYPERLINK("#",""), HYPERLINK(CONCATENATE("#metadata!", ADDRESS(INDEX($AH$2:$AH$1001,MATCH(ROWS($AF$2:AF367),$AF$2:$AF$1001,0),0), INDEX($AM$1004:$BM$1004,1,MATCH(COLUMNS($AM$1006:AY1006),$AM$1006:$BM$1006,0)))),"Fix")))</f>
        <v xml:space="preserve"> </v>
      </c>
      <c r="O367" s="4" t="str">
        <f ca="1">IF(OR(INDEX($AG$2:$AG$1001,MATCH(ROWS($AF$2:AF367),$AF$2:$AF$1001,0),1)&gt;=100000,INDEX($AM$1005:$BM$1005,1,MATCH(COLUMNS($AM$1006:AZ1006),$AM$1006:$BM$1006,0))&gt;=100000), " ",IF(INDEX($AM$2:$BM$1001,MATCH(ROWS($AF$2:AF367),$AF$2:$AF$1001,0),MATCH(COLUMNS($AM$1006:AZ1006),$AM$1006:$BM$1006,0)), HYPERLINK("#",""), HYPERLINK(CONCATENATE("#metadata!", ADDRESS(INDEX($AH$2:$AH$1001,MATCH(ROWS($AF$2:AF367),$AF$2:$AF$1001,0),0), INDEX($AM$1004:$BM$1004,1,MATCH(COLUMNS($AM$1006:AZ1006),$AM$1006:$BM$1006,0)))),"Fix")))</f>
        <v xml:space="preserve"> </v>
      </c>
      <c r="P367" s="4" t="str">
        <f ca="1">IF(OR(INDEX($AG$2:$AG$1001,MATCH(ROWS($AF$2:AF367),$AF$2:$AF$1001,0),1)&gt;=100000,INDEX($AM$1005:$BM$1005,1,MATCH(COLUMNS($AM$1006:BA1006),$AM$1006:$BM$1006,0))&gt;=100000), " ",IF(INDEX($AM$2:$BM$1001,MATCH(ROWS($AF$2:AF367),$AF$2:$AF$1001,0),MATCH(COLUMNS($AM$1006:BA1006),$AM$1006:$BM$1006,0)), HYPERLINK("#",""), HYPERLINK(CONCATENATE("#metadata!", ADDRESS(INDEX($AH$2:$AH$1001,MATCH(ROWS($AF$2:AF367),$AF$2:$AF$1001,0),0), INDEX($AM$1004:$BM$1004,1,MATCH(COLUMNS($AM$1006:BA1006),$AM$1006:$BM$1006,0)))),"Fix")))</f>
        <v xml:space="preserve"> </v>
      </c>
      <c r="Q367" s="4" t="str">
        <f ca="1">IF(OR(INDEX($AG$2:$AG$1001,MATCH(ROWS($AF$2:AF367),$AF$2:$AF$1001,0),1)&gt;=100000,INDEX($AM$1005:$BM$1005,1,MATCH(COLUMNS($AM$1006:BB1006),$AM$1006:$BM$1006,0))&gt;=100000), " ",IF(INDEX($AM$2:$BM$1001,MATCH(ROWS($AF$2:AF367),$AF$2:$AF$1001,0),MATCH(COLUMNS($AM$1006:BB1006),$AM$1006:$BM$1006,0)), HYPERLINK("#",""), HYPERLINK(CONCATENATE("#metadata!", ADDRESS(INDEX($AH$2:$AH$1001,MATCH(ROWS($AF$2:AF367),$AF$2:$AF$1001,0),0), INDEX($AM$1004:$BM$1004,1,MATCH(COLUMNS($AM$1006:BB1006),$AM$1006:$BM$1006,0)))),"Fix")))</f>
        <v xml:space="preserve"> </v>
      </c>
      <c r="R367" s="4" t="str">
        <f ca="1">IF(OR(INDEX($AG$2:$AG$1001,MATCH(ROWS($AF$2:AF367),$AF$2:$AF$1001,0),1)&gt;=100000,INDEX($AM$1005:$BM$1005,1,MATCH(COLUMNS($AM$1006:BC1006),$AM$1006:$BM$1006,0))&gt;=100000), " ",IF(INDEX($AM$2:$BM$1001,MATCH(ROWS($AF$2:AF367),$AF$2:$AF$1001,0),MATCH(COLUMNS($AM$1006:BC1006),$AM$1006:$BM$1006,0)), HYPERLINK("#",""), HYPERLINK(CONCATENATE("#metadata!", ADDRESS(INDEX($AH$2:$AH$1001,MATCH(ROWS($AF$2:AF367),$AF$2:$AF$1001,0),0), INDEX($AM$1004:$BM$1004,1,MATCH(COLUMNS($AM$1006:BC1006),$AM$1006:$BM$1006,0)))),"Fix")))</f>
        <v xml:space="preserve"> </v>
      </c>
      <c r="S367" s="4" t="str">
        <f ca="1">IF(OR(INDEX($AG$2:$AG$1001,MATCH(ROWS($AF$2:AF367),$AF$2:$AF$1001,0),1)&gt;=100000,INDEX($AM$1005:$BM$1005,1,MATCH(COLUMNS($AM$1006:BD1006),$AM$1006:$BM$1006,0))&gt;=100000), " ",IF(INDEX($AM$2:$BM$1001,MATCH(ROWS($AF$2:AF367),$AF$2:$AF$1001,0),MATCH(COLUMNS($AM$1006:BD1006),$AM$1006:$BM$1006,0)), HYPERLINK("#",""), HYPERLINK(CONCATENATE("#metadata!", ADDRESS(INDEX($AH$2:$AH$1001,MATCH(ROWS($AF$2:AF367),$AF$2:$AF$1001,0),0), INDEX($AM$1004:$BM$1004,1,MATCH(COLUMNS($AM$1006:BD1006),$AM$1006:$BM$1006,0)))),"Fix")))</f>
        <v xml:space="preserve"> </v>
      </c>
      <c r="T367" s="4" t="str">
        <f ca="1">IF(OR(INDEX($AG$2:$AG$1001,MATCH(ROWS($AF$2:AF367),$AF$2:$AF$1001,0),1)&gt;=100000,INDEX($AM$1005:$BM$1005,1,MATCH(COLUMNS($AM$1006:BE1006),$AM$1006:$BM$1006,0))&gt;=100000), " ",IF(INDEX($AM$2:$BM$1001,MATCH(ROWS($AF$2:AF367),$AF$2:$AF$1001,0),MATCH(COLUMNS($AM$1006:BE1006),$AM$1006:$BM$1006,0)), HYPERLINK("#",""), HYPERLINK(CONCATENATE("#metadata!", ADDRESS(INDEX($AH$2:$AH$1001,MATCH(ROWS($AF$2:AF367),$AF$2:$AF$1001,0),0), INDEX($AM$1004:$BM$1004,1,MATCH(COLUMNS($AM$1006:BE1006),$AM$1006:$BM$1006,0)))),"Fix")))</f>
        <v xml:space="preserve"> </v>
      </c>
      <c r="U367" s="4" t="str">
        <f ca="1">IF(OR(INDEX($AG$2:$AG$1001,MATCH(ROWS($AF$2:AF367),$AF$2:$AF$1001,0),1)&gt;=100000,INDEX($AM$1005:$BM$1005,1,MATCH(COLUMNS($AM$1006:BF1006),$AM$1006:$BM$1006,0))&gt;=100000), " ",IF(INDEX($AM$2:$BM$1001,MATCH(ROWS($AF$2:AF367),$AF$2:$AF$1001,0),MATCH(COLUMNS($AM$1006:BF1006),$AM$1006:$BM$1006,0)), HYPERLINK("#",""), HYPERLINK(CONCATENATE("#metadata!", ADDRESS(INDEX($AH$2:$AH$1001,MATCH(ROWS($AF$2:AF367),$AF$2:$AF$1001,0),0), INDEX($AM$1004:$BM$1004,1,MATCH(COLUMNS($AM$1006:BF1006),$AM$1006:$BM$1006,0)))),"Fix")))</f>
        <v xml:space="preserve"> </v>
      </c>
      <c r="V367" s="4" t="str">
        <f ca="1">IF(OR(INDEX($AG$2:$AG$1001,MATCH(ROWS($AF$2:AF367),$AF$2:$AF$1001,0),1)&gt;=100000,INDEX($AM$1005:$BM$1005,1,MATCH(COLUMNS($AM$1006:BG1006),$AM$1006:$BM$1006,0))&gt;=100000), " ",IF(INDEX($AM$2:$BM$1001,MATCH(ROWS($AF$2:AF367),$AF$2:$AF$1001,0),MATCH(COLUMNS($AM$1006:BG1006),$AM$1006:$BM$1006,0)), HYPERLINK("#",""), HYPERLINK(CONCATENATE("#metadata!", ADDRESS(INDEX($AH$2:$AH$1001,MATCH(ROWS($AF$2:AF367),$AF$2:$AF$1001,0),0), INDEX($AM$1004:$BM$1004,1,MATCH(COLUMNS($AM$1006:BG1006),$AM$1006:$BM$1006,0)))),"Fix")))</f>
        <v xml:space="preserve"> </v>
      </c>
      <c r="W367" s="4" t="str">
        <f ca="1">IF(OR(INDEX($AG$2:$AG$1001,MATCH(ROWS($AF$2:AF367),$AF$2:$AF$1001,0),1)&gt;=100000,INDEX($AM$1005:$BM$1005,1,MATCH(COLUMNS($AM$1006:BH1006),$AM$1006:$BM$1006,0))&gt;=100000), " ",IF(INDEX($AM$2:$BM$1001,MATCH(ROWS($AF$2:AF367),$AF$2:$AF$1001,0),MATCH(COLUMNS($AM$1006:BH1006),$AM$1006:$BM$1006,0)), HYPERLINK("#",""), HYPERLINK(CONCATENATE("#metadata!", ADDRESS(INDEX($AH$2:$AH$1001,MATCH(ROWS($AF$2:AF367),$AF$2:$AF$1001,0),0), INDEX($AM$1004:$BM$1004,1,MATCH(COLUMNS($AM$1006:BH1006),$AM$1006:$BM$1006,0)))),"Fix")))</f>
        <v xml:space="preserve"> </v>
      </c>
      <c r="X367" s="4" t="str">
        <f ca="1">IF(OR(INDEX($AG$2:$AG$1001,MATCH(ROWS($AF$2:AF367),$AF$2:$AF$1001,0),1)&gt;=100000,INDEX($AM$1005:$BM$1005,1,MATCH(COLUMNS($AM$1006:BI1006),$AM$1006:$BM$1006,0))&gt;=100000), " ",IF(INDEX($AM$2:$BM$1001,MATCH(ROWS($AF$2:AF367),$AF$2:$AF$1001,0),MATCH(COLUMNS($AM$1006:BI1006),$AM$1006:$BM$1006,0)), HYPERLINK("#",""), HYPERLINK(CONCATENATE("#metadata!", ADDRESS(INDEX($AH$2:$AH$1001,MATCH(ROWS($AF$2:AF367),$AF$2:$AF$1001,0),0), INDEX($AM$1004:$BM$1004,1,MATCH(COLUMNS($AM$1006:BI1006),$AM$1006:$BM$1006,0)))),"Fix")))</f>
        <v xml:space="preserve"> </v>
      </c>
      <c r="Y367" s="4" t="str">
        <f ca="1">IF(OR(INDEX($AG$2:$AG$1001,MATCH(ROWS($AF$2:AF367),$AF$2:$AF$1001,0),1)&gt;=100000,INDEX($AM$1005:$BM$1005,1,MATCH(COLUMNS($AM$1006:BJ1006),$AM$1006:$BM$1006,0))&gt;=100000), " ",IF(INDEX($AM$2:$BM$1001,MATCH(ROWS($AF$2:AF367),$AF$2:$AF$1001,0),MATCH(COLUMNS($AM$1006:BJ1006),$AM$1006:$BM$1006,0)), HYPERLINK("#",""), HYPERLINK(CONCATENATE("#metadata!", ADDRESS(INDEX($AH$2:$AH$1001,MATCH(ROWS($AF$2:AF367),$AF$2:$AF$1001,0),0), INDEX($AM$1004:$BM$1004,1,MATCH(COLUMNS($AM$1006:BJ1006),$AM$1006:$BM$1006,0)))),"Fix")))</f>
        <v xml:space="preserve"> </v>
      </c>
      <c r="Z367" s="4" t="str">
        <f ca="1">IF(OR(INDEX($AG$2:$AG$1001,MATCH(ROWS($AF$2:AF367),$AF$2:$AF$1001,0),1)&gt;=100000,INDEX($AM$1005:$BM$1005,1,MATCH(COLUMNS($AM$1006:BK1006),$AM$1006:$BM$1006,0))&gt;=100000), " ",IF(INDEX($AM$2:$BM$1001,MATCH(ROWS($AF$2:AF367),$AF$2:$AF$1001,0),MATCH(COLUMNS($AM$1006:BK1006),$AM$1006:$BM$1006,0)), HYPERLINK("#",""), HYPERLINK(CONCATENATE("#metadata!", ADDRESS(INDEX($AH$2:$AH$1001,MATCH(ROWS($AF$2:AF367),$AF$2:$AF$1001,0),0), INDEX($AM$1004:$BM$1004,1,MATCH(COLUMNS($AM$1006:BK1006),$AM$1006:$BM$1006,0)))),"Fix")))</f>
        <v xml:space="preserve"> </v>
      </c>
      <c r="AA367" s="4" t="str">
        <f ca="1">IF(OR(INDEX($AG$2:$AG$1001,MATCH(ROWS($AF$2:AF367),$AF$2:$AF$1001,0),1)&gt;=100000,INDEX($AM$1005:$BM$1005,1,MATCH(COLUMNS($AM$1006:BL1006),$AM$1006:$BM$1006,0))&gt;=100000), " ",IF(INDEX($AM$2:$BM$1001,MATCH(ROWS($AF$2:AF367),$AF$2:$AF$1001,0),MATCH(COLUMNS($AM$1006:BL1006),$AM$1006:$BM$1006,0)), HYPERLINK("#",""), HYPERLINK(CONCATENATE("#metadata!", ADDRESS(INDEX($AH$2:$AH$1001,MATCH(ROWS($AF$2:AF367),$AF$2:$AF$1001,0),0), INDEX($AM$1004:$BM$1004,1,MATCH(COLUMNS($AM$1006:BL1006),$AM$1006:$BM$1006,0)))),"Fix")))</f>
        <v xml:space="preserve"> </v>
      </c>
      <c r="AB367" s="4" t="str">
        <f ca="1">IF(OR(INDEX($AG$2:$AG$1001,MATCH(ROWS($AF$2:AF367),$AF$2:$AF$1001,0),1)&gt;=100000,INDEX($AM$1005:$BM$1005,1,MATCH(COLUMNS($AM$1006:BM1006),$AM$1006:$BM$1006,0))&gt;=100000), " ",IF(INDEX($AM$2:$BM$1001,MATCH(ROWS($AF$2:AF367),$AF$2:$AF$1001,0),MATCH(COLUMNS($AM$1006:BM1006),$AM$1006:$BM$1006,0)), HYPERLINK("#",""), HYPERLINK(CONCATENATE("#metadata!", ADDRESS(INDEX($AH$2:$AH$1001,MATCH(ROWS($AF$2:AF367),$AF$2:$AF$1001,0),0), INDEX($AM$1004:$BM$1004,1,MATCH(COLUMNS($AM$1006:BM1006),$AM$1006:$BM$1006,0)))),"Fix")))</f>
        <v xml:space="preserve"> </v>
      </c>
      <c r="AF367">
        <v>366</v>
      </c>
      <c r="AG367">
        <v>100367</v>
      </c>
      <c r="AH367">
        <v>367</v>
      </c>
      <c r="AI367" t="b">
        <f t="shared" si="5"/>
        <v>1</v>
      </c>
      <c r="AJ367" t="b">
        <f>COUNTBLANK(metadata!B367:AB367)=COLUMNS(metadata!B367:AB367)</f>
        <v>1</v>
      </c>
      <c r="AK367" t="str">
        <v/>
      </c>
      <c r="AM367" t="b">
        <f ca="1">AND(IF(metadata!B367="",FALSE,TRUE),COUNTIF(metadata!B:B, metadata!B367) = 1,NOT(ISERROR(SUMPRODUCT(SEARCH(MID(metadata!B367,ROW(INDIRECT("1:"&amp;LEN(metadata!B367))), 1),"0123456789abcdefghijklmnopqrstuvwxyzABCDEFGHIJKLMNOPQRSTUVWXYZ.")))))</f>
        <v>0</v>
      </c>
      <c r="AN367" t="b">
        <f ca="1">OR(AND(IF(metadata!C367="",FALSE,TRUE),OR(EXACT(metadata!C367,"missing: not collected"),EXACT(metadata!C367,"missing: not provided"),EXACT(metadata!C367,"missing: restricted access"))),AND(IF(metadata!C367="",FALSE,TRUE),AND(AND(IFERROR(INT(LEFT(metadata!C367,4))&gt;1900,FALSE),IFERROR(INT(LEFT(metadata!C367,4))&lt;=YEAR(NOW()),FALSE)), OR(MID(metadata!C367,5,1)="", AND(AND(MID(metadata!C367,5,1)="-",IFERROR(INT(MID(metadata!C367,6,1))&gt;=0,FALSE),IFERROR(INT(MID(metadata!C367,6,1))&lt;=1,FALSE),NOT(MID(metadata!C367,7,1)=""),IFERROR(INT(MID(metadata!C367,6,2))&gt;=1,FALSE),IFERROR(INT(MID(metadata!C367,6,2))&lt;=12,FALSE)), OR(MID(metadata!C367,8,1)="", AND(AND(MID(metadata!C367,8,1)="-",IFERROR(INT(MID(metadata!C367,9,1))&gt;=0,FALSE),IFERROR(INT(MID(metadata!C367,9,1))&lt;=3,FALSE),NOT(MID(metadata!C367,10,1)=""),IFERROR(INT(MID(metadata!C367,9,2))&gt;=1,FALSE),IFERROR(INT(MID(metadata!C367,9,2))&lt;=31,FALSE)), OR(MID(metadata!C367,11,1)="", AND(AND(MID(metadata!C367,11,1)=" ",IFERROR(INT(MID(metadata!C367,12,1))&gt;=0,FALSE),IFERROR(INT(MID(metadata!C367,12,1))&lt;=2,FALSE),NOT(MID(metadata!C367,13,1)=""),IFERROR(INT(MID(metadata!C367,12,2))&gt;=0,FALSE),IFERROR(INT(MID(metadata!C367,12,2))&lt;=23,FALSE)), OR(MID(metadata!C367,14,1)="", AND(AND(MID(metadata!C367,14,1)=":",IFERROR(INT(MID(metadata!C367,15,1))&gt;=0,FALSE),IFERROR(INT(MID(metadata!C367,15,1))&lt;=5,FALSE),NOT(MID(metadata!C367,16,1)=""),IFERROR(INT(MID(metadata!C367,15,2))&gt;=0,FALSE),IFERROR(INT(MID(metadata!C367,15,2))&lt;=59,FALSE)), OR(MID(metadata!C367,17,1)="", AND(AND(MID(metadata!C367,17,1)=":",IFERROR(INT(MID(metadata!C367,18,1))&gt;=0,FALSE),IFERROR(INT(MID(metadata!C367,18,1))&lt;=5,FALSE),NOT(MID(metadata!C367,19,1)=""),IFERROR(INT(MID(metadata!C367,18,2))&gt;=0,FALSE),IFERROR(INT(MID(metadata!C367,18,2))&lt;=59,FALSE)), LEN(metadata!C367)&lt;=19)))))))))))))</f>
        <v>0</v>
      </c>
      <c r="AO367" t="b">
        <f>AND(IF(metadata!D367="",FALSE,TRUE),EXACT(metadata!D367,"Not applicable"))</f>
        <v>0</v>
      </c>
      <c r="AP367" t="b">
        <f>IF(metadata!E367="",FALSE,TRUE)</f>
        <v>0</v>
      </c>
      <c r="AQ367" t="b">
        <f>OR(AND(IF(metadata!F367="",FALSE,TRUE),OR(EXACT(metadata!F367,"missing: not collected"),EXACT(metadata!F367,"missing: not provided"))),AND(IF(metadata!F367="",FALSE,TRUE),OR(EXACT(metadata!F367,"TRUE"),EXACT(metadata!F367,"FALSE"))))</f>
        <v>0</v>
      </c>
      <c r="AR367" t="b">
        <f>OR(AND(IF(metadata!G367="",FALSE,TRUE),OR(EXACT(metadata!G367,"missing: not collected"),EXACT(metadata!G367,"missing: not provided"),EXACT(metadata!G367,"missing: restricted access"))),AND(IF(metadata!G367="",FALSE,ISNUMBER(VALUE(metadata!G367))),metadata!G367&gt;=-413))</f>
        <v>0</v>
      </c>
      <c r="AS367" t="b">
        <f>AND(IF(metadata!H367="",FALSE,TRUE),EXACT(metadata!H367,"meters"))</f>
        <v>0</v>
      </c>
      <c r="AT367" t="b">
        <f>AND(IF(metadata!I367="",FALSE,TRUE),OR(EXACT(metadata!I367,"Host-associated"),EXACT(metadata!I367,"Free-living")))</f>
        <v>0</v>
      </c>
      <c r="AU367" t="b">
        <f>AND(IF(metadata!J367="",FALSE,TRUE),OR(EXACT(metadata!J367,"Animal"),EXACT(metadata!J367,"Fungus"),EXACT(metadata!J367,"Plant"),EXACT(metadata!J367,"Saline"),EXACT(metadata!J367,"Non-saline")))</f>
        <v>0</v>
      </c>
      <c r="AV367" t="b">
        <f>AND(IF(metadata!K367="",FALSE,TRUE),OR(EXACT(metadata!K367,"Plant secretion"),EXACT(metadata!K367,"Plant rhizosphere"),EXACT(metadata!K367,"Plant surface"),EXACT(metadata!K367,"Plant corpus"),EXACT(metadata!K367,"Fungus surface"),EXACT(metadata!K367,"Fungus corpus"),EXACT(metadata!K367,"Animal surface"),EXACT(metadata!K367,"Animal proximal gut"),EXACT(metadata!K367,"Animal corpus"),EXACT(metadata!K367,"Animal distal gut"),EXACT(metadata!K367,"Animal secretion"),EXACT(metadata!K367,"Sub-surface (non-saline)"),EXACT(metadata!K367,"Surface (non-saline)"),EXACT(metadata!K367,"Water (non-saline)"),EXACT(metadata!K367,"Soil (non-saline)"),EXACT(metadata!K367,"Aerosol (non-saline)"),EXACT(metadata!K367,"Sediment (non-saline)"),EXACT(metadata!K367,"Surface (saline)"),EXACT(metadata!K367,"Water (saline)"),EXACT(metadata!K367,"Hypersaline (saline)"),EXACT(metadata!K367,"Aerosol (saline)"),EXACT(metadata!K367,"Sediment (saline)")))</f>
        <v>0</v>
      </c>
      <c r="AW367" t="b">
        <f>IF(metadata!L367="",FALSE,TRUE)</f>
        <v>0</v>
      </c>
      <c r="AX367" t="b">
        <f>IF(metadata!M367="",FALSE,TRUE)</f>
        <v>0</v>
      </c>
      <c r="AY367" t="b">
        <f>IF(metadata!N367="",FALSE,TRUE)</f>
        <v>0</v>
      </c>
      <c r="AZ367" t="b">
        <f>OR(AND(IF(metadata!O367="",FALSE,TRUE),OR(EXACT(metadata!O367,"missing: not collected"),EXACT(metadata!O367,"missing: not provided"),EXACT(metadata!O367,"missing: restricted access"))),AND(IF(metadata!O367="",FALSE,TRUE),OR(EXACT(metadata!O367,"air"),EXACT(metadata!O367,"built environment"),EXACT(metadata!O367,"host-associated"),EXACT(metadata!O367,"human-associated"),EXACT(metadata!O367,"human-skin"),EXACT(metadata!O367,"human-oral"),EXACT(metadata!O367,"human-gut"),EXACT(metadata!O367,"human-vaginal"),EXACT(metadata!O367,"microbial mat/biofilm"),EXACT(metadata!O367,"misc environment"),EXACT(metadata!O367,"plant-associated"),EXACT(metadata!O367,"sediment"),EXACT(metadata!O367,"soil"),EXACT(metadata!O367,"wastewater/sludge"),EXACT(metadata!O367,"water"))))</f>
        <v>0</v>
      </c>
      <c r="BA367" t="b">
        <f>IF(metadata!P367="",FALSE,TRUE)</f>
        <v>0</v>
      </c>
      <c r="BB367" t="b">
        <f>IF(metadata!Q367="",FALSE,TRUE)</f>
        <v>0</v>
      </c>
      <c r="BC367" t="b">
        <f>OR(AND(IF(metadata!R367="",FALSE,TRUE),OR(EXACT(metadata!R367,"missing: not collected"),EXACT(metadata!R367,"missing: not provided"),EXACT(metadata!R367,"missing: restricted access"))),AND(IF(metadata!R367="",FALSE,ISNUMBER(VALUE(metadata!R367))),metadata!R367&gt;=-90,metadata!R367&lt;=90))</f>
        <v>0</v>
      </c>
      <c r="BD367" t="b">
        <f>AND(IF(metadata!S367="",FALSE,TRUE),EXACT(metadata!S367,"Decimal degrees"))</f>
        <v>0</v>
      </c>
      <c r="BE367" t="b">
        <f>OR(AND(IF(metadata!T367="",FALSE,TRUE),OR(EXACT(metadata!T367,"missing: not collected"),EXACT(metadata!T367,"missing: not provided"),EXACT(metadata!T367,"missing: restricted access"))),AND(IF(metadata!T367="",FALSE,ISNUMBER(VALUE(metadata!T367))),metadata!T367&gt;=-180,metadata!T367&lt;=180))</f>
        <v>0</v>
      </c>
      <c r="BF367" t="b">
        <f>AND(IF(metadata!U367="",FALSE,TRUE),EXACT(metadata!U367,"Decimal degrees"))</f>
        <v>0</v>
      </c>
      <c r="BG367" t="b">
        <f>IF(metadata!V367="",FALSE,TRUE)</f>
        <v>0</v>
      </c>
      <c r="BH367" t="b">
        <f>OR(AND(IF(metadata!W367="",FALSE,TRUE),OR(EXACT(metadata!W367,"missing: not collected"),EXACT(metadata!W367,"missing: not provided"),EXACT(metadata!W367,"missing: restricted access"))),AND(IF(metadata!W367="",FALSE,TRUE),OR(EXACT(metadata!W367,"TRUE"),EXACT(metadata!W367,"FALSE"))))</f>
        <v>0</v>
      </c>
      <c r="BI367" t="b">
        <f>AND(IF(metadata!X367="",FALSE,TRUE),EXACT(metadata!X367,"other"))</f>
        <v>0</v>
      </c>
      <c r="BJ367" t="b">
        <f>IF(metadata!Y367="",FALSE,TRUE)</f>
        <v>0</v>
      </c>
      <c r="BK367" t="b">
        <f>OR(AND(IF(metadata!Z367="",FALSE,TRUE),OR(EXACT(metadata!Z367,"missing: not collected"),EXACT(metadata!Z367,"missing: not provided"))),AND(IF(metadata!Z367="",FALSE,IF(ISERROR(INT(metadata!Z367)),FALSE,INT(metadata!Z367)=metadata!Z367)),metadata!Z367&gt;0))</f>
        <v>0</v>
      </c>
      <c r="BL367" t="b">
        <f>AND(IF(metadata!AA367="",FALSE,TRUE),EXACT(metadata!AA367,"Not applicable"))</f>
        <v>0</v>
      </c>
      <c r="BM367" t="b">
        <f>IF(metadata!AB367="",FALSE,TRUE)</f>
        <v>0</v>
      </c>
    </row>
    <row r="368" spans="1:65" x14ac:dyDescent="0.2">
      <c r="A368" s="5" t="str">
        <f ca="1">IF(B368=" "," ",HYPERLINK(CONCATENATE("#metadata!",ADDRESS(INDEX($AH$2:$AH$1001,MATCH(ROWS($AF$2:AF368),$AF$2:$AF$1001,0),0),1)),INDEX($AK$2:$AK$1001,MATCH(ROWS($AF$2:AF368),$AF$2:$AF$1001,0),0)))</f>
        <v xml:space="preserve"> </v>
      </c>
      <c r="B368" s="4" t="str">
        <f ca="1">IF(OR(INDEX($AG$2:$AG$1001,MATCH(ROWS($AF$2:AF368),$AF$2:$AF$1001,0),1)&gt;=100000,INDEX($AM$1005:$BM$1005,1,MATCH(COLUMNS($AM$1006:AM1006),$AM$1006:$BM$1006,0))&gt;=100000), " ",IF(INDEX($AM$2:$BM$1001,MATCH(ROWS($AF$2:AF368),$AF$2:$AF$1001,0),MATCH(COLUMNS($AM$1006:AM1006),$AM$1006:$BM$1006,0)), HYPERLINK("#",""), HYPERLINK(CONCATENATE("#metadata!", ADDRESS(INDEX($AH$2:$AH$1001,MATCH(ROWS($AF$2:AF368),$AF$2:$AF$1001,0),0), INDEX($AM$1004:$BM$1004,1,MATCH(COLUMNS($AM$1006:AM1006),$AM$1006:$BM$1006,0)))),"Fix")))</f>
        <v xml:space="preserve"> </v>
      </c>
      <c r="C368" s="4" t="str">
        <f ca="1">IF(OR(INDEX($AG$2:$AG$1001,MATCH(ROWS($AF$2:AF368),$AF$2:$AF$1001,0),1)&gt;=100000,INDEX($AM$1005:$BM$1005,1,MATCH(COLUMNS($AM$1006:AN1006),$AM$1006:$BM$1006,0))&gt;=100000), " ",IF(INDEX($AM$2:$BM$1001,MATCH(ROWS($AF$2:AF368),$AF$2:$AF$1001,0),MATCH(COLUMNS($AM$1006:AN1006),$AM$1006:$BM$1006,0)), HYPERLINK("#",""), HYPERLINK(CONCATENATE("#metadata!", ADDRESS(INDEX($AH$2:$AH$1001,MATCH(ROWS($AF$2:AF368),$AF$2:$AF$1001,0),0), INDEX($AM$1004:$BM$1004,1,MATCH(COLUMNS($AM$1006:AN1006),$AM$1006:$BM$1006,0)))),"Fix")))</f>
        <v xml:space="preserve"> </v>
      </c>
      <c r="D368" s="4" t="str">
        <f ca="1">IF(OR(INDEX($AG$2:$AG$1001,MATCH(ROWS($AF$2:AF368),$AF$2:$AF$1001,0),1)&gt;=100000,INDEX($AM$1005:$BM$1005,1,MATCH(COLUMNS($AM$1006:AO1006),$AM$1006:$BM$1006,0))&gt;=100000), " ",IF(INDEX($AM$2:$BM$1001,MATCH(ROWS($AF$2:AF368),$AF$2:$AF$1001,0),MATCH(COLUMNS($AM$1006:AO1006),$AM$1006:$BM$1006,0)), HYPERLINK("#",""), HYPERLINK(CONCATENATE("#metadata!", ADDRESS(INDEX($AH$2:$AH$1001,MATCH(ROWS($AF$2:AF368),$AF$2:$AF$1001,0),0), INDEX($AM$1004:$BM$1004,1,MATCH(COLUMNS($AM$1006:AO1006),$AM$1006:$BM$1006,0)))),"Fix")))</f>
        <v xml:space="preserve"> </v>
      </c>
      <c r="E368" s="4" t="str">
        <f ca="1">IF(OR(INDEX($AG$2:$AG$1001,MATCH(ROWS($AF$2:AF368),$AF$2:$AF$1001,0),1)&gt;=100000,INDEX($AM$1005:$BM$1005,1,MATCH(COLUMNS($AM$1006:AP1006),$AM$1006:$BM$1006,0))&gt;=100000), " ",IF(INDEX($AM$2:$BM$1001,MATCH(ROWS($AF$2:AF368),$AF$2:$AF$1001,0),MATCH(COLUMNS($AM$1006:AP1006),$AM$1006:$BM$1006,0)), HYPERLINK("#",""), HYPERLINK(CONCATENATE("#metadata!", ADDRESS(INDEX($AH$2:$AH$1001,MATCH(ROWS($AF$2:AF368),$AF$2:$AF$1001,0),0), INDEX($AM$1004:$BM$1004,1,MATCH(COLUMNS($AM$1006:AP1006),$AM$1006:$BM$1006,0)))),"Fix")))</f>
        <v xml:space="preserve"> </v>
      </c>
      <c r="F368" s="4" t="str">
        <f ca="1">IF(OR(INDEX($AG$2:$AG$1001,MATCH(ROWS($AF$2:AF368),$AF$2:$AF$1001,0),1)&gt;=100000,INDEX($AM$1005:$BM$1005,1,MATCH(COLUMNS($AM$1006:AQ1006),$AM$1006:$BM$1006,0))&gt;=100000), " ",IF(INDEX($AM$2:$BM$1001,MATCH(ROWS($AF$2:AF368),$AF$2:$AF$1001,0),MATCH(COLUMNS($AM$1006:AQ1006),$AM$1006:$BM$1006,0)), HYPERLINK("#",""), HYPERLINK(CONCATENATE("#metadata!", ADDRESS(INDEX($AH$2:$AH$1001,MATCH(ROWS($AF$2:AF368),$AF$2:$AF$1001,0),0), INDEX($AM$1004:$BM$1004,1,MATCH(COLUMNS($AM$1006:AQ1006),$AM$1006:$BM$1006,0)))),"Fix")))</f>
        <v xml:space="preserve"> </v>
      </c>
      <c r="G368" s="4" t="str">
        <f ca="1">IF(OR(INDEX($AG$2:$AG$1001,MATCH(ROWS($AF$2:AF368),$AF$2:$AF$1001,0),1)&gt;=100000,INDEX($AM$1005:$BM$1005,1,MATCH(COLUMNS($AM$1006:AR1006),$AM$1006:$BM$1006,0))&gt;=100000), " ",IF(INDEX($AM$2:$BM$1001,MATCH(ROWS($AF$2:AF368),$AF$2:$AF$1001,0),MATCH(COLUMNS($AM$1006:AR1006),$AM$1006:$BM$1006,0)), HYPERLINK("#",""), HYPERLINK(CONCATENATE("#metadata!", ADDRESS(INDEX($AH$2:$AH$1001,MATCH(ROWS($AF$2:AF368),$AF$2:$AF$1001,0),0), INDEX($AM$1004:$BM$1004,1,MATCH(COLUMNS($AM$1006:AR1006),$AM$1006:$BM$1006,0)))),"Fix")))</f>
        <v xml:space="preserve"> </v>
      </c>
      <c r="H368" s="4" t="str">
        <f ca="1">IF(OR(INDEX($AG$2:$AG$1001,MATCH(ROWS($AF$2:AF368),$AF$2:$AF$1001,0),1)&gt;=100000,INDEX($AM$1005:$BM$1005,1,MATCH(COLUMNS($AM$1006:AS1006),$AM$1006:$BM$1006,0))&gt;=100000), " ",IF(INDEX($AM$2:$BM$1001,MATCH(ROWS($AF$2:AF368),$AF$2:$AF$1001,0),MATCH(COLUMNS($AM$1006:AS1006),$AM$1006:$BM$1006,0)), HYPERLINK("#",""), HYPERLINK(CONCATENATE("#metadata!", ADDRESS(INDEX($AH$2:$AH$1001,MATCH(ROWS($AF$2:AF368),$AF$2:$AF$1001,0),0), INDEX($AM$1004:$BM$1004,1,MATCH(COLUMNS($AM$1006:AS1006),$AM$1006:$BM$1006,0)))),"Fix")))</f>
        <v xml:space="preserve"> </v>
      </c>
      <c r="I368" s="4" t="str">
        <f ca="1">IF(OR(INDEX($AG$2:$AG$1001,MATCH(ROWS($AF$2:AF368),$AF$2:$AF$1001,0),1)&gt;=100000,INDEX($AM$1005:$BM$1005,1,MATCH(COLUMNS($AM$1006:AT1006),$AM$1006:$BM$1006,0))&gt;=100000), " ",IF(INDEX($AM$2:$BM$1001,MATCH(ROWS($AF$2:AF368),$AF$2:$AF$1001,0),MATCH(COLUMNS($AM$1006:AT1006),$AM$1006:$BM$1006,0)), HYPERLINK("#",""), HYPERLINK(CONCATENATE("#metadata!", ADDRESS(INDEX($AH$2:$AH$1001,MATCH(ROWS($AF$2:AF368),$AF$2:$AF$1001,0),0), INDEX($AM$1004:$BM$1004,1,MATCH(COLUMNS($AM$1006:AT1006),$AM$1006:$BM$1006,0)))),"Fix")))</f>
        <v xml:space="preserve"> </v>
      </c>
      <c r="J368" s="4" t="str">
        <f ca="1">IF(OR(INDEX($AG$2:$AG$1001,MATCH(ROWS($AF$2:AF368),$AF$2:$AF$1001,0),1)&gt;=100000,INDEX($AM$1005:$BM$1005,1,MATCH(COLUMNS($AM$1006:AU1006),$AM$1006:$BM$1006,0))&gt;=100000), " ",IF(INDEX($AM$2:$BM$1001,MATCH(ROWS($AF$2:AF368),$AF$2:$AF$1001,0),MATCH(COLUMNS($AM$1006:AU1006),$AM$1006:$BM$1006,0)), HYPERLINK("#",""), HYPERLINK(CONCATENATE("#metadata!", ADDRESS(INDEX($AH$2:$AH$1001,MATCH(ROWS($AF$2:AF368),$AF$2:$AF$1001,0),0), INDEX($AM$1004:$BM$1004,1,MATCH(COLUMNS($AM$1006:AU1006),$AM$1006:$BM$1006,0)))),"Fix")))</f>
        <v xml:space="preserve"> </v>
      </c>
      <c r="K368" s="4" t="str">
        <f ca="1">IF(OR(INDEX($AG$2:$AG$1001,MATCH(ROWS($AF$2:AF368),$AF$2:$AF$1001,0),1)&gt;=100000,INDEX($AM$1005:$BM$1005,1,MATCH(COLUMNS($AM$1006:AV1006),$AM$1006:$BM$1006,0))&gt;=100000), " ",IF(INDEX($AM$2:$BM$1001,MATCH(ROWS($AF$2:AF368),$AF$2:$AF$1001,0),MATCH(COLUMNS($AM$1006:AV1006),$AM$1006:$BM$1006,0)), HYPERLINK("#",""), HYPERLINK(CONCATENATE("#metadata!", ADDRESS(INDEX($AH$2:$AH$1001,MATCH(ROWS($AF$2:AF368),$AF$2:$AF$1001,0),0), INDEX($AM$1004:$BM$1004,1,MATCH(COLUMNS($AM$1006:AV1006),$AM$1006:$BM$1006,0)))),"Fix")))</f>
        <v xml:space="preserve"> </v>
      </c>
      <c r="L368" s="4" t="str">
        <f ca="1">IF(OR(INDEX($AG$2:$AG$1001,MATCH(ROWS($AF$2:AF368),$AF$2:$AF$1001,0),1)&gt;=100000,INDEX($AM$1005:$BM$1005,1,MATCH(COLUMNS($AM$1006:AW1006),$AM$1006:$BM$1006,0))&gt;=100000), " ",IF(INDEX($AM$2:$BM$1001,MATCH(ROWS($AF$2:AF368),$AF$2:$AF$1001,0),MATCH(COLUMNS($AM$1006:AW1006),$AM$1006:$BM$1006,0)), HYPERLINK("#",""), HYPERLINK(CONCATENATE("#metadata!", ADDRESS(INDEX($AH$2:$AH$1001,MATCH(ROWS($AF$2:AF368),$AF$2:$AF$1001,0),0), INDEX($AM$1004:$BM$1004,1,MATCH(COLUMNS($AM$1006:AW1006),$AM$1006:$BM$1006,0)))),"Fix")))</f>
        <v xml:space="preserve"> </v>
      </c>
      <c r="M368" s="4" t="str">
        <f ca="1">IF(OR(INDEX($AG$2:$AG$1001,MATCH(ROWS($AF$2:AF368),$AF$2:$AF$1001,0),1)&gt;=100000,INDEX($AM$1005:$BM$1005,1,MATCH(COLUMNS($AM$1006:AX1006),$AM$1006:$BM$1006,0))&gt;=100000), " ",IF(INDEX($AM$2:$BM$1001,MATCH(ROWS($AF$2:AF368),$AF$2:$AF$1001,0),MATCH(COLUMNS($AM$1006:AX1006),$AM$1006:$BM$1006,0)), HYPERLINK("#",""), HYPERLINK(CONCATENATE("#metadata!", ADDRESS(INDEX($AH$2:$AH$1001,MATCH(ROWS($AF$2:AF368),$AF$2:$AF$1001,0),0), INDEX($AM$1004:$BM$1004,1,MATCH(COLUMNS($AM$1006:AX1006),$AM$1006:$BM$1006,0)))),"Fix")))</f>
        <v xml:space="preserve"> </v>
      </c>
      <c r="N368" s="4" t="str">
        <f ca="1">IF(OR(INDEX($AG$2:$AG$1001,MATCH(ROWS($AF$2:AF368),$AF$2:$AF$1001,0),1)&gt;=100000,INDEX($AM$1005:$BM$1005,1,MATCH(COLUMNS($AM$1006:AY1006),$AM$1006:$BM$1006,0))&gt;=100000), " ",IF(INDEX($AM$2:$BM$1001,MATCH(ROWS($AF$2:AF368),$AF$2:$AF$1001,0),MATCH(COLUMNS($AM$1006:AY1006),$AM$1006:$BM$1006,0)), HYPERLINK("#",""), HYPERLINK(CONCATENATE("#metadata!", ADDRESS(INDEX($AH$2:$AH$1001,MATCH(ROWS($AF$2:AF368),$AF$2:$AF$1001,0),0), INDEX($AM$1004:$BM$1004,1,MATCH(COLUMNS($AM$1006:AY1006),$AM$1006:$BM$1006,0)))),"Fix")))</f>
        <v xml:space="preserve"> </v>
      </c>
      <c r="O368" s="4" t="str">
        <f ca="1">IF(OR(INDEX($AG$2:$AG$1001,MATCH(ROWS($AF$2:AF368),$AF$2:$AF$1001,0),1)&gt;=100000,INDEX($AM$1005:$BM$1005,1,MATCH(COLUMNS($AM$1006:AZ1006),$AM$1006:$BM$1006,0))&gt;=100000), " ",IF(INDEX($AM$2:$BM$1001,MATCH(ROWS($AF$2:AF368),$AF$2:$AF$1001,0),MATCH(COLUMNS($AM$1006:AZ1006),$AM$1006:$BM$1006,0)), HYPERLINK("#",""), HYPERLINK(CONCATENATE("#metadata!", ADDRESS(INDEX($AH$2:$AH$1001,MATCH(ROWS($AF$2:AF368),$AF$2:$AF$1001,0),0), INDEX($AM$1004:$BM$1004,1,MATCH(COLUMNS($AM$1006:AZ1006),$AM$1006:$BM$1006,0)))),"Fix")))</f>
        <v xml:space="preserve"> </v>
      </c>
      <c r="P368" s="4" t="str">
        <f ca="1">IF(OR(INDEX($AG$2:$AG$1001,MATCH(ROWS($AF$2:AF368),$AF$2:$AF$1001,0),1)&gt;=100000,INDEX($AM$1005:$BM$1005,1,MATCH(COLUMNS($AM$1006:BA1006),$AM$1006:$BM$1006,0))&gt;=100000), " ",IF(INDEX($AM$2:$BM$1001,MATCH(ROWS($AF$2:AF368),$AF$2:$AF$1001,0),MATCH(COLUMNS($AM$1006:BA1006),$AM$1006:$BM$1006,0)), HYPERLINK("#",""), HYPERLINK(CONCATENATE("#metadata!", ADDRESS(INDEX($AH$2:$AH$1001,MATCH(ROWS($AF$2:AF368),$AF$2:$AF$1001,0),0), INDEX($AM$1004:$BM$1004,1,MATCH(COLUMNS($AM$1006:BA1006),$AM$1006:$BM$1006,0)))),"Fix")))</f>
        <v xml:space="preserve"> </v>
      </c>
      <c r="Q368" s="4" t="str">
        <f ca="1">IF(OR(INDEX($AG$2:$AG$1001,MATCH(ROWS($AF$2:AF368),$AF$2:$AF$1001,0),1)&gt;=100000,INDEX($AM$1005:$BM$1005,1,MATCH(COLUMNS($AM$1006:BB1006),$AM$1006:$BM$1006,0))&gt;=100000), " ",IF(INDEX($AM$2:$BM$1001,MATCH(ROWS($AF$2:AF368),$AF$2:$AF$1001,0),MATCH(COLUMNS($AM$1006:BB1006),$AM$1006:$BM$1006,0)), HYPERLINK("#",""), HYPERLINK(CONCATENATE("#metadata!", ADDRESS(INDEX($AH$2:$AH$1001,MATCH(ROWS($AF$2:AF368),$AF$2:$AF$1001,0),0), INDEX($AM$1004:$BM$1004,1,MATCH(COLUMNS($AM$1006:BB1006),$AM$1006:$BM$1006,0)))),"Fix")))</f>
        <v xml:space="preserve"> </v>
      </c>
      <c r="R368" s="4" t="str">
        <f ca="1">IF(OR(INDEX($AG$2:$AG$1001,MATCH(ROWS($AF$2:AF368),$AF$2:$AF$1001,0),1)&gt;=100000,INDEX($AM$1005:$BM$1005,1,MATCH(COLUMNS($AM$1006:BC1006),$AM$1006:$BM$1006,0))&gt;=100000), " ",IF(INDEX($AM$2:$BM$1001,MATCH(ROWS($AF$2:AF368),$AF$2:$AF$1001,0),MATCH(COLUMNS($AM$1006:BC1006),$AM$1006:$BM$1006,0)), HYPERLINK("#",""), HYPERLINK(CONCATENATE("#metadata!", ADDRESS(INDEX($AH$2:$AH$1001,MATCH(ROWS($AF$2:AF368),$AF$2:$AF$1001,0),0), INDEX($AM$1004:$BM$1004,1,MATCH(COLUMNS($AM$1006:BC1006),$AM$1006:$BM$1006,0)))),"Fix")))</f>
        <v xml:space="preserve"> </v>
      </c>
      <c r="S368" s="4" t="str">
        <f ca="1">IF(OR(INDEX($AG$2:$AG$1001,MATCH(ROWS($AF$2:AF368),$AF$2:$AF$1001,0),1)&gt;=100000,INDEX($AM$1005:$BM$1005,1,MATCH(COLUMNS($AM$1006:BD1006),$AM$1006:$BM$1006,0))&gt;=100000), " ",IF(INDEX($AM$2:$BM$1001,MATCH(ROWS($AF$2:AF368),$AF$2:$AF$1001,0),MATCH(COLUMNS($AM$1006:BD1006),$AM$1006:$BM$1006,0)), HYPERLINK("#",""), HYPERLINK(CONCATENATE("#metadata!", ADDRESS(INDEX($AH$2:$AH$1001,MATCH(ROWS($AF$2:AF368),$AF$2:$AF$1001,0),0), INDEX($AM$1004:$BM$1004,1,MATCH(COLUMNS($AM$1006:BD1006),$AM$1006:$BM$1006,0)))),"Fix")))</f>
        <v xml:space="preserve"> </v>
      </c>
      <c r="T368" s="4" t="str">
        <f ca="1">IF(OR(INDEX($AG$2:$AG$1001,MATCH(ROWS($AF$2:AF368),$AF$2:$AF$1001,0),1)&gt;=100000,INDEX($AM$1005:$BM$1005,1,MATCH(COLUMNS($AM$1006:BE1006),$AM$1006:$BM$1006,0))&gt;=100000), " ",IF(INDEX($AM$2:$BM$1001,MATCH(ROWS($AF$2:AF368),$AF$2:$AF$1001,0),MATCH(COLUMNS($AM$1006:BE1006),$AM$1006:$BM$1006,0)), HYPERLINK("#",""), HYPERLINK(CONCATENATE("#metadata!", ADDRESS(INDEX($AH$2:$AH$1001,MATCH(ROWS($AF$2:AF368),$AF$2:$AF$1001,0),0), INDEX($AM$1004:$BM$1004,1,MATCH(COLUMNS($AM$1006:BE1006),$AM$1006:$BM$1006,0)))),"Fix")))</f>
        <v xml:space="preserve"> </v>
      </c>
      <c r="U368" s="4" t="str">
        <f ca="1">IF(OR(INDEX($AG$2:$AG$1001,MATCH(ROWS($AF$2:AF368),$AF$2:$AF$1001,0),1)&gt;=100000,INDEX($AM$1005:$BM$1005,1,MATCH(COLUMNS($AM$1006:BF1006),$AM$1006:$BM$1006,0))&gt;=100000), " ",IF(INDEX($AM$2:$BM$1001,MATCH(ROWS($AF$2:AF368),$AF$2:$AF$1001,0),MATCH(COLUMNS($AM$1006:BF1006),$AM$1006:$BM$1006,0)), HYPERLINK("#",""), HYPERLINK(CONCATENATE("#metadata!", ADDRESS(INDEX($AH$2:$AH$1001,MATCH(ROWS($AF$2:AF368),$AF$2:$AF$1001,0),0), INDEX($AM$1004:$BM$1004,1,MATCH(COLUMNS($AM$1006:BF1006),$AM$1006:$BM$1006,0)))),"Fix")))</f>
        <v xml:space="preserve"> </v>
      </c>
      <c r="V368" s="4" t="str">
        <f ca="1">IF(OR(INDEX($AG$2:$AG$1001,MATCH(ROWS($AF$2:AF368),$AF$2:$AF$1001,0),1)&gt;=100000,INDEX($AM$1005:$BM$1005,1,MATCH(COLUMNS($AM$1006:BG1006),$AM$1006:$BM$1006,0))&gt;=100000), " ",IF(INDEX($AM$2:$BM$1001,MATCH(ROWS($AF$2:AF368),$AF$2:$AF$1001,0),MATCH(COLUMNS($AM$1006:BG1006),$AM$1006:$BM$1006,0)), HYPERLINK("#",""), HYPERLINK(CONCATENATE("#metadata!", ADDRESS(INDEX($AH$2:$AH$1001,MATCH(ROWS($AF$2:AF368),$AF$2:$AF$1001,0),0), INDEX($AM$1004:$BM$1004,1,MATCH(COLUMNS($AM$1006:BG1006),$AM$1006:$BM$1006,0)))),"Fix")))</f>
        <v xml:space="preserve"> </v>
      </c>
      <c r="W368" s="4" t="str">
        <f ca="1">IF(OR(INDEX($AG$2:$AG$1001,MATCH(ROWS($AF$2:AF368),$AF$2:$AF$1001,0),1)&gt;=100000,INDEX($AM$1005:$BM$1005,1,MATCH(COLUMNS($AM$1006:BH1006),$AM$1006:$BM$1006,0))&gt;=100000), " ",IF(INDEX($AM$2:$BM$1001,MATCH(ROWS($AF$2:AF368),$AF$2:$AF$1001,0),MATCH(COLUMNS($AM$1006:BH1006),$AM$1006:$BM$1006,0)), HYPERLINK("#",""), HYPERLINK(CONCATENATE("#metadata!", ADDRESS(INDEX($AH$2:$AH$1001,MATCH(ROWS($AF$2:AF368),$AF$2:$AF$1001,0),0), INDEX($AM$1004:$BM$1004,1,MATCH(COLUMNS($AM$1006:BH1006),$AM$1006:$BM$1006,0)))),"Fix")))</f>
        <v xml:space="preserve"> </v>
      </c>
      <c r="X368" s="4" t="str">
        <f ca="1">IF(OR(INDEX($AG$2:$AG$1001,MATCH(ROWS($AF$2:AF368),$AF$2:$AF$1001,0),1)&gt;=100000,INDEX($AM$1005:$BM$1005,1,MATCH(COLUMNS($AM$1006:BI1006),$AM$1006:$BM$1006,0))&gt;=100000), " ",IF(INDEX($AM$2:$BM$1001,MATCH(ROWS($AF$2:AF368),$AF$2:$AF$1001,0),MATCH(COLUMNS($AM$1006:BI1006),$AM$1006:$BM$1006,0)), HYPERLINK("#",""), HYPERLINK(CONCATENATE("#metadata!", ADDRESS(INDEX($AH$2:$AH$1001,MATCH(ROWS($AF$2:AF368),$AF$2:$AF$1001,0),0), INDEX($AM$1004:$BM$1004,1,MATCH(COLUMNS($AM$1006:BI1006),$AM$1006:$BM$1006,0)))),"Fix")))</f>
        <v xml:space="preserve"> </v>
      </c>
      <c r="Y368" s="4" t="str">
        <f ca="1">IF(OR(INDEX($AG$2:$AG$1001,MATCH(ROWS($AF$2:AF368),$AF$2:$AF$1001,0),1)&gt;=100000,INDEX($AM$1005:$BM$1005,1,MATCH(COLUMNS($AM$1006:BJ1006),$AM$1006:$BM$1006,0))&gt;=100000), " ",IF(INDEX($AM$2:$BM$1001,MATCH(ROWS($AF$2:AF368),$AF$2:$AF$1001,0),MATCH(COLUMNS($AM$1006:BJ1006),$AM$1006:$BM$1006,0)), HYPERLINK("#",""), HYPERLINK(CONCATENATE("#metadata!", ADDRESS(INDEX($AH$2:$AH$1001,MATCH(ROWS($AF$2:AF368),$AF$2:$AF$1001,0),0), INDEX($AM$1004:$BM$1004,1,MATCH(COLUMNS($AM$1006:BJ1006),$AM$1006:$BM$1006,0)))),"Fix")))</f>
        <v xml:space="preserve"> </v>
      </c>
      <c r="Z368" s="4" t="str">
        <f ca="1">IF(OR(INDEX($AG$2:$AG$1001,MATCH(ROWS($AF$2:AF368),$AF$2:$AF$1001,0),1)&gt;=100000,INDEX($AM$1005:$BM$1005,1,MATCH(COLUMNS($AM$1006:BK1006),$AM$1006:$BM$1006,0))&gt;=100000), " ",IF(INDEX($AM$2:$BM$1001,MATCH(ROWS($AF$2:AF368),$AF$2:$AF$1001,0),MATCH(COLUMNS($AM$1006:BK1006),$AM$1006:$BM$1006,0)), HYPERLINK("#",""), HYPERLINK(CONCATENATE("#metadata!", ADDRESS(INDEX($AH$2:$AH$1001,MATCH(ROWS($AF$2:AF368),$AF$2:$AF$1001,0),0), INDEX($AM$1004:$BM$1004,1,MATCH(COLUMNS($AM$1006:BK1006),$AM$1006:$BM$1006,0)))),"Fix")))</f>
        <v xml:space="preserve"> </v>
      </c>
      <c r="AA368" s="4" t="str">
        <f ca="1">IF(OR(INDEX($AG$2:$AG$1001,MATCH(ROWS($AF$2:AF368),$AF$2:$AF$1001,0),1)&gt;=100000,INDEX($AM$1005:$BM$1005,1,MATCH(COLUMNS($AM$1006:BL1006),$AM$1006:$BM$1006,0))&gt;=100000), " ",IF(INDEX($AM$2:$BM$1001,MATCH(ROWS($AF$2:AF368),$AF$2:$AF$1001,0),MATCH(COLUMNS($AM$1006:BL1006),$AM$1006:$BM$1006,0)), HYPERLINK("#",""), HYPERLINK(CONCATENATE("#metadata!", ADDRESS(INDEX($AH$2:$AH$1001,MATCH(ROWS($AF$2:AF368),$AF$2:$AF$1001,0),0), INDEX($AM$1004:$BM$1004,1,MATCH(COLUMNS($AM$1006:BL1006),$AM$1006:$BM$1006,0)))),"Fix")))</f>
        <v xml:space="preserve"> </v>
      </c>
      <c r="AB368" s="4" t="str">
        <f ca="1">IF(OR(INDEX($AG$2:$AG$1001,MATCH(ROWS($AF$2:AF368),$AF$2:$AF$1001,0),1)&gt;=100000,INDEX($AM$1005:$BM$1005,1,MATCH(COLUMNS($AM$1006:BM1006),$AM$1006:$BM$1006,0))&gt;=100000), " ",IF(INDEX($AM$2:$BM$1001,MATCH(ROWS($AF$2:AF368),$AF$2:$AF$1001,0),MATCH(COLUMNS($AM$1006:BM1006),$AM$1006:$BM$1006,0)), HYPERLINK("#",""), HYPERLINK(CONCATENATE("#metadata!", ADDRESS(INDEX($AH$2:$AH$1001,MATCH(ROWS($AF$2:AF368),$AF$2:$AF$1001,0),0), INDEX($AM$1004:$BM$1004,1,MATCH(COLUMNS($AM$1006:BM1006),$AM$1006:$BM$1006,0)))),"Fix")))</f>
        <v xml:space="preserve"> </v>
      </c>
      <c r="AF368">
        <v>367</v>
      </c>
      <c r="AG368">
        <v>100368</v>
      </c>
      <c r="AH368">
        <v>368</v>
      </c>
      <c r="AI368" t="b">
        <f t="shared" si="5"/>
        <v>1</v>
      </c>
      <c r="AJ368" t="b">
        <f>COUNTBLANK(metadata!B368:AB368)=COLUMNS(metadata!B368:AB368)</f>
        <v>1</v>
      </c>
      <c r="AK368" t="str">
        <v/>
      </c>
      <c r="AM368" t="b">
        <f ca="1">AND(IF(metadata!B368="",FALSE,TRUE),COUNTIF(metadata!B:B, metadata!B368) = 1,NOT(ISERROR(SUMPRODUCT(SEARCH(MID(metadata!B368,ROW(INDIRECT("1:"&amp;LEN(metadata!B368))), 1),"0123456789abcdefghijklmnopqrstuvwxyzABCDEFGHIJKLMNOPQRSTUVWXYZ.")))))</f>
        <v>0</v>
      </c>
      <c r="AN368" t="b">
        <f ca="1">OR(AND(IF(metadata!C368="",FALSE,TRUE),OR(EXACT(metadata!C368,"missing: not collected"),EXACT(metadata!C368,"missing: not provided"),EXACT(metadata!C368,"missing: restricted access"))),AND(IF(metadata!C368="",FALSE,TRUE),AND(AND(IFERROR(INT(LEFT(metadata!C368,4))&gt;1900,FALSE),IFERROR(INT(LEFT(metadata!C368,4))&lt;=YEAR(NOW()),FALSE)), OR(MID(metadata!C368,5,1)="", AND(AND(MID(metadata!C368,5,1)="-",IFERROR(INT(MID(metadata!C368,6,1))&gt;=0,FALSE),IFERROR(INT(MID(metadata!C368,6,1))&lt;=1,FALSE),NOT(MID(metadata!C368,7,1)=""),IFERROR(INT(MID(metadata!C368,6,2))&gt;=1,FALSE),IFERROR(INT(MID(metadata!C368,6,2))&lt;=12,FALSE)), OR(MID(metadata!C368,8,1)="", AND(AND(MID(metadata!C368,8,1)="-",IFERROR(INT(MID(metadata!C368,9,1))&gt;=0,FALSE),IFERROR(INT(MID(metadata!C368,9,1))&lt;=3,FALSE),NOT(MID(metadata!C368,10,1)=""),IFERROR(INT(MID(metadata!C368,9,2))&gt;=1,FALSE),IFERROR(INT(MID(metadata!C368,9,2))&lt;=31,FALSE)), OR(MID(metadata!C368,11,1)="", AND(AND(MID(metadata!C368,11,1)=" ",IFERROR(INT(MID(metadata!C368,12,1))&gt;=0,FALSE),IFERROR(INT(MID(metadata!C368,12,1))&lt;=2,FALSE),NOT(MID(metadata!C368,13,1)=""),IFERROR(INT(MID(metadata!C368,12,2))&gt;=0,FALSE),IFERROR(INT(MID(metadata!C368,12,2))&lt;=23,FALSE)), OR(MID(metadata!C368,14,1)="", AND(AND(MID(metadata!C368,14,1)=":",IFERROR(INT(MID(metadata!C368,15,1))&gt;=0,FALSE),IFERROR(INT(MID(metadata!C368,15,1))&lt;=5,FALSE),NOT(MID(metadata!C368,16,1)=""),IFERROR(INT(MID(metadata!C368,15,2))&gt;=0,FALSE),IFERROR(INT(MID(metadata!C368,15,2))&lt;=59,FALSE)), OR(MID(metadata!C368,17,1)="", AND(AND(MID(metadata!C368,17,1)=":",IFERROR(INT(MID(metadata!C368,18,1))&gt;=0,FALSE),IFERROR(INT(MID(metadata!C368,18,1))&lt;=5,FALSE),NOT(MID(metadata!C368,19,1)=""),IFERROR(INT(MID(metadata!C368,18,2))&gt;=0,FALSE),IFERROR(INT(MID(metadata!C368,18,2))&lt;=59,FALSE)), LEN(metadata!C368)&lt;=19)))))))))))))</f>
        <v>0</v>
      </c>
      <c r="AO368" t="b">
        <f>AND(IF(metadata!D368="",FALSE,TRUE),EXACT(metadata!D368,"Not applicable"))</f>
        <v>0</v>
      </c>
      <c r="AP368" t="b">
        <f>IF(metadata!E368="",FALSE,TRUE)</f>
        <v>0</v>
      </c>
      <c r="AQ368" t="b">
        <f>OR(AND(IF(metadata!F368="",FALSE,TRUE),OR(EXACT(metadata!F368,"missing: not collected"),EXACT(metadata!F368,"missing: not provided"))),AND(IF(metadata!F368="",FALSE,TRUE),OR(EXACT(metadata!F368,"TRUE"),EXACT(metadata!F368,"FALSE"))))</f>
        <v>0</v>
      </c>
      <c r="AR368" t="b">
        <f>OR(AND(IF(metadata!G368="",FALSE,TRUE),OR(EXACT(metadata!G368,"missing: not collected"),EXACT(metadata!G368,"missing: not provided"),EXACT(metadata!G368,"missing: restricted access"))),AND(IF(metadata!G368="",FALSE,ISNUMBER(VALUE(metadata!G368))),metadata!G368&gt;=-413))</f>
        <v>0</v>
      </c>
      <c r="AS368" t="b">
        <f>AND(IF(metadata!H368="",FALSE,TRUE),EXACT(metadata!H368,"meters"))</f>
        <v>0</v>
      </c>
      <c r="AT368" t="b">
        <f>AND(IF(metadata!I368="",FALSE,TRUE),OR(EXACT(metadata!I368,"Host-associated"),EXACT(metadata!I368,"Free-living")))</f>
        <v>0</v>
      </c>
      <c r="AU368" t="b">
        <f>AND(IF(metadata!J368="",FALSE,TRUE),OR(EXACT(metadata!J368,"Animal"),EXACT(metadata!J368,"Fungus"),EXACT(metadata!J368,"Plant"),EXACT(metadata!J368,"Saline"),EXACT(metadata!J368,"Non-saline")))</f>
        <v>0</v>
      </c>
      <c r="AV368" t="b">
        <f>AND(IF(metadata!K368="",FALSE,TRUE),OR(EXACT(metadata!K368,"Plant secretion"),EXACT(metadata!K368,"Plant rhizosphere"),EXACT(metadata!K368,"Plant surface"),EXACT(metadata!K368,"Plant corpus"),EXACT(metadata!K368,"Fungus surface"),EXACT(metadata!K368,"Fungus corpus"),EXACT(metadata!K368,"Animal surface"),EXACT(metadata!K368,"Animal proximal gut"),EXACT(metadata!K368,"Animal corpus"),EXACT(metadata!K368,"Animal distal gut"),EXACT(metadata!K368,"Animal secretion"),EXACT(metadata!K368,"Sub-surface (non-saline)"),EXACT(metadata!K368,"Surface (non-saline)"),EXACT(metadata!K368,"Water (non-saline)"),EXACT(metadata!K368,"Soil (non-saline)"),EXACT(metadata!K368,"Aerosol (non-saline)"),EXACT(metadata!K368,"Sediment (non-saline)"),EXACT(metadata!K368,"Surface (saline)"),EXACT(metadata!K368,"Water (saline)"),EXACT(metadata!K368,"Hypersaline (saline)"),EXACT(metadata!K368,"Aerosol (saline)"),EXACT(metadata!K368,"Sediment (saline)")))</f>
        <v>0</v>
      </c>
      <c r="AW368" t="b">
        <f>IF(metadata!L368="",FALSE,TRUE)</f>
        <v>0</v>
      </c>
      <c r="AX368" t="b">
        <f>IF(metadata!M368="",FALSE,TRUE)</f>
        <v>0</v>
      </c>
      <c r="AY368" t="b">
        <f>IF(metadata!N368="",FALSE,TRUE)</f>
        <v>0</v>
      </c>
      <c r="AZ368" t="b">
        <f>OR(AND(IF(metadata!O368="",FALSE,TRUE),OR(EXACT(metadata!O368,"missing: not collected"),EXACT(metadata!O368,"missing: not provided"),EXACT(metadata!O368,"missing: restricted access"))),AND(IF(metadata!O368="",FALSE,TRUE),OR(EXACT(metadata!O368,"air"),EXACT(metadata!O368,"built environment"),EXACT(metadata!O368,"host-associated"),EXACT(metadata!O368,"human-associated"),EXACT(metadata!O368,"human-skin"),EXACT(metadata!O368,"human-oral"),EXACT(metadata!O368,"human-gut"),EXACT(metadata!O368,"human-vaginal"),EXACT(metadata!O368,"microbial mat/biofilm"),EXACT(metadata!O368,"misc environment"),EXACT(metadata!O368,"plant-associated"),EXACT(metadata!O368,"sediment"),EXACT(metadata!O368,"soil"),EXACT(metadata!O368,"wastewater/sludge"),EXACT(metadata!O368,"water"))))</f>
        <v>0</v>
      </c>
      <c r="BA368" t="b">
        <f>IF(metadata!P368="",FALSE,TRUE)</f>
        <v>0</v>
      </c>
      <c r="BB368" t="b">
        <f>IF(metadata!Q368="",FALSE,TRUE)</f>
        <v>0</v>
      </c>
      <c r="BC368" t="b">
        <f>OR(AND(IF(metadata!R368="",FALSE,TRUE),OR(EXACT(metadata!R368,"missing: not collected"),EXACT(metadata!R368,"missing: not provided"),EXACT(metadata!R368,"missing: restricted access"))),AND(IF(metadata!R368="",FALSE,ISNUMBER(VALUE(metadata!R368))),metadata!R368&gt;=-90,metadata!R368&lt;=90))</f>
        <v>0</v>
      </c>
      <c r="BD368" t="b">
        <f>AND(IF(metadata!S368="",FALSE,TRUE),EXACT(metadata!S368,"Decimal degrees"))</f>
        <v>0</v>
      </c>
      <c r="BE368" t="b">
        <f>OR(AND(IF(metadata!T368="",FALSE,TRUE),OR(EXACT(metadata!T368,"missing: not collected"),EXACT(metadata!T368,"missing: not provided"),EXACT(metadata!T368,"missing: restricted access"))),AND(IF(metadata!T368="",FALSE,ISNUMBER(VALUE(metadata!T368))),metadata!T368&gt;=-180,metadata!T368&lt;=180))</f>
        <v>0</v>
      </c>
      <c r="BF368" t="b">
        <f>AND(IF(metadata!U368="",FALSE,TRUE),EXACT(metadata!U368,"Decimal degrees"))</f>
        <v>0</v>
      </c>
      <c r="BG368" t="b">
        <f>IF(metadata!V368="",FALSE,TRUE)</f>
        <v>0</v>
      </c>
      <c r="BH368" t="b">
        <f>OR(AND(IF(metadata!W368="",FALSE,TRUE),OR(EXACT(metadata!W368,"missing: not collected"),EXACT(metadata!W368,"missing: not provided"),EXACT(metadata!W368,"missing: restricted access"))),AND(IF(metadata!W368="",FALSE,TRUE),OR(EXACT(metadata!W368,"TRUE"),EXACT(metadata!W368,"FALSE"))))</f>
        <v>0</v>
      </c>
      <c r="BI368" t="b">
        <f>AND(IF(metadata!X368="",FALSE,TRUE),EXACT(metadata!X368,"other"))</f>
        <v>0</v>
      </c>
      <c r="BJ368" t="b">
        <f>IF(metadata!Y368="",FALSE,TRUE)</f>
        <v>0</v>
      </c>
      <c r="BK368" t="b">
        <f>OR(AND(IF(metadata!Z368="",FALSE,TRUE),OR(EXACT(metadata!Z368,"missing: not collected"),EXACT(metadata!Z368,"missing: not provided"))),AND(IF(metadata!Z368="",FALSE,IF(ISERROR(INT(metadata!Z368)),FALSE,INT(metadata!Z368)=metadata!Z368)),metadata!Z368&gt;0))</f>
        <v>0</v>
      </c>
      <c r="BL368" t="b">
        <f>AND(IF(metadata!AA368="",FALSE,TRUE),EXACT(metadata!AA368,"Not applicable"))</f>
        <v>0</v>
      </c>
      <c r="BM368" t="b">
        <f>IF(metadata!AB368="",FALSE,TRUE)</f>
        <v>0</v>
      </c>
    </row>
    <row r="369" spans="1:65" x14ac:dyDescent="0.2">
      <c r="A369" s="5" t="str">
        <f ca="1">IF(B369=" "," ",HYPERLINK(CONCATENATE("#metadata!",ADDRESS(INDEX($AH$2:$AH$1001,MATCH(ROWS($AF$2:AF369),$AF$2:$AF$1001,0),0),1)),INDEX($AK$2:$AK$1001,MATCH(ROWS($AF$2:AF369),$AF$2:$AF$1001,0),0)))</f>
        <v xml:space="preserve"> </v>
      </c>
      <c r="B369" s="4" t="str">
        <f ca="1">IF(OR(INDEX($AG$2:$AG$1001,MATCH(ROWS($AF$2:AF369),$AF$2:$AF$1001,0),1)&gt;=100000,INDEX($AM$1005:$BM$1005,1,MATCH(COLUMNS($AM$1006:AM1006),$AM$1006:$BM$1006,0))&gt;=100000), " ",IF(INDEX($AM$2:$BM$1001,MATCH(ROWS($AF$2:AF369),$AF$2:$AF$1001,0),MATCH(COLUMNS($AM$1006:AM1006),$AM$1006:$BM$1006,0)), HYPERLINK("#",""), HYPERLINK(CONCATENATE("#metadata!", ADDRESS(INDEX($AH$2:$AH$1001,MATCH(ROWS($AF$2:AF369),$AF$2:$AF$1001,0),0), INDEX($AM$1004:$BM$1004,1,MATCH(COLUMNS($AM$1006:AM1006),$AM$1006:$BM$1006,0)))),"Fix")))</f>
        <v xml:space="preserve"> </v>
      </c>
      <c r="C369" s="4" t="str">
        <f ca="1">IF(OR(INDEX($AG$2:$AG$1001,MATCH(ROWS($AF$2:AF369),$AF$2:$AF$1001,0),1)&gt;=100000,INDEX($AM$1005:$BM$1005,1,MATCH(COLUMNS($AM$1006:AN1006),$AM$1006:$BM$1006,0))&gt;=100000), " ",IF(INDEX($AM$2:$BM$1001,MATCH(ROWS($AF$2:AF369),$AF$2:$AF$1001,0),MATCH(COLUMNS($AM$1006:AN1006),$AM$1006:$BM$1006,0)), HYPERLINK("#",""), HYPERLINK(CONCATENATE("#metadata!", ADDRESS(INDEX($AH$2:$AH$1001,MATCH(ROWS($AF$2:AF369),$AF$2:$AF$1001,0),0), INDEX($AM$1004:$BM$1004,1,MATCH(COLUMNS($AM$1006:AN1006),$AM$1006:$BM$1006,0)))),"Fix")))</f>
        <v xml:space="preserve"> </v>
      </c>
      <c r="D369" s="4" t="str">
        <f ca="1">IF(OR(INDEX($AG$2:$AG$1001,MATCH(ROWS($AF$2:AF369),$AF$2:$AF$1001,0),1)&gt;=100000,INDEX($AM$1005:$BM$1005,1,MATCH(COLUMNS($AM$1006:AO1006),$AM$1006:$BM$1006,0))&gt;=100000), " ",IF(INDEX($AM$2:$BM$1001,MATCH(ROWS($AF$2:AF369),$AF$2:$AF$1001,0),MATCH(COLUMNS($AM$1006:AO1006),$AM$1006:$BM$1006,0)), HYPERLINK("#",""), HYPERLINK(CONCATENATE("#metadata!", ADDRESS(INDEX($AH$2:$AH$1001,MATCH(ROWS($AF$2:AF369),$AF$2:$AF$1001,0),0), INDEX($AM$1004:$BM$1004,1,MATCH(COLUMNS($AM$1006:AO1006),$AM$1006:$BM$1006,0)))),"Fix")))</f>
        <v xml:space="preserve"> </v>
      </c>
      <c r="E369" s="4" t="str">
        <f ca="1">IF(OR(INDEX($AG$2:$AG$1001,MATCH(ROWS($AF$2:AF369),$AF$2:$AF$1001,0),1)&gt;=100000,INDEX($AM$1005:$BM$1005,1,MATCH(COLUMNS($AM$1006:AP1006),$AM$1006:$BM$1006,0))&gt;=100000), " ",IF(INDEX($AM$2:$BM$1001,MATCH(ROWS($AF$2:AF369),$AF$2:$AF$1001,0),MATCH(COLUMNS($AM$1006:AP1006),$AM$1006:$BM$1006,0)), HYPERLINK("#",""), HYPERLINK(CONCATENATE("#metadata!", ADDRESS(INDEX($AH$2:$AH$1001,MATCH(ROWS($AF$2:AF369),$AF$2:$AF$1001,0),0), INDEX($AM$1004:$BM$1004,1,MATCH(COLUMNS($AM$1006:AP1006),$AM$1006:$BM$1006,0)))),"Fix")))</f>
        <v xml:space="preserve"> </v>
      </c>
      <c r="F369" s="4" t="str">
        <f ca="1">IF(OR(INDEX($AG$2:$AG$1001,MATCH(ROWS($AF$2:AF369),$AF$2:$AF$1001,0),1)&gt;=100000,INDEX($AM$1005:$BM$1005,1,MATCH(COLUMNS($AM$1006:AQ1006),$AM$1006:$BM$1006,0))&gt;=100000), " ",IF(INDEX($AM$2:$BM$1001,MATCH(ROWS($AF$2:AF369),$AF$2:$AF$1001,0),MATCH(COLUMNS($AM$1006:AQ1006),$AM$1006:$BM$1006,0)), HYPERLINK("#",""), HYPERLINK(CONCATENATE("#metadata!", ADDRESS(INDEX($AH$2:$AH$1001,MATCH(ROWS($AF$2:AF369),$AF$2:$AF$1001,0),0), INDEX($AM$1004:$BM$1004,1,MATCH(COLUMNS($AM$1006:AQ1006),$AM$1006:$BM$1006,0)))),"Fix")))</f>
        <v xml:space="preserve"> </v>
      </c>
      <c r="G369" s="4" t="str">
        <f ca="1">IF(OR(INDEX($AG$2:$AG$1001,MATCH(ROWS($AF$2:AF369),$AF$2:$AF$1001,0),1)&gt;=100000,INDEX($AM$1005:$BM$1005,1,MATCH(COLUMNS($AM$1006:AR1006),$AM$1006:$BM$1006,0))&gt;=100000), " ",IF(INDEX($AM$2:$BM$1001,MATCH(ROWS($AF$2:AF369),$AF$2:$AF$1001,0),MATCH(COLUMNS($AM$1006:AR1006),$AM$1006:$BM$1006,0)), HYPERLINK("#",""), HYPERLINK(CONCATENATE("#metadata!", ADDRESS(INDEX($AH$2:$AH$1001,MATCH(ROWS($AF$2:AF369),$AF$2:$AF$1001,0),0), INDEX($AM$1004:$BM$1004,1,MATCH(COLUMNS($AM$1006:AR1006),$AM$1006:$BM$1006,0)))),"Fix")))</f>
        <v xml:space="preserve"> </v>
      </c>
      <c r="H369" s="4" t="str">
        <f ca="1">IF(OR(INDEX($AG$2:$AG$1001,MATCH(ROWS($AF$2:AF369),$AF$2:$AF$1001,0),1)&gt;=100000,INDEX($AM$1005:$BM$1005,1,MATCH(COLUMNS($AM$1006:AS1006),$AM$1006:$BM$1006,0))&gt;=100000), " ",IF(INDEX($AM$2:$BM$1001,MATCH(ROWS($AF$2:AF369),$AF$2:$AF$1001,0),MATCH(COLUMNS($AM$1006:AS1006),$AM$1006:$BM$1006,0)), HYPERLINK("#",""), HYPERLINK(CONCATENATE("#metadata!", ADDRESS(INDEX($AH$2:$AH$1001,MATCH(ROWS($AF$2:AF369),$AF$2:$AF$1001,0),0), INDEX($AM$1004:$BM$1004,1,MATCH(COLUMNS($AM$1006:AS1006),$AM$1006:$BM$1006,0)))),"Fix")))</f>
        <v xml:space="preserve"> </v>
      </c>
      <c r="I369" s="4" t="str">
        <f ca="1">IF(OR(INDEX($AG$2:$AG$1001,MATCH(ROWS($AF$2:AF369),$AF$2:$AF$1001,0),1)&gt;=100000,INDEX($AM$1005:$BM$1005,1,MATCH(COLUMNS($AM$1006:AT1006),$AM$1006:$BM$1006,0))&gt;=100000), " ",IF(INDEX($AM$2:$BM$1001,MATCH(ROWS($AF$2:AF369),$AF$2:$AF$1001,0),MATCH(COLUMNS($AM$1006:AT1006),$AM$1006:$BM$1006,0)), HYPERLINK("#",""), HYPERLINK(CONCATENATE("#metadata!", ADDRESS(INDEX($AH$2:$AH$1001,MATCH(ROWS($AF$2:AF369),$AF$2:$AF$1001,0),0), INDEX($AM$1004:$BM$1004,1,MATCH(COLUMNS($AM$1006:AT1006),$AM$1006:$BM$1006,0)))),"Fix")))</f>
        <v xml:space="preserve"> </v>
      </c>
      <c r="J369" s="4" t="str">
        <f ca="1">IF(OR(INDEX($AG$2:$AG$1001,MATCH(ROWS($AF$2:AF369),$AF$2:$AF$1001,0),1)&gt;=100000,INDEX($AM$1005:$BM$1005,1,MATCH(COLUMNS($AM$1006:AU1006),$AM$1006:$BM$1006,0))&gt;=100000), " ",IF(INDEX($AM$2:$BM$1001,MATCH(ROWS($AF$2:AF369),$AF$2:$AF$1001,0),MATCH(COLUMNS($AM$1006:AU1006),$AM$1006:$BM$1006,0)), HYPERLINK("#",""), HYPERLINK(CONCATENATE("#metadata!", ADDRESS(INDEX($AH$2:$AH$1001,MATCH(ROWS($AF$2:AF369),$AF$2:$AF$1001,0),0), INDEX($AM$1004:$BM$1004,1,MATCH(COLUMNS($AM$1006:AU1006),$AM$1006:$BM$1006,0)))),"Fix")))</f>
        <v xml:space="preserve"> </v>
      </c>
      <c r="K369" s="4" t="str">
        <f ca="1">IF(OR(INDEX($AG$2:$AG$1001,MATCH(ROWS($AF$2:AF369),$AF$2:$AF$1001,0),1)&gt;=100000,INDEX($AM$1005:$BM$1005,1,MATCH(COLUMNS($AM$1006:AV1006),$AM$1006:$BM$1006,0))&gt;=100000), " ",IF(INDEX($AM$2:$BM$1001,MATCH(ROWS($AF$2:AF369),$AF$2:$AF$1001,0),MATCH(COLUMNS($AM$1006:AV1006),$AM$1006:$BM$1006,0)), HYPERLINK("#",""), HYPERLINK(CONCATENATE("#metadata!", ADDRESS(INDEX($AH$2:$AH$1001,MATCH(ROWS($AF$2:AF369),$AF$2:$AF$1001,0),0), INDEX($AM$1004:$BM$1004,1,MATCH(COLUMNS($AM$1006:AV1006),$AM$1006:$BM$1006,0)))),"Fix")))</f>
        <v xml:space="preserve"> </v>
      </c>
      <c r="L369" s="4" t="str">
        <f ca="1">IF(OR(INDEX($AG$2:$AG$1001,MATCH(ROWS($AF$2:AF369),$AF$2:$AF$1001,0),1)&gt;=100000,INDEX($AM$1005:$BM$1005,1,MATCH(COLUMNS($AM$1006:AW1006),$AM$1006:$BM$1006,0))&gt;=100000), " ",IF(INDEX($AM$2:$BM$1001,MATCH(ROWS($AF$2:AF369),$AF$2:$AF$1001,0),MATCH(COLUMNS($AM$1006:AW1006),$AM$1006:$BM$1006,0)), HYPERLINK("#",""), HYPERLINK(CONCATENATE("#metadata!", ADDRESS(INDEX($AH$2:$AH$1001,MATCH(ROWS($AF$2:AF369),$AF$2:$AF$1001,0),0), INDEX($AM$1004:$BM$1004,1,MATCH(COLUMNS($AM$1006:AW1006),$AM$1006:$BM$1006,0)))),"Fix")))</f>
        <v xml:space="preserve"> </v>
      </c>
      <c r="M369" s="4" t="str">
        <f ca="1">IF(OR(INDEX($AG$2:$AG$1001,MATCH(ROWS($AF$2:AF369),$AF$2:$AF$1001,0),1)&gt;=100000,INDEX($AM$1005:$BM$1005,1,MATCH(COLUMNS($AM$1006:AX1006),$AM$1006:$BM$1006,0))&gt;=100000), " ",IF(INDEX($AM$2:$BM$1001,MATCH(ROWS($AF$2:AF369),$AF$2:$AF$1001,0),MATCH(COLUMNS($AM$1006:AX1006),$AM$1006:$BM$1006,0)), HYPERLINK("#",""), HYPERLINK(CONCATENATE("#metadata!", ADDRESS(INDEX($AH$2:$AH$1001,MATCH(ROWS($AF$2:AF369),$AF$2:$AF$1001,0),0), INDEX($AM$1004:$BM$1004,1,MATCH(COLUMNS($AM$1006:AX1006),$AM$1006:$BM$1006,0)))),"Fix")))</f>
        <v xml:space="preserve"> </v>
      </c>
      <c r="N369" s="4" t="str">
        <f ca="1">IF(OR(INDEX($AG$2:$AG$1001,MATCH(ROWS($AF$2:AF369),$AF$2:$AF$1001,0),1)&gt;=100000,INDEX($AM$1005:$BM$1005,1,MATCH(COLUMNS($AM$1006:AY1006),$AM$1006:$BM$1006,0))&gt;=100000), " ",IF(INDEX($AM$2:$BM$1001,MATCH(ROWS($AF$2:AF369),$AF$2:$AF$1001,0),MATCH(COLUMNS($AM$1006:AY1006),$AM$1006:$BM$1006,0)), HYPERLINK("#",""), HYPERLINK(CONCATENATE("#metadata!", ADDRESS(INDEX($AH$2:$AH$1001,MATCH(ROWS($AF$2:AF369),$AF$2:$AF$1001,0),0), INDEX($AM$1004:$BM$1004,1,MATCH(COLUMNS($AM$1006:AY1006),$AM$1006:$BM$1006,0)))),"Fix")))</f>
        <v xml:space="preserve"> </v>
      </c>
      <c r="O369" s="4" t="str">
        <f ca="1">IF(OR(INDEX($AG$2:$AG$1001,MATCH(ROWS($AF$2:AF369),$AF$2:$AF$1001,0),1)&gt;=100000,INDEX($AM$1005:$BM$1005,1,MATCH(COLUMNS($AM$1006:AZ1006),$AM$1006:$BM$1006,0))&gt;=100000), " ",IF(INDEX($AM$2:$BM$1001,MATCH(ROWS($AF$2:AF369),$AF$2:$AF$1001,0),MATCH(COLUMNS($AM$1006:AZ1006),$AM$1006:$BM$1006,0)), HYPERLINK("#",""), HYPERLINK(CONCATENATE("#metadata!", ADDRESS(INDEX($AH$2:$AH$1001,MATCH(ROWS($AF$2:AF369),$AF$2:$AF$1001,0),0), INDEX($AM$1004:$BM$1004,1,MATCH(COLUMNS($AM$1006:AZ1006),$AM$1006:$BM$1006,0)))),"Fix")))</f>
        <v xml:space="preserve"> </v>
      </c>
      <c r="P369" s="4" t="str">
        <f ca="1">IF(OR(INDEX($AG$2:$AG$1001,MATCH(ROWS($AF$2:AF369),$AF$2:$AF$1001,0),1)&gt;=100000,INDEX($AM$1005:$BM$1005,1,MATCH(COLUMNS($AM$1006:BA1006),$AM$1006:$BM$1006,0))&gt;=100000), " ",IF(INDEX($AM$2:$BM$1001,MATCH(ROWS($AF$2:AF369),$AF$2:$AF$1001,0),MATCH(COLUMNS($AM$1006:BA1006),$AM$1006:$BM$1006,0)), HYPERLINK("#",""), HYPERLINK(CONCATENATE("#metadata!", ADDRESS(INDEX($AH$2:$AH$1001,MATCH(ROWS($AF$2:AF369),$AF$2:$AF$1001,0),0), INDEX($AM$1004:$BM$1004,1,MATCH(COLUMNS($AM$1006:BA1006),$AM$1006:$BM$1006,0)))),"Fix")))</f>
        <v xml:space="preserve"> </v>
      </c>
      <c r="Q369" s="4" t="str">
        <f ca="1">IF(OR(INDEX($AG$2:$AG$1001,MATCH(ROWS($AF$2:AF369),$AF$2:$AF$1001,0),1)&gt;=100000,INDEX($AM$1005:$BM$1005,1,MATCH(COLUMNS($AM$1006:BB1006),$AM$1006:$BM$1006,0))&gt;=100000), " ",IF(INDEX($AM$2:$BM$1001,MATCH(ROWS($AF$2:AF369),$AF$2:$AF$1001,0),MATCH(COLUMNS($AM$1006:BB1006),$AM$1006:$BM$1006,0)), HYPERLINK("#",""), HYPERLINK(CONCATENATE("#metadata!", ADDRESS(INDEX($AH$2:$AH$1001,MATCH(ROWS($AF$2:AF369),$AF$2:$AF$1001,0),0), INDEX($AM$1004:$BM$1004,1,MATCH(COLUMNS($AM$1006:BB1006),$AM$1006:$BM$1006,0)))),"Fix")))</f>
        <v xml:space="preserve"> </v>
      </c>
      <c r="R369" s="4" t="str">
        <f ca="1">IF(OR(INDEX($AG$2:$AG$1001,MATCH(ROWS($AF$2:AF369),$AF$2:$AF$1001,0),1)&gt;=100000,INDEX($AM$1005:$BM$1005,1,MATCH(COLUMNS($AM$1006:BC1006),$AM$1006:$BM$1006,0))&gt;=100000), " ",IF(INDEX($AM$2:$BM$1001,MATCH(ROWS($AF$2:AF369),$AF$2:$AF$1001,0),MATCH(COLUMNS($AM$1006:BC1006),$AM$1006:$BM$1006,0)), HYPERLINK("#",""), HYPERLINK(CONCATENATE("#metadata!", ADDRESS(INDEX($AH$2:$AH$1001,MATCH(ROWS($AF$2:AF369),$AF$2:$AF$1001,0),0), INDEX($AM$1004:$BM$1004,1,MATCH(COLUMNS($AM$1006:BC1006),$AM$1006:$BM$1006,0)))),"Fix")))</f>
        <v xml:space="preserve"> </v>
      </c>
      <c r="S369" s="4" t="str">
        <f ca="1">IF(OR(INDEX($AG$2:$AG$1001,MATCH(ROWS($AF$2:AF369),$AF$2:$AF$1001,0),1)&gt;=100000,INDEX($AM$1005:$BM$1005,1,MATCH(COLUMNS($AM$1006:BD1006),$AM$1006:$BM$1006,0))&gt;=100000), " ",IF(INDEX($AM$2:$BM$1001,MATCH(ROWS($AF$2:AF369),$AF$2:$AF$1001,0),MATCH(COLUMNS($AM$1006:BD1006),$AM$1006:$BM$1006,0)), HYPERLINK("#",""), HYPERLINK(CONCATENATE("#metadata!", ADDRESS(INDEX($AH$2:$AH$1001,MATCH(ROWS($AF$2:AF369),$AF$2:$AF$1001,0),0), INDEX($AM$1004:$BM$1004,1,MATCH(COLUMNS($AM$1006:BD1006),$AM$1006:$BM$1006,0)))),"Fix")))</f>
        <v xml:space="preserve"> </v>
      </c>
      <c r="T369" s="4" t="str">
        <f ca="1">IF(OR(INDEX($AG$2:$AG$1001,MATCH(ROWS($AF$2:AF369),$AF$2:$AF$1001,0),1)&gt;=100000,INDEX($AM$1005:$BM$1005,1,MATCH(COLUMNS($AM$1006:BE1006),$AM$1006:$BM$1006,0))&gt;=100000), " ",IF(INDEX($AM$2:$BM$1001,MATCH(ROWS($AF$2:AF369),$AF$2:$AF$1001,0),MATCH(COLUMNS($AM$1006:BE1006),$AM$1006:$BM$1006,0)), HYPERLINK("#",""), HYPERLINK(CONCATENATE("#metadata!", ADDRESS(INDEX($AH$2:$AH$1001,MATCH(ROWS($AF$2:AF369),$AF$2:$AF$1001,0),0), INDEX($AM$1004:$BM$1004,1,MATCH(COLUMNS($AM$1006:BE1006),$AM$1006:$BM$1006,0)))),"Fix")))</f>
        <v xml:space="preserve"> </v>
      </c>
      <c r="U369" s="4" t="str">
        <f ca="1">IF(OR(INDEX($AG$2:$AG$1001,MATCH(ROWS($AF$2:AF369),$AF$2:$AF$1001,0),1)&gt;=100000,INDEX($AM$1005:$BM$1005,1,MATCH(COLUMNS($AM$1006:BF1006),$AM$1006:$BM$1006,0))&gt;=100000), " ",IF(INDEX($AM$2:$BM$1001,MATCH(ROWS($AF$2:AF369),$AF$2:$AF$1001,0),MATCH(COLUMNS($AM$1006:BF1006),$AM$1006:$BM$1006,0)), HYPERLINK("#",""), HYPERLINK(CONCATENATE("#metadata!", ADDRESS(INDEX($AH$2:$AH$1001,MATCH(ROWS($AF$2:AF369),$AF$2:$AF$1001,0),0), INDEX($AM$1004:$BM$1004,1,MATCH(COLUMNS($AM$1006:BF1006),$AM$1006:$BM$1006,0)))),"Fix")))</f>
        <v xml:space="preserve"> </v>
      </c>
      <c r="V369" s="4" t="str">
        <f ca="1">IF(OR(INDEX($AG$2:$AG$1001,MATCH(ROWS($AF$2:AF369),$AF$2:$AF$1001,0),1)&gt;=100000,INDEX($AM$1005:$BM$1005,1,MATCH(COLUMNS($AM$1006:BG1006),$AM$1006:$BM$1006,0))&gt;=100000), " ",IF(INDEX($AM$2:$BM$1001,MATCH(ROWS($AF$2:AF369),$AF$2:$AF$1001,0),MATCH(COLUMNS($AM$1006:BG1006),$AM$1006:$BM$1006,0)), HYPERLINK("#",""), HYPERLINK(CONCATENATE("#metadata!", ADDRESS(INDEX($AH$2:$AH$1001,MATCH(ROWS($AF$2:AF369),$AF$2:$AF$1001,0),0), INDEX($AM$1004:$BM$1004,1,MATCH(COLUMNS($AM$1006:BG1006),$AM$1006:$BM$1006,0)))),"Fix")))</f>
        <v xml:space="preserve"> </v>
      </c>
      <c r="W369" s="4" t="str">
        <f ca="1">IF(OR(INDEX($AG$2:$AG$1001,MATCH(ROWS($AF$2:AF369),$AF$2:$AF$1001,0),1)&gt;=100000,INDEX($AM$1005:$BM$1005,1,MATCH(COLUMNS($AM$1006:BH1006),$AM$1006:$BM$1006,0))&gt;=100000), " ",IF(INDEX($AM$2:$BM$1001,MATCH(ROWS($AF$2:AF369),$AF$2:$AF$1001,0),MATCH(COLUMNS($AM$1006:BH1006),$AM$1006:$BM$1006,0)), HYPERLINK("#",""), HYPERLINK(CONCATENATE("#metadata!", ADDRESS(INDEX($AH$2:$AH$1001,MATCH(ROWS($AF$2:AF369),$AF$2:$AF$1001,0),0), INDEX($AM$1004:$BM$1004,1,MATCH(COLUMNS($AM$1006:BH1006),$AM$1006:$BM$1006,0)))),"Fix")))</f>
        <v xml:space="preserve"> </v>
      </c>
      <c r="X369" s="4" t="str">
        <f ca="1">IF(OR(INDEX($AG$2:$AG$1001,MATCH(ROWS($AF$2:AF369),$AF$2:$AF$1001,0),1)&gt;=100000,INDEX($AM$1005:$BM$1005,1,MATCH(COLUMNS($AM$1006:BI1006),$AM$1006:$BM$1006,0))&gt;=100000), " ",IF(INDEX($AM$2:$BM$1001,MATCH(ROWS($AF$2:AF369),$AF$2:$AF$1001,0),MATCH(COLUMNS($AM$1006:BI1006),$AM$1006:$BM$1006,0)), HYPERLINK("#",""), HYPERLINK(CONCATENATE("#metadata!", ADDRESS(INDEX($AH$2:$AH$1001,MATCH(ROWS($AF$2:AF369),$AF$2:$AF$1001,0),0), INDEX($AM$1004:$BM$1004,1,MATCH(COLUMNS($AM$1006:BI1006),$AM$1006:$BM$1006,0)))),"Fix")))</f>
        <v xml:space="preserve"> </v>
      </c>
      <c r="Y369" s="4" t="str">
        <f ca="1">IF(OR(INDEX($AG$2:$AG$1001,MATCH(ROWS($AF$2:AF369),$AF$2:$AF$1001,0),1)&gt;=100000,INDEX($AM$1005:$BM$1005,1,MATCH(COLUMNS($AM$1006:BJ1006),$AM$1006:$BM$1006,0))&gt;=100000), " ",IF(INDEX($AM$2:$BM$1001,MATCH(ROWS($AF$2:AF369),$AF$2:$AF$1001,0),MATCH(COLUMNS($AM$1006:BJ1006),$AM$1006:$BM$1006,0)), HYPERLINK("#",""), HYPERLINK(CONCATENATE("#metadata!", ADDRESS(INDEX($AH$2:$AH$1001,MATCH(ROWS($AF$2:AF369),$AF$2:$AF$1001,0),0), INDEX($AM$1004:$BM$1004,1,MATCH(COLUMNS($AM$1006:BJ1006),$AM$1006:$BM$1006,0)))),"Fix")))</f>
        <v xml:space="preserve"> </v>
      </c>
      <c r="Z369" s="4" t="str">
        <f ca="1">IF(OR(INDEX($AG$2:$AG$1001,MATCH(ROWS($AF$2:AF369),$AF$2:$AF$1001,0),1)&gt;=100000,INDEX($AM$1005:$BM$1005,1,MATCH(COLUMNS($AM$1006:BK1006),$AM$1006:$BM$1006,0))&gt;=100000), " ",IF(INDEX($AM$2:$BM$1001,MATCH(ROWS($AF$2:AF369),$AF$2:$AF$1001,0),MATCH(COLUMNS($AM$1006:BK1006),$AM$1006:$BM$1006,0)), HYPERLINK("#",""), HYPERLINK(CONCATENATE("#metadata!", ADDRESS(INDEX($AH$2:$AH$1001,MATCH(ROWS($AF$2:AF369),$AF$2:$AF$1001,0),0), INDEX($AM$1004:$BM$1004,1,MATCH(COLUMNS($AM$1006:BK1006),$AM$1006:$BM$1006,0)))),"Fix")))</f>
        <v xml:space="preserve"> </v>
      </c>
      <c r="AA369" s="4" t="str">
        <f ca="1">IF(OR(INDEX($AG$2:$AG$1001,MATCH(ROWS($AF$2:AF369),$AF$2:$AF$1001,0),1)&gt;=100000,INDEX($AM$1005:$BM$1005,1,MATCH(COLUMNS($AM$1006:BL1006),$AM$1006:$BM$1006,0))&gt;=100000), " ",IF(INDEX($AM$2:$BM$1001,MATCH(ROWS($AF$2:AF369),$AF$2:$AF$1001,0),MATCH(COLUMNS($AM$1006:BL1006),$AM$1006:$BM$1006,0)), HYPERLINK("#",""), HYPERLINK(CONCATENATE("#metadata!", ADDRESS(INDEX($AH$2:$AH$1001,MATCH(ROWS($AF$2:AF369),$AF$2:$AF$1001,0),0), INDEX($AM$1004:$BM$1004,1,MATCH(COLUMNS($AM$1006:BL1006),$AM$1006:$BM$1006,0)))),"Fix")))</f>
        <v xml:space="preserve"> </v>
      </c>
      <c r="AB369" s="4" t="str">
        <f ca="1">IF(OR(INDEX($AG$2:$AG$1001,MATCH(ROWS($AF$2:AF369),$AF$2:$AF$1001,0),1)&gt;=100000,INDEX($AM$1005:$BM$1005,1,MATCH(COLUMNS($AM$1006:BM1006),$AM$1006:$BM$1006,0))&gt;=100000), " ",IF(INDEX($AM$2:$BM$1001,MATCH(ROWS($AF$2:AF369),$AF$2:$AF$1001,0),MATCH(COLUMNS($AM$1006:BM1006),$AM$1006:$BM$1006,0)), HYPERLINK("#",""), HYPERLINK(CONCATENATE("#metadata!", ADDRESS(INDEX($AH$2:$AH$1001,MATCH(ROWS($AF$2:AF369),$AF$2:$AF$1001,0),0), INDEX($AM$1004:$BM$1004,1,MATCH(COLUMNS($AM$1006:BM1006),$AM$1006:$BM$1006,0)))),"Fix")))</f>
        <v xml:space="preserve"> </v>
      </c>
      <c r="AF369">
        <v>368</v>
      </c>
      <c r="AG369">
        <v>100369</v>
      </c>
      <c r="AH369">
        <v>369</v>
      </c>
      <c r="AI369" t="b">
        <f t="shared" si="5"/>
        <v>1</v>
      </c>
      <c r="AJ369" t="b">
        <f>COUNTBLANK(metadata!B369:AB369)=COLUMNS(metadata!B369:AB369)</f>
        <v>1</v>
      </c>
      <c r="AK369" t="str">
        <v/>
      </c>
      <c r="AM369" t="b">
        <f ca="1">AND(IF(metadata!B369="",FALSE,TRUE),COUNTIF(metadata!B:B, metadata!B369) = 1,NOT(ISERROR(SUMPRODUCT(SEARCH(MID(metadata!B369,ROW(INDIRECT("1:"&amp;LEN(metadata!B369))), 1),"0123456789abcdefghijklmnopqrstuvwxyzABCDEFGHIJKLMNOPQRSTUVWXYZ.")))))</f>
        <v>0</v>
      </c>
      <c r="AN369" t="b">
        <f ca="1">OR(AND(IF(metadata!C369="",FALSE,TRUE),OR(EXACT(metadata!C369,"missing: not collected"),EXACT(metadata!C369,"missing: not provided"),EXACT(metadata!C369,"missing: restricted access"))),AND(IF(metadata!C369="",FALSE,TRUE),AND(AND(IFERROR(INT(LEFT(metadata!C369,4))&gt;1900,FALSE),IFERROR(INT(LEFT(metadata!C369,4))&lt;=YEAR(NOW()),FALSE)), OR(MID(metadata!C369,5,1)="", AND(AND(MID(metadata!C369,5,1)="-",IFERROR(INT(MID(metadata!C369,6,1))&gt;=0,FALSE),IFERROR(INT(MID(metadata!C369,6,1))&lt;=1,FALSE),NOT(MID(metadata!C369,7,1)=""),IFERROR(INT(MID(metadata!C369,6,2))&gt;=1,FALSE),IFERROR(INT(MID(metadata!C369,6,2))&lt;=12,FALSE)), OR(MID(metadata!C369,8,1)="", AND(AND(MID(metadata!C369,8,1)="-",IFERROR(INT(MID(metadata!C369,9,1))&gt;=0,FALSE),IFERROR(INT(MID(metadata!C369,9,1))&lt;=3,FALSE),NOT(MID(metadata!C369,10,1)=""),IFERROR(INT(MID(metadata!C369,9,2))&gt;=1,FALSE),IFERROR(INT(MID(metadata!C369,9,2))&lt;=31,FALSE)), OR(MID(metadata!C369,11,1)="", AND(AND(MID(metadata!C369,11,1)=" ",IFERROR(INT(MID(metadata!C369,12,1))&gt;=0,FALSE),IFERROR(INT(MID(metadata!C369,12,1))&lt;=2,FALSE),NOT(MID(metadata!C369,13,1)=""),IFERROR(INT(MID(metadata!C369,12,2))&gt;=0,FALSE),IFERROR(INT(MID(metadata!C369,12,2))&lt;=23,FALSE)), OR(MID(metadata!C369,14,1)="", AND(AND(MID(metadata!C369,14,1)=":",IFERROR(INT(MID(metadata!C369,15,1))&gt;=0,FALSE),IFERROR(INT(MID(metadata!C369,15,1))&lt;=5,FALSE),NOT(MID(metadata!C369,16,1)=""),IFERROR(INT(MID(metadata!C369,15,2))&gt;=0,FALSE),IFERROR(INT(MID(metadata!C369,15,2))&lt;=59,FALSE)), OR(MID(metadata!C369,17,1)="", AND(AND(MID(metadata!C369,17,1)=":",IFERROR(INT(MID(metadata!C369,18,1))&gt;=0,FALSE),IFERROR(INT(MID(metadata!C369,18,1))&lt;=5,FALSE),NOT(MID(metadata!C369,19,1)=""),IFERROR(INT(MID(metadata!C369,18,2))&gt;=0,FALSE),IFERROR(INT(MID(metadata!C369,18,2))&lt;=59,FALSE)), LEN(metadata!C369)&lt;=19)))))))))))))</f>
        <v>0</v>
      </c>
      <c r="AO369" t="b">
        <f>AND(IF(metadata!D369="",FALSE,TRUE),EXACT(metadata!D369,"Not applicable"))</f>
        <v>0</v>
      </c>
      <c r="AP369" t="b">
        <f>IF(metadata!E369="",FALSE,TRUE)</f>
        <v>0</v>
      </c>
      <c r="AQ369" t="b">
        <f>OR(AND(IF(metadata!F369="",FALSE,TRUE),OR(EXACT(metadata!F369,"missing: not collected"),EXACT(metadata!F369,"missing: not provided"))),AND(IF(metadata!F369="",FALSE,TRUE),OR(EXACT(metadata!F369,"TRUE"),EXACT(metadata!F369,"FALSE"))))</f>
        <v>0</v>
      </c>
      <c r="AR369" t="b">
        <f>OR(AND(IF(metadata!G369="",FALSE,TRUE),OR(EXACT(metadata!G369,"missing: not collected"),EXACT(metadata!G369,"missing: not provided"),EXACT(metadata!G369,"missing: restricted access"))),AND(IF(metadata!G369="",FALSE,ISNUMBER(VALUE(metadata!G369))),metadata!G369&gt;=-413))</f>
        <v>0</v>
      </c>
      <c r="AS369" t="b">
        <f>AND(IF(metadata!H369="",FALSE,TRUE),EXACT(metadata!H369,"meters"))</f>
        <v>0</v>
      </c>
      <c r="AT369" t="b">
        <f>AND(IF(metadata!I369="",FALSE,TRUE),OR(EXACT(metadata!I369,"Host-associated"),EXACT(metadata!I369,"Free-living")))</f>
        <v>0</v>
      </c>
      <c r="AU369" t="b">
        <f>AND(IF(metadata!J369="",FALSE,TRUE),OR(EXACT(metadata!J369,"Animal"),EXACT(metadata!J369,"Fungus"),EXACT(metadata!J369,"Plant"),EXACT(metadata!J369,"Saline"),EXACT(metadata!J369,"Non-saline")))</f>
        <v>0</v>
      </c>
      <c r="AV369" t="b">
        <f>AND(IF(metadata!K369="",FALSE,TRUE),OR(EXACT(metadata!K369,"Plant secretion"),EXACT(metadata!K369,"Plant rhizosphere"),EXACT(metadata!K369,"Plant surface"),EXACT(metadata!K369,"Plant corpus"),EXACT(metadata!K369,"Fungus surface"),EXACT(metadata!K369,"Fungus corpus"),EXACT(metadata!K369,"Animal surface"),EXACT(metadata!K369,"Animal proximal gut"),EXACT(metadata!K369,"Animal corpus"),EXACT(metadata!K369,"Animal distal gut"),EXACT(metadata!K369,"Animal secretion"),EXACT(metadata!K369,"Sub-surface (non-saline)"),EXACT(metadata!K369,"Surface (non-saline)"),EXACT(metadata!K369,"Water (non-saline)"),EXACT(metadata!K369,"Soil (non-saline)"),EXACT(metadata!K369,"Aerosol (non-saline)"),EXACT(metadata!K369,"Sediment (non-saline)"),EXACT(metadata!K369,"Surface (saline)"),EXACT(metadata!K369,"Water (saline)"),EXACT(metadata!K369,"Hypersaline (saline)"),EXACT(metadata!K369,"Aerosol (saline)"),EXACT(metadata!K369,"Sediment (saline)")))</f>
        <v>0</v>
      </c>
      <c r="AW369" t="b">
        <f>IF(metadata!L369="",FALSE,TRUE)</f>
        <v>0</v>
      </c>
      <c r="AX369" t="b">
        <f>IF(metadata!M369="",FALSE,TRUE)</f>
        <v>0</v>
      </c>
      <c r="AY369" t="b">
        <f>IF(metadata!N369="",FALSE,TRUE)</f>
        <v>0</v>
      </c>
      <c r="AZ369" t="b">
        <f>OR(AND(IF(metadata!O369="",FALSE,TRUE),OR(EXACT(metadata!O369,"missing: not collected"),EXACT(metadata!O369,"missing: not provided"),EXACT(metadata!O369,"missing: restricted access"))),AND(IF(metadata!O369="",FALSE,TRUE),OR(EXACT(metadata!O369,"air"),EXACT(metadata!O369,"built environment"),EXACT(metadata!O369,"host-associated"),EXACT(metadata!O369,"human-associated"),EXACT(metadata!O369,"human-skin"),EXACT(metadata!O369,"human-oral"),EXACT(metadata!O369,"human-gut"),EXACT(metadata!O369,"human-vaginal"),EXACT(metadata!O369,"microbial mat/biofilm"),EXACT(metadata!O369,"misc environment"),EXACT(metadata!O369,"plant-associated"),EXACT(metadata!O369,"sediment"),EXACT(metadata!O369,"soil"),EXACT(metadata!O369,"wastewater/sludge"),EXACT(metadata!O369,"water"))))</f>
        <v>0</v>
      </c>
      <c r="BA369" t="b">
        <f>IF(metadata!P369="",FALSE,TRUE)</f>
        <v>0</v>
      </c>
      <c r="BB369" t="b">
        <f>IF(metadata!Q369="",FALSE,TRUE)</f>
        <v>0</v>
      </c>
      <c r="BC369" t="b">
        <f>OR(AND(IF(metadata!R369="",FALSE,TRUE),OR(EXACT(metadata!R369,"missing: not collected"),EXACT(metadata!R369,"missing: not provided"),EXACT(metadata!R369,"missing: restricted access"))),AND(IF(metadata!R369="",FALSE,ISNUMBER(VALUE(metadata!R369))),metadata!R369&gt;=-90,metadata!R369&lt;=90))</f>
        <v>0</v>
      </c>
      <c r="BD369" t="b">
        <f>AND(IF(metadata!S369="",FALSE,TRUE),EXACT(metadata!S369,"Decimal degrees"))</f>
        <v>0</v>
      </c>
      <c r="BE369" t="b">
        <f>OR(AND(IF(metadata!T369="",FALSE,TRUE),OR(EXACT(metadata!T369,"missing: not collected"),EXACT(metadata!T369,"missing: not provided"),EXACT(metadata!T369,"missing: restricted access"))),AND(IF(metadata!T369="",FALSE,ISNUMBER(VALUE(metadata!T369))),metadata!T369&gt;=-180,metadata!T369&lt;=180))</f>
        <v>0</v>
      </c>
      <c r="BF369" t="b">
        <f>AND(IF(metadata!U369="",FALSE,TRUE),EXACT(metadata!U369,"Decimal degrees"))</f>
        <v>0</v>
      </c>
      <c r="BG369" t="b">
        <f>IF(metadata!V369="",FALSE,TRUE)</f>
        <v>0</v>
      </c>
      <c r="BH369" t="b">
        <f>OR(AND(IF(metadata!W369="",FALSE,TRUE),OR(EXACT(metadata!W369,"missing: not collected"),EXACT(metadata!W369,"missing: not provided"),EXACT(metadata!W369,"missing: restricted access"))),AND(IF(metadata!W369="",FALSE,TRUE),OR(EXACT(metadata!W369,"TRUE"),EXACT(metadata!W369,"FALSE"))))</f>
        <v>0</v>
      </c>
      <c r="BI369" t="b">
        <f>AND(IF(metadata!X369="",FALSE,TRUE),EXACT(metadata!X369,"other"))</f>
        <v>0</v>
      </c>
      <c r="BJ369" t="b">
        <f>IF(metadata!Y369="",FALSE,TRUE)</f>
        <v>0</v>
      </c>
      <c r="BK369" t="b">
        <f>OR(AND(IF(metadata!Z369="",FALSE,TRUE),OR(EXACT(metadata!Z369,"missing: not collected"),EXACT(metadata!Z369,"missing: not provided"))),AND(IF(metadata!Z369="",FALSE,IF(ISERROR(INT(metadata!Z369)),FALSE,INT(metadata!Z369)=metadata!Z369)),metadata!Z369&gt;0))</f>
        <v>0</v>
      </c>
      <c r="BL369" t="b">
        <f>AND(IF(metadata!AA369="",FALSE,TRUE),EXACT(metadata!AA369,"Not applicable"))</f>
        <v>0</v>
      </c>
      <c r="BM369" t="b">
        <f>IF(metadata!AB369="",FALSE,TRUE)</f>
        <v>0</v>
      </c>
    </row>
    <row r="370" spans="1:65" x14ac:dyDescent="0.2">
      <c r="A370" s="5" t="str">
        <f ca="1">IF(B370=" "," ",HYPERLINK(CONCATENATE("#metadata!",ADDRESS(INDEX($AH$2:$AH$1001,MATCH(ROWS($AF$2:AF370),$AF$2:$AF$1001,0),0),1)),INDEX($AK$2:$AK$1001,MATCH(ROWS($AF$2:AF370),$AF$2:$AF$1001,0),0)))</f>
        <v xml:space="preserve"> </v>
      </c>
      <c r="B370" s="4" t="str">
        <f ca="1">IF(OR(INDEX($AG$2:$AG$1001,MATCH(ROWS($AF$2:AF370),$AF$2:$AF$1001,0),1)&gt;=100000,INDEX($AM$1005:$BM$1005,1,MATCH(COLUMNS($AM$1006:AM1006),$AM$1006:$BM$1006,0))&gt;=100000), " ",IF(INDEX($AM$2:$BM$1001,MATCH(ROWS($AF$2:AF370),$AF$2:$AF$1001,0),MATCH(COLUMNS($AM$1006:AM1006),$AM$1006:$BM$1006,0)), HYPERLINK("#",""), HYPERLINK(CONCATENATE("#metadata!", ADDRESS(INDEX($AH$2:$AH$1001,MATCH(ROWS($AF$2:AF370),$AF$2:$AF$1001,0),0), INDEX($AM$1004:$BM$1004,1,MATCH(COLUMNS($AM$1006:AM1006),$AM$1006:$BM$1006,0)))),"Fix")))</f>
        <v xml:space="preserve"> </v>
      </c>
      <c r="C370" s="4" t="str">
        <f ca="1">IF(OR(INDEX($AG$2:$AG$1001,MATCH(ROWS($AF$2:AF370),$AF$2:$AF$1001,0),1)&gt;=100000,INDEX($AM$1005:$BM$1005,1,MATCH(COLUMNS($AM$1006:AN1006),$AM$1006:$BM$1006,0))&gt;=100000), " ",IF(INDEX($AM$2:$BM$1001,MATCH(ROWS($AF$2:AF370),$AF$2:$AF$1001,0),MATCH(COLUMNS($AM$1006:AN1006),$AM$1006:$BM$1006,0)), HYPERLINK("#",""), HYPERLINK(CONCATENATE("#metadata!", ADDRESS(INDEX($AH$2:$AH$1001,MATCH(ROWS($AF$2:AF370),$AF$2:$AF$1001,0),0), INDEX($AM$1004:$BM$1004,1,MATCH(COLUMNS($AM$1006:AN1006),$AM$1006:$BM$1006,0)))),"Fix")))</f>
        <v xml:space="preserve"> </v>
      </c>
      <c r="D370" s="4" t="str">
        <f ca="1">IF(OR(INDEX($AG$2:$AG$1001,MATCH(ROWS($AF$2:AF370),$AF$2:$AF$1001,0),1)&gt;=100000,INDEX($AM$1005:$BM$1005,1,MATCH(COLUMNS($AM$1006:AO1006),$AM$1006:$BM$1006,0))&gt;=100000), " ",IF(INDEX($AM$2:$BM$1001,MATCH(ROWS($AF$2:AF370),$AF$2:$AF$1001,0),MATCH(COLUMNS($AM$1006:AO1006),$AM$1006:$BM$1006,0)), HYPERLINK("#",""), HYPERLINK(CONCATENATE("#metadata!", ADDRESS(INDEX($AH$2:$AH$1001,MATCH(ROWS($AF$2:AF370),$AF$2:$AF$1001,0),0), INDEX($AM$1004:$BM$1004,1,MATCH(COLUMNS($AM$1006:AO1006),$AM$1006:$BM$1006,0)))),"Fix")))</f>
        <v xml:space="preserve"> </v>
      </c>
      <c r="E370" s="4" t="str">
        <f ca="1">IF(OR(INDEX($AG$2:$AG$1001,MATCH(ROWS($AF$2:AF370),$AF$2:$AF$1001,0),1)&gt;=100000,INDEX($AM$1005:$BM$1005,1,MATCH(COLUMNS($AM$1006:AP1006),$AM$1006:$BM$1006,0))&gt;=100000), " ",IF(INDEX($AM$2:$BM$1001,MATCH(ROWS($AF$2:AF370),$AF$2:$AF$1001,0),MATCH(COLUMNS($AM$1006:AP1006),$AM$1006:$BM$1006,0)), HYPERLINK("#",""), HYPERLINK(CONCATENATE("#metadata!", ADDRESS(INDEX($AH$2:$AH$1001,MATCH(ROWS($AF$2:AF370),$AF$2:$AF$1001,0),0), INDEX($AM$1004:$BM$1004,1,MATCH(COLUMNS($AM$1006:AP1006),$AM$1006:$BM$1006,0)))),"Fix")))</f>
        <v xml:space="preserve"> </v>
      </c>
      <c r="F370" s="4" t="str">
        <f ca="1">IF(OR(INDEX($AG$2:$AG$1001,MATCH(ROWS($AF$2:AF370),$AF$2:$AF$1001,0),1)&gt;=100000,INDEX($AM$1005:$BM$1005,1,MATCH(COLUMNS($AM$1006:AQ1006),$AM$1006:$BM$1006,0))&gt;=100000), " ",IF(INDEX($AM$2:$BM$1001,MATCH(ROWS($AF$2:AF370),$AF$2:$AF$1001,0),MATCH(COLUMNS($AM$1006:AQ1006),$AM$1006:$BM$1006,0)), HYPERLINK("#",""), HYPERLINK(CONCATENATE("#metadata!", ADDRESS(INDEX($AH$2:$AH$1001,MATCH(ROWS($AF$2:AF370),$AF$2:$AF$1001,0),0), INDEX($AM$1004:$BM$1004,1,MATCH(COLUMNS($AM$1006:AQ1006),$AM$1006:$BM$1006,0)))),"Fix")))</f>
        <v xml:space="preserve"> </v>
      </c>
      <c r="G370" s="4" t="str">
        <f ca="1">IF(OR(INDEX($AG$2:$AG$1001,MATCH(ROWS($AF$2:AF370),$AF$2:$AF$1001,0),1)&gt;=100000,INDEX($AM$1005:$BM$1005,1,MATCH(COLUMNS($AM$1006:AR1006),$AM$1006:$BM$1006,0))&gt;=100000), " ",IF(INDEX($AM$2:$BM$1001,MATCH(ROWS($AF$2:AF370),$AF$2:$AF$1001,0),MATCH(COLUMNS($AM$1006:AR1006),$AM$1006:$BM$1006,0)), HYPERLINK("#",""), HYPERLINK(CONCATENATE("#metadata!", ADDRESS(INDEX($AH$2:$AH$1001,MATCH(ROWS($AF$2:AF370),$AF$2:$AF$1001,0),0), INDEX($AM$1004:$BM$1004,1,MATCH(COLUMNS($AM$1006:AR1006),$AM$1006:$BM$1006,0)))),"Fix")))</f>
        <v xml:space="preserve"> </v>
      </c>
      <c r="H370" s="4" t="str">
        <f ca="1">IF(OR(INDEX($AG$2:$AG$1001,MATCH(ROWS($AF$2:AF370),$AF$2:$AF$1001,0),1)&gt;=100000,INDEX($AM$1005:$BM$1005,1,MATCH(COLUMNS($AM$1006:AS1006),$AM$1006:$BM$1006,0))&gt;=100000), " ",IF(INDEX($AM$2:$BM$1001,MATCH(ROWS($AF$2:AF370),$AF$2:$AF$1001,0),MATCH(COLUMNS($AM$1006:AS1006),$AM$1006:$BM$1006,0)), HYPERLINK("#",""), HYPERLINK(CONCATENATE("#metadata!", ADDRESS(INDEX($AH$2:$AH$1001,MATCH(ROWS($AF$2:AF370),$AF$2:$AF$1001,0),0), INDEX($AM$1004:$BM$1004,1,MATCH(COLUMNS($AM$1006:AS1006),$AM$1006:$BM$1006,0)))),"Fix")))</f>
        <v xml:space="preserve"> </v>
      </c>
      <c r="I370" s="4" t="str">
        <f ca="1">IF(OR(INDEX($AG$2:$AG$1001,MATCH(ROWS($AF$2:AF370),$AF$2:$AF$1001,0),1)&gt;=100000,INDEX($AM$1005:$BM$1005,1,MATCH(COLUMNS($AM$1006:AT1006),$AM$1006:$BM$1006,0))&gt;=100000), " ",IF(INDEX($AM$2:$BM$1001,MATCH(ROWS($AF$2:AF370),$AF$2:$AF$1001,0),MATCH(COLUMNS($AM$1006:AT1006),$AM$1006:$BM$1006,0)), HYPERLINK("#",""), HYPERLINK(CONCATENATE("#metadata!", ADDRESS(INDEX($AH$2:$AH$1001,MATCH(ROWS($AF$2:AF370),$AF$2:$AF$1001,0),0), INDEX($AM$1004:$BM$1004,1,MATCH(COLUMNS($AM$1006:AT1006),$AM$1006:$BM$1006,0)))),"Fix")))</f>
        <v xml:space="preserve"> </v>
      </c>
      <c r="J370" s="4" t="str">
        <f ca="1">IF(OR(INDEX($AG$2:$AG$1001,MATCH(ROWS($AF$2:AF370),$AF$2:$AF$1001,0),1)&gt;=100000,INDEX($AM$1005:$BM$1005,1,MATCH(COLUMNS($AM$1006:AU1006),$AM$1006:$BM$1006,0))&gt;=100000), " ",IF(INDEX($AM$2:$BM$1001,MATCH(ROWS($AF$2:AF370),$AF$2:$AF$1001,0),MATCH(COLUMNS($AM$1006:AU1006),$AM$1006:$BM$1006,0)), HYPERLINK("#",""), HYPERLINK(CONCATENATE("#metadata!", ADDRESS(INDEX($AH$2:$AH$1001,MATCH(ROWS($AF$2:AF370),$AF$2:$AF$1001,0),0), INDEX($AM$1004:$BM$1004,1,MATCH(COLUMNS($AM$1006:AU1006),$AM$1006:$BM$1006,0)))),"Fix")))</f>
        <v xml:space="preserve"> </v>
      </c>
      <c r="K370" s="4" t="str">
        <f ca="1">IF(OR(INDEX($AG$2:$AG$1001,MATCH(ROWS($AF$2:AF370),$AF$2:$AF$1001,0),1)&gt;=100000,INDEX($AM$1005:$BM$1005,1,MATCH(COLUMNS($AM$1006:AV1006),$AM$1006:$BM$1006,0))&gt;=100000), " ",IF(INDEX($AM$2:$BM$1001,MATCH(ROWS($AF$2:AF370),$AF$2:$AF$1001,0),MATCH(COLUMNS($AM$1006:AV1006),$AM$1006:$BM$1006,0)), HYPERLINK("#",""), HYPERLINK(CONCATENATE("#metadata!", ADDRESS(INDEX($AH$2:$AH$1001,MATCH(ROWS($AF$2:AF370),$AF$2:$AF$1001,0),0), INDEX($AM$1004:$BM$1004,1,MATCH(COLUMNS($AM$1006:AV1006),$AM$1006:$BM$1006,0)))),"Fix")))</f>
        <v xml:space="preserve"> </v>
      </c>
      <c r="L370" s="4" t="str">
        <f ca="1">IF(OR(INDEX($AG$2:$AG$1001,MATCH(ROWS($AF$2:AF370),$AF$2:$AF$1001,0),1)&gt;=100000,INDEX($AM$1005:$BM$1005,1,MATCH(COLUMNS($AM$1006:AW1006),$AM$1006:$BM$1006,0))&gt;=100000), " ",IF(INDEX($AM$2:$BM$1001,MATCH(ROWS($AF$2:AF370),$AF$2:$AF$1001,0),MATCH(COLUMNS($AM$1006:AW1006),$AM$1006:$BM$1006,0)), HYPERLINK("#",""), HYPERLINK(CONCATENATE("#metadata!", ADDRESS(INDEX($AH$2:$AH$1001,MATCH(ROWS($AF$2:AF370),$AF$2:$AF$1001,0),0), INDEX($AM$1004:$BM$1004,1,MATCH(COLUMNS($AM$1006:AW1006),$AM$1006:$BM$1006,0)))),"Fix")))</f>
        <v xml:space="preserve"> </v>
      </c>
      <c r="M370" s="4" t="str">
        <f ca="1">IF(OR(INDEX($AG$2:$AG$1001,MATCH(ROWS($AF$2:AF370),$AF$2:$AF$1001,0),1)&gt;=100000,INDEX($AM$1005:$BM$1005,1,MATCH(COLUMNS($AM$1006:AX1006),$AM$1006:$BM$1006,0))&gt;=100000), " ",IF(INDEX($AM$2:$BM$1001,MATCH(ROWS($AF$2:AF370),$AF$2:$AF$1001,0),MATCH(COLUMNS($AM$1006:AX1006),$AM$1006:$BM$1006,0)), HYPERLINK("#",""), HYPERLINK(CONCATENATE("#metadata!", ADDRESS(INDEX($AH$2:$AH$1001,MATCH(ROWS($AF$2:AF370),$AF$2:$AF$1001,0),0), INDEX($AM$1004:$BM$1004,1,MATCH(COLUMNS($AM$1006:AX1006),$AM$1006:$BM$1006,0)))),"Fix")))</f>
        <v xml:space="preserve"> </v>
      </c>
      <c r="N370" s="4" t="str">
        <f ca="1">IF(OR(INDEX($AG$2:$AG$1001,MATCH(ROWS($AF$2:AF370),$AF$2:$AF$1001,0),1)&gt;=100000,INDEX($AM$1005:$BM$1005,1,MATCH(COLUMNS($AM$1006:AY1006),$AM$1006:$BM$1006,0))&gt;=100000), " ",IF(INDEX($AM$2:$BM$1001,MATCH(ROWS($AF$2:AF370),$AF$2:$AF$1001,0),MATCH(COLUMNS($AM$1006:AY1006),$AM$1006:$BM$1006,0)), HYPERLINK("#",""), HYPERLINK(CONCATENATE("#metadata!", ADDRESS(INDEX($AH$2:$AH$1001,MATCH(ROWS($AF$2:AF370),$AF$2:$AF$1001,0),0), INDEX($AM$1004:$BM$1004,1,MATCH(COLUMNS($AM$1006:AY1006),$AM$1006:$BM$1006,0)))),"Fix")))</f>
        <v xml:space="preserve"> </v>
      </c>
      <c r="O370" s="4" t="str">
        <f ca="1">IF(OR(INDEX($AG$2:$AG$1001,MATCH(ROWS($AF$2:AF370),$AF$2:$AF$1001,0),1)&gt;=100000,INDEX($AM$1005:$BM$1005,1,MATCH(COLUMNS($AM$1006:AZ1006),$AM$1006:$BM$1006,0))&gt;=100000), " ",IF(INDEX($AM$2:$BM$1001,MATCH(ROWS($AF$2:AF370),$AF$2:$AF$1001,0),MATCH(COLUMNS($AM$1006:AZ1006),$AM$1006:$BM$1006,0)), HYPERLINK("#",""), HYPERLINK(CONCATENATE("#metadata!", ADDRESS(INDEX($AH$2:$AH$1001,MATCH(ROWS($AF$2:AF370),$AF$2:$AF$1001,0),0), INDEX($AM$1004:$BM$1004,1,MATCH(COLUMNS($AM$1006:AZ1006),$AM$1006:$BM$1006,0)))),"Fix")))</f>
        <v xml:space="preserve"> </v>
      </c>
      <c r="P370" s="4" t="str">
        <f ca="1">IF(OR(INDEX($AG$2:$AG$1001,MATCH(ROWS($AF$2:AF370),$AF$2:$AF$1001,0),1)&gt;=100000,INDEX($AM$1005:$BM$1005,1,MATCH(COLUMNS($AM$1006:BA1006),$AM$1006:$BM$1006,0))&gt;=100000), " ",IF(INDEX($AM$2:$BM$1001,MATCH(ROWS($AF$2:AF370),$AF$2:$AF$1001,0),MATCH(COLUMNS($AM$1006:BA1006),$AM$1006:$BM$1006,0)), HYPERLINK("#",""), HYPERLINK(CONCATENATE("#metadata!", ADDRESS(INDEX($AH$2:$AH$1001,MATCH(ROWS($AF$2:AF370),$AF$2:$AF$1001,0),0), INDEX($AM$1004:$BM$1004,1,MATCH(COLUMNS($AM$1006:BA1006),$AM$1006:$BM$1006,0)))),"Fix")))</f>
        <v xml:space="preserve"> </v>
      </c>
      <c r="Q370" s="4" t="str">
        <f ca="1">IF(OR(INDEX($AG$2:$AG$1001,MATCH(ROWS($AF$2:AF370),$AF$2:$AF$1001,0),1)&gt;=100000,INDEX($AM$1005:$BM$1005,1,MATCH(COLUMNS($AM$1006:BB1006),$AM$1006:$BM$1006,0))&gt;=100000), " ",IF(INDEX($AM$2:$BM$1001,MATCH(ROWS($AF$2:AF370),$AF$2:$AF$1001,0),MATCH(COLUMNS($AM$1006:BB1006),$AM$1006:$BM$1006,0)), HYPERLINK("#",""), HYPERLINK(CONCATENATE("#metadata!", ADDRESS(INDEX($AH$2:$AH$1001,MATCH(ROWS($AF$2:AF370),$AF$2:$AF$1001,0),0), INDEX($AM$1004:$BM$1004,1,MATCH(COLUMNS($AM$1006:BB1006),$AM$1006:$BM$1006,0)))),"Fix")))</f>
        <v xml:space="preserve"> </v>
      </c>
      <c r="R370" s="4" t="str">
        <f ca="1">IF(OR(INDEX($AG$2:$AG$1001,MATCH(ROWS($AF$2:AF370),$AF$2:$AF$1001,0),1)&gt;=100000,INDEX($AM$1005:$BM$1005,1,MATCH(COLUMNS($AM$1006:BC1006),$AM$1006:$BM$1006,0))&gt;=100000), " ",IF(INDEX($AM$2:$BM$1001,MATCH(ROWS($AF$2:AF370),$AF$2:$AF$1001,0),MATCH(COLUMNS($AM$1006:BC1006),$AM$1006:$BM$1006,0)), HYPERLINK("#",""), HYPERLINK(CONCATENATE("#metadata!", ADDRESS(INDEX($AH$2:$AH$1001,MATCH(ROWS($AF$2:AF370),$AF$2:$AF$1001,0),0), INDEX($AM$1004:$BM$1004,1,MATCH(COLUMNS($AM$1006:BC1006),$AM$1006:$BM$1006,0)))),"Fix")))</f>
        <v xml:space="preserve"> </v>
      </c>
      <c r="S370" s="4" t="str">
        <f ca="1">IF(OR(INDEX($AG$2:$AG$1001,MATCH(ROWS($AF$2:AF370),$AF$2:$AF$1001,0),1)&gt;=100000,INDEX($AM$1005:$BM$1005,1,MATCH(COLUMNS($AM$1006:BD1006),$AM$1006:$BM$1006,0))&gt;=100000), " ",IF(INDEX($AM$2:$BM$1001,MATCH(ROWS($AF$2:AF370),$AF$2:$AF$1001,0),MATCH(COLUMNS($AM$1006:BD1006),$AM$1006:$BM$1006,0)), HYPERLINK("#",""), HYPERLINK(CONCATENATE("#metadata!", ADDRESS(INDEX($AH$2:$AH$1001,MATCH(ROWS($AF$2:AF370),$AF$2:$AF$1001,0),0), INDEX($AM$1004:$BM$1004,1,MATCH(COLUMNS($AM$1006:BD1006),$AM$1006:$BM$1006,0)))),"Fix")))</f>
        <v xml:space="preserve"> </v>
      </c>
      <c r="T370" s="4" t="str">
        <f ca="1">IF(OR(INDEX($AG$2:$AG$1001,MATCH(ROWS($AF$2:AF370),$AF$2:$AF$1001,0),1)&gt;=100000,INDEX($AM$1005:$BM$1005,1,MATCH(COLUMNS($AM$1006:BE1006),$AM$1006:$BM$1006,0))&gt;=100000), " ",IF(INDEX($AM$2:$BM$1001,MATCH(ROWS($AF$2:AF370),$AF$2:$AF$1001,0),MATCH(COLUMNS($AM$1006:BE1006),$AM$1006:$BM$1006,0)), HYPERLINK("#",""), HYPERLINK(CONCATENATE("#metadata!", ADDRESS(INDEX($AH$2:$AH$1001,MATCH(ROWS($AF$2:AF370),$AF$2:$AF$1001,0),0), INDEX($AM$1004:$BM$1004,1,MATCH(COLUMNS($AM$1006:BE1006),$AM$1006:$BM$1006,0)))),"Fix")))</f>
        <v xml:space="preserve"> </v>
      </c>
      <c r="U370" s="4" t="str">
        <f ca="1">IF(OR(INDEX($AG$2:$AG$1001,MATCH(ROWS($AF$2:AF370),$AF$2:$AF$1001,0),1)&gt;=100000,INDEX($AM$1005:$BM$1005,1,MATCH(COLUMNS($AM$1006:BF1006),$AM$1006:$BM$1006,0))&gt;=100000), " ",IF(INDEX($AM$2:$BM$1001,MATCH(ROWS($AF$2:AF370),$AF$2:$AF$1001,0),MATCH(COLUMNS($AM$1006:BF1006),$AM$1006:$BM$1006,0)), HYPERLINK("#",""), HYPERLINK(CONCATENATE("#metadata!", ADDRESS(INDEX($AH$2:$AH$1001,MATCH(ROWS($AF$2:AF370),$AF$2:$AF$1001,0),0), INDEX($AM$1004:$BM$1004,1,MATCH(COLUMNS($AM$1006:BF1006),$AM$1006:$BM$1006,0)))),"Fix")))</f>
        <v xml:space="preserve"> </v>
      </c>
      <c r="V370" s="4" t="str">
        <f ca="1">IF(OR(INDEX($AG$2:$AG$1001,MATCH(ROWS($AF$2:AF370),$AF$2:$AF$1001,0),1)&gt;=100000,INDEX($AM$1005:$BM$1005,1,MATCH(COLUMNS($AM$1006:BG1006),$AM$1006:$BM$1006,0))&gt;=100000), " ",IF(INDEX($AM$2:$BM$1001,MATCH(ROWS($AF$2:AF370),$AF$2:$AF$1001,0),MATCH(COLUMNS($AM$1006:BG1006),$AM$1006:$BM$1006,0)), HYPERLINK("#",""), HYPERLINK(CONCATENATE("#metadata!", ADDRESS(INDEX($AH$2:$AH$1001,MATCH(ROWS($AF$2:AF370),$AF$2:$AF$1001,0),0), INDEX($AM$1004:$BM$1004,1,MATCH(COLUMNS($AM$1006:BG1006),$AM$1006:$BM$1006,0)))),"Fix")))</f>
        <v xml:space="preserve"> </v>
      </c>
      <c r="W370" s="4" t="str">
        <f ca="1">IF(OR(INDEX($AG$2:$AG$1001,MATCH(ROWS($AF$2:AF370),$AF$2:$AF$1001,0),1)&gt;=100000,INDEX($AM$1005:$BM$1005,1,MATCH(COLUMNS($AM$1006:BH1006),$AM$1006:$BM$1006,0))&gt;=100000), " ",IF(INDEX($AM$2:$BM$1001,MATCH(ROWS($AF$2:AF370),$AF$2:$AF$1001,0),MATCH(COLUMNS($AM$1006:BH1006),$AM$1006:$BM$1006,0)), HYPERLINK("#",""), HYPERLINK(CONCATENATE("#metadata!", ADDRESS(INDEX($AH$2:$AH$1001,MATCH(ROWS($AF$2:AF370),$AF$2:$AF$1001,0),0), INDEX($AM$1004:$BM$1004,1,MATCH(COLUMNS($AM$1006:BH1006),$AM$1006:$BM$1006,0)))),"Fix")))</f>
        <v xml:space="preserve"> </v>
      </c>
      <c r="X370" s="4" t="str">
        <f ca="1">IF(OR(INDEX($AG$2:$AG$1001,MATCH(ROWS($AF$2:AF370),$AF$2:$AF$1001,0),1)&gt;=100000,INDEX($AM$1005:$BM$1005,1,MATCH(COLUMNS($AM$1006:BI1006),$AM$1006:$BM$1006,0))&gt;=100000), " ",IF(INDEX($AM$2:$BM$1001,MATCH(ROWS($AF$2:AF370),$AF$2:$AF$1001,0),MATCH(COLUMNS($AM$1006:BI1006),$AM$1006:$BM$1006,0)), HYPERLINK("#",""), HYPERLINK(CONCATENATE("#metadata!", ADDRESS(INDEX($AH$2:$AH$1001,MATCH(ROWS($AF$2:AF370),$AF$2:$AF$1001,0),0), INDEX($AM$1004:$BM$1004,1,MATCH(COLUMNS($AM$1006:BI1006),$AM$1006:$BM$1006,0)))),"Fix")))</f>
        <v xml:space="preserve"> </v>
      </c>
      <c r="Y370" s="4" t="str">
        <f ca="1">IF(OR(INDEX($AG$2:$AG$1001,MATCH(ROWS($AF$2:AF370),$AF$2:$AF$1001,0),1)&gt;=100000,INDEX($AM$1005:$BM$1005,1,MATCH(COLUMNS($AM$1006:BJ1006),$AM$1006:$BM$1006,0))&gt;=100000), " ",IF(INDEX($AM$2:$BM$1001,MATCH(ROWS($AF$2:AF370),$AF$2:$AF$1001,0),MATCH(COLUMNS($AM$1006:BJ1006),$AM$1006:$BM$1006,0)), HYPERLINK("#",""), HYPERLINK(CONCATENATE("#metadata!", ADDRESS(INDEX($AH$2:$AH$1001,MATCH(ROWS($AF$2:AF370),$AF$2:$AF$1001,0),0), INDEX($AM$1004:$BM$1004,1,MATCH(COLUMNS($AM$1006:BJ1006),$AM$1006:$BM$1006,0)))),"Fix")))</f>
        <v xml:space="preserve"> </v>
      </c>
      <c r="Z370" s="4" t="str">
        <f ca="1">IF(OR(INDEX($AG$2:$AG$1001,MATCH(ROWS($AF$2:AF370),$AF$2:$AF$1001,0),1)&gt;=100000,INDEX($AM$1005:$BM$1005,1,MATCH(COLUMNS($AM$1006:BK1006),$AM$1006:$BM$1006,0))&gt;=100000), " ",IF(INDEX($AM$2:$BM$1001,MATCH(ROWS($AF$2:AF370),$AF$2:$AF$1001,0),MATCH(COLUMNS($AM$1006:BK1006),$AM$1006:$BM$1006,0)), HYPERLINK("#",""), HYPERLINK(CONCATENATE("#metadata!", ADDRESS(INDEX($AH$2:$AH$1001,MATCH(ROWS($AF$2:AF370),$AF$2:$AF$1001,0),0), INDEX($AM$1004:$BM$1004,1,MATCH(COLUMNS($AM$1006:BK1006),$AM$1006:$BM$1006,0)))),"Fix")))</f>
        <v xml:space="preserve"> </v>
      </c>
      <c r="AA370" s="4" t="str">
        <f ca="1">IF(OR(INDEX($AG$2:$AG$1001,MATCH(ROWS($AF$2:AF370),$AF$2:$AF$1001,0),1)&gt;=100000,INDEX($AM$1005:$BM$1005,1,MATCH(COLUMNS($AM$1006:BL1006),$AM$1006:$BM$1006,0))&gt;=100000), " ",IF(INDEX($AM$2:$BM$1001,MATCH(ROWS($AF$2:AF370),$AF$2:$AF$1001,0),MATCH(COLUMNS($AM$1006:BL1006),$AM$1006:$BM$1006,0)), HYPERLINK("#",""), HYPERLINK(CONCATENATE("#metadata!", ADDRESS(INDEX($AH$2:$AH$1001,MATCH(ROWS($AF$2:AF370),$AF$2:$AF$1001,0),0), INDEX($AM$1004:$BM$1004,1,MATCH(COLUMNS($AM$1006:BL1006),$AM$1006:$BM$1006,0)))),"Fix")))</f>
        <v xml:space="preserve"> </v>
      </c>
      <c r="AB370" s="4" t="str">
        <f ca="1">IF(OR(INDEX($AG$2:$AG$1001,MATCH(ROWS($AF$2:AF370),$AF$2:$AF$1001,0),1)&gt;=100000,INDEX($AM$1005:$BM$1005,1,MATCH(COLUMNS($AM$1006:BM1006),$AM$1006:$BM$1006,0))&gt;=100000), " ",IF(INDEX($AM$2:$BM$1001,MATCH(ROWS($AF$2:AF370),$AF$2:$AF$1001,0),MATCH(COLUMNS($AM$1006:BM1006),$AM$1006:$BM$1006,0)), HYPERLINK("#",""), HYPERLINK(CONCATENATE("#metadata!", ADDRESS(INDEX($AH$2:$AH$1001,MATCH(ROWS($AF$2:AF370),$AF$2:$AF$1001,0),0), INDEX($AM$1004:$BM$1004,1,MATCH(COLUMNS($AM$1006:BM1006),$AM$1006:$BM$1006,0)))),"Fix")))</f>
        <v xml:space="preserve"> </v>
      </c>
      <c r="AF370">
        <v>369</v>
      </c>
      <c r="AG370">
        <v>100370</v>
      </c>
      <c r="AH370">
        <v>370</v>
      </c>
      <c r="AI370" t="b">
        <f t="shared" si="5"/>
        <v>1</v>
      </c>
      <c r="AJ370" t="b">
        <f>COUNTBLANK(metadata!B370:AB370)=COLUMNS(metadata!B370:AB370)</f>
        <v>1</v>
      </c>
      <c r="AK370" t="str">
        <v/>
      </c>
      <c r="AM370" t="b">
        <f ca="1">AND(IF(metadata!B370="",FALSE,TRUE),COUNTIF(metadata!B:B, metadata!B370) = 1,NOT(ISERROR(SUMPRODUCT(SEARCH(MID(metadata!B370,ROW(INDIRECT("1:"&amp;LEN(metadata!B370))), 1),"0123456789abcdefghijklmnopqrstuvwxyzABCDEFGHIJKLMNOPQRSTUVWXYZ.")))))</f>
        <v>0</v>
      </c>
      <c r="AN370" t="b">
        <f ca="1">OR(AND(IF(metadata!C370="",FALSE,TRUE),OR(EXACT(metadata!C370,"missing: not collected"),EXACT(metadata!C370,"missing: not provided"),EXACT(metadata!C370,"missing: restricted access"))),AND(IF(metadata!C370="",FALSE,TRUE),AND(AND(IFERROR(INT(LEFT(metadata!C370,4))&gt;1900,FALSE),IFERROR(INT(LEFT(metadata!C370,4))&lt;=YEAR(NOW()),FALSE)), OR(MID(metadata!C370,5,1)="", AND(AND(MID(metadata!C370,5,1)="-",IFERROR(INT(MID(metadata!C370,6,1))&gt;=0,FALSE),IFERROR(INT(MID(metadata!C370,6,1))&lt;=1,FALSE),NOT(MID(metadata!C370,7,1)=""),IFERROR(INT(MID(metadata!C370,6,2))&gt;=1,FALSE),IFERROR(INT(MID(metadata!C370,6,2))&lt;=12,FALSE)), OR(MID(metadata!C370,8,1)="", AND(AND(MID(metadata!C370,8,1)="-",IFERROR(INT(MID(metadata!C370,9,1))&gt;=0,FALSE),IFERROR(INT(MID(metadata!C370,9,1))&lt;=3,FALSE),NOT(MID(metadata!C370,10,1)=""),IFERROR(INT(MID(metadata!C370,9,2))&gt;=1,FALSE),IFERROR(INT(MID(metadata!C370,9,2))&lt;=31,FALSE)), OR(MID(metadata!C370,11,1)="", AND(AND(MID(metadata!C370,11,1)=" ",IFERROR(INT(MID(metadata!C370,12,1))&gt;=0,FALSE),IFERROR(INT(MID(metadata!C370,12,1))&lt;=2,FALSE),NOT(MID(metadata!C370,13,1)=""),IFERROR(INT(MID(metadata!C370,12,2))&gt;=0,FALSE),IFERROR(INT(MID(metadata!C370,12,2))&lt;=23,FALSE)), OR(MID(metadata!C370,14,1)="", AND(AND(MID(metadata!C370,14,1)=":",IFERROR(INT(MID(metadata!C370,15,1))&gt;=0,FALSE),IFERROR(INT(MID(metadata!C370,15,1))&lt;=5,FALSE),NOT(MID(metadata!C370,16,1)=""),IFERROR(INT(MID(metadata!C370,15,2))&gt;=0,FALSE),IFERROR(INT(MID(metadata!C370,15,2))&lt;=59,FALSE)), OR(MID(metadata!C370,17,1)="", AND(AND(MID(metadata!C370,17,1)=":",IFERROR(INT(MID(metadata!C370,18,1))&gt;=0,FALSE),IFERROR(INT(MID(metadata!C370,18,1))&lt;=5,FALSE),NOT(MID(metadata!C370,19,1)=""),IFERROR(INT(MID(metadata!C370,18,2))&gt;=0,FALSE),IFERROR(INT(MID(metadata!C370,18,2))&lt;=59,FALSE)), LEN(metadata!C370)&lt;=19)))))))))))))</f>
        <v>0</v>
      </c>
      <c r="AO370" t="b">
        <f>AND(IF(metadata!D370="",FALSE,TRUE),EXACT(metadata!D370,"Not applicable"))</f>
        <v>0</v>
      </c>
      <c r="AP370" t="b">
        <f>IF(metadata!E370="",FALSE,TRUE)</f>
        <v>0</v>
      </c>
      <c r="AQ370" t="b">
        <f>OR(AND(IF(metadata!F370="",FALSE,TRUE),OR(EXACT(metadata!F370,"missing: not collected"),EXACT(metadata!F370,"missing: not provided"))),AND(IF(metadata!F370="",FALSE,TRUE),OR(EXACT(metadata!F370,"TRUE"),EXACT(metadata!F370,"FALSE"))))</f>
        <v>0</v>
      </c>
      <c r="AR370" t="b">
        <f>OR(AND(IF(metadata!G370="",FALSE,TRUE),OR(EXACT(metadata!G370,"missing: not collected"),EXACT(metadata!G370,"missing: not provided"),EXACT(metadata!G370,"missing: restricted access"))),AND(IF(metadata!G370="",FALSE,ISNUMBER(VALUE(metadata!G370))),metadata!G370&gt;=-413))</f>
        <v>0</v>
      </c>
      <c r="AS370" t="b">
        <f>AND(IF(metadata!H370="",FALSE,TRUE),EXACT(metadata!H370,"meters"))</f>
        <v>0</v>
      </c>
      <c r="AT370" t="b">
        <f>AND(IF(metadata!I370="",FALSE,TRUE),OR(EXACT(metadata!I370,"Host-associated"),EXACT(metadata!I370,"Free-living")))</f>
        <v>0</v>
      </c>
      <c r="AU370" t="b">
        <f>AND(IF(metadata!J370="",FALSE,TRUE),OR(EXACT(metadata!J370,"Animal"),EXACT(metadata!J370,"Fungus"),EXACT(metadata!J370,"Plant"),EXACT(metadata!J370,"Saline"),EXACT(metadata!J370,"Non-saline")))</f>
        <v>0</v>
      </c>
      <c r="AV370" t="b">
        <f>AND(IF(metadata!K370="",FALSE,TRUE),OR(EXACT(metadata!K370,"Plant secretion"),EXACT(metadata!K370,"Plant rhizosphere"),EXACT(metadata!K370,"Plant surface"),EXACT(metadata!K370,"Plant corpus"),EXACT(metadata!K370,"Fungus surface"),EXACT(metadata!K370,"Fungus corpus"),EXACT(metadata!K370,"Animal surface"),EXACT(metadata!K370,"Animal proximal gut"),EXACT(metadata!K370,"Animal corpus"),EXACT(metadata!K370,"Animal distal gut"),EXACT(metadata!K370,"Animal secretion"),EXACT(metadata!K370,"Sub-surface (non-saline)"),EXACT(metadata!K370,"Surface (non-saline)"),EXACT(metadata!K370,"Water (non-saline)"),EXACT(metadata!K370,"Soil (non-saline)"),EXACT(metadata!K370,"Aerosol (non-saline)"),EXACT(metadata!K370,"Sediment (non-saline)"),EXACT(metadata!K370,"Surface (saline)"),EXACT(metadata!K370,"Water (saline)"),EXACT(metadata!K370,"Hypersaline (saline)"),EXACT(metadata!K370,"Aerosol (saline)"),EXACT(metadata!K370,"Sediment (saline)")))</f>
        <v>0</v>
      </c>
      <c r="AW370" t="b">
        <f>IF(metadata!L370="",FALSE,TRUE)</f>
        <v>0</v>
      </c>
      <c r="AX370" t="b">
        <f>IF(metadata!M370="",FALSE,TRUE)</f>
        <v>0</v>
      </c>
      <c r="AY370" t="b">
        <f>IF(metadata!N370="",FALSE,TRUE)</f>
        <v>0</v>
      </c>
      <c r="AZ370" t="b">
        <f>OR(AND(IF(metadata!O370="",FALSE,TRUE),OR(EXACT(metadata!O370,"missing: not collected"),EXACT(metadata!O370,"missing: not provided"),EXACT(metadata!O370,"missing: restricted access"))),AND(IF(metadata!O370="",FALSE,TRUE),OR(EXACT(metadata!O370,"air"),EXACT(metadata!O370,"built environment"),EXACT(metadata!O370,"host-associated"),EXACT(metadata!O370,"human-associated"),EXACT(metadata!O370,"human-skin"),EXACT(metadata!O370,"human-oral"),EXACT(metadata!O370,"human-gut"),EXACT(metadata!O370,"human-vaginal"),EXACT(metadata!O370,"microbial mat/biofilm"),EXACT(metadata!O370,"misc environment"),EXACT(metadata!O370,"plant-associated"),EXACT(metadata!O370,"sediment"),EXACT(metadata!O370,"soil"),EXACT(metadata!O370,"wastewater/sludge"),EXACT(metadata!O370,"water"))))</f>
        <v>0</v>
      </c>
      <c r="BA370" t="b">
        <f>IF(metadata!P370="",FALSE,TRUE)</f>
        <v>0</v>
      </c>
      <c r="BB370" t="b">
        <f>IF(metadata!Q370="",FALSE,TRUE)</f>
        <v>0</v>
      </c>
      <c r="BC370" t="b">
        <f>OR(AND(IF(metadata!R370="",FALSE,TRUE),OR(EXACT(metadata!R370,"missing: not collected"),EXACT(metadata!R370,"missing: not provided"),EXACT(metadata!R370,"missing: restricted access"))),AND(IF(metadata!R370="",FALSE,ISNUMBER(VALUE(metadata!R370))),metadata!R370&gt;=-90,metadata!R370&lt;=90))</f>
        <v>0</v>
      </c>
      <c r="BD370" t="b">
        <f>AND(IF(metadata!S370="",FALSE,TRUE),EXACT(metadata!S370,"Decimal degrees"))</f>
        <v>0</v>
      </c>
      <c r="BE370" t="b">
        <f>OR(AND(IF(metadata!T370="",FALSE,TRUE),OR(EXACT(metadata!T370,"missing: not collected"),EXACT(metadata!T370,"missing: not provided"),EXACT(metadata!T370,"missing: restricted access"))),AND(IF(metadata!T370="",FALSE,ISNUMBER(VALUE(metadata!T370))),metadata!T370&gt;=-180,metadata!T370&lt;=180))</f>
        <v>0</v>
      </c>
      <c r="BF370" t="b">
        <f>AND(IF(metadata!U370="",FALSE,TRUE),EXACT(metadata!U370,"Decimal degrees"))</f>
        <v>0</v>
      </c>
      <c r="BG370" t="b">
        <f>IF(metadata!V370="",FALSE,TRUE)</f>
        <v>0</v>
      </c>
      <c r="BH370" t="b">
        <f>OR(AND(IF(metadata!W370="",FALSE,TRUE),OR(EXACT(metadata!W370,"missing: not collected"),EXACT(metadata!W370,"missing: not provided"),EXACT(metadata!W370,"missing: restricted access"))),AND(IF(metadata!W370="",FALSE,TRUE),OR(EXACT(metadata!W370,"TRUE"),EXACT(metadata!W370,"FALSE"))))</f>
        <v>0</v>
      </c>
      <c r="BI370" t="b">
        <f>AND(IF(metadata!X370="",FALSE,TRUE),EXACT(metadata!X370,"other"))</f>
        <v>0</v>
      </c>
      <c r="BJ370" t="b">
        <f>IF(metadata!Y370="",FALSE,TRUE)</f>
        <v>0</v>
      </c>
      <c r="BK370" t="b">
        <f>OR(AND(IF(metadata!Z370="",FALSE,TRUE),OR(EXACT(metadata!Z370,"missing: not collected"),EXACT(metadata!Z370,"missing: not provided"))),AND(IF(metadata!Z370="",FALSE,IF(ISERROR(INT(metadata!Z370)),FALSE,INT(metadata!Z370)=metadata!Z370)),metadata!Z370&gt;0))</f>
        <v>0</v>
      </c>
      <c r="BL370" t="b">
        <f>AND(IF(metadata!AA370="",FALSE,TRUE),EXACT(metadata!AA370,"Not applicable"))</f>
        <v>0</v>
      </c>
      <c r="BM370" t="b">
        <f>IF(metadata!AB370="",FALSE,TRUE)</f>
        <v>0</v>
      </c>
    </row>
    <row r="371" spans="1:65" x14ac:dyDescent="0.2">
      <c r="A371" s="5" t="str">
        <f ca="1">IF(B371=" "," ",HYPERLINK(CONCATENATE("#metadata!",ADDRESS(INDEX($AH$2:$AH$1001,MATCH(ROWS($AF$2:AF371),$AF$2:$AF$1001,0),0),1)),INDEX($AK$2:$AK$1001,MATCH(ROWS($AF$2:AF371),$AF$2:$AF$1001,0),0)))</f>
        <v xml:space="preserve"> </v>
      </c>
      <c r="B371" s="4" t="str">
        <f ca="1">IF(OR(INDEX($AG$2:$AG$1001,MATCH(ROWS($AF$2:AF371),$AF$2:$AF$1001,0),1)&gt;=100000,INDEX($AM$1005:$BM$1005,1,MATCH(COLUMNS($AM$1006:AM1006),$AM$1006:$BM$1006,0))&gt;=100000), " ",IF(INDEX($AM$2:$BM$1001,MATCH(ROWS($AF$2:AF371),$AF$2:$AF$1001,0),MATCH(COLUMNS($AM$1006:AM1006),$AM$1006:$BM$1006,0)), HYPERLINK("#",""), HYPERLINK(CONCATENATE("#metadata!", ADDRESS(INDEX($AH$2:$AH$1001,MATCH(ROWS($AF$2:AF371),$AF$2:$AF$1001,0),0), INDEX($AM$1004:$BM$1004,1,MATCH(COLUMNS($AM$1006:AM1006),$AM$1006:$BM$1006,0)))),"Fix")))</f>
        <v xml:space="preserve"> </v>
      </c>
      <c r="C371" s="4" t="str">
        <f ca="1">IF(OR(INDEX($AG$2:$AG$1001,MATCH(ROWS($AF$2:AF371),$AF$2:$AF$1001,0),1)&gt;=100000,INDEX($AM$1005:$BM$1005,1,MATCH(COLUMNS($AM$1006:AN1006),$AM$1006:$BM$1006,0))&gt;=100000), " ",IF(INDEX($AM$2:$BM$1001,MATCH(ROWS($AF$2:AF371),$AF$2:$AF$1001,0),MATCH(COLUMNS($AM$1006:AN1006),$AM$1006:$BM$1006,0)), HYPERLINK("#",""), HYPERLINK(CONCATENATE("#metadata!", ADDRESS(INDEX($AH$2:$AH$1001,MATCH(ROWS($AF$2:AF371),$AF$2:$AF$1001,0),0), INDEX($AM$1004:$BM$1004,1,MATCH(COLUMNS($AM$1006:AN1006),$AM$1006:$BM$1006,0)))),"Fix")))</f>
        <v xml:space="preserve"> </v>
      </c>
      <c r="D371" s="4" t="str">
        <f ca="1">IF(OR(INDEX($AG$2:$AG$1001,MATCH(ROWS($AF$2:AF371),$AF$2:$AF$1001,0),1)&gt;=100000,INDEX($AM$1005:$BM$1005,1,MATCH(COLUMNS($AM$1006:AO1006),$AM$1006:$BM$1006,0))&gt;=100000), " ",IF(INDEX($AM$2:$BM$1001,MATCH(ROWS($AF$2:AF371),$AF$2:$AF$1001,0),MATCH(COLUMNS($AM$1006:AO1006),$AM$1006:$BM$1006,0)), HYPERLINK("#",""), HYPERLINK(CONCATENATE("#metadata!", ADDRESS(INDEX($AH$2:$AH$1001,MATCH(ROWS($AF$2:AF371),$AF$2:$AF$1001,0),0), INDEX($AM$1004:$BM$1004,1,MATCH(COLUMNS($AM$1006:AO1006),$AM$1006:$BM$1006,0)))),"Fix")))</f>
        <v xml:space="preserve"> </v>
      </c>
      <c r="E371" s="4" t="str">
        <f ca="1">IF(OR(INDEX($AG$2:$AG$1001,MATCH(ROWS($AF$2:AF371),$AF$2:$AF$1001,0),1)&gt;=100000,INDEX($AM$1005:$BM$1005,1,MATCH(COLUMNS($AM$1006:AP1006),$AM$1006:$BM$1006,0))&gt;=100000), " ",IF(INDEX($AM$2:$BM$1001,MATCH(ROWS($AF$2:AF371),$AF$2:$AF$1001,0),MATCH(COLUMNS($AM$1006:AP1006),$AM$1006:$BM$1006,0)), HYPERLINK("#",""), HYPERLINK(CONCATENATE("#metadata!", ADDRESS(INDEX($AH$2:$AH$1001,MATCH(ROWS($AF$2:AF371),$AF$2:$AF$1001,0),0), INDEX($AM$1004:$BM$1004,1,MATCH(COLUMNS($AM$1006:AP1006),$AM$1006:$BM$1006,0)))),"Fix")))</f>
        <v xml:space="preserve"> </v>
      </c>
      <c r="F371" s="4" t="str">
        <f ca="1">IF(OR(INDEX($AG$2:$AG$1001,MATCH(ROWS($AF$2:AF371),$AF$2:$AF$1001,0),1)&gt;=100000,INDEX($AM$1005:$BM$1005,1,MATCH(COLUMNS($AM$1006:AQ1006),$AM$1006:$BM$1006,0))&gt;=100000), " ",IF(INDEX($AM$2:$BM$1001,MATCH(ROWS($AF$2:AF371),$AF$2:$AF$1001,0),MATCH(COLUMNS($AM$1006:AQ1006),$AM$1006:$BM$1006,0)), HYPERLINK("#",""), HYPERLINK(CONCATENATE("#metadata!", ADDRESS(INDEX($AH$2:$AH$1001,MATCH(ROWS($AF$2:AF371),$AF$2:$AF$1001,0),0), INDEX($AM$1004:$BM$1004,1,MATCH(COLUMNS($AM$1006:AQ1006),$AM$1006:$BM$1006,0)))),"Fix")))</f>
        <v xml:space="preserve"> </v>
      </c>
      <c r="G371" s="4" t="str">
        <f ca="1">IF(OR(INDEX($AG$2:$AG$1001,MATCH(ROWS($AF$2:AF371),$AF$2:$AF$1001,0),1)&gt;=100000,INDEX($AM$1005:$BM$1005,1,MATCH(COLUMNS($AM$1006:AR1006),$AM$1006:$BM$1006,0))&gt;=100000), " ",IF(INDEX($AM$2:$BM$1001,MATCH(ROWS($AF$2:AF371),$AF$2:$AF$1001,0),MATCH(COLUMNS($AM$1006:AR1006),$AM$1006:$BM$1006,0)), HYPERLINK("#",""), HYPERLINK(CONCATENATE("#metadata!", ADDRESS(INDEX($AH$2:$AH$1001,MATCH(ROWS($AF$2:AF371),$AF$2:$AF$1001,0),0), INDEX($AM$1004:$BM$1004,1,MATCH(COLUMNS($AM$1006:AR1006),$AM$1006:$BM$1006,0)))),"Fix")))</f>
        <v xml:space="preserve"> </v>
      </c>
      <c r="H371" s="4" t="str">
        <f ca="1">IF(OR(INDEX($AG$2:$AG$1001,MATCH(ROWS($AF$2:AF371),$AF$2:$AF$1001,0),1)&gt;=100000,INDEX($AM$1005:$BM$1005,1,MATCH(COLUMNS($AM$1006:AS1006),$AM$1006:$BM$1006,0))&gt;=100000), " ",IF(INDEX($AM$2:$BM$1001,MATCH(ROWS($AF$2:AF371),$AF$2:$AF$1001,0),MATCH(COLUMNS($AM$1006:AS1006),$AM$1006:$BM$1006,0)), HYPERLINK("#",""), HYPERLINK(CONCATENATE("#metadata!", ADDRESS(INDEX($AH$2:$AH$1001,MATCH(ROWS($AF$2:AF371),$AF$2:$AF$1001,0),0), INDEX($AM$1004:$BM$1004,1,MATCH(COLUMNS($AM$1006:AS1006),$AM$1006:$BM$1006,0)))),"Fix")))</f>
        <v xml:space="preserve"> </v>
      </c>
      <c r="I371" s="4" t="str">
        <f ca="1">IF(OR(INDEX($AG$2:$AG$1001,MATCH(ROWS($AF$2:AF371),$AF$2:$AF$1001,0),1)&gt;=100000,INDEX($AM$1005:$BM$1005,1,MATCH(COLUMNS($AM$1006:AT1006),$AM$1006:$BM$1006,0))&gt;=100000), " ",IF(INDEX($AM$2:$BM$1001,MATCH(ROWS($AF$2:AF371),$AF$2:$AF$1001,0),MATCH(COLUMNS($AM$1006:AT1006),$AM$1006:$BM$1006,0)), HYPERLINK("#",""), HYPERLINK(CONCATENATE("#metadata!", ADDRESS(INDEX($AH$2:$AH$1001,MATCH(ROWS($AF$2:AF371),$AF$2:$AF$1001,0),0), INDEX($AM$1004:$BM$1004,1,MATCH(COLUMNS($AM$1006:AT1006),$AM$1006:$BM$1006,0)))),"Fix")))</f>
        <v xml:space="preserve"> </v>
      </c>
      <c r="J371" s="4" t="str">
        <f ca="1">IF(OR(INDEX($AG$2:$AG$1001,MATCH(ROWS($AF$2:AF371),$AF$2:$AF$1001,0),1)&gt;=100000,INDEX($AM$1005:$BM$1005,1,MATCH(COLUMNS($AM$1006:AU1006),$AM$1006:$BM$1006,0))&gt;=100000), " ",IF(INDEX($AM$2:$BM$1001,MATCH(ROWS($AF$2:AF371),$AF$2:$AF$1001,0),MATCH(COLUMNS($AM$1006:AU1006),$AM$1006:$BM$1006,0)), HYPERLINK("#",""), HYPERLINK(CONCATENATE("#metadata!", ADDRESS(INDEX($AH$2:$AH$1001,MATCH(ROWS($AF$2:AF371),$AF$2:$AF$1001,0),0), INDEX($AM$1004:$BM$1004,1,MATCH(COLUMNS($AM$1006:AU1006),$AM$1006:$BM$1006,0)))),"Fix")))</f>
        <v xml:space="preserve"> </v>
      </c>
      <c r="K371" s="4" t="str">
        <f ca="1">IF(OR(INDEX($AG$2:$AG$1001,MATCH(ROWS($AF$2:AF371),$AF$2:$AF$1001,0),1)&gt;=100000,INDEX($AM$1005:$BM$1005,1,MATCH(COLUMNS($AM$1006:AV1006),$AM$1006:$BM$1006,0))&gt;=100000), " ",IF(INDEX($AM$2:$BM$1001,MATCH(ROWS($AF$2:AF371),$AF$2:$AF$1001,0),MATCH(COLUMNS($AM$1006:AV1006),$AM$1006:$BM$1006,0)), HYPERLINK("#",""), HYPERLINK(CONCATENATE("#metadata!", ADDRESS(INDEX($AH$2:$AH$1001,MATCH(ROWS($AF$2:AF371),$AF$2:$AF$1001,0),0), INDEX($AM$1004:$BM$1004,1,MATCH(COLUMNS($AM$1006:AV1006),$AM$1006:$BM$1006,0)))),"Fix")))</f>
        <v xml:space="preserve"> </v>
      </c>
      <c r="L371" s="4" t="str">
        <f ca="1">IF(OR(INDEX($AG$2:$AG$1001,MATCH(ROWS($AF$2:AF371),$AF$2:$AF$1001,0),1)&gt;=100000,INDEX($AM$1005:$BM$1005,1,MATCH(COLUMNS($AM$1006:AW1006),$AM$1006:$BM$1006,0))&gt;=100000), " ",IF(INDEX($AM$2:$BM$1001,MATCH(ROWS($AF$2:AF371),$AF$2:$AF$1001,0),MATCH(COLUMNS($AM$1006:AW1006),$AM$1006:$BM$1006,0)), HYPERLINK("#",""), HYPERLINK(CONCATENATE("#metadata!", ADDRESS(INDEX($AH$2:$AH$1001,MATCH(ROWS($AF$2:AF371),$AF$2:$AF$1001,0),0), INDEX($AM$1004:$BM$1004,1,MATCH(COLUMNS($AM$1006:AW1006),$AM$1006:$BM$1006,0)))),"Fix")))</f>
        <v xml:space="preserve"> </v>
      </c>
      <c r="M371" s="4" t="str">
        <f ca="1">IF(OR(INDEX($AG$2:$AG$1001,MATCH(ROWS($AF$2:AF371),$AF$2:$AF$1001,0),1)&gt;=100000,INDEX($AM$1005:$BM$1005,1,MATCH(COLUMNS($AM$1006:AX1006),$AM$1006:$BM$1006,0))&gt;=100000), " ",IF(INDEX($AM$2:$BM$1001,MATCH(ROWS($AF$2:AF371),$AF$2:$AF$1001,0),MATCH(COLUMNS($AM$1006:AX1006),$AM$1006:$BM$1006,0)), HYPERLINK("#",""), HYPERLINK(CONCATENATE("#metadata!", ADDRESS(INDEX($AH$2:$AH$1001,MATCH(ROWS($AF$2:AF371),$AF$2:$AF$1001,0),0), INDEX($AM$1004:$BM$1004,1,MATCH(COLUMNS($AM$1006:AX1006),$AM$1006:$BM$1006,0)))),"Fix")))</f>
        <v xml:space="preserve"> </v>
      </c>
      <c r="N371" s="4" t="str">
        <f ca="1">IF(OR(INDEX($AG$2:$AG$1001,MATCH(ROWS($AF$2:AF371),$AF$2:$AF$1001,0),1)&gt;=100000,INDEX($AM$1005:$BM$1005,1,MATCH(COLUMNS($AM$1006:AY1006),$AM$1006:$BM$1006,0))&gt;=100000), " ",IF(INDEX($AM$2:$BM$1001,MATCH(ROWS($AF$2:AF371),$AF$2:$AF$1001,0),MATCH(COLUMNS($AM$1006:AY1006),$AM$1006:$BM$1006,0)), HYPERLINK("#",""), HYPERLINK(CONCATENATE("#metadata!", ADDRESS(INDEX($AH$2:$AH$1001,MATCH(ROWS($AF$2:AF371),$AF$2:$AF$1001,0),0), INDEX($AM$1004:$BM$1004,1,MATCH(COLUMNS($AM$1006:AY1006),$AM$1006:$BM$1006,0)))),"Fix")))</f>
        <v xml:space="preserve"> </v>
      </c>
      <c r="O371" s="4" t="str">
        <f ca="1">IF(OR(INDEX($AG$2:$AG$1001,MATCH(ROWS($AF$2:AF371),$AF$2:$AF$1001,0),1)&gt;=100000,INDEX($AM$1005:$BM$1005,1,MATCH(COLUMNS($AM$1006:AZ1006),$AM$1006:$BM$1006,0))&gt;=100000), " ",IF(INDEX($AM$2:$BM$1001,MATCH(ROWS($AF$2:AF371),$AF$2:$AF$1001,0),MATCH(COLUMNS($AM$1006:AZ1006),$AM$1006:$BM$1006,0)), HYPERLINK("#",""), HYPERLINK(CONCATENATE("#metadata!", ADDRESS(INDEX($AH$2:$AH$1001,MATCH(ROWS($AF$2:AF371),$AF$2:$AF$1001,0),0), INDEX($AM$1004:$BM$1004,1,MATCH(COLUMNS($AM$1006:AZ1006),$AM$1006:$BM$1006,0)))),"Fix")))</f>
        <v xml:space="preserve"> </v>
      </c>
      <c r="P371" s="4" t="str">
        <f ca="1">IF(OR(INDEX($AG$2:$AG$1001,MATCH(ROWS($AF$2:AF371),$AF$2:$AF$1001,0),1)&gt;=100000,INDEX($AM$1005:$BM$1005,1,MATCH(COLUMNS($AM$1006:BA1006),$AM$1006:$BM$1006,0))&gt;=100000), " ",IF(INDEX($AM$2:$BM$1001,MATCH(ROWS($AF$2:AF371),$AF$2:$AF$1001,0),MATCH(COLUMNS($AM$1006:BA1006),$AM$1006:$BM$1006,0)), HYPERLINK("#",""), HYPERLINK(CONCATENATE("#metadata!", ADDRESS(INDEX($AH$2:$AH$1001,MATCH(ROWS($AF$2:AF371),$AF$2:$AF$1001,0),0), INDEX($AM$1004:$BM$1004,1,MATCH(COLUMNS($AM$1006:BA1006),$AM$1006:$BM$1006,0)))),"Fix")))</f>
        <v xml:space="preserve"> </v>
      </c>
      <c r="Q371" s="4" t="str">
        <f ca="1">IF(OR(INDEX($AG$2:$AG$1001,MATCH(ROWS($AF$2:AF371),$AF$2:$AF$1001,0),1)&gt;=100000,INDEX($AM$1005:$BM$1005,1,MATCH(COLUMNS($AM$1006:BB1006),$AM$1006:$BM$1006,0))&gt;=100000), " ",IF(INDEX($AM$2:$BM$1001,MATCH(ROWS($AF$2:AF371),$AF$2:$AF$1001,0),MATCH(COLUMNS($AM$1006:BB1006),$AM$1006:$BM$1006,0)), HYPERLINK("#",""), HYPERLINK(CONCATENATE("#metadata!", ADDRESS(INDEX($AH$2:$AH$1001,MATCH(ROWS($AF$2:AF371),$AF$2:$AF$1001,0),0), INDEX($AM$1004:$BM$1004,1,MATCH(COLUMNS($AM$1006:BB1006),$AM$1006:$BM$1006,0)))),"Fix")))</f>
        <v xml:space="preserve"> </v>
      </c>
      <c r="R371" s="4" t="str">
        <f ca="1">IF(OR(INDEX($AG$2:$AG$1001,MATCH(ROWS($AF$2:AF371),$AF$2:$AF$1001,0),1)&gt;=100000,INDEX($AM$1005:$BM$1005,1,MATCH(COLUMNS($AM$1006:BC1006),$AM$1006:$BM$1006,0))&gt;=100000), " ",IF(INDEX($AM$2:$BM$1001,MATCH(ROWS($AF$2:AF371),$AF$2:$AF$1001,0),MATCH(COLUMNS($AM$1006:BC1006),$AM$1006:$BM$1006,0)), HYPERLINK("#",""), HYPERLINK(CONCATENATE("#metadata!", ADDRESS(INDEX($AH$2:$AH$1001,MATCH(ROWS($AF$2:AF371),$AF$2:$AF$1001,0),0), INDEX($AM$1004:$BM$1004,1,MATCH(COLUMNS($AM$1006:BC1006),$AM$1006:$BM$1006,0)))),"Fix")))</f>
        <v xml:space="preserve"> </v>
      </c>
      <c r="S371" s="4" t="str">
        <f ca="1">IF(OR(INDEX($AG$2:$AG$1001,MATCH(ROWS($AF$2:AF371),$AF$2:$AF$1001,0),1)&gt;=100000,INDEX($AM$1005:$BM$1005,1,MATCH(COLUMNS($AM$1006:BD1006),$AM$1006:$BM$1006,0))&gt;=100000), " ",IF(INDEX($AM$2:$BM$1001,MATCH(ROWS($AF$2:AF371),$AF$2:$AF$1001,0),MATCH(COLUMNS($AM$1006:BD1006),$AM$1006:$BM$1006,0)), HYPERLINK("#",""), HYPERLINK(CONCATENATE("#metadata!", ADDRESS(INDEX($AH$2:$AH$1001,MATCH(ROWS($AF$2:AF371),$AF$2:$AF$1001,0),0), INDEX($AM$1004:$BM$1004,1,MATCH(COLUMNS($AM$1006:BD1006),$AM$1006:$BM$1006,0)))),"Fix")))</f>
        <v xml:space="preserve"> </v>
      </c>
      <c r="T371" s="4" t="str">
        <f ca="1">IF(OR(INDEX($AG$2:$AG$1001,MATCH(ROWS($AF$2:AF371),$AF$2:$AF$1001,0),1)&gt;=100000,INDEX($AM$1005:$BM$1005,1,MATCH(COLUMNS($AM$1006:BE1006),$AM$1006:$BM$1006,0))&gt;=100000), " ",IF(INDEX($AM$2:$BM$1001,MATCH(ROWS($AF$2:AF371),$AF$2:$AF$1001,0),MATCH(COLUMNS($AM$1006:BE1006),$AM$1006:$BM$1006,0)), HYPERLINK("#",""), HYPERLINK(CONCATENATE("#metadata!", ADDRESS(INDEX($AH$2:$AH$1001,MATCH(ROWS($AF$2:AF371),$AF$2:$AF$1001,0),0), INDEX($AM$1004:$BM$1004,1,MATCH(COLUMNS($AM$1006:BE1006),$AM$1006:$BM$1006,0)))),"Fix")))</f>
        <v xml:space="preserve"> </v>
      </c>
      <c r="U371" s="4" t="str">
        <f ca="1">IF(OR(INDEX($AG$2:$AG$1001,MATCH(ROWS($AF$2:AF371),$AF$2:$AF$1001,0),1)&gt;=100000,INDEX($AM$1005:$BM$1005,1,MATCH(COLUMNS($AM$1006:BF1006),$AM$1006:$BM$1006,0))&gt;=100000), " ",IF(INDEX($AM$2:$BM$1001,MATCH(ROWS($AF$2:AF371),$AF$2:$AF$1001,0),MATCH(COLUMNS($AM$1006:BF1006),$AM$1006:$BM$1006,0)), HYPERLINK("#",""), HYPERLINK(CONCATENATE("#metadata!", ADDRESS(INDEX($AH$2:$AH$1001,MATCH(ROWS($AF$2:AF371),$AF$2:$AF$1001,0),0), INDEX($AM$1004:$BM$1004,1,MATCH(COLUMNS($AM$1006:BF1006),$AM$1006:$BM$1006,0)))),"Fix")))</f>
        <v xml:space="preserve"> </v>
      </c>
      <c r="V371" s="4" t="str">
        <f ca="1">IF(OR(INDEX($AG$2:$AG$1001,MATCH(ROWS($AF$2:AF371),$AF$2:$AF$1001,0),1)&gt;=100000,INDEX($AM$1005:$BM$1005,1,MATCH(COLUMNS($AM$1006:BG1006),$AM$1006:$BM$1006,0))&gt;=100000), " ",IF(INDEX($AM$2:$BM$1001,MATCH(ROWS($AF$2:AF371),$AF$2:$AF$1001,0),MATCH(COLUMNS($AM$1006:BG1006),$AM$1006:$BM$1006,0)), HYPERLINK("#",""), HYPERLINK(CONCATENATE("#metadata!", ADDRESS(INDEX($AH$2:$AH$1001,MATCH(ROWS($AF$2:AF371),$AF$2:$AF$1001,0),0), INDEX($AM$1004:$BM$1004,1,MATCH(COLUMNS($AM$1006:BG1006),$AM$1006:$BM$1006,0)))),"Fix")))</f>
        <v xml:space="preserve"> </v>
      </c>
      <c r="W371" s="4" t="str">
        <f ca="1">IF(OR(INDEX($AG$2:$AG$1001,MATCH(ROWS($AF$2:AF371),$AF$2:$AF$1001,0),1)&gt;=100000,INDEX($AM$1005:$BM$1005,1,MATCH(COLUMNS($AM$1006:BH1006),$AM$1006:$BM$1006,0))&gt;=100000), " ",IF(INDEX($AM$2:$BM$1001,MATCH(ROWS($AF$2:AF371),$AF$2:$AF$1001,0),MATCH(COLUMNS($AM$1006:BH1006),$AM$1006:$BM$1006,0)), HYPERLINK("#",""), HYPERLINK(CONCATENATE("#metadata!", ADDRESS(INDEX($AH$2:$AH$1001,MATCH(ROWS($AF$2:AF371),$AF$2:$AF$1001,0),0), INDEX($AM$1004:$BM$1004,1,MATCH(COLUMNS($AM$1006:BH1006),$AM$1006:$BM$1006,0)))),"Fix")))</f>
        <v xml:space="preserve"> </v>
      </c>
      <c r="X371" s="4" t="str">
        <f ca="1">IF(OR(INDEX($AG$2:$AG$1001,MATCH(ROWS($AF$2:AF371),$AF$2:$AF$1001,0),1)&gt;=100000,INDEX($AM$1005:$BM$1005,1,MATCH(COLUMNS($AM$1006:BI1006),$AM$1006:$BM$1006,0))&gt;=100000), " ",IF(INDEX($AM$2:$BM$1001,MATCH(ROWS($AF$2:AF371),$AF$2:$AF$1001,0),MATCH(COLUMNS($AM$1006:BI1006),$AM$1006:$BM$1006,0)), HYPERLINK("#",""), HYPERLINK(CONCATENATE("#metadata!", ADDRESS(INDEX($AH$2:$AH$1001,MATCH(ROWS($AF$2:AF371),$AF$2:$AF$1001,0),0), INDEX($AM$1004:$BM$1004,1,MATCH(COLUMNS($AM$1006:BI1006),$AM$1006:$BM$1006,0)))),"Fix")))</f>
        <v xml:space="preserve"> </v>
      </c>
      <c r="Y371" s="4" t="str">
        <f ca="1">IF(OR(INDEX($AG$2:$AG$1001,MATCH(ROWS($AF$2:AF371),$AF$2:$AF$1001,0),1)&gt;=100000,INDEX($AM$1005:$BM$1005,1,MATCH(COLUMNS($AM$1006:BJ1006),$AM$1006:$BM$1006,0))&gt;=100000), " ",IF(INDEX($AM$2:$BM$1001,MATCH(ROWS($AF$2:AF371),$AF$2:$AF$1001,0),MATCH(COLUMNS($AM$1006:BJ1006),$AM$1006:$BM$1006,0)), HYPERLINK("#",""), HYPERLINK(CONCATENATE("#metadata!", ADDRESS(INDEX($AH$2:$AH$1001,MATCH(ROWS($AF$2:AF371),$AF$2:$AF$1001,0),0), INDEX($AM$1004:$BM$1004,1,MATCH(COLUMNS($AM$1006:BJ1006),$AM$1006:$BM$1006,0)))),"Fix")))</f>
        <v xml:space="preserve"> </v>
      </c>
      <c r="Z371" s="4" t="str">
        <f ca="1">IF(OR(INDEX($AG$2:$AG$1001,MATCH(ROWS($AF$2:AF371),$AF$2:$AF$1001,0),1)&gt;=100000,INDEX($AM$1005:$BM$1005,1,MATCH(COLUMNS($AM$1006:BK1006),$AM$1006:$BM$1006,0))&gt;=100000), " ",IF(INDEX($AM$2:$BM$1001,MATCH(ROWS($AF$2:AF371),$AF$2:$AF$1001,0),MATCH(COLUMNS($AM$1006:BK1006),$AM$1006:$BM$1006,0)), HYPERLINK("#",""), HYPERLINK(CONCATENATE("#metadata!", ADDRESS(INDEX($AH$2:$AH$1001,MATCH(ROWS($AF$2:AF371),$AF$2:$AF$1001,0),0), INDEX($AM$1004:$BM$1004,1,MATCH(COLUMNS($AM$1006:BK1006),$AM$1006:$BM$1006,0)))),"Fix")))</f>
        <v xml:space="preserve"> </v>
      </c>
      <c r="AA371" s="4" t="str">
        <f ca="1">IF(OR(INDEX($AG$2:$AG$1001,MATCH(ROWS($AF$2:AF371),$AF$2:$AF$1001,0),1)&gt;=100000,INDEX($AM$1005:$BM$1005,1,MATCH(COLUMNS($AM$1006:BL1006),$AM$1006:$BM$1006,0))&gt;=100000), " ",IF(INDEX($AM$2:$BM$1001,MATCH(ROWS($AF$2:AF371),$AF$2:$AF$1001,0),MATCH(COLUMNS($AM$1006:BL1006),$AM$1006:$BM$1006,0)), HYPERLINK("#",""), HYPERLINK(CONCATENATE("#metadata!", ADDRESS(INDEX($AH$2:$AH$1001,MATCH(ROWS($AF$2:AF371),$AF$2:$AF$1001,0),0), INDEX($AM$1004:$BM$1004,1,MATCH(COLUMNS($AM$1006:BL1006),$AM$1006:$BM$1006,0)))),"Fix")))</f>
        <v xml:space="preserve"> </v>
      </c>
      <c r="AB371" s="4" t="str">
        <f ca="1">IF(OR(INDEX($AG$2:$AG$1001,MATCH(ROWS($AF$2:AF371),$AF$2:$AF$1001,0),1)&gt;=100000,INDEX($AM$1005:$BM$1005,1,MATCH(COLUMNS($AM$1006:BM1006),$AM$1006:$BM$1006,0))&gt;=100000), " ",IF(INDEX($AM$2:$BM$1001,MATCH(ROWS($AF$2:AF371),$AF$2:$AF$1001,0),MATCH(COLUMNS($AM$1006:BM1006),$AM$1006:$BM$1006,0)), HYPERLINK("#",""), HYPERLINK(CONCATENATE("#metadata!", ADDRESS(INDEX($AH$2:$AH$1001,MATCH(ROWS($AF$2:AF371),$AF$2:$AF$1001,0),0), INDEX($AM$1004:$BM$1004,1,MATCH(COLUMNS($AM$1006:BM1006),$AM$1006:$BM$1006,0)))),"Fix")))</f>
        <v xml:space="preserve"> </v>
      </c>
      <c r="AF371">
        <v>370</v>
      </c>
      <c r="AG371">
        <v>100371</v>
      </c>
      <c r="AH371">
        <v>371</v>
      </c>
      <c r="AI371" t="b">
        <f t="shared" si="5"/>
        <v>1</v>
      </c>
      <c r="AJ371" t="b">
        <f>COUNTBLANK(metadata!B371:AB371)=COLUMNS(metadata!B371:AB371)</f>
        <v>1</v>
      </c>
      <c r="AK371" t="str">
        <v/>
      </c>
      <c r="AM371" t="b">
        <f ca="1">AND(IF(metadata!B371="",FALSE,TRUE),COUNTIF(metadata!B:B, metadata!B371) = 1,NOT(ISERROR(SUMPRODUCT(SEARCH(MID(metadata!B371,ROW(INDIRECT("1:"&amp;LEN(metadata!B371))), 1),"0123456789abcdefghijklmnopqrstuvwxyzABCDEFGHIJKLMNOPQRSTUVWXYZ.")))))</f>
        <v>0</v>
      </c>
      <c r="AN371" t="b">
        <f ca="1">OR(AND(IF(metadata!C371="",FALSE,TRUE),OR(EXACT(metadata!C371,"missing: not collected"),EXACT(metadata!C371,"missing: not provided"),EXACT(metadata!C371,"missing: restricted access"))),AND(IF(metadata!C371="",FALSE,TRUE),AND(AND(IFERROR(INT(LEFT(metadata!C371,4))&gt;1900,FALSE),IFERROR(INT(LEFT(metadata!C371,4))&lt;=YEAR(NOW()),FALSE)), OR(MID(metadata!C371,5,1)="", AND(AND(MID(metadata!C371,5,1)="-",IFERROR(INT(MID(metadata!C371,6,1))&gt;=0,FALSE),IFERROR(INT(MID(metadata!C371,6,1))&lt;=1,FALSE),NOT(MID(metadata!C371,7,1)=""),IFERROR(INT(MID(metadata!C371,6,2))&gt;=1,FALSE),IFERROR(INT(MID(metadata!C371,6,2))&lt;=12,FALSE)), OR(MID(metadata!C371,8,1)="", AND(AND(MID(metadata!C371,8,1)="-",IFERROR(INT(MID(metadata!C371,9,1))&gt;=0,FALSE),IFERROR(INT(MID(metadata!C371,9,1))&lt;=3,FALSE),NOT(MID(metadata!C371,10,1)=""),IFERROR(INT(MID(metadata!C371,9,2))&gt;=1,FALSE),IFERROR(INT(MID(metadata!C371,9,2))&lt;=31,FALSE)), OR(MID(metadata!C371,11,1)="", AND(AND(MID(metadata!C371,11,1)=" ",IFERROR(INT(MID(metadata!C371,12,1))&gt;=0,FALSE),IFERROR(INT(MID(metadata!C371,12,1))&lt;=2,FALSE),NOT(MID(metadata!C371,13,1)=""),IFERROR(INT(MID(metadata!C371,12,2))&gt;=0,FALSE),IFERROR(INT(MID(metadata!C371,12,2))&lt;=23,FALSE)), OR(MID(metadata!C371,14,1)="", AND(AND(MID(metadata!C371,14,1)=":",IFERROR(INT(MID(metadata!C371,15,1))&gt;=0,FALSE),IFERROR(INT(MID(metadata!C371,15,1))&lt;=5,FALSE),NOT(MID(metadata!C371,16,1)=""),IFERROR(INT(MID(metadata!C371,15,2))&gt;=0,FALSE),IFERROR(INT(MID(metadata!C371,15,2))&lt;=59,FALSE)), OR(MID(metadata!C371,17,1)="", AND(AND(MID(metadata!C371,17,1)=":",IFERROR(INT(MID(metadata!C371,18,1))&gt;=0,FALSE),IFERROR(INT(MID(metadata!C371,18,1))&lt;=5,FALSE),NOT(MID(metadata!C371,19,1)=""),IFERROR(INT(MID(metadata!C371,18,2))&gt;=0,FALSE),IFERROR(INT(MID(metadata!C371,18,2))&lt;=59,FALSE)), LEN(metadata!C371)&lt;=19)))))))))))))</f>
        <v>0</v>
      </c>
      <c r="AO371" t="b">
        <f>AND(IF(metadata!D371="",FALSE,TRUE),EXACT(metadata!D371,"Not applicable"))</f>
        <v>0</v>
      </c>
      <c r="AP371" t="b">
        <f>IF(metadata!E371="",FALSE,TRUE)</f>
        <v>0</v>
      </c>
      <c r="AQ371" t="b">
        <f>OR(AND(IF(metadata!F371="",FALSE,TRUE),OR(EXACT(metadata!F371,"missing: not collected"),EXACT(metadata!F371,"missing: not provided"))),AND(IF(metadata!F371="",FALSE,TRUE),OR(EXACT(metadata!F371,"TRUE"),EXACT(metadata!F371,"FALSE"))))</f>
        <v>0</v>
      </c>
      <c r="AR371" t="b">
        <f>OR(AND(IF(metadata!G371="",FALSE,TRUE),OR(EXACT(metadata!G371,"missing: not collected"),EXACT(metadata!G371,"missing: not provided"),EXACT(metadata!G371,"missing: restricted access"))),AND(IF(metadata!G371="",FALSE,ISNUMBER(VALUE(metadata!G371))),metadata!G371&gt;=-413))</f>
        <v>0</v>
      </c>
      <c r="AS371" t="b">
        <f>AND(IF(metadata!H371="",FALSE,TRUE),EXACT(metadata!H371,"meters"))</f>
        <v>0</v>
      </c>
      <c r="AT371" t="b">
        <f>AND(IF(metadata!I371="",FALSE,TRUE),OR(EXACT(metadata!I371,"Host-associated"),EXACT(metadata!I371,"Free-living")))</f>
        <v>0</v>
      </c>
      <c r="AU371" t="b">
        <f>AND(IF(metadata!J371="",FALSE,TRUE),OR(EXACT(metadata!J371,"Animal"),EXACT(metadata!J371,"Fungus"),EXACT(metadata!J371,"Plant"),EXACT(metadata!J371,"Saline"),EXACT(metadata!J371,"Non-saline")))</f>
        <v>0</v>
      </c>
      <c r="AV371" t="b">
        <f>AND(IF(metadata!K371="",FALSE,TRUE),OR(EXACT(metadata!K371,"Plant secretion"),EXACT(metadata!K371,"Plant rhizosphere"),EXACT(metadata!K371,"Plant surface"),EXACT(metadata!K371,"Plant corpus"),EXACT(metadata!K371,"Fungus surface"),EXACT(metadata!K371,"Fungus corpus"),EXACT(metadata!K371,"Animal surface"),EXACT(metadata!K371,"Animal proximal gut"),EXACT(metadata!K371,"Animal corpus"),EXACT(metadata!K371,"Animal distal gut"),EXACT(metadata!K371,"Animal secretion"),EXACT(metadata!K371,"Sub-surface (non-saline)"),EXACT(metadata!K371,"Surface (non-saline)"),EXACT(metadata!K371,"Water (non-saline)"),EXACT(metadata!K371,"Soil (non-saline)"),EXACT(metadata!K371,"Aerosol (non-saline)"),EXACT(metadata!K371,"Sediment (non-saline)"),EXACT(metadata!K371,"Surface (saline)"),EXACT(metadata!K371,"Water (saline)"),EXACT(metadata!K371,"Hypersaline (saline)"),EXACT(metadata!K371,"Aerosol (saline)"),EXACT(metadata!K371,"Sediment (saline)")))</f>
        <v>0</v>
      </c>
      <c r="AW371" t="b">
        <f>IF(metadata!L371="",FALSE,TRUE)</f>
        <v>0</v>
      </c>
      <c r="AX371" t="b">
        <f>IF(metadata!M371="",FALSE,TRUE)</f>
        <v>0</v>
      </c>
      <c r="AY371" t="b">
        <f>IF(metadata!N371="",FALSE,TRUE)</f>
        <v>0</v>
      </c>
      <c r="AZ371" t="b">
        <f>OR(AND(IF(metadata!O371="",FALSE,TRUE),OR(EXACT(metadata!O371,"missing: not collected"),EXACT(metadata!O371,"missing: not provided"),EXACT(metadata!O371,"missing: restricted access"))),AND(IF(metadata!O371="",FALSE,TRUE),OR(EXACT(metadata!O371,"air"),EXACT(metadata!O371,"built environment"),EXACT(metadata!O371,"host-associated"),EXACT(metadata!O371,"human-associated"),EXACT(metadata!O371,"human-skin"),EXACT(metadata!O371,"human-oral"),EXACT(metadata!O371,"human-gut"),EXACT(metadata!O371,"human-vaginal"),EXACT(metadata!O371,"microbial mat/biofilm"),EXACT(metadata!O371,"misc environment"),EXACT(metadata!O371,"plant-associated"),EXACT(metadata!O371,"sediment"),EXACT(metadata!O371,"soil"),EXACT(metadata!O371,"wastewater/sludge"),EXACT(metadata!O371,"water"))))</f>
        <v>0</v>
      </c>
      <c r="BA371" t="b">
        <f>IF(metadata!P371="",FALSE,TRUE)</f>
        <v>0</v>
      </c>
      <c r="BB371" t="b">
        <f>IF(metadata!Q371="",FALSE,TRUE)</f>
        <v>0</v>
      </c>
      <c r="BC371" t="b">
        <f>OR(AND(IF(metadata!R371="",FALSE,TRUE),OR(EXACT(metadata!R371,"missing: not collected"),EXACT(metadata!R371,"missing: not provided"),EXACT(metadata!R371,"missing: restricted access"))),AND(IF(metadata!R371="",FALSE,ISNUMBER(VALUE(metadata!R371))),metadata!R371&gt;=-90,metadata!R371&lt;=90))</f>
        <v>0</v>
      </c>
      <c r="BD371" t="b">
        <f>AND(IF(metadata!S371="",FALSE,TRUE),EXACT(metadata!S371,"Decimal degrees"))</f>
        <v>0</v>
      </c>
      <c r="BE371" t="b">
        <f>OR(AND(IF(metadata!T371="",FALSE,TRUE),OR(EXACT(metadata!T371,"missing: not collected"),EXACT(metadata!T371,"missing: not provided"),EXACT(metadata!T371,"missing: restricted access"))),AND(IF(metadata!T371="",FALSE,ISNUMBER(VALUE(metadata!T371))),metadata!T371&gt;=-180,metadata!T371&lt;=180))</f>
        <v>0</v>
      </c>
      <c r="BF371" t="b">
        <f>AND(IF(metadata!U371="",FALSE,TRUE),EXACT(metadata!U371,"Decimal degrees"))</f>
        <v>0</v>
      </c>
      <c r="BG371" t="b">
        <f>IF(metadata!V371="",FALSE,TRUE)</f>
        <v>0</v>
      </c>
      <c r="BH371" t="b">
        <f>OR(AND(IF(metadata!W371="",FALSE,TRUE),OR(EXACT(metadata!W371,"missing: not collected"),EXACT(metadata!W371,"missing: not provided"),EXACT(metadata!W371,"missing: restricted access"))),AND(IF(metadata!W371="",FALSE,TRUE),OR(EXACT(metadata!W371,"TRUE"),EXACT(metadata!W371,"FALSE"))))</f>
        <v>0</v>
      </c>
      <c r="BI371" t="b">
        <f>AND(IF(metadata!X371="",FALSE,TRUE),EXACT(metadata!X371,"other"))</f>
        <v>0</v>
      </c>
      <c r="BJ371" t="b">
        <f>IF(metadata!Y371="",FALSE,TRUE)</f>
        <v>0</v>
      </c>
      <c r="BK371" t="b">
        <f>OR(AND(IF(metadata!Z371="",FALSE,TRUE),OR(EXACT(metadata!Z371,"missing: not collected"),EXACT(metadata!Z371,"missing: not provided"))),AND(IF(metadata!Z371="",FALSE,IF(ISERROR(INT(metadata!Z371)),FALSE,INT(metadata!Z371)=metadata!Z371)),metadata!Z371&gt;0))</f>
        <v>0</v>
      </c>
      <c r="BL371" t="b">
        <f>AND(IF(metadata!AA371="",FALSE,TRUE),EXACT(metadata!AA371,"Not applicable"))</f>
        <v>0</v>
      </c>
      <c r="BM371" t="b">
        <f>IF(metadata!AB371="",FALSE,TRUE)</f>
        <v>0</v>
      </c>
    </row>
    <row r="372" spans="1:65" x14ac:dyDescent="0.2">
      <c r="A372" s="5" t="str">
        <f ca="1">IF(B372=" "," ",HYPERLINK(CONCATENATE("#metadata!",ADDRESS(INDEX($AH$2:$AH$1001,MATCH(ROWS($AF$2:AF372),$AF$2:$AF$1001,0),0),1)),INDEX($AK$2:$AK$1001,MATCH(ROWS($AF$2:AF372),$AF$2:$AF$1001,0),0)))</f>
        <v xml:space="preserve"> </v>
      </c>
      <c r="B372" s="4" t="str">
        <f ca="1">IF(OR(INDEX($AG$2:$AG$1001,MATCH(ROWS($AF$2:AF372),$AF$2:$AF$1001,0),1)&gt;=100000,INDEX($AM$1005:$BM$1005,1,MATCH(COLUMNS($AM$1006:AM1006),$AM$1006:$BM$1006,0))&gt;=100000), " ",IF(INDEX($AM$2:$BM$1001,MATCH(ROWS($AF$2:AF372),$AF$2:$AF$1001,0),MATCH(COLUMNS($AM$1006:AM1006),$AM$1006:$BM$1006,0)), HYPERLINK("#",""), HYPERLINK(CONCATENATE("#metadata!", ADDRESS(INDEX($AH$2:$AH$1001,MATCH(ROWS($AF$2:AF372),$AF$2:$AF$1001,0),0), INDEX($AM$1004:$BM$1004,1,MATCH(COLUMNS($AM$1006:AM1006),$AM$1006:$BM$1006,0)))),"Fix")))</f>
        <v xml:space="preserve"> </v>
      </c>
      <c r="C372" s="4" t="str">
        <f ca="1">IF(OR(INDEX($AG$2:$AG$1001,MATCH(ROWS($AF$2:AF372),$AF$2:$AF$1001,0),1)&gt;=100000,INDEX($AM$1005:$BM$1005,1,MATCH(COLUMNS($AM$1006:AN1006),$AM$1006:$BM$1006,0))&gt;=100000), " ",IF(INDEX($AM$2:$BM$1001,MATCH(ROWS($AF$2:AF372),$AF$2:$AF$1001,0),MATCH(COLUMNS($AM$1006:AN1006),$AM$1006:$BM$1006,0)), HYPERLINK("#",""), HYPERLINK(CONCATENATE("#metadata!", ADDRESS(INDEX($AH$2:$AH$1001,MATCH(ROWS($AF$2:AF372),$AF$2:$AF$1001,0),0), INDEX($AM$1004:$BM$1004,1,MATCH(COLUMNS($AM$1006:AN1006),$AM$1006:$BM$1006,0)))),"Fix")))</f>
        <v xml:space="preserve"> </v>
      </c>
      <c r="D372" s="4" t="str">
        <f ca="1">IF(OR(INDEX($AG$2:$AG$1001,MATCH(ROWS($AF$2:AF372),$AF$2:$AF$1001,0),1)&gt;=100000,INDEX($AM$1005:$BM$1005,1,MATCH(COLUMNS($AM$1006:AO1006),$AM$1006:$BM$1006,0))&gt;=100000), " ",IF(INDEX($AM$2:$BM$1001,MATCH(ROWS($AF$2:AF372),$AF$2:$AF$1001,0),MATCH(COLUMNS($AM$1006:AO1006),$AM$1006:$BM$1006,0)), HYPERLINK("#",""), HYPERLINK(CONCATENATE("#metadata!", ADDRESS(INDEX($AH$2:$AH$1001,MATCH(ROWS($AF$2:AF372),$AF$2:$AF$1001,0),0), INDEX($AM$1004:$BM$1004,1,MATCH(COLUMNS($AM$1006:AO1006),$AM$1006:$BM$1006,0)))),"Fix")))</f>
        <v xml:space="preserve"> </v>
      </c>
      <c r="E372" s="4" t="str">
        <f ca="1">IF(OR(INDEX($AG$2:$AG$1001,MATCH(ROWS($AF$2:AF372),$AF$2:$AF$1001,0),1)&gt;=100000,INDEX($AM$1005:$BM$1005,1,MATCH(COLUMNS($AM$1006:AP1006),$AM$1006:$BM$1006,0))&gt;=100000), " ",IF(INDEX($AM$2:$BM$1001,MATCH(ROWS($AF$2:AF372),$AF$2:$AF$1001,0),MATCH(COLUMNS($AM$1006:AP1006),$AM$1006:$BM$1006,0)), HYPERLINK("#",""), HYPERLINK(CONCATENATE("#metadata!", ADDRESS(INDEX($AH$2:$AH$1001,MATCH(ROWS($AF$2:AF372),$AF$2:$AF$1001,0),0), INDEX($AM$1004:$BM$1004,1,MATCH(COLUMNS($AM$1006:AP1006),$AM$1006:$BM$1006,0)))),"Fix")))</f>
        <v xml:space="preserve"> </v>
      </c>
      <c r="F372" s="4" t="str">
        <f ca="1">IF(OR(INDEX($AG$2:$AG$1001,MATCH(ROWS($AF$2:AF372),$AF$2:$AF$1001,0),1)&gt;=100000,INDEX($AM$1005:$BM$1005,1,MATCH(COLUMNS($AM$1006:AQ1006),$AM$1006:$BM$1006,0))&gt;=100000), " ",IF(INDEX($AM$2:$BM$1001,MATCH(ROWS($AF$2:AF372),$AF$2:$AF$1001,0),MATCH(COLUMNS($AM$1006:AQ1006),$AM$1006:$BM$1006,0)), HYPERLINK("#",""), HYPERLINK(CONCATENATE("#metadata!", ADDRESS(INDEX($AH$2:$AH$1001,MATCH(ROWS($AF$2:AF372),$AF$2:$AF$1001,0),0), INDEX($AM$1004:$BM$1004,1,MATCH(COLUMNS($AM$1006:AQ1006),$AM$1006:$BM$1006,0)))),"Fix")))</f>
        <v xml:space="preserve"> </v>
      </c>
      <c r="G372" s="4" t="str">
        <f ca="1">IF(OR(INDEX($AG$2:$AG$1001,MATCH(ROWS($AF$2:AF372),$AF$2:$AF$1001,0),1)&gt;=100000,INDEX($AM$1005:$BM$1005,1,MATCH(COLUMNS($AM$1006:AR1006),$AM$1006:$BM$1006,0))&gt;=100000), " ",IF(INDEX($AM$2:$BM$1001,MATCH(ROWS($AF$2:AF372),$AF$2:$AF$1001,0),MATCH(COLUMNS($AM$1006:AR1006),$AM$1006:$BM$1006,0)), HYPERLINK("#",""), HYPERLINK(CONCATENATE("#metadata!", ADDRESS(INDEX($AH$2:$AH$1001,MATCH(ROWS($AF$2:AF372),$AF$2:$AF$1001,0),0), INDEX($AM$1004:$BM$1004,1,MATCH(COLUMNS($AM$1006:AR1006),$AM$1006:$BM$1006,0)))),"Fix")))</f>
        <v xml:space="preserve"> </v>
      </c>
      <c r="H372" s="4" t="str">
        <f ca="1">IF(OR(INDEX($AG$2:$AG$1001,MATCH(ROWS($AF$2:AF372),$AF$2:$AF$1001,0),1)&gt;=100000,INDEX($AM$1005:$BM$1005,1,MATCH(COLUMNS($AM$1006:AS1006),$AM$1006:$BM$1006,0))&gt;=100000), " ",IF(INDEX($AM$2:$BM$1001,MATCH(ROWS($AF$2:AF372),$AF$2:$AF$1001,0),MATCH(COLUMNS($AM$1006:AS1006),$AM$1006:$BM$1006,0)), HYPERLINK("#",""), HYPERLINK(CONCATENATE("#metadata!", ADDRESS(INDEX($AH$2:$AH$1001,MATCH(ROWS($AF$2:AF372),$AF$2:$AF$1001,0),0), INDEX($AM$1004:$BM$1004,1,MATCH(COLUMNS($AM$1006:AS1006),$AM$1006:$BM$1006,0)))),"Fix")))</f>
        <v xml:space="preserve"> </v>
      </c>
      <c r="I372" s="4" t="str">
        <f ca="1">IF(OR(INDEX($AG$2:$AG$1001,MATCH(ROWS($AF$2:AF372),$AF$2:$AF$1001,0),1)&gt;=100000,INDEX($AM$1005:$BM$1005,1,MATCH(COLUMNS($AM$1006:AT1006),$AM$1006:$BM$1006,0))&gt;=100000), " ",IF(INDEX($AM$2:$BM$1001,MATCH(ROWS($AF$2:AF372),$AF$2:$AF$1001,0),MATCH(COLUMNS($AM$1006:AT1006),$AM$1006:$BM$1006,0)), HYPERLINK("#",""), HYPERLINK(CONCATENATE("#metadata!", ADDRESS(INDEX($AH$2:$AH$1001,MATCH(ROWS($AF$2:AF372),$AF$2:$AF$1001,0),0), INDEX($AM$1004:$BM$1004,1,MATCH(COLUMNS($AM$1006:AT1006),$AM$1006:$BM$1006,0)))),"Fix")))</f>
        <v xml:space="preserve"> </v>
      </c>
      <c r="J372" s="4" t="str">
        <f ca="1">IF(OR(INDEX($AG$2:$AG$1001,MATCH(ROWS($AF$2:AF372),$AF$2:$AF$1001,0),1)&gt;=100000,INDEX($AM$1005:$BM$1005,1,MATCH(COLUMNS($AM$1006:AU1006),$AM$1006:$BM$1006,0))&gt;=100000), " ",IF(INDEX($AM$2:$BM$1001,MATCH(ROWS($AF$2:AF372),$AF$2:$AF$1001,0),MATCH(COLUMNS($AM$1006:AU1006),$AM$1006:$BM$1006,0)), HYPERLINK("#",""), HYPERLINK(CONCATENATE("#metadata!", ADDRESS(INDEX($AH$2:$AH$1001,MATCH(ROWS($AF$2:AF372),$AF$2:$AF$1001,0),0), INDEX($AM$1004:$BM$1004,1,MATCH(COLUMNS($AM$1006:AU1006),$AM$1006:$BM$1006,0)))),"Fix")))</f>
        <v xml:space="preserve"> </v>
      </c>
      <c r="K372" s="4" t="str">
        <f ca="1">IF(OR(INDEX($AG$2:$AG$1001,MATCH(ROWS($AF$2:AF372),$AF$2:$AF$1001,0),1)&gt;=100000,INDEX($AM$1005:$BM$1005,1,MATCH(COLUMNS($AM$1006:AV1006),$AM$1006:$BM$1006,0))&gt;=100000), " ",IF(INDEX($AM$2:$BM$1001,MATCH(ROWS($AF$2:AF372),$AF$2:$AF$1001,0),MATCH(COLUMNS($AM$1006:AV1006),$AM$1006:$BM$1006,0)), HYPERLINK("#",""), HYPERLINK(CONCATENATE("#metadata!", ADDRESS(INDEX($AH$2:$AH$1001,MATCH(ROWS($AF$2:AF372),$AF$2:$AF$1001,0),0), INDEX($AM$1004:$BM$1004,1,MATCH(COLUMNS($AM$1006:AV1006),$AM$1006:$BM$1006,0)))),"Fix")))</f>
        <v xml:space="preserve"> </v>
      </c>
      <c r="L372" s="4" t="str">
        <f ca="1">IF(OR(INDEX($AG$2:$AG$1001,MATCH(ROWS($AF$2:AF372),$AF$2:$AF$1001,0),1)&gt;=100000,INDEX($AM$1005:$BM$1005,1,MATCH(COLUMNS($AM$1006:AW1006),$AM$1006:$BM$1006,0))&gt;=100000), " ",IF(INDEX($AM$2:$BM$1001,MATCH(ROWS($AF$2:AF372),$AF$2:$AF$1001,0),MATCH(COLUMNS($AM$1006:AW1006),$AM$1006:$BM$1006,0)), HYPERLINK("#",""), HYPERLINK(CONCATENATE("#metadata!", ADDRESS(INDEX($AH$2:$AH$1001,MATCH(ROWS($AF$2:AF372),$AF$2:$AF$1001,0),0), INDEX($AM$1004:$BM$1004,1,MATCH(COLUMNS($AM$1006:AW1006),$AM$1006:$BM$1006,0)))),"Fix")))</f>
        <v xml:space="preserve"> </v>
      </c>
      <c r="M372" s="4" t="str">
        <f ca="1">IF(OR(INDEX($AG$2:$AG$1001,MATCH(ROWS($AF$2:AF372),$AF$2:$AF$1001,0),1)&gt;=100000,INDEX($AM$1005:$BM$1005,1,MATCH(COLUMNS($AM$1006:AX1006),$AM$1006:$BM$1006,0))&gt;=100000), " ",IF(INDEX($AM$2:$BM$1001,MATCH(ROWS($AF$2:AF372),$AF$2:$AF$1001,0),MATCH(COLUMNS($AM$1006:AX1006),$AM$1006:$BM$1006,0)), HYPERLINK("#",""), HYPERLINK(CONCATENATE("#metadata!", ADDRESS(INDEX($AH$2:$AH$1001,MATCH(ROWS($AF$2:AF372),$AF$2:$AF$1001,0),0), INDEX($AM$1004:$BM$1004,1,MATCH(COLUMNS($AM$1006:AX1006),$AM$1006:$BM$1006,0)))),"Fix")))</f>
        <v xml:space="preserve"> </v>
      </c>
      <c r="N372" s="4" t="str">
        <f ca="1">IF(OR(INDEX($AG$2:$AG$1001,MATCH(ROWS($AF$2:AF372),$AF$2:$AF$1001,0),1)&gt;=100000,INDEX($AM$1005:$BM$1005,1,MATCH(COLUMNS($AM$1006:AY1006),$AM$1006:$BM$1006,0))&gt;=100000), " ",IF(INDEX($AM$2:$BM$1001,MATCH(ROWS($AF$2:AF372),$AF$2:$AF$1001,0),MATCH(COLUMNS($AM$1006:AY1006),$AM$1006:$BM$1006,0)), HYPERLINK("#",""), HYPERLINK(CONCATENATE("#metadata!", ADDRESS(INDEX($AH$2:$AH$1001,MATCH(ROWS($AF$2:AF372),$AF$2:$AF$1001,0),0), INDEX($AM$1004:$BM$1004,1,MATCH(COLUMNS($AM$1006:AY1006),$AM$1006:$BM$1006,0)))),"Fix")))</f>
        <v xml:space="preserve"> </v>
      </c>
      <c r="O372" s="4" t="str">
        <f ca="1">IF(OR(INDEX($AG$2:$AG$1001,MATCH(ROWS($AF$2:AF372),$AF$2:$AF$1001,0),1)&gt;=100000,INDEX($AM$1005:$BM$1005,1,MATCH(COLUMNS($AM$1006:AZ1006),$AM$1006:$BM$1006,0))&gt;=100000), " ",IF(INDEX($AM$2:$BM$1001,MATCH(ROWS($AF$2:AF372),$AF$2:$AF$1001,0),MATCH(COLUMNS($AM$1006:AZ1006),$AM$1006:$BM$1006,0)), HYPERLINK("#",""), HYPERLINK(CONCATENATE("#metadata!", ADDRESS(INDEX($AH$2:$AH$1001,MATCH(ROWS($AF$2:AF372),$AF$2:$AF$1001,0),0), INDEX($AM$1004:$BM$1004,1,MATCH(COLUMNS($AM$1006:AZ1006),$AM$1006:$BM$1006,0)))),"Fix")))</f>
        <v xml:space="preserve"> </v>
      </c>
      <c r="P372" s="4" t="str">
        <f ca="1">IF(OR(INDEX($AG$2:$AG$1001,MATCH(ROWS($AF$2:AF372),$AF$2:$AF$1001,0),1)&gt;=100000,INDEX($AM$1005:$BM$1005,1,MATCH(COLUMNS($AM$1006:BA1006),$AM$1006:$BM$1006,0))&gt;=100000), " ",IF(INDEX($AM$2:$BM$1001,MATCH(ROWS($AF$2:AF372),$AF$2:$AF$1001,0),MATCH(COLUMNS($AM$1006:BA1006),$AM$1006:$BM$1006,0)), HYPERLINK("#",""), HYPERLINK(CONCATENATE("#metadata!", ADDRESS(INDEX($AH$2:$AH$1001,MATCH(ROWS($AF$2:AF372),$AF$2:$AF$1001,0),0), INDEX($AM$1004:$BM$1004,1,MATCH(COLUMNS($AM$1006:BA1006),$AM$1006:$BM$1006,0)))),"Fix")))</f>
        <v xml:space="preserve"> </v>
      </c>
      <c r="Q372" s="4" t="str">
        <f ca="1">IF(OR(INDEX($AG$2:$AG$1001,MATCH(ROWS($AF$2:AF372),$AF$2:$AF$1001,0),1)&gt;=100000,INDEX($AM$1005:$BM$1005,1,MATCH(COLUMNS($AM$1006:BB1006),$AM$1006:$BM$1006,0))&gt;=100000), " ",IF(INDEX($AM$2:$BM$1001,MATCH(ROWS($AF$2:AF372),$AF$2:$AF$1001,0),MATCH(COLUMNS($AM$1006:BB1006),$AM$1006:$BM$1006,0)), HYPERLINK("#",""), HYPERLINK(CONCATENATE("#metadata!", ADDRESS(INDEX($AH$2:$AH$1001,MATCH(ROWS($AF$2:AF372),$AF$2:$AF$1001,0),0), INDEX($AM$1004:$BM$1004,1,MATCH(COLUMNS($AM$1006:BB1006),$AM$1006:$BM$1006,0)))),"Fix")))</f>
        <v xml:space="preserve"> </v>
      </c>
      <c r="R372" s="4" t="str">
        <f ca="1">IF(OR(INDEX($AG$2:$AG$1001,MATCH(ROWS($AF$2:AF372),$AF$2:$AF$1001,0),1)&gt;=100000,INDEX($AM$1005:$BM$1005,1,MATCH(COLUMNS($AM$1006:BC1006),$AM$1006:$BM$1006,0))&gt;=100000), " ",IF(INDEX($AM$2:$BM$1001,MATCH(ROWS($AF$2:AF372),$AF$2:$AF$1001,0),MATCH(COLUMNS($AM$1006:BC1006),$AM$1006:$BM$1006,0)), HYPERLINK("#",""), HYPERLINK(CONCATENATE("#metadata!", ADDRESS(INDEX($AH$2:$AH$1001,MATCH(ROWS($AF$2:AF372),$AF$2:$AF$1001,0),0), INDEX($AM$1004:$BM$1004,1,MATCH(COLUMNS($AM$1006:BC1006),$AM$1006:$BM$1006,0)))),"Fix")))</f>
        <v xml:space="preserve"> </v>
      </c>
      <c r="S372" s="4" t="str">
        <f ca="1">IF(OR(INDEX($AG$2:$AG$1001,MATCH(ROWS($AF$2:AF372),$AF$2:$AF$1001,0),1)&gt;=100000,INDEX($AM$1005:$BM$1005,1,MATCH(COLUMNS($AM$1006:BD1006),$AM$1006:$BM$1006,0))&gt;=100000), " ",IF(INDEX($AM$2:$BM$1001,MATCH(ROWS($AF$2:AF372),$AF$2:$AF$1001,0),MATCH(COLUMNS($AM$1006:BD1006),$AM$1006:$BM$1006,0)), HYPERLINK("#",""), HYPERLINK(CONCATENATE("#metadata!", ADDRESS(INDEX($AH$2:$AH$1001,MATCH(ROWS($AF$2:AF372),$AF$2:$AF$1001,0),0), INDEX($AM$1004:$BM$1004,1,MATCH(COLUMNS($AM$1006:BD1006),$AM$1006:$BM$1006,0)))),"Fix")))</f>
        <v xml:space="preserve"> </v>
      </c>
      <c r="T372" s="4" t="str">
        <f ca="1">IF(OR(INDEX($AG$2:$AG$1001,MATCH(ROWS($AF$2:AF372),$AF$2:$AF$1001,0),1)&gt;=100000,INDEX($AM$1005:$BM$1005,1,MATCH(COLUMNS($AM$1006:BE1006),$AM$1006:$BM$1006,0))&gt;=100000), " ",IF(INDEX($AM$2:$BM$1001,MATCH(ROWS($AF$2:AF372),$AF$2:$AF$1001,0),MATCH(COLUMNS($AM$1006:BE1006),$AM$1006:$BM$1006,0)), HYPERLINK("#",""), HYPERLINK(CONCATENATE("#metadata!", ADDRESS(INDEX($AH$2:$AH$1001,MATCH(ROWS($AF$2:AF372),$AF$2:$AF$1001,0),0), INDEX($AM$1004:$BM$1004,1,MATCH(COLUMNS($AM$1006:BE1006),$AM$1006:$BM$1006,0)))),"Fix")))</f>
        <v xml:space="preserve"> </v>
      </c>
      <c r="U372" s="4" t="str">
        <f ca="1">IF(OR(INDEX($AG$2:$AG$1001,MATCH(ROWS($AF$2:AF372),$AF$2:$AF$1001,0),1)&gt;=100000,INDEX($AM$1005:$BM$1005,1,MATCH(COLUMNS($AM$1006:BF1006),$AM$1006:$BM$1006,0))&gt;=100000), " ",IF(INDEX($AM$2:$BM$1001,MATCH(ROWS($AF$2:AF372),$AF$2:$AF$1001,0),MATCH(COLUMNS($AM$1006:BF1006),$AM$1006:$BM$1006,0)), HYPERLINK("#",""), HYPERLINK(CONCATENATE("#metadata!", ADDRESS(INDEX($AH$2:$AH$1001,MATCH(ROWS($AF$2:AF372),$AF$2:$AF$1001,0),0), INDEX($AM$1004:$BM$1004,1,MATCH(COLUMNS($AM$1006:BF1006),$AM$1006:$BM$1006,0)))),"Fix")))</f>
        <v xml:space="preserve"> </v>
      </c>
      <c r="V372" s="4" t="str">
        <f ca="1">IF(OR(INDEX($AG$2:$AG$1001,MATCH(ROWS($AF$2:AF372),$AF$2:$AF$1001,0),1)&gt;=100000,INDEX($AM$1005:$BM$1005,1,MATCH(COLUMNS($AM$1006:BG1006),$AM$1006:$BM$1006,0))&gt;=100000), " ",IF(INDEX($AM$2:$BM$1001,MATCH(ROWS($AF$2:AF372),$AF$2:$AF$1001,0),MATCH(COLUMNS($AM$1006:BG1006),$AM$1006:$BM$1006,0)), HYPERLINK("#",""), HYPERLINK(CONCATENATE("#metadata!", ADDRESS(INDEX($AH$2:$AH$1001,MATCH(ROWS($AF$2:AF372),$AF$2:$AF$1001,0),0), INDEX($AM$1004:$BM$1004,1,MATCH(COLUMNS($AM$1006:BG1006),$AM$1006:$BM$1006,0)))),"Fix")))</f>
        <v xml:space="preserve"> </v>
      </c>
      <c r="W372" s="4" t="str">
        <f ca="1">IF(OR(INDEX($AG$2:$AG$1001,MATCH(ROWS($AF$2:AF372),$AF$2:$AF$1001,0),1)&gt;=100000,INDEX($AM$1005:$BM$1005,1,MATCH(COLUMNS($AM$1006:BH1006),$AM$1006:$BM$1006,0))&gt;=100000), " ",IF(INDEX($AM$2:$BM$1001,MATCH(ROWS($AF$2:AF372),$AF$2:$AF$1001,0),MATCH(COLUMNS($AM$1006:BH1006),$AM$1006:$BM$1006,0)), HYPERLINK("#",""), HYPERLINK(CONCATENATE("#metadata!", ADDRESS(INDEX($AH$2:$AH$1001,MATCH(ROWS($AF$2:AF372),$AF$2:$AF$1001,0),0), INDEX($AM$1004:$BM$1004,1,MATCH(COLUMNS($AM$1006:BH1006),$AM$1006:$BM$1006,0)))),"Fix")))</f>
        <v xml:space="preserve"> </v>
      </c>
      <c r="X372" s="4" t="str">
        <f ca="1">IF(OR(INDEX($AG$2:$AG$1001,MATCH(ROWS($AF$2:AF372),$AF$2:$AF$1001,0),1)&gt;=100000,INDEX($AM$1005:$BM$1005,1,MATCH(COLUMNS($AM$1006:BI1006),$AM$1006:$BM$1006,0))&gt;=100000), " ",IF(INDEX($AM$2:$BM$1001,MATCH(ROWS($AF$2:AF372),$AF$2:$AF$1001,0),MATCH(COLUMNS($AM$1006:BI1006),$AM$1006:$BM$1006,0)), HYPERLINK("#",""), HYPERLINK(CONCATENATE("#metadata!", ADDRESS(INDEX($AH$2:$AH$1001,MATCH(ROWS($AF$2:AF372),$AF$2:$AF$1001,0),0), INDEX($AM$1004:$BM$1004,1,MATCH(COLUMNS($AM$1006:BI1006),$AM$1006:$BM$1006,0)))),"Fix")))</f>
        <v xml:space="preserve"> </v>
      </c>
      <c r="Y372" s="4" t="str">
        <f ca="1">IF(OR(INDEX($AG$2:$AG$1001,MATCH(ROWS($AF$2:AF372),$AF$2:$AF$1001,0),1)&gt;=100000,INDEX($AM$1005:$BM$1005,1,MATCH(COLUMNS($AM$1006:BJ1006),$AM$1006:$BM$1006,0))&gt;=100000), " ",IF(INDEX($AM$2:$BM$1001,MATCH(ROWS($AF$2:AF372),$AF$2:$AF$1001,0),MATCH(COLUMNS($AM$1006:BJ1006),$AM$1006:$BM$1006,0)), HYPERLINK("#",""), HYPERLINK(CONCATENATE("#metadata!", ADDRESS(INDEX($AH$2:$AH$1001,MATCH(ROWS($AF$2:AF372),$AF$2:$AF$1001,0),0), INDEX($AM$1004:$BM$1004,1,MATCH(COLUMNS($AM$1006:BJ1006),$AM$1006:$BM$1006,0)))),"Fix")))</f>
        <v xml:space="preserve"> </v>
      </c>
      <c r="Z372" s="4" t="str">
        <f ca="1">IF(OR(INDEX($AG$2:$AG$1001,MATCH(ROWS($AF$2:AF372),$AF$2:$AF$1001,0),1)&gt;=100000,INDEX($AM$1005:$BM$1005,1,MATCH(COLUMNS($AM$1006:BK1006),$AM$1006:$BM$1006,0))&gt;=100000), " ",IF(INDEX($AM$2:$BM$1001,MATCH(ROWS($AF$2:AF372),$AF$2:$AF$1001,0),MATCH(COLUMNS($AM$1006:BK1006),$AM$1006:$BM$1006,0)), HYPERLINK("#",""), HYPERLINK(CONCATENATE("#metadata!", ADDRESS(INDEX($AH$2:$AH$1001,MATCH(ROWS($AF$2:AF372),$AF$2:$AF$1001,0),0), INDEX($AM$1004:$BM$1004,1,MATCH(COLUMNS($AM$1006:BK1006),$AM$1006:$BM$1006,0)))),"Fix")))</f>
        <v xml:space="preserve"> </v>
      </c>
      <c r="AA372" s="4" t="str">
        <f ca="1">IF(OR(INDEX($AG$2:$AG$1001,MATCH(ROWS($AF$2:AF372),$AF$2:$AF$1001,0),1)&gt;=100000,INDEX($AM$1005:$BM$1005,1,MATCH(COLUMNS($AM$1006:BL1006),$AM$1006:$BM$1006,0))&gt;=100000), " ",IF(INDEX($AM$2:$BM$1001,MATCH(ROWS($AF$2:AF372),$AF$2:$AF$1001,0),MATCH(COLUMNS($AM$1006:BL1006),$AM$1006:$BM$1006,0)), HYPERLINK("#",""), HYPERLINK(CONCATENATE("#metadata!", ADDRESS(INDEX($AH$2:$AH$1001,MATCH(ROWS($AF$2:AF372),$AF$2:$AF$1001,0),0), INDEX($AM$1004:$BM$1004,1,MATCH(COLUMNS($AM$1006:BL1006),$AM$1006:$BM$1006,0)))),"Fix")))</f>
        <v xml:space="preserve"> </v>
      </c>
      <c r="AB372" s="4" t="str">
        <f ca="1">IF(OR(INDEX($AG$2:$AG$1001,MATCH(ROWS($AF$2:AF372),$AF$2:$AF$1001,0),1)&gt;=100000,INDEX($AM$1005:$BM$1005,1,MATCH(COLUMNS($AM$1006:BM1006),$AM$1006:$BM$1006,0))&gt;=100000), " ",IF(INDEX($AM$2:$BM$1001,MATCH(ROWS($AF$2:AF372),$AF$2:$AF$1001,0),MATCH(COLUMNS($AM$1006:BM1006),$AM$1006:$BM$1006,0)), HYPERLINK("#",""), HYPERLINK(CONCATENATE("#metadata!", ADDRESS(INDEX($AH$2:$AH$1001,MATCH(ROWS($AF$2:AF372),$AF$2:$AF$1001,0),0), INDEX($AM$1004:$BM$1004,1,MATCH(COLUMNS($AM$1006:BM1006),$AM$1006:$BM$1006,0)))),"Fix")))</f>
        <v xml:space="preserve"> </v>
      </c>
      <c r="AF372">
        <v>371</v>
      </c>
      <c r="AG372">
        <v>100372</v>
      </c>
      <c r="AH372">
        <v>372</v>
      </c>
      <c r="AI372" t="b">
        <f t="shared" si="5"/>
        <v>1</v>
      </c>
      <c r="AJ372" t="b">
        <f>COUNTBLANK(metadata!B372:AB372)=COLUMNS(metadata!B372:AB372)</f>
        <v>1</v>
      </c>
      <c r="AK372" t="str">
        <v/>
      </c>
      <c r="AM372" t="b">
        <f ca="1">AND(IF(metadata!B372="",FALSE,TRUE),COUNTIF(metadata!B:B, metadata!B372) = 1,NOT(ISERROR(SUMPRODUCT(SEARCH(MID(metadata!B372,ROW(INDIRECT("1:"&amp;LEN(metadata!B372))), 1),"0123456789abcdefghijklmnopqrstuvwxyzABCDEFGHIJKLMNOPQRSTUVWXYZ.")))))</f>
        <v>0</v>
      </c>
      <c r="AN372" t="b">
        <f ca="1">OR(AND(IF(metadata!C372="",FALSE,TRUE),OR(EXACT(metadata!C372,"missing: not collected"),EXACT(metadata!C372,"missing: not provided"),EXACT(metadata!C372,"missing: restricted access"))),AND(IF(metadata!C372="",FALSE,TRUE),AND(AND(IFERROR(INT(LEFT(metadata!C372,4))&gt;1900,FALSE),IFERROR(INT(LEFT(metadata!C372,4))&lt;=YEAR(NOW()),FALSE)), OR(MID(metadata!C372,5,1)="", AND(AND(MID(metadata!C372,5,1)="-",IFERROR(INT(MID(metadata!C372,6,1))&gt;=0,FALSE),IFERROR(INT(MID(metadata!C372,6,1))&lt;=1,FALSE),NOT(MID(metadata!C372,7,1)=""),IFERROR(INT(MID(metadata!C372,6,2))&gt;=1,FALSE),IFERROR(INT(MID(metadata!C372,6,2))&lt;=12,FALSE)), OR(MID(metadata!C372,8,1)="", AND(AND(MID(metadata!C372,8,1)="-",IFERROR(INT(MID(metadata!C372,9,1))&gt;=0,FALSE),IFERROR(INT(MID(metadata!C372,9,1))&lt;=3,FALSE),NOT(MID(metadata!C372,10,1)=""),IFERROR(INT(MID(metadata!C372,9,2))&gt;=1,FALSE),IFERROR(INT(MID(metadata!C372,9,2))&lt;=31,FALSE)), OR(MID(metadata!C372,11,1)="", AND(AND(MID(metadata!C372,11,1)=" ",IFERROR(INT(MID(metadata!C372,12,1))&gt;=0,FALSE),IFERROR(INT(MID(metadata!C372,12,1))&lt;=2,FALSE),NOT(MID(metadata!C372,13,1)=""),IFERROR(INT(MID(metadata!C372,12,2))&gt;=0,FALSE),IFERROR(INT(MID(metadata!C372,12,2))&lt;=23,FALSE)), OR(MID(metadata!C372,14,1)="", AND(AND(MID(metadata!C372,14,1)=":",IFERROR(INT(MID(metadata!C372,15,1))&gt;=0,FALSE),IFERROR(INT(MID(metadata!C372,15,1))&lt;=5,FALSE),NOT(MID(metadata!C372,16,1)=""),IFERROR(INT(MID(metadata!C372,15,2))&gt;=0,FALSE),IFERROR(INT(MID(metadata!C372,15,2))&lt;=59,FALSE)), OR(MID(metadata!C372,17,1)="", AND(AND(MID(metadata!C372,17,1)=":",IFERROR(INT(MID(metadata!C372,18,1))&gt;=0,FALSE),IFERROR(INT(MID(metadata!C372,18,1))&lt;=5,FALSE),NOT(MID(metadata!C372,19,1)=""),IFERROR(INT(MID(metadata!C372,18,2))&gt;=0,FALSE),IFERROR(INT(MID(metadata!C372,18,2))&lt;=59,FALSE)), LEN(metadata!C372)&lt;=19)))))))))))))</f>
        <v>0</v>
      </c>
      <c r="AO372" t="b">
        <f>AND(IF(metadata!D372="",FALSE,TRUE),EXACT(metadata!D372,"Not applicable"))</f>
        <v>0</v>
      </c>
      <c r="AP372" t="b">
        <f>IF(metadata!E372="",FALSE,TRUE)</f>
        <v>0</v>
      </c>
      <c r="AQ372" t="b">
        <f>OR(AND(IF(metadata!F372="",FALSE,TRUE),OR(EXACT(metadata!F372,"missing: not collected"),EXACT(metadata!F372,"missing: not provided"))),AND(IF(metadata!F372="",FALSE,TRUE),OR(EXACT(metadata!F372,"TRUE"),EXACT(metadata!F372,"FALSE"))))</f>
        <v>0</v>
      </c>
      <c r="AR372" t="b">
        <f>OR(AND(IF(metadata!G372="",FALSE,TRUE),OR(EXACT(metadata!G372,"missing: not collected"),EXACT(metadata!G372,"missing: not provided"),EXACT(metadata!G372,"missing: restricted access"))),AND(IF(metadata!G372="",FALSE,ISNUMBER(VALUE(metadata!G372))),metadata!G372&gt;=-413))</f>
        <v>0</v>
      </c>
      <c r="AS372" t="b">
        <f>AND(IF(metadata!H372="",FALSE,TRUE),EXACT(metadata!H372,"meters"))</f>
        <v>0</v>
      </c>
      <c r="AT372" t="b">
        <f>AND(IF(metadata!I372="",FALSE,TRUE),OR(EXACT(metadata!I372,"Host-associated"),EXACT(metadata!I372,"Free-living")))</f>
        <v>0</v>
      </c>
      <c r="AU372" t="b">
        <f>AND(IF(metadata!J372="",FALSE,TRUE),OR(EXACT(metadata!J372,"Animal"),EXACT(metadata!J372,"Fungus"),EXACT(metadata!J372,"Plant"),EXACT(metadata!J372,"Saline"),EXACT(metadata!J372,"Non-saline")))</f>
        <v>0</v>
      </c>
      <c r="AV372" t="b">
        <f>AND(IF(metadata!K372="",FALSE,TRUE),OR(EXACT(metadata!K372,"Plant secretion"),EXACT(metadata!K372,"Plant rhizosphere"),EXACT(metadata!K372,"Plant surface"),EXACT(metadata!K372,"Plant corpus"),EXACT(metadata!K372,"Fungus surface"),EXACT(metadata!K372,"Fungus corpus"),EXACT(metadata!K372,"Animal surface"),EXACT(metadata!K372,"Animal proximal gut"),EXACT(metadata!K372,"Animal corpus"),EXACT(metadata!K372,"Animal distal gut"),EXACT(metadata!K372,"Animal secretion"),EXACT(metadata!K372,"Sub-surface (non-saline)"),EXACT(metadata!K372,"Surface (non-saline)"),EXACT(metadata!K372,"Water (non-saline)"),EXACT(metadata!K372,"Soil (non-saline)"),EXACT(metadata!K372,"Aerosol (non-saline)"),EXACT(metadata!K372,"Sediment (non-saline)"),EXACT(metadata!K372,"Surface (saline)"),EXACT(metadata!K372,"Water (saline)"),EXACT(metadata!K372,"Hypersaline (saline)"),EXACT(metadata!K372,"Aerosol (saline)"),EXACT(metadata!K372,"Sediment (saline)")))</f>
        <v>0</v>
      </c>
      <c r="AW372" t="b">
        <f>IF(metadata!L372="",FALSE,TRUE)</f>
        <v>0</v>
      </c>
      <c r="AX372" t="b">
        <f>IF(metadata!M372="",FALSE,TRUE)</f>
        <v>0</v>
      </c>
      <c r="AY372" t="b">
        <f>IF(metadata!N372="",FALSE,TRUE)</f>
        <v>0</v>
      </c>
      <c r="AZ372" t="b">
        <f>OR(AND(IF(metadata!O372="",FALSE,TRUE),OR(EXACT(metadata!O372,"missing: not collected"),EXACT(metadata!O372,"missing: not provided"),EXACT(metadata!O372,"missing: restricted access"))),AND(IF(metadata!O372="",FALSE,TRUE),OR(EXACT(metadata!O372,"air"),EXACT(metadata!O372,"built environment"),EXACT(metadata!O372,"host-associated"),EXACT(metadata!O372,"human-associated"),EXACT(metadata!O372,"human-skin"),EXACT(metadata!O372,"human-oral"),EXACT(metadata!O372,"human-gut"),EXACT(metadata!O372,"human-vaginal"),EXACT(metadata!O372,"microbial mat/biofilm"),EXACT(metadata!O372,"misc environment"),EXACT(metadata!O372,"plant-associated"),EXACT(metadata!O372,"sediment"),EXACT(metadata!O372,"soil"),EXACT(metadata!O372,"wastewater/sludge"),EXACT(metadata!O372,"water"))))</f>
        <v>0</v>
      </c>
      <c r="BA372" t="b">
        <f>IF(metadata!P372="",FALSE,TRUE)</f>
        <v>0</v>
      </c>
      <c r="BB372" t="b">
        <f>IF(metadata!Q372="",FALSE,TRUE)</f>
        <v>0</v>
      </c>
      <c r="BC372" t="b">
        <f>OR(AND(IF(metadata!R372="",FALSE,TRUE),OR(EXACT(metadata!R372,"missing: not collected"),EXACT(metadata!R372,"missing: not provided"),EXACT(metadata!R372,"missing: restricted access"))),AND(IF(metadata!R372="",FALSE,ISNUMBER(VALUE(metadata!R372))),metadata!R372&gt;=-90,metadata!R372&lt;=90))</f>
        <v>0</v>
      </c>
      <c r="BD372" t="b">
        <f>AND(IF(metadata!S372="",FALSE,TRUE),EXACT(metadata!S372,"Decimal degrees"))</f>
        <v>0</v>
      </c>
      <c r="BE372" t="b">
        <f>OR(AND(IF(metadata!T372="",FALSE,TRUE),OR(EXACT(metadata!T372,"missing: not collected"),EXACT(metadata!T372,"missing: not provided"),EXACT(metadata!T372,"missing: restricted access"))),AND(IF(metadata!T372="",FALSE,ISNUMBER(VALUE(metadata!T372))),metadata!T372&gt;=-180,metadata!T372&lt;=180))</f>
        <v>0</v>
      </c>
      <c r="BF372" t="b">
        <f>AND(IF(metadata!U372="",FALSE,TRUE),EXACT(metadata!U372,"Decimal degrees"))</f>
        <v>0</v>
      </c>
      <c r="BG372" t="b">
        <f>IF(metadata!V372="",FALSE,TRUE)</f>
        <v>0</v>
      </c>
      <c r="BH372" t="b">
        <f>OR(AND(IF(metadata!W372="",FALSE,TRUE),OR(EXACT(metadata!W372,"missing: not collected"),EXACT(metadata!W372,"missing: not provided"),EXACT(metadata!W372,"missing: restricted access"))),AND(IF(metadata!W372="",FALSE,TRUE),OR(EXACT(metadata!W372,"TRUE"),EXACT(metadata!W372,"FALSE"))))</f>
        <v>0</v>
      </c>
      <c r="BI372" t="b">
        <f>AND(IF(metadata!X372="",FALSE,TRUE),EXACT(metadata!X372,"other"))</f>
        <v>0</v>
      </c>
      <c r="BJ372" t="b">
        <f>IF(metadata!Y372="",FALSE,TRUE)</f>
        <v>0</v>
      </c>
      <c r="BK372" t="b">
        <f>OR(AND(IF(metadata!Z372="",FALSE,TRUE),OR(EXACT(metadata!Z372,"missing: not collected"),EXACT(metadata!Z372,"missing: not provided"))),AND(IF(metadata!Z372="",FALSE,IF(ISERROR(INT(metadata!Z372)),FALSE,INT(metadata!Z372)=metadata!Z372)),metadata!Z372&gt;0))</f>
        <v>0</v>
      </c>
      <c r="BL372" t="b">
        <f>AND(IF(metadata!AA372="",FALSE,TRUE),EXACT(metadata!AA372,"Not applicable"))</f>
        <v>0</v>
      </c>
      <c r="BM372" t="b">
        <f>IF(metadata!AB372="",FALSE,TRUE)</f>
        <v>0</v>
      </c>
    </row>
    <row r="373" spans="1:65" x14ac:dyDescent="0.2">
      <c r="A373" s="5" t="str">
        <f ca="1">IF(B373=" "," ",HYPERLINK(CONCATENATE("#metadata!",ADDRESS(INDEX($AH$2:$AH$1001,MATCH(ROWS($AF$2:AF373),$AF$2:$AF$1001,0),0),1)),INDEX($AK$2:$AK$1001,MATCH(ROWS($AF$2:AF373),$AF$2:$AF$1001,0),0)))</f>
        <v xml:space="preserve"> </v>
      </c>
      <c r="B373" s="4" t="str">
        <f ca="1">IF(OR(INDEX($AG$2:$AG$1001,MATCH(ROWS($AF$2:AF373),$AF$2:$AF$1001,0),1)&gt;=100000,INDEX($AM$1005:$BM$1005,1,MATCH(COLUMNS($AM$1006:AM1006),$AM$1006:$BM$1006,0))&gt;=100000), " ",IF(INDEX($AM$2:$BM$1001,MATCH(ROWS($AF$2:AF373),$AF$2:$AF$1001,0),MATCH(COLUMNS($AM$1006:AM1006),$AM$1006:$BM$1006,0)), HYPERLINK("#",""), HYPERLINK(CONCATENATE("#metadata!", ADDRESS(INDEX($AH$2:$AH$1001,MATCH(ROWS($AF$2:AF373),$AF$2:$AF$1001,0),0), INDEX($AM$1004:$BM$1004,1,MATCH(COLUMNS($AM$1006:AM1006),$AM$1006:$BM$1006,0)))),"Fix")))</f>
        <v xml:space="preserve"> </v>
      </c>
      <c r="C373" s="4" t="str">
        <f ca="1">IF(OR(INDEX($AG$2:$AG$1001,MATCH(ROWS($AF$2:AF373),$AF$2:$AF$1001,0),1)&gt;=100000,INDEX($AM$1005:$BM$1005,1,MATCH(COLUMNS($AM$1006:AN1006),$AM$1006:$BM$1006,0))&gt;=100000), " ",IF(INDEX($AM$2:$BM$1001,MATCH(ROWS($AF$2:AF373),$AF$2:$AF$1001,0),MATCH(COLUMNS($AM$1006:AN1006),$AM$1006:$BM$1006,0)), HYPERLINK("#",""), HYPERLINK(CONCATENATE("#metadata!", ADDRESS(INDEX($AH$2:$AH$1001,MATCH(ROWS($AF$2:AF373),$AF$2:$AF$1001,0),0), INDEX($AM$1004:$BM$1004,1,MATCH(COLUMNS($AM$1006:AN1006),$AM$1006:$BM$1006,0)))),"Fix")))</f>
        <v xml:space="preserve"> </v>
      </c>
      <c r="D373" s="4" t="str">
        <f ca="1">IF(OR(INDEX($AG$2:$AG$1001,MATCH(ROWS($AF$2:AF373),$AF$2:$AF$1001,0),1)&gt;=100000,INDEX($AM$1005:$BM$1005,1,MATCH(COLUMNS($AM$1006:AO1006),$AM$1006:$BM$1006,0))&gt;=100000), " ",IF(INDEX($AM$2:$BM$1001,MATCH(ROWS($AF$2:AF373),$AF$2:$AF$1001,0),MATCH(COLUMNS($AM$1006:AO1006),$AM$1006:$BM$1006,0)), HYPERLINK("#",""), HYPERLINK(CONCATENATE("#metadata!", ADDRESS(INDEX($AH$2:$AH$1001,MATCH(ROWS($AF$2:AF373),$AF$2:$AF$1001,0),0), INDEX($AM$1004:$BM$1004,1,MATCH(COLUMNS($AM$1006:AO1006),$AM$1006:$BM$1006,0)))),"Fix")))</f>
        <v xml:space="preserve"> </v>
      </c>
      <c r="E373" s="4" t="str">
        <f ca="1">IF(OR(INDEX($AG$2:$AG$1001,MATCH(ROWS($AF$2:AF373),$AF$2:$AF$1001,0),1)&gt;=100000,INDEX($AM$1005:$BM$1005,1,MATCH(COLUMNS($AM$1006:AP1006),$AM$1006:$BM$1006,0))&gt;=100000), " ",IF(INDEX($AM$2:$BM$1001,MATCH(ROWS($AF$2:AF373),$AF$2:$AF$1001,0),MATCH(COLUMNS($AM$1006:AP1006),$AM$1006:$BM$1006,0)), HYPERLINK("#",""), HYPERLINK(CONCATENATE("#metadata!", ADDRESS(INDEX($AH$2:$AH$1001,MATCH(ROWS($AF$2:AF373),$AF$2:$AF$1001,0),0), INDEX($AM$1004:$BM$1004,1,MATCH(COLUMNS($AM$1006:AP1006),$AM$1006:$BM$1006,0)))),"Fix")))</f>
        <v xml:space="preserve"> </v>
      </c>
      <c r="F373" s="4" t="str">
        <f ca="1">IF(OR(INDEX($AG$2:$AG$1001,MATCH(ROWS($AF$2:AF373),$AF$2:$AF$1001,0),1)&gt;=100000,INDEX($AM$1005:$BM$1005,1,MATCH(COLUMNS($AM$1006:AQ1006),$AM$1006:$BM$1006,0))&gt;=100000), " ",IF(INDEX($AM$2:$BM$1001,MATCH(ROWS($AF$2:AF373),$AF$2:$AF$1001,0),MATCH(COLUMNS($AM$1006:AQ1006),$AM$1006:$BM$1006,0)), HYPERLINK("#",""), HYPERLINK(CONCATENATE("#metadata!", ADDRESS(INDEX($AH$2:$AH$1001,MATCH(ROWS($AF$2:AF373),$AF$2:$AF$1001,0),0), INDEX($AM$1004:$BM$1004,1,MATCH(COLUMNS($AM$1006:AQ1006),$AM$1006:$BM$1006,0)))),"Fix")))</f>
        <v xml:space="preserve"> </v>
      </c>
      <c r="G373" s="4" t="str">
        <f ca="1">IF(OR(INDEX($AG$2:$AG$1001,MATCH(ROWS($AF$2:AF373),$AF$2:$AF$1001,0),1)&gt;=100000,INDEX($AM$1005:$BM$1005,1,MATCH(COLUMNS($AM$1006:AR1006),$AM$1006:$BM$1006,0))&gt;=100000), " ",IF(INDEX($AM$2:$BM$1001,MATCH(ROWS($AF$2:AF373),$AF$2:$AF$1001,0),MATCH(COLUMNS($AM$1006:AR1006),$AM$1006:$BM$1006,0)), HYPERLINK("#",""), HYPERLINK(CONCATENATE("#metadata!", ADDRESS(INDEX($AH$2:$AH$1001,MATCH(ROWS($AF$2:AF373),$AF$2:$AF$1001,0),0), INDEX($AM$1004:$BM$1004,1,MATCH(COLUMNS($AM$1006:AR1006),$AM$1006:$BM$1006,0)))),"Fix")))</f>
        <v xml:space="preserve"> </v>
      </c>
      <c r="H373" s="4" t="str">
        <f ca="1">IF(OR(INDEX($AG$2:$AG$1001,MATCH(ROWS($AF$2:AF373),$AF$2:$AF$1001,0),1)&gt;=100000,INDEX($AM$1005:$BM$1005,1,MATCH(COLUMNS($AM$1006:AS1006),$AM$1006:$BM$1006,0))&gt;=100000), " ",IF(INDEX($AM$2:$BM$1001,MATCH(ROWS($AF$2:AF373),$AF$2:$AF$1001,0),MATCH(COLUMNS($AM$1006:AS1006),$AM$1006:$BM$1006,0)), HYPERLINK("#",""), HYPERLINK(CONCATENATE("#metadata!", ADDRESS(INDEX($AH$2:$AH$1001,MATCH(ROWS($AF$2:AF373),$AF$2:$AF$1001,0),0), INDEX($AM$1004:$BM$1004,1,MATCH(COLUMNS($AM$1006:AS1006),$AM$1006:$BM$1006,0)))),"Fix")))</f>
        <v xml:space="preserve"> </v>
      </c>
      <c r="I373" s="4" t="str">
        <f ca="1">IF(OR(INDEX($AG$2:$AG$1001,MATCH(ROWS($AF$2:AF373),$AF$2:$AF$1001,0),1)&gt;=100000,INDEX($AM$1005:$BM$1005,1,MATCH(COLUMNS($AM$1006:AT1006),$AM$1006:$BM$1006,0))&gt;=100000), " ",IF(INDEX($AM$2:$BM$1001,MATCH(ROWS($AF$2:AF373),$AF$2:$AF$1001,0),MATCH(COLUMNS($AM$1006:AT1006),$AM$1006:$BM$1006,0)), HYPERLINK("#",""), HYPERLINK(CONCATENATE("#metadata!", ADDRESS(INDEX($AH$2:$AH$1001,MATCH(ROWS($AF$2:AF373),$AF$2:$AF$1001,0),0), INDEX($AM$1004:$BM$1004,1,MATCH(COLUMNS($AM$1006:AT1006),$AM$1006:$BM$1006,0)))),"Fix")))</f>
        <v xml:space="preserve"> </v>
      </c>
      <c r="J373" s="4" t="str">
        <f ca="1">IF(OR(INDEX($AG$2:$AG$1001,MATCH(ROWS($AF$2:AF373),$AF$2:$AF$1001,0),1)&gt;=100000,INDEX($AM$1005:$BM$1005,1,MATCH(COLUMNS($AM$1006:AU1006),$AM$1006:$BM$1006,0))&gt;=100000), " ",IF(INDEX($AM$2:$BM$1001,MATCH(ROWS($AF$2:AF373),$AF$2:$AF$1001,0),MATCH(COLUMNS($AM$1006:AU1006),$AM$1006:$BM$1006,0)), HYPERLINK("#",""), HYPERLINK(CONCATENATE("#metadata!", ADDRESS(INDEX($AH$2:$AH$1001,MATCH(ROWS($AF$2:AF373),$AF$2:$AF$1001,0),0), INDEX($AM$1004:$BM$1004,1,MATCH(COLUMNS($AM$1006:AU1006),$AM$1006:$BM$1006,0)))),"Fix")))</f>
        <v xml:space="preserve"> </v>
      </c>
      <c r="K373" s="4" t="str">
        <f ca="1">IF(OR(INDEX($AG$2:$AG$1001,MATCH(ROWS($AF$2:AF373),$AF$2:$AF$1001,0),1)&gt;=100000,INDEX($AM$1005:$BM$1005,1,MATCH(COLUMNS($AM$1006:AV1006),$AM$1006:$BM$1006,0))&gt;=100000), " ",IF(INDEX($AM$2:$BM$1001,MATCH(ROWS($AF$2:AF373),$AF$2:$AF$1001,0),MATCH(COLUMNS($AM$1006:AV1006),$AM$1006:$BM$1006,0)), HYPERLINK("#",""), HYPERLINK(CONCATENATE("#metadata!", ADDRESS(INDEX($AH$2:$AH$1001,MATCH(ROWS($AF$2:AF373),$AF$2:$AF$1001,0),0), INDEX($AM$1004:$BM$1004,1,MATCH(COLUMNS($AM$1006:AV1006),$AM$1006:$BM$1006,0)))),"Fix")))</f>
        <v xml:space="preserve"> </v>
      </c>
      <c r="L373" s="4" t="str">
        <f ca="1">IF(OR(INDEX($AG$2:$AG$1001,MATCH(ROWS($AF$2:AF373),$AF$2:$AF$1001,0),1)&gt;=100000,INDEX($AM$1005:$BM$1005,1,MATCH(COLUMNS($AM$1006:AW1006),$AM$1006:$BM$1006,0))&gt;=100000), " ",IF(INDEX($AM$2:$BM$1001,MATCH(ROWS($AF$2:AF373),$AF$2:$AF$1001,0),MATCH(COLUMNS($AM$1006:AW1006),$AM$1006:$BM$1006,0)), HYPERLINK("#",""), HYPERLINK(CONCATENATE("#metadata!", ADDRESS(INDEX($AH$2:$AH$1001,MATCH(ROWS($AF$2:AF373),$AF$2:$AF$1001,0),0), INDEX($AM$1004:$BM$1004,1,MATCH(COLUMNS($AM$1006:AW1006),$AM$1006:$BM$1006,0)))),"Fix")))</f>
        <v xml:space="preserve"> </v>
      </c>
      <c r="M373" s="4" t="str">
        <f ca="1">IF(OR(INDEX($AG$2:$AG$1001,MATCH(ROWS($AF$2:AF373),$AF$2:$AF$1001,0),1)&gt;=100000,INDEX($AM$1005:$BM$1005,1,MATCH(COLUMNS($AM$1006:AX1006),$AM$1006:$BM$1006,0))&gt;=100000), " ",IF(INDEX($AM$2:$BM$1001,MATCH(ROWS($AF$2:AF373),$AF$2:$AF$1001,0),MATCH(COLUMNS($AM$1006:AX1006),$AM$1006:$BM$1006,0)), HYPERLINK("#",""), HYPERLINK(CONCATENATE("#metadata!", ADDRESS(INDEX($AH$2:$AH$1001,MATCH(ROWS($AF$2:AF373),$AF$2:$AF$1001,0),0), INDEX($AM$1004:$BM$1004,1,MATCH(COLUMNS($AM$1006:AX1006),$AM$1006:$BM$1006,0)))),"Fix")))</f>
        <v xml:space="preserve"> </v>
      </c>
      <c r="N373" s="4" t="str">
        <f ca="1">IF(OR(INDEX($AG$2:$AG$1001,MATCH(ROWS($AF$2:AF373),$AF$2:$AF$1001,0),1)&gt;=100000,INDEX($AM$1005:$BM$1005,1,MATCH(COLUMNS($AM$1006:AY1006),$AM$1006:$BM$1006,0))&gt;=100000), " ",IF(INDEX($AM$2:$BM$1001,MATCH(ROWS($AF$2:AF373),$AF$2:$AF$1001,0),MATCH(COLUMNS($AM$1006:AY1006),$AM$1006:$BM$1006,0)), HYPERLINK("#",""), HYPERLINK(CONCATENATE("#metadata!", ADDRESS(INDEX($AH$2:$AH$1001,MATCH(ROWS($AF$2:AF373),$AF$2:$AF$1001,0),0), INDEX($AM$1004:$BM$1004,1,MATCH(COLUMNS($AM$1006:AY1006),$AM$1006:$BM$1006,0)))),"Fix")))</f>
        <v xml:space="preserve"> </v>
      </c>
      <c r="O373" s="4" t="str">
        <f ca="1">IF(OR(INDEX($AG$2:$AG$1001,MATCH(ROWS($AF$2:AF373),$AF$2:$AF$1001,0),1)&gt;=100000,INDEX($AM$1005:$BM$1005,1,MATCH(COLUMNS($AM$1006:AZ1006),$AM$1006:$BM$1006,0))&gt;=100000), " ",IF(INDEX($AM$2:$BM$1001,MATCH(ROWS($AF$2:AF373),$AF$2:$AF$1001,0),MATCH(COLUMNS($AM$1006:AZ1006),$AM$1006:$BM$1006,0)), HYPERLINK("#",""), HYPERLINK(CONCATENATE("#metadata!", ADDRESS(INDEX($AH$2:$AH$1001,MATCH(ROWS($AF$2:AF373),$AF$2:$AF$1001,0),0), INDEX($AM$1004:$BM$1004,1,MATCH(COLUMNS($AM$1006:AZ1006),$AM$1006:$BM$1006,0)))),"Fix")))</f>
        <v xml:space="preserve"> </v>
      </c>
      <c r="P373" s="4" t="str">
        <f ca="1">IF(OR(INDEX($AG$2:$AG$1001,MATCH(ROWS($AF$2:AF373),$AF$2:$AF$1001,0),1)&gt;=100000,INDEX($AM$1005:$BM$1005,1,MATCH(COLUMNS($AM$1006:BA1006),$AM$1006:$BM$1006,0))&gt;=100000), " ",IF(INDEX($AM$2:$BM$1001,MATCH(ROWS($AF$2:AF373),$AF$2:$AF$1001,0),MATCH(COLUMNS($AM$1006:BA1006),$AM$1006:$BM$1006,0)), HYPERLINK("#",""), HYPERLINK(CONCATENATE("#metadata!", ADDRESS(INDEX($AH$2:$AH$1001,MATCH(ROWS($AF$2:AF373),$AF$2:$AF$1001,0),0), INDEX($AM$1004:$BM$1004,1,MATCH(COLUMNS($AM$1006:BA1006),$AM$1006:$BM$1006,0)))),"Fix")))</f>
        <v xml:space="preserve"> </v>
      </c>
      <c r="Q373" s="4" t="str">
        <f ca="1">IF(OR(INDEX($AG$2:$AG$1001,MATCH(ROWS($AF$2:AF373),$AF$2:$AF$1001,0),1)&gt;=100000,INDEX($AM$1005:$BM$1005,1,MATCH(COLUMNS($AM$1006:BB1006),$AM$1006:$BM$1006,0))&gt;=100000), " ",IF(INDEX($AM$2:$BM$1001,MATCH(ROWS($AF$2:AF373),$AF$2:$AF$1001,0),MATCH(COLUMNS($AM$1006:BB1006),$AM$1006:$BM$1006,0)), HYPERLINK("#",""), HYPERLINK(CONCATENATE("#metadata!", ADDRESS(INDEX($AH$2:$AH$1001,MATCH(ROWS($AF$2:AF373),$AF$2:$AF$1001,0),0), INDEX($AM$1004:$BM$1004,1,MATCH(COLUMNS($AM$1006:BB1006),$AM$1006:$BM$1006,0)))),"Fix")))</f>
        <v xml:space="preserve"> </v>
      </c>
      <c r="R373" s="4" t="str">
        <f ca="1">IF(OR(INDEX($AG$2:$AG$1001,MATCH(ROWS($AF$2:AF373),$AF$2:$AF$1001,0),1)&gt;=100000,INDEX($AM$1005:$BM$1005,1,MATCH(COLUMNS($AM$1006:BC1006),$AM$1006:$BM$1006,0))&gt;=100000), " ",IF(INDEX($AM$2:$BM$1001,MATCH(ROWS($AF$2:AF373),$AF$2:$AF$1001,0),MATCH(COLUMNS($AM$1006:BC1006),$AM$1006:$BM$1006,0)), HYPERLINK("#",""), HYPERLINK(CONCATENATE("#metadata!", ADDRESS(INDEX($AH$2:$AH$1001,MATCH(ROWS($AF$2:AF373),$AF$2:$AF$1001,0),0), INDEX($AM$1004:$BM$1004,1,MATCH(COLUMNS($AM$1006:BC1006),$AM$1006:$BM$1006,0)))),"Fix")))</f>
        <v xml:space="preserve"> </v>
      </c>
      <c r="S373" s="4" t="str">
        <f ca="1">IF(OR(INDEX($AG$2:$AG$1001,MATCH(ROWS($AF$2:AF373),$AF$2:$AF$1001,0),1)&gt;=100000,INDEX($AM$1005:$BM$1005,1,MATCH(COLUMNS($AM$1006:BD1006),$AM$1006:$BM$1006,0))&gt;=100000), " ",IF(INDEX($AM$2:$BM$1001,MATCH(ROWS($AF$2:AF373),$AF$2:$AF$1001,0),MATCH(COLUMNS($AM$1006:BD1006),$AM$1006:$BM$1006,0)), HYPERLINK("#",""), HYPERLINK(CONCATENATE("#metadata!", ADDRESS(INDEX($AH$2:$AH$1001,MATCH(ROWS($AF$2:AF373),$AF$2:$AF$1001,0),0), INDEX($AM$1004:$BM$1004,1,MATCH(COLUMNS($AM$1006:BD1006),$AM$1006:$BM$1006,0)))),"Fix")))</f>
        <v xml:space="preserve"> </v>
      </c>
      <c r="T373" s="4" t="str">
        <f ca="1">IF(OR(INDEX($AG$2:$AG$1001,MATCH(ROWS($AF$2:AF373),$AF$2:$AF$1001,0),1)&gt;=100000,INDEX($AM$1005:$BM$1005,1,MATCH(COLUMNS($AM$1006:BE1006),$AM$1006:$BM$1006,0))&gt;=100000), " ",IF(INDEX($AM$2:$BM$1001,MATCH(ROWS($AF$2:AF373),$AF$2:$AF$1001,0),MATCH(COLUMNS($AM$1006:BE1006),$AM$1006:$BM$1006,0)), HYPERLINK("#",""), HYPERLINK(CONCATENATE("#metadata!", ADDRESS(INDEX($AH$2:$AH$1001,MATCH(ROWS($AF$2:AF373),$AF$2:$AF$1001,0),0), INDEX($AM$1004:$BM$1004,1,MATCH(COLUMNS($AM$1006:BE1006),$AM$1006:$BM$1006,0)))),"Fix")))</f>
        <v xml:space="preserve"> </v>
      </c>
      <c r="U373" s="4" t="str">
        <f ca="1">IF(OR(INDEX($AG$2:$AG$1001,MATCH(ROWS($AF$2:AF373),$AF$2:$AF$1001,0),1)&gt;=100000,INDEX($AM$1005:$BM$1005,1,MATCH(COLUMNS($AM$1006:BF1006),$AM$1006:$BM$1006,0))&gt;=100000), " ",IF(INDEX($AM$2:$BM$1001,MATCH(ROWS($AF$2:AF373),$AF$2:$AF$1001,0),MATCH(COLUMNS($AM$1006:BF1006),$AM$1006:$BM$1006,0)), HYPERLINK("#",""), HYPERLINK(CONCATENATE("#metadata!", ADDRESS(INDEX($AH$2:$AH$1001,MATCH(ROWS($AF$2:AF373),$AF$2:$AF$1001,0),0), INDEX($AM$1004:$BM$1004,1,MATCH(COLUMNS($AM$1006:BF1006),$AM$1006:$BM$1006,0)))),"Fix")))</f>
        <v xml:space="preserve"> </v>
      </c>
      <c r="V373" s="4" t="str">
        <f ca="1">IF(OR(INDEX($AG$2:$AG$1001,MATCH(ROWS($AF$2:AF373),$AF$2:$AF$1001,0),1)&gt;=100000,INDEX($AM$1005:$BM$1005,1,MATCH(COLUMNS($AM$1006:BG1006),$AM$1006:$BM$1006,0))&gt;=100000), " ",IF(INDEX($AM$2:$BM$1001,MATCH(ROWS($AF$2:AF373),$AF$2:$AF$1001,0),MATCH(COLUMNS($AM$1006:BG1006),$AM$1006:$BM$1006,0)), HYPERLINK("#",""), HYPERLINK(CONCATENATE("#metadata!", ADDRESS(INDEX($AH$2:$AH$1001,MATCH(ROWS($AF$2:AF373),$AF$2:$AF$1001,0),0), INDEX($AM$1004:$BM$1004,1,MATCH(COLUMNS($AM$1006:BG1006),$AM$1006:$BM$1006,0)))),"Fix")))</f>
        <v xml:space="preserve"> </v>
      </c>
      <c r="W373" s="4" t="str">
        <f ca="1">IF(OR(INDEX($AG$2:$AG$1001,MATCH(ROWS($AF$2:AF373),$AF$2:$AF$1001,0),1)&gt;=100000,INDEX($AM$1005:$BM$1005,1,MATCH(COLUMNS($AM$1006:BH1006),$AM$1006:$BM$1006,0))&gt;=100000), " ",IF(INDEX($AM$2:$BM$1001,MATCH(ROWS($AF$2:AF373),$AF$2:$AF$1001,0),MATCH(COLUMNS($AM$1006:BH1006),$AM$1006:$BM$1006,0)), HYPERLINK("#",""), HYPERLINK(CONCATENATE("#metadata!", ADDRESS(INDEX($AH$2:$AH$1001,MATCH(ROWS($AF$2:AF373),$AF$2:$AF$1001,0),0), INDEX($AM$1004:$BM$1004,1,MATCH(COLUMNS($AM$1006:BH1006),$AM$1006:$BM$1006,0)))),"Fix")))</f>
        <v xml:space="preserve"> </v>
      </c>
      <c r="X373" s="4" t="str">
        <f ca="1">IF(OR(INDEX($AG$2:$AG$1001,MATCH(ROWS($AF$2:AF373),$AF$2:$AF$1001,0),1)&gt;=100000,INDEX($AM$1005:$BM$1005,1,MATCH(COLUMNS($AM$1006:BI1006),$AM$1006:$BM$1006,0))&gt;=100000), " ",IF(INDEX($AM$2:$BM$1001,MATCH(ROWS($AF$2:AF373),$AF$2:$AF$1001,0),MATCH(COLUMNS($AM$1006:BI1006),$AM$1006:$BM$1006,0)), HYPERLINK("#",""), HYPERLINK(CONCATENATE("#metadata!", ADDRESS(INDEX($AH$2:$AH$1001,MATCH(ROWS($AF$2:AF373),$AF$2:$AF$1001,0),0), INDEX($AM$1004:$BM$1004,1,MATCH(COLUMNS($AM$1006:BI1006),$AM$1006:$BM$1006,0)))),"Fix")))</f>
        <v xml:space="preserve"> </v>
      </c>
      <c r="Y373" s="4" t="str">
        <f ca="1">IF(OR(INDEX($AG$2:$AG$1001,MATCH(ROWS($AF$2:AF373),$AF$2:$AF$1001,0),1)&gt;=100000,INDEX($AM$1005:$BM$1005,1,MATCH(COLUMNS($AM$1006:BJ1006),$AM$1006:$BM$1006,0))&gt;=100000), " ",IF(INDEX($AM$2:$BM$1001,MATCH(ROWS($AF$2:AF373),$AF$2:$AF$1001,0),MATCH(COLUMNS($AM$1006:BJ1006),$AM$1006:$BM$1006,0)), HYPERLINK("#",""), HYPERLINK(CONCATENATE("#metadata!", ADDRESS(INDEX($AH$2:$AH$1001,MATCH(ROWS($AF$2:AF373),$AF$2:$AF$1001,0),0), INDEX($AM$1004:$BM$1004,1,MATCH(COLUMNS($AM$1006:BJ1006),$AM$1006:$BM$1006,0)))),"Fix")))</f>
        <v xml:space="preserve"> </v>
      </c>
      <c r="Z373" s="4" t="str">
        <f ca="1">IF(OR(INDEX($AG$2:$AG$1001,MATCH(ROWS($AF$2:AF373),$AF$2:$AF$1001,0),1)&gt;=100000,INDEX($AM$1005:$BM$1005,1,MATCH(COLUMNS($AM$1006:BK1006),$AM$1006:$BM$1006,0))&gt;=100000), " ",IF(INDEX($AM$2:$BM$1001,MATCH(ROWS($AF$2:AF373),$AF$2:$AF$1001,0),MATCH(COLUMNS($AM$1006:BK1006),$AM$1006:$BM$1006,0)), HYPERLINK("#",""), HYPERLINK(CONCATENATE("#metadata!", ADDRESS(INDEX($AH$2:$AH$1001,MATCH(ROWS($AF$2:AF373),$AF$2:$AF$1001,0),0), INDEX($AM$1004:$BM$1004,1,MATCH(COLUMNS($AM$1006:BK1006),$AM$1006:$BM$1006,0)))),"Fix")))</f>
        <v xml:space="preserve"> </v>
      </c>
      <c r="AA373" s="4" t="str">
        <f ca="1">IF(OR(INDEX($AG$2:$AG$1001,MATCH(ROWS($AF$2:AF373),$AF$2:$AF$1001,0),1)&gt;=100000,INDEX($AM$1005:$BM$1005,1,MATCH(COLUMNS($AM$1006:BL1006),$AM$1006:$BM$1006,0))&gt;=100000), " ",IF(INDEX($AM$2:$BM$1001,MATCH(ROWS($AF$2:AF373),$AF$2:$AF$1001,0),MATCH(COLUMNS($AM$1006:BL1006),$AM$1006:$BM$1006,0)), HYPERLINK("#",""), HYPERLINK(CONCATENATE("#metadata!", ADDRESS(INDEX($AH$2:$AH$1001,MATCH(ROWS($AF$2:AF373),$AF$2:$AF$1001,0),0), INDEX($AM$1004:$BM$1004,1,MATCH(COLUMNS($AM$1006:BL1006),$AM$1006:$BM$1006,0)))),"Fix")))</f>
        <v xml:space="preserve"> </v>
      </c>
      <c r="AB373" s="4" t="str">
        <f ca="1">IF(OR(INDEX($AG$2:$AG$1001,MATCH(ROWS($AF$2:AF373),$AF$2:$AF$1001,0),1)&gt;=100000,INDEX($AM$1005:$BM$1005,1,MATCH(COLUMNS($AM$1006:BM1006),$AM$1006:$BM$1006,0))&gt;=100000), " ",IF(INDEX($AM$2:$BM$1001,MATCH(ROWS($AF$2:AF373),$AF$2:$AF$1001,0),MATCH(COLUMNS($AM$1006:BM1006),$AM$1006:$BM$1006,0)), HYPERLINK("#",""), HYPERLINK(CONCATENATE("#metadata!", ADDRESS(INDEX($AH$2:$AH$1001,MATCH(ROWS($AF$2:AF373),$AF$2:$AF$1001,0),0), INDEX($AM$1004:$BM$1004,1,MATCH(COLUMNS($AM$1006:BM1006),$AM$1006:$BM$1006,0)))),"Fix")))</f>
        <v xml:space="preserve"> </v>
      </c>
      <c r="AF373">
        <v>372</v>
      </c>
      <c r="AG373">
        <v>100373</v>
      </c>
      <c r="AH373">
        <v>373</v>
      </c>
      <c r="AI373" t="b">
        <f t="shared" si="5"/>
        <v>1</v>
      </c>
      <c r="AJ373" t="b">
        <f>COUNTBLANK(metadata!B373:AB373)=COLUMNS(metadata!B373:AB373)</f>
        <v>1</v>
      </c>
      <c r="AK373" t="str">
        <v/>
      </c>
      <c r="AM373" t="b">
        <f ca="1">AND(IF(metadata!B373="",FALSE,TRUE),COUNTIF(metadata!B:B, metadata!B373) = 1,NOT(ISERROR(SUMPRODUCT(SEARCH(MID(metadata!B373,ROW(INDIRECT("1:"&amp;LEN(metadata!B373))), 1),"0123456789abcdefghijklmnopqrstuvwxyzABCDEFGHIJKLMNOPQRSTUVWXYZ.")))))</f>
        <v>0</v>
      </c>
      <c r="AN373" t="b">
        <f ca="1">OR(AND(IF(metadata!C373="",FALSE,TRUE),OR(EXACT(metadata!C373,"missing: not collected"),EXACT(metadata!C373,"missing: not provided"),EXACT(metadata!C373,"missing: restricted access"))),AND(IF(metadata!C373="",FALSE,TRUE),AND(AND(IFERROR(INT(LEFT(metadata!C373,4))&gt;1900,FALSE),IFERROR(INT(LEFT(metadata!C373,4))&lt;=YEAR(NOW()),FALSE)), OR(MID(metadata!C373,5,1)="", AND(AND(MID(metadata!C373,5,1)="-",IFERROR(INT(MID(metadata!C373,6,1))&gt;=0,FALSE),IFERROR(INT(MID(metadata!C373,6,1))&lt;=1,FALSE),NOT(MID(metadata!C373,7,1)=""),IFERROR(INT(MID(metadata!C373,6,2))&gt;=1,FALSE),IFERROR(INT(MID(metadata!C373,6,2))&lt;=12,FALSE)), OR(MID(metadata!C373,8,1)="", AND(AND(MID(metadata!C373,8,1)="-",IFERROR(INT(MID(metadata!C373,9,1))&gt;=0,FALSE),IFERROR(INT(MID(metadata!C373,9,1))&lt;=3,FALSE),NOT(MID(metadata!C373,10,1)=""),IFERROR(INT(MID(metadata!C373,9,2))&gt;=1,FALSE),IFERROR(INT(MID(metadata!C373,9,2))&lt;=31,FALSE)), OR(MID(metadata!C373,11,1)="", AND(AND(MID(metadata!C373,11,1)=" ",IFERROR(INT(MID(metadata!C373,12,1))&gt;=0,FALSE),IFERROR(INT(MID(metadata!C373,12,1))&lt;=2,FALSE),NOT(MID(metadata!C373,13,1)=""),IFERROR(INT(MID(metadata!C373,12,2))&gt;=0,FALSE),IFERROR(INT(MID(metadata!C373,12,2))&lt;=23,FALSE)), OR(MID(metadata!C373,14,1)="", AND(AND(MID(metadata!C373,14,1)=":",IFERROR(INT(MID(metadata!C373,15,1))&gt;=0,FALSE),IFERROR(INT(MID(metadata!C373,15,1))&lt;=5,FALSE),NOT(MID(metadata!C373,16,1)=""),IFERROR(INT(MID(metadata!C373,15,2))&gt;=0,FALSE),IFERROR(INT(MID(metadata!C373,15,2))&lt;=59,FALSE)), OR(MID(metadata!C373,17,1)="", AND(AND(MID(metadata!C373,17,1)=":",IFERROR(INT(MID(metadata!C373,18,1))&gt;=0,FALSE),IFERROR(INT(MID(metadata!C373,18,1))&lt;=5,FALSE),NOT(MID(metadata!C373,19,1)=""),IFERROR(INT(MID(metadata!C373,18,2))&gt;=0,FALSE),IFERROR(INT(MID(metadata!C373,18,2))&lt;=59,FALSE)), LEN(metadata!C373)&lt;=19)))))))))))))</f>
        <v>0</v>
      </c>
      <c r="AO373" t="b">
        <f>AND(IF(metadata!D373="",FALSE,TRUE),EXACT(metadata!D373,"Not applicable"))</f>
        <v>0</v>
      </c>
      <c r="AP373" t="b">
        <f>IF(metadata!E373="",FALSE,TRUE)</f>
        <v>0</v>
      </c>
      <c r="AQ373" t="b">
        <f>OR(AND(IF(metadata!F373="",FALSE,TRUE),OR(EXACT(metadata!F373,"missing: not collected"),EXACT(metadata!F373,"missing: not provided"))),AND(IF(metadata!F373="",FALSE,TRUE),OR(EXACT(metadata!F373,"TRUE"),EXACT(metadata!F373,"FALSE"))))</f>
        <v>0</v>
      </c>
      <c r="AR373" t="b">
        <f>OR(AND(IF(metadata!G373="",FALSE,TRUE),OR(EXACT(metadata!G373,"missing: not collected"),EXACT(metadata!G373,"missing: not provided"),EXACT(metadata!G373,"missing: restricted access"))),AND(IF(metadata!G373="",FALSE,ISNUMBER(VALUE(metadata!G373))),metadata!G373&gt;=-413))</f>
        <v>0</v>
      </c>
      <c r="AS373" t="b">
        <f>AND(IF(metadata!H373="",FALSE,TRUE),EXACT(metadata!H373,"meters"))</f>
        <v>0</v>
      </c>
      <c r="AT373" t="b">
        <f>AND(IF(metadata!I373="",FALSE,TRUE),OR(EXACT(metadata!I373,"Host-associated"),EXACT(metadata!I373,"Free-living")))</f>
        <v>0</v>
      </c>
      <c r="AU373" t="b">
        <f>AND(IF(metadata!J373="",FALSE,TRUE),OR(EXACT(metadata!J373,"Animal"),EXACT(metadata!J373,"Fungus"),EXACT(metadata!J373,"Plant"),EXACT(metadata!J373,"Saline"),EXACT(metadata!J373,"Non-saline")))</f>
        <v>0</v>
      </c>
      <c r="AV373" t="b">
        <f>AND(IF(metadata!K373="",FALSE,TRUE),OR(EXACT(metadata!K373,"Plant secretion"),EXACT(metadata!K373,"Plant rhizosphere"),EXACT(metadata!K373,"Plant surface"),EXACT(metadata!K373,"Plant corpus"),EXACT(metadata!K373,"Fungus surface"),EXACT(metadata!K373,"Fungus corpus"),EXACT(metadata!K373,"Animal surface"),EXACT(metadata!K373,"Animal proximal gut"),EXACT(metadata!K373,"Animal corpus"),EXACT(metadata!K373,"Animal distal gut"),EXACT(metadata!K373,"Animal secretion"),EXACT(metadata!K373,"Sub-surface (non-saline)"),EXACT(metadata!K373,"Surface (non-saline)"),EXACT(metadata!K373,"Water (non-saline)"),EXACT(metadata!K373,"Soil (non-saline)"),EXACT(metadata!K373,"Aerosol (non-saline)"),EXACT(metadata!K373,"Sediment (non-saline)"),EXACT(metadata!K373,"Surface (saline)"),EXACT(metadata!K373,"Water (saline)"),EXACT(metadata!K373,"Hypersaline (saline)"),EXACT(metadata!K373,"Aerosol (saline)"),EXACT(metadata!K373,"Sediment (saline)")))</f>
        <v>0</v>
      </c>
      <c r="AW373" t="b">
        <f>IF(metadata!L373="",FALSE,TRUE)</f>
        <v>0</v>
      </c>
      <c r="AX373" t="b">
        <f>IF(metadata!M373="",FALSE,TRUE)</f>
        <v>0</v>
      </c>
      <c r="AY373" t="b">
        <f>IF(metadata!N373="",FALSE,TRUE)</f>
        <v>0</v>
      </c>
      <c r="AZ373" t="b">
        <f>OR(AND(IF(metadata!O373="",FALSE,TRUE),OR(EXACT(metadata!O373,"missing: not collected"),EXACT(metadata!O373,"missing: not provided"),EXACT(metadata!O373,"missing: restricted access"))),AND(IF(metadata!O373="",FALSE,TRUE),OR(EXACT(metadata!O373,"air"),EXACT(metadata!O373,"built environment"),EXACT(metadata!O373,"host-associated"),EXACT(metadata!O373,"human-associated"),EXACT(metadata!O373,"human-skin"),EXACT(metadata!O373,"human-oral"),EXACT(metadata!O373,"human-gut"),EXACT(metadata!O373,"human-vaginal"),EXACT(metadata!O373,"microbial mat/biofilm"),EXACT(metadata!O373,"misc environment"),EXACT(metadata!O373,"plant-associated"),EXACT(metadata!O373,"sediment"),EXACT(metadata!O373,"soil"),EXACT(metadata!O373,"wastewater/sludge"),EXACT(metadata!O373,"water"))))</f>
        <v>0</v>
      </c>
      <c r="BA373" t="b">
        <f>IF(metadata!P373="",FALSE,TRUE)</f>
        <v>0</v>
      </c>
      <c r="BB373" t="b">
        <f>IF(metadata!Q373="",FALSE,TRUE)</f>
        <v>0</v>
      </c>
      <c r="BC373" t="b">
        <f>OR(AND(IF(metadata!R373="",FALSE,TRUE),OR(EXACT(metadata!R373,"missing: not collected"),EXACT(metadata!R373,"missing: not provided"),EXACT(metadata!R373,"missing: restricted access"))),AND(IF(metadata!R373="",FALSE,ISNUMBER(VALUE(metadata!R373))),metadata!R373&gt;=-90,metadata!R373&lt;=90))</f>
        <v>0</v>
      </c>
      <c r="BD373" t="b">
        <f>AND(IF(metadata!S373="",FALSE,TRUE),EXACT(metadata!S373,"Decimal degrees"))</f>
        <v>0</v>
      </c>
      <c r="BE373" t="b">
        <f>OR(AND(IF(metadata!T373="",FALSE,TRUE),OR(EXACT(metadata!T373,"missing: not collected"),EXACT(metadata!T373,"missing: not provided"),EXACT(metadata!T373,"missing: restricted access"))),AND(IF(metadata!T373="",FALSE,ISNUMBER(VALUE(metadata!T373))),metadata!T373&gt;=-180,metadata!T373&lt;=180))</f>
        <v>0</v>
      </c>
      <c r="BF373" t="b">
        <f>AND(IF(metadata!U373="",FALSE,TRUE),EXACT(metadata!U373,"Decimal degrees"))</f>
        <v>0</v>
      </c>
      <c r="BG373" t="b">
        <f>IF(metadata!V373="",FALSE,TRUE)</f>
        <v>0</v>
      </c>
      <c r="BH373" t="b">
        <f>OR(AND(IF(metadata!W373="",FALSE,TRUE),OR(EXACT(metadata!W373,"missing: not collected"),EXACT(metadata!W373,"missing: not provided"),EXACT(metadata!W373,"missing: restricted access"))),AND(IF(metadata!W373="",FALSE,TRUE),OR(EXACT(metadata!W373,"TRUE"),EXACT(metadata!W373,"FALSE"))))</f>
        <v>0</v>
      </c>
      <c r="BI373" t="b">
        <f>AND(IF(metadata!X373="",FALSE,TRUE),EXACT(metadata!X373,"other"))</f>
        <v>0</v>
      </c>
      <c r="BJ373" t="b">
        <f>IF(metadata!Y373="",FALSE,TRUE)</f>
        <v>0</v>
      </c>
      <c r="BK373" t="b">
        <f>OR(AND(IF(metadata!Z373="",FALSE,TRUE),OR(EXACT(metadata!Z373,"missing: not collected"),EXACT(metadata!Z373,"missing: not provided"))),AND(IF(metadata!Z373="",FALSE,IF(ISERROR(INT(metadata!Z373)),FALSE,INT(metadata!Z373)=metadata!Z373)),metadata!Z373&gt;0))</f>
        <v>0</v>
      </c>
      <c r="BL373" t="b">
        <f>AND(IF(metadata!AA373="",FALSE,TRUE),EXACT(metadata!AA373,"Not applicable"))</f>
        <v>0</v>
      </c>
      <c r="BM373" t="b">
        <f>IF(metadata!AB373="",FALSE,TRUE)</f>
        <v>0</v>
      </c>
    </row>
    <row r="374" spans="1:65" x14ac:dyDescent="0.2">
      <c r="A374" s="5" t="str">
        <f ca="1">IF(B374=" "," ",HYPERLINK(CONCATENATE("#metadata!",ADDRESS(INDEX($AH$2:$AH$1001,MATCH(ROWS($AF$2:AF374),$AF$2:$AF$1001,0),0),1)),INDEX($AK$2:$AK$1001,MATCH(ROWS($AF$2:AF374),$AF$2:$AF$1001,0),0)))</f>
        <v xml:space="preserve"> </v>
      </c>
      <c r="B374" s="4" t="str">
        <f ca="1">IF(OR(INDEX($AG$2:$AG$1001,MATCH(ROWS($AF$2:AF374),$AF$2:$AF$1001,0),1)&gt;=100000,INDEX($AM$1005:$BM$1005,1,MATCH(COLUMNS($AM$1006:AM1006),$AM$1006:$BM$1006,0))&gt;=100000), " ",IF(INDEX($AM$2:$BM$1001,MATCH(ROWS($AF$2:AF374),$AF$2:$AF$1001,0),MATCH(COLUMNS($AM$1006:AM1006),$AM$1006:$BM$1006,0)), HYPERLINK("#",""), HYPERLINK(CONCATENATE("#metadata!", ADDRESS(INDEX($AH$2:$AH$1001,MATCH(ROWS($AF$2:AF374),$AF$2:$AF$1001,0),0), INDEX($AM$1004:$BM$1004,1,MATCH(COLUMNS($AM$1006:AM1006),$AM$1006:$BM$1006,0)))),"Fix")))</f>
        <v xml:space="preserve"> </v>
      </c>
      <c r="C374" s="4" t="str">
        <f ca="1">IF(OR(INDEX($AG$2:$AG$1001,MATCH(ROWS($AF$2:AF374),$AF$2:$AF$1001,0),1)&gt;=100000,INDEX($AM$1005:$BM$1005,1,MATCH(COLUMNS($AM$1006:AN1006),$AM$1006:$BM$1006,0))&gt;=100000), " ",IF(INDEX($AM$2:$BM$1001,MATCH(ROWS($AF$2:AF374),$AF$2:$AF$1001,0),MATCH(COLUMNS($AM$1006:AN1006),$AM$1006:$BM$1006,0)), HYPERLINK("#",""), HYPERLINK(CONCATENATE("#metadata!", ADDRESS(INDEX($AH$2:$AH$1001,MATCH(ROWS($AF$2:AF374),$AF$2:$AF$1001,0),0), INDEX($AM$1004:$BM$1004,1,MATCH(COLUMNS($AM$1006:AN1006),$AM$1006:$BM$1006,0)))),"Fix")))</f>
        <v xml:space="preserve"> </v>
      </c>
      <c r="D374" s="4" t="str">
        <f ca="1">IF(OR(INDEX($AG$2:$AG$1001,MATCH(ROWS($AF$2:AF374),$AF$2:$AF$1001,0),1)&gt;=100000,INDEX($AM$1005:$BM$1005,1,MATCH(COLUMNS($AM$1006:AO1006),$AM$1006:$BM$1006,0))&gt;=100000), " ",IF(INDEX($AM$2:$BM$1001,MATCH(ROWS($AF$2:AF374),$AF$2:$AF$1001,0),MATCH(COLUMNS($AM$1006:AO1006),$AM$1006:$BM$1006,0)), HYPERLINK("#",""), HYPERLINK(CONCATENATE("#metadata!", ADDRESS(INDEX($AH$2:$AH$1001,MATCH(ROWS($AF$2:AF374),$AF$2:$AF$1001,0),0), INDEX($AM$1004:$BM$1004,1,MATCH(COLUMNS($AM$1006:AO1006),$AM$1006:$BM$1006,0)))),"Fix")))</f>
        <v xml:space="preserve"> </v>
      </c>
      <c r="E374" s="4" t="str">
        <f ca="1">IF(OR(INDEX($AG$2:$AG$1001,MATCH(ROWS($AF$2:AF374),$AF$2:$AF$1001,0),1)&gt;=100000,INDEX($AM$1005:$BM$1005,1,MATCH(COLUMNS($AM$1006:AP1006),$AM$1006:$BM$1006,0))&gt;=100000), " ",IF(INDEX($AM$2:$BM$1001,MATCH(ROWS($AF$2:AF374),$AF$2:$AF$1001,0),MATCH(COLUMNS($AM$1006:AP1006),$AM$1006:$BM$1006,0)), HYPERLINK("#",""), HYPERLINK(CONCATENATE("#metadata!", ADDRESS(INDEX($AH$2:$AH$1001,MATCH(ROWS($AF$2:AF374),$AF$2:$AF$1001,0),0), INDEX($AM$1004:$BM$1004,1,MATCH(COLUMNS($AM$1006:AP1006),$AM$1006:$BM$1006,0)))),"Fix")))</f>
        <v xml:space="preserve"> </v>
      </c>
      <c r="F374" s="4" t="str">
        <f ca="1">IF(OR(INDEX($AG$2:$AG$1001,MATCH(ROWS($AF$2:AF374),$AF$2:$AF$1001,0),1)&gt;=100000,INDEX($AM$1005:$BM$1005,1,MATCH(COLUMNS($AM$1006:AQ1006),$AM$1006:$BM$1006,0))&gt;=100000), " ",IF(INDEX($AM$2:$BM$1001,MATCH(ROWS($AF$2:AF374),$AF$2:$AF$1001,0),MATCH(COLUMNS($AM$1006:AQ1006),$AM$1006:$BM$1006,0)), HYPERLINK("#",""), HYPERLINK(CONCATENATE("#metadata!", ADDRESS(INDEX($AH$2:$AH$1001,MATCH(ROWS($AF$2:AF374),$AF$2:$AF$1001,0),0), INDEX($AM$1004:$BM$1004,1,MATCH(COLUMNS($AM$1006:AQ1006),$AM$1006:$BM$1006,0)))),"Fix")))</f>
        <v xml:space="preserve"> </v>
      </c>
      <c r="G374" s="4" t="str">
        <f ca="1">IF(OR(INDEX($AG$2:$AG$1001,MATCH(ROWS($AF$2:AF374),$AF$2:$AF$1001,0),1)&gt;=100000,INDEX($AM$1005:$BM$1005,1,MATCH(COLUMNS($AM$1006:AR1006),$AM$1006:$BM$1006,0))&gt;=100000), " ",IF(INDEX($AM$2:$BM$1001,MATCH(ROWS($AF$2:AF374),$AF$2:$AF$1001,0),MATCH(COLUMNS($AM$1006:AR1006),$AM$1006:$BM$1006,0)), HYPERLINK("#",""), HYPERLINK(CONCATENATE("#metadata!", ADDRESS(INDEX($AH$2:$AH$1001,MATCH(ROWS($AF$2:AF374),$AF$2:$AF$1001,0),0), INDEX($AM$1004:$BM$1004,1,MATCH(COLUMNS($AM$1006:AR1006),$AM$1006:$BM$1006,0)))),"Fix")))</f>
        <v xml:space="preserve"> </v>
      </c>
      <c r="H374" s="4" t="str">
        <f ca="1">IF(OR(INDEX($AG$2:$AG$1001,MATCH(ROWS($AF$2:AF374),$AF$2:$AF$1001,0),1)&gt;=100000,INDEX($AM$1005:$BM$1005,1,MATCH(COLUMNS($AM$1006:AS1006),$AM$1006:$BM$1006,0))&gt;=100000), " ",IF(INDEX($AM$2:$BM$1001,MATCH(ROWS($AF$2:AF374),$AF$2:$AF$1001,0),MATCH(COLUMNS($AM$1006:AS1006),$AM$1006:$BM$1006,0)), HYPERLINK("#",""), HYPERLINK(CONCATENATE("#metadata!", ADDRESS(INDEX($AH$2:$AH$1001,MATCH(ROWS($AF$2:AF374),$AF$2:$AF$1001,0),0), INDEX($AM$1004:$BM$1004,1,MATCH(COLUMNS($AM$1006:AS1006),$AM$1006:$BM$1006,0)))),"Fix")))</f>
        <v xml:space="preserve"> </v>
      </c>
      <c r="I374" s="4" t="str">
        <f ca="1">IF(OR(INDEX($AG$2:$AG$1001,MATCH(ROWS($AF$2:AF374),$AF$2:$AF$1001,0),1)&gt;=100000,INDEX($AM$1005:$BM$1005,1,MATCH(COLUMNS($AM$1006:AT1006),$AM$1006:$BM$1006,0))&gt;=100000), " ",IF(INDEX($AM$2:$BM$1001,MATCH(ROWS($AF$2:AF374),$AF$2:$AF$1001,0),MATCH(COLUMNS($AM$1006:AT1006),$AM$1006:$BM$1006,0)), HYPERLINK("#",""), HYPERLINK(CONCATENATE("#metadata!", ADDRESS(INDEX($AH$2:$AH$1001,MATCH(ROWS($AF$2:AF374),$AF$2:$AF$1001,0),0), INDEX($AM$1004:$BM$1004,1,MATCH(COLUMNS($AM$1006:AT1006),$AM$1006:$BM$1006,0)))),"Fix")))</f>
        <v xml:space="preserve"> </v>
      </c>
      <c r="J374" s="4" t="str">
        <f ca="1">IF(OR(INDEX($AG$2:$AG$1001,MATCH(ROWS($AF$2:AF374),$AF$2:$AF$1001,0),1)&gt;=100000,INDEX($AM$1005:$BM$1005,1,MATCH(COLUMNS($AM$1006:AU1006),$AM$1006:$BM$1006,0))&gt;=100000), " ",IF(INDEX($AM$2:$BM$1001,MATCH(ROWS($AF$2:AF374),$AF$2:$AF$1001,0),MATCH(COLUMNS($AM$1006:AU1006),$AM$1006:$BM$1006,0)), HYPERLINK("#",""), HYPERLINK(CONCATENATE("#metadata!", ADDRESS(INDEX($AH$2:$AH$1001,MATCH(ROWS($AF$2:AF374),$AF$2:$AF$1001,0),0), INDEX($AM$1004:$BM$1004,1,MATCH(COLUMNS($AM$1006:AU1006),$AM$1006:$BM$1006,0)))),"Fix")))</f>
        <v xml:space="preserve"> </v>
      </c>
      <c r="K374" s="4" t="str">
        <f ca="1">IF(OR(INDEX($AG$2:$AG$1001,MATCH(ROWS($AF$2:AF374),$AF$2:$AF$1001,0),1)&gt;=100000,INDEX($AM$1005:$BM$1005,1,MATCH(COLUMNS($AM$1006:AV1006),$AM$1006:$BM$1006,0))&gt;=100000), " ",IF(INDEX($AM$2:$BM$1001,MATCH(ROWS($AF$2:AF374),$AF$2:$AF$1001,0),MATCH(COLUMNS($AM$1006:AV1006),$AM$1006:$BM$1006,0)), HYPERLINK("#",""), HYPERLINK(CONCATENATE("#metadata!", ADDRESS(INDEX($AH$2:$AH$1001,MATCH(ROWS($AF$2:AF374),$AF$2:$AF$1001,0),0), INDEX($AM$1004:$BM$1004,1,MATCH(COLUMNS($AM$1006:AV1006),$AM$1006:$BM$1006,0)))),"Fix")))</f>
        <v xml:space="preserve"> </v>
      </c>
      <c r="L374" s="4" t="str">
        <f ca="1">IF(OR(INDEX($AG$2:$AG$1001,MATCH(ROWS($AF$2:AF374),$AF$2:$AF$1001,0),1)&gt;=100000,INDEX($AM$1005:$BM$1005,1,MATCH(COLUMNS($AM$1006:AW1006),$AM$1006:$BM$1006,0))&gt;=100000), " ",IF(INDEX($AM$2:$BM$1001,MATCH(ROWS($AF$2:AF374),$AF$2:$AF$1001,0),MATCH(COLUMNS($AM$1006:AW1006),$AM$1006:$BM$1006,0)), HYPERLINK("#",""), HYPERLINK(CONCATENATE("#metadata!", ADDRESS(INDEX($AH$2:$AH$1001,MATCH(ROWS($AF$2:AF374),$AF$2:$AF$1001,0),0), INDEX($AM$1004:$BM$1004,1,MATCH(COLUMNS($AM$1006:AW1006),$AM$1006:$BM$1006,0)))),"Fix")))</f>
        <v xml:space="preserve"> </v>
      </c>
      <c r="M374" s="4" t="str">
        <f ca="1">IF(OR(INDEX($AG$2:$AG$1001,MATCH(ROWS($AF$2:AF374),$AF$2:$AF$1001,0),1)&gt;=100000,INDEX($AM$1005:$BM$1005,1,MATCH(COLUMNS($AM$1006:AX1006),$AM$1006:$BM$1006,0))&gt;=100000), " ",IF(INDEX($AM$2:$BM$1001,MATCH(ROWS($AF$2:AF374),$AF$2:$AF$1001,0),MATCH(COLUMNS($AM$1006:AX1006),$AM$1006:$BM$1006,0)), HYPERLINK("#",""), HYPERLINK(CONCATENATE("#metadata!", ADDRESS(INDEX($AH$2:$AH$1001,MATCH(ROWS($AF$2:AF374),$AF$2:$AF$1001,0),0), INDEX($AM$1004:$BM$1004,1,MATCH(COLUMNS($AM$1006:AX1006),$AM$1006:$BM$1006,0)))),"Fix")))</f>
        <v xml:space="preserve"> </v>
      </c>
      <c r="N374" s="4" t="str">
        <f ca="1">IF(OR(INDEX($AG$2:$AG$1001,MATCH(ROWS($AF$2:AF374),$AF$2:$AF$1001,0),1)&gt;=100000,INDEX($AM$1005:$BM$1005,1,MATCH(COLUMNS($AM$1006:AY1006),$AM$1006:$BM$1006,0))&gt;=100000), " ",IF(INDEX($AM$2:$BM$1001,MATCH(ROWS($AF$2:AF374),$AF$2:$AF$1001,0),MATCH(COLUMNS($AM$1006:AY1006),$AM$1006:$BM$1006,0)), HYPERLINK("#",""), HYPERLINK(CONCATENATE("#metadata!", ADDRESS(INDEX($AH$2:$AH$1001,MATCH(ROWS($AF$2:AF374),$AF$2:$AF$1001,0),0), INDEX($AM$1004:$BM$1004,1,MATCH(COLUMNS($AM$1006:AY1006),$AM$1006:$BM$1006,0)))),"Fix")))</f>
        <v xml:space="preserve"> </v>
      </c>
      <c r="O374" s="4" t="str">
        <f ca="1">IF(OR(INDEX($AG$2:$AG$1001,MATCH(ROWS($AF$2:AF374),$AF$2:$AF$1001,0),1)&gt;=100000,INDEX($AM$1005:$BM$1005,1,MATCH(COLUMNS($AM$1006:AZ1006),$AM$1006:$BM$1006,0))&gt;=100000), " ",IF(INDEX($AM$2:$BM$1001,MATCH(ROWS($AF$2:AF374),$AF$2:$AF$1001,0),MATCH(COLUMNS($AM$1006:AZ1006),$AM$1006:$BM$1006,0)), HYPERLINK("#",""), HYPERLINK(CONCATENATE("#metadata!", ADDRESS(INDEX($AH$2:$AH$1001,MATCH(ROWS($AF$2:AF374),$AF$2:$AF$1001,0),0), INDEX($AM$1004:$BM$1004,1,MATCH(COLUMNS($AM$1006:AZ1006),$AM$1006:$BM$1006,0)))),"Fix")))</f>
        <v xml:space="preserve"> </v>
      </c>
      <c r="P374" s="4" t="str">
        <f ca="1">IF(OR(INDEX($AG$2:$AG$1001,MATCH(ROWS($AF$2:AF374),$AF$2:$AF$1001,0),1)&gt;=100000,INDEX($AM$1005:$BM$1005,1,MATCH(COLUMNS($AM$1006:BA1006),$AM$1006:$BM$1006,0))&gt;=100000), " ",IF(INDEX($AM$2:$BM$1001,MATCH(ROWS($AF$2:AF374),$AF$2:$AF$1001,0),MATCH(COLUMNS($AM$1006:BA1006),$AM$1006:$BM$1006,0)), HYPERLINK("#",""), HYPERLINK(CONCATENATE("#metadata!", ADDRESS(INDEX($AH$2:$AH$1001,MATCH(ROWS($AF$2:AF374),$AF$2:$AF$1001,0),0), INDEX($AM$1004:$BM$1004,1,MATCH(COLUMNS($AM$1006:BA1006),$AM$1006:$BM$1006,0)))),"Fix")))</f>
        <v xml:space="preserve"> </v>
      </c>
      <c r="Q374" s="4" t="str">
        <f ca="1">IF(OR(INDEX($AG$2:$AG$1001,MATCH(ROWS($AF$2:AF374),$AF$2:$AF$1001,0),1)&gt;=100000,INDEX($AM$1005:$BM$1005,1,MATCH(COLUMNS($AM$1006:BB1006),$AM$1006:$BM$1006,0))&gt;=100000), " ",IF(INDEX($AM$2:$BM$1001,MATCH(ROWS($AF$2:AF374),$AF$2:$AF$1001,0),MATCH(COLUMNS($AM$1006:BB1006),$AM$1006:$BM$1006,0)), HYPERLINK("#",""), HYPERLINK(CONCATENATE("#metadata!", ADDRESS(INDEX($AH$2:$AH$1001,MATCH(ROWS($AF$2:AF374),$AF$2:$AF$1001,0),0), INDEX($AM$1004:$BM$1004,1,MATCH(COLUMNS($AM$1006:BB1006),$AM$1006:$BM$1006,0)))),"Fix")))</f>
        <v xml:space="preserve"> </v>
      </c>
      <c r="R374" s="4" t="str">
        <f ca="1">IF(OR(INDEX($AG$2:$AG$1001,MATCH(ROWS($AF$2:AF374),$AF$2:$AF$1001,0),1)&gt;=100000,INDEX($AM$1005:$BM$1005,1,MATCH(COLUMNS($AM$1006:BC1006),$AM$1006:$BM$1006,0))&gt;=100000), " ",IF(INDEX($AM$2:$BM$1001,MATCH(ROWS($AF$2:AF374),$AF$2:$AF$1001,0),MATCH(COLUMNS($AM$1006:BC1006),$AM$1006:$BM$1006,0)), HYPERLINK("#",""), HYPERLINK(CONCATENATE("#metadata!", ADDRESS(INDEX($AH$2:$AH$1001,MATCH(ROWS($AF$2:AF374),$AF$2:$AF$1001,0),0), INDEX($AM$1004:$BM$1004,1,MATCH(COLUMNS($AM$1006:BC1006),$AM$1006:$BM$1006,0)))),"Fix")))</f>
        <v xml:space="preserve"> </v>
      </c>
      <c r="S374" s="4" t="str">
        <f ca="1">IF(OR(INDEX($AG$2:$AG$1001,MATCH(ROWS($AF$2:AF374),$AF$2:$AF$1001,0),1)&gt;=100000,INDEX($AM$1005:$BM$1005,1,MATCH(COLUMNS($AM$1006:BD1006),$AM$1006:$BM$1006,0))&gt;=100000), " ",IF(INDEX($AM$2:$BM$1001,MATCH(ROWS($AF$2:AF374),$AF$2:$AF$1001,0),MATCH(COLUMNS($AM$1006:BD1006),$AM$1006:$BM$1006,0)), HYPERLINK("#",""), HYPERLINK(CONCATENATE("#metadata!", ADDRESS(INDEX($AH$2:$AH$1001,MATCH(ROWS($AF$2:AF374),$AF$2:$AF$1001,0),0), INDEX($AM$1004:$BM$1004,1,MATCH(COLUMNS($AM$1006:BD1006),$AM$1006:$BM$1006,0)))),"Fix")))</f>
        <v xml:space="preserve"> </v>
      </c>
      <c r="T374" s="4" t="str">
        <f ca="1">IF(OR(INDEX($AG$2:$AG$1001,MATCH(ROWS($AF$2:AF374),$AF$2:$AF$1001,0),1)&gt;=100000,INDEX($AM$1005:$BM$1005,1,MATCH(COLUMNS($AM$1006:BE1006),$AM$1006:$BM$1006,0))&gt;=100000), " ",IF(INDEX($AM$2:$BM$1001,MATCH(ROWS($AF$2:AF374),$AF$2:$AF$1001,0),MATCH(COLUMNS($AM$1006:BE1006),$AM$1006:$BM$1006,0)), HYPERLINK("#",""), HYPERLINK(CONCATENATE("#metadata!", ADDRESS(INDEX($AH$2:$AH$1001,MATCH(ROWS($AF$2:AF374),$AF$2:$AF$1001,0),0), INDEX($AM$1004:$BM$1004,1,MATCH(COLUMNS($AM$1006:BE1006),$AM$1006:$BM$1006,0)))),"Fix")))</f>
        <v xml:space="preserve"> </v>
      </c>
      <c r="U374" s="4" t="str">
        <f ca="1">IF(OR(INDEX($AG$2:$AG$1001,MATCH(ROWS($AF$2:AF374),$AF$2:$AF$1001,0),1)&gt;=100000,INDEX($AM$1005:$BM$1005,1,MATCH(COLUMNS($AM$1006:BF1006),$AM$1006:$BM$1006,0))&gt;=100000), " ",IF(INDEX($AM$2:$BM$1001,MATCH(ROWS($AF$2:AF374),$AF$2:$AF$1001,0),MATCH(COLUMNS($AM$1006:BF1006),$AM$1006:$BM$1006,0)), HYPERLINK("#",""), HYPERLINK(CONCATENATE("#metadata!", ADDRESS(INDEX($AH$2:$AH$1001,MATCH(ROWS($AF$2:AF374),$AF$2:$AF$1001,0),0), INDEX($AM$1004:$BM$1004,1,MATCH(COLUMNS($AM$1006:BF1006),$AM$1006:$BM$1006,0)))),"Fix")))</f>
        <v xml:space="preserve"> </v>
      </c>
      <c r="V374" s="4" t="str">
        <f ca="1">IF(OR(INDEX($AG$2:$AG$1001,MATCH(ROWS($AF$2:AF374),$AF$2:$AF$1001,0),1)&gt;=100000,INDEX($AM$1005:$BM$1005,1,MATCH(COLUMNS($AM$1006:BG1006),$AM$1006:$BM$1006,0))&gt;=100000), " ",IF(INDEX($AM$2:$BM$1001,MATCH(ROWS($AF$2:AF374),$AF$2:$AF$1001,0),MATCH(COLUMNS($AM$1006:BG1006),$AM$1006:$BM$1006,0)), HYPERLINK("#",""), HYPERLINK(CONCATENATE("#metadata!", ADDRESS(INDEX($AH$2:$AH$1001,MATCH(ROWS($AF$2:AF374),$AF$2:$AF$1001,0),0), INDEX($AM$1004:$BM$1004,1,MATCH(COLUMNS($AM$1006:BG1006),$AM$1006:$BM$1006,0)))),"Fix")))</f>
        <v xml:space="preserve"> </v>
      </c>
      <c r="W374" s="4" t="str">
        <f ca="1">IF(OR(INDEX($AG$2:$AG$1001,MATCH(ROWS($AF$2:AF374),$AF$2:$AF$1001,0),1)&gt;=100000,INDEX($AM$1005:$BM$1005,1,MATCH(COLUMNS($AM$1006:BH1006),$AM$1006:$BM$1006,0))&gt;=100000), " ",IF(INDEX($AM$2:$BM$1001,MATCH(ROWS($AF$2:AF374),$AF$2:$AF$1001,0),MATCH(COLUMNS($AM$1006:BH1006),$AM$1006:$BM$1006,0)), HYPERLINK("#",""), HYPERLINK(CONCATENATE("#metadata!", ADDRESS(INDEX($AH$2:$AH$1001,MATCH(ROWS($AF$2:AF374),$AF$2:$AF$1001,0),0), INDEX($AM$1004:$BM$1004,1,MATCH(COLUMNS($AM$1006:BH1006),$AM$1006:$BM$1006,0)))),"Fix")))</f>
        <v xml:space="preserve"> </v>
      </c>
      <c r="X374" s="4" t="str">
        <f ca="1">IF(OR(INDEX($AG$2:$AG$1001,MATCH(ROWS($AF$2:AF374),$AF$2:$AF$1001,0),1)&gt;=100000,INDEX($AM$1005:$BM$1005,1,MATCH(COLUMNS($AM$1006:BI1006),$AM$1006:$BM$1006,0))&gt;=100000), " ",IF(INDEX($AM$2:$BM$1001,MATCH(ROWS($AF$2:AF374),$AF$2:$AF$1001,0),MATCH(COLUMNS($AM$1006:BI1006),$AM$1006:$BM$1006,0)), HYPERLINK("#",""), HYPERLINK(CONCATENATE("#metadata!", ADDRESS(INDEX($AH$2:$AH$1001,MATCH(ROWS($AF$2:AF374),$AF$2:$AF$1001,0),0), INDEX($AM$1004:$BM$1004,1,MATCH(COLUMNS($AM$1006:BI1006),$AM$1006:$BM$1006,0)))),"Fix")))</f>
        <v xml:space="preserve"> </v>
      </c>
      <c r="Y374" s="4" t="str">
        <f ca="1">IF(OR(INDEX($AG$2:$AG$1001,MATCH(ROWS($AF$2:AF374),$AF$2:$AF$1001,0),1)&gt;=100000,INDEX($AM$1005:$BM$1005,1,MATCH(COLUMNS($AM$1006:BJ1006),$AM$1006:$BM$1006,0))&gt;=100000), " ",IF(INDEX($AM$2:$BM$1001,MATCH(ROWS($AF$2:AF374),$AF$2:$AF$1001,0),MATCH(COLUMNS($AM$1006:BJ1006),$AM$1006:$BM$1006,0)), HYPERLINK("#",""), HYPERLINK(CONCATENATE("#metadata!", ADDRESS(INDEX($AH$2:$AH$1001,MATCH(ROWS($AF$2:AF374),$AF$2:$AF$1001,0),0), INDEX($AM$1004:$BM$1004,1,MATCH(COLUMNS($AM$1006:BJ1006),$AM$1006:$BM$1006,0)))),"Fix")))</f>
        <v xml:space="preserve"> </v>
      </c>
      <c r="Z374" s="4" t="str">
        <f ca="1">IF(OR(INDEX($AG$2:$AG$1001,MATCH(ROWS($AF$2:AF374),$AF$2:$AF$1001,0),1)&gt;=100000,INDEX($AM$1005:$BM$1005,1,MATCH(COLUMNS($AM$1006:BK1006),$AM$1006:$BM$1006,0))&gt;=100000), " ",IF(INDEX($AM$2:$BM$1001,MATCH(ROWS($AF$2:AF374),$AF$2:$AF$1001,0),MATCH(COLUMNS($AM$1006:BK1006),$AM$1006:$BM$1006,0)), HYPERLINK("#",""), HYPERLINK(CONCATENATE("#metadata!", ADDRESS(INDEX($AH$2:$AH$1001,MATCH(ROWS($AF$2:AF374),$AF$2:$AF$1001,0),0), INDEX($AM$1004:$BM$1004,1,MATCH(COLUMNS($AM$1006:BK1006),$AM$1006:$BM$1006,0)))),"Fix")))</f>
        <v xml:space="preserve"> </v>
      </c>
      <c r="AA374" s="4" t="str">
        <f ca="1">IF(OR(INDEX($AG$2:$AG$1001,MATCH(ROWS($AF$2:AF374),$AF$2:$AF$1001,0),1)&gt;=100000,INDEX($AM$1005:$BM$1005,1,MATCH(COLUMNS($AM$1006:BL1006),$AM$1006:$BM$1006,0))&gt;=100000), " ",IF(INDEX($AM$2:$BM$1001,MATCH(ROWS($AF$2:AF374),$AF$2:$AF$1001,0),MATCH(COLUMNS($AM$1006:BL1006),$AM$1006:$BM$1006,0)), HYPERLINK("#",""), HYPERLINK(CONCATENATE("#metadata!", ADDRESS(INDEX($AH$2:$AH$1001,MATCH(ROWS($AF$2:AF374),$AF$2:$AF$1001,0),0), INDEX($AM$1004:$BM$1004,1,MATCH(COLUMNS($AM$1006:BL1006),$AM$1006:$BM$1006,0)))),"Fix")))</f>
        <v xml:space="preserve"> </v>
      </c>
      <c r="AB374" s="4" t="str">
        <f ca="1">IF(OR(INDEX($AG$2:$AG$1001,MATCH(ROWS($AF$2:AF374),$AF$2:$AF$1001,0),1)&gt;=100000,INDEX($AM$1005:$BM$1005,1,MATCH(COLUMNS($AM$1006:BM1006),$AM$1006:$BM$1006,0))&gt;=100000), " ",IF(INDEX($AM$2:$BM$1001,MATCH(ROWS($AF$2:AF374),$AF$2:$AF$1001,0),MATCH(COLUMNS($AM$1006:BM1006),$AM$1006:$BM$1006,0)), HYPERLINK("#",""), HYPERLINK(CONCATENATE("#metadata!", ADDRESS(INDEX($AH$2:$AH$1001,MATCH(ROWS($AF$2:AF374),$AF$2:$AF$1001,0),0), INDEX($AM$1004:$BM$1004,1,MATCH(COLUMNS($AM$1006:BM1006),$AM$1006:$BM$1006,0)))),"Fix")))</f>
        <v xml:space="preserve"> </v>
      </c>
      <c r="AF374">
        <v>373</v>
      </c>
      <c r="AG374">
        <v>100374</v>
      </c>
      <c r="AH374">
        <v>374</v>
      </c>
      <c r="AI374" t="b">
        <f t="shared" si="5"/>
        <v>1</v>
      </c>
      <c r="AJ374" t="b">
        <f>COUNTBLANK(metadata!B374:AB374)=COLUMNS(metadata!B374:AB374)</f>
        <v>1</v>
      </c>
      <c r="AK374" t="str">
        <v/>
      </c>
      <c r="AM374" t="b">
        <f ca="1">AND(IF(metadata!B374="",FALSE,TRUE),COUNTIF(metadata!B:B, metadata!B374) = 1,NOT(ISERROR(SUMPRODUCT(SEARCH(MID(metadata!B374,ROW(INDIRECT("1:"&amp;LEN(metadata!B374))), 1),"0123456789abcdefghijklmnopqrstuvwxyzABCDEFGHIJKLMNOPQRSTUVWXYZ.")))))</f>
        <v>0</v>
      </c>
      <c r="AN374" t="b">
        <f ca="1">OR(AND(IF(metadata!C374="",FALSE,TRUE),OR(EXACT(metadata!C374,"missing: not collected"),EXACT(metadata!C374,"missing: not provided"),EXACT(metadata!C374,"missing: restricted access"))),AND(IF(metadata!C374="",FALSE,TRUE),AND(AND(IFERROR(INT(LEFT(metadata!C374,4))&gt;1900,FALSE),IFERROR(INT(LEFT(metadata!C374,4))&lt;=YEAR(NOW()),FALSE)), OR(MID(metadata!C374,5,1)="", AND(AND(MID(metadata!C374,5,1)="-",IFERROR(INT(MID(metadata!C374,6,1))&gt;=0,FALSE),IFERROR(INT(MID(metadata!C374,6,1))&lt;=1,FALSE),NOT(MID(metadata!C374,7,1)=""),IFERROR(INT(MID(metadata!C374,6,2))&gt;=1,FALSE),IFERROR(INT(MID(metadata!C374,6,2))&lt;=12,FALSE)), OR(MID(metadata!C374,8,1)="", AND(AND(MID(metadata!C374,8,1)="-",IFERROR(INT(MID(metadata!C374,9,1))&gt;=0,FALSE),IFERROR(INT(MID(metadata!C374,9,1))&lt;=3,FALSE),NOT(MID(metadata!C374,10,1)=""),IFERROR(INT(MID(metadata!C374,9,2))&gt;=1,FALSE),IFERROR(INT(MID(metadata!C374,9,2))&lt;=31,FALSE)), OR(MID(metadata!C374,11,1)="", AND(AND(MID(metadata!C374,11,1)=" ",IFERROR(INT(MID(metadata!C374,12,1))&gt;=0,FALSE),IFERROR(INT(MID(metadata!C374,12,1))&lt;=2,FALSE),NOT(MID(metadata!C374,13,1)=""),IFERROR(INT(MID(metadata!C374,12,2))&gt;=0,FALSE),IFERROR(INT(MID(metadata!C374,12,2))&lt;=23,FALSE)), OR(MID(metadata!C374,14,1)="", AND(AND(MID(metadata!C374,14,1)=":",IFERROR(INT(MID(metadata!C374,15,1))&gt;=0,FALSE),IFERROR(INT(MID(metadata!C374,15,1))&lt;=5,FALSE),NOT(MID(metadata!C374,16,1)=""),IFERROR(INT(MID(metadata!C374,15,2))&gt;=0,FALSE),IFERROR(INT(MID(metadata!C374,15,2))&lt;=59,FALSE)), OR(MID(metadata!C374,17,1)="", AND(AND(MID(metadata!C374,17,1)=":",IFERROR(INT(MID(metadata!C374,18,1))&gt;=0,FALSE),IFERROR(INT(MID(metadata!C374,18,1))&lt;=5,FALSE),NOT(MID(metadata!C374,19,1)=""),IFERROR(INT(MID(metadata!C374,18,2))&gt;=0,FALSE),IFERROR(INT(MID(metadata!C374,18,2))&lt;=59,FALSE)), LEN(metadata!C374)&lt;=19)))))))))))))</f>
        <v>0</v>
      </c>
      <c r="AO374" t="b">
        <f>AND(IF(metadata!D374="",FALSE,TRUE),EXACT(metadata!D374,"Not applicable"))</f>
        <v>0</v>
      </c>
      <c r="AP374" t="b">
        <f>IF(metadata!E374="",FALSE,TRUE)</f>
        <v>0</v>
      </c>
      <c r="AQ374" t="b">
        <f>OR(AND(IF(metadata!F374="",FALSE,TRUE),OR(EXACT(metadata!F374,"missing: not collected"),EXACT(metadata!F374,"missing: not provided"))),AND(IF(metadata!F374="",FALSE,TRUE),OR(EXACT(metadata!F374,"TRUE"),EXACT(metadata!F374,"FALSE"))))</f>
        <v>0</v>
      </c>
      <c r="AR374" t="b">
        <f>OR(AND(IF(metadata!G374="",FALSE,TRUE),OR(EXACT(metadata!G374,"missing: not collected"),EXACT(metadata!G374,"missing: not provided"),EXACT(metadata!G374,"missing: restricted access"))),AND(IF(metadata!G374="",FALSE,ISNUMBER(VALUE(metadata!G374))),metadata!G374&gt;=-413))</f>
        <v>0</v>
      </c>
      <c r="AS374" t="b">
        <f>AND(IF(metadata!H374="",FALSE,TRUE),EXACT(metadata!H374,"meters"))</f>
        <v>0</v>
      </c>
      <c r="AT374" t="b">
        <f>AND(IF(metadata!I374="",FALSE,TRUE),OR(EXACT(metadata!I374,"Host-associated"),EXACT(metadata!I374,"Free-living")))</f>
        <v>0</v>
      </c>
      <c r="AU374" t="b">
        <f>AND(IF(metadata!J374="",FALSE,TRUE),OR(EXACT(metadata!J374,"Animal"),EXACT(metadata!J374,"Fungus"),EXACT(metadata!J374,"Plant"),EXACT(metadata!J374,"Saline"),EXACT(metadata!J374,"Non-saline")))</f>
        <v>0</v>
      </c>
      <c r="AV374" t="b">
        <f>AND(IF(metadata!K374="",FALSE,TRUE),OR(EXACT(metadata!K374,"Plant secretion"),EXACT(metadata!K374,"Plant rhizosphere"),EXACT(metadata!K374,"Plant surface"),EXACT(metadata!K374,"Plant corpus"),EXACT(metadata!K374,"Fungus surface"),EXACT(metadata!K374,"Fungus corpus"),EXACT(metadata!K374,"Animal surface"),EXACT(metadata!K374,"Animal proximal gut"),EXACT(metadata!K374,"Animal corpus"),EXACT(metadata!K374,"Animal distal gut"),EXACT(metadata!K374,"Animal secretion"),EXACT(metadata!K374,"Sub-surface (non-saline)"),EXACT(metadata!K374,"Surface (non-saline)"),EXACT(metadata!K374,"Water (non-saline)"),EXACT(metadata!K374,"Soil (non-saline)"),EXACT(metadata!K374,"Aerosol (non-saline)"),EXACT(metadata!K374,"Sediment (non-saline)"),EXACT(metadata!K374,"Surface (saline)"),EXACT(metadata!K374,"Water (saline)"),EXACT(metadata!K374,"Hypersaline (saline)"),EXACT(metadata!K374,"Aerosol (saline)"),EXACT(metadata!K374,"Sediment (saline)")))</f>
        <v>0</v>
      </c>
      <c r="AW374" t="b">
        <f>IF(metadata!L374="",FALSE,TRUE)</f>
        <v>0</v>
      </c>
      <c r="AX374" t="b">
        <f>IF(metadata!M374="",FALSE,TRUE)</f>
        <v>0</v>
      </c>
      <c r="AY374" t="b">
        <f>IF(metadata!N374="",FALSE,TRUE)</f>
        <v>0</v>
      </c>
      <c r="AZ374" t="b">
        <f>OR(AND(IF(metadata!O374="",FALSE,TRUE),OR(EXACT(metadata!O374,"missing: not collected"),EXACT(metadata!O374,"missing: not provided"),EXACT(metadata!O374,"missing: restricted access"))),AND(IF(metadata!O374="",FALSE,TRUE),OR(EXACT(metadata!O374,"air"),EXACT(metadata!O374,"built environment"),EXACT(metadata!O374,"host-associated"),EXACT(metadata!O374,"human-associated"),EXACT(metadata!O374,"human-skin"),EXACT(metadata!O374,"human-oral"),EXACT(metadata!O374,"human-gut"),EXACT(metadata!O374,"human-vaginal"),EXACT(metadata!O374,"microbial mat/biofilm"),EXACT(metadata!O374,"misc environment"),EXACT(metadata!O374,"plant-associated"),EXACT(metadata!O374,"sediment"),EXACT(metadata!O374,"soil"),EXACT(metadata!O374,"wastewater/sludge"),EXACT(metadata!O374,"water"))))</f>
        <v>0</v>
      </c>
      <c r="BA374" t="b">
        <f>IF(metadata!P374="",FALSE,TRUE)</f>
        <v>0</v>
      </c>
      <c r="BB374" t="b">
        <f>IF(metadata!Q374="",FALSE,TRUE)</f>
        <v>0</v>
      </c>
      <c r="BC374" t="b">
        <f>OR(AND(IF(metadata!R374="",FALSE,TRUE),OR(EXACT(metadata!R374,"missing: not collected"),EXACT(metadata!R374,"missing: not provided"),EXACT(metadata!R374,"missing: restricted access"))),AND(IF(metadata!R374="",FALSE,ISNUMBER(VALUE(metadata!R374))),metadata!R374&gt;=-90,metadata!R374&lt;=90))</f>
        <v>0</v>
      </c>
      <c r="BD374" t="b">
        <f>AND(IF(metadata!S374="",FALSE,TRUE),EXACT(metadata!S374,"Decimal degrees"))</f>
        <v>0</v>
      </c>
      <c r="BE374" t="b">
        <f>OR(AND(IF(metadata!T374="",FALSE,TRUE),OR(EXACT(metadata!T374,"missing: not collected"),EXACT(metadata!T374,"missing: not provided"),EXACT(metadata!T374,"missing: restricted access"))),AND(IF(metadata!T374="",FALSE,ISNUMBER(VALUE(metadata!T374))),metadata!T374&gt;=-180,metadata!T374&lt;=180))</f>
        <v>0</v>
      </c>
      <c r="BF374" t="b">
        <f>AND(IF(metadata!U374="",FALSE,TRUE),EXACT(metadata!U374,"Decimal degrees"))</f>
        <v>0</v>
      </c>
      <c r="BG374" t="b">
        <f>IF(metadata!V374="",FALSE,TRUE)</f>
        <v>0</v>
      </c>
      <c r="BH374" t="b">
        <f>OR(AND(IF(metadata!W374="",FALSE,TRUE),OR(EXACT(metadata!W374,"missing: not collected"),EXACT(metadata!W374,"missing: not provided"),EXACT(metadata!W374,"missing: restricted access"))),AND(IF(metadata!W374="",FALSE,TRUE),OR(EXACT(metadata!W374,"TRUE"),EXACT(metadata!W374,"FALSE"))))</f>
        <v>0</v>
      </c>
      <c r="BI374" t="b">
        <f>AND(IF(metadata!X374="",FALSE,TRUE),EXACT(metadata!X374,"other"))</f>
        <v>0</v>
      </c>
      <c r="BJ374" t="b">
        <f>IF(metadata!Y374="",FALSE,TRUE)</f>
        <v>0</v>
      </c>
      <c r="BK374" t="b">
        <f>OR(AND(IF(metadata!Z374="",FALSE,TRUE),OR(EXACT(metadata!Z374,"missing: not collected"),EXACT(metadata!Z374,"missing: not provided"))),AND(IF(metadata!Z374="",FALSE,IF(ISERROR(INT(metadata!Z374)),FALSE,INT(metadata!Z374)=metadata!Z374)),metadata!Z374&gt;0))</f>
        <v>0</v>
      </c>
      <c r="BL374" t="b">
        <f>AND(IF(metadata!AA374="",FALSE,TRUE),EXACT(metadata!AA374,"Not applicable"))</f>
        <v>0</v>
      </c>
      <c r="BM374" t="b">
        <f>IF(metadata!AB374="",FALSE,TRUE)</f>
        <v>0</v>
      </c>
    </row>
    <row r="375" spans="1:65" x14ac:dyDescent="0.2">
      <c r="A375" s="5" t="str">
        <f ca="1">IF(B375=" "," ",HYPERLINK(CONCATENATE("#metadata!",ADDRESS(INDEX($AH$2:$AH$1001,MATCH(ROWS($AF$2:AF375),$AF$2:$AF$1001,0),0),1)),INDEX($AK$2:$AK$1001,MATCH(ROWS($AF$2:AF375),$AF$2:$AF$1001,0),0)))</f>
        <v xml:space="preserve"> </v>
      </c>
      <c r="B375" s="4" t="str">
        <f ca="1">IF(OR(INDEX($AG$2:$AG$1001,MATCH(ROWS($AF$2:AF375),$AF$2:$AF$1001,0),1)&gt;=100000,INDEX($AM$1005:$BM$1005,1,MATCH(COLUMNS($AM$1006:AM1006),$AM$1006:$BM$1006,0))&gt;=100000), " ",IF(INDEX($AM$2:$BM$1001,MATCH(ROWS($AF$2:AF375),$AF$2:$AF$1001,0),MATCH(COLUMNS($AM$1006:AM1006),$AM$1006:$BM$1006,0)), HYPERLINK("#",""), HYPERLINK(CONCATENATE("#metadata!", ADDRESS(INDEX($AH$2:$AH$1001,MATCH(ROWS($AF$2:AF375),$AF$2:$AF$1001,0),0), INDEX($AM$1004:$BM$1004,1,MATCH(COLUMNS($AM$1006:AM1006),$AM$1006:$BM$1006,0)))),"Fix")))</f>
        <v xml:space="preserve"> </v>
      </c>
      <c r="C375" s="4" t="str">
        <f ca="1">IF(OR(INDEX($AG$2:$AG$1001,MATCH(ROWS($AF$2:AF375),$AF$2:$AF$1001,0),1)&gt;=100000,INDEX($AM$1005:$BM$1005,1,MATCH(COLUMNS($AM$1006:AN1006),$AM$1006:$BM$1006,0))&gt;=100000), " ",IF(INDEX($AM$2:$BM$1001,MATCH(ROWS($AF$2:AF375),$AF$2:$AF$1001,0),MATCH(COLUMNS($AM$1006:AN1006),$AM$1006:$BM$1006,0)), HYPERLINK("#",""), HYPERLINK(CONCATENATE("#metadata!", ADDRESS(INDEX($AH$2:$AH$1001,MATCH(ROWS($AF$2:AF375),$AF$2:$AF$1001,0),0), INDEX($AM$1004:$BM$1004,1,MATCH(COLUMNS($AM$1006:AN1006),$AM$1006:$BM$1006,0)))),"Fix")))</f>
        <v xml:space="preserve"> </v>
      </c>
      <c r="D375" s="4" t="str">
        <f ca="1">IF(OR(INDEX($AG$2:$AG$1001,MATCH(ROWS($AF$2:AF375),$AF$2:$AF$1001,0),1)&gt;=100000,INDEX($AM$1005:$BM$1005,1,MATCH(COLUMNS($AM$1006:AO1006),$AM$1006:$BM$1006,0))&gt;=100000), " ",IF(INDEX($AM$2:$BM$1001,MATCH(ROWS($AF$2:AF375),$AF$2:$AF$1001,0),MATCH(COLUMNS($AM$1006:AO1006),$AM$1006:$BM$1006,0)), HYPERLINK("#",""), HYPERLINK(CONCATENATE("#metadata!", ADDRESS(INDEX($AH$2:$AH$1001,MATCH(ROWS($AF$2:AF375),$AF$2:$AF$1001,0),0), INDEX($AM$1004:$BM$1004,1,MATCH(COLUMNS($AM$1006:AO1006),$AM$1006:$BM$1006,0)))),"Fix")))</f>
        <v xml:space="preserve"> </v>
      </c>
      <c r="E375" s="4" t="str">
        <f ca="1">IF(OR(INDEX($AG$2:$AG$1001,MATCH(ROWS($AF$2:AF375),$AF$2:$AF$1001,0),1)&gt;=100000,INDEX($AM$1005:$BM$1005,1,MATCH(COLUMNS($AM$1006:AP1006),$AM$1006:$BM$1006,0))&gt;=100000), " ",IF(INDEX($AM$2:$BM$1001,MATCH(ROWS($AF$2:AF375),$AF$2:$AF$1001,0),MATCH(COLUMNS($AM$1006:AP1006),$AM$1006:$BM$1006,0)), HYPERLINK("#",""), HYPERLINK(CONCATENATE("#metadata!", ADDRESS(INDEX($AH$2:$AH$1001,MATCH(ROWS($AF$2:AF375),$AF$2:$AF$1001,0),0), INDEX($AM$1004:$BM$1004,1,MATCH(COLUMNS($AM$1006:AP1006),$AM$1006:$BM$1006,0)))),"Fix")))</f>
        <v xml:space="preserve"> </v>
      </c>
      <c r="F375" s="4" t="str">
        <f ca="1">IF(OR(INDEX($AG$2:$AG$1001,MATCH(ROWS($AF$2:AF375),$AF$2:$AF$1001,0),1)&gt;=100000,INDEX($AM$1005:$BM$1005,1,MATCH(COLUMNS($AM$1006:AQ1006),$AM$1006:$BM$1006,0))&gt;=100000), " ",IF(INDEX($AM$2:$BM$1001,MATCH(ROWS($AF$2:AF375),$AF$2:$AF$1001,0),MATCH(COLUMNS($AM$1006:AQ1006),$AM$1006:$BM$1006,0)), HYPERLINK("#",""), HYPERLINK(CONCATENATE("#metadata!", ADDRESS(INDEX($AH$2:$AH$1001,MATCH(ROWS($AF$2:AF375),$AF$2:$AF$1001,0),0), INDEX($AM$1004:$BM$1004,1,MATCH(COLUMNS($AM$1006:AQ1006),$AM$1006:$BM$1006,0)))),"Fix")))</f>
        <v xml:space="preserve"> </v>
      </c>
      <c r="G375" s="4" t="str">
        <f ca="1">IF(OR(INDEX($AG$2:$AG$1001,MATCH(ROWS($AF$2:AF375),$AF$2:$AF$1001,0),1)&gt;=100000,INDEX($AM$1005:$BM$1005,1,MATCH(COLUMNS($AM$1006:AR1006),$AM$1006:$BM$1006,0))&gt;=100000), " ",IF(INDEX($AM$2:$BM$1001,MATCH(ROWS($AF$2:AF375),$AF$2:$AF$1001,0),MATCH(COLUMNS($AM$1006:AR1006),$AM$1006:$BM$1006,0)), HYPERLINK("#",""), HYPERLINK(CONCATENATE("#metadata!", ADDRESS(INDEX($AH$2:$AH$1001,MATCH(ROWS($AF$2:AF375),$AF$2:$AF$1001,0),0), INDEX($AM$1004:$BM$1004,1,MATCH(COLUMNS($AM$1006:AR1006),$AM$1006:$BM$1006,0)))),"Fix")))</f>
        <v xml:space="preserve"> </v>
      </c>
      <c r="H375" s="4" t="str">
        <f ca="1">IF(OR(INDEX($AG$2:$AG$1001,MATCH(ROWS($AF$2:AF375),$AF$2:$AF$1001,0),1)&gt;=100000,INDEX($AM$1005:$BM$1005,1,MATCH(COLUMNS($AM$1006:AS1006),$AM$1006:$BM$1006,0))&gt;=100000), " ",IF(INDEX($AM$2:$BM$1001,MATCH(ROWS($AF$2:AF375),$AF$2:$AF$1001,0),MATCH(COLUMNS($AM$1006:AS1006),$AM$1006:$BM$1006,0)), HYPERLINK("#",""), HYPERLINK(CONCATENATE("#metadata!", ADDRESS(INDEX($AH$2:$AH$1001,MATCH(ROWS($AF$2:AF375),$AF$2:$AF$1001,0),0), INDEX($AM$1004:$BM$1004,1,MATCH(COLUMNS($AM$1006:AS1006),$AM$1006:$BM$1006,0)))),"Fix")))</f>
        <v xml:space="preserve"> </v>
      </c>
      <c r="I375" s="4" t="str">
        <f ca="1">IF(OR(INDEX($AG$2:$AG$1001,MATCH(ROWS($AF$2:AF375),$AF$2:$AF$1001,0),1)&gt;=100000,INDEX($AM$1005:$BM$1005,1,MATCH(COLUMNS($AM$1006:AT1006),$AM$1006:$BM$1006,0))&gt;=100000), " ",IF(INDEX($AM$2:$BM$1001,MATCH(ROWS($AF$2:AF375),$AF$2:$AF$1001,0),MATCH(COLUMNS($AM$1006:AT1006),$AM$1006:$BM$1006,0)), HYPERLINK("#",""), HYPERLINK(CONCATENATE("#metadata!", ADDRESS(INDEX($AH$2:$AH$1001,MATCH(ROWS($AF$2:AF375),$AF$2:$AF$1001,0),0), INDEX($AM$1004:$BM$1004,1,MATCH(COLUMNS($AM$1006:AT1006),$AM$1006:$BM$1006,0)))),"Fix")))</f>
        <v xml:space="preserve"> </v>
      </c>
      <c r="J375" s="4" t="str">
        <f ca="1">IF(OR(INDEX($AG$2:$AG$1001,MATCH(ROWS($AF$2:AF375),$AF$2:$AF$1001,0),1)&gt;=100000,INDEX($AM$1005:$BM$1005,1,MATCH(COLUMNS($AM$1006:AU1006),$AM$1006:$BM$1006,0))&gt;=100000), " ",IF(INDEX($AM$2:$BM$1001,MATCH(ROWS($AF$2:AF375),$AF$2:$AF$1001,0),MATCH(COLUMNS($AM$1006:AU1006),$AM$1006:$BM$1006,0)), HYPERLINK("#",""), HYPERLINK(CONCATENATE("#metadata!", ADDRESS(INDEX($AH$2:$AH$1001,MATCH(ROWS($AF$2:AF375),$AF$2:$AF$1001,0),0), INDEX($AM$1004:$BM$1004,1,MATCH(COLUMNS($AM$1006:AU1006),$AM$1006:$BM$1006,0)))),"Fix")))</f>
        <v xml:space="preserve"> </v>
      </c>
      <c r="K375" s="4" t="str">
        <f ca="1">IF(OR(INDEX($AG$2:$AG$1001,MATCH(ROWS($AF$2:AF375),$AF$2:$AF$1001,0),1)&gt;=100000,INDEX($AM$1005:$BM$1005,1,MATCH(COLUMNS($AM$1006:AV1006),$AM$1006:$BM$1006,0))&gt;=100000), " ",IF(INDEX($AM$2:$BM$1001,MATCH(ROWS($AF$2:AF375),$AF$2:$AF$1001,0),MATCH(COLUMNS($AM$1006:AV1006),$AM$1006:$BM$1006,0)), HYPERLINK("#",""), HYPERLINK(CONCATENATE("#metadata!", ADDRESS(INDEX($AH$2:$AH$1001,MATCH(ROWS($AF$2:AF375),$AF$2:$AF$1001,0),0), INDEX($AM$1004:$BM$1004,1,MATCH(COLUMNS($AM$1006:AV1006),$AM$1006:$BM$1006,0)))),"Fix")))</f>
        <v xml:space="preserve"> </v>
      </c>
      <c r="L375" s="4" t="str">
        <f ca="1">IF(OR(INDEX($AG$2:$AG$1001,MATCH(ROWS($AF$2:AF375),$AF$2:$AF$1001,0),1)&gt;=100000,INDEX($AM$1005:$BM$1005,1,MATCH(COLUMNS($AM$1006:AW1006),$AM$1006:$BM$1006,0))&gt;=100000), " ",IF(INDEX($AM$2:$BM$1001,MATCH(ROWS($AF$2:AF375),$AF$2:$AF$1001,0),MATCH(COLUMNS($AM$1006:AW1006),$AM$1006:$BM$1006,0)), HYPERLINK("#",""), HYPERLINK(CONCATENATE("#metadata!", ADDRESS(INDEX($AH$2:$AH$1001,MATCH(ROWS($AF$2:AF375),$AF$2:$AF$1001,0),0), INDEX($AM$1004:$BM$1004,1,MATCH(COLUMNS($AM$1006:AW1006),$AM$1006:$BM$1006,0)))),"Fix")))</f>
        <v xml:space="preserve"> </v>
      </c>
      <c r="M375" s="4" t="str">
        <f ca="1">IF(OR(INDEX($AG$2:$AG$1001,MATCH(ROWS($AF$2:AF375),$AF$2:$AF$1001,0),1)&gt;=100000,INDEX($AM$1005:$BM$1005,1,MATCH(COLUMNS($AM$1006:AX1006),$AM$1006:$BM$1006,0))&gt;=100000), " ",IF(INDEX($AM$2:$BM$1001,MATCH(ROWS($AF$2:AF375),$AF$2:$AF$1001,0),MATCH(COLUMNS($AM$1006:AX1006),$AM$1006:$BM$1006,0)), HYPERLINK("#",""), HYPERLINK(CONCATENATE("#metadata!", ADDRESS(INDEX($AH$2:$AH$1001,MATCH(ROWS($AF$2:AF375),$AF$2:$AF$1001,0),0), INDEX($AM$1004:$BM$1004,1,MATCH(COLUMNS($AM$1006:AX1006),$AM$1006:$BM$1006,0)))),"Fix")))</f>
        <v xml:space="preserve"> </v>
      </c>
      <c r="N375" s="4" t="str">
        <f ca="1">IF(OR(INDEX($AG$2:$AG$1001,MATCH(ROWS($AF$2:AF375),$AF$2:$AF$1001,0),1)&gt;=100000,INDEX($AM$1005:$BM$1005,1,MATCH(COLUMNS($AM$1006:AY1006),$AM$1006:$BM$1006,0))&gt;=100000), " ",IF(INDEX($AM$2:$BM$1001,MATCH(ROWS($AF$2:AF375),$AF$2:$AF$1001,0),MATCH(COLUMNS($AM$1006:AY1006),$AM$1006:$BM$1006,0)), HYPERLINK("#",""), HYPERLINK(CONCATENATE("#metadata!", ADDRESS(INDEX($AH$2:$AH$1001,MATCH(ROWS($AF$2:AF375),$AF$2:$AF$1001,0),0), INDEX($AM$1004:$BM$1004,1,MATCH(COLUMNS($AM$1006:AY1006),$AM$1006:$BM$1006,0)))),"Fix")))</f>
        <v xml:space="preserve"> </v>
      </c>
      <c r="O375" s="4" t="str">
        <f ca="1">IF(OR(INDEX($AG$2:$AG$1001,MATCH(ROWS($AF$2:AF375),$AF$2:$AF$1001,0),1)&gt;=100000,INDEX($AM$1005:$BM$1005,1,MATCH(COLUMNS($AM$1006:AZ1006),$AM$1006:$BM$1006,0))&gt;=100000), " ",IF(INDEX($AM$2:$BM$1001,MATCH(ROWS($AF$2:AF375),$AF$2:$AF$1001,0),MATCH(COLUMNS($AM$1006:AZ1006),$AM$1006:$BM$1006,0)), HYPERLINK("#",""), HYPERLINK(CONCATENATE("#metadata!", ADDRESS(INDEX($AH$2:$AH$1001,MATCH(ROWS($AF$2:AF375),$AF$2:$AF$1001,0),0), INDEX($AM$1004:$BM$1004,1,MATCH(COLUMNS($AM$1006:AZ1006),$AM$1006:$BM$1006,0)))),"Fix")))</f>
        <v xml:space="preserve"> </v>
      </c>
      <c r="P375" s="4" t="str">
        <f ca="1">IF(OR(INDEX($AG$2:$AG$1001,MATCH(ROWS($AF$2:AF375),$AF$2:$AF$1001,0),1)&gt;=100000,INDEX($AM$1005:$BM$1005,1,MATCH(COLUMNS($AM$1006:BA1006),$AM$1006:$BM$1006,0))&gt;=100000), " ",IF(INDEX($AM$2:$BM$1001,MATCH(ROWS($AF$2:AF375),$AF$2:$AF$1001,0),MATCH(COLUMNS($AM$1006:BA1006),$AM$1006:$BM$1006,0)), HYPERLINK("#",""), HYPERLINK(CONCATENATE("#metadata!", ADDRESS(INDEX($AH$2:$AH$1001,MATCH(ROWS($AF$2:AF375),$AF$2:$AF$1001,0),0), INDEX($AM$1004:$BM$1004,1,MATCH(COLUMNS($AM$1006:BA1006),$AM$1006:$BM$1006,0)))),"Fix")))</f>
        <v xml:space="preserve"> </v>
      </c>
      <c r="Q375" s="4" t="str">
        <f ca="1">IF(OR(INDEX($AG$2:$AG$1001,MATCH(ROWS($AF$2:AF375),$AF$2:$AF$1001,0),1)&gt;=100000,INDEX($AM$1005:$BM$1005,1,MATCH(COLUMNS($AM$1006:BB1006),$AM$1006:$BM$1006,0))&gt;=100000), " ",IF(INDEX($AM$2:$BM$1001,MATCH(ROWS($AF$2:AF375),$AF$2:$AF$1001,0),MATCH(COLUMNS($AM$1006:BB1006),$AM$1006:$BM$1006,0)), HYPERLINK("#",""), HYPERLINK(CONCATENATE("#metadata!", ADDRESS(INDEX($AH$2:$AH$1001,MATCH(ROWS($AF$2:AF375),$AF$2:$AF$1001,0),0), INDEX($AM$1004:$BM$1004,1,MATCH(COLUMNS($AM$1006:BB1006),$AM$1006:$BM$1006,0)))),"Fix")))</f>
        <v xml:space="preserve"> </v>
      </c>
      <c r="R375" s="4" t="str">
        <f ca="1">IF(OR(INDEX($AG$2:$AG$1001,MATCH(ROWS($AF$2:AF375),$AF$2:$AF$1001,0),1)&gt;=100000,INDEX($AM$1005:$BM$1005,1,MATCH(COLUMNS($AM$1006:BC1006),$AM$1006:$BM$1006,0))&gt;=100000), " ",IF(INDEX($AM$2:$BM$1001,MATCH(ROWS($AF$2:AF375),$AF$2:$AF$1001,0),MATCH(COLUMNS($AM$1006:BC1006),$AM$1006:$BM$1006,0)), HYPERLINK("#",""), HYPERLINK(CONCATENATE("#metadata!", ADDRESS(INDEX($AH$2:$AH$1001,MATCH(ROWS($AF$2:AF375),$AF$2:$AF$1001,0),0), INDEX($AM$1004:$BM$1004,1,MATCH(COLUMNS($AM$1006:BC1006),$AM$1006:$BM$1006,0)))),"Fix")))</f>
        <v xml:space="preserve"> </v>
      </c>
      <c r="S375" s="4" t="str">
        <f ca="1">IF(OR(INDEX($AG$2:$AG$1001,MATCH(ROWS($AF$2:AF375),$AF$2:$AF$1001,0),1)&gt;=100000,INDEX($AM$1005:$BM$1005,1,MATCH(COLUMNS($AM$1006:BD1006),$AM$1006:$BM$1006,0))&gt;=100000), " ",IF(INDEX($AM$2:$BM$1001,MATCH(ROWS($AF$2:AF375),$AF$2:$AF$1001,0),MATCH(COLUMNS($AM$1006:BD1006),$AM$1006:$BM$1006,0)), HYPERLINK("#",""), HYPERLINK(CONCATENATE("#metadata!", ADDRESS(INDEX($AH$2:$AH$1001,MATCH(ROWS($AF$2:AF375),$AF$2:$AF$1001,0),0), INDEX($AM$1004:$BM$1004,1,MATCH(COLUMNS($AM$1006:BD1006),$AM$1006:$BM$1006,0)))),"Fix")))</f>
        <v xml:space="preserve"> </v>
      </c>
      <c r="T375" s="4" t="str">
        <f ca="1">IF(OR(INDEX($AG$2:$AG$1001,MATCH(ROWS($AF$2:AF375),$AF$2:$AF$1001,0),1)&gt;=100000,INDEX($AM$1005:$BM$1005,1,MATCH(COLUMNS($AM$1006:BE1006),$AM$1006:$BM$1006,0))&gt;=100000), " ",IF(INDEX($AM$2:$BM$1001,MATCH(ROWS($AF$2:AF375),$AF$2:$AF$1001,0),MATCH(COLUMNS($AM$1006:BE1006),$AM$1006:$BM$1006,0)), HYPERLINK("#",""), HYPERLINK(CONCATENATE("#metadata!", ADDRESS(INDEX($AH$2:$AH$1001,MATCH(ROWS($AF$2:AF375),$AF$2:$AF$1001,0),0), INDEX($AM$1004:$BM$1004,1,MATCH(COLUMNS($AM$1006:BE1006),$AM$1006:$BM$1006,0)))),"Fix")))</f>
        <v xml:space="preserve"> </v>
      </c>
      <c r="U375" s="4" t="str">
        <f ca="1">IF(OR(INDEX($AG$2:$AG$1001,MATCH(ROWS($AF$2:AF375),$AF$2:$AF$1001,0),1)&gt;=100000,INDEX($AM$1005:$BM$1005,1,MATCH(COLUMNS($AM$1006:BF1006),$AM$1006:$BM$1006,0))&gt;=100000), " ",IF(INDEX($AM$2:$BM$1001,MATCH(ROWS($AF$2:AF375),$AF$2:$AF$1001,0),MATCH(COLUMNS($AM$1006:BF1006),$AM$1006:$BM$1006,0)), HYPERLINK("#",""), HYPERLINK(CONCATENATE("#metadata!", ADDRESS(INDEX($AH$2:$AH$1001,MATCH(ROWS($AF$2:AF375),$AF$2:$AF$1001,0),0), INDEX($AM$1004:$BM$1004,1,MATCH(COLUMNS($AM$1006:BF1006),$AM$1006:$BM$1006,0)))),"Fix")))</f>
        <v xml:space="preserve"> </v>
      </c>
      <c r="V375" s="4" t="str">
        <f ca="1">IF(OR(INDEX($AG$2:$AG$1001,MATCH(ROWS($AF$2:AF375),$AF$2:$AF$1001,0),1)&gt;=100000,INDEX($AM$1005:$BM$1005,1,MATCH(COLUMNS($AM$1006:BG1006),$AM$1006:$BM$1006,0))&gt;=100000), " ",IF(INDEX($AM$2:$BM$1001,MATCH(ROWS($AF$2:AF375),$AF$2:$AF$1001,0),MATCH(COLUMNS($AM$1006:BG1006),$AM$1006:$BM$1006,0)), HYPERLINK("#",""), HYPERLINK(CONCATENATE("#metadata!", ADDRESS(INDEX($AH$2:$AH$1001,MATCH(ROWS($AF$2:AF375),$AF$2:$AF$1001,0),0), INDEX($AM$1004:$BM$1004,1,MATCH(COLUMNS($AM$1006:BG1006),$AM$1006:$BM$1006,0)))),"Fix")))</f>
        <v xml:space="preserve"> </v>
      </c>
      <c r="W375" s="4" t="str">
        <f ca="1">IF(OR(INDEX($AG$2:$AG$1001,MATCH(ROWS($AF$2:AF375),$AF$2:$AF$1001,0),1)&gt;=100000,INDEX($AM$1005:$BM$1005,1,MATCH(COLUMNS($AM$1006:BH1006),$AM$1006:$BM$1006,0))&gt;=100000), " ",IF(INDEX($AM$2:$BM$1001,MATCH(ROWS($AF$2:AF375),$AF$2:$AF$1001,0),MATCH(COLUMNS($AM$1006:BH1006),$AM$1006:$BM$1006,0)), HYPERLINK("#",""), HYPERLINK(CONCATENATE("#metadata!", ADDRESS(INDEX($AH$2:$AH$1001,MATCH(ROWS($AF$2:AF375),$AF$2:$AF$1001,0),0), INDEX($AM$1004:$BM$1004,1,MATCH(COLUMNS($AM$1006:BH1006),$AM$1006:$BM$1006,0)))),"Fix")))</f>
        <v xml:space="preserve"> </v>
      </c>
      <c r="X375" s="4" t="str">
        <f ca="1">IF(OR(INDEX($AG$2:$AG$1001,MATCH(ROWS($AF$2:AF375),$AF$2:$AF$1001,0),1)&gt;=100000,INDEX($AM$1005:$BM$1005,1,MATCH(COLUMNS($AM$1006:BI1006),$AM$1006:$BM$1006,0))&gt;=100000), " ",IF(INDEX($AM$2:$BM$1001,MATCH(ROWS($AF$2:AF375),$AF$2:$AF$1001,0),MATCH(COLUMNS($AM$1006:BI1006),$AM$1006:$BM$1006,0)), HYPERLINK("#",""), HYPERLINK(CONCATENATE("#metadata!", ADDRESS(INDEX($AH$2:$AH$1001,MATCH(ROWS($AF$2:AF375),$AF$2:$AF$1001,0),0), INDEX($AM$1004:$BM$1004,1,MATCH(COLUMNS($AM$1006:BI1006),$AM$1006:$BM$1006,0)))),"Fix")))</f>
        <v xml:space="preserve"> </v>
      </c>
      <c r="Y375" s="4" t="str">
        <f ca="1">IF(OR(INDEX($AG$2:$AG$1001,MATCH(ROWS($AF$2:AF375),$AF$2:$AF$1001,0),1)&gt;=100000,INDEX($AM$1005:$BM$1005,1,MATCH(COLUMNS($AM$1006:BJ1006),$AM$1006:$BM$1006,0))&gt;=100000), " ",IF(INDEX($AM$2:$BM$1001,MATCH(ROWS($AF$2:AF375),$AF$2:$AF$1001,0),MATCH(COLUMNS($AM$1006:BJ1006),$AM$1006:$BM$1006,0)), HYPERLINK("#",""), HYPERLINK(CONCATENATE("#metadata!", ADDRESS(INDEX($AH$2:$AH$1001,MATCH(ROWS($AF$2:AF375),$AF$2:$AF$1001,0),0), INDEX($AM$1004:$BM$1004,1,MATCH(COLUMNS($AM$1006:BJ1006),$AM$1006:$BM$1006,0)))),"Fix")))</f>
        <v xml:space="preserve"> </v>
      </c>
      <c r="Z375" s="4" t="str">
        <f ca="1">IF(OR(INDEX($AG$2:$AG$1001,MATCH(ROWS($AF$2:AF375),$AF$2:$AF$1001,0),1)&gt;=100000,INDEX($AM$1005:$BM$1005,1,MATCH(COLUMNS($AM$1006:BK1006),$AM$1006:$BM$1006,0))&gt;=100000), " ",IF(INDEX($AM$2:$BM$1001,MATCH(ROWS($AF$2:AF375),$AF$2:$AF$1001,0),MATCH(COLUMNS($AM$1006:BK1006),$AM$1006:$BM$1006,0)), HYPERLINK("#",""), HYPERLINK(CONCATENATE("#metadata!", ADDRESS(INDEX($AH$2:$AH$1001,MATCH(ROWS($AF$2:AF375),$AF$2:$AF$1001,0),0), INDEX($AM$1004:$BM$1004,1,MATCH(COLUMNS($AM$1006:BK1006),$AM$1006:$BM$1006,0)))),"Fix")))</f>
        <v xml:space="preserve"> </v>
      </c>
      <c r="AA375" s="4" t="str">
        <f ca="1">IF(OR(INDEX($AG$2:$AG$1001,MATCH(ROWS($AF$2:AF375),$AF$2:$AF$1001,0),1)&gt;=100000,INDEX($AM$1005:$BM$1005,1,MATCH(COLUMNS($AM$1006:BL1006),$AM$1006:$BM$1006,0))&gt;=100000), " ",IF(INDEX($AM$2:$BM$1001,MATCH(ROWS($AF$2:AF375),$AF$2:$AF$1001,0),MATCH(COLUMNS($AM$1006:BL1006),$AM$1006:$BM$1006,0)), HYPERLINK("#",""), HYPERLINK(CONCATENATE("#metadata!", ADDRESS(INDEX($AH$2:$AH$1001,MATCH(ROWS($AF$2:AF375),$AF$2:$AF$1001,0),0), INDEX($AM$1004:$BM$1004,1,MATCH(COLUMNS($AM$1006:BL1006),$AM$1006:$BM$1006,0)))),"Fix")))</f>
        <v xml:space="preserve"> </v>
      </c>
      <c r="AB375" s="4" t="str">
        <f ca="1">IF(OR(INDEX($AG$2:$AG$1001,MATCH(ROWS($AF$2:AF375),$AF$2:$AF$1001,0),1)&gt;=100000,INDEX($AM$1005:$BM$1005,1,MATCH(COLUMNS($AM$1006:BM1006),$AM$1006:$BM$1006,0))&gt;=100000), " ",IF(INDEX($AM$2:$BM$1001,MATCH(ROWS($AF$2:AF375),$AF$2:$AF$1001,0),MATCH(COLUMNS($AM$1006:BM1006),$AM$1006:$BM$1006,0)), HYPERLINK("#",""), HYPERLINK(CONCATENATE("#metadata!", ADDRESS(INDEX($AH$2:$AH$1001,MATCH(ROWS($AF$2:AF375),$AF$2:$AF$1001,0),0), INDEX($AM$1004:$BM$1004,1,MATCH(COLUMNS($AM$1006:BM1006),$AM$1006:$BM$1006,0)))),"Fix")))</f>
        <v xml:space="preserve"> </v>
      </c>
      <c r="AF375">
        <v>374</v>
      </c>
      <c r="AG375">
        <v>100375</v>
      </c>
      <c r="AH375">
        <v>375</v>
      </c>
      <c r="AI375" t="b">
        <f t="shared" si="5"/>
        <v>1</v>
      </c>
      <c r="AJ375" t="b">
        <f>COUNTBLANK(metadata!B375:AB375)=COLUMNS(metadata!B375:AB375)</f>
        <v>1</v>
      </c>
      <c r="AK375" t="str">
        <v/>
      </c>
      <c r="AM375" t="b">
        <f ca="1">AND(IF(metadata!B375="",FALSE,TRUE),COUNTIF(metadata!B:B, metadata!B375) = 1,NOT(ISERROR(SUMPRODUCT(SEARCH(MID(metadata!B375,ROW(INDIRECT("1:"&amp;LEN(metadata!B375))), 1),"0123456789abcdefghijklmnopqrstuvwxyzABCDEFGHIJKLMNOPQRSTUVWXYZ.")))))</f>
        <v>0</v>
      </c>
      <c r="AN375" t="b">
        <f ca="1">OR(AND(IF(metadata!C375="",FALSE,TRUE),OR(EXACT(metadata!C375,"missing: not collected"),EXACT(metadata!C375,"missing: not provided"),EXACT(metadata!C375,"missing: restricted access"))),AND(IF(metadata!C375="",FALSE,TRUE),AND(AND(IFERROR(INT(LEFT(metadata!C375,4))&gt;1900,FALSE),IFERROR(INT(LEFT(metadata!C375,4))&lt;=YEAR(NOW()),FALSE)), OR(MID(metadata!C375,5,1)="", AND(AND(MID(metadata!C375,5,1)="-",IFERROR(INT(MID(metadata!C375,6,1))&gt;=0,FALSE),IFERROR(INT(MID(metadata!C375,6,1))&lt;=1,FALSE),NOT(MID(metadata!C375,7,1)=""),IFERROR(INT(MID(metadata!C375,6,2))&gt;=1,FALSE),IFERROR(INT(MID(metadata!C375,6,2))&lt;=12,FALSE)), OR(MID(metadata!C375,8,1)="", AND(AND(MID(metadata!C375,8,1)="-",IFERROR(INT(MID(metadata!C375,9,1))&gt;=0,FALSE),IFERROR(INT(MID(metadata!C375,9,1))&lt;=3,FALSE),NOT(MID(metadata!C375,10,1)=""),IFERROR(INT(MID(metadata!C375,9,2))&gt;=1,FALSE),IFERROR(INT(MID(metadata!C375,9,2))&lt;=31,FALSE)), OR(MID(metadata!C375,11,1)="", AND(AND(MID(metadata!C375,11,1)=" ",IFERROR(INT(MID(metadata!C375,12,1))&gt;=0,FALSE),IFERROR(INT(MID(metadata!C375,12,1))&lt;=2,FALSE),NOT(MID(metadata!C375,13,1)=""),IFERROR(INT(MID(metadata!C375,12,2))&gt;=0,FALSE),IFERROR(INT(MID(metadata!C375,12,2))&lt;=23,FALSE)), OR(MID(metadata!C375,14,1)="", AND(AND(MID(metadata!C375,14,1)=":",IFERROR(INT(MID(metadata!C375,15,1))&gt;=0,FALSE),IFERROR(INT(MID(metadata!C375,15,1))&lt;=5,FALSE),NOT(MID(metadata!C375,16,1)=""),IFERROR(INT(MID(metadata!C375,15,2))&gt;=0,FALSE),IFERROR(INT(MID(metadata!C375,15,2))&lt;=59,FALSE)), OR(MID(metadata!C375,17,1)="", AND(AND(MID(metadata!C375,17,1)=":",IFERROR(INT(MID(metadata!C375,18,1))&gt;=0,FALSE),IFERROR(INT(MID(metadata!C375,18,1))&lt;=5,FALSE),NOT(MID(metadata!C375,19,1)=""),IFERROR(INT(MID(metadata!C375,18,2))&gt;=0,FALSE),IFERROR(INT(MID(metadata!C375,18,2))&lt;=59,FALSE)), LEN(metadata!C375)&lt;=19)))))))))))))</f>
        <v>0</v>
      </c>
      <c r="AO375" t="b">
        <f>AND(IF(metadata!D375="",FALSE,TRUE),EXACT(metadata!D375,"Not applicable"))</f>
        <v>0</v>
      </c>
      <c r="AP375" t="b">
        <f>IF(metadata!E375="",FALSE,TRUE)</f>
        <v>0</v>
      </c>
      <c r="AQ375" t="b">
        <f>OR(AND(IF(metadata!F375="",FALSE,TRUE),OR(EXACT(metadata!F375,"missing: not collected"),EXACT(metadata!F375,"missing: not provided"))),AND(IF(metadata!F375="",FALSE,TRUE),OR(EXACT(metadata!F375,"TRUE"),EXACT(metadata!F375,"FALSE"))))</f>
        <v>0</v>
      </c>
      <c r="AR375" t="b">
        <f>OR(AND(IF(metadata!G375="",FALSE,TRUE),OR(EXACT(metadata!G375,"missing: not collected"),EXACT(metadata!G375,"missing: not provided"),EXACT(metadata!G375,"missing: restricted access"))),AND(IF(metadata!G375="",FALSE,ISNUMBER(VALUE(metadata!G375))),metadata!G375&gt;=-413))</f>
        <v>0</v>
      </c>
      <c r="AS375" t="b">
        <f>AND(IF(metadata!H375="",FALSE,TRUE),EXACT(metadata!H375,"meters"))</f>
        <v>0</v>
      </c>
      <c r="AT375" t="b">
        <f>AND(IF(metadata!I375="",FALSE,TRUE),OR(EXACT(metadata!I375,"Host-associated"),EXACT(metadata!I375,"Free-living")))</f>
        <v>0</v>
      </c>
      <c r="AU375" t="b">
        <f>AND(IF(metadata!J375="",FALSE,TRUE),OR(EXACT(metadata!J375,"Animal"),EXACT(metadata!J375,"Fungus"),EXACT(metadata!J375,"Plant"),EXACT(metadata!J375,"Saline"),EXACT(metadata!J375,"Non-saline")))</f>
        <v>0</v>
      </c>
      <c r="AV375" t="b">
        <f>AND(IF(metadata!K375="",FALSE,TRUE),OR(EXACT(metadata!K375,"Plant secretion"),EXACT(metadata!K375,"Plant rhizosphere"),EXACT(metadata!K375,"Plant surface"),EXACT(metadata!K375,"Plant corpus"),EXACT(metadata!K375,"Fungus surface"),EXACT(metadata!K375,"Fungus corpus"),EXACT(metadata!K375,"Animal surface"),EXACT(metadata!K375,"Animal proximal gut"),EXACT(metadata!K375,"Animal corpus"),EXACT(metadata!K375,"Animal distal gut"),EXACT(metadata!K375,"Animal secretion"),EXACT(metadata!K375,"Sub-surface (non-saline)"),EXACT(metadata!K375,"Surface (non-saline)"),EXACT(metadata!K375,"Water (non-saline)"),EXACT(metadata!K375,"Soil (non-saline)"),EXACT(metadata!K375,"Aerosol (non-saline)"),EXACT(metadata!K375,"Sediment (non-saline)"),EXACT(metadata!K375,"Surface (saline)"),EXACT(metadata!K375,"Water (saline)"),EXACT(metadata!K375,"Hypersaline (saline)"),EXACT(metadata!K375,"Aerosol (saline)"),EXACT(metadata!K375,"Sediment (saline)")))</f>
        <v>0</v>
      </c>
      <c r="AW375" t="b">
        <f>IF(metadata!L375="",FALSE,TRUE)</f>
        <v>0</v>
      </c>
      <c r="AX375" t="b">
        <f>IF(metadata!M375="",FALSE,TRUE)</f>
        <v>0</v>
      </c>
      <c r="AY375" t="b">
        <f>IF(metadata!N375="",FALSE,TRUE)</f>
        <v>0</v>
      </c>
      <c r="AZ375" t="b">
        <f>OR(AND(IF(metadata!O375="",FALSE,TRUE),OR(EXACT(metadata!O375,"missing: not collected"),EXACT(metadata!O375,"missing: not provided"),EXACT(metadata!O375,"missing: restricted access"))),AND(IF(metadata!O375="",FALSE,TRUE),OR(EXACT(metadata!O375,"air"),EXACT(metadata!O375,"built environment"),EXACT(metadata!O375,"host-associated"),EXACT(metadata!O375,"human-associated"),EXACT(metadata!O375,"human-skin"),EXACT(metadata!O375,"human-oral"),EXACT(metadata!O375,"human-gut"),EXACT(metadata!O375,"human-vaginal"),EXACT(metadata!O375,"microbial mat/biofilm"),EXACT(metadata!O375,"misc environment"),EXACT(metadata!O375,"plant-associated"),EXACT(metadata!O375,"sediment"),EXACT(metadata!O375,"soil"),EXACT(metadata!O375,"wastewater/sludge"),EXACT(metadata!O375,"water"))))</f>
        <v>0</v>
      </c>
      <c r="BA375" t="b">
        <f>IF(metadata!P375="",FALSE,TRUE)</f>
        <v>0</v>
      </c>
      <c r="BB375" t="b">
        <f>IF(metadata!Q375="",FALSE,TRUE)</f>
        <v>0</v>
      </c>
      <c r="BC375" t="b">
        <f>OR(AND(IF(metadata!R375="",FALSE,TRUE),OR(EXACT(metadata!R375,"missing: not collected"),EXACT(metadata!R375,"missing: not provided"),EXACT(metadata!R375,"missing: restricted access"))),AND(IF(metadata!R375="",FALSE,ISNUMBER(VALUE(metadata!R375))),metadata!R375&gt;=-90,metadata!R375&lt;=90))</f>
        <v>0</v>
      </c>
      <c r="BD375" t="b">
        <f>AND(IF(metadata!S375="",FALSE,TRUE),EXACT(metadata!S375,"Decimal degrees"))</f>
        <v>0</v>
      </c>
      <c r="BE375" t="b">
        <f>OR(AND(IF(metadata!T375="",FALSE,TRUE),OR(EXACT(metadata!T375,"missing: not collected"),EXACT(metadata!T375,"missing: not provided"),EXACT(metadata!T375,"missing: restricted access"))),AND(IF(metadata!T375="",FALSE,ISNUMBER(VALUE(metadata!T375))),metadata!T375&gt;=-180,metadata!T375&lt;=180))</f>
        <v>0</v>
      </c>
      <c r="BF375" t="b">
        <f>AND(IF(metadata!U375="",FALSE,TRUE),EXACT(metadata!U375,"Decimal degrees"))</f>
        <v>0</v>
      </c>
      <c r="BG375" t="b">
        <f>IF(metadata!V375="",FALSE,TRUE)</f>
        <v>0</v>
      </c>
      <c r="BH375" t="b">
        <f>OR(AND(IF(metadata!W375="",FALSE,TRUE),OR(EXACT(metadata!W375,"missing: not collected"),EXACT(metadata!W375,"missing: not provided"),EXACT(metadata!W375,"missing: restricted access"))),AND(IF(metadata!W375="",FALSE,TRUE),OR(EXACT(metadata!W375,"TRUE"),EXACT(metadata!W375,"FALSE"))))</f>
        <v>0</v>
      </c>
      <c r="BI375" t="b">
        <f>AND(IF(metadata!X375="",FALSE,TRUE),EXACT(metadata!X375,"other"))</f>
        <v>0</v>
      </c>
      <c r="BJ375" t="b">
        <f>IF(metadata!Y375="",FALSE,TRUE)</f>
        <v>0</v>
      </c>
      <c r="BK375" t="b">
        <f>OR(AND(IF(metadata!Z375="",FALSE,TRUE),OR(EXACT(metadata!Z375,"missing: not collected"),EXACT(metadata!Z375,"missing: not provided"))),AND(IF(metadata!Z375="",FALSE,IF(ISERROR(INT(metadata!Z375)),FALSE,INT(metadata!Z375)=metadata!Z375)),metadata!Z375&gt;0))</f>
        <v>0</v>
      </c>
      <c r="BL375" t="b">
        <f>AND(IF(metadata!AA375="",FALSE,TRUE),EXACT(metadata!AA375,"Not applicable"))</f>
        <v>0</v>
      </c>
      <c r="BM375" t="b">
        <f>IF(metadata!AB375="",FALSE,TRUE)</f>
        <v>0</v>
      </c>
    </row>
    <row r="376" spans="1:65" x14ac:dyDescent="0.2">
      <c r="A376" s="5" t="str">
        <f ca="1">IF(B376=" "," ",HYPERLINK(CONCATENATE("#metadata!",ADDRESS(INDEX($AH$2:$AH$1001,MATCH(ROWS($AF$2:AF376),$AF$2:$AF$1001,0),0),1)),INDEX($AK$2:$AK$1001,MATCH(ROWS($AF$2:AF376),$AF$2:$AF$1001,0),0)))</f>
        <v xml:space="preserve"> </v>
      </c>
      <c r="B376" s="4" t="str">
        <f ca="1">IF(OR(INDEX($AG$2:$AG$1001,MATCH(ROWS($AF$2:AF376),$AF$2:$AF$1001,0),1)&gt;=100000,INDEX($AM$1005:$BM$1005,1,MATCH(COLUMNS($AM$1006:AM1006),$AM$1006:$BM$1006,0))&gt;=100000), " ",IF(INDEX($AM$2:$BM$1001,MATCH(ROWS($AF$2:AF376),$AF$2:$AF$1001,0),MATCH(COLUMNS($AM$1006:AM1006),$AM$1006:$BM$1006,0)), HYPERLINK("#",""), HYPERLINK(CONCATENATE("#metadata!", ADDRESS(INDEX($AH$2:$AH$1001,MATCH(ROWS($AF$2:AF376),$AF$2:$AF$1001,0),0), INDEX($AM$1004:$BM$1004,1,MATCH(COLUMNS($AM$1006:AM1006),$AM$1006:$BM$1006,0)))),"Fix")))</f>
        <v xml:space="preserve"> </v>
      </c>
      <c r="C376" s="4" t="str">
        <f ca="1">IF(OR(INDEX($AG$2:$AG$1001,MATCH(ROWS($AF$2:AF376),$AF$2:$AF$1001,0),1)&gt;=100000,INDEX($AM$1005:$BM$1005,1,MATCH(COLUMNS($AM$1006:AN1006),$AM$1006:$BM$1006,0))&gt;=100000), " ",IF(INDEX($AM$2:$BM$1001,MATCH(ROWS($AF$2:AF376),$AF$2:$AF$1001,0),MATCH(COLUMNS($AM$1006:AN1006),$AM$1006:$BM$1006,0)), HYPERLINK("#",""), HYPERLINK(CONCATENATE("#metadata!", ADDRESS(INDEX($AH$2:$AH$1001,MATCH(ROWS($AF$2:AF376),$AF$2:$AF$1001,0),0), INDEX($AM$1004:$BM$1004,1,MATCH(COLUMNS($AM$1006:AN1006),$AM$1006:$BM$1006,0)))),"Fix")))</f>
        <v xml:space="preserve"> </v>
      </c>
      <c r="D376" s="4" t="str">
        <f ca="1">IF(OR(INDEX($AG$2:$AG$1001,MATCH(ROWS($AF$2:AF376),$AF$2:$AF$1001,0),1)&gt;=100000,INDEX($AM$1005:$BM$1005,1,MATCH(COLUMNS($AM$1006:AO1006),$AM$1006:$BM$1006,0))&gt;=100000), " ",IF(INDEX($AM$2:$BM$1001,MATCH(ROWS($AF$2:AF376),$AF$2:$AF$1001,0),MATCH(COLUMNS($AM$1006:AO1006),$AM$1006:$BM$1006,0)), HYPERLINK("#",""), HYPERLINK(CONCATENATE("#metadata!", ADDRESS(INDEX($AH$2:$AH$1001,MATCH(ROWS($AF$2:AF376),$AF$2:$AF$1001,0),0), INDEX($AM$1004:$BM$1004,1,MATCH(COLUMNS($AM$1006:AO1006),$AM$1006:$BM$1006,0)))),"Fix")))</f>
        <v xml:space="preserve"> </v>
      </c>
      <c r="E376" s="4" t="str">
        <f ca="1">IF(OR(INDEX($AG$2:$AG$1001,MATCH(ROWS($AF$2:AF376),$AF$2:$AF$1001,0),1)&gt;=100000,INDEX($AM$1005:$BM$1005,1,MATCH(COLUMNS($AM$1006:AP1006),$AM$1006:$BM$1006,0))&gt;=100000), " ",IF(INDEX($AM$2:$BM$1001,MATCH(ROWS($AF$2:AF376),$AF$2:$AF$1001,0),MATCH(COLUMNS($AM$1006:AP1006),$AM$1006:$BM$1006,0)), HYPERLINK("#",""), HYPERLINK(CONCATENATE("#metadata!", ADDRESS(INDEX($AH$2:$AH$1001,MATCH(ROWS($AF$2:AF376),$AF$2:$AF$1001,0),0), INDEX($AM$1004:$BM$1004,1,MATCH(COLUMNS($AM$1006:AP1006),$AM$1006:$BM$1006,0)))),"Fix")))</f>
        <v xml:space="preserve"> </v>
      </c>
      <c r="F376" s="4" t="str">
        <f ca="1">IF(OR(INDEX($AG$2:$AG$1001,MATCH(ROWS($AF$2:AF376),$AF$2:$AF$1001,0),1)&gt;=100000,INDEX($AM$1005:$BM$1005,1,MATCH(COLUMNS($AM$1006:AQ1006),$AM$1006:$BM$1006,0))&gt;=100000), " ",IF(INDEX($AM$2:$BM$1001,MATCH(ROWS($AF$2:AF376),$AF$2:$AF$1001,0),MATCH(COLUMNS($AM$1006:AQ1006),$AM$1006:$BM$1006,0)), HYPERLINK("#",""), HYPERLINK(CONCATENATE("#metadata!", ADDRESS(INDEX($AH$2:$AH$1001,MATCH(ROWS($AF$2:AF376),$AF$2:$AF$1001,0),0), INDEX($AM$1004:$BM$1004,1,MATCH(COLUMNS($AM$1006:AQ1006),$AM$1006:$BM$1006,0)))),"Fix")))</f>
        <v xml:space="preserve"> </v>
      </c>
      <c r="G376" s="4" t="str">
        <f ca="1">IF(OR(INDEX($AG$2:$AG$1001,MATCH(ROWS($AF$2:AF376),$AF$2:$AF$1001,0),1)&gt;=100000,INDEX($AM$1005:$BM$1005,1,MATCH(COLUMNS($AM$1006:AR1006),$AM$1006:$BM$1006,0))&gt;=100000), " ",IF(INDEX($AM$2:$BM$1001,MATCH(ROWS($AF$2:AF376),$AF$2:$AF$1001,0),MATCH(COLUMNS($AM$1006:AR1006),$AM$1006:$BM$1006,0)), HYPERLINK("#",""), HYPERLINK(CONCATENATE("#metadata!", ADDRESS(INDEX($AH$2:$AH$1001,MATCH(ROWS($AF$2:AF376),$AF$2:$AF$1001,0),0), INDEX($AM$1004:$BM$1004,1,MATCH(COLUMNS($AM$1006:AR1006),$AM$1006:$BM$1006,0)))),"Fix")))</f>
        <v xml:space="preserve"> </v>
      </c>
      <c r="H376" s="4" t="str">
        <f ca="1">IF(OR(INDEX($AG$2:$AG$1001,MATCH(ROWS($AF$2:AF376),$AF$2:$AF$1001,0),1)&gt;=100000,INDEX($AM$1005:$BM$1005,1,MATCH(COLUMNS($AM$1006:AS1006),$AM$1006:$BM$1006,0))&gt;=100000), " ",IF(INDEX($AM$2:$BM$1001,MATCH(ROWS($AF$2:AF376),$AF$2:$AF$1001,0),MATCH(COLUMNS($AM$1006:AS1006),$AM$1006:$BM$1006,0)), HYPERLINK("#",""), HYPERLINK(CONCATENATE("#metadata!", ADDRESS(INDEX($AH$2:$AH$1001,MATCH(ROWS($AF$2:AF376),$AF$2:$AF$1001,0),0), INDEX($AM$1004:$BM$1004,1,MATCH(COLUMNS($AM$1006:AS1006),$AM$1006:$BM$1006,0)))),"Fix")))</f>
        <v xml:space="preserve"> </v>
      </c>
      <c r="I376" s="4" t="str">
        <f ca="1">IF(OR(INDEX($AG$2:$AG$1001,MATCH(ROWS($AF$2:AF376),$AF$2:$AF$1001,0),1)&gt;=100000,INDEX($AM$1005:$BM$1005,1,MATCH(COLUMNS($AM$1006:AT1006),$AM$1006:$BM$1006,0))&gt;=100000), " ",IF(INDEX($AM$2:$BM$1001,MATCH(ROWS($AF$2:AF376),$AF$2:$AF$1001,0),MATCH(COLUMNS($AM$1006:AT1006),$AM$1006:$BM$1006,0)), HYPERLINK("#",""), HYPERLINK(CONCATENATE("#metadata!", ADDRESS(INDEX($AH$2:$AH$1001,MATCH(ROWS($AF$2:AF376),$AF$2:$AF$1001,0),0), INDEX($AM$1004:$BM$1004,1,MATCH(COLUMNS($AM$1006:AT1006),$AM$1006:$BM$1006,0)))),"Fix")))</f>
        <v xml:space="preserve"> </v>
      </c>
      <c r="J376" s="4" t="str">
        <f ca="1">IF(OR(INDEX($AG$2:$AG$1001,MATCH(ROWS($AF$2:AF376),$AF$2:$AF$1001,0),1)&gt;=100000,INDEX($AM$1005:$BM$1005,1,MATCH(COLUMNS($AM$1006:AU1006),$AM$1006:$BM$1006,0))&gt;=100000), " ",IF(INDEX($AM$2:$BM$1001,MATCH(ROWS($AF$2:AF376),$AF$2:$AF$1001,0),MATCH(COLUMNS($AM$1006:AU1006),$AM$1006:$BM$1006,0)), HYPERLINK("#",""), HYPERLINK(CONCATENATE("#metadata!", ADDRESS(INDEX($AH$2:$AH$1001,MATCH(ROWS($AF$2:AF376),$AF$2:$AF$1001,0),0), INDEX($AM$1004:$BM$1004,1,MATCH(COLUMNS($AM$1006:AU1006),$AM$1006:$BM$1006,0)))),"Fix")))</f>
        <v xml:space="preserve"> </v>
      </c>
      <c r="K376" s="4" t="str">
        <f ca="1">IF(OR(INDEX($AG$2:$AG$1001,MATCH(ROWS($AF$2:AF376),$AF$2:$AF$1001,0),1)&gt;=100000,INDEX($AM$1005:$BM$1005,1,MATCH(COLUMNS($AM$1006:AV1006),$AM$1006:$BM$1006,0))&gt;=100000), " ",IF(INDEX($AM$2:$BM$1001,MATCH(ROWS($AF$2:AF376),$AF$2:$AF$1001,0),MATCH(COLUMNS($AM$1006:AV1006),$AM$1006:$BM$1006,0)), HYPERLINK("#",""), HYPERLINK(CONCATENATE("#metadata!", ADDRESS(INDEX($AH$2:$AH$1001,MATCH(ROWS($AF$2:AF376),$AF$2:$AF$1001,0),0), INDEX($AM$1004:$BM$1004,1,MATCH(COLUMNS($AM$1006:AV1006),$AM$1006:$BM$1006,0)))),"Fix")))</f>
        <v xml:space="preserve"> </v>
      </c>
      <c r="L376" s="4" t="str">
        <f ca="1">IF(OR(INDEX($AG$2:$AG$1001,MATCH(ROWS($AF$2:AF376),$AF$2:$AF$1001,0),1)&gt;=100000,INDEX($AM$1005:$BM$1005,1,MATCH(COLUMNS($AM$1006:AW1006),$AM$1006:$BM$1006,0))&gt;=100000), " ",IF(INDEX($AM$2:$BM$1001,MATCH(ROWS($AF$2:AF376),$AF$2:$AF$1001,0),MATCH(COLUMNS($AM$1006:AW1006),$AM$1006:$BM$1006,0)), HYPERLINK("#",""), HYPERLINK(CONCATENATE("#metadata!", ADDRESS(INDEX($AH$2:$AH$1001,MATCH(ROWS($AF$2:AF376),$AF$2:$AF$1001,0),0), INDEX($AM$1004:$BM$1004,1,MATCH(COLUMNS($AM$1006:AW1006),$AM$1006:$BM$1006,0)))),"Fix")))</f>
        <v xml:space="preserve"> </v>
      </c>
      <c r="M376" s="4" t="str">
        <f ca="1">IF(OR(INDEX($AG$2:$AG$1001,MATCH(ROWS($AF$2:AF376),$AF$2:$AF$1001,0),1)&gt;=100000,INDEX($AM$1005:$BM$1005,1,MATCH(COLUMNS($AM$1006:AX1006),$AM$1006:$BM$1006,0))&gt;=100000), " ",IF(INDEX($AM$2:$BM$1001,MATCH(ROWS($AF$2:AF376),$AF$2:$AF$1001,0),MATCH(COLUMNS($AM$1006:AX1006),$AM$1006:$BM$1006,0)), HYPERLINK("#",""), HYPERLINK(CONCATENATE("#metadata!", ADDRESS(INDEX($AH$2:$AH$1001,MATCH(ROWS($AF$2:AF376),$AF$2:$AF$1001,0),0), INDEX($AM$1004:$BM$1004,1,MATCH(COLUMNS($AM$1006:AX1006),$AM$1006:$BM$1006,0)))),"Fix")))</f>
        <v xml:space="preserve"> </v>
      </c>
      <c r="N376" s="4" t="str">
        <f ca="1">IF(OR(INDEX($AG$2:$AG$1001,MATCH(ROWS($AF$2:AF376),$AF$2:$AF$1001,0),1)&gt;=100000,INDEX($AM$1005:$BM$1005,1,MATCH(COLUMNS($AM$1006:AY1006),$AM$1006:$BM$1006,0))&gt;=100000), " ",IF(INDEX($AM$2:$BM$1001,MATCH(ROWS($AF$2:AF376),$AF$2:$AF$1001,0),MATCH(COLUMNS($AM$1006:AY1006),$AM$1006:$BM$1006,0)), HYPERLINK("#",""), HYPERLINK(CONCATENATE("#metadata!", ADDRESS(INDEX($AH$2:$AH$1001,MATCH(ROWS($AF$2:AF376),$AF$2:$AF$1001,0),0), INDEX($AM$1004:$BM$1004,1,MATCH(COLUMNS($AM$1006:AY1006),$AM$1006:$BM$1006,0)))),"Fix")))</f>
        <v xml:space="preserve"> </v>
      </c>
      <c r="O376" s="4" t="str">
        <f ca="1">IF(OR(INDEX($AG$2:$AG$1001,MATCH(ROWS($AF$2:AF376),$AF$2:$AF$1001,0),1)&gt;=100000,INDEX($AM$1005:$BM$1005,1,MATCH(COLUMNS($AM$1006:AZ1006),$AM$1006:$BM$1006,0))&gt;=100000), " ",IF(INDEX($AM$2:$BM$1001,MATCH(ROWS($AF$2:AF376),$AF$2:$AF$1001,0),MATCH(COLUMNS($AM$1006:AZ1006),$AM$1006:$BM$1006,0)), HYPERLINK("#",""), HYPERLINK(CONCATENATE("#metadata!", ADDRESS(INDEX($AH$2:$AH$1001,MATCH(ROWS($AF$2:AF376),$AF$2:$AF$1001,0),0), INDEX($AM$1004:$BM$1004,1,MATCH(COLUMNS($AM$1006:AZ1006),$AM$1006:$BM$1006,0)))),"Fix")))</f>
        <v xml:space="preserve"> </v>
      </c>
      <c r="P376" s="4" t="str">
        <f ca="1">IF(OR(INDEX($AG$2:$AG$1001,MATCH(ROWS($AF$2:AF376),$AF$2:$AF$1001,0),1)&gt;=100000,INDEX($AM$1005:$BM$1005,1,MATCH(COLUMNS($AM$1006:BA1006),$AM$1006:$BM$1006,0))&gt;=100000), " ",IF(INDEX($AM$2:$BM$1001,MATCH(ROWS($AF$2:AF376),$AF$2:$AF$1001,0),MATCH(COLUMNS($AM$1006:BA1006),$AM$1006:$BM$1006,0)), HYPERLINK("#",""), HYPERLINK(CONCATENATE("#metadata!", ADDRESS(INDEX($AH$2:$AH$1001,MATCH(ROWS($AF$2:AF376),$AF$2:$AF$1001,0),0), INDEX($AM$1004:$BM$1004,1,MATCH(COLUMNS($AM$1006:BA1006),$AM$1006:$BM$1006,0)))),"Fix")))</f>
        <v xml:space="preserve"> </v>
      </c>
      <c r="Q376" s="4" t="str">
        <f ca="1">IF(OR(INDEX($AG$2:$AG$1001,MATCH(ROWS($AF$2:AF376),$AF$2:$AF$1001,0),1)&gt;=100000,INDEX($AM$1005:$BM$1005,1,MATCH(COLUMNS($AM$1006:BB1006),$AM$1006:$BM$1006,0))&gt;=100000), " ",IF(INDEX($AM$2:$BM$1001,MATCH(ROWS($AF$2:AF376),$AF$2:$AF$1001,0),MATCH(COLUMNS($AM$1006:BB1006),$AM$1006:$BM$1006,0)), HYPERLINK("#",""), HYPERLINK(CONCATENATE("#metadata!", ADDRESS(INDEX($AH$2:$AH$1001,MATCH(ROWS($AF$2:AF376),$AF$2:$AF$1001,0),0), INDEX($AM$1004:$BM$1004,1,MATCH(COLUMNS($AM$1006:BB1006),$AM$1006:$BM$1006,0)))),"Fix")))</f>
        <v xml:space="preserve"> </v>
      </c>
      <c r="R376" s="4" t="str">
        <f ca="1">IF(OR(INDEX($AG$2:$AG$1001,MATCH(ROWS($AF$2:AF376),$AF$2:$AF$1001,0),1)&gt;=100000,INDEX($AM$1005:$BM$1005,1,MATCH(COLUMNS($AM$1006:BC1006),$AM$1006:$BM$1006,0))&gt;=100000), " ",IF(INDEX($AM$2:$BM$1001,MATCH(ROWS($AF$2:AF376),$AF$2:$AF$1001,0),MATCH(COLUMNS($AM$1006:BC1006),$AM$1006:$BM$1006,0)), HYPERLINK("#",""), HYPERLINK(CONCATENATE("#metadata!", ADDRESS(INDEX($AH$2:$AH$1001,MATCH(ROWS($AF$2:AF376),$AF$2:$AF$1001,0),0), INDEX($AM$1004:$BM$1004,1,MATCH(COLUMNS($AM$1006:BC1006),$AM$1006:$BM$1006,0)))),"Fix")))</f>
        <v xml:space="preserve"> </v>
      </c>
      <c r="S376" s="4" t="str">
        <f ca="1">IF(OR(INDEX($AG$2:$AG$1001,MATCH(ROWS($AF$2:AF376),$AF$2:$AF$1001,0),1)&gt;=100000,INDEX($AM$1005:$BM$1005,1,MATCH(COLUMNS($AM$1006:BD1006),$AM$1006:$BM$1006,0))&gt;=100000), " ",IF(INDEX($AM$2:$BM$1001,MATCH(ROWS($AF$2:AF376),$AF$2:$AF$1001,0),MATCH(COLUMNS($AM$1006:BD1006),$AM$1006:$BM$1006,0)), HYPERLINK("#",""), HYPERLINK(CONCATENATE("#metadata!", ADDRESS(INDEX($AH$2:$AH$1001,MATCH(ROWS($AF$2:AF376),$AF$2:$AF$1001,0),0), INDEX($AM$1004:$BM$1004,1,MATCH(COLUMNS($AM$1006:BD1006),$AM$1006:$BM$1006,0)))),"Fix")))</f>
        <v xml:space="preserve"> </v>
      </c>
      <c r="T376" s="4" t="str">
        <f ca="1">IF(OR(INDEX($AG$2:$AG$1001,MATCH(ROWS($AF$2:AF376),$AF$2:$AF$1001,0),1)&gt;=100000,INDEX($AM$1005:$BM$1005,1,MATCH(COLUMNS($AM$1006:BE1006),$AM$1006:$BM$1006,0))&gt;=100000), " ",IF(INDEX($AM$2:$BM$1001,MATCH(ROWS($AF$2:AF376),$AF$2:$AF$1001,0),MATCH(COLUMNS($AM$1006:BE1006),$AM$1006:$BM$1006,0)), HYPERLINK("#",""), HYPERLINK(CONCATENATE("#metadata!", ADDRESS(INDEX($AH$2:$AH$1001,MATCH(ROWS($AF$2:AF376),$AF$2:$AF$1001,0),0), INDEX($AM$1004:$BM$1004,1,MATCH(COLUMNS($AM$1006:BE1006),$AM$1006:$BM$1006,0)))),"Fix")))</f>
        <v xml:space="preserve"> </v>
      </c>
      <c r="U376" s="4" t="str">
        <f ca="1">IF(OR(INDEX($AG$2:$AG$1001,MATCH(ROWS($AF$2:AF376),$AF$2:$AF$1001,0),1)&gt;=100000,INDEX($AM$1005:$BM$1005,1,MATCH(COLUMNS($AM$1006:BF1006),$AM$1006:$BM$1006,0))&gt;=100000), " ",IF(INDEX($AM$2:$BM$1001,MATCH(ROWS($AF$2:AF376),$AF$2:$AF$1001,0),MATCH(COLUMNS($AM$1006:BF1006),$AM$1006:$BM$1006,0)), HYPERLINK("#",""), HYPERLINK(CONCATENATE("#metadata!", ADDRESS(INDEX($AH$2:$AH$1001,MATCH(ROWS($AF$2:AF376),$AF$2:$AF$1001,0),0), INDEX($AM$1004:$BM$1004,1,MATCH(COLUMNS($AM$1006:BF1006),$AM$1006:$BM$1006,0)))),"Fix")))</f>
        <v xml:space="preserve"> </v>
      </c>
      <c r="V376" s="4" t="str">
        <f ca="1">IF(OR(INDEX($AG$2:$AG$1001,MATCH(ROWS($AF$2:AF376),$AF$2:$AF$1001,0),1)&gt;=100000,INDEX($AM$1005:$BM$1005,1,MATCH(COLUMNS($AM$1006:BG1006),$AM$1006:$BM$1006,0))&gt;=100000), " ",IF(INDEX($AM$2:$BM$1001,MATCH(ROWS($AF$2:AF376),$AF$2:$AF$1001,0),MATCH(COLUMNS($AM$1006:BG1006),$AM$1006:$BM$1006,0)), HYPERLINK("#",""), HYPERLINK(CONCATENATE("#metadata!", ADDRESS(INDEX($AH$2:$AH$1001,MATCH(ROWS($AF$2:AF376),$AF$2:$AF$1001,0),0), INDEX($AM$1004:$BM$1004,1,MATCH(COLUMNS($AM$1006:BG1006),$AM$1006:$BM$1006,0)))),"Fix")))</f>
        <v xml:space="preserve"> </v>
      </c>
      <c r="W376" s="4" t="str">
        <f ca="1">IF(OR(INDEX($AG$2:$AG$1001,MATCH(ROWS($AF$2:AF376),$AF$2:$AF$1001,0),1)&gt;=100000,INDEX($AM$1005:$BM$1005,1,MATCH(COLUMNS($AM$1006:BH1006),$AM$1006:$BM$1006,0))&gt;=100000), " ",IF(INDEX($AM$2:$BM$1001,MATCH(ROWS($AF$2:AF376),$AF$2:$AF$1001,0),MATCH(COLUMNS($AM$1006:BH1006),$AM$1006:$BM$1006,0)), HYPERLINK("#",""), HYPERLINK(CONCATENATE("#metadata!", ADDRESS(INDEX($AH$2:$AH$1001,MATCH(ROWS($AF$2:AF376),$AF$2:$AF$1001,0),0), INDEX($AM$1004:$BM$1004,1,MATCH(COLUMNS($AM$1006:BH1006),$AM$1006:$BM$1006,0)))),"Fix")))</f>
        <v xml:space="preserve"> </v>
      </c>
      <c r="X376" s="4" t="str">
        <f ca="1">IF(OR(INDEX($AG$2:$AG$1001,MATCH(ROWS($AF$2:AF376),$AF$2:$AF$1001,0),1)&gt;=100000,INDEX($AM$1005:$BM$1005,1,MATCH(COLUMNS($AM$1006:BI1006),$AM$1006:$BM$1006,0))&gt;=100000), " ",IF(INDEX($AM$2:$BM$1001,MATCH(ROWS($AF$2:AF376),$AF$2:$AF$1001,0),MATCH(COLUMNS($AM$1006:BI1006),$AM$1006:$BM$1006,0)), HYPERLINK("#",""), HYPERLINK(CONCATENATE("#metadata!", ADDRESS(INDEX($AH$2:$AH$1001,MATCH(ROWS($AF$2:AF376),$AF$2:$AF$1001,0),0), INDEX($AM$1004:$BM$1004,1,MATCH(COLUMNS($AM$1006:BI1006),$AM$1006:$BM$1006,0)))),"Fix")))</f>
        <v xml:space="preserve"> </v>
      </c>
      <c r="Y376" s="4" t="str">
        <f ca="1">IF(OR(INDEX($AG$2:$AG$1001,MATCH(ROWS($AF$2:AF376),$AF$2:$AF$1001,0),1)&gt;=100000,INDEX($AM$1005:$BM$1005,1,MATCH(COLUMNS($AM$1006:BJ1006),$AM$1006:$BM$1006,0))&gt;=100000), " ",IF(INDEX($AM$2:$BM$1001,MATCH(ROWS($AF$2:AF376),$AF$2:$AF$1001,0),MATCH(COLUMNS($AM$1006:BJ1006),$AM$1006:$BM$1006,0)), HYPERLINK("#",""), HYPERLINK(CONCATENATE("#metadata!", ADDRESS(INDEX($AH$2:$AH$1001,MATCH(ROWS($AF$2:AF376),$AF$2:$AF$1001,0),0), INDEX($AM$1004:$BM$1004,1,MATCH(COLUMNS($AM$1006:BJ1006),$AM$1006:$BM$1006,0)))),"Fix")))</f>
        <v xml:space="preserve"> </v>
      </c>
      <c r="Z376" s="4" t="str">
        <f ca="1">IF(OR(INDEX($AG$2:$AG$1001,MATCH(ROWS($AF$2:AF376),$AF$2:$AF$1001,0),1)&gt;=100000,INDEX($AM$1005:$BM$1005,1,MATCH(COLUMNS($AM$1006:BK1006),$AM$1006:$BM$1006,0))&gt;=100000), " ",IF(INDEX($AM$2:$BM$1001,MATCH(ROWS($AF$2:AF376),$AF$2:$AF$1001,0),MATCH(COLUMNS($AM$1006:BK1006),$AM$1006:$BM$1006,0)), HYPERLINK("#",""), HYPERLINK(CONCATENATE("#metadata!", ADDRESS(INDEX($AH$2:$AH$1001,MATCH(ROWS($AF$2:AF376),$AF$2:$AF$1001,0),0), INDEX($AM$1004:$BM$1004,1,MATCH(COLUMNS($AM$1006:BK1006),$AM$1006:$BM$1006,0)))),"Fix")))</f>
        <v xml:space="preserve"> </v>
      </c>
      <c r="AA376" s="4" t="str">
        <f ca="1">IF(OR(INDEX($AG$2:$AG$1001,MATCH(ROWS($AF$2:AF376),$AF$2:$AF$1001,0),1)&gt;=100000,INDEX($AM$1005:$BM$1005,1,MATCH(COLUMNS($AM$1006:BL1006),$AM$1006:$BM$1006,0))&gt;=100000), " ",IF(INDEX($AM$2:$BM$1001,MATCH(ROWS($AF$2:AF376),$AF$2:$AF$1001,0),MATCH(COLUMNS($AM$1006:BL1006),$AM$1006:$BM$1006,0)), HYPERLINK("#",""), HYPERLINK(CONCATENATE("#metadata!", ADDRESS(INDEX($AH$2:$AH$1001,MATCH(ROWS($AF$2:AF376),$AF$2:$AF$1001,0),0), INDEX($AM$1004:$BM$1004,1,MATCH(COLUMNS($AM$1006:BL1006),$AM$1006:$BM$1006,0)))),"Fix")))</f>
        <v xml:space="preserve"> </v>
      </c>
      <c r="AB376" s="4" t="str">
        <f ca="1">IF(OR(INDEX($AG$2:$AG$1001,MATCH(ROWS($AF$2:AF376),$AF$2:$AF$1001,0),1)&gt;=100000,INDEX($AM$1005:$BM$1005,1,MATCH(COLUMNS($AM$1006:BM1006),$AM$1006:$BM$1006,0))&gt;=100000), " ",IF(INDEX($AM$2:$BM$1001,MATCH(ROWS($AF$2:AF376),$AF$2:$AF$1001,0),MATCH(COLUMNS($AM$1006:BM1006),$AM$1006:$BM$1006,0)), HYPERLINK("#",""), HYPERLINK(CONCATENATE("#metadata!", ADDRESS(INDEX($AH$2:$AH$1001,MATCH(ROWS($AF$2:AF376),$AF$2:$AF$1001,0),0), INDEX($AM$1004:$BM$1004,1,MATCH(COLUMNS($AM$1006:BM1006),$AM$1006:$BM$1006,0)))),"Fix")))</f>
        <v xml:space="preserve"> </v>
      </c>
      <c r="AF376">
        <v>375</v>
      </c>
      <c r="AG376">
        <v>100376</v>
      </c>
      <c r="AH376">
        <v>376</v>
      </c>
      <c r="AI376" t="b">
        <f t="shared" si="5"/>
        <v>1</v>
      </c>
      <c r="AJ376" t="b">
        <f>COUNTBLANK(metadata!B376:AB376)=COLUMNS(metadata!B376:AB376)</f>
        <v>1</v>
      </c>
      <c r="AK376" t="str">
        <v/>
      </c>
      <c r="AM376" t="b">
        <f ca="1">AND(IF(metadata!B376="",FALSE,TRUE),COUNTIF(metadata!B:B, metadata!B376) = 1,NOT(ISERROR(SUMPRODUCT(SEARCH(MID(metadata!B376,ROW(INDIRECT("1:"&amp;LEN(metadata!B376))), 1),"0123456789abcdefghijklmnopqrstuvwxyzABCDEFGHIJKLMNOPQRSTUVWXYZ.")))))</f>
        <v>0</v>
      </c>
      <c r="AN376" t="b">
        <f ca="1">OR(AND(IF(metadata!C376="",FALSE,TRUE),OR(EXACT(metadata!C376,"missing: not collected"),EXACT(metadata!C376,"missing: not provided"),EXACT(metadata!C376,"missing: restricted access"))),AND(IF(metadata!C376="",FALSE,TRUE),AND(AND(IFERROR(INT(LEFT(metadata!C376,4))&gt;1900,FALSE),IFERROR(INT(LEFT(metadata!C376,4))&lt;=YEAR(NOW()),FALSE)), OR(MID(metadata!C376,5,1)="", AND(AND(MID(metadata!C376,5,1)="-",IFERROR(INT(MID(metadata!C376,6,1))&gt;=0,FALSE),IFERROR(INT(MID(metadata!C376,6,1))&lt;=1,FALSE),NOT(MID(metadata!C376,7,1)=""),IFERROR(INT(MID(metadata!C376,6,2))&gt;=1,FALSE),IFERROR(INT(MID(metadata!C376,6,2))&lt;=12,FALSE)), OR(MID(metadata!C376,8,1)="", AND(AND(MID(metadata!C376,8,1)="-",IFERROR(INT(MID(metadata!C376,9,1))&gt;=0,FALSE),IFERROR(INT(MID(metadata!C376,9,1))&lt;=3,FALSE),NOT(MID(metadata!C376,10,1)=""),IFERROR(INT(MID(metadata!C376,9,2))&gt;=1,FALSE),IFERROR(INT(MID(metadata!C376,9,2))&lt;=31,FALSE)), OR(MID(metadata!C376,11,1)="", AND(AND(MID(metadata!C376,11,1)=" ",IFERROR(INT(MID(metadata!C376,12,1))&gt;=0,FALSE),IFERROR(INT(MID(metadata!C376,12,1))&lt;=2,FALSE),NOT(MID(metadata!C376,13,1)=""),IFERROR(INT(MID(metadata!C376,12,2))&gt;=0,FALSE),IFERROR(INT(MID(metadata!C376,12,2))&lt;=23,FALSE)), OR(MID(metadata!C376,14,1)="", AND(AND(MID(metadata!C376,14,1)=":",IFERROR(INT(MID(metadata!C376,15,1))&gt;=0,FALSE),IFERROR(INT(MID(metadata!C376,15,1))&lt;=5,FALSE),NOT(MID(metadata!C376,16,1)=""),IFERROR(INT(MID(metadata!C376,15,2))&gt;=0,FALSE),IFERROR(INT(MID(metadata!C376,15,2))&lt;=59,FALSE)), OR(MID(metadata!C376,17,1)="", AND(AND(MID(metadata!C376,17,1)=":",IFERROR(INT(MID(metadata!C376,18,1))&gt;=0,FALSE),IFERROR(INT(MID(metadata!C376,18,1))&lt;=5,FALSE),NOT(MID(metadata!C376,19,1)=""),IFERROR(INT(MID(metadata!C376,18,2))&gt;=0,FALSE),IFERROR(INT(MID(metadata!C376,18,2))&lt;=59,FALSE)), LEN(metadata!C376)&lt;=19)))))))))))))</f>
        <v>0</v>
      </c>
      <c r="AO376" t="b">
        <f>AND(IF(metadata!D376="",FALSE,TRUE),EXACT(metadata!D376,"Not applicable"))</f>
        <v>0</v>
      </c>
      <c r="AP376" t="b">
        <f>IF(metadata!E376="",FALSE,TRUE)</f>
        <v>0</v>
      </c>
      <c r="AQ376" t="b">
        <f>OR(AND(IF(metadata!F376="",FALSE,TRUE),OR(EXACT(metadata!F376,"missing: not collected"),EXACT(metadata!F376,"missing: not provided"))),AND(IF(metadata!F376="",FALSE,TRUE),OR(EXACT(metadata!F376,"TRUE"),EXACT(metadata!F376,"FALSE"))))</f>
        <v>0</v>
      </c>
      <c r="AR376" t="b">
        <f>OR(AND(IF(metadata!G376="",FALSE,TRUE),OR(EXACT(metadata!G376,"missing: not collected"),EXACT(metadata!G376,"missing: not provided"),EXACT(metadata!G376,"missing: restricted access"))),AND(IF(metadata!G376="",FALSE,ISNUMBER(VALUE(metadata!G376))),metadata!G376&gt;=-413))</f>
        <v>0</v>
      </c>
      <c r="AS376" t="b">
        <f>AND(IF(metadata!H376="",FALSE,TRUE),EXACT(metadata!H376,"meters"))</f>
        <v>0</v>
      </c>
      <c r="AT376" t="b">
        <f>AND(IF(metadata!I376="",FALSE,TRUE),OR(EXACT(metadata!I376,"Host-associated"),EXACT(metadata!I376,"Free-living")))</f>
        <v>0</v>
      </c>
      <c r="AU376" t="b">
        <f>AND(IF(metadata!J376="",FALSE,TRUE),OR(EXACT(metadata!J376,"Animal"),EXACT(metadata!J376,"Fungus"),EXACT(metadata!J376,"Plant"),EXACT(metadata!J376,"Saline"),EXACT(metadata!J376,"Non-saline")))</f>
        <v>0</v>
      </c>
      <c r="AV376" t="b">
        <f>AND(IF(metadata!K376="",FALSE,TRUE),OR(EXACT(metadata!K376,"Plant secretion"),EXACT(metadata!K376,"Plant rhizosphere"),EXACT(metadata!K376,"Plant surface"),EXACT(metadata!K376,"Plant corpus"),EXACT(metadata!K376,"Fungus surface"),EXACT(metadata!K376,"Fungus corpus"),EXACT(metadata!K376,"Animal surface"),EXACT(metadata!K376,"Animal proximal gut"),EXACT(metadata!K376,"Animal corpus"),EXACT(metadata!K376,"Animal distal gut"),EXACT(metadata!K376,"Animal secretion"),EXACT(metadata!K376,"Sub-surface (non-saline)"),EXACT(metadata!K376,"Surface (non-saline)"),EXACT(metadata!K376,"Water (non-saline)"),EXACT(metadata!K376,"Soil (non-saline)"),EXACT(metadata!K376,"Aerosol (non-saline)"),EXACT(metadata!K376,"Sediment (non-saline)"),EXACT(metadata!K376,"Surface (saline)"),EXACT(metadata!K376,"Water (saline)"),EXACT(metadata!K376,"Hypersaline (saline)"),EXACT(metadata!K376,"Aerosol (saline)"),EXACT(metadata!K376,"Sediment (saline)")))</f>
        <v>0</v>
      </c>
      <c r="AW376" t="b">
        <f>IF(metadata!L376="",FALSE,TRUE)</f>
        <v>0</v>
      </c>
      <c r="AX376" t="b">
        <f>IF(metadata!M376="",FALSE,TRUE)</f>
        <v>0</v>
      </c>
      <c r="AY376" t="b">
        <f>IF(metadata!N376="",FALSE,TRUE)</f>
        <v>0</v>
      </c>
      <c r="AZ376" t="b">
        <f>OR(AND(IF(metadata!O376="",FALSE,TRUE),OR(EXACT(metadata!O376,"missing: not collected"),EXACT(metadata!O376,"missing: not provided"),EXACT(metadata!O376,"missing: restricted access"))),AND(IF(metadata!O376="",FALSE,TRUE),OR(EXACT(metadata!O376,"air"),EXACT(metadata!O376,"built environment"),EXACT(metadata!O376,"host-associated"),EXACT(metadata!O376,"human-associated"),EXACT(metadata!O376,"human-skin"),EXACT(metadata!O376,"human-oral"),EXACT(metadata!O376,"human-gut"),EXACT(metadata!O376,"human-vaginal"),EXACT(metadata!O376,"microbial mat/biofilm"),EXACT(metadata!O376,"misc environment"),EXACT(metadata!O376,"plant-associated"),EXACT(metadata!O376,"sediment"),EXACT(metadata!O376,"soil"),EXACT(metadata!O376,"wastewater/sludge"),EXACT(metadata!O376,"water"))))</f>
        <v>0</v>
      </c>
      <c r="BA376" t="b">
        <f>IF(metadata!P376="",FALSE,TRUE)</f>
        <v>0</v>
      </c>
      <c r="BB376" t="b">
        <f>IF(metadata!Q376="",FALSE,TRUE)</f>
        <v>0</v>
      </c>
      <c r="BC376" t="b">
        <f>OR(AND(IF(metadata!R376="",FALSE,TRUE),OR(EXACT(metadata!R376,"missing: not collected"),EXACT(metadata!R376,"missing: not provided"),EXACT(metadata!R376,"missing: restricted access"))),AND(IF(metadata!R376="",FALSE,ISNUMBER(VALUE(metadata!R376))),metadata!R376&gt;=-90,metadata!R376&lt;=90))</f>
        <v>0</v>
      </c>
      <c r="BD376" t="b">
        <f>AND(IF(metadata!S376="",FALSE,TRUE),EXACT(metadata!S376,"Decimal degrees"))</f>
        <v>0</v>
      </c>
      <c r="BE376" t="b">
        <f>OR(AND(IF(metadata!T376="",FALSE,TRUE),OR(EXACT(metadata!T376,"missing: not collected"),EXACT(metadata!T376,"missing: not provided"),EXACT(metadata!T376,"missing: restricted access"))),AND(IF(metadata!T376="",FALSE,ISNUMBER(VALUE(metadata!T376))),metadata!T376&gt;=-180,metadata!T376&lt;=180))</f>
        <v>0</v>
      </c>
      <c r="BF376" t="b">
        <f>AND(IF(metadata!U376="",FALSE,TRUE),EXACT(metadata!U376,"Decimal degrees"))</f>
        <v>0</v>
      </c>
      <c r="BG376" t="b">
        <f>IF(metadata!V376="",FALSE,TRUE)</f>
        <v>0</v>
      </c>
      <c r="BH376" t="b">
        <f>OR(AND(IF(metadata!W376="",FALSE,TRUE),OR(EXACT(metadata!W376,"missing: not collected"),EXACT(metadata!W376,"missing: not provided"),EXACT(metadata!W376,"missing: restricted access"))),AND(IF(metadata!W376="",FALSE,TRUE),OR(EXACT(metadata!W376,"TRUE"),EXACT(metadata!W376,"FALSE"))))</f>
        <v>0</v>
      </c>
      <c r="BI376" t="b">
        <f>AND(IF(metadata!X376="",FALSE,TRUE),EXACT(metadata!X376,"other"))</f>
        <v>0</v>
      </c>
      <c r="BJ376" t="b">
        <f>IF(metadata!Y376="",FALSE,TRUE)</f>
        <v>0</v>
      </c>
      <c r="BK376" t="b">
        <f>OR(AND(IF(metadata!Z376="",FALSE,TRUE),OR(EXACT(metadata!Z376,"missing: not collected"),EXACT(metadata!Z376,"missing: not provided"))),AND(IF(metadata!Z376="",FALSE,IF(ISERROR(INT(metadata!Z376)),FALSE,INT(metadata!Z376)=metadata!Z376)),metadata!Z376&gt;0))</f>
        <v>0</v>
      </c>
      <c r="BL376" t="b">
        <f>AND(IF(metadata!AA376="",FALSE,TRUE),EXACT(metadata!AA376,"Not applicable"))</f>
        <v>0</v>
      </c>
      <c r="BM376" t="b">
        <f>IF(metadata!AB376="",FALSE,TRUE)</f>
        <v>0</v>
      </c>
    </row>
    <row r="377" spans="1:65" x14ac:dyDescent="0.2">
      <c r="A377" s="5" t="str">
        <f ca="1">IF(B377=" "," ",HYPERLINK(CONCATENATE("#metadata!",ADDRESS(INDEX($AH$2:$AH$1001,MATCH(ROWS($AF$2:AF377),$AF$2:$AF$1001,0),0),1)),INDEX($AK$2:$AK$1001,MATCH(ROWS($AF$2:AF377),$AF$2:$AF$1001,0),0)))</f>
        <v xml:space="preserve"> </v>
      </c>
      <c r="B377" s="4" t="str">
        <f ca="1">IF(OR(INDEX($AG$2:$AG$1001,MATCH(ROWS($AF$2:AF377),$AF$2:$AF$1001,0),1)&gt;=100000,INDEX($AM$1005:$BM$1005,1,MATCH(COLUMNS($AM$1006:AM1006),$AM$1006:$BM$1006,0))&gt;=100000), " ",IF(INDEX($AM$2:$BM$1001,MATCH(ROWS($AF$2:AF377),$AF$2:$AF$1001,0),MATCH(COLUMNS($AM$1006:AM1006),$AM$1006:$BM$1006,0)), HYPERLINK("#",""), HYPERLINK(CONCATENATE("#metadata!", ADDRESS(INDEX($AH$2:$AH$1001,MATCH(ROWS($AF$2:AF377),$AF$2:$AF$1001,0),0), INDEX($AM$1004:$BM$1004,1,MATCH(COLUMNS($AM$1006:AM1006),$AM$1006:$BM$1006,0)))),"Fix")))</f>
        <v xml:space="preserve"> </v>
      </c>
      <c r="C377" s="4" t="str">
        <f ca="1">IF(OR(INDEX($AG$2:$AG$1001,MATCH(ROWS($AF$2:AF377),$AF$2:$AF$1001,0),1)&gt;=100000,INDEX($AM$1005:$BM$1005,1,MATCH(COLUMNS($AM$1006:AN1006),$AM$1006:$BM$1006,0))&gt;=100000), " ",IF(INDEX($AM$2:$BM$1001,MATCH(ROWS($AF$2:AF377),$AF$2:$AF$1001,0),MATCH(COLUMNS($AM$1006:AN1006),$AM$1006:$BM$1006,0)), HYPERLINK("#",""), HYPERLINK(CONCATENATE("#metadata!", ADDRESS(INDEX($AH$2:$AH$1001,MATCH(ROWS($AF$2:AF377),$AF$2:$AF$1001,0),0), INDEX($AM$1004:$BM$1004,1,MATCH(COLUMNS($AM$1006:AN1006),$AM$1006:$BM$1006,0)))),"Fix")))</f>
        <v xml:space="preserve"> </v>
      </c>
      <c r="D377" s="4" t="str">
        <f ca="1">IF(OR(INDEX($AG$2:$AG$1001,MATCH(ROWS($AF$2:AF377),$AF$2:$AF$1001,0),1)&gt;=100000,INDEX($AM$1005:$BM$1005,1,MATCH(COLUMNS($AM$1006:AO1006),$AM$1006:$BM$1006,0))&gt;=100000), " ",IF(INDEX($AM$2:$BM$1001,MATCH(ROWS($AF$2:AF377),$AF$2:$AF$1001,0),MATCH(COLUMNS($AM$1006:AO1006),$AM$1006:$BM$1006,0)), HYPERLINK("#",""), HYPERLINK(CONCATENATE("#metadata!", ADDRESS(INDEX($AH$2:$AH$1001,MATCH(ROWS($AF$2:AF377),$AF$2:$AF$1001,0),0), INDEX($AM$1004:$BM$1004,1,MATCH(COLUMNS($AM$1006:AO1006),$AM$1006:$BM$1006,0)))),"Fix")))</f>
        <v xml:space="preserve"> </v>
      </c>
      <c r="E377" s="4" t="str">
        <f ca="1">IF(OR(INDEX($AG$2:$AG$1001,MATCH(ROWS($AF$2:AF377),$AF$2:$AF$1001,0),1)&gt;=100000,INDEX($AM$1005:$BM$1005,1,MATCH(COLUMNS($AM$1006:AP1006),$AM$1006:$BM$1006,0))&gt;=100000), " ",IF(INDEX($AM$2:$BM$1001,MATCH(ROWS($AF$2:AF377),$AF$2:$AF$1001,0),MATCH(COLUMNS($AM$1006:AP1006),$AM$1006:$BM$1006,0)), HYPERLINK("#",""), HYPERLINK(CONCATENATE("#metadata!", ADDRESS(INDEX($AH$2:$AH$1001,MATCH(ROWS($AF$2:AF377),$AF$2:$AF$1001,0),0), INDEX($AM$1004:$BM$1004,1,MATCH(COLUMNS($AM$1006:AP1006),$AM$1006:$BM$1006,0)))),"Fix")))</f>
        <v xml:space="preserve"> </v>
      </c>
      <c r="F377" s="4" t="str">
        <f ca="1">IF(OR(INDEX($AG$2:$AG$1001,MATCH(ROWS($AF$2:AF377),$AF$2:$AF$1001,0),1)&gt;=100000,INDEX($AM$1005:$BM$1005,1,MATCH(COLUMNS($AM$1006:AQ1006),$AM$1006:$BM$1006,0))&gt;=100000), " ",IF(INDEX($AM$2:$BM$1001,MATCH(ROWS($AF$2:AF377),$AF$2:$AF$1001,0),MATCH(COLUMNS($AM$1006:AQ1006),$AM$1006:$BM$1006,0)), HYPERLINK("#",""), HYPERLINK(CONCATENATE("#metadata!", ADDRESS(INDEX($AH$2:$AH$1001,MATCH(ROWS($AF$2:AF377),$AF$2:$AF$1001,0),0), INDEX($AM$1004:$BM$1004,1,MATCH(COLUMNS($AM$1006:AQ1006),$AM$1006:$BM$1006,0)))),"Fix")))</f>
        <v xml:space="preserve"> </v>
      </c>
      <c r="G377" s="4" t="str">
        <f ca="1">IF(OR(INDEX($AG$2:$AG$1001,MATCH(ROWS($AF$2:AF377),$AF$2:$AF$1001,0),1)&gt;=100000,INDEX($AM$1005:$BM$1005,1,MATCH(COLUMNS($AM$1006:AR1006),$AM$1006:$BM$1006,0))&gt;=100000), " ",IF(INDEX($AM$2:$BM$1001,MATCH(ROWS($AF$2:AF377),$AF$2:$AF$1001,0),MATCH(COLUMNS($AM$1006:AR1006),$AM$1006:$BM$1006,0)), HYPERLINK("#",""), HYPERLINK(CONCATENATE("#metadata!", ADDRESS(INDEX($AH$2:$AH$1001,MATCH(ROWS($AF$2:AF377),$AF$2:$AF$1001,0),0), INDEX($AM$1004:$BM$1004,1,MATCH(COLUMNS($AM$1006:AR1006),$AM$1006:$BM$1006,0)))),"Fix")))</f>
        <v xml:space="preserve"> </v>
      </c>
      <c r="H377" s="4" t="str">
        <f ca="1">IF(OR(INDEX($AG$2:$AG$1001,MATCH(ROWS($AF$2:AF377),$AF$2:$AF$1001,0),1)&gt;=100000,INDEX($AM$1005:$BM$1005,1,MATCH(COLUMNS($AM$1006:AS1006),$AM$1006:$BM$1006,0))&gt;=100000), " ",IF(INDEX($AM$2:$BM$1001,MATCH(ROWS($AF$2:AF377),$AF$2:$AF$1001,0),MATCH(COLUMNS($AM$1006:AS1006),$AM$1006:$BM$1006,0)), HYPERLINK("#",""), HYPERLINK(CONCATENATE("#metadata!", ADDRESS(INDEX($AH$2:$AH$1001,MATCH(ROWS($AF$2:AF377),$AF$2:$AF$1001,0),0), INDEX($AM$1004:$BM$1004,1,MATCH(COLUMNS($AM$1006:AS1006),$AM$1006:$BM$1006,0)))),"Fix")))</f>
        <v xml:space="preserve"> </v>
      </c>
      <c r="I377" s="4" t="str">
        <f ca="1">IF(OR(INDEX($AG$2:$AG$1001,MATCH(ROWS($AF$2:AF377),$AF$2:$AF$1001,0),1)&gt;=100000,INDEX($AM$1005:$BM$1005,1,MATCH(COLUMNS($AM$1006:AT1006),$AM$1006:$BM$1006,0))&gt;=100000), " ",IF(INDEX($AM$2:$BM$1001,MATCH(ROWS($AF$2:AF377),$AF$2:$AF$1001,0),MATCH(COLUMNS($AM$1006:AT1006),$AM$1006:$BM$1006,0)), HYPERLINK("#",""), HYPERLINK(CONCATENATE("#metadata!", ADDRESS(INDEX($AH$2:$AH$1001,MATCH(ROWS($AF$2:AF377),$AF$2:$AF$1001,0),0), INDEX($AM$1004:$BM$1004,1,MATCH(COLUMNS($AM$1006:AT1006),$AM$1006:$BM$1006,0)))),"Fix")))</f>
        <v xml:space="preserve"> </v>
      </c>
      <c r="J377" s="4" t="str">
        <f ca="1">IF(OR(INDEX($AG$2:$AG$1001,MATCH(ROWS($AF$2:AF377),$AF$2:$AF$1001,0),1)&gt;=100000,INDEX($AM$1005:$BM$1005,1,MATCH(COLUMNS($AM$1006:AU1006),$AM$1006:$BM$1006,0))&gt;=100000), " ",IF(INDEX($AM$2:$BM$1001,MATCH(ROWS($AF$2:AF377),$AF$2:$AF$1001,0),MATCH(COLUMNS($AM$1006:AU1006),$AM$1006:$BM$1006,0)), HYPERLINK("#",""), HYPERLINK(CONCATENATE("#metadata!", ADDRESS(INDEX($AH$2:$AH$1001,MATCH(ROWS($AF$2:AF377),$AF$2:$AF$1001,0),0), INDEX($AM$1004:$BM$1004,1,MATCH(COLUMNS($AM$1006:AU1006),$AM$1006:$BM$1006,0)))),"Fix")))</f>
        <v xml:space="preserve"> </v>
      </c>
      <c r="K377" s="4" t="str">
        <f ca="1">IF(OR(INDEX($AG$2:$AG$1001,MATCH(ROWS($AF$2:AF377),$AF$2:$AF$1001,0),1)&gt;=100000,INDEX($AM$1005:$BM$1005,1,MATCH(COLUMNS($AM$1006:AV1006),$AM$1006:$BM$1006,0))&gt;=100000), " ",IF(INDEX($AM$2:$BM$1001,MATCH(ROWS($AF$2:AF377),$AF$2:$AF$1001,0),MATCH(COLUMNS($AM$1006:AV1006),$AM$1006:$BM$1006,0)), HYPERLINK("#",""), HYPERLINK(CONCATENATE("#metadata!", ADDRESS(INDEX($AH$2:$AH$1001,MATCH(ROWS($AF$2:AF377),$AF$2:$AF$1001,0),0), INDEX($AM$1004:$BM$1004,1,MATCH(COLUMNS($AM$1006:AV1006),$AM$1006:$BM$1006,0)))),"Fix")))</f>
        <v xml:space="preserve"> </v>
      </c>
      <c r="L377" s="4" t="str">
        <f ca="1">IF(OR(INDEX($AG$2:$AG$1001,MATCH(ROWS($AF$2:AF377),$AF$2:$AF$1001,0),1)&gt;=100000,INDEX($AM$1005:$BM$1005,1,MATCH(COLUMNS($AM$1006:AW1006),$AM$1006:$BM$1006,0))&gt;=100000), " ",IF(INDEX($AM$2:$BM$1001,MATCH(ROWS($AF$2:AF377),$AF$2:$AF$1001,0),MATCH(COLUMNS($AM$1006:AW1006),$AM$1006:$BM$1006,0)), HYPERLINK("#",""), HYPERLINK(CONCATENATE("#metadata!", ADDRESS(INDEX($AH$2:$AH$1001,MATCH(ROWS($AF$2:AF377),$AF$2:$AF$1001,0),0), INDEX($AM$1004:$BM$1004,1,MATCH(COLUMNS($AM$1006:AW1006),$AM$1006:$BM$1006,0)))),"Fix")))</f>
        <v xml:space="preserve"> </v>
      </c>
      <c r="M377" s="4" t="str">
        <f ca="1">IF(OR(INDEX($AG$2:$AG$1001,MATCH(ROWS($AF$2:AF377),$AF$2:$AF$1001,0),1)&gt;=100000,INDEX($AM$1005:$BM$1005,1,MATCH(COLUMNS($AM$1006:AX1006),$AM$1006:$BM$1006,0))&gt;=100000), " ",IF(INDEX($AM$2:$BM$1001,MATCH(ROWS($AF$2:AF377),$AF$2:$AF$1001,0),MATCH(COLUMNS($AM$1006:AX1006),$AM$1006:$BM$1006,0)), HYPERLINK("#",""), HYPERLINK(CONCATENATE("#metadata!", ADDRESS(INDEX($AH$2:$AH$1001,MATCH(ROWS($AF$2:AF377),$AF$2:$AF$1001,0),0), INDEX($AM$1004:$BM$1004,1,MATCH(COLUMNS($AM$1006:AX1006),$AM$1006:$BM$1006,0)))),"Fix")))</f>
        <v xml:space="preserve"> </v>
      </c>
      <c r="N377" s="4" t="str">
        <f ca="1">IF(OR(INDEX($AG$2:$AG$1001,MATCH(ROWS($AF$2:AF377),$AF$2:$AF$1001,0),1)&gt;=100000,INDEX($AM$1005:$BM$1005,1,MATCH(COLUMNS($AM$1006:AY1006),$AM$1006:$BM$1006,0))&gt;=100000), " ",IF(INDEX($AM$2:$BM$1001,MATCH(ROWS($AF$2:AF377),$AF$2:$AF$1001,0),MATCH(COLUMNS($AM$1006:AY1006),$AM$1006:$BM$1006,0)), HYPERLINK("#",""), HYPERLINK(CONCATENATE("#metadata!", ADDRESS(INDEX($AH$2:$AH$1001,MATCH(ROWS($AF$2:AF377),$AF$2:$AF$1001,0),0), INDEX($AM$1004:$BM$1004,1,MATCH(COLUMNS($AM$1006:AY1006),$AM$1006:$BM$1006,0)))),"Fix")))</f>
        <v xml:space="preserve"> </v>
      </c>
      <c r="O377" s="4" t="str">
        <f ca="1">IF(OR(INDEX($AG$2:$AG$1001,MATCH(ROWS($AF$2:AF377),$AF$2:$AF$1001,0),1)&gt;=100000,INDEX($AM$1005:$BM$1005,1,MATCH(COLUMNS($AM$1006:AZ1006),$AM$1006:$BM$1006,0))&gt;=100000), " ",IF(INDEX($AM$2:$BM$1001,MATCH(ROWS($AF$2:AF377),$AF$2:$AF$1001,0),MATCH(COLUMNS($AM$1006:AZ1006),$AM$1006:$BM$1006,0)), HYPERLINK("#",""), HYPERLINK(CONCATENATE("#metadata!", ADDRESS(INDEX($AH$2:$AH$1001,MATCH(ROWS($AF$2:AF377),$AF$2:$AF$1001,0),0), INDEX($AM$1004:$BM$1004,1,MATCH(COLUMNS($AM$1006:AZ1006),$AM$1006:$BM$1006,0)))),"Fix")))</f>
        <v xml:space="preserve"> </v>
      </c>
      <c r="P377" s="4" t="str">
        <f ca="1">IF(OR(INDEX($AG$2:$AG$1001,MATCH(ROWS($AF$2:AF377),$AF$2:$AF$1001,0),1)&gt;=100000,INDEX($AM$1005:$BM$1005,1,MATCH(COLUMNS($AM$1006:BA1006),$AM$1006:$BM$1006,0))&gt;=100000), " ",IF(INDEX($AM$2:$BM$1001,MATCH(ROWS($AF$2:AF377),$AF$2:$AF$1001,0),MATCH(COLUMNS($AM$1006:BA1006),$AM$1006:$BM$1006,0)), HYPERLINK("#",""), HYPERLINK(CONCATENATE("#metadata!", ADDRESS(INDEX($AH$2:$AH$1001,MATCH(ROWS($AF$2:AF377),$AF$2:$AF$1001,0),0), INDEX($AM$1004:$BM$1004,1,MATCH(COLUMNS($AM$1006:BA1006),$AM$1006:$BM$1006,0)))),"Fix")))</f>
        <v xml:space="preserve"> </v>
      </c>
      <c r="Q377" s="4" t="str">
        <f ca="1">IF(OR(INDEX($AG$2:$AG$1001,MATCH(ROWS($AF$2:AF377),$AF$2:$AF$1001,0),1)&gt;=100000,INDEX($AM$1005:$BM$1005,1,MATCH(COLUMNS($AM$1006:BB1006),$AM$1006:$BM$1006,0))&gt;=100000), " ",IF(INDEX($AM$2:$BM$1001,MATCH(ROWS($AF$2:AF377),$AF$2:$AF$1001,0),MATCH(COLUMNS($AM$1006:BB1006),$AM$1006:$BM$1006,0)), HYPERLINK("#",""), HYPERLINK(CONCATENATE("#metadata!", ADDRESS(INDEX($AH$2:$AH$1001,MATCH(ROWS($AF$2:AF377),$AF$2:$AF$1001,0),0), INDEX($AM$1004:$BM$1004,1,MATCH(COLUMNS($AM$1006:BB1006),$AM$1006:$BM$1006,0)))),"Fix")))</f>
        <v xml:space="preserve"> </v>
      </c>
      <c r="R377" s="4" t="str">
        <f ca="1">IF(OR(INDEX($AG$2:$AG$1001,MATCH(ROWS($AF$2:AF377),$AF$2:$AF$1001,0),1)&gt;=100000,INDEX($AM$1005:$BM$1005,1,MATCH(COLUMNS($AM$1006:BC1006),$AM$1006:$BM$1006,0))&gt;=100000), " ",IF(INDEX($AM$2:$BM$1001,MATCH(ROWS($AF$2:AF377),$AF$2:$AF$1001,0),MATCH(COLUMNS($AM$1006:BC1006),$AM$1006:$BM$1006,0)), HYPERLINK("#",""), HYPERLINK(CONCATENATE("#metadata!", ADDRESS(INDEX($AH$2:$AH$1001,MATCH(ROWS($AF$2:AF377),$AF$2:$AF$1001,0),0), INDEX($AM$1004:$BM$1004,1,MATCH(COLUMNS($AM$1006:BC1006),$AM$1006:$BM$1006,0)))),"Fix")))</f>
        <v xml:space="preserve"> </v>
      </c>
      <c r="S377" s="4" t="str">
        <f ca="1">IF(OR(INDEX($AG$2:$AG$1001,MATCH(ROWS($AF$2:AF377),$AF$2:$AF$1001,0),1)&gt;=100000,INDEX($AM$1005:$BM$1005,1,MATCH(COLUMNS($AM$1006:BD1006),$AM$1006:$BM$1006,0))&gt;=100000), " ",IF(INDEX($AM$2:$BM$1001,MATCH(ROWS($AF$2:AF377),$AF$2:$AF$1001,0),MATCH(COLUMNS($AM$1006:BD1006),$AM$1006:$BM$1006,0)), HYPERLINK("#",""), HYPERLINK(CONCATENATE("#metadata!", ADDRESS(INDEX($AH$2:$AH$1001,MATCH(ROWS($AF$2:AF377),$AF$2:$AF$1001,0),0), INDEX($AM$1004:$BM$1004,1,MATCH(COLUMNS($AM$1006:BD1006),$AM$1006:$BM$1006,0)))),"Fix")))</f>
        <v xml:space="preserve"> </v>
      </c>
      <c r="T377" s="4" t="str">
        <f ca="1">IF(OR(INDEX($AG$2:$AG$1001,MATCH(ROWS($AF$2:AF377),$AF$2:$AF$1001,0),1)&gt;=100000,INDEX($AM$1005:$BM$1005,1,MATCH(COLUMNS($AM$1006:BE1006),$AM$1006:$BM$1006,0))&gt;=100000), " ",IF(INDEX($AM$2:$BM$1001,MATCH(ROWS($AF$2:AF377),$AF$2:$AF$1001,0),MATCH(COLUMNS($AM$1006:BE1006),$AM$1006:$BM$1006,0)), HYPERLINK("#",""), HYPERLINK(CONCATENATE("#metadata!", ADDRESS(INDEX($AH$2:$AH$1001,MATCH(ROWS($AF$2:AF377),$AF$2:$AF$1001,0),0), INDEX($AM$1004:$BM$1004,1,MATCH(COLUMNS($AM$1006:BE1006),$AM$1006:$BM$1006,0)))),"Fix")))</f>
        <v xml:space="preserve"> </v>
      </c>
      <c r="U377" s="4" t="str">
        <f ca="1">IF(OR(INDEX($AG$2:$AG$1001,MATCH(ROWS($AF$2:AF377),$AF$2:$AF$1001,0),1)&gt;=100000,INDEX($AM$1005:$BM$1005,1,MATCH(COLUMNS($AM$1006:BF1006),$AM$1006:$BM$1006,0))&gt;=100000), " ",IF(INDEX($AM$2:$BM$1001,MATCH(ROWS($AF$2:AF377),$AF$2:$AF$1001,0),MATCH(COLUMNS($AM$1006:BF1006),$AM$1006:$BM$1006,0)), HYPERLINK("#",""), HYPERLINK(CONCATENATE("#metadata!", ADDRESS(INDEX($AH$2:$AH$1001,MATCH(ROWS($AF$2:AF377),$AF$2:$AF$1001,0),0), INDEX($AM$1004:$BM$1004,1,MATCH(COLUMNS($AM$1006:BF1006),$AM$1006:$BM$1006,0)))),"Fix")))</f>
        <v xml:space="preserve"> </v>
      </c>
      <c r="V377" s="4" t="str">
        <f ca="1">IF(OR(INDEX($AG$2:$AG$1001,MATCH(ROWS($AF$2:AF377),$AF$2:$AF$1001,0),1)&gt;=100000,INDEX($AM$1005:$BM$1005,1,MATCH(COLUMNS($AM$1006:BG1006),$AM$1006:$BM$1006,0))&gt;=100000), " ",IF(INDEX($AM$2:$BM$1001,MATCH(ROWS($AF$2:AF377),$AF$2:$AF$1001,0),MATCH(COLUMNS($AM$1006:BG1006),$AM$1006:$BM$1006,0)), HYPERLINK("#",""), HYPERLINK(CONCATENATE("#metadata!", ADDRESS(INDEX($AH$2:$AH$1001,MATCH(ROWS($AF$2:AF377),$AF$2:$AF$1001,0),0), INDEX($AM$1004:$BM$1004,1,MATCH(COLUMNS($AM$1006:BG1006),$AM$1006:$BM$1006,0)))),"Fix")))</f>
        <v xml:space="preserve"> </v>
      </c>
      <c r="W377" s="4" t="str">
        <f ca="1">IF(OR(INDEX($AG$2:$AG$1001,MATCH(ROWS($AF$2:AF377),$AF$2:$AF$1001,0),1)&gt;=100000,INDEX($AM$1005:$BM$1005,1,MATCH(COLUMNS($AM$1006:BH1006),$AM$1006:$BM$1006,0))&gt;=100000), " ",IF(INDEX($AM$2:$BM$1001,MATCH(ROWS($AF$2:AF377),$AF$2:$AF$1001,0),MATCH(COLUMNS($AM$1006:BH1006),$AM$1006:$BM$1006,0)), HYPERLINK("#",""), HYPERLINK(CONCATENATE("#metadata!", ADDRESS(INDEX($AH$2:$AH$1001,MATCH(ROWS($AF$2:AF377),$AF$2:$AF$1001,0),0), INDEX($AM$1004:$BM$1004,1,MATCH(COLUMNS($AM$1006:BH1006),$AM$1006:$BM$1006,0)))),"Fix")))</f>
        <v xml:space="preserve"> </v>
      </c>
      <c r="X377" s="4" t="str">
        <f ca="1">IF(OR(INDEX($AG$2:$AG$1001,MATCH(ROWS($AF$2:AF377),$AF$2:$AF$1001,0),1)&gt;=100000,INDEX($AM$1005:$BM$1005,1,MATCH(COLUMNS($AM$1006:BI1006),$AM$1006:$BM$1006,0))&gt;=100000), " ",IF(INDEX($AM$2:$BM$1001,MATCH(ROWS($AF$2:AF377),$AF$2:$AF$1001,0),MATCH(COLUMNS($AM$1006:BI1006),$AM$1006:$BM$1006,0)), HYPERLINK("#",""), HYPERLINK(CONCATENATE("#metadata!", ADDRESS(INDEX($AH$2:$AH$1001,MATCH(ROWS($AF$2:AF377),$AF$2:$AF$1001,0),0), INDEX($AM$1004:$BM$1004,1,MATCH(COLUMNS($AM$1006:BI1006),$AM$1006:$BM$1006,0)))),"Fix")))</f>
        <v xml:space="preserve"> </v>
      </c>
      <c r="Y377" s="4" t="str">
        <f ca="1">IF(OR(INDEX($AG$2:$AG$1001,MATCH(ROWS($AF$2:AF377),$AF$2:$AF$1001,0),1)&gt;=100000,INDEX($AM$1005:$BM$1005,1,MATCH(COLUMNS($AM$1006:BJ1006),$AM$1006:$BM$1006,0))&gt;=100000), " ",IF(INDEX($AM$2:$BM$1001,MATCH(ROWS($AF$2:AF377),$AF$2:$AF$1001,0),MATCH(COLUMNS($AM$1006:BJ1006),$AM$1006:$BM$1006,0)), HYPERLINK("#",""), HYPERLINK(CONCATENATE("#metadata!", ADDRESS(INDEX($AH$2:$AH$1001,MATCH(ROWS($AF$2:AF377),$AF$2:$AF$1001,0),0), INDEX($AM$1004:$BM$1004,1,MATCH(COLUMNS($AM$1006:BJ1006),$AM$1006:$BM$1006,0)))),"Fix")))</f>
        <v xml:space="preserve"> </v>
      </c>
      <c r="Z377" s="4" t="str">
        <f ca="1">IF(OR(INDEX($AG$2:$AG$1001,MATCH(ROWS($AF$2:AF377),$AF$2:$AF$1001,0),1)&gt;=100000,INDEX($AM$1005:$BM$1005,1,MATCH(COLUMNS($AM$1006:BK1006),$AM$1006:$BM$1006,0))&gt;=100000), " ",IF(INDEX($AM$2:$BM$1001,MATCH(ROWS($AF$2:AF377),$AF$2:$AF$1001,0),MATCH(COLUMNS($AM$1006:BK1006),$AM$1006:$BM$1006,0)), HYPERLINK("#",""), HYPERLINK(CONCATENATE("#metadata!", ADDRESS(INDEX($AH$2:$AH$1001,MATCH(ROWS($AF$2:AF377),$AF$2:$AF$1001,0),0), INDEX($AM$1004:$BM$1004,1,MATCH(COLUMNS($AM$1006:BK1006),$AM$1006:$BM$1006,0)))),"Fix")))</f>
        <v xml:space="preserve"> </v>
      </c>
      <c r="AA377" s="4" t="str">
        <f ca="1">IF(OR(INDEX($AG$2:$AG$1001,MATCH(ROWS($AF$2:AF377),$AF$2:$AF$1001,0),1)&gt;=100000,INDEX($AM$1005:$BM$1005,1,MATCH(COLUMNS($AM$1006:BL1006),$AM$1006:$BM$1006,0))&gt;=100000), " ",IF(INDEX($AM$2:$BM$1001,MATCH(ROWS($AF$2:AF377),$AF$2:$AF$1001,0),MATCH(COLUMNS($AM$1006:BL1006),$AM$1006:$BM$1006,0)), HYPERLINK("#",""), HYPERLINK(CONCATENATE("#metadata!", ADDRESS(INDEX($AH$2:$AH$1001,MATCH(ROWS($AF$2:AF377),$AF$2:$AF$1001,0),0), INDEX($AM$1004:$BM$1004,1,MATCH(COLUMNS($AM$1006:BL1006),$AM$1006:$BM$1006,0)))),"Fix")))</f>
        <v xml:space="preserve"> </v>
      </c>
      <c r="AB377" s="4" t="str">
        <f ca="1">IF(OR(INDEX($AG$2:$AG$1001,MATCH(ROWS($AF$2:AF377),$AF$2:$AF$1001,0),1)&gt;=100000,INDEX($AM$1005:$BM$1005,1,MATCH(COLUMNS($AM$1006:BM1006),$AM$1006:$BM$1006,0))&gt;=100000), " ",IF(INDEX($AM$2:$BM$1001,MATCH(ROWS($AF$2:AF377),$AF$2:$AF$1001,0),MATCH(COLUMNS($AM$1006:BM1006),$AM$1006:$BM$1006,0)), HYPERLINK("#",""), HYPERLINK(CONCATENATE("#metadata!", ADDRESS(INDEX($AH$2:$AH$1001,MATCH(ROWS($AF$2:AF377),$AF$2:$AF$1001,0),0), INDEX($AM$1004:$BM$1004,1,MATCH(COLUMNS($AM$1006:BM1006),$AM$1006:$BM$1006,0)))),"Fix")))</f>
        <v xml:space="preserve"> </v>
      </c>
      <c r="AF377">
        <v>376</v>
      </c>
      <c r="AG377">
        <v>100377</v>
      </c>
      <c r="AH377">
        <v>377</v>
      </c>
      <c r="AI377" t="b">
        <f t="shared" si="5"/>
        <v>1</v>
      </c>
      <c r="AJ377" t="b">
        <f>COUNTBLANK(metadata!B377:AB377)=COLUMNS(metadata!B377:AB377)</f>
        <v>1</v>
      </c>
      <c r="AK377" t="str">
        <v/>
      </c>
      <c r="AM377" t="b">
        <f ca="1">AND(IF(metadata!B377="",FALSE,TRUE),COUNTIF(metadata!B:B, metadata!B377) = 1,NOT(ISERROR(SUMPRODUCT(SEARCH(MID(metadata!B377,ROW(INDIRECT("1:"&amp;LEN(metadata!B377))), 1),"0123456789abcdefghijklmnopqrstuvwxyzABCDEFGHIJKLMNOPQRSTUVWXYZ.")))))</f>
        <v>0</v>
      </c>
      <c r="AN377" t="b">
        <f ca="1">OR(AND(IF(metadata!C377="",FALSE,TRUE),OR(EXACT(metadata!C377,"missing: not collected"),EXACT(metadata!C377,"missing: not provided"),EXACT(metadata!C377,"missing: restricted access"))),AND(IF(metadata!C377="",FALSE,TRUE),AND(AND(IFERROR(INT(LEFT(metadata!C377,4))&gt;1900,FALSE),IFERROR(INT(LEFT(metadata!C377,4))&lt;=YEAR(NOW()),FALSE)), OR(MID(metadata!C377,5,1)="", AND(AND(MID(metadata!C377,5,1)="-",IFERROR(INT(MID(metadata!C377,6,1))&gt;=0,FALSE),IFERROR(INT(MID(metadata!C377,6,1))&lt;=1,FALSE),NOT(MID(metadata!C377,7,1)=""),IFERROR(INT(MID(metadata!C377,6,2))&gt;=1,FALSE),IFERROR(INT(MID(metadata!C377,6,2))&lt;=12,FALSE)), OR(MID(metadata!C377,8,1)="", AND(AND(MID(metadata!C377,8,1)="-",IFERROR(INT(MID(metadata!C377,9,1))&gt;=0,FALSE),IFERROR(INT(MID(metadata!C377,9,1))&lt;=3,FALSE),NOT(MID(metadata!C377,10,1)=""),IFERROR(INT(MID(metadata!C377,9,2))&gt;=1,FALSE),IFERROR(INT(MID(metadata!C377,9,2))&lt;=31,FALSE)), OR(MID(metadata!C377,11,1)="", AND(AND(MID(metadata!C377,11,1)=" ",IFERROR(INT(MID(metadata!C377,12,1))&gt;=0,FALSE),IFERROR(INT(MID(metadata!C377,12,1))&lt;=2,FALSE),NOT(MID(metadata!C377,13,1)=""),IFERROR(INT(MID(metadata!C377,12,2))&gt;=0,FALSE),IFERROR(INT(MID(metadata!C377,12,2))&lt;=23,FALSE)), OR(MID(metadata!C377,14,1)="", AND(AND(MID(metadata!C377,14,1)=":",IFERROR(INT(MID(metadata!C377,15,1))&gt;=0,FALSE),IFERROR(INT(MID(metadata!C377,15,1))&lt;=5,FALSE),NOT(MID(metadata!C377,16,1)=""),IFERROR(INT(MID(metadata!C377,15,2))&gt;=0,FALSE),IFERROR(INT(MID(metadata!C377,15,2))&lt;=59,FALSE)), OR(MID(metadata!C377,17,1)="", AND(AND(MID(metadata!C377,17,1)=":",IFERROR(INT(MID(metadata!C377,18,1))&gt;=0,FALSE),IFERROR(INT(MID(metadata!C377,18,1))&lt;=5,FALSE),NOT(MID(metadata!C377,19,1)=""),IFERROR(INT(MID(metadata!C377,18,2))&gt;=0,FALSE),IFERROR(INT(MID(metadata!C377,18,2))&lt;=59,FALSE)), LEN(metadata!C377)&lt;=19)))))))))))))</f>
        <v>0</v>
      </c>
      <c r="AO377" t="b">
        <f>AND(IF(metadata!D377="",FALSE,TRUE),EXACT(metadata!D377,"Not applicable"))</f>
        <v>0</v>
      </c>
      <c r="AP377" t="b">
        <f>IF(metadata!E377="",FALSE,TRUE)</f>
        <v>0</v>
      </c>
      <c r="AQ377" t="b">
        <f>OR(AND(IF(metadata!F377="",FALSE,TRUE),OR(EXACT(metadata!F377,"missing: not collected"),EXACT(metadata!F377,"missing: not provided"))),AND(IF(metadata!F377="",FALSE,TRUE),OR(EXACT(metadata!F377,"TRUE"),EXACT(metadata!F377,"FALSE"))))</f>
        <v>0</v>
      </c>
      <c r="AR377" t="b">
        <f>OR(AND(IF(metadata!G377="",FALSE,TRUE),OR(EXACT(metadata!G377,"missing: not collected"),EXACT(metadata!G377,"missing: not provided"),EXACT(metadata!G377,"missing: restricted access"))),AND(IF(metadata!G377="",FALSE,ISNUMBER(VALUE(metadata!G377))),metadata!G377&gt;=-413))</f>
        <v>0</v>
      </c>
      <c r="AS377" t="b">
        <f>AND(IF(metadata!H377="",FALSE,TRUE),EXACT(metadata!H377,"meters"))</f>
        <v>0</v>
      </c>
      <c r="AT377" t="b">
        <f>AND(IF(metadata!I377="",FALSE,TRUE),OR(EXACT(metadata!I377,"Host-associated"),EXACT(metadata!I377,"Free-living")))</f>
        <v>0</v>
      </c>
      <c r="AU377" t="b">
        <f>AND(IF(metadata!J377="",FALSE,TRUE),OR(EXACT(metadata!J377,"Animal"),EXACT(metadata!J377,"Fungus"),EXACT(metadata!J377,"Plant"),EXACT(metadata!J377,"Saline"),EXACT(metadata!J377,"Non-saline")))</f>
        <v>0</v>
      </c>
      <c r="AV377" t="b">
        <f>AND(IF(metadata!K377="",FALSE,TRUE),OR(EXACT(metadata!K377,"Plant secretion"),EXACT(metadata!K377,"Plant rhizosphere"),EXACT(metadata!K377,"Plant surface"),EXACT(metadata!K377,"Plant corpus"),EXACT(metadata!K377,"Fungus surface"),EXACT(metadata!K377,"Fungus corpus"),EXACT(metadata!K377,"Animal surface"),EXACT(metadata!K377,"Animal proximal gut"),EXACT(metadata!K377,"Animal corpus"),EXACT(metadata!K377,"Animal distal gut"),EXACT(metadata!K377,"Animal secretion"),EXACT(metadata!K377,"Sub-surface (non-saline)"),EXACT(metadata!K377,"Surface (non-saline)"),EXACT(metadata!K377,"Water (non-saline)"),EXACT(metadata!K377,"Soil (non-saline)"),EXACT(metadata!K377,"Aerosol (non-saline)"),EXACT(metadata!K377,"Sediment (non-saline)"),EXACT(metadata!K377,"Surface (saline)"),EXACT(metadata!K377,"Water (saline)"),EXACT(metadata!K377,"Hypersaline (saline)"),EXACT(metadata!K377,"Aerosol (saline)"),EXACT(metadata!K377,"Sediment (saline)")))</f>
        <v>0</v>
      </c>
      <c r="AW377" t="b">
        <f>IF(metadata!L377="",FALSE,TRUE)</f>
        <v>0</v>
      </c>
      <c r="AX377" t="b">
        <f>IF(metadata!M377="",FALSE,TRUE)</f>
        <v>0</v>
      </c>
      <c r="AY377" t="b">
        <f>IF(metadata!N377="",FALSE,TRUE)</f>
        <v>0</v>
      </c>
      <c r="AZ377" t="b">
        <f>OR(AND(IF(metadata!O377="",FALSE,TRUE),OR(EXACT(metadata!O377,"missing: not collected"),EXACT(metadata!O377,"missing: not provided"),EXACT(metadata!O377,"missing: restricted access"))),AND(IF(metadata!O377="",FALSE,TRUE),OR(EXACT(metadata!O377,"air"),EXACT(metadata!O377,"built environment"),EXACT(metadata!O377,"host-associated"),EXACT(metadata!O377,"human-associated"),EXACT(metadata!O377,"human-skin"),EXACT(metadata!O377,"human-oral"),EXACT(metadata!O377,"human-gut"),EXACT(metadata!O377,"human-vaginal"),EXACT(metadata!O377,"microbial mat/biofilm"),EXACT(metadata!O377,"misc environment"),EXACT(metadata!O377,"plant-associated"),EXACT(metadata!O377,"sediment"),EXACT(metadata!O377,"soil"),EXACT(metadata!O377,"wastewater/sludge"),EXACT(metadata!O377,"water"))))</f>
        <v>0</v>
      </c>
      <c r="BA377" t="b">
        <f>IF(metadata!P377="",FALSE,TRUE)</f>
        <v>0</v>
      </c>
      <c r="BB377" t="b">
        <f>IF(metadata!Q377="",FALSE,TRUE)</f>
        <v>0</v>
      </c>
      <c r="BC377" t="b">
        <f>OR(AND(IF(metadata!R377="",FALSE,TRUE),OR(EXACT(metadata!R377,"missing: not collected"),EXACT(metadata!R377,"missing: not provided"),EXACT(metadata!R377,"missing: restricted access"))),AND(IF(metadata!R377="",FALSE,ISNUMBER(VALUE(metadata!R377))),metadata!R377&gt;=-90,metadata!R377&lt;=90))</f>
        <v>0</v>
      </c>
      <c r="BD377" t="b">
        <f>AND(IF(metadata!S377="",FALSE,TRUE),EXACT(metadata!S377,"Decimal degrees"))</f>
        <v>0</v>
      </c>
      <c r="BE377" t="b">
        <f>OR(AND(IF(metadata!T377="",FALSE,TRUE),OR(EXACT(metadata!T377,"missing: not collected"),EXACT(metadata!T377,"missing: not provided"),EXACT(metadata!T377,"missing: restricted access"))),AND(IF(metadata!T377="",FALSE,ISNUMBER(VALUE(metadata!T377))),metadata!T377&gt;=-180,metadata!T377&lt;=180))</f>
        <v>0</v>
      </c>
      <c r="BF377" t="b">
        <f>AND(IF(metadata!U377="",FALSE,TRUE),EXACT(metadata!U377,"Decimal degrees"))</f>
        <v>0</v>
      </c>
      <c r="BG377" t="b">
        <f>IF(metadata!V377="",FALSE,TRUE)</f>
        <v>0</v>
      </c>
      <c r="BH377" t="b">
        <f>OR(AND(IF(metadata!W377="",FALSE,TRUE),OR(EXACT(metadata!W377,"missing: not collected"),EXACT(metadata!W377,"missing: not provided"),EXACT(metadata!W377,"missing: restricted access"))),AND(IF(metadata!W377="",FALSE,TRUE),OR(EXACT(metadata!W377,"TRUE"),EXACT(metadata!W377,"FALSE"))))</f>
        <v>0</v>
      </c>
      <c r="BI377" t="b">
        <f>AND(IF(metadata!X377="",FALSE,TRUE),EXACT(metadata!X377,"other"))</f>
        <v>0</v>
      </c>
      <c r="BJ377" t="b">
        <f>IF(metadata!Y377="",FALSE,TRUE)</f>
        <v>0</v>
      </c>
      <c r="BK377" t="b">
        <f>OR(AND(IF(metadata!Z377="",FALSE,TRUE),OR(EXACT(metadata!Z377,"missing: not collected"),EXACT(metadata!Z377,"missing: not provided"))),AND(IF(metadata!Z377="",FALSE,IF(ISERROR(INT(metadata!Z377)),FALSE,INT(metadata!Z377)=metadata!Z377)),metadata!Z377&gt;0))</f>
        <v>0</v>
      </c>
      <c r="BL377" t="b">
        <f>AND(IF(metadata!AA377="",FALSE,TRUE),EXACT(metadata!AA377,"Not applicable"))</f>
        <v>0</v>
      </c>
      <c r="BM377" t="b">
        <f>IF(metadata!AB377="",FALSE,TRUE)</f>
        <v>0</v>
      </c>
    </row>
    <row r="378" spans="1:65" x14ac:dyDescent="0.2">
      <c r="A378" s="5" t="str">
        <f ca="1">IF(B378=" "," ",HYPERLINK(CONCATENATE("#metadata!",ADDRESS(INDEX($AH$2:$AH$1001,MATCH(ROWS($AF$2:AF378),$AF$2:$AF$1001,0),0),1)),INDEX($AK$2:$AK$1001,MATCH(ROWS($AF$2:AF378),$AF$2:$AF$1001,0),0)))</f>
        <v xml:space="preserve"> </v>
      </c>
      <c r="B378" s="4" t="str">
        <f ca="1">IF(OR(INDEX($AG$2:$AG$1001,MATCH(ROWS($AF$2:AF378),$AF$2:$AF$1001,0),1)&gt;=100000,INDEX($AM$1005:$BM$1005,1,MATCH(COLUMNS($AM$1006:AM1006),$AM$1006:$BM$1006,0))&gt;=100000), " ",IF(INDEX($AM$2:$BM$1001,MATCH(ROWS($AF$2:AF378),$AF$2:$AF$1001,0),MATCH(COLUMNS($AM$1006:AM1006),$AM$1006:$BM$1006,0)), HYPERLINK("#",""), HYPERLINK(CONCATENATE("#metadata!", ADDRESS(INDEX($AH$2:$AH$1001,MATCH(ROWS($AF$2:AF378),$AF$2:$AF$1001,0),0), INDEX($AM$1004:$BM$1004,1,MATCH(COLUMNS($AM$1006:AM1006),$AM$1006:$BM$1006,0)))),"Fix")))</f>
        <v xml:space="preserve"> </v>
      </c>
      <c r="C378" s="4" t="str">
        <f ca="1">IF(OR(INDEX($AG$2:$AG$1001,MATCH(ROWS($AF$2:AF378),$AF$2:$AF$1001,0),1)&gt;=100000,INDEX($AM$1005:$BM$1005,1,MATCH(COLUMNS($AM$1006:AN1006),$AM$1006:$BM$1006,0))&gt;=100000), " ",IF(INDEX($AM$2:$BM$1001,MATCH(ROWS($AF$2:AF378),$AF$2:$AF$1001,0),MATCH(COLUMNS($AM$1006:AN1006),$AM$1006:$BM$1006,0)), HYPERLINK("#",""), HYPERLINK(CONCATENATE("#metadata!", ADDRESS(INDEX($AH$2:$AH$1001,MATCH(ROWS($AF$2:AF378),$AF$2:$AF$1001,0),0), INDEX($AM$1004:$BM$1004,1,MATCH(COLUMNS($AM$1006:AN1006),$AM$1006:$BM$1006,0)))),"Fix")))</f>
        <v xml:space="preserve"> </v>
      </c>
      <c r="D378" s="4" t="str">
        <f ca="1">IF(OR(INDEX($AG$2:$AG$1001,MATCH(ROWS($AF$2:AF378),$AF$2:$AF$1001,0),1)&gt;=100000,INDEX($AM$1005:$BM$1005,1,MATCH(COLUMNS($AM$1006:AO1006),$AM$1006:$BM$1006,0))&gt;=100000), " ",IF(INDEX($AM$2:$BM$1001,MATCH(ROWS($AF$2:AF378),$AF$2:$AF$1001,0),MATCH(COLUMNS($AM$1006:AO1006),$AM$1006:$BM$1006,0)), HYPERLINK("#",""), HYPERLINK(CONCATENATE("#metadata!", ADDRESS(INDEX($AH$2:$AH$1001,MATCH(ROWS($AF$2:AF378),$AF$2:$AF$1001,0),0), INDEX($AM$1004:$BM$1004,1,MATCH(COLUMNS($AM$1006:AO1006),$AM$1006:$BM$1006,0)))),"Fix")))</f>
        <v xml:space="preserve"> </v>
      </c>
      <c r="E378" s="4" t="str">
        <f ca="1">IF(OR(INDEX($AG$2:$AG$1001,MATCH(ROWS($AF$2:AF378),$AF$2:$AF$1001,0),1)&gt;=100000,INDEX($AM$1005:$BM$1005,1,MATCH(COLUMNS($AM$1006:AP1006),$AM$1006:$BM$1006,0))&gt;=100000), " ",IF(INDEX($AM$2:$BM$1001,MATCH(ROWS($AF$2:AF378),$AF$2:$AF$1001,0),MATCH(COLUMNS($AM$1006:AP1006),$AM$1006:$BM$1006,0)), HYPERLINK("#",""), HYPERLINK(CONCATENATE("#metadata!", ADDRESS(INDEX($AH$2:$AH$1001,MATCH(ROWS($AF$2:AF378),$AF$2:$AF$1001,0),0), INDEX($AM$1004:$BM$1004,1,MATCH(COLUMNS($AM$1006:AP1006),$AM$1006:$BM$1006,0)))),"Fix")))</f>
        <v xml:space="preserve"> </v>
      </c>
      <c r="F378" s="4" t="str">
        <f ca="1">IF(OR(INDEX($AG$2:$AG$1001,MATCH(ROWS($AF$2:AF378),$AF$2:$AF$1001,0),1)&gt;=100000,INDEX($AM$1005:$BM$1005,1,MATCH(COLUMNS($AM$1006:AQ1006),$AM$1006:$BM$1006,0))&gt;=100000), " ",IF(INDEX($AM$2:$BM$1001,MATCH(ROWS($AF$2:AF378),$AF$2:$AF$1001,0),MATCH(COLUMNS($AM$1006:AQ1006),$AM$1006:$BM$1006,0)), HYPERLINK("#",""), HYPERLINK(CONCATENATE("#metadata!", ADDRESS(INDEX($AH$2:$AH$1001,MATCH(ROWS($AF$2:AF378),$AF$2:$AF$1001,0),0), INDEX($AM$1004:$BM$1004,1,MATCH(COLUMNS($AM$1006:AQ1006),$AM$1006:$BM$1006,0)))),"Fix")))</f>
        <v xml:space="preserve"> </v>
      </c>
      <c r="G378" s="4" t="str">
        <f ca="1">IF(OR(INDEX($AG$2:$AG$1001,MATCH(ROWS($AF$2:AF378),$AF$2:$AF$1001,0),1)&gt;=100000,INDEX($AM$1005:$BM$1005,1,MATCH(COLUMNS($AM$1006:AR1006),$AM$1006:$BM$1006,0))&gt;=100000), " ",IF(INDEX($AM$2:$BM$1001,MATCH(ROWS($AF$2:AF378),$AF$2:$AF$1001,0),MATCH(COLUMNS($AM$1006:AR1006),$AM$1006:$BM$1006,0)), HYPERLINK("#",""), HYPERLINK(CONCATENATE("#metadata!", ADDRESS(INDEX($AH$2:$AH$1001,MATCH(ROWS($AF$2:AF378),$AF$2:$AF$1001,0),0), INDEX($AM$1004:$BM$1004,1,MATCH(COLUMNS($AM$1006:AR1006),$AM$1006:$BM$1006,0)))),"Fix")))</f>
        <v xml:space="preserve"> </v>
      </c>
      <c r="H378" s="4" t="str">
        <f ca="1">IF(OR(INDEX($AG$2:$AG$1001,MATCH(ROWS($AF$2:AF378),$AF$2:$AF$1001,0),1)&gt;=100000,INDEX($AM$1005:$BM$1005,1,MATCH(COLUMNS($AM$1006:AS1006),$AM$1006:$BM$1006,0))&gt;=100000), " ",IF(INDEX($AM$2:$BM$1001,MATCH(ROWS($AF$2:AF378),$AF$2:$AF$1001,0),MATCH(COLUMNS($AM$1006:AS1006),$AM$1006:$BM$1006,0)), HYPERLINK("#",""), HYPERLINK(CONCATENATE("#metadata!", ADDRESS(INDEX($AH$2:$AH$1001,MATCH(ROWS($AF$2:AF378),$AF$2:$AF$1001,0),0), INDEX($AM$1004:$BM$1004,1,MATCH(COLUMNS($AM$1006:AS1006),$AM$1006:$BM$1006,0)))),"Fix")))</f>
        <v xml:space="preserve"> </v>
      </c>
      <c r="I378" s="4" t="str">
        <f ca="1">IF(OR(INDEX($AG$2:$AG$1001,MATCH(ROWS($AF$2:AF378),$AF$2:$AF$1001,0),1)&gt;=100000,INDEX($AM$1005:$BM$1005,1,MATCH(COLUMNS($AM$1006:AT1006),$AM$1006:$BM$1006,0))&gt;=100000), " ",IF(INDEX($AM$2:$BM$1001,MATCH(ROWS($AF$2:AF378),$AF$2:$AF$1001,0),MATCH(COLUMNS($AM$1006:AT1006),$AM$1006:$BM$1006,0)), HYPERLINK("#",""), HYPERLINK(CONCATENATE("#metadata!", ADDRESS(INDEX($AH$2:$AH$1001,MATCH(ROWS($AF$2:AF378),$AF$2:$AF$1001,0),0), INDEX($AM$1004:$BM$1004,1,MATCH(COLUMNS($AM$1006:AT1006),$AM$1006:$BM$1006,0)))),"Fix")))</f>
        <v xml:space="preserve"> </v>
      </c>
      <c r="J378" s="4" t="str">
        <f ca="1">IF(OR(INDEX($AG$2:$AG$1001,MATCH(ROWS($AF$2:AF378),$AF$2:$AF$1001,0),1)&gt;=100000,INDEX($AM$1005:$BM$1005,1,MATCH(COLUMNS($AM$1006:AU1006),$AM$1006:$BM$1006,0))&gt;=100000), " ",IF(INDEX($AM$2:$BM$1001,MATCH(ROWS($AF$2:AF378),$AF$2:$AF$1001,0),MATCH(COLUMNS($AM$1006:AU1006),$AM$1006:$BM$1006,0)), HYPERLINK("#",""), HYPERLINK(CONCATENATE("#metadata!", ADDRESS(INDEX($AH$2:$AH$1001,MATCH(ROWS($AF$2:AF378),$AF$2:$AF$1001,0),0), INDEX($AM$1004:$BM$1004,1,MATCH(COLUMNS($AM$1006:AU1006),$AM$1006:$BM$1006,0)))),"Fix")))</f>
        <v xml:space="preserve"> </v>
      </c>
      <c r="K378" s="4" t="str">
        <f ca="1">IF(OR(INDEX($AG$2:$AG$1001,MATCH(ROWS($AF$2:AF378),$AF$2:$AF$1001,0),1)&gt;=100000,INDEX($AM$1005:$BM$1005,1,MATCH(COLUMNS($AM$1006:AV1006),$AM$1006:$BM$1006,0))&gt;=100000), " ",IF(INDEX($AM$2:$BM$1001,MATCH(ROWS($AF$2:AF378),$AF$2:$AF$1001,0),MATCH(COLUMNS($AM$1006:AV1006),$AM$1006:$BM$1006,0)), HYPERLINK("#",""), HYPERLINK(CONCATENATE("#metadata!", ADDRESS(INDEX($AH$2:$AH$1001,MATCH(ROWS($AF$2:AF378),$AF$2:$AF$1001,0),0), INDEX($AM$1004:$BM$1004,1,MATCH(COLUMNS($AM$1006:AV1006),$AM$1006:$BM$1006,0)))),"Fix")))</f>
        <v xml:space="preserve"> </v>
      </c>
      <c r="L378" s="4" t="str">
        <f ca="1">IF(OR(INDEX($AG$2:$AG$1001,MATCH(ROWS($AF$2:AF378),$AF$2:$AF$1001,0),1)&gt;=100000,INDEX($AM$1005:$BM$1005,1,MATCH(COLUMNS($AM$1006:AW1006),$AM$1006:$BM$1006,0))&gt;=100000), " ",IF(INDEX($AM$2:$BM$1001,MATCH(ROWS($AF$2:AF378),$AF$2:$AF$1001,0),MATCH(COLUMNS($AM$1006:AW1006),$AM$1006:$BM$1006,0)), HYPERLINK("#",""), HYPERLINK(CONCATENATE("#metadata!", ADDRESS(INDEX($AH$2:$AH$1001,MATCH(ROWS($AF$2:AF378),$AF$2:$AF$1001,0),0), INDEX($AM$1004:$BM$1004,1,MATCH(COLUMNS($AM$1006:AW1006),$AM$1006:$BM$1006,0)))),"Fix")))</f>
        <v xml:space="preserve"> </v>
      </c>
      <c r="M378" s="4" t="str">
        <f ca="1">IF(OR(INDEX($AG$2:$AG$1001,MATCH(ROWS($AF$2:AF378),$AF$2:$AF$1001,0),1)&gt;=100000,INDEX($AM$1005:$BM$1005,1,MATCH(COLUMNS($AM$1006:AX1006),$AM$1006:$BM$1006,0))&gt;=100000), " ",IF(INDEX($AM$2:$BM$1001,MATCH(ROWS($AF$2:AF378),$AF$2:$AF$1001,0),MATCH(COLUMNS($AM$1006:AX1006),$AM$1006:$BM$1006,0)), HYPERLINK("#",""), HYPERLINK(CONCATENATE("#metadata!", ADDRESS(INDEX($AH$2:$AH$1001,MATCH(ROWS($AF$2:AF378),$AF$2:$AF$1001,0),0), INDEX($AM$1004:$BM$1004,1,MATCH(COLUMNS($AM$1006:AX1006),$AM$1006:$BM$1006,0)))),"Fix")))</f>
        <v xml:space="preserve"> </v>
      </c>
      <c r="N378" s="4" t="str">
        <f ca="1">IF(OR(INDEX($AG$2:$AG$1001,MATCH(ROWS($AF$2:AF378),$AF$2:$AF$1001,0),1)&gt;=100000,INDEX($AM$1005:$BM$1005,1,MATCH(COLUMNS($AM$1006:AY1006),$AM$1006:$BM$1006,0))&gt;=100000), " ",IF(INDEX($AM$2:$BM$1001,MATCH(ROWS($AF$2:AF378),$AF$2:$AF$1001,0),MATCH(COLUMNS($AM$1006:AY1006),$AM$1006:$BM$1006,0)), HYPERLINK("#",""), HYPERLINK(CONCATENATE("#metadata!", ADDRESS(INDEX($AH$2:$AH$1001,MATCH(ROWS($AF$2:AF378),$AF$2:$AF$1001,0),0), INDEX($AM$1004:$BM$1004,1,MATCH(COLUMNS($AM$1006:AY1006),$AM$1006:$BM$1006,0)))),"Fix")))</f>
        <v xml:space="preserve"> </v>
      </c>
      <c r="O378" s="4" t="str">
        <f ca="1">IF(OR(INDEX($AG$2:$AG$1001,MATCH(ROWS($AF$2:AF378),$AF$2:$AF$1001,0),1)&gt;=100000,INDEX($AM$1005:$BM$1005,1,MATCH(COLUMNS($AM$1006:AZ1006),$AM$1006:$BM$1006,0))&gt;=100000), " ",IF(INDEX($AM$2:$BM$1001,MATCH(ROWS($AF$2:AF378),$AF$2:$AF$1001,0),MATCH(COLUMNS($AM$1006:AZ1006),$AM$1006:$BM$1006,0)), HYPERLINK("#",""), HYPERLINK(CONCATENATE("#metadata!", ADDRESS(INDEX($AH$2:$AH$1001,MATCH(ROWS($AF$2:AF378),$AF$2:$AF$1001,0),0), INDEX($AM$1004:$BM$1004,1,MATCH(COLUMNS($AM$1006:AZ1006),$AM$1006:$BM$1006,0)))),"Fix")))</f>
        <v xml:space="preserve"> </v>
      </c>
      <c r="P378" s="4" t="str">
        <f ca="1">IF(OR(INDEX($AG$2:$AG$1001,MATCH(ROWS($AF$2:AF378),$AF$2:$AF$1001,0),1)&gt;=100000,INDEX($AM$1005:$BM$1005,1,MATCH(COLUMNS($AM$1006:BA1006),$AM$1006:$BM$1006,0))&gt;=100000), " ",IF(INDEX($AM$2:$BM$1001,MATCH(ROWS($AF$2:AF378),$AF$2:$AF$1001,0),MATCH(COLUMNS($AM$1006:BA1006),$AM$1006:$BM$1006,0)), HYPERLINK("#",""), HYPERLINK(CONCATENATE("#metadata!", ADDRESS(INDEX($AH$2:$AH$1001,MATCH(ROWS($AF$2:AF378),$AF$2:$AF$1001,0),0), INDEX($AM$1004:$BM$1004,1,MATCH(COLUMNS($AM$1006:BA1006),$AM$1006:$BM$1006,0)))),"Fix")))</f>
        <v xml:space="preserve"> </v>
      </c>
      <c r="Q378" s="4" t="str">
        <f ca="1">IF(OR(INDEX($AG$2:$AG$1001,MATCH(ROWS($AF$2:AF378),$AF$2:$AF$1001,0),1)&gt;=100000,INDEX($AM$1005:$BM$1005,1,MATCH(COLUMNS($AM$1006:BB1006),$AM$1006:$BM$1006,0))&gt;=100000), " ",IF(INDEX($AM$2:$BM$1001,MATCH(ROWS($AF$2:AF378),$AF$2:$AF$1001,0),MATCH(COLUMNS($AM$1006:BB1006),$AM$1006:$BM$1006,0)), HYPERLINK("#",""), HYPERLINK(CONCATENATE("#metadata!", ADDRESS(INDEX($AH$2:$AH$1001,MATCH(ROWS($AF$2:AF378),$AF$2:$AF$1001,0),0), INDEX($AM$1004:$BM$1004,1,MATCH(COLUMNS($AM$1006:BB1006),$AM$1006:$BM$1006,0)))),"Fix")))</f>
        <v xml:space="preserve"> </v>
      </c>
      <c r="R378" s="4" t="str">
        <f ca="1">IF(OR(INDEX($AG$2:$AG$1001,MATCH(ROWS($AF$2:AF378),$AF$2:$AF$1001,0),1)&gt;=100000,INDEX($AM$1005:$BM$1005,1,MATCH(COLUMNS($AM$1006:BC1006),$AM$1006:$BM$1006,0))&gt;=100000), " ",IF(INDEX($AM$2:$BM$1001,MATCH(ROWS($AF$2:AF378),$AF$2:$AF$1001,0),MATCH(COLUMNS($AM$1006:BC1006),$AM$1006:$BM$1006,0)), HYPERLINK("#",""), HYPERLINK(CONCATENATE("#metadata!", ADDRESS(INDEX($AH$2:$AH$1001,MATCH(ROWS($AF$2:AF378),$AF$2:$AF$1001,0),0), INDEX($AM$1004:$BM$1004,1,MATCH(COLUMNS($AM$1006:BC1006),$AM$1006:$BM$1006,0)))),"Fix")))</f>
        <v xml:space="preserve"> </v>
      </c>
      <c r="S378" s="4" t="str">
        <f ca="1">IF(OR(INDEX($AG$2:$AG$1001,MATCH(ROWS($AF$2:AF378),$AF$2:$AF$1001,0),1)&gt;=100000,INDEX($AM$1005:$BM$1005,1,MATCH(COLUMNS($AM$1006:BD1006),$AM$1006:$BM$1006,0))&gt;=100000), " ",IF(INDEX($AM$2:$BM$1001,MATCH(ROWS($AF$2:AF378),$AF$2:$AF$1001,0),MATCH(COLUMNS($AM$1006:BD1006),$AM$1006:$BM$1006,0)), HYPERLINK("#",""), HYPERLINK(CONCATENATE("#metadata!", ADDRESS(INDEX($AH$2:$AH$1001,MATCH(ROWS($AF$2:AF378),$AF$2:$AF$1001,0),0), INDEX($AM$1004:$BM$1004,1,MATCH(COLUMNS($AM$1006:BD1006),$AM$1006:$BM$1006,0)))),"Fix")))</f>
        <v xml:space="preserve"> </v>
      </c>
      <c r="T378" s="4" t="str">
        <f ca="1">IF(OR(INDEX($AG$2:$AG$1001,MATCH(ROWS($AF$2:AF378),$AF$2:$AF$1001,0),1)&gt;=100000,INDEX($AM$1005:$BM$1005,1,MATCH(COLUMNS($AM$1006:BE1006),$AM$1006:$BM$1006,0))&gt;=100000), " ",IF(INDEX($AM$2:$BM$1001,MATCH(ROWS($AF$2:AF378),$AF$2:$AF$1001,0),MATCH(COLUMNS($AM$1006:BE1006),$AM$1006:$BM$1006,0)), HYPERLINK("#",""), HYPERLINK(CONCATENATE("#metadata!", ADDRESS(INDEX($AH$2:$AH$1001,MATCH(ROWS($AF$2:AF378),$AF$2:$AF$1001,0),0), INDEX($AM$1004:$BM$1004,1,MATCH(COLUMNS($AM$1006:BE1006),$AM$1006:$BM$1006,0)))),"Fix")))</f>
        <v xml:space="preserve"> </v>
      </c>
      <c r="U378" s="4" t="str">
        <f ca="1">IF(OR(INDEX($AG$2:$AG$1001,MATCH(ROWS($AF$2:AF378),$AF$2:$AF$1001,0),1)&gt;=100000,INDEX($AM$1005:$BM$1005,1,MATCH(COLUMNS($AM$1006:BF1006),$AM$1006:$BM$1006,0))&gt;=100000), " ",IF(INDEX($AM$2:$BM$1001,MATCH(ROWS($AF$2:AF378),$AF$2:$AF$1001,0),MATCH(COLUMNS($AM$1006:BF1006),$AM$1006:$BM$1006,0)), HYPERLINK("#",""), HYPERLINK(CONCATENATE("#metadata!", ADDRESS(INDEX($AH$2:$AH$1001,MATCH(ROWS($AF$2:AF378),$AF$2:$AF$1001,0),0), INDEX($AM$1004:$BM$1004,1,MATCH(COLUMNS($AM$1006:BF1006),$AM$1006:$BM$1006,0)))),"Fix")))</f>
        <v xml:space="preserve"> </v>
      </c>
      <c r="V378" s="4" t="str">
        <f ca="1">IF(OR(INDEX($AG$2:$AG$1001,MATCH(ROWS($AF$2:AF378),$AF$2:$AF$1001,0),1)&gt;=100000,INDEX($AM$1005:$BM$1005,1,MATCH(COLUMNS($AM$1006:BG1006),$AM$1006:$BM$1006,0))&gt;=100000), " ",IF(INDEX($AM$2:$BM$1001,MATCH(ROWS($AF$2:AF378),$AF$2:$AF$1001,0),MATCH(COLUMNS($AM$1006:BG1006),$AM$1006:$BM$1006,0)), HYPERLINK("#",""), HYPERLINK(CONCATENATE("#metadata!", ADDRESS(INDEX($AH$2:$AH$1001,MATCH(ROWS($AF$2:AF378),$AF$2:$AF$1001,0),0), INDEX($AM$1004:$BM$1004,1,MATCH(COLUMNS($AM$1006:BG1006),$AM$1006:$BM$1006,0)))),"Fix")))</f>
        <v xml:space="preserve"> </v>
      </c>
      <c r="W378" s="4" t="str">
        <f ca="1">IF(OR(INDEX($AG$2:$AG$1001,MATCH(ROWS($AF$2:AF378),$AF$2:$AF$1001,0),1)&gt;=100000,INDEX($AM$1005:$BM$1005,1,MATCH(COLUMNS($AM$1006:BH1006),$AM$1006:$BM$1006,0))&gt;=100000), " ",IF(INDEX($AM$2:$BM$1001,MATCH(ROWS($AF$2:AF378),$AF$2:$AF$1001,0),MATCH(COLUMNS($AM$1006:BH1006),$AM$1006:$BM$1006,0)), HYPERLINK("#",""), HYPERLINK(CONCATENATE("#metadata!", ADDRESS(INDEX($AH$2:$AH$1001,MATCH(ROWS($AF$2:AF378),$AF$2:$AF$1001,0),0), INDEX($AM$1004:$BM$1004,1,MATCH(COLUMNS($AM$1006:BH1006),$AM$1006:$BM$1006,0)))),"Fix")))</f>
        <v xml:space="preserve"> </v>
      </c>
      <c r="X378" s="4" t="str">
        <f ca="1">IF(OR(INDEX($AG$2:$AG$1001,MATCH(ROWS($AF$2:AF378),$AF$2:$AF$1001,0),1)&gt;=100000,INDEX($AM$1005:$BM$1005,1,MATCH(COLUMNS($AM$1006:BI1006),$AM$1006:$BM$1006,0))&gt;=100000), " ",IF(INDEX($AM$2:$BM$1001,MATCH(ROWS($AF$2:AF378),$AF$2:$AF$1001,0),MATCH(COLUMNS($AM$1006:BI1006),$AM$1006:$BM$1006,0)), HYPERLINK("#",""), HYPERLINK(CONCATENATE("#metadata!", ADDRESS(INDEX($AH$2:$AH$1001,MATCH(ROWS($AF$2:AF378),$AF$2:$AF$1001,0),0), INDEX($AM$1004:$BM$1004,1,MATCH(COLUMNS($AM$1006:BI1006),$AM$1006:$BM$1006,0)))),"Fix")))</f>
        <v xml:space="preserve"> </v>
      </c>
      <c r="Y378" s="4" t="str">
        <f ca="1">IF(OR(INDEX($AG$2:$AG$1001,MATCH(ROWS($AF$2:AF378),$AF$2:$AF$1001,0),1)&gt;=100000,INDEX($AM$1005:$BM$1005,1,MATCH(COLUMNS($AM$1006:BJ1006),$AM$1006:$BM$1006,0))&gt;=100000), " ",IF(INDEX($AM$2:$BM$1001,MATCH(ROWS($AF$2:AF378),$AF$2:$AF$1001,0),MATCH(COLUMNS($AM$1006:BJ1006),$AM$1006:$BM$1006,0)), HYPERLINK("#",""), HYPERLINK(CONCATENATE("#metadata!", ADDRESS(INDEX($AH$2:$AH$1001,MATCH(ROWS($AF$2:AF378),$AF$2:$AF$1001,0),0), INDEX($AM$1004:$BM$1004,1,MATCH(COLUMNS($AM$1006:BJ1006),$AM$1006:$BM$1006,0)))),"Fix")))</f>
        <v xml:space="preserve"> </v>
      </c>
      <c r="Z378" s="4" t="str">
        <f ca="1">IF(OR(INDEX($AG$2:$AG$1001,MATCH(ROWS($AF$2:AF378),$AF$2:$AF$1001,0),1)&gt;=100000,INDEX($AM$1005:$BM$1005,1,MATCH(COLUMNS($AM$1006:BK1006),$AM$1006:$BM$1006,0))&gt;=100000), " ",IF(INDEX($AM$2:$BM$1001,MATCH(ROWS($AF$2:AF378),$AF$2:$AF$1001,0),MATCH(COLUMNS($AM$1006:BK1006),$AM$1006:$BM$1006,0)), HYPERLINK("#",""), HYPERLINK(CONCATENATE("#metadata!", ADDRESS(INDEX($AH$2:$AH$1001,MATCH(ROWS($AF$2:AF378),$AF$2:$AF$1001,0),0), INDEX($AM$1004:$BM$1004,1,MATCH(COLUMNS($AM$1006:BK1006),$AM$1006:$BM$1006,0)))),"Fix")))</f>
        <v xml:space="preserve"> </v>
      </c>
      <c r="AA378" s="4" t="str">
        <f ca="1">IF(OR(INDEX($AG$2:$AG$1001,MATCH(ROWS($AF$2:AF378),$AF$2:$AF$1001,0),1)&gt;=100000,INDEX($AM$1005:$BM$1005,1,MATCH(COLUMNS($AM$1006:BL1006),$AM$1006:$BM$1006,0))&gt;=100000), " ",IF(INDEX($AM$2:$BM$1001,MATCH(ROWS($AF$2:AF378),$AF$2:$AF$1001,0),MATCH(COLUMNS($AM$1006:BL1006),$AM$1006:$BM$1006,0)), HYPERLINK("#",""), HYPERLINK(CONCATENATE("#metadata!", ADDRESS(INDEX($AH$2:$AH$1001,MATCH(ROWS($AF$2:AF378),$AF$2:$AF$1001,0),0), INDEX($AM$1004:$BM$1004,1,MATCH(COLUMNS($AM$1006:BL1006),$AM$1006:$BM$1006,0)))),"Fix")))</f>
        <v xml:space="preserve"> </v>
      </c>
      <c r="AB378" s="4" t="str">
        <f ca="1">IF(OR(INDEX($AG$2:$AG$1001,MATCH(ROWS($AF$2:AF378),$AF$2:$AF$1001,0),1)&gt;=100000,INDEX($AM$1005:$BM$1005,1,MATCH(COLUMNS($AM$1006:BM1006),$AM$1006:$BM$1006,0))&gt;=100000), " ",IF(INDEX($AM$2:$BM$1001,MATCH(ROWS($AF$2:AF378),$AF$2:$AF$1001,0),MATCH(COLUMNS($AM$1006:BM1006),$AM$1006:$BM$1006,0)), HYPERLINK("#",""), HYPERLINK(CONCATENATE("#metadata!", ADDRESS(INDEX($AH$2:$AH$1001,MATCH(ROWS($AF$2:AF378),$AF$2:$AF$1001,0),0), INDEX($AM$1004:$BM$1004,1,MATCH(COLUMNS($AM$1006:BM1006),$AM$1006:$BM$1006,0)))),"Fix")))</f>
        <v xml:space="preserve"> </v>
      </c>
      <c r="AF378">
        <v>377</v>
      </c>
      <c r="AG378">
        <v>100378</v>
      </c>
      <c r="AH378">
        <v>378</v>
      </c>
      <c r="AI378" t="b">
        <f t="shared" si="5"/>
        <v>1</v>
      </c>
      <c r="AJ378" t="b">
        <f>COUNTBLANK(metadata!B378:AB378)=COLUMNS(metadata!B378:AB378)</f>
        <v>1</v>
      </c>
      <c r="AK378" t="str">
        <v/>
      </c>
      <c r="AM378" t="b">
        <f ca="1">AND(IF(metadata!B378="",FALSE,TRUE),COUNTIF(metadata!B:B, metadata!B378) = 1,NOT(ISERROR(SUMPRODUCT(SEARCH(MID(metadata!B378,ROW(INDIRECT("1:"&amp;LEN(metadata!B378))), 1),"0123456789abcdefghijklmnopqrstuvwxyzABCDEFGHIJKLMNOPQRSTUVWXYZ.")))))</f>
        <v>0</v>
      </c>
      <c r="AN378" t="b">
        <f ca="1">OR(AND(IF(metadata!C378="",FALSE,TRUE),OR(EXACT(metadata!C378,"missing: not collected"),EXACT(metadata!C378,"missing: not provided"),EXACT(metadata!C378,"missing: restricted access"))),AND(IF(metadata!C378="",FALSE,TRUE),AND(AND(IFERROR(INT(LEFT(metadata!C378,4))&gt;1900,FALSE),IFERROR(INT(LEFT(metadata!C378,4))&lt;=YEAR(NOW()),FALSE)), OR(MID(metadata!C378,5,1)="", AND(AND(MID(metadata!C378,5,1)="-",IFERROR(INT(MID(metadata!C378,6,1))&gt;=0,FALSE),IFERROR(INT(MID(metadata!C378,6,1))&lt;=1,FALSE),NOT(MID(metadata!C378,7,1)=""),IFERROR(INT(MID(metadata!C378,6,2))&gt;=1,FALSE),IFERROR(INT(MID(metadata!C378,6,2))&lt;=12,FALSE)), OR(MID(metadata!C378,8,1)="", AND(AND(MID(metadata!C378,8,1)="-",IFERROR(INT(MID(metadata!C378,9,1))&gt;=0,FALSE),IFERROR(INT(MID(metadata!C378,9,1))&lt;=3,FALSE),NOT(MID(metadata!C378,10,1)=""),IFERROR(INT(MID(metadata!C378,9,2))&gt;=1,FALSE),IFERROR(INT(MID(metadata!C378,9,2))&lt;=31,FALSE)), OR(MID(metadata!C378,11,1)="", AND(AND(MID(metadata!C378,11,1)=" ",IFERROR(INT(MID(metadata!C378,12,1))&gt;=0,FALSE),IFERROR(INT(MID(metadata!C378,12,1))&lt;=2,FALSE),NOT(MID(metadata!C378,13,1)=""),IFERROR(INT(MID(metadata!C378,12,2))&gt;=0,FALSE),IFERROR(INT(MID(metadata!C378,12,2))&lt;=23,FALSE)), OR(MID(metadata!C378,14,1)="", AND(AND(MID(metadata!C378,14,1)=":",IFERROR(INT(MID(metadata!C378,15,1))&gt;=0,FALSE),IFERROR(INT(MID(metadata!C378,15,1))&lt;=5,FALSE),NOT(MID(metadata!C378,16,1)=""),IFERROR(INT(MID(metadata!C378,15,2))&gt;=0,FALSE),IFERROR(INT(MID(metadata!C378,15,2))&lt;=59,FALSE)), OR(MID(metadata!C378,17,1)="", AND(AND(MID(metadata!C378,17,1)=":",IFERROR(INT(MID(metadata!C378,18,1))&gt;=0,FALSE),IFERROR(INT(MID(metadata!C378,18,1))&lt;=5,FALSE),NOT(MID(metadata!C378,19,1)=""),IFERROR(INT(MID(metadata!C378,18,2))&gt;=0,FALSE),IFERROR(INT(MID(metadata!C378,18,2))&lt;=59,FALSE)), LEN(metadata!C378)&lt;=19)))))))))))))</f>
        <v>0</v>
      </c>
      <c r="AO378" t="b">
        <f>AND(IF(metadata!D378="",FALSE,TRUE),EXACT(metadata!D378,"Not applicable"))</f>
        <v>0</v>
      </c>
      <c r="AP378" t="b">
        <f>IF(metadata!E378="",FALSE,TRUE)</f>
        <v>0</v>
      </c>
      <c r="AQ378" t="b">
        <f>OR(AND(IF(metadata!F378="",FALSE,TRUE),OR(EXACT(metadata!F378,"missing: not collected"),EXACT(metadata!F378,"missing: not provided"))),AND(IF(metadata!F378="",FALSE,TRUE),OR(EXACT(metadata!F378,"TRUE"),EXACT(metadata!F378,"FALSE"))))</f>
        <v>0</v>
      </c>
      <c r="AR378" t="b">
        <f>OR(AND(IF(metadata!G378="",FALSE,TRUE),OR(EXACT(metadata!G378,"missing: not collected"),EXACT(metadata!G378,"missing: not provided"),EXACT(metadata!G378,"missing: restricted access"))),AND(IF(metadata!G378="",FALSE,ISNUMBER(VALUE(metadata!G378))),metadata!G378&gt;=-413))</f>
        <v>0</v>
      </c>
      <c r="AS378" t="b">
        <f>AND(IF(metadata!H378="",FALSE,TRUE),EXACT(metadata!H378,"meters"))</f>
        <v>0</v>
      </c>
      <c r="AT378" t="b">
        <f>AND(IF(metadata!I378="",FALSE,TRUE),OR(EXACT(metadata!I378,"Host-associated"),EXACT(metadata!I378,"Free-living")))</f>
        <v>0</v>
      </c>
      <c r="AU378" t="b">
        <f>AND(IF(metadata!J378="",FALSE,TRUE),OR(EXACT(metadata!J378,"Animal"),EXACT(metadata!J378,"Fungus"),EXACT(metadata!J378,"Plant"),EXACT(metadata!J378,"Saline"),EXACT(metadata!J378,"Non-saline")))</f>
        <v>0</v>
      </c>
      <c r="AV378" t="b">
        <f>AND(IF(metadata!K378="",FALSE,TRUE),OR(EXACT(metadata!K378,"Plant secretion"),EXACT(metadata!K378,"Plant rhizosphere"),EXACT(metadata!K378,"Plant surface"),EXACT(metadata!K378,"Plant corpus"),EXACT(metadata!K378,"Fungus surface"),EXACT(metadata!K378,"Fungus corpus"),EXACT(metadata!K378,"Animal surface"),EXACT(metadata!K378,"Animal proximal gut"),EXACT(metadata!K378,"Animal corpus"),EXACT(metadata!K378,"Animal distal gut"),EXACT(metadata!K378,"Animal secretion"),EXACT(metadata!K378,"Sub-surface (non-saline)"),EXACT(metadata!K378,"Surface (non-saline)"),EXACT(metadata!K378,"Water (non-saline)"),EXACT(metadata!K378,"Soil (non-saline)"),EXACT(metadata!K378,"Aerosol (non-saline)"),EXACT(metadata!K378,"Sediment (non-saline)"),EXACT(metadata!K378,"Surface (saline)"),EXACT(metadata!K378,"Water (saline)"),EXACT(metadata!K378,"Hypersaline (saline)"),EXACT(metadata!K378,"Aerosol (saline)"),EXACT(metadata!K378,"Sediment (saline)")))</f>
        <v>0</v>
      </c>
      <c r="AW378" t="b">
        <f>IF(metadata!L378="",FALSE,TRUE)</f>
        <v>0</v>
      </c>
      <c r="AX378" t="b">
        <f>IF(metadata!M378="",FALSE,TRUE)</f>
        <v>0</v>
      </c>
      <c r="AY378" t="b">
        <f>IF(metadata!N378="",FALSE,TRUE)</f>
        <v>0</v>
      </c>
      <c r="AZ378" t="b">
        <f>OR(AND(IF(metadata!O378="",FALSE,TRUE),OR(EXACT(metadata!O378,"missing: not collected"),EXACT(metadata!O378,"missing: not provided"),EXACT(metadata!O378,"missing: restricted access"))),AND(IF(metadata!O378="",FALSE,TRUE),OR(EXACT(metadata!O378,"air"),EXACT(metadata!O378,"built environment"),EXACT(metadata!O378,"host-associated"),EXACT(metadata!O378,"human-associated"),EXACT(metadata!O378,"human-skin"),EXACT(metadata!O378,"human-oral"),EXACT(metadata!O378,"human-gut"),EXACT(metadata!O378,"human-vaginal"),EXACT(metadata!O378,"microbial mat/biofilm"),EXACT(metadata!O378,"misc environment"),EXACT(metadata!O378,"plant-associated"),EXACT(metadata!O378,"sediment"),EXACT(metadata!O378,"soil"),EXACT(metadata!O378,"wastewater/sludge"),EXACT(metadata!O378,"water"))))</f>
        <v>0</v>
      </c>
      <c r="BA378" t="b">
        <f>IF(metadata!P378="",FALSE,TRUE)</f>
        <v>0</v>
      </c>
      <c r="BB378" t="b">
        <f>IF(metadata!Q378="",FALSE,TRUE)</f>
        <v>0</v>
      </c>
      <c r="BC378" t="b">
        <f>OR(AND(IF(metadata!R378="",FALSE,TRUE),OR(EXACT(metadata!R378,"missing: not collected"),EXACT(metadata!R378,"missing: not provided"),EXACT(metadata!R378,"missing: restricted access"))),AND(IF(metadata!R378="",FALSE,ISNUMBER(VALUE(metadata!R378))),metadata!R378&gt;=-90,metadata!R378&lt;=90))</f>
        <v>0</v>
      </c>
      <c r="BD378" t="b">
        <f>AND(IF(metadata!S378="",FALSE,TRUE),EXACT(metadata!S378,"Decimal degrees"))</f>
        <v>0</v>
      </c>
      <c r="BE378" t="b">
        <f>OR(AND(IF(metadata!T378="",FALSE,TRUE),OR(EXACT(metadata!T378,"missing: not collected"),EXACT(metadata!T378,"missing: not provided"),EXACT(metadata!T378,"missing: restricted access"))),AND(IF(metadata!T378="",FALSE,ISNUMBER(VALUE(metadata!T378))),metadata!T378&gt;=-180,metadata!T378&lt;=180))</f>
        <v>0</v>
      </c>
      <c r="BF378" t="b">
        <f>AND(IF(metadata!U378="",FALSE,TRUE),EXACT(metadata!U378,"Decimal degrees"))</f>
        <v>0</v>
      </c>
      <c r="BG378" t="b">
        <f>IF(metadata!V378="",FALSE,TRUE)</f>
        <v>0</v>
      </c>
      <c r="BH378" t="b">
        <f>OR(AND(IF(metadata!W378="",FALSE,TRUE),OR(EXACT(metadata!W378,"missing: not collected"),EXACT(metadata!W378,"missing: not provided"),EXACT(metadata!W378,"missing: restricted access"))),AND(IF(metadata!W378="",FALSE,TRUE),OR(EXACT(metadata!W378,"TRUE"),EXACT(metadata!W378,"FALSE"))))</f>
        <v>0</v>
      </c>
      <c r="BI378" t="b">
        <f>AND(IF(metadata!X378="",FALSE,TRUE),EXACT(metadata!X378,"other"))</f>
        <v>0</v>
      </c>
      <c r="BJ378" t="b">
        <f>IF(metadata!Y378="",FALSE,TRUE)</f>
        <v>0</v>
      </c>
      <c r="BK378" t="b">
        <f>OR(AND(IF(metadata!Z378="",FALSE,TRUE),OR(EXACT(metadata!Z378,"missing: not collected"),EXACT(metadata!Z378,"missing: not provided"))),AND(IF(metadata!Z378="",FALSE,IF(ISERROR(INT(metadata!Z378)),FALSE,INT(metadata!Z378)=metadata!Z378)),metadata!Z378&gt;0))</f>
        <v>0</v>
      </c>
      <c r="BL378" t="b">
        <f>AND(IF(metadata!AA378="",FALSE,TRUE),EXACT(metadata!AA378,"Not applicable"))</f>
        <v>0</v>
      </c>
      <c r="BM378" t="b">
        <f>IF(metadata!AB378="",FALSE,TRUE)</f>
        <v>0</v>
      </c>
    </row>
    <row r="379" spans="1:65" x14ac:dyDescent="0.2">
      <c r="A379" s="5" t="str">
        <f ca="1">IF(B379=" "," ",HYPERLINK(CONCATENATE("#metadata!",ADDRESS(INDEX($AH$2:$AH$1001,MATCH(ROWS($AF$2:AF379),$AF$2:$AF$1001,0),0),1)),INDEX($AK$2:$AK$1001,MATCH(ROWS($AF$2:AF379),$AF$2:$AF$1001,0),0)))</f>
        <v xml:space="preserve"> </v>
      </c>
      <c r="B379" s="4" t="str">
        <f ca="1">IF(OR(INDEX($AG$2:$AG$1001,MATCH(ROWS($AF$2:AF379),$AF$2:$AF$1001,0),1)&gt;=100000,INDEX($AM$1005:$BM$1005,1,MATCH(COLUMNS($AM$1006:AM1006),$AM$1006:$BM$1006,0))&gt;=100000), " ",IF(INDEX($AM$2:$BM$1001,MATCH(ROWS($AF$2:AF379),$AF$2:$AF$1001,0),MATCH(COLUMNS($AM$1006:AM1006),$AM$1006:$BM$1006,0)), HYPERLINK("#",""), HYPERLINK(CONCATENATE("#metadata!", ADDRESS(INDEX($AH$2:$AH$1001,MATCH(ROWS($AF$2:AF379),$AF$2:$AF$1001,0),0), INDEX($AM$1004:$BM$1004,1,MATCH(COLUMNS($AM$1006:AM1006),$AM$1006:$BM$1006,0)))),"Fix")))</f>
        <v xml:space="preserve"> </v>
      </c>
      <c r="C379" s="4" t="str">
        <f ca="1">IF(OR(INDEX($AG$2:$AG$1001,MATCH(ROWS($AF$2:AF379),$AF$2:$AF$1001,0),1)&gt;=100000,INDEX($AM$1005:$BM$1005,1,MATCH(COLUMNS($AM$1006:AN1006),$AM$1006:$BM$1006,0))&gt;=100000), " ",IF(INDEX($AM$2:$BM$1001,MATCH(ROWS($AF$2:AF379),$AF$2:$AF$1001,0),MATCH(COLUMNS($AM$1006:AN1006),$AM$1006:$BM$1006,0)), HYPERLINK("#",""), HYPERLINK(CONCATENATE("#metadata!", ADDRESS(INDEX($AH$2:$AH$1001,MATCH(ROWS($AF$2:AF379),$AF$2:$AF$1001,0),0), INDEX($AM$1004:$BM$1004,1,MATCH(COLUMNS($AM$1006:AN1006),$AM$1006:$BM$1006,0)))),"Fix")))</f>
        <v xml:space="preserve"> </v>
      </c>
      <c r="D379" s="4" t="str">
        <f ca="1">IF(OR(INDEX($AG$2:$AG$1001,MATCH(ROWS($AF$2:AF379),$AF$2:$AF$1001,0),1)&gt;=100000,INDEX($AM$1005:$BM$1005,1,MATCH(COLUMNS($AM$1006:AO1006),$AM$1006:$BM$1006,0))&gt;=100000), " ",IF(INDEX($AM$2:$BM$1001,MATCH(ROWS($AF$2:AF379),$AF$2:$AF$1001,0),MATCH(COLUMNS($AM$1006:AO1006),$AM$1006:$BM$1006,0)), HYPERLINK("#",""), HYPERLINK(CONCATENATE("#metadata!", ADDRESS(INDEX($AH$2:$AH$1001,MATCH(ROWS($AF$2:AF379),$AF$2:$AF$1001,0),0), INDEX($AM$1004:$BM$1004,1,MATCH(COLUMNS($AM$1006:AO1006),$AM$1006:$BM$1006,0)))),"Fix")))</f>
        <v xml:space="preserve"> </v>
      </c>
      <c r="E379" s="4" t="str">
        <f ca="1">IF(OR(INDEX($AG$2:$AG$1001,MATCH(ROWS($AF$2:AF379),$AF$2:$AF$1001,0),1)&gt;=100000,INDEX($AM$1005:$BM$1005,1,MATCH(COLUMNS($AM$1006:AP1006),$AM$1006:$BM$1006,0))&gt;=100000), " ",IF(INDEX($AM$2:$BM$1001,MATCH(ROWS($AF$2:AF379),$AF$2:$AF$1001,0),MATCH(COLUMNS($AM$1006:AP1006),$AM$1006:$BM$1006,0)), HYPERLINK("#",""), HYPERLINK(CONCATENATE("#metadata!", ADDRESS(INDEX($AH$2:$AH$1001,MATCH(ROWS($AF$2:AF379),$AF$2:$AF$1001,0),0), INDEX($AM$1004:$BM$1004,1,MATCH(COLUMNS($AM$1006:AP1006),$AM$1006:$BM$1006,0)))),"Fix")))</f>
        <v xml:space="preserve"> </v>
      </c>
      <c r="F379" s="4" t="str">
        <f ca="1">IF(OR(INDEX($AG$2:$AG$1001,MATCH(ROWS($AF$2:AF379),$AF$2:$AF$1001,0),1)&gt;=100000,INDEX($AM$1005:$BM$1005,1,MATCH(COLUMNS($AM$1006:AQ1006),$AM$1006:$BM$1006,0))&gt;=100000), " ",IF(INDEX($AM$2:$BM$1001,MATCH(ROWS($AF$2:AF379),$AF$2:$AF$1001,0),MATCH(COLUMNS($AM$1006:AQ1006),$AM$1006:$BM$1006,0)), HYPERLINK("#",""), HYPERLINK(CONCATENATE("#metadata!", ADDRESS(INDEX($AH$2:$AH$1001,MATCH(ROWS($AF$2:AF379),$AF$2:$AF$1001,0),0), INDEX($AM$1004:$BM$1004,1,MATCH(COLUMNS($AM$1006:AQ1006),$AM$1006:$BM$1006,0)))),"Fix")))</f>
        <v xml:space="preserve"> </v>
      </c>
      <c r="G379" s="4" t="str">
        <f ca="1">IF(OR(INDEX($AG$2:$AG$1001,MATCH(ROWS($AF$2:AF379),$AF$2:$AF$1001,0),1)&gt;=100000,INDEX($AM$1005:$BM$1005,1,MATCH(COLUMNS($AM$1006:AR1006),$AM$1006:$BM$1006,0))&gt;=100000), " ",IF(INDEX($AM$2:$BM$1001,MATCH(ROWS($AF$2:AF379),$AF$2:$AF$1001,0),MATCH(COLUMNS($AM$1006:AR1006),$AM$1006:$BM$1006,0)), HYPERLINK("#",""), HYPERLINK(CONCATENATE("#metadata!", ADDRESS(INDEX($AH$2:$AH$1001,MATCH(ROWS($AF$2:AF379),$AF$2:$AF$1001,0),0), INDEX($AM$1004:$BM$1004,1,MATCH(COLUMNS($AM$1006:AR1006),$AM$1006:$BM$1006,0)))),"Fix")))</f>
        <v xml:space="preserve"> </v>
      </c>
      <c r="H379" s="4" t="str">
        <f ca="1">IF(OR(INDEX($AG$2:$AG$1001,MATCH(ROWS($AF$2:AF379),$AF$2:$AF$1001,0),1)&gt;=100000,INDEX($AM$1005:$BM$1005,1,MATCH(COLUMNS($AM$1006:AS1006),$AM$1006:$BM$1006,0))&gt;=100000), " ",IF(INDEX($AM$2:$BM$1001,MATCH(ROWS($AF$2:AF379),$AF$2:$AF$1001,0),MATCH(COLUMNS($AM$1006:AS1006),$AM$1006:$BM$1006,0)), HYPERLINK("#",""), HYPERLINK(CONCATENATE("#metadata!", ADDRESS(INDEX($AH$2:$AH$1001,MATCH(ROWS($AF$2:AF379),$AF$2:$AF$1001,0),0), INDEX($AM$1004:$BM$1004,1,MATCH(COLUMNS($AM$1006:AS1006),$AM$1006:$BM$1006,0)))),"Fix")))</f>
        <v xml:space="preserve"> </v>
      </c>
      <c r="I379" s="4" t="str">
        <f ca="1">IF(OR(INDEX($AG$2:$AG$1001,MATCH(ROWS($AF$2:AF379),$AF$2:$AF$1001,0),1)&gt;=100000,INDEX($AM$1005:$BM$1005,1,MATCH(COLUMNS($AM$1006:AT1006),$AM$1006:$BM$1006,0))&gt;=100000), " ",IF(INDEX($AM$2:$BM$1001,MATCH(ROWS($AF$2:AF379),$AF$2:$AF$1001,0),MATCH(COLUMNS($AM$1006:AT1006),$AM$1006:$BM$1006,0)), HYPERLINK("#",""), HYPERLINK(CONCATENATE("#metadata!", ADDRESS(INDEX($AH$2:$AH$1001,MATCH(ROWS($AF$2:AF379),$AF$2:$AF$1001,0),0), INDEX($AM$1004:$BM$1004,1,MATCH(COLUMNS($AM$1006:AT1006),$AM$1006:$BM$1006,0)))),"Fix")))</f>
        <v xml:space="preserve"> </v>
      </c>
      <c r="J379" s="4" t="str">
        <f ca="1">IF(OR(INDEX($AG$2:$AG$1001,MATCH(ROWS($AF$2:AF379),$AF$2:$AF$1001,0),1)&gt;=100000,INDEX($AM$1005:$BM$1005,1,MATCH(COLUMNS($AM$1006:AU1006),$AM$1006:$BM$1006,0))&gt;=100000), " ",IF(INDEX($AM$2:$BM$1001,MATCH(ROWS($AF$2:AF379),$AF$2:$AF$1001,0),MATCH(COLUMNS($AM$1006:AU1006),$AM$1006:$BM$1006,0)), HYPERLINK("#",""), HYPERLINK(CONCATENATE("#metadata!", ADDRESS(INDEX($AH$2:$AH$1001,MATCH(ROWS($AF$2:AF379),$AF$2:$AF$1001,0),0), INDEX($AM$1004:$BM$1004,1,MATCH(COLUMNS($AM$1006:AU1006),$AM$1006:$BM$1006,0)))),"Fix")))</f>
        <v xml:space="preserve"> </v>
      </c>
      <c r="K379" s="4" t="str">
        <f ca="1">IF(OR(INDEX($AG$2:$AG$1001,MATCH(ROWS($AF$2:AF379),$AF$2:$AF$1001,0),1)&gt;=100000,INDEX($AM$1005:$BM$1005,1,MATCH(COLUMNS($AM$1006:AV1006),$AM$1006:$BM$1006,0))&gt;=100000), " ",IF(INDEX($AM$2:$BM$1001,MATCH(ROWS($AF$2:AF379),$AF$2:$AF$1001,0),MATCH(COLUMNS($AM$1006:AV1006),$AM$1006:$BM$1006,0)), HYPERLINK("#",""), HYPERLINK(CONCATENATE("#metadata!", ADDRESS(INDEX($AH$2:$AH$1001,MATCH(ROWS($AF$2:AF379),$AF$2:$AF$1001,0),0), INDEX($AM$1004:$BM$1004,1,MATCH(COLUMNS($AM$1006:AV1006),$AM$1006:$BM$1006,0)))),"Fix")))</f>
        <v xml:space="preserve"> </v>
      </c>
      <c r="L379" s="4" t="str">
        <f ca="1">IF(OR(INDEX($AG$2:$AG$1001,MATCH(ROWS($AF$2:AF379),$AF$2:$AF$1001,0),1)&gt;=100000,INDEX($AM$1005:$BM$1005,1,MATCH(COLUMNS($AM$1006:AW1006),$AM$1006:$BM$1006,0))&gt;=100000), " ",IF(INDEX($AM$2:$BM$1001,MATCH(ROWS($AF$2:AF379),$AF$2:$AF$1001,0),MATCH(COLUMNS($AM$1006:AW1006),$AM$1006:$BM$1006,0)), HYPERLINK("#",""), HYPERLINK(CONCATENATE("#metadata!", ADDRESS(INDEX($AH$2:$AH$1001,MATCH(ROWS($AF$2:AF379),$AF$2:$AF$1001,0),0), INDEX($AM$1004:$BM$1004,1,MATCH(COLUMNS($AM$1006:AW1006),$AM$1006:$BM$1006,0)))),"Fix")))</f>
        <v xml:space="preserve"> </v>
      </c>
      <c r="M379" s="4" t="str">
        <f ca="1">IF(OR(INDEX($AG$2:$AG$1001,MATCH(ROWS($AF$2:AF379),$AF$2:$AF$1001,0),1)&gt;=100000,INDEX($AM$1005:$BM$1005,1,MATCH(COLUMNS($AM$1006:AX1006),$AM$1006:$BM$1006,0))&gt;=100000), " ",IF(INDEX($AM$2:$BM$1001,MATCH(ROWS($AF$2:AF379),$AF$2:$AF$1001,0),MATCH(COLUMNS($AM$1006:AX1006),$AM$1006:$BM$1006,0)), HYPERLINK("#",""), HYPERLINK(CONCATENATE("#metadata!", ADDRESS(INDEX($AH$2:$AH$1001,MATCH(ROWS($AF$2:AF379),$AF$2:$AF$1001,0),0), INDEX($AM$1004:$BM$1004,1,MATCH(COLUMNS($AM$1006:AX1006),$AM$1006:$BM$1006,0)))),"Fix")))</f>
        <v xml:space="preserve"> </v>
      </c>
      <c r="N379" s="4" t="str">
        <f ca="1">IF(OR(INDEX($AG$2:$AG$1001,MATCH(ROWS($AF$2:AF379),$AF$2:$AF$1001,0),1)&gt;=100000,INDEX($AM$1005:$BM$1005,1,MATCH(COLUMNS($AM$1006:AY1006),$AM$1006:$BM$1006,0))&gt;=100000), " ",IF(INDEX($AM$2:$BM$1001,MATCH(ROWS($AF$2:AF379),$AF$2:$AF$1001,0),MATCH(COLUMNS($AM$1006:AY1006),$AM$1006:$BM$1006,0)), HYPERLINK("#",""), HYPERLINK(CONCATENATE("#metadata!", ADDRESS(INDEX($AH$2:$AH$1001,MATCH(ROWS($AF$2:AF379),$AF$2:$AF$1001,0),0), INDEX($AM$1004:$BM$1004,1,MATCH(COLUMNS($AM$1006:AY1006),$AM$1006:$BM$1006,0)))),"Fix")))</f>
        <v xml:space="preserve"> </v>
      </c>
      <c r="O379" s="4" t="str">
        <f ca="1">IF(OR(INDEX($AG$2:$AG$1001,MATCH(ROWS($AF$2:AF379),$AF$2:$AF$1001,0),1)&gt;=100000,INDEX($AM$1005:$BM$1005,1,MATCH(COLUMNS($AM$1006:AZ1006),$AM$1006:$BM$1006,0))&gt;=100000), " ",IF(INDEX($AM$2:$BM$1001,MATCH(ROWS($AF$2:AF379),$AF$2:$AF$1001,0),MATCH(COLUMNS($AM$1006:AZ1006),$AM$1006:$BM$1006,0)), HYPERLINK("#",""), HYPERLINK(CONCATENATE("#metadata!", ADDRESS(INDEX($AH$2:$AH$1001,MATCH(ROWS($AF$2:AF379),$AF$2:$AF$1001,0),0), INDEX($AM$1004:$BM$1004,1,MATCH(COLUMNS($AM$1006:AZ1006),$AM$1006:$BM$1006,0)))),"Fix")))</f>
        <v xml:space="preserve"> </v>
      </c>
      <c r="P379" s="4" t="str">
        <f ca="1">IF(OR(INDEX($AG$2:$AG$1001,MATCH(ROWS($AF$2:AF379),$AF$2:$AF$1001,0),1)&gt;=100000,INDEX($AM$1005:$BM$1005,1,MATCH(COLUMNS($AM$1006:BA1006),$AM$1006:$BM$1006,0))&gt;=100000), " ",IF(INDEX($AM$2:$BM$1001,MATCH(ROWS($AF$2:AF379),$AF$2:$AF$1001,0),MATCH(COLUMNS($AM$1006:BA1006),$AM$1006:$BM$1006,0)), HYPERLINK("#",""), HYPERLINK(CONCATENATE("#metadata!", ADDRESS(INDEX($AH$2:$AH$1001,MATCH(ROWS($AF$2:AF379),$AF$2:$AF$1001,0),0), INDEX($AM$1004:$BM$1004,1,MATCH(COLUMNS($AM$1006:BA1006),$AM$1006:$BM$1006,0)))),"Fix")))</f>
        <v xml:space="preserve"> </v>
      </c>
      <c r="Q379" s="4" t="str">
        <f ca="1">IF(OR(INDEX($AG$2:$AG$1001,MATCH(ROWS($AF$2:AF379),$AF$2:$AF$1001,0),1)&gt;=100000,INDEX($AM$1005:$BM$1005,1,MATCH(COLUMNS($AM$1006:BB1006),$AM$1006:$BM$1006,0))&gt;=100000), " ",IF(INDEX($AM$2:$BM$1001,MATCH(ROWS($AF$2:AF379),$AF$2:$AF$1001,0),MATCH(COLUMNS($AM$1006:BB1006),$AM$1006:$BM$1006,0)), HYPERLINK("#",""), HYPERLINK(CONCATENATE("#metadata!", ADDRESS(INDEX($AH$2:$AH$1001,MATCH(ROWS($AF$2:AF379),$AF$2:$AF$1001,0),0), INDEX($AM$1004:$BM$1004,1,MATCH(COLUMNS($AM$1006:BB1006),$AM$1006:$BM$1006,0)))),"Fix")))</f>
        <v xml:space="preserve"> </v>
      </c>
      <c r="R379" s="4" t="str">
        <f ca="1">IF(OR(INDEX($AG$2:$AG$1001,MATCH(ROWS($AF$2:AF379),$AF$2:$AF$1001,0),1)&gt;=100000,INDEX($AM$1005:$BM$1005,1,MATCH(COLUMNS($AM$1006:BC1006),$AM$1006:$BM$1006,0))&gt;=100000), " ",IF(INDEX($AM$2:$BM$1001,MATCH(ROWS($AF$2:AF379),$AF$2:$AF$1001,0),MATCH(COLUMNS($AM$1006:BC1006),$AM$1006:$BM$1006,0)), HYPERLINK("#",""), HYPERLINK(CONCATENATE("#metadata!", ADDRESS(INDEX($AH$2:$AH$1001,MATCH(ROWS($AF$2:AF379),$AF$2:$AF$1001,0),0), INDEX($AM$1004:$BM$1004,1,MATCH(COLUMNS($AM$1006:BC1006),$AM$1006:$BM$1006,0)))),"Fix")))</f>
        <v xml:space="preserve"> </v>
      </c>
      <c r="S379" s="4" t="str">
        <f ca="1">IF(OR(INDEX($AG$2:$AG$1001,MATCH(ROWS($AF$2:AF379),$AF$2:$AF$1001,0),1)&gt;=100000,INDEX($AM$1005:$BM$1005,1,MATCH(COLUMNS($AM$1006:BD1006),$AM$1006:$BM$1006,0))&gt;=100000), " ",IF(INDEX($AM$2:$BM$1001,MATCH(ROWS($AF$2:AF379),$AF$2:$AF$1001,0),MATCH(COLUMNS($AM$1006:BD1006),$AM$1006:$BM$1006,0)), HYPERLINK("#",""), HYPERLINK(CONCATENATE("#metadata!", ADDRESS(INDEX($AH$2:$AH$1001,MATCH(ROWS($AF$2:AF379),$AF$2:$AF$1001,0),0), INDEX($AM$1004:$BM$1004,1,MATCH(COLUMNS($AM$1006:BD1006),$AM$1006:$BM$1006,0)))),"Fix")))</f>
        <v xml:space="preserve"> </v>
      </c>
      <c r="T379" s="4" t="str">
        <f ca="1">IF(OR(INDEX($AG$2:$AG$1001,MATCH(ROWS($AF$2:AF379),$AF$2:$AF$1001,0),1)&gt;=100000,INDEX($AM$1005:$BM$1005,1,MATCH(COLUMNS($AM$1006:BE1006),$AM$1006:$BM$1006,0))&gt;=100000), " ",IF(INDEX($AM$2:$BM$1001,MATCH(ROWS($AF$2:AF379),$AF$2:$AF$1001,0),MATCH(COLUMNS($AM$1006:BE1006),$AM$1006:$BM$1006,0)), HYPERLINK("#",""), HYPERLINK(CONCATENATE("#metadata!", ADDRESS(INDEX($AH$2:$AH$1001,MATCH(ROWS($AF$2:AF379),$AF$2:$AF$1001,0),0), INDEX($AM$1004:$BM$1004,1,MATCH(COLUMNS($AM$1006:BE1006),$AM$1006:$BM$1006,0)))),"Fix")))</f>
        <v xml:space="preserve"> </v>
      </c>
      <c r="U379" s="4" t="str">
        <f ca="1">IF(OR(INDEX($AG$2:$AG$1001,MATCH(ROWS($AF$2:AF379),$AF$2:$AF$1001,0),1)&gt;=100000,INDEX($AM$1005:$BM$1005,1,MATCH(COLUMNS($AM$1006:BF1006),$AM$1006:$BM$1006,0))&gt;=100000), " ",IF(INDEX($AM$2:$BM$1001,MATCH(ROWS($AF$2:AF379),$AF$2:$AF$1001,0),MATCH(COLUMNS($AM$1006:BF1006),$AM$1006:$BM$1006,0)), HYPERLINK("#",""), HYPERLINK(CONCATENATE("#metadata!", ADDRESS(INDEX($AH$2:$AH$1001,MATCH(ROWS($AF$2:AF379),$AF$2:$AF$1001,0),0), INDEX($AM$1004:$BM$1004,1,MATCH(COLUMNS($AM$1006:BF1006),$AM$1006:$BM$1006,0)))),"Fix")))</f>
        <v xml:space="preserve"> </v>
      </c>
      <c r="V379" s="4" t="str">
        <f ca="1">IF(OR(INDEX($AG$2:$AG$1001,MATCH(ROWS($AF$2:AF379),$AF$2:$AF$1001,0),1)&gt;=100000,INDEX($AM$1005:$BM$1005,1,MATCH(COLUMNS($AM$1006:BG1006),$AM$1006:$BM$1006,0))&gt;=100000), " ",IF(INDEX($AM$2:$BM$1001,MATCH(ROWS($AF$2:AF379),$AF$2:$AF$1001,0),MATCH(COLUMNS($AM$1006:BG1006),$AM$1006:$BM$1006,0)), HYPERLINK("#",""), HYPERLINK(CONCATENATE("#metadata!", ADDRESS(INDEX($AH$2:$AH$1001,MATCH(ROWS($AF$2:AF379),$AF$2:$AF$1001,0),0), INDEX($AM$1004:$BM$1004,1,MATCH(COLUMNS($AM$1006:BG1006),$AM$1006:$BM$1006,0)))),"Fix")))</f>
        <v xml:space="preserve"> </v>
      </c>
      <c r="W379" s="4" t="str">
        <f ca="1">IF(OR(INDEX($AG$2:$AG$1001,MATCH(ROWS($AF$2:AF379),$AF$2:$AF$1001,0),1)&gt;=100000,INDEX($AM$1005:$BM$1005,1,MATCH(COLUMNS($AM$1006:BH1006),$AM$1006:$BM$1006,0))&gt;=100000), " ",IF(INDEX($AM$2:$BM$1001,MATCH(ROWS($AF$2:AF379),$AF$2:$AF$1001,0),MATCH(COLUMNS($AM$1006:BH1006),$AM$1006:$BM$1006,0)), HYPERLINK("#",""), HYPERLINK(CONCATENATE("#metadata!", ADDRESS(INDEX($AH$2:$AH$1001,MATCH(ROWS($AF$2:AF379),$AF$2:$AF$1001,0),0), INDEX($AM$1004:$BM$1004,1,MATCH(COLUMNS($AM$1006:BH1006),$AM$1006:$BM$1006,0)))),"Fix")))</f>
        <v xml:space="preserve"> </v>
      </c>
      <c r="X379" s="4" t="str">
        <f ca="1">IF(OR(INDEX($AG$2:$AG$1001,MATCH(ROWS($AF$2:AF379),$AF$2:$AF$1001,0),1)&gt;=100000,INDEX($AM$1005:$BM$1005,1,MATCH(COLUMNS($AM$1006:BI1006),$AM$1006:$BM$1006,0))&gt;=100000), " ",IF(INDEX($AM$2:$BM$1001,MATCH(ROWS($AF$2:AF379),$AF$2:$AF$1001,0),MATCH(COLUMNS($AM$1006:BI1006),$AM$1006:$BM$1006,0)), HYPERLINK("#",""), HYPERLINK(CONCATENATE("#metadata!", ADDRESS(INDEX($AH$2:$AH$1001,MATCH(ROWS($AF$2:AF379),$AF$2:$AF$1001,0),0), INDEX($AM$1004:$BM$1004,1,MATCH(COLUMNS($AM$1006:BI1006),$AM$1006:$BM$1006,0)))),"Fix")))</f>
        <v xml:space="preserve"> </v>
      </c>
      <c r="Y379" s="4" t="str">
        <f ca="1">IF(OR(INDEX($AG$2:$AG$1001,MATCH(ROWS($AF$2:AF379),$AF$2:$AF$1001,0),1)&gt;=100000,INDEX($AM$1005:$BM$1005,1,MATCH(COLUMNS($AM$1006:BJ1006),$AM$1006:$BM$1006,0))&gt;=100000), " ",IF(INDEX($AM$2:$BM$1001,MATCH(ROWS($AF$2:AF379),$AF$2:$AF$1001,0),MATCH(COLUMNS($AM$1006:BJ1006),$AM$1006:$BM$1006,0)), HYPERLINK("#",""), HYPERLINK(CONCATENATE("#metadata!", ADDRESS(INDEX($AH$2:$AH$1001,MATCH(ROWS($AF$2:AF379),$AF$2:$AF$1001,0),0), INDEX($AM$1004:$BM$1004,1,MATCH(COLUMNS($AM$1006:BJ1006),$AM$1006:$BM$1006,0)))),"Fix")))</f>
        <v xml:space="preserve"> </v>
      </c>
      <c r="Z379" s="4" t="str">
        <f ca="1">IF(OR(INDEX($AG$2:$AG$1001,MATCH(ROWS($AF$2:AF379),$AF$2:$AF$1001,0),1)&gt;=100000,INDEX($AM$1005:$BM$1005,1,MATCH(COLUMNS($AM$1006:BK1006),$AM$1006:$BM$1006,0))&gt;=100000), " ",IF(INDEX($AM$2:$BM$1001,MATCH(ROWS($AF$2:AF379),$AF$2:$AF$1001,0),MATCH(COLUMNS($AM$1006:BK1006),$AM$1006:$BM$1006,0)), HYPERLINK("#",""), HYPERLINK(CONCATENATE("#metadata!", ADDRESS(INDEX($AH$2:$AH$1001,MATCH(ROWS($AF$2:AF379),$AF$2:$AF$1001,0),0), INDEX($AM$1004:$BM$1004,1,MATCH(COLUMNS($AM$1006:BK1006),$AM$1006:$BM$1006,0)))),"Fix")))</f>
        <v xml:space="preserve"> </v>
      </c>
      <c r="AA379" s="4" t="str">
        <f ca="1">IF(OR(INDEX($AG$2:$AG$1001,MATCH(ROWS($AF$2:AF379),$AF$2:$AF$1001,0),1)&gt;=100000,INDEX($AM$1005:$BM$1005,1,MATCH(COLUMNS($AM$1006:BL1006),$AM$1006:$BM$1006,0))&gt;=100000), " ",IF(INDEX($AM$2:$BM$1001,MATCH(ROWS($AF$2:AF379),$AF$2:$AF$1001,0),MATCH(COLUMNS($AM$1006:BL1006),$AM$1006:$BM$1006,0)), HYPERLINK("#",""), HYPERLINK(CONCATENATE("#metadata!", ADDRESS(INDEX($AH$2:$AH$1001,MATCH(ROWS($AF$2:AF379),$AF$2:$AF$1001,0),0), INDEX($AM$1004:$BM$1004,1,MATCH(COLUMNS($AM$1006:BL1006),$AM$1006:$BM$1006,0)))),"Fix")))</f>
        <v xml:space="preserve"> </v>
      </c>
      <c r="AB379" s="4" t="str">
        <f ca="1">IF(OR(INDEX($AG$2:$AG$1001,MATCH(ROWS($AF$2:AF379),$AF$2:$AF$1001,0),1)&gt;=100000,INDEX($AM$1005:$BM$1005,1,MATCH(COLUMNS($AM$1006:BM1006),$AM$1006:$BM$1006,0))&gt;=100000), " ",IF(INDEX($AM$2:$BM$1001,MATCH(ROWS($AF$2:AF379),$AF$2:$AF$1001,0),MATCH(COLUMNS($AM$1006:BM1006),$AM$1006:$BM$1006,0)), HYPERLINK("#",""), HYPERLINK(CONCATENATE("#metadata!", ADDRESS(INDEX($AH$2:$AH$1001,MATCH(ROWS($AF$2:AF379),$AF$2:$AF$1001,0),0), INDEX($AM$1004:$BM$1004,1,MATCH(COLUMNS($AM$1006:BM1006),$AM$1006:$BM$1006,0)))),"Fix")))</f>
        <v xml:space="preserve"> </v>
      </c>
      <c r="AF379">
        <v>378</v>
      </c>
      <c r="AG379">
        <v>100379</v>
      </c>
      <c r="AH379">
        <v>379</v>
      </c>
      <c r="AI379" t="b">
        <f t="shared" si="5"/>
        <v>1</v>
      </c>
      <c r="AJ379" t="b">
        <f>COUNTBLANK(metadata!B379:AB379)=COLUMNS(metadata!B379:AB379)</f>
        <v>1</v>
      </c>
      <c r="AK379" t="str">
        <v/>
      </c>
      <c r="AM379" t="b">
        <f ca="1">AND(IF(metadata!B379="",FALSE,TRUE),COUNTIF(metadata!B:B, metadata!B379) = 1,NOT(ISERROR(SUMPRODUCT(SEARCH(MID(metadata!B379,ROW(INDIRECT("1:"&amp;LEN(metadata!B379))), 1),"0123456789abcdefghijklmnopqrstuvwxyzABCDEFGHIJKLMNOPQRSTUVWXYZ.")))))</f>
        <v>0</v>
      </c>
      <c r="AN379" t="b">
        <f ca="1">OR(AND(IF(metadata!C379="",FALSE,TRUE),OR(EXACT(metadata!C379,"missing: not collected"),EXACT(metadata!C379,"missing: not provided"),EXACT(metadata!C379,"missing: restricted access"))),AND(IF(metadata!C379="",FALSE,TRUE),AND(AND(IFERROR(INT(LEFT(metadata!C379,4))&gt;1900,FALSE),IFERROR(INT(LEFT(metadata!C379,4))&lt;=YEAR(NOW()),FALSE)), OR(MID(metadata!C379,5,1)="", AND(AND(MID(metadata!C379,5,1)="-",IFERROR(INT(MID(metadata!C379,6,1))&gt;=0,FALSE),IFERROR(INT(MID(metadata!C379,6,1))&lt;=1,FALSE),NOT(MID(metadata!C379,7,1)=""),IFERROR(INT(MID(metadata!C379,6,2))&gt;=1,FALSE),IFERROR(INT(MID(metadata!C379,6,2))&lt;=12,FALSE)), OR(MID(metadata!C379,8,1)="", AND(AND(MID(metadata!C379,8,1)="-",IFERROR(INT(MID(metadata!C379,9,1))&gt;=0,FALSE),IFERROR(INT(MID(metadata!C379,9,1))&lt;=3,FALSE),NOT(MID(metadata!C379,10,1)=""),IFERROR(INT(MID(metadata!C379,9,2))&gt;=1,FALSE),IFERROR(INT(MID(metadata!C379,9,2))&lt;=31,FALSE)), OR(MID(metadata!C379,11,1)="", AND(AND(MID(metadata!C379,11,1)=" ",IFERROR(INT(MID(metadata!C379,12,1))&gt;=0,FALSE),IFERROR(INT(MID(metadata!C379,12,1))&lt;=2,FALSE),NOT(MID(metadata!C379,13,1)=""),IFERROR(INT(MID(metadata!C379,12,2))&gt;=0,FALSE),IFERROR(INT(MID(metadata!C379,12,2))&lt;=23,FALSE)), OR(MID(metadata!C379,14,1)="", AND(AND(MID(metadata!C379,14,1)=":",IFERROR(INT(MID(metadata!C379,15,1))&gt;=0,FALSE),IFERROR(INT(MID(metadata!C379,15,1))&lt;=5,FALSE),NOT(MID(metadata!C379,16,1)=""),IFERROR(INT(MID(metadata!C379,15,2))&gt;=0,FALSE),IFERROR(INT(MID(metadata!C379,15,2))&lt;=59,FALSE)), OR(MID(metadata!C379,17,1)="", AND(AND(MID(metadata!C379,17,1)=":",IFERROR(INT(MID(metadata!C379,18,1))&gt;=0,FALSE),IFERROR(INT(MID(metadata!C379,18,1))&lt;=5,FALSE),NOT(MID(metadata!C379,19,1)=""),IFERROR(INT(MID(metadata!C379,18,2))&gt;=0,FALSE),IFERROR(INT(MID(metadata!C379,18,2))&lt;=59,FALSE)), LEN(metadata!C379)&lt;=19)))))))))))))</f>
        <v>0</v>
      </c>
      <c r="AO379" t="b">
        <f>AND(IF(metadata!D379="",FALSE,TRUE),EXACT(metadata!D379,"Not applicable"))</f>
        <v>0</v>
      </c>
      <c r="AP379" t="b">
        <f>IF(metadata!E379="",FALSE,TRUE)</f>
        <v>0</v>
      </c>
      <c r="AQ379" t="b">
        <f>OR(AND(IF(metadata!F379="",FALSE,TRUE),OR(EXACT(metadata!F379,"missing: not collected"),EXACT(metadata!F379,"missing: not provided"))),AND(IF(metadata!F379="",FALSE,TRUE),OR(EXACT(metadata!F379,"TRUE"),EXACT(metadata!F379,"FALSE"))))</f>
        <v>0</v>
      </c>
      <c r="AR379" t="b">
        <f>OR(AND(IF(metadata!G379="",FALSE,TRUE),OR(EXACT(metadata!G379,"missing: not collected"),EXACT(metadata!G379,"missing: not provided"),EXACT(metadata!G379,"missing: restricted access"))),AND(IF(metadata!G379="",FALSE,ISNUMBER(VALUE(metadata!G379))),metadata!G379&gt;=-413))</f>
        <v>0</v>
      </c>
      <c r="AS379" t="b">
        <f>AND(IF(metadata!H379="",FALSE,TRUE),EXACT(metadata!H379,"meters"))</f>
        <v>0</v>
      </c>
      <c r="AT379" t="b">
        <f>AND(IF(metadata!I379="",FALSE,TRUE),OR(EXACT(metadata!I379,"Host-associated"),EXACT(metadata!I379,"Free-living")))</f>
        <v>0</v>
      </c>
      <c r="AU379" t="b">
        <f>AND(IF(metadata!J379="",FALSE,TRUE),OR(EXACT(metadata!J379,"Animal"),EXACT(metadata!J379,"Fungus"),EXACT(metadata!J379,"Plant"),EXACT(metadata!J379,"Saline"),EXACT(metadata!J379,"Non-saline")))</f>
        <v>0</v>
      </c>
      <c r="AV379" t="b">
        <f>AND(IF(metadata!K379="",FALSE,TRUE),OR(EXACT(metadata!K379,"Plant secretion"),EXACT(metadata!K379,"Plant rhizosphere"),EXACT(metadata!K379,"Plant surface"),EXACT(metadata!K379,"Plant corpus"),EXACT(metadata!K379,"Fungus surface"),EXACT(metadata!K379,"Fungus corpus"),EXACT(metadata!K379,"Animal surface"),EXACT(metadata!K379,"Animal proximal gut"),EXACT(metadata!K379,"Animal corpus"),EXACT(metadata!K379,"Animal distal gut"),EXACT(metadata!K379,"Animal secretion"),EXACT(metadata!K379,"Sub-surface (non-saline)"),EXACT(metadata!K379,"Surface (non-saline)"),EXACT(metadata!K379,"Water (non-saline)"),EXACT(metadata!K379,"Soil (non-saline)"),EXACT(metadata!K379,"Aerosol (non-saline)"),EXACT(metadata!K379,"Sediment (non-saline)"),EXACT(metadata!K379,"Surface (saline)"),EXACT(metadata!K379,"Water (saline)"),EXACT(metadata!K379,"Hypersaline (saline)"),EXACT(metadata!K379,"Aerosol (saline)"),EXACT(metadata!K379,"Sediment (saline)")))</f>
        <v>0</v>
      </c>
      <c r="AW379" t="b">
        <f>IF(metadata!L379="",FALSE,TRUE)</f>
        <v>0</v>
      </c>
      <c r="AX379" t="b">
        <f>IF(metadata!M379="",FALSE,TRUE)</f>
        <v>0</v>
      </c>
      <c r="AY379" t="b">
        <f>IF(metadata!N379="",FALSE,TRUE)</f>
        <v>0</v>
      </c>
      <c r="AZ379" t="b">
        <f>OR(AND(IF(metadata!O379="",FALSE,TRUE),OR(EXACT(metadata!O379,"missing: not collected"),EXACT(metadata!O379,"missing: not provided"),EXACT(metadata!O379,"missing: restricted access"))),AND(IF(metadata!O379="",FALSE,TRUE),OR(EXACT(metadata!O379,"air"),EXACT(metadata!O379,"built environment"),EXACT(metadata!O379,"host-associated"),EXACT(metadata!O379,"human-associated"),EXACT(metadata!O379,"human-skin"),EXACT(metadata!O379,"human-oral"),EXACT(metadata!O379,"human-gut"),EXACT(metadata!O379,"human-vaginal"),EXACT(metadata!O379,"microbial mat/biofilm"),EXACT(metadata!O379,"misc environment"),EXACT(metadata!O379,"plant-associated"),EXACT(metadata!O379,"sediment"),EXACT(metadata!O379,"soil"),EXACT(metadata!O379,"wastewater/sludge"),EXACT(metadata!O379,"water"))))</f>
        <v>0</v>
      </c>
      <c r="BA379" t="b">
        <f>IF(metadata!P379="",FALSE,TRUE)</f>
        <v>0</v>
      </c>
      <c r="BB379" t="b">
        <f>IF(metadata!Q379="",FALSE,TRUE)</f>
        <v>0</v>
      </c>
      <c r="BC379" t="b">
        <f>OR(AND(IF(metadata!R379="",FALSE,TRUE),OR(EXACT(metadata!R379,"missing: not collected"),EXACT(metadata!R379,"missing: not provided"),EXACT(metadata!R379,"missing: restricted access"))),AND(IF(metadata!R379="",FALSE,ISNUMBER(VALUE(metadata!R379))),metadata!R379&gt;=-90,metadata!R379&lt;=90))</f>
        <v>0</v>
      </c>
      <c r="BD379" t="b">
        <f>AND(IF(metadata!S379="",FALSE,TRUE),EXACT(metadata!S379,"Decimal degrees"))</f>
        <v>0</v>
      </c>
      <c r="BE379" t="b">
        <f>OR(AND(IF(metadata!T379="",FALSE,TRUE),OR(EXACT(metadata!T379,"missing: not collected"),EXACT(metadata!T379,"missing: not provided"),EXACT(metadata!T379,"missing: restricted access"))),AND(IF(metadata!T379="",FALSE,ISNUMBER(VALUE(metadata!T379))),metadata!T379&gt;=-180,metadata!T379&lt;=180))</f>
        <v>0</v>
      </c>
      <c r="BF379" t="b">
        <f>AND(IF(metadata!U379="",FALSE,TRUE),EXACT(metadata!U379,"Decimal degrees"))</f>
        <v>0</v>
      </c>
      <c r="BG379" t="b">
        <f>IF(metadata!V379="",FALSE,TRUE)</f>
        <v>0</v>
      </c>
      <c r="BH379" t="b">
        <f>OR(AND(IF(metadata!W379="",FALSE,TRUE),OR(EXACT(metadata!W379,"missing: not collected"),EXACT(metadata!W379,"missing: not provided"),EXACT(metadata!W379,"missing: restricted access"))),AND(IF(metadata!W379="",FALSE,TRUE),OR(EXACT(metadata!W379,"TRUE"),EXACT(metadata!W379,"FALSE"))))</f>
        <v>0</v>
      </c>
      <c r="BI379" t="b">
        <f>AND(IF(metadata!X379="",FALSE,TRUE),EXACT(metadata!X379,"other"))</f>
        <v>0</v>
      </c>
      <c r="BJ379" t="b">
        <f>IF(metadata!Y379="",FALSE,TRUE)</f>
        <v>0</v>
      </c>
      <c r="BK379" t="b">
        <f>OR(AND(IF(metadata!Z379="",FALSE,TRUE),OR(EXACT(metadata!Z379,"missing: not collected"),EXACT(metadata!Z379,"missing: not provided"))),AND(IF(metadata!Z379="",FALSE,IF(ISERROR(INT(metadata!Z379)),FALSE,INT(metadata!Z379)=metadata!Z379)),metadata!Z379&gt;0))</f>
        <v>0</v>
      </c>
      <c r="BL379" t="b">
        <f>AND(IF(metadata!AA379="",FALSE,TRUE),EXACT(metadata!AA379,"Not applicable"))</f>
        <v>0</v>
      </c>
      <c r="BM379" t="b">
        <f>IF(metadata!AB379="",FALSE,TRUE)</f>
        <v>0</v>
      </c>
    </row>
    <row r="380" spans="1:65" x14ac:dyDescent="0.2">
      <c r="A380" s="5" t="str">
        <f ca="1">IF(B380=" "," ",HYPERLINK(CONCATENATE("#metadata!",ADDRESS(INDEX($AH$2:$AH$1001,MATCH(ROWS($AF$2:AF380),$AF$2:$AF$1001,0),0),1)),INDEX($AK$2:$AK$1001,MATCH(ROWS($AF$2:AF380),$AF$2:$AF$1001,0),0)))</f>
        <v xml:space="preserve"> </v>
      </c>
      <c r="B380" s="4" t="str">
        <f ca="1">IF(OR(INDEX($AG$2:$AG$1001,MATCH(ROWS($AF$2:AF380),$AF$2:$AF$1001,0),1)&gt;=100000,INDEX($AM$1005:$BM$1005,1,MATCH(COLUMNS($AM$1006:AM1006),$AM$1006:$BM$1006,0))&gt;=100000), " ",IF(INDEX($AM$2:$BM$1001,MATCH(ROWS($AF$2:AF380),$AF$2:$AF$1001,0),MATCH(COLUMNS($AM$1006:AM1006),$AM$1006:$BM$1006,0)), HYPERLINK("#",""), HYPERLINK(CONCATENATE("#metadata!", ADDRESS(INDEX($AH$2:$AH$1001,MATCH(ROWS($AF$2:AF380),$AF$2:$AF$1001,0),0), INDEX($AM$1004:$BM$1004,1,MATCH(COLUMNS($AM$1006:AM1006),$AM$1006:$BM$1006,0)))),"Fix")))</f>
        <v xml:space="preserve"> </v>
      </c>
      <c r="C380" s="4" t="str">
        <f ca="1">IF(OR(INDEX($AG$2:$AG$1001,MATCH(ROWS($AF$2:AF380),$AF$2:$AF$1001,0),1)&gt;=100000,INDEX($AM$1005:$BM$1005,1,MATCH(COLUMNS($AM$1006:AN1006),$AM$1006:$BM$1006,0))&gt;=100000), " ",IF(INDEX($AM$2:$BM$1001,MATCH(ROWS($AF$2:AF380),$AF$2:$AF$1001,0),MATCH(COLUMNS($AM$1006:AN1006),$AM$1006:$BM$1006,0)), HYPERLINK("#",""), HYPERLINK(CONCATENATE("#metadata!", ADDRESS(INDEX($AH$2:$AH$1001,MATCH(ROWS($AF$2:AF380),$AF$2:$AF$1001,0),0), INDEX($AM$1004:$BM$1004,1,MATCH(COLUMNS($AM$1006:AN1006),$AM$1006:$BM$1006,0)))),"Fix")))</f>
        <v xml:space="preserve"> </v>
      </c>
      <c r="D380" s="4" t="str">
        <f ca="1">IF(OR(INDEX($AG$2:$AG$1001,MATCH(ROWS($AF$2:AF380),$AF$2:$AF$1001,0),1)&gt;=100000,INDEX($AM$1005:$BM$1005,1,MATCH(COLUMNS($AM$1006:AO1006),$AM$1006:$BM$1006,0))&gt;=100000), " ",IF(INDEX($AM$2:$BM$1001,MATCH(ROWS($AF$2:AF380),$AF$2:$AF$1001,0),MATCH(COLUMNS($AM$1006:AO1006),$AM$1006:$BM$1006,0)), HYPERLINK("#",""), HYPERLINK(CONCATENATE("#metadata!", ADDRESS(INDEX($AH$2:$AH$1001,MATCH(ROWS($AF$2:AF380),$AF$2:$AF$1001,0),0), INDEX($AM$1004:$BM$1004,1,MATCH(COLUMNS($AM$1006:AO1006),$AM$1006:$BM$1006,0)))),"Fix")))</f>
        <v xml:space="preserve"> </v>
      </c>
      <c r="E380" s="4" t="str">
        <f ca="1">IF(OR(INDEX($AG$2:$AG$1001,MATCH(ROWS($AF$2:AF380),$AF$2:$AF$1001,0),1)&gt;=100000,INDEX($AM$1005:$BM$1005,1,MATCH(COLUMNS($AM$1006:AP1006),$AM$1006:$BM$1006,0))&gt;=100000), " ",IF(INDEX($AM$2:$BM$1001,MATCH(ROWS($AF$2:AF380),$AF$2:$AF$1001,0),MATCH(COLUMNS($AM$1006:AP1006),$AM$1006:$BM$1006,0)), HYPERLINK("#",""), HYPERLINK(CONCATENATE("#metadata!", ADDRESS(INDEX($AH$2:$AH$1001,MATCH(ROWS($AF$2:AF380),$AF$2:$AF$1001,0),0), INDEX($AM$1004:$BM$1004,1,MATCH(COLUMNS($AM$1006:AP1006),$AM$1006:$BM$1006,0)))),"Fix")))</f>
        <v xml:space="preserve"> </v>
      </c>
      <c r="F380" s="4" t="str">
        <f ca="1">IF(OR(INDEX($AG$2:$AG$1001,MATCH(ROWS($AF$2:AF380),$AF$2:$AF$1001,0),1)&gt;=100000,INDEX($AM$1005:$BM$1005,1,MATCH(COLUMNS($AM$1006:AQ1006),$AM$1006:$BM$1006,0))&gt;=100000), " ",IF(INDEX($AM$2:$BM$1001,MATCH(ROWS($AF$2:AF380),$AF$2:$AF$1001,0),MATCH(COLUMNS($AM$1006:AQ1006),$AM$1006:$BM$1006,0)), HYPERLINK("#",""), HYPERLINK(CONCATENATE("#metadata!", ADDRESS(INDEX($AH$2:$AH$1001,MATCH(ROWS($AF$2:AF380),$AF$2:$AF$1001,0),0), INDEX($AM$1004:$BM$1004,1,MATCH(COLUMNS($AM$1006:AQ1006),$AM$1006:$BM$1006,0)))),"Fix")))</f>
        <v xml:space="preserve"> </v>
      </c>
      <c r="G380" s="4" t="str">
        <f ca="1">IF(OR(INDEX($AG$2:$AG$1001,MATCH(ROWS($AF$2:AF380),$AF$2:$AF$1001,0),1)&gt;=100000,INDEX($AM$1005:$BM$1005,1,MATCH(COLUMNS($AM$1006:AR1006),$AM$1006:$BM$1006,0))&gt;=100000), " ",IF(INDEX($AM$2:$BM$1001,MATCH(ROWS($AF$2:AF380),$AF$2:$AF$1001,0),MATCH(COLUMNS($AM$1006:AR1006),$AM$1006:$BM$1006,0)), HYPERLINK("#",""), HYPERLINK(CONCATENATE("#metadata!", ADDRESS(INDEX($AH$2:$AH$1001,MATCH(ROWS($AF$2:AF380),$AF$2:$AF$1001,0),0), INDEX($AM$1004:$BM$1004,1,MATCH(COLUMNS($AM$1006:AR1006),$AM$1006:$BM$1006,0)))),"Fix")))</f>
        <v xml:space="preserve"> </v>
      </c>
      <c r="H380" s="4" t="str">
        <f ca="1">IF(OR(INDEX($AG$2:$AG$1001,MATCH(ROWS($AF$2:AF380),$AF$2:$AF$1001,0),1)&gt;=100000,INDEX($AM$1005:$BM$1005,1,MATCH(COLUMNS($AM$1006:AS1006),$AM$1006:$BM$1006,0))&gt;=100000), " ",IF(INDEX($AM$2:$BM$1001,MATCH(ROWS($AF$2:AF380),$AF$2:$AF$1001,0),MATCH(COLUMNS($AM$1006:AS1006),$AM$1006:$BM$1006,0)), HYPERLINK("#",""), HYPERLINK(CONCATENATE("#metadata!", ADDRESS(INDEX($AH$2:$AH$1001,MATCH(ROWS($AF$2:AF380),$AF$2:$AF$1001,0),0), INDEX($AM$1004:$BM$1004,1,MATCH(COLUMNS($AM$1006:AS1006),$AM$1006:$BM$1006,0)))),"Fix")))</f>
        <v xml:space="preserve"> </v>
      </c>
      <c r="I380" s="4" t="str">
        <f ca="1">IF(OR(INDEX($AG$2:$AG$1001,MATCH(ROWS($AF$2:AF380),$AF$2:$AF$1001,0),1)&gt;=100000,INDEX($AM$1005:$BM$1005,1,MATCH(COLUMNS($AM$1006:AT1006),$AM$1006:$BM$1006,0))&gt;=100000), " ",IF(INDEX($AM$2:$BM$1001,MATCH(ROWS($AF$2:AF380),$AF$2:$AF$1001,0),MATCH(COLUMNS($AM$1006:AT1006),$AM$1006:$BM$1006,0)), HYPERLINK("#",""), HYPERLINK(CONCATENATE("#metadata!", ADDRESS(INDEX($AH$2:$AH$1001,MATCH(ROWS($AF$2:AF380),$AF$2:$AF$1001,0),0), INDEX($AM$1004:$BM$1004,1,MATCH(COLUMNS($AM$1006:AT1006),$AM$1006:$BM$1006,0)))),"Fix")))</f>
        <v xml:space="preserve"> </v>
      </c>
      <c r="J380" s="4" t="str">
        <f ca="1">IF(OR(INDEX($AG$2:$AG$1001,MATCH(ROWS($AF$2:AF380),$AF$2:$AF$1001,0),1)&gt;=100000,INDEX($AM$1005:$BM$1005,1,MATCH(COLUMNS($AM$1006:AU1006),$AM$1006:$BM$1006,0))&gt;=100000), " ",IF(INDEX($AM$2:$BM$1001,MATCH(ROWS($AF$2:AF380),$AF$2:$AF$1001,0),MATCH(COLUMNS($AM$1006:AU1006),$AM$1006:$BM$1006,0)), HYPERLINK("#",""), HYPERLINK(CONCATENATE("#metadata!", ADDRESS(INDEX($AH$2:$AH$1001,MATCH(ROWS($AF$2:AF380),$AF$2:$AF$1001,0),0), INDEX($AM$1004:$BM$1004,1,MATCH(COLUMNS($AM$1006:AU1006),$AM$1006:$BM$1006,0)))),"Fix")))</f>
        <v xml:space="preserve"> </v>
      </c>
      <c r="K380" s="4" t="str">
        <f ca="1">IF(OR(INDEX($AG$2:$AG$1001,MATCH(ROWS($AF$2:AF380),$AF$2:$AF$1001,0),1)&gt;=100000,INDEX($AM$1005:$BM$1005,1,MATCH(COLUMNS($AM$1006:AV1006),$AM$1006:$BM$1006,0))&gt;=100000), " ",IF(INDEX($AM$2:$BM$1001,MATCH(ROWS($AF$2:AF380),$AF$2:$AF$1001,0),MATCH(COLUMNS($AM$1006:AV1006),$AM$1006:$BM$1006,0)), HYPERLINK("#",""), HYPERLINK(CONCATENATE("#metadata!", ADDRESS(INDEX($AH$2:$AH$1001,MATCH(ROWS($AF$2:AF380),$AF$2:$AF$1001,0),0), INDEX($AM$1004:$BM$1004,1,MATCH(COLUMNS($AM$1006:AV1006),$AM$1006:$BM$1006,0)))),"Fix")))</f>
        <v xml:space="preserve"> </v>
      </c>
      <c r="L380" s="4" t="str">
        <f ca="1">IF(OR(INDEX($AG$2:$AG$1001,MATCH(ROWS($AF$2:AF380),$AF$2:$AF$1001,0),1)&gt;=100000,INDEX($AM$1005:$BM$1005,1,MATCH(COLUMNS($AM$1006:AW1006),$AM$1006:$BM$1006,0))&gt;=100000), " ",IF(INDEX($AM$2:$BM$1001,MATCH(ROWS($AF$2:AF380),$AF$2:$AF$1001,0),MATCH(COLUMNS($AM$1006:AW1006),$AM$1006:$BM$1006,0)), HYPERLINK("#",""), HYPERLINK(CONCATENATE("#metadata!", ADDRESS(INDEX($AH$2:$AH$1001,MATCH(ROWS($AF$2:AF380),$AF$2:$AF$1001,0),0), INDEX($AM$1004:$BM$1004,1,MATCH(COLUMNS($AM$1006:AW1006),$AM$1006:$BM$1006,0)))),"Fix")))</f>
        <v xml:space="preserve"> </v>
      </c>
      <c r="M380" s="4" t="str">
        <f ca="1">IF(OR(INDEX($AG$2:$AG$1001,MATCH(ROWS($AF$2:AF380),$AF$2:$AF$1001,0),1)&gt;=100000,INDEX($AM$1005:$BM$1005,1,MATCH(COLUMNS($AM$1006:AX1006),$AM$1006:$BM$1006,0))&gt;=100000), " ",IF(INDEX($AM$2:$BM$1001,MATCH(ROWS($AF$2:AF380),$AF$2:$AF$1001,0),MATCH(COLUMNS($AM$1006:AX1006),$AM$1006:$BM$1006,0)), HYPERLINK("#",""), HYPERLINK(CONCATENATE("#metadata!", ADDRESS(INDEX($AH$2:$AH$1001,MATCH(ROWS($AF$2:AF380),$AF$2:$AF$1001,0),0), INDEX($AM$1004:$BM$1004,1,MATCH(COLUMNS($AM$1006:AX1006),$AM$1006:$BM$1006,0)))),"Fix")))</f>
        <v xml:space="preserve"> </v>
      </c>
      <c r="N380" s="4" t="str">
        <f ca="1">IF(OR(INDEX($AG$2:$AG$1001,MATCH(ROWS($AF$2:AF380),$AF$2:$AF$1001,0),1)&gt;=100000,INDEX($AM$1005:$BM$1005,1,MATCH(COLUMNS($AM$1006:AY1006),$AM$1006:$BM$1006,0))&gt;=100000), " ",IF(INDEX($AM$2:$BM$1001,MATCH(ROWS($AF$2:AF380),$AF$2:$AF$1001,0),MATCH(COLUMNS($AM$1006:AY1006),$AM$1006:$BM$1006,0)), HYPERLINK("#",""), HYPERLINK(CONCATENATE("#metadata!", ADDRESS(INDEX($AH$2:$AH$1001,MATCH(ROWS($AF$2:AF380),$AF$2:$AF$1001,0),0), INDEX($AM$1004:$BM$1004,1,MATCH(COLUMNS($AM$1006:AY1006),$AM$1006:$BM$1006,0)))),"Fix")))</f>
        <v xml:space="preserve"> </v>
      </c>
      <c r="O380" s="4" t="str">
        <f ca="1">IF(OR(INDEX($AG$2:$AG$1001,MATCH(ROWS($AF$2:AF380),$AF$2:$AF$1001,0),1)&gt;=100000,INDEX($AM$1005:$BM$1005,1,MATCH(COLUMNS($AM$1006:AZ1006),$AM$1006:$BM$1006,0))&gt;=100000), " ",IF(INDEX($AM$2:$BM$1001,MATCH(ROWS($AF$2:AF380),$AF$2:$AF$1001,0),MATCH(COLUMNS($AM$1006:AZ1006),$AM$1006:$BM$1006,0)), HYPERLINK("#",""), HYPERLINK(CONCATENATE("#metadata!", ADDRESS(INDEX($AH$2:$AH$1001,MATCH(ROWS($AF$2:AF380),$AF$2:$AF$1001,0),0), INDEX($AM$1004:$BM$1004,1,MATCH(COLUMNS($AM$1006:AZ1006),$AM$1006:$BM$1006,0)))),"Fix")))</f>
        <v xml:space="preserve"> </v>
      </c>
      <c r="P380" s="4" t="str">
        <f ca="1">IF(OR(INDEX($AG$2:$AG$1001,MATCH(ROWS($AF$2:AF380),$AF$2:$AF$1001,0),1)&gt;=100000,INDEX($AM$1005:$BM$1005,1,MATCH(COLUMNS($AM$1006:BA1006),$AM$1006:$BM$1006,0))&gt;=100000), " ",IF(INDEX($AM$2:$BM$1001,MATCH(ROWS($AF$2:AF380),$AF$2:$AF$1001,0),MATCH(COLUMNS($AM$1006:BA1006),$AM$1006:$BM$1006,0)), HYPERLINK("#",""), HYPERLINK(CONCATENATE("#metadata!", ADDRESS(INDEX($AH$2:$AH$1001,MATCH(ROWS($AF$2:AF380),$AF$2:$AF$1001,0),0), INDEX($AM$1004:$BM$1004,1,MATCH(COLUMNS($AM$1006:BA1006),$AM$1006:$BM$1006,0)))),"Fix")))</f>
        <v xml:space="preserve"> </v>
      </c>
      <c r="Q380" s="4" t="str">
        <f ca="1">IF(OR(INDEX($AG$2:$AG$1001,MATCH(ROWS($AF$2:AF380),$AF$2:$AF$1001,0),1)&gt;=100000,INDEX($AM$1005:$BM$1005,1,MATCH(COLUMNS($AM$1006:BB1006),$AM$1006:$BM$1006,0))&gt;=100000), " ",IF(INDEX($AM$2:$BM$1001,MATCH(ROWS($AF$2:AF380),$AF$2:$AF$1001,0),MATCH(COLUMNS($AM$1006:BB1006),$AM$1006:$BM$1006,0)), HYPERLINK("#",""), HYPERLINK(CONCATENATE("#metadata!", ADDRESS(INDEX($AH$2:$AH$1001,MATCH(ROWS($AF$2:AF380),$AF$2:$AF$1001,0),0), INDEX($AM$1004:$BM$1004,1,MATCH(COLUMNS($AM$1006:BB1006),$AM$1006:$BM$1006,0)))),"Fix")))</f>
        <v xml:space="preserve"> </v>
      </c>
      <c r="R380" s="4" t="str">
        <f ca="1">IF(OR(INDEX($AG$2:$AG$1001,MATCH(ROWS($AF$2:AF380),$AF$2:$AF$1001,0),1)&gt;=100000,INDEX($AM$1005:$BM$1005,1,MATCH(COLUMNS($AM$1006:BC1006),$AM$1006:$BM$1006,0))&gt;=100000), " ",IF(INDEX($AM$2:$BM$1001,MATCH(ROWS($AF$2:AF380),$AF$2:$AF$1001,0),MATCH(COLUMNS($AM$1006:BC1006),$AM$1006:$BM$1006,0)), HYPERLINK("#",""), HYPERLINK(CONCATENATE("#metadata!", ADDRESS(INDEX($AH$2:$AH$1001,MATCH(ROWS($AF$2:AF380),$AF$2:$AF$1001,0),0), INDEX($AM$1004:$BM$1004,1,MATCH(COLUMNS($AM$1006:BC1006),$AM$1006:$BM$1006,0)))),"Fix")))</f>
        <v xml:space="preserve"> </v>
      </c>
      <c r="S380" s="4" t="str">
        <f ca="1">IF(OR(INDEX($AG$2:$AG$1001,MATCH(ROWS($AF$2:AF380),$AF$2:$AF$1001,0),1)&gt;=100000,INDEX($AM$1005:$BM$1005,1,MATCH(COLUMNS($AM$1006:BD1006),$AM$1006:$BM$1006,0))&gt;=100000), " ",IF(INDEX($AM$2:$BM$1001,MATCH(ROWS($AF$2:AF380),$AF$2:$AF$1001,0),MATCH(COLUMNS($AM$1006:BD1006),$AM$1006:$BM$1006,0)), HYPERLINK("#",""), HYPERLINK(CONCATENATE("#metadata!", ADDRESS(INDEX($AH$2:$AH$1001,MATCH(ROWS($AF$2:AF380),$AF$2:$AF$1001,0),0), INDEX($AM$1004:$BM$1004,1,MATCH(COLUMNS($AM$1006:BD1006),$AM$1006:$BM$1006,0)))),"Fix")))</f>
        <v xml:space="preserve"> </v>
      </c>
      <c r="T380" s="4" t="str">
        <f ca="1">IF(OR(INDEX($AG$2:$AG$1001,MATCH(ROWS($AF$2:AF380),$AF$2:$AF$1001,0),1)&gt;=100000,INDEX($AM$1005:$BM$1005,1,MATCH(COLUMNS($AM$1006:BE1006),$AM$1006:$BM$1006,0))&gt;=100000), " ",IF(INDEX($AM$2:$BM$1001,MATCH(ROWS($AF$2:AF380),$AF$2:$AF$1001,0),MATCH(COLUMNS($AM$1006:BE1006),$AM$1006:$BM$1006,0)), HYPERLINK("#",""), HYPERLINK(CONCATENATE("#metadata!", ADDRESS(INDEX($AH$2:$AH$1001,MATCH(ROWS($AF$2:AF380),$AF$2:$AF$1001,0),0), INDEX($AM$1004:$BM$1004,1,MATCH(COLUMNS($AM$1006:BE1006),$AM$1006:$BM$1006,0)))),"Fix")))</f>
        <v xml:space="preserve"> </v>
      </c>
      <c r="U380" s="4" t="str">
        <f ca="1">IF(OR(INDEX($AG$2:$AG$1001,MATCH(ROWS($AF$2:AF380),$AF$2:$AF$1001,0),1)&gt;=100000,INDEX($AM$1005:$BM$1005,1,MATCH(COLUMNS($AM$1006:BF1006),$AM$1006:$BM$1006,0))&gt;=100000), " ",IF(INDEX($AM$2:$BM$1001,MATCH(ROWS($AF$2:AF380),$AF$2:$AF$1001,0),MATCH(COLUMNS($AM$1006:BF1006),$AM$1006:$BM$1006,0)), HYPERLINK("#",""), HYPERLINK(CONCATENATE("#metadata!", ADDRESS(INDEX($AH$2:$AH$1001,MATCH(ROWS($AF$2:AF380),$AF$2:$AF$1001,0),0), INDEX($AM$1004:$BM$1004,1,MATCH(COLUMNS($AM$1006:BF1006),$AM$1006:$BM$1006,0)))),"Fix")))</f>
        <v xml:space="preserve"> </v>
      </c>
      <c r="V380" s="4" t="str">
        <f ca="1">IF(OR(INDEX($AG$2:$AG$1001,MATCH(ROWS($AF$2:AF380),$AF$2:$AF$1001,0),1)&gt;=100000,INDEX($AM$1005:$BM$1005,1,MATCH(COLUMNS($AM$1006:BG1006),$AM$1006:$BM$1006,0))&gt;=100000), " ",IF(INDEX($AM$2:$BM$1001,MATCH(ROWS($AF$2:AF380),$AF$2:$AF$1001,0),MATCH(COLUMNS($AM$1006:BG1006),$AM$1006:$BM$1006,0)), HYPERLINK("#",""), HYPERLINK(CONCATENATE("#metadata!", ADDRESS(INDEX($AH$2:$AH$1001,MATCH(ROWS($AF$2:AF380),$AF$2:$AF$1001,0),0), INDEX($AM$1004:$BM$1004,1,MATCH(COLUMNS($AM$1006:BG1006),$AM$1006:$BM$1006,0)))),"Fix")))</f>
        <v xml:space="preserve"> </v>
      </c>
      <c r="W380" s="4" t="str">
        <f ca="1">IF(OR(INDEX($AG$2:$AG$1001,MATCH(ROWS($AF$2:AF380),$AF$2:$AF$1001,0),1)&gt;=100000,INDEX($AM$1005:$BM$1005,1,MATCH(COLUMNS($AM$1006:BH1006),$AM$1006:$BM$1006,0))&gt;=100000), " ",IF(INDEX($AM$2:$BM$1001,MATCH(ROWS($AF$2:AF380),$AF$2:$AF$1001,0),MATCH(COLUMNS($AM$1006:BH1006),$AM$1006:$BM$1006,0)), HYPERLINK("#",""), HYPERLINK(CONCATENATE("#metadata!", ADDRESS(INDEX($AH$2:$AH$1001,MATCH(ROWS($AF$2:AF380),$AF$2:$AF$1001,0),0), INDEX($AM$1004:$BM$1004,1,MATCH(COLUMNS($AM$1006:BH1006),$AM$1006:$BM$1006,0)))),"Fix")))</f>
        <v xml:space="preserve"> </v>
      </c>
      <c r="X380" s="4" t="str">
        <f ca="1">IF(OR(INDEX($AG$2:$AG$1001,MATCH(ROWS($AF$2:AF380),$AF$2:$AF$1001,0),1)&gt;=100000,INDEX($AM$1005:$BM$1005,1,MATCH(COLUMNS($AM$1006:BI1006),$AM$1006:$BM$1006,0))&gt;=100000), " ",IF(INDEX($AM$2:$BM$1001,MATCH(ROWS($AF$2:AF380),$AF$2:$AF$1001,0),MATCH(COLUMNS($AM$1006:BI1006),$AM$1006:$BM$1006,0)), HYPERLINK("#",""), HYPERLINK(CONCATENATE("#metadata!", ADDRESS(INDEX($AH$2:$AH$1001,MATCH(ROWS($AF$2:AF380),$AF$2:$AF$1001,0),0), INDEX($AM$1004:$BM$1004,1,MATCH(COLUMNS($AM$1006:BI1006),$AM$1006:$BM$1006,0)))),"Fix")))</f>
        <v xml:space="preserve"> </v>
      </c>
      <c r="Y380" s="4" t="str">
        <f ca="1">IF(OR(INDEX($AG$2:$AG$1001,MATCH(ROWS($AF$2:AF380),$AF$2:$AF$1001,0),1)&gt;=100000,INDEX($AM$1005:$BM$1005,1,MATCH(COLUMNS($AM$1006:BJ1006),$AM$1006:$BM$1006,0))&gt;=100000), " ",IF(INDEX($AM$2:$BM$1001,MATCH(ROWS($AF$2:AF380),$AF$2:$AF$1001,0),MATCH(COLUMNS($AM$1006:BJ1006),$AM$1006:$BM$1006,0)), HYPERLINK("#",""), HYPERLINK(CONCATENATE("#metadata!", ADDRESS(INDEX($AH$2:$AH$1001,MATCH(ROWS($AF$2:AF380),$AF$2:$AF$1001,0),0), INDEX($AM$1004:$BM$1004,1,MATCH(COLUMNS($AM$1006:BJ1006),$AM$1006:$BM$1006,0)))),"Fix")))</f>
        <v xml:space="preserve"> </v>
      </c>
      <c r="Z380" s="4" t="str">
        <f ca="1">IF(OR(INDEX($AG$2:$AG$1001,MATCH(ROWS($AF$2:AF380),$AF$2:$AF$1001,0),1)&gt;=100000,INDEX($AM$1005:$BM$1005,1,MATCH(COLUMNS($AM$1006:BK1006),$AM$1006:$BM$1006,0))&gt;=100000), " ",IF(INDEX($AM$2:$BM$1001,MATCH(ROWS($AF$2:AF380),$AF$2:$AF$1001,0),MATCH(COLUMNS($AM$1006:BK1006),$AM$1006:$BM$1006,0)), HYPERLINK("#",""), HYPERLINK(CONCATENATE("#metadata!", ADDRESS(INDEX($AH$2:$AH$1001,MATCH(ROWS($AF$2:AF380),$AF$2:$AF$1001,0),0), INDEX($AM$1004:$BM$1004,1,MATCH(COLUMNS($AM$1006:BK1006),$AM$1006:$BM$1006,0)))),"Fix")))</f>
        <v xml:space="preserve"> </v>
      </c>
      <c r="AA380" s="4" t="str">
        <f ca="1">IF(OR(INDEX($AG$2:$AG$1001,MATCH(ROWS($AF$2:AF380),$AF$2:$AF$1001,0),1)&gt;=100000,INDEX($AM$1005:$BM$1005,1,MATCH(COLUMNS($AM$1006:BL1006),$AM$1006:$BM$1006,0))&gt;=100000), " ",IF(INDEX($AM$2:$BM$1001,MATCH(ROWS($AF$2:AF380),$AF$2:$AF$1001,0),MATCH(COLUMNS($AM$1006:BL1006),$AM$1006:$BM$1006,0)), HYPERLINK("#",""), HYPERLINK(CONCATENATE("#metadata!", ADDRESS(INDEX($AH$2:$AH$1001,MATCH(ROWS($AF$2:AF380),$AF$2:$AF$1001,0),0), INDEX($AM$1004:$BM$1004,1,MATCH(COLUMNS($AM$1006:BL1006),$AM$1006:$BM$1006,0)))),"Fix")))</f>
        <v xml:space="preserve"> </v>
      </c>
      <c r="AB380" s="4" t="str">
        <f ca="1">IF(OR(INDEX($AG$2:$AG$1001,MATCH(ROWS($AF$2:AF380),$AF$2:$AF$1001,0),1)&gt;=100000,INDEX($AM$1005:$BM$1005,1,MATCH(COLUMNS($AM$1006:BM1006),$AM$1006:$BM$1006,0))&gt;=100000), " ",IF(INDEX($AM$2:$BM$1001,MATCH(ROWS($AF$2:AF380),$AF$2:$AF$1001,0),MATCH(COLUMNS($AM$1006:BM1006),$AM$1006:$BM$1006,0)), HYPERLINK("#",""), HYPERLINK(CONCATENATE("#metadata!", ADDRESS(INDEX($AH$2:$AH$1001,MATCH(ROWS($AF$2:AF380),$AF$2:$AF$1001,0),0), INDEX($AM$1004:$BM$1004,1,MATCH(COLUMNS($AM$1006:BM1006),$AM$1006:$BM$1006,0)))),"Fix")))</f>
        <v xml:space="preserve"> </v>
      </c>
      <c r="AF380">
        <v>379</v>
      </c>
      <c r="AG380">
        <v>100380</v>
      </c>
      <c r="AH380">
        <v>380</v>
      </c>
      <c r="AI380" t="b">
        <f t="shared" si="5"/>
        <v>1</v>
      </c>
      <c r="AJ380" t="b">
        <f>COUNTBLANK(metadata!B380:AB380)=COLUMNS(metadata!B380:AB380)</f>
        <v>1</v>
      </c>
      <c r="AK380" t="str">
        <v/>
      </c>
      <c r="AM380" t="b">
        <f ca="1">AND(IF(metadata!B380="",FALSE,TRUE),COUNTIF(metadata!B:B, metadata!B380) = 1,NOT(ISERROR(SUMPRODUCT(SEARCH(MID(metadata!B380,ROW(INDIRECT("1:"&amp;LEN(metadata!B380))), 1),"0123456789abcdefghijklmnopqrstuvwxyzABCDEFGHIJKLMNOPQRSTUVWXYZ.")))))</f>
        <v>0</v>
      </c>
      <c r="AN380" t="b">
        <f ca="1">OR(AND(IF(metadata!C380="",FALSE,TRUE),OR(EXACT(metadata!C380,"missing: not collected"),EXACT(metadata!C380,"missing: not provided"),EXACT(metadata!C380,"missing: restricted access"))),AND(IF(metadata!C380="",FALSE,TRUE),AND(AND(IFERROR(INT(LEFT(metadata!C380,4))&gt;1900,FALSE),IFERROR(INT(LEFT(metadata!C380,4))&lt;=YEAR(NOW()),FALSE)), OR(MID(metadata!C380,5,1)="", AND(AND(MID(metadata!C380,5,1)="-",IFERROR(INT(MID(metadata!C380,6,1))&gt;=0,FALSE),IFERROR(INT(MID(metadata!C380,6,1))&lt;=1,FALSE),NOT(MID(metadata!C380,7,1)=""),IFERROR(INT(MID(metadata!C380,6,2))&gt;=1,FALSE),IFERROR(INT(MID(metadata!C380,6,2))&lt;=12,FALSE)), OR(MID(metadata!C380,8,1)="", AND(AND(MID(metadata!C380,8,1)="-",IFERROR(INT(MID(metadata!C380,9,1))&gt;=0,FALSE),IFERROR(INT(MID(metadata!C380,9,1))&lt;=3,FALSE),NOT(MID(metadata!C380,10,1)=""),IFERROR(INT(MID(metadata!C380,9,2))&gt;=1,FALSE),IFERROR(INT(MID(metadata!C380,9,2))&lt;=31,FALSE)), OR(MID(metadata!C380,11,1)="", AND(AND(MID(metadata!C380,11,1)=" ",IFERROR(INT(MID(metadata!C380,12,1))&gt;=0,FALSE),IFERROR(INT(MID(metadata!C380,12,1))&lt;=2,FALSE),NOT(MID(metadata!C380,13,1)=""),IFERROR(INT(MID(metadata!C380,12,2))&gt;=0,FALSE),IFERROR(INT(MID(metadata!C380,12,2))&lt;=23,FALSE)), OR(MID(metadata!C380,14,1)="", AND(AND(MID(metadata!C380,14,1)=":",IFERROR(INT(MID(metadata!C380,15,1))&gt;=0,FALSE),IFERROR(INT(MID(metadata!C380,15,1))&lt;=5,FALSE),NOT(MID(metadata!C380,16,1)=""),IFERROR(INT(MID(metadata!C380,15,2))&gt;=0,FALSE),IFERROR(INT(MID(metadata!C380,15,2))&lt;=59,FALSE)), OR(MID(metadata!C380,17,1)="", AND(AND(MID(metadata!C380,17,1)=":",IFERROR(INT(MID(metadata!C380,18,1))&gt;=0,FALSE),IFERROR(INT(MID(metadata!C380,18,1))&lt;=5,FALSE),NOT(MID(metadata!C380,19,1)=""),IFERROR(INT(MID(metadata!C380,18,2))&gt;=0,FALSE),IFERROR(INT(MID(metadata!C380,18,2))&lt;=59,FALSE)), LEN(metadata!C380)&lt;=19)))))))))))))</f>
        <v>0</v>
      </c>
      <c r="AO380" t="b">
        <f>AND(IF(metadata!D380="",FALSE,TRUE),EXACT(metadata!D380,"Not applicable"))</f>
        <v>0</v>
      </c>
      <c r="AP380" t="b">
        <f>IF(metadata!E380="",FALSE,TRUE)</f>
        <v>0</v>
      </c>
      <c r="AQ380" t="b">
        <f>OR(AND(IF(metadata!F380="",FALSE,TRUE),OR(EXACT(metadata!F380,"missing: not collected"),EXACT(metadata!F380,"missing: not provided"))),AND(IF(metadata!F380="",FALSE,TRUE),OR(EXACT(metadata!F380,"TRUE"),EXACT(metadata!F380,"FALSE"))))</f>
        <v>0</v>
      </c>
      <c r="AR380" t="b">
        <f>OR(AND(IF(metadata!G380="",FALSE,TRUE),OR(EXACT(metadata!G380,"missing: not collected"),EXACT(metadata!G380,"missing: not provided"),EXACT(metadata!G380,"missing: restricted access"))),AND(IF(metadata!G380="",FALSE,ISNUMBER(VALUE(metadata!G380))),metadata!G380&gt;=-413))</f>
        <v>0</v>
      </c>
      <c r="AS380" t="b">
        <f>AND(IF(metadata!H380="",FALSE,TRUE),EXACT(metadata!H380,"meters"))</f>
        <v>0</v>
      </c>
      <c r="AT380" t="b">
        <f>AND(IF(metadata!I380="",FALSE,TRUE),OR(EXACT(metadata!I380,"Host-associated"),EXACT(metadata!I380,"Free-living")))</f>
        <v>0</v>
      </c>
      <c r="AU380" t="b">
        <f>AND(IF(metadata!J380="",FALSE,TRUE),OR(EXACT(metadata!J380,"Animal"),EXACT(metadata!J380,"Fungus"),EXACT(metadata!J380,"Plant"),EXACT(metadata!J380,"Saline"),EXACT(metadata!J380,"Non-saline")))</f>
        <v>0</v>
      </c>
      <c r="AV380" t="b">
        <f>AND(IF(metadata!K380="",FALSE,TRUE),OR(EXACT(metadata!K380,"Plant secretion"),EXACT(metadata!K380,"Plant rhizosphere"),EXACT(metadata!K380,"Plant surface"),EXACT(metadata!K380,"Plant corpus"),EXACT(metadata!K380,"Fungus surface"),EXACT(metadata!K380,"Fungus corpus"),EXACT(metadata!K380,"Animal surface"),EXACT(metadata!K380,"Animal proximal gut"),EXACT(metadata!K380,"Animal corpus"),EXACT(metadata!K380,"Animal distal gut"),EXACT(metadata!K380,"Animal secretion"),EXACT(metadata!K380,"Sub-surface (non-saline)"),EXACT(metadata!K380,"Surface (non-saline)"),EXACT(metadata!K380,"Water (non-saline)"),EXACT(metadata!K380,"Soil (non-saline)"),EXACT(metadata!K380,"Aerosol (non-saline)"),EXACT(metadata!K380,"Sediment (non-saline)"),EXACT(metadata!K380,"Surface (saline)"),EXACT(metadata!K380,"Water (saline)"),EXACT(metadata!K380,"Hypersaline (saline)"),EXACT(metadata!K380,"Aerosol (saline)"),EXACT(metadata!K380,"Sediment (saline)")))</f>
        <v>0</v>
      </c>
      <c r="AW380" t="b">
        <f>IF(metadata!L380="",FALSE,TRUE)</f>
        <v>0</v>
      </c>
      <c r="AX380" t="b">
        <f>IF(metadata!M380="",FALSE,TRUE)</f>
        <v>0</v>
      </c>
      <c r="AY380" t="b">
        <f>IF(metadata!N380="",FALSE,TRUE)</f>
        <v>0</v>
      </c>
      <c r="AZ380" t="b">
        <f>OR(AND(IF(metadata!O380="",FALSE,TRUE),OR(EXACT(metadata!O380,"missing: not collected"),EXACT(metadata!O380,"missing: not provided"),EXACT(metadata!O380,"missing: restricted access"))),AND(IF(metadata!O380="",FALSE,TRUE),OR(EXACT(metadata!O380,"air"),EXACT(metadata!O380,"built environment"),EXACT(metadata!O380,"host-associated"),EXACT(metadata!O380,"human-associated"),EXACT(metadata!O380,"human-skin"),EXACT(metadata!O380,"human-oral"),EXACT(metadata!O380,"human-gut"),EXACT(metadata!O380,"human-vaginal"),EXACT(metadata!O380,"microbial mat/biofilm"),EXACT(metadata!O380,"misc environment"),EXACT(metadata!O380,"plant-associated"),EXACT(metadata!O380,"sediment"),EXACT(metadata!O380,"soil"),EXACT(metadata!O380,"wastewater/sludge"),EXACT(metadata!O380,"water"))))</f>
        <v>0</v>
      </c>
      <c r="BA380" t="b">
        <f>IF(metadata!P380="",FALSE,TRUE)</f>
        <v>0</v>
      </c>
      <c r="BB380" t="b">
        <f>IF(metadata!Q380="",FALSE,TRUE)</f>
        <v>0</v>
      </c>
      <c r="BC380" t="b">
        <f>OR(AND(IF(metadata!R380="",FALSE,TRUE),OR(EXACT(metadata!R380,"missing: not collected"),EXACT(metadata!R380,"missing: not provided"),EXACT(metadata!R380,"missing: restricted access"))),AND(IF(metadata!R380="",FALSE,ISNUMBER(VALUE(metadata!R380))),metadata!R380&gt;=-90,metadata!R380&lt;=90))</f>
        <v>0</v>
      </c>
      <c r="BD380" t="b">
        <f>AND(IF(metadata!S380="",FALSE,TRUE),EXACT(metadata!S380,"Decimal degrees"))</f>
        <v>0</v>
      </c>
      <c r="BE380" t="b">
        <f>OR(AND(IF(metadata!T380="",FALSE,TRUE),OR(EXACT(metadata!T380,"missing: not collected"),EXACT(metadata!T380,"missing: not provided"),EXACT(metadata!T380,"missing: restricted access"))),AND(IF(metadata!T380="",FALSE,ISNUMBER(VALUE(metadata!T380))),metadata!T380&gt;=-180,metadata!T380&lt;=180))</f>
        <v>0</v>
      </c>
      <c r="BF380" t="b">
        <f>AND(IF(metadata!U380="",FALSE,TRUE),EXACT(metadata!U380,"Decimal degrees"))</f>
        <v>0</v>
      </c>
      <c r="BG380" t="b">
        <f>IF(metadata!V380="",FALSE,TRUE)</f>
        <v>0</v>
      </c>
      <c r="BH380" t="b">
        <f>OR(AND(IF(metadata!W380="",FALSE,TRUE),OR(EXACT(metadata!W380,"missing: not collected"),EXACT(metadata!W380,"missing: not provided"),EXACT(metadata!W380,"missing: restricted access"))),AND(IF(metadata!W380="",FALSE,TRUE),OR(EXACT(metadata!W380,"TRUE"),EXACT(metadata!W380,"FALSE"))))</f>
        <v>0</v>
      </c>
      <c r="BI380" t="b">
        <f>AND(IF(metadata!X380="",FALSE,TRUE),EXACT(metadata!X380,"other"))</f>
        <v>0</v>
      </c>
      <c r="BJ380" t="b">
        <f>IF(metadata!Y380="",FALSE,TRUE)</f>
        <v>0</v>
      </c>
      <c r="BK380" t="b">
        <f>OR(AND(IF(metadata!Z380="",FALSE,TRUE),OR(EXACT(metadata!Z380,"missing: not collected"),EXACT(metadata!Z380,"missing: not provided"))),AND(IF(metadata!Z380="",FALSE,IF(ISERROR(INT(metadata!Z380)),FALSE,INT(metadata!Z380)=metadata!Z380)),metadata!Z380&gt;0))</f>
        <v>0</v>
      </c>
      <c r="BL380" t="b">
        <f>AND(IF(metadata!AA380="",FALSE,TRUE),EXACT(metadata!AA380,"Not applicable"))</f>
        <v>0</v>
      </c>
      <c r="BM380" t="b">
        <f>IF(metadata!AB380="",FALSE,TRUE)</f>
        <v>0</v>
      </c>
    </row>
    <row r="381" spans="1:65" x14ac:dyDescent="0.2">
      <c r="A381" s="5" t="str">
        <f ca="1">IF(B381=" "," ",HYPERLINK(CONCATENATE("#metadata!",ADDRESS(INDEX($AH$2:$AH$1001,MATCH(ROWS($AF$2:AF381),$AF$2:$AF$1001,0),0),1)),INDEX($AK$2:$AK$1001,MATCH(ROWS($AF$2:AF381),$AF$2:$AF$1001,0),0)))</f>
        <v xml:space="preserve"> </v>
      </c>
      <c r="B381" s="4" t="str">
        <f ca="1">IF(OR(INDEX($AG$2:$AG$1001,MATCH(ROWS($AF$2:AF381),$AF$2:$AF$1001,0),1)&gt;=100000,INDEX($AM$1005:$BM$1005,1,MATCH(COLUMNS($AM$1006:AM1006),$AM$1006:$BM$1006,0))&gt;=100000), " ",IF(INDEX($AM$2:$BM$1001,MATCH(ROWS($AF$2:AF381),$AF$2:$AF$1001,0),MATCH(COLUMNS($AM$1006:AM1006),$AM$1006:$BM$1006,0)), HYPERLINK("#",""), HYPERLINK(CONCATENATE("#metadata!", ADDRESS(INDEX($AH$2:$AH$1001,MATCH(ROWS($AF$2:AF381),$AF$2:$AF$1001,0),0), INDEX($AM$1004:$BM$1004,1,MATCH(COLUMNS($AM$1006:AM1006),$AM$1006:$BM$1006,0)))),"Fix")))</f>
        <v xml:space="preserve"> </v>
      </c>
      <c r="C381" s="4" t="str">
        <f ca="1">IF(OR(INDEX($AG$2:$AG$1001,MATCH(ROWS($AF$2:AF381),$AF$2:$AF$1001,0),1)&gt;=100000,INDEX($AM$1005:$BM$1005,1,MATCH(COLUMNS($AM$1006:AN1006),$AM$1006:$BM$1006,0))&gt;=100000), " ",IF(INDEX($AM$2:$BM$1001,MATCH(ROWS($AF$2:AF381),$AF$2:$AF$1001,0),MATCH(COLUMNS($AM$1006:AN1006),$AM$1006:$BM$1006,0)), HYPERLINK("#",""), HYPERLINK(CONCATENATE("#metadata!", ADDRESS(INDEX($AH$2:$AH$1001,MATCH(ROWS($AF$2:AF381),$AF$2:$AF$1001,0),0), INDEX($AM$1004:$BM$1004,1,MATCH(COLUMNS($AM$1006:AN1006),$AM$1006:$BM$1006,0)))),"Fix")))</f>
        <v xml:space="preserve"> </v>
      </c>
      <c r="D381" s="4" t="str">
        <f ca="1">IF(OR(INDEX($AG$2:$AG$1001,MATCH(ROWS($AF$2:AF381),$AF$2:$AF$1001,0),1)&gt;=100000,INDEX($AM$1005:$BM$1005,1,MATCH(COLUMNS($AM$1006:AO1006),$AM$1006:$BM$1006,0))&gt;=100000), " ",IF(INDEX($AM$2:$BM$1001,MATCH(ROWS($AF$2:AF381),$AF$2:$AF$1001,0),MATCH(COLUMNS($AM$1006:AO1006),$AM$1006:$BM$1006,0)), HYPERLINK("#",""), HYPERLINK(CONCATENATE("#metadata!", ADDRESS(INDEX($AH$2:$AH$1001,MATCH(ROWS($AF$2:AF381),$AF$2:$AF$1001,0),0), INDEX($AM$1004:$BM$1004,1,MATCH(COLUMNS($AM$1006:AO1006),$AM$1006:$BM$1006,0)))),"Fix")))</f>
        <v xml:space="preserve"> </v>
      </c>
      <c r="E381" s="4" t="str">
        <f ca="1">IF(OR(INDEX($AG$2:$AG$1001,MATCH(ROWS($AF$2:AF381),$AF$2:$AF$1001,0),1)&gt;=100000,INDEX($AM$1005:$BM$1005,1,MATCH(COLUMNS($AM$1006:AP1006),$AM$1006:$BM$1006,0))&gt;=100000), " ",IF(INDEX($AM$2:$BM$1001,MATCH(ROWS($AF$2:AF381),$AF$2:$AF$1001,0),MATCH(COLUMNS($AM$1006:AP1006),$AM$1006:$BM$1006,0)), HYPERLINK("#",""), HYPERLINK(CONCATENATE("#metadata!", ADDRESS(INDEX($AH$2:$AH$1001,MATCH(ROWS($AF$2:AF381),$AF$2:$AF$1001,0),0), INDEX($AM$1004:$BM$1004,1,MATCH(COLUMNS($AM$1006:AP1006),$AM$1006:$BM$1006,0)))),"Fix")))</f>
        <v xml:space="preserve"> </v>
      </c>
      <c r="F381" s="4" t="str">
        <f ca="1">IF(OR(INDEX($AG$2:$AG$1001,MATCH(ROWS($AF$2:AF381),$AF$2:$AF$1001,0),1)&gt;=100000,INDEX($AM$1005:$BM$1005,1,MATCH(COLUMNS($AM$1006:AQ1006),$AM$1006:$BM$1006,0))&gt;=100000), " ",IF(INDEX($AM$2:$BM$1001,MATCH(ROWS($AF$2:AF381),$AF$2:$AF$1001,0),MATCH(COLUMNS($AM$1006:AQ1006),$AM$1006:$BM$1006,0)), HYPERLINK("#",""), HYPERLINK(CONCATENATE("#metadata!", ADDRESS(INDEX($AH$2:$AH$1001,MATCH(ROWS($AF$2:AF381),$AF$2:$AF$1001,0),0), INDEX($AM$1004:$BM$1004,1,MATCH(COLUMNS($AM$1006:AQ1006),$AM$1006:$BM$1006,0)))),"Fix")))</f>
        <v xml:space="preserve"> </v>
      </c>
      <c r="G381" s="4" t="str">
        <f ca="1">IF(OR(INDEX($AG$2:$AG$1001,MATCH(ROWS($AF$2:AF381),$AF$2:$AF$1001,0),1)&gt;=100000,INDEX($AM$1005:$BM$1005,1,MATCH(COLUMNS($AM$1006:AR1006),$AM$1006:$BM$1006,0))&gt;=100000), " ",IF(INDEX($AM$2:$BM$1001,MATCH(ROWS($AF$2:AF381),$AF$2:$AF$1001,0),MATCH(COLUMNS($AM$1006:AR1006),$AM$1006:$BM$1006,0)), HYPERLINK("#",""), HYPERLINK(CONCATENATE("#metadata!", ADDRESS(INDEX($AH$2:$AH$1001,MATCH(ROWS($AF$2:AF381),$AF$2:$AF$1001,0),0), INDEX($AM$1004:$BM$1004,1,MATCH(COLUMNS($AM$1006:AR1006),$AM$1006:$BM$1006,0)))),"Fix")))</f>
        <v xml:space="preserve"> </v>
      </c>
      <c r="H381" s="4" t="str">
        <f ca="1">IF(OR(INDEX($AG$2:$AG$1001,MATCH(ROWS($AF$2:AF381),$AF$2:$AF$1001,0),1)&gt;=100000,INDEX($AM$1005:$BM$1005,1,MATCH(COLUMNS($AM$1006:AS1006),$AM$1006:$BM$1006,0))&gt;=100000), " ",IF(INDEX($AM$2:$BM$1001,MATCH(ROWS($AF$2:AF381),$AF$2:$AF$1001,0),MATCH(COLUMNS($AM$1006:AS1006),$AM$1006:$BM$1006,0)), HYPERLINK("#",""), HYPERLINK(CONCATENATE("#metadata!", ADDRESS(INDEX($AH$2:$AH$1001,MATCH(ROWS($AF$2:AF381),$AF$2:$AF$1001,0),0), INDEX($AM$1004:$BM$1004,1,MATCH(COLUMNS($AM$1006:AS1006),$AM$1006:$BM$1006,0)))),"Fix")))</f>
        <v xml:space="preserve"> </v>
      </c>
      <c r="I381" s="4" t="str">
        <f ca="1">IF(OR(INDEX($AG$2:$AG$1001,MATCH(ROWS($AF$2:AF381),$AF$2:$AF$1001,0),1)&gt;=100000,INDEX($AM$1005:$BM$1005,1,MATCH(COLUMNS($AM$1006:AT1006),$AM$1006:$BM$1006,0))&gt;=100000), " ",IF(INDEX($AM$2:$BM$1001,MATCH(ROWS($AF$2:AF381),$AF$2:$AF$1001,0),MATCH(COLUMNS($AM$1006:AT1006),$AM$1006:$BM$1006,0)), HYPERLINK("#",""), HYPERLINK(CONCATENATE("#metadata!", ADDRESS(INDEX($AH$2:$AH$1001,MATCH(ROWS($AF$2:AF381),$AF$2:$AF$1001,0),0), INDEX($AM$1004:$BM$1004,1,MATCH(COLUMNS($AM$1006:AT1006),$AM$1006:$BM$1006,0)))),"Fix")))</f>
        <v xml:space="preserve"> </v>
      </c>
      <c r="J381" s="4" t="str">
        <f ca="1">IF(OR(INDEX($AG$2:$AG$1001,MATCH(ROWS($AF$2:AF381),$AF$2:$AF$1001,0),1)&gt;=100000,INDEX($AM$1005:$BM$1005,1,MATCH(COLUMNS($AM$1006:AU1006),$AM$1006:$BM$1006,0))&gt;=100000), " ",IF(INDEX($AM$2:$BM$1001,MATCH(ROWS($AF$2:AF381),$AF$2:$AF$1001,0),MATCH(COLUMNS($AM$1006:AU1006),$AM$1006:$BM$1006,0)), HYPERLINK("#",""), HYPERLINK(CONCATENATE("#metadata!", ADDRESS(INDEX($AH$2:$AH$1001,MATCH(ROWS($AF$2:AF381),$AF$2:$AF$1001,0),0), INDEX($AM$1004:$BM$1004,1,MATCH(COLUMNS($AM$1006:AU1006),$AM$1006:$BM$1006,0)))),"Fix")))</f>
        <v xml:space="preserve"> </v>
      </c>
      <c r="K381" s="4" t="str">
        <f ca="1">IF(OR(INDEX($AG$2:$AG$1001,MATCH(ROWS($AF$2:AF381),$AF$2:$AF$1001,0),1)&gt;=100000,INDEX($AM$1005:$BM$1005,1,MATCH(COLUMNS($AM$1006:AV1006),$AM$1006:$BM$1006,0))&gt;=100000), " ",IF(INDEX($AM$2:$BM$1001,MATCH(ROWS($AF$2:AF381),$AF$2:$AF$1001,0),MATCH(COLUMNS($AM$1006:AV1006),$AM$1006:$BM$1006,0)), HYPERLINK("#",""), HYPERLINK(CONCATENATE("#metadata!", ADDRESS(INDEX($AH$2:$AH$1001,MATCH(ROWS($AF$2:AF381),$AF$2:$AF$1001,0),0), INDEX($AM$1004:$BM$1004,1,MATCH(COLUMNS($AM$1006:AV1006),$AM$1006:$BM$1006,0)))),"Fix")))</f>
        <v xml:space="preserve"> </v>
      </c>
      <c r="L381" s="4" t="str">
        <f ca="1">IF(OR(INDEX($AG$2:$AG$1001,MATCH(ROWS($AF$2:AF381),$AF$2:$AF$1001,0),1)&gt;=100000,INDEX($AM$1005:$BM$1005,1,MATCH(COLUMNS($AM$1006:AW1006),$AM$1006:$BM$1006,0))&gt;=100000), " ",IF(INDEX($AM$2:$BM$1001,MATCH(ROWS($AF$2:AF381),$AF$2:$AF$1001,0),MATCH(COLUMNS($AM$1006:AW1006),$AM$1006:$BM$1006,0)), HYPERLINK("#",""), HYPERLINK(CONCATENATE("#metadata!", ADDRESS(INDEX($AH$2:$AH$1001,MATCH(ROWS($AF$2:AF381),$AF$2:$AF$1001,0),0), INDEX($AM$1004:$BM$1004,1,MATCH(COLUMNS($AM$1006:AW1006),$AM$1006:$BM$1006,0)))),"Fix")))</f>
        <v xml:space="preserve"> </v>
      </c>
      <c r="M381" s="4" t="str">
        <f ca="1">IF(OR(INDEX($AG$2:$AG$1001,MATCH(ROWS($AF$2:AF381),$AF$2:$AF$1001,0),1)&gt;=100000,INDEX($AM$1005:$BM$1005,1,MATCH(COLUMNS($AM$1006:AX1006),$AM$1006:$BM$1006,0))&gt;=100000), " ",IF(INDEX($AM$2:$BM$1001,MATCH(ROWS($AF$2:AF381),$AF$2:$AF$1001,0),MATCH(COLUMNS($AM$1006:AX1006),$AM$1006:$BM$1006,0)), HYPERLINK("#",""), HYPERLINK(CONCATENATE("#metadata!", ADDRESS(INDEX($AH$2:$AH$1001,MATCH(ROWS($AF$2:AF381),$AF$2:$AF$1001,0),0), INDEX($AM$1004:$BM$1004,1,MATCH(COLUMNS($AM$1006:AX1006),$AM$1006:$BM$1006,0)))),"Fix")))</f>
        <v xml:space="preserve"> </v>
      </c>
      <c r="N381" s="4" t="str">
        <f ca="1">IF(OR(INDEX($AG$2:$AG$1001,MATCH(ROWS($AF$2:AF381),$AF$2:$AF$1001,0),1)&gt;=100000,INDEX($AM$1005:$BM$1005,1,MATCH(COLUMNS($AM$1006:AY1006),$AM$1006:$BM$1006,0))&gt;=100000), " ",IF(INDEX($AM$2:$BM$1001,MATCH(ROWS($AF$2:AF381),$AF$2:$AF$1001,0),MATCH(COLUMNS($AM$1006:AY1006),$AM$1006:$BM$1006,0)), HYPERLINK("#",""), HYPERLINK(CONCATENATE("#metadata!", ADDRESS(INDEX($AH$2:$AH$1001,MATCH(ROWS($AF$2:AF381),$AF$2:$AF$1001,0),0), INDEX($AM$1004:$BM$1004,1,MATCH(COLUMNS($AM$1006:AY1006),$AM$1006:$BM$1006,0)))),"Fix")))</f>
        <v xml:space="preserve"> </v>
      </c>
      <c r="O381" s="4" t="str">
        <f ca="1">IF(OR(INDEX($AG$2:$AG$1001,MATCH(ROWS($AF$2:AF381),$AF$2:$AF$1001,0),1)&gt;=100000,INDEX($AM$1005:$BM$1005,1,MATCH(COLUMNS($AM$1006:AZ1006),$AM$1006:$BM$1006,0))&gt;=100000), " ",IF(INDEX($AM$2:$BM$1001,MATCH(ROWS($AF$2:AF381),$AF$2:$AF$1001,0),MATCH(COLUMNS($AM$1006:AZ1006),$AM$1006:$BM$1006,0)), HYPERLINK("#",""), HYPERLINK(CONCATENATE("#metadata!", ADDRESS(INDEX($AH$2:$AH$1001,MATCH(ROWS($AF$2:AF381),$AF$2:$AF$1001,0),0), INDEX($AM$1004:$BM$1004,1,MATCH(COLUMNS($AM$1006:AZ1006),$AM$1006:$BM$1006,0)))),"Fix")))</f>
        <v xml:space="preserve"> </v>
      </c>
      <c r="P381" s="4" t="str">
        <f ca="1">IF(OR(INDEX($AG$2:$AG$1001,MATCH(ROWS($AF$2:AF381),$AF$2:$AF$1001,0),1)&gt;=100000,INDEX($AM$1005:$BM$1005,1,MATCH(COLUMNS($AM$1006:BA1006),$AM$1006:$BM$1006,0))&gt;=100000), " ",IF(INDEX($AM$2:$BM$1001,MATCH(ROWS($AF$2:AF381),$AF$2:$AF$1001,0),MATCH(COLUMNS($AM$1006:BA1006),$AM$1006:$BM$1006,0)), HYPERLINK("#",""), HYPERLINK(CONCATENATE("#metadata!", ADDRESS(INDEX($AH$2:$AH$1001,MATCH(ROWS($AF$2:AF381),$AF$2:$AF$1001,0),0), INDEX($AM$1004:$BM$1004,1,MATCH(COLUMNS($AM$1006:BA1006),$AM$1006:$BM$1006,0)))),"Fix")))</f>
        <v xml:space="preserve"> </v>
      </c>
      <c r="Q381" s="4" t="str">
        <f ca="1">IF(OR(INDEX($AG$2:$AG$1001,MATCH(ROWS($AF$2:AF381),$AF$2:$AF$1001,0),1)&gt;=100000,INDEX($AM$1005:$BM$1005,1,MATCH(COLUMNS($AM$1006:BB1006),$AM$1006:$BM$1006,0))&gt;=100000), " ",IF(INDEX($AM$2:$BM$1001,MATCH(ROWS($AF$2:AF381),$AF$2:$AF$1001,0),MATCH(COLUMNS($AM$1006:BB1006),$AM$1006:$BM$1006,0)), HYPERLINK("#",""), HYPERLINK(CONCATENATE("#metadata!", ADDRESS(INDEX($AH$2:$AH$1001,MATCH(ROWS($AF$2:AF381),$AF$2:$AF$1001,0),0), INDEX($AM$1004:$BM$1004,1,MATCH(COLUMNS($AM$1006:BB1006),$AM$1006:$BM$1006,0)))),"Fix")))</f>
        <v xml:space="preserve"> </v>
      </c>
      <c r="R381" s="4" t="str">
        <f ca="1">IF(OR(INDEX($AG$2:$AG$1001,MATCH(ROWS($AF$2:AF381),$AF$2:$AF$1001,0),1)&gt;=100000,INDEX($AM$1005:$BM$1005,1,MATCH(COLUMNS($AM$1006:BC1006),$AM$1006:$BM$1006,0))&gt;=100000), " ",IF(INDEX($AM$2:$BM$1001,MATCH(ROWS($AF$2:AF381),$AF$2:$AF$1001,0),MATCH(COLUMNS($AM$1006:BC1006),$AM$1006:$BM$1006,0)), HYPERLINK("#",""), HYPERLINK(CONCATENATE("#metadata!", ADDRESS(INDEX($AH$2:$AH$1001,MATCH(ROWS($AF$2:AF381),$AF$2:$AF$1001,0),0), INDEX($AM$1004:$BM$1004,1,MATCH(COLUMNS($AM$1006:BC1006),$AM$1006:$BM$1006,0)))),"Fix")))</f>
        <v xml:space="preserve"> </v>
      </c>
      <c r="S381" s="4" t="str">
        <f ca="1">IF(OR(INDEX($AG$2:$AG$1001,MATCH(ROWS($AF$2:AF381),$AF$2:$AF$1001,0),1)&gt;=100000,INDEX($AM$1005:$BM$1005,1,MATCH(COLUMNS($AM$1006:BD1006),$AM$1006:$BM$1006,0))&gt;=100000), " ",IF(INDEX($AM$2:$BM$1001,MATCH(ROWS($AF$2:AF381),$AF$2:$AF$1001,0),MATCH(COLUMNS($AM$1006:BD1006),$AM$1006:$BM$1006,0)), HYPERLINK("#",""), HYPERLINK(CONCATENATE("#metadata!", ADDRESS(INDEX($AH$2:$AH$1001,MATCH(ROWS($AF$2:AF381),$AF$2:$AF$1001,0),0), INDEX($AM$1004:$BM$1004,1,MATCH(COLUMNS($AM$1006:BD1006),$AM$1006:$BM$1006,0)))),"Fix")))</f>
        <v xml:space="preserve"> </v>
      </c>
      <c r="T381" s="4" t="str">
        <f ca="1">IF(OR(INDEX($AG$2:$AG$1001,MATCH(ROWS($AF$2:AF381),$AF$2:$AF$1001,0),1)&gt;=100000,INDEX($AM$1005:$BM$1005,1,MATCH(COLUMNS($AM$1006:BE1006),$AM$1006:$BM$1006,0))&gt;=100000), " ",IF(INDEX($AM$2:$BM$1001,MATCH(ROWS($AF$2:AF381),$AF$2:$AF$1001,0),MATCH(COLUMNS($AM$1006:BE1006),$AM$1006:$BM$1006,0)), HYPERLINK("#",""), HYPERLINK(CONCATENATE("#metadata!", ADDRESS(INDEX($AH$2:$AH$1001,MATCH(ROWS($AF$2:AF381),$AF$2:$AF$1001,0),0), INDEX($AM$1004:$BM$1004,1,MATCH(COLUMNS($AM$1006:BE1006),$AM$1006:$BM$1006,0)))),"Fix")))</f>
        <v xml:space="preserve"> </v>
      </c>
      <c r="U381" s="4" t="str">
        <f ca="1">IF(OR(INDEX($AG$2:$AG$1001,MATCH(ROWS($AF$2:AF381),$AF$2:$AF$1001,0),1)&gt;=100000,INDEX($AM$1005:$BM$1005,1,MATCH(COLUMNS($AM$1006:BF1006),$AM$1006:$BM$1006,0))&gt;=100000), " ",IF(INDEX($AM$2:$BM$1001,MATCH(ROWS($AF$2:AF381),$AF$2:$AF$1001,0),MATCH(COLUMNS($AM$1006:BF1006),$AM$1006:$BM$1006,0)), HYPERLINK("#",""), HYPERLINK(CONCATENATE("#metadata!", ADDRESS(INDEX($AH$2:$AH$1001,MATCH(ROWS($AF$2:AF381),$AF$2:$AF$1001,0),0), INDEX($AM$1004:$BM$1004,1,MATCH(COLUMNS($AM$1006:BF1006),$AM$1006:$BM$1006,0)))),"Fix")))</f>
        <v xml:space="preserve"> </v>
      </c>
      <c r="V381" s="4" t="str">
        <f ca="1">IF(OR(INDEX($AG$2:$AG$1001,MATCH(ROWS($AF$2:AF381),$AF$2:$AF$1001,0),1)&gt;=100000,INDEX($AM$1005:$BM$1005,1,MATCH(COLUMNS($AM$1006:BG1006),$AM$1006:$BM$1006,0))&gt;=100000), " ",IF(INDEX($AM$2:$BM$1001,MATCH(ROWS($AF$2:AF381),$AF$2:$AF$1001,0),MATCH(COLUMNS($AM$1006:BG1006),$AM$1006:$BM$1006,0)), HYPERLINK("#",""), HYPERLINK(CONCATENATE("#metadata!", ADDRESS(INDEX($AH$2:$AH$1001,MATCH(ROWS($AF$2:AF381),$AF$2:$AF$1001,0),0), INDEX($AM$1004:$BM$1004,1,MATCH(COLUMNS($AM$1006:BG1006),$AM$1006:$BM$1006,0)))),"Fix")))</f>
        <v xml:space="preserve"> </v>
      </c>
      <c r="W381" s="4" t="str">
        <f ca="1">IF(OR(INDEX($AG$2:$AG$1001,MATCH(ROWS($AF$2:AF381),$AF$2:$AF$1001,0),1)&gt;=100000,INDEX($AM$1005:$BM$1005,1,MATCH(COLUMNS($AM$1006:BH1006),$AM$1006:$BM$1006,0))&gt;=100000), " ",IF(INDEX($AM$2:$BM$1001,MATCH(ROWS($AF$2:AF381),$AF$2:$AF$1001,0),MATCH(COLUMNS($AM$1006:BH1006),$AM$1006:$BM$1006,0)), HYPERLINK("#",""), HYPERLINK(CONCATENATE("#metadata!", ADDRESS(INDEX($AH$2:$AH$1001,MATCH(ROWS($AF$2:AF381),$AF$2:$AF$1001,0),0), INDEX($AM$1004:$BM$1004,1,MATCH(COLUMNS($AM$1006:BH1006),$AM$1006:$BM$1006,0)))),"Fix")))</f>
        <v xml:space="preserve"> </v>
      </c>
      <c r="X381" s="4" t="str">
        <f ca="1">IF(OR(INDEX($AG$2:$AG$1001,MATCH(ROWS($AF$2:AF381),$AF$2:$AF$1001,0),1)&gt;=100000,INDEX($AM$1005:$BM$1005,1,MATCH(COLUMNS($AM$1006:BI1006),$AM$1006:$BM$1006,0))&gt;=100000), " ",IF(INDEX($AM$2:$BM$1001,MATCH(ROWS($AF$2:AF381),$AF$2:$AF$1001,0),MATCH(COLUMNS($AM$1006:BI1006),$AM$1006:$BM$1006,0)), HYPERLINK("#",""), HYPERLINK(CONCATENATE("#metadata!", ADDRESS(INDEX($AH$2:$AH$1001,MATCH(ROWS($AF$2:AF381),$AF$2:$AF$1001,0),0), INDEX($AM$1004:$BM$1004,1,MATCH(COLUMNS($AM$1006:BI1006),$AM$1006:$BM$1006,0)))),"Fix")))</f>
        <v xml:space="preserve"> </v>
      </c>
      <c r="Y381" s="4" t="str">
        <f ca="1">IF(OR(INDEX($AG$2:$AG$1001,MATCH(ROWS($AF$2:AF381),$AF$2:$AF$1001,0),1)&gt;=100000,INDEX($AM$1005:$BM$1005,1,MATCH(COLUMNS($AM$1006:BJ1006),$AM$1006:$BM$1006,0))&gt;=100000), " ",IF(INDEX($AM$2:$BM$1001,MATCH(ROWS($AF$2:AF381),$AF$2:$AF$1001,0),MATCH(COLUMNS($AM$1006:BJ1006),$AM$1006:$BM$1006,0)), HYPERLINK("#",""), HYPERLINK(CONCATENATE("#metadata!", ADDRESS(INDEX($AH$2:$AH$1001,MATCH(ROWS($AF$2:AF381),$AF$2:$AF$1001,0),0), INDEX($AM$1004:$BM$1004,1,MATCH(COLUMNS($AM$1006:BJ1006),$AM$1006:$BM$1006,0)))),"Fix")))</f>
        <v xml:space="preserve"> </v>
      </c>
      <c r="Z381" s="4" t="str">
        <f ca="1">IF(OR(INDEX($AG$2:$AG$1001,MATCH(ROWS($AF$2:AF381),$AF$2:$AF$1001,0),1)&gt;=100000,INDEX($AM$1005:$BM$1005,1,MATCH(COLUMNS($AM$1006:BK1006),$AM$1006:$BM$1006,0))&gt;=100000), " ",IF(INDEX($AM$2:$BM$1001,MATCH(ROWS($AF$2:AF381),$AF$2:$AF$1001,0),MATCH(COLUMNS($AM$1006:BK1006),$AM$1006:$BM$1006,0)), HYPERLINK("#",""), HYPERLINK(CONCATENATE("#metadata!", ADDRESS(INDEX($AH$2:$AH$1001,MATCH(ROWS($AF$2:AF381),$AF$2:$AF$1001,0),0), INDEX($AM$1004:$BM$1004,1,MATCH(COLUMNS($AM$1006:BK1006),$AM$1006:$BM$1006,0)))),"Fix")))</f>
        <v xml:space="preserve"> </v>
      </c>
      <c r="AA381" s="4" t="str">
        <f ca="1">IF(OR(INDEX($AG$2:$AG$1001,MATCH(ROWS($AF$2:AF381),$AF$2:$AF$1001,0),1)&gt;=100000,INDEX($AM$1005:$BM$1005,1,MATCH(COLUMNS($AM$1006:BL1006),$AM$1006:$BM$1006,0))&gt;=100000), " ",IF(INDEX($AM$2:$BM$1001,MATCH(ROWS($AF$2:AF381),$AF$2:$AF$1001,0),MATCH(COLUMNS($AM$1006:BL1006),$AM$1006:$BM$1006,0)), HYPERLINK("#",""), HYPERLINK(CONCATENATE("#metadata!", ADDRESS(INDEX($AH$2:$AH$1001,MATCH(ROWS($AF$2:AF381),$AF$2:$AF$1001,0),0), INDEX($AM$1004:$BM$1004,1,MATCH(COLUMNS($AM$1006:BL1006),$AM$1006:$BM$1006,0)))),"Fix")))</f>
        <v xml:space="preserve"> </v>
      </c>
      <c r="AB381" s="4" t="str">
        <f ca="1">IF(OR(INDEX($AG$2:$AG$1001,MATCH(ROWS($AF$2:AF381),$AF$2:$AF$1001,0),1)&gt;=100000,INDEX($AM$1005:$BM$1005,1,MATCH(COLUMNS($AM$1006:BM1006),$AM$1006:$BM$1006,0))&gt;=100000), " ",IF(INDEX($AM$2:$BM$1001,MATCH(ROWS($AF$2:AF381),$AF$2:$AF$1001,0),MATCH(COLUMNS($AM$1006:BM1006),$AM$1006:$BM$1006,0)), HYPERLINK("#",""), HYPERLINK(CONCATENATE("#metadata!", ADDRESS(INDEX($AH$2:$AH$1001,MATCH(ROWS($AF$2:AF381),$AF$2:$AF$1001,0),0), INDEX($AM$1004:$BM$1004,1,MATCH(COLUMNS($AM$1006:BM1006),$AM$1006:$BM$1006,0)))),"Fix")))</f>
        <v xml:space="preserve"> </v>
      </c>
      <c r="AF381">
        <v>380</v>
      </c>
      <c r="AG381">
        <v>100381</v>
      </c>
      <c r="AH381">
        <v>381</v>
      </c>
      <c r="AI381" t="b">
        <f t="shared" si="5"/>
        <v>1</v>
      </c>
      <c r="AJ381" t="b">
        <f>COUNTBLANK(metadata!B381:AB381)=COLUMNS(metadata!B381:AB381)</f>
        <v>1</v>
      </c>
      <c r="AK381" t="str">
        <v/>
      </c>
      <c r="AM381" t="b">
        <f ca="1">AND(IF(metadata!B381="",FALSE,TRUE),COUNTIF(metadata!B:B, metadata!B381) = 1,NOT(ISERROR(SUMPRODUCT(SEARCH(MID(metadata!B381,ROW(INDIRECT("1:"&amp;LEN(metadata!B381))), 1),"0123456789abcdefghijklmnopqrstuvwxyzABCDEFGHIJKLMNOPQRSTUVWXYZ.")))))</f>
        <v>0</v>
      </c>
      <c r="AN381" t="b">
        <f ca="1">OR(AND(IF(metadata!C381="",FALSE,TRUE),OR(EXACT(metadata!C381,"missing: not collected"),EXACT(metadata!C381,"missing: not provided"),EXACT(metadata!C381,"missing: restricted access"))),AND(IF(metadata!C381="",FALSE,TRUE),AND(AND(IFERROR(INT(LEFT(metadata!C381,4))&gt;1900,FALSE),IFERROR(INT(LEFT(metadata!C381,4))&lt;=YEAR(NOW()),FALSE)), OR(MID(metadata!C381,5,1)="", AND(AND(MID(metadata!C381,5,1)="-",IFERROR(INT(MID(metadata!C381,6,1))&gt;=0,FALSE),IFERROR(INT(MID(metadata!C381,6,1))&lt;=1,FALSE),NOT(MID(metadata!C381,7,1)=""),IFERROR(INT(MID(metadata!C381,6,2))&gt;=1,FALSE),IFERROR(INT(MID(metadata!C381,6,2))&lt;=12,FALSE)), OR(MID(metadata!C381,8,1)="", AND(AND(MID(metadata!C381,8,1)="-",IFERROR(INT(MID(metadata!C381,9,1))&gt;=0,FALSE),IFERROR(INT(MID(metadata!C381,9,1))&lt;=3,FALSE),NOT(MID(metadata!C381,10,1)=""),IFERROR(INT(MID(metadata!C381,9,2))&gt;=1,FALSE),IFERROR(INT(MID(metadata!C381,9,2))&lt;=31,FALSE)), OR(MID(metadata!C381,11,1)="", AND(AND(MID(metadata!C381,11,1)=" ",IFERROR(INT(MID(metadata!C381,12,1))&gt;=0,FALSE),IFERROR(INT(MID(metadata!C381,12,1))&lt;=2,FALSE),NOT(MID(metadata!C381,13,1)=""),IFERROR(INT(MID(metadata!C381,12,2))&gt;=0,FALSE),IFERROR(INT(MID(metadata!C381,12,2))&lt;=23,FALSE)), OR(MID(metadata!C381,14,1)="", AND(AND(MID(metadata!C381,14,1)=":",IFERROR(INT(MID(metadata!C381,15,1))&gt;=0,FALSE),IFERROR(INT(MID(metadata!C381,15,1))&lt;=5,FALSE),NOT(MID(metadata!C381,16,1)=""),IFERROR(INT(MID(metadata!C381,15,2))&gt;=0,FALSE),IFERROR(INT(MID(metadata!C381,15,2))&lt;=59,FALSE)), OR(MID(metadata!C381,17,1)="", AND(AND(MID(metadata!C381,17,1)=":",IFERROR(INT(MID(metadata!C381,18,1))&gt;=0,FALSE),IFERROR(INT(MID(metadata!C381,18,1))&lt;=5,FALSE),NOT(MID(metadata!C381,19,1)=""),IFERROR(INT(MID(metadata!C381,18,2))&gt;=0,FALSE),IFERROR(INT(MID(metadata!C381,18,2))&lt;=59,FALSE)), LEN(metadata!C381)&lt;=19)))))))))))))</f>
        <v>0</v>
      </c>
      <c r="AO381" t="b">
        <f>AND(IF(metadata!D381="",FALSE,TRUE),EXACT(metadata!D381,"Not applicable"))</f>
        <v>0</v>
      </c>
      <c r="AP381" t="b">
        <f>IF(metadata!E381="",FALSE,TRUE)</f>
        <v>0</v>
      </c>
      <c r="AQ381" t="b">
        <f>OR(AND(IF(metadata!F381="",FALSE,TRUE),OR(EXACT(metadata!F381,"missing: not collected"),EXACT(metadata!F381,"missing: not provided"))),AND(IF(metadata!F381="",FALSE,TRUE),OR(EXACT(metadata!F381,"TRUE"),EXACT(metadata!F381,"FALSE"))))</f>
        <v>0</v>
      </c>
      <c r="AR381" t="b">
        <f>OR(AND(IF(metadata!G381="",FALSE,TRUE),OR(EXACT(metadata!G381,"missing: not collected"),EXACT(metadata!G381,"missing: not provided"),EXACT(metadata!G381,"missing: restricted access"))),AND(IF(metadata!G381="",FALSE,ISNUMBER(VALUE(metadata!G381))),metadata!G381&gt;=-413))</f>
        <v>0</v>
      </c>
      <c r="AS381" t="b">
        <f>AND(IF(metadata!H381="",FALSE,TRUE),EXACT(metadata!H381,"meters"))</f>
        <v>0</v>
      </c>
      <c r="AT381" t="b">
        <f>AND(IF(metadata!I381="",FALSE,TRUE),OR(EXACT(metadata!I381,"Host-associated"),EXACT(metadata!I381,"Free-living")))</f>
        <v>0</v>
      </c>
      <c r="AU381" t="b">
        <f>AND(IF(metadata!J381="",FALSE,TRUE),OR(EXACT(metadata!J381,"Animal"),EXACT(metadata!J381,"Fungus"),EXACT(metadata!J381,"Plant"),EXACT(metadata!J381,"Saline"),EXACT(metadata!J381,"Non-saline")))</f>
        <v>0</v>
      </c>
      <c r="AV381" t="b">
        <f>AND(IF(metadata!K381="",FALSE,TRUE),OR(EXACT(metadata!K381,"Plant secretion"),EXACT(metadata!K381,"Plant rhizosphere"),EXACT(metadata!K381,"Plant surface"),EXACT(metadata!K381,"Plant corpus"),EXACT(metadata!K381,"Fungus surface"),EXACT(metadata!K381,"Fungus corpus"),EXACT(metadata!K381,"Animal surface"),EXACT(metadata!K381,"Animal proximal gut"),EXACT(metadata!K381,"Animal corpus"),EXACT(metadata!K381,"Animal distal gut"),EXACT(metadata!K381,"Animal secretion"),EXACT(metadata!K381,"Sub-surface (non-saline)"),EXACT(metadata!K381,"Surface (non-saline)"),EXACT(metadata!K381,"Water (non-saline)"),EXACT(metadata!K381,"Soil (non-saline)"),EXACT(metadata!K381,"Aerosol (non-saline)"),EXACT(metadata!K381,"Sediment (non-saline)"),EXACT(metadata!K381,"Surface (saline)"),EXACT(metadata!K381,"Water (saline)"),EXACT(metadata!K381,"Hypersaline (saline)"),EXACT(metadata!K381,"Aerosol (saline)"),EXACT(metadata!K381,"Sediment (saline)")))</f>
        <v>0</v>
      </c>
      <c r="AW381" t="b">
        <f>IF(metadata!L381="",FALSE,TRUE)</f>
        <v>0</v>
      </c>
      <c r="AX381" t="b">
        <f>IF(metadata!M381="",FALSE,TRUE)</f>
        <v>0</v>
      </c>
      <c r="AY381" t="b">
        <f>IF(metadata!N381="",FALSE,TRUE)</f>
        <v>0</v>
      </c>
      <c r="AZ381" t="b">
        <f>OR(AND(IF(metadata!O381="",FALSE,TRUE),OR(EXACT(metadata!O381,"missing: not collected"),EXACT(metadata!O381,"missing: not provided"),EXACT(metadata!O381,"missing: restricted access"))),AND(IF(metadata!O381="",FALSE,TRUE),OR(EXACT(metadata!O381,"air"),EXACT(metadata!O381,"built environment"),EXACT(metadata!O381,"host-associated"),EXACT(metadata!O381,"human-associated"),EXACT(metadata!O381,"human-skin"),EXACT(metadata!O381,"human-oral"),EXACT(metadata!O381,"human-gut"),EXACT(metadata!O381,"human-vaginal"),EXACT(metadata!O381,"microbial mat/biofilm"),EXACT(metadata!O381,"misc environment"),EXACT(metadata!O381,"plant-associated"),EXACT(metadata!O381,"sediment"),EXACT(metadata!O381,"soil"),EXACT(metadata!O381,"wastewater/sludge"),EXACT(metadata!O381,"water"))))</f>
        <v>0</v>
      </c>
      <c r="BA381" t="b">
        <f>IF(metadata!P381="",FALSE,TRUE)</f>
        <v>0</v>
      </c>
      <c r="BB381" t="b">
        <f>IF(metadata!Q381="",FALSE,TRUE)</f>
        <v>0</v>
      </c>
      <c r="BC381" t="b">
        <f>OR(AND(IF(metadata!R381="",FALSE,TRUE),OR(EXACT(metadata!R381,"missing: not collected"),EXACT(metadata!R381,"missing: not provided"),EXACT(metadata!R381,"missing: restricted access"))),AND(IF(metadata!R381="",FALSE,ISNUMBER(VALUE(metadata!R381))),metadata!R381&gt;=-90,metadata!R381&lt;=90))</f>
        <v>0</v>
      </c>
      <c r="BD381" t="b">
        <f>AND(IF(metadata!S381="",FALSE,TRUE),EXACT(metadata!S381,"Decimal degrees"))</f>
        <v>0</v>
      </c>
      <c r="BE381" t="b">
        <f>OR(AND(IF(metadata!T381="",FALSE,TRUE),OR(EXACT(metadata!T381,"missing: not collected"),EXACT(metadata!T381,"missing: not provided"),EXACT(metadata!T381,"missing: restricted access"))),AND(IF(metadata!T381="",FALSE,ISNUMBER(VALUE(metadata!T381))),metadata!T381&gt;=-180,metadata!T381&lt;=180))</f>
        <v>0</v>
      </c>
      <c r="BF381" t="b">
        <f>AND(IF(metadata!U381="",FALSE,TRUE),EXACT(metadata!U381,"Decimal degrees"))</f>
        <v>0</v>
      </c>
      <c r="BG381" t="b">
        <f>IF(metadata!V381="",FALSE,TRUE)</f>
        <v>0</v>
      </c>
      <c r="BH381" t="b">
        <f>OR(AND(IF(metadata!W381="",FALSE,TRUE),OR(EXACT(metadata!W381,"missing: not collected"),EXACT(metadata!W381,"missing: not provided"),EXACT(metadata!W381,"missing: restricted access"))),AND(IF(metadata!W381="",FALSE,TRUE),OR(EXACT(metadata!W381,"TRUE"),EXACT(metadata!W381,"FALSE"))))</f>
        <v>0</v>
      </c>
      <c r="BI381" t="b">
        <f>AND(IF(metadata!X381="",FALSE,TRUE),EXACT(metadata!X381,"other"))</f>
        <v>0</v>
      </c>
      <c r="BJ381" t="b">
        <f>IF(metadata!Y381="",FALSE,TRUE)</f>
        <v>0</v>
      </c>
      <c r="BK381" t="b">
        <f>OR(AND(IF(metadata!Z381="",FALSE,TRUE),OR(EXACT(metadata!Z381,"missing: not collected"),EXACT(metadata!Z381,"missing: not provided"))),AND(IF(metadata!Z381="",FALSE,IF(ISERROR(INT(metadata!Z381)),FALSE,INT(metadata!Z381)=metadata!Z381)),metadata!Z381&gt;0))</f>
        <v>0</v>
      </c>
      <c r="BL381" t="b">
        <f>AND(IF(metadata!AA381="",FALSE,TRUE),EXACT(metadata!AA381,"Not applicable"))</f>
        <v>0</v>
      </c>
      <c r="BM381" t="b">
        <f>IF(metadata!AB381="",FALSE,TRUE)</f>
        <v>0</v>
      </c>
    </row>
    <row r="382" spans="1:65" x14ac:dyDescent="0.2">
      <c r="A382" s="5" t="str">
        <f ca="1">IF(B382=" "," ",HYPERLINK(CONCATENATE("#metadata!",ADDRESS(INDEX($AH$2:$AH$1001,MATCH(ROWS($AF$2:AF382),$AF$2:$AF$1001,0),0),1)),INDEX($AK$2:$AK$1001,MATCH(ROWS($AF$2:AF382),$AF$2:$AF$1001,0),0)))</f>
        <v xml:space="preserve"> </v>
      </c>
      <c r="B382" s="4" t="str">
        <f ca="1">IF(OR(INDEX($AG$2:$AG$1001,MATCH(ROWS($AF$2:AF382),$AF$2:$AF$1001,0),1)&gt;=100000,INDEX($AM$1005:$BM$1005,1,MATCH(COLUMNS($AM$1006:AM1006),$AM$1006:$BM$1006,0))&gt;=100000), " ",IF(INDEX($AM$2:$BM$1001,MATCH(ROWS($AF$2:AF382),$AF$2:$AF$1001,0),MATCH(COLUMNS($AM$1006:AM1006),$AM$1006:$BM$1006,0)), HYPERLINK("#",""), HYPERLINK(CONCATENATE("#metadata!", ADDRESS(INDEX($AH$2:$AH$1001,MATCH(ROWS($AF$2:AF382),$AF$2:$AF$1001,0),0), INDEX($AM$1004:$BM$1004,1,MATCH(COLUMNS($AM$1006:AM1006),$AM$1006:$BM$1006,0)))),"Fix")))</f>
        <v xml:space="preserve"> </v>
      </c>
      <c r="C382" s="4" t="str">
        <f ca="1">IF(OR(INDEX($AG$2:$AG$1001,MATCH(ROWS($AF$2:AF382),$AF$2:$AF$1001,0),1)&gt;=100000,INDEX($AM$1005:$BM$1005,1,MATCH(COLUMNS($AM$1006:AN1006),$AM$1006:$BM$1006,0))&gt;=100000), " ",IF(INDEX($AM$2:$BM$1001,MATCH(ROWS($AF$2:AF382),$AF$2:$AF$1001,0),MATCH(COLUMNS($AM$1006:AN1006),$AM$1006:$BM$1006,0)), HYPERLINK("#",""), HYPERLINK(CONCATENATE("#metadata!", ADDRESS(INDEX($AH$2:$AH$1001,MATCH(ROWS($AF$2:AF382),$AF$2:$AF$1001,0),0), INDEX($AM$1004:$BM$1004,1,MATCH(COLUMNS($AM$1006:AN1006),$AM$1006:$BM$1006,0)))),"Fix")))</f>
        <v xml:space="preserve"> </v>
      </c>
      <c r="D382" s="4" t="str">
        <f ca="1">IF(OR(INDEX($AG$2:$AG$1001,MATCH(ROWS($AF$2:AF382),$AF$2:$AF$1001,0),1)&gt;=100000,INDEX($AM$1005:$BM$1005,1,MATCH(COLUMNS($AM$1006:AO1006),$AM$1006:$BM$1006,0))&gt;=100000), " ",IF(INDEX($AM$2:$BM$1001,MATCH(ROWS($AF$2:AF382),$AF$2:$AF$1001,0),MATCH(COLUMNS($AM$1006:AO1006),$AM$1006:$BM$1006,0)), HYPERLINK("#",""), HYPERLINK(CONCATENATE("#metadata!", ADDRESS(INDEX($AH$2:$AH$1001,MATCH(ROWS($AF$2:AF382),$AF$2:$AF$1001,0),0), INDEX($AM$1004:$BM$1004,1,MATCH(COLUMNS($AM$1006:AO1006),$AM$1006:$BM$1006,0)))),"Fix")))</f>
        <v xml:space="preserve"> </v>
      </c>
      <c r="E382" s="4" t="str">
        <f ca="1">IF(OR(INDEX($AG$2:$AG$1001,MATCH(ROWS($AF$2:AF382),$AF$2:$AF$1001,0),1)&gt;=100000,INDEX($AM$1005:$BM$1005,1,MATCH(COLUMNS($AM$1006:AP1006),$AM$1006:$BM$1006,0))&gt;=100000), " ",IF(INDEX($AM$2:$BM$1001,MATCH(ROWS($AF$2:AF382),$AF$2:$AF$1001,0),MATCH(COLUMNS($AM$1006:AP1006),$AM$1006:$BM$1006,0)), HYPERLINK("#",""), HYPERLINK(CONCATENATE("#metadata!", ADDRESS(INDEX($AH$2:$AH$1001,MATCH(ROWS($AF$2:AF382),$AF$2:$AF$1001,0),0), INDEX($AM$1004:$BM$1004,1,MATCH(COLUMNS($AM$1006:AP1006),$AM$1006:$BM$1006,0)))),"Fix")))</f>
        <v xml:space="preserve"> </v>
      </c>
      <c r="F382" s="4" t="str">
        <f ca="1">IF(OR(INDEX($AG$2:$AG$1001,MATCH(ROWS($AF$2:AF382),$AF$2:$AF$1001,0),1)&gt;=100000,INDEX($AM$1005:$BM$1005,1,MATCH(COLUMNS($AM$1006:AQ1006),$AM$1006:$BM$1006,0))&gt;=100000), " ",IF(INDEX($AM$2:$BM$1001,MATCH(ROWS($AF$2:AF382),$AF$2:$AF$1001,0),MATCH(COLUMNS($AM$1006:AQ1006),$AM$1006:$BM$1006,0)), HYPERLINK("#",""), HYPERLINK(CONCATENATE("#metadata!", ADDRESS(INDEX($AH$2:$AH$1001,MATCH(ROWS($AF$2:AF382),$AF$2:$AF$1001,0),0), INDEX($AM$1004:$BM$1004,1,MATCH(COLUMNS($AM$1006:AQ1006),$AM$1006:$BM$1006,0)))),"Fix")))</f>
        <v xml:space="preserve"> </v>
      </c>
      <c r="G382" s="4" t="str">
        <f ca="1">IF(OR(INDEX($AG$2:$AG$1001,MATCH(ROWS($AF$2:AF382),$AF$2:$AF$1001,0),1)&gt;=100000,INDEX($AM$1005:$BM$1005,1,MATCH(COLUMNS($AM$1006:AR1006),$AM$1006:$BM$1006,0))&gt;=100000), " ",IF(INDEX($AM$2:$BM$1001,MATCH(ROWS($AF$2:AF382),$AF$2:$AF$1001,0),MATCH(COLUMNS($AM$1006:AR1006),$AM$1006:$BM$1006,0)), HYPERLINK("#",""), HYPERLINK(CONCATENATE("#metadata!", ADDRESS(INDEX($AH$2:$AH$1001,MATCH(ROWS($AF$2:AF382),$AF$2:$AF$1001,0),0), INDEX($AM$1004:$BM$1004,1,MATCH(COLUMNS($AM$1006:AR1006),$AM$1006:$BM$1006,0)))),"Fix")))</f>
        <v xml:space="preserve"> </v>
      </c>
      <c r="H382" s="4" t="str">
        <f ca="1">IF(OR(INDEX($AG$2:$AG$1001,MATCH(ROWS($AF$2:AF382),$AF$2:$AF$1001,0),1)&gt;=100000,INDEX($AM$1005:$BM$1005,1,MATCH(COLUMNS($AM$1006:AS1006),$AM$1006:$BM$1006,0))&gt;=100000), " ",IF(INDEX($AM$2:$BM$1001,MATCH(ROWS($AF$2:AF382),$AF$2:$AF$1001,0),MATCH(COLUMNS($AM$1006:AS1006),$AM$1006:$BM$1006,0)), HYPERLINK("#",""), HYPERLINK(CONCATENATE("#metadata!", ADDRESS(INDEX($AH$2:$AH$1001,MATCH(ROWS($AF$2:AF382),$AF$2:$AF$1001,0),0), INDEX($AM$1004:$BM$1004,1,MATCH(COLUMNS($AM$1006:AS1006),$AM$1006:$BM$1006,0)))),"Fix")))</f>
        <v xml:space="preserve"> </v>
      </c>
      <c r="I382" s="4" t="str">
        <f ca="1">IF(OR(INDEX($AG$2:$AG$1001,MATCH(ROWS($AF$2:AF382),$AF$2:$AF$1001,0),1)&gt;=100000,INDEX($AM$1005:$BM$1005,1,MATCH(COLUMNS($AM$1006:AT1006),$AM$1006:$BM$1006,0))&gt;=100000), " ",IF(INDEX($AM$2:$BM$1001,MATCH(ROWS($AF$2:AF382),$AF$2:$AF$1001,0),MATCH(COLUMNS($AM$1006:AT1006),$AM$1006:$BM$1006,0)), HYPERLINK("#",""), HYPERLINK(CONCATENATE("#metadata!", ADDRESS(INDEX($AH$2:$AH$1001,MATCH(ROWS($AF$2:AF382),$AF$2:$AF$1001,0),0), INDEX($AM$1004:$BM$1004,1,MATCH(COLUMNS($AM$1006:AT1006),$AM$1006:$BM$1006,0)))),"Fix")))</f>
        <v xml:space="preserve"> </v>
      </c>
      <c r="J382" s="4" t="str">
        <f ca="1">IF(OR(INDEX($AG$2:$AG$1001,MATCH(ROWS($AF$2:AF382),$AF$2:$AF$1001,0),1)&gt;=100000,INDEX($AM$1005:$BM$1005,1,MATCH(COLUMNS($AM$1006:AU1006),$AM$1006:$BM$1006,0))&gt;=100000), " ",IF(INDEX($AM$2:$BM$1001,MATCH(ROWS($AF$2:AF382),$AF$2:$AF$1001,0),MATCH(COLUMNS($AM$1006:AU1006),$AM$1006:$BM$1006,0)), HYPERLINK("#",""), HYPERLINK(CONCATENATE("#metadata!", ADDRESS(INDEX($AH$2:$AH$1001,MATCH(ROWS($AF$2:AF382),$AF$2:$AF$1001,0),0), INDEX($AM$1004:$BM$1004,1,MATCH(COLUMNS($AM$1006:AU1006),$AM$1006:$BM$1006,0)))),"Fix")))</f>
        <v xml:space="preserve"> </v>
      </c>
      <c r="K382" s="4" t="str">
        <f ca="1">IF(OR(INDEX($AG$2:$AG$1001,MATCH(ROWS($AF$2:AF382),$AF$2:$AF$1001,0),1)&gt;=100000,INDEX($AM$1005:$BM$1005,1,MATCH(COLUMNS($AM$1006:AV1006),$AM$1006:$BM$1006,0))&gt;=100000), " ",IF(INDEX($AM$2:$BM$1001,MATCH(ROWS($AF$2:AF382),$AF$2:$AF$1001,0),MATCH(COLUMNS($AM$1006:AV1006),$AM$1006:$BM$1006,0)), HYPERLINK("#",""), HYPERLINK(CONCATENATE("#metadata!", ADDRESS(INDEX($AH$2:$AH$1001,MATCH(ROWS($AF$2:AF382),$AF$2:$AF$1001,0),0), INDEX($AM$1004:$BM$1004,1,MATCH(COLUMNS($AM$1006:AV1006),$AM$1006:$BM$1006,0)))),"Fix")))</f>
        <v xml:space="preserve"> </v>
      </c>
      <c r="L382" s="4" t="str">
        <f ca="1">IF(OR(INDEX($AG$2:$AG$1001,MATCH(ROWS($AF$2:AF382),$AF$2:$AF$1001,0),1)&gt;=100000,INDEX($AM$1005:$BM$1005,1,MATCH(COLUMNS($AM$1006:AW1006),$AM$1006:$BM$1006,0))&gt;=100000), " ",IF(INDEX($AM$2:$BM$1001,MATCH(ROWS($AF$2:AF382),$AF$2:$AF$1001,0),MATCH(COLUMNS($AM$1006:AW1006),$AM$1006:$BM$1006,0)), HYPERLINK("#",""), HYPERLINK(CONCATENATE("#metadata!", ADDRESS(INDEX($AH$2:$AH$1001,MATCH(ROWS($AF$2:AF382),$AF$2:$AF$1001,0),0), INDEX($AM$1004:$BM$1004,1,MATCH(COLUMNS($AM$1006:AW1006),$AM$1006:$BM$1006,0)))),"Fix")))</f>
        <v xml:space="preserve"> </v>
      </c>
      <c r="M382" s="4" t="str">
        <f ca="1">IF(OR(INDEX($AG$2:$AG$1001,MATCH(ROWS($AF$2:AF382),$AF$2:$AF$1001,0),1)&gt;=100000,INDEX($AM$1005:$BM$1005,1,MATCH(COLUMNS($AM$1006:AX1006),$AM$1006:$BM$1006,0))&gt;=100000), " ",IF(INDEX($AM$2:$BM$1001,MATCH(ROWS($AF$2:AF382),$AF$2:$AF$1001,0),MATCH(COLUMNS($AM$1006:AX1006),$AM$1006:$BM$1006,0)), HYPERLINK("#",""), HYPERLINK(CONCATENATE("#metadata!", ADDRESS(INDEX($AH$2:$AH$1001,MATCH(ROWS($AF$2:AF382),$AF$2:$AF$1001,0),0), INDEX($AM$1004:$BM$1004,1,MATCH(COLUMNS($AM$1006:AX1006),$AM$1006:$BM$1006,0)))),"Fix")))</f>
        <v xml:space="preserve"> </v>
      </c>
      <c r="N382" s="4" t="str">
        <f ca="1">IF(OR(INDEX($AG$2:$AG$1001,MATCH(ROWS($AF$2:AF382),$AF$2:$AF$1001,0),1)&gt;=100000,INDEX($AM$1005:$BM$1005,1,MATCH(COLUMNS($AM$1006:AY1006),$AM$1006:$BM$1006,0))&gt;=100000), " ",IF(INDEX($AM$2:$BM$1001,MATCH(ROWS($AF$2:AF382),$AF$2:$AF$1001,0),MATCH(COLUMNS($AM$1006:AY1006),$AM$1006:$BM$1006,0)), HYPERLINK("#",""), HYPERLINK(CONCATENATE("#metadata!", ADDRESS(INDEX($AH$2:$AH$1001,MATCH(ROWS($AF$2:AF382),$AF$2:$AF$1001,0),0), INDEX($AM$1004:$BM$1004,1,MATCH(COLUMNS($AM$1006:AY1006),$AM$1006:$BM$1006,0)))),"Fix")))</f>
        <v xml:space="preserve"> </v>
      </c>
      <c r="O382" s="4" t="str">
        <f ca="1">IF(OR(INDEX($AG$2:$AG$1001,MATCH(ROWS($AF$2:AF382),$AF$2:$AF$1001,0),1)&gt;=100000,INDEX($AM$1005:$BM$1005,1,MATCH(COLUMNS($AM$1006:AZ1006),$AM$1006:$BM$1006,0))&gt;=100000), " ",IF(INDEX($AM$2:$BM$1001,MATCH(ROWS($AF$2:AF382),$AF$2:$AF$1001,0),MATCH(COLUMNS($AM$1006:AZ1006),$AM$1006:$BM$1006,0)), HYPERLINK("#",""), HYPERLINK(CONCATENATE("#metadata!", ADDRESS(INDEX($AH$2:$AH$1001,MATCH(ROWS($AF$2:AF382),$AF$2:$AF$1001,0),0), INDEX($AM$1004:$BM$1004,1,MATCH(COLUMNS($AM$1006:AZ1006),$AM$1006:$BM$1006,0)))),"Fix")))</f>
        <v xml:space="preserve"> </v>
      </c>
      <c r="P382" s="4" t="str">
        <f ca="1">IF(OR(INDEX($AG$2:$AG$1001,MATCH(ROWS($AF$2:AF382),$AF$2:$AF$1001,0),1)&gt;=100000,INDEX($AM$1005:$BM$1005,1,MATCH(COLUMNS($AM$1006:BA1006),$AM$1006:$BM$1006,0))&gt;=100000), " ",IF(INDEX($AM$2:$BM$1001,MATCH(ROWS($AF$2:AF382),$AF$2:$AF$1001,0),MATCH(COLUMNS($AM$1006:BA1006),$AM$1006:$BM$1006,0)), HYPERLINK("#",""), HYPERLINK(CONCATENATE("#metadata!", ADDRESS(INDEX($AH$2:$AH$1001,MATCH(ROWS($AF$2:AF382),$AF$2:$AF$1001,0),0), INDEX($AM$1004:$BM$1004,1,MATCH(COLUMNS($AM$1006:BA1006),$AM$1006:$BM$1006,0)))),"Fix")))</f>
        <v xml:space="preserve"> </v>
      </c>
      <c r="Q382" s="4" t="str">
        <f ca="1">IF(OR(INDEX($AG$2:$AG$1001,MATCH(ROWS($AF$2:AF382),$AF$2:$AF$1001,0),1)&gt;=100000,INDEX($AM$1005:$BM$1005,1,MATCH(COLUMNS($AM$1006:BB1006),$AM$1006:$BM$1006,0))&gt;=100000), " ",IF(INDEX($AM$2:$BM$1001,MATCH(ROWS($AF$2:AF382),$AF$2:$AF$1001,0),MATCH(COLUMNS($AM$1006:BB1006),$AM$1006:$BM$1006,0)), HYPERLINK("#",""), HYPERLINK(CONCATENATE("#metadata!", ADDRESS(INDEX($AH$2:$AH$1001,MATCH(ROWS($AF$2:AF382),$AF$2:$AF$1001,0),0), INDEX($AM$1004:$BM$1004,1,MATCH(COLUMNS($AM$1006:BB1006),$AM$1006:$BM$1006,0)))),"Fix")))</f>
        <v xml:space="preserve"> </v>
      </c>
      <c r="R382" s="4" t="str">
        <f ca="1">IF(OR(INDEX($AG$2:$AG$1001,MATCH(ROWS($AF$2:AF382),$AF$2:$AF$1001,0),1)&gt;=100000,INDEX($AM$1005:$BM$1005,1,MATCH(COLUMNS($AM$1006:BC1006),$AM$1006:$BM$1006,0))&gt;=100000), " ",IF(INDEX($AM$2:$BM$1001,MATCH(ROWS($AF$2:AF382),$AF$2:$AF$1001,0),MATCH(COLUMNS($AM$1006:BC1006),$AM$1006:$BM$1006,0)), HYPERLINK("#",""), HYPERLINK(CONCATENATE("#metadata!", ADDRESS(INDEX($AH$2:$AH$1001,MATCH(ROWS($AF$2:AF382),$AF$2:$AF$1001,0),0), INDEX($AM$1004:$BM$1004,1,MATCH(COLUMNS($AM$1006:BC1006),$AM$1006:$BM$1006,0)))),"Fix")))</f>
        <v xml:space="preserve"> </v>
      </c>
      <c r="S382" s="4" t="str">
        <f ca="1">IF(OR(INDEX($AG$2:$AG$1001,MATCH(ROWS($AF$2:AF382),$AF$2:$AF$1001,0),1)&gt;=100000,INDEX($AM$1005:$BM$1005,1,MATCH(COLUMNS($AM$1006:BD1006),$AM$1006:$BM$1006,0))&gt;=100000), " ",IF(INDEX($AM$2:$BM$1001,MATCH(ROWS($AF$2:AF382),$AF$2:$AF$1001,0),MATCH(COLUMNS($AM$1006:BD1006),$AM$1006:$BM$1006,0)), HYPERLINK("#",""), HYPERLINK(CONCATENATE("#metadata!", ADDRESS(INDEX($AH$2:$AH$1001,MATCH(ROWS($AF$2:AF382),$AF$2:$AF$1001,0),0), INDEX($AM$1004:$BM$1004,1,MATCH(COLUMNS($AM$1006:BD1006),$AM$1006:$BM$1006,0)))),"Fix")))</f>
        <v xml:space="preserve"> </v>
      </c>
      <c r="T382" s="4" t="str">
        <f ca="1">IF(OR(INDEX($AG$2:$AG$1001,MATCH(ROWS($AF$2:AF382),$AF$2:$AF$1001,0),1)&gt;=100000,INDEX($AM$1005:$BM$1005,1,MATCH(COLUMNS($AM$1006:BE1006),$AM$1006:$BM$1006,0))&gt;=100000), " ",IF(INDEX($AM$2:$BM$1001,MATCH(ROWS($AF$2:AF382),$AF$2:$AF$1001,0),MATCH(COLUMNS($AM$1006:BE1006),$AM$1006:$BM$1006,0)), HYPERLINK("#",""), HYPERLINK(CONCATENATE("#metadata!", ADDRESS(INDEX($AH$2:$AH$1001,MATCH(ROWS($AF$2:AF382),$AF$2:$AF$1001,0),0), INDEX($AM$1004:$BM$1004,1,MATCH(COLUMNS($AM$1006:BE1006),$AM$1006:$BM$1006,0)))),"Fix")))</f>
        <v xml:space="preserve"> </v>
      </c>
      <c r="U382" s="4" t="str">
        <f ca="1">IF(OR(INDEX($AG$2:$AG$1001,MATCH(ROWS($AF$2:AF382),$AF$2:$AF$1001,0),1)&gt;=100000,INDEX($AM$1005:$BM$1005,1,MATCH(COLUMNS($AM$1006:BF1006),$AM$1006:$BM$1006,0))&gt;=100000), " ",IF(INDEX($AM$2:$BM$1001,MATCH(ROWS($AF$2:AF382),$AF$2:$AF$1001,0),MATCH(COLUMNS($AM$1006:BF1006),$AM$1006:$BM$1006,0)), HYPERLINK("#",""), HYPERLINK(CONCATENATE("#metadata!", ADDRESS(INDEX($AH$2:$AH$1001,MATCH(ROWS($AF$2:AF382),$AF$2:$AF$1001,0),0), INDEX($AM$1004:$BM$1004,1,MATCH(COLUMNS($AM$1006:BF1006),$AM$1006:$BM$1006,0)))),"Fix")))</f>
        <v xml:space="preserve"> </v>
      </c>
      <c r="V382" s="4" t="str">
        <f ca="1">IF(OR(INDEX($AG$2:$AG$1001,MATCH(ROWS($AF$2:AF382),$AF$2:$AF$1001,0),1)&gt;=100000,INDEX($AM$1005:$BM$1005,1,MATCH(COLUMNS($AM$1006:BG1006),$AM$1006:$BM$1006,0))&gt;=100000), " ",IF(INDEX($AM$2:$BM$1001,MATCH(ROWS($AF$2:AF382),$AF$2:$AF$1001,0),MATCH(COLUMNS($AM$1006:BG1006),$AM$1006:$BM$1006,0)), HYPERLINK("#",""), HYPERLINK(CONCATENATE("#metadata!", ADDRESS(INDEX($AH$2:$AH$1001,MATCH(ROWS($AF$2:AF382),$AF$2:$AF$1001,0),0), INDEX($AM$1004:$BM$1004,1,MATCH(COLUMNS($AM$1006:BG1006),$AM$1006:$BM$1006,0)))),"Fix")))</f>
        <v xml:space="preserve"> </v>
      </c>
      <c r="W382" s="4" t="str">
        <f ca="1">IF(OR(INDEX($AG$2:$AG$1001,MATCH(ROWS($AF$2:AF382),$AF$2:$AF$1001,0),1)&gt;=100000,INDEX($AM$1005:$BM$1005,1,MATCH(COLUMNS($AM$1006:BH1006),$AM$1006:$BM$1006,0))&gt;=100000), " ",IF(INDEX($AM$2:$BM$1001,MATCH(ROWS($AF$2:AF382),$AF$2:$AF$1001,0),MATCH(COLUMNS($AM$1006:BH1006),$AM$1006:$BM$1006,0)), HYPERLINK("#",""), HYPERLINK(CONCATENATE("#metadata!", ADDRESS(INDEX($AH$2:$AH$1001,MATCH(ROWS($AF$2:AF382),$AF$2:$AF$1001,0),0), INDEX($AM$1004:$BM$1004,1,MATCH(COLUMNS($AM$1006:BH1006),$AM$1006:$BM$1006,0)))),"Fix")))</f>
        <v xml:space="preserve"> </v>
      </c>
      <c r="X382" s="4" t="str">
        <f ca="1">IF(OR(INDEX($AG$2:$AG$1001,MATCH(ROWS($AF$2:AF382),$AF$2:$AF$1001,0),1)&gt;=100000,INDEX($AM$1005:$BM$1005,1,MATCH(COLUMNS($AM$1006:BI1006),$AM$1006:$BM$1006,0))&gt;=100000), " ",IF(INDEX($AM$2:$BM$1001,MATCH(ROWS($AF$2:AF382),$AF$2:$AF$1001,0),MATCH(COLUMNS($AM$1006:BI1006),$AM$1006:$BM$1006,0)), HYPERLINK("#",""), HYPERLINK(CONCATENATE("#metadata!", ADDRESS(INDEX($AH$2:$AH$1001,MATCH(ROWS($AF$2:AF382),$AF$2:$AF$1001,0),0), INDEX($AM$1004:$BM$1004,1,MATCH(COLUMNS($AM$1006:BI1006),$AM$1006:$BM$1006,0)))),"Fix")))</f>
        <v xml:space="preserve"> </v>
      </c>
      <c r="Y382" s="4" t="str">
        <f ca="1">IF(OR(INDEX($AG$2:$AG$1001,MATCH(ROWS($AF$2:AF382),$AF$2:$AF$1001,0),1)&gt;=100000,INDEX($AM$1005:$BM$1005,1,MATCH(COLUMNS($AM$1006:BJ1006),$AM$1006:$BM$1006,0))&gt;=100000), " ",IF(INDEX($AM$2:$BM$1001,MATCH(ROWS($AF$2:AF382),$AF$2:$AF$1001,0),MATCH(COLUMNS($AM$1006:BJ1006),$AM$1006:$BM$1006,0)), HYPERLINK("#",""), HYPERLINK(CONCATENATE("#metadata!", ADDRESS(INDEX($AH$2:$AH$1001,MATCH(ROWS($AF$2:AF382),$AF$2:$AF$1001,0),0), INDEX($AM$1004:$BM$1004,1,MATCH(COLUMNS($AM$1006:BJ1006),$AM$1006:$BM$1006,0)))),"Fix")))</f>
        <v xml:space="preserve"> </v>
      </c>
      <c r="Z382" s="4" t="str">
        <f ca="1">IF(OR(INDEX($AG$2:$AG$1001,MATCH(ROWS($AF$2:AF382),$AF$2:$AF$1001,0),1)&gt;=100000,INDEX($AM$1005:$BM$1005,1,MATCH(COLUMNS($AM$1006:BK1006),$AM$1006:$BM$1006,0))&gt;=100000), " ",IF(INDEX($AM$2:$BM$1001,MATCH(ROWS($AF$2:AF382),$AF$2:$AF$1001,0),MATCH(COLUMNS($AM$1006:BK1006),$AM$1006:$BM$1006,0)), HYPERLINK("#",""), HYPERLINK(CONCATENATE("#metadata!", ADDRESS(INDEX($AH$2:$AH$1001,MATCH(ROWS($AF$2:AF382),$AF$2:$AF$1001,0),0), INDEX($AM$1004:$BM$1004,1,MATCH(COLUMNS($AM$1006:BK1006),$AM$1006:$BM$1006,0)))),"Fix")))</f>
        <v xml:space="preserve"> </v>
      </c>
      <c r="AA382" s="4" t="str">
        <f ca="1">IF(OR(INDEX($AG$2:$AG$1001,MATCH(ROWS($AF$2:AF382),$AF$2:$AF$1001,0),1)&gt;=100000,INDEX($AM$1005:$BM$1005,1,MATCH(COLUMNS($AM$1006:BL1006),$AM$1006:$BM$1006,0))&gt;=100000), " ",IF(INDEX($AM$2:$BM$1001,MATCH(ROWS($AF$2:AF382),$AF$2:$AF$1001,0),MATCH(COLUMNS($AM$1006:BL1006),$AM$1006:$BM$1006,0)), HYPERLINK("#",""), HYPERLINK(CONCATENATE("#metadata!", ADDRESS(INDEX($AH$2:$AH$1001,MATCH(ROWS($AF$2:AF382),$AF$2:$AF$1001,0),0), INDEX($AM$1004:$BM$1004,1,MATCH(COLUMNS($AM$1006:BL1006),$AM$1006:$BM$1006,0)))),"Fix")))</f>
        <v xml:space="preserve"> </v>
      </c>
      <c r="AB382" s="4" t="str">
        <f ca="1">IF(OR(INDEX($AG$2:$AG$1001,MATCH(ROWS($AF$2:AF382),$AF$2:$AF$1001,0),1)&gt;=100000,INDEX($AM$1005:$BM$1005,1,MATCH(COLUMNS($AM$1006:BM1006),$AM$1006:$BM$1006,0))&gt;=100000), " ",IF(INDEX($AM$2:$BM$1001,MATCH(ROWS($AF$2:AF382),$AF$2:$AF$1001,0),MATCH(COLUMNS($AM$1006:BM1006),$AM$1006:$BM$1006,0)), HYPERLINK("#",""), HYPERLINK(CONCATENATE("#metadata!", ADDRESS(INDEX($AH$2:$AH$1001,MATCH(ROWS($AF$2:AF382),$AF$2:$AF$1001,0),0), INDEX($AM$1004:$BM$1004,1,MATCH(COLUMNS($AM$1006:BM1006),$AM$1006:$BM$1006,0)))),"Fix")))</f>
        <v xml:space="preserve"> </v>
      </c>
      <c r="AF382">
        <v>381</v>
      </c>
      <c r="AG382">
        <v>100382</v>
      </c>
      <c r="AH382">
        <v>382</v>
      </c>
      <c r="AI382" t="b">
        <f t="shared" si="5"/>
        <v>1</v>
      </c>
      <c r="AJ382" t="b">
        <f>COUNTBLANK(metadata!B382:AB382)=COLUMNS(metadata!B382:AB382)</f>
        <v>1</v>
      </c>
      <c r="AK382" t="str">
        <v/>
      </c>
      <c r="AM382" t="b">
        <f ca="1">AND(IF(metadata!B382="",FALSE,TRUE),COUNTIF(metadata!B:B, metadata!B382) = 1,NOT(ISERROR(SUMPRODUCT(SEARCH(MID(metadata!B382,ROW(INDIRECT("1:"&amp;LEN(metadata!B382))), 1),"0123456789abcdefghijklmnopqrstuvwxyzABCDEFGHIJKLMNOPQRSTUVWXYZ.")))))</f>
        <v>0</v>
      </c>
      <c r="AN382" t="b">
        <f ca="1">OR(AND(IF(metadata!C382="",FALSE,TRUE),OR(EXACT(metadata!C382,"missing: not collected"),EXACT(metadata!C382,"missing: not provided"),EXACT(metadata!C382,"missing: restricted access"))),AND(IF(metadata!C382="",FALSE,TRUE),AND(AND(IFERROR(INT(LEFT(metadata!C382,4))&gt;1900,FALSE),IFERROR(INT(LEFT(metadata!C382,4))&lt;=YEAR(NOW()),FALSE)), OR(MID(metadata!C382,5,1)="", AND(AND(MID(metadata!C382,5,1)="-",IFERROR(INT(MID(metadata!C382,6,1))&gt;=0,FALSE),IFERROR(INT(MID(metadata!C382,6,1))&lt;=1,FALSE),NOT(MID(metadata!C382,7,1)=""),IFERROR(INT(MID(metadata!C382,6,2))&gt;=1,FALSE),IFERROR(INT(MID(metadata!C382,6,2))&lt;=12,FALSE)), OR(MID(metadata!C382,8,1)="", AND(AND(MID(metadata!C382,8,1)="-",IFERROR(INT(MID(metadata!C382,9,1))&gt;=0,FALSE),IFERROR(INT(MID(metadata!C382,9,1))&lt;=3,FALSE),NOT(MID(metadata!C382,10,1)=""),IFERROR(INT(MID(metadata!C382,9,2))&gt;=1,FALSE),IFERROR(INT(MID(metadata!C382,9,2))&lt;=31,FALSE)), OR(MID(metadata!C382,11,1)="", AND(AND(MID(metadata!C382,11,1)=" ",IFERROR(INT(MID(metadata!C382,12,1))&gt;=0,FALSE),IFERROR(INT(MID(metadata!C382,12,1))&lt;=2,FALSE),NOT(MID(metadata!C382,13,1)=""),IFERROR(INT(MID(metadata!C382,12,2))&gt;=0,FALSE),IFERROR(INT(MID(metadata!C382,12,2))&lt;=23,FALSE)), OR(MID(metadata!C382,14,1)="", AND(AND(MID(metadata!C382,14,1)=":",IFERROR(INT(MID(metadata!C382,15,1))&gt;=0,FALSE),IFERROR(INT(MID(metadata!C382,15,1))&lt;=5,FALSE),NOT(MID(metadata!C382,16,1)=""),IFERROR(INT(MID(metadata!C382,15,2))&gt;=0,FALSE),IFERROR(INT(MID(metadata!C382,15,2))&lt;=59,FALSE)), OR(MID(metadata!C382,17,1)="", AND(AND(MID(metadata!C382,17,1)=":",IFERROR(INT(MID(metadata!C382,18,1))&gt;=0,FALSE),IFERROR(INT(MID(metadata!C382,18,1))&lt;=5,FALSE),NOT(MID(metadata!C382,19,1)=""),IFERROR(INT(MID(metadata!C382,18,2))&gt;=0,FALSE),IFERROR(INT(MID(metadata!C382,18,2))&lt;=59,FALSE)), LEN(metadata!C382)&lt;=19)))))))))))))</f>
        <v>0</v>
      </c>
      <c r="AO382" t="b">
        <f>AND(IF(metadata!D382="",FALSE,TRUE),EXACT(metadata!D382,"Not applicable"))</f>
        <v>0</v>
      </c>
      <c r="AP382" t="b">
        <f>IF(metadata!E382="",FALSE,TRUE)</f>
        <v>0</v>
      </c>
      <c r="AQ382" t="b">
        <f>OR(AND(IF(metadata!F382="",FALSE,TRUE),OR(EXACT(metadata!F382,"missing: not collected"),EXACT(metadata!F382,"missing: not provided"))),AND(IF(metadata!F382="",FALSE,TRUE),OR(EXACT(metadata!F382,"TRUE"),EXACT(metadata!F382,"FALSE"))))</f>
        <v>0</v>
      </c>
      <c r="AR382" t="b">
        <f>OR(AND(IF(metadata!G382="",FALSE,TRUE),OR(EXACT(metadata!G382,"missing: not collected"),EXACT(metadata!G382,"missing: not provided"),EXACT(metadata!G382,"missing: restricted access"))),AND(IF(metadata!G382="",FALSE,ISNUMBER(VALUE(metadata!G382))),metadata!G382&gt;=-413))</f>
        <v>0</v>
      </c>
      <c r="AS382" t="b">
        <f>AND(IF(metadata!H382="",FALSE,TRUE),EXACT(metadata!H382,"meters"))</f>
        <v>0</v>
      </c>
      <c r="AT382" t="b">
        <f>AND(IF(metadata!I382="",FALSE,TRUE),OR(EXACT(metadata!I382,"Host-associated"),EXACT(metadata!I382,"Free-living")))</f>
        <v>0</v>
      </c>
      <c r="AU382" t="b">
        <f>AND(IF(metadata!J382="",FALSE,TRUE),OR(EXACT(metadata!J382,"Animal"),EXACT(metadata!J382,"Fungus"),EXACT(metadata!J382,"Plant"),EXACT(metadata!J382,"Saline"),EXACT(metadata!J382,"Non-saline")))</f>
        <v>0</v>
      </c>
      <c r="AV382" t="b">
        <f>AND(IF(metadata!K382="",FALSE,TRUE),OR(EXACT(metadata!K382,"Plant secretion"),EXACT(metadata!K382,"Plant rhizosphere"),EXACT(metadata!K382,"Plant surface"),EXACT(metadata!K382,"Plant corpus"),EXACT(metadata!K382,"Fungus surface"),EXACT(metadata!K382,"Fungus corpus"),EXACT(metadata!K382,"Animal surface"),EXACT(metadata!K382,"Animal proximal gut"),EXACT(metadata!K382,"Animal corpus"),EXACT(metadata!K382,"Animal distal gut"),EXACT(metadata!K382,"Animal secretion"),EXACT(metadata!K382,"Sub-surface (non-saline)"),EXACT(metadata!K382,"Surface (non-saline)"),EXACT(metadata!K382,"Water (non-saline)"),EXACT(metadata!K382,"Soil (non-saline)"),EXACT(metadata!K382,"Aerosol (non-saline)"),EXACT(metadata!K382,"Sediment (non-saline)"),EXACT(metadata!K382,"Surface (saline)"),EXACT(metadata!K382,"Water (saline)"),EXACT(metadata!K382,"Hypersaline (saline)"),EXACT(metadata!K382,"Aerosol (saline)"),EXACT(metadata!K382,"Sediment (saline)")))</f>
        <v>0</v>
      </c>
      <c r="AW382" t="b">
        <f>IF(metadata!L382="",FALSE,TRUE)</f>
        <v>0</v>
      </c>
      <c r="AX382" t="b">
        <f>IF(metadata!M382="",FALSE,TRUE)</f>
        <v>0</v>
      </c>
      <c r="AY382" t="b">
        <f>IF(metadata!N382="",FALSE,TRUE)</f>
        <v>0</v>
      </c>
      <c r="AZ382" t="b">
        <f>OR(AND(IF(metadata!O382="",FALSE,TRUE),OR(EXACT(metadata!O382,"missing: not collected"),EXACT(metadata!O382,"missing: not provided"),EXACT(metadata!O382,"missing: restricted access"))),AND(IF(metadata!O382="",FALSE,TRUE),OR(EXACT(metadata!O382,"air"),EXACT(metadata!O382,"built environment"),EXACT(metadata!O382,"host-associated"),EXACT(metadata!O382,"human-associated"),EXACT(metadata!O382,"human-skin"),EXACT(metadata!O382,"human-oral"),EXACT(metadata!O382,"human-gut"),EXACT(metadata!O382,"human-vaginal"),EXACT(metadata!O382,"microbial mat/biofilm"),EXACT(metadata!O382,"misc environment"),EXACT(metadata!O382,"plant-associated"),EXACT(metadata!O382,"sediment"),EXACT(metadata!O382,"soil"),EXACT(metadata!O382,"wastewater/sludge"),EXACT(metadata!O382,"water"))))</f>
        <v>0</v>
      </c>
      <c r="BA382" t="b">
        <f>IF(metadata!P382="",FALSE,TRUE)</f>
        <v>0</v>
      </c>
      <c r="BB382" t="b">
        <f>IF(metadata!Q382="",FALSE,TRUE)</f>
        <v>0</v>
      </c>
      <c r="BC382" t="b">
        <f>OR(AND(IF(metadata!R382="",FALSE,TRUE),OR(EXACT(metadata!R382,"missing: not collected"),EXACT(metadata!R382,"missing: not provided"),EXACT(metadata!R382,"missing: restricted access"))),AND(IF(metadata!R382="",FALSE,ISNUMBER(VALUE(metadata!R382))),metadata!R382&gt;=-90,metadata!R382&lt;=90))</f>
        <v>0</v>
      </c>
      <c r="BD382" t="b">
        <f>AND(IF(metadata!S382="",FALSE,TRUE),EXACT(metadata!S382,"Decimal degrees"))</f>
        <v>0</v>
      </c>
      <c r="BE382" t="b">
        <f>OR(AND(IF(metadata!T382="",FALSE,TRUE),OR(EXACT(metadata!T382,"missing: not collected"),EXACT(metadata!T382,"missing: not provided"),EXACT(metadata!T382,"missing: restricted access"))),AND(IF(metadata!T382="",FALSE,ISNUMBER(VALUE(metadata!T382))),metadata!T382&gt;=-180,metadata!T382&lt;=180))</f>
        <v>0</v>
      </c>
      <c r="BF382" t="b">
        <f>AND(IF(metadata!U382="",FALSE,TRUE),EXACT(metadata!U382,"Decimal degrees"))</f>
        <v>0</v>
      </c>
      <c r="BG382" t="b">
        <f>IF(metadata!V382="",FALSE,TRUE)</f>
        <v>0</v>
      </c>
      <c r="BH382" t="b">
        <f>OR(AND(IF(metadata!W382="",FALSE,TRUE),OR(EXACT(metadata!W382,"missing: not collected"),EXACT(metadata!W382,"missing: not provided"),EXACT(metadata!W382,"missing: restricted access"))),AND(IF(metadata!W382="",FALSE,TRUE),OR(EXACT(metadata!W382,"TRUE"),EXACT(metadata!W382,"FALSE"))))</f>
        <v>0</v>
      </c>
      <c r="BI382" t="b">
        <f>AND(IF(metadata!X382="",FALSE,TRUE),EXACT(metadata!X382,"other"))</f>
        <v>0</v>
      </c>
      <c r="BJ382" t="b">
        <f>IF(metadata!Y382="",FALSE,TRUE)</f>
        <v>0</v>
      </c>
      <c r="BK382" t="b">
        <f>OR(AND(IF(metadata!Z382="",FALSE,TRUE),OR(EXACT(metadata!Z382,"missing: not collected"),EXACT(metadata!Z382,"missing: not provided"))),AND(IF(metadata!Z382="",FALSE,IF(ISERROR(INT(metadata!Z382)),FALSE,INT(metadata!Z382)=metadata!Z382)),metadata!Z382&gt;0))</f>
        <v>0</v>
      </c>
      <c r="BL382" t="b">
        <f>AND(IF(metadata!AA382="",FALSE,TRUE),EXACT(metadata!AA382,"Not applicable"))</f>
        <v>0</v>
      </c>
      <c r="BM382" t="b">
        <f>IF(metadata!AB382="",FALSE,TRUE)</f>
        <v>0</v>
      </c>
    </row>
    <row r="383" spans="1:65" x14ac:dyDescent="0.2">
      <c r="A383" s="5" t="str">
        <f ca="1">IF(B383=" "," ",HYPERLINK(CONCATENATE("#metadata!",ADDRESS(INDEX($AH$2:$AH$1001,MATCH(ROWS($AF$2:AF383),$AF$2:$AF$1001,0),0),1)),INDEX($AK$2:$AK$1001,MATCH(ROWS($AF$2:AF383),$AF$2:$AF$1001,0),0)))</f>
        <v xml:space="preserve"> </v>
      </c>
      <c r="B383" s="4" t="str">
        <f ca="1">IF(OR(INDEX($AG$2:$AG$1001,MATCH(ROWS($AF$2:AF383),$AF$2:$AF$1001,0),1)&gt;=100000,INDEX($AM$1005:$BM$1005,1,MATCH(COLUMNS($AM$1006:AM1006),$AM$1006:$BM$1006,0))&gt;=100000), " ",IF(INDEX($AM$2:$BM$1001,MATCH(ROWS($AF$2:AF383),$AF$2:$AF$1001,0),MATCH(COLUMNS($AM$1006:AM1006),$AM$1006:$BM$1006,0)), HYPERLINK("#",""), HYPERLINK(CONCATENATE("#metadata!", ADDRESS(INDEX($AH$2:$AH$1001,MATCH(ROWS($AF$2:AF383),$AF$2:$AF$1001,0),0), INDEX($AM$1004:$BM$1004,1,MATCH(COLUMNS($AM$1006:AM1006),$AM$1006:$BM$1006,0)))),"Fix")))</f>
        <v xml:space="preserve"> </v>
      </c>
      <c r="C383" s="4" t="str">
        <f ca="1">IF(OR(INDEX($AG$2:$AG$1001,MATCH(ROWS($AF$2:AF383),$AF$2:$AF$1001,0),1)&gt;=100000,INDEX($AM$1005:$BM$1005,1,MATCH(COLUMNS($AM$1006:AN1006),$AM$1006:$BM$1006,0))&gt;=100000), " ",IF(INDEX($AM$2:$BM$1001,MATCH(ROWS($AF$2:AF383),$AF$2:$AF$1001,0),MATCH(COLUMNS($AM$1006:AN1006),$AM$1006:$BM$1006,0)), HYPERLINK("#",""), HYPERLINK(CONCATENATE("#metadata!", ADDRESS(INDEX($AH$2:$AH$1001,MATCH(ROWS($AF$2:AF383),$AF$2:$AF$1001,0),0), INDEX($AM$1004:$BM$1004,1,MATCH(COLUMNS($AM$1006:AN1006),$AM$1006:$BM$1006,0)))),"Fix")))</f>
        <v xml:space="preserve"> </v>
      </c>
      <c r="D383" s="4" t="str">
        <f ca="1">IF(OR(INDEX($AG$2:$AG$1001,MATCH(ROWS($AF$2:AF383),$AF$2:$AF$1001,0),1)&gt;=100000,INDEX($AM$1005:$BM$1005,1,MATCH(COLUMNS($AM$1006:AO1006),$AM$1006:$BM$1006,0))&gt;=100000), " ",IF(INDEX($AM$2:$BM$1001,MATCH(ROWS($AF$2:AF383),$AF$2:$AF$1001,0),MATCH(COLUMNS($AM$1006:AO1006),$AM$1006:$BM$1006,0)), HYPERLINK("#",""), HYPERLINK(CONCATENATE("#metadata!", ADDRESS(INDEX($AH$2:$AH$1001,MATCH(ROWS($AF$2:AF383),$AF$2:$AF$1001,0),0), INDEX($AM$1004:$BM$1004,1,MATCH(COLUMNS($AM$1006:AO1006),$AM$1006:$BM$1006,0)))),"Fix")))</f>
        <v xml:space="preserve"> </v>
      </c>
      <c r="E383" s="4" t="str">
        <f ca="1">IF(OR(INDEX($AG$2:$AG$1001,MATCH(ROWS($AF$2:AF383),$AF$2:$AF$1001,0),1)&gt;=100000,INDEX($AM$1005:$BM$1005,1,MATCH(COLUMNS($AM$1006:AP1006),$AM$1006:$BM$1006,0))&gt;=100000), " ",IF(INDEX($AM$2:$BM$1001,MATCH(ROWS($AF$2:AF383),$AF$2:$AF$1001,0),MATCH(COLUMNS($AM$1006:AP1006),$AM$1006:$BM$1006,0)), HYPERLINK("#",""), HYPERLINK(CONCATENATE("#metadata!", ADDRESS(INDEX($AH$2:$AH$1001,MATCH(ROWS($AF$2:AF383),$AF$2:$AF$1001,0),0), INDEX($AM$1004:$BM$1004,1,MATCH(COLUMNS($AM$1006:AP1006),$AM$1006:$BM$1006,0)))),"Fix")))</f>
        <v xml:space="preserve"> </v>
      </c>
      <c r="F383" s="4" t="str">
        <f ca="1">IF(OR(INDEX($AG$2:$AG$1001,MATCH(ROWS($AF$2:AF383),$AF$2:$AF$1001,0),1)&gt;=100000,INDEX($AM$1005:$BM$1005,1,MATCH(COLUMNS($AM$1006:AQ1006),$AM$1006:$BM$1006,0))&gt;=100000), " ",IF(INDEX($AM$2:$BM$1001,MATCH(ROWS($AF$2:AF383),$AF$2:$AF$1001,0),MATCH(COLUMNS($AM$1006:AQ1006),$AM$1006:$BM$1006,0)), HYPERLINK("#",""), HYPERLINK(CONCATENATE("#metadata!", ADDRESS(INDEX($AH$2:$AH$1001,MATCH(ROWS($AF$2:AF383),$AF$2:$AF$1001,0),0), INDEX($AM$1004:$BM$1004,1,MATCH(COLUMNS($AM$1006:AQ1006),$AM$1006:$BM$1006,0)))),"Fix")))</f>
        <v xml:space="preserve"> </v>
      </c>
      <c r="G383" s="4" t="str">
        <f ca="1">IF(OR(INDEX($AG$2:$AG$1001,MATCH(ROWS($AF$2:AF383),$AF$2:$AF$1001,0),1)&gt;=100000,INDEX($AM$1005:$BM$1005,1,MATCH(COLUMNS($AM$1006:AR1006),$AM$1006:$BM$1006,0))&gt;=100000), " ",IF(INDEX($AM$2:$BM$1001,MATCH(ROWS($AF$2:AF383),$AF$2:$AF$1001,0),MATCH(COLUMNS($AM$1006:AR1006),$AM$1006:$BM$1006,0)), HYPERLINK("#",""), HYPERLINK(CONCATENATE("#metadata!", ADDRESS(INDEX($AH$2:$AH$1001,MATCH(ROWS($AF$2:AF383),$AF$2:$AF$1001,0),0), INDEX($AM$1004:$BM$1004,1,MATCH(COLUMNS($AM$1006:AR1006),$AM$1006:$BM$1006,0)))),"Fix")))</f>
        <v xml:space="preserve"> </v>
      </c>
      <c r="H383" s="4" t="str">
        <f ca="1">IF(OR(INDEX($AG$2:$AG$1001,MATCH(ROWS($AF$2:AF383),$AF$2:$AF$1001,0),1)&gt;=100000,INDEX($AM$1005:$BM$1005,1,MATCH(COLUMNS($AM$1006:AS1006),$AM$1006:$BM$1006,0))&gt;=100000), " ",IF(INDEX($AM$2:$BM$1001,MATCH(ROWS($AF$2:AF383),$AF$2:$AF$1001,0),MATCH(COLUMNS($AM$1006:AS1006),$AM$1006:$BM$1006,0)), HYPERLINK("#",""), HYPERLINK(CONCATENATE("#metadata!", ADDRESS(INDEX($AH$2:$AH$1001,MATCH(ROWS($AF$2:AF383),$AF$2:$AF$1001,0),0), INDEX($AM$1004:$BM$1004,1,MATCH(COLUMNS($AM$1006:AS1006),$AM$1006:$BM$1006,0)))),"Fix")))</f>
        <v xml:space="preserve"> </v>
      </c>
      <c r="I383" s="4" t="str">
        <f ca="1">IF(OR(INDEX($AG$2:$AG$1001,MATCH(ROWS($AF$2:AF383),$AF$2:$AF$1001,0),1)&gt;=100000,INDEX($AM$1005:$BM$1005,1,MATCH(COLUMNS($AM$1006:AT1006),$AM$1006:$BM$1006,0))&gt;=100000), " ",IF(INDEX($AM$2:$BM$1001,MATCH(ROWS($AF$2:AF383),$AF$2:$AF$1001,0),MATCH(COLUMNS($AM$1006:AT1006),$AM$1006:$BM$1006,0)), HYPERLINK("#",""), HYPERLINK(CONCATENATE("#metadata!", ADDRESS(INDEX($AH$2:$AH$1001,MATCH(ROWS($AF$2:AF383),$AF$2:$AF$1001,0),0), INDEX($AM$1004:$BM$1004,1,MATCH(COLUMNS($AM$1006:AT1006),$AM$1006:$BM$1006,0)))),"Fix")))</f>
        <v xml:space="preserve"> </v>
      </c>
      <c r="J383" s="4" t="str">
        <f ca="1">IF(OR(INDEX($AG$2:$AG$1001,MATCH(ROWS($AF$2:AF383),$AF$2:$AF$1001,0),1)&gt;=100000,INDEX($AM$1005:$BM$1005,1,MATCH(COLUMNS($AM$1006:AU1006),$AM$1006:$BM$1006,0))&gt;=100000), " ",IF(INDEX($AM$2:$BM$1001,MATCH(ROWS($AF$2:AF383),$AF$2:$AF$1001,0),MATCH(COLUMNS($AM$1006:AU1006),$AM$1006:$BM$1006,0)), HYPERLINK("#",""), HYPERLINK(CONCATENATE("#metadata!", ADDRESS(INDEX($AH$2:$AH$1001,MATCH(ROWS($AF$2:AF383),$AF$2:$AF$1001,0),0), INDEX($AM$1004:$BM$1004,1,MATCH(COLUMNS($AM$1006:AU1006),$AM$1006:$BM$1006,0)))),"Fix")))</f>
        <v xml:space="preserve"> </v>
      </c>
      <c r="K383" s="4" t="str">
        <f ca="1">IF(OR(INDEX($AG$2:$AG$1001,MATCH(ROWS($AF$2:AF383),$AF$2:$AF$1001,0),1)&gt;=100000,INDEX($AM$1005:$BM$1005,1,MATCH(COLUMNS($AM$1006:AV1006),$AM$1006:$BM$1006,0))&gt;=100000), " ",IF(INDEX($AM$2:$BM$1001,MATCH(ROWS($AF$2:AF383),$AF$2:$AF$1001,0),MATCH(COLUMNS($AM$1006:AV1006),$AM$1006:$BM$1006,0)), HYPERLINK("#",""), HYPERLINK(CONCATENATE("#metadata!", ADDRESS(INDEX($AH$2:$AH$1001,MATCH(ROWS($AF$2:AF383),$AF$2:$AF$1001,0),0), INDEX($AM$1004:$BM$1004,1,MATCH(COLUMNS($AM$1006:AV1006),$AM$1006:$BM$1006,0)))),"Fix")))</f>
        <v xml:space="preserve"> </v>
      </c>
      <c r="L383" s="4" t="str">
        <f ca="1">IF(OR(INDEX($AG$2:$AG$1001,MATCH(ROWS($AF$2:AF383),$AF$2:$AF$1001,0),1)&gt;=100000,INDEX($AM$1005:$BM$1005,1,MATCH(COLUMNS($AM$1006:AW1006),$AM$1006:$BM$1006,0))&gt;=100000), " ",IF(INDEX($AM$2:$BM$1001,MATCH(ROWS($AF$2:AF383),$AF$2:$AF$1001,0),MATCH(COLUMNS($AM$1006:AW1006),$AM$1006:$BM$1006,0)), HYPERLINK("#",""), HYPERLINK(CONCATENATE("#metadata!", ADDRESS(INDEX($AH$2:$AH$1001,MATCH(ROWS($AF$2:AF383),$AF$2:$AF$1001,0),0), INDEX($AM$1004:$BM$1004,1,MATCH(COLUMNS($AM$1006:AW1006),$AM$1006:$BM$1006,0)))),"Fix")))</f>
        <v xml:space="preserve"> </v>
      </c>
      <c r="M383" s="4" t="str">
        <f ca="1">IF(OR(INDEX($AG$2:$AG$1001,MATCH(ROWS($AF$2:AF383),$AF$2:$AF$1001,0),1)&gt;=100000,INDEX($AM$1005:$BM$1005,1,MATCH(COLUMNS($AM$1006:AX1006),$AM$1006:$BM$1006,0))&gt;=100000), " ",IF(INDEX($AM$2:$BM$1001,MATCH(ROWS($AF$2:AF383),$AF$2:$AF$1001,0),MATCH(COLUMNS($AM$1006:AX1006),$AM$1006:$BM$1006,0)), HYPERLINK("#",""), HYPERLINK(CONCATENATE("#metadata!", ADDRESS(INDEX($AH$2:$AH$1001,MATCH(ROWS($AF$2:AF383),$AF$2:$AF$1001,0),0), INDEX($AM$1004:$BM$1004,1,MATCH(COLUMNS($AM$1006:AX1006),$AM$1006:$BM$1006,0)))),"Fix")))</f>
        <v xml:space="preserve"> </v>
      </c>
      <c r="N383" s="4" t="str">
        <f ca="1">IF(OR(INDEX($AG$2:$AG$1001,MATCH(ROWS($AF$2:AF383),$AF$2:$AF$1001,0),1)&gt;=100000,INDEX($AM$1005:$BM$1005,1,MATCH(COLUMNS($AM$1006:AY1006),$AM$1006:$BM$1006,0))&gt;=100000), " ",IF(INDEX($AM$2:$BM$1001,MATCH(ROWS($AF$2:AF383),$AF$2:$AF$1001,0),MATCH(COLUMNS($AM$1006:AY1006),$AM$1006:$BM$1006,0)), HYPERLINK("#",""), HYPERLINK(CONCATENATE("#metadata!", ADDRESS(INDEX($AH$2:$AH$1001,MATCH(ROWS($AF$2:AF383),$AF$2:$AF$1001,0),0), INDEX($AM$1004:$BM$1004,1,MATCH(COLUMNS($AM$1006:AY1006),$AM$1006:$BM$1006,0)))),"Fix")))</f>
        <v xml:space="preserve"> </v>
      </c>
      <c r="O383" s="4" t="str">
        <f ca="1">IF(OR(INDEX($AG$2:$AG$1001,MATCH(ROWS($AF$2:AF383),$AF$2:$AF$1001,0),1)&gt;=100000,INDEX($AM$1005:$BM$1005,1,MATCH(COLUMNS($AM$1006:AZ1006),$AM$1006:$BM$1006,0))&gt;=100000), " ",IF(INDEX($AM$2:$BM$1001,MATCH(ROWS($AF$2:AF383),$AF$2:$AF$1001,0),MATCH(COLUMNS($AM$1006:AZ1006),$AM$1006:$BM$1006,0)), HYPERLINK("#",""), HYPERLINK(CONCATENATE("#metadata!", ADDRESS(INDEX($AH$2:$AH$1001,MATCH(ROWS($AF$2:AF383),$AF$2:$AF$1001,0),0), INDEX($AM$1004:$BM$1004,1,MATCH(COLUMNS($AM$1006:AZ1006),$AM$1006:$BM$1006,0)))),"Fix")))</f>
        <v xml:space="preserve"> </v>
      </c>
      <c r="P383" s="4" t="str">
        <f ca="1">IF(OR(INDEX($AG$2:$AG$1001,MATCH(ROWS($AF$2:AF383),$AF$2:$AF$1001,0),1)&gt;=100000,INDEX($AM$1005:$BM$1005,1,MATCH(COLUMNS($AM$1006:BA1006),$AM$1006:$BM$1006,0))&gt;=100000), " ",IF(INDEX($AM$2:$BM$1001,MATCH(ROWS($AF$2:AF383),$AF$2:$AF$1001,0),MATCH(COLUMNS($AM$1006:BA1006),$AM$1006:$BM$1006,0)), HYPERLINK("#",""), HYPERLINK(CONCATENATE("#metadata!", ADDRESS(INDEX($AH$2:$AH$1001,MATCH(ROWS($AF$2:AF383),$AF$2:$AF$1001,0),0), INDEX($AM$1004:$BM$1004,1,MATCH(COLUMNS($AM$1006:BA1006),$AM$1006:$BM$1006,0)))),"Fix")))</f>
        <v xml:space="preserve"> </v>
      </c>
      <c r="Q383" s="4" t="str">
        <f ca="1">IF(OR(INDEX($AG$2:$AG$1001,MATCH(ROWS($AF$2:AF383),$AF$2:$AF$1001,0),1)&gt;=100000,INDEX($AM$1005:$BM$1005,1,MATCH(COLUMNS($AM$1006:BB1006),$AM$1006:$BM$1006,0))&gt;=100000), " ",IF(INDEX($AM$2:$BM$1001,MATCH(ROWS($AF$2:AF383),$AF$2:$AF$1001,0),MATCH(COLUMNS($AM$1006:BB1006),$AM$1006:$BM$1006,0)), HYPERLINK("#",""), HYPERLINK(CONCATENATE("#metadata!", ADDRESS(INDEX($AH$2:$AH$1001,MATCH(ROWS($AF$2:AF383),$AF$2:$AF$1001,0),0), INDEX($AM$1004:$BM$1004,1,MATCH(COLUMNS($AM$1006:BB1006),$AM$1006:$BM$1006,0)))),"Fix")))</f>
        <v xml:space="preserve"> </v>
      </c>
      <c r="R383" s="4" t="str">
        <f ca="1">IF(OR(INDEX($AG$2:$AG$1001,MATCH(ROWS($AF$2:AF383),$AF$2:$AF$1001,0),1)&gt;=100000,INDEX($AM$1005:$BM$1005,1,MATCH(COLUMNS($AM$1006:BC1006),$AM$1006:$BM$1006,0))&gt;=100000), " ",IF(INDEX($AM$2:$BM$1001,MATCH(ROWS($AF$2:AF383),$AF$2:$AF$1001,0),MATCH(COLUMNS($AM$1006:BC1006),$AM$1006:$BM$1006,0)), HYPERLINK("#",""), HYPERLINK(CONCATENATE("#metadata!", ADDRESS(INDEX($AH$2:$AH$1001,MATCH(ROWS($AF$2:AF383),$AF$2:$AF$1001,0),0), INDEX($AM$1004:$BM$1004,1,MATCH(COLUMNS($AM$1006:BC1006),$AM$1006:$BM$1006,0)))),"Fix")))</f>
        <v xml:space="preserve"> </v>
      </c>
      <c r="S383" s="4" t="str">
        <f ca="1">IF(OR(INDEX($AG$2:$AG$1001,MATCH(ROWS($AF$2:AF383),$AF$2:$AF$1001,0),1)&gt;=100000,INDEX($AM$1005:$BM$1005,1,MATCH(COLUMNS($AM$1006:BD1006),$AM$1006:$BM$1006,0))&gt;=100000), " ",IF(INDEX($AM$2:$BM$1001,MATCH(ROWS($AF$2:AF383),$AF$2:$AF$1001,0),MATCH(COLUMNS($AM$1006:BD1006),$AM$1006:$BM$1006,0)), HYPERLINK("#",""), HYPERLINK(CONCATENATE("#metadata!", ADDRESS(INDEX($AH$2:$AH$1001,MATCH(ROWS($AF$2:AF383),$AF$2:$AF$1001,0),0), INDEX($AM$1004:$BM$1004,1,MATCH(COLUMNS($AM$1006:BD1006),$AM$1006:$BM$1006,0)))),"Fix")))</f>
        <v xml:space="preserve"> </v>
      </c>
      <c r="T383" s="4" t="str">
        <f ca="1">IF(OR(INDEX($AG$2:$AG$1001,MATCH(ROWS($AF$2:AF383),$AF$2:$AF$1001,0),1)&gt;=100000,INDEX($AM$1005:$BM$1005,1,MATCH(COLUMNS($AM$1006:BE1006),$AM$1006:$BM$1006,0))&gt;=100000), " ",IF(INDEX($AM$2:$BM$1001,MATCH(ROWS($AF$2:AF383),$AF$2:$AF$1001,0),MATCH(COLUMNS($AM$1006:BE1006),$AM$1006:$BM$1006,0)), HYPERLINK("#",""), HYPERLINK(CONCATENATE("#metadata!", ADDRESS(INDEX($AH$2:$AH$1001,MATCH(ROWS($AF$2:AF383),$AF$2:$AF$1001,0),0), INDEX($AM$1004:$BM$1004,1,MATCH(COLUMNS($AM$1006:BE1006),$AM$1006:$BM$1006,0)))),"Fix")))</f>
        <v xml:space="preserve"> </v>
      </c>
      <c r="U383" s="4" t="str">
        <f ca="1">IF(OR(INDEX($AG$2:$AG$1001,MATCH(ROWS($AF$2:AF383),$AF$2:$AF$1001,0),1)&gt;=100000,INDEX($AM$1005:$BM$1005,1,MATCH(COLUMNS($AM$1006:BF1006),$AM$1006:$BM$1006,0))&gt;=100000), " ",IF(INDEX($AM$2:$BM$1001,MATCH(ROWS($AF$2:AF383),$AF$2:$AF$1001,0),MATCH(COLUMNS($AM$1006:BF1006),$AM$1006:$BM$1006,0)), HYPERLINK("#",""), HYPERLINK(CONCATENATE("#metadata!", ADDRESS(INDEX($AH$2:$AH$1001,MATCH(ROWS($AF$2:AF383),$AF$2:$AF$1001,0),0), INDEX($AM$1004:$BM$1004,1,MATCH(COLUMNS($AM$1006:BF1006),$AM$1006:$BM$1006,0)))),"Fix")))</f>
        <v xml:space="preserve"> </v>
      </c>
      <c r="V383" s="4" t="str">
        <f ca="1">IF(OR(INDEX($AG$2:$AG$1001,MATCH(ROWS($AF$2:AF383),$AF$2:$AF$1001,0),1)&gt;=100000,INDEX($AM$1005:$BM$1005,1,MATCH(COLUMNS($AM$1006:BG1006),$AM$1006:$BM$1006,0))&gt;=100000), " ",IF(INDEX($AM$2:$BM$1001,MATCH(ROWS($AF$2:AF383),$AF$2:$AF$1001,0),MATCH(COLUMNS($AM$1006:BG1006),$AM$1006:$BM$1006,0)), HYPERLINK("#",""), HYPERLINK(CONCATENATE("#metadata!", ADDRESS(INDEX($AH$2:$AH$1001,MATCH(ROWS($AF$2:AF383),$AF$2:$AF$1001,0),0), INDEX($AM$1004:$BM$1004,1,MATCH(COLUMNS($AM$1006:BG1006),$AM$1006:$BM$1006,0)))),"Fix")))</f>
        <v xml:space="preserve"> </v>
      </c>
      <c r="W383" s="4" t="str">
        <f ca="1">IF(OR(INDEX($AG$2:$AG$1001,MATCH(ROWS($AF$2:AF383),$AF$2:$AF$1001,0),1)&gt;=100000,INDEX($AM$1005:$BM$1005,1,MATCH(COLUMNS($AM$1006:BH1006),$AM$1006:$BM$1006,0))&gt;=100000), " ",IF(INDEX($AM$2:$BM$1001,MATCH(ROWS($AF$2:AF383),$AF$2:$AF$1001,0),MATCH(COLUMNS($AM$1006:BH1006),$AM$1006:$BM$1006,0)), HYPERLINK("#",""), HYPERLINK(CONCATENATE("#metadata!", ADDRESS(INDEX($AH$2:$AH$1001,MATCH(ROWS($AF$2:AF383),$AF$2:$AF$1001,0),0), INDEX($AM$1004:$BM$1004,1,MATCH(COLUMNS($AM$1006:BH1006),$AM$1006:$BM$1006,0)))),"Fix")))</f>
        <v xml:space="preserve"> </v>
      </c>
      <c r="X383" s="4" t="str">
        <f ca="1">IF(OR(INDEX($AG$2:$AG$1001,MATCH(ROWS($AF$2:AF383),$AF$2:$AF$1001,0),1)&gt;=100000,INDEX($AM$1005:$BM$1005,1,MATCH(COLUMNS($AM$1006:BI1006),$AM$1006:$BM$1006,0))&gt;=100000), " ",IF(INDEX($AM$2:$BM$1001,MATCH(ROWS($AF$2:AF383),$AF$2:$AF$1001,0),MATCH(COLUMNS($AM$1006:BI1006),$AM$1006:$BM$1006,0)), HYPERLINK("#",""), HYPERLINK(CONCATENATE("#metadata!", ADDRESS(INDEX($AH$2:$AH$1001,MATCH(ROWS($AF$2:AF383),$AF$2:$AF$1001,0),0), INDEX($AM$1004:$BM$1004,1,MATCH(COLUMNS($AM$1006:BI1006),$AM$1006:$BM$1006,0)))),"Fix")))</f>
        <v xml:space="preserve"> </v>
      </c>
      <c r="Y383" s="4" t="str">
        <f ca="1">IF(OR(INDEX($AG$2:$AG$1001,MATCH(ROWS($AF$2:AF383),$AF$2:$AF$1001,0),1)&gt;=100000,INDEX($AM$1005:$BM$1005,1,MATCH(COLUMNS($AM$1006:BJ1006),$AM$1006:$BM$1006,0))&gt;=100000), " ",IF(INDEX($AM$2:$BM$1001,MATCH(ROWS($AF$2:AF383),$AF$2:$AF$1001,0),MATCH(COLUMNS($AM$1006:BJ1006),$AM$1006:$BM$1006,0)), HYPERLINK("#",""), HYPERLINK(CONCATENATE("#metadata!", ADDRESS(INDEX($AH$2:$AH$1001,MATCH(ROWS($AF$2:AF383),$AF$2:$AF$1001,0),0), INDEX($AM$1004:$BM$1004,1,MATCH(COLUMNS($AM$1006:BJ1006),$AM$1006:$BM$1006,0)))),"Fix")))</f>
        <v xml:space="preserve"> </v>
      </c>
      <c r="Z383" s="4" t="str">
        <f ca="1">IF(OR(INDEX($AG$2:$AG$1001,MATCH(ROWS($AF$2:AF383),$AF$2:$AF$1001,0),1)&gt;=100000,INDEX($AM$1005:$BM$1005,1,MATCH(COLUMNS($AM$1006:BK1006),$AM$1006:$BM$1006,0))&gt;=100000), " ",IF(INDEX($AM$2:$BM$1001,MATCH(ROWS($AF$2:AF383),$AF$2:$AF$1001,0),MATCH(COLUMNS($AM$1006:BK1006),$AM$1006:$BM$1006,0)), HYPERLINK("#",""), HYPERLINK(CONCATENATE("#metadata!", ADDRESS(INDEX($AH$2:$AH$1001,MATCH(ROWS($AF$2:AF383),$AF$2:$AF$1001,0),0), INDEX($AM$1004:$BM$1004,1,MATCH(COLUMNS($AM$1006:BK1006),$AM$1006:$BM$1006,0)))),"Fix")))</f>
        <v xml:space="preserve"> </v>
      </c>
      <c r="AA383" s="4" t="str">
        <f ca="1">IF(OR(INDEX($AG$2:$AG$1001,MATCH(ROWS($AF$2:AF383),$AF$2:$AF$1001,0),1)&gt;=100000,INDEX($AM$1005:$BM$1005,1,MATCH(COLUMNS($AM$1006:BL1006),$AM$1006:$BM$1006,0))&gt;=100000), " ",IF(INDEX($AM$2:$BM$1001,MATCH(ROWS($AF$2:AF383),$AF$2:$AF$1001,0),MATCH(COLUMNS($AM$1006:BL1006),$AM$1006:$BM$1006,0)), HYPERLINK("#",""), HYPERLINK(CONCATENATE("#metadata!", ADDRESS(INDEX($AH$2:$AH$1001,MATCH(ROWS($AF$2:AF383),$AF$2:$AF$1001,0),0), INDEX($AM$1004:$BM$1004,1,MATCH(COLUMNS($AM$1006:BL1006),$AM$1006:$BM$1006,0)))),"Fix")))</f>
        <v xml:space="preserve"> </v>
      </c>
      <c r="AB383" s="4" t="str">
        <f ca="1">IF(OR(INDEX($AG$2:$AG$1001,MATCH(ROWS($AF$2:AF383),$AF$2:$AF$1001,0),1)&gt;=100000,INDEX($AM$1005:$BM$1005,1,MATCH(COLUMNS($AM$1006:BM1006),$AM$1006:$BM$1006,0))&gt;=100000), " ",IF(INDEX($AM$2:$BM$1001,MATCH(ROWS($AF$2:AF383),$AF$2:$AF$1001,0),MATCH(COLUMNS($AM$1006:BM1006),$AM$1006:$BM$1006,0)), HYPERLINK("#",""), HYPERLINK(CONCATENATE("#metadata!", ADDRESS(INDEX($AH$2:$AH$1001,MATCH(ROWS($AF$2:AF383),$AF$2:$AF$1001,0),0), INDEX($AM$1004:$BM$1004,1,MATCH(COLUMNS($AM$1006:BM1006),$AM$1006:$BM$1006,0)))),"Fix")))</f>
        <v xml:space="preserve"> </v>
      </c>
      <c r="AF383">
        <v>382</v>
      </c>
      <c r="AG383">
        <v>100383</v>
      </c>
      <c r="AH383">
        <v>383</v>
      </c>
      <c r="AI383" t="b">
        <f t="shared" si="5"/>
        <v>1</v>
      </c>
      <c r="AJ383" t="b">
        <f>COUNTBLANK(metadata!B383:AB383)=COLUMNS(metadata!B383:AB383)</f>
        <v>1</v>
      </c>
      <c r="AK383" t="str">
        <v/>
      </c>
      <c r="AM383" t="b">
        <f ca="1">AND(IF(metadata!B383="",FALSE,TRUE),COUNTIF(metadata!B:B, metadata!B383) = 1,NOT(ISERROR(SUMPRODUCT(SEARCH(MID(metadata!B383,ROW(INDIRECT("1:"&amp;LEN(metadata!B383))), 1),"0123456789abcdefghijklmnopqrstuvwxyzABCDEFGHIJKLMNOPQRSTUVWXYZ.")))))</f>
        <v>0</v>
      </c>
      <c r="AN383" t="b">
        <f ca="1">OR(AND(IF(metadata!C383="",FALSE,TRUE),OR(EXACT(metadata!C383,"missing: not collected"),EXACT(metadata!C383,"missing: not provided"),EXACT(metadata!C383,"missing: restricted access"))),AND(IF(metadata!C383="",FALSE,TRUE),AND(AND(IFERROR(INT(LEFT(metadata!C383,4))&gt;1900,FALSE),IFERROR(INT(LEFT(metadata!C383,4))&lt;=YEAR(NOW()),FALSE)), OR(MID(metadata!C383,5,1)="", AND(AND(MID(metadata!C383,5,1)="-",IFERROR(INT(MID(metadata!C383,6,1))&gt;=0,FALSE),IFERROR(INT(MID(metadata!C383,6,1))&lt;=1,FALSE),NOT(MID(metadata!C383,7,1)=""),IFERROR(INT(MID(metadata!C383,6,2))&gt;=1,FALSE),IFERROR(INT(MID(metadata!C383,6,2))&lt;=12,FALSE)), OR(MID(metadata!C383,8,1)="", AND(AND(MID(metadata!C383,8,1)="-",IFERROR(INT(MID(metadata!C383,9,1))&gt;=0,FALSE),IFERROR(INT(MID(metadata!C383,9,1))&lt;=3,FALSE),NOT(MID(metadata!C383,10,1)=""),IFERROR(INT(MID(metadata!C383,9,2))&gt;=1,FALSE),IFERROR(INT(MID(metadata!C383,9,2))&lt;=31,FALSE)), OR(MID(metadata!C383,11,1)="", AND(AND(MID(metadata!C383,11,1)=" ",IFERROR(INT(MID(metadata!C383,12,1))&gt;=0,FALSE),IFERROR(INT(MID(metadata!C383,12,1))&lt;=2,FALSE),NOT(MID(metadata!C383,13,1)=""),IFERROR(INT(MID(metadata!C383,12,2))&gt;=0,FALSE),IFERROR(INT(MID(metadata!C383,12,2))&lt;=23,FALSE)), OR(MID(metadata!C383,14,1)="", AND(AND(MID(metadata!C383,14,1)=":",IFERROR(INT(MID(metadata!C383,15,1))&gt;=0,FALSE),IFERROR(INT(MID(metadata!C383,15,1))&lt;=5,FALSE),NOT(MID(metadata!C383,16,1)=""),IFERROR(INT(MID(metadata!C383,15,2))&gt;=0,FALSE),IFERROR(INT(MID(metadata!C383,15,2))&lt;=59,FALSE)), OR(MID(metadata!C383,17,1)="", AND(AND(MID(metadata!C383,17,1)=":",IFERROR(INT(MID(metadata!C383,18,1))&gt;=0,FALSE),IFERROR(INT(MID(metadata!C383,18,1))&lt;=5,FALSE),NOT(MID(metadata!C383,19,1)=""),IFERROR(INT(MID(metadata!C383,18,2))&gt;=0,FALSE),IFERROR(INT(MID(metadata!C383,18,2))&lt;=59,FALSE)), LEN(metadata!C383)&lt;=19)))))))))))))</f>
        <v>0</v>
      </c>
      <c r="AO383" t="b">
        <f>AND(IF(metadata!D383="",FALSE,TRUE),EXACT(metadata!D383,"Not applicable"))</f>
        <v>0</v>
      </c>
      <c r="AP383" t="b">
        <f>IF(metadata!E383="",FALSE,TRUE)</f>
        <v>0</v>
      </c>
      <c r="AQ383" t="b">
        <f>OR(AND(IF(metadata!F383="",FALSE,TRUE),OR(EXACT(metadata!F383,"missing: not collected"),EXACT(metadata!F383,"missing: not provided"))),AND(IF(metadata!F383="",FALSE,TRUE),OR(EXACT(metadata!F383,"TRUE"),EXACT(metadata!F383,"FALSE"))))</f>
        <v>0</v>
      </c>
      <c r="AR383" t="b">
        <f>OR(AND(IF(metadata!G383="",FALSE,TRUE),OR(EXACT(metadata!G383,"missing: not collected"),EXACT(metadata!G383,"missing: not provided"),EXACT(metadata!G383,"missing: restricted access"))),AND(IF(metadata!G383="",FALSE,ISNUMBER(VALUE(metadata!G383))),metadata!G383&gt;=-413))</f>
        <v>0</v>
      </c>
      <c r="AS383" t="b">
        <f>AND(IF(metadata!H383="",FALSE,TRUE),EXACT(metadata!H383,"meters"))</f>
        <v>0</v>
      </c>
      <c r="AT383" t="b">
        <f>AND(IF(metadata!I383="",FALSE,TRUE),OR(EXACT(metadata!I383,"Host-associated"),EXACT(metadata!I383,"Free-living")))</f>
        <v>0</v>
      </c>
      <c r="AU383" t="b">
        <f>AND(IF(metadata!J383="",FALSE,TRUE),OR(EXACT(metadata!J383,"Animal"),EXACT(metadata!J383,"Fungus"),EXACT(metadata!J383,"Plant"),EXACT(metadata!J383,"Saline"),EXACT(metadata!J383,"Non-saline")))</f>
        <v>0</v>
      </c>
      <c r="AV383" t="b">
        <f>AND(IF(metadata!K383="",FALSE,TRUE),OR(EXACT(metadata!K383,"Plant secretion"),EXACT(metadata!K383,"Plant rhizosphere"),EXACT(metadata!K383,"Plant surface"),EXACT(metadata!K383,"Plant corpus"),EXACT(metadata!K383,"Fungus surface"),EXACT(metadata!K383,"Fungus corpus"),EXACT(metadata!K383,"Animal surface"),EXACT(metadata!K383,"Animal proximal gut"),EXACT(metadata!K383,"Animal corpus"),EXACT(metadata!K383,"Animal distal gut"),EXACT(metadata!K383,"Animal secretion"),EXACT(metadata!K383,"Sub-surface (non-saline)"),EXACT(metadata!K383,"Surface (non-saline)"),EXACT(metadata!K383,"Water (non-saline)"),EXACT(metadata!K383,"Soil (non-saline)"),EXACT(metadata!K383,"Aerosol (non-saline)"),EXACT(metadata!K383,"Sediment (non-saline)"),EXACT(metadata!K383,"Surface (saline)"),EXACT(metadata!K383,"Water (saline)"),EXACT(metadata!K383,"Hypersaline (saline)"),EXACT(metadata!K383,"Aerosol (saline)"),EXACT(metadata!K383,"Sediment (saline)")))</f>
        <v>0</v>
      </c>
      <c r="AW383" t="b">
        <f>IF(metadata!L383="",FALSE,TRUE)</f>
        <v>0</v>
      </c>
      <c r="AX383" t="b">
        <f>IF(metadata!M383="",FALSE,TRUE)</f>
        <v>0</v>
      </c>
      <c r="AY383" t="b">
        <f>IF(metadata!N383="",FALSE,TRUE)</f>
        <v>0</v>
      </c>
      <c r="AZ383" t="b">
        <f>OR(AND(IF(metadata!O383="",FALSE,TRUE),OR(EXACT(metadata!O383,"missing: not collected"),EXACT(metadata!O383,"missing: not provided"),EXACT(metadata!O383,"missing: restricted access"))),AND(IF(metadata!O383="",FALSE,TRUE),OR(EXACT(metadata!O383,"air"),EXACT(metadata!O383,"built environment"),EXACT(metadata!O383,"host-associated"),EXACT(metadata!O383,"human-associated"),EXACT(metadata!O383,"human-skin"),EXACT(metadata!O383,"human-oral"),EXACT(metadata!O383,"human-gut"),EXACT(metadata!O383,"human-vaginal"),EXACT(metadata!O383,"microbial mat/biofilm"),EXACT(metadata!O383,"misc environment"),EXACT(metadata!O383,"plant-associated"),EXACT(metadata!O383,"sediment"),EXACT(metadata!O383,"soil"),EXACT(metadata!O383,"wastewater/sludge"),EXACT(metadata!O383,"water"))))</f>
        <v>0</v>
      </c>
      <c r="BA383" t="b">
        <f>IF(metadata!P383="",FALSE,TRUE)</f>
        <v>0</v>
      </c>
      <c r="BB383" t="b">
        <f>IF(metadata!Q383="",FALSE,TRUE)</f>
        <v>0</v>
      </c>
      <c r="BC383" t="b">
        <f>OR(AND(IF(metadata!R383="",FALSE,TRUE),OR(EXACT(metadata!R383,"missing: not collected"),EXACT(metadata!R383,"missing: not provided"),EXACT(metadata!R383,"missing: restricted access"))),AND(IF(metadata!R383="",FALSE,ISNUMBER(VALUE(metadata!R383))),metadata!R383&gt;=-90,metadata!R383&lt;=90))</f>
        <v>0</v>
      </c>
      <c r="BD383" t="b">
        <f>AND(IF(metadata!S383="",FALSE,TRUE),EXACT(metadata!S383,"Decimal degrees"))</f>
        <v>0</v>
      </c>
      <c r="BE383" t="b">
        <f>OR(AND(IF(metadata!T383="",FALSE,TRUE),OR(EXACT(metadata!T383,"missing: not collected"),EXACT(metadata!T383,"missing: not provided"),EXACT(metadata!T383,"missing: restricted access"))),AND(IF(metadata!T383="",FALSE,ISNUMBER(VALUE(metadata!T383))),metadata!T383&gt;=-180,metadata!T383&lt;=180))</f>
        <v>0</v>
      </c>
      <c r="BF383" t="b">
        <f>AND(IF(metadata!U383="",FALSE,TRUE),EXACT(metadata!U383,"Decimal degrees"))</f>
        <v>0</v>
      </c>
      <c r="BG383" t="b">
        <f>IF(metadata!V383="",FALSE,TRUE)</f>
        <v>0</v>
      </c>
      <c r="BH383" t="b">
        <f>OR(AND(IF(metadata!W383="",FALSE,TRUE),OR(EXACT(metadata!W383,"missing: not collected"),EXACT(metadata!W383,"missing: not provided"),EXACT(metadata!W383,"missing: restricted access"))),AND(IF(metadata!W383="",FALSE,TRUE),OR(EXACT(metadata!W383,"TRUE"),EXACT(metadata!W383,"FALSE"))))</f>
        <v>0</v>
      </c>
      <c r="BI383" t="b">
        <f>AND(IF(metadata!X383="",FALSE,TRUE),EXACT(metadata!X383,"other"))</f>
        <v>0</v>
      </c>
      <c r="BJ383" t="b">
        <f>IF(metadata!Y383="",FALSE,TRUE)</f>
        <v>0</v>
      </c>
      <c r="BK383" t="b">
        <f>OR(AND(IF(metadata!Z383="",FALSE,TRUE),OR(EXACT(metadata!Z383,"missing: not collected"),EXACT(metadata!Z383,"missing: not provided"))),AND(IF(metadata!Z383="",FALSE,IF(ISERROR(INT(metadata!Z383)),FALSE,INT(metadata!Z383)=metadata!Z383)),metadata!Z383&gt;0))</f>
        <v>0</v>
      </c>
      <c r="BL383" t="b">
        <f>AND(IF(metadata!AA383="",FALSE,TRUE),EXACT(metadata!AA383,"Not applicable"))</f>
        <v>0</v>
      </c>
      <c r="BM383" t="b">
        <f>IF(metadata!AB383="",FALSE,TRUE)</f>
        <v>0</v>
      </c>
    </row>
    <row r="384" spans="1:65" x14ac:dyDescent="0.2">
      <c r="A384" s="5" t="str">
        <f ca="1">IF(B384=" "," ",HYPERLINK(CONCATENATE("#metadata!",ADDRESS(INDEX($AH$2:$AH$1001,MATCH(ROWS($AF$2:AF384),$AF$2:$AF$1001,0),0),1)),INDEX($AK$2:$AK$1001,MATCH(ROWS($AF$2:AF384),$AF$2:$AF$1001,0),0)))</f>
        <v xml:space="preserve"> </v>
      </c>
      <c r="B384" s="4" t="str">
        <f ca="1">IF(OR(INDEX($AG$2:$AG$1001,MATCH(ROWS($AF$2:AF384),$AF$2:$AF$1001,0),1)&gt;=100000,INDEX($AM$1005:$BM$1005,1,MATCH(COLUMNS($AM$1006:AM1006),$AM$1006:$BM$1006,0))&gt;=100000), " ",IF(INDEX($AM$2:$BM$1001,MATCH(ROWS($AF$2:AF384),$AF$2:$AF$1001,0),MATCH(COLUMNS($AM$1006:AM1006),$AM$1006:$BM$1006,0)), HYPERLINK("#",""), HYPERLINK(CONCATENATE("#metadata!", ADDRESS(INDEX($AH$2:$AH$1001,MATCH(ROWS($AF$2:AF384),$AF$2:$AF$1001,0),0), INDEX($AM$1004:$BM$1004,1,MATCH(COLUMNS($AM$1006:AM1006),$AM$1006:$BM$1006,0)))),"Fix")))</f>
        <v xml:space="preserve"> </v>
      </c>
      <c r="C384" s="4" t="str">
        <f ca="1">IF(OR(INDEX($AG$2:$AG$1001,MATCH(ROWS($AF$2:AF384),$AF$2:$AF$1001,0),1)&gt;=100000,INDEX($AM$1005:$BM$1005,1,MATCH(COLUMNS($AM$1006:AN1006),$AM$1006:$BM$1006,0))&gt;=100000), " ",IF(INDEX($AM$2:$BM$1001,MATCH(ROWS($AF$2:AF384),$AF$2:$AF$1001,0),MATCH(COLUMNS($AM$1006:AN1006),$AM$1006:$BM$1006,0)), HYPERLINK("#",""), HYPERLINK(CONCATENATE("#metadata!", ADDRESS(INDEX($AH$2:$AH$1001,MATCH(ROWS($AF$2:AF384),$AF$2:$AF$1001,0),0), INDEX($AM$1004:$BM$1004,1,MATCH(COLUMNS($AM$1006:AN1006),$AM$1006:$BM$1006,0)))),"Fix")))</f>
        <v xml:space="preserve"> </v>
      </c>
      <c r="D384" s="4" t="str">
        <f ca="1">IF(OR(INDEX($AG$2:$AG$1001,MATCH(ROWS($AF$2:AF384),$AF$2:$AF$1001,0),1)&gt;=100000,INDEX($AM$1005:$BM$1005,1,MATCH(COLUMNS($AM$1006:AO1006),$AM$1006:$BM$1006,0))&gt;=100000), " ",IF(INDEX($AM$2:$BM$1001,MATCH(ROWS($AF$2:AF384),$AF$2:$AF$1001,0),MATCH(COLUMNS($AM$1006:AO1006),$AM$1006:$BM$1006,0)), HYPERLINK("#",""), HYPERLINK(CONCATENATE("#metadata!", ADDRESS(INDEX($AH$2:$AH$1001,MATCH(ROWS($AF$2:AF384),$AF$2:$AF$1001,0),0), INDEX($AM$1004:$BM$1004,1,MATCH(COLUMNS($AM$1006:AO1006),$AM$1006:$BM$1006,0)))),"Fix")))</f>
        <v xml:space="preserve"> </v>
      </c>
      <c r="E384" s="4" t="str">
        <f ca="1">IF(OR(INDEX($AG$2:$AG$1001,MATCH(ROWS($AF$2:AF384),$AF$2:$AF$1001,0),1)&gt;=100000,INDEX($AM$1005:$BM$1005,1,MATCH(COLUMNS($AM$1006:AP1006),$AM$1006:$BM$1006,0))&gt;=100000), " ",IF(INDEX($AM$2:$BM$1001,MATCH(ROWS($AF$2:AF384),$AF$2:$AF$1001,0),MATCH(COLUMNS($AM$1006:AP1006),$AM$1006:$BM$1006,0)), HYPERLINK("#",""), HYPERLINK(CONCATENATE("#metadata!", ADDRESS(INDEX($AH$2:$AH$1001,MATCH(ROWS($AF$2:AF384),$AF$2:$AF$1001,0),0), INDEX($AM$1004:$BM$1004,1,MATCH(COLUMNS($AM$1006:AP1006),$AM$1006:$BM$1006,0)))),"Fix")))</f>
        <v xml:space="preserve"> </v>
      </c>
      <c r="F384" s="4" t="str">
        <f ca="1">IF(OR(INDEX($AG$2:$AG$1001,MATCH(ROWS($AF$2:AF384),$AF$2:$AF$1001,0),1)&gt;=100000,INDEX($AM$1005:$BM$1005,1,MATCH(COLUMNS($AM$1006:AQ1006),$AM$1006:$BM$1006,0))&gt;=100000), " ",IF(INDEX($AM$2:$BM$1001,MATCH(ROWS($AF$2:AF384),$AF$2:$AF$1001,0),MATCH(COLUMNS($AM$1006:AQ1006),$AM$1006:$BM$1006,0)), HYPERLINK("#",""), HYPERLINK(CONCATENATE("#metadata!", ADDRESS(INDEX($AH$2:$AH$1001,MATCH(ROWS($AF$2:AF384),$AF$2:$AF$1001,0),0), INDEX($AM$1004:$BM$1004,1,MATCH(COLUMNS($AM$1006:AQ1006),$AM$1006:$BM$1006,0)))),"Fix")))</f>
        <v xml:space="preserve"> </v>
      </c>
      <c r="G384" s="4" t="str">
        <f ca="1">IF(OR(INDEX($AG$2:$AG$1001,MATCH(ROWS($AF$2:AF384),$AF$2:$AF$1001,0),1)&gt;=100000,INDEX($AM$1005:$BM$1005,1,MATCH(COLUMNS($AM$1006:AR1006),$AM$1006:$BM$1006,0))&gt;=100000), " ",IF(INDEX($AM$2:$BM$1001,MATCH(ROWS($AF$2:AF384),$AF$2:$AF$1001,0),MATCH(COLUMNS($AM$1006:AR1006),$AM$1006:$BM$1006,0)), HYPERLINK("#",""), HYPERLINK(CONCATENATE("#metadata!", ADDRESS(INDEX($AH$2:$AH$1001,MATCH(ROWS($AF$2:AF384),$AF$2:$AF$1001,0),0), INDEX($AM$1004:$BM$1004,1,MATCH(COLUMNS($AM$1006:AR1006),$AM$1006:$BM$1006,0)))),"Fix")))</f>
        <v xml:space="preserve"> </v>
      </c>
      <c r="H384" s="4" t="str">
        <f ca="1">IF(OR(INDEX($AG$2:$AG$1001,MATCH(ROWS($AF$2:AF384),$AF$2:$AF$1001,0),1)&gt;=100000,INDEX($AM$1005:$BM$1005,1,MATCH(COLUMNS($AM$1006:AS1006),$AM$1006:$BM$1006,0))&gt;=100000), " ",IF(INDEX($AM$2:$BM$1001,MATCH(ROWS($AF$2:AF384),$AF$2:$AF$1001,0),MATCH(COLUMNS($AM$1006:AS1006),$AM$1006:$BM$1006,0)), HYPERLINK("#",""), HYPERLINK(CONCATENATE("#metadata!", ADDRESS(INDEX($AH$2:$AH$1001,MATCH(ROWS($AF$2:AF384),$AF$2:$AF$1001,0),0), INDEX($AM$1004:$BM$1004,1,MATCH(COLUMNS($AM$1006:AS1006),$AM$1006:$BM$1006,0)))),"Fix")))</f>
        <v xml:space="preserve"> </v>
      </c>
      <c r="I384" s="4" t="str">
        <f ca="1">IF(OR(INDEX($AG$2:$AG$1001,MATCH(ROWS($AF$2:AF384),$AF$2:$AF$1001,0),1)&gt;=100000,INDEX($AM$1005:$BM$1005,1,MATCH(COLUMNS($AM$1006:AT1006),$AM$1006:$BM$1006,0))&gt;=100000), " ",IF(INDEX($AM$2:$BM$1001,MATCH(ROWS($AF$2:AF384),$AF$2:$AF$1001,0),MATCH(COLUMNS($AM$1006:AT1006),$AM$1006:$BM$1006,0)), HYPERLINK("#",""), HYPERLINK(CONCATENATE("#metadata!", ADDRESS(INDEX($AH$2:$AH$1001,MATCH(ROWS($AF$2:AF384),$AF$2:$AF$1001,0),0), INDEX($AM$1004:$BM$1004,1,MATCH(COLUMNS($AM$1006:AT1006),$AM$1006:$BM$1006,0)))),"Fix")))</f>
        <v xml:space="preserve"> </v>
      </c>
      <c r="J384" s="4" t="str">
        <f ca="1">IF(OR(INDEX($AG$2:$AG$1001,MATCH(ROWS($AF$2:AF384),$AF$2:$AF$1001,0),1)&gt;=100000,INDEX($AM$1005:$BM$1005,1,MATCH(COLUMNS($AM$1006:AU1006),$AM$1006:$BM$1006,0))&gt;=100000), " ",IF(INDEX($AM$2:$BM$1001,MATCH(ROWS($AF$2:AF384),$AF$2:$AF$1001,0),MATCH(COLUMNS($AM$1006:AU1006),$AM$1006:$BM$1006,0)), HYPERLINK("#",""), HYPERLINK(CONCATENATE("#metadata!", ADDRESS(INDEX($AH$2:$AH$1001,MATCH(ROWS($AF$2:AF384),$AF$2:$AF$1001,0),0), INDEX($AM$1004:$BM$1004,1,MATCH(COLUMNS($AM$1006:AU1006),$AM$1006:$BM$1006,0)))),"Fix")))</f>
        <v xml:space="preserve"> </v>
      </c>
      <c r="K384" s="4" t="str">
        <f ca="1">IF(OR(INDEX($AG$2:$AG$1001,MATCH(ROWS($AF$2:AF384),$AF$2:$AF$1001,0),1)&gt;=100000,INDEX($AM$1005:$BM$1005,1,MATCH(COLUMNS($AM$1006:AV1006),$AM$1006:$BM$1006,0))&gt;=100000), " ",IF(INDEX($AM$2:$BM$1001,MATCH(ROWS($AF$2:AF384),$AF$2:$AF$1001,0),MATCH(COLUMNS($AM$1006:AV1006),$AM$1006:$BM$1006,0)), HYPERLINK("#",""), HYPERLINK(CONCATENATE("#metadata!", ADDRESS(INDEX($AH$2:$AH$1001,MATCH(ROWS($AF$2:AF384),$AF$2:$AF$1001,0),0), INDEX($AM$1004:$BM$1004,1,MATCH(COLUMNS($AM$1006:AV1006),$AM$1006:$BM$1006,0)))),"Fix")))</f>
        <v xml:space="preserve"> </v>
      </c>
      <c r="L384" s="4" t="str">
        <f ca="1">IF(OR(INDEX($AG$2:$AG$1001,MATCH(ROWS($AF$2:AF384),$AF$2:$AF$1001,0),1)&gt;=100000,INDEX($AM$1005:$BM$1005,1,MATCH(COLUMNS($AM$1006:AW1006),$AM$1006:$BM$1006,0))&gt;=100000), " ",IF(INDEX($AM$2:$BM$1001,MATCH(ROWS($AF$2:AF384),$AF$2:$AF$1001,0),MATCH(COLUMNS($AM$1006:AW1006),$AM$1006:$BM$1006,0)), HYPERLINK("#",""), HYPERLINK(CONCATENATE("#metadata!", ADDRESS(INDEX($AH$2:$AH$1001,MATCH(ROWS($AF$2:AF384),$AF$2:$AF$1001,0),0), INDEX($AM$1004:$BM$1004,1,MATCH(COLUMNS($AM$1006:AW1006),$AM$1006:$BM$1006,0)))),"Fix")))</f>
        <v xml:space="preserve"> </v>
      </c>
      <c r="M384" s="4" t="str">
        <f ca="1">IF(OR(INDEX($AG$2:$AG$1001,MATCH(ROWS($AF$2:AF384),$AF$2:$AF$1001,0),1)&gt;=100000,INDEX($AM$1005:$BM$1005,1,MATCH(COLUMNS($AM$1006:AX1006),$AM$1006:$BM$1006,0))&gt;=100000), " ",IF(INDEX($AM$2:$BM$1001,MATCH(ROWS($AF$2:AF384),$AF$2:$AF$1001,0),MATCH(COLUMNS($AM$1006:AX1006),$AM$1006:$BM$1006,0)), HYPERLINK("#",""), HYPERLINK(CONCATENATE("#metadata!", ADDRESS(INDEX($AH$2:$AH$1001,MATCH(ROWS($AF$2:AF384),$AF$2:$AF$1001,0),0), INDEX($AM$1004:$BM$1004,1,MATCH(COLUMNS($AM$1006:AX1006),$AM$1006:$BM$1006,0)))),"Fix")))</f>
        <v xml:space="preserve"> </v>
      </c>
      <c r="N384" s="4" t="str">
        <f ca="1">IF(OR(INDEX($AG$2:$AG$1001,MATCH(ROWS($AF$2:AF384),$AF$2:$AF$1001,0),1)&gt;=100000,INDEX($AM$1005:$BM$1005,1,MATCH(COLUMNS($AM$1006:AY1006),$AM$1006:$BM$1006,0))&gt;=100000), " ",IF(INDEX($AM$2:$BM$1001,MATCH(ROWS($AF$2:AF384),$AF$2:$AF$1001,0),MATCH(COLUMNS($AM$1006:AY1006),$AM$1006:$BM$1006,0)), HYPERLINK("#",""), HYPERLINK(CONCATENATE("#metadata!", ADDRESS(INDEX($AH$2:$AH$1001,MATCH(ROWS($AF$2:AF384),$AF$2:$AF$1001,0),0), INDEX($AM$1004:$BM$1004,1,MATCH(COLUMNS($AM$1006:AY1006),$AM$1006:$BM$1006,0)))),"Fix")))</f>
        <v xml:space="preserve"> </v>
      </c>
      <c r="O384" s="4" t="str">
        <f ca="1">IF(OR(INDEX($AG$2:$AG$1001,MATCH(ROWS($AF$2:AF384),$AF$2:$AF$1001,0),1)&gt;=100000,INDEX($AM$1005:$BM$1005,1,MATCH(COLUMNS($AM$1006:AZ1006),$AM$1006:$BM$1006,0))&gt;=100000), " ",IF(INDEX($AM$2:$BM$1001,MATCH(ROWS($AF$2:AF384),$AF$2:$AF$1001,0),MATCH(COLUMNS($AM$1006:AZ1006),$AM$1006:$BM$1006,0)), HYPERLINK("#",""), HYPERLINK(CONCATENATE("#metadata!", ADDRESS(INDEX($AH$2:$AH$1001,MATCH(ROWS($AF$2:AF384),$AF$2:$AF$1001,0),0), INDEX($AM$1004:$BM$1004,1,MATCH(COLUMNS($AM$1006:AZ1006),$AM$1006:$BM$1006,0)))),"Fix")))</f>
        <v xml:space="preserve"> </v>
      </c>
      <c r="P384" s="4" t="str">
        <f ca="1">IF(OR(INDEX($AG$2:$AG$1001,MATCH(ROWS($AF$2:AF384),$AF$2:$AF$1001,0),1)&gt;=100000,INDEX($AM$1005:$BM$1005,1,MATCH(COLUMNS($AM$1006:BA1006),$AM$1006:$BM$1006,0))&gt;=100000), " ",IF(INDEX($AM$2:$BM$1001,MATCH(ROWS($AF$2:AF384),$AF$2:$AF$1001,0),MATCH(COLUMNS($AM$1006:BA1006),$AM$1006:$BM$1006,0)), HYPERLINK("#",""), HYPERLINK(CONCATENATE("#metadata!", ADDRESS(INDEX($AH$2:$AH$1001,MATCH(ROWS($AF$2:AF384),$AF$2:$AF$1001,0),0), INDEX($AM$1004:$BM$1004,1,MATCH(COLUMNS($AM$1006:BA1006),$AM$1006:$BM$1006,0)))),"Fix")))</f>
        <v xml:space="preserve"> </v>
      </c>
      <c r="Q384" s="4" t="str">
        <f ca="1">IF(OR(INDEX($AG$2:$AG$1001,MATCH(ROWS($AF$2:AF384),$AF$2:$AF$1001,0),1)&gt;=100000,INDEX($AM$1005:$BM$1005,1,MATCH(COLUMNS($AM$1006:BB1006),$AM$1006:$BM$1006,0))&gt;=100000), " ",IF(INDEX($AM$2:$BM$1001,MATCH(ROWS($AF$2:AF384),$AF$2:$AF$1001,0),MATCH(COLUMNS($AM$1006:BB1006),$AM$1006:$BM$1006,0)), HYPERLINK("#",""), HYPERLINK(CONCATENATE("#metadata!", ADDRESS(INDEX($AH$2:$AH$1001,MATCH(ROWS($AF$2:AF384),$AF$2:$AF$1001,0),0), INDEX($AM$1004:$BM$1004,1,MATCH(COLUMNS($AM$1006:BB1006),$AM$1006:$BM$1006,0)))),"Fix")))</f>
        <v xml:space="preserve"> </v>
      </c>
      <c r="R384" s="4" t="str">
        <f ca="1">IF(OR(INDEX($AG$2:$AG$1001,MATCH(ROWS($AF$2:AF384),$AF$2:$AF$1001,0),1)&gt;=100000,INDEX($AM$1005:$BM$1005,1,MATCH(COLUMNS($AM$1006:BC1006),$AM$1006:$BM$1006,0))&gt;=100000), " ",IF(INDEX($AM$2:$BM$1001,MATCH(ROWS($AF$2:AF384),$AF$2:$AF$1001,0),MATCH(COLUMNS($AM$1006:BC1006),$AM$1006:$BM$1006,0)), HYPERLINK("#",""), HYPERLINK(CONCATENATE("#metadata!", ADDRESS(INDEX($AH$2:$AH$1001,MATCH(ROWS($AF$2:AF384),$AF$2:$AF$1001,0),0), INDEX($AM$1004:$BM$1004,1,MATCH(COLUMNS($AM$1006:BC1006),$AM$1006:$BM$1006,0)))),"Fix")))</f>
        <v xml:space="preserve"> </v>
      </c>
      <c r="S384" s="4" t="str">
        <f ca="1">IF(OR(INDEX($AG$2:$AG$1001,MATCH(ROWS($AF$2:AF384),$AF$2:$AF$1001,0),1)&gt;=100000,INDEX($AM$1005:$BM$1005,1,MATCH(COLUMNS($AM$1006:BD1006),$AM$1006:$BM$1006,0))&gt;=100000), " ",IF(INDEX($AM$2:$BM$1001,MATCH(ROWS($AF$2:AF384),$AF$2:$AF$1001,0),MATCH(COLUMNS($AM$1006:BD1006),$AM$1006:$BM$1006,0)), HYPERLINK("#",""), HYPERLINK(CONCATENATE("#metadata!", ADDRESS(INDEX($AH$2:$AH$1001,MATCH(ROWS($AF$2:AF384),$AF$2:$AF$1001,0),0), INDEX($AM$1004:$BM$1004,1,MATCH(COLUMNS($AM$1006:BD1006),$AM$1006:$BM$1006,0)))),"Fix")))</f>
        <v xml:space="preserve"> </v>
      </c>
      <c r="T384" s="4" t="str">
        <f ca="1">IF(OR(INDEX($AG$2:$AG$1001,MATCH(ROWS($AF$2:AF384),$AF$2:$AF$1001,0),1)&gt;=100000,INDEX($AM$1005:$BM$1005,1,MATCH(COLUMNS($AM$1006:BE1006),$AM$1006:$BM$1006,0))&gt;=100000), " ",IF(INDEX($AM$2:$BM$1001,MATCH(ROWS($AF$2:AF384),$AF$2:$AF$1001,0),MATCH(COLUMNS($AM$1006:BE1006),$AM$1006:$BM$1006,0)), HYPERLINK("#",""), HYPERLINK(CONCATENATE("#metadata!", ADDRESS(INDEX($AH$2:$AH$1001,MATCH(ROWS($AF$2:AF384),$AF$2:$AF$1001,0),0), INDEX($AM$1004:$BM$1004,1,MATCH(COLUMNS($AM$1006:BE1006),$AM$1006:$BM$1006,0)))),"Fix")))</f>
        <v xml:space="preserve"> </v>
      </c>
      <c r="U384" s="4" t="str">
        <f ca="1">IF(OR(INDEX($AG$2:$AG$1001,MATCH(ROWS($AF$2:AF384),$AF$2:$AF$1001,0),1)&gt;=100000,INDEX($AM$1005:$BM$1005,1,MATCH(COLUMNS($AM$1006:BF1006),$AM$1006:$BM$1006,0))&gt;=100000), " ",IF(INDEX($AM$2:$BM$1001,MATCH(ROWS($AF$2:AF384),$AF$2:$AF$1001,0),MATCH(COLUMNS($AM$1006:BF1006),$AM$1006:$BM$1006,0)), HYPERLINK("#",""), HYPERLINK(CONCATENATE("#metadata!", ADDRESS(INDEX($AH$2:$AH$1001,MATCH(ROWS($AF$2:AF384),$AF$2:$AF$1001,0),0), INDEX($AM$1004:$BM$1004,1,MATCH(COLUMNS($AM$1006:BF1006),$AM$1006:$BM$1006,0)))),"Fix")))</f>
        <v xml:space="preserve"> </v>
      </c>
      <c r="V384" s="4" t="str">
        <f ca="1">IF(OR(INDEX($AG$2:$AG$1001,MATCH(ROWS($AF$2:AF384),$AF$2:$AF$1001,0),1)&gt;=100000,INDEX($AM$1005:$BM$1005,1,MATCH(COLUMNS($AM$1006:BG1006),$AM$1006:$BM$1006,0))&gt;=100000), " ",IF(INDEX($AM$2:$BM$1001,MATCH(ROWS($AF$2:AF384),$AF$2:$AF$1001,0),MATCH(COLUMNS($AM$1006:BG1006),$AM$1006:$BM$1006,0)), HYPERLINK("#",""), HYPERLINK(CONCATENATE("#metadata!", ADDRESS(INDEX($AH$2:$AH$1001,MATCH(ROWS($AF$2:AF384),$AF$2:$AF$1001,0),0), INDEX($AM$1004:$BM$1004,1,MATCH(COLUMNS($AM$1006:BG1006),$AM$1006:$BM$1006,0)))),"Fix")))</f>
        <v xml:space="preserve"> </v>
      </c>
      <c r="W384" s="4" t="str">
        <f ca="1">IF(OR(INDEX($AG$2:$AG$1001,MATCH(ROWS($AF$2:AF384),$AF$2:$AF$1001,0),1)&gt;=100000,INDEX($AM$1005:$BM$1005,1,MATCH(COLUMNS($AM$1006:BH1006),$AM$1006:$BM$1006,0))&gt;=100000), " ",IF(INDEX($AM$2:$BM$1001,MATCH(ROWS($AF$2:AF384),$AF$2:$AF$1001,0),MATCH(COLUMNS($AM$1006:BH1006),$AM$1006:$BM$1006,0)), HYPERLINK("#",""), HYPERLINK(CONCATENATE("#metadata!", ADDRESS(INDEX($AH$2:$AH$1001,MATCH(ROWS($AF$2:AF384),$AF$2:$AF$1001,0),0), INDEX($AM$1004:$BM$1004,1,MATCH(COLUMNS($AM$1006:BH1006),$AM$1006:$BM$1006,0)))),"Fix")))</f>
        <v xml:space="preserve"> </v>
      </c>
      <c r="X384" s="4" t="str">
        <f ca="1">IF(OR(INDEX($AG$2:$AG$1001,MATCH(ROWS($AF$2:AF384),$AF$2:$AF$1001,0),1)&gt;=100000,INDEX($AM$1005:$BM$1005,1,MATCH(COLUMNS($AM$1006:BI1006),$AM$1006:$BM$1006,0))&gt;=100000), " ",IF(INDEX($AM$2:$BM$1001,MATCH(ROWS($AF$2:AF384),$AF$2:$AF$1001,0),MATCH(COLUMNS($AM$1006:BI1006),$AM$1006:$BM$1006,0)), HYPERLINK("#",""), HYPERLINK(CONCATENATE("#metadata!", ADDRESS(INDEX($AH$2:$AH$1001,MATCH(ROWS($AF$2:AF384),$AF$2:$AF$1001,0),0), INDEX($AM$1004:$BM$1004,1,MATCH(COLUMNS($AM$1006:BI1006),$AM$1006:$BM$1006,0)))),"Fix")))</f>
        <v xml:space="preserve"> </v>
      </c>
      <c r="Y384" s="4" t="str">
        <f ca="1">IF(OR(INDEX($AG$2:$AG$1001,MATCH(ROWS($AF$2:AF384),$AF$2:$AF$1001,0),1)&gt;=100000,INDEX($AM$1005:$BM$1005,1,MATCH(COLUMNS($AM$1006:BJ1006),$AM$1006:$BM$1006,0))&gt;=100000), " ",IF(INDEX($AM$2:$BM$1001,MATCH(ROWS($AF$2:AF384),$AF$2:$AF$1001,0),MATCH(COLUMNS($AM$1006:BJ1006),$AM$1006:$BM$1006,0)), HYPERLINK("#",""), HYPERLINK(CONCATENATE("#metadata!", ADDRESS(INDEX($AH$2:$AH$1001,MATCH(ROWS($AF$2:AF384),$AF$2:$AF$1001,0),0), INDEX($AM$1004:$BM$1004,1,MATCH(COLUMNS($AM$1006:BJ1006),$AM$1006:$BM$1006,0)))),"Fix")))</f>
        <v xml:space="preserve"> </v>
      </c>
      <c r="Z384" s="4" t="str">
        <f ca="1">IF(OR(INDEX($AG$2:$AG$1001,MATCH(ROWS($AF$2:AF384),$AF$2:$AF$1001,0),1)&gt;=100000,INDEX($AM$1005:$BM$1005,1,MATCH(COLUMNS($AM$1006:BK1006),$AM$1006:$BM$1006,0))&gt;=100000), " ",IF(INDEX($AM$2:$BM$1001,MATCH(ROWS($AF$2:AF384),$AF$2:$AF$1001,0),MATCH(COLUMNS($AM$1006:BK1006),$AM$1006:$BM$1006,0)), HYPERLINK("#",""), HYPERLINK(CONCATENATE("#metadata!", ADDRESS(INDEX($AH$2:$AH$1001,MATCH(ROWS($AF$2:AF384),$AF$2:$AF$1001,0),0), INDEX($AM$1004:$BM$1004,1,MATCH(COLUMNS($AM$1006:BK1006),$AM$1006:$BM$1006,0)))),"Fix")))</f>
        <v xml:space="preserve"> </v>
      </c>
      <c r="AA384" s="4" t="str">
        <f ca="1">IF(OR(INDEX($AG$2:$AG$1001,MATCH(ROWS($AF$2:AF384),$AF$2:$AF$1001,0),1)&gt;=100000,INDEX($AM$1005:$BM$1005,1,MATCH(COLUMNS($AM$1006:BL1006),$AM$1006:$BM$1006,0))&gt;=100000), " ",IF(INDEX($AM$2:$BM$1001,MATCH(ROWS($AF$2:AF384),$AF$2:$AF$1001,0),MATCH(COLUMNS($AM$1006:BL1006),$AM$1006:$BM$1006,0)), HYPERLINK("#",""), HYPERLINK(CONCATENATE("#metadata!", ADDRESS(INDEX($AH$2:$AH$1001,MATCH(ROWS($AF$2:AF384),$AF$2:$AF$1001,0),0), INDEX($AM$1004:$BM$1004,1,MATCH(COLUMNS($AM$1006:BL1006),$AM$1006:$BM$1006,0)))),"Fix")))</f>
        <v xml:space="preserve"> </v>
      </c>
      <c r="AB384" s="4" t="str">
        <f ca="1">IF(OR(INDEX($AG$2:$AG$1001,MATCH(ROWS($AF$2:AF384),$AF$2:$AF$1001,0),1)&gt;=100000,INDEX($AM$1005:$BM$1005,1,MATCH(COLUMNS($AM$1006:BM1006),$AM$1006:$BM$1006,0))&gt;=100000), " ",IF(INDEX($AM$2:$BM$1001,MATCH(ROWS($AF$2:AF384),$AF$2:$AF$1001,0),MATCH(COLUMNS($AM$1006:BM1006),$AM$1006:$BM$1006,0)), HYPERLINK("#",""), HYPERLINK(CONCATENATE("#metadata!", ADDRESS(INDEX($AH$2:$AH$1001,MATCH(ROWS($AF$2:AF384),$AF$2:$AF$1001,0),0), INDEX($AM$1004:$BM$1004,1,MATCH(COLUMNS($AM$1006:BM1006),$AM$1006:$BM$1006,0)))),"Fix")))</f>
        <v xml:space="preserve"> </v>
      </c>
      <c r="AF384">
        <v>383</v>
      </c>
      <c r="AG384">
        <v>100384</v>
      </c>
      <c r="AH384">
        <v>384</v>
      </c>
      <c r="AI384" t="b">
        <f t="shared" si="5"/>
        <v>1</v>
      </c>
      <c r="AJ384" t="b">
        <f>COUNTBLANK(metadata!B384:AB384)=COLUMNS(metadata!B384:AB384)</f>
        <v>1</v>
      </c>
      <c r="AK384" t="str">
        <v/>
      </c>
      <c r="AM384" t="b">
        <f ca="1">AND(IF(metadata!B384="",FALSE,TRUE),COUNTIF(metadata!B:B, metadata!B384) = 1,NOT(ISERROR(SUMPRODUCT(SEARCH(MID(metadata!B384,ROW(INDIRECT("1:"&amp;LEN(metadata!B384))), 1),"0123456789abcdefghijklmnopqrstuvwxyzABCDEFGHIJKLMNOPQRSTUVWXYZ.")))))</f>
        <v>0</v>
      </c>
      <c r="AN384" t="b">
        <f ca="1">OR(AND(IF(metadata!C384="",FALSE,TRUE),OR(EXACT(metadata!C384,"missing: not collected"),EXACT(metadata!C384,"missing: not provided"),EXACT(metadata!C384,"missing: restricted access"))),AND(IF(metadata!C384="",FALSE,TRUE),AND(AND(IFERROR(INT(LEFT(metadata!C384,4))&gt;1900,FALSE),IFERROR(INT(LEFT(metadata!C384,4))&lt;=YEAR(NOW()),FALSE)), OR(MID(metadata!C384,5,1)="", AND(AND(MID(metadata!C384,5,1)="-",IFERROR(INT(MID(metadata!C384,6,1))&gt;=0,FALSE),IFERROR(INT(MID(metadata!C384,6,1))&lt;=1,FALSE),NOT(MID(metadata!C384,7,1)=""),IFERROR(INT(MID(metadata!C384,6,2))&gt;=1,FALSE),IFERROR(INT(MID(metadata!C384,6,2))&lt;=12,FALSE)), OR(MID(metadata!C384,8,1)="", AND(AND(MID(metadata!C384,8,1)="-",IFERROR(INT(MID(metadata!C384,9,1))&gt;=0,FALSE),IFERROR(INT(MID(metadata!C384,9,1))&lt;=3,FALSE),NOT(MID(metadata!C384,10,1)=""),IFERROR(INT(MID(metadata!C384,9,2))&gt;=1,FALSE),IFERROR(INT(MID(metadata!C384,9,2))&lt;=31,FALSE)), OR(MID(metadata!C384,11,1)="", AND(AND(MID(metadata!C384,11,1)=" ",IFERROR(INT(MID(metadata!C384,12,1))&gt;=0,FALSE),IFERROR(INT(MID(metadata!C384,12,1))&lt;=2,FALSE),NOT(MID(metadata!C384,13,1)=""),IFERROR(INT(MID(metadata!C384,12,2))&gt;=0,FALSE),IFERROR(INT(MID(metadata!C384,12,2))&lt;=23,FALSE)), OR(MID(metadata!C384,14,1)="", AND(AND(MID(metadata!C384,14,1)=":",IFERROR(INT(MID(metadata!C384,15,1))&gt;=0,FALSE),IFERROR(INT(MID(metadata!C384,15,1))&lt;=5,FALSE),NOT(MID(metadata!C384,16,1)=""),IFERROR(INT(MID(metadata!C384,15,2))&gt;=0,FALSE),IFERROR(INT(MID(metadata!C384,15,2))&lt;=59,FALSE)), OR(MID(metadata!C384,17,1)="", AND(AND(MID(metadata!C384,17,1)=":",IFERROR(INT(MID(metadata!C384,18,1))&gt;=0,FALSE),IFERROR(INT(MID(metadata!C384,18,1))&lt;=5,FALSE),NOT(MID(metadata!C384,19,1)=""),IFERROR(INT(MID(metadata!C384,18,2))&gt;=0,FALSE),IFERROR(INT(MID(metadata!C384,18,2))&lt;=59,FALSE)), LEN(metadata!C384)&lt;=19)))))))))))))</f>
        <v>0</v>
      </c>
      <c r="AO384" t="b">
        <f>AND(IF(metadata!D384="",FALSE,TRUE),EXACT(metadata!D384,"Not applicable"))</f>
        <v>0</v>
      </c>
      <c r="AP384" t="b">
        <f>IF(metadata!E384="",FALSE,TRUE)</f>
        <v>0</v>
      </c>
      <c r="AQ384" t="b">
        <f>OR(AND(IF(metadata!F384="",FALSE,TRUE),OR(EXACT(metadata!F384,"missing: not collected"),EXACT(metadata!F384,"missing: not provided"))),AND(IF(metadata!F384="",FALSE,TRUE),OR(EXACT(metadata!F384,"TRUE"),EXACT(metadata!F384,"FALSE"))))</f>
        <v>0</v>
      </c>
      <c r="AR384" t="b">
        <f>OR(AND(IF(metadata!G384="",FALSE,TRUE),OR(EXACT(metadata!G384,"missing: not collected"),EXACT(metadata!G384,"missing: not provided"),EXACT(metadata!G384,"missing: restricted access"))),AND(IF(metadata!G384="",FALSE,ISNUMBER(VALUE(metadata!G384))),metadata!G384&gt;=-413))</f>
        <v>0</v>
      </c>
      <c r="AS384" t="b">
        <f>AND(IF(metadata!H384="",FALSE,TRUE),EXACT(metadata!H384,"meters"))</f>
        <v>0</v>
      </c>
      <c r="AT384" t="b">
        <f>AND(IF(metadata!I384="",FALSE,TRUE),OR(EXACT(metadata!I384,"Host-associated"),EXACT(metadata!I384,"Free-living")))</f>
        <v>0</v>
      </c>
      <c r="AU384" t="b">
        <f>AND(IF(metadata!J384="",FALSE,TRUE),OR(EXACT(metadata!J384,"Animal"),EXACT(metadata!J384,"Fungus"),EXACT(metadata!J384,"Plant"),EXACT(metadata!J384,"Saline"),EXACT(metadata!J384,"Non-saline")))</f>
        <v>0</v>
      </c>
      <c r="AV384" t="b">
        <f>AND(IF(metadata!K384="",FALSE,TRUE),OR(EXACT(metadata!K384,"Plant secretion"),EXACT(metadata!K384,"Plant rhizosphere"),EXACT(metadata!K384,"Plant surface"),EXACT(metadata!K384,"Plant corpus"),EXACT(metadata!K384,"Fungus surface"),EXACT(metadata!K384,"Fungus corpus"),EXACT(metadata!K384,"Animal surface"),EXACT(metadata!K384,"Animal proximal gut"),EXACT(metadata!K384,"Animal corpus"),EXACT(metadata!K384,"Animal distal gut"),EXACT(metadata!K384,"Animal secretion"),EXACT(metadata!K384,"Sub-surface (non-saline)"),EXACT(metadata!K384,"Surface (non-saline)"),EXACT(metadata!K384,"Water (non-saline)"),EXACT(metadata!K384,"Soil (non-saline)"),EXACT(metadata!K384,"Aerosol (non-saline)"),EXACT(metadata!K384,"Sediment (non-saline)"),EXACT(metadata!K384,"Surface (saline)"),EXACT(metadata!K384,"Water (saline)"),EXACT(metadata!K384,"Hypersaline (saline)"),EXACT(metadata!K384,"Aerosol (saline)"),EXACT(metadata!K384,"Sediment (saline)")))</f>
        <v>0</v>
      </c>
      <c r="AW384" t="b">
        <f>IF(metadata!L384="",FALSE,TRUE)</f>
        <v>0</v>
      </c>
      <c r="AX384" t="b">
        <f>IF(metadata!M384="",FALSE,TRUE)</f>
        <v>0</v>
      </c>
      <c r="AY384" t="b">
        <f>IF(metadata!N384="",FALSE,TRUE)</f>
        <v>0</v>
      </c>
      <c r="AZ384" t="b">
        <f>OR(AND(IF(metadata!O384="",FALSE,TRUE),OR(EXACT(metadata!O384,"missing: not collected"),EXACT(metadata!O384,"missing: not provided"),EXACT(metadata!O384,"missing: restricted access"))),AND(IF(metadata!O384="",FALSE,TRUE),OR(EXACT(metadata!O384,"air"),EXACT(metadata!O384,"built environment"),EXACT(metadata!O384,"host-associated"),EXACT(metadata!O384,"human-associated"),EXACT(metadata!O384,"human-skin"),EXACT(metadata!O384,"human-oral"),EXACT(metadata!O384,"human-gut"),EXACT(metadata!O384,"human-vaginal"),EXACT(metadata!O384,"microbial mat/biofilm"),EXACT(metadata!O384,"misc environment"),EXACT(metadata!O384,"plant-associated"),EXACT(metadata!O384,"sediment"),EXACT(metadata!O384,"soil"),EXACT(metadata!O384,"wastewater/sludge"),EXACT(metadata!O384,"water"))))</f>
        <v>0</v>
      </c>
      <c r="BA384" t="b">
        <f>IF(metadata!P384="",FALSE,TRUE)</f>
        <v>0</v>
      </c>
      <c r="BB384" t="b">
        <f>IF(metadata!Q384="",FALSE,TRUE)</f>
        <v>0</v>
      </c>
      <c r="BC384" t="b">
        <f>OR(AND(IF(metadata!R384="",FALSE,TRUE),OR(EXACT(metadata!R384,"missing: not collected"),EXACT(metadata!R384,"missing: not provided"),EXACT(metadata!R384,"missing: restricted access"))),AND(IF(metadata!R384="",FALSE,ISNUMBER(VALUE(metadata!R384))),metadata!R384&gt;=-90,metadata!R384&lt;=90))</f>
        <v>0</v>
      </c>
      <c r="BD384" t="b">
        <f>AND(IF(metadata!S384="",FALSE,TRUE),EXACT(metadata!S384,"Decimal degrees"))</f>
        <v>0</v>
      </c>
      <c r="BE384" t="b">
        <f>OR(AND(IF(metadata!T384="",FALSE,TRUE),OR(EXACT(metadata!T384,"missing: not collected"),EXACT(metadata!T384,"missing: not provided"),EXACT(metadata!T384,"missing: restricted access"))),AND(IF(metadata!T384="",FALSE,ISNUMBER(VALUE(metadata!T384))),metadata!T384&gt;=-180,metadata!T384&lt;=180))</f>
        <v>0</v>
      </c>
      <c r="BF384" t="b">
        <f>AND(IF(metadata!U384="",FALSE,TRUE),EXACT(metadata!U384,"Decimal degrees"))</f>
        <v>0</v>
      </c>
      <c r="BG384" t="b">
        <f>IF(metadata!V384="",FALSE,TRUE)</f>
        <v>0</v>
      </c>
      <c r="BH384" t="b">
        <f>OR(AND(IF(metadata!W384="",FALSE,TRUE),OR(EXACT(metadata!W384,"missing: not collected"),EXACT(metadata!W384,"missing: not provided"),EXACT(metadata!W384,"missing: restricted access"))),AND(IF(metadata!W384="",FALSE,TRUE),OR(EXACT(metadata!W384,"TRUE"),EXACT(metadata!W384,"FALSE"))))</f>
        <v>0</v>
      </c>
      <c r="BI384" t="b">
        <f>AND(IF(metadata!X384="",FALSE,TRUE),EXACT(metadata!X384,"other"))</f>
        <v>0</v>
      </c>
      <c r="BJ384" t="b">
        <f>IF(metadata!Y384="",FALSE,TRUE)</f>
        <v>0</v>
      </c>
      <c r="BK384" t="b">
        <f>OR(AND(IF(metadata!Z384="",FALSE,TRUE),OR(EXACT(metadata!Z384,"missing: not collected"),EXACT(metadata!Z384,"missing: not provided"))),AND(IF(metadata!Z384="",FALSE,IF(ISERROR(INT(metadata!Z384)),FALSE,INT(metadata!Z384)=metadata!Z384)),metadata!Z384&gt;0))</f>
        <v>0</v>
      </c>
      <c r="BL384" t="b">
        <f>AND(IF(metadata!AA384="",FALSE,TRUE),EXACT(metadata!AA384,"Not applicable"))</f>
        <v>0</v>
      </c>
      <c r="BM384" t="b">
        <f>IF(metadata!AB384="",FALSE,TRUE)</f>
        <v>0</v>
      </c>
    </row>
    <row r="385" spans="1:65" x14ac:dyDescent="0.2">
      <c r="A385" s="5" t="str">
        <f ca="1">IF(B385=" "," ",HYPERLINK(CONCATENATE("#metadata!",ADDRESS(INDEX($AH$2:$AH$1001,MATCH(ROWS($AF$2:AF385),$AF$2:$AF$1001,0),0),1)),INDEX($AK$2:$AK$1001,MATCH(ROWS($AF$2:AF385),$AF$2:$AF$1001,0),0)))</f>
        <v xml:space="preserve"> </v>
      </c>
      <c r="B385" s="4" t="str">
        <f ca="1">IF(OR(INDEX($AG$2:$AG$1001,MATCH(ROWS($AF$2:AF385),$AF$2:$AF$1001,0),1)&gt;=100000,INDEX($AM$1005:$BM$1005,1,MATCH(COLUMNS($AM$1006:AM1006),$AM$1006:$BM$1006,0))&gt;=100000), " ",IF(INDEX($AM$2:$BM$1001,MATCH(ROWS($AF$2:AF385),$AF$2:$AF$1001,0),MATCH(COLUMNS($AM$1006:AM1006),$AM$1006:$BM$1006,0)), HYPERLINK("#",""), HYPERLINK(CONCATENATE("#metadata!", ADDRESS(INDEX($AH$2:$AH$1001,MATCH(ROWS($AF$2:AF385),$AF$2:$AF$1001,0),0), INDEX($AM$1004:$BM$1004,1,MATCH(COLUMNS($AM$1006:AM1006),$AM$1006:$BM$1006,0)))),"Fix")))</f>
        <v xml:space="preserve"> </v>
      </c>
      <c r="C385" s="4" t="str">
        <f ca="1">IF(OR(INDEX($AG$2:$AG$1001,MATCH(ROWS($AF$2:AF385),$AF$2:$AF$1001,0),1)&gt;=100000,INDEX($AM$1005:$BM$1005,1,MATCH(COLUMNS($AM$1006:AN1006),$AM$1006:$BM$1006,0))&gt;=100000), " ",IF(INDEX($AM$2:$BM$1001,MATCH(ROWS($AF$2:AF385),$AF$2:$AF$1001,0),MATCH(COLUMNS($AM$1006:AN1006),$AM$1006:$BM$1006,0)), HYPERLINK("#",""), HYPERLINK(CONCATENATE("#metadata!", ADDRESS(INDEX($AH$2:$AH$1001,MATCH(ROWS($AF$2:AF385),$AF$2:$AF$1001,0),0), INDEX($AM$1004:$BM$1004,1,MATCH(COLUMNS($AM$1006:AN1006),$AM$1006:$BM$1006,0)))),"Fix")))</f>
        <v xml:space="preserve"> </v>
      </c>
      <c r="D385" s="4" t="str">
        <f ca="1">IF(OR(INDEX($AG$2:$AG$1001,MATCH(ROWS($AF$2:AF385),$AF$2:$AF$1001,0),1)&gt;=100000,INDEX($AM$1005:$BM$1005,1,MATCH(COLUMNS($AM$1006:AO1006),$AM$1006:$BM$1006,0))&gt;=100000), " ",IF(INDEX($AM$2:$BM$1001,MATCH(ROWS($AF$2:AF385),$AF$2:$AF$1001,0),MATCH(COLUMNS($AM$1006:AO1006),$AM$1006:$BM$1006,0)), HYPERLINK("#",""), HYPERLINK(CONCATENATE("#metadata!", ADDRESS(INDEX($AH$2:$AH$1001,MATCH(ROWS($AF$2:AF385),$AF$2:$AF$1001,0),0), INDEX($AM$1004:$BM$1004,1,MATCH(COLUMNS($AM$1006:AO1006),$AM$1006:$BM$1006,0)))),"Fix")))</f>
        <v xml:space="preserve"> </v>
      </c>
      <c r="E385" s="4" t="str">
        <f ca="1">IF(OR(INDEX($AG$2:$AG$1001,MATCH(ROWS($AF$2:AF385),$AF$2:$AF$1001,0),1)&gt;=100000,INDEX($AM$1005:$BM$1005,1,MATCH(COLUMNS($AM$1006:AP1006),$AM$1006:$BM$1006,0))&gt;=100000), " ",IF(INDEX($AM$2:$BM$1001,MATCH(ROWS($AF$2:AF385),$AF$2:$AF$1001,0),MATCH(COLUMNS($AM$1006:AP1006),$AM$1006:$BM$1006,0)), HYPERLINK("#",""), HYPERLINK(CONCATENATE("#metadata!", ADDRESS(INDEX($AH$2:$AH$1001,MATCH(ROWS($AF$2:AF385),$AF$2:$AF$1001,0),0), INDEX($AM$1004:$BM$1004,1,MATCH(COLUMNS($AM$1006:AP1006),$AM$1006:$BM$1006,0)))),"Fix")))</f>
        <v xml:space="preserve"> </v>
      </c>
      <c r="F385" s="4" t="str">
        <f ca="1">IF(OR(INDEX($AG$2:$AG$1001,MATCH(ROWS($AF$2:AF385),$AF$2:$AF$1001,0),1)&gt;=100000,INDEX($AM$1005:$BM$1005,1,MATCH(COLUMNS($AM$1006:AQ1006),$AM$1006:$BM$1006,0))&gt;=100000), " ",IF(INDEX($AM$2:$BM$1001,MATCH(ROWS($AF$2:AF385),$AF$2:$AF$1001,0),MATCH(COLUMNS($AM$1006:AQ1006),$AM$1006:$BM$1006,0)), HYPERLINK("#",""), HYPERLINK(CONCATENATE("#metadata!", ADDRESS(INDEX($AH$2:$AH$1001,MATCH(ROWS($AF$2:AF385),$AF$2:$AF$1001,0),0), INDEX($AM$1004:$BM$1004,1,MATCH(COLUMNS($AM$1006:AQ1006),$AM$1006:$BM$1006,0)))),"Fix")))</f>
        <v xml:space="preserve"> </v>
      </c>
      <c r="G385" s="4" t="str">
        <f ca="1">IF(OR(INDEX($AG$2:$AG$1001,MATCH(ROWS($AF$2:AF385),$AF$2:$AF$1001,0),1)&gt;=100000,INDEX($AM$1005:$BM$1005,1,MATCH(COLUMNS($AM$1006:AR1006),$AM$1006:$BM$1006,0))&gt;=100000), " ",IF(INDEX($AM$2:$BM$1001,MATCH(ROWS($AF$2:AF385),$AF$2:$AF$1001,0),MATCH(COLUMNS($AM$1006:AR1006),$AM$1006:$BM$1006,0)), HYPERLINK("#",""), HYPERLINK(CONCATENATE("#metadata!", ADDRESS(INDEX($AH$2:$AH$1001,MATCH(ROWS($AF$2:AF385),$AF$2:$AF$1001,0),0), INDEX($AM$1004:$BM$1004,1,MATCH(COLUMNS($AM$1006:AR1006),$AM$1006:$BM$1006,0)))),"Fix")))</f>
        <v xml:space="preserve"> </v>
      </c>
      <c r="H385" s="4" t="str">
        <f ca="1">IF(OR(INDEX($AG$2:$AG$1001,MATCH(ROWS($AF$2:AF385),$AF$2:$AF$1001,0),1)&gt;=100000,INDEX($AM$1005:$BM$1005,1,MATCH(COLUMNS($AM$1006:AS1006),$AM$1006:$BM$1006,0))&gt;=100000), " ",IF(INDEX($AM$2:$BM$1001,MATCH(ROWS($AF$2:AF385),$AF$2:$AF$1001,0),MATCH(COLUMNS($AM$1006:AS1006),$AM$1006:$BM$1006,0)), HYPERLINK("#",""), HYPERLINK(CONCATENATE("#metadata!", ADDRESS(INDEX($AH$2:$AH$1001,MATCH(ROWS($AF$2:AF385),$AF$2:$AF$1001,0),0), INDEX($AM$1004:$BM$1004,1,MATCH(COLUMNS($AM$1006:AS1006),$AM$1006:$BM$1006,0)))),"Fix")))</f>
        <v xml:space="preserve"> </v>
      </c>
      <c r="I385" s="4" t="str">
        <f ca="1">IF(OR(INDEX($AG$2:$AG$1001,MATCH(ROWS($AF$2:AF385),$AF$2:$AF$1001,0),1)&gt;=100000,INDEX($AM$1005:$BM$1005,1,MATCH(COLUMNS($AM$1006:AT1006),$AM$1006:$BM$1006,0))&gt;=100000), " ",IF(INDEX($AM$2:$BM$1001,MATCH(ROWS($AF$2:AF385),$AF$2:$AF$1001,0),MATCH(COLUMNS($AM$1006:AT1006),$AM$1006:$BM$1006,0)), HYPERLINK("#",""), HYPERLINK(CONCATENATE("#metadata!", ADDRESS(INDEX($AH$2:$AH$1001,MATCH(ROWS($AF$2:AF385),$AF$2:$AF$1001,0),0), INDEX($AM$1004:$BM$1004,1,MATCH(COLUMNS($AM$1006:AT1006),$AM$1006:$BM$1006,0)))),"Fix")))</f>
        <v xml:space="preserve"> </v>
      </c>
      <c r="J385" s="4" t="str">
        <f ca="1">IF(OR(INDEX($AG$2:$AG$1001,MATCH(ROWS($AF$2:AF385),$AF$2:$AF$1001,0),1)&gt;=100000,INDEX($AM$1005:$BM$1005,1,MATCH(COLUMNS($AM$1006:AU1006),$AM$1006:$BM$1006,0))&gt;=100000), " ",IF(INDEX($AM$2:$BM$1001,MATCH(ROWS($AF$2:AF385),$AF$2:$AF$1001,0),MATCH(COLUMNS($AM$1006:AU1006),$AM$1006:$BM$1006,0)), HYPERLINK("#",""), HYPERLINK(CONCATENATE("#metadata!", ADDRESS(INDEX($AH$2:$AH$1001,MATCH(ROWS($AF$2:AF385),$AF$2:$AF$1001,0),0), INDEX($AM$1004:$BM$1004,1,MATCH(COLUMNS($AM$1006:AU1006),$AM$1006:$BM$1006,0)))),"Fix")))</f>
        <v xml:space="preserve"> </v>
      </c>
      <c r="K385" s="4" t="str">
        <f ca="1">IF(OR(INDEX($AG$2:$AG$1001,MATCH(ROWS($AF$2:AF385),$AF$2:$AF$1001,0),1)&gt;=100000,INDEX($AM$1005:$BM$1005,1,MATCH(COLUMNS($AM$1006:AV1006),$AM$1006:$BM$1006,0))&gt;=100000), " ",IF(INDEX($AM$2:$BM$1001,MATCH(ROWS($AF$2:AF385),$AF$2:$AF$1001,0),MATCH(COLUMNS($AM$1006:AV1006),$AM$1006:$BM$1006,0)), HYPERLINK("#",""), HYPERLINK(CONCATENATE("#metadata!", ADDRESS(INDEX($AH$2:$AH$1001,MATCH(ROWS($AF$2:AF385),$AF$2:$AF$1001,0),0), INDEX($AM$1004:$BM$1004,1,MATCH(COLUMNS($AM$1006:AV1006),$AM$1006:$BM$1006,0)))),"Fix")))</f>
        <v xml:space="preserve"> </v>
      </c>
      <c r="L385" s="4" t="str">
        <f ca="1">IF(OR(INDEX($AG$2:$AG$1001,MATCH(ROWS($AF$2:AF385),$AF$2:$AF$1001,0),1)&gt;=100000,INDEX($AM$1005:$BM$1005,1,MATCH(COLUMNS($AM$1006:AW1006),$AM$1006:$BM$1006,0))&gt;=100000), " ",IF(INDEX($AM$2:$BM$1001,MATCH(ROWS($AF$2:AF385),$AF$2:$AF$1001,0),MATCH(COLUMNS($AM$1006:AW1006),$AM$1006:$BM$1006,0)), HYPERLINK("#",""), HYPERLINK(CONCATENATE("#metadata!", ADDRESS(INDEX($AH$2:$AH$1001,MATCH(ROWS($AF$2:AF385),$AF$2:$AF$1001,0),0), INDEX($AM$1004:$BM$1004,1,MATCH(COLUMNS($AM$1006:AW1006),$AM$1006:$BM$1006,0)))),"Fix")))</f>
        <v xml:space="preserve"> </v>
      </c>
      <c r="M385" s="4" t="str">
        <f ca="1">IF(OR(INDEX($AG$2:$AG$1001,MATCH(ROWS($AF$2:AF385),$AF$2:$AF$1001,0),1)&gt;=100000,INDEX($AM$1005:$BM$1005,1,MATCH(COLUMNS($AM$1006:AX1006),$AM$1006:$BM$1006,0))&gt;=100000), " ",IF(INDEX($AM$2:$BM$1001,MATCH(ROWS($AF$2:AF385),$AF$2:$AF$1001,0),MATCH(COLUMNS($AM$1006:AX1006),$AM$1006:$BM$1006,0)), HYPERLINK("#",""), HYPERLINK(CONCATENATE("#metadata!", ADDRESS(INDEX($AH$2:$AH$1001,MATCH(ROWS($AF$2:AF385),$AF$2:$AF$1001,0),0), INDEX($AM$1004:$BM$1004,1,MATCH(COLUMNS($AM$1006:AX1006),$AM$1006:$BM$1006,0)))),"Fix")))</f>
        <v xml:space="preserve"> </v>
      </c>
      <c r="N385" s="4" t="str">
        <f ca="1">IF(OR(INDEX($AG$2:$AG$1001,MATCH(ROWS($AF$2:AF385),$AF$2:$AF$1001,0),1)&gt;=100000,INDEX($AM$1005:$BM$1005,1,MATCH(COLUMNS($AM$1006:AY1006),$AM$1006:$BM$1006,0))&gt;=100000), " ",IF(INDEX($AM$2:$BM$1001,MATCH(ROWS($AF$2:AF385),$AF$2:$AF$1001,0),MATCH(COLUMNS($AM$1006:AY1006),$AM$1006:$BM$1006,0)), HYPERLINK("#",""), HYPERLINK(CONCATENATE("#metadata!", ADDRESS(INDEX($AH$2:$AH$1001,MATCH(ROWS($AF$2:AF385),$AF$2:$AF$1001,0),0), INDEX($AM$1004:$BM$1004,1,MATCH(COLUMNS($AM$1006:AY1006),$AM$1006:$BM$1006,0)))),"Fix")))</f>
        <v xml:space="preserve"> </v>
      </c>
      <c r="O385" s="4" t="str">
        <f ca="1">IF(OR(INDEX($AG$2:$AG$1001,MATCH(ROWS($AF$2:AF385),$AF$2:$AF$1001,0),1)&gt;=100000,INDEX($AM$1005:$BM$1005,1,MATCH(COLUMNS($AM$1006:AZ1006),$AM$1006:$BM$1006,0))&gt;=100000), " ",IF(INDEX($AM$2:$BM$1001,MATCH(ROWS($AF$2:AF385),$AF$2:$AF$1001,0),MATCH(COLUMNS($AM$1006:AZ1006),$AM$1006:$BM$1006,0)), HYPERLINK("#",""), HYPERLINK(CONCATENATE("#metadata!", ADDRESS(INDEX($AH$2:$AH$1001,MATCH(ROWS($AF$2:AF385),$AF$2:$AF$1001,0),0), INDEX($AM$1004:$BM$1004,1,MATCH(COLUMNS($AM$1006:AZ1006),$AM$1006:$BM$1006,0)))),"Fix")))</f>
        <v xml:space="preserve"> </v>
      </c>
      <c r="P385" s="4" t="str">
        <f ca="1">IF(OR(INDEX($AG$2:$AG$1001,MATCH(ROWS($AF$2:AF385),$AF$2:$AF$1001,0),1)&gt;=100000,INDEX($AM$1005:$BM$1005,1,MATCH(COLUMNS($AM$1006:BA1006),$AM$1006:$BM$1006,0))&gt;=100000), " ",IF(INDEX($AM$2:$BM$1001,MATCH(ROWS($AF$2:AF385),$AF$2:$AF$1001,0),MATCH(COLUMNS($AM$1006:BA1006),$AM$1006:$BM$1006,0)), HYPERLINK("#",""), HYPERLINK(CONCATENATE("#metadata!", ADDRESS(INDEX($AH$2:$AH$1001,MATCH(ROWS($AF$2:AF385),$AF$2:$AF$1001,0),0), INDEX($AM$1004:$BM$1004,1,MATCH(COLUMNS($AM$1006:BA1006),$AM$1006:$BM$1006,0)))),"Fix")))</f>
        <v xml:space="preserve"> </v>
      </c>
      <c r="Q385" s="4" t="str">
        <f ca="1">IF(OR(INDEX($AG$2:$AG$1001,MATCH(ROWS($AF$2:AF385),$AF$2:$AF$1001,0),1)&gt;=100000,INDEX($AM$1005:$BM$1005,1,MATCH(COLUMNS($AM$1006:BB1006),$AM$1006:$BM$1006,0))&gt;=100000), " ",IF(INDEX($AM$2:$BM$1001,MATCH(ROWS($AF$2:AF385),$AF$2:$AF$1001,0),MATCH(COLUMNS($AM$1006:BB1006),$AM$1006:$BM$1006,0)), HYPERLINK("#",""), HYPERLINK(CONCATENATE("#metadata!", ADDRESS(INDEX($AH$2:$AH$1001,MATCH(ROWS($AF$2:AF385),$AF$2:$AF$1001,0),0), INDEX($AM$1004:$BM$1004,1,MATCH(COLUMNS($AM$1006:BB1006),$AM$1006:$BM$1006,0)))),"Fix")))</f>
        <v xml:space="preserve"> </v>
      </c>
      <c r="R385" s="4" t="str">
        <f ca="1">IF(OR(INDEX($AG$2:$AG$1001,MATCH(ROWS($AF$2:AF385),$AF$2:$AF$1001,0),1)&gt;=100000,INDEX($AM$1005:$BM$1005,1,MATCH(COLUMNS($AM$1006:BC1006),$AM$1006:$BM$1006,0))&gt;=100000), " ",IF(INDEX($AM$2:$BM$1001,MATCH(ROWS($AF$2:AF385),$AF$2:$AF$1001,0),MATCH(COLUMNS($AM$1006:BC1006),$AM$1006:$BM$1006,0)), HYPERLINK("#",""), HYPERLINK(CONCATENATE("#metadata!", ADDRESS(INDEX($AH$2:$AH$1001,MATCH(ROWS($AF$2:AF385),$AF$2:$AF$1001,0),0), INDEX($AM$1004:$BM$1004,1,MATCH(COLUMNS($AM$1006:BC1006),$AM$1006:$BM$1006,0)))),"Fix")))</f>
        <v xml:space="preserve"> </v>
      </c>
      <c r="S385" s="4" t="str">
        <f ca="1">IF(OR(INDEX($AG$2:$AG$1001,MATCH(ROWS($AF$2:AF385),$AF$2:$AF$1001,0),1)&gt;=100000,INDEX($AM$1005:$BM$1005,1,MATCH(COLUMNS($AM$1006:BD1006),$AM$1006:$BM$1006,0))&gt;=100000), " ",IF(INDEX($AM$2:$BM$1001,MATCH(ROWS($AF$2:AF385),$AF$2:$AF$1001,0),MATCH(COLUMNS($AM$1006:BD1006),$AM$1006:$BM$1006,0)), HYPERLINK("#",""), HYPERLINK(CONCATENATE("#metadata!", ADDRESS(INDEX($AH$2:$AH$1001,MATCH(ROWS($AF$2:AF385),$AF$2:$AF$1001,0),0), INDEX($AM$1004:$BM$1004,1,MATCH(COLUMNS($AM$1006:BD1006),$AM$1006:$BM$1006,0)))),"Fix")))</f>
        <v xml:space="preserve"> </v>
      </c>
      <c r="T385" s="4" t="str">
        <f ca="1">IF(OR(INDEX($AG$2:$AG$1001,MATCH(ROWS($AF$2:AF385),$AF$2:$AF$1001,0),1)&gt;=100000,INDEX($AM$1005:$BM$1005,1,MATCH(COLUMNS($AM$1006:BE1006),$AM$1006:$BM$1006,0))&gt;=100000), " ",IF(INDEX($AM$2:$BM$1001,MATCH(ROWS($AF$2:AF385),$AF$2:$AF$1001,0),MATCH(COLUMNS($AM$1006:BE1006),$AM$1006:$BM$1006,0)), HYPERLINK("#",""), HYPERLINK(CONCATENATE("#metadata!", ADDRESS(INDEX($AH$2:$AH$1001,MATCH(ROWS($AF$2:AF385),$AF$2:$AF$1001,0),0), INDEX($AM$1004:$BM$1004,1,MATCH(COLUMNS($AM$1006:BE1006),$AM$1006:$BM$1006,0)))),"Fix")))</f>
        <v xml:space="preserve"> </v>
      </c>
      <c r="U385" s="4" t="str">
        <f ca="1">IF(OR(INDEX($AG$2:$AG$1001,MATCH(ROWS($AF$2:AF385),$AF$2:$AF$1001,0),1)&gt;=100000,INDEX($AM$1005:$BM$1005,1,MATCH(COLUMNS($AM$1006:BF1006),$AM$1006:$BM$1006,0))&gt;=100000), " ",IF(INDEX($AM$2:$BM$1001,MATCH(ROWS($AF$2:AF385),$AF$2:$AF$1001,0),MATCH(COLUMNS($AM$1006:BF1006),$AM$1006:$BM$1006,0)), HYPERLINK("#",""), HYPERLINK(CONCATENATE("#metadata!", ADDRESS(INDEX($AH$2:$AH$1001,MATCH(ROWS($AF$2:AF385),$AF$2:$AF$1001,0),0), INDEX($AM$1004:$BM$1004,1,MATCH(COLUMNS($AM$1006:BF1006),$AM$1006:$BM$1006,0)))),"Fix")))</f>
        <v xml:space="preserve"> </v>
      </c>
      <c r="V385" s="4" t="str">
        <f ca="1">IF(OR(INDEX($AG$2:$AG$1001,MATCH(ROWS($AF$2:AF385),$AF$2:$AF$1001,0),1)&gt;=100000,INDEX($AM$1005:$BM$1005,1,MATCH(COLUMNS($AM$1006:BG1006),$AM$1006:$BM$1006,0))&gt;=100000), " ",IF(INDEX($AM$2:$BM$1001,MATCH(ROWS($AF$2:AF385),$AF$2:$AF$1001,0),MATCH(COLUMNS($AM$1006:BG1006),$AM$1006:$BM$1006,0)), HYPERLINK("#",""), HYPERLINK(CONCATENATE("#metadata!", ADDRESS(INDEX($AH$2:$AH$1001,MATCH(ROWS($AF$2:AF385),$AF$2:$AF$1001,0),0), INDEX($AM$1004:$BM$1004,1,MATCH(COLUMNS($AM$1006:BG1006),$AM$1006:$BM$1006,0)))),"Fix")))</f>
        <v xml:space="preserve"> </v>
      </c>
      <c r="W385" s="4" t="str">
        <f ca="1">IF(OR(INDEX($AG$2:$AG$1001,MATCH(ROWS($AF$2:AF385),$AF$2:$AF$1001,0),1)&gt;=100000,INDEX($AM$1005:$BM$1005,1,MATCH(COLUMNS($AM$1006:BH1006),$AM$1006:$BM$1006,0))&gt;=100000), " ",IF(INDEX($AM$2:$BM$1001,MATCH(ROWS($AF$2:AF385),$AF$2:$AF$1001,0),MATCH(COLUMNS($AM$1006:BH1006),$AM$1006:$BM$1006,0)), HYPERLINK("#",""), HYPERLINK(CONCATENATE("#metadata!", ADDRESS(INDEX($AH$2:$AH$1001,MATCH(ROWS($AF$2:AF385),$AF$2:$AF$1001,0),0), INDEX($AM$1004:$BM$1004,1,MATCH(COLUMNS($AM$1006:BH1006),$AM$1006:$BM$1006,0)))),"Fix")))</f>
        <v xml:space="preserve"> </v>
      </c>
      <c r="X385" s="4" t="str">
        <f ca="1">IF(OR(INDEX($AG$2:$AG$1001,MATCH(ROWS($AF$2:AF385),$AF$2:$AF$1001,0),1)&gt;=100000,INDEX($AM$1005:$BM$1005,1,MATCH(COLUMNS($AM$1006:BI1006),$AM$1006:$BM$1006,0))&gt;=100000), " ",IF(INDEX($AM$2:$BM$1001,MATCH(ROWS($AF$2:AF385),$AF$2:$AF$1001,0),MATCH(COLUMNS($AM$1006:BI1006),$AM$1006:$BM$1006,0)), HYPERLINK("#",""), HYPERLINK(CONCATENATE("#metadata!", ADDRESS(INDEX($AH$2:$AH$1001,MATCH(ROWS($AF$2:AF385),$AF$2:$AF$1001,0),0), INDEX($AM$1004:$BM$1004,1,MATCH(COLUMNS($AM$1006:BI1006),$AM$1006:$BM$1006,0)))),"Fix")))</f>
        <v xml:space="preserve"> </v>
      </c>
      <c r="Y385" s="4" t="str">
        <f ca="1">IF(OR(INDEX($AG$2:$AG$1001,MATCH(ROWS($AF$2:AF385),$AF$2:$AF$1001,0),1)&gt;=100000,INDEX($AM$1005:$BM$1005,1,MATCH(COLUMNS($AM$1006:BJ1006),$AM$1006:$BM$1006,0))&gt;=100000), " ",IF(INDEX($AM$2:$BM$1001,MATCH(ROWS($AF$2:AF385),$AF$2:$AF$1001,0),MATCH(COLUMNS($AM$1006:BJ1006),$AM$1006:$BM$1006,0)), HYPERLINK("#",""), HYPERLINK(CONCATENATE("#metadata!", ADDRESS(INDEX($AH$2:$AH$1001,MATCH(ROWS($AF$2:AF385),$AF$2:$AF$1001,0),0), INDEX($AM$1004:$BM$1004,1,MATCH(COLUMNS($AM$1006:BJ1006),$AM$1006:$BM$1006,0)))),"Fix")))</f>
        <v xml:space="preserve"> </v>
      </c>
      <c r="Z385" s="4" t="str">
        <f ca="1">IF(OR(INDEX($AG$2:$AG$1001,MATCH(ROWS($AF$2:AF385),$AF$2:$AF$1001,0),1)&gt;=100000,INDEX($AM$1005:$BM$1005,1,MATCH(COLUMNS($AM$1006:BK1006),$AM$1006:$BM$1006,0))&gt;=100000), " ",IF(INDEX($AM$2:$BM$1001,MATCH(ROWS($AF$2:AF385),$AF$2:$AF$1001,0),MATCH(COLUMNS($AM$1006:BK1006),$AM$1006:$BM$1006,0)), HYPERLINK("#",""), HYPERLINK(CONCATENATE("#metadata!", ADDRESS(INDEX($AH$2:$AH$1001,MATCH(ROWS($AF$2:AF385),$AF$2:$AF$1001,0),0), INDEX($AM$1004:$BM$1004,1,MATCH(COLUMNS($AM$1006:BK1006),$AM$1006:$BM$1006,0)))),"Fix")))</f>
        <v xml:space="preserve"> </v>
      </c>
      <c r="AA385" s="4" t="str">
        <f ca="1">IF(OR(INDEX($AG$2:$AG$1001,MATCH(ROWS($AF$2:AF385),$AF$2:$AF$1001,0),1)&gt;=100000,INDEX($AM$1005:$BM$1005,1,MATCH(COLUMNS($AM$1006:BL1006),$AM$1006:$BM$1006,0))&gt;=100000), " ",IF(INDEX($AM$2:$BM$1001,MATCH(ROWS($AF$2:AF385),$AF$2:$AF$1001,0),MATCH(COLUMNS($AM$1006:BL1006),$AM$1006:$BM$1006,0)), HYPERLINK("#",""), HYPERLINK(CONCATENATE("#metadata!", ADDRESS(INDEX($AH$2:$AH$1001,MATCH(ROWS($AF$2:AF385),$AF$2:$AF$1001,0),0), INDEX($AM$1004:$BM$1004,1,MATCH(COLUMNS($AM$1006:BL1006),$AM$1006:$BM$1006,0)))),"Fix")))</f>
        <v xml:space="preserve"> </v>
      </c>
      <c r="AB385" s="4" t="str">
        <f ca="1">IF(OR(INDEX($AG$2:$AG$1001,MATCH(ROWS($AF$2:AF385),$AF$2:$AF$1001,0),1)&gt;=100000,INDEX($AM$1005:$BM$1005,1,MATCH(COLUMNS($AM$1006:BM1006),$AM$1006:$BM$1006,0))&gt;=100000), " ",IF(INDEX($AM$2:$BM$1001,MATCH(ROWS($AF$2:AF385),$AF$2:$AF$1001,0),MATCH(COLUMNS($AM$1006:BM1006),$AM$1006:$BM$1006,0)), HYPERLINK("#",""), HYPERLINK(CONCATENATE("#metadata!", ADDRESS(INDEX($AH$2:$AH$1001,MATCH(ROWS($AF$2:AF385),$AF$2:$AF$1001,0),0), INDEX($AM$1004:$BM$1004,1,MATCH(COLUMNS($AM$1006:BM1006),$AM$1006:$BM$1006,0)))),"Fix")))</f>
        <v xml:space="preserve"> </v>
      </c>
      <c r="AF385">
        <v>384</v>
      </c>
      <c r="AG385">
        <v>100385</v>
      </c>
      <c r="AH385">
        <v>385</v>
      </c>
      <c r="AI385" t="b">
        <f t="shared" si="5"/>
        <v>1</v>
      </c>
      <c r="AJ385" t="b">
        <f>COUNTBLANK(metadata!B385:AB385)=COLUMNS(metadata!B385:AB385)</f>
        <v>1</v>
      </c>
      <c r="AK385" t="str">
        <v/>
      </c>
      <c r="AM385" t="b">
        <f ca="1">AND(IF(metadata!B385="",FALSE,TRUE),COUNTIF(metadata!B:B, metadata!B385) = 1,NOT(ISERROR(SUMPRODUCT(SEARCH(MID(metadata!B385,ROW(INDIRECT("1:"&amp;LEN(metadata!B385))), 1),"0123456789abcdefghijklmnopqrstuvwxyzABCDEFGHIJKLMNOPQRSTUVWXYZ.")))))</f>
        <v>0</v>
      </c>
      <c r="AN385" t="b">
        <f ca="1">OR(AND(IF(metadata!C385="",FALSE,TRUE),OR(EXACT(metadata!C385,"missing: not collected"),EXACT(metadata!C385,"missing: not provided"),EXACT(metadata!C385,"missing: restricted access"))),AND(IF(metadata!C385="",FALSE,TRUE),AND(AND(IFERROR(INT(LEFT(metadata!C385,4))&gt;1900,FALSE),IFERROR(INT(LEFT(metadata!C385,4))&lt;=YEAR(NOW()),FALSE)), OR(MID(metadata!C385,5,1)="", AND(AND(MID(metadata!C385,5,1)="-",IFERROR(INT(MID(metadata!C385,6,1))&gt;=0,FALSE),IFERROR(INT(MID(metadata!C385,6,1))&lt;=1,FALSE),NOT(MID(metadata!C385,7,1)=""),IFERROR(INT(MID(metadata!C385,6,2))&gt;=1,FALSE),IFERROR(INT(MID(metadata!C385,6,2))&lt;=12,FALSE)), OR(MID(metadata!C385,8,1)="", AND(AND(MID(metadata!C385,8,1)="-",IFERROR(INT(MID(metadata!C385,9,1))&gt;=0,FALSE),IFERROR(INT(MID(metadata!C385,9,1))&lt;=3,FALSE),NOT(MID(metadata!C385,10,1)=""),IFERROR(INT(MID(metadata!C385,9,2))&gt;=1,FALSE),IFERROR(INT(MID(metadata!C385,9,2))&lt;=31,FALSE)), OR(MID(metadata!C385,11,1)="", AND(AND(MID(metadata!C385,11,1)=" ",IFERROR(INT(MID(metadata!C385,12,1))&gt;=0,FALSE),IFERROR(INT(MID(metadata!C385,12,1))&lt;=2,FALSE),NOT(MID(metadata!C385,13,1)=""),IFERROR(INT(MID(metadata!C385,12,2))&gt;=0,FALSE),IFERROR(INT(MID(metadata!C385,12,2))&lt;=23,FALSE)), OR(MID(metadata!C385,14,1)="", AND(AND(MID(metadata!C385,14,1)=":",IFERROR(INT(MID(metadata!C385,15,1))&gt;=0,FALSE),IFERROR(INT(MID(metadata!C385,15,1))&lt;=5,FALSE),NOT(MID(metadata!C385,16,1)=""),IFERROR(INT(MID(metadata!C385,15,2))&gt;=0,FALSE),IFERROR(INT(MID(metadata!C385,15,2))&lt;=59,FALSE)), OR(MID(metadata!C385,17,1)="", AND(AND(MID(metadata!C385,17,1)=":",IFERROR(INT(MID(metadata!C385,18,1))&gt;=0,FALSE),IFERROR(INT(MID(metadata!C385,18,1))&lt;=5,FALSE),NOT(MID(metadata!C385,19,1)=""),IFERROR(INT(MID(metadata!C385,18,2))&gt;=0,FALSE),IFERROR(INT(MID(metadata!C385,18,2))&lt;=59,FALSE)), LEN(metadata!C385)&lt;=19)))))))))))))</f>
        <v>0</v>
      </c>
      <c r="AO385" t="b">
        <f>AND(IF(metadata!D385="",FALSE,TRUE),EXACT(metadata!D385,"Not applicable"))</f>
        <v>0</v>
      </c>
      <c r="AP385" t="b">
        <f>IF(metadata!E385="",FALSE,TRUE)</f>
        <v>0</v>
      </c>
      <c r="AQ385" t="b">
        <f>OR(AND(IF(metadata!F385="",FALSE,TRUE),OR(EXACT(metadata!F385,"missing: not collected"),EXACT(metadata!F385,"missing: not provided"))),AND(IF(metadata!F385="",FALSE,TRUE),OR(EXACT(metadata!F385,"TRUE"),EXACT(metadata!F385,"FALSE"))))</f>
        <v>0</v>
      </c>
      <c r="AR385" t="b">
        <f>OR(AND(IF(metadata!G385="",FALSE,TRUE),OR(EXACT(metadata!G385,"missing: not collected"),EXACT(metadata!G385,"missing: not provided"),EXACT(metadata!G385,"missing: restricted access"))),AND(IF(metadata!G385="",FALSE,ISNUMBER(VALUE(metadata!G385))),metadata!G385&gt;=-413))</f>
        <v>0</v>
      </c>
      <c r="AS385" t="b">
        <f>AND(IF(metadata!H385="",FALSE,TRUE),EXACT(metadata!H385,"meters"))</f>
        <v>0</v>
      </c>
      <c r="AT385" t="b">
        <f>AND(IF(metadata!I385="",FALSE,TRUE),OR(EXACT(metadata!I385,"Host-associated"),EXACT(metadata!I385,"Free-living")))</f>
        <v>0</v>
      </c>
      <c r="AU385" t="b">
        <f>AND(IF(metadata!J385="",FALSE,TRUE),OR(EXACT(metadata!J385,"Animal"),EXACT(metadata!J385,"Fungus"),EXACT(metadata!J385,"Plant"),EXACT(metadata!J385,"Saline"),EXACT(metadata!J385,"Non-saline")))</f>
        <v>0</v>
      </c>
      <c r="AV385" t="b">
        <f>AND(IF(metadata!K385="",FALSE,TRUE),OR(EXACT(metadata!K385,"Plant secretion"),EXACT(metadata!K385,"Plant rhizosphere"),EXACT(metadata!K385,"Plant surface"),EXACT(metadata!K385,"Plant corpus"),EXACT(metadata!K385,"Fungus surface"),EXACT(metadata!K385,"Fungus corpus"),EXACT(metadata!K385,"Animal surface"),EXACT(metadata!K385,"Animal proximal gut"),EXACT(metadata!K385,"Animal corpus"),EXACT(metadata!K385,"Animal distal gut"),EXACT(metadata!K385,"Animal secretion"),EXACT(metadata!K385,"Sub-surface (non-saline)"),EXACT(metadata!K385,"Surface (non-saline)"),EXACT(metadata!K385,"Water (non-saline)"),EXACT(metadata!K385,"Soil (non-saline)"),EXACT(metadata!K385,"Aerosol (non-saline)"),EXACT(metadata!K385,"Sediment (non-saline)"),EXACT(metadata!K385,"Surface (saline)"),EXACT(metadata!K385,"Water (saline)"),EXACT(metadata!K385,"Hypersaline (saline)"),EXACT(metadata!K385,"Aerosol (saline)"),EXACT(metadata!K385,"Sediment (saline)")))</f>
        <v>0</v>
      </c>
      <c r="AW385" t="b">
        <f>IF(metadata!L385="",FALSE,TRUE)</f>
        <v>0</v>
      </c>
      <c r="AX385" t="b">
        <f>IF(metadata!M385="",FALSE,TRUE)</f>
        <v>0</v>
      </c>
      <c r="AY385" t="b">
        <f>IF(metadata!N385="",FALSE,TRUE)</f>
        <v>0</v>
      </c>
      <c r="AZ385" t="b">
        <f>OR(AND(IF(metadata!O385="",FALSE,TRUE),OR(EXACT(metadata!O385,"missing: not collected"),EXACT(metadata!O385,"missing: not provided"),EXACT(metadata!O385,"missing: restricted access"))),AND(IF(metadata!O385="",FALSE,TRUE),OR(EXACT(metadata!O385,"air"),EXACT(metadata!O385,"built environment"),EXACT(metadata!O385,"host-associated"),EXACT(metadata!O385,"human-associated"),EXACT(metadata!O385,"human-skin"),EXACT(metadata!O385,"human-oral"),EXACT(metadata!O385,"human-gut"),EXACT(metadata!O385,"human-vaginal"),EXACT(metadata!O385,"microbial mat/biofilm"),EXACT(metadata!O385,"misc environment"),EXACT(metadata!O385,"plant-associated"),EXACT(metadata!O385,"sediment"),EXACT(metadata!O385,"soil"),EXACT(metadata!O385,"wastewater/sludge"),EXACT(metadata!O385,"water"))))</f>
        <v>0</v>
      </c>
      <c r="BA385" t="b">
        <f>IF(metadata!P385="",FALSE,TRUE)</f>
        <v>0</v>
      </c>
      <c r="BB385" t="b">
        <f>IF(metadata!Q385="",FALSE,TRUE)</f>
        <v>0</v>
      </c>
      <c r="BC385" t="b">
        <f>OR(AND(IF(metadata!R385="",FALSE,TRUE),OR(EXACT(metadata!R385,"missing: not collected"),EXACT(metadata!R385,"missing: not provided"),EXACT(metadata!R385,"missing: restricted access"))),AND(IF(metadata!R385="",FALSE,ISNUMBER(VALUE(metadata!R385))),metadata!R385&gt;=-90,metadata!R385&lt;=90))</f>
        <v>0</v>
      </c>
      <c r="BD385" t="b">
        <f>AND(IF(metadata!S385="",FALSE,TRUE),EXACT(metadata!S385,"Decimal degrees"))</f>
        <v>0</v>
      </c>
      <c r="BE385" t="b">
        <f>OR(AND(IF(metadata!T385="",FALSE,TRUE),OR(EXACT(metadata!T385,"missing: not collected"),EXACT(metadata!T385,"missing: not provided"),EXACT(metadata!T385,"missing: restricted access"))),AND(IF(metadata!T385="",FALSE,ISNUMBER(VALUE(metadata!T385))),metadata!T385&gt;=-180,metadata!T385&lt;=180))</f>
        <v>0</v>
      </c>
      <c r="BF385" t="b">
        <f>AND(IF(metadata!U385="",FALSE,TRUE),EXACT(metadata!U385,"Decimal degrees"))</f>
        <v>0</v>
      </c>
      <c r="BG385" t="b">
        <f>IF(metadata!V385="",FALSE,TRUE)</f>
        <v>0</v>
      </c>
      <c r="BH385" t="b">
        <f>OR(AND(IF(metadata!W385="",FALSE,TRUE),OR(EXACT(metadata!W385,"missing: not collected"),EXACT(metadata!W385,"missing: not provided"),EXACT(metadata!W385,"missing: restricted access"))),AND(IF(metadata!W385="",FALSE,TRUE),OR(EXACT(metadata!W385,"TRUE"),EXACT(metadata!W385,"FALSE"))))</f>
        <v>0</v>
      </c>
      <c r="BI385" t="b">
        <f>AND(IF(metadata!X385="",FALSE,TRUE),EXACT(metadata!X385,"other"))</f>
        <v>0</v>
      </c>
      <c r="BJ385" t="b">
        <f>IF(metadata!Y385="",FALSE,TRUE)</f>
        <v>0</v>
      </c>
      <c r="BK385" t="b">
        <f>OR(AND(IF(metadata!Z385="",FALSE,TRUE),OR(EXACT(metadata!Z385,"missing: not collected"),EXACT(metadata!Z385,"missing: not provided"))),AND(IF(metadata!Z385="",FALSE,IF(ISERROR(INT(metadata!Z385)),FALSE,INT(metadata!Z385)=metadata!Z385)),metadata!Z385&gt;0))</f>
        <v>0</v>
      </c>
      <c r="BL385" t="b">
        <f>AND(IF(metadata!AA385="",FALSE,TRUE),EXACT(metadata!AA385,"Not applicable"))</f>
        <v>0</v>
      </c>
      <c r="BM385" t="b">
        <f>IF(metadata!AB385="",FALSE,TRUE)</f>
        <v>0</v>
      </c>
    </row>
    <row r="386" spans="1:65" x14ac:dyDescent="0.2">
      <c r="A386" s="5" t="str">
        <f ca="1">IF(B386=" "," ",HYPERLINK(CONCATENATE("#metadata!",ADDRESS(INDEX($AH$2:$AH$1001,MATCH(ROWS($AF$2:AF386),$AF$2:$AF$1001,0),0),1)),INDEX($AK$2:$AK$1001,MATCH(ROWS($AF$2:AF386),$AF$2:$AF$1001,0),0)))</f>
        <v xml:space="preserve"> </v>
      </c>
      <c r="B386" s="4" t="str">
        <f ca="1">IF(OR(INDEX($AG$2:$AG$1001,MATCH(ROWS($AF$2:AF386),$AF$2:$AF$1001,0),1)&gt;=100000,INDEX($AM$1005:$BM$1005,1,MATCH(COLUMNS($AM$1006:AM1006),$AM$1006:$BM$1006,0))&gt;=100000), " ",IF(INDEX($AM$2:$BM$1001,MATCH(ROWS($AF$2:AF386),$AF$2:$AF$1001,0),MATCH(COLUMNS($AM$1006:AM1006),$AM$1006:$BM$1006,0)), HYPERLINK("#",""), HYPERLINK(CONCATENATE("#metadata!", ADDRESS(INDEX($AH$2:$AH$1001,MATCH(ROWS($AF$2:AF386),$AF$2:$AF$1001,0),0), INDEX($AM$1004:$BM$1004,1,MATCH(COLUMNS($AM$1006:AM1006),$AM$1006:$BM$1006,0)))),"Fix")))</f>
        <v xml:space="preserve"> </v>
      </c>
      <c r="C386" s="4" t="str">
        <f ca="1">IF(OR(INDEX($AG$2:$AG$1001,MATCH(ROWS($AF$2:AF386),$AF$2:$AF$1001,0),1)&gt;=100000,INDEX($AM$1005:$BM$1005,1,MATCH(COLUMNS($AM$1006:AN1006),$AM$1006:$BM$1006,0))&gt;=100000), " ",IF(INDEX($AM$2:$BM$1001,MATCH(ROWS($AF$2:AF386),$AF$2:$AF$1001,0),MATCH(COLUMNS($AM$1006:AN1006),$AM$1006:$BM$1006,0)), HYPERLINK("#",""), HYPERLINK(CONCATENATE("#metadata!", ADDRESS(INDEX($AH$2:$AH$1001,MATCH(ROWS($AF$2:AF386),$AF$2:$AF$1001,0),0), INDEX($AM$1004:$BM$1004,1,MATCH(COLUMNS($AM$1006:AN1006),$AM$1006:$BM$1006,0)))),"Fix")))</f>
        <v xml:space="preserve"> </v>
      </c>
      <c r="D386" s="4" t="str">
        <f ca="1">IF(OR(INDEX($AG$2:$AG$1001,MATCH(ROWS($AF$2:AF386),$AF$2:$AF$1001,0),1)&gt;=100000,INDEX($AM$1005:$BM$1005,1,MATCH(COLUMNS($AM$1006:AO1006),$AM$1006:$BM$1006,0))&gt;=100000), " ",IF(INDEX($AM$2:$BM$1001,MATCH(ROWS($AF$2:AF386),$AF$2:$AF$1001,0),MATCH(COLUMNS($AM$1006:AO1006),$AM$1006:$BM$1006,0)), HYPERLINK("#",""), HYPERLINK(CONCATENATE("#metadata!", ADDRESS(INDEX($AH$2:$AH$1001,MATCH(ROWS($AF$2:AF386),$AF$2:$AF$1001,0),0), INDEX($AM$1004:$BM$1004,1,MATCH(COLUMNS($AM$1006:AO1006),$AM$1006:$BM$1006,0)))),"Fix")))</f>
        <v xml:space="preserve"> </v>
      </c>
      <c r="E386" s="4" t="str">
        <f ca="1">IF(OR(INDEX($AG$2:$AG$1001,MATCH(ROWS($AF$2:AF386),$AF$2:$AF$1001,0),1)&gt;=100000,INDEX($AM$1005:$BM$1005,1,MATCH(COLUMNS($AM$1006:AP1006),$AM$1006:$BM$1006,0))&gt;=100000), " ",IF(INDEX($AM$2:$BM$1001,MATCH(ROWS($AF$2:AF386),$AF$2:$AF$1001,0),MATCH(COLUMNS($AM$1006:AP1006),$AM$1006:$BM$1006,0)), HYPERLINK("#",""), HYPERLINK(CONCATENATE("#metadata!", ADDRESS(INDEX($AH$2:$AH$1001,MATCH(ROWS($AF$2:AF386),$AF$2:$AF$1001,0),0), INDEX($AM$1004:$BM$1004,1,MATCH(COLUMNS($AM$1006:AP1006),$AM$1006:$BM$1006,0)))),"Fix")))</f>
        <v xml:space="preserve"> </v>
      </c>
      <c r="F386" s="4" t="str">
        <f ca="1">IF(OR(INDEX($AG$2:$AG$1001,MATCH(ROWS($AF$2:AF386),$AF$2:$AF$1001,0),1)&gt;=100000,INDEX($AM$1005:$BM$1005,1,MATCH(COLUMNS($AM$1006:AQ1006),$AM$1006:$BM$1006,0))&gt;=100000), " ",IF(INDEX($AM$2:$BM$1001,MATCH(ROWS($AF$2:AF386),$AF$2:$AF$1001,0),MATCH(COLUMNS($AM$1006:AQ1006),$AM$1006:$BM$1006,0)), HYPERLINK("#",""), HYPERLINK(CONCATENATE("#metadata!", ADDRESS(INDEX($AH$2:$AH$1001,MATCH(ROWS($AF$2:AF386),$AF$2:$AF$1001,0),0), INDEX($AM$1004:$BM$1004,1,MATCH(COLUMNS($AM$1006:AQ1006),$AM$1006:$BM$1006,0)))),"Fix")))</f>
        <v xml:space="preserve"> </v>
      </c>
      <c r="G386" s="4" t="str">
        <f ca="1">IF(OR(INDEX($AG$2:$AG$1001,MATCH(ROWS($AF$2:AF386),$AF$2:$AF$1001,0),1)&gt;=100000,INDEX($AM$1005:$BM$1005,1,MATCH(COLUMNS($AM$1006:AR1006),$AM$1006:$BM$1006,0))&gt;=100000), " ",IF(INDEX($AM$2:$BM$1001,MATCH(ROWS($AF$2:AF386),$AF$2:$AF$1001,0),MATCH(COLUMNS($AM$1006:AR1006),$AM$1006:$BM$1006,0)), HYPERLINK("#",""), HYPERLINK(CONCATENATE("#metadata!", ADDRESS(INDEX($AH$2:$AH$1001,MATCH(ROWS($AF$2:AF386),$AF$2:$AF$1001,0),0), INDEX($AM$1004:$BM$1004,1,MATCH(COLUMNS($AM$1006:AR1006),$AM$1006:$BM$1006,0)))),"Fix")))</f>
        <v xml:space="preserve"> </v>
      </c>
      <c r="H386" s="4" t="str">
        <f ca="1">IF(OR(INDEX($AG$2:$AG$1001,MATCH(ROWS($AF$2:AF386),$AF$2:$AF$1001,0),1)&gt;=100000,INDEX($AM$1005:$BM$1005,1,MATCH(COLUMNS($AM$1006:AS1006),$AM$1006:$BM$1006,0))&gt;=100000), " ",IF(INDEX($AM$2:$BM$1001,MATCH(ROWS($AF$2:AF386),$AF$2:$AF$1001,0),MATCH(COLUMNS($AM$1006:AS1006),$AM$1006:$BM$1006,0)), HYPERLINK("#",""), HYPERLINK(CONCATENATE("#metadata!", ADDRESS(INDEX($AH$2:$AH$1001,MATCH(ROWS($AF$2:AF386),$AF$2:$AF$1001,0),0), INDEX($AM$1004:$BM$1004,1,MATCH(COLUMNS($AM$1006:AS1006),$AM$1006:$BM$1006,0)))),"Fix")))</f>
        <v xml:space="preserve"> </v>
      </c>
      <c r="I386" s="4" t="str">
        <f ca="1">IF(OR(INDEX($AG$2:$AG$1001,MATCH(ROWS($AF$2:AF386),$AF$2:$AF$1001,0),1)&gt;=100000,INDEX($AM$1005:$BM$1005,1,MATCH(COLUMNS($AM$1006:AT1006),$AM$1006:$BM$1006,0))&gt;=100000), " ",IF(INDEX($AM$2:$BM$1001,MATCH(ROWS($AF$2:AF386),$AF$2:$AF$1001,0),MATCH(COLUMNS($AM$1006:AT1006),$AM$1006:$BM$1006,0)), HYPERLINK("#",""), HYPERLINK(CONCATENATE("#metadata!", ADDRESS(INDEX($AH$2:$AH$1001,MATCH(ROWS($AF$2:AF386),$AF$2:$AF$1001,0),0), INDEX($AM$1004:$BM$1004,1,MATCH(COLUMNS($AM$1006:AT1006),$AM$1006:$BM$1006,0)))),"Fix")))</f>
        <v xml:space="preserve"> </v>
      </c>
      <c r="J386" s="4" t="str">
        <f ca="1">IF(OR(INDEX($AG$2:$AG$1001,MATCH(ROWS($AF$2:AF386),$AF$2:$AF$1001,0),1)&gt;=100000,INDEX($AM$1005:$BM$1005,1,MATCH(COLUMNS($AM$1006:AU1006),$AM$1006:$BM$1006,0))&gt;=100000), " ",IF(INDEX($AM$2:$BM$1001,MATCH(ROWS($AF$2:AF386),$AF$2:$AF$1001,0),MATCH(COLUMNS($AM$1006:AU1006),$AM$1006:$BM$1006,0)), HYPERLINK("#",""), HYPERLINK(CONCATENATE("#metadata!", ADDRESS(INDEX($AH$2:$AH$1001,MATCH(ROWS($AF$2:AF386),$AF$2:$AF$1001,0),0), INDEX($AM$1004:$BM$1004,1,MATCH(COLUMNS($AM$1006:AU1006),$AM$1006:$BM$1006,0)))),"Fix")))</f>
        <v xml:space="preserve"> </v>
      </c>
      <c r="K386" s="4" t="str">
        <f ca="1">IF(OR(INDEX($AG$2:$AG$1001,MATCH(ROWS($AF$2:AF386),$AF$2:$AF$1001,0),1)&gt;=100000,INDEX($AM$1005:$BM$1005,1,MATCH(COLUMNS($AM$1006:AV1006),$AM$1006:$BM$1006,0))&gt;=100000), " ",IF(INDEX($AM$2:$BM$1001,MATCH(ROWS($AF$2:AF386),$AF$2:$AF$1001,0),MATCH(COLUMNS($AM$1006:AV1006),$AM$1006:$BM$1006,0)), HYPERLINK("#",""), HYPERLINK(CONCATENATE("#metadata!", ADDRESS(INDEX($AH$2:$AH$1001,MATCH(ROWS($AF$2:AF386),$AF$2:$AF$1001,0),0), INDEX($AM$1004:$BM$1004,1,MATCH(COLUMNS($AM$1006:AV1006),$AM$1006:$BM$1006,0)))),"Fix")))</f>
        <v xml:space="preserve"> </v>
      </c>
      <c r="L386" s="4" t="str">
        <f ca="1">IF(OR(INDEX($AG$2:$AG$1001,MATCH(ROWS($AF$2:AF386),$AF$2:$AF$1001,0),1)&gt;=100000,INDEX($AM$1005:$BM$1005,1,MATCH(COLUMNS($AM$1006:AW1006),$AM$1006:$BM$1006,0))&gt;=100000), " ",IF(INDEX($AM$2:$BM$1001,MATCH(ROWS($AF$2:AF386),$AF$2:$AF$1001,0),MATCH(COLUMNS($AM$1006:AW1006),$AM$1006:$BM$1006,0)), HYPERLINK("#",""), HYPERLINK(CONCATENATE("#metadata!", ADDRESS(INDEX($AH$2:$AH$1001,MATCH(ROWS($AF$2:AF386),$AF$2:$AF$1001,0),0), INDEX($AM$1004:$BM$1004,1,MATCH(COLUMNS($AM$1006:AW1006),$AM$1006:$BM$1006,0)))),"Fix")))</f>
        <v xml:space="preserve"> </v>
      </c>
      <c r="M386" s="4" t="str">
        <f ca="1">IF(OR(INDEX($AG$2:$AG$1001,MATCH(ROWS($AF$2:AF386),$AF$2:$AF$1001,0),1)&gt;=100000,INDEX($AM$1005:$BM$1005,1,MATCH(COLUMNS($AM$1006:AX1006),$AM$1006:$BM$1006,0))&gt;=100000), " ",IF(INDEX($AM$2:$BM$1001,MATCH(ROWS($AF$2:AF386),$AF$2:$AF$1001,0),MATCH(COLUMNS($AM$1006:AX1006),$AM$1006:$BM$1006,0)), HYPERLINK("#",""), HYPERLINK(CONCATENATE("#metadata!", ADDRESS(INDEX($AH$2:$AH$1001,MATCH(ROWS($AF$2:AF386),$AF$2:$AF$1001,0),0), INDEX($AM$1004:$BM$1004,1,MATCH(COLUMNS($AM$1006:AX1006),$AM$1006:$BM$1006,0)))),"Fix")))</f>
        <v xml:space="preserve"> </v>
      </c>
      <c r="N386" s="4" t="str">
        <f ca="1">IF(OR(INDEX($AG$2:$AG$1001,MATCH(ROWS($AF$2:AF386),$AF$2:$AF$1001,0),1)&gt;=100000,INDEX($AM$1005:$BM$1005,1,MATCH(COLUMNS($AM$1006:AY1006),$AM$1006:$BM$1006,0))&gt;=100000), " ",IF(INDEX($AM$2:$BM$1001,MATCH(ROWS($AF$2:AF386),$AF$2:$AF$1001,0),MATCH(COLUMNS($AM$1006:AY1006),$AM$1006:$BM$1006,0)), HYPERLINK("#",""), HYPERLINK(CONCATENATE("#metadata!", ADDRESS(INDEX($AH$2:$AH$1001,MATCH(ROWS($AF$2:AF386),$AF$2:$AF$1001,0),0), INDEX($AM$1004:$BM$1004,1,MATCH(COLUMNS($AM$1006:AY1006),$AM$1006:$BM$1006,0)))),"Fix")))</f>
        <v xml:space="preserve"> </v>
      </c>
      <c r="O386" s="4" t="str">
        <f ca="1">IF(OR(INDEX($AG$2:$AG$1001,MATCH(ROWS($AF$2:AF386),$AF$2:$AF$1001,0),1)&gt;=100000,INDEX($AM$1005:$BM$1005,1,MATCH(COLUMNS($AM$1006:AZ1006),$AM$1006:$BM$1006,0))&gt;=100000), " ",IF(INDEX($AM$2:$BM$1001,MATCH(ROWS($AF$2:AF386),$AF$2:$AF$1001,0),MATCH(COLUMNS($AM$1006:AZ1006),$AM$1006:$BM$1006,0)), HYPERLINK("#",""), HYPERLINK(CONCATENATE("#metadata!", ADDRESS(INDEX($AH$2:$AH$1001,MATCH(ROWS($AF$2:AF386),$AF$2:$AF$1001,0),0), INDEX($AM$1004:$BM$1004,1,MATCH(COLUMNS($AM$1006:AZ1006),$AM$1006:$BM$1006,0)))),"Fix")))</f>
        <v xml:space="preserve"> </v>
      </c>
      <c r="P386" s="4" t="str">
        <f ca="1">IF(OR(INDEX($AG$2:$AG$1001,MATCH(ROWS($AF$2:AF386),$AF$2:$AF$1001,0),1)&gt;=100000,INDEX($AM$1005:$BM$1005,1,MATCH(COLUMNS($AM$1006:BA1006),$AM$1006:$BM$1006,0))&gt;=100000), " ",IF(INDEX($AM$2:$BM$1001,MATCH(ROWS($AF$2:AF386),$AF$2:$AF$1001,0),MATCH(COLUMNS($AM$1006:BA1006),$AM$1006:$BM$1006,0)), HYPERLINK("#",""), HYPERLINK(CONCATENATE("#metadata!", ADDRESS(INDEX($AH$2:$AH$1001,MATCH(ROWS($AF$2:AF386),$AF$2:$AF$1001,0),0), INDEX($AM$1004:$BM$1004,1,MATCH(COLUMNS($AM$1006:BA1006),$AM$1006:$BM$1006,0)))),"Fix")))</f>
        <v xml:space="preserve"> </v>
      </c>
      <c r="Q386" s="4" t="str">
        <f ca="1">IF(OR(INDEX($AG$2:$AG$1001,MATCH(ROWS($AF$2:AF386),$AF$2:$AF$1001,0),1)&gt;=100000,INDEX($AM$1005:$BM$1005,1,MATCH(COLUMNS($AM$1006:BB1006),$AM$1006:$BM$1006,0))&gt;=100000), " ",IF(INDEX($AM$2:$BM$1001,MATCH(ROWS($AF$2:AF386),$AF$2:$AF$1001,0),MATCH(COLUMNS($AM$1006:BB1006),$AM$1006:$BM$1006,0)), HYPERLINK("#",""), HYPERLINK(CONCATENATE("#metadata!", ADDRESS(INDEX($AH$2:$AH$1001,MATCH(ROWS($AF$2:AF386),$AF$2:$AF$1001,0),0), INDEX($AM$1004:$BM$1004,1,MATCH(COLUMNS($AM$1006:BB1006),$AM$1006:$BM$1006,0)))),"Fix")))</f>
        <v xml:space="preserve"> </v>
      </c>
      <c r="R386" s="4" t="str">
        <f ca="1">IF(OR(INDEX($AG$2:$AG$1001,MATCH(ROWS($AF$2:AF386),$AF$2:$AF$1001,0),1)&gt;=100000,INDEX($AM$1005:$BM$1005,1,MATCH(COLUMNS($AM$1006:BC1006),$AM$1006:$BM$1006,0))&gt;=100000), " ",IF(INDEX($AM$2:$BM$1001,MATCH(ROWS($AF$2:AF386),$AF$2:$AF$1001,0),MATCH(COLUMNS($AM$1006:BC1006),$AM$1006:$BM$1006,0)), HYPERLINK("#",""), HYPERLINK(CONCATENATE("#metadata!", ADDRESS(INDEX($AH$2:$AH$1001,MATCH(ROWS($AF$2:AF386),$AF$2:$AF$1001,0),0), INDEX($AM$1004:$BM$1004,1,MATCH(COLUMNS($AM$1006:BC1006),$AM$1006:$BM$1006,0)))),"Fix")))</f>
        <v xml:space="preserve"> </v>
      </c>
      <c r="S386" s="4" t="str">
        <f ca="1">IF(OR(INDEX($AG$2:$AG$1001,MATCH(ROWS($AF$2:AF386),$AF$2:$AF$1001,0),1)&gt;=100000,INDEX($AM$1005:$BM$1005,1,MATCH(COLUMNS($AM$1006:BD1006),$AM$1006:$BM$1006,0))&gt;=100000), " ",IF(INDEX($AM$2:$BM$1001,MATCH(ROWS($AF$2:AF386),$AF$2:$AF$1001,0),MATCH(COLUMNS($AM$1006:BD1006),$AM$1006:$BM$1006,0)), HYPERLINK("#",""), HYPERLINK(CONCATENATE("#metadata!", ADDRESS(INDEX($AH$2:$AH$1001,MATCH(ROWS($AF$2:AF386),$AF$2:$AF$1001,0),0), INDEX($AM$1004:$BM$1004,1,MATCH(COLUMNS($AM$1006:BD1006),$AM$1006:$BM$1006,0)))),"Fix")))</f>
        <v xml:space="preserve"> </v>
      </c>
      <c r="T386" s="4" t="str">
        <f ca="1">IF(OR(INDEX($AG$2:$AG$1001,MATCH(ROWS($AF$2:AF386),$AF$2:$AF$1001,0),1)&gt;=100000,INDEX($AM$1005:$BM$1005,1,MATCH(COLUMNS($AM$1006:BE1006),$AM$1006:$BM$1006,0))&gt;=100000), " ",IF(INDEX($AM$2:$BM$1001,MATCH(ROWS($AF$2:AF386),$AF$2:$AF$1001,0),MATCH(COLUMNS($AM$1006:BE1006),$AM$1006:$BM$1006,0)), HYPERLINK("#",""), HYPERLINK(CONCATENATE("#metadata!", ADDRESS(INDEX($AH$2:$AH$1001,MATCH(ROWS($AF$2:AF386),$AF$2:$AF$1001,0),0), INDEX($AM$1004:$BM$1004,1,MATCH(COLUMNS($AM$1006:BE1006),$AM$1006:$BM$1006,0)))),"Fix")))</f>
        <v xml:space="preserve"> </v>
      </c>
      <c r="U386" s="4" t="str">
        <f ca="1">IF(OR(INDEX($AG$2:$AG$1001,MATCH(ROWS($AF$2:AF386),$AF$2:$AF$1001,0),1)&gt;=100000,INDEX($AM$1005:$BM$1005,1,MATCH(COLUMNS($AM$1006:BF1006),$AM$1006:$BM$1006,0))&gt;=100000), " ",IF(INDEX($AM$2:$BM$1001,MATCH(ROWS($AF$2:AF386),$AF$2:$AF$1001,0),MATCH(COLUMNS($AM$1006:BF1006),$AM$1006:$BM$1006,0)), HYPERLINK("#",""), HYPERLINK(CONCATENATE("#metadata!", ADDRESS(INDEX($AH$2:$AH$1001,MATCH(ROWS($AF$2:AF386),$AF$2:$AF$1001,0),0), INDEX($AM$1004:$BM$1004,1,MATCH(COLUMNS($AM$1006:BF1006),$AM$1006:$BM$1006,0)))),"Fix")))</f>
        <v xml:space="preserve"> </v>
      </c>
      <c r="V386" s="4" t="str">
        <f ca="1">IF(OR(INDEX($AG$2:$AG$1001,MATCH(ROWS($AF$2:AF386),$AF$2:$AF$1001,0),1)&gt;=100000,INDEX($AM$1005:$BM$1005,1,MATCH(COLUMNS($AM$1006:BG1006),$AM$1006:$BM$1006,0))&gt;=100000), " ",IF(INDEX($AM$2:$BM$1001,MATCH(ROWS($AF$2:AF386),$AF$2:$AF$1001,0),MATCH(COLUMNS($AM$1006:BG1006),$AM$1006:$BM$1006,0)), HYPERLINK("#",""), HYPERLINK(CONCATENATE("#metadata!", ADDRESS(INDEX($AH$2:$AH$1001,MATCH(ROWS($AF$2:AF386),$AF$2:$AF$1001,0),0), INDEX($AM$1004:$BM$1004,1,MATCH(COLUMNS($AM$1006:BG1006),$AM$1006:$BM$1006,0)))),"Fix")))</f>
        <v xml:space="preserve"> </v>
      </c>
      <c r="W386" s="4" t="str">
        <f ca="1">IF(OR(INDEX($AG$2:$AG$1001,MATCH(ROWS($AF$2:AF386),$AF$2:$AF$1001,0),1)&gt;=100000,INDEX($AM$1005:$BM$1005,1,MATCH(COLUMNS($AM$1006:BH1006),$AM$1006:$BM$1006,0))&gt;=100000), " ",IF(INDEX($AM$2:$BM$1001,MATCH(ROWS($AF$2:AF386),$AF$2:$AF$1001,0),MATCH(COLUMNS($AM$1006:BH1006),$AM$1006:$BM$1006,0)), HYPERLINK("#",""), HYPERLINK(CONCATENATE("#metadata!", ADDRESS(INDEX($AH$2:$AH$1001,MATCH(ROWS($AF$2:AF386),$AF$2:$AF$1001,0),0), INDEX($AM$1004:$BM$1004,1,MATCH(COLUMNS($AM$1006:BH1006),$AM$1006:$BM$1006,0)))),"Fix")))</f>
        <v xml:space="preserve"> </v>
      </c>
      <c r="X386" s="4" t="str">
        <f ca="1">IF(OR(INDEX($AG$2:$AG$1001,MATCH(ROWS($AF$2:AF386),$AF$2:$AF$1001,0),1)&gt;=100000,INDEX($AM$1005:$BM$1005,1,MATCH(COLUMNS($AM$1006:BI1006),$AM$1006:$BM$1006,0))&gt;=100000), " ",IF(INDEX($AM$2:$BM$1001,MATCH(ROWS($AF$2:AF386),$AF$2:$AF$1001,0),MATCH(COLUMNS($AM$1006:BI1006),$AM$1006:$BM$1006,0)), HYPERLINK("#",""), HYPERLINK(CONCATENATE("#metadata!", ADDRESS(INDEX($AH$2:$AH$1001,MATCH(ROWS($AF$2:AF386),$AF$2:$AF$1001,0),0), INDEX($AM$1004:$BM$1004,1,MATCH(COLUMNS($AM$1006:BI1006),$AM$1006:$BM$1006,0)))),"Fix")))</f>
        <v xml:space="preserve"> </v>
      </c>
      <c r="Y386" s="4" t="str">
        <f ca="1">IF(OR(INDEX($AG$2:$AG$1001,MATCH(ROWS($AF$2:AF386),$AF$2:$AF$1001,0),1)&gt;=100000,INDEX($AM$1005:$BM$1005,1,MATCH(COLUMNS($AM$1006:BJ1006),$AM$1006:$BM$1006,0))&gt;=100000), " ",IF(INDEX($AM$2:$BM$1001,MATCH(ROWS($AF$2:AF386),$AF$2:$AF$1001,0),MATCH(COLUMNS($AM$1006:BJ1006),$AM$1006:$BM$1006,0)), HYPERLINK("#",""), HYPERLINK(CONCATENATE("#metadata!", ADDRESS(INDEX($AH$2:$AH$1001,MATCH(ROWS($AF$2:AF386),$AF$2:$AF$1001,0),0), INDEX($AM$1004:$BM$1004,1,MATCH(COLUMNS($AM$1006:BJ1006),$AM$1006:$BM$1006,0)))),"Fix")))</f>
        <v xml:space="preserve"> </v>
      </c>
      <c r="Z386" s="4" t="str">
        <f ca="1">IF(OR(INDEX($AG$2:$AG$1001,MATCH(ROWS($AF$2:AF386),$AF$2:$AF$1001,0),1)&gt;=100000,INDEX($AM$1005:$BM$1005,1,MATCH(COLUMNS($AM$1006:BK1006),$AM$1006:$BM$1006,0))&gt;=100000), " ",IF(INDEX($AM$2:$BM$1001,MATCH(ROWS($AF$2:AF386),$AF$2:$AF$1001,0),MATCH(COLUMNS($AM$1006:BK1006),$AM$1006:$BM$1006,0)), HYPERLINK("#",""), HYPERLINK(CONCATENATE("#metadata!", ADDRESS(INDEX($AH$2:$AH$1001,MATCH(ROWS($AF$2:AF386),$AF$2:$AF$1001,0),0), INDEX($AM$1004:$BM$1004,1,MATCH(COLUMNS($AM$1006:BK1006),$AM$1006:$BM$1006,0)))),"Fix")))</f>
        <v xml:space="preserve"> </v>
      </c>
      <c r="AA386" s="4" t="str">
        <f ca="1">IF(OR(INDEX($AG$2:$AG$1001,MATCH(ROWS($AF$2:AF386),$AF$2:$AF$1001,0),1)&gt;=100000,INDEX($AM$1005:$BM$1005,1,MATCH(COLUMNS($AM$1006:BL1006),$AM$1006:$BM$1006,0))&gt;=100000), " ",IF(INDEX($AM$2:$BM$1001,MATCH(ROWS($AF$2:AF386),$AF$2:$AF$1001,0),MATCH(COLUMNS($AM$1006:BL1006),$AM$1006:$BM$1006,0)), HYPERLINK("#",""), HYPERLINK(CONCATENATE("#metadata!", ADDRESS(INDEX($AH$2:$AH$1001,MATCH(ROWS($AF$2:AF386),$AF$2:$AF$1001,0),0), INDEX($AM$1004:$BM$1004,1,MATCH(COLUMNS($AM$1006:BL1006),$AM$1006:$BM$1006,0)))),"Fix")))</f>
        <v xml:space="preserve"> </v>
      </c>
      <c r="AB386" s="4" t="str">
        <f ca="1">IF(OR(INDEX($AG$2:$AG$1001,MATCH(ROWS($AF$2:AF386),$AF$2:$AF$1001,0),1)&gt;=100000,INDEX($AM$1005:$BM$1005,1,MATCH(COLUMNS($AM$1006:BM1006),$AM$1006:$BM$1006,0))&gt;=100000), " ",IF(INDEX($AM$2:$BM$1001,MATCH(ROWS($AF$2:AF386),$AF$2:$AF$1001,0),MATCH(COLUMNS($AM$1006:BM1006),$AM$1006:$BM$1006,0)), HYPERLINK("#",""), HYPERLINK(CONCATENATE("#metadata!", ADDRESS(INDEX($AH$2:$AH$1001,MATCH(ROWS($AF$2:AF386),$AF$2:$AF$1001,0),0), INDEX($AM$1004:$BM$1004,1,MATCH(COLUMNS($AM$1006:BM1006),$AM$1006:$BM$1006,0)))),"Fix")))</f>
        <v xml:space="preserve"> </v>
      </c>
      <c r="AF386">
        <v>385</v>
      </c>
      <c r="AG386">
        <v>100386</v>
      </c>
      <c r="AH386">
        <v>386</v>
      </c>
      <c r="AI386" t="b">
        <f t="shared" ref="AI386:AI449" si="6">IF(AJ386,TRUE,AND(AM386:BM386))</f>
        <v>1</v>
      </c>
      <c r="AJ386" t="b">
        <f>COUNTBLANK(metadata!B386:AB386)=COLUMNS(metadata!B386:AB386)</f>
        <v>1</v>
      </c>
      <c r="AK386" t="str">
        <v/>
      </c>
      <c r="AM386" t="b">
        <f ca="1">AND(IF(metadata!B386="",FALSE,TRUE),COUNTIF(metadata!B:B, metadata!B386) = 1,NOT(ISERROR(SUMPRODUCT(SEARCH(MID(metadata!B386,ROW(INDIRECT("1:"&amp;LEN(metadata!B386))), 1),"0123456789abcdefghijklmnopqrstuvwxyzABCDEFGHIJKLMNOPQRSTUVWXYZ.")))))</f>
        <v>0</v>
      </c>
      <c r="AN386" t="b">
        <f ca="1">OR(AND(IF(metadata!C386="",FALSE,TRUE),OR(EXACT(metadata!C386,"missing: not collected"),EXACT(metadata!C386,"missing: not provided"),EXACT(metadata!C386,"missing: restricted access"))),AND(IF(metadata!C386="",FALSE,TRUE),AND(AND(IFERROR(INT(LEFT(metadata!C386,4))&gt;1900,FALSE),IFERROR(INT(LEFT(metadata!C386,4))&lt;=YEAR(NOW()),FALSE)), OR(MID(metadata!C386,5,1)="", AND(AND(MID(metadata!C386,5,1)="-",IFERROR(INT(MID(metadata!C386,6,1))&gt;=0,FALSE),IFERROR(INT(MID(metadata!C386,6,1))&lt;=1,FALSE),NOT(MID(metadata!C386,7,1)=""),IFERROR(INT(MID(metadata!C386,6,2))&gt;=1,FALSE),IFERROR(INT(MID(metadata!C386,6,2))&lt;=12,FALSE)), OR(MID(metadata!C386,8,1)="", AND(AND(MID(metadata!C386,8,1)="-",IFERROR(INT(MID(metadata!C386,9,1))&gt;=0,FALSE),IFERROR(INT(MID(metadata!C386,9,1))&lt;=3,FALSE),NOT(MID(metadata!C386,10,1)=""),IFERROR(INT(MID(metadata!C386,9,2))&gt;=1,FALSE),IFERROR(INT(MID(metadata!C386,9,2))&lt;=31,FALSE)), OR(MID(metadata!C386,11,1)="", AND(AND(MID(metadata!C386,11,1)=" ",IFERROR(INT(MID(metadata!C386,12,1))&gt;=0,FALSE),IFERROR(INT(MID(metadata!C386,12,1))&lt;=2,FALSE),NOT(MID(metadata!C386,13,1)=""),IFERROR(INT(MID(metadata!C386,12,2))&gt;=0,FALSE),IFERROR(INT(MID(metadata!C386,12,2))&lt;=23,FALSE)), OR(MID(metadata!C386,14,1)="", AND(AND(MID(metadata!C386,14,1)=":",IFERROR(INT(MID(metadata!C386,15,1))&gt;=0,FALSE),IFERROR(INT(MID(metadata!C386,15,1))&lt;=5,FALSE),NOT(MID(metadata!C386,16,1)=""),IFERROR(INT(MID(metadata!C386,15,2))&gt;=0,FALSE),IFERROR(INT(MID(metadata!C386,15,2))&lt;=59,FALSE)), OR(MID(metadata!C386,17,1)="", AND(AND(MID(metadata!C386,17,1)=":",IFERROR(INT(MID(metadata!C386,18,1))&gt;=0,FALSE),IFERROR(INT(MID(metadata!C386,18,1))&lt;=5,FALSE),NOT(MID(metadata!C386,19,1)=""),IFERROR(INT(MID(metadata!C386,18,2))&gt;=0,FALSE),IFERROR(INT(MID(metadata!C386,18,2))&lt;=59,FALSE)), LEN(metadata!C386)&lt;=19)))))))))))))</f>
        <v>0</v>
      </c>
      <c r="AO386" t="b">
        <f>AND(IF(metadata!D386="",FALSE,TRUE),EXACT(metadata!D386,"Not applicable"))</f>
        <v>0</v>
      </c>
      <c r="AP386" t="b">
        <f>IF(metadata!E386="",FALSE,TRUE)</f>
        <v>0</v>
      </c>
      <c r="AQ386" t="b">
        <f>OR(AND(IF(metadata!F386="",FALSE,TRUE),OR(EXACT(metadata!F386,"missing: not collected"),EXACT(metadata!F386,"missing: not provided"))),AND(IF(metadata!F386="",FALSE,TRUE),OR(EXACT(metadata!F386,"TRUE"),EXACT(metadata!F386,"FALSE"))))</f>
        <v>0</v>
      </c>
      <c r="AR386" t="b">
        <f>OR(AND(IF(metadata!G386="",FALSE,TRUE),OR(EXACT(metadata!G386,"missing: not collected"),EXACT(metadata!G386,"missing: not provided"),EXACT(metadata!G386,"missing: restricted access"))),AND(IF(metadata!G386="",FALSE,ISNUMBER(VALUE(metadata!G386))),metadata!G386&gt;=-413))</f>
        <v>0</v>
      </c>
      <c r="AS386" t="b">
        <f>AND(IF(metadata!H386="",FALSE,TRUE),EXACT(metadata!H386,"meters"))</f>
        <v>0</v>
      </c>
      <c r="AT386" t="b">
        <f>AND(IF(metadata!I386="",FALSE,TRUE),OR(EXACT(metadata!I386,"Host-associated"),EXACT(metadata!I386,"Free-living")))</f>
        <v>0</v>
      </c>
      <c r="AU386" t="b">
        <f>AND(IF(metadata!J386="",FALSE,TRUE),OR(EXACT(metadata!J386,"Animal"),EXACT(metadata!J386,"Fungus"),EXACT(metadata!J386,"Plant"),EXACT(metadata!J386,"Saline"),EXACT(metadata!J386,"Non-saline")))</f>
        <v>0</v>
      </c>
      <c r="AV386" t="b">
        <f>AND(IF(metadata!K386="",FALSE,TRUE),OR(EXACT(metadata!K386,"Plant secretion"),EXACT(metadata!K386,"Plant rhizosphere"),EXACT(metadata!K386,"Plant surface"),EXACT(metadata!K386,"Plant corpus"),EXACT(metadata!K386,"Fungus surface"),EXACT(metadata!K386,"Fungus corpus"),EXACT(metadata!K386,"Animal surface"),EXACT(metadata!K386,"Animal proximal gut"),EXACT(metadata!K386,"Animal corpus"),EXACT(metadata!K386,"Animal distal gut"),EXACT(metadata!K386,"Animal secretion"),EXACT(metadata!K386,"Sub-surface (non-saline)"),EXACT(metadata!K386,"Surface (non-saline)"),EXACT(metadata!K386,"Water (non-saline)"),EXACT(metadata!K386,"Soil (non-saline)"),EXACT(metadata!K386,"Aerosol (non-saline)"),EXACT(metadata!K386,"Sediment (non-saline)"),EXACT(metadata!K386,"Surface (saline)"),EXACT(metadata!K386,"Water (saline)"),EXACT(metadata!K386,"Hypersaline (saline)"),EXACT(metadata!K386,"Aerosol (saline)"),EXACT(metadata!K386,"Sediment (saline)")))</f>
        <v>0</v>
      </c>
      <c r="AW386" t="b">
        <f>IF(metadata!L386="",FALSE,TRUE)</f>
        <v>0</v>
      </c>
      <c r="AX386" t="b">
        <f>IF(metadata!M386="",FALSE,TRUE)</f>
        <v>0</v>
      </c>
      <c r="AY386" t="b">
        <f>IF(metadata!N386="",FALSE,TRUE)</f>
        <v>0</v>
      </c>
      <c r="AZ386" t="b">
        <f>OR(AND(IF(metadata!O386="",FALSE,TRUE),OR(EXACT(metadata!O386,"missing: not collected"),EXACT(metadata!O386,"missing: not provided"),EXACT(metadata!O386,"missing: restricted access"))),AND(IF(metadata!O386="",FALSE,TRUE),OR(EXACT(metadata!O386,"air"),EXACT(metadata!O386,"built environment"),EXACT(metadata!O386,"host-associated"),EXACT(metadata!O386,"human-associated"),EXACT(metadata!O386,"human-skin"),EXACT(metadata!O386,"human-oral"),EXACT(metadata!O386,"human-gut"),EXACT(metadata!O386,"human-vaginal"),EXACT(metadata!O386,"microbial mat/biofilm"),EXACT(metadata!O386,"misc environment"),EXACT(metadata!O386,"plant-associated"),EXACT(metadata!O386,"sediment"),EXACT(metadata!O386,"soil"),EXACT(metadata!O386,"wastewater/sludge"),EXACT(metadata!O386,"water"))))</f>
        <v>0</v>
      </c>
      <c r="BA386" t="b">
        <f>IF(metadata!P386="",FALSE,TRUE)</f>
        <v>0</v>
      </c>
      <c r="BB386" t="b">
        <f>IF(metadata!Q386="",FALSE,TRUE)</f>
        <v>0</v>
      </c>
      <c r="BC386" t="b">
        <f>OR(AND(IF(metadata!R386="",FALSE,TRUE),OR(EXACT(metadata!R386,"missing: not collected"),EXACT(metadata!R386,"missing: not provided"),EXACT(metadata!R386,"missing: restricted access"))),AND(IF(metadata!R386="",FALSE,ISNUMBER(VALUE(metadata!R386))),metadata!R386&gt;=-90,metadata!R386&lt;=90))</f>
        <v>0</v>
      </c>
      <c r="BD386" t="b">
        <f>AND(IF(metadata!S386="",FALSE,TRUE),EXACT(metadata!S386,"Decimal degrees"))</f>
        <v>0</v>
      </c>
      <c r="BE386" t="b">
        <f>OR(AND(IF(metadata!T386="",FALSE,TRUE),OR(EXACT(metadata!T386,"missing: not collected"),EXACT(metadata!T386,"missing: not provided"),EXACT(metadata!T386,"missing: restricted access"))),AND(IF(metadata!T386="",FALSE,ISNUMBER(VALUE(metadata!T386))),metadata!T386&gt;=-180,metadata!T386&lt;=180))</f>
        <v>0</v>
      </c>
      <c r="BF386" t="b">
        <f>AND(IF(metadata!U386="",FALSE,TRUE),EXACT(metadata!U386,"Decimal degrees"))</f>
        <v>0</v>
      </c>
      <c r="BG386" t="b">
        <f>IF(metadata!V386="",FALSE,TRUE)</f>
        <v>0</v>
      </c>
      <c r="BH386" t="b">
        <f>OR(AND(IF(metadata!W386="",FALSE,TRUE),OR(EXACT(metadata!W386,"missing: not collected"),EXACT(metadata!W386,"missing: not provided"),EXACT(metadata!W386,"missing: restricted access"))),AND(IF(metadata!W386="",FALSE,TRUE),OR(EXACT(metadata!W386,"TRUE"),EXACT(metadata!W386,"FALSE"))))</f>
        <v>0</v>
      </c>
      <c r="BI386" t="b">
        <f>AND(IF(metadata!X386="",FALSE,TRUE),EXACT(metadata!X386,"other"))</f>
        <v>0</v>
      </c>
      <c r="BJ386" t="b">
        <f>IF(metadata!Y386="",FALSE,TRUE)</f>
        <v>0</v>
      </c>
      <c r="BK386" t="b">
        <f>OR(AND(IF(metadata!Z386="",FALSE,TRUE),OR(EXACT(metadata!Z386,"missing: not collected"),EXACT(metadata!Z386,"missing: not provided"))),AND(IF(metadata!Z386="",FALSE,IF(ISERROR(INT(metadata!Z386)),FALSE,INT(metadata!Z386)=metadata!Z386)),metadata!Z386&gt;0))</f>
        <v>0</v>
      </c>
      <c r="BL386" t="b">
        <f>AND(IF(metadata!AA386="",FALSE,TRUE),EXACT(metadata!AA386,"Not applicable"))</f>
        <v>0</v>
      </c>
      <c r="BM386" t="b">
        <f>IF(metadata!AB386="",FALSE,TRUE)</f>
        <v>0</v>
      </c>
    </row>
    <row r="387" spans="1:65" x14ac:dyDescent="0.2">
      <c r="A387" s="5" t="str">
        <f ca="1">IF(B387=" "," ",HYPERLINK(CONCATENATE("#metadata!",ADDRESS(INDEX($AH$2:$AH$1001,MATCH(ROWS($AF$2:AF387),$AF$2:$AF$1001,0),0),1)),INDEX($AK$2:$AK$1001,MATCH(ROWS($AF$2:AF387),$AF$2:$AF$1001,0),0)))</f>
        <v xml:space="preserve"> </v>
      </c>
      <c r="B387" s="4" t="str">
        <f ca="1">IF(OR(INDEX($AG$2:$AG$1001,MATCH(ROWS($AF$2:AF387),$AF$2:$AF$1001,0),1)&gt;=100000,INDEX($AM$1005:$BM$1005,1,MATCH(COLUMNS($AM$1006:AM1006),$AM$1006:$BM$1006,0))&gt;=100000), " ",IF(INDEX($AM$2:$BM$1001,MATCH(ROWS($AF$2:AF387),$AF$2:$AF$1001,0),MATCH(COLUMNS($AM$1006:AM1006),$AM$1006:$BM$1006,0)), HYPERLINK("#",""), HYPERLINK(CONCATENATE("#metadata!", ADDRESS(INDEX($AH$2:$AH$1001,MATCH(ROWS($AF$2:AF387),$AF$2:$AF$1001,0),0), INDEX($AM$1004:$BM$1004,1,MATCH(COLUMNS($AM$1006:AM1006),$AM$1006:$BM$1006,0)))),"Fix")))</f>
        <v xml:space="preserve"> </v>
      </c>
      <c r="C387" s="4" t="str">
        <f ca="1">IF(OR(INDEX($AG$2:$AG$1001,MATCH(ROWS($AF$2:AF387),$AF$2:$AF$1001,0),1)&gt;=100000,INDEX($AM$1005:$BM$1005,1,MATCH(COLUMNS($AM$1006:AN1006),$AM$1006:$BM$1006,0))&gt;=100000), " ",IF(INDEX($AM$2:$BM$1001,MATCH(ROWS($AF$2:AF387),$AF$2:$AF$1001,0),MATCH(COLUMNS($AM$1006:AN1006),$AM$1006:$BM$1006,0)), HYPERLINK("#",""), HYPERLINK(CONCATENATE("#metadata!", ADDRESS(INDEX($AH$2:$AH$1001,MATCH(ROWS($AF$2:AF387),$AF$2:$AF$1001,0),0), INDEX($AM$1004:$BM$1004,1,MATCH(COLUMNS($AM$1006:AN1006),$AM$1006:$BM$1006,0)))),"Fix")))</f>
        <v xml:space="preserve"> </v>
      </c>
      <c r="D387" s="4" t="str">
        <f ca="1">IF(OR(INDEX($AG$2:$AG$1001,MATCH(ROWS($AF$2:AF387),$AF$2:$AF$1001,0),1)&gt;=100000,INDEX($AM$1005:$BM$1005,1,MATCH(COLUMNS($AM$1006:AO1006),$AM$1006:$BM$1006,0))&gt;=100000), " ",IF(INDEX($AM$2:$BM$1001,MATCH(ROWS($AF$2:AF387),$AF$2:$AF$1001,0),MATCH(COLUMNS($AM$1006:AO1006),$AM$1006:$BM$1006,0)), HYPERLINK("#",""), HYPERLINK(CONCATENATE("#metadata!", ADDRESS(INDEX($AH$2:$AH$1001,MATCH(ROWS($AF$2:AF387),$AF$2:$AF$1001,0),0), INDEX($AM$1004:$BM$1004,1,MATCH(COLUMNS($AM$1006:AO1006),$AM$1006:$BM$1006,0)))),"Fix")))</f>
        <v xml:space="preserve"> </v>
      </c>
      <c r="E387" s="4" t="str">
        <f ca="1">IF(OR(INDEX($AG$2:$AG$1001,MATCH(ROWS($AF$2:AF387),$AF$2:$AF$1001,0),1)&gt;=100000,INDEX($AM$1005:$BM$1005,1,MATCH(COLUMNS($AM$1006:AP1006),$AM$1006:$BM$1006,0))&gt;=100000), " ",IF(INDEX($AM$2:$BM$1001,MATCH(ROWS($AF$2:AF387),$AF$2:$AF$1001,0),MATCH(COLUMNS($AM$1006:AP1006),$AM$1006:$BM$1006,0)), HYPERLINK("#",""), HYPERLINK(CONCATENATE("#metadata!", ADDRESS(INDEX($AH$2:$AH$1001,MATCH(ROWS($AF$2:AF387),$AF$2:$AF$1001,0),0), INDEX($AM$1004:$BM$1004,1,MATCH(COLUMNS($AM$1006:AP1006),$AM$1006:$BM$1006,0)))),"Fix")))</f>
        <v xml:space="preserve"> </v>
      </c>
      <c r="F387" s="4" t="str">
        <f ca="1">IF(OR(INDEX($AG$2:$AG$1001,MATCH(ROWS($AF$2:AF387),$AF$2:$AF$1001,0),1)&gt;=100000,INDEX($AM$1005:$BM$1005,1,MATCH(COLUMNS($AM$1006:AQ1006),$AM$1006:$BM$1006,0))&gt;=100000), " ",IF(INDEX($AM$2:$BM$1001,MATCH(ROWS($AF$2:AF387),$AF$2:$AF$1001,0),MATCH(COLUMNS($AM$1006:AQ1006),$AM$1006:$BM$1006,0)), HYPERLINK("#",""), HYPERLINK(CONCATENATE("#metadata!", ADDRESS(INDEX($AH$2:$AH$1001,MATCH(ROWS($AF$2:AF387),$AF$2:$AF$1001,0),0), INDEX($AM$1004:$BM$1004,1,MATCH(COLUMNS($AM$1006:AQ1006),$AM$1006:$BM$1006,0)))),"Fix")))</f>
        <v xml:space="preserve"> </v>
      </c>
      <c r="G387" s="4" t="str">
        <f ca="1">IF(OR(INDEX($AG$2:$AG$1001,MATCH(ROWS($AF$2:AF387),$AF$2:$AF$1001,0),1)&gt;=100000,INDEX($AM$1005:$BM$1005,1,MATCH(COLUMNS($AM$1006:AR1006),$AM$1006:$BM$1006,0))&gt;=100000), " ",IF(INDEX($AM$2:$BM$1001,MATCH(ROWS($AF$2:AF387),$AF$2:$AF$1001,0),MATCH(COLUMNS($AM$1006:AR1006),$AM$1006:$BM$1006,0)), HYPERLINK("#",""), HYPERLINK(CONCATENATE("#metadata!", ADDRESS(INDEX($AH$2:$AH$1001,MATCH(ROWS($AF$2:AF387),$AF$2:$AF$1001,0),0), INDEX($AM$1004:$BM$1004,1,MATCH(COLUMNS($AM$1006:AR1006),$AM$1006:$BM$1006,0)))),"Fix")))</f>
        <v xml:space="preserve"> </v>
      </c>
      <c r="H387" s="4" t="str">
        <f ca="1">IF(OR(INDEX($AG$2:$AG$1001,MATCH(ROWS($AF$2:AF387),$AF$2:$AF$1001,0),1)&gt;=100000,INDEX($AM$1005:$BM$1005,1,MATCH(COLUMNS($AM$1006:AS1006),$AM$1006:$BM$1006,0))&gt;=100000), " ",IF(INDEX($AM$2:$BM$1001,MATCH(ROWS($AF$2:AF387),$AF$2:$AF$1001,0),MATCH(COLUMNS($AM$1006:AS1006),$AM$1006:$BM$1006,0)), HYPERLINK("#",""), HYPERLINK(CONCATENATE("#metadata!", ADDRESS(INDEX($AH$2:$AH$1001,MATCH(ROWS($AF$2:AF387),$AF$2:$AF$1001,0),0), INDEX($AM$1004:$BM$1004,1,MATCH(COLUMNS($AM$1006:AS1006),$AM$1006:$BM$1006,0)))),"Fix")))</f>
        <v xml:space="preserve"> </v>
      </c>
      <c r="I387" s="4" t="str">
        <f ca="1">IF(OR(INDEX($AG$2:$AG$1001,MATCH(ROWS($AF$2:AF387),$AF$2:$AF$1001,0),1)&gt;=100000,INDEX($AM$1005:$BM$1005,1,MATCH(COLUMNS($AM$1006:AT1006),$AM$1006:$BM$1006,0))&gt;=100000), " ",IF(INDEX($AM$2:$BM$1001,MATCH(ROWS($AF$2:AF387),$AF$2:$AF$1001,0),MATCH(COLUMNS($AM$1006:AT1006),$AM$1006:$BM$1006,0)), HYPERLINK("#",""), HYPERLINK(CONCATENATE("#metadata!", ADDRESS(INDEX($AH$2:$AH$1001,MATCH(ROWS($AF$2:AF387),$AF$2:$AF$1001,0),0), INDEX($AM$1004:$BM$1004,1,MATCH(COLUMNS($AM$1006:AT1006),$AM$1006:$BM$1006,0)))),"Fix")))</f>
        <v xml:space="preserve"> </v>
      </c>
      <c r="J387" s="4" t="str">
        <f ca="1">IF(OR(INDEX($AG$2:$AG$1001,MATCH(ROWS($AF$2:AF387),$AF$2:$AF$1001,0),1)&gt;=100000,INDEX($AM$1005:$BM$1005,1,MATCH(COLUMNS($AM$1006:AU1006),$AM$1006:$BM$1006,0))&gt;=100000), " ",IF(INDEX($AM$2:$BM$1001,MATCH(ROWS($AF$2:AF387),$AF$2:$AF$1001,0),MATCH(COLUMNS($AM$1006:AU1006),$AM$1006:$BM$1006,0)), HYPERLINK("#",""), HYPERLINK(CONCATENATE("#metadata!", ADDRESS(INDEX($AH$2:$AH$1001,MATCH(ROWS($AF$2:AF387),$AF$2:$AF$1001,0),0), INDEX($AM$1004:$BM$1004,1,MATCH(COLUMNS($AM$1006:AU1006),$AM$1006:$BM$1006,0)))),"Fix")))</f>
        <v xml:space="preserve"> </v>
      </c>
      <c r="K387" s="4" t="str">
        <f ca="1">IF(OR(INDEX($AG$2:$AG$1001,MATCH(ROWS($AF$2:AF387),$AF$2:$AF$1001,0),1)&gt;=100000,INDEX($AM$1005:$BM$1005,1,MATCH(COLUMNS($AM$1006:AV1006),$AM$1006:$BM$1006,0))&gt;=100000), " ",IF(INDEX($AM$2:$BM$1001,MATCH(ROWS($AF$2:AF387),$AF$2:$AF$1001,0),MATCH(COLUMNS($AM$1006:AV1006),$AM$1006:$BM$1006,0)), HYPERLINK("#",""), HYPERLINK(CONCATENATE("#metadata!", ADDRESS(INDEX($AH$2:$AH$1001,MATCH(ROWS($AF$2:AF387),$AF$2:$AF$1001,0),0), INDEX($AM$1004:$BM$1004,1,MATCH(COLUMNS($AM$1006:AV1006),$AM$1006:$BM$1006,0)))),"Fix")))</f>
        <v xml:space="preserve"> </v>
      </c>
      <c r="L387" s="4" t="str">
        <f ca="1">IF(OR(INDEX($AG$2:$AG$1001,MATCH(ROWS($AF$2:AF387),$AF$2:$AF$1001,0),1)&gt;=100000,INDEX($AM$1005:$BM$1005,1,MATCH(COLUMNS($AM$1006:AW1006),$AM$1006:$BM$1006,0))&gt;=100000), " ",IF(INDEX($AM$2:$BM$1001,MATCH(ROWS($AF$2:AF387),$AF$2:$AF$1001,0),MATCH(COLUMNS($AM$1006:AW1006),$AM$1006:$BM$1006,0)), HYPERLINK("#",""), HYPERLINK(CONCATENATE("#metadata!", ADDRESS(INDEX($AH$2:$AH$1001,MATCH(ROWS($AF$2:AF387),$AF$2:$AF$1001,0),0), INDEX($AM$1004:$BM$1004,1,MATCH(COLUMNS($AM$1006:AW1006),$AM$1006:$BM$1006,0)))),"Fix")))</f>
        <v xml:space="preserve"> </v>
      </c>
      <c r="M387" s="4" t="str">
        <f ca="1">IF(OR(INDEX($AG$2:$AG$1001,MATCH(ROWS($AF$2:AF387),$AF$2:$AF$1001,0),1)&gt;=100000,INDEX($AM$1005:$BM$1005,1,MATCH(COLUMNS($AM$1006:AX1006),$AM$1006:$BM$1006,0))&gt;=100000), " ",IF(INDEX($AM$2:$BM$1001,MATCH(ROWS($AF$2:AF387),$AF$2:$AF$1001,0),MATCH(COLUMNS($AM$1006:AX1006),$AM$1006:$BM$1006,0)), HYPERLINK("#",""), HYPERLINK(CONCATENATE("#metadata!", ADDRESS(INDEX($AH$2:$AH$1001,MATCH(ROWS($AF$2:AF387),$AF$2:$AF$1001,0),0), INDEX($AM$1004:$BM$1004,1,MATCH(COLUMNS($AM$1006:AX1006),$AM$1006:$BM$1006,0)))),"Fix")))</f>
        <v xml:space="preserve"> </v>
      </c>
      <c r="N387" s="4" t="str">
        <f ca="1">IF(OR(INDEX($AG$2:$AG$1001,MATCH(ROWS($AF$2:AF387),$AF$2:$AF$1001,0),1)&gt;=100000,INDEX($AM$1005:$BM$1005,1,MATCH(COLUMNS($AM$1006:AY1006),$AM$1006:$BM$1006,0))&gt;=100000), " ",IF(INDEX($AM$2:$BM$1001,MATCH(ROWS($AF$2:AF387),$AF$2:$AF$1001,0),MATCH(COLUMNS($AM$1006:AY1006),$AM$1006:$BM$1006,0)), HYPERLINK("#",""), HYPERLINK(CONCATENATE("#metadata!", ADDRESS(INDEX($AH$2:$AH$1001,MATCH(ROWS($AF$2:AF387),$AF$2:$AF$1001,0),0), INDEX($AM$1004:$BM$1004,1,MATCH(COLUMNS($AM$1006:AY1006),$AM$1006:$BM$1006,0)))),"Fix")))</f>
        <v xml:space="preserve"> </v>
      </c>
      <c r="O387" s="4" t="str">
        <f ca="1">IF(OR(INDEX($AG$2:$AG$1001,MATCH(ROWS($AF$2:AF387),$AF$2:$AF$1001,0),1)&gt;=100000,INDEX($AM$1005:$BM$1005,1,MATCH(COLUMNS($AM$1006:AZ1006),$AM$1006:$BM$1006,0))&gt;=100000), " ",IF(INDEX($AM$2:$BM$1001,MATCH(ROWS($AF$2:AF387),$AF$2:$AF$1001,0),MATCH(COLUMNS($AM$1006:AZ1006),$AM$1006:$BM$1006,0)), HYPERLINK("#",""), HYPERLINK(CONCATENATE("#metadata!", ADDRESS(INDEX($AH$2:$AH$1001,MATCH(ROWS($AF$2:AF387),$AF$2:$AF$1001,0),0), INDEX($AM$1004:$BM$1004,1,MATCH(COLUMNS($AM$1006:AZ1006),$AM$1006:$BM$1006,0)))),"Fix")))</f>
        <v xml:space="preserve"> </v>
      </c>
      <c r="P387" s="4" t="str">
        <f ca="1">IF(OR(INDEX($AG$2:$AG$1001,MATCH(ROWS($AF$2:AF387),$AF$2:$AF$1001,0),1)&gt;=100000,INDEX($AM$1005:$BM$1005,1,MATCH(COLUMNS($AM$1006:BA1006),$AM$1006:$BM$1006,0))&gt;=100000), " ",IF(INDEX($AM$2:$BM$1001,MATCH(ROWS($AF$2:AF387),$AF$2:$AF$1001,0),MATCH(COLUMNS($AM$1006:BA1006),$AM$1006:$BM$1006,0)), HYPERLINK("#",""), HYPERLINK(CONCATENATE("#metadata!", ADDRESS(INDEX($AH$2:$AH$1001,MATCH(ROWS($AF$2:AF387),$AF$2:$AF$1001,0),0), INDEX($AM$1004:$BM$1004,1,MATCH(COLUMNS($AM$1006:BA1006),$AM$1006:$BM$1006,0)))),"Fix")))</f>
        <v xml:space="preserve"> </v>
      </c>
      <c r="Q387" s="4" t="str">
        <f ca="1">IF(OR(INDEX($AG$2:$AG$1001,MATCH(ROWS($AF$2:AF387),$AF$2:$AF$1001,0),1)&gt;=100000,INDEX($AM$1005:$BM$1005,1,MATCH(COLUMNS($AM$1006:BB1006),$AM$1006:$BM$1006,0))&gt;=100000), " ",IF(INDEX($AM$2:$BM$1001,MATCH(ROWS($AF$2:AF387),$AF$2:$AF$1001,0),MATCH(COLUMNS($AM$1006:BB1006),$AM$1006:$BM$1006,0)), HYPERLINK("#",""), HYPERLINK(CONCATENATE("#metadata!", ADDRESS(INDEX($AH$2:$AH$1001,MATCH(ROWS($AF$2:AF387),$AF$2:$AF$1001,0),0), INDEX($AM$1004:$BM$1004,1,MATCH(COLUMNS($AM$1006:BB1006),$AM$1006:$BM$1006,0)))),"Fix")))</f>
        <v xml:space="preserve"> </v>
      </c>
      <c r="R387" s="4" t="str">
        <f ca="1">IF(OR(INDEX($AG$2:$AG$1001,MATCH(ROWS($AF$2:AF387),$AF$2:$AF$1001,0),1)&gt;=100000,INDEX($AM$1005:$BM$1005,1,MATCH(COLUMNS($AM$1006:BC1006),$AM$1006:$BM$1006,0))&gt;=100000), " ",IF(INDEX($AM$2:$BM$1001,MATCH(ROWS($AF$2:AF387),$AF$2:$AF$1001,0),MATCH(COLUMNS($AM$1006:BC1006),$AM$1006:$BM$1006,0)), HYPERLINK("#",""), HYPERLINK(CONCATENATE("#metadata!", ADDRESS(INDEX($AH$2:$AH$1001,MATCH(ROWS($AF$2:AF387),$AF$2:$AF$1001,0),0), INDEX($AM$1004:$BM$1004,1,MATCH(COLUMNS($AM$1006:BC1006),$AM$1006:$BM$1006,0)))),"Fix")))</f>
        <v xml:space="preserve"> </v>
      </c>
      <c r="S387" s="4" t="str">
        <f ca="1">IF(OR(INDEX($AG$2:$AG$1001,MATCH(ROWS($AF$2:AF387),$AF$2:$AF$1001,0),1)&gt;=100000,INDEX($AM$1005:$BM$1005,1,MATCH(COLUMNS($AM$1006:BD1006),$AM$1006:$BM$1006,0))&gt;=100000), " ",IF(INDEX($AM$2:$BM$1001,MATCH(ROWS($AF$2:AF387),$AF$2:$AF$1001,0),MATCH(COLUMNS($AM$1006:BD1006),$AM$1006:$BM$1006,0)), HYPERLINK("#",""), HYPERLINK(CONCATENATE("#metadata!", ADDRESS(INDEX($AH$2:$AH$1001,MATCH(ROWS($AF$2:AF387),$AF$2:$AF$1001,0),0), INDEX($AM$1004:$BM$1004,1,MATCH(COLUMNS($AM$1006:BD1006),$AM$1006:$BM$1006,0)))),"Fix")))</f>
        <v xml:space="preserve"> </v>
      </c>
      <c r="T387" s="4" t="str">
        <f ca="1">IF(OR(INDEX($AG$2:$AG$1001,MATCH(ROWS($AF$2:AF387),$AF$2:$AF$1001,0),1)&gt;=100000,INDEX($AM$1005:$BM$1005,1,MATCH(COLUMNS($AM$1006:BE1006),$AM$1006:$BM$1006,0))&gt;=100000), " ",IF(INDEX($AM$2:$BM$1001,MATCH(ROWS($AF$2:AF387),$AF$2:$AF$1001,0),MATCH(COLUMNS($AM$1006:BE1006),$AM$1006:$BM$1006,0)), HYPERLINK("#",""), HYPERLINK(CONCATENATE("#metadata!", ADDRESS(INDEX($AH$2:$AH$1001,MATCH(ROWS($AF$2:AF387),$AF$2:$AF$1001,0),0), INDEX($AM$1004:$BM$1004,1,MATCH(COLUMNS($AM$1006:BE1006),$AM$1006:$BM$1006,0)))),"Fix")))</f>
        <v xml:space="preserve"> </v>
      </c>
      <c r="U387" s="4" t="str">
        <f ca="1">IF(OR(INDEX($AG$2:$AG$1001,MATCH(ROWS($AF$2:AF387),$AF$2:$AF$1001,0),1)&gt;=100000,INDEX($AM$1005:$BM$1005,1,MATCH(COLUMNS($AM$1006:BF1006),$AM$1006:$BM$1006,0))&gt;=100000), " ",IF(INDEX($AM$2:$BM$1001,MATCH(ROWS($AF$2:AF387),$AF$2:$AF$1001,0),MATCH(COLUMNS($AM$1006:BF1006),$AM$1006:$BM$1006,0)), HYPERLINK("#",""), HYPERLINK(CONCATENATE("#metadata!", ADDRESS(INDEX($AH$2:$AH$1001,MATCH(ROWS($AF$2:AF387),$AF$2:$AF$1001,0),0), INDEX($AM$1004:$BM$1004,1,MATCH(COLUMNS($AM$1006:BF1006),$AM$1006:$BM$1006,0)))),"Fix")))</f>
        <v xml:space="preserve"> </v>
      </c>
      <c r="V387" s="4" t="str">
        <f ca="1">IF(OR(INDEX($AG$2:$AG$1001,MATCH(ROWS($AF$2:AF387),$AF$2:$AF$1001,0),1)&gt;=100000,INDEX($AM$1005:$BM$1005,1,MATCH(COLUMNS($AM$1006:BG1006),$AM$1006:$BM$1006,0))&gt;=100000), " ",IF(INDEX($AM$2:$BM$1001,MATCH(ROWS($AF$2:AF387),$AF$2:$AF$1001,0),MATCH(COLUMNS($AM$1006:BG1006),$AM$1006:$BM$1006,0)), HYPERLINK("#",""), HYPERLINK(CONCATENATE("#metadata!", ADDRESS(INDEX($AH$2:$AH$1001,MATCH(ROWS($AF$2:AF387),$AF$2:$AF$1001,0),0), INDEX($AM$1004:$BM$1004,1,MATCH(COLUMNS($AM$1006:BG1006),$AM$1006:$BM$1006,0)))),"Fix")))</f>
        <v xml:space="preserve"> </v>
      </c>
      <c r="W387" s="4" t="str">
        <f ca="1">IF(OR(INDEX($AG$2:$AG$1001,MATCH(ROWS($AF$2:AF387),$AF$2:$AF$1001,0),1)&gt;=100000,INDEX($AM$1005:$BM$1005,1,MATCH(COLUMNS($AM$1006:BH1006),$AM$1006:$BM$1006,0))&gt;=100000), " ",IF(INDEX($AM$2:$BM$1001,MATCH(ROWS($AF$2:AF387),$AF$2:$AF$1001,0),MATCH(COLUMNS($AM$1006:BH1006),$AM$1006:$BM$1006,0)), HYPERLINK("#",""), HYPERLINK(CONCATENATE("#metadata!", ADDRESS(INDEX($AH$2:$AH$1001,MATCH(ROWS($AF$2:AF387),$AF$2:$AF$1001,0),0), INDEX($AM$1004:$BM$1004,1,MATCH(COLUMNS($AM$1006:BH1006),$AM$1006:$BM$1006,0)))),"Fix")))</f>
        <v xml:space="preserve"> </v>
      </c>
      <c r="X387" s="4" t="str">
        <f ca="1">IF(OR(INDEX($AG$2:$AG$1001,MATCH(ROWS($AF$2:AF387),$AF$2:$AF$1001,0),1)&gt;=100000,INDEX($AM$1005:$BM$1005,1,MATCH(COLUMNS($AM$1006:BI1006),$AM$1006:$BM$1006,0))&gt;=100000), " ",IF(INDEX($AM$2:$BM$1001,MATCH(ROWS($AF$2:AF387),$AF$2:$AF$1001,0),MATCH(COLUMNS($AM$1006:BI1006),$AM$1006:$BM$1006,0)), HYPERLINK("#",""), HYPERLINK(CONCATENATE("#metadata!", ADDRESS(INDEX($AH$2:$AH$1001,MATCH(ROWS($AF$2:AF387),$AF$2:$AF$1001,0),0), INDEX($AM$1004:$BM$1004,1,MATCH(COLUMNS($AM$1006:BI1006),$AM$1006:$BM$1006,0)))),"Fix")))</f>
        <v xml:space="preserve"> </v>
      </c>
      <c r="Y387" s="4" t="str">
        <f ca="1">IF(OR(INDEX($AG$2:$AG$1001,MATCH(ROWS($AF$2:AF387),$AF$2:$AF$1001,0),1)&gt;=100000,INDEX($AM$1005:$BM$1005,1,MATCH(COLUMNS($AM$1006:BJ1006),$AM$1006:$BM$1006,0))&gt;=100000), " ",IF(INDEX($AM$2:$BM$1001,MATCH(ROWS($AF$2:AF387),$AF$2:$AF$1001,0),MATCH(COLUMNS($AM$1006:BJ1006),$AM$1006:$BM$1006,0)), HYPERLINK("#",""), HYPERLINK(CONCATENATE("#metadata!", ADDRESS(INDEX($AH$2:$AH$1001,MATCH(ROWS($AF$2:AF387),$AF$2:$AF$1001,0),0), INDEX($AM$1004:$BM$1004,1,MATCH(COLUMNS($AM$1006:BJ1006),$AM$1006:$BM$1006,0)))),"Fix")))</f>
        <v xml:space="preserve"> </v>
      </c>
      <c r="Z387" s="4" t="str">
        <f ca="1">IF(OR(INDEX($AG$2:$AG$1001,MATCH(ROWS($AF$2:AF387),$AF$2:$AF$1001,0),1)&gt;=100000,INDEX($AM$1005:$BM$1005,1,MATCH(COLUMNS($AM$1006:BK1006),$AM$1006:$BM$1006,0))&gt;=100000), " ",IF(INDEX($AM$2:$BM$1001,MATCH(ROWS($AF$2:AF387),$AF$2:$AF$1001,0),MATCH(COLUMNS($AM$1006:BK1006),$AM$1006:$BM$1006,0)), HYPERLINK("#",""), HYPERLINK(CONCATENATE("#metadata!", ADDRESS(INDEX($AH$2:$AH$1001,MATCH(ROWS($AF$2:AF387),$AF$2:$AF$1001,0),0), INDEX($AM$1004:$BM$1004,1,MATCH(COLUMNS($AM$1006:BK1006),$AM$1006:$BM$1006,0)))),"Fix")))</f>
        <v xml:space="preserve"> </v>
      </c>
      <c r="AA387" s="4" t="str">
        <f ca="1">IF(OR(INDEX($AG$2:$AG$1001,MATCH(ROWS($AF$2:AF387),$AF$2:$AF$1001,0),1)&gt;=100000,INDEX($AM$1005:$BM$1005,1,MATCH(COLUMNS($AM$1006:BL1006),$AM$1006:$BM$1006,0))&gt;=100000), " ",IF(INDEX($AM$2:$BM$1001,MATCH(ROWS($AF$2:AF387),$AF$2:$AF$1001,0),MATCH(COLUMNS($AM$1006:BL1006),$AM$1006:$BM$1006,0)), HYPERLINK("#",""), HYPERLINK(CONCATENATE("#metadata!", ADDRESS(INDEX($AH$2:$AH$1001,MATCH(ROWS($AF$2:AF387),$AF$2:$AF$1001,0),0), INDEX($AM$1004:$BM$1004,1,MATCH(COLUMNS($AM$1006:BL1006),$AM$1006:$BM$1006,0)))),"Fix")))</f>
        <v xml:space="preserve"> </v>
      </c>
      <c r="AB387" s="4" t="str">
        <f ca="1">IF(OR(INDEX($AG$2:$AG$1001,MATCH(ROWS($AF$2:AF387),$AF$2:$AF$1001,0),1)&gt;=100000,INDEX($AM$1005:$BM$1005,1,MATCH(COLUMNS($AM$1006:BM1006),$AM$1006:$BM$1006,0))&gt;=100000), " ",IF(INDEX($AM$2:$BM$1001,MATCH(ROWS($AF$2:AF387),$AF$2:$AF$1001,0),MATCH(COLUMNS($AM$1006:BM1006),$AM$1006:$BM$1006,0)), HYPERLINK("#",""), HYPERLINK(CONCATENATE("#metadata!", ADDRESS(INDEX($AH$2:$AH$1001,MATCH(ROWS($AF$2:AF387),$AF$2:$AF$1001,0),0), INDEX($AM$1004:$BM$1004,1,MATCH(COLUMNS($AM$1006:BM1006),$AM$1006:$BM$1006,0)))),"Fix")))</f>
        <v xml:space="preserve"> </v>
      </c>
      <c r="AF387">
        <v>386</v>
      </c>
      <c r="AG387">
        <v>100387</v>
      </c>
      <c r="AH387">
        <v>387</v>
      </c>
      <c r="AI387" t="b">
        <f t="shared" si="6"/>
        <v>1</v>
      </c>
      <c r="AJ387" t="b">
        <f>COUNTBLANK(metadata!B387:AB387)=COLUMNS(metadata!B387:AB387)</f>
        <v>1</v>
      </c>
      <c r="AK387" t="str">
        <v/>
      </c>
      <c r="AM387" t="b">
        <f ca="1">AND(IF(metadata!B387="",FALSE,TRUE),COUNTIF(metadata!B:B, metadata!B387) = 1,NOT(ISERROR(SUMPRODUCT(SEARCH(MID(metadata!B387,ROW(INDIRECT("1:"&amp;LEN(metadata!B387))), 1),"0123456789abcdefghijklmnopqrstuvwxyzABCDEFGHIJKLMNOPQRSTUVWXYZ.")))))</f>
        <v>0</v>
      </c>
      <c r="AN387" t="b">
        <f ca="1">OR(AND(IF(metadata!C387="",FALSE,TRUE),OR(EXACT(metadata!C387,"missing: not collected"),EXACT(metadata!C387,"missing: not provided"),EXACT(metadata!C387,"missing: restricted access"))),AND(IF(metadata!C387="",FALSE,TRUE),AND(AND(IFERROR(INT(LEFT(metadata!C387,4))&gt;1900,FALSE),IFERROR(INT(LEFT(metadata!C387,4))&lt;=YEAR(NOW()),FALSE)), OR(MID(metadata!C387,5,1)="", AND(AND(MID(metadata!C387,5,1)="-",IFERROR(INT(MID(metadata!C387,6,1))&gt;=0,FALSE),IFERROR(INT(MID(metadata!C387,6,1))&lt;=1,FALSE),NOT(MID(metadata!C387,7,1)=""),IFERROR(INT(MID(metadata!C387,6,2))&gt;=1,FALSE),IFERROR(INT(MID(metadata!C387,6,2))&lt;=12,FALSE)), OR(MID(metadata!C387,8,1)="", AND(AND(MID(metadata!C387,8,1)="-",IFERROR(INT(MID(metadata!C387,9,1))&gt;=0,FALSE),IFERROR(INT(MID(metadata!C387,9,1))&lt;=3,FALSE),NOT(MID(metadata!C387,10,1)=""),IFERROR(INT(MID(metadata!C387,9,2))&gt;=1,FALSE),IFERROR(INT(MID(metadata!C387,9,2))&lt;=31,FALSE)), OR(MID(metadata!C387,11,1)="", AND(AND(MID(metadata!C387,11,1)=" ",IFERROR(INT(MID(metadata!C387,12,1))&gt;=0,FALSE),IFERROR(INT(MID(metadata!C387,12,1))&lt;=2,FALSE),NOT(MID(metadata!C387,13,1)=""),IFERROR(INT(MID(metadata!C387,12,2))&gt;=0,FALSE),IFERROR(INT(MID(metadata!C387,12,2))&lt;=23,FALSE)), OR(MID(metadata!C387,14,1)="", AND(AND(MID(metadata!C387,14,1)=":",IFERROR(INT(MID(metadata!C387,15,1))&gt;=0,FALSE),IFERROR(INT(MID(metadata!C387,15,1))&lt;=5,FALSE),NOT(MID(metadata!C387,16,1)=""),IFERROR(INT(MID(metadata!C387,15,2))&gt;=0,FALSE),IFERROR(INT(MID(metadata!C387,15,2))&lt;=59,FALSE)), OR(MID(metadata!C387,17,1)="", AND(AND(MID(metadata!C387,17,1)=":",IFERROR(INT(MID(metadata!C387,18,1))&gt;=0,FALSE),IFERROR(INT(MID(metadata!C387,18,1))&lt;=5,FALSE),NOT(MID(metadata!C387,19,1)=""),IFERROR(INT(MID(metadata!C387,18,2))&gt;=0,FALSE),IFERROR(INT(MID(metadata!C387,18,2))&lt;=59,FALSE)), LEN(metadata!C387)&lt;=19)))))))))))))</f>
        <v>0</v>
      </c>
      <c r="AO387" t="b">
        <f>AND(IF(metadata!D387="",FALSE,TRUE),EXACT(metadata!D387,"Not applicable"))</f>
        <v>0</v>
      </c>
      <c r="AP387" t="b">
        <f>IF(metadata!E387="",FALSE,TRUE)</f>
        <v>0</v>
      </c>
      <c r="AQ387" t="b">
        <f>OR(AND(IF(metadata!F387="",FALSE,TRUE),OR(EXACT(metadata!F387,"missing: not collected"),EXACT(metadata!F387,"missing: not provided"))),AND(IF(metadata!F387="",FALSE,TRUE),OR(EXACT(metadata!F387,"TRUE"),EXACT(metadata!F387,"FALSE"))))</f>
        <v>0</v>
      </c>
      <c r="AR387" t="b">
        <f>OR(AND(IF(metadata!G387="",FALSE,TRUE),OR(EXACT(metadata!G387,"missing: not collected"),EXACT(metadata!G387,"missing: not provided"),EXACT(metadata!G387,"missing: restricted access"))),AND(IF(metadata!G387="",FALSE,ISNUMBER(VALUE(metadata!G387))),metadata!G387&gt;=-413))</f>
        <v>0</v>
      </c>
      <c r="AS387" t="b">
        <f>AND(IF(metadata!H387="",FALSE,TRUE),EXACT(metadata!H387,"meters"))</f>
        <v>0</v>
      </c>
      <c r="AT387" t="b">
        <f>AND(IF(metadata!I387="",FALSE,TRUE),OR(EXACT(metadata!I387,"Host-associated"),EXACT(metadata!I387,"Free-living")))</f>
        <v>0</v>
      </c>
      <c r="AU387" t="b">
        <f>AND(IF(metadata!J387="",FALSE,TRUE),OR(EXACT(metadata!J387,"Animal"),EXACT(metadata!J387,"Fungus"),EXACT(metadata!J387,"Plant"),EXACT(metadata!J387,"Saline"),EXACT(metadata!J387,"Non-saline")))</f>
        <v>0</v>
      </c>
      <c r="AV387" t="b">
        <f>AND(IF(metadata!K387="",FALSE,TRUE),OR(EXACT(metadata!K387,"Plant secretion"),EXACT(metadata!K387,"Plant rhizosphere"),EXACT(metadata!K387,"Plant surface"),EXACT(metadata!K387,"Plant corpus"),EXACT(metadata!K387,"Fungus surface"),EXACT(metadata!K387,"Fungus corpus"),EXACT(metadata!K387,"Animal surface"),EXACT(metadata!K387,"Animal proximal gut"),EXACT(metadata!K387,"Animal corpus"),EXACT(metadata!K387,"Animal distal gut"),EXACT(metadata!K387,"Animal secretion"),EXACT(metadata!K387,"Sub-surface (non-saline)"),EXACT(metadata!K387,"Surface (non-saline)"),EXACT(metadata!K387,"Water (non-saline)"),EXACT(metadata!K387,"Soil (non-saline)"),EXACT(metadata!K387,"Aerosol (non-saline)"),EXACT(metadata!K387,"Sediment (non-saline)"),EXACT(metadata!K387,"Surface (saline)"),EXACT(metadata!K387,"Water (saline)"),EXACT(metadata!K387,"Hypersaline (saline)"),EXACT(metadata!K387,"Aerosol (saline)"),EXACT(metadata!K387,"Sediment (saline)")))</f>
        <v>0</v>
      </c>
      <c r="AW387" t="b">
        <f>IF(metadata!L387="",FALSE,TRUE)</f>
        <v>0</v>
      </c>
      <c r="AX387" t="b">
        <f>IF(metadata!M387="",FALSE,TRUE)</f>
        <v>0</v>
      </c>
      <c r="AY387" t="b">
        <f>IF(metadata!N387="",FALSE,TRUE)</f>
        <v>0</v>
      </c>
      <c r="AZ387" t="b">
        <f>OR(AND(IF(metadata!O387="",FALSE,TRUE),OR(EXACT(metadata!O387,"missing: not collected"),EXACT(metadata!O387,"missing: not provided"),EXACT(metadata!O387,"missing: restricted access"))),AND(IF(metadata!O387="",FALSE,TRUE),OR(EXACT(metadata!O387,"air"),EXACT(metadata!O387,"built environment"),EXACT(metadata!O387,"host-associated"),EXACT(metadata!O387,"human-associated"),EXACT(metadata!O387,"human-skin"),EXACT(metadata!O387,"human-oral"),EXACT(metadata!O387,"human-gut"),EXACT(metadata!O387,"human-vaginal"),EXACT(metadata!O387,"microbial mat/biofilm"),EXACT(metadata!O387,"misc environment"),EXACT(metadata!O387,"plant-associated"),EXACT(metadata!O387,"sediment"),EXACT(metadata!O387,"soil"),EXACT(metadata!O387,"wastewater/sludge"),EXACT(metadata!O387,"water"))))</f>
        <v>0</v>
      </c>
      <c r="BA387" t="b">
        <f>IF(metadata!P387="",FALSE,TRUE)</f>
        <v>0</v>
      </c>
      <c r="BB387" t="b">
        <f>IF(metadata!Q387="",FALSE,TRUE)</f>
        <v>0</v>
      </c>
      <c r="BC387" t="b">
        <f>OR(AND(IF(metadata!R387="",FALSE,TRUE),OR(EXACT(metadata!R387,"missing: not collected"),EXACT(metadata!R387,"missing: not provided"),EXACT(metadata!R387,"missing: restricted access"))),AND(IF(metadata!R387="",FALSE,ISNUMBER(VALUE(metadata!R387))),metadata!R387&gt;=-90,metadata!R387&lt;=90))</f>
        <v>0</v>
      </c>
      <c r="BD387" t="b">
        <f>AND(IF(metadata!S387="",FALSE,TRUE),EXACT(metadata!S387,"Decimal degrees"))</f>
        <v>0</v>
      </c>
      <c r="BE387" t="b">
        <f>OR(AND(IF(metadata!T387="",FALSE,TRUE),OR(EXACT(metadata!T387,"missing: not collected"),EXACT(metadata!T387,"missing: not provided"),EXACT(metadata!T387,"missing: restricted access"))),AND(IF(metadata!T387="",FALSE,ISNUMBER(VALUE(metadata!T387))),metadata!T387&gt;=-180,metadata!T387&lt;=180))</f>
        <v>0</v>
      </c>
      <c r="BF387" t="b">
        <f>AND(IF(metadata!U387="",FALSE,TRUE),EXACT(metadata!U387,"Decimal degrees"))</f>
        <v>0</v>
      </c>
      <c r="BG387" t="b">
        <f>IF(metadata!V387="",FALSE,TRUE)</f>
        <v>0</v>
      </c>
      <c r="BH387" t="b">
        <f>OR(AND(IF(metadata!W387="",FALSE,TRUE),OR(EXACT(metadata!W387,"missing: not collected"),EXACT(metadata!W387,"missing: not provided"),EXACT(metadata!W387,"missing: restricted access"))),AND(IF(metadata!W387="",FALSE,TRUE),OR(EXACT(metadata!W387,"TRUE"),EXACT(metadata!W387,"FALSE"))))</f>
        <v>0</v>
      </c>
      <c r="BI387" t="b">
        <f>AND(IF(metadata!X387="",FALSE,TRUE),EXACT(metadata!X387,"other"))</f>
        <v>0</v>
      </c>
      <c r="BJ387" t="b">
        <f>IF(metadata!Y387="",FALSE,TRUE)</f>
        <v>0</v>
      </c>
      <c r="BK387" t="b">
        <f>OR(AND(IF(metadata!Z387="",FALSE,TRUE),OR(EXACT(metadata!Z387,"missing: not collected"),EXACT(metadata!Z387,"missing: not provided"))),AND(IF(metadata!Z387="",FALSE,IF(ISERROR(INT(metadata!Z387)),FALSE,INT(metadata!Z387)=metadata!Z387)),metadata!Z387&gt;0))</f>
        <v>0</v>
      </c>
      <c r="BL387" t="b">
        <f>AND(IF(metadata!AA387="",FALSE,TRUE),EXACT(metadata!AA387,"Not applicable"))</f>
        <v>0</v>
      </c>
      <c r="BM387" t="b">
        <f>IF(metadata!AB387="",FALSE,TRUE)</f>
        <v>0</v>
      </c>
    </row>
    <row r="388" spans="1:65" x14ac:dyDescent="0.2">
      <c r="A388" s="5" t="str">
        <f ca="1">IF(B388=" "," ",HYPERLINK(CONCATENATE("#metadata!",ADDRESS(INDEX($AH$2:$AH$1001,MATCH(ROWS($AF$2:AF388),$AF$2:$AF$1001,0),0),1)),INDEX($AK$2:$AK$1001,MATCH(ROWS($AF$2:AF388),$AF$2:$AF$1001,0),0)))</f>
        <v xml:space="preserve"> </v>
      </c>
      <c r="B388" s="4" t="str">
        <f ca="1">IF(OR(INDEX($AG$2:$AG$1001,MATCH(ROWS($AF$2:AF388),$AF$2:$AF$1001,0),1)&gt;=100000,INDEX($AM$1005:$BM$1005,1,MATCH(COLUMNS($AM$1006:AM1006),$AM$1006:$BM$1006,0))&gt;=100000), " ",IF(INDEX($AM$2:$BM$1001,MATCH(ROWS($AF$2:AF388),$AF$2:$AF$1001,0),MATCH(COLUMNS($AM$1006:AM1006),$AM$1006:$BM$1006,0)), HYPERLINK("#",""), HYPERLINK(CONCATENATE("#metadata!", ADDRESS(INDEX($AH$2:$AH$1001,MATCH(ROWS($AF$2:AF388),$AF$2:$AF$1001,0),0), INDEX($AM$1004:$BM$1004,1,MATCH(COLUMNS($AM$1006:AM1006),$AM$1006:$BM$1006,0)))),"Fix")))</f>
        <v xml:space="preserve"> </v>
      </c>
      <c r="C388" s="4" t="str">
        <f ca="1">IF(OR(INDEX($AG$2:$AG$1001,MATCH(ROWS($AF$2:AF388),$AF$2:$AF$1001,0),1)&gt;=100000,INDEX($AM$1005:$BM$1005,1,MATCH(COLUMNS($AM$1006:AN1006),$AM$1006:$BM$1006,0))&gt;=100000), " ",IF(INDEX($AM$2:$BM$1001,MATCH(ROWS($AF$2:AF388),$AF$2:$AF$1001,0),MATCH(COLUMNS($AM$1006:AN1006),$AM$1006:$BM$1006,0)), HYPERLINK("#",""), HYPERLINK(CONCATENATE("#metadata!", ADDRESS(INDEX($AH$2:$AH$1001,MATCH(ROWS($AF$2:AF388),$AF$2:$AF$1001,0),0), INDEX($AM$1004:$BM$1004,1,MATCH(COLUMNS($AM$1006:AN1006),$AM$1006:$BM$1006,0)))),"Fix")))</f>
        <v xml:space="preserve"> </v>
      </c>
      <c r="D388" s="4" t="str">
        <f ca="1">IF(OR(INDEX($AG$2:$AG$1001,MATCH(ROWS($AF$2:AF388),$AF$2:$AF$1001,0),1)&gt;=100000,INDEX($AM$1005:$BM$1005,1,MATCH(COLUMNS($AM$1006:AO1006),$AM$1006:$BM$1006,0))&gt;=100000), " ",IF(INDEX($AM$2:$BM$1001,MATCH(ROWS($AF$2:AF388),$AF$2:$AF$1001,0),MATCH(COLUMNS($AM$1006:AO1006),$AM$1006:$BM$1006,0)), HYPERLINK("#",""), HYPERLINK(CONCATENATE("#metadata!", ADDRESS(INDEX($AH$2:$AH$1001,MATCH(ROWS($AF$2:AF388),$AF$2:$AF$1001,0),0), INDEX($AM$1004:$BM$1004,1,MATCH(COLUMNS($AM$1006:AO1006),$AM$1006:$BM$1006,0)))),"Fix")))</f>
        <v xml:space="preserve"> </v>
      </c>
      <c r="E388" s="4" t="str">
        <f ca="1">IF(OR(INDEX($AG$2:$AG$1001,MATCH(ROWS($AF$2:AF388),$AF$2:$AF$1001,0),1)&gt;=100000,INDEX($AM$1005:$BM$1005,1,MATCH(COLUMNS($AM$1006:AP1006),$AM$1006:$BM$1006,0))&gt;=100000), " ",IF(INDEX($AM$2:$BM$1001,MATCH(ROWS($AF$2:AF388),$AF$2:$AF$1001,0),MATCH(COLUMNS($AM$1006:AP1006),$AM$1006:$BM$1006,0)), HYPERLINK("#",""), HYPERLINK(CONCATENATE("#metadata!", ADDRESS(INDEX($AH$2:$AH$1001,MATCH(ROWS($AF$2:AF388),$AF$2:$AF$1001,0),0), INDEX($AM$1004:$BM$1004,1,MATCH(COLUMNS($AM$1006:AP1006),$AM$1006:$BM$1006,0)))),"Fix")))</f>
        <v xml:space="preserve"> </v>
      </c>
      <c r="F388" s="4" t="str">
        <f ca="1">IF(OR(INDEX($AG$2:$AG$1001,MATCH(ROWS($AF$2:AF388),$AF$2:$AF$1001,0),1)&gt;=100000,INDEX($AM$1005:$BM$1005,1,MATCH(COLUMNS($AM$1006:AQ1006),$AM$1006:$BM$1006,0))&gt;=100000), " ",IF(INDEX($AM$2:$BM$1001,MATCH(ROWS($AF$2:AF388),$AF$2:$AF$1001,0),MATCH(COLUMNS($AM$1006:AQ1006),$AM$1006:$BM$1006,0)), HYPERLINK("#",""), HYPERLINK(CONCATENATE("#metadata!", ADDRESS(INDEX($AH$2:$AH$1001,MATCH(ROWS($AF$2:AF388),$AF$2:$AF$1001,0),0), INDEX($AM$1004:$BM$1004,1,MATCH(COLUMNS($AM$1006:AQ1006),$AM$1006:$BM$1006,0)))),"Fix")))</f>
        <v xml:space="preserve"> </v>
      </c>
      <c r="G388" s="4" t="str">
        <f ca="1">IF(OR(INDEX($AG$2:$AG$1001,MATCH(ROWS($AF$2:AF388),$AF$2:$AF$1001,0),1)&gt;=100000,INDEX($AM$1005:$BM$1005,1,MATCH(COLUMNS($AM$1006:AR1006),$AM$1006:$BM$1006,0))&gt;=100000), " ",IF(INDEX($AM$2:$BM$1001,MATCH(ROWS($AF$2:AF388),$AF$2:$AF$1001,0),MATCH(COLUMNS($AM$1006:AR1006),$AM$1006:$BM$1006,0)), HYPERLINK("#",""), HYPERLINK(CONCATENATE("#metadata!", ADDRESS(INDEX($AH$2:$AH$1001,MATCH(ROWS($AF$2:AF388),$AF$2:$AF$1001,0),0), INDEX($AM$1004:$BM$1004,1,MATCH(COLUMNS($AM$1006:AR1006),$AM$1006:$BM$1006,0)))),"Fix")))</f>
        <v xml:space="preserve"> </v>
      </c>
      <c r="H388" s="4" t="str">
        <f ca="1">IF(OR(INDEX($AG$2:$AG$1001,MATCH(ROWS($AF$2:AF388),$AF$2:$AF$1001,0),1)&gt;=100000,INDEX($AM$1005:$BM$1005,1,MATCH(COLUMNS($AM$1006:AS1006),$AM$1006:$BM$1006,0))&gt;=100000), " ",IF(INDEX($AM$2:$BM$1001,MATCH(ROWS($AF$2:AF388),$AF$2:$AF$1001,0),MATCH(COLUMNS($AM$1006:AS1006),$AM$1006:$BM$1006,0)), HYPERLINK("#",""), HYPERLINK(CONCATENATE("#metadata!", ADDRESS(INDEX($AH$2:$AH$1001,MATCH(ROWS($AF$2:AF388),$AF$2:$AF$1001,0),0), INDEX($AM$1004:$BM$1004,1,MATCH(COLUMNS($AM$1006:AS1006),$AM$1006:$BM$1006,0)))),"Fix")))</f>
        <v xml:space="preserve"> </v>
      </c>
      <c r="I388" s="4" t="str">
        <f ca="1">IF(OR(INDEX($AG$2:$AG$1001,MATCH(ROWS($AF$2:AF388),$AF$2:$AF$1001,0),1)&gt;=100000,INDEX($AM$1005:$BM$1005,1,MATCH(COLUMNS($AM$1006:AT1006),$AM$1006:$BM$1006,0))&gt;=100000), " ",IF(INDEX($AM$2:$BM$1001,MATCH(ROWS($AF$2:AF388),$AF$2:$AF$1001,0),MATCH(COLUMNS($AM$1006:AT1006),$AM$1006:$BM$1006,0)), HYPERLINK("#",""), HYPERLINK(CONCATENATE("#metadata!", ADDRESS(INDEX($AH$2:$AH$1001,MATCH(ROWS($AF$2:AF388),$AF$2:$AF$1001,0),0), INDEX($AM$1004:$BM$1004,1,MATCH(COLUMNS($AM$1006:AT1006),$AM$1006:$BM$1006,0)))),"Fix")))</f>
        <v xml:space="preserve"> </v>
      </c>
      <c r="J388" s="4" t="str">
        <f ca="1">IF(OR(INDEX($AG$2:$AG$1001,MATCH(ROWS($AF$2:AF388),$AF$2:$AF$1001,0),1)&gt;=100000,INDEX($AM$1005:$BM$1005,1,MATCH(COLUMNS($AM$1006:AU1006),$AM$1006:$BM$1006,0))&gt;=100000), " ",IF(INDEX($AM$2:$BM$1001,MATCH(ROWS($AF$2:AF388),$AF$2:$AF$1001,0),MATCH(COLUMNS($AM$1006:AU1006),$AM$1006:$BM$1006,0)), HYPERLINK("#",""), HYPERLINK(CONCATENATE("#metadata!", ADDRESS(INDEX($AH$2:$AH$1001,MATCH(ROWS($AF$2:AF388),$AF$2:$AF$1001,0),0), INDEX($AM$1004:$BM$1004,1,MATCH(COLUMNS($AM$1006:AU1006),$AM$1006:$BM$1006,0)))),"Fix")))</f>
        <v xml:space="preserve"> </v>
      </c>
      <c r="K388" s="4" t="str">
        <f ca="1">IF(OR(INDEX($AG$2:$AG$1001,MATCH(ROWS($AF$2:AF388),$AF$2:$AF$1001,0),1)&gt;=100000,INDEX($AM$1005:$BM$1005,1,MATCH(COLUMNS($AM$1006:AV1006),$AM$1006:$BM$1006,0))&gt;=100000), " ",IF(INDEX($AM$2:$BM$1001,MATCH(ROWS($AF$2:AF388),$AF$2:$AF$1001,0),MATCH(COLUMNS($AM$1006:AV1006),$AM$1006:$BM$1006,0)), HYPERLINK("#",""), HYPERLINK(CONCATENATE("#metadata!", ADDRESS(INDEX($AH$2:$AH$1001,MATCH(ROWS($AF$2:AF388),$AF$2:$AF$1001,0),0), INDEX($AM$1004:$BM$1004,1,MATCH(COLUMNS($AM$1006:AV1006),$AM$1006:$BM$1006,0)))),"Fix")))</f>
        <v xml:space="preserve"> </v>
      </c>
      <c r="L388" s="4" t="str">
        <f ca="1">IF(OR(INDEX($AG$2:$AG$1001,MATCH(ROWS($AF$2:AF388),$AF$2:$AF$1001,0),1)&gt;=100000,INDEX($AM$1005:$BM$1005,1,MATCH(COLUMNS($AM$1006:AW1006),$AM$1006:$BM$1006,0))&gt;=100000), " ",IF(INDEX($AM$2:$BM$1001,MATCH(ROWS($AF$2:AF388),$AF$2:$AF$1001,0),MATCH(COLUMNS($AM$1006:AW1006),$AM$1006:$BM$1006,0)), HYPERLINK("#",""), HYPERLINK(CONCATENATE("#metadata!", ADDRESS(INDEX($AH$2:$AH$1001,MATCH(ROWS($AF$2:AF388),$AF$2:$AF$1001,0),0), INDEX($AM$1004:$BM$1004,1,MATCH(COLUMNS($AM$1006:AW1006),$AM$1006:$BM$1006,0)))),"Fix")))</f>
        <v xml:space="preserve"> </v>
      </c>
      <c r="M388" s="4" t="str">
        <f ca="1">IF(OR(INDEX($AG$2:$AG$1001,MATCH(ROWS($AF$2:AF388),$AF$2:$AF$1001,0),1)&gt;=100000,INDEX($AM$1005:$BM$1005,1,MATCH(COLUMNS($AM$1006:AX1006),$AM$1006:$BM$1006,0))&gt;=100000), " ",IF(INDEX($AM$2:$BM$1001,MATCH(ROWS($AF$2:AF388),$AF$2:$AF$1001,0),MATCH(COLUMNS($AM$1006:AX1006),$AM$1006:$BM$1006,0)), HYPERLINK("#",""), HYPERLINK(CONCATENATE("#metadata!", ADDRESS(INDEX($AH$2:$AH$1001,MATCH(ROWS($AF$2:AF388),$AF$2:$AF$1001,0),0), INDEX($AM$1004:$BM$1004,1,MATCH(COLUMNS($AM$1006:AX1006),$AM$1006:$BM$1006,0)))),"Fix")))</f>
        <v xml:space="preserve"> </v>
      </c>
      <c r="N388" s="4" t="str">
        <f ca="1">IF(OR(INDEX($AG$2:$AG$1001,MATCH(ROWS($AF$2:AF388),$AF$2:$AF$1001,0),1)&gt;=100000,INDEX($AM$1005:$BM$1005,1,MATCH(COLUMNS($AM$1006:AY1006),$AM$1006:$BM$1006,0))&gt;=100000), " ",IF(INDEX($AM$2:$BM$1001,MATCH(ROWS($AF$2:AF388),$AF$2:$AF$1001,0),MATCH(COLUMNS($AM$1006:AY1006),$AM$1006:$BM$1006,0)), HYPERLINK("#",""), HYPERLINK(CONCATENATE("#metadata!", ADDRESS(INDEX($AH$2:$AH$1001,MATCH(ROWS($AF$2:AF388),$AF$2:$AF$1001,0),0), INDEX($AM$1004:$BM$1004,1,MATCH(COLUMNS($AM$1006:AY1006),$AM$1006:$BM$1006,0)))),"Fix")))</f>
        <v xml:space="preserve"> </v>
      </c>
      <c r="O388" s="4" t="str">
        <f ca="1">IF(OR(INDEX($AG$2:$AG$1001,MATCH(ROWS($AF$2:AF388),$AF$2:$AF$1001,0),1)&gt;=100000,INDEX($AM$1005:$BM$1005,1,MATCH(COLUMNS($AM$1006:AZ1006),$AM$1006:$BM$1006,0))&gt;=100000), " ",IF(INDEX($AM$2:$BM$1001,MATCH(ROWS($AF$2:AF388),$AF$2:$AF$1001,0),MATCH(COLUMNS($AM$1006:AZ1006),$AM$1006:$BM$1006,0)), HYPERLINK("#",""), HYPERLINK(CONCATENATE("#metadata!", ADDRESS(INDEX($AH$2:$AH$1001,MATCH(ROWS($AF$2:AF388),$AF$2:$AF$1001,0),0), INDEX($AM$1004:$BM$1004,1,MATCH(COLUMNS($AM$1006:AZ1006),$AM$1006:$BM$1006,0)))),"Fix")))</f>
        <v xml:space="preserve"> </v>
      </c>
      <c r="P388" s="4" t="str">
        <f ca="1">IF(OR(INDEX($AG$2:$AG$1001,MATCH(ROWS($AF$2:AF388),$AF$2:$AF$1001,0),1)&gt;=100000,INDEX($AM$1005:$BM$1005,1,MATCH(COLUMNS($AM$1006:BA1006),$AM$1006:$BM$1006,0))&gt;=100000), " ",IF(INDEX($AM$2:$BM$1001,MATCH(ROWS($AF$2:AF388),$AF$2:$AF$1001,0),MATCH(COLUMNS($AM$1006:BA1006),$AM$1006:$BM$1006,0)), HYPERLINK("#",""), HYPERLINK(CONCATENATE("#metadata!", ADDRESS(INDEX($AH$2:$AH$1001,MATCH(ROWS($AF$2:AF388),$AF$2:$AF$1001,0),0), INDEX($AM$1004:$BM$1004,1,MATCH(COLUMNS($AM$1006:BA1006),$AM$1006:$BM$1006,0)))),"Fix")))</f>
        <v xml:space="preserve"> </v>
      </c>
      <c r="Q388" s="4" t="str">
        <f ca="1">IF(OR(INDEX($AG$2:$AG$1001,MATCH(ROWS($AF$2:AF388),$AF$2:$AF$1001,0),1)&gt;=100000,INDEX($AM$1005:$BM$1005,1,MATCH(COLUMNS($AM$1006:BB1006),$AM$1006:$BM$1006,0))&gt;=100000), " ",IF(INDEX($AM$2:$BM$1001,MATCH(ROWS($AF$2:AF388),$AF$2:$AF$1001,0),MATCH(COLUMNS($AM$1006:BB1006),$AM$1006:$BM$1006,0)), HYPERLINK("#",""), HYPERLINK(CONCATENATE("#metadata!", ADDRESS(INDEX($AH$2:$AH$1001,MATCH(ROWS($AF$2:AF388),$AF$2:$AF$1001,0),0), INDEX($AM$1004:$BM$1004,1,MATCH(COLUMNS($AM$1006:BB1006),$AM$1006:$BM$1006,0)))),"Fix")))</f>
        <v xml:space="preserve"> </v>
      </c>
      <c r="R388" s="4" t="str">
        <f ca="1">IF(OR(INDEX($AG$2:$AG$1001,MATCH(ROWS($AF$2:AF388),$AF$2:$AF$1001,0),1)&gt;=100000,INDEX($AM$1005:$BM$1005,1,MATCH(COLUMNS($AM$1006:BC1006),$AM$1006:$BM$1006,0))&gt;=100000), " ",IF(INDEX($AM$2:$BM$1001,MATCH(ROWS($AF$2:AF388),$AF$2:$AF$1001,0),MATCH(COLUMNS($AM$1006:BC1006),$AM$1006:$BM$1006,0)), HYPERLINK("#",""), HYPERLINK(CONCATENATE("#metadata!", ADDRESS(INDEX($AH$2:$AH$1001,MATCH(ROWS($AF$2:AF388),$AF$2:$AF$1001,0),0), INDEX($AM$1004:$BM$1004,1,MATCH(COLUMNS($AM$1006:BC1006),$AM$1006:$BM$1006,0)))),"Fix")))</f>
        <v xml:space="preserve"> </v>
      </c>
      <c r="S388" s="4" t="str">
        <f ca="1">IF(OR(INDEX($AG$2:$AG$1001,MATCH(ROWS($AF$2:AF388),$AF$2:$AF$1001,0),1)&gt;=100000,INDEX($AM$1005:$BM$1005,1,MATCH(COLUMNS($AM$1006:BD1006),$AM$1006:$BM$1006,0))&gt;=100000), " ",IF(INDEX($AM$2:$BM$1001,MATCH(ROWS($AF$2:AF388),$AF$2:$AF$1001,0),MATCH(COLUMNS($AM$1006:BD1006),$AM$1006:$BM$1006,0)), HYPERLINK("#",""), HYPERLINK(CONCATENATE("#metadata!", ADDRESS(INDEX($AH$2:$AH$1001,MATCH(ROWS($AF$2:AF388),$AF$2:$AF$1001,0),0), INDEX($AM$1004:$BM$1004,1,MATCH(COLUMNS($AM$1006:BD1006),$AM$1006:$BM$1006,0)))),"Fix")))</f>
        <v xml:space="preserve"> </v>
      </c>
      <c r="T388" s="4" t="str">
        <f ca="1">IF(OR(INDEX($AG$2:$AG$1001,MATCH(ROWS($AF$2:AF388),$AF$2:$AF$1001,0),1)&gt;=100000,INDEX($AM$1005:$BM$1005,1,MATCH(COLUMNS($AM$1006:BE1006),$AM$1006:$BM$1006,0))&gt;=100000), " ",IF(INDEX($AM$2:$BM$1001,MATCH(ROWS($AF$2:AF388),$AF$2:$AF$1001,0),MATCH(COLUMNS($AM$1006:BE1006),$AM$1006:$BM$1006,0)), HYPERLINK("#",""), HYPERLINK(CONCATENATE("#metadata!", ADDRESS(INDEX($AH$2:$AH$1001,MATCH(ROWS($AF$2:AF388),$AF$2:$AF$1001,0),0), INDEX($AM$1004:$BM$1004,1,MATCH(COLUMNS($AM$1006:BE1006),$AM$1006:$BM$1006,0)))),"Fix")))</f>
        <v xml:space="preserve"> </v>
      </c>
      <c r="U388" s="4" t="str">
        <f ca="1">IF(OR(INDEX($AG$2:$AG$1001,MATCH(ROWS($AF$2:AF388),$AF$2:$AF$1001,0),1)&gt;=100000,INDEX($AM$1005:$BM$1005,1,MATCH(COLUMNS($AM$1006:BF1006),$AM$1006:$BM$1006,0))&gt;=100000), " ",IF(INDEX($AM$2:$BM$1001,MATCH(ROWS($AF$2:AF388),$AF$2:$AF$1001,0),MATCH(COLUMNS($AM$1006:BF1006),$AM$1006:$BM$1006,0)), HYPERLINK("#",""), HYPERLINK(CONCATENATE("#metadata!", ADDRESS(INDEX($AH$2:$AH$1001,MATCH(ROWS($AF$2:AF388),$AF$2:$AF$1001,0),0), INDEX($AM$1004:$BM$1004,1,MATCH(COLUMNS($AM$1006:BF1006),$AM$1006:$BM$1006,0)))),"Fix")))</f>
        <v xml:space="preserve"> </v>
      </c>
      <c r="V388" s="4" t="str">
        <f ca="1">IF(OR(INDEX($AG$2:$AG$1001,MATCH(ROWS($AF$2:AF388),$AF$2:$AF$1001,0),1)&gt;=100000,INDEX($AM$1005:$BM$1005,1,MATCH(COLUMNS($AM$1006:BG1006),$AM$1006:$BM$1006,0))&gt;=100000), " ",IF(INDEX($AM$2:$BM$1001,MATCH(ROWS($AF$2:AF388),$AF$2:$AF$1001,0),MATCH(COLUMNS($AM$1006:BG1006),$AM$1006:$BM$1006,0)), HYPERLINK("#",""), HYPERLINK(CONCATENATE("#metadata!", ADDRESS(INDEX($AH$2:$AH$1001,MATCH(ROWS($AF$2:AF388),$AF$2:$AF$1001,0),0), INDEX($AM$1004:$BM$1004,1,MATCH(COLUMNS($AM$1006:BG1006),$AM$1006:$BM$1006,0)))),"Fix")))</f>
        <v xml:space="preserve"> </v>
      </c>
      <c r="W388" s="4" t="str">
        <f ca="1">IF(OR(INDEX($AG$2:$AG$1001,MATCH(ROWS($AF$2:AF388),$AF$2:$AF$1001,0),1)&gt;=100000,INDEX($AM$1005:$BM$1005,1,MATCH(COLUMNS($AM$1006:BH1006),$AM$1006:$BM$1006,0))&gt;=100000), " ",IF(INDEX($AM$2:$BM$1001,MATCH(ROWS($AF$2:AF388),$AF$2:$AF$1001,0),MATCH(COLUMNS($AM$1006:BH1006),$AM$1006:$BM$1006,0)), HYPERLINK("#",""), HYPERLINK(CONCATENATE("#metadata!", ADDRESS(INDEX($AH$2:$AH$1001,MATCH(ROWS($AF$2:AF388),$AF$2:$AF$1001,0),0), INDEX($AM$1004:$BM$1004,1,MATCH(COLUMNS($AM$1006:BH1006),$AM$1006:$BM$1006,0)))),"Fix")))</f>
        <v xml:space="preserve"> </v>
      </c>
      <c r="X388" s="4" t="str">
        <f ca="1">IF(OR(INDEX($AG$2:$AG$1001,MATCH(ROWS($AF$2:AF388),$AF$2:$AF$1001,0),1)&gt;=100000,INDEX($AM$1005:$BM$1005,1,MATCH(COLUMNS($AM$1006:BI1006),$AM$1006:$BM$1006,0))&gt;=100000), " ",IF(INDEX($AM$2:$BM$1001,MATCH(ROWS($AF$2:AF388),$AF$2:$AF$1001,0),MATCH(COLUMNS($AM$1006:BI1006),$AM$1006:$BM$1006,0)), HYPERLINK("#",""), HYPERLINK(CONCATENATE("#metadata!", ADDRESS(INDEX($AH$2:$AH$1001,MATCH(ROWS($AF$2:AF388),$AF$2:$AF$1001,0),0), INDEX($AM$1004:$BM$1004,1,MATCH(COLUMNS($AM$1006:BI1006),$AM$1006:$BM$1006,0)))),"Fix")))</f>
        <v xml:space="preserve"> </v>
      </c>
      <c r="Y388" s="4" t="str">
        <f ca="1">IF(OR(INDEX($AG$2:$AG$1001,MATCH(ROWS($AF$2:AF388),$AF$2:$AF$1001,0),1)&gt;=100000,INDEX($AM$1005:$BM$1005,1,MATCH(COLUMNS($AM$1006:BJ1006),$AM$1006:$BM$1006,0))&gt;=100000), " ",IF(INDEX($AM$2:$BM$1001,MATCH(ROWS($AF$2:AF388),$AF$2:$AF$1001,0),MATCH(COLUMNS($AM$1006:BJ1006),$AM$1006:$BM$1006,0)), HYPERLINK("#",""), HYPERLINK(CONCATENATE("#metadata!", ADDRESS(INDEX($AH$2:$AH$1001,MATCH(ROWS($AF$2:AF388),$AF$2:$AF$1001,0),0), INDEX($AM$1004:$BM$1004,1,MATCH(COLUMNS($AM$1006:BJ1006),$AM$1006:$BM$1006,0)))),"Fix")))</f>
        <v xml:space="preserve"> </v>
      </c>
      <c r="Z388" s="4" t="str">
        <f ca="1">IF(OR(INDEX($AG$2:$AG$1001,MATCH(ROWS($AF$2:AF388),$AF$2:$AF$1001,0),1)&gt;=100000,INDEX($AM$1005:$BM$1005,1,MATCH(COLUMNS($AM$1006:BK1006),$AM$1006:$BM$1006,0))&gt;=100000), " ",IF(INDEX($AM$2:$BM$1001,MATCH(ROWS($AF$2:AF388),$AF$2:$AF$1001,0),MATCH(COLUMNS($AM$1006:BK1006),$AM$1006:$BM$1006,0)), HYPERLINK("#",""), HYPERLINK(CONCATENATE("#metadata!", ADDRESS(INDEX($AH$2:$AH$1001,MATCH(ROWS($AF$2:AF388),$AF$2:$AF$1001,0),0), INDEX($AM$1004:$BM$1004,1,MATCH(COLUMNS($AM$1006:BK1006),$AM$1006:$BM$1006,0)))),"Fix")))</f>
        <v xml:space="preserve"> </v>
      </c>
      <c r="AA388" s="4" t="str">
        <f ca="1">IF(OR(INDEX($AG$2:$AG$1001,MATCH(ROWS($AF$2:AF388),$AF$2:$AF$1001,0),1)&gt;=100000,INDEX($AM$1005:$BM$1005,1,MATCH(COLUMNS($AM$1006:BL1006),$AM$1006:$BM$1006,0))&gt;=100000), " ",IF(INDEX($AM$2:$BM$1001,MATCH(ROWS($AF$2:AF388),$AF$2:$AF$1001,0),MATCH(COLUMNS($AM$1006:BL1006),$AM$1006:$BM$1006,0)), HYPERLINK("#",""), HYPERLINK(CONCATENATE("#metadata!", ADDRESS(INDEX($AH$2:$AH$1001,MATCH(ROWS($AF$2:AF388),$AF$2:$AF$1001,0),0), INDEX($AM$1004:$BM$1004,1,MATCH(COLUMNS($AM$1006:BL1006),$AM$1006:$BM$1006,0)))),"Fix")))</f>
        <v xml:space="preserve"> </v>
      </c>
      <c r="AB388" s="4" t="str">
        <f ca="1">IF(OR(INDEX($AG$2:$AG$1001,MATCH(ROWS($AF$2:AF388),$AF$2:$AF$1001,0),1)&gt;=100000,INDEX($AM$1005:$BM$1005,1,MATCH(COLUMNS($AM$1006:BM1006),$AM$1006:$BM$1006,0))&gt;=100000), " ",IF(INDEX($AM$2:$BM$1001,MATCH(ROWS($AF$2:AF388),$AF$2:$AF$1001,0),MATCH(COLUMNS($AM$1006:BM1006),$AM$1006:$BM$1006,0)), HYPERLINK("#",""), HYPERLINK(CONCATENATE("#metadata!", ADDRESS(INDEX($AH$2:$AH$1001,MATCH(ROWS($AF$2:AF388),$AF$2:$AF$1001,0),0), INDEX($AM$1004:$BM$1004,1,MATCH(COLUMNS($AM$1006:BM1006),$AM$1006:$BM$1006,0)))),"Fix")))</f>
        <v xml:space="preserve"> </v>
      </c>
      <c r="AF388">
        <v>387</v>
      </c>
      <c r="AG388">
        <v>100388</v>
      </c>
      <c r="AH388">
        <v>388</v>
      </c>
      <c r="AI388" t="b">
        <f t="shared" si="6"/>
        <v>1</v>
      </c>
      <c r="AJ388" t="b">
        <f>COUNTBLANK(metadata!B388:AB388)=COLUMNS(metadata!B388:AB388)</f>
        <v>1</v>
      </c>
      <c r="AK388" t="str">
        <v/>
      </c>
      <c r="AM388" t="b">
        <f ca="1">AND(IF(metadata!B388="",FALSE,TRUE),COUNTIF(metadata!B:B, metadata!B388) = 1,NOT(ISERROR(SUMPRODUCT(SEARCH(MID(metadata!B388,ROW(INDIRECT("1:"&amp;LEN(metadata!B388))), 1),"0123456789abcdefghijklmnopqrstuvwxyzABCDEFGHIJKLMNOPQRSTUVWXYZ.")))))</f>
        <v>0</v>
      </c>
      <c r="AN388" t="b">
        <f ca="1">OR(AND(IF(metadata!C388="",FALSE,TRUE),OR(EXACT(metadata!C388,"missing: not collected"),EXACT(metadata!C388,"missing: not provided"),EXACT(metadata!C388,"missing: restricted access"))),AND(IF(metadata!C388="",FALSE,TRUE),AND(AND(IFERROR(INT(LEFT(metadata!C388,4))&gt;1900,FALSE),IFERROR(INT(LEFT(metadata!C388,4))&lt;=YEAR(NOW()),FALSE)), OR(MID(metadata!C388,5,1)="", AND(AND(MID(metadata!C388,5,1)="-",IFERROR(INT(MID(metadata!C388,6,1))&gt;=0,FALSE),IFERROR(INT(MID(metadata!C388,6,1))&lt;=1,FALSE),NOT(MID(metadata!C388,7,1)=""),IFERROR(INT(MID(metadata!C388,6,2))&gt;=1,FALSE),IFERROR(INT(MID(metadata!C388,6,2))&lt;=12,FALSE)), OR(MID(metadata!C388,8,1)="", AND(AND(MID(metadata!C388,8,1)="-",IFERROR(INT(MID(metadata!C388,9,1))&gt;=0,FALSE),IFERROR(INT(MID(metadata!C388,9,1))&lt;=3,FALSE),NOT(MID(metadata!C388,10,1)=""),IFERROR(INT(MID(metadata!C388,9,2))&gt;=1,FALSE),IFERROR(INT(MID(metadata!C388,9,2))&lt;=31,FALSE)), OR(MID(metadata!C388,11,1)="", AND(AND(MID(metadata!C388,11,1)=" ",IFERROR(INT(MID(metadata!C388,12,1))&gt;=0,FALSE),IFERROR(INT(MID(metadata!C388,12,1))&lt;=2,FALSE),NOT(MID(metadata!C388,13,1)=""),IFERROR(INT(MID(metadata!C388,12,2))&gt;=0,FALSE),IFERROR(INT(MID(metadata!C388,12,2))&lt;=23,FALSE)), OR(MID(metadata!C388,14,1)="", AND(AND(MID(metadata!C388,14,1)=":",IFERROR(INT(MID(metadata!C388,15,1))&gt;=0,FALSE),IFERROR(INT(MID(metadata!C388,15,1))&lt;=5,FALSE),NOT(MID(metadata!C388,16,1)=""),IFERROR(INT(MID(metadata!C388,15,2))&gt;=0,FALSE),IFERROR(INT(MID(metadata!C388,15,2))&lt;=59,FALSE)), OR(MID(metadata!C388,17,1)="", AND(AND(MID(metadata!C388,17,1)=":",IFERROR(INT(MID(metadata!C388,18,1))&gt;=0,FALSE),IFERROR(INT(MID(metadata!C388,18,1))&lt;=5,FALSE),NOT(MID(metadata!C388,19,1)=""),IFERROR(INT(MID(metadata!C388,18,2))&gt;=0,FALSE),IFERROR(INT(MID(metadata!C388,18,2))&lt;=59,FALSE)), LEN(metadata!C388)&lt;=19)))))))))))))</f>
        <v>0</v>
      </c>
      <c r="AO388" t="b">
        <f>AND(IF(metadata!D388="",FALSE,TRUE),EXACT(metadata!D388,"Not applicable"))</f>
        <v>0</v>
      </c>
      <c r="AP388" t="b">
        <f>IF(metadata!E388="",FALSE,TRUE)</f>
        <v>0</v>
      </c>
      <c r="AQ388" t="b">
        <f>OR(AND(IF(metadata!F388="",FALSE,TRUE),OR(EXACT(metadata!F388,"missing: not collected"),EXACT(metadata!F388,"missing: not provided"))),AND(IF(metadata!F388="",FALSE,TRUE),OR(EXACT(metadata!F388,"TRUE"),EXACT(metadata!F388,"FALSE"))))</f>
        <v>0</v>
      </c>
      <c r="AR388" t="b">
        <f>OR(AND(IF(metadata!G388="",FALSE,TRUE),OR(EXACT(metadata!G388,"missing: not collected"),EXACT(metadata!G388,"missing: not provided"),EXACT(metadata!G388,"missing: restricted access"))),AND(IF(metadata!G388="",FALSE,ISNUMBER(VALUE(metadata!G388))),metadata!G388&gt;=-413))</f>
        <v>0</v>
      </c>
      <c r="AS388" t="b">
        <f>AND(IF(metadata!H388="",FALSE,TRUE),EXACT(metadata!H388,"meters"))</f>
        <v>0</v>
      </c>
      <c r="AT388" t="b">
        <f>AND(IF(metadata!I388="",FALSE,TRUE),OR(EXACT(metadata!I388,"Host-associated"),EXACT(metadata!I388,"Free-living")))</f>
        <v>0</v>
      </c>
      <c r="AU388" t="b">
        <f>AND(IF(metadata!J388="",FALSE,TRUE),OR(EXACT(metadata!J388,"Animal"),EXACT(metadata!J388,"Fungus"),EXACT(metadata!J388,"Plant"),EXACT(metadata!J388,"Saline"),EXACT(metadata!J388,"Non-saline")))</f>
        <v>0</v>
      </c>
      <c r="AV388" t="b">
        <f>AND(IF(metadata!K388="",FALSE,TRUE),OR(EXACT(metadata!K388,"Plant secretion"),EXACT(metadata!K388,"Plant rhizosphere"),EXACT(metadata!K388,"Plant surface"),EXACT(metadata!K388,"Plant corpus"),EXACT(metadata!K388,"Fungus surface"),EXACT(metadata!K388,"Fungus corpus"),EXACT(metadata!K388,"Animal surface"),EXACT(metadata!K388,"Animal proximal gut"),EXACT(metadata!K388,"Animal corpus"),EXACT(metadata!K388,"Animal distal gut"),EXACT(metadata!K388,"Animal secretion"),EXACT(metadata!K388,"Sub-surface (non-saline)"),EXACT(metadata!K388,"Surface (non-saline)"),EXACT(metadata!K388,"Water (non-saline)"),EXACT(metadata!K388,"Soil (non-saline)"),EXACT(metadata!K388,"Aerosol (non-saline)"),EXACT(metadata!K388,"Sediment (non-saline)"),EXACT(metadata!K388,"Surface (saline)"),EXACT(metadata!K388,"Water (saline)"),EXACT(metadata!K388,"Hypersaline (saline)"),EXACT(metadata!K388,"Aerosol (saline)"),EXACT(metadata!K388,"Sediment (saline)")))</f>
        <v>0</v>
      </c>
      <c r="AW388" t="b">
        <f>IF(metadata!L388="",FALSE,TRUE)</f>
        <v>0</v>
      </c>
      <c r="AX388" t="b">
        <f>IF(metadata!M388="",FALSE,TRUE)</f>
        <v>0</v>
      </c>
      <c r="AY388" t="b">
        <f>IF(metadata!N388="",FALSE,TRUE)</f>
        <v>0</v>
      </c>
      <c r="AZ388" t="b">
        <f>OR(AND(IF(metadata!O388="",FALSE,TRUE),OR(EXACT(metadata!O388,"missing: not collected"),EXACT(metadata!O388,"missing: not provided"),EXACT(metadata!O388,"missing: restricted access"))),AND(IF(metadata!O388="",FALSE,TRUE),OR(EXACT(metadata!O388,"air"),EXACT(metadata!O388,"built environment"),EXACT(metadata!O388,"host-associated"),EXACT(metadata!O388,"human-associated"),EXACT(metadata!O388,"human-skin"),EXACT(metadata!O388,"human-oral"),EXACT(metadata!O388,"human-gut"),EXACT(metadata!O388,"human-vaginal"),EXACT(metadata!O388,"microbial mat/biofilm"),EXACT(metadata!O388,"misc environment"),EXACT(metadata!O388,"plant-associated"),EXACT(metadata!O388,"sediment"),EXACT(metadata!O388,"soil"),EXACT(metadata!O388,"wastewater/sludge"),EXACT(metadata!O388,"water"))))</f>
        <v>0</v>
      </c>
      <c r="BA388" t="b">
        <f>IF(metadata!P388="",FALSE,TRUE)</f>
        <v>0</v>
      </c>
      <c r="BB388" t="b">
        <f>IF(metadata!Q388="",FALSE,TRUE)</f>
        <v>0</v>
      </c>
      <c r="BC388" t="b">
        <f>OR(AND(IF(metadata!R388="",FALSE,TRUE),OR(EXACT(metadata!R388,"missing: not collected"),EXACT(metadata!R388,"missing: not provided"),EXACT(metadata!R388,"missing: restricted access"))),AND(IF(metadata!R388="",FALSE,ISNUMBER(VALUE(metadata!R388))),metadata!R388&gt;=-90,metadata!R388&lt;=90))</f>
        <v>0</v>
      </c>
      <c r="BD388" t="b">
        <f>AND(IF(metadata!S388="",FALSE,TRUE),EXACT(metadata!S388,"Decimal degrees"))</f>
        <v>0</v>
      </c>
      <c r="BE388" t="b">
        <f>OR(AND(IF(metadata!T388="",FALSE,TRUE),OR(EXACT(metadata!T388,"missing: not collected"),EXACT(metadata!T388,"missing: not provided"),EXACT(metadata!T388,"missing: restricted access"))),AND(IF(metadata!T388="",FALSE,ISNUMBER(VALUE(metadata!T388))),metadata!T388&gt;=-180,metadata!T388&lt;=180))</f>
        <v>0</v>
      </c>
      <c r="BF388" t="b">
        <f>AND(IF(metadata!U388="",FALSE,TRUE),EXACT(metadata!U388,"Decimal degrees"))</f>
        <v>0</v>
      </c>
      <c r="BG388" t="b">
        <f>IF(metadata!V388="",FALSE,TRUE)</f>
        <v>0</v>
      </c>
      <c r="BH388" t="b">
        <f>OR(AND(IF(metadata!W388="",FALSE,TRUE),OR(EXACT(metadata!W388,"missing: not collected"),EXACT(metadata!W388,"missing: not provided"),EXACT(metadata!W388,"missing: restricted access"))),AND(IF(metadata!W388="",FALSE,TRUE),OR(EXACT(metadata!W388,"TRUE"),EXACT(metadata!W388,"FALSE"))))</f>
        <v>0</v>
      </c>
      <c r="BI388" t="b">
        <f>AND(IF(metadata!X388="",FALSE,TRUE),EXACT(metadata!X388,"other"))</f>
        <v>0</v>
      </c>
      <c r="BJ388" t="b">
        <f>IF(metadata!Y388="",FALSE,TRUE)</f>
        <v>0</v>
      </c>
      <c r="BK388" t="b">
        <f>OR(AND(IF(metadata!Z388="",FALSE,TRUE),OR(EXACT(metadata!Z388,"missing: not collected"),EXACT(metadata!Z388,"missing: not provided"))),AND(IF(metadata!Z388="",FALSE,IF(ISERROR(INT(metadata!Z388)),FALSE,INT(metadata!Z388)=metadata!Z388)),metadata!Z388&gt;0))</f>
        <v>0</v>
      </c>
      <c r="BL388" t="b">
        <f>AND(IF(metadata!AA388="",FALSE,TRUE),EXACT(metadata!AA388,"Not applicable"))</f>
        <v>0</v>
      </c>
      <c r="BM388" t="b">
        <f>IF(metadata!AB388="",FALSE,TRUE)</f>
        <v>0</v>
      </c>
    </row>
    <row r="389" spans="1:65" x14ac:dyDescent="0.2">
      <c r="A389" s="5" t="str">
        <f ca="1">IF(B389=" "," ",HYPERLINK(CONCATENATE("#metadata!",ADDRESS(INDEX($AH$2:$AH$1001,MATCH(ROWS($AF$2:AF389),$AF$2:$AF$1001,0),0),1)),INDEX($AK$2:$AK$1001,MATCH(ROWS($AF$2:AF389),$AF$2:$AF$1001,0),0)))</f>
        <v xml:space="preserve"> </v>
      </c>
      <c r="B389" s="4" t="str">
        <f ca="1">IF(OR(INDEX($AG$2:$AG$1001,MATCH(ROWS($AF$2:AF389),$AF$2:$AF$1001,0),1)&gt;=100000,INDEX($AM$1005:$BM$1005,1,MATCH(COLUMNS($AM$1006:AM1006),$AM$1006:$BM$1006,0))&gt;=100000), " ",IF(INDEX($AM$2:$BM$1001,MATCH(ROWS($AF$2:AF389),$AF$2:$AF$1001,0),MATCH(COLUMNS($AM$1006:AM1006),$AM$1006:$BM$1006,0)), HYPERLINK("#",""), HYPERLINK(CONCATENATE("#metadata!", ADDRESS(INDEX($AH$2:$AH$1001,MATCH(ROWS($AF$2:AF389),$AF$2:$AF$1001,0),0), INDEX($AM$1004:$BM$1004,1,MATCH(COLUMNS($AM$1006:AM1006),$AM$1006:$BM$1006,0)))),"Fix")))</f>
        <v xml:space="preserve"> </v>
      </c>
      <c r="C389" s="4" t="str">
        <f ca="1">IF(OR(INDEX($AG$2:$AG$1001,MATCH(ROWS($AF$2:AF389),$AF$2:$AF$1001,0),1)&gt;=100000,INDEX($AM$1005:$BM$1005,1,MATCH(COLUMNS($AM$1006:AN1006),$AM$1006:$BM$1006,0))&gt;=100000), " ",IF(INDEX($AM$2:$BM$1001,MATCH(ROWS($AF$2:AF389),$AF$2:$AF$1001,0),MATCH(COLUMNS($AM$1006:AN1006),$AM$1006:$BM$1006,0)), HYPERLINK("#",""), HYPERLINK(CONCATENATE("#metadata!", ADDRESS(INDEX($AH$2:$AH$1001,MATCH(ROWS($AF$2:AF389),$AF$2:$AF$1001,0),0), INDEX($AM$1004:$BM$1004,1,MATCH(COLUMNS($AM$1006:AN1006),$AM$1006:$BM$1006,0)))),"Fix")))</f>
        <v xml:space="preserve"> </v>
      </c>
      <c r="D389" s="4" t="str">
        <f ca="1">IF(OR(INDEX($AG$2:$AG$1001,MATCH(ROWS($AF$2:AF389),$AF$2:$AF$1001,0),1)&gt;=100000,INDEX($AM$1005:$BM$1005,1,MATCH(COLUMNS($AM$1006:AO1006),$AM$1006:$BM$1006,0))&gt;=100000), " ",IF(INDEX($AM$2:$BM$1001,MATCH(ROWS($AF$2:AF389),$AF$2:$AF$1001,0),MATCH(COLUMNS($AM$1006:AO1006),$AM$1006:$BM$1006,0)), HYPERLINK("#",""), HYPERLINK(CONCATENATE("#metadata!", ADDRESS(INDEX($AH$2:$AH$1001,MATCH(ROWS($AF$2:AF389),$AF$2:$AF$1001,0),0), INDEX($AM$1004:$BM$1004,1,MATCH(COLUMNS($AM$1006:AO1006),$AM$1006:$BM$1006,0)))),"Fix")))</f>
        <v xml:space="preserve"> </v>
      </c>
      <c r="E389" s="4" t="str">
        <f ca="1">IF(OR(INDEX($AG$2:$AG$1001,MATCH(ROWS($AF$2:AF389),$AF$2:$AF$1001,0),1)&gt;=100000,INDEX($AM$1005:$BM$1005,1,MATCH(COLUMNS($AM$1006:AP1006),$AM$1006:$BM$1006,0))&gt;=100000), " ",IF(INDEX($AM$2:$BM$1001,MATCH(ROWS($AF$2:AF389),$AF$2:$AF$1001,0),MATCH(COLUMNS($AM$1006:AP1006),$AM$1006:$BM$1006,0)), HYPERLINK("#",""), HYPERLINK(CONCATENATE("#metadata!", ADDRESS(INDEX($AH$2:$AH$1001,MATCH(ROWS($AF$2:AF389),$AF$2:$AF$1001,0),0), INDEX($AM$1004:$BM$1004,1,MATCH(COLUMNS($AM$1006:AP1006),$AM$1006:$BM$1006,0)))),"Fix")))</f>
        <v xml:space="preserve"> </v>
      </c>
      <c r="F389" s="4" t="str">
        <f ca="1">IF(OR(INDEX($AG$2:$AG$1001,MATCH(ROWS($AF$2:AF389),$AF$2:$AF$1001,0),1)&gt;=100000,INDEX($AM$1005:$BM$1005,1,MATCH(COLUMNS($AM$1006:AQ1006),$AM$1006:$BM$1006,0))&gt;=100000), " ",IF(INDEX($AM$2:$BM$1001,MATCH(ROWS($AF$2:AF389),$AF$2:$AF$1001,0),MATCH(COLUMNS($AM$1006:AQ1006),$AM$1006:$BM$1006,0)), HYPERLINK("#",""), HYPERLINK(CONCATENATE("#metadata!", ADDRESS(INDEX($AH$2:$AH$1001,MATCH(ROWS($AF$2:AF389),$AF$2:$AF$1001,0),0), INDEX($AM$1004:$BM$1004,1,MATCH(COLUMNS($AM$1006:AQ1006),$AM$1006:$BM$1006,0)))),"Fix")))</f>
        <v xml:space="preserve"> </v>
      </c>
      <c r="G389" s="4" t="str">
        <f ca="1">IF(OR(INDEX($AG$2:$AG$1001,MATCH(ROWS($AF$2:AF389),$AF$2:$AF$1001,0),1)&gt;=100000,INDEX($AM$1005:$BM$1005,1,MATCH(COLUMNS($AM$1006:AR1006),$AM$1006:$BM$1006,0))&gt;=100000), " ",IF(INDEX($AM$2:$BM$1001,MATCH(ROWS($AF$2:AF389),$AF$2:$AF$1001,0),MATCH(COLUMNS($AM$1006:AR1006),$AM$1006:$BM$1006,0)), HYPERLINK("#",""), HYPERLINK(CONCATENATE("#metadata!", ADDRESS(INDEX($AH$2:$AH$1001,MATCH(ROWS($AF$2:AF389),$AF$2:$AF$1001,0),0), INDEX($AM$1004:$BM$1004,1,MATCH(COLUMNS($AM$1006:AR1006),$AM$1006:$BM$1006,0)))),"Fix")))</f>
        <v xml:space="preserve"> </v>
      </c>
      <c r="H389" s="4" t="str">
        <f ca="1">IF(OR(INDEX($AG$2:$AG$1001,MATCH(ROWS($AF$2:AF389),$AF$2:$AF$1001,0),1)&gt;=100000,INDEX($AM$1005:$BM$1005,1,MATCH(COLUMNS($AM$1006:AS1006),$AM$1006:$BM$1006,0))&gt;=100000), " ",IF(INDEX($AM$2:$BM$1001,MATCH(ROWS($AF$2:AF389),$AF$2:$AF$1001,0),MATCH(COLUMNS($AM$1006:AS1006),$AM$1006:$BM$1006,0)), HYPERLINK("#",""), HYPERLINK(CONCATENATE("#metadata!", ADDRESS(INDEX($AH$2:$AH$1001,MATCH(ROWS($AF$2:AF389),$AF$2:$AF$1001,0),0), INDEX($AM$1004:$BM$1004,1,MATCH(COLUMNS($AM$1006:AS1006),$AM$1006:$BM$1006,0)))),"Fix")))</f>
        <v xml:space="preserve"> </v>
      </c>
      <c r="I389" s="4" t="str">
        <f ca="1">IF(OR(INDEX($AG$2:$AG$1001,MATCH(ROWS($AF$2:AF389),$AF$2:$AF$1001,0),1)&gt;=100000,INDEX($AM$1005:$BM$1005,1,MATCH(COLUMNS($AM$1006:AT1006),$AM$1006:$BM$1006,0))&gt;=100000), " ",IF(INDEX($AM$2:$BM$1001,MATCH(ROWS($AF$2:AF389),$AF$2:$AF$1001,0),MATCH(COLUMNS($AM$1006:AT1006),$AM$1006:$BM$1006,0)), HYPERLINK("#",""), HYPERLINK(CONCATENATE("#metadata!", ADDRESS(INDEX($AH$2:$AH$1001,MATCH(ROWS($AF$2:AF389),$AF$2:$AF$1001,0),0), INDEX($AM$1004:$BM$1004,1,MATCH(COLUMNS($AM$1006:AT1006),$AM$1006:$BM$1006,0)))),"Fix")))</f>
        <v xml:space="preserve"> </v>
      </c>
      <c r="J389" s="4" t="str">
        <f ca="1">IF(OR(INDEX($AG$2:$AG$1001,MATCH(ROWS($AF$2:AF389),$AF$2:$AF$1001,0),1)&gt;=100000,INDEX($AM$1005:$BM$1005,1,MATCH(COLUMNS($AM$1006:AU1006),$AM$1006:$BM$1006,0))&gt;=100000), " ",IF(INDEX($AM$2:$BM$1001,MATCH(ROWS($AF$2:AF389),$AF$2:$AF$1001,0),MATCH(COLUMNS($AM$1006:AU1006),$AM$1006:$BM$1006,0)), HYPERLINK("#",""), HYPERLINK(CONCATENATE("#metadata!", ADDRESS(INDEX($AH$2:$AH$1001,MATCH(ROWS($AF$2:AF389),$AF$2:$AF$1001,0),0), INDEX($AM$1004:$BM$1004,1,MATCH(COLUMNS($AM$1006:AU1006),$AM$1006:$BM$1006,0)))),"Fix")))</f>
        <v xml:space="preserve"> </v>
      </c>
      <c r="K389" s="4" t="str">
        <f ca="1">IF(OR(INDEX($AG$2:$AG$1001,MATCH(ROWS($AF$2:AF389),$AF$2:$AF$1001,0),1)&gt;=100000,INDEX($AM$1005:$BM$1005,1,MATCH(COLUMNS($AM$1006:AV1006),$AM$1006:$BM$1006,0))&gt;=100000), " ",IF(INDEX($AM$2:$BM$1001,MATCH(ROWS($AF$2:AF389),$AF$2:$AF$1001,0),MATCH(COLUMNS($AM$1006:AV1006),$AM$1006:$BM$1006,0)), HYPERLINK("#",""), HYPERLINK(CONCATENATE("#metadata!", ADDRESS(INDEX($AH$2:$AH$1001,MATCH(ROWS($AF$2:AF389),$AF$2:$AF$1001,0),0), INDEX($AM$1004:$BM$1004,1,MATCH(COLUMNS($AM$1006:AV1006),$AM$1006:$BM$1006,0)))),"Fix")))</f>
        <v xml:space="preserve"> </v>
      </c>
      <c r="L389" s="4" t="str">
        <f ca="1">IF(OR(INDEX($AG$2:$AG$1001,MATCH(ROWS($AF$2:AF389),$AF$2:$AF$1001,0),1)&gt;=100000,INDEX($AM$1005:$BM$1005,1,MATCH(COLUMNS($AM$1006:AW1006),$AM$1006:$BM$1006,0))&gt;=100000), " ",IF(INDEX($AM$2:$BM$1001,MATCH(ROWS($AF$2:AF389),$AF$2:$AF$1001,0),MATCH(COLUMNS($AM$1006:AW1006),$AM$1006:$BM$1006,0)), HYPERLINK("#",""), HYPERLINK(CONCATENATE("#metadata!", ADDRESS(INDEX($AH$2:$AH$1001,MATCH(ROWS($AF$2:AF389),$AF$2:$AF$1001,0),0), INDEX($AM$1004:$BM$1004,1,MATCH(COLUMNS($AM$1006:AW1006),$AM$1006:$BM$1006,0)))),"Fix")))</f>
        <v xml:space="preserve"> </v>
      </c>
      <c r="M389" s="4" t="str">
        <f ca="1">IF(OR(INDEX($AG$2:$AG$1001,MATCH(ROWS($AF$2:AF389),$AF$2:$AF$1001,0),1)&gt;=100000,INDEX($AM$1005:$BM$1005,1,MATCH(COLUMNS($AM$1006:AX1006),$AM$1006:$BM$1006,0))&gt;=100000), " ",IF(INDEX($AM$2:$BM$1001,MATCH(ROWS($AF$2:AF389),$AF$2:$AF$1001,0),MATCH(COLUMNS($AM$1006:AX1006),$AM$1006:$BM$1006,0)), HYPERLINK("#",""), HYPERLINK(CONCATENATE("#metadata!", ADDRESS(INDEX($AH$2:$AH$1001,MATCH(ROWS($AF$2:AF389),$AF$2:$AF$1001,0),0), INDEX($AM$1004:$BM$1004,1,MATCH(COLUMNS($AM$1006:AX1006),$AM$1006:$BM$1006,0)))),"Fix")))</f>
        <v xml:space="preserve"> </v>
      </c>
      <c r="N389" s="4" t="str">
        <f ca="1">IF(OR(INDEX($AG$2:$AG$1001,MATCH(ROWS($AF$2:AF389),$AF$2:$AF$1001,0),1)&gt;=100000,INDEX($AM$1005:$BM$1005,1,MATCH(COLUMNS($AM$1006:AY1006),$AM$1006:$BM$1006,0))&gt;=100000), " ",IF(INDEX($AM$2:$BM$1001,MATCH(ROWS($AF$2:AF389),$AF$2:$AF$1001,0),MATCH(COLUMNS($AM$1006:AY1006),$AM$1006:$BM$1006,0)), HYPERLINK("#",""), HYPERLINK(CONCATENATE("#metadata!", ADDRESS(INDEX($AH$2:$AH$1001,MATCH(ROWS($AF$2:AF389),$AF$2:$AF$1001,0),0), INDEX($AM$1004:$BM$1004,1,MATCH(COLUMNS($AM$1006:AY1006),$AM$1006:$BM$1006,0)))),"Fix")))</f>
        <v xml:space="preserve"> </v>
      </c>
      <c r="O389" s="4" t="str">
        <f ca="1">IF(OR(INDEX($AG$2:$AG$1001,MATCH(ROWS($AF$2:AF389),$AF$2:$AF$1001,0),1)&gt;=100000,INDEX($AM$1005:$BM$1005,1,MATCH(COLUMNS($AM$1006:AZ1006),$AM$1006:$BM$1006,0))&gt;=100000), " ",IF(INDEX($AM$2:$BM$1001,MATCH(ROWS($AF$2:AF389),$AF$2:$AF$1001,0),MATCH(COLUMNS($AM$1006:AZ1006),$AM$1006:$BM$1006,0)), HYPERLINK("#",""), HYPERLINK(CONCATENATE("#metadata!", ADDRESS(INDEX($AH$2:$AH$1001,MATCH(ROWS($AF$2:AF389),$AF$2:$AF$1001,0),0), INDEX($AM$1004:$BM$1004,1,MATCH(COLUMNS($AM$1006:AZ1006),$AM$1006:$BM$1006,0)))),"Fix")))</f>
        <v xml:space="preserve"> </v>
      </c>
      <c r="P389" s="4" t="str">
        <f ca="1">IF(OR(INDEX($AG$2:$AG$1001,MATCH(ROWS($AF$2:AF389),$AF$2:$AF$1001,0),1)&gt;=100000,INDEX($AM$1005:$BM$1005,1,MATCH(COLUMNS($AM$1006:BA1006),$AM$1006:$BM$1006,0))&gt;=100000), " ",IF(INDEX($AM$2:$BM$1001,MATCH(ROWS($AF$2:AF389),$AF$2:$AF$1001,0),MATCH(COLUMNS($AM$1006:BA1006),$AM$1006:$BM$1006,0)), HYPERLINK("#",""), HYPERLINK(CONCATENATE("#metadata!", ADDRESS(INDEX($AH$2:$AH$1001,MATCH(ROWS($AF$2:AF389),$AF$2:$AF$1001,0),0), INDEX($AM$1004:$BM$1004,1,MATCH(COLUMNS($AM$1006:BA1006),$AM$1006:$BM$1006,0)))),"Fix")))</f>
        <v xml:space="preserve"> </v>
      </c>
      <c r="Q389" s="4" t="str">
        <f ca="1">IF(OR(INDEX($AG$2:$AG$1001,MATCH(ROWS($AF$2:AF389),$AF$2:$AF$1001,0),1)&gt;=100000,INDEX($AM$1005:$BM$1005,1,MATCH(COLUMNS($AM$1006:BB1006),$AM$1006:$BM$1006,0))&gt;=100000), " ",IF(INDEX($AM$2:$BM$1001,MATCH(ROWS($AF$2:AF389),$AF$2:$AF$1001,0),MATCH(COLUMNS($AM$1006:BB1006),$AM$1006:$BM$1006,0)), HYPERLINK("#",""), HYPERLINK(CONCATENATE("#metadata!", ADDRESS(INDEX($AH$2:$AH$1001,MATCH(ROWS($AF$2:AF389),$AF$2:$AF$1001,0),0), INDEX($AM$1004:$BM$1004,1,MATCH(COLUMNS($AM$1006:BB1006),$AM$1006:$BM$1006,0)))),"Fix")))</f>
        <v xml:space="preserve"> </v>
      </c>
      <c r="R389" s="4" t="str">
        <f ca="1">IF(OR(INDEX($AG$2:$AG$1001,MATCH(ROWS($AF$2:AF389),$AF$2:$AF$1001,0),1)&gt;=100000,INDEX($AM$1005:$BM$1005,1,MATCH(COLUMNS($AM$1006:BC1006),$AM$1006:$BM$1006,0))&gt;=100000), " ",IF(INDEX($AM$2:$BM$1001,MATCH(ROWS($AF$2:AF389),$AF$2:$AF$1001,0),MATCH(COLUMNS($AM$1006:BC1006),$AM$1006:$BM$1006,0)), HYPERLINK("#",""), HYPERLINK(CONCATENATE("#metadata!", ADDRESS(INDEX($AH$2:$AH$1001,MATCH(ROWS($AF$2:AF389),$AF$2:$AF$1001,0),0), INDEX($AM$1004:$BM$1004,1,MATCH(COLUMNS($AM$1006:BC1006),$AM$1006:$BM$1006,0)))),"Fix")))</f>
        <v xml:space="preserve"> </v>
      </c>
      <c r="S389" s="4" t="str">
        <f ca="1">IF(OR(INDEX($AG$2:$AG$1001,MATCH(ROWS($AF$2:AF389),$AF$2:$AF$1001,0),1)&gt;=100000,INDEX($AM$1005:$BM$1005,1,MATCH(COLUMNS($AM$1006:BD1006),$AM$1006:$BM$1006,0))&gt;=100000), " ",IF(INDEX($AM$2:$BM$1001,MATCH(ROWS($AF$2:AF389),$AF$2:$AF$1001,0),MATCH(COLUMNS($AM$1006:BD1006),$AM$1006:$BM$1006,0)), HYPERLINK("#",""), HYPERLINK(CONCATENATE("#metadata!", ADDRESS(INDEX($AH$2:$AH$1001,MATCH(ROWS($AF$2:AF389),$AF$2:$AF$1001,0),0), INDEX($AM$1004:$BM$1004,1,MATCH(COLUMNS($AM$1006:BD1006),$AM$1006:$BM$1006,0)))),"Fix")))</f>
        <v xml:space="preserve"> </v>
      </c>
      <c r="T389" s="4" t="str">
        <f ca="1">IF(OR(INDEX($AG$2:$AG$1001,MATCH(ROWS($AF$2:AF389),$AF$2:$AF$1001,0),1)&gt;=100000,INDEX($AM$1005:$BM$1005,1,MATCH(COLUMNS($AM$1006:BE1006),$AM$1006:$BM$1006,0))&gt;=100000), " ",IF(INDEX($AM$2:$BM$1001,MATCH(ROWS($AF$2:AF389),$AF$2:$AF$1001,0),MATCH(COLUMNS($AM$1006:BE1006),$AM$1006:$BM$1006,0)), HYPERLINK("#",""), HYPERLINK(CONCATENATE("#metadata!", ADDRESS(INDEX($AH$2:$AH$1001,MATCH(ROWS($AF$2:AF389),$AF$2:$AF$1001,0),0), INDEX($AM$1004:$BM$1004,1,MATCH(COLUMNS($AM$1006:BE1006),$AM$1006:$BM$1006,0)))),"Fix")))</f>
        <v xml:space="preserve"> </v>
      </c>
      <c r="U389" s="4" t="str">
        <f ca="1">IF(OR(INDEX($AG$2:$AG$1001,MATCH(ROWS($AF$2:AF389),$AF$2:$AF$1001,0),1)&gt;=100000,INDEX($AM$1005:$BM$1005,1,MATCH(COLUMNS($AM$1006:BF1006),$AM$1006:$BM$1006,0))&gt;=100000), " ",IF(INDEX($AM$2:$BM$1001,MATCH(ROWS($AF$2:AF389),$AF$2:$AF$1001,0),MATCH(COLUMNS($AM$1006:BF1006),$AM$1006:$BM$1006,0)), HYPERLINK("#",""), HYPERLINK(CONCATENATE("#metadata!", ADDRESS(INDEX($AH$2:$AH$1001,MATCH(ROWS($AF$2:AF389),$AF$2:$AF$1001,0),0), INDEX($AM$1004:$BM$1004,1,MATCH(COLUMNS($AM$1006:BF1006),$AM$1006:$BM$1006,0)))),"Fix")))</f>
        <v xml:space="preserve"> </v>
      </c>
      <c r="V389" s="4" t="str">
        <f ca="1">IF(OR(INDEX($AG$2:$AG$1001,MATCH(ROWS($AF$2:AF389),$AF$2:$AF$1001,0),1)&gt;=100000,INDEX($AM$1005:$BM$1005,1,MATCH(COLUMNS($AM$1006:BG1006),$AM$1006:$BM$1006,0))&gt;=100000), " ",IF(INDEX($AM$2:$BM$1001,MATCH(ROWS($AF$2:AF389),$AF$2:$AF$1001,0),MATCH(COLUMNS($AM$1006:BG1006),$AM$1006:$BM$1006,0)), HYPERLINK("#",""), HYPERLINK(CONCATENATE("#metadata!", ADDRESS(INDEX($AH$2:$AH$1001,MATCH(ROWS($AF$2:AF389),$AF$2:$AF$1001,0),0), INDEX($AM$1004:$BM$1004,1,MATCH(COLUMNS($AM$1006:BG1006),$AM$1006:$BM$1006,0)))),"Fix")))</f>
        <v xml:space="preserve"> </v>
      </c>
      <c r="W389" s="4" t="str">
        <f ca="1">IF(OR(INDEX($AG$2:$AG$1001,MATCH(ROWS($AF$2:AF389),$AF$2:$AF$1001,0),1)&gt;=100000,INDEX($AM$1005:$BM$1005,1,MATCH(COLUMNS($AM$1006:BH1006),$AM$1006:$BM$1006,0))&gt;=100000), " ",IF(INDEX($AM$2:$BM$1001,MATCH(ROWS($AF$2:AF389),$AF$2:$AF$1001,0),MATCH(COLUMNS($AM$1006:BH1006),$AM$1006:$BM$1006,0)), HYPERLINK("#",""), HYPERLINK(CONCATENATE("#metadata!", ADDRESS(INDEX($AH$2:$AH$1001,MATCH(ROWS($AF$2:AF389),$AF$2:$AF$1001,0),0), INDEX($AM$1004:$BM$1004,1,MATCH(COLUMNS($AM$1006:BH1006),$AM$1006:$BM$1006,0)))),"Fix")))</f>
        <v xml:space="preserve"> </v>
      </c>
      <c r="X389" s="4" t="str">
        <f ca="1">IF(OR(INDEX($AG$2:$AG$1001,MATCH(ROWS($AF$2:AF389),$AF$2:$AF$1001,0),1)&gt;=100000,INDEX($AM$1005:$BM$1005,1,MATCH(COLUMNS($AM$1006:BI1006),$AM$1006:$BM$1006,0))&gt;=100000), " ",IF(INDEX($AM$2:$BM$1001,MATCH(ROWS($AF$2:AF389),$AF$2:$AF$1001,0),MATCH(COLUMNS($AM$1006:BI1006),$AM$1006:$BM$1006,0)), HYPERLINK("#",""), HYPERLINK(CONCATENATE("#metadata!", ADDRESS(INDEX($AH$2:$AH$1001,MATCH(ROWS($AF$2:AF389),$AF$2:$AF$1001,0),0), INDEX($AM$1004:$BM$1004,1,MATCH(COLUMNS($AM$1006:BI1006),$AM$1006:$BM$1006,0)))),"Fix")))</f>
        <v xml:space="preserve"> </v>
      </c>
      <c r="Y389" s="4" t="str">
        <f ca="1">IF(OR(INDEX($AG$2:$AG$1001,MATCH(ROWS($AF$2:AF389),$AF$2:$AF$1001,0),1)&gt;=100000,INDEX($AM$1005:$BM$1005,1,MATCH(COLUMNS($AM$1006:BJ1006),$AM$1006:$BM$1006,0))&gt;=100000), " ",IF(INDEX($AM$2:$BM$1001,MATCH(ROWS($AF$2:AF389),$AF$2:$AF$1001,0),MATCH(COLUMNS($AM$1006:BJ1006),$AM$1006:$BM$1006,0)), HYPERLINK("#",""), HYPERLINK(CONCATENATE("#metadata!", ADDRESS(INDEX($AH$2:$AH$1001,MATCH(ROWS($AF$2:AF389),$AF$2:$AF$1001,0),0), INDEX($AM$1004:$BM$1004,1,MATCH(COLUMNS($AM$1006:BJ1006),$AM$1006:$BM$1006,0)))),"Fix")))</f>
        <v xml:space="preserve"> </v>
      </c>
      <c r="Z389" s="4" t="str">
        <f ca="1">IF(OR(INDEX($AG$2:$AG$1001,MATCH(ROWS($AF$2:AF389),$AF$2:$AF$1001,0),1)&gt;=100000,INDEX($AM$1005:$BM$1005,1,MATCH(COLUMNS($AM$1006:BK1006),$AM$1006:$BM$1006,0))&gt;=100000), " ",IF(INDEX($AM$2:$BM$1001,MATCH(ROWS($AF$2:AF389),$AF$2:$AF$1001,0),MATCH(COLUMNS($AM$1006:BK1006),$AM$1006:$BM$1006,0)), HYPERLINK("#",""), HYPERLINK(CONCATENATE("#metadata!", ADDRESS(INDEX($AH$2:$AH$1001,MATCH(ROWS($AF$2:AF389),$AF$2:$AF$1001,0),0), INDEX($AM$1004:$BM$1004,1,MATCH(COLUMNS($AM$1006:BK1006),$AM$1006:$BM$1006,0)))),"Fix")))</f>
        <v xml:space="preserve"> </v>
      </c>
      <c r="AA389" s="4" t="str">
        <f ca="1">IF(OR(INDEX($AG$2:$AG$1001,MATCH(ROWS($AF$2:AF389),$AF$2:$AF$1001,0),1)&gt;=100000,INDEX($AM$1005:$BM$1005,1,MATCH(COLUMNS($AM$1006:BL1006),$AM$1006:$BM$1006,0))&gt;=100000), " ",IF(INDEX($AM$2:$BM$1001,MATCH(ROWS($AF$2:AF389),$AF$2:$AF$1001,0),MATCH(COLUMNS($AM$1006:BL1006),$AM$1006:$BM$1006,0)), HYPERLINK("#",""), HYPERLINK(CONCATENATE("#metadata!", ADDRESS(INDEX($AH$2:$AH$1001,MATCH(ROWS($AF$2:AF389),$AF$2:$AF$1001,0),0), INDEX($AM$1004:$BM$1004,1,MATCH(COLUMNS($AM$1006:BL1006),$AM$1006:$BM$1006,0)))),"Fix")))</f>
        <v xml:space="preserve"> </v>
      </c>
      <c r="AB389" s="4" t="str">
        <f ca="1">IF(OR(INDEX($AG$2:$AG$1001,MATCH(ROWS($AF$2:AF389),$AF$2:$AF$1001,0),1)&gt;=100000,INDEX($AM$1005:$BM$1005,1,MATCH(COLUMNS($AM$1006:BM1006),$AM$1006:$BM$1006,0))&gt;=100000), " ",IF(INDEX($AM$2:$BM$1001,MATCH(ROWS($AF$2:AF389),$AF$2:$AF$1001,0),MATCH(COLUMNS($AM$1006:BM1006),$AM$1006:$BM$1006,0)), HYPERLINK("#",""), HYPERLINK(CONCATENATE("#metadata!", ADDRESS(INDEX($AH$2:$AH$1001,MATCH(ROWS($AF$2:AF389),$AF$2:$AF$1001,0),0), INDEX($AM$1004:$BM$1004,1,MATCH(COLUMNS($AM$1006:BM1006),$AM$1006:$BM$1006,0)))),"Fix")))</f>
        <v xml:space="preserve"> </v>
      </c>
      <c r="AF389">
        <v>388</v>
      </c>
      <c r="AG389">
        <v>100389</v>
      </c>
      <c r="AH389">
        <v>389</v>
      </c>
      <c r="AI389" t="b">
        <f t="shared" si="6"/>
        <v>1</v>
      </c>
      <c r="AJ389" t="b">
        <f>COUNTBLANK(metadata!B389:AB389)=COLUMNS(metadata!B389:AB389)</f>
        <v>1</v>
      </c>
      <c r="AK389" t="str">
        <v/>
      </c>
      <c r="AM389" t="b">
        <f ca="1">AND(IF(metadata!B389="",FALSE,TRUE),COUNTIF(metadata!B:B, metadata!B389) = 1,NOT(ISERROR(SUMPRODUCT(SEARCH(MID(metadata!B389,ROW(INDIRECT("1:"&amp;LEN(metadata!B389))), 1),"0123456789abcdefghijklmnopqrstuvwxyzABCDEFGHIJKLMNOPQRSTUVWXYZ.")))))</f>
        <v>0</v>
      </c>
      <c r="AN389" t="b">
        <f ca="1">OR(AND(IF(metadata!C389="",FALSE,TRUE),OR(EXACT(metadata!C389,"missing: not collected"),EXACT(metadata!C389,"missing: not provided"),EXACT(metadata!C389,"missing: restricted access"))),AND(IF(metadata!C389="",FALSE,TRUE),AND(AND(IFERROR(INT(LEFT(metadata!C389,4))&gt;1900,FALSE),IFERROR(INT(LEFT(metadata!C389,4))&lt;=YEAR(NOW()),FALSE)), OR(MID(metadata!C389,5,1)="", AND(AND(MID(metadata!C389,5,1)="-",IFERROR(INT(MID(metadata!C389,6,1))&gt;=0,FALSE),IFERROR(INT(MID(metadata!C389,6,1))&lt;=1,FALSE),NOT(MID(metadata!C389,7,1)=""),IFERROR(INT(MID(metadata!C389,6,2))&gt;=1,FALSE),IFERROR(INT(MID(metadata!C389,6,2))&lt;=12,FALSE)), OR(MID(metadata!C389,8,1)="", AND(AND(MID(metadata!C389,8,1)="-",IFERROR(INT(MID(metadata!C389,9,1))&gt;=0,FALSE),IFERROR(INT(MID(metadata!C389,9,1))&lt;=3,FALSE),NOT(MID(metadata!C389,10,1)=""),IFERROR(INT(MID(metadata!C389,9,2))&gt;=1,FALSE),IFERROR(INT(MID(metadata!C389,9,2))&lt;=31,FALSE)), OR(MID(metadata!C389,11,1)="", AND(AND(MID(metadata!C389,11,1)=" ",IFERROR(INT(MID(metadata!C389,12,1))&gt;=0,FALSE),IFERROR(INT(MID(metadata!C389,12,1))&lt;=2,FALSE),NOT(MID(metadata!C389,13,1)=""),IFERROR(INT(MID(metadata!C389,12,2))&gt;=0,FALSE),IFERROR(INT(MID(metadata!C389,12,2))&lt;=23,FALSE)), OR(MID(metadata!C389,14,1)="", AND(AND(MID(metadata!C389,14,1)=":",IFERROR(INT(MID(metadata!C389,15,1))&gt;=0,FALSE),IFERROR(INT(MID(metadata!C389,15,1))&lt;=5,FALSE),NOT(MID(metadata!C389,16,1)=""),IFERROR(INT(MID(metadata!C389,15,2))&gt;=0,FALSE),IFERROR(INT(MID(metadata!C389,15,2))&lt;=59,FALSE)), OR(MID(metadata!C389,17,1)="", AND(AND(MID(metadata!C389,17,1)=":",IFERROR(INT(MID(metadata!C389,18,1))&gt;=0,FALSE),IFERROR(INT(MID(metadata!C389,18,1))&lt;=5,FALSE),NOT(MID(metadata!C389,19,1)=""),IFERROR(INT(MID(metadata!C389,18,2))&gt;=0,FALSE),IFERROR(INT(MID(metadata!C389,18,2))&lt;=59,FALSE)), LEN(metadata!C389)&lt;=19)))))))))))))</f>
        <v>0</v>
      </c>
      <c r="AO389" t="b">
        <f>AND(IF(metadata!D389="",FALSE,TRUE),EXACT(metadata!D389,"Not applicable"))</f>
        <v>0</v>
      </c>
      <c r="AP389" t="b">
        <f>IF(metadata!E389="",FALSE,TRUE)</f>
        <v>0</v>
      </c>
      <c r="AQ389" t="b">
        <f>OR(AND(IF(metadata!F389="",FALSE,TRUE),OR(EXACT(metadata!F389,"missing: not collected"),EXACT(metadata!F389,"missing: not provided"))),AND(IF(metadata!F389="",FALSE,TRUE),OR(EXACT(metadata!F389,"TRUE"),EXACT(metadata!F389,"FALSE"))))</f>
        <v>0</v>
      </c>
      <c r="AR389" t="b">
        <f>OR(AND(IF(metadata!G389="",FALSE,TRUE),OR(EXACT(metadata!G389,"missing: not collected"),EXACT(metadata!G389,"missing: not provided"),EXACT(metadata!G389,"missing: restricted access"))),AND(IF(metadata!G389="",FALSE,ISNUMBER(VALUE(metadata!G389))),metadata!G389&gt;=-413))</f>
        <v>0</v>
      </c>
      <c r="AS389" t="b">
        <f>AND(IF(metadata!H389="",FALSE,TRUE),EXACT(metadata!H389,"meters"))</f>
        <v>0</v>
      </c>
      <c r="AT389" t="b">
        <f>AND(IF(metadata!I389="",FALSE,TRUE),OR(EXACT(metadata!I389,"Host-associated"),EXACT(metadata!I389,"Free-living")))</f>
        <v>0</v>
      </c>
      <c r="AU389" t="b">
        <f>AND(IF(metadata!J389="",FALSE,TRUE),OR(EXACT(metadata!J389,"Animal"),EXACT(metadata!J389,"Fungus"),EXACT(metadata!J389,"Plant"),EXACT(metadata!J389,"Saline"),EXACT(metadata!J389,"Non-saline")))</f>
        <v>0</v>
      </c>
      <c r="AV389" t="b">
        <f>AND(IF(metadata!K389="",FALSE,TRUE),OR(EXACT(metadata!K389,"Plant secretion"),EXACT(metadata!K389,"Plant rhizosphere"),EXACT(metadata!K389,"Plant surface"),EXACT(metadata!K389,"Plant corpus"),EXACT(metadata!K389,"Fungus surface"),EXACT(metadata!K389,"Fungus corpus"),EXACT(metadata!K389,"Animal surface"),EXACT(metadata!K389,"Animal proximal gut"),EXACT(metadata!K389,"Animal corpus"),EXACT(metadata!K389,"Animal distal gut"),EXACT(metadata!K389,"Animal secretion"),EXACT(metadata!K389,"Sub-surface (non-saline)"),EXACT(metadata!K389,"Surface (non-saline)"),EXACT(metadata!K389,"Water (non-saline)"),EXACT(metadata!K389,"Soil (non-saline)"),EXACT(metadata!K389,"Aerosol (non-saline)"),EXACT(metadata!K389,"Sediment (non-saline)"),EXACT(metadata!K389,"Surface (saline)"),EXACT(metadata!K389,"Water (saline)"),EXACT(metadata!K389,"Hypersaline (saline)"),EXACT(metadata!K389,"Aerosol (saline)"),EXACT(metadata!K389,"Sediment (saline)")))</f>
        <v>0</v>
      </c>
      <c r="AW389" t="b">
        <f>IF(metadata!L389="",FALSE,TRUE)</f>
        <v>0</v>
      </c>
      <c r="AX389" t="b">
        <f>IF(metadata!M389="",FALSE,TRUE)</f>
        <v>0</v>
      </c>
      <c r="AY389" t="b">
        <f>IF(metadata!N389="",FALSE,TRUE)</f>
        <v>0</v>
      </c>
      <c r="AZ389" t="b">
        <f>OR(AND(IF(metadata!O389="",FALSE,TRUE),OR(EXACT(metadata!O389,"missing: not collected"),EXACT(metadata!O389,"missing: not provided"),EXACT(metadata!O389,"missing: restricted access"))),AND(IF(metadata!O389="",FALSE,TRUE),OR(EXACT(metadata!O389,"air"),EXACT(metadata!O389,"built environment"),EXACT(metadata!O389,"host-associated"),EXACT(metadata!O389,"human-associated"),EXACT(metadata!O389,"human-skin"),EXACT(metadata!O389,"human-oral"),EXACT(metadata!O389,"human-gut"),EXACT(metadata!O389,"human-vaginal"),EXACT(metadata!O389,"microbial mat/biofilm"),EXACT(metadata!O389,"misc environment"),EXACT(metadata!O389,"plant-associated"),EXACT(metadata!O389,"sediment"),EXACT(metadata!O389,"soil"),EXACT(metadata!O389,"wastewater/sludge"),EXACT(metadata!O389,"water"))))</f>
        <v>0</v>
      </c>
      <c r="BA389" t="b">
        <f>IF(metadata!P389="",FALSE,TRUE)</f>
        <v>0</v>
      </c>
      <c r="BB389" t="b">
        <f>IF(metadata!Q389="",FALSE,TRUE)</f>
        <v>0</v>
      </c>
      <c r="BC389" t="b">
        <f>OR(AND(IF(metadata!R389="",FALSE,TRUE),OR(EXACT(metadata!R389,"missing: not collected"),EXACT(metadata!R389,"missing: not provided"),EXACT(metadata!R389,"missing: restricted access"))),AND(IF(metadata!R389="",FALSE,ISNUMBER(VALUE(metadata!R389))),metadata!R389&gt;=-90,metadata!R389&lt;=90))</f>
        <v>0</v>
      </c>
      <c r="BD389" t="b">
        <f>AND(IF(metadata!S389="",FALSE,TRUE),EXACT(metadata!S389,"Decimal degrees"))</f>
        <v>0</v>
      </c>
      <c r="BE389" t="b">
        <f>OR(AND(IF(metadata!T389="",FALSE,TRUE),OR(EXACT(metadata!T389,"missing: not collected"),EXACT(metadata!T389,"missing: not provided"),EXACT(metadata!T389,"missing: restricted access"))),AND(IF(metadata!T389="",FALSE,ISNUMBER(VALUE(metadata!T389))),metadata!T389&gt;=-180,metadata!T389&lt;=180))</f>
        <v>0</v>
      </c>
      <c r="BF389" t="b">
        <f>AND(IF(metadata!U389="",FALSE,TRUE),EXACT(metadata!U389,"Decimal degrees"))</f>
        <v>0</v>
      </c>
      <c r="BG389" t="b">
        <f>IF(metadata!V389="",FALSE,TRUE)</f>
        <v>0</v>
      </c>
      <c r="BH389" t="b">
        <f>OR(AND(IF(metadata!W389="",FALSE,TRUE),OR(EXACT(metadata!W389,"missing: not collected"),EXACT(metadata!W389,"missing: not provided"),EXACT(metadata!W389,"missing: restricted access"))),AND(IF(metadata!W389="",FALSE,TRUE),OR(EXACT(metadata!W389,"TRUE"),EXACT(metadata!W389,"FALSE"))))</f>
        <v>0</v>
      </c>
      <c r="BI389" t="b">
        <f>AND(IF(metadata!X389="",FALSE,TRUE),EXACT(metadata!X389,"other"))</f>
        <v>0</v>
      </c>
      <c r="BJ389" t="b">
        <f>IF(metadata!Y389="",FALSE,TRUE)</f>
        <v>0</v>
      </c>
      <c r="BK389" t="b">
        <f>OR(AND(IF(metadata!Z389="",FALSE,TRUE),OR(EXACT(metadata!Z389,"missing: not collected"),EXACT(metadata!Z389,"missing: not provided"))),AND(IF(metadata!Z389="",FALSE,IF(ISERROR(INT(metadata!Z389)),FALSE,INT(metadata!Z389)=metadata!Z389)),metadata!Z389&gt;0))</f>
        <v>0</v>
      </c>
      <c r="BL389" t="b">
        <f>AND(IF(metadata!AA389="",FALSE,TRUE),EXACT(metadata!AA389,"Not applicable"))</f>
        <v>0</v>
      </c>
      <c r="BM389" t="b">
        <f>IF(metadata!AB389="",FALSE,TRUE)</f>
        <v>0</v>
      </c>
    </row>
    <row r="390" spans="1:65" x14ac:dyDescent="0.2">
      <c r="A390" s="5" t="str">
        <f ca="1">IF(B390=" "," ",HYPERLINK(CONCATENATE("#metadata!",ADDRESS(INDEX($AH$2:$AH$1001,MATCH(ROWS($AF$2:AF390),$AF$2:$AF$1001,0),0),1)),INDEX($AK$2:$AK$1001,MATCH(ROWS($AF$2:AF390),$AF$2:$AF$1001,0),0)))</f>
        <v xml:space="preserve"> </v>
      </c>
      <c r="B390" s="4" t="str">
        <f ca="1">IF(OR(INDEX($AG$2:$AG$1001,MATCH(ROWS($AF$2:AF390),$AF$2:$AF$1001,0),1)&gt;=100000,INDEX($AM$1005:$BM$1005,1,MATCH(COLUMNS($AM$1006:AM1006),$AM$1006:$BM$1006,0))&gt;=100000), " ",IF(INDEX($AM$2:$BM$1001,MATCH(ROWS($AF$2:AF390),$AF$2:$AF$1001,0),MATCH(COLUMNS($AM$1006:AM1006),$AM$1006:$BM$1006,0)), HYPERLINK("#",""), HYPERLINK(CONCATENATE("#metadata!", ADDRESS(INDEX($AH$2:$AH$1001,MATCH(ROWS($AF$2:AF390),$AF$2:$AF$1001,0),0), INDEX($AM$1004:$BM$1004,1,MATCH(COLUMNS($AM$1006:AM1006),$AM$1006:$BM$1006,0)))),"Fix")))</f>
        <v xml:space="preserve"> </v>
      </c>
      <c r="C390" s="4" t="str">
        <f ca="1">IF(OR(INDEX($AG$2:$AG$1001,MATCH(ROWS($AF$2:AF390),$AF$2:$AF$1001,0),1)&gt;=100000,INDEX($AM$1005:$BM$1005,1,MATCH(COLUMNS($AM$1006:AN1006),$AM$1006:$BM$1006,0))&gt;=100000), " ",IF(INDEX($AM$2:$BM$1001,MATCH(ROWS($AF$2:AF390),$AF$2:$AF$1001,0),MATCH(COLUMNS($AM$1006:AN1006),$AM$1006:$BM$1006,0)), HYPERLINK("#",""), HYPERLINK(CONCATENATE("#metadata!", ADDRESS(INDEX($AH$2:$AH$1001,MATCH(ROWS($AF$2:AF390),$AF$2:$AF$1001,0),0), INDEX($AM$1004:$BM$1004,1,MATCH(COLUMNS($AM$1006:AN1006),$AM$1006:$BM$1006,0)))),"Fix")))</f>
        <v xml:space="preserve"> </v>
      </c>
      <c r="D390" s="4" t="str">
        <f ca="1">IF(OR(INDEX($AG$2:$AG$1001,MATCH(ROWS($AF$2:AF390),$AF$2:$AF$1001,0),1)&gt;=100000,INDEX($AM$1005:$BM$1005,1,MATCH(COLUMNS($AM$1006:AO1006),$AM$1006:$BM$1006,0))&gt;=100000), " ",IF(INDEX($AM$2:$BM$1001,MATCH(ROWS($AF$2:AF390),$AF$2:$AF$1001,0),MATCH(COLUMNS($AM$1006:AO1006),$AM$1006:$BM$1006,0)), HYPERLINK("#",""), HYPERLINK(CONCATENATE("#metadata!", ADDRESS(INDEX($AH$2:$AH$1001,MATCH(ROWS($AF$2:AF390),$AF$2:$AF$1001,0),0), INDEX($AM$1004:$BM$1004,1,MATCH(COLUMNS($AM$1006:AO1006),$AM$1006:$BM$1006,0)))),"Fix")))</f>
        <v xml:space="preserve"> </v>
      </c>
      <c r="E390" s="4" t="str">
        <f ca="1">IF(OR(INDEX($AG$2:$AG$1001,MATCH(ROWS($AF$2:AF390),$AF$2:$AF$1001,0),1)&gt;=100000,INDEX($AM$1005:$BM$1005,1,MATCH(COLUMNS($AM$1006:AP1006),$AM$1006:$BM$1006,0))&gt;=100000), " ",IF(INDEX($AM$2:$BM$1001,MATCH(ROWS($AF$2:AF390),$AF$2:$AF$1001,0),MATCH(COLUMNS($AM$1006:AP1006),$AM$1006:$BM$1006,0)), HYPERLINK("#",""), HYPERLINK(CONCATENATE("#metadata!", ADDRESS(INDEX($AH$2:$AH$1001,MATCH(ROWS($AF$2:AF390),$AF$2:$AF$1001,0),0), INDEX($AM$1004:$BM$1004,1,MATCH(COLUMNS($AM$1006:AP1006),$AM$1006:$BM$1006,0)))),"Fix")))</f>
        <v xml:space="preserve"> </v>
      </c>
      <c r="F390" s="4" t="str">
        <f ca="1">IF(OR(INDEX($AG$2:$AG$1001,MATCH(ROWS($AF$2:AF390),$AF$2:$AF$1001,0),1)&gt;=100000,INDEX($AM$1005:$BM$1005,1,MATCH(COLUMNS($AM$1006:AQ1006),$AM$1006:$BM$1006,0))&gt;=100000), " ",IF(INDEX($AM$2:$BM$1001,MATCH(ROWS($AF$2:AF390),$AF$2:$AF$1001,0),MATCH(COLUMNS($AM$1006:AQ1006),$AM$1006:$BM$1006,0)), HYPERLINK("#",""), HYPERLINK(CONCATENATE("#metadata!", ADDRESS(INDEX($AH$2:$AH$1001,MATCH(ROWS($AF$2:AF390),$AF$2:$AF$1001,0),0), INDEX($AM$1004:$BM$1004,1,MATCH(COLUMNS($AM$1006:AQ1006),$AM$1006:$BM$1006,0)))),"Fix")))</f>
        <v xml:space="preserve"> </v>
      </c>
      <c r="G390" s="4" t="str">
        <f ca="1">IF(OR(INDEX($AG$2:$AG$1001,MATCH(ROWS($AF$2:AF390),$AF$2:$AF$1001,0),1)&gt;=100000,INDEX($AM$1005:$BM$1005,1,MATCH(COLUMNS($AM$1006:AR1006),$AM$1006:$BM$1006,0))&gt;=100000), " ",IF(INDEX($AM$2:$BM$1001,MATCH(ROWS($AF$2:AF390),$AF$2:$AF$1001,0),MATCH(COLUMNS($AM$1006:AR1006),$AM$1006:$BM$1006,0)), HYPERLINK("#",""), HYPERLINK(CONCATENATE("#metadata!", ADDRESS(INDEX($AH$2:$AH$1001,MATCH(ROWS($AF$2:AF390),$AF$2:$AF$1001,0),0), INDEX($AM$1004:$BM$1004,1,MATCH(COLUMNS($AM$1006:AR1006),$AM$1006:$BM$1006,0)))),"Fix")))</f>
        <v xml:space="preserve"> </v>
      </c>
      <c r="H390" s="4" t="str">
        <f ca="1">IF(OR(INDEX($AG$2:$AG$1001,MATCH(ROWS($AF$2:AF390),$AF$2:$AF$1001,0),1)&gt;=100000,INDEX($AM$1005:$BM$1005,1,MATCH(COLUMNS($AM$1006:AS1006),$AM$1006:$BM$1006,0))&gt;=100000), " ",IF(INDEX($AM$2:$BM$1001,MATCH(ROWS($AF$2:AF390),$AF$2:$AF$1001,0),MATCH(COLUMNS($AM$1006:AS1006),$AM$1006:$BM$1006,0)), HYPERLINK("#",""), HYPERLINK(CONCATENATE("#metadata!", ADDRESS(INDEX($AH$2:$AH$1001,MATCH(ROWS($AF$2:AF390),$AF$2:$AF$1001,0),0), INDEX($AM$1004:$BM$1004,1,MATCH(COLUMNS($AM$1006:AS1006),$AM$1006:$BM$1006,0)))),"Fix")))</f>
        <v xml:space="preserve"> </v>
      </c>
      <c r="I390" s="4" t="str">
        <f ca="1">IF(OR(INDEX($AG$2:$AG$1001,MATCH(ROWS($AF$2:AF390),$AF$2:$AF$1001,0),1)&gt;=100000,INDEX($AM$1005:$BM$1005,1,MATCH(COLUMNS($AM$1006:AT1006),$AM$1006:$BM$1006,0))&gt;=100000), " ",IF(INDEX($AM$2:$BM$1001,MATCH(ROWS($AF$2:AF390),$AF$2:$AF$1001,0),MATCH(COLUMNS($AM$1006:AT1006),$AM$1006:$BM$1006,0)), HYPERLINK("#",""), HYPERLINK(CONCATENATE("#metadata!", ADDRESS(INDEX($AH$2:$AH$1001,MATCH(ROWS($AF$2:AF390),$AF$2:$AF$1001,0),0), INDEX($AM$1004:$BM$1004,1,MATCH(COLUMNS($AM$1006:AT1006),$AM$1006:$BM$1006,0)))),"Fix")))</f>
        <v xml:space="preserve"> </v>
      </c>
      <c r="J390" s="4" t="str">
        <f ca="1">IF(OR(INDEX($AG$2:$AG$1001,MATCH(ROWS($AF$2:AF390),$AF$2:$AF$1001,0),1)&gt;=100000,INDEX($AM$1005:$BM$1005,1,MATCH(COLUMNS($AM$1006:AU1006),$AM$1006:$BM$1006,0))&gt;=100000), " ",IF(INDEX($AM$2:$BM$1001,MATCH(ROWS($AF$2:AF390),$AF$2:$AF$1001,0),MATCH(COLUMNS($AM$1006:AU1006),$AM$1006:$BM$1006,0)), HYPERLINK("#",""), HYPERLINK(CONCATENATE("#metadata!", ADDRESS(INDEX($AH$2:$AH$1001,MATCH(ROWS($AF$2:AF390),$AF$2:$AF$1001,0),0), INDEX($AM$1004:$BM$1004,1,MATCH(COLUMNS($AM$1006:AU1006),$AM$1006:$BM$1006,0)))),"Fix")))</f>
        <v xml:space="preserve"> </v>
      </c>
      <c r="K390" s="4" t="str">
        <f ca="1">IF(OR(INDEX($AG$2:$AG$1001,MATCH(ROWS($AF$2:AF390),$AF$2:$AF$1001,0),1)&gt;=100000,INDEX($AM$1005:$BM$1005,1,MATCH(COLUMNS($AM$1006:AV1006),$AM$1006:$BM$1006,0))&gt;=100000), " ",IF(INDEX($AM$2:$BM$1001,MATCH(ROWS($AF$2:AF390),$AF$2:$AF$1001,0),MATCH(COLUMNS($AM$1006:AV1006),$AM$1006:$BM$1006,0)), HYPERLINK("#",""), HYPERLINK(CONCATENATE("#metadata!", ADDRESS(INDEX($AH$2:$AH$1001,MATCH(ROWS($AF$2:AF390),$AF$2:$AF$1001,0),0), INDEX($AM$1004:$BM$1004,1,MATCH(COLUMNS($AM$1006:AV1006),$AM$1006:$BM$1006,0)))),"Fix")))</f>
        <v xml:space="preserve"> </v>
      </c>
      <c r="L390" s="4" t="str">
        <f ca="1">IF(OR(INDEX($AG$2:$AG$1001,MATCH(ROWS($AF$2:AF390),$AF$2:$AF$1001,0),1)&gt;=100000,INDEX($AM$1005:$BM$1005,1,MATCH(COLUMNS($AM$1006:AW1006),$AM$1006:$BM$1006,0))&gt;=100000), " ",IF(INDEX($AM$2:$BM$1001,MATCH(ROWS($AF$2:AF390),$AF$2:$AF$1001,0),MATCH(COLUMNS($AM$1006:AW1006),$AM$1006:$BM$1006,0)), HYPERLINK("#",""), HYPERLINK(CONCATENATE("#metadata!", ADDRESS(INDEX($AH$2:$AH$1001,MATCH(ROWS($AF$2:AF390),$AF$2:$AF$1001,0),0), INDEX($AM$1004:$BM$1004,1,MATCH(COLUMNS($AM$1006:AW1006),$AM$1006:$BM$1006,0)))),"Fix")))</f>
        <v xml:space="preserve"> </v>
      </c>
      <c r="M390" s="4" t="str">
        <f ca="1">IF(OR(INDEX($AG$2:$AG$1001,MATCH(ROWS($AF$2:AF390),$AF$2:$AF$1001,0),1)&gt;=100000,INDEX($AM$1005:$BM$1005,1,MATCH(COLUMNS($AM$1006:AX1006),$AM$1006:$BM$1006,0))&gt;=100000), " ",IF(INDEX($AM$2:$BM$1001,MATCH(ROWS($AF$2:AF390),$AF$2:$AF$1001,0),MATCH(COLUMNS($AM$1006:AX1006),$AM$1006:$BM$1006,0)), HYPERLINK("#",""), HYPERLINK(CONCATENATE("#metadata!", ADDRESS(INDEX($AH$2:$AH$1001,MATCH(ROWS($AF$2:AF390),$AF$2:$AF$1001,0),0), INDEX($AM$1004:$BM$1004,1,MATCH(COLUMNS($AM$1006:AX1006),$AM$1006:$BM$1006,0)))),"Fix")))</f>
        <v xml:space="preserve"> </v>
      </c>
      <c r="N390" s="4" t="str">
        <f ca="1">IF(OR(INDEX($AG$2:$AG$1001,MATCH(ROWS($AF$2:AF390),$AF$2:$AF$1001,0),1)&gt;=100000,INDEX($AM$1005:$BM$1005,1,MATCH(COLUMNS($AM$1006:AY1006),$AM$1006:$BM$1006,0))&gt;=100000), " ",IF(INDEX($AM$2:$BM$1001,MATCH(ROWS($AF$2:AF390),$AF$2:$AF$1001,0),MATCH(COLUMNS($AM$1006:AY1006),$AM$1006:$BM$1006,0)), HYPERLINK("#",""), HYPERLINK(CONCATENATE("#metadata!", ADDRESS(INDEX($AH$2:$AH$1001,MATCH(ROWS($AF$2:AF390),$AF$2:$AF$1001,0),0), INDEX($AM$1004:$BM$1004,1,MATCH(COLUMNS($AM$1006:AY1006),$AM$1006:$BM$1006,0)))),"Fix")))</f>
        <v xml:space="preserve"> </v>
      </c>
      <c r="O390" s="4" t="str">
        <f ca="1">IF(OR(INDEX($AG$2:$AG$1001,MATCH(ROWS($AF$2:AF390),$AF$2:$AF$1001,0),1)&gt;=100000,INDEX($AM$1005:$BM$1005,1,MATCH(COLUMNS($AM$1006:AZ1006),$AM$1006:$BM$1006,0))&gt;=100000), " ",IF(INDEX($AM$2:$BM$1001,MATCH(ROWS($AF$2:AF390),$AF$2:$AF$1001,0),MATCH(COLUMNS($AM$1006:AZ1006),$AM$1006:$BM$1006,0)), HYPERLINK("#",""), HYPERLINK(CONCATENATE("#metadata!", ADDRESS(INDEX($AH$2:$AH$1001,MATCH(ROWS($AF$2:AF390),$AF$2:$AF$1001,0),0), INDEX($AM$1004:$BM$1004,1,MATCH(COLUMNS($AM$1006:AZ1006),$AM$1006:$BM$1006,0)))),"Fix")))</f>
        <v xml:space="preserve"> </v>
      </c>
      <c r="P390" s="4" t="str">
        <f ca="1">IF(OR(INDEX($AG$2:$AG$1001,MATCH(ROWS($AF$2:AF390),$AF$2:$AF$1001,0),1)&gt;=100000,INDEX($AM$1005:$BM$1005,1,MATCH(COLUMNS($AM$1006:BA1006),$AM$1006:$BM$1006,0))&gt;=100000), " ",IF(INDEX($AM$2:$BM$1001,MATCH(ROWS($AF$2:AF390),$AF$2:$AF$1001,0),MATCH(COLUMNS($AM$1006:BA1006),$AM$1006:$BM$1006,0)), HYPERLINK("#",""), HYPERLINK(CONCATENATE("#metadata!", ADDRESS(INDEX($AH$2:$AH$1001,MATCH(ROWS($AF$2:AF390),$AF$2:$AF$1001,0),0), INDEX($AM$1004:$BM$1004,1,MATCH(COLUMNS($AM$1006:BA1006),$AM$1006:$BM$1006,0)))),"Fix")))</f>
        <v xml:space="preserve"> </v>
      </c>
      <c r="Q390" s="4" t="str">
        <f ca="1">IF(OR(INDEX($AG$2:$AG$1001,MATCH(ROWS($AF$2:AF390),$AF$2:$AF$1001,0),1)&gt;=100000,INDEX($AM$1005:$BM$1005,1,MATCH(COLUMNS($AM$1006:BB1006),$AM$1006:$BM$1006,0))&gt;=100000), " ",IF(INDEX($AM$2:$BM$1001,MATCH(ROWS($AF$2:AF390),$AF$2:$AF$1001,0),MATCH(COLUMNS($AM$1006:BB1006),$AM$1006:$BM$1006,0)), HYPERLINK("#",""), HYPERLINK(CONCATENATE("#metadata!", ADDRESS(INDEX($AH$2:$AH$1001,MATCH(ROWS($AF$2:AF390),$AF$2:$AF$1001,0),0), INDEX($AM$1004:$BM$1004,1,MATCH(COLUMNS($AM$1006:BB1006),$AM$1006:$BM$1006,0)))),"Fix")))</f>
        <v xml:space="preserve"> </v>
      </c>
      <c r="R390" s="4" t="str">
        <f ca="1">IF(OR(INDEX($AG$2:$AG$1001,MATCH(ROWS($AF$2:AF390),$AF$2:$AF$1001,0),1)&gt;=100000,INDEX($AM$1005:$BM$1005,1,MATCH(COLUMNS($AM$1006:BC1006),$AM$1006:$BM$1006,0))&gt;=100000), " ",IF(INDEX($AM$2:$BM$1001,MATCH(ROWS($AF$2:AF390),$AF$2:$AF$1001,0),MATCH(COLUMNS($AM$1006:BC1006),$AM$1006:$BM$1006,0)), HYPERLINK("#",""), HYPERLINK(CONCATENATE("#metadata!", ADDRESS(INDEX($AH$2:$AH$1001,MATCH(ROWS($AF$2:AF390),$AF$2:$AF$1001,0),0), INDEX($AM$1004:$BM$1004,1,MATCH(COLUMNS($AM$1006:BC1006),$AM$1006:$BM$1006,0)))),"Fix")))</f>
        <v xml:space="preserve"> </v>
      </c>
      <c r="S390" s="4" t="str">
        <f ca="1">IF(OR(INDEX($AG$2:$AG$1001,MATCH(ROWS($AF$2:AF390),$AF$2:$AF$1001,0),1)&gt;=100000,INDEX($AM$1005:$BM$1005,1,MATCH(COLUMNS($AM$1006:BD1006),$AM$1006:$BM$1006,0))&gt;=100000), " ",IF(INDEX($AM$2:$BM$1001,MATCH(ROWS($AF$2:AF390),$AF$2:$AF$1001,0),MATCH(COLUMNS($AM$1006:BD1006),$AM$1006:$BM$1006,0)), HYPERLINK("#",""), HYPERLINK(CONCATENATE("#metadata!", ADDRESS(INDEX($AH$2:$AH$1001,MATCH(ROWS($AF$2:AF390),$AF$2:$AF$1001,0),0), INDEX($AM$1004:$BM$1004,1,MATCH(COLUMNS($AM$1006:BD1006),$AM$1006:$BM$1006,0)))),"Fix")))</f>
        <v xml:space="preserve"> </v>
      </c>
      <c r="T390" s="4" t="str">
        <f ca="1">IF(OR(INDEX($AG$2:$AG$1001,MATCH(ROWS($AF$2:AF390),$AF$2:$AF$1001,0),1)&gt;=100000,INDEX($AM$1005:$BM$1005,1,MATCH(COLUMNS($AM$1006:BE1006),$AM$1006:$BM$1006,0))&gt;=100000), " ",IF(INDEX($AM$2:$BM$1001,MATCH(ROWS($AF$2:AF390),$AF$2:$AF$1001,0),MATCH(COLUMNS($AM$1006:BE1006),$AM$1006:$BM$1006,0)), HYPERLINK("#",""), HYPERLINK(CONCATENATE("#metadata!", ADDRESS(INDEX($AH$2:$AH$1001,MATCH(ROWS($AF$2:AF390),$AF$2:$AF$1001,0),0), INDEX($AM$1004:$BM$1004,1,MATCH(COLUMNS($AM$1006:BE1006),$AM$1006:$BM$1006,0)))),"Fix")))</f>
        <v xml:space="preserve"> </v>
      </c>
      <c r="U390" s="4" t="str">
        <f ca="1">IF(OR(INDEX($AG$2:$AG$1001,MATCH(ROWS($AF$2:AF390),$AF$2:$AF$1001,0),1)&gt;=100000,INDEX($AM$1005:$BM$1005,1,MATCH(COLUMNS($AM$1006:BF1006),$AM$1006:$BM$1006,0))&gt;=100000), " ",IF(INDEX($AM$2:$BM$1001,MATCH(ROWS($AF$2:AF390),$AF$2:$AF$1001,0),MATCH(COLUMNS($AM$1006:BF1006),$AM$1006:$BM$1006,0)), HYPERLINK("#",""), HYPERLINK(CONCATENATE("#metadata!", ADDRESS(INDEX($AH$2:$AH$1001,MATCH(ROWS($AF$2:AF390),$AF$2:$AF$1001,0),0), INDEX($AM$1004:$BM$1004,1,MATCH(COLUMNS($AM$1006:BF1006),$AM$1006:$BM$1006,0)))),"Fix")))</f>
        <v xml:space="preserve"> </v>
      </c>
      <c r="V390" s="4" t="str">
        <f ca="1">IF(OR(INDEX($AG$2:$AG$1001,MATCH(ROWS($AF$2:AF390),$AF$2:$AF$1001,0),1)&gt;=100000,INDEX($AM$1005:$BM$1005,1,MATCH(COLUMNS($AM$1006:BG1006),$AM$1006:$BM$1006,0))&gt;=100000), " ",IF(INDEX($AM$2:$BM$1001,MATCH(ROWS($AF$2:AF390),$AF$2:$AF$1001,0),MATCH(COLUMNS($AM$1006:BG1006),$AM$1006:$BM$1006,0)), HYPERLINK("#",""), HYPERLINK(CONCATENATE("#metadata!", ADDRESS(INDEX($AH$2:$AH$1001,MATCH(ROWS($AF$2:AF390),$AF$2:$AF$1001,0),0), INDEX($AM$1004:$BM$1004,1,MATCH(COLUMNS($AM$1006:BG1006),$AM$1006:$BM$1006,0)))),"Fix")))</f>
        <v xml:space="preserve"> </v>
      </c>
      <c r="W390" s="4" t="str">
        <f ca="1">IF(OR(INDEX($AG$2:$AG$1001,MATCH(ROWS($AF$2:AF390),$AF$2:$AF$1001,0),1)&gt;=100000,INDEX($AM$1005:$BM$1005,1,MATCH(COLUMNS($AM$1006:BH1006),$AM$1006:$BM$1006,0))&gt;=100000), " ",IF(INDEX($AM$2:$BM$1001,MATCH(ROWS($AF$2:AF390),$AF$2:$AF$1001,0),MATCH(COLUMNS($AM$1006:BH1006),$AM$1006:$BM$1006,0)), HYPERLINK("#",""), HYPERLINK(CONCATENATE("#metadata!", ADDRESS(INDEX($AH$2:$AH$1001,MATCH(ROWS($AF$2:AF390),$AF$2:$AF$1001,0),0), INDEX($AM$1004:$BM$1004,1,MATCH(COLUMNS($AM$1006:BH1006),$AM$1006:$BM$1006,0)))),"Fix")))</f>
        <v xml:space="preserve"> </v>
      </c>
      <c r="X390" s="4" t="str">
        <f ca="1">IF(OR(INDEX($AG$2:$AG$1001,MATCH(ROWS($AF$2:AF390),$AF$2:$AF$1001,0),1)&gt;=100000,INDEX($AM$1005:$BM$1005,1,MATCH(COLUMNS($AM$1006:BI1006),$AM$1006:$BM$1006,0))&gt;=100000), " ",IF(INDEX($AM$2:$BM$1001,MATCH(ROWS($AF$2:AF390),$AF$2:$AF$1001,0),MATCH(COLUMNS($AM$1006:BI1006),$AM$1006:$BM$1006,0)), HYPERLINK("#",""), HYPERLINK(CONCATENATE("#metadata!", ADDRESS(INDEX($AH$2:$AH$1001,MATCH(ROWS($AF$2:AF390),$AF$2:$AF$1001,0),0), INDEX($AM$1004:$BM$1004,1,MATCH(COLUMNS($AM$1006:BI1006),$AM$1006:$BM$1006,0)))),"Fix")))</f>
        <v xml:space="preserve"> </v>
      </c>
      <c r="Y390" s="4" t="str">
        <f ca="1">IF(OR(INDEX($AG$2:$AG$1001,MATCH(ROWS($AF$2:AF390),$AF$2:$AF$1001,0),1)&gt;=100000,INDEX($AM$1005:$BM$1005,1,MATCH(COLUMNS($AM$1006:BJ1006),$AM$1006:$BM$1006,0))&gt;=100000), " ",IF(INDEX($AM$2:$BM$1001,MATCH(ROWS($AF$2:AF390),$AF$2:$AF$1001,0),MATCH(COLUMNS($AM$1006:BJ1006),$AM$1006:$BM$1006,0)), HYPERLINK("#",""), HYPERLINK(CONCATENATE("#metadata!", ADDRESS(INDEX($AH$2:$AH$1001,MATCH(ROWS($AF$2:AF390),$AF$2:$AF$1001,0),0), INDEX($AM$1004:$BM$1004,1,MATCH(COLUMNS($AM$1006:BJ1006),$AM$1006:$BM$1006,0)))),"Fix")))</f>
        <v xml:space="preserve"> </v>
      </c>
      <c r="Z390" s="4" t="str">
        <f ca="1">IF(OR(INDEX($AG$2:$AG$1001,MATCH(ROWS($AF$2:AF390),$AF$2:$AF$1001,0),1)&gt;=100000,INDEX($AM$1005:$BM$1005,1,MATCH(COLUMNS($AM$1006:BK1006),$AM$1006:$BM$1006,0))&gt;=100000), " ",IF(INDEX($AM$2:$BM$1001,MATCH(ROWS($AF$2:AF390),$AF$2:$AF$1001,0),MATCH(COLUMNS($AM$1006:BK1006),$AM$1006:$BM$1006,0)), HYPERLINK("#",""), HYPERLINK(CONCATENATE("#metadata!", ADDRESS(INDEX($AH$2:$AH$1001,MATCH(ROWS($AF$2:AF390),$AF$2:$AF$1001,0),0), INDEX($AM$1004:$BM$1004,1,MATCH(COLUMNS($AM$1006:BK1006),$AM$1006:$BM$1006,0)))),"Fix")))</f>
        <v xml:space="preserve"> </v>
      </c>
      <c r="AA390" s="4" t="str">
        <f ca="1">IF(OR(INDEX($AG$2:$AG$1001,MATCH(ROWS($AF$2:AF390),$AF$2:$AF$1001,0),1)&gt;=100000,INDEX($AM$1005:$BM$1005,1,MATCH(COLUMNS($AM$1006:BL1006),$AM$1006:$BM$1006,0))&gt;=100000), " ",IF(INDEX($AM$2:$BM$1001,MATCH(ROWS($AF$2:AF390),$AF$2:$AF$1001,0),MATCH(COLUMNS($AM$1006:BL1006),$AM$1006:$BM$1006,0)), HYPERLINK("#",""), HYPERLINK(CONCATENATE("#metadata!", ADDRESS(INDEX($AH$2:$AH$1001,MATCH(ROWS($AF$2:AF390),$AF$2:$AF$1001,0),0), INDEX($AM$1004:$BM$1004,1,MATCH(COLUMNS($AM$1006:BL1006),$AM$1006:$BM$1006,0)))),"Fix")))</f>
        <v xml:space="preserve"> </v>
      </c>
      <c r="AB390" s="4" t="str">
        <f ca="1">IF(OR(INDEX($AG$2:$AG$1001,MATCH(ROWS($AF$2:AF390),$AF$2:$AF$1001,0),1)&gt;=100000,INDEX($AM$1005:$BM$1005,1,MATCH(COLUMNS($AM$1006:BM1006),$AM$1006:$BM$1006,0))&gt;=100000), " ",IF(INDEX($AM$2:$BM$1001,MATCH(ROWS($AF$2:AF390),$AF$2:$AF$1001,0),MATCH(COLUMNS($AM$1006:BM1006),$AM$1006:$BM$1006,0)), HYPERLINK("#",""), HYPERLINK(CONCATENATE("#metadata!", ADDRESS(INDEX($AH$2:$AH$1001,MATCH(ROWS($AF$2:AF390),$AF$2:$AF$1001,0),0), INDEX($AM$1004:$BM$1004,1,MATCH(COLUMNS($AM$1006:BM1006),$AM$1006:$BM$1006,0)))),"Fix")))</f>
        <v xml:space="preserve"> </v>
      </c>
      <c r="AF390">
        <v>389</v>
      </c>
      <c r="AG390">
        <v>100390</v>
      </c>
      <c r="AH390">
        <v>390</v>
      </c>
      <c r="AI390" t="b">
        <f t="shared" si="6"/>
        <v>1</v>
      </c>
      <c r="AJ390" t="b">
        <f>COUNTBLANK(metadata!B390:AB390)=COLUMNS(metadata!B390:AB390)</f>
        <v>1</v>
      </c>
      <c r="AK390" t="str">
        <v/>
      </c>
      <c r="AM390" t="b">
        <f ca="1">AND(IF(metadata!B390="",FALSE,TRUE),COUNTIF(metadata!B:B, metadata!B390) = 1,NOT(ISERROR(SUMPRODUCT(SEARCH(MID(metadata!B390,ROW(INDIRECT("1:"&amp;LEN(metadata!B390))), 1),"0123456789abcdefghijklmnopqrstuvwxyzABCDEFGHIJKLMNOPQRSTUVWXYZ.")))))</f>
        <v>0</v>
      </c>
      <c r="AN390" t="b">
        <f ca="1">OR(AND(IF(metadata!C390="",FALSE,TRUE),OR(EXACT(metadata!C390,"missing: not collected"),EXACT(metadata!C390,"missing: not provided"),EXACT(metadata!C390,"missing: restricted access"))),AND(IF(metadata!C390="",FALSE,TRUE),AND(AND(IFERROR(INT(LEFT(metadata!C390,4))&gt;1900,FALSE),IFERROR(INT(LEFT(metadata!C390,4))&lt;=YEAR(NOW()),FALSE)), OR(MID(metadata!C390,5,1)="", AND(AND(MID(metadata!C390,5,1)="-",IFERROR(INT(MID(metadata!C390,6,1))&gt;=0,FALSE),IFERROR(INT(MID(metadata!C390,6,1))&lt;=1,FALSE),NOT(MID(metadata!C390,7,1)=""),IFERROR(INT(MID(metadata!C390,6,2))&gt;=1,FALSE),IFERROR(INT(MID(metadata!C390,6,2))&lt;=12,FALSE)), OR(MID(metadata!C390,8,1)="", AND(AND(MID(metadata!C390,8,1)="-",IFERROR(INT(MID(metadata!C390,9,1))&gt;=0,FALSE),IFERROR(INT(MID(metadata!C390,9,1))&lt;=3,FALSE),NOT(MID(metadata!C390,10,1)=""),IFERROR(INT(MID(metadata!C390,9,2))&gt;=1,FALSE),IFERROR(INT(MID(metadata!C390,9,2))&lt;=31,FALSE)), OR(MID(metadata!C390,11,1)="", AND(AND(MID(metadata!C390,11,1)=" ",IFERROR(INT(MID(metadata!C390,12,1))&gt;=0,FALSE),IFERROR(INT(MID(metadata!C390,12,1))&lt;=2,FALSE),NOT(MID(metadata!C390,13,1)=""),IFERROR(INT(MID(metadata!C390,12,2))&gt;=0,FALSE),IFERROR(INT(MID(metadata!C390,12,2))&lt;=23,FALSE)), OR(MID(metadata!C390,14,1)="", AND(AND(MID(metadata!C390,14,1)=":",IFERROR(INT(MID(metadata!C390,15,1))&gt;=0,FALSE),IFERROR(INT(MID(metadata!C390,15,1))&lt;=5,FALSE),NOT(MID(metadata!C390,16,1)=""),IFERROR(INT(MID(metadata!C390,15,2))&gt;=0,FALSE),IFERROR(INT(MID(metadata!C390,15,2))&lt;=59,FALSE)), OR(MID(metadata!C390,17,1)="", AND(AND(MID(metadata!C390,17,1)=":",IFERROR(INT(MID(metadata!C390,18,1))&gt;=0,FALSE),IFERROR(INT(MID(metadata!C390,18,1))&lt;=5,FALSE),NOT(MID(metadata!C390,19,1)=""),IFERROR(INT(MID(metadata!C390,18,2))&gt;=0,FALSE),IFERROR(INT(MID(metadata!C390,18,2))&lt;=59,FALSE)), LEN(metadata!C390)&lt;=19)))))))))))))</f>
        <v>0</v>
      </c>
      <c r="AO390" t="b">
        <f>AND(IF(metadata!D390="",FALSE,TRUE),EXACT(metadata!D390,"Not applicable"))</f>
        <v>0</v>
      </c>
      <c r="AP390" t="b">
        <f>IF(metadata!E390="",FALSE,TRUE)</f>
        <v>0</v>
      </c>
      <c r="AQ390" t="b">
        <f>OR(AND(IF(metadata!F390="",FALSE,TRUE),OR(EXACT(metadata!F390,"missing: not collected"),EXACT(metadata!F390,"missing: not provided"))),AND(IF(metadata!F390="",FALSE,TRUE),OR(EXACT(metadata!F390,"TRUE"),EXACT(metadata!F390,"FALSE"))))</f>
        <v>0</v>
      </c>
      <c r="AR390" t="b">
        <f>OR(AND(IF(metadata!G390="",FALSE,TRUE),OR(EXACT(metadata!G390,"missing: not collected"),EXACT(metadata!G390,"missing: not provided"),EXACT(metadata!G390,"missing: restricted access"))),AND(IF(metadata!G390="",FALSE,ISNUMBER(VALUE(metadata!G390))),metadata!G390&gt;=-413))</f>
        <v>0</v>
      </c>
      <c r="AS390" t="b">
        <f>AND(IF(metadata!H390="",FALSE,TRUE),EXACT(metadata!H390,"meters"))</f>
        <v>0</v>
      </c>
      <c r="AT390" t="b">
        <f>AND(IF(metadata!I390="",FALSE,TRUE),OR(EXACT(metadata!I390,"Host-associated"),EXACT(metadata!I390,"Free-living")))</f>
        <v>0</v>
      </c>
      <c r="AU390" t="b">
        <f>AND(IF(metadata!J390="",FALSE,TRUE),OR(EXACT(metadata!J390,"Animal"),EXACT(metadata!J390,"Fungus"),EXACT(metadata!J390,"Plant"),EXACT(metadata!J390,"Saline"),EXACT(metadata!J390,"Non-saline")))</f>
        <v>0</v>
      </c>
      <c r="AV390" t="b">
        <f>AND(IF(metadata!K390="",FALSE,TRUE),OR(EXACT(metadata!K390,"Plant secretion"),EXACT(metadata!K390,"Plant rhizosphere"),EXACT(metadata!K390,"Plant surface"),EXACT(metadata!K390,"Plant corpus"),EXACT(metadata!K390,"Fungus surface"),EXACT(metadata!K390,"Fungus corpus"),EXACT(metadata!K390,"Animal surface"),EXACT(metadata!K390,"Animal proximal gut"),EXACT(metadata!K390,"Animal corpus"),EXACT(metadata!K390,"Animal distal gut"),EXACT(metadata!K390,"Animal secretion"),EXACT(metadata!K390,"Sub-surface (non-saline)"),EXACT(metadata!K390,"Surface (non-saline)"),EXACT(metadata!K390,"Water (non-saline)"),EXACT(metadata!K390,"Soil (non-saline)"),EXACT(metadata!K390,"Aerosol (non-saline)"),EXACT(metadata!K390,"Sediment (non-saline)"),EXACT(metadata!K390,"Surface (saline)"),EXACT(metadata!K390,"Water (saline)"),EXACT(metadata!K390,"Hypersaline (saline)"),EXACT(metadata!K390,"Aerosol (saline)"),EXACT(metadata!K390,"Sediment (saline)")))</f>
        <v>0</v>
      </c>
      <c r="AW390" t="b">
        <f>IF(metadata!L390="",FALSE,TRUE)</f>
        <v>0</v>
      </c>
      <c r="AX390" t="b">
        <f>IF(metadata!M390="",FALSE,TRUE)</f>
        <v>0</v>
      </c>
      <c r="AY390" t="b">
        <f>IF(metadata!N390="",FALSE,TRUE)</f>
        <v>0</v>
      </c>
      <c r="AZ390" t="b">
        <f>OR(AND(IF(metadata!O390="",FALSE,TRUE),OR(EXACT(metadata!O390,"missing: not collected"),EXACT(metadata!O390,"missing: not provided"),EXACT(metadata!O390,"missing: restricted access"))),AND(IF(metadata!O390="",FALSE,TRUE),OR(EXACT(metadata!O390,"air"),EXACT(metadata!O390,"built environment"),EXACT(metadata!O390,"host-associated"),EXACT(metadata!O390,"human-associated"),EXACT(metadata!O390,"human-skin"),EXACT(metadata!O390,"human-oral"),EXACT(metadata!O390,"human-gut"),EXACT(metadata!O390,"human-vaginal"),EXACT(metadata!O390,"microbial mat/biofilm"),EXACT(metadata!O390,"misc environment"),EXACT(metadata!O390,"plant-associated"),EXACT(metadata!O390,"sediment"),EXACT(metadata!O390,"soil"),EXACT(metadata!O390,"wastewater/sludge"),EXACT(metadata!O390,"water"))))</f>
        <v>0</v>
      </c>
      <c r="BA390" t="b">
        <f>IF(metadata!P390="",FALSE,TRUE)</f>
        <v>0</v>
      </c>
      <c r="BB390" t="b">
        <f>IF(metadata!Q390="",FALSE,TRUE)</f>
        <v>0</v>
      </c>
      <c r="BC390" t="b">
        <f>OR(AND(IF(metadata!R390="",FALSE,TRUE),OR(EXACT(metadata!R390,"missing: not collected"),EXACT(metadata!R390,"missing: not provided"),EXACT(metadata!R390,"missing: restricted access"))),AND(IF(metadata!R390="",FALSE,ISNUMBER(VALUE(metadata!R390))),metadata!R390&gt;=-90,metadata!R390&lt;=90))</f>
        <v>0</v>
      </c>
      <c r="BD390" t="b">
        <f>AND(IF(metadata!S390="",FALSE,TRUE),EXACT(metadata!S390,"Decimal degrees"))</f>
        <v>0</v>
      </c>
      <c r="BE390" t="b">
        <f>OR(AND(IF(metadata!T390="",FALSE,TRUE),OR(EXACT(metadata!T390,"missing: not collected"),EXACT(metadata!T390,"missing: not provided"),EXACT(metadata!T390,"missing: restricted access"))),AND(IF(metadata!T390="",FALSE,ISNUMBER(VALUE(metadata!T390))),metadata!T390&gt;=-180,metadata!T390&lt;=180))</f>
        <v>0</v>
      </c>
      <c r="BF390" t="b">
        <f>AND(IF(metadata!U390="",FALSE,TRUE),EXACT(metadata!U390,"Decimal degrees"))</f>
        <v>0</v>
      </c>
      <c r="BG390" t="b">
        <f>IF(metadata!V390="",FALSE,TRUE)</f>
        <v>0</v>
      </c>
      <c r="BH390" t="b">
        <f>OR(AND(IF(metadata!W390="",FALSE,TRUE),OR(EXACT(metadata!W390,"missing: not collected"),EXACT(metadata!W390,"missing: not provided"),EXACT(metadata!W390,"missing: restricted access"))),AND(IF(metadata!W390="",FALSE,TRUE),OR(EXACT(metadata!W390,"TRUE"),EXACT(metadata!W390,"FALSE"))))</f>
        <v>0</v>
      </c>
      <c r="BI390" t="b">
        <f>AND(IF(metadata!X390="",FALSE,TRUE),EXACT(metadata!X390,"other"))</f>
        <v>0</v>
      </c>
      <c r="BJ390" t="b">
        <f>IF(metadata!Y390="",FALSE,TRUE)</f>
        <v>0</v>
      </c>
      <c r="BK390" t="b">
        <f>OR(AND(IF(metadata!Z390="",FALSE,TRUE),OR(EXACT(metadata!Z390,"missing: not collected"),EXACT(metadata!Z390,"missing: not provided"))),AND(IF(metadata!Z390="",FALSE,IF(ISERROR(INT(metadata!Z390)),FALSE,INT(metadata!Z390)=metadata!Z390)),metadata!Z390&gt;0))</f>
        <v>0</v>
      </c>
      <c r="BL390" t="b">
        <f>AND(IF(metadata!AA390="",FALSE,TRUE),EXACT(metadata!AA390,"Not applicable"))</f>
        <v>0</v>
      </c>
      <c r="BM390" t="b">
        <f>IF(metadata!AB390="",FALSE,TRUE)</f>
        <v>0</v>
      </c>
    </row>
    <row r="391" spans="1:65" x14ac:dyDescent="0.2">
      <c r="A391" s="5" t="str">
        <f ca="1">IF(B391=" "," ",HYPERLINK(CONCATENATE("#metadata!",ADDRESS(INDEX($AH$2:$AH$1001,MATCH(ROWS($AF$2:AF391),$AF$2:$AF$1001,0),0),1)),INDEX($AK$2:$AK$1001,MATCH(ROWS($AF$2:AF391),$AF$2:$AF$1001,0),0)))</f>
        <v xml:space="preserve"> </v>
      </c>
      <c r="B391" s="4" t="str">
        <f ca="1">IF(OR(INDEX($AG$2:$AG$1001,MATCH(ROWS($AF$2:AF391),$AF$2:$AF$1001,0),1)&gt;=100000,INDEX($AM$1005:$BM$1005,1,MATCH(COLUMNS($AM$1006:AM1006),$AM$1006:$BM$1006,0))&gt;=100000), " ",IF(INDEX($AM$2:$BM$1001,MATCH(ROWS($AF$2:AF391),$AF$2:$AF$1001,0),MATCH(COLUMNS($AM$1006:AM1006),$AM$1006:$BM$1006,0)), HYPERLINK("#",""), HYPERLINK(CONCATENATE("#metadata!", ADDRESS(INDEX($AH$2:$AH$1001,MATCH(ROWS($AF$2:AF391),$AF$2:$AF$1001,0),0), INDEX($AM$1004:$BM$1004,1,MATCH(COLUMNS($AM$1006:AM1006),$AM$1006:$BM$1006,0)))),"Fix")))</f>
        <v xml:space="preserve"> </v>
      </c>
      <c r="C391" s="4" t="str">
        <f ca="1">IF(OR(INDEX($AG$2:$AG$1001,MATCH(ROWS($AF$2:AF391),$AF$2:$AF$1001,0),1)&gt;=100000,INDEX($AM$1005:$BM$1005,1,MATCH(COLUMNS($AM$1006:AN1006),$AM$1006:$BM$1006,0))&gt;=100000), " ",IF(INDEX($AM$2:$BM$1001,MATCH(ROWS($AF$2:AF391),$AF$2:$AF$1001,0),MATCH(COLUMNS($AM$1006:AN1006),$AM$1006:$BM$1006,0)), HYPERLINK("#",""), HYPERLINK(CONCATENATE("#metadata!", ADDRESS(INDEX($AH$2:$AH$1001,MATCH(ROWS($AF$2:AF391),$AF$2:$AF$1001,0),0), INDEX($AM$1004:$BM$1004,1,MATCH(COLUMNS($AM$1006:AN1006),$AM$1006:$BM$1006,0)))),"Fix")))</f>
        <v xml:space="preserve"> </v>
      </c>
      <c r="D391" s="4" t="str">
        <f ca="1">IF(OR(INDEX($AG$2:$AG$1001,MATCH(ROWS($AF$2:AF391),$AF$2:$AF$1001,0),1)&gt;=100000,INDEX($AM$1005:$BM$1005,1,MATCH(COLUMNS($AM$1006:AO1006),$AM$1006:$BM$1006,0))&gt;=100000), " ",IF(INDEX($AM$2:$BM$1001,MATCH(ROWS($AF$2:AF391),$AF$2:$AF$1001,0),MATCH(COLUMNS($AM$1006:AO1006),$AM$1006:$BM$1006,0)), HYPERLINK("#",""), HYPERLINK(CONCATENATE("#metadata!", ADDRESS(INDEX($AH$2:$AH$1001,MATCH(ROWS($AF$2:AF391),$AF$2:$AF$1001,0),0), INDEX($AM$1004:$BM$1004,1,MATCH(COLUMNS($AM$1006:AO1006),$AM$1006:$BM$1006,0)))),"Fix")))</f>
        <v xml:space="preserve"> </v>
      </c>
      <c r="E391" s="4" t="str">
        <f ca="1">IF(OR(INDEX($AG$2:$AG$1001,MATCH(ROWS($AF$2:AF391),$AF$2:$AF$1001,0),1)&gt;=100000,INDEX($AM$1005:$BM$1005,1,MATCH(COLUMNS($AM$1006:AP1006),$AM$1006:$BM$1006,0))&gt;=100000), " ",IF(INDEX($AM$2:$BM$1001,MATCH(ROWS($AF$2:AF391),$AF$2:$AF$1001,0),MATCH(COLUMNS($AM$1006:AP1006),$AM$1006:$BM$1006,0)), HYPERLINK("#",""), HYPERLINK(CONCATENATE("#metadata!", ADDRESS(INDEX($AH$2:$AH$1001,MATCH(ROWS($AF$2:AF391),$AF$2:$AF$1001,0),0), INDEX($AM$1004:$BM$1004,1,MATCH(COLUMNS($AM$1006:AP1006),$AM$1006:$BM$1006,0)))),"Fix")))</f>
        <v xml:space="preserve"> </v>
      </c>
      <c r="F391" s="4" t="str">
        <f ca="1">IF(OR(INDEX($AG$2:$AG$1001,MATCH(ROWS($AF$2:AF391),$AF$2:$AF$1001,0),1)&gt;=100000,INDEX($AM$1005:$BM$1005,1,MATCH(COLUMNS($AM$1006:AQ1006),$AM$1006:$BM$1006,0))&gt;=100000), " ",IF(INDEX($AM$2:$BM$1001,MATCH(ROWS($AF$2:AF391),$AF$2:$AF$1001,0),MATCH(COLUMNS($AM$1006:AQ1006),$AM$1006:$BM$1006,0)), HYPERLINK("#",""), HYPERLINK(CONCATENATE("#metadata!", ADDRESS(INDEX($AH$2:$AH$1001,MATCH(ROWS($AF$2:AF391),$AF$2:$AF$1001,0),0), INDEX($AM$1004:$BM$1004,1,MATCH(COLUMNS($AM$1006:AQ1006),$AM$1006:$BM$1006,0)))),"Fix")))</f>
        <v xml:space="preserve"> </v>
      </c>
      <c r="G391" s="4" t="str">
        <f ca="1">IF(OR(INDEX($AG$2:$AG$1001,MATCH(ROWS($AF$2:AF391),$AF$2:$AF$1001,0),1)&gt;=100000,INDEX($AM$1005:$BM$1005,1,MATCH(COLUMNS($AM$1006:AR1006),$AM$1006:$BM$1006,0))&gt;=100000), " ",IF(INDEX($AM$2:$BM$1001,MATCH(ROWS($AF$2:AF391),$AF$2:$AF$1001,0),MATCH(COLUMNS($AM$1006:AR1006),$AM$1006:$BM$1006,0)), HYPERLINK("#",""), HYPERLINK(CONCATENATE("#metadata!", ADDRESS(INDEX($AH$2:$AH$1001,MATCH(ROWS($AF$2:AF391),$AF$2:$AF$1001,0),0), INDEX($AM$1004:$BM$1004,1,MATCH(COLUMNS($AM$1006:AR1006),$AM$1006:$BM$1006,0)))),"Fix")))</f>
        <v xml:space="preserve"> </v>
      </c>
      <c r="H391" s="4" t="str">
        <f ca="1">IF(OR(INDEX($AG$2:$AG$1001,MATCH(ROWS($AF$2:AF391),$AF$2:$AF$1001,0),1)&gt;=100000,INDEX($AM$1005:$BM$1005,1,MATCH(COLUMNS($AM$1006:AS1006),$AM$1006:$BM$1006,0))&gt;=100000), " ",IF(INDEX($AM$2:$BM$1001,MATCH(ROWS($AF$2:AF391),$AF$2:$AF$1001,0),MATCH(COLUMNS($AM$1006:AS1006),$AM$1006:$BM$1006,0)), HYPERLINK("#",""), HYPERLINK(CONCATENATE("#metadata!", ADDRESS(INDEX($AH$2:$AH$1001,MATCH(ROWS($AF$2:AF391),$AF$2:$AF$1001,0),0), INDEX($AM$1004:$BM$1004,1,MATCH(COLUMNS($AM$1006:AS1006),$AM$1006:$BM$1006,0)))),"Fix")))</f>
        <v xml:space="preserve"> </v>
      </c>
      <c r="I391" s="4" t="str">
        <f ca="1">IF(OR(INDEX($AG$2:$AG$1001,MATCH(ROWS($AF$2:AF391),$AF$2:$AF$1001,0),1)&gt;=100000,INDEX($AM$1005:$BM$1005,1,MATCH(COLUMNS($AM$1006:AT1006),$AM$1006:$BM$1006,0))&gt;=100000), " ",IF(INDEX($AM$2:$BM$1001,MATCH(ROWS($AF$2:AF391),$AF$2:$AF$1001,0),MATCH(COLUMNS($AM$1006:AT1006),$AM$1006:$BM$1006,0)), HYPERLINK("#",""), HYPERLINK(CONCATENATE("#metadata!", ADDRESS(INDEX($AH$2:$AH$1001,MATCH(ROWS($AF$2:AF391),$AF$2:$AF$1001,0),0), INDEX($AM$1004:$BM$1004,1,MATCH(COLUMNS($AM$1006:AT1006),$AM$1006:$BM$1006,0)))),"Fix")))</f>
        <v xml:space="preserve"> </v>
      </c>
      <c r="J391" s="4" t="str">
        <f ca="1">IF(OR(INDEX($AG$2:$AG$1001,MATCH(ROWS($AF$2:AF391),$AF$2:$AF$1001,0),1)&gt;=100000,INDEX($AM$1005:$BM$1005,1,MATCH(COLUMNS($AM$1006:AU1006),$AM$1006:$BM$1006,0))&gt;=100000), " ",IF(INDEX($AM$2:$BM$1001,MATCH(ROWS($AF$2:AF391),$AF$2:$AF$1001,0),MATCH(COLUMNS($AM$1006:AU1006),$AM$1006:$BM$1006,0)), HYPERLINK("#",""), HYPERLINK(CONCATENATE("#metadata!", ADDRESS(INDEX($AH$2:$AH$1001,MATCH(ROWS($AF$2:AF391),$AF$2:$AF$1001,0),0), INDEX($AM$1004:$BM$1004,1,MATCH(COLUMNS($AM$1006:AU1006),$AM$1006:$BM$1006,0)))),"Fix")))</f>
        <v xml:space="preserve"> </v>
      </c>
      <c r="K391" s="4" t="str">
        <f ca="1">IF(OR(INDEX($AG$2:$AG$1001,MATCH(ROWS($AF$2:AF391),$AF$2:$AF$1001,0),1)&gt;=100000,INDEX($AM$1005:$BM$1005,1,MATCH(COLUMNS($AM$1006:AV1006),$AM$1006:$BM$1006,0))&gt;=100000), " ",IF(INDEX($AM$2:$BM$1001,MATCH(ROWS($AF$2:AF391),$AF$2:$AF$1001,0),MATCH(COLUMNS($AM$1006:AV1006),$AM$1006:$BM$1006,0)), HYPERLINK("#",""), HYPERLINK(CONCATENATE("#metadata!", ADDRESS(INDEX($AH$2:$AH$1001,MATCH(ROWS($AF$2:AF391),$AF$2:$AF$1001,0),0), INDEX($AM$1004:$BM$1004,1,MATCH(COLUMNS($AM$1006:AV1006),$AM$1006:$BM$1006,0)))),"Fix")))</f>
        <v xml:space="preserve"> </v>
      </c>
      <c r="L391" s="4" t="str">
        <f ca="1">IF(OR(INDEX($AG$2:$AG$1001,MATCH(ROWS($AF$2:AF391),$AF$2:$AF$1001,0),1)&gt;=100000,INDEX($AM$1005:$BM$1005,1,MATCH(COLUMNS($AM$1006:AW1006),$AM$1006:$BM$1006,0))&gt;=100000), " ",IF(INDEX($AM$2:$BM$1001,MATCH(ROWS($AF$2:AF391),$AF$2:$AF$1001,0),MATCH(COLUMNS($AM$1006:AW1006),$AM$1006:$BM$1006,0)), HYPERLINK("#",""), HYPERLINK(CONCATENATE("#metadata!", ADDRESS(INDEX($AH$2:$AH$1001,MATCH(ROWS($AF$2:AF391),$AF$2:$AF$1001,0),0), INDEX($AM$1004:$BM$1004,1,MATCH(COLUMNS($AM$1006:AW1006),$AM$1006:$BM$1006,0)))),"Fix")))</f>
        <v xml:space="preserve"> </v>
      </c>
      <c r="M391" s="4" t="str">
        <f ca="1">IF(OR(INDEX($AG$2:$AG$1001,MATCH(ROWS($AF$2:AF391),$AF$2:$AF$1001,0),1)&gt;=100000,INDEX($AM$1005:$BM$1005,1,MATCH(COLUMNS($AM$1006:AX1006),$AM$1006:$BM$1006,0))&gt;=100000), " ",IF(INDEX($AM$2:$BM$1001,MATCH(ROWS($AF$2:AF391),$AF$2:$AF$1001,0),MATCH(COLUMNS($AM$1006:AX1006),$AM$1006:$BM$1006,0)), HYPERLINK("#",""), HYPERLINK(CONCATENATE("#metadata!", ADDRESS(INDEX($AH$2:$AH$1001,MATCH(ROWS($AF$2:AF391),$AF$2:$AF$1001,0),0), INDEX($AM$1004:$BM$1004,1,MATCH(COLUMNS($AM$1006:AX1006),$AM$1006:$BM$1006,0)))),"Fix")))</f>
        <v xml:space="preserve"> </v>
      </c>
      <c r="N391" s="4" t="str">
        <f ca="1">IF(OR(INDEX($AG$2:$AG$1001,MATCH(ROWS($AF$2:AF391),$AF$2:$AF$1001,0),1)&gt;=100000,INDEX($AM$1005:$BM$1005,1,MATCH(COLUMNS($AM$1006:AY1006),$AM$1006:$BM$1006,0))&gt;=100000), " ",IF(INDEX($AM$2:$BM$1001,MATCH(ROWS($AF$2:AF391),$AF$2:$AF$1001,0),MATCH(COLUMNS($AM$1006:AY1006),$AM$1006:$BM$1006,0)), HYPERLINK("#",""), HYPERLINK(CONCATENATE("#metadata!", ADDRESS(INDEX($AH$2:$AH$1001,MATCH(ROWS($AF$2:AF391),$AF$2:$AF$1001,0),0), INDEX($AM$1004:$BM$1004,1,MATCH(COLUMNS($AM$1006:AY1006),$AM$1006:$BM$1006,0)))),"Fix")))</f>
        <v xml:space="preserve"> </v>
      </c>
      <c r="O391" s="4" t="str">
        <f ca="1">IF(OR(INDEX($AG$2:$AG$1001,MATCH(ROWS($AF$2:AF391),$AF$2:$AF$1001,0),1)&gt;=100000,INDEX($AM$1005:$BM$1005,1,MATCH(COLUMNS($AM$1006:AZ1006),$AM$1006:$BM$1006,0))&gt;=100000), " ",IF(INDEX($AM$2:$BM$1001,MATCH(ROWS($AF$2:AF391),$AF$2:$AF$1001,0),MATCH(COLUMNS($AM$1006:AZ1006),$AM$1006:$BM$1006,0)), HYPERLINK("#",""), HYPERLINK(CONCATENATE("#metadata!", ADDRESS(INDEX($AH$2:$AH$1001,MATCH(ROWS($AF$2:AF391),$AF$2:$AF$1001,0),0), INDEX($AM$1004:$BM$1004,1,MATCH(COLUMNS($AM$1006:AZ1006),$AM$1006:$BM$1006,0)))),"Fix")))</f>
        <v xml:space="preserve"> </v>
      </c>
      <c r="P391" s="4" t="str">
        <f ca="1">IF(OR(INDEX($AG$2:$AG$1001,MATCH(ROWS($AF$2:AF391),$AF$2:$AF$1001,0),1)&gt;=100000,INDEX($AM$1005:$BM$1005,1,MATCH(COLUMNS($AM$1006:BA1006),$AM$1006:$BM$1006,0))&gt;=100000), " ",IF(INDEX($AM$2:$BM$1001,MATCH(ROWS($AF$2:AF391),$AF$2:$AF$1001,0),MATCH(COLUMNS($AM$1006:BA1006),$AM$1006:$BM$1006,0)), HYPERLINK("#",""), HYPERLINK(CONCATENATE("#metadata!", ADDRESS(INDEX($AH$2:$AH$1001,MATCH(ROWS($AF$2:AF391),$AF$2:$AF$1001,0),0), INDEX($AM$1004:$BM$1004,1,MATCH(COLUMNS($AM$1006:BA1006),$AM$1006:$BM$1006,0)))),"Fix")))</f>
        <v xml:space="preserve"> </v>
      </c>
      <c r="Q391" s="4" t="str">
        <f ca="1">IF(OR(INDEX($AG$2:$AG$1001,MATCH(ROWS($AF$2:AF391),$AF$2:$AF$1001,0),1)&gt;=100000,INDEX($AM$1005:$BM$1005,1,MATCH(COLUMNS($AM$1006:BB1006),$AM$1006:$BM$1006,0))&gt;=100000), " ",IF(INDEX($AM$2:$BM$1001,MATCH(ROWS($AF$2:AF391),$AF$2:$AF$1001,0),MATCH(COLUMNS($AM$1006:BB1006),$AM$1006:$BM$1006,0)), HYPERLINK("#",""), HYPERLINK(CONCATENATE("#metadata!", ADDRESS(INDEX($AH$2:$AH$1001,MATCH(ROWS($AF$2:AF391),$AF$2:$AF$1001,0),0), INDEX($AM$1004:$BM$1004,1,MATCH(COLUMNS($AM$1006:BB1006),$AM$1006:$BM$1006,0)))),"Fix")))</f>
        <v xml:space="preserve"> </v>
      </c>
      <c r="R391" s="4" t="str">
        <f ca="1">IF(OR(INDEX($AG$2:$AG$1001,MATCH(ROWS($AF$2:AF391),$AF$2:$AF$1001,0),1)&gt;=100000,INDEX($AM$1005:$BM$1005,1,MATCH(COLUMNS($AM$1006:BC1006),$AM$1006:$BM$1006,0))&gt;=100000), " ",IF(INDEX($AM$2:$BM$1001,MATCH(ROWS($AF$2:AF391),$AF$2:$AF$1001,0),MATCH(COLUMNS($AM$1006:BC1006),$AM$1006:$BM$1006,0)), HYPERLINK("#",""), HYPERLINK(CONCATENATE("#metadata!", ADDRESS(INDEX($AH$2:$AH$1001,MATCH(ROWS($AF$2:AF391),$AF$2:$AF$1001,0),0), INDEX($AM$1004:$BM$1004,1,MATCH(COLUMNS($AM$1006:BC1006),$AM$1006:$BM$1006,0)))),"Fix")))</f>
        <v xml:space="preserve"> </v>
      </c>
      <c r="S391" s="4" t="str">
        <f ca="1">IF(OR(INDEX($AG$2:$AG$1001,MATCH(ROWS($AF$2:AF391),$AF$2:$AF$1001,0),1)&gt;=100000,INDEX($AM$1005:$BM$1005,1,MATCH(COLUMNS($AM$1006:BD1006),$AM$1006:$BM$1006,0))&gt;=100000), " ",IF(INDEX($AM$2:$BM$1001,MATCH(ROWS($AF$2:AF391),$AF$2:$AF$1001,0),MATCH(COLUMNS($AM$1006:BD1006),$AM$1006:$BM$1006,0)), HYPERLINK("#",""), HYPERLINK(CONCATENATE("#metadata!", ADDRESS(INDEX($AH$2:$AH$1001,MATCH(ROWS($AF$2:AF391),$AF$2:$AF$1001,0),0), INDEX($AM$1004:$BM$1004,1,MATCH(COLUMNS($AM$1006:BD1006),$AM$1006:$BM$1006,0)))),"Fix")))</f>
        <v xml:space="preserve"> </v>
      </c>
      <c r="T391" s="4" t="str">
        <f ca="1">IF(OR(INDEX($AG$2:$AG$1001,MATCH(ROWS($AF$2:AF391),$AF$2:$AF$1001,0),1)&gt;=100000,INDEX($AM$1005:$BM$1005,1,MATCH(COLUMNS($AM$1006:BE1006),$AM$1006:$BM$1006,0))&gt;=100000), " ",IF(INDEX($AM$2:$BM$1001,MATCH(ROWS($AF$2:AF391),$AF$2:$AF$1001,0),MATCH(COLUMNS($AM$1006:BE1006),$AM$1006:$BM$1006,0)), HYPERLINK("#",""), HYPERLINK(CONCATENATE("#metadata!", ADDRESS(INDEX($AH$2:$AH$1001,MATCH(ROWS($AF$2:AF391),$AF$2:$AF$1001,0),0), INDEX($AM$1004:$BM$1004,1,MATCH(COLUMNS($AM$1006:BE1006),$AM$1006:$BM$1006,0)))),"Fix")))</f>
        <v xml:space="preserve"> </v>
      </c>
      <c r="U391" s="4" t="str">
        <f ca="1">IF(OR(INDEX($AG$2:$AG$1001,MATCH(ROWS($AF$2:AF391),$AF$2:$AF$1001,0),1)&gt;=100000,INDEX($AM$1005:$BM$1005,1,MATCH(COLUMNS($AM$1006:BF1006),$AM$1006:$BM$1006,0))&gt;=100000), " ",IF(INDEX($AM$2:$BM$1001,MATCH(ROWS($AF$2:AF391),$AF$2:$AF$1001,0),MATCH(COLUMNS($AM$1006:BF1006),$AM$1006:$BM$1006,0)), HYPERLINK("#",""), HYPERLINK(CONCATENATE("#metadata!", ADDRESS(INDEX($AH$2:$AH$1001,MATCH(ROWS($AF$2:AF391),$AF$2:$AF$1001,0),0), INDEX($AM$1004:$BM$1004,1,MATCH(COLUMNS($AM$1006:BF1006),$AM$1006:$BM$1006,0)))),"Fix")))</f>
        <v xml:space="preserve"> </v>
      </c>
      <c r="V391" s="4" t="str">
        <f ca="1">IF(OR(INDEX($AG$2:$AG$1001,MATCH(ROWS($AF$2:AF391),$AF$2:$AF$1001,0),1)&gt;=100000,INDEX($AM$1005:$BM$1005,1,MATCH(COLUMNS($AM$1006:BG1006),$AM$1006:$BM$1006,0))&gt;=100000), " ",IF(INDEX($AM$2:$BM$1001,MATCH(ROWS($AF$2:AF391),$AF$2:$AF$1001,0),MATCH(COLUMNS($AM$1006:BG1006),$AM$1006:$BM$1006,0)), HYPERLINK("#",""), HYPERLINK(CONCATENATE("#metadata!", ADDRESS(INDEX($AH$2:$AH$1001,MATCH(ROWS($AF$2:AF391),$AF$2:$AF$1001,0),0), INDEX($AM$1004:$BM$1004,1,MATCH(COLUMNS($AM$1006:BG1006),$AM$1006:$BM$1006,0)))),"Fix")))</f>
        <v xml:space="preserve"> </v>
      </c>
      <c r="W391" s="4" t="str">
        <f ca="1">IF(OR(INDEX($AG$2:$AG$1001,MATCH(ROWS($AF$2:AF391),$AF$2:$AF$1001,0),1)&gt;=100000,INDEX($AM$1005:$BM$1005,1,MATCH(COLUMNS($AM$1006:BH1006),$AM$1006:$BM$1006,0))&gt;=100000), " ",IF(INDEX($AM$2:$BM$1001,MATCH(ROWS($AF$2:AF391),$AF$2:$AF$1001,0),MATCH(COLUMNS($AM$1006:BH1006),$AM$1006:$BM$1006,0)), HYPERLINK("#",""), HYPERLINK(CONCATENATE("#metadata!", ADDRESS(INDEX($AH$2:$AH$1001,MATCH(ROWS($AF$2:AF391),$AF$2:$AF$1001,0),0), INDEX($AM$1004:$BM$1004,1,MATCH(COLUMNS($AM$1006:BH1006),$AM$1006:$BM$1006,0)))),"Fix")))</f>
        <v xml:space="preserve"> </v>
      </c>
      <c r="X391" s="4" t="str">
        <f ca="1">IF(OR(INDEX($AG$2:$AG$1001,MATCH(ROWS($AF$2:AF391),$AF$2:$AF$1001,0),1)&gt;=100000,INDEX($AM$1005:$BM$1005,1,MATCH(COLUMNS($AM$1006:BI1006),$AM$1006:$BM$1006,0))&gt;=100000), " ",IF(INDEX($AM$2:$BM$1001,MATCH(ROWS($AF$2:AF391),$AF$2:$AF$1001,0),MATCH(COLUMNS($AM$1006:BI1006),$AM$1006:$BM$1006,0)), HYPERLINK("#",""), HYPERLINK(CONCATENATE("#metadata!", ADDRESS(INDEX($AH$2:$AH$1001,MATCH(ROWS($AF$2:AF391),$AF$2:$AF$1001,0),0), INDEX($AM$1004:$BM$1004,1,MATCH(COLUMNS($AM$1006:BI1006),$AM$1006:$BM$1006,0)))),"Fix")))</f>
        <v xml:space="preserve"> </v>
      </c>
      <c r="Y391" s="4" t="str">
        <f ca="1">IF(OR(INDEX($AG$2:$AG$1001,MATCH(ROWS($AF$2:AF391),$AF$2:$AF$1001,0),1)&gt;=100000,INDEX($AM$1005:$BM$1005,1,MATCH(COLUMNS($AM$1006:BJ1006),$AM$1006:$BM$1006,0))&gt;=100000), " ",IF(INDEX($AM$2:$BM$1001,MATCH(ROWS($AF$2:AF391),$AF$2:$AF$1001,0),MATCH(COLUMNS($AM$1006:BJ1006),$AM$1006:$BM$1006,0)), HYPERLINK("#",""), HYPERLINK(CONCATENATE("#metadata!", ADDRESS(INDEX($AH$2:$AH$1001,MATCH(ROWS($AF$2:AF391),$AF$2:$AF$1001,0),0), INDEX($AM$1004:$BM$1004,1,MATCH(COLUMNS($AM$1006:BJ1006),$AM$1006:$BM$1006,0)))),"Fix")))</f>
        <v xml:space="preserve"> </v>
      </c>
      <c r="Z391" s="4" t="str">
        <f ca="1">IF(OR(INDEX($AG$2:$AG$1001,MATCH(ROWS($AF$2:AF391),$AF$2:$AF$1001,0),1)&gt;=100000,INDEX($AM$1005:$BM$1005,1,MATCH(COLUMNS($AM$1006:BK1006),$AM$1006:$BM$1006,0))&gt;=100000), " ",IF(INDEX($AM$2:$BM$1001,MATCH(ROWS($AF$2:AF391),$AF$2:$AF$1001,0),MATCH(COLUMNS($AM$1006:BK1006),$AM$1006:$BM$1006,0)), HYPERLINK("#",""), HYPERLINK(CONCATENATE("#metadata!", ADDRESS(INDEX($AH$2:$AH$1001,MATCH(ROWS($AF$2:AF391),$AF$2:$AF$1001,0),0), INDEX($AM$1004:$BM$1004,1,MATCH(COLUMNS($AM$1006:BK1006),$AM$1006:$BM$1006,0)))),"Fix")))</f>
        <v xml:space="preserve"> </v>
      </c>
      <c r="AA391" s="4" t="str">
        <f ca="1">IF(OR(INDEX($AG$2:$AG$1001,MATCH(ROWS($AF$2:AF391),$AF$2:$AF$1001,0),1)&gt;=100000,INDEX($AM$1005:$BM$1005,1,MATCH(COLUMNS($AM$1006:BL1006),$AM$1006:$BM$1006,0))&gt;=100000), " ",IF(INDEX($AM$2:$BM$1001,MATCH(ROWS($AF$2:AF391),$AF$2:$AF$1001,0),MATCH(COLUMNS($AM$1006:BL1006),$AM$1006:$BM$1006,0)), HYPERLINK("#",""), HYPERLINK(CONCATENATE("#metadata!", ADDRESS(INDEX($AH$2:$AH$1001,MATCH(ROWS($AF$2:AF391),$AF$2:$AF$1001,0),0), INDEX($AM$1004:$BM$1004,1,MATCH(COLUMNS($AM$1006:BL1006),$AM$1006:$BM$1006,0)))),"Fix")))</f>
        <v xml:space="preserve"> </v>
      </c>
      <c r="AB391" s="4" t="str">
        <f ca="1">IF(OR(INDEX($AG$2:$AG$1001,MATCH(ROWS($AF$2:AF391),$AF$2:$AF$1001,0),1)&gt;=100000,INDEX($AM$1005:$BM$1005,1,MATCH(COLUMNS($AM$1006:BM1006),$AM$1006:$BM$1006,0))&gt;=100000), " ",IF(INDEX($AM$2:$BM$1001,MATCH(ROWS($AF$2:AF391),$AF$2:$AF$1001,0),MATCH(COLUMNS($AM$1006:BM1006),$AM$1006:$BM$1006,0)), HYPERLINK("#",""), HYPERLINK(CONCATENATE("#metadata!", ADDRESS(INDEX($AH$2:$AH$1001,MATCH(ROWS($AF$2:AF391),$AF$2:$AF$1001,0),0), INDEX($AM$1004:$BM$1004,1,MATCH(COLUMNS($AM$1006:BM1006),$AM$1006:$BM$1006,0)))),"Fix")))</f>
        <v xml:space="preserve"> </v>
      </c>
      <c r="AF391">
        <v>390</v>
      </c>
      <c r="AG391">
        <v>100391</v>
      </c>
      <c r="AH391">
        <v>391</v>
      </c>
      <c r="AI391" t="b">
        <f t="shared" si="6"/>
        <v>1</v>
      </c>
      <c r="AJ391" t="b">
        <f>COUNTBLANK(metadata!B391:AB391)=COLUMNS(metadata!B391:AB391)</f>
        <v>1</v>
      </c>
      <c r="AK391" t="str">
        <v/>
      </c>
      <c r="AM391" t="b">
        <f ca="1">AND(IF(metadata!B391="",FALSE,TRUE),COUNTIF(metadata!B:B, metadata!B391) = 1,NOT(ISERROR(SUMPRODUCT(SEARCH(MID(metadata!B391,ROW(INDIRECT("1:"&amp;LEN(metadata!B391))), 1),"0123456789abcdefghijklmnopqrstuvwxyzABCDEFGHIJKLMNOPQRSTUVWXYZ.")))))</f>
        <v>0</v>
      </c>
      <c r="AN391" t="b">
        <f ca="1">OR(AND(IF(metadata!C391="",FALSE,TRUE),OR(EXACT(metadata!C391,"missing: not collected"),EXACT(metadata!C391,"missing: not provided"),EXACT(metadata!C391,"missing: restricted access"))),AND(IF(metadata!C391="",FALSE,TRUE),AND(AND(IFERROR(INT(LEFT(metadata!C391,4))&gt;1900,FALSE),IFERROR(INT(LEFT(metadata!C391,4))&lt;=YEAR(NOW()),FALSE)), OR(MID(metadata!C391,5,1)="", AND(AND(MID(metadata!C391,5,1)="-",IFERROR(INT(MID(metadata!C391,6,1))&gt;=0,FALSE),IFERROR(INT(MID(metadata!C391,6,1))&lt;=1,FALSE),NOT(MID(metadata!C391,7,1)=""),IFERROR(INT(MID(metadata!C391,6,2))&gt;=1,FALSE),IFERROR(INT(MID(metadata!C391,6,2))&lt;=12,FALSE)), OR(MID(metadata!C391,8,1)="", AND(AND(MID(metadata!C391,8,1)="-",IFERROR(INT(MID(metadata!C391,9,1))&gt;=0,FALSE),IFERROR(INT(MID(metadata!C391,9,1))&lt;=3,FALSE),NOT(MID(metadata!C391,10,1)=""),IFERROR(INT(MID(metadata!C391,9,2))&gt;=1,FALSE),IFERROR(INT(MID(metadata!C391,9,2))&lt;=31,FALSE)), OR(MID(metadata!C391,11,1)="", AND(AND(MID(metadata!C391,11,1)=" ",IFERROR(INT(MID(metadata!C391,12,1))&gt;=0,FALSE),IFERROR(INT(MID(metadata!C391,12,1))&lt;=2,FALSE),NOT(MID(metadata!C391,13,1)=""),IFERROR(INT(MID(metadata!C391,12,2))&gt;=0,FALSE),IFERROR(INT(MID(metadata!C391,12,2))&lt;=23,FALSE)), OR(MID(metadata!C391,14,1)="", AND(AND(MID(metadata!C391,14,1)=":",IFERROR(INT(MID(metadata!C391,15,1))&gt;=0,FALSE),IFERROR(INT(MID(metadata!C391,15,1))&lt;=5,FALSE),NOT(MID(metadata!C391,16,1)=""),IFERROR(INT(MID(metadata!C391,15,2))&gt;=0,FALSE),IFERROR(INT(MID(metadata!C391,15,2))&lt;=59,FALSE)), OR(MID(metadata!C391,17,1)="", AND(AND(MID(metadata!C391,17,1)=":",IFERROR(INT(MID(metadata!C391,18,1))&gt;=0,FALSE),IFERROR(INT(MID(metadata!C391,18,1))&lt;=5,FALSE),NOT(MID(metadata!C391,19,1)=""),IFERROR(INT(MID(metadata!C391,18,2))&gt;=0,FALSE),IFERROR(INT(MID(metadata!C391,18,2))&lt;=59,FALSE)), LEN(metadata!C391)&lt;=19)))))))))))))</f>
        <v>0</v>
      </c>
      <c r="AO391" t="b">
        <f>AND(IF(metadata!D391="",FALSE,TRUE),EXACT(metadata!D391,"Not applicable"))</f>
        <v>0</v>
      </c>
      <c r="AP391" t="b">
        <f>IF(metadata!E391="",FALSE,TRUE)</f>
        <v>0</v>
      </c>
      <c r="AQ391" t="b">
        <f>OR(AND(IF(metadata!F391="",FALSE,TRUE),OR(EXACT(metadata!F391,"missing: not collected"),EXACT(metadata!F391,"missing: not provided"))),AND(IF(metadata!F391="",FALSE,TRUE),OR(EXACT(metadata!F391,"TRUE"),EXACT(metadata!F391,"FALSE"))))</f>
        <v>0</v>
      </c>
      <c r="AR391" t="b">
        <f>OR(AND(IF(metadata!G391="",FALSE,TRUE),OR(EXACT(metadata!G391,"missing: not collected"),EXACT(metadata!G391,"missing: not provided"),EXACT(metadata!G391,"missing: restricted access"))),AND(IF(metadata!G391="",FALSE,ISNUMBER(VALUE(metadata!G391))),metadata!G391&gt;=-413))</f>
        <v>0</v>
      </c>
      <c r="AS391" t="b">
        <f>AND(IF(metadata!H391="",FALSE,TRUE),EXACT(metadata!H391,"meters"))</f>
        <v>0</v>
      </c>
      <c r="AT391" t="b">
        <f>AND(IF(metadata!I391="",FALSE,TRUE),OR(EXACT(metadata!I391,"Host-associated"),EXACT(metadata!I391,"Free-living")))</f>
        <v>0</v>
      </c>
      <c r="AU391" t="b">
        <f>AND(IF(metadata!J391="",FALSE,TRUE),OR(EXACT(metadata!J391,"Animal"),EXACT(metadata!J391,"Fungus"),EXACT(metadata!J391,"Plant"),EXACT(metadata!J391,"Saline"),EXACT(metadata!J391,"Non-saline")))</f>
        <v>0</v>
      </c>
      <c r="AV391" t="b">
        <f>AND(IF(metadata!K391="",FALSE,TRUE),OR(EXACT(metadata!K391,"Plant secretion"),EXACT(metadata!K391,"Plant rhizosphere"),EXACT(metadata!K391,"Plant surface"),EXACT(metadata!K391,"Plant corpus"),EXACT(metadata!K391,"Fungus surface"),EXACT(metadata!K391,"Fungus corpus"),EXACT(metadata!K391,"Animal surface"),EXACT(metadata!K391,"Animal proximal gut"),EXACT(metadata!K391,"Animal corpus"),EXACT(metadata!K391,"Animal distal gut"),EXACT(metadata!K391,"Animal secretion"),EXACT(metadata!K391,"Sub-surface (non-saline)"),EXACT(metadata!K391,"Surface (non-saline)"),EXACT(metadata!K391,"Water (non-saline)"),EXACT(metadata!K391,"Soil (non-saline)"),EXACT(metadata!K391,"Aerosol (non-saline)"),EXACT(metadata!K391,"Sediment (non-saline)"),EXACT(metadata!K391,"Surface (saline)"),EXACT(metadata!K391,"Water (saline)"),EXACT(metadata!K391,"Hypersaline (saline)"),EXACT(metadata!K391,"Aerosol (saline)"),EXACT(metadata!K391,"Sediment (saline)")))</f>
        <v>0</v>
      </c>
      <c r="AW391" t="b">
        <f>IF(metadata!L391="",FALSE,TRUE)</f>
        <v>0</v>
      </c>
      <c r="AX391" t="b">
        <f>IF(metadata!M391="",FALSE,TRUE)</f>
        <v>0</v>
      </c>
      <c r="AY391" t="b">
        <f>IF(metadata!N391="",FALSE,TRUE)</f>
        <v>0</v>
      </c>
      <c r="AZ391" t="b">
        <f>OR(AND(IF(metadata!O391="",FALSE,TRUE),OR(EXACT(metadata!O391,"missing: not collected"),EXACT(metadata!O391,"missing: not provided"),EXACT(metadata!O391,"missing: restricted access"))),AND(IF(metadata!O391="",FALSE,TRUE),OR(EXACT(metadata!O391,"air"),EXACT(metadata!O391,"built environment"),EXACT(metadata!O391,"host-associated"),EXACT(metadata!O391,"human-associated"),EXACT(metadata!O391,"human-skin"),EXACT(metadata!O391,"human-oral"),EXACT(metadata!O391,"human-gut"),EXACT(metadata!O391,"human-vaginal"),EXACT(metadata!O391,"microbial mat/biofilm"),EXACT(metadata!O391,"misc environment"),EXACT(metadata!O391,"plant-associated"),EXACT(metadata!O391,"sediment"),EXACT(metadata!O391,"soil"),EXACT(metadata!O391,"wastewater/sludge"),EXACT(metadata!O391,"water"))))</f>
        <v>0</v>
      </c>
      <c r="BA391" t="b">
        <f>IF(metadata!P391="",FALSE,TRUE)</f>
        <v>0</v>
      </c>
      <c r="BB391" t="b">
        <f>IF(metadata!Q391="",FALSE,TRUE)</f>
        <v>0</v>
      </c>
      <c r="BC391" t="b">
        <f>OR(AND(IF(metadata!R391="",FALSE,TRUE),OR(EXACT(metadata!R391,"missing: not collected"),EXACT(metadata!R391,"missing: not provided"),EXACT(metadata!R391,"missing: restricted access"))),AND(IF(metadata!R391="",FALSE,ISNUMBER(VALUE(metadata!R391))),metadata!R391&gt;=-90,metadata!R391&lt;=90))</f>
        <v>0</v>
      </c>
      <c r="BD391" t="b">
        <f>AND(IF(metadata!S391="",FALSE,TRUE),EXACT(metadata!S391,"Decimal degrees"))</f>
        <v>0</v>
      </c>
      <c r="BE391" t="b">
        <f>OR(AND(IF(metadata!T391="",FALSE,TRUE),OR(EXACT(metadata!T391,"missing: not collected"),EXACT(metadata!T391,"missing: not provided"),EXACT(metadata!T391,"missing: restricted access"))),AND(IF(metadata!T391="",FALSE,ISNUMBER(VALUE(metadata!T391))),metadata!T391&gt;=-180,metadata!T391&lt;=180))</f>
        <v>0</v>
      </c>
      <c r="BF391" t="b">
        <f>AND(IF(metadata!U391="",FALSE,TRUE),EXACT(metadata!U391,"Decimal degrees"))</f>
        <v>0</v>
      </c>
      <c r="BG391" t="b">
        <f>IF(metadata!V391="",FALSE,TRUE)</f>
        <v>0</v>
      </c>
      <c r="BH391" t="b">
        <f>OR(AND(IF(metadata!W391="",FALSE,TRUE),OR(EXACT(metadata!W391,"missing: not collected"),EXACT(metadata!W391,"missing: not provided"),EXACT(metadata!W391,"missing: restricted access"))),AND(IF(metadata!W391="",FALSE,TRUE),OR(EXACT(metadata!W391,"TRUE"),EXACT(metadata!W391,"FALSE"))))</f>
        <v>0</v>
      </c>
      <c r="BI391" t="b">
        <f>AND(IF(metadata!X391="",FALSE,TRUE),EXACT(metadata!X391,"other"))</f>
        <v>0</v>
      </c>
      <c r="BJ391" t="b">
        <f>IF(metadata!Y391="",FALSE,TRUE)</f>
        <v>0</v>
      </c>
      <c r="BK391" t="b">
        <f>OR(AND(IF(metadata!Z391="",FALSE,TRUE),OR(EXACT(metadata!Z391,"missing: not collected"),EXACT(metadata!Z391,"missing: not provided"))),AND(IF(metadata!Z391="",FALSE,IF(ISERROR(INT(metadata!Z391)),FALSE,INT(metadata!Z391)=metadata!Z391)),metadata!Z391&gt;0))</f>
        <v>0</v>
      </c>
      <c r="BL391" t="b">
        <f>AND(IF(metadata!AA391="",FALSE,TRUE),EXACT(metadata!AA391,"Not applicable"))</f>
        <v>0</v>
      </c>
      <c r="BM391" t="b">
        <f>IF(metadata!AB391="",FALSE,TRUE)</f>
        <v>0</v>
      </c>
    </row>
    <row r="392" spans="1:65" x14ac:dyDescent="0.2">
      <c r="A392" s="5" t="str">
        <f ca="1">IF(B392=" "," ",HYPERLINK(CONCATENATE("#metadata!",ADDRESS(INDEX($AH$2:$AH$1001,MATCH(ROWS($AF$2:AF392),$AF$2:$AF$1001,0),0),1)),INDEX($AK$2:$AK$1001,MATCH(ROWS($AF$2:AF392),$AF$2:$AF$1001,0),0)))</f>
        <v xml:space="preserve"> </v>
      </c>
      <c r="B392" s="4" t="str">
        <f ca="1">IF(OR(INDEX($AG$2:$AG$1001,MATCH(ROWS($AF$2:AF392),$AF$2:$AF$1001,0),1)&gt;=100000,INDEX($AM$1005:$BM$1005,1,MATCH(COLUMNS($AM$1006:AM1006),$AM$1006:$BM$1006,0))&gt;=100000), " ",IF(INDEX($AM$2:$BM$1001,MATCH(ROWS($AF$2:AF392),$AF$2:$AF$1001,0),MATCH(COLUMNS($AM$1006:AM1006),$AM$1006:$BM$1006,0)), HYPERLINK("#",""), HYPERLINK(CONCATENATE("#metadata!", ADDRESS(INDEX($AH$2:$AH$1001,MATCH(ROWS($AF$2:AF392),$AF$2:$AF$1001,0),0), INDEX($AM$1004:$BM$1004,1,MATCH(COLUMNS($AM$1006:AM1006),$AM$1006:$BM$1006,0)))),"Fix")))</f>
        <v xml:space="preserve"> </v>
      </c>
      <c r="C392" s="4" t="str">
        <f ca="1">IF(OR(INDEX($AG$2:$AG$1001,MATCH(ROWS($AF$2:AF392),$AF$2:$AF$1001,0),1)&gt;=100000,INDEX($AM$1005:$BM$1005,1,MATCH(COLUMNS($AM$1006:AN1006),$AM$1006:$BM$1006,0))&gt;=100000), " ",IF(INDEX($AM$2:$BM$1001,MATCH(ROWS($AF$2:AF392),$AF$2:$AF$1001,0),MATCH(COLUMNS($AM$1006:AN1006),$AM$1006:$BM$1006,0)), HYPERLINK("#",""), HYPERLINK(CONCATENATE("#metadata!", ADDRESS(INDEX($AH$2:$AH$1001,MATCH(ROWS($AF$2:AF392),$AF$2:$AF$1001,0),0), INDEX($AM$1004:$BM$1004,1,MATCH(COLUMNS($AM$1006:AN1006),$AM$1006:$BM$1006,0)))),"Fix")))</f>
        <v xml:space="preserve"> </v>
      </c>
      <c r="D392" s="4" t="str">
        <f ca="1">IF(OR(INDEX($AG$2:$AG$1001,MATCH(ROWS($AF$2:AF392),$AF$2:$AF$1001,0),1)&gt;=100000,INDEX($AM$1005:$BM$1005,1,MATCH(COLUMNS($AM$1006:AO1006),$AM$1006:$BM$1006,0))&gt;=100000), " ",IF(INDEX($AM$2:$BM$1001,MATCH(ROWS($AF$2:AF392),$AF$2:$AF$1001,0),MATCH(COLUMNS($AM$1006:AO1006),$AM$1006:$BM$1006,0)), HYPERLINK("#",""), HYPERLINK(CONCATENATE("#metadata!", ADDRESS(INDEX($AH$2:$AH$1001,MATCH(ROWS($AF$2:AF392),$AF$2:$AF$1001,0),0), INDEX($AM$1004:$BM$1004,1,MATCH(COLUMNS($AM$1006:AO1006),$AM$1006:$BM$1006,0)))),"Fix")))</f>
        <v xml:space="preserve"> </v>
      </c>
      <c r="E392" s="4" t="str">
        <f ca="1">IF(OR(INDEX($AG$2:$AG$1001,MATCH(ROWS($AF$2:AF392),$AF$2:$AF$1001,0),1)&gt;=100000,INDEX($AM$1005:$BM$1005,1,MATCH(COLUMNS($AM$1006:AP1006),$AM$1006:$BM$1006,0))&gt;=100000), " ",IF(INDEX($AM$2:$BM$1001,MATCH(ROWS($AF$2:AF392),$AF$2:$AF$1001,0),MATCH(COLUMNS($AM$1006:AP1006),$AM$1006:$BM$1006,0)), HYPERLINK("#",""), HYPERLINK(CONCATENATE("#metadata!", ADDRESS(INDEX($AH$2:$AH$1001,MATCH(ROWS($AF$2:AF392),$AF$2:$AF$1001,0),0), INDEX($AM$1004:$BM$1004,1,MATCH(COLUMNS($AM$1006:AP1006),$AM$1006:$BM$1006,0)))),"Fix")))</f>
        <v xml:space="preserve"> </v>
      </c>
      <c r="F392" s="4" t="str">
        <f ca="1">IF(OR(INDEX($AG$2:$AG$1001,MATCH(ROWS($AF$2:AF392),$AF$2:$AF$1001,0),1)&gt;=100000,INDEX($AM$1005:$BM$1005,1,MATCH(COLUMNS($AM$1006:AQ1006),$AM$1006:$BM$1006,0))&gt;=100000), " ",IF(INDEX($AM$2:$BM$1001,MATCH(ROWS($AF$2:AF392),$AF$2:$AF$1001,0),MATCH(COLUMNS($AM$1006:AQ1006),$AM$1006:$BM$1006,0)), HYPERLINK("#",""), HYPERLINK(CONCATENATE("#metadata!", ADDRESS(INDEX($AH$2:$AH$1001,MATCH(ROWS($AF$2:AF392),$AF$2:$AF$1001,0),0), INDEX($AM$1004:$BM$1004,1,MATCH(COLUMNS($AM$1006:AQ1006),$AM$1006:$BM$1006,0)))),"Fix")))</f>
        <v xml:space="preserve"> </v>
      </c>
      <c r="G392" s="4" t="str">
        <f ca="1">IF(OR(INDEX($AG$2:$AG$1001,MATCH(ROWS($AF$2:AF392),$AF$2:$AF$1001,0),1)&gt;=100000,INDEX($AM$1005:$BM$1005,1,MATCH(COLUMNS($AM$1006:AR1006),$AM$1006:$BM$1006,0))&gt;=100000), " ",IF(INDEX($AM$2:$BM$1001,MATCH(ROWS($AF$2:AF392),$AF$2:$AF$1001,0),MATCH(COLUMNS($AM$1006:AR1006),$AM$1006:$BM$1006,0)), HYPERLINK("#",""), HYPERLINK(CONCATENATE("#metadata!", ADDRESS(INDEX($AH$2:$AH$1001,MATCH(ROWS($AF$2:AF392),$AF$2:$AF$1001,0),0), INDEX($AM$1004:$BM$1004,1,MATCH(COLUMNS($AM$1006:AR1006),$AM$1006:$BM$1006,0)))),"Fix")))</f>
        <v xml:space="preserve"> </v>
      </c>
      <c r="H392" s="4" t="str">
        <f ca="1">IF(OR(INDEX($AG$2:$AG$1001,MATCH(ROWS($AF$2:AF392),$AF$2:$AF$1001,0),1)&gt;=100000,INDEX($AM$1005:$BM$1005,1,MATCH(COLUMNS($AM$1006:AS1006),$AM$1006:$BM$1006,0))&gt;=100000), " ",IF(INDEX($AM$2:$BM$1001,MATCH(ROWS($AF$2:AF392),$AF$2:$AF$1001,0),MATCH(COLUMNS($AM$1006:AS1006),$AM$1006:$BM$1006,0)), HYPERLINK("#",""), HYPERLINK(CONCATENATE("#metadata!", ADDRESS(INDEX($AH$2:$AH$1001,MATCH(ROWS($AF$2:AF392),$AF$2:$AF$1001,0),0), INDEX($AM$1004:$BM$1004,1,MATCH(COLUMNS($AM$1006:AS1006),$AM$1006:$BM$1006,0)))),"Fix")))</f>
        <v xml:space="preserve"> </v>
      </c>
      <c r="I392" s="4" t="str">
        <f ca="1">IF(OR(INDEX($AG$2:$AG$1001,MATCH(ROWS($AF$2:AF392),$AF$2:$AF$1001,0),1)&gt;=100000,INDEX($AM$1005:$BM$1005,1,MATCH(COLUMNS($AM$1006:AT1006),$AM$1006:$BM$1006,0))&gt;=100000), " ",IF(INDEX($AM$2:$BM$1001,MATCH(ROWS($AF$2:AF392),$AF$2:$AF$1001,0),MATCH(COLUMNS($AM$1006:AT1006),$AM$1006:$BM$1006,0)), HYPERLINK("#",""), HYPERLINK(CONCATENATE("#metadata!", ADDRESS(INDEX($AH$2:$AH$1001,MATCH(ROWS($AF$2:AF392),$AF$2:$AF$1001,0),0), INDEX($AM$1004:$BM$1004,1,MATCH(COLUMNS($AM$1006:AT1006),$AM$1006:$BM$1006,0)))),"Fix")))</f>
        <v xml:space="preserve"> </v>
      </c>
      <c r="J392" s="4" t="str">
        <f ca="1">IF(OR(INDEX($AG$2:$AG$1001,MATCH(ROWS($AF$2:AF392),$AF$2:$AF$1001,0),1)&gt;=100000,INDEX($AM$1005:$BM$1005,1,MATCH(COLUMNS($AM$1006:AU1006),$AM$1006:$BM$1006,0))&gt;=100000), " ",IF(INDEX($AM$2:$BM$1001,MATCH(ROWS($AF$2:AF392),$AF$2:$AF$1001,0),MATCH(COLUMNS($AM$1006:AU1006),$AM$1006:$BM$1006,0)), HYPERLINK("#",""), HYPERLINK(CONCATENATE("#metadata!", ADDRESS(INDEX($AH$2:$AH$1001,MATCH(ROWS($AF$2:AF392),$AF$2:$AF$1001,0),0), INDEX($AM$1004:$BM$1004,1,MATCH(COLUMNS($AM$1006:AU1006),$AM$1006:$BM$1006,0)))),"Fix")))</f>
        <v xml:space="preserve"> </v>
      </c>
      <c r="K392" s="4" t="str">
        <f ca="1">IF(OR(INDEX($AG$2:$AG$1001,MATCH(ROWS($AF$2:AF392),$AF$2:$AF$1001,0),1)&gt;=100000,INDEX($AM$1005:$BM$1005,1,MATCH(COLUMNS($AM$1006:AV1006),$AM$1006:$BM$1006,0))&gt;=100000), " ",IF(INDEX($AM$2:$BM$1001,MATCH(ROWS($AF$2:AF392),$AF$2:$AF$1001,0),MATCH(COLUMNS($AM$1006:AV1006),$AM$1006:$BM$1006,0)), HYPERLINK("#",""), HYPERLINK(CONCATENATE("#metadata!", ADDRESS(INDEX($AH$2:$AH$1001,MATCH(ROWS($AF$2:AF392),$AF$2:$AF$1001,0),0), INDEX($AM$1004:$BM$1004,1,MATCH(COLUMNS($AM$1006:AV1006),$AM$1006:$BM$1006,0)))),"Fix")))</f>
        <v xml:space="preserve"> </v>
      </c>
      <c r="L392" s="4" t="str">
        <f ca="1">IF(OR(INDEX($AG$2:$AG$1001,MATCH(ROWS($AF$2:AF392),$AF$2:$AF$1001,0),1)&gt;=100000,INDEX($AM$1005:$BM$1005,1,MATCH(COLUMNS($AM$1006:AW1006),$AM$1006:$BM$1006,0))&gt;=100000), " ",IF(INDEX($AM$2:$BM$1001,MATCH(ROWS($AF$2:AF392),$AF$2:$AF$1001,0),MATCH(COLUMNS($AM$1006:AW1006),$AM$1006:$BM$1006,0)), HYPERLINK("#",""), HYPERLINK(CONCATENATE("#metadata!", ADDRESS(INDEX($AH$2:$AH$1001,MATCH(ROWS($AF$2:AF392),$AF$2:$AF$1001,0),0), INDEX($AM$1004:$BM$1004,1,MATCH(COLUMNS($AM$1006:AW1006),$AM$1006:$BM$1006,0)))),"Fix")))</f>
        <v xml:space="preserve"> </v>
      </c>
      <c r="M392" s="4" t="str">
        <f ca="1">IF(OR(INDEX($AG$2:$AG$1001,MATCH(ROWS($AF$2:AF392),$AF$2:$AF$1001,0),1)&gt;=100000,INDEX($AM$1005:$BM$1005,1,MATCH(COLUMNS($AM$1006:AX1006),$AM$1006:$BM$1006,0))&gt;=100000), " ",IF(INDEX($AM$2:$BM$1001,MATCH(ROWS($AF$2:AF392),$AF$2:$AF$1001,0),MATCH(COLUMNS($AM$1006:AX1006),$AM$1006:$BM$1006,0)), HYPERLINK("#",""), HYPERLINK(CONCATENATE("#metadata!", ADDRESS(INDEX($AH$2:$AH$1001,MATCH(ROWS($AF$2:AF392),$AF$2:$AF$1001,0),0), INDEX($AM$1004:$BM$1004,1,MATCH(COLUMNS($AM$1006:AX1006),$AM$1006:$BM$1006,0)))),"Fix")))</f>
        <v xml:space="preserve"> </v>
      </c>
      <c r="N392" s="4" t="str">
        <f ca="1">IF(OR(INDEX($AG$2:$AG$1001,MATCH(ROWS($AF$2:AF392),$AF$2:$AF$1001,0),1)&gt;=100000,INDEX($AM$1005:$BM$1005,1,MATCH(COLUMNS($AM$1006:AY1006),$AM$1006:$BM$1006,0))&gt;=100000), " ",IF(INDEX($AM$2:$BM$1001,MATCH(ROWS($AF$2:AF392),$AF$2:$AF$1001,0),MATCH(COLUMNS($AM$1006:AY1006),$AM$1006:$BM$1006,0)), HYPERLINK("#",""), HYPERLINK(CONCATENATE("#metadata!", ADDRESS(INDEX($AH$2:$AH$1001,MATCH(ROWS($AF$2:AF392),$AF$2:$AF$1001,0),0), INDEX($AM$1004:$BM$1004,1,MATCH(COLUMNS($AM$1006:AY1006),$AM$1006:$BM$1006,0)))),"Fix")))</f>
        <v xml:space="preserve"> </v>
      </c>
      <c r="O392" s="4" t="str">
        <f ca="1">IF(OR(INDEX($AG$2:$AG$1001,MATCH(ROWS($AF$2:AF392),$AF$2:$AF$1001,0),1)&gt;=100000,INDEX($AM$1005:$BM$1005,1,MATCH(COLUMNS($AM$1006:AZ1006),$AM$1006:$BM$1006,0))&gt;=100000), " ",IF(INDEX($AM$2:$BM$1001,MATCH(ROWS($AF$2:AF392),$AF$2:$AF$1001,0),MATCH(COLUMNS($AM$1006:AZ1006),$AM$1006:$BM$1006,0)), HYPERLINK("#",""), HYPERLINK(CONCATENATE("#metadata!", ADDRESS(INDEX($AH$2:$AH$1001,MATCH(ROWS($AF$2:AF392),$AF$2:$AF$1001,0),0), INDEX($AM$1004:$BM$1004,1,MATCH(COLUMNS($AM$1006:AZ1006),$AM$1006:$BM$1006,0)))),"Fix")))</f>
        <v xml:space="preserve"> </v>
      </c>
      <c r="P392" s="4" t="str">
        <f ca="1">IF(OR(INDEX($AG$2:$AG$1001,MATCH(ROWS($AF$2:AF392),$AF$2:$AF$1001,0),1)&gt;=100000,INDEX($AM$1005:$BM$1005,1,MATCH(COLUMNS($AM$1006:BA1006),$AM$1006:$BM$1006,0))&gt;=100000), " ",IF(INDEX($AM$2:$BM$1001,MATCH(ROWS($AF$2:AF392),$AF$2:$AF$1001,0),MATCH(COLUMNS($AM$1006:BA1006),$AM$1006:$BM$1006,0)), HYPERLINK("#",""), HYPERLINK(CONCATENATE("#metadata!", ADDRESS(INDEX($AH$2:$AH$1001,MATCH(ROWS($AF$2:AF392),$AF$2:$AF$1001,0),0), INDEX($AM$1004:$BM$1004,1,MATCH(COLUMNS($AM$1006:BA1006),$AM$1006:$BM$1006,0)))),"Fix")))</f>
        <v xml:space="preserve"> </v>
      </c>
      <c r="Q392" s="4" t="str">
        <f ca="1">IF(OR(INDEX($AG$2:$AG$1001,MATCH(ROWS($AF$2:AF392),$AF$2:$AF$1001,0),1)&gt;=100000,INDEX($AM$1005:$BM$1005,1,MATCH(COLUMNS($AM$1006:BB1006),$AM$1006:$BM$1006,0))&gt;=100000), " ",IF(INDEX($AM$2:$BM$1001,MATCH(ROWS($AF$2:AF392),$AF$2:$AF$1001,0),MATCH(COLUMNS($AM$1006:BB1006),$AM$1006:$BM$1006,0)), HYPERLINK("#",""), HYPERLINK(CONCATENATE("#metadata!", ADDRESS(INDEX($AH$2:$AH$1001,MATCH(ROWS($AF$2:AF392),$AF$2:$AF$1001,0),0), INDEX($AM$1004:$BM$1004,1,MATCH(COLUMNS($AM$1006:BB1006),$AM$1006:$BM$1006,0)))),"Fix")))</f>
        <v xml:space="preserve"> </v>
      </c>
      <c r="R392" s="4" t="str">
        <f ca="1">IF(OR(INDEX($AG$2:$AG$1001,MATCH(ROWS($AF$2:AF392),$AF$2:$AF$1001,0),1)&gt;=100000,INDEX($AM$1005:$BM$1005,1,MATCH(COLUMNS($AM$1006:BC1006),$AM$1006:$BM$1006,0))&gt;=100000), " ",IF(INDEX($AM$2:$BM$1001,MATCH(ROWS($AF$2:AF392),$AF$2:$AF$1001,0),MATCH(COLUMNS($AM$1006:BC1006),$AM$1006:$BM$1006,0)), HYPERLINK("#",""), HYPERLINK(CONCATENATE("#metadata!", ADDRESS(INDEX($AH$2:$AH$1001,MATCH(ROWS($AF$2:AF392),$AF$2:$AF$1001,0),0), INDEX($AM$1004:$BM$1004,1,MATCH(COLUMNS($AM$1006:BC1006),$AM$1006:$BM$1006,0)))),"Fix")))</f>
        <v xml:space="preserve"> </v>
      </c>
      <c r="S392" s="4" t="str">
        <f ca="1">IF(OR(INDEX($AG$2:$AG$1001,MATCH(ROWS($AF$2:AF392),$AF$2:$AF$1001,0),1)&gt;=100000,INDEX($AM$1005:$BM$1005,1,MATCH(COLUMNS($AM$1006:BD1006),$AM$1006:$BM$1006,0))&gt;=100000), " ",IF(INDEX($AM$2:$BM$1001,MATCH(ROWS($AF$2:AF392),$AF$2:$AF$1001,0),MATCH(COLUMNS($AM$1006:BD1006),$AM$1006:$BM$1006,0)), HYPERLINK("#",""), HYPERLINK(CONCATENATE("#metadata!", ADDRESS(INDEX($AH$2:$AH$1001,MATCH(ROWS($AF$2:AF392),$AF$2:$AF$1001,0),0), INDEX($AM$1004:$BM$1004,1,MATCH(COLUMNS($AM$1006:BD1006),$AM$1006:$BM$1006,0)))),"Fix")))</f>
        <v xml:space="preserve"> </v>
      </c>
      <c r="T392" s="4" t="str">
        <f ca="1">IF(OR(INDEX($AG$2:$AG$1001,MATCH(ROWS($AF$2:AF392),$AF$2:$AF$1001,0),1)&gt;=100000,INDEX($AM$1005:$BM$1005,1,MATCH(COLUMNS($AM$1006:BE1006),$AM$1006:$BM$1006,0))&gt;=100000), " ",IF(INDEX($AM$2:$BM$1001,MATCH(ROWS($AF$2:AF392),$AF$2:$AF$1001,0),MATCH(COLUMNS($AM$1006:BE1006),$AM$1006:$BM$1006,0)), HYPERLINK("#",""), HYPERLINK(CONCATENATE("#metadata!", ADDRESS(INDEX($AH$2:$AH$1001,MATCH(ROWS($AF$2:AF392),$AF$2:$AF$1001,0),0), INDEX($AM$1004:$BM$1004,1,MATCH(COLUMNS($AM$1006:BE1006),$AM$1006:$BM$1006,0)))),"Fix")))</f>
        <v xml:space="preserve"> </v>
      </c>
      <c r="U392" s="4" t="str">
        <f ca="1">IF(OR(INDEX($AG$2:$AG$1001,MATCH(ROWS($AF$2:AF392),$AF$2:$AF$1001,0),1)&gt;=100000,INDEX($AM$1005:$BM$1005,1,MATCH(COLUMNS($AM$1006:BF1006),$AM$1006:$BM$1006,0))&gt;=100000), " ",IF(INDEX($AM$2:$BM$1001,MATCH(ROWS($AF$2:AF392),$AF$2:$AF$1001,0),MATCH(COLUMNS($AM$1006:BF1006),$AM$1006:$BM$1006,0)), HYPERLINK("#",""), HYPERLINK(CONCATENATE("#metadata!", ADDRESS(INDEX($AH$2:$AH$1001,MATCH(ROWS($AF$2:AF392),$AF$2:$AF$1001,0),0), INDEX($AM$1004:$BM$1004,1,MATCH(COLUMNS($AM$1006:BF1006),$AM$1006:$BM$1006,0)))),"Fix")))</f>
        <v xml:space="preserve"> </v>
      </c>
      <c r="V392" s="4" t="str">
        <f ca="1">IF(OR(INDEX($AG$2:$AG$1001,MATCH(ROWS($AF$2:AF392),$AF$2:$AF$1001,0),1)&gt;=100000,INDEX($AM$1005:$BM$1005,1,MATCH(COLUMNS($AM$1006:BG1006),$AM$1006:$BM$1006,0))&gt;=100000), " ",IF(INDEX($AM$2:$BM$1001,MATCH(ROWS($AF$2:AF392),$AF$2:$AF$1001,0),MATCH(COLUMNS($AM$1006:BG1006),$AM$1006:$BM$1006,0)), HYPERLINK("#",""), HYPERLINK(CONCATENATE("#metadata!", ADDRESS(INDEX($AH$2:$AH$1001,MATCH(ROWS($AF$2:AF392),$AF$2:$AF$1001,0),0), INDEX($AM$1004:$BM$1004,1,MATCH(COLUMNS($AM$1006:BG1006),$AM$1006:$BM$1006,0)))),"Fix")))</f>
        <v xml:space="preserve"> </v>
      </c>
      <c r="W392" s="4" t="str">
        <f ca="1">IF(OR(INDEX($AG$2:$AG$1001,MATCH(ROWS($AF$2:AF392),$AF$2:$AF$1001,0),1)&gt;=100000,INDEX($AM$1005:$BM$1005,1,MATCH(COLUMNS($AM$1006:BH1006),$AM$1006:$BM$1006,0))&gt;=100000), " ",IF(INDEX($AM$2:$BM$1001,MATCH(ROWS($AF$2:AF392),$AF$2:$AF$1001,0),MATCH(COLUMNS($AM$1006:BH1006),$AM$1006:$BM$1006,0)), HYPERLINK("#",""), HYPERLINK(CONCATENATE("#metadata!", ADDRESS(INDEX($AH$2:$AH$1001,MATCH(ROWS($AF$2:AF392),$AF$2:$AF$1001,0),0), INDEX($AM$1004:$BM$1004,1,MATCH(COLUMNS($AM$1006:BH1006),$AM$1006:$BM$1006,0)))),"Fix")))</f>
        <v xml:space="preserve"> </v>
      </c>
      <c r="X392" s="4" t="str">
        <f ca="1">IF(OR(INDEX($AG$2:$AG$1001,MATCH(ROWS($AF$2:AF392),$AF$2:$AF$1001,0),1)&gt;=100000,INDEX($AM$1005:$BM$1005,1,MATCH(COLUMNS($AM$1006:BI1006),$AM$1006:$BM$1006,0))&gt;=100000), " ",IF(INDEX($AM$2:$BM$1001,MATCH(ROWS($AF$2:AF392),$AF$2:$AF$1001,0),MATCH(COLUMNS($AM$1006:BI1006),$AM$1006:$BM$1006,0)), HYPERLINK("#",""), HYPERLINK(CONCATENATE("#metadata!", ADDRESS(INDEX($AH$2:$AH$1001,MATCH(ROWS($AF$2:AF392),$AF$2:$AF$1001,0),0), INDEX($AM$1004:$BM$1004,1,MATCH(COLUMNS($AM$1006:BI1006),$AM$1006:$BM$1006,0)))),"Fix")))</f>
        <v xml:space="preserve"> </v>
      </c>
      <c r="Y392" s="4" t="str">
        <f ca="1">IF(OR(INDEX($AG$2:$AG$1001,MATCH(ROWS($AF$2:AF392),$AF$2:$AF$1001,0),1)&gt;=100000,INDEX($AM$1005:$BM$1005,1,MATCH(COLUMNS($AM$1006:BJ1006),$AM$1006:$BM$1006,0))&gt;=100000), " ",IF(INDEX($AM$2:$BM$1001,MATCH(ROWS($AF$2:AF392),$AF$2:$AF$1001,0),MATCH(COLUMNS($AM$1006:BJ1006),$AM$1006:$BM$1006,0)), HYPERLINK("#",""), HYPERLINK(CONCATENATE("#metadata!", ADDRESS(INDEX($AH$2:$AH$1001,MATCH(ROWS($AF$2:AF392),$AF$2:$AF$1001,0),0), INDEX($AM$1004:$BM$1004,1,MATCH(COLUMNS($AM$1006:BJ1006),$AM$1006:$BM$1006,0)))),"Fix")))</f>
        <v xml:space="preserve"> </v>
      </c>
      <c r="Z392" s="4" t="str">
        <f ca="1">IF(OR(INDEX($AG$2:$AG$1001,MATCH(ROWS($AF$2:AF392),$AF$2:$AF$1001,0),1)&gt;=100000,INDEX($AM$1005:$BM$1005,1,MATCH(COLUMNS($AM$1006:BK1006),$AM$1006:$BM$1006,0))&gt;=100000), " ",IF(INDEX($AM$2:$BM$1001,MATCH(ROWS($AF$2:AF392),$AF$2:$AF$1001,0),MATCH(COLUMNS($AM$1006:BK1006),$AM$1006:$BM$1006,0)), HYPERLINK("#",""), HYPERLINK(CONCATENATE("#metadata!", ADDRESS(INDEX($AH$2:$AH$1001,MATCH(ROWS($AF$2:AF392),$AF$2:$AF$1001,0),0), INDEX($AM$1004:$BM$1004,1,MATCH(COLUMNS($AM$1006:BK1006),$AM$1006:$BM$1006,0)))),"Fix")))</f>
        <v xml:space="preserve"> </v>
      </c>
      <c r="AA392" s="4" t="str">
        <f ca="1">IF(OR(INDEX($AG$2:$AG$1001,MATCH(ROWS($AF$2:AF392),$AF$2:$AF$1001,0),1)&gt;=100000,INDEX($AM$1005:$BM$1005,1,MATCH(COLUMNS($AM$1006:BL1006),$AM$1006:$BM$1006,0))&gt;=100000), " ",IF(INDEX($AM$2:$BM$1001,MATCH(ROWS($AF$2:AF392),$AF$2:$AF$1001,0),MATCH(COLUMNS($AM$1006:BL1006),$AM$1006:$BM$1006,0)), HYPERLINK("#",""), HYPERLINK(CONCATENATE("#metadata!", ADDRESS(INDEX($AH$2:$AH$1001,MATCH(ROWS($AF$2:AF392),$AF$2:$AF$1001,0),0), INDEX($AM$1004:$BM$1004,1,MATCH(COLUMNS($AM$1006:BL1006),$AM$1006:$BM$1006,0)))),"Fix")))</f>
        <v xml:space="preserve"> </v>
      </c>
      <c r="AB392" s="4" t="str">
        <f ca="1">IF(OR(INDEX($AG$2:$AG$1001,MATCH(ROWS($AF$2:AF392),$AF$2:$AF$1001,0),1)&gt;=100000,INDEX($AM$1005:$BM$1005,1,MATCH(COLUMNS($AM$1006:BM1006),$AM$1006:$BM$1006,0))&gt;=100000), " ",IF(INDEX($AM$2:$BM$1001,MATCH(ROWS($AF$2:AF392),$AF$2:$AF$1001,0),MATCH(COLUMNS($AM$1006:BM1006),$AM$1006:$BM$1006,0)), HYPERLINK("#",""), HYPERLINK(CONCATENATE("#metadata!", ADDRESS(INDEX($AH$2:$AH$1001,MATCH(ROWS($AF$2:AF392),$AF$2:$AF$1001,0),0), INDEX($AM$1004:$BM$1004,1,MATCH(COLUMNS($AM$1006:BM1006),$AM$1006:$BM$1006,0)))),"Fix")))</f>
        <v xml:space="preserve"> </v>
      </c>
      <c r="AF392">
        <v>391</v>
      </c>
      <c r="AG392">
        <v>100392</v>
      </c>
      <c r="AH392">
        <v>392</v>
      </c>
      <c r="AI392" t="b">
        <f t="shared" si="6"/>
        <v>1</v>
      </c>
      <c r="AJ392" t="b">
        <f>COUNTBLANK(metadata!B392:AB392)=COLUMNS(metadata!B392:AB392)</f>
        <v>1</v>
      </c>
      <c r="AK392" t="str">
        <v/>
      </c>
      <c r="AM392" t="b">
        <f ca="1">AND(IF(metadata!B392="",FALSE,TRUE),COUNTIF(metadata!B:B, metadata!B392) = 1,NOT(ISERROR(SUMPRODUCT(SEARCH(MID(metadata!B392,ROW(INDIRECT("1:"&amp;LEN(metadata!B392))), 1),"0123456789abcdefghijklmnopqrstuvwxyzABCDEFGHIJKLMNOPQRSTUVWXYZ.")))))</f>
        <v>0</v>
      </c>
      <c r="AN392" t="b">
        <f ca="1">OR(AND(IF(metadata!C392="",FALSE,TRUE),OR(EXACT(metadata!C392,"missing: not collected"),EXACT(metadata!C392,"missing: not provided"),EXACT(metadata!C392,"missing: restricted access"))),AND(IF(metadata!C392="",FALSE,TRUE),AND(AND(IFERROR(INT(LEFT(metadata!C392,4))&gt;1900,FALSE),IFERROR(INT(LEFT(metadata!C392,4))&lt;=YEAR(NOW()),FALSE)), OR(MID(metadata!C392,5,1)="", AND(AND(MID(metadata!C392,5,1)="-",IFERROR(INT(MID(metadata!C392,6,1))&gt;=0,FALSE),IFERROR(INT(MID(metadata!C392,6,1))&lt;=1,FALSE),NOT(MID(metadata!C392,7,1)=""),IFERROR(INT(MID(metadata!C392,6,2))&gt;=1,FALSE),IFERROR(INT(MID(metadata!C392,6,2))&lt;=12,FALSE)), OR(MID(metadata!C392,8,1)="", AND(AND(MID(metadata!C392,8,1)="-",IFERROR(INT(MID(metadata!C392,9,1))&gt;=0,FALSE),IFERROR(INT(MID(metadata!C392,9,1))&lt;=3,FALSE),NOT(MID(metadata!C392,10,1)=""),IFERROR(INT(MID(metadata!C392,9,2))&gt;=1,FALSE),IFERROR(INT(MID(metadata!C392,9,2))&lt;=31,FALSE)), OR(MID(metadata!C392,11,1)="", AND(AND(MID(metadata!C392,11,1)=" ",IFERROR(INT(MID(metadata!C392,12,1))&gt;=0,FALSE),IFERROR(INT(MID(metadata!C392,12,1))&lt;=2,FALSE),NOT(MID(metadata!C392,13,1)=""),IFERROR(INT(MID(metadata!C392,12,2))&gt;=0,FALSE),IFERROR(INT(MID(metadata!C392,12,2))&lt;=23,FALSE)), OR(MID(metadata!C392,14,1)="", AND(AND(MID(metadata!C392,14,1)=":",IFERROR(INT(MID(metadata!C392,15,1))&gt;=0,FALSE),IFERROR(INT(MID(metadata!C392,15,1))&lt;=5,FALSE),NOT(MID(metadata!C392,16,1)=""),IFERROR(INT(MID(metadata!C392,15,2))&gt;=0,FALSE),IFERROR(INT(MID(metadata!C392,15,2))&lt;=59,FALSE)), OR(MID(metadata!C392,17,1)="", AND(AND(MID(metadata!C392,17,1)=":",IFERROR(INT(MID(metadata!C392,18,1))&gt;=0,FALSE),IFERROR(INT(MID(metadata!C392,18,1))&lt;=5,FALSE),NOT(MID(metadata!C392,19,1)=""),IFERROR(INT(MID(metadata!C392,18,2))&gt;=0,FALSE),IFERROR(INT(MID(metadata!C392,18,2))&lt;=59,FALSE)), LEN(metadata!C392)&lt;=19)))))))))))))</f>
        <v>0</v>
      </c>
      <c r="AO392" t="b">
        <f>AND(IF(metadata!D392="",FALSE,TRUE),EXACT(metadata!D392,"Not applicable"))</f>
        <v>0</v>
      </c>
      <c r="AP392" t="b">
        <f>IF(metadata!E392="",FALSE,TRUE)</f>
        <v>0</v>
      </c>
      <c r="AQ392" t="b">
        <f>OR(AND(IF(metadata!F392="",FALSE,TRUE),OR(EXACT(metadata!F392,"missing: not collected"),EXACT(metadata!F392,"missing: not provided"))),AND(IF(metadata!F392="",FALSE,TRUE),OR(EXACT(metadata!F392,"TRUE"),EXACT(metadata!F392,"FALSE"))))</f>
        <v>0</v>
      </c>
      <c r="AR392" t="b">
        <f>OR(AND(IF(metadata!G392="",FALSE,TRUE),OR(EXACT(metadata!G392,"missing: not collected"),EXACT(metadata!G392,"missing: not provided"),EXACT(metadata!G392,"missing: restricted access"))),AND(IF(metadata!G392="",FALSE,ISNUMBER(VALUE(metadata!G392))),metadata!G392&gt;=-413))</f>
        <v>0</v>
      </c>
      <c r="AS392" t="b">
        <f>AND(IF(metadata!H392="",FALSE,TRUE),EXACT(metadata!H392,"meters"))</f>
        <v>0</v>
      </c>
      <c r="AT392" t="b">
        <f>AND(IF(metadata!I392="",FALSE,TRUE),OR(EXACT(metadata!I392,"Host-associated"),EXACT(metadata!I392,"Free-living")))</f>
        <v>0</v>
      </c>
      <c r="AU392" t="b">
        <f>AND(IF(metadata!J392="",FALSE,TRUE),OR(EXACT(metadata!J392,"Animal"),EXACT(metadata!J392,"Fungus"),EXACT(metadata!J392,"Plant"),EXACT(metadata!J392,"Saline"),EXACT(metadata!J392,"Non-saline")))</f>
        <v>0</v>
      </c>
      <c r="AV392" t="b">
        <f>AND(IF(metadata!K392="",FALSE,TRUE),OR(EXACT(metadata!K392,"Plant secretion"),EXACT(metadata!K392,"Plant rhizosphere"),EXACT(metadata!K392,"Plant surface"),EXACT(metadata!K392,"Plant corpus"),EXACT(metadata!K392,"Fungus surface"),EXACT(metadata!K392,"Fungus corpus"),EXACT(metadata!K392,"Animal surface"),EXACT(metadata!K392,"Animal proximal gut"),EXACT(metadata!K392,"Animal corpus"),EXACT(metadata!K392,"Animal distal gut"),EXACT(metadata!K392,"Animal secretion"),EXACT(metadata!K392,"Sub-surface (non-saline)"),EXACT(metadata!K392,"Surface (non-saline)"),EXACT(metadata!K392,"Water (non-saline)"),EXACT(metadata!K392,"Soil (non-saline)"),EXACT(metadata!K392,"Aerosol (non-saline)"),EXACT(metadata!K392,"Sediment (non-saline)"),EXACT(metadata!K392,"Surface (saline)"),EXACT(metadata!K392,"Water (saline)"),EXACT(metadata!K392,"Hypersaline (saline)"),EXACT(metadata!K392,"Aerosol (saline)"),EXACT(metadata!K392,"Sediment (saline)")))</f>
        <v>0</v>
      </c>
      <c r="AW392" t="b">
        <f>IF(metadata!L392="",FALSE,TRUE)</f>
        <v>0</v>
      </c>
      <c r="AX392" t="b">
        <f>IF(metadata!M392="",FALSE,TRUE)</f>
        <v>0</v>
      </c>
      <c r="AY392" t="b">
        <f>IF(metadata!N392="",FALSE,TRUE)</f>
        <v>0</v>
      </c>
      <c r="AZ392" t="b">
        <f>OR(AND(IF(metadata!O392="",FALSE,TRUE),OR(EXACT(metadata!O392,"missing: not collected"),EXACT(metadata!O392,"missing: not provided"),EXACT(metadata!O392,"missing: restricted access"))),AND(IF(metadata!O392="",FALSE,TRUE),OR(EXACT(metadata!O392,"air"),EXACT(metadata!O392,"built environment"),EXACT(metadata!O392,"host-associated"),EXACT(metadata!O392,"human-associated"),EXACT(metadata!O392,"human-skin"),EXACT(metadata!O392,"human-oral"),EXACT(metadata!O392,"human-gut"),EXACT(metadata!O392,"human-vaginal"),EXACT(metadata!O392,"microbial mat/biofilm"),EXACT(metadata!O392,"misc environment"),EXACT(metadata!O392,"plant-associated"),EXACT(metadata!O392,"sediment"),EXACT(metadata!O392,"soil"),EXACT(metadata!O392,"wastewater/sludge"),EXACT(metadata!O392,"water"))))</f>
        <v>0</v>
      </c>
      <c r="BA392" t="b">
        <f>IF(metadata!P392="",FALSE,TRUE)</f>
        <v>0</v>
      </c>
      <c r="BB392" t="b">
        <f>IF(metadata!Q392="",FALSE,TRUE)</f>
        <v>0</v>
      </c>
      <c r="BC392" t="b">
        <f>OR(AND(IF(metadata!R392="",FALSE,TRUE),OR(EXACT(metadata!R392,"missing: not collected"),EXACT(metadata!R392,"missing: not provided"),EXACT(metadata!R392,"missing: restricted access"))),AND(IF(metadata!R392="",FALSE,ISNUMBER(VALUE(metadata!R392))),metadata!R392&gt;=-90,metadata!R392&lt;=90))</f>
        <v>0</v>
      </c>
      <c r="BD392" t="b">
        <f>AND(IF(metadata!S392="",FALSE,TRUE),EXACT(metadata!S392,"Decimal degrees"))</f>
        <v>0</v>
      </c>
      <c r="BE392" t="b">
        <f>OR(AND(IF(metadata!T392="",FALSE,TRUE),OR(EXACT(metadata!T392,"missing: not collected"),EXACT(metadata!T392,"missing: not provided"),EXACT(metadata!T392,"missing: restricted access"))),AND(IF(metadata!T392="",FALSE,ISNUMBER(VALUE(metadata!T392))),metadata!T392&gt;=-180,metadata!T392&lt;=180))</f>
        <v>0</v>
      </c>
      <c r="BF392" t="b">
        <f>AND(IF(metadata!U392="",FALSE,TRUE),EXACT(metadata!U392,"Decimal degrees"))</f>
        <v>0</v>
      </c>
      <c r="BG392" t="b">
        <f>IF(metadata!V392="",FALSE,TRUE)</f>
        <v>0</v>
      </c>
      <c r="BH392" t="b">
        <f>OR(AND(IF(metadata!W392="",FALSE,TRUE),OR(EXACT(metadata!W392,"missing: not collected"),EXACT(metadata!W392,"missing: not provided"),EXACT(metadata!W392,"missing: restricted access"))),AND(IF(metadata!W392="",FALSE,TRUE),OR(EXACT(metadata!W392,"TRUE"),EXACT(metadata!W392,"FALSE"))))</f>
        <v>0</v>
      </c>
      <c r="BI392" t="b">
        <f>AND(IF(metadata!X392="",FALSE,TRUE),EXACT(metadata!X392,"other"))</f>
        <v>0</v>
      </c>
      <c r="BJ392" t="b">
        <f>IF(metadata!Y392="",FALSE,TRUE)</f>
        <v>0</v>
      </c>
      <c r="BK392" t="b">
        <f>OR(AND(IF(metadata!Z392="",FALSE,TRUE),OR(EXACT(metadata!Z392,"missing: not collected"),EXACT(metadata!Z392,"missing: not provided"))),AND(IF(metadata!Z392="",FALSE,IF(ISERROR(INT(metadata!Z392)),FALSE,INT(metadata!Z392)=metadata!Z392)),metadata!Z392&gt;0))</f>
        <v>0</v>
      </c>
      <c r="BL392" t="b">
        <f>AND(IF(metadata!AA392="",FALSE,TRUE),EXACT(metadata!AA392,"Not applicable"))</f>
        <v>0</v>
      </c>
      <c r="BM392" t="b">
        <f>IF(metadata!AB392="",FALSE,TRUE)</f>
        <v>0</v>
      </c>
    </row>
    <row r="393" spans="1:65" x14ac:dyDescent="0.2">
      <c r="A393" s="5" t="str">
        <f ca="1">IF(B393=" "," ",HYPERLINK(CONCATENATE("#metadata!",ADDRESS(INDEX($AH$2:$AH$1001,MATCH(ROWS($AF$2:AF393),$AF$2:$AF$1001,0),0),1)),INDEX($AK$2:$AK$1001,MATCH(ROWS($AF$2:AF393),$AF$2:$AF$1001,0),0)))</f>
        <v xml:space="preserve"> </v>
      </c>
      <c r="B393" s="4" t="str">
        <f ca="1">IF(OR(INDEX($AG$2:$AG$1001,MATCH(ROWS($AF$2:AF393),$AF$2:$AF$1001,0),1)&gt;=100000,INDEX($AM$1005:$BM$1005,1,MATCH(COLUMNS($AM$1006:AM1006),$AM$1006:$BM$1006,0))&gt;=100000), " ",IF(INDEX($AM$2:$BM$1001,MATCH(ROWS($AF$2:AF393),$AF$2:$AF$1001,0),MATCH(COLUMNS($AM$1006:AM1006),$AM$1006:$BM$1006,0)), HYPERLINK("#",""), HYPERLINK(CONCATENATE("#metadata!", ADDRESS(INDEX($AH$2:$AH$1001,MATCH(ROWS($AF$2:AF393),$AF$2:$AF$1001,0),0), INDEX($AM$1004:$BM$1004,1,MATCH(COLUMNS($AM$1006:AM1006),$AM$1006:$BM$1006,0)))),"Fix")))</f>
        <v xml:space="preserve"> </v>
      </c>
      <c r="C393" s="4" t="str">
        <f ca="1">IF(OR(INDEX($AG$2:$AG$1001,MATCH(ROWS($AF$2:AF393),$AF$2:$AF$1001,0),1)&gt;=100000,INDEX($AM$1005:$BM$1005,1,MATCH(COLUMNS($AM$1006:AN1006),$AM$1006:$BM$1006,0))&gt;=100000), " ",IF(INDEX($AM$2:$BM$1001,MATCH(ROWS($AF$2:AF393),$AF$2:$AF$1001,0),MATCH(COLUMNS($AM$1006:AN1006),$AM$1006:$BM$1006,0)), HYPERLINK("#",""), HYPERLINK(CONCATENATE("#metadata!", ADDRESS(INDEX($AH$2:$AH$1001,MATCH(ROWS($AF$2:AF393),$AF$2:$AF$1001,0),0), INDEX($AM$1004:$BM$1004,1,MATCH(COLUMNS($AM$1006:AN1006),$AM$1006:$BM$1006,0)))),"Fix")))</f>
        <v xml:space="preserve"> </v>
      </c>
      <c r="D393" s="4" t="str">
        <f ca="1">IF(OR(INDEX($AG$2:$AG$1001,MATCH(ROWS($AF$2:AF393),$AF$2:$AF$1001,0),1)&gt;=100000,INDEX($AM$1005:$BM$1005,1,MATCH(COLUMNS($AM$1006:AO1006),$AM$1006:$BM$1006,0))&gt;=100000), " ",IF(INDEX($AM$2:$BM$1001,MATCH(ROWS($AF$2:AF393),$AF$2:$AF$1001,0),MATCH(COLUMNS($AM$1006:AO1006),$AM$1006:$BM$1006,0)), HYPERLINK("#",""), HYPERLINK(CONCATENATE("#metadata!", ADDRESS(INDEX($AH$2:$AH$1001,MATCH(ROWS($AF$2:AF393),$AF$2:$AF$1001,0),0), INDEX($AM$1004:$BM$1004,1,MATCH(COLUMNS($AM$1006:AO1006),$AM$1006:$BM$1006,0)))),"Fix")))</f>
        <v xml:space="preserve"> </v>
      </c>
      <c r="E393" s="4" t="str">
        <f ca="1">IF(OR(INDEX($AG$2:$AG$1001,MATCH(ROWS($AF$2:AF393),$AF$2:$AF$1001,0),1)&gt;=100000,INDEX($AM$1005:$BM$1005,1,MATCH(COLUMNS($AM$1006:AP1006),$AM$1006:$BM$1006,0))&gt;=100000), " ",IF(INDEX($AM$2:$BM$1001,MATCH(ROWS($AF$2:AF393),$AF$2:$AF$1001,0),MATCH(COLUMNS($AM$1006:AP1006),$AM$1006:$BM$1006,0)), HYPERLINK("#",""), HYPERLINK(CONCATENATE("#metadata!", ADDRESS(INDEX($AH$2:$AH$1001,MATCH(ROWS($AF$2:AF393),$AF$2:$AF$1001,0),0), INDEX($AM$1004:$BM$1004,1,MATCH(COLUMNS($AM$1006:AP1006),$AM$1006:$BM$1006,0)))),"Fix")))</f>
        <v xml:space="preserve"> </v>
      </c>
      <c r="F393" s="4" t="str">
        <f ca="1">IF(OR(INDEX($AG$2:$AG$1001,MATCH(ROWS($AF$2:AF393),$AF$2:$AF$1001,0),1)&gt;=100000,INDEX($AM$1005:$BM$1005,1,MATCH(COLUMNS($AM$1006:AQ1006),$AM$1006:$BM$1006,0))&gt;=100000), " ",IF(INDEX($AM$2:$BM$1001,MATCH(ROWS($AF$2:AF393),$AF$2:$AF$1001,0),MATCH(COLUMNS($AM$1006:AQ1006),$AM$1006:$BM$1006,0)), HYPERLINK("#",""), HYPERLINK(CONCATENATE("#metadata!", ADDRESS(INDEX($AH$2:$AH$1001,MATCH(ROWS($AF$2:AF393),$AF$2:$AF$1001,0),0), INDEX($AM$1004:$BM$1004,1,MATCH(COLUMNS($AM$1006:AQ1006),$AM$1006:$BM$1006,0)))),"Fix")))</f>
        <v xml:space="preserve"> </v>
      </c>
      <c r="G393" s="4" t="str">
        <f ca="1">IF(OR(INDEX($AG$2:$AG$1001,MATCH(ROWS($AF$2:AF393),$AF$2:$AF$1001,0),1)&gt;=100000,INDEX($AM$1005:$BM$1005,1,MATCH(COLUMNS($AM$1006:AR1006),$AM$1006:$BM$1006,0))&gt;=100000), " ",IF(INDEX($AM$2:$BM$1001,MATCH(ROWS($AF$2:AF393),$AF$2:$AF$1001,0),MATCH(COLUMNS($AM$1006:AR1006),$AM$1006:$BM$1006,0)), HYPERLINK("#",""), HYPERLINK(CONCATENATE("#metadata!", ADDRESS(INDEX($AH$2:$AH$1001,MATCH(ROWS($AF$2:AF393),$AF$2:$AF$1001,0),0), INDEX($AM$1004:$BM$1004,1,MATCH(COLUMNS($AM$1006:AR1006),$AM$1006:$BM$1006,0)))),"Fix")))</f>
        <v xml:space="preserve"> </v>
      </c>
      <c r="H393" s="4" t="str">
        <f ca="1">IF(OR(INDEX($AG$2:$AG$1001,MATCH(ROWS($AF$2:AF393),$AF$2:$AF$1001,0),1)&gt;=100000,INDEX($AM$1005:$BM$1005,1,MATCH(COLUMNS($AM$1006:AS1006),$AM$1006:$BM$1006,0))&gt;=100000), " ",IF(INDEX($AM$2:$BM$1001,MATCH(ROWS($AF$2:AF393),$AF$2:$AF$1001,0),MATCH(COLUMNS($AM$1006:AS1006),$AM$1006:$BM$1006,0)), HYPERLINK("#",""), HYPERLINK(CONCATENATE("#metadata!", ADDRESS(INDEX($AH$2:$AH$1001,MATCH(ROWS($AF$2:AF393),$AF$2:$AF$1001,0),0), INDEX($AM$1004:$BM$1004,1,MATCH(COLUMNS($AM$1006:AS1006),$AM$1006:$BM$1006,0)))),"Fix")))</f>
        <v xml:space="preserve"> </v>
      </c>
      <c r="I393" s="4" t="str">
        <f ca="1">IF(OR(INDEX($AG$2:$AG$1001,MATCH(ROWS($AF$2:AF393),$AF$2:$AF$1001,0),1)&gt;=100000,INDEX($AM$1005:$BM$1005,1,MATCH(COLUMNS($AM$1006:AT1006),$AM$1006:$BM$1006,0))&gt;=100000), " ",IF(INDEX($AM$2:$BM$1001,MATCH(ROWS($AF$2:AF393),$AF$2:$AF$1001,0),MATCH(COLUMNS($AM$1006:AT1006),$AM$1006:$BM$1006,0)), HYPERLINK("#",""), HYPERLINK(CONCATENATE("#metadata!", ADDRESS(INDEX($AH$2:$AH$1001,MATCH(ROWS($AF$2:AF393),$AF$2:$AF$1001,0),0), INDEX($AM$1004:$BM$1004,1,MATCH(COLUMNS($AM$1006:AT1006),$AM$1006:$BM$1006,0)))),"Fix")))</f>
        <v xml:space="preserve"> </v>
      </c>
      <c r="J393" s="4" t="str">
        <f ca="1">IF(OR(INDEX($AG$2:$AG$1001,MATCH(ROWS($AF$2:AF393),$AF$2:$AF$1001,0),1)&gt;=100000,INDEX($AM$1005:$BM$1005,1,MATCH(COLUMNS($AM$1006:AU1006),$AM$1006:$BM$1006,0))&gt;=100000), " ",IF(INDEX($AM$2:$BM$1001,MATCH(ROWS($AF$2:AF393),$AF$2:$AF$1001,0),MATCH(COLUMNS($AM$1006:AU1006),$AM$1006:$BM$1006,0)), HYPERLINK("#",""), HYPERLINK(CONCATENATE("#metadata!", ADDRESS(INDEX($AH$2:$AH$1001,MATCH(ROWS($AF$2:AF393),$AF$2:$AF$1001,0),0), INDEX($AM$1004:$BM$1004,1,MATCH(COLUMNS($AM$1006:AU1006),$AM$1006:$BM$1006,0)))),"Fix")))</f>
        <v xml:space="preserve"> </v>
      </c>
      <c r="K393" s="4" t="str">
        <f ca="1">IF(OR(INDEX($AG$2:$AG$1001,MATCH(ROWS($AF$2:AF393),$AF$2:$AF$1001,0),1)&gt;=100000,INDEX($AM$1005:$BM$1005,1,MATCH(COLUMNS($AM$1006:AV1006),$AM$1006:$BM$1006,0))&gt;=100000), " ",IF(INDEX($AM$2:$BM$1001,MATCH(ROWS($AF$2:AF393),$AF$2:$AF$1001,0),MATCH(COLUMNS($AM$1006:AV1006),$AM$1006:$BM$1006,0)), HYPERLINK("#",""), HYPERLINK(CONCATENATE("#metadata!", ADDRESS(INDEX($AH$2:$AH$1001,MATCH(ROWS($AF$2:AF393),$AF$2:$AF$1001,0),0), INDEX($AM$1004:$BM$1004,1,MATCH(COLUMNS($AM$1006:AV1006),$AM$1006:$BM$1006,0)))),"Fix")))</f>
        <v xml:space="preserve"> </v>
      </c>
      <c r="L393" s="4" t="str">
        <f ca="1">IF(OR(INDEX($AG$2:$AG$1001,MATCH(ROWS($AF$2:AF393),$AF$2:$AF$1001,0),1)&gt;=100000,INDEX($AM$1005:$BM$1005,1,MATCH(COLUMNS($AM$1006:AW1006),$AM$1006:$BM$1006,0))&gt;=100000), " ",IF(INDEX($AM$2:$BM$1001,MATCH(ROWS($AF$2:AF393),$AF$2:$AF$1001,0),MATCH(COLUMNS($AM$1006:AW1006),$AM$1006:$BM$1006,0)), HYPERLINK("#",""), HYPERLINK(CONCATENATE("#metadata!", ADDRESS(INDEX($AH$2:$AH$1001,MATCH(ROWS($AF$2:AF393),$AF$2:$AF$1001,0),0), INDEX($AM$1004:$BM$1004,1,MATCH(COLUMNS($AM$1006:AW1006),$AM$1006:$BM$1006,0)))),"Fix")))</f>
        <v xml:space="preserve"> </v>
      </c>
      <c r="M393" s="4" t="str">
        <f ca="1">IF(OR(INDEX($AG$2:$AG$1001,MATCH(ROWS($AF$2:AF393),$AF$2:$AF$1001,0),1)&gt;=100000,INDEX($AM$1005:$BM$1005,1,MATCH(COLUMNS($AM$1006:AX1006),$AM$1006:$BM$1006,0))&gt;=100000), " ",IF(INDEX($AM$2:$BM$1001,MATCH(ROWS($AF$2:AF393),$AF$2:$AF$1001,0),MATCH(COLUMNS($AM$1006:AX1006),$AM$1006:$BM$1006,0)), HYPERLINK("#",""), HYPERLINK(CONCATENATE("#metadata!", ADDRESS(INDEX($AH$2:$AH$1001,MATCH(ROWS($AF$2:AF393),$AF$2:$AF$1001,0),0), INDEX($AM$1004:$BM$1004,1,MATCH(COLUMNS($AM$1006:AX1006),$AM$1006:$BM$1006,0)))),"Fix")))</f>
        <v xml:space="preserve"> </v>
      </c>
      <c r="N393" s="4" t="str">
        <f ca="1">IF(OR(INDEX($AG$2:$AG$1001,MATCH(ROWS($AF$2:AF393),$AF$2:$AF$1001,0),1)&gt;=100000,INDEX($AM$1005:$BM$1005,1,MATCH(COLUMNS($AM$1006:AY1006),$AM$1006:$BM$1006,0))&gt;=100000), " ",IF(INDEX($AM$2:$BM$1001,MATCH(ROWS($AF$2:AF393),$AF$2:$AF$1001,0),MATCH(COLUMNS($AM$1006:AY1006),$AM$1006:$BM$1006,0)), HYPERLINK("#",""), HYPERLINK(CONCATENATE("#metadata!", ADDRESS(INDEX($AH$2:$AH$1001,MATCH(ROWS($AF$2:AF393),$AF$2:$AF$1001,0),0), INDEX($AM$1004:$BM$1004,1,MATCH(COLUMNS($AM$1006:AY1006),$AM$1006:$BM$1006,0)))),"Fix")))</f>
        <v xml:space="preserve"> </v>
      </c>
      <c r="O393" s="4" t="str">
        <f ca="1">IF(OR(INDEX($AG$2:$AG$1001,MATCH(ROWS($AF$2:AF393),$AF$2:$AF$1001,0),1)&gt;=100000,INDEX($AM$1005:$BM$1005,1,MATCH(COLUMNS($AM$1006:AZ1006),$AM$1006:$BM$1006,0))&gt;=100000), " ",IF(INDEX($AM$2:$BM$1001,MATCH(ROWS($AF$2:AF393),$AF$2:$AF$1001,0),MATCH(COLUMNS($AM$1006:AZ1006),$AM$1006:$BM$1006,0)), HYPERLINK("#",""), HYPERLINK(CONCATENATE("#metadata!", ADDRESS(INDEX($AH$2:$AH$1001,MATCH(ROWS($AF$2:AF393),$AF$2:$AF$1001,0),0), INDEX($AM$1004:$BM$1004,1,MATCH(COLUMNS($AM$1006:AZ1006),$AM$1006:$BM$1006,0)))),"Fix")))</f>
        <v xml:space="preserve"> </v>
      </c>
      <c r="P393" s="4" t="str">
        <f ca="1">IF(OR(INDEX($AG$2:$AG$1001,MATCH(ROWS($AF$2:AF393),$AF$2:$AF$1001,0),1)&gt;=100000,INDEX($AM$1005:$BM$1005,1,MATCH(COLUMNS($AM$1006:BA1006),$AM$1006:$BM$1006,0))&gt;=100000), " ",IF(INDEX($AM$2:$BM$1001,MATCH(ROWS($AF$2:AF393),$AF$2:$AF$1001,0),MATCH(COLUMNS($AM$1006:BA1006),$AM$1006:$BM$1006,0)), HYPERLINK("#",""), HYPERLINK(CONCATENATE("#metadata!", ADDRESS(INDEX($AH$2:$AH$1001,MATCH(ROWS($AF$2:AF393),$AF$2:$AF$1001,0),0), INDEX($AM$1004:$BM$1004,1,MATCH(COLUMNS($AM$1006:BA1006),$AM$1006:$BM$1006,0)))),"Fix")))</f>
        <v xml:space="preserve"> </v>
      </c>
      <c r="Q393" s="4" t="str">
        <f ca="1">IF(OR(INDEX($AG$2:$AG$1001,MATCH(ROWS($AF$2:AF393),$AF$2:$AF$1001,0),1)&gt;=100000,INDEX($AM$1005:$BM$1005,1,MATCH(COLUMNS($AM$1006:BB1006),$AM$1006:$BM$1006,0))&gt;=100000), " ",IF(INDEX($AM$2:$BM$1001,MATCH(ROWS($AF$2:AF393),$AF$2:$AF$1001,0),MATCH(COLUMNS($AM$1006:BB1006),$AM$1006:$BM$1006,0)), HYPERLINK("#",""), HYPERLINK(CONCATENATE("#metadata!", ADDRESS(INDEX($AH$2:$AH$1001,MATCH(ROWS($AF$2:AF393),$AF$2:$AF$1001,0),0), INDEX($AM$1004:$BM$1004,1,MATCH(COLUMNS($AM$1006:BB1006),$AM$1006:$BM$1006,0)))),"Fix")))</f>
        <v xml:space="preserve"> </v>
      </c>
      <c r="R393" s="4" t="str">
        <f ca="1">IF(OR(INDEX($AG$2:$AG$1001,MATCH(ROWS($AF$2:AF393),$AF$2:$AF$1001,0),1)&gt;=100000,INDEX($AM$1005:$BM$1005,1,MATCH(COLUMNS($AM$1006:BC1006),$AM$1006:$BM$1006,0))&gt;=100000), " ",IF(INDEX($AM$2:$BM$1001,MATCH(ROWS($AF$2:AF393),$AF$2:$AF$1001,0),MATCH(COLUMNS($AM$1006:BC1006),$AM$1006:$BM$1006,0)), HYPERLINK("#",""), HYPERLINK(CONCATENATE("#metadata!", ADDRESS(INDEX($AH$2:$AH$1001,MATCH(ROWS($AF$2:AF393),$AF$2:$AF$1001,0),0), INDEX($AM$1004:$BM$1004,1,MATCH(COLUMNS($AM$1006:BC1006),$AM$1006:$BM$1006,0)))),"Fix")))</f>
        <v xml:space="preserve"> </v>
      </c>
      <c r="S393" s="4" t="str">
        <f ca="1">IF(OR(INDEX($AG$2:$AG$1001,MATCH(ROWS($AF$2:AF393),$AF$2:$AF$1001,0),1)&gt;=100000,INDEX($AM$1005:$BM$1005,1,MATCH(COLUMNS($AM$1006:BD1006),$AM$1006:$BM$1006,0))&gt;=100000), " ",IF(INDEX($AM$2:$BM$1001,MATCH(ROWS($AF$2:AF393),$AF$2:$AF$1001,0),MATCH(COLUMNS($AM$1006:BD1006),$AM$1006:$BM$1006,0)), HYPERLINK("#",""), HYPERLINK(CONCATENATE("#metadata!", ADDRESS(INDEX($AH$2:$AH$1001,MATCH(ROWS($AF$2:AF393),$AF$2:$AF$1001,0),0), INDEX($AM$1004:$BM$1004,1,MATCH(COLUMNS($AM$1006:BD1006),$AM$1006:$BM$1006,0)))),"Fix")))</f>
        <v xml:space="preserve"> </v>
      </c>
      <c r="T393" s="4" t="str">
        <f ca="1">IF(OR(INDEX($AG$2:$AG$1001,MATCH(ROWS($AF$2:AF393),$AF$2:$AF$1001,0),1)&gt;=100000,INDEX($AM$1005:$BM$1005,1,MATCH(COLUMNS($AM$1006:BE1006),$AM$1006:$BM$1006,0))&gt;=100000), " ",IF(INDEX($AM$2:$BM$1001,MATCH(ROWS($AF$2:AF393),$AF$2:$AF$1001,0),MATCH(COLUMNS($AM$1006:BE1006),$AM$1006:$BM$1006,0)), HYPERLINK("#",""), HYPERLINK(CONCATENATE("#metadata!", ADDRESS(INDEX($AH$2:$AH$1001,MATCH(ROWS($AF$2:AF393),$AF$2:$AF$1001,0),0), INDEX($AM$1004:$BM$1004,1,MATCH(COLUMNS($AM$1006:BE1006),$AM$1006:$BM$1006,0)))),"Fix")))</f>
        <v xml:space="preserve"> </v>
      </c>
      <c r="U393" s="4" t="str">
        <f ca="1">IF(OR(INDEX($AG$2:$AG$1001,MATCH(ROWS($AF$2:AF393),$AF$2:$AF$1001,0),1)&gt;=100000,INDEX($AM$1005:$BM$1005,1,MATCH(COLUMNS($AM$1006:BF1006),$AM$1006:$BM$1006,0))&gt;=100000), " ",IF(INDEX($AM$2:$BM$1001,MATCH(ROWS($AF$2:AF393),$AF$2:$AF$1001,0),MATCH(COLUMNS($AM$1006:BF1006),$AM$1006:$BM$1006,0)), HYPERLINK("#",""), HYPERLINK(CONCATENATE("#metadata!", ADDRESS(INDEX($AH$2:$AH$1001,MATCH(ROWS($AF$2:AF393),$AF$2:$AF$1001,0),0), INDEX($AM$1004:$BM$1004,1,MATCH(COLUMNS($AM$1006:BF1006),$AM$1006:$BM$1006,0)))),"Fix")))</f>
        <v xml:space="preserve"> </v>
      </c>
      <c r="V393" s="4" t="str">
        <f ca="1">IF(OR(INDEX($AG$2:$AG$1001,MATCH(ROWS($AF$2:AF393),$AF$2:$AF$1001,0),1)&gt;=100000,INDEX($AM$1005:$BM$1005,1,MATCH(COLUMNS($AM$1006:BG1006),$AM$1006:$BM$1006,0))&gt;=100000), " ",IF(INDEX($AM$2:$BM$1001,MATCH(ROWS($AF$2:AF393),$AF$2:$AF$1001,0),MATCH(COLUMNS($AM$1006:BG1006),$AM$1006:$BM$1006,0)), HYPERLINK("#",""), HYPERLINK(CONCATENATE("#metadata!", ADDRESS(INDEX($AH$2:$AH$1001,MATCH(ROWS($AF$2:AF393),$AF$2:$AF$1001,0),0), INDEX($AM$1004:$BM$1004,1,MATCH(COLUMNS($AM$1006:BG1006),$AM$1006:$BM$1006,0)))),"Fix")))</f>
        <v xml:space="preserve"> </v>
      </c>
      <c r="W393" s="4" t="str">
        <f ca="1">IF(OR(INDEX($AG$2:$AG$1001,MATCH(ROWS($AF$2:AF393),$AF$2:$AF$1001,0),1)&gt;=100000,INDEX($AM$1005:$BM$1005,1,MATCH(COLUMNS($AM$1006:BH1006),$AM$1006:$BM$1006,0))&gt;=100000), " ",IF(INDEX($AM$2:$BM$1001,MATCH(ROWS($AF$2:AF393),$AF$2:$AF$1001,0),MATCH(COLUMNS($AM$1006:BH1006),$AM$1006:$BM$1006,0)), HYPERLINK("#",""), HYPERLINK(CONCATENATE("#metadata!", ADDRESS(INDEX($AH$2:$AH$1001,MATCH(ROWS($AF$2:AF393),$AF$2:$AF$1001,0),0), INDEX($AM$1004:$BM$1004,1,MATCH(COLUMNS($AM$1006:BH1006),$AM$1006:$BM$1006,0)))),"Fix")))</f>
        <v xml:space="preserve"> </v>
      </c>
      <c r="X393" s="4" t="str">
        <f ca="1">IF(OR(INDEX($AG$2:$AG$1001,MATCH(ROWS($AF$2:AF393),$AF$2:$AF$1001,0),1)&gt;=100000,INDEX($AM$1005:$BM$1005,1,MATCH(COLUMNS($AM$1006:BI1006),$AM$1006:$BM$1006,0))&gt;=100000), " ",IF(INDEX($AM$2:$BM$1001,MATCH(ROWS($AF$2:AF393),$AF$2:$AF$1001,0),MATCH(COLUMNS($AM$1006:BI1006),$AM$1006:$BM$1006,0)), HYPERLINK("#",""), HYPERLINK(CONCATENATE("#metadata!", ADDRESS(INDEX($AH$2:$AH$1001,MATCH(ROWS($AF$2:AF393),$AF$2:$AF$1001,0),0), INDEX($AM$1004:$BM$1004,1,MATCH(COLUMNS($AM$1006:BI1006),$AM$1006:$BM$1006,0)))),"Fix")))</f>
        <v xml:space="preserve"> </v>
      </c>
      <c r="Y393" s="4" t="str">
        <f ca="1">IF(OR(INDEX($AG$2:$AG$1001,MATCH(ROWS($AF$2:AF393),$AF$2:$AF$1001,0),1)&gt;=100000,INDEX($AM$1005:$BM$1005,1,MATCH(COLUMNS($AM$1006:BJ1006),$AM$1006:$BM$1006,0))&gt;=100000), " ",IF(INDEX($AM$2:$BM$1001,MATCH(ROWS($AF$2:AF393),$AF$2:$AF$1001,0),MATCH(COLUMNS($AM$1006:BJ1006),$AM$1006:$BM$1006,0)), HYPERLINK("#",""), HYPERLINK(CONCATENATE("#metadata!", ADDRESS(INDEX($AH$2:$AH$1001,MATCH(ROWS($AF$2:AF393),$AF$2:$AF$1001,0),0), INDEX($AM$1004:$BM$1004,1,MATCH(COLUMNS($AM$1006:BJ1006),$AM$1006:$BM$1006,0)))),"Fix")))</f>
        <v xml:space="preserve"> </v>
      </c>
      <c r="Z393" s="4" t="str">
        <f ca="1">IF(OR(INDEX($AG$2:$AG$1001,MATCH(ROWS($AF$2:AF393),$AF$2:$AF$1001,0),1)&gt;=100000,INDEX($AM$1005:$BM$1005,1,MATCH(COLUMNS($AM$1006:BK1006),$AM$1006:$BM$1006,0))&gt;=100000), " ",IF(INDEX($AM$2:$BM$1001,MATCH(ROWS($AF$2:AF393),$AF$2:$AF$1001,0),MATCH(COLUMNS($AM$1006:BK1006),$AM$1006:$BM$1006,0)), HYPERLINK("#",""), HYPERLINK(CONCATENATE("#metadata!", ADDRESS(INDEX($AH$2:$AH$1001,MATCH(ROWS($AF$2:AF393),$AF$2:$AF$1001,0),0), INDEX($AM$1004:$BM$1004,1,MATCH(COLUMNS($AM$1006:BK1006),$AM$1006:$BM$1006,0)))),"Fix")))</f>
        <v xml:space="preserve"> </v>
      </c>
      <c r="AA393" s="4" t="str">
        <f ca="1">IF(OR(INDEX($AG$2:$AG$1001,MATCH(ROWS($AF$2:AF393),$AF$2:$AF$1001,0),1)&gt;=100000,INDEX($AM$1005:$BM$1005,1,MATCH(COLUMNS($AM$1006:BL1006),$AM$1006:$BM$1006,0))&gt;=100000), " ",IF(INDEX($AM$2:$BM$1001,MATCH(ROWS($AF$2:AF393),$AF$2:$AF$1001,0),MATCH(COLUMNS($AM$1006:BL1006),$AM$1006:$BM$1006,0)), HYPERLINK("#",""), HYPERLINK(CONCATENATE("#metadata!", ADDRESS(INDEX($AH$2:$AH$1001,MATCH(ROWS($AF$2:AF393),$AF$2:$AF$1001,0),0), INDEX($AM$1004:$BM$1004,1,MATCH(COLUMNS($AM$1006:BL1006),$AM$1006:$BM$1006,0)))),"Fix")))</f>
        <v xml:space="preserve"> </v>
      </c>
      <c r="AB393" s="4" t="str">
        <f ca="1">IF(OR(INDEX($AG$2:$AG$1001,MATCH(ROWS($AF$2:AF393),$AF$2:$AF$1001,0),1)&gt;=100000,INDEX($AM$1005:$BM$1005,1,MATCH(COLUMNS($AM$1006:BM1006),$AM$1006:$BM$1006,0))&gt;=100000), " ",IF(INDEX($AM$2:$BM$1001,MATCH(ROWS($AF$2:AF393),$AF$2:$AF$1001,0),MATCH(COLUMNS($AM$1006:BM1006),$AM$1006:$BM$1006,0)), HYPERLINK("#",""), HYPERLINK(CONCATENATE("#metadata!", ADDRESS(INDEX($AH$2:$AH$1001,MATCH(ROWS($AF$2:AF393),$AF$2:$AF$1001,0),0), INDEX($AM$1004:$BM$1004,1,MATCH(COLUMNS($AM$1006:BM1006),$AM$1006:$BM$1006,0)))),"Fix")))</f>
        <v xml:space="preserve"> </v>
      </c>
      <c r="AF393">
        <v>392</v>
      </c>
      <c r="AG393">
        <v>100393</v>
      </c>
      <c r="AH393">
        <v>393</v>
      </c>
      <c r="AI393" t="b">
        <f t="shared" si="6"/>
        <v>1</v>
      </c>
      <c r="AJ393" t="b">
        <f>COUNTBLANK(metadata!B393:AB393)=COLUMNS(metadata!B393:AB393)</f>
        <v>1</v>
      </c>
      <c r="AK393" t="str">
        <v/>
      </c>
      <c r="AM393" t="b">
        <f ca="1">AND(IF(metadata!B393="",FALSE,TRUE),COUNTIF(metadata!B:B, metadata!B393) = 1,NOT(ISERROR(SUMPRODUCT(SEARCH(MID(metadata!B393,ROW(INDIRECT("1:"&amp;LEN(metadata!B393))), 1),"0123456789abcdefghijklmnopqrstuvwxyzABCDEFGHIJKLMNOPQRSTUVWXYZ.")))))</f>
        <v>0</v>
      </c>
      <c r="AN393" t="b">
        <f ca="1">OR(AND(IF(metadata!C393="",FALSE,TRUE),OR(EXACT(metadata!C393,"missing: not collected"),EXACT(metadata!C393,"missing: not provided"),EXACT(metadata!C393,"missing: restricted access"))),AND(IF(metadata!C393="",FALSE,TRUE),AND(AND(IFERROR(INT(LEFT(metadata!C393,4))&gt;1900,FALSE),IFERROR(INT(LEFT(metadata!C393,4))&lt;=YEAR(NOW()),FALSE)), OR(MID(metadata!C393,5,1)="", AND(AND(MID(metadata!C393,5,1)="-",IFERROR(INT(MID(metadata!C393,6,1))&gt;=0,FALSE),IFERROR(INT(MID(metadata!C393,6,1))&lt;=1,FALSE),NOT(MID(metadata!C393,7,1)=""),IFERROR(INT(MID(metadata!C393,6,2))&gt;=1,FALSE),IFERROR(INT(MID(metadata!C393,6,2))&lt;=12,FALSE)), OR(MID(metadata!C393,8,1)="", AND(AND(MID(metadata!C393,8,1)="-",IFERROR(INT(MID(metadata!C393,9,1))&gt;=0,FALSE),IFERROR(INT(MID(metadata!C393,9,1))&lt;=3,FALSE),NOT(MID(metadata!C393,10,1)=""),IFERROR(INT(MID(metadata!C393,9,2))&gt;=1,FALSE),IFERROR(INT(MID(metadata!C393,9,2))&lt;=31,FALSE)), OR(MID(metadata!C393,11,1)="", AND(AND(MID(metadata!C393,11,1)=" ",IFERROR(INT(MID(metadata!C393,12,1))&gt;=0,FALSE),IFERROR(INT(MID(metadata!C393,12,1))&lt;=2,FALSE),NOT(MID(metadata!C393,13,1)=""),IFERROR(INT(MID(metadata!C393,12,2))&gt;=0,FALSE),IFERROR(INT(MID(metadata!C393,12,2))&lt;=23,FALSE)), OR(MID(metadata!C393,14,1)="", AND(AND(MID(metadata!C393,14,1)=":",IFERROR(INT(MID(metadata!C393,15,1))&gt;=0,FALSE),IFERROR(INT(MID(metadata!C393,15,1))&lt;=5,FALSE),NOT(MID(metadata!C393,16,1)=""),IFERROR(INT(MID(metadata!C393,15,2))&gt;=0,FALSE),IFERROR(INT(MID(metadata!C393,15,2))&lt;=59,FALSE)), OR(MID(metadata!C393,17,1)="", AND(AND(MID(metadata!C393,17,1)=":",IFERROR(INT(MID(metadata!C393,18,1))&gt;=0,FALSE),IFERROR(INT(MID(metadata!C393,18,1))&lt;=5,FALSE),NOT(MID(metadata!C393,19,1)=""),IFERROR(INT(MID(metadata!C393,18,2))&gt;=0,FALSE),IFERROR(INT(MID(metadata!C393,18,2))&lt;=59,FALSE)), LEN(metadata!C393)&lt;=19)))))))))))))</f>
        <v>0</v>
      </c>
      <c r="AO393" t="b">
        <f>AND(IF(metadata!D393="",FALSE,TRUE),EXACT(metadata!D393,"Not applicable"))</f>
        <v>0</v>
      </c>
      <c r="AP393" t="b">
        <f>IF(metadata!E393="",FALSE,TRUE)</f>
        <v>0</v>
      </c>
      <c r="AQ393" t="b">
        <f>OR(AND(IF(metadata!F393="",FALSE,TRUE),OR(EXACT(metadata!F393,"missing: not collected"),EXACT(metadata!F393,"missing: not provided"))),AND(IF(metadata!F393="",FALSE,TRUE),OR(EXACT(metadata!F393,"TRUE"),EXACT(metadata!F393,"FALSE"))))</f>
        <v>0</v>
      </c>
      <c r="AR393" t="b">
        <f>OR(AND(IF(metadata!G393="",FALSE,TRUE),OR(EXACT(metadata!G393,"missing: not collected"),EXACT(metadata!G393,"missing: not provided"),EXACT(metadata!G393,"missing: restricted access"))),AND(IF(metadata!G393="",FALSE,ISNUMBER(VALUE(metadata!G393))),metadata!G393&gt;=-413))</f>
        <v>0</v>
      </c>
      <c r="AS393" t="b">
        <f>AND(IF(metadata!H393="",FALSE,TRUE),EXACT(metadata!H393,"meters"))</f>
        <v>0</v>
      </c>
      <c r="AT393" t="b">
        <f>AND(IF(metadata!I393="",FALSE,TRUE),OR(EXACT(metadata!I393,"Host-associated"),EXACT(metadata!I393,"Free-living")))</f>
        <v>0</v>
      </c>
      <c r="AU393" t="b">
        <f>AND(IF(metadata!J393="",FALSE,TRUE),OR(EXACT(metadata!J393,"Animal"),EXACT(metadata!J393,"Fungus"),EXACT(metadata!J393,"Plant"),EXACT(metadata!J393,"Saline"),EXACT(metadata!J393,"Non-saline")))</f>
        <v>0</v>
      </c>
      <c r="AV393" t="b">
        <f>AND(IF(metadata!K393="",FALSE,TRUE),OR(EXACT(metadata!K393,"Plant secretion"),EXACT(metadata!K393,"Plant rhizosphere"),EXACT(metadata!K393,"Plant surface"),EXACT(metadata!K393,"Plant corpus"),EXACT(metadata!K393,"Fungus surface"),EXACT(metadata!K393,"Fungus corpus"),EXACT(metadata!K393,"Animal surface"),EXACT(metadata!K393,"Animal proximal gut"),EXACT(metadata!K393,"Animal corpus"),EXACT(metadata!K393,"Animal distal gut"),EXACT(metadata!K393,"Animal secretion"),EXACT(metadata!K393,"Sub-surface (non-saline)"),EXACT(metadata!K393,"Surface (non-saline)"),EXACT(metadata!K393,"Water (non-saline)"),EXACT(metadata!K393,"Soil (non-saline)"),EXACT(metadata!K393,"Aerosol (non-saline)"),EXACT(metadata!K393,"Sediment (non-saline)"),EXACT(metadata!K393,"Surface (saline)"),EXACT(metadata!K393,"Water (saline)"),EXACT(metadata!K393,"Hypersaline (saline)"),EXACT(metadata!K393,"Aerosol (saline)"),EXACT(metadata!K393,"Sediment (saline)")))</f>
        <v>0</v>
      </c>
      <c r="AW393" t="b">
        <f>IF(metadata!L393="",FALSE,TRUE)</f>
        <v>0</v>
      </c>
      <c r="AX393" t="b">
        <f>IF(metadata!M393="",FALSE,TRUE)</f>
        <v>0</v>
      </c>
      <c r="AY393" t="b">
        <f>IF(metadata!N393="",FALSE,TRUE)</f>
        <v>0</v>
      </c>
      <c r="AZ393" t="b">
        <f>OR(AND(IF(metadata!O393="",FALSE,TRUE),OR(EXACT(metadata!O393,"missing: not collected"),EXACT(metadata!O393,"missing: not provided"),EXACT(metadata!O393,"missing: restricted access"))),AND(IF(metadata!O393="",FALSE,TRUE),OR(EXACT(metadata!O393,"air"),EXACT(metadata!O393,"built environment"),EXACT(metadata!O393,"host-associated"),EXACT(metadata!O393,"human-associated"),EXACT(metadata!O393,"human-skin"),EXACT(metadata!O393,"human-oral"),EXACT(metadata!O393,"human-gut"),EXACT(metadata!O393,"human-vaginal"),EXACT(metadata!O393,"microbial mat/biofilm"),EXACT(metadata!O393,"misc environment"),EXACT(metadata!O393,"plant-associated"),EXACT(metadata!O393,"sediment"),EXACT(metadata!O393,"soil"),EXACT(metadata!O393,"wastewater/sludge"),EXACT(metadata!O393,"water"))))</f>
        <v>0</v>
      </c>
      <c r="BA393" t="b">
        <f>IF(metadata!P393="",FALSE,TRUE)</f>
        <v>0</v>
      </c>
      <c r="BB393" t="b">
        <f>IF(metadata!Q393="",FALSE,TRUE)</f>
        <v>0</v>
      </c>
      <c r="BC393" t="b">
        <f>OR(AND(IF(metadata!R393="",FALSE,TRUE),OR(EXACT(metadata!R393,"missing: not collected"),EXACT(metadata!R393,"missing: not provided"),EXACT(metadata!R393,"missing: restricted access"))),AND(IF(metadata!R393="",FALSE,ISNUMBER(VALUE(metadata!R393))),metadata!R393&gt;=-90,metadata!R393&lt;=90))</f>
        <v>0</v>
      </c>
      <c r="BD393" t="b">
        <f>AND(IF(metadata!S393="",FALSE,TRUE),EXACT(metadata!S393,"Decimal degrees"))</f>
        <v>0</v>
      </c>
      <c r="BE393" t="b">
        <f>OR(AND(IF(metadata!T393="",FALSE,TRUE),OR(EXACT(metadata!T393,"missing: not collected"),EXACT(metadata!T393,"missing: not provided"),EXACT(metadata!T393,"missing: restricted access"))),AND(IF(metadata!T393="",FALSE,ISNUMBER(VALUE(metadata!T393))),metadata!T393&gt;=-180,metadata!T393&lt;=180))</f>
        <v>0</v>
      </c>
      <c r="BF393" t="b">
        <f>AND(IF(metadata!U393="",FALSE,TRUE),EXACT(metadata!U393,"Decimal degrees"))</f>
        <v>0</v>
      </c>
      <c r="BG393" t="b">
        <f>IF(metadata!V393="",FALSE,TRUE)</f>
        <v>0</v>
      </c>
      <c r="BH393" t="b">
        <f>OR(AND(IF(metadata!W393="",FALSE,TRUE),OR(EXACT(metadata!W393,"missing: not collected"),EXACT(metadata!W393,"missing: not provided"),EXACT(metadata!W393,"missing: restricted access"))),AND(IF(metadata!W393="",FALSE,TRUE),OR(EXACT(metadata!W393,"TRUE"),EXACT(metadata!W393,"FALSE"))))</f>
        <v>0</v>
      </c>
      <c r="BI393" t="b">
        <f>AND(IF(metadata!X393="",FALSE,TRUE),EXACT(metadata!X393,"other"))</f>
        <v>0</v>
      </c>
      <c r="BJ393" t="b">
        <f>IF(metadata!Y393="",FALSE,TRUE)</f>
        <v>0</v>
      </c>
      <c r="BK393" t="b">
        <f>OR(AND(IF(metadata!Z393="",FALSE,TRUE),OR(EXACT(metadata!Z393,"missing: not collected"),EXACT(metadata!Z393,"missing: not provided"))),AND(IF(metadata!Z393="",FALSE,IF(ISERROR(INT(metadata!Z393)),FALSE,INT(metadata!Z393)=metadata!Z393)),metadata!Z393&gt;0))</f>
        <v>0</v>
      </c>
      <c r="BL393" t="b">
        <f>AND(IF(metadata!AA393="",FALSE,TRUE),EXACT(metadata!AA393,"Not applicable"))</f>
        <v>0</v>
      </c>
      <c r="BM393" t="b">
        <f>IF(metadata!AB393="",FALSE,TRUE)</f>
        <v>0</v>
      </c>
    </row>
    <row r="394" spans="1:65" x14ac:dyDescent="0.2">
      <c r="A394" s="5" t="str">
        <f ca="1">IF(B394=" "," ",HYPERLINK(CONCATENATE("#metadata!",ADDRESS(INDEX($AH$2:$AH$1001,MATCH(ROWS($AF$2:AF394),$AF$2:$AF$1001,0),0),1)),INDEX($AK$2:$AK$1001,MATCH(ROWS($AF$2:AF394),$AF$2:$AF$1001,0),0)))</f>
        <v xml:space="preserve"> </v>
      </c>
      <c r="B394" s="4" t="str">
        <f ca="1">IF(OR(INDEX($AG$2:$AG$1001,MATCH(ROWS($AF$2:AF394),$AF$2:$AF$1001,0),1)&gt;=100000,INDEX($AM$1005:$BM$1005,1,MATCH(COLUMNS($AM$1006:AM1006),$AM$1006:$BM$1006,0))&gt;=100000), " ",IF(INDEX($AM$2:$BM$1001,MATCH(ROWS($AF$2:AF394),$AF$2:$AF$1001,0),MATCH(COLUMNS($AM$1006:AM1006),$AM$1006:$BM$1006,0)), HYPERLINK("#",""), HYPERLINK(CONCATENATE("#metadata!", ADDRESS(INDEX($AH$2:$AH$1001,MATCH(ROWS($AF$2:AF394),$AF$2:$AF$1001,0),0), INDEX($AM$1004:$BM$1004,1,MATCH(COLUMNS($AM$1006:AM1006),$AM$1006:$BM$1006,0)))),"Fix")))</f>
        <v xml:space="preserve"> </v>
      </c>
      <c r="C394" s="4" t="str">
        <f ca="1">IF(OR(INDEX($AG$2:$AG$1001,MATCH(ROWS($AF$2:AF394),$AF$2:$AF$1001,0),1)&gt;=100000,INDEX($AM$1005:$BM$1005,1,MATCH(COLUMNS($AM$1006:AN1006),$AM$1006:$BM$1006,0))&gt;=100000), " ",IF(INDEX($AM$2:$BM$1001,MATCH(ROWS($AF$2:AF394),$AF$2:$AF$1001,0),MATCH(COLUMNS($AM$1006:AN1006),$AM$1006:$BM$1006,0)), HYPERLINK("#",""), HYPERLINK(CONCATENATE("#metadata!", ADDRESS(INDEX($AH$2:$AH$1001,MATCH(ROWS($AF$2:AF394),$AF$2:$AF$1001,0),0), INDEX($AM$1004:$BM$1004,1,MATCH(COLUMNS($AM$1006:AN1006),$AM$1006:$BM$1006,0)))),"Fix")))</f>
        <v xml:space="preserve"> </v>
      </c>
      <c r="D394" s="4" t="str">
        <f ca="1">IF(OR(INDEX($AG$2:$AG$1001,MATCH(ROWS($AF$2:AF394),$AF$2:$AF$1001,0),1)&gt;=100000,INDEX($AM$1005:$BM$1005,1,MATCH(COLUMNS($AM$1006:AO1006),$AM$1006:$BM$1006,0))&gt;=100000), " ",IF(INDEX($AM$2:$BM$1001,MATCH(ROWS($AF$2:AF394),$AF$2:$AF$1001,0),MATCH(COLUMNS($AM$1006:AO1006),$AM$1006:$BM$1006,0)), HYPERLINK("#",""), HYPERLINK(CONCATENATE("#metadata!", ADDRESS(INDEX($AH$2:$AH$1001,MATCH(ROWS($AF$2:AF394),$AF$2:$AF$1001,0),0), INDEX($AM$1004:$BM$1004,1,MATCH(COLUMNS($AM$1006:AO1006),$AM$1006:$BM$1006,0)))),"Fix")))</f>
        <v xml:space="preserve"> </v>
      </c>
      <c r="E394" s="4" t="str">
        <f ca="1">IF(OR(INDEX($AG$2:$AG$1001,MATCH(ROWS($AF$2:AF394),$AF$2:$AF$1001,0),1)&gt;=100000,INDEX($AM$1005:$BM$1005,1,MATCH(COLUMNS($AM$1006:AP1006),$AM$1006:$BM$1006,0))&gt;=100000), " ",IF(INDEX($AM$2:$BM$1001,MATCH(ROWS($AF$2:AF394),$AF$2:$AF$1001,0),MATCH(COLUMNS($AM$1006:AP1006),$AM$1006:$BM$1006,0)), HYPERLINK("#",""), HYPERLINK(CONCATENATE("#metadata!", ADDRESS(INDEX($AH$2:$AH$1001,MATCH(ROWS($AF$2:AF394),$AF$2:$AF$1001,0),0), INDEX($AM$1004:$BM$1004,1,MATCH(COLUMNS($AM$1006:AP1006),$AM$1006:$BM$1006,0)))),"Fix")))</f>
        <v xml:space="preserve"> </v>
      </c>
      <c r="F394" s="4" t="str">
        <f ca="1">IF(OR(INDEX($AG$2:$AG$1001,MATCH(ROWS($AF$2:AF394),$AF$2:$AF$1001,0),1)&gt;=100000,INDEX($AM$1005:$BM$1005,1,MATCH(COLUMNS($AM$1006:AQ1006),$AM$1006:$BM$1006,0))&gt;=100000), " ",IF(INDEX($AM$2:$BM$1001,MATCH(ROWS($AF$2:AF394),$AF$2:$AF$1001,0),MATCH(COLUMNS($AM$1006:AQ1006),$AM$1006:$BM$1006,0)), HYPERLINK("#",""), HYPERLINK(CONCATENATE("#metadata!", ADDRESS(INDEX($AH$2:$AH$1001,MATCH(ROWS($AF$2:AF394),$AF$2:$AF$1001,0),0), INDEX($AM$1004:$BM$1004,1,MATCH(COLUMNS($AM$1006:AQ1006),$AM$1006:$BM$1006,0)))),"Fix")))</f>
        <v xml:space="preserve"> </v>
      </c>
      <c r="G394" s="4" t="str">
        <f ca="1">IF(OR(INDEX($AG$2:$AG$1001,MATCH(ROWS($AF$2:AF394),$AF$2:$AF$1001,0),1)&gt;=100000,INDEX($AM$1005:$BM$1005,1,MATCH(COLUMNS($AM$1006:AR1006),$AM$1006:$BM$1006,0))&gt;=100000), " ",IF(INDEX($AM$2:$BM$1001,MATCH(ROWS($AF$2:AF394),$AF$2:$AF$1001,0),MATCH(COLUMNS($AM$1006:AR1006),$AM$1006:$BM$1006,0)), HYPERLINK("#",""), HYPERLINK(CONCATENATE("#metadata!", ADDRESS(INDEX($AH$2:$AH$1001,MATCH(ROWS($AF$2:AF394),$AF$2:$AF$1001,0),0), INDEX($AM$1004:$BM$1004,1,MATCH(COLUMNS($AM$1006:AR1006),$AM$1006:$BM$1006,0)))),"Fix")))</f>
        <v xml:space="preserve"> </v>
      </c>
      <c r="H394" s="4" t="str">
        <f ca="1">IF(OR(INDEX($AG$2:$AG$1001,MATCH(ROWS($AF$2:AF394),$AF$2:$AF$1001,0),1)&gt;=100000,INDEX($AM$1005:$BM$1005,1,MATCH(COLUMNS($AM$1006:AS1006),$AM$1006:$BM$1006,0))&gt;=100000), " ",IF(INDEX($AM$2:$BM$1001,MATCH(ROWS($AF$2:AF394),$AF$2:$AF$1001,0),MATCH(COLUMNS($AM$1006:AS1006),$AM$1006:$BM$1006,0)), HYPERLINK("#",""), HYPERLINK(CONCATENATE("#metadata!", ADDRESS(INDEX($AH$2:$AH$1001,MATCH(ROWS($AF$2:AF394),$AF$2:$AF$1001,0),0), INDEX($AM$1004:$BM$1004,1,MATCH(COLUMNS($AM$1006:AS1006),$AM$1006:$BM$1006,0)))),"Fix")))</f>
        <v xml:space="preserve"> </v>
      </c>
      <c r="I394" s="4" t="str">
        <f ca="1">IF(OR(INDEX($AG$2:$AG$1001,MATCH(ROWS($AF$2:AF394),$AF$2:$AF$1001,0),1)&gt;=100000,INDEX($AM$1005:$BM$1005,1,MATCH(COLUMNS($AM$1006:AT1006),$AM$1006:$BM$1006,0))&gt;=100000), " ",IF(INDEX($AM$2:$BM$1001,MATCH(ROWS($AF$2:AF394),$AF$2:$AF$1001,0),MATCH(COLUMNS($AM$1006:AT1006),$AM$1006:$BM$1006,0)), HYPERLINK("#",""), HYPERLINK(CONCATENATE("#metadata!", ADDRESS(INDEX($AH$2:$AH$1001,MATCH(ROWS($AF$2:AF394),$AF$2:$AF$1001,0),0), INDEX($AM$1004:$BM$1004,1,MATCH(COLUMNS($AM$1006:AT1006),$AM$1006:$BM$1006,0)))),"Fix")))</f>
        <v xml:space="preserve"> </v>
      </c>
      <c r="J394" s="4" t="str">
        <f ca="1">IF(OR(INDEX($AG$2:$AG$1001,MATCH(ROWS($AF$2:AF394),$AF$2:$AF$1001,0),1)&gt;=100000,INDEX($AM$1005:$BM$1005,1,MATCH(COLUMNS($AM$1006:AU1006),$AM$1006:$BM$1006,0))&gt;=100000), " ",IF(INDEX($AM$2:$BM$1001,MATCH(ROWS($AF$2:AF394),$AF$2:$AF$1001,0),MATCH(COLUMNS($AM$1006:AU1006),$AM$1006:$BM$1006,0)), HYPERLINK("#",""), HYPERLINK(CONCATENATE("#metadata!", ADDRESS(INDEX($AH$2:$AH$1001,MATCH(ROWS($AF$2:AF394),$AF$2:$AF$1001,0),0), INDEX($AM$1004:$BM$1004,1,MATCH(COLUMNS($AM$1006:AU1006),$AM$1006:$BM$1006,0)))),"Fix")))</f>
        <v xml:space="preserve"> </v>
      </c>
      <c r="K394" s="4" t="str">
        <f ca="1">IF(OR(INDEX($AG$2:$AG$1001,MATCH(ROWS($AF$2:AF394),$AF$2:$AF$1001,0),1)&gt;=100000,INDEX($AM$1005:$BM$1005,1,MATCH(COLUMNS($AM$1006:AV1006),$AM$1006:$BM$1006,0))&gt;=100000), " ",IF(INDEX($AM$2:$BM$1001,MATCH(ROWS($AF$2:AF394),$AF$2:$AF$1001,0),MATCH(COLUMNS($AM$1006:AV1006),$AM$1006:$BM$1006,0)), HYPERLINK("#",""), HYPERLINK(CONCATENATE("#metadata!", ADDRESS(INDEX($AH$2:$AH$1001,MATCH(ROWS($AF$2:AF394),$AF$2:$AF$1001,0),0), INDEX($AM$1004:$BM$1004,1,MATCH(COLUMNS($AM$1006:AV1006),$AM$1006:$BM$1006,0)))),"Fix")))</f>
        <v xml:space="preserve"> </v>
      </c>
      <c r="L394" s="4" t="str">
        <f ca="1">IF(OR(INDEX($AG$2:$AG$1001,MATCH(ROWS($AF$2:AF394),$AF$2:$AF$1001,0),1)&gt;=100000,INDEX($AM$1005:$BM$1005,1,MATCH(COLUMNS($AM$1006:AW1006),$AM$1006:$BM$1006,0))&gt;=100000), " ",IF(INDEX($AM$2:$BM$1001,MATCH(ROWS($AF$2:AF394),$AF$2:$AF$1001,0),MATCH(COLUMNS($AM$1006:AW1006),$AM$1006:$BM$1006,0)), HYPERLINK("#",""), HYPERLINK(CONCATENATE("#metadata!", ADDRESS(INDEX($AH$2:$AH$1001,MATCH(ROWS($AF$2:AF394),$AF$2:$AF$1001,0),0), INDEX($AM$1004:$BM$1004,1,MATCH(COLUMNS($AM$1006:AW1006),$AM$1006:$BM$1006,0)))),"Fix")))</f>
        <v xml:space="preserve"> </v>
      </c>
      <c r="M394" s="4" t="str">
        <f ca="1">IF(OR(INDEX($AG$2:$AG$1001,MATCH(ROWS($AF$2:AF394),$AF$2:$AF$1001,0),1)&gt;=100000,INDEX($AM$1005:$BM$1005,1,MATCH(COLUMNS($AM$1006:AX1006),$AM$1006:$BM$1006,0))&gt;=100000), " ",IF(INDEX($AM$2:$BM$1001,MATCH(ROWS($AF$2:AF394),$AF$2:$AF$1001,0),MATCH(COLUMNS($AM$1006:AX1006),$AM$1006:$BM$1006,0)), HYPERLINK("#",""), HYPERLINK(CONCATENATE("#metadata!", ADDRESS(INDEX($AH$2:$AH$1001,MATCH(ROWS($AF$2:AF394),$AF$2:$AF$1001,0),0), INDEX($AM$1004:$BM$1004,1,MATCH(COLUMNS($AM$1006:AX1006),$AM$1006:$BM$1006,0)))),"Fix")))</f>
        <v xml:space="preserve"> </v>
      </c>
      <c r="N394" s="4" t="str">
        <f ca="1">IF(OR(INDEX($AG$2:$AG$1001,MATCH(ROWS($AF$2:AF394),$AF$2:$AF$1001,0),1)&gt;=100000,INDEX($AM$1005:$BM$1005,1,MATCH(COLUMNS($AM$1006:AY1006),$AM$1006:$BM$1006,0))&gt;=100000), " ",IF(INDEX($AM$2:$BM$1001,MATCH(ROWS($AF$2:AF394),$AF$2:$AF$1001,0),MATCH(COLUMNS($AM$1006:AY1006),$AM$1006:$BM$1006,0)), HYPERLINK("#",""), HYPERLINK(CONCATENATE("#metadata!", ADDRESS(INDEX($AH$2:$AH$1001,MATCH(ROWS($AF$2:AF394),$AF$2:$AF$1001,0),0), INDEX($AM$1004:$BM$1004,1,MATCH(COLUMNS($AM$1006:AY1006),$AM$1006:$BM$1006,0)))),"Fix")))</f>
        <v xml:space="preserve"> </v>
      </c>
      <c r="O394" s="4" t="str">
        <f ca="1">IF(OR(INDEX($AG$2:$AG$1001,MATCH(ROWS($AF$2:AF394),$AF$2:$AF$1001,0),1)&gt;=100000,INDEX($AM$1005:$BM$1005,1,MATCH(COLUMNS($AM$1006:AZ1006),$AM$1006:$BM$1006,0))&gt;=100000), " ",IF(INDEX($AM$2:$BM$1001,MATCH(ROWS($AF$2:AF394),$AF$2:$AF$1001,0),MATCH(COLUMNS($AM$1006:AZ1006),$AM$1006:$BM$1006,0)), HYPERLINK("#",""), HYPERLINK(CONCATENATE("#metadata!", ADDRESS(INDEX($AH$2:$AH$1001,MATCH(ROWS($AF$2:AF394),$AF$2:$AF$1001,0),0), INDEX($AM$1004:$BM$1004,1,MATCH(COLUMNS($AM$1006:AZ1006),$AM$1006:$BM$1006,0)))),"Fix")))</f>
        <v xml:space="preserve"> </v>
      </c>
      <c r="P394" s="4" t="str">
        <f ca="1">IF(OR(INDEX($AG$2:$AG$1001,MATCH(ROWS($AF$2:AF394),$AF$2:$AF$1001,0),1)&gt;=100000,INDEX($AM$1005:$BM$1005,1,MATCH(COLUMNS($AM$1006:BA1006),$AM$1006:$BM$1006,0))&gt;=100000), " ",IF(INDEX($AM$2:$BM$1001,MATCH(ROWS($AF$2:AF394),$AF$2:$AF$1001,0),MATCH(COLUMNS($AM$1006:BA1006),$AM$1006:$BM$1006,0)), HYPERLINK("#",""), HYPERLINK(CONCATENATE("#metadata!", ADDRESS(INDEX($AH$2:$AH$1001,MATCH(ROWS($AF$2:AF394),$AF$2:$AF$1001,0),0), INDEX($AM$1004:$BM$1004,1,MATCH(COLUMNS($AM$1006:BA1006),$AM$1006:$BM$1006,0)))),"Fix")))</f>
        <v xml:space="preserve"> </v>
      </c>
      <c r="Q394" s="4" t="str">
        <f ca="1">IF(OR(INDEX($AG$2:$AG$1001,MATCH(ROWS($AF$2:AF394),$AF$2:$AF$1001,0),1)&gt;=100000,INDEX($AM$1005:$BM$1005,1,MATCH(COLUMNS($AM$1006:BB1006),$AM$1006:$BM$1006,0))&gt;=100000), " ",IF(INDEX($AM$2:$BM$1001,MATCH(ROWS($AF$2:AF394),$AF$2:$AF$1001,0),MATCH(COLUMNS($AM$1006:BB1006),$AM$1006:$BM$1006,0)), HYPERLINK("#",""), HYPERLINK(CONCATENATE("#metadata!", ADDRESS(INDEX($AH$2:$AH$1001,MATCH(ROWS($AF$2:AF394),$AF$2:$AF$1001,0),0), INDEX($AM$1004:$BM$1004,1,MATCH(COLUMNS($AM$1006:BB1006),$AM$1006:$BM$1006,0)))),"Fix")))</f>
        <v xml:space="preserve"> </v>
      </c>
      <c r="R394" s="4" t="str">
        <f ca="1">IF(OR(INDEX($AG$2:$AG$1001,MATCH(ROWS($AF$2:AF394),$AF$2:$AF$1001,0),1)&gt;=100000,INDEX($AM$1005:$BM$1005,1,MATCH(COLUMNS($AM$1006:BC1006),$AM$1006:$BM$1006,0))&gt;=100000), " ",IF(INDEX($AM$2:$BM$1001,MATCH(ROWS($AF$2:AF394),$AF$2:$AF$1001,0),MATCH(COLUMNS($AM$1006:BC1006),$AM$1006:$BM$1006,0)), HYPERLINK("#",""), HYPERLINK(CONCATENATE("#metadata!", ADDRESS(INDEX($AH$2:$AH$1001,MATCH(ROWS($AF$2:AF394),$AF$2:$AF$1001,0),0), INDEX($AM$1004:$BM$1004,1,MATCH(COLUMNS($AM$1006:BC1006),$AM$1006:$BM$1006,0)))),"Fix")))</f>
        <v xml:space="preserve"> </v>
      </c>
      <c r="S394" s="4" t="str">
        <f ca="1">IF(OR(INDEX($AG$2:$AG$1001,MATCH(ROWS($AF$2:AF394),$AF$2:$AF$1001,0),1)&gt;=100000,INDEX($AM$1005:$BM$1005,1,MATCH(COLUMNS($AM$1006:BD1006),$AM$1006:$BM$1006,0))&gt;=100000), " ",IF(INDEX($AM$2:$BM$1001,MATCH(ROWS($AF$2:AF394),$AF$2:$AF$1001,0),MATCH(COLUMNS($AM$1006:BD1006),$AM$1006:$BM$1006,0)), HYPERLINK("#",""), HYPERLINK(CONCATENATE("#metadata!", ADDRESS(INDEX($AH$2:$AH$1001,MATCH(ROWS($AF$2:AF394),$AF$2:$AF$1001,0),0), INDEX($AM$1004:$BM$1004,1,MATCH(COLUMNS($AM$1006:BD1006),$AM$1006:$BM$1006,0)))),"Fix")))</f>
        <v xml:space="preserve"> </v>
      </c>
      <c r="T394" s="4" t="str">
        <f ca="1">IF(OR(INDEX($AG$2:$AG$1001,MATCH(ROWS($AF$2:AF394),$AF$2:$AF$1001,0),1)&gt;=100000,INDEX($AM$1005:$BM$1005,1,MATCH(COLUMNS($AM$1006:BE1006),$AM$1006:$BM$1006,0))&gt;=100000), " ",IF(INDEX($AM$2:$BM$1001,MATCH(ROWS($AF$2:AF394),$AF$2:$AF$1001,0),MATCH(COLUMNS($AM$1006:BE1006),$AM$1006:$BM$1006,0)), HYPERLINK("#",""), HYPERLINK(CONCATENATE("#metadata!", ADDRESS(INDEX($AH$2:$AH$1001,MATCH(ROWS($AF$2:AF394),$AF$2:$AF$1001,0),0), INDEX($AM$1004:$BM$1004,1,MATCH(COLUMNS($AM$1006:BE1006),$AM$1006:$BM$1006,0)))),"Fix")))</f>
        <v xml:space="preserve"> </v>
      </c>
      <c r="U394" s="4" t="str">
        <f ca="1">IF(OR(INDEX($AG$2:$AG$1001,MATCH(ROWS($AF$2:AF394),$AF$2:$AF$1001,0),1)&gt;=100000,INDEX($AM$1005:$BM$1005,1,MATCH(COLUMNS($AM$1006:BF1006),$AM$1006:$BM$1006,0))&gt;=100000), " ",IF(INDEX($AM$2:$BM$1001,MATCH(ROWS($AF$2:AF394),$AF$2:$AF$1001,0),MATCH(COLUMNS($AM$1006:BF1006),$AM$1006:$BM$1006,0)), HYPERLINK("#",""), HYPERLINK(CONCATENATE("#metadata!", ADDRESS(INDEX($AH$2:$AH$1001,MATCH(ROWS($AF$2:AF394),$AF$2:$AF$1001,0),0), INDEX($AM$1004:$BM$1004,1,MATCH(COLUMNS($AM$1006:BF1006),$AM$1006:$BM$1006,0)))),"Fix")))</f>
        <v xml:space="preserve"> </v>
      </c>
      <c r="V394" s="4" t="str">
        <f ca="1">IF(OR(INDEX($AG$2:$AG$1001,MATCH(ROWS($AF$2:AF394),$AF$2:$AF$1001,0),1)&gt;=100000,INDEX($AM$1005:$BM$1005,1,MATCH(COLUMNS($AM$1006:BG1006),$AM$1006:$BM$1006,0))&gt;=100000), " ",IF(INDEX($AM$2:$BM$1001,MATCH(ROWS($AF$2:AF394),$AF$2:$AF$1001,0),MATCH(COLUMNS($AM$1006:BG1006),$AM$1006:$BM$1006,0)), HYPERLINK("#",""), HYPERLINK(CONCATENATE("#metadata!", ADDRESS(INDEX($AH$2:$AH$1001,MATCH(ROWS($AF$2:AF394),$AF$2:$AF$1001,0),0), INDEX($AM$1004:$BM$1004,1,MATCH(COLUMNS($AM$1006:BG1006),$AM$1006:$BM$1006,0)))),"Fix")))</f>
        <v xml:space="preserve"> </v>
      </c>
      <c r="W394" s="4" t="str">
        <f ca="1">IF(OR(INDEX($AG$2:$AG$1001,MATCH(ROWS($AF$2:AF394),$AF$2:$AF$1001,0),1)&gt;=100000,INDEX($AM$1005:$BM$1005,1,MATCH(COLUMNS($AM$1006:BH1006),$AM$1006:$BM$1006,0))&gt;=100000), " ",IF(INDEX($AM$2:$BM$1001,MATCH(ROWS($AF$2:AF394),$AF$2:$AF$1001,0),MATCH(COLUMNS($AM$1006:BH1006),$AM$1006:$BM$1006,0)), HYPERLINK("#",""), HYPERLINK(CONCATENATE("#metadata!", ADDRESS(INDEX($AH$2:$AH$1001,MATCH(ROWS($AF$2:AF394),$AF$2:$AF$1001,0),0), INDEX($AM$1004:$BM$1004,1,MATCH(COLUMNS($AM$1006:BH1006),$AM$1006:$BM$1006,0)))),"Fix")))</f>
        <v xml:space="preserve"> </v>
      </c>
      <c r="X394" s="4" t="str">
        <f ca="1">IF(OR(INDEX($AG$2:$AG$1001,MATCH(ROWS($AF$2:AF394),$AF$2:$AF$1001,0),1)&gt;=100000,INDEX($AM$1005:$BM$1005,1,MATCH(COLUMNS($AM$1006:BI1006),$AM$1006:$BM$1006,0))&gt;=100000), " ",IF(INDEX($AM$2:$BM$1001,MATCH(ROWS($AF$2:AF394),$AF$2:$AF$1001,0),MATCH(COLUMNS($AM$1006:BI1006),$AM$1006:$BM$1006,0)), HYPERLINK("#",""), HYPERLINK(CONCATENATE("#metadata!", ADDRESS(INDEX($AH$2:$AH$1001,MATCH(ROWS($AF$2:AF394),$AF$2:$AF$1001,0),0), INDEX($AM$1004:$BM$1004,1,MATCH(COLUMNS($AM$1006:BI1006),$AM$1006:$BM$1006,0)))),"Fix")))</f>
        <v xml:space="preserve"> </v>
      </c>
      <c r="Y394" s="4" t="str">
        <f ca="1">IF(OR(INDEX($AG$2:$AG$1001,MATCH(ROWS($AF$2:AF394),$AF$2:$AF$1001,0),1)&gt;=100000,INDEX($AM$1005:$BM$1005,1,MATCH(COLUMNS($AM$1006:BJ1006),$AM$1006:$BM$1006,0))&gt;=100000), " ",IF(INDEX($AM$2:$BM$1001,MATCH(ROWS($AF$2:AF394),$AF$2:$AF$1001,0),MATCH(COLUMNS($AM$1006:BJ1006),$AM$1006:$BM$1006,0)), HYPERLINK("#",""), HYPERLINK(CONCATENATE("#metadata!", ADDRESS(INDEX($AH$2:$AH$1001,MATCH(ROWS($AF$2:AF394),$AF$2:$AF$1001,0),0), INDEX($AM$1004:$BM$1004,1,MATCH(COLUMNS($AM$1006:BJ1006),$AM$1006:$BM$1006,0)))),"Fix")))</f>
        <v xml:space="preserve"> </v>
      </c>
      <c r="Z394" s="4" t="str">
        <f ca="1">IF(OR(INDEX($AG$2:$AG$1001,MATCH(ROWS($AF$2:AF394),$AF$2:$AF$1001,0),1)&gt;=100000,INDEX($AM$1005:$BM$1005,1,MATCH(COLUMNS($AM$1006:BK1006),$AM$1006:$BM$1006,0))&gt;=100000), " ",IF(INDEX($AM$2:$BM$1001,MATCH(ROWS($AF$2:AF394),$AF$2:$AF$1001,0),MATCH(COLUMNS($AM$1006:BK1006),$AM$1006:$BM$1006,0)), HYPERLINK("#",""), HYPERLINK(CONCATENATE("#metadata!", ADDRESS(INDEX($AH$2:$AH$1001,MATCH(ROWS($AF$2:AF394),$AF$2:$AF$1001,0),0), INDEX($AM$1004:$BM$1004,1,MATCH(COLUMNS($AM$1006:BK1006),$AM$1006:$BM$1006,0)))),"Fix")))</f>
        <v xml:space="preserve"> </v>
      </c>
      <c r="AA394" s="4" t="str">
        <f ca="1">IF(OR(INDEX($AG$2:$AG$1001,MATCH(ROWS($AF$2:AF394),$AF$2:$AF$1001,0),1)&gt;=100000,INDEX($AM$1005:$BM$1005,1,MATCH(COLUMNS($AM$1006:BL1006),$AM$1006:$BM$1006,0))&gt;=100000), " ",IF(INDEX($AM$2:$BM$1001,MATCH(ROWS($AF$2:AF394),$AF$2:$AF$1001,0),MATCH(COLUMNS($AM$1006:BL1006),$AM$1006:$BM$1006,0)), HYPERLINK("#",""), HYPERLINK(CONCATENATE("#metadata!", ADDRESS(INDEX($AH$2:$AH$1001,MATCH(ROWS($AF$2:AF394),$AF$2:$AF$1001,0),0), INDEX($AM$1004:$BM$1004,1,MATCH(COLUMNS($AM$1006:BL1006),$AM$1006:$BM$1006,0)))),"Fix")))</f>
        <v xml:space="preserve"> </v>
      </c>
      <c r="AB394" s="4" t="str">
        <f ca="1">IF(OR(INDEX($AG$2:$AG$1001,MATCH(ROWS($AF$2:AF394),$AF$2:$AF$1001,0),1)&gt;=100000,INDEX($AM$1005:$BM$1005,1,MATCH(COLUMNS($AM$1006:BM1006),$AM$1006:$BM$1006,0))&gt;=100000), " ",IF(INDEX($AM$2:$BM$1001,MATCH(ROWS($AF$2:AF394),$AF$2:$AF$1001,0),MATCH(COLUMNS($AM$1006:BM1006),$AM$1006:$BM$1006,0)), HYPERLINK("#",""), HYPERLINK(CONCATENATE("#metadata!", ADDRESS(INDEX($AH$2:$AH$1001,MATCH(ROWS($AF$2:AF394),$AF$2:$AF$1001,0),0), INDEX($AM$1004:$BM$1004,1,MATCH(COLUMNS($AM$1006:BM1006),$AM$1006:$BM$1006,0)))),"Fix")))</f>
        <v xml:space="preserve"> </v>
      </c>
      <c r="AF394">
        <v>393</v>
      </c>
      <c r="AG394">
        <v>100394</v>
      </c>
      <c r="AH394">
        <v>394</v>
      </c>
      <c r="AI394" t="b">
        <f t="shared" si="6"/>
        <v>1</v>
      </c>
      <c r="AJ394" t="b">
        <f>COUNTBLANK(metadata!B394:AB394)=COLUMNS(metadata!B394:AB394)</f>
        <v>1</v>
      </c>
      <c r="AK394" t="str">
        <v/>
      </c>
      <c r="AM394" t="b">
        <f ca="1">AND(IF(metadata!B394="",FALSE,TRUE),COUNTIF(metadata!B:B, metadata!B394) = 1,NOT(ISERROR(SUMPRODUCT(SEARCH(MID(metadata!B394,ROW(INDIRECT("1:"&amp;LEN(metadata!B394))), 1),"0123456789abcdefghijklmnopqrstuvwxyzABCDEFGHIJKLMNOPQRSTUVWXYZ.")))))</f>
        <v>0</v>
      </c>
      <c r="AN394" t="b">
        <f ca="1">OR(AND(IF(metadata!C394="",FALSE,TRUE),OR(EXACT(metadata!C394,"missing: not collected"),EXACT(metadata!C394,"missing: not provided"),EXACT(metadata!C394,"missing: restricted access"))),AND(IF(metadata!C394="",FALSE,TRUE),AND(AND(IFERROR(INT(LEFT(metadata!C394,4))&gt;1900,FALSE),IFERROR(INT(LEFT(metadata!C394,4))&lt;=YEAR(NOW()),FALSE)), OR(MID(metadata!C394,5,1)="", AND(AND(MID(metadata!C394,5,1)="-",IFERROR(INT(MID(metadata!C394,6,1))&gt;=0,FALSE),IFERROR(INT(MID(metadata!C394,6,1))&lt;=1,FALSE),NOT(MID(metadata!C394,7,1)=""),IFERROR(INT(MID(metadata!C394,6,2))&gt;=1,FALSE),IFERROR(INT(MID(metadata!C394,6,2))&lt;=12,FALSE)), OR(MID(metadata!C394,8,1)="", AND(AND(MID(metadata!C394,8,1)="-",IFERROR(INT(MID(metadata!C394,9,1))&gt;=0,FALSE),IFERROR(INT(MID(metadata!C394,9,1))&lt;=3,FALSE),NOT(MID(metadata!C394,10,1)=""),IFERROR(INT(MID(metadata!C394,9,2))&gt;=1,FALSE),IFERROR(INT(MID(metadata!C394,9,2))&lt;=31,FALSE)), OR(MID(metadata!C394,11,1)="", AND(AND(MID(metadata!C394,11,1)=" ",IFERROR(INT(MID(metadata!C394,12,1))&gt;=0,FALSE),IFERROR(INT(MID(metadata!C394,12,1))&lt;=2,FALSE),NOT(MID(metadata!C394,13,1)=""),IFERROR(INT(MID(metadata!C394,12,2))&gt;=0,FALSE),IFERROR(INT(MID(metadata!C394,12,2))&lt;=23,FALSE)), OR(MID(metadata!C394,14,1)="", AND(AND(MID(metadata!C394,14,1)=":",IFERROR(INT(MID(metadata!C394,15,1))&gt;=0,FALSE),IFERROR(INT(MID(metadata!C394,15,1))&lt;=5,FALSE),NOT(MID(metadata!C394,16,1)=""),IFERROR(INT(MID(metadata!C394,15,2))&gt;=0,FALSE),IFERROR(INT(MID(metadata!C394,15,2))&lt;=59,FALSE)), OR(MID(metadata!C394,17,1)="", AND(AND(MID(metadata!C394,17,1)=":",IFERROR(INT(MID(metadata!C394,18,1))&gt;=0,FALSE),IFERROR(INT(MID(metadata!C394,18,1))&lt;=5,FALSE),NOT(MID(metadata!C394,19,1)=""),IFERROR(INT(MID(metadata!C394,18,2))&gt;=0,FALSE),IFERROR(INT(MID(metadata!C394,18,2))&lt;=59,FALSE)), LEN(metadata!C394)&lt;=19)))))))))))))</f>
        <v>0</v>
      </c>
      <c r="AO394" t="b">
        <f>AND(IF(metadata!D394="",FALSE,TRUE),EXACT(metadata!D394,"Not applicable"))</f>
        <v>0</v>
      </c>
      <c r="AP394" t="b">
        <f>IF(metadata!E394="",FALSE,TRUE)</f>
        <v>0</v>
      </c>
      <c r="AQ394" t="b">
        <f>OR(AND(IF(metadata!F394="",FALSE,TRUE),OR(EXACT(metadata!F394,"missing: not collected"),EXACT(metadata!F394,"missing: not provided"))),AND(IF(metadata!F394="",FALSE,TRUE),OR(EXACT(metadata!F394,"TRUE"),EXACT(metadata!F394,"FALSE"))))</f>
        <v>0</v>
      </c>
      <c r="AR394" t="b">
        <f>OR(AND(IF(metadata!G394="",FALSE,TRUE),OR(EXACT(metadata!G394,"missing: not collected"),EXACT(metadata!G394,"missing: not provided"),EXACT(metadata!G394,"missing: restricted access"))),AND(IF(metadata!G394="",FALSE,ISNUMBER(VALUE(metadata!G394))),metadata!G394&gt;=-413))</f>
        <v>0</v>
      </c>
      <c r="AS394" t="b">
        <f>AND(IF(metadata!H394="",FALSE,TRUE),EXACT(metadata!H394,"meters"))</f>
        <v>0</v>
      </c>
      <c r="AT394" t="b">
        <f>AND(IF(metadata!I394="",FALSE,TRUE),OR(EXACT(metadata!I394,"Host-associated"),EXACT(metadata!I394,"Free-living")))</f>
        <v>0</v>
      </c>
      <c r="AU394" t="b">
        <f>AND(IF(metadata!J394="",FALSE,TRUE),OR(EXACT(metadata!J394,"Animal"),EXACT(metadata!J394,"Fungus"),EXACT(metadata!J394,"Plant"),EXACT(metadata!J394,"Saline"),EXACT(metadata!J394,"Non-saline")))</f>
        <v>0</v>
      </c>
      <c r="AV394" t="b">
        <f>AND(IF(metadata!K394="",FALSE,TRUE),OR(EXACT(metadata!K394,"Plant secretion"),EXACT(metadata!K394,"Plant rhizosphere"),EXACT(metadata!K394,"Plant surface"),EXACT(metadata!K394,"Plant corpus"),EXACT(metadata!K394,"Fungus surface"),EXACT(metadata!K394,"Fungus corpus"),EXACT(metadata!K394,"Animal surface"),EXACT(metadata!K394,"Animal proximal gut"),EXACT(metadata!K394,"Animal corpus"),EXACT(metadata!K394,"Animal distal gut"),EXACT(metadata!K394,"Animal secretion"),EXACT(metadata!K394,"Sub-surface (non-saline)"),EXACT(metadata!K394,"Surface (non-saline)"),EXACT(metadata!K394,"Water (non-saline)"),EXACT(metadata!K394,"Soil (non-saline)"),EXACT(metadata!K394,"Aerosol (non-saline)"),EXACT(metadata!K394,"Sediment (non-saline)"),EXACT(metadata!K394,"Surface (saline)"),EXACT(metadata!K394,"Water (saline)"),EXACT(metadata!K394,"Hypersaline (saline)"),EXACT(metadata!K394,"Aerosol (saline)"),EXACT(metadata!K394,"Sediment (saline)")))</f>
        <v>0</v>
      </c>
      <c r="AW394" t="b">
        <f>IF(metadata!L394="",FALSE,TRUE)</f>
        <v>0</v>
      </c>
      <c r="AX394" t="b">
        <f>IF(metadata!M394="",FALSE,TRUE)</f>
        <v>0</v>
      </c>
      <c r="AY394" t="b">
        <f>IF(metadata!N394="",FALSE,TRUE)</f>
        <v>0</v>
      </c>
      <c r="AZ394" t="b">
        <f>OR(AND(IF(metadata!O394="",FALSE,TRUE),OR(EXACT(metadata!O394,"missing: not collected"),EXACT(metadata!O394,"missing: not provided"),EXACT(metadata!O394,"missing: restricted access"))),AND(IF(metadata!O394="",FALSE,TRUE),OR(EXACT(metadata!O394,"air"),EXACT(metadata!O394,"built environment"),EXACT(metadata!O394,"host-associated"),EXACT(metadata!O394,"human-associated"),EXACT(metadata!O394,"human-skin"),EXACT(metadata!O394,"human-oral"),EXACT(metadata!O394,"human-gut"),EXACT(metadata!O394,"human-vaginal"),EXACT(metadata!O394,"microbial mat/biofilm"),EXACT(metadata!O394,"misc environment"),EXACT(metadata!O394,"plant-associated"),EXACT(metadata!O394,"sediment"),EXACT(metadata!O394,"soil"),EXACT(metadata!O394,"wastewater/sludge"),EXACT(metadata!O394,"water"))))</f>
        <v>0</v>
      </c>
      <c r="BA394" t="b">
        <f>IF(metadata!P394="",FALSE,TRUE)</f>
        <v>0</v>
      </c>
      <c r="BB394" t="b">
        <f>IF(metadata!Q394="",FALSE,TRUE)</f>
        <v>0</v>
      </c>
      <c r="BC394" t="b">
        <f>OR(AND(IF(metadata!R394="",FALSE,TRUE),OR(EXACT(metadata!R394,"missing: not collected"),EXACT(metadata!R394,"missing: not provided"),EXACT(metadata!R394,"missing: restricted access"))),AND(IF(metadata!R394="",FALSE,ISNUMBER(VALUE(metadata!R394))),metadata!R394&gt;=-90,metadata!R394&lt;=90))</f>
        <v>0</v>
      </c>
      <c r="BD394" t="b">
        <f>AND(IF(metadata!S394="",FALSE,TRUE),EXACT(metadata!S394,"Decimal degrees"))</f>
        <v>0</v>
      </c>
      <c r="BE394" t="b">
        <f>OR(AND(IF(metadata!T394="",FALSE,TRUE),OR(EXACT(metadata!T394,"missing: not collected"),EXACT(metadata!T394,"missing: not provided"),EXACT(metadata!T394,"missing: restricted access"))),AND(IF(metadata!T394="",FALSE,ISNUMBER(VALUE(metadata!T394))),metadata!T394&gt;=-180,metadata!T394&lt;=180))</f>
        <v>0</v>
      </c>
      <c r="BF394" t="b">
        <f>AND(IF(metadata!U394="",FALSE,TRUE),EXACT(metadata!U394,"Decimal degrees"))</f>
        <v>0</v>
      </c>
      <c r="BG394" t="b">
        <f>IF(metadata!V394="",FALSE,TRUE)</f>
        <v>0</v>
      </c>
      <c r="BH394" t="b">
        <f>OR(AND(IF(metadata!W394="",FALSE,TRUE),OR(EXACT(metadata!W394,"missing: not collected"),EXACT(metadata!W394,"missing: not provided"),EXACT(metadata!W394,"missing: restricted access"))),AND(IF(metadata!W394="",FALSE,TRUE),OR(EXACT(metadata!W394,"TRUE"),EXACT(metadata!W394,"FALSE"))))</f>
        <v>0</v>
      </c>
      <c r="BI394" t="b">
        <f>AND(IF(metadata!X394="",FALSE,TRUE),EXACT(metadata!X394,"other"))</f>
        <v>0</v>
      </c>
      <c r="BJ394" t="b">
        <f>IF(metadata!Y394="",FALSE,TRUE)</f>
        <v>0</v>
      </c>
      <c r="BK394" t="b">
        <f>OR(AND(IF(metadata!Z394="",FALSE,TRUE),OR(EXACT(metadata!Z394,"missing: not collected"),EXACT(metadata!Z394,"missing: not provided"))),AND(IF(metadata!Z394="",FALSE,IF(ISERROR(INT(metadata!Z394)),FALSE,INT(metadata!Z394)=metadata!Z394)),metadata!Z394&gt;0))</f>
        <v>0</v>
      </c>
      <c r="BL394" t="b">
        <f>AND(IF(metadata!AA394="",FALSE,TRUE),EXACT(metadata!AA394,"Not applicable"))</f>
        <v>0</v>
      </c>
      <c r="BM394" t="b">
        <f>IF(metadata!AB394="",FALSE,TRUE)</f>
        <v>0</v>
      </c>
    </row>
    <row r="395" spans="1:65" x14ac:dyDescent="0.2">
      <c r="A395" s="5" t="str">
        <f ca="1">IF(B395=" "," ",HYPERLINK(CONCATENATE("#metadata!",ADDRESS(INDEX($AH$2:$AH$1001,MATCH(ROWS($AF$2:AF395),$AF$2:$AF$1001,0),0),1)),INDEX($AK$2:$AK$1001,MATCH(ROWS($AF$2:AF395),$AF$2:$AF$1001,0),0)))</f>
        <v xml:space="preserve"> </v>
      </c>
      <c r="B395" s="4" t="str">
        <f ca="1">IF(OR(INDEX($AG$2:$AG$1001,MATCH(ROWS($AF$2:AF395),$AF$2:$AF$1001,0),1)&gt;=100000,INDEX($AM$1005:$BM$1005,1,MATCH(COLUMNS($AM$1006:AM1006),$AM$1006:$BM$1006,0))&gt;=100000), " ",IF(INDEX($AM$2:$BM$1001,MATCH(ROWS($AF$2:AF395),$AF$2:$AF$1001,0),MATCH(COLUMNS($AM$1006:AM1006),$AM$1006:$BM$1006,0)), HYPERLINK("#",""), HYPERLINK(CONCATENATE("#metadata!", ADDRESS(INDEX($AH$2:$AH$1001,MATCH(ROWS($AF$2:AF395),$AF$2:$AF$1001,0),0), INDEX($AM$1004:$BM$1004,1,MATCH(COLUMNS($AM$1006:AM1006),$AM$1006:$BM$1006,0)))),"Fix")))</f>
        <v xml:space="preserve"> </v>
      </c>
      <c r="C395" s="4" t="str">
        <f ca="1">IF(OR(INDEX($AG$2:$AG$1001,MATCH(ROWS($AF$2:AF395),$AF$2:$AF$1001,0),1)&gt;=100000,INDEX($AM$1005:$BM$1005,1,MATCH(COLUMNS($AM$1006:AN1006),$AM$1006:$BM$1006,0))&gt;=100000), " ",IF(INDEX($AM$2:$BM$1001,MATCH(ROWS($AF$2:AF395),$AF$2:$AF$1001,0),MATCH(COLUMNS($AM$1006:AN1006),$AM$1006:$BM$1006,0)), HYPERLINK("#",""), HYPERLINK(CONCATENATE("#metadata!", ADDRESS(INDEX($AH$2:$AH$1001,MATCH(ROWS($AF$2:AF395),$AF$2:$AF$1001,0),0), INDEX($AM$1004:$BM$1004,1,MATCH(COLUMNS($AM$1006:AN1006),$AM$1006:$BM$1006,0)))),"Fix")))</f>
        <v xml:space="preserve"> </v>
      </c>
      <c r="D395" s="4" t="str">
        <f ca="1">IF(OR(INDEX($AG$2:$AG$1001,MATCH(ROWS($AF$2:AF395),$AF$2:$AF$1001,0),1)&gt;=100000,INDEX($AM$1005:$BM$1005,1,MATCH(COLUMNS($AM$1006:AO1006),$AM$1006:$BM$1006,0))&gt;=100000), " ",IF(INDEX($AM$2:$BM$1001,MATCH(ROWS($AF$2:AF395),$AF$2:$AF$1001,0),MATCH(COLUMNS($AM$1006:AO1006),$AM$1006:$BM$1006,0)), HYPERLINK("#",""), HYPERLINK(CONCATENATE("#metadata!", ADDRESS(INDEX($AH$2:$AH$1001,MATCH(ROWS($AF$2:AF395),$AF$2:$AF$1001,0),0), INDEX($AM$1004:$BM$1004,1,MATCH(COLUMNS($AM$1006:AO1006),$AM$1006:$BM$1006,0)))),"Fix")))</f>
        <v xml:space="preserve"> </v>
      </c>
      <c r="E395" s="4" t="str">
        <f ca="1">IF(OR(INDEX($AG$2:$AG$1001,MATCH(ROWS($AF$2:AF395),$AF$2:$AF$1001,0),1)&gt;=100000,INDEX($AM$1005:$BM$1005,1,MATCH(COLUMNS($AM$1006:AP1006),$AM$1006:$BM$1006,0))&gt;=100000), " ",IF(INDEX($AM$2:$BM$1001,MATCH(ROWS($AF$2:AF395),$AF$2:$AF$1001,0),MATCH(COLUMNS($AM$1006:AP1006),$AM$1006:$BM$1006,0)), HYPERLINK("#",""), HYPERLINK(CONCATENATE("#metadata!", ADDRESS(INDEX($AH$2:$AH$1001,MATCH(ROWS($AF$2:AF395),$AF$2:$AF$1001,0),0), INDEX($AM$1004:$BM$1004,1,MATCH(COLUMNS($AM$1006:AP1006),$AM$1006:$BM$1006,0)))),"Fix")))</f>
        <v xml:space="preserve"> </v>
      </c>
      <c r="F395" s="4" t="str">
        <f ca="1">IF(OR(INDEX($AG$2:$AG$1001,MATCH(ROWS($AF$2:AF395),$AF$2:$AF$1001,0),1)&gt;=100000,INDEX($AM$1005:$BM$1005,1,MATCH(COLUMNS($AM$1006:AQ1006),$AM$1006:$BM$1006,0))&gt;=100000), " ",IF(INDEX($AM$2:$BM$1001,MATCH(ROWS($AF$2:AF395),$AF$2:$AF$1001,0),MATCH(COLUMNS($AM$1006:AQ1006),$AM$1006:$BM$1006,0)), HYPERLINK("#",""), HYPERLINK(CONCATENATE("#metadata!", ADDRESS(INDEX($AH$2:$AH$1001,MATCH(ROWS($AF$2:AF395),$AF$2:$AF$1001,0),0), INDEX($AM$1004:$BM$1004,1,MATCH(COLUMNS($AM$1006:AQ1006),$AM$1006:$BM$1006,0)))),"Fix")))</f>
        <v xml:space="preserve"> </v>
      </c>
      <c r="G395" s="4" t="str">
        <f ca="1">IF(OR(INDEX($AG$2:$AG$1001,MATCH(ROWS($AF$2:AF395),$AF$2:$AF$1001,0),1)&gt;=100000,INDEX($AM$1005:$BM$1005,1,MATCH(COLUMNS($AM$1006:AR1006),$AM$1006:$BM$1006,0))&gt;=100000), " ",IF(INDEX($AM$2:$BM$1001,MATCH(ROWS($AF$2:AF395),$AF$2:$AF$1001,0),MATCH(COLUMNS($AM$1006:AR1006),$AM$1006:$BM$1006,0)), HYPERLINK("#",""), HYPERLINK(CONCATENATE("#metadata!", ADDRESS(INDEX($AH$2:$AH$1001,MATCH(ROWS($AF$2:AF395),$AF$2:$AF$1001,0),0), INDEX($AM$1004:$BM$1004,1,MATCH(COLUMNS($AM$1006:AR1006),$AM$1006:$BM$1006,0)))),"Fix")))</f>
        <v xml:space="preserve"> </v>
      </c>
      <c r="H395" s="4" t="str">
        <f ca="1">IF(OR(INDEX($AG$2:$AG$1001,MATCH(ROWS($AF$2:AF395),$AF$2:$AF$1001,0),1)&gt;=100000,INDEX($AM$1005:$BM$1005,1,MATCH(COLUMNS($AM$1006:AS1006),$AM$1006:$BM$1006,0))&gt;=100000), " ",IF(INDEX($AM$2:$BM$1001,MATCH(ROWS($AF$2:AF395),$AF$2:$AF$1001,0),MATCH(COLUMNS($AM$1006:AS1006),$AM$1006:$BM$1006,0)), HYPERLINK("#",""), HYPERLINK(CONCATENATE("#metadata!", ADDRESS(INDEX($AH$2:$AH$1001,MATCH(ROWS($AF$2:AF395),$AF$2:$AF$1001,0),0), INDEX($AM$1004:$BM$1004,1,MATCH(COLUMNS($AM$1006:AS1006),$AM$1006:$BM$1006,0)))),"Fix")))</f>
        <v xml:space="preserve"> </v>
      </c>
      <c r="I395" s="4" t="str">
        <f ca="1">IF(OR(INDEX($AG$2:$AG$1001,MATCH(ROWS($AF$2:AF395),$AF$2:$AF$1001,0),1)&gt;=100000,INDEX($AM$1005:$BM$1005,1,MATCH(COLUMNS($AM$1006:AT1006),$AM$1006:$BM$1006,0))&gt;=100000), " ",IF(INDEX($AM$2:$BM$1001,MATCH(ROWS($AF$2:AF395),$AF$2:$AF$1001,0),MATCH(COLUMNS($AM$1006:AT1006),$AM$1006:$BM$1006,0)), HYPERLINK("#",""), HYPERLINK(CONCATENATE("#metadata!", ADDRESS(INDEX($AH$2:$AH$1001,MATCH(ROWS($AF$2:AF395),$AF$2:$AF$1001,0),0), INDEX($AM$1004:$BM$1004,1,MATCH(COLUMNS($AM$1006:AT1006),$AM$1006:$BM$1006,0)))),"Fix")))</f>
        <v xml:space="preserve"> </v>
      </c>
      <c r="J395" s="4" t="str">
        <f ca="1">IF(OR(INDEX($AG$2:$AG$1001,MATCH(ROWS($AF$2:AF395),$AF$2:$AF$1001,0),1)&gt;=100000,INDEX($AM$1005:$BM$1005,1,MATCH(COLUMNS($AM$1006:AU1006),$AM$1006:$BM$1006,0))&gt;=100000), " ",IF(INDEX($AM$2:$BM$1001,MATCH(ROWS($AF$2:AF395),$AF$2:$AF$1001,0),MATCH(COLUMNS($AM$1006:AU1006),$AM$1006:$BM$1006,0)), HYPERLINK("#",""), HYPERLINK(CONCATENATE("#metadata!", ADDRESS(INDEX($AH$2:$AH$1001,MATCH(ROWS($AF$2:AF395),$AF$2:$AF$1001,0),0), INDEX($AM$1004:$BM$1004,1,MATCH(COLUMNS($AM$1006:AU1006),$AM$1006:$BM$1006,0)))),"Fix")))</f>
        <v xml:space="preserve"> </v>
      </c>
      <c r="K395" s="4" t="str">
        <f ca="1">IF(OR(INDEX($AG$2:$AG$1001,MATCH(ROWS($AF$2:AF395),$AF$2:$AF$1001,0),1)&gt;=100000,INDEX($AM$1005:$BM$1005,1,MATCH(COLUMNS($AM$1006:AV1006),$AM$1006:$BM$1006,0))&gt;=100000), " ",IF(INDEX($AM$2:$BM$1001,MATCH(ROWS($AF$2:AF395),$AF$2:$AF$1001,0),MATCH(COLUMNS($AM$1006:AV1006),$AM$1006:$BM$1006,0)), HYPERLINK("#",""), HYPERLINK(CONCATENATE("#metadata!", ADDRESS(INDEX($AH$2:$AH$1001,MATCH(ROWS($AF$2:AF395),$AF$2:$AF$1001,0),0), INDEX($AM$1004:$BM$1004,1,MATCH(COLUMNS($AM$1006:AV1006),$AM$1006:$BM$1006,0)))),"Fix")))</f>
        <v xml:space="preserve"> </v>
      </c>
      <c r="L395" s="4" t="str">
        <f ca="1">IF(OR(INDEX($AG$2:$AG$1001,MATCH(ROWS($AF$2:AF395),$AF$2:$AF$1001,0),1)&gt;=100000,INDEX($AM$1005:$BM$1005,1,MATCH(COLUMNS($AM$1006:AW1006),$AM$1006:$BM$1006,0))&gt;=100000), " ",IF(INDEX($AM$2:$BM$1001,MATCH(ROWS($AF$2:AF395),$AF$2:$AF$1001,0),MATCH(COLUMNS($AM$1006:AW1006),$AM$1006:$BM$1006,0)), HYPERLINK("#",""), HYPERLINK(CONCATENATE("#metadata!", ADDRESS(INDEX($AH$2:$AH$1001,MATCH(ROWS($AF$2:AF395),$AF$2:$AF$1001,0),0), INDEX($AM$1004:$BM$1004,1,MATCH(COLUMNS($AM$1006:AW1006),$AM$1006:$BM$1006,0)))),"Fix")))</f>
        <v xml:space="preserve"> </v>
      </c>
      <c r="M395" s="4" t="str">
        <f ca="1">IF(OR(INDEX($AG$2:$AG$1001,MATCH(ROWS($AF$2:AF395),$AF$2:$AF$1001,0),1)&gt;=100000,INDEX($AM$1005:$BM$1005,1,MATCH(COLUMNS($AM$1006:AX1006),$AM$1006:$BM$1006,0))&gt;=100000), " ",IF(INDEX($AM$2:$BM$1001,MATCH(ROWS($AF$2:AF395),$AF$2:$AF$1001,0),MATCH(COLUMNS($AM$1006:AX1006),$AM$1006:$BM$1006,0)), HYPERLINK("#",""), HYPERLINK(CONCATENATE("#metadata!", ADDRESS(INDEX($AH$2:$AH$1001,MATCH(ROWS($AF$2:AF395),$AF$2:$AF$1001,0),0), INDEX($AM$1004:$BM$1004,1,MATCH(COLUMNS($AM$1006:AX1006),$AM$1006:$BM$1006,0)))),"Fix")))</f>
        <v xml:space="preserve"> </v>
      </c>
      <c r="N395" s="4" t="str">
        <f ca="1">IF(OR(INDEX($AG$2:$AG$1001,MATCH(ROWS($AF$2:AF395),$AF$2:$AF$1001,0),1)&gt;=100000,INDEX($AM$1005:$BM$1005,1,MATCH(COLUMNS($AM$1006:AY1006),$AM$1006:$BM$1006,0))&gt;=100000), " ",IF(INDEX($AM$2:$BM$1001,MATCH(ROWS($AF$2:AF395),$AF$2:$AF$1001,0),MATCH(COLUMNS($AM$1006:AY1006),$AM$1006:$BM$1006,0)), HYPERLINK("#",""), HYPERLINK(CONCATENATE("#metadata!", ADDRESS(INDEX($AH$2:$AH$1001,MATCH(ROWS($AF$2:AF395),$AF$2:$AF$1001,0),0), INDEX($AM$1004:$BM$1004,1,MATCH(COLUMNS($AM$1006:AY1006),$AM$1006:$BM$1006,0)))),"Fix")))</f>
        <v xml:space="preserve"> </v>
      </c>
      <c r="O395" s="4" t="str">
        <f ca="1">IF(OR(INDEX($AG$2:$AG$1001,MATCH(ROWS($AF$2:AF395),$AF$2:$AF$1001,0),1)&gt;=100000,INDEX($AM$1005:$BM$1005,1,MATCH(COLUMNS($AM$1006:AZ1006),$AM$1006:$BM$1006,0))&gt;=100000), " ",IF(INDEX($AM$2:$BM$1001,MATCH(ROWS($AF$2:AF395),$AF$2:$AF$1001,0),MATCH(COLUMNS($AM$1006:AZ1006),$AM$1006:$BM$1006,0)), HYPERLINK("#",""), HYPERLINK(CONCATENATE("#metadata!", ADDRESS(INDEX($AH$2:$AH$1001,MATCH(ROWS($AF$2:AF395),$AF$2:$AF$1001,0),0), INDEX($AM$1004:$BM$1004,1,MATCH(COLUMNS($AM$1006:AZ1006),$AM$1006:$BM$1006,0)))),"Fix")))</f>
        <v xml:space="preserve"> </v>
      </c>
      <c r="P395" s="4" t="str">
        <f ca="1">IF(OR(INDEX($AG$2:$AG$1001,MATCH(ROWS($AF$2:AF395),$AF$2:$AF$1001,0),1)&gt;=100000,INDEX($AM$1005:$BM$1005,1,MATCH(COLUMNS($AM$1006:BA1006),$AM$1006:$BM$1006,0))&gt;=100000), " ",IF(INDEX($AM$2:$BM$1001,MATCH(ROWS($AF$2:AF395),$AF$2:$AF$1001,0),MATCH(COLUMNS($AM$1006:BA1006),$AM$1006:$BM$1006,0)), HYPERLINK("#",""), HYPERLINK(CONCATENATE("#metadata!", ADDRESS(INDEX($AH$2:$AH$1001,MATCH(ROWS($AF$2:AF395),$AF$2:$AF$1001,0),0), INDEX($AM$1004:$BM$1004,1,MATCH(COLUMNS($AM$1006:BA1006),$AM$1006:$BM$1006,0)))),"Fix")))</f>
        <v xml:space="preserve"> </v>
      </c>
      <c r="Q395" s="4" t="str">
        <f ca="1">IF(OR(INDEX($AG$2:$AG$1001,MATCH(ROWS($AF$2:AF395),$AF$2:$AF$1001,0),1)&gt;=100000,INDEX($AM$1005:$BM$1005,1,MATCH(COLUMNS($AM$1006:BB1006),$AM$1006:$BM$1006,0))&gt;=100000), " ",IF(INDEX($AM$2:$BM$1001,MATCH(ROWS($AF$2:AF395),$AF$2:$AF$1001,0),MATCH(COLUMNS($AM$1006:BB1006),$AM$1006:$BM$1006,0)), HYPERLINK("#",""), HYPERLINK(CONCATENATE("#metadata!", ADDRESS(INDEX($AH$2:$AH$1001,MATCH(ROWS($AF$2:AF395),$AF$2:$AF$1001,0),0), INDEX($AM$1004:$BM$1004,1,MATCH(COLUMNS($AM$1006:BB1006),$AM$1006:$BM$1006,0)))),"Fix")))</f>
        <v xml:space="preserve"> </v>
      </c>
      <c r="R395" s="4" t="str">
        <f ca="1">IF(OR(INDEX($AG$2:$AG$1001,MATCH(ROWS($AF$2:AF395),$AF$2:$AF$1001,0),1)&gt;=100000,INDEX($AM$1005:$BM$1005,1,MATCH(COLUMNS($AM$1006:BC1006),$AM$1006:$BM$1006,0))&gt;=100000), " ",IF(INDEX($AM$2:$BM$1001,MATCH(ROWS($AF$2:AF395),$AF$2:$AF$1001,0),MATCH(COLUMNS($AM$1006:BC1006),$AM$1006:$BM$1006,0)), HYPERLINK("#",""), HYPERLINK(CONCATENATE("#metadata!", ADDRESS(INDEX($AH$2:$AH$1001,MATCH(ROWS($AF$2:AF395),$AF$2:$AF$1001,0),0), INDEX($AM$1004:$BM$1004,1,MATCH(COLUMNS($AM$1006:BC1006),$AM$1006:$BM$1006,0)))),"Fix")))</f>
        <v xml:space="preserve"> </v>
      </c>
      <c r="S395" s="4" t="str">
        <f ca="1">IF(OR(INDEX($AG$2:$AG$1001,MATCH(ROWS($AF$2:AF395),$AF$2:$AF$1001,0),1)&gt;=100000,INDEX($AM$1005:$BM$1005,1,MATCH(COLUMNS($AM$1006:BD1006),$AM$1006:$BM$1006,0))&gt;=100000), " ",IF(INDEX($AM$2:$BM$1001,MATCH(ROWS($AF$2:AF395),$AF$2:$AF$1001,0),MATCH(COLUMNS($AM$1006:BD1006),$AM$1006:$BM$1006,0)), HYPERLINK("#",""), HYPERLINK(CONCATENATE("#metadata!", ADDRESS(INDEX($AH$2:$AH$1001,MATCH(ROWS($AF$2:AF395),$AF$2:$AF$1001,0),0), INDEX($AM$1004:$BM$1004,1,MATCH(COLUMNS($AM$1006:BD1006),$AM$1006:$BM$1006,0)))),"Fix")))</f>
        <v xml:space="preserve"> </v>
      </c>
      <c r="T395" s="4" t="str">
        <f ca="1">IF(OR(INDEX($AG$2:$AG$1001,MATCH(ROWS($AF$2:AF395),$AF$2:$AF$1001,0),1)&gt;=100000,INDEX($AM$1005:$BM$1005,1,MATCH(COLUMNS($AM$1006:BE1006),$AM$1006:$BM$1006,0))&gt;=100000), " ",IF(INDEX($AM$2:$BM$1001,MATCH(ROWS($AF$2:AF395),$AF$2:$AF$1001,0),MATCH(COLUMNS($AM$1006:BE1006),$AM$1006:$BM$1006,0)), HYPERLINK("#",""), HYPERLINK(CONCATENATE("#metadata!", ADDRESS(INDEX($AH$2:$AH$1001,MATCH(ROWS($AF$2:AF395),$AF$2:$AF$1001,0),0), INDEX($AM$1004:$BM$1004,1,MATCH(COLUMNS($AM$1006:BE1006),$AM$1006:$BM$1006,0)))),"Fix")))</f>
        <v xml:space="preserve"> </v>
      </c>
      <c r="U395" s="4" t="str">
        <f ca="1">IF(OR(INDEX($AG$2:$AG$1001,MATCH(ROWS($AF$2:AF395),$AF$2:$AF$1001,0),1)&gt;=100000,INDEX($AM$1005:$BM$1005,1,MATCH(COLUMNS($AM$1006:BF1006),$AM$1006:$BM$1006,0))&gt;=100000), " ",IF(INDEX($AM$2:$BM$1001,MATCH(ROWS($AF$2:AF395),$AF$2:$AF$1001,0),MATCH(COLUMNS($AM$1006:BF1006),$AM$1006:$BM$1006,0)), HYPERLINK("#",""), HYPERLINK(CONCATENATE("#metadata!", ADDRESS(INDEX($AH$2:$AH$1001,MATCH(ROWS($AF$2:AF395),$AF$2:$AF$1001,0),0), INDEX($AM$1004:$BM$1004,1,MATCH(COLUMNS($AM$1006:BF1006),$AM$1006:$BM$1006,0)))),"Fix")))</f>
        <v xml:space="preserve"> </v>
      </c>
      <c r="V395" s="4" t="str">
        <f ca="1">IF(OR(INDEX($AG$2:$AG$1001,MATCH(ROWS($AF$2:AF395),$AF$2:$AF$1001,0),1)&gt;=100000,INDEX($AM$1005:$BM$1005,1,MATCH(COLUMNS($AM$1006:BG1006),$AM$1006:$BM$1006,0))&gt;=100000), " ",IF(INDEX($AM$2:$BM$1001,MATCH(ROWS($AF$2:AF395),$AF$2:$AF$1001,0),MATCH(COLUMNS($AM$1006:BG1006),$AM$1006:$BM$1006,0)), HYPERLINK("#",""), HYPERLINK(CONCATENATE("#metadata!", ADDRESS(INDEX($AH$2:$AH$1001,MATCH(ROWS($AF$2:AF395),$AF$2:$AF$1001,0),0), INDEX($AM$1004:$BM$1004,1,MATCH(COLUMNS($AM$1006:BG1006),$AM$1006:$BM$1006,0)))),"Fix")))</f>
        <v xml:space="preserve"> </v>
      </c>
      <c r="W395" s="4" t="str">
        <f ca="1">IF(OR(INDEX($AG$2:$AG$1001,MATCH(ROWS($AF$2:AF395),$AF$2:$AF$1001,0),1)&gt;=100000,INDEX($AM$1005:$BM$1005,1,MATCH(COLUMNS($AM$1006:BH1006),$AM$1006:$BM$1006,0))&gt;=100000), " ",IF(INDEX($AM$2:$BM$1001,MATCH(ROWS($AF$2:AF395),$AF$2:$AF$1001,0),MATCH(COLUMNS($AM$1006:BH1006),$AM$1006:$BM$1006,0)), HYPERLINK("#",""), HYPERLINK(CONCATENATE("#metadata!", ADDRESS(INDEX($AH$2:$AH$1001,MATCH(ROWS($AF$2:AF395),$AF$2:$AF$1001,0),0), INDEX($AM$1004:$BM$1004,1,MATCH(COLUMNS($AM$1006:BH1006),$AM$1006:$BM$1006,0)))),"Fix")))</f>
        <v xml:space="preserve"> </v>
      </c>
      <c r="X395" s="4" t="str">
        <f ca="1">IF(OR(INDEX($AG$2:$AG$1001,MATCH(ROWS($AF$2:AF395),$AF$2:$AF$1001,0),1)&gt;=100000,INDEX($AM$1005:$BM$1005,1,MATCH(COLUMNS($AM$1006:BI1006),$AM$1006:$BM$1006,0))&gt;=100000), " ",IF(INDEX($AM$2:$BM$1001,MATCH(ROWS($AF$2:AF395),$AF$2:$AF$1001,0),MATCH(COLUMNS($AM$1006:BI1006),$AM$1006:$BM$1006,0)), HYPERLINK("#",""), HYPERLINK(CONCATENATE("#metadata!", ADDRESS(INDEX($AH$2:$AH$1001,MATCH(ROWS($AF$2:AF395),$AF$2:$AF$1001,0),0), INDEX($AM$1004:$BM$1004,1,MATCH(COLUMNS($AM$1006:BI1006),$AM$1006:$BM$1006,0)))),"Fix")))</f>
        <v xml:space="preserve"> </v>
      </c>
      <c r="Y395" s="4" t="str">
        <f ca="1">IF(OR(INDEX($AG$2:$AG$1001,MATCH(ROWS($AF$2:AF395),$AF$2:$AF$1001,0),1)&gt;=100000,INDEX($AM$1005:$BM$1005,1,MATCH(COLUMNS($AM$1006:BJ1006),$AM$1006:$BM$1006,0))&gt;=100000), " ",IF(INDEX($AM$2:$BM$1001,MATCH(ROWS($AF$2:AF395),$AF$2:$AF$1001,0),MATCH(COLUMNS($AM$1006:BJ1006),$AM$1006:$BM$1006,0)), HYPERLINK("#",""), HYPERLINK(CONCATENATE("#metadata!", ADDRESS(INDEX($AH$2:$AH$1001,MATCH(ROWS($AF$2:AF395),$AF$2:$AF$1001,0),0), INDEX($AM$1004:$BM$1004,1,MATCH(COLUMNS($AM$1006:BJ1006),$AM$1006:$BM$1006,0)))),"Fix")))</f>
        <v xml:space="preserve"> </v>
      </c>
      <c r="Z395" s="4" t="str">
        <f ca="1">IF(OR(INDEX($AG$2:$AG$1001,MATCH(ROWS($AF$2:AF395),$AF$2:$AF$1001,0),1)&gt;=100000,INDEX($AM$1005:$BM$1005,1,MATCH(COLUMNS($AM$1006:BK1006),$AM$1006:$BM$1006,0))&gt;=100000), " ",IF(INDEX($AM$2:$BM$1001,MATCH(ROWS($AF$2:AF395),$AF$2:$AF$1001,0),MATCH(COLUMNS($AM$1006:BK1006),$AM$1006:$BM$1006,0)), HYPERLINK("#",""), HYPERLINK(CONCATENATE("#metadata!", ADDRESS(INDEX($AH$2:$AH$1001,MATCH(ROWS($AF$2:AF395),$AF$2:$AF$1001,0),0), INDEX($AM$1004:$BM$1004,1,MATCH(COLUMNS($AM$1006:BK1006),$AM$1006:$BM$1006,0)))),"Fix")))</f>
        <v xml:space="preserve"> </v>
      </c>
      <c r="AA395" s="4" t="str">
        <f ca="1">IF(OR(INDEX($AG$2:$AG$1001,MATCH(ROWS($AF$2:AF395),$AF$2:$AF$1001,0),1)&gt;=100000,INDEX($AM$1005:$BM$1005,1,MATCH(COLUMNS($AM$1006:BL1006),$AM$1006:$BM$1006,0))&gt;=100000), " ",IF(INDEX($AM$2:$BM$1001,MATCH(ROWS($AF$2:AF395),$AF$2:$AF$1001,0),MATCH(COLUMNS($AM$1006:BL1006),$AM$1006:$BM$1006,0)), HYPERLINK("#",""), HYPERLINK(CONCATENATE("#metadata!", ADDRESS(INDEX($AH$2:$AH$1001,MATCH(ROWS($AF$2:AF395),$AF$2:$AF$1001,0),0), INDEX($AM$1004:$BM$1004,1,MATCH(COLUMNS($AM$1006:BL1006),$AM$1006:$BM$1006,0)))),"Fix")))</f>
        <v xml:space="preserve"> </v>
      </c>
      <c r="AB395" s="4" t="str">
        <f ca="1">IF(OR(INDEX($AG$2:$AG$1001,MATCH(ROWS($AF$2:AF395),$AF$2:$AF$1001,0),1)&gt;=100000,INDEX($AM$1005:$BM$1005,1,MATCH(COLUMNS($AM$1006:BM1006),$AM$1006:$BM$1006,0))&gt;=100000), " ",IF(INDEX($AM$2:$BM$1001,MATCH(ROWS($AF$2:AF395),$AF$2:$AF$1001,0),MATCH(COLUMNS($AM$1006:BM1006),$AM$1006:$BM$1006,0)), HYPERLINK("#",""), HYPERLINK(CONCATENATE("#metadata!", ADDRESS(INDEX($AH$2:$AH$1001,MATCH(ROWS($AF$2:AF395),$AF$2:$AF$1001,0),0), INDEX($AM$1004:$BM$1004,1,MATCH(COLUMNS($AM$1006:BM1006),$AM$1006:$BM$1006,0)))),"Fix")))</f>
        <v xml:space="preserve"> </v>
      </c>
      <c r="AF395">
        <v>394</v>
      </c>
      <c r="AG395">
        <v>100395</v>
      </c>
      <c r="AH395">
        <v>395</v>
      </c>
      <c r="AI395" t="b">
        <f t="shared" si="6"/>
        <v>1</v>
      </c>
      <c r="AJ395" t="b">
        <f>COUNTBLANK(metadata!B395:AB395)=COLUMNS(metadata!B395:AB395)</f>
        <v>1</v>
      </c>
      <c r="AK395" t="str">
        <v/>
      </c>
      <c r="AM395" t="b">
        <f ca="1">AND(IF(metadata!B395="",FALSE,TRUE),COUNTIF(metadata!B:B, metadata!B395) = 1,NOT(ISERROR(SUMPRODUCT(SEARCH(MID(metadata!B395,ROW(INDIRECT("1:"&amp;LEN(metadata!B395))), 1),"0123456789abcdefghijklmnopqrstuvwxyzABCDEFGHIJKLMNOPQRSTUVWXYZ.")))))</f>
        <v>0</v>
      </c>
      <c r="AN395" t="b">
        <f ca="1">OR(AND(IF(metadata!C395="",FALSE,TRUE),OR(EXACT(metadata!C395,"missing: not collected"),EXACT(metadata!C395,"missing: not provided"),EXACT(metadata!C395,"missing: restricted access"))),AND(IF(metadata!C395="",FALSE,TRUE),AND(AND(IFERROR(INT(LEFT(metadata!C395,4))&gt;1900,FALSE),IFERROR(INT(LEFT(metadata!C395,4))&lt;=YEAR(NOW()),FALSE)), OR(MID(metadata!C395,5,1)="", AND(AND(MID(metadata!C395,5,1)="-",IFERROR(INT(MID(metadata!C395,6,1))&gt;=0,FALSE),IFERROR(INT(MID(metadata!C395,6,1))&lt;=1,FALSE),NOT(MID(metadata!C395,7,1)=""),IFERROR(INT(MID(metadata!C395,6,2))&gt;=1,FALSE),IFERROR(INT(MID(metadata!C395,6,2))&lt;=12,FALSE)), OR(MID(metadata!C395,8,1)="", AND(AND(MID(metadata!C395,8,1)="-",IFERROR(INT(MID(metadata!C395,9,1))&gt;=0,FALSE),IFERROR(INT(MID(metadata!C395,9,1))&lt;=3,FALSE),NOT(MID(metadata!C395,10,1)=""),IFERROR(INT(MID(metadata!C395,9,2))&gt;=1,FALSE),IFERROR(INT(MID(metadata!C395,9,2))&lt;=31,FALSE)), OR(MID(metadata!C395,11,1)="", AND(AND(MID(metadata!C395,11,1)=" ",IFERROR(INT(MID(metadata!C395,12,1))&gt;=0,FALSE),IFERROR(INT(MID(metadata!C395,12,1))&lt;=2,FALSE),NOT(MID(metadata!C395,13,1)=""),IFERROR(INT(MID(metadata!C395,12,2))&gt;=0,FALSE),IFERROR(INT(MID(metadata!C395,12,2))&lt;=23,FALSE)), OR(MID(metadata!C395,14,1)="", AND(AND(MID(metadata!C395,14,1)=":",IFERROR(INT(MID(metadata!C395,15,1))&gt;=0,FALSE),IFERROR(INT(MID(metadata!C395,15,1))&lt;=5,FALSE),NOT(MID(metadata!C395,16,1)=""),IFERROR(INT(MID(metadata!C395,15,2))&gt;=0,FALSE),IFERROR(INT(MID(metadata!C395,15,2))&lt;=59,FALSE)), OR(MID(metadata!C395,17,1)="", AND(AND(MID(metadata!C395,17,1)=":",IFERROR(INT(MID(metadata!C395,18,1))&gt;=0,FALSE),IFERROR(INT(MID(metadata!C395,18,1))&lt;=5,FALSE),NOT(MID(metadata!C395,19,1)=""),IFERROR(INT(MID(metadata!C395,18,2))&gt;=0,FALSE),IFERROR(INT(MID(metadata!C395,18,2))&lt;=59,FALSE)), LEN(metadata!C395)&lt;=19)))))))))))))</f>
        <v>0</v>
      </c>
      <c r="AO395" t="b">
        <f>AND(IF(metadata!D395="",FALSE,TRUE),EXACT(metadata!D395,"Not applicable"))</f>
        <v>0</v>
      </c>
      <c r="AP395" t="b">
        <f>IF(metadata!E395="",FALSE,TRUE)</f>
        <v>0</v>
      </c>
      <c r="AQ395" t="b">
        <f>OR(AND(IF(metadata!F395="",FALSE,TRUE),OR(EXACT(metadata!F395,"missing: not collected"),EXACT(metadata!F395,"missing: not provided"))),AND(IF(metadata!F395="",FALSE,TRUE),OR(EXACT(metadata!F395,"TRUE"),EXACT(metadata!F395,"FALSE"))))</f>
        <v>0</v>
      </c>
      <c r="AR395" t="b">
        <f>OR(AND(IF(metadata!G395="",FALSE,TRUE),OR(EXACT(metadata!G395,"missing: not collected"),EXACT(metadata!G395,"missing: not provided"),EXACT(metadata!G395,"missing: restricted access"))),AND(IF(metadata!G395="",FALSE,ISNUMBER(VALUE(metadata!G395))),metadata!G395&gt;=-413))</f>
        <v>0</v>
      </c>
      <c r="AS395" t="b">
        <f>AND(IF(metadata!H395="",FALSE,TRUE),EXACT(metadata!H395,"meters"))</f>
        <v>0</v>
      </c>
      <c r="AT395" t="b">
        <f>AND(IF(metadata!I395="",FALSE,TRUE),OR(EXACT(metadata!I395,"Host-associated"),EXACT(metadata!I395,"Free-living")))</f>
        <v>0</v>
      </c>
      <c r="AU395" t="b">
        <f>AND(IF(metadata!J395="",FALSE,TRUE),OR(EXACT(metadata!J395,"Animal"),EXACT(metadata!J395,"Fungus"),EXACT(metadata!J395,"Plant"),EXACT(metadata!J395,"Saline"),EXACT(metadata!J395,"Non-saline")))</f>
        <v>0</v>
      </c>
      <c r="AV395" t="b">
        <f>AND(IF(metadata!K395="",FALSE,TRUE),OR(EXACT(metadata!K395,"Plant secretion"),EXACT(metadata!K395,"Plant rhizosphere"),EXACT(metadata!K395,"Plant surface"),EXACT(metadata!K395,"Plant corpus"),EXACT(metadata!K395,"Fungus surface"),EXACT(metadata!K395,"Fungus corpus"),EXACT(metadata!K395,"Animal surface"),EXACT(metadata!K395,"Animal proximal gut"),EXACT(metadata!K395,"Animal corpus"),EXACT(metadata!K395,"Animal distal gut"),EXACT(metadata!K395,"Animal secretion"),EXACT(metadata!K395,"Sub-surface (non-saline)"),EXACT(metadata!K395,"Surface (non-saline)"),EXACT(metadata!K395,"Water (non-saline)"),EXACT(metadata!K395,"Soil (non-saline)"),EXACT(metadata!K395,"Aerosol (non-saline)"),EXACT(metadata!K395,"Sediment (non-saline)"),EXACT(metadata!K395,"Surface (saline)"),EXACT(metadata!K395,"Water (saline)"),EXACT(metadata!K395,"Hypersaline (saline)"),EXACT(metadata!K395,"Aerosol (saline)"),EXACT(metadata!K395,"Sediment (saline)")))</f>
        <v>0</v>
      </c>
      <c r="AW395" t="b">
        <f>IF(metadata!L395="",FALSE,TRUE)</f>
        <v>0</v>
      </c>
      <c r="AX395" t="b">
        <f>IF(metadata!M395="",FALSE,TRUE)</f>
        <v>0</v>
      </c>
      <c r="AY395" t="b">
        <f>IF(metadata!N395="",FALSE,TRUE)</f>
        <v>0</v>
      </c>
      <c r="AZ395" t="b">
        <f>OR(AND(IF(metadata!O395="",FALSE,TRUE),OR(EXACT(metadata!O395,"missing: not collected"),EXACT(metadata!O395,"missing: not provided"),EXACT(metadata!O395,"missing: restricted access"))),AND(IF(metadata!O395="",FALSE,TRUE),OR(EXACT(metadata!O395,"air"),EXACT(metadata!O395,"built environment"),EXACT(metadata!O395,"host-associated"),EXACT(metadata!O395,"human-associated"),EXACT(metadata!O395,"human-skin"),EXACT(metadata!O395,"human-oral"),EXACT(metadata!O395,"human-gut"),EXACT(metadata!O395,"human-vaginal"),EXACT(metadata!O395,"microbial mat/biofilm"),EXACT(metadata!O395,"misc environment"),EXACT(metadata!O395,"plant-associated"),EXACT(metadata!O395,"sediment"),EXACT(metadata!O395,"soil"),EXACT(metadata!O395,"wastewater/sludge"),EXACT(metadata!O395,"water"))))</f>
        <v>0</v>
      </c>
      <c r="BA395" t="b">
        <f>IF(metadata!P395="",FALSE,TRUE)</f>
        <v>0</v>
      </c>
      <c r="BB395" t="b">
        <f>IF(metadata!Q395="",FALSE,TRUE)</f>
        <v>0</v>
      </c>
      <c r="BC395" t="b">
        <f>OR(AND(IF(metadata!R395="",FALSE,TRUE),OR(EXACT(metadata!R395,"missing: not collected"),EXACT(metadata!R395,"missing: not provided"),EXACT(metadata!R395,"missing: restricted access"))),AND(IF(metadata!R395="",FALSE,ISNUMBER(VALUE(metadata!R395))),metadata!R395&gt;=-90,metadata!R395&lt;=90))</f>
        <v>0</v>
      </c>
      <c r="BD395" t="b">
        <f>AND(IF(metadata!S395="",FALSE,TRUE),EXACT(metadata!S395,"Decimal degrees"))</f>
        <v>0</v>
      </c>
      <c r="BE395" t="b">
        <f>OR(AND(IF(metadata!T395="",FALSE,TRUE),OR(EXACT(metadata!T395,"missing: not collected"),EXACT(metadata!T395,"missing: not provided"),EXACT(metadata!T395,"missing: restricted access"))),AND(IF(metadata!T395="",FALSE,ISNUMBER(VALUE(metadata!T395))),metadata!T395&gt;=-180,metadata!T395&lt;=180))</f>
        <v>0</v>
      </c>
      <c r="BF395" t="b">
        <f>AND(IF(metadata!U395="",FALSE,TRUE),EXACT(metadata!U395,"Decimal degrees"))</f>
        <v>0</v>
      </c>
      <c r="BG395" t="b">
        <f>IF(metadata!V395="",FALSE,TRUE)</f>
        <v>0</v>
      </c>
      <c r="BH395" t="b">
        <f>OR(AND(IF(metadata!W395="",FALSE,TRUE),OR(EXACT(metadata!W395,"missing: not collected"),EXACT(metadata!W395,"missing: not provided"),EXACT(metadata!W395,"missing: restricted access"))),AND(IF(metadata!W395="",FALSE,TRUE),OR(EXACT(metadata!W395,"TRUE"),EXACT(metadata!W395,"FALSE"))))</f>
        <v>0</v>
      </c>
      <c r="BI395" t="b">
        <f>AND(IF(metadata!X395="",FALSE,TRUE),EXACT(metadata!X395,"other"))</f>
        <v>0</v>
      </c>
      <c r="BJ395" t="b">
        <f>IF(metadata!Y395="",FALSE,TRUE)</f>
        <v>0</v>
      </c>
      <c r="BK395" t="b">
        <f>OR(AND(IF(metadata!Z395="",FALSE,TRUE),OR(EXACT(metadata!Z395,"missing: not collected"),EXACT(metadata!Z395,"missing: not provided"))),AND(IF(metadata!Z395="",FALSE,IF(ISERROR(INT(metadata!Z395)),FALSE,INT(metadata!Z395)=metadata!Z395)),metadata!Z395&gt;0))</f>
        <v>0</v>
      </c>
      <c r="BL395" t="b">
        <f>AND(IF(metadata!AA395="",FALSE,TRUE),EXACT(metadata!AA395,"Not applicable"))</f>
        <v>0</v>
      </c>
      <c r="BM395" t="b">
        <f>IF(metadata!AB395="",FALSE,TRUE)</f>
        <v>0</v>
      </c>
    </row>
    <row r="396" spans="1:65" x14ac:dyDescent="0.2">
      <c r="A396" s="5" t="str">
        <f ca="1">IF(B396=" "," ",HYPERLINK(CONCATENATE("#metadata!",ADDRESS(INDEX($AH$2:$AH$1001,MATCH(ROWS($AF$2:AF396),$AF$2:$AF$1001,0),0),1)),INDEX($AK$2:$AK$1001,MATCH(ROWS($AF$2:AF396),$AF$2:$AF$1001,0),0)))</f>
        <v xml:space="preserve"> </v>
      </c>
      <c r="B396" s="4" t="str">
        <f ca="1">IF(OR(INDEX($AG$2:$AG$1001,MATCH(ROWS($AF$2:AF396),$AF$2:$AF$1001,0),1)&gt;=100000,INDEX($AM$1005:$BM$1005,1,MATCH(COLUMNS($AM$1006:AM1006),$AM$1006:$BM$1006,0))&gt;=100000), " ",IF(INDEX($AM$2:$BM$1001,MATCH(ROWS($AF$2:AF396),$AF$2:$AF$1001,0),MATCH(COLUMNS($AM$1006:AM1006),$AM$1006:$BM$1006,0)), HYPERLINK("#",""), HYPERLINK(CONCATENATE("#metadata!", ADDRESS(INDEX($AH$2:$AH$1001,MATCH(ROWS($AF$2:AF396),$AF$2:$AF$1001,0),0), INDEX($AM$1004:$BM$1004,1,MATCH(COLUMNS($AM$1006:AM1006),$AM$1006:$BM$1006,0)))),"Fix")))</f>
        <v xml:space="preserve"> </v>
      </c>
      <c r="C396" s="4" t="str">
        <f ca="1">IF(OR(INDEX($AG$2:$AG$1001,MATCH(ROWS($AF$2:AF396),$AF$2:$AF$1001,0),1)&gt;=100000,INDEX($AM$1005:$BM$1005,1,MATCH(COLUMNS($AM$1006:AN1006),$AM$1006:$BM$1006,0))&gt;=100000), " ",IF(INDEX($AM$2:$BM$1001,MATCH(ROWS($AF$2:AF396),$AF$2:$AF$1001,0),MATCH(COLUMNS($AM$1006:AN1006),$AM$1006:$BM$1006,0)), HYPERLINK("#",""), HYPERLINK(CONCATENATE("#metadata!", ADDRESS(INDEX($AH$2:$AH$1001,MATCH(ROWS($AF$2:AF396),$AF$2:$AF$1001,0),0), INDEX($AM$1004:$BM$1004,1,MATCH(COLUMNS($AM$1006:AN1006),$AM$1006:$BM$1006,0)))),"Fix")))</f>
        <v xml:space="preserve"> </v>
      </c>
      <c r="D396" s="4" t="str">
        <f ca="1">IF(OR(INDEX($AG$2:$AG$1001,MATCH(ROWS($AF$2:AF396),$AF$2:$AF$1001,0),1)&gt;=100000,INDEX($AM$1005:$BM$1005,1,MATCH(COLUMNS($AM$1006:AO1006),$AM$1006:$BM$1006,0))&gt;=100000), " ",IF(INDEX($AM$2:$BM$1001,MATCH(ROWS($AF$2:AF396),$AF$2:$AF$1001,0),MATCH(COLUMNS($AM$1006:AO1006),$AM$1006:$BM$1006,0)), HYPERLINK("#",""), HYPERLINK(CONCATENATE("#metadata!", ADDRESS(INDEX($AH$2:$AH$1001,MATCH(ROWS($AF$2:AF396),$AF$2:$AF$1001,0),0), INDEX($AM$1004:$BM$1004,1,MATCH(COLUMNS($AM$1006:AO1006),$AM$1006:$BM$1006,0)))),"Fix")))</f>
        <v xml:space="preserve"> </v>
      </c>
      <c r="E396" s="4" t="str">
        <f ca="1">IF(OR(INDEX($AG$2:$AG$1001,MATCH(ROWS($AF$2:AF396),$AF$2:$AF$1001,0),1)&gt;=100000,INDEX($AM$1005:$BM$1005,1,MATCH(COLUMNS($AM$1006:AP1006),$AM$1006:$BM$1006,0))&gt;=100000), " ",IF(INDEX($AM$2:$BM$1001,MATCH(ROWS($AF$2:AF396),$AF$2:$AF$1001,0),MATCH(COLUMNS($AM$1006:AP1006),$AM$1006:$BM$1006,0)), HYPERLINK("#",""), HYPERLINK(CONCATENATE("#metadata!", ADDRESS(INDEX($AH$2:$AH$1001,MATCH(ROWS($AF$2:AF396),$AF$2:$AF$1001,0),0), INDEX($AM$1004:$BM$1004,1,MATCH(COLUMNS($AM$1006:AP1006),$AM$1006:$BM$1006,0)))),"Fix")))</f>
        <v xml:space="preserve"> </v>
      </c>
      <c r="F396" s="4" t="str">
        <f ca="1">IF(OR(INDEX($AG$2:$AG$1001,MATCH(ROWS($AF$2:AF396),$AF$2:$AF$1001,0),1)&gt;=100000,INDEX($AM$1005:$BM$1005,1,MATCH(COLUMNS($AM$1006:AQ1006),$AM$1006:$BM$1006,0))&gt;=100000), " ",IF(INDEX($AM$2:$BM$1001,MATCH(ROWS($AF$2:AF396),$AF$2:$AF$1001,0),MATCH(COLUMNS($AM$1006:AQ1006),$AM$1006:$BM$1006,0)), HYPERLINK("#",""), HYPERLINK(CONCATENATE("#metadata!", ADDRESS(INDEX($AH$2:$AH$1001,MATCH(ROWS($AF$2:AF396),$AF$2:$AF$1001,0),0), INDEX($AM$1004:$BM$1004,1,MATCH(COLUMNS($AM$1006:AQ1006),$AM$1006:$BM$1006,0)))),"Fix")))</f>
        <v xml:space="preserve"> </v>
      </c>
      <c r="G396" s="4" t="str">
        <f ca="1">IF(OR(INDEX($AG$2:$AG$1001,MATCH(ROWS($AF$2:AF396),$AF$2:$AF$1001,0),1)&gt;=100000,INDEX($AM$1005:$BM$1005,1,MATCH(COLUMNS($AM$1006:AR1006),$AM$1006:$BM$1006,0))&gt;=100000), " ",IF(INDEX($AM$2:$BM$1001,MATCH(ROWS($AF$2:AF396),$AF$2:$AF$1001,0),MATCH(COLUMNS($AM$1006:AR1006),$AM$1006:$BM$1006,0)), HYPERLINK("#",""), HYPERLINK(CONCATENATE("#metadata!", ADDRESS(INDEX($AH$2:$AH$1001,MATCH(ROWS($AF$2:AF396),$AF$2:$AF$1001,0),0), INDEX($AM$1004:$BM$1004,1,MATCH(COLUMNS($AM$1006:AR1006),$AM$1006:$BM$1006,0)))),"Fix")))</f>
        <v xml:space="preserve"> </v>
      </c>
      <c r="H396" s="4" t="str">
        <f ca="1">IF(OR(INDEX($AG$2:$AG$1001,MATCH(ROWS($AF$2:AF396),$AF$2:$AF$1001,0),1)&gt;=100000,INDEX($AM$1005:$BM$1005,1,MATCH(COLUMNS($AM$1006:AS1006),$AM$1006:$BM$1006,0))&gt;=100000), " ",IF(INDEX($AM$2:$BM$1001,MATCH(ROWS($AF$2:AF396),$AF$2:$AF$1001,0),MATCH(COLUMNS($AM$1006:AS1006),$AM$1006:$BM$1006,0)), HYPERLINK("#",""), HYPERLINK(CONCATENATE("#metadata!", ADDRESS(INDEX($AH$2:$AH$1001,MATCH(ROWS($AF$2:AF396),$AF$2:$AF$1001,0),0), INDEX($AM$1004:$BM$1004,1,MATCH(COLUMNS($AM$1006:AS1006),$AM$1006:$BM$1006,0)))),"Fix")))</f>
        <v xml:space="preserve"> </v>
      </c>
      <c r="I396" s="4" t="str">
        <f ca="1">IF(OR(INDEX($AG$2:$AG$1001,MATCH(ROWS($AF$2:AF396),$AF$2:$AF$1001,0),1)&gt;=100000,INDEX($AM$1005:$BM$1005,1,MATCH(COLUMNS($AM$1006:AT1006),$AM$1006:$BM$1006,0))&gt;=100000), " ",IF(INDEX($AM$2:$BM$1001,MATCH(ROWS($AF$2:AF396),$AF$2:$AF$1001,0),MATCH(COLUMNS($AM$1006:AT1006),$AM$1006:$BM$1006,0)), HYPERLINK("#",""), HYPERLINK(CONCATENATE("#metadata!", ADDRESS(INDEX($AH$2:$AH$1001,MATCH(ROWS($AF$2:AF396),$AF$2:$AF$1001,0),0), INDEX($AM$1004:$BM$1004,1,MATCH(COLUMNS($AM$1006:AT1006),$AM$1006:$BM$1006,0)))),"Fix")))</f>
        <v xml:space="preserve"> </v>
      </c>
      <c r="J396" s="4" t="str">
        <f ca="1">IF(OR(INDEX($AG$2:$AG$1001,MATCH(ROWS($AF$2:AF396),$AF$2:$AF$1001,0),1)&gt;=100000,INDEX($AM$1005:$BM$1005,1,MATCH(COLUMNS($AM$1006:AU1006),$AM$1006:$BM$1006,0))&gt;=100000), " ",IF(INDEX($AM$2:$BM$1001,MATCH(ROWS($AF$2:AF396),$AF$2:$AF$1001,0),MATCH(COLUMNS($AM$1006:AU1006),$AM$1006:$BM$1006,0)), HYPERLINK("#",""), HYPERLINK(CONCATENATE("#metadata!", ADDRESS(INDEX($AH$2:$AH$1001,MATCH(ROWS($AF$2:AF396),$AF$2:$AF$1001,0),0), INDEX($AM$1004:$BM$1004,1,MATCH(COLUMNS($AM$1006:AU1006),$AM$1006:$BM$1006,0)))),"Fix")))</f>
        <v xml:space="preserve"> </v>
      </c>
      <c r="K396" s="4" t="str">
        <f ca="1">IF(OR(INDEX($AG$2:$AG$1001,MATCH(ROWS($AF$2:AF396),$AF$2:$AF$1001,0),1)&gt;=100000,INDEX($AM$1005:$BM$1005,1,MATCH(COLUMNS($AM$1006:AV1006),$AM$1006:$BM$1006,0))&gt;=100000), " ",IF(INDEX($AM$2:$BM$1001,MATCH(ROWS($AF$2:AF396),$AF$2:$AF$1001,0),MATCH(COLUMNS($AM$1006:AV1006),$AM$1006:$BM$1006,0)), HYPERLINK("#",""), HYPERLINK(CONCATENATE("#metadata!", ADDRESS(INDEX($AH$2:$AH$1001,MATCH(ROWS($AF$2:AF396),$AF$2:$AF$1001,0),0), INDEX($AM$1004:$BM$1004,1,MATCH(COLUMNS($AM$1006:AV1006),$AM$1006:$BM$1006,0)))),"Fix")))</f>
        <v xml:space="preserve"> </v>
      </c>
      <c r="L396" s="4" t="str">
        <f ca="1">IF(OR(INDEX($AG$2:$AG$1001,MATCH(ROWS($AF$2:AF396),$AF$2:$AF$1001,0),1)&gt;=100000,INDEX($AM$1005:$BM$1005,1,MATCH(COLUMNS($AM$1006:AW1006),$AM$1006:$BM$1006,0))&gt;=100000), " ",IF(INDEX($AM$2:$BM$1001,MATCH(ROWS($AF$2:AF396),$AF$2:$AF$1001,0),MATCH(COLUMNS($AM$1006:AW1006),$AM$1006:$BM$1006,0)), HYPERLINK("#",""), HYPERLINK(CONCATENATE("#metadata!", ADDRESS(INDEX($AH$2:$AH$1001,MATCH(ROWS($AF$2:AF396),$AF$2:$AF$1001,0),0), INDEX($AM$1004:$BM$1004,1,MATCH(COLUMNS($AM$1006:AW1006),$AM$1006:$BM$1006,0)))),"Fix")))</f>
        <v xml:space="preserve"> </v>
      </c>
      <c r="M396" s="4" t="str">
        <f ca="1">IF(OR(INDEX($AG$2:$AG$1001,MATCH(ROWS($AF$2:AF396),$AF$2:$AF$1001,0),1)&gt;=100000,INDEX($AM$1005:$BM$1005,1,MATCH(COLUMNS($AM$1006:AX1006),$AM$1006:$BM$1006,0))&gt;=100000), " ",IF(INDEX($AM$2:$BM$1001,MATCH(ROWS($AF$2:AF396),$AF$2:$AF$1001,0),MATCH(COLUMNS($AM$1006:AX1006),$AM$1006:$BM$1006,0)), HYPERLINK("#",""), HYPERLINK(CONCATENATE("#metadata!", ADDRESS(INDEX($AH$2:$AH$1001,MATCH(ROWS($AF$2:AF396),$AF$2:$AF$1001,0),0), INDEX($AM$1004:$BM$1004,1,MATCH(COLUMNS($AM$1006:AX1006),$AM$1006:$BM$1006,0)))),"Fix")))</f>
        <v xml:space="preserve"> </v>
      </c>
      <c r="N396" s="4" t="str">
        <f ca="1">IF(OR(INDEX($AG$2:$AG$1001,MATCH(ROWS($AF$2:AF396),$AF$2:$AF$1001,0),1)&gt;=100000,INDEX($AM$1005:$BM$1005,1,MATCH(COLUMNS($AM$1006:AY1006),$AM$1006:$BM$1006,0))&gt;=100000), " ",IF(INDEX($AM$2:$BM$1001,MATCH(ROWS($AF$2:AF396),$AF$2:$AF$1001,0),MATCH(COLUMNS($AM$1006:AY1006),$AM$1006:$BM$1006,0)), HYPERLINK("#",""), HYPERLINK(CONCATENATE("#metadata!", ADDRESS(INDEX($AH$2:$AH$1001,MATCH(ROWS($AF$2:AF396),$AF$2:$AF$1001,0),0), INDEX($AM$1004:$BM$1004,1,MATCH(COLUMNS($AM$1006:AY1006),$AM$1006:$BM$1006,0)))),"Fix")))</f>
        <v xml:space="preserve"> </v>
      </c>
      <c r="O396" s="4" t="str">
        <f ca="1">IF(OR(INDEX($AG$2:$AG$1001,MATCH(ROWS($AF$2:AF396),$AF$2:$AF$1001,0),1)&gt;=100000,INDEX($AM$1005:$BM$1005,1,MATCH(COLUMNS($AM$1006:AZ1006),$AM$1006:$BM$1006,0))&gt;=100000), " ",IF(INDEX($AM$2:$BM$1001,MATCH(ROWS($AF$2:AF396),$AF$2:$AF$1001,0),MATCH(COLUMNS($AM$1006:AZ1006),$AM$1006:$BM$1006,0)), HYPERLINK("#",""), HYPERLINK(CONCATENATE("#metadata!", ADDRESS(INDEX($AH$2:$AH$1001,MATCH(ROWS($AF$2:AF396),$AF$2:$AF$1001,0),0), INDEX($AM$1004:$BM$1004,1,MATCH(COLUMNS($AM$1006:AZ1006),$AM$1006:$BM$1006,0)))),"Fix")))</f>
        <v xml:space="preserve"> </v>
      </c>
      <c r="P396" s="4" t="str">
        <f ca="1">IF(OR(INDEX($AG$2:$AG$1001,MATCH(ROWS($AF$2:AF396),$AF$2:$AF$1001,0),1)&gt;=100000,INDEX($AM$1005:$BM$1005,1,MATCH(COLUMNS($AM$1006:BA1006),$AM$1006:$BM$1006,0))&gt;=100000), " ",IF(INDEX($AM$2:$BM$1001,MATCH(ROWS($AF$2:AF396),$AF$2:$AF$1001,0),MATCH(COLUMNS($AM$1006:BA1006),$AM$1006:$BM$1006,0)), HYPERLINK("#",""), HYPERLINK(CONCATENATE("#metadata!", ADDRESS(INDEX($AH$2:$AH$1001,MATCH(ROWS($AF$2:AF396),$AF$2:$AF$1001,0),0), INDEX($AM$1004:$BM$1004,1,MATCH(COLUMNS($AM$1006:BA1006),$AM$1006:$BM$1006,0)))),"Fix")))</f>
        <v xml:space="preserve"> </v>
      </c>
      <c r="Q396" s="4" t="str">
        <f ca="1">IF(OR(INDEX($AG$2:$AG$1001,MATCH(ROWS($AF$2:AF396),$AF$2:$AF$1001,0),1)&gt;=100000,INDEX($AM$1005:$BM$1005,1,MATCH(COLUMNS($AM$1006:BB1006),$AM$1006:$BM$1006,0))&gt;=100000), " ",IF(INDEX($AM$2:$BM$1001,MATCH(ROWS($AF$2:AF396),$AF$2:$AF$1001,0),MATCH(COLUMNS($AM$1006:BB1006),$AM$1006:$BM$1006,0)), HYPERLINK("#",""), HYPERLINK(CONCATENATE("#metadata!", ADDRESS(INDEX($AH$2:$AH$1001,MATCH(ROWS($AF$2:AF396),$AF$2:$AF$1001,0),0), INDEX($AM$1004:$BM$1004,1,MATCH(COLUMNS($AM$1006:BB1006),$AM$1006:$BM$1006,0)))),"Fix")))</f>
        <v xml:space="preserve"> </v>
      </c>
      <c r="R396" s="4" t="str">
        <f ca="1">IF(OR(INDEX($AG$2:$AG$1001,MATCH(ROWS($AF$2:AF396),$AF$2:$AF$1001,0),1)&gt;=100000,INDEX($AM$1005:$BM$1005,1,MATCH(COLUMNS($AM$1006:BC1006),$AM$1006:$BM$1006,0))&gt;=100000), " ",IF(INDEX($AM$2:$BM$1001,MATCH(ROWS($AF$2:AF396),$AF$2:$AF$1001,0),MATCH(COLUMNS($AM$1006:BC1006),$AM$1006:$BM$1006,0)), HYPERLINK("#",""), HYPERLINK(CONCATENATE("#metadata!", ADDRESS(INDEX($AH$2:$AH$1001,MATCH(ROWS($AF$2:AF396),$AF$2:$AF$1001,0),0), INDEX($AM$1004:$BM$1004,1,MATCH(COLUMNS($AM$1006:BC1006),$AM$1006:$BM$1006,0)))),"Fix")))</f>
        <v xml:space="preserve"> </v>
      </c>
      <c r="S396" s="4" t="str">
        <f ca="1">IF(OR(INDEX($AG$2:$AG$1001,MATCH(ROWS($AF$2:AF396),$AF$2:$AF$1001,0),1)&gt;=100000,INDEX($AM$1005:$BM$1005,1,MATCH(COLUMNS($AM$1006:BD1006),$AM$1006:$BM$1006,0))&gt;=100000), " ",IF(INDEX($AM$2:$BM$1001,MATCH(ROWS($AF$2:AF396),$AF$2:$AF$1001,0),MATCH(COLUMNS($AM$1006:BD1006),$AM$1006:$BM$1006,0)), HYPERLINK("#",""), HYPERLINK(CONCATENATE("#metadata!", ADDRESS(INDEX($AH$2:$AH$1001,MATCH(ROWS($AF$2:AF396),$AF$2:$AF$1001,0),0), INDEX($AM$1004:$BM$1004,1,MATCH(COLUMNS($AM$1006:BD1006),$AM$1006:$BM$1006,0)))),"Fix")))</f>
        <v xml:space="preserve"> </v>
      </c>
      <c r="T396" s="4" t="str">
        <f ca="1">IF(OR(INDEX($AG$2:$AG$1001,MATCH(ROWS($AF$2:AF396),$AF$2:$AF$1001,0),1)&gt;=100000,INDEX($AM$1005:$BM$1005,1,MATCH(COLUMNS($AM$1006:BE1006),$AM$1006:$BM$1006,0))&gt;=100000), " ",IF(INDEX($AM$2:$BM$1001,MATCH(ROWS($AF$2:AF396),$AF$2:$AF$1001,0),MATCH(COLUMNS($AM$1006:BE1006),$AM$1006:$BM$1006,0)), HYPERLINK("#",""), HYPERLINK(CONCATENATE("#metadata!", ADDRESS(INDEX($AH$2:$AH$1001,MATCH(ROWS($AF$2:AF396),$AF$2:$AF$1001,0),0), INDEX($AM$1004:$BM$1004,1,MATCH(COLUMNS($AM$1006:BE1006),$AM$1006:$BM$1006,0)))),"Fix")))</f>
        <v xml:space="preserve"> </v>
      </c>
      <c r="U396" s="4" t="str">
        <f ca="1">IF(OR(INDEX($AG$2:$AG$1001,MATCH(ROWS($AF$2:AF396),$AF$2:$AF$1001,0),1)&gt;=100000,INDEX($AM$1005:$BM$1005,1,MATCH(COLUMNS($AM$1006:BF1006),$AM$1006:$BM$1006,0))&gt;=100000), " ",IF(INDEX($AM$2:$BM$1001,MATCH(ROWS($AF$2:AF396),$AF$2:$AF$1001,0),MATCH(COLUMNS($AM$1006:BF1006),$AM$1006:$BM$1006,0)), HYPERLINK("#",""), HYPERLINK(CONCATENATE("#metadata!", ADDRESS(INDEX($AH$2:$AH$1001,MATCH(ROWS($AF$2:AF396),$AF$2:$AF$1001,0),0), INDEX($AM$1004:$BM$1004,1,MATCH(COLUMNS($AM$1006:BF1006),$AM$1006:$BM$1006,0)))),"Fix")))</f>
        <v xml:space="preserve"> </v>
      </c>
      <c r="V396" s="4" t="str">
        <f ca="1">IF(OR(INDEX($AG$2:$AG$1001,MATCH(ROWS($AF$2:AF396),$AF$2:$AF$1001,0),1)&gt;=100000,INDEX($AM$1005:$BM$1005,1,MATCH(COLUMNS($AM$1006:BG1006),$AM$1006:$BM$1006,0))&gt;=100000), " ",IF(INDEX($AM$2:$BM$1001,MATCH(ROWS($AF$2:AF396),$AF$2:$AF$1001,0),MATCH(COLUMNS($AM$1006:BG1006),$AM$1006:$BM$1006,0)), HYPERLINK("#",""), HYPERLINK(CONCATENATE("#metadata!", ADDRESS(INDEX($AH$2:$AH$1001,MATCH(ROWS($AF$2:AF396),$AF$2:$AF$1001,0),0), INDEX($AM$1004:$BM$1004,1,MATCH(COLUMNS($AM$1006:BG1006),$AM$1006:$BM$1006,0)))),"Fix")))</f>
        <v xml:space="preserve"> </v>
      </c>
      <c r="W396" s="4" t="str">
        <f ca="1">IF(OR(INDEX($AG$2:$AG$1001,MATCH(ROWS($AF$2:AF396),$AF$2:$AF$1001,0),1)&gt;=100000,INDEX($AM$1005:$BM$1005,1,MATCH(COLUMNS($AM$1006:BH1006),$AM$1006:$BM$1006,0))&gt;=100000), " ",IF(INDEX($AM$2:$BM$1001,MATCH(ROWS($AF$2:AF396),$AF$2:$AF$1001,0),MATCH(COLUMNS($AM$1006:BH1006),$AM$1006:$BM$1006,0)), HYPERLINK("#",""), HYPERLINK(CONCATENATE("#metadata!", ADDRESS(INDEX($AH$2:$AH$1001,MATCH(ROWS($AF$2:AF396),$AF$2:$AF$1001,0),0), INDEX($AM$1004:$BM$1004,1,MATCH(COLUMNS($AM$1006:BH1006),$AM$1006:$BM$1006,0)))),"Fix")))</f>
        <v xml:space="preserve"> </v>
      </c>
      <c r="X396" s="4" t="str">
        <f ca="1">IF(OR(INDEX($AG$2:$AG$1001,MATCH(ROWS($AF$2:AF396),$AF$2:$AF$1001,0),1)&gt;=100000,INDEX($AM$1005:$BM$1005,1,MATCH(COLUMNS($AM$1006:BI1006),$AM$1006:$BM$1006,0))&gt;=100000), " ",IF(INDEX($AM$2:$BM$1001,MATCH(ROWS($AF$2:AF396),$AF$2:$AF$1001,0),MATCH(COLUMNS($AM$1006:BI1006),$AM$1006:$BM$1006,0)), HYPERLINK("#",""), HYPERLINK(CONCATENATE("#metadata!", ADDRESS(INDEX($AH$2:$AH$1001,MATCH(ROWS($AF$2:AF396),$AF$2:$AF$1001,0),0), INDEX($AM$1004:$BM$1004,1,MATCH(COLUMNS($AM$1006:BI1006),$AM$1006:$BM$1006,0)))),"Fix")))</f>
        <v xml:space="preserve"> </v>
      </c>
      <c r="Y396" s="4" t="str">
        <f ca="1">IF(OR(INDEX($AG$2:$AG$1001,MATCH(ROWS($AF$2:AF396),$AF$2:$AF$1001,0),1)&gt;=100000,INDEX($AM$1005:$BM$1005,1,MATCH(COLUMNS($AM$1006:BJ1006),$AM$1006:$BM$1006,0))&gt;=100000), " ",IF(INDEX($AM$2:$BM$1001,MATCH(ROWS($AF$2:AF396),$AF$2:$AF$1001,0),MATCH(COLUMNS($AM$1006:BJ1006),$AM$1006:$BM$1006,0)), HYPERLINK("#",""), HYPERLINK(CONCATENATE("#metadata!", ADDRESS(INDEX($AH$2:$AH$1001,MATCH(ROWS($AF$2:AF396),$AF$2:$AF$1001,0),0), INDEX($AM$1004:$BM$1004,1,MATCH(COLUMNS($AM$1006:BJ1006),$AM$1006:$BM$1006,0)))),"Fix")))</f>
        <v xml:space="preserve"> </v>
      </c>
      <c r="Z396" s="4" t="str">
        <f ca="1">IF(OR(INDEX($AG$2:$AG$1001,MATCH(ROWS($AF$2:AF396),$AF$2:$AF$1001,0),1)&gt;=100000,INDEX($AM$1005:$BM$1005,1,MATCH(COLUMNS($AM$1006:BK1006),$AM$1006:$BM$1006,0))&gt;=100000), " ",IF(INDEX($AM$2:$BM$1001,MATCH(ROWS($AF$2:AF396),$AF$2:$AF$1001,0),MATCH(COLUMNS($AM$1006:BK1006),$AM$1006:$BM$1006,0)), HYPERLINK("#",""), HYPERLINK(CONCATENATE("#metadata!", ADDRESS(INDEX($AH$2:$AH$1001,MATCH(ROWS($AF$2:AF396),$AF$2:$AF$1001,0),0), INDEX($AM$1004:$BM$1004,1,MATCH(COLUMNS($AM$1006:BK1006),$AM$1006:$BM$1006,0)))),"Fix")))</f>
        <v xml:space="preserve"> </v>
      </c>
      <c r="AA396" s="4" t="str">
        <f ca="1">IF(OR(INDEX($AG$2:$AG$1001,MATCH(ROWS($AF$2:AF396),$AF$2:$AF$1001,0),1)&gt;=100000,INDEX($AM$1005:$BM$1005,1,MATCH(COLUMNS($AM$1006:BL1006),$AM$1006:$BM$1006,0))&gt;=100000), " ",IF(INDEX($AM$2:$BM$1001,MATCH(ROWS($AF$2:AF396),$AF$2:$AF$1001,0),MATCH(COLUMNS($AM$1006:BL1006),$AM$1006:$BM$1006,0)), HYPERLINK("#",""), HYPERLINK(CONCATENATE("#metadata!", ADDRESS(INDEX($AH$2:$AH$1001,MATCH(ROWS($AF$2:AF396),$AF$2:$AF$1001,0),0), INDEX($AM$1004:$BM$1004,1,MATCH(COLUMNS($AM$1006:BL1006),$AM$1006:$BM$1006,0)))),"Fix")))</f>
        <v xml:space="preserve"> </v>
      </c>
      <c r="AB396" s="4" t="str">
        <f ca="1">IF(OR(INDEX($AG$2:$AG$1001,MATCH(ROWS($AF$2:AF396),$AF$2:$AF$1001,0),1)&gt;=100000,INDEX($AM$1005:$BM$1005,1,MATCH(COLUMNS($AM$1006:BM1006),$AM$1006:$BM$1006,0))&gt;=100000), " ",IF(INDEX($AM$2:$BM$1001,MATCH(ROWS($AF$2:AF396),$AF$2:$AF$1001,0),MATCH(COLUMNS($AM$1006:BM1006),$AM$1006:$BM$1006,0)), HYPERLINK("#",""), HYPERLINK(CONCATENATE("#metadata!", ADDRESS(INDEX($AH$2:$AH$1001,MATCH(ROWS($AF$2:AF396),$AF$2:$AF$1001,0),0), INDEX($AM$1004:$BM$1004,1,MATCH(COLUMNS($AM$1006:BM1006),$AM$1006:$BM$1006,0)))),"Fix")))</f>
        <v xml:space="preserve"> </v>
      </c>
      <c r="AF396">
        <v>395</v>
      </c>
      <c r="AG396">
        <v>100396</v>
      </c>
      <c r="AH396">
        <v>396</v>
      </c>
      <c r="AI396" t="b">
        <f t="shared" si="6"/>
        <v>1</v>
      </c>
      <c r="AJ396" t="b">
        <f>COUNTBLANK(metadata!B396:AB396)=COLUMNS(metadata!B396:AB396)</f>
        <v>1</v>
      </c>
      <c r="AK396" t="str">
        <v/>
      </c>
      <c r="AM396" t="b">
        <f ca="1">AND(IF(metadata!B396="",FALSE,TRUE),COUNTIF(metadata!B:B, metadata!B396) = 1,NOT(ISERROR(SUMPRODUCT(SEARCH(MID(metadata!B396,ROW(INDIRECT("1:"&amp;LEN(metadata!B396))), 1),"0123456789abcdefghijklmnopqrstuvwxyzABCDEFGHIJKLMNOPQRSTUVWXYZ.")))))</f>
        <v>0</v>
      </c>
      <c r="AN396" t="b">
        <f ca="1">OR(AND(IF(metadata!C396="",FALSE,TRUE),OR(EXACT(metadata!C396,"missing: not collected"),EXACT(metadata!C396,"missing: not provided"),EXACT(metadata!C396,"missing: restricted access"))),AND(IF(metadata!C396="",FALSE,TRUE),AND(AND(IFERROR(INT(LEFT(metadata!C396,4))&gt;1900,FALSE),IFERROR(INT(LEFT(metadata!C396,4))&lt;=YEAR(NOW()),FALSE)), OR(MID(metadata!C396,5,1)="", AND(AND(MID(metadata!C396,5,1)="-",IFERROR(INT(MID(metadata!C396,6,1))&gt;=0,FALSE),IFERROR(INT(MID(metadata!C396,6,1))&lt;=1,FALSE),NOT(MID(metadata!C396,7,1)=""),IFERROR(INT(MID(metadata!C396,6,2))&gt;=1,FALSE),IFERROR(INT(MID(metadata!C396,6,2))&lt;=12,FALSE)), OR(MID(metadata!C396,8,1)="", AND(AND(MID(metadata!C396,8,1)="-",IFERROR(INT(MID(metadata!C396,9,1))&gt;=0,FALSE),IFERROR(INT(MID(metadata!C396,9,1))&lt;=3,FALSE),NOT(MID(metadata!C396,10,1)=""),IFERROR(INT(MID(metadata!C396,9,2))&gt;=1,FALSE),IFERROR(INT(MID(metadata!C396,9,2))&lt;=31,FALSE)), OR(MID(metadata!C396,11,1)="", AND(AND(MID(metadata!C396,11,1)=" ",IFERROR(INT(MID(metadata!C396,12,1))&gt;=0,FALSE),IFERROR(INT(MID(metadata!C396,12,1))&lt;=2,FALSE),NOT(MID(metadata!C396,13,1)=""),IFERROR(INT(MID(metadata!C396,12,2))&gt;=0,FALSE),IFERROR(INT(MID(metadata!C396,12,2))&lt;=23,FALSE)), OR(MID(metadata!C396,14,1)="", AND(AND(MID(metadata!C396,14,1)=":",IFERROR(INT(MID(metadata!C396,15,1))&gt;=0,FALSE),IFERROR(INT(MID(metadata!C396,15,1))&lt;=5,FALSE),NOT(MID(metadata!C396,16,1)=""),IFERROR(INT(MID(metadata!C396,15,2))&gt;=0,FALSE),IFERROR(INT(MID(metadata!C396,15,2))&lt;=59,FALSE)), OR(MID(metadata!C396,17,1)="", AND(AND(MID(metadata!C396,17,1)=":",IFERROR(INT(MID(metadata!C396,18,1))&gt;=0,FALSE),IFERROR(INT(MID(metadata!C396,18,1))&lt;=5,FALSE),NOT(MID(metadata!C396,19,1)=""),IFERROR(INT(MID(metadata!C396,18,2))&gt;=0,FALSE),IFERROR(INT(MID(metadata!C396,18,2))&lt;=59,FALSE)), LEN(metadata!C396)&lt;=19)))))))))))))</f>
        <v>0</v>
      </c>
      <c r="AO396" t="b">
        <f>AND(IF(metadata!D396="",FALSE,TRUE),EXACT(metadata!D396,"Not applicable"))</f>
        <v>0</v>
      </c>
      <c r="AP396" t="b">
        <f>IF(metadata!E396="",FALSE,TRUE)</f>
        <v>0</v>
      </c>
      <c r="AQ396" t="b">
        <f>OR(AND(IF(metadata!F396="",FALSE,TRUE),OR(EXACT(metadata!F396,"missing: not collected"),EXACT(metadata!F396,"missing: not provided"))),AND(IF(metadata!F396="",FALSE,TRUE),OR(EXACT(metadata!F396,"TRUE"),EXACT(metadata!F396,"FALSE"))))</f>
        <v>0</v>
      </c>
      <c r="AR396" t="b">
        <f>OR(AND(IF(metadata!G396="",FALSE,TRUE),OR(EXACT(metadata!G396,"missing: not collected"),EXACT(metadata!G396,"missing: not provided"),EXACT(metadata!G396,"missing: restricted access"))),AND(IF(metadata!G396="",FALSE,ISNUMBER(VALUE(metadata!G396))),metadata!G396&gt;=-413))</f>
        <v>0</v>
      </c>
      <c r="AS396" t="b">
        <f>AND(IF(metadata!H396="",FALSE,TRUE),EXACT(metadata!H396,"meters"))</f>
        <v>0</v>
      </c>
      <c r="AT396" t="b">
        <f>AND(IF(metadata!I396="",FALSE,TRUE),OR(EXACT(metadata!I396,"Host-associated"),EXACT(metadata!I396,"Free-living")))</f>
        <v>0</v>
      </c>
      <c r="AU396" t="b">
        <f>AND(IF(metadata!J396="",FALSE,TRUE),OR(EXACT(metadata!J396,"Animal"),EXACT(metadata!J396,"Fungus"),EXACT(metadata!J396,"Plant"),EXACT(metadata!J396,"Saline"),EXACT(metadata!J396,"Non-saline")))</f>
        <v>0</v>
      </c>
      <c r="AV396" t="b">
        <f>AND(IF(metadata!K396="",FALSE,TRUE),OR(EXACT(metadata!K396,"Plant secretion"),EXACT(metadata!K396,"Plant rhizosphere"),EXACT(metadata!K396,"Plant surface"),EXACT(metadata!K396,"Plant corpus"),EXACT(metadata!K396,"Fungus surface"),EXACT(metadata!K396,"Fungus corpus"),EXACT(metadata!K396,"Animal surface"),EXACT(metadata!K396,"Animal proximal gut"),EXACT(metadata!K396,"Animal corpus"),EXACT(metadata!K396,"Animal distal gut"),EXACT(metadata!K396,"Animal secretion"),EXACT(metadata!K396,"Sub-surface (non-saline)"),EXACT(metadata!K396,"Surface (non-saline)"),EXACT(metadata!K396,"Water (non-saline)"),EXACT(metadata!K396,"Soil (non-saline)"),EXACT(metadata!K396,"Aerosol (non-saline)"),EXACT(metadata!K396,"Sediment (non-saline)"),EXACT(metadata!K396,"Surface (saline)"),EXACT(metadata!K396,"Water (saline)"),EXACT(metadata!K396,"Hypersaline (saline)"),EXACT(metadata!K396,"Aerosol (saline)"),EXACT(metadata!K396,"Sediment (saline)")))</f>
        <v>0</v>
      </c>
      <c r="AW396" t="b">
        <f>IF(metadata!L396="",FALSE,TRUE)</f>
        <v>0</v>
      </c>
      <c r="AX396" t="b">
        <f>IF(metadata!M396="",FALSE,TRUE)</f>
        <v>0</v>
      </c>
      <c r="AY396" t="b">
        <f>IF(metadata!N396="",FALSE,TRUE)</f>
        <v>0</v>
      </c>
      <c r="AZ396" t="b">
        <f>OR(AND(IF(metadata!O396="",FALSE,TRUE),OR(EXACT(metadata!O396,"missing: not collected"),EXACT(metadata!O396,"missing: not provided"),EXACT(metadata!O396,"missing: restricted access"))),AND(IF(metadata!O396="",FALSE,TRUE),OR(EXACT(metadata!O396,"air"),EXACT(metadata!O396,"built environment"),EXACT(metadata!O396,"host-associated"),EXACT(metadata!O396,"human-associated"),EXACT(metadata!O396,"human-skin"),EXACT(metadata!O396,"human-oral"),EXACT(metadata!O396,"human-gut"),EXACT(metadata!O396,"human-vaginal"),EXACT(metadata!O396,"microbial mat/biofilm"),EXACT(metadata!O396,"misc environment"),EXACT(metadata!O396,"plant-associated"),EXACT(metadata!O396,"sediment"),EXACT(metadata!O396,"soil"),EXACT(metadata!O396,"wastewater/sludge"),EXACT(metadata!O396,"water"))))</f>
        <v>0</v>
      </c>
      <c r="BA396" t="b">
        <f>IF(metadata!P396="",FALSE,TRUE)</f>
        <v>0</v>
      </c>
      <c r="BB396" t="b">
        <f>IF(metadata!Q396="",FALSE,TRUE)</f>
        <v>0</v>
      </c>
      <c r="BC396" t="b">
        <f>OR(AND(IF(metadata!R396="",FALSE,TRUE),OR(EXACT(metadata!R396,"missing: not collected"),EXACT(metadata!R396,"missing: not provided"),EXACT(metadata!R396,"missing: restricted access"))),AND(IF(metadata!R396="",FALSE,ISNUMBER(VALUE(metadata!R396))),metadata!R396&gt;=-90,metadata!R396&lt;=90))</f>
        <v>0</v>
      </c>
      <c r="BD396" t="b">
        <f>AND(IF(metadata!S396="",FALSE,TRUE),EXACT(metadata!S396,"Decimal degrees"))</f>
        <v>0</v>
      </c>
      <c r="BE396" t="b">
        <f>OR(AND(IF(metadata!T396="",FALSE,TRUE),OR(EXACT(metadata!T396,"missing: not collected"),EXACT(metadata!T396,"missing: not provided"),EXACT(metadata!T396,"missing: restricted access"))),AND(IF(metadata!T396="",FALSE,ISNUMBER(VALUE(metadata!T396))),metadata!T396&gt;=-180,metadata!T396&lt;=180))</f>
        <v>0</v>
      </c>
      <c r="BF396" t="b">
        <f>AND(IF(metadata!U396="",FALSE,TRUE),EXACT(metadata!U396,"Decimal degrees"))</f>
        <v>0</v>
      </c>
      <c r="BG396" t="b">
        <f>IF(metadata!V396="",FALSE,TRUE)</f>
        <v>0</v>
      </c>
      <c r="BH396" t="b">
        <f>OR(AND(IF(metadata!W396="",FALSE,TRUE),OR(EXACT(metadata!W396,"missing: not collected"),EXACT(metadata!W396,"missing: not provided"),EXACT(metadata!W396,"missing: restricted access"))),AND(IF(metadata!W396="",FALSE,TRUE),OR(EXACT(metadata!W396,"TRUE"),EXACT(metadata!W396,"FALSE"))))</f>
        <v>0</v>
      </c>
      <c r="BI396" t="b">
        <f>AND(IF(metadata!X396="",FALSE,TRUE),EXACT(metadata!X396,"other"))</f>
        <v>0</v>
      </c>
      <c r="BJ396" t="b">
        <f>IF(metadata!Y396="",FALSE,TRUE)</f>
        <v>0</v>
      </c>
      <c r="BK396" t="b">
        <f>OR(AND(IF(metadata!Z396="",FALSE,TRUE),OR(EXACT(metadata!Z396,"missing: not collected"),EXACT(metadata!Z396,"missing: not provided"))),AND(IF(metadata!Z396="",FALSE,IF(ISERROR(INT(metadata!Z396)),FALSE,INT(metadata!Z396)=metadata!Z396)),metadata!Z396&gt;0))</f>
        <v>0</v>
      </c>
      <c r="BL396" t="b">
        <f>AND(IF(metadata!AA396="",FALSE,TRUE),EXACT(metadata!AA396,"Not applicable"))</f>
        <v>0</v>
      </c>
      <c r="BM396" t="b">
        <f>IF(metadata!AB396="",FALSE,TRUE)</f>
        <v>0</v>
      </c>
    </row>
    <row r="397" spans="1:65" x14ac:dyDescent="0.2">
      <c r="A397" s="5" t="str">
        <f ca="1">IF(B397=" "," ",HYPERLINK(CONCATENATE("#metadata!",ADDRESS(INDEX($AH$2:$AH$1001,MATCH(ROWS($AF$2:AF397),$AF$2:$AF$1001,0),0),1)),INDEX($AK$2:$AK$1001,MATCH(ROWS($AF$2:AF397),$AF$2:$AF$1001,0),0)))</f>
        <v xml:space="preserve"> </v>
      </c>
      <c r="B397" s="4" t="str">
        <f ca="1">IF(OR(INDEX($AG$2:$AG$1001,MATCH(ROWS($AF$2:AF397),$AF$2:$AF$1001,0),1)&gt;=100000,INDEX($AM$1005:$BM$1005,1,MATCH(COLUMNS($AM$1006:AM1006),$AM$1006:$BM$1006,0))&gt;=100000), " ",IF(INDEX($AM$2:$BM$1001,MATCH(ROWS($AF$2:AF397),$AF$2:$AF$1001,0),MATCH(COLUMNS($AM$1006:AM1006),$AM$1006:$BM$1006,0)), HYPERLINK("#",""), HYPERLINK(CONCATENATE("#metadata!", ADDRESS(INDEX($AH$2:$AH$1001,MATCH(ROWS($AF$2:AF397),$AF$2:$AF$1001,0),0), INDEX($AM$1004:$BM$1004,1,MATCH(COLUMNS($AM$1006:AM1006),$AM$1006:$BM$1006,0)))),"Fix")))</f>
        <v xml:space="preserve"> </v>
      </c>
      <c r="C397" s="4" t="str">
        <f ca="1">IF(OR(INDEX($AG$2:$AG$1001,MATCH(ROWS($AF$2:AF397),$AF$2:$AF$1001,0),1)&gt;=100000,INDEX($AM$1005:$BM$1005,1,MATCH(COLUMNS($AM$1006:AN1006),$AM$1006:$BM$1006,0))&gt;=100000), " ",IF(INDEX($AM$2:$BM$1001,MATCH(ROWS($AF$2:AF397),$AF$2:$AF$1001,0),MATCH(COLUMNS($AM$1006:AN1006),$AM$1006:$BM$1006,0)), HYPERLINK("#",""), HYPERLINK(CONCATENATE("#metadata!", ADDRESS(INDEX($AH$2:$AH$1001,MATCH(ROWS($AF$2:AF397),$AF$2:$AF$1001,0),0), INDEX($AM$1004:$BM$1004,1,MATCH(COLUMNS($AM$1006:AN1006),$AM$1006:$BM$1006,0)))),"Fix")))</f>
        <v xml:space="preserve"> </v>
      </c>
      <c r="D397" s="4" t="str">
        <f ca="1">IF(OR(INDEX($AG$2:$AG$1001,MATCH(ROWS($AF$2:AF397),$AF$2:$AF$1001,0),1)&gt;=100000,INDEX($AM$1005:$BM$1005,1,MATCH(COLUMNS($AM$1006:AO1006),$AM$1006:$BM$1006,0))&gt;=100000), " ",IF(INDEX($AM$2:$BM$1001,MATCH(ROWS($AF$2:AF397),$AF$2:$AF$1001,0),MATCH(COLUMNS($AM$1006:AO1006),$AM$1006:$BM$1006,0)), HYPERLINK("#",""), HYPERLINK(CONCATENATE("#metadata!", ADDRESS(INDEX($AH$2:$AH$1001,MATCH(ROWS($AF$2:AF397),$AF$2:$AF$1001,0),0), INDEX($AM$1004:$BM$1004,1,MATCH(COLUMNS($AM$1006:AO1006),$AM$1006:$BM$1006,0)))),"Fix")))</f>
        <v xml:space="preserve"> </v>
      </c>
      <c r="E397" s="4" t="str">
        <f ca="1">IF(OR(INDEX($AG$2:$AG$1001,MATCH(ROWS($AF$2:AF397),$AF$2:$AF$1001,0),1)&gt;=100000,INDEX($AM$1005:$BM$1005,1,MATCH(COLUMNS($AM$1006:AP1006),$AM$1006:$BM$1006,0))&gt;=100000), " ",IF(INDEX($AM$2:$BM$1001,MATCH(ROWS($AF$2:AF397),$AF$2:$AF$1001,0),MATCH(COLUMNS($AM$1006:AP1006),$AM$1006:$BM$1006,0)), HYPERLINK("#",""), HYPERLINK(CONCATENATE("#metadata!", ADDRESS(INDEX($AH$2:$AH$1001,MATCH(ROWS($AF$2:AF397),$AF$2:$AF$1001,0),0), INDEX($AM$1004:$BM$1004,1,MATCH(COLUMNS($AM$1006:AP1006),$AM$1006:$BM$1006,0)))),"Fix")))</f>
        <v xml:space="preserve"> </v>
      </c>
      <c r="F397" s="4" t="str">
        <f ca="1">IF(OR(INDEX($AG$2:$AG$1001,MATCH(ROWS($AF$2:AF397),$AF$2:$AF$1001,0),1)&gt;=100000,INDEX($AM$1005:$BM$1005,1,MATCH(COLUMNS($AM$1006:AQ1006),$AM$1006:$BM$1006,0))&gt;=100000), " ",IF(INDEX($AM$2:$BM$1001,MATCH(ROWS($AF$2:AF397),$AF$2:$AF$1001,0),MATCH(COLUMNS($AM$1006:AQ1006),$AM$1006:$BM$1006,0)), HYPERLINK("#",""), HYPERLINK(CONCATENATE("#metadata!", ADDRESS(INDEX($AH$2:$AH$1001,MATCH(ROWS($AF$2:AF397),$AF$2:$AF$1001,0),0), INDEX($AM$1004:$BM$1004,1,MATCH(COLUMNS($AM$1006:AQ1006),$AM$1006:$BM$1006,0)))),"Fix")))</f>
        <v xml:space="preserve"> </v>
      </c>
      <c r="G397" s="4" t="str">
        <f ca="1">IF(OR(INDEX($AG$2:$AG$1001,MATCH(ROWS($AF$2:AF397),$AF$2:$AF$1001,0),1)&gt;=100000,INDEX($AM$1005:$BM$1005,1,MATCH(COLUMNS($AM$1006:AR1006),$AM$1006:$BM$1006,0))&gt;=100000), " ",IF(INDEX($AM$2:$BM$1001,MATCH(ROWS($AF$2:AF397),$AF$2:$AF$1001,0),MATCH(COLUMNS($AM$1006:AR1006),$AM$1006:$BM$1006,0)), HYPERLINK("#",""), HYPERLINK(CONCATENATE("#metadata!", ADDRESS(INDEX($AH$2:$AH$1001,MATCH(ROWS($AF$2:AF397),$AF$2:$AF$1001,0),0), INDEX($AM$1004:$BM$1004,1,MATCH(COLUMNS($AM$1006:AR1006),$AM$1006:$BM$1006,0)))),"Fix")))</f>
        <v xml:space="preserve"> </v>
      </c>
      <c r="H397" s="4" t="str">
        <f ca="1">IF(OR(INDEX($AG$2:$AG$1001,MATCH(ROWS($AF$2:AF397),$AF$2:$AF$1001,0),1)&gt;=100000,INDEX($AM$1005:$BM$1005,1,MATCH(COLUMNS($AM$1006:AS1006),$AM$1006:$BM$1006,0))&gt;=100000), " ",IF(INDEX($AM$2:$BM$1001,MATCH(ROWS($AF$2:AF397),$AF$2:$AF$1001,0),MATCH(COLUMNS($AM$1006:AS1006),$AM$1006:$BM$1006,0)), HYPERLINK("#",""), HYPERLINK(CONCATENATE("#metadata!", ADDRESS(INDEX($AH$2:$AH$1001,MATCH(ROWS($AF$2:AF397),$AF$2:$AF$1001,0),0), INDEX($AM$1004:$BM$1004,1,MATCH(COLUMNS($AM$1006:AS1006),$AM$1006:$BM$1006,0)))),"Fix")))</f>
        <v xml:space="preserve"> </v>
      </c>
      <c r="I397" s="4" t="str">
        <f ca="1">IF(OR(INDEX($AG$2:$AG$1001,MATCH(ROWS($AF$2:AF397),$AF$2:$AF$1001,0),1)&gt;=100000,INDEX($AM$1005:$BM$1005,1,MATCH(COLUMNS($AM$1006:AT1006),$AM$1006:$BM$1006,0))&gt;=100000), " ",IF(INDEX($AM$2:$BM$1001,MATCH(ROWS($AF$2:AF397),$AF$2:$AF$1001,0),MATCH(COLUMNS($AM$1006:AT1006),$AM$1006:$BM$1006,0)), HYPERLINK("#",""), HYPERLINK(CONCATENATE("#metadata!", ADDRESS(INDEX($AH$2:$AH$1001,MATCH(ROWS($AF$2:AF397),$AF$2:$AF$1001,0),0), INDEX($AM$1004:$BM$1004,1,MATCH(COLUMNS($AM$1006:AT1006),$AM$1006:$BM$1006,0)))),"Fix")))</f>
        <v xml:space="preserve"> </v>
      </c>
      <c r="J397" s="4" t="str">
        <f ca="1">IF(OR(INDEX($AG$2:$AG$1001,MATCH(ROWS($AF$2:AF397),$AF$2:$AF$1001,0),1)&gt;=100000,INDEX($AM$1005:$BM$1005,1,MATCH(COLUMNS($AM$1006:AU1006),$AM$1006:$BM$1006,0))&gt;=100000), " ",IF(INDEX($AM$2:$BM$1001,MATCH(ROWS($AF$2:AF397),$AF$2:$AF$1001,0),MATCH(COLUMNS($AM$1006:AU1006),$AM$1006:$BM$1006,0)), HYPERLINK("#",""), HYPERLINK(CONCATENATE("#metadata!", ADDRESS(INDEX($AH$2:$AH$1001,MATCH(ROWS($AF$2:AF397),$AF$2:$AF$1001,0),0), INDEX($AM$1004:$BM$1004,1,MATCH(COLUMNS($AM$1006:AU1006),$AM$1006:$BM$1006,0)))),"Fix")))</f>
        <v xml:space="preserve"> </v>
      </c>
      <c r="K397" s="4" t="str">
        <f ca="1">IF(OR(INDEX($AG$2:$AG$1001,MATCH(ROWS($AF$2:AF397),$AF$2:$AF$1001,0),1)&gt;=100000,INDEX($AM$1005:$BM$1005,1,MATCH(COLUMNS($AM$1006:AV1006),$AM$1006:$BM$1006,0))&gt;=100000), " ",IF(INDEX($AM$2:$BM$1001,MATCH(ROWS($AF$2:AF397),$AF$2:$AF$1001,0),MATCH(COLUMNS($AM$1006:AV1006),$AM$1006:$BM$1006,0)), HYPERLINK("#",""), HYPERLINK(CONCATENATE("#metadata!", ADDRESS(INDEX($AH$2:$AH$1001,MATCH(ROWS($AF$2:AF397),$AF$2:$AF$1001,0),0), INDEX($AM$1004:$BM$1004,1,MATCH(COLUMNS($AM$1006:AV1006),$AM$1006:$BM$1006,0)))),"Fix")))</f>
        <v xml:space="preserve"> </v>
      </c>
      <c r="L397" s="4" t="str">
        <f ca="1">IF(OR(INDEX($AG$2:$AG$1001,MATCH(ROWS($AF$2:AF397),$AF$2:$AF$1001,0),1)&gt;=100000,INDEX($AM$1005:$BM$1005,1,MATCH(COLUMNS($AM$1006:AW1006),$AM$1006:$BM$1006,0))&gt;=100000), " ",IF(INDEX($AM$2:$BM$1001,MATCH(ROWS($AF$2:AF397),$AF$2:$AF$1001,0),MATCH(COLUMNS($AM$1006:AW1006),$AM$1006:$BM$1006,0)), HYPERLINK("#",""), HYPERLINK(CONCATENATE("#metadata!", ADDRESS(INDEX($AH$2:$AH$1001,MATCH(ROWS($AF$2:AF397),$AF$2:$AF$1001,0),0), INDEX($AM$1004:$BM$1004,1,MATCH(COLUMNS($AM$1006:AW1006),$AM$1006:$BM$1006,0)))),"Fix")))</f>
        <v xml:space="preserve"> </v>
      </c>
      <c r="M397" s="4" t="str">
        <f ca="1">IF(OR(INDEX($AG$2:$AG$1001,MATCH(ROWS($AF$2:AF397),$AF$2:$AF$1001,0),1)&gt;=100000,INDEX($AM$1005:$BM$1005,1,MATCH(COLUMNS($AM$1006:AX1006),$AM$1006:$BM$1006,0))&gt;=100000), " ",IF(INDEX($AM$2:$BM$1001,MATCH(ROWS($AF$2:AF397),$AF$2:$AF$1001,0),MATCH(COLUMNS($AM$1006:AX1006),$AM$1006:$BM$1006,0)), HYPERLINK("#",""), HYPERLINK(CONCATENATE("#metadata!", ADDRESS(INDEX($AH$2:$AH$1001,MATCH(ROWS($AF$2:AF397),$AF$2:$AF$1001,0),0), INDEX($AM$1004:$BM$1004,1,MATCH(COLUMNS($AM$1006:AX1006),$AM$1006:$BM$1006,0)))),"Fix")))</f>
        <v xml:space="preserve"> </v>
      </c>
      <c r="N397" s="4" t="str">
        <f ca="1">IF(OR(INDEX($AG$2:$AG$1001,MATCH(ROWS($AF$2:AF397),$AF$2:$AF$1001,0),1)&gt;=100000,INDEX($AM$1005:$BM$1005,1,MATCH(COLUMNS($AM$1006:AY1006),$AM$1006:$BM$1006,0))&gt;=100000), " ",IF(INDEX($AM$2:$BM$1001,MATCH(ROWS($AF$2:AF397),$AF$2:$AF$1001,0),MATCH(COLUMNS($AM$1006:AY1006),$AM$1006:$BM$1006,0)), HYPERLINK("#",""), HYPERLINK(CONCATENATE("#metadata!", ADDRESS(INDEX($AH$2:$AH$1001,MATCH(ROWS($AF$2:AF397),$AF$2:$AF$1001,0),0), INDEX($AM$1004:$BM$1004,1,MATCH(COLUMNS($AM$1006:AY1006),$AM$1006:$BM$1006,0)))),"Fix")))</f>
        <v xml:space="preserve"> </v>
      </c>
      <c r="O397" s="4" t="str">
        <f ca="1">IF(OR(INDEX($AG$2:$AG$1001,MATCH(ROWS($AF$2:AF397),$AF$2:$AF$1001,0),1)&gt;=100000,INDEX($AM$1005:$BM$1005,1,MATCH(COLUMNS($AM$1006:AZ1006),$AM$1006:$BM$1006,0))&gt;=100000), " ",IF(INDEX($AM$2:$BM$1001,MATCH(ROWS($AF$2:AF397),$AF$2:$AF$1001,0),MATCH(COLUMNS($AM$1006:AZ1006),$AM$1006:$BM$1006,0)), HYPERLINK("#",""), HYPERLINK(CONCATENATE("#metadata!", ADDRESS(INDEX($AH$2:$AH$1001,MATCH(ROWS($AF$2:AF397),$AF$2:$AF$1001,0),0), INDEX($AM$1004:$BM$1004,1,MATCH(COLUMNS($AM$1006:AZ1006),$AM$1006:$BM$1006,0)))),"Fix")))</f>
        <v xml:space="preserve"> </v>
      </c>
      <c r="P397" s="4" t="str">
        <f ca="1">IF(OR(INDEX($AG$2:$AG$1001,MATCH(ROWS($AF$2:AF397),$AF$2:$AF$1001,0),1)&gt;=100000,INDEX($AM$1005:$BM$1005,1,MATCH(COLUMNS($AM$1006:BA1006),$AM$1006:$BM$1006,0))&gt;=100000), " ",IF(INDEX($AM$2:$BM$1001,MATCH(ROWS($AF$2:AF397),$AF$2:$AF$1001,0),MATCH(COLUMNS($AM$1006:BA1006),$AM$1006:$BM$1006,0)), HYPERLINK("#",""), HYPERLINK(CONCATENATE("#metadata!", ADDRESS(INDEX($AH$2:$AH$1001,MATCH(ROWS($AF$2:AF397),$AF$2:$AF$1001,0),0), INDEX($AM$1004:$BM$1004,1,MATCH(COLUMNS($AM$1006:BA1006),$AM$1006:$BM$1006,0)))),"Fix")))</f>
        <v xml:space="preserve"> </v>
      </c>
      <c r="Q397" s="4" t="str">
        <f ca="1">IF(OR(INDEX($AG$2:$AG$1001,MATCH(ROWS($AF$2:AF397),$AF$2:$AF$1001,0),1)&gt;=100000,INDEX($AM$1005:$BM$1005,1,MATCH(COLUMNS($AM$1006:BB1006),$AM$1006:$BM$1006,0))&gt;=100000), " ",IF(INDEX($AM$2:$BM$1001,MATCH(ROWS($AF$2:AF397),$AF$2:$AF$1001,0),MATCH(COLUMNS($AM$1006:BB1006),$AM$1006:$BM$1006,0)), HYPERLINK("#",""), HYPERLINK(CONCATENATE("#metadata!", ADDRESS(INDEX($AH$2:$AH$1001,MATCH(ROWS($AF$2:AF397),$AF$2:$AF$1001,0),0), INDEX($AM$1004:$BM$1004,1,MATCH(COLUMNS($AM$1006:BB1006),$AM$1006:$BM$1006,0)))),"Fix")))</f>
        <v xml:space="preserve"> </v>
      </c>
      <c r="R397" s="4" t="str">
        <f ca="1">IF(OR(INDEX($AG$2:$AG$1001,MATCH(ROWS($AF$2:AF397),$AF$2:$AF$1001,0),1)&gt;=100000,INDEX($AM$1005:$BM$1005,1,MATCH(COLUMNS($AM$1006:BC1006),$AM$1006:$BM$1006,0))&gt;=100000), " ",IF(INDEX($AM$2:$BM$1001,MATCH(ROWS($AF$2:AF397),$AF$2:$AF$1001,0),MATCH(COLUMNS($AM$1006:BC1006),$AM$1006:$BM$1006,0)), HYPERLINK("#",""), HYPERLINK(CONCATENATE("#metadata!", ADDRESS(INDEX($AH$2:$AH$1001,MATCH(ROWS($AF$2:AF397),$AF$2:$AF$1001,0),0), INDEX($AM$1004:$BM$1004,1,MATCH(COLUMNS($AM$1006:BC1006),$AM$1006:$BM$1006,0)))),"Fix")))</f>
        <v xml:space="preserve"> </v>
      </c>
      <c r="S397" s="4" t="str">
        <f ca="1">IF(OR(INDEX($AG$2:$AG$1001,MATCH(ROWS($AF$2:AF397),$AF$2:$AF$1001,0),1)&gt;=100000,INDEX($AM$1005:$BM$1005,1,MATCH(COLUMNS($AM$1006:BD1006),$AM$1006:$BM$1006,0))&gt;=100000), " ",IF(INDEX($AM$2:$BM$1001,MATCH(ROWS($AF$2:AF397),$AF$2:$AF$1001,0),MATCH(COLUMNS($AM$1006:BD1006),$AM$1006:$BM$1006,0)), HYPERLINK("#",""), HYPERLINK(CONCATENATE("#metadata!", ADDRESS(INDEX($AH$2:$AH$1001,MATCH(ROWS($AF$2:AF397),$AF$2:$AF$1001,0),0), INDEX($AM$1004:$BM$1004,1,MATCH(COLUMNS($AM$1006:BD1006),$AM$1006:$BM$1006,0)))),"Fix")))</f>
        <v xml:space="preserve"> </v>
      </c>
      <c r="T397" s="4" t="str">
        <f ca="1">IF(OR(INDEX($AG$2:$AG$1001,MATCH(ROWS($AF$2:AF397),$AF$2:$AF$1001,0),1)&gt;=100000,INDEX($AM$1005:$BM$1005,1,MATCH(COLUMNS($AM$1006:BE1006),$AM$1006:$BM$1006,0))&gt;=100000), " ",IF(INDEX($AM$2:$BM$1001,MATCH(ROWS($AF$2:AF397),$AF$2:$AF$1001,0),MATCH(COLUMNS($AM$1006:BE1006),$AM$1006:$BM$1006,0)), HYPERLINK("#",""), HYPERLINK(CONCATENATE("#metadata!", ADDRESS(INDEX($AH$2:$AH$1001,MATCH(ROWS($AF$2:AF397),$AF$2:$AF$1001,0),0), INDEX($AM$1004:$BM$1004,1,MATCH(COLUMNS($AM$1006:BE1006),$AM$1006:$BM$1006,0)))),"Fix")))</f>
        <v xml:space="preserve"> </v>
      </c>
      <c r="U397" s="4" t="str">
        <f ca="1">IF(OR(INDEX($AG$2:$AG$1001,MATCH(ROWS($AF$2:AF397),$AF$2:$AF$1001,0),1)&gt;=100000,INDEX($AM$1005:$BM$1005,1,MATCH(COLUMNS($AM$1006:BF1006),$AM$1006:$BM$1006,0))&gt;=100000), " ",IF(INDEX($AM$2:$BM$1001,MATCH(ROWS($AF$2:AF397),$AF$2:$AF$1001,0),MATCH(COLUMNS($AM$1006:BF1006),$AM$1006:$BM$1006,0)), HYPERLINK("#",""), HYPERLINK(CONCATENATE("#metadata!", ADDRESS(INDEX($AH$2:$AH$1001,MATCH(ROWS($AF$2:AF397),$AF$2:$AF$1001,0),0), INDEX($AM$1004:$BM$1004,1,MATCH(COLUMNS($AM$1006:BF1006),$AM$1006:$BM$1006,0)))),"Fix")))</f>
        <v xml:space="preserve"> </v>
      </c>
      <c r="V397" s="4" t="str">
        <f ca="1">IF(OR(INDEX($AG$2:$AG$1001,MATCH(ROWS($AF$2:AF397),$AF$2:$AF$1001,0),1)&gt;=100000,INDEX($AM$1005:$BM$1005,1,MATCH(COLUMNS($AM$1006:BG1006),$AM$1006:$BM$1006,0))&gt;=100000), " ",IF(INDEX($AM$2:$BM$1001,MATCH(ROWS($AF$2:AF397),$AF$2:$AF$1001,0),MATCH(COLUMNS($AM$1006:BG1006),$AM$1006:$BM$1006,0)), HYPERLINK("#",""), HYPERLINK(CONCATENATE("#metadata!", ADDRESS(INDEX($AH$2:$AH$1001,MATCH(ROWS($AF$2:AF397),$AF$2:$AF$1001,0),0), INDEX($AM$1004:$BM$1004,1,MATCH(COLUMNS($AM$1006:BG1006),$AM$1006:$BM$1006,0)))),"Fix")))</f>
        <v xml:space="preserve"> </v>
      </c>
      <c r="W397" s="4" t="str">
        <f ca="1">IF(OR(INDEX($AG$2:$AG$1001,MATCH(ROWS($AF$2:AF397),$AF$2:$AF$1001,0),1)&gt;=100000,INDEX($AM$1005:$BM$1005,1,MATCH(COLUMNS($AM$1006:BH1006),$AM$1006:$BM$1006,0))&gt;=100000), " ",IF(INDEX($AM$2:$BM$1001,MATCH(ROWS($AF$2:AF397),$AF$2:$AF$1001,0),MATCH(COLUMNS($AM$1006:BH1006),$AM$1006:$BM$1006,0)), HYPERLINK("#",""), HYPERLINK(CONCATENATE("#metadata!", ADDRESS(INDEX($AH$2:$AH$1001,MATCH(ROWS($AF$2:AF397),$AF$2:$AF$1001,0),0), INDEX($AM$1004:$BM$1004,1,MATCH(COLUMNS($AM$1006:BH1006),$AM$1006:$BM$1006,0)))),"Fix")))</f>
        <v xml:space="preserve"> </v>
      </c>
      <c r="X397" s="4" t="str">
        <f ca="1">IF(OR(INDEX($AG$2:$AG$1001,MATCH(ROWS($AF$2:AF397),$AF$2:$AF$1001,0),1)&gt;=100000,INDEX($AM$1005:$BM$1005,1,MATCH(COLUMNS($AM$1006:BI1006),$AM$1006:$BM$1006,0))&gt;=100000), " ",IF(INDEX($AM$2:$BM$1001,MATCH(ROWS($AF$2:AF397),$AF$2:$AF$1001,0),MATCH(COLUMNS($AM$1006:BI1006),$AM$1006:$BM$1006,0)), HYPERLINK("#",""), HYPERLINK(CONCATENATE("#metadata!", ADDRESS(INDEX($AH$2:$AH$1001,MATCH(ROWS($AF$2:AF397),$AF$2:$AF$1001,0),0), INDEX($AM$1004:$BM$1004,1,MATCH(COLUMNS($AM$1006:BI1006),$AM$1006:$BM$1006,0)))),"Fix")))</f>
        <v xml:space="preserve"> </v>
      </c>
      <c r="Y397" s="4" t="str">
        <f ca="1">IF(OR(INDEX($AG$2:$AG$1001,MATCH(ROWS($AF$2:AF397),$AF$2:$AF$1001,0),1)&gt;=100000,INDEX($AM$1005:$BM$1005,1,MATCH(COLUMNS($AM$1006:BJ1006),$AM$1006:$BM$1006,0))&gt;=100000), " ",IF(INDEX($AM$2:$BM$1001,MATCH(ROWS($AF$2:AF397),$AF$2:$AF$1001,0),MATCH(COLUMNS($AM$1006:BJ1006),$AM$1006:$BM$1006,0)), HYPERLINK("#",""), HYPERLINK(CONCATENATE("#metadata!", ADDRESS(INDEX($AH$2:$AH$1001,MATCH(ROWS($AF$2:AF397),$AF$2:$AF$1001,0),0), INDEX($AM$1004:$BM$1004,1,MATCH(COLUMNS($AM$1006:BJ1006),$AM$1006:$BM$1006,0)))),"Fix")))</f>
        <v xml:space="preserve"> </v>
      </c>
      <c r="Z397" s="4" t="str">
        <f ca="1">IF(OR(INDEX($AG$2:$AG$1001,MATCH(ROWS($AF$2:AF397),$AF$2:$AF$1001,0),1)&gt;=100000,INDEX($AM$1005:$BM$1005,1,MATCH(COLUMNS($AM$1006:BK1006),$AM$1006:$BM$1006,0))&gt;=100000), " ",IF(INDEX($AM$2:$BM$1001,MATCH(ROWS($AF$2:AF397),$AF$2:$AF$1001,0),MATCH(COLUMNS($AM$1006:BK1006),$AM$1006:$BM$1006,0)), HYPERLINK("#",""), HYPERLINK(CONCATENATE("#metadata!", ADDRESS(INDEX($AH$2:$AH$1001,MATCH(ROWS($AF$2:AF397),$AF$2:$AF$1001,0),0), INDEX($AM$1004:$BM$1004,1,MATCH(COLUMNS($AM$1006:BK1006),$AM$1006:$BM$1006,0)))),"Fix")))</f>
        <v xml:space="preserve"> </v>
      </c>
      <c r="AA397" s="4" t="str">
        <f ca="1">IF(OR(INDEX($AG$2:$AG$1001,MATCH(ROWS($AF$2:AF397),$AF$2:$AF$1001,0),1)&gt;=100000,INDEX($AM$1005:$BM$1005,1,MATCH(COLUMNS($AM$1006:BL1006),$AM$1006:$BM$1006,0))&gt;=100000), " ",IF(INDEX($AM$2:$BM$1001,MATCH(ROWS($AF$2:AF397),$AF$2:$AF$1001,0),MATCH(COLUMNS($AM$1006:BL1006),$AM$1006:$BM$1006,0)), HYPERLINK("#",""), HYPERLINK(CONCATENATE("#metadata!", ADDRESS(INDEX($AH$2:$AH$1001,MATCH(ROWS($AF$2:AF397),$AF$2:$AF$1001,0),0), INDEX($AM$1004:$BM$1004,1,MATCH(COLUMNS($AM$1006:BL1006),$AM$1006:$BM$1006,0)))),"Fix")))</f>
        <v xml:space="preserve"> </v>
      </c>
      <c r="AB397" s="4" t="str">
        <f ca="1">IF(OR(INDEX($AG$2:$AG$1001,MATCH(ROWS($AF$2:AF397),$AF$2:$AF$1001,0),1)&gt;=100000,INDEX($AM$1005:$BM$1005,1,MATCH(COLUMNS($AM$1006:BM1006),$AM$1006:$BM$1006,0))&gt;=100000), " ",IF(INDEX($AM$2:$BM$1001,MATCH(ROWS($AF$2:AF397),$AF$2:$AF$1001,0),MATCH(COLUMNS($AM$1006:BM1006),$AM$1006:$BM$1006,0)), HYPERLINK("#",""), HYPERLINK(CONCATENATE("#metadata!", ADDRESS(INDEX($AH$2:$AH$1001,MATCH(ROWS($AF$2:AF397),$AF$2:$AF$1001,0),0), INDEX($AM$1004:$BM$1004,1,MATCH(COLUMNS($AM$1006:BM1006),$AM$1006:$BM$1006,0)))),"Fix")))</f>
        <v xml:space="preserve"> </v>
      </c>
      <c r="AF397">
        <v>396</v>
      </c>
      <c r="AG397">
        <v>100397</v>
      </c>
      <c r="AH397">
        <v>397</v>
      </c>
      <c r="AI397" t="b">
        <f t="shared" si="6"/>
        <v>1</v>
      </c>
      <c r="AJ397" t="b">
        <f>COUNTBLANK(metadata!B397:AB397)=COLUMNS(metadata!B397:AB397)</f>
        <v>1</v>
      </c>
      <c r="AK397" t="str">
        <v/>
      </c>
      <c r="AM397" t="b">
        <f ca="1">AND(IF(metadata!B397="",FALSE,TRUE),COUNTIF(metadata!B:B, metadata!B397) = 1,NOT(ISERROR(SUMPRODUCT(SEARCH(MID(metadata!B397,ROW(INDIRECT("1:"&amp;LEN(metadata!B397))), 1),"0123456789abcdefghijklmnopqrstuvwxyzABCDEFGHIJKLMNOPQRSTUVWXYZ.")))))</f>
        <v>0</v>
      </c>
      <c r="AN397" t="b">
        <f ca="1">OR(AND(IF(metadata!C397="",FALSE,TRUE),OR(EXACT(metadata!C397,"missing: not collected"),EXACT(metadata!C397,"missing: not provided"),EXACT(metadata!C397,"missing: restricted access"))),AND(IF(metadata!C397="",FALSE,TRUE),AND(AND(IFERROR(INT(LEFT(metadata!C397,4))&gt;1900,FALSE),IFERROR(INT(LEFT(metadata!C397,4))&lt;=YEAR(NOW()),FALSE)), OR(MID(metadata!C397,5,1)="", AND(AND(MID(metadata!C397,5,1)="-",IFERROR(INT(MID(metadata!C397,6,1))&gt;=0,FALSE),IFERROR(INT(MID(metadata!C397,6,1))&lt;=1,FALSE),NOT(MID(metadata!C397,7,1)=""),IFERROR(INT(MID(metadata!C397,6,2))&gt;=1,FALSE),IFERROR(INT(MID(metadata!C397,6,2))&lt;=12,FALSE)), OR(MID(metadata!C397,8,1)="", AND(AND(MID(metadata!C397,8,1)="-",IFERROR(INT(MID(metadata!C397,9,1))&gt;=0,FALSE),IFERROR(INT(MID(metadata!C397,9,1))&lt;=3,FALSE),NOT(MID(metadata!C397,10,1)=""),IFERROR(INT(MID(metadata!C397,9,2))&gt;=1,FALSE),IFERROR(INT(MID(metadata!C397,9,2))&lt;=31,FALSE)), OR(MID(metadata!C397,11,1)="", AND(AND(MID(metadata!C397,11,1)=" ",IFERROR(INT(MID(metadata!C397,12,1))&gt;=0,FALSE),IFERROR(INT(MID(metadata!C397,12,1))&lt;=2,FALSE),NOT(MID(metadata!C397,13,1)=""),IFERROR(INT(MID(metadata!C397,12,2))&gt;=0,FALSE),IFERROR(INT(MID(metadata!C397,12,2))&lt;=23,FALSE)), OR(MID(metadata!C397,14,1)="", AND(AND(MID(metadata!C397,14,1)=":",IFERROR(INT(MID(metadata!C397,15,1))&gt;=0,FALSE),IFERROR(INT(MID(metadata!C397,15,1))&lt;=5,FALSE),NOT(MID(metadata!C397,16,1)=""),IFERROR(INT(MID(metadata!C397,15,2))&gt;=0,FALSE),IFERROR(INT(MID(metadata!C397,15,2))&lt;=59,FALSE)), OR(MID(metadata!C397,17,1)="", AND(AND(MID(metadata!C397,17,1)=":",IFERROR(INT(MID(metadata!C397,18,1))&gt;=0,FALSE),IFERROR(INT(MID(metadata!C397,18,1))&lt;=5,FALSE),NOT(MID(metadata!C397,19,1)=""),IFERROR(INT(MID(metadata!C397,18,2))&gt;=0,FALSE),IFERROR(INT(MID(metadata!C397,18,2))&lt;=59,FALSE)), LEN(metadata!C397)&lt;=19)))))))))))))</f>
        <v>0</v>
      </c>
      <c r="AO397" t="b">
        <f>AND(IF(metadata!D397="",FALSE,TRUE),EXACT(metadata!D397,"Not applicable"))</f>
        <v>0</v>
      </c>
      <c r="AP397" t="b">
        <f>IF(metadata!E397="",FALSE,TRUE)</f>
        <v>0</v>
      </c>
      <c r="AQ397" t="b">
        <f>OR(AND(IF(metadata!F397="",FALSE,TRUE),OR(EXACT(metadata!F397,"missing: not collected"),EXACT(metadata!F397,"missing: not provided"))),AND(IF(metadata!F397="",FALSE,TRUE),OR(EXACT(metadata!F397,"TRUE"),EXACT(metadata!F397,"FALSE"))))</f>
        <v>0</v>
      </c>
      <c r="AR397" t="b">
        <f>OR(AND(IF(metadata!G397="",FALSE,TRUE),OR(EXACT(metadata!G397,"missing: not collected"),EXACT(metadata!G397,"missing: not provided"),EXACT(metadata!G397,"missing: restricted access"))),AND(IF(metadata!G397="",FALSE,ISNUMBER(VALUE(metadata!G397))),metadata!G397&gt;=-413))</f>
        <v>0</v>
      </c>
      <c r="AS397" t="b">
        <f>AND(IF(metadata!H397="",FALSE,TRUE),EXACT(metadata!H397,"meters"))</f>
        <v>0</v>
      </c>
      <c r="AT397" t="b">
        <f>AND(IF(metadata!I397="",FALSE,TRUE),OR(EXACT(metadata!I397,"Host-associated"),EXACT(metadata!I397,"Free-living")))</f>
        <v>0</v>
      </c>
      <c r="AU397" t="b">
        <f>AND(IF(metadata!J397="",FALSE,TRUE),OR(EXACT(metadata!J397,"Animal"),EXACT(metadata!J397,"Fungus"),EXACT(metadata!J397,"Plant"),EXACT(metadata!J397,"Saline"),EXACT(metadata!J397,"Non-saline")))</f>
        <v>0</v>
      </c>
      <c r="AV397" t="b">
        <f>AND(IF(metadata!K397="",FALSE,TRUE),OR(EXACT(metadata!K397,"Plant secretion"),EXACT(metadata!K397,"Plant rhizosphere"),EXACT(metadata!K397,"Plant surface"),EXACT(metadata!K397,"Plant corpus"),EXACT(metadata!K397,"Fungus surface"),EXACT(metadata!K397,"Fungus corpus"),EXACT(metadata!K397,"Animal surface"),EXACT(metadata!K397,"Animal proximal gut"),EXACT(metadata!K397,"Animal corpus"),EXACT(metadata!K397,"Animal distal gut"),EXACT(metadata!K397,"Animal secretion"),EXACT(metadata!K397,"Sub-surface (non-saline)"),EXACT(metadata!K397,"Surface (non-saline)"),EXACT(metadata!K397,"Water (non-saline)"),EXACT(metadata!K397,"Soil (non-saline)"),EXACT(metadata!K397,"Aerosol (non-saline)"),EXACT(metadata!K397,"Sediment (non-saline)"),EXACT(metadata!K397,"Surface (saline)"),EXACT(metadata!K397,"Water (saline)"),EXACT(metadata!K397,"Hypersaline (saline)"),EXACT(metadata!K397,"Aerosol (saline)"),EXACT(metadata!K397,"Sediment (saline)")))</f>
        <v>0</v>
      </c>
      <c r="AW397" t="b">
        <f>IF(metadata!L397="",FALSE,TRUE)</f>
        <v>0</v>
      </c>
      <c r="AX397" t="b">
        <f>IF(metadata!M397="",FALSE,TRUE)</f>
        <v>0</v>
      </c>
      <c r="AY397" t="b">
        <f>IF(metadata!N397="",FALSE,TRUE)</f>
        <v>0</v>
      </c>
      <c r="AZ397" t="b">
        <f>OR(AND(IF(metadata!O397="",FALSE,TRUE),OR(EXACT(metadata!O397,"missing: not collected"),EXACT(metadata!O397,"missing: not provided"),EXACT(metadata!O397,"missing: restricted access"))),AND(IF(metadata!O397="",FALSE,TRUE),OR(EXACT(metadata!O397,"air"),EXACT(metadata!O397,"built environment"),EXACT(metadata!O397,"host-associated"),EXACT(metadata!O397,"human-associated"),EXACT(metadata!O397,"human-skin"),EXACT(metadata!O397,"human-oral"),EXACT(metadata!O397,"human-gut"),EXACT(metadata!O397,"human-vaginal"),EXACT(metadata!O397,"microbial mat/biofilm"),EXACT(metadata!O397,"misc environment"),EXACT(metadata!O397,"plant-associated"),EXACT(metadata!O397,"sediment"),EXACT(metadata!O397,"soil"),EXACT(metadata!O397,"wastewater/sludge"),EXACT(metadata!O397,"water"))))</f>
        <v>0</v>
      </c>
      <c r="BA397" t="b">
        <f>IF(metadata!P397="",FALSE,TRUE)</f>
        <v>0</v>
      </c>
      <c r="BB397" t="b">
        <f>IF(metadata!Q397="",FALSE,TRUE)</f>
        <v>0</v>
      </c>
      <c r="BC397" t="b">
        <f>OR(AND(IF(metadata!R397="",FALSE,TRUE),OR(EXACT(metadata!R397,"missing: not collected"),EXACT(metadata!R397,"missing: not provided"),EXACT(metadata!R397,"missing: restricted access"))),AND(IF(metadata!R397="",FALSE,ISNUMBER(VALUE(metadata!R397))),metadata!R397&gt;=-90,metadata!R397&lt;=90))</f>
        <v>0</v>
      </c>
      <c r="BD397" t="b">
        <f>AND(IF(metadata!S397="",FALSE,TRUE),EXACT(metadata!S397,"Decimal degrees"))</f>
        <v>0</v>
      </c>
      <c r="BE397" t="b">
        <f>OR(AND(IF(metadata!T397="",FALSE,TRUE),OR(EXACT(metadata!T397,"missing: not collected"),EXACT(metadata!T397,"missing: not provided"),EXACT(metadata!T397,"missing: restricted access"))),AND(IF(metadata!T397="",FALSE,ISNUMBER(VALUE(metadata!T397))),metadata!T397&gt;=-180,metadata!T397&lt;=180))</f>
        <v>0</v>
      </c>
      <c r="BF397" t="b">
        <f>AND(IF(metadata!U397="",FALSE,TRUE),EXACT(metadata!U397,"Decimal degrees"))</f>
        <v>0</v>
      </c>
      <c r="BG397" t="b">
        <f>IF(metadata!V397="",FALSE,TRUE)</f>
        <v>0</v>
      </c>
      <c r="BH397" t="b">
        <f>OR(AND(IF(metadata!W397="",FALSE,TRUE),OR(EXACT(metadata!W397,"missing: not collected"),EXACT(metadata!W397,"missing: not provided"),EXACT(metadata!W397,"missing: restricted access"))),AND(IF(metadata!W397="",FALSE,TRUE),OR(EXACT(metadata!W397,"TRUE"),EXACT(metadata!W397,"FALSE"))))</f>
        <v>0</v>
      </c>
      <c r="BI397" t="b">
        <f>AND(IF(metadata!X397="",FALSE,TRUE),EXACT(metadata!X397,"other"))</f>
        <v>0</v>
      </c>
      <c r="BJ397" t="b">
        <f>IF(metadata!Y397="",FALSE,TRUE)</f>
        <v>0</v>
      </c>
      <c r="BK397" t="b">
        <f>OR(AND(IF(metadata!Z397="",FALSE,TRUE),OR(EXACT(metadata!Z397,"missing: not collected"),EXACT(metadata!Z397,"missing: not provided"))),AND(IF(metadata!Z397="",FALSE,IF(ISERROR(INT(metadata!Z397)),FALSE,INT(metadata!Z397)=metadata!Z397)),metadata!Z397&gt;0))</f>
        <v>0</v>
      </c>
      <c r="BL397" t="b">
        <f>AND(IF(metadata!AA397="",FALSE,TRUE),EXACT(metadata!AA397,"Not applicable"))</f>
        <v>0</v>
      </c>
      <c r="BM397" t="b">
        <f>IF(metadata!AB397="",FALSE,TRUE)</f>
        <v>0</v>
      </c>
    </row>
    <row r="398" spans="1:65" x14ac:dyDescent="0.2">
      <c r="A398" s="5" t="str">
        <f ca="1">IF(B398=" "," ",HYPERLINK(CONCATENATE("#metadata!",ADDRESS(INDEX($AH$2:$AH$1001,MATCH(ROWS($AF$2:AF398),$AF$2:$AF$1001,0),0),1)),INDEX($AK$2:$AK$1001,MATCH(ROWS($AF$2:AF398),$AF$2:$AF$1001,0),0)))</f>
        <v xml:space="preserve"> </v>
      </c>
      <c r="B398" s="4" t="str">
        <f ca="1">IF(OR(INDEX($AG$2:$AG$1001,MATCH(ROWS($AF$2:AF398),$AF$2:$AF$1001,0),1)&gt;=100000,INDEX($AM$1005:$BM$1005,1,MATCH(COLUMNS($AM$1006:AM1006),$AM$1006:$BM$1006,0))&gt;=100000), " ",IF(INDEX($AM$2:$BM$1001,MATCH(ROWS($AF$2:AF398),$AF$2:$AF$1001,0),MATCH(COLUMNS($AM$1006:AM1006),$AM$1006:$BM$1006,0)), HYPERLINK("#",""), HYPERLINK(CONCATENATE("#metadata!", ADDRESS(INDEX($AH$2:$AH$1001,MATCH(ROWS($AF$2:AF398),$AF$2:$AF$1001,0),0), INDEX($AM$1004:$BM$1004,1,MATCH(COLUMNS($AM$1006:AM1006),$AM$1006:$BM$1006,0)))),"Fix")))</f>
        <v xml:space="preserve"> </v>
      </c>
      <c r="C398" s="4" t="str">
        <f ca="1">IF(OR(INDEX($AG$2:$AG$1001,MATCH(ROWS($AF$2:AF398),$AF$2:$AF$1001,0),1)&gt;=100000,INDEX($AM$1005:$BM$1005,1,MATCH(COLUMNS($AM$1006:AN1006),$AM$1006:$BM$1006,0))&gt;=100000), " ",IF(INDEX($AM$2:$BM$1001,MATCH(ROWS($AF$2:AF398),$AF$2:$AF$1001,0),MATCH(COLUMNS($AM$1006:AN1006),$AM$1006:$BM$1006,0)), HYPERLINK("#",""), HYPERLINK(CONCATENATE("#metadata!", ADDRESS(INDEX($AH$2:$AH$1001,MATCH(ROWS($AF$2:AF398),$AF$2:$AF$1001,0),0), INDEX($AM$1004:$BM$1004,1,MATCH(COLUMNS($AM$1006:AN1006),$AM$1006:$BM$1006,0)))),"Fix")))</f>
        <v xml:space="preserve"> </v>
      </c>
      <c r="D398" s="4" t="str">
        <f ca="1">IF(OR(INDEX($AG$2:$AG$1001,MATCH(ROWS($AF$2:AF398),$AF$2:$AF$1001,0),1)&gt;=100000,INDEX($AM$1005:$BM$1005,1,MATCH(COLUMNS($AM$1006:AO1006),$AM$1006:$BM$1006,0))&gt;=100000), " ",IF(INDEX($AM$2:$BM$1001,MATCH(ROWS($AF$2:AF398),$AF$2:$AF$1001,0),MATCH(COLUMNS($AM$1006:AO1006),$AM$1006:$BM$1006,0)), HYPERLINK("#",""), HYPERLINK(CONCATENATE("#metadata!", ADDRESS(INDEX($AH$2:$AH$1001,MATCH(ROWS($AF$2:AF398),$AF$2:$AF$1001,0),0), INDEX($AM$1004:$BM$1004,1,MATCH(COLUMNS($AM$1006:AO1006),$AM$1006:$BM$1006,0)))),"Fix")))</f>
        <v xml:space="preserve"> </v>
      </c>
      <c r="E398" s="4" t="str">
        <f ca="1">IF(OR(INDEX($AG$2:$AG$1001,MATCH(ROWS($AF$2:AF398),$AF$2:$AF$1001,0),1)&gt;=100000,INDEX($AM$1005:$BM$1005,1,MATCH(COLUMNS($AM$1006:AP1006),$AM$1006:$BM$1006,0))&gt;=100000), " ",IF(INDEX($AM$2:$BM$1001,MATCH(ROWS($AF$2:AF398),$AF$2:$AF$1001,0),MATCH(COLUMNS($AM$1006:AP1006),$AM$1006:$BM$1006,0)), HYPERLINK("#",""), HYPERLINK(CONCATENATE("#metadata!", ADDRESS(INDEX($AH$2:$AH$1001,MATCH(ROWS($AF$2:AF398),$AF$2:$AF$1001,0),0), INDEX($AM$1004:$BM$1004,1,MATCH(COLUMNS($AM$1006:AP1006),$AM$1006:$BM$1006,0)))),"Fix")))</f>
        <v xml:space="preserve"> </v>
      </c>
      <c r="F398" s="4" t="str">
        <f ca="1">IF(OR(INDEX($AG$2:$AG$1001,MATCH(ROWS($AF$2:AF398),$AF$2:$AF$1001,0),1)&gt;=100000,INDEX($AM$1005:$BM$1005,1,MATCH(COLUMNS($AM$1006:AQ1006),$AM$1006:$BM$1006,0))&gt;=100000), " ",IF(INDEX($AM$2:$BM$1001,MATCH(ROWS($AF$2:AF398),$AF$2:$AF$1001,0),MATCH(COLUMNS($AM$1006:AQ1006),$AM$1006:$BM$1006,0)), HYPERLINK("#",""), HYPERLINK(CONCATENATE("#metadata!", ADDRESS(INDEX($AH$2:$AH$1001,MATCH(ROWS($AF$2:AF398),$AF$2:$AF$1001,0),0), INDEX($AM$1004:$BM$1004,1,MATCH(COLUMNS($AM$1006:AQ1006),$AM$1006:$BM$1006,0)))),"Fix")))</f>
        <v xml:space="preserve"> </v>
      </c>
      <c r="G398" s="4" t="str">
        <f ca="1">IF(OR(INDEX($AG$2:$AG$1001,MATCH(ROWS($AF$2:AF398),$AF$2:$AF$1001,0),1)&gt;=100000,INDEX($AM$1005:$BM$1005,1,MATCH(COLUMNS($AM$1006:AR1006),$AM$1006:$BM$1006,0))&gt;=100000), " ",IF(INDEX($AM$2:$BM$1001,MATCH(ROWS($AF$2:AF398),$AF$2:$AF$1001,0),MATCH(COLUMNS($AM$1006:AR1006),$AM$1006:$BM$1006,0)), HYPERLINK("#",""), HYPERLINK(CONCATENATE("#metadata!", ADDRESS(INDEX($AH$2:$AH$1001,MATCH(ROWS($AF$2:AF398),$AF$2:$AF$1001,0),0), INDEX($AM$1004:$BM$1004,1,MATCH(COLUMNS($AM$1006:AR1006),$AM$1006:$BM$1006,0)))),"Fix")))</f>
        <v xml:space="preserve"> </v>
      </c>
      <c r="H398" s="4" t="str">
        <f ca="1">IF(OR(INDEX($AG$2:$AG$1001,MATCH(ROWS($AF$2:AF398),$AF$2:$AF$1001,0),1)&gt;=100000,INDEX($AM$1005:$BM$1005,1,MATCH(COLUMNS($AM$1006:AS1006),$AM$1006:$BM$1006,0))&gt;=100000), " ",IF(INDEX($AM$2:$BM$1001,MATCH(ROWS($AF$2:AF398),$AF$2:$AF$1001,0),MATCH(COLUMNS($AM$1006:AS1006),$AM$1006:$BM$1006,0)), HYPERLINK("#",""), HYPERLINK(CONCATENATE("#metadata!", ADDRESS(INDEX($AH$2:$AH$1001,MATCH(ROWS($AF$2:AF398),$AF$2:$AF$1001,0),0), INDEX($AM$1004:$BM$1004,1,MATCH(COLUMNS($AM$1006:AS1006),$AM$1006:$BM$1006,0)))),"Fix")))</f>
        <v xml:space="preserve"> </v>
      </c>
      <c r="I398" s="4" t="str">
        <f ca="1">IF(OR(INDEX($AG$2:$AG$1001,MATCH(ROWS($AF$2:AF398),$AF$2:$AF$1001,0),1)&gt;=100000,INDEX($AM$1005:$BM$1005,1,MATCH(COLUMNS($AM$1006:AT1006),$AM$1006:$BM$1006,0))&gt;=100000), " ",IF(INDEX($AM$2:$BM$1001,MATCH(ROWS($AF$2:AF398),$AF$2:$AF$1001,0),MATCH(COLUMNS($AM$1006:AT1006),$AM$1006:$BM$1006,0)), HYPERLINK("#",""), HYPERLINK(CONCATENATE("#metadata!", ADDRESS(INDEX($AH$2:$AH$1001,MATCH(ROWS($AF$2:AF398),$AF$2:$AF$1001,0),0), INDEX($AM$1004:$BM$1004,1,MATCH(COLUMNS($AM$1006:AT1006),$AM$1006:$BM$1006,0)))),"Fix")))</f>
        <v xml:space="preserve"> </v>
      </c>
      <c r="J398" s="4" t="str">
        <f ca="1">IF(OR(INDEX($AG$2:$AG$1001,MATCH(ROWS($AF$2:AF398),$AF$2:$AF$1001,0),1)&gt;=100000,INDEX($AM$1005:$BM$1005,1,MATCH(COLUMNS($AM$1006:AU1006),$AM$1006:$BM$1006,0))&gt;=100000), " ",IF(INDEX($AM$2:$BM$1001,MATCH(ROWS($AF$2:AF398),$AF$2:$AF$1001,0),MATCH(COLUMNS($AM$1006:AU1006),$AM$1006:$BM$1006,0)), HYPERLINK("#",""), HYPERLINK(CONCATENATE("#metadata!", ADDRESS(INDEX($AH$2:$AH$1001,MATCH(ROWS($AF$2:AF398),$AF$2:$AF$1001,0),0), INDEX($AM$1004:$BM$1004,1,MATCH(COLUMNS($AM$1006:AU1006),$AM$1006:$BM$1006,0)))),"Fix")))</f>
        <v xml:space="preserve"> </v>
      </c>
      <c r="K398" s="4" t="str">
        <f ca="1">IF(OR(INDEX($AG$2:$AG$1001,MATCH(ROWS($AF$2:AF398),$AF$2:$AF$1001,0),1)&gt;=100000,INDEX($AM$1005:$BM$1005,1,MATCH(COLUMNS($AM$1006:AV1006),$AM$1006:$BM$1006,0))&gt;=100000), " ",IF(INDEX($AM$2:$BM$1001,MATCH(ROWS($AF$2:AF398),$AF$2:$AF$1001,0),MATCH(COLUMNS($AM$1006:AV1006),$AM$1006:$BM$1006,0)), HYPERLINK("#",""), HYPERLINK(CONCATENATE("#metadata!", ADDRESS(INDEX($AH$2:$AH$1001,MATCH(ROWS($AF$2:AF398),$AF$2:$AF$1001,0),0), INDEX($AM$1004:$BM$1004,1,MATCH(COLUMNS($AM$1006:AV1006),$AM$1006:$BM$1006,0)))),"Fix")))</f>
        <v xml:space="preserve"> </v>
      </c>
      <c r="L398" s="4" t="str">
        <f ca="1">IF(OR(INDEX($AG$2:$AG$1001,MATCH(ROWS($AF$2:AF398),$AF$2:$AF$1001,0),1)&gt;=100000,INDEX($AM$1005:$BM$1005,1,MATCH(COLUMNS($AM$1006:AW1006),$AM$1006:$BM$1006,0))&gt;=100000), " ",IF(INDEX($AM$2:$BM$1001,MATCH(ROWS($AF$2:AF398),$AF$2:$AF$1001,0),MATCH(COLUMNS($AM$1006:AW1006),$AM$1006:$BM$1006,0)), HYPERLINK("#",""), HYPERLINK(CONCATENATE("#metadata!", ADDRESS(INDEX($AH$2:$AH$1001,MATCH(ROWS($AF$2:AF398),$AF$2:$AF$1001,0),0), INDEX($AM$1004:$BM$1004,1,MATCH(COLUMNS($AM$1006:AW1006),$AM$1006:$BM$1006,0)))),"Fix")))</f>
        <v xml:space="preserve"> </v>
      </c>
      <c r="M398" s="4" t="str">
        <f ca="1">IF(OR(INDEX($AG$2:$AG$1001,MATCH(ROWS($AF$2:AF398),$AF$2:$AF$1001,0),1)&gt;=100000,INDEX($AM$1005:$BM$1005,1,MATCH(COLUMNS($AM$1006:AX1006),$AM$1006:$BM$1006,0))&gt;=100000), " ",IF(INDEX($AM$2:$BM$1001,MATCH(ROWS($AF$2:AF398),$AF$2:$AF$1001,0),MATCH(COLUMNS($AM$1006:AX1006),$AM$1006:$BM$1006,0)), HYPERLINK("#",""), HYPERLINK(CONCATENATE("#metadata!", ADDRESS(INDEX($AH$2:$AH$1001,MATCH(ROWS($AF$2:AF398),$AF$2:$AF$1001,0),0), INDEX($AM$1004:$BM$1004,1,MATCH(COLUMNS($AM$1006:AX1006),$AM$1006:$BM$1006,0)))),"Fix")))</f>
        <v xml:space="preserve"> </v>
      </c>
      <c r="N398" s="4" t="str">
        <f ca="1">IF(OR(INDEX($AG$2:$AG$1001,MATCH(ROWS($AF$2:AF398),$AF$2:$AF$1001,0),1)&gt;=100000,INDEX($AM$1005:$BM$1005,1,MATCH(COLUMNS($AM$1006:AY1006),$AM$1006:$BM$1006,0))&gt;=100000), " ",IF(INDEX($AM$2:$BM$1001,MATCH(ROWS($AF$2:AF398),$AF$2:$AF$1001,0),MATCH(COLUMNS($AM$1006:AY1006),$AM$1006:$BM$1006,0)), HYPERLINK("#",""), HYPERLINK(CONCATENATE("#metadata!", ADDRESS(INDEX($AH$2:$AH$1001,MATCH(ROWS($AF$2:AF398),$AF$2:$AF$1001,0),0), INDEX($AM$1004:$BM$1004,1,MATCH(COLUMNS($AM$1006:AY1006),$AM$1006:$BM$1006,0)))),"Fix")))</f>
        <v xml:space="preserve"> </v>
      </c>
      <c r="O398" s="4" t="str">
        <f ca="1">IF(OR(INDEX($AG$2:$AG$1001,MATCH(ROWS($AF$2:AF398),$AF$2:$AF$1001,0),1)&gt;=100000,INDEX($AM$1005:$BM$1005,1,MATCH(COLUMNS($AM$1006:AZ1006),$AM$1006:$BM$1006,0))&gt;=100000), " ",IF(INDEX($AM$2:$BM$1001,MATCH(ROWS($AF$2:AF398),$AF$2:$AF$1001,0),MATCH(COLUMNS($AM$1006:AZ1006),$AM$1006:$BM$1006,0)), HYPERLINK("#",""), HYPERLINK(CONCATENATE("#metadata!", ADDRESS(INDEX($AH$2:$AH$1001,MATCH(ROWS($AF$2:AF398),$AF$2:$AF$1001,0),0), INDEX($AM$1004:$BM$1004,1,MATCH(COLUMNS($AM$1006:AZ1006),$AM$1006:$BM$1006,0)))),"Fix")))</f>
        <v xml:space="preserve"> </v>
      </c>
      <c r="P398" s="4" t="str">
        <f ca="1">IF(OR(INDEX($AG$2:$AG$1001,MATCH(ROWS($AF$2:AF398),$AF$2:$AF$1001,0),1)&gt;=100000,INDEX($AM$1005:$BM$1005,1,MATCH(COLUMNS($AM$1006:BA1006),$AM$1006:$BM$1006,0))&gt;=100000), " ",IF(INDEX($AM$2:$BM$1001,MATCH(ROWS($AF$2:AF398),$AF$2:$AF$1001,0),MATCH(COLUMNS($AM$1006:BA1006),$AM$1006:$BM$1006,0)), HYPERLINK("#",""), HYPERLINK(CONCATENATE("#metadata!", ADDRESS(INDEX($AH$2:$AH$1001,MATCH(ROWS($AF$2:AF398),$AF$2:$AF$1001,0),0), INDEX($AM$1004:$BM$1004,1,MATCH(COLUMNS($AM$1006:BA1006),$AM$1006:$BM$1006,0)))),"Fix")))</f>
        <v xml:space="preserve"> </v>
      </c>
      <c r="Q398" s="4" t="str">
        <f ca="1">IF(OR(INDEX($AG$2:$AG$1001,MATCH(ROWS($AF$2:AF398),$AF$2:$AF$1001,0),1)&gt;=100000,INDEX($AM$1005:$BM$1005,1,MATCH(COLUMNS($AM$1006:BB1006),$AM$1006:$BM$1006,0))&gt;=100000), " ",IF(INDEX($AM$2:$BM$1001,MATCH(ROWS($AF$2:AF398),$AF$2:$AF$1001,0),MATCH(COLUMNS($AM$1006:BB1006),$AM$1006:$BM$1006,0)), HYPERLINK("#",""), HYPERLINK(CONCATENATE("#metadata!", ADDRESS(INDEX($AH$2:$AH$1001,MATCH(ROWS($AF$2:AF398),$AF$2:$AF$1001,0),0), INDEX($AM$1004:$BM$1004,1,MATCH(COLUMNS($AM$1006:BB1006),$AM$1006:$BM$1006,0)))),"Fix")))</f>
        <v xml:space="preserve"> </v>
      </c>
      <c r="R398" s="4" t="str">
        <f ca="1">IF(OR(INDEX($AG$2:$AG$1001,MATCH(ROWS($AF$2:AF398),$AF$2:$AF$1001,0),1)&gt;=100000,INDEX($AM$1005:$BM$1005,1,MATCH(COLUMNS($AM$1006:BC1006),$AM$1006:$BM$1006,0))&gt;=100000), " ",IF(INDEX($AM$2:$BM$1001,MATCH(ROWS($AF$2:AF398),$AF$2:$AF$1001,0),MATCH(COLUMNS($AM$1006:BC1006),$AM$1006:$BM$1006,0)), HYPERLINK("#",""), HYPERLINK(CONCATENATE("#metadata!", ADDRESS(INDEX($AH$2:$AH$1001,MATCH(ROWS($AF$2:AF398),$AF$2:$AF$1001,0),0), INDEX($AM$1004:$BM$1004,1,MATCH(COLUMNS($AM$1006:BC1006),$AM$1006:$BM$1006,0)))),"Fix")))</f>
        <v xml:space="preserve"> </v>
      </c>
      <c r="S398" s="4" t="str">
        <f ca="1">IF(OR(INDEX($AG$2:$AG$1001,MATCH(ROWS($AF$2:AF398),$AF$2:$AF$1001,0),1)&gt;=100000,INDEX($AM$1005:$BM$1005,1,MATCH(COLUMNS($AM$1006:BD1006),$AM$1006:$BM$1006,0))&gt;=100000), " ",IF(INDEX($AM$2:$BM$1001,MATCH(ROWS($AF$2:AF398),$AF$2:$AF$1001,0),MATCH(COLUMNS($AM$1006:BD1006),$AM$1006:$BM$1006,0)), HYPERLINK("#",""), HYPERLINK(CONCATENATE("#metadata!", ADDRESS(INDEX($AH$2:$AH$1001,MATCH(ROWS($AF$2:AF398),$AF$2:$AF$1001,0),0), INDEX($AM$1004:$BM$1004,1,MATCH(COLUMNS($AM$1006:BD1006),$AM$1006:$BM$1006,0)))),"Fix")))</f>
        <v xml:space="preserve"> </v>
      </c>
      <c r="T398" s="4" t="str">
        <f ca="1">IF(OR(INDEX($AG$2:$AG$1001,MATCH(ROWS($AF$2:AF398),$AF$2:$AF$1001,0),1)&gt;=100000,INDEX($AM$1005:$BM$1005,1,MATCH(COLUMNS($AM$1006:BE1006),$AM$1006:$BM$1006,0))&gt;=100000), " ",IF(INDEX($AM$2:$BM$1001,MATCH(ROWS($AF$2:AF398),$AF$2:$AF$1001,0),MATCH(COLUMNS($AM$1006:BE1006),$AM$1006:$BM$1006,0)), HYPERLINK("#",""), HYPERLINK(CONCATENATE("#metadata!", ADDRESS(INDEX($AH$2:$AH$1001,MATCH(ROWS($AF$2:AF398),$AF$2:$AF$1001,0),0), INDEX($AM$1004:$BM$1004,1,MATCH(COLUMNS($AM$1006:BE1006),$AM$1006:$BM$1006,0)))),"Fix")))</f>
        <v xml:space="preserve"> </v>
      </c>
      <c r="U398" s="4" t="str">
        <f ca="1">IF(OR(INDEX($AG$2:$AG$1001,MATCH(ROWS($AF$2:AF398),$AF$2:$AF$1001,0),1)&gt;=100000,INDEX($AM$1005:$BM$1005,1,MATCH(COLUMNS($AM$1006:BF1006),$AM$1006:$BM$1006,0))&gt;=100000), " ",IF(INDEX($AM$2:$BM$1001,MATCH(ROWS($AF$2:AF398),$AF$2:$AF$1001,0),MATCH(COLUMNS($AM$1006:BF1006),$AM$1006:$BM$1006,0)), HYPERLINK("#",""), HYPERLINK(CONCATENATE("#metadata!", ADDRESS(INDEX($AH$2:$AH$1001,MATCH(ROWS($AF$2:AF398),$AF$2:$AF$1001,0),0), INDEX($AM$1004:$BM$1004,1,MATCH(COLUMNS($AM$1006:BF1006),$AM$1006:$BM$1006,0)))),"Fix")))</f>
        <v xml:space="preserve"> </v>
      </c>
      <c r="V398" s="4" t="str">
        <f ca="1">IF(OR(INDEX($AG$2:$AG$1001,MATCH(ROWS($AF$2:AF398),$AF$2:$AF$1001,0),1)&gt;=100000,INDEX($AM$1005:$BM$1005,1,MATCH(COLUMNS($AM$1006:BG1006),$AM$1006:$BM$1006,0))&gt;=100000), " ",IF(INDEX($AM$2:$BM$1001,MATCH(ROWS($AF$2:AF398),$AF$2:$AF$1001,0),MATCH(COLUMNS($AM$1006:BG1006),$AM$1006:$BM$1006,0)), HYPERLINK("#",""), HYPERLINK(CONCATENATE("#metadata!", ADDRESS(INDEX($AH$2:$AH$1001,MATCH(ROWS($AF$2:AF398),$AF$2:$AF$1001,0),0), INDEX($AM$1004:$BM$1004,1,MATCH(COLUMNS($AM$1006:BG1006),$AM$1006:$BM$1006,0)))),"Fix")))</f>
        <v xml:space="preserve"> </v>
      </c>
      <c r="W398" s="4" t="str">
        <f ca="1">IF(OR(INDEX($AG$2:$AG$1001,MATCH(ROWS($AF$2:AF398),$AF$2:$AF$1001,0),1)&gt;=100000,INDEX($AM$1005:$BM$1005,1,MATCH(COLUMNS($AM$1006:BH1006),$AM$1006:$BM$1006,0))&gt;=100000), " ",IF(INDEX($AM$2:$BM$1001,MATCH(ROWS($AF$2:AF398),$AF$2:$AF$1001,0),MATCH(COLUMNS($AM$1006:BH1006),$AM$1006:$BM$1006,0)), HYPERLINK("#",""), HYPERLINK(CONCATENATE("#metadata!", ADDRESS(INDEX($AH$2:$AH$1001,MATCH(ROWS($AF$2:AF398),$AF$2:$AF$1001,0),0), INDEX($AM$1004:$BM$1004,1,MATCH(COLUMNS($AM$1006:BH1006),$AM$1006:$BM$1006,0)))),"Fix")))</f>
        <v xml:space="preserve"> </v>
      </c>
      <c r="X398" s="4" t="str">
        <f ca="1">IF(OR(INDEX($AG$2:$AG$1001,MATCH(ROWS($AF$2:AF398),$AF$2:$AF$1001,0),1)&gt;=100000,INDEX($AM$1005:$BM$1005,1,MATCH(COLUMNS($AM$1006:BI1006),$AM$1006:$BM$1006,0))&gt;=100000), " ",IF(INDEX($AM$2:$BM$1001,MATCH(ROWS($AF$2:AF398),$AF$2:$AF$1001,0),MATCH(COLUMNS($AM$1006:BI1006),$AM$1006:$BM$1006,0)), HYPERLINK("#",""), HYPERLINK(CONCATENATE("#metadata!", ADDRESS(INDEX($AH$2:$AH$1001,MATCH(ROWS($AF$2:AF398),$AF$2:$AF$1001,0),0), INDEX($AM$1004:$BM$1004,1,MATCH(COLUMNS($AM$1006:BI1006),$AM$1006:$BM$1006,0)))),"Fix")))</f>
        <v xml:space="preserve"> </v>
      </c>
      <c r="Y398" s="4" t="str">
        <f ca="1">IF(OR(INDEX($AG$2:$AG$1001,MATCH(ROWS($AF$2:AF398),$AF$2:$AF$1001,0),1)&gt;=100000,INDEX($AM$1005:$BM$1005,1,MATCH(COLUMNS($AM$1006:BJ1006),$AM$1006:$BM$1006,0))&gt;=100000), " ",IF(INDEX($AM$2:$BM$1001,MATCH(ROWS($AF$2:AF398),$AF$2:$AF$1001,0),MATCH(COLUMNS($AM$1006:BJ1006),$AM$1006:$BM$1006,0)), HYPERLINK("#",""), HYPERLINK(CONCATENATE("#metadata!", ADDRESS(INDEX($AH$2:$AH$1001,MATCH(ROWS($AF$2:AF398),$AF$2:$AF$1001,0),0), INDEX($AM$1004:$BM$1004,1,MATCH(COLUMNS($AM$1006:BJ1006),$AM$1006:$BM$1006,0)))),"Fix")))</f>
        <v xml:space="preserve"> </v>
      </c>
      <c r="Z398" s="4" t="str">
        <f ca="1">IF(OR(INDEX($AG$2:$AG$1001,MATCH(ROWS($AF$2:AF398),$AF$2:$AF$1001,0),1)&gt;=100000,INDEX($AM$1005:$BM$1005,1,MATCH(COLUMNS($AM$1006:BK1006),$AM$1006:$BM$1006,0))&gt;=100000), " ",IF(INDEX($AM$2:$BM$1001,MATCH(ROWS($AF$2:AF398),$AF$2:$AF$1001,0),MATCH(COLUMNS($AM$1006:BK1006),$AM$1006:$BM$1006,0)), HYPERLINK("#",""), HYPERLINK(CONCATENATE("#metadata!", ADDRESS(INDEX($AH$2:$AH$1001,MATCH(ROWS($AF$2:AF398),$AF$2:$AF$1001,0),0), INDEX($AM$1004:$BM$1004,1,MATCH(COLUMNS($AM$1006:BK1006),$AM$1006:$BM$1006,0)))),"Fix")))</f>
        <v xml:space="preserve"> </v>
      </c>
      <c r="AA398" s="4" t="str">
        <f ca="1">IF(OR(INDEX($AG$2:$AG$1001,MATCH(ROWS($AF$2:AF398),$AF$2:$AF$1001,0),1)&gt;=100000,INDEX($AM$1005:$BM$1005,1,MATCH(COLUMNS($AM$1006:BL1006),$AM$1006:$BM$1006,0))&gt;=100000), " ",IF(INDEX($AM$2:$BM$1001,MATCH(ROWS($AF$2:AF398),$AF$2:$AF$1001,0),MATCH(COLUMNS($AM$1006:BL1006),$AM$1006:$BM$1006,0)), HYPERLINK("#",""), HYPERLINK(CONCATENATE("#metadata!", ADDRESS(INDEX($AH$2:$AH$1001,MATCH(ROWS($AF$2:AF398),$AF$2:$AF$1001,0),0), INDEX($AM$1004:$BM$1004,1,MATCH(COLUMNS($AM$1006:BL1006),$AM$1006:$BM$1006,0)))),"Fix")))</f>
        <v xml:space="preserve"> </v>
      </c>
      <c r="AB398" s="4" t="str">
        <f ca="1">IF(OR(INDEX($AG$2:$AG$1001,MATCH(ROWS($AF$2:AF398),$AF$2:$AF$1001,0),1)&gt;=100000,INDEX($AM$1005:$BM$1005,1,MATCH(COLUMNS($AM$1006:BM1006),$AM$1006:$BM$1006,0))&gt;=100000), " ",IF(INDEX($AM$2:$BM$1001,MATCH(ROWS($AF$2:AF398),$AF$2:$AF$1001,0),MATCH(COLUMNS($AM$1006:BM1006),$AM$1006:$BM$1006,0)), HYPERLINK("#",""), HYPERLINK(CONCATENATE("#metadata!", ADDRESS(INDEX($AH$2:$AH$1001,MATCH(ROWS($AF$2:AF398),$AF$2:$AF$1001,0),0), INDEX($AM$1004:$BM$1004,1,MATCH(COLUMNS($AM$1006:BM1006),$AM$1006:$BM$1006,0)))),"Fix")))</f>
        <v xml:space="preserve"> </v>
      </c>
      <c r="AF398">
        <v>397</v>
      </c>
      <c r="AG398">
        <v>100398</v>
      </c>
      <c r="AH398">
        <v>398</v>
      </c>
      <c r="AI398" t="b">
        <f t="shared" si="6"/>
        <v>1</v>
      </c>
      <c r="AJ398" t="b">
        <f>COUNTBLANK(metadata!B398:AB398)=COLUMNS(metadata!B398:AB398)</f>
        <v>1</v>
      </c>
      <c r="AK398" t="str">
        <v/>
      </c>
      <c r="AM398" t="b">
        <f ca="1">AND(IF(metadata!B398="",FALSE,TRUE),COUNTIF(metadata!B:B, metadata!B398) = 1,NOT(ISERROR(SUMPRODUCT(SEARCH(MID(metadata!B398,ROW(INDIRECT("1:"&amp;LEN(metadata!B398))), 1),"0123456789abcdefghijklmnopqrstuvwxyzABCDEFGHIJKLMNOPQRSTUVWXYZ.")))))</f>
        <v>0</v>
      </c>
      <c r="AN398" t="b">
        <f ca="1">OR(AND(IF(metadata!C398="",FALSE,TRUE),OR(EXACT(metadata!C398,"missing: not collected"),EXACT(metadata!C398,"missing: not provided"),EXACT(metadata!C398,"missing: restricted access"))),AND(IF(metadata!C398="",FALSE,TRUE),AND(AND(IFERROR(INT(LEFT(metadata!C398,4))&gt;1900,FALSE),IFERROR(INT(LEFT(metadata!C398,4))&lt;=YEAR(NOW()),FALSE)), OR(MID(metadata!C398,5,1)="", AND(AND(MID(metadata!C398,5,1)="-",IFERROR(INT(MID(metadata!C398,6,1))&gt;=0,FALSE),IFERROR(INT(MID(metadata!C398,6,1))&lt;=1,FALSE),NOT(MID(metadata!C398,7,1)=""),IFERROR(INT(MID(metadata!C398,6,2))&gt;=1,FALSE),IFERROR(INT(MID(metadata!C398,6,2))&lt;=12,FALSE)), OR(MID(metadata!C398,8,1)="", AND(AND(MID(metadata!C398,8,1)="-",IFERROR(INT(MID(metadata!C398,9,1))&gt;=0,FALSE),IFERROR(INT(MID(metadata!C398,9,1))&lt;=3,FALSE),NOT(MID(metadata!C398,10,1)=""),IFERROR(INT(MID(metadata!C398,9,2))&gt;=1,FALSE),IFERROR(INT(MID(metadata!C398,9,2))&lt;=31,FALSE)), OR(MID(metadata!C398,11,1)="", AND(AND(MID(metadata!C398,11,1)=" ",IFERROR(INT(MID(metadata!C398,12,1))&gt;=0,FALSE),IFERROR(INT(MID(metadata!C398,12,1))&lt;=2,FALSE),NOT(MID(metadata!C398,13,1)=""),IFERROR(INT(MID(metadata!C398,12,2))&gt;=0,FALSE),IFERROR(INT(MID(metadata!C398,12,2))&lt;=23,FALSE)), OR(MID(metadata!C398,14,1)="", AND(AND(MID(metadata!C398,14,1)=":",IFERROR(INT(MID(metadata!C398,15,1))&gt;=0,FALSE),IFERROR(INT(MID(metadata!C398,15,1))&lt;=5,FALSE),NOT(MID(metadata!C398,16,1)=""),IFERROR(INT(MID(metadata!C398,15,2))&gt;=0,FALSE),IFERROR(INT(MID(metadata!C398,15,2))&lt;=59,FALSE)), OR(MID(metadata!C398,17,1)="", AND(AND(MID(metadata!C398,17,1)=":",IFERROR(INT(MID(metadata!C398,18,1))&gt;=0,FALSE),IFERROR(INT(MID(metadata!C398,18,1))&lt;=5,FALSE),NOT(MID(metadata!C398,19,1)=""),IFERROR(INT(MID(metadata!C398,18,2))&gt;=0,FALSE),IFERROR(INT(MID(metadata!C398,18,2))&lt;=59,FALSE)), LEN(metadata!C398)&lt;=19)))))))))))))</f>
        <v>0</v>
      </c>
      <c r="AO398" t="b">
        <f>AND(IF(metadata!D398="",FALSE,TRUE),EXACT(metadata!D398,"Not applicable"))</f>
        <v>0</v>
      </c>
      <c r="AP398" t="b">
        <f>IF(metadata!E398="",FALSE,TRUE)</f>
        <v>0</v>
      </c>
      <c r="AQ398" t="b">
        <f>OR(AND(IF(metadata!F398="",FALSE,TRUE),OR(EXACT(metadata!F398,"missing: not collected"),EXACT(metadata!F398,"missing: not provided"))),AND(IF(metadata!F398="",FALSE,TRUE),OR(EXACT(metadata!F398,"TRUE"),EXACT(metadata!F398,"FALSE"))))</f>
        <v>0</v>
      </c>
      <c r="AR398" t="b">
        <f>OR(AND(IF(metadata!G398="",FALSE,TRUE),OR(EXACT(metadata!G398,"missing: not collected"),EXACT(metadata!G398,"missing: not provided"),EXACT(metadata!G398,"missing: restricted access"))),AND(IF(metadata!G398="",FALSE,ISNUMBER(VALUE(metadata!G398))),metadata!G398&gt;=-413))</f>
        <v>0</v>
      </c>
      <c r="AS398" t="b">
        <f>AND(IF(metadata!H398="",FALSE,TRUE),EXACT(metadata!H398,"meters"))</f>
        <v>0</v>
      </c>
      <c r="AT398" t="b">
        <f>AND(IF(metadata!I398="",FALSE,TRUE),OR(EXACT(metadata!I398,"Host-associated"),EXACT(metadata!I398,"Free-living")))</f>
        <v>0</v>
      </c>
      <c r="AU398" t="b">
        <f>AND(IF(metadata!J398="",FALSE,TRUE),OR(EXACT(metadata!J398,"Animal"),EXACT(metadata!J398,"Fungus"),EXACT(metadata!J398,"Plant"),EXACT(metadata!J398,"Saline"),EXACT(metadata!J398,"Non-saline")))</f>
        <v>0</v>
      </c>
      <c r="AV398" t="b">
        <f>AND(IF(metadata!K398="",FALSE,TRUE),OR(EXACT(metadata!K398,"Plant secretion"),EXACT(metadata!K398,"Plant rhizosphere"),EXACT(metadata!K398,"Plant surface"),EXACT(metadata!K398,"Plant corpus"),EXACT(metadata!K398,"Fungus surface"),EXACT(metadata!K398,"Fungus corpus"),EXACT(metadata!K398,"Animal surface"),EXACT(metadata!K398,"Animal proximal gut"),EXACT(metadata!K398,"Animal corpus"),EXACT(metadata!K398,"Animal distal gut"),EXACT(metadata!K398,"Animal secretion"),EXACT(metadata!K398,"Sub-surface (non-saline)"),EXACT(metadata!K398,"Surface (non-saline)"),EXACT(metadata!K398,"Water (non-saline)"),EXACT(metadata!K398,"Soil (non-saline)"),EXACT(metadata!K398,"Aerosol (non-saline)"),EXACT(metadata!K398,"Sediment (non-saline)"),EXACT(metadata!K398,"Surface (saline)"),EXACT(metadata!K398,"Water (saline)"),EXACT(metadata!K398,"Hypersaline (saline)"),EXACT(metadata!K398,"Aerosol (saline)"),EXACT(metadata!K398,"Sediment (saline)")))</f>
        <v>0</v>
      </c>
      <c r="AW398" t="b">
        <f>IF(metadata!L398="",FALSE,TRUE)</f>
        <v>0</v>
      </c>
      <c r="AX398" t="b">
        <f>IF(metadata!M398="",FALSE,TRUE)</f>
        <v>0</v>
      </c>
      <c r="AY398" t="b">
        <f>IF(metadata!N398="",FALSE,TRUE)</f>
        <v>0</v>
      </c>
      <c r="AZ398" t="b">
        <f>OR(AND(IF(metadata!O398="",FALSE,TRUE),OR(EXACT(metadata!O398,"missing: not collected"),EXACT(metadata!O398,"missing: not provided"),EXACT(metadata!O398,"missing: restricted access"))),AND(IF(metadata!O398="",FALSE,TRUE),OR(EXACT(metadata!O398,"air"),EXACT(metadata!O398,"built environment"),EXACT(metadata!O398,"host-associated"),EXACT(metadata!O398,"human-associated"),EXACT(metadata!O398,"human-skin"),EXACT(metadata!O398,"human-oral"),EXACT(metadata!O398,"human-gut"),EXACT(metadata!O398,"human-vaginal"),EXACT(metadata!O398,"microbial mat/biofilm"),EXACT(metadata!O398,"misc environment"),EXACT(metadata!O398,"plant-associated"),EXACT(metadata!O398,"sediment"),EXACT(metadata!O398,"soil"),EXACT(metadata!O398,"wastewater/sludge"),EXACT(metadata!O398,"water"))))</f>
        <v>0</v>
      </c>
      <c r="BA398" t="b">
        <f>IF(metadata!P398="",FALSE,TRUE)</f>
        <v>0</v>
      </c>
      <c r="BB398" t="b">
        <f>IF(metadata!Q398="",FALSE,TRUE)</f>
        <v>0</v>
      </c>
      <c r="BC398" t="b">
        <f>OR(AND(IF(metadata!R398="",FALSE,TRUE),OR(EXACT(metadata!R398,"missing: not collected"),EXACT(metadata!R398,"missing: not provided"),EXACT(metadata!R398,"missing: restricted access"))),AND(IF(metadata!R398="",FALSE,ISNUMBER(VALUE(metadata!R398))),metadata!R398&gt;=-90,metadata!R398&lt;=90))</f>
        <v>0</v>
      </c>
      <c r="BD398" t="b">
        <f>AND(IF(metadata!S398="",FALSE,TRUE),EXACT(metadata!S398,"Decimal degrees"))</f>
        <v>0</v>
      </c>
      <c r="BE398" t="b">
        <f>OR(AND(IF(metadata!T398="",FALSE,TRUE),OR(EXACT(metadata!T398,"missing: not collected"),EXACT(metadata!T398,"missing: not provided"),EXACT(metadata!T398,"missing: restricted access"))),AND(IF(metadata!T398="",FALSE,ISNUMBER(VALUE(metadata!T398))),metadata!T398&gt;=-180,metadata!T398&lt;=180))</f>
        <v>0</v>
      </c>
      <c r="BF398" t="b">
        <f>AND(IF(metadata!U398="",FALSE,TRUE),EXACT(metadata!U398,"Decimal degrees"))</f>
        <v>0</v>
      </c>
      <c r="BG398" t="b">
        <f>IF(metadata!V398="",FALSE,TRUE)</f>
        <v>0</v>
      </c>
      <c r="BH398" t="b">
        <f>OR(AND(IF(metadata!W398="",FALSE,TRUE),OR(EXACT(metadata!W398,"missing: not collected"),EXACT(metadata!W398,"missing: not provided"),EXACT(metadata!W398,"missing: restricted access"))),AND(IF(metadata!W398="",FALSE,TRUE),OR(EXACT(metadata!W398,"TRUE"),EXACT(metadata!W398,"FALSE"))))</f>
        <v>0</v>
      </c>
      <c r="BI398" t="b">
        <f>AND(IF(metadata!X398="",FALSE,TRUE),EXACT(metadata!X398,"other"))</f>
        <v>0</v>
      </c>
      <c r="BJ398" t="b">
        <f>IF(metadata!Y398="",FALSE,TRUE)</f>
        <v>0</v>
      </c>
      <c r="BK398" t="b">
        <f>OR(AND(IF(metadata!Z398="",FALSE,TRUE),OR(EXACT(metadata!Z398,"missing: not collected"),EXACT(metadata!Z398,"missing: not provided"))),AND(IF(metadata!Z398="",FALSE,IF(ISERROR(INT(metadata!Z398)),FALSE,INT(metadata!Z398)=metadata!Z398)),metadata!Z398&gt;0))</f>
        <v>0</v>
      </c>
      <c r="BL398" t="b">
        <f>AND(IF(metadata!AA398="",FALSE,TRUE),EXACT(metadata!AA398,"Not applicable"))</f>
        <v>0</v>
      </c>
      <c r="BM398" t="b">
        <f>IF(metadata!AB398="",FALSE,TRUE)</f>
        <v>0</v>
      </c>
    </row>
    <row r="399" spans="1:65" x14ac:dyDescent="0.2">
      <c r="A399" s="5" t="str">
        <f ca="1">IF(B399=" "," ",HYPERLINK(CONCATENATE("#metadata!",ADDRESS(INDEX($AH$2:$AH$1001,MATCH(ROWS($AF$2:AF399),$AF$2:$AF$1001,0),0),1)),INDEX($AK$2:$AK$1001,MATCH(ROWS($AF$2:AF399),$AF$2:$AF$1001,0),0)))</f>
        <v xml:space="preserve"> </v>
      </c>
      <c r="B399" s="4" t="str">
        <f ca="1">IF(OR(INDEX($AG$2:$AG$1001,MATCH(ROWS($AF$2:AF399),$AF$2:$AF$1001,0),1)&gt;=100000,INDEX($AM$1005:$BM$1005,1,MATCH(COLUMNS($AM$1006:AM1006),$AM$1006:$BM$1006,0))&gt;=100000), " ",IF(INDEX($AM$2:$BM$1001,MATCH(ROWS($AF$2:AF399),$AF$2:$AF$1001,0),MATCH(COLUMNS($AM$1006:AM1006),$AM$1006:$BM$1006,0)), HYPERLINK("#",""), HYPERLINK(CONCATENATE("#metadata!", ADDRESS(INDEX($AH$2:$AH$1001,MATCH(ROWS($AF$2:AF399),$AF$2:$AF$1001,0),0), INDEX($AM$1004:$BM$1004,1,MATCH(COLUMNS($AM$1006:AM1006),$AM$1006:$BM$1006,0)))),"Fix")))</f>
        <v xml:space="preserve"> </v>
      </c>
      <c r="C399" s="4" t="str">
        <f ca="1">IF(OR(INDEX($AG$2:$AG$1001,MATCH(ROWS($AF$2:AF399),$AF$2:$AF$1001,0),1)&gt;=100000,INDEX($AM$1005:$BM$1005,1,MATCH(COLUMNS($AM$1006:AN1006),$AM$1006:$BM$1006,0))&gt;=100000), " ",IF(INDEX($AM$2:$BM$1001,MATCH(ROWS($AF$2:AF399),$AF$2:$AF$1001,0),MATCH(COLUMNS($AM$1006:AN1006),$AM$1006:$BM$1006,0)), HYPERLINK("#",""), HYPERLINK(CONCATENATE("#metadata!", ADDRESS(INDEX($AH$2:$AH$1001,MATCH(ROWS($AF$2:AF399),$AF$2:$AF$1001,0),0), INDEX($AM$1004:$BM$1004,1,MATCH(COLUMNS($AM$1006:AN1006),$AM$1006:$BM$1006,0)))),"Fix")))</f>
        <v xml:space="preserve"> </v>
      </c>
      <c r="D399" s="4" t="str">
        <f ca="1">IF(OR(INDEX($AG$2:$AG$1001,MATCH(ROWS($AF$2:AF399),$AF$2:$AF$1001,0),1)&gt;=100000,INDEX($AM$1005:$BM$1005,1,MATCH(COLUMNS($AM$1006:AO1006),$AM$1006:$BM$1006,0))&gt;=100000), " ",IF(INDEX($AM$2:$BM$1001,MATCH(ROWS($AF$2:AF399),$AF$2:$AF$1001,0),MATCH(COLUMNS($AM$1006:AO1006),$AM$1006:$BM$1006,0)), HYPERLINK("#",""), HYPERLINK(CONCATENATE("#metadata!", ADDRESS(INDEX($AH$2:$AH$1001,MATCH(ROWS($AF$2:AF399),$AF$2:$AF$1001,0),0), INDEX($AM$1004:$BM$1004,1,MATCH(COLUMNS($AM$1006:AO1006),$AM$1006:$BM$1006,0)))),"Fix")))</f>
        <v xml:space="preserve"> </v>
      </c>
      <c r="E399" s="4" t="str">
        <f ca="1">IF(OR(INDEX($AG$2:$AG$1001,MATCH(ROWS($AF$2:AF399),$AF$2:$AF$1001,0),1)&gt;=100000,INDEX($AM$1005:$BM$1005,1,MATCH(COLUMNS($AM$1006:AP1006),$AM$1006:$BM$1006,0))&gt;=100000), " ",IF(INDEX($AM$2:$BM$1001,MATCH(ROWS($AF$2:AF399),$AF$2:$AF$1001,0),MATCH(COLUMNS($AM$1006:AP1006),$AM$1006:$BM$1006,0)), HYPERLINK("#",""), HYPERLINK(CONCATENATE("#metadata!", ADDRESS(INDEX($AH$2:$AH$1001,MATCH(ROWS($AF$2:AF399),$AF$2:$AF$1001,0),0), INDEX($AM$1004:$BM$1004,1,MATCH(COLUMNS($AM$1006:AP1006),$AM$1006:$BM$1006,0)))),"Fix")))</f>
        <v xml:space="preserve"> </v>
      </c>
      <c r="F399" s="4" t="str">
        <f ca="1">IF(OR(INDEX($AG$2:$AG$1001,MATCH(ROWS($AF$2:AF399),$AF$2:$AF$1001,0),1)&gt;=100000,INDEX($AM$1005:$BM$1005,1,MATCH(COLUMNS($AM$1006:AQ1006),$AM$1006:$BM$1006,0))&gt;=100000), " ",IF(INDEX($AM$2:$BM$1001,MATCH(ROWS($AF$2:AF399),$AF$2:$AF$1001,0),MATCH(COLUMNS($AM$1006:AQ1006),$AM$1006:$BM$1006,0)), HYPERLINK("#",""), HYPERLINK(CONCATENATE("#metadata!", ADDRESS(INDEX($AH$2:$AH$1001,MATCH(ROWS($AF$2:AF399),$AF$2:$AF$1001,0),0), INDEX($AM$1004:$BM$1004,1,MATCH(COLUMNS($AM$1006:AQ1006),$AM$1006:$BM$1006,0)))),"Fix")))</f>
        <v xml:space="preserve"> </v>
      </c>
      <c r="G399" s="4" t="str">
        <f ca="1">IF(OR(INDEX($AG$2:$AG$1001,MATCH(ROWS($AF$2:AF399),$AF$2:$AF$1001,0),1)&gt;=100000,INDEX($AM$1005:$BM$1005,1,MATCH(COLUMNS($AM$1006:AR1006),$AM$1006:$BM$1006,0))&gt;=100000), " ",IF(INDEX($AM$2:$BM$1001,MATCH(ROWS($AF$2:AF399),$AF$2:$AF$1001,0),MATCH(COLUMNS($AM$1006:AR1006),$AM$1006:$BM$1006,0)), HYPERLINK("#",""), HYPERLINK(CONCATENATE("#metadata!", ADDRESS(INDEX($AH$2:$AH$1001,MATCH(ROWS($AF$2:AF399),$AF$2:$AF$1001,0),0), INDEX($AM$1004:$BM$1004,1,MATCH(COLUMNS($AM$1006:AR1006),$AM$1006:$BM$1006,0)))),"Fix")))</f>
        <v xml:space="preserve"> </v>
      </c>
      <c r="H399" s="4" t="str">
        <f ca="1">IF(OR(INDEX($AG$2:$AG$1001,MATCH(ROWS($AF$2:AF399),$AF$2:$AF$1001,0),1)&gt;=100000,INDEX($AM$1005:$BM$1005,1,MATCH(COLUMNS($AM$1006:AS1006),$AM$1006:$BM$1006,0))&gt;=100000), " ",IF(INDEX($AM$2:$BM$1001,MATCH(ROWS($AF$2:AF399),$AF$2:$AF$1001,0),MATCH(COLUMNS($AM$1006:AS1006),$AM$1006:$BM$1006,0)), HYPERLINK("#",""), HYPERLINK(CONCATENATE("#metadata!", ADDRESS(INDEX($AH$2:$AH$1001,MATCH(ROWS($AF$2:AF399),$AF$2:$AF$1001,0),0), INDEX($AM$1004:$BM$1004,1,MATCH(COLUMNS($AM$1006:AS1006),$AM$1006:$BM$1006,0)))),"Fix")))</f>
        <v xml:space="preserve"> </v>
      </c>
      <c r="I399" s="4" t="str">
        <f ca="1">IF(OR(INDEX($AG$2:$AG$1001,MATCH(ROWS($AF$2:AF399),$AF$2:$AF$1001,0),1)&gt;=100000,INDEX($AM$1005:$BM$1005,1,MATCH(COLUMNS($AM$1006:AT1006),$AM$1006:$BM$1006,0))&gt;=100000), " ",IF(INDEX($AM$2:$BM$1001,MATCH(ROWS($AF$2:AF399),$AF$2:$AF$1001,0),MATCH(COLUMNS($AM$1006:AT1006),$AM$1006:$BM$1006,0)), HYPERLINK("#",""), HYPERLINK(CONCATENATE("#metadata!", ADDRESS(INDEX($AH$2:$AH$1001,MATCH(ROWS($AF$2:AF399),$AF$2:$AF$1001,0),0), INDEX($AM$1004:$BM$1004,1,MATCH(COLUMNS($AM$1006:AT1006),$AM$1006:$BM$1006,0)))),"Fix")))</f>
        <v xml:space="preserve"> </v>
      </c>
      <c r="J399" s="4" t="str">
        <f ca="1">IF(OR(INDEX($AG$2:$AG$1001,MATCH(ROWS($AF$2:AF399),$AF$2:$AF$1001,0),1)&gt;=100000,INDEX($AM$1005:$BM$1005,1,MATCH(COLUMNS($AM$1006:AU1006),$AM$1006:$BM$1006,0))&gt;=100000), " ",IF(INDEX($AM$2:$BM$1001,MATCH(ROWS($AF$2:AF399),$AF$2:$AF$1001,0),MATCH(COLUMNS($AM$1006:AU1006),$AM$1006:$BM$1006,0)), HYPERLINK("#",""), HYPERLINK(CONCATENATE("#metadata!", ADDRESS(INDEX($AH$2:$AH$1001,MATCH(ROWS($AF$2:AF399),$AF$2:$AF$1001,0),0), INDEX($AM$1004:$BM$1004,1,MATCH(COLUMNS($AM$1006:AU1006),$AM$1006:$BM$1006,0)))),"Fix")))</f>
        <v xml:space="preserve"> </v>
      </c>
      <c r="K399" s="4" t="str">
        <f ca="1">IF(OR(INDEX($AG$2:$AG$1001,MATCH(ROWS($AF$2:AF399),$AF$2:$AF$1001,0),1)&gt;=100000,INDEX($AM$1005:$BM$1005,1,MATCH(COLUMNS($AM$1006:AV1006),$AM$1006:$BM$1006,0))&gt;=100000), " ",IF(INDEX($AM$2:$BM$1001,MATCH(ROWS($AF$2:AF399),$AF$2:$AF$1001,0),MATCH(COLUMNS($AM$1006:AV1006),$AM$1006:$BM$1006,0)), HYPERLINK("#",""), HYPERLINK(CONCATENATE("#metadata!", ADDRESS(INDEX($AH$2:$AH$1001,MATCH(ROWS($AF$2:AF399),$AF$2:$AF$1001,0),0), INDEX($AM$1004:$BM$1004,1,MATCH(COLUMNS($AM$1006:AV1006),$AM$1006:$BM$1006,0)))),"Fix")))</f>
        <v xml:space="preserve"> </v>
      </c>
      <c r="L399" s="4" t="str">
        <f ca="1">IF(OR(INDEX($AG$2:$AG$1001,MATCH(ROWS($AF$2:AF399),$AF$2:$AF$1001,0),1)&gt;=100000,INDEX($AM$1005:$BM$1005,1,MATCH(COLUMNS($AM$1006:AW1006),$AM$1006:$BM$1006,0))&gt;=100000), " ",IF(INDEX($AM$2:$BM$1001,MATCH(ROWS($AF$2:AF399),$AF$2:$AF$1001,0),MATCH(COLUMNS($AM$1006:AW1006),$AM$1006:$BM$1006,0)), HYPERLINK("#",""), HYPERLINK(CONCATENATE("#metadata!", ADDRESS(INDEX($AH$2:$AH$1001,MATCH(ROWS($AF$2:AF399),$AF$2:$AF$1001,0),0), INDEX($AM$1004:$BM$1004,1,MATCH(COLUMNS($AM$1006:AW1006),$AM$1006:$BM$1006,0)))),"Fix")))</f>
        <v xml:space="preserve"> </v>
      </c>
      <c r="M399" s="4" t="str">
        <f ca="1">IF(OR(INDEX($AG$2:$AG$1001,MATCH(ROWS($AF$2:AF399),$AF$2:$AF$1001,0),1)&gt;=100000,INDEX($AM$1005:$BM$1005,1,MATCH(COLUMNS($AM$1006:AX1006),$AM$1006:$BM$1006,0))&gt;=100000), " ",IF(INDEX($AM$2:$BM$1001,MATCH(ROWS($AF$2:AF399),$AF$2:$AF$1001,0),MATCH(COLUMNS($AM$1006:AX1006),$AM$1006:$BM$1006,0)), HYPERLINK("#",""), HYPERLINK(CONCATENATE("#metadata!", ADDRESS(INDEX($AH$2:$AH$1001,MATCH(ROWS($AF$2:AF399),$AF$2:$AF$1001,0),0), INDEX($AM$1004:$BM$1004,1,MATCH(COLUMNS($AM$1006:AX1006),$AM$1006:$BM$1006,0)))),"Fix")))</f>
        <v xml:space="preserve"> </v>
      </c>
      <c r="N399" s="4" t="str">
        <f ca="1">IF(OR(INDEX($AG$2:$AG$1001,MATCH(ROWS($AF$2:AF399),$AF$2:$AF$1001,0),1)&gt;=100000,INDEX($AM$1005:$BM$1005,1,MATCH(COLUMNS($AM$1006:AY1006),$AM$1006:$BM$1006,0))&gt;=100000), " ",IF(INDEX($AM$2:$BM$1001,MATCH(ROWS($AF$2:AF399),$AF$2:$AF$1001,0),MATCH(COLUMNS($AM$1006:AY1006),$AM$1006:$BM$1006,0)), HYPERLINK("#",""), HYPERLINK(CONCATENATE("#metadata!", ADDRESS(INDEX($AH$2:$AH$1001,MATCH(ROWS($AF$2:AF399),$AF$2:$AF$1001,0),0), INDEX($AM$1004:$BM$1004,1,MATCH(COLUMNS($AM$1006:AY1006),$AM$1006:$BM$1006,0)))),"Fix")))</f>
        <v xml:space="preserve"> </v>
      </c>
      <c r="O399" s="4" t="str">
        <f ca="1">IF(OR(INDEX($AG$2:$AG$1001,MATCH(ROWS($AF$2:AF399),$AF$2:$AF$1001,0),1)&gt;=100000,INDEX($AM$1005:$BM$1005,1,MATCH(COLUMNS($AM$1006:AZ1006),$AM$1006:$BM$1006,0))&gt;=100000), " ",IF(INDEX($AM$2:$BM$1001,MATCH(ROWS($AF$2:AF399),$AF$2:$AF$1001,0),MATCH(COLUMNS($AM$1006:AZ1006),$AM$1006:$BM$1006,0)), HYPERLINK("#",""), HYPERLINK(CONCATENATE("#metadata!", ADDRESS(INDEX($AH$2:$AH$1001,MATCH(ROWS($AF$2:AF399),$AF$2:$AF$1001,0),0), INDEX($AM$1004:$BM$1004,1,MATCH(COLUMNS($AM$1006:AZ1006),$AM$1006:$BM$1006,0)))),"Fix")))</f>
        <v xml:space="preserve"> </v>
      </c>
      <c r="P399" s="4" t="str">
        <f ca="1">IF(OR(INDEX($AG$2:$AG$1001,MATCH(ROWS($AF$2:AF399),$AF$2:$AF$1001,0),1)&gt;=100000,INDEX($AM$1005:$BM$1005,1,MATCH(COLUMNS($AM$1006:BA1006),$AM$1006:$BM$1006,0))&gt;=100000), " ",IF(INDEX($AM$2:$BM$1001,MATCH(ROWS($AF$2:AF399),$AF$2:$AF$1001,0),MATCH(COLUMNS($AM$1006:BA1006),$AM$1006:$BM$1006,0)), HYPERLINK("#",""), HYPERLINK(CONCATENATE("#metadata!", ADDRESS(INDEX($AH$2:$AH$1001,MATCH(ROWS($AF$2:AF399),$AF$2:$AF$1001,0),0), INDEX($AM$1004:$BM$1004,1,MATCH(COLUMNS($AM$1006:BA1006),$AM$1006:$BM$1006,0)))),"Fix")))</f>
        <v xml:space="preserve"> </v>
      </c>
      <c r="Q399" s="4" t="str">
        <f ca="1">IF(OR(INDEX($AG$2:$AG$1001,MATCH(ROWS($AF$2:AF399),$AF$2:$AF$1001,0),1)&gt;=100000,INDEX($AM$1005:$BM$1005,1,MATCH(COLUMNS($AM$1006:BB1006),$AM$1006:$BM$1006,0))&gt;=100000), " ",IF(INDEX($AM$2:$BM$1001,MATCH(ROWS($AF$2:AF399),$AF$2:$AF$1001,0),MATCH(COLUMNS($AM$1006:BB1006),$AM$1006:$BM$1006,0)), HYPERLINK("#",""), HYPERLINK(CONCATENATE("#metadata!", ADDRESS(INDEX($AH$2:$AH$1001,MATCH(ROWS($AF$2:AF399),$AF$2:$AF$1001,0),0), INDEX($AM$1004:$BM$1004,1,MATCH(COLUMNS($AM$1006:BB1006),$AM$1006:$BM$1006,0)))),"Fix")))</f>
        <v xml:space="preserve"> </v>
      </c>
      <c r="R399" s="4" t="str">
        <f ca="1">IF(OR(INDEX($AG$2:$AG$1001,MATCH(ROWS($AF$2:AF399),$AF$2:$AF$1001,0),1)&gt;=100000,INDEX($AM$1005:$BM$1005,1,MATCH(COLUMNS($AM$1006:BC1006),$AM$1006:$BM$1006,0))&gt;=100000), " ",IF(INDEX($AM$2:$BM$1001,MATCH(ROWS($AF$2:AF399),$AF$2:$AF$1001,0),MATCH(COLUMNS($AM$1006:BC1006),$AM$1006:$BM$1006,0)), HYPERLINK("#",""), HYPERLINK(CONCATENATE("#metadata!", ADDRESS(INDEX($AH$2:$AH$1001,MATCH(ROWS($AF$2:AF399),$AF$2:$AF$1001,0),0), INDEX($AM$1004:$BM$1004,1,MATCH(COLUMNS($AM$1006:BC1006),$AM$1006:$BM$1006,0)))),"Fix")))</f>
        <v xml:space="preserve"> </v>
      </c>
      <c r="S399" s="4" t="str">
        <f ca="1">IF(OR(INDEX($AG$2:$AG$1001,MATCH(ROWS($AF$2:AF399),$AF$2:$AF$1001,0),1)&gt;=100000,INDEX($AM$1005:$BM$1005,1,MATCH(COLUMNS($AM$1006:BD1006),$AM$1006:$BM$1006,0))&gt;=100000), " ",IF(INDEX($AM$2:$BM$1001,MATCH(ROWS($AF$2:AF399),$AF$2:$AF$1001,0),MATCH(COLUMNS($AM$1006:BD1006),$AM$1006:$BM$1006,0)), HYPERLINK("#",""), HYPERLINK(CONCATENATE("#metadata!", ADDRESS(INDEX($AH$2:$AH$1001,MATCH(ROWS($AF$2:AF399),$AF$2:$AF$1001,0),0), INDEX($AM$1004:$BM$1004,1,MATCH(COLUMNS($AM$1006:BD1006),$AM$1006:$BM$1006,0)))),"Fix")))</f>
        <v xml:space="preserve"> </v>
      </c>
      <c r="T399" s="4" t="str">
        <f ca="1">IF(OR(INDEX($AG$2:$AG$1001,MATCH(ROWS($AF$2:AF399),$AF$2:$AF$1001,0),1)&gt;=100000,INDEX($AM$1005:$BM$1005,1,MATCH(COLUMNS($AM$1006:BE1006),$AM$1006:$BM$1006,0))&gt;=100000), " ",IF(INDEX($AM$2:$BM$1001,MATCH(ROWS($AF$2:AF399),$AF$2:$AF$1001,0),MATCH(COLUMNS($AM$1006:BE1006),$AM$1006:$BM$1006,0)), HYPERLINK("#",""), HYPERLINK(CONCATENATE("#metadata!", ADDRESS(INDEX($AH$2:$AH$1001,MATCH(ROWS($AF$2:AF399),$AF$2:$AF$1001,0),0), INDEX($AM$1004:$BM$1004,1,MATCH(COLUMNS($AM$1006:BE1006),$AM$1006:$BM$1006,0)))),"Fix")))</f>
        <v xml:space="preserve"> </v>
      </c>
      <c r="U399" s="4" t="str">
        <f ca="1">IF(OR(INDEX($AG$2:$AG$1001,MATCH(ROWS($AF$2:AF399),$AF$2:$AF$1001,0),1)&gt;=100000,INDEX($AM$1005:$BM$1005,1,MATCH(COLUMNS($AM$1006:BF1006),$AM$1006:$BM$1006,0))&gt;=100000), " ",IF(INDEX($AM$2:$BM$1001,MATCH(ROWS($AF$2:AF399),$AF$2:$AF$1001,0),MATCH(COLUMNS($AM$1006:BF1006),$AM$1006:$BM$1006,0)), HYPERLINK("#",""), HYPERLINK(CONCATENATE("#metadata!", ADDRESS(INDEX($AH$2:$AH$1001,MATCH(ROWS($AF$2:AF399),$AF$2:$AF$1001,0),0), INDEX($AM$1004:$BM$1004,1,MATCH(COLUMNS($AM$1006:BF1006),$AM$1006:$BM$1006,0)))),"Fix")))</f>
        <v xml:space="preserve"> </v>
      </c>
      <c r="V399" s="4" t="str">
        <f ca="1">IF(OR(INDEX($AG$2:$AG$1001,MATCH(ROWS($AF$2:AF399),$AF$2:$AF$1001,0),1)&gt;=100000,INDEX($AM$1005:$BM$1005,1,MATCH(COLUMNS($AM$1006:BG1006),$AM$1006:$BM$1006,0))&gt;=100000), " ",IF(INDEX($AM$2:$BM$1001,MATCH(ROWS($AF$2:AF399),$AF$2:$AF$1001,0),MATCH(COLUMNS($AM$1006:BG1006),$AM$1006:$BM$1006,0)), HYPERLINK("#",""), HYPERLINK(CONCATENATE("#metadata!", ADDRESS(INDEX($AH$2:$AH$1001,MATCH(ROWS($AF$2:AF399),$AF$2:$AF$1001,0),0), INDEX($AM$1004:$BM$1004,1,MATCH(COLUMNS($AM$1006:BG1006),$AM$1006:$BM$1006,0)))),"Fix")))</f>
        <v xml:space="preserve"> </v>
      </c>
      <c r="W399" s="4" t="str">
        <f ca="1">IF(OR(INDEX($AG$2:$AG$1001,MATCH(ROWS($AF$2:AF399),$AF$2:$AF$1001,0),1)&gt;=100000,INDEX($AM$1005:$BM$1005,1,MATCH(COLUMNS($AM$1006:BH1006),$AM$1006:$BM$1006,0))&gt;=100000), " ",IF(INDEX($AM$2:$BM$1001,MATCH(ROWS($AF$2:AF399),$AF$2:$AF$1001,0),MATCH(COLUMNS($AM$1006:BH1006),$AM$1006:$BM$1006,0)), HYPERLINK("#",""), HYPERLINK(CONCATENATE("#metadata!", ADDRESS(INDEX($AH$2:$AH$1001,MATCH(ROWS($AF$2:AF399),$AF$2:$AF$1001,0),0), INDEX($AM$1004:$BM$1004,1,MATCH(COLUMNS($AM$1006:BH1006),$AM$1006:$BM$1006,0)))),"Fix")))</f>
        <v xml:space="preserve"> </v>
      </c>
      <c r="X399" s="4" t="str">
        <f ca="1">IF(OR(INDEX($AG$2:$AG$1001,MATCH(ROWS($AF$2:AF399),$AF$2:$AF$1001,0),1)&gt;=100000,INDEX($AM$1005:$BM$1005,1,MATCH(COLUMNS($AM$1006:BI1006),$AM$1006:$BM$1006,0))&gt;=100000), " ",IF(INDEX($AM$2:$BM$1001,MATCH(ROWS($AF$2:AF399),$AF$2:$AF$1001,0),MATCH(COLUMNS($AM$1006:BI1006),$AM$1006:$BM$1006,0)), HYPERLINK("#",""), HYPERLINK(CONCATENATE("#metadata!", ADDRESS(INDEX($AH$2:$AH$1001,MATCH(ROWS($AF$2:AF399),$AF$2:$AF$1001,0),0), INDEX($AM$1004:$BM$1004,1,MATCH(COLUMNS($AM$1006:BI1006),$AM$1006:$BM$1006,0)))),"Fix")))</f>
        <v xml:space="preserve"> </v>
      </c>
      <c r="Y399" s="4" t="str">
        <f ca="1">IF(OR(INDEX($AG$2:$AG$1001,MATCH(ROWS($AF$2:AF399),$AF$2:$AF$1001,0),1)&gt;=100000,INDEX($AM$1005:$BM$1005,1,MATCH(COLUMNS($AM$1006:BJ1006),$AM$1006:$BM$1006,0))&gt;=100000), " ",IF(INDEX($AM$2:$BM$1001,MATCH(ROWS($AF$2:AF399),$AF$2:$AF$1001,0),MATCH(COLUMNS($AM$1006:BJ1006),$AM$1006:$BM$1006,0)), HYPERLINK("#",""), HYPERLINK(CONCATENATE("#metadata!", ADDRESS(INDEX($AH$2:$AH$1001,MATCH(ROWS($AF$2:AF399),$AF$2:$AF$1001,0),0), INDEX($AM$1004:$BM$1004,1,MATCH(COLUMNS($AM$1006:BJ1006),$AM$1006:$BM$1006,0)))),"Fix")))</f>
        <v xml:space="preserve"> </v>
      </c>
      <c r="Z399" s="4" t="str">
        <f ca="1">IF(OR(INDEX($AG$2:$AG$1001,MATCH(ROWS($AF$2:AF399),$AF$2:$AF$1001,0),1)&gt;=100000,INDEX($AM$1005:$BM$1005,1,MATCH(COLUMNS($AM$1006:BK1006),$AM$1006:$BM$1006,0))&gt;=100000), " ",IF(INDEX($AM$2:$BM$1001,MATCH(ROWS($AF$2:AF399),$AF$2:$AF$1001,0),MATCH(COLUMNS($AM$1006:BK1006),$AM$1006:$BM$1006,0)), HYPERLINK("#",""), HYPERLINK(CONCATENATE("#metadata!", ADDRESS(INDEX($AH$2:$AH$1001,MATCH(ROWS($AF$2:AF399),$AF$2:$AF$1001,0),0), INDEX($AM$1004:$BM$1004,1,MATCH(COLUMNS($AM$1006:BK1006),$AM$1006:$BM$1006,0)))),"Fix")))</f>
        <v xml:space="preserve"> </v>
      </c>
      <c r="AA399" s="4" t="str">
        <f ca="1">IF(OR(INDEX($AG$2:$AG$1001,MATCH(ROWS($AF$2:AF399),$AF$2:$AF$1001,0),1)&gt;=100000,INDEX($AM$1005:$BM$1005,1,MATCH(COLUMNS($AM$1006:BL1006),$AM$1006:$BM$1006,0))&gt;=100000), " ",IF(INDEX($AM$2:$BM$1001,MATCH(ROWS($AF$2:AF399),$AF$2:$AF$1001,0),MATCH(COLUMNS($AM$1006:BL1006),$AM$1006:$BM$1006,0)), HYPERLINK("#",""), HYPERLINK(CONCATENATE("#metadata!", ADDRESS(INDEX($AH$2:$AH$1001,MATCH(ROWS($AF$2:AF399),$AF$2:$AF$1001,0),0), INDEX($AM$1004:$BM$1004,1,MATCH(COLUMNS($AM$1006:BL1006),$AM$1006:$BM$1006,0)))),"Fix")))</f>
        <v xml:space="preserve"> </v>
      </c>
      <c r="AB399" s="4" t="str">
        <f ca="1">IF(OR(INDEX($AG$2:$AG$1001,MATCH(ROWS($AF$2:AF399),$AF$2:$AF$1001,0),1)&gt;=100000,INDEX($AM$1005:$BM$1005,1,MATCH(COLUMNS($AM$1006:BM1006),$AM$1006:$BM$1006,0))&gt;=100000), " ",IF(INDEX($AM$2:$BM$1001,MATCH(ROWS($AF$2:AF399),$AF$2:$AF$1001,0),MATCH(COLUMNS($AM$1006:BM1006),$AM$1006:$BM$1006,0)), HYPERLINK("#",""), HYPERLINK(CONCATENATE("#metadata!", ADDRESS(INDEX($AH$2:$AH$1001,MATCH(ROWS($AF$2:AF399),$AF$2:$AF$1001,0),0), INDEX($AM$1004:$BM$1004,1,MATCH(COLUMNS($AM$1006:BM1006),$AM$1006:$BM$1006,0)))),"Fix")))</f>
        <v xml:space="preserve"> </v>
      </c>
      <c r="AF399">
        <v>398</v>
      </c>
      <c r="AG399">
        <v>100399</v>
      </c>
      <c r="AH399">
        <v>399</v>
      </c>
      <c r="AI399" t="b">
        <f t="shared" si="6"/>
        <v>1</v>
      </c>
      <c r="AJ399" t="b">
        <f>COUNTBLANK(metadata!B399:AB399)=COLUMNS(metadata!B399:AB399)</f>
        <v>1</v>
      </c>
      <c r="AK399" t="str">
        <v/>
      </c>
      <c r="AM399" t="b">
        <f ca="1">AND(IF(metadata!B399="",FALSE,TRUE),COUNTIF(metadata!B:B, metadata!B399) = 1,NOT(ISERROR(SUMPRODUCT(SEARCH(MID(metadata!B399,ROW(INDIRECT("1:"&amp;LEN(metadata!B399))), 1),"0123456789abcdefghijklmnopqrstuvwxyzABCDEFGHIJKLMNOPQRSTUVWXYZ.")))))</f>
        <v>0</v>
      </c>
      <c r="AN399" t="b">
        <f ca="1">OR(AND(IF(metadata!C399="",FALSE,TRUE),OR(EXACT(metadata!C399,"missing: not collected"),EXACT(metadata!C399,"missing: not provided"),EXACT(metadata!C399,"missing: restricted access"))),AND(IF(metadata!C399="",FALSE,TRUE),AND(AND(IFERROR(INT(LEFT(metadata!C399,4))&gt;1900,FALSE),IFERROR(INT(LEFT(metadata!C399,4))&lt;=YEAR(NOW()),FALSE)), OR(MID(metadata!C399,5,1)="", AND(AND(MID(metadata!C399,5,1)="-",IFERROR(INT(MID(metadata!C399,6,1))&gt;=0,FALSE),IFERROR(INT(MID(metadata!C399,6,1))&lt;=1,FALSE),NOT(MID(metadata!C399,7,1)=""),IFERROR(INT(MID(metadata!C399,6,2))&gt;=1,FALSE),IFERROR(INT(MID(metadata!C399,6,2))&lt;=12,FALSE)), OR(MID(metadata!C399,8,1)="", AND(AND(MID(metadata!C399,8,1)="-",IFERROR(INT(MID(metadata!C399,9,1))&gt;=0,FALSE),IFERROR(INT(MID(metadata!C399,9,1))&lt;=3,FALSE),NOT(MID(metadata!C399,10,1)=""),IFERROR(INT(MID(metadata!C399,9,2))&gt;=1,FALSE),IFERROR(INT(MID(metadata!C399,9,2))&lt;=31,FALSE)), OR(MID(metadata!C399,11,1)="", AND(AND(MID(metadata!C399,11,1)=" ",IFERROR(INT(MID(metadata!C399,12,1))&gt;=0,FALSE),IFERROR(INT(MID(metadata!C399,12,1))&lt;=2,FALSE),NOT(MID(metadata!C399,13,1)=""),IFERROR(INT(MID(metadata!C399,12,2))&gt;=0,FALSE),IFERROR(INT(MID(metadata!C399,12,2))&lt;=23,FALSE)), OR(MID(metadata!C399,14,1)="", AND(AND(MID(metadata!C399,14,1)=":",IFERROR(INT(MID(metadata!C399,15,1))&gt;=0,FALSE),IFERROR(INT(MID(metadata!C399,15,1))&lt;=5,FALSE),NOT(MID(metadata!C399,16,1)=""),IFERROR(INT(MID(metadata!C399,15,2))&gt;=0,FALSE),IFERROR(INT(MID(metadata!C399,15,2))&lt;=59,FALSE)), OR(MID(metadata!C399,17,1)="", AND(AND(MID(metadata!C399,17,1)=":",IFERROR(INT(MID(metadata!C399,18,1))&gt;=0,FALSE),IFERROR(INT(MID(metadata!C399,18,1))&lt;=5,FALSE),NOT(MID(metadata!C399,19,1)=""),IFERROR(INT(MID(metadata!C399,18,2))&gt;=0,FALSE),IFERROR(INT(MID(metadata!C399,18,2))&lt;=59,FALSE)), LEN(metadata!C399)&lt;=19)))))))))))))</f>
        <v>0</v>
      </c>
      <c r="AO399" t="b">
        <f>AND(IF(metadata!D399="",FALSE,TRUE),EXACT(metadata!D399,"Not applicable"))</f>
        <v>0</v>
      </c>
      <c r="AP399" t="b">
        <f>IF(metadata!E399="",FALSE,TRUE)</f>
        <v>0</v>
      </c>
      <c r="AQ399" t="b">
        <f>OR(AND(IF(metadata!F399="",FALSE,TRUE),OR(EXACT(metadata!F399,"missing: not collected"),EXACT(metadata!F399,"missing: not provided"))),AND(IF(metadata!F399="",FALSE,TRUE),OR(EXACT(metadata!F399,"TRUE"),EXACT(metadata!F399,"FALSE"))))</f>
        <v>0</v>
      </c>
      <c r="AR399" t="b">
        <f>OR(AND(IF(metadata!G399="",FALSE,TRUE),OR(EXACT(metadata!G399,"missing: not collected"),EXACT(metadata!G399,"missing: not provided"),EXACT(metadata!G399,"missing: restricted access"))),AND(IF(metadata!G399="",FALSE,ISNUMBER(VALUE(metadata!G399))),metadata!G399&gt;=-413))</f>
        <v>0</v>
      </c>
      <c r="AS399" t="b">
        <f>AND(IF(metadata!H399="",FALSE,TRUE),EXACT(metadata!H399,"meters"))</f>
        <v>0</v>
      </c>
      <c r="AT399" t="b">
        <f>AND(IF(metadata!I399="",FALSE,TRUE),OR(EXACT(metadata!I399,"Host-associated"),EXACT(metadata!I399,"Free-living")))</f>
        <v>0</v>
      </c>
      <c r="AU399" t="b">
        <f>AND(IF(metadata!J399="",FALSE,TRUE),OR(EXACT(metadata!J399,"Animal"),EXACT(metadata!J399,"Fungus"),EXACT(metadata!J399,"Plant"),EXACT(metadata!J399,"Saline"),EXACT(metadata!J399,"Non-saline")))</f>
        <v>0</v>
      </c>
      <c r="AV399" t="b">
        <f>AND(IF(metadata!K399="",FALSE,TRUE),OR(EXACT(metadata!K399,"Plant secretion"),EXACT(metadata!K399,"Plant rhizosphere"),EXACT(metadata!K399,"Plant surface"),EXACT(metadata!K399,"Plant corpus"),EXACT(metadata!K399,"Fungus surface"),EXACT(metadata!K399,"Fungus corpus"),EXACT(metadata!K399,"Animal surface"),EXACT(metadata!K399,"Animal proximal gut"),EXACT(metadata!K399,"Animal corpus"),EXACT(metadata!K399,"Animal distal gut"),EXACT(metadata!K399,"Animal secretion"),EXACT(metadata!K399,"Sub-surface (non-saline)"),EXACT(metadata!K399,"Surface (non-saline)"),EXACT(metadata!K399,"Water (non-saline)"),EXACT(metadata!K399,"Soil (non-saline)"),EXACT(metadata!K399,"Aerosol (non-saline)"),EXACT(metadata!K399,"Sediment (non-saline)"),EXACT(metadata!K399,"Surface (saline)"),EXACT(metadata!K399,"Water (saline)"),EXACT(metadata!K399,"Hypersaline (saline)"),EXACT(metadata!K399,"Aerosol (saline)"),EXACT(metadata!K399,"Sediment (saline)")))</f>
        <v>0</v>
      </c>
      <c r="AW399" t="b">
        <f>IF(metadata!L399="",FALSE,TRUE)</f>
        <v>0</v>
      </c>
      <c r="AX399" t="b">
        <f>IF(metadata!M399="",FALSE,TRUE)</f>
        <v>0</v>
      </c>
      <c r="AY399" t="b">
        <f>IF(metadata!N399="",FALSE,TRUE)</f>
        <v>0</v>
      </c>
      <c r="AZ399" t="b">
        <f>OR(AND(IF(metadata!O399="",FALSE,TRUE),OR(EXACT(metadata!O399,"missing: not collected"),EXACT(metadata!O399,"missing: not provided"),EXACT(metadata!O399,"missing: restricted access"))),AND(IF(metadata!O399="",FALSE,TRUE),OR(EXACT(metadata!O399,"air"),EXACT(metadata!O399,"built environment"),EXACT(metadata!O399,"host-associated"),EXACT(metadata!O399,"human-associated"),EXACT(metadata!O399,"human-skin"),EXACT(metadata!O399,"human-oral"),EXACT(metadata!O399,"human-gut"),EXACT(metadata!O399,"human-vaginal"),EXACT(metadata!O399,"microbial mat/biofilm"),EXACT(metadata!O399,"misc environment"),EXACT(metadata!O399,"plant-associated"),EXACT(metadata!O399,"sediment"),EXACT(metadata!O399,"soil"),EXACT(metadata!O399,"wastewater/sludge"),EXACT(metadata!O399,"water"))))</f>
        <v>0</v>
      </c>
      <c r="BA399" t="b">
        <f>IF(metadata!P399="",FALSE,TRUE)</f>
        <v>0</v>
      </c>
      <c r="BB399" t="b">
        <f>IF(metadata!Q399="",FALSE,TRUE)</f>
        <v>0</v>
      </c>
      <c r="BC399" t="b">
        <f>OR(AND(IF(metadata!R399="",FALSE,TRUE),OR(EXACT(metadata!R399,"missing: not collected"),EXACT(metadata!R399,"missing: not provided"),EXACT(metadata!R399,"missing: restricted access"))),AND(IF(metadata!R399="",FALSE,ISNUMBER(VALUE(metadata!R399))),metadata!R399&gt;=-90,metadata!R399&lt;=90))</f>
        <v>0</v>
      </c>
      <c r="BD399" t="b">
        <f>AND(IF(metadata!S399="",FALSE,TRUE),EXACT(metadata!S399,"Decimal degrees"))</f>
        <v>0</v>
      </c>
      <c r="BE399" t="b">
        <f>OR(AND(IF(metadata!T399="",FALSE,TRUE),OR(EXACT(metadata!T399,"missing: not collected"),EXACT(metadata!T399,"missing: not provided"),EXACT(metadata!T399,"missing: restricted access"))),AND(IF(metadata!T399="",FALSE,ISNUMBER(VALUE(metadata!T399))),metadata!T399&gt;=-180,metadata!T399&lt;=180))</f>
        <v>0</v>
      </c>
      <c r="BF399" t="b">
        <f>AND(IF(metadata!U399="",FALSE,TRUE),EXACT(metadata!U399,"Decimal degrees"))</f>
        <v>0</v>
      </c>
      <c r="BG399" t="b">
        <f>IF(metadata!V399="",FALSE,TRUE)</f>
        <v>0</v>
      </c>
      <c r="BH399" t="b">
        <f>OR(AND(IF(metadata!W399="",FALSE,TRUE),OR(EXACT(metadata!W399,"missing: not collected"),EXACT(metadata!W399,"missing: not provided"),EXACT(metadata!W399,"missing: restricted access"))),AND(IF(metadata!W399="",FALSE,TRUE),OR(EXACT(metadata!W399,"TRUE"),EXACT(metadata!W399,"FALSE"))))</f>
        <v>0</v>
      </c>
      <c r="BI399" t="b">
        <f>AND(IF(metadata!X399="",FALSE,TRUE),EXACT(metadata!X399,"other"))</f>
        <v>0</v>
      </c>
      <c r="BJ399" t="b">
        <f>IF(metadata!Y399="",FALSE,TRUE)</f>
        <v>0</v>
      </c>
      <c r="BK399" t="b">
        <f>OR(AND(IF(metadata!Z399="",FALSE,TRUE),OR(EXACT(metadata!Z399,"missing: not collected"),EXACT(metadata!Z399,"missing: not provided"))),AND(IF(metadata!Z399="",FALSE,IF(ISERROR(INT(metadata!Z399)),FALSE,INT(metadata!Z399)=metadata!Z399)),metadata!Z399&gt;0))</f>
        <v>0</v>
      </c>
      <c r="BL399" t="b">
        <f>AND(IF(metadata!AA399="",FALSE,TRUE),EXACT(metadata!AA399,"Not applicable"))</f>
        <v>0</v>
      </c>
      <c r="BM399" t="b">
        <f>IF(metadata!AB399="",FALSE,TRUE)</f>
        <v>0</v>
      </c>
    </row>
    <row r="400" spans="1:65" x14ac:dyDescent="0.2">
      <c r="A400" s="5" t="str">
        <f ca="1">IF(B400=" "," ",HYPERLINK(CONCATENATE("#metadata!",ADDRESS(INDEX($AH$2:$AH$1001,MATCH(ROWS($AF$2:AF400),$AF$2:$AF$1001,0),0),1)),INDEX($AK$2:$AK$1001,MATCH(ROWS($AF$2:AF400),$AF$2:$AF$1001,0),0)))</f>
        <v xml:space="preserve"> </v>
      </c>
      <c r="B400" s="4" t="str">
        <f ca="1">IF(OR(INDEX($AG$2:$AG$1001,MATCH(ROWS($AF$2:AF400),$AF$2:$AF$1001,0),1)&gt;=100000,INDEX($AM$1005:$BM$1005,1,MATCH(COLUMNS($AM$1006:AM1006),$AM$1006:$BM$1006,0))&gt;=100000), " ",IF(INDEX($AM$2:$BM$1001,MATCH(ROWS($AF$2:AF400),$AF$2:$AF$1001,0),MATCH(COLUMNS($AM$1006:AM1006),$AM$1006:$BM$1006,0)), HYPERLINK("#",""), HYPERLINK(CONCATENATE("#metadata!", ADDRESS(INDEX($AH$2:$AH$1001,MATCH(ROWS($AF$2:AF400),$AF$2:$AF$1001,0),0), INDEX($AM$1004:$BM$1004,1,MATCH(COLUMNS($AM$1006:AM1006),$AM$1006:$BM$1006,0)))),"Fix")))</f>
        <v xml:space="preserve"> </v>
      </c>
      <c r="C400" s="4" t="str">
        <f ca="1">IF(OR(INDEX($AG$2:$AG$1001,MATCH(ROWS($AF$2:AF400),$AF$2:$AF$1001,0),1)&gt;=100000,INDEX($AM$1005:$BM$1005,1,MATCH(COLUMNS($AM$1006:AN1006),$AM$1006:$BM$1006,0))&gt;=100000), " ",IF(INDEX($AM$2:$BM$1001,MATCH(ROWS($AF$2:AF400),$AF$2:$AF$1001,0),MATCH(COLUMNS($AM$1006:AN1006),$AM$1006:$BM$1006,0)), HYPERLINK("#",""), HYPERLINK(CONCATENATE("#metadata!", ADDRESS(INDEX($AH$2:$AH$1001,MATCH(ROWS($AF$2:AF400),$AF$2:$AF$1001,0),0), INDEX($AM$1004:$BM$1004,1,MATCH(COLUMNS($AM$1006:AN1006),$AM$1006:$BM$1006,0)))),"Fix")))</f>
        <v xml:space="preserve"> </v>
      </c>
      <c r="D400" s="4" t="str">
        <f ca="1">IF(OR(INDEX($AG$2:$AG$1001,MATCH(ROWS($AF$2:AF400),$AF$2:$AF$1001,0),1)&gt;=100000,INDEX($AM$1005:$BM$1005,1,MATCH(COLUMNS($AM$1006:AO1006),$AM$1006:$BM$1006,0))&gt;=100000), " ",IF(INDEX($AM$2:$BM$1001,MATCH(ROWS($AF$2:AF400),$AF$2:$AF$1001,0),MATCH(COLUMNS($AM$1006:AO1006),$AM$1006:$BM$1006,0)), HYPERLINK("#",""), HYPERLINK(CONCATENATE("#metadata!", ADDRESS(INDEX($AH$2:$AH$1001,MATCH(ROWS($AF$2:AF400),$AF$2:$AF$1001,0),0), INDEX($AM$1004:$BM$1004,1,MATCH(COLUMNS($AM$1006:AO1006),$AM$1006:$BM$1006,0)))),"Fix")))</f>
        <v xml:space="preserve"> </v>
      </c>
      <c r="E400" s="4" t="str">
        <f ca="1">IF(OR(INDEX($AG$2:$AG$1001,MATCH(ROWS($AF$2:AF400),$AF$2:$AF$1001,0),1)&gt;=100000,INDEX($AM$1005:$BM$1005,1,MATCH(COLUMNS($AM$1006:AP1006),$AM$1006:$BM$1006,0))&gt;=100000), " ",IF(INDEX($AM$2:$BM$1001,MATCH(ROWS($AF$2:AF400),$AF$2:$AF$1001,0),MATCH(COLUMNS($AM$1006:AP1006),$AM$1006:$BM$1006,0)), HYPERLINK("#",""), HYPERLINK(CONCATENATE("#metadata!", ADDRESS(INDEX($AH$2:$AH$1001,MATCH(ROWS($AF$2:AF400),$AF$2:$AF$1001,0),0), INDEX($AM$1004:$BM$1004,1,MATCH(COLUMNS($AM$1006:AP1006),$AM$1006:$BM$1006,0)))),"Fix")))</f>
        <v xml:space="preserve"> </v>
      </c>
      <c r="F400" s="4" t="str">
        <f ca="1">IF(OR(INDEX($AG$2:$AG$1001,MATCH(ROWS($AF$2:AF400),$AF$2:$AF$1001,0),1)&gt;=100000,INDEX($AM$1005:$BM$1005,1,MATCH(COLUMNS($AM$1006:AQ1006),$AM$1006:$BM$1006,0))&gt;=100000), " ",IF(INDEX($AM$2:$BM$1001,MATCH(ROWS($AF$2:AF400),$AF$2:$AF$1001,0),MATCH(COLUMNS($AM$1006:AQ1006),$AM$1006:$BM$1006,0)), HYPERLINK("#",""), HYPERLINK(CONCATENATE("#metadata!", ADDRESS(INDEX($AH$2:$AH$1001,MATCH(ROWS($AF$2:AF400),$AF$2:$AF$1001,0),0), INDEX($AM$1004:$BM$1004,1,MATCH(COLUMNS($AM$1006:AQ1006),$AM$1006:$BM$1006,0)))),"Fix")))</f>
        <v xml:space="preserve"> </v>
      </c>
      <c r="G400" s="4" t="str">
        <f ca="1">IF(OR(INDEX($AG$2:$AG$1001,MATCH(ROWS($AF$2:AF400),$AF$2:$AF$1001,0),1)&gt;=100000,INDEX($AM$1005:$BM$1005,1,MATCH(COLUMNS($AM$1006:AR1006),$AM$1006:$BM$1006,0))&gt;=100000), " ",IF(INDEX($AM$2:$BM$1001,MATCH(ROWS($AF$2:AF400),$AF$2:$AF$1001,0),MATCH(COLUMNS($AM$1006:AR1006),$AM$1006:$BM$1006,0)), HYPERLINK("#",""), HYPERLINK(CONCATENATE("#metadata!", ADDRESS(INDEX($AH$2:$AH$1001,MATCH(ROWS($AF$2:AF400),$AF$2:$AF$1001,0),0), INDEX($AM$1004:$BM$1004,1,MATCH(COLUMNS($AM$1006:AR1006),$AM$1006:$BM$1006,0)))),"Fix")))</f>
        <v xml:space="preserve"> </v>
      </c>
      <c r="H400" s="4" t="str">
        <f ca="1">IF(OR(INDEX($AG$2:$AG$1001,MATCH(ROWS($AF$2:AF400),$AF$2:$AF$1001,0),1)&gt;=100000,INDEX($AM$1005:$BM$1005,1,MATCH(COLUMNS($AM$1006:AS1006),$AM$1006:$BM$1006,0))&gt;=100000), " ",IF(INDEX($AM$2:$BM$1001,MATCH(ROWS($AF$2:AF400),$AF$2:$AF$1001,0),MATCH(COLUMNS($AM$1006:AS1006),$AM$1006:$BM$1006,0)), HYPERLINK("#",""), HYPERLINK(CONCATENATE("#metadata!", ADDRESS(INDEX($AH$2:$AH$1001,MATCH(ROWS($AF$2:AF400),$AF$2:$AF$1001,0),0), INDEX($AM$1004:$BM$1004,1,MATCH(COLUMNS($AM$1006:AS1006),$AM$1006:$BM$1006,0)))),"Fix")))</f>
        <v xml:space="preserve"> </v>
      </c>
      <c r="I400" s="4" t="str">
        <f ca="1">IF(OR(INDEX($AG$2:$AG$1001,MATCH(ROWS($AF$2:AF400),$AF$2:$AF$1001,0),1)&gt;=100000,INDEX($AM$1005:$BM$1005,1,MATCH(COLUMNS($AM$1006:AT1006),$AM$1006:$BM$1006,0))&gt;=100000), " ",IF(INDEX($AM$2:$BM$1001,MATCH(ROWS($AF$2:AF400),$AF$2:$AF$1001,0),MATCH(COLUMNS($AM$1006:AT1006),$AM$1006:$BM$1006,0)), HYPERLINK("#",""), HYPERLINK(CONCATENATE("#metadata!", ADDRESS(INDEX($AH$2:$AH$1001,MATCH(ROWS($AF$2:AF400),$AF$2:$AF$1001,0),0), INDEX($AM$1004:$BM$1004,1,MATCH(COLUMNS($AM$1006:AT1006),$AM$1006:$BM$1006,0)))),"Fix")))</f>
        <v xml:space="preserve"> </v>
      </c>
      <c r="J400" s="4" t="str">
        <f ca="1">IF(OR(INDEX($AG$2:$AG$1001,MATCH(ROWS($AF$2:AF400),$AF$2:$AF$1001,0),1)&gt;=100000,INDEX($AM$1005:$BM$1005,1,MATCH(COLUMNS($AM$1006:AU1006),$AM$1006:$BM$1006,0))&gt;=100000), " ",IF(INDEX($AM$2:$BM$1001,MATCH(ROWS($AF$2:AF400),$AF$2:$AF$1001,0),MATCH(COLUMNS($AM$1006:AU1006),$AM$1006:$BM$1006,0)), HYPERLINK("#",""), HYPERLINK(CONCATENATE("#metadata!", ADDRESS(INDEX($AH$2:$AH$1001,MATCH(ROWS($AF$2:AF400),$AF$2:$AF$1001,0),0), INDEX($AM$1004:$BM$1004,1,MATCH(COLUMNS($AM$1006:AU1006),$AM$1006:$BM$1006,0)))),"Fix")))</f>
        <v xml:space="preserve"> </v>
      </c>
      <c r="K400" s="4" t="str">
        <f ca="1">IF(OR(INDEX($AG$2:$AG$1001,MATCH(ROWS($AF$2:AF400),$AF$2:$AF$1001,0),1)&gt;=100000,INDEX($AM$1005:$BM$1005,1,MATCH(COLUMNS($AM$1006:AV1006),$AM$1006:$BM$1006,0))&gt;=100000), " ",IF(INDEX($AM$2:$BM$1001,MATCH(ROWS($AF$2:AF400),$AF$2:$AF$1001,0),MATCH(COLUMNS($AM$1006:AV1006),$AM$1006:$BM$1006,0)), HYPERLINK("#",""), HYPERLINK(CONCATENATE("#metadata!", ADDRESS(INDEX($AH$2:$AH$1001,MATCH(ROWS($AF$2:AF400),$AF$2:$AF$1001,0),0), INDEX($AM$1004:$BM$1004,1,MATCH(COLUMNS($AM$1006:AV1006),$AM$1006:$BM$1006,0)))),"Fix")))</f>
        <v xml:space="preserve"> </v>
      </c>
      <c r="L400" s="4" t="str">
        <f ca="1">IF(OR(INDEX($AG$2:$AG$1001,MATCH(ROWS($AF$2:AF400),$AF$2:$AF$1001,0),1)&gt;=100000,INDEX($AM$1005:$BM$1005,1,MATCH(COLUMNS($AM$1006:AW1006),$AM$1006:$BM$1006,0))&gt;=100000), " ",IF(INDEX($AM$2:$BM$1001,MATCH(ROWS($AF$2:AF400),$AF$2:$AF$1001,0),MATCH(COLUMNS($AM$1006:AW1006),$AM$1006:$BM$1006,0)), HYPERLINK("#",""), HYPERLINK(CONCATENATE("#metadata!", ADDRESS(INDEX($AH$2:$AH$1001,MATCH(ROWS($AF$2:AF400),$AF$2:$AF$1001,0),0), INDEX($AM$1004:$BM$1004,1,MATCH(COLUMNS($AM$1006:AW1006),$AM$1006:$BM$1006,0)))),"Fix")))</f>
        <v xml:space="preserve"> </v>
      </c>
      <c r="M400" s="4" t="str">
        <f ca="1">IF(OR(INDEX($AG$2:$AG$1001,MATCH(ROWS($AF$2:AF400),$AF$2:$AF$1001,0),1)&gt;=100000,INDEX($AM$1005:$BM$1005,1,MATCH(COLUMNS($AM$1006:AX1006),$AM$1006:$BM$1006,0))&gt;=100000), " ",IF(INDEX($AM$2:$BM$1001,MATCH(ROWS($AF$2:AF400),$AF$2:$AF$1001,0),MATCH(COLUMNS($AM$1006:AX1006),$AM$1006:$BM$1006,0)), HYPERLINK("#",""), HYPERLINK(CONCATENATE("#metadata!", ADDRESS(INDEX($AH$2:$AH$1001,MATCH(ROWS($AF$2:AF400),$AF$2:$AF$1001,0),0), INDEX($AM$1004:$BM$1004,1,MATCH(COLUMNS($AM$1006:AX1006),$AM$1006:$BM$1006,0)))),"Fix")))</f>
        <v xml:space="preserve"> </v>
      </c>
      <c r="N400" s="4" t="str">
        <f ca="1">IF(OR(INDEX($AG$2:$AG$1001,MATCH(ROWS($AF$2:AF400),$AF$2:$AF$1001,0),1)&gt;=100000,INDEX($AM$1005:$BM$1005,1,MATCH(COLUMNS($AM$1006:AY1006),$AM$1006:$BM$1006,0))&gt;=100000), " ",IF(INDEX($AM$2:$BM$1001,MATCH(ROWS($AF$2:AF400),$AF$2:$AF$1001,0),MATCH(COLUMNS($AM$1006:AY1006),$AM$1006:$BM$1006,0)), HYPERLINK("#",""), HYPERLINK(CONCATENATE("#metadata!", ADDRESS(INDEX($AH$2:$AH$1001,MATCH(ROWS($AF$2:AF400),$AF$2:$AF$1001,0),0), INDEX($AM$1004:$BM$1004,1,MATCH(COLUMNS($AM$1006:AY1006),$AM$1006:$BM$1006,0)))),"Fix")))</f>
        <v xml:space="preserve"> </v>
      </c>
      <c r="O400" s="4" t="str">
        <f ca="1">IF(OR(INDEX($AG$2:$AG$1001,MATCH(ROWS($AF$2:AF400),$AF$2:$AF$1001,0),1)&gt;=100000,INDEX($AM$1005:$BM$1005,1,MATCH(COLUMNS($AM$1006:AZ1006),$AM$1006:$BM$1006,0))&gt;=100000), " ",IF(INDEX($AM$2:$BM$1001,MATCH(ROWS($AF$2:AF400),$AF$2:$AF$1001,0),MATCH(COLUMNS($AM$1006:AZ1006),$AM$1006:$BM$1006,0)), HYPERLINK("#",""), HYPERLINK(CONCATENATE("#metadata!", ADDRESS(INDEX($AH$2:$AH$1001,MATCH(ROWS($AF$2:AF400),$AF$2:$AF$1001,0),0), INDEX($AM$1004:$BM$1004,1,MATCH(COLUMNS($AM$1006:AZ1006),$AM$1006:$BM$1006,0)))),"Fix")))</f>
        <v xml:space="preserve"> </v>
      </c>
      <c r="P400" s="4" t="str">
        <f ca="1">IF(OR(INDEX($AG$2:$AG$1001,MATCH(ROWS($AF$2:AF400),$AF$2:$AF$1001,0),1)&gt;=100000,INDEX($AM$1005:$BM$1005,1,MATCH(COLUMNS($AM$1006:BA1006),$AM$1006:$BM$1006,0))&gt;=100000), " ",IF(INDEX($AM$2:$BM$1001,MATCH(ROWS($AF$2:AF400),$AF$2:$AF$1001,0),MATCH(COLUMNS($AM$1006:BA1006),$AM$1006:$BM$1006,0)), HYPERLINK("#",""), HYPERLINK(CONCATENATE("#metadata!", ADDRESS(INDEX($AH$2:$AH$1001,MATCH(ROWS($AF$2:AF400),$AF$2:$AF$1001,0),0), INDEX($AM$1004:$BM$1004,1,MATCH(COLUMNS($AM$1006:BA1006),$AM$1006:$BM$1006,0)))),"Fix")))</f>
        <v xml:space="preserve"> </v>
      </c>
      <c r="Q400" s="4" t="str">
        <f ca="1">IF(OR(INDEX($AG$2:$AG$1001,MATCH(ROWS($AF$2:AF400),$AF$2:$AF$1001,0),1)&gt;=100000,INDEX($AM$1005:$BM$1005,1,MATCH(COLUMNS($AM$1006:BB1006),$AM$1006:$BM$1006,0))&gt;=100000), " ",IF(INDEX($AM$2:$BM$1001,MATCH(ROWS($AF$2:AF400),$AF$2:$AF$1001,0),MATCH(COLUMNS($AM$1006:BB1006),$AM$1006:$BM$1006,0)), HYPERLINK("#",""), HYPERLINK(CONCATENATE("#metadata!", ADDRESS(INDEX($AH$2:$AH$1001,MATCH(ROWS($AF$2:AF400),$AF$2:$AF$1001,0),0), INDEX($AM$1004:$BM$1004,1,MATCH(COLUMNS($AM$1006:BB1006),$AM$1006:$BM$1006,0)))),"Fix")))</f>
        <v xml:space="preserve"> </v>
      </c>
      <c r="R400" s="4" t="str">
        <f ca="1">IF(OR(INDEX($AG$2:$AG$1001,MATCH(ROWS($AF$2:AF400),$AF$2:$AF$1001,0),1)&gt;=100000,INDEX($AM$1005:$BM$1005,1,MATCH(COLUMNS($AM$1006:BC1006),$AM$1006:$BM$1006,0))&gt;=100000), " ",IF(INDEX($AM$2:$BM$1001,MATCH(ROWS($AF$2:AF400),$AF$2:$AF$1001,0),MATCH(COLUMNS($AM$1006:BC1006),$AM$1006:$BM$1006,0)), HYPERLINK("#",""), HYPERLINK(CONCATENATE("#metadata!", ADDRESS(INDEX($AH$2:$AH$1001,MATCH(ROWS($AF$2:AF400),$AF$2:$AF$1001,0),0), INDEX($AM$1004:$BM$1004,1,MATCH(COLUMNS($AM$1006:BC1006),$AM$1006:$BM$1006,0)))),"Fix")))</f>
        <v xml:space="preserve"> </v>
      </c>
      <c r="S400" s="4" t="str">
        <f ca="1">IF(OR(INDEX($AG$2:$AG$1001,MATCH(ROWS($AF$2:AF400),$AF$2:$AF$1001,0),1)&gt;=100000,INDEX($AM$1005:$BM$1005,1,MATCH(COLUMNS($AM$1006:BD1006),$AM$1006:$BM$1006,0))&gt;=100000), " ",IF(INDEX($AM$2:$BM$1001,MATCH(ROWS($AF$2:AF400),$AF$2:$AF$1001,0),MATCH(COLUMNS($AM$1006:BD1006),$AM$1006:$BM$1006,0)), HYPERLINK("#",""), HYPERLINK(CONCATENATE("#metadata!", ADDRESS(INDEX($AH$2:$AH$1001,MATCH(ROWS($AF$2:AF400),$AF$2:$AF$1001,0),0), INDEX($AM$1004:$BM$1004,1,MATCH(COLUMNS($AM$1006:BD1006),$AM$1006:$BM$1006,0)))),"Fix")))</f>
        <v xml:space="preserve"> </v>
      </c>
      <c r="T400" s="4" t="str">
        <f ca="1">IF(OR(INDEX($AG$2:$AG$1001,MATCH(ROWS($AF$2:AF400),$AF$2:$AF$1001,0),1)&gt;=100000,INDEX($AM$1005:$BM$1005,1,MATCH(COLUMNS($AM$1006:BE1006),$AM$1006:$BM$1006,0))&gt;=100000), " ",IF(INDEX($AM$2:$BM$1001,MATCH(ROWS($AF$2:AF400),$AF$2:$AF$1001,0),MATCH(COLUMNS($AM$1006:BE1006),$AM$1006:$BM$1006,0)), HYPERLINK("#",""), HYPERLINK(CONCATENATE("#metadata!", ADDRESS(INDEX($AH$2:$AH$1001,MATCH(ROWS($AF$2:AF400),$AF$2:$AF$1001,0),0), INDEX($AM$1004:$BM$1004,1,MATCH(COLUMNS($AM$1006:BE1006),$AM$1006:$BM$1006,0)))),"Fix")))</f>
        <v xml:space="preserve"> </v>
      </c>
      <c r="U400" s="4" t="str">
        <f ca="1">IF(OR(INDEX($AG$2:$AG$1001,MATCH(ROWS($AF$2:AF400),$AF$2:$AF$1001,0),1)&gt;=100000,INDEX($AM$1005:$BM$1005,1,MATCH(COLUMNS($AM$1006:BF1006),$AM$1006:$BM$1006,0))&gt;=100000), " ",IF(INDEX($AM$2:$BM$1001,MATCH(ROWS($AF$2:AF400),$AF$2:$AF$1001,0),MATCH(COLUMNS($AM$1006:BF1006),$AM$1006:$BM$1006,0)), HYPERLINK("#",""), HYPERLINK(CONCATENATE("#metadata!", ADDRESS(INDEX($AH$2:$AH$1001,MATCH(ROWS($AF$2:AF400),$AF$2:$AF$1001,0),0), INDEX($AM$1004:$BM$1004,1,MATCH(COLUMNS($AM$1006:BF1006),$AM$1006:$BM$1006,0)))),"Fix")))</f>
        <v xml:space="preserve"> </v>
      </c>
      <c r="V400" s="4" t="str">
        <f ca="1">IF(OR(INDEX($AG$2:$AG$1001,MATCH(ROWS($AF$2:AF400),$AF$2:$AF$1001,0),1)&gt;=100000,INDEX($AM$1005:$BM$1005,1,MATCH(COLUMNS($AM$1006:BG1006),$AM$1006:$BM$1006,0))&gt;=100000), " ",IF(INDEX($AM$2:$BM$1001,MATCH(ROWS($AF$2:AF400),$AF$2:$AF$1001,0),MATCH(COLUMNS($AM$1006:BG1006),$AM$1006:$BM$1006,0)), HYPERLINK("#",""), HYPERLINK(CONCATENATE("#metadata!", ADDRESS(INDEX($AH$2:$AH$1001,MATCH(ROWS($AF$2:AF400),$AF$2:$AF$1001,0),0), INDEX($AM$1004:$BM$1004,1,MATCH(COLUMNS($AM$1006:BG1006),$AM$1006:$BM$1006,0)))),"Fix")))</f>
        <v xml:space="preserve"> </v>
      </c>
      <c r="W400" s="4" t="str">
        <f ca="1">IF(OR(INDEX($AG$2:$AG$1001,MATCH(ROWS($AF$2:AF400),$AF$2:$AF$1001,0),1)&gt;=100000,INDEX($AM$1005:$BM$1005,1,MATCH(COLUMNS($AM$1006:BH1006),$AM$1006:$BM$1006,0))&gt;=100000), " ",IF(INDEX($AM$2:$BM$1001,MATCH(ROWS($AF$2:AF400),$AF$2:$AF$1001,0),MATCH(COLUMNS($AM$1006:BH1006),$AM$1006:$BM$1006,0)), HYPERLINK("#",""), HYPERLINK(CONCATENATE("#metadata!", ADDRESS(INDEX($AH$2:$AH$1001,MATCH(ROWS($AF$2:AF400),$AF$2:$AF$1001,0),0), INDEX($AM$1004:$BM$1004,1,MATCH(COLUMNS($AM$1006:BH1006),$AM$1006:$BM$1006,0)))),"Fix")))</f>
        <v xml:space="preserve"> </v>
      </c>
      <c r="X400" s="4" t="str">
        <f ca="1">IF(OR(INDEX($AG$2:$AG$1001,MATCH(ROWS($AF$2:AF400),$AF$2:$AF$1001,0),1)&gt;=100000,INDEX($AM$1005:$BM$1005,1,MATCH(COLUMNS($AM$1006:BI1006),$AM$1006:$BM$1006,0))&gt;=100000), " ",IF(INDEX($AM$2:$BM$1001,MATCH(ROWS($AF$2:AF400),$AF$2:$AF$1001,0),MATCH(COLUMNS($AM$1006:BI1006),$AM$1006:$BM$1006,0)), HYPERLINK("#",""), HYPERLINK(CONCATENATE("#metadata!", ADDRESS(INDEX($AH$2:$AH$1001,MATCH(ROWS($AF$2:AF400),$AF$2:$AF$1001,0),0), INDEX($AM$1004:$BM$1004,1,MATCH(COLUMNS($AM$1006:BI1006),$AM$1006:$BM$1006,0)))),"Fix")))</f>
        <v xml:space="preserve"> </v>
      </c>
      <c r="Y400" s="4" t="str">
        <f ca="1">IF(OR(INDEX($AG$2:$AG$1001,MATCH(ROWS($AF$2:AF400),$AF$2:$AF$1001,0),1)&gt;=100000,INDEX($AM$1005:$BM$1005,1,MATCH(COLUMNS($AM$1006:BJ1006),$AM$1006:$BM$1006,0))&gt;=100000), " ",IF(INDEX($AM$2:$BM$1001,MATCH(ROWS($AF$2:AF400),$AF$2:$AF$1001,0),MATCH(COLUMNS($AM$1006:BJ1006),$AM$1006:$BM$1006,0)), HYPERLINK("#",""), HYPERLINK(CONCATENATE("#metadata!", ADDRESS(INDEX($AH$2:$AH$1001,MATCH(ROWS($AF$2:AF400),$AF$2:$AF$1001,0),0), INDEX($AM$1004:$BM$1004,1,MATCH(COLUMNS($AM$1006:BJ1006),$AM$1006:$BM$1006,0)))),"Fix")))</f>
        <v xml:space="preserve"> </v>
      </c>
      <c r="Z400" s="4" t="str">
        <f ca="1">IF(OR(INDEX($AG$2:$AG$1001,MATCH(ROWS($AF$2:AF400),$AF$2:$AF$1001,0),1)&gt;=100000,INDEX($AM$1005:$BM$1005,1,MATCH(COLUMNS($AM$1006:BK1006),$AM$1006:$BM$1006,0))&gt;=100000), " ",IF(INDEX($AM$2:$BM$1001,MATCH(ROWS($AF$2:AF400),$AF$2:$AF$1001,0),MATCH(COLUMNS($AM$1006:BK1006),$AM$1006:$BM$1006,0)), HYPERLINK("#",""), HYPERLINK(CONCATENATE("#metadata!", ADDRESS(INDEX($AH$2:$AH$1001,MATCH(ROWS($AF$2:AF400),$AF$2:$AF$1001,0),0), INDEX($AM$1004:$BM$1004,1,MATCH(COLUMNS($AM$1006:BK1006),$AM$1006:$BM$1006,0)))),"Fix")))</f>
        <v xml:space="preserve"> </v>
      </c>
      <c r="AA400" s="4" t="str">
        <f ca="1">IF(OR(INDEX($AG$2:$AG$1001,MATCH(ROWS($AF$2:AF400),$AF$2:$AF$1001,0),1)&gt;=100000,INDEX($AM$1005:$BM$1005,1,MATCH(COLUMNS($AM$1006:BL1006),$AM$1006:$BM$1006,0))&gt;=100000), " ",IF(INDEX($AM$2:$BM$1001,MATCH(ROWS($AF$2:AF400),$AF$2:$AF$1001,0),MATCH(COLUMNS($AM$1006:BL1006),$AM$1006:$BM$1006,0)), HYPERLINK("#",""), HYPERLINK(CONCATENATE("#metadata!", ADDRESS(INDEX($AH$2:$AH$1001,MATCH(ROWS($AF$2:AF400),$AF$2:$AF$1001,0),0), INDEX($AM$1004:$BM$1004,1,MATCH(COLUMNS($AM$1006:BL1006),$AM$1006:$BM$1006,0)))),"Fix")))</f>
        <v xml:space="preserve"> </v>
      </c>
      <c r="AB400" s="4" t="str">
        <f ca="1">IF(OR(INDEX($AG$2:$AG$1001,MATCH(ROWS($AF$2:AF400),$AF$2:$AF$1001,0),1)&gt;=100000,INDEX($AM$1005:$BM$1005,1,MATCH(COLUMNS($AM$1006:BM1006),$AM$1006:$BM$1006,0))&gt;=100000), " ",IF(INDEX($AM$2:$BM$1001,MATCH(ROWS($AF$2:AF400),$AF$2:$AF$1001,0),MATCH(COLUMNS($AM$1006:BM1006),$AM$1006:$BM$1006,0)), HYPERLINK("#",""), HYPERLINK(CONCATENATE("#metadata!", ADDRESS(INDEX($AH$2:$AH$1001,MATCH(ROWS($AF$2:AF400),$AF$2:$AF$1001,0),0), INDEX($AM$1004:$BM$1004,1,MATCH(COLUMNS($AM$1006:BM1006),$AM$1006:$BM$1006,0)))),"Fix")))</f>
        <v xml:space="preserve"> </v>
      </c>
      <c r="AF400">
        <v>399</v>
      </c>
      <c r="AG400">
        <v>100400</v>
      </c>
      <c r="AH400">
        <v>400</v>
      </c>
      <c r="AI400" t="b">
        <f t="shared" si="6"/>
        <v>1</v>
      </c>
      <c r="AJ400" t="b">
        <f>COUNTBLANK(metadata!B400:AB400)=COLUMNS(metadata!B400:AB400)</f>
        <v>1</v>
      </c>
      <c r="AK400" t="str">
        <v/>
      </c>
      <c r="AM400" t="b">
        <f ca="1">AND(IF(metadata!B400="",FALSE,TRUE),COUNTIF(metadata!B:B, metadata!B400) = 1,NOT(ISERROR(SUMPRODUCT(SEARCH(MID(metadata!B400,ROW(INDIRECT("1:"&amp;LEN(metadata!B400))), 1),"0123456789abcdefghijklmnopqrstuvwxyzABCDEFGHIJKLMNOPQRSTUVWXYZ.")))))</f>
        <v>0</v>
      </c>
      <c r="AN400" t="b">
        <f ca="1">OR(AND(IF(metadata!C400="",FALSE,TRUE),OR(EXACT(metadata!C400,"missing: not collected"),EXACT(metadata!C400,"missing: not provided"),EXACT(metadata!C400,"missing: restricted access"))),AND(IF(metadata!C400="",FALSE,TRUE),AND(AND(IFERROR(INT(LEFT(metadata!C400,4))&gt;1900,FALSE),IFERROR(INT(LEFT(metadata!C400,4))&lt;=YEAR(NOW()),FALSE)), OR(MID(metadata!C400,5,1)="", AND(AND(MID(metadata!C400,5,1)="-",IFERROR(INT(MID(metadata!C400,6,1))&gt;=0,FALSE),IFERROR(INT(MID(metadata!C400,6,1))&lt;=1,FALSE),NOT(MID(metadata!C400,7,1)=""),IFERROR(INT(MID(metadata!C400,6,2))&gt;=1,FALSE),IFERROR(INT(MID(metadata!C400,6,2))&lt;=12,FALSE)), OR(MID(metadata!C400,8,1)="", AND(AND(MID(metadata!C400,8,1)="-",IFERROR(INT(MID(metadata!C400,9,1))&gt;=0,FALSE),IFERROR(INT(MID(metadata!C400,9,1))&lt;=3,FALSE),NOT(MID(metadata!C400,10,1)=""),IFERROR(INT(MID(metadata!C400,9,2))&gt;=1,FALSE),IFERROR(INT(MID(metadata!C400,9,2))&lt;=31,FALSE)), OR(MID(metadata!C400,11,1)="", AND(AND(MID(metadata!C400,11,1)=" ",IFERROR(INT(MID(metadata!C400,12,1))&gt;=0,FALSE),IFERROR(INT(MID(metadata!C400,12,1))&lt;=2,FALSE),NOT(MID(metadata!C400,13,1)=""),IFERROR(INT(MID(metadata!C400,12,2))&gt;=0,FALSE),IFERROR(INT(MID(metadata!C400,12,2))&lt;=23,FALSE)), OR(MID(metadata!C400,14,1)="", AND(AND(MID(metadata!C400,14,1)=":",IFERROR(INT(MID(metadata!C400,15,1))&gt;=0,FALSE),IFERROR(INT(MID(metadata!C400,15,1))&lt;=5,FALSE),NOT(MID(metadata!C400,16,1)=""),IFERROR(INT(MID(metadata!C400,15,2))&gt;=0,FALSE),IFERROR(INT(MID(metadata!C400,15,2))&lt;=59,FALSE)), OR(MID(metadata!C400,17,1)="", AND(AND(MID(metadata!C400,17,1)=":",IFERROR(INT(MID(metadata!C400,18,1))&gt;=0,FALSE),IFERROR(INT(MID(metadata!C400,18,1))&lt;=5,FALSE),NOT(MID(metadata!C400,19,1)=""),IFERROR(INT(MID(metadata!C400,18,2))&gt;=0,FALSE),IFERROR(INT(MID(metadata!C400,18,2))&lt;=59,FALSE)), LEN(metadata!C400)&lt;=19)))))))))))))</f>
        <v>0</v>
      </c>
      <c r="AO400" t="b">
        <f>AND(IF(metadata!D400="",FALSE,TRUE),EXACT(metadata!D400,"Not applicable"))</f>
        <v>0</v>
      </c>
      <c r="AP400" t="b">
        <f>IF(metadata!E400="",FALSE,TRUE)</f>
        <v>0</v>
      </c>
      <c r="AQ400" t="b">
        <f>OR(AND(IF(metadata!F400="",FALSE,TRUE),OR(EXACT(metadata!F400,"missing: not collected"),EXACT(metadata!F400,"missing: not provided"))),AND(IF(metadata!F400="",FALSE,TRUE),OR(EXACT(metadata!F400,"TRUE"),EXACT(metadata!F400,"FALSE"))))</f>
        <v>0</v>
      </c>
      <c r="AR400" t="b">
        <f>OR(AND(IF(metadata!G400="",FALSE,TRUE),OR(EXACT(metadata!G400,"missing: not collected"),EXACT(metadata!G400,"missing: not provided"),EXACT(metadata!G400,"missing: restricted access"))),AND(IF(metadata!G400="",FALSE,ISNUMBER(VALUE(metadata!G400))),metadata!G400&gt;=-413))</f>
        <v>0</v>
      </c>
      <c r="AS400" t="b">
        <f>AND(IF(metadata!H400="",FALSE,TRUE),EXACT(metadata!H400,"meters"))</f>
        <v>0</v>
      </c>
      <c r="AT400" t="b">
        <f>AND(IF(metadata!I400="",FALSE,TRUE),OR(EXACT(metadata!I400,"Host-associated"),EXACT(metadata!I400,"Free-living")))</f>
        <v>0</v>
      </c>
      <c r="AU400" t="b">
        <f>AND(IF(metadata!J400="",FALSE,TRUE),OR(EXACT(metadata!J400,"Animal"),EXACT(metadata!J400,"Fungus"),EXACT(metadata!J400,"Plant"),EXACT(metadata!J400,"Saline"),EXACT(metadata!J400,"Non-saline")))</f>
        <v>0</v>
      </c>
      <c r="AV400" t="b">
        <f>AND(IF(metadata!K400="",FALSE,TRUE),OR(EXACT(metadata!K400,"Plant secretion"),EXACT(metadata!K400,"Plant rhizosphere"),EXACT(metadata!K400,"Plant surface"),EXACT(metadata!K400,"Plant corpus"),EXACT(metadata!K400,"Fungus surface"),EXACT(metadata!K400,"Fungus corpus"),EXACT(metadata!K400,"Animal surface"),EXACT(metadata!K400,"Animal proximal gut"),EXACT(metadata!K400,"Animal corpus"),EXACT(metadata!K400,"Animal distal gut"),EXACT(metadata!K400,"Animal secretion"),EXACT(metadata!K400,"Sub-surface (non-saline)"),EXACT(metadata!K400,"Surface (non-saline)"),EXACT(metadata!K400,"Water (non-saline)"),EXACT(metadata!K400,"Soil (non-saline)"),EXACT(metadata!K400,"Aerosol (non-saline)"),EXACT(metadata!K400,"Sediment (non-saline)"),EXACT(metadata!K400,"Surface (saline)"),EXACT(metadata!K400,"Water (saline)"),EXACT(metadata!K400,"Hypersaline (saline)"),EXACT(metadata!K400,"Aerosol (saline)"),EXACT(metadata!K400,"Sediment (saline)")))</f>
        <v>0</v>
      </c>
      <c r="AW400" t="b">
        <f>IF(metadata!L400="",FALSE,TRUE)</f>
        <v>0</v>
      </c>
      <c r="AX400" t="b">
        <f>IF(metadata!M400="",FALSE,TRUE)</f>
        <v>0</v>
      </c>
      <c r="AY400" t="b">
        <f>IF(metadata!N400="",FALSE,TRUE)</f>
        <v>0</v>
      </c>
      <c r="AZ400" t="b">
        <f>OR(AND(IF(metadata!O400="",FALSE,TRUE),OR(EXACT(metadata!O400,"missing: not collected"),EXACT(metadata!O400,"missing: not provided"),EXACT(metadata!O400,"missing: restricted access"))),AND(IF(metadata!O400="",FALSE,TRUE),OR(EXACT(metadata!O400,"air"),EXACT(metadata!O400,"built environment"),EXACT(metadata!O400,"host-associated"),EXACT(metadata!O400,"human-associated"),EXACT(metadata!O400,"human-skin"),EXACT(metadata!O400,"human-oral"),EXACT(metadata!O400,"human-gut"),EXACT(metadata!O400,"human-vaginal"),EXACT(metadata!O400,"microbial mat/biofilm"),EXACT(metadata!O400,"misc environment"),EXACT(metadata!O400,"plant-associated"),EXACT(metadata!O400,"sediment"),EXACT(metadata!O400,"soil"),EXACT(metadata!O400,"wastewater/sludge"),EXACT(metadata!O400,"water"))))</f>
        <v>0</v>
      </c>
      <c r="BA400" t="b">
        <f>IF(metadata!P400="",FALSE,TRUE)</f>
        <v>0</v>
      </c>
      <c r="BB400" t="b">
        <f>IF(metadata!Q400="",FALSE,TRUE)</f>
        <v>0</v>
      </c>
      <c r="BC400" t="b">
        <f>OR(AND(IF(metadata!R400="",FALSE,TRUE),OR(EXACT(metadata!R400,"missing: not collected"),EXACT(metadata!R400,"missing: not provided"),EXACT(metadata!R400,"missing: restricted access"))),AND(IF(metadata!R400="",FALSE,ISNUMBER(VALUE(metadata!R400))),metadata!R400&gt;=-90,metadata!R400&lt;=90))</f>
        <v>0</v>
      </c>
      <c r="BD400" t="b">
        <f>AND(IF(metadata!S400="",FALSE,TRUE),EXACT(metadata!S400,"Decimal degrees"))</f>
        <v>0</v>
      </c>
      <c r="BE400" t="b">
        <f>OR(AND(IF(metadata!T400="",FALSE,TRUE),OR(EXACT(metadata!T400,"missing: not collected"),EXACT(metadata!T400,"missing: not provided"),EXACT(metadata!T400,"missing: restricted access"))),AND(IF(metadata!T400="",FALSE,ISNUMBER(VALUE(metadata!T400))),metadata!T400&gt;=-180,metadata!T400&lt;=180))</f>
        <v>0</v>
      </c>
      <c r="BF400" t="b">
        <f>AND(IF(metadata!U400="",FALSE,TRUE),EXACT(metadata!U400,"Decimal degrees"))</f>
        <v>0</v>
      </c>
      <c r="BG400" t="b">
        <f>IF(metadata!V400="",FALSE,TRUE)</f>
        <v>0</v>
      </c>
      <c r="BH400" t="b">
        <f>OR(AND(IF(metadata!W400="",FALSE,TRUE),OR(EXACT(metadata!W400,"missing: not collected"),EXACT(metadata!W400,"missing: not provided"),EXACT(metadata!W400,"missing: restricted access"))),AND(IF(metadata!W400="",FALSE,TRUE),OR(EXACT(metadata!W400,"TRUE"),EXACT(metadata!W400,"FALSE"))))</f>
        <v>0</v>
      </c>
      <c r="BI400" t="b">
        <f>AND(IF(metadata!X400="",FALSE,TRUE),EXACT(metadata!X400,"other"))</f>
        <v>0</v>
      </c>
      <c r="BJ400" t="b">
        <f>IF(metadata!Y400="",FALSE,TRUE)</f>
        <v>0</v>
      </c>
      <c r="BK400" t="b">
        <f>OR(AND(IF(metadata!Z400="",FALSE,TRUE),OR(EXACT(metadata!Z400,"missing: not collected"),EXACT(metadata!Z400,"missing: not provided"))),AND(IF(metadata!Z400="",FALSE,IF(ISERROR(INT(metadata!Z400)),FALSE,INT(metadata!Z400)=metadata!Z400)),metadata!Z400&gt;0))</f>
        <v>0</v>
      </c>
      <c r="BL400" t="b">
        <f>AND(IF(metadata!AA400="",FALSE,TRUE),EXACT(metadata!AA400,"Not applicable"))</f>
        <v>0</v>
      </c>
      <c r="BM400" t="b">
        <f>IF(metadata!AB400="",FALSE,TRUE)</f>
        <v>0</v>
      </c>
    </row>
    <row r="401" spans="1:65" x14ac:dyDescent="0.2">
      <c r="A401" s="5" t="str">
        <f ca="1">IF(B401=" "," ",HYPERLINK(CONCATENATE("#metadata!",ADDRESS(INDEX($AH$2:$AH$1001,MATCH(ROWS($AF$2:AF401),$AF$2:$AF$1001,0),0),1)),INDEX($AK$2:$AK$1001,MATCH(ROWS($AF$2:AF401),$AF$2:$AF$1001,0),0)))</f>
        <v xml:space="preserve"> </v>
      </c>
      <c r="B401" s="4" t="str">
        <f ca="1">IF(OR(INDEX($AG$2:$AG$1001,MATCH(ROWS($AF$2:AF401),$AF$2:$AF$1001,0),1)&gt;=100000,INDEX($AM$1005:$BM$1005,1,MATCH(COLUMNS($AM$1006:AM1006),$AM$1006:$BM$1006,0))&gt;=100000), " ",IF(INDEX($AM$2:$BM$1001,MATCH(ROWS($AF$2:AF401),$AF$2:$AF$1001,0),MATCH(COLUMNS($AM$1006:AM1006),$AM$1006:$BM$1006,0)), HYPERLINK("#",""), HYPERLINK(CONCATENATE("#metadata!", ADDRESS(INDEX($AH$2:$AH$1001,MATCH(ROWS($AF$2:AF401),$AF$2:$AF$1001,0),0), INDEX($AM$1004:$BM$1004,1,MATCH(COLUMNS($AM$1006:AM1006),$AM$1006:$BM$1006,0)))),"Fix")))</f>
        <v xml:space="preserve"> </v>
      </c>
      <c r="C401" s="4" t="str">
        <f ca="1">IF(OR(INDEX($AG$2:$AG$1001,MATCH(ROWS($AF$2:AF401),$AF$2:$AF$1001,0),1)&gt;=100000,INDEX($AM$1005:$BM$1005,1,MATCH(COLUMNS($AM$1006:AN1006),$AM$1006:$BM$1006,0))&gt;=100000), " ",IF(INDEX($AM$2:$BM$1001,MATCH(ROWS($AF$2:AF401),$AF$2:$AF$1001,0),MATCH(COLUMNS($AM$1006:AN1006),$AM$1006:$BM$1006,0)), HYPERLINK("#",""), HYPERLINK(CONCATENATE("#metadata!", ADDRESS(INDEX($AH$2:$AH$1001,MATCH(ROWS($AF$2:AF401),$AF$2:$AF$1001,0),0), INDEX($AM$1004:$BM$1004,1,MATCH(COLUMNS($AM$1006:AN1006),$AM$1006:$BM$1006,0)))),"Fix")))</f>
        <v xml:space="preserve"> </v>
      </c>
      <c r="D401" s="4" t="str">
        <f ca="1">IF(OR(INDEX($AG$2:$AG$1001,MATCH(ROWS($AF$2:AF401),$AF$2:$AF$1001,0),1)&gt;=100000,INDEX($AM$1005:$BM$1005,1,MATCH(COLUMNS($AM$1006:AO1006),$AM$1006:$BM$1006,0))&gt;=100000), " ",IF(INDEX($AM$2:$BM$1001,MATCH(ROWS($AF$2:AF401),$AF$2:$AF$1001,0),MATCH(COLUMNS($AM$1006:AO1006),$AM$1006:$BM$1006,0)), HYPERLINK("#",""), HYPERLINK(CONCATENATE("#metadata!", ADDRESS(INDEX($AH$2:$AH$1001,MATCH(ROWS($AF$2:AF401),$AF$2:$AF$1001,0),0), INDEX($AM$1004:$BM$1004,1,MATCH(COLUMNS($AM$1006:AO1006),$AM$1006:$BM$1006,0)))),"Fix")))</f>
        <v xml:space="preserve"> </v>
      </c>
      <c r="E401" s="4" t="str">
        <f ca="1">IF(OR(INDEX($AG$2:$AG$1001,MATCH(ROWS($AF$2:AF401),$AF$2:$AF$1001,0),1)&gt;=100000,INDEX($AM$1005:$BM$1005,1,MATCH(COLUMNS($AM$1006:AP1006),$AM$1006:$BM$1006,0))&gt;=100000), " ",IF(INDEX($AM$2:$BM$1001,MATCH(ROWS($AF$2:AF401),$AF$2:$AF$1001,0),MATCH(COLUMNS($AM$1006:AP1006),$AM$1006:$BM$1006,0)), HYPERLINK("#",""), HYPERLINK(CONCATENATE("#metadata!", ADDRESS(INDEX($AH$2:$AH$1001,MATCH(ROWS($AF$2:AF401),$AF$2:$AF$1001,0),0), INDEX($AM$1004:$BM$1004,1,MATCH(COLUMNS($AM$1006:AP1006),$AM$1006:$BM$1006,0)))),"Fix")))</f>
        <v xml:space="preserve"> </v>
      </c>
      <c r="F401" s="4" t="str">
        <f ca="1">IF(OR(INDEX($AG$2:$AG$1001,MATCH(ROWS($AF$2:AF401),$AF$2:$AF$1001,0),1)&gt;=100000,INDEX($AM$1005:$BM$1005,1,MATCH(COLUMNS($AM$1006:AQ1006),$AM$1006:$BM$1006,0))&gt;=100000), " ",IF(INDEX($AM$2:$BM$1001,MATCH(ROWS($AF$2:AF401),$AF$2:$AF$1001,0),MATCH(COLUMNS($AM$1006:AQ1006),$AM$1006:$BM$1006,0)), HYPERLINK("#",""), HYPERLINK(CONCATENATE("#metadata!", ADDRESS(INDEX($AH$2:$AH$1001,MATCH(ROWS($AF$2:AF401),$AF$2:$AF$1001,0),0), INDEX($AM$1004:$BM$1004,1,MATCH(COLUMNS($AM$1006:AQ1006),$AM$1006:$BM$1006,0)))),"Fix")))</f>
        <v xml:space="preserve"> </v>
      </c>
      <c r="G401" s="4" t="str">
        <f ca="1">IF(OR(INDEX($AG$2:$AG$1001,MATCH(ROWS($AF$2:AF401),$AF$2:$AF$1001,0),1)&gt;=100000,INDEX($AM$1005:$BM$1005,1,MATCH(COLUMNS($AM$1006:AR1006),$AM$1006:$BM$1006,0))&gt;=100000), " ",IF(INDEX($AM$2:$BM$1001,MATCH(ROWS($AF$2:AF401),$AF$2:$AF$1001,0),MATCH(COLUMNS($AM$1006:AR1006),$AM$1006:$BM$1006,0)), HYPERLINK("#",""), HYPERLINK(CONCATENATE("#metadata!", ADDRESS(INDEX($AH$2:$AH$1001,MATCH(ROWS($AF$2:AF401),$AF$2:$AF$1001,0),0), INDEX($AM$1004:$BM$1004,1,MATCH(COLUMNS($AM$1006:AR1006),$AM$1006:$BM$1006,0)))),"Fix")))</f>
        <v xml:space="preserve"> </v>
      </c>
      <c r="H401" s="4" t="str">
        <f ca="1">IF(OR(INDEX($AG$2:$AG$1001,MATCH(ROWS($AF$2:AF401),$AF$2:$AF$1001,0),1)&gt;=100000,INDEX($AM$1005:$BM$1005,1,MATCH(COLUMNS($AM$1006:AS1006),$AM$1006:$BM$1006,0))&gt;=100000), " ",IF(INDEX($AM$2:$BM$1001,MATCH(ROWS($AF$2:AF401),$AF$2:$AF$1001,0),MATCH(COLUMNS($AM$1006:AS1006),$AM$1006:$BM$1006,0)), HYPERLINK("#",""), HYPERLINK(CONCATENATE("#metadata!", ADDRESS(INDEX($AH$2:$AH$1001,MATCH(ROWS($AF$2:AF401),$AF$2:$AF$1001,0),0), INDEX($AM$1004:$BM$1004,1,MATCH(COLUMNS($AM$1006:AS1006),$AM$1006:$BM$1006,0)))),"Fix")))</f>
        <v xml:space="preserve"> </v>
      </c>
      <c r="I401" s="4" t="str">
        <f ca="1">IF(OR(INDEX($AG$2:$AG$1001,MATCH(ROWS($AF$2:AF401),$AF$2:$AF$1001,0),1)&gt;=100000,INDEX($AM$1005:$BM$1005,1,MATCH(COLUMNS($AM$1006:AT1006),$AM$1006:$BM$1006,0))&gt;=100000), " ",IF(INDEX($AM$2:$BM$1001,MATCH(ROWS($AF$2:AF401),$AF$2:$AF$1001,0),MATCH(COLUMNS($AM$1006:AT1006),$AM$1006:$BM$1006,0)), HYPERLINK("#",""), HYPERLINK(CONCATENATE("#metadata!", ADDRESS(INDEX($AH$2:$AH$1001,MATCH(ROWS($AF$2:AF401),$AF$2:$AF$1001,0),0), INDEX($AM$1004:$BM$1004,1,MATCH(COLUMNS($AM$1006:AT1006),$AM$1006:$BM$1006,0)))),"Fix")))</f>
        <v xml:space="preserve"> </v>
      </c>
      <c r="J401" s="4" t="str">
        <f ca="1">IF(OR(INDEX($AG$2:$AG$1001,MATCH(ROWS($AF$2:AF401),$AF$2:$AF$1001,0),1)&gt;=100000,INDEX($AM$1005:$BM$1005,1,MATCH(COLUMNS($AM$1006:AU1006),$AM$1006:$BM$1006,0))&gt;=100000), " ",IF(INDEX($AM$2:$BM$1001,MATCH(ROWS($AF$2:AF401),$AF$2:$AF$1001,0),MATCH(COLUMNS($AM$1006:AU1006),$AM$1006:$BM$1006,0)), HYPERLINK("#",""), HYPERLINK(CONCATENATE("#metadata!", ADDRESS(INDEX($AH$2:$AH$1001,MATCH(ROWS($AF$2:AF401),$AF$2:$AF$1001,0),0), INDEX($AM$1004:$BM$1004,1,MATCH(COLUMNS($AM$1006:AU1006),$AM$1006:$BM$1006,0)))),"Fix")))</f>
        <v xml:space="preserve"> </v>
      </c>
      <c r="K401" s="4" t="str">
        <f ca="1">IF(OR(INDEX($AG$2:$AG$1001,MATCH(ROWS($AF$2:AF401),$AF$2:$AF$1001,0),1)&gt;=100000,INDEX($AM$1005:$BM$1005,1,MATCH(COLUMNS($AM$1006:AV1006),$AM$1006:$BM$1006,0))&gt;=100000), " ",IF(INDEX($AM$2:$BM$1001,MATCH(ROWS($AF$2:AF401),$AF$2:$AF$1001,0),MATCH(COLUMNS($AM$1006:AV1006),$AM$1006:$BM$1006,0)), HYPERLINK("#",""), HYPERLINK(CONCATENATE("#metadata!", ADDRESS(INDEX($AH$2:$AH$1001,MATCH(ROWS($AF$2:AF401),$AF$2:$AF$1001,0),0), INDEX($AM$1004:$BM$1004,1,MATCH(COLUMNS($AM$1006:AV1006),$AM$1006:$BM$1006,0)))),"Fix")))</f>
        <v xml:space="preserve"> </v>
      </c>
      <c r="L401" s="4" t="str">
        <f ca="1">IF(OR(INDEX($AG$2:$AG$1001,MATCH(ROWS($AF$2:AF401),$AF$2:$AF$1001,0),1)&gt;=100000,INDEX($AM$1005:$BM$1005,1,MATCH(COLUMNS($AM$1006:AW1006),$AM$1006:$BM$1006,0))&gt;=100000), " ",IF(INDEX($AM$2:$BM$1001,MATCH(ROWS($AF$2:AF401),$AF$2:$AF$1001,0),MATCH(COLUMNS($AM$1006:AW1006),$AM$1006:$BM$1006,0)), HYPERLINK("#",""), HYPERLINK(CONCATENATE("#metadata!", ADDRESS(INDEX($AH$2:$AH$1001,MATCH(ROWS($AF$2:AF401),$AF$2:$AF$1001,0),0), INDEX($AM$1004:$BM$1004,1,MATCH(COLUMNS($AM$1006:AW1006),$AM$1006:$BM$1006,0)))),"Fix")))</f>
        <v xml:space="preserve"> </v>
      </c>
      <c r="M401" s="4" t="str">
        <f ca="1">IF(OR(INDEX($AG$2:$AG$1001,MATCH(ROWS($AF$2:AF401),$AF$2:$AF$1001,0),1)&gt;=100000,INDEX($AM$1005:$BM$1005,1,MATCH(COLUMNS($AM$1006:AX1006),$AM$1006:$BM$1006,0))&gt;=100000), " ",IF(INDEX($AM$2:$BM$1001,MATCH(ROWS($AF$2:AF401),$AF$2:$AF$1001,0),MATCH(COLUMNS($AM$1006:AX1006),$AM$1006:$BM$1006,0)), HYPERLINK("#",""), HYPERLINK(CONCATENATE("#metadata!", ADDRESS(INDEX($AH$2:$AH$1001,MATCH(ROWS($AF$2:AF401),$AF$2:$AF$1001,0),0), INDEX($AM$1004:$BM$1004,1,MATCH(COLUMNS($AM$1006:AX1006),$AM$1006:$BM$1006,0)))),"Fix")))</f>
        <v xml:space="preserve"> </v>
      </c>
      <c r="N401" s="4" t="str">
        <f ca="1">IF(OR(INDEX($AG$2:$AG$1001,MATCH(ROWS($AF$2:AF401),$AF$2:$AF$1001,0),1)&gt;=100000,INDEX($AM$1005:$BM$1005,1,MATCH(COLUMNS($AM$1006:AY1006),$AM$1006:$BM$1006,0))&gt;=100000), " ",IF(INDEX($AM$2:$BM$1001,MATCH(ROWS($AF$2:AF401),$AF$2:$AF$1001,0),MATCH(COLUMNS($AM$1006:AY1006),$AM$1006:$BM$1006,0)), HYPERLINK("#",""), HYPERLINK(CONCATENATE("#metadata!", ADDRESS(INDEX($AH$2:$AH$1001,MATCH(ROWS($AF$2:AF401),$AF$2:$AF$1001,0),0), INDEX($AM$1004:$BM$1004,1,MATCH(COLUMNS($AM$1006:AY1006),$AM$1006:$BM$1006,0)))),"Fix")))</f>
        <v xml:space="preserve"> </v>
      </c>
      <c r="O401" s="4" t="str">
        <f ca="1">IF(OR(INDEX($AG$2:$AG$1001,MATCH(ROWS($AF$2:AF401),$AF$2:$AF$1001,0),1)&gt;=100000,INDEX($AM$1005:$BM$1005,1,MATCH(COLUMNS($AM$1006:AZ1006),$AM$1006:$BM$1006,0))&gt;=100000), " ",IF(INDEX($AM$2:$BM$1001,MATCH(ROWS($AF$2:AF401),$AF$2:$AF$1001,0),MATCH(COLUMNS($AM$1006:AZ1006),$AM$1006:$BM$1006,0)), HYPERLINK("#",""), HYPERLINK(CONCATENATE("#metadata!", ADDRESS(INDEX($AH$2:$AH$1001,MATCH(ROWS($AF$2:AF401),$AF$2:$AF$1001,0),0), INDEX($AM$1004:$BM$1004,1,MATCH(COLUMNS($AM$1006:AZ1006),$AM$1006:$BM$1006,0)))),"Fix")))</f>
        <v xml:space="preserve"> </v>
      </c>
      <c r="P401" s="4" t="str">
        <f ca="1">IF(OR(INDEX($AG$2:$AG$1001,MATCH(ROWS($AF$2:AF401),$AF$2:$AF$1001,0),1)&gt;=100000,INDEX($AM$1005:$BM$1005,1,MATCH(COLUMNS($AM$1006:BA1006),$AM$1006:$BM$1006,0))&gt;=100000), " ",IF(INDEX($AM$2:$BM$1001,MATCH(ROWS($AF$2:AF401),$AF$2:$AF$1001,0),MATCH(COLUMNS($AM$1006:BA1006),$AM$1006:$BM$1006,0)), HYPERLINK("#",""), HYPERLINK(CONCATENATE("#metadata!", ADDRESS(INDEX($AH$2:$AH$1001,MATCH(ROWS($AF$2:AF401),$AF$2:$AF$1001,0),0), INDEX($AM$1004:$BM$1004,1,MATCH(COLUMNS($AM$1006:BA1006),$AM$1006:$BM$1006,0)))),"Fix")))</f>
        <v xml:space="preserve"> </v>
      </c>
      <c r="Q401" s="4" t="str">
        <f ca="1">IF(OR(INDEX($AG$2:$AG$1001,MATCH(ROWS($AF$2:AF401),$AF$2:$AF$1001,0),1)&gt;=100000,INDEX($AM$1005:$BM$1005,1,MATCH(COLUMNS($AM$1006:BB1006),$AM$1006:$BM$1006,0))&gt;=100000), " ",IF(INDEX($AM$2:$BM$1001,MATCH(ROWS($AF$2:AF401),$AF$2:$AF$1001,0),MATCH(COLUMNS($AM$1006:BB1006),$AM$1006:$BM$1006,0)), HYPERLINK("#",""), HYPERLINK(CONCATENATE("#metadata!", ADDRESS(INDEX($AH$2:$AH$1001,MATCH(ROWS($AF$2:AF401),$AF$2:$AF$1001,0),0), INDEX($AM$1004:$BM$1004,1,MATCH(COLUMNS($AM$1006:BB1006),$AM$1006:$BM$1006,0)))),"Fix")))</f>
        <v xml:space="preserve"> </v>
      </c>
      <c r="R401" s="4" t="str">
        <f ca="1">IF(OR(INDEX($AG$2:$AG$1001,MATCH(ROWS($AF$2:AF401),$AF$2:$AF$1001,0),1)&gt;=100000,INDEX($AM$1005:$BM$1005,1,MATCH(COLUMNS($AM$1006:BC1006),$AM$1006:$BM$1006,0))&gt;=100000), " ",IF(INDEX($AM$2:$BM$1001,MATCH(ROWS($AF$2:AF401),$AF$2:$AF$1001,0),MATCH(COLUMNS($AM$1006:BC1006),$AM$1006:$BM$1006,0)), HYPERLINK("#",""), HYPERLINK(CONCATENATE("#metadata!", ADDRESS(INDEX($AH$2:$AH$1001,MATCH(ROWS($AF$2:AF401),$AF$2:$AF$1001,0),0), INDEX($AM$1004:$BM$1004,1,MATCH(COLUMNS($AM$1006:BC1006),$AM$1006:$BM$1006,0)))),"Fix")))</f>
        <v xml:space="preserve"> </v>
      </c>
      <c r="S401" s="4" t="str">
        <f ca="1">IF(OR(INDEX($AG$2:$AG$1001,MATCH(ROWS($AF$2:AF401),$AF$2:$AF$1001,0),1)&gt;=100000,INDEX($AM$1005:$BM$1005,1,MATCH(COLUMNS($AM$1006:BD1006),$AM$1006:$BM$1006,0))&gt;=100000), " ",IF(INDEX($AM$2:$BM$1001,MATCH(ROWS($AF$2:AF401),$AF$2:$AF$1001,0),MATCH(COLUMNS($AM$1006:BD1006),$AM$1006:$BM$1006,0)), HYPERLINK("#",""), HYPERLINK(CONCATENATE("#metadata!", ADDRESS(INDEX($AH$2:$AH$1001,MATCH(ROWS($AF$2:AF401),$AF$2:$AF$1001,0),0), INDEX($AM$1004:$BM$1004,1,MATCH(COLUMNS($AM$1006:BD1006),$AM$1006:$BM$1006,0)))),"Fix")))</f>
        <v xml:space="preserve"> </v>
      </c>
      <c r="T401" s="4" t="str">
        <f ca="1">IF(OR(INDEX($AG$2:$AG$1001,MATCH(ROWS($AF$2:AF401),$AF$2:$AF$1001,0),1)&gt;=100000,INDEX($AM$1005:$BM$1005,1,MATCH(COLUMNS($AM$1006:BE1006),$AM$1006:$BM$1006,0))&gt;=100000), " ",IF(INDEX($AM$2:$BM$1001,MATCH(ROWS($AF$2:AF401),$AF$2:$AF$1001,0),MATCH(COLUMNS($AM$1006:BE1006),$AM$1006:$BM$1006,0)), HYPERLINK("#",""), HYPERLINK(CONCATENATE("#metadata!", ADDRESS(INDEX($AH$2:$AH$1001,MATCH(ROWS($AF$2:AF401),$AF$2:$AF$1001,0),0), INDEX($AM$1004:$BM$1004,1,MATCH(COLUMNS($AM$1006:BE1006),$AM$1006:$BM$1006,0)))),"Fix")))</f>
        <v xml:space="preserve"> </v>
      </c>
      <c r="U401" s="4" t="str">
        <f ca="1">IF(OR(INDEX($AG$2:$AG$1001,MATCH(ROWS($AF$2:AF401),$AF$2:$AF$1001,0),1)&gt;=100000,INDEX($AM$1005:$BM$1005,1,MATCH(COLUMNS($AM$1006:BF1006),$AM$1006:$BM$1006,0))&gt;=100000), " ",IF(INDEX($AM$2:$BM$1001,MATCH(ROWS($AF$2:AF401),$AF$2:$AF$1001,0),MATCH(COLUMNS($AM$1006:BF1006),$AM$1006:$BM$1006,0)), HYPERLINK("#",""), HYPERLINK(CONCATENATE("#metadata!", ADDRESS(INDEX($AH$2:$AH$1001,MATCH(ROWS($AF$2:AF401),$AF$2:$AF$1001,0),0), INDEX($AM$1004:$BM$1004,1,MATCH(COLUMNS($AM$1006:BF1006),$AM$1006:$BM$1006,0)))),"Fix")))</f>
        <v xml:space="preserve"> </v>
      </c>
      <c r="V401" s="4" t="str">
        <f ca="1">IF(OR(INDEX($AG$2:$AG$1001,MATCH(ROWS($AF$2:AF401),$AF$2:$AF$1001,0),1)&gt;=100000,INDEX($AM$1005:$BM$1005,1,MATCH(COLUMNS($AM$1006:BG1006),$AM$1006:$BM$1006,0))&gt;=100000), " ",IF(INDEX($AM$2:$BM$1001,MATCH(ROWS($AF$2:AF401),$AF$2:$AF$1001,0),MATCH(COLUMNS($AM$1006:BG1006),$AM$1006:$BM$1006,0)), HYPERLINK("#",""), HYPERLINK(CONCATENATE("#metadata!", ADDRESS(INDEX($AH$2:$AH$1001,MATCH(ROWS($AF$2:AF401),$AF$2:$AF$1001,0),0), INDEX($AM$1004:$BM$1004,1,MATCH(COLUMNS($AM$1006:BG1006),$AM$1006:$BM$1006,0)))),"Fix")))</f>
        <v xml:space="preserve"> </v>
      </c>
      <c r="W401" s="4" t="str">
        <f ca="1">IF(OR(INDEX($AG$2:$AG$1001,MATCH(ROWS($AF$2:AF401),$AF$2:$AF$1001,0),1)&gt;=100000,INDEX($AM$1005:$BM$1005,1,MATCH(COLUMNS($AM$1006:BH1006),$AM$1006:$BM$1006,0))&gt;=100000), " ",IF(INDEX($AM$2:$BM$1001,MATCH(ROWS($AF$2:AF401),$AF$2:$AF$1001,0),MATCH(COLUMNS($AM$1006:BH1006),$AM$1006:$BM$1006,0)), HYPERLINK("#",""), HYPERLINK(CONCATENATE("#metadata!", ADDRESS(INDEX($AH$2:$AH$1001,MATCH(ROWS($AF$2:AF401),$AF$2:$AF$1001,0),0), INDEX($AM$1004:$BM$1004,1,MATCH(COLUMNS($AM$1006:BH1006),$AM$1006:$BM$1006,0)))),"Fix")))</f>
        <v xml:space="preserve"> </v>
      </c>
      <c r="X401" s="4" t="str">
        <f ca="1">IF(OR(INDEX($AG$2:$AG$1001,MATCH(ROWS($AF$2:AF401),$AF$2:$AF$1001,0),1)&gt;=100000,INDEX($AM$1005:$BM$1005,1,MATCH(COLUMNS($AM$1006:BI1006),$AM$1006:$BM$1006,0))&gt;=100000), " ",IF(INDEX($AM$2:$BM$1001,MATCH(ROWS($AF$2:AF401),$AF$2:$AF$1001,0),MATCH(COLUMNS($AM$1006:BI1006),$AM$1006:$BM$1006,0)), HYPERLINK("#",""), HYPERLINK(CONCATENATE("#metadata!", ADDRESS(INDEX($AH$2:$AH$1001,MATCH(ROWS($AF$2:AF401),$AF$2:$AF$1001,0),0), INDEX($AM$1004:$BM$1004,1,MATCH(COLUMNS($AM$1006:BI1006),$AM$1006:$BM$1006,0)))),"Fix")))</f>
        <v xml:space="preserve"> </v>
      </c>
      <c r="Y401" s="4" t="str">
        <f ca="1">IF(OR(INDEX($AG$2:$AG$1001,MATCH(ROWS($AF$2:AF401),$AF$2:$AF$1001,0),1)&gt;=100000,INDEX($AM$1005:$BM$1005,1,MATCH(COLUMNS($AM$1006:BJ1006),$AM$1006:$BM$1006,0))&gt;=100000), " ",IF(INDEX($AM$2:$BM$1001,MATCH(ROWS($AF$2:AF401),$AF$2:$AF$1001,0),MATCH(COLUMNS($AM$1006:BJ1006),$AM$1006:$BM$1006,0)), HYPERLINK("#",""), HYPERLINK(CONCATENATE("#metadata!", ADDRESS(INDEX($AH$2:$AH$1001,MATCH(ROWS($AF$2:AF401),$AF$2:$AF$1001,0),0), INDEX($AM$1004:$BM$1004,1,MATCH(COLUMNS($AM$1006:BJ1006),$AM$1006:$BM$1006,0)))),"Fix")))</f>
        <v xml:space="preserve"> </v>
      </c>
      <c r="Z401" s="4" t="str">
        <f ca="1">IF(OR(INDEX($AG$2:$AG$1001,MATCH(ROWS($AF$2:AF401),$AF$2:$AF$1001,0),1)&gt;=100000,INDEX($AM$1005:$BM$1005,1,MATCH(COLUMNS($AM$1006:BK1006),$AM$1006:$BM$1006,0))&gt;=100000), " ",IF(INDEX($AM$2:$BM$1001,MATCH(ROWS($AF$2:AF401),$AF$2:$AF$1001,0),MATCH(COLUMNS($AM$1006:BK1006),$AM$1006:$BM$1006,0)), HYPERLINK("#",""), HYPERLINK(CONCATENATE("#metadata!", ADDRESS(INDEX($AH$2:$AH$1001,MATCH(ROWS($AF$2:AF401),$AF$2:$AF$1001,0),0), INDEX($AM$1004:$BM$1004,1,MATCH(COLUMNS($AM$1006:BK1006),$AM$1006:$BM$1006,0)))),"Fix")))</f>
        <v xml:space="preserve"> </v>
      </c>
      <c r="AA401" s="4" t="str">
        <f ca="1">IF(OR(INDEX($AG$2:$AG$1001,MATCH(ROWS($AF$2:AF401),$AF$2:$AF$1001,0),1)&gt;=100000,INDEX($AM$1005:$BM$1005,1,MATCH(COLUMNS($AM$1006:BL1006),$AM$1006:$BM$1006,0))&gt;=100000), " ",IF(INDEX($AM$2:$BM$1001,MATCH(ROWS($AF$2:AF401),$AF$2:$AF$1001,0),MATCH(COLUMNS($AM$1006:BL1006),$AM$1006:$BM$1006,0)), HYPERLINK("#",""), HYPERLINK(CONCATENATE("#metadata!", ADDRESS(INDEX($AH$2:$AH$1001,MATCH(ROWS($AF$2:AF401),$AF$2:$AF$1001,0),0), INDEX($AM$1004:$BM$1004,1,MATCH(COLUMNS($AM$1006:BL1006),$AM$1006:$BM$1006,0)))),"Fix")))</f>
        <v xml:space="preserve"> </v>
      </c>
      <c r="AB401" s="4" t="str">
        <f ca="1">IF(OR(INDEX($AG$2:$AG$1001,MATCH(ROWS($AF$2:AF401),$AF$2:$AF$1001,0),1)&gt;=100000,INDEX($AM$1005:$BM$1005,1,MATCH(COLUMNS($AM$1006:BM1006),$AM$1006:$BM$1006,0))&gt;=100000), " ",IF(INDEX($AM$2:$BM$1001,MATCH(ROWS($AF$2:AF401),$AF$2:$AF$1001,0),MATCH(COLUMNS($AM$1006:BM1006),$AM$1006:$BM$1006,0)), HYPERLINK("#",""), HYPERLINK(CONCATENATE("#metadata!", ADDRESS(INDEX($AH$2:$AH$1001,MATCH(ROWS($AF$2:AF401),$AF$2:$AF$1001,0),0), INDEX($AM$1004:$BM$1004,1,MATCH(COLUMNS($AM$1006:BM1006),$AM$1006:$BM$1006,0)))),"Fix")))</f>
        <v xml:space="preserve"> </v>
      </c>
      <c r="AF401">
        <v>400</v>
      </c>
      <c r="AG401">
        <v>100401</v>
      </c>
      <c r="AH401">
        <v>401</v>
      </c>
      <c r="AI401" t="b">
        <f t="shared" si="6"/>
        <v>1</v>
      </c>
      <c r="AJ401" t="b">
        <f>COUNTBLANK(metadata!B401:AB401)=COLUMNS(metadata!B401:AB401)</f>
        <v>1</v>
      </c>
      <c r="AK401" t="str">
        <v/>
      </c>
      <c r="AM401" t="b">
        <f ca="1">AND(IF(metadata!B401="",FALSE,TRUE),COUNTIF(metadata!B:B, metadata!B401) = 1,NOT(ISERROR(SUMPRODUCT(SEARCH(MID(metadata!B401,ROW(INDIRECT("1:"&amp;LEN(metadata!B401))), 1),"0123456789abcdefghijklmnopqrstuvwxyzABCDEFGHIJKLMNOPQRSTUVWXYZ.")))))</f>
        <v>0</v>
      </c>
      <c r="AN401" t="b">
        <f ca="1">OR(AND(IF(metadata!C401="",FALSE,TRUE),OR(EXACT(metadata!C401,"missing: not collected"),EXACT(metadata!C401,"missing: not provided"),EXACT(metadata!C401,"missing: restricted access"))),AND(IF(metadata!C401="",FALSE,TRUE),AND(AND(IFERROR(INT(LEFT(metadata!C401,4))&gt;1900,FALSE),IFERROR(INT(LEFT(metadata!C401,4))&lt;=YEAR(NOW()),FALSE)), OR(MID(metadata!C401,5,1)="", AND(AND(MID(metadata!C401,5,1)="-",IFERROR(INT(MID(metadata!C401,6,1))&gt;=0,FALSE),IFERROR(INT(MID(metadata!C401,6,1))&lt;=1,FALSE),NOT(MID(metadata!C401,7,1)=""),IFERROR(INT(MID(metadata!C401,6,2))&gt;=1,FALSE),IFERROR(INT(MID(metadata!C401,6,2))&lt;=12,FALSE)), OR(MID(metadata!C401,8,1)="", AND(AND(MID(metadata!C401,8,1)="-",IFERROR(INT(MID(metadata!C401,9,1))&gt;=0,FALSE),IFERROR(INT(MID(metadata!C401,9,1))&lt;=3,FALSE),NOT(MID(metadata!C401,10,1)=""),IFERROR(INT(MID(metadata!C401,9,2))&gt;=1,FALSE),IFERROR(INT(MID(metadata!C401,9,2))&lt;=31,FALSE)), OR(MID(metadata!C401,11,1)="", AND(AND(MID(metadata!C401,11,1)=" ",IFERROR(INT(MID(metadata!C401,12,1))&gt;=0,FALSE),IFERROR(INT(MID(metadata!C401,12,1))&lt;=2,FALSE),NOT(MID(metadata!C401,13,1)=""),IFERROR(INT(MID(metadata!C401,12,2))&gt;=0,FALSE),IFERROR(INT(MID(metadata!C401,12,2))&lt;=23,FALSE)), OR(MID(metadata!C401,14,1)="", AND(AND(MID(metadata!C401,14,1)=":",IFERROR(INT(MID(metadata!C401,15,1))&gt;=0,FALSE),IFERROR(INT(MID(metadata!C401,15,1))&lt;=5,FALSE),NOT(MID(metadata!C401,16,1)=""),IFERROR(INT(MID(metadata!C401,15,2))&gt;=0,FALSE),IFERROR(INT(MID(metadata!C401,15,2))&lt;=59,FALSE)), OR(MID(metadata!C401,17,1)="", AND(AND(MID(metadata!C401,17,1)=":",IFERROR(INT(MID(metadata!C401,18,1))&gt;=0,FALSE),IFERROR(INT(MID(metadata!C401,18,1))&lt;=5,FALSE),NOT(MID(metadata!C401,19,1)=""),IFERROR(INT(MID(metadata!C401,18,2))&gt;=0,FALSE),IFERROR(INT(MID(metadata!C401,18,2))&lt;=59,FALSE)), LEN(metadata!C401)&lt;=19)))))))))))))</f>
        <v>0</v>
      </c>
      <c r="AO401" t="b">
        <f>AND(IF(metadata!D401="",FALSE,TRUE),EXACT(metadata!D401,"Not applicable"))</f>
        <v>0</v>
      </c>
      <c r="AP401" t="b">
        <f>IF(metadata!E401="",FALSE,TRUE)</f>
        <v>0</v>
      </c>
      <c r="AQ401" t="b">
        <f>OR(AND(IF(metadata!F401="",FALSE,TRUE),OR(EXACT(metadata!F401,"missing: not collected"),EXACT(metadata!F401,"missing: not provided"))),AND(IF(metadata!F401="",FALSE,TRUE),OR(EXACT(metadata!F401,"TRUE"),EXACT(metadata!F401,"FALSE"))))</f>
        <v>0</v>
      </c>
      <c r="AR401" t="b">
        <f>OR(AND(IF(metadata!G401="",FALSE,TRUE),OR(EXACT(metadata!G401,"missing: not collected"),EXACT(metadata!G401,"missing: not provided"),EXACT(metadata!G401,"missing: restricted access"))),AND(IF(metadata!G401="",FALSE,ISNUMBER(VALUE(metadata!G401))),metadata!G401&gt;=-413))</f>
        <v>0</v>
      </c>
      <c r="AS401" t="b">
        <f>AND(IF(metadata!H401="",FALSE,TRUE),EXACT(metadata!H401,"meters"))</f>
        <v>0</v>
      </c>
      <c r="AT401" t="b">
        <f>AND(IF(metadata!I401="",FALSE,TRUE),OR(EXACT(metadata!I401,"Host-associated"),EXACT(metadata!I401,"Free-living")))</f>
        <v>0</v>
      </c>
      <c r="AU401" t="b">
        <f>AND(IF(metadata!J401="",FALSE,TRUE),OR(EXACT(metadata!J401,"Animal"),EXACT(metadata!J401,"Fungus"),EXACT(metadata!J401,"Plant"),EXACT(metadata!J401,"Saline"),EXACT(metadata!J401,"Non-saline")))</f>
        <v>0</v>
      </c>
      <c r="AV401" t="b">
        <f>AND(IF(metadata!K401="",FALSE,TRUE),OR(EXACT(metadata!K401,"Plant secretion"),EXACT(metadata!K401,"Plant rhizosphere"),EXACT(metadata!K401,"Plant surface"),EXACT(metadata!K401,"Plant corpus"),EXACT(metadata!K401,"Fungus surface"),EXACT(metadata!K401,"Fungus corpus"),EXACT(metadata!K401,"Animal surface"),EXACT(metadata!K401,"Animal proximal gut"),EXACT(metadata!K401,"Animal corpus"),EXACT(metadata!K401,"Animal distal gut"),EXACT(metadata!K401,"Animal secretion"),EXACT(metadata!K401,"Sub-surface (non-saline)"),EXACT(metadata!K401,"Surface (non-saline)"),EXACT(metadata!K401,"Water (non-saline)"),EXACT(metadata!K401,"Soil (non-saline)"),EXACT(metadata!K401,"Aerosol (non-saline)"),EXACT(metadata!K401,"Sediment (non-saline)"),EXACT(metadata!K401,"Surface (saline)"),EXACT(metadata!K401,"Water (saline)"),EXACT(metadata!K401,"Hypersaline (saline)"),EXACT(metadata!K401,"Aerosol (saline)"),EXACT(metadata!K401,"Sediment (saline)")))</f>
        <v>0</v>
      </c>
      <c r="AW401" t="b">
        <f>IF(metadata!L401="",FALSE,TRUE)</f>
        <v>0</v>
      </c>
      <c r="AX401" t="b">
        <f>IF(metadata!M401="",FALSE,TRUE)</f>
        <v>0</v>
      </c>
      <c r="AY401" t="b">
        <f>IF(metadata!N401="",FALSE,TRUE)</f>
        <v>0</v>
      </c>
      <c r="AZ401" t="b">
        <f>OR(AND(IF(metadata!O401="",FALSE,TRUE),OR(EXACT(metadata!O401,"missing: not collected"),EXACT(metadata!O401,"missing: not provided"),EXACT(metadata!O401,"missing: restricted access"))),AND(IF(metadata!O401="",FALSE,TRUE),OR(EXACT(metadata!O401,"air"),EXACT(metadata!O401,"built environment"),EXACT(metadata!O401,"host-associated"),EXACT(metadata!O401,"human-associated"),EXACT(metadata!O401,"human-skin"),EXACT(metadata!O401,"human-oral"),EXACT(metadata!O401,"human-gut"),EXACT(metadata!O401,"human-vaginal"),EXACT(metadata!O401,"microbial mat/biofilm"),EXACT(metadata!O401,"misc environment"),EXACT(metadata!O401,"plant-associated"),EXACT(metadata!O401,"sediment"),EXACT(metadata!O401,"soil"),EXACT(metadata!O401,"wastewater/sludge"),EXACT(metadata!O401,"water"))))</f>
        <v>0</v>
      </c>
      <c r="BA401" t="b">
        <f>IF(metadata!P401="",FALSE,TRUE)</f>
        <v>0</v>
      </c>
      <c r="BB401" t="b">
        <f>IF(metadata!Q401="",FALSE,TRUE)</f>
        <v>0</v>
      </c>
      <c r="BC401" t="b">
        <f>OR(AND(IF(metadata!R401="",FALSE,TRUE),OR(EXACT(metadata!R401,"missing: not collected"),EXACT(metadata!R401,"missing: not provided"),EXACT(metadata!R401,"missing: restricted access"))),AND(IF(metadata!R401="",FALSE,ISNUMBER(VALUE(metadata!R401))),metadata!R401&gt;=-90,metadata!R401&lt;=90))</f>
        <v>0</v>
      </c>
      <c r="BD401" t="b">
        <f>AND(IF(metadata!S401="",FALSE,TRUE),EXACT(metadata!S401,"Decimal degrees"))</f>
        <v>0</v>
      </c>
      <c r="BE401" t="b">
        <f>OR(AND(IF(metadata!T401="",FALSE,TRUE),OR(EXACT(metadata!T401,"missing: not collected"),EXACT(metadata!T401,"missing: not provided"),EXACT(metadata!T401,"missing: restricted access"))),AND(IF(metadata!T401="",FALSE,ISNUMBER(VALUE(metadata!T401))),metadata!T401&gt;=-180,metadata!T401&lt;=180))</f>
        <v>0</v>
      </c>
      <c r="BF401" t="b">
        <f>AND(IF(metadata!U401="",FALSE,TRUE),EXACT(metadata!U401,"Decimal degrees"))</f>
        <v>0</v>
      </c>
      <c r="BG401" t="b">
        <f>IF(metadata!V401="",FALSE,TRUE)</f>
        <v>0</v>
      </c>
      <c r="BH401" t="b">
        <f>OR(AND(IF(metadata!W401="",FALSE,TRUE),OR(EXACT(metadata!W401,"missing: not collected"),EXACT(metadata!W401,"missing: not provided"),EXACT(metadata!W401,"missing: restricted access"))),AND(IF(metadata!W401="",FALSE,TRUE),OR(EXACT(metadata!W401,"TRUE"),EXACT(metadata!W401,"FALSE"))))</f>
        <v>0</v>
      </c>
      <c r="BI401" t="b">
        <f>AND(IF(metadata!X401="",FALSE,TRUE),EXACT(metadata!X401,"other"))</f>
        <v>0</v>
      </c>
      <c r="BJ401" t="b">
        <f>IF(metadata!Y401="",FALSE,TRUE)</f>
        <v>0</v>
      </c>
      <c r="BK401" t="b">
        <f>OR(AND(IF(metadata!Z401="",FALSE,TRUE),OR(EXACT(metadata!Z401,"missing: not collected"),EXACT(metadata!Z401,"missing: not provided"))),AND(IF(metadata!Z401="",FALSE,IF(ISERROR(INT(metadata!Z401)),FALSE,INT(metadata!Z401)=metadata!Z401)),metadata!Z401&gt;0))</f>
        <v>0</v>
      </c>
      <c r="BL401" t="b">
        <f>AND(IF(metadata!AA401="",FALSE,TRUE),EXACT(metadata!AA401,"Not applicable"))</f>
        <v>0</v>
      </c>
      <c r="BM401" t="b">
        <f>IF(metadata!AB401="",FALSE,TRUE)</f>
        <v>0</v>
      </c>
    </row>
    <row r="402" spans="1:65" x14ac:dyDescent="0.2">
      <c r="A402" s="5" t="str">
        <f ca="1">IF(B402=" "," ",HYPERLINK(CONCATENATE("#metadata!",ADDRESS(INDEX($AH$2:$AH$1001,MATCH(ROWS($AF$2:AF402),$AF$2:$AF$1001,0),0),1)),INDEX($AK$2:$AK$1001,MATCH(ROWS($AF$2:AF402),$AF$2:$AF$1001,0),0)))</f>
        <v xml:space="preserve"> </v>
      </c>
      <c r="B402" s="4" t="str">
        <f ca="1">IF(OR(INDEX($AG$2:$AG$1001,MATCH(ROWS($AF$2:AF402),$AF$2:$AF$1001,0),1)&gt;=100000,INDEX($AM$1005:$BM$1005,1,MATCH(COLUMNS($AM$1006:AM1006),$AM$1006:$BM$1006,0))&gt;=100000), " ",IF(INDEX($AM$2:$BM$1001,MATCH(ROWS($AF$2:AF402),$AF$2:$AF$1001,0),MATCH(COLUMNS($AM$1006:AM1006),$AM$1006:$BM$1006,0)), HYPERLINK("#",""), HYPERLINK(CONCATENATE("#metadata!", ADDRESS(INDEX($AH$2:$AH$1001,MATCH(ROWS($AF$2:AF402),$AF$2:$AF$1001,0),0), INDEX($AM$1004:$BM$1004,1,MATCH(COLUMNS($AM$1006:AM1006),$AM$1006:$BM$1006,0)))),"Fix")))</f>
        <v xml:space="preserve"> </v>
      </c>
      <c r="C402" s="4" t="str">
        <f ca="1">IF(OR(INDEX($AG$2:$AG$1001,MATCH(ROWS($AF$2:AF402),$AF$2:$AF$1001,0),1)&gt;=100000,INDEX($AM$1005:$BM$1005,1,MATCH(COLUMNS($AM$1006:AN1006),$AM$1006:$BM$1006,0))&gt;=100000), " ",IF(INDEX($AM$2:$BM$1001,MATCH(ROWS($AF$2:AF402),$AF$2:$AF$1001,0),MATCH(COLUMNS($AM$1006:AN1006),$AM$1006:$BM$1006,0)), HYPERLINK("#",""), HYPERLINK(CONCATENATE("#metadata!", ADDRESS(INDEX($AH$2:$AH$1001,MATCH(ROWS($AF$2:AF402),$AF$2:$AF$1001,0),0), INDEX($AM$1004:$BM$1004,1,MATCH(COLUMNS($AM$1006:AN1006),$AM$1006:$BM$1006,0)))),"Fix")))</f>
        <v xml:space="preserve"> </v>
      </c>
      <c r="D402" s="4" t="str">
        <f ca="1">IF(OR(INDEX($AG$2:$AG$1001,MATCH(ROWS($AF$2:AF402),$AF$2:$AF$1001,0),1)&gt;=100000,INDEX($AM$1005:$BM$1005,1,MATCH(COLUMNS($AM$1006:AO1006),$AM$1006:$BM$1006,0))&gt;=100000), " ",IF(INDEX($AM$2:$BM$1001,MATCH(ROWS($AF$2:AF402),$AF$2:$AF$1001,0),MATCH(COLUMNS($AM$1006:AO1006),$AM$1006:$BM$1006,0)), HYPERLINK("#",""), HYPERLINK(CONCATENATE("#metadata!", ADDRESS(INDEX($AH$2:$AH$1001,MATCH(ROWS($AF$2:AF402),$AF$2:$AF$1001,0),0), INDEX($AM$1004:$BM$1004,1,MATCH(COLUMNS($AM$1006:AO1006),$AM$1006:$BM$1006,0)))),"Fix")))</f>
        <v xml:space="preserve"> </v>
      </c>
      <c r="E402" s="4" t="str">
        <f ca="1">IF(OR(INDEX($AG$2:$AG$1001,MATCH(ROWS($AF$2:AF402),$AF$2:$AF$1001,0),1)&gt;=100000,INDEX($AM$1005:$BM$1005,1,MATCH(COLUMNS($AM$1006:AP1006),$AM$1006:$BM$1006,0))&gt;=100000), " ",IF(INDEX($AM$2:$BM$1001,MATCH(ROWS($AF$2:AF402),$AF$2:$AF$1001,0),MATCH(COLUMNS($AM$1006:AP1006),$AM$1006:$BM$1006,0)), HYPERLINK("#",""), HYPERLINK(CONCATENATE("#metadata!", ADDRESS(INDEX($AH$2:$AH$1001,MATCH(ROWS($AF$2:AF402),$AF$2:$AF$1001,0),0), INDEX($AM$1004:$BM$1004,1,MATCH(COLUMNS($AM$1006:AP1006),$AM$1006:$BM$1006,0)))),"Fix")))</f>
        <v xml:space="preserve"> </v>
      </c>
      <c r="F402" s="4" t="str">
        <f ca="1">IF(OR(INDEX($AG$2:$AG$1001,MATCH(ROWS($AF$2:AF402),$AF$2:$AF$1001,0),1)&gt;=100000,INDEX($AM$1005:$BM$1005,1,MATCH(COLUMNS($AM$1006:AQ1006),$AM$1006:$BM$1006,0))&gt;=100000), " ",IF(INDEX($AM$2:$BM$1001,MATCH(ROWS($AF$2:AF402),$AF$2:$AF$1001,0),MATCH(COLUMNS($AM$1006:AQ1006),$AM$1006:$BM$1006,0)), HYPERLINK("#",""), HYPERLINK(CONCATENATE("#metadata!", ADDRESS(INDEX($AH$2:$AH$1001,MATCH(ROWS($AF$2:AF402),$AF$2:$AF$1001,0),0), INDEX($AM$1004:$BM$1004,1,MATCH(COLUMNS($AM$1006:AQ1006),$AM$1006:$BM$1006,0)))),"Fix")))</f>
        <v xml:space="preserve"> </v>
      </c>
      <c r="G402" s="4" t="str">
        <f ca="1">IF(OR(INDEX($AG$2:$AG$1001,MATCH(ROWS($AF$2:AF402),$AF$2:$AF$1001,0),1)&gt;=100000,INDEX($AM$1005:$BM$1005,1,MATCH(COLUMNS($AM$1006:AR1006),$AM$1006:$BM$1006,0))&gt;=100000), " ",IF(INDEX($AM$2:$BM$1001,MATCH(ROWS($AF$2:AF402),$AF$2:$AF$1001,0),MATCH(COLUMNS($AM$1006:AR1006),$AM$1006:$BM$1006,0)), HYPERLINK("#",""), HYPERLINK(CONCATENATE("#metadata!", ADDRESS(INDEX($AH$2:$AH$1001,MATCH(ROWS($AF$2:AF402),$AF$2:$AF$1001,0),0), INDEX($AM$1004:$BM$1004,1,MATCH(COLUMNS($AM$1006:AR1006),$AM$1006:$BM$1006,0)))),"Fix")))</f>
        <v xml:space="preserve"> </v>
      </c>
      <c r="H402" s="4" t="str">
        <f ca="1">IF(OR(INDEX($AG$2:$AG$1001,MATCH(ROWS($AF$2:AF402),$AF$2:$AF$1001,0),1)&gt;=100000,INDEX($AM$1005:$BM$1005,1,MATCH(COLUMNS($AM$1006:AS1006),$AM$1006:$BM$1006,0))&gt;=100000), " ",IF(INDEX($AM$2:$BM$1001,MATCH(ROWS($AF$2:AF402),$AF$2:$AF$1001,0),MATCH(COLUMNS($AM$1006:AS1006),$AM$1006:$BM$1006,0)), HYPERLINK("#",""), HYPERLINK(CONCATENATE("#metadata!", ADDRESS(INDEX($AH$2:$AH$1001,MATCH(ROWS($AF$2:AF402),$AF$2:$AF$1001,0),0), INDEX($AM$1004:$BM$1004,1,MATCH(COLUMNS($AM$1006:AS1006),$AM$1006:$BM$1006,0)))),"Fix")))</f>
        <v xml:space="preserve"> </v>
      </c>
      <c r="I402" s="4" t="str">
        <f ca="1">IF(OR(INDEX($AG$2:$AG$1001,MATCH(ROWS($AF$2:AF402),$AF$2:$AF$1001,0),1)&gt;=100000,INDEX($AM$1005:$BM$1005,1,MATCH(COLUMNS($AM$1006:AT1006),$AM$1006:$BM$1006,0))&gt;=100000), " ",IF(INDEX($AM$2:$BM$1001,MATCH(ROWS($AF$2:AF402),$AF$2:$AF$1001,0),MATCH(COLUMNS($AM$1006:AT1006),$AM$1006:$BM$1006,0)), HYPERLINK("#",""), HYPERLINK(CONCATENATE("#metadata!", ADDRESS(INDEX($AH$2:$AH$1001,MATCH(ROWS($AF$2:AF402),$AF$2:$AF$1001,0),0), INDEX($AM$1004:$BM$1004,1,MATCH(COLUMNS($AM$1006:AT1006),$AM$1006:$BM$1006,0)))),"Fix")))</f>
        <v xml:space="preserve"> </v>
      </c>
      <c r="J402" s="4" t="str">
        <f ca="1">IF(OR(INDEX($AG$2:$AG$1001,MATCH(ROWS($AF$2:AF402),$AF$2:$AF$1001,0),1)&gt;=100000,INDEX($AM$1005:$BM$1005,1,MATCH(COLUMNS($AM$1006:AU1006),$AM$1006:$BM$1006,0))&gt;=100000), " ",IF(INDEX($AM$2:$BM$1001,MATCH(ROWS($AF$2:AF402),$AF$2:$AF$1001,0),MATCH(COLUMNS($AM$1006:AU1006),$AM$1006:$BM$1006,0)), HYPERLINK("#",""), HYPERLINK(CONCATENATE("#metadata!", ADDRESS(INDEX($AH$2:$AH$1001,MATCH(ROWS($AF$2:AF402),$AF$2:$AF$1001,0),0), INDEX($AM$1004:$BM$1004,1,MATCH(COLUMNS($AM$1006:AU1006),$AM$1006:$BM$1006,0)))),"Fix")))</f>
        <v xml:space="preserve"> </v>
      </c>
      <c r="K402" s="4" t="str">
        <f ca="1">IF(OR(INDEX($AG$2:$AG$1001,MATCH(ROWS($AF$2:AF402),$AF$2:$AF$1001,0),1)&gt;=100000,INDEX($AM$1005:$BM$1005,1,MATCH(COLUMNS($AM$1006:AV1006),$AM$1006:$BM$1006,0))&gt;=100000), " ",IF(INDEX($AM$2:$BM$1001,MATCH(ROWS($AF$2:AF402),$AF$2:$AF$1001,0),MATCH(COLUMNS($AM$1006:AV1006),$AM$1006:$BM$1006,0)), HYPERLINK("#",""), HYPERLINK(CONCATENATE("#metadata!", ADDRESS(INDEX($AH$2:$AH$1001,MATCH(ROWS($AF$2:AF402),$AF$2:$AF$1001,0),0), INDEX($AM$1004:$BM$1004,1,MATCH(COLUMNS($AM$1006:AV1006),$AM$1006:$BM$1006,0)))),"Fix")))</f>
        <v xml:space="preserve"> </v>
      </c>
      <c r="L402" s="4" t="str">
        <f ca="1">IF(OR(INDEX($AG$2:$AG$1001,MATCH(ROWS($AF$2:AF402),$AF$2:$AF$1001,0),1)&gt;=100000,INDEX($AM$1005:$BM$1005,1,MATCH(COLUMNS($AM$1006:AW1006),$AM$1006:$BM$1006,0))&gt;=100000), " ",IF(INDEX($AM$2:$BM$1001,MATCH(ROWS($AF$2:AF402),$AF$2:$AF$1001,0),MATCH(COLUMNS($AM$1006:AW1006),$AM$1006:$BM$1006,0)), HYPERLINK("#",""), HYPERLINK(CONCATENATE("#metadata!", ADDRESS(INDEX($AH$2:$AH$1001,MATCH(ROWS($AF$2:AF402),$AF$2:$AF$1001,0),0), INDEX($AM$1004:$BM$1004,1,MATCH(COLUMNS($AM$1006:AW1006),$AM$1006:$BM$1006,0)))),"Fix")))</f>
        <v xml:space="preserve"> </v>
      </c>
      <c r="M402" s="4" t="str">
        <f ca="1">IF(OR(INDEX($AG$2:$AG$1001,MATCH(ROWS($AF$2:AF402),$AF$2:$AF$1001,0),1)&gt;=100000,INDEX($AM$1005:$BM$1005,1,MATCH(COLUMNS($AM$1006:AX1006),$AM$1006:$BM$1006,0))&gt;=100000), " ",IF(INDEX($AM$2:$BM$1001,MATCH(ROWS($AF$2:AF402),$AF$2:$AF$1001,0),MATCH(COLUMNS($AM$1006:AX1006),$AM$1006:$BM$1006,0)), HYPERLINK("#",""), HYPERLINK(CONCATENATE("#metadata!", ADDRESS(INDEX($AH$2:$AH$1001,MATCH(ROWS($AF$2:AF402),$AF$2:$AF$1001,0),0), INDEX($AM$1004:$BM$1004,1,MATCH(COLUMNS($AM$1006:AX1006),$AM$1006:$BM$1006,0)))),"Fix")))</f>
        <v xml:space="preserve"> </v>
      </c>
      <c r="N402" s="4" t="str">
        <f ca="1">IF(OR(INDEX($AG$2:$AG$1001,MATCH(ROWS($AF$2:AF402),$AF$2:$AF$1001,0),1)&gt;=100000,INDEX($AM$1005:$BM$1005,1,MATCH(COLUMNS($AM$1006:AY1006),$AM$1006:$BM$1006,0))&gt;=100000), " ",IF(INDEX($AM$2:$BM$1001,MATCH(ROWS($AF$2:AF402),$AF$2:$AF$1001,0),MATCH(COLUMNS($AM$1006:AY1006),$AM$1006:$BM$1006,0)), HYPERLINK("#",""), HYPERLINK(CONCATENATE("#metadata!", ADDRESS(INDEX($AH$2:$AH$1001,MATCH(ROWS($AF$2:AF402),$AF$2:$AF$1001,0),0), INDEX($AM$1004:$BM$1004,1,MATCH(COLUMNS($AM$1006:AY1006),$AM$1006:$BM$1006,0)))),"Fix")))</f>
        <v xml:space="preserve"> </v>
      </c>
      <c r="O402" s="4" t="str">
        <f ca="1">IF(OR(INDEX($AG$2:$AG$1001,MATCH(ROWS($AF$2:AF402),$AF$2:$AF$1001,0),1)&gt;=100000,INDEX($AM$1005:$BM$1005,1,MATCH(COLUMNS($AM$1006:AZ1006),$AM$1006:$BM$1006,0))&gt;=100000), " ",IF(INDEX($AM$2:$BM$1001,MATCH(ROWS($AF$2:AF402),$AF$2:$AF$1001,0),MATCH(COLUMNS($AM$1006:AZ1006),$AM$1006:$BM$1006,0)), HYPERLINK("#",""), HYPERLINK(CONCATENATE("#metadata!", ADDRESS(INDEX($AH$2:$AH$1001,MATCH(ROWS($AF$2:AF402),$AF$2:$AF$1001,0),0), INDEX($AM$1004:$BM$1004,1,MATCH(COLUMNS($AM$1006:AZ1006),$AM$1006:$BM$1006,0)))),"Fix")))</f>
        <v xml:space="preserve"> </v>
      </c>
      <c r="P402" s="4" t="str">
        <f ca="1">IF(OR(INDEX($AG$2:$AG$1001,MATCH(ROWS($AF$2:AF402),$AF$2:$AF$1001,0),1)&gt;=100000,INDEX($AM$1005:$BM$1005,1,MATCH(COLUMNS($AM$1006:BA1006),$AM$1006:$BM$1006,0))&gt;=100000), " ",IF(INDEX($AM$2:$BM$1001,MATCH(ROWS($AF$2:AF402),$AF$2:$AF$1001,0),MATCH(COLUMNS($AM$1006:BA1006),$AM$1006:$BM$1006,0)), HYPERLINK("#",""), HYPERLINK(CONCATENATE("#metadata!", ADDRESS(INDEX($AH$2:$AH$1001,MATCH(ROWS($AF$2:AF402),$AF$2:$AF$1001,0),0), INDEX($AM$1004:$BM$1004,1,MATCH(COLUMNS($AM$1006:BA1006),$AM$1006:$BM$1006,0)))),"Fix")))</f>
        <v xml:space="preserve"> </v>
      </c>
      <c r="Q402" s="4" t="str">
        <f ca="1">IF(OR(INDEX($AG$2:$AG$1001,MATCH(ROWS($AF$2:AF402),$AF$2:$AF$1001,0),1)&gt;=100000,INDEX($AM$1005:$BM$1005,1,MATCH(COLUMNS($AM$1006:BB1006),$AM$1006:$BM$1006,0))&gt;=100000), " ",IF(INDEX($AM$2:$BM$1001,MATCH(ROWS($AF$2:AF402),$AF$2:$AF$1001,0),MATCH(COLUMNS($AM$1006:BB1006),$AM$1006:$BM$1006,0)), HYPERLINK("#",""), HYPERLINK(CONCATENATE("#metadata!", ADDRESS(INDEX($AH$2:$AH$1001,MATCH(ROWS($AF$2:AF402),$AF$2:$AF$1001,0),0), INDEX($AM$1004:$BM$1004,1,MATCH(COLUMNS($AM$1006:BB1006),$AM$1006:$BM$1006,0)))),"Fix")))</f>
        <v xml:space="preserve"> </v>
      </c>
      <c r="R402" s="4" t="str">
        <f ca="1">IF(OR(INDEX($AG$2:$AG$1001,MATCH(ROWS($AF$2:AF402),$AF$2:$AF$1001,0),1)&gt;=100000,INDEX($AM$1005:$BM$1005,1,MATCH(COLUMNS($AM$1006:BC1006),$AM$1006:$BM$1006,0))&gt;=100000), " ",IF(INDEX($AM$2:$BM$1001,MATCH(ROWS($AF$2:AF402),$AF$2:$AF$1001,0),MATCH(COLUMNS($AM$1006:BC1006),$AM$1006:$BM$1006,0)), HYPERLINK("#",""), HYPERLINK(CONCATENATE("#metadata!", ADDRESS(INDEX($AH$2:$AH$1001,MATCH(ROWS($AF$2:AF402),$AF$2:$AF$1001,0),0), INDEX($AM$1004:$BM$1004,1,MATCH(COLUMNS($AM$1006:BC1006),$AM$1006:$BM$1006,0)))),"Fix")))</f>
        <v xml:space="preserve"> </v>
      </c>
      <c r="S402" s="4" t="str">
        <f ca="1">IF(OR(INDEX($AG$2:$AG$1001,MATCH(ROWS($AF$2:AF402),$AF$2:$AF$1001,0),1)&gt;=100000,INDEX($AM$1005:$BM$1005,1,MATCH(COLUMNS($AM$1006:BD1006),$AM$1006:$BM$1006,0))&gt;=100000), " ",IF(INDEX($AM$2:$BM$1001,MATCH(ROWS($AF$2:AF402),$AF$2:$AF$1001,0),MATCH(COLUMNS($AM$1006:BD1006),$AM$1006:$BM$1006,0)), HYPERLINK("#",""), HYPERLINK(CONCATENATE("#metadata!", ADDRESS(INDEX($AH$2:$AH$1001,MATCH(ROWS($AF$2:AF402),$AF$2:$AF$1001,0),0), INDEX($AM$1004:$BM$1004,1,MATCH(COLUMNS($AM$1006:BD1006),$AM$1006:$BM$1006,0)))),"Fix")))</f>
        <v xml:space="preserve"> </v>
      </c>
      <c r="T402" s="4" t="str">
        <f ca="1">IF(OR(INDEX($AG$2:$AG$1001,MATCH(ROWS($AF$2:AF402),$AF$2:$AF$1001,0),1)&gt;=100000,INDEX($AM$1005:$BM$1005,1,MATCH(COLUMNS($AM$1006:BE1006),$AM$1006:$BM$1006,0))&gt;=100000), " ",IF(INDEX($AM$2:$BM$1001,MATCH(ROWS($AF$2:AF402),$AF$2:$AF$1001,0),MATCH(COLUMNS($AM$1006:BE1006),$AM$1006:$BM$1006,0)), HYPERLINK("#",""), HYPERLINK(CONCATENATE("#metadata!", ADDRESS(INDEX($AH$2:$AH$1001,MATCH(ROWS($AF$2:AF402),$AF$2:$AF$1001,0),0), INDEX($AM$1004:$BM$1004,1,MATCH(COLUMNS($AM$1006:BE1006),$AM$1006:$BM$1006,0)))),"Fix")))</f>
        <v xml:space="preserve"> </v>
      </c>
      <c r="U402" s="4" t="str">
        <f ca="1">IF(OR(INDEX($AG$2:$AG$1001,MATCH(ROWS($AF$2:AF402),$AF$2:$AF$1001,0),1)&gt;=100000,INDEX($AM$1005:$BM$1005,1,MATCH(COLUMNS($AM$1006:BF1006),$AM$1006:$BM$1006,0))&gt;=100000), " ",IF(INDEX($AM$2:$BM$1001,MATCH(ROWS($AF$2:AF402),$AF$2:$AF$1001,0),MATCH(COLUMNS($AM$1006:BF1006),$AM$1006:$BM$1006,0)), HYPERLINK("#",""), HYPERLINK(CONCATENATE("#metadata!", ADDRESS(INDEX($AH$2:$AH$1001,MATCH(ROWS($AF$2:AF402),$AF$2:$AF$1001,0),0), INDEX($AM$1004:$BM$1004,1,MATCH(COLUMNS($AM$1006:BF1006),$AM$1006:$BM$1006,0)))),"Fix")))</f>
        <v xml:space="preserve"> </v>
      </c>
      <c r="V402" s="4" t="str">
        <f ca="1">IF(OR(INDEX($AG$2:$AG$1001,MATCH(ROWS($AF$2:AF402),$AF$2:$AF$1001,0),1)&gt;=100000,INDEX($AM$1005:$BM$1005,1,MATCH(COLUMNS($AM$1006:BG1006),$AM$1006:$BM$1006,0))&gt;=100000), " ",IF(INDEX($AM$2:$BM$1001,MATCH(ROWS($AF$2:AF402),$AF$2:$AF$1001,0),MATCH(COLUMNS($AM$1006:BG1006),$AM$1006:$BM$1006,0)), HYPERLINK("#",""), HYPERLINK(CONCATENATE("#metadata!", ADDRESS(INDEX($AH$2:$AH$1001,MATCH(ROWS($AF$2:AF402),$AF$2:$AF$1001,0),0), INDEX($AM$1004:$BM$1004,1,MATCH(COLUMNS($AM$1006:BG1006),$AM$1006:$BM$1006,0)))),"Fix")))</f>
        <v xml:space="preserve"> </v>
      </c>
      <c r="W402" s="4" t="str">
        <f ca="1">IF(OR(INDEX($AG$2:$AG$1001,MATCH(ROWS($AF$2:AF402),$AF$2:$AF$1001,0),1)&gt;=100000,INDEX($AM$1005:$BM$1005,1,MATCH(COLUMNS($AM$1006:BH1006),$AM$1006:$BM$1006,0))&gt;=100000), " ",IF(INDEX($AM$2:$BM$1001,MATCH(ROWS($AF$2:AF402),$AF$2:$AF$1001,0),MATCH(COLUMNS($AM$1006:BH1006),$AM$1006:$BM$1006,0)), HYPERLINK("#",""), HYPERLINK(CONCATENATE("#metadata!", ADDRESS(INDEX($AH$2:$AH$1001,MATCH(ROWS($AF$2:AF402),$AF$2:$AF$1001,0),0), INDEX($AM$1004:$BM$1004,1,MATCH(COLUMNS($AM$1006:BH1006),$AM$1006:$BM$1006,0)))),"Fix")))</f>
        <v xml:space="preserve"> </v>
      </c>
      <c r="X402" s="4" t="str">
        <f ca="1">IF(OR(INDEX($AG$2:$AG$1001,MATCH(ROWS($AF$2:AF402),$AF$2:$AF$1001,0),1)&gt;=100000,INDEX($AM$1005:$BM$1005,1,MATCH(COLUMNS($AM$1006:BI1006),$AM$1006:$BM$1006,0))&gt;=100000), " ",IF(INDEX($AM$2:$BM$1001,MATCH(ROWS($AF$2:AF402),$AF$2:$AF$1001,0),MATCH(COLUMNS($AM$1006:BI1006),$AM$1006:$BM$1006,0)), HYPERLINK("#",""), HYPERLINK(CONCATENATE("#metadata!", ADDRESS(INDEX($AH$2:$AH$1001,MATCH(ROWS($AF$2:AF402),$AF$2:$AF$1001,0),0), INDEX($AM$1004:$BM$1004,1,MATCH(COLUMNS($AM$1006:BI1006),$AM$1006:$BM$1006,0)))),"Fix")))</f>
        <v xml:space="preserve"> </v>
      </c>
      <c r="Y402" s="4" t="str">
        <f ca="1">IF(OR(INDEX($AG$2:$AG$1001,MATCH(ROWS($AF$2:AF402),$AF$2:$AF$1001,0),1)&gt;=100000,INDEX($AM$1005:$BM$1005,1,MATCH(COLUMNS($AM$1006:BJ1006),$AM$1006:$BM$1006,0))&gt;=100000), " ",IF(INDEX($AM$2:$BM$1001,MATCH(ROWS($AF$2:AF402),$AF$2:$AF$1001,0),MATCH(COLUMNS($AM$1006:BJ1006),$AM$1006:$BM$1006,0)), HYPERLINK("#",""), HYPERLINK(CONCATENATE("#metadata!", ADDRESS(INDEX($AH$2:$AH$1001,MATCH(ROWS($AF$2:AF402),$AF$2:$AF$1001,0),0), INDEX($AM$1004:$BM$1004,1,MATCH(COLUMNS($AM$1006:BJ1006),$AM$1006:$BM$1006,0)))),"Fix")))</f>
        <v xml:space="preserve"> </v>
      </c>
      <c r="Z402" s="4" t="str">
        <f ca="1">IF(OR(INDEX($AG$2:$AG$1001,MATCH(ROWS($AF$2:AF402),$AF$2:$AF$1001,0),1)&gt;=100000,INDEX($AM$1005:$BM$1005,1,MATCH(COLUMNS($AM$1006:BK1006),$AM$1006:$BM$1006,0))&gt;=100000), " ",IF(INDEX($AM$2:$BM$1001,MATCH(ROWS($AF$2:AF402),$AF$2:$AF$1001,0),MATCH(COLUMNS($AM$1006:BK1006),$AM$1006:$BM$1006,0)), HYPERLINK("#",""), HYPERLINK(CONCATENATE("#metadata!", ADDRESS(INDEX($AH$2:$AH$1001,MATCH(ROWS($AF$2:AF402),$AF$2:$AF$1001,0),0), INDEX($AM$1004:$BM$1004,1,MATCH(COLUMNS($AM$1006:BK1006),$AM$1006:$BM$1006,0)))),"Fix")))</f>
        <v xml:space="preserve"> </v>
      </c>
      <c r="AA402" s="4" t="str">
        <f ca="1">IF(OR(INDEX($AG$2:$AG$1001,MATCH(ROWS($AF$2:AF402),$AF$2:$AF$1001,0),1)&gt;=100000,INDEX($AM$1005:$BM$1005,1,MATCH(COLUMNS($AM$1006:BL1006),$AM$1006:$BM$1006,0))&gt;=100000), " ",IF(INDEX($AM$2:$BM$1001,MATCH(ROWS($AF$2:AF402),$AF$2:$AF$1001,0),MATCH(COLUMNS($AM$1006:BL1006),$AM$1006:$BM$1006,0)), HYPERLINK("#",""), HYPERLINK(CONCATENATE("#metadata!", ADDRESS(INDEX($AH$2:$AH$1001,MATCH(ROWS($AF$2:AF402),$AF$2:$AF$1001,0),0), INDEX($AM$1004:$BM$1004,1,MATCH(COLUMNS($AM$1006:BL1006),$AM$1006:$BM$1006,0)))),"Fix")))</f>
        <v xml:space="preserve"> </v>
      </c>
      <c r="AB402" s="4" t="str">
        <f ca="1">IF(OR(INDEX($AG$2:$AG$1001,MATCH(ROWS($AF$2:AF402),$AF$2:$AF$1001,0),1)&gt;=100000,INDEX($AM$1005:$BM$1005,1,MATCH(COLUMNS($AM$1006:BM1006),$AM$1006:$BM$1006,0))&gt;=100000), " ",IF(INDEX($AM$2:$BM$1001,MATCH(ROWS($AF$2:AF402),$AF$2:$AF$1001,0),MATCH(COLUMNS($AM$1006:BM1006),$AM$1006:$BM$1006,0)), HYPERLINK("#",""), HYPERLINK(CONCATENATE("#metadata!", ADDRESS(INDEX($AH$2:$AH$1001,MATCH(ROWS($AF$2:AF402),$AF$2:$AF$1001,0),0), INDEX($AM$1004:$BM$1004,1,MATCH(COLUMNS($AM$1006:BM1006),$AM$1006:$BM$1006,0)))),"Fix")))</f>
        <v xml:space="preserve"> </v>
      </c>
      <c r="AF402">
        <v>401</v>
      </c>
      <c r="AG402">
        <v>100402</v>
      </c>
      <c r="AH402">
        <v>402</v>
      </c>
      <c r="AI402" t="b">
        <f t="shared" si="6"/>
        <v>1</v>
      </c>
      <c r="AJ402" t="b">
        <f>COUNTBLANK(metadata!B402:AB402)=COLUMNS(metadata!B402:AB402)</f>
        <v>1</v>
      </c>
      <c r="AK402" t="str">
        <v/>
      </c>
      <c r="AM402" t="b">
        <f ca="1">AND(IF(metadata!B402="",FALSE,TRUE),COUNTIF(metadata!B:B, metadata!B402) = 1,NOT(ISERROR(SUMPRODUCT(SEARCH(MID(metadata!B402,ROW(INDIRECT("1:"&amp;LEN(metadata!B402))), 1),"0123456789abcdefghijklmnopqrstuvwxyzABCDEFGHIJKLMNOPQRSTUVWXYZ.")))))</f>
        <v>0</v>
      </c>
      <c r="AN402" t="b">
        <f ca="1">OR(AND(IF(metadata!C402="",FALSE,TRUE),OR(EXACT(metadata!C402,"missing: not collected"),EXACT(metadata!C402,"missing: not provided"),EXACT(metadata!C402,"missing: restricted access"))),AND(IF(metadata!C402="",FALSE,TRUE),AND(AND(IFERROR(INT(LEFT(metadata!C402,4))&gt;1900,FALSE),IFERROR(INT(LEFT(metadata!C402,4))&lt;=YEAR(NOW()),FALSE)), OR(MID(metadata!C402,5,1)="", AND(AND(MID(metadata!C402,5,1)="-",IFERROR(INT(MID(metadata!C402,6,1))&gt;=0,FALSE),IFERROR(INT(MID(metadata!C402,6,1))&lt;=1,FALSE),NOT(MID(metadata!C402,7,1)=""),IFERROR(INT(MID(metadata!C402,6,2))&gt;=1,FALSE),IFERROR(INT(MID(metadata!C402,6,2))&lt;=12,FALSE)), OR(MID(metadata!C402,8,1)="", AND(AND(MID(metadata!C402,8,1)="-",IFERROR(INT(MID(metadata!C402,9,1))&gt;=0,FALSE),IFERROR(INT(MID(metadata!C402,9,1))&lt;=3,FALSE),NOT(MID(metadata!C402,10,1)=""),IFERROR(INT(MID(metadata!C402,9,2))&gt;=1,FALSE),IFERROR(INT(MID(metadata!C402,9,2))&lt;=31,FALSE)), OR(MID(metadata!C402,11,1)="", AND(AND(MID(metadata!C402,11,1)=" ",IFERROR(INT(MID(metadata!C402,12,1))&gt;=0,FALSE),IFERROR(INT(MID(metadata!C402,12,1))&lt;=2,FALSE),NOT(MID(metadata!C402,13,1)=""),IFERROR(INT(MID(metadata!C402,12,2))&gt;=0,FALSE),IFERROR(INT(MID(metadata!C402,12,2))&lt;=23,FALSE)), OR(MID(metadata!C402,14,1)="", AND(AND(MID(metadata!C402,14,1)=":",IFERROR(INT(MID(metadata!C402,15,1))&gt;=0,FALSE),IFERROR(INT(MID(metadata!C402,15,1))&lt;=5,FALSE),NOT(MID(metadata!C402,16,1)=""),IFERROR(INT(MID(metadata!C402,15,2))&gt;=0,FALSE),IFERROR(INT(MID(metadata!C402,15,2))&lt;=59,FALSE)), OR(MID(metadata!C402,17,1)="", AND(AND(MID(metadata!C402,17,1)=":",IFERROR(INT(MID(metadata!C402,18,1))&gt;=0,FALSE),IFERROR(INT(MID(metadata!C402,18,1))&lt;=5,FALSE),NOT(MID(metadata!C402,19,1)=""),IFERROR(INT(MID(metadata!C402,18,2))&gt;=0,FALSE),IFERROR(INT(MID(metadata!C402,18,2))&lt;=59,FALSE)), LEN(metadata!C402)&lt;=19)))))))))))))</f>
        <v>0</v>
      </c>
      <c r="AO402" t="b">
        <f>AND(IF(metadata!D402="",FALSE,TRUE),EXACT(metadata!D402,"Not applicable"))</f>
        <v>0</v>
      </c>
      <c r="AP402" t="b">
        <f>IF(metadata!E402="",FALSE,TRUE)</f>
        <v>0</v>
      </c>
      <c r="AQ402" t="b">
        <f>OR(AND(IF(metadata!F402="",FALSE,TRUE),OR(EXACT(metadata!F402,"missing: not collected"),EXACT(metadata!F402,"missing: not provided"))),AND(IF(metadata!F402="",FALSE,TRUE),OR(EXACT(metadata!F402,"TRUE"),EXACT(metadata!F402,"FALSE"))))</f>
        <v>0</v>
      </c>
      <c r="AR402" t="b">
        <f>OR(AND(IF(metadata!G402="",FALSE,TRUE),OR(EXACT(metadata!G402,"missing: not collected"),EXACT(metadata!G402,"missing: not provided"),EXACT(metadata!G402,"missing: restricted access"))),AND(IF(metadata!G402="",FALSE,ISNUMBER(VALUE(metadata!G402))),metadata!G402&gt;=-413))</f>
        <v>0</v>
      </c>
      <c r="AS402" t="b">
        <f>AND(IF(metadata!H402="",FALSE,TRUE),EXACT(metadata!H402,"meters"))</f>
        <v>0</v>
      </c>
      <c r="AT402" t="b">
        <f>AND(IF(metadata!I402="",FALSE,TRUE),OR(EXACT(metadata!I402,"Host-associated"),EXACT(metadata!I402,"Free-living")))</f>
        <v>0</v>
      </c>
      <c r="AU402" t="b">
        <f>AND(IF(metadata!J402="",FALSE,TRUE),OR(EXACT(metadata!J402,"Animal"),EXACT(metadata!J402,"Fungus"),EXACT(metadata!J402,"Plant"),EXACT(metadata!J402,"Saline"),EXACT(metadata!J402,"Non-saline")))</f>
        <v>0</v>
      </c>
      <c r="AV402" t="b">
        <f>AND(IF(metadata!K402="",FALSE,TRUE),OR(EXACT(metadata!K402,"Plant secretion"),EXACT(metadata!K402,"Plant rhizosphere"),EXACT(metadata!K402,"Plant surface"),EXACT(metadata!K402,"Plant corpus"),EXACT(metadata!K402,"Fungus surface"),EXACT(metadata!K402,"Fungus corpus"),EXACT(metadata!K402,"Animal surface"),EXACT(metadata!K402,"Animal proximal gut"),EXACT(metadata!K402,"Animal corpus"),EXACT(metadata!K402,"Animal distal gut"),EXACT(metadata!K402,"Animal secretion"),EXACT(metadata!K402,"Sub-surface (non-saline)"),EXACT(metadata!K402,"Surface (non-saline)"),EXACT(metadata!K402,"Water (non-saline)"),EXACT(metadata!K402,"Soil (non-saline)"),EXACT(metadata!K402,"Aerosol (non-saline)"),EXACT(metadata!K402,"Sediment (non-saline)"),EXACT(metadata!K402,"Surface (saline)"),EXACT(metadata!K402,"Water (saline)"),EXACT(metadata!K402,"Hypersaline (saline)"),EXACT(metadata!K402,"Aerosol (saline)"),EXACT(metadata!K402,"Sediment (saline)")))</f>
        <v>0</v>
      </c>
      <c r="AW402" t="b">
        <f>IF(metadata!L402="",FALSE,TRUE)</f>
        <v>0</v>
      </c>
      <c r="AX402" t="b">
        <f>IF(metadata!M402="",FALSE,TRUE)</f>
        <v>0</v>
      </c>
      <c r="AY402" t="b">
        <f>IF(metadata!N402="",FALSE,TRUE)</f>
        <v>0</v>
      </c>
      <c r="AZ402" t="b">
        <f>OR(AND(IF(metadata!O402="",FALSE,TRUE),OR(EXACT(metadata!O402,"missing: not collected"),EXACT(metadata!O402,"missing: not provided"),EXACT(metadata!O402,"missing: restricted access"))),AND(IF(metadata!O402="",FALSE,TRUE),OR(EXACT(metadata!O402,"air"),EXACT(metadata!O402,"built environment"),EXACT(metadata!O402,"host-associated"),EXACT(metadata!O402,"human-associated"),EXACT(metadata!O402,"human-skin"),EXACT(metadata!O402,"human-oral"),EXACT(metadata!O402,"human-gut"),EXACT(metadata!O402,"human-vaginal"),EXACT(metadata!O402,"microbial mat/biofilm"),EXACT(metadata!O402,"misc environment"),EXACT(metadata!O402,"plant-associated"),EXACT(metadata!O402,"sediment"),EXACT(metadata!O402,"soil"),EXACT(metadata!O402,"wastewater/sludge"),EXACT(metadata!O402,"water"))))</f>
        <v>0</v>
      </c>
      <c r="BA402" t="b">
        <f>IF(metadata!P402="",FALSE,TRUE)</f>
        <v>0</v>
      </c>
      <c r="BB402" t="b">
        <f>IF(metadata!Q402="",FALSE,TRUE)</f>
        <v>0</v>
      </c>
      <c r="BC402" t="b">
        <f>OR(AND(IF(metadata!R402="",FALSE,TRUE),OR(EXACT(metadata!R402,"missing: not collected"),EXACT(metadata!R402,"missing: not provided"),EXACT(metadata!R402,"missing: restricted access"))),AND(IF(metadata!R402="",FALSE,ISNUMBER(VALUE(metadata!R402))),metadata!R402&gt;=-90,metadata!R402&lt;=90))</f>
        <v>0</v>
      </c>
      <c r="BD402" t="b">
        <f>AND(IF(metadata!S402="",FALSE,TRUE),EXACT(metadata!S402,"Decimal degrees"))</f>
        <v>0</v>
      </c>
      <c r="BE402" t="b">
        <f>OR(AND(IF(metadata!T402="",FALSE,TRUE),OR(EXACT(metadata!T402,"missing: not collected"),EXACT(metadata!T402,"missing: not provided"),EXACT(metadata!T402,"missing: restricted access"))),AND(IF(metadata!T402="",FALSE,ISNUMBER(VALUE(metadata!T402))),metadata!T402&gt;=-180,metadata!T402&lt;=180))</f>
        <v>0</v>
      </c>
      <c r="BF402" t="b">
        <f>AND(IF(metadata!U402="",FALSE,TRUE),EXACT(metadata!U402,"Decimal degrees"))</f>
        <v>0</v>
      </c>
      <c r="BG402" t="b">
        <f>IF(metadata!V402="",FALSE,TRUE)</f>
        <v>0</v>
      </c>
      <c r="BH402" t="b">
        <f>OR(AND(IF(metadata!W402="",FALSE,TRUE),OR(EXACT(metadata!W402,"missing: not collected"),EXACT(metadata!W402,"missing: not provided"),EXACT(metadata!W402,"missing: restricted access"))),AND(IF(metadata!W402="",FALSE,TRUE),OR(EXACT(metadata!W402,"TRUE"),EXACT(metadata!W402,"FALSE"))))</f>
        <v>0</v>
      </c>
      <c r="BI402" t="b">
        <f>AND(IF(metadata!X402="",FALSE,TRUE),EXACT(metadata!X402,"other"))</f>
        <v>0</v>
      </c>
      <c r="BJ402" t="b">
        <f>IF(metadata!Y402="",FALSE,TRUE)</f>
        <v>0</v>
      </c>
      <c r="BK402" t="b">
        <f>OR(AND(IF(metadata!Z402="",FALSE,TRUE),OR(EXACT(metadata!Z402,"missing: not collected"),EXACT(metadata!Z402,"missing: not provided"))),AND(IF(metadata!Z402="",FALSE,IF(ISERROR(INT(metadata!Z402)),FALSE,INT(metadata!Z402)=metadata!Z402)),metadata!Z402&gt;0))</f>
        <v>0</v>
      </c>
      <c r="BL402" t="b">
        <f>AND(IF(metadata!AA402="",FALSE,TRUE),EXACT(metadata!AA402,"Not applicable"))</f>
        <v>0</v>
      </c>
      <c r="BM402" t="b">
        <f>IF(metadata!AB402="",FALSE,TRUE)</f>
        <v>0</v>
      </c>
    </row>
    <row r="403" spans="1:65" x14ac:dyDescent="0.2">
      <c r="A403" s="5" t="str">
        <f ca="1">IF(B403=" "," ",HYPERLINK(CONCATENATE("#metadata!",ADDRESS(INDEX($AH$2:$AH$1001,MATCH(ROWS($AF$2:AF403),$AF$2:$AF$1001,0),0),1)),INDEX($AK$2:$AK$1001,MATCH(ROWS($AF$2:AF403),$AF$2:$AF$1001,0),0)))</f>
        <v xml:space="preserve"> </v>
      </c>
      <c r="B403" s="4" t="str">
        <f ca="1">IF(OR(INDEX($AG$2:$AG$1001,MATCH(ROWS($AF$2:AF403),$AF$2:$AF$1001,0),1)&gt;=100000,INDEX($AM$1005:$BM$1005,1,MATCH(COLUMNS($AM$1006:AM1006),$AM$1006:$BM$1006,0))&gt;=100000), " ",IF(INDEX($AM$2:$BM$1001,MATCH(ROWS($AF$2:AF403),$AF$2:$AF$1001,0),MATCH(COLUMNS($AM$1006:AM1006),$AM$1006:$BM$1006,0)), HYPERLINK("#",""), HYPERLINK(CONCATENATE("#metadata!", ADDRESS(INDEX($AH$2:$AH$1001,MATCH(ROWS($AF$2:AF403),$AF$2:$AF$1001,0),0), INDEX($AM$1004:$BM$1004,1,MATCH(COLUMNS($AM$1006:AM1006),$AM$1006:$BM$1006,0)))),"Fix")))</f>
        <v xml:space="preserve"> </v>
      </c>
      <c r="C403" s="4" t="str">
        <f ca="1">IF(OR(INDEX($AG$2:$AG$1001,MATCH(ROWS($AF$2:AF403),$AF$2:$AF$1001,0),1)&gt;=100000,INDEX($AM$1005:$BM$1005,1,MATCH(COLUMNS($AM$1006:AN1006),$AM$1006:$BM$1006,0))&gt;=100000), " ",IF(INDEX($AM$2:$BM$1001,MATCH(ROWS($AF$2:AF403),$AF$2:$AF$1001,0),MATCH(COLUMNS($AM$1006:AN1006),$AM$1006:$BM$1006,0)), HYPERLINK("#",""), HYPERLINK(CONCATENATE("#metadata!", ADDRESS(INDEX($AH$2:$AH$1001,MATCH(ROWS($AF$2:AF403),$AF$2:$AF$1001,0),0), INDEX($AM$1004:$BM$1004,1,MATCH(COLUMNS($AM$1006:AN1006),$AM$1006:$BM$1006,0)))),"Fix")))</f>
        <v xml:space="preserve"> </v>
      </c>
      <c r="D403" s="4" t="str">
        <f ca="1">IF(OR(INDEX($AG$2:$AG$1001,MATCH(ROWS($AF$2:AF403),$AF$2:$AF$1001,0),1)&gt;=100000,INDEX($AM$1005:$BM$1005,1,MATCH(COLUMNS($AM$1006:AO1006),$AM$1006:$BM$1006,0))&gt;=100000), " ",IF(INDEX($AM$2:$BM$1001,MATCH(ROWS($AF$2:AF403),$AF$2:$AF$1001,0),MATCH(COLUMNS($AM$1006:AO1006),$AM$1006:$BM$1006,0)), HYPERLINK("#",""), HYPERLINK(CONCATENATE("#metadata!", ADDRESS(INDEX($AH$2:$AH$1001,MATCH(ROWS($AF$2:AF403),$AF$2:$AF$1001,0),0), INDEX($AM$1004:$BM$1004,1,MATCH(COLUMNS($AM$1006:AO1006),$AM$1006:$BM$1006,0)))),"Fix")))</f>
        <v xml:space="preserve"> </v>
      </c>
      <c r="E403" s="4" t="str">
        <f ca="1">IF(OR(INDEX($AG$2:$AG$1001,MATCH(ROWS($AF$2:AF403),$AF$2:$AF$1001,0),1)&gt;=100000,INDEX($AM$1005:$BM$1005,1,MATCH(COLUMNS($AM$1006:AP1006),$AM$1006:$BM$1006,0))&gt;=100000), " ",IF(INDEX($AM$2:$BM$1001,MATCH(ROWS($AF$2:AF403),$AF$2:$AF$1001,0),MATCH(COLUMNS($AM$1006:AP1006),$AM$1006:$BM$1006,0)), HYPERLINK("#",""), HYPERLINK(CONCATENATE("#metadata!", ADDRESS(INDEX($AH$2:$AH$1001,MATCH(ROWS($AF$2:AF403),$AF$2:$AF$1001,0),0), INDEX($AM$1004:$BM$1004,1,MATCH(COLUMNS($AM$1006:AP1006),$AM$1006:$BM$1006,0)))),"Fix")))</f>
        <v xml:space="preserve"> </v>
      </c>
      <c r="F403" s="4" t="str">
        <f ca="1">IF(OR(INDEX($AG$2:$AG$1001,MATCH(ROWS($AF$2:AF403),$AF$2:$AF$1001,0),1)&gt;=100000,INDEX($AM$1005:$BM$1005,1,MATCH(COLUMNS($AM$1006:AQ1006),$AM$1006:$BM$1006,0))&gt;=100000), " ",IF(INDEX($AM$2:$BM$1001,MATCH(ROWS($AF$2:AF403),$AF$2:$AF$1001,0),MATCH(COLUMNS($AM$1006:AQ1006),$AM$1006:$BM$1006,0)), HYPERLINK("#",""), HYPERLINK(CONCATENATE("#metadata!", ADDRESS(INDEX($AH$2:$AH$1001,MATCH(ROWS($AF$2:AF403),$AF$2:$AF$1001,0),0), INDEX($AM$1004:$BM$1004,1,MATCH(COLUMNS($AM$1006:AQ1006),$AM$1006:$BM$1006,0)))),"Fix")))</f>
        <v xml:space="preserve"> </v>
      </c>
      <c r="G403" s="4" t="str">
        <f ca="1">IF(OR(INDEX($AG$2:$AG$1001,MATCH(ROWS($AF$2:AF403),$AF$2:$AF$1001,0),1)&gt;=100000,INDEX($AM$1005:$BM$1005,1,MATCH(COLUMNS($AM$1006:AR1006),$AM$1006:$BM$1006,0))&gt;=100000), " ",IF(INDEX($AM$2:$BM$1001,MATCH(ROWS($AF$2:AF403),$AF$2:$AF$1001,0),MATCH(COLUMNS($AM$1006:AR1006),$AM$1006:$BM$1006,0)), HYPERLINK("#",""), HYPERLINK(CONCATENATE("#metadata!", ADDRESS(INDEX($AH$2:$AH$1001,MATCH(ROWS($AF$2:AF403),$AF$2:$AF$1001,0),0), INDEX($AM$1004:$BM$1004,1,MATCH(COLUMNS($AM$1006:AR1006),$AM$1006:$BM$1006,0)))),"Fix")))</f>
        <v xml:space="preserve"> </v>
      </c>
      <c r="H403" s="4" t="str">
        <f ca="1">IF(OR(INDEX($AG$2:$AG$1001,MATCH(ROWS($AF$2:AF403),$AF$2:$AF$1001,0),1)&gt;=100000,INDEX($AM$1005:$BM$1005,1,MATCH(COLUMNS($AM$1006:AS1006),$AM$1006:$BM$1006,0))&gt;=100000), " ",IF(INDEX($AM$2:$BM$1001,MATCH(ROWS($AF$2:AF403),$AF$2:$AF$1001,0),MATCH(COLUMNS($AM$1006:AS1006),$AM$1006:$BM$1006,0)), HYPERLINK("#",""), HYPERLINK(CONCATENATE("#metadata!", ADDRESS(INDEX($AH$2:$AH$1001,MATCH(ROWS($AF$2:AF403),$AF$2:$AF$1001,0),0), INDEX($AM$1004:$BM$1004,1,MATCH(COLUMNS($AM$1006:AS1006),$AM$1006:$BM$1006,0)))),"Fix")))</f>
        <v xml:space="preserve"> </v>
      </c>
      <c r="I403" s="4" t="str">
        <f ca="1">IF(OR(INDEX($AG$2:$AG$1001,MATCH(ROWS($AF$2:AF403),$AF$2:$AF$1001,0),1)&gt;=100000,INDEX($AM$1005:$BM$1005,1,MATCH(COLUMNS($AM$1006:AT1006),$AM$1006:$BM$1006,0))&gt;=100000), " ",IF(INDEX($AM$2:$BM$1001,MATCH(ROWS($AF$2:AF403),$AF$2:$AF$1001,0),MATCH(COLUMNS($AM$1006:AT1006),$AM$1006:$BM$1006,0)), HYPERLINK("#",""), HYPERLINK(CONCATENATE("#metadata!", ADDRESS(INDEX($AH$2:$AH$1001,MATCH(ROWS($AF$2:AF403),$AF$2:$AF$1001,0),0), INDEX($AM$1004:$BM$1004,1,MATCH(COLUMNS($AM$1006:AT1006),$AM$1006:$BM$1006,0)))),"Fix")))</f>
        <v xml:space="preserve"> </v>
      </c>
      <c r="J403" s="4" t="str">
        <f ca="1">IF(OR(INDEX($AG$2:$AG$1001,MATCH(ROWS($AF$2:AF403),$AF$2:$AF$1001,0),1)&gt;=100000,INDEX($AM$1005:$BM$1005,1,MATCH(COLUMNS($AM$1006:AU1006),$AM$1006:$BM$1006,0))&gt;=100000), " ",IF(INDEX($AM$2:$BM$1001,MATCH(ROWS($AF$2:AF403),$AF$2:$AF$1001,0),MATCH(COLUMNS($AM$1006:AU1006),$AM$1006:$BM$1006,0)), HYPERLINK("#",""), HYPERLINK(CONCATENATE("#metadata!", ADDRESS(INDEX($AH$2:$AH$1001,MATCH(ROWS($AF$2:AF403),$AF$2:$AF$1001,0),0), INDEX($AM$1004:$BM$1004,1,MATCH(COLUMNS($AM$1006:AU1006),$AM$1006:$BM$1006,0)))),"Fix")))</f>
        <v xml:space="preserve"> </v>
      </c>
      <c r="K403" s="4" t="str">
        <f ca="1">IF(OR(INDEX($AG$2:$AG$1001,MATCH(ROWS($AF$2:AF403),$AF$2:$AF$1001,0),1)&gt;=100000,INDEX($AM$1005:$BM$1005,1,MATCH(COLUMNS($AM$1006:AV1006),$AM$1006:$BM$1006,0))&gt;=100000), " ",IF(INDEX($AM$2:$BM$1001,MATCH(ROWS($AF$2:AF403),$AF$2:$AF$1001,0),MATCH(COLUMNS($AM$1006:AV1006),$AM$1006:$BM$1006,0)), HYPERLINK("#",""), HYPERLINK(CONCATENATE("#metadata!", ADDRESS(INDEX($AH$2:$AH$1001,MATCH(ROWS($AF$2:AF403),$AF$2:$AF$1001,0),0), INDEX($AM$1004:$BM$1004,1,MATCH(COLUMNS($AM$1006:AV1006),$AM$1006:$BM$1006,0)))),"Fix")))</f>
        <v xml:space="preserve"> </v>
      </c>
      <c r="L403" s="4" t="str">
        <f ca="1">IF(OR(INDEX($AG$2:$AG$1001,MATCH(ROWS($AF$2:AF403),$AF$2:$AF$1001,0),1)&gt;=100000,INDEX($AM$1005:$BM$1005,1,MATCH(COLUMNS($AM$1006:AW1006),$AM$1006:$BM$1006,0))&gt;=100000), " ",IF(INDEX($AM$2:$BM$1001,MATCH(ROWS($AF$2:AF403),$AF$2:$AF$1001,0),MATCH(COLUMNS($AM$1006:AW1006),$AM$1006:$BM$1006,0)), HYPERLINK("#",""), HYPERLINK(CONCATENATE("#metadata!", ADDRESS(INDEX($AH$2:$AH$1001,MATCH(ROWS($AF$2:AF403),$AF$2:$AF$1001,0),0), INDEX($AM$1004:$BM$1004,1,MATCH(COLUMNS($AM$1006:AW1006),$AM$1006:$BM$1006,0)))),"Fix")))</f>
        <v xml:space="preserve"> </v>
      </c>
      <c r="M403" s="4" t="str">
        <f ca="1">IF(OR(INDEX($AG$2:$AG$1001,MATCH(ROWS($AF$2:AF403),$AF$2:$AF$1001,0),1)&gt;=100000,INDEX($AM$1005:$BM$1005,1,MATCH(COLUMNS($AM$1006:AX1006),$AM$1006:$BM$1006,0))&gt;=100000), " ",IF(INDEX($AM$2:$BM$1001,MATCH(ROWS($AF$2:AF403),$AF$2:$AF$1001,0),MATCH(COLUMNS($AM$1006:AX1006),$AM$1006:$BM$1006,0)), HYPERLINK("#",""), HYPERLINK(CONCATENATE("#metadata!", ADDRESS(INDEX($AH$2:$AH$1001,MATCH(ROWS($AF$2:AF403),$AF$2:$AF$1001,0),0), INDEX($AM$1004:$BM$1004,1,MATCH(COLUMNS($AM$1006:AX1006),$AM$1006:$BM$1006,0)))),"Fix")))</f>
        <v xml:space="preserve"> </v>
      </c>
      <c r="N403" s="4" t="str">
        <f ca="1">IF(OR(INDEX($AG$2:$AG$1001,MATCH(ROWS($AF$2:AF403),$AF$2:$AF$1001,0),1)&gt;=100000,INDEX($AM$1005:$BM$1005,1,MATCH(COLUMNS($AM$1006:AY1006),$AM$1006:$BM$1006,0))&gt;=100000), " ",IF(INDEX($AM$2:$BM$1001,MATCH(ROWS($AF$2:AF403),$AF$2:$AF$1001,0),MATCH(COLUMNS($AM$1006:AY1006),$AM$1006:$BM$1006,0)), HYPERLINK("#",""), HYPERLINK(CONCATENATE("#metadata!", ADDRESS(INDEX($AH$2:$AH$1001,MATCH(ROWS($AF$2:AF403),$AF$2:$AF$1001,0),0), INDEX($AM$1004:$BM$1004,1,MATCH(COLUMNS($AM$1006:AY1006),$AM$1006:$BM$1006,0)))),"Fix")))</f>
        <v xml:space="preserve"> </v>
      </c>
      <c r="O403" s="4" t="str">
        <f ca="1">IF(OR(INDEX($AG$2:$AG$1001,MATCH(ROWS($AF$2:AF403),$AF$2:$AF$1001,0),1)&gt;=100000,INDEX($AM$1005:$BM$1005,1,MATCH(COLUMNS($AM$1006:AZ1006),$AM$1006:$BM$1006,0))&gt;=100000), " ",IF(INDEX($AM$2:$BM$1001,MATCH(ROWS($AF$2:AF403),$AF$2:$AF$1001,0),MATCH(COLUMNS($AM$1006:AZ1006),$AM$1006:$BM$1006,0)), HYPERLINK("#",""), HYPERLINK(CONCATENATE("#metadata!", ADDRESS(INDEX($AH$2:$AH$1001,MATCH(ROWS($AF$2:AF403),$AF$2:$AF$1001,0),0), INDEX($AM$1004:$BM$1004,1,MATCH(COLUMNS($AM$1006:AZ1006),$AM$1006:$BM$1006,0)))),"Fix")))</f>
        <v xml:space="preserve"> </v>
      </c>
      <c r="P403" s="4" t="str">
        <f ca="1">IF(OR(INDEX($AG$2:$AG$1001,MATCH(ROWS($AF$2:AF403),$AF$2:$AF$1001,0),1)&gt;=100000,INDEX($AM$1005:$BM$1005,1,MATCH(COLUMNS($AM$1006:BA1006),$AM$1006:$BM$1006,0))&gt;=100000), " ",IF(INDEX($AM$2:$BM$1001,MATCH(ROWS($AF$2:AF403),$AF$2:$AF$1001,0),MATCH(COLUMNS($AM$1006:BA1006),$AM$1006:$BM$1006,0)), HYPERLINK("#",""), HYPERLINK(CONCATENATE("#metadata!", ADDRESS(INDEX($AH$2:$AH$1001,MATCH(ROWS($AF$2:AF403),$AF$2:$AF$1001,0),0), INDEX($AM$1004:$BM$1004,1,MATCH(COLUMNS($AM$1006:BA1006),$AM$1006:$BM$1006,0)))),"Fix")))</f>
        <v xml:space="preserve"> </v>
      </c>
      <c r="Q403" s="4" t="str">
        <f ca="1">IF(OR(INDEX($AG$2:$AG$1001,MATCH(ROWS($AF$2:AF403),$AF$2:$AF$1001,0),1)&gt;=100000,INDEX($AM$1005:$BM$1005,1,MATCH(COLUMNS($AM$1006:BB1006),$AM$1006:$BM$1006,0))&gt;=100000), " ",IF(INDEX($AM$2:$BM$1001,MATCH(ROWS($AF$2:AF403),$AF$2:$AF$1001,0),MATCH(COLUMNS($AM$1006:BB1006),$AM$1006:$BM$1006,0)), HYPERLINK("#",""), HYPERLINK(CONCATENATE("#metadata!", ADDRESS(INDEX($AH$2:$AH$1001,MATCH(ROWS($AF$2:AF403),$AF$2:$AF$1001,0),0), INDEX($AM$1004:$BM$1004,1,MATCH(COLUMNS($AM$1006:BB1006),$AM$1006:$BM$1006,0)))),"Fix")))</f>
        <v xml:space="preserve"> </v>
      </c>
      <c r="R403" s="4" t="str">
        <f ca="1">IF(OR(INDEX($AG$2:$AG$1001,MATCH(ROWS($AF$2:AF403),$AF$2:$AF$1001,0),1)&gt;=100000,INDEX($AM$1005:$BM$1005,1,MATCH(COLUMNS($AM$1006:BC1006),$AM$1006:$BM$1006,0))&gt;=100000), " ",IF(INDEX($AM$2:$BM$1001,MATCH(ROWS($AF$2:AF403),$AF$2:$AF$1001,0),MATCH(COLUMNS($AM$1006:BC1006),$AM$1006:$BM$1006,0)), HYPERLINK("#",""), HYPERLINK(CONCATENATE("#metadata!", ADDRESS(INDEX($AH$2:$AH$1001,MATCH(ROWS($AF$2:AF403),$AF$2:$AF$1001,0),0), INDEX($AM$1004:$BM$1004,1,MATCH(COLUMNS($AM$1006:BC1006),$AM$1006:$BM$1006,0)))),"Fix")))</f>
        <v xml:space="preserve"> </v>
      </c>
      <c r="S403" s="4" t="str">
        <f ca="1">IF(OR(INDEX($AG$2:$AG$1001,MATCH(ROWS($AF$2:AF403),$AF$2:$AF$1001,0),1)&gt;=100000,INDEX($AM$1005:$BM$1005,1,MATCH(COLUMNS($AM$1006:BD1006),$AM$1006:$BM$1006,0))&gt;=100000), " ",IF(INDEX($AM$2:$BM$1001,MATCH(ROWS($AF$2:AF403),$AF$2:$AF$1001,0),MATCH(COLUMNS($AM$1006:BD1006),$AM$1006:$BM$1006,0)), HYPERLINK("#",""), HYPERLINK(CONCATENATE("#metadata!", ADDRESS(INDEX($AH$2:$AH$1001,MATCH(ROWS($AF$2:AF403),$AF$2:$AF$1001,0),0), INDEX($AM$1004:$BM$1004,1,MATCH(COLUMNS($AM$1006:BD1006),$AM$1006:$BM$1006,0)))),"Fix")))</f>
        <v xml:space="preserve"> </v>
      </c>
      <c r="T403" s="4" t="str">
        <f ca="1">IF(OR(INDEX($AG$2:$AG$1001,MATCH(ROWS($AF$2:AF403),$AF$2:$AF$1001,0),1)&gt;=100000,INDEX($AM$1005:$BM$1005,1,MATCH(COLUMNS($AM$1006:BE1006),$AM$1006:$BM$1006,0))&gt;=100000), " ",IF(INDEX($AM$2:$BM$1001,MATCH(ROWS($AF$2:AF403),$AF$2:$AF$1001,0),MATCH(COLUMNS($AM$1006:BE1006),$AM$1006:$BM$1006,0)), HYPERLINK("#",""), HYPERLINK(CONCATENATE("#metadata!", ADDRESS(INDEX($AH$2:$AH$1001,MATCH(ROWS($AF$2:AF403),$AF$2:$AF$1001,0),0), INDEX($AM$1004:$BM$1004,1,MATCH(COLUMNS($AM$1006:BE1006),$AM$1006:$BM$1006,0)))),"Fix")))</f>
        <v xml:space="preserve"> </v>
      </c>
      <c r="U403" s="4" t="str">
        <f ca="1">IF(OR(INDEX($AG$2:$AG$1001,MATCH(ROWS($AF$2:AF403),$AF$2:$AF$1001,0),1)&gt;=100000,INDEX($AM$1005:$BM$1005,1,MATCH(COLUMNS($AM$1006:BF1006),$AM$1006:$BM$1006,0))&gt;=100000), " ",IF(INDEX($AM$2:$BM$1001,MATCH(ROWS($AF$2:AF403),$AF$2:$AF$1001,0),MATCH(COLUMNS($AM$1006:BF1006),$AM$1006:$BM$1006,0)), HYPERLINK("#",""), HYPERLINK(CONCATENATE("#metadata!", ADDRESS(INDEX($AH$2:$AH$1001,MATCH(ROWS($AF$2:AF403),$AF$2:$AF$1001,0),0), INDEX($AM$1004:$BM$1004,1,MATCH(COLUMNS($AM$1006:BF1006),$AM$1006:$BM$1006,0)))),"Fix")))</f>
        <v xml:space="preserve"> </v>
      </c>
      <c r="V403" s="4" t="str">
        <f ca="1">IF(OR(INDEX($AG$2:$AG$1001,MATCH(ROWS($AF$2:AF403),$AF$2:$AF$1001,0),1)&gt;=100000,INDEX($AM$1005:$BM$1005,1,MATCH(COLUMNS($AM$1006:BG1006),$AM$1006:$BM$1006,0))&gt;=100000), " ",IF(INDEX($AM$2:$BM$1001,MATCH(ROWS($AF$2:AF403),$AF$2:$AF$1001,0),MATCH(COLUMNS($AM$1006:BG1006),$AM$1006:$BM$1006,0)), HYPERLINK("#",""), HYPERLINK(CONCATENATE("#metadata!", ADDRESS(INDEX($AH$2:$AH$1001,MATCH(ROWS($AF$2:AF403),$AF$2:$AF$1001,0),0), INDEX($AM$1004:$BM$1004,1,MATCH(COLUMNS($AM$1006:BG1006),$AM$1006:$BM$1006,0)))),"Fix")))</f>
        <v xml:space="preserve"> </v>
      </c>
      <c r="W403" s="4" t="str">
        <f ca="1">IF(OR(INDEX($AG$2:$AG$1001,MATCH(ROWS($AF$2:AF403),$AF$2:$AF$1001,0),1)&gt;=100000,INDEX($AM$1005:$BM$1005,1,MATCH(COLUMNS($AM$1006:BH1006),$AM$1006:$BM$1006,0))&gt;=100000), " ",IF(INDEX($AM$2:$BM$1001,MATCH(ROWS($AF$2:AF403),$AF$2:$AF$1001,0),MATCH(COLUMNS($AM$1006:BH1006),$AM$1006:$BM$1006,0)), HYPERLINK("#",""), HYPERLINK(CONCATENATE("#metadata!", ADDRESS(INDEX($AH$2:$AH$1001,MATCH(ROWS($AF$2:AF403),$AF$2:$AF$1001,0),0), INDEX($AM$1004:$BM$1004,1,MATCH(COLUMNS($AM$1006:BH1006),$AM$1006:$BM$1006,0)))),"Fix")))</f>
        <v xml:space="preserve"> </v>
      </c>
      <c r="X403" s="4" t="str">
        <f ca="1">IF(OR(INDEX($AG$2:$AG$1001,MATCH(ROWS($AF$2:AF403),$AF$2:$AF$1001,0),1)&gt;=100000,INDEX($AM$1005:$BM$1005,1,MATCH(COLUMNS($AM$1006:BI1006),$AM$1006:$BM$1006,0))&gt;=100000), " ",IF(INDEX($AM$2:$BM$1001,MATCH(ROWS($AF$2:AF403),$AF$2:$AF$1001,0),MATCH(COLUMNS($AM$1006:BI1006),$AM$1006:$BM$1006,0)), HYPERLINK("#",""), HYPERLINK(CONCATENATE("#metadata!", ADDRESS(INDEX($AH$2:$AH$1001,MATCH(ROWS($AF$2:AF403),$AF$2:$AF$1001,0),0), INDEX($AM$1004:$BM$1004,1,MATCH(COLUMNS($AM$1006:BI1006),$AM$1006:$BM$1006,0)))),"Fix")))</f>
        <v xml:space="preserve"> </v>
      </c>
      <c r="Y403" s="4" t="str">
        <f ca="1">IF(OR(INDEX($AG$2:$AG$1001,MATCH(ROWS($AF$2:AF403),$AF$2:$AF$1001,0),1)&gt;=100000,INDEX($AM$1005:$BM$1005,1,MATCH(COLUMNS($AM$1006:BJ1006),$AM$1006:$BM$1006,0))&gt;=100000), " ",IF(INDEX($AM$2:$BM$1001,MATCH(ROWS($AF$2:AF403),$AF$2:$AF$1001,0),MATCH(COLUMNS($AM$1006:BJ1006),$AM$1006:$BM$1006,0)), HYPERLINK("#",""), HYPERLINK(CONCATENATE("#metadata!", ADDRESS(INDEX($AH$2:$AH$1001,MATCH(ROWS($AF$2:AF403),$AF$2:$AF$1001,0),0), INDEX($AM$1004:$BM$1004,1,MATCH(COLUMNS($AM$1006:BJ1006),$AM$1006:$BM$1006,0)))),"Fix")))</f>
        <v xml:space="preserve"> </v>
      </c>
      <c r="Z403" s="4" t="str">
        <f ca="1">IF(OR(INDEX($AG$2:$AG$1001,MATCH(ROWS($AF$2:AF403),$AF$2:$AF$1001,0),1)&gt;=100000,INDEX($AM$1005:$BM$1005,1,MATCH(COLUMNS($AM$1006:BK1006),$AM$1006:$BM$1006,0))&gt;=100000), " ",IF(INDEX($AM$2:$BM$1001,MATCH(ROWS($AF$2:AF403),$AF$2:$AF$1001,0),MATCH(COLUMNS($AM$1006:BK1006),$AM$1006:$BM$1006,0)), HYPERLINK("#",""), HYPERLINK(CONCATENATE("#metadata!", ADDRESS(INDEX($AH$2:$AH$1001,MATCH(ROWS($AF$2:AF403),$AF$2:$AF$1001,0),0), INDEX($AM$1004:$BM$1004,1,MATCH(COLUMNS($AM$1006:BK1006),$AM$1006:$BM$1006,0)))),"Fix")))</f>
        <v xml:space="preserve"> </v>
      </c>
      <c r="AA403" s="4" t="str">
        <f ca="1">IF(OR(INDEX($AG$2:$AG$1001,MATCH(ROWS($AF$2:AF403),$AF$2:$AF$1001,0),1)&gt;=100000,INDEX($AM$1005:$BM$1005,1,MATCH(COLUMNS($AM$1006:BL1006),$AM$1006:$BM$1006,0))&gt;=100000), " ",IF(INDEX($AM$2:$BM$1001,MATCH(ROWS($AF$2:AF403),$AF$2:$AF$1001,0),MATCH(COLUMNS($AM$1006:BL1006),$AM$1006:$BM$1006,0)), HYPERLINK("#",""), HYPERLINK(CONCATENATE("#metadata!", ADDRESS(INDEX($AH$2:$AH$1001,MATCH(ROWS($AF$2:AF403),$AF$2:$AF$1001,0),0), INDEX($AM$1004:$BM$1004,1,MATCH(COLUMNS($AM$1006:BL1006),$AM$1006:$BM$1006,0)))),"Fix")))</f>
        <v xml:space="preserve"> </v>
      </c>
      <c r="AB403" s="4" t="str">
        <f ca="1">IF(OR(INDEX($AG$2:$AG$1001,MATCH(ROWS($AF$2:AF403),$AF$2:$AF$1001,0),1)&gt;=100000,INDEX($AM$1005:$BM$1005,1,MATCH(COLUMNS($AM$1006:BM1006),$AM$1006:$BM$1006,0))&gt;=100000), " ",IF(INDEX($AM$2:$BM$1001,MATCH(ROWS($AF$2:AF403),$AF$2:$AF$1001,0),MATCH(COLUMNS($AM$1006:BM1006),$AM$1006:$BM$1006,0)), HYPERLINK("#",""), HYPERLINK(CONCATENATE("#metadata!", ADDRESS(INDEX($AH$2:$AH$1001,MATCH(ROWS($AF$2:AF403),$AF$2:$AF$1001,0),0), INDEX($AM$1004:$BM$1004,1,MATCH(COLUMNS($AM$1006:BM1006),$AM$1006:$BM$1006,0)))),"Fix")))</f>
        <v xml:space="preserve"> </v>
      </c>
      <c r="AF403">
        <v>402</v>
      </c>
      <c r="AG403">
        <v>100403</v>
      </c>
      <c r="AH403">
        <v>403</v>
      </c>
      <c r="AI403" t="b">
        <f t="shared" si="6"/>
        <v>1</v>
      </c>
      <c r="AJ403" t="b">
        <f>COUNTBLANK(metadata!B403:AB403)=COLUMNS(metadata!B403:AB403)</f>
        <v>1</v>
      </c>
      <c r="AK403" t="str">
        <v/>
      </c>
      <c r="AM403" t="b">
        <f ca="1">AND(IF(metadata!B403="",FALSE,TRUE),COUNTIF(metadata!B:B, metadata!B403) = 1,NOT(ISERROR(SUMPRODUCT(SEARCH(MID(metadata!B403,ROW(INDIRECT("1:"&amp;LEN(metadata!B403))), 1),"0123456789abcdefghijklmnopqrstuvwxyzABCDEFGHIJKLMNOPQRSTUVWXYZ.")))))</f>
        <v>0</v>
      </c>
      <c r="AN403" t="b">
        <f ca="1">OR(AND(IF(metadata!C403="",FALSE,TRUE),OR(EXACT(metadata!C403,"missing: not collected"),EXACT(metadata!C403,"missing: not provided"),EXACT(metadata!C403,"missing: restricted access"))),AND(IF(metadata!C403="",FALSE,TRUE),AND(AND(IFERROR(INT(LEFT(metadata!C403,4))&gt;1900,FALSE),IFERROR(INT(LEFT(metadata!C403,4))&lt;=YEAR(NOW()),FALSE)), OR(MID(metadata!C403,5,1)="", AND(AND(MID(metadata!C403,5,1)="-",IFERROR(INT(MID(metadata!C403,6,1))&gt;=0,FALSE),IFERROR(INT(MID(metadata!C403,6,1))&lt;=1,FALSE),NOT(MID(metadata!C403,7,1)=""),IFERROR(INT(MID(metadata!C403,6,2))&gt;=1,FALSE),IFERROR(INT(MID(metadata!C403,6,2))&lt;=12,FALSE)), OR(MID(metadata!C403,8,1)="", AND(AND(MID(metadata!C403,8,1)="-",IFERROR(INT(MID(metadata!C403,9,1))&gt;=0,FALSE),IFERROR(INT(MID(metadata!C403,9,1))&lt;=3,FALSE),NOT(MID(metadata!C403,10,1)=""),IFERROR(INT(MID(metadata!C403,9,2))&gt;=1,FALSE),IFERROR(INT(MID(metadata!C403,9,2))&lt;=31,FALSE)), OR(MID(metadata!C403,11,1)="", AND(AND(MID(metadata!C403,11,1)=" ",IFERROR(INT(MID(metadata!C403,12,1))&gt;=0,FALSE),IFERROR(INT(MID(metadata!C403,12,1))&lt;=2,FALSE),NOT(MID(metadata!C403,13,1)=""),IFERROR(INT(MID(metadata!C403,12,2))&gt;=0,FALSE),IFERROR(INT(MID(metadata!C403,12,2))&lt;=23,FALSE)), OR(MID(metadata!C403,14,1)="", AND(AND(MID(metadata!C403,14,1)=":",IFERROR(INT(MID(metadata!C403,15,1))&gt;=0,FALSE),IFERROR(INT(MID(metadata!C403,15,1))&lt;=5,FALSE),NOT(MID(metadata!C403,16,1)=""),IFERROR(INT(MID(metadata!C403,15,2))&gt;=0,FALSE),IFERROR(INT(MID(metadata!C403,15,2))&lt;=59,FALSE)), OR(MID(metadata!C403,17,1)="", AND(AND(MID(metadata!C403,17,1)=":",IFERROR(INT(MID(metadata!C403,18,1))&gt;=0,FALSE),IFERROR(INT(MID(metadata!C403,18,1))&lt;=5,FALSE),NOT(MID(metadata!C403,19,1)=""),IFERROR(INT(MID(metadata!C403,18,2))&gt;=0,FALSE),IFERROR(INT(MID(metadata!C403,18,2))&lt;=59,FALSE)), LEN(metadata!C403)&lt;=19)))))))))))))</f>
        <v>0</v>
      </c>
      <c r="AO403" t="b">
        <f>AND(IF(metadata!D403="",FALSE,TRUE),EXACT(metadata!D403,"Not applicable"))</f>
        <v>0</v>
      </c>
      <c r="AP403" t="b">
        <f>IF(metadata!E403="",FALSE,TRUE)</f>
        <v>0</v>
      </c>
      <c r="AQ403" t="b">
        <f>OR(AND(IF(metadata!F403="",FALSE,TRUE),OR(EXACT(metadata!F403,"missing: not collected"),EXACT(metadata!F403,"missing: not provided"))),AND(IF(metadata!F403="",FALSE,TRUE),OR(EXACT(metadata!F403,"TRUE"),EXACT(metadata!F403,"FALSE"))))</f>
        <v>0</v>
      </c>
      <c r="AR403" t="b">
        <f>OR(AND(IF(metadata!G403="",FALSE,TRUE),OR(EXACT(metadata!G403,"missing: not collected"),EXACT(metadata!G403,"missing: not provided"),EXACT(metadata!G403,"missing: restricted access"))),AND(IF(metadata!G403="",FALSE,ISNUMBER(VALUE(metadata!G403))),metadata!G403&gt;=-413))</f>
        <v>0</v>
      </c>
      <c r="AS403" t="b">
        <f>AND(IF(metadata!H403="",FALSE,TRUE),EXACT(metadata!H403,"meters"))</f>
        <v>0</v>
      </c>
      <c r="AT403" t="b">
        <f>AND(IF(metadata!I403="",FALSE,TRUE),OR(EXACT(metadata!I403,"Host-associated"),EXACT(metadata!I403,"Free-living")))</f>
        <v>0</v>
      </c>
      <c r="AU403" t="b">
        <f>AND(IF(metadata!J403="",FALSE,TRUE),OR(EXACT(metadata!J403,"Animal"),EXACT(metadata!J403,"Fungus"),EXACT(metadata!J403,"Plant"),EXACT(metadata!J403,"Saline"),EXACT(metadata!J403,"Non-saline")))</f>
        <v>0</v>
      </c>
      <c r="AV403" t="b">
        <f>AND(IF(metadata!K403="",FALSE,TRUE),OR(EXACT(metadata!K403,"Plant secretion"),EXACT(metadata!K403,"Plant rhizosphere"),EXACT(metadata!K403,"Plant surface"),EXACT(metadata!K403,"Plant corpus"),EXACT(metadata!K403,"Fungus surface"),EXACT(metadata!K403,"Fungus corpus"),EXACT(metadata!K403,"Animal surface"),EXACT(metadata!K403,"Animal proximal gut"),EXACT(metadata!K403,"Animal corpus"),EXACT(metadata!K403,"Animal distal gut"),EXACT(metadata!K403,"Animal secretion"),EXACT(metadata!K403,"Sub-surface (non-saline)"),EXACT(metadata!K403,"Surface (non-saline)"),EXACT(metadata!K403,"Water (non-saline)"),EXACT(metadata!K403,"Soil (non-saline)"),EXACT(metadata!K403,"Aerosol (non-saline)"),EXACT(metadata!K403,"Sediment (non-saline)"),EXACT(metadata!K403,"Surface (saline)"),EXACT(metadata!K403,"Water (saline)"),EXACT(metadata!K403,"Hypersaline (saline)"),EXACT(metadata!K403,"Aerosol (saline)"),EXACT(metadata!K403,"Sediment (saline)")))</f>
        <v>0</v>
      </c>
      <c r="AW403" t="b">
        <f>IF(metadata!L403="",FALSE,TRUE)</f>
        <v>0</v>
      </c>
      <c r="AX403" t="b">
        <f>IF(metadata!M403="",FALSE,TRUE)</f>
        <v>0</v>
      </c>
      <c r="AY403" t="b">
        <f>IF(metadata!N403="",FALSE,TRUE)</f>
        <v>0</v>
      </c>
      <c r="AZ403" t="b">
        <f>OR(AND(IF(metadata!O403="",FALSE,TRUE),OR(EXACT(metadata!O403,"missing: not collected"),EXACT(metadata!O403,"missing: not provided"),EXACT(metadata!O403,"missing: restricted access"))),AND(IF(metadata!O403="",FALSE,TRUE),OR(EXACT(metadata!O403,"air"),EXACT(metadata!O403,"built environment"),EXACT(metadata!O403,"host-associated"),EXACT(metadata!O403,"human-associated"),EXACT(metadata!O403,"human-skin"),EXACT(metadata!O403,"human-oral"),EXACT(metadata!O403,"human-gut"),EXACT(metadata!O403,"human-vaginal"),EXACT(metadata!O403,"microbial mat/biofilm"),EXACT(metadata!O403,"misc environment"),EXACT(metadata!O403,"plant-associated"),EXACT(metadata!O403,"sediment"),EXACT(metadata!O403,"soil"),EXACT(metadata!O403,"wastewater/sludge"),EXACT(metadata!O403,"water"))))</f>
        <v>0</v>
      </c>
      <c r="BA403" t="b">
        <f>IF(metadata!P403="",FALSE,TRUE)</f>
        <v>0</v>
      </c>
      <c r="BB403" t="b">
        <f>IF(metadata!Q403="",FALSE,TRUE)</f>
        <v>0</v>
      </c>
      <c r="BC403" t="b">
        <f>OR(AND(IF(metadata!R403="",FALSE,TRUE),OR(EXACT(metadata!R403,"missing: not collected"),EXACT(metadata!R403,"missing: not provided"),EXACT(metadata!R403,"missing: restricted access"))),AND(IF(metadata!R403="",FALSE,ISNUMBER(VALUE(metadata!R403))),metadata!R403&gt;=-90,metadata!R403&lt;=90))</f>
        <v>0</v>
      </c>
      <c r="BD403" t="b">
        <f>AND(IF(metadata!S403="",FALSE,TRUE),EXACT(metadata!S403,"Decimal degrees"))</f>
        <v>0</v>
      </c>
      <c r="BE403" t="b">
        <f>OR(AND(IF(metadata!T403="",FALSE,TRUE),OR(EXACT(metadata!T403,"missing: not collected"),EXACT(metadata!T403,"missing: not provided"),EXACT(metadata!T403,"missing: restricted access"))),AND(IF(metadata!T403="",FALSE,ISNUMBER(VALUE(metadata!T403))),metadata!T403&gt;=-180,metadata!T403&lt;=180))</f>
        <v>0</v>
      </c>
      <c r="BF403" t="b">
        <f>AND(IF(metadata!U403="",FALSE,TRUE),EXACT(metadata!U403,"Decimal degrees"))</f>
        <v>0</v>
      </c>
      <c r="BG403" t="b">
        <f>IF(metadata!V403="",FALSE,TRUE)</f>
        <v>0</v>
      </c>
      <c r="BH403" t="b">
        <f>OR(AND(IF(metadata!W403="",FALSE,TRUE),OR(EXACT(metadata!W403,"missing: not collected"),EXACT(metadata!W403,"missing: not provided"),EXACT(metadata!W403,"missing: restricted access"))),AND(IF(metadata!W403="",FALSE,TRUE),OR(EXACT(metadata!W403,"TRUE"),EXACT(metadata!W403,"FALSE"))))</f>
        <v>0</v>
      </c>
      <c r="BI403" t="b">
        <f>AND(IF(metadata!X403="",FALSE,TRUE),EXACT(metadata!X403,"other"))</f>
        <v>0</v>
      </c>
      <c r="BJ403" t="b">
        <f>IF(metadata!Y403="",FALSE,TRUE)</f>
        <v>0</v>
      </c>
      <c r="BK403" t="b">
        <f>OR(AND(IF(metadata!Z403="",FALSE,TRUE),OR(EXACT(metadata!Z403,"missing: not collected"),EXACT(metadata!Z403,"missing: not provided"))),AND(IF(metadata!Z403="",FALSE,IF(ISERROR(INT(metadata!Z403)),FALSE,INT(metadata!Z403)=metadata!Z403)),metadata!Z403&gt;0))</f>
        <v>0</v>
      </c>
      <c r="BL403" t="b">
        <f>AND(IF(metadata!AA403="",FALSE,TRUE),EXACT(metadata!AA403,"Not applicable"))</f>
        <v>0</v>
      </c>
      <c r="BM403" t="b">
        <f>IF(metadata!AB403="",FALSE,TRUE)</f>
        <v>0</v>
      </c>
    </row>
    <row r="404" spans="1:65" x14ac:dyDescent="0.2">
      <c r="A404" s="5" t="str">
        <f ca="1">IF(B404=" "," ",HYPERLINK(CONCATENATE("#metadata!",ADDRESS(INDEX($AH$2:$AH$1001,MATCH(ROWS($AF$2:AF404),$AF$2:$AF$1001,0),0),1)),INDEX($AK$2:$AK$1001,MATCH(ROWS($AF$2:AF404),$AF$2:$AF$1001,0),0)))</f>
        <v xml:space="preserve"> </v>
      </c>
      <c r="B404" s="4" t="str">
        <f ca="1">IF(OR(INDEX($AG$2:$AG$1001,MATCH(ROWS($AF$2:AF404),$AF$2:$AF$1001,0),1)&gt;=100000,INDEX($AM$1005:$BM$1005,1,MATCH(COLUMNS($AM$1006:AM1006),$AM$1006:$BM$1006,0))&gt;=100000), " ",IF(INDEX($AM$2:$BM$1001,MATCH(ROWS($AF$2:AF404),$AF$2:$AF$1001,0),MATCH(COLUMNS($AM$1006:AM1006),$AM$1006:$BM$1006,0)), HYPERLINK("#",""), HYPERLINK(CONCATENATE("#metadata!", ADDRESS(INDEX($AH$2:$AH$1001,MATCH(ROWS($AF$2:AF404),$AF$2:$AF$1001,0),0), INDEX($AM$1004:$BM$1004,1,MATCH(COLUMNS($AM$1006:AM1006),$AM$1006:$BM$1006,0)))),"Fix")))</f>
        <v xml:space="preserve"> </v>
      </c>
      <c r="C404" s="4" t="str">
        <f ca="1">IF(OR(INDEX($AG$2:$AG$1001,MATCH(ROWS($AF$2:AF404),$AF$2:$AF$1001,0),1)&gt;=100000,INDEX($AM$1005:$BM$1005,1,MATCH(COLUMNS($AM$1006:AN1006),$AM$1006:$BM$1006,0))&gt;=100000), " ",IF(INDEX($AM$2:$BM$1001,MATCH(ROWS($AF$2:AF404),$AF$2:$AF$1001,0),MATCH(COLUMNS($AM$1006:AN1006),$AM$1006:$BM$1006,0)), HYPERLINK("#",""), HYPERLINK(CONCATENATE("#metadata!", ADDRESS(INDEX($AH$2:$AH$1001,MATCH(ROWS($AF$2:AF404),$AF$2:$AF$1001,0),0), INDEX($AM$1004:$BM$1004,1,MATCH(COLUMNS($AM$1006:AN1006),$AM$1006:$BM$1006,0)))),"Fix")))</f>
        <v xml:space="preserve"> </v>
      </c>
      <c r="D404" s="4" t="str">
        <f ca="1">IF(OR(INDEX($AG$2:$AG$1001,MATCH(ROWS($AF$2:AF404),$AF$2:$AF$1001,0),1)&gt;=100000,INDEX($AM$1005:$BM$1005,1,MATCH(COLUMNS($AM$1006:AO1006),$AM$1006:$BM$1006,0))&gt;=100000), " ",IF(INDEX($AM$2:$BM$1001,MATCH(ROWS($AF$2:AF404),$AF$2:$AF$1001,0),MATCH(COLUMNS($AM$1006:AO1006),$AM$1006:$BM$1006,0)), HYPERLINK("#",""), HYPERLINK(CONCATENATE("#metadata!", ADDRESS(INDEX($AH$2:$AH$1001,MATCH(ROWS($AF$2:AF404),$AF$2:$AF$1001,0),0), INDEX($AM$1004:$BM$1004,1,MATCH(COLUMNS($AM$1006:AO1006),$AM$1006:$BM$1006,0)))),"Fix")))</f>
        <v xml:space="preserve"> </v>
      </c>
      <c r="E404" s="4" t="str">
        <f ca="1">IF(OR(INDEX($AG$2:$AG$1001,MATCH(ROWS($AF$2:AF404),$AF$2:$AF$1001,0),1)&gt;=100000,INDEX($AM$1005:$BM$1005,1,MATCH(COLUMNS($AM$1006:AP1006),$AM$1006:$BM$1006,0))&gt;=100000), " ",IF(INDEX($AM$2:$BM$1001,MATCH(ROWS($AF$2:AF404),$AF$2:$AF$1001,0),MATCH(COLUMNS($AM$1006:AP1006),$AM$1006:$BM$1006,0)), HYPERLINK("#",""), HYPERLINK(CONCATENATE("#metadata!", ADDRESS(INDEX($AH$2:$AH$1001,MATCH(ROWS($AF$2:AF404),$AF$2:$AF$1001,0),0), INDEX($AM$1004:$BM$1004,1,MATCH(COLUMNS($AM$1006:AP1006),$AM$1006:$BM$1006,0)))),"Fix")))</f>
        <v xml:space="preserve"> </v>
      </c>
      <c r="F404" s="4" t="str">
        <f ca="1">IF(OR(INDEX($AG$2:$AG$1001,MATCH(ROWS($AF$2:AF404),$AF$2:$AF$1001,0),1)&gt;=100000,INDEX($AM$1005:$BM$1005,1,MATCH(COLUMNS($AM$1006:AQ1006),$AM$1006:$BM$1006,0))&gt;=100000), " ",IF(INDEX($AM$2:$BM$1001,MATCH(ROWS($AF$2:AF404),$AF$2:$AF$1001,0),MATCH(COLUMNS($AM$1006:AQ1006),$AM$1006:$BM$1006,0)), HYPERLINK("#",""), HYPERLINK(CONCATENATE("#metadata!", ADDRESS(INDEX($AH$2:$AH$1001,MATCH(ROWS($AF$2:AF404),$AF$2:$AF$1001,0),0), INDEX($AM$1004:$BM$1004,1,MATCH(COLUMNS($AM$1006:AQ1006),$AM$1006:$BM$1006,0)))),"Fix")))</f>
        <v xml:space="preserve"> </v>
      </c>
      <c r="G404" s="4" t="str">
        <f ca="1">IF(OR(INDEX($AG$2:$AG$1001,MATCH(ROWS($AF$2:AF404),$AF$2:$AF$1001,0),1)&gt;=100000,INDEX($AM$1005:$BM$1005,1,MATCH(COLUMNS($AM$1006:AR1006),$AM$1006:$BM$1006,0))&gt;=100000), " ",IF(INDEX($AM$2:$BM$1001,MATCH(ROWS($AF$2:AF404),$AF$2:$AF$1001,0),MATCH(COLUMNS($AM$1006:AR1006),$AM$1006:$BM$1006,0)), HYPERLINK("#",""), HYPERLINK(CONCATENATE("#metadata!", ADDRESS(INDEX($AH$2:$AH$1001,MATCH(ROWS($AF$2:AF404),$AF$2:$AF$1001,0),0), INDEX($AM$1004:$BM$1004,1,MATCH(COLUMNS($AM$1006:AR1006),$AM$1006:$BM$1006,0)))),"Fix")))</f>
        <v xml:space="preserve"> </v>
      </c>
      <c r="H404" s="4" t="str">
        <f ca="1">IF(OR(INDEX($AG$2:$AG$1001,MATCH(ROWS($AF$2:AF404),$AF$2:$AF$1001,0),1)&gt;=100000,INDEX($AM$1005:$BM$1005,1,MATCH(COLUMNS($AM$1006:AS1006),$AM$1006:$BM$1006,0))&gt;=100000), " ",IF(INDEX($AM$2:$BM$1001,MATCH(ROWS($AF$2:AF404),$AF$2:$AF$1001,0),MATCH(COLUMNS($AM$1006:AS1006),$AM$1006:$BM$1006,0)), HYPERLINK("#",""), HYPERLINK(CONCATENATE("#metadata!", ADDRESS(INDEX($AH$2:$AH$1001,MATCH(ROWS($AF$2:AF404),$AF$2:$AF$1001,0),0), INDEX($AM$1004:$BM$1004,1,MATCH(COLUMNS($AM$1006:AS1006),$AM$1006:$BM$1006,0)))),"Fix")))</f>
        <v xml:space="preserve"> </v>
      </c>
      <c r="I404" s="4" t="str">
        <f ca="1">IF(OR(INDEX($AG$2:$AG$1001,MATCH(ROWS($AF$2:AF404),$AF$2:$AF$1001,0),1)&gt;=100000,INDEX($AM$1005:$BM$1005,1,MATCH(COLUMNS($AM$1006:AT1006),$AM$1006:$BM$1006,0))&gt;=100000), " ",IF(INDEX($AM$2:$BM$1001,MATCH(ROWS($AF$2:AF404),$AF$2:$AF$1001,0),MATCH(COLUMNS($AM$1006:AT1006),$AM$1006:$BM$1006,0)), HYPERLINK("#",""), HYPERLINK(CONCATENATE("#metadata!", ADDRESS(INDEX($AH$2:$AH$1001,MATCH(ROWS($AF$2:AF404),$AF$2:$AF$1001,0),0), INDEX($AM$1004:$BM$1004,1,MATCH(COLUMNS($AM$1006:AT1006),$AM$1006:$BM$1006,0)))),"Fix")))</f>
        <v xml:space="preserve"> </v>
      </c>
      <c r="J404" s="4" t="str">
        <f ca="1">IF(OR(INDEX($AG$2:$AG$1001,MATCH(ROWS($AF$2:AF404),$AF$2:$AF$1001,0),1)&gt;=100000,INDEX($AM$1005:$BM$1005,1,MATCH(COLUMNS($AM$1006:AU1006),$AM$1006:$BM$1006,0))&gt;=100000), " ",IF(INDEX($AM$2:$BM$1001,MATCH(ROWS($AF$2:AF404),$AF$2:$AF$1001,0),MATCH(COLUMNS($AM$1006:AU1006),$AM$1006:$BM$1006,0)), HYPERLINK("#",""), HYPERLINK(CONCATENATE("#metadata!", ADDRESS(INDEX($AH$2:$AH$1001,MATCH(ROWS($AF$2:AF404),$AF$2:$AF$1001,0),0), INDEX($AM$1004:$BM$1004,1,MATCH(COLUMNS($AM$1006:AU1006),$AM$1006:$BM$1006,0)))),"Fix")))</f>
        <v xml:space="preserve"> </v>
      </c>
      <c r="K404" s="4" t="str">
        <f ca="1">IF(OR(INDEX($AG$2:$AG$1001,MATCH(ROWS($AF$2:AF404),$AF$2:$AF$1001,0),1)&gt;=100000,INDEX($AM$1005:$BM$1005,1,MATCH(COLUMNS($AM$1006:AV1006),$AM$1006:$BM$1006,0))&gt;=100000), " ",IF(INDEX($AM$2:$BM$1001,MATCH(ROWS($AF$2:AF404),$AF$2:$AF$1001,0),MATCH(COLUMNS($AM$1006:AV1006),$AM$1006:$BM$1006,0)), HYPERLINK("#",""), HYPERLINK(CONCATENATE("#metadata!", ADDRESS(INDEX($AH$2:$AH$1001,MATCH(ROWS($AF$2:AF404),$AF$2:$AF$1001,0),0), INDEX($AM$1004:$BM$1004,1,MATCH(COLUMNS($AM$1006:AV1006),$AM$1006:$BM$1006,0)))),"Fix")))</f>
        <v xml:space="preserve"> </v>
      </c>
      <c r="L404" s="4" t="str">
        <f ca="1">IF(OR(INDEX($AG$2:$AG$1001,MATCH(ROWS($AF$2:AF404),$AF$2:$AF$1001,0),1)&gt;=100000,INDEX($AM$1005:$BM$1005,1,MATCH(COLUMNS($AM$1006:AW1006),$AM$1006:$BM$1006,0))&gt;=100000), " ",IF(INDEX($AM$2:$BM$1001,MATCH(ROWS($AF$2:AF404),$AF$2:$AF$1001,0),MATCH(COLUMNS($AM$1006:AW1006),$AM$1006:$BM$1006,0)), HYPERLINK("#",""), HYPERLINK(CONCATENATE("#metadata!", ADDRESS(INDEX($AH$2:$AH$1001,MATCH(ROWS($AF$2:AF404),$AF$2:$AF$1001,0),0), INDEX($AM$1004:$BM$1004,1,MATCH(COLUMNS($AM$1006:AW1006),$AM$1006:$BM$1006,0)))),"Fix")))</f>
        <v xml:space="preserve"> </v>
      </c>
      <c r="M404" s="4" t="str">
        <f ca="1">IF(OR(INDEX($AG$2:$AG$1001,MATCH(ROWS($AF$2:AF404),$AF$2:$AF$1001,0),1)&gt;=100000,INDEX($AM$1005:$BM$1005,1,MATCH(COLUMNS($AM$1006:AX1006),$AM$1006:$BM$1006,0))&gt;=100000), " ",IF(INDEX($AM$2:$BM$1001,MATCH(ROWS($AF$2:AF404),$AF$2:$AF$1001,0),MATCH(COLUMNS($AM$1006:AX1006),$AM$1006:$BM$1006,0)), HYPERLINK("#",""), HYPERLINK(CONCATENATE("#metadata!", ADDRESS(INDEX($AH$2:$AH$1001,MATCH(ROWS($AF$2:AF404),$AF$2:$AF$1001,0),0), INDEX($AM$1004:$BM$1004,1,MATCH(COLUMNS($AM$1006:AX1006),$AM$1006:$BM$1006,0)))),"Fix")))</f>
        <v xml:space="preserve"> </v>
      </c>
      <c r="N404" s="4" t="str">
        <f ca="1">IF(OR(INDEX($AG$2:$AG$1001,MATCH(ROWS($AF$2:AF404),$AF$2:$AF$1001,0),1)&gt;=100000,INDEX($AM$1005:$BM$1005,1,MATCH(COLUMNS($AM$1006:AY1006),$AM$1006:$BM$1006,0))&gt;=100000), " ",IF(INDEX($AM$2:$BM$1001,MATCH(ROWS($AF$2:AF404),$AF$2:$AF$1001,0),MATCH(COLUMNS($AM$1006:AY1006),$AM$1006:$BM$1006,0)), HYPERLINK("#",""), HYPERLINK(CONCATENATE("#metadata!", ADDRESS(INDEX($AH$2:$AH$1001,MATCH(ROWS($AF$2:AF404),$AF$2:$AF$1001,0),0), INDEX($AM$1004:$BM$1004,1,MATCH(COLUMNS($AM$1006:AY1006),$AM$1006:$BM$1006,0)))),"Fix")))</f>
        <v xml:space="preserve"> </v>
      </c>
      <c r="O404" s="4" t="str">
        <f ca="1">IF(OR(INDEX($AG$2:$AG$1001,MATCH(ROWS($AF$2:AF404),$AF$2:$AF$1001,0),1)&gt;=100000,INDEX($AM$1005:$BM$1005,1,MATCH(COLUMNS($AM$1006:AZ1006),$AM$1006:$BM$1006,0))&gt;=100000), " ",IF(INDEX($AM$2:$BM$1001,MATCH(ROWS($AF$2:AF404),$AF$2:$AF$1001,0),MATCH(COLUMNS($AM$1006:AZ1006),$AM$1006:$BM$1006,0)), HYPERLINK("#",""), HYPERLINK(CONCATENATE("#metadata!", ADDRESS(INDEX($AH$2:$AH$1001,MATCH(ROWS($AF$2:AF404),$AF$2:$AF$1001,0),0), INDEX($AM$1004:$BM$1004,1,MATCH(COLUMNS($AM$1006:AZ1006),$AM$1006:$BM$1006,0)))),"Fix")))</f>
        <v xml:space="preserve"> </v>
      </c>
      <c r="P404" s="4" t="str">
        <f ca="1">IF(OR(INDEX($AG$2:$AG$1001,MATCH(ROWS($AF$2:AF404),$AF$2:$AF$1001,0),1)&gt;=100000,INDEX($AM$1005:$BM$1005,1,MATCH(COLUMNS($AM$1006:BA1006),$AM$1006:$BM$1006,0))&gt;=100000), " ",IF(INDEX($AM$2:$BM$1001,MATCH(ROWS($AF$2:AF404),$AF$2:$AF$1001,0),MATCH(COLUMNS($AM$1006:BA1006),$AM$1006:$BM$1006,0)), HYPERLINK("#",""), HYPERLINK(CONCATENATE("#metadata!", ADDRESS(INDEX($AH$2:$AH$1001,MATCH(ROWS($AF$2:AF404),$AF$2:$AF$1001,0),0), INDEX($AM$1004:$BM$1004,1,MATCH(COLUMNS($AM$1006:BA1006),$AM$1006:$BM$1006,0)))),"Fix")))</f>
        <v xml:space="preserve"> </v>
      </c>
      <c r="Q404" s="4" t="str">
        <f ca="1">IF(OR(INDEX($AG$2:$AG$1001,MATCH(ROWS($AF$2:AF404),$AF$2:$AF$1001,0),1)&gt;=100000,INDEX($AM$1005:$BM$1005,1,MATCH(COLUMNS($AM$1006:BB1006),$AM$1006:$BM$1006,0))&gt;=100000), " ",IF(INDEX($AM$2:$BM$1001,MATCH(ROWS($AF$2:AF404),$AF$2:$AF$1001,0),MATCH(COLUMNS($AM$1006:BB1006),$AM$1006:$BM$1006,0)), HYPERLINK("#",""), HYPERLINK(CONCATENATE("#metadata!", ADDRESS(INDEX($AH$2:$AH$1001,MATCH(ROWS($AF$2:AF404),$AF$2:$AF$1001,0),0), INDEX($AM$1004:$BM$1004,1,MATCH(COLUMNS($AM$1006:BB1006),$AM$1006:$BM$1006,0)))),"Fix")))</f>
        <v xml:space="preserve"> </v>
      </c>
      <c r="R404" s="4" t="str">
        <f ca="1">IF(OR(INDEX($AG$2:$AG$1001,MATCH(ROWS($AF$2:AF404),$AF$2:$AF$1001,0),1)&gt;=100000,INDEX($AM$1005:$BM$1005,1,MATCH(COLUMNS($AM$1006:BC1006),$AM$1006:$BM$1006,0))&gt;=100000), " ",IF(INDEX($AM$2:$BM$1001,MATCH(ROWS($AF$2:AF404),$AF$2:$AF$1001,0),MATCH(COLUMNS($AM$1006:BC1006),$AM$1006:$BM$1006,0)), HYPERLINK("#",""), HYPERLINK(CONCATENATE("#metadata!", ADDRESS(INDEX($AH$2:$AH$1001,MATCH(ROWS($AF$2:AF404),$AF$2:$AF$1001,0),0), INDEX($AM$1004:$BM$1004,1,MATCH(COLUMNS($AM$1006:BC1006),$AM$1006:$BM$1006,0)))),"Fix")))</f>
        <v xml:space="preserve"> </v>
      </c>
      <c r="S404" s="4" t="str">
        <f ca="1">IF(OR(INDEX($AG$2:$AG$1001,MATCH(ROWS($AF$2:AF404),$AF$2:$AF$1001,0),1)&gt;=100000,INDEX($AM$1005:$BM$1005,1,MATCH(COLUMNS($AM$1006:BD1006),$AM$1006:$BM$1006,0))&gt;=100000), " ",IF(INDEX($AM$2:$BM$1001,MATCH(ROWS($AF$2:AF404),$AF$2:$AF$1001,0),MATCH(COLUMNS($AM$1006:BD1006),$AM$1006:$BM$1006,0)), HYPERLINK("#",""), HYPERLINK(CONCATENATE("#metadata!", ADDRESS(INDEX($AH$2:$AH$1001,MATCH(ROWS($AF$2:AF404),$AF$2:$AF$1001,0),0), INDEX($AM$1004:$BM$1004,1,MATCH(COLUMNS($AM$1006:BD1006),$AM$1006:$BM$1006,0)))),"Fix")))</f>
        <v xml:space="preserve"> </v>
      </c>
      <c r="T404" s="4" t="str">
        <f ca="1">IF(OR(INDEX($AG$2:$AG$1001,MATCH(ROWS($AF$2:AF404),$AF$2:$AF$1001,0),1)&gt;=100000,INDEX($AM$1005:$BM$1005,1,MATCH(COLUMNS($AM$1006:BE1006),$AM$1006:$BM$1006,0))&gt;=100000), " ",IF(INDEX($AM$2:$BM$1001,MATCH(ROWS($AF$2:AF404),$AF$2:$AF$1001,0),MATCH(COLUMNS($AM$1006:BE1006),$AM$1006:$BM$1006,0)), HYPERLINK("#",""), HYPERLINK(CONCATENATE("#metadata!", ADDRESS(INDEX($AH$2:$AH$1001,MATCH(ROWS($AF$2:AF404),$AF$2:$AF$1001,0),0), INDEX($AM$1004:$BM$1004,1,MATCH(COLUMNS($AM$1006:BE1006),$AM$1006:$BM$1006,0)))),"Fix")))</f>
        <v xml:space="preserve"> </v>
      </c>
      <c r="U404" s="4" t="str">
        <f ca="1">IF(OR(INDEX($AG$2:$AG$1001,MATCH(ROWS($AF$2:AF404),$AF$2:$AF$1001,0),1)&gt;=100000,INDEX($AM$1005:$BM$1005,1,MATCH(COLUMNS($AM$1006:BF1006),$AM$1006:$BM$1006,0))&gt;=100000), " ",IF(INDEX($AM$2:$BM$1001,MATCH(ROWS($AF$2:AF404),$AF$2:$AF$1001,0),MATCH(COLUMNS($AM$1006:BF1006),$AM$1006:$BM$1006,0)), HYPERLINK("#",""), HYPERLINK(CONCATENATE("#metadata!", ADDRESS(INDEX($AH$2:$AH$1001,MATCH(ROWS($AF$2:AF404),$AF$2:$AF$1001,0),0), INDEX($AM$1004:$BM$1004,1,MATCH(COLUMNS($AM$1006:BF1006),$AM$1006:$BM$1006,0)))),"Fix")))</f>
        <v xml:space="preserve"> </v>
      </c>
      <c r="V404" s="4" t="str">
        <f ca="1">IF(OR(INDEX($AG$2:$AG$1001,MATCH(ROWS($AF$2:AF404),$AF$2:$AF$1001,0),1)&gt;=100000,INDEX($AM$1005:$BM$1005,1,MATCH(COLUMNS($AM$1006:BG1006),$AM$1006:$BM$1006,0))&gt;=100000), " ",IF(INDEX($AM$2:$BM$1001,MATCH(ROWS($AF$2:AF404),$AF$2:$AF$1001,0),MATCH(COLUMNS($AM$1006:BG1006),$AM$1006:$BM$1006,0)), HYPERLINK("#",""), HYPERLINK(CONCATENATE("#metadata!", ADDRESS(INDEX($AH$2:$AH$1001,MATCH(ROWS($AF$2:AF404),$AF$2:$AF$1001,0),0), INDEX($AM$1004:$BM$1004,1,MATCH(COLUMNS($AM$1006:BG1006),$AM$1006:$BM$1006,0)))),"Fix")))</f>
        <v xml:space="preserve"> </v>
      </c>
      <c r="W404" s="4" t="str">
        <f ca="1">IF(OR(INDEX($AG$2:$AG$1001,MATCH(ROWS($AF$2:AF404),$AF$2:$AF$1001,0),1)&gt;=100000,INDEX($AM$1005:$BM$1005,1,MATCH(COLUMNS($AM$1006:BH1006),$AM$1006:$BM$1006,0))&gt;=100000), " ",IF(INDEX($AM$2:$BM$1001,MATCH(ROWS($AF$2:AF404),$AF$2:$AF$1001,0),MATCH(COLUMNS($AM$1006:BH1006),$AM$1006:$BM$1006,0)), HYPERLINK("#",""), HYPERLINK(CONCATENATE("#metadata!", ADDRESS(INDEX($AH$2:$AH$1001,MATCH(ROWS($AF$2:AF404),$AF$2:$AF$1001,0),0), INDEX($AM$1004:$BM$1004,1,MATCH(COLUMNS($AM$1006:BH1006),$AM$1006:$BM$1006,0)))),"Fix")))</f>
        <v xml:space="preserve"> </v>
      </c>
      <c r="X404" s="4" t="str">
        <f ca="1">IF(OR(INDEX($AG$2:$AG$1001,MATCH(ROWS($AF$2:AF404),$AF$2:$AF$1001,0),1)&gt;=100000,INDEX($AM$1005:$BM$1005,1,MATCH(COLUMNS($AM$1006:BI1006),$AM$1006:$BM$1006,0))&gt;=100000), " ",IF(INDEX($AM$2:$BM$1001,MATCH(ROWS($AF$2:AF404),$AF$2:$AF$1001,0),MATCH(COLUMNS($AM$1006:BI1006),$AM$1006:$BM$1006,0)), HYPERLINK("#",""), HYPERLINK(CONCATENATE("#metadata!", ADDRESS(INDEX($AH$2:$AH$1001,MATCH(ROWS($AF$2:AF404),$AF$2:$AF$1001,0),0), INDEX($AM$1004:$BM$1004,1,MATCH(COLUMNS($AM$1006:BI1006),$AM$1006:$BM$1006,0)))),"Fix")))</f>
        <v xml:space="preserve"> </v>
      </c>
      <c r="Y404" s="4" t="str">
        <f ca="1">IF(OR(INDEX($AG$2:$AG$1001,MATCH(ROWS($AF$2:AF404),$AF$2:$AF$1001,0),1)&gt;=100000,INDEX($AM$1005:$BM$1005,1,MATCH(COLUMNS($AM$1006:BJ1006),$AM$1006:$BM$1006,0))&gt;=100000), " ",IF(INDEX($AM$2:$BM$1001,MATCH(ROWS($AF$2:AF404),$AF$2:$AF$1001,0),MATCH(COLUMNS($AM$1006:BJ1006),$AM$1006:$BM$1006,0)), HYPERLINK("#",""), HYPERLINK(CONCATENATE("#metadata!", ADDRESS(INDEX($AH$2:$AH$1001,MATCH(ROWS($AF$2:AF404),$AF$2:$AF$1001,0),0), INDEX($AM$1004:$BM$1004,1,MATCH(COLUMNS($AM$1006:BJ1006),$AM$1006:$BM$1006,0)))),"Fix")))</f>
        <v xml:space="preserve"> </v>
      </c>
      <c r="Z404" s="4" t="str">
        <f ca="1">IF(OR(INDEX($AG$2:$AG$1001,MATCH(ROWS($AF$2:AF404),$AF$2:$AF$1001,0),1)&gt;=100000,INDEX($AM$1005:$BM$1005,1,MATCH(COLUMNS($AM$1006:BK1006),$AM$1006:$BM$1006,0))&gt;=100000), " ",IF(INDEX($AM$2:$BM$1001,MATCH(ROWS($AF$2:AF404),$AF$2:$AF$1001,0),MATCH(COLUMNS($AM$1006:BK1006),$AM$1006:$BM$1006,0)), HYPERLINK("#",""), HYPERLINK(CONCATENATE("#metadata!", ADDRESS(INDEX($AH$2:$AH$1001,MATCH(ROWS($AF$2:AF404),$AF$2:$AF$1001,0),0), INDEX($AM$1004:$BM$1004,1,MATCH(COLUMNS($AM$1006:BK1006),$AM$1006:$BM$1006,0)))),"Fix")))</f>
        <v xml:space="preserve"> </v>
      </c>
      <c r="AA404" s="4" t="str">
        <f ca="1">IF(OR(INDEX($AG$2:$AG$1001,MATCH(ROWS($AF$2:AF404),$AF$2:$AF$1001,0),1)&gt;=100000,INDEX($AM$1005:$BM$1005,1,MATCH(COLUMNS($AM$1006:BL1006),$AM$1006:$BM$1006,0))&gt;=100000), " ",IF(INDEX($AM$2:$BM$1001,MATCH(ROWS($AF$2:AF404),$AF$2:$AF$1001,0),MATCH(COLUMNS($AM$1006:BL1006),$AM$1006:$BM$1006,0)), HYPERLINK("#",""), HYPERLINK(CONCATENATE("#metadata!", ADDRESS(INDEX($AH$2:$AH$1001,MATCH(ROWS($AF$2:AF404),$AF$2:$AF$1001,0),0), INDEX($AM$1004:$BM$1004,1,MATCH(COLUMNS($AM$1006:BL1006),$AM$1006:$BM$1006,0)))),"Fix")))</f>
        <v xml:space="preserve"> </v>
      </c>
      <c r="AB404" s="4" t="str">
        <f ca="1">IF(OR(INDEX($AG$2:$AG$1001,MATCH(ROWS($AF$2:AF404),$AF$2:$AF$1001,0),1)&gt;=100000,INDEX($AM$1005:$BM$1005,1,MATCH(COLUMNS($AM$1006:BM1006),$AM$1006:$BM$1006,0))&gt;=100000), " ",IF(INDEX($AM$2:$BM$1001,MATCH(ROWS($AF$2:AF404),$AF$2:$AF$1001,0),MATCH(COLUMNS($AM$1006:BM1006),$AM$1006:$BM$1006,0)), HYPERLINK("#",""), HYPERLINK(CONCATENATE("#metadata!", ADDRESS(INDEX($AH$2:$AH$1001,MATCH(ROWS($AF$2:AF404),$AF$2:$AF$1001,0),0), INDEX($AM$1004:$BM$1004,1,MATCH(COLUMNS($AM$1006:BM1006),$AM$1006:$BM$1006,0)))),"Fix")))</f>
        <v xml:space="preserve"> </v>
      </c>
      <c r="AF404">
        <v>403</v>
      </c>
      <c r="AG404">
        <v>100404</v>
      </c>
      <c r="AH404">
        <v>404</v>
      </c>
      <c r="AI404" t="b">
        <f t="shared" si="6"/>
        <v>1</v>
      </c>
      <c r="AJ404" t="b">
        <f>COUNTBLANK(metadata!B404:AB404)=COLUMNS(metadata!B404:AB404)</f>
        <v>1</v>
      </c>
      <c r="AK404" t="str">
        <v/>
      </c>
      <c r="AM404" t="b">
        <f ca="1">AND(IF(metadata!B404="",FALSE,TRUE),COUNTIF(metadata!B:B, metadata!B404) = 1,NOT(ISERROR(SUMPRODUCT(SEARCH(MID(metadata!B404,ROW(INDIRECT("1:"&amp;LEN(metadata!B404))), 1),"0123456789abcdefghijklmnopqrstuvwxyzABCDEFGHIJKLMNOPQRSTUVWXYZ.")))))</f>
        <v>0</v>
      </c>
      <c r="AN404" t="b">
        <f ca="1">OR(AND(IF(metadata!C404="",FALSE,TRUE),OR(EXACT(metadata!C404,"missing: not collected"),EXACT(metadata!C404,"missing: not provided"),EXACT(metadata!C404,"missing: restricted access"))),AND(IF(metadata!C404="",FALSE,TRUE),AND(AND(IFERROR(INT(LEFT(metadata!C404,4))&gt;1900,FALSE),IFERROR(INT(LEFT(metadata!C404,4))&lt;=YEAR(NOW()),FALSE)), OR(MID(metadata!C404,5,1)="", AND(AND(MID(metadata!C404,5,1)="-",IFERROR(INT(MID(metadata!C404,6,1))&gt;=0,FALSE),IFERROR(INT(MID(metadata!C404,6,1))&lt;=1,FALSE),NOT(MID(metadata!C404,7,1)=""),IFERROR(INT(MID(metadata!C404,6,2))&gt;=1,FALSE),IFERROR(INT(MID(metadata!C404,6,2))&lt;=12,FALSE)), OR(MID(metadata!C404,8,1)="", AND(AND(MID(metadata!C404,8,1)="-",IFERROR(INT(MID(metadata!C404,9,1))&gt;=0,FALSE),IFERROR(INT(MID(metadata!C404,9,1))&lt;=3,FALSE),NOT(MID(metadata!C404,10,1)=""),IFERROR(INT(MID(metadata!C404,9,2))&gt;=1,FALSE),IFERROR(INT(MID(metadata!C404,9,2))&lt;=31,FALSE)), OR(MID(metadata!C404,11,1)="", AND(AND(MID(metadata!C404,11,1)=" ",IFERROR(INT(MID(metadata!C404,12,1))&gt;=0,FALSE),IFERROR(INT(MID(metadata!C404,12,1))&lt;=2,FALSE),NOT(MID(metadata!C404,13,1)=""),IFERROR(INT(MID(metadata!C404,12,2))&gt;=0,FALSE),IFERROR(INT(MID(metadata!C404,12,2))&lt;=23,FALSE)), OR(MID(metadata!C404,14,1)="", AND(AND(MID(metadata!C404,14,1)=":",IFERROR(INT(MID(metadata!C404,15,1))&gt;=0,FALSE),IFERROR(INT(MID(metadata!C404,15,1))&lt;=5,FALSE),NOT(MID(metadata!C404,16,1)=""),IFERROR(INT(MID(metadata!C404,15,2))&gt;=0,FALSE),IFERROR(INT(MID(metadata!C404,15,2))&lt;=59,FALSE)), OR(MID(metadata!C404,17,1)="", AND(AND(MID(metadata!C404,17,1)=":",IFERROR(INT(MID(metadata!C404,18,1))&gt;=0,FALSE),IFERROR(INT(MID(metadata!C404,18,1))&lt;=5,FALSE),NOT(MID(metadata!C404,19,1)=""),IFERROR(INT(MID(metadata!C404,18,2))&gt;=0,FALSE),IFERROR(INT(MID(metadata!C404,18,2))&lt;=59,FALSE)), LEN(metadata!C404)&lt;=19)))))))))))))</f>
        <v>0</v>
      </c>
      <c r="AO404" t="b">
        <f>AND(IF(metadata!D404="",FALSE,TRUE),EXACT(metadata!D404,"Not applicable"))</f>
        <v>0</v>
      </c>
      <c r="AP404" t="b">
        <f>IF(metadata!E404="",FALSE,TRUE)</f>
        <v>0</v>
      </c>
      <c r="AQ404" t="b">
        <f>OR(AND(IF(metadata!F404="",FALSE,TRUE),OR(EXACT(metadata!F404,"missing: not collected"),EXACT(metadata!F404,"missing: not provided"))),AND(IF(metadata!F404="",FALSE,TRUE),OR(EXACT(metadata!F404,"TRUE"),EXACT(metadata!F404,"FALSE"))))</f>
        <v>0</v>
      </c>
      <c r="AR404" t="b">
        <f>OR(AND(IF(metadata!G404="",FALSE,TRUE),OR(EXACT(metadata!G404,"missing: not collected"),EXACT(metadata!G404,"missing: not provided"),EXACT(metadata!G404,"missing: restricted access"))),AND(IF(metadata!G404="",FALSE,ISNUMBER(VALUE(metadata!G404))),metadata!G404&gt;=-413))</f>
        <v>0</v>
      </c>
      <c r="AS404" t="b">
        <f>AND(IF(metadata!H404="",FALSE,TRUE),EXACT(metadata!H404,"meters"))</f>
        <v>0</v>
      </c>
      <c r="AT404" t="b">
        <f>AND(IF(metadata!I404="",FALSE,TRUE),OR(EXACT(metadata!I404,"Host-associated"),EXACT(metadata!I404,"Free-living")))</f>
        <v>0</v>
      </c>
      <c r="AU404" t="b">
        <f>AND(IF(metadata!J404="",FALSE,TRUE),OR(EXACT(metadata!J404,"Animal"),EXACT(metadata!J404,"Fungus"),EXACT(metadata!J404,"Plant"),EXACT(metadata!J404,"Saline"),EXACT(metadata!J404,"Non-saline")))</f>
        <v>0</v>
      </c>
      <c r="AV404" t="b">
        <f>AND(IF(metadata!K404="",FALSE,TRUE),OR(EXACT(metadata!K404,"Plant secretion"),EXACT(metadata!K404,"Plant rhizosphere"),EXACT(metadata!K404,"Plant surface"),EXACT(metadata!K404,"Plant corpus"),EXACT(metadata!K404,"Fungus surface"),EXACT(metadata!K404,"Fungus corpus"),EXACT(metadata!K404,"Animal surface"),EXACT(metadata!K404,"Animal proximal gut"),EXACT(metadata!K404,"Animal corpus"),EXACT(metadata!K404,"Animal distal gut"),EXACT(metadata!K404,"Animal secretion"),EXACT(metadata!K404,"Sub-surface (non-saline)"),EXACT(metadata!K404,"Surface (non-saline)"),EXACT(metadata!K404,"Water (non-saline)"),EXACT(metadata!K404,"Soil (non-saline)"),EXACT(metadata!K404,"Aerosol (non-saline)"),EXACT(metadata!K404,"Sediment (non-saline)"),EXACT(metadata!K404,"Surface (saline)"),EXACT(metadata!K404,"Water (saline)"),EXACT(metadata!K404,"Hypersaline (saline)"),EXACT(metadata!K404,"Aerosol (saline)"),EXACT(metadata!K404,"Sediment (saline)")))</f>
        <v>0</v>
      </c>
      <c r="AW404" t="b">
        <f>IF(metadata!L404="",FALSE,TRUE)</f>
        <v>0</v>
      </c>
      <c r="AX404" t="b">
        <f>IF(metadata!M404="",FALSE,TRUE)</f>
        <v>0</v>
      </c>
      <c r="AY404" t="b">
        <f>IF(metadata!N404="",FALSE,TRUE)</f>
        <v>0</v>
      </c>
      <c r="AZ404" t="b">
        <f>OR(AND(IF(metadata!O404="",FALSE,TRUE),OR(EXACT(metadata!O404,"missing: not collected"),EXACT(metadata!O404,"missing: not provided"),EXACT(metadata!O404,"missing: restricted access"))),AND(IF(metadata!O404="",FALSE,TRUE),OR(EXACT(metadata!O404,"air"),EXACT(metadata!O404,"built environment"),EXACT(metadata!O404,"host-associated"),EXACT(metadata!O404,"human-associated"),EXACT(metadata!O404,"human-skin"),EXACT(metadata!O404,"human-oral"),EXACT(metadata!O404,"human-gut"),EXACT(metadata!O404,"human-vaginal"),EXACT(metadata!O404,"microbial mat/biofilm"),EXACT(metadata!O404,"misc environment"),EXACT(metadata!O404,"plant-associated"),EXACT(metadata!O404,"sediment"),EXACT(metadata!O404,"soil"),EXACT(metadata!O404,"wastewater/sludge"),EXACT(metadata!O404,"water"))))</f>
        <v>0</v>
      </c>
      <c r="BA404" t="b">
        <f>IF(metadata!P404="",FALSE,TRUE)</f>
        <v>0</v>
      </c>
      <c r="BB404" t="b">
        <f>IF(metadata!Q404="",FALSE,TRUE)</f>
        <v>0</v>
      </c>
      <c r="BC404" t="b">
        <f>OR(AND(IF(metadata!R404="",FALSE,TRUE),OR(EXACT(metadata!R404,"missing: not collected"),EXACT(metadata!R404,"missing: not provided"),EXACT(metadata!R404,"missing: restricted access"))),AND(IF(metadata!R404="",FALSE,ISNUMBER(VALUE(metadata!R404))),metadata!R404&gt;=-90,metadata!R404&lt;=90))</f>
        <v>0</v>
      </c>
      <c r="BD404" t="b">
        <f>AND(IF(metadata!S404="",FALSE,TRUE),EXACT(metadata!S404,"Decimal degrees"))</f>
        <v>0</v>
      </c>
      <c r="BE404" t="b">
        <f>OR(AND(IF(metadata!T404="",FALSE,TRUE),OR(EXACT(metadata!T404,"missing: not collected"),EXACT(metadata!T404,"missing: not provided"),EXACT(metadata!T404,"missing: restricted access"))),AND(IF(metadata!T404="",FALSE,ISNUMBER(VALUE(metadata!T404))),metadata!T404&gt;=-180,metadata!T404&lt;=180))</f>
        <v>0</v>
      </c>
      <c r="BF404" t="b">
        <f>AND(IF(metadata!U404="",FALSE,TRUE),EXACT(metadata!U404,"Decimal degrees"))</f>
        <v>0</v>
      </c>
      <c r="BG404" t="b">
        <f>IF(metadata!V404="",FALSE,TRUE)</f>
        <v>0</v>
      </c>
      <c r="BH404" t="b">
        <f>OR(AND(IF(metadata!W404="",FALSE,TRUE),OR(EXACT(metadata!W404,"missing: not collected"),EXACT(metadata!W404,"missing: not provided"),EXACT(metadata!W404,"missing: restricted access"))),AND(IF(metadata!W404="",FALSE,TRUE),OR(EXACT(metadata!W404,"TRUE"),EXACT(metadata!W404,"FALSE"))))</f>
        <v>0</v>
      </c>
      <c r="BI404" t="b">
        <f>AND(IF(metadata!X404="",FALSE,TRUE),EXACT(metadata!X404,"other"))</f>
        <v>0</v>
      </c>
      <c r="BJ404" t="b">
        <f>IF(metadata!Y404="",FALSE,TRUE)</f>
        <v>0</v>
      </c>
      <c r="BK404" t="b">
        <f>OR(AND(IF(metadata!Z404="",FALSE,TRUE),OR(EXACT(metadata!Z404,"missing: not collected"),EXACT(metadata!Z404,"missing: not provided"))),AND(IF(metadata!Z404="",FALSE,IF(ISERROR(INT(metadata!Z404)),FALSE,INT(metadata!Z404)=metadata!Z404)),metadata!Z404&gt;0))</f>
        <v>0</v>
      </c>
      <c r="BL404" t="b">
        <f>AND(IF(metadata!AA404="",FALSE,TRUE),EXACT(metadata!AA404,"Not applicable"))</f>
        <v>0</v>
      </c>
      <c r="BM404" t="b">
        <f>IF(metadata!AB404="",FALSE,TRUE)</f>
        <v>0</v>
      </c>
    </row>
    <row r="405" spans="1:65" x14ac:dyDescent="0.2">
      <c r="A405" s="5" t="str">
        <f ca="1">IF(B405=" "," ",HYPERLINK(CONCATENATE("#metadata!",ADDRESS(INDEX($AH$2:$AH$1001,MATCH(ROWS($AF$2:AF405),$AF$2:$AF$1001,0),0),1)),INDEX($AK$2:$AK$1001,MATCH(ROWS($AF$2:AF405),$AF$2:$AF$1001,0),0)))</f>
        <v xml:space="preserve"> </v>
      </c>
      <c r="B405" s="4" t="str">
        <f ca="1">IF(OR(INDEX($AG$2:$AG$1001,MATCH(ROWS($AF$2:AF405),$AF$2:$AF$1001,0),1)&gt;=100000,INDEX($AM$1005:$BM$1005,1,MATCH(COLUMNS($AM$1006:AM1006),$AM$1006:$BM$1006,0))&gt;=100000), " ",IF(INDEX($AM$2:$BM$1001,MATCH(ROWS($AF$2:AF405),$AF$2:$AF$1001,0),MATCH(COLUMNS($AM$1006:AM1006),$AM$1006:$BM$1006,0)), HYPERLINK("#",""), HYPERLINK(CONCATENATE("#metadata!", ADDRESS(INDEX($AH$2:$AH$1001,MATCH(ROWS($AF$2:AF405),$AF$2:$AF$1001,0),0), INDEX($AM$1004:$BM$1004,1,MATCH(COLUMNS($AM$1006:AM1006),$AM$1006:$BM$1006,0)))),"Fix")))</f>
        <v xml:space="preserve"> </v>
      </c>
      <c r="C405" s="4" t="str">
        <f ca="1">IF(OR(INDEX($AG$2:$AG$1001,MATCH(ROWS($AF$2:AF405),$AF$2:$AF$1001,0),1)&gt;=100000,INDEX($AM$1005:$BM$1005,1,MATCH(COLUMNS($AM$1006:AN1006),$AM$1006:$BM$1006,0))&gt;=100000), " ",IF(INDEX($AM$2:$BM$1001,MATCH(ROWS($AF$2:AF405),$AF$2:$AF$1001,0),MATCH(COLUMNS($AM$1006:AN1006),$AM$1006:$BM$1006,0)), HYPERLINK("#",""), HYPERLINK(CONCATENATE("#metadata!", ADDRESS(INDEX($AH$2:$AH$1001,MATCH(ROWS($AF$2:AF405),$AF$2:$AF$1001,0),0), INDEX($AM$1004:$BM$1004,1,MATCH(COLUMNS($AM$1006:AN1006),$AM$1006:$BM$1006,0)))),"Fix")))</f>
        <v xml:space="preserve"> </v>
      </c>
      <c r="D405" s="4" t="str">
        <f ca="1">IF(OR(INDEX($AG$2:$AG$1001,MATCH(ROWS($AF$2:AF405),$AF$2:$AF$1001,0),1)&gt;=100000,INDEX($AM$1005:$BM$1005,1,MATCH(COLUMNS($AM$1006:AO1006),$AM$1006:$BM$1006,0))&gt;=100000), " ",IF(INDEX($AM$2:$BM$1001,MATCH(ROWS($AF$2:AF405),$AF$2:$AF$1001,0),MATCH(COLUMNS($AM$1006:AO1006),$AM$1006:$BM$1006,0)), HYPERLINK("#",""), HYPERLINK(CONCATENATE("#metadata!", ADDRESS(INDEX($AH$2:$AH$1001,MATCH(ROWS($AF$2:AF405),$AF$2:$AF$1001,0),0), INDEX($AM$1004:$BM$1004,1,MATCH(COLUMNS($AM$1006:AO1006),$AM$1006:$BM$1006,0)))),"Fix")))</f>
        <v xml:space="preserve"> </v>
      </c>
      <c r="E405" s="4" t="str">
        <f ca="1">IF(OR(INDEX($AG$2:$AG$1001,MATCH(ROWS($AF$2:AF405),$AF$2:$AF$1001,0),1)&gt;=100000,INDEX($AM$1005:$BM$1005,1,MATCH(COLUMNS($AM$1006:AP1006),$AM$1006:$BM$1006,0))&gt;=100000), " ",IF(INDEX($AM$2:$BM$1001,MATCH(ROWS($AF$2:AF405),$AF$2:$AF$1001,0),MATCH(COLUMNS($AM$1006:AP1006),$AM$1006:$BM$1006,0)), HYPERLINK("#",""), HYPERLINK(CONCATENATE("#metadata!", ADDRESS(INDEX($AH$2:$AH$1001,MATCH(ROWS($AF$2:AF405),$AF$2:$AF$1001,0),0), INDEX($AM$1004:$BM$1004,1,MATCH(COLUMNS($AM$1006:AP1006),$AM$1006:$BM$1006,0)))),"Fix")))</f>
        <v xml:space="preserve"> </v>
      </c>
      <c r="F405" s="4" t="str">
        <f ca="1">IF(OR(INDEX($AG$2:$AG$1001,MATCH(ROWS($AF$2:AF405),$AF$2:$AF$1001,0),1)&gt;=100000,INDEX($AM$1005:$BM$1005,1,MATCH(COLUMNS($AM$1006:AQ1006),$AM$1006:$BM$1006,0))&gt;=100000), " ",IF(INDEX($AM$2:$BM$1001,MATCH(ROWS($AF$2:AF405),$AF$2:$AF$1001,0),MATCH(COLUMNS($AM$1006:AQ1006),$AM$1006:$BM$1006,0)), HYPERLINK("#",""), HYPERLINK(CONCATENATE("#metadata!", ADDRESS(INDEX($AH$2:$AH$1001,MATCH(ROWS($AF$2:AF405),$AF$2:$AF$1001,0),0), INDEX($AM$1004:$BM$1004,1,MATCH(COLUMNS($AM$1006:AQ1006),$AM$1006:$BM$1006,0)))),"Fix")))</f>
        <v xml:space="preserve"> </v>
      </c>
      <c r="G405" s="4" t="str">
        <f ca="1">IF(OR(INDEX($AG$2:$AG$1001,MATCH(ROWS($AF$2:AF405),$AF$2:$AF$1001,0),1)&gt;=100000,INDEX($AM$1005:$BM$1005,1,MATCH(COLUMNS($AM$1006:AR1006),$AM$1006:$BM$1006,0))&gt;=100000), " ",IF(INDEX($AM$2:$BM$1001,MATCH(ROWS($AF$2:AF405),$AF$2:$AF$1001,0),MATCH(COLUMNS($AM$1006:AR1006),$AM$1006:$BM$1006,0)), HYPERLINK("#",""), HYPERLINK(CONCATENATE("#metadata!", ADDRESS(INDEX($AH$2:$AH$1001,MATCH(ROWS($AF$2:AF405),$AF$2:$AF$1001,0),0), INDEX($AM$1004:$BM$1004,1,MATCH(COLUMNS($AM$1006:AR1006),$AM$1006:$BM$1006,0)))),"Fix")))</f>
        <v xml:space="preserve"> </v>
      </c>
      <c r="H405" s="4" t="str">
        <f ca="1">IF(OR(INDEX($AG$2:$AG$1001,MATCH(ROWS($AF$2:AF405),$AF$2:$AF$1001,0),1)&gt;=100000,INDEX($AM$1005:$BM$1005,1,MATCH(COLUMNS($AM$1006:AS1006),$AM$1006:$BM$1006,0))&gt;=100000), " ",IF(INDEX($AM$2:$BM$1001,MATCH(ROWS($AF$2:AF405),$AF$2:$AF$1001,0),MATCH(COLUMNS($AM$1006:AS1006),$AM$1006:$BM$1006,0)), HYPERLINK("#",""), HYPERLINK(CONCATENATE("#metadata!", ADDRESS(INDEX($AH$2:$AH$1001,MATCH(ROWS($AF$2:AF405),$AF$2:$AF$1001,0),0), INDEX($AM$1004:$BM$1004,1,MATCH(COLUMNS($AM$1006:AS1006),$AM$1006:$BM$1006,0)))),"Fix")))</f>
        <v xml:space="preserve"> </v>
      </c>
      <c r="I405" s="4" t="str">
        <f ca="1">IF(OR(INDEX($AG$2:$AG$1001,MATCH(ROWS($AF$2:AF405),$AF$2:$AF$1001,0),1)&gt;=100000,INDEX($AM$1005:$BM$1005,1,MATCH(COLUMNS($AM$1006:AT1006),$AM$1006:$BM$1006,0))&gt;=100000), " ",IF(INDEX($AM$2:$BM$1001,MATCH(ROWS($AF$2:AF405),$AF$2:$AF$1001,0),MATCH(COLUMNS($AM$1006:AT1006),$AM$1006:$BM$1006,0)), HYPERLINK("#",""), HYPERLINK(CONCATENATE("#metadata!", ADDRESS(INDEX($AH$2:$AH$1001,MATCH(ROWS($AF$2:AF405),$AF$2:$AF$1001,0),0), INDEX($AM$1004:$BM$1004,1,MATCH(COLUMNS($AM$1006:AT1006),$AM$1006:$BM$1006,0)))),"Fix")))</f>
        <v xml:space="preserve"> </v>
      </c>
      <c r="J405" s="4" t="str">
        <f ca="1">IF(OR(INDEX($AG$2:$AG$1001,MATCH(ROWS($AF$2:AF405),$AF$2:$AF$1001,0),1)&gt;=100000,INDEX($AM$1005:$BM$1005,1,MATCH(COLUMNS($AM$1006:AU1006),$AM$1006:$BM$1006,0))&gt;=100000), " ",IF(INDEX($AM$2:$BM$1001,MATCH(ROWS($AF$2:AF405),$AF$2:$AF$1001,0),MATCH(COLUMNS($AM$1006:AU1006),$AM$1006:$BM$1006,0)), HYPERLINK("#",""), HYPERLINK(CONCATENATE("#metadata!", ADDRESS(INDEX($AH$2:$AH$1001,MATCH(ROWS($AF$2:AF405),$AF$2:$AF$1001,0),0), INDEX($AM$1004:$BM$1004,1,MATCH(COLUMNS($AM$1006:AU1006),$AM$1006:$BM$1006,0)))),"Fix")))</f>
        <v xml:space="preserve"> </v>
      </c>
      <c r="K405" s="4" t="str">
        <f ca="1">IF(OR(INDEX($AG$2:$AG$1001,MATCH(ROWS($AF$2:AF405),$AF$2:$AF$1001,0),1)&gt;=100000,INDEX($AM$1005:$BM$1005,1,MATCH(COLUMNS($AM$1006:AV1006),$AM$1006:$BM$1006,0))&gt;=100000), " ",IF(INDEX($AM$2:$BM$1001,MATCH(ROWS($AF$2:AF405),$AF$2:$AF$1001,0),MATCH(COLUMNS($AM$1006:AV1006),$AM$1006:$BM$1006,0)), HYPERLINK("#",""), HYPERLINK(CONCATENATE("#metadata!", ADDRESS(INDEX($AH$2:$AH$1001,MATCH(ROWS($AF$2:AF405),$AF$2:$AF$1001,0),0), INDEX($AM$1004:$BM$1004,1,MATCH(COLUMNS($AM$1006:AV1006),$AM$1006:$BM$1006,0)))),"Fix")))</f>
        <v xml:space="preserve"> </v>
      </c>
      <c r="L405" s="4" t="str">
        <f ca="1">IF(OR(INDEX($AG$2:$AG$1001,MATCH(ROWS($AF$2:AF405),$AF$2:$AF$1001,0),1)&gt;=100000,INDEX($AM$1005:$BM$1005,1,MATCH(COLUMNS($AM$1006:AW1006),$AM$1006:$BM$1006,0))&gt;=100000), " ",IF(INDEX($AM$2:$BM$1001,MATCH(ROWS($AF$2:AF405),$AF$2:$AF$1001,0),MATCH(COLUMNS($AM$1006:AW1006),$AM$1006:$BM$1006,0)), HYPERLINK("#",""), HYPERLINK(CONCATENATE("#metadata!", ADDRESS(INDEX($AH$2:$AH$1001,MATCH(ROWS($AF$2:AF405),$AF$2:$AF$1001,0),0), INDEX($AM$1004:$BM$1004,1,MATCH(COLUMNS($AM$1006:AW1006),$AM$1006:$BM$1006,0)))),"Fix")))</f>
        <v xml:space="preserve"> </v>
      </c>
      <c r="M405" s="4" t="str">
        <f ca="1">IF(OR(INDEX($AG$2:$AG$1001,MATCH(ROWS($AF$2:AF405),$AF$2:$AF$1001,0),1)&gt;=100000,INDEX($AM$1005:$BM$1005,1,MATCH(COLUMNS($AM$1006:AX1006),$AM$1006:$BM$1006,0))&gt;=100000), " ",IF(INDEX($AM$2:$BM$1001,MATCH(ROWS($AF$2:AF405),$AF$2:$AF$1001,0),MATCH(COLUMNS($AM$1006:AX1006),$AM$1006:$BM$1006,0)), HYPERLINK("#",""), HYPERLINK(CONCATENATE("#metadata!", ADDRESS(INDEX($AH$2:$AH$1001,MATCH(ROWS($AF$2:AF405),$AF$2:$AF$1001,0),0), INDEX($AM$1004:$BM$1004,1,MATCH(COLUMNS($AM$1006:AX1006),$AM$1006:$BM$1006,0)))),"Fix")))</f>
        <v xml:space="preserve"> </v>
      </c>
      <c r="N405" s="4" t="str">
        <f ca="1">IF(OR(INDEX($AG$2:$AG$1001,MATCH(ROWS($AF$2:AF405),$AF$2:$AF$1001,0),1)&gt;=100000,INDEX($AM$1005:$BM$1005,1,MATCH(COLUMNS($AM$1006:AY1006),$AM$1006:$BM$1006,0))&gt;=100000), " ",IF(INDEX($AM$2:$BM$1001,MATCH(ROWS($AF$2:AF405),$AF$2:$AF$1001,0),MATCH(COLUMNS($AM$1006:AY1006),$AM$1006:$BM$1006,0)), HYPERLINK("#",""), HYPERLINK(CONCATENATE("#metadata!", ADDRESS(INDEX($AH$2:$AH$1001,MATCH(ROWS($AF$2:AF405),$AF$2:$AF$1001,0),0), INDEX($AM$1004:$BM$1004,1,MATCH(COLUMNS($AM$1006:AY1006),$AM$1006:$BM$1006,0)))),"Fix")))</f>
        <v xml:space="preserve"> </v>
      </c>
      <c r="O405" s="4" t="str">
        <f ca="1">IF(OR(INDEX($AG$2:$AG$1001,MATCH(ROWS($AF$2:AF405),$AF$2:$AF$1001,0),1)&gt;=100000,INDEX($AM$1005:$BM$1005,1,MATCH(COLUMNS($AM$1006:AZ1006),$AM$1006:$BM$1006,0))&gt;=100000), " ",IF(INDEX($AM$2:$BM$1001,MATCH(ROWS($AF$2:AF405),$AF$2:$AF$1001,0),MATCH(COLUMNS($AM$1006:AZ1006),$AM$1006:$BM$1006,0)), HYPERLINK("#",""), HYPERLINK(CONCATENATE("#metadata!", ADDRESS(INDEX($AH$2:$AH$1001,MATCH(ROWS($AF$2:AF405),$AF$2:$AF$1001,0),0), INDEX($AM$1004:$BM$1004,1,MATCH(COLUMNS($AM$1006:AZ1006),$AM$1006:$BM$1006,0)))),"Fix")))</f>
        <v xml:space="preserve"> </v>
      </c>
      <c r="P405" s="4" t="str">
        <f ca="1">IF(OR(INDEX($AG$2:$AG$1001,MATCH(ROWS($AF$2:AF405),$AF$2:$AF$1001,0),1)&gt;=100000,INDEX($AM$1005:$BM$1005,1,MATCH(COLUMNS($AM$1006:BA1006),$AM$1006:$BM$1006,0))&gt;=100000), " ",IF(INDEX($AM$2:$BM$1001,MATCH(ROWS($AF$2:AF405),$AF$2:$AF$1001,0),MATCH(COLUMNS($AM$1006:BA1006),$AM$1006:$BM$1006,0)), HYPERLINK("#",""), HYPERLINK(CONCATENATE("#metadata!", ADDRESS(INDEX($AH$2:$AH$1001,MATCH(ROWS($AF$2:AF405),$AF$2:$AF$1001,0),0), INDEX($AM$1004:$BM$1004,1,MATCH(COLUMNS($AM$1006:BA1006),$AM$1006:$BM$1006,0)))),"Fix")))</f>
        <v xml:space="preserve"> </v>
      </c>
      <c r="Q405" s="4" t="str">
        <f ca="1">IF(OR(INDEX($AG$2:$AG$1001,MATCH(ROWS($AF$2:AF405),$AF$2:$AF$1001,0),1)&gt;=100000,INDEX($AM$1005:$BM$1005,1,MATCH(COLUMNS($AM$1006:BB1006),$AM$1006:$BM$1006,0))&gt;=100000), " ",IF(INDEX($AM$2:$BM$1001,MATCH(ROWS($AF$2:AF405),$AF$2:$AF$1001,0),MATCH(COLUMNS($AM$1006:BB1006),$AM$1006:$BM$1006,0)), HYPERLINK("#",""), HYPERLINK(CONCATENATE("#metadata!", ADDRESS(INDEX($AH$2:$AH$1001,MATCH(ROWS($AF$2:AF405),$AF$2:$AF$1001,0),0), INDEX($AM$1004:$BM$1004,1,MATCH(COLUMNS($AM$1006:BB1006),$AM$1006:$BM$1006,0)))),"Fix")))</f>
        <v xml:space="preserve"> </v>
      </c>
      <c r="R405" s="4" t="str">
        <f ca="1">IF(OR(INDEX($AG$2:$AG$1001,MATCH(ROWS($AF$2:AF405),$AF$2:$AF$1001,0),1)&gt;=100000,INDEX($AM$1005:$BM$1005,1,MATCH(COLUMNS($AM$1006:BC1006),$AM$1006:$BM$1006,0))&gt;=100000), " ",IF(INDEX($AM$2:$BM$1001,MATCH(ROWS($AF$2:AF405),$AF$2:$AF$1001,0),MATCH(COLUMNS($AM$1006:BC1006),$AM$1006:$BM$1006,0)), HYPERLINK("#",""), HYPERLINK(CONCATENATE("#metadata!", ADDRESS(INDEX($AH$2:$AH$1001,MATCH(ROWS($AF$2:AF405),$AF$2:$AF$1001,0),0), INDEX($AM$1004:$BM$1004,1,MATCH(COLUMNS($AM$1006:BC1006),$AM$1006:$BM$1006,0)))),"Fix")))</f>
        <v xml:space="preserve"> </v>
      </c>
      <c r="S405" s="4" t="str">
        <f ca="1">IF(OR(INDEX($AG$2:$AG$1001,MATCH(ROWS($AF$2:AF405),$AF$2:$AF$1001,0),1)&gt;=100000,INDEX($AM$1005:$BM$1005,1,MATCH(COLUMNS($AM$1006:BD1006),$AM$1006:$BM$1006,0))&gt;=100000), " ",IF(INDEX($AM$2:$BM$1001,MATCH(ROWS($AF$2:AF405),$AF$2:$AF$1001,0),MATCH(COLUMNS($AM$1006:BD1006),$AM$1006:$BM$1006,0)), HYPERLINK("#",""), HYPERLINK(CONCATENATE("#metadata!", ADDRESS(INDEX($AH$2:$AH$1001,MATCH(ROWS($AF$2:AF405),$AF$2:$AF$1001,0),0), INDEX($AM$1004:$BM$1004,1,MATCH(COLUMNS($AM$1006:BD1006),$AM$1006:$BM$1006,0)))),"Fix")))</f>
        <v xml:space="preserve"> </v>
      </c>
      <c r="T405" s="4" t="str">
        <f ca="1">IF(OR(INDEX($AG$2:$AG$1001,MATCH(ROWS($AF$2:AF405),$AF$2:$AF$1001,0),1)&gt;=100000,INDEX($AM$1005:$BM$1005,1,MATCH(COLUMNS($AM$1006:BE1006),$AM$1006:$BM$1006,0))&gt;=100000), " ",IF(INDEX($AM$2:$BM$1001,MATCH(ROWS($AF$2:AF405),$AF$2:$AF$1001,0),MATCH(COLUMNS($AM$1006:BE1006),$AM$1006:$BM$1006,0)), HYPERLINK("#",""), HYPERLINK(CONCATENATE("#metadata!", ADDRESS(INDEX($AH$2:$AH$1001,MATCH(ROWS($AF$2:AF405),$AF$2:$AF$1001,0),0), INDEX($AM$1004:$BM$1004,1,MATCH(COLUMNS($AM$1006:BE1006),$AM$1006:$BM$1006,0)))),"Fix")))</f>
        <v xml:space="preserve"> </v>
      </c>
      <c r="U405" s="4" t="str">
        <f ca="1">IF(OR(INDEX($AG$2:$AG$1001,MATCH(ROWS($AF$2:AF405),$AF$2:$AF$1001,0),1)&gt;=100000,INDEX($AM$1005:$BM$1005,1,MATCH(COLUMNS($AM$1006:BF1006),$AM$1006:$BM$1006,0))&gt;=100000), " ",IF(INDEX($AM$2:$BM$1001,MATCH(ROWS($AF$2:AF405),$AF$2:$AF$1001,0),MATCH(COLUMNS($AM$1006:BF1006),$AM$1006:$BM$1006,0)), HYPERLINK("#",""), HYPERLINK(CONCATENATE("#metadata!", ADDRESS(INDEX($AH$2:$AH$1001,MATCH(ROWS($AF$2:AF405),$AF$2:$AF$1001,0),0), INDEX($AM$1004:$BM$1004,1,MATCH(COLUMNS($AM$1006:BF1006),$AM$1006:$BM$1006,0)))),"Fix")))</f>
        <v xml:space="preserve"> </v>
      </c>
      <c r="V405" s="4" t="str">
        <f ca="1">IF(OR(INDEX($AG$2:$AG$1001,MATCH(ROWS($AF$2:AF405),$AF$2:$AF$1001,0),1)&gt;=100000,INDEX($AM$1005:$BM$1005,1,MATCH(COLUMNS($AM$1006:BG1006),$AM$1006:$BM$1006,0))&gt;=100000), " ",IF(INDEX($AM$2:$BM$1001,MATCH(ROWS($AF$2:AF405),$AF$2:$AF$1001,0),MATCH(COLUMNS($AM$1006:BG1006),$AM$1006:$BM$1006,0)), HYPERLINK("#",""), HYPERLINK(CONCATENATE("#metadata!", ADDRESS(INDEX($AH$2:$AH$1001,MATCH(ROWS($AF$2:AF405),$AF$2:$AF$1001,0),0), INDEX($AM$1004:$BM$1004,1,MATCH(COLUMNS($AM$1006:BG1006),$AM$1006:$BM$1006,0)))),"Fix")))</f>
        <v xml:space="preserve"> </v>
      </c>
      <c r="W405" s="4" t="str">
        <f ca="1">IF(OR(INDEX($AG$2:$AG$1001,MATCH(ROWS($AF$2:AF405),$AF$2:$AF$1001,0),1)&gt;=100000,INDEX($AM$1005:$BM$1005,1,MATCH(COLUMNS($AM$1006:BH1006),$AM$1006:$BM$1006,0))&gt;=100000), " ",IF(INDEX($AM$2:$BM$1001,MATCH(ROWS($AF$2:AF405),$AF$2:$AF$1001,0),MATCH(COLUMNS($AM$1006:BH1006),$AM$1006:$BM$1006,0)), HYPERLINK("#",""), HYPERLINK(CONCATENATE("#metadata!", ADDRESS(INDEX($AH$2:$AH$1001,MATCH(ROWS($AF$2:AF405),$AF$2:$AF$1001,0),0), INDEX($AM$1004:$BM$1004,1,MATCH(COLUMNS($AM$1006:BH1006),$AM$1006:$BM$1006,0)))),"Fix")))</f>
        <v xml:space="preserve"> </v>
      </c>
      <c r="X405" s="4" t="str">
        <f ca="1">IF(OR(INDEX($AG$2:$AG$1001,MATCH(ROWS($AF$2:AF405),$AF$2:$AF$1001,0),1)&gt;=100000,INDEX($AM$1005:$BM$1005,1,MATCH(COLUMNS($AM$1006:BI1006),$AM$1006:$BM$1006,0))&gt;=100000), " ",IF(INDEX($AM$2:$BM$1001,MATCH(ROWS($AF$2:AF405),$AF$2:$AF$1001,0),MATCH(COLUMNS($AM$1006:BI1006),$AM$1006:$BM$1006,0)), HYPERLINK("#",""), HYPERLINK(CONCATENATE("#metadata!", ADDRESS(INDEX($AH$2:$AH$1001,MATCH(ROWS($AF$2:AF405),$AF$2:$AF$1001,0),0), INDEX($AM$1004:$BM$1004,1,MATCH(COLUMNS($AM$1006:BI1006),$AM$1006:$BM$1006,0)))),"Fix")))</f>
        <v xml:space="preserve"> </v>
      </c>
      <c r="Y405" s="4" t="str">
        <f ca="1">IF(OR(INDEX($AG$2:$AG$1001,MATCH(ROWS($AF$2:AF405),$AF$2:$AF$1001,0),1)&gt;=100000,INDEX($AM$1005:$BM$1005,1,MATCH(COLUMNS($AM$1006:BJ1006),$AM$1006:$BM$1006,0))&gt;=100000), " ",IF(INDEX($AM$2:$BM$1001,MATCH(ROWS($AF$2:AF405),$AF$2:$AF$1001,0),MATCH(COLUMNS($AM$1006:BJ1006),$AM$1006:$BM$1006,0)), HYPERLINK("#",""), HYPERLINK(CONCATENATE("#metadata!", ADDRESS(INDEX($AH$2:$AH$1001,MATCH(ROWS($AF$2:AF405),$AF$2:$AF$1001,0),0), INDEX($AM$1004:$BM$1004,1,MATCH(COLUMNS($AM$1006:BJ1006),$AM$1006:$BM$1006,0)))),"Fix")))</f>
        <v xml:space="preserve"> </v>
      </c>
      <c r="Z405" s="4" t="str">
        <f ca="1">IF(OR(INDEX($AG$2:$AG$1001,MATCH(ROWS($AF$2:AF405),$AF$2:$AF$1001,0),1)&gt;=100000,INDEX($AM$1005:$BM$1005,1,MATCH(COLUMNS($AM$1006:BK1006),$AM$1006:$BM$1006,0))&gt;=100000), " ",IF(INDEX($AM$2:$BM$1001,MATCH(ROWS($AF$2:AF405),$AF$2:$AF$1001,0),MATCH(COLUMNS($AM$1006:BK1006),$AM$1006:$BM$1006,0)), HYPERLINK("#",""), HYPERLINK(CONCATENATE("#metadata!", ADDRESS(INDEX($AH$2:$AH$1001,MATCH(ROWS($AF$2:AF405),$AF$2:$AF$1001,0),0), INDEX($AM$1004:$BM$1004,1,MATCH(COLUMNS($AM$1006:BK1006),$AM$1006:$BM$1006,0)))),"Fix")))</f>
        <v xml:space="preserve"> </v>
      </c>
      <c r="AA405" s="4" t="str">
        <f ca="1">IF(OR(INDEX($AG$2:$AG$1001,MATCH(ROWS($AF$2:AF405),$AF$2:$AF$1001,0),1)&gt;=100000,INDEX($AM$1005:$BM$1005,1,MATCH(COLUMNS($AM$1006:BL1006),$AM$1006:$BM$1006,0))&gt;=100000), " ",IF(INDEX($AM$2:$BM$1001,MATCH(ROWS($AF$2:AF405),$AF$2:$AF$1001,0),MATCH(COLUMNS($AM$1006:BL1006),$AM$1006:$BM$1006,0)), HYPERLINK("#",""), HYPERLINK(CONCATENATE("#metadata!", ADDRESS(INDEX($AH$2:$AH$1001,MATCH(ROWS($AF$2:AF405),$AF$2:$AF$1001,0),0), INDEX($AM$1004:$BM$1004,1,MATCH(COLUMNS($AM$1006:BL1006),$AM$1006:$BM$1006,0)))),"Fix")))</f>
        <v xml:space="preserve"> </v>
      </c>
      <c r="AB405" s="4" t="str">
        <f ca="1">IF(OR(INDEX($AG$2:$AG$1001,MATCH(ROWS($AF$2:AF405),$AF$2:$AF$1001,0),1)&gt;=100000,INDEX($AM$1005:$BM$1005,1,MATCH(COLUMNS($AM$1006:BM1006),$AM$1006:$BM$1006,0))&gt;=100000), " ",IF(INDEX($AM$2:$BM$1001,MATCH(ROWS($AF$2:AF405),$AF$2:$AF$1001,0),MATCH(COLUMNS($AM$1006:BM1006),$AM$1006:$BM$1006,0)), HYPERLINK("#",""), HYPERLINK(CONCATENATE("#metadata!", ADDRESS(INDEX($AH$2:$AH$1001,MATCH(ROWS($AF$2:AF405),$AF$2:$AF$1001,0),0), INDEX($AM$1004:$BM$1004,1,MATCH(COLUMNS($AM$1006:BM1006),$AM$1006:$BM$1006,0)))),"Fix")))</f>
        <v xml:space="preserve"> </v>
      </c>
      <c r="AF405">
        <v>404</v>
      </c>
      <c r="AG405">
        <v>100405</v>
      </c>
      <c r="AH405">
        <v>405</v>
      </c>
      <c r="AI405" t="b">
        <f t="shared" si="6"/>
        <v>1</v>
      </c>
      <c r="AJ405" t="b">
        <f>COUNTBLANK(metadata!B405:AB405)=COLUMNS(metadata!B405:AB405)</f>
        <v>1</v>
      </c>
      <c r="AK405" t="str">
        <v/>
      </c>
      <c r="AM405" t="b">
        <f ca="1">AND(IF(metadata!B405="",FALSE,TRUE),COUNTIF(metadata!B:B, metadata!B405) = 1,NOT(ISERROR(SUMPRODUCT(SEARCH(MID(metadata!B405,ROW(INDIRECT("1:"&amp;LEN(metadata!B405))), 1),"0123456789abcdefghijklmnopqrstuvwxyzABCDEFGHIJKLMNOPQRSTUVWXYZ.")))))</f>
        <v>0</v>
      </c>
      <c r="AN405" t="b">
        <f ca="1">OR(AND(IF(metadata!C405="",FALSE,TRUE),OR(EXACT(metadata!C405,"missing: not collected"),EXACT(metadata!C405,"missing: not provided"),EXACT(metadata!C405,"missing: restricted access"))),AND(IF(metadata!C405="",FALSE,TRUE),AND(AND(IFERROR(INT(LEFT(metadata!C405,4))&gt;1900,FALSE),IFERROR(INT(LEFT(metadata!C405,4))&lt;=YEAR(NOW()),FALSE)), OR(MID(metadata!C405,5,1)="", AND(AND(MID(metadata!C405,5,1)="-",IFERROR(INT(MID(metadata!C405,6,1))&gt;=0,FALSE),IFERROR(INT(MID(metadata!C405,6,1))&lt;=1,FALSE),NOT(MID(metadata!C405,7,1)=""),IFERROR(INT(MID(metadata!C405,6,2))&gt;=1,FALSE),IFERROR(INT(MID(metadata!C405,6,2))&lt;=12,FALSE)), OR(MID(metadata!C405,8,1)="", AND(AND(MID(metadata!C405,8,1)="-",IFERROR(INT(MID(metadata!C405,9,1))&gt;=0,FALSE),IFERROR(INT(MID(metadata!C405,9,1))&lt;=3,FALSE),NOT(MID(metadata!C405,10,1)=""),IFERROR(INT(MID(metadata!C405,9,2))&gt;=1,FALSE),IFERROR(INT(MID(metadata!C405,9,2))&lt;=31,FALSE)), OR(MID(metadata!C405,11,1)="", AND(AND(MID(metadata!C405,11,1)=" ",IFERROR(INT(MID(metadata!C405,12,1))&gt;=0,FALSE),IFERROR(INT(MID(metadata!C405,12,1))&lt;=2,FALSE),NOT(MID(metadata!C405,13,1)=""),IFERROR(INT(MID(metadata!C405,12,2))&gt;=0,FALSE),IFERROR(INT(MID(metadata!C405,12,2))&lt;=23,FALSE)), OR(MID(metadata!C405,14,1)="", AND(AND(MID(metadata!C405,14,1)=":",IFERROR(INT(MID(metadata!C405,15,1))&gt;=0,FALSE),IFERROR(INT(MID(metadata!C405,15,1))&lt;=5,FALSE),NOT(MID(metadata!C405,16,1)=""),IFERROR(INT(MID(metadata!C405,15,2))&gt;=0,FALSE),IFERROR(INT(MID(metadata!C405,15,2))&lt;=59,FALSE)), OR(MID(metadata!C405,17,1)="", AND(AND(MID(metadata!C405,17,1)=":",IFERROR(INT(MID(metadata!C405,18,1))&gt;=0,FALSE),IFERROR(INT(MID(metadata!C405,18,1))&lt;=5,FALSE),NOT(MID(metadata!C405,19,1)=""),IFERROR(INT(MID(metadata!C405,18,2))&gt;=0,FALSE),IFERROR(INT(MID(metadata!C405,18,2))&lt;=59,FALSE)), LEN(metadata!C405)&lt;=19)))))))))))))</f>
        <v>0</v>
      </c>
      <c r="AO405" t="b">
        <f>AND(IF(metadata!D405="",FALSE,TRUE),EXACT(metadata!D405,"Not applicable"))</f>
        <v>0</v>
      </c>
      <c r="AP405" t="b">
        <f>IF(metadata!E405="",FALSE,TRUE)</f>
        <v>0</v>
      </c>
      <c r="AQ405" t="b">
        <f>OR(AND(IF(metadata!F405="",FALSE,TRUE),OR(EXACT(metadata!F405,"missing: not collected"),EXACT(metadata!F405,"missing: not provided"))),AND(IF(metadata!F405="",FALSE,TRUE),OR(EXACT(metadata!F405,"TRUE"),EXACT(metadata!F405,"FALSE"))))</f>
        <v>0</v>
      </c>
      <c r="AR405" t="b">
        <f>OR(AND(IF(metadata!G405="",FALSE,TRUE),OR(EXACT(metadata!G405,"missing: not collected"),EXACT(metadata!G405,"missing: not provided"),EXACT(metadata!G405,"missing: restricted access"))),AND(IF(metadata!G405="",FALSE,ISNUMBER(VALUE(metadata!G405))),metadata!G405&gt;=-413))</f>
        <v>0</v>
      </c>
      <c r="AS405" t="b">
        <f>AND(IF(metadata!H405="",FALSE,TRUE),EXACT(metadata!H405,"meters"))</f>
        <v>0</v>
      </c>
      <c r="AT405" t="b">
        <f>AND(IF(metadata!I405="",FALSE,TRUE),OR(EXACT(metadata!I405,"Host-associated"),EXACT(metadata!I405,"Free-living")))</f>
        <v>0</v>
      </c>
      <c r="AU405" t="b">
        <f>AND(IF(metadata!J405="",FALSE,TRUE),OR(EXACT(metadata!J405,"Animal"),EXACT(metadata!J405,"Fungus"),EXACT(metadata!J405,"Plant"),EXACT(metadata!J405,"Saline"),EXACT(metadata!J405,"Non-saline")))</f>
        <v>0</v>
      </c>
      <c r="AV405" t="b">
        <f>AND(IF(metadata!K405="",FALSE,TRUE),OR(EXACT(metadata!K405,"Plant secretion"),EXACT(metadata!K405,"Plant rhizosphere"),EXACT(metadata!K405,"Plant surface"),EXACT(metadata!K405,"Plant corpus"),EXACT(metadata!K405,"Fungus surface"),EXACT(metadata!K405,"Fungus corpus"),EXACT(metadata!K405,"Animal surface"),EXACT(metadata!K405,"Animal proximal gut"),EXACT(metadata!K405,"Animal corpus"),EXACT(metadata!K405,"Animal distal gut"),EXACT(metadata!K405,"Animal secretion"),EXACT(metadata!K405,"Sub-surface (non-saline)"),EXACT(metadata!K405,"Surface (non-saline)"),EXACT(metadata!K405,"Water (non-saline)"),EXACT(metadata!K405,"Soil (non-saline)"),EXACT(metadata!K405,"Aerosol (non-saline)"),EXACT(metadata!K405,"Sediment (non-saline)"),EXACT(metadata!K405,"Surface (saline)"),EXACT(metadata!K405,"Water (saline)"),EXACT(metadata!K405,"Hypersaline (saline)"),EXACT(metadata!K405,"Aerosol (saline)"),EXACT(metadata!K405,"Sediment (saline)")))</f>
        <v>0</v>
      </c>
      <c r="AW405" t="b">
        <f>IF(metadata!L405="",FALSE,TRUE)</f>
        <v>0</v>
      </c>
      <c r="AX405" t="b">
        <f>IF(metadata!M405="",FALSE,TRUE)</f>
        <v>0</v>
      </c>
      <c r="AY405" t="b">
        <f>IF(metadata!N405="",FALSE,TRUE)</f>
        <v>0</v>
      </c>
      <c r="AZ405" t="b">
        <f>OR(AND(IF(metadata!O405="",FALSE,TRUE),OR(EXACT(metadata!O405,"missing: not collected"),EXACT(metadata!O405,"missing: not provided"),EXACT(metadata!O405,"missing: restricted access"))),AND(IF(metadata!O405="",FALSE,TRUE),OR(EXACT(metadata!O405,"air"),EXACT(metadata!O405,"built environment"),EXACT(metadata!O405,"host-associated"),EXACT(metadata!O405,"human-associated"),EXACT(metadata!O405,"human-skin"),EXACT(metadata!O405,"human-oral"),EXACT(metadata!O405,"human-gut"),EXACT(metadata!O405,"human-vaginal"),EXACT(metadata!O405,"microbial mat/biofilm"),EXACT(metadata!O405,"misc environment"),EXACT(metadata!O405,"plant-associated"),EXACT(metadata!O405,"sediment"),EXACT(metadata!O405,"soil"),EXACT(metadata!O405,"wastewater/sludge"),EXACT(metadata!O405,"water"))))</f>
        <v>0</v>
      </c>
      <c r="BA405" t="b">
        <f>IF(metadata!P405="",FALSE,TRUE)</f>
        <v>0</v>
      </c>
      <c r="BB405" t="b">
        <f>IF(metadata!Q405="",FALSE,TRUE)</f>
        <v>0</v>
      </c>
      <c r="BC405" t="b">
        <f>OR(AND(IF(metadata!R405="",FALSE,TRUE),OR(EXACT(metadata!R405,"missing: not collected"),EXACT(metadata!R405,"missing: not provided"),EXACT(metadata!R405,"missing: restricted access"))),AND(IF(metadata!R405="",FALSE,ISNUMBER(VALUE(metadata!R405))),metadata!R405&gt;=-90,metadata!R405&lt;=90))</f>
        <v>0</v>
      </c>
      <c r="BD405" t="b">
        <f>AND(IF(metadata!S405="",FALSE,TRUE),EXACT(metadata!S405,"Decimal degrees"))</f>
        <v>0</v>
      </c>
      <c r="BE405" t="b">
        <f>OR(AND(IF(metadata!T405="",FALSE,TRUE),OR(EXACT(metadata!T405,"missing: not collected"),EXACT(metadata!T405,"missing: not provided"),EXACT(metadata!T405,"missing: restricted access"))),AND(IF(metadata!T405="",FALSE,ISNUMBER(VALUE(metadata!T405))),metadata!T405&gt;=-180,metadata!T405&lt;=180))</f>
        <v>0</v>
      </c>
      <c r="BF405" t="b">
        <f>AND(IF(metadata!U405="",FALSE,TRUE),EXACT(metadata!U405,"Decimal degrees"))</f>
        <v>0</v>
      </c>
      <c r="BG405" t="b">
        <f>IF(metadata!V405="",FALSE,TRUE)</f>
        <v>0</v>
      </c>
      <c r="BH405" t="b">
        <f>OR(AND(IF(metadata!W405="",FALSE,TRUE),OR(EXACT(metadata!W405,"missing: not collected"),EXACT(metadata!W405,"missing: not provided"),EXACT(metadata!W405,"missing: restricted access"))),AND(IF(metadata!W405="",FALSE,TRUE),OR(EXACT(metadata!W405,"TRUE"),EXACT(metadata!W405,"FALSE"))))</f>
        <v>0</v>
      </c>
      <c r="BI405" t="b">
        <f>AND(IF(metadata!X405="",FALSE,TRUE),EXACT(metadata!X405,"other"))</f>
        <v>0</v>
      </c>
      <c r="BJ405" t="b">
        <f>IF(metadata!Y405="",FALSE,TRUE)</f>
        <v>0</v>
      </c>
      <c r="BK405" t="b">
        <f>OR(AND(IF(metadata!Z405="",FALSE,TRUE),OR(EXACT(metadata!Z405,"missing: not collected"),EXACT(metadata!Z405,"missing: not provided"))),AND(IF(metadata!Z405="",FALSE,IF(ISERROR(INT(metadata!Z405)),FALSE,INT(metadata!Z405)=metadata!Z405)),metadata!Z405&gt;0))</f>
        <v>0</v>
      </c>
      <c r="BL405" t="b">
        <f>AND(IF(metadata!AA405="",FALSE,TRUE),EXACT(metadata!AA405,"Not applicable"))</f>
        <v>0</v>
      </c>
      <c r="BM405" t="b">
        <f>IF(metadata!AB405="",FALSE,TRUE)</f>
        <v>0</v>
      </c>
    </row>
    <row r="406" spans="1:65" x14ac:dyDescent="0.2">
      <c r="A406" s="5" t="str">
        <f ca="1">IF(B406=" "," ",HYPERLINK(CONCATENATE("#metadata!",ADDRESS(INDEX($AH$2:$AH$1001,MATCH(ROWS($AF$2:AF406),$AF$2:$AF$1001,0),0),1)),INDEX($AK$2:$AK$1001,MATCH(ROWS($AF$2:AF406),$AF$2:$AF$1001,0),0)))</f>
        <v xml:space="preserve"> </v>
      </c>
      <c r="B406" s="4" t="str">
        <f ca="1">IF(OR(INDEX($AG$2:$AG$1001,MATCH(ROWS($AF$2:AF406),$AF$2:$AF$1001,0),1)&gt;=100000,INDEX($AM$1005:$BM$1005,1,MATCH(COLUMNS($AM$1006:AM1006),$AM$1006:$BM$1006,0))&gt;=100000), " ",IF(INDEX($AM$2:$BM$1001,MATCH(ROWS($AF$2:AF406),$AF$2:$AF$1001,0),MATCH(COLUMNS($AM$1006:AM1006),$AM$1006:$BM$1006,0)), HYPERLINK("#",""), HYPERLINK(CONCATENATE("#metadata!", ADDRESS(INDEX($AH$2:$AH$1001,MATCH(ROWS($AF$2:AF406),$AF$2:$AF$1001,0),0), INDEX($AM$1004:$BM$1004,1,MATCH(COLUMNS($AM$1006:AM1006),$AM$1006:$BM$1006,0)))),"Fix")))</f>
        <v xml:space="preserve"> </v>
      </c>
      <c r="C406" s="4" t="str">
        <f ca="1">IF(OR(INDEX($AG$2:$AG$1001,MATCH(ROWS($AF$2:AF406),$AF$2:$AF$1001,0),1)&gt;=100000,INDEX($AM$1005:$BM$1005,1,MATCH(COLUMNS($AM$1006:AN1006),$AM$1006:$BM$1006,0))&gt;=100000), " ",IF(INDEX($AM$2:$BM$1001,MATCH(ROWS($AF$2:AF406),$AF$2:$AF$1001,0),MATCH(COLUMNS($AM$1006:AN1006),$AM$1006:$BM$1006,0)), HYPERLINK("#",""), HYPERLINK(CONCATENATE("#metadata!", ADDRESS(INDEX($AH$2:$AH$1001,MATCH(ROWS($AF$2:AF406),$AF$2:$AF$1001,0),0), INDEX($AM$1004:$BM$1004,1,MATCH(COLUMNS($AM$1006:AN1006),$AM$1006:$BM$1006,0)))),"Fix")))</f>
        <v xml:space="preserve"> </v>
      </c>
      <c r="D406" s="4" t="str">
        <f ca="1">IF(OR(INDEX($AG$2:$AG$1001,MATCH(ROWS($AF$2:AF406),$AF$2:$AF$1001,0),1)&gt;=100000,INDEX($AM$1005:$BM$1005,1,MATCH(COLUMNS($AM$1006:AO1006),$AM$1006:$BM$1006,0))&gt;=100000), " ",IF(INDEX($AM$2:$BM$1001,MATCH(ROWS($AF$2:AF406),$AF$2:$AF$1001,0),MATCH(COLUMNS($AM$1006:AO1006),$AM$1006:$BM$1006,0)), HYPERLINK("#",""), HYPERLINK(CONCATENATE("#metadata!", ADDRESS(INDEX($AH$2:$AH$1001,MATCH(ROWS($AF$2:AF406),$AF$2:$AF$1001,0),0), INDEX($AM$1004:$BM$1004,1,MATCH(COLUMNS($AM$1006:AO1006),$AM$1006:$BM$1006,0)))),"Fix")))</f>
        <v xml:space="preserve"> </v>
      </c>
      <c r="E406" s="4" t="str">
        <f ca="1">IF(OR(INDEX($AG$2:$AG$1001,MATCH(ROWS($AF$2:AF406),$AF$2:$AF$1001,0),1)&gt;=100000,INDEX($AM$1005:$BM$1005,1,MATCH(COLUMNS($AM$1006:AP1006),$AM$1006:$BM$1006,0))&gt;=100000), " ",IF(INDEX($AM$2:$BM$1001,MATCH(ROWS($AF$2:AF406),$AF$2:$AF$1001,0),MATCH(COLUMNS($AM$1006:AP1006),$AM$1006:$BM$1006,0)), HYPERLINK("#",""), HYPERLINK(CONCATENATE("#metadata!", ADDRESS(INDEX($AH$2:$AH$1001,MATCH(ROWS($AF$2:AF406),$AF$2:$AF$1001,0),0), INDEX($AM$1004:$BM$1004,1,MATCH(COLUMNS($AM$1006:AP1006),$AM$1006:$BM$1006,0)))),"Fix")))</f>
        <v xml:space="preserve"> </v>
      </c>
      <c r="F406" s="4" t="str">
        <f ca="1">IF(OR(INDEX($AG$2:$AG$1001,MATCH(ROWS($AF$2:AF406),$AF$2:$AF$1001,0),1)&gt;=100000,INDEX($AM$1005:$BM$1005,1,MATCH(COLUMNS($AM$1006:AQ1006),$AM$1006:$BM$1006,0))&gt;=100000), " ",IF(INDEX($AM$2:$BM$1001,MATCH(ROWS($AF$2:AF406),$AF$2:$AF$1001,0),MATCH(COLUMNS($AM$1006:AQ1006),$AM$1006:$BM$1006,0)), HYPERLINK("#",""), HYPERLINK(CONCATENATE("#metadata!", ADDRESS(INDEX($AH$2:$AH$1001,MATCH(ROWS($AF$2:AF406),$AF$2:$AF$1001,0),0), INDEX($AM$1004:$BM$1004,1,MATCH(COLUMNS($AM$1006:AQ1006),$AM$1006:$BM$1006,0)))),"Fix")))</f>
        <v xml:space="preserve"> </v>
      </c>
      <c r="G406" s="4" t="str">
        <f ca="1">IF(OR(INDEX($AG$2:$AG$1001,MATCH(ROWS($AF$2:AF406),$AF$2:$AF$1001,0),1)&gt;=100000,INDEX($AM$1005:$BM$1005,1,MATCH(COLUMNS($AM$1006:AR1006),$AM$1006:$BM$1006,0))&gt;=100000), " ",IF(INDEX($AM$2:$BM$1001,MATCH(ROWS($AF$2:AF406),$AF$2:$AF$1001,0),MATCH(COLUMNS($AM$1006:AR1006),$AM$1006:$BM$1006,0)), HYPERLINK("#",""), HYPERLINK(CONCATENATE("#metadata!", ADDRESS(INDEX($AH$2:$AH$1001,MATCH(ROWS($AF$2:AF406),$AF$2:$AF$1001,0),0), INDEX($AM$1004:$BM$1004,1,MATCH(COLUMNS($AM$1006:AR1006),$AM$1006:$BM$1006,0)))),"Fix")))</f>
        <v xml:space="preserve"> </v>
      </c>
      <c r="H406" s="4" t="str">
        <f ca="1">IF(OR(INDEX($AG$2:$AG$1001,MATCH(ROWS($AF$2:AF406),$AF$2:$AF$1001,0),1)&gt;=100000,INDEX($AM$1005:$BM$1005,1,MATCH(COLUMNS($AM$1006:AS1006),$AM$1006:$BM$1006,0))&gt;=100000), " ",IF(INDEX($AM$2:$BM$1001,MATCH(ROWS($AF$2:AF406),$AF$2:$AF$1001,0),MATCH(COLUMNS($AM$1006:AS1006),$AM$1006:$BM$1006,0)), HYPERLINK("#",""), HYPERLINK(CONCATENATE("#metadata!", ADDRESS(INDEX($AH$2:$AH$1001,MATCH(ROWS($AF$2:AF406),$AF$2:$AF$1001,0),0), INDEX($AM$1004:$BM$1004,1,MATCH(COLUMNS($AM$1006:AS1006),$AM$1006:$BM$1006,0)))),"Fix")))</f>
        <v xml:space="preserve"> </v>
      </c>
      <c r="I406" s="4" t="str">
        <f ca="1">IF(OR(INDEX($AG$2:$AG$1001,MATCH(ROWS($AF$2:AF406),$AF$2:$AF$1001,0),1)&gt;=100000,INDEX($AM$1005:$BM$1005,1,MATCH(COLUMNS($AM$1006:AT1006),$AM$1006:$BM$1006,0))&gt;=100000), " ",IF(INDEX($AM$2:$BM$1001,MATCH(ROWS($AF$2:AF406),$AF$2:$AF$1001,0),MATCH(COLUMNS($AM$1006:AT1006),$AM$1006:$BM$1006,0)), HYPERLINK("#",""), HYPERLINK(CONCATENATE("#metadata!", ADDRESS(INDEX($AH$2:$AH$1001,MATCH(ROWS($AF$2:AF406),$AF$2:$AF$1001,0),0), INDEX($AM$1004:$BM$1004,1,MATCH(COLUMNS($AM$1006:AT1006),$AM$1006:$BM$1006,0)))),"Fix")))</f>
        <v xml:space="preserve"> </v>
      </c>
      <c r="J406" s="4" t="str">
        <f ca="1">IF(OR(INDEX($AG$2:$AG$1001,MATCH(ROWS($AF$2:AF406),$AF$2:$AF$1001,0),1)&gt;=100000,INDEX($AM$1005:$BM$1005,1,MATCH(COLUMNS($AM$1006:AU1006),$AM$1006:$BM$1006,0))&gt;=100000), " ",IF(INDEX($AM$2:$BM$1001,MATCH(ROWS($AF$2:AF406),$AF$2:$AF$1001,0),MATCH(COLUMNS($AM$1006:AU1006),$AM$1006:$BM$1006,0)), HYPERLINK("#",""), HYPERLINK(CONCATENATE("#metadata!", ADDRESS(INDEX($AH$2:$AH$1001,MATCH(ROWS($AF$2:AF406),$AF$2:$AF$1001,0),0), INDEX($AM$1004:$BM$1004,1,MATCH(COLUMNS($AM$1006:AU1006),$AM$1006:$BM$1006,0)))),"Fix")))</f>
        <v xml:space="preserve"> </v>
      </c>
      <c r="K406" s="4" t="str">
        <f ca="1">IF(OR(INDEX($AG$2:$AG$1001,MATCH(ROWS($AF$2:AF406),$AF$2:$AF$1001,0),1)&gt;=100000,INDEX($AM$1005:$BM$1005,1,MATCH(COLUMNS($AM$1006:AV1006),$AM$1006:$BM$1006,0))&gt;=100000), " ",IF(INDEX($AM$2:$BM$1001,MATCH(ROWS($AF$2:AF406),$AF$2:$AF$1001,0),MATCH(COLUMNS($AM$1006:AV1006),$AM$1006:$BM$1006,0)), HYPERLINK("#",""), HYPERLINK(CONCATENATE("#metadata!", ADDRESS(INDEX($AH$2:$AH$1001,MATCH(ROWS($AF$2:AF406),$AF$2:$AF$1001,0),0), INDEX($AM$1004:$BM$1004,1,MATCH(COLUMNS($AM$1006:AV1006),$AM$1006:$BM$1006,0)))),"Fix")))</f>
        <v xml:space="preserve"> </v>
      </c>
      <c r="L406" s="4" t="str">
        <f ca="1">IF(OR(INDEX($AG$2:$AG$1001,MATCH(ROWS($AF$2:AF406),$AF$2:$AF$1001,0),1)&gt;=100000,INDEX($AM$1005:$BM$1005,1,MATCH(COLUMNS($AM$1006:AW1006),$AM$1006:$BM$1006,0))&gt;=100000), " ",IF(INDEX($AM$2:$BM$1001,MATCH(ROWS($AF$2:AF406),$AF$2:$AF$1001,0),MATCH(COLUMNS($AM$1006:AW1006),$AM$1006:$BM$1006,0)), HYPERLINK("#",""), HYPERLINK(CONCATENATE("#metadata!", ADDRESS(INDEX($AH$2:$AH$1001,MATCH(ROWS($AF$2:AF406),$AF$2:$AF$1001,0),0), INDEX($AM$1004:$BM$1004,1,MATCH(COLUMNS($AM$1006:AW1006),$AM$1006:$BM$1006,0)))),"Fix")))</f>
        <v xml:space="preserve"> </v>
      </c>
      <c r="M406" s="4" t="str">
        <f ca="1">IF(OR(INDEX($AG$2:$AG$1001,MATCH(ROWS($AF$2:AF406),$AF$2:$AF$1001,0),1)&gt;=100000,INDEX($AM$1005:$BM$1005,1,MATCH(COLUMNS($AM$1006:AX1006),$AM$1006:$BM$1006,0))&gt;=100000), " ",IF(INDEX($AM$2:$BM$1001,MATCH(ROWS($AF$2:AF406),$AF$2:$AF$1001,0),MATCH(COLUMNS($AM$1006:AX1006),$AM$1006:$BM$1006,0)), HYPERLINK("#",""), HYPERLINK(CONCATENATE("#metadata!", ADDRESS(INDEX($AH$2:$AH$1001,MATCH(ROWS($AF$2:AF406),$AF$2:$AF$1001,0),0), INDEX($AM$1004:$BM$1004,1,MATCH(COLUMNS($AM$1006:AX1006),$AM$1006:$BM$1006,0)))),"Fix")))</f>
        <v xml:space="preserve"> </v>
      </c>
      <c r="N406" s="4" t="str">
        <f ca="1">IF(OR(INDEX($AG$2:$AG$1001,MATCH(ROWS($AF$2:AF406),$AF$2:$AF$1001,0),1)&gt;=100000,INDEX($AM$1005:$BM$1005,1,MATCH(COLUMNS($AM$1006:AY1006),$AM$1006:$BM$1006,0))&gt;=100000), " ",IF(INDEX($AM$2:$BM$1001,MATCH(ROWS($AF$2:AF406),$AF$2:$AF$1001,0),MATCH(COLUMNS($AM$1006:AY1006),$AM$1006:$BM$1006,0)), HYPERLINK("#",""), HYPERLINK(CONCATENATE("#metadata!", ADDRESS(INDEX($AH$2:$AH$1001,MATCH(ROWS($AF$2:AF406),$AF$2:$AF$1001,0),0), INDEX($AM$1004:$BM$1004,1,MATCH(COLUMNS($AM$1006:AY1006),$AM$1006:$BM$1006,0)))),"Fix")))</f>
        <v xml:space="preserve"> </v>
      </c>
      <c r="O406" s="4" t="str">
        <f ca="1">IF(OR(INDEX($AG$2:$AG$1001,MATCH(ROWS($AF$2:AF406),$AF$2:$AF$1001,0),1)&gt;=100000,INDEX($AM$1005:$BM$1005,1,MATCH(COLUMNS($AM$1006:AZ1006),$AM$1006:$BM$1006,0))&gt;=100000), " ",IF(INDEX($AM$2:$BM$1001,MATCH(ROWS($AF$2:AF406),$AF$2:$AF$1001,0),MATCH(COLUMNS($AM$1006:AZ1006),$AM$1006:$BM$1006,0)), HYPERLINK("#",""), HYPERLINK(CONCATENATE("#metadata!", ADDRESS(INDEX($AH$2:$AH$1001,MATCH(ROWS($AF$2:AF406),$AF$2:$AF$1001,0),0), INDEX($AM$1004:$BM$1004,1,MATCH(COLUMNS($AM$1006:AZ1006),$AM$1006:$BM$1006,0)))),"Fix")))</f>
        <v xml:space="preserve"> </v>
      </c>
      <c r="P406" s="4" t="str">
        <f ca="1">IF(OR(INDEX($AG$2:$AG$1001,MATCH(ROWS($AF$2:AF406),$AF$2:$AF$1001,0),1)&gt;=100000,INDEX($AM$1005:$BM$1005,1,MATCH(COLUMNS($AM$1006:BA1006),$AM$1006:$BM$1006,0))&gt;=100000), " ",IF(INDEX($AM$2:$BM$1001,MATCH(ROWS($AF$2:AF406),$AF$2:$AF$1001,0),MATCH(COLUMNS($AM$1006:BA1006),$AM$1006:$BM$1006,0)), HYPERLINK("#",""), HYPERLINK(CONCATENATE("#metadata!", ADDRESS(INDEX($AH$2:$AH$1001,MATCH(ROWS($AF$2:AF406),$AF$2:$AF$1001,0),0), INDEX($AM$1004:$BM$1004,1,MATCH(COLUMNS($AM$1006:BA1006),$AM$1006:$BM$1006,0)))),"Fix")))</f>
        <v xml:space="preserve"> </v>
      </c>
      <c r="Q406" s="4" t="str">
        <f ca="1">IF(OR(INDEX($AG$2:$AG$1001,MATCH(ROWS($AF$2:AF406),$AF$2:$AF$1001,0),1)&gt;=100000,INDEX($AM$1005:$BM$1005,1,MATCH(COLUMNS($AM$1006:BB1006),$AM$1006:$BM$1006,0))&gt;=100000), " ",IF(INDEX($AM$2:$BM$1001,MATCH(ROWS($AF$2:AF406),$AF$2:$AF$1001,0),MATCH(COLUMNS($AM$1006:BB1006),$AM$1006:$BM$1006,0)), HYPERLINK("#",""), HYPERLINK(CONCATENATE("#metadata!", ADDRESS(INDEX($AH$2:$AH$1001,MATCH(ROWS($AF$2:AF406),$AF$2:$AF$1001,0),0), INDEX($AM$1004:$BM$1004,1,MATCH(COLUMNS($AM$1006:BB1006),$AM$1006:$BM$1006,0)))),"Fix")))</f>
        <v xml:space="preserve"> </v>
      </c>
      <c r="R406" s="4" t="str">
        <f ca="1">IF(OR(INDEX($AG$2:$AG$1001,MATCH(ROWS($AF$2:AF406),$AF$2:$AF$1001,0),1)&gt;=100000,INDEX($AM$1005:$BM$1005,1,MATCH(COLUMNS($AM$1006:BC1006),$AM$1006:$BM$1006,0))&gt;=100000), " ",IF(INDEX($AM$2:$BM$1001,MATCH(ROWS($AF$2:AF406),$AF$2:$AF$1001,0),MATCH(COLUMNS($AM$1006:BC1006),$AM$1006:$BM$1006,0)), HYPERLINK("#",""), HYPERLINK(CONCATENATE("#metadata!", ADDRESS(INDEX($AH$2:$AH$1001,MATCH(ROWS($AF$2:AF406),$AF$2:$AF$1001,0),0), INDEX($AM$1004:$BM$1004,1,MATCH(COLUMNS($AM$1006:BC1006),$AM$1006:$BM$1006,0)))),"Fix")))</f>
        <v xml:space="preserve"> </v>
      </c>
      <c r="S406" s="4" t="str">
        <f ca="1">IF(OR(INDEX($AG$2:$AG$1001,MATCH(ROWS($AF$2:AF406),$AF$2:$AF$1001,0),1)&gt;=100000,INDEX($AM$1005:$BM$1005,1,MATCH(COLUMNS($AM$1006:BD1006),$AM$1006:$BM$1006,0))&gt;=100000), " ",IF(INDEX($AM$2:$BM$1001,MATCH(ROWS($AF$2:AF406),$AF$2:$AF$1001,0),MATCH(COLUMNS($AM$1006:BD1006),$AM$1006:$BM$1006,0)), HYPERLINK("#",""), HYPERLINK(CONCATENATE("#metadata!", ADDRESS(INDEX($AH$2:$AH$1001,MATCH(ROWS($AF$2:AF406),$AF$2:$AF$1001,0),0), INDEX($AM$1004:$BM$1004,1,MATCH(COLUMNS($AM$1006:BD1006),$AM$1006:$BM$1006,0)))),"Fix")))</f>
        <v xml:space="preserve"> </v>
      </c>
      <c r="T406" s="4" t="str">
        <f ca="1">IF(OR(INDEX($AG$2:$AG$1001,MATCH(ROWS($AF$2:AF406),$AF$2:$AF$1001,0),1)&gt;=100000,INDEX($AM$1005:$BM$1005,1,MATCH(COLUMNS($AM$1006:BE1006),$AM$1006:$BM$1006,0))&gt;=100000), " ",IF(INDEX($AM$2:$BM$1001,MATCH(ROWS($AF$2:AF406),$AF$2:$AF$1001,0),MATCH(COLUMNS($AM$1006:BE1006),$AM$1006:$BM$1006,0)), HYPERLINK("#",""), HYPERLINK(CONCATENATE("#metadata!", ADDRESS(INDEX($AH$2:$AH$1001,MATCH(ROWS($AF$2:AF406),$AF$2:$AF$1001,0),0), INDEX($AM$1004:$BM$1004,1,MATCH(COLUMNS($AM$1006:BE1006),$AM$1006:$BM$1006,0)))),"Fix")))</f>
        <v xml:space="preserve"> </v>
      </c>
      <c r="U406" s="4" t="str">
        <f ca="1">IF(OR(INDEX($AG$2:$AG$1001,MATCH(ROWS($AF$2:AF406),$AF$2:$AF$1001,0),1)&gt;=100000,INDEX($AM$1005:$BM$1005,1,MATCH(COLUMNS($AM$1006:BF1006),$AM$1006:$BM$1006,0))&gt;=100000), " ",IF(INDEX($AM$2:$BM$1001,MATCH(ROWS($AF$2:AF406),$AF$2:$AF$1001,0),MATCH(COLUMNS($AM$1006:BF1006),$AM$1006:$BM$1006,0)), HYPERLINK("#",""), HYPERLINK(CONCATENATE("#metadata!", ADDRESS(INDEX($AH$2:$AH$1001,MATCH(ROWS($AF$2:AF406),$AF$2:$AF$1001,0),0), INDEX($AM$1004:$BM$1004,1,MATCH(COLUMNS($AM$1006:BF1006),$AM$1006:$BM$1006,0)))),"Fix")))</f>
        <v xml:space="preserve"> </v>
      </c>
      <c r="V406" s="4" t="str">
        <f ca="1">IF(OR(INDEX($AG$2:$AG$1001,MATCH(ROWS($AF$2:AF406),$AF$2:$AF$1001,0),1)&gt;=100000,INDEX($AM$1005:$BM$1005,1,MATCH(COLUMNS($AM$1006:BG1006),$AM$1006:$BM$1006,0))&gt;=100000), " ",IF(INDEX($AM$2:$BM$1001,MATCH(ROWS($AF$2:AF406),$AF$2:$AF$1001,0),MATCH(COLUMNS($AM$1006:BG1006),$AM$1006:$BM$1006,0)), HYPERLINK("#",""), HYPERLINK(CONCATENATE("#metadata!", ADDRESS(INDEX($AH$2:$AH$1001,MATCH(ROWS($AF$2:AF406),$AF$2:$AF$1001,0),0), INDEX($AM$1004:$BM$1004,1,MATCH(COLUMNS($AM$1006:BG1006),$AM$1006:$BM$1006,0)))),"Fix")))</f>
        <v xml:space="preserve"> </v>
      </c>
      <c r="W406" s="4" t="str">
        <f ca="1">IF(OR(INDEX($AG$2:$AG$1001,MATCH(ROWS($AF$2:AF406),$AF$2:$AF$1001,0),1)&gt;=100000,INDEX($AM$1005:$BM$1005,1,MATCH(COLUMNS($AM$1006:BH1006),$AM$1006:$BM$1006,0))&gt;=100000), " ",IF(INDEX($AM$2:$BM$1001,MATCH(ROWS($AF$2:AF406),$AF$2:$AF$1001,0),MATCH(COLUMNS($AM$1006:BH1006),$AM$1006:$BM$1006,0)), HYPERLINK("#",""), HYPERLINK(CONCATENATE("#metadata!", ADDRESS(INDEX($AH$2:$AH$1001,MATCH(ROWS($AF$2:AF406),$AF$2:$AF$1001,0),0), INDEX($AM$1004:$BM$1004,1,MATCH(COLUMNS($AM$1006:BH1006),$AM$1006:$BM$1006,0)))),"Fix")))</f>
        <v xml:space="preserve"> </v>
      </c>
      <c r="X406" s="4" t="str">
        <f ca="1">IF(OR(INDEX($AG$2:$AG$1001,MATCH(ROWS($AF$2:AF406),$AF$2:$AF$1001,0),1)&gt;=100000,INDEX($AM$1005:$BM$1005,1,MATCH(COLUMNS($AM$1006:BI1006),$AM$1006:$BM$1006,0))&gt;=100000), " ",IF(INDEX($AM$2:$BM$1001,MATCH(ROWS($AF$2:AF406),$AF$2:$AF$1001,0),MATCH(COLUMNS($AM$1006:BI1006),$AM$1006:$BM$1006,0)), HYPERLINK("#",""), HYPERLINK(CONCATENATE("#metadata!", ADDRESS(INDEX($AH$2:$AH$1001,MATCH(ROWS($AF$2:AF406),$AF$2:$AF$1001,0),0), INDEX($AM$1004:$BM$1004,1,MATCH(COLUMNS($AM$1006:BI1006),$AM$1006:$BM$1006,0)))),"Fix")))</f>
        <v xml:space="preserve"> </v>
      </c>
      <c r="Y406" s="4" t="str">
        <f ca="1">IF(OR(INDEX($AG$2:$AG$1001,MATCH(ROWS($AF$2:AF406),$AF$2:$AF$1001,0),1)&gt;=100000,INDEX($AM$1005:$BM$1005,1,MATCH(COLUMNS($AM$1006:BJ1006),$AM$1006:$BM$1006,0))&gt;=100000), " ",IF(INDEX($AM$2:$BM$1001,MATCH(ROWS($AF$2:AF406),$AF$2:$AF$1001,0),MATCH(COLUMNS($AM$1006:BJ1006),$AM$1006:$BM$1006,0)), HYPERLINK("#",""), HYPERLINK(CONCATENATE("#metadata!", ADDRESS(INDEX($AH$2:$AH$1001,MATCH(ROWS($AF$2:AF406),$AF$2:$AF$1001,0),0), INDEX($AM$1004:$BM$1004,1,MATCH(COLUMNS($AM$1006:BJ1006),$AM$1006:$BM$1006,0)))),"Fix")))</f>
        <v xml:space="preserve"> </v>
      </c>
      <c r="Z406" s="4" t="str">
        <f ca="1">IF(OR(INDEX($AG$2:$AG$1001,MATCH(ROWS($AF$2:AF406),$AF$2:$AF$1001,0),1)&gt;=100000,INDEX($AM$1005:$BM$1005,1,MATCH(COLUMNS($AM$1006:BK1006),$AM$1006:$BM$1006,0))&gt;=100000), " ",IF(INDEX($AM$2:$BM$1001,MATCH(ROWS($AF$2:AF406),$AF$2:$AF$1001,0),MATCH(COLUMNS($AM$1006:BK1006),$AM$1006:$BM$1006,0)), HYPERLINK("#",""), HYPERLINK(CONCATENATE("#metadata!", ADDRESS(INDEX($AH$2:$AH$1001,MATCH(ROWS($AF$2:AF406),$AF$2:$AF$1001,0),0), INDEX($AM$1004:$BM$1004,1,MATCH(COLUMNS($AM$1006:BK1006),$AM$1006:$BM$1006,0)))),"Fix")))</f>
        <v xml:space="preserve"> </v>
      </c>
      <c r="AA406" s="4" t="str">
        <f ca="1">IF(OR(INDEX($AG$2:$AG$1001,MATCH(ROWS($AF$2:AF406),$AF$2:$AF$1001,0),1)&gt;=100000,INDEX($AM$1005:$BM$1005,1,MATCH(COLUMNS($AM$1006:BL1006),$AM$1006:$BM$1006,0))&gt;=100000), " ",IF(INDEX($AM$2:$BM$1001,MATCH(ROWS($AF$2:AF406),$AF$2:$AF$1001,0),MATCH(COLUMNS($AM$1006:BL1006),$AM$1006:$BM$1006,0)), HYPERLINK("#",""), HYPERLINK(CONCATENATE("#metadata!", ADDRESS(INDEX($AH$2:$AH$1001,MATCH(ROWS($AF$2:AF406),$AF$2:$AF$1001,0),0), INDEX($AM$1004:$BM$1004,1,MATCH(COLUMNS($AM$1006:BL1006),$AM$1006:$BM$1006,0)))),"Fix")))</f>
        <v xml:space="preserve"> </v>
      </c>
      <c r="AB406" s="4" t="str">
        <f ca="1">IF(OR(INDEX($AG$2:$AG$1001,MATCH(ROWS($AF$2:AF406),$AF$2:$AF$1001,0),1)&gt;=100000,INDEX($AM$1005:$BM$1005,1,MATCH(COLUMNS($AM$1006:BM1006),$AM$1006:$BM$1006,0))&gt;=100000), " ",IF(INDEX($AM$2:$BM$1001,MATCH(ROWS($AF$2:AF406),$AF$2:$AF$1001,0),MATCH(COLUMNS($AM$1006:BM1006),$AM$1006:$BM$1006,0)), HYPERLINK("#",""), HYPERLINK(CONCATENATE("#metadata!", ADDRESS(INDEX($AH$2:$AH$1001,MATCH(ROWS($AF$2:AF406),$AF$2:$AF$1001,0),0), INDEX($AM$1004:$BM$1004,1,MATCH(COLUMNS($AM$1006:BM1006),$AM$1006:$BM$1006,0)))),"Fix")))</f>
        <v xml:space="preserve"> </v>
      </c>
      <c r="AF406">
        <v>405</v>
      </c>
      <c r="AG406">
        <v>100406</v>
      </c>
      <c r="AH406">
        <v>406</v>
      </c>
      <c r="AI406" t="b">
        <f t="shared" si="6"/>
        <v>1</v>
      </c>
      <c r="AJ406" t="b">
        <f>COUNTBLANK(metadata!B406:AB406)=COLUMNS(metadata!B406:AB406)</f>
        <v>1</v>
      </c>
      <c r="AK406" t="str">
        <v/>
      </c>
      <c r="AM406" t="b">
        <f ca="1">AND(IF(metadata!B406="",FALSE,TRUE),COUNTIF(metadata!B:B, metadata!B406) = 1,NOT(ISERROR(SUMPRODUCT(SEARCH(MID(metadata!B406,ROW(INDIRECT("1:"&amp;LEN(metadata!B406))), 1),"0123456789abcdefghijklmnopqrstuvwxyzABCDEFGHIJKLMNOPQRSTUVWXYZ.")))))</f>
        <v>0</v>
      </c>
      <c r="AN406" t="b">
        <f ca="1">OR(AND(IF(metadata!C406="",FALSE,TRUE),OR(EXACT(metadata!C406,"missing: not collected"),EXACT(metadata!C406,"missing: not provided"),EXACT(metadata!C406,"missing: restricted access"))),AND(IF(metadata!C406="",FALSE,TRUE),AND(AND(IFERROR(INT(LEFT(metadata!C406,4))&gt;1900,FALSE),IFERROR(INT(LEFT(metadata!C406,4))&lt;=YEAR(NOW()),FALSE)), OR(MID(metadata!C406,5,1)="", AND(AND(MID(metadata!C406,5,1)="-",IFERROR(INT(MID(metadata!C406,6,1))&gt;=0,FALSE),IFERROR(INT(MID(metadata!C406,6,1))&lt;=1,FALSE),NOT(MID(metadata!C406,7,1)=""),IFERROR(INT(MID(metadata!C406,6,2))&gt;=1,FALSE),IFERROR(INT(MID(metadata!C406,6,2))&lt;=12,FALSE)), OR(MID(metadata!C406,8,1)="", AND(AND(MID(metadata!C406,8,1)="-",IFERROR(INT(MID(metadata!C406,9,1))&gt;=0,FALSE),IFERROR(INT(MID(metadata!C406,9,1))&lt;=3,FALSE),NOT(MID(metadata!C406,10,1)=""),IFERROR(INT(MID(metadata!C406,9,2))&gt;=1,FALSE),IFERROR(INT(MID(metadata!C406,9,2))&lt;=31,FALSE)), OR(MID(metadata!C406,11,1)="", AND(AND(MID(metadata!C406,11,1)=" ",IFERROR(INT(MID(metadata!C406,12,1))&gt;=0,FALSE),IFERROR(INT(MID(metadata!C406,12,1))&lt;=2,FALSE),NOT(MID(metadata!C406,13,1)=""),IFERROR(INT(MID(metadata!C406,12,2))&gt;=0,FALSE),IFERROR(INT(MID(metadata!C406,12,2))&lt;=23,FALSE)), OR(MID(metadata!C406,14,1)="", AND(AND(MID(metadata!C406,14,1)=":",IFERROR(INT(MID(metadata!C406,15,1))&gt;=0,FALSE),IFERROR(INT(MID(metadata!C406,15,1))&lt;=5,FALSE),NOT(MID(metadata!C406,16,1)=""),IFERROR(INT(MID(metadata!C406,15,2))&gt;=0,FALSE),IFERROR(INT(MID(metadata!C406,15,2))&lt;=59,FALSE)), OR(MID(metadata!C406,17,1)="", AND(AND(MID(metadata!C406,17,1)=":",IFERROR(INT(MID(metadata!C406,18,1))&gt;=0,FALSE),IFERROR(INT(MID(metadata!C406,18,1))&lt;=5,FALSE),NOT(MID(metadata!C406,19,1)=""),IFERROR(INT(MID(metadata!C406,18,2))&gt;=0,FALSE),IFERROR(INT(MID(metadata!C406,18,2))&lt;=59,FALSE)), LEN(metadata!C406)&lt;=19)))))))))))))</f>
        <v>0</v>
      </c>
      <c r="AO406" t="b">
        <f>AND(IF(metadata!D406="",FALSE,TRUE),EXACT(metadata!D406,"Not applicable"))</f>
        <v>0</v>
      </c>
      <c r="AP406" t="b">
        <f>IF(metadata!E406="",FALSE,TRUE)</f>
        <v>0</v>
      </c>
      <c r="AQ406" t="b">
        <f>OR(AND(IF(metadata!F406="",FALSE,TRUE),OR(EXACT(metadata!F406,"missing: not collected"),EXACT(metadata!F406,"missing: not provided"))),AND(IF(metadata!F406="",FALSE,TRUE),OR(EXACT(metadata!F406,"TRUE"),EXACT(metadata!F406,"FALSE"))))</f>
        <v>0</v>
      </c>
      <c r="AR406" t="b">
        <f>OR(AND(IF(metadata!G406="",FALSE,TRUE),OR(EXACT(metadata!G406,"missing: not collected"),EXACT(metadata!G406,"missing: not provided"),EXACT(metadata!G406,"missing: restricted access"))),AND(IF(metadata!G406="",FALSE,ISNUMBER(VALUE(metadata!G406))),metadata!G406&gt;=-413))</f>
        <v>0</v>
      </c>
      <c r="AS406" t="b">
        <f>AND(IF(metadata!H406="",FALSE,TRUE),EXACT(metadata!H406,"meters"))</f>
        <v>0</v>
      </c>
      <c r="AT406" t="b">
        <f>AND(IF(metadata!I406="",FALSE,TRUE),OR(EXACT(metadata!I406,"Host-associated"),EXACT(metadata!I406,"Free-living")))</f>
        <v>0</v>
      </c>
      <c r="AU406" t="b">
        <f>AND(IF(metadata!J406="",FALSE,TRUE),OR(EXACT(metadata!J406,"Animal"),EXACT(metadata!J406,"Fungus"),EXACT(metadata!J406,"Plant"),EXACT(metadata!J406,"Saline"),EXACT(metadata!J406,"Non-saline")))</f>
        <v>0</v>
      </c>
      <c r="AV406" t="b">
        <f>AND(IF(metadata!K406="",FALSE,TRUE),OR(EXACT(metadata!K406,"Plant secretion"),EXACT(metadata!K406,"Plant rhizosphere"),EXACT(metadata!K406,"Plant surface"),EXACT(metadata!K406,"Plant corpus"),EXACT(metadata!K406,"Fungus surface"),EXACT(metadata!K406,"Fungus corpus"),EXACT(metadata!K406,"Animal surface"),EXACT(metadata!K406,"Animal proximal gut"),EXACT(metadata!K406,"Animal corpus"),EXACT(metadata!K406,"Animal distal gut"),EXACT(metadata!K406,"Animal secretion"),EXACT(metadata!K406,"Sub-surface (non-saline)"),EXACT(metadata!K406,"Surface (non-saline)"),EXACT(metadata!K406,"Water (non-saline)"),EXACT(metadata!K406,"Soil (non-saline)"),EXACT(metadata!K406,"Aerosol (non-saline)"),EXACT(metadata!K406,"Sediment (non-saline)"),EXACT(metadata!K406,"Surface (saline)"),EXACT(metadata!K406,"Water (saline)"),EXACT(metadata!K406,"Hypersaline (saline)"),EXACT(metadata!K406,"Aerosol (saline)"),EXACT(metadata!K406,"Sediment (saline)")))</f>
        <v>0</v>
      </c>
      <c r="AW406" t="b">
        <f>IF(metadata!L406="",FALSE,TRUE)</f>
        <v>0</v>
      </c>
      <c r="AX406" t="b">
        <f>IF(metadata!M406="",FALSE,TRUE)</f>
        <v>0</v>
      </c>
      <c r="AY406" t="b">
        <f>IF(metadata!N406="",FALSE,TRUE)</f>
        <v>0</v>
      </c>
      <c r="AZ406" t="b">
        <f>OR(AND(IF(metadata!O406="",FALSE,TRUE),OR(EXACT(metadata!O406,"missing: not collected"),EXACT(metadata!O406,"missing: not provided"),EXACT(metadata!O406,"missing: restricted access"))),AND(IF(metadata!O406="",FALSE,TRUE),OR(EXACT(metadata!O406,"air"),EXACT(metadata!O406,"built environment"),EXACT(metadata!O406,"host-associated"),EXACT(metadata!O406,"human-associated"),EXACT(metadata!O406,"human-skin"),EXACT(metadata!O406,"human-oral"),EXACT(metadata!O406,"human-gut"),EXACT(metadata!O406,"human-vaginal"),EXACT(metadata!O406,"microbial mat/biofilm"),EXACT(metadata!O406,"misc environment"),EXACT(metadata!O406,"plant-associated"),EXACT(metadata!O406,"sediment"),EXACT(metadata!O406,"soil"),EXACT(metadata!O406,"wastewater/sludge"),EXACT(metadata!O406,"water"))))</f>
        <v>0</v>
      </c>
      <c r="BA406" t="b">
        <f>IF(metadata!P406="",FALSE,TRUE)</f>
        <v>0</v>
      </c>
      <c r="BB406" t="b">
        <f>IF(metadata!Q406="",FALSE,TRUE)</f>
        <v>0</v>
      </c>
      <c r="BC406" t="b">
        <f>OR(AND(IF(metadata!R406="",FALSE,TRUE),OR(EXACT(metadata!R406,"missing: not collected"),EXACT(metadata!R406,"missing: not provided"),EXACT(metadata!R406,"missing: restricted access"))),AND(IF(metadata!R406="",FALSE,ISNUMBER(VALUE(metadata!R406))),metadata!R406&gt;=-90,metadata!R406&lt;=90))</f>
        <v>0</v>
      </c>
      <c r="BD406" t="b">
        <f>AND(IF(metadata!S406="",FALSE,TRUE),EXACT(metadata!S406,"Decimal degrees"))</f>
        <v>0</v>
      </c>
      <c r="BE406" t="b">
        <f>OR(AND(IF(metadata!T406="",FALSE,TRUE),OR(EXACT(metadata!T406,"missing: not collected"),EXACT(metadata!T406,"missing: not provided"),EXACT(metadata!T406,"missing: restricted access"))),AND(IF(metadata!T406="",FALSE,ISNUMBER(VALUE(metadata!T406))),metadata!T406&gt;=-180,metadata!T406&lt;=180))</f>
        <v>0</v>
      </c>
      <c r="BF406" t="b">
        <f>AND(IF(metadata!U406="",FALSE,TRUE),EXACT(metadata!U406,"Decimal degrees"))</f>
        <v>0</v>
      </c>
      <c r="BG406" t="b">
        <f>IF(metadata!V406="",FALSE,TRUE)</f>
        <v>0</v>
      </c>
      <c r="BH406" t="b">
        <f>OR(AND(IF(metadata!W406="",FALSE,TRUE),OR(EXACT(metadata!W406,"missing: not collected"),EXACT(metadata!W406,"missing: not provided"),EXACT(metadata!W406,"missing: restricted access"))),AND(IF(metadata!W406="",FALSE,TRUE),OR(EXACT(metadata!W406,"TRUE"),EXACT(metadata!W406,"FALSE"))))</f>
        <v>0</v>
      </c>
      <c r="BI406" t="b">
        <f>AND(IF(metadata!X406="",FALSE,TRUE),EXACT(metadata!X406,"other"))</f>
        <v>0</v>
      </c>
      <c r="BJ406" t="b">
        <f>IF(metadata!Y406="",FALSE,TRUE)</f>
        <v>0</v>
      </c>
      <c r="BK406" t="b">
        <f>OR(AND(IF(metadata!Z406="",FALSE,TRUE),OR(EXACT(metadata!Z406,"missing: not collected"),EXACT(metadata!Z406,"missing: not provided"))),AND(IF(metadata!Z406="",FALSE,IF(ISERROR(INT(metadata!Z406)),FALSE,INT(metadata!Z406)=metadata!Z406)),metadata!Z406&gt;0))</f>
        <v>0</v>
      </c>
      <c r="BL406" t="b">
        <f>AND(IF(metadata!AA406="",FALSE,TRUE),EXACT(metadata!AA406,"Not applicable"))</f>
        <v>0</v>
      </c>
      <c r="BM406" t="b">
        <f>IF(metadata!AB406="",FALSE,TRUE)</f>
        <v>0</v>
      </c>
    </row>
    <row r="407" spans="1:65" x14ac:dyDescent="0.2">
      <c r="A407" s="5" t="str">
        <f ca="1">IF(B407=" "," ",HYPERLINK(CONCATENATE("#metadata!",ADDRESS(INDEX($AH$2:$AH$1001,MATCH(ROWS($AF$2:AF407),$AF$2:$AF$1001,0),0),1)),INDEX($AK$2:$AK$1001,MATCH(ROWS($AF$2:AF407),$AF$2:$AF$1001,0),0)))</f>
        <v xml:space="preserve"> </v>
      </c>
      <c r="B407" s="4" t="str">
        <f ca="1">IF(OR(INDEX($AG$2:$AG$1001,MATCH(ROWS($AF$2:AF407),$AF$2:$AF$1001,0),1)&gt;=100000,INDEX($AM$1005:$BM$1005,1,MATCH(COLUMNS($AM$1006:AM1006),$AM$1006:$BM$1006,0))&gt;=100000), " ",IF(INDEX($AM$2:$BM$1001,MATCH(ROWS($AF$2:AF407),$AF$2:$AF$1001,0),MATCH(COLUMNS($AM$1006:AM1006),$AM$1006:$BM$1006,0)), HYPERLINK("#",""), HYPERLINK(CONCATENATE("#metadata!", ADDRESS(INDEX($AH$2:$AH$1001,MATCH(ROWS($AF$2:AF407),$AF$2:$AF$1001,0),0), INDEX($AM$1004:$BM$1004,1,MATCH(COLUMNS($AM$1006:AM1006),$AM$1006:$BM$1006,0)))),"Fix")))</f>
        <v xml:space="preserve"> </v>
      </c>
      <c r="C407" s="4" t="str">
        <f ca="1">IF(OR(INDEX($AG$2:$AG$1001,MATCH(ROWS($AF$2:AF407),$AF$2:$AF$1001,0),1)&gt;=100000,INDEX($AM$1005:$BM$1005,1,MATCH(COLUMNS($AM$1006:AN1006),$AM$1006:$BM$1006,0))&gt;=100000), " ",IF(INDEX($AM$2:$BM$1001,MATCH(ROWS($AF$2:AF407),$AF$2:$AF$1001,0),MATCH(COLUMNS($AM$1006:AN1006),$AM$1006:$BM$1006,0)), HYPERLINK("#",""), HYPERLINK(CONCATENATE("#metadata!", ADDRESS(INDEX($AH$2:$AH$1001,MATCH(ROWS($AF$2:AF407),$AF$2:$AF$1001,0),0), INDEX($AM$1004:$BM$1004,1,MATCH(COLUMNS($AM$1006:AN1006),$AM$1006:$BM$1006,0)))),"Fix")))</f>
        <v xml:space="preserve"> </v>
      </c>
      <c r="D407" s="4" t="str">
        <f ca="1">IF(OR(INDEX($AG$2:$AG$1001,MATCH(ROWS($AF$2:AF407),$AF$2:$AF$1001,0),1)&gt;=100000,INDEX($AM$1005:$BM$1005,1,MATCH(COLUMNS($AM$1006:AO1006),$AM$1006:$BM$1006,0))&gt;=100000), " ",IF(INDEX($AM$2:$BM$1001,MATCH(ROWS($AF$2:AF407),$AF$2:$AF$1001,0),MATCH(COLUMNS($AM$1006:AO1006),$AM$1006:$BM$1006,0)), HYPERLINK("#",""), HYPERLINK(CONCATENATE("#metadata!", ADDRESS(INDEX($AH$2:$AH$1001,MATCH(ROWS($AF$2:AF407),$AF$2:$AF$1001,0),0), INDEX($AM$1004:$BM$1004,1,MATCH(COLUMNS($AM$1006:AO1006),$AM$1006:$BM$1006,0)))),"Fix")))</f>
        <v xml:space="preserve"> </v>
      </c>
      <c r="E407" s="4" t="str">
        <f ca="1">IF(OR(INDEX($AG$2:$AG$1001,MATCH(ROWS($AF$2:AF407),$AF$2:$AF$1001,0),1)&gt;=100000,INDEX($AM$1005:$BM$1005,1,MATCH(COLUMNS($AM$1006:AP1006),$AM$1006:$BM$1006,0))&gt;=100000), " ",IF(INDEX($AM$2:$BM$1001,MATCH(ROWS($AF$2:AF407),$AF$2:$AF$1001,0),MATCH(COLUMNS($AM$1006:AP1006),$AM$1006:$BM$1006,0)), HYPERLINK("#",""), HYPERLINK(CONCATENATE("#metadata!", ADDRESS(INDEX($AH$2:$AH$1001,MATCH(ROWS($AF$2:AF407),$AF$2:$AF$1001,0),0), INDEX($AM$1004:$BM$1004,1,MATCH(COLUMNS($AM$1006:AP1006),$AM$1006:$BM$1006,0)))),"Fix")))</f>
        <v xml:space="preserve"> </v>
      </c>
      <c r="F407" s="4" t="str">
        <f ca="1">IF(OR(INDEX($AG$2:$AG$1001,MATCH(ROWS($AF$2:AF407),$AF$2:$AF$1001,0),1)&gt;=100000,INDEX($AM$1005:$BM$1005,1,MATCH(COLUMNS($AM$1006:AQ1006),$AM$1006:$BM$1006,0))&gt;=100000), " ",IF(INDEX($AM$2:$BM$1001,MATCH(ROWS($AF$2:AF407),$AF$2:$AF$1001,0),MATCH(COLUMNS($AM$1006:AQ1006),$AM$1006:$BM$1006,0)), HYPERLINK("#",""), HYPERLINK(CONCATENATE("#metadata!", ADDRESS(INDEX($AH$2:$AH$1001,MATCH(ROWS($AF$2:AF407),$AF$2:$AF$1001,0),0), INDEX($AM$1004:$BM$1004,1,MATCH(COLUMNS($AM$1006:AQ1006),$AM$1006:$BM$1006,0)))),"Fix")))</f>
        <v xml:space="preserve"> </v>
      </c>
      <c r="G407" s="4" t="str">
        <f ca="1">IF(OR(INDEX($AG$2:$AG$1001,MATCH(ROWS($AF$2:AF407),$AF$2:$AF$1001,0),1)&gt;=100000,INDEX($AM$1005:$BM$1005,1,MATCH(COLUMNS($AM$1006:AR1006),$AM$1006:$BM$1006,0))&gt;=100000), " ",IF(INDEX($AM$2:$BM$1001,MATCH(ROWS($AF$2:AF407),$AF$2:$AF$1001,0),MATCH(COLUMNS($AM$1006:AR1006),$AM$1006:$BM$1006,0)), HYPERLINK("#",""), HYPERLINK(CONCATENATE("#metadata!", ADDRESS(INDEX($AH$2:$AH$1001,MATCH(ROWS($AF$2:AF407),$AF$2:$AF$1001,0),0), INDEX($AM$1004:$BM$1004,1,MATCH(COLUMNS($AM$1006:AR1006),$AM$1006:$BM$1006,0)))),"Fix")))</f>
        <v xml:space="preserve"> </v>
      </c>
      <c r="H407" s="4" t="str">
        <f ca="1">IF(OR(INDEX($AG$2:$AG$1001,MATCH(ROWS($AF$2:AF407),$AF$2:$AF$1001,0),1)&gt;=100000,INDEX($AM$1005:$BM$1005,1,MATCH(COLUMNS($AM$1006:AS1006),$AM$1006:$BM$1006,0))&gt;=100000), " ",IF(INDEX($AM$2:$BM$1001,MATCH(ROWS($AF$2:AF407),$AF$2:$AF$1001,0),MATCH(COLUMNS($AM$1006:AS1006),$AM$1006:$BM$1006,0)), HYPERLINK("#",""), HYPERLINK(CONCATENATE("#metadata!", ADDRESS(INDEX($AH$2:$AH$1001,MATCH(ROWS($AF$2:AF407),$AF$2:$AF$1001,0),0), INDEX($AM$1004:$BM$1004,1,MATCH(COLUMNS($AM$1006:AS1006),$AM$1006:$BM$1006,0)))),"Fix")))</f>
        <v xml:space="preserve"> </v>
      </c>
      <c r="I407" s="4" t="str">
        <f ca="1">IF(OR(INDEX($AG$2:$AG$1001,MATCH(ROWS($AF$2:AF407),$AF$2:$AF$1001,0),1)&gt;=100000,INDEX($AM$1005:$BM$1005,1,MATCH(COLUMNS($AM$1006:AT1006),$AM$1006:$BM$1006,0))&gt;=100000), " ",IF(INDEX($AM$2:$BM$1001,MATCH(ROWS($AF$2:AF407),$AF$2:$AF$1001,0),MATCH(COLUMNS($AM$1006:AT1006),$AM$1006:$BM$1006,0)), HYPERLINK("#",""), HYPERLINK(CONCATENATE("#metadata!", ADDRESS(INDEX($AH$2:$AH$1001,MATCH(ROWS($AF$2:AF407),$AF$2:$AF$1001,0),0), INDEX($AM$1004:$BM$1004,1,MATCH(COLUMNS($AM$1006:AT1006),$AM$1006:$BM$1006,0)))),"Fix")))</f>
        <v xml:space="preserve"> </v>
      </c>
      <c r="J407" s="4" t="str">
        <f ca="1">IF(OR(INDEX($AG$2:$AG$1001,MATCH(ROWS($AF$2:AF407),$AF$2:$AF$1001,0),1)&gt;=100000,INDEX($AM$1005:$BM$1005,1,MATCH(COLUMNS($AM$1006:AU1006),$AM$1006:$BM$1006,0))&gt;=100000), " ",IF(INDEX($AM$2:$BM$1001,MATCH(ROWS($AF$2:AF407),$AF$2:$AF$1001,0),MATCH(COLUMNS($AM$1006:AU1006),$AM$1006:$BM$1006,0)), HYPERLINK("#",""), HYPERLINK(CONCATENATE("#metadata!", ADDRESS(INDEX($AH$2:$AH$1001,MATCH(ROWS($AF$2:AF407),$AF$2:$AF$1001,0),0), INDEX($AM$1004:$BM$1004,1,MATCH(COLUMNS($AM$1006:AU1006),$AM$1006:$BM$1006,0)))),"Fix")))</f>
        <v xml:space="preserve"> </v>
      </c>
      <c r="K407" s="4" t="str">
        <f ca="1">IF(OR(INDEX($AG$2:$AG$1001,MATCH(ROWS($AF$2:AF407),$AF$2:$AF$1001,0),1)&gt;=100000,INDEX($AM$1005:$BM$1005,1,MATCH(COLUMNS($AM$1006:AV1006),$AM$1006:$BM$1006,0))&gt;=100000), " ",IF(INDEX($AM$2:$BM$1001,MATCH(ROWS($AF$2:AF407),$AF$2:$AF$1001,0),MATCH(COLUMNS($AM$1006:AV1006),$AM$1006:$BM$1006,0)), HYPERLINK("#",""), HYPERLINK(CONCATENATE("#metadata!", ADDRESS(INDEX($AH$2:$AH$1001,MATCH(ROWS($AF$2:AF407),$AF$2:$AF$1001,0),0), INDEX($AM$1004:$BM$1004,1,MATCH(COLUMNS($AM$1006:AV1006),$AM$1006:$BM$1006,0)))),"Fix")))</f>
        <v xml:space="preserve"> </v>
      </c>
      <c r="L407" s="4" t="str">
        <f ca="1">IF(OR(INDEX($AG$2:$AG$1001,MATCH(ROWS($AF$2:AF407),$AF$2:$AF$1001,0),1)&gt;=100000,INDEX($AM$1005:$BM$1005,1,MATCH(COLUMNS($AM$1006:AW1006),$AM$1006:$BM$1006,0))&gt;=100000), " ",IF(INDEX($AM$2:$BM$1001,MATCH(ROWS($AF$2:AF407),$AF$2:$AF$1001,0),MATCH(COLUMNS($AM$1006:AW1006),$AM$1006:$BM$1006,0)), HYPERLINK("#",""), HYPERLINK(CONCATENATE("#metadata!", ADDRESS(INDEX($AH$2:$AH$1001,MATCH(ROWS($AF$2:AF407),$AF$2:$AF$1001,0),0), INDEX($AM$1004:$BM$1004,1,MATCH(COLUMNS($AM$1006:AW1006),$AM$1006:$BM$1006,0)))),"Fix")))</f>
        <v xml:space="preserve"> </v>
      </c>
      <c r="M407" s="4" t="str">
        <f ca="1">IF(OR(INDEX($AG$2:$AG$1001,MATCH(ROWS($AF$2:AF407),$AF$2:$AF$1001,0),1)&gt;=100000,INDEX($AM$1005:$BM$1005,1,MATCH(COLUMNS($AM$1006:AX1006),$AM$1006:$BM$1006,0))&gt;=100000), " ",IF(INDEX($AM$2:$BM$1001,MATCH(ROWS($AF$2:AF407),$AF$2:$AF$1001,0),MATCH(COLUMNS($AM$1006:AX1006),$AM$1006:$BM$1006,0)), HYPERLINK("#",""), HYPERLINK(CONCATENATE("#metadata!", ADDRESS(INDEX($AH$2:$AH$1001,MATCH(ROWS($AF$2:AF407),$AF$2:$AF$1001,0),0), INDEX($AM$1004:$BM$1004,1,MATCH(COLUMNS($AM$1006:AX1006),$AM$1006:$BM$1006,0)))),"Fix")))</f>
        <v xml:space="preserve"> </v>
      </c>
      <c r="N407" s="4" t="str">
        <f ca="1">IF(OR(INDEX($AG$2:$AG$1001,MATCH(ROWS($AF$2:AF407),$AF$2:$AF$1001,0),1)&gt;=100000,INDEX($AM$1005:$BM$1005,1,MATCH(COLUMNS($AM$1006:AY1006),$AM$1006:$BM$1006,0))&gt;=100000), " ",IF(INDEX($AM$2:$BM$1001,MATCH(ROWS($AF$2:AF407),$AF$2:$AF$1001,0),MATCH(COLUMNS($AM$1006:AY1006),$AM$1006:$BM$1006,0)), HYPERLINK("#",""), HYPERLINK(CONCATENATE("#metadata!", ADDRESS(INDEX($AH$2:$AH$1001,MATCH(ROWS($AF$2:AF407),$AF$2:$AF$1001,0),0), INDEX($AM$1004:$BM$1004,1,MATCH(COLUMNS($AM$1006:AY1006),$AM$1006:$BM$1006,0)))),"Fix")))</f>
        <v xml:space="preserve"> </v>
      </c>
      <c r="O407" s="4" t="str">
        <f ca="1">IF(OR(INDEX($AG$2:$AG$1001,MATCH(ROWS($AF$2:AF407),$AF$2:$AF$1001,0),1)&gt;=100000,INDEX($AM$1005:$BM$1005,1,MATCH(COLUMNS($AM$1006:AZ1006),$AM$1006:$BM$1006,0))&gt;=100000), " ",IF(INDEX($AM$2:$BM$1001,MATCH(ROWS($AF$2:AF407),$AF$2:$AF$1001,0),MATCH(COLUMNS($AM$1006:AZ1006),$AM$1006:$BM$1006,0)), HYPERLINK("#",""), HYPERLINK(CONCATENATE("#metadata!", ADDRESS(INDEX($AH$2:$AH$1001,MATCH(ROWS($AF$2:AF407),$AF$2:$AF$1001,0),0), INDEX($AM$1004:$BM$1004,1,MATCH(COLUMNS($AM$1006:AZ1006),$AM$1006:$BM$1006,0)))),"Fix")))</f>
        <v xml:space="preserve"> </v>
      </c>
      <c r="P407" s="4" t="str">
        <f ca="1">IF(OR(INDEX($AG$2:$AG$1001,MATCH(ROWS($AF$2:AF407),$AF$2:$AF$1001,0),1)&gt;=100000,INDEX($AM$1005:$BM$1005,1,MATCH(COLUMNS($AM$1006:BA1006),$AM$1006:$BM$1006,0))&gt;=100000), " ",IF(INDEX($AM$2:$BM$1001,MATCH(ROWS($AF$2:AF407),$AF$2:$AF$1001,0),MATCH(COLUMNS($AM$1006:BA1006),$AM$1006:$BM$1006,0)), HYPERLINK("#",""), HYPERLINK(CONCATENATE("#metadata!", ADDRESS(INDEX($AH$2:$AH$1001,MATCH(ROWS($AF$2:AF407),$AF$2:$AF$1001,0),0), INDEX($AM$1004:$BM$1004,1,MATCH(COLUMNS($AM$1006:BA1006),$AM$1006:$BM$1006,0)))),"Fix")))</f>
        <v xml:space="preserve"> </v>
      </c>
      <c r="Q407" s="4" t="str">
        <f ca="1">IF(OR(INDEX($AG$2:$AG$1001,MATCH(ROWS($AF$2:AF407),$AF$2:$AF$1001,0),1)&gt;=100000,INDEX($AM$1005:$BM$1005,1,MATCH(COLUMNS($AM$1006:BB1006),$AM$1006:$BM$1006,0))&gt;=100000), " ",IF(INDEX($AM$2:$BM$1001,MATCH(ROWS($AF$2:AF407),$AF$2:$AF$1001,0),MATCH(COLUMNS($AM$1006:BB1006),$AM$1006:$BM$1006,0)), HYPERLINK("#",""), HYPERLINK(CONCATENATE("#metadata!", ADDRESS(INDEX($AH$2:$AH$1001,MATCH(ROWS($AF$2:AF407),$AF$2:$AF$1001,0),0), INDEX($AM$1004:$BM$1004,1,MATCH(COLUMNS($AM$1006:BB1006),$AM$1006:$BM$1006,0)))),"Fix")))</f>
        <v xml:space="preserve"> </v>
      </c>
      <c r="R407" s="4" t="str">
        <f ca="1">IF(OR(INDEX($AG$2:$AG$1001,MATCH(ROWS($AF$2:AF407),$AF$2:$AF$1001,0),1)&gt;=100000,INDEX($AM$1005:$BM$1005,1,MATCH(COLUMNS($AM$1006:BC1006),$AM$1006:$BM$1006,0))&gt;=100000), " ",IF(INDEX($AM$2:$BM$1001,MATCH(ROWS($AF$2:AF407),$AF$2:$AF$1001,0),MATCH(COLUMNS($AM$1006:BC1006),$AM$1006:$BM$1006,0)), HYPERLINK("#",""), HYPERLINK(CONCATENATE("#metadata!", ADDRESS(INDEX($AH$2:$AH$1001,MATCH(ROWS($AF$2:AF407),$AF$2:$AF$1001,0),0), INDEX($AM$1004:$BM$1004,1,MATCH(COLUMNS($AM$1006:BC1006),$AM$1006:$BM$1006,0)))),"Fix")))</f>
        <v xml:space="preserve"> </v>
      </c>
      <c r="S407" s="4" t="str">
        <f ca="1">IF(OR(INDEX($AG$2:$AG$1001,MATCH(ROWS($AF$2:AF407),$AF$2:$AF$1001,0),1)&gt;=100000,INDEX($AM$1005:$BM$1005,1,MATCH(COLUMNS($AM$1006:BD1006),$AM$1006:$BM$1006,0))&gt;=100000), " ",IF(INDEX($AM$2:$BM$1001,MATCH(ROWS($AF$2:AF407),$AF$2:$AF$1001,0),MATCH(COLUMNS($AM$1006:BD1006),$AM$1006:$BM$1006,0)), HYPERLINK("#",""), HYPERLINK(CONCATENATE("#metadata!", ADDRESS(INDEX($AH$2:$AH$1001,MATCH(ROWS($AF$2:AF407),$AF$2:$AF$1001,0),0), INDEX($AM$1004:$BM$1004,1,MATCH(COLUMNS($AM$1006:BD1006),$AM$1006:$BM$1006,0)))),"Fix")))</f>
        <v xml:space="preserve"> </v>
      </c>
      <c r="T407" s="4" t="str">
        <f ca="1">IF(OR(INDEX($AG$2:$AG$1001,MATCH(ROWS($AF$2:AF407),$AF$2:$AF$1001,0),1)&gt;=100000,INDEX($AM$1005:$BM$1005,1,MATCH(COLUMNS($AM$1006:BE1006),$AM$1006:$BM$1006,0))&gt;=100000), " ",IF(INDEX($AM$2:$BM$1001,MATCH(ROWS($AF$2:AF407),$AF$2:$AF$1001,0),MATCH(COLUMNS($AM$1006:BE1006),$AM$1006:$BM$1006,0)), HYPERLINK("#",""), HYPERLINK(CONCATENATE("#metadata!", ADDRESS(INDEX($AH$2:$AH$1001,MATCH(ROWS($AF$2:AF407),$AF$2:$AF$1001,0),0), INDEX($AM$1004:$BM$1004,1,MATCH(COLUMNS($AM$1006:BE1006),$AM$1006:$BM$1006,0)))),"Fix")))</f>
        <v xml:space="preserve"> </v>
      </c>
      <c r="U407" s="4" t="str">
        <f ca="1">IF(OR(INDEX($AG$2:$AG$1001,MATCH(ROWS($AF$2:AF407),$AF$2:$AF$1001,0),1)&gt;=100000,INDEX($AM$1005:$BM$1005,1,MATCH(COLUMNS($AM$1006:BF1006),$AM$1006:$BM$1006,0))&gt;=100000), " ",IF(INDEX($AM$2:$BM$1001,MATCH(ROWS($AF$2:AF407),$AF$2:$AF$1001,0),MATCH(COLUMNS($AM$1006:BF1006),$AM$1006:$BM$1006,0)), HYPERLINK("#",""), HYPERLINK(CONCATENATE("#metadata!", ADDRESS(INDEX($AH$2:$AH$1001,MATCH(ROWS($AF$2:AF407),$AF$2:$AF$1001,0),0), INDEX($AM$1004:$BM$1004,1,MATCH(COLUMNS($AM$1006:BF1006),$AM$1006:$BM$1006,0)))),"Fix")))</f>
        <v xml:space="preserve"> </v>
      </c>
      <c r="V407" s="4" t="str">
        <f ca="1">IF(OR(INDEX($AG$2:$AG$1001,MATCH(ROWS($AF$2:AF407),$AF$2:$AF$1001,0),1)&gt;=100000,INDEX($AM$1005:$BM$1005,1,MATCH(COLUMNS($AM$1006:BG1006),$AM$1006:$BM$1006,0))&gt;=100000), " ",IF(INDEX($AM$2:$BM$1001,MATCH(ROWS($AF$2:AF407),$AF$2:$AF$1001,0),MATCH(COLUMNS($AM$1006:BG1006),$AM$1006:$BM$1006,0)), HYPERLINK("#",""), HYPERLINK(CONCATENATE("#metadata!", ADDRESS(INDEX($AH$2:$AH$1001,MATCH(ROWS($AF$2:AF407),$AF$2:$AF$1001,0),0), INDEX($AM$1004:$BM$1004,1,MATCH(COLUMNS($AM$1006:BG1006),$AM$1006:$BM$1006,0)))),"Fix")))</f>
        <v xml:space="preserve"> </v>
      </c>
      <c r="W407" s="4" t="str">
        <f ca="1">IF(OR(INDEX($AG$2:$AG$1001,MATCH(ROWS($AF$2:AF407),$AF$2:$AF$1001,0),1)&gt;=100000,INDEX($AM$1005:$BM$1005,1,MATCH(COLUMNS($AM$1006:BH1006),$AM$1006:$BM$1006,0))&gt;=100000), " ",IF(INDEX($AM$2:$BM$1001,MATCH(ROWS($AF$2:AF407),$AF$2:$AF$1001,0),MATCH(COLUMNS($AM$1006:BH1006),$AM$1006:$BM$1006,0)), HYPERLINK("#",""), HYPERLINK(CONCATENATE("#metadata!", ADDRESS(INDEX($AH$2:$AH$1001,MATCH(ROWS($AF$2:AF407),$AF$2:$AF$1001,0),0), INDEX($AM$1004:$BM$1004,1,MATCH(COLUMNS($AM$1006:BH1006),$AM$1006:$BM$1006,0)))),"Fix")))</f>
        <v xml:space="preserve"> </v>
      </c>
      <c r="X407" s="4" t="str">
        <f ca="1">IF(OR(INDEX($AG$2:$AG$1001,MATCH(ROWS($AF$2:AF407),$AF$2:$AF$1001,0),1)&gt;=100000,INDEX($AM$1005:$BM$1005,1,MATCH(COLUMNS($AM$1006:BI1006),$AM$1006:$BM$1006,0))&gt;=100000), " ",IF(INDEX($AM$2:$BM$1001,MATCH(ROWS($AF$2:AF407),$AF$2:$AF$1001,0),MATCH(COLUMNS($AM$1006:BI1006),$AM$1006:$BM$1006,0)), HYPERLINK("#",""), HYPERLINK(CONCATENATE("#metadata!", ADDRESS(INDEX($AH$2:$AH$1001,MATCH(ROWS($AF$2:AF407),$AF$2:$AF$1001,0),0), INDEX($AM$1004:$BM$1004,1,MATCH(COLUMNS($AM$1006:BI1006),$AM$1006:$BM$1006,0)))),"Fix")))</f>
        <v xml:space="preserve"> </v>
      </c>
      <c r="Y407" s="4" t="str">
        <f ca="1">IF(OR(INDEX($AG$2:$AG$1001,MATCH(ROWS($AF$2:AF407),$AF$2:$AF$1001,0),1)&gt;=100000,INDEX($AM$1005:$BM$1005,1,MATCH(COLUMNS($AM$1006:BJ1006),$AM$1006:$BM$1006,0))&gt;=100000), " ",IF(INDEX($AM$2:$BM$1001,MATCH(ROWS($AF$2:AF407),$AF$2:$AF$1001,0),MATCH(COLUMNS($AM$1006:BJ1006),$AM$1006:$BM$1006,0)), HYPERLINK("#",""), HYPERLINK(CONCATENATE("#metadata!", ADDRESS(INDEX($AH$2:$AH$1001,MATCH(ROWS($AF$2:AF407),$AF$2:$AF$1001,0),0), INDEX($AM$1004:$BM$1004,1,MATCH(COLUMNS($AM$1006:BJ1006),$AM$1006:$BM$1006,0)))),"Fix")))</f>
        <v xml:space="preserve"> </v>
      </c>
      <c r="Z407" s="4" t="str">
        <f ca="1">IF(OR(INDEX($AG$2:$AG$1001,MATCH(ROWS($AF$2:AF407),$AF$2:$AF$1001,0),1)&gt;=100000,INDEX($AM$1005:$BM$1005,1,MATCH(COLUMNS($AM$1006:BK1006),$AM$1006:$BM$1006,0))&gt;=100000), " ",IF(INDEX($AM$2:$BM$1001,MATCH(ROWS($AF$2:AF407),$AF$2:$AF$1001,0),MATCH(COLUMNS($AM$1006:BK1006),$AM$1006:$BM$1006,0)), HYPERLINK("#",""), HYPERLINK(CONCATENATE("#metadata!", ADDRESS(INDEX($AH$2:$AH$1001,MATCH(ROWS($AF$2:AF407),$AF$2:$AF$1001,0),0), INDEX($AM$1004:$BM$1004,1,MATCH(COLUMNS($AM$1006:BK1006),$AM$1006:$BM$1006,0)))),"Fix")))</f>
        <v xml:space="preserve"> </v>
      </c>
      <c r="AA407" s="4" t="str">
        <f ca="1">IF(OR(INDEX($AG$2:$AG$1001,MATCH(ROWS($AF$2:AF407),$AF$2:$AF$1001,0),1)&gt;=100000,INDEX($AM$1005:$BM$1005,1,MATCH(COLUMNS($AM$1006:BL1006),$AM$1006:$BM$1006,0))&gt;=100000), " ",IF(INDEX($AM$2:$BM$1001,MATCH(ROWS($AF$2:AF407),$AF$2:$AF$1001,0),MATCH(COLUMNS($AM$1006:BL1006),$AM$1006:$BM$1006,0)), HYPERLINK("#",""), HYPERLINK(CONCATENATE("#metadata!", ADDRESS(INDEX($AH$2:$AH$1001,MATCH(ROWS($AF$2:AF407),$AF$2:$AF$1001,0),0), INDEX($AM$1004:$BM$1004,1,MATCH(COLUMNS($AM$1006:BL1006),$AM$1006:$BM$1006,0)))),"Fix")))</f>
        <v xml:space="preserve"> </v>
      </c>
      <c r="AB407" s="4" t="str">
        <f ca="1">IF(OR(INDEX($AG$2:$AG$1001,MATCH(ROWS($AF$2:AF407),$AF$2:$AF$1001,0),1)&gt;=100000,INDEX($AM$1005:$BM$1005,1,MATCH(COLUMNS($AM$1006:BM1006),$AM$1006:$BM$1006,0))&gt;=100000), " ",IF(INDEX($AM$2:$BM$1001,MATCH(ROWS($AF$2:AF407),$AF$2:$AF$1001,0),MATCH(COLUMNS($AM$1006:BM1006),$AM$1006:$BM$1006,0)), HYPERLINK("#",""), HYPERLINK(CONCATENATE("#metadata!", ADDRESS(INDEX($AH$2:$AH$1001,MATCH(ROWS($AF$2:AF407),$AF$2:$AF$1001,0),0), INDEX($AM$1004:$BM$1004,1,MATCH(COLUMNS($AM$1006:BM1006),$AM$1006:$BM$1006,0)))),"Fix")))</f>
        <v xml:space="preserve"> </v>
      </c>
      <c r="AF407">
        <v>406</v>
      </c>
      <c r="AG407">
        <v>100407</v>
      </c>
      <c r="AH407">
        <v>407</v>
      </c>
      <c r="AI407" t="b">
        <f t="shared" si="6"/>
        <v>1</v>
      </c>
      <c r="AJ407" t="b">
        <f>COUNTBLANK(metadata!B407:AB407)=COLUMNS(metadata!B407:AB407)</f>
        <v>1</v>
      </c>
      <c r="AK407" t="str">
        <v/>
      </c>
      <c r="AM407" t="b">
        <f ca="1">AND(IF(metadata!B407="",FALSE,TRUE),COUNTIF(metadata!B:B, metadata!B407) = 1,NOT(ISERROR(SUMPRODUCT(SEARCH(MID(metadata!B407,ROW(INDIRECT("1:"&amp;LEN(metadata!B407))), 1),"0123456789abcdefghijklmnopqrstuvwxyzABCDEFGHIJKLMNOPQRSTUVWXYZ.")))))</f>
        <v>0</v>
      </c>
      <c r="AN407" t="b">
        <f ca="1">OR(AND(IF(metadata!C407="",FALSE,TRUE),OR(EXACT(metadata!C407,"missing: not collected"),EXACT(metadata!C407,"missing: not provided"),EXACT(metadata!C407,"missing: restricted access"))),AND(IF(metadata!C407="",FALSE,TRUE),AND(AND(IFERROR(INT(LEFT(metadata!C407,4))&gt;1900,FALSE),IFERROR(INT(LEFT(metadata!C407,4))&lt;=YEAR(NOW()),FALSE)), OR(MID(metadata!C407,5,1)="", AND(AND(MID(metadata!C407,5,1)="-",IFERROR(INT(MID(metadata!C407,6,1))&gt;=0,FALSE),IFERROR(INT(MID(metadata!C407,6,1))&lt;=1,FALSE),NOT(MID(metadata!C407,7,1)=""),IFERROR(INT(MID(metadata!C407,6,2))&gt;=1,FALSE),IFERROR(INT(MID(metadata!C407,6,2))&lt;=12,FALSE)), OR(MID(metadata!C407,8,1)="", AND(AND(MID(metadata!C407,8,1)="-",IFERROR(INT(MID(metadata!C407,9,1))&gt;=0,FALSE),IFERROR(INT(MID(metadata!C407,9,1))&lt;=3,FALSE),NOT(MID(metadata!C407,10,1)=""),IFERROR(INT(MID(metadata!C407,9,2))&gt;=1,FALSE),IFERROR(INT(MID(metadata!C407,9,2))&lt;=31,FALSE)), OR(MID(metadata!C407,11,1)="", AND(AND(MID(metadata!C407,11,1)=" ",IFERROR(INT(MID(metadata!C407,12,1))&gt;=0,FALSE),IFERROR(INT(MID(metadata!C407,12,1))&lt;=2,FALSE),NOT(MID(metadata!C407,13,1)=""),IFERROR(INT(MID(metadata!C407,12,2))&gt;=0,FALSE),IFERROR(INT(MID(metadata!C407,12,2))&lt;=23,FALSE)), OR(MID(metadata!C407,14,1)="", AND(AND(MID(metadata!C407,14,1)=":",IFERROR(INT(MID(metadata!C407,15,1))&gt;=0,FALSE),IFERROR(INT(MID(metadata!C407,15,1))&lt;=5,FALSE),NOT(MID(metadata!C407,16,1)=""),IFERROR(INT(MID(metadata!C407,15,2))&gt;=0,FALSE),IFERROR(INT(MID(metadata!C407,15,2))&lt;=59,FALSE)), OR(MID(metadata!C407,17,1)="", AND(AND(MID(metadata!C407,17,1)=":",IFERROR(INT(MID(metadata!C407,18,1))&gt;=0,FALSE),IFERROR(INT(MID(metadata!C407,18,1))&lt;=5,FALSE),NOT(MID(metadata!C407,19,1)=""),IFERROR(INT(MID(metadata!C407,18,2))&gt;=0,FALSE),IFERROR(INT(MID(metadata!C407,18,2))&lt;=59,FALSE)), LEN(metadata!C407)&lt;=19)))))))))))))</f>
        <v>0</v>
      </c>
      <c r="AO407" t="b">
        <f>AND(IF(metadata!D407="",FALSE,TRUE),EXACT(metadata!D407,"Not applicable"))</f>
        <v>0</v>
      </c>
      <c r="AP407" t="b">
        <f>IF(metadata!E407="",FALSE,TRUE)</f>
        <v>0</v>
      </c>
      <c r="AQ407" t="b">
        <f>OR(AND(IF(metadata!F407="",FALSE,TRUE),OR(EXACT(metadata!F407,"missing: not collected"),EXACT(metadata!F407,"missing: not provided"))),AND(IF(metadata!F407="",FALSE,TRUE),OR(EXACT(metadata!F407,"TRUE"),EXACT(metadata!F407,"FALSE"))))</f>
        <v>0</v>
      </c>
      <c r="AR407" t="b">
        <f>OR(AND(IF(metadata!G407="",FALSE,TRUE),OR(EXACT(metadata!G407,"missing: not collected"),EXACT(metadata!G407,"missing: not provided"),EXACT(metadata!G407,"missing: restricted access"))),AND(IF(metadata!G407="",FALSE,ISNUMBER(VALUE(metadata!G407))),metadata!G407&gt;=-413))</f>
        <v>0</v>
      </c>
      <c r="AS407" t="b">
        <f>AND(IF(metadata!H407="",FALSE,TRUE),EXACT(metadata!H407,"meters"))</f>
        <v>0</v>
      </c>
      <c r="AT407" t="b">
        <f>AND(IF(metadata!I407="",FALSE,TRUE),OR(EXACT(metadata!I407,"Host-associated"),EXACT(metadata!I407,"Free-living")))</f>
        <v>0</v>
      </c>
      <c r="AU407" t="b">
        <f>AND(IF(metadata!J407="",FALSE,TRUE),OR(EXACT(metadata!J407,"Animal"),EXACT(metadata!J407,"Fungus"),EXACT(metadata!J407,"Plant"),EXACT(metadata!J407,"Saline"),EXACT(metadata!J407,"Non-saline")))</f>
        <v>0</v>
      </c>
      <c r="AV407" t="b">
        <f>AND(IF(metadata!K407="",FALSE,TRUE),OR(EXACT(metadata!K407,"Plant secretion"),EXACT(metadata!K407,"Plant rhizosphere"),EXACT(metadata!K407,"Plant surface"),EXACT(metadata!K407,"Plant corpus"),EXACT(metadata!K407,"Fungus surface"),EXACT(metadata!K407,"Fungus corpus"),EXACT(metadata!K407,"Animal surface"),EXACT(metadata!K407,"Animal proximal gut"),EXACT(metadata!K407,"Animal corpus"),EXACT(metadata!K407,"Animal distal gut"),EXACT(metadata!K407,"Animal secretion"),EXACT(metadata!K407,"Sub-surface (non-saline)"),EXACT(metadata!K407,"Surface (non-saline)"),EXACT(metadata!K407,"Water (non-saline)"),EXACT(metadata!K407,"Soil (non-saline)"),EXACT(metadata!K407,"Aerosol (non-saline)"),EXACT(metadata!K407,"Sediment (non-saline)"),EXACT(metadata!K407,"Surface (saline)"),EXACT(metadata!K407,"Water (saline)"),EXACT(metadata!K407,"Hypersaline (saline)"),EXACT(metadata!K407,"Aerosol (saline)"),EXACT(metadata!K407,"Sediment (saline)")))</f>
        <v>0</v>
      </c>
      <c r="AW407" t="b">
        <f>IF(metadata!L407="",FALSE,TRUE)</f>
        <v>0</v>
      </c>
      <c r="AX407" t="b">
        <f>IF(metadata!M407="",FALSE,TRUE)</f>
        <v>0</v>
      </c>
      <c r="AY407" t="b">
        <f>IF(metadata!N407="",FALSE,TRUE)</f>
        <v>0</v>
      </c>
      <c r="AZ407" t="b">
        <f>OR(AND(IF(metadata!O407="",FALSE,TRUE),OR(EXACT(metadata!O407,"missing: not collected"),EXACT(metadata!O407,"missing: not provided"),EXACT(metadata!O407,"missing: restricted access"))),AND(IF(metadata!O407="",FALSE,TRUE),OR(EXACT(metadata!O407,"air"),EXACT(metadata!O407,"built environment"),EXACT(metadata!O407,"host-associated"),EXACT(metadata!O407,"human-associated"),EXACT(metadata!O407,"human-skin"),EXACT(metadata!O407,"human-oral"),EXACT(metadata!O407,"human-gut"),EXACT(metadata!O407,"human-vaginal"),EXACT(metadata!O407,"microbial mat/biofilm"),EXACT(metadata!O407,"misc environment"),EXACT(metadata!O407,"plant-associated"),EXACT(metadata!O407,"sediment"),EXACT(metadata!O407,"soil"),EXACT(metadata!O407,"wastewater/sludge"),EXACT(metadata!O407,"water"))))</f>
        <v>0</v>
      </c>
      <c r="BA407" t="b">
        <f>IF(metadata!P407="",FALSE,TRUE)</f>
        <v>0</v>
      </c>
      <c r="BB407" t="b">
        <f>IF(metadata!Q407="",FALSE,TRUE)</f>
        <v>0</v>
      </c>
      <c r="BC407" t="b">
        <f>OR(AND(IF(metadata!R407="",FALSE,TRUE),OR(EXACT(metadata!R407,"missing: not collected"),EXACT(metadata!R407,"missing: not provided"),EXACT(metadata!R407,"missing: restricted access"))),AND(IF(metadata!R407="",FALSE,ISNUMBER(VALUE(metadata!R407))),metadata!R407&gt;=-90,metadata!R407&lt;=90))</f>
        <v>0</v>
      </c>
      <c r="BD407" t="b">
        <f>AND(IF(metadata!S407="",FALSE,TRUE),EXACT(metadata!S407,"Decimal degrees"))</f>
        <v>0</v>
      </c>
      <c r="BE407" t="b">
        <f>OR(AND(IF(metadata!T407="",FALSE,TRUE),OR(EXACT(metadata!T407,"missing: not collected"),EXACT(metadata!T407,"missing: not provided"),EXACT(metadata!T407,"missing: restricted access"))),AND(IF(metadata!T407="",FALSE,ISNUMBER(VALUE(metadata!T407))),metadata!T407&gt;=-180,metadata!T407&lt;=180))</f>
        <v>0</v>
      </c>
      <c r="BF407" t="b">
        <f>AND(IF(metadata!U407="",FALSE,TRUE),EXACT(metadata!U407,"Decimal degrees"))</f>
        <v>0</v>
      </c>
      <c r="BG407" t="b">
        <f>IF(metadata!V407="",FALSE,TRUE)</f>
        <v>0</v>
      </c>
      <c r="BH407" t="b">
        <f>OR(AND(IF(metadata!W407="",FALSE,TRUE),OR(EXACT(metadata!W407,"missing: not collected"),EXACT(metadata!W407,"missing: not provided"),EXACT(metadata!W407,"missing: restricted access"))),AND(IF(metadata!W407="",FALSE,TRUE),OR(EXACT(metadata!W407,"TRUE"),EXACT(metadata!W407,"FALSE"))))</f>
        <v>0</v>
      </c>
      <c r="BI407" t="b">
        <f>AND(IF(metadata!X407="",FALSE,TRUE),EXACT(metadata!X407,"other"))</f>
        <v>0</v>
      </c>
      <c r="BJ407" t="b">
        <f>IF(metadata!Y407="",FALSE,TRUE)</f>
        <v>0</v>
      </c>
      <c r="BK407" t="b">
        <f>OR(AND(IF(metadata!Z407="",FALSE,TRUE),OR(EXACT(metadata!Z407,"missing: not collected"),EXACT(metadata!Z407,"missing: not provided"))),AND(IF(metadata!Z407="",FALSE,IF(ISERROR(INT(metadata!Z407)),FALSE,INT(metadata!Z407)=metadata!Z407)),metadata!Z407&gt;0))</f>
        <v>0</v>
      </c>
      <c r="BL407" t="b">
        <f>AND(IF(metadata!AA407="",FALSE,TRUE),EXACT(metadata!AA407,"Not applicable"))</f>
        <v>0</v>
      </c>
      <c r="BM407" t="b">
        <f>IF(metadata!AB407="",FALSE,TRUE)</f>
        <v>0</v>
      </c>
    </row>
    <row r="408" spans="1:65" x14ac:dyDescent="0.2">
      <c r="A408" s="5" t="str">
        <f ca="1">IF(B408=" "," ",HYPERLINK(CONCATENATE("#metadata!",ADDRESS(INDEX($AH$2:$AH$1001,MATCH(ROWS($AF$2:AF408),$AF$2:$AF$1001,0),0),1)),INDEX($AK$2:$AK$1001,MATCH(ROWS($AF$2:AF408),$AF$2:$AF$1001,0),0)))</f>
        <v xml:space="preserve"> </v>
      </c>
      <c r="B408" s="4" t="str">
        <f ca="1">IF(OR(INDEX($AG$2:$AG$1001,MATCH(ROWS($AF$2:AF408),$AF$2:$AF$1001,0),1)&gt;=100000,INDEX($AM$1005:$BM$1005,1,MATCH(COLUMNS($AM$1006:AM1006),$AM$1006:$BM$1006,0))&gt;=100000), " ",IF(INDEX($AM$2:$BM$1001,MATCH(ROWS($AF$2:AF408),$AF$2:$AF$1001,0),MATCH(COLUMNS($AM$1006:AM1006),$AM$1006:$BM$1006,0)), HYPERLINK("#",""), HYPERLINK(CONCATENATE("#metadata!", ADDRESS(INDEX($AH$2:$AH$1001,MATCH(ROWS($AF$2:AF408),$AF$2:$AF$1001,0),0), INDEX($AM$1004:$BM$1004,1,MATCH(COLUMNS($AM$1006:AM1006),$AM$1006:$BM$1006,0)))),"Fix")))</f>
        <v xml:space="preserve"> </v>
      </c>
      <c r="C408" s="4" t="str">
        <f ca="1">IF(OR(INDEX($AG$2:$AG$1001,MATCH(ROWS($AF$2:AF408),$AF$2:$AF$1001,0),1)&gt;=100000,INDEX($AM$1005:$BM$1005,1,MATCH(COLUMNS($AM$1006:AN1006),$AM$1006:$BM$1006,0))&gt;=100000), " ",IF(INDEX($AM$2:$BM$1001,MATCH(ROWS($AF$2:AF408),$AF$2:$AF$1001,0),MATCH(COLUMNS($AM$1006:AN1006),$AM$1006:$BM$1006,0)), HYPERLINK("#",""), HYPERLINK(CONCATENATE("#metadata!", ADDRESS(INDEX($AH$2:$AH$1001,MATCH(ROWS($AF$2:AF408),$AF$2:$AF$1001,0),0), INDEX($AM$1004:$BM$1004,1,MATCH(COLUMNS($AM$1006:AN1006),$AM$1006:$BM$1006,0)))),"Fix")))</f>
        <v xml:space="preserve"> </v>
      </c>
      <c r="D408" s="4" t="str">
        <f ca="1">IF(OR(INDEX($AG$2:$AG$1001,MATCH(ROWS($AF$2:AF408),$AF$2:$AF$1001,0),1)&gt;=100000,INDEX($AM$1005:$BM$1005,1,MATCH(COLUMNS($AM$1006:AO1006),$AM$1006:$BM$1006,0))&gt;=100000), " ",IF(INDEX($AM$2:$BM$1001,MATCH(ROWS($AF$2:AF408),$AF$2:$AF$1001,0),MATCH(COLUMNS($AM$1006:AO1006),$AM$1006:$BM$1006,0)), HYPERLINK("#",""), HYPERLINK(CONCATENATE("#metadata!", ADDRESS(INDEX($AH$2:$AH$1001,MATCH(ROWS($AF$2:AF408),$AF$2:$AF$1001,0),0), INDEX($AM$1004:$BM$1004,1,MATCH(COLUMNS($AM$1006:AO1006),$AM$1006:$BM$1006,0)))),"Fix")))</f>
        <v xml:space="preserve"> </v>
      </c>
      <c r="E408" s="4" t="str">
        <f ca="1">IF(OR(INDEX($AG$2:$AG$1001,MATCH(ROWS($AF$2:AF408),$AF$2:$AF$1001,0),1)&gt;=100000,INDEX($AM$1005:$BM$1005,1,MATCH(COLUMNS($AM$1006:AP1006),$AM$1006:$BM$1006,0))&gt;=100000), " ",IF(INDEX($AM$2:$BM$1001,MATCH(ROWS($AF$2:AF408),$AF$2:$AF$1001,0),MATCH(COLUMNS($AM$1006:AP1006),$AM$1006:$BM$1006,0)), HYPERLINK("#",""), HYPERLINK(CONCATENATE("#metadata!", ADDRESS(INDEX($AH$2:$AH$1001,MATCH(ROWS($AF$2:AF408),$AF$2:$AF$1001,0),0), INDEX($AM$1004:$BM$1004,1,MATCH(COLUMNS($AM$1006:AP1006),$AM$1006:$BM$1006,0)))),"Fix")))</f>
        <v xml:space="preserve"> </v>
      </c>
      <c r="F408" s="4" t="str">
        <f ca="1">IF(OR(INDEX($AG$2:$AG$1001,MATCH(ROWS($AF$2:AF408),$AF$2:$AF$1001,0),1)&gt;=100000,INDEX($AM$1005:$BM$1005,1,MATCH(COLUMNS($AM$1006:AQ1006),$AM$1006:$BM$1006,0))&gt;=100000), " ",IF(INDEX($AM$2:$BM$1001,MATCH(ROWS($AF$2:AF408),$AF$2:$AF$1001,0),MATCH(COLUMNS($AM$1006:AQ1006),$AM$1006:$BM$1006,0)), HYPERLINK("#",""), HYPERLINK(CONCATENATE("#metadata!", ADDRESS(INDEX($AH$2:$AH$1001,MATCH(ROWS($AF$2:AF408),$AF$2:$AF$1001,0),0), INDEX($AM$1004:$BM$1004,1,MATCH(COLUMNS($AM$1006:AQ1006),$AM$1006:$BM$1006,0)))),"Fix")))</f>
        <v xml:space="preserve"> </v>
      </c>
      <c r="G408" s="4" t="str">
        <f ca="1">IF(OR(INDEX($AG$2:$AG$1001,MATCH(ROWS($AF$2:AF408),$AF$2:$AF$1001,0),1)&gt;=100000,INDEX($AM$1005:$BM$1005,1,MATCH(COLUMNS($AM$1006:AR1006),$AM$1006:$BM$1006,0))&gt;=100000), " ",IF(INDEX($AM$2:$BM$1001,MATCH(ROWS($AF$2:AF408),$AF$2:$AF$1001,0),MATCH(COLUMNS($AM$1006:AR1006),$AM$1006:$BM$1006,0)), HYPERLINK("#",""), HYPERLINK(CONCATENATE("#metadata!", ADDRESS(INDEX($AH$2:$AH$1001,MATCH(ROWS($AF$2:AF408),$AF$2:$AF$1001,0),0), INDEX($AM$1004:$BM$1004,1,MATCH(COLUMNS($AM$1006:AR1006),$AM$1006:$BM$1006,0)))),"Fix")))</f>
        <v xml:space="preserve"> </v>
      </c>
      <c r="H408" s="4" t="str">
        <f ca="1">IF(OR(INDEX($AG$2:$AG$1001,MATCH(ROWS($AF$2:AF408),$AF$2:$AF$1001,0),1)&gt;=100000,INDEX($AM$1005:$BM$1005,1,MATCH(COLUMNS($AM$1006:AS1006),$AM$1006:$BM$1006,0))&gt;=100000), " ",IF(INDEX($AM$2:$BM$1001,MATCH(ROWS($AF$2:AF408),$AF$2:$AF$1001,0),MATCH(COLUMNS($AM$1006:AS1006),$AM$1006:$BM$1006,0)), HYPERLINK("#",""), HYPERLINK(CONCATENATE("#metadata!", ADDRESS(INDEX($AH$2:$AH$1001,MATCH(ROWS($AF$2:AF408),$AF$2:$AF$1001,0),0), INDEX($AM$1004:$BM$1004,1,MATCH(COLUMNS($AM$1006:AS1006),$AM$1006:$BM$1006,0)))),"Fix")))</f>
        <v xml:space="preserve"> </v>
      </c>
      <c r="I408" s="4" t="str">
        <f ca="1">IF(OR(INDEX($AG$2:$AG$1001,MATCH(ROWS($AF$2:AF408),$AF$2:$AF$1001,0),1)&gt;=100000,INDEX($AM$1005:$BM$1005,1,MATCH(COLUMNS($AM$1006:AT1006),$AM$1006:$BM$1006,0))&gt;=100000), " ",IF(INDEX($AM$2:$BM$1001,MATCH(ROWS($AF$2:AF408),$AF$2:$AF$1001,0),MATCH(COLUMNS($AM$1006:AT1006),$AM$1006:$BM$1006,0)), HYPERLINK("#",""), HYPERLINK(CONCATENATE("#metadata!", ADDRESS(INDEX($AH$2:$AH$1001,MATCH(ROWS($AF$2:AF408),$AF$2:$AF$1001,0),0), INDEX($AM$1004:$BM$1004,1,MATCH(COLUMNS($AM$1006:AT1006),$AM$1006:$BM$1006,0)))),"Fix")))</f>
        <v xml:space="preserve"> </v>
      </c>
      <c r="J408" s="4" t="str">
        <f ca="1">IF(OR(INDEX($AG$2:$AG$1001,MATCH(ROWS($AF$2:AF408),$AF$2:$AF$1001,0),1)&gt;=100000,INDEX($AM$1005:$BM$1005,1,MATCH(COLUMNS($AM$1006:AU1006),$AM$1006:$BM$1006,0))&gt;=100000), " ",IF(INDEX($AM$2:$BM$1001,MATCH(ROWS($AF$2:AF408),$AF$2:$AF$1001,0),MATCH(COLUMNS($AM$1006:AU1006),$AM$1006:$BM$1006,0)), HYPERLINK("#",""), HYPERLINK(CONCATENATE("#metadata!", ADDRESS(INDEX($AH$2:$AH$1001,MATCH(ROWS($AF$2:AF408),$AF$2:$AF$1001,0),0), INDEX($AM$1004:$BM$1004,1,MATCH(COLUMNS($AM$1006:AU1006),$AM$1006:$BM$1006,0)))),"Fix")))</f>
        <v xml:space="preserve"> </v>
      </c>
      <c r="K408" s="4" t="str">
        <f ca="1">IF(OR(INDEX($AG$2:$AG$1001,MATCH(ROWS($AF$2:AF408),$AF$2:$AF$1001,0),1)&gt;=100000,INDEX($AM$1005:$BM$1005,1,MATCH(COLUMNS($AM$1006:AV1006),$AM$1006:$BM$1006,0))&gt;=100000), " ",IF(INDEX($AM$2:$BM$1001,MATCH(ROWS($AF$2:AF408),$AF$2:$AF$1001,0),MATCH(COLUMNS($AM$1006:AV1006),$AM$1006:$BM$1006,0)), HYPERLINK("#",""), HYPERLINK(CONCATENATE("#metadata!", ADDRESS(INDEX($AH$2:$AH$1001,MATCH(ROWS($AF$2:AF408),$AF$2:$AF$1001,0),0), INDEX($AM$1004:$BM$1004,1,MATCH(COLUMNS($AM$1006:AV1006),$AM$1006:$BM$1006,0)))),"Fix")))</f>
        <v xml:space="preserve"> </v>
      </c>
      <c r="L408" s="4" t="str">
        <f ca="1">IF(OR(INDEX($AG$2:$AG$1001,MATCH(ROWS($AF$2:AF408),$AF$2:$AF$1001,0),1)&gt;=100000,INDEX($AM$1005:$BM$1005,1,MATCH(COLUMNS($AM$1006:AW1006),$AM$1006:$BM$1006,0))&gt;=100000), " ",IF(INDEX($AM$2:$BM$1001,MATCH(ROWS($AF$2:AF408),$AF$2:$AF$1001,0),MATCH(COLUMNS($AM$1006:AW1006),$AM$1006:$BM$1006,0)), HYPERLINK("#",""), HYPERLINK(CONCATENATE("#metadata!", ADDRESS(INDEX($AH$2:$AH$1001,MATCH(ROWS($AF$2:AF408),$AF$2:$AF$1001,0),0), INDEX($AM$1004:$BM$1004,1,MATCH(COLUMNS($AM$1006:AW1006),$AM$1006:$BM$1006,0)))),"Fix")))</f>
        <v xml:space="preserve"> </v>
      </c>
      <c r="M408" s="4" t="str">
        <f ca="1">IF(OR(INDEX($AG$2:$AG$1001,MATCH(ROWS($AF$2:AF408),$AF$2:$AF$1001,0),1)&gt;=100000,INDEX($AM$1005:$BM$1005,1,MATCH(COLUMNS($AM$1006:AX1006),$AM$1006:$BM$1006,0))&gt;=100000), " ",IF(INDEX($AM$2:$BM$1001,MATCH(ROWS($AF$2:AF408),$AF$2:$AF$1001,0),MATCH(COLUMNS($AM$1006:AX1006),$AM$1006:$BM$1006,0)), HYPERLINK("#",""), HYPERLINK(CONCATENATE("#metadata!", ADDRESS(INDEX($AH$2:$AH$1001,MATCH(ROWS($AF$2:AF408),$AF$2:$AF$1001,0),0), INDEX($AM$1004:$BM$1004,1,MATCH(COLUMNS($AM$1006:AX1006),$AM$1006:$BM$1006,0)))),"Fix")))</f>
        <v xml:space="preserve"> </v>
      </c>
      <c r="N408" s="4" t="str">
        <f ca="1">IF(OR(INDEX($AG$2:$AG$1001,MATCH(ROWS($AF$2:AF408),$AF$2:$AF$1001,0),1)&gt;=100000,INDEX($AM$1005:$BM$1005,1,MATCH(COLUMNS($AM$1006:AY1006),$AM$1006:$BM$1006,0))&gt;=100000), " ",IF(INDEX($AM$2:$BM$1001,MATCH(ROWS($AF$2:AF408),$AF$2:$AF$1001,0),MATCH(COLUMNS($AM$1006:AY1006),$AM$1006:$BM$1006,0)), HYPERLINK("#",""), HYPERLINK(CONCATENATE("#metadata!", ADDRESS(INDEX($AH$2:$AH$1001,MATCH(ROWS($AF$2:AF408),$AF$2:$AF$1001,0),0), INDEX($AM$1004:$BM$1004,1,MATCH(COLUMNS($AM$1006:AY1006),$AM$1006:$BM$1006,0)))),"Fix")))</f>
        <v xml:space="preserve"> </v>
      </c>
      <c r="O408" s="4" t="str">
        <f ca="1">IF(OR(INDEX($AG$2:$AG$1001,MATCH(ROWS($AF$2:AF408),$AF$2:$AF$1001,0),1)&gt;=100000,INDEX($AM$1005:$BM$1005,1,MATCH(COLUMNS($AM$1006:AZ1006),$AM$1006:$BM$1006,0))&gt;=100000), " ",IF(INDEX($AM$2:$BM$1001,MATCH(ROWS($AF$2:AF408),$AF$2:$AF$1001,0),MATCH(COLUMNS($AM$1006:AZ1006),$AM$1006:$BM$1006,0)), HYPERLINK("#",""), HYPERLINK(CONCATENATE("#metadata!", ADDRESS(INDEX($AH$2:$AH$1001,MATCH(ROWS($AF$2:AF408),$AF$2:$AF$1001,0),0), INDEX($AM$1004:$BM$1004,1,MATCH(COLUMNS($AM$1006:AZ1006),$AM$1006:$BM$1006,0)))),"Fix")))</f>
        <v xml:space="preserve"> </v>
      </c>
      <c r="P408" s="4" t="str">
        <f ca="1">IF(OR(INDEX($AG$2:$AG$1001,MATCH(ROWS($AF$2:AF408),$AF$2:$AF$1001,0),1)&gt;=100000,INDEX($AM$1005:$BM$1005,1,MATCH(COLUMNS($AM$1006:BA1006),$AM$1006:$BM$1006,0))&gt;=100000), " ",IF(INDEX($AM$2:$BM$1001,MATCH(ROWS($AF$2:AF408),$AF$2:$AF$1001,0),MATCH(COLUMNS($AM$1006:BA1006),$AM$1006:$BM$1006,0)), HYPERLINK("#",""), HYPERLINK(CONCATENATE("#metadata!", ADDRESS(INDEX($AH$2:$AH$1001,MATCH(ROWS($AF$2:AF408),$AF$2:$AF$1001,0),0), INDEX($AM$1004:$BM$1004,1,MATCH(COLUMNS($AM$1006:BA1006),$AM$1006:$BM$1006,0)))),"Fix")))</f>
        <v xml:space="preserve"> </v>
      </c>
      <c r="Q408" s="4" t="str">
        <f ca="1">IF(OR(INDEX($AG$2:$AG$1001,MATCH(ROWS($AF$2:AF408),$AF$2:$AF$1001,0),1)&gt;=100000,INDEX($AM$1005:$BM$1005,1,MATCH(COLUMNS($AM$1006:BB1006),$AM$1006:$BM$1006,0))&gt;=100000), " ",IF(INDEX($AM$2:$BM$1001,MATCH(ROWS($AF$2:AF408),$AF$2:$AF$1001,0),MATCH(COLUMNS($AM$1006:BB1006),$AM$1006:$BM$1006,0)), HYPERLINK("#",""), HYPERLINK(CONCATENATE("#metadata!", ADDRESS(INDEX($AH$2:$AH$1001,MATCH(ROWS($AF$2:AF408),$AF$2:$AF$1001,0),0), INDEX($AM$1004:$BM$1004,1,MATCH(COLUMNS($AM$1006:BB1006),$AM$1006:$BM$1006,0)))),"Fix")))</f>
        <v xml:space="preserve"> </v>
      </c>
      <c r="R408" s="4" t="str">
        <f ca="1">IF(OR(INDEX($AG$2:$AG$1001,MATCH(ROWS($AF$2:AF408),$AF$2:$AF$1001,0),1)&gt;=100000,INDEX($AM$1005:$BM$1005,1,MATCH(COLUMNS($AM$1006:BC1006),$AM$1006:$BM$1006,0))&gt;=100000), " ",IF(INDEX($AM$2:$BM$1001,MATCH(ROWS($AF$2:AF408),$AF$2:$AF$1001,0),MATCH(COLUMNS($AM$1006:BC1006),$AM$1006:$BM$1006,0)), HYPERLINK("#",""), HYPERLINK(CONCATENATE("#metadata!", ADDRESS(INDEX($AH$2:$AH$1001,MATCH(ROWS($AF$2:AF408),$AF$2:$AF$1001,0),0), INDEX($AM$1004:$BM$1004,1,MATCH(COLUMNS($AM$1006:BC1006),$AM$1006:$BM$1006,0)))),"Fix")))</f>
        <v xml:space="preserve"> </v>
      </c>
      <c r="S408" s="4" t="str">
        <f ca="1">IF(OR(INDEX($AG$2:$AG$1001,MATCH(ROWS($AF$2:AF408),$AF$2:$AF$1001,0),1)&gt;=100000,INDEX($AM$1005:$BM$1005,1,MATCH(COLUMNS($AM$1006:BD1006),$AM$1006:$BM$1006,0))&gt;=100000), " ",IF(INDEX($AM$2:$BM$1001,MATCH(ROWS($AF$2:AF408),$AF$2:$AF$1001,0),MATCH(COLUMNS($AM$1006:BD1006),$AM$1006:$BM$1006,0)), HYPERLINK("#",""), HYPERLINK(CONCATENATE("#metadata!", ADDRESS(INDEX($AH$2:$AH$1001,MATCH(ROWS($AF$2:AF408),$AF$2:$AF$1001,0),0), INDEX($AM$1004:$BM$1004,1,MATCH(COLUMNS($AM$1006:BD1006),$AM$1006:$BM$1006,0)))),"Fix")))</f>
        <v xml:space="preserve"> </v>
      </c>
      <c r="T408" s="4" t="str">
        <f ca="1">IF(OR(INDEX($AG$2:$AG$1001,MATCH(ROWS($AF$2:AF408),$AF$2:$AF$1001,0),1)&gt;=100000,INDEX($AM$1005:$BM$1005,1,MATCH(COLUMNS($AM$1006:BE1006),$AM$1006:$BM$1006,0))&gt;=100000), " ",IF(INDEX($AM$2:$BM$1001,MATCH(ROWS($AF$2:AF408),$AF$2:$AF$1001,0),MATCH(COLUMNS($AM$1006:BE1006),$AM$1006:$BM$1006,0)), HYPERLINK("#",""), HYPERLINK(CONCATENATE("#metadata!", ADDRESS(INDEX($AH$2:$AH$1001,MATCH(ROWS($AF$2:AF408),$AF$2:$AF$1001,0),0), INDEX($AM$1004:$BM$1004,1,MATCH(COLUMNS($AM$1006:BE1006),$AM$1006:$BM$1006,0)))),"Fix")))</f>
        <v xml:space="preserve"> </v>
      </c>
      <c r="U408" s="4" t="str">
        <f ca="1">IF(OR(INDEX($AG$2:$AG$1001,MATCH(ROWS($AF$2:AF408),$AF$2:$AF$1001,0),1)&gt;=100000,INDEX($AM$1005:$BM$1005,1,MATCH(COLUMNS($AM$1006:BF1006),$AM$1006:$BM$1006,0))&gt;=100000), " ",IF(INDEX($AM$2:$BM$1001,MATCH(ROWS($AF$2:AF408),$AF$2:$AF$1001,0),MATCH(COLUMNS($AM$1006:BF1006),$AM$1006:$BM$1006,0)), HYPERLINK("#",""), HYPERLINK(CONCATENATE("#metadata!", ADDRESS(INDEX($AH$2:$AH$1001,MATCH(ROWS($AF$2:AF408),$AF$2:$AF$1001,0),0), INDEX($AM$1004:$BM$1004,1,MATCH(COLUMNS($AM$1006:BF1006),$AM$1006:$BM$1006,0)))),"Fix")))</f>
        <v xml:space="preserve"> </v>
      </c>
      <c r="V408" s="4" t="str">
        <f ca="1">IF(OR(INDEX($AG$2:$AG$1001,MATCH(ROWS($AF$2:AF408),$AF$2:$AF$1001,0),1)&gt;=100000,INDEX($AM$1005:$BM$1005,1,MATCH(COLUMNS($AM$1006:BG1006),$AM$1006:$BM$1006,0))&gt;=100000), " ",IF(INDEX($AM$2:$BM$1001,MATCH(ROWS($AF$2:AF408),$AF$2:$AF$1001,0),MATCH(COLUMNS($AM$1006:BG1006),$AM$1006:$BM$1006,0)), HYPERLINK("#",""), HYPERLINK(CONCATENATE("#metadata!", ADDRESS(INDEX($AH$2:$AH$1001,MATCH(ROWS($AF$2:AF408),$AF$2:$AF$1001,0),0), INDEX($AM$1004:$BM$1004,1,MATCH(COLUMNS($AM$1006:BG1006),$AM$1006:$BM$1006,0)))),"Fix")))</f>
        <v xml:space="preserve"> </v>
      </c>
      <c r="W408" s="4" t="str">
        <f ca="1">IF(OR(INDEX($AG$2:$AG$1001,MATCH(ROWS($AF$2:AF408),$AF$2:$AF$1001,0),1)&gt;=100000,INDEX($AM$1005:$BM$1005,1,MATCH(COLUMNS($AM$1006:BH1006),$AM$1006:$BM$1006,0))&gt;=100000), " ",IF(INDEX($AM$2:$BM$1001,MATCH(ROWS($AF$2:AF408),$AF$2:$AF$1001,0),MATCH(COLUMNS($AM$1006:BH1006),$AM$1006:$BM$1006,0)), HYPERLINK("#",""), HYPERLINK(CONCATENATE("#metadata!", ADDRESS(INDEX($AH$2:$AH$1001,MATCH(ROWS($AF$2:AF408),$AF$2:$AF$1001,0),0), INDEX($AM$1004:$BM$1004,1,MATCH(COLUMNS($AM$1006:BH1006),$AM$1006:$BM$1006,0)))),"Fix")))</f>
        <v xml:space="preserve"> </v>
      </c>
      <c r="X408" s="4" t="str">
        <f ca="1">IF(OR(INDEX($AG$2:$AG$1001,MATCH(ROWS($AF$2:AF408),$AF$2:$AF$1001,0),1)&gt;=100000,INDEX($AM$1005:$BM$1005,1,MATCH(COLUMNS($AM$1006:BI1006),$AM$1006:$BM$1006,0))&gt;=100000), " ",IF(INDEX($AM$2:$BM$1001,MATCH(ROWS($AF$2:AF408),$AF$2:$AF$1001,0),MATCH(COLUMNS($AM$1006:BI1006),$AM$1006:$BM$1006,0)), HYPERLINK("#",""), HYPERLINK(CONCATENATE("#metadata!", ADDRESS(INDEX($AH$2:$AH$1001,MATCH(ROWS($AF$2:AF408),$AF$2:$AF$1001,0),0), INDEX($AM$1004:$BM$1004,1,MATCH(COLUMNS($AM$1006:BI1006),$AM$1006:$BM$1006,0)))),"Fix")))</f>
        <v xml:space="preserve"> </v>
      </c>
      <c r="Y408" s="4" t="str">
        <f ca="1">IF(OR(INDEX($AG$2:$AG$1001,MATCH(ROWS($AF$2:AF408),$AF$2:$AF$1001,0),1)&gt;=100000,INDEX($AM$1005:$BM$1005,1,MATCH(COLUMNS($AM$1006:BJ1006),$AM$1006:$BM$1006,0))&gt;=100000), " ",IF(INDEX($AM$2:$BM$1001,MATCH(ROWS($AF$2:AF408),$AF$2:$AF$1001,0),MATCH(COLUMNS($AM$1006:BJ1006),$AM$1006:$BM$1006,0)), HYPERLINK("#",""), HYPERLINK(CONCATENATE("#metadata!", ADDRESS(INDEX($AH$2:$AH$1001,MATCH(ROWS($AF$2:AF408),$AF$2:$AF$1001,0),0), INDEX($AM$1004:$BM$1004,1,MATCH(COLUMNS($AM$1006:BJ1006),$AM$1006:$BM$1006,0)))),"Fix")))</f>
        <v xml:space="preserve"> </v>
      </c>
      <c r="Z408" s="4" t="str">
        <f ca="1">IF(OR(INDEX($AG$2:$AG$1001,MATCH(ROWS($AF$2:AF408),$AF$2:$AF$1001,0),1)&gt;=100000,INDEX($AM$1005:$BM$1005,1,MATCH(COLUMNS($AM$1006:BK1006),$AM$1006:$BM$1006,0))&gt;=100000), " ",IF(INDEX($AM$2:$BM$1001,MATCH(ROWS($AF$2:AF408),$AF$2:$AF$1001,0),MATCH(COLUMNS($AM$1006:BK1006),$AM$1006:$BM$1006,0)), HYPERLINK("#",""), HYPERLINK(CONCATENATE("#metadata!", ADDRESS(INDEX($AH$2:$AH$1001,MATCH(ROWS($AF$2:AF408),$AF$2:$AF$1001,0),0), INDEX($AM$1004:$BM$1004,1,MATCH(COLUMNS($AM$1006:BK1006),$AM$1006:$BM$1006,0)))),"Fix")))</f>
        <v xml:space="preserve"> </v>
      </c>
      <c r="AA408" s="4" t="str">
        <f ca="1">IF(OR(INDEX($AG$2:$AG$1001,MATCH(ROWS($AF$2:AF408),$AF$2:$AF$1001,0),1)&gt;=100000,INDEX($AM$1005:$BM$1005,1,MATCH(COLUMNS($AM$1006:BL1006),$AM$1006:$BM$1006,0))&gt;=100000), " ",IF(INDEX($AM$2:$BM$1001,MATCH(ROWS($AF$2:AF408),$AF$2:$AF$1001,0),MATCH(COLUMNS($AM$1006:BL1006),$AM$1006:$BM$1006,0)), HYPERLINK("#",""), HYPERLINK(CONCATENATE("#metadata!", ADDRESS(INDEX($AH$2:$AH$1001,MATCH(ROWS($AF$2:AF408),$AF$2:$AF$1001,0),0), INDEX($AM$1004:$BM$1004,1,MATCH(COLUMNS($AM$1006:BL1006),$AM$1006:$BM$1006,0)))),"Fix")))</f>
        <v xml:space="preserve"> </v>
      </c>
      <c r="AB408" s="4" t="str">
        <f ca="1">IF(OR(INDEX($AG$2:$AG$1001,MATCH(ROWS($AF$2:AF408),$AF$2:$AF$1001,0),1)&gt;=100000,INDEX($AM$1005:$BM$1005,1,MATCH(COLUMNS($AM$1006:BM1006),$AM$1006:$BM$1006,0))&gt;=100000), " ",IF(INDEX($AM$2:$BM$1001,MATCH(ROWS($AF$2:AF408),$AF$2:$AF$1001,0),MATCH(COLUMNS($AM$1006:BM1006),$AM$1006:$BM$1006,0)), HYPERLINK("#",""), HYPERLINK(CONCATENATE("#metadata!", ADDRESS(INDEX($AH$2:$AH$1001,MATCH(ROWS($AF$2:AF408),$AF$2:$AF$1001,0),0), INDEX($AM$1004:$BM$1004,1,MATCH(COLUMNS($AM$1006:BM1006),$AM$1006:$BM$1006,0)))),"Fix")))</f>
        <v xml:space="preserve"> </v>
      </c>
      <c r="AF408">
        <v>407</v>
      </c>
      <c r="AG408">
        <v>100408</v>
      </c>
      <c r="AH408">
        <v>408</v>
      </c>
      <c r="AI408" t="b">
        <f t="shared" si="6"/>
        <v>1</v>
      </c>
      <c r="AJ408" t="b">
        <f>COUNTBLANK(metadata!B408:AB408)=COLUMNS(metadata!B408:AB408)</f>
        <v>1</v>
      </c>
      <c r="AK408" t="str">
        <v/>
      </c>
      <c r="AM408" t="b">
        <f ca="1">AND(IF(metadata!B408="",FALSE,TRUE),COUNTIF(metadata!B:B, metadata!B408) = 1,NOT(ISERROR(SUMPRODUCT(SEARCH(MID(metadata!B408,ROW(INDIRECT("1:"&amp;LEN(metadata!B408))), 1),"0123456789abcdefghijklmnopqrstuvwxyzABCDEFGHIJKLMNOPQRSTUVWXYZ.")))))</f>
        <v>0</v>
      </c>
      <c r="AN408" t="b">
        <f ca="1">OR(AND(IF(metadata!C408="",FALSE,TRUE),OR(EXACT(metadata!C408,"missing: not collected"),EXACT(metadata!C408,"missing: not provided"),EXACT(metadata!C408,"missing: restricted access"))),AND(IF(metadata!C408="",FALSE,TRUE),AND(AND(IFERROR(INT(LEFT(metadata!C408,4))&gt;1900,FALSE),IFERROR(INT(LEFT(metadata!C408,4))&lt;=YEAR(NOW()),FALSE)), OR(MID(metadata!C408,5,1)="", AND(AND(MID(metadata!C408,5,1)="-",IFERROR(INT(MID(metadata!C408,6,1))&gt;=0,FALSE),IFERROR(INT(MID(metadata!C408,6,1))&lt;=1,FALSE),NOT(MID(metadata!C408,7,1)=""),IFERROR(INT(MID(metadata!C408,6,2))&gt;=1,FALSE),IFERROR(INT(MID(metadata!C408,6,2))&lt;=12,FALSE)), OR(MID(metadata!C408,8,1)="", AND(AND(MID(metadata!C408,8,1)="-",IFERROR(INT(MID(metadata!C408,9,1))&gt;=0,FALSE),IFERROR(INT(MID(metadata!C408,9,1))&lt;=3,FALSE),NOT(MID(metadata!C408,10,1)=""),IFERROR(INT(MID(metadata!C408,9,2))&gt;=1,FALSE),IFERROR(INT(MID(metadata!C408,9,2))&lt;=31,FALSE)), OR(MID(metadata!C408,11,1)="", AND(AND(MID(metadata!C408,11,1)=" ",IFERROR(INT(MID(metadata!C408,12,1))&gt;=0,FALSE),IFERROR(INT(MID(metadata!C408,12,1))&lt;=2,FALSE),NOT(MID(metadata!C408,13,1)=""),IFERROR(INT(MID(metadata!C408,12,2))&gt;=0,FALSE),IFERROR(INT(MID(metadata!C408,12,2))&lt;=23,FALSE)), OR(MID(metadata!C408,14,1)="", AND(AND(MID(metadata!C408,14,1)=":",IFERROR(INT(MID(metadata!C408,15,1))&gt;=0,FALSE),IFERROR(INT(MID(metadata!C408,15,1))&lt;=5,FALSE),NOT(MID(metadata!C408,16,1)=""),IFERROR(INT(MID(metadata!C408,15,2))&gt;=0,FALSE),IFERROR(INT(MID(metadata!C408,15,2))&lt;=59,FALSE)), OR(MID(metadata!C408,17,1)="", AND(AND(MID(metadata!C408,17,1)=":",IFERROR(INT(MID(metadata!C408,18,1))&gt;=0,FALSE),IFERROR(INT(MID(metadata!C408,18,1))&lt;=5,FALSE),NOT(MID(metadata!C408,19,1)=""),IFERROR(INT(MID(metadata!C408,18,2))&gt;=0,FALSE),IFERROR(INT(MID(metadata!C408,18,2))&lt;=59,FALSE)), LEN(metadata!C408)&lt;=19)))))))))))))</f>
        <v>0</v>
      </c>
      <c r="AO408" t="b">
        <f>AND(IF(metadata!D408="",FALSE,TRUE),EXACT(metadata!D408,"Not applicable"))</f>
        <v>0</v>
      </c>
      <c r="AP408" t="b">
        <f>IF(metadata!E408="",FALSE,TRUE)</f>
        <v>0</v>
      </c>
      <c r="AQ408" t="b">
        <f>OR(AND(IF(metadata!F408="",FALSE,TRUE),OR(EXACT(metadata!F408,"missing: not collected"),EXACT(metadata!F408,"missing: not provided"))),AND(IF(metadata!F408="",FALSE,TRUE),OR(EXACT(metadata!F408,"TRUE"),EXACT(metadata!F408,"FALSE"))))</f>
        <v>0</v>
      </c>
      <c r="AR408" t="b">
        <f>OR(AND(IF(metadata!G408="",FALSE,TRUE),OR(EXACT(metadata!G408,"missing: not collected"),EXACT(metadata!G408,"missing: not provided"),EXACT(metadata!G408,"missing: restricted access"))),AND(IF(metadata!G408="",FALSE,ISNUMBER(VALUE(metadata!G408))),metadata!G408&gt;=-413))</f>
        <v>0</v>
      </c>
      <c r="AS408" t="b">
        <f>AND(IF(metadata!H408="",FALSE,TRUE),EXACT(metadata!H408,"meters"))</f>
        <v>0</v>
      </c>
      <c r="AT408" t="b">
        <f>AND(IF(metadata!I408="",FALSE,TRUE),OR(EXACT(metadata!I408,"Host-associated"),EXACT(metadata!I408,"Free-living")))</f>
        <v>0</v>
      </c>
      <c r="AU408" t="b">
        <f>AND(IF(metadata!J408="",FALSE,TRUE),OR(EXACT(metadata!J408,"Animal"),EXACT(metadata!J408,"Fungus"),EXACT(metadata!J408,"Plant"),EXACT(metadata!J408,"Saline"),EXACT(metadata!J408,"Non-saline")))</f>
        <v>0</v>
      </c>
      <c r="AV408" t="b">
        <f>AND(IF(metadata!K408="",FALSE,TRUE),OR(EXACT(metadata!K408,"Plant secretion"),EXACT(metadata!K408,"Plant rhizosphere"),EXACT(metadata!K408,"Plant surface"),EXACT(metadata!K408,"Plant corpus"),EXACT(metadata!K408,"Fungus surface"),EXACT(metadata!K408,"Fungus corpus"),EXACT(metadata!K408,"Animal surface"),EXACT(metadata!K408,"Animal proximal gut"),EXACT(metadata!K408,"Animal corpus"),EXACT(metadata!K408,"Animal distal gut"),EXACT(metadata!K408,"Animal secretion"),EXACT(metadata!K408,"Sub-surface (non-saline)"),EXACT(metadata!K408,"Surface (non-saline)"),EXACT(metadata!K408,"Water (non-saline)"),EXACT(metadata!K408,"Soil (non-saline)"),EXACT(metadata!K408,"Aerosol (non-saline)"),EXACT(metadata!K408,"Sediment (non-saline)"),EXACT(metadata!K408,"Surface (saline)"),EXACT(metadata!K408,"Water (saline)"),EXACT(metadata!K408,"Hypersaline (saline)"),EXACT(metadata!K408,"Aerosol (saline)"),EXACT(metadata!K408,"Sediment (saline)")))</f>
        <v>0</v>
      </c>
      <c r="AW408" t="b">
        <f>IF(metadata!L408="",FALSE,TRUE)</f>
        <v>0</v>
      </c>
      <c r="AX408" t="b">
        <f>IF(metadata!M408="",FALSE,TRUE)</f>
        <v>0</v>
      </c>
      <c r="AY408" t="b">
        <f>IF(metadata!N408="",FALSE,TRUE)</f>
        <v>0</v>
      </c>
      <c r="AZ408" t="b">
        <f>OR(AND(IF(metadata!O408="",FALSE,TRUE),OR(EXACT(metadata!O408,"missing: not collected"),EXACT(metadata!O408,"missing: not provided"),EXACT(metadata!O408,"missing: restricted access"))),AND(IF(metadata!O408="",FALSE,TRUE),OR(EXACT(metadata!O408,"air"),EXACT(metadata!O408,"built environment"),EXACT(metadata!O408,"host-associated"),EXACT(metadata!O408,"human-associated"),EXACT(metadata!O408,"human-skin"),EXACT(metadata!O408,"human-oral"),EXACT(metadata!O408,"human-gut"),EXACT(metadata!O408,"human-vaginal"),EXACT(metadata!O408,"microbial mat/biofilm"),EXACT(metadata!O408,"misc environment"),EXACT(metadata!O408,"plant-associated"),EXACT(metadata!O408,"sediment"),EXACT(metadata!O408,"soil"),EXACT(metadata!O408,"wastewater/sludge"),EXACT(metadata!O408,"water"))))</f>
        <v>0</v>
      </c>
      <c r="BA408" t="b">
        <f>IF(metadata!P408="",FALSE,TRUE)</f>
        <v>0</v>
      </c>
      <c r="BB408" t="b">
        <f>IF(metadata!Q408="",FALSE,TRUE)</f>
        <v>0</v>
      </c>
      <c r="BC408" t="b">
        <f>OR(AND(IF(metadata!R408="",FALSE,TRUE),OR(EXACT(metadata!R408,"missing: not collected"),EXACT(metadata!R408,"missing: not provided"),EXACT(metadata!R408,"missing: restricted access"))),AND(IF(metadata!R408="",FALSE,ISNUMBER(VALUE(metadata!R408))),metadata!R408&gt;=-90,metadata!R408&lt;=90))</f>
        <v>0</v>
      </c>
      <c r="BD408" t="b">
        <f>AND(IF(metadata!S408="",FALSE,TRUE),EXACT(metadata!S408,"Decimal degrees"))</f>
        <v>0</v>
      </c>
      <c r="BE408" t="b">
        <f>OR(AND(IF(metadata!T408="",FALSE,TRUE),OR(EXACT(metadata!T408,"missing: not collected"),EXACT(metadata!T408,"missing: not provided"),EXACT(metadata!T408,"missing: restricted access"))),AND(IF(metadata!T408="",FALSE,ISNUMBER(VALUE(metadata!T408))),metadata!T408&gt;=-180,metadata!T408&lt;=180))</f>
        <v>0</v>
      </c>
      <c r="BF408" t="b">
        <f>AND(IF(metadata!U408="",FALSE,TRUE),EXACT(metadata!U408,"Decimal degrees"))</f>
        <v>0</v>
      </c>
      <c r="BG408" t="b">
        <f>IF(metadata!V408="",FALSE,TRUE)</f>
        <v>0</v>
      </c>
      <c r="BH408" t="b">
        <f>OR(AND(IF(metadata!W408="",FALSE,TRUE),OR(EXACT(metadata!W408,"missing: not collected"),EXACT(metadata!W408,"missing: not provided"),EXACT(metadata!W408,"missing: restricted access"))),AND(IF(metadata!W408="",FALSE,TRUE),OR(EXACT(metadata!W408,"TRUE"),EXACT(metadata!W408,"FALSE"))))</f>
        <v>0</v>
      </c>
      <c r="BI408" t="b">
        <f>AND(IF(metadata!X408="",FALSE,TRUE),EXACT(metadata!X408,"other"))</f>
        <v>0</v>
      </c>
      <c r="BJ408" t="b">
        <f>IF(metadata!Y408="",FALSE,TRUE)</f>
        <v>0</v>
      </c>
      <c r="BK408" t="b">
        <f>OR(AND(IF(metadata!Z408="",FALSE,TRUE),OR(EXACT(metadata!Z408,"missing: not collected"),EXACT(metadata!Z408,"missing: not provided"))),AND(IF(metadata!Z408="",FALSE,IF(ISERROR(INT(metadata!Z408)),FALSE,INT(metadata!Z408)=metadata!Z408)),metadata!Z408&gt;0))</f>
        <v>0</v>
      </c>
      <c r="BL408" t="b">
        <f>AND(IF(metadata!AA408="",FALSE,TRUE),EXACT(metadata!AA408,"Not applicable"))</f>
        <v>0</v>
      </c>
      <c r="BM408" t="b">
        <f>IF(metadata!AB408="",FALSE,TRUE)</f>
        <v>0</v>
      </c>
    </row>
    <row r="409" spans="1:65" x14ac:dyDescent="0.2">
      <c r="A409" s="5" t="str">
        <f ca="1">IF(B409=" "," ",HYPERLINK(CONCATENATE("#metadata!",ADDRESS(INDEX($AH$2:$AH$1001,MATCH(ROWS($AF$2:AF409),$AF$2:$AF$1001,0),0),1)),INDEX($AK$2:$AK$1001,MATCH(ROWS($AF$2:AF409),$AF$2:$AF$1001,0),0)))</f>
        <v xml:space="preserve"> </v>
      </c>
      <c r="B409" s="4" t="str">
        <f ca="1">IF(OR(INDEX($AG$2:$AG$1001,MATCH(ROWS($AF$2:AF409),$AF$2:$AF$1001,0),1)&gt;=100000,INDEX($AM$1005:$BM$1005,1,MATCH(COLUMNS($AM$1006:AM1006),$AM$1006:$BM$1006,0))&gt;=100000), " ",IF(INDEX($AM$2:$BM$1001,MATCH(ROWS($AF$2:AF409),$AF$2:$AF$1001,0),MATCH(COLUMNS($AM$1006:AM1006),$AM$1006:$BM$1006,0)), HYPERLINK("#",""), HYPERLINK(CONCATENATE("#metadata!", ADDRESS(INDEX($AH$2:$AH$1001,MATCH(ROWS($AF$2:AF409),$AF$2:$AF$1001,0),0), INDEX($AM$1004:$BM$1004,1,MATCH(COLUMNS($AM$1006:AM1006),$AM$1006:$BM$1006,0)))),"Fix")))</f>
        <v xml:space="preserve"> </v>
      </c>
      <c r="C409" s="4" t="str">
        <f ca="1">IF(OR(INDEX($AG$2:$AG$1001,MATCH(ROWS($AF$2:AF409),$AF$2:$AF$1001,0),1)&gt;=100000,INDEX($AM$1005:$BM$1005,1,MATCH(COLUMNS($AM$1006:AN1006),$AM$1006:$BM$1006,0))&gt;=100000), " ",IF(INDEX($AM$2:$BM$1001,MATCH(ROWS($AF$2:AF409),$AF$2:$AF$1001,0),MATCH(COLUMNS($AM$1006:AN1006),$AM$1006:$BM$1006,0)), HYPERLINK("#",""), HYPERLINK(CONCATENATE("#metadata!", ADDRESS(INDEX($AH$2:$AH$1001,MATCH(ROWS($AF$2:AF409),$AF$2:$AF$1001,0),0), INDEX($AM$1004:$BM$1004,1,MATCH(COLUMNS($AM$1006:AN1006),$AM$1006:$BM$1006,0)))),"Fix")))</f>
        <v xml:space="preserve"> </v>
      </c>
      <c r="D409" s="4" t="str">
        <f ca="1">IF(OR(INDEX($AG$2:$AG$1001,MATCH(ROWS($AF$2:AF409),$AF$2:$AF$1001,0),1)&gt;=100000,INDEX($AM$1005:$BM$1005,1,MATCH(COLUMNS($AM$1006:AO1006),$AM$1006:$BM$1006,0))&gt;=100000), " ",IF(INDEX($AM$2:$BM$1001,MATCH(ROWS($AF$2:AF409),$AF$2:$AF$1001,0),MATCH(COLUMNS($AM$1006:AO1006),$AM$1006:$BM$1006,0)), HYPERLINK("#",""), HYPERLINK(CONCATENATE("#metadata!", ADDRESS(INDEX($AH$2:$AH$1001,MATCH(ROWS($AF$2:AF409),$AF$2:$AF$1001,0),0), INDEX($AM$1004:$BM$1004,1,MATCH(COLUMNS($AM$1006:AO1006),$AM$1006:$BM$1006,0)))),"Fix")))</f>
        <v xml:space="preserve"> </v>
      </c>
      <c r="E409" s="4" t="str">
        <f ca="1">IF(OR(INDEX($AG$2:$AG$1001,MATCH(ROWS($AF$2:AF409),$AF$2:$AF$1001,0),1)&gt;=100000,INDEX($AM$1005:$BM$1005,1,MATCH(COLUMNS($AM$1006:AP1006),$AM$1006:$BM$1006,0))&gt;=100000), " ",IF(INDEX($AM$2:$BM$1001,MATCH(ROWS($AF$2:AF409),$AF$2:$AF$1001,0),MATCH(COLUMNS($AM$1006:AP1006),$AM$1006:$BM$1006,0)), HYPERLINK("#",""), HYPERLINK(CONCATENATE("#metadata!", ADDRESS(INDEX($AH$2:$AH$1001,MATCH(ROWS($AF$2:AF409),$AF$2:$AF$1001,0),0), INDEX($AM$1004:$BM$1004,1,MATCH(COLUMNS($AM$1006:AP1006),$AM$1006:$BM$1006,0)))),"Fix")))</f>
        <v xml:space="preserve"> </v>
      </c>
      <c r="F409" s="4" t="str">
        <f ca="1">IF(OR(INDEX($AG$2:$AG$1001,MATCH(ROWS($AF$2:AF409),$AF$2:$AF$1001,0),1)&gt;=100000,INDEX($AM$1005:$BM$1005,1,MATCH(COLUMNS($AM$1006:AQ1006),$AM$1006:$BM$1006,0))&gt;=100000), " ",IF(INDEX($AM$2:$BM$1001,MATCH(ROWS($AF$2:AF409),$AF$2:$AF$1001,0),MATCH(COLUMNS($AM$1006:AQ1006),$AM$1006:$BM$1006,0)), HYPERLINK("#",""), HYPERLINK(CONCATENATE("#metadata!", ADDRESS(INDEX($AH$2:$AH$1001,MATCH(ROWS($AF$2:AF409),$AF$2:$AF$1001,0),0), INDEX($AM$1004:$BM$1004,1,MATCH(COLUMNS($AM$1006:AQ1006),$AM$1006:$BM$1006,0)))),"Fix")))</f>
        <v xml:space="preserve"> </v>
      </c>
      <c r="G409" s="4" t="str">
        <f ca="1">IF(OR(INDEX($AG$2:$AG$1001,MATCH(ROWS($AF$2:AF409),$AF$2:$AF$1001,0),1)&gt;=100000,INDEX($AM$1005:$BM$1005,1,MATCH(COLUMNS($AM$1006:AR1006),$AM$1006:$BM$1006,0))&gt;=100000), " ",IF(INDEX($AM$2:$BM$1001,MATCH(ROWS($AF$2:AF409),$AF$2:$AF$1001,0),MATCH(COLUMNS($AM$1006:AR1006),$AM$1006:$BM$1006,0)), HYPERLINK("#",""), HYPERLINK(CONCATENATE("#metadata!", ADDRESS(INDEX($AH$2:$AH$1001,MATCH(ROWS($AF$2:AF409),$AF$2:$AF$1001,0),0), INDEX($AM$1004:$BM$1004,1,MATCH(COLUMNS($AM$1006:AR1006),$AM$1006:$BM$1006,0)))),"Fix")))</f>
        <v xml:space="preserve"> </v>
      </c>
      <c r="H409" s="4" t="str">
        <f ca="1">IF(OR(INDEX($AG$2:$AG$1001,MATCH(ROWS($AF$2:AF409),$AF$2:$AF$1001,0),1)&gt;=100000,INDEX($AM$1005:$BM$1005,1,MATCH(COLUMNS($AM$1006:AS1006),$AM$1006:$BM$1006,0))&gt;=100000), " ",IF(INDEX($AM$2:$BM$1001,MATCH(ROWS($AF$2:AF409),$AF$2:$AF$1001,0),MATCH(COLUMNS($AM$1006:AS1006),$AM$1006:$BM$1006,0)), HYPERLINK("#",""), HYPERLINK(CONCATENATE("#metadata!", ADDRESS(INDEX($AH$2:$AH$1001,MATCH(ROWS($AF$2:AF409),$AF$2:$AF$1001,0),0), INDEX($AM$1004:$BM$1004,1,MATCH(COLUMNS($AM$1006:AS1006),$AM$1006:$BM$1006,0)))),"Fix")))</f>
        <v xml:space="preserve"> </v>
      </c>
      <c r="I409" s="4" t="str">
        <f ca="1">IF(OR(INDEX($AG$2:$AG$1001,MATCH(ROWS($AF$2:AF409),$AF$2:$AF$1001,0),1)&gt;=100000,INDEX($AM$1005:$BM$1005,1,MATCH(COLUMNS($AM$1006:AT1006),$AM$1006:$BM$1006,0))&gt;=100000), " ",IF(INDEX($AM$2:$BM$1001,MATCH(ROWS($AF$2:AF409),$AF$2:$AF$1001,0),MATCH(COLUMNS($AM$1006:AT1006),$AM$1006:$BM$1006,0)), HYPERLINK("#",""), HYPERLINK(CONCATENATE("#metadata!", ADDRESS(INDEX($AH$2:$AH$1001,MATCH(ROWS($AF$2:AF409),$AF$2:$AF$1001,0),0), INDEX($AM$1004:$BM$1004,1,MATCH(COLUMNS($AM$1006:AT1006),$AM$1006:$BM$1006,0)))),"Fix")))</f>
        <v xml:space="preserve"> </v>
      </c>
      <c r="J409" s="4" t="str">
        <f ca="1">IF(OR(INDEX($AG$2:$AG$1001,MATCH(ROWS($AF$2:AF409),$AF$2:$AF$1001,0),1)&gt;=100000,INDEX($AM$1005:$BM$1005,1,MATCH(COLUMNS($AM$1006:AU1006),$AM$1006:$BM$1006,0))&gt;=100000), " ",IF(INDEX($AM$2:$BM$1001,MATCH(ROWS($AF$2:AF409),$AF$2:$AF$1001,0),MATCH(COLUMNS($AM$1006:AU1006),$AM$1006:$BM$1006,0)), HYPERLINK("#",""), HYPERLINK(CONCATENATE("#metadata!", ADDRESS(INDEX($AH$2:$AH$1001,MATCH(ROWS($AF$2:AF409),$AF$2:$AF$1001,0),0), INDEX($AM$1004:$BM$1004,1,MATCH(COLUMNS($AM$1006:AU1006),$AM$1006:$BM$1006,0)))),"Fix")))</f>
        <v xml:space="preserve"> </v>
      </c>
      <c r="K409" s="4" t="str">
        <f ca="1">IF(OR(INDEX($AG$2:$AG$1001,MATCH(ROWS($AF$2:AF409),$AF$2:$AF$1001,0),1)&gt;=100000,INDEX($AM$1005:$BM$1005,1,MATCH(COLUMNS($AM$1006:AV1006),$AM$1006:$BM$1006,0))&gt;=100000), " ",IF(INDEX($AM$2:$BM$1001,MATCH(ROWS($AF$2:AF409),$AF$2:$AF$1001,0),MATCH(COLUMNS($AM$1006:AV1006),$AM$1006:$BM$1006,0)), HYPERLINK("#",""), HYPERLINK(CONCATENATE("#metadata!", ADDRESS(INDEX($AH$2:$AH$1001,MATCH(ROWS($AF$2:AF409),$AF$2:$AF$1001,0),0), INDEX($AM$1004:$BM$1004,1,MATCH(COLUMNS($AM$1006:AV1006),$AM$1006:$BM$1006,0)))),"Fix")))</f>
        <v xml:space="preserve"> </v>
      </c>
      <c r="L409" s="4" t="str">
        <f ca="1">IF(OR(INDEX($AG$2:$AG$1001,MATCH(ROWS($AF$2:AF409),$AF$2:$AF$1001,0),1)&gt;=100000,INDEX($AM$1005:$BM$1005,1,MATCH(COLUMNS($AM$1006:AW1006),$AM$1006:$BM$1006,0))&gt;=100000), " ",IF(INDEX($AM$2:$BM$1001,MATCH(ROWS($AF$2:AF409),$AF$2:$AF$1001,0),MATCH(COLUMNS($AM$1006:AW1006),$AM$1006:$BM$1006,0)), HYPERLINK("#",""), HYPERLINK(CONCATENATE("#metadata!", ADDRESS(INDEX($AH$2:$AH$1001,MATCH(ROWS($AF$2:AF409),$AF$2:$AF$1001,0),0), INDEX($AM$1004:$BM$1004,1,MATCH(COLUMNS($AM$1006:AW1006),$AM$1006:$BM$1006,0)))),"Fix")))</f>
        <v xml:space="preserve"> </v>
      </c>
      <c r="M409" s="4" t="str">
        <f ca="1">IF(OR(INDEX($AG$2:$AG$1001,MATCH(ROWS($AF$2:AF409),$AF$2:$AF$1001,0),1)&gt;=100000,INDEX($AM$1005:$BM$1005,1,MATCH(COLUMNS($AM$1006:AX1006),$AM$1006:$BM$1006,0))&gt;=100000), " ",IF(INDEX($AM$2:$BM$1001,MATCH(ROWS($AF$2:AF409),$AF$2:$AF$1001,0),MATCH(COLUMNS($AM$1006:AX1006),$AM$1006:$BM$1006,0)), HYPERLINK("#",""), HYPERLINK(CONCATENATE("#metadata!", ADDRESS(INDEX($AH$2:$AH$1001,MATCH(ROWS($AF$2:AF409),$AF$2:$AF$1001,0),0), INDEX($AM$1004:$BM$1004,1,MATCH(COLUMNS($AM$1006:AX1006),$AM$1006:$BM$1006,0)))),"Fix")))</f>
        <v xml:space="preserve"> </v>
      </c>
      <c r="N409" s="4" t="str">
        <f ca="1">IF(OR(INDEX($AG$2:$AG$1001,MATCH(ROWS($AF$2:AF409),$AF$2:$AF$1001,0),1)&gt;=100000,INDEX($AM$1005:$BM$1005,1,MATCH(COLUMNS($AM$1006:AY1006),$AM$1006:$BM$1006,0))&gt;=100000), " ",IF(INDEX($AM$2:$BM$1001,MATCH(ROWS($AF$2:AF409),$AF$2:$AF$1001,0),MATCH(COLUMNS($AM$1006:AY1006),$AM$1006:$BM$1006,0)), HYPERLINK("#",""), HYPERLINK(CONCATENATE("#metadata!", ADDRESS(INDEX($AH$2:$AH$1001,MATCH(ROWS($AF$2:AF409),$AF$2:$AF$1001,0),0), INDEX($AM$1004:$BM$1004,1,MATCH(COLUMNS($AM$1006:AY1006),$AM$1006:$BM$1006,0)))),"Fix")))</f>
        <v xml:space="preserve"> </v>
      </c>
      <c r="O409" s="4" t="str">
        <f ca="1">IF(OR(INDEX($AG$2:$AG$1001,MATCH(ROWS($AF$2:AF409),$AF$2:$AF$1001,0),1)&gt;=100000,INDEX($AM$1005:$BM$1005,1,MATCH(COLUMNS($AM$1006:AZ1006),$AM$1006:$BM$1006,0))&gt;=100000), " ",IF(INDEX($AM$2:$BM$1001,MATCH(ROWS($AF$2:AF409),$AF$2:$AF$1001,0),MATCH(COLUMNS($AM$1006:AZ1006),$AM$1006:$BM$1006,0)), HYPERLINK("#",""), HYPERLINK(CONCATENATE("#metadata!", ADDRESS(INDEX($AH$2:$AH$1001,MATCH(ROWS($AF$2:AF409),$AF$2:$AF$1001,0),0), INDEX($AM$1004:$BM$1004,1,MATCH(COLUMNS($AM$1006:AZ1006),$AM$1006:$BM$1006,0)))),"Fix")))</f>
        <v xml:space="preserve"> </v>
      </c>
      <c r="P409" s="4" t="str">
        <f ca="1">IF(OR(INDEX($AG$2:$AG$1001,MATCH(ROWS($AF$2:AF409),$AF$2:$AF$1001,0),1)&gt;=100000,INDEX($AM$1005:$BM$1005,1,MATCH(COLUMNS($AM$1006:BA1006),$AM$1006:$BM$1006,0))&gt;=100000), " ",IF(INDEX($AM$2:$BM$1001,MATCH(ROWS($AF$2:AF409),$AF$2:$AF$1001,0),MATCH(COLUMNS($AM$1006:BA1006),$AM$1006:$BM$1006,0)), HYPERLINK("#",""), HYPERLINK(CONCATENATE("#metadata!", ADDRESS(INDEX($AH$2:$AH$1001,MATCH(ROWS($AF$2:AF409),$AF$2:$AF$1001,0),0), INDEX($AM$1004:$BM$1004,1,MATCH(COLUMNS($AM$1006:BA1006),$AM$1006:$BM$1006,0)))),"Fix")))</f>
        <v xml:space="preserve"> </v>
      </c>
      <c r="Q409" s="4" t="str">
        <f ca="1">IF(OR(INDEX($AG$2:$AG$1001,MATCH(ROWS($AF$2:AF409),$AF$2:$AF$1001,0),1)&gt;=100000,INDEX($AM$1005:$BM$1005,1,MATCH(COLUMNS($AM$1006:BB1006),$AM$1006:$BM$1006,0))&gt;=100000), " ",IF(INDEX($AM$2:$BM$1001,MATCH(ROWS($AF$2:AF409),$AF$2:$AF$1001,0),MATCH(COLUMNS($AM$1006:BB1006),$AM$1006:$BM$1006,0)), HYPERLINK("#",""), HYPERLINK(CONCATENATE("#metadata!", ADDRESS(INDEX($AH$2:$AH$1001,MATCH(ROWS($AF$2:AF409),$AF$2:$AF$1001,0),0), INDEX($AM$1004:$BM$1004,1,MATCH(COLUMNS($AM$1006:BB1006),$AM$1006:$BM$1006,0)))),"Fix")))</f>
        <v xml:space="preserve"> </v>
      </c>
      <c r="R409" s="4" t="str">
        <f ca="1">IF(OR(INDEX($AG$2:$AG$1001,MATCH(ROWS($AF$2:AF409),$AF$2:$AF$1001,0),1)&gt;=100000,INDEX($AM$1005:$BM$1005,1,MATCH(COLUMNS($AM$1006:BC1006),$AM$1006:$BM$1006,0))&gt;=100000), " ",IF(INDEX($AM$2:$BM$1001,MATCH(ROWS($AF$2:AF409),$AF$2:$AF$1001,0),MATCH(COLUMNS($AM$1006:BC1006),$AM$1006:$BM$1006,0)), HYPERLINK("#",""), HYPERLINK(CONCATENATE("#metadata!", ADDRESS(INDEX($AH$2:$AH$1001,MATCH(ROWS($AF$2:AF409),$AF$2:$AF$1001,0),0), INDEX($AM$1004:$BM$1004,1,MATCH(COLUMNS($AM$1006:BC1006),$AM$1006:$BM$1006,0)))),"Fix")))</f>
        <v xml:space="preserve"> </v>
      </c>
      <c r="S409" s="4" t="str">
        <f ca="1">IF(OR(INDEX($AG$2:$AG$1001,MATCH(ROWS($AF$2:AF409),$AF$2:$AF$1001,0),1)&gt;=100000,INDEX($AM$1005:$BM$1005,1,MATCH(COLUMNS($AM$1006:BD1006),$AM$1006:$BM$1006,0))&gt;=100000), " ",IF(INDEX($AM$2:$BM$1001,MATCH(ROWS($AF$2:AF409),$AF$2:$AF$1001,0),MATCH(COLUMNS($AM$1006:BD1006),$AM$1006:$BM$1006,0)), HYPERLINK("#",""), HYPERLINK(CONCATENATE("#metadata!", ADDRESS(INDEX($AH$2:$AH$1001,MATCH(ROWS($AF$2:AF409),$AF$2:$AF$1001,0),0), INDEX($AM$1004:$BM$1004,1,MATCH(COLUMNS($AM$1006:BD1006),$AM$1006:$BM$1006,0)))),"Fix")))</f>
        <v xml:space="preserve"> </v>
      </c>
      <c r="T409" s="4" t="str">
        <f ca="1">IF(OR(INDEX($AG$2:$AG$1001,MATCH(ROWS($AF$2:AF409),$AF$2:$AF$1001,0),1)&gt;=100000,INDEX($AM$1005:$BM$1005,1,MATCH(COLUMNS($AM$1006:BE1006),$AM$1006:$BM$1006,0))&gt;=100000), " ",IF(INDEX($AM$2:$BM$1001,MATCH(ROWS($AF$2:AF409),$AF$2:$AF$1001,0),MATCH(COLUMNS($AM$1006:BE1006),$AM$1006:$BM$1006,0)), HYPERLINK("#",""), HYPERLINK(CONCATENATE("#metadata!", ADDRESS(INDEX($AH$2:$AH$1001,MATCH(ROWS($AF$2:AF409),$AF$2:$AF$1001,0),0), INDEX($AM$1004:$BM$1004,1,MATCH(COLUMNS($AM$1006:BE1006),$AM$1006:$BM$1006,0)))),"Fix")))</f>
        <v xml:space="preserve"> </v>
      </c>
      <c r="U409" s="4" t="str">
        <f ca="1">IF(OR(INDEX($AG$2:$AG$1001,MATCH(ROWS($AF$2:AF409),$AF$2:$AF$1001,0),1)&gt;=100000,INDEX($AM$1005:$BM$1005,1,MATCH(COLUMNS($AM$1006:BF1006),$AM$1006:$BM$1006,0))&gt;=100000), " ",IF(INDEX($AM$2:$BM$1001,MATCH(ROWS($AF$2:AF409),$AF$2:$AF$1001,0),MATCH(COLUMNS($AM$1006:BF1006),$AM$1006:$BM$1006,0)), HYPERLINK("#",""), HYPERLINK(CONCATENATE("#metadata!", ADDRESS(INDEX($AH$2:$AH$1001,MATCH(ROWS($AF$2:AF409),$AF$2:$AF$1001,0),0), INDEX($AM$1004:$BM$1004,1,MATCH(COLUMNS($AM$1006:BF1006),$AM$1006:$BM$1006,0)))),"Fix")))</f>
        <v xml:space="preserve"> </v>
      </c>
      <c r="V409" s="4" t="str">
        <f ca="1">IF(OR(INDEX($AG$2:$AG$1001,MATCH(ROWS($AF$2:AF409),$AF$2:$AF$1001,0),1)&gt;=100000,INDEX($AM$1005:$BM$1005,1,MATCH(COLUMNS($AM$1006:BG1006),$AM$1006:$BM$1006,0))&gt;=100000), " ",IF(INDEX($AM$2:$BM$1001,MATCH(ROWS($AF$2:AF409),$AF$2:$AF$1001,0),MATCH(COLUMNS($AM$1006:BG1006),$AM$1006:$BM$1006,0)), HYPERLINK("#",""), HYPERLINK(CONCATENATE("#metadata!", ADDRESS(INDEX($AH$2:$AH$1001,MATCH(ROWS($AF$2:AF409),$AF$2:$AF$1001,0),0), INDEX($AM$1004:$BM$1004,1,MATCH(COLUMNS($AM$1006:BG1006),$AM$1006:$BM$1006,0)))),"Fix")))</f>
        <v xml:space="preserve"> </v>
      </c>
      <c r="W409" s="4" t="str">
        <f ca="1">IF(OR(INDEX($AG$2:$AG$1001,MATCH(ROWS($AF$2:AF409),$AF$2:$AF$1001,0),1)&gt;=100000,INDEX($AM$1005:$BM$1005,1,MATCH(COLUMNS($AM$1006:BH1006),$AM$1006:$BM$1006,0))&gt;=100000), " ",IF(INDEX($AM$2:$BM$1001,MATCH(ROWS($AF$2:AF409),$AF$2:$AF$1001,0),MATCH(COLUMNS($AM$1006:BH1006),$AM$1006:$BM$1006,0)), HYPERLINK("#",""), HYPERLINK(CONCATENATE("#metadata!", ADDRESS(INDEX($AH$2:$AH$1001,MATCH(ROWS($AF$2:AF409),$AF$2:$AF$1001,0),0), INDEX($AM$1004:$BM$1004,1,MATCH(COLUMNS($AM$1006:BH1006),$AM$1006:$BM$1006,0)))),"Fix")))</f>
        <v xml:space="preserve"> </v>
      </c>
      <c r="X409" s="4" t="str">
        <f ca="1">IF(OR(INDEX($AG$2:$AG$1001,MATCH(ROWS($AF$2:AF409),$AF$2:$AF$1001,0),1)&gt;=100000,INDEX($AM$1005:$BM$1005,1,MATCH(COLUMNS($AM$1006:BI1006),$AM$1006:$BM$1006,0))&gt;=100000), " ",IF(INDEX($AM$2:$BM$1001,MATCH(ROWS($AF$2:AF409),$AF$2:$AF$1001,0),MATCH(COLUMNS($AM$1006:BI1006),$AM$1006:$BM$1006,0)), HYPERLINK("#",""), HYPERLINK(CONCATENATE("#metadata!", ADDRESS(INDEX($AH$2:$AH$1001,MATCH(ROWS($AF$2:AF409),$AF$2:$AF$1001,0),0), INDEX($AM$1004:$BM$1004,1,MATCH(COLUMNS($AM$1006:BI1006),$AM$1006:$BM$1006,0)))),"Fix")))</f>
        <v xml:space="preserve"> </v>
      </c>
      <c r="Y409" s="4" t="str">
        <f ca="1">IF(OR(INDEX($AG$2:$AG$1001,MATCH(ROWS($AF$2:AF409),$AF$2:$AF$1001,0),1)&gt;=100000,INDEX($AM$1005:$BM$1005,1,MATCH(COLUMNS($AM$1006:BJ1006),$AM$1006:$BM$1006,0))&gt;=100000), " ",IF(INDEX($AM$2:$BM$1001,MATCH(ROWS($AF$2:AF409),$AF$2:$AF$1001,0),MATCH(COLUMNS($AM$1006:BJ1006),$AM$1006:$BM$1006,0)), HYPERLINK("#",""), HYPERLINK(CONCATENATE("#metadata!", ADDRESS(INDEX($AH$2:$AH$1001,MATCH(ROWS($AF$2:AF409),$AF$2:$AF$1001,0),0), INDEX($AM$1004:$BM$1004,1,MATCH(COLUMNS($AM$1006:BJ1006),$AM$1006:$BM$1006,0)))),"Fix")))</f>
        <v xml:space="preserve"> </v>
      </c>
      <c r="Z409" s="4" t="str">
        <f ca="1">IF(OR(INDEX($AG$2:$AG$1001,MATCH(ROWS($AF$2:AF409),$AF$2:$AF$1001,0),1)&gt;=100000,INDEX($AM$1005:$BM$1005,1,MATCH(COLUMNS($AM$1006:BK1006),$AM$1006:$BM$1006,0))&gt;=100000), " ",IF(INDEX($AM$2:$BM$1001,MATCH(ROWS($AF$2:AF409),$AF$2:$AF$1001,0),MATCH(COLUMNS($AM$1006:BK1006),$AM$1006:$BM$1006,0)), HYPERLINK("#",""), HYPERLINK(CONCATENATE("#metadata!", ADDRESS(INDEX($AH$2:$AH$1001,MATCH(ROWS($AF$2:AF409),$AF$2:$AF$1001,0),0), INDEX($AM$1004:$BM$1004,1,MATCH(COLUMNS($AM$1006:BK1006),$AM$1006:$BM$1006,0)))),"Fix")))</f>
        <v xml:space="preserve"> </v>
      </c>
      <c r="AA409" s="4" t="str">
        <f ca="1">IF(OR(INDEX($AG$2:$AG$1001,MATCH(ROWS($AF$2:AF409),$AF$2:$AF$1001,0),1)&gt;=100000,INDEX($AM$1005:$BM$1005,1,MATCH(COLUMNS($AM$1006:BL1006),$AM$1006:$BM$1006,0))&gt;=100000), " ",IF(INDEX($AM$2:$BM$1001,MATCH(ROWS($AF$2:AF409),$AF$2:$AF$1001,0),MATCH(COLUMNS($AM$1006:BL1006),$AM$1006:$BM$1006,0)), HYPERLINK("#",""), HYPERLINK(CONCATENATE("#metadata!", ADDRESS(INDEX($AH$2:$AH$1001,MATCH(ROWS($AF$2:AF409),$AF$2:$AF$1001,0),0), INDEX($AM$1004:$BM$1004,1,MATCH(COLUMNS($AM$1006:BL1006),$AM$1006:$BM$1006,0)))),"Fix")))</f>
        <v xml:space="preserve"> </v>
      </c>
      <c r="AB409" s="4" t="str">
        <f ca="1">IF(OR(INDEX($AG$2:$AG$1001,MATCH(ROWS($AF$2:AF409),$AF$2:$AF$1001,0),1)&gt;=100000,INDEX($AM$1005:$BM$1005,1,MATCH(COLUMNS($AM$1006:BM1006),$AM$1006:$BM$1006,0))&gt;=100000), " ",IF(INDEX($AM$2:$BM$1001,MATCH(ROWS($AF$2:AF409),$AF$2:$AF$1001,0),MATCH(COLUMNS($AM$1006:BM1006),$AM$1006:$BM$1006,0)), HYPERLINK("#",""), HYPERLINK(CONCATENATE("#metadata!", ADDRESS(INDEX($AH$2:$AH$1001,MATCH(ROWS($AF$2:AF409),$AF$2:$AF$1001,0),0), INDEX($AM$1004:$BM$1004,1,MATCH(COLUMNS($AM$1006:BM1006),$AM$1006:$BM$1006,0)))),"Fix")))</f>
        <v xml:space="preserve"> </v>
      </c>
      <c r="AF409">
        <v>408</v>
      </c>
      <c r="AG409">
        <v>100409</v>
      </c>
      <c r="AH409">
        <v>409</v>
      </c>
      <c r="AI409" t="b">
        <f t="shared" si="6"/>
        <v>1</v>
      </c>
      <c r="AJ409" t="b">
        <f>COUNTBLANK(metadata!B409:AB409)=COLUMNS(metadata!B409:AB409)</f>
        <v>1</v>
      </c>
      <c r="AK409" t="str">
        <v/>
      </c>
      <c r="AM409" t="b">
        <f ca="1">AND(IF(metadata!B409="",FALSE,TRUE),COUNTIF(metadata!B:B, metadata!B409) = 1,NOT(ISERROR(SUMPRODUCT(SEARCH(MID(metadata!B409,ROW(INDIRECT("1:"&amp;LEN(metadata!B409))), 1),"0123456789abcdefghijklmnopqrstuvwxyzABCDEFGHIJKLMNOPQRSTUVWXYZ.")))))</f>
        <v>0</v>
      </c>
      <c r="AN409" t="b">
        <f ca="1">OR(AND(IF(metadata!C409="",FALSE,TRUE),OR(EXACT(metadata!C409,"missing: not collected"),EXACT(metadata!C409,"missing: not provided"),EXACT(metadata!C409,"missing: restricted access"))),AND(IF(metadata!C409="",FALSE,TRUE),AND(AND(IFERROR(INT(LEFT(metadata!C409,4))&gt;1900,FALSE),IFERROR(INT(LEFT(metadata!C409,4))&lt;=YEAR(NOW()),FALSE)), OR(MID(metadata!C409,5,1)="", AND(AND(MID(metadata!C409,5,1)="-",IFERROR(INT(MID(metadata!C409,6,1))&gt;=0,FALSE),IFERROR(INT(MID(metadata!C409,6,1))&lt;=1,FALSE),NOT(MID(metadata!C409,7,1)=""),IFERROR(INT(MID(metadata!C409,6,2))&gt;=1,FALSE),IFERROR(INT(MID(metadata!C409,6,2))&lt;=12,FALSE)), OR(MID(metadata!C409,8,1)="", AND(AND(MID(metadata!C409,8,1)="-",IFERROR(INT(MID(metadata!C409,9,1))&gt;=0,FALSE),IFERROR(INT(MID(metadata!C409,9,1))&lt;=3,FALSE),NOT(MID(metadata!C409,10,1)=""),IFERROR(INT(MID(metadata!C409,9,2))&gt;=1,FALSE),IFERROR(INT(MID(metadata!C409,9,2))&lt;=31,FALSE)), OR(MID(metadata!C409,11,1)="", AND(AND(MID(metadata!C409,11,1)=" ",IFERROR(INT(MID(metadata!C409,12,1))&gt;=0,FALSE),IFERROR(INT(MID(metadata!C409,12,1))&lt;=2,FALSE),NOT(MID(metadata!C409,13,1)=""),IFERROR(INT(MID(metadata!C409,12,2))&gt;=0,FALSE),IFERROR(INT(MID(metadata!C409,12,2))&lt;=23,FALSE)), OR(MID(metadata!C409,14,1)="", AND(AND(MID(metadata!C409,14,1)=":",IFERROR(INT(MID(metadata!C409,15,1))&gt;=0,FALSE),IFERROR(INT(MID(metadata!C409,15,1))&lt;=5,FALSE),NOT(MID(metadata!C409,16,1)=""),IFERROR(INT(MID(metadata!C409,15,2))&gt;=0,FALSE),IFERROR(INT(MID(metadata!C409,15,2))&lt;=59,FALSE)), OR(MID(metadata!C409,17,1)="", AND(AND(MID(metadata!C409,17,1)=":",IFERROR(INT(MID(metadata!C409,18,1))&gt;=0,FALSE),IFERROR(INT(MID(metadata!C409,18,1))&lt;=5,FALSE),NOT(MID(metadata!C409,19,1)=""),IFERROR(INT(MID(metadata!C409,18,2))&gt;=0,FALSE),IFERROR(INT(MID(metadata!C409,18,2))&lt;=59,FALSE)), LEN(metadata!C409)&lt;=19)))))))))))))</f>
        <v>0</v>
      </c>
      <c r="AO409" t="b">
        <f>AND(IF(metadata!D409="",FALSE,TRUE),EXACT(metadata!D409,"Not applicable"))</f>
        <v>0</v>
      </c>
      <c r="AP409" t="b">
        <f>IF(metadata!E409="",FALSE,TRUE)</f>
        <v>0</v>
      </c>
      <c r="AQ409" t="b">
        <f>OR(AND(IF(metadata!F409="",FALSE,TRUE),OR(EXACT(metadata!F409,"missing: not collected"),EXACT(metadata!F409,"missing: not provided"))),AND(IF(metadata!F409="",FALSE,TRUE),OR(EXACT(metadata!F409,"TRUE"),EXACT(metadata!F409,"FALSE"))))</f>
        <v>0</v>
      </c>
      <c r="AR409" t="b">
        <f>OR(AND(IF(metadata!G409="",FALSE,TRUE),OR(EXACT(metadata!G409,"missing: not collected"),EXACT(metadata!G409,"missing: not provided"),EXACT(metadata!G409,"missing: restricted access"))),AND(IF(metadata!G409="",FALSE,ISNUMBER(VALUE(metadata!G409))),metadata!G409&gt;=-413))</f>
        <v>0</v>
      </c>
      <c r="AS409" t="b">
        <f>AND(IF(metadata!H409="",FALSE,TRUE),EXACT(metadata!H409,"meters"))</f>
        <v>0</v>
      </c>
      <c r="AT409" t="b">
        <f>AND(IF(metadata!I409="",FALSE,TRUE),OR(EXACT(metadata!I409,"Host-associated"),EXACT(metadata!I409,"Free-living")))</f>
        <v>0</v>
      </c>
      <c r="AU409" t="b">
        <f>AND(IF(metadata!J409="",FALSE,TRUE),OR(EXACT(metadata!J409,"Animal"),EXACT(metadata!J409,"Fungus"),EXACT(metadata!J409,"Plant"),EXACT(metadata!J409,"Saline"),EXACT(metadata!J409,"Non-saline")))</f>
        <v>0</v>
      </c>
      <c r="AV409" t="b">
        <f>AND(IF(metadata!K409="",FALSE,TRUE),OR(EXACT(metadata!K409,"Plant secretion"),EXACT(metadata!K409,"Plant rhizosphere"),EXACT(metadata!K409,"Plant surface"),EXACT(metadata!K409,"Plant corpus"),EXACT(metadata!K409,"Fungus surface"),EXACT(metadata!K409,"Fungus corpus"),EXACT(metadata!K409,"Animal surface"),EXACT(metadata!K409,"Animal proximal gut"),EXACT(metadata!K409,"Animal corpus"),EXACT(metadata!K409,"Animal distal gut"),EXACT(metadata!K409,"Animal secretion"),EXACT(metadata!K409,"Sub-surface (non-saline)"),EXACT(metadata!K409,"Surface (non-saline)"),EXACT(metadata!K409,"Water (non-saline)"),EXACT(metadata!K409,"Soil (non-saline)"),EXACT(metadata!K409,"Aerosol (non-saline)"),EXACT(metadata!K409,"Sediment (non-saline)"),EXACT(metadata!K409,"Surface (saline)"),EXACT(metadata!K409,"Water (saline)"),EXACT(metadata!K409,"Hypersaline (saline)"),EXACT(metadata!K409,"Aerosol (saline)"),EXACT(metadata!K409,"Sediment (saline)")))</f>
        <v>0</v>
      </c>
      <c r="AW409" t="b">
        <f>IF(metadata!L409="",FALSE,TRUE)</f>
        <v>0</v>
      </c>
      <c r="AX409" t="b">
        <f>IF(metadata!M409="",FALSE,TRUE)</f>
        <v>0</v>
      </c>
      <c r="AY409" t="b">
        <f>IF(metadata!N409="",FALSE,TRUE)</f>
        <v>0</v>
      </c>
      <c r="AZ409" t="b">
        <f>OR(AND(IF(metadata!O409="",FALSE,TRUE),OR(EXACT(metadata!O409,"missing: not collected"),EXACT(metadata!O409,"missing: not provided"),EXACT(metadata!O409,"missing: restricted access"))),AND(IF(metadata!O409="",FALSE,TRUE),OR(EXACT(metadata!O409,"air"),EXACT(metadata!O409,"built environment"),EXACT(metadata!O409,"host-associated"),EXACT(metadata!O409,"human-associated"),EXACT(metadata!O409,"human-skin"),EXACT(metadata!O409,"human-oral"),EXACT(metadata!O409,"human-gut"),EXACT(metadata!O409,"human-vaginal"),EXACT(metadata!O409,"microbial mat/biofilm"),EXACT(metadata!O409,"misc environment"),EXACT(metadata!O409,"plant-associated"),EXACT(metadata!O409,"sediment"),EXACT(metadata!O409,"soil"),EXACT(metadata!O409,"wastewater/sludge"),EXACT(metadata!O409,"water"))))</f>
        <v>0</v>
      </c>
      <c r="BA409" t="b">
        <f>IF(metadata!P409="",FALSE,TRUE)</f>
        <v>0</v>
      </c>
      <c r="BB409" t="b">
        <f>IF(metadata!Q409="",FALSE,TRUE)</f>
        <v>0</v>
      </c>
      <c r="BC409" t="b">
        <f>OR(AND(IF(metadata!R409="",FALSE,TRUE),OR(EXACT(metadata!R409,"missing: not collected"),EXACT(metadata!R409,"missing: not provided"),EXACT(metadata!R409,"missing: restricted access"))),AND(IF(metadata!R409="",FALSE,ISNUMBER(VALUE(metadata!R409))),metadata!R409&gt;=-90,metadata!R409&lt;=90))</f>
        <v>0</v>
      </c>
      <c r="BD409" t="b">
        <f>AND(IF(metadata!S409="",FALSE,TRUE),EXACT(metadata!S409,"Decimal degrees"))</f>
        <v>0</v>
      </c>
      <c r="BE409" t="b">
        <f>OR(AND(IF(metadata!T409="",FALSE,TRUE),OR(EXACT(metadata!T409,"missing: not collected"),EXACT(metadata!T409,"missing: not provided"),EXACT(metadata!T409,"missing: restricted access"))),AND(IF(metadata!T409="",FALSE,ISNUMBER(VALUE(metadata!T409))),metadata!T409&gt;=-180,metadata!T409&lt;=180))</f>
        <v>0</v>
      </c>
      <c r="BF409" t="b">
        <f>AND(IF(metadata!U409="",FALSE,TRUE),EXACT(metadata!U409,"Decimal degrees"))</f>
        <v>0</v>
      </c>
      <c r="BG409" t="b">
        <f>IF(metadata!V409="",FALSE,TRUE)</f>
        <v>0</v>
      </c>
      <c r="BH409" t="b">
        <f>OR(AND(IF(metadata!W409="",FALSE,TRUE),OR(EXACT(metadata!W409,"missing: not collected"),EXACT(metadata!W409,"missing: not provided"),EXACT(metadata!W409,"missing: restricted access"))),AND(IF(metadata!W409="",FALSE,TRUE),OR(EXACT(metadata!W409,"TRUE"),EXACT(metadata!W409,"FALSE"))))</f>
        <v>0</v>
      </c>
      <c r="BI409" t="b">
        <f>AND(IF(metadata!X409="",FALSE,TRUE),EXACT(metadata!X409,"other"))</f>
        <v>0</v>
      </c>
      <c r="BJ409" t="b">
        <f>IF(metadata!Y409="",FALSE,TRUE)</f>
        <v>0</v>
      </c>
      <c r="BK409" t="b">
        <f>OR(AND(IF(metadata!Z409="",FALSE,TRUE),OR(EXACT(metadata!Z409,"missing: not collected"),EXACT(metadata!Z409,"missing: not provided"))),AND(IF(metadata!Z409="",FALSE,IF(ISERROR(INT(metadata!Z409)),FALSE,INT(metadata!Z409)=metadata!Z409)),metadata!Z409&gt;0))</f>
        <v>0</v>
      </c>
      <c r="BL409" t="b">
        <f>AND(IF(metadata!AA409="",FALSE,TRUE),EXACT(metadata!AA409,"Not applicable"))</f>
        <v>0</v>
      </c>
      <c r="BM409" t="b">
        <f>IF(metadata!AB409="",FALSE,TRUE)</f>
        <v>0</v>
      </c>
    </row>
    <row r="410" spans="1:65" x14ac:dyDescent="0.2">
      <c r="A410" s="5" t="str">
        <f ca="1">IF(B410=" "," ",HYPERLINK(CONCATENATE("#metadata!",ADDRESS(INDEX($AH$2:$AH$1001,MATCH(ROWS($AF$2:AF410),$AF$2:$AF$1001,0),0),1)),INDEX($AK$2:$AK$1001,MATCH(ROWS($AF$2:AF410),$AF$2:$AF$1001,0),0)))</f>
        <v xml:space="preserve"> </v>
      </c>
      <c r="B410" s="4" t="str">
        <f ca="1">IF(OR(INDEX($AG$2:$AG$1001,MATCH(ROWS($AF$2:AF410),$AF$2:$AF$1001,0),1)&gt;=100000,INDEX($AM$1005:$BM$1005,1,MATCH(COLUMNS($AM$1006:AM1006),$AM$1006:$BM$1006,0))&gt;=100000), " ",IF(INDEX($AM$2:$BM$1001,MATCH(ROWS($AF$2:AF410),$AF$2:$AF$1001,0),MATCH(COLUMNS($AM$1006:AM1006),$AM$1006:$BM$1006,0)), HYPERLINK("#",""), HYPERLINK(CONCATENATE("#metadata!", ADDRESS(INDEX($AH$2:$AH$1001,MATCH(ROWS($AF$2:AF410),$AF$2:$AF$1001,0),0), INDEX($AM$1004:$BM$1004,1,MATCH(COLUMNS($AM$1006:AM1006),$AM$1006:$BM$1006,0)))),"Fix")))</f>
        <v xml:space="preserve"> </v>
      </c>
      <c r="C410" s="4" t="str">
        <f ca="1">IF(OR(INDEX($AG$2:$AG$1001,MATCH(ROWS($AF$2:AF410),$AF$2:$AF$1001,0),1)&gt;=100000,INDEX($AM$1005:$BM$1005,1,MATCH(COLUMNS($AM$1006:AN1006),$AM$1006:$BM$1006,0))&gt;=100000), " ",IF(INDEX($AM$2:$BM$1001,MATCH(ROWS($AF$2:AF410),$AF$2:$AF$1001,0),MATCH(COLUMNS($AM$1006:AN1006),$AM$1006:$BM$1006,0)), HYPERLINK("#",""), HYPERLINK(CONCATENATE("#metadata!", ADDRESS(INDEX($AH$2:$AH$1001,MATCH(ROWS($AF$2:AF410),$AF$2:$AF$1001,0),0), INDEX($AM$1004:$BM$1004,1,MATCH(COLUMNS($AM$1006:AN1006),$AM$1006:$BM$1006,0)))),"Fix")))</f>
        <v xml:space="preserve"> </v>
      </c>
      <c r="D410" s="4" t="str">
        <f ca="1">IF(OR(INDEX($AG$2:$AG$1001,MATCH(ROWS($AF$2:AF410),$AF$2:$AF$1001,0),1)&gt;=100000,INDEX($AM$1005:$BM$1005,1,MATCH(COLUMNS($AM$1006:AO1006),$AM$1006:$BM$1006,0))&gt;=100000), " ",IF(INDEX($AM$2:$BM$1001,MATCH(ROWS($AF$2:AF410),$AF$2:$AF$1001,0),MATCH(COLUMNS($AM$1006:AO1006),$AM$1006:$BM$1006,0)), HYPERLINK("#",""), HYPERLINK(CONCATENATE("#metadata!", ADDRESS(INDEX($AH$2:$AH$1001,MATCH(ROWS($AF$2:AF410),$AF$2:$AF$1001,0),0), INDEX($AM$1004:$BM$1004,1,MATCH(COLUMNS($AM$1006:AO1006),$AM$1006:$BM$1006,0)))),"Fix")))</f>
        <v xml:space="preserve"> </v>
      </c>
      <c r="E410" s="4" t="str">
        <f ca="1">IF(OR(INDEX($AG$2:$AG$1001,MATCH(ROWS($AF$2:AF410),$AF$2:$AF$1001,0),1)&gt;=100000,INDEX($AM$1005:$BM$1005,1,MATCH(COLUMNS($AM$1006:AP1006),$AM$1006:$BM$1006,0))&gt;=100000), " ",IF(INDEX($AM$2:$BM$1001,MATCH(ROWS($AF$2:AF410),$AF$2:$AF$1001,0),MATCH(COLUMNS($AM$1006:AP1006),$AM$1006:$BM$1006,0)), HYPERLINK("#",""), HYPERLINK(CONCATENATE("#metadata!", ADDRESS(INDEX($AH$2:$AH$1001,MATCH(ROWS($AF$2:AF410),$AF$2:$AF$1001,0),0), INDEX($AM$1004:$BM$1004,1,MATCH(COLUMNS($AM$1006:AP1006),$AM$1006:$BM$1006,0)))),"Fix")))</f>
        <v xml:space="preserve"> </v>
      </c>
      <c r="F410" s="4" t="str">
        <f ca="1">IF(OR(INDEX($AG$2:$AG$1001,MATCH(ROWS($AF$2:AF410),$AF$2:$AF$1001,0),1)&gt;=100000,INDEX($AM$1005:$BM$1005,1,MATCH(COLUMNS($AM$1006:AQ1006),$AM$1006:$BM$1006,0))&gt;=100000), " ",IF(INDEX($AM$2:$BM$1001,MATCH(ROWS($AF$2:AF410),$AF$2:$AF$1001,0),MATCH(COLUMNS($AM$1006:AQ1006),$AM$1006:$BM$1006,0)), HYPERLINK("#",""), HYPERLINK(CONCATENATE("#metadata!", ADDRESS(INDEX($AH$2:$AH$1001,MATCH(ROWS($AF$2:AF410),$AF$2:$AF$1001,0),0), INDEX($AM$1004:$BM$1004,1,MATCH(COLUMNS($AM$1006:AQ1006),$AM$1006:$BM$1006,0)))),"Fix")))</f>
        <v xml:space="preserve"> </v>
      </c>
      <c r="G410" s="4" t="str">
        <f ca="1">IF(OR(INDEX($AG$2:$AG$1001,MATCH(ROWS($AF$2:AF410),$AF$2:$AF$1001,0),1)&gt;=100000,INDEX($AM$1005:$BM$1005,1,MATCH(COLUMNS($AM$1006:AR1006),$AM$1006:$BM$1006,0))&gt;=100000), " ",IF(INDEX($AM$2:$BM$1001,MATCH(ROWS($AF$2:AF410),$AF$2:$AF$1001,0),MATCH(COLUMNS($AM$1006:AR1006),$AM$1006:$BM$1006,0)), HYPERLINK("#",""), HYPERLINK(CONCATENATE("#metadata!", ADDRESS(INDEX($AH$2:$AH$1001,MATCH(ROWS($AF$2:AF410),$AF$2:$AF$1001,0),0), INDEX($AM$1004:$BM$1004,1,MATCH(COLUMNS($AM$1006:AR1006),$AM$1006:$BM$1006,0)))),"Fix")))</f>
        <v xml:space="preserve"> </v>
      </c>
      <c r="H410" s="4" t="str">
        <f ca="1">IF(OR(INDEX($AG$2:$AG$1001,MATCH(ROWS($AF$2:AF410),$AF$2:$AF$1001,0),1)&gt;=100000,INDEX($AM$1005:$BM$1005,1,MATCH(COLUMNS($AM$1006:AS1006),$AM$1006:$BM$1006,0))&gt;=100000), " ",IF(INDEX($AM$2:$BM$1001,MATCH(ROWS($AF$2:AF410),$AF$2:$AF$1001,0),MATCH(COLUMNS($AM$1006:AS1006),$AM$1006:$BM$1006,0)), HYPERLINK("#",""), HYPERLINK(CONCATENATE("#metadata!", ADDRESS(INDEX($AH$2:$AH$1001,MATCH(ROWS($AF$2:AF410),$AF$2:$AF$1001,0),0), INDEX($AM$1004:$BM$1004,1,MATCH(COLUMNS($AM$1006:AS1006),$AM$1006:$BM$1006,0)))),"Fix")))</f>
        <v xml:space="preserve"> </v>
      </c>
      <c r="I410" s="4" t="str">
        <f ca="1">IF(OR(INDEX($AG$2:$AG$1001,MATCH(ROWS($AF$2:AF410),$AF$2:$AF$1001,0),1)&gt;=100000,INDEX($AM$1005:$BM$1005,1,MATCH(COLUMNS($AM$1006:AT1006),$AM$1006:$BM$1006,0))&gt;=100000), " ",IF(INDEX($AM$2:$BM$1001,MATCH(ROWS($AF$2:AF410),$AF$2:$AF$1001,0),MATCH(COLUMNS($AM$1006:AT1006),$AM$1006:$BM$1006,0)), HYPERLINK("#",""), HYPERLINK(CONCATENATE("#metadata!", ADDRESS(INDEX($AH$2:$AH$1001,MATCH(ROWS($AF$2:AF410),$AF$2:$AF$1001,0),0), INDEX($AM$1004:$BM$1004,1,MATCH(COLUMNS($AM$1006:AT1006),$AM$1006:$BM$1006,0)))),"Fix")))</f>
        <v xml:space="preserve"> </v>
      </c>
      <c r="J410" s="4" t="str">
        <f ca="1">IF(OR(INDEX($AG$2:$AG$1001,MATCH(ROWS($AF$2:AF410),$AF$2:$AF$1001,0),1)&gt;=100000,INDEX($AM$1005:$BM$1005,1,MATCH(COLUMNS($AM$1006:AU1006),$AM$1006:$BM$1006,0))&gt;=100000), " ",IF(INDEX($AM$2:$BM$1001,MATCH(ROWS($AF$2:AF410),$AF$2:$AF$1001,0),MATCH(COLUMNS($AM$1006:AU1006),$AM$1006:$BM$1006,0)), HYPERLINK("#",""), HYPERLINK(CONCATENATE("#metadata!", ADDRESS(INDEX($AH$2:$AH$1001,MATCH(ROWS($AF$2:AF410),$AF$2:$AF$1001,0),0), INDEX($AM$1004:$BM$1004,1,MATCH(COLUMNS($AM$1006:AU1006),$AM$1006:$BM$1006,0)))),"Fix")))</f>
        <v xml:space="preserve"> </v>
      </c>
      <c r="K410" s="4" t="str">
        <f ca="1">IF(OR(INDEX($AG$2:$AG$1001,MATCH(ROWS($AF$2:AF410),$AF$2:$AF$1001,0),1)&gt;=100000,INDEX($AM$1005:$BM$1005,1,MATCH(COLUMNS($AM$1006:AV1006),$AM$1006:$BM$1006,0))&gt;=100000), " ",IF(INDEX($AM$2:$BM$1001,MATCH(ROWS($AF$2:AF410),$AF$2:$AF$1001,0),MATCH(COLUMNS($AM$1006:AV1006),$AM$1006:$BM$1006,0)), HYPERLINK("#",""), HYPERLINK(CONCATENATE("#metadata!", ADDRESS(INDEX($AH$2:$AH$1001,MATCH(ROWS($AF$2:AF410),$AF$2:$AF$1001,0),0), INDEX($AM$1004:$BM$1004,1,MATCH(COLUMNS($AM$1006:AV1006),$AM$1006:$BM$1006,0)))),"Fix")))</f>
        <v xml:space="preserve"> </v>
      </c>
      <c r="L410" s="4" t="str">
        <f ca="1">IF(OR(INDEX($AG$2:$AG$1001,MATCH(ROWS($AF$2:AF410),$AF$2:$AF$1001,0),1)&gt;=100000,INDEX($AM$1005:$BM$1005,1,MATCH(COLUMNS($AM$1006:AW1006),$AM$1006:$BM$1006,0))&gt;=100000), " ",IF(INDEX($AM$2:$BM$1001,MATCH(ROWS($AF$2:AF410),$AF$2:$AF$1001,0),MATCH(COLUMNS($AM$1006:AW1006),$AM$1006:$BM$1006,0)), HYPERLINK("#",""), HYPERLINK(CONCATENATE("#metadata!", ADDRESS(INDEX($AH$2:$AH$1001,MATCH(ROWS($AF$2:AF410),$AF$2:$AF$1001,0),0), INDEX($AM$1004:$BM$1004,1,MATCH(COLUMNS($AM$1006:AW1006),$AM$1006:$BM$1006,0)))),"Fix")))</f>
        <v xml:space="preserve"> </v>
      </c>
      <c r="M410" s="4" t="str">
        <f ca="1">IF(OR(INDEX($AG$2:$AG$1001,MATCH(ROWS($AF$2:AF410),$AF$2:$AF$1001,0),1)&gt;=100000,INDEX($AM$1005:$BM$1005,1,MATCH(COLUMNS($AM$1006:AX1006),$AM$1006:$BM$1006,0))&gt;=100000), " ",IF(INDEX($AM$2:$BM$1001,MATCH(ROWS($AF$2:AF410),$AF$2:$AF$1001,0),MATCH(COLUMNS($AM$1006:AX1006),$AM$1006:$BM$1006,0)), HYPERLINK("#",""), HYPERLINK(CONCATENATE("#metadata!", ADDRESS(INDEX($AH$2:$AH$1001,MATCH(ROWS($AF$2:AF410),$AF$2:$AF$1001,0),0), INDEX($AM$1004:$BM$1004,1,MATCH(COLUMNS($AM$1006:AX1006),$AM$1006:$BM$1006,0)))),"Fix")))</f>
        <v xml:space="preserve"> </v>
      </c>
      <c r="N410" s="4" t="str">
        <f ca="1">IF(OR(INDEX($AG$2:$AG$1001,MATCH(ROWS($AF$2:AF410),$AF$2:$AF$1001,0),1)&gt;=100000,INDEX($AM$1005:$BM$1005,1,MATCH(COLUMNS($AM$1006:AY1006),$AM$1006:$BM$1006,0))&gt;=100000), " ",IF(INDEX($AM$2:$BM$1001,MATCH(ROWS($AF$2:AF410),$AF$2:$AF$1001,0),MATCH(COLUMNS($AM$1006:AY1006),$AM$1006:$BM$1006,0)), HYPERLINK("#",""), HYPERLINK(CONCATENATE("#metadata!", ADDRESS(INDEX($AH$2:$AH$1001,MATCH(ROWS($AF$2:AF410),$AF$2:$AF$1001,0),0), INDEX($AM$1004:$BM$1004,1,MATCH(COLUMNS($AM$1006:AY1006),$AM$1006:$BM$1006,0)))),"Fix")))</f>
        <v xml:space="preserve"> </v>
      </c>
      <c r="O410" s="4" t="str">
        <f ca="1">IF(OR(INDEX($AG$2:$AG$1001,MATCH(ROWS($AF$2:AF410),$AF$2:$AF$1001,0),1)&gt;=100000,INDEX($AM$1005:$BM$1005,1,MATCH(COLUMNS($AM$1006:AZ1006),$AM$1006:$BM$1006,0))&gt;=100000), " ",IF(INDEX($AM$2:$BM$1001,MATCH(ROWS($AF$2:AF410),$AF$2:$AF$1001,0),MATCH(COLUMNS($AM$1006:AZ1006),$AM$1006:$BM$1006,0)), HYPERLINK("#",""), HYPERLINK(CONCATENATE("#metadata!", ADDRESS(INDEX($AH$2:$AH$1001,MATCH(ROWS($AF$2:AF410),$AF$2:$AF$1001,0),0), INDEX($AM$1004:$BM$1004,1,MATCH(COLUMNS($AM$1006:AZ1006),$AM$1006:$BM$1006,0)))),"Fix")))</f>
        <v xml:space="preserve"> </v>
      </c>
      <c r="P410" s="4" t="str">
        <f ca="1">IF(OR(INDEX($AG$2:$AG$1001,MATCH(ROWS($AF$2:AF410),$AF$2:$AF$1001,0),1)&gt;=100000,INDEX($AM$1005:$BM$1005,1,MATCH(COLUMNS($AM$1006:BA1006),$AM$1006:$BM$1006,0))&gt;=100000), " ",IF(INDEX($AM$2:$BM$1001,MATCH(ROWS($AF$2:AF410),$AF$2:$AF$1001,0),MATCH(COLUMNS($AM$1006:BA1006),$AM$1006:$BM$1006,0)), HYPERLINK("#",""), HYPERLINK(CONCATENATE("#metadata!", ADDRESS(INDEX($AH$2:$AH$1001,MATCH(ROWS($AF$2:AF410),$AF$2:$AF$1001,0),0), INDEX($AM$1004:$BM$1004,1,MATCH(COLUMNS($AM$1006:BA1006),$AM$1006:$BM$1006,0)))),"Fix")))</f>
        <v xml:space="preserve"> </v>
      </c>
      <c r="Q410" s="4" t="str">
        <f ca="1">IF(OR(INDEX($AG$2:$AG$1001,MATCH(ROWS($AF$2:AF410),$AF$2:$AF$1001,0),1)&gt;=100000,INDEX($AM$1005:$BM$1005,1,MATCH(COLUMNS($AM$1006:BB1006),$AM$1006:$BM$1006,0))&gt;=100000), " ",IF(INDEX($AM$2:$BM$1001,MATCH(ROWS($AF$2:AF410),$AF$2:$AF$1001,0),MATCH(COLUMNS($AM$1006:BB1006),$AM$1006:$BM$1006,0)), HYPERLINK("#",""), HYPERLINK(CONCATENATE("#metadata!", ADDRESS(INDEX($AH$2:$AH$1001,MATCH(ROWS($AF$2:AF410),$AF$2:$AF$1001,0),0), INDEX($AM$1004:$BM$1004,1,MATCH(COLUMNS($AM$1006:BB1006),$AM$1006:$BM$1006,0)))),"Fix")))</f>
        <v xml:space="preserve"> </v>
      </c>
      <c r="R410" s="4" t="str">
        <f ca="1">IF(OR(INDEX($AG$2:$AG$1001,MATCH(ROWS($AF$2:AF410),$AF$2:$AF$1001,0),1)&gt;=100000,INDEX($AM$1005:$BM$1005,1,MATCH(COLUMNS($AM$1006:BC1006),$AM$1006:$BM$1006,0))&gt;=100000), " ",IF(INDEX($AM$2:$BM$1001,MATCH(ROWS($AF$2:AF410),$AF$2:$AF$1001,0),MATCH(COLUMNS($AM$1006:BC1006),$AM$1006:$BM$1006,0)), HYPERLINK("#",""), HYPERLINK(CONCATENATE("#metadata!", ADDRESS(INDEX($AH$2:$AH$1001,MATCH(ROWS($AF$2:AF410),$AF$2:$AF$1001,0),0), INDEX($AM$1004:$BM$1004,1,MATCH(COLUMNS($AM$1006:BC1006),$AM$1006:$BM$1006,0)))),"Fix")))</f>
        <v xml:space="preserve"> </v>
      </c>
      <c r="S410" s="4" t="str">
        <f ca="1">IF(OR(INDEX($AG$2:$AG$1001,MATCH(ROWS($AF$2:AF410),$AF$2:$AF$1001,0),1)&gt;=100000,INDEX($AM$1005:$BM$1005,1,MATCH(COLUMNS($AM$1006:BD1006),$AM$1006:$BM$1006,0))&gt;=100000), " ",IF(INDEX($AM$2:$BM$1001,MATCH(ROWS($AF$2:AF410),$AF$2:$AF$1001,0),MATCH(COLUMNS($AM$1006:BD1006),$AM$1006:$BM$1006,0)), HYPERLINK("#",""), HYPERLINK(CONCATENATE("#metadata!", ADDRESS(INDEX($AH$2:$AH$1001,MATCH(ROWS($AF$2:AF410),$AF$2:$AF$1001,0),0), INDEX($AM$1004:$BM$1004,1,MATCH(COLUMNS($AM$1006:BD1006),$AM$1006:$BM$1006,0)))),"Fix")))</f>
        <v xml:space="preserve"> </v>
      </c>
      <c r="T410" s="4" t="str">
        <f ca="1">IF(OR(INDEX($AG$2:$AG$1001,MATCH(ROWS($AF$2:AF410),$AF$2:$AF$1001,0),1)&gt;=100000,INDEX($AM$1005:$BM$1005,1,MATCH(COLUMNS($AM$1006:BE1006),$AM$1006:$BM$1006,0))&gt;=100000), " ",IF(INDEX($AM$2:$BM$1001,MATCH(ROWS($AF$2:AF410),$AF$2:$AF$1001,0),MATCH(COLUMNS($AM$1006:BE1006),$AM$1006:$BM$1006,0)), HYPERLINK("#",""), HYPERLINK(CONCATENATE("#metadata!", ADDRESS(INDEX($AH$2:$AH$1001,MATCH(ROWS($AF$2:AF410),$AF$2:$AF$1001,0),0), INDEX($AM$1004:$BM$1004,1,MATCH(COLUMNS($AM$1006:BE1006),$AM$1006:$BM$1006,0)))),"Fix")))</f>
        <v xml:space="preserve"> </v>
      </c>
      <c r="U410" s="4" t="str">
        <f ca="1">IF(OR(INDEX($AG$2:$AG$1001,MATCH(ROWS($AF$2:AF410),$AF$2:$AF$1001,0),1)&gt;=100000,INDEX($AM$1005:$BM$1005,1,MATCH(COLUMNS($AM$1006:BF1006),$AM$1006:$BM$1006,0))&gt;=100000), " ",IF(INDEX($AM$2:$BM$1001,MATCH(ROWS($AF$2:AF410),$AF$2:$AF$1001,0),MATCH(COLUMNS($AM$1006:BF1006),$AM$1006:$BM$1006,0)), HYPERLINK("#",""), HYPERLINK(CONCATENATE("#metadata!", ADDRESS(INDEX($AH$2:$AH$1001,MATCH(ROWS($AF$2:AF410),$AF$2:$AF$1001,0),0), INDEX($AM$1004:$BM$1004,1,MATCH(COLUMNS($AM$1006:BF1006),$AM$1006:$BM$1006,0)))),"Fix")))</f>
        <v xml:space="preserve"> </v>
      </c>
      <c r="V410" s="4" t="str">
        <f ca="1">IF(OR(INDEX($AG$2:$AG$1001,MATCH(ROWS($AF$2:AF410),$AF$2:$AF$1001,0),1)&gt;=100000,INDEX($AM$1005:$BM$1005,1,MATCH(COLUMNS($AM$1006:BG1006),$AM$1006:$BM$1006,0))&gt;=100000), " ",IF(INDEX($AM$2:$BM$1001,MATCH(ROWS($AF$2:AF410),$AF$2:$AF$1001,0),MATCH(COLUMNS($AM$1006:BG1006),$AM$1006:$BM$1006,0)), HYPERLINK("#",""), HYPERLINK(CONCATENATE("#metadata!", ADDRESS(INDEX($AH$2:$AH$1001,MATCH(ROWS($AF$2:AF410),$AF$2:$AF$1001,0),0), INDEX($AM$1004:$BM$1004,1,MATCH(COLUMNS($AM$1006:BG1006),$AM$1006:$BM$1006,0)))),"Fix")))</f>
        <v xml:space="preserve"> </v>
      </c>
      <c r="W410" s="4" t="str">
        <f ca="1">IF(OR(INDEX($AG$2:$AG$1001,MATCH(ROWS($AF$2:AF410),$AF$2:$AF$1001,0),1)&gt;=100000,INDEX($AM$1005:$BM$1005,1,MATCH(COLUMNS($AM$1006:BH1006),$AM$1006:$BM$1006,0))&gt;=100000), " ",IF(INDEX($AM$2:$BM$1001,MATCH(ROWS($AF$2:AF410),$AF$2:$AF$1001,0),MATCH(COLUMNS($AM$1006:BH1006),$AM$1006:$BM$1006,0)), HYPERLINK("#",""), HYPERLINK(CONCATENATE("#metadata!", ADDRESS(INDEX($AH$2:$AH$1001,MATCH(ROWS($AF$2:AF410),$AF$2:$AF$1001,0),0), INDEX($AM$1004:$BM$1004,1,MATCH(COLUMNS($AM$1006:BH1006),$AM$1006:$BM$1006,0)))),"Fix")))</f>
        <v xml:space="preserve"> </v>
      </c>
      <c r="X410" s="4" t="str">
        <f ca="1">IF(OR(INDEX($AG$2:$AG$1001,MATCH(ROWS($AF$2:AF410),$AF$2:$AF$1001,0),1)&gt;=100000,INDEX($AM$1005:$BM$1005,1,MATCH(COLUMNS($AM$1006:BI1006),$AM$1006:$BM$1006,0))&gt;=100000), " ",IF(INDEX($AM$2:$BM$1001,MATCH(ROWS($AF$2:AF410),$AF$2:$AF$1001,0),MATCH(COLUMNS($AM$1006:BI1006),$AM$1006:$BM$1006,0)), HYPERLINK("#",""), HYPERLINK(CONCATENATE("#metadata!", ADDRESS(INDEX($AH$2:$AH$1001,MATCH(ROWS($AF$2:AF410),$AF$2:$AF$1001,0),0), INDEX($AM$1004:$BM$1004,1,MATCH(COLUMNS($AM$1006:BI1006),$AM$1006:$BM$1006,0)))),"Fix")))</f>
        <v xml:space="preserve"> </v>
      </c>
      <c r="Y410" s="4" t="str">
        <f ca="1">IF(OR(INDEX($AG$2:$AG$1001,MATCH(ROWS($AF$2:AF410),$AF$2:$AF$1001,0),1)&gt;=100000,INDEX($AM$1005:$BM$1005,1,MATCH(COLUMNS($AM$1006:BJ1006),$AM$1006:$BM$1006,0))&gt;=100000), " ",IF(INDEX($AM$2:$BM$1001,MATCH(ROWS($AF$2:AF410),$AF$2:$AF$1001,0),MATCH(COLUMNS($AM$1006:BJ1006),$AM$1006:$BM$1006,0)), HYPERLINK("#",""), HYPERLINK(CONCATENATE("#metadata!", ADDRESS(INDEX($AH$2:$AH$1001,MATCH(ROWS($AF$2:AF410),$AF$2:$AF$1001,0),0), INDEX($AM$1004:$BM$1004,1,MATCH(COLUMNS($AM$1006:BJ1006),$AM$1006:$BM$1006,0)))),"Fix")))</f>
        <v xml:space="preserve"> </v>
      </c>
      <c r="Z410" s="4" t="str">
        <f ca="1">IF(OR(INDEX($AG$2:$AG$1001,MATCH(ROWS($AF$2:AF410),$AF$2:$AF$1001,0),1)&gt;=100000,INDEX($AM$1005:$BM$1005,1,MATCH(COLUMNS($AM$1006:BK1006),$AM$1006:$BM$1006,0))&gt;=100000), " ",IF(INDEX($AM$2:$BM$1001,MATCH(ROWS($AF$2:AF410),$AF$2:$AF$1001,0),MATCH(COLUMNS($AM$1006:BK1006),$AM$1006:$BM$1006,0)), HYPERLINK("#",""), HYPERLINK(CONCATENATE("#metadata!", ADDRESS(INDEX($AH$2:$AH$1001,MATCH(ROWS($AF$2:AF410),$AF$2:$AF$1001,0),0), INDEX($AM$1004:$BM$1004,1,MATCH(COLUMNS($AM$1006:BK1006),$AM$1006:$BM$1006,0)))),"Fix")))</f>
        <v xml:space="preserve"> </v>
      </c>
      <c r="AA410" s="4" t="str">
        <f ca="1">IF(OR(INDEX($AG$2:$AG$1001,MATCH(ROWS($AF$2:AF410),$AF$2:$AF$1001,0),1)&gt;=100000,INDEX($AM$1005:$BM$1005,1,MATCH(COLUMNS($AM$1006:BL1006),$AM$1006:$BM$1006,0))&gt;=100000), " ",IF(INDEX($AM$2:$BM$1001,MATCH(ROWS($AF$2:AF410),$AF$2:$AF$1001,0),MATCH(COLUMNS($AM$1006:BL1006),$AM$1006:$BM$1006,0)), HYPERLINK("#",""), HYPERLINK(CONCATENATE("#metadata!", ADDRESS(INDEX($AH$2:$AH$1001,MATCH(ROWS($AF$2:AF410),$AF$2:$AF$1001,0),0), INDEX($AM$1004:$BM$1004,1,MATCH(COLUMNS($AM$1006:BL1006),$AM$1006:$BM$1006,0)))),"Fix")))</f>
        <v xml:space="preserve"> </v>
      </c>
      <c r="AB410" s="4" t="str">
        <f ca="1">IF(OR(INDEX($AG$2:$AG$1001,MATCH(ROWS($AF$2:AF410),$AF$2:$AF$1001,0),1)&gt;=100000,INDEX($AM$1005:$BM$1005,1,MATCH(COLUMNS($AM$1006:BM1006),$AM$1006:$BM$1006,0))&gt;=100000), " ",IF(INDEX($AM$2:$BM$1001,MATCH(ROWS($AF$2:AF410),$AF$2:$AF$1001,0),MATCH(COLUMNS($AM$1006:BM1006),$AM$1006:$BM$1006,0)), HYPERLINK("#",""), HYPERLINK(CONCATENATE("#metadata!", ADDRESS(INDEX($AH$2:$AH$1001,MATCH(ROWS($AF$2:AF410),$AF$2:$AF$1001,0),0), INDEX($AM$1004:$BM$1004,1,MATCH(COLUMNS($AM$1006:BM1006),$AM$1006:$BM$1006,0)))),"Fix")))</f>
        <v xml:space="preserve"> </v>
      </c>
      <c r="AF410">
        <v>409</v>
      </c>
      <c r="AG410">
        <v>100410</v>
      </c>
      <c r="AH410">
        <v>410</v>
      </c>
      <c r="AI410" t="b">
        <f t="shared" si="6"/>
        <v>1</v>
      </c>
      <c r="AJ410" t="b">
        <f>COUNTBLANK(metadata!B410:AB410)=COLUMNS(metadata!B410:AB410)</f>
        <v>1</v>
      </c>
      <c r="AK410" t="str">
        <v/>
      </c>
      <c r="AM410" t="b">
        <f ca="1">AND(IF(metadata!B410="",FALSE,TRUE),COUNTIF(metadata!B:B, metadata!B410) = 1,NOT(ISERROR(SUMPRODUCT(SEARCH(MID(metadata!B410,ROW(INDIRECT("1:"&amp;LEN(metadata!B410))), 1),"0123456789abcdefghijklmnopqrstuvwxyzABCDEFGHIJKLMNOPQRSTUVWXYZ.")))))</f>
        <v>0</v>
      </c>
      <c r="AN410" t="b">
        <f ca="1">OR(AND(IF(metadata!C410="",FALSE,TRUE),OR(EXACT(metadata!C410,"missing: not collected"),EXACT(metadata!C410,"missing: not provided"),EXACT(metadata!C410,"missing: restricted access"))),AND(IF(metadata!C410="",FALSE,TRUE),AND(AND(IFERROR(INT(LEFT(metadata!C410,4))&gt;1900,FALSE),IFERROR(INT(LEFT(metadata!C410,4))&lt;=YEAR(NOW()),FALSE)), OR(MID(metadata!C410,5,1)="", AND(AND(MID(metadata!C410,5,1)="-",IFERROR(INT(MID(metadata!C410,6,1))&gt;=0,FALSE),IFERROR(INT(MID(metadata!C410,6,1))&lt;=1,FALSE),NOT(MID(metadata!C410,7,1)=""),IFERROR(INT(MID(metadata!C410,6,2))&gt;=1,FALSE),IFERROR(INT(MID(metadata!C410,6,2))&lt;=12,FALSE)), OR(MID(metadata!C410,8,1)="", AND(AND(MID(metadata!C410,8,1)="-",IFERROR(INT(MID(metadata!C410,9,1))&gt;=0,FALSE),IFERROR(INT(MID(metadata!C410,9,1))&lt;=3,FALSE),NOT(MID(metadata!C410,10,1)=""),IFERROR(INT(MID(metadata!C410,9,2))&gt;=1,FALSE),IFERROR(INT(MID(metadata!C410,9,2))&lt;=31,FALSE)), OR(MID(metadata!C410,11,1)="", AND(AND(MID(metadata!C410,11,1)=" ",IFERROR(INT(MID(metadata!C410,12,1))&gt;=0,FALSE),IFERROR(INT(MID(metadata!C410,12,1))&lt;=2,FALSE),NOT(MID(metadata!C410,13,1)=""),IFERROR(INT(MID(metadata!C410,12,2))&gt;=0,FALSE),IFERROR(INT(MID(metadata!C410,12,2))&lt;=23,FALSE)), OR(MID(metadata!C410,14,1)="", AND(AND(MID(metadata!C410,14,1)=":",IFERROR(INT(MID(metadata!C410,15,1))&gt;=0,FALSE),IFERROR(INT(MID(metadata!C410,15,1))&lt;=5,FALSE),NOT(MID(metadata!C410,16,1)=""),IFERROR(INT(MID(metadata!C410,15,2))&gt;=0,FALSE),IFERROR(INT(MID(metadata!C410,15,2))&lt;=59,FALSE)), OR(MID(metadata!C410,17,1)="", AND(AND(MID(metadata!C410,17,1)=":",IFERROR(INT(MID(metadata!C410,18,1))&gt;=0,FALSE),IFERROR(INT(MID(metadata!C410,18,1))&lt;=5,FALSE),NOT(MID(metadata!C410,19,1)=""),IFERROR(INT(MID(metadata!C410,18,2))&gt;=0,FALSE),IFERROR(INT(MID(metadata!C410,18,2))&lt;=59,FALSE)), LEN(metadata!C410)&lt;=19)))))))))))))</f>
        <v>0</v>
      </c>
      <c r="AO410" t="b">
        <f>AND(IF(metadata!D410="",FALSE,TRUE),EXACT(metadata!D410,"Not applicable"))</f>
        <v>0</v>
      </c>
      <c r="AP410" t="b">
        <f>IF(metadata!E410="",FALSE,TRUE)</f>
        <v>0</v>
      </c>
      <c r="AQ410" t="b">
        <f>OR(AND(IF(metadata!F410="",FALSE,TRUE),OR(EXACT(metadata!F410,"missing: not collected"),EXACT(metadata!F410,"missing: not provided"))),AND(IF(metadata!F410="",FALSE,TRUE),OR(EXACT(metadata!F410,"TRUE"),EXACT(metadata!F410,"FALSE"))))</f>
        <v>0</v>
      </c>
      <c r="AR410" t="b">
        <f>OR(AND(IF(metadata!G410="",FALSE,TRUE),OR(EXACT(metadata!G410,"missing: not collected"),EXACT(metadata!G410,"missing: not provided"),EXACT(metadata!G410,"missing: restricted access"))),AND(IF(metadata!G410="",FALSE,ISNUMBER(VALUE(metadata!G410))),metadata!G410&gt;=-413))</f>
        <v>0</v>
      </c>
      <c r="AS410" t="b">
        <f>AND(IF(metadata!H410="",FALSE,TRUE),EXACT(metadata!H410,"meters"))</f>
        <v>0</v>
      </c>
      <c r="AT410" t="b">
        <f>AND(IF(metadata!I410="",FALSE,TRUE),OR(EXACT(metadata!I410,"Host-associated"),EXACT(metadata!I410,"Free-living")))</f>
        <v>0</v>
      </c>
      <c r="AU410" t="b">
        <f>AND(IF(metadata!J410="",FALSE,TRUE),OR(EXACT(metadata!J410,"Animal"),EXACT(metadata!J410,"Fungus"),EXACT(metadata!J410,"Plant"),EXACT(metadata!J410,"Saline"),EXACT(metadata!J410,"Non-saline")))</f>
        <v>0</v>
      </c>
      <c r="AV410" t="b">
        <f>AND(IF(metadata!K410="",FALSE,TRUE),OR(EXACT(metadata!K410,"Plant secretion"),EXACT(metadata!K410,"Plant rhizosphere"),EXACT(metadata!K410,"Plant surface"),EXACT(metadata!K410,"Plant corpus"),EXACT(metadata!K410,"Fungus surface"),EXACT(metadata!K410,"Fungus corpus"),EXACT(metadata!K410,"Animal surface"),EXACT(metadata!K410,"Animal proximal gut"),EXACT(metadata!K410,"Animal corpus"),EXACT(metadata!K410,"Animal distal gut"),EXACT(metadata!K410,"Animal secretion"),EXACT(metadata!K410,"Sub-surface (non-saline)"),EXACT(metadata!K410,"Surface (non-saline)"),EXACT(metadata!K410,"Water (non-saline)"),EXACT(metadata!K410,"Soil (non-saline)"),EXACT(metadata!K410,"Aerosol (non-saline)"),EXACT(metadata!K410,"Sediment (non-saline)"),EXACT(metadata!K410,"Surface (saline)"),EXACT(metadata!K410,"Water (saline)"),EXACT(metadata!K410,"Hypersaline (saline)"),EXACT(metadata!K410,"Aerosol (saline)"),EXACT(metadata!K410,"Sediment (saline)")))</f>
        <v>0</v>
      </c>
      <c r="AW410" t="b">
        <f>IF(metadata!L410="",FALSE,TRUE)</f>
        <v>0</v>
      </c>
      <c r="AX410" t="b">
        <f>IF(metadata!M410="",FALSE,TRUE)</f>
        <v>0</v>
      </c>
      <c r="AY410" t="b">
        <f>IF(metadata!N410="",FALSE,TRUE)</f>
        <v>0</v>
      </c>
      <c r="AZ410" t="b">
        <f>OR(AND(IF(metadata!O410="",FALSE,TRUE),OR(EXACT(metadata!O410,"missing: not collected"),EXACT(metadata!O410,"missing: not provided"),EXACT(metadata!O410,"missing: restricted access"))),AND(IF(metadata!O410="",FALSE,TRUE),OR(EXACT(metadata!O410,"air"),EXACT(metadata!O410,"built environment"),EXACT(metadata!O410,"host-associated"),EXACT(metadata!O410,"human-associated"),EXACT(metadata!O410,"human-skin"),EXACT(metadata!O410,"human-oral"),EXACT(metadata!O410,"human-gut"),EXACT(metadata!O410,"human-vaginal"),EXACT(metadata!O410,"microbial mat/biofilm"),EXACT(metadata!O410,"misc environment"),EXACT(metadata!O410,"plant-associated"),EXACT(metadata!O410,"sediment"),EXACT(metadata!O410,"soil"),EXACT(metadata!O410,"wastewater/sludge"),EXACT(metadata!O410,"water"))))</f>
        <v>0</v>
      </c>
      <c r="BA410" t="b">
        <f>IF(metadata!P410="",FALSE,TRUE)</f>
        <v>0</v>
      </c>
      <c r="BB410" t="b">
        <f>IF(metadata!Q410="",FALSE,TRUE)</f>
        <v>0</v>
      </c>
      <c r="BC410" t="b">
        <f>OR(AND(IF(metadata!R410="",FALSE,TRUE),OR(EXACT(metadata!R410,"missing: not collected"),EXACT(metadata!R410,"missing: not provided"),EXACT(metadata!R410,"missing: restricted access"))),AND(IF(metadata!R410="",FALSE,ISNUMBER(VALUE(metadata!R410))),metadata!R410&gt;=-90,metadata!R410&lt;=90))</f>
        <v>0</v>
      </c>
      <c r="BD410" t="b">
        <f>AND(IF(metadata!S410="",FALSE,TRUE),EXACT(metadata!S410,"Decimal degrees"))</f>
        <v>0</v>
      </c>
      <c r="BE410" t="b">
        <f>OR(AND(IF(metadata!T410="",FALSE,TRUE),OR(EXACT(metadata!T410,"missing: not collected"),EXACT(metadata!T410,"missing: not provided"),EXACT(metadata!T410,"missing: restricted access"))),AND(IF(metadata!T410="",FALSE,ISNUMBER(VALUE(metadata!T410))),metadata!T410&gt;=-180,metadata!T410&lt;=180))</f>
        <v>0</v>
      </c>
      <c r="BF410" t="b">
        <f>AND(IF(metadata!U410="",FALSE,TRUE),EXACT(metadata!U410,"Decimal degrees"))</f>
        <v>0</v>
      </c>
      <c r="BG410" t="b">
        <f>IF(metadata!V410="",FALSE,TRUE)</f>
        <v>0</v>
      </c>
      <c r="BH410" t="b">
        <f>OR(AND(IF(metadata!W410="",FALSE,TRUE),OR(EXACT(metadata!W410,"missing: not collected"),EXACT(metadata!W410,"missing: not provided"),EXACT(metadata!W410,"missing: restricted access"))),AND(IF(metadata!W410="",FALSE,TRUE),OR(EXACT(metadata!W410,"TRUE"),EXACT(metadata!W410,"FALSE"))))</f>
        <v>0</v>
      </c>
      <c r="BI410" t="b">
        <f>AND(IF(metadata!X410="",FALSE,TRUE),EXACT(metadata!X410,"other"))</f>
        <v>0</v>
      </c>
      <c r="BJ410" t="b">
        <f>IF(metadata!Y410="",FALSE,TRUE)</f>
        <v>0</v>
      </c>
      <c r="BK410" t="b">
        <f>OR(AND(IF(metadata!Z410="",FALSE,TRUE),OR(EXACT(metadata!Z410,"missing: not collected"),EXACT(metadata!Z410,"missing: not provided"))),AND(IF(metadata!Z410="",FALSE,IF(ISERROR(INT(metadata!Z410)),FALSE,INT(metadata!Z410)=metadata!Z410)),metadata!Z410&gt;0))</f>
        <v>0</v>
      </c>
      <c r="BL410" t="b">
        <f>AND(IF(metadata!AA410="",FALSE,TRUE),EXACT(metadata!AA410,"Not applicable"))</f>
        <v>0</v>
      </c>
      <c r="BM410" t="b">
        <f>IF(metadata!AB410="",FALSE,TRUE)</f>
        <v>0</v>
      </c>
    </row>
    <row r="411" spans="1:65" x14ac:dyDescent="0.2">
      <c r="A411" s="5" t="str">
        <f ca="1">IF(B411=" "," ",HYPERLINK(CONCATENATE("#metadata!",ADDRESS(INDEX($AH$2:$AH$1001,MATCH(ROWS($AF$2:AF411),$AF$2:$AF$1001,0),0),1)),INDEX($AK$2:$AK$1001,MATCH(ROWS($AF$2:AF411),$AF$2:$AF$1001,0),0)))</f>
        <v xml:space="preserve"> </v>
      </c>
      <c r="B411" s="4" t="str">
        <f ca="1">IF(OR(INDEX($AG$2:$AG$1001,MATCH(ROWS($AF$2:AF411),$AF$2:$AF$1001,0),1)&gt;=100000,INDEX($AM$1005:$BM$1005,1,MATCH(COLUMNS($AM$1006:AM1006),$AM$1006:$BM$1006,0))&gt;=100000), " ",IF(INDEX($AM$2:$BM$1001,MATCH(ROWS($AF$2:AF411),$AF$2:$AF$1001,0),MATCH(COLUMNS($AM$1006:AM1006),$AM$1006:$BM$1006,0)), HYPERLINK("#",""), HYPERLINK(CONCATENATE("#metadata!", ADDRESS(INDEX($AH$2:$AH$1001,MATCH(ROWS($AF$2:AF411),$AF$2:$AF$1001,0),0), INDEX($AM$1004:$BM$1004,1,MATCH(COLUMNS($AM$1006:AM1006),$AM$1006:$BM$1006,0)))),"Fix")))</f>
        <v xml:space="preserve"> </v>
      </c>
      <c r="C411" s="4" t="str">
        <f ca="1">IF(OR(INDEX($AG$2:$AG$1001,MATCH(ROWS($AF$2:AF411),$AF$2:$AF$1001,0),1)&gt;=100000,INDEX($AM$1005:$BM$1005,1,MATCH(COLUMNS($AM$1006:AN1006),$AM$1006:$BM$1006,0))&gt;=100000), " ",IF(INDEX($AM$2:$BM$1001,MATCH(ROWS($AF$2:AF411),$AF$2:$AF$1001,0),MATCH(COLUMNS($AM$1006:AN1006),$AM$1006:$BM$1006,0)), HYPERLINK("#",""), HYPERLINK(CONCATENATE("#metadata!", ADDRESS(INDEX($AH$2:$AH$1001,MATCH(ROWS($AF$2:AF411),$AF$2:$AF$1001,0),0), INDEX($AM$1004:$BM$1004,1,MATCH(COLUMNS($AM$1006:AN1006),$AM$1006:$BM$1006,0)))),"Fix")))</f>
        <v xml:space="preserve"> </v>
      </c>
      <c r="D411" s="4" t="str">
        <f ca="1">IF(OR(INDEX($AG$2:$AG$1001,MATCH(ROWS($AF$2:AF411),$AF$2:$AF$1001,0),1)&gt;=100000,INDEX($AM$1005:$BM$1005,1,MATCH(COLUMNS($AM$1006:AO1006),$AM$1006:$BM$1006,0))&gt;=100000), " ",IF(INDEX($AM$2:$BM$1001,MATCH(ROWS($AF$2:AF411),$AF$2:$AF$1001,0),MATCH(COLUMNS($AM$1006:AO1006),$AM$1006:$BM$1006,0)), HYPERLINK("#",""), HYPERLINK(CONCATENATE("#metadata!", ADDRESS(INDEX($AH$2:$AH$1001,MATCH(ROWS($AF$2:AF411),$AF$2:$AF$1001,0),0), INDEX($AM$1004:$BM$1004,1,MATCH(COLUMNS($AM$1006:AO1006),$AM$1006:$BM$1006,0)))),"Fix")))</f>
        <v xml:space="preserve"> </v>
      </c>
      <c r="E411" s="4" t="str">
        <f ca="1">IF(OR(INDEX($AG$2:$AG$1001,MATCH(ROWS($AF$2:AF411),$AF$2:$AF$1001,0),1)&gt;=100000,INDEX($AM$1005:$BM$1005,1,MATCH(COLUMNS($AM$1006:AP1006),$AM$1006:$BM$1006,0))&gt;=100000), " ",IF(INDEX($AM$2:$BM$1001,MATCH(ROWS($AF$2:AF411),$AF$2:$AF$1001,0),MATCH(COLUMNS($AM$1006:AP1006),$AM$1006:$BM$1006,0)), HYPERLINK("#",""), HYPERLINK(CONCATENATE("#metadata!", ADDRESS(INDEX($AH$2:$AH$1001,MATCH(ROWS($AF$2:AF411),$AF$2:$AF$1001,0),0), INDEX($AM$1004:$BM$1004,1,MATCH(COLUMNS($AM$1006:AP1006),$AM$1006:$BM$1006,0)))),"Fix")))</f>
        <v xml:space="preserve"> </v>
      </c>
      <c r="F411" s="4" t="str">
        <f ca="1">IF(OR(INDEX($AG$2:$AG$1001,MATCH(ROWS($AF$2:AF411),$AF$2:$AF$1001,0),1)&gt;=100000,INDEX($AM$1005:$BM$1005,1,MATCH(COLUMNS($AM$1006:AQ1006),$AM$1006:$BM$1006,0))&gt;=100000), " ",IF(INDEX($AM$2:$BM$1001,MATCH(ROWS($AF$2:AF411),$AF$2:$AF$1001,0),MATCH(COLUMNS($AM$1006:AQ1006),$AM$1006:$BM$1006,0)), HYPERLINK("#",""), HYPERLINK(CONCATENATE("#metadata!", ADDRESS(INDEX($AH$2:$AH$1001,MATCH(ROWS($AF$2:AF411),$AF$2:$AF$1001,0),0), INDEX($AM$1004:$BM$1004,1,MATCH(COLUMNS($AM$1006:AQ1006),$AM$1006:$BM$1006,0)))),"Fix")))</f>
        <v xml:space="preserve"> </v>
      </c>
      <c r="G411" s="4" t="str">
        <f ca="1">IF(OR(INDEX($AG$2:$AG$1001,MATCH(ROWS($AF$2:AF411),$AF$2:$AF$1001,0),1)&gt;=100000,INDEX($AM$1005:$BM$1005,1,MATCH(COLUMNS($AM$1006:AR1006),$AM$1006:$BM$1006,0))&gt;=100000), " ",IF(INDEX($AM$2:$BM$1001,MATCH(ROWS($AF$2:AF411),$AF$2:$AF$1001,0),MATCH(COLUMNS($AM$1006:AR1006),$AM$1006:$BM$1006,0)), HYPERLINK("#",""), HYPERLINK(CONCATENATE("#metadata!", ADDRESS(INDEX($AH$2:$AH$1001,MATCH(ROWS($AF$2:AF411),$AF$2:$AF$1001,0),0), INDEX($AM$1004:$BM$1004,1,MATCH(COLUMNS($AM$1006:AR1006),$AM$1006:$BM$1006,0)))),"Fix")))</f>
        <v xml:space="preserve"> </v>
      </c>
      <c r="H411" s="4" t="str">
        <f ca="1">IF(OR(INDEX($AG$2:$AG$1001,MATCH(ROWS($AF$2:AF411),$AF$2:$AF$1001,0),1)&gt;=100000,INDEX($AM$1005:$BM$1005,1,MATCH(COLUMNS($AM$1006:AS1006),$AM$1006:$BM$1006,0))&gt;=100000), " ",IF(INDEX($AM$2:$BM$1001,MATCH(ROWS($AF$2:AF411),$AF$2:$AF$1001,0),MATCH(COLUMNS($AM$1006:AS1006),$AM$1006:$BM$1006,0)), HYPERLINK("#",""), HYPERLINK(CONCATENATE("#metadata!", ADDRESS(INDEX($AH$2:$AH$1001,MATCH(ROWS($AF$2:AF411),$AF$2:$AF$1001,0),0), INDEX($AM$1004:$BM$1004,1,MATCH(COLUMNS($AM$1006:AS1006),$AM$1006:$BM$1006,0)))),"Fix")))</f>
        <v xml:space="preserve"> </v>
      </c>
      <c r="I411" s="4" t="str">
        <f ca="1">IF(OR(INDEX($AG$2:$AG$1001,MATCH(ROWS($AF$2:AF411),$AF$2:$AF$1001,0),1)&gt;=100000,INDEX($AM$1005:$BM$1005,1,MATCH(COLUMNS($AM$1006:AT1006),$AM$1006:$BM$1006,0))&gt;=100000), " ",IF(INDEX($AM$2:$BM$1001,MATCH(ROWS($AF$2:AF411),$AF$2:$AF$1001,0),MATCH(COLUMNS($AM$1006:AT1006),$AM$1006:$BM$1006,0)), HYPERLINK("#",""), HYPERLINK(CONCATENATE("#metadata!", ADDRESS(INDEX($AH$2:$AH$1001,MATCH(ROWS($AF$2:AF411),$AF$2:$AF$1001,0),0), INDEX($AM$1004:$BM$1004,1,MATCH(COLUMNS($AM$1006:AT1006),$AM$1006:$BM$1006,0)))),"Fix")))</f>
        <v xml:space="preserve"> </v>
      </c>
      <c r="J411" s="4" t="str">
        <f ca="1">IF(OR(INDEX($AG$2:$AG$1001,MATCH(ROWS($AF$2:AF411),$AF$2:$AF$1001,0),1)&gt;=100000,INDEX($AM$1005:$BM$1005,1,MATCH(COLUMNS($AM$1006:AU1006),$AM$1006:$BM$1006,0))&gt;=100000), " ",IF(INDEX($AM$2:$BM$1001,MATCH(ROWS($AF$2:AF411),$AF$2:$AF$1001,0),MATCH(COLUMNS($AM$1006:AU1006),$AM$1006:$BM$1006,0)), HYPERLINK("#",""), HYPERLINK(CONCATENATE("#metadata!", ADDRESS(INDEX($AH$2:$AH$1001,MATCH(ROWS($AF$2:AF411),$AF$2:$AF$1001,0),0), INDEX($AM$1004:$BM$1004,1,MATCH(COLUMNS($AM$1006:AU1006),$AM$1006:$BM$1006,0)))),"Fix")))</f>
        <v xml:space="preserve"> </v>
      </c>
      <c r="K411" s="4" t="str">
        <f ca="1">IF(OR(INDEX($AG$2:$AG$1001,MATCH(ROWS($AF$2:AF411),$AF$2:$AF$1001,0),1)&gt;=100000,INDEX($AM$1005:$BM$1005,1,MATCH(COLUMNS($AM$1006:AV1006),$AM$1006:$BM$1006,0))&gt;=100000), " ",IF(INDEX($AM$2:$BM$1001,MATCH(ROWS($AF$2:AF411),$AF$2:$AF$1001,0),MATCH(COLUMNS($AM$1006:AV1006),$AM$1006:$BM$1006,0)), HYPERLINK("#",""), HYPERLINK(CONCATENATE("#metadata!", ADDRESS(INDEX($AH$2:$AH$1001,MATCH(ROWS($AF$2:AF411),$AF$2:$AF$1001,0),0), INDEX($AM$1004:$BM$1004,1,MATCH(COLUMNS($AM$1006:AV1006),$AM$1006:$BM$1006,0)))),"Fix")))</f>
        <v xml:space="preserve"> </v>
      </c>
      <c r="L411" s="4" t="str">
        <f ca="1">IF(OR(INDEX($AG$2:$AG$1001,MATCH(ROWS($AF$2:AF411),$AF$2:$AF$1001,0),1)&gt;=100000,INDEX($AM$1005:$BM$1005,1,MATCH(COLUMNS($AM$1006:AW1006),$AM$1006:$BM$1006,0))&gt;=100000), " ",IF(INDEX($AM$2:$BM$1001,MATCH(ROWS($AF$2:AF411),$AF$2:$AF$1001,0),MATCH(COLUMNS($AM$1006:AW1006),$AM$1006:$BM$1006,0)), HYPERLINK("#",""), HYPERLINK(CONCATENATE("#metadata!", ADDRESS(INDEX($AH$2:$AH$1001,MATCH(ROWS($AF$2:AF411),$AF$2:$AF$1001,0),0), INDEX($AM$1004:$BM$1004,1,MATCH(COLUMNS($AM$1006:AW1006),$AM$1006:$BM$1006,0)))),"Fix")))</f>
        <v xml:space="preserve"> </v>
      </c>
      <c r="M411" s="4" t="str">
        <f ca="1">IF(OR(INDEX($AG$2:$AG$1001,MATCH(ROWS($AF$2:AF411),$AF$2:$AF$1001,0),1)&gt;=100000,INDEX($AM$1005:$BM$1005,1,MATCH(COLUMNS($AM$1006:AX1006),$AM$1006:$BM$1006,0))&gt;=100000), " ",IF(INDEX($AM$2:$BM$1001,MATCH(ROWS($AF$2:AF411),$AF$2:$AF$1001,0),MATCH(COLUMNS($AM$1006:AX1006),$AM$1006:$BM$1006,0)), HYPERLINK("#",""), HYPERLINK(CONCATENATE("#metadata!", ADDRESS(INDEX($AH$2:$AH$1001,MATCH(ROWS($AF$2:AF411),$AF$2:$AF$1001,0),0), INDEX($AM$1004:$BM$1004,1,MATCH(COLUMNS($AM$1006:AX1006),$AM$1006:$BM$1006,0)))),"Fix")))</f>
        <v xml:space="preserve"> </v>
      </c>
      <c r="N411" s="4" t="str">
        <f ca="1">IF(OR(INDEX($AG$2:$AG$1001,MATCH(ROWS($AF$2:AF411),$AF$2:$AF$1001,0),1)&gt;=100000,INDEX($AM$1005:$BM$1005,1,MATCH(COLUMNS($AM$1006:AY1006),$AM$1006:$BM$1006,0))&gt;=100000), " ",IF(INDEX($AM$2:$BM$1001,MATCH(ROWS($AF$2:AF411),$AF$2:$AF$1001,0),MATCH(COLUMNS($AM$1006:AY1006),$AM$1006:$BM$1006,0)), HYPERLINK("#",""), HYPERLINK(CONCATENATE("#metadata!", ADDRESS(INDEX($AH$2:$AH$1001,MATCH(ROWS($AF$2:AF411),$AF$2:$AF$1001,0),0), INDEX($AM$1004:$BM$1004,1,MATCH(COLUMNS($AM$1006:AY1006),$AM$1006:$BM$1006,0)))),"Fix")))</f>
        <v xml:space="preserve"> </v>
      </c>
      <c r="O411" s="4" t="str">
        <f ca="1">IF(OR(INDEX($AG$2:$AG$1001,MATCH(ROWS($AF$2:AF411),$AF$2:$AF$1001,0),1)&gt;=100000,INDEX($AM$1005:$BM$1005,1,MATCH(COLUMNS($AM$1006:AZ1006),$AM$1006:$BM$1006,0))&gt;=100000), " ",IF(INDEX($AM$2:$BM$1001,MATCH(ROWS($AF$2:AF411),$AF$2:$AF$1001,0),MATCH(COLUMNS($AM$1006:AZ1006),$AM$1006:$BM$1006,0)), HYPERLINK("#",""), HYPERLINK(CONCATENATE("#metadata!", ADDRESS(INDEX($AH$2:$AH$1001,MATCH(ROWS($AF$2:AF411),$AF$2:$AF$1001,0),0), INDEX($AM$1004:$BM$1004,1,MATCH(COLUMNS($AM$1006:AZ1006),$AM$1006:$BM$1006,0)))),"Fix")))</f>
        <v xml:space="preserve"> </v>
      </c>
      <c r="P411" s="4" t="str">
        <f ca="1">IF(OR(INDEX($AG$2:$AG$1001,MATCH(ROWS($AF$2:AF411),$AF$2:$AF$1001,0),1)&gt;=100000,INDEX($AM$1005:$BM$1005,1,MATCH(COLUMNS($AM$1006:BA1006),$AM$1006:$BM$1006,0))&gt;=100000), " ",IF(INDEX($AM$2:$BM$1001,MATCH(ROWS($AF$2:AF411),$AF$2:$AF$1001,0),MATCH(COLUMNS($AM$1006:BA1006),$AM$1006:$BM$1006,0)), HYPERLINK("#",""), HYPERLINK(CONCATENATE("#metadata!", ADDRESS(INDEX($AH$2:$AH$1001,MATCH(ROWS($AF$2:AF411),$AF$2:$AF$1001,0),0), INDEX($AM$1004:$BM$1004,1,MATCH(COLUMNS($AM$1006:BA1006),$AM$1006:$BM$1006,0)))),"Fix")))</f>
        <v xml:space="preserve"> </v>
      </c>
      <c r="Q411" s="4" t="str">
        <f ca="1">IF(OR(INDEX($AG$2:$AG$1001,MATCH(ROWS($AF$2:AF411),$AF$2:$AF$1001,0),1)&gt;=100000,INDEX($AM$1005:$BM$1005,1,MATCH(COLUMNS($AM$1006:BB1006),$AM$1006:$BM$1006,0))&gt;=100000), " ",IF(INDEX($AM$2:$BM$1001,MATCH(ROWS($AF$2:AF411),$AF$2:$AF$1001,0),MATCH(COLUMNS($AM$1006:BB1006),$AM$1006:$BM$1006,0)), HYPERLINK("#",""), HYPERLINK(CONCATENATE("#metadata!", ADDRESS(INDEX($AH$2:$AH$1001,MATCH(ROWS($AF$2:AF411),$AF$2:$AF$1001,0),0), INDEX($AM$1004:$BM$1004,1,MATCH(COLUMNS($AM$1006:BB1006),$AM$1006:$BM$1006,0)))),"Fix")))</f>
        <v xml:space="preserve"> </v>
      </c>
      <c r="R411" s="4" t="str">
        <f ca="1">IF(OR(INDEX($AG$2:$AG$1001,MATCH(ROWS($AF$2:AF411),$AF$2:$AF$1001,0),1)&gt;=100000,INDEX($AM$1005:$BM$1005,1,MATCH(COLUMNS($AM$1006:BC1006),$AM$1006:$BM$1006,0))&gt;=100000), " ",IF(INDEX($AM$2:$BM$1001,MATCH(ROWS($AF$2:AF411),$AF$2:$AF$1001,0),MATCH(COLUMNS($AM$1006:BC1006),$AM$1006:$BM$1006,0)), HYPERLINK("#",""), HYPERLINK(CONCATENATE("#metadata!", ADDRESS(INDEX($AH$2:$AH$1001,MATCH(ROWS($AF$2:AF411),$AF$2:$AF$1001,0),0), INDEX($AM$1004:$BM$1004,1,MATCH(COLUMNS($AM$1006:BC1006),$AM$1006:$BM$1006,0)))),"Fix")))</f>
        <v xml:space="preserve"> </v>
      </c>
      <c r="S411" s="4" t="str">
        <f ca="1">IF(OR(INDEX($AG$2:$AG$1001,MATCH(ROWS($AF$2:AF411),$AF$2:$AF$1001,0),1)&gt;=100000,INDEX($AM$1005:$BM$1005,1,MATCH(COLUMNS($AM$1006:BD1006),$AM$1006:$BM$1006,0))&gt;=100000), " ",IF(INDEX($AM$2:$BM$1001,MATCH(ROWS($AF$2:AF411),$AF$2:$AF$1001,0),MATCH(COLUMNS($AM$1006:BD1006),$AM$1006:$BM$1006,0)), HYPERLINK("#",""), HYPERLINK(CONCATENATE("#metadata!", ADDRESS(INDEX($AH$2:$AH$1001,MATCH(ROWS($AF$2:AF411),$AF$2:$AF$1001,0),0), INDEX($AM$1004:$BM$1004,1,MATCH(COLUMNS($AM$1006:BD1006),$AM$1006:$BM$1006,0)))),"Fix")))</f>
        <v xml:space="preserve"> </v>
      </c>
      <c r="T411" s="4" t="str">
        <f ca="1">IF(OR(INDEX($AG$2:$AG$1001,MATCH(ROWS($AF$2:AF411),$AF$2:$AF$1001,0),1)&gt;=100000,INDEX($AM$1005:$BM$1005,1,MATCH(COLUMNS($AM$1006:BE1006),$AM$1006:$BM$1006,0))&gt;=100000), " ",IF(INDEX($AM$2:$BM$1001,MATCH(ROWS($AF$2:AF411),$AF$2:$AF$1001,0),MATCH(COLUMNS($AM$1006:BE1006),$AM$1006:$BM$1006,0)), HYPERLINK("#",""), HYPERLINK(CONCATENATE("#metadata!", ADDRESS(INDEX($AH$2:$AH$1001,MATCH(ROWS($AF$2:AF411),$AF$2:$AF$1001,0),0), INDEX($AM$1004:$BM$1004,1,MATCH(COLUMNS($AM$1006:BE1006),$AM$1006:$BM$1006,0)))),"Fix")))</f>
        <v xml:space="preserve"> </v>
      </c>
      <c r="U411" s="4" t="str">
        <f ca="1">IF(OR(INDEX($AG$2:$AG$1001,MATCH(ROWS($AF$2:AF411),$AF$2:$AF$1001,0),1)&gt;=100000,INDEX($AM$1005:$BM$1005,1,MATCH(COLUMNS($AM$1006:BF1006),$AM$1006:$BM$1006,0))&gt;=100000), " ",IF(INDEX($AM$2:$BM$1001,MATCH(ROWS($AF$2:AF411),$AF$2:$AF$1001,0),MATCH(COLUMNS($AM$1006:BF1006),$AM$1006:$BM$1006,0)), HYPERLINK("#",""), HYPERLINK(CONCATENATE("#metadata!", ADDRESS(INDEX($AH$2:$AH$1001,MATCH(ROWS($AF$2:AF411),$AF$2:$AF$1001,0),0), INDEX($AM$1004:$BM$1004,1,MATCH(COLUMNS($AM$1006:BF1006),$AM$1006:$BM$1006,0)))),"Fix")))</f>
        <v xml:space="preserve"> </v>
      </c>
      <c r="V411" s="4" t="str">
        <f ca="1">IF(OR(INDEX($AG$2:$AG$1001,MATCH(ROWS($AF$2:AF411),$AF$2:$AF$1001,0),1)&gt;=100000,INDEX($AM$1005:$BM$1005,1,MATCH(COLUMNS($AM$1006:BG1006),$AM$1006:$BM$1006,0))&gt;=100000), " ",IF(INDEX($AM$2:$BM$1001,MATCH(ROWS($AF$2:AF411),$AF$2:$AF$1001,0),MATCH(COLUMNS($AM$1006:BG1006),$AM$1006:$BM$1006,0)), HYPERLINK("#",""), HYPERLINK(CONCATENATE("#metadata!", ADDRESS(INDEX($AH$2:$AH$1001,MATCH(ROWS($AF$2:AF411),$AF$2:$AF$1001,0),0), INDEX($AM$1004:$BM$1004,1,MATCH(COLUMNS($AM$1006:BG1006),$AM$1006:$BM$1006,0)))),"Fix")))</f>
        <v xml:space="preserve"> </v>
      </c>
      <c r="W411" s="4" t="str">
        <f ca="1">IF(OR(INDEX($AG$2:$AG$1001,MATCH(ROWS($AF$2:AF411),$AF$2:$AF$1001,0),1)&gt;=100000,INDEX($AM$1005:$BM$1005,1,MATCH(COLUMNS($AM$1006:BH1006),$AM$1006:$BM$1006,0))&gt;=100000), " ",IF(INDEX($AM$2:$BM$1001,MATCH(ROWS($AF$2:AF411),$AF$2:$AF$1001,0),MATCH(COLUMNS($AM$1006:BH1006),$AM$1006:$BM$1006,0)), HYPERLINK("#",""), HYPERLINK(CONCATENATE("#metadata!", ADDRESS(INDEX($AH$2:$AH$1001,MATCH(ROWS($AF$2:AF411),$AF$2:$AF$1001,0),0), INDEX($AM$1004:$BM$1004,1,MATCH(COLUMNS($AM$1006:BH1006),$AM$1006:$BM$1006,0)))),"Fix")))</f>
        <v xml:space="preserve"> </v>
      </c>
      <c r="X411" s="4" t="str">
        <f ca="1">IF(OR(INDEX($AG$2:$AG$1001,MATCH(ROWS($AF$2:AF411),$AF$2:$AF$1001,0),1)&gt;=100000,INDEX($AM$1005:$BM$1005,1,MATCH(COLUMNS($AM$1006:BI1006),$AM$1006:$BM$1006,0))&gt;=100000), " ",IF(INDEX($AM$2:$BM$1001,MATCH(ROWS($AF$2:AF411),$AF$2:$AF$1001,0),MATCH(COLUMNS($AM$1006:BI1006),$AM$1006:$BM$1006,0)), HYPERLINK("#",""), HYPERLINK(CONCATENATE("#metadata!", ADDRESS(INDEX($AH$2:$AH$1001,MATCH(ROWS($AF$2:AF411),$AF$2:$AF$1001,0),0), INDEX($AM$1004:$BM$1004,1,MATCH(COLUMNS($AM$1006:BI1006),$AM$1006:$BM$1006,0)))),"Fix")))</f>
        <v xml:space="preserve"> </v>
      </c>
      <c r="Y411" s="4" t="str">
        <f ca="1">IF(OR(INDEX($AG$2:$AG$1001,MATCH(ROWS($AF$2:AF411),$AF$2:$AF$1001,0),1)&gt;=100000,INDEX($AM$1005:$BM$1005,1,MATCH(COLUMNS($AM$1006:BJ1006),$AM$1006:$BM$1006,0))&gt;=100000), " ",IF(INDEX($AM$2:$BM$1001,MATCH(ROWS($AF$2:AF411),$AF$2:$AF$1001,0),MATCH(COLUMNS($AM$1006:BJ1006),$AM$1006:$BM$1006,0)), HYPERLINK("#",""), HYPERLINK(CONCATENATE("#metadata!", ADDRESS(INDEX($AH$2:$AH$1001,MATCH(ROWS($AF$2:AF411),$AF$2:$AF$1001,0),0), INDEX($AM$1004:$BM$1004,1,MATCH(COLUMNS($AM$1006:BJ1006),$AM$1006:$BM$1006,0)))),"Fix")))</f>
        <v xml:space="preserve"> </v>
      </c>
      <c r="Z411" s="4" t="str">
        <f ca="1">IF(OR(INDEX($AG$2:$AG$1001,MATCH(ROWS($AF$2:AF411),$AF$2:$AF$1001,0),1)&gt;=100000,INDEX($AM$1005:$BM$1005,1,MATCH(COLUMNS($AM$1006:BK1006),$AM$1006:$BM$1006,0))&gt;=100000), " ",IF(INDEX($AM$2:$BM$1001,MATCH(ROWS($AF$2:AF411),$AF$2:$AF$1001,0),MATCH(COLUMNS($AM$1006:BK1006),$AM$1006:$BM$1006,0)), HYPERLINK("#",""), HYPERLINK(CONCATENATE("#metadata!", ADDRESS(INDEX($AH$2:$AH$1001,MATCH(ROWS($AF$2:AF411),$AF$2:$AF$1001,0),0), INDEX($AM$1004:$BM$1004,1,MATCH(COLUMNS($AM$1006:BK1006),$AM$1006:$BM$1006,0)))),"Fix")))</f>
        <v xml:space="preserve"> </v>
      </c>
      <c r="AA411" s="4" t="str">
        <f ca="1">IF(OR(INDEX($AG$2:$AG$1001,MATCH(ROWS($AF$2:AF411),$AF$2:$AF$1001,0),1)&gt;=100000,INDEX($AM$1005:$BM$1005,1,MATCH(COLUMNS($AM$1006:BL1006),$AM$1006:$BM$1006,0))&gt;=100000), " ",IF(INDEX($AM$2:$BM$1001,MATCH(ROWS($AF$2:AF411),$AF$2:$AF$1001,0),MATCH(COLUMNS($AM$1006:BL1006),$AM$1006:$BM$1006,0)), HYPERLINK("#",""), HYPERLINK(CONCATENATE("#metadata!", ADDRESS(INDEX($AH$2:$AH$1001,MATCH(ROWS($AF$2:AF411),$AF$2:$AF$1001,0),0), INDEX($AM$1004:$BM$1004,1,MATCH(COLUMNS($AM$1006:BL1006),$AM$1006:$BM$1006,0)))),"Fix")))</f>
        <v xml:space="preserve"> </v>
      </c>
      <c r="AB411" s="4" t="str">
        <f ca="1">IF(OR(INDEX($AG$2:$AG$1001,MATCH(ROWS($AF$2:AF411),$AF$2:$AF$1001,0),1)&gt;=100000,INDEX($AM$1005:$BM$1005,1,MATCH(COLUMNS($AM$1006:BM1006),$AM$1006:$BM$1006,0))&gt;=100000), " ",IF(INDEX($AM$2:$BM$1001,MATCH(ROWS($AF$2:AF411),$AF$2:$AF$1001,0),MATCH(COLUMNS($AM$1006:BM1006),$AM$1006:$BM$1006,0)), HYPERLINK("#",""), HYPERLINK(CONCATENATE("#metadata!", ADDRESS(INDEX($AH$2:$AH$1001,MATCH(ROWS($AF$2:AF411),$AF$2:$AF$1001,0),0), INDEX($AM$1004:$BM$1004,1,MATCH(COLUMNS($AM$1006:BM1006),$AM$1006:$BM$1006,0)))),"Fix")))</f>
        <v xml:space="preserve"> </v>
      </c>
      <c r="AF411">
        <v>410</v>
      </c>
      <c r="AG411">
        <v>100411</v>
      </c>
      <c r="AH411">
        <v>411</v>
      </c>
      <c r="AI411" t="b">
        <f t="shared" si="6"/>
        <v>1</v>
      </c>
      <c r="AJ411" t="b">
        <f>COUNTBLANK(metadata!B411:AB411)=COLUMNS(metadata!B411:AB411)</f>
        <v>1</v>
      </c>
      <c r="AK411" t="str">
        <v/>
      </c>
      <c r="AM411" t="b">
        <f ca="1">AND(IF(metadata!B411="",FALSE,TRUE),COUNTIF(metadata!B:B, metadata!B411) = 1,NOT(ISERROR(SUMPRODUCT(SEARCH(MID(metadata!B411,ROW(INDIRECT("1:"&amp;LEN(metadata!B411))), 1),"0123456789abcdefghijklmnopqrstuvwxyzABCDEFGHIJKLMNOPQRSTUVWXYZ.")))))</f>
        <v>0</v>
      </c>
      <c r="AN411" t="b">
        <f ca="1">OR(AND(IF(metadata!C411="",FALSE,TRUE),OR(EXACT(metadata!C411,"missing: not collected"),EXACT(metadata!C411,"missing: not provided"),EXACT(metadata!C411,"missing: restricted access"))),AND(IF(metadata!C411="",FALSE,TRUE),AND(AND(IFERROR(INT(LEFT(metadata!C411,4))&gt;1900,FALSE),IFERROR(INT(LEFT(metadata!C411,4))&lt;=YEAR(NOW()),FALSE)), OR(MID(metadata!C411,5,1)="", AND(AND(MID(metadata!C411,5,1)="-",IFERROR(INT(MID(metadata!C411,6,1))&gt;=0,FALSE),IFERROR(INT(MID(metadata!C411,6,1))&lt;=1,FALSE),NOT(MID(metadata!C411,7,1)=""),IFERROR(INT(MID(metadata!C411,6,2))&gt;=1,FALSE),IFERROR(INT(MID(metadata!C411,6,2))&lt;=12,FALSE)), OR(MID(metadata!C411,8,1)="", AND(AND(MID(metadata!C411,8,1)="-",IFERROR(INT(MID(metadata!C411,9,1))&gt;=0,FALSE),IFERROR(INT(MID(metadata!C411,9,1))&lt;=3,FALSE),NOT(MID(metadata!C411,10,1)=""),IFERROR(INT(MID(metadata!C411,9,2))&gt;=1,FALSE),IFERROR(INT(MID(metadata!C411,9,2))&lt;=31,FALSE)), OR(MID(metadata!C411,11,1)="", AND(AND(MID(metadata!C411,11,1)=" ",IFERROR(INT(MID(metadata!C411,12,1))&gt;=0,FALSE),IFERROR(INT(MID(metadata!C411,12,1))&lt;=2,FALSE),NOT(MID(metadata!C411,13,1)=""),IFERROR(INT(MID(metadata!C411,12,2))&gt;=0,FALSE),IFERROR(INT(MID(metadata!C411,12,2))&lt;=23,FALSE)), OR(MID(metadata!C411,14,1)="", AND(AND(MID(metadata!C411,14,1)=":",IFERROR(INT(MID(metadata!C411,15,1))&gt;=0,FALSE),IFERROR(INT(MID(metadata!C411,15,1))&lt;=5,FALSE),NOT(MID(metadata!C411,16,1)=""),IFERROR(INT(MID(metadata!C411,15,2))&gt;=0,FALSE),IFERROR(INT(MID(metadata!C411,15,2))&lt;=59,FALSE)), OR(MID(metadata!C411,17,1)="", AND(AND(MID(metadata!C411,17,1)=":",IFERROR(INT(MID(metadata!C411,18,1))&gt;=0,FALSE),IFERROR(INT(MID(metadata!C411,18,1))&lt;=5,FALSE),NOT(MID(metadata!C411,19,1)=""),IFERROR(INT(MID(metadata!C411,18,2))&gt;=0,FALSE),IFERROR(INT(MID(metadata!C411,18,2))&lt;=59,FALSE)), LEN(metadata!C411)&lt;=19)))))))))))))</f>
        <v>0</v>
      </c>
      <c r="AO411" t="b">
        <f>AND(IF(metadata!D411="",FALSE,TRUE),EXACT(metadata!D411,"Not applicable"))</f>
        <v>0</v>
      </c>
      <c r="AP411" t="b">
        <f>IF(metadata!E411="",FALSE,TRUE)</f>
        <v>0</v>
      </c>
      <c r="AQ411" t="b">
        <f>OR(AND(IF(metadata!F411="",FALSE,TRUE),OR(EXACT(metadata!F411,"missing: not collected"),EXACT(metadata!F411,"missing: not provided"))),AND(IF(metadata!F411="",FALSE,TRUE),OR(EXACT(metadata!F411,"TRUE"),EXACT(metadata!F411,"FALSE"))))</f>
        <v>0</v>
      </c>
      <c r="AR411" t="b">
        <f>OR(AND(IF(metadata!G411="",FALSE,TRUE),OR(EXACT(metadata!G411,"missing: not collected"),EXACT(metadata!G411,"missing: not provided"),EXACT(metadata!G411,"missing: restricted access"))),AND(IF(metadata!G411="",FALSE,ISNUMBER(VALUE(metadata!G411))),metadata!G411&gt;=-413))</f>
        <v>0</v>
      </c>
      <c r="AS411" t="b">
        <f>AND(IF(metadata!H411="",FALSE,TRUE),EXACT(metadata!H411,"meters"))</f>
        <v>0</v>
      </c>
      <c r="AT411" t="b">
        <f>AND(IF(metadata!I411="",FALSE,TRUE),OR(EXACT(metadata!I411,"Host-associated"),EXACT(metadata!I411,"Free-living")))</f>
        <v>0</v>
      </c>
      <c r="AU411" t="b">
        <f>AND(IF(metadata!J411="",FALSE,TRUE),OR(EXACT(metadata!J411,"Animal"),EXACT(metadata!J411,"Fungus"),EXACT(metadata!J411,"Plant"),EXACT(metadata!J411,"Saline"),EXACT(metadata!J411,"Non-saline")))</f>
        <v>0</v>
      </c>
      <c r="AV411" t="b">
        <f>AND(IF(metadata!K411="",FALSE,TRUE),OR(EXACT(metadata!K411,"Plant secretion"),EXACT(metadata!K411,"Plant rhizosphere"),EXACT(metadata!K411,"Plant surface"),EXACT(metadata!K411,"Plant corpus"),EXACT(metadata!K411,"Fungus surface"),EXACT(metadata!K411,"Fungus corpus"),EXACT(metadata!K411,"Animal surface"),EXACT(metadata!K411,"Animal proximal gut"),EXACT(metadata!K411,"Animal corpus"),EXACT(metadata!K411,"Animal distal gut"),EXACT(metadata!K411,"Animal secretion"),EXACT(metadata!K411,"Sub-surface (non-saline)"),EXACT(metadata!K411,"Surface (non-saline)"),EXACT(metadata!K411,"Water (non-saline)"),EXACT(metadata!K411,"Soil (non-saline)"),EXACT(metadata!K411,"Aerosol (non-saline)"),EXACT(metadata!K411,"Sediment (non-saline)"),EXACT(metadata!K411,"Surface (saline)"),EXACT(metadata!K411,"Water (saline)"),EXACT(metadata!K411,"Hypersaline (saline)"),EXACT(metadata!K411,"Aerosol (saline)"),EXACT(metadata!K411,"Sediment (saline)")))</f>
        <v>0</v>
      </c>
      <c r="AW411" t="b">
        <f>IF(metadata!L411="",FALSE,TRUE)</f>
        <v>0</v>
      </c>
      <c r="AX411" t="b">
        <f>IF(metadata!M411="",FALSE,TRUE)</f>
        <v>0</v>
      </c>
      <c r="AY411" t="b">
        <f>IF(metadata!N411="",FALSE,TRUE)</f>
        <v>0</v>
      </c>
      <c r="AZ411" t="b">
        <f>OR(AND(IF(metadata!O411="",FALSE,TRUE),OR(EXACT(metadata!O411,"missing: not collected"),EXACT(metadata!O411,"missing: not provided"),EXACT(metadata!O411,"missing: restricted access"))),AND(IF(metadata!O411="",FALSE,TRUE),OR(EXACT(metadata!O411,"air"),EXACT(metadata!O411,"built environment"),EXACT(metadata!O411,"host-associated"),EXACT(metadata!O411,"human-associated"),EXACT(metadata!O411,"human-skin"),EXACT(metadata!O411,"human-oral"),EXACT(metadata!O411,"human-gut"),EXACT(metadata!O411,"human-vaginal"),EXACT(metadata!O411,"microbial mat/biofilm"),EXACT(metadata!O411,"misc environment"),EXACT(metadata!O411,"plant-associated"),EXACT(metadata!O411,"sediment"),EXACT(metadata!O411,"soil"),EXACT(metadata!O411,"wastewater/sludge"),EXACT(metadata!O411,"water"))))</f>
        <v>0</v>
      </c>
      <c r="BA411" t="b">
        <f>IF(metadata!P411="",FALSE,TRUE)</f>
        <v>0</v>
      </c>
      <c r="BB411" t="b">
        <f>IF(metadata!Q411="",FALSE,TRUE)</f>
        <v>0</v>
      </c>
      <c r="BC411" t="b">
        <f>OR(AND(IF(metadata!R411="",FALSE,TRUE),OR(EXACT(metadata!R411,"missing: not collected"),EXACT(metadata!R411,"missing: not provided"),EXACT(metadata!R411,"missing: restricted access"))),AND(IF(metadata!R411="",FALSE,ISNUMBER(VALUE(metadata!R411))),metadata!R411&gt;=-90,metadata!R411&lt;=90))</f>
        <v>0</v>
      </c>
      <c r="BD411" t="b">
        <f>AND(IF(metadata!S411="",FALSE,TRUE),EXACT(metadata!S411,"Decimal degrees"))</f>
        <v>0</v>
      </c>
      <c r="BE411" t="b">
        <f>OR(AND(IF(metadata!T411="",FALSE,TRUE),OR(EXACT(metadata!T411,"missing: not collected"),EXACT(metadata!T411,"missing: not provided"),EXACT(metadata!T411,"missing: restricted access"))),AND(IF(metadata!T411="",FALSE,ISNUMBER(VALUE(metadata!T411))),metadata!T411&gt;=-180,metadata!T411&lt;=180))</f>
        <v>0</v>
      </c>
      <c r="BF411" t="b">
        <f>AND(IF(metadata!U411="",FALSE,TRUE),EXACT(metadata!U411,"Decimal degrees"))</f>
        <v>0</v>
      </c>
      <c r="BG411" t="b">
        <f>IF(metadata!V411="",FALSE,TRUE)</f>
        <v>0</v>
      </c>
      <c r="BH411" t="b">
        <f>OR(AND(IF(metadata!W411="",FALSE,TRUE),OR(EXACT(metadata!W411,"missing: not collected"),EXACT(metadata!W411,"missing: not provided"),EXACT(metadata!W411,"missing: restricted access"))),AND(IF(metadata!W411="",FALSE,TRUE),OR(EXACT(metadata!W411,"TRUE"),EXACT(metadata!W411,"FALSE"))))</f>
        <v>0</v>
      </c>
      <c r="BI411" t="b">
        <f>AND(IF(metadata!X411="",FALSE,TRUE),EXACT(metadata!X411,"other"))</f>
        <v>0</v>
      </c>
      <c r="BJ411" t="b">
        <f>IF(metadata!Y411="",FALSE,TRUE)</f>
        <v>0</v>
      </c>
      <c r="BK411" t="b">
        <f>OR(AND(IF(metadata!Z411="",FALSE,TRUE),OR(EXACT(metadata!Z411,"missing: not collected"),EXACT(metadata!Z411,"missing: not provided"))),AND(IF(metadata!Z411="",FALSE,IF(ISERROR(INT(metadata!Z411)),FALSE,INT(metadata!Z411)=metadata!Z411)),metadata!Z411&gt;0))</f>
        <v>0</v>
      </c>
      <c r="BL411" t="b">
        <f>AND(IF(metadata!AA411="",FALSE,TRUE),EXACT(metadata!AA411,"Not applicable"))</f>
        <v>0</v>
      </c>
      <c r="BM411" t="b">
        <f>IF(metadata!AB411="",FALSE,TRUE)</f>
        <v>0</v>
      </c>
    </row>
    <row r="412" spans="1:65" x14ac:dyDescent="0.2">
      <c r="A412" s="5" t="str">
        <f ca="1">IF(B412=" "," ",HYPERLINK(CONCATENATE("#metadata!",ADDRESS(INDEX($AH$2:$AH$1001,MATCH(ROWS($AF$2:AF412),$AF$2:$AF$1001,0),0),1)),INDEX($AK$2:$AK$1001,MATCH(ROWS($AF$2:AF412),$AF$2:$AF$1001,0),0)))</f>
        <v xml:space="preserve"> </v>
      </c>
      <c r="B412" s="4" t="str">
        <f ca="1">IF(OR(INDEX($AG$2:$AG$1001,MATCH(ROWS($AF$2:AF412),$AF$2:$AF$1001,0),1)&gt;=100000,INDEX($AM$1005:$BM$1005,1,MATCH(COLUMNS($AM$1006:AM1006),$AM$1006:$BM$1006,0))&gt;=100000), " ",IF(INDEX($AM$2:$BM$1001,MATCH(ROWS($AF$2:AF412),$AF$2:$AF$1001,0),MATCH(COLUMNS($AM$1006:AM1006),$AM$1006:$BM$1006,0)), HYPERLINK("#",""), HYPERLINK(CONCATENATE("#metadata!", ADDRESS(INDEX($AH$2:$AH$1001,MATCH(ROWS($AF$2:AF412),$AF$2:$AF$1001,0),0), INDEX($AM$1004:$BM$1004,1,MATCH(COLUMNS($AM$1006:AM1006),$AM$1006:$BM$1006,0)))),"Fix")))</f>
        <v xml:space="preserve"> </v>
      </c>
      <c r="C412" s="4" t="str">
        <f ca="1">IF(OR(INDEX($AG$2:$AG$1001,MATCH(ROWS($AF$2:AF412),$AF$2:$AF$1001,0),1)&gt;=100000,INDEX($AM$1005:$BM$1005,1,MATCH(COLUMNS($AM$1006:AN1006),$AM$1006:$BM$1006,0))&gt;=100000), " ",IF(INDEX($AM$2:$BM$1001,MATCH(ROWS($AF$2:AF412),$AF$2:$AF$1001,0),MATCH(COLUMNS($AM$1006:AN1006),$AM$1006:$BM$1006,0)), HYPERLINK("#",""), HYPERLINK(CONCATENATE("#metadata!", ADDRESS(INDEX($AH$2:$AH$1001,MATCH(ROWS($AF$2:AF412),$AF$2:$AF$1001,0),0), INDEX($AM$1004:$BM$1004,1,MATCH(COLUMNS($AM$1006:AN1006),$AM$1006:$BM$1006,0)))),"Fix")))</f>
        <v xml:space="preserve"> </v>
      </c>
      <c r="D412" s="4" t="str">
        <f ca="1">IF(OR(INDEX($AG$2:$AG$1001,MATCH(ROWS($AF$2:AF412),$AF$2:$AF$1001,0),1)&gt;=100000,INDEX($AM$1005:$BM$1005,1,MATCH(COLUMNS($AM$1006:AO1006),$AM$1006:$BM$1006,0))&gt;=100000), " ",IF(INDEX($AM$2:$BM$1001,MATCH(ROWS($AF$2:AF412),$AF$2:$AF$1001,0),MATCH(COLUMNS($AM$1006:AO1006),$AM$1006:$BM$1006,0)), HYPERLINK("#",""), HYPERLINK(CONCATENATE("#metadata!", ADDRESS(INDEX($AH$2:$AH$1001,MATCH(ROWS($AF$2:AF412),$AF$2:$AF$1001,0),0), INDEX($AM$1004:$BM$1004,1,MATCH(COLUMNS($AM$1006:AO1006),$AM$1006:$BM$1006,0)))),"Fix")))</f>
        <v xml:space="preserve"> </v>
      </c>
      <c r="E412" s="4" t="str">
        <f ca="1">IF(OR(INDEX($AG$2:$AG$1001,MATCH(ROWS($AF$2:AF412),$AF$2:$AF$1001,0),1)&gt;=100000,INDEX($AM$1005:$BM$1005,1,MATCH(COLUMNS($AM$1006:AP1006),$AM$1006:$BM$1006,0))&gt;=100000), " ",IF(INDEX($AM$2:$BM$1001,MATCH(ROWS($AF$2:AF412),$AF$2:$AF$1001,0),MATCH(COLUMNS($AM$1006:AP1006),$AM$1006:$BM$1006,0)), HYPERLINK("#",""), HYPERLINK(CONCATENATE("#metadata!", ADDRESS(INDEX($AH$2:$AH$1001,MATCH(ROWS($AF$2:AF412),$AF$2:$AF$1001,0),0), INDEX($AM$1004:$BM$1004,1,MATCH(COLUMNS($AM$1006:AP1006),$AM$1006:$BM$1006,0)))),"Fix")))</f>
        <v xml:space="preserve"> </v>
      </c>
      <c r="F412" s="4" t="str">
        <f ca="1">IF(OR(INDEX($AG$2:$AG$1001,MATCH(ROWS($AF$2:AF412),$AF$2:$AF$1001,0),1)&gt;=100000,INDEX($AM$1005:$BM$1005,1,MATCH(COLUMNS($AM$1006:AQ1006),$AM$1006:$BM$1006,0))&gt;=100000), " ",IF(INDEX($AM$2:$BM$1001,MATCH(ROWS($AF$2:AF412),$AF$2:$AF$1001,0),MATCH(COLUMNS($AM$1006:AQ1006),$AM$1006:$BM$1006,0)), HYPERLINK("#",""), HYPERLINK(CONCATENATE("#metadata!", ADDRESS(INDEX($AH$2:$AH$1001,MATCH(ROWS($AF$2:AF412),$AF$2:$AF$1001,0),0), INDEX($AM$1004:$BM$1004,1,MATCH(COLUMNS($AM$1006:AQ1006),$AM$1006:$BM$1006,0)))),"Fix")))</f>
        <v xml:space="preserve"> </v>
      </c>
      <c r="G412" s="4" t="str">
        <f ca="1">IF(OR(INDEX($AG$2:$AG$1001,MATCH(ROWS($AF$2:AF412),$AF$2:$AF$1001,0),1)&gt;=100000,INDEX($AM$1005:$BM$1005,1,MATCH(COLUMNS($AM$1006:AR1006),$AM$1006:$BM$1006,0))&gt;=100000), " ",IF(INDEX($AM$2:$BM$1001,MATCH(ROWS($AF$2:AF412),$AF$2:$AF$1001,0),MATCH(COLUMNS($AM$1006:AR1006),$AM$1006:$BM$1006,0)), HYPERLINK("#",""), HYPERLINK(CONCATENATE("#metadata!", ADDRESS(INDEX($AH$2:$AH$1001,MATCH(ROWS($AF$2:AF412),$AF$2:$AF$1001,0),0), INDEX($AM$1004:$BM$1004,1,MATCH(COLUMNS($AM$1006:AR1006),$AM$1006:$BM$1006,0)))),"Fix")))</f>
        <v xml:space="preserve"> </v>
      </c>
      <c r="H412" s="4" t="str">
        <f ca="1">IF(OR(INDEX($AG$2:$AG$1001,MATCH(ROWS($AF$2:AF412),$AF$2:$AF$1001,0),1)&gt;=100000,INDEX($AM$1005:$BM$1005,1,MATCH(COLUMNS($AM$1006:AS1006),$AM$1006:$BM$1006,0))&gt;=100000), " ",IF(INDEX($AM$2:$BM$1001,MATCH(ROWS($AF$2:AF412),$AF$2:$AF$1001,0),MATCH(COLUMNS($AM$1006:AS1006),$AM$1006:$BM$1006,0)), HYPERLINK("#",""), HYPERLINK(CONCATENATE("#metadata!", ADDRESS(INDEX($AH$2:$AH$1001,MATCH(ROWS($AF$2:AF412),$AF$2:$AF$1001,0),0), INDEX($AM$1004:$BM$1004,1,MATCH(COLUMNS($AM$1006:AS1006),$AM$1006:$BM$1006,0)))),"Fix")))</f>
        <v xml:space="preserve"> </v>
      </c>
      <c r="I412" s="4" t="str">
        <f ca="1">IF(OR(INDEX($AG$2:$AG$1001,MATCH(ROWS($AF$2:AF412),$AF$2:$AF$1001,0),1)&gt;=100000,INDEX($AM$1005:$BM$1005,1,MATCH(COLUMNS($AM$1006:AT1006),$AM$1006:$BM$1006,0))&gt;=100000), " ",IF(INDEX($AM$2:$BM$1001,MATCH(ROWS($AF$2:AF412),$AF$2:$AF$1001,0),MATCH(COLUMNS($AM$1006:AT1006),$AM$1006:$BM$1006,0)), HYPERLINK("#",""), HYPERLINK(CONCATENATE("#metadata!", ADDRESS(INDEX($AH$2:$AH$1001,MATCH(ROWS($AF$2:AF412),$AF$2:$AF$1001,0),0), INDEX($AM$1004:$BM$1004,1,MATCH(COLUMNS($AM$1006:AT1006),$AM$1006:$BM$1006,0)))),"Fix")))</f>
        <v xml:space="preserve"> </v>
      </c>
      <c r="J412" s="4" t="str">
        <f ca="1">IF(OR(INDEX($AG$2:$AG$1001,MATCH(ROWS($AF$2:AF412),$AF$2:$AF$1001,0),1)&gt;=100000,INDEX($AM$1005:$BM$1005,1,MATCH(COLUMNS($AM$1006:AU1006),$AM$1006:$BM$1006,0))&gt;=100000), " ",IF(INDEX($AM$2:$BM$1001,MATCH(ROWS($AF$2:AF412),$AF$2:$AF$1001,0),MATCH(COLUMNS($AM$1006:AU1006),$AM$1006:$BM$1006,0)), HYPERLINK("#",""), HYPERLINK(CONCATENATE("#metadata!", ADDRESS(INDEX($AH$2:$AH$1001,MATCH(ROWS($AF$2:AF412),$AF$2:$AF$1001,0),0), INDEX($AM$1004:$BM$1004,1,MATCH(COLUMNS($AM$1006:AU1006),$AM$1006:$BM$1006,0)))),"Fix")))</f>
        <v xml:space="preserve"> </v>
      </c>
      <c r="K412" s="4" t="str">
        <f ca="1">IF(OR(INDEX($AG$2:$AG$1001,MATCH(ROWS($AF$2:AF412),$AF$2:$AF$1001,0),1)&gt;=100000,INDEX($AM$1005:$BM$1005,1,MATCH(COLUMNS($AM$1006:AV1006),$AM$1006:$BM$1006,0))&gt;=100000), " ",IF(INDEX($AM$2:$BM$1001,MATCH(ROWS($AF$2:AF412),$AF$2:$AF$1001,0),MATCH(COLUMNS($AM$1006:AV1006),$AM$1006:$BM$1006,0)), HYPERLINK("#",""), HYPERLINK(CONCATENATE("#metadata!", ADDRESS(INDEX($AH$2:$AH$1001,MATCH(ROWS($AF$2:AF412),$AF$2:$AF$1001,0),0), INDEX($AM$1004:$BM$1004,1,MATCH(COLUMNS($AM$1006:AV1006),$AM$1006:$BM$1006,0)))),"Fix")))</f>
        <v xml:space="preserve"> </v>
      </c>
      <c r="L412" s="4" t="str">
        <f ca="1">IF(OR(INDEX($AG$2:$AG$1001,MATCH(ROWS($AF$2:AF412),$AF$2:$AF$1001,0),1)&gt;=100000,INDEX($AM$1005:$BM$1005,1,MATCH(COLUMNS($AM$1006:AW1006),$AM$1006:$BM$1006,0))&gt;=100000), " ",IF(INDEX($AM$2:$BM$1001,MATCH(ROWS($AF$2:AF412),$AF$2:$AF$1001,0),MATCH(COLUMNS($AM$1006:AW1006),$AM$1006:$BM$1006,0)), HYPERLINK("#",""), HYPERLINK(CONCATENATE("#metadata!", ADDRESS(INDEX($AH$2:$AH$1001,MATCH(ROWS($AF$2:AF412),$AF$2:$AF$1001,0),0), INDEX($AM$1004:$BM$1004,1,MATCH(COLUMNS($AM$1006:AW1006),$AM$1006:$BM$1006,0)))),"Fix")))</f>
        <v xml:space="preserve"> </v>
      </c>
      <c r="M412" s="4" t="str">
        <f ca="1">IF(OR(INDEX($AG$2:$AG$1001,MATCH(ROWS($AF$2:AF412),$AF$2:$AF$1001,0),1)&gt;=100000,INDEX($AM$1005:$BM$1005,1,MATCH(COLUMNS($AM$1006:AX1006),$AM$1006:$BM$1006,0))&gt;=100000), " ",IF(INDEX($AM$2:$BM$1001,MATCH(ROWS($AF$2:AF412),$AF$2:$AF$1001,0),MATCH(COLUMNS($AM$1006:AX1006),$AM$1006:$BM$1006,0)), HYPERLINK("#",""), HYPERLINK(CONCATENATE("#metadata!", ADDRESS(INDEX($AH$2:$AH$1001,MATCH(ROWS($AF$2:AF412),$AF$2:$AF$1001,0),0), INDEX($AM$1004:$BM$1004,1,MATCH(COLUMNS($AM$1006:AX1006),$AM$1006:$BM$1006,0)))),"Fix")))</f>
        <v xml:space="preserve"> </v>
      </c>
      <c r="N412" s="4" t="str">
        <f ca="1">IF(OR(INDEX($AG$2:$AG$1001,MATCH(ROWS($AF$2:AF412),$AF$2:$AF$1001,0),1)&gt;=100000,INDEX($AM$1005:$BM$1005,1,MATCH(COLUMNS($AM$1006:AY1006),$AM$1006:$BM$1006,0))&gt;=100000), " ",IF(INDEX($AM$2:$BM$1001,MATCH(ROWS($AF$2:AF412),$AF$2:$AF$1001,0),MATCH(COLUMNS($AM$1006:AY1006),$AM$1006:$BM$1006,0)), HYPERLINK("#",""), HYPERLINK(CONCATENATE("#metadata!", ADDRESS(INDEX($AH$2:$AH$1001,MATCH(ROWS($AF$2:AF412),$AF$2:$AF$1001,0),0), INDEX($AM$1004:$BM$1004,1,MATCH(COLUMNS($AM$1006:AY1006),$AM$1006:$BM$1006,0)))),"Fix")))</f>
        <v xml:space="preserve"> </v>
      </c>
      <c r="O412" s="4" t="str">
        <f ca="1">IF(OR(INDEX($AG$2:$AG$1001,MATCH(ROWS($AF$2:AF412),$AF$2:$AF$1001,0),1)&gt;=100000,INDEX($AM$1005:$BM$1005,1,MATCH(COLUMNS($AM$1006:AZ1006),$AM$1006:$BM$1006,0))&gt;=100000), " ",IF(INDEX($AM$2:$BM$1001,MATCH(ROWS($AF$2:AF412),$AF$2:$AF$1001,0),MATCH(COLUMNS($AM$1006:AZ1006),$AM$1006:$BM$1006,0)), HYPERLINK("#",""), HYPERLINK(CONCATENATE("#metadata!", ADDRESS(INDEX($AH$2:$AH$1001,MATCH(ROWS($AF$2:AF412),$AF$2:$AF$1001,0),0), INDEX($AM$1004:$BM$1004,1,MATCH(COLUMNS($AM$1006:AZ1006),$AM$1006:$BM$1006,0)))),"Fix")))</f>
        <v xml:space="preserve"> </v>
      </c>
      <c r="P412" s="4" t="str">
        <f ca="1">IF(OR(INDEX($AG$2:$AG$1001,MATCH(ROWS($AF$2:AF412),$AF$2:$AF$1001,0),1)&gt;=100000,INDEX($AM$1005:$BM$1005,1,MATCH(COLUMNS($AM$1006:BA1006),$AM$1006:$BM$1006,0))&gt;=100000), " ",IF(INDEX($AM$2:$BM$1001,MATCH(ROWS($AF$2:AF412),$AF$2:$AF$1001,0),MATCH(COLUMNS($AM$1006:BA1006),$AM$1006:$BM$1006,0)), HYPERLINK("#",""), HYPERLINK(CONCATENATE("#metadata!", ADDRESS(INDEX($AH$2:$AH$1001,MATCH(ROWS($AF$2:AF412),$AF$2:$AF$1001,0),0), INDEX($AM$1004:$BM$1004,1,MATCH(COLUMNS($AM$1006:BA1006),$AM$1006:$BM$1006,0)))),"Fix")))</f>
        <v xml:space="preserve"> </v>
      </c>
      <c r="Q412" s="4" t="str">
        <f ca="1">IF(OR(INDEX($AG$2:$AG$1001,MATCH(ROWS($AF$2:AF412),$AF$2:$AF$1001,0),1)&gt;=100000,INDEX($AM$1005:$BM$1005,1,MATCH(COLUMNS($AM$1006:BB1006),$AM$1006:$BM$1006,0))&gt;=100000), " ",IF(INDEX($AM$2:$BM$1001,MATCH(ROWS($AF$2:AF412),$AF$2:$AF$1001,0),MATCH(COLUMNS($AM$1006:BB1006),$AM$1006:$BM$1006,0)), HYPERLINK("#",""), HYPERLINK(CONCATENATE("#metadata!", ADDRESS(INDEX($AH$2:$AH$1001,MATCH(ROWS($AF$2:AF412),$AF$2:$AF$1001,0),0), INDEX($AM$1004:$BM$1004,1,MATCH(COLUMNS($AM$1006:BB1006),$AM$1006:$BM$1006,0)))),"Fix")))</f>
        <v xml:space="preserve"> </v>
      </c>
      <c r="R412" s="4" t="str">
        <f ca="1">IF(OR(INDEX($AG$2:$AG$1001,MATCH(ROWS($AF$2:AF412),$AF$2:$AF$1001,0),1)&gt;=100000,INDEX($AM$1005:$BM$1005,1,MATCH(COLUMNS($AM$1006:BC1006),$AM$1006:$BM$1006,0))&gt;=100000), " ",IF(INDEX($AM$2:$BM$1001,MATCH(ROWS($AF$2:AF412),$AF$2:$AF$1001,0),MATCH(COLUMNS($AM$1006:BC1006),$AM$1006:$BM$1006,0)), HYPERLINK("#",""), HYPERLINK(CONCATENATE("#metadata!", ADDRESS(INDEX($AH$2:$AH$1001,MATCH(ROWS($AF$2:AF412),$AF$2:$AF$1001,0),0), INDEX($AM$1004:$BM$1004,1,MATCH(COLUMNS($AM$1006:BC1006),$AM$1006:$BM$1006,0)))),"Fix")))</f>
        <v xml:space="preserve"> </v>
      </c>
      <c r="S412" s="4" t="str">
        <f ca="1">IF(OR(INDEX($AG$2:$AG$1001,MATCH(ROWS($AF$2:AF412),$AF$2:$AF$1001,0),1)&gt;=100000,INDEX($AM$1005:$BM$1005,1,MATCH(COLUMNS($AM$1006:BD1006),$AM$1006:$BM$1006,0))&gt;=100000), " ",IF(INDEX($AM$2:$BM$1001,MATCH(ROWS($AF$2:AF412),$AF$2:$AF$1001,0),MATCH(COLUMNS($AM$1006:BD1006),$AM$1006:$BM$1006,0)), HYPERLINK("#",""), HYPERLINK(CONCATENATE("#metadata!", ADDRESS(INDEX($AH$2:$AH$1001,MATCH(ROWS($AF$2:AF412),$AF$2:$AF$1001,0),0), INDEX($AM$1004:$BM$1004,1,MATCH(COLUMNS($AM$1006:BD1006),$AM$1006:$BM$1006,0)))),"Fix")))</f>
        <v xml:space="preserve"> </v>
      </c>
      <c r="T412" s="4" t="str">
        <f ca="1">IF(OR(INDEX($AG$2:$AG$1001,MATCH(ROWS($AF$2:AF412),$AF$2:$AF$1001,0),1)&gt;=100000,INDEX($AM$1005:$BM$1005,1,MATCH(COLUMNS($AM$1006:BE1006),$AM$1006:$BM$1006,0))&gt;=100000), " ",IF(INDEX($AM$2:$BM$1001,MATCH(ROWS($AF$2:AF412),$AF$2:$AF$1001,0),MATCH(COLUMNS($AM$1006:BE1006),$AM$1006:$BM$1006,0)), HYPERLINK("#",""), HYPERLINK(CONCATENATE("#metadata!", ADDRESS(INDEX($AH$2:$AH$1001,MATCH(ROWS($AF$2:AF412),$AF$2:$AF$1001,0),0), INDEX($AM$1004:$BM$1004,1,MATCH(COLUMNS($AM$1006:BE1006),$AM$1006:$BM$1006,0)))),"Fix")))</f>
        <v xml:space="preserve"> </v>
      </c>
      <c r="U412" s="4" t="str">
        <f ca="1">IF(OR(INDEX($AG$2:$AG$1001,MATCH(ROWS($AF$2:AF412),$AF$2:$AF$1001,0),1)&gt;=100000,INDEX($AM$1005:$BM$1005,1,MATCH(COLUMNS($AM$1006:BF1006),$AM$1006:$BM$1006,0))&gt;=100000), " ",IF(INDEX($AM$2:$BM$1001,MATCH(ROWS($AF$2:AF412),$AF$2:$AF$1001,0),MATCH(COLUMNS($AM$1006:BF1006),$AM$1006:$BM$1006,0)), HYPERLINK("#",""), HYPERLINK(CONCATENATE("#metadata!", ADDRESS(INDEX($AH$2:$AH$1001,MATCH(ROWS($AF$2:AF412),$AF$2:$AF$1001,0),0), INDEX($AM$1004:$BM$1004,1,MATCH(COLUMNS($AM$1006:BF1006),$AM$1006:$BM$1006,0)))),"Fix")))</f>
        <v xml:space="preserve"> </v>
      </c>
      <c r="V412" s="4" t="str">
        <f ca="1">IF(OR(INDEX($AG$2:$AG$1001,MATCH(ROWS($AF$2:AF412),$AF$2:$AF$1001,0),1)&gt;=100000,INDEX($AM$1005:$BM$1005,1,MATCH(COLUMNS($AM$1006:BG1006),$AM$1006:$BM$1006,0))&gt;=100000), " ",IF(INDEX($AM$2:$BM$1001,MATCH(ROWS($AF$2:AF412),$AF$2:$AF$1001,0),MATCH(COLUMNS($AM$1006:BG1006),$AM$1006:$BM$1006,0)), HYPERLINK("#",""), HYPERLINK(CONCATENATE("#metadata!", ADDRESS(INDEX($AH$2:$AH$1001,MATCH(ROWS($AF$2:AF412),$AF$2:$AF$1001,0),0), INDEX($AM$1004:$BM$1004,1,MATCH(COLUMNS($AM$1006:BG1006),$AM$1006:$BM$1006,0)))),"Fix")))</f>
        <v xml:space="preserve"> </v>
      </c>
      <c r="W412" s="4" t="str">
        <f ca="1">IF(OR(INDEX($AG$2:$AG$1001,MATCH(ROWS($AF$2:AF412),$AF$2:$AF$1001,0),1)&gt;=100000,INDEX($AM$1005:$BM$1005,1,MATCH(COLUMNS($AM$1006:BH1006),$AM$1006:$BM$1006,0))&gt;=100000), " ",IF(INDEX($AM$2:$BM$1001,MATCH(ROWS($AF$2:AF412),$AF$2:$AF$1001,0),MATCH(COLUMNS($AM$1006:BH1006),$AM$1006:$BM$1006,0)), HYPERLINK("#",""), HYPERLINK(CONCATENATE("#metadata!", ADDRESS(INDEX($AH$2:$AH$1001,MATCH(ROWS($AF$2:AF412),$AF$2:$AF$1001,0),0), INDEX($AM$1004:$BM$1004,1,MATCH(COLUMNS($AM$1006:BH1006),$AM$1006:$BM$1006,0)))),"Fix")))</f>
        <v xml:space="preserve"> </v>
      </c>
      <c r="X412" s="4" t="str">
        <f ca="1">IF(OR(INDEX($AG$2:$AG$1001,MATCH(ROWS($AF$2:AF412),$AF$2:$AF$1001,0),1)&gt;=100000,INDEX($AM$1005:$BM$1005,1,MATCH(COLUMNS($AM$1006:BI1006),$AM$1006:$BM$1006,0))&gt;=100000), " ",IF(INDEX($AM$2:$BM$1001,MATCH(ROWS($AF$2:AF412),$AF$2:$AF$1001,0),MATCH(COLUMNS($AM$1006:BI1006),$AM$1006:$BM$1006,0)), HYPERLINK("#",""), HYPERLINK(CONCATENATE("#metadata!", ADDRESS(INDEX($AH$2:$AH$1001,MATCH(ROWS($AF$2:AF412),$AF$2:$AF$1001,0),0), INDEX($AM$1004:$BM$1004,1,MATCH(COLUMNS($AM$1006:BI1006),$AM$1006:$BM$1006,0)))),"Fix")))</f>
        <v xml:space="preserve"> </v>
      </c>
      <c r="Y412" s="4" t="str">
        <f ca="1">IF(OR(INDEX($AG$2:$AG$1001,MATCH(ROWS($AF$2:AF412),$AF$2:$AF$1001,0),1)&gt;=100000,INDEX($AM$1005:$BM$1005,1,MATCH(COLUMNS($AM$1006:BJ1006),$AM$1006:$BM$1006,0))&gt;=100000), " ",IF(INDEX($AM$2:$BM$1001,MATCH(ROWS($AF$2:AF412),$AF$2:$AF$1001,0),MATCH(COLUMNS($AM$1006:BJ1006),$AM$1006:$BM$1006,0)), HYPERLINK("#",""), HYPERLINK(CONCATENATE("#metadata!", ADDRESS(INDEX($AH$2:$AH$1001,MATCH(ROWS($AF$2:AF412),$AF$2:$AF$1001,0),0), INDEX($AM$1004:$BM$1004,1,MATCH(COLUMNS($AM$1006:BJ1006),$AM$1006:$BM$1006,0)))),"Fix")))</f>
        <v xml:space="preserve"> </v>
      </c>
      <c r="Z412" s="4" t="str">
        <f ca="1">IF(OR(INDEX($AG$2:$AG$1001,MATCH(ROWS($AF$2:AF412),$AF$2:$AF$1001,0),1)&gt;=100000,INDEX($AM$1005:$BM$1005,1,MATCH(COLUMNS($AM$1006:BK1006),$AM$1006:$BM$1006,0))&gt;=100000), " ",IF(INDEX($AM$2:$BM$1001,MATCH(ROWS($AF$2:AF412),$AF$2:$AF$1001,0),MATCH(COLUMNS($AM$1006:BK1006),$AM$1006:$BM$1006,0)), HYPERLINK("#",""), HYPERLINK(CONCATENATE("#metadata!", ADDRESS(INDEX($AH$2:$AH$1001,MATCH(ROWS($AF$2:AF412),$AF$2:$AF$1001,0),0), INDEX($AM$1004:$BM$1004,1,MATCH(COLUMNS($AM$1006:BK1006),$AM$1006:$BM$1006,0)))),"Fix")))</f>
        <v xml:space="preserve"> </v>
      </c>
      <c r="AA412" s="4" t="str">
        <f ca="1">IF(OR(INDEX($AG$2:$AG$1001,MATCH(ROWS($AF$2:AF412),$AF$2:$AF$1001,0),1)&gt;=100000,INDEX($AM$1005:$BM$1005,1,MATCH(COLUMNS($AM$1006:BL1006),$AM$1006:$BM$1006,0))&gt;=100000), " ",IF(INDEX($AM$2:$BM$1001,MATCH(ROWS($AF$2:AF412),$AF$2:$AF$1001,0),MATCH(COLUMNS($AM$1006:BL1006),$AM$1006:$BM$1006,0)), HYPERLINK("#",""), HYPERLINK(CONCATENATE("#metadata!", ADDRESS(INDEX($AH$2:$AH$1001,MATCH(ROWS($AF$2:AF412),$AF$2:$AF$1001,0),0), INDEX($AM$1004:$BM$1004,1,MATCH(COLUMNS($AM$1006:BL1006),$AM$1006:$BM$1006,0)))),"Fix")))</f>
        <v xml:space="preserve"> </v>
      </c>
      <c r="AB412" s="4" t="str">
        <f ca="1">IF(OR(INDEX($AG$2:$AG$1001,MATCH(ROWS($AF$2:AF412),$AF$2:$AF$1001,0),1)&gt;=100000,INDEX($AM$1005:$BM$1005,1,MATCH(COLUMNS($AM$1006:BM1006),$AM$1006:$BM$1006,0))&gt;=100000), " ",IF(INDEX($AM$2:$BM$1001,MATCH(ROWS($AF$2:AF412),$AF$2:$AF$1001,0),MATCH(COLUMNS($AM$1006:BM1006),$AM$1006:$BM$1006,0)), HYPERLINK("#",""), HYPERLINK(CONCATENATE("#metadata!", ADDRESS(INDEX($AH$2:$AH$1001,MATCH(ROWS($AF$2:AF412),$AF$2:$AF$1001,0),0), INDEX($AM$1004:$BM$1004,1,MATCH(COLUMNS($AM$1006:BM1006),$AM$1006:$BM$1006,0)))),"Fix")))</f>
        <v xml:space="preserve"> </v>
      </c>
      <c r="AF412">
        <v>411</v>
      </c>
      <c r="AG412">
        <v>100412</v>
      </c>
      <c r="AH412">
        <v>412</v>
      </c>
      <c r="AI412" t="b">
        <f t="shared" si="6"/>
        <v>1</v>
      </c>
      <c r="AJ412" t="b">
        <f>COUNTBLANK(metadata!B412:AB412)=COLUMNS(metadata!B412:AB412)</f>
        <v>1</v>
      </c>
      <c r="AK412" t="str">
        <v/>
      </c>
      <c r="AM412" t="b">
        <f ca="1">AND(IF(metadata!B412="",FALSE,TRUE),COUNTIF(metadata!B:B, metadata!B412) = 1,NOT(ISERROR(SUMPRODUCT(SEARCH(MID(metadata!B412,ROW(INDIRECT("1:"&amp;LEN(metadata!B412))), 1),"0123456789abcdefghijklmnopqrstuvwxyzABCDEFGHIJKLMNOPQRSTUVWXYZ.")))))</f>
        <v>0</v>
      </c>
      <c r="AN412" t="b">
        <f ca="1">OR(AND(IF(metadata!C412="",FALSE,TRUE),OR(EXACT(metadata!C412,"missing: not collected"),EXACT(metadata!C412,"missing: not provided"),EXACT(metadata!C412,"missing: restricted access"))),AND(IF(metadata!C412="",FALSE,TRUE),AND(AND(IFERROR(INT(LEFT(metadata!C412,4))&gt;1900,FALSE),IFERROR(INT(LEFT(metadata!C412,4))&lt;=YEAR(NOW()),FALSE)), OR(MID(metadata!C412,5,1)="", AND(AND(MID(metadata!C412,5,1)="-",IFERROR(INT(MID(metadata!C412,6,1))&gt;=0,FALSE),IFERROR(INT(MID(metadata!C412,6,1))&lt;=1,FALSE),NOT(MID(metadata!C412,7,1)=""),IFERROR(INT(MID(metadata!C412,6,2))&gt;=1,FALSE),IFERROR(INT(MID(metadata!C412,6,2))&lt;=12,FALSE)), OR(MID(metadata!C412,8,1)="", AND(AND(MID(metadata!C412,8,1)="-",IFERROR(INT(MID(metadata!C412,9,1))&gt;=0,FALSE),IFERROR(INT(MID(metadata!C412,9,1))&lt;=3,FALSE),NOT(MID(metadata!C412,10,1)=""),IFERROR(INT(MID(metadata!C412,9,2))&gt;=1,FALSE),IFERROR(INT(MID(metadata!C412,9,2))&lt;=31,FALSE)), OR(MID(metadata!C412,11,1)="", AND(AND(MID(metadata!C412,11,1)=" ",IFERROR(INT(MID(metadata!C412,12,1))&gt;=0,FALSE),IFERROR(INT(MID(metadata!C412,12,1))&lt;=2,FALSE),NOT(MID(metadata!C412,13,1)=""),IFERROR(INT(MID(metadata!C412,12,2))&gt;=0,FALSE),IFERROR(INT(MID(metadata!C412,12,2))&lt;=23,FALSE)), OR(MID(metadata!C412,14,1)="", AND(AND(MID(metadata!C412,14,1)=":",IFERROR(INT(MID(metadata!C412,15,1))&gt;=0,FALSE),IFERROR(INT(MID(metadata!C412,15,1))&lt;=5,FALSE),NOT(MID(metadata!C412,16,1)=""),IFERROR(INT(MID(metadata!C412,15,2))&gt;=0,FALSE),IFERROR(INT(MID(metadata!C412,15,2))&lt;=59,FALSE)), OR(MID(metadata!C412,17,1)="", AND(AND(MID(metadata!C412,17,1)=":",IFERROR(INT(MID(metadata!C412,18,1))&gt;=0,FALSE),IFERROR(INT(MID(metadata!C412,18,1))&lt;=5,FALSE),NOT(MID(metadata!C412,19,1)=""),IFERROR(INT(MID(metadata!C412,18,2))&gt;=0,FALSE),IFERROR(INT(MID(metadata!C412,18,2))&lt;=59,FALSE)), LEN(metadata!C412)&lt;=19)))))))))))))</f>
        <v>0</v>
      </c>
      <c r="AO412" t="b">
        <f>AND(IF(metadata!D412="",FALSE,TRUE),EXACT(metadata!D412,"Not applicable"))</f>
        <v>0</v>
      </c>
      <c r="AP412" t="b">
        <f>IF(metadata!E412="",FALSE,TRUE)</f>
        <v>0</v>
      </c>
      <c r="AQ412" t="b">
        <f>OR(AND(IF(metadata!F412="",FALSE,TRUE),OR(EXACT(metadata!F412,"missing: not collected"),EXACT(metadata!F412,"missing: not provided"))),AND(IF(metadata!F412="",FALSE,TRUE),OR(EXACT(metadata!F412,"TRUE"),EXACT(metadata!F412,"FALSE"))))</f>
        <v>0</v>
      </c>
      <c r="AR412" t="b">
        <f>OR(AND(IF(metadata!G412="",FALSE,TRUE),OR(EXACT(metadata!G412,"missing: not collected"),EXACT(metadata!G412,"missing: not provided"),EXACT(metadata!G412,"missing: restricted access"))),AND(IF(metadata!G412="",FALSE,ISNUMBER(VALUE(metadata!G412))),metadata!G412&gt;=-413))</f>
        <v>0</v>
      </c>
      <c r="AS412" t="b">
        <f>AND(IF(metadata!H412="",FALSE,TRUE),EXACT(metadata!H412,"meters"))</f>
        <v>0</v>
      </c>
      <c r="AT412" t="b">
        <f>AND(IF(metadata!I412="",FALSE,TRUE),OR(EXACT(metadata!I412,"Host-associated"),EXACT(metadata!I412,"Free-living")))</f>
        <v>0</v>
      </c>
      <c r="AU412" t="b">
        <f>AND(IF(metadata!J412="",FALSE,TRUE),OR(EXACT(metadata!J412,"Animal"),EXACT(metadata!J412,"Fungus"),EXACT(metadata!J412,"Plant"),EXACT(metadata!J412,"Saline"),EXACT(metadata!J412,"Non-saline")))</f>
        <v>0</v>
      </c>
      <c r="AV412" t="b">
        <f>AND(IF(metadata!K412="",FALSE,TRUE),OR(EXACT(metadata!K412,"Plant secretion"),EXACT(metadata!K412,"Plant rhizosphere"),EXACT(metadata!K412,"Plant surface"),EXACT(metadata!K412,"Plant corpus"),EXACT(metadata!K412,"Fungus surface"),EXACT(metadata!K412,"Fungus corpus"),EXACT(metadata!K412,"Animal surface"),EXACT(metadata!K412,"Animal proximal gut"),EXACT(metadata!K412,"Animal corpus"),EXACT(metadata!K412,"Animal distal gut"),EXACT(metadata!K412,"Animal secretion"),EXACT(metadata!K412,"Sub-surface (non-saline)"),EXACT(metadata!K412,"Surface (non-saline)"),EXACT(metadata!K412,"Water (non-saline)"),EXACT(metadata!K412,"Soil (non-saline)"),EXACT(metadata!K412,"Aerosol (non-saline)"),EXACT(metadata!K412,"Sediment (non-saline)"),EXACT(metadata!K412,"Surface (saline)"),EXACT(metadata!K412,"Water (saline)"),EXACT(metadata!K412,"Hypersaline (saline)"),EXACT(metadata!K412,"Aerosol (saline)"),EXACT(metadata!K412,"Sediment (saline)")))</f>
        <v>0</v>
      </c>
      <c r="AW412" t="b">
        <f>IF(metadata!L412="",FALSE,TRUE)</f>
        <v>0</v>
      </c>
      <c r="AX412" t="b">
        <f>IF(metadata!M412="",FALSE,TRUE)</f>
        <v>0</v>
      </c>
      <c r="AY412" t="b">
        <f>IF(metadata!N412="",FALSE,TRUE)</f>
        <v>0</v>
      </c>
      <c r="AZ412" t="b">
        <f>OR(AND(IF(metadata!O412="",FALSE,TRUE),OR(EXACT(metadata!O412,"missing: not collected"),EXACT(metadata!O412,"missing: not provided"),EXACT(metadata!O412,"missing: restricted access"))),AND(IF(metadata!O412="",FALSE,TRUE),OR(EXACT(metadata!O412,"air"),EXACT(metadata!O412,"built environment"),EXACT(metadata!O412,"host-associated"),EXACT(metadata!O412,"human-associated"),EXACT(metadata!O412,"human-skin"),EXACT(metadata!O412,"human-oral"),EXACT(metadata!O412,"human-gut"),EXACT(metadata!O412,"human-vaginal"),EXACT(metadata!O412,"microbial mat/biofilm"),EXACT(metadata!O412,"misc environment"),EXACT(metadata!O412,"plant-associated"),EXACT(metadata!O412,"sediment"),EXACT(metadata!O412,"soil"),EXACT(metadata!O412,"wastewater/sludge"),EXACT(metadata!O412,"water"))))</f>
        <v>0</v>
      </c>
      <c r="BA412" t="b">
        <f>IF(metadata!P412="",FALSE,TRUE)</f>
        <v>0</v>
      </c>
      <c r="BB412" t="b">
        <f>IF(metadata!Q412="",FALSE,TRUE)</f>
        <v>0</v>
      </c>
      <c r="BC412" t="b">
        <f>OR(AND(IF(metadata!R412="",FALSE,TRUE),OR(EXACT(metadata!R412,"missing: not collected"),EXACT(metadata!R412,"missing: not provided"),EXACT(metadata!R412,"missing: restricted access"))),AND(IF(metadata!R412="",FALSE,ISNUMBER(VALUE(metadata!R412))),metadata!R412&gt;=-90,metadata!R412&lt;=90))</f>
        <v>0</v>
      </c>
      <c r="BD412" t="b">
        <f>AND(IF(metadata!S412="",FALSE,TRUE),EXACT(metadata!S412,"Decimal degrees"))</f>
        <v>0</v>
      </c>
      <c r="BE412" t="b">
        <f>OR(AND(IF(metadata!T412="",FALSE,TRUE),OR(EXACT(metadata!T412,"missing: not collected"),EXACT(metadata!T412,"missing: not provided"),EXACT(metadata!T412,"missing: restricted access"))),AND(IF(metadata!T412="",FALSE,ISNUMBER(VALUE(metadata!T412))),metadata!T412&gt;=-180,metadata!T412&lt;=180))</f>
        <v>0</v>
      </c>
      <c r="BF412" t="b">
        <f>AND(IF(metadata!U412="",FALSE,TRUE),EXACT(metadata!U412,"Decimal degrees"))</f>
        <v>0</v>
      </c>
      <c r="BG412" t="b">
        <f>IF(metadata!V412="",FALSE,TRUE)</f>
        <v>0</v>
      </c>
      <c r="BH412" t="b">
        <f>OR(AND(IF(metadata!W412="",FALSE,TRUE),OR(EXACT(metadata!W412,"missing: not collected"),EXACT(metadata!W412,"missing: not provided"),EXACT(metadata!W412,"missing: restricted access"))),AND(IF(metadata!W412="",FALSE,TRUE),OR(EXACT(metadata!W412,"TRUE"),EXACT(metadata!W412,"FALSE"))))</f>
        <v>0</v>
      </c>
      <c r="BI412" t="b">
        <f>AND(IF(metadata!X412="",FALSE,TRUE),EXACT(metadata!X412,"other"))</f>
        <v>0</v>
      </c>
      <c r="BJ412" t="b">
        <f>IF(metadata!Y412="",FALSE,TRUE)</f>
        <v>0</v>
      </c>
      <c r="BK412" t="b">
        <f>OR(AND(IF(metadata!Z412="",FALSE,TRUE),OR(EXACT(metadata!Z412,"missing: not collected"),EXACT(metadata!Z412,"missing: not provided"))),AND(IF(metadata!Z412="",FALSE,IF(ISERROR(INT(metadata!Z412)),FALSE,INT(metadata!Z412)=metadata!Z412)),metadata!Z412&gt;0))</f>
        <v>0</v>
      </c>
      <c r="BL412" t="b">
        <f>AND(IF(metadata!AA412="",FALSE,TRUE),EXACT(metadata!AA412,"Not applicable"))</f>
        <v>0</v>
      </c>
      <c r="BM412" t="b">
        <f>IF(metadata!AB412="",FALSE,TRUE)</f>
        <v>0</v>
      </c>
    </row>
    <row r="413" spans="1:65" x14ac:dyDescent="0.2">
      <c r="A413" s="5" t="str">
        <f ca="1">IF(B413=" "," ",HYPERLINK(CONCATENATE("#metadata!",ADDRESS(INDEX($AH$2:$AH$1001,MATCH(ROWS($AF$2:AF413),$AF$2:$AF$1001,0),0),1)),INDEX($AK$2:$AK$1001,MATCH(ROWS($AF$2:AF413),$AF$2:$AF$1001,0),0)))</f>
        <v xml:space="preserve"> </v>
      </c>
      <c r="B413" s="4" t="str">
        <f ca="1">IF(OR(INDEX($AG$2:$AG$1001,MATCH(ROWS($AF$2:AF413),$AF$2:$AF$1001,0),1)&gt;=100000,INDEX($AM$1005:$BM$1005,1,MATCH(COLUMNS($AM$1006:AM1006),$AM$1006:$BM$1006,0))&gt;=100000), " ",IF(INDEX($AM$2:$BM$1001,MATCH(ROWS($AF$2:AF413),$AF$2:$AF$1001,0),MATCH(COLUMNS($AM$1006:AM1006),$AM$1006:$BM$1006,0)), HYPERLINK("#",""), HYPERLINK(CONCATENATE("#metadata!", ADDRESS(INDEX($AH$2:$AH$1001,MATCH(ROWS($AF$2:AF413),$AF$2:$AF$1001,0),0), INDEX($AM$1004:$BM$1004,1,MATCH(COLUMNS($AM$1006:AM1006),$AM$1006:$BM$1006,0)))),"Fix")))</f>
        <v xml:space="preserve"> </v>
      </c>
      <c r="C413" s="4" t="str">
        <f ca="1">IF(OR(INDEX($AG$2:$AG$1001,MATCH(ROWS($AF$2:AF413),$AF$2:$AF$1001,0),1)&gt;=100000,INDEX($AM$1005:$BM$1005,1,MATCH(COLUMNS($AM$1006:AN1006),$AM$1006:$BM$1006,0))&gt;=100000), " ",IF(INDEX($AM$2:$BM$1001,MATCH(ROWS($AF$2:AF413),$AF$2:$AF$1001,0),MATCH(COLUMNS($AM$1006:AN1006),$AM$1006:$BM$1006,0)), HYPERLINK("#",""), HYPERLINK(CONCATENATE("#metadata!", ADDRESS(INDEX($AH$2:$AH$1001,MATCH(ROWS($AF$2:AF413),$AF$2:$AF$1001,0),0), INDEX($AM$1004:$BM$1004,1,MATCH(COLUMNS($AM$1006:AN1006),$AM$1006:$BM$1006,0)))),"Fix")))</f>
        <v xml:space="preserve"> </v>
      </c>
      <c r="D413" s="4" t="str">
        <f ca="1">IF(OR(INDEX($AG$2:$AG$1001,MATCH(ROWS($AF$2:AF413),$AF$2:$AF$1001,0),1)&gt;=100000,INDEX($AM$1005:$BM$1005,1,MATCH(COLUMNS($AM$1006:AO1006),$AM$1006:$BM$1006,0))&gt;=100000), " ",IF(INDEX($AM$2:$BM$1001,MATCH(ROWS($AF$2:AF413),$AF$2:$AF$1001,0),MATCH(COLUMNS($AM$1006:AO1006),$AM$1006:$BM$1006,0)), HYPERLINK("#",""), HYPERLINK(CONCATENATE("#metadata!", ADDRESS(INDEX($AH$2:$AH$1001,MATCH(ROWS($AF$2:AF413),$AF$2:$AF$1001,0),0), INDEX($AM$1004:$BM$1004,1,MATCH(COLUMNS($AM$1006:AO1006),$AM$1006:$BM$1006,0)))),"Fix")))</f>
        <v xml:space="preserve"> </v>
      </c>
      <c r="E413" s="4" t="str">
        <f ca="1">IF(OR(INDEX($AG$2:$AG$1001,MATCH(ROWS($AF$2:AF413),$AF$2:$AF$1001,0),1)&gt;=100000,INDEX($AM$1005:$BM$1005,1,MATCH(COLUMNS($AM$1006:AP1006),$AM$1006:$BM$1006,0))&gt;=100000), " ",IF(INDEX($AM$2:$BM$1001,MATCH(ROWS($AF$2:AF413),$AF$2:$AF$1001,0),MATCH(COLUMNS($AM$1006:AP1006),$AM$1006:$BM$1006,0)), HYPERLINK("#",""), HYPERLINK(CONCATENATE("#metadata!", ADDRESS(INDEX($AH$2:$AH$1001,MATCH(ROWS($AF$2:AF413),$AF$2:$AF$1001,0),0), INDEX($AM$1004:$BM$1004,1,MATCH(COLUMNS($AM$1006:AP1006),$AM$1006:$BM$1006,0)))),"Fix")))</f>
        <v xml:space="preserve"> </v>
      </c>
      <c r="F413" s="4" t="str">
        <f ca="1">IF(OR(INDEX($AG$2:$AG$1001,MATCH(ROWS($AF$2:AF413),$AF$2:$AF$1001,0),1)&gt;=100000,INDEX($AM$1005:$BM$1005,1,MATCH(COLUMNS($AM$1006:AQ1006),$AM$1006:$BM$1006,0))&gt;=100000), " ",IF(INDEX($AM$2:$BM$1001,MATCH(ROWS($AF$2:AF413),$AF$2:$AF$1001,0),MATCH(COLUMNS($AM$1006:AQ1006),$AM$1006:$BM$1006,0)), HYPERLINK("#",""), HYPERLINK(CONCATENATE("#metadata!", ADDRESS(INDEX($AH$2:$AH$1001,MATCH(ROWS($AF$2:AF413),$AF$2:$AF$1001,0),0), INDEX($AM$1004:$BM$1004,1,MATCH(COLUMNS($AM$1006:AQ1006),$AM$1006:$BM$1006,0)))),"Fix")))</f>
        <v xml:space="preserve"> </v>
      </c>
      <c r="G413" s="4" t="str">
        <f ca="1">IF(OR(INDEX($AG$2:$AG$1001,MATCH(ROWS($AF$2:AF413),$AF$2:$AF$1001,0),1)&gt;=100000,INDEX($AM$1005:$BM$1005,1,MATCH(COLUMNS($AM$1006:AR1006),$AM$1006:$BM$1006,0))&gt;=100000), " ",IF(INDEX($AM$2:$BM$1001,MATCH(ROWS($AF$2:AF413),$AF$2:$AF$1001,0),MATCH(COLUMNS($AM$1006:AR1006),$AM$1006:$BM$1006,0)), HYPERLINK("#",""), HYPERLINK(CONCATENATE("#metadata!", ADDRESS(INDEX($AH$2:$AH$1001,MATCH(ROWS($AF$2:AF413),$AF$2:$AF$1001,0),0), INDEX($AM$1004:$BM$1004,1,MATCH(COLUMNS($AM$1006:AR1006),$AM$1006:$BM$1006,0)))),"Fix")))</f>
        <v xml:space="preserve"> </v>
      </c>
      <c r="H413" s="4" t="str">
        <f ca="1">IF(OR(INDEX($AG$2:$AG$1001,MATCH(ROWS($AF$2:AF413),$AF$2:$AF$1001,0),1)&gt;=100000,INDEX($AM$1005:$BM$1005,1,MATCH(COLUMNS($AM$1006:AS1006),$AM$1006:$BM$1006,0))&gt;=100000), " ",IF(INDEX($AM$2:$BM$1001,MATCH(ROWS($AF$2:AF413),$AF$2:$AF$1001,0),MATCH(COLUMNS($AM$1006:AS1006),$AM$1006:$BM$1006,0)), HYPERLINK("#",""), HYPERLINK(CONCATENATE("#metadata!", ADDRESS(INDEX($AH$2:$AH$1001,MATCH(ROWS($AF$2:AF413),$AF$2:$AF$1001,0),0), INDEX($AM$1004:$BM$1004,1,MATCH(COLUMNS($AM$1006:AS1006),$AM$1006:$BM$1006,0)))),"Fix")))</f>
        <v xml:space="preserve"> </v>
      </c>
      <c r="I413" s="4" t="str">
        <f ca="1">IF(OR(INDEX($AG$2:$AG$1001,MATCH(ROWS($AF$2:AF413),$AF$2:$AF$1001,0),1)&gt;=100000,INDEX($AM$1005:$BM$1005,1,MATCH(COLUMNS($AM$1006:AT1006),$AM$1006:$BM$1006,0))&gt;=100000), " ",IF(INDEX($AM$2:$BM$1001,MATCH(ROWS($AF$2:AF413),$AF$2:$AF$1001,0),MATCH(COLUMNS($AM$1006:AT1006),$AM$1006:$BM$1006,0)), HYPERLINK("#",""), HYPERLINK(CONCATENATE("#metadata!", ADDRESS(INDEX($AH$2:$AH$1001,MATCH(ROWS($AF$2:AF413),$AF$2:$AF$1001,0),0), INDEX($AM$1004:$BM$1004,1,MATCH(COLUMNS($AM$1006:AT1006),$AM$1006:$BM$1006,0)))),"Fix")))</f>
        <v xml:space="preserve"> </v>
      </c>
      <c r="J413" s="4" t="str">
        <f ca="1">IF(OR(INDEX($AG$2:$AG$1001,MATCH(ROWS($AF$2:AF413),$AF$2:$AF$1001,0),1)&gt;=100000,INDEX($AM$1005:$BM$1005,1,MATCH(COLUMNS($AM$1006:AU1006),$AM$1006:$BM$1006,0))&gt;=100000), " ",IF(INDEX($AM$2:$BM$1001,MATCH(ROWS($AF$2:AF413),$AF$2:$AF$1001,0),MATCH(COLUMNS($AM$1006:AU1006),$AM$1006:$BM$1006,0)), HYPERLINK("#",""), HYPERLINK(CONCATENATE("#metadata!", ADDRESS(INDEX($AH$2:$AH$1001,MATCH(ROWS($AF$2:AF413),$AF$2:$AF$1001,0),0), INDEX($AM$1004:$BM$1004,1,MATCH(COLUMNS($AM$1006:AU1006),$AM$1006:$BM$1006,0)))),"Fix")))</f>
        <v xml:space="preserve"> </v>
      </c>
      <c r="K413" s="4" t="str">
        <f ca="1">IF(OR(INDEX($AG$2:$AG$1001,MATCH(ROWS($AF$2:AF413),$AF$2:$AF$1001,0),1)&gt;=100000,INDEX($AM$1005:$BM$1005,1,MATCH(COLUMNS($AM$1006:AV1006),$AM$1006:$BM$1006,0))&gt;=100000), " ",IF(INDEX($AM$2:$BM$1001,MATCH(ROWS($AF$2:AF413),$AF$2:$AF$1001,0),MATCH(COLUMNS($AM$1006:AV1006),$AM$1006:$BM$1006,0)), HYPERLINK("#",""), HYPERLINK(CONCATENATE("#metadata!", ADDRESS(INDEX($AH$2:$AH$1001,MATCH(ROWS($AF$2:AF413),$AF$2:$AF$1001,0),0), INDEX($AM$1004:$BM$1004,1,MATCH(COLUMNS($AM$1006:AV1006),$AM$1006:$BM$1006,0)))),"Fix")))</f>
        <v xml:space="preserve"> </v>
      </c>
      <c r="L413" s="4" t="str">
        <f ca="1">IF(OR(INDEX($AG$2:$AG$1001,MATCH(ROWS($AF$2:AF413),$AF$2:$AF$1001,0),1)&gt;=100000,INDEX($AM$1005:$BM$1005,1,MATCH(COLUMNS($AM$1006:AW1006),$AM$1006:$BM$1006,0))&gt;=100000), " ",IF(INDEX($AM$2:$BM$1001,MATCH(ROWS($AF$2:AF413),$AF$2:$AF$1001,0),MATCH(COLUMNS($AM$1006:AW1006),$AM$1006:$BM$1006,0)), HYPERLINK("#",""), HYPERLINK(CONCATENATE("#metadata!", ADDRESS(INDEX($AH$2:$AH$1001,MATCH(ROWS($AF$2:AF413),$AF$2:$AF$1001,0),0), INDEX($AM$1004:$BM$1004,1,MATCH(COLUMNS($AM$1006:AW1006),$AM$1006:$BM$1006,0)))),"Fix")))</f>
        <v xml:space="preserve"> </v>
      </c>
      <c r="M413" s="4" t="str">
        <f ca="1">IF(OR(INDEX($AG$2:$AG$1001,MATCH(ROWS($AF$2:AF413),$AF$2:$AF$1001,0),1)&gt;=100000,INDEX($AM$1005:$BM$1005,1,MATCH(COLUMNS($AM$1006:AX1006),$AM$1006:$BM$1006,0))&gt;=100000), " ",IF(INDEX($AM$2:$BM$1001,MATCH(ROWS($AF$2:AF413),$AF$2:$AF$1001,0),MATCH(COLUMNS($AM$1006:AX1006),$AM$1006:$BM$1006,0)), HYPERLINK("#",""), HYPERLINK(CONCATENATE("#metadata!", ADDRESS(INDEX($AH$2:$AH$1001,MATCH(ROWS($AF$2:AF413),$AF$2:$AF$1001,0),0), INDEX($AM$1004:$BM$1004,1,MATCH(COLUMNS($AM$1006:AX1006),$AM$1006:$BM$1006,0)))),"Fix")))</f>
        <v xml:space="preserve"> </v>
      </c>
      <c r="N413" s="4" t="str">
        <f ca="1">IF(OR(INDEX($AG$2:$AG$1001,MATCH(ROWS($AF$2:AF413),$AF$2:$AF$1001,0),1)&gt;=100000,INDEX($AM$1005:$BM$1005,1,MATCH(COLUMNS($AM$1006:AY1006),$AM$1006:$BM$1006,0))&gt;=100000), " ",IF(INDEX($AM$2:$BM$1001,MATCH(ROWS($AF$2:AF413),$AF$2:$AF$1001,0),MATCH(COLUMNS($AM$1006:AY1006),$AM$1006:$BM$1006,0)), HYPERLINK("#",""), HYPERLINK(CONCATENATE("#metadata!", ADDRESS(INDEX($AH$2:$AH$1001,MATCH(ROWS($AF$2:AF413),$AF$2:$AF$1001,0),0), INDEX($AM$1004:$BM$1004,1,MATCH(COLUMNS($AM$1006:AY1006),$AM$1006:$BM$1006,0)))),"Fix")))</f>
        <v xml:space="preserve"> </v>
      </c>
      <c r="O413" s="4" t="str">
        <f ca="1">IF(OR(INDEX($AG$2:$AG$1001,MATCH(ROWS($AF$2:AF413),$AF$2:$AF$1001,0),1)&gt;=100000,INDEX($AM$1005:$BM$1005,1,MATCH(COLUMNS($AM$1006:AZ1006),$AM$1006:$BM$1006,0))&gt;=100000), " ",IF(INDEX($AM$2:$BM$1001,MATCH(ROWS($AF$2:AF413),$AF$2:$AF$1001,0),MATCH(COLUMNS($AM$1006:AZ1006),$AM$1006:$BM$1006,0)), HYPERLINK("#",""), HYPERLINK(CONCATENATE("#metadata!", ADDRESS(INDEX($AH$2:$AH$1001,MATCH(ROWS($AF$2:AF413),$AF$2:$AF$1001,0),0), INDEX($AM$1004:$BM$1004,1,MATCH(COLUMNS($AM$1006:AZ1006),$AM$1006:$BM$1006,0)))),"Fix")))</f>
        <v xml:space="preserve"> </v>
      </c>
      <c r="P413" s="4" t="str">
        <f ca="1">IF(OR(INDEX($AG$2:$AG$1001,MATCH(ROWS($AF$2:AF413),$AF$2:$AF$1001,0),1)&gt;=100000,INDEX($AM$1005:$BM$1005,1,MATCH(COLUMNS($AM$1006:BA1006),$AM$1006:$BM$1006,0))&gt;=100000), " ",IF(INDEX($AM$2:$BM$1001,MATCH(ROWS($AF$2:AF413),$AF$2:$AF$1001,0),MATCH(COLUMNS($AM$1006:BA1006),$AM$1006:$BM$1006,0)), HYPERLINK("#",""), HYPERLINK(CONCATENATE("#metadata!", ADDRESS(INDEX($AH$2:$AH$1001,MATCH(ROWS($AF$2:AF413),$AF$2:$AF$1001,0),0), INDEX($AM$1004:$BM$1004,1,MATCH(COLUMNS($AM$1006:BA1006),$AM$1006:$BM$1006,0)))),"Fix")))</f>
        <v xml:space="preserve"> </v>
      </c>
      <c r="Q413" s="4" t="str">
        <f ca="1">IF(OR(INDEX($AG$2:$AG$1001,MATCH(ROWS($AF$2:AF413),$AF$2:$AF$1001,0),1)&gt;=100000,INDEX($AM$1005:$BM$1005,1,MATCH(COLUMNS($AM$1006:BB1006),$AM$1006:$BM$1006,0))&gt;=100000), " ",IF(INDEX($AM$2:$BM$1001,MATCH(ROWS($AF$2:AF413),$AF$2:$AF$1001,0),MATCH(COLUMNS($AM$1006:BB1006),$AM$1006:$BM$1006,0)), HYPERLINK("#",""), HYPERLINK(CONCATENATE("#metadata!", ADDRESS(INDEX($AH$2:$AH$1001,MATCH(ROWS($AF$2:AF413),$AF$2:$AF$1001,0),0), INDEX($AM$1004:$BM$1004,1,MATCH(COLUMNS($AM$1006:BB1006),$AM$1006:$BM$1006,0)))),"Fix")))</f>
        <v xml:space="preserve"> </v>
      </c>
      <c r="R413" s="4" t="str">
        <f ca="1">IF(OR(INDEX($AG$2:$AG$1001,MATCH(ROWS($AF$2:AF413),$AF$2:$AF$1001,0),1)&gt;=100000,INDEX($AM$1005:$BM$1005,1,MATCH(COLUMNS($AM$1006:BC1006),$AM$1006:$BM$1006,0))&gt;=100000), " ",IF(INDEX($AM$2:$BM$1001,MATCH(ROWS($AF$2:AF413),$AF$2:$AF$1001,0),MATCH(COLUMNS($AM$1006:BC1006),$AM$1006:$BM$1006,0)), HYPERLINK("#",""), HYPERLINK(CONCATENATE("#metadata!", ADDRESS(INDEX($AH$2:$AH$1001,MATCH(ROWS($AF$2:AF413),$AF$2:$AF$1001,0),0), INDEX($AM$1004:$BM$1004,1,MATCH(COLUMNS($AM$1006:BC1006),$AM$1006:$BM$1006,0)))),"Fix")))</f>
        <v xml:space="preserve"> </v>
      </c>
      <c r="S413" s="4" t="str">
        <f ca="1">IF(OR(INDEX($AG$2:$AG$1001,MATCH(ROWS($AF$2:AF413),$AF$2:$AF$1001,0),1)&gt;=100000,INDEX($AM$1005:$BM$1005,1,MATCH(COLUMNS($AM$1006:BD1006),$AM$1006:$BM$1006,0))&gt;=100000), " ",IF(INDEX($AM$2:$BM$1001,MATCH(ROWS($AF$2:AF413),$AF$2:$AF$1001,0),MATCH(COLUMNS($AM$1006:BD1006),$AM$1006:$BM$1006,0)), HYPERLINK("#",""), HYPERLINK(CONCATENATE("#metadata!", ADDRESS(INDEX($AH$2:$AH$1001,MATCH(ROWS($AF$2:AF413),$AF$2:$AF$1001,0),0), INDEX($AM$1004:$BM$1004,1,MATCH(COLUMNS($AM$1006:BD1006),$AM$1006:$BM$1006,0)))),"Fix")))</f>
        <v xml:space="preserve"> </v>
      </c>
      <c r="T413" s="4" t="str">
        <f ca="1">IF(OR(INDEX($AG$2:$AG$1001,MATCH(ROWS($AF$2:AF413),$AF$2:$AF$1001,0),1)&gt;=100000,INDEX($AM$1005:$BM$1005,1,MATCH(COLUMNS($AM$1006:BE1006),$AM$1006:$BM$1006,0))&gt;=100000), " ",IF(INDEX($AM$2:$BM$1001,MATCH(ROWS($AF$2:AF413),$AF$2:$AF$1001,0),MATCH(COLUMNS($AM$1006:BE1006),$AM$1006:$BM$1006,0)), HYPERLINK("#",""), HYPERLINK(CONCATENATE("#metadata!", ADDRESS(INDEX($AH$2:$AH$1001,MATCH(ROWS($AF$2:AF413),$AF$2:$AF$1001,0),0), INDEX($AM$1004:$BM$1004,1,MATCH(COLUMNS($AM$1006:BE1006),$AM$1006:$BM$1006,0)))),"Fix")))</f>
        <v xml:space="preserve"> </v>
      </c>
      <c r="U413" s="4" t="str">
        <f ca="1">IF(OR(INDEX($AG$2:$AG$1001,MATCH(ROWS($AF$2:AF413),$AF$2:$AF$1001,0),1)&gt;=100000,INDEX($AM$1005:$BM$1005,1,MATCH(COLUMNS($AM$1006:BF1006),$AM$1006:$BM$1006,0))&gt;=100000), " ",IF(INDEX($AM$2:$BM$1001,MATCH(ROWS($AF$2:AF413),$AF$2:$AF$1001,0),MATCH(COLUMNS($AM$1006:BF1006),$AM$1006:$BM$1006,0)), HYPERLINK("#",""), HYPERLINK(CONCATENATE("#metadata!", ADDRESS(INDEX($AH$2:$AH$1001,MATCH(ROWS($AF$2:AF413),$AF$2:$AF$1001,0),0), INDEX($AM$1004:$BM$1004,1,MATCH(COLUMNS($AM$1006:BF1006),$AM$1006:$BM$1006,0)))),"Fix")))</f>
        <v xml:space="preserve"> </v>
      </c>
      <c r="V413" s="4" t="str">
        <f ca="1">IF(OR(INDEX($AG$2:$AG$1001,MATCH(ROWS($AF$2:AF413),$AF$2:$AF$1001,0),1)&gt;=100000,INDEX($AM$1005:$BM$1005,1,MATCH(COLUMNS($AM$1006:BG1006),$AM$1006:$BM$1006,0))&gt;=100000), " ",IF(INDEX($AM$2:$BM$1001,MATCH(ROWS($AF$2:AF413),$AF$2:$AF$1001,0),MATCH(COLUMNS($AM$1006:BG1006),$AM$1006:$BM$1006,0)), HYPERLINK("#",""), HYPERLINK(CONCATENATE("#metadata!", ADDRESS(INDEX($AH$2:$AH$1001,MATCH(ROWS($AF$2:AF413),$AF$2:$AF$1001,0),0), INDEX($AM$1004:$BM$1004,1,MATCH(COLUMNS($AM$1006:BG1006),$AM$1006:$BM$1006,0)))),"Fix")))</f>
        <v xml:space="preserve"> </v>
      </c>
      <c r="W413" s="4" t="str">
        <f ca="1">IF(OR(INDEX($AG$2:$AG$1001,MATCH(ROWS($AF$2:AF413),$AF$2:$AF$1001,0),1)&gt;=100000,INDEX($AM$1005:$BM$1005,1,MATCH(COLUMNS($AM$1006:BH1006),$AM$1006:$BM$1006,0))&gt;=100000), " ",IF(INDEX($AM$2:$BM$1001,MATCH(ROWS($AF$2:AF413),$AF$2:$AF$1001,0),MATCH(COLUMNS($AM$1006:BH1006),$AM$1006:$BM$1006,0)), HYPERLINK("#",""), HYPERLINK(CONCATENATE("#metadata!", ADDRESS(INDEX($AH$2:$AH$1001,MATCH(ROWS($AF$2:AF413),$AF$2:$AF$1001,0),0), INDEX($AM$1004:$BM$1004,1,MATCH(COLUMNS($AM$1006:BH1006),$AM$1006:$BM$1006,0)))),"Fix")))</f>
        <v xml:space="preserve"> </v>
      </c>
      <c r="X413" s="4" t="str">
        <f ca="1">IF(OR(INDEX($AG$2:$AG$1001,MATCH(ROWS($AF$2:AF413),$AF$2:$AF$1001,0),1)&gt;=100000,INDEX($AM$1005:$BM$1005,1,MATCH(COLUMNS($AM$1006:BI1006),$AM$1006:$BM$1006,0))&gt;=100000), " ",IF(INDEX($AM$2:$BM$1001,MATCH(ROWS($AF$2:AF413),$AF$2:$AF$1001,0),MATCH(COLUMNS($AM$1006:BI1006),$AM$1006:$BM$1006,0)), HYPERLINK("#",""), HYPERLINK(CONCATENATE("#metadata!", ADDRESS(INDEX($AH$2:$AH$1001,MATCH(ROWS($AF$2:AF413),$AF$2:$AF$1001,0),0), INDEX($AM$1004:$BM$1004,1,MATCH(COLUMNS($AM$1006:BI1006),$AM$1006:$BM$1006,0)))),"Fix")))</f>
        <v xml:space="preserve"> </v>
      </c>
      <c r="Y413" s="4" t="str">
        <f ca="1">IF(OR(INDEX($AG$2:$AG$1001,MATCH(ROWS($AF$2:AF413),$AF$2:$AF$1001,0),1)&gt;=100000,INDEX($AM$1005:$BM$1005,1,MATCH(COLUMNS($AM$1006:BJ1006),$AM$1006:$BM$1006,0))&gt;=100000), " ",IF(INDEX($AM$2:$BM$1001,MATCH(ROWS($AF$2:AF413),$AF$2:$AF$1001,0),MATCH(COLUMNS($AM$1006:BJ1006),$AM$1006:$BM$1006,0)), HYPERLINK("#",""), HYPERLINK(CONCATENATE("#metadata!", ADDRESS(INDEX($AH$2:$AH$1001,MATCH(ROWS($AF$2:AF413),$AF$2:$AF$1001,0),0), INDEX($AM$1004:$BM$1004,1,MATCH(COLUMNS($AM$1006:BJ1006),$AM$1006:$BM$1006,0)))),"Fix")))</f>
        <v xml:space="preserve"> </v>
      </c>
      <c r="Z413" s="4" t="str">
        <f ca="1">IF(OR(INDEX($AG$2:$AG$1001,MATCH(ROWS($AF$2:AF413),$AF$2:$AF$1001,0),1)&gt;=100000,INDEX($AM$1005:$BM$1005,1,MATCH(COLUMNS($AM$1006:BK1006),$AM$1006:$BM$1006,0))&gt;=100000), " ",IF(INDEX($AM$2:$BM$1001,MATCH(ROWS($AF$2:AF413),$AF$2:$AF$1001,0),MATCH(COLUMNS($AM$1006:BK1006),$AM$1006:$BM$1006,0)), HYPERLINK("#",""), HYPERLINK(CONCATENATE("#metadata!", ADDRESS(INDEX($AH$2:$AH$1001,MATCH(ROWS($AF$2:AF413),$AF$2:$AF$1001,0),0), INDEX($AM$1004:$BM$1004,1,MATCH(COLUMNS($AM$1006:BK1006),$AM$1006:$BM$1006,0)))),"Fix")))</f>
        <v xml:space="preserve"> </v>
      </c>
      <c r="AA413" s="4" t="str">
        <f ca="1">IF(OR(INDEX($AG$2:$AG$1001,MATCH(ROWS($AF$2:AF413),$AF$2:$AF$1001,0),1)&gt;=100000,INDEX($AM$1005:$BM$1005,1,MATCH(COLUMNS($AM$1006:BL1006),$AM$1006:$BM$1006,0))&gt;=100000), " ",IF(INDEX($AM$2:$BM$1001,MATCH(ROWS($AF$2:AF413),$AF$2:$AF$1001,0),MATCH(COLUMNS($AM$1006:BL1006),$AM$1006:$BM$1006,0)), HYPERLINK("#",""), HYPERLINK(CONCATENATE("#metadata!", ADDRESS(INDEX($AH$2:$AH$1001,MATCH(ROWS($AF$2:AF413),$AF$2:$AF$1001,0),0), INDEX($AM$1004:$BM$1004,1,MATCH(COLUMNS($AM$1006:BL1006),$AM$1006:$BM$1006,0)))),"Fix")))</f>
        <v xml:space="preserve"> </v>
      </c>
      <c r="AB413" s="4" t="str">
        <f ca="1">IF(OR(INDEX($AG$2:$AG$1001,MATCH(ROWS($AF$2:AF413),$AF$2:$AF$1001,0),1)&gt;=100000,INDEX($AM$1005:$BM$1005,1,MATCH(COLUMNS($AM$1006:BM1006),$AM$1006:$BM$1006,0))&gt;=100000), " ",IF(INDEX($AM$2:$BM$1001,MATCH(ROWS($AF$2:AF413),$AF$2:$AF$1001,0),MATCH(COLUMNS($AM$1006:BM1006),$AM$1006:$BM$1006,0)), HYPERLINK("#",""), HYPERLINK(CONCATENATE("#metadata!", ADDRESS(INDEX($AH$2:$AH$1001,MATCH(ROWS($AF$2:AF413),$AF$2:$AF$1001,0),0), INDEX($AM$1004:$BM$1004,1,MATCH(COLUMNS($AM$1006:BM1006),$AM$1006:$BM$1006,0)))),"Fix")))</f>
        <v xml:space="preserve"> </v>
      </c>
      <c r="AF413">
        <v>412</v>
      </c>
      <c r="AG413">
        <v>100413</v>
      </c>
      <c r="AH413">
        <v>413</v>
      </c>
      <c r="AI413" t="b">
        <f t="shared" si="6"/>
        <v>1</v>
      </c>
      <c r="AJ413" t="b">
        <f>COUNTBLANK(metadata!B413:AB413)=COLUMNS(metadata!B413:AB413)</f>
        <v>1</v>
      </c>
      <c r="AK413" t="str">
        <v/>
      </c>
      <c r="AM413" t="b">
        <f ca="1">AND(IF(metadata!B413="",FALSE,TRUE),COUNTIF(metadata!B:B, metadata!B413) = 1,NOT(ISERROR(SUMPRODUCT(SEARCH(MID(metadata!B413,ROW(INDIRECT("1:"&amp;LEN(metadata!B413))), 1),"0123456789abcdefghijklmnopqrstuvwxyzABCDEFGHIJKLMNOPQRSTUVWXYZ.")))))</f>
        <v>0</v>
      </c>
      <c r="AN413" t="b">
        <f ca="1">OR(AND(IF(metadata!C413="",FALSE,TRUE),OR(EXACT(metadata!C413,"missing: not collected"),EXACT(metadata!C413,"missing: not provided"),EXACT(metadata!C413,"missing: restricted access"))),AND(IF(metadata!C413="",FALSE,TRUE),AND(AND(IFERROR(INT(LEFT(metadata!C413,4))&gt;1900,FALSE),IFERROR(INT(LEFT(metadata!C413,4))&lt;=YEAR(NOW()),FALSE)), OR(MID(metadata!C413,5,1)="", AND(AND(MID(metadata!C413,5,1)="-",IFERROR(INT(MID(metadata!C413,6,1))&gt;=0,FALSE),IFERROR(INT(MID(metadata!C413,6,1))&lt;=1,FALSE),NOT(MID(metadata!C413,7,1)=""),IFERROR(INT(MID(metadata!C413,6,2))&gt;=1,FALSE),IFERROR(INT(MID(metadata!C413,6,2))&lt;=12,FALSE)), OR(MID(metadata!C413,8,1)="", AND(AND(MID(metadata!C413,8,1)="-",IFERROR(INT(MID(metadata!C413,9,1))&gt;=0,FALSE),IFERROR(INT(MID(metadata!C413,9,1))&lt;=3,FALSE),NOT(MID(metadata!C413,10,1)=""),IFERROR(INT(MID(metadata!C413,9,2))&gt;=1,FALSE),IFERROR(INT(MID(metadata!C413,9,2))&lt;=31,FALSE)), OR(MID(metadata!C413,11,1)="", AND(AND(MID(metadata!C413,11,1)=" ",IFERROR(INT(MID(metadata!C413,12,1))&gt;=0,FALSE),IFERROR(INT(MID(metadata!C413,12,1))&lt;=2,FALSE),NOT(MID(metadata!C413,13,1)=""),IFERROR(INT(MID(metadata!C413,12,2))&gt;=0,FALSE),IFERROR(INT(MID(metadata!C413,12,2))&lt;=23,FALSE)), OR(MID(metadata!C413,14,1)="", AND(AND(MID(metadata!C413,14,1)=":",IFERROR(INT(MID(metadata!C413,15,1))&gt;=0,FALSE),IFERROR(INT(MID(metadata!C413,15,1))&lt;=5,FALSE),NOT(MID(metadata!C413,16,1)=""),IFERROR(INT(MID(metadata!C413,15,2))&gt;=0,FALSE),IFERROR(INT(MID(metadata!C413,15,2))&lt;=59,FALSE)), OR(MID(metadata!C413,17,1)="", AND(AND(MID(metadata!C413,17,1)=":",IFERROR(INT(MID(metadata!C413,18,1))&gt;=0,FALSE),IFERROR(INT(MID(metadata!C413,18,1))&lt;=5,FALSE),NOT(MID(metadata!C413,19,1)=""),IFERROR(INT(MID(metadata!C413,18,2))&gt;=0,FALSE),IFERROR(INT(MID(metadata!C413,18,2))&lt;=59,FALSE)), LEN(metadata!C413)&lt;=19)))))))))))))</f>
        <v>0</v>
      </c>
      <c r="AO413" t="b">
        <f>AND(IF(metadata!D413="",FALSE,TRUE),EXACT(metadata!D413,"Not applicable"))</f>
        <v>0</v>
      </c>
      <c r="AP413" t="b">
        <f>IF(metadata!E413="",FALSE,TRUE)</f>
        <v>0</v>
      </c>
      <c r="AQ413" t="b">
        <f>OR(AND(IF(metadata!F413="",FALSE,TRUE),OR(EXACT(metadata!F413,"missing: not collected"),EXACT(metadata!F413,"missing: not provided"))),AND(IF(metadata!F413="",FALSE,TRUE),OR(EXACT(metadata!F413,"TRUE"),EXACT(metadata!F413,"FALSE"))))</f>
        <v>0</v>
      </c>
      <c r="AR413" t="b">
        <f>OR(AND(IF(metadata!G413="",FALSE,TRUE),OR(EXACT(metadata!G413,"missing: not collected"),EXACT(metadata!G413,"missing: not provided"),EXACT(metadata!G413,"missing: restricted access"))),AND(IF(metadata!G413="",FALSE,ISNUMBER(VALUE(metadata!G413))),metadata!G413&gt;=-413))</f>
        <v>0</v>
      </c>
      <c r="AS413" t="b">
        <f>AND(IF(metadata!H413="",FALSE,TRUE),EXACT(metadata!H413,"meters"))</f>
        <v>0</v>
      </c>
      <c r="AT413" t="b">
        <f>AND(IF(metadata!I413="",FALSE,TRUE),OR(EXACT(metadata!I413,"Host-associated"),EXACT(metadata!I413,"Free-living")))</f>
        <v>0</v>
      </c>
      <c r="AU413" t="b">
        <f>AND(IF(metadata!J413="",FALSE,TRUE),OR(EXACT(metadata!J413,"Animal"),EXACT(metadata!J413,"Fungus"),EXACT(metadata!J413,"Plant"),EXACT(metadata!J413,"Saline"),EXACT(metadata!J413,"Non-saline")))</f>
        <v>0</v>
      </c>
      <c r="AV413" t="b">
        <f>AND(IF(metadata!K413="",FALSE,TRUE),OR(EXACT(metadata!K413,"Plant secretion"),EXACT(metadata!K413,"Plant rhizosphere"),EXACT(metadata!K413,"Plant surface"),EXACT(metadata!K413,"Plant corpus"),EXACT(metadata!K413,"Fungus surface"),EXACT(metadata!K413,"Fungus corpus"),EXACT(metadata!K413,"Animal surface"),EXACT(metadata!K413,"Animal proximal gut"),EXACT(metadata!K413,"Animal corpus"),EXACT(metadata!K413,"Animal distal gut"),EXACT(metadata!K413,"Animal secretion"),EXACT(metadata!K413,"Sub-surface (non-saline)"),EXACT(metadata!K413,"Surface (non-saline)"),EXACT(metadata!K413,"Water (non-saline)"),EXACT(metadata!K413,"Soil (non-saline)"),EXACT(metadata!K413,"Aerosol (non-saline)"),EXACT(metadata!K413,"Sediment (non-saline)"),EXACT(metadata!K413,"Surface (saline)"),EXACT(metadata!K413,"Water (saline)"),EXACT(metadata!K413,"Hypersaline (saline)"),EXACT(metadata!K413,"Aerosol (saline)"),EXACT(metadata!K413,"Sediment (saline)")))</f>
        <v>0</v>
      </c>
      <c r="AW413" t="b">
        <f>IF(metadata!L413="",FALSE,TRUE)</f>
        <v>0</v>
      </c>
      <c r="AX413" t="b">
        <f>IF(metadata!M413="",FALSE,TRUE)</f>
        <v>0</v>
      </c>
      <c r="AY413" t="b">
        <f>IF(metadata!N413="",FALSE,TRUE)</f>
        <v>0</v>
      </c>
      <c r="AZ413" t="b">
        <f>OR(AND(IF(metadata!O413="",FALSE,TRUE),OR(EXACT(metadata!O413,"missing: not collected"),EXACT(metadata!O413,"missing: not provided"),EXACT(metadata!O413,"missing: restricted access"))),AND(IF(metadata!O413="",FALSE,TRUE),OR(EXACT(metadata!O413,"air"),EXACT(metadata!O413,"built environment"),EXACT(metadata!O413,"host-associated"),EXACT(metadata!O413,"human-associated"),EXACT(metadata!O413,"human-skin"),EXACT(metadata!O413,"human-oral"),EXACT(metadata!O413,"human-gut"),EXACT(metadata!O413,"human-vaginal"),EXACT(metadata!O413,"microbial mat/biofilm"),EXACT(metadata!O413,"misc environment"),EXACT(metadata!O413,"plant-associated"),EXACT(metadata!O413,"sediment"),EXACT(metadata!O413,"soil"),EXACT(metadata!O413,"wastewater/sludge"),EXACT(metadata!O413,"water"))))</f>
        <v>0</v>
      </c>
      <c r="BA413" t="b">
        <f>IF(metadata!P413="",FALSE,TRUE)</f>
        <v>0</v>
      </c>
      <c r="BB413" t="b">
        <f>IF(metadata!Q413="",FALSE,TRUE)</f>
        <v>0</v>
      </c>
      <c r="BC413" t="b">
        <f>OR(AND(IF(metadata!R413="",FALSE,TRUE),OR(EXACT(metadata!R413,"missing: not collected"),EXACT(metadata!R413,"missing: not provided"),EXACT(metadata!R413,"missing: restricted access"))),AND(IF(metadata!R413="",FALSE,ISNUMBER(VALUE(metadata!R413))),metadata!R413&gt;=-90,metadata!R413&lt;=90))</f>
        <v>0</v>
      </c>
      <c r="BD413" t="b">
        <f>AND(IF(metadata!S413="",FALSE,TRUE),EXACT(metadata!S413,"Decimal degrees"))</f>
        <v>0</v>
      </c>
      <c r="BE413" t="b">
        <f>OR(AND(IF(metadata!T413="",FALSE,TRUE),OR(EXACT(metadata!T413,"missing: not collected"),EXACT(metadata!T413,"missing: not provided"),EXACT(metadata!T413,"missing: restricted access"))),AND(IF(metadata!T413="",FALSE,ISNUMBER(VALUE(metadata!T413))),metadata!T413&gt;=-180,metadata!T413&lt;=180))</f>
        <v>0</v>
      </c>
      <c r="BF413" t="b">
        <f>AND(IF(metadata!U413="",FALSE,TRUE),EXACT(metadata!U413,"Decimal degrees"))</f>
        <v>0</v>
      </c>
      <c r="BG413" t="b">
        <f>IF(metadata!V413="",FALSE,TRUE)</f>
        <v>0</v>
      </c>
      <c r="BH413" t="b">
        <f>OR(AND(IF(metadata!W413="",FALSE,TRUE),OR(EXACT(metadata!W413,"missing: not collected"),EXACT(metadata!W413,"missing: not provided"),EXACT(metadata!W413,"missing: restricted access"))),AND(IF(metadata!W413="",FALSE,TRUE),OR(EXACT(metadata!W413,"TRUE"),EXACT(metadata!W413,"FALSE"))))</f>
        <v>0</v>
      </c>
      <c r="BI413" t="b">
        <f>AND(IF(metadata!X413="",FALSE,TRUE),EXACT(metadata!X413,"other"))</f>
        <v>0</v>
      </c>
      <c r="BJ413" t="b">
        <f>IF(metadata!Y413="",FALSE,TRUE)</f>
        <v>0</v>
      </c>
      <c r="BK413" t="b">
        <f>OR(AND(IF(metadata!Z413="",FALSE,TRUE),OR(EXACT(metadata!Z413,"missing: not collected"),EXACT(metadata!Z413,"missing: not provided"))),AND(IF(metadata!Z413="",FALSE,IF(ISERROR(INT(metadata!Z413)),FALSE,INT(metadata!Z413)=metadata!Z413)),metadata!Z413&gt;0))</f>
        <v>0</v>
      </c>
      <c r="BL413" t="b">
        <f>AND(IF(metadata!AA413="",FALSE,TRUE),EXACT(metadata!AA413,"Not applicable"))</f>
        <v>0</v>
      </c>
      <c r="BM413" t="b">
        <f>IF(metadata!AB413="",FALSE,TRUE)</f>
        <v>0</v>
      </c>
    </row>
    <row r="414" spans="1:65" x14ac:dyDescent="0.2">
      <c r="A414" s="5" t="str">
        <f ca="1">IF(B414=" "," ",HYPERLINK(CONCATENATE("#metadata!",ADDRESS(INDEX($AH$2:$AH$1001,MATCH(ROWS($AF$2:AF414),$AF$2:$AF$1001,0),0),1)),INDEX($AK$2:$AK$1001,MATCH(ROWS($AF$2:AF414),$AF$2:$AF$1001,0),0)))</f>
        <v xml:space="preserve"> </v>
      </c>
      <c r="B414" s="4" t="str">
        <f ca="1">IF(OR(INDEX($AG$2:$AG$1001,MATCH(ROWS($AF$2:AF414),$AF$2:$AF$1001,0),1)&gt;=100000,INDEX($AM$1005:$BM$1005,1,MATCH(COLUMNS($AM$1006:AM1006),$AM$1006:$BM$1006,0))&gt;=100000), " ",IF(INDEX($AM$2:$BM$1001,MATCH(ROWS($AF$2:AF414),$AF$2:$AF$1001,0),MATCH(COLUMNS($AM$1006:AM1006),$AM$1006:$BM$1006,0)), HYPERLINK("#",""), HYPERLINK(CONCATENATE("#metadata!", ADDRESS(INDEX($AH$2:$AH$1001,MATCH(ROWS($AF$2:AF414),$AF$2:$AF$1001,0),0), INDEX($AM$1004:$BM$1004,1,MATCH(COLUMNS($AM$1006:AM1006),$AM$1006:$BM$1006,0)))),"Fix")))</f>
        <v xml:space="preserve"> </v>
      </c>
      <c r="C414" s="4" t="str">
        <f ca="1">IF(OR(INDEX($AG$2:$AG$1001,MATCH(ROWS($AF$2:AF414),$AF$2:$AF$1001,0),1)&gt;=100000,INDEX($AM$1005:$BM$1005,1,MATCH(COLUMNS($AM$1006:AN1006),$AM$1006:$BM$1006,0))&gt;=100000), " ",IF(INDEX($AM$2:$BM$1001,MATCH(ROWS($AF$2:AF414),$AF$2:$AF$1001,0),MATCH(COLUMNS($AM$1006:AN1006),$AM$1006:$BM$1006,0)), HYPERLINK("#",""), HYPERLINK(CONCATENATE("#metadata!", ADDRESS(INDEX($AH$2:$AH$1001,MATCH(ROWS($AF$2:AF414),$AF$2:$AF$1001,0),0), INDEX($AM$1004:$BM$1004,1,MATCH(COLUMNS($AM$1006:AN1006),$AM$1006:$BM$1006,0)))),"Fix")))</f>
        <v xml:space="preserve"> </v>
      </c>
      <c r="D414" s="4" t="str">
        <f ca="1">IF(OR(INDEX($AG$2:$AG$1001,MATCH(ROWS($AF$2:AF414),$AF$2:$AF$1001,0),1)&gt;=100000,INDEX($AM$1005:$BM$1005,1,MATCH(COLUMNS($AM$1006:AO1006),$AM$1006:$BM$1006,0))&gt;=100000), " ",IF(INDEX($AM$2:$BM$1001,MATCH(ROWS($AF$2:AF414),$AF$2:$AF$1001,0),MATCH(COLUMNS($AM$1006:AO1006),$AM$1006:$BM$1006,0)), HYPERLINK("#",""), HYPERLINK(CONCATENATE("#metadata!", ADDRESS(INDEX($AH$2:$AH$1001,MATCH(ROWS($AF$2:AF414),$AF$2:$AF$1001,0),0), INDEX($AM$1004:$BM$1004,1,MATCH(COLUMNS($AM$1006:AO1006),$AM$1006:$BM$1006,0)))),"Fix")))</f>
        <v xml:space="preserve"> </v>
      </c>
      <c r="E414" s="4" t="str">
        <f ca="1">IF(OR(INDEX($AG$2:$AG$1001,MATCH(ROWS($AF$2:AF414),$AF$2:$AF$1001,0),1)&gt;=100000,INDEX($AM$1005:$BM$1005,1,MATCH(COLUMNS($AM$1006:AP1006),$AM$1006:$BM$1006,0))&gt;=100000), " ",IF(INDEX($AM$2:$BM$1001,MATCH(ROWS($AF$2:AF414),$AF$2:$AF$1001,0),MATCH(COLUMNS($AM$1006:AP1006),$AM$1006:$BM$1006,0)), HYPERLINK("#",""), HYPERLINK(CONCATENATE("#metadata!", ADDRESS(INDEX($AH$2:$AH$1001,MATCH(ROWS($AF$2:AF414),$AF$2:$AF$1001,0),0), INDEX($AM$1004:$BM$1004,1,MATCH(COLUMNS($AM$1006:AP1006),$AM$1006:$BM$1006,0)))),"Fix")))</f>
        <v xml:space="preserve"> </v>
      </c>
      <c r="F414" s="4" t="str">
        <f ca="1">IF(OR(INDEX($AG$2:$AG$1001,MATCH(ROWS($AF$2:AF414),$AF$2:$AF$1001,0),1)&gt;=100000,INDEX($AM$1005:$BM$1005,1,MATCH(COLUMNS($AM$1006:AQ1006),$AM$1006:$BM$1006,0))&gt;=100000), " ",IF(INDEX($AM$2:$BM$1001,MATCH(ROWS($AF$2:AF414),$AF$2:$AF$1001,0),MATCH(COLUMNS($AM$1006:AQ1006),$AM$1006:$BM$1006,0)), HYPERLINK("#",""), HYPERLINK(CONCATENATE("#metadata!", ADDRESS(INDEX($AH$2:$AH$1001,MATCH(ROWS($AF$2:AF414),$AF$2:$AF$1001,0),0), INDEX($AM$1004:$BM$1004,1,MATCH(COLUMNS($AM$1006:AQ1006),$AM$1006:$BM$1006,0)))),"Fix")))</f>
        <v xml:space="preserve"> </v>
      </c>
      <c r="G414" s="4" t="str">
        <f ca="1">IF(OR(INDEX($AG$2:$AG$1001,MATCH(ROWS($AF$2:AF414),$AF$2:$AF$1001,0),1)&gt;=100000,INDEX($AM$1005:$BM$1005,1,MATCH(COLUMNS($AM$1006:AR1006),$AM$1006:$BM$1006,0))&gt;=100000), " ",IF(INDEX($AM$2:$BM$1001,MATCH(ROWS($AF$2:AF414),$AF$2:$AF$1001,0),MATCH(COLUMNS($AM$1006:AR1006),$AM$1006:$BM$1006,0)), HYPERLINK("#",""), HYPERLINK(CONCATENATE("#metadata!", ADDRESS(INDEX($AH$2:$AH$1001,MATCH(ROWS($AF$2:AF414),$AF$2:$AF$1001,0),0), INDEX($AM$1004:$BM$1004,1,MATCH(COLUMNS($AM$1006:AR1006),$AM$1006:$BM$1006,0)))),"Fix")))</f>
        <v xml:space="preserve"> </v>
      </c>
      <c r="H414" s="4" t="str">
        <f ca="1">IF(OR(INDEX($AG$2:$AG$1001,MATCH(ROWS($AF$2:AF414),$AF$2:$AF$1001,0),1)&gt;=100000,INDEX($AM$1005:$BM$1005,1,MATCH(COLUMNS($AM$1006:AS1006),$AM$1006:$BM$1006,0))&gt;=100000), " ",IF(INDEX($AM$2:$BM$1001,MATCH(ROWS($AF$2:AF414),$AF$2:$AF$1001,0),MATCH(COLUMNS($AM$1006:AS1006),$AM$1006:$BM$1006,0)), HYPERLINK("#",""), HYPERLINK(CONCATENATE("#metadata!", ADDRESS(INDEX($AH$2:$AH$1001,MATCH(ROWS($AF$2:AF414),$AF$2:$AF$1001,0),0), INDEX($AM$1004:$BM$1004,1,MATCH(COLUMNS($AM$1006:AS1006),$AM$1006:$BM$1006,0)))),"Fix")))</f>
        <v xml:space="preserve"> </v>
      </c>
      <c r="I414" s="4" t="str">
        <f ca="1">IF(OR(INDEX($AG$2:$AG$1001,MATCH(ROWS($AF$2:AF414),$AF$2:$AF$1001,0),1)&gt;=100000,INDEX($AM$1005:$BM$1005,1,MATCH(COLUMNS($AM$1006:AT1006),$AM$1006:$BM$1006,0))&gt;=100000), " ",IF(INDEX($AM$2:$BM$1001,MATCH(ROWS($AF$2:AF414),$AF$2:$AF$1001,0),MATCH(COLUMNS($AM$1006:AT1006),$AM$1006:$BM$1006,0)), HYPERLINK("#",""), HYPERLINK(CONCATENATE("#metadata!", ADDRESS(INDEX($AH$2:$AH$1001,MATCH(ROWS($AF$2:AF414),$AF$2:$AF$1001,0),0), INDEX($AM$1004:$BM$1004,1,MATCH(COLUMNS($AM$1006:AT1006),$AM$1006:$BM$1006,0)))),"Fix")))</f>
        <v xml:space="preserve"> </v>
      </c>
      <c r="J414" s="4" t="str">
        <f ca="1">IF(OR(INDEX($AG$2:$AG$1001,MATCH(ROWS($AF$2:AF414),$AF$2:$AF$1001,0),1)&gt;=100000,INDEX($AM$1005:$BM$1005,1,MATCH(COLUMNS($AM$1006:AU1006),$AM$1006:$BM$1006,0))&gt;=100000), " ",IF(INDEX($AM$2:$BM$1001,MATCH(ROWS($AF$2:AF414),$AF$2:$AF$1001,0),MATCH(COLUMNS($AM$1006:AU1006),$AM$1006:$BM$1006,0)), HYPERLINK("#",""), HYPERLINK(CONCATENATE("#metadata!", ADDRESS(INDEX($AH$2:$AH$1001,MATCH(ROWS($AF$2:AF414),$AF$2:$AF$1001,0),0), INDEX($AM$1004:$BM$1004,1,MATCH(COLUMNS($AM$1006:AU1006),$AM$1006:$BM$1006,0)))),"Fix")))</f>
        <v xml:space="preserve"> </v>
      </c>
      <c r="K414" s="4" t="str">
        <f ca="1">IF(OR(INDEX($AG$2:$AG$1001,MATCH(ROWS($AF$2:AF414),$AF$2:$AF$1001,0),1)&gt;=100000,INDEX($AM$1005:$BM$1005,1,MATCH(COLUMNS($AM$1006:AV1006),$AM$1006:$BM$1006,0))&gt;=100000), " ",IF(INDEX($AM$2:$BM$1001,MATCH(ROWS($AF$2:AF414),$AF$2:$AF$1001,0),MATCH(COLUMNS($AM$1006:AV1006),$AM$1006:$BM$1006,0)), HYPERLINK("#",""), HYPERLINK(CONCATENATE("#metadata!", ADDRESS(INDEX($AH$2:$AH$1001,MATCH(ROWS($AF$2:AF414),$AF$2:$AF$1001,0),0), INDEX($AM$1004:$BM$1004,1,MATCH(COLUMNS($AM$1006:AV1006),$AM$1006:$BM$1006,0)))),"Fix")))</f>
        <v xml:space="preserve"> </v>
      </c>
      <c r="L414" s="4" t="str">
        <f ca="1">IF(OR(INDEX($AG$2:$AG$1001,MATCH(ROWS($AF$2:AF414),$AF$2:$AF$1001,0),1)&gt;=100000,INDEX($AM$1005:$BM$1005,1,MATCH(COLUMNS($AM$1006:AW1006),$AM$1006:$BM$1006,0))&gt;=100000), " ",IF(INDEX($AM$2:$BM$1001,MATCH(ROWS($AF$2:AF414),$AF$2:$AF$1001,0),MATCH(COLUMNS($AM$1006:AW1006),$AM$1006:$BM$1006,0)), HYPERLINK("#",""), HYPERLINK(CONCATENATE("#metadata!", ADDRESS(INDEX($AH$2:$AH$1001,MATCH(ROWS($AF$2:AF414),$AF$2:$AF$1001,0),0), INDEX($AM$1004:$BM$1004,1,MATCH(COLUMNS($AM$1006:AW1006),$AM$1006:$BM$1006,0)))),"Fix")))</f>
        <v xml:space="preserve"> </v>
      </c>
      <c r="M414" s="4" t="str">
        <f ca="1">IF(OR(INDEX($AG$2:$AG$1001,MATCH(ROWS($AF$2:AF414),$AF$2:$AF$1001,0),1)&gt;=100000,INDEX($AM$1005:$BM$1005,1,MATCH(COLUMNS($AM$1006:AX1006),$AM$1006:$BM$1006,0))&gt;=100000), " ",IF(INDEX($AM$2:$BM$1001,MATCH(ROWS($AF$2:AF414),$AF$2:$AF$1001,0),MATCH(COLUMNS($AM$1006:AX1006),$AM$1006:$BM$1006,0)), HYPERLINK("#",""), HYPERLINK(CONCATENATE("#metadata!", ADDRESS(INDEX($AH$2:$AH$1001,MATCH(ROWS($AF$2:AF414),$AF$2:$AF$1001,0),0), INDEX($AM$1004:$BM$1004,1,MATCH(COLUMNS($AM$1006:AX1006),$AM$1006:$BM$1006,0)))),"Fix")))</f>
        <v xml:space="preserve"> </v>
      </c>
      <c r="N414" s="4" t="str">
        <f ca="1">IF(OR(INDEX($AG$2:$AG$1001,MATCH(ROWS($AF$2:AF414),$AF$2:$AF$1001,0),1)&gt;=100000,INDEX($AM$1005:$BM$1005,1,MATCH(COLUMNS($AM$1006:AY1006),$AM$1006:$BM$1006,0))&gt;=100000), " ",IF(INDEX($AM$2:$BM$1001,MATCH(ROWS($AF$2:AF414),$AF$2:$AF$1001,0),MATCH(COLUMNS($AM$1006:AY1006),$AM$1006:$BM$1006,0)), HYPERLINK("#",""), HYPERLINK(CONCATENATE("#metadata!", ADDRESS(INDEX($AH$2:$AH$1001,MATCH(ROWS($AF$2:AF414),$AF$2:$AF$1001,0),0), INDEX($AM$1004:$BM$1004,1,MATCH(COLUMNS($AM$1006:AY1006),$AM$1006:$BM$1006,0)))),"Fix")))</f>
        <v xml:space="preserve"> </v>
      </c>
      <c r="O414" s="4" t="str">
        <f ca="1">IF(OR(INDEX($AG$2:$AG$1001,MATCH(ROWS($AF$2:AF414),$AF$2:$AF$1001,0),1)&gt;=100000,INDEX($AM$1005:$BM$1005,1,MATCH(COLUMNS($AM$1006:AZ1006),$AM$1006:$BM$1006,0))&gt;=100000), " ",IF(INDEX($AM$2:$BM$1001,MATCH(ROWS($AF$2:AF414),$AF$2:$AF$1001,0),MATCH(COLUMNS($AM$1006:AZ1006),$AM$1006:$BM$1006,0)), HYPERLINK("#",""), HYPERLINK(CONCATENATE("#metadata!", ADDRESS(INDEX($AH$2:$AH$1001,MATCH(ROWS($AF$2:AF414),$AF$2:$AF$1001,0),0), INDEX($AM$1004:$BM$1004,1,MATCH(COLUMNS($AM$1006:AZ1006),$AM$1006:$BM$1006,0)))),"Fix")))</f>
        <v xml:space="preserve"> </v>
      </c>
      <c r="P414" s="4" t="str">
        <f ca="1">IF(OR(INDEX($AG$2:$AG$1001,MATCH(ROWS($AF$2:AF414),$AF$2:$AF$1001,0),1)&gt;=100000,INDEX($AM$1005:$BM$1005,1,MATCH(COLUMNS($AM$1006:BA1006),$AM$1006:$BM$1006,0))&gt;=100000), " ",IF(INDEX($AM$2:$BM$1001,MATCH(ROWS($AF$2:AF414),$AF$2:$AF$1001,0),MATCH(COLUMNS($AM$1006:BA1006),$AM$1006:$BM$1006,0)), HYPERLINK("#",""), HYPERLINK(CONCATENATE("#metadata!", ADDRESS(INDEX($AH$2:$AH$1001,MATCH(ROWS($AF$2:AF414),$AF$2:$AF$1001,0),0), INDEX($AM$1004:$BM$1004,1,MATCH(COLUMNS($AM$1006:BA1006),$AM$1006:$BM$1006,0)))),"Fix")))</f>
        <v xml:space="preserve"> </v>
      </c>
      <c r="Q414" s="4" t="str">
        <f ca="1">IF(OR(INDEX($AG$2:$AG$1001,MATCH(ROWS($AF$2:AF414),$AF$2:$AF$1001,0),1)&gt;=100000,INDEX($AM$1005:$BM$1005,1,MATCH(COLUMNS($AM$1006:BB1006),$AM$1006:$BM$1006,0))&gt;=100000), " ",IF(INDEX($AM$2:$BM$1001,MATCH(ROWS($AF$2:AF414),$AF$2:$AF$1001,0),MATCH(COLUMNS($AM$1006:BB1006),$AM$1006:$BM$1006,0)), HYPERLINK("#",""), HYPERLINK(CONCATENATE("#metadata!", ADDRESS(INDEX($AH$2:$AH$1001,MATCH(ROWS($AF$2:AF414),$AF$2:$AF$1001,0),0), INDEX($AM$1004:$BM$1004,1,MATCH(COLUMNS($AM$1006:BB1006),$AM$1006:$BM$1006,0)))),"Fix")))</f>
        <v xml:space="preserve"> </v>
      </c>
      <c r="R414" s="4" t="str">
        <f ca="1">IF(OR(INDEX($AG$2:$AG$1001,MATCH(ROWS($AF$2:AF414),$AF$2:$AF$1001,0),1)&gt;=100000,INDEX($AM$1005:$BM$1005,1,MATCH(COLUMNS($AM$1006:BC1006),$AM$1006:$BM$1006,0))&gt;=100000), " ",IF(INDEX($AM$2:$BM$1001,MATCH(ROWS($AF$2:AF414),$AF$2:$AF$1001,0),MATCH(COLUMNS($AM$1006:BC1006),$AM$1006:$BM$1006,0)), HYPERLINK("#",""), HYPERLINK(CONCATENATE("#metadata!", ADDRESS(INDEX($AH$2:$AH$1001,MATCH(ROWS($AF$2:AF414),$AF$2:$AF$1001,0),0), INDEX($AM$1004:$BM$1004,1,MATCH(COLUMNS($AM$1006:BC1006),$AM$1006:$BM$1006,0)))),"Fix")))</f>
        <v xml:space="preserve"> </v>
      </c>
      <c r="S414" s="4" t="str">
        <f ca="1">IF(OR(INDEX($AG$2:$AG$1001,MATCH(ROWS($AF$2:AF414),$AF$2:$AF$1001,0),1)&gt;=100000,INDEX($AM$1005:$BM$1005,1,MATCH(COLUMNS($AM$1006:BD1006),$AM$1006:$BM$1006,0))&gt;=100000), " ",IF(INDEX($AM$2:$BM$1001,MATCH(ROWS($AF$2:AF414),$AF$2:$AF$1001,0),MATCH(COLUMNS($AM$1006:BD1006),$AM$1006:$BM$1006,0)), HYPERLINK("#",""), HYPERLINK(CONCATENATE("#metadata!", ADDRESS(INDEX($AH$2:$AH$1001,MATCH(ROWS($AF$2:AF414),$AF$2:$AF$1001,0),0), INDEX($AM$1004:$BM$1004,1,MATCH(COLUMNS($AM$1006:BD1006),$AM$1006:$BM$1006,0)))),"Fix")))</f>
        <v xml:space="preserve"> </v>
      </c>
      <c r="T414" s="4" t="str">
        <f ca="1">IF(OR(INDEX($AG$2:$AG$1001,MATCH(ROWS($AF$2:AF414),$AF$2:$AF$1001,0),1)&gt;=100000,INDEX($AM$1005:$BM$1005,1,MATCH(COLUMNS($AM$1006:BE1006),$AM$1006:$BM$1006,0))&gt;=100000), " ",IF(INDEX($AM$2:$BM$1001,MATCH(ROWS($AF$2:AF414),$AF$2:$AF$1001,0),MATCH(COLUMNS($AM$1006:BE1006),$AM$1006:$BM$1006,0)), HYPERLINK("#",""), HYPERLINK(CONCATENATE("#metadata!", ADDRESS(INDEX($AH$2:$AH$1001,MATCH(ROWS($AF$2:AF414),$AF$2:$AF$1001,0),0), INDEX($AM$1004:$BM$1004,1,MATCH(COLUMNS($AM$1006:BE1006),$AM$1006:$BM$1006,0)))),"Fix")))</f>
        <v xml:space="preserve"> </v>
      </c>
      <c r="U414" s="4" t="str">
        <f ca="1">IF(OR(INDEX($AG$2:$AG$1001,MATCH(ROWS($AF$2:AF414),$AF$2:$AF$1001,0),1)&gt;=100000,INDEX($AM$1005:$BM$1005,1,MATCH(COLUMNS($AM$1006:BF1006),$AM$1006:$BM$1006,0))&gt;=100000), " ",IF(INDEX($AM$2:$BM$1001,MATCH(ROWS($AF$2:AF414),$AF$2:$AF$1001,0),MATCH(COLUMNS($AM$1006:BF1006),$AM$1006:$BM$1006,0)), HYPERLINK("#",""), HYPERLINK(CONCATENATE("#metadata!", ADDRESS(INDEX($AH$2:$AH$1001,MATCH(ROWS($AF$2:AF414),$AF$2:$AF$1001,0),0), INDEX($AM$1004:$BM$1004,1,MATCH(COLUMNS($AM$1006:BF1006),$AM$1006:$BM$1006,0)))),"Fix")))</f>
        <v xml:space="preserve"> </v>
      </c>
      <c r="V414" s="4" t="str">
        <f ca="1">IF(OR(INDEX($AG$2:$AG$1001,MATCH(ROWS($AF$2:AF414),$AF$2:$AF$1001,0),1)&gt;=100000,INDEX($AM$1005:$BM$1005,1,MATCH(COLUMNS($AM$1006:BG1006),$AM$1006:$BM$1006,0))&gt;=100000), " ",IF(INDEX($AM$2:$BM$1001,MATCH(ROWS($AF$2:AF414),$AF$2:$AF$1001,0),MATCH(COLUMNS($AM$1006:BG1006),$AM$1006:$BM$1006,0)), HYPERLINK("#",""), HYPERLINK(CONCATENATE("#metadata!", ADDRESS(INDEX($AH$2:$AH$1001,MATCH(ROWS($AF$2:AF414),$AF$2:$AF$1001,0),0), INDEX($AM$1004:$BM$1004,1,MATCH(COLUMNS($AM$1006:BG1006),$AM$1006:$BM$1006,0)))),"Fix")))</f>
        <v xml:space="preserve"> </v>
      </c>
      <c r="W414" s="4" t="str">
        <f ca="1">IF(OR(INDEX($AG$2:$AG$1001,MATCH(ROWS($AF$2:AF414),$AF$2:$AF$1001,0),1)&gt;=100000,INDEX($AM$1005:$BM$1005,1,MATCH(COLUMNS($AM$1006:BH1006),$AM$1006:$BM$1006,0))&gt;=100000), " ",IF(INDEX($AM$2:$BM$1001,MATCH(ROWS($AF$2:AF414),$AF$2:$AF$1001,0),MATCH(COLUMNS($AM$1006:BH1006),$AM$1006:$BM$1006,0)), HYPERLINK("#",""), HYPERLINK(CONCATENATE("#metadata!", ADDRESS(INDEX($AH$2:$AH$1001,MATCH(ROWS($AF$2:AF414),$AF$2:$AF$1001,0),0), INDEX($AM$1004:$BM$1004,1,MATCH(COLUMNS($AM$1006:BH1006),$AM$1006:$BM$1006,0)))),"Fix")))</f>
        <v xml:space="preserve"> </v>
      </c>
      <c r="X414" s="4" t="str">
        <f ca="1">IF(OR(INDEX($AG$2:$AG$1001,MATCH(ROWS($AF$2:AF414),$AF$2:$AF$1001,0),1)&gt;=100000,INDEX($AM$1005:$BM$1005,1,MATCH(COLUMNS($AM$1006:BI1006),$AM$1006:$BM$1006,0))&gt;=100000), " ",IF(INDEX($AM$2:$BM$1001,MATCH(ROWS($AF$2:AF414),$AF$2:$AF$1001,0),MATCH(COLUMNS($AM$1006:BI1006),$AM$1006:$BM$1006,0)), HYPERLINK("#",""), HYPERLINK(CONCATENATE("#metadata!", ADDRESS(INDEX($AH$2:$AH$1001,MATCH(ROWS($AF$2:AF414),$AF$2:$AF$1001,0),0), INDEX($AM$1004:$BM$1004,1,MATCH(COLUMNS($AM$1006:BI1006),$AM$1006:$BM$1006,0)))),"Fix")))</f>
        <v xml:space="preserve"> </v>
      </c>
      <c r="Y414" s="4" t="str">
        <f ca="1">IF(OR(INDEX($AG$2:$AG$1001,MATCH(ROWS($AF$2:AF414),$AF$2:$AF$1001,0),1)&gt;=100000,INDEX($AM$1005:$BM$1005,1,MATCH(COLUMNS($AM$1006:BJ1006),$AM$1006:$BM$1006,0))&gt;=100000), " ",IF(INDEX($AM$2:$BM$1001,MATCH(ROWS($AF$2:AF414),$AF$2:$AF$1001,0),MATCH(COLUMNS($AM$1006:BJ1006),$AM$1006:$BM$1006,0)), HYPERLINK("#",""), HYPERLINK(CONCATENATE("#metadata!", ADDRESS(INDEX($AH$2:$AH$1001,MATCH(ROWS($AF$2:AF414),$AF$2:$AF$1001,0),0), INDEX($AM$1004:$BM$1004,1,MATCH(COLUMNS($AM$1006:BJ1006),$AM$1006:$BM$1006,0)))),"Fix")))</f>
        <v xml:space="preserve"> </v>
      </c>
      <c r="Z414" s="4" t="str">
        <f ca="1">IF(OR(INDEX($AG$2:$AG$1001,MATCH(ROWS($AF$2:AF414),$AF$2:$AF$1001,0),1)&gt;=100000,INDEX($AM$1005:$BM$1005,1,MATCH(COLUMNS($AM$1006:BK1006),$AM$1006:$BM$1006,0))&gt;=100000), " ",IF(INDEX($AM$2:$BM$1001,MATCH(ROWS($AF$2:AF414),$AF$2:$AF$1001,0),MATCH(COLUMNS($AM$1006:BK1006),$AM$1006:$BM$1006,0)), HYPERLINK("#",""), HYPERLINK(CONCATENATE("#metadata!", ADDRESS(INDEX($AH$2:$AH$1001,MATCH(ROWS($AF$2:AF414),$AF$2:$AF$1001,0),0), INDEX($AM$1004:$BM$1004,1,MATCH(COLUMNS($AM$1006:BK1006),$AM$1006:$BM$1006,0)))),"Fix")))</f>
        <v xml:space="preserve"> </v>
      </c>
      <c r="AA414" s="4" t="str">
        <f ca="1">IF(OR(INDEX($AG$2:$AG$1001,MATCH(ROWS($AF$2:AF414),$AF$2:$AF$1001,0),1)&gt;=100000,INDEX($AM$1005:$BM$1005,1,MATCH(COLUMNS($AM$1006:BL1006),$AM$1006:$BM$1006,0))&gt;=100000), " ",IF(INDEX($AM$2:$BM$1001,MATCH(ROWS($AF$2:AF414),$AF$2:$AF$1001,0),MATCH(COLUMNS($AM$1006:BL1006),$AM$1006:$BM$1006,0)), HYPERLINK("#",""), HYPERLINK(CONCATENATE("#metadata!", ADDRESS(INDEX($AH$2:$AH$1001,MATCH(ROWS($AF$2:AF414),$AF$2:$AF$1001,0),0), INDEX($AM$1004:$BM$1004,1,MATCH(COLUMNS($AM$1006:BL1006),$AM$1006:$BM$1006,0)))),"Fix")))</f>
        <v xml:space="preserve"> </v>
      </c>
      <c r="AB414" s="4" t="str">
        <f ca="1">IF(OR(INDEX($AG$2:$AG$1001,MATCH(ROWS($AF$2:AF414),$AF$2:$AF$1001,0),1)&gt;=100000,INDEX($AM$1005:$BM$1005,1,MATCH(COLUMNS($AM$1006:BM1006),$AM$1006:$BM$1006,0))&gt;=100000), " ",IF(INDEX($AM$2:$BM$1001,MATCH(ROWS($AF$2:AF414),$AF$2:$AF$1001,0),MATCH(COLUMNS($AM$1006:BM1006),$AM$1006:$BM$1006,0)), HYPERLINK("#",""), HYPERLINK(CONCATENATE("#metadata!", ADDRESS(INDEX($AH$2:$AH$1001,MATCH(ROWS($AF$2:AF414),$AF$2:$AF$1001,0),0), INDEX($AM$1004:$BM$1004,1,MATCH(COLUMNS($AM$1006:BM1006),$AM$1006:$BM$1006,0)))),"Fix")))</f>
        <v xml:space="preserve"> </v>
      </c>
      <c r="AF414">
        <v>413</v>
      </c>
      <c r="AG414">
        <v>100414</v>
      </c>
      <c r="AH414">
        <v>414</v>
      </c>
      <c r="AI414" t="b">
        <f t="shared" si="6"/>
        <v>1</v>
      </c>
      <c r="AJ414" t="b">
        <f>COUNTBLANK(metadata!B414:AB414)=COLUMNS(metadata!B414:AB414)</f>
        <v>1</v>
      </c>
      <c r="AK414" t="str">
        <v/>
      </c>
      <c r="AM414" t="b">
        <f ca="1">AND(IF(metadata!B414="",FALSE,TRUE),COUNTIF(metadata!B:B, metadata!B414) = 1,NOT(ISERROR(SUMPRODUCT(SEARCH(MID(metadata!B414,ROW(INDIRECT("1:"&amp;LEN(metadata!B414))), 1),"0123456789abcdefghijklmnopqrstuvwxyzABCDEFGHIJKLMNOPQRSTUVWXYZ.")))))</f>
        <v>0</v>
      </c>
      <c r="AN414" t="b">
        <f ca="1">OR(AND(IF(metadata!C414="",FALSE,TRUE),OR(EXACT(metadata!C414,"missing: not collected"),EXACT(metadata!C414,"missing: not provided"),EXACT(metadata!C414,"missing: restricted access"))),AND(IF(metadata!C414="",FALSE,TRUE),AND(AND(IFERROR(INT(LEFT(metadata!C414,4))&gt;1900,FALSE),IFERROR(INT(LEFT(metadata!C414,4))&lt;=YEAR(NOW()),FALSE)), OR(MID(metadata!C414,5,1)="", AND(AND(MID(metadata!C414,5,1)="-",IFERROR(INT(MID(metadata!C414,6,1))&gt;=0,FALSE),IFERROR(INT(MID(metadata!C414,6,1))&lt;=1,FALSE),NOT(MID(metadata!C414,7,1)=""),IFERROR(INT(MID(metadata!C414,6,2))&gt;=1,FALSE),IFERROR(INT(MID(metadata!C414,6,2))&lt;=12,FALSE)), OR(MID(metadata!C414,8,1)="", AND(AND(MID(metadata!C414,8,1)="-",IFERROR(INT(MID(metadata!C414,9,1))&gt;=0,FALSE),IFERROR(INT(MID(metadata!C414,9,1))&lt;=3,FALSE),NOT(MID(metadata!C414,10,1)=""),IFERROR(INT(MID(metadata!C414,9,2))&gt;=1,FALSE),IFERROR(INT(MID(metadata!C414,9,2))&lt;=31,FALSE)), OR(MID(metadata!C414,11,1)="", AND(AND(MID(metadata!C414,11,1)=" ",IFERROR(INT(MID(metadata!C414,12,1))&gt;=0,FALSE),IFERROR(INT(MID(metadata!C414,12,1))&lt;=2,FALSE),NOT(MID(metadata!C414,13,1)=""),IFERROR(INT(MID(metadata!C414,12,2))&gt;=0,FALSE),IFERROR(INT(MID(metadata!C414,12,2))&lt;=23,FALSE)), OR(MID(metadata!C414,14,1)="", AND(AND(MID(metadata!C414,14,1)=":",IFERROR(INT(MID(metadata!C414,15,1))&gt;=0,FALSE),IFERROR(INT(MID(metadata!C414,15,1))&lt;=5,FALSE),NOT(MID(metadata!C414,16,1)=""),IFERROR(INT(MID(metadata!C414,15,2))&gt;=0,FALSE),IFERROR(INT(MID(metadata!C414,15,2))&lt;=59,FALSE)), OR(MID(metadata!C414,17,1)="", AND(AND(MID(metadata!C414,17,1)=":",IFERROR(INT(MID(metadata!C414,18,1))&gt;=0,FALSE),IFERROR(INT(MID(metadata!C414,18,1))&lt;=5,FALSE),NOT(MID(metadata!C414,19,1)=""),IFERROR(INT(MID(metadata!C414,18,2))&gt;=0,FALSE),IFERROR(INT(MID(metadata!C414,18,2))&lt;=59,FALSE)), LEN(metadata!C414)&lt;=19)))))))))))))</f>
        <v>0</v>
      </c>
      <c r="AO414" t="b">
        <f>AND(IF(metadata!D414="",FALSE,TRUE),EXACT(metadata!D414,"Not applicable"))</f>
        <v>0</v>
      </c>
      <c r="AP414" t="b">
        <f>IF(metadata!E414="",FALSE,TRUE)</f>
        <v>0</v>
      </c>
      <c r="AQ414" t="b">
        <f>OR(AND(IF(metadata!F414="",FALSE,TRUE),OR(EXACT(metadata!F414,"missing: not collected"),EXACT(metadata!F414,"missing: not provided"))),AND(IF(metadata!F414="",FALSE,TRUE),OR(EXACT(metadata!F414,"TRUE"),EXACT(metadata!F414,"FALSE"))))</f>
        <v>0</v>
      </c>
      <c r="AR414" t="b">
        <f>OR(AND(IF(metadata!G414="",FALSE,TRUE),OR(EXACT(metadata!G414,"missing: not collected"),EXACT(metadata!G414,"missing: not provided"),EXACT(metadata!G414,"missing: restricted access"))),AND(IF(metadata!G414="",FALSE,ISNUMBER(VALUE(metadata!G414))),metadata!G414&gt;=-413))</f>
        <v>0</v>
      </c>
      <c r="AS414" t="b">
        <f>AND(IF(metadata!H414="",FALSE,TRUE),EXACT(metadata!H414,"meters"))</f>
        <v>0</v>
      </c>
      <c r="AT414" t="b">
        <f>AND(IF(metadata!I414="",FALSE,TRUE),OR(EXACT(metadata!I414,"Host-associated"),EXACT(metadata!I414,"Free-living")))</f>
        <v>0</v>
      </c>
      <c r="AU414" t="b">
        <f>AND(IF(metadata!J414="",FALSE,TRUE),OR(EXACT(metadata!J414,"Animal"),EXACT(metadata!J414,"Fungus"),EXACT(metadata!J414,"Plant"),EXACT(metadata!J414,"Saline"),EXACT(metadata!J414,"Non-saline")))</f>
        <v>0</v>
      </c>
      <c r="AV414" t="b">
        <f>AND(IF(metadata!K414="",FALSE,TRUE),OR(EXACT(metadata!K414,"Plant secretion"),EXACT(metadata!K414,"Plant rhizosphere"),EXACT(metadata!K414,"Plant surface"),EXACT(metadata!K414,"Plant corpus"),EXACT(metadata!K414,"Fungus surface"),EXACT(metadata!K414,"Fungus corpus"),EXACT(metadata!K414,"Animal surface"),EXACT(metadata!K414,"Animal proximal gut"),EXACT(metadata!K414,"Animal corpus"),EXACT(metadata!K414,"Animal distal gut"),EXACT(metadata!K414,"Animal secretion"),EXACT(metadata!K414,"Sub-surface (non-saline)"),EXACT(metadata!K414,"Surface (non-saline)"),EXACT(metadata!K414,"Water (non-saline)"),EXACT(metadata!K414,"Soil (non-saline)"),EXACT(metadata!K414,"Aerosol (non-saline)"),EXACT(metadata!K414,"Sediment (non-saline)"),EXACT(metadata!K414,"Surface (saline)"),EXACT(metadata!K414,"Water (saline)"),EXACT(metadata!K414,"Hypersaline (saline)"),EXACT(metadata!K414,"Aerosol (saline)"),EXACT(metadata!K414,"Sediment (saline)")))</f>
        <v>0</v>
      </c>
      <c r="AW414" t="b">
        <f>IF(metadata!L414="",FALSE,TRUE)</f>
        <v>0</v>
      </c>
      <c r="AX414" t="b">
        <f>IF(metadata!M414="",FALSE,TRUE)</f>
        <v>0</v>
      </c>
      <c r="AY414" t="b">
        <f>IF(metadata!N414="",FALSE,TRUE)</f>
        <v>0</v>
      </c>
      <c r="AZ414" t="b">
        <f>OR(AND(IF(metadata!O414="",FALSE,TRUE),OR(EXACT(metadata!O414,"missing: not collected"),EXACT(metadata!O414,"missing: not provided"),EXACT(metadata!O414,"missing: restricted access"))),AND(IF(metadata!O414="",FALSE,TRUE),OR(EXACT(metadata!O414,"air"),EXACT(metadata!O414,"built environment"),EXACT(metadata!O414,"host-associated"),EXACT(metadata!O414,"human-associated"),EXACT(metadata!O414,"human-skin"),EXACT(metadata!O414,"human-oral"),EXACT(metadata!O414,"human-gut"),EXACT(metadata!O414,"human-vaginal"),EXACT(metadata!O414,"microbial mat/biofilm"),EXACT(metadata!O414,"misc environment"),EXACT(metadata!O414,"plant-associated"),EXACT(metadata!O414,"sediment"),EXACT(metadata!O414,"soil"),EXACT(metadata!O414,"wastewater/sludge"),EXACT(metadata!O414,"water"))))</f>
        <v>0</v>
      </c>
      <c r="BA414" t="b">
        <f>IF(metadata!P414="",FALSE,TRUE)</f>
        <v>0</v>
      </c>
      <c r="BB414" t="b">
        <f>IF(metadata!Q414="",FALSE,TRUE)</f>
        <v>0</v>
      </c>
      <c r="BC414" t="b">
        <f>OR(AND(IF(metadata!R414="",FALSE,TRUE),OR(EXACT(metadata!R414,"missing: not collected"),EXACT(metadata!R414,"missing: not provided"),EXACT(metadata!R414,"missing: restricted access"))),AND(IF(metadata!R414="",FALSE,ISNUMBER(VALUE(metadata!R414))),metadata!R414&gt;=-90,metadata!R414&lt;=90))</f>
        <v>0</v>
      </c>
      <c r="BD414" t="b">
        <f>AND(IF(metadata!S414="",FALSE,TRUE),EXACT(metadata!S414,"Decimal degrees"))</f>
        <v>0</v>
      </c>
      <c r="BE414" t="b">
        <f>OR(AND(IF(metadata!T414="",FALSE,TRUE),OR(EXACT(metadata!T414,"missing: not collected"),EXACT(metadata!T414,"missing: not provided"),EXACT(metadata!T414,"missing: restricted access"))),AND(IF(metadata!T414="",FALSE,ISNUMBER(VALUE(metadata!T414))),metadata!T414&gt;=-180,metadata!T414&lt;=180))</f>
        <v>0</v>
      </c>
      <c r="BF414" t="b">
        <f>AND(IF(metadata!U414="",FALSE,TRUE),EXACT(metadata!U414,"Decimal degrees"))</f>
        <v>0</v>
      </c>
      <c r="BG414" t="b">
        <f>IF(metadata!V414="",FALSE,TRUE)</f>
        <v>0</v>
      </c>
      <c r="BH414" t="b">
        <f>OR(AND(IF(metadata!W414="",FALSE,TRUE),OR(EXACT(metadata!W414,"missing: not collected"),EXACT(metadata!W414,"missing: not provided"),EXACT(metadata!W414,"missing: restricted access"))),AND(IF(metadata!W414="",FALSE,TRUE),OR(EXACT(metadata!W414,"TRUE"),EXACT(metadata!W414,"FALSE"))))</f>
        <v>0</v>
      </c>
      <c r="BI414" t="b">
        <f>AND(IF(metadata!X414="",FALSE,TRUE),EXACT(metadata!X414,"other"))</f>
        <v>0</v>
      </c>
      <c r="BJ414" t="b">
        <f>IF(metadata!Y414="",FALSE,TRUE)</f>
        <v>0</v>
      </c>
      <c r="BK414" t="b">
        <f>OR(AND(IF(metadata!Z414="",FALSE,TRUE),OR(EXACT(metadata!Z414,"missing: not collected"),EXACT(metadata!Z414,"missing: not provided"))),AND(IF(metadata!Z414="",FALSE,IF(ISERROR(INT(metadata!Z414)),FALSE,INT(metadata!Z414)=metadata!Z414)),metadata!Z414&gt;0))</f>
        <v>0</v>
      </c>
      <c r="BL414" t="b">
        <f>AND(IF(metadata!AA414="",FALSE,TRUE),EXACT(metadata!AA414,"Not applicable"))</f>
        <v>0</v>
      </c>
      <c r="BM414" t="b">
        <f>IF(metadata!AB414="",FALSE,TRUE)</f>
        <v>0</v>
      </c>
    </row>
    <row r="415" spans="1:65" x14ac:dyDescent="0.2">
      <c r="A415" s="5" t="str">
        <f ca="1">IF(B415=" "," ",HYPERLINK(CONCATENATE("#metadata!",ADDRESS(INDEX($AH$2:$AH$1001,MATCH(ROWS($AF$2:AF415),$AF$2:$AF$1001,0),0),1)),INDEX($AK$2:$AK$1001,MATCH(ROWS($AF$2:AF415),$AF$2:$AF$1001,0),0)))</f>
        <v xml:space="preserve"> </v>
      </c>
      <c r="B415" s="4" t="str">
        <f ca="1">IF(OR(INDEX($AG$2:$AG$1001,MATCH(ROWS($AF$2:AF415),$AF$2:$AF$1001,0),1)&gt;=100000,INDEX($AM$1005:$BM$1005,1,MATCH(COLUMNS($AM$1006:AM1006),$AM$1006:$BM$1006,0))&gt;=100000), " ",IF(INDEX($AM$2:$BM$1001,MATCH(ROWS($AF$2:AF415),$AF$2:$AF$1001,0),MATCH(COLUMNS($AM$1006:AM1006),$AM$1006:$BM$1006,0)), HYPERLINK("#",""), HYPERLINK(CONCATENATE("#metadata!", ADDRESS(INDEX($AH$2:$AH$1001,MATCH(ROWS($AF$2:AF415),$AF$2:$AF$1001,0),0), INDEX($AM$1004:$BM$1004,1,MATCH(COLUMNS($AM$1006:AM1006),$AM$1006:$BM$1006,0)))),"Fix")))</f>
        <v xml:space="preserve"> </v>
      </c>
      <c r="C415" s="4" t="str">
        <f ca="1">IF(OR(INDEX($AG$2:$AG$1001,MATCH(ROWS($AF$2:AF415),$AF$2:$AF$1001,0),1)&gt;=100000,INDEX($AM$1005:$BM$1005,1,MATCH(COLUMNS($AM$1006:AN1006),$AM$1006:$BM$1006,0))&gt;=100000), " ",IF(INDEX($AM$2:$BM$1001,MATCH(ROWS($AF$2:AF415),$AF$2:$AF$1001,0),MATCH(COLUMNS($AM$1006:AN1006),$AM$1006:$BM$1006,0)), HYPERLINK("#",""), HYPERLINK(CONCATENATE("#metadata!", ADDRESS(INDEX($AH$2:$AH$1001,MATCH(ROWS($AF$2:AF415),$AF$2:$AF$1001,0),0), INDEX($AM$1004:$BM$1004,1,MATCH(COLUMNS($AM$1006:AN1006),$AM$1006:$BM$1006,0)))),"Fix")))</f>
        <v xml:space="preserve"> </v>
      </c>
      <c r="D415" s="4" t="str">
        <f ca="1">IF(OR(INDEX($AG$2:$AG$1001,MATCH(ROWS($AF$2:AF415),$AF$2:$AF$1001,0),1)&gt;=100000,INDEX($AM$1005:$BM$1005,1,MATCH(COLUMNS($AM$1006:AO1006),$AM$1006:$BM$1006,0))&gt;=100000), " ",IF(INDEX($AM$2:$BM$1001,MATCH(ROWS($AF$2:AF415),$AF$2:$AF$1001,0),MATCH(COLUMNS($AM$1006:AO1006),$AM$1006:$BM$1006,0)), HYPERLINK("#",""), HYPERLINK(CONCATENATE("#metadata!", ADDRESS(INDEX($AH$2:$AH$1001,MATCH(ROWS($AF$2:AF415),$AF$2:$AF$1001,0),0), INDEX($AM$1004:$BM$1004,1,MATCH(COLUMNS($AM$1006:AO1006),$AM$1006:$BM$1006,0)))),"Fix")))</f>
        <v xml:space="preserve"> </v>
      </c>
      <c r="E415" s="4" t="str">
        <f ca="1">IF(OR(INDEX($AG$2:$AG$1001,MATCH(ROWS($AF$2:AF415),$AF$2:$AF$1001,0),1)&gt;=100000,INDEX($AM$1005:$BM$1005,1,MATCH(COLUMNS($AM$1006:AP1006),$AM$1006:$BM$1006,0))&gt;=100000), " ",IF(INDEX($AM$2:$BM$1001,MATCH(ROWS($AF$2:AF415),$AF$2:$AF$1001,0),MATCH(COLUMNS($AM$1006:AP1006),$AM$1006:$BM$1006,0)), HYPERLINK("#",""), HYPERLINK(CONCATENATE("#metadata!", ADDRESS(INDEX($AH$2:$AH$1001,MATCH(ROWS($AF$2:AF415),$AF$2:$AF$1001,0),0), INDEX($AM$1004:$BM$1004,1,MATCH(COLUMNS($AM$1006:AP1006),$AM$1006:$BM$1006,0)))),"Fix")))</f>
        <v xml:space="preserve"> </v>
      </c>
      <c r="F415" s="4" t="str">
        <f ca="1">IF(OR(INDEX($AG$2:$AG$1001,MATCH(ROWS($AF$2:AF415),$AF$2:$AF$1001,0),1)&gt;=100000,INDEX($AM$1005:$BM$1005,1,MATCH(COLUMNS($AM$1006:AQ1006),$AM$1006:$BM$1006,0))&gt;=100000), " ",IF(INDEX($AM$2:$BM$1001,MATCH(ROWS($AF$2:AF415),$AF$2:$AF$1001,0),MATCH(COLUMNS($AM$1006:AQ1006),$AM$1006:$BM$1006,0)), HYPERLINK("#",""), HYPERLINK(CONCATENATE("#metadata!", ADDRESS(INDEX($AH$2:$AH$1001,MATCH(ROWS($AF$2:AF415),$AF$2:$AF$1001,0),0), INDEX($AM$1004:$BM$1004,1,MATCH(COLUMNS($AM$1006:AQ1006),$AM$1006:$BM$1006,0)))),"Fix")))</f>
        <v xml:space="preserve"> </v>
      </c>
      <c r="G415" s="4" t="str">
        <f ca="1">IF(OR(INDEX($AG$2:$AG$1001,MATCH(ROWS($AF$2:AF415),$AF$2:$AF$1001,0),1)&gt;=100000,INDEX($AM$1005:$BM$1005,1,MATCH(COLUMNS($AM$1006:AR1006),$AM$1006:$BM$1006,0))&gt;=100000), " ",IF(INDEX($AM$2:$BM$1001,MATCH(ROWS($AF$2:AF415),$AF$2:$AF$1001,0),MATCH(COLUMNS($AM$1006:AR1006),$AM$1006:$BM$1006,0)), HYPERLINK("#",""), HYPERLINK(CONCATENATE("#metadata!", ADDRESS(INDEX($AH$2:$AH$1001,MATCH(ROWS($AF$2:AF415),$AF$2:$AF$1001,0),0), INDEX($AM$1004:$BM$1004,1,MATCH(COLUMNS($AM$1006:AR1006),$AM$1006:$BM$1006,0)))),"Fix")))</f>
        <v xml:space="preserve"> </v>
      </c>
      <c r="H415" s="4" t="str">
        <f ca="1">IF(OR(INDEX($AG$2:$AG$1001,MATCH(ROWS($AF$2:AF415),$AF$2:$AF$1001,0),1)&gt;=100000,INDEX($AM$1005:$BM$1005,1,MATCH(COLUMNS($AM$1006:AS1006),$AM$1006:$BM$1006,0))&gt;=100000), " ",IF(INDEX($AM$2:$BM$1001,MATCH(ROWS($AF$2:AF415),$AF$2:$AF$1001,0),MATCH(COLUMNS($AM$1006:AS1006),$AM$1006:$BM$1006,0)), HYPERLINK("#",""), HYPERLINK(CONCATENATE("#metadata!", ADDRESS(INDEX($AH$2:$AH$1001,MATCH(ROWS($AF$2:AF415),$AF$2:$AF$1001,0),0), INDEX($AM$1004:$BM$1004,1,MATCH(COLUMNS($AM$1006:AS1006),$AM$1006:$BM$1006,0)))),"Fix")))</f>
        <v xml:space="preserve"> </v>
      </c>
      <c r="I415" s="4" t="str">
        <f ca="1">IF(OR(INDEX($AG$2:$AG$1001,MATCH(ROWS($AF$2:AF415),$AF$2:$AF$1001,0),1)&gt;=100000,INDEX($AM$1005:$BM$1005,1,MATCH(COLUMNS($AM$1006:AT1006),$AM$1006:$BM$1006,0))&gt;=100000), " ",IF(INDEX($AM$2:$BM$1001,MATCH(ROWS($AF$2:AF415),$AF$2:$AF$1001,0),MATCH(COLUMNS($AM$1006:AT1006),$AM$1006:$BM$1006,0)), HYPERLINK("#",""), HYPERLINK(CONCATENATE("#metadata!", ADDRESS(INDEX($AH$2:$AH$1001,MATCH(ROWS($AF$2:AF415),$AF$2:$AF$1001,0),0), INDEX($AM$1004:$BM$1004,1,MATCH(COLUMNS($AM$1006:AT1006),$AM$1006:$BM$1006,0)))),"Fix")))</f>
        <v xml:space="preserve"> </v>
      </c>
      <c r="J415" s="4" t="str">
        <f ca="1">IF(OR(INDEX($AG$2:$AG$1001,MATCH(ROWS($AF$2:AF415),$AF$2:$AF$1001,0),1)&gt;=100000,INDEX($AM$1005:$BM$1005,1,MATCH(COLUMNS($AM$1006:AU1006),$AM$1006:$BM$1006,0))&gt;=100000), " ",IF(INDEX($AM$2:$BM$1001,MATCH(ROWS($AF$2:AF415),$AF$2:$AF$1001,0),MATCH(COLUMNS($AM$1006:AU1006),$AM$1006:$BM$1006,0)), HYPERLINK("#",""), HYPERLINK(CONCATENATE("#metadata!", ADDRESS(INDEX($AH$2:$AH$1001,MATCH(ROWS($AF$2:AF415),$AF$2:$AF$1001,0),0), INDEX($AM$1004:$BM$1004,1,MATCH(COLUMNS($AM$1006:AU1006),$AM$1006:$BM$1006,0)))),"Fix")))</f>
        <v xml:space="preserve"> </v>
      </c>
      <c r="K415" s="4" t="str">
        <f ca="1">IF(OR(INDEX($AG$2:$AG$1001,MATCH(ROWS($AF$2:AF415),$AF$2:$AF$1001,0),1)&gt;=100000,INDEX($AM$1005:$BM$1005,1,MATCH(COLUMNS($AM$1006:AV1006),$AM$1006:$BM$1006,0))&gt;=100000), " ",IF(INDEX($AM$2:$BM$1001,MATCH(ROWS($AF$2:AF415),$AF$2:$AF$1001,0),MATCH(COLUMNS($AM$1006:AV1006),$AM$1006:$BM$1006,0)), HYPERLINK("#",""), HYPERLINK(CONCATENATE("#metadata!", ADDRESS(INDEX($AH$2:$AH$1001,MATCH(ROWS($AF$2:AF415),$AF$2:$AF$1001,0),0), INDEX($AM$1004:$BM$1004,1,MATCH(COLUMNS($AM$1006:AV1006),$AM$1006:$BM$1006,0)))),"Fix")))</f>
        <v xml:space="preserve"> </v>
      </c>
      <c r="L415" s="4" t="str">
        <f ca="1">IF(OR(INDEX($AG$2:$AG$1001,MATCH(ROWS($AF$2:AF415),$AF$2:$AF$1001,0),1)&gt;=100000,INDEX($AM$1005:$BM$1005,1,MATCH(COLUMNS($AM$1006:AW1006),$AM$1006:$BM$1006,0))&gt;=100000), " ",IF(INDEX($AM$2:$BM$1001,MATCH(ROWS($AF$2:AF415),$AF$2:$AF$1001,0),MATCH(COLUMNS($AM$1006:AW1006),$AM$1006:$BM$1006,0)), HYPERLINK("#",""), HYPERLINK(CONCATENATE("#metadata!", ADDRESS(INDEX($AH$2:$AH$1001,MATCH(ROWS($AF$2:AF415),$AF$2:$AF$1001,0),0), INDEX($AM$1004:$BM$1004,1,MATCH(COLUMNS($AM$1006:AW1006),$AM$1006:$BM$1006,0)))),"Fix")))</f>
        <v xml:space="preserve"> </v>
      </c>
      <c r="M415" s="4" t="str">
        <f ca="1">IF(OR(INDEX($AG$2:$AG$1001,MATCH(ROWS($AF$2:AF415),$AF$2:$AF$1001,0),1)&gt;=100000,INDEX($AM$1005:$BM$1005,1,MATCH(COLUMNS($AM$1006:AX1006),$AM$1006:$BM$1006,0))&gt;=100000), " ",IF(INDEX($AM$2:$BM$1001,MATCH(ROWS($AF$2:AF415),$AF$2:$AF$1001,0),MATCH(COLUMNS($AM$1006:AX1006),$AM$1006:$BM$1006,0)), HYPERLINK("#",""), HYPERLINK(CONCATENATE("#metadata!", ADDRESS(INDEX($AH$2:$AH$1001,MATCH(ROWS($AF$2:AF415),$AF$2:$AF$1001,0),0), INDEX($AM$1004:$BM$1004,1,MATCH(COLUMNS($AM$1006:AX1006),$AM$1006:$BM$1006,0)))),"Fix")))</f>
        <v xml:space="preserve"> </v>
      </c>
      <c r="N415" s="4" t="str">
        <f ca="1">IF(OR(INDEX($AG$2:$AG$1001,MATCH(ROWS($AF$2:AF415),$AF$2:$AF$1001,0),1)&gt;=100000,INDEX($AM$1005:$BM$1005,1,MATCH(COLUMNS($AM$1006:AY1006),$AM$1006:$BM$1006,0))&gt;=100000), " ",IF(INDEX($AM$2:$BM$1001,MATCH(ROWS($AF$2:AF415),$AF$2:$AF$1001,0),MATCH(COLUMNS($AM$1006:AY1006),$AM$1006:$BM$1006,0)), HYPERLINK("#",""), HYPERLINK(CONCATENATE("#metadata!", ADDRESS(INDEX($AH$2:$AH$1001,MATCH(ROWS($AF$2:AF415),$AF$2:$AF$1001,0),0), INDEX($AM$1004:$BM$1004,1,MATCH(COLUMNS($AM$1006:AY1006),$AM$1006:$BM$1006,0)))),"Fix")))</f>
        <v xml:space="preserve"> </v>
      </c>
      <c r="O415" s="4" t="str">
        <f ca="1">IF(OR(INDEX($AG$2:$AG$1001,MATCH(ROWS($AF$2:AF415),$AF$2:$AF$1001,0),1)&gt;=100000,INDEX($AM$1005:$BM$1005,1,MATCH(COLUMNS($AM$1006:AZ1006),$AM$1006:$BM$1006,0))&gt;=100000), " ",IF(INDEX($AM$2:$BM$1001,MATCH(ROWS($AF$2:AF415),$AF$2:$AF$1001,0),MATCH(COLUMNS($AM$1006:AZ1006),$AM$1006:$BM$1006,0)), HYPERLINK("#",""), HYPERLINK(CONCATENATE("#metadata!", ADDRESS(INDEX($AH$2:$AH$1001,MATCH(ROWS($AF$2:AF415),$AF$2:$AF$1001,0),0), INDEX($AM$1004:$BM$1004,1,MATCH(COLUMNS($AM$1006:AZ1006),$AM$1006:$BM$1006,0)))),"Fix")))</f>
        <v xml:space="preserve"> </v>
      </c>
      <c r="P415" s="4" t="str">
        <f ca="1">IF(OR(INDEX($AG$2:$AG$1001,MATCH(ROWS($AF$2:AF415),$AF$2:$AF$1001,0),1)&gt;=100000,INDEX($AM$1005:$BM$1005,1,MATCH(COLUMNS($AM$1006:BA1006),$AM$1006:$BM$1006,0))&gt;=100000), " ",IF(INDEX($AM$2:$BM$1001,MATCH(ROWS($AF$2:AF415),$AF$2:$AF$1001,0),MATCH(COLUMNS($AM$1006:BA1006),$AM$1006:$BM$1006,0)), HYPERLINK("#",""), HYPERLINK(CONCATENATE("#metadata!", ADDRESS(INDEX($AH$2:$AH$1001,MATCH(ROWS($AF$2:AF415),$AF$2:$AF$1001,0),0), INDEX($AM$1004:$BM$1004,1,MATCH(COLUMNS($AM$1006:BA1006),$AM$1006:$BM$1006,0)))),"Fix")))</f>
        <v xml:space="preserve"> </v>
      </c>
      <c r="Q415" s="4" t="str">
        <f ca="1">IF(OR(INDEX($AG$2:$AG$1001,MATCH(ROWS($AF$2:AF415),$AF$2:$AF$1001,0),1)&gt;=100000,INDEX($AM$1005:$BM$1005,1,MATCH(COLUMNS($AM$1006:BB1006),$AM$1006:$BM$1006,0))&gt;=100000), " ",IF(INDEX($AM$2:$BM$1001,MATCH(ROWS($AF$2:AF415),$AF$2:$AF$1001,0),MATCH(COLUMNS($AM$1006:BB1006),$AM$1006:$BM$1006,0)), HYPERLINK("#",""), HYPERLINK(CONCATENATE("#metadata!", ADDRESS(INDEX($AH$2:$AH$1001,MATCH(ROWS($AF$2:AF415),$AF$2:$AF$1001,0),0), INDEX($AM$1004:$BM$1004,1,MATCH(COLUMNS($AM$1006:BB1006),$AM$1006:$BM$1006,0)))),"Fix")))</f>
        <v xml:space="preserve"> </v>
      </c>
      <c r="R415" s="4" t="str">
        <f ca="1">IF(OR(INDEX($AG$2:$AG$1001,MATCH(ROWS($AF$2:AF415),$AF$2:$AF$1001,0),1)&gt;=100000,INDEX($AM$1005:$BM$1005,1,MATCH(COLUMNS($AM$1006:BC1006),$AM$1006:$BM$1006,0))&gt;=100000), " ",IF(INDEX($AM$2:$BM$1001,MATCH(ROWS($AF$2:AF415),$AF$2:$AF$1001,0),MATCH(COLUMNS($AM$1006:BC1006),$AM$1006:$BM$1006,0)), HYPERLINK("#",""), HYPERLINK(CONCATENATE("#metadata!", ADDRESS(INDEX($AH$2:$AH$1001,MATCH(ROWS($AF$2:AF415),$AF$2:$AF$1001,0),0), INDEX($AM$1004:$BM$1004,1,MATCH(COLUMNS($AM$1006:BC1006),$AM$1006:$BM$1006,0)))),"Fix")))</f>
        <v xml:space="preserve"> </v>
      </c>
      <c r="S415" s="4" t="str">
        <f ca="1">IF(OR(INDEX($AG$2:$AG$1001,MATCH(ROWS($AF$2:AF415),$AF$2:$AF$1001,0),1)&gt;=100000,INDEX($AM$1005:$BM$1005,1,MATCH(COLUMNS($AM$1006:BD1006),$AM$1006:$BM$1006,0))&gt;=100000), " ",IF(INDEX($AM$2:$BM$1001,MATCH(ROWS($AF$2:AF415),$AF$2:$AF$1001,0),MATCH(COLUMNS($AM$1006:BD1006),$AM$1006:$BM$1006,0)), HYPERLINK("#",""), HYPERLINK(CONCATENATE("#metadata!", ADDRESS(INDEX($AH$2:$AH$1001,MATCH(ROWS($AF$2:AF415),$AF$2:$AF$1001,0),0), INDEX($AM$1004:$BM$1004,1,MATCH(COLUMNS($AM$1006:BD1006),$AM$1006:$BM$1006,0)))),"Fix")))</f>
        <v xml:space="preserve"> </v>
      </c>
      <c r="T415" s="4" t="str">
        <f ca="1">IF(OR(INDEX($AG$2:$AG$1001,MATCH(ROWS($AF$2:AF415),$AF$2:$AF$1001,0),1)&gt;=100000,INDEX($AM$1005:$BM$1005,1,MATCH(COLUMNS($AM$1006:BE1006),$AM$1006:$BM$1006,0))&gt;=100000), " ",IF(INDEX($AM$2:$BM$1001,MATCH(ROWS($AF$2:AF415),$AF$2:$AF$1001,0),MATCH(COLUMNS($AM$1006:BE1006),$AM$1006:$BM$1006,0)), HYPERLINK("#",""), HYPERLINK(CONCATENATE("#metadata!", ADDRESS(INDEX($AH$2:$AH$1001,MATCH(ROWS($AF$2:AF415),$AF$2:$AF$1001,0),0), INDEX($AM$1004:$BM$1004,1,MATCH(COLUMNS($AM$1006:BE1006),$AM$1006:$BM$1006,0)))),"Fix")))</f>
        <v xml:space="preserve"> </v>
      </c>
      <c r="U415" s="4" t="str">
        <f ca="1">IF(OR(INDEX($AG$2:$AG$1001,MATCH(ROWS($AF$2:AF415),$AF$2:$AF$1001,0),1)&gt;=100000,INDEX($AM$1005:$BM$1005,1,MATCH(COLUMNS($AM$1006:BF1006),$AM$1006:$BM$1006,0))&gt;=100000), " ",IF(INDEX($AM$2:$BM$1001,MATCH(ROWS($AF$2:AF415),$AF$2:$AF$1001,0),MATCH(COLUMNS($AM$1006:BF1006),$AM$1006:$BM$1006,0)), HYPERLINK("#",""), HYPERLINK(CONCATENATE("#metadata!", ADDRESS(INDEX($AH$2:$AH$1001,MATCH(ROWS($AF$2:AF415),$AF$2:$AF$1001,0),0), INDEX($AM$1004:$BM$1004,1,MATCH(COLUMNS($AM$1006:BF1006),$AM$1006:$BM$1006,0)))),"Fix")))</f>
        <v xml:space="preserve"> </v>
      </c>
      <c r="V415" s="4" t="str">
        <f ca="1">IF(OR(INDEX($AG$2:$AG$1001,MATCH(ROWS($AF$2:AF415),$AF$2:$AF$1001,0),1)&gt;=100000,INDEX($AM$1005:$BM$1005,1,MATCH(COLUMNS($AM$1006:BG1006),$AM$1006:$BM$1006,0))&gt;=100000), " ",IF(INDEX($AM$2:$BM$1001,MATCH(ROWS($AF$2:AF415),$AF$2:$AF$1001,0),MATCH(COLUMNS($AM$1006:BG1006),$AM$1006:$BM$1006,0)), HYPERLINK("#",""), HYPERLINK(CONCATENATE("#metadata!", ADDRESS(INDEX($AH$2:$AH$1001,MATCH(ROWS($AF$2:AF415),$AF$2:$AF$1001,0),0), INDEX($AM$1004:$BM$1004,1,MATCH(COLUMNS($AM$1006:BG1006),$AM$1006:$BM$1006,0)))),"Fix")))</f>
        <v xml:space="preserve"> </v>
      </c>
      <c r="W415" s="4" t="str">
        <f ca="1">IF(OR(INDEX($AG$2:$AG$1001,MATCH(ROWS($AF$2:AF415),$AF$2:$AF$1001,0),1)&gt;=100000,INDEX($AM$1005:$BM$1005,1,MATCH(COLUMNS($AM$1006:BH1006),$AM$1006:$BM$1006,0))&gt;=100000), " ",IF(INDEX($AM$2:$BM$1001,MATCH(ROWS($AF$2:AF415),$AF$2:$AF$1001,0),MATCH(COLUMNS($AM$1006:BH1006),$AM$1006:$BM$1006,0)), HYPERLINK("#",""), HYPERLINK(CONCATENATE("#metadata!", ADDRESS(INDEX($AH$2:$AH$1001,MATCH(ROWS($AF$2:AF415),$AF$2:$AF$1001,0),0), INDEX($AM$1004:$BM$1004,1,MATCH(COLUMNS($AM$1006:BH1006),$AM$1006:$BM$1006,0)))),"Fix")))</f>
        <v xml:space="preserve"> </v>
      </c>
      <c r="X415" s="4" t="str">
        <f ca="1">IF(OR(INDEX($AG$2:$AG$1001,MATCH(ROWS($AF$2:AF415),$AF$2:$AF$1001,0),1)&gt;=100000,INDEX($AM$1005:$BM$1005,1,MATCH(COLUMNS($AM$1006:BI1006),$AM$1006:$BM$1006,0))&gt;=100000), " ",IF(INDEX($AM$2:$BM$1001,MATCH(ROWS($AF$2:AF415),$AF$2:$AF$1001,0),MATCH(COLUMNS($AM$1006:BI1006),$AM$1006:$BM$1006,0)), HYPERLINK("#",""), HYPERLINK(CONCATENATE("#metadata!", ADDRESS(INDEX($AH$2:$AH$1001,MATCH(ROWS($AF$2:AF415),$AF$2:$AF$1001,0),0), INDEX($AM$1004:$BM$1004,1,MATCH(COLUMNS($AM$1006:BI1006),$AM$1006:$BM$1006,0)))),"Fix")))</f>
        <v xml:space="preserve"> </v>
      </c>
      <c r="Y415" s="4" t="str">
        <f ca="1">IF(OR(INDEX($AG$2:$AG$1001,MATCH(ROWS($AF$2:AF415),$AF$2:$AF$1001,0),1)&gt;=100000,INDEX($AM$1005:$BM$1005,1,MATCH(COLUMNS($AM$1006:BJ1006),$AM$1006:$BM$1006,0))&gt;=100000), " ",IF(INDEX($AM$2:$BM$1001,MATCH(ROWS($AF$2:AF415),$AF$2:$AF$1001,0),MATCH(COLUMNS($AM$1006:BJ1006),$AM$1006:$BM$1006,0)), HYPERLINK("#",""), HYPERLINK(CONCATENATE("#metadata!", ADDRESS(INDEX($AH$2:$AH$1001,MATCH(ROWS($AF$2:AF415),$AF$2:$AF$1001,0),0), INDEX($AM$1004:$BM$1004,1,MATCH(COLUMNS($AM$1006:BJ1006),$AM$1006:$BM$1006,0)))),"Fix")))</f>
        <v xml:space="preserve"> </v>
      </c>
      <c r="Z415" s="4" t="str">
        <f ca="1">IF(OR(INDEX($AG$2:$AG$1001,MATCH(ROWS($AF$2:AF415),$AF$2:$AF$1001,0),1)&gt;=100000,INDEX($AM$1005:$BM$1005,1,MATCH(COLUMNS($AM$1006:BK1006),$AM$1006:$BM$1006,0))&gt;=100000), " ",IF(INDEX($AM$2:$BM$1001,MATCH(ROWS($AF$2:AF415),$AF$2:$AF$1001,0),MATCH(COLUMNS($AM$1006:BK1006),$AM$1006:$BM$1006,0)), HYPERLINK("#",""), HYPERLINK(CONCATENATE("#metadata!", ADDRESS(INDEX($AH$2:$AH$1001,MATCH(ROWS($AF$2:AF415),$AF$2:$AF$1001,0),0), INDEX($AM$1004:$BM$1004,1,MATCH(COLUMNS($AM$1006:BK1006),$AM$1006:$BM$1006,0)))),"Fix")))</f>
        <v xml:space="preserve"> </v>
      </c>
      <c r="AA415" s="4" t="str">
        <f ca="1">IF(OR(INDEX($AG$2:$AG$1001,MATCH(ROWS($AF$2:AF415),$AF$2:$AF$1001,0),1)&gt;=100000,INDEX($AM$1005:$BM$1005,1,MATCH(COLUMNS($AM$1006:BL1006),$AM$1006:$BM$1006,0))&gt;=100000), " ",IF(INDEX($AM$2:$BM$1001,MATCH(ROWS($AF$2:AF415),$AF$2:$AF$1001,0),MATCH(COLUMNS($AM$1006:BL1006),$AM$1006:$BM$1006,0)), HYPERLINK("#",""), HYPERLINK(CONCATENATE("#metadata!", ADDRESS(INDEX($AH$2:$AH$1001,MATCH(ROWS($AF$2:AF415),$AF$2:$AF$1001,0),0), INDEX($AM$1004:$BM$1004,1,MATCH(COLUMNS($AM$1006:BL1006),$AM$1006:$BM$1006,0)))),"Fix")))</f>
        <v xml:space="preserve"> </v>
      </c>
      <c r="AB415" s="4" t="str">
        <f ca="1">IF(OR(INDEX($AG$2:$AG$1001,MATCH(ROWS($AF$2:AF415),$AF$2:$AF$1001,0),1)&gt;=100000,INDEX($AM$1005:$BM$1005,1,MATCH(COLUMNS($AM$1006:BM1006),$AM$1006:$BM$1006,0))&gt;=100000), " ",IF(INDEX($AM$2:$BM$1001,MATCH(ROWS($AF$2:AF415),$AF$2:$AF$1001,0),MATCH(COLUMNS($AM$1006:BM1006),$AM$1006:$BM$1006,0)), HYPERLINK("#",""), HYPERLINK(CONCATENATE("#metadata!", ADDRESS(INDEX($AH$2:$AH$1001,MATCH(ROWS($AF$2:AF415),$AF$2:$AF$1001,0),0), INDEX($AM$1004:$BM$1004,1,MATCH(COLUMNS($AM$1006:BM1006),$AM$1006:$BM$1006,0)))),"Fix")))</f>
        <v xml:space="preserve"> </v>
      </c>
      <c r="AF415">
        <v>414</v>
      </c>
      <c r="AG415">
        <v>100415</v>
      </c>
      <c r="AH415">
        <v>415</v>
      </c>
      <c r="AI415" t="b">
        <f t="shared" si="6"/>
        <v>1</v>
      </c>
      <c r="AJ415" t="b">
        <f>COUNTBLANK(metadata!B415:AB415)=COLUMNS(metadata!B415:AB415)</f>
        <v>1</v>
      </c>
      <c r="AK415" t="str">
        <v/>
      </c>
      <c r="AM415" t="b">
        <f ca="1">AND(IF(metadata!B415="",FALSE,TRUE),COUNTIF(metadata!B:B, metadata!B415) = 1,NOT(ISERROR(SUMPRODUCT(SEARCH(MID(metadata!B415,ROW(INDIRECT("1:"&amp;LEN(metadata!B415))), 1),"0123456789abcdefghijklmnopqrstuvwxyzABCDEFGHIJKLMNOPQRSTUVWXYZ.")))))</f>
        <v>0</v>
      </c>
      <c r="AN415" t="b">
        <f ca="1">OR(AND(IF(metadata!C415="",FALSE,TRUE),OR(EXACT(metadata!C415,"missing: not collected"),EXACT(metadata!C415,"missing: not provided"),EXACT(metadata!C415,"missing: restricted access"))),AND(IF(metadata!C415="",FALSE,TRUE),AND(AND(IFERROR(INT(LEFT(metadata!C415,4))&gt;1900,FALSE),IFERROR(INT(LEFT(metadata!C415,4))&lt;=YEAR(NOW()),FALSE)), OR(MID(metadata!C415,5,1)="", AND(AND(MID(metadata!C415,5,1)="-",IFERROR(INT(MID(metadata!C415,6,1))&gt;=0,FALSE),IFERROR(INT(MID(metadata!C415,6,1))&lt;=1,FALSE),NOT(MID(metadata!C415,7,1)=""),IFERROR(INT(MID(metadata!C415,6,2))&gt;=1,FALSE),IFERROR(INT(MID(metadata!C415,6,2))&lt;=12,FALSE)), OR(MID(metadata!C415,8,1)="", AND(AND(MID(metadata!C415,8,1)="-",IFERROR(INT(MID(metadata!C415,9,1))&gt;=0,FALSE),IFERROR(INT(MID(metadata!C415,9,1))&lt;=3,FALSE),NOT(MID(metadata!C415,10,1)=""),IFERROR(INT(MID(metadata!C415,9,2))&gt;=1,FALSE),IFERROR(INT(MID(metadata!C415,9,2))&lt;=31,FALSE)), OR(MID(metadata!C415,11,1)="", AND(AND(MID(metadata!C415,11,1)=" ",IFERROR(INT(MID(metadata!C415,12,1))&gt;=0,FALSE),IFERROR(INT(MID(metadata!C415,12,1))&lt;=2,FALSE),NOT(MID(metadata!C415,13,1)=""),IFERROR(INT(MID(metadata!C415,12,2))&gt;=0,FALSE),IFERROR(INT(MID(metadata!C415,12,2))&lt;=23,FALSE)), OR(MID(metadata!C415,14,1)="", AND(AND(MID(metadata!C415,14,1)=":",IFERROR(INT(MID(metadata!C415,15,1))&gt;=0,FALSE),IFERROR(INT(MID(metadata!C415,15,1))&lt;=5,FALSE),NOT(MID(metadata!C415,16,1)=""),IFERROR(INT(MID(metadata!C415,15,2))&gt;=0,FALSE),IFERROR(INT(MID(metadata!C415,15,2))&lt;=59,FALSE)), OR(MID(metadata!C415,17,1)="", AND(AND(MID(metadata!C415,17,1)=":",IFERROR(INT(MID(metadata!C415,18,1))&gt;=0,FALSE),IFERROR(INT(MID(metadata!C415,18,1))&lt;=5,FALSE),NOT(MID(metadata!C415,19,1)=""),IFERROR(INT(MID(metadata!C415,18,2))&gt;=0,FALSE),IFERROR(INT(MID(metadata!C415,18,2))&lt;=59,FALSE)), LEN(metadata!C415)&lt;=19)))))))))))))</f>
        <v>0</v>
      </c>
      <c r="AO415" t="b">
        <f>AND(IF(metadata!D415="",FALSE,TRUE),EXACT(metadata!D415,"Not applicable"))</f>
        <v>0</v>
      </c>
      <c r="AP415" t="b">
        <f>IF(metadata!E415="",FALSE,TRUE)</f>
        <v>0</v>
      </c>
      <c r="AQ415" t="b">
        <f>OR(AND(IF(metadata!F415="",FALSE,TRUE),OR(EXACT(metadata!F415,"missing: not collected"),EXACT(metadata!F415,"missing: not provided"))),AND(IF(metadata!F415="",FALSE,TRUE),OR(EXACT(metadata!F415,"TRUE"),EXACT(metadata!F415,"FALSE"))))</f>
        <v>0</v>
      </c>
      <c r="AR415" t="b">
        <f>OR(AND(IF(metadata!G415="",FALSE,TRUE),OR(EXACT(metadata!G415,"missing: not collected"),EXACT(metadata!G415,"missing: not provided"),EXACT(metadata!G415,"missing: restricted access"))),AND(IF(metadata!G415="",FALSE,ISNUMBER(VALUE(metadata!G415))),metadata!G415&gt;=-413))</f>
        <v>0</v>
      </c>
      <c r="AS415" t="b">
        <f>AND(IF(metadata!H415="",FALSE,TRUE),EXACT(metadata!H415,"meters"))</f>
        <v>0</v>
      </c>
      <c r="AT415" t="b">
        <f>AND(IF(metadata!I415="",FALSE,TRUE),OR(EXACT(metadata!I415,"Host-associated"),EXACT(metadata!I415,"Free-living")))</f>
        <v>0</v>
      </c>
      <c r="AU415" t="b">
        <f>AND(IF(metadata!J415="",FALSE,TRUE),OR(EXACT(metadata!J415,"Animal"),EXACT(metadata!J415,"Fungus"),EXACT(metadata!J415,"Plant"),EXACT(metadata!J415,"Saline"),EXACT(metadata!J415,"Non-saline")))</f>
        <v>0</v>
      </c>
      <c r="AV415" t="b">
        <f>AND(IF(metadata!K415="",FALSE,TRUE),OR(EXACT(metadata!K415,"Plant secretion"),EXACT(metadata!K415,"Plant rhizosphere"),EXACT(metadata!K415,"Plant surface"),EXACT(metadata!K415,"Plant corpus"),EXACT(metadata!K415,"Fungus surface"),EXACT(metadata!K415,"Fungus corpus"),EXACT(metadata!K415,"Animal surface"),EXACT(metadata!K415,"Animal proximal gut"),EXACT(metadata!K415,"Animal corpus"),EXACT(metadata!K415,"Animal distal gut"),EXACT(metadata!K415,"Animal secretion"),EXACT(metadata!K415,"Sub-surface (non-saline)"),EXACT(metadata!K415,"Surface (non-saline)"),EXACT(metadata!K415,"Water (non-saline)"),EXACT(metadata!K415,"Soil (non-saline)"),EXACT(metadata!K415,"Aerosol (non-saline)"),EXACT(metadata!K415,"Sediment (non-saline)"),EXACT(metadata!K415,"Surface (saline)"),EXACT(metadata!K415,"Water (saline)"),EXACT(metadata!K415,"Hypersaline (saline)"),EXACT(metadata!K415,"Aerosol (saline)"),EXACT(metadata!K415,"Sediment (saline)")))</f>
        <v>0</v>
      </c>
      <c r="AW415" t="b">
        <f>IF(metadata!L415="",FALSE,TRUE)</f>
        <v>0</v>
      </c>
      <c r="AX415" t="b">
        <f>IF(metadata!M415="",FALSE,TRUE)</f>
        <v>0</v>
      </c>
      <c r="AY415" t="b">
        <f>IF(metadata!N415="",FALSE,TRUE)</f>
        <v>0</v>
      </c>
      <c r="AZ415" t="b">
        <f>OR(AND(IF(metadata!O415="",FALSE,TRUE),OR(EXACT(metadata!O415,"missing: not collected"),EXACT(metadata!O415,"missing: not provided"),EXACT(metadata!O415,"missing: restricted access"))),AND(IF(metadata!O415="",FALSE,TRUE),OR(EXACT(metadata!O415,"air"),EXACT(metadata!O415,"built environment"),EXACT(metadata!O415,"host-associated"),EXACT(metadata!O415,"human-associated"),EXACT(metadata!O415,"human-skin"),EXACT(metadata!O415,"human-oral"),EXACT(metadata!O415,"human-gut"),EXACT(metadata!O415,"human-vaginal"),EXACT(metadata!O415,"microbial mat/biofilm"),EXACT(metadata!O415,"misc environment"),EXACT(metadata!O415,"plant-associated"),EXACT(metadata!O415,"sediment"),EXACT(metadata!O415,"soil"),EXACT(metadata!O415,"wastewater/sludge"),EXACT(metadata!O415,"water"))))</f>
        <v>0</v>
      </c>
      <c r="BA415" t="b">
        <f>IF(metadata!P415="",FALSE,TRUE)</f>
        <v>0</v>
      </c>
      <c r="BB415" t="b">
        <f>IF(metadata!Q415="",FALSE,TRUE)</f>
        <v>0</v>
      </c>
      <c r="BC415" t="b">
        <f>OR(AND(IF(metadata!R415="",FALSE,TRUE),OR(EXACT(metadata!R415,"missing: not collected"),EXACT(metadata!R415,"missing: not provided"),EXACT(metadata!R415,"missing: restricted access"))),AND(IF(metadata!R415="",FALSE,ISNUMBER(VALUE(metadata!R415))),metadata!R415&gt;=-90,metadata!R415&lt;=90))</f>
        <v>0</v>
      </c>
      <c r="BD415" t="b">
        <f>AND(IF(metadata!S415="",FALSE,TRUE),EXACT(metadata!S415,"Decimal degrees"))</f>
        <v>0</v>
      </c>
      <c r="BE415" t="b">
        <f>OR(AND(IF(metadata!T415="",FALSE,TRUE),OR(EXACT(metadata!T415,"missing: not collected"),EXACT(metadata!T415,"missing: not provided"),EXACT(metadata!T415,"missing: restricted access"))),AND(IF(metadata!T415="",FALSE,ISNUMBER(VALUE(metadata!T415))),metadata!T415&gt;=-180,metadata!T415&lt;=180))</f>
        <v>0</v>
      </c>
      <c r="BF415" t="b">
        <f>AND(IF(metadata!U415="",FALSE,TRUE),EXACT(metadata!U415,"Decimal degrees"))</f>
        <v>0</v>
      </c>
      <c r="BG415" t="b">
        <f>IF(metadata!V415="",FALSE,TRUE)</f>
        <v>0</v>
      </c>
      <c r="BH415" t="b">
        <f>OR(AND(IF(metadata!W415="",FALSE,TRUE),OR(EXACT(metadata!W415,"missing: not collected"),EXACT(metadata!W415,"missing: not provided"),EXACT(metadata!W415,"missing: restricted access"))),AND(IF(metadata!W415="",FALSE,TRUE),OR(EXACT(metadata!W415,"TRUE"),EXACT(metadata!W415,"FALSE"))))</f>
        <v>0</v>
      </c>
      <c r="BI415" t="b">
        <f>AND(IF(metadata!X415="",FALSE,TRUE),EXACT(metadata!X415,"other"))</f>
        <v>0</v>
      </c>
      <c r="BJ415" t="b">
        <f>IF(metadata!Y415="",FALSE,TRUE)</f>
        <v>0</v>
      </c>
      <c r="BK415" t="b">
        <f>OR(AND(IF(metadata!Z415="",FALSE,TRUE),OR(EXACT(metadata!Z415,"missing: not collected"),EXACT(metadata!Z415,"missing: not provided"))),AND(IF(metadata!Z415="",FALSE,IF(ISERROR(INT(metadata!Z415)),FALSE,INT(metadata!Z415)=metadata!Z415)),metadata!Z415&gt;0))</f>
        <v>0</v>
      </c>
      <c r="BL415" t="b">
        <f>AND(IF(metadata!AA415="",FALSE,TRUE),EXACT(metadata!AA415,"Not applicable"))</f>
        <v>0</v>
      </c>
      <c r="BM415" t="b">
        <f>IF(metadata!AB415="",FALSE,TRUE)</f>
        <v>0</v>
      </c>
    </row>
    <row r="416" spans="1:65" x14ac:dyDescent="0.2">
      <c r="A416" s="5" t="str">
        <f ca="1">IF(B416=" "," ",HYPERLINK(CONCATENATE("#metadata!",ADDRESS(INDEX($AH$2:$AH$1001,MATCH(ROWS($AF$2:AF416),$AF$2:$AF$1001,0),0),1)),INDEX($AK$2:$AK$1001,MATCH(ROWS($AF$2:AF416),$AF$2:$AF$1001,0),0)))</f>
        <v xml:space="preserve"> </v>
      </c>
      <c r="B416" s="4" t="str">
        <f ca="1">IF(OR(INDEX($AG$2:$AG$1001,MATCH(ROWS($AF$2:AF416),$AF$2:$AF$1001,0),1)&gt;=100000,INDEX($AM$1005:$BM$1005,1,MATCH(COLUMNS($AM$1006:AM1006),$AM$1006:$BM$1006,0))&gt;=100000), " ",IF(INDEX($AM$2:$BM$1001,MATCH(ROWS($AF$2:AF416),$AF$2:$AF$1001,0),MATCH(COLUMNS($AM$1006:AM1006),$AM$1006:$BM$1006,0)), HYPERLINK("#",""), HYPERLINK(CONCATENATE("#metadata!", ADDRESS(INDEX($AH$2:$AH$1001,MATCH(ROWS($AF$2:AF416),$AF$2:$AF$1001,0),0), INDEX($AM$1004:$BM$1004,1,MATCH(COLUMNS($AM$1006:AM1006),$AM$1006:$BM$1006,0)))),"Fix")))</f>
        <v xml:space="preserve"> </v>
      </c>
      <c r="C416" s="4" t="str">
        <f ca="1">IF(OR(INDEX($AG$2:$AG$1001,MATCH(ROWS($AF$2:AF416),$AF$2:$AF$1001,0),1)&gt;=100000,INDEX($AM$1005:$BM$1005,1,MATCH(COLUMNS($AM$1006:AN1006),$AM$1006:$BM$1006,0))&gt;=100000), " ",IF(INDEX($AM$2:$BM$1001,MATCH(ROWS($AF$2:AF416),$AF$2:$AF$1001,0),MATCH(COLUMNS($AM$1006:AN1006),$AM$1006:$BM$1006,0)), HYPERLINK("#",""), HYPERLINK(CONCATENATE("#metadata!", ADDRESS(INDEX($AH$2:$AH$1001,MATCH(ROWS($AF$2:AF416),$AF$2:$AF$1001,0),0), INDEX($AM$1004:$BM$1004,1,MATCH(COLUMNS($AM$1006:AN1006),$AM$1006:$BM$1006,0)))),"Fix")))</f>
        <v xml:space="preserve"> </v>
      </c>
      <c r="D416" s="4" t="str">
        <f ca="1">IF(OR(INDEX($AG$2:$AG$1001,MATCH(ROWS($AF$2:AF416),$AF$2:$AF$1001,0),1)&gt;=100000,INDEX($AM$1005:$BM$1005,1,MATCH(COLUMNS($AM$1006:AO1006),$AM$1006:$BM$1006,0))&gt;=100000), " ",IF(INDEX($AM$2:$BM$1001,MATCH(ROWS($AF$2:AF416),$AF$2:$AF$1001,0),MATCH(COLUMNS($AM$1006:AO1006),$AM$1006:$BM$1006,0)), HYPERLINK("#",""), HYPERLINK(CONCATENATE("#metadata!", ADDRESS(INDEX($AH$2:$AH$1001,MATCH(ROWS($AF$2:AF416),$AF$2:$AF$1001,0),0), INDEX($AM$1004:$BM$1004,1,MATCH(COLUMNS($AM$1006:AO1006),$AM$1006:$BM$1006,0)))),"Fix")))</f>
        <v xml:space="preserve"> </v>
      </c>
      <c r="E416" s="4" t="str">
        <f ca="1">IF(OR(INDEX($AG$2:$AG$1001,MATCH(ROWS($AF$2:AF416),$AF$2:$AF$1001,0),1)&gt;=100000,INDEX($AM$1005:$BM$1005,1,MATCH(COLUMNS($AM$1006:AP1006),$AM$1006:$BM$1006,0))&gt;=100000), " ",IF(INDEX($AM$2:$BM$1001,MATCH(ROWS($AF$2:AF416),$AF$2:$AF$1001,0),MATCH(COLUMNS($AM$1006:AP1006),$AM$1006:$BM$1006,0)), HYPERLINK("#",""), HYPERLINK(CONCATENATE("#metadata!", ADDRESS(INDEX($AH$2:$AH$1001,MATCH(ROWS($AF$2:AF416),$AF$2:$AF$1001,0),0), INDEX($AM$1004:$BM$1004,1,MATCH(COLUMNS($AM$1006:AP1006),$AM$1006:$BM$1006,0)))),"Fix")))</f>
        <v xml:space="preserve"> </v>
      </c>
      <c r="F416" s="4" t="str">
        <f ca="1">IF(OR(INDEX($AG$2:$AG$1001,MATCH(ROWS($AF$2:AF416),$AF$2:$AF$1001,0),1)&gt;=100000,INDEX($AM$1005:$BM$1005,1,MATCH(COLUMNS($AM$1006:AQ1006),$AM$1006:$BM$1006,0))&gt;=100000), " ",IF(INDEX($AM$2:$BM$1001,MATCH(ROWS($AF$2:AF416),$AF$2:$AF$1001,0),MATCH(COLUMNS($AM$1006:AQ1006),$AM$1006:$BM$1006,0)), HYPERLINK("#",""), HYPERLINK(CONCATENATE("#metadata!", ADDRESS(INDEX($AH$2:$AH$1001,MATCH(ROWS($AF$2:AF416),$AF$2:$AF$1001,0),0), INDEX($AM$1004:$BM$1004,1,MATCH(COLUMNS($AM$1006:AQ1006),$AM$1006:$BM$1006,0)))),"Fix")))</f>
        <v xml:space="preserve"> </v>
      </c>
      <c r="G416" s="4" t="str">
        <f ca="1">IF(OR(INDEX($AG$2:$AG$1001,MATCH(ROWS($AF$2:AF416),$AF$2:$AF$1001,0),1)&gt;=100000,INDEX($AM$1005:$BM$1005,1,MATCH(COLUMNS($AM$1006:AR1006),$AM$1006:$BM$1006,0))&gt;=100000), " ",IF(INDEX($AM$2:$BM$1001,MATCH(ROWS($AF$2:AF416),$AF$2:$AF$1001,0),MATCH(COLUMNS($AM$1006:AR1006),$AM$1006:$BM$1006,0)), HYPERLINK("#",""), HYPERLINK(CONCATENATE("#metadata!", ADDRESS(INDEX($AH$2:$AH$1001,MATCH(ROWS($AF$2:AF416),$AF$2:$AF$1001,0),0), INDEX($AM$1004:$BM$1004,1,MATCH(COLUMNS($AM$1006:AR1006),$AM$1006:$BM$1006,0)))),"Fix")))</f>
        <v xml:space="preserve"> </v>
      </c>
      <c r="H416" s="4" t="str">
        <f ca="1">IF(OR(INDEX($AG$2:$AG$1001,MATCH(ROWS($AF$2:AF416),$AF$2:$AF$1001,0),1)&gt;=100000,INDEX($AM$1005:$BM$1005,1,MATCH(COLUMNS($AM$1006:AS1006),$AM$1006:$BM$1006,0))&gt;=100000), " ",IF(INDEX($AM$2:$BM$1001,MATCH(ROWS($AF$2:AF416),$AF$2:$AF$1001,0),MATCH(COLUMNS($AM$1006:AS1006),$AM$1006:$BM$1006,0)), HYPERLINK("#",""), HYPERLINK(CONCATENATE("#metadata!", ADDRESS(INDEX($AH$2:$AH$1001,MATCH(ROWS($AF$2:AF416),$AF$2:$AF$1001,0),0), INDEX($AM$1004:$BM$1004,1,MATCH(COLUMNS($AM$1006:AS1006),$AM$1006:$BM$1006,0)))),"Fix")))</f>
        <v xml:space="preserve"> </v>
      </c>
      <c r="I416" s="4" t="str">
        <f ca="1">IF(OR(INDEX($AG$2:$AG$1001,MATCH(ROWS($AF$2:AF416),$AF$2:$AF$1001,0),1)&gt;=100000,INDEX($AM$1005:$BM$1005,1,MATCH(COLUMNS($AM$1006:AT1006),$AM$1006:$BM$1006,0))&gt;=100000), " ",IF(INDEX($AM$2:$BM$1001,MATCH(ROWS($AF$2:AF416),$AF$2:$AF$1001,0),MATCH(COLUMNS($AM$1006:AT1006),$AM$1006:$BM$1006,0)), HYPERLINK("#",""), HYPERLINK(CONCATENATE("#metadata!", ADDRESS(INDEX($AH$2:$AH$1001,MATCH(ROWS($AF$2:AF416),$AF$2:$AF$1001,0),0), INDEX($AM$1004:$BM$1004,1,MATCH(COLUMNS($AM$1006:AT1006),$AM$1006:$BM$1006,0)))),"Fix")))</f>
        <v xml:space="preserve"> </v>
      </c>
      <c r="J416" s="4" t="str">
        <f ca="1">IF(OR(INDEX($AG$2:$AG$1001,MATCH(ROWS($AF$2:AF416),$AF$2:$AF$1001,0),1)&gt;=100000,INDEX($AM$1005:$BM$1005,1,MATCH(COLUMNS($AM$1006:AU1006),$AM$1006:$BM$1006,0))&gt;=100000), " ",IF(INDEX($AM$2:$BM$1001,MATCH(ROWS($AF$2:AF416),$AF$2:$AF$1001,0),MATCH(COLUMNS($AM$1006:AU1006),$AM$1006:$BM$1006,0)), HYPERLINK("#",""), HYPERLINK(CONCATENATE("#metadata!", ADDRESS(INDEX($AH$2:$AH$1001,MATCH(ROWS($AF$2:AF416),$AF$2:$AF$1001,0),0), INDEX($AM$1004:$BM$1004,1,MATCH(COLUMNS($AM$1006:AU1006),$AM$1006:$BM$1006,0)))),"Fix")))</f>
        <v xml:space="preserve"> </v>
      </c>
      <c r="K416" s="4" t="str">
        <f ca="1">IF(OR(INDEX($AG$2:$AG$1001,MATCH(ROWS($AF$2:AF416),$AF$2:$AF$1001,0),1)&gt;=100000,INDEX($AM$1005:$BM$1005,1,MATCH(COLUMNS($AM$1006:AV1006),$AM$1006:$BM$1006,0))&gt;=100000), " ",IF(INDEX($AM$2:$BM$1001,MATCH(ROWS($AF$2:AF416),$AF$2:$AF$1001,0),MATCH(COLUMNS($AM$1006:AV1006),$AM$1006:$BM$1006,0)), HYPERLINK("#",""), HYPERLINK(CONCATENATE("#metadata!", ADDRESS(INDEX($AH$2:$AH$1001,MATCH(ROWS($AF$2:AF416),$AF$2:$AF$1001,0),0), INDEX($AM$1004:$BM$1004,1,MATCH(COLUMNS($AM$1006:AV1006),$AM$1006:$BM$1006,0)))),"Fix")))</f>
        <v xml:space="preserve"> </v>
      </c>
      <c r="L416" s="4" t="str">
        <f ca="1">IF(OR(INDEX($AG$2:$AG$1001,MATCH(ROWS($AF$2:AF416),$AF$2:$AF$1001,0),1)&gt;=100000,INDEX($AM$1005:$BM$1005,1,MATCH(COLUMNS($AM$1006:AW1006),$AM$1006:$BM$1006,0))&gt;=100000), " ",IF(INDEX($AM$2:$BM$1001,MATCH(ROWS($AF$2:AF416),$AF$2:$AF$1001,0),MATCH(COLUMNS($AM$1006:AW1006),$AM$1006:$BM$1006,0)), HYPERLINK("#",""), HYPERLINK(CONCATENATE("#metadata!", ADDRESS(INDEX($AH$2:$AH$1001,MATCH(ROWS($AF$2:AF416),$AF$2:$AF$1001,0),0), INDEX($AM$1004:$BM$1004,1,MATCH(COLUMNS($AM$1006:AW1006),$AM$1006:$BM$1006,0)))),"Fix")))</f>
        <v xml:space="preserve"> </v>
      </c>
      <c r="M416" s="4" t="str">
        <f ca="1">IF(OR(INDEX($AG$2:$AG$1001,MATCH(ROWS($AF$2:AF416),$AF$2:$AF$1001,0),1)&gt;=100000,INDEX($AM$1005:$BM$1005,1,MATCH(COLUMNS($AM$1006:AX1006),$AM$1006:$BM$1006,0))&gt;=100000), " ",IF(INDEX($AM$2:$BM$1001,MATCH(ROWS($AF$2:AF416),$AF$2:$AF$1001,0),MATCH(COLUMNS($AM$1006:AX1006),$AM$1006:$BM$1006,0)), HYPERLINK("#",""), HYPERLINK(CONCATENATE("#metadata!", ADDRESS(INDEX($AH$2:$AH$1001,MATCH(ROWS($AF$2:AF416),$AF$2:$AF$1001,0),0), INDEX($AM$1004:$BM$1004,1,MATCH(COLUMNS($AM$1006:AX1006),$AM$1006:$BM$1006,0)))),"Fix")))</f>
        <v xml:space="preserve"> </v>
      </c>
      <c r="N416" s="4" t="str">
        <f ca="1">IF(OR(INDEX($AG$2:$AG$1001,MATCH(ROWS($AF$2:AF416),$AF$2:$AF$1001,0),1)&gt;=100000,INDEX($AM$1005:$BM$1005,1,MATCH(COLUMNS($AM$1006:AY1006),$AM$1006:$BM$1006,0))&gt;=100000), " ",IF(INDEX($AM$2:$BM$1001,MATCH(ROWS($AF$2:AF416),$AF$2:$AF$1001,0),MATCH(COLUMNS($AM$1006:AY1006),$AM$1006:$BM$1006,0)), HYPERLINK("#",""), HYPERLINK(CONCATENATE("#metadata!", ADDRESS(INDEX($AH$2:$AH$1001,MATCH(ROWS($AF$2:AF416),$AF$2:$AF$1001,0),0), INDEX($AM$1004:$BM$1004,1,MATCH(COLUMNS($AM$1006:AY1006),$AM$1006:$BM$1006,0)))),"Fix")))</f>
        <v xml:space="preserve"> </v>
      </c>
      <c r="O416" s="4" t="str">
        <f ca="1">IF(OR(INDEX($AG$2:$AG$1001,MATCH(ROWS($AF$2:AF416),$AF$2:$AF$1001,0),1)&gt;=100000,INDEX($AM$1005:$BM$1005,1,MATCH(COLUMNS($AM$1006:AZ1006),$AM$1006:$BM$1006,0))&gt;=100000), " ",IF(INDEX($AM$2:$BM$1001,MATCH(ROWS($AF$2:AF416),$AF$2:$AF$1001,0),MATCH(COLUMNS($AM$1006:AZ1006),$AM$1006:$BM$1006,0)), HYPERLINK("#",""), HYPERLINK(CONCATENATE("#metadata!", ADDRESS(INDEX($AH$2:$AH$1001,MATCH(ROWS($AF$2:AF416),$AF$2:$AF$1001,0),0), INDEX($AM$1004:$BM$1004,1,MATCH(COLUMNS($AM$1006:AZ1006),$AM$1006:$BM$1006,0)))),"Fix")))</f>
        <v xml:space="preserve"> </v>
      </c>
      <c r="P416" s="4" t="str">
        <f ca="1">IF(OR(INDEX($AG$2:$AG$1001,MATCH(ROWS($AF$2:AF416),$AF$2:$AF$1001,0),1)&gt;=100000,INDEX($AM$1005:$BM$1005,1,MATCH(COLUMNS($AM$1006:BA1006),$AM$1006:$BM$1006,0))&gt;=100000), " ",IF(INDEX($AM$2:$BM$1001,MATCH(ROWS($AF$2:AF416),$AF$2:$AF$1001,0),MATCH(COLUMNS($AM$1006:BA1006),$AM$1006:$BM$1006,0)), HYPERLINK("#",""), HYPERLINK(CONCATENATE("#metadata!", ADDRESS(INDEX($AH$2:$AH$1001,MATCH(ROWS($AF$2:AF416),$AF$2:$AF$1001,0),0), INDEX($AM$1004:$BM$1004,1,MATCH(COLUMNS($AM$1006:BA1006),$AM$1006:$BM$1006,0)))),"Fix")))</f>
        <v xml:space="preserve"> </v>
      </c>
      <c r="Q416" s="4" t="str">
        <f ca="1">IF(OR(INDEX($AG$2:$AG$1001,MATCH(ROWS($AF$2:AF416),$AF$2:$AF$1001,0),1)&gt;=100000,INDEX($AM$1005:$BM$1005,1,MATCH(COLUMNS($AM$1006:BB1006),$AM$1006:$BM$1006,0))&gt;=100000), " ",IF(INDEX($AM$2:$BM$1001,MATCH(ROWS($AF$2:AF416),$AF$2:$AF$1001,0),MATCH(COLUMNS($AM$1006:BB1006),$AM$1006:$BM$1006,0)), HYPERLINK("#",""), HYPERLINK(CONCATENATE("#metadata!", ADDRESS(INDEX($AH$2:$AH$1001,MATCH(ROWS($AF$2:AF416),$AF$2:$AF$1001,0),0), INDEX($AM$1004:$BM$1004,1,MATCH(COLUMNS($AM$1006:BB1006),$AM$1006:$BM$1006,0)))),"Fix")))</f>
        <v xml:space="preserve"> </v>
      </c>
      <c r="R416" s="4" t="str">
        <f ca="1">IF(OR(INDEX($AG$2:$AG$1001,MATCH(ROWS($AF$2:AF416),$AF$2:$AF$1001,0),1)&gt;=100000,INDEX($AM$1005:$BM$1005,1,MATCH(COLUMNS($AM$1006:BC1006),$AM$1006:$BM$1006,0))&gt;=100000), " ",IF(INDEX($AM$2:$BM$1001,MATCH(ROWS($AF$2:AF416),$AF$2:$AF$1001,0),MATCH(COLUMNS($AM$1006:BC1006),$AM$1006:$BM$1006,0)), HYPERLINK("#",""), HYPERLINK(CONCATENATE("#metadata!", ADDRESS(INDEX($AH$2:$AH$1001,MATCH(ROWS($AF$2:AF416),$AF$2:$AF$1001,0),0), INDEX($AM$1004:$BM$1004,1,MATCH(COLUMNS($AM$1006:BC1006),$AM$1006:$BM$1006,0)))),"Fix")))</f>
        <v xml:space="preserve"> </v>
      </c>
      <c r="S416" s="4" t="str">
        <f ca="1">IF(OR(INDEX($AG$2:$AG$1001,MATCH(ROWS($AF$2:AF416),$AF$2:$AF$1001,0),1)&gt;=100000,INDEX($AM$1005:$BM$1005,1,MATCH(COLUMNS($AM$1006:BD1006),$AM$1006:$BM$1006,0))&gt;=100000), " ",IF(INDEX($AM$2:$BM$1001,MATCH(ROWS($AF$2:AF416),$AF$2:$AF$1001,0),MATCH(COLUMNS($AM$1006:BD1006),$AM$1006:$BM$1006,0)), HYPERLINK("#",""), HYPERLINK(CONCATENATE("#metadata!", ADDRESS(INDEX($AH$2:$AH$1001,MATCH(ROWS($AF$2:AF416),$AF$2:$AF$1001,0),0), INDEX($AM$1004:$BM$1004,1,MATCH(COLUMNS($AM$1006:BD1006),$AM$1006:$BM$1006,0)))),"Fix")))</f>
        <v xml:space="preserve"> </v>
      </c>
      <c r="T416" s="4" t="str">
        <f ca="1">IF(OR(INDEX($AG$2:$AG$1001,MATCH(ROWS($AF$2:AF416),$AF$2:$AF$1001,0),1)&gt;=100000,INDEX($AM$1005:$BM$1005,1,MATCH(COLUMNS($AM$1006:BE1006),$AM$1006:$BM$1006,0))&gt;=100000), " ",IF(INDEX($AM$2:$BM$1001,MATCH(ROWS($AF$2:AF416),$AF$2:$AF$1001,0),MATCH(COLUMNS($AM$1006:BE1006),$AM$1006:$BM$1006,0)), HYPERLINK("#",""), HYPERLINK(CONCATENATE("#metadata!", ADDRESS(INDEX($AH$2:$AH$1001,MATCH(ROWS($AF$2:AF416),$AF$2:$AF$1001,0),0), INDEX($AM$1004:$BM$1004,1,MATCH(COLUMNS($AM$1006:BE1006),$AM$1006:$BM$1006,0)))),"Fix")))</f>
        <v xml:space="preserve"> </v>
      </c>
      <c r="U416" s="4" t="str">
        <f ca="1">IF(OR(INDEX($AG$2:$AG$1001,MATCH(ROWS($AF$2:AF416),$AF$2:$AF$1001,0),1)&gt;=100000,INDEX($AM$1005:$BM$1005,1,MATCH(COLUMNS($AM$1006:BF1006),$AM$1006:$BM$1006,0))&gt;=100000), " ",IF(INDEX($AM$2:$BM$1001,MATCH(ROWS($AF$2:AF416),$AF$2:$AF$1001,0),MATCH(COLUMNS($AM$1006:BF1006),$AM$1006:$BM$1006,0)), HYPERLINK("#",""), HYPERLINK(CONCATENATE("#metadata!", ADDRESS(INDEX($AH$2:$AH$1001,MATCH(ROWS($AF$2:AF416),$AF$2:$AF$1001,0),0), INDEX($AM$1004:$BM$1004,1,MATCH(COLUMNS($AM$1006:BF1006),$AM$1006:$BM$1006,0)))),"Fix")))</f>
        <v xml:space="preserve"> </v>
      </c>
      <c r="V416" s="4" t="str">
        <f ca="1">IF(OR(INDEX($AG$2:$AG$1001,MATCH(ROWS($AF$2:AF416),$AF$2:$AF$1001,0),1)&gt;=100000,INDEX($AM$1005:$BM$1005,1,MATCH(COLUMNS($AM$1006:BG1006),$AM$1006:$BM$1006,0))&gt;=100000), " ",IF(INDEX($AM$2:$BM$1001,MATCH(ROWS($AF$2:AF416),$AF$2:$AF$1001,0),MATCH(COLUMNS($AM$1006:BG1006),$AM$1006:$BM$1006,0)), HYPERLINK("#",""), HYPERLINK(CONCATENATE("#metadata!", ADDRESS(INDEX($AH$2:$AH$1001,MATCH(ROWS($AF$2:AF416),$AF$2:$AF$1001,0),0), INDEX($AM$1004:$BM$1004,1,MATCH(COLUMNS($AM$1006:BG1006),$AM$1006:$BM$1006,0)))),"Fix")))</f>
        <v xml:space="preserve"> </v>
      </c>
      <c r="W416" s="4" t="str">
        <f ca="1">IF(OR(INDEX($AG$2:$AG$1001,MATCH(ROWS($AF$2:AF416),$AF$2:$AF$1001,0),1)&gt;=100000,INDEX($AM$1005:$BM$1005,1,MATCH(COLUMNS($AM$1006:BH1006),$AM$1006:$BM$1006,0))&gt;=100000), " ",IF(INDEX($AM$2:$BM$1001,MATCH(ROWS($AF$2:AF416),$AF$2:$AF$1001,0),MATCH(COLUMNS($AM$1006:BH1006),$AM$1006:$BM$1006,0)), HYPERLINK("#",""), HYPERLINK(CONCATENATE("#metadata!", ADDRESS(INDEX($AH$2:$AH$1001,MATCH(ROWS($AF$2:AF416),$AF$2:$AF$1001,0),0), INDEX($AM$1004:$BM$1004,1,MATCH(COLUMNS($AM$1006:BH1006),$AM$1006:$BM$1006,0)))),"Fix")))</f>
        <v xml:space="preserve"> </v>
      </c>
      <c r="X416" s="4" t="str">
        <f ca="1">IF(OR(INDEX($AG$2:$AG$1001,MATCH(ROWS($AF$2:AF416),$AF$2:$AF$1001,0),1)&gt;=100000,INDEX($AM$1005:$BM$1005,1,MATCH(COLUMNS($AM$1006:BI1006),$AM$1006:$BM$1006,0))&gt;=100000), " ",IF(INDEX($AM$2:$BM$1001,MATCH(ROWS($AF$2:AF416),$AF$2:$AF$1001,0),MATCH(COLUMNS($AM$1006:BI1006),$AM$1006:$BM$1006,0)), HYPERLINK("#",""), HYPERLINK(CONCATENATE("#metadata!", ADDRESS(INDEX($AH$2:$AH$1001,MATCH(ROWS($AF$2:AF416),$AF$2:$AF$1001,0),0), INDEX($AM$1004:$BM$1004,1,MATCH(COLUMNS($AM$1006:BI1006),$AM$1006:$BM$1006,0)))),"Fix")))</f>
        <v xml:space="preserve"> </v>
      </c>
      <c r="Y416" s="4" t="str">
        <f ca="1">IF(OR(INDEX($AG$2:$AG$1001,MATCH(ROWS($AF$2:AF416),$AF$2:$AF$1001,0),1)&gt;=100000,INDEX($AM$1005:$BM$1005,1,MATCH(COLUMNS($AM$1006:BJ1006),$AM$1006:$BM$1006,0))&gt;=100000), " ",IF(INDEX($AM$2:$BM$1001,MATCH(ROWS($AF$2:AF416),$AF$2:$AF$1001,0),MATCH(COLUMNS($AM$1006:BJ1006),$AM$1006:$BM$1006,0)), HYPERLINK("#",""), HYPERLINK(CONCATENATE("#metadata!", ADDRESS(INDEX($AH$2:$AH$1001,MATCH(ROWS($AF$2:AF416),$AF$2:$AF$1001,0),0), INDEX($AM$1004:$BM$1004,1,MATCH(COLUMNS($AM$1006:BJ1006),$AM$1006:$BM$1006,0)))),"Fix")))</f>
        <v xml:space="preserve"> </v>
      </c>
      <c r="Z416" s="4" t="str">
        <f ca="1">IF(OR(INDEX($AG$2:$AG$1001,MATCH(ROWS($AF$2:AF416),$AF$2:$AF$1001,0),1)&gt;=100000,INDEX($AM$1005:$BM$1005,1,MATCH(COLUMNS($AM$1006:BK1006),$AM$1006:$BM$1006,0))&gt;=100000), " ",IF(INDEX($AM$2:$BM$1001,MATCH(ROWS($AF$2:AF416),$AF$2:$AF$1001,0),MATCH(COLUMNS($AM$1006:BK1006),$AM$1006:$BM$1006,0)), HYPERLINK("#",""), HYPERLINK(CONCATENATE("#metadata!", ADDRESS(INDEX($AH$2:$AH$1001,MATCH(ROWS($AF$2:AF416),$AF$2:$AF$1001,0),0), INDEX($AM$1004:$BM$1004,1,MATCH(COLUMNS($AM$1006:BK1006),$AM$1006:$BM$1006,0)))),"Fix")))</f>
        <v xml:space="preserve"> </v>
      </c>
      <c r="AA416" s="4" t="str">
        <f ca="1">IF(OR(INDEX($AG$2:$AG$1001,MATCH(ROWS($AF$2:AF416),$AF$2:$AF$1001,0),1)&gt;=100000,INDEX($AM$1005:$BM$1005,1,MATCH(COLUMNS($AM$1006:BL1006),$AM$1006:$BM$1006,0))&gt;=100000), " ",IF(INDEX($AM$2:$BM$1001,MATCH(ROWS($AF$2:AF416),$AF$2:$AF$1001,0),MATCH(COLUMNS($AM$1006:BL1006),$AM$1006:$BM$1006,0)), HYPERLINK("#",""), HYPERLINK(CONCATENATE("#metadata!", ADDRESS(INDEX($AH$2:$AH$1001,MATCH(ROWS($AF$2:AF416),$AF$2:$AF$1001,0),0), INDEX($AM$1004:$BM$1004,1,MATCH(COLUMNS($AM$1006:BL1006),$AM$1006:$BM$1006,0)))),"Fix")))</f>
        <v xml:space="preserve"> </v>
      </c>
      <c r="AB416" s="4" t="str">
        <f ca="1">IF(OR(INDEX($AG$2:$AG$1001,MATCH(ROWS($AF$2:AF416),$AF$2:$AF$1001,0),1)&gt;=100000,INDEX($AM$1005:$BM$1005,1,MATCH(COLUMNS($AM$1006:BM1006),$AM$1006:$BM$1006,0))&gt;=100000), " ",IF(INDEX($AM$2:$BM$1001,MATCH(ROWS($AF$2:AF416),$AF$2:$AF$1001,0),MATCH(COLUMNS($AM$1006:BM1006),$AM$1006:$BM$1006,0)), HYPERLINK("#",""), HYPERLINK(CONCATENATE("#metadata!", ADDRESS(INDEX($AH$2:$AH$1001,MATCH(ROWS($AF$2:AF416),$AF$2:$AF$1001,0),0), INDEX($AM$1004:$BM$1004,1,MATCH(COLUMNS($AM$1006:BM1006),$AM$1006:$BM$1006,0)))),"Fix")))</f>
        <v xml:space="preserve"> </v>
      </c>
      <c r="AF416">
        <v>415</v>
      </c>
      <c r="AG416">
        <v>100416</v>
      </c>
      <c r="AH416">
        <v>416</v>
      </c>
      <c r="AI416" t="b">
        <f t="shared" si="6"/>
        <v>1</v>
      </c>
      <c r="AJ416" t="b">
        <f>COUNTBLANK(metadata!B416:AB416)=COLUMNS(metadata!B416:AB416)</f>
        <v>1</v>
      </c>
      <c r="AK416" t="str">
        <v/>
      </c>
      <c r="AM416" t="b">
        <f ca="1">AND(IF(metadata!B416="",FALSE,TRUE),COUNTIF(metadata!B:B, metadata!B416) = 1,NOT(ISERROR(SUMPRODUCT(SEARCH(MID(metadata!B416,ROW(INDIRECT("1:"&amp;LEN(metadata!B416))), 1),"0123456789abcdefghijklmnopqrstuvwxyzABCDEFGHIJKLMNOPQRSTUVWXYZ.")))))</f>
        <v>0</v>
      </c>
      <c r="AN416" t="b">
        <f ca="1">OR(AND(IF(metadata!C416="",FALSE,TRUE),OR(EXACT(metadata!C416,"missing: not collected"),EXACT(metadata!C416,"missing: not provided"),EXACT(metadata!C416,"missing: restricted access"))),AND(IF(metadata!C416="",FALSE,TRUE),AND(AND(IFERROR(INT(LEFT(metadata!C416,4))&gt;1900,FALSE),IFERROR(INT(LEFT(metadata!C416,4))&lt;=YEAR(NOW()),FALSE)), OR(MID(metadata!C416,5,1)="", AND(AND(MID(metadata!C416,5,1)="-",IFERROR(INT(MID(metadata!C416,6,1))&gt;=0,FALSE),IFERROR(INT(MID(metadata!C416,6,1))&lt;=1,FALSE),NOT(MID(metadata!C416,7,1)=""),IFERROR(INT(MID(metadata!C416,6,2))&gt;=1,FALSE),IFERROR(INT(MID(metadata!C416,6,2))&lt;=12,FALSE)), OR(MID(metadata!C416,8,1)="", AND(AND(MID(metadata!C416,8,1)="-",IFERROR(INT(MID(metadata!C416,9,1))&gt;=0,FALSE),IFERROR(INT(MID(metadata!C416,9,1))&lt;=3,FALSE),NOT(MID(metadata!C416,10,1)=""),IFERROR(INT(MID(metadata!C416,9,2))&gt;=1,FALSE),IFERROR(INT(MID(metadata!C416,9,2))&lt;=31,FALSE)), OR(MID(metadata!C416,11,1)="", AND(AND(MID(metadata!C416,11,1)=" ",IFERROR(INT(MID(metadata!C416,12,1))&gt;=0,FALSE),IFERROR(INT(MID(metadata!C416,12,1))&lt;=2,FALSE),NOT(MID(metadata!C416,13,1)=""),IFERROR(INT(MID(metadata!C416,12,2))&gt;=0,FALSE),IFERROR(INT(MID(metadata!C416,12,2))&lt;=23,FALSE)), OR(MID(metadata!C416,14,1)="", AND(AND(MID(metadata!C416,14,1)=":",IFERROR(INT(MID(metadata!C416,15,1))&gt;=0,FALSE),IFERROR(INT(MID(metadata!C416,15,1))&lt;=5,FALSE),NOT(MID(metadata!C416,16,1)=""),IFERROR(INT(MID(metadata!C416,15,2))&gt;=0,FALSE),IFERROR(INT(MID(metadata!C416,15,2))&lt;=59,FALSE)), OR(MID(metadata!C416,17,1)="", AND(AND(MID(metadata!C416,17,1)=":",IFERROR(INT(MID(metadata!C416,18,1))&gt;=0,FALSE),IFERROR(INT(MID(metadata!C416,18,1))&lt;=5,FALSE),NOT(MID(metadata!C416,19,1)=""),IFERROR(INT(MID(metadata!C416,18,2))&gt;=0,FALSE),IFERROR(INT(MID(metadata!C416,18,2))&lt;=59,FALSE)), LEN(metadata!C416)&lt;=19)))))))))))))</f>
        <v>0</v>
      </c>
      <c r="AO416" t="b">
        <f>AND(IF(metadata!D416="",FALSE,TRUE),EXACT(metadata!D416,"Not applicable"))</f>
        <v>0</v>
      </c>
      <c r="AP416" t="b">
        <f>IF(metadata!E416="",FALSE,TRUE)</f>
        <v>0</v>
      </c>
      <c r="AQ416" t="b">
        <f>OR(AND(IF(metadata!F416="",FALSE,TRUE),OR(EXACT(metadata!F416,"missing: not collected"),EXACT(metadata!F416,"missing: not provided"))),AND(IF(metadata!F416="",FALSE,TRUE),OR(EXACT(metadata!F416,"TRUE"),EXACT(metadata!F416,"FALSE"))))</f>
        <v>0</v>
      </c>
      <c r="AR416" t="b">
        <f>OR(AND(IF(metadata!G416="",FALSE,TRUE),OR(EXACT(metadata!G416,"missing: not collected"),EXACT(metadata!G416,"missing: not provided"),EXACT(metadata!G416,"missing: restricted access"))),AND(IF(metadata!G416="",FALSE,ISNUMBER(VALUE(metadata!G416))),metadata!G416&gt;=-413))</f>
        <v>0</v>
      </c>
      <c r="AS416" t="b">
        <f>AND(IF(metadata!H416="",FALSE,TRUE),EXACT(metadata!H416,"meters"))</f>
        <v>0</v>
      </c>
      <c r="AT416" t="b">
        <f>AND(IF(metadata!I416="",FALSE,TRUE),OR(EXACT(metadata!I416,"Host-associated"),EXACT(metadata!I416,"Free-living")))</f>
        <v>0</v>
      </c>
      <c r="AU416" t="b">
        <f>AND(IF(metadata!J416="",FALSE,TRUE),OR(EXACT(metadata!J416,"Animal"),EXACT(metadata!J416,"Fungus"),EXACT(metadata!J416,"Plant"),EXACT(metadata!J416,"Saline"),EXACT(metadata!J416,"Non-saline")))</f>
        <v>0</v>
      </c>
      <c r="AV416" t="b">
        <f>AND(IF(metadata!K416="",FALSE,TRUE),OR(EXACT(metadata!K416,"Plant secretion"),EXACT(metadata!K416,"Plant rhizosphere"),EXACT(metadata!K416,"Plant surface"),EXACT(metadata!K416,"Plant corpus"),EXACT(metadata!K416,"Fungus surface"),EXACT(metadata!K416,"Fungus corpus"),EXACT(metadata!K416,"Animal surface"),EXACT(metadata!K416,"Animal proximal gut"),EXACT(metadata!K416,"Animal corpus"),EXACT(metadata!K416,"Animal distal gut"),EXACT(metadata!K416,"Animal secretion"),EXACT(metadata!K416,"Sub-surface (non-saline)"),EXACT(metadata!K416,"Surface (non-saline)"),EXACT(metadata!K416,"Water (non-saline)"),EXACT(metadata!K416,"Soil (non-saline)"),EXACT(metadata!K416,"Aerosol (non-saline)"),EXACT(metadata!K416,"Sediment (non-saline)"),EXACT(metadata!K416,"Surface (saline)"),EXACT(metadata!K416,"Water (saline)"),EXACT(metadata!K416,"Hypersaline (saline)"),EXACT(metadata!K416,"Aerosol (saline)"),EXACT(metadata!K416,"Sediment (saline)")))</f>
        <v>0</v>
      </c>
      <c r="AW416" t="b">
        <f>IF(metadata!L416="",FALSE,TRUE)</f>
        <v>0</v>
      </c>
      <c r="AX416" t="b">
        <f>IF(metadata!M416="",FALSE,TRUE)</f>
        <v>0</v>
      </c>
      <c r="AY416" t="b">
        <f>IF(metadata!N416="",FALSE,TRUE)</f>
        <v>0</v>
      </c>
      <c r="AZ416" t="b">
        <f>OR(AND(IF(metadata!O416="",FALSE,TRUE),OR(EXACT(metadata!O416,"missing: not collected"),EXACT(metadata!O416,"missing: not provided"),EXACT(metadata!O416,"missing: restricted access"))),AND(IF(metadata!O416="",FALSE,TRUE),OR(EXACT(metadata!O416,"air"),EXACT(metadata!O416,"built environment"),EXACT(metadata!O416,"host-associated"),EXACT(metadata!O416,"human-associated"),EXACT(metadata!O416,"human-skin"),EXACT(metadata!O416,"human-oral"),EXACT(metadata!O416,"human-gut"),EXACT(metadata!O416,"human-vaginal"),EXACT(metadata!O416,"microbial mat/biofilm"),EXACT(metadata!O416,"misc environment"),EXACT(metadata!O416,"plant-associated"),EXACT(metadata!O416,"sediment"),EXACT(metadata!O416,"soil"),EXACT(metadata!O416,"wastewater/sludge"),EXACT(metadata!O416,"water"))))</f>
        <v>0</v>
      </c>
      <c r="BA416" t="b">
        <f>IF(metadata!P416="",FALSE,TRUE)</f>
        <v>0</v>
      </c>
      <c r="BB416" t="b">
        <f>IF(metadata!Q416="",FALSE,TRUE)</f>
        <v>0</v>
      </c>
      <c r="BC416" t="b">
        <f>OR(AND(IF(metadata!R416="",FALSE,TRUE),OR(EXACT(metadata!R416,"missing: not collected"),EXACT(metadata!R416,"missing: not provided"),EXACT(metadata!R416,"missing: restricted access"))),AND(IF(metadata!R416="",FALSE,ISNUMBER(VALUE(metadata!R416))),metadata!R416&gt;=-90,metadata!R416&lt;=90))</f>
        <v>0</v>
      </c>
      <c r="BD416" t="b">
        <f>AND(IF(metadata!S416="",FALSE,TRUE),EXACT(metadata!S416,"Decimal degrees"))</f>
        <v>0</v>
      </c>
      <c r="BE416" t="b">
        <f>OR(AND(IF(metadata!T416="",FALSE,TRUE),OR(EXACT(metadata!T416,"missing: not collected"),EXACT(metadata!T416,"missing: not provided"),EXACT(metadata!T416,"missing: restricted access"))),AND(IF(metadata!T416="",FALSE,ISNUMBER(VALUE(metadata!T416))),metadata!T416&gt;=-180,metadata!T416&lt;=180))</f>
        <v>0</v>
      </c>
      <c r="BF416" t="b">
        <f>AND(IF(metadata!U416="",FALSE,TRUE),EXACT(metadata!U416,"Decimal degrees"))</f>
        <v>0</v>
      </c>
      <c r="BG416" t="b">
        <f>IF(metadata!V416="",FALSE,TRUE)</f>
        <v>0</v>
      </c>
      <c r="BH416" t="b">
        <f>OR(AND(IF(metadata!W416="",FALSE,TRUE),OR(EXACT(metadata!W416,"missing: not collected"),EXACT(metadata!W416,"missing: not provided"),EXACT(metadata!W416,"missing: restricted access"))),AND(IF(metadata!W416="",FALSE,TRUE),OR(EXACT(metadata!W416,"TRUE"),EXACT(metadata!W416,"FALSE"))))</f>
        <v>0</v>
      </c>
      <c r="BI416" t="b">
        <f>AND(IF(metadata!X416="",FALSE,TRUE),EXACT(metadata!X416,"other"))</f>
        <v>0</v>
      </c>
      <c r="BJ416" t="b">
        <f>IF(metadata!Y416="",FALSE,TRUE)</f>
        <v>0</v>
      </c>
      <c r="BK416" t="b">
        <f>OR(AND(IF(metadata!Z416="",FALSE,TRUE),OR(EXACT(metadata!Z416,"missing: not collected"),EXACT(metadata!Z416,"missing: not provided"))),AND(IF(metadata!Z416="",FALSE,IF(ISERROR(INT(metadata!Z416)),FALSE,INT(metadata!Z416)=metadata!Z416)),metadata!Z416&gt;0))</f>
        <v>0</v>
      </c>
      <c r="BL416" t="b">
        <f>AND(IF(metadata!AA416="",FALSE,TRUE),EXACT(metadata!AA416,"Not applicable"))</f>
        <v>0</v>
      </c>
      <c r="BM416" t="b">
        <f>IF(metadata!AB416="",FALSE,TRUE)</f>
        <v>0</v>
      </c>
    </row>
    <row r="417" spans="1:65" x14ac:dyDescent="0.2">
      <c r="A417" s="5" t="str">
        <f ca="1">IF(B417=" "," ",HYPERLINK(CONCATENATE("#metadata!",ADDRESS(INDEX($AH$2:$AH$1001,MATCH(ROWS($AF$2:AF417),$AF$2:$AF$1001,0),0),1)),INDEX($AK$2:$AK$1001,MATCH(ROWS($AF$2:AF417),$AF$2:$AF$1001,0),0)))</f>
        <v xml:space="preserve"> </v>
      </c>
      <c r="B417" s="4" t="str">
        <f ca="1">IF(OR(INDEX($AG$2:$AG$1001,MATCH(ROWS($AF$2:AF417),$AF$2:$AF$1001,0),1)&gt;=100000,INDEX($AM$1005:$BM$1005,1,MATCH(COLUMNS($AM$1006:AM1006),$AM$1006:$BM$1006,0))&gt;=100000), " ",IF(INDEX($AM$2:$BM$1001,MATCH(ROWS($AF$2:AF417),$AF$2:$AF$1001,0),MATCH(COLUMNS($AM$1006:AM1006),$AM$1006:$BM$1006,0)), HYPERLINK("#",""), HYPERLINK(CONCATENATE("#metadata!", ADDRESS(INDEX($AH$2:$AH$1001,MATCH(ROWS($AF$2:AF417),$AF$2:$AF$1001,0),0), INDEX($AM$1004:$BM$1004,1,MATCH(COLUMNS($AM$1006:AM1006),$AM$1006:$BM$1006,0)))),"Fix")))</f>
        <v xml:space="preserve"> </v>
      </c>
      <c r="C417" s="4" t="str">
        <f ca="1">IF(OR(INDEX($AG$2:$AG$1001,MATCH(ROWS($AF$2:AF417),$AF$2:$AF$1001,0),1)&gt;=100000,INDEX($AM$1005:$BM$1005,1,MATCH(COLUMNS($AM$1006:AN1006),$AM$1006:$BM$1006,0))&gt;=100000), " ",IF(INDEX($AM$2:$BM$1001,MATCH(ROWS($AF$2:AF417),$AF$2:$AF$1001,0),MATCH(COLUMNS($AM$1006:AN1006),$AM$1006:$BM$1006,0)), HYPERLINK("#",""), HYPERLINK(CONCATENATE("#metadata!", ADDRESS(INDEX($AH$2:$AH$1001,MATCH(ROWS($AF$2:AF417),$AF$2:$AF$1001,0),0), INDEX($AM$1004:$BM$1004,1,MATCH(COLUMNS($AM$1006:AN1006),$AM$1006:$BM$1006,0)))),"Fix")))</f>
        <v xml:space="preserve"> </v>
      </c>
      <c r="D417" s="4" t="str">
        <f ca="1">IF(OR(INDEX($AG$2:$AG$1001,MATCH(ROWS($AF$2:AF417),$AF$2:$AF$1001,0),1)&gt;=100000,INDEX($AM$1005:$BM$1005,1,MATCH(COLUMNS($AM$1006:AO1006),$AM$1006:$BM$1006,0))&gt;=100000), " ",IF(INDEX($AM$2:$BM$1001,MATCH(ROWS($AF$2:AF417),$AF$2:$AF$1001,0),MATCH(COLUMNS($AM$1006:AO1006),$AM$1006:$BM$1006,0)), HYPERLINK("#",""), HYPERLINK(CONCATENATE("#metadata!", ADDRESS(INDEX($AH$2:$AH$1001,MATCH(ROWS($AF$2:AF417),$AF$2:$AF$1001,0),0), INDEX($AM$1004:$BM$1004,1,MATCH(COLUMNS($AM$1006:AO1006),$AM$1006:$BM$1006,0)))),"Fix")))</f>
        <v xml:space="preserve"> </v>
      </c>
      <c r="E417" s="4" t="str">
        <f ca="1">IF(OR(INDEX($AG$2:$AG$1001,MATCH(ROWS($AF$2:AF417),$AF$2:$AF$1001,0),1)&gt;=100000,INDEX($AM$1005:$BM$1005,1,MATCH(COLUMNS($AM$1006:AP1006),$AM$1006:$BM$1006,0))&gt;=100000), " ",IF(INDEX($AM$2:$BM$1001,MATCH(ROWS($AF$2:AF417),$AF$2:$AF$1001,0),MATCH(COLUMNS($AM$1006:AP1006),$AM$1006:$BM$1006,0)), HYPERLINK("#",""), HYPERLINK(CONCATENATE("#metadata!", ADDRESS(INDEX($AH$2:$AH$1001,MATCH(ROWS($AF$2:AF417),$AF$2:$AF$1001,0),0), INDEX($AM$1004:$BM$1004,1,MATCH(COLUMNS($AM$1006:AP1006),$AM$1006:$BM$1006,0)))),"Fix")))</f>
        <v xml:space="preserve"> </v>
      </c>
      <c r="F417" s="4" t="str">
        <f ca="1">IF(OR(INDEX($AG$2:$AG$1001,MATCH(ROWS($AF$2:AF417),$AF$2:$AF$1001,0),1)&gt;=100000,INDEX($AM$1005:$BM$1005,1,MATCH(COLUMNS($AM$1006:AQ1006),$AM$1006:$BM$1006,0))&gt;=100000), " ",IF(INDEX($AM$2:$BM$1001,MATCH(ROWS($AF$2:AF417),$AF$2:$AF$1001,0),MATCH(COLUMNS($AM$1006:AQ1006),$AM$1006:$BM$1006,0)), HYPERLINK("#",""), HYPERLINK(CONCATENATE("#metadata!", ADDRESS(INDEX($AH$2:$AH$1001,MATCH(ROWS($AF$2:AF417),$AF$2:$AF$1001,0),0), INDEX($AM$1004:$BM$1004,1,MATCH(COLUMNS($AM$1006:AQ1006),$AM$1006:$BM$1006,0)))),"Fix")))</f>
        <v xml:space="preserve"> </v>
      </c>
      <c r="G417" s="4" t="str">
        <f ca="1">IF(OR(INDEX($AG$2:$AG$1001,MATCH(ROWS($AF$2:AF417),$AF$2:$AF$1001,0),1)&gt;=100000,INDEX($AM$1005:$BM$1005,1,MATCH(COLUMNS($AM$1006:AR1006),$AM$1006:$BM$1006,0))&gt;=100000), " ",IF(INDEX($AM$2:$BM$1001,MATCH(ROWS($AF$2:AF417),$AF$2:$AF$1001,0),MATCH(COLUMNS($AM$1006:AR1006),$AM$1006:$BM$1006,0)), HYPERLINK("#",""), HYPERLINK(CONCATENATE("#metadata!", ADDRESS(INDEX($AH$2:$AH$1001,MATCH(ROWS($AF$2:AF417),$AF$2:$AF$1001,0),0), INDEX($AM$1004:$BM$1004,1,MATCH(COLUMNS($AM$1006:AR1006),$AM$1006:$BM$1006,0)))),"Fix")))</f>
        <v xml:space="preserve"> </v>
      </c>
      <c r="H417" s="4" t="str">
        <f ca="1">IF(OR(INDEX($AG$2:$AG$1001,MATCH(ROWS($AF$2:AF417),$AF$2:$AF$1001,0),1)&gt;=100000,INDEX($AM$1005:$BM$1005,1,MATCH(COLUMNS($AM$1006:AS1006),$AM$1006:$BM$1006,0))&gt;=100000), " ",IF(INDEX($AM$2:$BM$1001,MATCH(ROWS($AF$2:AF417),$AF$2:$AF$1001,0),MATCH(COLUMNS($AM$1006:AS1006),$AM$1006:$BM$1006,0)), HYPERLINK("#",""), HYPERLINK(CONCATENATE("#metadata!", ADDRESS(INDEX($AH$2:$AH$1001,MATCH(ROWS($AF$2:AF417),$AF$2:$AF$1001,0),0), INDEX($AM$1004:$BM$1004,1,MATCH(COLUMNS($AM$1006:AS1006),$AM$1006:$BM$1006,0)))),"Fix")))</f>
        <v xml:space="preserve"> </v>
      </c>
      <c r="I417" s="4" t="str">
        <f ca="1">IF(OR(INDEX($AG$2:$AG$1001,MATCH(ROWS($AF$2:AF417),$AF$2:$AF$1001,0),1)&gt;=100000,INDEX($AM$1005:$BM$1005,1,MATCH(COLUMNS($AM$1006:AT1006),$AM$1006:$BM$1006,0))&gt;=100000), " ",IF(INDEX($AM$2:$BM$1001,MATCH(ROWS($AF$2:AF417),$AF$2:$AF$1001,0),MATCH(COLUMNS($AM$1006:AT1006),$AM$1006:$BM$1006,0)), HYPERLINK("#",""), HYPERLINK(CONCATENATE("#metadata!", ADDRESS(INDEX($AH$2:$AH$1001,MATCH(ROWS($AF$2:AF417),$AF$2:$AF$1001,0),0), INDEX($AM$1004:$BM$1004,1,MATCH(COLUMNS($AM$1006:AT1006),$AM$1006:$BM$1006,0)))),"Fix")))</f>
        <v xml:space="preserve"> </v>
      </c>
      <c r="J417" s="4" t="str">
        <f ca="1">IF(OR(INDEX($AG$2:$AG$1001,MATCH(ROWS($AF$2:AF417),$AF$2:$AF$1001,0),1)&gt;=100000,INDEX($AM$1005:$BM$1005,1,MATCH(COLUMNS($AM$1006:AU1006),$AM$1006:$BM$1006,0))&gt;=100000), " ",IF(INDEX($AM$2:$BM$1001,MATCH(ROWS($AF$2:AF417),$AF$2:$AF$1001,0),MATCH(COLUMNS($AM$1006:AU1006),$AM$1006:$BM$1006,0)), HYPERLINK("#",""), HYPERLINK(CONCATENATE("#metadata!", ADDRESS(INDEX($AH$2:$AH$1001,MATCH(ROWS($AF$2:AF417),$AF$2:$AF$1001,0),0), INDEX($AM$1004:$BM$1004,1,MATCH(COLUMNS($AM$1006:AU1006),$AM$1006:$BM$1006,0)))),"Fix")))</f>
        <v xml:space="preserve"> </v>
      </c>
      <c r="K417" s="4" t="str">
        <f ca="1">IF(OR(INDEX($AG$2:$AG$1001,MATCH(ROWS($AF$2:AF417),$AF$2:$AF$1001,0),1)&gt;=100000,INDEX($AM$1005:$BM$1005,1,MATCH(COLUMNS($AM$1006:AV1006),$AM$1006:$BM$1006,0))&gt;=100000), " ",IF(INDEX($AM$2:$BM$1001,MATCH(ROWS($AF$2:AF417),$AF$2:$AF$1001,0),MATCH(COLUMNS($AM$1006:AV1006),$AM$1006:$BM$1006,0)), HYPERLINK("#",""), HYPERLINK(CONCATENATE("#metadata!", ADDRESS(INDEX($AH$2:$AH$1001,MATCH(ROWS($AF$2:AF417),$AF$2:$AF$1001,0),0), INDEX($AM$1004:$BM$1004,1,MATCH(COLUMNS($AM$1006:AV1006),$AM$1006:$BM$1006,0)))),"Fix")))</f>
        <v xml:space="preserve"> </v>
      </c>
      <c r="L417" s="4" t="str">
        <f ca="1">IF(OR(INDEX($AG$2:$AG$1001,MATCH(ROWS($AF$2:AF417),$AF$2:$AF$1001,0),1)&gt;=100000,INDEX($AM$1005:$BM$1005,1,MATCH(COLUMNS($AM$1006:AW1006),$AM$1006:$BM$1006,0))&gt;=100000), " ",IF(INDEX($AM$2:$BM$1001,MATCH(ROWS($AF$2:AF417),$AF$2:$AF$1001,0),MATCH(COLUMNS($AM$1006:AW1006),$AM$1006:$BM$1006,0)), HYPERLINK("#",""), HYPERLINK(CONCATENATE("#metadata!", ADDRESS(INDEX($AH$2:$AH$1001,MATCH(ROWS($AF$2:AF417),$AF$2:$AF$1001,0),0), INDEX($AM$1004:$BM$1004,1,MATCH(COLUMNS($AM$1006:AW1006),$AM$1006:$BM$1006,0)))),"Fix")))</f>
        <v xml:space="preserve"> </v>
      </c>
      <c r="M417" s="4" t="str">
        <f ca="1">IF(OR(INDEX($AG$2:$AG$1001,MATCH(ROWS($AF$2:AF417),$AF$2:$AF$1001,0),1)&gt;=100000,INDEX($AM$1005:$BM$1005,1,MATCH(COLUMNS($AM$1006:AX1006),$AM$1006:$BM$1006,0))&gt;=100000), " ",IF(INDEX($AM$2:$BM$1001,MATCH(ROWS($AF$2:AF417),$AF$2:$AF$1001,0),MATCH(COLUMNS($AM$1006:AX1006),$AM$1006:$BM$1006,0)), HYPERLINK("#",""), HYPERLINK(CONCATENATE("#metadata!", ADDRESS(INDEX($AH$2:$AH$1001,MATCH(ROWS($AF$2:AF417),$AF$2:$AF$1001,0),0), INDEX($AM$1004:$BM$1004,1,MATCH(COLUMNS($AM$1006:AX1006),$AM$1006:$BM$1006,0)))),"Fix")))</f>
        <v xml:space="preserve"> </v>
      </c>
      <c r="N417" s="4" t="str">
        <f ca="1">IF(OR(INDEX($AG$2:$AG$1001,MATCH(ROWS($AF$2:AF417),$AF$2:$AF$1001,0),1)&gt;=100000,INDEX($AM$1005:$BM$1005,1,MATCH(COLUMNS($AM$1006:AY1006),$AM$1006:$BM$1006,0))&gt;=100000), " ",IF(INDEX($AM$2:$BM$1001,MATCH(ROWS($AF$2:AF417),$AF$2:$AF$1001,0),MATCH(COLUMNS($AM$1006:AY1006),$AM$1006:$BM$1006,0)), HYPERLINK("#",""), HYPERLINK(CONCATENATE("#metadata!", ADDRESS(INDEX($AH$2:$AH$1001,MATCH(ROWS($AF$2:AF417),$AF$2:$AF$1001,0),0), INDEX($AM$1004:$BM$1004,1,MATCH(COLUMNS($AM$1006:AY1006),$AM$1006:$BM$1006,0)))),"Fix")))</f>
        <v xml:space="preserve"> </v>
      </c>
      <c r="O417" s="4" t="str">
        <f ca="1">IF(OR(INDEX($AG$2:$AG$1001,MATCH(ROWS($AF$2:AF417),$AF$2:$AF$1001,0),1)&gt;=100000,INDEX($AM$1005:$BM$1005,1,MATCH(COLUMNS($AM$1006:AZ1006),$AM$1006:$BM$1006,0))&gt;=100000), " ",IF(INDEX($AM$2:$BM$1001,MATCH(ROWS($AF$2:AF417),$AF$2:$AF$1001,0),MATCH(COLUMNS($AM$1006:AZ1006),$AM$1006:$BM$1006,0)), HYPERLINK("#",""), HYPERLINK(CONCATENATE("#metadata!", ADDRESS(INDEX($AH$2:$AH$1001,MATCH(ROWS($AF$2:AF417),$AF$2:$AF$1001,0),0), INDEX($AM$1004:$BM$1004,1,MATCH(COLUMNS($AM$1006:AZ1006),$AM$1006:$BM$1006,0)))),"Fix")))</f>
        <v xml:space="preserve"> </v>
      </c>
      <c r="P417" s="4" t="str">
        <f ca="1">IF(OR(INDEX($AG$2:$AG$1001,MATCH(ROWS($AF$2:AF417),$AF$2:$AF$1001,0),1)&gt;=100000,INDEX($AM$1005:$BM$1005,1,MATCH(COLUMNS($AM$1006:BA1006),$AM$1006:$BM$1006,0))&gt;=100000), " ",IF(INDEX($AM$2:$BM$1001,MATCH(ROWS($AF$2:AF417),$AF$2:$AF$1001,0),MATCH(COLUMNS($AM$1006:BA1006),$AM$1006:$BM$1006,0)), HYPERLINK("#",""), HYPERLINK(CONCATENATE("#metadata!", ADDRESS(INDEX($AH$2:$AH$1001,MATCH(ROWS($AF$2:AF417),$AF$2:$AF$1001,0),0), INDEX($AM$1004:$BM$1004,1,MATCH(COLUMNS($AM$1006:BA1006),$AM$1006:$BM$1006,0)))),"Fix")))</f>
        <v xml:space="preserve"> </v>
      </c>
      <c r="Q417" s="4" t="str">
        <f ca="1">IF(OR(INDEX($AG$2:$AG$1001,MATCH(ROWS($AF$2:AF417),$AF$2:$AF$1001,0),1)&gt;=100000,INDEX($AM$1005:$BM$1005,1,MATCH(COLUMNS($AM$1006:BB1006),$AM$1006:$BM$1006,0))&gt;=100000), " ",IF(INDEX($AM$2:$BM$1001,MATCH(ROWS($AF$2:AF417),$AF$2:$AF$1001,0),MATCH(COLUMNS($AM$1006:BB1006),$AM$1006:$BM$1006,0)), HYPERLINK("#",""), HYPERLINK(CONCATENATE("#metadata!", ADDRESS(INDEX($AH$2:$AH$1001,MATCH(ROWS($AF$2:AF417),$AF$2:$AF$1001,0),0), INDEX($AM$1004:$BM$1004,1,MATCH(COLUMNS($AM$1006:BB1006),$AM$1006:$BM$1006,0)))),"Fix")))</f>
        <v xml:space="preserve"> </v>
      </c>
      <c r="R417" s="4" t="str">
        <f ca="1">IF(OR(INDEX($AG$2:$AG$1001,MATCH(ROWS($AF$2:AF417),$AF$2:$AF$1001,0),1)&gt;=100000,INDEX($AM$1005:$BM$1005,1,MATCH(COLUMNS($AM$1006:BC1006),$AM$1006:$BM$1006,0))&gt;=100000), " ",IF(INDEX($AM$2:$BM$1001,MATCH(ROWS($AF$2:AF417),$AF$2:$AF$1001,0),MATCH(COLUMNS($AM$1006:BC1006),$AM$1006:$BM$1006,0)), HYPERLINK("#",""), HYPERLINK(CONCATENATE("#metadata!", ADDRESS(INDEX($AH$2:$AH$1001,MATCH(ROWS($AF$2:AF417),$AF$2:$AF$1001,0),0), INDEX($AM$1004:$BM$1004,1,MATCH(COLUMNS($AM$1006:BC1006),$AM$1006:$BM$1006,0)))),"Fix")))</f>
        <v xml:space="preserve"> </v>
      </c>
      <c r="S417" s="4" t="str">
        <f ca="1">IF(OR(INDEX($AG$2:$AG$1001,MATCH(ROWS($AF$2:AF417),$AF$2:$AF$1001,0),1)&gt;=100000,INDEX($AM$1005:$BM$1005,1,MATCH(COLUMNS($AM$1006:BD1006),$AM$1006:$BM$1006,0))&gt;=100000), " ",IF(INDEX($AM$2:$BM$1001,MATCH(ROWS($AF$2:AF417),$AF$2:$AF$1001,0),MATCH(COLUMNS($AM$1006:BD1006),$AM$1006:$BM$1006,0)), HYPERLINK("#",""), HYPERLINK(CONCATENATE("#metadata!", ADDRESS(INDEX($AH$2:$AH$1001,MATCH(ROWS($AF$2:AF417),$AF$2:$AF$1001,0),0), INDEX($AM$1004:$BM$1004,1,MATCH(COLUMNS($AM$1006:BD1006),$AM$1006:$BM$1006,0)))),"Fix")))</f>
        <v xml:space="preserve"> </v>
      </c>
      <c r="T417" s="4" t="str">
        <f ca="1">IF(OR(INDEX($AG$2:$AG$1001,MATCH(ROWS($AF$2:AF417),$AF$2:$AF$1001,0),1)&gt;=100000,INDEX($AM$1005:$BM$1005,1,MATCH(COLUMNS($AM$1006:BE1006),$AM$1006:$BM$1006,0))&gt;=100000), " ",IF(INDEX($AM$2:$BM$1001,MATCH(ROWS($AF$2:AF417),$AF$2:$AF$1001,0),MATCH(COLUMNS($AM$1006:BE1006),$AM$1006:$BM$1006,0)), HYPERLINK("#",""), HYPERLINK(CONCATENATE("#metadata!", ADDRESS(INDEX($AH$2:$AH$1001,MATCH(ROWS($AF$2:AF417),$AF$2:$AF$1001,0),0), INDEX($AM$1004:$BM$1004,1,MATCH(COLUMNS($AM$1006:BE1006),$AM$1006:$BM$1006,0)))),"Fix")))</f>
        <v xml:space="preserve"> </v>
      </c>
      <c r="U417" s="4" t="str">
        <f ca="1">IF(OR(INDEX($AG$2:$AG$1001,MATCH(ROWS($AF$2:AF417),$AF$2:$AF$1001,0),1)&gt;=100000,INDEX($AM$1005:$BM$1005,1,MATCH(COLUMNS($AM$1006:BF1006),$AM$1006:$BM$1006,0))&gt;=100000), " ",IF(INDEX($AM$2:$BM$1001,MATCH(ROWS($AF$2:AF417),$AF$2:$AF$1001,0),MATCH(COLUMNS($AM$1006:BF1006),$AM$1006:$BM$1006,0)), HYPERLINK("#",""), HYPERLINK(CONCATENATE("#metadata!", ADDRESS(INDEX($AH$2:$AH$1001,MATCH(ROWS($AF$2:AF417),$AF$2:$AF$1001,0),0), INDEX($AM$1004:$BM$1004,1,MATCH(COLUMNS($AM$1006:BF1006),$AM$1006:$BM$1006,0)))),"Fix")))</f>
        <v xml:space="preserve"> </v>
      </c>
      <c r="V417" s="4" t="str">
        <f ca="1">IF(OR(INDEX($AG$2:$AG$1001,MATCH(ROWS($AF$2:AF417),$AF$2:$AF$1001,0),1)&gt;=100000,INDEX($AM$1005:$BM$1005,1,MATCH(COLUMNS($AM$1006:BG1006),$AM$1006:$BM$1006,0))&gt;=100000), " ",IF(INDEX($AM$2:$BM$1001,MATCH(ROWS($AF$2:AF417),$AF$2:$AF$1001,0),MATCH(COLUMNS($AM$1006:BG1006),$AM$1006:$BM$1006,0)), HYPERLINK("#",""), HYPERLINK(CONCATENATE("#metadata!", ADDRESS(INDEX($AH$2:$AH$1001,MATCH(ROWS($AF$2:AF417),$AF$2:$AF$1001,0),0), INDEX($AM$1004:$BM$1004,1,MATCH(COLUMNS($AM$1006:BG1006),$AM$1006:$BM$1006,0)))),"Fix")))</f>
        <v xml:space="preserve"> </v>
      </c>
      <c r="W417" s="4" t="str">
        <f ca="1">IF(OR(INDEX($AG$2:$AG$1001,MATCH(ROWS($AF$2:AF417),$AF$2:$AF$1001,0),1)&gt;=100000,INDEX($AM$1005:$BM$1005,1,MATCH(COLUMNS($AM$1006:BH1006),$AM$1006:$BM$1006,0))&gt;=100000), " ",IF(INDEX($AM$2:$BM$1001,MATCH(ROWS($AF$2:AF417),$AF$2:$AF$1001,0),MATCH(COLUMNS($AM$1006:BH1006),$AM$1006:$BM$1006,0)), HYPERLINK("#",""), HYPERLINK(CONCATENATE("#metadata!", ADDRESS(INDEX($AH$2:$AH$1001,MATCH(ROWS($AF$2:AF417),$AF$2:$AF$1001,0),0), INDEX($AM$1004:$BM$1004,1,MATCH(COLUMNS($AM$1006:BH1006),$AM$1006:$BM$1006,0)))),"Fix")))</f>
        <v xml:space="preserve"> </v>
      </c>
      <c r="X417" s="4" t="str">
        <f ca="1">IF(OR(INDEX($AG$2:$AG$1001,MATCH(ROWS($AF$2:AF417),$AF$2:$AF$1001,0),1)&gt;=100000,INDEX($AM$1005:$BM$1005,1,MATCH(COLUMNS($AM$1006:BI1006),$AM$1006:$BM$1006,0))&gt;=100000), " ",IF(INDEX($AM$2:$BM$1001,MATCH(ROWS($AF$2:AF417),$AF$2:$AF$1001,0),MATCH(COLUMNS($AM$1006:BI1006),$AM$1006:$BM$1006,0)), HYPERLINK("#",""), HYPERLINK(CONCATENATE("#metadata!", ADDRESS(INDEX($AH$2:$AH$1001,MATCH(ROWS($AF$2:AF417),$AF$2:$AF$1001,0),0), INDEX($AM$1004:$BM$1004,1,MATCH(COLUMNS($AM$1006:BI1006),$AM$1006:$BM$1006,0)))),"Fix")))</f>
        <v xml:space="preserve"> </v>
      </c>
      <c r="Y417" s="4" t="str">
        <f ca="1">IF(OR(INDEX($AG$2:$AG$1001,MATCH(ROWS($AF$2:AF417),$AF$2:$AF$1001,0),1)&gt;=100000,INDEX($AM$1005:$BM$1005,1,MATCH(COLUMNS($AM$1006:BJ1006),$AM$1006:$BM$1006,0))&gt;=100000), " ",IF(INDEX($AM$2:$BM$1001,MATCH(ROWS($AF$2:AF417),$AF$2:$AF$1001,0),MATCH(COLUMNS($AM$1006:BJ1006),$AM$1006:$BM$1006,0)), HYPERLINK("#",""), HYPERLINK(CONCATENATE("#metadata!", ADDRESS(INDEX($AH$2:$AH$1001,MATCH(ROWS($AF$2:AF417),$AF$2:$AF$1001,0),0), INDEX($AM$1004:$BM$1004,1,MATCH(COLUMNS($AM$1006:BJ1006),$AM$1006:$BM$1006,0)))),"Fix")))</f>
        <v xml:space="preserve"> </v>
      </c>
      <c r="Z417" s="4" t="str">
        <f ca="1">IF(OR(INDEX($AG$2:$AG$1001,MATCH(ROWS($AF$2:AF417),$AF$2:$AF$1001,0),1)&gt;=100000,INDEX($AM$1005:$BM$1005,1,MATCH(COLUMNS($AM$1006:BK1006),$AM$1006:$BM$1006,0))&gt;=100000), " ",IF(INDEX($AM$2:$BM$1001,MATCH(ROWS($AF$2:AF417),$AF$2:$AF$1001,0),MATCH(COLUMNS($AM$1006:BK1006),$AM$1006:$BM$1006,0)), HYPERLINK("#",""), HYPERLINK(CONCATENATE("#metadata!", ADDRESS(INDEX($AH$2:$AH$1001,MATCH(ROWS($AF$2:AF417),$AF$2:$AF$1001,0),0), INDEX($AM$1004:$BM$1004,1,MATCH(COLUMNS($AM$1006:BK1006),$AM$1006:$BM$1006,0)))),"Fix")))</f>
        <v xml:space="preserve"> </v>
      </c>
      <c r="AA417" s="4" t="str">
        <f ca="1">IF(OR(INDEX($AG$2:$AG$1001,MATCH(ROWS($AF$2:AF417),$AF$2:$AF$1001,0),1)&gt;=100000,INDEX($AM$1005:$BM$1005,1,MATCH(COLUMNS($AM$1006:BL1006),$AM$1006:$BM$1006,0))&gt;=100000), " ",IF(INDEX($AM$2:$BM$1001,MATCH(ROWS($AF$2:AF417),$AF$2:$AF$1001,0),MATCH(COLUMNS($AM$1006:BL1006),$AM$1006:$BM$1006,0)), HYPERLINK("#",""), HYPERLINK(CONCATENATE("#metadata!", ADDRESS(INDEX($AH$2:$AH$1001,MATCH(ROWS($AF$2:AF417),$AF$2:$AF$1001,0),0), INDEX($AM$1004:$BM$1004,1,MATCH(COLUMNS($AM$1006:BL1006),$AM$1006:$BM$1006,0)))),"Fix")))</f>
        <v xml:space="preserve"> </v>
      </c>
      <c r="AB417" s="4" t="str">
        <f ca="1">IF(OR(INDEX($AG$2:$AG$1001,MATCH(ROWS($AF$2:AF417),$AF$2:$AF$1001,0),1)&gt;=100000,INDEX($AM$1005:$BM$1005,1,MATCH(COLUMNS($AM$1006:BM1006),$AM$1006:$BM$1006,0))&gt;=100000), " ",IF(INDEX($AM$2:$BM$1001,MATCH(ROWS($AF$2:AF417),$AF$2:$AF$1001,0),MATCH(COLUMNS($AM$1006:BM1006),$AM$1006:$BM$1006,0)), HYPERLINK("#",""), HYPERLINK(CONCATENATE("#metadata!", ADDRESS(INDEX($AH$2:$AH$1001,MATCH(ROWS($AF$2:AF417),$AF$2:$AF$1001,0),0), INDEX($AM$1004:$BM$1004,1,MATCH(COLUMNS($AM$1006:BM1006),$AM$1006:$BM$1006,0)))),"Fix")))</f>
        <v xml:space="preserve"> </v>
      </c>
      <c r="AF417">
        <v>416</v>
      </c>
      <c r="AG417">
        <v>100417</v>
      </c>
      <c r="AH417">
        <v>417</v>
      </c>
      <c r="AI417" t="b">
        <f t="shared" si="6"/>
        <v>1</v>
      </c>
      <c r="AJ417" t="b">
        <f>COUNTBLANK(metadata!B417:AB417)=COLUMNS(metadata!B417:AB417)</f>
        <v>1</v>
      </c>
      <c r="AK417" t="str">
        <v/>
      </c>
      <c r="AM417" t="b">
        <f ca="1">AND(IF(metadata!B417="",FALSE,TRUE),COUNTIF(metadata!B:B, metadata!B417) = 1,NOT(ISERROR(SUMPRODUCT(SEARCH(MID(metadata!B417,ROW(INDIRECT("1:"&amp;LEN(metadata!B417))), 1),"0123456789abcdefghijklmnopqrstuvwxyzABCDEFGHIJKLMNOPQRSTUVWXYZ.")))))</f>
        <v>0</v>
      </c>
      <c r="AN417" t="b">
        <f ca="1">OR(AND(IF(metadata!C417="",FALSE,TRUE),OR(EXACT(metadata!C417,"missing: not collected"),EXACT(metadata!C417,"missing: not provided"),EXACT(metadata!C417,"missing: restricted access"))),AND(IF(metadata!C417="",FALSE,TRUE),AND(AND(IFERROR(INT(LEFT(metadata!C417,4))&gt;1900,FALSE),IFERROR(INT(LEFT(metadata!C417,4))&lt;=YEAR(NOW()),FALSE)), OR(MID(metadata!C417,5,1)="", AND(AND(MID(metadata!C417,5,1)="-",IFERROR(INT(MID(metadata!C417,6,1))&gt;=0,FALSE),IFERROR(INT(MID(metadata!C417,6,1))&lt;=1,FALSE),NOT(MID(metadata!C417,7,1)=""),IFERROR(INT(MID(metadata!C417,6,2))&gt;=1,FALSE),IFERROR(INT(MID(metadata!C417,6,2))&lt;=12,FALSE)), OR(MID(metadata!C417,8,1)="", AND(AND(MID(metadata!C417,8,1)="-",IFERROR(INT(MID(metadata!C417,9,1))&gt;=0,FALSE),IFERROR(INT(MID(metadata!C417,9,1))&lt;=3,FALSE),NOT(MID(metadata!C417,10,1)=""),IFERROR(INT(MID(metadata!C417,9,2))&gt;=1,FALSE),IFERROR(INT(MID(metadata!C417,9,2))&lt;=31,FALSE)), OR(MID(metadata!C417,11,1)="", AND(AND(MID(metadata!C417,11,1)=" ",IFERROR(INT(MID(metadata!C417,12,1))&gt;=0,FALSE),IFERROR(INT(MID(metadata!C417,12,1))&lt;=2,FALSE),NOT(MID(metadata!C417,13,1)=""),IFERROR(INT(MID(metadata!C417,12,2))&gt;=0,FALSE),IFERROR(INT(MID(metadata!C417,12,2))&lt;=23,FALSE)), OR(MID(metadata!C417,14,1)="", AND(AND(MID(metadata!C417,14,1)=":",IFERROR(INT(MID(metadata!C417,15,1))&gt;=0,FALSE),IFERROR(INT(MID(metadata!C417,15,1))&lt;=5,FALSE),NOT(MID(metadata!C417,16,1)=""),IFERROR(INT(MID(metadata!C417,15,2))&gt;=0,FALSE),IFERROR(INT(MID(metadata!C417,15,2))&lt;=59,FALSE)), OR(MID(metadata!C417,17,1)="", AND(AND(MID(metadata!C417,17,1)=":",IFERROR(INT(MID(metadata!C417,18,1))&gt;=0,FALSE),IFERROR(INT(MID(metadata!C417,18,1))&lt;=5,FALSE),NOT(MID(metadata!C417,19,1)=""),IFERROR(INT(MID(metadata!C417,18,2))&gt;=0,FALSE),IFERROR(INT(MID(metadata!C417,18,2))&lt;=59,FALSE)), LEN(metadata!C417)&lt;=19)))))))))))))</f>
        <v>0</v>
      </c>
      <c r="AO417" t="b">
        <f>AND(IF(metadata!D417="",FALSE,TRUE),EXACT(metadata!D417,"Not applicable"))</f>
        <v>0</v>
      </c>
      <c r="AP417" t="b">
        <f>IF(metadata!E417="",FALSE,TRUE)</f>
        <v>0</v>
      </c>
      <c r="AQ417" t="b">
        <f>OR(AND(IF(metadata!F417="",FALSE,TRUE),OR(EXACT(metadata!F417,"missing: not collected"),EXACT(metadata!F417,"missing: not provided"))),AND(IF(metadata!F417="",FALSE,TRUE),OR(EXACT(metadata!F417,"TRUE"),EXACT(metadata!F417,"FALSE"))))</f>
        <v>0</v>
      </c>
      <c r="AR417" t="b">
        <f>OR(AND(IF(metadata!G417="",FALSE,TRUE),OR(EXACT(metadata!G417,"missing: not collected"),EXACT(metadata!G417,"missing: not provided"),EXACT(metadata!G417,"missing: restricted access"))),AND(IF(metadata!G417="",FALSE,ISNUMBER(VALUE(metadata!G417))),metadata!G417&gt;=-413))</f>
        <v>0</v>
      </c>
      <c r="AS417" t="b">
        <f>AND(IF(metadata!H417="",FALSE,TRUE),EXACT(metadata!H417,"meters"))</f>
        <v>0</v>
      </c>
      <c r="AT417" t="b">
        <f>AND(IF(metadata!I417="",FALSE,TRUE),OR(EXACT(metadata!I417,"Host-associated"),EXACT(metadata!I417,"Free-living")))</f>
        <v>0</v>
      </c>
      <c r="AU417" t="b">
        <f>AND(IF(metadata!J417="",FALSE,TRUE),OR(EXACT(metadata!J417,"Animal"),EXACT(metadata!J417,"Fungus"),EXACT(metadata!J417,"Plant"),EXACT(metadata!J417,"Saline"),EXACT(metadata!J417,"Non-saline")))</f>
        <v>0</v>
      </c>
      <c r="AV417" t="b">
        <f>AND(IF(metadata!K417="",FALSE,TRUE),OR(EXACT(metadata!K417,"Plant secretion"),EXACT(metadata!K417,"Plant rhizosphere"),EXACT(metadata!K417,"Plant surface"),EXACT(metadata!K417,"Plant corpus"),EXACT(metadata!K417,"Fungus surface"),EXACT(metadata!K417,"Fungus corpus"),EXACT(metadata!K417,"Animal surface"),EXACT(metadata!K417,"Animal proximal gut"),EXACT(metadata!K417,"Animal corpus"),EXACT(metadata!K417,"Animal distal gut"),EXACT(metadata!K417,"Animal secretion"),EXACT(metadata!K417,"Sub-surface (non-saline)"),EXACT(metadata!K417,"Surface (non-saline)"),EXACT(metadata!K417,"Water (non-saline)"),EXACT(metadata!K417,"Soil (non-saline)"),EXACT(metadata!K417,"Aerosol (non-saline)"),EXACT(metadata!K417,"Sediment (non-saline)"),EXACT(metadata!K417,"Surface (saline)"),EXACT(metadata!K417,"Water (saline)"),EXACT(metadata!K417,"Hypersaline (saline)"),EXACT(metadata!K417,"Aerosol (saline)"),EXACT(metadata!K417,"Sediment (saline)")))</f>
        <v>0</v>
      </c>
      <c r="AW417" t="b">
        <f>IF(metadata!L417="",FALSE,TRUE)</f>
        <v>0</v>
      </c>
      <c r="AX417" t="b">
        <f>IF(metadata!M417="",FALSE,TRUE)</f>
        <v>0</v>
      </c>
      <c r="AY417" t="b">
        <f>IF(metadata!N417="",FALSE,TRUE)</f>
        <v>0</v>
      </c>
      <c r="AZ417" t="b">
        <f>OR(AND(IF(metadata!O417="",FALSE,TRUE),OR(EXACT(metadata!O417,"missing: not collected"),EXACT(metadata!O417,"missing: not provided"),EXACT(metadata!O417,"missing: restricted access"))),AND(IF(metadata!O417="",FALSE,TRUE),OR(EXACT(metadata!O417,"air"),EXACT(metadata!O417,"built environment"),EXACT(metadata!O417,"host-associated"),EXACT(metadata!O417,"human-associated"),EXACT(metadata!O417,"human-skin"),EXACT(metadata!O417,"human-oral"),EXACT(metadata!O417,"human-gut"),EXACT(metadata!O417,"human-vaginal"),EXACT(metadata!O417,"microbial mat/biofilm"),EXACT(metadata!O417,"misc environment"),EXACT(metadata!O417,"plant-associated"),EXACT(metadata!O417,"sediment"),EXACT(metadata!O417,"soil"),EXACT(metadata!O417,"wastewater/sludge"),EXACT(metadata!O417,"water"))))</f>
        <v>0</v>
      </c>
      <c r="BA417" t="b">
        <f>IF(metadata!P417="",FALSE,TRUE)</f>
        <v>0</v>
      </c>
      <c r="BB417" t="b">
        <f>IF(metadata!Q417="",FALSE,TRUE)</f>
        <v>0</v>
      </c>
      <c r="BC417" t="b">
        <f>OR(AND(IF(metadata!R417="",FALSE,TRUE),OR(EXACT(metadata!R417,"missing: not collected"),EXACT(metadata!R417,"missing: not provided"),EXACT(metadata!R417,"missing: restricted access"))),AND(IF(metadata!R417="",FALSE,ISNUMBER(VALUE(metadata!R417))),metadata!R417&gt;=-90,metadata!R417&lt;=90))</f>
        <v>0</v>
      </c>
      <c r="BD417" t="b">
        <f>AND(IF(metadata!S417="",FALSE,TRUE),EXACT(metadata!S417,"Decimal degrees"))</f>
        <v>0</v>
      </c>
      <c r="BE417" t="b">
        <f>OR(AND(IF(metadata!T417="",FALSE,TRUE),OR(EXACT(metadata!T417,"missing: not collected"),EXACT(metadata!T417,"missing: not provided"),EXACT(metadata!T417,"missing: restricted access"))),AND(IF(metadata!T417="",FALSE,ISNUMBER(VALUE(metadata!T417))),metadata!T417&gt;=-180,metadata!T417&lt;=180))</f>
        <v>0</v>
      </c>
      <c r="BF417" t="b">
        <f>AND(IF(metadata!U417="",FALSE,TRUE),EXACT(metadata!U417,"Decimal degrees"))</f>
        <v>0</v>
      </c>
      <c r="BG417" t="b">
        <f>IF(metadata!V417="",FALSE,TRUE)</f>
        <v>0</v>
      </c>
      <c r="BH417" t="b">
        <f>OR(AND(IF(metadata!W417="",FALSE,TRUE),OR(EXACT(metadata!W417,"missing: not collected"),EXACT(metadata!W417,"missing: not provided"),EXACT(metadata!W417,"missing: restricted access"))),AND(IF(metadata!W417="",FALSE,TRUE),OR(EXACT(metadata!W417,"TRUE"),EXACT(metadata!W417,"FALSE"))))</f>
        <v>0</v>
      </c>
      <c r="BI417" t="b">
        <f>AND(IF(metadata!X417="",FALSE,TRUE),EXACT(metadata!X417,"other"))</f>
        <v>0</v>
      </c>
      <c r="BJ417" t="b">
        <f>IF(metadata!Y417="",FALSE,TRUE)</f>
        <v>0</v>
      </c>
      <c r="BK417" t="b">
        <f>OR(AND(IF(metadata!Z417="",FALSE,TRUE),OR(EXACT(metadata!Z417,"missing: not collected"),EXACT(metadata!Z417,"missing: not provided"))),AND(IF(metadata!Z417="",FALSE,IF(ISERROR(INT(metadata!Z417)),FALSE,INT(metadata!Z417)=metadata!Z417)),metadata!Z417&gt;0))</f>
        <v>0</v>
      </c>
      <c r="BL417" t="b">
        <f>AND(IF(metadata!AA417="",FALSE,TRUE),EXACT(metadata!AA417,"Not applicable"))</f>
        <v>0</v>
      </c>
      <c r="BM417" t="b">
        <f>IF(metadata!AB417="",FALSE,TRUE)</f>
        <v>0</v>
      </c>
    </row>
    <row r="418" spans="1:65" x14ac:dyDescent="0.2">
      <c r="A418" s="5" t="str">
        <f ca="1">IF(B418=" "," ",HYPERLINK(CONCATENATE("#metadata!",ADDRESS(INDEX($AH$2:$AH$1001,MATCH(ROWS($AF$2:AF418),$AF$2:$AF$1001,0),0),1)),INDEX($AK$2:$AK$1001,MATCH(ROWS($AF$2:AF418),$AF$2:$AF$1001,0),0)))</f>
        <v xml:space="preserve"> </v>
      </c>
      <c r="B418" s="4" t="str">
        <f ca="1">IF(OR(INDEX($AG$2:$AG$1001,MATCH(ROWS($AF$2:AF418),$AF$2:$AF$1001,0),1)&gt;=100000,INDEX($AM$1005:$BM$1005,1,MATCH(COLUMNS($AM$1006:AM1006),$AM$1006:$BM$1006,0))&gt;=100000), " ",IF(INDEX($AM$2:$BM$1001,MATCH(ROWS($AF$2:AF418),$AF$2:$AF$1001,0),MATCH(COLUMNS($AM$1006:AM1006),$AM$1006:$BM$1006,0)), HYPERLINK("#",""), HYPERLINK(CONCATENATE("#metadata!", ADDRESS(INDEX($AH$2:$AH$1001,MATCH(ROWS($AF$2:AF418),$AF$2:$AF$1001,0),0), INDEX($AM$1004:$BM$1004,1,MATCH(COLUMNS($AM$1006:AM1006),$AM$1006:$BM$1006,0)))),"Fix")))</f>
        <v xml:space="preserve"> </v>
      </c>
      <c r="C418" s="4" t="str">
        <f ca="1">IF(OR(INDEX($AG$2:$AG$1001,MATCH(ROWS($AF$2:AF418),$AF$2:$AF$1001,0),1)&gt;=100000,INDEX($AM$1005:$BM$1005,1,MATCH(COLUMNS($AM$1006:AN1006),$AM$1006:$BM$1006,0))&gt;=100000), " ",IF(INDEX($AM$2:$BM$1001,MATCH(ROWS($AF$2:AF418),$AF$2:$AF$1001,0),MATCH(COLUMNS($AM$1006:AN1006),$AM$1006:$BM$1006,0)), HYPERLINK("#",""), HYPERLINK(CONCATENATE("#metadata!", ADDRESS(INDEX($AH$2:$AH$1001,MATCH(ROWS($AF$2:AF418),$AF$2:$AF$1001,0),0), INDEX($AM$1004:$BM$1004,1,MATCH(COLUMNS($AM$1006:AN1006),$AM$1006:$BM$1006,0)))),"Fix")))</f>
        <v xml:space="preserve"> </v>
      </c>
      <c r="D418" s="4" t="str">
        <f ca="1">IF(OR(INDEX($AG$2:$AG$1001,MATCH(ROWS($AF$2:AF418),$AF$2:$AF$1001,0),1)&gt;=100000,INDEX($AM$1005:$BM$1005,1,MATCH(COLUMNS($AM$1006:AO1006),$AM$1006:$BM$1006,0))&gt;=100000), " ",IF(INDEX($AM$2:$BM$1001,MATCH(ROWS($AF$2:AF418),$AF$2:$AF$1001,0),MATCH(COLUMNS($AM$1006:AO1006),$AM$1006:$BM$1006,0)), HYPERLINK("#",""), HYPERLINK(CONCATENATE("#metadata!", ADDRESS(INDEX($AH$2:$AH$1001,MATCH(ROWS($AF$2:AF418),$AF$2:$AF$1001,0),0), INDEX($AM$1004:$BM$1004,1,MATCH(COLUMNS($AM$1006:AO1006),$AM$1006:$BM$1006,0)))),"Fix")))</f>
        <v xml:space="preserve"> </v>
      </c>
      <c r="E418" s="4" t="str">
        <f ca="1">IF(OR(INDEX($AG$2:$AG$1001,MATCH(ROWS($AF$2:AF418),$AF$2:$AF$1001,0),1)&gt;=100000,INDEX($AM$1005:$BM$1005,1,MATCH(COLUMNS($AM$1006:AP1006),$AM$1006:$BM$1006,0))&gt;=100000), " ",IF(INDEX($AM$2:$BM$1001,MATCH(ROWS($AF$2:AF418),$AF$2:$AF$1001,0),MATCH(COLUMNS($AM$1006:AP1006),$AM$1006:$BM$1006,0)), HYPERLINK("#",""), HYPERLINK(CONCATENATE("#metadata!", ADDRESS(INDEX($AH$2:$AH$1001,MATCH(ROWS($AF$2:AF418),$AF$2:$AF$1001,0),0), INDEX($AM$1004:$BM$1004,1,MATCH(COLUMNS($AM$1006:AP1006),$AM$1006:$BM$1006,0)))),"Fix")))</f>
        <v xml:space="preserve"> </v>
      </c>
      <c r="F418" s="4" t="str">
        <f ca="1">IF(OR(INDEX($AG$2:$AG$1001,MATCH(ROWS($AF$2:AF418),$AF$2:$AF$1001,0),1)&gt;=100000,INDEX($AM$1005:$BM$1005,1,MATCH(COLUMNS($AM$1006:AQ1006),$AM$1006:$BM$1006,0))&gt;=100000), " ",IF(INDEX($AM$2:$BM$1001,MATCH(ROWS($AF$2:AF418),$AF$2:$AF$1001,0),MATCH(COLUMNS($AM$1006:AQ1006),$AM$1006:$BM$1006,0)), HYPERLINK("#",""), HYPERLINK(CONCATENATE("#metadata!", ADDRESS(INDEX($AH$2:$AH$1001,MATCH(ROWS($AF$2:AF418),$AF$2:$AF$1001,0),0), INDEX($AM$1004:$BM$1004,1,MATCH(COLUMNS($AM$1006:AQ1006),$AM$1006:$BM$1006,0)))),"Fix")))</f>
        <v xml:space="preserve"> </v>
      </c>
      <c r="G418" s="4" t="str">
        <f ca="1">IF(OR(INDEX($AG$2:$AG$1001,MATCH(ROWS($AF$2:AF418),$AF$2:$AF$1001,0),1)&gt;=100000,INDEX($AM$1005:$BM$1005,1,MATCH(COLUMNS($AM$1006:AR1006),$AM$1006:$BM$1006,0))&gt;=100000), " ",IF(INDEX($AM$2:$BM$1001,MATCH(ROWS($AF$2:AF418),$AF$2:$AF$1001,0),MATCH(COLUMNS($AM$1006:AR1006),$AM$1006:$BM$1006,0)), HYPERLINK("#",""), HYPERLINK(CONCATENATE("#metadata!", ADDRESS(INDEX($AH$2:$AH$1001,MATCH(ROWS($AF$2:AF418),$AF$2:$AF$1001,0),0), INDEX($AM$1004:$BM$1004,1,MATCH(COLUMNS($AM$1006:AR1006),$AM$1006:$BM$1006,0)))),"Fix")))</f>
        <v xml:space="preserve"> </v>
      </c>
      <c r="H418" s="4" t="str">
        <f ca="1">IF(OR(INDEX($AG$2:$AG$1001,MATCH(ROWS($AF$2:AF418),$AF$2:$AF$1001,0),1)&gt;=100000,INDEX($AM$1005:$BM$1005,1,MATCH(COLUMNS($AM$1006:AS1006),$AM$1006:$BM$1006,0))&gt;=100000), " ",IF(INDEX($AM$2:$BM$1001,MATCH(ROWS($AF$2:AF418),$AF$2:$AF$1001,0),MATCH(COLUMNS($AM$1006:AS1006),$AM$1006:$BM$1006,0)), HYPERLINK("#",""), HYPERLINK(CONCATENATE("#metadata!", ADDRESS(INDEX($AH$2:$AH$1001,MATCH(ROWS($AF$2:AF418),$AF$2:$AF$1001,0),0), INDEX($AM$1004:$BM$1004,1,MATCH(COLUMNS($AM$1006:AS1006),$AM$1006:$BM$1006,0)))),"Fix")))</f>
        <v xml:space="preserve"> </v>
      </c>
      <c r="I418" s="4" t="str">
        <f ca="1">IF(OR(INDEX($AG$2:$AG$1001,MATCH(ROWS($AF$2:AF418),$AF$2:$AF$1001,0),1)&gt;=100000,INDEX($AM$1005:$BM$1005,1,MATCH(COLUMNS($AM$1006:AT1006),$AM$1006:$BM$1006,0))&gt;=100000), " ",IF(INDEX($AM$2:$BM$1001,MATCH(ROWS($AF$2:AF418),$AF$2:$AF$1001,0),MATCH(COLUMNS($AM$1006:AT1006),$AM$1006:$BM$1006,0)), HYPERLINK("#",""), HYPERLINK(CONCATENATE("#metadata!", ADDRESS(INDEX($AH$2:$AH$1001,MATCH(ROWS($AF$2:AF418),$AF$2:$AF$1001,0),0), INDEX($AM$1004:$BM$1004,1,MATCH(COLUMNS($AM$1006:AT1006),$AM$1006:$BM$1006,0)))),"Fix")))</f>
        <v xml:space="preserve"> </v>
      </c>
      <c r="J418" s="4" t="str">
        <f ca="1">IF(OR(INDEX($AG$2:$AG$1001,MATCH(ROWS($AF$2:AF418),$AF$2:$AF$1001,0),1)&gt;=100000,INDEX($AM$1005:$BM$1005,1,MATCH(COLUMNS($AM$1006:AU1006),$AM$1006:$BM$1006,0))&gt;=100000), " ",IF(INDEX($AM$2:$BM$1001,MATCH(ROWS($AF$2:AF418),$AF$2:$AF$1001,0),MATCH(COLUMNS($AM$1006:AU1006),$AM$1006:$BM$1006,0)), HYPERLINK("#",""), HYPERLINK(CONCATENATE("#metadata!", ADDRESS(INDEX($AH$2:$AH$1001,MATCH(ROWS($AF$2:AF418),$AF$2:$AF$1001,0),0), INDEX($AM$1004:$BM$1004,1,MATCH(COLUMNS($AM$1006:AU1006),$AM$1006:$BM$1006,0)))),"Fix")))</f>
        <v xml:space="preserve"> </v>
      </c>
      <c r="K418" s="4" t="str">
        <f ca="1">IF(OR(INDEX($AG$2:$AG$1001,MATCH(ROWS($AF$2:AF418),$AF$2:$AF$1001,0),1)&gt;=100000,INDEX($AM$1005:$BM$1005,1,MATCH(COLUMNS($AM$1006:AV1006),$AM$1006:$BM$1006,0))&gt;=100000), " ",IF(INDEX($AM$2:$BM$1001,MATCH(ROWS($AF$2:AF418),$AF$2:$AF$1001,0),MATCH(COLUMNS($AM$1006:AV1006),$AM$1006:$BM$1006,0)), HYPERLINK("#",""), HYPERLINK(CONCATENATE("#metadata!", ADDRESS(INDEX($AH$2:$AH$1001,MATCH(ROWS($AF$2:AF418),$AF$2:$AF$1001,0),0), INDEX($AM$1004:$BM$1004,1,MATCH(COLUMNS($AM$1006:AV1006),$AM$1006:$BM$1006,0)))),"Fix")))</f>
        <v xml:space="preserve"> </v>
      </c>
      <c r="L418" s="4" t="str">
        <f ca="1">IF(OR(INDEX($AG$2:$AG$1001,MATCH(ROWS($AF$2:AF418),$AF$2:$AF$1001,0),1)&gt;=100000,INDEX($AM$1005:$BM$1005,1,MATCH(COLUMNS($AM$1006:AW1006),$AM$1006:$BM$1006,0))&gt;=100000), " ",IF(INDEX($AM$2:$BM$1001,MATCH(ROWS($AF$2:AF418),$AF$2:$AF$1001,0),MATCH(COLUMNS($AM$1006:AW1006),$AM$1006:$BM$1006,0)), HYPERLINK("#",""), HYPERLINK(CONCATENATE("#metadata!", ADDRESS(INDEX($AH$2:$AH$1001,MATCH(ROWS($AF$2:AF418),$AF$2:$AF$1001,0),0), INDEX($AM$1004:$BM$1004,1,MATCH(COLUMNS($AM$1006:AW1006),$AM$1006:$BM$1006,0)))),"Fix")))</f>
        <v xml:space="preserve"> </v>
      </c>
      <c r="M418" s="4" t="str">
        <f ca="1">IF(OR(INDEX($AG$2:$AG$1001,MATCH(ROWS($AF$2:AF418),$AF$2:$AF$1001,0),1)&gt;=100000,INDEX($AM$1005:$BM$1005,1,MATCH(COLUMNS($AM$1006:AX1006),$AM$1006:$BM$1006,0))&gt;=100000), " ",IF(INDEX($AM$2:$BM$1001,MATCH(ROWS($AF$2:AF418),$AF$2:$AF$1001,0),MATCH(COLUMNS($AM$1006:AX1006),$AM$1006:$BM$1006,0)), HYPERLINK("#",""), HYPERLINK(CONCATENATE("#metadata!", ADDRESS(INDEX($AH$2:$AH$1001,MATCH(ROWS($AF$2:AF418),$AF$2:$AF$1001,0),0), INDEX($AM$1004:$BM$1004,1,MATCH(COLUMNS($AM$1006:AX1006),$AM$1006:$BM$1006,0)))),"Fix")))</f>
        <v xml:space="preserve"> </v>
      </c>
      <c r="N418" s="4" t="str">
        <f ca="1">IF(OR(INDEX($AG$2:$AG$1001,MATCH(ROWS($AF$2:AF418),$AF$2:$AF$1001,0),1)&gt;=100000,INDEX($AM$1005:$BM$1005,1,MATCH(COLUMNS($AM$1006:AY1006),$AM$1006:$BM$1006,0))&gt;=100000), " ",IF(INDEX($AM$2:$BM$1001,MATCH(ROWS($AF$2:AF418),$AF$2:$AF$1001,0),MATCH(COLUMNS($AM$1006:AY1006),$AM$1006:$BM$1006,0)), HYPERLINK("#",""), HYPERLINK(CONCATENATE("#metadata!", ADDRESS(INDEX($AH$2:$AH$1001,MATCH(ROWS($AF$2:AF418),$AF$2:$AF$1001,0),0), INDEX($AM$1004:$BM$1004,1,MATCH(COLUMNS($AM$1006:AY1006),$AM$1006:$BM$1006,0)))),"Fix")))</f>
        <v xml:space="preserve"> </v>
      </c>
      <c r="O418" s="4" t="str">
        <f ca="1">IF(OR(INDEX($AG$2:$AG$1001,MATCH(ROWS($AF$2:AF418),$AF$2:$AF$1001,0),1)&gt;=100000,INDEX($AM$1005:$BM$1005,1,MATCH(COLUMNS($AM$1006:AZ1006),$AM$1006:$BM$1006,0))&gt;=100000), " ",IF(INDEX($AM$2:$BM$1001,MATCH(ROWS($AF$2:AF418),$AF$2:$AF$1001,0),MATCH(COLUMNS($AM$1006:AZ1006),$AM$1006:$BM$1006,0)), HYPERLINK("#",""), HYPERLINK(CONCATENATE("#metadata!", ADDRESS(INDEX($AH$2:$AH$1001,MATCH(ROWS($AF$2:AF418),$AF$2:$AF$1001,0),0), INDEX($AM$1004:$BM$1004,1,MATCH(COLUMNS($AM$1006:AZ1006),$AM$1006:$BM$1006,0)))),"Fix")))</f>
        <v xml:space="preserve"> </v>
      </c>
      <c r="P418" s="4" t="str">
        <f ca="1">IF(OR(INDEX($AG$2:$AG$1001,MATCH(ROWS($AF$2:AF418),$AF$2:$AF$1001,0),1)&gt;=100000,INDEX($AM$1005:$BM$1005,1,MATCH(COLUMNS($AM$1006:BA1006),$AM$1006:$BM$1006,0))&gt;=100000), " ",IF(INDEX($AM$2:$BM$1001,MATCH(ROWS($AF$2:AF418),$AF$2:$AF$1001,0),MATCH(COLUMNS($AM$1006:BA1006),$AM$1006:$BM$1006,0)), HYPERLINK("#",""), HYPERLINK(CONCATENATE("#metadata!", ADDRESS(INDEX($AH$2:$AH$1001,MATCH(ROWS($AF$2:AF418),$AF$2:$AF$1001,0),0), INDEX($AM$1004:$BM$1004,1,MATCH(COLUMNS($AM$1006:BA1006),$AM$1006:$BM$1006,0)))),"Fix")))</f>
        <v xml:space="preserve"> </v>
      </c>
      <c r="Q418" s="4" t="str">
        <f ca="1">IF(OR(INDEX($AG$2:$AG$1001,MATCH(ROWS($AF$2:AF418),$AF$2:$AF$1001,0),1)&gt;=100000,INDEX($AM$1005:$BM$1005,1,MATCH(COLUMNS($AM$1006:BB1006),$AM$1006:$BM$1006,0))&gt;=100000), " ",IF(INDEX($AM$2:$BM$1001,MATCH(ROWS($AF$2:AF418),$AF$2:$AF$1001,0),MATCH(COLUMNS($AM$1006:BB1006),$AM$1006:$BM$1006,0)), HYPERLINK("#",""), HYPERLINK(CONCATENATE("#metadata!", ADDRESS(INDEX($AH$2:$AH$1001,MATCH(ROWS($AF$2:AF418),$AF$2:$AF$1001,0),0), INDEX($AM$1004:$BM$1004,1,MATCH(COLUMNS($AM$1006:BB1006),$AM$1006:$BM$1006,0)))),"Fix")))</f>
        <v xml:space="preserve"> </v>
      </c>
      <c r="R418" s="4" t="str">
        <f ca="1">IF(OR(INDEX($AG$2:$AG$1001,MATCH(ROWS($AF$2:AF418),$AF$2:$AF$1001,0),1)&gt;=100000,INDEX($AM$1005:$BM$1005,1,MATCH(COLUMNS($AM$1006:BC1006),$AM$1006:$BM$1006,0))&gt;=100000), " ",IF(INDEX($AM$2:$BM$1001,MATCH(ROWS($AF$2:AF418),$AF$2:$AF$1001,0),MATCH(COLUMNS($AM$1006:BC1006),$AM$1006:$BM$1006,0)), HYPERLINK("#",""), HYPERLINK(CONCATENATE("#metadata!", ADDRESS(INDEX($AH$2:$AH$1001,MATCH(ROWS($AF$2:AF418),$AF$2:$AF$1001,0),0), INDEX($AM$1004:$BM$1004,1,MATCH(COLUMNS($AM$1006:BC1006),$AM$1006:$BM$1006,0)))),"Fix")))</f>
        <v xml:space="preserve"> </v>
      </c>
      <c r="S418" s="4" t="str">
        <f ca="1">IF(OR(INDEX($AG$2:$AG$1001,MATCH(ROWS($AF$2:AF418),$AF$2:$AF$1001,0),1)&gt;=100000,INDEX($AM$1005:$BM$1005,1,MATCH(COLUMNS($AM$1006:BD1006),$AM$1006:$BM$1006,0))&gt;=100000), " ",IF(INDEX($AM$2:$BM$1001,MATCH(ROWS($AF$2:AF418),$AF$2:$AF$1001,0),MATCH(COLUMNS($AM$1006:BD1006),$AM$1006:$BM$1006,0)), HYPERLINK("#",""), HYPERLINK(CONCATENATE("#metadata!", ADDRESS(INDEX($AH$2:$AH$1001,MATCH(ROWS($AF$2:AF418),$AF$2:$AF$1001,0),0), INDEX($AM$1004:$BM$1004,1,MATCH(COLUMNS($AM$1006:BD1006),$AM$1006:$BM$1006,0)))),"Fix")))</f>
        <v xml:space="preserve"> </v>
      </c>
      <c r="T418" s="4" t="str">
        <f ca="1">IF(OR(INDEX($AG$2:$AG$1001,MATCH(ROWS($AF$2:AF418),$AF$2:$AF$1001,0),1)&gt;=100000,INDEX($AM$1005:$BM$1005,1,MATCH(COLUMNS($AM$1006:BE1006),$AM$1006:$BM$1006,0))&gt;=100000), " ",IF(INDEX($AM$2:$BM$1001,MATCH(ROWS($AF$2:AF418),$AF$2:$AF$1001,0),MATCH(COLUMNS($AM$1006:BE1006),$AM$1006:$BM$1006,0)), HYPERLINK("#",""), HYPERLINK(CONCATENATE("#metadata!", ADDRESS(INDEX($AH$2:$AH$1001,MATCH(ROWS($AF$2:AF418),$AF$2:$AF$1001,0),0), INDEX($AM$1004:$BM$1004,1,MATCH(COLUMNS($AM$1006:BE1006),$AM$1006:$BM$1006,0)))),"Fix")))</f>
        <v xml:space="preserve"> </v>
      </c>
      <c r="U418" s="4" t="str">
        <f ca="1">IF(OR(INDEX($AG$2:$AG$1001,MATCH(ROWS($AF$2:AF418),$AF$2:$AF$1001,0),1)&gt;=100000,INDEX($AM$1005:$BM$1005,1,MATCH(COLUMNS($AM$1006:BF1006),$AM$1006:$BM$1006,0))&gt;=100000), " ",IF(INDEX($AM$2:$BM$1001,MATCH(ROWS($AF$2:AF418),$AF$2:$AF$1001,0),MATCH(COLUMNS($AM$1006:BF1006),$AM$1006:$BM$1006,0)), HYPERLINK("#",""), HYPERLINK(CONCATENATE("#metadata!", ADDRESS(INDEX($AH$2:$AH$1001,MATCH(ROWS($AF$2:AF418),$AF$2:$AF$1001,0),0), INDEX($AM$1004:$BM$1004,1,MATCH(COLUMNS($AM$1006:BF1006),$AM$1006:$BM$1006,0)))),"Fix")))</f>
        <v xml:space="preserve"> </v>
      </c>
      <c r="V418" s="4" t="str">
        <f ca="1">IF(OR(INDEX($AG$2:$AG$1001,MATCH(ROWS($AF$2:AF418),$AF$2:$AF$1001,0),1)&gt;=100000,INDEX($AM$1005:$BM$1005,1,MATCH(COLUMNS($AM$1006:BG1006),$AM$1006:$BM$1006,0))&gt;=100000), " ",IF(INDEX($AM$2:$BM$1001,MATCH(ROWS($AF$2:AF418),$AF$2:$AF$1001,0),MATCH(COLUMNS($AM$1006:BG1006),$AM$1006:$BM$1006,0)), HYPERLINK("#",""), HYPERLINK(CONCATENATE("#metadata!", ADDRESS(INDEX($AH$2:$AH$1001,MATCH(ROWS($AF$2:AF418),$AF$2:$AF$1001,0),0), INDEX($AM$1004:$BM$1004,1,MATCH(COLUMNS($AM$1006:BG1006),$AM$1006:$BM$1006,0)))),"Fix")))</f>
        <v xml:space="preserve"> </v>
      </c>
      <c r="W418" s="4" t="str">
        <f ca="1">IF(OR(INDEX($AG$2:$AG$1001,MATCH(ROWS($AF$2:AF418),$AF$2:$AF$1001,0),1)&gt;=100000,INDEX($AM$1005:$BM$1005,1,MATCH(COLUMNS($AM$1006:BH1006),$AM$1006:$BM$1006,0))&gt;=100000), " ",IF(INDEX($AM$2:$BM$1001,MATCH(ROWS($AF$2:AF418),$AF$2:$AF$1001,0),MATCH(COLUMNS($AM$1006:BH1006),$AM$1006:$BM$1006,0)), HYPERLINK("#",""), HYPERLINK(CONCATENATE("#metadata!", ADDRESS(INDEX($AH$2:$AH$1001,MATCH(ROWS($AF$2:AF418),$AF$2:$AF$1001,0),0), INDEX($AM$1004:$BM$1004,1,MATCH(COLUMNS($AM$1006:BH1006),$AM$1006:$BM$1006,0)))),"Fix")))</f>
        <v xml:space="preserve"> </v>
      </c>
      <c r="X418" s="4" t="str">
        <f ca="1">IF(OR(INDEX($AG$2:$AG$1001,MATCH(ROWS($AF$2:AF418),$AF$2:$AF$1001,0),1)&gt;=100000,INDEX($AM$1005:$BM$1005,1,MATCH(COLUMNS($AM$1006:BI1006),$AM$1006:$BM$1006,0))&gt;=100000), " ",IF(INDEX($AM$2:$BM$1001,MATCH(ROWS($AF$2:AF418),$AF$2:$AF$1001,0),MATCH(COLUMNS($AM$1006:BI1006),$AM$1006:$BM$1006,0)), HYPERLINK("#",""), HYPERLINK(CONCATENATE("#metadata!", ADDRESS(INDEX($AH$2:$AH$1001,MATCH(ROWS($AF$2:AF418),$AF$2:$AF$1001,0),0), INDEX($AM$1004:$BM$1004,1,MATCH(COLUMNS($AM$1006:BI1006),$AM$1006:$BM$1006,0)))),"Fix")))</f>
        <v xml:space="preserve"> </v>
      </c>
      <c r="Y418" s="4" t="str">
        <f ca="1">IF(OR(INDEX($AG$2:$AG$1001,MATCH(ROWS($AF$2:AF418),$AF$2:$AF$1001,0),1)&gt;=100000,INDEX($AM$1005:$BM$1005,1,MATCH(COLUMNS($AM$1006:BJ1006),$AM$1006:$BM$1006,0))&gt;=100000), " ",IF(INDEX($AM$2:$BM$1001,MATCH(ROWS($AF$2:AF418),$AF$2:$AF$1001,0),MATCH(COLUMNS($AM$1006:BJ1006),$AM$1006:$BM$1006,0)), HYPERLINK("#",""), HYPERLINK(CONCATENATE("#metadata!", ADDRESS(INDEX($AH$2:$AH$1001,MATCH(ROWS($AF$2:AF418),$AF$2:$AF$1001,0),0), INDEX($AM$1004:$BM$1004,1,MATCH(COLUMNS($AM$1006:BJ1006),$AM$1006:$BM$1006,0)))),"Fix")))</f>
        <v xml:space="preserve"> </v>
      </c>
      <c r="Z418" s="4" t="str">
        <f ca="1">IF(OR(INDEX($AG$2:$AG$1001,MATCH(ROWS($AF$2:AF418),$AF$2:$AF$1001,0),1)&gt;=100000,INDEX($AM$1005:$BM$1005,1,MATCH(COLUMNS($AM$1006:BK1006),$AM$1006:$BM$1006,0))&gt;=100000), " ",IF(INDEX($AM$2:$BM$1001,MATCH(ROWS($AF$2:AF418),$AF$2:$AF$1001,0),MATCH(COLUMNS($AM$1006:BK1006),$AM$1006:$BM$1006,0)), HYPERLINK("#",""), HYPERLINK(CONCATENATE("#metadata!", ADDRESS(INDEX($AH$2:$AH$1001,MATCH(ROWS($AF$2:AF418),$AF$2:$AF$1001,0),0), INDEX($AM$1004:$BM$1004,1,MATCH(COLUMNS($AM$1006:BK1006),$AM$1006:$BM$1006,0)))),"Fix")))</f>
        <v xml:space="preserve"> </v>
      </c>
      <c r="AA418" s="4" t="str">
        <f ca="1">IF(OR(INDEX($AG$2:$AG$1001,MATCH(ROWS($AF$2:AF418),$AF$2:$AF$1001,0),1)&gt;=100000,INDEX($AM$1005:$BM$1005,1,MATCH(COLUMNS($AM$1006:BL1006),$AM$1006:$BM$1006,0))&gt;=100000), " ",IF(INDEX($AM$2:$BM$1001,MATCH(ROWS($AF$2:AF418),$AF$2:$AF$1001,0),MATCH(COLUMNS($AM$1006:BL1006),$AM$1006:$BM$1006,0)), HYPERLINK("#",""), HYPERLINK(CONCATENATE("#metadata!", ADDRESS(INDEX($AH$2:$AH$1001,MATCH(ROWS($AF$2:AF418),$AF$2:$AF$1001,0),0), INDEX($AM$1004:$BM$1004,1,MATCH(COLUMNS($AM$1006:BL1006),$AM$1006:$BM$1006,0)))),"Fix")))</f>
        <v xml:space="preserve"> </v>
      </c>
      <c r="AB418" s="4" t="str">
        <f ca="1">IF(OR(INDEX($AG$2:$AG$1001,MATCH(ROWS($AF$2:AF418),$AF$2:$AF$1001,0),1)&gt;=100000,INDEX($AM$1005:$BM$1005,1,MATCH(COLUMNS($AM$1006:BM1006),$AM$1006:$BM$1006,0))&gt;=100000), " ",IF(INDEX($AM$2:$BM$1001,MATCH(ROWS($AF$2:AF418),$AF$2:$AF$1001,0),MATCH(COLUMNS($AM$1006:BM1006),$AM$1006:$BM$1006,0)), HYPERLINK("#",""), HYPERLINK(CONCATENATE("#metadata!", ADDRESS(INDEX($AH$2:$AH$1001,MATCH(ROWS($AF$2:AF418),$AF$2:$AF$1001,0),0), INDEX($AM$1004:$BM$1004,1,MATCH(COLUMNS($AM$1006:BM1006),$AM$1006:$BM$1006,0)))),"Fix")))</f>
        <v xml:space="preserve"> </v>
      </c>
      <c r="AF418">
        <v>417</v>
      </c>
      <c r="AG418">
        <v>100418</v>
      </c>
      <c r="AH418">
        <v>418</v>
      </c>
      <c r="AI418" t="b">
        <f t="shared" si="6"/>
        <v>1</v>
      </c>
      <c r="AJ418" t="b">
        <f>COUNTBLANK(metadata!B418:AB418)=COLUMNS(metadata!B418:AB418)</f>
        <v>1</v>
      </c>
      <c r="AK418" t="str">
        <v/>
      </c>
      <c r="AM418" t="b">
        <f ca="1">AND(IF(metadata!B418="",FALSE,TRUE),COUNTIF(metadata!B:B, metadata!B418) = 1,NOT(ISERROR(SUMPRODUCT(SEARCH(MID(metadata!B418,ROW(INDIRECT("1:"&amp;LEN(metadata!B418))), 1),"0123456789abcdefghijklmnopqrstuvwxyzABCDEFGHIJKLMNOPQRSTUVWXYZ.")))))</f>
        <v>0</v>
      </c>
      <c r="AN418" t="b">
        <f ca="1">OR(AND(IF(metadata!C418="",FALSE,TRUE),OR(EXACT(metadata!C418,"missing: not collected"),EXACT(metadata!C418,"missing: not provided"),EXACT(metadata!C418,"missing: restricted access"))),AND(IF(metadata!C418="",FALSE,TRUE),AND(AND(IFERROR(INT(LEFT(metadata!C418,4))&gt;1900,FALSE),IFERROR(INT(LEFT(metadata!C418,4))&lt;=YEAR(NOW()),FALSE)), OR(MID(metadata!C418,5,1)="", AND(AND(MID(metadata!C418,5,1)="-",IFERROR(INT(MID(metadata!C418,6,1))&gt;=0,FALSE),IFERROR(INT(MID(metadata!C418,6,1))&lt;=1,FALSE),NOT(MID(metadata!C418,7,1)=""),IFERROR(INT(MID(metadata!C418,6,2))&gt;=1,FALSE),IFERROR(INT(MID(metadata!C418,6,2))&lt;=12,FALSE)), OR(MID(metadata!C418,8,1)="", AND(AND(MID(metadata!C418,8,1)="-",IFERROR(INT(MID(metadata!C418,9,1))&gt;=0,FALSE),IFERROR(INT(MID(metadata!C418,9,1))&lt;=3,FALSE),NOT(MID(metadata!C418,10,1)=""),IFERROR(INT(MID(metadata!C418,9,2))&gt;=1,FALSE),IFERROR(INT(MID(metadata!C418,9,2))&lt;=31,FALSE)), OR(MID(metadata!C418,11,1)="", AND(AND(MID(metadata!C418,11,1)=" ",IFERROR(INT(MID(metadata!C418,12,1))&gt;=0,FALSE),IFERROR(INT(MID(metadata!C418,12,1))&lt;=2,FALSE),NOT(MID(metadata!C418,13,1)=""),IFERROR(INT(MID(metadata!C418,12,2))&gt;=0,FALSE),IFERROR(INT(MID(metadata!C418,12,2))&lt;=23,FALSE)), OR(MID(metadata!C418,14,1)="", AND(AND(MID(metadata!C418,14,1)=":",IFERROR(INT(MID(metadata!C418,15,1))&gt;=0,FALSE),IFERROR(INT(MID(metadata!C418,15,1))&lt;=5,FALSE),NOT(MID(metadata!C418,16,1)=""),IFERROR(INT(MID(metadata!C418,15,2))&gt;=0,FALSE),IFERROR(INT(MID(metadata!C418,15,2))&lt;=59,FALSE)), OR(MID(metadata!C418,17,1)="", AND(AND(MID(metadata!C418,17,1)=":",IFERROR(INT(MID(metadata!C418,18,1))&gt;=0,FALSE),IFERROR(INT(MID(metadata!C418,18,1))&lt;=5,FALSE),NOT(MID(metadata!C418,19,1)=""),IFERROR(INT(MID(metadata!C418,18,2))&gt;=0,FALSE),IFERROR(INT(MID(metadata!C418,18,2))&lt;=59,FALSE)), LEN(metadata!C418)&lt;=19)))))))))))))</f>
        <v>0</v>
      </c>
      <c r="AO418" t="b">
        <f>AND(IF(metadata!D418="",FALSE,TRUE),EXACT(metadata!D418,"Not applicable"))</f>
        <v>0</v>
      </c>
      <c r="AP418" t="b">
        <f>IF(metadata!E418="",FALSE,TRUE)</f>
        <v>0</v>
      </c>
      <c r="AQ418" t="b">
        <f>OR(AND(IF(metadata!F418="",FALSE,TRUE),OR(EXACT(metadata!F418,"missing: not collected"),EXACT(metadata!F418,"missing: not provided"))),AND(IF(metadata!F418="",FALSE,TRUE),OR(EXACT(metadata!F418,"TRUE"),EXACT(metadata!F418,"FALSE"))))</f>
        <v>0</v>
      </c>
      <c r="AR418" t="b">
        <f>OR(AND(IF(metadata!G418="",FALSE,TRUE),OR(EXACT(metadata!G418,"missing: not collected"),EXACT(metadata!G418,"missing: not provided"),EXACT(metadata!G418,"missing: restricted access"))),AND(IF(metadata!G418="",FALSE,ISNUMBER(VALUE(metadata!G418))),metadata!G418&gt;=-413))</f>
        <v>0</v>
      </c>
      <c r="AS418" t="b">
        <f>AND(IF(metadata!H418="",FALSE,TRUE),EXACT(metadata!H418,"meters"))</f>
        <v>0</v>
      </c>
      <c r="AT418" t="b">
        <f>AND(IF(metadata!I418="",FALSE,TRUE),OR(EXACT(metadata!I418,"Host-associated"),EXACT(metadata!I418,"Free-living")))</f>
        <v>0</v>
      </c>
      <c r="AU418" t="b">
        <f>AND(IF(metadata!J418="",FALSE,TRUE),OR(EXACT(metadata!J418,"Animal"),EXACT(metadata!J418,"Fungus"),EXACT(metadata!J418,"Plant"),EXACT(metadata!J418,"Saline"),EXACT(metadata!J418,"Non-saline")))</f>
        <v>0</v>
      </c>
      <c r="AV418" t="b">
        <f>AND(IF(metadata!K418="",FALSE,TRUE),OR(EXACT(metadata!K418,"Plant secretion"),EXACT(metadata!K418,"Plant rhizosphere"),EXACT(metadata!K418,"Plant surface"),EXACT(metadata!K418,"Plant corpus"),EXACT(metadata!K418,"Fungus surface"),EXACT(metadata!K418,"Fungus corpus"),EXACT(metadata!K418,"Animal surface"),EXACT(metadata!K418,"Animal proximal gut"),EXACT(metadata!K418,"Animal corpus"),EXACT(metadata!K418,"Animal distal gut"),EXACT(metadata!K418,"Animal secretion"),EXACT(metadata!K418,"Sub-surface (non-saline)"),EXACT(metadata!K418,"Surface (non-saline)"),EXACT(metadata!K418,"Water (non-saline)"),EXACT(metadata!K418,"Soil (non-saline)"),EXACT(metadata!K418,"Aerosol (non-saline)"),EXACT(metadata!K418,"Sediment (non-saline)"),EXACT(metadata!K418,"Surface (saline)"),EXACT(metadata!K418,"Water (saline)"),EXACT(metadata!K418,"Hypersaline (saline)"),EXACT(metadata!K418,"Aerosol (saline)"),EXACT(metadata!K418,"Sediment (saline)")))</f>
        <v>0</v>
      </c>
      <c r="AW418" t="b">
        <f>IF(metadata!L418="",FALSE,TRUE)</f>
        <v>0</v>
      </c>
      <c r="AX418" t="b">
        <f>IF(metadata!M418="",FALSE,TRUE)</f>
        <v>0</v>
      </c>
      <c r="AY418" t="b">
        <f>IF(metadata!N418="",FALSE,TRUE)</f>
        <v>0</v>
      </c>
      <c r="AZ418" t="b">
        <f>OR(AND(IF(metadata!O418="",FALSE,TRUE),OR(EXACT(metadata!O418,"missing: not collected"),EXACT(metadata!O418,"missing: not provided"),EXACT(metadata!O418,"missing: restricted access"))),AND(IF(metadata!O418="",FALSE,TRUE),OR(EXACT(metadata!O418,"air"),EXACT(metadata!O418,"built environment"),EXACT(metadata!O418,"host-associated"),EXACT(metadata!O418,"human-associated"),EXACT(metadata!O418,"human-skin"),EXACT(metadata!O418,"human-oral"),EXACT(metadata!O418,"human-gut"),EXACT(metadata!O418,"human-vaginal"),EXACT(metadata!O418,"microbial mat/biofilm"),EXACT(metadata!O418,"misc environment"),EXACT(metadata!O418,"plant-associated"),EXACT(metadata!O418,"sediment"),EXACT(metadata!O418,"soil"),EXACT(metadata!O418,"wastewater/sludge"),EXACT(metadata!O418,"water"))))</f>
        <v>0</v>
      </c>
      <c r="BA418" t="b">
        <f>IF(metadata!P418="",FALSE,TRUE)</f>
        <v>0</v>
      </c>
      <c r="BB418" t="b">
        <f>IF(metadata!Q418="",FALSE,TRUE)</f>
        <v>0</v>
      </c>
      <c r="BC418" t="b">
        <f>OR(AND(IF(metadata!R418="",FALSE,TRUE),OR(EXACT(metadata!R418,"missing: not collected"),EXACT(metadata!R418,"missing: not provided"),EXACT(metadata!R418,"missing: restricted access"))),AND(IF(metadata!R418="",FALSE,ISNUMBER(VALUE(metadata!R418))),metadata!R418&gt;=-90,metadata!R418&lt;=90))</f>
        <v>0</v>
      </c>
      <c r="BD418" t="b">
        <f>AND(IF(metadata!S418="",FALSE,TRUE),EXACT(metadata!S418,"Decimal degrees"))</f>
        <v>0</v>
      </c>
      <c r="BE418" t="b">
        <f>OR(AND(IF(metadata!T418="",FALSE,TRUE),OR(EXACT(metadata!T418,"missing: not collected"),EXACT(metadata!T418,"missing: not provided"),EXACT(metadata!T418,"missing: restricted access"))),AND(IF(metadata!T418="",FALSE,ISNUMBER(VALUE(metadata!T418))),metadata!T418&gt;=-180,metadata!T418&lt;=180))</f>
        <v>0</v>
      </c>
      <c r="BF418" t="b">
        <f>AND(IF(metadata!U418="",FALSE,TRUE),EXACT(metadata!U418,"Decimal degrees"))</f>
        <v>0</v>
      </c>
      <c r="BG418" t="b">
        <f>IF(metadata!V418="",FALSE,TRUE)</f>
        <v>0</v>
      </c>
      <c r="BH418" t="b">
        <f>OR(AND(IF(metadata!W418="",FALSE,TRUE),OR(EXACT(metadata!W418,"missing: not collected"),EXACT(metadata!W418,"missing: not provided"),EXACT(metadata!W418,"missing: restricted access"))),AND(IF(metadata!W418="",FALSE,TRUE),OR(EXACT(metadata!W418,"TRUE"),EXACT(metadata!W418,"FALSE"))))</f>
        <v>0</v>
      </c>
      <c r="BI418" t="b">
        <f>AND(IF(metadata!X418="",FALSE,TRUE),EXACT(metadata!X418,"other"))</f>
        <v>0</v>
      </c>
      <c r="BJ418" t="b">
        <f>IF(metadata!Y418="",FALSE,TRUE)</f>
        <v>0</v>
      </c>
      <c r="BK418" t="b">
        <f>OR(AND(IF(metadata!Z418="",FALSE,TRUE),OR(EXACT(metadata!Z418,"missing: not collected"),EXACT(metadata!Z418,"missing: not provided"))),AND(IF(metadata!Z418="",FALSE,IF(ISERROR(INT(metadata!Z418)),FALSE,INT(metadata!Z418)=metadata!Z418)),metadata!Z418&gt;0))</f>
        <v>0</v>
      </c>
      <c r="BL418" t="b">
        <f>AND(IF(metadata!AA418="",FALSE,TRUE),EXACT(metadata!AA418,"Not applicable"))</f>
        <v>0</v>
      </c>
      <c r="BM418" t="b">
        <f>IF(metadata!AB418="",FALSE,TRUE)</f>
        <v>0</v>
      </c>
    </row>
    <row r="419" spans="1:65" x14ac:dyDescent="0.2">
      <c r="A419" s="5" t="str">
        <f ca="1">IF(B419=" "," ",HYPERLINK(CONCATENATE("#metadata!",ADDRESS(INDEX($AH$2:$AH$1001,MATCH(ROWS($AF$2:AF419),$AF$2:$AF$1001,0),0),1)),INDEX($AK$2:$AK$1001,MATCH(ROWS($AF$2:AF419),$AF$2:$AF$1001,0),0)))</f>
        <v xml:space="preserve"> </v>
      </c>
      <c r="B419" s="4" t="str">
        <f ca="1">IF(OR(INDEX($AG$2:$AG$1001,MATCH(ROWS($AF$2:AF419),$AF$2:$AF$1001,0),1)&gt;=100000,INDEX($AM$1005:$BM$1005,1,MATCH(COLUMNS($AM$1006:AM1006),$AM$1006:$BM$1006,0))&gt;=100000), " ",IF(INDEX($AM$2:$BM$1001,MATCH(ROWS($AF$2:AF419),$AF$2:$AF$1001,0),MATCH(COLUMNS($AM$1006:AM1006),$AM$1006:$BM$1006,0)), HYPERLINK("#",""), HYPERLINK(CONCATENATE("#metadata!", ADDRESS(INDEX($AH$2:$AH$1001,MATCH(ROWS($AF$2:AF419),$AF$2:$AF$1001,0),0), INDEX($AM$1004:$BM$1004,1,MATCH(COLUMNS($AM$1006:AM1006),$AM$1006:$BM$1006,0)))),"Fix")))</f>
        <v xml:space="preserve"> </v>
      </c>
      <c r="C419" s="4" t="str">
        <f ca="1">IF(OR(INDEX($AG$2:$AG$1001,MATCH(ROWS($AF$2:AF419),$AF$2:$AF$1001,0),1)&gt;=100000,INDEX($AM$1005:$BM$1005,1,MATCH(COLUMNS($AM$1006:AN1006),$AM$1006:$BM$1006,0))&gt;=100000), " ",IF(INDEX($AM$2:$BM$1001,MATCH(ROWS($AF$2:AF419),$AF$2:$AF$1001,0),MATCH(COLUMNS($AM$1006:AN1006),$AM$1006:$BM$1006,0)), HYPERLINK("#",""), HYPERLINK(CONCATENATE("#metadata!", ADDRESS(INDEX($AH$2:$AH$1001,MATCH(ROWS($AF$2:AF419),$AF$2:$AF$1001,0),0), INDEX($AM$1004:$BM$1004,1,MATCH(COLUMNS($AM$1006:AN1006),$AM$1006:$BM$1006,0)))),"Fix")))</f>
        <v xml:space="preserve"> </v>
      </c>
      <c r="D419" s="4" t="str">
        <f ca="1">IF(OR(INDEX($AG$2:$AG$1001,MATCH(ROWS($AF$2:AF419),$AF$2:$AF$1001,0),1)&gt;=100000,INDEX($AM$1005:$BM$1005,1,MATCH(COLUMNS($AM$1006:AO1006),$AM$1006:$BM$1006,0))&gt;=100000), " ",IF(INDEX($AM$2:$BM$1001,MATCH(ROWS($AF$2:AF419),$AF$2:$AF$1001,0),MATCH(COLUMNS($AM$1006:AO1006),$AM$1006:$BM$1006,0)), HYPERLINK("#",""), HYPERLINK(CONCATENATE("#metadata!", ADDRESS(INDEX($AH$2:$AH$1001,MATCH(ROWS($AF$2:AF419),$AF$2:$AF$1001,0),0), INDEX($AM$1004:$BM$1004,1,MATCH(COLUMNS($AM$1006:AO1006),$AM$1006:$BM$1006,0)))),"Fix")))</f>
        <v xml:space="preserve"> </v>
      </c>
      <c r="E419" s="4" t="str">
        <f ca="1">IF(OR(INDEX($AG$2:$AG$1001,MATCH(ROWS($AF$2:AF419),$AF$2:$AF$1001,0),1)&gt;=100000,INDEX($AM$1005:$BM$1005,1,MATCH(COLUMNS($AM$1006:AP1006),$AM$1006:$BM$1006,0))&gt;=100000), " ",IF(INDEX($AM$2:$BM$1001,MATCH(ROWS($AF$2:AF419),$AF$2:$AF$1001,0),MATCH(COLUMNS($AM$1006:AP1006),$AM$1006:$BM$1006,0)), HYPERLINK("#",""), HYPERLINK(CONCATENATE("#metadata!", ADDRESS(INDEX($AH$2:$AH$1001,MATCH(ROWS($AF$2:AF419),$AF$2:$AF$1001,0),0), INDEX($AM$1004:$BM$1004,1,MATCH(COLUMNS($AM$1006:AP1006),$AM$1006:$BM$1006,0)))),"Fix")))</f>
        <v xml:space="preserve"> </v>
      </c>
      <c r="F419" s="4" t="str">
        <f ca="1">IF(OR(INDEX($AG$2:$AG$1001,MATCH(ROWS($AF$2:AF419),$AF$2:$AF$1001,0),1)&gt;=100000,INDEX($AM$1005:$BM$1005,1,MATCH(COLUMNS($AM$1006:AQ1006),$AM$1006:$BM$1006,0))&gt;=100000), " ",IF(INDEX($AM$2:$BM$1001,MATCH(ROWS($AF$2:AF419),$AF$2:$AF$1001,0),MATCH(COLUMNS($AM$1006:AQ1006),$AM$1006:$BM$1006,0)), HYPERLINK("#",""), HYPERLINK(CONCATENATE("#metadata!", ADDRESS(INDEX($AH$2:$AH$1001,MATCH(ROWS($AF$2:AF419),$AF$2:$AF$1001,0),0), INDEX($AM$1004:$BM$1004,1,MATCH(COLUMNS($AM$1006:AQ1006),$AM$1006:$BM$1006,0)))),"Fix")))</f>
        <v xml:space="preserve"> </v>
      </c>
      <c r="G419" s="4" t="str">
        <f ca="1">IF(OR(INDEX($AG$2:$AG$1001,MATCH(ROWS($AF$2:AF419),$AF$2:$AF$1001,0),1)&gt;=100000,INDEX($AM$1005:$BM$1005,1,MATCH(COLUMNS($AM$1006:AR1006),$AM$1006:$BM$1006,0))&gt;=100000), " ",IF(INDEX($AM$2:$BM$1001,MATCH(ROWS($AF$2:AF419),$AF$2:$AF$1001,0),MATCH(COLUMNS($AM$1006:AR1006),$AM$1006:$BM$1006,0)), HYPERLINK("#",""), HYPERLINK(CONCATENATE("#metadata!", ADDRESS(INDEX($AH$2:$AH$1001,MATCH(ROWS($AF$2:AF419),$AF$2:$AF$1001,0),0), INDEX($AM$1004:$BM$1004,1,MATCH(COLUMNS($AM$1006:AR1006),$AM$1006:$BM$1006,0)))),"Fix")))</f>
        <v xml:space="preserve"> </v>
      </c>
      <c r="H419" s="4" t="str">
        <f ca="1">IF(OR(INDEX($AG$2:$AG$1001,MATCH(ROWS($AF$2:AF419),$AF$2:$AF$1001,0),1)&gt;=100000,INDEX($AM$1005:$BM$1005,1,MATCH(COLUMNS($AM$1006:AS1006),$AM$1006:$BM$1006,0))&gt;=100000), " ",IF(INDEX($AM$2:$BM$1001,MATCH(ROWS($AF$2:AF419),$AF$2:$AF$1001,0),MATCH(COLUMNS($AM$1006:AS1006),$AM$1006:$BM$1006,0)), HYPERLINK("#",""), HYPERLINK(CONCATENATE("#metadata!", ADDRESS(INDEX($AH$2:$AH$1001,MATCH(ROWS($AF$2:AF419),$AF$2:$AF$1001,0),0), INDEX($AM$1004:$BM$1004,1,MATCH(COLUMNS($AM$1006:AS1006),$AM$1006:$BM$1006,0)))),"Fix")))</f>
        <v xml:space="preserve"> </v>
      </c>
      <c r="I419" s="4" t="str">
        <f ca="1">IF(OR(INDEX($AG$2:$AG$1001,MATCH(ROWS($AF$2:AF419),$AF$2:$AF$1001,0),1)&gt;=100000,INDEX($AM$1005:$BM$1005,1,MATCH(COLUMNS($AM$1006:AT1006),$AM$1006:$BM$1006,0))&gt;=100000), " ",IF(INDEX($AM$2:$BM$1001,MATCH(ROWS($AF$2:AF419),$AF$2:$AF$1001,0),MATCH(COLUMNS($AM$1006:AT1006),$AM$1006:$BM$1006,0)), HYPERLINK("#",""), HYPERLINK(CONCATENATE("#metadata!", ADDRESS(INDEX($AH$2:$AH$1001,MATCH(ROWS($AF$2:AF419),$AF$2:$AF$1001,0),0), INDEX($AM$1004:$BM$1004,1,MATCH(COLUMNS($AM$1006:AT1006),$AM$1006:$BM$1006,0)))),"Fix")))</f>
        <v xml:space="preserve"> </v>
      </c>
      <c r="J419" s="4" t="str">
        <f ca="1">IF(OR(INDEX($AG$2:$AG$1001,MATCH(ROWS($AF$2:AF419),$AF$2:$AF$1001,0),1)&gt;=100000,INDEX($AM$1005:$BM$1005,1,MATCH(COLUMNS($AM$1006:AU1006),$AM$1006:$BM$1006,0))&gt;=100000), " ",IF(INDEX($AM$2:$BM$1001,MATCH(ROWS($AF$2:AF419),$AF$2:$AF$1001,0),MATCH(COLUMNS($AM$1006:AU1006),$AM$1006:$BM$1006,0)), HYPERLINK("#",""), HYPERLINK(CONCATENATE("#metadata!", ADDRESS(INDEX($AH$2:$AH$1001,MATCH(ROWS($AF$2:AF419),$AF$2:$AF$1001,0),0), INDEX($AM$1004:$BM$1004,1,MATCH(COLUMNS($AM$1006:AU1006),$AM$1006:$BM$1006,0)))),"Fix")))</f>
        <v xml:space="preserve"> </v>
      </c>
      <c r="K419" s="4" t="str">
        <f ca="1">IF(OR(INDEX($AG$2:$AG$1001,MATCH(ROWS($AF$2:AF419),$AF$2:$AF$1001,0),1)&gt;=100000,INDEX($AM$1005:$BM$1005,1,MATCH(COLUMNS($AM$1006:AV1006),$AM$1006:$BM$1006,0))&gt;=100000), " ",IF(INDEX($AM$2:$BM$1001,MATCH(ROWS($AF$2:AF419),$AF$2:$AF$1001,0),MATCH(COLUMNS($AM$1006:AV1006),$AM$1006:$BM$1006,0)), HYPERLINK("#",""), HYPERLINK(CONCATENATE("#metadata!", ADDRESS(INDEX($AH$2:$AH$1001,MATCH(ROWS($AF$2:AF419),$AF$2:$AF$1001,0),0), INDEX($AM$1004:$BM$1004,1,MATCH(COLUMNS($AM$1006:AV1006),$AM$1006:$BM$1006,0)))),"Fix")))</f>
        <v xml:space="preserve"> </v>
      </c>
      <c r="L419" s="4" t="str">
        <f ca="1">IF(OR(INDEX($AG$2:$AG$1001,MATCH(ROWS($AF$2:AF419),$AF$2:$AF$1001,0),1)&gt;=100000,INDEX($AM$1005:$BM$1005,1,MATCH(COLUMNS($AM$1006:AW1006),$AM$1006:$BM$1006,0))&gt;=100000), " ",IF(INDEX($AM$2:$BM$1001,MATCH(ROWS($AF$2:AF419),$AF$2:$AF$1001,0),MATCH(COLUMNS($AM$1006:AW1006),$AM$1006:$BM$1006,0)), HYPERLINK("#",""), HYPERLINK(CONCATENATE("#metadata!", ADDRESS(INDEX($AH$2:$AH$1001,MATCH(ROWS($AF$2:AF419),$AF$2:$AF$1001,0),0), INDEX($AM$1004:$BM$1004,1,MATCH(COLUMNS($AM$1006:AW1006),$AM$1006:$BM$1006,0)))),"Fix")))</f>
        <v xml:space="preserve"> </v>
      </c>
      <c r="M419" s="4" t="str">
        <f ca="1">IF(OR(INDEX($AG$2:$AG$1001,MATCH(ROWS($AF$2:AF419),$AF$2:$AF$1001,0),1)&gt;=100000,INDEX($AM$1005:$BM$1005,1,MATCH(COLUMNS($AM$1006:AX1006),$AM$1006:$BM$1006,0))&gt;=100000), " ",IF(INDEX($AM$2:$BM$1001,MATCH(ROWS($AF$2:AF419),$AF$2:$AF$1001,0),MATCH(COLUMNS($AM$1006:AX1006),$AM$1006:$BM$1006,0)), HYPERLINK("#",""), HYPERLINK(CONCATENATE("#metadata!", ADDRESS(INDEX($AH$2:$AH$1001,MATCH(ROWS($AF$2:AF419),$AF$2:$AF$1001,0),0), INDEX($AM$1004:$BM$1004,1,MATCH(COLUMNS($AM$1006:AX1006),$AM$1006:$BM$1006,0)))),"Fix")))</f>
        <v xml:space="preserve"> </v>
      </c>
      <c r="N419" s="4" t="str">
        <f ca="1">IF(OR(INDEX($AG$2:$AG$1001,MATCH(ROWS($AF$2:AF419),$AF$2:$AF$1001,0),1)&gt;=100000,INDEX($AM$1005:$BM$1005,1,MATCH(COLUMNS($AM$1006:AY1006),$AM$1006:$BM$1006,0))&gt;=100000), " ",IF(INDEX($AM$2:$BM$1001,MATCH(ROWS($AF$2:AF419),$AF$2:$AF$1001,0),MATCH(COLUMNS($AM$1006:AY1006),$AM$1006:$BM$1006,0)), HYPERLINK("#",""), HYPERLINK(CONCATENATE("#metadata!", ADDRESS(INDEX($AH$2:$AH$1001,MATCH(ROWS($AF$2:AF419),$AF$2:$AF$1001,0),0), INDEX($AM$1004:$BM$1004,1,MATCH(COLUMNS($AM$1006:AY1006),$AM$1006:$BM$1006,0)))),"Fix")))</f>
        <v xml:space="preserve"> </v>
      </c>
      <c r="O419" s="4" t="str">
        <f ca="1">IF(OR(INDEX($AG$2:$AG$1001,MATCH(ROWS($AF$2:AF419),$AF$2:$AF$1001,0),1)&gt;=100000,INDEX($AM$1005:$BM$1005,1,MATCH(COLUMNS($AM$1006:AZ1006),$AM$1006:$BM$1006,0))&gt;=100000), " ",IF(INDEX($AM$2:$BM$1001,MATCH(ROWS($AF$2:AF419),$AF$2:$AF$1001,0),MATCH(COLUMNS($AM$1006:AZ1006),$AM$1006:$BM$1006,0)), HYPERLINK("#",""), HYPERLINK(CONCATENATE("#metadata!", ADDRESS(INDEX($AH$2:$AH$1001,MATCH(ROWS($AF$2:AF419),$AF$2:$AF$1001,0),0), INDEX($AM$1004:$BM$1004,1,MATCH(COLUMNS($AM$1006:AZ1006),$AM$1006:$BM$1006,0)))),"Fix")))</f>
        <v xml:space="preserve"> </v>
      </c>
      <c r="P419" s="4" t="str">
        <f ca="1">IF(OR(INDEX($AG$2:$AG$1001,MATCH(ROWS($AF$2:AF419),$AF$2:$AF$1001,0),1)&gt;=100000,INDEX($AM$1005:$BM$1005,1,MATCH(COLUMNS($AM$1006:BA1006),$AM$1006:$BM$1006,0))&gt;=100000), " ",IF(INDEX($AM$2:$BM$1001,MATCH(ROWS($AF$2:AF419),$AF$2:$AF$1001,0),MATCH(COLUMNS($AM$1006:BA1006),$AM$1006:$BM$1006,0)), HYPERLINK("#",""), HYPERLINK(CONCATENATE("#metadata!", ADDRESS(INDEX($AH$2:$AH$1001,MATCH(ROWS($AF$2:AF419),$AF$2:$AF$1001,0),0), INDEX($AM$1004:$BM$1004,1,MATCH(COLUMNS($AM$1006:BA1006),$AM$1006:$BM$1006,0)))),"Fix")))</f>
        <v xml:space="preserve"> </v>
      </c>
      <c r="Q419" s="4" t="str">
        <f ca="1">IF(OR(INDEX($AG$2:$AG$1001,MATCH(ROWS($AF$2:AF419),$AF$2:$AF$1001,0),1)&gt;=100000,INDEX($AM$1005:$BM$1005,1,MATCH(COLUMNS($AM$1006:BB1006),$AM$1006:$BM$1006,0))&gt;=100000), " ",IF(INDEX($AM$2:$BM$1001,MATCH(ROWS($AF$2:AF419),$AF$2:$AF$1001,0),MATCH(COLUMNS($AM$1006:BB1006),$AM$1006:$BM$1006,0)), HYPERLINK("#",""), HYPERLINK(CONCATENATE("#metadata!", ADDRESS(INDEX($AH$2:$AH$1001,MATCH(ROWS($AF$2:AF419),$AF$2:$AF$1001,0),0), INDEX($AM$1004:$BM$1004,1,MATCH(COLUMNS($AM$1006:BB1006),$AM$1006:$BM$1006,0)))),"Fix")))</f>
        <v xml:space="preserve"> </v>
      </c>
      <c r="R419" s="4" t="str">
        <f ca="1">IF(OR(INDEX($AG$2:$AG$1001,MATCH(ROWS($AF$2:AF419),$AF$2:$AF$1001,0),1)&gt;=100000,INDEX($AM$1005:$BM$1005,1,MATCH(COLUMNS($AM$1006:BC1006),$AM$1006:$BM$1006,0))&gt;=100000), " ",IF(INDEX($AM$2:$BM$1001,MATCH(ROWS($AF$2:AF419),$AF$2:$AF$1001,0),MATCH(COLUMNS($AM$1006:BC1006),$AM$1006:$BM$1006,0)), HYPERLINK("#",""), HYPERLINK(CONCATENATE("#metadata!", ADDRESS(INDEX($AH$2:$AH$1001,MATCH(ROWS($AF$2:AF419),$AF$2:$AF$1001,0),0), INDEX($AM$1004:$BM$1004,1,MATCH(COLUMNS($AM$1006:BC1006),$AM$1006:$BM$1006,0)))),"Fix")))</f>
        <v xml:space="preserve"> </v>
      </c>
      <c r="S419" s="4" t="str">
        <f ca="1">IF(OR(INDEX($AG$2:$AG$1001,MATCH(ROWS($AF$2:AF419),$AF$2:$AF$1001,0),1)&gt;=100000,INDEX($AM$1005:$BM$1005,1,MATCH(COLUMNS($AM$1006:BD1006),$AM$1006:$BM$1006,0))&gt;=100000), " ",IF(INDEX($AM$2:$BM$1001,MATCH(ROWS($AF$2:AF419),$AF$2:$AF$1001,0),MATCH(COLUMNS($AM$1006:BD1006),$AM$1006:$BM$1006,0)), HYPERLINK("#",""), HYPERLINK(CONCATENATE("#metadata!", ADDRESS(INDEX($AH$2:$AH$1001,MATCH(ROWS($AF$2:AF419),$AF$2:$AF$1001,0),0), INDEX($AM$1004:$BM$1004,1,MATCH(COLUMNS($AM$1006:BD1006),$AM$1006:$BM$1006,0)))),"Fix")))</f>
        <v xml:space="preserve"> </v>
      </c>
      <c r="T419" s="4" t="str">
        <f ca="1">IF(OR(INDEX($AG$2:$AG$1001,MATCH(ROWS($AF$2:AF419),$AF$2:$AF$1001,0),1)&gt;=100000,INDEX($AM$1005:$BM$1005,1,MATCH(COLUMNS($AM$1006:BE1006),$AM$1006:$BM$1006,0))&gt;=100000), " ",IF(INDEX($AM$2:$BM$1001,MATCH(ROWS($AF$2:AF419),$AF$2:$AF$1001,0),MATCH(COLUMNS($AM$1006:BE1006),$AM$1006:$BM$1006,0)), HYPERLINK("#",""), HYPERLINK(CONCATENATE("#metadata!", ADDRESS(INDEX($AH$2:$AH$1001,MATCH(ROWS($AF$2:AF419),$AF$2:$AF$1001,0),0), INDEX($AM$1004:$BM$1004,1,MATCH(COLUMNS($AM$1006:BE1006),$AM$1006:$BM$1006,0)))),"Fix")))</f>
        <v xml:space="preserve"> </v>
      </c>
      <c r="U419" s="4" t="str">
        <f ca="1">IF(OR(INDEX($AG$2:$AG$1001,MATCH(ROWS($AF$2:AF419),$AF$2:$AF$1001,0),1)&gt;=100000,INDEX($AM$1005:$BM$1005,1,MATCH(COLUMNS($AM$1006:BF1006),$AM$1006:$BM$1006,0))&gt;=100000), " ",IF(INDEX($AM$2:$BM$1001,MATCH(ROWS($AF$2:AF419),$AF$2:$AF$1001,0),MATCH(COLUMNS($AM$1006:BF1006),$AM$1006:$BM$1006,0)), HYPERLINK("#",""), HYPERLINK(CONCATENATE("#metadata!", ADDRESS(INDEX($AH$2:$AH$1001,MATCH(ROWS($AF$2:AF419),$AF$2:$AF$1001,0),0), INDEX($AM$1004:$BM$1004,1,MATCH(COLUMNS($AM$1006:BF1006),$AM$1006:$BM$1006,0)))),"Fix")))</f>
        <v xml:space="preserve"> </v>
      </c>
      <c r="V419" s="4" t="str">
        <f ca="1">IF(OR(INDEX($AG$2:$AG$1001,MATCH(ROWS($AF$2:AF419),$AF$2:$AF$1001,0),1)&gt;=100000,INDEX($AM$1005:$BM$1005,1,MATCH(COLUMNS($AM$1006:BG1006),$AM$1006:$BM$1006,0))&gt;=100000), " ",IF(INDEX($AM$2:$BM$1001,MATCH(ROWS($AF$2:AF419),$AF$2:$AF$1001,0),MATCH(COLUMNS($AM$1006:BG1006),$AM$1006:$BM$1006,0)), HYPERLINK("#",""), HYPERLINK(CONCATENATE("#metadata!", ADDRESS(INDEX($AH$2:$AH$1001,MATCH(ROWS($AF$2:AF419),$AF$2:$AF$1001,0),0), INDEX($AM$1004:$BM$1004,1,MATCH(COLUMNS($AM$1006:BG1006),$AM$1006:$BM$1006,0)))),"Fix")))</f>
        <v xml:space="preserve"> </v>
      </c>
      <c r="W419" s="4" t="str">
        <f ca="1">IF(OR(INDEX($AG$2:$AG$1001,MATCH(ROWS($AF$2:AF419),$AF$2:$AF$1001,0),1)&gt;=100000,INDEX($AM$1005:$BM$1005,1,MATCH(COLUMNS($AM$1006:BH1006),$AM$1006:$BM$1006,0))&gt;=100000), " ",IF(INDEX($AM$2:$BM$1001,MATCH(ROWS($AF$2:AF419),$AF$2:$AF$1001,0),MATCH(COLUMNS($AM$1006:BH1006),$AM$1006:$BM$1006,0)), HYPERLINK("#",""), HYPERLINK(CONCATENATE("#metadata!", ADDRESS(INDEX($AH$2:$AH$1001,MATCH(ROWS($AF$2:AF419),$AF$2:$AF$1001,0),0), INDEX($AM$1004:$BM$1004,1,MATCH(COLUMNS($AM$1006:BH1006),$AM$1006:$BM$1006,0)))),"Fix")))</f>
        <v xml:space="preserve"> </v>
      </c>
      <c r="X419" s="4" t="str">
        <f ca="1">IF(OR(INDEX($AG$2:$AG$1001,MATCH(ROWS($AF$2:AF419),$AF$2:$AF$1001,0),1)&gt;=100000,INDEX($AM$1005:$BM$1005,1,MATCH(COLUMNS($AM$1006:BI1006),$AM$1006:$BM$1006,0))&gt;=100000), " ",IF(INDEX($AM$2:$BM$1001,MATCH(ROWS($AF$2:AF419),$AF$2:$AF$1001,0),MATCH(COLUMNS($AM$1006:BI1006),$AM$1006:$BM$1006,0)), HYPERLINK("#",""), HYPERLINK(CONCATENATE("#metadata!", ADDRESS(INDEX($AH$2:$AH$1001,MATCH(ROWS($AF$2:AF419),$AF$2:$AF$1001,0),0), INDEX($AM$1004:$BM$1004,1,MATCH(COLUMNS($AM$1006:BI1006),$AM$1006:$BM$1006,0)))),"Fix")))</f>
        <v xml:space="preserve"> </v>
      </c>
      <c r="Y419" s="4" t="str">
        <f ca="1">IF(OR(INDEX($AG$2:$AG$1001,MATCH(ROWS($AF$2:AF419),$AF$2:$AF$1001,0),1)&gt;=100000,INDEX($AM$1005:$BM$1005,1,MATCH(COLUMNS($AM$1006:BJ1006),$AM$1006:$BM$1006,0))&gt;=100000), " ",IF(INDEX($AM$2:$BM$1001,MATCH(ROWS($AF$2:AF419),$AF$2:$AF$1001,0),MATCH(COLUMNS($AM$1006:BJ1006),$AM$1006:$BM$1006,0)), HYPERLINK("#",""), HYPERLINK(CONCATENATE("#metadata!", ADDRESS(INDEX($AH$2:$AH$1001,MATCH(ROWS($AF$2:AF419),$AF$2:$AF$1001,0),0), INDEX($AM$1004:$BM$1004,1,MATCH(COLUMNS($AM$1006:BJ1006),$AM$1006:$BM$1006,0)))),"Fix")))</f>
        <v xml:space="preserve"> </v>
      </c>
      <c r="Z419" s="4" t="str">
        <f ca="1">IF(OR(INDEX($AG$2:$AG$1001,MATCH(ROWS($AF$2:AF419),$AF$2:$AF$1001,0),1)&gt;=100000,INDEX($AM$1005:$BM$1005,1,MATCH(COLUMNS($AM$1006:BK1006),$AM$1006:$BM$1006,0))&gt;=100000), " ",IF(INDEX($AM$2:$BM$1001,MATCH(ROWS($AF$2:AF419),$AF$2:$AF$1001,0),MATCH(COLUMNS($AM$1006:BK1006),$AM$1006:$BM$1006,0)), HYPERLINK("#",""), HYPERLINK(CONCATENATE("#metadata!", ADDRESS(INDEX($AH$2:$AH$1001,MATCH(ROWS($AF$2:AF419),$AF$2:$AF$1001,0),0), INDEX($AM$1004:$BM$1004,1,MATCH(COLUMNS($AM$1006:BK1006),$AM$1006:$BM$1006,0)))),"Fix")))</f>
        <v xml:space="preserve"> </v>
      </c>
      <c r="AA419" s="4" t="str">
        <f ca="1">IF(OR(INDEX($AG$2:$AG$1001,MATCH(ROWS($AF$2:AF419),$AF$2:$AF$1001,0),1)&gt;=100000,INDEX($AM$1005:$BM$1005,1,MATCH(COLUMNS($AM$1006:BL1006),$AM$1006:$BM$1006,0))&gt;=100000), " ",IF(INDEX($AM$2:$BM$1001,MATCH(ROWS($AF$2:AF419),$AF$2:$AF$1001,0),MATCH(COLUMNS($AM$1006:BL1006),$AM$1006:$BM$1006,0)), HYPERLINK("#",""), HYPERLINK(CONCATENATE("#metadata!", ADDRESS(INDEX($AH$2:$AH$1001,MATCH(ROWS($AF$2:AF419),$AF$2:$AF$1001,0),0), INDEX($AM$1004:$BM$1004,1,MATCH(COLUMNS($AM$1006:BL1006),$AM$1006:$BM$1006,0)))),"Fix")))</f>
        <v xml:space="preserve"> </v>
      </c>
      <c r="AB419" s="4" t="str">
        <f ca="1">IF(OR(INDEX($AG$2:$AG$1001,MATCH(ROWS($AF$2:AF419),$AF$2:$AF$1001,0),1)&gt;=100000,INDEX($AM$1005:$BM$1005,1,MATCH(COLUMNS($AM$1006:BM1006),$AM$1006:$BM$1006,0))&gt;=100000), " ",IF(INDEX($AM$2:$BM$1001,MATCH(ROWS($AF$2:AF419),$AF$2:$AF$1001,0),MATCH(COLUMNS($AM$1006:BM1006),$AM$1006:$BM$1006,0)), HYPERLINK("#",""), HYPERLINK(CONCATENATE("#metadata!", ADDRESS(INDEX($AH$2:$AH$1001,MATCH(ROWS($AF$2:AF419),$AF$2:$AF$1001,0),0), INDEX($AM$1004:$BM$1004,1,MATCH(COLUMNS($AM$1006:BM1006),$AM$1006:$BM$1006,0)))),"Fix")))</f>
        <v xml:space="preserve"> </v>
      </c>
      <c r="AF419">
        <v>418</v>
      </c>
      <c r="AG419">
        <v>100419</v>
      </c>
      <c r="AH419">
        <v>419</v>
      </c>
      <c r="AI419" t="b">
        <f t="shared" si="6"/>
        <v>1</v>
      </c>
      <c r="AJ419" t="b">
        <f>COUNTBLANK(metadata!B419:AB419)=COLUMNS(metadata!B419:AB419)</f>
        <v>1</v>
      </c>
      <c r="AK419" t="str">
        <v/>
      </c>
      <c r="AM419" t="b">
        <f ca="1">AND(IF(metadata!B419="",FALSE,TRUE),COUNTIF(metadata!B:B, metadata!B419) = 1,NOT(ISERROR(SUMPRODUCT(SEARCH(MID(metadata!B419,ROW(INDIRECT("1:"&amp;LEN(metadata!B419))), 1),"0123456789abcdefghijklmnopqrstuvwxyzABCDEFGHIJKLMNOPQRSTUVWXYZ.")))))</f>
        <v>0</v>
      </c>
      <c r="AN419" t="b">
        <f ca="1">OR(AND(IF(metadata!C419="",FALSE,TRUE),OR(EXACT(metadata!C419,"missing: not collected"),EXACT(metadata!C419,"missing: not provided"),EXACT(metadata!C419,"missing: restricted access"))),AND(IF(metadata!C419="",FALSE,TRUE),AND(AND(IFERROR(INT(LEFT(metadata!C419,4))&gt;1900,FALSE),IFERROR(INT(LEFT(metadata!C419,4))&lt;=YEAR(NOW()),FALSE)), OR(MID(metadata!C419,5,1)="", AND(AND(MID(metadata!C419,5,1)="-",IFERROR(INT(MID(metadata!C419,6,1))&gt;=0,FALSE),IFERROR(INT(MID(metadata!C419,6,1))&lt;=1,FALSE),NOT(MID(metadata!C419,7,1)=""),IFERROR(INT(MID(metadata!C419,6,2))&gt;=1,FALSE),IFERROR(INT(MID(metadata!C419,6,2))&lt;=12,FALSE)), OR(MID(metadata!C419,8,1)="", AND(AND(MID(metadata!C419,8,1)="-",IFERROR(INT(MID(metadata!C419,9,1))&gt;=0,FALSE),IFERROR(INT(MID(metadata!C419,9,1))&lt;=3,FALSE),NOT(MID(metadata!C419,10,1)=""),IFERROR(INT(MID(metadata!C419,9,2))&gt;=1,FALSE),IFERROR(INT(MID(metadata!C419,9,2))&lt;=31,FALSE)), OR(MID(metadata!C419,11,1)="", AND(AND(MID(metadata!C419,11,1)=" ",IFERROR(INT(MID(metadata!C419,12,1))&gt;=0,FALSE),IFERROR(INT(MID(metadata!C419,12,1))&lt;=2,FALSE),NOT(MID(metadata!C419,13,1)=""),IFERROR(INT(MID(metadata!C419,12,2))&gt;=0,FALSE),IFERROR(INT(MID(metadata!C419,12,2))&lt;=23,FALSE)), OR(MID(metadata!C419,14,1)="", AND(AND(MID(metadata!C419,14,1)=":",IFERROR(INT(MID(metadata!C419,15,1))&gt;=0,FALSE),IFERROR(INT(MID(metadata!C419,15,1))&lt;=5,FALSE),NOT(MID(metadata!C419,16,1)=""),IFERROR(INT(MID(metadata!C419,15,2))&gt;=0,FALSE),IFERROR(INT(MID(metadata!C419,15,2))&lt;=59,FALSE)), OR(MID(metadata!C419,17,1)="", AND(AND(MID(metadata!C419,17,1)=":",IFERROR(INT(MID(metadata!C419,18,1))&gt;=0,FALSE),IFERROR(INT(MID(metadata!C419,18,1))&lt;=5,FALSE),NOT(MID(metadata!C419,19,1)=""),IFERROR(INT(MID(metadata!C419,18,2))&gt;=0,FALSE),IFERROR(INT(MID(metadata!C419,18,2))&lt;=59,FALSE)), LEN(metadata!C419)&lt;=19)))))))))))))</f>
        <v>0</v>
      </c>
      <c r="AO419" t="b">
        <f>AND(IF(metadata!D419="",FALSE,TRUE),EXACT(metadata!D419,"Not applicable"))</f>
        <v>0</v>
      </c>
      <c r="AP419" t="b">
        <f>IF(metadata!E419="",FALSE,TRUE)</f>
        <v>0</v>
      </c>
      <c r="AQ419" t="b">
        <f>OR(AND(IF(metadata!F419="",FALSE,TRUE),OR(EXACT(metadata!F419,"missing: not collected"),EXACT(metadata!F419,"missing: not provided"))),AND(IF(metadata!F419="",FALSE,TRUE),OR(EXACT(metadata!F419,"TRUE"),EXACT(metadata!F419,"FALSE"))))</f>
        <v>0</v>
      </c>
      <c r="AR419" t="b">
        <f>OR(AND(IF(metadata!G419="",FALSE,TRUE),OR(EXACT(metadata!G419,"missing: not collected"),EXACT(metadata!G419,"missing: not provided"),EXACT(metadata!G419,"missing: restricted access"))),AND(IF(metadata!G419="",FALSE,ISNUMBER(VALUE(metadata!G419))),metadata!G419&gt;=-413))</f>
        <v>0</v>
      </c>
      <c r="AS419" t="b">
        <f>AND(IF(metadata!H419="",FALSE,TRUE),EXACT(metadata!H419,"meters"))</f>
        <v>0</v>
      </c>
      <c r="AT419" t="b">
        <f>AND(IF(metadata!I419="",FALSE,TRUE),OR(EXACT(metadata!I419,"Host-associated"),EXACT(metadata!I419,"Free-living")))</f>
        <v>0</v>
      </c>
      <c r="AU419" t="b">
        <f>AND(IF(metadata!J419="",FALSE,TRUE),OR(EXACT(metadata!J419,"Animal"),EXACT(metadata!J419,"Fungus"),EXACT(metadata!J419,"Plant"),EXACT(metadata!J419,"Saline"),EXACT(metadata!J419,"Non-saline")))</f>
        <v>0</v>
      </c>
      <c r="AV419" t="b">
        <f>AND(IF(metadata!K419="",FALSE,TRUE),OR(EXACT(metadata!K419,"Plant secretion"),EXACT(metadata!K419,"Plant rhizosphere"),EXACT(metadata!K419,"Plant surface"),EXACT(metadata!K419,"Plant corpus"),EXACT(metadata!K419,"Fungus surface"),EXACT(metadata!K419,"Fungus corpus"),EXACT(metadata!K419,"Animal surface"),EXACT(metadata!K419,"Animal proximal gut"),EXACT(metadata!K419,"Animal corpus"),EXACT(metadata!K419,"Animal distal gut"),EXACT(metadata!K419,"Animal secretion"),EXACT(metadata!K419,"Sub-surface (non-saline)"),EXACT(metadata!K419,"Surface (non-saline)"),EXACT(metadata!K419,"Water (non-saline)"),EXACT(metadata!K419,"Soil (non-saline)"),EXACT(metadata!K419,"Aerosol (non-saline)"),EXACT(metadata!K419,"Sediment (non-saline)"),EXACT(metadata!K419,"Surface (saline)"),EXACT(metadata!K419,"Water (saline)"),EXACT(metadata!K419,"Hypersaline (saline)"),EXACT(metadata!K419,"Aerosol (saline)"),EXACT(metadata!K419,"Sediment (saline)")))</f>
        <v>0</v>
      </c>
      <c r="AW419" t="b">
        <f>IF(metadata!L419="",FALSE,TRUE)</f>
        <v>0</v>
      </c>
      <c r="AX419" t="b">
        <f>IF(metadata!M419="",FALSE,TRUE)</f>
        <v>0</v>
      </c>
      <c r="AY419" t="b">
        <f>IF(metadata!N419="",FALSE,TRUE)</f>
        <v>0</v>
      </c>
      <c r="AZ419" t="b">
        <f>OR(AND(IF(metadata!O419="",FALSE,TRUE),OR(EXACT(metadata!O419,"missing: not collected"),EXACT(metadata!O419,"missing: not provided"),EXACT(metadata!O419,"missing: restricted access"))),AND(IF(metadata!O419="",FALSE,TRUE),OR(EXACT(metadata!O419,"air"),EXACT(metadata!O419,"built environment"),EXACT(metadata!O419,"host-associated"),EXACT(metadata!O419,"human-associated"),EXACT(metadata!O419,"human-skin"),EXACT(metadata!O419,"human-oral"),EXACT(metadata!O419,"human-gut"),EXACT(metadata!O419,"human-vaginal"),EXACT(metadata!O419,"microbial mat/biofilm"),EXACT(metadata!O419,"misc environment"),EXACT(metadata!O419,"plant-associated"),EXACT(metadata!O419,"sediment"),EXACT(metadata!O419,"soil"),EXACT(metadata!O419,"wastewater/sludge"),EXACT(metadata!O419,"water"))))</f>
        <v>0</v>
      </c>
      <c r="BA419" t="b">
        <f>IF(metadata!P419="",FALSE,TRUE)</f>
        <v>0</v>
      </c>
      <c r="BB419" t="b">
        <f>IF(metadata!Q419="",FALSE,TRUE)</f>
        <v>0</v>
      </c>
      <c r="BC419" t="b">
        <f>OR(AND(IF(metadata!R419="",FALSE,TRUE),OR(EXACT(metadata!R419,"missing: not collected"),EXACT(metadata!R419,"missing: not provided"),EXACT(metadata!R419,"missing: restricted access"))),AND(IF(metadata!R419="",FALSE,ISNUMBER(VALUE(metadata!R419))),metadata!R419&gt;=-90,metadata!R419&lt;=90))</f>
        <v>0</v>
      </c>
      <c r="BD419" t="b">
        <f>AND(IF(metadata!S419="",FALSE,TRUE),EXACT(metadata!S419,"Decimal degrees"))</f>
        <v>0</v>
      </c>
      <c r="BE419" t="b">
        <f>OR(AND(IF(metadata!T419="",FALSE,TRUE),OR(EXACT(metadata!T419,"missing: not collected"),EXACT(metadata!T419,"missing: not provided"),EXACT(metadata!T419,"missing: restricted access"))),AND(IF(metadata!T419="",FALSE,ISNUMBER(VALUE(metadata!T419))),metadata!T419&gt;=-180,metadata!T419&lt;=180))</f>
        <v>0</v>
      </c>
      <c r="BF419" t="b">
        <f>AND(IF(metadata!U419="",FALSE,TRUE),EXACT(metadata!U419,"Decimal degrees"))</f>
        <v>0</v>
      </c>
      <c r="BG419" t="b">
        <f>IF(metadata!V419="",FALSE,TRUE)</f>
        <v>0</v>
      </c>
      <c r="BH419" t="b">
        <f>OR(AND(IF(metadata!W419="",FALSE,TRUE),OR(EXACT(metadata!W419,"missing: not collected"),EXACT(metadata!W419,"missing: not provided"),EXACT(metadata!W419,"missing: restricted access"))),AND(IF(metadata!W419="",FALSE,TRUE),OR(EXACT(metadata!W419,"TRUE"),EXACT(metadata!W419,"FALSE"))))</f>
        <v>0</v>
      </c>
      <c r="BI419" t="b">
        <f>AND(IF(metadata!X419="",FALSE,TRUE),EXACT(metadata!X419,"other"))</f>
        <v>0</v>
      </c>
      <c r="BJ419" t="b">
        <f>IF(metadata!Y419="",FALSE,TRUE)</f>
        <v>0</v>
      </c>
      <c r="BK419" t="b">
        <f>OR(AND(IF(metadata!Z419="",FALSE,TRUE),OR(EXACT(metadata!Z419,"missing: not collected"),EXACT(metadata!Z419,"missing: not provided"))),AND(IF(metadata!Z419="",FALSE,IF(ISERROR(INT(metadata!Z419)),FALSE,INT(metadata!Z419)=metadata!Z419)),metadata!Z419&gt;0))</f>
        <v>0</v>
      </c>
      <c r="BL419" t="b">
        <f>AND(IF(metadata!AA419="",FALSE,TRUE),EXACT(metadata!AA419,"Not applicable"))</f>
        <v>0</v>
      </c>
      <c r="BM419" t="b">
        <f>IF(metadata!AB419="",FALSE,TRUE)</f>
        <v>0</v>
      </c>
    </row>
    <row r="420" spans="1:65" x14ac:dyDescent="0.2">
      <c r="A420" s="5" t="str">
        <f ca="1">IF(B420=" "," ",HYPERLINK(CONCATENATE("#metadata!",ADDRESS(INDEX($AH$2:$AH$1001,MATCH(ROWS($AF$2:AF420),$AF$2:$AF$1001,0),0),1)),INDEX($AK$2:$AK$1001,MATCH(ROWS($AF$2:AF420),$AF$2:$AF$1001,0),0)))</f>
        <v xml:space="preserve"> </v>
      </c>
      <c r="B420" s="4" t="str">
        <f ca="1">IF(OR(INDEX($AG$2:$AG$1001,MATCH(ROWS($AF$2:AF420),$AF$2:$AF$1001,0),1)&gt;=100000,INDEX($AM$1005:$BM$1005,1,MATCH(COLUMNS($AM$1006:AM1006),$AM$1006:$BM$1006,0))&gt;=100000), " ",IF(INDEX($AM$2:$BM$1001,MATCH(ROWS($AF$2:AF420),$AF$2:$AF$1001,0),MATCH(COLUMNS($AM$1006:AM1006),$AM$1006:$BM$1006,0)), HYPERLINK("#",""), HYPERLINK(CONCATENATE("#metadata!", ADDRESS(INDEX($AH$2:$AH$1001,MATCH(ROWS($AF$2:AF420),$AF$2:$AF$1001,0),0), INDEX($AM$1004:$BM$1004,1,MATCH(COLUMNS($AM$1006:AM1006),$AM$1006:$BM$1006,0)))),"Fix")))</f>
        <v xml:space="preserve"> </v>
      </c>
      <c r="C420" s="4" t="str">
        <f ca="1">IF(OR(INDEX($AG$2:$AG$1001,MATCH(ROWS($AF$2:AF420),$AF$2:$AF$1001,0),1)&gt;=100000,INDEX($AM$1005:$BM$1005,1,MATCH(COLUMNS($AM$1006:AN1006),$AM$1006:$BM$1006,0))&gt;=100000), " ",IF(INDEX($AM$2:$BM$1001,MATCH(ROWS($AF$2:AF420),$AF$2:$AF$1001,0),MATCH(COLUMNS($AM$1006:AN1006),$AM$1006:$BM$1006,0)), HYPERLINK("#",""), HYPERLINK(CONCATENATE("#metadata!", ADDRESS(INDEX($AH$2:$AH$1001,MATCH(ROWS($AF$2:AF420),$AF$2:$AF$1001,0),0), INDEX($AM$1004:$BM$1004,1,MATCH(COLUMNS($AM$1006:AN1006),$AM$1006:$BM$1006,0)))),"Fix")))</f>
        <v xml:space="preserve"> </v>
      </c>
      <c r="D420" s="4" t="str">
        <f ca="1">IF(OR(INDEX($AG$2:$AG$1001,MATCH(ROWS($AF$2:AF420),$AF$2:$AF$1001,0),1)&gt;=100000,INDEX($AM$1005:$BM$1005,1,MATCH(COLUMNS($AM$1006:AO1006),$AM$1006:$BM$1006,0))&gt;=100000), " ",IF(INDEX($AM$2:$BM$1001,MATCH(ROWS($AF$2:AF420),$AF$2:$AF$1001,0),MATCH(COLUMNS($AM$1006:AO1006),$AM$1006:$BM$1006,0)), HYPERLINK("#",""), HYPERLINK(CONCATENATE("#metadata!", ADDRESS(INDEX($AH$2:$AH$1001,MATCH(ROWS($AF$2:AF420),$AF$2:$AF$1001,0),0), INDEX($AM$1004:$BM$1004,1,MATCH(COLUMNS($AM$1006:AO1006),$AM$1006:$BM$1006,0)))),"Fix")))</f>
        <v xml:space="preserve"> </v>
      </c>
      <c r="E420" s="4" t="str">
        <f ca="1">IF(OR(INDEX($AG$2:$AG$1001,MATCH(ROWS($AF$2:AF420),$AF$2:$AF$1001,0),1)&gt;=100000,INDEX($AM$1005:$BM$1005,1,MATCH(COLUMNS($AM$1006:AP1006),$AM$1006:$BM$1006,0))&gt;=100000), " ",IF(INDEX($AM$2:$BM$1001,MATCH(ROWS($AF$2:AF420),$AF$2:$AF$1001,0),MATCH(COLUMNS($AM$1006:AP1006),$AM$1006:$BM$1006,0)), HYPERLINK("#",""), HYPERLINK(CONCATENATE("#metadata!", ADDRESS(INDEX($AH$2:$AH$1001,MATCH(ROWS($AF$2:AF420),$AF$2:$AF$1001,0),0), INDEX($AM$1004:$BM$1004,1,MATCH(COLUMNS($AM$1006:AP1006),$AM$1006:$BM$1006,0)))),"Fix")))</f>
        <v xml:space="preserve"> </v>
      </c>
      <c r="F420" s="4" t="str">
        <f ca="1">IF(OR(INDEX($AG$2:$AG$1001,MATCH(ROWS($AF$2:AF420),$AF$2:$AF$1001,0),1)&gt;=100000,INDEX($AM$1005:$BM$1005,1,MATCH(COLUMNS($AM$1006:AQ1006),$AM$1006:$BM$1006,0))&gt;=100000), " ",IF(INDEX($AM$2:$BM$1001,MATCH(ROWS($AF$2:AF420),$AF$2:$AF$1001,0),MATCH(COLUMNS($AM$1006:AQ1006),$AM$1006:$BM$1006,0)), HYPERLINK("#",""), HYPERLINK(CONCATENATE("#metadata!", ADDRESS(INDEX($AH$2:$AH$1001,MATCH(ROWS($AF$2:AF420),$AF$2:$AF$1001,0),0), INDEX($AM$1004:$BM$1004,1,MATCH(COLUMNS($AM$1006:AQ1006),$AM$1006:$BM$1006,0)))),"Fix")))</f>
        <v xml:space="preserve"> </v>
      </c>
      <c r="G420" s="4" t="str">
        <f ca="1">IF(OR(INDEX($AG$2:$AG$1001,MATCH(ROWS($AF$2:AF420),$AF$2:$AF$1001,0),1)&gt;=100000,INDEX($AM$1005:$BM$1005,1,MATCH(COLUMNS($AM$1006:AR1006),$AM$1006:$BM$1006,0))&gt;=100000), " ",IF(INDEX($AM$2:$BM$1001,MATCH(ROWS($AF$2:AF420),$AF$2:$AF$1001,0),MATCH(COLUMNS($AM$1006:AR1006),$AM$1006:$BM$1006,0)), HYPERLINK("#",""), HYPERLINK(CONCATENATE("#metadata!", ADDRESS(INDEX($AH$2:$AH$1001,MATCH(ROWS($AF$2:AF420),$AF$2:$AF$1001,0),0), INDEX($AM$1004:$BM$1004,1,MATCH(COLUMNS($AM$1006:AR1006),$AM$1006:$BM$1006,0)))),"Fix")))</f>
        <v xml:space="preserve"> </v>
      </c>
      <c r="H420" s="4" t="str">
        <f ca="1">IF(OR(INDEX($AG$2:$AG$1001,MATCH(ROWS($AF$2:AF420),$AF$2:$AF$1001,0),1)&gt;=100000,INDEX($AM$1005:$BM$1005,1,MATCH(COLUMNS($AM$1006:AS1006),$AM$1006:$BM$1006,0))&gt;=100000), " ",IF(INDEX($AM$2:$BM$1001,MATCH(ROWS($AF$2:AF420),$AF$2:$AF$1001,0),MATCH(COLUMNS($AM$1006:AS1006),$AM$1006:$BM$1006,0)), HYPERLINK("#",""), HYPERLINK(CONCATENATE("#metadata!", ADDRESS(INDEX($AH$2:$AH$1001,MATCH(ROWS($AF$2:AF420),$AF$2:$AF$1001,0),0), INDEX($AM$1004:$BM$1004,1,MATCH(COLUMNS($AM$1006:AS1006),$AM$1006:$BM$1006,0)))),"Fix")))</f>
        <v xml:space="preserve"> </v>
      </c>
      <c r="I420" s="4" t="str">
        <f ca="1">IF(OR(INDEX($AG$2:$AG$1001,MATCH(ROWS($AF$2:AF420),$AF$2:$AF$1001,0),1)&gt;=100000,INDEX($AM$1005:$BM$1005,1,MATCH(COLUMNS($AM$1006:AT1006),$AM$1006:$BM$1006,0))&gt;=100000), " ",IF(INDEX($AM$2:$BM$1001,MATCH(ROWS($AF$2:AF420),$AF$2:$AF$1001,0),MATCH(COLUMNS($AM$1006:AT1006),$AM$1006:$BM$1006,0)), HYPERLINK("#",""), HYPERLINK(CONCATENATE("#metadata!", ADDRESS(INDEX($AH$2:$AH$1001,MATCH(ROWS($AF$2:AF420),$AF$2:$AF$1001,0),0), INDEX($AM$1004:$BM$1004,1,MATCH(COLUMNS($AM$1006:AT1006),$AM$1006:$BM$1006,0)))),"Fix")))</f>
        <v xml:space="preserve"> </v>
      </c>
      <c r="J420" s="4" t="str">
        <f ca="1">IF(OR(INDEX($AG$2:$AG$1001,MATCH(ROWS($AF$2:AF420),$AF$2:$AF$1001,0),1)&gt;=100000,INDEX($AM$1005:$BM$1005,1,MATCH(COLUMNS($AM$1006:AU1006),$AM$1006:$BM$1006,0))&gt;=100000), " ",IF(INDEX($AM$2:$BM$1001,MATCH(ROWS($AF$2:AF420),$AF$2:$AF$1001,0),MATCH(COLUMNS($AM$1006:AU1006),$AM$1006:$BM$1006,0)), HYPERLINK("#",""), HYPERLINK(CONCATENATE("#metadata!", ADDRESS(INDEX($AH$2:$AH$1001,MATCH(ROWS($AF$2:AF420),$AF$2:$AF$1001,0),0), INDEX($AM$1004:$BM$1004,1,MATCH(COLUMNS($AM$1006:AU1006),$AM$1006:$BM$1006,0)))),"Fix")))</f>
        <v xml:space="preserve"> </v>
      </c>
      <c r="K420" s="4" t="str">
        <f ca="1">IF(OR(INDEX($AG$2:$AG$1001,MATCH(ROWS($AF$2:AF420),$AF$2:$AF$1001,0),1)&gt;=100000,INDEX($AM$1005:$BM$1005,1,MATCH(COLUMNS($AM$1006:AV1006),$AM$1006:$BM$1006,0))&gt;=100000), " ",IF(INDEX($AM$2:$BM$1001,MATCH(ROWS($AF$2:AF420),$AF$2:$AF$1001,0),MATCH(COLUMNS($AM$1006:AV1006),$AM$1006:$BM$1006,0)), HYPERLINK("#",""), HYPERLINK(CONCATENATE("#metadata!", ADDRESS(INDEX($AH$2:$AH$1001,MATCH(ROWS($AF$2:AF420),$AF$2:$AF$1001,0),0), INDEX($AM$1004:$BM$1004,1,MATCH(COLUMNS($AM$1006:AV1006),$AM$1006:$BM$1006,0)))),"Fix")))</f>
        <v xml:space="preserve"> </v>
      </c>
      <c r="L420" s="4" t="str">
        <f ca="1">IF(OR(INDEX($AG$2:$AG$1001,MATCH(ROWS($AF$2:AF420),$AF$2:$AF$1001,0),1)&gt;=100000,INDEX($AM$1005:$BM$1005,1,MATCH(COLUMNS($AM$1006:AW1006),$AM$1006:$BM$1006,0))&gt;=100000), " ",IF(INDEX($AM$2:$BM$1001,MATCH(ROWS($AF$2:AF420),$AF$2:$AF$1001,0),MATCH(COLUMNS($AM$1006:AW1006),$AM$1006:$BM$1006,0)), HYPERLINK("#",""), HYPERLINK(CONCATENATE("#metadata!", ADDRESS(INDEX($AH$2:$AH$1001,MATCH(ROWS($AF$2:AF420),$AF$2:$AF$1001,0),0), INDEX($AM$1004:$BM$1004,1,MATCH(COLUMNS($AM$1006:AW1006),$AM$1006:$BM$1006,0)))),"Fix")))</f>
        <v xml:space="preserve"> </v>
      </c>
      <c r="M420" s="4" t="str">
        <f ca="1">IF(OR(INDEX($AG$2:$AG$1001,MATCH(ROWS($AF$2:AF420),$AF$2:$AF$1001,0),1)&gt;=100000,INDEX($AM$1005:$BM$1005,1,MATCH(COLUMNS($AM$1006:AX1006),$AM$1006:$BM$1006,0))&gt;=100000), " ",IF(INDEX($AM$2:$BM$1001,MATCH(ROWS($AF$2:AF420),$AF$2:$AF$1001,0),MATCH(COLUMNS($AM$1006:AX1006),$AM$1006:$BM$1006,0)), HYPERLINK("#",""), HYPERLINK(CONCATENATE("#metadata!", ADDRESS(INDEX($AH$2:$AH$1001,MATCH(ROWS($AF$2:AF420),$AF$2:$AF$1001,0),0), INDEX($AM$1004:$BM$1004,1,MATCH(COLUMNS($AM$1006:AX1006),$AM$1006:$BM$1006,0)))),"Fix")))</f>
        <v xml:space="preserve"> </v>
      </c>
      <c r="N420" s="4" t="str">
        <f ca="1">IF(OR(INDEX($AG$2:$AG$1001,MATCH(ROWS($AF$2:AF420),$AF$2:$AF$1001,0),1)&gt;=100000,INDEX($AM$1005:$BM$1005,1,MATCH(COLUMNS($AM$1006:AY1006),$AM$1006:$BM$1006,0))&gt;=100000), " ",IF(INDEX($AM$2:$BM$1001,MATCH(ROWS($AF$2:AF420),$AF$2:$AF$1001,0),MATCH(COLUMNS($AM$1006:AY1006),$AM$1006:$BM$1006,0)), HYPERLINK("#",""), HYPERLINK(CONCATENATE("#metadata!", ADDRESS(INDEX($AH$2:$AH$1001,MATCH(ROWS($AF$2:AF420),$AF$2:$AF$1001,0),0), INDEX($AM$1004:$BM$1004,1,MATCH(COLUMNS($AM$1006:AY1006),$AM$1006:$BM$1006,0)))),"Fix")))</f>
        <v xml:space="preserve"> </v>
      </c>
      <c r="O420" s="4" t="str">
        <f ca="1">IF(OR(INDEX($AG$2:$AG$1001,MATCH(ROWS($AF$2:AF420),$AF$2:$AF$1001,0),1)&gt;=100000,INDEX($AM$1005:$BM$1005,1,MATCH(COLUMNS($AM$1006:AZ1006),$AM$1006:$BM$1006,0))&gt;=100000), " ",IF(INDEX($AM$2:$BM$1001,MATCH(ROWS($AF$2:AF420),$AF$2:$AF$1001,0),MATCH(COLUMNS($AM$1006:AZ1006),$AM$1006:$BM$1006,0)), HYPERLINK("#",""), HYPERLINK(CONCATENATE("#metadata!", ADDRESS(INDEX($AH$2:$AH$1001,MATCH(ROWS($AF$2:AF420),$AF$2:$AF$1001,0),0), INDEX($AM$1004:$BM$1004,1,MATCH(COLUMNS($AM$1006:AZ1006),$AM$1006:$BM$1006,0)))),"Fix")))</f>
        <v xml:space="preserve"> </v>
      </c>
      <c r="P420" s="4" t="str">
        <f ca="1">IF(OR(INDEX($AG$2:$AG$1001,MATCH(ROWS($AF$2:AF420),$AF$2:$AF$1001,0),1)&gt;=100000,INDEX($AM$1005:$BM$1005,1,MATCH(COLUMNS($AM$1006:BA1006),$AM$1006:$BM$1006,0))&gt;=100000), " ",IF(INDEX($AM$2:$BM$1001,MATCH(ROWS($AF$2:AF420),$AF$2:$AF$1001,0),MATCH(COLUMNS($AM$1006:BA1006),$AM$1006:$BM$1006,0)), HYPERLINK("#",""), HYPERLINK(CONCATENATE("#metadata!", ADDRESS(INDEX($AH$2:$AH$1001,MATCH(ROWS($AF$2:AF420),$AF$2:$AF$1001,0),0), INDEX($AM$1004:$BM$1004,1,MATCH(COLUMNS($AM$1006:BA1006),$AM$1006:$BM$1006,0)))),"Fix")))</f>
        <v xml:space="preserve"> </v>
      </c>
      <c r="Q420" s="4" t="str">
        <f ca="1">IF(OR(INDEX($AG$2:$AG$1001,MATCH(ROWS($AF$2:AF420),$AF$2:$AF$1001,0),1)&gt;=100000,INDEX($AM$1005:$BM$1005,1,MATCH(COLUMNS($AM$1006:BB1006),$AM$1006:$BM$1006,0))&gt;=100000), " ",IF(INDEX($AM$2:$BM$1001,MATCH(ROWS($AF$2:AF420),$AF$2:$AF$1001,0),MATCH(COLUMNS($AM$1006:BB1006),$AM$1006:$BM$1006,0)), HYPERLINK("#",""), HYPERLINK(CONCATENATE("#metadata!", ADDRESS(INDEX($AH$2:$AH$1001,MATCH(ROWS($AF$2:AF420),$AF$2:$AF$1001,0),0), INDEX($AM$1004:$BM$1004,1,MATCH(COLUMNS($AM$1006:BB1006),$AM$1006:$BM$1006,0)))),"Fix")))</f>
        <v xml:space="preserve"> </v>
      </c>
      <c r="R420" s="4" t="str">
        <f ca="1">IF(OR(INDEX($AG$2:$AG$1001,MATCH(ROWS($AF$2:AF420),$AF$2:$AF$1001,0),1)&gt;=100000,INDEX($AM$1005:$BM$1005,1,MATCH(COLUMNS($AM$1006:BC1006),$AM$1006:$BM$1006,0))&gt;=100000), " ",IF(INDEX($AM$2:$BM$1001,MATCH(ROWS($AF$2:AF420),$AF$2:$AF$1001,0),MATCH(COLUMNS($AM$1006:BC1006),$AM$1006:$BM$1006,0)), HYPERLINK("#",""), HYPERLINK(CONCATENATE("#metadata!", ADDRESS(INDEX($AH$2:$AH$1001,MATCH(ROWS($AF$2:AF420),$AF$2:$AF$1001,0),0), INDEX($AM$1004:$BM$1004,1,MATCH(COLUMNS($AM$1006:BC1006),$AM$1006:$BM$1006,0)))),"Fix")))</f>
        <v xml:space="preserve"> </v>
      </c>
      <c r="S420" s="4" t="str">
        <f ca="1">IF(OR(INDEX($AG$2:$AG$1001,MATCH(ROWS($AF$2:AF420),$AF$2:$AF$1001,0),1)&gt;=100000,INDEX($AM$1005:$BM$1005,1,MATCH(COLUMNS($AM$1006:BD1006),$AM$1006:$BM$1006,0))&gt;=100000), " ",IF(INDEX($AM$2:$BM$1001,MATCH(ROWS($AF$2:AF420),$AF$2:$AF$1001,0),MATCH(COLUMNS($AM$1006:BD1006),$AM$1006:$BM$1006,0)), HYPERLINK("#",""), HYPERLINK(CONCATENATE("#metadata!", ADDRESS(INDEX($AH$2:$AH$1001,MATCH(ROWS($AF$2:AF420),$AF$2:$AF$1001,0),0), INDEX($AM$1004:$BM$1004,1,MATCH(COLUMNS($AM$1006:BD1006),$AM$1006:$BM$1006,0)))),"Fix")))</f>
        <v xml:space="preserve"> </v>
      </c>
      <c r="T420" s="4" t="str">
        <f ca="1">IF(OR(INDEX($AG$2:$AG$1001,MATCH(ROWS($AF$2:AF420),$AF$2:$AF$1001,0),1)&gt;=100000,INDEX($AM$1005:$BM$1005,1,MATCH(COLUMNS($AM$1006:BE1006),$AM$1006:$BM$1006,0))&gt;=100000), " ",IF(INDEX($AM$2:$BM$1001,MATCH(ROWS($AF$2:AF420),$AF$2:$AF$1001,0),MATCH(COLUMNS($AM$1006:BE1006),$AM$1006:$BM$1006,0)), HYPERLINK("#",""), HYPERLINK(CONCATENATE("#metadata!", ADDRESS(INDEX($AH$2:$AH$1001,MATCH(ROWS($AF$2:AF420),$AF$2:$AF$1001,0),0), INDEX($AM$1004:$BM$1004,1,MATCH(COLUMNS($AM$1006:BE1006),$AM$1006:$BM$1006,0)))),"Fix")))</f>
        <v xml:space="preserve"> </v>
      </c>
      <c r="U420" s="4" t="str">
        <f ca="1">IF(OR(INDEX($AG$2:$AG$1001,MATCH(ROWS($AF$2:AF420),$AF$2:$AF$1001,0),1)&gt;=100000,INDEX($AM$1005:$BM$1005,1,MATCH(COLUMNS($AM$1006:BF1006),$AM$1006:$BM$1006,0))&gt;=100000), " ",IF(INDEX($AM$2:$BM$1001,MATCH(ROWS($AF$2:AF420),$AF$2:$AF$1001,0),MATCH(COLUMNS($AM$1006:BF1006),$AM$1006:$BM$1006,0)), HYPERLINK("#",""), HYPERLINK(CONCATENATE("#metadata!", ADDRESS(INDEX($AH$2:$AH$1001,MATCH(ROWS($AF$2:AF420),$AF$2:$AF$1001,0),0), INDEX($AM$1004:$BM$1004,1,MATCH(COLUMNS($AM$1006:BF1006),$AM$1006:$BM$1006,0)))),"Fix")))</f>
        <v xml:space="preserve"> </v>
      </c>
      <c r="V420" s="4" t="str">
        <f ca="1">IF(OR(INDEX($AG$2:$AG$1001,MATCH(ROWS($AF$2:AF420),$AF$2:$AF$1001,0),1)&gt;=100000,INDEX($AM$1005:$BM$1005,1,MATCH(COLUMNS($AM$1006:BG1006),$AM$1006:$BM$1006,0))&gt;=100000), " ",IF(INDEX($AM$2:$BM$1001,MATCH(ROWS($AF$2:AF420),$AF$2:$AF$1001,0),MATCH(COLUMNS($AM$1006:BG1006),$AM$1006:$BM$1006,0)), HYPERLINK("#",""), HYPERLINK(CONCATENATE("#metadata!", ADDRESS(INDEX($AH$2:$AH$1001,MATCH(ROWS($AF$2:AF420),$AF$2:$AF$1001,0),0), INDEX($AM$1004:$BM$1004,1,MATCH(COLUMNS($AM$1006:BG1006),$AM$1006:$BM$1006,0)))),"Fix")))</f>
        <v xml:space="preserve"> </v>
      </c>
      <c r="W420" s="4" t="str">
        <f ca="1">IF(OR(INDEX($AG$2:$AG$1001,MATCH(ROWS($AF$2:AF420),$AF$2:$AF$1001,0),1)&gt;=100000,INDEX($AM$1005:$BM$1005,1,MATCH(COLUMNS($AM$1006:BH1006),$AM$1006:$BM$1006,0))&gt;=100000), " ",IF(INDEX($AM$2:$BM$1001,MATCH(ROWS($AF$2:AF420),$AF$2:$AF$1001,0),MATCH(COLUMNS($AM$1006:BH1006),$AM$1006:$BM$1006,0)), HYPERLINK("#",""), HYPERLINK(CONCATENATE("#metadata!", ADDRESS(INDEX($AH$2:$AH$1001,MATCH(ROWS($AF$2:AF420),$AF$2:$AF$1001,0),0), INDEX($AM$1004:$BM$1004,1,MATCH(COLUMNS($AM$1006:BH1006),$AM$1006:$BM$1006,0)))),"Fix")))</f>
        <v xml:space="preserve"> </v>
      </c>
      <c r="X420" s="4" t="str">
        <f ca="1">IF(OR(INDEX($AG$2:$AG$1001,MATCH(ROWS($AF$2:AF420),$AF$2:$AF$1001,0),1)&gt;=100000,INDEX($AM$1005:$BM$1005,1,MATCH(COLUMNS($AM$1006:BI1006),$AM$1006:$BM$1006,0))&gt;=100000), " ",IF(INDEX($AM$2:$BM$1001,MATCH(ROWS($AF$2:AF420),$AF$2:$AF$1001,0),MATCH(COLUMNS($AM$1006:BI1006),$AM$1006:$BM$1006,0)), HYPERLINK("#",""), HYPERLINK(CONCATENATE("#metadata!", ADDRESS(INDEX($AH$2:$AH$1001,MATCH(ROWS($AF$2:AF420),$AF$2:$AF$1001,0),0), INDEX($AM$1004:$BM$1004,1,MATCH(COLUMNS($AM$1006:BI1006),$AM$1006:$BM$1006,0)))),"Fix")))</f>
        <v xml:space="preserve"> </v>
      </c>
      <c r="Y420" s="4" t="str">
        <f ca="1">IF(OR(INDEX($AG$2:$AG$1001,MATCH(ROWS($AF$2:AF420),$AF$2:$AF$1001,0),1)&gt;=100000,INDEX($AM$1005:$BM$1005,1,MATCH(COLUMNS($AM$1006:BJ1006),$AM$1006:$BM$1006,0))&gt;=100000), " ",IF(INDEX($AM$2:$BM$1001,MATCH(ROWS($AF$2:AF420),$AF$2:$AF$1001,0),MATCH(COLUMNS($AM$1006:BJ1006),$AM$1006:$BM$1006,0)), HYPERLINK("#",""), HYPERLINK(CONCATENATE("#metadata!", ADDRESS(INDEX($AH$2:$AH$1001,MATCH(ROWS($AF$2:AF420),$AF$2:$AF$1001,0),0), INDEX($AM$1004:$BM$1004,1,MATCH(COLUMNS($AM$1006:BJ1006),$AM$1006:$BM$1006,0)))),"Fix")))</f>
        <v xml:space="preserve"> </v>
      </c>
      <c r="Z420" s="4" t="str">
        <f ca="1">IF(OR(INDEX($AG$2:$AG$1001,MATCH(ROWS($AF$2:AF420),$AF$2:$AF$1001,0),1)&gt;=100000,INDEX($AM$1005:$BM$1005,1,MATCH(COLUMNS($AM$1006:BK1006),$AM$1006:$BM$1006,0))&gt;=100000), " ",IF(INDEX($AM$2:$BM$1001,MATCH(ROWS($AF$2:AF420),$AF$2:$AF$1001,0),MATCH(COLUMNS($AM$1006:BK1006),$AM$1006:$BM$1006,0)), HYPERLINK("#",""), HYPERLINK(CONCATENATE("#metadata!", ADDRESS(INDEX($AH$2:$AH$1001,MATCH(ROWS($AF$2:AF420),$AF$2:$AF$1001,0),0), INDEX($AM$1004:$BM$1004,1,MATCH(COLUMNS($AM$1006:BK1006),$AM$1006:$BM$1006,0)))),"Fix")))</f>
        <v xml:space="preserve"> </v>
      </c>
      <c r="AA420" s="4" t="str">
        <f ca="1">IF(OR(INDEX($AG$2:$AG$1001,MATCH(ROWS($AF$2:AF420),$AF$2:$AF$1001,0),1)&gt;=100000,INDEX($AM$1005:$BM$1005,1,MATCH(COLUMNS($AM$1006:BL1006),$AM$1006:$BM$1006,0))&gt;=100000), " ",IF(INDEX($AM$2:$BM$1001,MATCH(ROWS($AF$2:AF420),$AF$2:$AF$1001,0),MATCH(COLUMNS($AM$1006:BL1006),$AM$1006:$BM$1006,0)), HYPERLINK("#",""), HYPERLINK(CONCATENATE("#metadata!", ADDRESS(INDEX($AH$2:$AH$1001,MATCH(ROWS($AF$2:AF420),$AF$2:$AF$1001,0),0), INDEX($AM$1004:$BM$1004,1,MATCH(COLUMNS($AM$1006:BL1006),$AM$1006:$BM$1006,0)))),"Fix")))</f>
        <v xml:space="preserve"> </v>
      </c>
      <c r="AB420" s="4" t="str">
        <f ca="1">IF(OR(INDEX($AG$2:$AG$1001,MATCH(ROWS($AF$2:AF420),$AF$2:$AF$1001,0),1)&gt;=100000,INDEX($AM$1005:$BM$1005,1,MATCH(COLUMNS($AM$1006:BM1006),$AM$1006:$BM$1006,0))&gt;=100000), " ",IF(INDEX($AM$2:$BM$1001,MATCH(ROWS($AF$2:AF420),$AF$2:$AF$1001,0),MATCH(COLUMNS($AM$1006:BM1006),$AM$1006:$BM$1006,0)), HYPERLINK("#",""), HYPERLINK(CONCATENATE("#metadata!", ADDRESS(INDEX($AH$2:$AH$1001,MATCH(ROWS($AF$2:AF420),$AF$2:$AF$1001,0),0), INDEX($AM$1004:$BM$1004,1,MATCH(COLUMNS($AM$1006:BM1006),$AM$1006:$BM$1006,0)))),"Fix")))</f>
        <v xml:space="preserve"> </v>
      </c>
      <c r="AF420">
        <v>419</v>
      </c>
      <c r="AG420">
        <v>100420</v>
      </c>
      <c r="AH420">
        <v>420</v>
      </c>
      <c r="AI420" t="b">
        <f t="shared" si="6"/>
        <v>1</v>
      </c>
      <c r="AJ420" t="b">
        <f>COUNTBLANK(metadata!B420:AB420)=COLUMNS(metadata!B420:AB420)</f>
        <v>1</v>
      </c>
      <c r="AK420" t="str">
        <v/>
      </c>
      <c r="AM420" t="b">
        <f ca="1">AND(IF(metadata!B420="",FALSE,TRUE),COUNTIF(metadata!B:B, metadata!B420) = 1,NOT(ISERROR(SUMPRODUCT(SEARCH(MID(metadata!B420,ROW(INDIRECT("1:"&amp;LEN(metadata!B420))), 1),"0123456789abcdefghijklmnopqrstuvwxyzABCDEFGHIJKLMNOPQRSTUVWXYZ.")))))</f>
        <v>0</v>
      </c>
      <c r="AN420" t="b">
        <f ca="1">OR(AND(IF(metadata!C420="",FALSE,TRUE),OR(EXACT(metadata!C420,"missing: not collected"),EXACT(metadata!C420,"missing: not provided"),EXACT(metadata!C420,"missing: restricted access"))),AND(IF(metadata!C420="",FALSE,TRUE),AND(AND(IFERROR(INT(LEFT(metadata!C420,4))&gt;1900,FALSE),IFERROR(INT(LEFT(metadata!C420,4))&lt;=YEAR(NOW()),FALSE)), OR(MID(metadata!C420,5,1)="", AND(AND(MID(metadata!C420,5,1)="-",IFERROR(INT(MID(metadata!C420,6,1))&gt;=0,FALSE),IFERROR(INT(MID(metadata!C420,6,1))&lt;=1,FALSE),NOT(MID(metadata!C420,7,1)=""),IFERROR(INT(MID(metadata!C420,6,2))&gt;=1,FALSE),IFERROR(INT(MID(metadata!C420,6,2))&lt;=12,FALSE)), OR(MID(metadata!C420,8,1)="", AND(AND(MID(metadata!C420,8,1)="-",IFERROR(INT(MID(metadata!C420,9,1))&gt;=0,FALSE),IFERROR(INT(MID(metadata!C420,9,1))&lt;=3,FALSE),NOT(MID(metadata!C420,10,1)=""),IFERROR(INT(MID(metadata!C420,9,2))&gt;=1,FALSE),IFERROR(INT(MID(metadata!C420,9,2))&lt;=31,FALSE)), OR(MID(metadata!C420,11,1)="", AND(AND(MID(metadata!C420,11,1)=" ",IFERROR(INT(MID(metadata!C420,12,1))&gt;=0,FALSE),IFERROR(INT(MID(metadata!C420,12,1))&lt;=2,FALSE),NOT(MID(metadata!C420,13,1)=""),IFERROR(INT(MID(metadata!C420,12,2))&gt;=0,FALSE),IFERROR(INT(MID(metadata!C420,12,2))&lt;=23,FALSE)), OR(MID(metadata!C420,14,1)="", AND(AND(MID(metadata!C420,14,1)=":",IFERROR(INT(MID(metadata!C420,15,1))&gt;=0,FALSE),IFERROR(INT(MID(metadata!C420,15,1))&lt;=5,FALSE),NOT(MID(metadata!C420,16,1)=""),IFERROR(INT(MID(metadata!C420,15,2))&gt;=0,FALSE),IFERROR(INT(MID(metadata!C420,15,2))&lt;=59,FALSE)), OR(MID(metadata!C420,17,1)="", AND(AND(MID(metadata!C420,17,1)=":",IFERROR(INT(MID(metadata!C420,18,1))&gt;=0,FALSE),IFERROR(INT(MID(metadata!C420,18,1))&lt;=5,FALSE),NOT(MID(metadata!C420,19,1)=""),IFERROR(INT(MID(metadata!C420,18,2))&gt;=0,FALSE),IFERROR(INT(MID(metadata!C420,18,2))&lt;=59,FALSE)), LEN(metadata!C420)&lt;=19)))))))))))))</f>
        <v>0</v>
      </c>
      <c r="AO420" t="b">
        <f>AND(IF(metadata!D420="",FALSE,TRUE),EXACT(metadata!D420,"Not applicable"))</f>
        <v>0</v>
      </c>
      <c r="AP420" t="b">
        <f>IF(metadata!E420="",FALSE,TRUE)</f>
        <v>0</v>
      </c>
      <c r="AQ420" t="b">
        <f>OR(AND(IF(metadata!F420="",FALSE,TRUE),OR(EXACT(metadata!F420,"missing: not collected"),EXACT(metadata!F420,"missing: not provided"))),AND(IF(metadata!F420="",FALSE,TRUE),OR(EXACT(metadata!F420,"TRUE"),EXACT(metadata!F420,"FALSE"))))</f>
        <v>0</v>
      </c>
      <c r="AR420" t="b">
        <f>OR(AND(IF(metadata!G420="",FALSE,TRUE),OR(EXACT(metadata!G420,"missing: not collected"),EXACT(metadata!G420,"missing: not provided"),EXACT(metadata!G420,"missing: restricted access"))),AND(IF(metadata!G420="",FALSE,ISNUMBER(VALUE(metadata!G420))),metadata!G420&gt;=-413))</f>
        <v>0</v>
      </c>
      <c r="AS420" t="b">
        <f>AND(IF(metadata!H420="",FALSE,TRUE),EXACT(metadata!H420,"meters"))</f>
        <v>0</v>
      </c>
      <c r="AT420" t="b">
        <f>AND(IF(metadata!I420="",FALSE,TRUE),OR(EXACT(metadata!I420,"Host-associated"),EXACT(metadata!I420,"Free-living")))</f>
        <v>0</v>
      </c>
      <c r="AU420" t="b">
        <f>AND(IF(metadata!J420="",FALSE,TRUE),OR(EXACT(metadata!J420,"Animal"),EXACT(metadata!J420,"Fungus"),EXACT(metadata!J420,"Plant"),EXACT(metadata!J420,"Saline"),EXACT(metadata!J420,"Non-saline")))</f>
        <v>0</v>
      </c>
      <c r="AV420" t="b">
        <f>AND(IF(metadata!K420="",FALSE,TRUE),OR(EXACT(metadata!K420,"Plant secretion"),EXACT(metadata!K420,"Plant rhizosphere"),EXACT(metadata!K420,"Plant surface"),EXACT(metadata!K420,"Plant corpus"),EXACT(metadata!K420,"Fungus surface"),EXACT(metadata!K420,"Fungus corpus"),EXACT(metadata!K420,"Animal surface"),EXACT(metadata!K420,"Animal proximal gut"),EXACT(metadata!K420,"Animal corpus"),EXACT(metadata!K420,"Animal distal gut"),EXACT(metadata!K420,"Animal secretion"),EXACT(metadata!K420,"Sub-surface (non-saline)"),EXACT(metadata!K420,"Surface (non-saline)"),EXACT(metadata!K420,"Water (non-saline)"),EXACT(metadata!K420,"Soil (non-saline)"),EXACT(metadata!K420,"Aerosol (non-saline)"),EXACT(metadata!K420,"Sediment (non-saline)"),EXACT(metadata!K420,"Surface (saline)"),EXACT(metadata!K420,"Water (saline)"),EXACT(metadata!K420,"Hypersaline (saline)"),EXACT(metadata!K420,"Aerosol (saline)"),EXACT(metadata!K420,"Sediment (saline)")))</f>
        <v>0</v>
      </c>
      <c r="AW420" t="b">
        <f>IF(metadata!L420="",FALSE,TRUE)</f>
        <v>0</v>
      </c>
      <c r="AX420" t="b">
        <f>IF(metadata!M420="",FALSE,TRUE)</f>
        <v>0</v>
      </c>
      <c r="AY420" t="b">
        <f>IF(metadata!N420="",FALSE,TRUE)</f>
        <v>0</v>
      </c>
      <c r="AZ420" t="b">
        <f>OR(AND(IF(metadata!O420="",FALSE,TRUE),OR(EXACT(metadata!O420,"missing: not collected"),EXACT(metadata!O420,"missing: not provided"),EXACT(metadata!O420,"missing: restricted access"))),AND(IF(metadata!O420="",FALSE,TRUE),OR(EXACT(metadata!O420,"air"),EXACT(metadata!O420,"built environment"),EXACT(metadata!O420,"host-associated"),EXACT(metadata!O420,"human-associated"),EXACT(metadata!O420,"human-skin"),EXACT(metadata!O420,"human-oral"),EXACT(metadata!O420,"human-gut"),EXACT(metadata!O420,"human-vaginal"),EXACT(metadata!O420,"microbial mat/biofilm"),EXACT(metadata!O420,"misc environment"),EXACT(metadata!O420,"plant-associated"),EXACT(metadata!O420,"sediment"),EXACT(metadata!O420,"soil"),EXACT(metadata!O420,"wastewater/sludge"),EXACT(metadata!O420,"water"))))</f>
        <v>0</v>
      </c>
      <c r="BA420" t="b">
        <f>IF(metadata!P420="",FALSE,TRUE)</f>
        <v>0</v>
      </c>
      <c r="BB420" t="b">
        <f>IF(metadata!Q420="",FALSE,TRUE)</f>
        <v>0</v>
      </c>
      <c r="BC420" t="b">
        <f>OR(AND(IF(metadata!R420="",FALSE,TRUE),OR(EXACT(metadata!R420,"missing: not collected"),EXACT(metadata!R420,"missing: not provided"),EXACT(metadata!R420,"missing: restricted access"))),AND(IF(metadata!R420="",FALSE,ISNUMBER(VALUE(metadata!R420))),metadata!R420&gt;=-90,metadata!R420&lt;=90))</f>
        <v>0</v>
      </c>
      <c r="BD420" t="b">
        <f>AND(IF(metadata!S420="",FALSE,TRUE),EXACT(metadata!S420,"Decimal degrees"))</f>
        <v>0</v>
      </c>
      <c r="BE420" t="b">
        <f>OR(AND(IF(metadata!T420="",FALSE,TRUE),OR(EXACT(metadata!T420,"missing: not collected"),EXACT(metadata!T420,"missing: not provided"),EXACT(metadata!T420,"missing: restricted access"))),AND(IF(metadata!T420="",FALSE,ISNUMBER(VALUE(metadata!T420))),metadata!T420&gt;=-180,metadata!T420&lt;=180))</f>
        <v>0</v>
      </c>
      <c r="BF420" t="b">
        <f>AND(IF(metadata!U420="",FALSE,TRUE),EXACT(metadata!U420,"Decimal degrees"))</f>
        <v>0</v>
      </c>
      <c r="BG420" t="b">
        <f>IF(metadata!V420="",FALSE,TRUE)</f>
        <v>0</v>
      </c>
      <c r="BH420" t="b">
        <f>OR(AND(IF(metadata!W420="",FALSE,TRUE),OR(EXACT(metadata!W420,"missing: not collected"),EXACT(metadata!W420,"missing: not provided"),EXACT(metadata!W420,"missing: restricted access"))),AND(IF(metadata!W420="",FALSE,TRUE),OR(EXACT(metadata!W420,"TRUE"),EXACT(metadata!W420,"FALSE"))))</f>
        <v>0</v>
      </c>
      <c r="BI420" t="b">
        <f>AND(IF(metadata!X420="",FALSE,TRUE),EXACT(metadata!X420,"other"))</f>
        <v>0</v>
      </c>
      <c r="BJ420" t="b">
        <f>IF(metadata!Y420="",FALSE,TRUE)</f>
        <v>0</v>
      </c>
      <c r="BK420" t="b">
        <f>OR(AND(IF(metadata!Z420="",FALSE,TRUE),OR(EXACT(metadata!Z420,"missing: not collected"),EXACT(metadata!Z420,"missing: not provided"))),AND(IF(metadata!Z420="",FALSE,IF(ISERROR(INT(metadata!Z420)),FALSE,INT(metadata!Z420)=metadata!Z420)),metadata!Z420&gt;0))</f>
        <v>0</v>
      </c>
      <c r="BL420" t="b">
        <f>AND(IF(metadata!AA420="",FALSE,TRUE),EXACT(metadata!AA420,"Not applicable"))</f>
        <v>0</v>
      </c>
      <c r="BM420" t="b">
        <f>IF(metadata!AB420="",FALSE,TRUE)</f>
        <v>0</v>
      </c>
    </row>
    <row r="421" spans="1:65" x14ac:dyDescent="0.2">
      <c r="A421" s="5" t="str">
        <f ca="1">IF(B421=" "," ",HYPERLINK(CONCATENATE("#metadata!",ADDRESS(INDEX($AH$2:$AH$1001,MATCH(ROWS($AF$2:AF421),$AF$2:$AF$1001,0),0),1)),INDEX($AK$2:$AK$1001,MATCH(ROWS($AF$2:AF421),$AF$2:$AF$1001,0),0)))</f>
        <v xml:space="preserve"> </v>
      </c>
      <c r="B421" s="4" t="str">
        <f ca="1">IF(OR(INDEX($AG$2:$AG$1001,MATCH(ROWS($AF$2:AF421),$AF$2:$AF$1001,0),1)&gt;=100000,INDEX($AM$1005:$BM$1005,1,MATCH(COLUMNS($AM$1006:AM1006),$AM$1006:$BM$1006,0))&gt;=100000), " ",IF(INDEX($AM$2:$BM$1001,MATCH(ROWS($AF$2:AF421),$AF$2:$AF$1001,0),MATCH(COLUMNS($AM$1006:AM1006),$AM$1006:$BM$1006,0)), HYPERLINK("#",""), HYPERLINK(CONCATENATE("#metadata!", ADDRESS(INDEX($AH$2:$AH$1001,MATCH(ROWS($AF$2:AF421),$AF$2:$AF$1001,0),0), INDEX($AM$1004:$BM$1004,1,MATCH(COLUMNS($AM$1006:AM1006),$AM$1006:$BM$1006,0)))),"Fix")))</f>
        <v xml:space="preserve"> </v>
      </c>
      <c r="C421" s="4" t="str">
        <f ca="1">IF(OR(INDEX($AG$2:$AG$1001,MATCH(ROWS($AF$2:AF421),$AF$2:$AF$1001,0),1)&gt;=100000,INDEX($AM$1005:$BM$1005,1,MATCH(COLUMNS($AM$1006:AN1006),$AM$1006:$BM$1006,0))&gt;=100000), " ",IF(INDEX($AM$2:$BM$1001,MATCH(ROWS($AF$2:AF421),$AF$2:$AF$1001,0),MATCH(COLUMNS($AM$1006:AN1006),$AM$1006:$BM$1006,0)), HYPERLINK("#",""), HYPERLINK(CONCATENATE("#metadata!", ADDRESS(INDEX($AH$2:$AH$1001,MATCH(ROWS($AF$2:AF421),$AF$2:$AF$1001,0),0), INDEX($AM$1004:$BM$1004,1,MATCH(COLUMNS($AM$1006:AN1006),$AM$1006:$BM$1006,0)))),"Fix")))</f>
        <v xml:space="preserve"> </v>
      </c>
      <c r="D421" s="4" t="str">
        <f ca="1">IF(OR(INDEX($AG$2:$AG$1001,MATCH(ROWS($AF$2:AF421),$AF$2:$AF$1001,0),1)&gt;=100000,INDEX($AM$1005:$BM$1005,1,MATCH(COLUMNS($AM$1006:AO1006),$AM$1006:$BM$1006,0))&gt;=100000), " ",IF(INDEX($AM$2:$BM$1001,MATCH(ROWS($AF$2:AF421),$AF$2:$AF$1001,0),MATCH(COLUMNS($AM$1006:AO1006),$AM$1006:$BM$1006,0)), HYPERLINK("#",""), HYPERLINK(CONCATENATE("#metadata!", ADDRESS(INDEX($AH$2:$AH$1001,MATCH(ROWS($AF$2:AF421),$AF$2:$AF$1001,0),0), INDEX($AM$1004:$BM$1004,1,MATCH(COLUMNS($AM$1006:AO1006),$AM$1006:$BM$1006,0)))),"Fix")))</f>
        <v xml:space="preserve"> </v>
      </c>
      <c r="E421" s="4" t="str">
        <f ca="1">IF(OR(INDEX($AG$2:$AG$1001,MATCH(ROWS($AF$2:AF421),$AF$2:$AF$1001,0),1)&gt;=100000,INDEX($AM$1005:$BM$1005,1,MATCH(COLUMNS($AM$1006:AP1006),$AM$1006:$BM$1006,0))&gt;=100000), " ",IF(INDEX($AM$2:$BM$1001,MATCH(ROWS($AF$2:AF421),$AF$2:$AF$1001,0),MATCH(COLUMNS($AM$1006:AP1006),$AM$1006:$BM$1006,0)), HYPERLINK("#",""), HYPERLINK(CONCATENATE("#metadata!", ADDRESS(INDEX($AH$2:$AH$1001,MATCH(ROWS($AF$2:AF421),$AF$2:$AF$1001,0),0), INDEX($AM$1004:$BM$1004,1,MATCH(COLUMNS($AM$1006:AP1006),$AM$1006:$BM$1006,0)))),"Fix")))</f>
        <v xml:space="preserve"> </v>
      </c>
      <c r="F421" s="4" t="str">
        <f ca="1">IF(OR(INDEX($AG$2:$AG$1001,MATCH(ROWS($AF$2:AF421),$AF$2:$AF$1001,0),1)&gt;=100000,INDEX($AM$1005:$BM$1005,1,MATCH(COLUMNS($AM$1006:AQ1006),$AM$1006:$BM$1006,0))&gt;=100000), " ",IF(INDEX($AM$2:$BM$1001,MATCH(ROWS($AF$2:AF421),$AF$2:$AF$1001,0),MATCH(COLUMNS($AM$1006:AQ1006),$AM$1006:$BM$1006,0)), HYPERLINK("#",""), HYPERLINK(CONCATENATE("#metadata!", ADDRESS(INDEX($AH$2:$AH$1001,MATCH(ROWS($AF$2:AF421),$AF$2:$AF$1001,0),0), INDEX($AM$1004:$BM$1004,1,MATCH(COLUMNS($AM$1006:AQ1006),$AM$1006:$BM$1006,0)))),"Fix")))</f>
        <v xml:space="preserve"> </v>
      </c>
      <c r="G421" s="4" t="str">
        <f ca="1">IF(OR(INDEX($AG$2:$AG$1001,MATCH(ROWS($AF$2:AF421),$AF$2:$AF$1001,0),1)&gt;=100000,INDEX($AM$1005:$BM$1005,1,MATCH(COLUMNS($AM$1006:AR1006),$AM$1006:$BM$1006,0))&gt;=100000), " ",IF(INDEX($AM$2:$BM$1001,MATCH(ROWS($AF$2:AF421),$AF$2:$AF$1001,0),MATCH(COLUMNS($AM$1006:AR1006),$AM$1006:$BM$1006,0)), HYPERLINK("#",""), HYPERLINK(CONCATENATE("#metadata!", ADDRESS(INDEX($AH$2:$AH$1001,MATCH(ROWS($AF$2:AF421),$AF$2:$AF$1001,0),0), INDEX($AM$1004:$BM$1004,1,MATCH(COLUMNS($AM$1006:AR1006),$AM$1006:$BM$1006,0)))),"Fix")))</f>
        <v xml:space="preserve"> </v>
      </c>
      <c r="H421" s="4" t="str">
        <f ca="1">IF(OR(INDEX($AG$2:$AG$1001,MATCH(ROWS($AF$2:AF421),$AF$2:$AF$1001,0),1)&gt;=100000,INDEX($AM$1005:$BM$1005,1,MATCH(COLUMNS($AM$1006:AS1006),$AM$1006:$BM$1006,0))&gt;=100000), " ",IF(INDEX($AM$2:$BM$1001,MATCH(ROWS($AF$2:AF421),$AF$2:$AF$1001,0),MATCH(COLUMNS($AM$1006:AS1006),$AM$1006:$BM$1006,0)), HYPERLINK("#",""), HYPERLINK(CONCATENATE("#metadata!", ADDRESS(INDEX($AH$2:$AH$1001,MATCH(ROWS($AF$2:AF421),$AF$2:$AF$1001,0),0), INDEX($AM$1004:$BM$1004,1,MATCH(COLUMNS($AM$1006:AS1006),$AM$1006:$BM$1006,0)))),"Fix")))</f>
        <v xml:space="preserve"> </v>
      </c>
      <c r="I421" s="4" t="str">
        <f ca="1">IF(OR(INDEX($AG$2:$AG$1001,MATCH(ROWS($AF$2:AF421),$AF$2:$AF$1001,0),1)&gt;=100000,INDEX($AM$1005:$BM$1005,1,MATCH(COLUMNS($AM$1006:AT1006),$AM$1006:$BM$1006,0))&gt;=100000), " ",IF(INDEX($AM$2:$BM$1001,MATCH(ROWS($AF$2:AF421),$AF$2:$AF$1001,0),MATCH(COLUMNS($AM$1006:AT1006),$AM$1006:$BM$1006,0)), HYPERLINK("#",""), HYPERLINK(CONCATENATE("#metadata!", ADDRESS(INDEX($AH$2:$AH$1001,MATCH(ROWS($AF$2:AF421),$AF$2:$AF$1001,0),0), INDEX($AM$1004:$BM$1004,1,MATCH(COLUMNS($AM$1006:AT1006),$AM$1006:$BM$1006,0)))),"Fix")))</f>
        <v xml:space="preserve"> </v>
      </c>
      <c r="J421" s="4" t="str">
        <f ca="1">IF(OR(INDEX($AG$2:$AG$1001,MATCH(ROWS($AF$2:AF421),$AF$2:$AF$1001,0),1)&gt;=100000,INDEX($AM$1005:$BM$1005,1,MATCH(COLUMNS($AM$1006:AU1006),$AM$1006:$BM$1006,0))&gt;=100000), " ",IF(INDEX($AM$2:$BM$1001,MATCH(ROWS($AF$2:AF421),$AF$2:$AF$1001,0),MATCH(COLUMNS($AM$1006:AU1006),$AM$1006:$BM$1006,0)), HYPERLINK("#",""), HYPERLINK(CONCATENATE("#metadata!", ADDRESS(INDEX($AH$2:$AH$1001,MATCH(ROWS($AF$2:AF421),$AF$2:$AF$1001,0),0), INDEX($AM$1004:$BM$1004,1,MATCH(COLUMNS($AM$1006:AU1006),$AM$1006:$BM$1006,0)))),"Fix")))</f>
        <v xml:space="preserve"> </v>
      </c>
      <c r="K421" s="4" t="str">
        <f ca="1">IF(OR(INDEX($AG$2:$AG$1001,MATCH(ROWS($AF$2:AF421),$AF$2:$AF$1001,0),1)&gt;=100000,INDEX($AM$1005:$BM$1005,1,MATCH(COLUMNS($AM$1006:AV1006),$AM$1006:$BM$1006,0))&gt;=100000), " ",IF(INDEX($AM$2:$BM$1001,MATCH(ROWS($AF$2:AF421),$AF$2:$AF$1001,0),MATCH(COLUMNS($AM$1006:AV1006),$AM$1006:$BM$1006,0)), HYPERLINK("#",""), HYPERLINK(CONCATENATE("#metadata!", ADDRESS(INDEX($AH$2:$AH$1001,MATCH(ROWS($AF$2:AF421),$AF$2:$AF$1001,0),0), INDEX($AM$1004:$BM$1004,1,MATCH(COLUMNS($AM$1006:AV1006),$AM$1006:$BM$1006,0)))),"Fix")))</f>
        <v xml:space="preserve"> </v>
      </c>
      <c r="L421" s="4" t="str">
        <f ca="1">IF(OR(INDEX($AG$2:$AG$1001,MATCH(ROWS($AF$2:AF421),$AF$2:$AF$1001,0),1)&gt;=100000,INDEX($AM$1005:$BM$1005,1,MATCH(COLUMNS($AM$1006:AW1006),$AM$1006:$BM$1006,0))&gt;=100000), " ",IF(INDEX($AM$2:$BM$1001,MATCH(ROWS($AF$2:AF421),$AF$2:$AF$1001,0),MATCH(COLUMNS($AM$1006:AW1006),$AM$1006:$BM$1006,0)), HYPERLINK("#",""), HYPERLINK(CONCATENATE("#metadata!", ADDRESS(INDEX($AH$2:$AH$1001,MATCH(ROWS($AF$2:AF421),$AF$2:$AF$1001,0),0), INDEX($AM$1004:$BM$1004,1,MATCH(COLUMNS($AM$1006:AW1006),$AM$1006:$BM$1006,0)))),"Fix")))</f>
        <v xml:space="preserve"> </v>
      </c>
      <c r="M421" s="4" t="str">
        <f ca="1">IF(OR(INDEX($AG$2:$AG$1001,MATCH(ROWS($AF$2:AF421),$AF$2:$AF$1001,0),1)&gt;=100000,INDEX($AM$1005:$BM$1005,1,MATCH(COLUMNS($AM$1006:AX1006),$AM$1006:$BM$1006,0))&gt;=100000), " ",IF(INDEX($AM$2:$BM$1001,MATCH(ROWS($AF$2:AF421),$AF$2:$AF$1001,0),MATCH(COLUMNS($AM$1006:AX1006),$AM$1006:$BM$1006,0)), HYPERLINK("#",""), HYPERLINK(CONCATENATE("#metadata!", ADDRESS(INDEX($AH$2:$AH$1001,MATCH(ROWS($AF$2:AF421),$AF$2:$AF$1001,0),0), INDEX($AM$1004:$BM$1004,1,MATCH(COLUMNS($AM$1006:AX1006),$AM$1006:$BM$1006,0)))),"Fix")))</f>
        <v xml:space="preserve"> </v>
      </c>
      <c r="N421" s="4" t="str">
        <f ca="1">IF(OR(INDEX($AG$2:$AG$1001,MATCH(ROWS($AF$2:AF421),$AF$2:$AF$1001,0),1)&gt;=100000,INDEX($AM$1005:$BM$1005,1,MATCH(COLUMNS($AM$1006:AY1006),$AM$1006:$BM$1006,0))&gt;=100000), " ",IF(INDEX($AM$2:$BM$1001,MATCH(ROWS($AF$2:AF421),$AF$2:$AF$1001,0),MATCH(COLUMNS($AM$1006:AY1006),$AM$1006:$BM$1006,0)), HYPERLINK("#",""), HYPERLINK(CONCATENATE("#metadata!", ADDRESS(INDEX($AH$2:$AH$1001,MATCH(ROWS($AF$2:AF421),$AF$2:$AF$1001,0),0), INDEX($AM$1004:$BM$1004,1,MATCH(COLUMNS($AM$1006:AY1006),$AM$1006:$BM$1006,0)))),"Fix")))</f>
        <v xml:space="preserve"> </v>
      </c>
      <c r="O421" s="4" t="str">
        <f ca="1">IF(OR(INDEX($AG$2:$AG$1001,MATCH(ROWS($AF$2:AF421),$AF$2:$AF$1001,0),1)&gt;=100000,INDEX($AM$1005:$BM$1005,1,MATCH(COLUMNS($AM$1006:AZ1006),$AM$1006:$BM$1006,0))&gt;=100000), " ",IF(INDEX($AM$2:$BM$1001,MATCH(ROWS($AF$2:AF421),$AF$2:$AF$1001,0),MATCH(COLUMNS($AM$1006:AZ1006),$AM$1006:$BM$1006,0)), HYPERLINK("#",""), HYPERLINK(CONCATENATE("#metadata!", ADDRESS(INDEX($AH$2:$AH$1001,MATCH(ROWS($AF$2:AF421),$AF$2:$AF$1001,0),0), INDEX($AM$1004:$BM$1004,1,MATCH(COLUMNS($AM$1006:AZ1006),$AM$1006:$BM$1006,0)))),"Fix")))</f>
        <v xml:space="preserve"> </v>
      </c>
      <c r="P421" s="4" t="str">
        <f ca="1">IF(OR(INDEX($AG$2:$AG$1001,MATCH(ROWS($AF$2:AF421),$AF$2:$AF$1001,0),1)&gt;=100000,INDEX($AM$1005:$BM$1005,1,MATCH(COLUMNS($AM$1006:BA1006),$AM$1006:$BM$1006,0))&gt;=100000), " ",IF(INDEX($AM$2:$BM$1001,MATCH(ROWS($AF$2:AF421),$AF$2:$AF$1001,0),MATCH(COLUMNS($AM$1006:BA1006),$AM$1006:$BM$1006,0)), HYPERLINK("#",""), HYPERLINK(CONCATENATE("#metadata!", ADDRESS(INDEX($AH$2:$AH$1001,MATCH(ROWS($AF$2:AF421),$AF$2:$AF$1001,0),0), INDEX($AM$1004:$BM$1004,1,MATCH(COLUMNS($AM$1006:BA1006),$AM$1006:$BM$1006,0)))),"Fix")))</f>
        <v xml:space="preserve"> </v>
      </c>
      <c r="Q421" s="4" t="str">
        <f ca="1">IF(OR(INDEX($AG$2:$AG$1001,MATCH(ROWS($AF$2:AF421),$AF$2:$AF$1001,0),1)&gt;=100000,INDEX($AM$1005:$BM$1005,1,MATCH(COLUMNS($AM$1006:BB1006),$AM$1006:$BM$1006,0))&gt;=100000), " ",IF(INDEX($AM$2:$BM$1001,MATCH(ROWS($AF$2:AF421),$AF$2:$AF$1001,0),MATCH(COLUMNS($AM$1006:BB1006),$AM$1006:$BM$1006,0)), HYPERLINK("#",""), HYPERLINK(CONCATENATE("#metadata!", ADDRESS(INDEX($AH$2:$AH$1001,MATCH(ROWS($AF$2:AF421),$AF$2:$AF$1001,0),0), INDEX($AM$1004:$BM$1004,1,MATCH(COLUMNS($AM$1006:BB1006),$AM$1006:$BM$1006,0)))),"Fix")))</f>
        <v xml:space="preserve"> </v>
      </c>
      <c r="R421" s="4" t="str">
        <f ca="1">IF(OR(INDEX($AG$2:$AG$1001,MATCH(ROWS($AF$2:AF421),$AF$2:$AF$1001,0),1)&gt;=100000,INDEX($AM$1005:$BM$1005,1,MATCH(COLUMNS($AM$1006:BC1006),$AM$1006:$BM$1006,0))&gt;=100000), " ",IF(INDEX($AM$2:$BM$1001,MATCH(ROWS($AF$2:AF421),$AF$2:$AF$1001,0),MATCH(COLUMNS($AM$1006:BC1006),$AM$1006:$BM$1006,0)), HYPERLINK("#",""), HYPERLINK(CONCATENATE("#metadata!", ADDRESS(INDEX($AH$2:$AH$1001,MATCH(ROWS($AF$2:AF421),$AF$2:$AF$1001,0),0), INDEX($AM$1004:$BM$1004,1,MATCH(COLUMNS($AM$1006:BC1006),$AM$1006:$BM$1006,0)))),"Fix")))</f>
        <v xml:space="preserve"> </v>
      </c>
      <c r="S421" s="4" t="str">
        <f ca="1">IF(OR(INDEX($AG$2:$AG$1001,MATCH(ROWS($AF$2:AF421),$AF$2:$AF$1001,0),1)&gt;=100000,INDEX($AM$1005:$BM$1005,1,MATCH(COLUMNS($AM$1006:BD1006),$AM$1006:$BM$1006,0))&gt;=100000), " ",IF(INDEX($AM$2:$BM$1001,MATCH(ROWS($AF$2:AF421),$AF$2:$AF$1001,0),MATCH(COLUMNS($AM$1006:BD1006),$AM$1006:$BM$1006,0)), HYPERLINK("#",""), HYPERLINK(CONCATENATE("#metadata!", ADDRESS(INDEX($AH$2:$AH$1001,MATCH(ROWS($AF$2:AF421),$AF$2:$AF$1001,0),0), INDEX($AM$1004:$BM$1004,1,MATCH(COLUMNS($AM$1006:BD1006),$AM$1006:$BM$1006,0)))),"Fix")))</f>
        <v xml:space="preserve"> </v>
      </c>
      <c r="T421" s="4" t="str">
        <f ca="1">IF(OR(INDEX($AG$2:$AG$1001,MATCH(ROWS($AF$2:AF421),$AF$2:$AF$1001,0),1)&gt;=100000,INDEX($AM$1005:$BM$1005,1,MATCH(COLUMNS($AM$1006:BE1006),$AM$1006:$BM$1006,0))&gt;=100000), " ",IF(INDEX($AM$2:$BM$1001,MATCH(ROWS($AF$2:AF421),$AF$2:$AF$1001,0),MATCH(COLUMNS($AM$1006:BE1006),$AM$1006:$BM$1006,0)), HYPERLINK("#",""), HYPERLINK(CONCATENATE("#metadata!", ADDRESS(INDEX($AH$2:$AH$1001,MATCH(ROWS($AF$2:AF421),$AF$2:$AF$1001,0),0), INDEX($AM$1004:$BM$1004,1,MATCH(COLUMNS($AM$1006:BE1006),$AM$1006:$BM$1006,0)))),"Fix")))</f>
        <v xml:space="preserve"> </v>
      </c>
      <c r="U421" s="4" t="str">
        <f ca="1">IF(OR(INDEX($AG$2:$AG$1001,MATCH(ROWS($AF$2:AF421),$AF$2:$AF$1001,0),1)&gt;=100000,INDEX($AM$1005:$BM$1005,1,MATCH(COLUMNS($AM$1006:BF1006),$AM$1006:$BM$1006,0))&gt;=100000), " ",IF(INDEX($AM$2:$BM$1001,MATCH(ROWS($AF$2:AF421),$AF$2:$AF$1001,0),MATCH(COLUMNS($AM$1006:BF1006),$AM$1006:$BM$1006,0)), HYPERLINK("#",""), HYPERLINK(CONCATENATE("#metadata!", ADDRESS(INDEX($AH$2:$AH$1001,MATCH(ROWS($AF$2:AF421),$AF$2:$AF$1001,0),0), INDEX($AM$1004:$BM$1004,1,MATCH(COLUMNS($AM$1006:BF1006),$AM$1006:$BM$1006,0)))),"Fix")))</f>
        <v xml:space="preserve"> </v>
      </c>
      <c r="V421" s="4" t="str">
        <f ca="1">IF(OR(INDEX($AG$2:$AG$1001,MATCH(ROWS($AF$2:AF421),$AF$2:$AF$1001,0),1)&gt;=100000,INDEX($AM$1005:$BM$1005,1,MATCH(COLUMNS($AM$1006:BG1006),$AM$1006:$BM$1006,0))&gt;=100000), " ",IF(INDEX($AM$2:$BM$1001,MATCH(ROWS($AF$2:AF421),$AF$2:$AF$1001,0),MATCH(COLUMNS($AM$1006:BG1006),$AM$1006:$BM$1006,0)), HYPERLINK("#",""), HYPERLINK(CONCATENATE("#metadata!", ADDRESS(INDEX($AH$2:$AH$1001,MATCH(ROWS($AF$2:AF421),$AF$2:$AF$1001,0),0), INDEX($AM$1004:$BM$1004,1,MATCH(COLUMNS($AM$1006:BG1006),$AM$1006:$BM$1006,0)))),"Fix")))</f>
        <v xml:space="preserve"> </v>
      </c>
      <c r="W421" s="4" t="str">
        <f ca="1">IF(OR(INDEX($AG$2:$AG$1001,MATCH(ROWS($AF$2:AF421),$AF$2:$AF$1001,0),1)&gt;=100000,INDEX($AM$1005:$BM$1005,1,MATCH(COLUMNS($AM$1006:BH1006),$AM$1006:$BM$1006,0))&gt;=100000), " ",IF(INDEX($AM$2:$BM$1001,MATCH(ROWS($AF$2:AF421),$AF$2:$AF$1001,0),MATCH(COLUMNS($AM$1006:BH1006),$AM$1006:$BM$1006,0)), HYPERLINK("#",""), HYPERLINK(CONCATENATE("#metadata!", ADDRESS(INDEX($AH$2:$AH$1001,MATCH(ROWS($AF$2:AF421),$AF$2:$AF$1001,0),0), INDEX($AM$1004:$BM$1004,1,MATCH(COLUMNS($AM$1006:BH1006),$AM$1006:$BM$1006,0)))),"Fix")))</f>
        <v xml:space="preserve"> </v>
      </c>
      <c r="X421" s="4" t="str">
        <f ca="1">IF(OR(INDEX($AG$2:$AG$1001,MATCH(ROWS($AF$2:AF421),$AF$2:$AF$1001,0),1)&gt;=100000,INDEX($AM$1005:$BM$1005,1,MATCH(COLUMNS($AM$1006:BI1006),$AM$1006:$BM$1006,0))&gt;=100000), " ",IF(INDEX($AM$2:$BM$1001,MATCH(ROWS($AF$2:AF421),$AF$2:$AF$1001,0),MATCH(COLUMNS($AM$1006:BI1006),$AM$1006:$BM$1006,0)), HYPERLINK("#",""), HYPERLINK(CONCATENATE("#metadata!", ADDRESS(INDEX($AH$2:$AH$1001,MATCH(ROWS($AF$2:AF421),$AF$2:$AF$1001,0),0), INDEX($AM$1004:$BM$1004,1,MATCH(COLUMNS($AM$1006:BI1006),$AM$1006:$BM$1006,0)))),"Fix")))</f>
        <v xml:space="preserve"> </v>
      </c>
      <c r="Y421" s="4" t="str">
        <f ca="1">IF(OR(INDEX($AG$2:$AG$1001,MATCH(ROWS($AF$2:AF421),$AF$2:$AF$1001,0),1)&gt;=100000,INDEX($AM$1005:$BM$1005,1,MATCH(COLUMNS($AM$1006:BJ1006),$AM$1006:$BM$1006,0))&gt;=100000), " ",IF(INDEX($AM$2:$BM$1001,MATCH(ROWS($AF$2:AF421),$AF$2:$AF$1001,0),MATCH(COLUMNS($AM$1006:BJ1006),$AM$1006:$BM$1006,0)), HYPERLINK("#",""), HYPERLINK(CONCATENATE("#metadata!", ADDRESS(INDEX($AH$2:$AH$1001,MATCH(ROWS($AF$2:AF421),$AF$2:$AF$1001,0),0), INDEX($AM$1004:$BM$1004,1,MATCH(COLUMNS($AM$1006:BJ1006),$AM$1006:$BM$1006,0)))),"Fix")))</f>
        <v xml:space="preserve"> </v>
      </c>
      <c r="Z421" s="4" t="str">
        <f ca="1">IF(OR(INDEX($AG$2:$AG$1001,MATCH(ROWS($AF$2:AF421),$AF$2:$AF$1001,0),1)&gt;=100000,INDEX($AM$1005:$BM$1005,1,MATCH(COLUMNS($AM$1006:BK1006),$AM$1006:$BM$1006,0))&gt;=100000), " ",IF(INDEX($AM$2:$BM$1001,MATCH(ROWS($AF$2:AF421),$AF$2:$AF$1001,0),MATCH(COLUMNS($AM$1006:BK1006),$AM$1006:$BM$1006,0)), HYPERLINK("#",""), HYPERLINK(CONCATENATE("#metadata!", ADDRESS(INDEX($AH$2:$AH$1001,MATCH(ROWS($AF$2:AF421),$AF$2:$AF$1001,0),0), INDEX($AM$1004:$BM$1004,1,MATCH(COLUMNS($AM$1006:BK1006),$AM$1006:$BM$1006,0)))),"Fix")))</f>
        <v xml:space="preserve"> </v>
      </c>
      <c r="AA421" s="4" t="str">
        <f ca="1">IF(OR(INDEX($AG$2:$AG$1001,MATCH(ROWS($AF$2:AF421),$AF$2:$AF$1001,0),1)&gt;=100000,INDEX($AM$1005:$BM$1005,1,MATCH(COLUMNS($AM$1006:BL1006),$AM$1006:$BM$1006,0))&gt;=100000), " ",IF(INDEX($AM$2:$BM$1001,MATCH(ROWS($AF$2:AF421),$AF$2:$AF$1001,0),MATCH(COLUMNS($AM$1006:BL1006),$AM$1006:$BM$1006,0)), HYPERLINK("#",""), HYPERLINK(CONCATENATE("#metadata!", ADDRESS(INDEX($AH$2:$AH$1001,MATCH(ROWS($AF$2:AF421),$AF$2:$AF$1001,0),0), INDEX($AM$1004:$BM$1004,1,MATCH(COLUMNS($AM$1006:BL1006),$AM$1006:$BM$1006,0)))),"Fix")))</f>
        <v xml:space="preserve"> </v>
      </c>
      <c r="AB421" s="4" t="str">
        <f ca="1">IF(OR(INDEX($AG$2:$AG$1001,MATCH(ROWS($AF$2:AF421),$AF$2:$AF$1001,0),1)&gt;=100000,INDEX($AM$1005:$BM$1005,1,MATCH(COLUMNS($AM$1006:BM1006),$AM$1006:$BM$1006,0))&gt;=100000), " ",IF(INDEX($AM$2:$BM$1001,MATCH(ROWS($AF$2:AF421),$AF$2:$AF$1001,0),MATCH(COLUMNS($AM$1006:BM1006),$AM$1006:$BM$1006,0)), HYPERLINK("#",""), HYPERLINK(CONCATENATE("#metadata!", ADDRESS(INDEX($AH$2:$AH$1001,MATCH(ROWS($AF$2:AF421),$AF$2:$AF$1001,0),0), INDEX($AM$1004:$BM$1004,1,MATCH(COLUMNS($AM$1006:BM1006),$AM$1006:$BM$1006,0)))),"Fix")))</f>
        <v xml:space="preserve"> </v>
      </c>
      <c r="AF421">
        <v>420</v>
      </c>
      <c r="AG421">
        <v>100421</v>
      </c>
      <c r="AH421">
        <v>421</v>
      </c>
      <c r="AI421" t="b">
        <f t="shared" si="6"/>
        <v>1</v>
      </c>
      <c r="AJ421" t="b">
        <f>COUNTBLANK(metadata!B421:AB421)=COLUMNS(metadata!B421:AB421)</f>
        <v>1</v>
      </c>
      <c r="AK421" t="str">
        <v/>
      </c>
      <c r="AM421" t="b">
        <f ca="1">AND(IF(metadata!B421="",FALSE,TRUE),COUNTIF(metadata!B:B, metadata!B421) = 1,NOT(ISERROR(SUMPRODUCT(SEARCH(MID(metadata!B421,ROW(INDIRECT("1:"&amp;LEN(metadata!B421))), 1),"0123456789abcdefghijklmnopqrstuvwxyzABCDEFGHIJKLMNOPQRSTUVWXYZ.")))))</f>
        <v>0</v>
      </c>
      <c r="AN421" t="b">
        <f ca="1">OR(AND(IF(metadata!C421="",FALSE,TRUE),OR(EXACT(metadata!C421,"missing: not collected"),EXACT(metadata!C421,"missing: not provided"),EXACT(metadata!C421,"missing: restricted access"))),AND(IF(metadata!C421="",FALSE,TRUE),AND(AND(IFERROR(INT(LEFT(metadata!C421,4))&gt;1900,FALSE),IFERROR(INT(LEFT(metadata!C421,4))&lt;=YEAR(NOW()),FALSE)), OR(MID(metadata!C421,5,1)="", AND(AND(MID(metadata!C421,5,1)="-",IFERROR(INT(MID(metadata!C421,6,1))&gt;=0,FALSE),IFERROR(INT(MID(metadata!C421,6,1))&lt;=1,FALSE),NOT(MID(metadata!C421,7,1)=""),IFERROR(INT(MID(metadata!C421,6,2))&gt;=1,FALSE),IFERROR(INT(MID(metadata!C421,6,2))&lt;=12,FALSE)), OR(MID(metadata!C421,8,1)="", AND(AND(MID(metadata!C421,8,1)="-",IFERROR(INT(MID(metadata!C421,9,1))&gt;=0,FALSE),IFERROR(INT(MID(metadata!C421,9,1))&lt;=3,FALSE),NOT(MID(metadata!C421,10,1)=""),IFERROR(INT(MID(metadata!C421,9,2))&gt;=1,FALSE),IFERROR(INT(MID(metadata!C421,9,2))&lt;=31,FALSE)), OR(MID(metadata!C421,11,1)="", AND(AND(MID(metadata!C421,11,1)=" ",IFERROR(INT(MID(metadata!C421,12,1))&gt;=0,FALSE),IFERROR(INT(MID(metadata!C421,12,1))&lt;=2,FALSE),NOT(MID(metadata!C421,13,1)=""),IFERROR(INT(MID(metadata!C421,12,2))&gt;=0,FALSE),IFERROR(INT(MID(metadata!C421,12,2))&lt;=23,FALSE)), OR(MID(metadata!C421,14,1)="", AND(AND(MID(metadata!C421,14,1)=":",IFERROR(INT(MID(metadata!C421,15,1))&gt;=0,FALSE),IFERROR(INT(MID(metadata!C421,15,1))&lt;=5,FALSE),NOT(MID(metadata!C421,16,1)=""),IFERROR(INT(MID(metadata!C421,15,2))&gt;=0,FALSE),IFERROR(INT(MID(metadata!C421,15,2))&lt;=59,FALSE)), OR(MID(metadata!C421,17,1)="", AND(AND(MID(metadata!C421,17,1)=":",IFERROR(INT(MID(metadata!C421,18,1))&gt;=0,FALSE),IFERROR(INT(MID(metadata!C421,18,1))&lt;=5,FALSE),NOT(MID(metadata!C421,19,1)=""),IFERROR(INT(MID(metadata!C421,18,2))&gt;=0,FALSE),IFERROR(INT(MID(metadata!C421,18,2))&lt;=59,FALSE)), LEN(metadata!C421)&lt;=19)))))))))))))</f>
        <v>0</v>
      </c>
      <c r="AO421" t="b">
        <f>AND(IF(metadata!D421="",FALSE,TRUE),EXACT(metadata!D421,"Not applicable"))</f>
        <v>0</v>
      </c>
      <c r="AP421" t="b">
        <f>IF(metadata!E421="",FALSE,TRUE)</f>
        <v>0</v>
      </c>
      <c r="AQ421" t="b">
        <f>OR(AND(IF(metadata!F421="",FALSE,TRUE),OR(EXACT(metadata!F421,"missing: not collected"),EXACT(metadata!F421,"missing: not provided"))),AND(IF(metadata!F421="",FALSE,TRUE),OR(EXACT(metadata!F421,"TRUE"),EXACT(metadata!F421,"FALSE"))))</f>
        <v>0</v>
      </c>
      <c r="AR421" t="b">
        <f>OR(AND(IF(metadata!G421="",FALSE,TRUE),OR(EXACT(metadata!G421,"missing: not collected"),EXACT(metadata!G421,"missing: not provided"),EXACT(metadata!G421,"missing: restricted access"))),AND(IF(metadata!G421="",FALSE,ISNUMBER(VALUE(metadata!G421))),metadata!G421&gt;=-413))</f>
        <v>0</v>
      </c>
      <c r="AS421" t="b">
        <f>AND(IF(metadata!H421="",FALSE,TRUE),EXACT(metadata!H421,"meters"))</f>
        <v>0</v>
      </c>
      <c r="AT421" t="b">
        <f>AND(IF(metadata!I421="",FALSE,TRUE),OR(EXACT(metadata!I421,"Host-associated"),EXACT(metadata!I421,"Free-living")))</f>
        <v>0</v>
      </c>
      <c r="AU421" t="b">
        <f>AND(IF(metadata!J421="",FALSE,TRUE),OR(EXACT(metadata!J421,"Animal"),EXACT(metadata!J421,"Fungus"),EXACT(metadata!J421,"Plant"),EXACT(metadata!J421,"Saline"),EXACT(metadata!J421,"Non-saline")))</f>
        <v>0</v>
      </c>
      <c r="AV421" t="b">
        <f>AND(IF(metadata!K421="",FALSE,TRUE),OR(EXACT(metadata!K421,"Plant secretion"),EXACT(metadata!K421,"Plant rhizosphere"),EXACT(metadata!K421,"Plant surface"),EXACT(metadata!K421,"Plant corpus"),EXACT(metadata!K421,"Fungus surface"),EXACT(metadata!K421,"Fungus corpus"),EXACT(metadata!K421,"Animal surface"),EXACT(metadata!K421,"Animal proximal gut"),EXACT(metadata!K421,"Animal corpus"),EXACT(metadata!K421,"Animal distal gut"),EXACT(metadata!K421,"Animal secretion"),EXACT(metadata!K421,"Sub-surface (non-saline)"),EXACT(metadata!K421,"Surface (non-saline)"),EXACT(metadata!K421,"Water (non-saline)"),EXACT(metadata!K421,"Soil (non-saline)"),EXACT(metadata!K421,"Aerosol (non-saline)"),EXACT(metadata!K421,"Sediment (non-saline)"),EXACT(metadata!K421,"Surface (saline)"),EXACT(metadata!K421,"Water (saline)"),EXACT(metadata!K421,"Hypersaline (saline)"),EXACT(metadata!K421,"Aerosol (saline)"),EXACT(metadata!K421,"Sediment (saline)")))</f>
        <v>0</v>
      </c>
      <c r="AW421" t="b">
        <f>IF(metadata!L421="",FALSE,TRUE)</f>
        <v>0</v>
      </c>
      <c r="AX421" t="b">
        <f>IF(metadata!M421="",FALSE,TRUE)</f>
        <v>0</v>
      </c>
      <c r="AY421" t="b">
        <f>IF(metadata!N421="",FALSE,TRUE)</f>
        <v>0</v>
      </c>
      <c r="AZ421" t="b">
        <f>OR(AND(IF(metadata!O421="",FALSE,TRUE),OR(EXACT(metadata!O421,"missing: not collected"),EXACT(metadata!O421,"missing: not provided"),EXACT(metadata!O421,"missing: restricted access"))),AND(IF(metadata!O421="",FALSE,TRUE),OR(EXACT(metadata!O421,"air"),EXACT(metadata!O421,"built environment"),EXACT(metadata!O421,"host-associated"),EXACT(metadata!O421,"human-associated"),EXACT(metadata!O421,"human-skin"),EXACT(metadata!O421,"human-oral"),EXACT(metadata!O421,"human-gut"),EXACT(metadata!O421,"human-vaginal"),EXACT(metadata!O421,"microbial mat/biofilm"),EXACT(metadata!O421,"misc environment"),EXACT(metadata!O421,"plant-associated"),EXACT(metadata!O421,"sediment"),EXACT(metadata!O421,"soil"),EXACT(metadata!O421,"wastewater/sludge"),EXACT(metadata!O421,"water"))))</f>
        <v>0</v>
      </c>
      <c r="BA421" t="b">
        <f>IF(metadata!P421="",FALSE,TRUE)</f>
        <v>0</v>
      </c>
      <c r="BB421" t="b">
        <f>IF(metadata!Q421="",FALSE,TRUE)</f>
        <v>0</v>
      </c>
      <c r="BC421" t="b">
        <f>OR(AND(IF(metadata!R421="",FALSE,TRUE),OR(EXACT(metadata!R421,"missing: not collected"),EXACT(metadata!R421,"missing: not provided"),EXACT(metadata!R421,"missing: restricted access"))),AND(IF(metadata!R421="",FALSE,ISNUMBER(VALUE(metadata!R421))),metadata!R421&gt;=-90,metadata!R421&lt;=90))</f>
        <v>0</v>
      </c>
      <c r="BD421" t="b">
        <f>AND(IF(metadata!S421="",FALSE,TRUE),EXACT(metadata!S421,"Decimal degrees"))</f>
        <v>0</v>
      </c>
      <c r="BE421" t="b">
        <f>OR(AND(IF(metadata!T421="",FALSE,TRUE),OR(EXACT(metadata!T421,"missing: not collected"),EXACT(metadata!T421,"missing: not provided"),EXACT(metadata!T421,"missing: restricted access"))),AND(IF(metadata!T421="",FALSE,ISNUMBER(VALUE(metadata!T421))),metadata!T421&gt;=-180,metadata!T421&lt;=180))</f>
        <v>0</v>
      </c>
      <c r="BF421" t="b">
        <f>AND(IF(metadata!U421="",FALSE,TRUE),EXACT(metadata!U421,"Decimal degrees"))</f>
        <v>0</v>
      </c>
      <c r="BG421" t="b">
        <f>IF(metadata!V421="",FALSE,TRUE)</f>
        <v>0</v>
      </c>
      <c r="BH421" t="b">
        <f>OR(AND(IF(metadata!W421="",FALSE,TRUE),OR(EXACT(metadata!W421,"missing: not collected"),EXACT(metadata!W421,"missing: not provided"),EXACT(metadata!W421,"missing: restricted access"))),AND(IF(metadata!W421="",FALSE,TRUE),OR(EXACT(metadata!W421,"TRUE"),EXACT(metadata!W421,"FALSE"))))</f>
        <v>0</v>
      </c>
      <c r="BI421" t="b">
        <f>AND(IF(metadata!X421="",FALSE,TRUE),EXACT(metadata!X421,"other"))</f>
        <v>0</v>
      </c>
      <c r="BJ421" t="b">
        <f>IF(metadata!Y421="",FALSE,TRUE)</f>
        <v>0</v>
      </c>
      <c r="BK421" t="b">
        <f>OR(AND(IF(metadata!Z421="",FALSE,TRUE),OR(EXACT(metadata!Z421,"missing: not collected"),EXACT(metadata!Z421,"missing: not provided"))),AND(IF(metadata!Z421="",FALSE,IF(ISERROR(INT(metadata!Z421)),FALSE,INT(metadata!Z421)=metadata!Z421)),metadata!Z421&gt;0))</f>
        <v>0</v>
      </c>
      <c r="BL421" t="b">
        <f>AND(IF(metadata!AA421="",FALSE,TRUE),EXACT(metadata!AA421,"Not applicable"))</f>
        <v>0</v>
      </c>
      <c r="BM421" t="b">
        <f>IF(metadata!AB421="",FALSE,TRUE)</f>
        <v>0</v>
      </c>
    </row>
    <row r="422" spans="1:65" x14ac:dyDescent="0.2">
      <c r="A422" s="5" t="str">
        <f ca="1">IF(B422=" "," ",HYPERLINK(CONCATENATE("#metadata!",ADDRESS(INDEX($AH$2:$AH$1001,MATCH(ROWS($AF$2:AF422),$AF$2:$AF$1001,0),0),1)),INDEX($AK$2:$AK$1001,MATCH(ROWS($AF$2:AF422),$AF$2:$AF$1001,0),0)))</f>
        <v xml:space="preserve"> </v>
      </c>
      <c r="B422" s="4" t="str">
        <f ca="1">IF(OR(INDEX($AG$2:$AG$1001,MATCH(ROWS($AF$2:AF422),$AF$2:$AF$1001,0),1)&gt;=100000,INDEX($AM$1005:$BM$1005,1,MATCH(COLUMNS($AM$1006:AM1006),$AM$1006:$BM$1006,0))&gt;=100000), " ",IF(INDEX($AM$2:$BM$1001,MATCH(ROWS($AF$2:AF422),$AF$2:$AF$1001,0),MATCH(COLUMNS($AM$1006:AM1006),$AM$1006:$BM$1006,0)), HYPERLINK("#",""), HYPERLINK(CONCATENATE("#metadata!", ADDRESS(INDEX($AH$2:$AH$1001,MATCH(ROWS($AF$2:AF422),$AF$2:$AF$1001,0),0), INDEX($AM$1004:$BM$1004,1,MATCH(COLUMNS($AM$1006:AM1006),$AM$1006:$BM$1006,0)))),"Fix")))</f>
        <v xml:space="preserve"> </v>
      </c>
      <c r="C422" s="4" t="str">
        <f ca="1">IF(OR(INDEX($AG$2:$AG$1001,MATCH(ROWS($AF$2:AF422),$AF$2:$AF$1001,0),1)&gt;=100000,INDEX($AM$1005:$BM$1005,1,MATCH(COLUMNS($AM$1006:AN1006),$AM$1006:$BM$1006,0))&gt;=100000), " ",IF(INDEX($AM$2:$BM$1001,MATCH(ROWS($AF$2:AF422),$AF$2:$AF$1001,0),MATCH(COLUMNS($AM$1006:AN1006),$AM$1006:$BM$1006,0)), HYPERLINK("#",""), HYPERLINK(CONCATENATE("#metadata!", ADDRESS(INDEX($AH$2:$AH$1001,MATCH(ROWS($AF$2:AF422),$AF$2:$AF$1001,0),0), INDEX($AM$1004:$BM$1004,1,MATCH(COLUMNS($AM$1006:AN1006),$AM$1006:$BM$1006,0)))),"Fix")))</f>
        <v xml:space="preserve"> </v>
      </c>
      <c r="D422" s="4" t="str">
        <f ca="1">IF(OR(INDEX($AG$2:$AG$1001,MATCH(ROWS($AF$2:AF422),$AF$2:$AF$1001,0),1)&gt;=100000,INDEX($AM$1005:$BM$1005,1,MATCH(COLUMNS($AM$1006:AO1006),$AM$1006:$BM$1006,0))&gt;=100000), " ",IF(INDEX($AM$2:$BM$1001,MATCH(ROWS($AF$2:AF422),$AF$2:$AF$1001,0),MATCH(COLUMNS($AM$1006:AO1006),$AM$1006:$BM$1006,0)), HYPERLINK("#",""), HYPERLINK(CONCATENATE("#metadata!", ADDRESS(INDEX($AH$2:$AH$1001,MATCH(ROWS($AF$2:AF422),$AF$2:$AF$1001,0),0), INDEX($AM$1004:$BM$1004,1,MATCH(COLUMNS($AM$1006:AO1006),$AM$1006:$BM$1006,0)))),"Fix")))</f>
        <v xml:space="preserve"> </v>
      </c>
      <c r="E422" s="4" t="str">
        <f ca="1">IF(OR(INDEX($AG$2:$AG$1001,MATCH(ROWS($AF$2:AF422),$AF$2:$AF$1001,0),1)&gt;=100000,INDEX($AM$1005:$BM$1005,1,MATCH(COLUMNS($AM$1006:AP1006),$AM$1006:$BM$1006,0))&gt;=100000), " ",IF(INDEX($AM$2:$BM$1001,MATCH(ROWS($AF$2:AF422),$AF$2:$AF$1001,0),MATCH(COLUMNS($AM$1006:AP1006),$AM$1006:$BM$1006,0)), HYPERLINK("#",""), HYPERLINK(CONCATENATE("#metadata!", ADDRESS(INDEX($AH$2:$AH$1001,MATCH(ROWS($AF$2:AF422),$AF$2:$AF$1001,0),0), INDEX($AM$1004:$BM$1004,1,MATCH(COLUMNS($AM$1006:AP1006),$AM$1006:$BM$1006,0)))),"Fix")))</f>
        <v xml:space="preserve"> </v>
      </c>
      <c r="F422" s="4" t="str">
        <f ca="1">IF(OR(INDEX($AG$2:$AG$1001,MATCH(ROWS($AF$2:AF422),$AF$2:$AF$1001,0),1)&gt;=100000,INDEX($AM$1005:$BM$1005,1,MATCH(COLUMNS($AM$1006:AQ1006),$AM$1006:$BM$1006,0))&gt;=100000), " ",IF(INDEX($AM$2:$BM$1001,MATCH(ROWS($AF$2:AF422),$AF$2:$AF$1001,0),MATCH(COLUMNS($AM$1006:AQ1006),$AM$1006:$BM$1006,0)), HYPERLINK("#",""), HYPERLINK(CONCATENATE("#metadata!", ADDRESS(INDEX($AH$2:$AH$1001,MATCH(ROWS($AF$2:AF422),$AF$2:$AF$1001,0),0), INDEX($AM$1004:$BM$1004,1,MATCH(COLUMNS($AM$1006:AQ1006),$AM$1006:$BM$1006,0)))),"Fix")))</f>
        <v xml:space="preserve"> </v>
      </c>
      <c r="G422" s="4" t="str">
        <f ca="1">IF(OR(INDEX($AG$2:$AG$1001,MATCH(ROWS($AF$2:AF422),$AF$2:$AF$1001,0),1)&gt;=100000,INDEX($AM$1005:$BM$1005,1,MATCH(COLUMNS($AM$1006:AR1006),$AM$1006:$BM$1006,0))&gt;=100000), " ",IF(INDEX($AM$2:$BM$1001,MATCH(ROWS($AF$2:AF422),$AF$2:$AF$1001,0),MATCH(COLUMNS($AM$1006:AR1006),$AM$1006:$BM$1006,0)), HYPERLINK("#",""), HYPERLINK(CONCATENATE("#metadata!", ADDRESS(INDEX($AH$2:$AH$1001,MATCH(ROWS($AF$2:AF422),$AF$2:$AF$1001,0),0), INDEX($AM$1004:$BM$1004,1,MATCH(COLUMNS($AM$1006:AR1006),$AM$1006:$BM$1006,0)))),"Fix")))</f>
        <v xml:space="preserve"> </v>
      </c>
      <c r="H422" s="4" t="str">
        <f ca="1">IF(OR(INDEX($AG$2:$AG$1001,MATCH(ROWS($AF$2:AF422),$AF$2:$AF$1001,0),1)&gt;=100000,INDEX($AM$1005:$BM$1005,1,MATCH(COLUMNS($AM$1006:AS1006),$AM$1006:$BM$1006,0))&gt;=100000), " ",IF(INDEX($AM$2:$BM$1001,MATCH(ROWS($AF$2:AF422),$AF$2:$AF$1001,0),MATCH(COLUMNS($AM$1006:AS1006),$AM$1006:$BM$1006,0)), HYPERLINK("#",""), HYPERLINK(CONCATENATE("#metadata!", ADDRESS(INDEX($AH$2:$AH$1001,MATCH(ROWS($AF$2:AF422),$AF$2:$AF$1001,0),0), INDEX($AM$1004:$BM$1004,1,MATCH(COLUMNS($AM$1006:AS1006),$AM$1006:$BM$1006,0)))),"Fix")))</f>
        <v xml:space="preserve"> </v>
      </c>
      <c r="I422" s="4" t="str">
        <f ca="1">IF(OR(INDEX($AG$2:$AG$1001,MATCH(ROWS($AF$2:AF422),$AF$2:$AF$1001,0),1)&gt;=100000,INDEX($AM$1005:$BM$1005,1,MATCH(COLUMNS($AM$1006:AT1006),$AM$1006:$BM$1006,0))&gt;=100000), " ",IF(INDEX($AM$2:$BM$1001,MATCH(ROWS($AF$2:AF422),$AF$2:$AF$1001,0),MATCH(COLUMNS($AM$1006:AT1006),$AM$1006:$BM$1006,0)), HYPERLINK("#",""), HYPERLINK(CONCATENATE("#metadata!", ADDRESS(INDEX($AH$2:$AH$1001,MATCH(ROWS($AF$2:AF422),$AF$2:$AF$1001,0),0), INDEX($AM$1004:$BM$1004,1,MATCH(COLUMNS($AM$1006:AT1006),$AM$1006:$BM$1006,0)))),"Fix")))</f>
        <v xml:space="preserve"> </v>
      </c>
      <c r="J422" s="4" t="str">
        <f ca="1">IF(OR(INDEX($AG$2:$AG$1001,MATCH(ROWS($AF$2:AF422),$AF$2:$AF$1001,0),1)&gt;=100000,INDEX($AM$1005:$BM$1005,1,MATCH(COLUMNS($AM$1006:AU1006),$AM$1006:$BM$1006,0))&gt;=100000), " ",IF(INDEX($AM$2:$BM$1001,MATCH(ROWS($AF$2:AF422),$AF$2:$AF$1001,0),MATCH(COLUMNS($AM$1006:AU1006),$AM$1006:$BM$1006,0)), HYPERLINK("#",""), HYPERLINK(CONCATENATE("#metadata!", ADDRESS(INDEX($AH$2:$AH$1001,MATCH(ROWS($AF$2:AF422),$AF$2:$AF$1001,0),0), INDEX($AM$1004:$BM$1004,1,MATCH(COLUMNS($AM$1006:AU1006),$AM$1006:$BM$1006,0)))),"Fix")))</f>
        <v xml:space="preserve"> </v>
      </c>
      <c r="K422" s="4" t="str">
        <f ca="1">IF(OR(INDEX($AG$2:$AG$1001,MATCH(ROWS($AF$2:AF422),$AF$2:$AF$1001,0),1)&gt;=100000,INDEX($AM$1005:$BM$1005,1,MATCH(COLUMNS($AM$1006:AV1006),$AM$1006:$BM$1006,0))&gt;=100000), " ",IF(INDEX($AM$2:$BM$1001,MATCH(ROWS($AF$2:AF422),$AF$2:$AF$1001,0),MATCH(COLUMNS($AM$1006:AV1006),$AM$1006:$BM$1006,0)), HYPERLINK("#",""), HYPERLINK(CONCATENATE("#metadata!", ADDRESS(INDEX($AH$2:$AH$1001,MATCH(ROWS($AF$2:AF422),$AF$2:$AF$1001,0),0), INDEX($AM$1004:$BM$1004,1,MATCH(COLUMNS($AM$1006:AV1006),$AM$1006:$BM$1006,0)))),"Fix")))</f>
        <v xml:space="preserve"> </v>
      </c>
      <c r="L422" s="4" t="str">
        <f ca="1">IF(OR(INDEX($AG$2:$AG$1001,MATCH(ROWS($AF$2:AF422),$AF$2:$AF$1001,0),1)&gt;=100000,INDEX($AM$1005:$BM$1005,1,MATCH(COLUMNS($AM$1006:AW1006),$AM$1006:$BM$1006,0))&gt;=100000), " ",IF(INDEX($AM$2:$BM$1001,MATCH(ROWS($AF$2:AF422),$AF$2:$AF$1001,0),MATCH(COLUMNS($AM$1006:AW1006),$AM$1006:$BM$1006,0)), HYPERLINK("#",""), HYPERLINK(CONCATENATE("#metadata!", ADDRESS(INDEX($AH$2:$AH$1001,MATCH(ROWS($AF$2:AF422),$AF$2:$AF$1001,0),0), INDEX($AM$1004:$BM$1004,1,MATCH(COLUMNS($AM$1006:AW1006),$AM$1006:$BM$1006,0)))),"Fix")))</f>
        <v xml:space="preserve"> </v>
      </c>
      <c r="M422" s="4" t="str">
        <f ca="1">IF(OR(INDEX($AG$2:$AG$1001,MATCH(ROWS($AF$2:AF422),$AF$2:$AF$1001,0),1)&gt;=100000,INDEX($AM$1005:$BM$1005,1,MATCH(COLUMNS($AM$1006:AX1006),$AM$1006:$BM$1006,0))&gt;=100000), " ",IF(INDEX($AM$2:$BM$1001,MATCH(ROWS($AF$2:AF422),$AF$2:$AF$1001,0),MATCH(COLUMNS($AM$1006:AX1006),$AM$1006:$BM$1006,0)), HYPERLINK("#",""), HYPERLINK(CONCATENATE("#metadata!", ADDRESS(INDEX($AH$2:$AH$1001,MATCH(ROWS($AF$2:AF422),$AF$2:$AF$1001,0),0), INDEX($AM$1004:$BM$1004,1,MATCH(COLUMNS($AM$1006:AX1006),$AM$1006:$BM$1006,0)))),"Fix")))</f>
        <v xml:space="preserve"> </v>
      </c>
      <c r="N422" s="4" t="str">
        <f ca="1">IF(OR(INDEX($AG$2:$AG$1001,MATCH(ROWS($AF$2:AF422),$AF$2:$AF$1001,0),1)&gt;=100000,INDEX($AM$1005:$BM$1005,1,MATCH(COLUMNS($AM$1006:AY1006),$AM$1006:$BM$1006,0))&gt;=100000), " ",IF(INDEX($AM$2:$BM$1001,MATCH(ROWS($AF$2:AF422),$AF$2:$AF$1001,0),MATCH(COLUMNS($AM$1006:AY1006),$AM$1006:$BM$1006,0)), HYPERLINK("#",""), HYPERLINK(CONCATENATE("#metadata!", ADDRESS(INDEX($AH$2:$AH$1001,MATCH(ROWS($AF$2:AF422),$AF$2:$AF$1001,0),0), INDEX($AM$1004:$BM$1004,1,MATCH(COLUMNS($AM$1006:AY1006),$AM$1006:$BM$1006,0)))),"Fix")))</f>
        <v xml:space="preserve"> </v>
      </c>
      <c r="O422" s="4" t="str">
        <f ca="1">IF(OR(INDEX($AG$2:$AG$1001,MATCH(ROWS($AF$2:AF422),$AF$2:$AF$1001,0),1)&gt;=100000,INDEX($AM$1005:$BM$1005,1,MATCH(COLUMNS($AM$1006:AZ1006),$AM$1006:$BM$1006,0))&gt;=100000), " ",IF(INDEX($AM$2:$BM$1001,MATCH(ROWS($AF$2:AF422),$AF$2:$AF$1001,0),MATCH(COLUMNS($AM$1006:AZ1006),$AM$1006:$BM$1006,0)), HYPERLINK("#",""), HYPERLINK(CONCATENATE("#metadata!", ADDRESS(INDEX($AH$2:$AH$1001,MATCH(ROWS($AF$2:AF422),$AF$2:$AF$1001,0),0), INDEX($AM$1004:$BM$1004,1,MATCH(COLUMNS($AM$1006:AZ1006),$AM$1006:$BM$1006,0)))),"Fix")))</f>
        <v xml:space="preserve"> </v>
      </c>
      <c r="P422" s="4" t="str">
        <f ca="1">IF(OR(INDEX($AG$2:$AG$1001,MATCH(ROWS($AF$2:AF422),$AF$2:$AF$1001,0),1)&gt;=100000,INDEX($AM$1005:$BM$1005,1,MATCH(COLUMNS($AM$1006:BA1006),$AM$1006:$BM$1006,0))&gt;=100000), " ",IF(INDEX($AM$2:$BM$1001,MATCH(ROWS($AF$2:AF422),$AF$2:$AF$1001,0),MATCH(COLUMNS($AM$1006:BA1006),$AM$1006:$BM$1006,0)), HYPERLINK("#",""), HYPERLINK(CONCATENATE("#metadata!", ADDRESS(INDEX($AH$2:$AH$1001,MATCH(ROWS($AF$2:AF422),$AF$2:$AF$1001,0),0), INDEX($AM$1004:$BM$1004,1,MATCH(COLUMNS($AM$1006:BA1006),$AM$1006:$BM$1006,0)))),"Fix")))</f>
        <v xml:space="preserve"> </v>
      </c>
      <c r="Q422" s="4" t="str">
        <f ca="1">IF(OR(INDEX($AG$2:$AG$1001,MATCH(ROWS($AF$2:AF422),$AF$2:$AF$1001,0),1)&gt;=100000,INDEX($AM$1005:$BM$1005,1,MATCH(COLUMNS($AM$1006:BB1006),$AM$1006:$BM$1006,0))&gt;=100000), " ",IF(INDEX($AM$2:$BM$1001,MATCH(ROWS($AF$2:AF422),$AF$2:$AF$1001,0),MATCH(COLUMNS($AM$1006:BB1006),$AM$1006:$BM$1006,0)), HYPERLINK("#",""), HYPERLINK(CONCATENATE("#metadata!", ADDRESS(INDEX($AH$2:$AH$1001,MATCH(ROWS($AF$2:AF422),$AF$2:$AF$1001,0),0), INDEX($AM$1004:$BM$1004,1,MATCH(COLUMNS($AM$1006:BB1006),$AM$1006:$BM$1006,0)))),"Fix")))</f>
        <v xml:space="preserve"> </v>
      </c>
      <c r="R422" s="4" t="str">
        <f ca="1">IF(OR(INDEX($AG$2:$AG$1001,MATCH(ROWS($AF$2:AF422),$AF$2:$AF$1001,0),1)&gt;=100000,INDEX($AM$1005:$BM$1005,1,MATCH(COLUMNS($AM$1006:BC1006),$AM$1006:$BM$1006,0))&gt;=100000), " ",IF(INDEX($AM$2:$BM$1001,MATCH(ROWS($AF$2:AF422),$AF$2:$AF$1001,0),MATCH(COLUMNS($AM$1006:BC1006),$AM$1006:$BM$1006,0)), HYPERLINK("#",""), HYPERLINK(CONCATENATE("#metadata!", ADDRESS(INDEX($AH$2:$AH$1001,MATCH(ROWS($AF$2:AF422),$AF$2:$AF$1001,0),0), INDEX($AM$1004:$BM$1004,1,MATCH(COLUMNS($AM$1006:BC1006),$AM$1006:$BM$1006,0)))),"Fix")))</f>
        <v xml:space="preserve"> </v>
      </c>
      <c r="S422" s="4" t="str">
        <f ca="1">IF(OR(INDEX($AG$2:$AG$1001,MATCH(ROWS($AF$2:AF422),$AF$2:$AF$1001,0),1)&gt;=100000,INDEX($AM$1005:$BM$1005,1,MATCH(COLUMNS($AM$1006:BD1006),$AM$1006:$BM$1006,0))&gt;=100000), " ",IF(INDEX($AM$2:$BM$1001,MATCH(ROWS($AF$2:AF422),$AF$2:$AF$1001,0),MATCH(COLUMNS($AM$1006:BD1006),$AM$1006:$BM$1006,0)), HYPERLINK("#",""), HYPERLINK(CONCATENATE("#metadata!", ADDRESS(INDEX($AH$2:$AH$1001,MATCH(ROWS($AF$2:AF422),$AF$2:$AF$1001,0),0), INDEX($AM$1004:$BM$1004,1,MATCH(COLUMNS($AM$1006:BD1006),$AM$1006:$BM$1006,0)))),"Fix")))</f>
        <v xml:space="preserve"> </v>
      </c>
      <c r="T422" s="4" t="str">
        <f ca="1">IF(OR(INDEX($AG$2:$AG$1001,MATCH(ROWS($AF$2:AF422),$AF$2:$AF$1001,0),1)&gt;=100000,INDEX($AM$1005:$BM$1005,1,MATCH(COLUMNS($AM$1006:BE1006),$AM$1006:$BM$1006,0))&gt;=100000), " ",IF(INDEX($AM$2:$BM$1001,MATCH(ROWS($AF$2:AF422),$AF$2:$AF$1001,0),MATCH(COLUMNS($AM$1006:BE1006),$AM$1006:$BM$1006,0)), HYPERLINK("#",""), HYPERLINK(CONCATENATE("#metadata!", ADDRESS(INDEX($AH$2:$AH$1001,MATCH(ROWS($AF$2:AF422),$AF$2:$AF$1001,0),0), INDEX($AM$1004:$BM$1004,1,MATCH(COLUMNS($AM$1006:BE1006),$AM$1006:$BM$1006,0)))),"Fix")))</f>
        <v xml:space="preserve"> </v>
      </c>
      <c r="U422" s="4" t="str">
        <f ca="1">IF(OR(INDEX($AG$2:$AG$1001,MATCH(ROWS($AF$2:AF422),$AF$2:$AF$1001,0),1)&gt;=100000,INDEX($AM$1005:$BM$1005,1,MATCH(COLUMNS($AM$1006:BF1006),$AM$1006:$BM$1006,0))&gt;=100000), " ",IF(INDEX($AM$2:$BM$1001,MATCH(ROWS($AF$2:AF422),$AF$2:$AF$1001,0),MATCH(COLUMNS($AM$1006:BF1006),$AM$1006:$BM$1006,0)), HYPERLINK("#",""), HYPERLINK(CONCATENATE("#metadata!", ADDRESS(INDEX($AH$2:$AH$1001,MATCH(ROWS($AF$2:AF422),$AF$2:$AF$1001,0),0), INDEX($AM$1004:$BM$1004,1,MATCH(COLUMNS($AM$1006:BF1006),$AM$1006:$BM$1006,0)))),"Fix")))</f>
        <v xml:space="preserve"> </v>
      </c>
      <c r="V422" s="4" t="str">
        <f ca="1">IF(OR(INDEX($AG$2:$AG$1001,MATCH(ROWS($AF$2:AF422),$AF$2:$AF$1001,0),1)&gt;=100000,INDEX($AM$1005:$BM$1005,1,MATCH(COLUMNS($AM$1006:BG1006),$AM$1006:$BM$1006,0))&gt;=100000), " ",IF(INDEX($AM$2:$BM$1001,MATCH(ROWS($AF$2:AF422),$AF$2:$AF$1001,0),MATCH(COLUMNS($AM$1006:BG1006),$AM$1006:$BM$1006,0)), HYPERLINK("#",""), HYPERLINK(CONCATENATE("#metadata!", ADDRESS(INDEX($AH$2:$AH$1001,MATCH(ROWS($AF$2:AF422),$AF$2:$AF$1001,0),0), INDEX($AM$1004:$BM$1004,1,MATCH(COLUMNS($AM$1006:BG1006),$AM$1006:$BM$1006,0)))),"Fix")))</f>
        <v xml:space="preserve"> </v>
      </c>
      <c r="W422" s="4" t="str">
        <f ca="1">IF(OR(INDEX($AG$2:$AG$1001,MATCH(ROWS($AF$2:AF422),$AF$2:$AF$1001,0),1)&gt;=100000,INDEX($AM$1005:$BM$1005,1,MATCH(COLUMNS($AM$1006:BH1006),$AM$1006:$BM$1006,0))&gt;=100000), " ",IF(INDEX($AM$2:$BM$1001,MATCH(ROWS($AF$2:AF422),$AF$2:$AF$1001,0),MATCH(COLUMNS($AM$1006:BH1006),$AM$1006:$BM$1006,0)), HYPERLINK("#",""), HYPERLINK(CONCATENATE("#metadata!", ADDRESS(INDEX($AH$2:$AH$1001,MATCH(ROWS($AF$2:AF422),$AF$2:$AF$1001,0),0), INDEX($AM$1004:$BM$1004,1,MATCH(COLUMNS($AM$1006:BH1006),$AM$1006:$BM$1006,0)))),"Fix")))</f>
        <v xml:space="preserve"> </v>
      </c>
      <c r="X422" s="4" t="str">
        <f ca="1">IF(OR(INDEX($AG$2:$AG$1001,MATCH(ROWS($AF$2:AF422),$AF$2:$AF$1001,0),1)&gt;=100000,INDEX($AM$1005:$BM$1005,1,MATCH(COLUMNS($AM$1006:BI1006),$AM$1006:$BM$1006,0))&gt;=100000), " ",IF(INDEX($AM$2:$BM$1001,MATCH(ROWS($AF$2:AF422),$AF$2:$AF$1001,0),MATCH(COLUMNS($AM$1006:BI1006),$AM$1006:$BM$1006,0)), HYPERLINK("#",""), HYPERLINK(CONCATENATE("#metadata!", ADDRESS(INDEX($AH$2:$AH$1001,MATCH(ROWS($AF$2:AF422),$AF$2:$AF$1001,0),0), INDEX($AM$1004:$BM$1004,1,MATCH(COLUMNS($AM$1006:BI1006),$AM$1006:$BM$1006,0)))),"Fix")))</f>
        <v xml:space="preserve"> </v>
      </c>
      <c r="Y422" s="4" t="str">
        <f ca="1">IF(OR(INDEX($AG$2:$AG$1001,MATCH(ROWS($AF$2:AF422),$AF$2:$AF$1001,0),1)&gt;=100000,INDEX($AM$1005:$BM$1005,1,MATCH(COLUMNS($AM$1006:BJ1006),$AM$1006:$BM$1006,0))&gt;=100000), " ",IF(INDEX($AM$2:$BM$1001,MATCH(ROWS($AF$2:AF422),$AF$2:$AF$1001,0),MATCH(COLUMNS($AM$1006:BJ1006),$AM$1006:$BM$1006,0)), HYPERLINK("#",""), HYPERLINK(CONCATENATE("#metadata!", ADDRESS(INDEX($AH$2:$AH$1001,MATCH(ROWS($AF$2:AF422),$AF$2:$AF$1001,0),0), INDEX($AM$1004:$BM$1004,1,MATCH(COLUMNS($AM$1006:BJ1006),$AM$1006:$BM$1006,0)))),"Fix")))</f>
        <v xml:space="preserve"> </v>
      </c>
      <c r="Z422" s="4" t="str">
        <f ca="1">IF(OR(INDEX($AG$2:$AG$1001,MATCH(ROWS($AF$2:AF422),$AF$2:$AF$1001,0),1)&gt;=100000,INDEX($AM$1005:$BM$1005,1,MATCH(COLUMNS($AM$1006:BK1006),$AM$1006:$BM$1006,0))&gt;=100000), " ",IF(INDEX($AM$2:$BM$1001,MATCH(ROWS($AF$2:AF422),$AF$2:$AF$1001,0),MATCH(COLUMNS($AM$1006:BK1006),$AM$1006:$BM$1006,0)), HYPERLINK("#",""), HYPERLINK(CONCATENATE("#metadata!", ADDRESS(INDEX($AH$2:$AH$1001,MATCH(ROWS($AF$2:AF422),$AF$2:$AF$1001,0),0), INDEX($AM$1004:$BM$1004,1,MATCH(COLUMNS($AM$1006:BK1006),$AM$1006:$BM$1006,0)))),"Fix")))</f>
        <v xml:space="preserve"> </v>
      </c>
      <c r="AA422" s="4" t="str">
        <f ca="1">IF(OR(INDEX($AG$2:$AG$1001,MATCH(ROWS($AF$2:AF422),$AF$2:$AF$1001,0),1)&gt;=100000,INDEX($AM$1005:$BM$1005,1,MATCH(COLUMNS($AM$1006:BL1006),$AM$1006:$BM$1006,0))&gt;=100000), " ",IF(INDEX($AM$2:$BM$1001,MATCH(ROWS($AF$2:AF422),$AF$2:$AF$1001,0),MATCH(COLUMNS($AM$1006:BL1006),$AM$1006:$BM$1006,0)), HYPERLINK("#",""), HYPERLINK(CONCATENATE("#metadata!", ADDRESS(INDEX($AH$2:$AH$1001,MATCH(ROWS($AF$2:AF422),$AF$2:$AF$1001,0),0), INDEX($AM$1004:$BM$1004,1,MATCH(COLUMNS($AM$1006:BL1006),$AM$1006:$BM$1006,0)))),"Fix")))</f>
        <v xml:space="preserve"> </v>
      </c>
      <c r="AB422" s="4" t="str">
        <f ca="1">IF(OR(INDEX($AG$2:$AG$1001,MATCH(ROWS($AF$2:AF422),$AF$2:$AF$1001,0),1)&gt;=100000,INDEX($AM$1005:$BM$1005,1,MATCH(COLUMNS($AM$1006:BM1006),$AM$1006:$BM$1006,0))&gt;=100000), " ",IF(INDEX($AM$2:$BM$1001,MATCH(ROWS($AF$2:AF422),$AF$2:$AF$1001,0),MATCH(COLUMNS($AM$1006:BM1006),$AM$1006:$BM$1006,0)), HYPERLINK("#",""), HYPERLINK(CONCATENATE("#metadata!", ADDRESS(INDEX($AH$2:$AH$1001,MATCH(ROWS($AF$2:AF422),$AF$2:$AF$1001,0),0), INDEX($AM$1004:$BM$1004,1,MATCH(COLUMNS($AM$1006:BM1006),$AM$1006:$BM$1006,0)))),"Fix")))</f>
        <v xml:space="preserve"> </v>
      </c>
      <c r="AF422">
        <v>421</v>
      </c>
      <c r="AG422">
        <v>100422</v>
      </c>
      <c r="AH422">
        <v>422</v>
      </c>
      <c r="AI422" t="b">
        <f t="shared" si="6"/>
        <v>1</v>
      </c>
      <c r="AJ422" t="b">
        <f>COUNTBLANK(metadata!B422:AB422)=COLUMNS(metadata!B422:AB422)</f>
        <v>1</v>
      </c>
      <c r="AK422" t="str">
        <v/>
      </c>
      <c r="AM422" t="b">
        <f ca="1">AND(IF(metadata!B422="",FALSE,TRUE),COUNTIF(metadata!B:B, metadata!B422) = 1,NOT(ISERROR(SUMPRODUCT(SEARCH(MID(metadata!B422,ROW(INDIRECT("1:"&amp;LEN(metadata!B422))), 1),"0123456789abcdefghijklmnopqrstuvwxyzABCDEFGHIJKLMNOPQRSTUVWXYZ.")))))</f>
        <v>0</v>
      </c>
      <c r="AN422" t="b">
        <f ca="1">OR(AND(IF(metadata!C422="",FALSE,TRUE),OR(EXACT(metadata!C422,"missing: not collected"),EXACT(metadata!C422,"missing: not provided"),EXACT(metadata!C422,"missing: restricted access"))),AND(IF(metadata!C422="",FALSE,TRUE),AND(AND(IFERROR(INT(LEFT(metadata!C422,4))&gt;1900,FALSE),IFERROR(INT(LEFT(metadata!C422,4))&lt;=YEAR(NOW()),FALSE)), OR(MID(metadata!C422,5,1)="", AND(AND(MID(metadata!C422,5,1)="-",IFERROR(INT(MID(metadata!C422,6,1))&gt;=0,FALSE),IFERROR(INT(MID(metadata!C422,6,1))&lt;=1,FALSE),NOT(MID(metadata!C422,7,1)=""),IFERROR(INT(MID(metadata!C422,6,2))&gt;=1,FALSE),IFERROR(INT(MID(metadata!C422,6,2))&lt;=12,FALSE)), OR(MID(metadata!C422,8,1)="", AND(AND(MID(metadata!C422,8,1)="-",IFERROR(INT(MID(metadata!C422,9,1))&gt;=0,FALSE),IFERROR(INT(MID(metadata!C422,9,1))&lt;=3,FALSE),NOT(MID(metadata!C422,10,1)=""),IFERROR(INT(MID(metadata!C422,9,2))&gt;=1,FALSE),IFERROR(INT(MID(metadata!C422,9,2))&lt;=31,FALSE)), OR(MID(metadata!C422,11,1)="", AND(AND(MID(metadata!C422,11,1)=" ",IFERROR(INT(MID(metadata!C422,12,1))&gt;=0,FALSE),IFERROR(INT(MID(metadata!C422,12,1))&lt;=2,FALSE),NOT(MID(metadata!C422,13,1)=""),IFERROR(INT(MID(metadata!C422,12,2))&gt;=0,FALSE),IFERROR(INT(MID(metadata!C422,12,2))&lt;=23,FALSE)), OR(MID(metadata!C422,14,1)="", AND(AND(MID(metadata!C422,14,1)=":",IFERROR(INT(MID(metadata!C422,15,1))&gt;=0,FALSE),IFERROR(INT(MID(metadata!C422,15,1))&lt;=5,FALSE),NOT(MID(metadata!C422,16,1)=""),IFERROR(INT(MID(metadata!C422,15,2))&gt;=0,FALSE),IFERROR(INT(MID(metadata!C422,15,2))&lt;=59,FALSE)), OR(MID(metadata!C422,17,1)="", AND(AND(MID(metadata!C422,17,1)=":",IFERROR(INT(MID(metadata!C422,18,1))&gt;=0,FALSE),IFERROR(INT(MID(metadata!C422,18,1))&lt;=5,FALSE),NOT(MID(metadata!C422,19,1)=""),IFERROR(INT(MID(metadata!C422,18,2))&gt;=0,FALSE),IFERROR(INT(MID(metadata!C422,18,2))&lt;=59,FALSE)), LEN(metadata!C422)&lt;=19)))))))))))))</f>
        <v>0</v>
      </c>
      <c r="AO422" t="b">
        <f>AND(IF(metadata!D422="",FALSE,TRUE),EXACT(metadata!D422,"Not applicable"))</f>
        <v>0</v>
      </c>
      <c r="AP422" t="b">
        <f>IF(metadata!E422="",FALSE,TRUE)</f>
        <v>0</v>
      </c>
      <c r="AQ422" t="b">
        <f>OR(AND(IF(metadata!F422="",FALSE,TRUE),OR(EXACT(metadata!F422,"missing: not collected"),EXACT(metadata!F422,"missing: not provided"))),AND(IF(metadata!F422="",FALSE,TRUE),OR(EXACT(metadata!F422,"TRUE"),EXACT(metadata!F422,"FALSE"))))</f>
        <v>0</v>
      </c>
      <c r="AR422" t="b">
        <f>OR(AND(IF(metadata!G422="",FALSE,TRUE),OR(EXACT(metadata!G422,"missing: not collected"),EXACT(metadata!G422,"missing: not provided"),EXACT(metadata!G422,"missing: restricted access"))),AND(IF(metadata!G422="",FALSE,ISNUMBER(VALUE(metadata!G422))),metadata!G422&gt;=-413))</f>
        <v>0</v>
      </c>
      <c r="AS422" t="b">
        <f>AND(IF(metadata!H422="",FALSE,TRUE),EXACT(metadata!H422,"meters"))</f>
        <v>0</v>
      </c>
      <c r="AT422" t="b">
        <f>AND(IF(metadata!I422="",FALSE,TRUE),OR(EXACT(metadata!I422,"Host-associated"),EXACT(metadata!I422,"Free-living")))</f>
        <v>0</v>
      </c>
      <c r="AU422" t="b">
        <f>AND(IF(metadata!J422="",FALSE,TRUE),OR(EXACT(metadata!J422,"Animal"),EXACT(metadata!J422,"Fungus"),EXACT(metadata!J422,"Plant"),EXACT(metadata!J422,"Saline"),EXACT(metadata!J422,"Non-saline")))</f>
        <v>0</v>
      </c>
      <c r="AV422" t="b">
        <f>AND(IF(metadata!K422="",FALSE,TRUE),OR(EXACT(metadata!K422,"Plant secretion"),EXACT(metadata!K422,"Plant rhizosphere"),EXACT(metadata!K422,"Plant surface"),EXACT(metadata!K422,"Plant corpus"),EXACT(metadata!K422,"Fungus surface"),EXACT(metadata!K422,"Fungus corpus"),EXACT(metadata!K422,"Animal surface"),EXACT(metadata!K422,"Animal proximal gut"),EXACT(metadata!K422,"Animal corpus"),EXACT(metadata!K422,"Animal distal gut"),EXACT(metadata!K422,"Animal secretion"),EXACT(metadata!K422,"Sub-surface (non-saline)"),EXACT(metadata!K422,"Surface (non-saline)"),EXACT(metadata!K422,"Water (non-saline)"),EXACT(metadata!K422,"Soil (non-saline)"),EXACT(metadata!K422,"Aerosol (non-saline)"),EXACT(metadata!K422,"Sediment (non-saline)"),EXACT(metadata!K422,"Surface (saline)"),EXACT(metadata!K422,"Water (saline)"),EXACT(metadata!K422,"Hypersaline (saline)"),EXACT(metadata!K422,"Aerosol (saline)"),EXACT(metadata!K422,"Sediment (saline)")))</f>
        <v>0</v>
      </c>
      <c r="AW422" t="b">
        <f>IF(metadata!L422="",FALSE,TRUE)</f>
        <v>0</v>
      </c>
      <c r="AX422" t="b">
        <f>IF(metadata!M422="",FALSE,TRUE)</f>
        <v>0</v>
      </c>
      <c r="AY422" t="b">
        <f>IF(metadata!N422="",FALSE,TRUE)</f>
        <v>0</v>
      </c>
      <c r="AZ422" t="b">
        <f>OR(AND(IF(metadata!O422="",FALSE,TRUE),OR(EXACT(metadata!O422,"missing: not collected"),EXACT(metadata!O422,"missing: not provided"),EXACT(metadata!O422,"missing: restricted access"))),AND(IF(metadata!O422="",FALSE,TRUE),OR(EXACT(metadata!O422,"air"),EXACT(metadata!O422,"built environment"),EXACT(metadata!O422,"host-associated"),EXACT(metadata!O422,"human-associated"),EXACT(metadata!O422,"human-skin"),EXACT(metadata!O422,"human-oral"),EXACT(metadata!O422,"human-gut"),EXACT(metadata!O422,"human-vaginal"),EXACT(metadata!O422,"microbial mat/biofilm"),EXACT(metadata!O422,"misc environment"),EXACT(metadata!O422,"plant-associated"),EXACT(metadata!O422,"sediment"),EXACT(metadata!O422,"soil"),EXACT(metadata!O422,"wastewater/sludge"),EXACT(metadata!O422,"water"))))</f>
        <v>0</v>
      </c>
      <c r="BA422" t="b">
        <f>IF(metadata!P422="",FALSE,TRUE)</f>
        <v>0</v>
      </c>
      <c r="BB422" t="b">
        <f>IF(metadata!Q422="",FALSE,TRUE)</f>
        <v>0</v>
      </c>
      <c r="BC422" t="b">
        <f>OR(AND(IF(metadata!R422="",FALSE,TRUE),OR(EXACT(metadata!R422,"missing: not collected"),EXACT(metadata!R422,"missing: not provided"),EXACT(metadata!R422,"missing: restricted access"))),AND(IF(metadata!R422="",FALSE,ISNUMBER(VALUE(metadata!R422))),metadata!R422&gt;=-90,metadata!R422&lt;=90))</f>
        <v>0</v>
      </c>
      <c r="BD422" t="b">
        <f>AND(IF(metadata!S422="",FALSE,TRUE),EXACT(metadata!S422,"Decimal degrees"))</f>
        <v>0</v>
      </c>
      <c r="BE422" t="b">
        <f>OR(AND(IF(metadata!T422="",FALSE,TRUE),OR(EXACT(metadata!T422,"missing: not collected"),EXACT(metadata!T422,"missing: not provided"),EXACT(metadata!T422,"missing: restricted access"))),AND(IF(metadata!T422="",FALSE,ISNUMBER(VALUE(metadata!T422))),metadata!T422&gt;=-180,metadata!T422&lt;=180))</f>
        <v>0</v>
      </c>
      <c r="BF422" t="b">
        <f>AND(IF(metadata!U422="",FALSE,TRUE),EXACT(metadata!U422,"Decimal degrees"))</f>
        <v>0</v>
      </c>
      <c r="BG422" t="b">
        <f>IF(metadata!V422="",FALSE,TRUE)</f>
        <v>0</v>
      </c>
      <c r="BH422" t="b">
        <f>OR(AND(IF(metadata!W422="",FALSE,TRUE),OR(EXACT(metadata!W422,"missing: not collected"),EXACT(metadata!W422,"missing: not provided"),EXACT(metadata!W422,"missing: restricted access"))),AND(IF(metadata!W422="",FALSE,TRUE),OR(EXACT(metadata!W422,"TRUE"),EXACT(metadata!W422,"FALSE"))))</f>
        <v>0</v>
      </c>
      <c r="BI422" t="b">
        <f>AND(IF(metadata!X422="",FALSE,TRUE),EXACT(metadata!X422,"other"))</f>
        <v>0</v>
      </c>
      <c r="BJ422" t="b">
        <f>IF(metadata!Y422="",FALSE,TRUE)</f>
        <v>0</v>
      </c>
      <c r="BK422" t="b">
        <f>OR(AND(IF(metadata!Z422="",FALSE,TRUE),OR(EXACT(metadata!Z422,"missing: not collected"),EXACT(metadata!Z422,"missing: not provided"))),AND(IF(metadata!Z422="",FALSE,IF(ISERROR(INT(metadata!Z422)),FALSE,INT(metadata!Z422)=metadata!Z422)),metadata!Z422&gt;0))</f>
        <v>0</v>
      </c>
      <c r="BL422" t="b">
        <f>AND(IF(metadata!AA422="",FALSE,TRUE),EXACT(metadata!AA422,"Not applicable"))</f>
        <v>0</v>
      </c>
      <c r="BM422" t="b">
        <f>IF(metadata!AB422="",FALSE,TRUE)</f>
        <v>0</v>
      </c>
    </row>
    <row r="423" spans="1:65" x14ac:dyDescent="0.2">
      <c r="A423" s="5" t="str">
        <f ca="1">IF(B423=" "," ",HYPERLINK(CONCATENATE("#metadata!",ADDRESS(INDEX($AH$2:$AH$1001,MATCH(ROWS($AF$2:AF423),$AF$2:$AF$1001,0),0),1)),INDEX($AK$2:$AK$1001,MATCH(ROWS($AF$2:AF423),$AF$2:$AF$1001,0),0)))</f>
        <v xml:space="preserve"> </v>
      </c>
      <c r="B423" s="4" t="str">
        <f ca="1">IF(OR(INDEX($AG$2:$AG$1001,MATCH(ROWS($AF$2:AF423),$AF$2:$AF$1001,0),1)&gt;=100000,INDEX($AM$1005:$BM$1005,1,MATCH(COLUMNS($AM$1006:AM1006),$AM$1006:$BM$1006,0))&gt;=100000), " ",IF(INDEX($AM$2:$BM$1001,MATCH(ROWS($AF$2:AF423),$AF$2:$AF$1001,0),MATCH(COLUMNS($AM$1006:AM1006),$AM$1006:$BM$1006,0)), HYPERLINK("#",""), HYPERLINK(CONCATENATE("#metadata!", ADDRESS(INDEX($AH$2:$AH$1001,MATCH(ROWS($AF$2:AF423),$AF$2:$AF$1001,0),0), INDEX($AM$1004:$BM$1004,1,MATCH(COLUMNS($AM$1006:AM1006),$AM$1006:$BM$1006,0)))),"Fix")))</f>
        <v xml:space="preserve"> </v>
      </c>
      <c r="C423" s="4" t="str">
        <f ca="1">IF(OR(INDEX($AG$2:$AG$1001,MATCH(ROWS($AF$2:AF423),$AF$2:$AF$1001,0),1)&gt;=100000,INDEX($AM$1005:$BM$1005,1,MATCH(COLUMNS($AM$1006:AN1006),$AM$1006:$BM$1006,0))&gt;=100000), " ",IF(INDEX($AM$2:$BM$1001,MATCH(ROWS($AF$2:AF423),$AF$2:$AF$1001,0),MATCH(COLUMNS($AM$1006:AN1006),$AM$1006:$BM$1006,0)), HYPERLINK("#",""), HYPERLINK(CONCATENATE("#metadata!", ADDRESS(INDEX($AH$2:$AH$1001,MATCH(ROWS($AF$2:AF423),$AF$2:$AF$1001,0),0), INDEX($AM$1004:$BM$1004,1,MATCH(COLUMNS($AM$1006:AN1006),$AM$1006:$BM$1006,0)))),"Fix")))</f>
        <v xml:space="preserve"> </v>
      </c>
      <c r="D423" s="4" t="str">
        <f ca="1">IF(OR(INDEX($AG$2:$AG$1001,MATCH(ROWS($AF$2:AF423),$AF$2:$AF$1001,0),1)&gt;=100000,INDEX($AM$1005:$BM$1005,1,MATCH(COLUMNS($AM$1006:AO1006),$AM$1006:$BM$1006,0))&gt;=100000), " ",IF(INDEX($AM$2:$BM$1001,MATCH(ROWS($AF$2:AF423),$AF$2:$AF$1001,0),MATCH(COLUMNS($AM$1006:AO1006),$AM$1006:$BM$1006,0)), HYPERLINK("#",""), HYPERLINK(CONCATENATE("#metadata!", ADDRESS(INDEX($AH$2:$AH$1001,MATCH(ROWS($AF$2:AF423),$AF$2:$AF$1001,0),0), INDEX($AM$1004:$BM$1004,1,MATCH(COLUMNS($AM$1006:AO1006),$AM$1006:$BM$1006,0)))),"Fix")))</f>
        <v xml:space="preserve"> </v>
      </c>
      <c r="E423" s="4" t="str">
        <f ca="1">IF(OR(INDEX($AG$2:$AG$1001,MATCH(ROWS($AF$2:AF423),$AF$2:$AF$1001,0),1)&gt;=100000,INDEX($AM$1005:$BM$1005,1,MATCH(COLUMNS($AM$1006:AP1006),$AM$1006:$BM$1006,0))&gt;=100000), " ",IF(INDEX($AM$2:$BM$1001,MATCH(ROWS($AF$2:AF423),$AF$2:$AF$1001,0),MATCH(COLUMNS($AM$1006:AP1006),$AM$1006:$BM$1006,0)), HYPERLINK("#",""), HYPERLINK(CONCATENATE("#metadata!", ADDRESS(INDEX($AH$2:$AH$1001,MATCH(ROWS($AF$2:AF423),$AF$2:$AF$1001,0),0), INDEX($AM$1004:$BM$1004,1,MATCH(COLUMNS($AM$1006:AP1006),$AM$1006:$BM$1006,0)))),"Fix")))</f>
        <v xml:space="preserve"> </v>
      </c>
      <c r="F423" s="4" t="str">
        <f ca="1">IF(OR(INDEX($AG$2:$AG$1001,MATCH(ROWS($AF$2:AF423),$AF$2:$AF$1001,0),1)&gt;=100000,INDEX($AM$1005:$BM$1005,1,MATCH(COLUMNS($AM$1006:AQ1006),$AM$1006:$BM$1006,0))&gt;=100000), " ",IF(INDEX($AM$2:$BM$1001,MATCH(ROWS($AF$2:AF423),$AF$2:$AF$1001,0),MATCH(COLUMNS($AM$1006:AQ1006),$AM$1006:$BM$1006,0)), HYPERLINK("#",""), HYPERLINK(CONCATENATE("#metadata!", ADDRESS(INDEX($AH$2:$AH$1001,MATCH(ROWS($AF$2:AF423),$AF$2:$AF$1001,0),0), INDEX($AM$1004:$BM$1004,1,MATCH(COLUMNS($AM$1006:AQ1006),$AM$1006:$BM$1006,0)))),"Fix")))</f>
        <v xml:space="preserve"> </v>
      </c>
      <c r="G423" s="4" t="str">
        <f ca="1">IF(OR(INDEX($AG$2:$AG$1001,MATCH(ROWS($AF$2:AF423),$AF$2:$AF$1001,0),1)&gt;=100000,INDEX($AM$1005:$BM$1005,1,MATCH(COLUMNS($AM$1006:AR1006),$AM$1006:$BM$1006,0))&gt;=100000), " ",IF(INDEX($AM$2:$BM$1001,MATCH(ROWS($AF$2:AF423),$AF$2:$AF$1001,0),MATCH(COLUMNS($AM$1006:AR1006),$AM$1006:$BM$1006,0)), HYPERLINK("#",""), HYPERLINK(CONCATENATE("#metadata!", ADDRESS(INDEX($AH$2:$AH$1001,MATCH(ROWS($AF$2:AF423),$AF$2:$AF$1001,0),0), INDEX($AM$1004:$BM$1004,1,MATCH(COLUMNS($AM$1006:AR1006),$AM$1006:$BM$1006,0)))),"Fix")))</f>
        <v xml:space="preserve"> </v>
      </c>
      <c r="H423" s="4" t="str">
        <f ca="1">IF(OR(INDEX($AG$2:$AG$1001,MATCH(ROWS($AF$2:AF423),$AF$2:$AF$1001,0),1)&gt;=100000,INDEX($AM$1005:$BM$1005,1,MATCH(COLUMNS($AM$1006:AS1006),$AM$1006:$BM$1006,0))&gt;=100000), " ",IF(INDEX($AM$2:$BM$1001,MATCH(ROWS($AF$2:AF423),$AF$2:$AF$1001,0),MATCH(COLUMNS($AM$1006:AS1006),$AM$1006:$BM$1006,0)), HYPERLINK("#",""), HYPERLINK(CONCATENATE("#metadata!", ADDRESS(INDEX($AH$2:$AH$1001,MATCH(ROWS($AF$2:AF423),$AF$2:$AF$1001,0),0), INDEX($AM$1004:$BM$1004,1,MATCH(COLUMNS($AM$1006:AS1006),$AM$1006:$BM$1006,0)))),"Fix")))</f>
        <v xml:space="preserve"> </v>
      </c>
      <c r="I423" s="4" t="str">
        <f ca="1">IF(OR(INDEX($AG$2:$AG$1001,MATCH(ROWS($AF$2:AF423),$AF$2:$AF$1001,0),1)&gt;=100000,INDEX($AM$1005:$BM$1005,1,MATCH(COLUMNS($AM$1006:AT1006),$AM$1006:$BM$1006,0))&gt;=100000), " ",IF(INDEX($AM$2:$BM$1001,MATCH(ROWS($AF$2:AF423),$AF$2:$AF$1001,0),MATCH(COLUMNS($AM$1006:AT1006),$AM$1006:$BM$1006,0)), HYPERLINK("#",""), HYPERLINK(CONCATENATE("#metadata!", ADDRESS(INDEX($AH$2:$AH$1001,MATCH(ROWS($AF$2:AF423),$AF$2:$AF$1001,0),0), INDEX($AM$1004:$BM$1004,1,MATCH(COLUMNS($AM$1006:AT1006),$AM$1006:$BM$1006,0)))),"Fix")))</f>
        <v xml:space="preserve"> </v>
      </c>
      <c r="J423" s="4" t="str">
        <f ca="1">IF(OR(INDEX($AG$2:$AG$1001,MATCH(ROWS($AF$2:AF423),$AF$2:$AF$1001,0),1)&gt;=100000,INDEX($AM$1005:$BM$1005,1,MATCH(COLUMNS($AM$1006:AU1006),$AM$1006:$BM$1006,0))&gt;=100000), " ",IF(INDEX($AM$2:$BM$1001,MATCH(ROWS($AF$2:AF423),$AF$2:$AF$1001,0),MATCH(COLUMNS($AM$1006:AU1006),$AM$1006:$BM$1006,0)), HYPERLINK("#",""), HYPERLINK(CONCATENATE("#metadata!", ADDRESS(INDEX($AH$2:$AH$1001,MATCH(ROWS($AF$2:AF423),$AF$2:$AF$1001,0),0), INDEX($AM$1004:$BM$1004,1,MATCH(COLUMNS($AM$1006:AU1006),$AM$1006:$BM$1006,0)))),"Fix")))</f>
        <v xml:space="preserve"> </v>
      </c>
      <c r="K423" s="4" t="str">
        <f ca="1">IF(OR(INDEX($AG$2:$AG$1001,MATCH(ROWS($AF$2:AF423),$AF$2:$AF$1001,0),1)&gt;=100000,INDEX($AM$1005:$BM$1005,1,MATCH(COLUMNS($AM$1006:AV1006),$AM$1006:$BM$1006,0))&gt;=100000), " ",IF(INDEX($AM$2:$BM$1001,MATCH(ROWS($AF$2:AF423),$AF$2:$AF$1001,0),MATCH(COLUMNS($AM$1006:AV1006),$AM$1006:$BM$1006,0)), HYPERLINK("#",""), HYPERLINK(CONCATENATE("#metadata!", ADDRESS(INDEX($AH$2:$AH$1001,MATCH(ROWS($AF$2:AF423),$AF$2:$AF$1001,0),0), INDEX($AM$1004:$BM$1004,1,MATCH(COLUMNS($AM$1006:AV1006),$AM$1006:$BM$1006,0)))),"Fix")))</f>
        <v xml:space="preserve"> </v>
      </c>
      <c r="L423" s="4" t="str">
        <f ca="1">IF(OR(INDEX($AG$2:$AG$1001,MATCH(ROWS($AF$2:AF423),$AF$2:$AF$1001,0),1)&gt;=100000,INDEX($AM$1005:$BM$1005,1,MATCH(COLUMNS($AM$1006:AW1006),$AM$1006:$BM$1006,0))&gt;=100000), " ",IF(INDEX($AM$2:$BM$1001,MATCH(ROWS($AF$2:AF423),$AF$2:$AF$1001,0),MATCH(COLUMNS($AM$1006:AW1006),$AM$1006:$BM$1006,0)), HYPERLINK("#",""), HYPERLINK(CONCATENATE("#metadata!", ADDRESS(INDEX($AH$2:$AH$1001,MATCH(ROWS($AF$2:AF423),$AF$2:$AF$1001,0),0), INDEX($AM$1004:$BM$1004,1,MATCH(COLUMNS($AM$1006:AW1006),$AM$1006:$BM$1006,0)))),"Fix")))</f>
        <v xml:space="preserve"> </v>
      </c>
      <c r="M423" s="4" t="str">
        <f ca="1">IF(OR(INDEX($AG$2:$AG$1001,MATCH(ROWS($AF$2:AF423),$AF$2:$AF$1001,0),1)&gt;=100000,INDEX($AM$1005:$BM$1005,1,MATCH(COLUMNS($AM$1006:AX1006),$AM$1006:$BM$1006,0))&gt;=100000), " ",IF(INDEX($AM$2:$BM$1001,MATCH(ROWS($AF$2:AF423),$AF$2:$AF$1001,0),MATCH(COLUMNS($AM$1006:AX1006),$AM$1006:$BM$1006,0)), HYPERLINK("#",""), HYPERLINK(CONCATENATE("#metadata!", ADDRESS(INDEX($AH$2:$AH$1001,MATCH(ROWS($AF$2:AF423),$AF$2:$AF$1001,0),0), INDEX($AM$1004:$BM$1004,1,MATCH(COLUMNS($AM$1006:AX1006),$AM$1006:$BM$1006,0)))),"Fix")))</f>
        <v xml:space="preserve"> </v>
      </c>
      <c r="N423" s="4" t="str">
        <f ca="1">IF(OR(INDEX($AG$2:$AG$1001,MATCH(ROWS($AF$2:AF423),$AF$2:$AF$1001,0),1)&gt;=100000,INDEX($AM$1005:$BM$1005,1,MATCH(COLUMNS($AM$1006:AY1006),$AM$1006:$BM$1006,0))&gt;=100000), " ",IF(INDEX($AM$2:$BM$1001,MATCH(ROWS($AF$2:AF423),$AF$2:$AF$1001,0),MATCH(COLUMNS($AM$1006:AY1006),$AM$1006:$BM$1006,0)), HYPERLINK("#",""), HYPERLINK(CONCATENATE("#metadata!", ADDRESS(INDEX($AH$2:$AH$1001,MATCH(ROWS($AF$2:AF423),$AF$2:$AF$1001,0),0), INDEX($AM$1004:$BM$1004,1,MATCH(COLUMNS($AM$1006:AY1006),$AM$1006:$BM$1006,0)))),"Fix")))</f>
        <v xml:space="preserve"> </v>
      </c>
      <c r="O423" s="4" t="str">
        <f ca="1">IF(OR(INDEX($AG$2:$AG$1001,MATCH(ROWS($AF$2:AF423),$AF$2:$AF$1001,0),1)&gt;=100000,INDEX($AM$1005:$BM$1005,1,MATCH(COLUMNS($AM$1006:AZ1006),$AM$1006:$BM$1006,0))&gt;=100000), " ",IF(INDEX($AM$2:$BM$1001,MATCH(ROWS($AF$2:AF423),$AF$2:$AF$1001,0),MATCH(COLUMNS($AM$1006:AZ1006),$AM$1006:$BM$1006,0)), HYPERLINK("#",""), HYPERLINK(CONCATENATE("#metadata!", ADDRESS(INDEX($AH$2:$AH$1001,MATCH(ROWS($AF$2:AF423),$AF$2:$AF$1001,0),0), INDEX($AM$1004:$BM$1004,1,MATCH(COLUMNS($AM$1006:AZ1006),$AM$1006:$BM$1006,0)))),"Fix")))</f>
        <v xml:space="preserve"> </v>
      </c>
      <c r="P423" s="4" t="str">
        <f ca="1">IF(OR(INDEX($AG$2:$AG$1001,MATCH(ROWS($AF$2:AF423),$AF$2:$AF$1001,0),1)&gt;=100000,INDEX($AM$1005:$BM$1005,1,MATCH(COLUMNS($AM$1006:BA1006),$AM$1006:$BM$1006,0))&gt;=100000), " ",IF(INDEX($AM$2:$BM$1001,MATCH(ROWS($AF$2:AF423),$AF$2:$AF$1001,0),MATCH(COLUMNS($AM$1006:BA1006),$AM$1006:$BM$1006,0)), HYPERLINK("#",""), HYPERLINK(CONCATENATE("#metadata!", ADDRESS(INDEX($AH$2:$AH$1001,MATCH(ROWS($AF$2:AF423),$AF$2:$AF$1001,0),0), INDEX($AM$1004:$BM$1004,1,MATCH(COLUMNS($AM$1006:BA1006),$AM$1006:$BM$1006,0)))),"Fix")))</f>
        <v xml:space="preserve"> </v>
      </c>
      <c r="Q423" s="4" t="str">
        <f ca="1">IF(OR(INDEX($AG$2:$AG$1001,MATCH(ROWS($AF$2:AF423),$AF$2:$AF$1001,0),1)&gt;=100000,INDEX($AM$1005:$BM$1005,1,MATCH(COLUMNS($AM$1006:BB1006),$AM$1006:$BM$1006,0))&gt;=100000), " ",IF(INDEX($AM$2:$BM$1001,MATCH(ROWS($AF$2:AF423),$AF$2:$AF$1001,0),MATCH(COLUMNS($AM$1006:BB1006),$AM$1006:$BM$1006,0)), HYPERLINK("#",""), HYPERLINK(CONCATENATE("#metadata!", ADDRESS(INDEX($AH$2:$AH$1001,MATCH(ROWS($AF$2:AF423),$AF$2:$AF$1001,0),0), INDEX($AM$1004:$BM$1004,1,MATCH(COLUMNS($AM$1006:BB1006),$AM$1006:$BM$1006,0)))),"Fix")))</f>
        <v xml:space="preserve"> </v>
      </c>
      <c r="R423" s="4" t="str">
        <f ca="1">IF(OR(INDEX($AG$2:$AG$1001,MATCH(ROWS($AF$2:AF423),$AF$2:$AF$1001,0),1)&gt;=100000,INDEX($AM$1005:$BM$1005,1,MATCH(COLUMNS($AM$1006:BC1006),$AM$1006:$BM$1006,0))&gt;=100000), " ",IF(INDEX($AM$2:$BM$1001,MATCH(ROWS($AF$2:AF423),$AF$2:$AF$1001,0),MATCH(COLUMNS($AM$1006:BC1006),$AM$1006:$BM$1006,0)), HYPERLINK("#",""), HYPERLINK(CONCATENATE("#metadata!", ADDRESS(INDEX($AH$2:$AH$1001,MATCH(ROWS($AF$2:AF423),$AF$2:$AF$1001,0),0), INDEX($AM$1004:$BM$1004,1,MATCH(COLUMNS($AM$1006:BC1006),$AM$1006:$BM$1006,0)))),"Fix")))</f>
        <v xml:space="preserve"> </v>
      </c>
      <c r="S423" s="4" t="str">
        <f ca="1">IF(OR(INDEX($AG$2:$AG$1001,MATCH(ROWS($AF$2:AF423),$AF$2:$AF$1001,0),1)&gt;=100000,INDEX($AM$1005:$BM$1005,1,MATCH(COLUMNS($AM$1006:BD1006),$AM$1006:$BM$1006,0))&gt;=100000), " ",IF(INDEX($AM$2:$BM$1001,MATCH(ROWS($AF$2:AF423),$AF$2:$AF$1001,0),MATCH(COLUMNS($AM$1006:BD1006),$AM$1006:$BM$1006,0)), HYPERLINK("#",""), HYPERLINK(CONCATENATE("#metadata!", ADDRESS(INDEX($AH$2:$AH$1001,MATCH(ROWS($AF$2:AF423),$AF$2:$AF$1001,0),0), INDEX($AM$1004:$BM$1004,1,MATCH(COLUMNS($AM$1006:BD1006),$AM$1006:$BM$1006,0)))),"Fix")))</f>
        <v xml:space="preserve"> </v>
      </c>
      <c r="T423" s="4" t="str">
        <f ca="1">IF(OR(INDEX($AG$2:$AG$1001,MATCH(ROWS($AF$2:AF423),$AF$2:$AF$1001,0),1)&gt;=100000,INDEX($AM$1005:$BM$1005,1,MATCH(COLUMNS($AM$1006:BE1006),$AM$1006:$BM$1006,0))&gt;=100000), " ",IF(INDEX($AM$2:$BM$1001,MATCH(ROWS($AF$2:AF423),$AF$2:$AF$1001,0),MATCH(COLUMNS($AM$1006:BE1006),$AM$1006:$BM$1006,0)), HYPERLINK("#",""), HYPERLINK(CONCATENATE("#metadata!", ADDRESS(INDEX($AH$2:$AH$1001,MATCH(ROWS($AF$2:AF423),$AF$2:$AF$1001,0),0), INDEX($AM$1004:$BM$1004,1,MATCH(COLUMNS($AM$1006:BE1006),$AM$1006:$BM$1006,0)))),"Fix")))</f>
        <v xml:space="preserve"> </v>
      </c>
      <c r="U423" s="4" t="str">
        <f ca="1">IF(OR(INDEX($AG$2:$AG$1001,MATCH(ROWS($AF$2:AF423),$AF$2:$AF$1001,0),1)&gt;=100000,INDEX($AM$1005:$BM$1005,1,MATCH(COLUMNS($AM$1006:BF1006),$AM$1006:$BM$1006,0))&gt;=100000), " ",IF(INDEX($AM$2:$BM$1001,MATCH(ROWS($AF$2:AF423),$AF$2:$AF$1001,0),MATCH(COLUMNS($AM$1006:BF1006),$AM$1006:$BM$1006,0)), HYPERLINK("#",""), HYPERLINK(CONCATENATE("#metadata!", ADDRESS(INDEX($AH$2:$AH$1001,MATCH(ROWS($AF$2:AF423),$AF$2:$AF$1001,0),0), INDEX($AM$1004:$BM$1004,1,MATCH(COLUMNS($AM$1006:BF1006),$AM$1006:$BM$1006,0)))),"Fix")))</f>
        <v xml:space="preserve"> </v>
      </c>
      <c r="V423" s="4" t="str">
        <f ca="1">IF(OR(INDEX($AG$2:$AG$1001,MATCH(ROWS($AF$2:AF423),$AF$2:$AF$1001,0),1)&gt;=100000,INDEX($AM$1005:$BM$1005,1,MATCH(COLUMNS($AM$1006:BG1006),$AM$1006:$BM$1006,0))&gt;=100000), " ",IF(INDEX($AM$2:$BM$1001,MATCH(ROWS($AF$2:AF423),$AF$2:$AF$1001,0),MATCH(COLUMNS($AM$1006:BG1006),$AM$1006:$BM$1006,0)), HYPERLINK("#",""), HYPERLINK(CONCATENATE("#metadata!", ADDRESS(INDEX($AH$2:$AH$1001,MATCH(ROWS($AF$2:AF423),$AF$2:$AF$1001,0),0), INDEX($AM$1004:$BM$1004,1,MATCH(COLUMNS($AM$1006:BG1006),$AM$1006:$BM$1006,0)))),"Fix")))</f>
        <v xml:space="preserve"> </v>
      </c>
      <c r="W423" s="4" t="str">
        <f ca="1">IF(OR(INDEX($AG$2:$AG$1001,MATCH(ROWS($AF$2:AF423),$AF$2:$AF$1001,0),1)&gt;=100000,INDEX($AM$1005:$BM$1005,1,MATCH(COLUMNS($AM$1006:BH1006),$AM$1006:$BM$1006,0))&gt;=100000), " ",IF(INDEX($AM$2:$BM$1001,MATCH(ROWS($AF$2:AF423),$AF$2:$AF$1001,0),MATCH(COLUMNS($AM$1006:BH1006),$AM$1006:$BM$1006,0)), HYPERLINK("#",""), HYPERLINK(CONCATENATE("#metadata!", ADDRESS(INDEX($AH$2:$AH$1001,MATCH(ROWS($AF$2:AF423),$AF$2:$AF$1001,0),0), INDEX($AM$1004:$BM$1004,1,MATCH(COLUMNS($AM$1006:BH1006),$AM$1006:$BM$1006,0)))),"Fix")))</f>
        <v xml:space="preserve"> </v>
      </c>
      <c r="X423" s="4" t="str">
        <f ca="1">IF(OR(INDEX($AG$2:$AG$1001,MATCH(ROWS($AF$2:AF423),$AF$2:$AF$1001,0),1)&gt;=100000,INDEX($AM$1005:$BM$1005,1,MATCH(COLUMNS($AM$1006:BI1006),$AM$1006:$BM$1006,0))&gt;=100000), " ",IF(INDEX($AM$2:$BM$1001,MATCH(ROWS($AF$2:AF423),$AF$2:$AF$1001,0),MATCH(COLUMNS($AM$1006:BI1006),$AM$1006:$BM$1006,0)), HYPERLINK("#",""), HYPERLINK(CONCATENATE("#metadata!", ADDRESS(INDEX($AH$2:$AH$1001,MATCH(ROWS($AF$2:AF423),$AF$2:$AF$1001,0),0), INDEX($AM$1004:$BM$1004,1,MATCH(COLUMNS($AM$1006:BI1006),$AM$1006:$BM$1006,0)))),"Fix")))</f>
        <v xml:space="preserve"> </v>
      </c>
      <c r="Y423" s="4" t="str">
        <f ca="1">IF(OR(INDEX($AG$2:$AG$1001,MATCH(ROWS($AF$2:AF423),$AF$2:$AF$1001,0),1)&gt;=100000,INDEX($AM$1005:$BM$1005,1,MATCH(COLUMNS($AM$1006:BJ1006),$AM$1006:$BM$1006,0))&gt;=100000), " ",IF(INDEX($AM$2:$BM$1001,MATCH(ROWS($AF$2:AF423),$AF$2:$AF$1001,0),MATCH(COLUMNS($AM$1006:BJ1006),$AM$1006:$BM$1006,0)), HYPERLINK("#",""), HYPERLINK(CONCATENATE("#metadata!", ADDRESS(INDEX($AH$2:$AH$1001,MATCH(ROWS($AF$2:AF423),$AF$2:$AF$1001,0),0), INDEX($AM$1004:$BM$1004,1,MATCH(COLUMNS($AM$1006:BJ1006),$AM$1006:$BM$1006,0)))),"Fix")))</f>
        <v xml:space="preserve"> </v>
      </c>
      <c r="Z423" s="4" t="str">
        <f ca="1">IF(OR(INDEX($AG$2:$AG$1001,MATCH(ROWS($AF$2:AF423),$AF$2:$AF$1001,0),1)&gt;=100000,INDEX($AM$1005:$BM$1005,1,MATCH(COLUMNS($AM$1006:BK1006),$AM$1006:$BM$1006,0))&gt;=100000), " ",IF(INDEX($AM$2:$BM$1001,MATCH(ROWS($AF$2:AF423),$AF$2:$AF$1001,0),MATCH(COLUMNS($AM$1006:BK1006),$AM$1006:$BM$1006,0)), HYPERLINK("#",""), HYPERLINK(CONCATENATE("#metadata!", ADDRESS(INDEX($AH$2:$AH$1001,MATCH(ROWS($AF$2:AF423),$AF$2:$AF$1001,0),0), INDEX($AM$1004:$BM$1004,1,MATCH(COLUMNS($AM$1006:BK1006),$AM$1006:$BM$1006,0)))),"Fix")))</f>
        <v xml:space="preserve"> </v>
      </c>
      <c r="AA423" s="4" t="str">
        <f ca="1">IF(OR(INDEX($AG$2:$AG$1001,MATCH(ROWS($AF$2:AF423),$AF$2:$AF$1001,0),1)&gt;=100000,INDEX($AM$1005:$BM$1005,1,MATCH(COLUMNS($AM$1006:BL1006),$AM$1006:$BM$1006,0))&gt;=100000), " ",IF(INDEX($AM$2:$BM$1001,MATCH(ROWS($AF$2:AF423),$AF$2:$AF$1001,0),MATCH(COLUMNS($AM$1006:BL1006),$AM$1006:$BM$1006,0)), HYPERLINK("#",""), HYPERLINK(CONCATENATE("#metadata!", ADDRESS(INDEX($AH$2:$AH$1001,MATCH(ROWS($AF$2:AF423),$AF$2:$AF$1001,0),0), INDEX($AM$1004:$BM$1004,1,MATCH(COLUMNS($AM$1006:BL1006),$AM$1006:$BM$1006,0)))),"Fix")))</f>
        <v xml:space="preserve"> </v>
      </c>
      <c r="AB423" s="4" t="str">
        <f ca="1">IF(OR(INDEX($AG$2:$AG$1001,MATCH(ROWS($AF$2:AF423),$AF$2:$AF$1001,0),1)&gt;=100000,INDEX($AM$1005:$BM$1005,1,MATCH(COLUMNS($AM$1006:BM1006),$AM$1006:$BM$1006,0))&gt;=100000), " ",IF(INDEX($AM$2:$BM$1001,MATCH(ROWS($AF$2:AF423),$AF$2:$AF$1001,0),MATCH(COLUMNS($AM$1006:BM1006),$AM$1006:$BM$1006,0)), HYPERLINK("#",""), HYPERLINK(CONCATENATE("#metadata!", ADDRESS(INDEX($AH$2:$AH$1001,MATCH(ROWS($AF$2:AF423),$AF$2:$AF$1001,0),0), INDEX($AM$1004:$BM$1004,1,MATCH(COLUMNS($AM$1006:BM1006),$AM$1006:$BM$1006,0)))),"Fix")))</f>
        <v xml:space="preserve"> </v>
      </c>
      <c r="AF423">
        <v>422</v>
      </c>
      <c r="AG423">
        <v>100423</v>
      </c>
      <c r="AH423">
        <v>423</v>
      </c>
      <c r="AI423" t="b">
        <f t="shared" si="6"/>
        <v>1</v>
      </c>
      <c r="AJ423" t="b">
        <f>COUNTBLANK(metadata!B423:AB423)=COLUMNS(metadata!B423:AB423)</f>
        <v>1</v>
      </c>
      <c r="AK423" t="str">
        <v/>
      </c>
      <c r="AM423" t="b">
        <f ca="1">AND(IF(metadata!B423="",FALSE,TRUE),COUNTIF(metadata!B:B, metadata!B423) = 1,NOT(ISERROR(SUMPRODUCT(SEARCH(MID(metadata!B423,ROW(INDIRECT("1:"&amp;LEN(metadata!B423))), 1),"0123456789abcdefghijklmnopqrstuvwxyzABCDEFGHIJKLMNOPQRSTUVWXYZ.")))))</f>
        <v>0</v>
      </c>
      <c r="AN423" t="b">
        <f ca="1">OR(AND(IF(metadata!C423="",FALSE,TRUE),OR(EXACT(metadata!C423,"missing: not collected"),EXACT(metadata!C423,"missing: not provided"),EXACT(metadata!C423,"missing: restricted access"))),AND(IF(metadata!C423="",FALSE,TRUE),AND(AND(IFERROR(INT(LEFT(metadata!C423,4))&gt;1900,FALSE),IFERROR(INT(LEFT(metadata!C423,4))&lt;=YEAR(NOW()),FALSE)), OR(MID(metadata!C423,5,1)="", AND(AND(MID(metadata!C423,5,1)="-",IFERROR(INT(MID(metadata!C423,6,1))&gt;=0,FALSE),IFERROR(INT(MID(metadata!C423,6,1))&lt;=1,FALSE),NOT(MID(metadata!C423,7,1)=""),IFERROR(INT(MID(metadata!C423,6,2))&gt;=1,FALSE),IFERROR(INT(MID(metadata!C423,6,2))&lt;=12,FALSE)), OR(MID(metadata!C423,8,1)="", AND(AND(MID(metadata!C423,8,1)="-",IFERROR(INT(MID(metadata!C423,9,1))&gt;=0,FALSE),IFERROR(INT(MID(metadata!C423,9,1))&lt;=3,FALSE),NOT(MID(metadata!C423,10,1)=""),IFERROR(INT(MID(metadata!C423,9,2))&gt;=1,FALSE),IFERROR(INT(MID(metadata!C423,9,2))&lt;=31,FALSE)), OR(MID(metadata!C423,11,1)="", AND(AND(MID(metadata!C423,11,1)=" ",IFERROR(INT(MID(metadata!C423,12,1))&gt;=0,FALSE),IFERROR(INT(MID(metadata!C423,12,1))&lt;=2,FALSE),NOT(MID(metadata!C423,13,1)=""),IFERROR(INT(MID(metadata!C423,12,2))&gt;=0,FALSE),IFERROR(INT(MID(metadata!C423,12,2))&lt;=23,FALSE)), OR(MID(metadata!C423,14,1)="", AND(AND(MID(metadata!C423,14,1)=":",IFERROR(INT(MID(metadata!C423,15,1))&gt;=0,FALSE),IFERROR(INT(MID(metadata!C423,15,1))&lt;=5,FALSE),NOT(MID(metadata!C423,16,1)=""),IFERROR(INT(MID(metadata!C423,15,2))&gt;=0,FALSE),IFERROR(INT(MID(metadata!C423,15,2))&lt;=59,FALSE)), OR(MID(metadata!C423,17,1)="", AND(AND(MID(metadata!C423,17,1)=":",IFERROR(INT(MID(metadata!C423,18,1))&gt;=0,FALSE),IFERROR(INT(MID(metadata!C423,18,1))&lt;=5,FALSE),NOT(MID(metadata!C423,19,1)=""),IFERROR(INT(MID(metadata!C423,18,2))&gt;=0,FALSE),IFERROR(INT(MID(metadata!C423,18,2))&lt;=59,FALSE)), LEN(metadata!C423)&lt;=19)))))))))))))</f>
        <v>0</v>
      </c>
      <c r="AO423" t="b">
        <f>AND(IF(metadata!D423="",FALSE,TRUE),EXACT(metadata!D423,"Not applicable"))</f>
        <v>0</v>
      </c>
      <c r="AP423" t="b">
        <f>IF(metadata!E423="",FALSE,TRUE)</f>
        <v>0</v>
      </c>
      <c r="AQ423" t="b">
        <f>OR(AND(IF(metadata!F423="",FALSE,TRUE),OR(EXACT(metadata!F423,"missing: not collected"),EXACT(metadata!F423,"missing: not provided"))),AND(IF(metadata!F423="",FALSE,TRUE),OR(EXACT(metadata!F423,"TRUE"),EXACT(metadata!F423,"FALSE"))))</f>
        <v>0</v>
      </c>
      <c r="AR423" t="b">
        <f>OR(AND(IF(metadata!G423="",FALSE,TRUE),OR(EXACT(metadata!G423,"missing: not collected"),EXACT(metadata!G423,"missing: not provided"),EXACT(metadata!G423,"missing: restricted access"))),AND(IF(metadata!G423="",FALSE,ISNUMBER(VALUE(metadata!G423))),metadata!G423&gt;=-413))</f>
        <v>0</v>
      </c>
      <c r="AS423" t="b">
        <f>AND(IF(metadata!H423="",FALSE,TRUE),EXACT(metadata!H423,"meters"))</f>
        <v>0</v>
      </c>
      <c r="AT423" t="b">
        <f>AND(IF(metadata!I423="",FALSE,TRUE),OR(EXACT(metadata!I423,"Host-associated"),EXACT(metadata!I423,"Free-living")))</f>
        <v>0</v>
      </c>
      <c r="AU423" t="b">
        <f>AND(IF(metadata!J423="",FALSE,TRUE),OR(EXACT(metadata!J423,"Animal"),EXACT(metadata!J423,"Fungus"),EXACT(metadata!J423,"Plant"),EXACT(metadata!J423,"Saline"),EXACT(metadata!J423,"Non-saline")))</f>
        <v>0</v>
      </c>
      <c r="AV423" t="b">
        <f>AND(IF(metadata!K423="",FALSE,TRUE),OR(EXACT(metadata!K423,"Plant secretion"),EXACT(metadata!K423,"Plant rhizosphere"),EXACT(metadata!K423,"Plant surface"),EXACT(metadata!K423,"Plant corpus"),EXACT(metadata!K423,"Fungus surface"),EXACT(metadata!K423,"Fungus corpus"),EXACT(metadata!K423,"Animal surface"),EXACT(metadata!K423,"Animal proximal gut"),EXACT(metadata!K423,"Animal corpus"),EXACT(metadata!K423,"Animal distal gut"),EXACT(metadata!K423,"Animal secretion"),EXACT(metadata!K423,"Sub-surface (non-saline)"),EXACT(metadata!K423,"Surface (non-saline)"),EXACT(metadata!K423,"Water (non-saline)"),EXACT(metadata!K423,"Soil (non-saline)"),EXACT(metadata!K423,"Aerosol (non-saline)"),EXACT(metadata!K423,"Sediment (non-saline)"),EXACT(metadata!K423,"Surface (saline)"),EXACT(metadata!K423,"Water (saline)"),EXACT(metadata!K423,"Hypersaline (saline)"),EXACT(metadata!K423,"Aerosol (saline)"),EXACT(metadata!K423,"Sediment (saline)")))</f>
        <v>0</v>
      </c>
      <c r="AW423" t="b">
        <f>IF(metadata!L423="",FALSE,TRUE)</f>
        <v>0</v>
      </c>
      <c r="AX423" t="b">
        <f>IF(metadata!M423="",FALSE,TRUE)</f>
        <v>0</v>
      </c>
      <c r="AY423" t="b">
        <f>IF(metadata!N423="",FALSE,TRUE)</f>
        <v>0</v>
      </c>
      <c r="AZ423" t="b">
        <f>OR(AND(IF(metadata!O423="",FALSE,TRUE),OR(EXACT(metadata!O423,"missing: not collected"),EXACT(metadata!O423,"missing: not provided"),EXACT(metadata!O423,"missing: restricted access"))),AND(IF(metadata!O423="",FALSE,TRUE),OR(EXACT(metadata!O423,"air"),EXACT(metadata!O423,"built environment"),EXACT(metadata!O423,"host-associated"),EXACT(metadata!O423,"human-associated"),EXACT(metadata!O423,"human-skin"),EXACT(metadata!O423,"human-oral"),EXACT(metadata!O423,"human-gut"),EXACT(metadata!O423,"human-vaginal"),EXACT(metadata!O423,"microbial mat/biofilm"),EXACT(metadata!O423,"misc environment"),EXACT(metadata!O423,"plant-associated"),EXACT(metadata!O423,"sediment"),EXACT(metadata!O423,"soil"),EXACT(metadata!O423,"wastewater/sludge"),EXACT(metadata!O423,"water"))))</f>
        <v>0</v>
      </c>
      <c r="BA423" t="b">
        <f>IF(metadata!P423="",FALSE,TRUE)</f>
        <v>0</v>
      </c>
      <c r="BB423" t="b">
        <f>IF(metadata!Q423="",FALSE,TRUE)</f>
        <v>0</v>
      </c>
      <c r="BC423" t="b">
        <f>OR(AND(IF(metadata!R423="",FALSE,TRUE),OR(EXACT(metadata!R423,"missing: not collected"),EXACT(metadata!R423,"missing: not provided"),EXACT(metadata!R423,"missing: restricted access"))),AND(IF(metadata!R423="",FALSE,ISNUMBER(VALUE(metadata!R423))),metadata!R423&gt;=-90,metadata!R423&lt;=90))</f>
        <v>0</v>
      </c>
      <c r="BD423" t="b">
        <f>AND(IF(metadata!S423="",FALSE,TRUE),EXACT(metadata!S423,"Decimal degrees"))</f>
        <v>0</v>
      </c>
      <c r="BE423" t="b">
        <f>OR(AND(IF(metadata!T423="",FALSE,TRUE),OR(EXACT(metadata!T423,"missing: not collected"),EXACT(metadata!T423,"missing: not provided"),EXACT(metadata!T423,"missing: restricted access"))),AND(IF(metadata!T423="",FALSE,ISNUMBER(VALUE(metadata!T423))),metadata!T423&gt;=-180,metadata!T423&lt;=180))</f>
        <v>0</v>
      </c>
      <c r="BF423" t="b">
        <f>AND(IF(metadata!U423="",FALSE,TRUE),EXACT(metadata!U423,"Decimal degrees"))</f>
        <v>0</v>
      </c>
      <c r="BG423" t="b">
        <f>IF(metadata!V423="",FALSE,TRUE)</f>
        <v>0</v>
      </c>
      <c r="BH423" t="b">
        <f>OR(AND(IF(metadata!W423="",FALSE,TRUE),OR(EXACT(metadata!W423,"missing: not collected"),EXACT(metadata!W423,"missing: not provided"),EXACT(metadata!W423,"missing: restricted access"))),AND(IF(metadata!W423="",FALSE,TRUE),OR(EXACT(metadata!W423,"TRUE"),EXACT(metadata!W423,"FALSE"))))</f>
        <v>0</v>
      </c>
      <c r="BI423" t="b">
        <f>AND(IF(metadata!X423="",FALSE,TRUE),EXACT(metadata!X423,"other"))</f>
        <v>0</v>
      </c>
      <c r="BJ423" t="b">
        <f>IF(metadata!Y423="",FALSE,TRUE)</f>
        <v>0</v>
      </c>
      <c r="BK423" t="b">
        <f>OR(AND(IF(metadata!Z423="",FALSE,TRUE),OR(EXACT(metadata!Z423,"missing: not collected"),EXACT(metadata!Z423,"missing: not provided"))),AND(IF(metadata!Z423="",FALSE,IF(ISERROR(INT(metadata!Z423)),FALSE,INT(metadata!Z423)=metadata!Z423)),metadata!Z423&gt;0))</f>
        <v>0</v>
      </c>
      <c r="BL423" t="b">
        <f>AND(IF(metadata!AA423="",FALSE,TRUE),EXACT(metadata!AA423,"Not applicable"))</f>
        <v>0</v>
      </c>
      <c r="BM423" t="b">
        <f>IF(metadata!AB423="",FALSE,TRUE)</f>
        <v>0</v>
      </c>
    </row>
    <row r="424" spans="1:65" x14ac:dyDescent="0.2">
      <c r="A424" s="5" t="str">
        <f ca="1">IF(B424=" "," ",HYPERLINK(CONCATENATE("#metadata!",ADDRESS(INDEX($AH$2:$AH$1001,MATCH(ROWS($AF$2:AF424),$AF$2:$AF$1001,0),0),1)),INDEX($AK$2:$AK$1001,MATCH(ROWS($AF$2:AF424),$AF$2:$AF$1001,0),0)))</f>
        <v xml:space="preserve"> </v>
      </c>
      <c r="B424" s="4" t="str">
        <f ca="1">IF(OR(INDEX($AG$2:$AG$1001,MATCH(ROWS($AF$2:AF424),$AF$2:$AF$1001,0),1)&gt;=100000,INDEX($AM$1005:$BM$1005,1,MATCH(COLUMNS($AM$1006:AM1006),$AM$1006:$BM$1006,0))&gt;=100000), " ",IF(INDEX($AM$2:$BM$1001,MATCH(ROWS($AF$2:AF424),$AF$2:$AF$1001,0),MATCH(COLUMNS($AM$1006:AM1006),$AM$1006:$BM$1006,0)), HYPERLINK("#",""), HYPERLINK(CONCATENATE("#metadata!", ADDRESS(INDEX($AH$2:$AH$1001,MATCH(ROWS($AF$2:AF424),$AF$2:$AF$1001,0),0), INDEX($AM$1004:$BM$1004,1,MATCH(COLUMNS($AM$1006:AM1006),$AM$1006:$BM$1006,0)))),"Fix")))</f>
        <v xml:space="preserve"> </v>
      </c>
      <c r="C424" s="4" t="str">
        <f ca="1">IF(OR(INDEX($AG$2:$AG$1001,MATCH(ROWS($AF$2:AF424),$AF$2:$AF$1001,0),1)&gt;=100000,INDEX($AM$1005:$BM$1005,1,MATCH(COLUMNS($AM$1006:AN1006),$AM$1006:$BM$1006,0))&gt;=100000), " ",IF(INDEX($AM$2:$BM$1001,MATCH(ROWS($AF$2:AF424),$AF$2:$AF$1001,0),MATCH(COLUMNS($AM$1006:AN1006),$AM$1006:$BM$1006,0)), HYPERLINK("#",""), HYPERLINK(CONCATENATE("#metadata!", ADDRESS(INDEX($AH$2:$AH$1001,MATCH(ROWS($AF$2:AF424),$AF$2:$AF$1001,0),0), INDEX($AM$1004:$BM$1004,1,MATCH(COLUMNS($AM$1006:AN1006),$AM$1006:$BM$1006,0)))),"Fix")))</f>
        <v xml:space="preserve"> </v>
      </c>
      <c r="D424" s="4" t="str">
        <f ca="1">IF(OR(INDEX($AG$2:$AG$1001,MATCH(ROWS($AF$2:AF424),$AF$2:$AF$1001,0),1)&gt;=100000,INDEX($AM$1005:$BM$1005,1,MATCH(COLUMNS($AM$1006:AO1006),$AM$1006:$BM$1006,0))&gt;=100000), " ",IF(INDEX($AM$2:$BM$1001,MATCH(ROWS($AF$2:AF424),$AF$2:$AF$1001,0),MATCH(COLUMNS($AM$1006:AO1006),$AM$1006:$BM$1006,0)), HYPERLINK("#",""), HYPERLINK(CONCATENATE("#metadata!", ADDRESS(INDEX($AH$2:$AH$1001,MATCH(ROWS($AF$2:AF424),$AF$2:$AF$1001,0),0), INDEX($AM$1004:$BM$1004,1,MATCH(COLUMNS($AM$1006:AO1006),$AM$1006:$BM$1006,0)))),"Fix")))</f>
        <v xml:space="preserve"> </v>
      </c>
      <c r="E424" s="4" t="str">
        <f ca="1">IF(OR(INDEX($AG$2:$AG$1001,MATCH(ROWS($AF$2:AF424),$AF$2:$AF$1001,0),1)&gt;=100000,INDEX($AM$1005:$BM$1005,1,MATCH(COLUMNS($AM$1006:AP1006),$AM$1006:$BM$1006,0))&gt;=100000), " ",IF(INDEX($AM$2:$BM$1001,MATCH(ROWS($AF$2:AF424),$AF$2:$AF$1001,0),MATCH(COLUMNS($AM$1006:AP1006),$AM$1006:$BM$1006,0)), HYPERLINK("#",""), HYPERLINK(CONCATENATE("#metadata!", ADDRESS(INDEX($AH$2:$AH$1001,MATCH(ROWS($AF$2:AF424),$AF$2:$AF$1001,0),0), INDEX($AM$1004:$BM$1004,1,MATCH(COLUMNS($AM$1006:AP1006),$AM$1006:$BM$1006,0)))),"Fix")))</f>
        <v xml:space="preserve"> </v>
      </c>
      <c r="F424" s="4" t="str">
        <f ca="1">IF(OR(INDEX($AG$2:$AG$1001,MATCH(ROWS($AF$2:AF424),$AF$2:$AF$1001,0),1)&gt;=100000,INDEX($AM$1005:$BM$1005,1,MATCH(COLUMNS($AM$1006:AQ1006),$AM$1006:$BM$1006,0))&gt;=100000), " ",IF(INDEX($AM$2:$BM$1001,MATCH(ROWS($AF$2:AF424),$AF$2:$AF$1001,0),MATCH(COLUMNS($AM$1006:AQ1006),$AM$1006:$BM$1006,0)), HYPERLINK("#",""), HYPERLINK(CONCATENATE("#metadata!", ADDRESS(INDEX($AH$2:$AH$1001,MATCH(ROWS($AF$2:AF424),$AF$2:$AF$1001,0),0), INDEX($AM$1004:$BM$1004,1,MATCH(COLUMNS($AM$1006:AQ1006),$AM$1006:$BM$1006,0)))),"Fix")))</f>
        <v xml:space="preserve"> </v>
      </c>
      <c r="G424" s="4" t="str">
        <f ca="1">IF(OR(INDEX($AG$2:$AG$1001,MATCH(ROWS($AF$2:AF424),$AF$2:$AF$1001,0),1)&gt;=100000,INDEX($AM$1005:$BM$1005,1,MATCH(COLUMNS($AM$1006:AR1006),$AM$1006:$BM$1006,0))&gt;=100000), " ",IF(INDEX($AM$2:$BM$1001,MATCH(ROWS($AF$2:AF424),$AF$2:$AF$1001,0),MATCH(COLUMNS($AM$1006:AR1006),$AM$1006:$BM$1006,0)), HYPERLINK("#",""), HYPERLINK(CONCATENATE("#metadata!", ADDRESS(INDEX($AH$2:$AH$1001,MATCH(ROWS($AF$2:AF424),$AF$2:$AF$1001,0),0), INDEX($AM$1004:$BM$1004,1,MATCH(COLUMNS($AM$1006:AR1006),$AM$1006:$BM$1006,0)))),"Fix")))</f>
        <v xml:space="preserve"> </v>
      </c>
      <c r="H424" s="4" t="str">
        <f ca="1">IF(OR(INDEX($AG$2:$AG$1001,MATCH(ROWS($AF$2:AF424),$AF$2:$AF$1001,0),1)&gt;=100000,INDEX($AM$1005:$BM$1005,1,MATCH(COLUMNS($AM$1006:AS1006),$AM$1006:$BM$1006,0))&gt;=100000), " ",IF(INDEX($AM$2:$BM$1001,MATCH(ROWS($AF$2:AF424),$AF$2:$AF$1001,0),MATCH(COLUMNS($AM$1006:AS1006),$AM$1006:$BM$1006,0)), HYPERLINK("#",""), HYPERLINK(CONCATENATE("#metadata!", ADDRESS(INDEX($AH$2:$AH$1001,MATCH(ROWS($AF$2:AF424),$AF$2:$AF$1001,0),0), INDEX($AM$1004:$BM$1004,1,MATCH(COLUMNS($AM$1006:AS1006),$AM$1006:$BM$1006,0)))),"Fix")))</f>
        <v xml:space="preserve"> </v>
      </c>
      <c r="I424" s="4" t="str">
        <f ca="1">IF(OR(INDEX($AG$2:$AG$1001,MATCH(ROWS($AF$2:AF424),$AF$2:$AF$1001,0),1)&gt;=100000,INDEX($AM$1005:$BM$1005,1,MATCH(COLUMNS($AM$1006:AT1006),$AM$1006:$BM$1006,0))&gt;=100000), " ",IF(INDEX($AM$2:$BM$1001,MATCH(ROWS($AF$2:AF424),$AF$2:$AF$1001,0),MATCH(COLUMNS($AM$1006:AT1006),$AM$1006:$BM$1006,0)), HYPERLINK("#",""), HYPERLINK(CONCATENATE("#metadata!", ADDRESS(INDEX($AH$2:$AH$1001,MATCH(ROWS($AF$2:AF424),$AF$2:$AF$1001,0),0), INDEX($AM$1004:$BM$1004,1,MATCH(COLUMNS($AM$1006:AT1006),$AM$1006:$BM$1006,0)))),"Fix")))</f>
        <v xml:space="preserve"> </v>
      </c>
      <c r="J424" s="4" t="str">
        <f ca="1">IF(OR(INDEX($AG$2:$AG$1001,MATCH(ROWS($AF$2:AF424),$AF$2:$AF$1001,0),1)&gt;=100000,INDEX($AM$1005:$BM$1005,1,MATCH(COLUMNS($AM$1006:AU1006),$AM$1006:$BM$1006,0))&gt;=100000), " ",IF(INDEX($AM$2:$BM$1001,MATCH(ROWS($AF$2:AF424),$AF$2:$AF$1001,0),MATCH(COLUMNS($AM$1006:AU1006),$AM$1006:$BM$1006,0)), HYPERLINK("#",""), HYPERLINK(CONCATENATE("#metadata!", ADDRESS(INDEX($AH$2:$AH$1001,MATCH(ROWS($AF$2:AF424),$AF$2:$AF$1001,0),0), INDEX($AM$1004:$BM$1004,1,MATCH(COLUMNS($AM$1006:AU1006),$AM$1006:$BM$1006,0)))),"Fix")))</f>
        <v xml:space="preserve"> </v>
      </c>
      <c r="K424" s="4" t="str">
        <f ca="1">IF(OR(INDEX($AG$2:$AG$1001,MATCH(ROWS($AF$2:AF424),$AF$2:$AF$1001,0),1)&gt;=100000,INDEX($AM$1005:$BM$1005,1,MATCH(COLUMNS($AM$1006:AV1006),$AM$1006:$BM$1006,0))&gt;=100000), " ",IF(INDEX($AM$2:$BM$1001,MATCH(ROWS($AF$2:AF424),$AF$2:$AF$1001,0),MATCH(COLUMNS($AM$1006:AV1006),$AM$1006:$BM$1006,0)), HYPERLINK("#",""), HYPERLINK(CONCATENATE("#metadata!", ADDRESS(INDEX($AH$2:$AH$1001,MATCH(ROWS($AF$2:AF424),$AF$2:$AF$1001,0),0), INDEX($AM$1004:$BM$1004,1,MATCH(COLUMNS($AM$1006:AV1006),$AM$1006:$BM$1006,0)))),"Fix")))</f>
        <v xml:space="preserve"> </v>
      </c>
      <c r="L424" s="4" t="str">
        <f ca="1">IF(OR(INDEX($AG$2:$AG$1001,MATCH(ROWS($AF$2:AF424),$AF$2:$AF$1001,0),1)&gt;=100000,INDEX($AM$1005:$BM$1005,1,MATCH(COLUMNS($AM$1006:AW1006),$AM$1006:$BM$1006,0))&gt;=100000), " ",IF(INDEX($AM$2:$BM$1001,MATCH(ROWS($AF$2:AF424),$AF$2:$AF$1001,0),MATCH(COLUMNS($AM$1006:AW1006),$AM$1006:$BM$1006,0)), HYPERLINK("#",""), HYPERLINK(CONCATENATE("#metadata!", ADDRESS(INDEX($AH$2:$AH$1001,MATCH(ROWS($AF$2:AF424),$AF$2:$AF$1001,0),0), INDEX($AM$1004:$BM$1004,1,MATCH(COLUMNS($AM$1006:AW1006),$AM$1006:$BM$1006,0)))),"Fix")))</f>
        <v xml:space="preserve"> </v>
      </c>
      <c r="M424" s="4" t="str">
        <f ca="1">IF(OR(INDEX($AG$2:$AG$1001,MATCH(ROWS($AF$2:AF424),$AF$2:$AF$1001,0),1)&gt;=100000,INDEX($AM$1005:$BM$1005,1,MATCH(COLUMNS($AM$1006:AX1006),$AM$1006:$BM$1006,0))&gt;=100000), " ",IF(INDEX($AM$2:$BM$1001,MATCH(ROWS($AF$2:AF424),$AF$2:$AF$1001,0),MATCH(COLUMNS($AM$1006:AX1006),$AM$1006:$BM$1006,0)), HYPERLINK("#",""), HYPERLINK(CONCATENATE("#metadata!", ADDRESS(INDEX($AH$2:$AH$1001,MATCH(ROWS($AF$2:AF424),$AF$2:$AF$1001,0),0), INDEX($AM$1004:$BM$1004,1,MATCH(COLUMNS($AM$1006:AX1006),$AM$1006:$BM$1006,0)))),"Fix")))</f>
        <v xml:space="preserve"> </v>
      </c>
      <c r="N424" s="4" t="str">
        <f ca="1">IF(OR(INDEX($AG$2:$AG$1001,MATCH(ROWS($AF$2:AF424),$AF$2:$AF$1001,0),1)&gt;=100000,INDEX($AM$1005:$BM$1005,1,MATCH(COLUMNS($AM$1006:AY1006),$AM$1006:$BM$1006,0))&gt;=100000), " ",IF(INDEX($AM$2:$BM$1001,MATCH(ROWS($AF$2:AF424),$AF$2:$AF$1001,0),MATCH(COLUMNS($AM$1006:AY1006),$AM$1006:$BM$1006,0)), HYPERLINK("#",""), HYPERLINK(CONCATENATE("#metadata!", ADDRESS(INDEX($AH$2:$AH$1001,MATCH(ROWS($AF$2:AF424),$AF$2:$AF$1001,0),0), INDEX($AM$1004:$BM$1004,1,MATCH(COLUMNS($AM$1006:AY1006),$AM$1006:$BM$1006,0)))),"Fix")))</f>
        <v xml:space="preserve"> </v>
      </c>
      <c r="O424" s="4" t="str">
        <f ca="1">IF(OR(INDEX($AG$2:$AG$1001,MATCH(ROWS($AF$2:AF424),$AF$2:$AF$1001,0),1)&gt;=100000,INDEX($AM$1005:$BM$1005,1,MATCH(COLUMNS($AM$1006:AZ1006),$AM$1006:$BM$1006,0))&gt;=100000), " ",IF(INDEX($AM$2:$BM$1001,MATCH(ROWS($AF$2:AF424),$AF$2:$AF$1001,0),MATCH(COLUMNS($AM$1006:AZ1006),$AM$1006:$BM$1006,0)), HYPERLINK("#",""), HYPERLINK(CONCATENATE("#metadata!", ADDRESS(INDEX($AH$2:$AH$1001,MATCH(ROWS($AF$2:AF424),$AF$2:$AF$1001,0),0), INDEX($AM$1004:$BM$1004,1,MATCH(COLUMNS($AM$1006:AZ1006),$AM$1006:$BM$1006,0)))),"Fix")))</f>
        <v xml:space="preserve"> </v>
      </c>
      <c r="P424" s="4" t="str">
        <f ca="1">IF(OR(INDEX($AG$2:$AG$1001,MATCH(ROWS($AF$2:AF424),$AF$2:$AF$1001,0),1)&gt;=100000,INDEX($AM$1005:$BM$1005,1,MATCH(COLUMNS($AM$1006:BA1006),$AM$1006:$BM$1006,0))&gt;=100000), " ",IF(INDEX($AM$2:$BM$1001,MATCH(ROWS($AF$2:AF424),$AF$2:$AF$1001,0),MATCH(COLUMNS($AM$1006:BA1006),$AM$1006:$BM$1006,0)), HYPERLINK("#",""), HYPERLINK(CONCATENATE("#metadata!", ADDRESS(INDEX($AH$2:$AH$1001,MATCH(ROWS($AF$2:AF424),$AF$2:$AF$1001,0),0), INDEX($AM$1004:$BM$1004,1,MATCH(COLUMNS($AM$1006:BA1006),$AM$1006:$BM$1006,0)))),"Fix")))</f>
        <v xml:space="preserve"> </v>
      </c>
      <c r="Q424" s="4" t="str">
        <f ca="1">IF(OR(INDEX($AG$2:$AG$1001,MATCH(ROWS($AF$2:AF424),$AF$2:$AF$1001,0),1)&gt;=100000,INDEX($AM$1005:$BM$1005,1,MATCH(COLUMNS($AM$1006:BB1006),$AM$1006:$BM$1006,0))&gt;=100000), " ",IF(INDEX($AM$2:$BM$1001,MATCH(ROWS($AF$2:AF424),$AF$2:$AF$1001,0),MATCH(COLUMNS($AM$1006:BB1006),$AM$1006:$BM$1006,0)), HYPERLINK("#",""), HYPERLINK(CONCATENATE("#metadata!", ADDRESS(INDEX($AH$2:$AH$1001,MATCH(ROWS($AF$2:AF424),$AF$2:$AF$1001,0),0), INDEX($AM$1004:$BM$1004,1,MATCH(COLUMNS($AM$1006:BB1006),$AM$1006:$BM$1006,0)))),"Fix")))</f>
        <v xml:space="preserve"> </v>
      </c>
      <c r="R424" s="4" t="str">
        <f ca="1">IF(OR(INDEX($AG$2:$AG$1001,MATCH(ROWS($AF$2:AF424),$AF$2:$AF$1001,0),1)&gt;=100000,INDEX($AM$1005:$BM$1005,1,MATCH(COLUMNS($AM$1006:BC1006),$AM$1006:$BM$1006,0))&gt;=100000), " ",IF(INDEX($AM$2:$BM$1001,MATCH(ROWS($AF$2:AF424),$AF$2:$AF$1001,0),MATCH(COLUMNS($AM$1006:BC1006),$AM$1006:$BM$1006,0)), HYPERLINK("#",""), HYPERLINK(CONCATENATE("#metadata!", ADDRESS(INDEX($AH$2:$AH$1001,MATCH(ROWS($AF$2:AF424),$AF$2:$AF$1001,0),0), INDEX($AM$1004:$BM$1004,1,MATCH(COLUMNS($AM$1006:BC1006),$AM$1006:$BM$1006,0)))),"Fix")))</f>
        <v xml:space="preserve"> </v>
      </c>
      <c r="S424" s="4" t="str">
        <f ca="1">IF(OR(INDEX($AG$2:$AG$1001,MATCH(ROWS($AF$2:AF424),$AF$2:$AF$1001,0),1)&gt;=100000,INDEX($AM$1005:$BM$1005,1,MATCH(COLUMNS($AM$1006:BD1006),$AM$1006:$BM$1006,0))&gt;=100000), " ",IF(INDEX($AM$2:$BM$1001,MATCH(ROWS($AF$2:AF424),$AF$2:$AF$1001,0),MATCH(COLUMNS($AM$1006:BD1006),$AM$1006:$BM$1006,0)), HYPERLINK("#",""), HYPERLINK(CONCATENATE("#metadata!", ADDRESS(INDEX($AH$2:$AH$1001,MATCH(ROWS($AF$2:AF424),$AF$2:$AF$1001,0),0), INDEX($AM$1004:$BM$1004,1,MATCH(COLUMNS($AM$1006:BD1006),$AM$1006:$BM$1006,0)))),"Fix")))</f>
        <v xml:space="preserve"> </v>
      </c>
      <c r="T424" s="4" t="str">
        <f ca="1">IF(OR(INDEX($AG$2:$AG$1001,MATCH(ROWS($AF$2:AF424),$AF$2:$AF$1001,0),1)&gt;=100000,INDEX($AM$1005:$BM$1005,1,MATCH(COLUMNS($AM$1006:BE1006),$AM$1006:$BM$1006,0))&gt;=100000), " ",IF(INDEX($AM$2:$BM$1001,MATCH(ROWS($AF$2:AF424),$AF$2:$AF$1001,0),MATCH(COLUMNS($AM$1006:BE1006),$AM$1006:$BM$1006,0)), HYPERLINK("#",""), HYPERLINK(CONCATENATE("#metadata!", ADDRESS(INDEX($AH$2:$AH$1001,MATCH(ROWS($AF$2:AF424),$AF$2:$AF$1001,0),0), INDEX($AM$1004:$BM$1004,1,MATCH(COLUMNS($AM$1006:BE1006),$AM$1006:$BM$1006,0)))),"Fix")))</f>
        <v xml:space="preserve"> </v>
      </c>
      <c r="U424" s="4" t="str">
        <f ca="1">IF(OR(INDEX($AG$2:$AG$1001,MATCH(ROWS($AF$2:AF424),$AF$2:$AF$1001,0),1)&gt;=100000,INDEX($AM$1005:$BM$1005,1,MATCH(COLUMNS($AM$1006:BF1006),$AM$1006:$BM$1006,0))&gt;=100000), " ",IF(INDEX($AM$2:$BM$1001,MATCH(ROWS($AF$2:AF424),$AF$2:$AF$1001,0),MATCH(COLUMNS($AM$1006:BF1006),$AM$1006:$BM$1006,0)), HYPERLINK("#",""), HYPERLINK(CONCATENATE("#metadata!", ADDRESS(INDEX($AH$2:$AH$1001,MATCH(ROWS($AF$2:AF424),$AF$2:$AF$1001,0),0), INDEX($AM$1004:$BM$1004,1,MATCH(COLUMNS($AM$1006:BF1006),$AM$1006:$BM$1006,0)))),"Fix")))</f>
        <v xml:space="preserve"> </v>
      </c>
      <c r="V424" s="4" t="str">
        <f ca="1">IF(OR(INDEX($AG$2:$AG$1001,MATCH(ROWS($AF$2:AF424),$AF$2:$AF$1001,0),1)&gt;=100000,INDEX($AM$1005:$BM$1005,1,MATCH(COLUMNS($AM$1006:BG1006),$AM$1006:$BM$1006,0))&gt;=100000), " ",IF(INDEX($AM$2:$BM$1001,MATCH(ROWS($AF$2:AF424),$AF$2:$AF$1001,0),MATCH(COLUMNS($AM$1006:BG1006),$AM$1006:$BM$1006,0)), HYPERLINK("#",""), HYPERLINK(CONCATENATE("#metadata!", ADDRESS(INDEX($AH$2:$AH$1001,MATCH(ROWS($AF$2:AF424),$AF$2:$AF$1001,0),0), INDEX($AM$1004:$BM$1004,1,MATCH(COLUMNS($AM$1006:BG1006),$AM$1006:$BM$1006,0)))),"Fix")))</f>
        <v xml:space="preserve"> </v>
      </c>
      <c r="W424" s="4" t="str">
        <f ca="1">IF(OR(INDEX($AG$2:$AG$1001,MATCH(ROWS($AF$2:AF424),$AF$2:$AF$1001,0),1)&gt;=100000,INDEX($AM$1005:$BM$1005,1,MATCH(COLUMNS($AM$1006:BH1006),$AM$1006:$BM$1006,0))&gt;=100000), " ",IF(INDEX($AM$2:$BM$1001,MATCH(ROWS($AF$2:AF424),$AF$2:$AF$1001,0),MATCH(COLUMNS($AM$1006:BH1006),$AM$1006:$BM$1006,0)), HYPERLINK("#",""), HYPERLINK(CONCATENATE("#metadata!", ADDRESS(INDEX($AH$2:$AH$1001,MATCH(ROWS($AF$2:AF424),$AF$2:$AF$1001,0),0), INDEX($AM$1004:$BM$1004,1,MATCH(COLUMNS($AM$1006:BH1006),$AM$1006:$BM$1006,0)))),"Fix")))</f>
        <v xml:space="preserve"> </v>
      </c>
      <c r="X424" s="4" t="str">
        <f ca="1">IF(OR(INDEX($AG$2:$AG$1001,MATCH(ROWS($AF$2:AF424),$AF$2:$AF$1001,0),1)&gt;=100000,INDEX($AM$1005:$BM$1005,1,MATCH(COLUMNS($AM$1006:BI1006),$AM$1006:$BM$1006,0))&gt;=100000), " ",IF(INDEX($AM$2:$BM$1001,MATCH(ROWS($AF$2:AF424),$AF$2:$AF$1001,0),MATCH(COLUMNS($AM$1006:BI1006),$AM$1006:$BM$1006,0)), HYPERLINK("#",""), HYPERLINK(CONCATENATE("#metadata!", ADDRESS(INDEX($AH$2:$AH$1001,MATCH(ROWS($AF$2:AF424),$AF$2:$AF$1001,0),0), INDEX($AM$1004:$BM$1004,1,MATCH(COLUMNS($AM$1006:BI1006),$AM$1006:$BM$1006,0)))),"Fix")))</f>
        <v xml:space="preserve"> </v>
      </c>
      <c r="Y424" s="4" t="str">
        <f ca="1">IF(OR(INDEX($AG$2:$AG$1001,MATCH(ROWS($AF$2:AF424),$AF$2:$AF$1001,0),1)&gt;=100000,INDEX($AM$1005:$BM$1005,1,MATCH(COLUMNS($AM$1006:BJ1006),$AM$1006:$BM$1006,0))&gt;=100000), " ",IF(INDEX($AM$2:$BM$1001,MATCH(ROWS($AF$2:AF424),$AF$2:$AF$1001,0),MATCH(COLUMNS($AM$1006:BJ1006),$AM$1006:$BM$1006,0)), HYPERLINK("#",""), HYPERLINK(CONCATENATE("#metadata!", ADDRESS(INDEX($AH$2:$AH$1001,MATCH(ROWS($AF$2:AF424),$AF$2:$AF$1001,0),0), INDEX($AM$1004:$BM$1004,1,MATCH(COLUMNS($AM$1006:BJ1006),$AM$1006:$BM$1006,0)))),"Fix")))</f>
        <v xml:space="preserve"> </v>
      </c>
      <c r="Z424" s="4" t="str">
        <f ca="1">IF(OR(INDEX($AG$2:$AG$1001,MATCH(ROWS($AF$2:AF424),$AF$2:$AF$1001,0),1)&gt;=100000,INDEX($AM$1005:$BM$1005,1,MATCH(COLUMNS($AM$1006:BK1006),$AM$1006:$BM$1006,0))&gt;=100000), " ",IF(INDEX($AM$2:$BM$1001,MATCH(ROWS($AF$2:AF424),$AF$2:$AF$1001,0),MATCH(COLUMNS($AM$1006:BK1006),$AM$1006:$BM$1006,0)), HYPERLINK("#",""), HYPERLINK(CONCATENATE("#metadata!", ADDRESS(INDEX($AH$2:$AH$1001,MATCH(ROWS($AF$2:AF424),$AF$2:$AF$1001,0),0), INDEX($AM$1004:$BM$1004,1,MATCH(COLUMNS($AM$1006:BK1006),$AM$1006:$BM$1006,0)))),"Fix")))</f>
        <v xml:space="preserve"> </v>
      </c>
      <c r="AA424" s="4" t="str">
        <f ca="1">IF(OR(INDEX($AG$2:$AG$1001,MATCH(ROWS($AF$2:AF424),$AF$2:$AF$1001,0),1)&gt;=100000,INDEX($AM$1005:$BM$1005,1,MATCH(COLUMNS($AM$1006:BL1006),$AM$1006:$BM$1006,0))&gt;=100000), " ",IF(INDEX($AM$2:$BM$1001,MATCH(ROWS($AF$2:AF424),$AF$2:$AF$1001,0),MATCH(COLUMNS($AM$1006:BL1006),$AM$1006:$BM$1006,0)), HYPERLINK("#",""), HYPERLINK(CONCATENATE("#metadata!", ADDRESS(INDEX($AH$2:$AH$1001,MATCH(ROWS($AF$2:AF424),$AF$2:$AF$1001,0),0), INDEX($AM$1004:$BM$1004,1,MATCH(COLUMNS($AM$1006:BL1006),$AM$1006:$BM$1006,0)))),"Fix")))</f>
        <v xml:space="preserve"> </v>
      </c>
      <c r="AB424" s="4" t="str">
        <f ca="1">IF(OR(INDEX($AG$2:$AG$1001,MATCH(ROWS($AF$2:AF424),$AF$2:$AF$1001,0),1)&gt;=100000,INDEX($AM$1005:$BM$1005,1,MATCH(COLUMNS($AM$1006:BM1006),$AM$1006:$BM$1006,0))&gt;=100000), " ",IF(INDEX($AM$2:$BM$1001,MATCH(ROWS($AF$2:AF424),$AF$2:$AF$1001,0),MATCH(COLUMNS($AM$1006:BM1006),$AM$1006:$BM$1006,0)), HYPERLINK("#",""), HYPERLINK(CONCATENATE("#metadata!", ADDRESS(INDEX($AH$2:$AH$1001,MATCH(ROWS($AF$2:AF424),$AF$2:$AF$1001,0),0), INDEX($AM$1004:$BM$1004,1,MATCH(COLUMNS($AM$1006:BM1006),$AM$1006:$BM$1006,0)))),"Fix")))</f>
        <v xml:space="preserve"> </v>
      </c>
      <c r="AF424">
        <v>423</v>
      </c>
      <c r="AG424">
        <v>100424</v>
      </c>
      <c r="AH424">
        <v>424</v>
      </c>
      <c r="AI424" t="b">
        <f t="shared" si="6"/>
        <v>1</v>
      </c>
      <c r="AJ424" t="b">
        <f>COUNTBLANK(metadata!B424:AB424)=COLUMNS(metadata!B424:AB424)</f>
        <v>1</v>
      </c>
      <c r="AK424" t="str">
        <v/>
      </c>
      <c r="AM424" t="b">
        <f ca="1">AND(IF(metadata!B424="",FALSE,TRUE),COUNTIF(metadata!B:B, metadata!B424) = 1,NOT(ISERROR(SUMPRODUCT(SEARCH(MID(metadata!B424,ROW(INDIRECT("1:"&amp;LEN(metadata!B424))), 1),"0123456789abcdefghijklmnopqrstuvwxyzABCDEFGHIJKLMNOPQRSTUVWXYZ.")))))</f>
        <v>0</v>
      </c>
      <c r="AN424" t="b">
        <f ca="1">OR(AND(IF(metadata!C424="",FALSE,TRUE),OR(EXACT(metadata!C424,"missing: not collected"),EXACT(metadata!C424,"missing: not provided"),EXACT(metadata!C424,"missing: restricted access"))),AND(IF(metadata!C424="",FALSE,TRUE),AND(AND(IFERROR(INT(LEFT(metadata!C424,4))&gt;1900,FALSE),IFERROR(INT(LEFT(metadata!C424,4))&lt;=YEAR(NOW()),FALSE)), OR(MID(metadata!C424,5,1)="", AND(AND(MID(metadata!C424,5,1)="-",IFERROR(INT(MID(metadata!C424,6,1))&gt;=0,FALSE),IFERROR(INT(MID(metadata!C424,6,1))&lt;=1,FALSE),NOT(MID(metadata!C424,7,1)=""),IFERROR(INT(MID(metadata!C424,6,2))&gt;=1,FALSE),IFERROR(INT(MID(metadata!C424,6,2))&lt;=12,FALSE)), OR(MID(metadata!C424,8,1)="", AND(AND(MID(metadata!C424,8,1)="-",IFERROR(INT(MID(metadata!C424,9,1))&gt;=0,FALSE),IFERROR(INT(MID(metadata!C424,9,1))&lt;=3,FALSE),NOT(MID(metadata!C424,10,1)=""),IFERROR(INT(MID(metadata!C424,9,2))&gt;=1,FALSE),IFERROR(INT(MID(metadata!C424,9,2))&lt;=31,FALSE)), OR(MID(metadata!C424,11,1)="", AND(AND(MID(metadata!C424,11,1)=" ",IFERROR(INT(MID(metadata!C424,12,1))&gt;=0,FALSE),IFERROR(INT(MID(metadata!C424,12,1))&lt;=2,FALSE),NOT(MID(metadata!C424,13,1)=""),IFERROR(INT(MID(metadata!C424,12,2))&gt;=0,FALSE),IFERROR(INT(MID(metadata!C424,12,2))&lt;=23,FALSE)), OR(MID(metadata!C424,14,1)="", AND(AND(MID(metadata!C424,14,1)=":",IFERROR(INT(MID(metadata!C424,15,1))&gt;=0,FALSE),IFERROR(INT(MID(metadata!C424,15,1))&lt;=5,FALSE),NOT(MID(metadata!C424,16,1)=""),IFERROR(INT(MID(metadata!C424,15,2))&gt;=0,FALSE),IFERROR(INT(MID(metadata!C424,15,2))&lt;=59,FALSE)), OR(MID(metadata!C424,17,1)="", AND(AND(MID(metadata!C424,17,1)=":",IFERROR(INT(MID(metadata!C424,18,1))&gt;=0,FALSE),IFERROR(INT(MID(metadata!C424,18,1))&lt;=5,FALSE),NOT(MID(metadata!C424,19,1)=""),IFERROR(INT(MID(metadata!C424,18,2))&gt;=0,FALSE),IFERROR(INT(MID(metadata!C424,18,2))&lt;=59,FALSE)), LEN(metadata!C424)&lt;=19)))))))))))))</f>
        <v>0</v>
      </c>
      <c r="AO424" t="b">
        <f>AND(IF(metadata!D424="",FALSE,TRUE),EXACT(metadata!D424,"Not applicable"))</f>
        <v>0</v>
      </c>
      <c r="AP424" t="b">
        <f>IF(metadata!E424="",FALSE,TRUE)</f>
        <v>0</v>
      </c>
      <c r="AQ424" t="b">
        <f>OR(AND(IF(metadata!F424="",FALSE,TRUE),OR(EXACT(metadata!F424,"missing: not collected"),EXACT(metadata!F424,"missing: not provided"))),AND(IF(metadata!F424="",FALSE,TRUE),OR(EXACT(metadata!F424,"TRUE"),EXACT(metadata!F424,"FALSE"))))</f>
        <v>0</v>
      </c>
      <c r="AR424" t="b">
        <f>OR(AND(IF(metadata!G424="",FALSE,TRUE),OR(EXACT(metadata!G424,"missing: not collected"),EXACT(metadata!G424,"missing: not provided"),EXACT(metadata!G424,"missing: restricted access"))),AND(IF(metadata!G424="",FALSE,ISNUMBER(VALUE(metadata!G424))),metadata!G424&gt;=-413))</f>
        <v>0</v>
      </c>
      <c r="AS424" t="b">
        <f>AND(IF(metadata!H424="",FALSE,TRUE),EXACT(metadata!H424,"meters"))</f>
        <v>0</v>
      </c>
      <c r="AT424" t="b">
        <f>AND(IF(metadata!I424="",FALSE,TRUE),OR(EXACT(metadata!I424,"Host-associated"),EXACT(metadata!I424,"Free-living")))</f>
        <v>0</v>
      </c>
      <c r="AU424" t="b">
        <f>AND(IF(metadata!J424="",FALSE,TRUE),OR(EXACT(metadata!J424,"Animal"),EXACT(metadata!J424,"Fungus"),EXACT(metadata!J424,"Plant"),EXACT(metadata!J424,"Saline"),EXACT(metadata!J424,"Non-saline")))</f>
        <v>0</v>
      </c>
      <c r="AV424" t="b">
        <f>AND(IF(metadata!K424="",FALSE,TRUE),OR(EXACT(metadata!K424,"Plant secretion"),EXACT(metadata!K424,"Plant rhizosphere"),EXACT(metadata!K424,"Plant surface"),EXACT(metadata!K424,"Plant corpus"),EXACT(metadata!K424,"Fungus surface"),EXACT(metadata!K424,"Fungus corpus"),EXACT(metadata!K424,"Animal surface"),EXACT(metadata!K424,"Animal proximal gut"),EXACT(metadata!K424,"Animal corpus"),EXACT(metadata!K424,"Animal distal gut"),EXACT(metadata!K424,"Animal secretion"),EXACT(metadata!K424,"Sub-surface (non-saline)"),EXACT(metadata!K424,"Surface (non-saline)"),EXACT(metadata!K424,"Water (non-saline)"),EXACT(metadata!K424,"Soil (non-saline)"),EXACT(metadata!K424,"Aerosol (non-saline)"),EXACT(metadata!K424,"Sediment (non-saline)"),EXACT(metadata!K424,"Surface (saline)"),EXACT(metadata!K424,"Water (saline)"),EXACT(metadata!K424,"Hypersaline (saline)"),EXACT(metadata!K424,"Aerosol (saline)"),EXACT(metadata!K424,"Sediment (saline)")))</f>
        <v>0</v>
      </c>
      <c r="AW424" t="b">
        <f>IF(metadata!L424="",FALSE,TRUE)</f>
        <v>0</v>
      </c>
      <c r="AX424" t="b">
        <f>IF(metadata!M424="",FALSE,TRUE)</f>
        <v>0</v>
      </c>
      <c r="AY424" t="b">
        <f>IF(metadata!N424="",FALSE,TRUE)</f>
        <v>0</v>
      </c>
      <c r="AZ424" t="b">
        <f>OR(AND(IF(metadata!O424="",FALSE,TRUE),OR(EXACT(metadata!O424,"missing: not collected"),EXACT(metadata!O424,"missing: not provided"),EXACT(metadata!O424,"missing: restricted access"))),AND(IF(metadata!O424="",FALSE,TRUE),OR(EXACT(metadata!O424,"air"),EXACT(metadata!O424,"built environment"),EXACT(metadata!O424,"host-associated"),EXACT(metadata!O424,"human-associated"),EXACT(metadata!O424,"human-skin"),EXACT(metadata!O424,"human-oral"),EXACT(metadata!O424,"human-gut"),EXACT(metadata!O424,"human-vaginal"),EXACT(metadata!O424,"microbial mat/biofilm"),EXACT(metadata!O424,"misc environment"),EXACT(metadata!O424,"plant-associated"),EXACT(metadata!O424,"sediment"),EXACT(metadata!O424,"soil"),EXACT(metadata!O424,"wastewater/sludge"),EXACT(metadata!O424,"water"))))</f>
        <v>0</v>
      </c>
      <c r="BA424" t="b">
        <f>IF(metadata!P424="",FALSE,TRUE)</f>
        <v>0</v>
      </c>
      <c r="BB424" t="b">
        <f>IF(metadata!Q424="",FALSE,TRUE)</f>
        <v>0</v>
      </c>
      <c r="BC424" t="b">
        <f>OR(AND(IF(metadata!R424="",FALSE,TRUE),OR(EXACT(metadata!R424,"missing: not collected"),EXACT(metadata!R424,"missing: not provided"),EXACT(metadata!R424,"missing: restricted access"))),AND(IF(metadata!R424="",FALSE,ISNUMBER(VALUE(metadata!R424))),metadata!R424&gt;=-90,metadata!R424&lt;=90))</f>
        <v>0</v>
      </c>
      <c r="BD424" t="b">
        <f>AND(IF(metadata!S424="",FALSE,TRUE),EXACT(metadata!S424,"Decimal degrees"))</f>
        <v>0</v>
      </c>
      <c r="BE424" t="b">
        <f>OR(AND(IF(metadata!T424="",FALSE,TRUE),OR(EXACT(metadata!T424,"missing: not collected"),EXACT(metadata!T424,"missing: not provided"),EXACT(metadata!T424,"missing: restricted access"))),AND(IF(metadata!T424="",FALSE,ISNUMBER(VALUE(metadata!T424))),metadata!T424&gt;=-180,metadata!T424&lt;=180))</f>
        <v>0</v>
      </c>
      <c r="BF424" t="b">
        <f>AND(IF(metadata!U424="",FALSE,TRUE),EXACT(metadata!U424,"Decimal degrees"))</f>
        <v>0</v>
      </c>
      <c r="BG424" t="b">
        <f>IF(metadata!V424="",FALSE,TRUE)</f>
        <v>0</v>
      </c>
      <c r="BH424" t="b">
        <f>OR(AND(IF(metadata!W424="",FALSE,TRUE),OR(EXACT(metadata!W424,"missing: not collected"),EXACT(metadata!W424,"missing: not provided"),EXACT(metadata!W424,"missing: restricted access"))),AND(IF(metadata!W424="",FALSE,TRUE),OR(EXACT(metadata!W424,"TRUE"),EXACT(metadata!W424,"FALSE"))))</f>
        <v>0</v>
      </c>
      <c r="BI424" t="b">
        <f>AND(IF(metadata!X424="",FALSE,TRUE),EXACT(metadata!X424,"other"))</f>
        <v>0</v>
      </c>
      <c r="BJ424" t="b">
        <f>IF(metadata!Y424="",FALSE,TRUE)</f>
        <v>0</v>
      </c>
      <c r="BK424" t="b">
        <f>OR(AND(IF(metadata!Z424="",FALSE,TRUE),OR(EXACT(metadata!Z424,"missing: not collected"),EXACT(metadata!Z424,"missing: not provided"))),AND(IF(metadata!Z424="",FALSE,IF(ISERROR(INT(metadata!Z424)),FALSE,INT(metadata!Z424)=metadata!Z424)),metadata!Z424&gt;0))</f>
        <v>0</v>
      </c>
      <c r="BL424" t="b">
        <f>AND(IF(metadata!AA424="",FALSE,TRUE),EXACT(metadata!AA424,"Not applicable"))</f>
        <v>0</v>
      </c>
      <c r="BM424" t="b">
        <f>IF(metadata!AB424="",FALSE,TRUE)</f>
        <v>0</v>
      </c>
    </row>
    <row r="425" spans="1:65" x14ac:dyDescent="0.2">
      <c r="A425" s="5" t="str">
        <f ca="1">IF(B425=" "," ",HYPERLINK(CONCATENATE("#metadata!",ADDRESS(INDEX($AH$2:$AH$1001,MATCH(ROWS($AF$2:AF425),$AF$2:$AF$1001,0),0),1)),INDEX($AK$2:$AK$1001,MATCH(ROWS($AF$2:AF425),$AF$2:$AF$1001,0),0)))</f>
        <v xml:space="preserve"> </v>
      </c>
      <c r="B425" s="4" t="str">
        <f ca="1">IF(OR(INDEX($AG$2:$AG$1001,MATCH(ROWS($AF$2:AF425),$AF$2:$AF$1001,0),1)&gt;=100000,INDEX($AM$1005:$BM$1005,1,MATCH(COLUMNS($AM$1006:AM1006),$AM$1006:$BM$1006,0))&gt;=100000), " ",IF(INDEX($AM$2:$BM$1001,MATCH(ROWS($AF$2:AF425),$AF$2:$AF$1001,0),MATCH(COLUMNS($AM$1006:AM1006),$AM$1006:$BM$1006,0)), HYPERLINK("#",""), HYPERLINK(CONCATENATE("#metadata!", ADDRESS(INDEX($AH$2:$AH$1001,MATCH(ROWS($AF$2:AF425),$AF$2:$AF$1001,0),0), INDEX($AM$1004:$BM$1004,1,MATCH(COLUMNS($AM$1006:AM1006),$AM$1006:$BM$1006,0)))),"Fix")))</f>
        <v xml:space="preserve"> </v>
      </c>
      <c r="C425" s="4" t="str">
        <f ca="1">IF(OR(INDEX($AG$2:$AG$1001,MATCH(ROWS($AF$2:AF425),$AF$2:$AF$1001,0),1)&gt;=100000,INDEX($AM$1005:$BM$1005,1,MATCH(COLUMNS($AM$1006:AN1006),$AM$1006:$BM$1006,0))&gt;=100000), " ",IF(INDEX($AM$2:$BM$1001,MATCH(ROWS($AF$2:AF425),$AF$2:$AF$1001,0),MATCH(COLUMNS($AM$1006:AN1006),$AM$1006:$BM$1006,0)), HYPERLINK("#",""), HYPERLINK(CONCATENATE("#metadata!", ADDRESS(INDEX($AH$2:$AH$1001,MATCH(ROWS($AF$2:AF425),$AF$2:$AF$1001,0),0), INDEX($AM$1004:$BM$1004,1,MATCH(COLUMNS($AM$1006:AN1006),$AM$1006:$BM$1006,0)))),"Fix")))</f>
        <v xml:space="preserve"> </v>
      </c>
      <c r="D425" s="4" t="str">
        <f ca="1">IF(OR(INDEX($AG$2:$AG$1001,MATCH(ROWS($AF$2:AF425),$AF$2:$AF$1001,0),1)&gt;=100000,INDEX($AM$1005:$BM$1005,1,MATCH(COLUMNS($AM$1006:AO1006),$AM$1006:$BM$1006,0))&gt;=100000), " ",IF(INDEX($AM$2:$BM$1001,MATCH(ROWS($AF$2:AF425),$AF$2:$AF$1001,0),MATCH(COLUMNS($AM$1006:AO1006),$AM$1006:$BM$1006,0)), HYPERLINK("#",""), HYPERLINK(CONCATENATE("#metadata!", ADDRESS(INDEX($AH$2:$AH$1001,MATCH(ROWS($AF$2:AF425),$AF$2:$AF$1001,0),0), INDEX($AM$1004:$BM$1004,1,MATCH(COLUMNS($AM$1006:AO1006),$AM$1006:$BM$1006,0)))),"Fix")))</f>
        <v xml:space="preserve"> </v>
      </c>
      <c r="E425" s="4" t="str">
        <f ca="1">IF(OR(INDEX($AG$2:$AG$1001,MATCH(ROWS($AF$2:AF425),$AF$2:$AF$1001,0),1)&gt;=100000,INDEX($AM$1005:$BM$1005,1,MATCH(COLUMNS($AM$1006:AP1006),$AM$1006:$BM$1006,0))&gt;=100000), " ",IF(INDEX($AM$2:$BM$1001,MATCH(ROWS($AF$2:AF425),$AF$2:$AF$1001,0),MATCH(COLUMNS($AM$1006:AP1006),$AM$1006:$BM$1006,0)), HYPERLINK("#",""), HYPERLINK(CONCATENATE("#metadata!", ADDRESS(INDEX($AH$2:$AH$1001,MATCH(ROWS($AF$2:AF425),$AF$2:$AF$1001,0),0), INDEX($AM$1004:$BM$1004,1,MATCH(COLUMNS($AM$1006:AP1006),$AM$1006:$BM$1006,0)))),"Fix")))</f>
        <v xml:space="preserve"> </v>
      </c>
      <c r="F425" s="4" t="str">
        <f ca="1">IF(OR(INDEX($AG$2:$AG$1001,MATCH(ROWS($AF$2:AF425),$AF$2:$AF$1001,0),1)&gt;=100000,INDEX($AM$1005:$BM$1005,1,MATCH(COLUMNS($AM$1006:AQ1006),$AM$1006:$BM$1006,0))&gt;=100000), " ",IF(INDEX($AM$2:$BM$1001,MATCH(ROWS($AF$2:AF425),$AF$2:$AF$1001,0),MATCH(COLUMNS($AM$1006:AQ1006),$AM$1006:$BM$1006,0)), HYPERLINK("#",""), HYPERLINK(CONCATENATE("#metadata!", ADDRESS(INDEX($AH$2:$AH$1001,MATCH(ROWS($AF$2:AF425),$AF$2:$AF$1001,0),0), INDEX($AM$1004:$BM$1004,1,MATCH(COLUMNS($AM$1006:AQ1006),$AM$1006:$BM$1006,0)))),"Fix")))</f>
        <v xml:space="preserve"> </v>
      </c>
      <c r="G425" s="4" t="str">
        <f ca="1">IF(OR(INDEX($AG$2:$AG$1001,MATCH(ROWS($AF$2:AF425),$AF$2:$AF$1001,0),1)&gt;=100000,INDEX($AM$1005:$BM$1005,1,MATCH(COLUMNS($AM$1006:AR1006),$AM$1006:$BM$1006,0))&gt;=100000), " ",IF(INDEX($AM$2:$BM$1001,MATCH(ROWS($AF$2:AF425),$AF$2:$AF$1001,0),MATCH(COLUMNS($AM$1006:AR1006),$AM$1006:$BM$1006,0)), HYPERLINK("#",""), HYPERLINK(CONCATENATE("#metadata!", ADDRESS(INDEX($AH$2:$AH$1001,MATCH(ROWS($AF$2:AF425),$AF$2:$AF$1001,0),0), INDEX($AM$1004:$BM$1004,1,MATCH(COLUMNS($AM$1006:AR1006),$AM$1006:$BM$1006,0)))),"Fix")))</f>
        <v xml:space="preserve"> </v>
      </c>
      <c r="H425" s="4" t="str">
        <f ca="1">IF(OR(INDEX($AG$2:$AG$1001,MATCH(ROWS($AF$2:AF425),$AF$2:$AF$1001,0),1)&gt;=100000,INDEX($AM$1005:$BM$1005,1,MATCH(COLUMNS($AM$1006:AS1006),$AM$1006:$BM$1006,0))&gt;=100000), " ",IF(INDEX($AM$2:$BM$1001,MATCH(ROWS($AF$2:AF425),$AF$2:$AF$1001,0),MATCH(COLUMNS($AM$1006:AS1006),$AM$1006:$BM$1006,0)), HYPERLINK("#",""), HYPERLINK(CONCATENATE("#metadata!", ADDRESS(INDEX($AH$2:$AH$1001,MATCH(ROWS($AF$2:AF425),$AF$2:$AF$1001,0),0), INDEX($AM$1004:$BM$1004,1,MATCH(COLUMNS($AM$1006:AS1006),$AM$1006:$BM$1006,0)))),"Fix")))</f>
        <v xml:space="preserve"> </v>
      </c>
      <c r="I425" s="4" t="str">
        <f ca="1">IF(OR(INDEX($AG$2:$AG$1001,MATCH(ROWS($AF$2:AF425),$AF$2:$AF$1001,0),1)&gt;=100000,INDEX($AM$1005:$BM$1005,1,MATCH(COLUMNS($AM$1006:AT1006),$AM$1006:$BM$1006,0))&gt;=100000), " ",IF(INDEX($AM$2:$BM$1001,MATCH(ROWS($AF$2:AF425),$AF$2:$AF$1001,0),MATCH(COLUMNS($AM$1006:AT1006),$AM$1006:$BM$1006,0)), HYPERLINK("#",""), HYPERLINK(CONCATENATE("#metadata!", ADDRESS(INDEX($AH$2:$AH$1001,MATCH(ROWS($AF$2:AF425),$AF$2:$AF$1001,0),0), INDEX($AM$1004:$BM$1004,1,MATCH(COLUMNS($AM$1006:AT1006),$AM$1006:$BM$1006,0)))),"Fix")))</f>
        <v xml:space="preserve"> </v>
      </c>
      <c r="J425" s="4" t="str">
        <f ca="1">IF(OR(INDEX($AG$2:$AG$1001,MATCH(ROWS($AF$2:AF425),$AF$2:$AF$1001,0),1)&gt;=100000,INDEX($AM$1005:$BM$1005,1,MATCH(COLUMNS($AM$1006:AU1006),$AM$1006:$BM$1006,0))&gt;=100000), " ",IF(INDEX($AM$2:$BM$1001,MATCH(ROWS($AF$2:AF425),$AF$2:$AF$1001,0),MATCH(COLUMNS($AM$1006:AU1006),$AM$1006:$BM$1006,0)), HYPERLINK("#",""), HYPERLINK(CONCATENATE("#metadata!", ADDRESS(INDEX($AH$2:$AH$1001,MATCH(ROWS($AF$2:AF425),$AF$2:$AF$1001,0),0), INDEX($AM$1004:$BM$1004,1,MATCH(COLUMNS($AM$1006:AU1006),$AM$1006:$BM$1006,0)))),"Fix")))</f>
        <v xml:space="preserve"> </v>
      </c>
      <c r="K425" s="4" t="str">
        <f ca="1">IF(OR(INDEX($AG$2:$AG$1001,MATCH(ROWS($AF$2:AF425),$AF$2:$AF$1001,0),1)&gt;=100000,INDEX($AM$1005:$BM$1005,1,MATCH(COLUMNS($AM$1006:AV1006),$AM$1006:$BM$1006,0))&gt;=100000), " ",IF(INDEX($AM$2:$BM$1001,MATCH(ROWS($AF$2:AF425),$AF$2:$AF$1001,0),MATCH(COLUMNS($AM$1006:AV1006),$AM$1006:$BM$1006,0)), HYPERLINK("#",""), HYPERLINK(CONCATENATE("#metadata!", ADDRESS(INDEX($AH$2:$AH$1001,MATCH(ROWS($AF$2:AF425),$AF$2:$AF$1001,0),0), INDEX($AM$1004:$BM$1004,1,MATCH(COLUMNS($AM$1006:AV1006),$AM$1006:$BM$1006,0)))),"Fix")))</f>
        <v xml:space="preserve"> </v>
      </c>
      <c r="L425" s="4" t="str">
        <f ca="1">IF(OR(INDEX($AG$2:$AG$1001,MATCH(ROWS($AF$2:AF425),$AF$2:$AF$1001,0),1)&gt;=100000,INDEX($AM$1005:$BM$1005,1,MATCH(COLUMNS($AM$1006:AW1006),$AM$1006:$BM$1006,0))&gt;=100000), " ",IF(INDEX($AM$2:$BM$1001,MATCH(ROWS($AF$2:AF425),$AF$2:$AF$1001,0),MATCH(COLUMNS($AM$1006:AW1006),$AM$1006:$BM$1006,0)), HYPERLINK("#",""), HYPERLINK(CONCATENATE("#metadata!", ADDRESS(INDEX($AH$2:$AH$1001,MATCH(ROWS($AF$2:AF425),$AF$2:$AF$1001,0),0), INDEX($AM$1004:$BM$1004,1,MATCH(COLUMNS($AM$1006:AW1006),$AM$1006:$BM$1006,0)))),"Fix")))</f>
        <v xml:space="preserve"> </v>
      </c>
      <c r="M425" s="4" t="str">
        <f ca="1">IF(OR(INDEX($AG$2:$AG$1001,MATCH(ROWS($AF$2:AF425),$AF$2:$AF$1001,0),1)&gt;=100000,INDEX($AM$1005:$BM$1005,1,MATCH(COLUMNS($AM$1006:AX1006),$AM$1006:$BM$1006,0))&gt;=100000), " ",IF(INDEX($AM$2:$BM$1001,MATCH(ROWS($AF$2:AF425),$AF$2:$AF$1001,0),MATCH(COLUMNS($AM$1006:AX1006),$AM$1006:$BM$1006,0)), HYPERLINK("#",""), HYPERLINK(CONCATENATE("#metadata!", ADDRESS(INDEX($AH$2:$AH$1001,MATCH(ROWS($AF$2:AF425),$AF$2:$AF$1001,0),0), INDEX($AM$1004:$BM$1004,1,MATCH(COLUMNS($AM$1006:AX1006),$AM$1006:$BM$1006,0)))),"Fix")))</f>
        <v xml:space="preserve"> </v>
      </c>
      <c r="N425" s="4" t="str">
        <f ca="1">IF(OR(INDEX($AG$2:$AG$1001,MATCH(ROWS($AF$2:AF425),$AF$2:$AF$1001,0),1)&gt;=100000,INDEX($AM$1005:$BM$1005,1,MATCH(COLUMNS($AM$1006:AY1006),$AM$1006:$BM$1006,0))&gt;=100000), " ",IF(INDEX($AM$2:$BM$1001,MATCH(ROWS($AF$2:AF425),$AF$2:$AF$1001,0),MATCH(COLUMNS($AM$1006:AY1006),$AM$1006:$BM$1006,0)), HYPERLINK("#",""), HYPERLINK(CONCATENATE("#metadata!", ADDRESS(INDEX($AH$2:$AH$1001,MATCH(ROWS($AF$2:AF425),$AF$2:$AF$1001,0),0), INDEX($AM$1004:$BM$1004,1,MATCH(COLUMNS($AM$1006:AY1006),$AM$1006:$BM$1006,0)))),"Fix")))</f>
        <v xml:space="preserve"> </v>
      </c>
      <c r="O425" s="4" t="str">
        <f ca="1">IF(OR(INDEX($AG$2:$AG$1001,MATCH(ROWS($AF$2:AF425),$AF$2:$AF$1001,0),1)&gt;=100000,INDEX($AM$1005:$BM$1005,1,MATCH(COLUMNS($AM$1006:AZ1006),$AM$1006:$BM$1006,0))&gt;=100000), " ",IF(INDEX($AM$2:$BM$1001,MATCH(ROWS($AF$2:AF425),$AF$2:$AF$1001,0),MATCH(COLUMNS($AM$1006:AZ1006),$AM$1006:$BM$1006,0)), HYPERLINK("#",""), HYPERLINK(CONCATENATE("#metadata!", ADDRESS(INDEX($AH$2:$AH$1001,MATCH(ROWS($AF$2:AF425),$AF$2:$AF$1001,0),0), INDEX($AM$1004:$BM$1004,1,MATCH(COLUMNS($AM$1006:AZ1006),$AM$1006:$BM$1006,0)))),"Fix")))</f>
        <v xml:space="preserve"> </v>
      </c>
      <c r="P425" s="4" t="str">
        <f ca="1">IF(OR(INDEX($AG$2:$AG$1001,MATCH(ROWS($AF$2:AF425),$AF$2:$AF$1001,0),1)&gt;=100000,INDEX($AM$1005:$BM$1005,1,MATCH(COLUMNS($AM$1006:BA1006),$AM$1006:$BM$1006,0))&gt;=100000), " ",IF(INDEX($AM$2:$BM$1001,MATCH(ROWS($AF$2:AF425),$AF$2:$AF$1001,0),MATCH(COLUMNS($AM$1006:BA1006),$AM$1006:$BM$1006,0)), HYPERLINK("#",""), HYPERLINK(CONCATENATE("#metadata!", ADDRESS(INDEX($AH$2:$AH$1001,MATCH(ROWS($AF$2:AF425),$AF$2:$AF$1001,0),0), INDEX($AM$1004:$BM$1004,1,MATCH(COLUMNS($AM$1006:BA1006),$AM$1006:$BM$1006,0)))),"Fix")))</f>
        <v xml:space="preserve"> </v>
      </c>
      <c r="Q425" s="4" t="str">
        <f ca="1">IF(OR(INDEX($AG$2:$AG$1001,MATCH(ROWS($AF$2:AF425),$AF$2:$AF$1001,0),1)&gt;=100000,INDEX($AM$1005:$BM$1005,1,MATCH(COLUMNS($AM$1006:BB1006),$AM$1006:$BM$1006,0))&gt;=100000), " ",IF(INDEX($AM$2:$BM$1001,MATCH(ROWS($AF$2:AF425),$AF$2:$AF$1001,0),MATCH(COLUMNS($AM$1006:BB1006),$AM$1006:$BM$1006,0)), HYPERLINK("#",""), HYPERLINK(CONCATENATE("#metadata!", ADDRESS(INDEX($AH$2:$AH$1001,MATCH(ROWS($AF$2:AF425),$AF$2:$AF$1001,0),0), INDEX($AM$1004:$BM$1004,1,MATCH(COLUMNS($AM$1006:BB1006),$AM$1006:$BM$1006,0)))),"Fix")))</f>
        <v xml:space="preserve"> </v>
      </c>
      <c r="R425" s="4" t="str">
        <f ca="1">IF(OR(INDEX($AG$2:$AG$1001,MATCH(ROWS($AF$2:AF425),$AF$2:$AF$1001,0),1)&gt;=100000,INDEX($AM$1005:$BM$1005,1,MATCH(COLUMNS($AM$1006:BC1006),$AM$1006:$BM$1006,0))&gt;=100000), " ",IF(INDEX($AM$2:$BM$1001,MATCH(ROWS($AF$2:AF425),$AF$2:$AF$1001,0),MATCH(COLUMNS($AM$1006:BC1006),$AM$1006:$BM$1006,0)), HYPERLINK("#",""), HYPERLINK(CONCATENATE("#metadata!", ADDRESS(INDEX($AH$2:$AH$1001,MATCH(ROWS($AF$2:AF425),$AF$2:$AF$1001,0),0), INDEX($AM$1004:$BM$1004,1,MATCH(COLUMNS($AM$1006:BC1006),$AM$1006:$BM$1006,0)))),"Fix")))</f>
        <v xml:space="preserve"> </v>
      </c>
      <c r="S425" s="4" t="str">
        <f ca="1">IF(OR(INDEX($AG$2:$AG$1001,MATCH(ROWS($AF$2:AF425),$AF$2:$AF$1001,0),1)&gt;=100000,INDEX($AM$1005:$BM$1005,1,MATCH(COLUMNS($AM$1006:BD1006),$AM$1006:$BM$1006,0))&gt;=100000), " ",IF(INDEX($AM$2:$BM$1001,MATCH(ROWS($AF$2:AF425),$AF$2:$AF$1001,0),MATCH(COLUMNS($AM$1006:BD1006),$AM$1006:$BM$1006,0)), HYPERLINK("#",""), HYPERLINK(CONCATENATE("#metadata!", ADDRESS(INDEX($AH$2:$AH$1001,MATCH(ROWS($AF$2:AF425),$AF$2:$AF$1001,0),0), INDEX($AM$1004:$BM$1004,1,MATCH(COLUMNS($AM$1006:BD1006),$AM$1006:$BM$1006,0)))),"Fix")))</f>
        <v xml:space="preserve"> </v>
      </c>
      <c r="T425" s="4" t="str">
        <f ca="1">IF(OR(INDEX($AG$2:$AG$1001,MATCH(ROWS($AF$2:AF425),$AF$2:$AF$1001,0),1)&gt;=100000,INDEX($AM$1005:$BM$1005,1,MATCH(COLUMNS($AM$1006:BE1006),$AM$1006:$BM$1006,0))&gt;=100000), " ",IF(INDEX($AM$2:$BM$1001,MATCH(ROWS($AF$2:AF425),$AF$2:$AF$1001,0),MATCH(COLUMNS($AM$1006:BE1006),$AM$1006:$BM$1006,0)), HYPERLINK("#",""), HYPERLINK(CONCATENATE("#metadata!", ADDRESS(INDEX($AH$2:$AH$1001,MATCH(ROWS($AF$2:AF425),$AF$2:$AF$1001,0),0), INDEX($AM$1004:$BM$1004,1,MATCH(COLUMNS($AM$1006:BE1006),$AM$1006:$BM$1006,0)))),"Fix")))</f>
        <v xml:space="preserve"> </v>
      </c>
      <c r="U425" s="4" t="str">
        <f ca="1">IF(OR(INDEX($AG$2:$AG$1001,MATCH(ROWS($AF$2:AF425),$AF$2:$AF$1001,0),1)&gt;=100000,INDEX($AM$1005:$BM$1005,1,MATCH(COLUMNS($AM$1006:BF1006),$AM$1006:$BM$1006,0))&gt;=100000), " ",IF(INDEX($AM$2:$BM$1001,MATCH(ROWS($AF$2:AF425),$AF$2:$AF$1001,0),MATCH(COLUMNS($AM$1006:BF1006),$AM$1006:$BM$1006,0)), HYPERLINK("#",""), HYPERLINK(CONCATENATE("#metadata!", ADDRESS(INDEX($AH$2:$AH$1001,MATCH(ROWS($AF$2:AF425),$AF$2:$AF$1001,0),0), INDEX($AM$1004:$BM$1004,1,MATCH(COLUMNS($AM$1006:BF1006),$AM$1006:$BM$1006,0)))),"Fix")))</f>
        <v xml:space="preserve"> </v>
      </c>
      <c r="V425" s="4" t="str">
        <f ca="1">IF(OR(INDEX($AG$2:$AG$1001,MATCH(ROWS($AF$2:AF425),$AF$2:$AF$1001,0),1)&gt;=100000,INDEX($AM$1005:$BM$1005,1,MATCH(COLUMNS($AM$1006:BG1006),$AM$1006:$BM$1006,0))&gt;=100000), " ",IF(INDEX($AM$2:$BM$1001,MATCH(ROWS($AF$2:AF425),$AF$2:$AF$1001,0),MATCH(COLUMNS($AM$1006:BG1006),$AM$1006:$BM$1006,0)), HYPERLINK("#",""), HYPERLINK(CONCATENATE("#metadata!", ADDRESS(INDEX($AH$2:$AH$1001,MATCH(ROWS($AF$2:AF425),$AF$2:$AF$1001,0),0), INDEX($AM$1004:$BM$1004,1,MATCH(COLUMNS($AM$1006:BG1006),$AM$1006:$BM$1006,0)))),"Fix")))</f>
        <v xml:space="preserve"> </v>
      </c>
      <c r="W425" s="4" t="str">
        <f ca="1">IF(OR(INDEX($AG$2:$AG$1001,MATCH(ROWS($AF$2:AF425),$AF$2:$AF$1001,0),1)&gt;=100000,INDEX($AM$1005:$BM$1005,1,MATCH(COLUMNS($AM$1006:BH1006),$AM$1006:$BM$1006,0))&gt;=100000), " ",IF(INDEX($AM$2:$BM$1001,MATCH(ROWS($AF$2:AF425),$AF$2:$AF$1001,0),MATCH(COLUMNS($AM$1006:BH1006),$AM$1006:$BM$1006,0)), HYPERLINK("#",""), HYPERLINK(CONCATENATE("#metadata!", ADDRESS(INDEX($AH$2:$AH$1001,MATCH(ROWS($AF$2:AF425),$AF$2:$AF$1001,0),0), INDEX($AM$1004:$BM$1004,1,MATCH(COLUMNS($AM$1006:BH1006),$AM$1006:$BM$1006,0)))),"Fix")))</f>
        <v xml:space="preserve"> </v>
      </c>
      <c r="X425" s="4" t="str">
        <f ca="1">IF(OR(INDEX($AG$2:$AG$1001,MATCH(ROWS($AF$2:AF425),$AF$2:$AF$1001,0),1)&gt;=100000,INDEX($AM$1005:$BM$1005,1,MATCH(COLUMNS($AM$1006:BI1006),$AM$1006:$BM$1006,0))&gt;=100000), " ",IF(INDEX($AM$2:$BM$1001,MATCH(ROWS($AF$2:AF425),$AF$2:$AF$1001,0),MATCH(COLUMNS($AM$1006:BI1006),$AM$1006:$BM$1006,0)), HYPERLINK("#",""), HYPERLINK(CONCATENATE("#metadata!", ADDRESS(INDEX($AH$2:$AH$1001,MATCH(ROWS($AF$2:AF425),$AF$2:$AF$1001,0),0), INDEX($AM$1004:$BM$1004,1,MATCH(COLUMNS($AM$1006:BI1006),$AM$1006:$BM$1006,0)))),"Fix")))</f>
        <v xml:space="preserve"> </v>
      </c>
      <c r="Y425" s="4" t="str">
        <f ca="1">IF(OR(INDEX($AG$2:$AG$1001,MATCH(ROWS($AF$2:AF425),$AF$2:$AF$1001,0),1)&gt;=100000,INDEX($AM$1005:$BM$1005,1,MATCH(COLUMNS($AM$1006:BJ1006),$AM$1006:$BM$1006,0))&gt;=100000), " ",IF(INDEX($AM$2:$BM$1001,MATCH(ROWS($AF$2:AF425),$AF$2:$AF$1001,0),MATCH(COLUMNS($AM$1006:BJ1006),$AM$1006:$BM$1006,0)), HYPERLINK("#",""), HYPERLINK(CONCATENATE("#metadata!", ADDRESS(INDEX($AH$2:$AH$1001,MATCH(ROWS($AF$2:AF425),$AF$2:$AF$1001,0),0), INDEX($AM$1004:$BM$1004,1,MATCH(COLUMNS($AM$1006:BJ1006),$AM$1006:$BM$1006,0)))),"Fix")))</f>
        <v xml:space="preserve"> </v>
      </c>
      <c r="Z425" s="4" t="str">
        <f ca="1">IF(OR(INDEX($AG$2:$AG$1001,MATCH(ROWS($AF$2:AF425),$AF$2:$AF$1001,0),1)&gt;=100000,INDEX($AM$1005:$BM$1005,1,MATCH(COLUMNS($AM$1006:BK1006),$AM$1006:$BM$1006,0))&gt;=100000), " ",IF(INDEX($AM$2:$BM$1001,MATCH(ROWS($AF$2:AF425),$AF$2:$AF$1001,0),MATCH(COLUMNS($AM$1006:BK1006),$AM$1006:$BM$1006,0)), HYPERLINK("#",""), HYPERLINK(CONCATENATE("#metadata!", ADDRESS(INDEX($AH$2:$AH$1001,MATCH(ROWS($AF$2:AF425),$AF$2:$AF$1001,0),0), INDEX($AM$1004:$BM$1004,1,MATCH(COLUMNS($AM$1006:BK1006),$AM$1006:$BM$1006,0)))),"Fix")))</f>
        <v xml:space="preserve"> </v>
      </c>
      <c r="AA425" s="4" t="str">
        <f ca="1">IF(OR(INDEX($AG$2:$AG$1001,MATCH(ROWS($AF$2:AF425),$AF$2:$AF$1001,0),1)&gt;=100000,INDEX($AM$1005:$BM$1005,1,MATCH(COLUMNS($AM$1006:BL1006),$AM$1006:$BM$1006,0))&gt;=100000), " ",IF(INDEX($AM$2:$BM$1001,MATCH(ROWS($AF$2:AF425),$AF$2:$AF$1001,0),MATCH(COLUMNS($AM$1006:BL1006),$AM$1006:$BM$1006,0)), HYPERLINK("#",""), HYPERLINK(CONCATENATE("#metadata!", ADDRESS(INDEX($AH$2:$AH$1001,MATCH(ROWS($AF$2:AF425),$AF$2:$AF$1001,0),0), INDEX($AM$1004:$BM$1004,1,MATCH(COLUMNS($AM$1006:BL1006),$AM$1006:$BM$1006,0)))),"Fix")))</f>
        <v xml:space="preserve"> </v>
      </c>
      <c r="AB425" s="4" t="str">
        <f ca="1">IF(OR(INDEX($AG$2:$AG$1001,MATCH(ROWS($AF$2:AF425),$AF$2:$AF$1001,0),1)&gt;=100000,INDEX($AM$1005:$BM$1005,1,MATCH(COLUMNS($AM$1006:BM1006),$AM$1006:$BM$1006,0))&gt;=100000), " ",IF(INDEX($AM$2:$BM$1001,MATCH(ROWS($AF$2:AF425),$AF$2:$AF$1001,0),MATCH(COLUMNS($AM$1006:BM1006),$AM$1006:$BM$1006,0)), HYPERLINK("#",""), HYPERLINK(CONCATENATE("#metadata!", ADDRESS(INDEX($AH$2:$AH$1001,MATCH(ROWS($AF$2:AF425),$AF$2:$AF$1001,0),0), INDEX($AM$1004:$BM$1004,1,MATCH(COLUMNS($AM$1006:BM1006),$AM$1006:$BM$1006,0)))),"Fix")))</f>
        <v xml:space="preserve"> </v>
      </c>
      <c r="AF425">
        <v>424</v>
      </c>
      <c r="AG425">
        <v>100425</v>
      </c>
      <c r="AH425">
        <v>425</v>
      </c>
      <c r="AI425" t="b">
        <f t="shared" si="6"/>
        <v>1</v>
      </c>
      <c r="AJ425" t="b">
        <f>COUNTBLANK(metadata!B425:AB425)=COLUMNS(metadata!B425:AB425)</f>
        <v>1</v>
      </c>
      <c r="AK425" t="str">
        <v/>
      </c>
      <c r="AM425" t="b">
        <f ca="1">AND(IF(metadata!B425="",FALSE,TRUE),COUNTIF(metadata!B:B, metadata!B425) = 1,NOT(ISERROR(SUMPRODUCT(SEARCH(MID(metadata!B425,ROW(INDIRECT("1:"&amp;LEN(metadata!B425))), 1),"0123456789abcdefghijklmnopqrstuvwxyzABCDEFGHIJKLMNOPQRSTUVWXYZ.")))))</f>
        <v>0</v>
      </c>
      <c r="AN425" t="b">
        <f ca="1">OR(AND(IF(metadata!C425="",FALSE,TRUE),OR(EXACT(metadata!C425,"missing: not collected"),EXACT(metadata!C425,"missing: not provided"),EXACT(metadata!C425,"missing: restricted access"))),AND(IF(metadata!C425="",FALSE,TRUE),AND(AND(IFERROR(INT(LEFT(metadata!C425,4))&gt;1900,FALSE),IFERROR(INT(LEFT(metadata!C425,4))&lt;=YEAR(NOW()),FALSE)), OR(MID(metadata!C425,5,1)="", AND(AND(MID(metadata!C425,5,1)="-",IFERROR(INT(MID(metadata!C425,6,1))&gt;=0,FALSE),IFERROR(INT(MID(metadata!C425,6,1))&lt;=1,FALSE),NOT(MID(metadata!C425,7,1)=""),IFERROR(INT(MID(metadata!C425,6,2))&gt;=1,FALSE),IFERROR(INT(MID(metadata!C425,6,2))&lt;=12,FALSE)), OR(MID(metadata!C425,8,1)="", AND(AND(MID(metadata!C425,8,1)="-",IFERROR(INT(MID(metadata!C425,9,1))&gt;=0,FALSE),IFERROR(INT(MID(metadata!C425,9,1))&lt;=3,FALSE),NOT(MID(metadata!C425,10,1)=""),IFERROR(INT(MID(metadata!C425,9,2))&gt;=1,FALSE),IFERROR(INT(MID(metadata!C425,9,2))&lt;=31,FALSE)), OR(MID(metadata!C425,11,1)="", AND(AND(MID(metadata!C425,11,1)=" ",IFERROR(INT(MID(metadata!C425,12,1))&gt;=0,FALSE),IFERROR(INT(MID(metadata!C425,12,1))&lt;=2,FALSE),NOT(MID(metadata!C425,13,1)=""),IFERROR(INT(MID(metadata!C425,12,2))&gt;=0,FALSE),IFERROR(INT(MID(metadata!C425,12,2))&lt;=23,FALSE)), OR(MID(metadata!C425,14,1)="", AND(AND(MID(metadata!C425,14,1)=":",IFERROR(INT(MID(metadata!C425,15,1))&gt;=0,FALSE),IFERROR(INT(MID(metadata!C425,15,1))&lt;=5,FALSE),NOT(MID(metadata!C425,16,1)=""),IFERROR(INT(MID(metadata!C425,15,2))&gt;=0,FALSE),IFERROR(INT(MID(metadata!C425,15,2))&lt;=59,FALSE)), OR(MID(metadata!C425,17,1)="", AND(AND(MID(metadata!C425,17,1)=":",IFERROR(INT(MID(metadata!C425,18,1))&gt;=0,FALSE),IFERROR(INT(MID(metadata!C425,18,1))&lt;=5,FALSE),NOT(MID(metadata!C425,19,1)=""),IFERROR(INT(MID(metadata!C425,18,2))&gt;=0,FALSE),IFERROR(INT(MID(metadata!C425,18,2))&lt;=59,FALSE)), LEN(metadata!C425)&lt;=19)))))))))))))</f>
        <v>0</v>
      </c>
      <c r="AO425" t="b">
        <f>AND(IF(metadata!D425="",FALSE,TRUE),EXACT(metadata!D425,"Not applicable"))</f>
        <v>0</v>
      </c>
      <c r="AP425" t="b">
        <f>IF(metadata!E425="",FALSE,TRUE)</f>
        <v>0</v>
      </c>
      <c r="AQ425" t="b">
        <f>OR(AND(IF(metadata!F425="",FALSE,TRUE),OR(EXACT(metadata!F425,"missing: not collected"),EXACT(metadata!F425,"missing: not provided"))),AND(IF(metadata!F425="",FALSE,TRUE),OR(EXACT(metadata!F425,"TRUE"),EXACT(metadata!F425,"FALSE"))))</f>
        <v>0</v>
      </c>
      <c r="AR425" t="b">
        <f>OR(AND(IF(metadata!G425="",FALSE,TRUE),OR(EXACT(metadata!G425,"missing: not collected"),EXACT(metadata!G425,"missing: not provided"),EXACT(metadata!G425,"missing: restricted access"))),AND(IF(metadata!G425="",FALSE,ISNUMBER(VALUE(metadata!G425))),metadata!G425&gt;=-413))</f>
        <v>0</v>
      </c>
      <c r="AS425" t="b">
        <f>AND(IF(metadata!H425="",FALSE,TRUE),EXACT(metadata!H425,"meters"))</f>
        <v>0</v>
      </c>
      <c r="AT425" t="b">
        <f>AND(IF(metadata!I425="",FALSE,TRUE),OR(EXACT(metadata!I425,"Host-associated"),EXACT(metadata!I425,"Free-living")))</f>
        <v>0</v>
      </c>
      <c r="AU425" t="b">
        <f>AND(IF(metadata!J425="",FALSE,TRUE),OR(EXACT(metadata!J425,"Animal"),EXACT(metadata!J425,"Fungus"),EXACT(metadata!J425,"Plant"),EXACT(metadata!J425,"Saline"),EXACT(metadata!J425,"Non-saline")))</f>
        <v>0</v>
      </c>
      <c r="AV425" t="b">
        <f>AND(IF(metadata!K425="",FALSE,TRUE),OR(EXACT(metadata!K425,"Plant secretion"),EXACT(metadata!K425,"Plant rhizosphere"),EXACT(metadata!K425,"Plant surface"),EXACT(metadata!K425,"Plant corpus"),EXACT(metadata!K425,"Fungus surface"),EXACT(metadata!K425,"Fungus corpus"),EXACT(metadata!K425,"Animal surface"),EXACT(metadata!K425,"Animal proximal gut"),EXACT(metadata!K425,"Animal corpus"),EXACT(metadata!K425,"Animal distal gut"),EXACT(metadata!K425,"Animal secretion"),EXACT(metadata!K425,"Sub-surface (non-saline)"),EXACT(metadata!K425,"Surface (non-saline)"),EXACT(metadata!K425,"Water (non-saline)"),EXACT(metadata!K425,"Soil (non-saline)"),EXACT(metadata!K425,"Aerosol (non-saline)"),EXACT(metadata!K425,"Sediment (non-saline)"),EXACT(metadata!K425,"Surface (saline)"),EXACT(metadata!K425,"Water (saline)"),EXACT(metadata!K425,"Hypersaline (saline)"),EXACT(metadata!K425,"Aerosol (saline)"),EXACT(metadata!K425,"Sediment (saline)")))</f>
        <v>0</v>
      </c>
      <c r="AW425" t="b">
        <f>IF(metadata!L425="",FALSE,TRUE)</f>
        <v>0</v>
      </c>
      <c r="AX425" t="b">
        <f>IF(metadata!M425="",FALSE,TRUE)</f>
        <v>0</v>
      </c>
      <c r="AY425" t="b">
        <f>IF(metadata!N425="",FALSE,TRUE)</f>
        <v>0</v>
      </c>
      <c r="AZ425" t="b">
        <f>OR(AND(IF(metadata!O425="",FALSE,TRUE),OR(EXACT(metadata!O425,"missing: not collected"),EXACT(metadata!O425,"missing: not provided"),EXACT(metadata!O425,"missing: restricted access"))),AND(IF(metadata!O425="",FALSE,TRUE),OR(EXACT(metadata!O425,"air"),EXACT(metadata!O425,"built environment"),EXACT(metadata!O425,"host-associated"),EXACT(metadata!O425,"human-associated"),EXACT(metadata!O425,"human-skin"),EXACT(metadata!O425,"human-oral"),EXACT(metadata!O425,"human-gut"),EXACT(metadata!O425,"human-vaginal"),EXACT(metadata!O425,"microbial mat/biofilm"),EXACT(metadata!O425,"misc environment"),EXACT(metadata!O425,"plant-associated"),EXACT(metadata!O425,"sediment"),EXACT(metadata!O425,"soil"),EXACT(metadata!O425,"wastewater/sludge"),EXACT(metadata!O425,"water"))))</f>
        <v>0</v>
      </c>
      <c r="BA425" t="b">
        <f>IF(metadata!P425="",FALSE,TRUE)</f>
        <v>0</v>
      </c>
      <c r="BB425" t="b">
        <f>IF(metadata!Q425="",FALSE,TRUE)</f>
        <v>0</v>
      </c>
      <c r="BC425" t="b">
        <f>OR(AND(IF(metadata!R425="",FALSE,TRUE),OR(EXACT(metadata!R425,"missing: not collected"),EXACT(metadata!R425,"missing: not provided"),EXACT(metadata!R425,"missing: restricted access"))),AND(IF(metadata!R425="",FALSE,ISNUMBER(VALUE(metadata!R425))),metadata!R425&gt;=-90,metadata!R425&lt;=90))</f>
        <v>0</v>
      </c>
      <c r="BD425" t="b">
        <f>AND(IF(metadata!S425="",FALSE,TRUE),EXACT(metadata!S425,"Decimal degrees"))</f>
        <v>0</v>
      </c>
      <c r="BE425" t="b">
        <f>OR(AND(IF(metadata!T425="",FALSE,TRUE),OR(EXACT(metadata!T425,"missing: not collected"),EXACT(metadata!T425,"missing: not provided"),EXACT(metadata!T425,"missing: restricted access"))),AND(IF(metadata!T425="",FALSE,ISNUMBER(VALUE(metadata!T425))),metadata!T425&gt;=-180,metadata!T425&lt;=180))</f>
        <v>0</v>
      </c>
      <c r="BF425" t="b">
        <f>AND(IF(metadata!U425="",FALSE,TRUE),EXACT(metadata!U425,"Decimal degrees"))</f>
        <v>0</v>
      </c>
      <c r="BG425" t="b">
        <f>IF(metadata!V425="",FALSE,TRUE)</f>
        <v>0</v>
      </c>
      <c r="BH425" t="b">
        <f>OR(AND(IF(metadata!W425="",FALSE,TRUE),OR(EXACT(metadata!W425,"missing: not collected"),EXACT(metadata!W425,"missing: not provided"),EXACT(metadata!W425,"missing: restricted access"))),AND(IF(metadata!W425="",FALSE,TRUE),OR(EXACT(metadata!W425,"TRUE"),EXACT(metadata!W425,"FALSE"))))</f>
        <v>0</v>
      </c>
      <c r="BI425" t="b">
        <f>AND(IF(metadata!X425="",FALSE,TRUE),EXACT(metadata!X425,"other"))</f>
        <v>0</v>
      </c>
      <c r="BJ425" t="b">
        <f>IF(metadata!Y425="",FALSE,TRUE)</f>
        <v>0</v>
      </c>
      <c r="BK425" t="b">
        <f>OR(AND(IF(metadata!Z425="",FALSE,TRUE),OR(EXACT(metadata!Z425,"missing: not collected"),EXACT(metadata!Z425,"missing: not provided"))),AND(IF(metadata!Z425="",FALSE,IF(ISERROR(INT(metadata!Z425)),FALSE,INT(metadata!Z425)=metadata!Z425)),metadata!Z425&gt;0))</f>
        <v>0</v>
      </c>
      <c r="BL425" t="b">
        <f>AND(IF(metadata!AA425="",FALSE,TRUE),EXACT(metadata!AA425,"Not applicable"))</f>
        <v>0</v>
      </c>
      <c r="BM425" t="b">
        <f>IF(metadata!AB425="",FALSE,TRUE)</f>
        <v>0</v>
      </c>
    </row>
    <row r="426" spans="1:65" x14ac:dyDescent="0.2">
      <c r="A426" s="5" t="str">
        <f ca="1">IF(B426=" "," ",HYPERLINK(CONCATENATE("#metadata!",ADDRESS(INDEX($AH$2:$AH$1001,MATCH(ROWS($AF$2:AF426),$AF$2:$AF$1001,0),0),1)),INDEX($AK$2:$AK$1001,MATCH(ROWS($AF$2:AF426),$AF$2:$AF$1001,0),0)))</f>
        <v xml:space="preserve"> </v>
      </c>
      <c r="B426" s="4" t="str">
        <f ca="1">IF(OR(INDEX($AG$2:$AG$1001,MATCH(ROWS($AF$2:AF426),$AF$2:$AF$1001,0),1)&gt;=100000,INDEX($AM$1005:$BM$1005,1,MATCH(COLUMNS($AM$1006:AM1006),$AM$1006:$BM$1006,0))&gt;=100000), " ",IF(INDEX($AM$2:$BM$1001,MATCH(ROWS($AF$2:AF426),$AF$2:$AF$1001,0),MATCH(COLUMNS($AM$1006:AM1006),$AM$1006:$BM$1006,0)), HYPERLINK("#",""), HYPERLINK(CONCATENATE("#metadata!", ADDRESS(INDEX($AH$2:$AH$1001,MATCH(ROWS($AF$2:AF426),$AF$2:$AF$1001,0),0), INDEX($AM$1004:$BM$1004,1,MATCH(COLUMNS($AM$1006:AM1006),$AM$1006:$BM$1006,0)))),"Fix")))</f>
        <v xml:space="preserve"> </v>
      </c>
      <c r="C426" s="4" t="str">
        <f ca="1">IF(OR(INDEX($AG$2:$AG$1001,MATCH(ROWS($AF$2:AF426),$AF$2:$AF$1001,0),1)&gt;=100000,INDEX($AM$1005:$BM$1005,1,MATCH(COLUMNS($AM$1006:AN1006),$AM$1006:$BM$1006,0))&gt;=100000), " ",IF(INDEX($AM$2:$BM$1001,MATCH(ROWS($AF$2:AF426),$AF$2:$AF$1001,0),MATCH(COLUMNS($AM$1006:AN1006),$AM$1006:$BM$1006,0)), HYPERLINK("#",""), HYPERLINK(CONCATENATE("#metadata!", ADDRESS(INDEX($AH$2:$AH$1001,MATCH(ROWS($AF$2:AF426),$AF$2:$AF$1001,0),0), INDEX($AM$1004:$BM$1004,1,MATCH(COLUMNS($AM$1006:AN1006),$AM$1006:$BM$1006,0)))),"Fix")))</f>
        <v xml:space="preserve"> </v>
      </c>
      <c r="D426" s="4" t="str">
        <f ca="1">IF(OR(INDEX($AG$2:$AG$1001,MATCH(ROWS($AF$2:AF426),$AF$2:$AF$1001,0),1)&gt;=100000,INDEX($AM$1005:$BM$1005,1,MATCH(COLUMNS($AM$1006:AO1006),$AM$1006:$BM$1006,0))&gt;=100000), " ",IF(INDEX($AM$2:$BM$1001,MATCH(ROWS($AF$2:AF426),$AF$2:$AF$1001,0),MATCH(COLUMNS($AM$1006:AO1006),$AM$1006:$BM$1006,0)), HYPERLINK("#",""), HYPERLINK(CONCATENATE("#metadata!", ADDRESS(INDEX($AH$2:$AH$1001,MATCH(ROWS($AF$2:AF426),$AF$2:$AF$1001,0),0), INDEX($AM$1004:$BM$1004,1,MATCH(COLUMNS($AM$1006:AO1006),$AM$1006:$BM$1006,0)))),"Fix")))</f>
        <v xml:space="preserve"> </v>
      </c>
      <c r="E426" s="4" t="str">
        <f ca="1">IF(OR(INDEX($AG$2:$AG$1001,MATCH(ROWS($AF$2:AF426),$AF$2:$AF$1001,0),1)&gt;=100000,INDEX($AM$1005:$BM$1005,1,MATCH(COLUMNS($AM$1006:AP1006),$AM$1006:$BM$1006,0))&gt;=100000), " ",IF(INDEX($AM$2:$BM$1001,MATCH(ROWS($AF$2:AF426),$AF$2:$AF$1001,0),MATCH(COLUMNS($AM$1006:AP1006),$AM$1006:$BM$1006,0)), HYPERLINK("#",""), HYPERLINK(CONCATENATE("#metadata!", ADDRESS(INDEX($AH$2:$AH$1001,MATCH(ROWS($AF$2:AF426),$AF$2:$AF$1001,0),0), INDEX($AM$1004:$BM$1004,1,MATCH(COLUMNS($AM$1006:AP1006),$AM$1006:$BM$1006,0)))),"Fix")))</f>
        <v xml:space="preserve"> </v>
      </c>
      <c r="F426" s="4" t="str">
        <f ca="1">IF(OR(INDEX($AG$2:$AG$1001,MATCH(ROWS($AF$2:AF426),$AF$2:$AF$1001,0),1)&gt;=100000,INDEX($AM$1005:$BM$1005,1,MATCH(COLUMNS($AM$1006:AQ1006),$AM$1006:$BM$1006,0))&gt;=100000), " ",IF(INDEX($AM$2:$BM$1001,MATCH(ROWS($AF$2:AF426),$AF$2:$AF$1001,0),MATCH(COLUMNS($AM$1006:AQ1006),$AM$1006:$BM$1006,0)), HYPERLINK("#",""), HYPERLINK(CONCATENATE("#metadata!", ADDRESS(INDEX($AH$2:$AH$1001,MATCH(ROWS($AF$2:AF426),$AF$2:$AF$1001,0),0), INDEX($AM$1004:$BM$1004,1,MATCH(COLUMNS($AM$1006:AQ1006),$AM$1006:$BM$1006,0)))),"Fix")))</f>
        <v xml:space="preserve"> </v>
      </c>
      <c r="G426" s="4" t="str">
        <f ca="1">IF(OR(INDEX($AG$2:$AG$1001,MATCH(ROWS($AF$2:AF426),$AF$2:$AF$1001,0),1)&gt;=100000,INDEX($AM$1005:$BM$1005,1,MATCH(COLUMNS($AM$1006:AR1006),$AM$1006:$BM$1006,0))&gt;=100000), " ",IF(INDEX($AM$2:$BM$1001,MATCH(ROWS($AF$2:AF426),$AF$2:$AF$1001,0),MATCH(COLUMNS($AM$1006:AR1006),$AM$1006:$BM$1006,0)), HYPERLINK("#",""), HYPERLINK(CONCATENATE("#metadata!", ADDRESS(INDEX($AH$2:$AH$1001,MATCH(ROWS($AF$2:AF426),$AF$2:$AF$1001,0),0), INDEX($AM$1004:$BM$1004,1,MATCH(COLUMNS($AM$1006:AR1006),$AM$1006:$BM$1006,0)))),"Fix")))</f>
        <v xml:space="preserve"> </v>
      </c>
      <c r="H426" s="4" t="str">
        <f ca="1">IF(OR(INDEX($AG$2:$AG$1001,MATCH(ROWS($AF$2:AF426),$AF$2:$AF$1001,0),1)&gt;=100000,INDEX($AM$1005:$BM$1005,1,MATCH(COLUMNS($AM$1006:AS1006),$AM$1006:$BM$1006,0))&gt;=100000), " ",IF(INDEX($AM$2:$BM$1001,MATCH(ROWS($AF$2:AF426),$AF$2:$AF$1001,0),MATCH(COLUMNS($AM$1006:AS1006),$AM$1006:$BM$1006,0)), HYPERLINK("#",""), HYPERLINK(CONCATENATE("#metadata!", ADDRESS(INDEX($AH$2:$AH$1001,MATCH(ROWS($AF$2:AF426),$AF$2:$AF$1001,0),0), INDEX($AM$1004:$BM$1004,1,MATCH(COLUMNS($AM$1006:AS1006),$AM$1006:$BM$1006,0)))),"Fix")))</f>
        <v xml:space="preserve"> </v>
      </c>
      <c r="I426" s="4" t="str">
        <f ca="1">IF(OR(INDEX($AG$2:$AG$1001,MATCH(ROWS($AF$2:AF426),$AF$2:$AF$1001,0),1)&gt;=100000,INDEX($AM$1005:$BM$1005,1,MATCH(COLUMNS($AM$1006:AT1006),$AM$1006:$BM$1006,0))&gt;=100000), " ",IF(INDEX($AM$2:$BM$1001,MATCH(ROWS($AF$2:AF426),$AF$2:$AF$1001,0),MATCH(COLUMNS($AM$1006:AT1006),$AM$1006:$BM$1006,0)), HYPERLINK("#",""), HYPERLINK(CONCATENATE("#metadata!", ADDRESS(INDEX($AH$2:$AH$1001,MATCH(ROWS($AF$2:AF426),$AF$2:$AF$1001,0),0), INDEX($AM$1004:$BM$1004,1,MATCH(COLUMNS($AM$1006:AT1006),$AM$1006:$BM$1006,0)))),"Fix")))</f>
        <v xml:space="preserve"> </v>
      </c>
      <c r="J426" s="4" t="str">
        <f ca="1">IF(OR(INDEX($AG$2:$AG$1001,MATCH(ROWS($AF$2:AF426),$AF$2:$AF$1001,0),1)&gt;=100000,INDEX($AM$1005:$BM$1005,1,MATCH(COLUMNS($AM$1006:AU1006),$AM$1006:$BM$1006,0))&gt;=100000), " ",IF(INDEX($AM$2:$BM$1001,MATCH(ROWS($AF$2:AF426),$AF$2:$AF$1001,0),MATCH(COLUMNS($AM$1006:AU1006),$AM$1006:$BM$1006,0)), HYPERLINK("#",""), HYPERLINK(CONCATENATE("#metadata!", ADDRESS(INDEX($AH$2:$AH$1001,MATCH(ROWS($AF$2:AF426),$AF$2:$AF$1001,0),0), INDEX($AM$1004:$BM$1004,1,MATCH(COLUMNS($AM$1006:AU1006),$AM$1006:$BM$1006,0)))),"Fix")))</f>
        <v xml:space="preserve"> </v>
      </c>
      <c r="K426" s="4" t="str">
        <f ca="1">IF(OR(INDEX($AG$2:$AG$1001,MATCH(ROWS($AF$2:AF426),$AF$2:$AF$1001,0),1)&gt;=100000,INDEX($AM$1005:$BM$1005,1,MATCH(COLUMNS($AM$1006:AV1006),$AM$1006:$BM$1006,0))&gt;=100000), " ",IF(INDEX($AM$2:$BM$1001,MATCH(ROWS($AF$2:AF426),$AF$2:$AF$1001,0),MATCH(COLUMNS($AM$1006:AV1006),$AM$1006:$BM$1006,0)), HYPERLINK("#",""), HYPERLINK(CONCATENATE("#metadata!", ADDRESS(INDEX($AH$2:$AH$1001,MATCH(ROWS($AF$2:AF426),$AF$2:$AF$1001,0),0), INDEX($AM$1004:$BM$1004,1,MATCH(COLUMNS($AM$1006:AV1006),$AM$1006:$BM$1006,0)))),"Fix")))</f>
        <v xml:space="preserve"> </v>
      </c>
      <c r="L426" s="4" t="str">
        <f ca="1">IF(OR(INDEX($AG$2:$AG$1001,MATCH(ROWS($AF$2:AF426),$AF$2:$AF$1001,0),1)&gt;=100000,INDEX($AM$1005:$BM$1005,1,MATCH(COLUMNS($AM$1006:AW1006),$AM$1006:$BM$1006,0))&gt;=100000), " ",IF(INDEX($AM$2:$BM$1001,MATCH(ROWS($AF$2:AF426),$AF$2:$AF$1001,0),MATCH(COLUMNS($AM$1006:AW1006),$AM$1006:$BM$1006,0)), HYPERLINK("#",""), HYPERLINK(CONCATENATE("#metadata!", ADDRESS(INDEX($AH$2:$AH$1001,MATCH(ROWS($AF$2:AF426),$AF$2:$AF$1001,0),0), INDEX($AM$1004:$BM$1004,1,MATCH(COLUMNS($AM$1006:AW1006),$AM$1006:$BM$1006,0)))),"Fix")))</f>
        <v xml:space="preserve"> </v>
      </c>
      <c r="M426" s="4" t="str">
        <f ca="1">IF(OR(INDEX($AG$2:$AG$1001,MATCH(ROWS($AF$2:AF426),$AF$2:$AF$1001,0),1)&gt;=100000,INDEX($AM$1005:$BM$1005,1,MATCH(COLUMNS($AM$1006:AX1006),$AM$1006:$BM$1006,0))&gt;=100000), " ",IF(INDEX($AM$2:$BM$1001,MATCH(ROWS($AF$2:AF426),$AF$2:$AF$1001,0),MATCH(COLUMNS($AM$1006:AX1006),$AM$1006:$BM$1006,0)), HYPERLINK("#",""), HYPERLINK(CONCATENATE("#metadata!", ADDRESS(INDEX($AH$2:$AH$1001,MATCH(ROWS($AF$2:AF426),$AF$2:$AF$1001,0),0), INDEX($AM$1004:$BM$1004,1,MATCH(COLUMNS($AM$1006:AX1006),$AM$1006:$BM$1006,0)))),"Fix")))</f>
        <v xml:space="preserve"> </v>
      </c>
      <c r="N426" s="4" t="str">
        <f ca="1">IF(OR(INDEX($AG$2:$AG$1001,MATCH(ROWS($AF$2:AF426),$AF$2:$AF$1001,0),1)&gt;=100000,INDEX($AM$1005:$BM$1005,1,MATCH(COLUMNS($AM$1006:AY1006),$AM$1006:$BM$1006,0))&gt;=100000), " ",IF(INDEX($AM$2:$BM$1001,MATCH(ROWS($AF$2:AF426),$AF$2:$AF$1001,0),MATCH(COLUMNS($AM$1006:AY1006),$AM$1006:$BM$1006,0)), HYPERLINK("#",""), HYPERLINK(CONCATENATE("#metadata!", ADDRESS(INDEX($AH$2:$AH$1001,MATCH(ROWS($AF$2:AF426),$AF$2:$AF$1001,0),0), INDEX($AM$1004:$BM$1004,1,MATCH(COLUMNS($AM$1006:AY1006),$AM$1006:$BM$1006,0)))),"Fix")))</f>
        <v xml:space="preserve"> </v>
      </c>
      <c r="O426" s="4" t="str">
        <f ca="1">IF(OR(INDEX($AG$2:$AG$1001,MATCH(ROWS($AF$2:AF426),$AF$2:$AF$1001,0),1)&gt;=100000,INDEX($AM$1005:$BM$1005,1,MATCH(COLUMNS($AM$1006:AZ1006),$AM$1006:$BM$1006,0))&gt;=100000), " ",IF(INDEX($AM$2:$BM$1001,MATCH(ROWS($AF$2:AF426),$AF$2:$AF$1001,0),MATCH(COLUMNS($AM$1006:AZ1006),$AM$1006:$BM$1006,0)), HYPERLINK("#",""), HYPERLINK(CONCATENATE("#metadata!", ADDRESS(INDEX($AH$2:$AH$1001,MATCH(ROWS($AF$2:AF426),$AF$2:$AF$1001,0),0), INDEX($AM$1004:$BM$1004,1,MATCH(COLUMNS($AM$1006:AZ1006),$AM$1006:$BM$1006,0)))),"Fix")))</f>
        <v xml:space="preserve"> </v>
      </c>
      <c r="P426" s="4" t="str">
        <f ca="1">IF(OR(INDEX($AG$2:$AG$1001,MATCH(ROWS($AF$2:AF426),$AF$2:$AF$1001,0),1)&gt;=100000,INDEX($AM$1005:$BM$1005,1,MATCH(COLUMNS($AM$1006:BA1006),$AM$1006:$BM$1006,0))&gt;=100000), " ",IF(INDEX($AM$2:$BM$1001,MATCH(ROWS($AF$2:AF426),$AF$2:$AF$1001,0),MATCH(COLUMNS($AM$1006:BA1006),$AM$1006:$BM$1006,0)), HYPERLINK("#",""), HYPERLINK(CONCATENATE("#metadata!", ADDRESS(INDEX($AH$2:$AH$1001,MATCH(ROWS($AF$2:AF426),$AF$2:$AF$1001,0),0), INDEX($AM$1004:$BM$1004,1,MATCH(COLUMNS($AM$1006:BA1006),$AM$1006:$BM$1006,0)))),"Fix")))</f>
        <v xml:space="preserve"> </v>
      </c>
      <c r="Q426" s="4" t="str">
        <f ca="1">IF(OR(INDEX($AG$2:$AG$1001,MATCH(ROWS($AF$2:AF426),$AF$2:$AF$1001,0),1)&gt;=100000,INDEX($AM$1005:$BM$1005,1,MATCH(COLUMNS($AM$1006:BB1006),$AM$1006:$BM$1006,0))&gt;=100000), " ",IF(INDEX($AM$2:$BM$1001,MATCH(ROWS($AF$2:AF426),$AF$2:$AF$1001,0),MATCH(COLUMNS($AM$1006:BB1006),$AM$1006:$BM$1006,0)), HYPERLINK("#",""), HYPERLINK(CONCATENATE("#metadata!", ADDRESS(INDEX($AH$2:$AH$1001,MATCH(ROWS($AF$2:AF426),$AF$2:$AF$1001,0),0), INDEX($AM$1004:$BM$1004,1,MATCH(COLUMNS($AM$1006:BB1006),$AM$1006:$BM$1006,0)))),"Fix")))</f>
        <v xml:space="preserve"> </v>
      </c>
      <c r="R426" s="4" t="str">
        <f ca="1">IF(OR(INDEX($AG$2:$AG$1001,MATCH(ROWS($AF$2:AF426),$AF$2:$AF$1001,0),1)&gt;=100000,INDEX($AM$1005:$BM$1005,1,MATCH(COLUMNS($AM$1006:BC1006),$AM$1006:$BM$1006,0))&gt;=100000), " ",IF(INDEX($AM$2:$BM$1001,MATCH(ROWS($AF$2:AF426),$AF$2:$AF$1001,0),MATCH(COLUMNS($AM$1006:BC1006),$AM$1006:$BM$1006,0)), HYPERLINK("#",""), HYPERLINK(CONCATENATE("#metadata!", ADDRESS(INDEX($AH$2:$AH$1001,MATCH(ROWS($AF$2:AF426),$AF$2:$AF$1001,0),0), INDEX($AM$1004:$BM$1004,1,MATCH(COLUMNS($AM$1006:BC1006),$AM$1006:$BM$1006,0)))),"Fix")))</f>
        <v xml:space="preserve"> </v>
      </c>
      <c r="S426" s="4" t="str">
        <f ca="1">IF(OR(INDEX($AG$2:$AG$1001,MATCH(ROWS($AF$2:AF426),$AF$2:$AF$1001,0),1)&gt;=100000,INDEX($AM$1005:$BM$1005,1,MATCH(COLUMNS($AM$1006:BD1006),$AM$1006:$BM$1006,0))&gt;=100000), " ",IF(INDEX($AM$2:$BM$1001,MATCH(ROWS($AF$2:AF426),$AF$2:$AF$1001,0),MATCH(COLUMNS($AM$1006:BD1006),$AM$1006:$BM$1006,0)), HYPERLINK("#",""), HYPERLINK(CONCATENATE("#metadata!", ADDRESS(INDEX($AH$2:$AH$1001,MATCH(ROWS($AF$2:AF426),$AF$2:$AF$1001,0),0), INDEX($AM$1004:$BM$1004,1,MATCH(COLUMNS($AM$1006:BD1006),$AM$1006:$BM$1006,0)))),"Fix")))</f>
        <v xml:space="preserve"> </v>
      </c>
      <c r="T426" s="4" t="str">
        <f ca="1">IF(OR(INDEX($AG$2:$AG$1001,MATCH(ROWS($AF$2:AF426),$AF$2:$AF$1001,0),1)&gt;=100000,INDEX($AM$1005:$BM$1005,1,MATCH(COLUMNS($AM$1006:BE1006),$AM$1006:$BM$1006,0))&gt;=100000), " ",IF(INDEX($AM$2:$BM$1001,MATCH(ROWS($AF$2:AF426),$AF$2:$AF$1001,0),MATCH(COLUMNS($AM$1006:BE1006),$AM$1006:$BM$1006,0)), HYPERLINK("#",""), HYPERLINK(CONCATENATE("#metadata!", ADDRESS(INDEX($AH$2:$AH$1001,MATCH(ROWS($AF$2:AF426),$AF$2:$AF$1001,0),0), INDEX($AM$1004:$BM$1004,1,MATCH(COLUMNS($AM$1006:BE1006),$AM$1006:$BM$1006,0)))),"Fix")))</f>
        <v xml:space="preserve"> </v>
      </c>
      <c r="U426" s="4" t="str">
        <f ca="1">IF(OR(INDEX($AG$2:$AG$1001,MATCH(ROWS($AF$2:AF426),$AF$2:$AF$1001,0),1)&gt;=100000,INDEX($AM$1005:$BM$1005,1,MATCH(COLUMNS($AM$1006:BF1006),$AM$1006:$BM$1006,0))&gt;=100000), " ",IF(INDEX($AM$2:$BM$1001,MATCH(ROWS($AF$2:AF426),$AF$2:$AF$1001,0),MATCH(COLUMNS($AM$1006:BF1006),$AM$1006:$BM$1006,0)), HYPERLINK("#",""), HYPERLINK(CONCATENATE("#metadata!", ADDRESS(INDEX($AH$2:$AH$1001,MATCH(ROWS($AF$2:AF426),$AF$2:$AF$1001,0),0), INDEX($AM$1004:$BM$1004,1,MATCH(COLUMNS($AM$1006:BF1006),$AM$1006:$BM$1006,0)))),"Fix")))</f>
        <v xml:space="preserve"> </v>
      </c>
      <c r="V426" s="4" t="str">
        <f ca="1">IF(OR(INDEX($AG$2:$AG$1001,MATCH(ROWS($AF$2:AF426),$AF$2:$AF$1001,0),1)&gt;=100000,INDEX($AM$1005:$BM$1005,1,MATCH(COLUMNS($AM$1006:BG1006),$AM$1006:$BM$1006,0))&gt;=100000), " ",IF(INDEX($AM$2:$BM$1001,MATCH(ROWS($AF$2:AF426),$AF$2:$AF$1001,0),MATCH(COLUMNS($AM$1006:BG1006),$AM$1006:$BM$1006,0)), HYPERLINK("#",""), HYPERLINK(CONCATENATE("#metadata!", ADDRESS(INDEX($AH$2:$AH$1001,MATCH(ROWS($AF$2:AF426),$AF$2:$AF$1001,0),0), INDEX($AM$1004:$BM$1004,1,MATCH(COLUMNS($AM$1006:BG1006),$AM$1006:$BM$1006,0)))),"Fix")))</f>
        <v xml:space="preserve"> </v>
      </c>
      <c r="W426" s="4" t="str">
        <f ca="1">IF(OR(INDEX($AG$2:$AG$1001,MATCH(ROWS($AF$2:AF426),$AF$2:$AF$1001,0),1)&gt;=100000,INDEX($AM$1005:$BM$1005,1,MATCH(COLUMNS($AM$1006:BH1006),$AM$1006:$BM$1006,0))&gt;=100000), " ",IF(INDEX($AM$2:$BM$1001,MATCH(ROWS($AF$2:AF426),$AF$2:$AF$1001,0),MATCH(COLUMNS($AM$1006:BH1006),$AM$1006:$BM$1006,0)), HYPERLINK("#",""), HYPERLINK(CONCATENATE("#metadata!", ADDRESS(INDEX($AH$2:$AH$1001,MATCH(ROWS($AF$2:AF426),$AF$2:$AF$1001,0),0), INDEX($AM$1004:$BM$1004,1,MATCH(COLUMNS($AM$1006:BH1006),$AM$1006:$BM$1006,0)))),"Fix")))</f>
        <v xml:space="preserve"> </v>
      </c>
      <c r="X426" s="4" t="str">
        <f ca="1">IF(OR(INDEX($AG$2:$AG$1001,MATCH(ROWS($AF$2:AF426),$AF$2:$AF$1001,0),1)&gt;=100000,INDEX($AM$1005:$BM$1005,1,MATCH(COLUMNS($AM$1006:BI1006),$AM$1006:$BM$1006,0))&gt;=100000), " ",IF(INDEX($AM$2:$BM$1001,MATCH(ROWS($AF$2:AF426),$AF$2:$AF$1001,0),MATCH(COLUMNS($AM$1006:BI1006),$AM$1006:$BM$1006,0)), HYPERLINK("#",""), HYPERLINK(CONCATENATE("#metadata!", ADDRESS(INDEX($AH$2:$AH$1001,MATCH(ROWS($AF$2:AF426),$AF$2:$AF$1001,0),0), INDEX($AM$1004:$BM$1004,1,MATCH(COLUMNS($AM$1006:BI1006),$AM$1006:$BM$1006,0)))),"Fix")))</f>
        <v xml:space="preserve"> </v>
      </c>
      <c r="Y426" s="4" t="str">
        <f ca="1">IF(OR(INDEX($AG$2:$AG$1001,MATCH(ROWS($AF$2:AF426),$AF$2:$AF$1001,0),1)&gt;=100000,INDEX($AM$1005:$BM$1005,1,MATCH(COLUMNS($AM$1006:BJ1006),$AM$1006:$BM$1006,0))&gt;=100000), " ",IF(INDEX($AM$2:$BM$1001,MATCH(ROWS($AF$2:AF426),$AF$2:$AF$1001,0),MATCH(COLUMNS($AM$1006:BJ1006),$AM$1006:$BM$1006,0)), HYPERLINK("#",""), HYPERLINK(CONCATENATE("#metadata!", ADDRESS(INDEX($AH$2:$AH$1001,MATCH(ROWS($AF$2:AF426),$AF$2:$AF$1001,0),0), INDEX($AM$1004:$BM$1004,1,MATCH(COLUMNS($AM$1006:BJ1006),$AM$1006:$BM$1006,0)))),"Fix")))</f>
        <v xml:space="preserve"> </v>
      </c>
      <c r="Z426" s="4" t="str">
        <f ca="1">IF(OR(INDEX($AG$2:$AG$1001,MATCH(ROWS($AF$2:AF426),$AF$2:$AF$1001,0),1)&gt;=100000,INDEX($AM$1005:$BM$1005,1,MATCH(COLUMNS($AM$1006:BK1006),$AM$1006:$BM$1006,0))&gt;=100000), " ",IF(INDEX($AM$2:$BM$1001,MATCH(ROWS($AF$2:AF426),$AF$2:$AF$1001,0),MATCH(COLUMNS($AM$1006:BK1006),$AM$1006:$BM$1006,0)), HYPERLINK("#",""), HYPERLINK(CONCATENATE("#metadata!", ADDRESS(INDEX($AH$2:$AH$1001,MATCH(ROWS($AF$2:AF426),$AF$2:$AF$1001,0),0), INDEX($AM$1004:$BM$1004,1,MATCH(COLUMNS($AM$1006:BK1006),$AM$1006:$BM$1006,0)))),"Fix")))</f>
        <v xml:space="preserve"> </v>
      </c>
      <c r="AA426" s="4" t="str">
        <f ca="1">IF(OR(INDEX($AG$2:$AG$1001,MATCH(ROWS($AF$2:AF426),$AF$2:$AF$1001,0),1)&gt;=100000,INDEX($AM$1005:$BM$1005,1,MATCH(COLUMNS($AM$1006:BL1006),$AM$1006:$BM$1006,0))&gt;=100000), " ",IF(INDEX($AM$2:$BM$1001,MATCH(ROWS($AF$2:AF426),$AF$2:$AF$1001,0),MATCH(COLUMNS($AM$1006:BL1006),$AM$1006:$BM$1006,0)), HYPERLINK("#",""), HYPERLINK(CONCATENATE("#metadata!", ADDRESS(INDEX($AH$2:$AH$1001,MATCH(ROWS($AF$2:AF426),$AF$2:$AF$1001,0),0), INDEX($AM$1004:$BM$1004,1,MATCH(COLUMNS($AM$1006:BL1006),$AM$1006:$BM$1006,0)))),"Fix")))</f>
        <v xml:space="preserve"> </v>
      </c>
      <c r="AB426" s="4" t="str">
        <f ca="1">IF(OR(INDEX($AG$2:$AG$1001,MATCH(ROWS($AF$2:AF426),$AF$2:$AF$1001,0),1)&gt;=100000,INDEX($AM$1005:$BM$1005,1,MATCH(COLUMNS($AM$1006:BM1006),$AM$1006:$BM$1006,0))&gt;=100000), " ",IF(INDEX($AM$2:$BM$1001,MATCH(ROWS($AF$2:AF426),$AF$2:$AF$1001,0),MATCH(COLUMNS($AM$1006:BM1006),$AM$1006:$BM$1006,0)), HYPERLINK("#",""), HYPERLINK(CONCATENATE("#metadata!", ADDRESS(INDEX($AH$2:$AH$1001,MATCH(ROWS($AF$2:AF426),$AF$2:$AF$1001,0),0), INDEX($AM$1004:$BM$1004,1,MATCH(COLUMNS($AM$1006:BM1006),$AM$1006:$BM$1006,0)))),"Fix")))</f>
        <v xml:space="preserve"> </v>
      </c>
      <c r="AF426">
        <v>425</v>
      </c>
      <c r="AG426">
        <v>100426</v>
      </c>
      <c r="AH426">
        <v>426</v>
      </c>
      <c r="AI426" t="b">
        <f t="shared" si="6"/>
        <v>1</v>
      </c>
      <c r="AJ426" t="b">
        <f>COUNTBLANK(metadata!B426:AB426)=COLUMNS(metadata!B426:AB426)</f>
        <v>1</v>
      </c>
      <c r="AK426" t="str">
        <v/>
      </c>
      <c r="AM426" t="b">
        <f ca="1">AND(IF(metadata!B426="",FALSE,TRUE),COUNTIF(metadata!B:B, metadata!B426) = 1,NOT(ISERROR(SUMPRODUCT(SEARCH(MID(metadata!B426,ROW(INDIRECT("1:"&amp;LEN(metadata!B426))), 1),"0123456789abcdefghijklmnopqrstuvwxyzABCDEFGHIJKLMNOPQRSTUVWXYZ.")))))</f>
        <v>0</v>
      </c>
      <c r="AN426" t="b">
        <f ca="1">OR(AND(IF(metadata!C426="",FALSE,TRUE),OR(EXACT(metadata!C426,"missing: not collected"),EXACT(metadata!C426,"missing: not provided"),EXACT(metadata!C426,"missing: restricted access"))),AND(IF(metadata!C426="",FALSE,TRUE),AND(AND(IFERROR(INT(LEFT(metadata!C426,4))&gt;1900,FALSE),IFERROR(INT(LEFT(metadata!C426,4))&lt;=YEAR(NOW()),FALSE)), OR(MID(metadata!C426,5,1)="", AND(AND(MID(metadata!C426,5,1)="-",IFERROR(INT(MID(metadata!C426,6,1))&gt;=0,FALSE),IFERROR(INT(MID(metadata!C426,6,1))&lt;=1,FALSE),NOT(MID(metadata!C426,7,1)=""),IFERROR(INT(MID(metadata!C426,6,2))&gt;=1,FALSE),IFERROR(INT(MID(metadata!C426,6,2))&lt;=12,FALSE)), OR(MID(metadata!C426,8,1)="", AND(AND(MID(metadata!C426,8,1)="-",IFERROR(INT(MID(metadata!C426,9,1))&gt;=0,FALSE),IFERROR(INT(MID(metadata!C426,9,1))&lt;=3,FALSE),NOT(MID(metadata!C426,10,1)=""),IFERROR(INT(MID(metadata!C426,9,2))&gt;=1,FALSE),IFERROR(INT(MID(metadata!C426,9,2))&lt;=31,FALSE)), OR(MID(metadata!C426,11,1)="", AND(AND(MID(metadata!C426,11,1)=" ",IFERROR(INT(MID(metadata!C426,12,1))&gt;=0,FALSE),IFERROR(INT(MID(metadata!C426,12,1))&lt;=2,FALSE),NOT(MID(metadata!C426,13,1)=""),IFERROR(INT(MID(metadata!C426,12,2))&gt;=0,FALSE),IFERROR(INT(MID(metadata!C426,12,2))&lt;=23,FALSE)), OR(MID(metadata!C426,14,1)="", AND(AND(MID(metadata!C426,14,1)=":",IFERROR(INT(MID(metadata!C426,15,1))&gt;=0,FALSE),IFERROR(INT(MID(metadata!C426,15,1))&lt;=5,FALSE),NOT(MID(metadata!C426,16,1)=""),IFERROR(INT(MID(metadata!C426,15,2))&gt;=0,FALSE),IFERROR(INT(MID(metadata!C426,15,2))&lt;=59,FALSE)), OR(MID(metadata!C426,17,1)="", AND(AND(MID(metadata!C426,17,1)=":",IFERROR(INT(MID(metadata!C426,18,1))&gt;=0,FALSE),IFERROR(INT(MID(metadata!C426,18,1))&lt;=5,FALSE),NOT(MID(metadata!C426,19,1)=""),IFERROR(INT(MID(metadata!C426,18,2))&gt;=0,FALSE),IFERROR(INT(MID(metadata!C426,18,2))&lt;=59,FALSE)), LEN(metadata!C426)&lt;=19)))))))))))))</f>
        <v>0</v>
      </c>
      <c r="AO426" t="b">
        <f>AND(IF(metadata!D426="",FALSE,TRUE),EXACT(metadata!D426,"Not applicable"))</f>
        <v>0</v>
      </c>
      <c r="AP426" t="b">
        <f>IF(metadata!E426="",FALSE,TRUE)</f>
        <v>0</v>
      </c>
      <c r="AQ426" t="b">
        <f>OR(AND(IF(metadata!F426="",FALSE,TRUE),OR(EXACT(metadata!F426,"missing: not collected"),EXACT(metadata!F426,"missing: not provided"))),AND(IF(metadata!F426="",FALSE,TRUE),OR(EXACT(metadata!F426,"TRUE"),EXACT(metadata!F426,"FALSE"))))</f>
        <v>0</v>
      </c>
      <c r="AR426" t="b">
        <f>OR(AND(IF(metadata!G426="",FALSE,TRUE),OR(EXACT(metadata!G426,"missing: not collected"),EXACT(metadata!G426,"missing: not provided"),EXACT(metadata!G426,"missing: restricted access"))),AND(IF(metadata!G426="",FALSE,ISNUMBER(VALUE(metadata!G426))),metadata!G426&gt;=-413))</f>
        <v>0</v>
      </c>
      <c r="AS426" t="b">
        <f>AND(IF(metadata!H426="",FALSE,TRUE),EXACT(metadata!H426,"meters"))</f>
        <v>0</v>
      </c>
      <c r="AT426" t="b">
        <f>AND(IF(metadata!I426="",FALSE,TRUE),OR(EXACT(metadata!I426,"Host-associated"),EXACT(metadata!I426,"Free-living")))</f>
        <v>0</v>
      </c>
      <c r="AU426" t="b">
        <f>AND(IF(metadata!J426="",FALSE,TRUE),OR(EXACT(metadata!J426,"Animal"),EXACT(metadata!J426,"Fungus"),EXACT(metadata!J426,"Plant"),EXACT(metadata!J426,"Saline"),EXACT(metadata!J426,"Non-saline")))</f>
        <v>0</v>
      </c>
      <c r="AV426" t="b">
        <f>AND(IF(metadata!K426="",FALSE,TRUE),OR(EXACT(metadata!K426,"Plant secretion"),EXACT(metadata!K426,"Plant rhizosphere"),EXACT(metadata!K426,"Plant surface"),EXACT(metadata!K426,"Plant corpus"),EXACT(metadata!K426,"Fungus surface"),EXACT(metadata!K426,"Fungus corpus"),EXACT(metadata!K426,"Animal surface"),EXACT(metadata!K426,"Animal proximal gut"),EXACT(metadata!K426,"Animal corpus"),EXACT(metadata!K426,"Animal distal gut"),EXACT(metadata!K426,"Animal secretion"),EXACT(metadata!K426,"Sub-surface (non-saline)"),EXACT(metadata!K426,"Surface (non-saline)"),EXACT(metadata!K426,"Water (non-saline)"),EXACT(metadata!K426,"Soil (non-saline)"),EXACT(metadata!K426,"Aerosol (non-saline)"),EXACT(metadata!K426,"Sediment (non-saline)"),EXACT(metadata!K426,"Surface (saline)"),EXACT(metadata!K426,"Water (saline)"),EXACT(metadata!K426,"Hypersaline (saline)"),EXACT(metadata!K426,"Aerosol (saline)"),EXACT(metadata!K426,"Sediment (saline)")))</f>
        <v>0</v>
      </c>
      <c r="AW426" t="b">
        <f>IF(metadata!L426="",FALSE,TRUE)</f>
        <v>0</v>
      </c>
      <c r="AX426" t="b">
        <f>IF(metadata!M426="",FALSE,TRUE)</f>
        <v>0</v>
      </c>
      <c r="AY426" t="b">
        <f>IF(metadata!N426="",FALSE,TRUE)</f>
        <v>0</v>
      </c>
      <c r="AZ426" t="b">
        <f>OR(AND(IF(metadata!O426="",FALSE,TRUE),OR(EXACT(metadata!O426,"missing: not collected"),EXACT(metadata!O426,"missing: not provided"),EXACT(metadata!O426,"missing: restricted access"))),AND(IF(metadata!O426="",FALSE,TRUE),OR(EXACT(metadata!O426,"air"),EXACT(metadata!O426,"built environment"),EXACT(metadata!O426,"host-associated"),EXACT(metadata!O426,"human-associated"),EXACT(metadata!O426,"human-skin"),EXACT(metadata!O426,"human-oral"),EXACT(metadata!O426,"human-gut"),EXACT(metadata!O426,"human-vaginal"),EXACT(metadata!O426,"microbial mat/biofilm"),EXACT(metadata!O426,"misc environment"),EXACT(metadata!O426,"plant-associated"),EXACT(metadata!O426,"sediment"),EXACT(metadata!O426,"soil"),EXACT(metadata!O426,"wastewater/sludge"),EXACT(metadata!O426,"water"))))</f>
        <v>0</v>
      </c>
      <c r="BA426" t="b">
        <f>IF(metadata!P426="",FALSE,TRUE)</f>
        <v>0</v>
      </c>
      <c r="BB426" t="b">
        <f>IF(metadata!Q426="",FALSE,TRUE)</f>
        <v>0</v>
      </c>
      <c r="BC426" t="b">
        <f>OR(AND(IF(metadata!R426="",FALSE,TRUE),OR(EXACT(metadata!R426,"missing: not collected"),EXACT(metadata!R426,"missing: not provided"),EXACT(metadata!R426,"missing: restricted access"))),AND(IF(metadata!R426="",FALSE,ISNUMBER(VALUE(metadata!R426))),metadata!R426&gt;=-90,metadata!R426&lt;=90))</f>
        <v>0</v>
      </c>
      <c r="BD426" t="b">
        <f>AND(IF(metadata!S426="",FALSE,TRUE),EXACT(metadata!S426,"Decimal degrees"))</f>
        <v>0</v>
      </c>
      <c r="BE426" t="b">
        <f>OR(AND(IF(metadata!T426="",FALSE,TRUE),OR(EXACT(metadata!T426,"missing: not collected"),EXACT(metadata!T426,"missing: not provided"),EXACT(metadata!T426,"missing: restricted access"))),AND(IF(metadata!T426="",FALSE,ISNUMBER(VALUE(metadata!T426))),metadata!T426&gt;=-180,metadata!T426&lt;=180))</f>
        <v>0</v>
      </c>
      <c r="BF426" t="b">
        <f>AND(IF(metadata!U426="",FALSE,TRUE),EXACT(metadata!U426,"Decimal degrees"))</f>
        <v>0</v>
      </c>
      <c r="BG426" t="b">
        <f>IF(metadata!V426="",FALSE,TRUE)</f>
        <v>0</v>
      </c>
      <c r="BH426" t="b">
        <f>OR(AND(IF(metadata!W426="",FALSE,TRUE),OR(EXACT(metadata!W426,"missing: not collected"),EXACT(metadata!W426,"missing: not provided"),EXACT(metadata!W426,"missing: restricted access"))),AND(IF(metadata!W426="",FALSE,TRUE),OR(EXACT(metadata!W426,"TRUE"),EXACT(metadata!W426,"FALSE"))))</f>
        <v>0</v>
      </c>
      <c r="BI426" t="b">
        <f>AND(IF(metadata!X426="",FALSE,TRUE),EXACT(metadata!X426,"other"))</f>
        <v>0</v>
      </c>
      <c r="BJ426" t="b">
        <f>IF(metadata!Y426="",FALSE,TRUE)</f>
        <v>0</v>
      </c>
      <c r="BK426" t="b">
        <f>OR(AND(IF(metadata!Z426="",FALSE,TRUE),OR(EXACT(metadata!Z426,"missing: not collected"),EXACT(metadata!Z426,"missing: not provided"))),AND(IF(metadata!Z426="",FALSE,IF(ISERROR(INT(metadata!Z426)),FALSE,INT(metadata!Z426)=metadata!Z426)),metadata!Z426&gt;0))</f>
        <v>0</v>
      </c>
      <c r="BL426" t="b">
        <f>AND(IF(metadata!AA426="",FALSE,TRUE),EXACT(metadata!AA426,"Not applicable"))</f>
        <v>0</v>
      </c>
      <c r="BM426" t="b">
        <f>IF(metadata!AB426="",FALSE,TRUE)</f>
        <v>0</v>
      </c>
    </row>
    <row r="427" spans="1:65" x14ac:dyDescent="0.2">
      <c r="A427" s="5" t="str">
        <f ca="1">IF(B427=" "," ",HYPERLINK(CONCATENATE("#metadata!",ADDRESS(INDEX($AH$2:$AH$1001,MATCH(ROWS($AF$2:AF427),$AF$2:$AF$1001,0),0),1)),INDEX($AK$2:$AK$1001,MATCH(ROWS($AF$2:AF427),$AF$2:$AF$1001,0),0)))</f>
        <v xml:space="preserve"> </v>
      </c>
      <c r="B427" s="4" t="str">
        <f ca="1">IF(OR(INDEX($AG$2:$AG$1001,MATCH(ROWS($AF$2:AF427),$AF$2:$AF$1001,0),1)&gt;=100000,INDEX($AM$1005:$BM$1005,1,MATCH(COLUMNS($AM$1006:AM1006),$AM$1006:$BM$1006,0))&gt;=100000), " ",IF(INDEX($AM$2:$BM$1001,MATCH(ROWS($AF$2:AF427),$AF$2:$AF$1001,0),MATCH(COLUMNS($AM$1006:AM1006),$AM$1006:$BM$1006,0)), HYPERLINK("#",""), HYPERLINK(CONCATENATE("#metadata!", ADDRESS(INDEX($AH$2:$AH$1001,MATCH(ROWS($AF$2:AF427),$AF$2:$AF$1001,0),0), INDEX($AM$1004:$BM$1004,1,MATCH(COLUMNS($AM$1006:AM1006),$AM$1006:$BM$1006,0)))),"Fix")))</f>
        <v xml:space="preserve"> </v>
      </c>
      <c r="C427" s="4" t="str">
        <f ca="1">IF(OR(INDEX($AG$2:$AG$1001,MATCH(ROWS($AF$2:AF427),$AF$2:$AF$1001,0),1)&gt;=100000,INDEX($AM$1005:$BM$1005,1,MATCH(COLUMNS($AM$1006:AN1006),$AM$1006:$BM$1006,0))&gt;=100000), " ",IF(INDEX($AM$2:$BM$1001,MATCH(ROWS($AF$2:AF427),$AF$2:$AF$1001,0),MATCH(COLUMNS($AM$1006:AN1006),$AM$1006:$BM$1006,0)), HYPERLINK("#",""), HYPERLINK(CONCATENATE("#metadata!", ADDRESS(INDEX($AH$2:$AH$1001,MATCH(ROWS($AF$2:AF427),$AF$2:$AF$1001,0),0), INDEX($AM$1004:$BM$1004,1,MATCH(COLUMNS($AM$1006:AN1006),$AM$1006:$BM$1006,0)))),"Fix")))</f>
        <v xml:space="preserve"> </v>
      </c>
      <c r="D427" s="4" t="str">
        <f ca="1">IF(OR(INDEX($AG$2:$AG$1001,MATCH(ROWS($AF$2:AF427),$AF$2:$AF$1001,0),1)&gt;=100000,INDEX($AM$1005:$BM$1005,1,MATCH(COLUMNS($AM$1006:AO1006),$AM$1006:$BM$1006,0))&gt;=100000), " ",IF(INDEX($AM$2:$BM$1001,MATCH(ROWS($AF$2:AF427),$AF$2:$AF$1001,0),MATCH(COLUMNS($AM$1006:AO1006),$AM$1006:$BM$1006,0)), HYPERLINK("#",""), HYPERLINK(CONCATENATE("#metadata!", ADDRESS(INDEX($AH$2:$AH$1001,MATCH(ROWS($AF$2:AF427),$AF$2:$AF$1001,0),0), INDEX($AM$1004:$BM$1004,1,MATCH(COLUMNS($AM$1006:AO1006),$AM$1006:$BM$1006,0)))),"Fix")))</f>
        <v xml:space="preserve"> </v>
      </c>
      <c r="E427" s="4" t="str">
        <f ca="1">IF(OR(INDEX($AG$2:$AG$1001,MATCH(ROWS($AF$2:AF427),$AF$2:$AF$1001,0),1)&gt;=100000,INDEX($AM$1005:$BM$1005,1,MATCH(COLUMNS($AM$1006:AP1006),$AM$1006:$BM$1006,0))&gt;=100000), " ",IF(INDEX($AM$2:$BM$1001,MATCH(ROWS($AF$2:AF427),$AF$2:$AF$1001,0),MATCH(COLUMNS($AM$1006:AP1006),$AM$1006:$BM$1006,0)), HYPERLINK("#",""), HYPERLINK(CONCATENATE("#metadata!", ADDRESS(INDEX($AH$2:$AH$1001,MATCH(ROWS($AF$2:AF427),$AF$2:$AF$1001,0),0), INDEX($AM$1004:$BM$1004,1,MATCH(COLUMNS($AM$1006:AP1006),$AM$1006:$BM$1006,0)))),"Fix")))</f>
        <v xml:space="preserve"> </v>
      </c>
      <c r="F427" s="4" t="str">
        <f ca="1">IF(OR(INDEX($AG$2:$AG$1001,MATCH(ROWS($AF$2:AF427),$AF$2:$AF$1001,0),1)&gt;=100000,INDEX($AM$1005:$BM$1005,1,MATCH(COLUMNS($AM$1006:AQ1006),$AM$1006:$BM$1006,0))&gt;=100000), " ",IF(INDEX($AM$2:$BM$1001,MATCH(ROWS($AF$2:AF427),$AF$2:$AF$1001,0),MATCH(COLUMNS($AM$1006:AQ1006),$AM$1006:$BM$1006,0)), HYPERLINK("#",""), HYPERLINK(CONCATENATE("#metadata!", ADDRESS(INDEX($AH$2:$AH$1001,MATCH(ROWS($AF$2:AF427),$AF$2:$AF$1001,0),0), INDEX($AM$1004:$BM$1004,1,MATCH(COLUMNS($AM$1006:AQ1006),$AM$1006:$BM$1006,0)))),"Fix")))</f>
        <v xml:space="preserve"> </v>
      </c>
      <c r="G427" s="4" t="str">
        <f ca="1">IF(OR(INDEX($AG$2:$AG$1001,MATCH(ROWS($AF$2:AF427),$AF$2:$AF$1001,0),1)&gt;=100000,INDEX($AM$1005:$BM$1005,1,MATCH(COLUMNS($AM$1006:AR1006),$AM$1006:$BM$1006,0))&gt;=100000), " ",IF(INDEX($AM$2:$BM$1001,MATCH(ROWS($AF$2:AF427),$AF$2:$AF$1001,0),MATCH(COLUMNS($AM$1006:AR1006),$AM$1006:$BM$1006,0)), HYPERLINK("#",""), HYPERLINK(CONCATENATE("#metadata!", ADDRESS(INDEX($AH$2:$AH$1001,MATCH(ROWS($AF$2:AF427),$AF$2:$AF$1001,0),0), INDEX($AM$1004:$BM$1004,1,MATCH(COLUMNS($AM$1006:AR1006),$AM$1006:$BM$1006,0)))),"Fix")))</f>
        <v xml:space="preserve"> </v>
      </c>
      <c r="H427" s="4" t="str">
        <f ca="1">IF(OR(INDEX($AG$2:$AG$1001,MATCH(ROWS($AF$2:AF427),$AF$2:$AF$1001,0),1)&gt;=100000,INDEX($AM$1005:$BM$1005,1,MATCH(COLUMNS($AM$1006:AS1006),$AM$1006:$BM$1006,0))&gt;=100000), " ",IF(INDEX($AM$2:$BM$1001,MATCH(ROWS($AF$2:AF427),$AF$2:$AF$1001,0),MATCH(COLUMNS($AM$1006:AS1006),$AM$1006:$BM$1006,0)), HYPERLINK("#",""), HYPERLINK(CONCATENATE("#metadata!", ADDRESS(INDEX($AH$2:$AH$1001,MATCH(ROWS($AF$2:AF427),$AF$2:$AF$1001,0),0), INDEX($AM$1004:$BM$1004,1,MATCH(COLUMNS($AM$1006:AS1006),$AM$1006:$BM$1006,0)))),"Fix")))</f>
        <v xml:space="preserve"> </v>
      </c>
      <c r="I427" s="4" t="str">
        <f ca="1">IF(OR(INDEX($AG$2:$AG$1001,MATCH(ROWS($AF$2:AF427),$AF$2:$AF$1001,0),1)&gt;=100000,INDEX($AM$1005:$BM$1005,1,MATCH(COLUMNS($AM$1006:AT1006),$AM$1006:$BM$1006,0))&gt;=100000), " ",IF(INDEX($AM$2:$BM$1001,MATCH(ROWS($AF$2:AF427),$AF$2:$AF$1001,0),MATCH(COLUMNS($AM$1006:AT1006),$AM$1006:$BM$1006,0)), HYPERLINK("#",""), HYPERLINK(CONCATENATE("#metadata!", ADDRESS(INDEX($AH$2:$AH$1001,MATCH(ROWS($AF$2:AF427),$AF$2:$AF$1001,0),0), INDEX($AM$1004:$BM$1004,1,MATCH(COLUMNS($AM$1006:AT1006),$AM$1006:$BM$1006,0)))),"Fix")))</f>
        <v xml:space="preserve"> </v>
      </c>
      <c r="J427" s="4" t="str">
        <f ca="1">IF(OR(INDEX($AG$2:$AG$1001,MATCH(ROWS($AF$2:AF427),$AF$2:$AF$1001,0),1)&gt;=100000,INDEX($AM$1005:$BM$1005,1,MATCH(COLUMNS($AM$1006:AU1006),$AM$1006:$BM$1006,0))&gt;=100000), " ",IF(INDEX($AM$2:$BM$1001,MATCH(ROWS($AF$2:AF427),$AF$2:$AF$1001,0),MATCH(COLUMNS($AM$1006:AU1006),$AM$1006:$BM$1006,0)), HYPERLINK("#",""), HYPERLINK(CONCATENATE("#metadata!", ADDRESS(INDEX($AH$2:$AH$1001,MATCH(ROWS($AF$2:AF427),$AF$2:$AF$1001,0),0), INDEX($AM$1004:$BM$1004,1,MATCH(COLUMNS($AM$1006:AU1006),$AM$1006:$BM$1006,0)))),"Fix")))</f>
        <v xml:space="preserve"> </v>
      </c>
      <c r="K427" s="4" t="str">
        <f ca="1">IF(OR(INDEX($AG$2:$AG$1001,MATCH(ROWS($AF$2:AF427),$AF$2:$AF$1001,0),1)&gt;=100000,INDEX($AM$1005:$BM$1005,1,MATCH(COLUMNS($AM$1006:AV1006),$AM$1006:$BM$1006,0))&gt;=100000), " ",IF(INDEX($AM$2:$BM$1001,MATCH(ROWS($AF$2:AF427),$AF$2:$AF$1001,0),MATCH(COLUMNS($AM$1006:AV1006),$AM$1006:$BM$1006,0)), HYPERLINK("#",""), HYPERLINK(CONCATENATE("#metadata!", ADDRESS(INDEX($AH$2:$AH$1001,MATCH(ROWS($AF$2:AF427),$AF$2:$AF$1001,0),0), INDEX($AM$1004:$BM$1004,1,MATCH(COLUMNS($AM$1006:AV1006),$AM$1006:$BM$1006,0)))),"Fix")))</f>
        <v xml:space="preserve"> </v>
      </c>
      <c r="L427" s="4" t="str">
        <f ca="1">IF(OR(INDEX($AG$2:$AG$1001,MATCH(ROWS($AF$2:AF427),$AF$2:$AF$1001,0),1)&gt;=100000,INDEX($AM$1005:$BM$1005,1,MATCH(COLUMNS($AM$1006:AW1006),$AM$1006:$BM$1006,0))&gt;=100000), " ",IF(INDEX($AM$2:$BM$1001,MATCH(ROWS($AF$2:AF427),$AF$2:$AF$1001,0),MATCH(COLUMNS($AM$1006:AW1006),$AM$1006:$BM$1006,0)), HYPERLINK("#",""), HYPERLINK(CONCATENATE("#metadata!", ADDRESS(INDEX($AH$2:$AH$1001,MATCH(ROWS($AF$2:AF427),$AF$2:$AF$1001,0),0), INDEX($AM$1004:$BM$1004,1,MATCH(COLUMNS($AM$1006:AW1006),$AM$1006:$BM$1006,0)))),"Fix")))</f>
        <v xml:space="preserve"> </v>
      </c>
      <c r="M427" s="4" t="str">
        <f ca="1">IF(OR(INDEX($AG$2:$AG$1001,MATCH(ROWS($AF$2:AF427),$AF$2:$AF$1001,0),1)&gt;=100000,INDEX($AM$1005:$BM$1005,1,MATCH(COLUMNS($AM$1006:AX1006),$AM$1006:$BM$1006,0))&gt;=100000), " ",IF(INDEX($AM$2:$BM$1001,MATCH(ROWS($AF$2:AF427),$AF$2:$AF$1001,0),MATCH(COLUMNS($AM$1006:AX1006),$AM$1006:$BM$1006,0)), HYPERLINK("#",""), HYPERLINK(CONCATENATE("#metadata!", ADDRESS(INDEX($AH$2:$AH$1001,MATCH(ROWS($AF$2:AF427),$AF$2:$AF$1001,0),0), INDEX($AM$1004:$BM$1004,1,MATCH(COLUMNS($AM$1006:AX1006),$AM$1006:$BM$1006,0)))),"Fix")))</f>
        <v xml:space="preserve"> </v>
      </c>
      <c r="N427" s="4" t="str">
        <f ca="1">IF(OR(INDEX($AG$2:$AG$1001,MATCH(ROWS($AF$2:AF427),$AF$2:$AF$1001,0),1)&gt;=100000,INDEX($AM$1005:$BM$1005,1,MATCH(COLUMNS($AM$1006:AY1006),$AM$1006:$BM$1006,0))&gt;=100000), " ",IF(INDEX($AM$2:$BM$1001,MATCH(ROWS($AF$2:AF427),$AF$2:$AF$1001,0),MATCH(COLUMNS($AM$1006:AY1006),$AM$1006:$BM$1006,0)), HYPERLINK("#",""), HYPERLINK(CONCATENATE("#metadata!", ADDRESS(INDEX($AH$2:$AH$1001,MATCH(ROWS($AF$2:AF427),$AF$2:$AF$1001,0),0), INDEX($AM$1004:$BM$1004,1,MATCH(COLUMNS($AM$1006:AY1006),$AM$1006:$BM$1006,0)))),"Fix")))</f>
        <v xml:space="preserve"> </v>
      </c>
      <c r="O427" s="4" t="str">
        <f ca="1">IF(OR(INDEX($AG$2:$AG$1001,MATCH(ROWS($AF$2:AF427),$AF$2:$AF$1001,0),1)&gt;=100000,INDEX($AM$1005:$BM$1005,1,MATCH(COLUMNS($AM$1006:AZ1006),$AM$1006:$BM$1006,0))&gt;=100000), " ",IF(INDEX($AM$2:$BM$1001,MATCH(ROWS($AF$2:AF427),$AF$2:$AF$1001,0),MATCH(COLUMNS($AM$1006:AZ1006),$AM$1006:$BM$1006,0)), HYPERLINK("#",""), HYPERLINK(CONCATENATE("#metadata!", ADDRESS(INDEX($AH$2:$AH$1001,MATCH(ROWS($AF$2:AF427),$AF$2:$AF$1001,0),0), INDEX($AM$1004:$BM$1004,1,MATCH(COLUMNS($AM$1006:AZ1006),$AM$1006:$BM$1006,0)))),"Fix")))</f>
        <v xml:space="preserve"> </v>
      </c>
      <c r="P427" s="4" t="str">
        <f ca="1">IF(OR(INDEX($AG$2:$AG$1001,MATCH(ROWS($AF$2:AF427),$AF$2:$AF$1001,0),1)&gt;=100000,INDEX($AM$1005:$BM$1005,1,MATCH(COLUMNS($AM$1006:BA1006),$AM$1006:$BM$1006,0))&gt;=100000), " ",IF(INDEX($AM$2:$BM$1001,MATCH(ROWS($AF$2:AF427),$AF$2:$AF$1001,0),MATCH(COLUMNS($AM$1006:BA1006),$AM$1006:$BM$1006,0)), HYPERLINK("#",""), HYPERLINK(CONCATENATE("#metadata!", ADDRESS(INDEX($AH$2:$AH$1001,MATCH(ROWS($AF$2:AF427),$AF$2:$AF$1001,0),0), INDEX($AM$1004:$BM$1004,1,MATCH(COLUMNS($AM$1006:BA1006),$AM$1006:$BM$1006,0)))),"Fix")))</f>
        <v xml:space="preserve"> </v>
      </c>
      <c r="Q427" s="4" t="str">
        <f ca="1">IF(OR(INDEX($AG$2:$AG$1001,MATCH(ROWS($AF$2:AF427),$AF$2:$AF$1001,0),1)&gt;=100000,INDEX($AM$1005:$BM$1005,1,MATCH(COLUMNS($AM$1006:BB1006),$AM$1006:$BM$1006,0))&gt;=100000), " ",IF(INDEX($AM$2:$BM$1001,MATCH(ROWS($AF$2:AF427),$AF$2:$AF$1001,0),MATCH(COLUMNS($AM$1006:BB1006),$AM$1006:$BM$1006,0)), HYPERLINK("#",""), HYPERLINK(CONCATENATE("#metadata!", ADDRESS(INDEX($AH$2:$AH$1001,MATCH(ROWS($AF$2:AF427),$AF$2:$AF$1001,0),0), INDEX($AM$1004:$BM$1004,1,MATCH(COLUMNS($AM$1006:BB1006),$AM$1006:$BM$1006,0)))),"Fix")))</f>
        <v xml:space="preserve"> </v>
      </c>
      <c r="R427" s="4" t="str">
        <f ca="1">IF(OR(INDEX($AG$2:$AG$1001,MATCH(ROWS($AF$2:AF427),$AF$2:$AF$1001,0),1)&gt;=100000,INDEX($AM$1005:$BM$1005,1,MATCH(COLUMNS($AM$1006:BC1006),$AM$1006:$BM$1006,0))&gt;=100000), " ",IF(INDEX($AM$2:$BM$1001,MATCH(ROWS($AF$2:AF427),$AF$2:$AF$1001,0),MATCH(COLUMNS($AM$1006:BC1006),$AM$1006:$BM$1006,0)), HYPERLINK("#",""), HYPERLINK(CONCATENATE("#metadata!", ADDRESS(INDEX($AH$2:$AH$1001,MATCH(ROWS($AF$2:AF427),$AF$2:$AF$1001,0),0), INDEX($AM$1004:$BM$1004,1,MATCH(COLUMNS($AM$1006:BC1006),$AM$1006:$BM$1006,0)))),"Fix")))</f>
        <v xml:space="preserve"> </v>
      </c>
      <c r="S427" s="4" t="str">
        <f ca="1">IF(OR(INDEX($AG$2:$AG$1001,MATCH(ROWS($AF$2:AF427),$AF$2:$AF$1001,0),1)&gt;=100000,INDEX($AM$1005:$BM$1005,1,MATCH(COLUMNS($AM$1006:BD1006),$AM$1006:$BM$1006,0))&gt;=100000), " ",IF(INDEX($AM$2:$BM$1001,MATCH(ROWS($AF$2:AF427),$AF$2:$AF$1001,0),MATCH(COLUMNS($AM$1006:BD1006),$AM$1006:$BM$1006,0)), HYPERLINK("#",""), HYPERLINK(CONCATENATE("#metadata!", ADDRESS(INDEX($AH$2:$AH$1001,MATCH(ROWS($AF$2:AF427),$AF$2:$AF$1001,0),0), INDEX($AM$1004:$BM$1004,1,MATCH(COLUMNS($AM$1006:BD1006),$AM$1006:$BM$1006,0)))),"Fix")))</f>
        <v xml:space="preserve"> </v>
      </c>
      <c r="T427" s="4" t="str">
        <f ca="1">IF(OR(INDEX($AG$2:$AG$1001,MATCH(ROWS($AF$2:AF427),$AF$2:$AF$1001,0),1)&gt;=100000,INDEX($AM$1005:$BM$1005,1,MATCH(COLUMNS($AM$1006:BE1006),$AM$1006:$BM$1006,0))&gt;=100000), " ",IF(INDEX($AM$2:$BM$1001,MATCH(ROWS($AF$2:AF427),$AF$2:$AF$1001,0),MATCH(COLUMNS($AM$1006:BE1006),$AM$1006:$BM$1006,0)), HYPERLINK("#",""), HYPERLINK(CONCATENATE("#metadata!", ADDRESS(INDEX($AH$2:$AH$1001,MATCH(ROWS($AF$2:AF427),$AF$2:$AF$1001,0),0), INDEX($AM$1004:$BM$1004,1,MATCH(COLUMNS($AM$1006:BE1006),$AM$1006:$BM$1006,0)))),"Fix")))</f>
        <v xml:space="preserve"> </v>
      </c>
      <c r="U427" s="4" t="str">
        <f ca="1">IF(OR(INDEX($AG$2:$AG$1001,MATCH(ROWS($AF$2:AF427),$AF$2:$AF$1001,0),1)&gt;=100000,INDEX($AM$1005:$BM$1005,1,MATCH(COLUMNS($AM$1006:BF1006),$AM$1006:$BM$1006,0))&gt;=100000), " ",IF(INDEX($AM$2:$BM$1001,MATCH(ROWS($AF$2:AF427),$AF$2:$AF$1001,0),MATCH(COLUMNS($AM$1006:BF1006),$AM$1006:$BM$1006,0)), HYPERLINK("#",""), HYPERLINK(CONCATENATE("#metadata!", ADDRESS(INDEX($AH$2:$AH$1001,MATCH(ROWS($AF$2:AF427),$AF$2:$AF$1001,0),0), INDEX($AM$1004:$BM$1004,1,MATCH(COLUMNS($AM$1006:BF1006),$AM$1006:$BM$1006,0)))),"Fix")))</f>
        <v xml:space="preserve"> </v>
      </c>
      <c r="V427" s="4" t="str">
        <f ca="1">IF(OR(INDEX($AG$2:$AG$1001,MATCH(ROWS($AF$2:AF427),$AF$2:$AF$1001,0),1)&gt;=100000,INDEX($AM$1005:$BM$1005,1,MATCH(COLUMNS($AM$1006:BG1006),$AM$1006:$BM$1006,0))&gt;=100000), " ",IF(INDEX($AM$2:$BM$1001,MATCH(ROWS($AF$2:AF427),$AF$2:$AF$1001,0),MATCH(COLUMNS($AM$1006:BG1006),$AM$1006:$BM$1006,0)), HYPERLINK("#",""), HYPERLINK(CONCATENATE("#metadata!", ADDRESS(INDEX($AH$2:$AH$1001,MATCH(ROWS($AF$2:AF427),$AF$2:$AF$1001,0),0), INDEX($AM$1004:$BM$1004,1,MATCH(COLUMNS($AM$1006:BG1006),$AM$1006:$BM$1006,0)))),"Fix")))</f>
        <v xml:space="preserve"> </v>
      </c>
      <c r="W427" s="4" t="str">
        <f ca="1">IF(OR(INDEX($AG$2:$AG$1001,MATCH(ROWS($AF$2:AF427),$AF$2:$AF$1001,0),1)&gt;=100000,INDEX($AM$1005:$BM$1005,1,MATCH(COLUMNS($AM$1006:BH1006),$AM$1006:$BM$1006,0))&gt;=100000), " ",IF(INDEX($AM$2:$BM$1001,MATCH(ROWS($AF$2:AF427),$AF$2:$AF$1001,0),MATCH(COLUMNS($AM$1006:BH1006),$AM$1006:$BM$1006,0)), HYPERLINK("#",""), HYPERLINK(CONCATENATE("#metadata!", ADDRESS(INDEX($AH$2:$AH$1001,MATCH(ROWS($AF$2:AF427),$AF$2:$AF$1001,0),0), INDEX($AM$1004:$BM$1004,1,MATCH(COLUMNS($AM$1006:BH1006),$AM$1006:$BM$1006,0)))),"Fix")))</f>
        <v xml:space="preserve"> </v>
      </c>
      <c r="X427" s="4" t="str">
        <f ca="1">IF(OR(INDEX($AG$2:$AG$1001,MATCH(ROWS($AF$2:AF427),$AF$2:$AF$1001,0),1)&gt;=100000,INDEX($AM$1005:$BM$1005,1,MATCH(COLUMNS($AM$1006:BI1006),$AM$1006:$BM$1006,0))&gt;=100000), " ",IF(INDEX($AM$2:$BM$1001,MATCH(ROWS($AF$2:AF427),$AF$2:$AF$1001,0),MATCH(COLUMNS($AM$1006:BI1006),$AM$1006:$BM$1006,0)), HYPERLINK("#",""), HYPERLINK(CONCATENATE("#metadata!", ADDRESS(INDEX($AH$2:$AH$1001,MATCH(ROWS($AF$2:AF427),$AF$2:$AF$1001,0),0), INDEX($AM$1004:$BM$1004,1,MATCH(COLUMNS($AM$1006:BI1006),$AM$1006:$BM$1006,0)))),"Fix")))</f>
        <v xml:space="preserve"> </v>
      </c>
      <c r="Y427" s="4" t="str">
        <f ca="1">IF(OR(INDEX($AG$2:$AG$1001,MATCH(ROWS($AF$2:AF427),$AF$2:$AF$1001,0),1)&gt;=100000,INDEX($AM$1005:$BM$1005,1,MATCH(COLUMNS($AM$1006:BJ1006),$AM$1006:$BM$1006,0))&gt;=100000), " ",IF(INDEX($AM$2:$BM$1001,MATCH(ROWS($AF$2:AF427),$AF$2:$AF$1001,0),MATCH(COLUMNS($AM$1006:BJ1006),$AM$1006:$BM$1006,0)), HYPERLINK("#",""), HYPERLINK(CONCATENATE("#metadata!", ADDRESS(INDEX($AH$2:$AH$1001,MATCH(ROWS($AF$2:AF427),$AF$2:$AF$1001,0),0), INDEX($AM$1004:$BM$1004,1,MATCH(COLUMNS($AM$1006:BJ1006),$AM$1006:$BM$1006,0)))),"Fix")))</f>
        <v xml:space="preserve"> </v>
      </c>
      <c r="Z427" s="4" t="str">
        <f ca="1">IF(OR(INDEX($AG$2:$AG$1001,MATCH(ROWS($AF$2:AF427),$AF$2:$AF$1001,0),1)&gt;=100000,INDEX($AM$1005:$BM$1005,1,MATCH(COLUMNS($AM$1006:BK1006),$AM$1006:$BM$1006,0))&gt;=100000), " ",IF(INDEX($AM$2:$BM$1001,MATCH(ROWS($AF$2:AF427),$AF$2:$AF$1001,0),MATCH(COLUMNS($AM$1006:BK1006),$AM$1006:$BM$1006,0)), HYPERLINK("#",""), HYPERLINK(CONCATENATE("#metadata!", ADDRESS(INDEX($AH$2:$AH$1001,MATCH(ROWS($AF$2:AF427),$AF$2:$AF$1001,0),0), INDEX($AM$1004:$BM$1004,1,MATCH(COLUMNS($AM$1006:BK1006),$AM$1006:$BM$1006,0)))),"Fix")))</f>
        <v xml:space="preserve"> </v>
      </c>
      <c r="AA427" s="4" t="str">
        <f ca="1">IF(OR(INDEX($AG$2:$AG$1001,MATCH(ROWS($AF$2:AF427),$AF$2:$AF$1001,0),1)&gt;=100000,INDEX($AM$1005:$BM$1005,1,MATCH(COLUMNS($AM$1006:BL1006),$AM$1006:$BM$1006,0))&gt;=100000), " ",IF(INDEX($AM$2:$BM$1001,MATCH(ROWS($AF$2:AF427),$AF$2:$AF$1001,0),MATCH(COLUMNS($AM$1006:BL1006),$AM$1006:$BM$1006,0)), HYPERLINK("#",""), HYPERLINK(CONCATENATE("#metadata!", ADDRESS(INDEX($AH$2:$AH$1001,MATCH(ROWS($AF$2:AF427),$AF$2:$AF$1001,0),0), INDEX($AM$1004:$BM$1004,1,MATCH(COLUMNS($AM$1006:BL1006),$AM$1006:$BM$1006,0)))),"Fix")))</f>
        <v xml:space="preserve"> </v>
      </c>
      <c r="AB427" s="4" t="str">
        <f ca="1">IF(OR(INDEX($AG$2:$AG$1001,MATCH(ROWS($AF$2:AF427),$AF$2:$AF$1001,0),1)&gt;=100000,INDEX($AM$1005:$BM$1005,1,MATCH(COLUMNS($AM$1006:BM1006),$AM$1006:$BM$1006,0))&gt;=100000), " ",IF(INDEX($AM$2:$BM$1001,MATCH(ROWS($AF$2:AF427),$AF$2:$AF$1001,0),MATCH(COLUMNS($AM$1006:BM1006),$AM$1006:$BM$1006,0)), HYPERLINK("#",""), HYPERLINK(CONCATENATE("#metadata!", ADDRESS(INDEX($AH$2:$AH$1001,MATCH(ROWS($AF$2:AF427),$AF$2:$AF$1001,0),0), INDEX($AM$1004:$BM$1004,1,MATCH(COLUMNS($AM$1006:BM1006),$AM$1006:$BM$1006,0)))),"Fix")))</f>
        <v xml:space="preserve"> </v>
      </c>
      <c r="AF427">
        <v>426</v>
      </c>
      <c r="AG427">
        <v>100427</v>
      </c>
      <c r="AH427">
        <v>427</v>
      </c>
      <c r="AI427" t="b">
        <f t="shared" si="6"/>
        <v>1</v>
      </c>
      <c r="AJ427" t="b">
        <f>COUNTBLANK(metadata!B427:AB427)=COLUMNS(metadata!B427:AB427)</f>
        <v>1</v>
      </c>
      <c r="AK427" t="str">
        <v/>
      </c>
      <c r="AM427" t="b">
        <f ca="1">AND(IF(metadata!B427="",FALSE,TRUE),COUNTIF(metadata!B:B, metadata!B427) = 1,NOT(ISERROR(SUMPRODUCT(SEARCH(MID(metadata!B427,ROW(INDIRECT("1:"&amp;LEN(metadata!B427))), 1),"0123456789abcdefghijklmnopqrstuvwxyzABCDEFGHIJKLMNOPQRSTUVWXYZ.")))))</f>
        <v>0</v>
      </c>
      <c r="AN427" t="b">
        <f ca="1">OR(AND(IF(metadata!C427="",FALSE,TRUE),OR(EXACT(metadata!C427,"missing: not collected"),EXACT(metadata!C427,"missing: not provided"),EXACT(metadata!C427,"missing: restricted access"))),AND(IF(metadata!C427="",FALSE,TRUE),AND(AND(IFERROR(INT(LEFT(metadata!C427,4))&gt;1900,FALSE),IFERROR(INT(LEFT(metadata!C427,4))&lt;=YEAR(NOW()),FALSE)), OR(MID(metadata!C427,5,1)="", AND(AND(MID(metadata!C427,5,1)="-",IFERROR(INT(MID(metadata!C427,6,1))&gt;=0,FALSE),IFERROR(INT(MID(metadata!C427,6,1))&lt;=1,FALSE),NOT(MID(metadata!C427,7,1)=""),IFERROR(INT(MID(metadata!C427,6,2))&gt;=1,FALSE),IFERROR(INT(MID(metadata!C427,6,2))&lt;=12,FALSE)), OR(MID(metadata!C427,8,1)="", AND(AND(MID(metadata!C427,8,1)="-",IFERROR(INT(MID(metadata!C427,9,1))&gt;=0,FALSE),IFERROR(INT(MID(metadata!C427,9,1))&lt;=3,FALSE),NOT(MID(metadata!C427,10,1)=""),IFERROR(INT(MID(metadata!C427,9,2))&gt;=1,FALSE),IFERROR(INT(MID(metadata!C427,9,2))&lt;=31,FALSE)), OR(MID(metadata!C427,11,1)="", AND(AND(MID(metadata!C427,11,1)=" ",IFERROR(INT(MID(metadata!C427,12,1))&gt;=0,FALSE),IFERROR(INT(MID(metadata!C427,12,1))&lt;=2,FALSE),NOT(MID(metadata!C427,13,1)=""),IFERROR(INT(MID(metadata!C427,12,2))&gt;=0,FALSE),IFERROR(INT(MID(metadata!C427,12,2))&lt;=23,FALSE)), OR(MID(metadata!C427,14,1)="", AND(AND(MID(metadata!C427,14,1)=":",IFERROR(INT(MID(metadata!C427,15,1))&gt;=0,FALSE),IFERROR(INT(MID(metadata!C427,15,1))&lt;=5,FALSE),NOT(MID(metadata!C427,16,1)=""),IFERROR(INT(MID(metadata!C427,15,2))&gt;=0,FALSE),IFERROR(INT(MID(metadata!C427,15,2))&lt;=59,FALSE)), OR(MID(metadata!C427,17,1)="", AND(AND(MID(metadata!C427,17,1)=":",IFERROR(INT(MID(metadata!C427,18,1))&gt;=0,FALSE),IFERROR(INT(MID(metadata!C427,18,1))&lt;=5,FALSE),NOT(MID(metadata!C427,19,1)=""),IFERROR(INT(MID(metadata!C427,18,2))&gt;=0,FALSE),IFERROR(INT(MID(metadata!C427,18,2))&lt;=59,FALSE)), LEN(metadata!C427)&lt;=19)))))))))))))</f>
        <v>0</v>
      </c>
      <c r="AO427" t="b">
        <f>AND(IF(metadata!D427="",FALSE,TRUE),EXACT(metadata!D427,"Not applicable"))</f>
        <v>0</v>
      </c>
      <c r="AP427" t="b">
        <f>IF(metadata!E427="",FALSE,TRUE)</f>
        <v>0</v>
      </c>
      <c r="AQ427" t="b">
        <f>OR(AND(IF(metadata!F427="",FALSE,TRUE),OR(EXACT(metadata!F427,"missing: not collected"),EXACT(metadata!F427,"missing: not provided"))),AND(IF(metadata!F427="",FALSE,TRUE),OR(EXACT(metadata!F427,"TRUE"),EXACT(metadata!F427,"FALSE"))))</f>
        <v>0</v>
      </c>
      <c r="AR427" t="b">
        <f>OR(AND(IF(metadata!G427="",FALSE,TRUE),OR(EXACT(metadata!G427,"missing: not collected"),EXACT(metadata!G427,"missing: not provided"),EXACT(metadata!G427,"missing: restricted access"))),AND(IF(metadata!G427="",FALSE,ISNUMBER(VALUE(metadata!G427))),metadata!G427&gt;=-413))</f>
        <v>0</v>
      </c>
      <c r="AS427" t="b">
        <f>AND(IF(metadata!H427="",FALSE,TRUE),EXACT(metadata!H427,"meters"))</f>
        <v>0</v>
      </c>
      <c r="AT427" t="b">
        <f>AND(IF(metadata!I427="",FALSE,TRUE),OR(EXACT(metadata!I427,"Host-associated"),EXACT(metadata!I427,"Free-living")))</f>
        <v>0</v>
      </c>
      <c r="AU427" t="b">
        <f>AND(IF(metadata!J427="",FALSE,TRUE),OR(EXACT(metadata!J427,"Animal"),EXACT(metadata!J427,"Fungus"),EXACT(metadata!J427,"Plant"),EXACT(metadata!J427,"Saline"),EXACT(metadata!J427,"Non-saline")))</f>
        <v>0</v>
      </c>
      <c r="AV427" t="b">
        <f>AND(IF(metadata!K427="",FALSE,TRUE),OR(EXACT(metadata!K427,"Plant secretion"),EXACT(metadata!K427,"Plant rhizosphere"),EXACT(metadata!K427,"Plant surface"),EXACT(metadata!K427,"Plant corpus"),EXACT(metadata!K427,"Fungus surface"),EXACT(metadata!K427,"Fungus corpus"),EXACT(metadata!K427,"Animal surface"),EXACT(metadata!K427,"Animal proximal gut"),EXACT(metadata!K427,"Animal corpus"),EXACT(metadata!K427,"Animal distal gut"),EXACT(metadata!K427,"Animal secretion"),EXACT(metadata!K427,"Sub-surface (non-saline)"),EXACT(metadata!K427,"Surface (non-saline)"),EXACT(metadata!K427,"Water (non-saline)"),EXACT(metadata!K427,"Soil (non-saline)"),EXACT(metadata!K427,"Aerosol (non-saline)"),EXACT(metadata!K427,"Sediment (non-saline)"),EXACT(metadata!K427,"Surface (saline)"),EXACT(metadata!K427,"Water (saline)"),EXACT(metadata!K427,"Hypersaline (saline)"),EXACT(metadata!K427,"Aerosol (saline)"),EXACT(metadata!K427,"Sediment (saline)")))</f>
        <v>0</v>
      </c>
      <c r="AW427" t="b">
        <f>IF(metadata!L427="",FALSE,TRUE)</f>
        <v>0</v>
      </c>
      <c r="AX427" t="b">
        <f>IF(metadata!M427="",FALSE,TRUE)</f>
        <v>0</v>
      </c>
      <c r="AY427" t="b">
        <f>IF(metadata!N427="",FALSE,TRUE)</f>
        <v>0</v>
      </c>
      <c r="AZ427" t="b">
        <f>OR(AND(IF(metadata!O427="",FALSE,TRUE),OR(EXACT(metadata!O427,"missing: not collected"),EXACT(metadata!O427,"missing: not provided"),EXACT(metadata!O427,"missing: restricted access"))),AND(IF(metadata!O427="",FALSE,TRUE),OR(EXACT(metadata!O427,"air"),EXACT(metadata!O427,"built environment"),EXACT(metadata!O427,"host-associated"),EXACT(metadata!O427,"human-associated"),EXACT(metadata!O427,"human-skin"),EXACT(metadata!O427,"human-oral"),EXACT(metadata!O427,"human-gut"),EXACT(metadata!O427,"human-vaginal"),EXACT(metadata!O427,"microbial mat/biofilm"),EXACT(metadata!O427,"misc environment"),EXACT(metadata!O427,"plant-associated"),EXACT(metadata!O427,"sediment"),EXACT(metadata!O427,"soil"),EXACT(metadata!O427,"wastewater/sludge"),EXACT(metadata!O427,"water"))))</f>
        <v>0</v>
      </c>
      <c r="BA427" t="b">
        <f>IF(metadata!P427="",FALSE,TRUE)</f>
        <v>0</v>
      </c>
      <c r="BB427" t="b">
        <f>IF(metadata!Q427="",FALSE,TRUE)</f>
        <v>0</v>
      </c>
      <c r="BC427" t="b">
        <f>OR(AND(IF(metadata!R427="",FALSE,TRUE),OR(EXACT(metadata!R427,"missing: not collected"),EXACT(metadata!R427,"missing: not provided"),EXACT(metadata!R427,"missing: restricted access"))),AND(IF(metadata!R427="",FALSE,ISNUMBER(VALUE(metadata!R427))),metadata!R427&gt;=-90,metadata!R427&lt;=90))</f>
        <v>0</v>
      </c>
      <c r="BD427" t="b">
        <f>AND(IF(metadata!S427="",FALSE,TRUE),EXACT(metadata!S427,"Decimal degrees"))</f>
        <v>0</v>
      </c>
      <c r="BE427" t="b">
        <f>OR(AND(IF(metadata!T427="",FALSE,TRUE),OR(EXACT(metadata!T427,"missing: not collected"),EXACT(metadata!T427,"missing: not provided"),EXACT(metadata!T427,"missing: restricted access"))),AND(IF(metadata!T427="",FALSE,ISNUMBER(VALUE(metadata!T427))),metadata!T427&gt;=-180,metadata!T427&lt;=180))</f>
        <v>0</v>
      </c>
      <c r="BF427" t="b">
        <f>AND(IF(metadata!U427="",FALSE,TRUE),EXACT(metadata!U427,"Decimal degrees"))</f>
        <v>0</v>
      </c>
      <c r="BG427" t="b">
        <f>IF(metadata!V427="",FALSE,TRUE)</f>
        <v>0</v>
      </c>
      <c r="BH427" t="b">
        <f>OR(AND(IF(metadata!W427="",FALSE,TRUE),OR(EXACT(metadata!W427,"missing: not collected"),EXACT(metadata!W427,"missing: not provided"),EXACT(metadata!W427,"missing: restricted access"))),AND(IF(metadata!W427="",FALSE,TRUE),OR(EXACT(metadata!W427,"TRUE"),EXACT(metadata!W427,"FALSE"))))</f>
        <v>0</v>
      </c>
      <c r="BI427" t="b">
        <f>AND(IF(metadata!X427="",FALSE,TRUE),EXACT(metadata!X427,"other"))</f>
        <v>0</v>
      </c>
      <c r="BJ427" t="b">
        <f>IF(metadata!Y427="",FALSE,TRUE)</f>
        <v>0</v>
      </c>
      <c r="BK427" t="b">
        <f>OR(AND(IF(metadata!Z427="",FALSE,TRUE),OR(EXACT(metadata!Z427,"missing: not collected"),EXACT(metadata!Z427,"missing: not provided"))),AND(IF(metadata!Z427="",FALSE,IF(ISERROR(INT(metadata!Z427)),FALSE,INT(metadata!Z427)=metadata!Z427)),metadata!Z427&gt;0))</f>
        <v>0</v>
      </c>
      <c r="BL427" t="b">
        <f>AND(IF(metadata!AA427="",FALSE,TRUE),EXACT(metadata!AA427,"Not applicable"))</f>
        <v>0</v>
      </c>
      <c r="BM427" t="b">
        <f>IF(metadata!AB427="",FALSE,TRUE)</f>
        <v>0</v>
      </c>
    </row>
    <row r="428" spans="1:65" x14ac:dyDescent="0.2">
      <c r="A428" s="5" t="str">
        <f ca="1">IF(B428=" "," ",HYPERLINK(CONCATENATE("#metadata!",ADDRESS(INDEX($AH$2:$AH$1001,MATCH(ROWS($AF$2:AF428),$AF$2:$AF$1001,0),0),1)),INDEX($AK$2:$AK$1001,MATCH(ROWS($AF$2:AF428),$AF$2:$AF$1001,0),0)))</f>
        <v xml:space="preserve"> </v>
      </c>
      <c r="B428" s="4" t="str">
        <f ca="1">IF(OR(INDEX($AG$2:$AG$1001,MATCH(ROWS($AF$2:AF428),$AF$2:$AF$1001,0),1)&gt;=100000,INDEX($AM$1005:$BM$1005,1,MATCH(COLUMNS($AM$1006:AM1006),$AM$1006:$BM$1006,0))&gt;=100000), " ",IF(INDEX($AM$2:$BM$1001,MATCH(ROWS($AF$2:AF428),$AF$2:$AF$1001,0),MATCH(COLUMNS($AM$1006:AM1006),$AM$1006:$BM$1006,0)), HYPERLINK("#",""), HYPERLINK(CONCATENATE("#metadata!", ADDRESS(INDEX($AH$2:$AH$1001,MATCH(ROWS($AF$2:AF428),$AF$2:$AF$1001,0),0), INDEX($AM$1004:$BM$1004,1,MATCH(COLUMNS($AM$1006:AM1006),$AM$1006:$BM$1006,0)))),"Fix")))</f>
        <v xml:space="preserve"> </v>
      </c>
      <c r="C428" s="4" t="str">
        <f ca="1">IF(OR(INDEX($AG$2:$AG$1001,MATCH(ROWS($AF$2:AF428),$AF$2:$AF$1001,0),1)&gt;=100000,INDEX($AM$1005:$BM$1005,1,MATCH(COLUMNS($AM$1006:AN1006),$AM$1006:$BM$1006,0))&gt;=100000), " ",IF(INDEX($AM$2:$BM$1001,MATCH(ROWS($AF$2:AF428),$AF$2:$AF$1001,0),MATCH(COLUMNS($AM$1006:AN1006),$AM$1006:$BM$1006,0)), HYPERLINK("#",""), HYPERLINK(CONCATENATE("#metadata!", ADDRESS(INDEX($AH$2:$AH$1001,MATCH(ROWS($AF$2:AF428),$AF$2:$AF$1001,0),0), INDEX($AM$1004:$BM$1004,1,MATCH(COLUMNS($AM$1006:AN1006),$AM$1006:$BM$1006,0)))),"Fix")))</f>
        <v xml:space="preserve"> </v>
      </c>
      <c r="D428" s="4" t="str">
        <f ca="1">IF(OR(INDEX($AG$2:$AG$1001,MATCH(ROWS($AF$2:AF428),$AF$2:$AF$1001,0),1)&gt;=100000,INDEX($AM$1005:$BM$1005,1,MATCH(COLUMNS($AM$1006:AO1006),$AM$1006:$BM$1006,0))&gt;=100000), " ",IF(INDEX($AM$2:$BM$1001,MATCH(ROWS($AF$2:AF428),$AF$2:$AF$1001,0),MATCH(COLUMNS($AM$1006:AO1006),$AM$1006:$BM$1006,0)), HYPERLINK("#",""), HYPERLINK(CONCATENATE("#metadata!", ADDRESS(INDEX($AH$2:$AH$1001,MATCH(ROWS($AF$2:AF428),$AF$2:$AF$1001,0),0), INDEX($AM$1004:$BM$1004,1,MATCH(COLUMNS($AM$1006:AO1006),$AM$1006:$BM$1006,0)))),"Fix")))</f>
        <v xml:space="preserve"> </v>
      </c>
      <c r="E428" s="4" t="str">
        <f ca="1">IF(OR(INDEX($AG$2:$AG$1001,MATCH(ROWS($AF$2:AF428),$AF$2:$AF$1001,0),1)&gt;=100000,INDEX($AM$1005:$BM$1005,1,MATCH(COLUMNS($AM$1006:AP1006),$AM$1006:$BM$1006,0))&gt;=100000), " ",IF(INDEX($AM$2:$BM$1001,MATCH(ROWS($AF$2:AF428),$AF$2:$AF$1001,0),MATCH(COLUMNS($AM$1006:AP1006),$AM$1006:$BM$1006,0)), HYPERLINK("#",""), HYPERLINK(CONCATENATE("#metadata!", ADDRESS(INDEX($AH$2:$AH$1001,MATCH(ROWS($AF$2:AF428),$AF$2:$AF$1001,0),0), INDEX($AM$1004:$BM$1004,1,MATCH(COLUMNS($AM$1006:AP1006),$AM$1006:$BM$1006,0)))),"Fix")))</f>
        <v xml:space="preserve"> </v>
      </c>
      <c r="F428" s="4" t="str">
        <f ca="1">IF(OR(INDEX($AG$2:$AG$1001,MATCH(ROWS($AF$2:AF428),$AF$2:$AF$1001,0),1)&gt;=100000,INDEX($AM$1005:$BM$1005,1,MATCH(COLUMNS($AM$1006:AQ1006),$AM$1006:$BM$1006,0))&gt;=100000), " ",IF(INDEX($AM$2:$BM$1001,MATCH(ROWS($AF$2:AF428),$AF$2:$AF$1001,0),MATCH(COLUMNS($AM$1006:AQ1006),$AM$1006:$BM$1006,0)), HYPERLINK("#",""), HYPERLINK(CONCATENATE("#metadata!", ADDRESS(INDEX($AH$2:$AH$1001,MATCH(ROWS($AF$2:AF428),$AF$2:$AF$1001,0),0), INDEX($AM$1004:$BM$1004,1,MATCH(COLUMNS($AM$1006:AQ1006),$AM$1006:$BM$1006,0)))),"Fix")))</f>
        <v xml:space="preserve"> </v>
      </c>
      <c r="G428" s="4" t="str">
        <f ca="1">IF(OR(INDEX($AG$2:$AG$1001,MATCH(ROWS($AF$2:AF428),$AF$2:$AF$1001,0),1)&gt;=100000,INDEX($AM$1005:$BM$1005,1,MATCH(COLUMNS($AM$1006:AR1006),$AM$1006:$BM$1006,0))&gt;=100000), " ",IF(INDEX($AM$2:$BM$1001,MATCH(ROWS($AF$2:AF428),$AF$2:$AF$1001,0),MATCH(COLUMNS($AM$1006:AR1006),$AM$1006:$BM$1006,0)), HYPERLINK("#",""), HYPERLINK(CONCATENATE("#metadata!", ADDRESS(INDEX($AH$2:$AH$1001,MATCH(ROWS($AF$2:AF428),$AF$2:$AF$1001,0),0), INDEX($AM$1004:$BM$1004,1,MATCH(COLUMNS($AM$1006:AR1006),$AM$1006:$BM$1006,0)))),"Fix")))</f>
        <v xml:space="preserve"> </v>
      </c>
      <c r="H428" s="4" t="str">
        <f ca="1">IF(OR(INDEX($AG$2:$AG$1001,MATCH(ROWS($AF$2:AF428),$AF$2:$AF$1001,0),1)&gt;=100000,INDEX($AM$1005:$BM$1005,1,MATCH(COLUMNS($AM$1006:AS1006),$AM$1006:$BM$1006,0))&gt;=100000), " ",IF(INDEX($AM$2:$BM$1001,MATCH(ROWS($AF$2:AF428),$AF$2:$AF$1001,0),MATCH(COLUMNS($AM$1006:AS1006),$AM$1006:$BM$1006,0)), HYPERLINK("#",""), HYPERLINK(CONCATENATE("#metadata!", ADDRESS(INDEX($AH$2:$AH$1001,MATCH(ROWS($AF$2:AF428),$AF$2:$AF$1001,0),0), INDEX($AM$1004:$BM$1004,1,MATCH(COLUMNS($AM$1006:AS1006),$AM$1006:$BM$1006,0)))),"Fix")))</f>
        <v xml:space="preserve"> </v>
      </c>
      <c r="I428" s="4" t="str">
        <f ca="1">IF(OR(INDEX($AG$2:$AG$1001,MATCH(ROWS($AF$2:AF428),$AF$2:$AF$1001,0),1)&gt;=100000,INDEX($AM$1005:$BM$1005,1,MATCH(COLUMNS($AM$1006:AT1006),$AM$1006:$BM$1006,0))&gt;=100000), " ",IF(INDEX($AM$2:$BM$1001,MATCH(ROWS($AF$2:AF428),$AF$2:$AF$1001,0),MATCH(COLUMNS($AM$1006:AT1006),$AM$1006:$BM$1006,0)), HYPERLINK("#",""), HYPERLINK(CONCATENATE("#metadata!", ADDRESS(INDEX($AH$2:$AH$1001,MATCH(ROWS($AF$2:AF428),$AF$2:$AF$1001,0),0), INDEX($AM$1004:$BM$1004,1,MATCH(COLUMNS($AM$1006:AT1006),$AM$1006:$BM$1006,0)))),"Fix")))</f>
        <v xml:space="preserve"> </v>
      </c>
      <c r="J428" s="4" t="str">
        <f ca="1">IF(OR(INDEX($AG$2:$AG$1001,MATCH(ROWS($AF$2:AF428),$AF$2:$AF$1001,0),1)&gt;=100000,INDEX($AM$1005:$BM$1005,1,MATCH(COLUMNS($AM$1006:AU1006),$AM$1006:$BM$1006,0))&gt;=100000), " ",IF(INDEX($AM$2:$BM$1001,MATCH(ROWS($AF$2:AF428),$AF$2:$AF$1001,0),MATCH(COLUMNS($AM$1006:AU1006),$AM$1006:$BM$1006,0)), HYPERLINK("#",""), HYPERLINK(CONCATENATE("#metadata!", ADDRESS(INDEX($AH$2:$AH$1001,MATCH(ROWS($AF$2:AF428),$AF$2:$AF$1001,0),0), INDEX($AM$1004:$BM$1004,1,MATCH(COLUMNS($AM$1006:AU1006),$AM$1006:$BM$1006,0)))),"Fix")))</f>
        <v xml:space="preserve"> </v>
      </c>
      <c r="K428" s="4" t="str">
        <f ca="1">IF(OR(INDEX($AG$2:$AG$1001,MATCH(ROWS($AF$2:AF428),$AF$2:$AF$1001,0),1)&gt;=100000,INDEX($AM$1005:$BM$1005,1,MATCH(COLUMNS($AM$1006:AV1006),$AM$1006:$BM$1006,0))&gt;=100000), " ",IF(INDEX($AM$2:$BM$1001,MATCH(ROWS($AF$2:AF428),$AF$2:$AF$1001,0),MATCH(COLUMNS($AM$1006:AV1006),$AM$1006:$BM$1006,0)), HYPERLINK("#",""), HYPERLINK(CONCATENATE("#metadata!", ADDRESS(INDEX($AH$2:$AH$1001,MATCH(ROWS($AF$2:AF428),$AF$2:$AF$1001,0),0), INDEX($AM$1004:$BM$1004,1,MATCH(COLUMNS($AM$1006:AV1006),$AM$1006:$BM$1006,0)))),"Fix")))</f>
        <v xml:space="preserve"> </v>
      </c>
      <c r="L428" s="4" t="str">
        <f ca="1">IF(OR(INDEX($AG$2:$AG$1001,MATCH(ROWS($AF$2:AF428),$AF$2:$AF$1001,0),1)&gt;=100000,INDEX($AM$1005:$BM$1005,1,MATCH(COLUMNS($AM$1006:AW1006),$AM$1006:$BM$1006,0))&gt;=100000), " ",IF(INDEX($AM$2:$BM$1001,MATCH(ROWS($AF$2:AF428),$AF$2:$AF$1001,0),MATCH(COLUMNS($AM$1006:AW1006),$AM$1006:$BM$1006,0)), HYPERLINK("#",""), HYPERLINK(CONCATENATE("#metadata!", ADDRESS(INDEX($AH$2:$AH$1001,MATCH(ROWS($AF$2:AF428),$AF$2:$AF$1001,0),0), INDEX($AM$1004:$BM$1004,1,MATCH(COLUMNS($AM$1006:AW1006),$AM$1006:$BM$1006,0)))),"Fix")))</f>
        <v xml:space="preserve"> </v>
      </c>
      <c r="M428" s="4" t="str">
        <f ca="1">IF(OR(INDEX($AG$2:$AG$1001,MATCH(ROWS($AF$2:AF428),$AF$2:$AF$1001,0),1)&gt;=100000,INDEX($AM$1005:$BM$1005,1,MATCH(COLUMNS($AM$1006:AX1006),$AM$1006:$BM$1006,0))&gt;=100000), " ",IF(INDEX($AM$2:$BM$1001,MATCH(ROWS($AF$2:AF428),$AF$2:$AF$1001,0),MATCH(COLUMNS($AM$1006:AX1006),$AM$1006:$BM$1006,0)), HYPERLINK("#",""), HYPERLINK(CONCATENATE("#metadata!", ADDRESS(INDEX($AH$2:$AH$1001,MATCH(ROWS($AF$2:AF428),$AF$2:$AF$1001,0),0), INDEX($AM$1004:$BM$1004,1,MATCH(COLUMNS($AM$1006:AX1006),$AM$1006:$BM$1006,0)))),"Fix")))</f>
        <v xml:space="preserve"> </v>
      </c>
      <c r="N428" s="4" t="str">
        <f ca="1">IF(OR(INDEX($AG$2:$AG$1001,MATCH(ROWS($AF$2:AF428),$AF$2:$AF$1001,0),1)&gt;=100000,INDEX($AM$1005:$BM$1005,1,MATCH(COLUMNS($AM$1006:AY1006),$AM$1006:$BM$1006,0))&gt;=100000), " ",IF(INDEX($AM$2:$BM$1001,MATCH(ROWS($AF$2:AF428),$AF$2:$AF$1001,0),MATCH(COLUMNS($AM$1006:AY1006),$AM$1006:$BM$1006,0)), HYPERLINK("#",""), HYPERLINK(CONCATENATE("#metadata!", ADDRESS(INDEX($AH$2:$AH$1001,MATCH(ROWS($AF$2:AF428),$AF$2:$AF$1001,0),0), INDEX($AM$1004:$BM$1004,1,MATCH(COLUMNS($AM$1006:AY1006),$AM$1006:$BM$1006,0)))),"Fix")))</f>
        <v xml:space="preserve"> </v>
      </c>
      <c r="O428" s="4" t="str">
        <f ca="1">IF(OR(INDEX($AG$2:$AG$1001,MATCH(ROWS($AF$2:AF428),$AF$2:$AF$1001,0),1)&gt;=100000,INDEX($AM$1005:$BM$1005,1,MATCH(COLUMNS($AM$1006:AZ1006),$AM$1006:$BM$1006,0))&gt;=100000), " ",IF(INDEX($AM$2:$BM$1001,MATCH(ROWS($AF$2:AF428),$AF$2:$AF$1001,0),MATCH(COLUMNS($AM$1006:AZ1006),$AM$1006:$BM$1006,0)), HYPERLINK("#",""), HYPERLINK(CONCATENATE("#metadata!", ADDRESS(INDEX($AH$2:$AH$1001,MATCH(ROWS($AF$2:AF428),$AF$2:$AF$1001,0),0), INDEX($AM$1004:$BM$1004,1,MATCH(COLUMNS($AM$1006:AZ1006),$AM$1006:$BM$1006,0)))),"Fix")))</f>
        <v xml:space="preserve"> </v>
      </c>
      <c r="P428" s="4" t="str">
        <f ca="1">IF(OR(INDEX($AG$2:$AG$1001,MATCH(ROWS($AF$2:AF428),$AF$2:$AF$1001,0),1)&gt;=100000,INDEX($AM$1005:$BM$1005,1,MATCH(COLUMNS($AM$1006:BA1006),$AM$1006:$BM$1006,0))&gt;=100000), " ",IF(INDEX($AM$2:$BM$1001,MATCH(ROWS($AF$2:AF428),$AF$2:$AF$1001,0),MATCH(COLUMNS($AM$1006:BA1006),$AM$1006:$BM$1006,0)), HYPERLINK("#",""), HYPERLINK(CONCATENATE("#metadata!", ADDRESS(INDEX($AH$2:$AH$1001,MATCH(ROWS($AF$2:AF428),$AF$2:$AF$1001,0),0), INDEX($AM$1004:$BM$1004,1,MATCH(COLUMNS($AM$1006:BA1006),$AM$1006:$BM$1006,0)))),"Fix")))</f>
        <v xml:space="preserve"> </v>
      </c>
      <c r="Q428" s="4" t="str">
        <f ca="1">IF(OR(INDEX($AG$2:$AG$1001,MATCH(ROWS($AF$2:AF428),$AF$2:$AF$1001,0),1)&gt;=100000,INDEX($AM$1005:$BM$1005,1,MATCH(COLUMNS($AM$1006:BB1006),$AM$1006:$BM$1006,0))&gt;=100000), " ",IF(INDEX($AM$2:$BM$1001,MATCH(ROWS($AF$2:AF428),$AF$2:$AF$1001,0),MATCH(COLUMNS($AM$1006:BB1006),$AM$1006:$BM$1006,0)), HYPERLINK("#",""), HYPERLINK(CONCATENATE("#metadata!", ADDRESS(INDEX($AH$2:$AH$1001,MATCH(ROWS($AF$2:AF428),$AF$2:$AF$1001,0),0), INDEX($AM$1004:$BM$1004,1,MATCH(COLUMNS($AM$1006:BB1006),$AM$1006:$BM$1006,0)))),"Fix")))</f>
        <v xml:space="preserve"> </v>
      </c>
      <c r="R428" s="4" t="str">
        <f ca="1">IF(OR(INDEX($AG$2:$AG$1001,MATCH(ROWS($AF$2:AF428),$AF$2:$AF$1001,0),1)&gt;=100000,INDEX($AM$1005:$BM$1005,1,MATCH(COLUMNS($AM$1006:BC1006),$AM$1006:$BM$1006,0))&gt;=100000), " ",IF(INDEX($AM$2:$BM$1001,MATCH(ROWS($AF$2:AF428),$AF$2:$AF$1001,0),MATCH(COLUMNS($AM$1006:BC1006),$AM$1006:$BM$1006,0)), HYPERLINK("#",""), HYPERLINK(CONCATENATE("#metadata!", ADDRESS(INDEX($AH$2:$AH$1001,MATCH(ROWS($AF$2:AF428),$AF$2:$AF$1001,0),0), INDEX($AM$1004:$BM$1004,1,MATCH(COLUMNS($AM$1006:BC1006),$AM$1006:$BM$1006,0)))),"Fix")))</f>
        <v xml:space="preserve"> </v>
      </c>
      <c r="S428" s="4" t="str">
        <f ca="1">IF(OR(INDEX($AG$2:$AG$1001,MATCH(ROWS($AF$2:AF428),$AF$2:$AF$1001,0),1)&gt;=100000,INDEX($AM$1005:$BM$1005,1,MATCH(COLUMNS($AM$1006:BD1006),$AM$1006:$BM$1006,0))&gt;=100000), " ",IF(INDEX($AM$2:$BM$1001,MATCH(ROWS($AF$2:AF428),$AF$2:$AF$1001,0),MATCH(COLUMNS($AM$1006:BD1006),$AM$1006:$BM$1006,0)), HYPERLINK("#",""), HYPERLINK(CONCATENATE("#metadata!", ADDRESS(INDEX($AH$2:$AH$1001,MATCH(ROWS($AF$2:AF428),$AF$2:$AF$1001,0),0), INDEX($AM$1004:$BM$1004,1,MATCH(COLUMNS($AM$1006:BD1006),$AM$1006:$BM$1006,0)))),"Fix")))</f>
        <v xml:space="preserve"> </v>
      </c>
      <c r="T428" s="4" t="str">
        <f ca="1">IF(OR(INDEX($AG$2:$AG$1001,MATCH(ROWS($AF$2:AF428),$AF$2:$AF$1001,0),1)&gt;=100000,INDEX($AM$1005:$BM$1005,1,MATCH(COLUMNS($AM$1006:BE1006),$AM$1006:$BM$1006,0))&gt;=100000), " ",IF(INDEX($AM$2:$BM$1001,MATCH(ROWS($AF$2:AF428),$AF$2:$AF$1001,0),MATCH(COLUMNS($AM$1006:BE1006),$AM$1006:$BM$1006,0)), HYPERLINK("#",""), HYPERLINK(CONCATENATE("#metadata!", ADDRESS(INDEX($AH$2:$AH$1001,MATCH(ROWS($AF$2:AF428),$AF$2:$AF$1001,0),0), INDEX($AM$1004:$BM$1004,1,MATCH(COLUMNS($AM$1006:BE1006),$AM$1006:$BM$1006,0)))),"Fix")))</f>
        <v xml:space="preserve"> </v>
      </c>
      <c r="U428" s="4" t="str">
        <f ca="1">IF(OR(INDEX($AG$2:$AG$1001,MATCH(ROWS($AF$2:AF428),$AF$2:$AF$1001,0),1)&gt;=100000,INDEX($AM$1005:$BM$1005,1,MATCH(COLUMNS($AM$1006:BF1006),$AM$1006:$BM$1006,0))&gt;=100000), " ",IF(INDEX($AM$2:$BM$1001,MATCH(ROWS($AF$2:AF428),$AF$2:$AF$1001,0),MATCH(COLUMNS($AM$1006:BF1006),$AM$1006:$BM$1006,0)), HYPERLINK("#",""), HYPERLINK(CONCATENATE("#metadata!", ADDRESS(INDEX($AH$2:$AH$1001,MATCH(ROWS($AF$2:AF428),$AF$2:$AF$1001,0),0), INDEX($AM$1004:$BM$1004,1,MATCH(COLUMNS($AM$1006:BF1006),$AM$1006:$BM$1006,0)))),"Fix")))</f>
        <v xml:space="preserve"> </v>
      </c>
      <c r="V428" s="4" t="str">
        <f ca="1">IF(OR(INDEX($AG$2:$AG$1001,MATCH(ROWS($AF$2:AF428),$AF$2:$AF$1001,0),1)&gt;=100000,INDEX($AM$1005:$BM$1005,1,MATCH(COLUMNS($AM$1006:BG1006),$AM$1006:$BM$1006,0))&gt;=100000), " ",IF(INDEX($AM$2:$BM$1001,MATCH(ROWS($AF$2:AF428),$AF$2:$AF$1001,0),MATCH(COLUMNS($AM$1006:BG1006),$AM$1006:$BM$1006,0)), HYPERLINK("#",""), HYPERLINK(CONCATENATE("#metadata!", ADDRESS(INDEX($AH$2:$AH$1001,MATCH(ROWS($AF$2:AF428),$AF$2:$AF$1001,0),0), INDEX($AM$1004:$BM$1004,1,MATCH(COLUMNS($AM$1006:BG1006),$AM$1006:$BM$1006,0)))),"Fix")))</f>
        <v xml:space="preserve"> </v>
      </c>
      <c r="W428" s="4" t="str">
        <f ca="1">IF(OR(INDEX($AG$2:$AG$1001,MATCH(ROWS($AF$2:AF428),$AF$2:$AF$1001,0),1)&gt;=100000,INDEX($AM$1005:$BM$1005,1,MATCH(COLUMNS($AM$1006:BH1006),$AM$1006:$BM$1006,0))&gt;=100000), " ",IF(INDEX($AM$2:$BM$1001,MATCH(ROWS($AF$2:AF428),$AF$2:$AF$1001,0),MATCH(COLUMNS($AM$1006:BH1006),$AM$1006:$BM$1006,0)), HYPERLINK("#",""), HYPERLINK(CONCATENATE("#metadata!", ADDRESS(INDEX($AH$2:$AH$1001,MATCH(ROWS($AF$2:AF428),$AF$2:$AF$1001,0),0), INDEX($AM$1004:$BM$1004,1,MATCH(COLUMNS($AM$1006:BH1006),$AM$1006:$BM$1006,0)))),"Fix")))</f>
        <v xml:space="preserve"> </v>
      </c>
      <c r="X428" s="4" t="str">
        <f ca="1">IF(OR(INDEX($AG$2:$AG$1001,MATCH(ROWS($AF$2:AF428),$AF$2:$AF$1001,0),1)&gt;=100000,INDEX($AM$1005:$BM$1005,1,MATCH(COLUMNS($AM$1006:BI1006),$AM$1006:$BM$1006,0))&gt;=100000), " ",IF(INDEX($AM$2:$BM$1001,MATCH(ROWS($AF$2:AF428),$AF$2:$AF$1001,0),MATCH(COLUMNS($AM$1006:BI1006),$AM$1006:$BM$1006,0)), HYPERLINK("#",""), HYPERLINK(CONCATENATE("#metadata!", ADDRESS(INDEX($AH$2:$AH$1001,MATCH(ROWS($AF$2:AF428),$AF$2:$AF$1001,0),0), INDEX($AM$1004:$BM$1004,1,MATCH(COLUMNS($AM$1006:BI1006),$AM$1006:$BM$1006,0)))),"Fix")))</f>
        <v xml:space="preserve"> </v>
      </c>
      <c r="Y428" s="4" t="str">
        <f ca="1">IF(OR(INDEX($AG$2:$AG$1001,MATCH(ROWS($AF$2:AF428),$AF$2:$AF$1001,0),1)&gt;=100000,INDEX($AM$1005:$BM$1005,1,MATCH(COLUMNS($AM$1006:BJ1006),$AM$1006:$BM$1006,0))&gt;=100000), " ",IF(INDEX($AM$2:$BM$1001,MATCH(ROWS($AF$2:AF428),$AF$2:$AF$1001,0),MATCH(COLUMNS($AM$1006:BJ1006),$AM$1006:$BM$1006,0)), HYPERLINK("#",""), HYPERLINK(CONCATENATE("#metadata!", ADDRESS(INDEX($AH$2:$AH$1001,MATCH(ROWS($AF$2:AF428),$AF$2:$AF$1001,0),0), INDEX($AM$1004:$BM$1004,1,MATCH(COLUMNS($AM$1006:BJ1006),$AM$1006:$BM$1006,0)))),"Fix")))</f>
        <v xml:space="preserve"> </v>
      </c>
      <c r="Z428" s="4" t="str">
        <f ca="1">IF(OR(INDEX($AG$2:$AG$1001,MATCH(ROWS($AF$2:AF428),$AF$2:$AF$1001,0),1)&gt;=100000,INDEX($AM$1005:$BM$1005,1,MATCH(COLUMNS($AM$1006:BK1006),$AM$1006:$BM$1006,0))&gt;=100000), " ",IF(INDEX($AM$2:$BM$1001,MATCH(ROWS($AF$2:AF428),$AF$2:$AF$1001,0),MATCH(COLUMNS($AM$1006:BK1006),$AM$1006:$BM$1006,0)), HYPERLINK("#",""), HYPERLINK(CONCATENATE("#metadata!", ADDRESS(INDEX($AH$2:$AH$1001,MATCH(ROWS($AF$2:AF428),$AF$2:$AF$1001,0),0), INDEX($AM$1004:$BM$1004,1,MATCH(COLUMNS($AM$1006:BK1006),$AM$1006:$BM$1006,0)))),"Fix")))</f>
        <v xml:space="preserve"> </v>
      </c>
      <c r="AA428" s="4" t="str">
        <f ca="1">IF(OR(INDEX($AG$2:$AG$1001,MATCH(ROWS($AF$2:AF428),$AF$2:$AF$1001,0),1)&gt;=100000,INDEX($AM$1005:$BM$1005,1,MATCH(COLUMNS($AM$1006:BL1006),$AM$1006:$BM$1006,0))&gt;=100000), " ",IF(INDEX($AM$2:$BM$1001,MATCH(ROWS($AF$2:AF428),$AF$2:$AF$1001,0),MATCH(COLUMNS($AM$1006:BL1006),$AM$1006:$BM$1006,0)), HYPERLINK("#",""), HYPERLINK(CONCATENATE("#metadata!", ADDRESS(INDEX($AH$2:$AH$1001,MATCH(ROWS($AF$2:AF428),$AF$2:$AF$1001,0),0), INDEX($AM$1004:$BM$1004,1,MATCH(COLUMNS($AM$1006:BL1006),$AM$1006:$BM$1006,0)))),"Fix")))</f>
        <v xml:space="preserve"> </v>
      </c>
      <c r="AB428" s="4" t="str">
        <f ca="1">IF(OR(INDEX($AG$2:$AG$1001,MATCH(ROWS($AF$2:AF428),$AF$2:$AF$1001,0),1)&gt;=100000,INDEX($AM$1005:$BM$1005,1,MATCH(COLUMNS($AM$1006:BM1006),$AM$1006:$BM$1006,0))&gt;=100000), " ",IF(INDEX($AM$2:$BM$1001,MATCH(ROWS($AF$2:AF428),$AF$2:$AF$1001,0),MATCH(COLUMNS($AM$1006:BM1006),$AM$1006:$BM$1006,0)), HYPERLINK("#",""), HYPERLINK(CONCATENATE("#metadata!", ADDRESS(INDEX($AH$2:$AH$1001,MATCH(ROWS($AF$2:AF428),$AF$2:$AF$1001,0),0), INDEX($AM$1004:$BM$1004,1,MATCH(COLUMNS($AM$1006:BM1006),$AM$1006:$BM$1006,0)))),"Fix")))</f>
        <v xml:space="preserve"> </v>
      </c>
      <c r="AF428">
        <v>427</v>
      </c>
      <c r="AG428">
        <v>100428</v>
      </c>
      <c r="AH428">
        <v>428</v>
      </c>
      <c r="AI428" t="b">
        <f t="shared" si="6"/>
        <v>1</v>
      </c>
      <c r="AJ428" t="b">
        <f>COUNTBLANK(metadata!B428:AB428)=COLUMNS(metadata!B428:AB428)</f>
        <v>1</v>
      </c>
      <c r="AK428" t="str">
        <v/>
      </c>
      <c r="AM428" t="b">
        <f ca="1">AND(IF(metadata!B428="",FALSE,TRUE),COUNTIF(metadata!B:B, metadata!B428) = 1,NOT(ISERROR(SUMPRODUCT(SEARCH(MID(metadata!B428,ROW(INDIRECT("1:"&amp;LEN(metadata!B428))), 1),"0123456789abcdefghijklmnopqrstuvwxyzABCDEFGHIJKLMNOPQRSTUVWXYZ.")))))</f>
        <v>0</v>
      </c>
      <c r="AN428" t="b">
        <f ca="1">OR(AND(IF(metadata!C428="",FALSE,TRUE),OR(EXACT(metadata!C428,"missing: not collected"),EXACT(metadata!C428,"missing: not provided"),EXACT(metadata!C428,"missing: restricted access"))),AND(IF(metadata!C428="",FALSE,TRUE),AND(AND(IFERROR(INT(LEFT(metadata!C428,4))&gt;1900,FALSE),IFERROR(INT(LEFT(metadata!C428,4))&lt;=YEAR(NOW()),FALSE)), OR(MID(metadata!C428,5,1)="", AND(AND(MID(metadata!C428,5,1)="-",IFERROR(INT(MID(metadata!C428,6,1))&gt;=0,FALSE),IFERROR(INT(MID(metadata!C428,6,1))&lt;=1,FALSE),NOT(MID(metadata!C428,7,1)=""),IFERROR(INT(MID(metadata!C428,6,2))&gt;=1,FALSE),IFERROR(INT(MID(metadata!C428,6,2))&lt;=12,FALSE)), OR(MID(metadata!C428,8,1)="", AND(AND(MID(metadata!C428,8,1)="-",IFERROR(INT(MID(metadata!C428,9,1))&gt;=0,FALSE),IFERROR(INT(MID(metadata!C428,9,1))&lt;=3,FALSE),NOT(MID(metadata!C428,10,1)=""),IFERROR(INT(MID(metadata!C428,9,2))&gt;=1,FALSE),IFERROR(INT(MID(metadata!C428,9,2))&lt;=31,FALSE)), OR(MID(metadata!C428,11,1)="", AND(AND(MID(metadata!C428,11,1)=" ",IFERROR(INT(MID(metadata!C428,12,1))&gt;=0,FALSE),IFERROR(INT(MID(metadata!C428,12,1))&lt;=2,FALSE),NOT(MID(metadata!C428,13,1)=""),IFERROR(INT(MID(metadata!C428,12,2))&gt;=0,FALSE),IFERROR(INT(MID(metadata!C428,12,2))&lt;=23,FALSE)), OR(MID(metadata!C428,14,1)="", AND(AND(MID(metadata!C428,14,1)=":",IFERROR(INT(MID(metadata!C428,15,1))&gt;=0,FALSE),IFERROR(INT(MID(metadata!C428,15,1))&lt;=5,FALSE),NOT(MID(metadata!C428,16,1)=""),IFERROR(INT(MID(metadata!C428,15,2))&gt;=0,FALSE),IFERROR(INT(MID(metadata!C428,15,2))&lt;=59,FALSE)), OR(MID(metadata!C428,17,1)="", AND(AND(MID(metadata!C428,17,1)=":",IFERROR(INT(MID(metadata!C428,18,1))&gt;=0,FALSE),IFERROR(INT(MID(metadata!C428,18,1))&lt;=5,FALSE),NOT(MID(metadata!C428,19,1)=""),IFERROR(INT(MID(metadata!C428,18,2))&gt;=0,FALSE),IFERROR(INT(MID(metadata!C428,18,2))&lt;=59,FALSE)), LEN(metadata!C428)&lt;=19)))))))))))))</f>
        <v>0</v>
      </c>
      <c r="AO428" t="b">
        <f>AND(IF(metadata!D428="",FALSE,TRUE),EXACT(metadata!D428,"Not applicable"))</f>
        <v>0</v>
      </c>
      <c r="AP428" t="b">
        <f>IF(metadata!E428="",FALSE,TRUE)</f>
        <v>0</v>
      </c>
      <c r="AQ428" t="b">
        <f>OR(AND(IF(metadata!F428="",FALSE,TRUE),OR(EXACT(metadata!F428,"missing: not collected"),EXACT(metadata!F428,"missing: not provided"))),AND(IF(metadata!F428="",FALSE,TRUE),OR(EXACT(metadata!F428,"TRUE"),EXACT(metadata!F428,"FALSE"))))</f>
        <v>0</v>
      </c>
      <c r="AR428" t="b">
        <f>OR(AND(IF(metadata!G428="",FALSE,TRUE),OR(EXACT(metadata!G428,"missing: not collected"),EXACT(metadata!G428,"missing: not provided"),EXACT(metadata!G428,"missing: restricted access"))),AND(IF(metadata!G428="",FALSE,ISNUMBER(VALUE(metadata!G428))),metadata!G428&gt;=-413))</f>
        <v>0</v>
      </c>
      <c r="AS428" t="b">
        <f>AND(IF(metadata!H428="",FALSE,TRUE),EXACT(metadata!H428,"meters"))</f>
        <v>0</v>
      </c>
      <c r="AT428" t="b">
        <f>AND(IF(metadata!I428="",FALSE,TRUE),OR(EXACT(metadata!I428,"Host-associated"),EXACT(metadata!I428,"Free-living")))</f>
        <v>0</v>
      </c>
      <c r="AU428" t="b">
        <f>AND(IF(metadata!J428="",FALSE,TRUE),OR(EXACT(metadata!J428,"Animal"),EXACT(metadata!J428,"Fungus"),EXACT(metadata!J428,"Plant"),EXACT(metadata!J428,"Saline"),EXACT(metadata!J428,"Non-saline")))</f>
        <v>0</v>
      </c>
      <c r="AV428" t="b">
        <f>AND(IF(metadata!K428="",FALSE,TRUE),OR(EXACT(metadata!K428,"Plant secretion"),EXACT(metadata!K428,"Plant rhizosphere"),EXACT(metadata!K428,"Plant surface"),EXACT(metadata!K428,"Plant corpus"),EXACT(metadata!K428,"Fungus surface"),EXACT(metadata!K428,"Fungus corpus"),EXACT(metadata!K428,"Animal surface"),EXACT(metadata!K428,"Animal proximal gut"),EXACT(metadata!K428,"Animal corpus"),EXACT(metadata!K428,"Animal distal gut"),EXACT(metadata!K428,"Animal secretion"),EXACT(metadata!K428,"Sub-surface (non-saline)"),EXACT(metadata!K428,"Surface (non-saline)"),EXACT(metadata!K428,"Water (non-saline)"),EXACT(metadata!K428,"Soil (non-saline)"),EXACT(metadata!K428,"Aerosol (non-saline)"),EXACT(metadata!K428,"Sediment (non-saline)"),EXACT(metadata!K428,"Surface (saline)"),EXACT(metadata!K428,"Water (saline)"),EXACT(metadata!K428,"Hypersaline (saline)"),EXACT(metadata!K428,"Aerosol (saline)"),EXACT(metadata!K428,"Sediment (saline)")))</f>
        <v>0</v>
      </c>
      <c r="AW428" t="b">
        <f>IF(metadata!L428="",FALSE,TRUE)</f>
        <v>0</v>
      </c>
      <c r="AX428" t="b">
        <f>IF(metadata!M428="",FALSE,TRUE)</f>
        <v>0</v>
      </c>
      <c r="AY428" t="b">
        <f>IF(metadata!N428="",FALSE,TRUE)</f>
        <v>0</v>
      </c>
      <c r="AZ428" t="b">
        <f>OR(AND(IF(metadata!O428="",FALSE,TRUE),OR(EXACT(metadata!O428,"missing: not collected"),EXACT(metadata!O428,"missing: not provided"),EXACT(metadata!O428,"missing: restricted access"))),AND(IF(metadata!O428="",FALSE,TRUE),OR(EXACT(metadata!O428,"air"),EXACT(metadata!O428,"built environment"),EXACT(metadata!O428,"host-associated"),EXACT(metadata!O428,"human-associated"),EXACT(metadata!O428,"human-skin"),EXACT(metadata!O428,"human-oral"),EXACT(metadata!O428,"human-gut"),EXACT(metadata!O428,"human-vaginal"),EXACT(metadata!O428,"microbial mat/biofilm"),EXACT(metadata!O428,"misc environment"),EXACT(metadata!O428,"plant-associated"),EXACT(metadata!O428,"sediment"),EXACT(metadata!O428,"soil"),EXACT(metadata!O428,"wastewater/sludge"),EXACT(metadata!O428,"water"))))</f>
        <v>0</v>
      </c>
      <c r="BA428" t="b">
        <f>IF(metadata!P428="",FALSE,TRUE)</f>
        <v>0</v>
      </c>
      <c r="BB428" t="b">
        <f>IF(metadata!Q428="",FALSE,TRUE)</f>
        <v>0</v>
      </c>
      <c r="BC428" t="b">
        <f>OR(AND(IF(metadata!R428="",FALSE,TRUE),OR(EXACT(metadata!R428,"missing: not collected"),EXACT(metadata!R428,"missing: not provided"),EXACT(metadata!R428,"missing: restricted access"))),AND(IF(metadata!R428="",FALSE,ISNUMBER(VALUE(metadata!R428))),metadata!R428&gt;=-90,metadata!R428&lt;=90))</f>
        <v>0</v>
      </c>
      <c r="BD428" t="b">
        <f>AND(IF(metadata!S428="",FALSE,TRUE),EXACT(metadata!S428,"Decimal degrees"))</f>
        <v>0</v>
      </c>
      <c r="BE428" t="b">
        <f>OR(AND(IF(metadata!T428="",FALSE,TRUE),OR(EXACT(metadata!T428,"missing: not collected"),EXACT(metadata!T428,"missing: not provided"),EXACT(metadata!T428,"missing: restricted access"))),AND(IF(metadata!T428="",FALSE,ISNUMBER(VALUE(metadata!T428))),metadata!T428&gt;=-180,metadata!T428&lt;=180))</f>
        <v>0</v>
      </c>
      <c r="BF428" t="b">
        <f>AND(IF(metadata!U428="",FALSE,TRUE),EXACT(metadata!U428,"Decimal degrees"))</f>
        <v>0</v>
      </c>
      <c r="BG428" t="b">
        <f>IF(metadata!V428="",FALSE,TRUE)</f>
        <v>0</v>
      </c>
      <c r="BH428" t="b">
        <f>OR(AND(IF(metadata!W428="",FALSE,TRUE),OR(EXACT(metadata!W428,"missing: not collected"),EXACT(metadata!W428,"missing: not provided"),EXACT(metadata!W428,"missing: restricted access"))),AND(IF(metadata!W428="",FALSE,TRUE),OR(EXACT(metadata!W428,"TRUE"),EXACT(metadata!W428,"FALSE"))))</f>
        <v>0</v>
      </c>
      <c r="BI428" t="b">
        <f>AND(IF(metadata!X428="",FALSE,TRUE),EXACT(metadata!X428,"other"))</f>
        <v>0</v>
      </c>
      <c r="BJ428" t="b">
        <f>IF(metadata!Y428="",FALSE,TRUE)</f>
        <v>0</v>
      </c>
      <c r="BK428" t="b">
        <f>OR(AND(IF(metadata!Z428="",FALSE,TRUE),OR(EXACT(metadata!Z428,"missing: not collected"),EXACT(metadata!Z428,"missing: not provided"))),AND(IF(metadata!Z428="",FALSE,IF(ISERROR(INT(metadata!Z428)),FALSE,INT(metadata!Z428)=metadata!Z428)),metadata!Z428&gt;0))</f>
        <v>0</v>
      </c>
      <c r="BL428" t="b">
        <f>AND(IF(metadata!AA428="",FALSE,TRUE),EXACT(metadata!AA428,"Not applicable"))</f>
        <v>0</v>
      </c>
      <c r="BM428" t="b">
        <f>IF(metadata!AB428="",FALSE,TRUE)</f>
        <v>0</v>
      </c>
    </row>
    <row r="429" spans="1:65" x14ac:dyDescent="0.2">
      <c r="A429" s="5" t="str">
        <f ca="1">IF(B429=" "," ",HYPERLINK(CONCATENATE("#metadata!",ADDRESS(INDEX($AH$2:$AH$1001,MATCH(ROWS($AF$2:AF429),$AF$2:$AF$1001,0),0),1)),INDEX($AK$2:$AK$1001,MATCH(ROWS($AF$2:AF429),$AF$2:$AF$1001,0),0)))</f>
        <v xml:space="preserve"> </v>
      </c>
      <c r="B429" s="4" t="str">
        <f ca="1">IF(OR(INDEX($AG$2:$AG$1001,MATCH(ROWS($AF$2:AF429),$AF$2:$AF$1001,0),1)&gt;=100000,INDEX($AM$1005:$BM$1005,1,MATCH(COLUMNS($AM$1006:AM1006),$AM$1006:$BM$1006,0))&gt;=100000), " ",IF(INDEX($AM$2:$BM$1001,MATCH(ROWS($AF$2:AF429),$AF$2:$AF$1001,0),MATCH(COLUMNS($AM$1006:AM1006),$AM$1006:$BM$1006,0)), HYPERLINK("#",""), HYPERLINK(CONCATENATE("#metadata!", ADDRESS(INDEX($AH$2:$AH$1001,MATCH(ROWS($AF$2:AF429),$AF$2:$AF$1001,0),0), INDEX($AM$1004:$BM$1004,1,MATCH(COLUMNS($AM$1006:AM1006),$AM$1006:$BM$1006,0)))),"Fix")))</f>
        <v xml:space="preserve"> </v>
      </c>
      <c r="C429" s="4" t="str">
        <f ca="1">IF(OR(INDEX($AG$2:$AG$1001,MATCH(ROWS($AF$2:AF429),$AF$2:$AF$1001,0),1)&gt;=100000,INDEX($AM$1005:$BM$1005,1,MATCH(COLUMNS($AM$1006:AN1006),$AM$1006:$BM$1006,0))&gt;=100000), " ",IF(INDEX($AM$2:$BM$1001,MATCH(ROWS($AF$2:AF429),$AF$2:$AF$1001,0),MATCH(COLUMNS($AM$1006:AN1006),$AM$1006:$BM$1006,0)), HYPERLINK("#",""), HYPERLINK(CONCATENATE("#metadata!", ADDRESS(INDEX($AH$2:$AH$1001,MATCH(ROWS($AF$2:AF429),$AF$2:$AF$1001,0),0), INDEX($AM$1004:$BM$1004,1,MATCH(COLUMNS($AM$1006:AN1006),$AM$1006:$BM$1006,0)))),"Fix")))</f>
        <v xml:space="preserve"> </v>
      </c>
      <c r="D429" s="4" t="str">
        <f ca="1">IF(OR(INDEX($AG$2:$AG$1001,MATCH(ROWS($AF$2:AF429),$AF$2:$AF$1001,0),1)&gt;=100000,INDEX($AM$1005:$BM$1005,1,MATCH(COLUMNS($AM$1006:AO1006),$AM$1006:$BM$1006,0))&gt;=100000), " ",IF(INDEX($AM$2:$BM$1001,MATCH(ROWS($AF$2:AF429),$AF$2:$AF$1001,0),MATCH(COLUMNS($AM$1006:AO1006),$AM$1006:$BM$1006,0)), HYPERLINK("#",""), HYPERLINK(CONCATENATE("#metadata!", ADDRESS(INDEX($AH$2:$AH$1001,MATCH(ROWS($AF$2:AF429),$AF$2:$AF$1001,0),0), INDEX($AM$1004:$BM$1004,1,MATCH(COLUMNS($AM$1006:AO1006),$AM$1006:$BM$1006,0)))),"Fix")))</f>
        <v xml:space="preserve"> </v>
      </c>
      <c r="E429" s="4" t="str">
        <f ca="1">IF(OR(INDEX($AG$2:$AG$1001,MATCH(ROWS($AF$2:AF429),$AF$2:$AF$1001,0),1)&gt;=100000,INDEX($AM$1005:$BM$1005,1,MATCH(COLUMNS($AM$1006:AP1006),$AM$1006:$BM$1006,0))&gt;=100000), " ",IF(INDEX($AM$2:$BM$1001,MATCH(ROWS($AF$2:AF429),$AF$2:$AF$1001,0),MATCH(COLUMNS($AM$1006:AP1006),$AM$1006:$BM$1006,0)), HYPERLINK("#",""), HYPERLINK(CONCATENATE("#metadata!", ADDRESS(INDEX($AH$2:$AH$1001,MATCH(ROWS($AF$2:AF429),$AF$2:$AF$1001,0),0), INDEX($AM$1004:$BM$1004,1,MATCH(COLUMNS($AM$1006:AP1006),$AM$1006:$BM$1006,0)))),"Fix")))</f>
        <v xml:space="preserve"> </v>
      </c>
      <c r="F429" s="4" t="str">
        <f ca="1">IF(OR(INDEX($AG$2:$AG$1001,MATCH(ROWS($AF$2:AF429),$AF$2:$AF$1001,0),1)&gt;=100000,INDEX($AM$1005:$BM$1005,1,MATCH(COLUMNS($AM$1006:AQ1006),$AM$1006:$BM$1006,0))&gt;=100000), " ",IF(INDEX($AM$2:$BM$1001,MATCH(ROWS($AF$2:AF429),$AF$2:$AF$1001,0),MATCH(COLUMNS($AM$1006:AQ1006),$AM$1006:$BM$1006,0)), HYPERLINK("#",""), HYPERLINK(CONCATENATE("#metadata!", ADDRESS(INDEX($AH$2:$AH$1001,MATCH(ROWS($AF$2:AF429),$AF$2:$AF$1001,0),0), INDEX($AM$1004:$BM$1004,1,MATCH(COLUMNS($AM$1006:AQ1006),$AM$1006:$BM$1006,0)))),"Fix")))</f>
        <v xml:space="preserve"> </v>
      </c>
      <c r="G429" s="4" t="str">
        <f ca="1">IF(OR(INDEX($AG$2:$AG$1001,MATCH(ROWS($AF$2:AF429),$AF$2:$AF$1001,0),1)&gt;=100000,INDEX($AM$1005:$BM$1005,1,MATCH(COLUMNS($AM$1006:AR1006),$AM$1006:$BM$1006,0))&gt;=100000), " ",IF(INDEX($AM$2:$BM$1001,MATCH(ROWS($AF$2:AF429),$AF$2:$AF$1001,0),MATCH(COLUMNS($AM$1006:AR1006),$AM$1006:$BM$1006,0)), HYPERLINK("#",""), HYPERLINK(CONCATENATE("#metadata!", ADDRESS(INDEX($AH$2:$AH$1001,MATCH(ROWS($AF$2:AF429),$AF$2:$AF$1001,0),0), INDEX($AM$1004:$BM$1004,1,MATCH(COLUMNS($AM$1006:AR1006),$AM$1006:$BM$1006,0)))),"Fix")))</f>
        <v xml:space="preserve"> </v>
      </c>
      <c r="H429" s="4" t="str">
        <f ca="1">IF(OR(INDEX($AG$2:$AG$1001,MATCH(ROWS($AF$2:AF429),$AF$2:$AF$1001,0),1)&gt;=100000,INDEX($AM$1005:$BM$1005,1,MATCH(COLUMNS($AM$1006:AS1006),$AM$1006:$BM$1006,0))&gt;=100000), " ",IF(INDEX($AM$2:$BM$1001,MATCH(ROWS($AF$2:AF429),$AF$2:$AF$1001,0),MATCH(COLUMNS($AM$1006:AS1006),$AM$1006:$BM$1006,0)), HYPERLINK("#",""), HYPERLINK(CONCATENATE("#metadata!", ADDRESS(INDEX($AH$2:$AH$1001,MATCH(ROWS($AF$2:AF429),$AF$2:$AF$1001,0),0), INDEX($AM$1004:$BM$1004,1,MATCH(COLUMNS($AM$1006:AS1006),$AM$1006:$BM$1006,0)))),"Fix")))</f>
        <v xml:space="preserve"> </v>
      </c>
      <c r="I429" s="4" t="str">
        <f ca="1">IF(OR(INDEX($AG$2:$AG$1001,MATCH(ROWS($AF$2:AF429),$AF$2:$AF$1001,0),1)&gt;=100000,INDEX($AM$1005:$BM$1005,1,MATCH(COLUMNS($AM$1006:AT1006),$AM$1006:$BM$1006,0))&gt;=100000), " ",IF(INDEX($AM$2:$BM$1001,MATCH(ROWS($AF$2:AF429),$AF$2:$AF$1001,0),MATCH(COLUMNS($AM$1006:AT1006),$AM$1006:$BM$1006,0)), HYPERLINK("#",""), HYPERLINK(CONCATENATE("#metadata!", ADDRESS(INDEX($AH$2:$AH$1001,MATCH(ROWS($AF$2:AF429),$AF$2:$AF$1001,0),0), INDEX($AM$1004:$BM$1004,1,MATCH(COLUMNS($AM$1006:AT1006),$AM$1006:$BM$1006,0)))),"Fix")))</f>
        <v xml:space="preserve"> </v>
      </c>
      <c r="J429" s="4" t="str">
        <f ca="1">IF(OR(INDEX($AG$2:$AG$1001,MATCH(ROWS($AF$2:AF429),$AF$2:$AF$1001,0),1)&gt;=100000,INDEX($AM$1005:$BM$1005,1,MATCH(COLUMNS($AM$1006:AU1006),$AM$1006:$BM$1006,0))&gt;=100000), " ",IF(INDEX($AM$2:$BM$1001,MATCH(ROWS($AF$2:AF429),$AF$2:$AF$1001,0),MATCH(COLUMNS($AM$1006:AU1006),$AM$1006:$BM$1006,0)), HYPERLINK("#",""), HYPERLINK(CONCATENATE("#metadata!", ADDRESS(INDEX($AH$2:$AH$1001,MATCH(ROWS($AF$2:AF429),$AF$2:$AF$1001,0),0), INDEX($AM$1004:$BM$1004,1,MATCH(COLUMNS($AM$1006:AU1006),$AM$1006:$BM$1006,0)))),"Fix")))</f>
        <v xml:space="preserve"> </v>
      </c>
      <c r="K429" s="4" t="str">
        <f ca="1">IF(OR(INDEX($AG$2:$AG$1001,MATCH(ROWS($AF$2:AF429),$AF$2:$AF$1001,0),1)&gt;=100000,INDEX($AM$1005:$BM$1005,1,MATCH(COLUMNS($AM$1006:AV1006),$AM$1006:$BM$1006,0))&gt;=100000), " ",IF(INDEX($AM$2:$BM$1001,MATCH(ROWS($AF$2:AF429),$AF$2:$AF$1001,0),MATCH(COLUMNS($AM$1006:AV1006),$AM$1006:$BM$1006,0)), HYPERLINK("#",""), HYPERLINK(CONCATENATE("#metadata!", ADDRESS(INDEX($AH$2:$AH$1001,MATCH(ROWS($AF$2:AF429),$AF$2:$AF$1001,0),0), INDEX($AM$1004:$BM$1004,1,MATCH(COLUMNS($AM$1006:AV1006),$AM$1006:$BM$1006,0)))),"Fix")))</f>
        <v xml:space="preserve"> </v>
      </c>
      <c r="L429" s="4" t="str">
        <f ca="1">IF(OR(INDEX($AG$2:$AG$1001,MATCH(ROWS($AF$2:AF429),$AF$2:$AF$1001,0),1)&gt;=100000,INDEX($AM$1005:$BM$1005,1,MATCH(COLUMNS($AM$1006:AW1006),$AM$1006:$BM$1006,0))&gt;=100000), " ",IF(INDEX($AM$2:$BM$1001,MATCH(ROWS($AF$2:AF429),$AF$2:$AF$1001,0),MATCH(COLUMNS($AM$1006:AW1006),$AM$1006:$BM$1006,0)), HYPERLINK("#",""), HYPERLINK(CONCATENATE("#metadata!", ADDRESS(INDEX($AH$2:$AH$1001,MATCH(ROWS($AF$2:AF429),$AF$2:$AF$1001,0),0), INDEX($AM$1004:$BM$1004,1,MATCH(COLUMNS($AM$1006:AW1006),$AM$1006:$BM$1006,0)))),"Fix")))</f>
        <v xml:space="preserve"> </v>
      </c>
      <c r="M429" s="4" t="str">
        <f ca="1">IF(OR(INDEX($AG$2:$AG$1001,MATCH(ROWS($AF$2:AF429),$AF$2:$AF$1001,0),1)&gt;=100000,INDEX($AM$1005:$BM$1005,1,MATCH(COLUMNS($AM$1006:AX1006),$AM$1006:$BM$1006,0))&gt;=100000), " ",IF(INDEX($AM$2:$BM$1001,MATCH(ROWS($AF$2:AF429),$AF$2:$AF$1001,0),MATCH(COLUMNS($AM$1006:AX1006),$AM$1006:$BM$1006,0)), HYPERLINK("#",""), HYPERLINK(CONCATENATE("#metadata!", ADDRESS(INDEX($AH$2:$AH$1001,MATCH(ROWS($AF$2:AF429),$AF$2:$AF$1001,0),0), INDEX($AM$1004:$BM$1004,1,MATCH(COLUMNS($AM$1006:AX1006),$AM$1006:$BM$1006,0)))),"Fix")))</f>
        <v xml:space="preserve"> </v>
      </c>
      <c r="N429" s="4" t="str">
        <f ca="1">IF(OR(INDEX($AG$2:$AG$1001,MATCH(ROWS($AF$2:AF429),$AF$2:$AF$1001,0),1)&gt;=100000,INDEX($AM$1005:$BM$1005,1,MATCH(COLUMNS($AM$1006:AY1006),$AM$1006:$BM$1006,0))&gt;=100000), " ",IF(INDEX($AM$2:$BM$1001,MATCH(ROWS($AF$2:AF429),$AF$2:$AF$1001,0),MATCH(COLUMNS($AM$1006:AY1006),$AM$1006:$BM$1006,0)), HYPERLINK("#",""), HYPERLINK(CONCATENATE("#metadata!", ADDRESS(INDEX($AH$2:$AH$1001,MATCH(ROWS($AF$2:AF429),$AF$2:$AF$1001,0),0), INDEX($AM$1004:$BM$1004,1,MATCH(COLUMNS($AM$1006:AY1006),$AM$1006:$BM$1006,0)))),"Fix")))</f>
        <v xml:space="preserve"> </v>
      </c>
      <c r="O429" s="4" t="str">
        <f ca="1">IF(OR(INDEX($AG$2:$AG$1001,MATCH(ROWS($AF$2:AF429),$AF$2:$AF$1001,0),1)&gt;=100000,INDEX($AM$1005:$BM$1005,1,MATCH(COLUMNS($AM$1006:AZ1006),$AM$1006:$BM$1006,0))&gt;=100000), " ",IF(INDEX($AM$2:$BM$1001,MATCH(ROWS($AF$2:AF429),$AF$2:$AF$1001,0),MATCH(COLUMNS($AM$1006:AZ1006),$AM$1006:$BM$1006,0)), HYPERLINK("#",""), HYPERLINK(CONCATENATE("#metadata!", ADDRESS(INDEX($AH$2:$AH$1001,MATCH(ROWS($AF$2:AF429),$AF$2:$AF$1001,0),0), INDEX($AM$1004:$BM$1004,1,MATCH(COLUMNS($AM$1006:AZ1006),$AM$1006:$BM$1006,0)))),"Fix")))</f>
        <v xml:space="preserve"> </v>
      </c>
      <c r="P429" s="4" t="str">
        <f ca="1">IF(OR(INDEX($AG$2:$AG$1001,MATCH(ROWS($AF$2:AF429),$AF$2:$AF$1001,0),1)&gt;=100000,INDEX($AM$1005:$BM$1005,1,MATCH(COLUMNS($AM$1006:BA1006),$AM$1006:$BM$1006,0))&gt;=100000), " ",IF(INDEX($AM$2:$BM$1001,MATCH(ROWS($AF$2:AF429),$AF$2:$AF$1001,0),MATCH(COLUMNS($AM$1006:BA1006),$AM$1006:$BM$1006,0)), HYPERLINK("#",""), HYPERLINK(CONCATENATE("#metadata!", ADDRESS(INDEX($AH$2:$AH$1001,MATCH(ROWS($AF$2:AF429),$AF$2:$AF$1001,0),0), INDEX($AM$1004:$BM$1004,1,MATCH(COLUMNS($AM$1006:BA1006),$AM$1006:$BM$1006,0)))),"Fix")))</f>
        <v xml:space="preserve"> </v>
      </c>
      <c r="Q429" s="4" t="str">
        <f ca="1">IF(OR(INDEX($AG$2:$AG$1001,MATCH(ROWS($AF$2:AF429),$AF$2:$AF$1001,0),1)&gt;=100000,INDEX($AM$1005:$BM$1005,1,MATCH(COLUMNS($AM$1006:BB1006),$AM$1006:$BM$1006,0))&gt;=100000), " ",IF(INDEX($AM$2:$BM$1001,MATCH(ROWS($AF$2:AF429),$AF$2:$AF$1001,0),MATCH(COLUMNS($AM$1006:BB1006),$AM$1006:$BM$1006,0)), HYPERLINK("#",""), HYPERLINK(CONCATENATE("#metadata!", ADDRESS(INDEX($AH$2:$AH$1001,MATCH(ROWS($AF$2:AF429),$AF$2:$AF$1001,0),0), INDEX($AM$1004:$BM$1004,1,MATCH(COLUMNS($AM$1006:BB1006),$AM$1006:$BM$1006,0)))),"Fix")))</f>
        <v xml:space="preserve"> </v>
      </c>
      <c r="R429" s="4" t="str">
        <f ca="1">IF(OR(INDEX($AG$2:$AG$1001,MATCH(ROWS($AF$2:AF429),$AF$2:$AF$1001,0),1)&gt;=100000,INDEX($AM$1005:$BM$1005,1,MATCH(COLUMNS($AM$1006:BC1006),$AM$1006:$BM$1006,0))&gt;=100000), " ",IF(INDEX($AM$2:$BM$1001,MATCH(ROWS($AF$2:AF429),$AF$2:$AF$1001,0),MATCH(COLUMNS($AM$1006:BC1006),$AM$1006:$BM$1006,0)), HYPERLINK("#",""), HYPERLINK(CONCATENATE("#metadata!", ADDRESS(INDEX($AH$2:$AH$1001,MATCH(ROWS($AF$2:AF429),$AF$2:$AF$1001,0),0), INDEX($AM$1004:$BM$1004,1,MATCH(COLUMNS($AM$1006:BC1006),$AM$1006:$BM$1006,0)))),"Fix")))</f>
        <v xml:space="preserve"> </v>
      </c>
      <c r="S429" s="4" t="str">
        <f ca="1">IF(OR(INDEX($AG$2:$AG$1001,MATCH(ROWS($AF$2:AF429),$AF$2:$AF$1001,0),1)&gt;=100000,INDEX($AM$1005:$BM$1005,1,MATCH(COLUMNS($AM$1006:BD1006),$AM$1006:$BM$1006,0))&gt;=100000), " ",IF(INDEX($AM$2:$BM$1001,MATCH(ROWS($AF$2:AF429),$AF$2:$AF$1001,0),MATCH(COLUMNS($AM$1006:BD1006),$AM$1006:$BM$1006,0)), HYPERLINK("#",""), HYPERLINK(CONCATENATE("#metadata!", ADDRESS(INDEX($AH$2:$AH$1001,MATCH(ROWS($AF$2:AF429),$AF$2:$AF$1001,0),0), INDEX($AM$1004:$BM$1004,1,MATCH(COLUMNS($AM$1006:BD1006),$AM$1006:$BM$1006,0)))),"Fix")))</f>
        <v xml:space="preserve"> </v>
      </c>
      <c r="T429" s="4" t="str">
        <f ca="1">IF(OR(INDEX($AG$2:$AG$1001,MATCH(ROWS($AF$2:AF429),$AF$2:$AF$1001,0),1)&gt;=100000,INDEX($AM$1005:$BM$1005,1,MATCH(COLUMNS($AM$1006:BE1006),$AM$1006:$BM$1006,0))&gt;=100000), " ",IF(INDEX($AM$2:$BM$1001,MATCH(ROWS($AF$2:AF429),$AF$2:$AF$1001,0),MATCH(COLUMNS($AM$1006:BE1006),$AM$1006:$BM$1006,0)), HYPERLINK("#",""), HYPERLINK(CONCATENATE("#metadata!", ADDRESS(INDEX($AH$2:$AH$1001,MATCH(ROWS($AF$2:AF429),$AF$2:$AF$1001,0),0), INDEX($AM$1004:$BM$1004,1,MATCH(COLUMNS($AM$1006:BE1006),$AM$1006:$BM$1006,0)))),"Fix")))</f>
        <v xml:space="preserve"> </v>
      </c>
      <c r="U429" s="4" t="str">
        <f ca="1">IF(OR(INDEX($AG$2:$AG$1001,MATCH(ROWS($AF$2:AF429),$AF$2:$AF$1001,0),1)&gt;=100000,INDEX($AM$1005:$BM$1005,1,MATCH(COLUMNS($AM$1006:BF1006),$AM$1006:$BM$1006,0))&gt;=100000), " ",IF(INDEX($AM$2:$BM$1001,MATCH(ROWS($AF$2:AF429),$AF$2:$AF$1001,0),MATCH(COLUMNS($AM$1006:BF1006),$AM$1006:$BM$1006,0)), HYPERLINK("#",""), HYPERLINK(CONCATENATE("#metadata!", ADDRESS(INDEX($AH$2:$AH$1001,MATCH(ROWS($AF$2:AF429),$AF$2:$AF$1001,0),0), INDEX($AM$1004:$BM$1004,1,MATCH(COLUMNS($AM$1006:BF1006),$AM$1006:$BM$1006,0)))),"Fix")))</f>
        <v xml:space="preserve"> </v>
      </c>
      <c r="V429" s="4" t="str">
        <f ca="1">IF(OR(INDEX($AG$2:$AG$1001,MATCH(ROWS($AF$2:AF429),$AF$2:$AF$1001,0),1)&gt;=100000,INDEX($AM$1005:$BM$1005,1,MATCH(COLUMNS($AM$1006:BG1006),$AM$1006:$BM$1006,0))&gt;=100000), " ",IF(INDEX($AM$2:$BM$1001,MATCH(ROWS($AF$2:AF429),$AF$2:$AF$1001,0),MATCH(COLUMNS($AM$1006:BG1006),$AM$1006:$BM$1006,0)), HYPERLINK("#",""), HYPERLINK(CONCATENATE("#metadata!", ADDRESS(INDEX($AH$2:$AH$1001,MATCH(ROWS($AF$2:AF429),$AF$2:$AF$1001,0),0), INDEX($AM$1004:$BM$1004,1,MATCH(COLUMNS($AM$1006:BG1006),$AM$1006:$BM$1006,0)))),"Fix")))</f>
        <v xml:space="preserve"> </v>
      </c>
      <c r="W429" s="4" t="str">
        <f ca="1">IF(OR(INDEX($AG$2:$AG$1001,MATCH(ROWS($AF$2:AF429),$AF$2:$AF$1001,0),1)&gt;=100000,INDEX($AM$1005:$BM$1005,1,MATCH(COLUMNS($AM$1006:BH1006),$AM$1006:$BM$1006,0))&gt;=100000), " ",IF(INDEX($AM$2:$BM$1001,MATCH(ROWS($AF$2:AF429),$AF$2:$AF$1001,0),MATCH(COLUMNS($AM$1006:BH1006),$AM$1006:$BM$1006,0)), HYPERLINK("#",""), HYPERLINK(CONCATENATE("#metadata!", ADDRESS(INDEX($AH$2:$AH$1001,MATCH(ROWS($AF$2:AF429),$AF$2:$AF$1001,0),0), INDEX($AM$1004:$BM$1004,1,MATCH(COLUMNS($AM$1006:BH1006),$AM$1006:$BM$1006,0)))),"Fix")))</f>
        <v xml:space="preserve"> </v>
      </c>
      <c r="X429" s="4" t="str">
        <f ca="1">IF(OR(INDEX($AG$2:$AG$1001,MATCH(ROWS($AF$2:AF429),$AF$2:$AF$1001,0),1)&gt;=100000,INDEX($AM$1005:$BM$1005,1,MATCH(COLUMNS($AM$1006:BI1006),$AM$1006:$BM$1006,0))&gt;=100000), " ",IF(INDEX($AM$2:$BM$1001,MATCH(ROWS($AF$2:AF429),$AF$2:$AF$1001,0),MATCH(COLUMNS($AM$1006:BI1006),$AM$1006:$BM$1006,0)), HYPERLINK("#",""), HYPERLINK(CONCATENATE("#metadata!", ADDRESS(INDEX($AH$2:$AH$1001,MATCH(ROWS($AF$2:AF429),$AF$2:$AF$1001,0),0), INDEX($AM$1004:$BM$1004,1,MATCH(COLUMNS($AM$1006:BI1006),$AM$1006:$BM$1006,0)))),"Fix")))</f>
        <v xml:space="preserve"> </v>
      </c>
      <c r="Y429" s="4" t="str">
        <f ca="1">IF(OR(INDEX($AG$2:$AG$1001,MATCH(ROWS($AF$2:AF429),$AF$2:$AF$1001,0),1)&gt;=100000,INDEX($AM$1005:$BM$1005,1,MATCH(COLUMNS($AM$1006:BJ1006),$AM$1006:$BM$1006,0))&gt;=100000), " ",IF(INDEX($AM$2:$BM$1001,MATCH(ROWS($AF$2:AF429),$AF$2:$AF$1001,0),MATCH(COLUMNS($AM$1006:BJ1006),$AM$1006:$BM$1006,0)), HYPERLINK("#",""), HYPERLINK(CONCATENATE("#metadata!", ADDRESS(INDEX($AH$2:$AH$1001,MATCH(ROWS($AF$2:AF429),$AF$2:$AF$1001,0),0), INDEX($AM$1004:$BM$1004,1,MATCH(COLUMNS($AM$1006:BJ1006),$AM$1006:$BM$1006,0)))),"Fix")))</f>
        <v xml:space="preserve"> </v>
      </c>
      <c r="Z429" s="4" t="str">
        <f ca="1">IF(OR(INDEX($AG$2:$AG$1001,MATCH(ROWS($AF$2:AF429),$AF$2:$AF$1001,0),1)&gt;=100000,INDEX($AM$1005:$BM$1005,1,MATCH(COLUMNS($AM$1006:BK1006),$AM$1006:$BM$1006,0))&gt;=100000), " ",IF(INDEX($AM$2:$BM$1001,MATCH(ROWS($AF$2:AF429),$AF$2:$AF$1001,0),MATCH(COLUMNS($AM$1006:BK1006),$AM$1006:$BM$1006,0)), HYPERLINK("#",""), HYPERLINK(CONCATENATE("#metadata!", ADDRESS(INDEX($AH$2:$AH$1001,MATCH(ROWS($AF$2:AF429),$AF$2:$AF$1001,0),0), INDEX($AM$1004:$BM$1004,1,MATCH(COLUMNS($AM$1006:BK1006),$AM$1006:$BM$1006,0)))),"Fix")))</f>
        <v xml:space="preserve"> </v>
      </c>
      <c r="AA429" s="4" t="str">
        <f ca="1">IF(OR(INDEX($AG$2:$AG$1001,MATCH(ROWS($AF$2:AF429),$AF$2:$AF$1001,0),1)&gt;=100000,INDEX($AM$1005:$BM$1005,1,MATCH(COLUMNS($AM$1006:BL1006),$AM$1006:$BM$1006,0))&gt;=100000), " ",IF(INDEX($AM$2:$BM$1001,MATCH(ROWS($AF$2:AF429),$AF$2:$AF$1001,0),MATCH(COLUMNS($AM$1006:BL1006),$AM$1006:$BM$1006,0)), HYPERLINK("#",""), HYPERLINK(CONCATENATE("#metadata!", ADDRESS(INDEX($AH$2:$AH$1001,MATCH(ROWS($AF$2:AF429),$AF$2:$AF$1001,0),0), INDEX($AM$1004:$BM$1004,1,MATCH(COLUMNS($AM$1006:BL1006),$AM$1006:$BM$1006,0)))),"Fix")))</f>
        <v xml:space="preserve"> </v>
      </c>
      <c r="AB429" s="4" t="str">
        <f ca="1">IF(OR(INDEX($AG$2:$AG$1001,MATCH(ROWS($AF$2:AF429),$AF$2:$AF$1001,0),1)&gt;=100000,INDEX($AM$1005:$BM$1005,1,MATCH(COLUMNS($AM$1006:BM1006),$AM$1006:$BM$1006,0))&gt;=100000), " ",IF(INDEX($AM$2:$BM$1001,MATCH(ROWS($AF$2:AF429),$AF$2:$AF$1001,0),MATCH(COLUMNS($AM$1006:BM1006),$AM$1006:$BM$1006,0)), HYPERLINK("#",""), HYPERLINK(CONCATENATE("#metadata!", ADDRESS(INDEX($AH$2:$AH$1001,MATCH(ROWS($AF$2:AF429),$AF$2:$AF$1001,0),0), INDEX($AM$1004:$BM$1004,1,MATCH(COLUMNS($AM$1006:BM1006),$AM$1006:$BM$1006,0)))),"Fix")))</f>
        <v xml:space="preserve"> </v>
      </c>
      <c r="AF429">
        <v>428</v>
      </c>
      <c r="AG429">
        <v>100429</v>
      </c>
      <c r="AH429">
        <v>429</v>
      </c>
      <c r="AI429" t="b">
        <f t="shared" si="6"/>
        <v>1</v>
      </c>
      <c r="AJ429" t="b">
        <f>COUNTBLANK(metadata!B429:AB429)=COLUMNS(metadata!B429:AB429)</f>
        <v>1</v>
      </c>
      <c r="AK429" t="str">
        <v/>
      </c>
      <c r="AM429" t="b">
        <f ca="1">AND(IF(metadata!B429="",FALSE,TRUE),COUNTIF(metadata!B:B, metadata!B429) = 1,NOT(ISERROR(SUMPRODUCT(SEARCH(MID(metadata!B429,ROW(INDIRECT("1:"&amp;LEN(metadata!B429))), 1),"0123456789abcdefghijklmnopqrstuvwxyzABCDEFGHIJKLMNOPQRSTUVWXYZ.")))))</f>
        <v>0</v>
      </c>
      <c r="AN429" t="b">
        <f ca="1">OR(AND(IF(metadata!C429="",FALSE,TRUE),OR(EXACT(metadata!C429,"missing: not collected"),EXACT(metadata!C429,"missing: not provided"),EXACT(metadata!C429,"missing: restricted access"))),AND(IF(metadata!C429="",FALSE,TRUE),AND(AND(IFERROR(INT(LEFT(metadata!C429,4))&gt;1900,FALSE),IFERROR(INT(LEFT(metadata!C429,4))&lt;=YEAR(NOW()),FALSE)), OR(MID(metadata!C429,5,1)="", AND(AND(MID(metadata!C429,5,1)="-",IFERROR(INT(MID(metadata!C429,6,1))&gt;=0,FALSE),IFERROR(INT(MID(metadata!C429,6,1))&lt;=1,FALSE),NOT(MID(metadata!C429,7,1)=""),IFERROR(INT(MID(metadata!C429,6,2))&gt;=1,FALSE),IFERROR(INT(MID(metadata!C429,6,2))&lt;=12,FALSE)), OR(MID(metadata!C429,8,1)="", AND(AND(MID(metadata!C429,8,1)="-",IFERROR(INT(MID(metadata!C429,9,1))&gt;=0,FALSE),IFERROR(INT(MID(metadata!C429,9,1))&lt;=3,FALSE),NOT(MID(metadata!C429,10,1)=""),IFERROR(INT(MID(metadata!C429,9,2))&gt;=1,FALSE),IFERROR(INT(MID(metadata!C429,9,2))&lt;=31,FALSE)), OR(MID(metadata!C429,11,1)="", AND(AND(MID(metadata!C429,11,1)=" ",IFERROR(INT(MID(metadata!C429,12,1))&gt;=0,FALSE),IFERROR(INT(MID(metadata!C429,12,1))&lt;=2,FALSE),NOT(MID(metadata!C429,13,1)=""),IFERROR(INT(MID(metadata!C429,12,2))&gt;=0,FALSE),IFERROR(INT(MID(metadata!C429,12,2))&lt;=23,FALSE)), OR(MID(metadata!C429,14,1)="", AND(AND(MID(metadata!C429,14,1)=":",IFERROR(INT(MID(metadata!C429,15,1))&gt;=0,FALSE),IFERROR(INT(MID(metadata!C429,15,1))&lt;=5,FALSE),NOT(MID(metadata!C429,16,1)=""),IFERROR(INT(MID(metadata!C429,15,2))&gt;=0,FALSE),IFERROR(INT(MID(metadata!C429,15,2))&lt;=59,FALSE)), OR(MID(metadata!C429,17,1)="", AND(AND(MID(metadata!C429,17,1)=":",IFERROR(INT(MID(metadata!C429,18,1))&gt;=0,FALSE),IFERROR(INT(MID(metadata!C429,18,1))&lt;=5,FALSE),NOT(MID(metadata!C429,19,1)=""),IFERROR(INT(MID(metadata!C429,18,2))&gt;=0,FALSE),IFERROR(INT(MID(metadata!C429,18,2))&lt;=59,FALSE)), LEN(metadata!C429)&lt;=19)))))))))))))</f>
        <v>0</v>
      </c>
      <c r="AO429" t="b">
        <f>AND(IF(metadata!D429="",FALSE,TRUE),EXACT(metadata!D429,"Not applicable"))</f>
        <v>0</v>
      </c>
      <c r="AP429" t="b">
        <f>IF(metadata!E429="",FALSE,TRUE)</f>
        <v>0</v>
      </c>
      <c r="AQ429" t="b">
        <f>OR(AND(IF(metadata!F429="",FALSE,TRUE),OR(EXACT(metadata!F429,"missing: not collected"),EXACT(metadata!F429,"missing: not provided"))),AND(IF(metadata!F429="",FALSE,TRUE),OR(EXACT(metadata!F429,"TRUE"),EXACT(metadata!F429,"FALSE"))))</f>
        <v>0</v>
      </c>
      <c r="AR429" t="b">
        <f>OR(AND(IF(metadata!G429="",FALSE,TRUE),OR(EXACT(metadata!G429,"missing: not collected"),EXACT(metadata!G429,"missing: not provided"),EXACT(metadata!G429,"missing: restricted access"))),AND(IF(metadata!G429="",FALSE,ISNUMBER(VALUE(metadata!G429))),metadata!G429&gt;=-413))</f>
        <v>0</v>
      </c>
      <c r="AS429" t="b">
        <f>AND(IF(metadata!H429="",FALSE,TRUE),EXACT(metadata!H429,"meters"))</f>
        <v>0</v>
      </c>
      <c r="AT429" t="b">
        <f>AND(IF(metadata!I429="",FALSE,TRUE),OR(EXACT(metadata!I429,"Host-associated"),EXACT(metadata!I429,"Free-living")))</f>
        <v>0</v>
      </c>
      <c r="AU429" t="b">
        <f>AND(IF(metadata!J429="",FALSE,TRUE),OR(EXACT(metadata!J429,"Animal"),EXACT(metadata!J429,"Fungus"),EXACT(metadata!J429,"Plant"),EXACT(metadata!J429,"Saline"),EXACT(metadata!J429,"Non-saline")))</f>
        <v>0</v>
      </c>
      <c r="AV429" t="b">
        <f>AND(IF(metadata!K429="",FALSE,TRUE),OR(EXACT(metadata!K429,"Plant secretion"),EXACT(metadata!K429,"Plant rhizosphere"),EXACT(metadata!K429,"Plant surface"),EXACT(metadata!K429,"Plant corpus"),EXACT(metadata!K429,"Fungus surface"),EXACT(metadata!K429,"Fungus corpus"),EXACT(metadata!K429,"Animal surface"),EXACT(metadata!K429,"Animal proximal gut"),EXACT(metadata!K429,"Animal corpus"),EXACT(metadata!K429,"Animal distal gut"),EXACT(metadata!K429,"Animal secretion"),EXACT(metadata!K429,"Sub-surface (non-saline)"),EXACT(metadata!K429,"Surface (non-saline)"),EXACT(metadata!K429,"Water (non-saline)"),EXACT(metadata!K429,"Soil (non-saline)"),EXACT(metadata!K429,"Aerosol (non-saline)"),EXACT(metadata!K429,"Sediment (non-saline)"),EXACT(metadata!K429,"Surface (saline)"),EXACT(metadata!K429,"Water (saline)"),EXACT(metadata!K429,"Hypersaline (saline)"),EXACT(metadata!K429,"Aerosol (saline)"),EXACT(metadata!K429,"Sediment (saline)")))</f>
        <v>0</v>
      </c>
      <c r="AW429" t="b">
        <f>IF(metadata!L429="",FALSE,TRUE)</f>
        <v>0</v>
      </c>
      <c r="AX429" t="b">
        <f>IF(metadata!M429="",FALSE,TRUE)</f>
        <v>0</v>
      </c>
      <c r="AY429" t="b">
        <f>IF(metadata!N429="",FALSE,TRUE)</f>
        <v>0</v>
      </c>
      <c r="AZ429" t="b">
        <f>OR(AND(IF(metadata!O429="",FALSE,TRUE),OR(EXACT(metadata!O429,"missing: not collected"),EXACT(metadata!O429,"missing: not provided"),EXACT(metadata!O429,"missing: restricted access"))),AND(IF(metadata!O429="",FALSE,TRUE),OR(EXACT(metadata!O429,"air"),EXACT(metadata!O429,"built environment"),EXACT(metadata!O429,"host-associated"),EXACT(metadata!O429,"human-associated"),EXACT(metadata!O429,"human-skin"),EXACT(metadata!O429,"human-oral"),EXACT(metadata!O429,"human-gut"),EXACT(metadata!O429,"human-vaginal"),EXACT(metadata!O429,"microbial mat/biofilm"),EXACT(metadata!O429,"misc environment"),EXACT(metadata!O429,"plant-associated"),EXACT(metadata!O429,"sediment"),EXACT(metadata!O429,"soil"),EXACT(metadata!O429,"wastewater/sludge"),EXACT(metadata!O429,"water"))))</f>
        <v>0</v>
      </c>
      <c r="BA429" t="b">
        <f>IF(metadata!P429="",FALSE,TRUE)</f>
        <v>0</v>
      </c>
      <c r="BB429" t="b">
        <f>IF(metadata!Q429="",FALSE,TRUE)</f>
        <v>0</v>
      </c>
      <c r="BC429" t="b">
        <f>OR(AND(IF(metadata!R429="",FALSE,TRUE),OR(EXACT(metadata!R429,"missing: not collected"),EXACT(metadata!R429,"missing: not provided"),EXACT(metadata!R429,"missing: restricted access"))),AND(IF(metadata!R429="",FALSE,ISNUMBER(VALUE(metadata!R429))),metadata!R429&gt;=-90,metadata!R429&lt;=90))</f>
        <v>0</v>
      </c>
      <c r="BD429" t="b">
        <f>AND(IF(metadata!S429="",FALSE,TRUE),EXACT(metadata!S429,"Decimal degrees"))</f>
        <v>0</v>
      </c>
      <c r="BE429" t="b">
        <f>OR(AND(IF(metadata!T429="",FALSE,TRUE),OR(EXACT(metadata!T429,"missing: not collected"),EXACT(metadata!T429,"missing: not provided"),EXACT(metadata!T429,"missing: restricted access"))),AND(IF(metadata!T429="",FALSE,ISNUMBER(VALUE(metadata!T429))),metadata!T429&gt;=-180,metadata!T429&lt;=180))</f>
        <v>0</v>
      </c>
      <c r="BF429" t="b">
        <f>AND(IF(metadata!U429="",FALSE,TRUE),EXACT(metadata!U429,"Decimal degrees"))</f>
        <v>0</v>
      </c>
      <c r="BG429" t="b">
        <f>IF(metadata!V429="",FALSE,TRUE)</f>
        <v>0</v>
      </c>
      <c r="BH429" t="b">
        <f>OR(AND(IF(metadata!W429="",FALSE,TRUE),OR(EXACT(metadata!W429,"missing: not collected"),EXACT(metadata!W429,"missing: not provided"),EXACT(metadata!W429,"missing: restricted access"))),AND(IF(metadata!W429="",FALSE,TRUE),OR(EXACT(metadata!W429,"TRUE"),EXACT(metadata!W429,"FALSE"))))</f>
        <v>0</v>
      </c>
      <c r="BI429" t="b">
        <f>AND(IF(metadata!X429="",FALSE,TRUE),EXACT(metadata!X429,"other"))</f>
        <v>0</v>
      </c>
      <c r="BJ429" t="b">
        <f>IF(metadata!Y429="",FALSE,TRUE)</f>
        <v>0</v>
      </c>
      <c r="BK429" t="b">
        <f>OR(AND(IF(metadata!Z429="",FALSE,TRUE),OR(EXACT(metadata!Z429,"missing: not collected"),EXACT(metadata!Z429,"missing: not provided"))),AND(IF(metadata!Z429="",FALSE,IF(ISERROR(INT(metadata!Z429)),FALSE,INT(metadata!Z429)=metadata!Z429)),metadata!Z429&gt;0))</f>
        <v>0</v>
      </c>
      <c r="BL429" t="b">
        <f>AND(IF(metadata!AA429="",FALSE,TRUE),EXACT(metadata!AA429,"Not applicable"))</f>
        <v>0</v>
      </c>
      <c r="BM429" t="b">
        <f>IF(metadata!AB429="",FALSE,TRUE)</f>
        <v>0</v>
      </c>
    </row>
    <row r="430" spans="1:65" x14ac:dyDescent="0.2">
      <c r="A430" s="5" t="str">
        <f ca="1">IF(B430=" "," ",HYPERLINK(CONCATENATE("#metadata!",ADDRESS(INDEX($AH$2:$AH$1001,MATCH(ROWS($AF$2:AF430),$AF$2:$AF$1001,0),0),1)),INDEX($AK$2:$AK$1001,MATCH(ROWS($AF$2:AF430),$AF$2:$AF$1001,0),0)))</f>
        <v xml:space="preserve"> </v>
      </c>
      <c r="B430" s="4" t="str">
        <f ca="1">IF(OR(INDEX($AG$2:$AG$1001,MATCH(ROWS($AF$2:AF430),$AF$2:$AF$1001,0),1)&gt;=100000,INDEX($AM$1005:$BM$1005,1,MATCH(COLUMNS($AM$1006:AM1006),$AM$1006:$BM$1006,0))&gt;=100000), " ",IF(INDEX($AM$2:$BM$1001,MATCH(ROWS($AF$2:AF430),$AF$2:$AF$1001,0),MATCH(COLUMNS($AM$1006:AM1006),$AM$1006:$BM$1006,0)), HYPERLINK("#",""), HYPERLINK(CONCATENATE("#metadata!", ADDRESS(INDEX($AH$2:$AH$1001,MATCH(ROWS($AF$2:AF430),$AF$2:$AF$1001,0),0), INDEX($AM$1004:$BM$1004,1,MATCH(COLUMNS($AM$1006:AM1006),$AM$1006:$BM$1006,0)))),"Fix")))</f>
        <v xml:space="preserve"> </v>
      </c>
      <c r="C430" s="4" t="str">
        <f ca="1">IF(OR(INDEX($AG$2:$AG$1001,MATCH(ROWS($AF$2:AF430),$AF$2:$AF$1001,0),1)&gt;=100000,INDEX($AM$1005:$BM$1005,1,MATCH(COLUMNS($AM$1006:AN1006),$AM$1006:$BM$1006,0))&gt;=100000), " ",IF(INDEX($AM$2:$BM$1001,MATCH(ROWS($AF$2:AF430),$AF$2:$AF$1001,0),MATCH(COLUMNS($AM$1006:AN1006),$AM$1006:$BM$1006,0)), HYPERLINK("#",""), HYPERLINK(CONCATENATE("#metadata!", ADDRESS(INDEX($AH$2:$AH$1001,MATCH(ROWS($AF$2:AF430),$AF$2:$AF$1001,0),0), INDEX($AM$1004:$BM$1004,1,MATCH(COLUMNS($AM$1006:AN1006),$AM$1006:$BM$1006,0)))),"Fix")))</f>
        <v xml:space="preserve"> </v>
      </c>
      <c r="D430" s="4" t="str">
        <f ca="1">IF(OR(INDEX($AG$2:$AG$1001,MATCH(ROWS($AF$2:AF430),$AF$2:$AF$1001,0),1)&gt;=100000,INDEX($AM$1005:$BM$1005,1,MATCH(COLUMNS($AM$1006:AO1006),$AM$1006:$BM$1006,0))&gt;=100000), " ",IF(INDEX($AM$2:$BM$1001,MATCH(ROWS($AF$2:AF430),$AF$2:$AF$1001,0),MATCH(COLUMNS($AM$1006:AO1006),$AM$1006:$BM$1006,0)), HYPERLINK("#",""), HYPERLINK(CONCATENATE("#metadata!", ADDRESS(INDEX($AH$2:$AH$1001,MATCH(ROWS($AF$2:AF430),$AF$2:$AF$1001,0),0), INDEX($AM$1004:$BM$1004,1,MATCH(COLUMNS($AM$1006:AO1006),$AM$1006:$BM$1006,0)))),"Fix")))</f>
        <v xml:space="preserve"> </v>
      </c>
      <c r="E430" s="4" t="str">
        <f ca="1">IF(OR(INDEX($AG$2:$AG$1001,MATCH(ROWS($AF$2:AF430),$AF$2:$AF$1001,0),1)&gt;=100000,INDEX($AM$1005:$BM$1005,1,MATCH(COLUMNS($AM$1006:AP1006),$AM$1006:$BM$1006,0))&gt;=100000), " ",IF(INDEX($AM$2:$BM$1001,MATCH(ROWS($AF$2:AF430),$AF$2:$AF$1001,0),MATCH(COLUMNS($AM$1006:AP1006),$AM$1006:$BM$1006,0)), HYPERLINK("#",""), HYPERLINK(CONCATENATE("#metadata!", ADDRESS(INDEX($AH$2:$AH$1001,MATCH(ROWS($AF$2:AF430),$AF$2:$AF$1001,0),0), INDEX($AM$1004:$BM$1004,1,MATCH(COLUMNS($AM$1006:AP1006),$AM$1006:$BM$1006,0)))),"Fix")))</f>
        <v xml:space="preserve"> </v>
      </c>
      <c r="F430" s="4" t="str">
        <f ca="1">IF(OR(INDEX($AG$2:$AG$1001,MATCH(ROWS($AF$2:AF430),$AF$2:$AF$1001,0),1)&gt;=100000,INDEX($AM$1005:$BM$1005,1,MATCH(COLUMNS($AM$1006:AQ1006),$AM$1006:$BM$1006,0))&gt;=100000), " ",IF(INDEX($AM$2:$BM$1001,MATCH(ROWS($AF$2:AF430),$AF$2:$AF$1001,0),MATCH(COLUMNS($AM$1006:AQ1006),$AM$1006:$BM$1006,0)), HYPERLINK("#",""), HYPERLINK(CONCATENATE("#metadata!", ADDRESS(INDEX($AH$2:$AH$1001,MATCH(ROWS($AF$2:AF430),$AF$2:$AF$1001,0),0), INDEX($AM$1004:$BM$1004,1,MATCH(COLUMNS($AM$1006:AQ1006),$AM$1006:$BM$1006,0)))),"Fix")))</f>
        <v xml:space="preserve"> </v>
      </c>
      <c r="G430" s="4" t="str">
        <f ca="1">IF(OR(INDEX($AG$2:$AG$1001,MATCH(ROWS($AF$2:AF430),$AF$2:$AF$1001,0),1)&gt;=100000,INDEX($AM$1005:$BM$1005,1,MATCH(COLUMNS($AM$1006:AR1006),$AM$1006:$BM$1006,0))&gt;=100000), " ",IF(INDEX($AM$2:$BM$1001,MATCH(ROWS($AF$2:AF430),$AF$2:$AF$1001,0),MATCH(COLUMNS($AM$1006:AR1006),$AM$1006:$BM$1006,0)), HYPERLINK("#",""), HYPERLINK(CONCATENATE("#metadata!", ADDRESS(INDEX($AH$2:$AH$1001,MATCH(ROWS($AF$2:AF430),$AF$2:$AF$1001,0),0), INDEX($AM$1004:$BM$1004,1,MATCH(COLUMNS($AM$1006:AR1006),$AM$1006:$BM$1006,0)))),"Fix")))</f>
        <v xml:space="preserve"> </v>
      </c>
      <c r="H430" s="4" t="str">
        <f ca="1">IF(OR(INDEX($AG$2:$AG$1001,MATCH(ROWS($AF$2:AF430),$AF$2:$AF$1001,0),1)&gt;=100000,INDEX($AM$1005:$BM$1005,1,MATCH(COLUMNS($AM$1006:AS1006),$AM$1006:$BM$1006,0))&gt;=100000), " ",IF(INDEX($AM$2:$BM$1001,MATCH(ROWS($AF$2:AF430),$AF$2:$AF$1001,0),MATCH(COLUMNS($AM$1006:AS1006),$AM$1006:$BM$1006,0)), HYPERLINK("#",""), HYPERLINK(CONCATENATE("#metadata!", ADDRESS(INDEX($AH$2:$AH$1001,MATCH(ROWS($AF$2:AF430),$AF$2:$AF$1001,0),0), INDEX($AM$1004:$BM$1004,1,MATCH(COLUMNS($AM$1006:AS1006),$AM$1006:$BM$1006,0)))),"Fix")))</f>
        <v xml:space="preserve"> </v>
      </c>
      <c r="I430" s="4" t="str">
        <f ca="1">IF(OR(INDEX($AG$2:$AG$1001,MATCH(ROWS($AF$2:AF430),$AF$2:$AF$1001,0),1)&gt;=100000,INDEX($AM$1005:$BM$1005,1,MATCH(COLUMNS($AM$1006:AT1006),$AM$1006:$BM$1006,0))&gt;=100000), " ",IF(INDEX($AM$2:$BM$1001,MATCH(ROWS($AF$2:AF430),$AF$2:$AF$1001,0),MATCH(COLUMNS($AM$1006:AT1006),$AM$1006:$BM$1006,0)), HYPERLINK("#",""), HYPERLINK(CONCATENATE("#metadata!", ADDRESS(INDEX($AH$2:$AH$1001,MATCH(ROWS($AF$2:AF430),$AF$2:$AF$1001,0),0), INDEX($AM$1004:$BM$1004,1,MATCH(COLUMNS($AM$1006:AT1006),$AM$1006:$BM$1006,0)))),"Fix")))</f>
        <v xml:space="preserve"> </v>
      </c>
      <c r="J430" s="4" t="str">
        <f ca="1">IF(OR(INDEX($AG$2:$AG$1001,MATCH(ROWS($AF$2:AF430),$AF$2:$AF$1001,0),1)&gt;=100000,INDEX($AM$1005:$BM$1005,1,MATCH(COLUMNS($AM$1006:AU1006),$AM$1006:$BM$1006,0))&gt;=100000), " ",IF(INDEX($AM$2:$BM$1001,MATCH(ROWS($AF$2:AF430),$AF$2:$AF$1001,0),MATCH(COLUMNS($AM$1006:AU1006),$AM$1006:$BM$1006,0)), HYPERLINK("#",""), HYPERLINK(CONCATENATE("#metadata!", ADDRESS(INDEX($AH$2:$AH$1001,MATCH(ROWS($AF$2:AF430),$AF$2:$AF$1001,0),0), INDEX($AM$1004:$BM$1004,1,MATCH(COLUMNS($AM$1006:AU1006),$AM$1006:$BM$1006,0)))),"Fix")))</f>
        <v xml:space="preserve"> </v>
      </c>
      <c r="K430" s="4" t="str">
        <f ca="1">IF(OR(INDEX($AG$2:$AG$1001,MATCH(ROWS($AF$2:AF430),$AF$2:$AF$1001,0),1)&gt;=100000,INDEX($AM$1005:$BM$1005,1,MATCH(COLUMNS($AM$1006:AV1006),$AM$1006:$BM$1006,0))&gt;=100000), " ",IF(INDEX($AM$2:$BM$1001,MATCH(ROWS($AF$2:AF430),$AF$2:$AF$1001,0),MATCH(COLUMNS($AM$1006:AV1006),$AM$1006:$BM$1006,0)), HYPERLINK("#",""), HYPERLINK(CONCATENATE("#metadata!", ADDRESS(INDEX($AH$2:$AH$1001,MATCH(ROWS($AF$2:AF430),$AF$2:$AF$1001,0),0), INDEX($AM$1004:$BM$1004,1,MATCH(COLUMNS($AM$1006:AV1006),$AM$1006:$BM$1006,0)))),"Fix")))</f>
        <v xml:space="preserve"> </v>
      </c>
      <c r="L430" s="4" t="str">
        <f ca="1">IF(OR(INDEX($AG$2:$AG$1001,MATCH(ROWS($AF$2:AF430),$AF$2:$AF$1001,0),1)&gt;=100000,INDEX($AM$1005:$BM$1005,1,MATCH(COLUMNS($AM$1006:AW1006),$AM$1006:$BM$1006,0))&gt;=100000), " ",IF(INDEX($AM$2:$BM$1001,MATCH(ROWS($AF$2:AF430),$AF$2:$AF$1001,0),MATCH(COLUMNS($AM$1006:AW1006),$AM$1006:$BM$1006,0)), HYPERLINK("#",""), HYPERLINK(CONCATENATE("#metadata!", ADDRESS(INDEX($AH$2:$AH$1001,MATCH(ROWS($AF$2:AF430),$AF$2:$AF$1001,0),0), INDEX($AM$1004:$BM$1004,1,MATCH(COLUMNS($AM$1006:AW1006),$AM$1006:$BM$1006,0)))),"Fix")))</f>
        <v xml:space="preserve"> </v>
      </c>
      <c r="M430" s="4" t="str">
        <f ca="1">IF(OR(INDEX($AG$2:$AG$1001,MATCH(ROWS($AF$2:AF430),$AF$2:$AF$1001,0),1)&gt;=100000,INDEX($AM$1005:$BM$1005,1,MATCH(COLUMNS($AM$1006:AX1006),$AM$1006:$BM$1006,0))&gt;=100000), " ",IF(INDEX($AM$2:$BM$1001,MATCH(ROWS($AF$2:AF430),$AF$2:$AF$1001,0),MATCH(COLUMNS($AM$1006:AX1006),$AM$1006:$BM$1006,0)), HYPERLINK("#",""), HYPERLINK(CONCATENATE("#metadata!", ADDRESS(INDEX($AH$2:$AH$1001,MATCH(ROWS($AF$2:AF430),$AF$2:$AF$1001,0),0), INDEX($AM$1004:$BM$1004,1,MATCH(COLUMNS($AM$1006:AX1006),$AM$1006:$BM$1006,0)))),"Fix")))</f>
        <v xml:space="preserve"> </v>
      </c>
      <c r="N430" s="4" t="str">
        <f ca="1">IF(OR(INDEX($AG$2:$AG$1001,MATCH(ROWS($AF$2:AF430),$AF$2:$AF$1001,0),1)&gt;=100000,INDEX($AM$1005:$BM$1005,1,MATCH(COLUMNS($AM$1006:AY1006),$AM$1006:$BM$1006,0))&gt;=100000), " ",IF(INDEX($AM$2:$BM$1001,MATCH(ROWS($AF$2:AF430),$AF$2:$AF$1001,0),MATCH(COLUMNS($AM$1006:AY1006),$AM$1006:$BM$1006,0)), HYPERLINK("#",""), HYPERLINK(CONCATENATE("#metadata!", ADDRESS(INDEX($AH$2:$AH$1001,MATCH(ROWS($AF$2:AF430),$AF$2:$AF$1001,0),0), INDEX($AM$1004:$BM$1004,1,MATCH(COLUMNS($AM$1006:AY1006),$AM$1006:$BM$1006,0)))),"Fix")))</f>
        <v xml:space="preserve"> </v>
      </c>
      <c r="O430" s="4" t="str">
        <f ca="1">IF(OR(INDEX($AG$2:$AG$1001,MATCH(ROWS($AF$2:AF430),$AF$2:$AF$1001,0),1)&gt;=100000,INDEX($AM$1005:$BM$1005,1,MATCH(COLUMNS($AM$1006:AZ1006),$AM$1006:$BM$1006,0))&gt;=100000), " ",IF(INDEX($AM$2:$BM$1001,MATCH(ROWS($AF$2:AF430),$AF$2:$AF$1001,0),MATCH(COLUMNS($AM$1006:AZ1006),$AM$1006:$BM$1006,0)), HYPERLINK("#",""), HYPERLINK(CONCATENATE("#metadata!", ADDRESS(INDEX($AH$2:$AH$1001,MATCH(ROWS($AF$2:AF430),$AF$2:$AF$1001,0),0), INDEX($AM$1004:$BM$1004,1,MATCH(COLUMNS($AM$1006:AZ1006),$AM$1006:$BM$1006,0)))),"Fix")))</f>
        <v xml:space="preserve"> </v>
      </c>
      <c r="P430" s="4" t="str">
        <f ca="1">IF(OR(INDEX($AG$2:$AG$1001,MATCH(ROWS($AF$2:AF430),$AF$2:$AF$1001,0),1)&gt;=100000,INDEX($AM$1005:$BM$1005,1,MATCH(COLUMNS($AM$1006:BA1006),$AM$1006:$BM$1006,0))&gt;=100000), " ",IF(INDEX($AM$2:$BM$1001,MATCH(ROWS($AF$2:AF430),$AF$2:$AF$1001,0),MATCH(COLUMNS($AM$1006:BA1006),$AM$1006:$BM$1006,0)), HYPERLINK("#",""), HYPERLINK(CONCATENATE("#metadata!", ADDRESS(INDEX($AH$2:$AH$1001,MATCH(ROWS($AF$2:AF430),$AF$2:$AF$1001,0),0), INDEX($AM$1004:$BM$1004,1,MATCH(COLUMNS($AM$1006:BA1006),$AM$1006:$BM$1006,0)))),"Fix")))</f>
        <v xml:space="preserve"> </v>
      </c>
      <c r="Q430" s="4" t="str">
        <f ca="1">IF(OR(INDEX($AG$2:$AG$1001,MATCH(ROWS($AF$2:AF430),$AF$2:$AF$1001,0),1)&gt;=100000,INDEX($AM$1005:$BM$1005,1,MATCH(COLUMNS($AM$1006:BB1006),$AM$1006:$BM$1006,0))&gt;=100000), " ",IF(INDEX($AM$2:$BM$1001,MATCH(ROWS($AF$2:AF430),$AF$2:$AF$1001,0),MATCH(COLUMNS($AM$1006:BB1006),$AM$1006:$BM$1006,0)), HYPERLINK("#",""), HYPERLINK(CONCATENATE("#metadata!", ADDRESS(INDEX($AH$2:$AH$1001,MATCH(ROWS($AF$2:AF430),$AF$2:$AF$1001,0),0), INDEX($AM$1004:$BM$1004,1,MATCH(COLUMNS($AM$1006:BB1006),$AM$1006:$BM$1006,0)))),"Fix")))</f>
        <v xml:space="preserve"> </v>
      </c>
      <c r="R430" s="4" t="str">
        <f ca="1">IF(OR(INDEX($AG$2:$AG$1001,MATCH(ROWS($AF$2:AF430),$AF$2:$AF$1001,0),1)&gt;=100000,INDEX($AM$1005:$BM$1005,1,MATCH(COLUMNS($AM$1006:BC1006),$AM$1006:$BM$1006,0))&gt;=100000), " ",IF(INDEX($AM$2:$BM$1001,MATCH(ROWS($AF$2:AF430),$AF$2:$AF$1001,0),MATCH(COLUMNS($AM$1006:BC1006),$AM$1006:$BM$1006,0)), HYPERLINK("#",""), HYPERLINK(CONCATENATE("#metadata!", ADDRESS(INDEX($AH$2:$AH$1001,MATCH(ROWS($AF$2:AF430),$AF$2:$AF$1001,0),0), INDEX($AM$1004:$BM$1004,1,MATCH(COLUMNS($AM$1006:BC1006),$AM$1006:$BM$1006,0)))),"Fix")))</f>
        <v xml:space="preserve"> </v>
      </c>
      <c r="S430" s="4" t="str">
        <f ca="1">IF(OR(INDEX($AG$2:$AG$1001,MATCH(ROWS($AF$2:AF430),$AF$2:$AF$1001,0),1)&gt;=100000,INDEX($AM$1005:$BM$1005,1,MATCH(COLUMNS($AM$1006:BD1006),$AM$1006:$BM$1006,0))&gt;=100000), " ",IF(INDEX($AM$2:$BM$1001,MATCH(ROWS($AF$2:AF430),$AF$2:$AF$1001,0),MATCH(COLUMNS($AM$1006:BD1006),$AM$1006:$BM$1006,0)), HYPERLINK("#",""), HYPERLINK(CONCATENATE("#metadata!", ADDRESS(INDEX($AH$2:$AH$1001,MATCH(ROWS($AF$2:AF430),$AF$2:$AF$1001,0),0), INDEX($AM$1004:$BM$1004,1,MATCH(COLUMNS($AM$1006:BD1006),$AM$1006:$BM$1006,0)))),"Fix")))</f>
        <v xml:space="preserve"> </v>
      </c>
      <c r="T430" s="4" t="str">
        <f ca="1">IF(OR(INDEX($AG$2:$AG$1001,MATCH(ROWS($AF$2:AF430),$AF$2:$AF$1001,0),1)&gt;=100000,INDEX($AM$1005:$BM$1005,1,MATCH(COLUMNS($AM$1006:BE1006),$AM$1006:$BM$1006,0))&gt;=100000), " ",IF(INDEX($AM$2:$BM$1001,MATCH(ROWS($AF$2:AF430),$AF$2:$AF$1001,0),MATCH(COLUMNS($AM$1006:BE1006),$AM$1006:$BM$1006,0)), HYPERLINK("#",""), HYPERLINK(CONCATENATE("#metadata!", ADDRESS(INDEX($AH$2:$AH$1001,MATCH(ROWS($AF$2:AF430),$AF$2:$AF$1001,0),0), INDEX($AM$1004:$BM$1004,1,MATCH(COLUMNS($AM$1006:BE1006),$AM$1006:$BM$1006,0)))),"Fix")))</f>
        <v xml:space="preserve"> </v>
      </c>
      <c r="U430" s="4" t="str">
        <f ca="1">IF(OR(INDEX($AG$2:$AG$1001,MATCH(ROWS($AF$2:AF430),$AF$2:$AF$1001,0),1)&gt;=100000,INDEX($AM$1005:$BM$1005,1,MATCH(COLUMNS($AM$1006:BF1006),$AM$1006:$BM$1006,0))&gt;=100000), " ",IF(INDEX($AM$2:$BM$1001,MATCH(ROWS($AF$2:AF430),$AF$2:$AF$1001,0),MATCH(COLUMNS($AM$1006:BF1006),$AM$1006:$BM$1006,0)), HYPERLINK("#",""), HYPERLINK(CONCATENATE("#metadata!", ADDRESS(INDEX($AH$2:$AH$1001,MATCH(ROWS($AF$2:AF430),$AF$2:$AF$1001,0),0), INDEX($AM$1004:$BM$1004,1,MATCH(COLUMNS($AM$1006:BF1006),$AM$1006:$BM$1006,0)))),"Fix")))</f>
        <v xml:space="preserve"> </v>
      </c>
      <c r="V430" s="4" t="str">
        <f ca="1">IF(OR(INDEX($AG$2:$AG$1001,MATCH(ROWS($AF$2:AF430),$AF$2:$AF$1001,0),1)&gt;=100000,INDEX($AM$1005:$BM$1005,1,MATCH(COLUMNS($AM$1006:BG1006),$AM$1006:$BM$1006,0))&gt;=100000), " ",IF(INDEX($AM$2:$BM$1001,MATCH(ROWS($AF$2:AF430),$AF$2:$AF$1001,0),MATCH(COLUMNS($AM$1006:BG1006),$AM$1006:$BM$1006,0)), HYPERLINK("#",""), HYPERLINK(CONCATENATE("#metadata!", ADDRESS(INDEX($AH$2:$AH$1001,MATCH(ROWS($AF$2:AF430),$AF$2:$AF$1001,0),0), INDEX($AM$1004:$BM$1004,1,MATCH(COLUMNS($AM$1006:BG1006),$AM$1006:$BM$1006,0)))),"Fix")))</f>
        <v xml:space="preserve"> </v>
      </c>
      <c r="W430" s="4" t="str">
        <f ca="1">IF(OR(INDEX($AG$2:$AG$1001,MATCH(ROWS($AF$2:AF430),$AF$2:$AF$1001,0),1)&gt;=100000,INDEX($AM$1005:$BM$1005,1,MATCH(COLUMNS($AM$1006:BH1006),$AM$1006:$BM$1006,0))&gt;=100000), " ",IF(INDEX($AM$2:$BM$1001,MATCH(ROWS($AF$2:AF430),$AF$2:$AF$1001,0),MATCH(COLUMNS($AM$1006:BH1006),$AM$1006:$BM$1006,0)), HYPERLINK("#",""), HYPERLINK(CONCATENATE("#metadata!", ADDRESS(INDEX($AH$2:$AH$1001,MATCH(ROWS($AF$2:AF430),$AF$2:$AF$1001,0),0), INDEX($AM$1004:$BM$1004,1,MATCH(COLUMNS($AM$1006:BH1006),$AM$1006:$BM$1006,0)))),"Fix")))</f>
        <v xml:space="preserve"> </v>
      </c>
      <c r="X430" s="4" t="str">
        <f ca="1">IF(OR(INDEX($AG$2:$AG$1001,MATCH(ROWS($AF$2:AF430),$AF$2:$AF$1001,0),1)&gt;=100000,INDEX($AM$1005:$BM$1005,1,MATCH(COLUMNS($AM$1006:BI1006),$AM$1006:$BM$1006,0))&gt;=100000), " ",IF(INDEX($AM$2:$BM$1001,MATCH(ROWS($AF$2:AF430),$AF$2:$AF$1001,0),MATCH(COLUMNS($AM$1006:BI1006),$AM$1006:$BM$1006,0)), HYPERLINK("#",""), HYPERLINK(CONCATENATE("#metadata!", ADDRESS(INDEX($AH$2:$AH$1001,MATCH(ROWS($AF$2:AF430),$AF$2:$AF$1001,0),0), INDEX($AM$1004:$BM$1004,1,MATCH(COLUMNS($AM$1006:BI1006),$AM$1006:$BM$1006,0)))),"Fix")))</f>
        <v xml:space="preserve"> </v>
      </c>
      <c r="Y430" s="4" t="str">
        <f ca="1">IF(OR(INDEX($AG$2:$AG$1001,MATCH(ROWS($AF$2:AF430),$AF$2:$AF$1001,0),1)&gt;=100000,INDEX($AM$1005:$BM$1005,1,MATCH(COLUMNS($AM$1006:BJ1006),$AM$1006:$BM$1006,0))&gt;=100000), " ",IF(INDEX($AM$2:$BM$1001,MATCH(ROWS($AF$2:AF430),$AF$2:$AF$1001,0),MATCH(COLUMNS($AM$1006:BJ1006),$AM$1006:$BM$1006,0)), HYPERLINK("#",""), HYPERLINK(CONCATENATE("#metadata!", ADDRESS(INDEX($AH$2:$AH$1001,MATCH(ROWS($AF$2:AF430),$AF$2:$AF$1001,0),0), INDEX($AM$1004:$BM$1004,1,MATCH(COLUMNS($AM$1006:BJ1006),$AM$1006:$BM$1006,0)))),"Fix")))</f>
        <v xml:space="preserve"> </v>
      </c>
      <c r="Z430" s="4" t="str">
        <f ca="1">IF(OR(INDEX($AG$2:$AG$1001,MATCH(ROWS($AF$2:AF430),$AF$2:$AF$1001,0),1)&gt;=100000,INDEX($AM$1005:$BM$1005,1,MATCH(COLUMNS($AM$1006:BK1006),$AM$1006:$BM$1006,0))&gt;=100000), " ",IF(INDEX($AM$2:$BM$1001,MATCH(ROWS($AF$2:AF430),$AF$2:$AF$1001,0),MATCH(COLUMNS($AM$1006:BK1006),$AM$1006:$BM$1006,0)), HYPERLINK("#",""), HYPERLINK(CONCATENATE("#metadata!", ADDRESS(INDEX($AH$2:$AH$1001,MATCH(ROWS($AF$2:AF430),$AF$2:$AF$1001,0),0), INDEX($AM$1004:$BM$1004,1,MATCH(COLUMNS($AM$1006:BK1006),$AM$1006:$BM$1006,0)))),"Fix")))</f>
        <v xml:space="preserve"> </v>
      </c>
      <c r="AA430" s="4" t="str">
        <f ca="1">IF(OR(INDEX($AG$2:$AG$1001,MATCH(ROWS($AF$2:AF430),$AF$2:$AF$1001,0),1)&gt;=100000,INDEX($AM$1005:$BM$1005,1,MATCH(COLUMNS($AM$1006:BL1006),$AM$1006:$BM$1006,0))&gt;=100000), " ",IF(INDEX($AM$2:$BM$1001,MATCH(ROWS($AF$2:AF430),$AF$2:$AF$1001,0),MATCH(COLUMNS($AM$1006:BL1006),$AM$1006:$BM$1006,0)), HYPERLINK("#",""), HYPERLINK(CONCATENATE("#metadata!", ADDRESS(INDEX($AH$2:$AH$1001,MATCH(ROWS($AF$2:AF430),$AF$2:$AF$1001,0),0), INDEX($AM$1004:$BM$1004,1,MATCH(COLUMNS($AM$1006:BL1006),$AM$1006:$BM$1006,0)))),"Fix")))</f>
        <v xml:space="preserve"> </v>
      </c>
      <c r="AB430" s="4" t="str">
        <f ca="1">IF(OR(INDEX($AG$2:$AG$1001,MATCH(ROWS($AF$2:AF430),$AF$2:$AF$1001,0),1)&gt;=100000,INDEX($AM$1005:$BM$1005,1,MATCH(COLUMNS($AM$1006:BM1006),$AM$1006:$BM$1006,0))&gt;=100000), " ",IF(INDEX($AM$2:$BM$1001,MATCH(ROWS($AF$2:AF430),$AF$2:$AF$1001,0),MATCH(COLUMNS($AM$1006:BM1006),$AM$1006:$BM$1006,0)), HYPERLINK("#",""), HYPERLINK(CONCATENATE("#metadata!", ADDRESS(INDEX($AH$2:$AH$1001,MATCH(ROWS($AF$2:AF430),$AF$2:$AF$1001,0),0), INDEX($AM$1004:$BM$1004,1,MATCH(COLUMNS($AM$1006:BM1006),$AM$1006:$BM$1006,0)))),"Fix")))</f>
        <v xml:space="preserve"> </v>
      </c>
      <c r="AF430">
        <v>429</v>
      </c>
      <c r="AG430">
        <v>100430</v>
      </c>
      <c r="AH430">
        <v>430</v>
      </c>
      <c r="AI430" t="b">
        <f t="shared" si="6"/>
        <v>1</v>
      </c>
      <c r="AJ430" t="b">
        <f>COUNTBLANK(metadata!B430:AB430)=COLUMNS(metadata!B430:AB430)</f>
        <v>1</v>
      </c>
      <c r="AK430" t="str">
        <v/>
      </c>
      <c r="AM430" t="b">
        <f ca="1">AND(IF(metadata!B430="",FALSE,TRUE),COUNTIF(metadata!B:B, metadata!B430) = 1,NOT(ISERROR(SUMPRODUCT(SEARCH(MID(metadata!B430,ROW(INDIRECT("1:"&amp;LEN(metadata!B430))), 1),"0123456789abcdefghijklmnopqrstuvwxyzABCDEFGHIJKLMNOPQRSTUVWXYZ.")))))</f>
        <v>0</v>
      </c>
      <c r="AN430" t="b">
        <f ca="1">OR(AND(IF(metadata!C430="",FALSE,TRUE),OR(EXACT(metadata!C430,"missing: not collected"),EXACT(metadata!C430,"missing: not provided"),EXACT(metadata!C430,"missing: restricted access"))),AND(IF(metadata!C430="",FALSE,TRUE),AND(AND(IFERROR(INT(LEFT(metadata!C430,4))&gt;1900,FALSE),IFERROR(INT(LEFT(metadata!C430,4))&lt;=YEAR(NOW()),FALSE)), OR(MID(metadata!C430,5,1)="", AND(AND(MID(metadata!C430,5,1)="-",IFERROR(INT(MID(metadata!C430,6,1))&gt;=0,FALSE),IFERROR(INT(MID(metadata!C430,6,1))&lt;=1,FALSE),NOT(MID(metadata!C430,7,1)=""),IFERROR(INT(MID(metadata!C430,6,2))&gt;=1,FALSE),IFERROR(INT(MID(metadata!C430,6,2))&lt;=12,FALSE)), OR(MID(metadata!C430,8,1)="", AND(AND(MID(metadata!C430,8,1)="-",IFERROR(INT(MID(metadata!C430,9,1))&gt;=0,FALSE),IFERROR(INT(MID(metadata!C430,9,1))&lt;=3,FALSE),NOT(MID(metadata!C430,10,1)=""),IFERROR(INT(MID(metadata!C430,9,2))&gt;=1,FALSE),IFERROR(INT(MID(metadata!C430,9,2))&lt;=31,FALSE)), OR(MID(metadata!C430,11,1)="", AND(AND(MID(metadata!C430,11,1)=" ",IFERROR(INT(MID(metadata!C430,12,1))&gt;=0,FALSE),IFERROR(INT(MID(metadata!C430,12,1))&lt;=2,FALSE),NOT(MID(metadata!C430,13,1)=""),IFERROR(INT(MID(metadata!C430,12,2))&gt;=0,FALSE),IFERROR(INT(MID(metadata!C430,12,2))&lt;=23,FALSE)), OR(MID(metadata!C430,14,1)="", AND(AND(MID(metadata!C430,14,1)=":",IFERROR(INT(MID(metadata!C430,15,1))&gt;=0,FALSE),IFERROR(INT(MID(metadata!C430,15,1))&lt;=5,FALSE),NOT(MID(metadata!C430,16,1)=""),IFERROR(INT(MID(metadata!C430,15,2))&gt;=0,FALSE),IFERROR(INT(MID(metadata!C430,15,2))&lt;=59,FALSE)), OR(MID(metadata!C430,17,1)="", AND(AND(MID(metadata!C430,17,1)=":",IFERROR(INT(MID(metadata!C430,18,1))&gt;=0,FALSE),IFERROR(INT(MID(metadata!C430,18,1))&lt;=5,FALSE),NOT(MID(metadata!C430,19,1)=""),IFERROR(INT(MID(metadata!C430,18,2))&gt;=0,FALSE),IFERROR(INT(MID(metadata!C430,18,2))&lt;=59,FALSE)), LEN(metadata!C430)&lt;=19)))))))))))))</f>
        <v>0</v>
      </c>
      <c r="AO430" t="b">
        <f>AND(IF(metadata!D430="",FALSE,TRUE),EXACT(metadata!D430,"Not applicable"))</f>
        <v>0</v>
      </c>
      <c r="AP430" t="b">
        <f>IF(metadata!E430="",FALSE,TRUE)</f>
        <v>0</v>
      </c>
      <c r="AQ430" t="b">
        <f>OR(AND(IF(metadata!F430="",FALSE,TRUE),OR(EXACT(metadata!F430,"missing: not collected"),EXACT(metadata!F430,"missing: not provided"))),AND(IF(metadata!F430="",FALSE,TRUE),OR(EXACT(metadata!F430,"TRUE"),EXACT(metadata!F430,"FALSE"))))</f>
        <v>0</v>
      </c>
      <c r="AR430" t="b">
        <f>OR(AND(IF(metadata!G430="",FALSE,TRUE),OR(EXACT(metadata!G430,"missing: not collected"),EXACT(metadata!G430,"missing: not provided"),EXACT(metadata!G430,"missing: restricted access"))),AND(IF(metadata!G430="",FALSE,ISNUMBER(VALUE(metadata!G430))),metadata!G430&gt;=-413))</f>
        <v>0</v>
      </c>
      <c r="AS430" t="b">
        <f>AND(IF(metadata!H430="",FALSE,TRUE),EXACT(metadata!H430,"meters"))</f>
        <v>0</v>
      </c>
      <c r="AT430" t="b">
        <f>AND(IF(metadata!I430="",FALSE,TRUE),OR(EXACT(metadata!I430,"Host-associated"),EXACT(metadata!I430,"Free-living")))</f>
        <v>0</v>
      </c>
      <c r="AU430" t="b">
        <f>AND(IF(metadata!J430="",FALSE,TRUE),OR(EXACT(metadata!J430,"Animal"),EXACT(metadata!J430,"Fungus"),EXACT(metadata!J430,"Plant"),EXACT(metadata!J430,"Saline"),EXACT(metadata!J430,"Non-saline")))</f>
        <v>0</v>
      </c>
      <c r="AV430" t="b">
        <f>AND(IF(metadata!K430="",FALSE,TRUE),OR(EXACT(metadata!K430,"Plant secretion"),EXACT(metadata!K430,"Plant rhizosphere"),EXACT(metadata!K430,"Plant surface"),EXACT(metadata!K430,"Plant corpus"),EXACT(metadata!K430,"Fungus surface"),EXACT(metadata!K430,"Fungus corpus"),EXACT(metadata!K430,"Animal surface"),EXACT(metadata!K430,"Animal proximal gut"),EXACT(metadata!K430,"Animal corpus"),EXACT(metadata!K430,"Animal distal gut"),EXACT(metadata!K430,"Animal secretion"),EXACT(metadata!K430,"Sub-surface (non-saline)"),EXACT(metadata!K430,"Surface (non-saline)"),EXACT(metadata!K430,"Water (non-saline)"),EXACT(metadata!K430,"Soil (non-saline)"),EXACT(metadata!K430,"Aerosol (non-saline)"),EXACT(metadata!K430,"Sediment (non-saline)"),EXACT(metadata!K430,"Surface (saline)"),EXACT(metadata!K430,"Water (saline)"),EXACT(metadata!K430,"Hypersaline (saline)"),EXACT(metadata!K430,"Aerosol (saline)"),EXACT(metadata!K430,"Sediment (saline)")))</f>
        <v>0</v>
      </c>
      <c r="AW430" t="b">
        <f>IF(metadata!L430="",FALSE,TRUE)</f>
        <v>0</v>
      </c>
      <c r="AX430" t="b">
        <f>IF(metadata!M430="",FALSE,TRUE)</f>
        <v>0</v>
      </c>
      <c r="AY430" t="b">
        <f>IF(metadata!N430="",FALSE,TRUE)</f>
        <v>0</v>
      </c>
      <c r="AZ430" t="b">
        <f>OR(AND(IF(metadata!O430="",FALSE,TRUE),OR(EXACT(metadata!O430,"missing: not collected"),EXACT(metadata!O430,"missing: not provided"),EXACT(metadata!O430,"missing: restricted access"))),AND(IF(metadata!O430="",FALSE,TRUE),OR(EXACT(metadata!O430,"air"),EXACT(metadata!O430,"built environment"),EXACT(metadata!O430,"host-associated"),EXACT(metadata!O430,"human-associated"),EXACT(metadata!O430,"human-skin"),EXACT(metadata!O430,"human-oral"),EXACT(metadata!O430,"human-gut"),EXACT(metadata!O430,"human-vaginal"),EXACT(metadata!O430,"microbial mat/biofilm"),EXACT(metadata!O430,"misc environment"),EXACT(metadata!O430,"plant-associated"),EXACT(metadata!O430,"sediment"),EXACT(metadata!O430,"soil"),EXACT(metadata!O430,"wastewater/sludge"),EXACT(metadata!O430,"water"))))</f>
        <v>0</v>
      </c>
      <c r="BA430" t="b">
        <f>IF(metadata!P430="",FALSE,TRUE)</f>
        <v>0</v>
      </c>
      <c r="BB430" t="b">
        <f>IF(metadata!Q430="",FALSE,TRUE)</f>
        <v>0</v>
      </c>
      <c r="BC430" t="b">
        <f>OR(AND(IF(metadata!R430="",FALSE,TRUE),OR(EXACT(metadata!R430,"missing: not collected"),EXACT(metadata!R430,"missing: not provided"),EXACT(metadata!R430,"missing: restricted access"))),AND(IF(metadata!R430="",FALSE,ISNUMBER(VALUE(metadata!R430))),metadata!R430&gt;=-90,metadata!R430&lt;=90))</f>
        <v>0</v>
      </c>
      <c r="BD430" t="b">
        <f>AND(IF(metadata!S430="",FALSE,TRUE),EXACT(metadata!S430,"Decimal degrees"))</f>
        <v>0</v>
      </c>
      <c r="BE430" t="b">
        <f>OR(AND(IF(metadata!T430="",FALSE,TRUE),OR(EXACT(metadata!T430,"missing: not collected"),EXACT(metadata!T430,"missing: not provided"),EXACT(metadata!T430,"missing: restricted access"))),AND(IF(metadata!T430="",FALSE,ISNUMBER(VALUE(metadata!T430))),metadata!T430&gt;=-180,metadata!T430&lt;=180))</f>
        <v>0</v>
      </c>
      <c r="BF430" t="b">
        <f>AND(IF(metadata!U430="",FALSE,TRUE),EXACT(metadata!U430,"Decimal degrees"))</f>
        <v>0</v>
      </c>
      <c r="BG430" t="b">
        <f>IF(metadata!V430="",FALSE,TRUE)</f>
        <v>0</v>
      </c>
      <c r="BH430" t="b">
        <f>OR(AND(IF(metadata!W430="",FALSE,TRUE),OR(EXACT(metadata!W430,"missing: not collected"),EXACT(metadata!W430,"missing: not provided"),EXACT(metadata!W430,"missing: restricted access"))),AND(IF(metadata!W430="",FALSE,TRUE),OR(EXACT(metadata!W430,"TRUE"),EXACT(metadata!W430,"FALSE"))))</f>
        <v>0</v>
      </c>
      <c r="BI430" t="b">
        <f>AND(IF(metadata!X430="",FALSE,TRUE),EXACT(metadata!X430,"other"))</f>
        <v>0</v>
      </c>
      <c r="BJ430" t="b">
        <f>IF(metadata!Y430="",FALSE,TRUE)</f>
        <v>0</v>
      </c>
      <c r="BK430" t="b">
        <f>OR(AND(IF(metadata!Z430="",FALSE,TRUE),OR(EXACT(metadata!Z430,"missing: not collected"),EXACT(metadata!Z430,"missing: not provided"))),AND(IF(metadata!Z430="",FALSE,IF(ISERROR(INT(metadata!Z430)),FALSE,INT(metadata!Z430)=metadata!Z430)),metadata!Z430&gt;0))</f>
        <v>0</v>
      </c>
      <c r="BL430" t="b">
        <f>AND(IF(metadata!AA430="",FALSE,TRUE),EXACT(metadata!AA430,"Not applicable"))</f>
        <v>0</v>
      </c>
      <c r="BM430" t="b">
        <f>IF(metadata!AB430="",FALSE,TRUE)</f>
        <v>0</v>
      </c>
    </row>
    <row r="431" spans="1:65" x14ac:dyDescent="0.2">
      <c r="A431" s="5" t="str">
        <f ca="1">IF(B431=" "," ",HYPERLINK(CONCATENATE("#metadata!",ADDRESS(INDEX($AH$2:$AH$1001,MATCH(ROWS($AF$2:AF431),$AF$2:$AF$1001,0),0),1)),INDEX($AK$2:$AK$1001,MATCH(ROWS($AF$2:AF431),$AF$2:$AF$1001,0),0)))</f>
        <v xml:space="preserve"> </v>
      </c>
      <c r="B431" s="4" t="str">
        <f ca="1">IF(OR(INDEX($AG$2:$AG$1001,MATCH(ROWS($AF$2:AF431),$AF$2:$AF$1001,0),1)&gt;=100000,INDEX($AM$1005:$BM$1005,1,MATCH(COLUMNS($AM$1006:AM1006),$AM$1006:$BM$1006,0))&gt;=100000), " ",IF(INDEX($AM$2:$BM$1001,MATCH(ROWS($AF$2:AF431),$AF$2:$AF$1001,0),MATCH(COLUMNS($AM$1006:AM1006),$AM$1006:$BM$1006,0)), HYPERLINK("#",""), HYPERLINK(CONCATENATE("#metadata!", ADDRESS(INDEX($AH$2:$AH$1001,MATCH(ROWS($AF$2:AF431),$AF$2:$AF$1001,0),0), INDEX($AM$1004:$BM$1004,1,MATCH(COLUMNS($AM$1006:AM1006),$AM$1006:$BM$1006,0)))),"Fix")))</f>
        <v xml:space="preserve"> </v>
      </c>
      <c r="C431" s="4" t="str">
        <f ca="1">IF(OR(INDEX($AG$2:$AG$1001,MATCH(ROWS($AF$2:AF431),$AF$2:$AF$1001,0),1)&gt;=100000,INDEX($AM$1005:$BM$1005,1,MATCH(COLUMNS($AM$1006:AN1006),$AM$1006:$BM$1006,0))&gt;=100000), " ",IF(INDEX($AM$2:$BM$1001,MATCH(ROWS($AF$2:AF431),$AF$2:$AF$1001,0),MATCH(COLUMNS($AM$1006:AN1006),$AM$1006:$BM$1006,0)), HYPERLINK("#",""), HYPERLINK(CONCATENATE("#metadata!", ADDRESS(INDEX($AH$2:$AH$1001,MATCH(ROWS($AF$2:AF431),$AF$2:$AF$1001,0),0), INDEX($AM$1004:$BM$1004,1,MATCH(COLUMNS($AM$1006:AN1006),$AM$1006:$BM$1006,0)))),"Fix")))</f>
        <v xml:space="preserve"> </v>
      </c>
      <c r="D431" s="4" t="str">
        <f ca="1">IF(OR(INDEX($AG$2:$AG$1001,MATCH(ROWS($AF$2:AF431),$AF$2:$AF$1001,0),1)&gt;=100000,INDEX($AM$1005:$BM$1005,1,MATCH(COLUMNS($AM$1006:AO1006),$AM$1006:$BM$1006,0))&gt;=100000), " ",IF(INDEX($AM$2:$BM$1001,MATCH(ROWS($AF$2:AF431),$AF$2:$AF$1001,0),MATCH(COLUMNS($AM$1006:AO1006),$AM$1006:$BM$1006,0)), HYPERLINK("#",""), HYPERLINK(CONCATENATE("#metadata!", ADDRESS(INDEX($AH$2:$AH$1001,MATCH(ROWS($AF$2:AF431),$AF$2:$AF$1001,0),0), INDEX($AM$1004:$BM$1004,1,MATCH(COLUMNS($AM$1006:AO1006),$AM$1006:$BM$1006,0)))),"Fix")))</f>
        <v xml:space="preserve"> </v>
      </c>
      <c r="E431" s="4" t="str">
        <f ca="1">IF(OR(INDEX($AG$2:$AG$1001,MATCH(ROWS($AF$2:AF431),$AF$2:$AF$1001,0),1)&gt;=100000,INDEX($AM$1005:$BM$1005,1,MATCH(COLUMNS($AM$1006:AP1006),$AM$1006:$BM$1006,0))&gt;=100000), " ",IF(INDEX($AM$2:$BM$1001,MATCH(ROWS($AF$2:AF431),$AF$2:$AF$1001,0),MATCH(COLUMNS($AM$1006:AP1006),$AM$1006:$BM$1006,0)), HYPERLINK("#",""), HYPERLINK(CONCATENATE("#metadata!", ADDRESS(INDEX($AH$2:$AH$1001,MATCH(ROWS($AF$2:AF431),$AF$2:$AF$1001,0),0), INDEX($AM$1004:$BM$1004,1,MATCH(COLUMNS($AM$1006:AP1006),$AM$1006:$BM$1006,0)))),"Fix")))</f>
        <v xml:space="preserve"> </v>
      </c>
      <c r="F431" s="4" t="str">
        <f ca="1">IF(OR(INDEX($AG$2:$AG$1001,MATCH(ROWS($AF$2:AF431),$AF$2:$AF$1001,0),1)&gt;=100000,INDEX($AM$1005:$BM$1005,1,MATCH(COLUMNS($AM$1006:AQ1006),$AM$1006:$BM$1006,0))&gt;=100000), " ",IF(INDEX($AM$2:$BM$1001,MATCH(ROWS($AF$2:AF431),$AF$2:$AF$1001,0),MATCH(COLUMNS($AM$1006:AQ1006),$AM$1006:$BM$1006,0)), HYPERLINK("#",""), HYPERLINK(CONCATENATE("#metadata!", ADDRESS(INDEX($AH$2:$AH$1001,MATCH(ROWS($AF$2:AF431),$AF$2:$AF$1001,0),0), INDEX($AM$1004:$BM$1004,1,MATCH(COLUMNS($AM$1006:AQ1006),$AM$1006:$BM$1006,0)))),"Fix")))</f>
        <v xml:space="preserve"> </v>
      </c>
      <c r="G431" s="4" t="str">
        <f ca="1">IF(OR(INDEX($AG$2:$AG$1001,MATCH(ROWS($AF$2:AF431),$AF$2:$AF$1001,0),1)&gt;=100000,INDEX($AM$1005:$BM$1005,1,MATCH(COLUMNS($AM$1006:AR1006),$AM$1006:$BM$1006,0))&gt;=100000), " ",IF(INDEX($AM$2:$BM$1001,MATCH(ROWS($AF$2:AF431),$AF$2:$AF$1001,0),MATCH(COLUMNS($AM$1006:AR1006),$AM$1006:$BM$1006,0)), HYPERLINK("#",""), HYPERLINK(CONCATENATE("#metadata!", ADDRESS(INDEX($AH$2:$AH$1001,MATCH(ROWS($AF$2:AF431),$AF$2:$AF$1001,0),0), INDEX($AM$1004:$BM$1004,1,MATCH(COLUMNS($AM$1006:AR1006),$AM$1006:$BM$1006,0)))),"Fix")))</f>
        <v xml:space="preserve"> </v>
      </c>
      <c r="H431" s="4" t="str">
        <f ca="1">IF(OR(INDEX($AG$2:$AG$1001,MATCH(ROWS($AF$2:AF431),$AF$2:$AF$1001,0),1)&gt;=100000,INDEX($AM$1005:$BM$1005,1,MATCH(COLUMNS($AM$1006:AS1006),$AM$1006:$BM$1006,0))&gt;=100000), " ",IF(INDEX($AM$2:$BM$1001,MATCH(ROWS($AF$2:AF431),$AF$2:$AF$1001,0),MATCH(COLUMNS($AM$1006:AS1006),$AM$1006:$BM$1006,0)), HYPERLINK("#",""), HYPERLINK(CONCATENATE("#metadata!", ADDRESS(INDEX($AH$2:$AH$1001,MATCH(ROWS($AF$2:AF431),$AF$2:$AF$1001,0),0), INDEX($AM$1004:$BM$1004,1,MATCH(COLUMNS($AM$1006:AS1006),$AM$1006:$BM$1006,0)))),"Fix")))</f>
        <v xml:space="preserve"> </v>
      </c>
      <c r="I431" s="4" t="str">
        <f ca="1">IF(OR(INDEX($AG$2:$AG$1001,MATCH(ROWS($AF$2:AF431),$AF$2:$AF$1001,0),1)&gt;=100000,INDEX($AM$1005:$BM$1005,1,MATCH(COLUMNS($AM$1006:AT1006),$AM$1006:$BM$1006,0))&gt;=100000), " ",IF(INDEX($AM$2:$BM$1001,MATCH(ROWS($AF$2:AF431),$AF$2:$AF$1001,0),MATCH(COLUMNS($AM$1006:AT1006),$AM$1006:$BM$1006,0)), HYPERLINK("#",""), HYPERLINK(CONCATENATE("#metadata!", ADDRESS(INDEX($AH$2:$AH$1001,MATCH(ROWS($AF$2:AF431),$AF$2:$AF$1001,0),0), INDEX($AM$1004:$BM$1004,1,MATCH(COLUMNS($AM$1006:AT1006),$AM$1006:$BM$1006,0)))),"Fix")))</f>
        <v xml:space="preserve"> </v>
      </c>
      <c r="J431" s="4" t="str">
        <f ca="1">IF(OR(INDEX($AG$2:$AG$1001,MATCH(ROWS($AF$2:AF431),$AF$2:$AF$1001,0),1)&gt;=100000,INDEX($AM$1005:$BM$1005,1,MATCH(COLUMNS($AM$1006:AU1006),$AM$1006:$BM$1006,0))&gt;=100000), " ",IF(INDEX($AM$2:$BM$1001,MATCH(ROWS($AF$2:AF431),$AF$2:$AF$1001,0),MATCH(COLUMNS($AM$1006:AU1006),$AM$1006:$BM$1006,0)), HYPERLINK("#",""), HYPERLINK(CONCATENATE("#metadata!", ADDRESS(INDEX($AH$2:$AH$1001,MATCH(ROWS($AF$2:AF431),$AF$2:$AF$1001,0),0), INDEX($AM$1004:$BM$1004,1,MATCH(COLUMNS($AM$1006:AU1006),$AM$1006:$BM$1006,0)))),"Fix")))</f>
        <v xml:space="preserve"> </v>
      </c>
      <c r="K431" s="4" t="str">
        <f ca="1">IF(OR(INDEX($AG$2:$AG$1001,MATCH(ROWS($AF$2:AF431),$AF$2:$AF$1001,0),1)&gt;=100000,INDEX($AM$1005:$BM$1005,1,MATCH(COLUMNS($AM$1006:AV1006),$AM$1006:$BM$1006,0))&gt;=100000), " ",IF(INDEX($AM$2:$BM$1001,MATCH(ROWS($AF$2:AF431),$AF$2:$AF$1001,0),MATCH(COLUMNS($AM$1006:AV1006),$AM$1006:$BM$1006,0)), HYPERLINK("#",""), HYPERLINK(CONCATENATE("#metadata!", ADDRESS(INDEX($AH$2:$AH$1001,MATCH(ROWS($AF$2:AF431),$AF$2:$AF$1001,0),0), INDEX($AM$1004:$BM$1004,1,MATCH(COLUMNS($AM$1006:AV1006),$AM$1006:$BM$1006,0)))),"Fix")))</f>
        <v xml:space="preserve"> </v>
      </c>
      <c r="L431" s="4" t="str">
        <f ca="1">IF(OR(INDEX($AG$2:$AG$1001,MATCH(ROWS($AF$2:AF431),$AF$2:$AF$1001,0),1)&gt;=100000,INDEX($AM$1005:$BM$1005,1,MATCH(COLUMNS($AM$1006:AW1006),$AM$1006:$BM$1006,0))&gt;=100000), " ",IF(INDEX($AM$2:$BM$1001,MATCH(ROWS($AF$2:AF431),$AF$2:$AF$1001,0),MATCH(COLUMNS($AM$1006:AW1006),$AM$1006:$BM$1006,0)), HYPERLINK("#",""), HYPERLINK(CONCATENATE("#metadata!", ADDRESS(INDEX($AH$2:$AH$1001,MATCH(ROWS($AF$2:AF431),$AF$2:$AF$1001,0),0), INDEX($AM$1004:$BM$1004,1,MATCH(COLUMNS($AM$1006:AW1006),$AM$1006:$BM$1006,0)))),"Fix")))</f>
        <v xml:space="preserve"> </v>
      </c>
      <c r="M431" s="4" t="str">
        <f ca="1">IF(OR(INDEX($AG$2:$AG$1001,MATCH(ROWS($AF$2:AF431),$AF$2:$AF$1001,0),1)&gt;=100000,INDEX($AM$1005:$BM$1005,1,MATCH(COLUMNS($AM$1006:AX1006),$AM$1006:$BM$1006,0))&gt;=100000), " ",IF(INDEX($AM$2:$BM$1001,MATCH(ROWS($AF$2:AF431),$AF$2:$AF$1001,0),MATCH(COLUMNS($AM$1006:AX1006),$AM$1006:$BM$1006,0)), HYPERLINK("#",""), HYPERLINK(CONCATENATE("#metadata!", ADDRESS(INDEX($AH$2:$AH$1001,MATCH(ROWS($AF$2:AF431),$AF$2:$AF$1001,0),0), INDEX($AM$1004:$BM$1004,1,MATCH(COLUMNS($AM$1006:AX1006),$AM$1006:$BM$1006,0)))),"Fix")))</f>
        <v xml:space="preserve"> </v>
      </c>
      <c r="N431" s="4" t="str">
        <f ca="1">IF(OR(INDEX($AG$2:$AG$1001,MATCH(ROWS($AF$2:AF431),$AF$2:$AF$1001,0),1)&gt;=100000,INDEX($AM$1005:$BM$1005,1,MATCH(COLUMNS($AM$1006:AY1006),$AM$1006:$BM$1006,0))&gt;=100000), " ",IF(INDEX($AM$2:$BM$1001,MATCH(ROWS($AF$2:AF431),$AF$2:$AF$1001,0),MATCH(COLUMNS($AM$1006:AY1006),$AM$1006:$BM$1006,0)), HYPERLINK("#",""), HYPERLINK(CONCATENATE("#metadata!", ADDRESS(INDEX($AH$2:$AH$1001,MATCH(ROWS($AF$2:AF431),$AF$2:$AF$1001,0),0), INDEX($AM$1004:$BM$1004,1,MATCH(COLUMNS($AM$1006:AY1006),$AM$1006:$BM$1006,0)))),"Fix")))</f>
        <v xml:space="preserve"> </v>
      </c>
      <c r="O431" s="4" t="str">
        <f ca="1">IF(OR(INDEX($AG$2:$AG$1001,MATCH(ROWS($AF$2:AF431),$AF$2:$AF$1001,0),1)&gt;=100000,INDEX($AM$1005:$BM$1005,1,MATCH(COLUMNS($AM$1006:AZ1006),$AM$1006:$BM$1006,0))&gt;=100000), " ",IF(INDEX($AM$2:$BM$1001,MATCH(ROWS($AF$2:AF431),$AF$2:$AF$1001,0),MATCH(COLUMNS($AM$1006:AZ1006),$AM$1006:$BM$1006,0)), HYPERLINK("#",""), HYPERLINK(CONCATENATE("#metadata!", ADDRESS(INDEX($AH$2:$AH$1001,MATCH(ROWS($AF$2:AF431),$AF$2:$AF$1001,0),0), INDEX($AM$1004:$BM$1004,1,MATCH(COLUMNS($AM$1006:AZ1006),$AM$1006:$BM$1006,0)))),"Fix")))</f>
        <v xml:space="preserve"> </v>
      </c>
      <c r="P431" s="4" t="str">
        <f ca="1">IF(OR(INDEX($AG$2:$AG$1001,MATCH(ROWS($AF$2:AF431),$AF$2:$AF$1001,0),1)&gt;=100000,INDEX($AM$1005:$BM$1005,1,MATCH(COLUMNS($AM$1006:BA1006),$AM$1006:$BM$1006,0))&gt;=100000), " ",IF(INDEX($AM$2:$BM$1001,MATCH(ROWS($AF$2:AF431),$AF$2:$AF$1001,0),MATCH(COLUMNS($AM$1006:BA1006),$AM$1006:$BM$1006,0)), HYPERLINK("#",""), HYPERLINK(CONCATENATE("#metadata!", ADDRESS(INDEX($AH$2:$AH$1001,MATCH(ROWS($AF$2:AF431),$AF$2:$AF$1001,0),0), INDEX($AM$1004:$BM$1004,1,MATCH(COLUMNS($AM$1006:BA1006),$AM$1006:$BM$1006,0)))),"Fix")))</f>
        <v xml:space="preserve"> </v>
      </c>
      <c r="Q431" s="4" t="str">
        <f ca="1">IF(OR(INDEX($AG$2:$AG$1001,MATCH(ROWS($AF$2:AF431),$AF$2:$AF$1001,0),1)&gt;=100000,INDEX($AM$1005:$BM$1005,1,MATCH(COLUMNS($AM$1006:BB1006),$AM$1006:$BM$1006,0))&gt;=100000), " ",IF(INDEX($AM$2:$BM$1001,MATCH(ROWS($AF$2:AF431),$AF$2:$AF$1001,0),MATCH(COLUMNS($AM$1006:BB1006),$AM$1006:$BM$1006,0)), HYPERLINK("#",""), HYPERLINK(CONCATENATE("#metadata!", ADDRESS(INDEX($AH$2:$AH$1001,MATCH(ROWS($AF$2:AF431),$AF$2:$AF$1001,0),0), INDEX($AM$1004:$BM$1004,1,MATCH(COLUMNS($AM$1006:BB1006),$AM$1006:$BM$1006,0)))),"Fix")))</f>
        <v xml:space="preserve"> </v>
      </c>
      <c r="R431" s="4" t="str">
        <f ca="1">IF(OR(INDEX($AG$2:$AG$1001,MATCH(ROWS($AF$2:AF431),$AF$2:$AF$1001,0),1)&gt;=100000,INDEX($AM$1005:$BM$1005,1,MATCH(COLUMNS($AM$1006:BC1006),$AM$1006:$BM$1006,0))&gt;=100000), " ",IF(INDEX($AM$2:$BM$1001,MATCH(ROWS($AF$2:AF431),$AF$2:$AF$1001,0),MATCH(COLUMNS($AM$1006:BC1006),$AM$1006:$BM$1006,0)), HYPERLINK("#",""), HYPERLINK(CONCATENATE("#metadata!", ADDRESS(INDEX($AH$2:$AH$1001,MATCH(ROWS($AF$2:AF431),$AF$2:$AF$1001,0),0), INDEX($AM$1004:$BM$1004,1,MATCH(COLUMNS($AM$1006:BC1006),$AM$1006:$BM$1006,0)))),"Fix")))</f>
        <v xml:space="preserve"> </v>
      </c>
      <c r="S431" s="4" t="str">
        <f ca="1">IF(OR(INDEX($AG$2:$AG$1001,MATCH(ROWS($AF$2:AF431),$AF$2:$AF$1001,0),1)&gt;=100000,INDEX($AM$1005:$BM$1005,1,MATCH(COLUMNS($AM$1006:BD1006),$AM$1006:$BM$1006,0))&gt;=100000), " ",IF(INDEX($AM$2:$BM$1001,MATCH(ROWS($AF$2:AF431),$AF$2:$AF$1001,0),MATCH(COLUMNS($AM$1006:BD1006),$AM$1006:$BM$1006,0)), HYPERLINK("#",""), HYPERLINK(CONCATENATE("#metadata!", ADDRESS(INDEX($AH$2:$AH$1001,MATCH(ROWS($AF$2:AF431),$AF$2:$AF$1001,0),0), INDEX($AM$1004:$BM$1004,1,MATCH(COLUMNS($AM$1006:BD1006),$AM$1006:$BM$1006,0)))),"Fix")))</f>
        <v xml:space="preserve"> </v>
      </c>
      <c r="T431" s="4" t="str">
        <f ca="1">IF(OR(INDEX($AG$2:$AG$1001,MATCH(ROWS($AF$2:AF431),$AF$2:$AF$1001,0),1)&gt;=100000,INDEX($AM$1005:$BM$1005,1,MATCH(COLUMNS($AM$1006:BE1006),$AM$1006:$BM$1006,0))&gt;=100000), " ",IF(INDEX($AM$2:$BM$1001,MATCH(ROWS($AF$2:AF431),$AF$2:$AF$1001,0),MATCH(COLUMNS($AM$1006:BE1006),$AM$1006:$BM$1006,0)), HYPERLINK("#",""), HYPERLINK(CONCATENATE("#metadata!", ADDRESS(INDEX($AH$2:$AH$1001,MATCH(ROWS($AF$2:AF431),$AF$2:$AF$1001,0),0), INDEX($AM$1004:$BM$1004,1,MATCH(COLUMNS($AM$1006:BE1006),$AM$1006:$BM$1006,0)))),"Fix")))</f>
        <v xml:space="preserve"> </v>
      </c>
      <c r="U431" s="4" t="str">
        <f ca="1">IF(OR(INDEX($AG$2:$AG$1001,MATCH(ROWS($AF$2:AF431),$AF$2:$AF$1001,0),1)&gt;=100000,INDEX($AM$1005:$BM$1005,1,MATCH(COLUMNS($AM$1006:BF1006),$AM$1006:$BM$1006,0))&gt;=100000), " ",IF(INDEX($AM$2:$BM$1001,MATCH(ROWS($AF$2:AF431),$AF$2:$AF$1001,0),MATCH(COLUMNS($AM$1006:BF1006),$AM$1006:$BM$1006,0)), HYPERLINK("#",""), HYPERLINK(CONCATENATE("#metadata!", ADDRESS(INDEX($AH$2:$AH$1001,MATCH(ROWS($AF$2:AF431),$AF$2:$AF$1001,0),0), INDEX($AM$1004:$BM$1004,1,MATCH(COLUMNS($AM$1006:BF1006),$AM$1006:$BM$1006,0)))),"Fix")))</f>
        <v xml:space="preserve"> </v>
      </c>
      <c r="V431" s="4" t="str">
        <f ca="1">IF(OR(INDEX($AG$2:$AG$1001,MATCH(ROWS($AF$2:AF431),$AF$2:$AF$1001,0),1)&gt;=100000,INDEX($AM$1005:$BM$1005,1,MATCH(COLUMNS($AM$1006:BG1006),$AM$1006:$BM$1006,0))&gt;=100000), " ",IF(INDEX($AM$2:$BM$1001,MATCH(ROWS($AF$2:AF431),$AF$2:$AF$1001,0),MATCH(COLUMNS($AM$1006:BG1006),$AM$1006:$BM$1006,0)), HYPERLINK("#",""), HYPERLINK(CONCATENATE("#metadata!", ADDRESS(INDEX($AH$2:$AH$1001,MATCH(ROWS($AF$2:AF431),$AF$2:$AF$1001,0),0), INDEX($AM$1004:$BM$1004,1,MATCH(COLUMNS($AM$1006:BG1006),$AM$1006:$BM$1006,0)))),"Fix")))</f>
        <v xml:space="preserve"> </v>
      </c>
      <c r="W431" s="4" t="str">
        <f ca="1">IF(OR(INDEX($AG$2:$AG$1001,MATCH(ROWS($AF$2:AF431),$AF$2:$AF$1001,0),1)&gt;=100000,INDEX($AM$1005:$BM$1005,1,MATCH(COLUMNS($AM$1006:BH1006),$AM$1006:$BM$1006,0))&gt;=100000), " ",IF(INDEX($AM$2:$BM$1001,MATCH(ROWS($AF$2:AF431),$AF$2:$AF$1001,0),MATCH(COLUMNS($AM$1006:BH1006),$AM$1006:$BM$1006,0)), HYPERLINK("#",""), HYPERLINK(CONCATENATE("#metadata!", ADDRESS(INDEX($AH$2:$AH$1001,MATCH(ROWS($AF$2:AF431),$AF$2:$AF$1001,0),0), INDEX($AM$1004:$BM$1004,1,MATCH(COLUMNS($AM$1006:BH1006),$AM$1006:$BM$1006,0)))),"Fix")))</f>
        <v xml:space="preserve"> </v>
      </c>
      <c r="X431" s="4" t="str">
        <f ca="1">IF(OR(INDEX($AG$2:$AG$1001,MATCH(ROWS($AF$2:AF431),$AF$2:$AF$1001,0),1)&gt;=100000,INDEX($AM$1005:$BM$1005,1,MATCH(COLUMNS($AM$1006:BI1006),$AM$1006:$BM$1006,0))&gt;=100000), " ",IF(INDEX($AM$2:$BM$1001,MATCH(ROWS($AF$2:AF431),$AF$2:$AF$1001,0),MATCH(COLUMNS($AM$1006:BI1006),$AM$1006:$BM$1006,0)), HYPERLINK("#",""), HYPERLINK(CONCATENATE("#metadata!", ADDRESS(INDEX($AH$2:$AH$1001,MATCH(ROWS($AF$2:AF431),$AF$2:$AF$1001,0),0), INDEX($AM$1004:$BM$1004,1,MATCH(COLUMNS($AM$1006:BI1006),$AM$1006:$BM$1006,0)))),"Fix")))</f>
        <v xml:space="preserve"> </v>
      </c>
      <c r="Y431" s="4" t="str">
        <f ca="1">IF(OR(INDEX($AG$2:$AG$1001,MATCH(ROWS($AF$2:AF431),$AF$2:$AF$1001,0),1)&gt;=100000,INDEX($AM$1005:$BM$1005,1,MATCH(COLUMNS($AM$1006:BJ1006),$AM$1006:$BM$1006,0))&gt;=100000), " ",IF(INDEX($AM$2:$BM$1001,MATCH(ROWS($AF$2:AF431),$AF$2:$AF$1001,0),MATCH(COLUMNS($AM$1006:BJ1006),$AM$1006:$BM$1006,0)), HYPERLINK("#",""), HYPERLINK(CONCATENATE("#metadata!", ADDRESS(INDEX($AH$2:$AH$1001,MATCH(ROWS($AF$2:AF431),$AF$2:$AF$1001,0),0), INDEX($AM$1004:$BM$1004,1,MATCH(COLUMNS($AM$1006:BJ1006),$AM$1006:$BM$1006,0)))),"Fix")))</f>
        <v xml:space="preserve"> </v>
      </c>
      <c r="Z431" s="4" t="str">
        <f ca="1">IF(OR(INDEX($AG$2:$AG$1001,MATCH(ROWS($AF$2:AF431),$AF$2:$AF$1001,0),1)&gt;=100000,INDEX($AM$1005:$BM$1005,1,MATCH(COLUMNS($AM$1006:BK1006),$AM$1006:$BM$1006,0))&gt;=100000), " ",IF(INDEX($AM$2:$BM$1001,MATCH(ROWS($AF$2:AF431),$AF$2:$AF$1001,0),MATCH(COLUMNS($AM$1006:BK1006),$AM$1006:$BM$1006,0)), HYPERLINK("#",""), HYPERLINK(CONCATENATE("#metadata!", ADDRESS(INDEX($AH$2:$AH$1001,MATCH(ROWS($AF$2:AF431),$AF$2:$AF$1001,0),0), INDEX($AM$1004:$BM$1004,1,MATCH(COLUMNS($AM$1006:BK1006),$AM$1006:$BM$1006,0)))),"Fix")))</f>
        <v xml:space="preserve"> </v>
      </c>
      <c r="AA431" s="4" t="str">
        <f ca="1">IF(OR(INDEX($AG$2:$AG$1001,MATCH(ROWS($AF$2:AF431),$AF$2:$AF$1001,0),1)&gt;=100000,INDEX($AM$1005:$BM$1005,1,MATCH(COLUMNS($AM$1006:BL1006),$AM$1006:$BM$1006,0))&gt;=100000), " ",IF(INDEX($AM$2:$BM$1001,MATCH(ROWS($AF$2:AF431),$AF$2:$AF$1001,0),MATCH(COLUMNS($AM$1006:BL1006),$AM$1006:$BM$1006,0)), HYPERLINK("#",""), HYPERLINK(CONCATENATE("#metadata!", ADDRESS(INDEX($AH$2:$AH$1001,MATCH(ROWS($AF$2:AF431),$AF$2:$AF$1001,0),0), INDEX($AM$1004:$BM$1004,1,MATCH(COLUMNS($AM$1006:BL1006),$AM$1006:$BM$1006,0)))),"Fix")))</f>
        <v xml:space="preserve"> </v>
      </c>
      <c r="AB431" s="4" t="str">
        <f ca="1">IF(OR(INDEX($AG$2:$AG$1001,MATCH(ROWS($AF$2:AF431),$AF$2:$AF$1001,0),1)&gt;=100000,INDEX($AM$1005:$BM$1005,1,MATCH(COLUMNS($AM$1006:BM1006),$AM$1006:$BM$1006,0))&gt;=100000), " ",IF(INDEX($AM$2:$BM$1001,MATCH(ROWS($AF$2:AF431),$AF$2:$AF$1001,0),MATCH(COLUMNS($AM$1006:BM1006),$AM$1006:$BM$1006,0)), HYPERLINK("#",""), HYPERLINK(CONCATENATE("#metadata!", ADDRESS(INDEX($AH$2:$AH$1001,MATCH(ROWS($AF$2:AF431),$AF$2:$AF$1001,0),0), INDEX($AM$1004:$BM$1004,1,MATCH(COLUMNS($AM$1006:BM1006),$AM$1006:$BM$1006,0)))),"Fix")))</f>
        <v xml:space="preserve"> </v>
      </c>
      <c r="AF431">
        <v>430</v>
      </c>
      <c r="AG431">
        <v>100431</v>
      </c>
      <c r="AH431">
        <v>431</v>
      </c>
      <c r="AI431" t="b">
        <f t="shared" si="6"/>
        <v>1</v>
      </c>
      <c r="AJ431" t="b">
        <f>COUNTBLANK(metadata!B431:AB431)=COLUMNS(metadata!B431:AB431)</f>
        <v>1</v>
      </c>
      <c r="AK431" t="str">
        <v/>
      </c>
      <c r="AM431" t="b">
        <f ca="1">AND(IF(metadata!B431="",FALSE,TRUE),COUNTIF(metadata!B:B, metadata!B431) = 1,NOT(ISERROR(SUMPRODUCT(SEARCH(MID(metadata!B431,ROW(INDIRECT("1:"&amp;LEN(metadata!B431))), 1),"0123456789abcdefghijklmnopqrstuvwxyzABCDEFGHIJKLMNOPQRSTUVWXYZ.")))))</f>
        <v>0</v>
      </c>
      <c r="AN431" t="b">
        <f ca="1">OR(AND(IF(metadata!C431="",FALSE,TRUE),OR(EXACT(metadata!C431,"missing: not collected"),EXACT(metadata!C431,"missing: not provided"),EXACT(metadata!C431,"missing: restricted access"))),AND(IF(metadata!C431="",FALSE,TRUE),AND(AND(IFERROR(INT(LEFT(metadata!C431,4))&gt;1900,FALSE),IFERROR(INT(LEFT(metadata!C431,4))&lt;=YEAR(NOW()),FALSE)), OR(MID(metadata!C431,5,1)="", AND(AND(MID(metadata!C431,5,1)="-",IFERROR(INT(MID(metadata!C431,6,1))&gt;=0,FALSE),IFERROR(INT(MID(metadata!C431,6,1))&lt;=1,FALSE),NOT(MID(metadata!C431,7,1)=""),IFERROR(INT(MID(metadata!C431,6,2))&gt;=1,FALSE),IFERROR(INT(MID(metadata!C431,6,2))&lt;=12,FALSE)), OR(MID(metadata!C431,8,1)="", AND(AND(MID(metadata!C431,8,1)="-",IFERROR(INT(MID(metadata!C431,9,1))&gt;=0,FALSE),IFERROR(INT(MID(metadata!C431,9,1))&lt;=3,FALSE),NOT(MID(metadata!C431,10,1)=""),IFERROR(INT(MID(metadata!C431,9,2))&gt;=1,FALSE),IFERROR(INT(MID(metadata!C431,9,2))&lt;=31,FALSE)), OR(MID(metadata!C431,11,1)="", AND(AND(MID(metadata!C431,11,1)=" ",IFERROR(INT(MID(metadata!C431,12,1))&gt;=0,FALSE),IFERROR(INT(MID(metadata!C431,12,1))&lt;=2,FALSE),NOT(MID(metadata!C431,13,1)=""),IFERROR(INT(MID(metadata!C431,12,2))&gt;=0,FALSE),IFERROR(INT(MID(metadata!C431,12,2))&lt;=23,FALSE)), OR(MID(metadata!C431,14,1)="", AND(AND(MID(metadata!C431,14,1)=":",IFERROR(INT(MID(metadata!C431,15,1))&gt;=0,FALSE),IFERROR(INT(MID(metadata!C431,15,1))&lt;=5,FALSE),NOT(MID(metadata!C431,16,1)=""),IFERROR(INT(MID(metadata!C431,15,2))&gt;=0,FALSE),IFERROR(INT(MID(metadata!C431,15,2))&lt;=59,FALSE)), OR(MID(metadata!C431,17,1)="", AND(AND(MID(metadata!C431,17,1)=":",IFERROR(INT(MID(metadata!C431,18,1))&gt;=0,FALSE),IFERROR(INT(MID(metadata!C431,18,1))&lt;=5,FALSE),NOT(MID(metadata!C431,19,1)=""),IFERROR(INT(MID(metadata!C431,18,2))&gt;=0,FALSE),IFERROR(INT(MID(metadata!C431,18,2))&lt;=59,FALSE)), LEN(metadata!C431)&lt;=19)))))))))))))</f>
        <v>0</v>
      </c>
      <c r="AO431" t="b">
        <f>AND(IF(metadata!D431="",FALSE,TRUE),EXACT(metadata!D431,"Not applicable"))</f>
        <v>0</v>
      </c>
      <c r="AP431" t="b">
        <f>IF(metadata!E431="",FALSE,TRUE)</f>
        <v>0</v>
      </c>
      <c r="AQ431" t="b">
        <f>OR(AND(IF(metadata!F431="",FALSE,TRUE),OR(EXACT(metadata!F431,"missing: not collected"),EXACT(metadata!F431,"missing: not provided"))),AND(IF(metadata!F431="",FALSE,TRUE),OR(EXACT(metadata!F431,"TRUE"),EXACT(metadata!F431,"FALSE"))))</f>
        <v>0</v>
      </c>
      <c r="AR431" t="b">
        <f>OR(AND(IF(metadata!G431="",FALSE,TRUE),OR(EXACT(metadata!G431,"missing: not collected"),EXACT(metadata!G431,"missing: not provided"),EXACT(metadata!G431,"missing: restricted access"))),AND(IF(metadata!G431="",FALSE,ISNUMBER(VALUE(metadata!G431))),metadata!G431&gt;=-413))</f>
        <v>0</v>
      </c>
      <c r="AS431" t="b">
        <f>AND(IF(metadata!H431="",FALSE,TRUE),EXACT(metadata!H431,"meters"))</f>
        <v>0</v>
      </c>
      <c r="AT431" t="b">
        <f>AND(IF(metadata!I431="",FALSE,TRUE),OR(EXACT(metadata!I431,"Host-associated"),EXACT(metadata!I431,"Free-living")))</f>
        <v>0</v>
      </c>
      <c r="AU431" t="b">
        <f>AND(IF(metadata!J431="",FALSE,TRUE),OR(EXACT(metadata!J431,"Animal"),EXACT(metadata!J431,"Fungus"),EXACT(metadata!J431,"Plant"),EXACT(metadata!J431,"Saline"),EXACT(metadata!J431,"Non-saline")))</f>
        <v>0</v>
      </c>
      <c r="AV431" t="b">
        <f>AND(IF(metadata!K431="",FALSE,TRUE),OR(EXACT(metadata!K431,"Plant secretion"),EXACT(metadata!K431,"Plant rhizosphere"),EXACT(metadata!K431,"Plant surface"),EXACT(metadata!K431,"Plant corpus"),EXACT(metadata!K431,"Fungus surface"),EXACT(metadata!K431,"Fungus corpus"),EXACT(metadata!K431,"Animal surface"),EXACT(metadata!K431,"Animal proximal gut"),EXACT(metadata!K431,"Animal corpus"),EXACT(metadata!K431,"Animal distal gut"),EXACT(metadata!K431,"Animal secretion"),EXACT(metadata!K431,"Sub-surface (non-saline)"),EXACT(metadata!K431,"Surface (non-saline)"),EXACT(metadata!K431,"Water (non-saline)"),EXACT(metadata!K431,"Soil (non-saline)"),EXACT(metadata!K431,"Aerosol (non-saline)"),EXACT(metadata!K431,"Sediment (non-saline)"),EXACT(metadata!K431,"Surface (saline)"),EXACT(metadata!K431,"Water (saline)"),EXACT(metadata!K431,"Hypersaline (saline)"),EXACT(metadata!K431,"Aerosol (saline)"),EXACT(metadata!K431,"Sediment (saline)")))</f>
        <v>0</v>
      </c>
      <c r="AW431" t="b">
        <f>IF(metadata!L431="",FALSE,TRUE)</f>
        <v>0</v>
      </c>
      <c r="AX431" t="b">
        <f>IF(metadata!M431="",FALSE,TRUE)</f>
        <v>0</v>
      </c>
      <c r="AY431" t="b">
        <f>IF(metadata!N431="",FALSE,TRUE)</f>
        <v>0</v>
      </c>
      <c r="AZ431" t="b">
        <f>OR(AND(IF(metadata!O431="",FALSE,TRUE),OR(EXACT(metadata!O431,"missing: not collected"),EXACT(metadata!O431,"missing: not provided"),EXACT(metadata!O431,"missing: restricted access"))),AND(IF(metadata!O431="",FALSE,TRUE),OR(EXACT(metadata!O431,"air"),EXACT(metadata!O431,"built environment"),EXACT(metadata!O431,"host-associated"),EXACT(metadata!O431,"human-associated"),EXACT(metadata!O431,"human-skin"),EXACT(metadata!O431,"human-oral"),EXACT(metadata!O431,"human-gut"),EXACT(metadata!O431,"human-vaginal"),EXACT(metadata!O431,"microbial mat/biofilm"),EXACT(metadata!O431,"misc environment"),EXACT(metadata!O431,"plant-associated"),EXACT(metadata!O431,"sediment"),EXACT(metadata!O431,"soil"),EXACT(metadata!O431,"wastewater/sludge"),EXACT(metadata!O431,"water"))))</f>
        <v>0</v>
      </c>
      <c r="BA431" t="b">
        <f>IF(metadata!P431="",FALSE,TRUE)</f>
        <v>0</v>
      </c>
      <c r="BB431" t="b">
        <f>IF(metadata!Q431="",FALSE,TRUE)</f>
        <v>0</v>
      </c>
      <c r="BC431" t="b">
        <f>OR(AND(IF(metadata!R431="",FALSE,TRUE),OR(EXACT(metadata!R431,"missing: not collected"),EXACT(metadata!R431,"missing: not provided"),EXACT(metadata!R431,"missing: restricted access"))),AND(IF(metadata!R431="",FALSE,ISNUMBER(VALUE(metadata!R431))),metadata!R431&gt;=-90,metadata!R431&lt;=90))</f>
        <v>0</v>
      </c>
      <c r="BD431" t="b">
        <f>AND(IF(metadata!S431="",FALSE,TRUE),EXACT(metadata!S431,"Decimal degrees"))</f>
        <v>0</v>
      </c>
      <c r="BE431" t="b">
        <f>OR(AND(IF(metadata!T431="",FALSE,TRUE),OR(EXACT(metadata!T431,"missing: not collected"),EXACT(metadata!T431,"missing: not provided"),EXACT(metadata!T431,"missing: restricted access"))),AND(IF(metadata!T431="",FALSE,ISNUMBER(VALUE(metadata!T431))),metadata!T431&gt;=-180,metadata!T431&lt;=180))</f>
        <v>0</v>
      </c>
      <c r="BF431" t="b">
        <f>AND(IF(metadata!U431="",FALSE,TRUE),EXACT(metadata!U431,"Decimal degrees"))</f>
        <v>0</v>
      </c>
      <c r="BG431" t="b">
        <f>IF(metadata!V431="",FALSE,TRUE)</f>
        <v>0</v>
      </c>
      <c r="BH431" t="b">
        <f>OR(AND(IF(metadata!W431="",FALSE,TRUE),OR(EXACT(metadata!W431,"missing: not collected"),EXACT(metadata!W431,"missing: not provided"),EXACT(metadata!W431,"missing: restricted access"))),AND(IF(metadata!W431="",FALSE,TRUE),OR(EXACT(metadata!W431,"TRUE"),EXACT(metadata!W431,"FALSE"))))</f>
        <v>0</v>
      </c>
      <c r="BI431" t="b">
        <f>AND(IF(metadata!X431="",FALSE,TRUE),EXACT(metadata!X431,"other"))</f>
        <v>0</v>
      </c>
      <c r="BJ431" t="b">
        <f>IF(metadata!Y431="",FALSE,TRUE)</f>
        <v>0</v>
      </c>
      <c r="BK431" t="b">
        <f>OR(AND(IF(metadata!Z431="",FALSE,TRUE),OR(EXACT(metadata!Z431,"missing: not collected"),EXACT(metadata!Z431,"missing: not provided"))),AND(IF(metadata!Z431="",FALSE,IF(ISERROR(INT(metadata!Z431)),FALSE,INT(metadata!Z431)=metadata!Z431)),metadata!Z431&gt;0))</f>
        <v>0</v>
      </c>
      <c r="BL431" t="b">
        <f>AND(IF(metadata!AA431="",FALSE,TRUE),EXACT(metadata!AA431,"Not applicable"))</f>
        <v>0</v>
      </c>
      <c r="BM431" t="b">
        <f>IF(metadata!AB431="",FALSE,TRUE)</f>
        <v>0</v>
      </c>
    </row>
    <row r="432" spans="1:65" x14ac:dyDescent="0.2">
      <c r="A432" s="5" t="str">
        <f ca="1">IF(B432=" "," ",HYPERLINK(CONCATENATE("#metadata!",ADDRESS(INDEX($AH$2:$AH$1001,MATCH(ROWS($AF$2:AF432),$AF$2:$AF$1001,0),0),1)),INDEX($AK$2:$AK$1001,MATCH(ROWS($AF$2:AF432),$AF$2:$AF$1001,0),0)))</f>
        <v xml:space="preserve"> </v>
      </c>
      <c r="B432" s="4" t="str">
        <f ca="1">IF(OR(INDEX($AG$2:$AG$1001,MATCH(ROWS($AF$2:AF432),$AF$2:$AF$1001,0),1)&gt;=100000,INDEX($AM$1005:$BM$1005,1,MATCH(COLUMNS($AM$1006:AM1006),$AM$1006:$BM$1006,0))&gt;=100000), " ",IF(INDEX($AM$2:$BM$1001,MATCH(ROWS($AF$2:AF432),$AF$2:$AF$1001,0),MATCH(COLUMNS($AM$1006:AM1006),$AM$1006:$BM$1006,0)), HYPERLINK("#",""), HYPERLINK(CONCATENATE("#metadata!", ADDRESS(INDEX($AH$2:$AH$1001,MATCH(ROWS($AF$2:AF432),$AF$2:$AF$1001,0),0), INDEX($AM$1004:$BM$1004,1,MATCH(COLUMNS($AM$1006:AM1006),$AM$1006:$BM$1006,0)))),"Fix")))</f>
        <v xml:space="preserve"> </v>
      </c>
      <c r="C432" s="4" t="str">
        <f ca="1">IF(OR(INDEX($AG$2:$AG$1001,MATCH(ROWS($AF$2:AF432),$AF$2:$AF$1001,0),1)&gt;=100000,INDEX($AM$1005:$BM$1005,1,MATCH(COLUMNS($AM$1006:AN1006),$AM$1006:$BM$1006,0))&gt;=100000), " ",IF(INDEX($AM$2:$BM$1001,MATCH(ROWS($AF$2:AF432),$AF$2:$AF$1001,0),MATCH(COLUMNS($AM$1006:AN1006),$AM$1006:$BM$1006,0)), HYPERLINK("#",""), HYPERLINK(CONCATENATE("#metadata!", ADDRESS(INDEX($AH$2:$AH$1001,MATCH(ROWS($AF$2:AF432),$AF$2:$AF$1001,0),0), INDEX($AM$1004:$BM$1004,1,MATCH(COLUMNS($AM$1006:AN1006),$AM$1006:$BM$1006,0)))),"Fix")))</f>
        <v xml:space="preserve"> </v>
      </c>
      <c r="D432" s="4" t="str">
        <f ca="1">IF(OR(INDEX($AG$2:$AG$1001,MATCH(ROWS($AF$2:AF432),$AF$2:$AF$1001,0),1)&gt;=100000,INDEX($AM$1005:$BM$1005,1,MATCH(COLUMNS($AM$1006:AO1006),$AM$1006:$BM$1006,0))&gt;=100000), " ",IF(INDEX($AM$2:$BM$1001,MATCH(ROWS($AF$2:AF432),$AF$2:$AF$1001,0),MATCH(COLUMNS($AM$1006:AO1006),$AM$1006:$BM$1006,0)), HYPERLINK("#",""), HYPERLINK(CONCATENATE("#metadata!", ADDRESS(INDEX($AH$2:$AH$1001,MATCH(ROWS($AF$2:AF432),$AF$2:$AF$1001,0),0), INDEX($AM$1004:$BM$1004,1,MATCH(COLUMNS($AM$1006:AO1006),$AM$1006:$BM$1006,0)))),"Fix")))</f>
        <v xml:space="preserve"> </v>
      </c>
      <c r="E432" s="4" t="str">
        <f ca="1">IF(OR(INDEX($AG$2:$AG$1001,MATCH(ROWS($AF$2:AF432),$AF$2:$AF$1001,0),1)&gt;=100000,INDEX($AM$1005:$BM$1005,1,MATCH(COLUMNS($AM$1006:AP1006),$AM$1006:$BM$1006,0))&gt;=100000), " ",IF(INDEX($AM$2:$BM$1001,MATCH(ROWS($AF$2:AF432),$AF$2:$AF$1001,0),MATCH(COLUMNS($AM$1006:AP1006),$AM$1006:$BM$1006,0)), HYPERLINK("#",""), HYPERLINK(CONCATENATE("#metadata!", ADDRESS(INDEX($AH$2:$AH$1001,MATCH(ROWS($AF$2:AF432),$AF$2:$AF$1001,0),0), INDEX($AM$1004:$BM$1004,1,MATCH(COLUMNS($AM$1006:AP1006),$AM$1006:$BM$1006,0)))),"Fix")))</f>
        <v xml:space="preserve"> </v>
      </c>
      <c r="F432" s="4" t="str">
        <f ca="1">IF(OR(INDEX($AG$2:$AG$1001,MATCH(ROWS($AF$2:AF432),$AF$2:$AF$1001,0),1)&gt;=100000,INDEX($AM$1005:$BM$1005,1,MATCH(COLUMNS($AM$1006:AQ1006),$AM$1006:$BM$1006,0))&gt;=100000), " ",IF(INDEX($AM$2:$BM$1001,MATCH(ROWS($AF$2:AF432),$AF$2:$AF$1001,0),MATCH(COLUMNS($AM$1006:AQ1006),$AM$1006:$BM$1006,0)), HYPERLINK("#",""), HYPERLINK(CONCATENATE("#metadata!", ADDRESS(INDEX($AH$2:$AH$1001,MATCH(ROWS($AF$2:AF432),$AF$2:$AF$1001,0),0), INDEX($AM$1004:$BM$1004,1,MATCH(COLUMNS($AM$1006:AQ1006),$AM$1006:$BM$1006,0)))),"Fix")))</f>
        <v xml:space="preserve"> </v>
      </c>
      <c r="G432" s="4" t="str">
        <f ca="1">IF(OR(INDEX($AG$2:$AG$1001,MATCH(ROWS($AF$2:AF432),$AF$2:$AF$1001,0),1)&gt;=100000,INDEX($AM$1005:$BM$1005,1,MATCH(COLUMNS($AM$1006:AR1006),$AM$1006:$BM$1006,0))&gt;=100000), " ",IF(INDEX($AM$2:$BM$1001,MATCH(ROWS($AF$2:AF432),$AF$2:$AF$1001,0),MATCH(COLUMNS($AM$1006:AR1006),$AM$1006:$BM$1006,0)), HYPERLINK("#",""), HYPERLINK(CONCATENATE("#metadata!", ADDRESS(INDEX($AH$2:$AH$1001,MATCH(ROWS($AF$2:AF432),$AF$2:$AF$1001,0),0), INDEX($AM$1004:$BM$1004,1,MATCH(COLUMNS($AM$1006:AR1006),$AM$1006:$BM$1006,0)))),"Fix")))</f>
        <v xml:space="preserve"> </v>
      </c>
      <c r="H432" s="4" t="str">
        <f ca="1">IF(OR(INDEX($AG$2:$AG$1001,MATCH(ROWS($AF$2:AF432),$AF$2:$AF$1001,0),1)&gt;=100000,INDEX($AM$1005:$BM$1005,1,MATCH(COLUMNS($AM$1006:AS1006),$AM$1006:$BM$1006,0))&gt;=100000), " ",IF(INDEX($AM$2:$BM$1001,MATCH(ROWS($AF$2:AF432),$AF$2:$AF$1001,0),MATCH(COLUMNS($AM$1006:AS1006),$AM$1006:$BM$1006,0)), HYPERLINK("#",""), HYPERLINK(CONCATENATE("#metadata!", ADDRESS(INDEX($AH$2:$AH$1001,MATCH(ROWS($AF$2:AF432),$AF$2:$AF$1001,0),0), INDEX($AM$1004:$BM$1004,1,MATCH(COLUMNS($AM$1006:AS1006),$AM$1006:$BM$1006,0)))),"Fix")))</f>
        <v xml:space="preserve"> </v>
      </c>
      <c r="I432" s="4" t="str">
        <f ca="1">IF(OR(INDEX($AG$2:$AG$1001,MATCH(ROWS($AF$2:AF432),$AF$2:$AF$1001,0),1)&gt;=100000,INDEX($AM$1005:$BM$1005,1,MATCH(COLUMNS($AM$1006:AT1006),$AM$1006:$BM$1006,0))&gt;=100000), " ",IF(INDEX($AM$2:$BM$1001,MATCH(ROWS($AF$2:AF432),$AF$2:$AF$1001,0),MATCH(COLUMNS($AM$1006:AT1006),$AM$1006:$BM$1006,0)), HYPERLINK("#",""), HYPERLINK(CONCATENATE("#metadata!", ADDRESS(INDEX($AH$2:$AH$1001,MATCH(ROWS($AF$2:AF432),$AF$2:$AF$1001,0),0), INDEX($AM$1004:$BM$1004,1,MATCH(COLUMNS($AM$1006:AT1006),$AM$1006:$BM$1006,0)))),"Fix")))</f>
        <v xml:space="preserve"> </v>
      </c>
      <c r="J432" s="4" t="str">
        <f ca="1">IF(OR(INDEX($AG$2:$AG$1001,MATCH(ROWS($AF$2:AF432),$AF$2:$AF$1001,0),1)&gt;=100000,INDEX($AM$1005:$BM$1005,1,MATCH(COLUMNS($AM$1006:AU1006),$AM$1006:$BM$1006,0))&gt;=100000), " ",IF(INDEX($AM$2:$BM$1001,MATCH(ROWS($AF$2:AF432),$AF$2:$AF$1001,0),MATCH(COLUMNS($AM$1006:AU1006),$AM$1006:$BM$1006,0)), HYPERLINK("#",""), HYPERLINK(CONCATENATE("#metadata!", ADDRESS(INDEX($AH$2:$AH$1001,MATCH(ROWS($AF$2:AF432),$AF$2:$AF$1001,0),0), INDEX($AM$1004:$BM$1004,1,MATCH(COLUMNS($AM$1006:AU1006),$AM$1006:$BM$1006,0)))),"Fix")))</f>
        <v xml:space="preserve"> </v>
      </c>
      <c r="K432" s="4" t="str">
        <f ca="1">IF(OR(INDEX($AG$2:$AG$1001,MATCH(ROWS($AF$2:AF432),$AF$2:$AF$1001,0),1)&gt;=100000,INDEX($AM$1005:$BM$1005,1,MATCH(COLUMNS($AM$1006:AV1006),$AM$1006:$BM$1006,0))&gt;=100000), " ",IF(INDEX($AM$2:$BM$1001,MATCH(ROWS($AF$2:AF432),$AF$2:$AF$1001,0),MATCH(COLUMNS($AM$1006:AV1006),$AM$1006:$BM$1006,0)), HYPERLINK("#",""), HYPERLINK(CONCATENATE("#metadata!", ADDRESS(INDEX($AH$2:$AH$1001,MATCH(ROWS($AF$2:AF432),$AF$2:$AF$1001,0),0), INDEX($AM$1004:$BM$1004,1,MATCH(COLUMNS($AM$1006:AV1006),$AM$1006:$BM$1006,0)))),"Fix")))</f>
        <v xml:space="preserve"> </v>
      </c>
      <c r="L432" s="4" t="str">
        <f ca="1">IF(OR(INDEX($AG$2:$AG$1001,MATCH(ROWS($AF$2:AF432),$AF$2:$AF$1001,0),1)&gt;=100000,INDEX($AM$1005:$BM$1005,1,MATCH(COLUMNS($AM$1006:AW1006),$AM$1006:$BM$1006,0))&gt;=100000), " ",IF(INDEX($AM$2:$BM$1001,MATCH(ROWS($AF$2:AF432),$AF$2:$AF$1001,0),MATCH(COLUMNS($AM$1006:AW1006),$AM$1006:$BM$1006,0)), HYPERLINK("#",""), HYPERLINK(CONCATENATE("#metadata!", ADDRESS(INDEX($AH$2:$AH$1001,MATCH(ROWS($AF$2:AF432),$AF$2:$AF$1001,0),0), INDEX($AM$1004:$BM$1004,1,MATCH(COLUMNS($AM$1006:AW1006),$AM$1006:$BM$1006,0)))),"Fix")))</f>
        <v xml:space="preserve"> </v>
      </c>
      <c r="M432" s="4" t="str">
        <f ca="1">IF(OR(INDEX($AG$2:$AG$1001,MATCH(ROWS($AF$2:AF432),$AF$2:$AF$1001,0),1)&gt;=100000,INDEX($AM$1005:$BM$1005,1,MATCH(COLUMNS($AM$1006:AX1006),$AM$1006:$BM$1006,0))&gt;=100000), " ",IF(INDEX($AM$2:$BM$1001,MATCH(ROWS($AF$2:AF432),$AF$2:$AF$1001,0),MATCH(COLUMNS($AM$1006:AX1006),$AM$1006:$BM$1006,0)), HYPERLINK("#",""), HYPERLINK(CONCATENATE("#metadata!", ADDRESS(INDEX($AH$2:$AH$1001,MATCH(ROWS($AF$2:AF432),$AF$2:$AF$1001,0),0), INDEX($AM$1004:$BM$1004,1,MATCH(COLUMNS($AM$1006:AX1006),$AM$1006:$BM$1006,0)))),"Fix")))</f>
        <v xml:space="preserve"> </v>
      </c>
      <c r="N432" s="4" t="str">
        <f ca="1">IF(OR(INDEX($AG$2:$AG$1001,MATCH(ROWS($AF$2:AF432),$AF$2:$AF$1001,0),1)&gt;=100000,INDEX($AM$1005:$BM$1005,1,MATCH(COLUMNS($AM$1006:AY1006),$AM$1006:$BM$1006,0))&gt;=100000), " ",IF(INDEX($AM$2:$BM$1001,MATCH(ROWS($AF$2:AF432),$AF$2:$AF$1001,0),MATCH(COLUMNS($AM$1006:AY1006),$AM$1006:$BM$1006,0)), HYPERLINK("#",""), HYPERLINK(CONCATENATE("#metadata!", ADDRESS(INDEX($AH$2:$AH$1001,MATCH(ROWS($AF$2:AF432),$AF$2:$AF$1001,0),0), INDEX($AM$1004:$BM$1004,1,MATCH(COLUMNS($AM$1006:AY1006),$AM$1006:$BM$1006,0)))),"Fix")))</f>
        <v xml:space="preserve"> </v>
      </c>
      <c r="O432" s="4" t="str">
        <f ca="1">IF(OR(INDEX($AG$2:$AG$1001,MATCH(ROWS($AF$2:AF432),$AF$2:$AF$1001,0),1)&gt;=100000,INDEX($AM$1005:$BM$1005,1,MATCH(COLUMNS($AM$1006:AZ1006),$AM$1006:$BM$1006,0))&gt;=100000), " ",IF(INDEX($AM$2:$BM$1001,MATCH(ROWS($AF$2:AF432),$AF$2:$AF$1001,0),MATCH(COLUMNS($AM$1006:AZ1006),$AM$1006:$BM$1006,0)), HYPERLINK("#",""), HYPERLINK(CONCATENATE("#metadata!", ADDRESS(INDEX($AH$2:$AH$1001,MATCH(ROWS($AF$2:AF432),$AF$2:$AF$1001,0),0), INDEX($AM$1004:$BM$1004,1,MATCH(COLUMNS($AM$1006:AZ1006),$AM$1006:$BM$1006,0)))),"Fix")))</f>
        <v xml:space="preserve"> </v>
      </c>
      <c r="P432" s="4" t="str">
        <f ca="1">IF(OR(INDEX($AG$2:$AG$1001,MATCH(ROWS($AF$2:AF432),$AF$2:$AF$1001,0),1)&gt;=100000,INDEX($AM$1005:$BM$1005,1,MATCH(COLUMNS($AM$1006:BA1006),$AM$1006:$BM$1006,0))&gt;=100000), " ",IF(INDEX($AM$2:$BM$1001,MATCH(ROWS($AF$2:AF432),$AF$2:$AF$1001,0),MATCH(COLUMNS($AM$1006:BA1006),$AM$1006:$BM$1006,0)), HYPERLINK("#",""), HYPERLINK(CONCATENATE("#metadata!", ADDRESS(INDEX($AH$2:$AH$1001,MATCH(ROWS($AF$2:AF432),$AF$2:$AF$1001,0),0), INDEX($AM$1004:$BM$1004,1,MATCH(COLUMNS($AM$1006:BA1006),$AM$1006:$BM$1006,0)))),"Fix")))</f>
        <v xml:space="preserve"> </v>
      </c>
      <c r="Q432" s="4" t="str">
        <f ca="1">IF(OR(INDEX($AG$2:$AG$1001,MATCH(ROWS($AF$2:AF432),$AF$2:$AF$1001,0),1)&gt;=100000,INDEX($AM$1005:$BM$1005,1,MATCH(COLUMNS($AM$1006:BB1006),$AM$1006:$BM$1006,0))&gt;=100000), " ",IF(INDEX($AM$2:$BM$1001,MATCH(ROWS($AF$2:AF432),$AF$2:$AF$1001,0),MATCH(COLUMNS($AM$1006:BB1006),$AM$1006:$BM$1006,0)), HYPERLINK("#",""), HYPERLINK(CONCATENATE("#metadata!", ADDRESS(INDEX($AH$2:$AH$1001,MATCH(ROWS($AF$2:AF432),$AF$2:$AF$1001,0),0), INDEX($AM$1004:$BM$1004,1,MATCH(COLUMNS($AM$1006:BB1006),$AM$1006:$BM$1006,0)))),"Fix")))</f>
        <v xml:space="preserve"> </v>
      </c>
      <c r="R432" s="4" t="str">
        <f ca="1">IF(OR(INDEX($AG$2:$AG$1001,MATCH(ROWS($AF$2:AF432),$AF$2:$AF$1001,0),1)&gt;=100000,INDEX($AM$1005:$BM$1005,1,MATCH(COLUMNS($AM$1006:BC1006),$AM$1006:$BM$1006,0))&gt;=100000), " ",IF(INDEX($AM$2:$BM$1001,MATCH(ROWS($AF$2:AF432),$AF$2:$AF$1001,0),MATCH(COLUMNS($AM$1006:BC1006),$AM$1006:$BM$1006,0)), HYPERLINK("#",""), HYPERLINK(CONCATENATE("#metadata!", ADDRESS(INDEX($AH$2:$AH$1001,MATCH(ROWS($AF$2:AF432),$AF$2:$AF$1001,0),0), INDEX($AM$1004:$BM$1004,1,MATCH(COLUMNS($AM$1006:BC1006),$AM$1006:$BM$1006,0)))),"Fix")))</f>
        <v xml:space="preserve"> </v>
      </c>
      <c r="S432" s="4" t="str">
        <f ca="1">IF(OR(INDEX($AG$2:$AG$1001,MATCH(ROWS($AF$2:AF432),$AF$2:$AF$1001,0),1)&gt;=100000,INDEX($AM$1005:$BM$1005,1,MATCH(COLUMNS($AM$1006:BD1006),$AM$1006:$BM$1006,0))&gt;=100000), " ",IF(INDEX($AM$2:$BM$1001,MATCH(ROWS($AF$2:AF432),$AF$2:$AF$1001,0),MATCH(COLUMNS($AM$1006:BD1006),$AM$1006:$BM$1006,0)), HYPERLINK("#",""), HYPERLINK(CONCATENATE("#metadata!", ADDRESS(INDEX($AH$2:$AH$1001,MATCH(ROWS($AF$2:AF432),$AF$2:$AF$1001,0),0), INDEX($AM$1004:$BM$1004,1,MATCH(COLUMNS($AM$1006:BD1006),$AM$1006:$BM$1006,0)))),"Fix")))</f>
        <v xml:space="preserve"> </v>
      </c>
      <c r="T432" s="4" t="str">
        <f ca="1">IF(OR(INDEX($AG$2:$AG$1001,MATCH(ROWS($AF$2:AF432),$AF$2:$AF$1001,0),1)&gt;=100000,INDEX($AM$1005:$BM$1005,1,MATCH(COLUMNS($AM$1006:BE1006),$AM$1006:$BM$1006,0))&gt;=100000), " ",IF(INDEX($AM$2:$BM$1001,MATCH(ROWS($AF$2:AF432),$AF$2:$AF$1001,0),MATCH(COLUMNS($AM$1006:BE1006),$AM$1006:$BM$1006,0)), HYPERLINK("#",""), HYPERLINK(CONCATENATE("#metadata!", ADDRESS(INDEX($AH$2:$AH$1001,MATCH(ROWS($AF$2:AF432),$AF$2:$AF$1001,0),0), INDEX($AM$1004:$BM$1004,1,MATCH(COLUMNS($AM$1006:BE1006),$AM$1006:$BM$1006,0)))),"Fix")))</f>
        <v xml:space="preserve"> </v>
      </c>
      <c r="U432" s="4" t="str">
        <f ca="1">IF(OR(INDEX($AG$2:$AG$1001,MATCH(ROWS($AF$2:AF432),$AF$2:$AF$1001,0),1)&gt;=100000,INDEX($AM$1005:$BM$1005,1,MATCH(COLUMNS($AM$1006:BF1006),$AM$1006:$BM$1006,0))&gt;=100000), " ",IF(INDEX($AM$2:$BM$1001,MATCH(ROWS($AF$2:AF432),$AF$2:$AF$1001,0),MATCH(COLUMNS($AM$1006:BF1006),$AM$1006:$BM$1006,0)), HYPERLINK("#",""), HYPERLINK(CONCATENATE("#metadata!", ADDRESS(INDEX($AH$2:$AH$1001,MATCH(ROWS($AF$2:AF432),$AF$2:$AF$1001,0),0), INDEX($AM$1004:$BM$1004,1,MATCH(COLUMNS($AM$1006:BF1006),$AM$1006:$BM$1006,0)))),"Fix")))</f>
        <v xml:space="preserve"> </v>
      </c>
      <c r="V432" s="4" t="str">
        <f ca="1">IF(OR(INDEX($AG$2:$AG$1001,MATCH(ROWS($AF$2:AF432),$AF$2:$AF$1001,0),1)&gt;=100000,INDEX($AM$1005:$BM$1005,1,MATCH(COLUMNS($AM$1006:BG1006),$AM$1006:$BM$1006,0))&gt;=100000), " ",IF(INDEX($AM$2:$BM$1001,MATCH(ROWS($AF$2:AF432),$AF$2:$AF$1001,0),MATCH(COLUMNS($AM$1006:BG1006),$AM$1006:$BM$1006,0)), HYPERLINK("#",""), HYPERLINK(CONCATENATE("#metadata!", ADDRESS(INDEX($AH$2:$AH$1001,MATCH(ROWS($AF$2:AF432),$AF$2:$AF$1001,0),0), INDEX($AM$1004:$BM$1004,1,MATCH(COLUMNS($AM$1006:BG1006),$AM$1006:$BM$1006,0)))),"Fix")))</f>
        <v xml:space="preserve"> </v>
      </c>
      <c r="W432" s="4" t="str">
        <f ca="1">IF(OR(INDEX($AG$2:$AG$1001,MATCH(ROWS($AF$2:AF432),$AF$2:$AF$1001,0),1)&gt;=100000,INDEX($AM$1005:$BM$1005,1,MATCH(COLUMNS($AM$1006:BH1006),$AM$1006:$BM$1006,0))&gt;=100000), " ",IF(INDEX($AM$2:$BM$1001,MATCH(ROWS($AF$2:AF432),$AF$2:$AF$1001,0),MATCH(COLUMNS($AM$1006:BH1006),$AM$1006:$BM$1006,0)), HYPERLINK("#",""), HYPERLINK(CONCATENATE("#metadata!", ADDRESS(INDEX($AH$2:$AH$1001,MATCH(ROWS($AF$2:AF432),$AF$2:$AF$1001,0),0), INDEX($AM$1004:$BM$1004,1,MATCH(COLUMNS($AM$1006:BH1006),$AM$1006:$BM$1006,0)))),"Fix")))</f>
        <v xml:space="preserve"> </v>
      </c>
      <c r="X432" s="4" t="str">
        <f ca="1">IF(OR(INDEX($AG$2:$AG$1001,MATCH(ROWS($AF$2:AF432),$AF$2:$AF$1001,0),1)&gt;=100000,INDEX($AM$1005:$BM$1005,1,MATCH(COLUMNS($AM$1006:BI1006),$AM$1006:$BM$1006,0))&gt;=100000), " ",IF(INDEX($AM$2:$BM$1001,MATCH(ROWS($AF$2:AF432),$AF$2:$AF$1001,0),MATCH(COLUMNS($AM$1006:BI1006),$AM$1006:$BM$1006,0)), HYPERLINK("#",""), HYPERLINK(CONCATENATE("#metadata!", ADDRESS(INDEX($AH$2:$AH$1001,MATCH(ROWS($AF$2:AF432),$AF$2:$AF$1001,0),0), INDEX($AM$1004:$BM$1004,1,MATCH(COLUMNS($AM$1006:BI1006),$AM$1006:$BM$1006,0)))),"Fix")))</f>
        <v xml:space="preserve"> </v>
      </c>
      <c r="Y432" s="4" t="str">
        <f ca="1">IF(OR(INDEX($AG$2:$AG$1001,MATCH(ROWS($AF$2:AF432),$AF$2:$AF$1001,0),1)&gt;=100000,INDEX($AM$1005:$BM$1005,1,MATCH(COLUMNS($AM$1006:BJ1006),$AM$1006:$BM$1006,0))&gt;=100000), " ",IF(INDEX($AM$2:$BM$1001,MATCH(ROWS($AF$2:AF432),$AF$2:$AF$1001,0),MATCH(COLUMNS($AM$1006:BJ1006),$AM$1006:$BM$1006,0)), HYPERLINK("#",""), HYPERLINK(CONCATENATE("#metadata!", ADDRESS(INDEX($AH$2:$AH$1001,MATCH(ROWS($AF$2:AF432),$AF$2:$AF$1001,0),0), INDEX($AM$1004:$BM$1004,1,MATCH(COLUMNS($AM$1006:BJ1006),$AM$1006:$BM$1006,0)))),"Fix")))</f>
        <v xml:space="preserve"> </v>
      </c>
      <c r="Z432" s="4" t="str">
        <f ca="1">IF(OR(INDEX($AG$2:$AG$1001,MATCH(ROWS($AF$2:AF432),$AF$2:$AF$1001,0),1)&gt;=100000,INDEX($AM$1005:$BM$1005,1,MATCH(COLUMNS($AM$1006:BK1006),$AM$1006:$BM$1006,0))&gt;=100000), " ",IF(INDEX($AM$2:$BM$1001,MATCH(ROWS($AF$2:AF432),$AF$2:$AF$1001,0),MATCH(COLUMNS($AM$1006:BK1006),$AM$1006:$BM$1006,0)), HYPERLINK("#",""), HYPERLINK(CONCATENATE("#metadata!", ADDRESS(INDEX($AH$2:$AH$1001,MATCH(ROWS($AF$2:AF432),$AF$2:$AF$1001,0),0), INDEX($AM$1004:$BM$1004,1,MATCH(COLUMNS($AM$1006:BK1006),$AM$1006:$BM$1006,0)))),"Fix")))</f>
        <v xml:space="preserve"> </v>
      </c>
      <c r="AA432" s="4" t="str">
        <f ca="1">IF(OR(INDEX($AG$2:$AG$1001,MATCH(ROWS($AF$2:AF432),$AF$2:$AF$1001,0),1)&gt;=100000,INDEX($AM$1005:$BM$1005,1,MATCH(COLUMNS($AM$1006:BL1006),$AM$1006:$BM$1006,0))&gt;=100000), " ",IF(INDEX($AM$2:$BM$1001,MATCH(ROWS($AF$2:AF432),$AF$2:$AF$1001,0),MATCH(COLUMNS($AM$1006:BL1006),$AM$1006:$BM$1006,0)), HYPERLINK("#",""), HYPERLINK(CONCATENATE("#metadata!", ADDRESS(INDEX($AH$2:$AH$1001,MATCH(ROWS($AF$2:AF432),$AF$2:$AF$1001,0),0), INDEX($AM$1004:$BM$1004,1,MATCH(COLUMNS($AM$1006:BL1006),$AM$1006:$BM$1006,0)))),"Fix")))</f>
        <v xml:space="preserve"> </v>
      </c>
      <c r="AB432" s="4" t="str">
        <f ca="1">IF(OR(INDEX($AG$2:$AG$1001,MATCH(ROWS($AF$2:AF432),$AF$2:$AF$1001,0),1)&gt;=100000,INDEX($AM$1005:$BM$1005,1,MATCH(COLUMNS($AM$1006:BM1006),$AM$1006:$BM$1006,0))&gt;=100000), " ",IF(INDEX($AM$2:$BM$1001,MATCH(ROWS($AF$2:AF432),$AF$2:$AF$1001,0),MATCH(COLUMNS($AM$1006:BM1006),$AM$1006:$BM$1006,0)), HYPERLINK("#",""), HYPERLINK(CONCATENATE("#metadata!", ADDRESS(INDEX($AH$2:$AH$1001,MATCH(ROWS($AF$2:AF432),$AF$2:$AF$1001,0),0), INDEX($AM$1004:$BM$1004,1,MATCH(COLUMNS($AM$1006:BM1006),$AM$1006:$BM$1006,0)))),"Fix")))</f>
        <v xml:space="preserve"> </v>
      </c>
      <c r="AF432">
        <v>431</v>
      </c>
      <c r="AG432">
        <v>100432</v>
      </c>
      <c r="AH432">
        <v>432</v>
      </c>
      <c r="AI432" t="b">
        <f t="shared" si="6"/>
        <v>1</v>
      </c>
      <c r="AJ432" t="b">
        <f>COUNTBLANK(metadata!B432:AB432)=COLUMNS(metadata!B432:AB432)</f>
        <v>1</v>
      </c>
      <c r="AK432" t="str">
        <v/>
      </c>
      <c r="AM432" t="b">
        <f ca="1">AND(IF(metadata!B432="",FALSE,TRUE),COUNTIF(metadata!B:B, metadata!B432) = 1,NOT(ISERROR(SUMPRODUCT(SEARCH(MID(metadata!B432,ROW(INDIRECT("1:"&amp;LEN(metadata!B432))), 1),"0123456789abcdefghijklmnopqrstuvwxyzABCDEFGHIJKLMNOPQRSTUVWXYZ.")))))</f>
        <v>0</v>
      </c>
      <c r="AN432" t="b">
        <f ca="1">OR(AND(IF(metadata!C432="",FALSE,TRUE),OR(EXACT(metadata!C432,"missing: not collected"),EXACT(metadata!C432,"missing: not provided"),EXACT(metadata!C432,"missing: restricted access"))),AND(IF(metadata!C432="",FALSE,TRUE),AND(AND(IFERROR(INT(LEFT(metadata!C432,4))&gt;1900,FALSE),IFERROR(INT(LEFT(metadata!C432,4))&lt;=YEAR(NOW()),FALSE)), OR(MID(metadata!C432,5,1)="", AND(AND(MID(metadata!C432,5,1)="-",IFERROR(INT(MID(metadata!C432,6,1))&gt;=0,FALSE),IFERROR(INT(MID(metadata!C432,6,1))&lt;=1,FALSE),NOT(MID(metadata!C432,7,1)=""),IFERROR(INT(MID(metadata!C432,6,2))&gt;=1,FALSE),IFERROR(INT(MID(metadata!C432,6,2))&lt;=12,FALSE)), OR(MID(metadata!C432,8,1)="", AND(AND(MID(metadata!C432,8,1)="-",IFERROR(INT(MID(metadata!C432,9,1))&gt;=0,FALSE),IFERROR(INT(MID(metadata!C432,9,1))&lt;=3,FALSE),NOT(MID(metadata!C432,10,1)=""),IFERROR(INT(MID(metadata!C432,9,2))&gt;=1,FALSE),IFERROR(INT(MID(metadata!C432,9,2))&lt;=31,FALSE)), OR(MID(metadata!C432,11,1)="", AND(AND(MID(metadata!C432,11,1)=" ",IFERROR(INT(MID(metadata!C432,12,1))&gt;=0,FALSE),IFERROR(INT(MID(metadata!C432,12,1))&lt;=2,FALSE),NOT(MID(metadata!C432,13,1)=""),IFERROR(INT(MID(metadata!C432,12,2))&gt;=0,FALSE),IFERROR(INT(MID(metadata!C432,12,2))&lt;=23,FALSE)), OR(MID(metadata!C432,14,1)="", AND(AND(MID(metadata!C432,14,1)=":",IFERROR(INT(MID(metadata!C432,15,1))&gt;=0,FALSE),IFERROR(INT(MID(metadata!C432,15,1))&lt;=5,FALSE),NOT(MID(metadata!C432,16,1)=""),IFERROR(INT(MID(metadata!C432,15,2))&gt;=0,FALSE),IFERROR(INT(MID(metadata!C432,15,2))&lt;=59,FALSE)), OR(MID(metadata!C432,17,1)="", AND(AND(MID(metadata!C432,17,1)=":",IFERROR(INT(MID(metadata!C432,18,1))&gt;=0,FALSE),IFERROR(INT(MID(metadata!C432,18,1))&lt;=5,FALSE),NOT(MID(metadata!C432,19,1)=""),IFERROR(INT(MID(metadata!C432,18,2))&gt;=0,FALSE),IFERROR(INT(MID(metadata!C432,18,2))&lt;=59,FALSE)), LEN(metadata!C432)&lt;=19)))))))))))))</f>
        <v>0</v>
      </c>
      <c r="AO432" t="b">
        <f>AND(IF(metadata!D432="",FALSE,TRUE),EXACT(metadata!D432,"Not applicable"))</f>
        <v>0</v>
      </c>
      <c r="AP432" t="b">
        <f>IF(metadata!E432="",FALSE,TRUE)</f>
        <v>0</v>
      </c>
      <c r="AQ432" t="b">
        <f>OR(AND(IF(metadata!F432="",FALSE,TRUE),OR(EXACT(metadata!F432,"missing: not collected"),EXACT(metadata!F432,"missing: not provided"))),AND(IF(metadata!F432="",FALSE,TRUE),OR(EXACT(metadata!F432,"TRUE"),EXACT(metadata!F432,"FALSE"))))</f>
        <v>0</v>
      </c>
      <c r="AR432" t="b">
        <f>OR(AND(IF(metadata!G432="",FALSE,TRUE),OR(EXACT(metadata!G432,"missing: not collected"),EXACT(metadata!G432,"missing: not provided"),EXACT(metadata!G432,"missing: restricted access"))),AND(IF(metadata!G432="",FALSE,ISNUMBER(VALUE(metadata!G432))),metadata!G432&gt;=-413))</f>
        <v>0</v>
      </c>
      <c r="AS432" t="b">
        <f>AND(IF(metadata!H432="",FALSE,TRUE),EXACT(metadata!H432,"meters"))</f>
        <v>0</v>
      </c>
      <c r="AT432" t="b">
        <f>AND(IF(metadata!I432="",FALSE,TRUE),OR(EXACT(metadata!I432,"Host-associated"),EXACT(metadata!I432,"Free-living")))</f>
        <v>0</v>
      </c>
      <c r="AU432" t="b">
        <f>AND(IF(metadata!J432="",FALSE,TRUE),OR(EXACT(metadata!J432,"Animal"),EXACT(metadata!J432,"Fungus"),EXACT(metadata!J432,"Plant"),EXACT(metadata!J432,"Saline"),EXACT(metadata!J432,"Non-saline")))</f>
        <v>0</v>
      </c>
      <c r="AV432" t="b">
        <f>AND(IF(metadata!K432="",FALSE,TRUE),OR(EXACT(metadata!K432,"Plant secretion"),EXACT(metadata!K432,"Plant rhizosphere"),EXACT(metadata!K432,"Plant surface"),EXACT(metadata!K432,"Plant corpus"),EXACT(metadata!K432,"Fungus surface"),EXACT(metadata!K432,"Fungus corpus"),EXACT(metadata!K432,"Animal surface"),EXACT(metadata!K432,"Animal proximal gut"),EXACT(metadata!K432,"Animal corpus"),EXACT(metadata!K432,"Animal distal gut"),EXACT(metadata!K432,"Animal secretion"),EXACT(metadata!K432,"Sub-surface (non-saline)"),EXACT(metadata!K432,"Surface (non-saline)"),EXACT(metadata!K432,"Water (non-saline)"),EXACT(metadata!K432,"Soil (non-saline)"),EXACT(metadata!K432,"Aerosol (non-saline)"),EXACT(metadata!K432,"Sediment (non-saline)"),EXACT(metadata!K432,"Surface (saline)"),EXACT(metadata!K432,"Water (saline)"),EXACT(metadata!K432,"Hypersaline (saline)"),EXACT(metadata!K432,"Aerosol (saline)"),EXACT(metadata!K432,"Sediment (saline)")))</f>
        <v>0</v>
      </c>
      <c r="AW432" t="b">
        <f>IF(metadata!L432="",FALSE,TRUE)</f>
        <v>0</v>
      </c>
      <c r="AX432" t="b">
        <f>IF(metadata!M432="",FALSE,TRUE)</f>
        <v>0</v>
      </c>
      <c r="AY432" t="b">
        <f>IF(metadata!N432="",FALSE,TRUE)</f>
        <v>0</v>
      </c>
      <c r="AZ432" t="b">
        <f>OR(AND(IF(metadata!O432="",FALSE,TRUE),OR(EXACT(metadata!O432,"missing: not collected"),EXACT(metadata!O432,"missing: not provided"),EXACT(metadata!O432,"missing: restricted access"))),AND(IF(metadata!O432="",FALSE,TRUE),OR(EXACT(metadata!O432,"air"),EXACT(metadata!O432,"built environment"),EXACT(metadata!O432,"host-associated"),EXACT(metadata!O432,"human-associated"),EXACT(metadata!O432,"human-skin"),EXACT(metadata!O432,"human-oral"),EXACT(metadata!O432,"human-gut"),EXACT(metadata!O432,"human-vaginal"),EXACT(metadata!O432,"microbial mat/biofilm"),EXACT(metadata!O432,"misc environment"),EXACT(metadata!O432,"plant-associated"),EXACT(metadata!O432,"sediment"),EXACT(metadata!O432,"soil"),EXACT(metadata!O432,"wastewater/sludge"),EXACT(metadata!O432,"water"))))</f>
        <v>0</v>
      </c>
      <c r="BA432" t="b">
        <f>IF(metadata!P432="",FALSE,TRUE)</f>
        <v>0</v>
      </c>
      <c r="BB432" t="b">
        <f>IF(metadata!Q432="",FALSE,TRUE)</f>
        <v>0</v>
      </c>
      <c r="BC432" t="b">
        <f>OR(AND(IF(metadata!R432="",FALSE,TRUE),OR(EXACT(metadata!R432,"missing: not collected"),EXACT(metadata!R432,"missing: not provided"),EXACT(metadata!R432,"missing: restricted access"))),AND(IF(metadata!R432="",FALSE,ISNUMBER(VALUE(metadata!R432))),metadata!R432&gt;=-90,metadata!R432&lt;=90))</f>
        <v>0</v>
      </c>
      <c r="BD432" t="b">
        <f>AND(IF(metadata!S432="",FALSE,TRUE),EXACT(metadata!S432,"Decimal degrees"))</f>
        <v>0</v>
      </c>
      <c r="BE432" t="b">
        <f>OR(AND(IF(metadata!T432="",FALSE,TRUE),OR(EXACT(metadata!T432,"missing: not collected"),EXACT(metadata!T432,"missing: not provided"),EXACT(metadata!T432,"missing: restricted access"))),AND(IF(metadata!T432="",FALSE,ISNUMBER(VALUE(metadata!T432))),metadata!T432&gt;=-180,metadata!T432&lt;=180))</f>
        <v>0</v>
      </c>
      <c r="BF432" t="b">
        <f>AND(IF(metadata!U432="",FALSE,TRUE),EXACT(metadata!U432,"Decimal degrees"))</f>
        <v>0</v>
      </c>
      <c r="BG432" t="b">
        <f>IF(metadata!V432="",FALSE,TRUE)</f>
        <v>0</v>
      </c>
      <c r="BH432" t="b">
        <f>OR(AND(IF(metadata!W432="",FALSE,TRUE),OR(EXACT(metadata!W432,"missing: not collected"),EXACT(metadata!W432,"missing: not provided"),EXACT(metadata!W432,"missing: restricted access"))),AND(IF(metadata!W432="",FALSE,TRUE),OR(EXACT(metadata!W432,"TRUE"),EXACT(metadata!W432,"FALSE"))))</f>
        <v>0</v>
      </c>
      <c r="BI432" t="b">
        <f>AND(IF(metadata!X432="",FALSE,TRUE),EXACT(metadata!X432,"other"))</f>
        <v>0</v>
      </c>
      <c r="BJ432" t="b">
        <f>IF(metadata!Y432="",FALSE,TRUE)</f>
        <v>0</v>
      </c>
      <c r="BK432" t="b">
        <f>OR(AND(IF(metadata!Z432="",FALSE,TRUE),OR(EXACT(metadata!Z432,"missing: not collected"),EXACT(metadata!Z432,"missing: not provided"))),AND(IF(metadata!Z432="",FALSE,IF(ISERROR(INT(metadata!Z432)),FALSE,INT(metadata!Z432)=metadata!Z432)),metadata!Z432&gt;0))</f>
        <v>0</v>
      </c>
      <c r="BL432" t="b">
        <f>AND(IF(metadata!AA432="",FALSE,TRUE),EXACT(metadata!AA432,"Not applicable"))</f>
        <v>0</v>
      </c>
      <c r="BM432" t="b">
        <f>IF(metadata!AB432="",FALSE,TRUE)</f>
        <v>0</v>
      </c>
    </row>
    <row r="433" spans="1:65" x14ac:dyDescent="0.2">
      <c r="A433" s="5" t="str">
        <f ca="1">IF(B433=" "," ",HYPERLINK(CONCATENATE("#metadata!",ADDRESS(INDEX($AH$2:$AH$1001,MATCH(ROWS($AF$2:AF433),$AF$2:$AF$1001,0),0),1)),INDEX($AK$2:$AK$1001,MATCH(ROWS($AF$2:AF433),$AF$2:$AF$1001,0),0)))</f>
        <v xml:space="preserve"> </v>
      </c>
      <c r="B433" s="4" t="str">
        <f ca="1">IF(OR(INDEX($AG$2:$AG$1001,MATCH(ROWS($AF$2:AF433),$AF$2:$AF$1001,0),1)&gt;=100000,INDEX($AM$1005:$BM$1005,1,MATCH(COLUMNS($AM$1006:AM1006),$AM$1006:$BM$1006,0))&gt;=100000), " ",IF(INDEX($AM$2:$BM$1001,MATCH(ROWS($AF$2:AF433),$AF$2:$AF$1001,0),MATCH(COLUMNS($AM$1006:AM1006),$AM$1006:$BM$1006,0)), HYPERLINK("#",""), HYPERLINK(CONCATENATE("#metadata!", ADDRESS(INDEX($AH$2:$AH$1001,MATCH(ROWS($AF$2:AF433),$AF$2:$AF$1001,0),0), INDEX($AM$1004:$BM$1004,1,MATCH(COLUMNS($AM$1006:AM1006),$AM$1006:$BM$1006,0)))),"Fix")))</f>
        <v xml:space="preserve"> </v>
      </c>
      <c r="C433" s="4" t="str">
        <f ca="1">IF(OR(INDEX($AG$2:$AG$1001,MATCH(ROWS($AF$2:AF433),$AF$2:$AF$1001,0),1)&gt;=100000,INDEX($AM$1005:$BM$1005,1,MATCH(COLUMNS($AM$1006:AN1006),$AM$1006:$BM$1006,0))&gt;=100000), " ",IF(INDEX($AM$2:$BM$1001,MATCH(ROWS($AF$2:AF433),$AF$2:$AF$1001,0),MATCH(COLUMNS($AM$1006:AN1006),$AM$1006:$BM$1006,0)), HYPERLINK("#",""), HYPERLINK(CONCATENATE("#metadata!", ADDRESS(INDEX($AH$2:$AH$1001,MATCH(ROWS($AF$2:AF433),$AF$2:$AF$1001,0),0), INDEX($AM$1004:$BM$1004,1,MATCH(COLUMNS($AM$1006:AN1006),$AM$1006:$BM$1006,0)))),"Fix")))</f>
        <v xml:space="preserve"> </v>
      </c>
      <c r="D433" s="4" t="str">
        <f ca="1">IF(OR(INDEX($AG$2:$AG$1001,MATCH(ROWS($AF$2:AF433),$AF$2:$AF$1001,0),1)&gt;=100000,INDEX($AM$1005:$BM$1005,1,MATCH(COLUMNS($AM$1006:AO1006),$AM$1006:$BM$1006,0))&gt;=100000), " ",IF(INDEX($AM$2:$BM$1001,MATCH(ROWS($AF$2:AF433),$AF$2:$AF$1001,0),MATCH(COLUMNS($AM$1006:AO1006),$AM$1006:$BM$1006,0)), HYPERLINK("#",""), HYPERLINK(CONCATENATE("#metadata!", ADDRESS(INDEX($AH$2:$AH$1001,MATCH(ROWS($AF$2:AF433),$AF$2:$AF$1001,0),0), INDEX($AM$1004:$BM$1004,1,MATCH(COLUMNS($AM$1006:AO1006),$AM$1006:$BM$1006,0)))),"Fix")))</f>
        <v xml:space="preserve"> </v>
      </c>
      <c r="E433" s="4" t="str">
        <f ca="1">IF(OR(INDEX($AG$2:$AG$1001,MATCH(ROWS($AF$2:AF433),$AF$2:$AF$1001,0),1)&gt;=100000,INDEX($AM$1005:$BM$1005,1,MATCH(COLUMNS($AM$1006:AP1006),$AM$1006:$BM$1006,0))&gt;=100000), " ",IF(INDEX($AM$2:$BM$1001,MATCH(ROWS($AF$2:AF433),$AF$2:$AF$1001,0),MATCH(COLUMNS($AM$1006:AP1006),$AM$1006:$BM$1006,0)), HYPERLINK("#",""), HYPERLINK(CONCATENATE("#metadata!", ADDRESS(INDEX($AH$2:$AH$1001,MATCH(ROWS($AF$2:AF433),$AF$2:$AF$1001,0),0), INDEX($AM$1004:$BM$1004,1,MATCH(COLUMNS($AM$1006:AP1006),$AM$1006:$BM$1006,0)))),"Fix")))</f>
        <v xml:space="preserve"> </v>
      </c>
      <c r="F433" s="4" t="str">
        <f ca="1">IF(OR(INDEX($AG$2:$AG$1001,MATCH(ROWS($AF$2:AF433),$AF$2:$AF$1001,0),1)&gt;=100000,INDEX($AM$1005:$BM$1005,1,MATCH(COLUMNS($AM$1006:AQ1006),$AM$1006:$BM$1006,0))&gt;=100000), " ",IF(INDEX($AM$2:$BM$1001,MATCH(ROWS($AF$2:AF433),$AF$2:$AF$1001,0),MATCH(COLUMNS($AM$1006:AQ1006),$AM$1006:$BM$1006,0)), HYPERLINK("#",""), HYPERLINK(CONCATENATE("#metadata!", ADDRESS(INDEX($AH$2:$AH$1001,MATCH(ROWS($AF$2:AF433),$AF$2:$AF$1001,0),0), INDEX($AM$1004:$BM$1004,1,MATCH(COLUMNS($AM$1006:AQ1006),$AM$1006:$BM$1006,0)))),"Fix")))</f>
        <v xml:space="preserve"> </v>
      </c>
      <c r="G433" s="4" t="str">
        <f ca="1">IF(OR(INDEX($AG$2:$AG$1001,MATCH(ROWS($AF$2:AF433),$AF$2:$AF$1001,0),1)&gt;=100000,INDEX($AM$1005:$BM$1005,1,MATCH(COLUMNS($AM$1006:AR1006),$AM$1006:$BM$1006,0))&gt;=100000), " ",IF(INDEX($AM$2:$BM$1001,MATCH(ROWS($AF$2:AF433),$AF$2:$AF$1001,0),MATCH(COLUMNS($AM$1006:AR1006),$AM$1006:$BM$1006,0)), HYPERLINK("#",""), HYPERLINK(CONCATENATE("#metadata!", ADDRESS(INDEX($AH$2:$AH$1001,MATCH(ROWS($AF$2:AF433),$AF$2:$AF$1001,0),0), INDEX($AM$1004:$BM$1004,1,MATCH(COLUMNS($AM$1006:AR1006),$AM$1006:$BM$1006,0)))),"Fix")))</f>
        <v xml:space="preserve"> </v>
      </c>
      <c r="H433" s="4" t="str">
        <f ca="1">IF(OR(INDEX($AG$2:$AG$1001,MATCH(ROWS($AF$2:AF433),$AF$2:$AF$1001,0),1)&gt;=100000,INDEX($AM$1005:$BM$1005,1,MATCH(COLUMNS($AM$1006:AS1006),$AM$1006:$BM$1006,0))&gt;=100000), " ",IF(INDEX($AM$2:$BM$1001,MATCH(ROWS($AF$2:AF433),$AF$2:$AF$1001,0),MATCH(COLUMNS($AM$1006:AS1006),$AM$1006:$BM$1006,0)), HYPERLINK("#",""), HYPERLINK(CONCATENATE("#metadata!", ADDRESS(INDEX($AH$2:$AH$1001,MATCH(ROWS($AF$2:AF433),$AF$2:$AF$1001,0),0), INDEX($AM$1004:$BM$1004,1,MATCH(COLUMNS($AM$1006:AS1006),$AM$1006:$BM$1006,0)))),"Fix")))</f>
        <v xml:space="preserve"> </v>
      </c>
      <c r="I433" s="4" t="str">
        <f ca="1">IF(OR(INDEX($AG$2:$AG$1001,MATCH(ROWS($AF$2:AF433),$AF$2:$AF$1001,0),1)&gt;=100000,INDEX($AM$1005:$BM$1005,1,MATCH(COLUMNS($AM$1006:AT1006),$AM$1006:$BM$1006,0))&gt;=100000), " ",IF(INDEX($AM$2:$BM$1001,MATCH(ROWS($AF$2:AF433),$AF$2:$AF$1001,0),MATCH(COLUMNS($AM$1006:AT1006),$AM$1006:$BM$1006,0)), HYPERLINK("#",""), HYPERLINK(CONCATENATE("#metadata!", ADDRESS(INDEX($AH$2:$AH$1001,MATCH(ROWS($AF$2:AF433),$AF$2:$AF$1001,0),0), INDEX($AM$1004:$BM$1004,1,MATCH(COLUMNS($AM$1006:AT1006),$AM$1006:$BM$1006,0)))),"Fix")))</f>
        <v xml:space="preserve"> </v>
      </c>
      <c r="J433" s="4" t="str">
        <f ca="1">IF(OR(INDEX($AG$2:$AG$1001,MATCH(ROWS($AF$2:AF433),$AF$2:$AF$1001,0),1)&gt;=100000,INDEX($AM$1005:$BM$1005,1,MATCH(COLUMNS($AM$1006:AU1006),$AM$1006:$BM$1006,0))&gt;=100000), " ",IF(INDEX($AM$2:$BM$1001,MATCH(ROWS($AF$2:AF433),$AF$2:$AF$1001,0),MATCH(COLUMNS($AM$1006:AU1006),$AM$1006:$BM$1006,0)), HYPERLINK("#",""), HYPERLINK(CONCATENATE("#metadata!", ADDRESS(INDEX($AH$2:$AH$1001,MATCH(ROWS($AF$2:AF433),$AF$2:$AF$1001,0),0), INDEX($AM$1004:$BM$1004,1,MATCH(COLUMNS($AM$1006:AU1006),$AM$1006:$BM$1006,0)))),"Fix")))</f>
        <v xml:space="preserve"> </v>
      </c>
      <c r="K433" s="4" t="str">
        <f ca="1">IF(OR(INDEX($AG$2:$AG$1001,MATCH(ROWS($AF$2:AF433),$AF$2:$AF$1001,0),1)&gt;=100000,INDEX($AM$1005:$BM$1005,1,MATCH(COLUMNS($AM$1006:AV1006),$AM$1006:$BM$1006,0))&gt;=100000), " ",IF(INDEX($AM$2:$BM$1001,MATCH(ROWS($AF$2:AF433),$AF$2:$AF$1001,0),MATCH(COLUMNS($AM$1006:AV1006),$AM$1006:$BM$1006,0)), HYPERLINK("#",""), HYPERLINK(CONCATENATE("#metadata!", ADDRESS(INDEX($AH$2:$AH$1001,MATCH(ROWS($AF$2:AF433),$AF$2:$AF$1001,0),0), INDEX($AM$1004:$BM$1004,1,MATCH(COLUMNS($AM$1006:AV1006),$AM$1006:$BM$1006,0)))),"Fix")))</f>
        <v xml:space="preserve"> </v>
      </c>
      <c r="L433" s="4" t="str">
        <f ca="1">IF(OR(INDEX($AG$2:$AG$1001,MATCH(ROWS($AF$2:AF433),$AF$2:$AF$1001,0),1)&gt;=100000,INDEX($AM$1005:$BM$1005,1,MATCH(COLUMNS($AM$1006:AW1006),$AM$1006:$BM$1006,0))&gt;=100000), " ",IF(INDEX($AM$2:$BM$1001,MATCH(ROWS($AF$2:AF433),$AF$2:$AF$1001,0),MATCH(COLUMNS($AM$1006:AW1006),$AM$1006:$BM$1006,0)), HYPERLINK("#",""), HYPERLINK(CONCATENATE("#metadata!", ADDRESS(INDEX($AH$2:$AH$1001,MATCH(ROWS($AF$2:AF433),$AF$2:$AF$1001,0),0), INDEX($AM$1004:$BM$1004,1,MATCH(COLUMNS($AM$1006:AW1006),$AM$1006:$BM$1006,0)))),"Fix")))</f>
        <v xml:space="preserve"> </v>
      </c>
      <c r="M433" s="4" t="str">
        <f ca="1">IF(OR(INDEX($AG$2:$AG$1001,MATCH(ROWS($AF$2:AF433),$AF$2:$AF$1001,0),1)&gt;=100000,INDEX($AM$1005:$BM$1005,1,MATCH(COLUMNS($AM$1006:AX1006),$AM$1006:$BM$1006,0))&gt;=100000), " ",IF(INDEX($AM$2:$BM$1001,MATCH(ROWS($AF$2:AF433),$AF$2:$AF$1001,0),MATCH(COLUMNS($AM$1006:AX1006),$AM$1006:$BM$1006,0)), HYPERLINK("#",""), HYPERLINK(CONCATENATE("#metadata!", ADDRESS(INDEX($AH$2:$AH$1001,MATCH(ROWS($AF$2:AF433),$AF$2:$AF$1001,0),0), INDEX($AM$1004:$BM$1004,1,MATCH(COLUMNS($AM$1006:AX1006),$AM$1006:$BM$1006,0)))),"Fix")))</f>
        <v xml:space="preserve"> </v>
      </c>
      <c r="N433" s="4" t="str">
        <f ca="1">IF(OR(INDEX($AG$2:$AG$1001,MATCH(ROWS($AF$2:AF433),$AF$2:$AF$1001,0),1)&gt;=100000,INDEX($AM$1005:$BM$1005,1,MATCH(COLUMNS($AM$1006:AY1006),$AM$1006:$BM$1006,0))&gt;=100000), " ",IF(INDEX($AM$2:$BM$1001,MATCH(ROWS($AF$2:AF433),$AF$2:$AF$1001,0),MATCH(COLUMNS($AM$1006:AY1006),$AM$1006:$BM$1006,0)), HYPERLINK("#",""), HYPERLINK(CONCATENATE("#metadata!", ADDRESS(INDEX($AH$2:$AH$1001,MATCH(ROWS($AF$2:AF433),$AF$2:$AF$1001,0),0), INDEX($AM$1004:$BM$1004,1,MATCH(COLUMNS($AM$1006:AY1006),$AM$1006:$BM$1006,0)))),"Fix")))</f>
        <v xml:space="preserve"> </v>
      </c>
      <c r="O433" s="4" t="str">
        <f ca="1">IF(OR(INDEX($AG$2:$AG$1001,MATCH(ROWS($AF$2:AF433),$AF$2:$AF$1001,0),1)&gt;=100000,INDEX($AM$1005:$BM$1005,1,MATCH(COLUMNS($AM$1006:AZ1006),$AM$1006:$BM$1006,0))&gt;=100000), " ",IF(INDEX($AM$2:$BM$1001,MATCH(ROWS($AF$2:AF433),$AF$2:$AF$1001,0),MATCH(COLUMNS($AM$1006:AZ1006),$AM$1006:$BM$1006,0)), HYPERLINK("#",""), HYPERLINK(CONCATENATE("#metadata!", ADDRESS(INDEX($AH$2:$AH$1001,MATCH(ROWS($AF$2:AF433),$AF$2:$AF$1001,0),0), INDEX($AM$1004:$BM$1004,1,MATCH(COLUMNS($AM$1006:AZ1006),$AM$1006:$BM$1006,0)))),"Fix")))</f>
        <v xml:space="preserve"> </v>
      </c>
      <c r="P433" s="4" t="str">
        <f ca="1">IF(OR(INDEX($AG$2:$AG$1001,MATCH(ROWS($AF$2:AF433),$AF$2:$AF$1001,0),1)&gt;=100000,INDEX($AM$1005:$BM$1005,1,MATCH(COLUMNS($AM$1006:BA1006),$AM$1006:$BM$1006,0))&gt;=100000), " ",IF(INDEX($AM$2:$BM$1001,MATCH(ROWS($AF$2:AF433),$AF$2:$AF$1001,0),MATCH(COLUMNS($AM$1006:BA1006),$AM$1006:$BM$1006,0)), HYPERLINK("#",""), HYPERLINK(CONCATENATE("#metadata!", ADDRESS(INDEX($AH$2:$AH$1001,MATCH(ROWS($AF$2:AF433),$AF$2:$AF$1001,0),0), INDEX($AM$1004:$BM$1004,1,MATCH(COLUMNS($AM$1006:BA1006),$AM$1006:$BM$1006,0)))),"Fix")))</f>
        <v xml:space="preserve"> </v>
      </c>
      <c r="Q433" s="4" t="str">
        <f ca="1">IF(OR(INDEX($AG$2:$AG$1001,MATCH(ROWS($AF$2:AF433),$AF$2:$AF$1001,0),1)&gt;=100000,INDEX($AM$1005:$BM$1005,1,MATCH(COLUMNS($AM$1006:BB1006),$AM$1006:$BM$1006,0))&gt;=100000), " ",IF(INDEX($AM$2:$BM$1001,MATCH(ROWS($AF$2:AF433),$AF$2:$AF$1001,0),MATCH(COLUMNS($AM$1006:BB1006),$AM$1006:$BM$1006,0)), HYPERLINK("#",""), HYPERLINK(CONCATENATE("#metadata!", ADDRESS(INDEX($AH$2:$AH$1001,MATCH(ROWS($AF$2:AF433),$AF$2:$AF$1001,0),0), INDEX($AM$1004:$BM$1004,1,MATCH(COLUMNS($AM$1006:BB1006),$AM$1006:$BM$1006,0)))),"Fix")))</f>
        <v xml:space="preserve"> </v>
      </c>
      <c r="R433" s="4" t="str">
        <f ca="1">IF(OR(INDEX($AG$2:$AG$1001,MATCH(ROWS($AF$2:AF433),$AF$2:$AF$1001,0),1)&gt;=100000,INDEX($AM$1005:$BM$1005,1,MATCH(COLUMNS($AM$1006:BC1006),$AM$1006:$BM$1006,0))&gt;=100000), " ",IF(INDEX($AM$2:$BM$1001,MATCH(ROWS($AF$2:AF433),$AF$2:$AF$1001,0),MATCH(COLUMNS($AM$1006:BC1006),$AM$1006:$BM$1006,0)), HYPERLINK("#",""), HYPERLINK(CONCATENATE("#metadata!", ADDRESS(INDEX($AH$2:$AH$1001,MATCH(ROWS($AF$2:AF433),$AF$2:$AF$1001,0),0), INDEX($AM$1004:$BM$1004,1,MATCH(COLUMNS($AM$1006:BC1006),$AM$1006:$BM$1006,0)))),"Fix")))</f>
        <v xml:space="preserve"> </v>
      </c>
      <c r="S433" s="4" t="str">
        <f ca="1">IF(OR(INDEX($AG$2:$AG$1001,MATCH(ROWS($AF$2:AF433),$AF$2:$AF$1001,0),1)&gt;=100000,INDEX($AM$1005:$BM$1005,1,MATCH(COLUMNS($AM$1006:BD1006),$AM$1006:$BM$1006,0))&gt;=100000), " ",IF(INDEX($AM$2:$BM$1001,MATCH(ROWS($AF$2:AF433),$AF$2:$AF$1001,0),MATCH(COLUMNS($AM$1006:BD1006),$AM$1006:$BM$1006,0)), HYPERLINK("#",""), HYPERLINK(CONCATENATE("#metadata!", ADDRESS(INDEX($AH$2:$AH$1001,MATCH(ROWS($AF$2:AF433),$AF$2:$AF$1001,0),0), INDEX($AM$1004:$BM$1004,1,MATCH(COLUMNS($AM$1006:BD1006),$AM$1006:$BM$1006,0)))),"Fix")))</f>
        <v xml:space="preserve"> </v>
      </c>
      <c r="T433" s="4" t="str">
        <f ca="1">IF(OR(INDEX($AG$2:$AG$1001,MATCH(ROWS($AF$2:AF433),$AF$2:$AF$1001,0),1)&gt;=100000,INDEX($AM$1005:$BM$1005,1,MATCH(COLUMNS($AM$1006:BE1006),$AM$1006:$BM$1006,0))&gt;=100000), " ",IF(INDEX($AM$2:$BM$1001,MATCH(ROWS($AF$2:AF433),$AF$2:$AF$1001,0),MATCH(COLUMNS($AM$1006:BE1006),$AM$1006:$BM$1006,0)), HYPERLINK("#",""), HYPERLINK(CONCATENATE("#metadata!", ADDRESS(INDEX($AH$2:$AH$1001,MATCH(ROWS($AF$2:AF433),$AF$2:$AF$1001,0),0), INDEX($AM$1004:$BM$1004,1,MATCH(COLUMNS($AM$1006:BE1006),$AM$1006:$BM$1006,0)))),"Fix")))</f>
        <v xml:space="preserve"> </v>
      </c>
      <c r="U433" s="4" t="str">
        <f ca="1">IF(OR(INDEX($AG$2:$AG$1001,MATCH(ROWS($AF$2:AF433),$AF$2:$AF$1001,0),1)&gt;=100000,INDEX($AM$1005:$BM$1005,1,MATCH(COLUMNS($AM$1006:BF1006),$AM$1006:$BM$1006,0))&gt;=100000), " ",IF(INDEX($AM$2:$BM$1001,MATCH(ROWS($AF$2:AF433),$AF$2:$AF$1001,0),MATCH(COLUMNS($AM$1006:BF1006),$AM$1006:$BM$1006,0)), HYPERLINK("#",""), HYPERLINK(CONCATENATE("#metadata!", ADDRESS(INDEX($AH$2:$AH$1001,MATCH(ROWS($AF$2:AF433),$AF$2:$AF$1001,0),0), INDEX($AM$1004:$BM$1004,1,MATCH(COLUMNS($AM$1006:BF1006),$AM$1006:$BM$1006,0)))),"Fix")))</f>
        <v xml:space="preserve"> </v>
      </c>
      <c r="V433" s="4" t="str">
        <f ca="1">IF(OR(INDEX($AG$2:$AG$1001,MATCH(ROWS($AF$2:AF433),$AF$2:$AF$1001,0),1)&gt;=100000,INDEX($AM$1005:$BM$1005,1,MATCH(COLUMNS($AM$1006:BG1006),$AM$1006:$BM$1006,0))&gt;=100000), " ",IF(INDEX($AM$2:$BM$1001,MATCH(ROWS($AF$2:AF433),$AF$2:$AF$1001,0),MATCH(COLUMNS($AM$1006:BG1006),$AM$1006:$BM$1006,0)), HYPERLINK("#",""), HYPERLINK(CONCATENATE("#metadata!", ADDRESS(INDEX($AH$2:$AH$1001,MATCH(ROWS($AF$2:AF433),$AF$2:$AF$1001,0),0), INDEX($AM$1004:$BM$1004,1,MATCH(COLUMNS($AM$1006:BG1006),$AM$1006:$BM$1006,0)))),"Fix")))</f>
        <v xml:space="preserve"> </v>
      </c>
      <c r="W433" s="4" t="str">
        <f ca="1">IF(OR(INDEX($AG$2:$AG$1001,MATCH(ROWS($AF$2:AF433),$AF$2:$AF$1001,0),1)&gt;=100000,INDEX($AM$1005:$BM$1005,1,MATCH(COLUMNS($AM$1006:BH1006),$AM$1006:$BM$1006,0))&gt;=100000), " ",IF(INDEX($AM$2:$BM$1001,MATCH(ROWS($AF$2:AF433),$AF$2:$AF$1001,0),MATCH(COLUMNS($AM$1006:BH1006),$AM$1006:$BM$1006,0)), HYPERLINK("#",""), HYPERLINK(CONCATENATE("#metadata!", ADDRESS(INDEX($AH$2:$AH$1001,MATCH(ROWS($AF$2:AF433),$AF$2:$AF$1001,0),0), INDEX($AM$1004:$BM$1004,1,MATCH(COLUMNS($AM$1006:BH1006),$AM$1006:$BM$1006,0)))),"Fix")))</f>
        <v xml:space="preserve"> </v>
      </c>
      <c r="X433" s="4" t="str">
        <f ca="1">IF(OR(INDEX($AG$2:$AG$1001,MATCH(ROWS($AF$2:AF433),$AF$2:$AF$1001,0),1)&gt;=100000,INDEX($AM$1005:$BM$1005,1,MATCH(COLUMNS($AM$1006:BI1006),$AM$1006:$BM$1006,0))&gt;=100000), " ",IF(INDEX($AM$2:$BM$1001,MATCH(ROWS($AF$2:AF433),$AF$2:$AF$1001,0),MATCH(COLUMNS($AM$1006:BI1006),$AM$1006:$BM$1006,0)), HYPERLINK("#",""), HYPERLINK(CONCATENATE("#metadata!", ADDRESS(INDEX($AH$2:$AH$1001,MATCH(ROWS($AF$2:AF433),$AF$2:$AF$1001,0),0), INDEX($AM$1004:$BM$1004,1,MATCH(COLUMNS($AM$1006:BI1006),$AM$1006:$BM$1006,0)))),"Fix")))</f>
        <v xml:space="preserve"> </v>
      </c>
      <c r="Y433" s="4" t="str">
        <f ca="1">IF(OR(INDEX($AG$2:$AG$1001,MATCH(ROWS($AF$2:AF433),$AF$2:$AF$1001,0),1)&gt;=100000,INDEX($AM$1005:$BM$1005,1,MATCH(COLUMNS($AM$1006:BJ1006),$AM$1006:$BM$1006,0))&gt;=100000), " ",IF(INDEX($AM$2:$BM$1001,MATCH(ROWS($AF$2:AF433),$AF$2:$AF$1001,0),MATCH(COLUMNS($AM$1006:BJ1006),$AM$1006:$BM$1006,0)), HYPERLINK("#",""), HYPERLINK(CONCATENATE("#metadata!", ADDRESS(INDEX($AH$2:$AH$1001,MATCH(ROWS($AF$2:AF433),$AF$2:$AF$1001,0),0), INDEX($AM$1004:$BM$1004,1,MATCH(COLUMNS($AM$1006:BJ1006),$AM$1006:$BM$1006,0)))),"Fix")))</f>
        <v xml:space="preserve"> </v>
      </c>
      <c r="Z433" s="4" t="str">
        <f ca="1">IF(OR(INDEX($AG$2:$AG$1001,MATCH(ROWS($AF$2:AF433),$AF$2:$AF$1001,0),1)&gt;=100000,INDEX($AM$1005:$BM$1005,1,MATCH(COLUMNS($AM$1006:BK1006),$AM$1006:$BM$1006,0))&gt;=100000), " ",IF(INDEX($AM$2:$BM$1001,MATCH(ROWS($AF$2:AF433),$AF$2:$AF$1001,0),MATCH(COLUMNS($AM$1006:BK1006),$AM$1006:$BM$1006,0)), HYPERLINK("#",""), HYPERLINK(CONCATENATE("#metadata!", ADDRESS(INDEX($AH$2:$AH$1001,MATCH(ROWS($AF$2:AF433),$AF$2:$AF$1001,0),0), INDEX($AM$1004:$BM$1004,1,MATCH(COLUMNS($AM$1006:BK1006),$AM$1006:$BM$1006,0)))),"Fix")))</f>
        <v xml:space="preserve"> </v>
      </c>
      <c r="AA433" s="4" t="str">
        <f ca="1">IF(OR(INDEX($AG$2:$AG$1001,MATCH(ROWS($AF$2:AF433),$AF$2:$AF$1001,0),1)&gt;=100000,INDEX($AM$1005:$BM$1005,1,MATCH(COLUMNS($AM$1006:BL1006),$AM$1006:$BM$1006,0))&gt;=100000), " ",IF(INDEX($AM$2:$BM$1001,MATCH(ROWS($AF$2:AF433),$AF$2:$AF$1001,0),MATCH(COLUMNS($AM$1006:BL1006),$AM$1006:$BM$1006,0)), HYPERLINK("#",""), HYPERLINK(CONCATENATE("#metadata!", ADDRESS(INDEX($AH$2:$AH$1001,MATCH(ROWS($AF$2:AF433),$AF$2:$AF$1001,0),0), INDEX($AM$1004:$BM$1004,1,MATCH(COLUMNS($AM$1006:BL1006),$AM$1006:$BM$1006,0)))),"Fix")))</f>
        <v xml:space="preserve"> </v>
      </c>
      <c r="AB433" s="4" t="str">
        <f ca="1">IF(OR(INDEX($AG$2:$AG$1001,MATCH(ROWS($AF$2:AF433),$AF$2:$AF$1001,0),1)&gt;=100000,INDEX($AM$1005:$BM$1005,1,MATCH(COLUMNS($AM$1006:BM1006),$AM$1006:$BM$1006,0))&gt;=100000), " ",IF(INDEX($AM$2:$BM$1001,MATCH(ROWS($AF$2:AF433),$AF$2:$AF$1001,0),MATCH(COLUMNS($AM$1006:BM1006),$AM$1006:$BM$1006,0)), HYPERLINK("#",""), HYPERLINK(CONCATENATE("#metadata!", ADDRESS(INDEX($AH$2:$AH$1001,MATCH(ROWS($AF$2:AF433),$AF$2:$AF$1001,0),0), INDEX($AM$1004:$BM$1004,1,MATCH(COLUMNS($AM$1006:BM1006),$AM$1006:$BM$1006,0)))),"Fix")))</f>
        <v xml:space="preserve"> </v>
      </c>
      <c r="AF433">
        <v>432</v>
      </c>
      <c r="AG433">
        <v>100433</v>
      </c>
      <c r="AH433">
        <v>433</v>
      </c>
      <c r="AI433" t="b">
        <f t="shared" si="6"/>
        <v>1</v>
      </c>
      <c r="AJ433" t="b">
        <f>COUNTBLANK(metadata!B433:AB433)=COLUMNS(metadata!B433:AB433)</f>
        <v>1</v>
      </c>
      <c r="AK433" t="str">
        <v/>
      </c>
      <c r="AM433" t="b">
        <f ca="1">AND(IF(metadata!B433="",FALSE,TRUE),COUNTIF(metadata!B:B, metadata!B433) = 1,NOT(ISERROR(SUMPRODUCT(SEARCH(MID(metadata!B433,ROW(INDIRECT("1:"&amp;LEN(metadata!B433))), 1),"0123456789abcdefghijklmnopqrstuvwxyzABCDEFGHIJKLMNOPQRSTUVWXYZ.")))))</f>
        <v>0</v>
      </c>
      <c r="AN433" t="b">
        <f ca="1">OR(AND(IF(metadata!C433="",FALSE,TRUE),OR(EXACT(metadata!C433,"missing: not collected"),EXACT(metadata!C433,"missing: not provided"),EXACT(metadata!C433,"missing: restricted access"))),AND(IF(metadata!C433="",FALSE,TRUE),AND(AND(IFERROR(INT(LEFT(metadata!C433,4))&gt;1900,FALSE),IFERROR(INT(LEFT(metadata!C433,4))&lt;=YEAR(NOW()),FALSE)), OR(MID(metadata!C433,5,1)="", AND(AND(MID(metadata!C433,5,1)="-",IFERROR(INT(MID(metadata!C433,6,1))&gt;=0,FALSE),IFERROR(INT(MID(metadata!C433,6,1))&lt;=1,FALSE),NOT(MID(metadata!C433,7,1)=""),IFERROR(INT(MID(metadata!C433,6,2))&gt;=1,FALSE),IFERROR(INT(MID(metadata!C433,6,2))&lt;=12,FALSE)), OR(MID(metadata!C433,8,1)="", AND(AND(MID(metadata!C433,8,1)="-",IFERROR(INT(MID(metadata!C433,9,1))&gt;=0,FALSE),IFERROR(INT(MID(metadata!C433,9,1))&lt;=3,FALSE),NOT(MID(metadata!C433,10,1)=""),IFERROR(INT(MID(metadata!C433,9,2))&gt;=1,FALSE),IFERROR(INT(MID(metadata!C433,9,2))&lt;=31,FALSE)), OR(MID(metadata!C433,11,1)="", AND(AND(MID(metadata!C433,11,1)=" ",IFERROR(INT(MID(metadata!C433,12,1))&gt;=0,FALSE),IFERROR(INT(MID(metadata!C433,12,1))&lt;=2,FALSE),NOT(MID(metadata!C433,13,1)=""),IFERROR(INT(MID(metadata!C433,12,2))&gt;=0,FALSE),IFERROR(INT(MID(metadata!C433,12,2))&lt;=23,FALSE)), OR(MID(metadata!C433,14,1)="", AND(AND(MID(metadata!C433,14,1)=":",IFERROR(INT(MID(metadata!C433,15,1))&gt;=0,FALSE),IFERROR(INT(MID(metadata!C433,15,1))&lt;=5,FALSE),NOT(MID(metadata!C433,16,1)=""),IFERROR(INT(MID(metadata!C433,15,2))&gt;=0,FALSE),IFERROR(INT(MID(metadata!C433,15,2))&lt;=59,FALSE)), OR(MID(metadata!C433,17,1)="", AND(AND(MID(metadata!C433,17,1)=":",IFERROR(INT(MID(metadata!C433,18,1))&gt;=0,FALSE),IFERROR(INT(MID(metadata!C433,18,1))&lt;=5,FALSE),NOT(MID(metadata!C433,19,1)=""),IFERROR(INT(MID(metadata!C433,18,2))&gt;=0,FALSE),IFERROR(INT(MID(metadata!C433,18,2))&lt;=59,FALSE)), LEN(metadata!C433)&lt;=19)))))))))))))</f>
        <v>0</v>
      </c>
      <c r="AO433" t="b">
        <f>AND(IF(metadata!D433="",FALSE,TRUE),EXACT(metadata!D433,"Not applicable"))</f>
        <v>0</v>
      </c>
      <c r="AP433" t="b">
        <f>IF(metadata!E433="",FALSE,TRUE)</f>
        <v>0</v>
      </c>
      <c r="AQ433" t="b">
        <f>OR(AND(IF(metadata!F433="",FALSE,TRUE),OR(EXACT(metadata!F433,"missing: not collected"),EXACT(metadata!F433,"missing: not provided"))),AND(IF(metadata!F433="",FALSE,TRUE),OR(EXACT(metadata!F433,"TRUE"),EXACT(metadata!F433,"FALSE"))))</f>
        <v>0</v>
      </c>
      <c r="AR433" t="b">
        <f>OR(AND(IF(metadata!G433="",FALSE,TRUE),OR(EXACT(metadata!G433,"missing: not collected"),EXACT(metadata!G433,"missing: not provided"),EXACT(metadata!G433,"missing: restricted access"))),AND(IF(metadata!G433="",FALSE,ISNUMBER(VALUE(metadata!G433))),metadata!G433&gt;=-413))</f>
        <v>0</v>
      </c>
      <c r="AS433" t="b">
        <f>AND(IF(metadata!H433="",FALSE,TRUE),EXACT(metadata!H433,"meters"))</f>
        <v>0</v>
      </c>
      <c r="AT433" t="b">
        <f>AND(IF(metadata!I433="",FALSE,TRUE),OR(EXACT(metadata!I433,"Host-associated"),EXACT(metadata!I433,"Free-living")))</f>
        <v>0</v>
      </c>
      <c r="AU433" t="b">
        <f>AND(IF(metadata!J433="",FALSE,TRUE),OR(EXACT(metadata!J433,"Animal"),EXACT(metadata!J433,"Fungus"),EXACT(metadata!J433,"Plant"),EXACT(metadata!J433,"Saline"),EXACT(metadata!J433,"Non-saline")))</f>
        <v>0</v>
      </c>
      <c r="AV433" t="b">
        <f>AND(IF(metadata!K433="",FALSE,TRUE),OR(EXACT(metadata!K433,"Plant secretion"),EXACT(metadata!K433,"Plant rhizosphere"),EXACT(metadata!K433,"Plant surface"),EXACT(metadata!K433,"Plant corpus"),EXACT(metadata!K433,"Fungus surface"),EXACT(metadata!K433,"Fungus corpus"),EXACT(metadata!K433,"Animal surface"),EXACT(metadata!K433,"Animal proximal gut"),EXACT(metadata!K433,"Animal corpus"),EXACT(metadata!K433,"Animal distal gut"),EXACT(metadata!K433,"Animal secretion"),EXACT(metadata!K433,"Sub-surface (non-saline)"),EXACT(metadata!K433,"Surface (non-saline)"),EXACT(metadata!K433,"Water (non-saline)"),EXACT(metadata!K433,"Soil (non-saline)"),EXACT(metadata!K433,"Aerosol (non-saline)"),EXACT(metadata!K433,"Sediment (non-saline)"),EXACT(metadata!K433,"Surface (saline)"),EXACT(metadata!K433,"Water (saline)"),EXACT(metadata!K433,"Hypersaline (saline)"),EXACT(metadata!K433,"Aerosol (saline)"),EXACT(metadata!K433,"Sediment (saline)")))</f>
        <v>0</v>
      </c>
      <c r="AW433" t="b">
        <f>IF(metadata!L433="",FALSE,TRUE)</f>
        <v>0</v>
      </c>
      <c r="AX433" t="b">
        <f>IF(metadata!M433="",FALSE,TRUE)</f>
        <v>0</v>
      </c>
      <c r="AY433" t="b">
        <f>IF(metadata!N433="",FALSE,TRUE)</f>
        <v>0</v>
      </c>
      <c r="AZ433" t="b">
        <f>OR(AND(IF(metadata!O433="",FALSE,TRUE),OR(EXACT(metadata!O433,"missing: not collected"),EXACT(metadata!O433,"missing: not provided"),EXACT(metadata!O433,"missing: restricted access"))),AND(IF(metadata!O433="",FALSE,TRUE),OR(EXACT(metadata!O433,"air"),EXACT(metadata!O433,"built environment"),EXACT(metadata!O433,"host-associated"),EXACT(metadata!O433,"human-associated"),EXACT(metadata!O433,"human-skin"),EXACT(metadata!O433,"human-oral"),EXACT(metadata!O433,"human-gut"),EXACT(metadata!O433,"human-vaginal"),EXACT(metadata!O433,"microbial mat/biofilm"),EXACT(metadata!O433,"misc environment"),EXACT(metadata!O433,"plant-associated"),EXACT(metadata!O433,"sediment"),EXACT(metadata!O433,"soil"),EXACT(metadata!O433,"wastewater/sludge"),EXACT(metadata!O433,"water"))))</f>
        <v>0</v>
      </c>
      <c r="BA433" t="b">
        <f>IF(metadata!P433="",FALSE,TRUE)</f>
        <v>0</v>
      </c>
      <c r="BB433" t="b">
        <f>IF(metadata!Q433="",FALSE,TRUE)</f>
        <v>0</v>
      </c>
      <c r="BC433" t="b">
        <f>OR(AND(IF(metadata!R433="",FALSE,TRUE),OR(EXACT(metadata!R433,"missing: not collected"),EXACT(metadata!R433,"missing: not provided"),EXACT(metadata!R433,"missing: restricted access"))),AND(IF(metadata!R433="",FALSE,ISNUMBER(VALUE(metadata!R433))),metadata!R433&gt;=-90,metadata!R433&lt;=90))</f>
        <v>0</v>
      </c>
      <c r="BD433" t="b">
        <f>AND(IF(metadata!S433="",FALSE,TRUE),EXACT(metadata!S433,"Decimal degrees"))</f>
        <v>0</v>
      </c>
      <c r="BE433" t="b">
        <f>OR(AND(IF(metadata!T433="",FALSE,TRUE),OR(EXACT(metadata!T433,"missing: not collected"),EXACT(metadata!T433,"missing: not provided"),EXACT(metadata!T433,"missing: restricted access"))),AND(IF(metadata!T433="",FALSE,ISNUMBER(VALUE(metadata!T433))),metadata!T433&gt;=-180,metadata!T433&lt;=180))</f>
        <v>0</v>
      </c>
      <c r="BF433" t="b">
        <f>AND(IF(metadata!U433="",FALSE,TRUE),EXACT(metadata!U433,"Decimal degrees"))</f>
        <v>0</v>
      </c>
      <c r="BG433" t="b">
        <f>IF(metadata!V433="",FALSE,TRUE)</f>
        <v>0</v>
      </c>
      <c r="BH433" t="b">
        <f>OR(AND(IF(metadata!W433="",FALSE,TRUE),OR(EXACT(metadata!W433,"missing: not collected"),EXACT(metadata!W433,"missing: not provided"),EXACT(metadata!W433,"missing: restricted access"))),AND(IF(metadata!W433="",FALSE,TRUE),OR(EXACT(metadata!W433,"TRUE"),EXACT(metadata!W433,"FALSE"))))</f>
        <v>0</v>
      </c>
      <c r="BI433" t="b">
        <f>AND(IF(metadata!X433="",FALSE,TRUE),EXACT(metadata!X433,"other"))</f>
        <v>0</v>
      </c>
      <c r="BJ433" t="b">
        <f>IF(metadata!Y433="",FALSE,TRUE)</f>
        <v>0</v>
      </c>
      <c r="BK433" t="b">
        <f>OR(AND(IF(metadata!Z433="",FALSE,TRUE),OR(EXACT(metadata!Z433,"missing: not collected"),EXACT(metadata!Z433,"missing: not provided"))),AND(IF(metadata!Z433="",FALSE,IF(ISERROR(INT(metadata!Z433)),FALSE,INT(metadata!Z433)=metadata!Z433)),metadata!Z433&gt;0))</f>
        <v>0</v>
      </c>
      <c r="BL433" t="b">
        <f>AND(IF(metadata!AA433="",FALSE,TRUE),EXACT(metadata!AA433,"Not applicable"))</f>
        <v>0</v>
      </c>
      <c r="BM433" t="b">
        <f>IF(metadata!AB433="",FALSE,TRUE)</f>
        <v>0</v>
      </c>
    </row>
    <row r="434" spans="1:65" x14ac:dyDescent="0.2">
      <c r="A434" s="5" t="str">
        <f ca="1">IF(B434=" "," ",HYPERLINK(CONCATENATE("#metadata!",ADDRESS(INDEX($AH$2:$AH$1001,MATCH(ROWS($AF$2:AF434),$AF$2:$AF$1001,0),0),1)),INDEX($AK$2:$AK$1001,MATCH(ROWS($AF$2:AF434),$AF$2:$AF$1001,0),0)))</f>
        <v xml:space="preserve"> </v>
      </c>
      <c r="B434" s="4" t="str">
        <f ca="1">IF(OR(INDEX($AG$2:$AG$1001,MATCH(ROWS($AF$2:AF434),$AF$2:$AF$1001,0),1)&gt;=100000,INDEX($AM$1005:$BM$1005,1,MATCH(COLUMNS($AM$1006:AM1006),$AM$1006:$BM$1006,0))&gt;=100000), " ",IF(INDEX($AM$2:$BM$1001,MATCH(ROWS($AF$2:AF434),$AF$2:$AF$1001,0),MATCH(COLUMNS($AM$1006:AM1006),$AM$1006:$BM$1006,0)), HYPERLINK("#",""), HYPERLINK(CONCATENATE("#metadata!", ADDRESS(INDEX($AH$2:$AH$1001,MATCH(ROWS($AF$2:AF434),$AF$2:$AF$1001,0),0), INDEX($AM$1004:$BM$1004,1,MATCH(COLUMNS($AM$1006:AM1006),$AM$1006:$BM$1006,0)))),"Fix")))</f>
        <v xml:space="preserve"> </v>
      </c>
      <c r="C434" s="4" t="str">
        <f ca="1">IF(OR(INDEX($AG$2:$AG$1001,MATCH(ROWS($AF$2:AF434),$AF$2:$AF$1001,0),1)&gt;=100000,INDEX($AM$1005:$BM$1005,1,MATCH(COLUMNS($AM$1006:AN1006),$AM$1006:$BM$1006,0))&gt;=100000), " ",IF(INDEX($AM$2:$BM$1001,MATCH(ROWS($AF$2:AF434),$AF$2:$AF$1001,0),MATCH(COLUMNS($AM$1006:AN1006),$AM$1006:$BM$1006,0)), HYPERLINK("#",""), HYPERLINK(CONCATENATE("#metadata!", ADDRESS(INDEX($AH$2:$AH$1001,MATCH(ROWS($AF$2:AF434),$AF$2:$AF$1001,0),0), INDEX($AM$1004:$BM$1004,1,MATCH(COLUMNS($AM$1006:AN1006),$AM$1006:$BM$1006,0)))),"Fix")))</f>
        <v xml:space="preserve"> </v>
      </c>
      <c r="D434" s="4" t="str">
        <f ca="1">IF(OR(INDEX($AG$2:$AG$1001,MATCH(ROWS($AF$2:AF434),$AF$2:$AF$1001,0),1)&gt;=100000,INDEX($AM$1005:$BM$1005,1,MATCH(COLUMNS($AM$1006:AO1006),$AM$1006:$BM$1006,0))&gt;=100000), " ",IF(INDEX($AM$2:$BM$1001,MATCH(ROWS($AF$2:AF434),$AF$2:$AF$1001,0),MATCH(COLUMNS($AM$1006:AO1006),$AM$1006:$BM$1006,0)), HYPERLINK("#",""), HYPERLINK(CONCATENATE("#metadata!", ADDRESS(INDEX($AH$2:$AH$1001,MATCH(ROWS($AF$2:AF434),$AF$2:$AF$1001,0),0), INDEX($AM$1004:$BM$1004,1,MATCH(COLUMNS($AM$1006:AO1006),$AM$1006:$BM$1006,0)))),"Fix")))</f>
        <v xml:space="preserve"> </v>
      </c>
      <c r="E434" s="4" t="str">
        <f ca="1">IF(OR(INDEX($AG$2:$AG$1001,MATCH(ROWS($AF$2:AF434),$AF$2:$AF$1001,0),1)&gt;=100000,INDEX($AM$1005:$BM$1005,1,MATCH(COLUMNS($AM$1006:AP1006),$AM$1006:$BM$1006,0))&gt;=100000), " ",IF(INDEX($AM$2:$BM$1001,MATCH(ROWS($AF$2:AF434),$AF$2:$AF$1001,0),MATCH(COLUMNS($AM$1006:AP1006),$AM$1006:$BM$1006,0)), HYPERLINK("#",""), HYPERLINK(CONCATENATE("#metadata!", ADDRESS(INDEX($AH$2:$AH$1001,MATCH(ROWS($AF$2:AF434),$AF$2:$AF$1001,0),0), INDEX($AM$1004:$BM$1004,1,MATCH(COLUMNS($AM$1006:AP1006),$AM$1006:$BM$1006,0)))),"Fix")))</f>
        <v xml:space="preserve"> </v>
      </c>
      <c r="F434" s="4" t="str">
        <f ca="1">IF(OR(INDEX($AG$2:$AG$1001,MATCH(ROWS($AF$2:AF434),$AF$2:$AF$1001,0),1)&gt;=100000,INDEX($AM$1005:$BM$1005,1,MATCH(COLUMNS($AM$1006:AQ1006),$AM$1006:$BM$1006,0))&gt;=100000), " ",IF(INDEX($AM$2:$BM$1001,MATCH(ROWS($AF$2:AF434),$AF$2:$AF$1001,0),MATCH(COLUMNS($AM$1006:AQ1006),$AM$1006:$BM$1006,0)), HYPERLINK("#",""), HYPERLINK(CONCATENATE("#metadata!", ADDRESS(INDEX($AH$2:$AH$1001,MATCH(ROWS($AF$2:AF434),$AF$2:$AF$1001,0),0), INDEX($AM$1004:$BM$1004,1,MATCH(COLUMNS($AM$1006:AQ1006),$AM$1006:$BM$1006,0)))),"Fix")))</f>
        <v xml:space="preserve"> </v>
      </c>
      <c r="G434" s="4" t="str">
        <f ca="1">IF(OR(INDEX($AG$2:$AG$1001,MATCH(ROWS($AF$2:AF434),$AF$2:$AF$1001,0),1)&gt;=100000,INDEX($AM$1005:$BM$1005,1,MATCH(COLUMNS($AM$1006:AR1006),$AM$1006:$BM$1006,0))&gt;=100000), " ",IF(INDEX($AM$2:$BM$1001,MATCH(ROWS($AF$2:AF434),$AF$2:$AF$1001,0),MATCH(COLUMNS($AM$1006:AR1006),$AM$1006:$BM$1006,0)), HYPERLINK("#",""), HYPERLINK(CONCATENATE("#metadata!", ADDRESS(INDEX($AH$2:$AH$1001,MATCH(ROWS($AF$2:AF434),$AF$2:$AF$1001,0),0), INDEX($AM$1004:$BM$1004,1,MATCH(COLUMNS($AM$1006:AR1006),$AM$1006:$BM$1006,0)))),"Fix")))</f>
        <v xml:space="preserve"> </v>
      </c>
      <c r="H434" s="4" t="str">
        <f ca="1">IF(OR(INDEX($AG$2:$AG$1001,MATCH(ROWS($AF$2:AF434),$AF$2:$AF$1001,0),1)&gt;=100000,INDEX($AM$1005:$BM$1005,1,MATCH(COLUMNS($AM$1006:AS1006),$AM$1006:$BM$1006,0))&gt;=100000), " ",IF(INDEX($AM$2:$BM$1001,MATCH(ROWS($AF$2:AF434),$AF$2:$AF$1001,0),MATCH(COLUMNS($AM$1006:AS1006),$AM$1006:$BM$1006,0)), HYPERLINK("#",""), HYPERLINK(CONCATENATE("#metadata!", ADDRESS(INDEX($AH$2:$AH$1001,MATCH(ROWS($AF$2:AF434),$AF$2:$AF$1001,0),0), INDEX($AM$1004:$BM$1004,1,MATCH(COLUMNS($AM$1006:AS1006),$AM$1006:$BM$1006,0)))),"Fix")))</f>
        <v xml:space="preserve"> </v>
      </c>
      <c r="I434" s="4" t="str">
        <f ca="1">IF(OR(INDEX($AG$2:$AG$1001,MATCH(ROWS($AF$2:AF434),$AF$2:$AF$1001,0),1)&gt;=100000,INDEX($AM$1005:$BM$1005,1,MATCH(COLUMNS($AM$1006:AT1006),$AM$1006:$BM$1006,0))&gt;=100000), " ",IF(INDEX($AM$2:$BM$1001,MATCH(ROWS($AF$2:AF434),$AF$2:$AF$1001,0),MATCH(COLUMNS($AM$1006:AT1006),$AM$1006:$BM$1006,0)), HYPERLINK("#",""), HYPERLINK(CONCATENATE("#metadata!", ADDRESS(INDEX($AH$2:$AH$1001,MATCH(ROWS($AF$2:AF434),$AF$2:$AF$1001,0),0), INDEX($AM$1004:$BM$1004,1,MATCH(COLUMNS($AM$1006:AT1006),$AM$1006:$BM$1006,0)))),"Fix")))</f>
        <v xml:space="preserve"> </v>
      </c>
      <c r="J434" s="4" t="str">
        <f ca="1">IF(OR(INDEX($AG$2:$AG$1001,MATCH(ROWS($AF$2:AF434),$AF$2:$AF$1001,0),1)&gt;=100000,INDEX($AM$1005:$BM$1005,1,MATCH(COLUMNS($AM$1006:AU1006),$AM$1006:$BM$1006,0))&gt;=100000), " ",IF(INDEX($AM$2:$BM$1001,MATCH(ROWS($AF$2:AF434),$AF$2:$AF$1001,0),MATCH(COLUMNS($AM$1006:AU1006),$AM$1006:$BM$1006,0)), HYPERLINK("#",""), HYPERLINK(CONCATENATE("#metadata!", ADDRESS(INDEX($AH$2:$AH$1001,MATCH(ROWS($AF$2:AF434),$AF$2:$AF$1001,0),0), INDEX($AM$1004:$BM$1004,1,MATCH(COLUMNS($AM$1006:AU1006),$AM$1006:$BM$1006,0)))),"Fix")))</f>
        <v xml:space="preserve"> </v>
      </c>
      <c r="K434" s="4" t="str">
        <f ca="1">IF(OR(INDEX($AG$2:$AG$1001,MATCH(ROWS($AF$2:AF434),$AF$2:$AF$1001,0),1)&gt;=100000,INDEX($AM$1005:$BM$1005,1,MATCH(COLUMNS($AM$1006:AV1006),$AM$1006:$BM$1006,0))&gt;=100000), " ",IF(INDEX($AM$2:$BM$1001,MATCH(ROWS($AF$2:AF434),$AF$2:$AF$1001,0),MATCH(COLUMNS($AM$1006:AV1006),$AM$1006:$BM$1006,0)), HYPERLINK("#",""), HYPERLINK(CONCATENATE("#metadata!", ADDRESS(INDEX($AH$2:$AH$1001,MATCH(ROWS($AF$2:AF434),$AF$2:$AF$1001,0),0), INDEX($AM$1004:$BM$1004,1,MATCH(COLUMNS($AM$1006:AV1006),$AM$1006:$BM$1006,0)))),"Fix")))</f>
        <v xml:space="preserve"> </v>
      </c>
      <c r="L434" s="4" t="str">
        <f ca="1">IF(OR(INDEX($AG$2:$AG$1001,MATCH(ROWS($AF$2:AF434),$AF$2:$AF$1001,0),1)&gt;=100000,INDEX($AM$1005:$BM$1005,1,MATCH(COLUMNS($AM$1006:AW1006),$AM$1006:$BM$1006,0))&gt;=100000), " ",IF(INDEX($AM$2:$BM$1001,MATCH(ROWS($AF$2:AF434),$AF$2:$AF$1001,0),MATCH(COLUMNS($AM$1006:AW1006),$AM$1006:$BM$1006,0)), HYPERLINK("#",""), HYPERLINK(CONCATENATE("#metadata!", ADDRESS(INDEX($AH$2:$AH$1001,MATCH(ROWS($AF$2:AF434),$AF$2:$AF$1001,0),0), INDEX($AM$1004:$BM$1004,1,MATCH(COLUMNS($AM$1006:AW1006),$AM$1006:$BM$1006,0)))),"Fix")))</f>
        <v xml:space="preserve"> </v>
      </c>
      <c r="M434" s="4" t="str">
        <f ca="1">IF(OR(INDEX($AG$2:$AG$1001,MATCH(ROWS($AF$2:AF434),$AF$2:$AF$1001,0),1)&gt;=100000,INDEX($AM$1005:$BM$1005,1,MATCH(COLUMNS($AM$1006:AX1006),$AM$1006:$BM$1006,0))&gt;=100000), " ",IF(INDEX($AM$2:$BM$1001,MATCH(ROWS($AF$2:AF434),$AF$2:$AF$1001,0),MATCH(COLUMNS($AM$1006:AX1006),$AM$1006:$BM$1006,0)), HYPERLINK("#",""), HYPERLINK(CONCATENATE("#metadata!", ADDRESS(INDEX($AH$2:$AH$1001,MATCH(ROWS($AF$2:AF434),$AF$2:$AF$1001,0),0), INDEX($AM$1004:$BM$1004,1,MATCH(COLUMNS($AM$1006:AX1006),$AM$1006:$BM$1006,0)))),"Fix")))</f>
        <v xml:space="preserve"> </v>
      </c>
      <c r="N434" s="4" t="str">
        <f ca="1">IF(OR(INDEX($AG$2:$AG$1001,MATCH(ROWS($AF$2:AF434),$AF$2:$AF$1001,0),1)&gt;=100000,INDEX($AM$1005:$BM$1005,1,MATCH(COLUMNS($AM$1006:AY1006),$AM$1006:$BM$1006,0))&gt;=100000), " ",IF(INDEX($AM$2:$BM$1001,MATCH(ROWS($AF$2:AF434),$AF$2:$AF$1001,0),MATCH(COLUMNS($AM$1006:AY1006),$AM$1006:$BM$1006,0)), HYPERLINK("#",""), HYPERLINK(CONCATENATE("#metadata!", ADDRESS(INDEX($AH$2:$AH$1001,MATCH(ROWS($AF$2:AF434),$AF$2:$AF$1001,0),0), INDEX($AM$1004:$BM$1004,1,MATCH(COLUMNS($AM$1006:AY1006),$AM$1006:$BM$1006,0)))),"Fix")))</f>
        <v xml:space="preserve"> </v>
      </c>
      <c r="O434" s="4" t="str">
        <f ca="1">IF(OR(INDEX($AG$2:$AG$1001,MATCH(ROWS($AF$2:AF434),$AF$2:$AF$1001,0),1)&gt;=100000,INDEX($AM$1005:$BM$1005,1,MATCH(COLUMNS($AM$1006:AZ1006),$AM$1006:$BM$1006,0))&gt;=100000), " ",IF(INDEX($AM$2:$BM$1001,MATCH(ROWS($AF$2:AF434),$AF$2:$AF$1001,0),MATCH(COLUMNS($AM$1006:AZ1006),$AM$1006:$BM$1006,0)), HYPERLINK("#",""), HYPERLINK(CONCATENATE("#metadata!", ADDRESS(INDEX($AH$2:$AH$1001,MATCH(ROWS($AF$2:AF434),$AF$2:$AF$1001,0),0), INDEX($AM$1004:$BM$1004,1,MATCH(COLUMNS($AM$1006:AZ1006),$AM$1006:$BM$1006,0)))),"Fix")))</f>
        <v xml:space="preserve"> </v>
      </c>
      <c r="P434" s="4" t="str">
        <f ca="1">IF(OR(INDEX($AG$2:$AG$1001,MATCH(ROWS($AF$2:AF434),$AF$2:$AF$1001,0),1)&gt;=100000,INDEX($AM$1005:$BM$1005,1,MATCH(COLUMNS($AM$1006:BA1006),$AM$1006:$BM$1006,0))&gt;=100000), " ",IF(INDEX($AM$2:$BM$1001,MATCH(ROWS($AF$2:AF434),$AF$2:$AF$1001,0),MATCH(COLUMNS($AM$1006:BA1006),$AM$1006:$BM$1006,0)), HYPERLINK("#",""), HYPERLINK(CONCATENATE("#metadata!", ADDRESS(INDEX($AH$2:$AH$1001,MATCH(ROWS($AF$2:AF434),$AF$2:$AF$1001,0),0), INDEX($AM$1004:$BM$1004,1,MATCH(COLUMNS($AM$1006:BA1006),$AM$1006:$BM$1006,0)))),"Fix")))</f>
        <v xml:space="preserve"> </v>
      </c>
      <c r="Q434" s="4" t="str">
        <f ca="1">IF(OR(INDEX($AG$2:$AG$1001,MATCH(ROWS($AF$2:AF434),$AF$2:$AF$1001,0),1)&gt;=100000,INDEX($AM$1005:$BM$1005,1,MATCH(COLUMNS($AM$1006:BB1006),$AM$1006:$BM$1006,0))&gt;=100000), " ",IF(INDEX($AM$2:$BM$1001,MATCH(ROWS($AF$2:AF434),$AF$2:$AF$1001,0),MATCH(COLUMNS($AM$1006:BB1006),$AM$1006:$BM$1006,0)), HYPERLINK("#",""), HYPERLINK(CONCATENATE("#metadata!", ADDRESS(INDEX($AH$2:$AH$1001,MATCH(ROWS($AF$2:AF434),$AF$2:$AF$1001,0),0), INDEX($AM$1004:$BM$1004,1,MATCH(COLUMNS($AM$1006:BB1006),$AM$1006:$BM$1006,0)))),"Fix")))</f>
        <v xml:space="preserve"> </v>
      </c>
      <c r="R434" s="4" t="str">
        <f ca="1">IF(OR(INDEX($AG$2:$AG$1001,MATCH(ROWS($AF$2:AF434),$AF$2:$AF$1001,0),1)&gt;=100000,INDEX($AM$1005:$BM$1005,1,MATCH(COLUMNS($AM$1006:BC1006),$AM$1006:$BM$1006,0))&gt;=100000), " ",IF(INDEX($AM$2:$BM$1001,MATCH(ROWS($AF$2:AF434),$AF$2:$AF$1001,0),MATCH(COLUMNS($AM$1006:BC1006),$AM$1006:$BM$1006,0)), HYPERLINK("#",""), HYPERLINK(CONCATENATE("#metadata!", ADDRESS(INDEX($AH$2:$AH$1001,MATCH(ROWS($AF$2:AF434),$AF$2:$AF$1001,0),0), INDEX($AM$1004:$BM$1004,1,MATCH(COLUMNS($AM$1006:BC1006),$AM$1006:$BM$1006,0)))),"Fix")))</f>
        <v xml:space="preserve"> </v>
      </c>
      <c r="S434" s="4" t="str">
        <f ca="1">IF(OR(INDEX($AG$2:$AG$1001,MATCH(ROWS($AF$2:AF434),$AF$2:$AF$1001,0),1)&gt;=100000,INDEX($AM$1005:$BM$1005,1,MATCH(COLUMNS($AM$1006:BD1006),$AM$1006:$BM$1006,0))&gt;=100000), " ",IF(INDEX($AM$2:$BM$1001,MATCH(ROWS($AF$2:AF434),$AF$2:$AF$1001,0),MATCH(COLUMNS($AM$1006:BD1006),$AM$1006:$BM$1006,0)), HYPERLINK("#",""), HYPERLINK(CONCATENATE("#metadata!", ADDRESS(INDEX($AH$2:$AH$1001,MATCH(ROWS($AF$2:AF434),$AF$2:$AF$1001,0),0), INDEX($AM$1004:$BM$1004,1,MATCH(COLUMNS($AM$1006:BD1006),$AM$1006:$BM$1006,0)))),"Fix")))</f>
        <v xml:space="preserve"> </v>
      </c>
      <c r="T434" s="4" t="str">
        <f ca="1">IF(OR(INDEX($AG$2:$AG$1001,MATCH(ROWS($AF$2:AF434),$AF$2:$AF$1001,0),1)&gt;=100000,INDEX($AM$1005:$BM$1005,1,MATCH(COLUMNS($AM$1006:BE1006),$AM$1006:$BM$1006,0))&gt;=100000), " ",IF(INDEX($AM$2:$BM$1001,MATCH(ROWS($AF$2:AF434),$AF$2:$AF$1001,0),MATCH(COLUMNS($AM$1006:BE1006),$AM$1006:$BM$1006,0)), HYPERLINK("#",""), HYPERLINK(CONCATENATE("#metadata!", ADDRESS(INDEX($AH$2:$AH$1001,MATCH(ROWS($AF$2:AF434),$AF$2:$AF$1001,0),0), INDEX($AM$1004:$BM$1004,1,MATCH(COLUMNS($AM$1006:BE1006),$AM$1006:$BM$1006,0)))),"Fix")))</f>
        <v xml:space="preserve"> </v>
      </c>
      <c r="U434" s="4" t="str">
        <f ca="1">IF(OR(INDEX($AG$2:$AG$1001,MATCH(ROWS($AF$2:AF434),$AF$2:$AF$1001,0),1)&gt;=100000,INDEX($AM$1005:$BM$1005,1,MATCH(COLUMNS($AM$1006:BF1006),$AM$1006:$BM$1006,0))&gt;=100000), " ",IF(INDEX($AM$2:$BM$1001,MATCH(ROWS($AF$2:AF434),$AF$2:$AF$1001,0),MATCH(COLUMNS($AM$1006:BF1006),$AM$1006:$BM$1006,0)), HYPERLINK("#",""), HYPERLINK(CONCATENATE("#metadata!", ADDRESS(INDEX($AH$2:$AH$1001,MATCH(ROWS($AF$2:AF434),$AF$2:$AF$1001,0),0), INDEX($AM$1004:$BM$1004,1,MATCH(COLUMNS($AM$1006:BF1006),$AM$1006:$BM$1006,0)))),"Fix")))</f>
        <v xml:space="preserve"> </v>
      </c>
      <c r="V434" s="4" t="str">
        <f ca="1">IF(OR(INDEX($AG$2:$AG$1001,MATCH(ROWS($AF$2:AF434),$AF$2:$AF$1001,0),1)&gt;=100000,INDEX($AM$1005:$BM$1005,1,MATCH(COLUMNS($AM$1006:BG1006),$AM$1006:$BM$1006,0))&gt;=100000), " ",IF(INDEX($AM$2:$BM$1001,MATCH(ROWS($AF$2:AF434),$AF$2:$AF$1001,0),MATCH(COLUMNS($AM$1006:BG1006),$AM$1006:$BM$1006,0)), HYPERLINK("#",""), HYPERLINK(CONCATENATE("#metadata!", ADDRESS(INDEX($AH$2:$AH$1001,MATCH(ROWS($AF$2:AF434),$AF$2:$AF$1001,0),0), INDEX($AM$1004:$BM$1004,1,MATCH(COLUMNS($AM$1006:BG1006),$AM$1006:$BM$1006,0)))),"Fix")))</f>
        <v xml:space="preserve"> </v>
      </c>
      <c r="W434" s="4" t="str">
        <f ca="1">IF(OR(INDEX($AG$2:$AG$1001,MATCH(ROWS($AF$2:AF434),$AF$2:$AF$1001,0),1)&gt;=100000,INDEX($AM$1005:$BM$1005,1,MATCH(COLUMNS($AM$1006:BH1006),$AM$1006:$BM$1006,0))&gt;=100000), " ",IF(INDEX($AM$2:$BM$1001,MATCH(ROWS($AF$2:AF434),$AF$2:$AF$1001,0),MATCH(COLUMNS($AM$1006:BH1006),$AM$1006:$BM$1006,0)), HYPERLINK("#",""), HYPERLINK(CONCATENATE("#metadata!", ADDRESS(INDEX($AH$2:$AH$1001,MATCH(ROWS($AF$2:AF434),$AF$2:$AF$1001,0),0), INDEX($AM$1004:$BM$1004,1,MATCH(COLUMNS($AM$1006:BH1006),$AM$1006:$BM$1006,0)))),"Fix")))</f>
        <v xml:space="preserve"> </v>
      </c>
      <c r="X434" s="4" t="str">
        <f ca="1">IF(OR(INDEX($AG$2:$AG$1001,MATCH(ROWS($AF$2:AF434),$AF$2:$AF$1001,0),1)&gt;=100000,INDEX($AM$1005:$BM$1005,1,MATCH(COLUMNS($AM$1006:BI1006),$AM$1006:$BM$1006,0))&gt;=100000), " ",IF(INDEX($AM$2:$BM$1001,MATCH(ROWS($AF$2:AF434),$AF$2:$AF$1001,0),MATCH(COLUMNS($AM$1006:BI1006),$AM$1006:$BM$1006,0)), HYPERLINK("#",""), HYPERLINK(CONCATENATE("#metadata!", ADDRESS(INDEX($AH$2:$AH$1001,MATCH(ROWS($AF$2:AF434),$AF$2:$AF$1001,0),0), INDEX($AM$1004:$BM$1004,1,MATCH(COLUMNS($AM$1006:BI1006),$AM$1006:$BM$1006,0)))),"Fix")))</f>
        <v xml:space="preserve"> </v>
      </c>
      <c r="Y434" s="4" t="str">
        <f ca="1">IF(OR(INDEX($AG$2:$AG$1001,MATCH(ROWS($AF$2:AF434),$AF$2:$AF$1001,0),1)&gt;=100000,INDEX($AM$1005:$BM$1005,1,MATCH(COLUMNS($AM$1006:BJ1006),$AM$1006:$BM$1006,0))&gt;=100000), " ",IF(INDEX($AM$2:$BM$1001,MATCH(ROWS($AF$2:AF434),$AF$2:$AF$1001,0),MATCH(COLUMNS($AM$1006:BJ1006),$AM$1006:$BM$1006,0)), HYPERLINK("#",""), HYPERLINK(CONCATENATE("#metadata!", ADDRESS(INDEX($AH$2:$AH$1001,MATCH(ROWS($AF$2:AF434),$AF$2:$AF$1001,0),0), INDEX($AM$1004:$BM$1004,1,MATCH(COLUMNS($AM$1006:BJ1006),$AM$1006:$BM$1006,0)))),"Fix")))</f>
        <v xml:space="preserve"> </v>
      </c>
      <c r="Z434" s="4" t="str">
        <f ca="1">IF(OR(INDEX($AG$2:$AG$1001,MATCH(ROWS($AF$2:AF434),$AF$2:$AF$1001,0),1)&gt;=100000,INDEX($AM$1005:$BM$1005,1,MATCH(COLUMNS($AM$1006:BK1006),$AM$1006:$BM$1006,0))&gt;=100000), " ",IF(INDEX($AM$2:$BM$1001,MATCH(ROWS($AF$2:AF434),$AF$2:$AF$1001,0),MATCH(COLUMNS($AM$1006:BK1006),$AM$1006:$BM$1006,0)), HYPERLINK("#",""), HYPERLINK(CONCATENATE("#metadata!", ADDRESS(INDEX($AH$2:$AH$1001,MATCH(ROWS($AF$2:AF434),$AF$2:$AF$1001,0),0), INDEX($AM$1004:$BM$1004,1,MATCH(COLUMNS($AM$1006:BK1006),$AM$1006:$BM$1006,0)))),"Fix")))</f>
        <v xml:space="preserve"> </v>
      </c>
      <c r="AA434" s="4" t="str">
        <f ca="1">IF(OR(INDEX($AG$2:$AG$1001,MATCH(ROWS($AF$2:AF434),$AF$2:$AF$1001,0),1)&gt;=100000,INDEX($AM$1005:$BM$1005,1,MATCH(COLUMNS($AM$1006:BL1006),$AM$1006:$BM$1006,0))&gt;=100000), " ",IF(INDEX($AM$2:$BM$1001,MATCH(ROWS($AF$2:AF434),$AF$2:$AF$1001,0),MATCH(COLUMNS($AM$1006:BL1006),$AM$1006:$BM$1006,0)), HYPERLINK("#",""), HYPERLINK(CONCATENATE("#metadata!", ADDRESS(INDEX($AH$2:$AH$1001,MATCH(ROWS($AF$2:AF434),$AF$2:$AF$1001,0),0), INDEX($AM$1004:$BM$1004,1,MATCH(COLUMNS($AM$1006:BL1006),$AM$1006:$BM$1006,0)))),"Fix")))</f>
        <v xml:space="preserve"> </v>
      </c>
      <c r="AB434" s="4" t="str">
        <f ca="1">IF(OR(INDEX($AG$2:$AG$1001,MATCH(ROWS($AF$2:AF434),$AF$2:$AF$1001,0),1)&gt;=100000,INDEX($AM$1005:$BM$1005,1,MATCH(COLUMNS($AM$1006:BM1006),$AM$1006:$BM$1006,0))&gt;=100000), " ",IF(INDEX($AM$2:$BM$1001,MATCH(ROWS($AF$2:AF434),$AF$2:$AF$1001,0),MATCH(COLUMNS($AM$1006:BM1006),$AM$1006:$BM$1006,0)), HYPERLINK("#",""), HYPERLINK(CONCATENATE("#metadata!", ADDRESS(INDEX($AH$2:$AH$1001,MATCH(ROWS($AF$2:AF434),$AF$2:$AF$1001,0),0), INDEX($AM$1004:$BM$1004,1,MATCH(COLUMNS($AM$1006:BM1006),$AM$1006:$BM$1006,0)))),"Fix")))</f>
        <v xml:space="preserve"> </v>
      </c>
      <c r="AF434">
        <v>433</v>
      </c>
      <c r="AG434">
        <v>100434</v>
      </c>
      <c r="AH434">
        <v>434</v>
      </c>
      <c r="AI434" t="b">
        <f t="shared" si="6"/>
        <v>1</v>
      </c>
      <c r="AJ434" t="b">
        <f>COUNTBLANK(metadata!B434:AB434)=COLUMNS(metadata!B434:AB434)</f>
        <v>1</v>
      </c>
      <c r="AK434" t="str">
        <v/>
      </c>
      <c r="AM434" t="b">
        <f ca="1">AND(IF(metadata!B434="",FALSE,TRUE),COUNTIF(metadata!B:B, metadata!B434) = 1,NOT(ISERROR(SUMPRODUCT(SEARCH(MID(metadata!B434,ROW(INDIRECT("1:"&amp;LEN(metadata!B434))), 1),"0123456789abcdefghijklmnopqrstuvwxyzABCDEFGHIJKLMNOPQRSTUVWXYZ.")))))</f>
        <v>0</v>
      </c>
      <c r="AN434" t="b">
        <f ca="1">OR(AND(IF(metadata!C434="",FALSE,TRUE),OR(EXACT(metadata!C434,"missing: not collected"),EXACT(metadata!C434,"missing: not provided"),EXACT(metadata!C434,"missing: restricted access"))),AND(IF(metadata!C434="",FALSE,TRUE),AND(AND(IFERROR(INT(LEFT(metadata!C434,4))&gt;1900,FALSE),IFERROR(INT(LEFT(metadata!C434,4))&lt;=YEAR(NOW()),FALSE)), OR(MID(metadata!C434,5,1)="", AND(AND(MID(metadata!C434,5,1)="-",IFERROR(INT(MID(metadata!C434,6,1))&gt;=0,FALSE),IFERROR(INT(MID(metadata!C434,6,1))&lt;=1,FALSE),NOT(MID(metadata!C434,7,1)=""),IFERROR(INT(MID(metadata!C434,6,2))&gt;=1,FALSE),IFERROR(INT(MID(metadata!C434,6,2))&lt;=12,FALSE)), OR(MID(metadata!C434,8,1)="", AND(AND(MID(metadata!C434,8,1)="-",IFERROR(INT(MID(metadata!C434,9,1))&gt;=0,FALSE),IFERROR(INT(MID(metadata!C434,9,1))&lt;=3,FALSE),NOT(MID(metadata!C434,10,1)=""),IFERROR(INT(MID(metadata!C434,9,2))&gt;=1,FALSE),IFERROR(INT(MID(metadata!C434,9,2))&lt;=31,FALSE)), OR(MID(metadata!C434,11,1)="", AND(AND(MID(metadata!C434,11,1)=" ",IFERROR(INT(MID(metadata!C434,12,1))&gt;=0,FALSE),IFERROR(INT(MID(metadata!C434,12,1))&lt;=2,FALSE),NOT(MID(metadata!C434,13,1)=""),IFERROR(INT(MID(metadata!C434,12,2))&gt;=0,FALSE),IFERROR(INT(MID(metadata!C434,12,2))&lt;=23,FALSE)), OR(MID(metadata!C434,14,1)="", AND(AND(MID(metadata!C434,14,1)=":",IFERROR(INT(MID(metadata!C434,15,1))&gt;=0,FALSE),IFERROR(INT(MID(metadata!C434,15,1))&lt;=5,FALSE),NOT(MID(metadata!C434,16,1)=""),IFERROR(INT(MID(metadata!C434,15,2))&gt;=0,FALSE),IFERROR(INT(MID(metadata!C434,15,2))&lt;=59,FALSE)), OR(MID(metadata!C434,17,1)="", AND(AND(MID(metadata!C434,17,1)=":",IFERROR(INT(MID(metadata!C434,18,1))&gt;=0,FALSE),IFERROR(INT(MID(metadata!C434,18,1))&lt;=5,FALSE),NOT(MID(metadata!C434,19,1)=""),IFERROR(INT(MID(metadata!C434,18,2))&gt;=0,FALSE),IFERROR(INT(MID(metadata!C434,18,2))&lt;=59,FALSE)), LEN(metadata!C434)&lt;=19)))))))))))))</f>
        <v>0</v>
      </c>
      <c r="AO434" t="b">
        <f>AND(IF(metadata!D434="",FALSE,TRUE),EXACT(metadata!D434,"Not applicable"))</f>
        <v>0</v>
      </c>
      <c r="AP434" t="b">
        <f>IF(metadata!E434="",FALSE,TRUE)</f>
        <v>0</v>
      </c>
      <c r="AQ434" t="b">
        <f>OR(AND(IF(metadata!F434="",FALSE,TRUE),OR(EXACT(metadata!F434,"missing: not collected"),EXACT(metadata!F434,"missing: not provided"))),AND(IF(metadata!F434="",FALSE,TRUE),OR(EXACT(metadata!F434,"TRUE"),EXACT(metadata!F434,"FALSE"))))</f>
        <v>0</v>
      </c>
      <c r="AR434" t="b">
        <f>OR(AND(IF(metadata!G434="",FALSE,TRUE),OR(EXACT(metadata!G434,"missing: not collected"),EXACT(metadata!G434,"missing: not provided"),EXACT(metadata!G434,"missing: restricted access"))),AND(IF(metadata!G434="",FALSE,ISNUMBER(VALUE(metadata!G434))),metadata!G434&gt;=-413))</f>
        <v>0</v>
      </c>
      <c r="AS434" t="b">
        <f>AND(IF(metadata!H434="",FALSE,TRUE),EXACT(metadata!H434,"meters"))</f>
        <v>0</v>
      </c>
      <c r="AT434" t="b">
        <f>AND(IF(metadata!I434="",FALSE,TRUE),OR(EXACT(metadata!I434,"Host-associated"),EXACT(metadata!I434,"Free-living")))</f>
        <v>0</v>
      </c>
      <c r="AU434" t="b">
        <f>AND(IF(metadata!J434="",FALSE,TRUE),OR(EXACT(metadata!J434,"Animal"),EXACT(metadata!J434,"Fungus"),EXACT(metadata!J434,"Plant"),EXACT(metadata!J434,"Saline"),EXACT(metadata!J434,"Non-saline")))</f>
        <v>0</v>
      </c>
      <c r="AV434" t="b">
        <f>AND(IF(metadata!K434="",FALSE,TRUE),OR(EXACT(metadata!K434,"Plant secretion"),EXACT(metadata!K434,"Plant rhizosphere"),EXACT(metadata!K434,"Plant surface"),EXACT(metadata!K434,"Plant corpus"),EXACT(metadata!K434,"Fungus surface"),EXACT(metadata!K434,"Fungus corpus"),EXACT(metadata!K434,"Animal surface"),EXACT(metadata!K434,"Animal proximal gut"),EXACT(metadata!K434,"Animal corpus"),EXACT(metadata!K434,"Animal distal gut"),EXACT(metadata!K434,"Animal secretion"),EXACT(metadata!K434,"Sub-surface (non-saline)"),EXACT(metadata!K434,"Surface (non-saline)"),EXACT(metadata!K434,"Water (non-saline)"),EXACT(metadata!K434,"Soil (non-saline)"),EXACT(metadata!K434,"Aerosol (non-saline)"),EXACT(metadata!K434,"Sediment (non-saline)"),EXACT(metadata!K434,"Surface (saline)"),EXACT(metadata!K434,"Water (saline)"),EXACT(metadata!K434,"Hypersaline (saline)"),EXACT(metadata!K434,"Aerosol (saline)"),EXACT(metadata!K434,"Sediment (saline)")))</f>
        <v>0</v>
      </c>
      <c r="AW434" t="b">
        <f>IF(metadata!L434="",FALSE,TRUE)</f>
        <v>0</v>
      </c>
      <c r="AX434" t="b">
        <f>IF(metadata!M434="",FALSE,TRUE)</f>
        <v>0</v>
      </c>
      <c r="AY434" t="b">
        <f>IF(metadata!N434="",FALSE,TRUE)</f>
        <v>0</v>
      </c>
      <c r="AZ434" t="b">
        <f>OR(AND(IF(metadata!O434="",FALSE,TRUE),OR(EXACT(metadata!O434,"missing: not collected"),EXACT(metadata!O434,"missing: not provided"),EXACT(metadata!O434,"missing: restricted access"))),AND(IF(metadata!O434="",FALSE,TRUE),OR(EXACT(metadata!O434,"air"),EXACT(metadata!O434,"built environment"),EXACT(metadata!O434,"host-associated"),EXACT(metadata!O434,"human-associated"),EXACT(metadata!O434,"human-skin"),EXACT(metadata!O434,"human-oral"),EXACT(metadata!O434,"human-gut"),EXACT(metadata!O434,"human-vaginal"),EXACT(metadata!O434,"microbial mat/biofilm"),EXACT(metadata!O434,"misc environment"),EXACT(metadata!O434,"plant-associated"),EXACT(metadata!O434,"sediment"),EXACT(metadata!O434,"soil"),EXACT(metadata!O434,"wastewater/sludge"),EXACT(metadata!O434,"water"))))</f>
        <v>0</v>
      </c>
      <c r="BA434" t="b">
        <f>IF(metadata!P434="",FALSE,TRUE)</f>
        <v>0</v>
      </c>
      <c r="BB434" t="b">
        <f>IF(metadata!Q434="",FALSE,TRUE)</f>
        <v>0</v>
      </c>
      <c r="BC434" t="b">
        <f>OR(AND(IF(metadata!R434="",FALSE,TRUE),OR(EXACT(metadata!R434,"missing: not collected"),EXACT(metadata!R434,"missing: not provided"),EXACT(metadata!R434,"missing: restricted access"))),AND(IF(metadata!R434="",FALSE,ISNUMBER(VALUE(metadata!R434))),metadata!R434&gt;=-90,metadata!R434&lt;=90))</f>
        <v>0</v>
      </c>
      <c r="BD434" t="b">
        <f>AND(IF(metadata!S434="",FALSE,TRUE),EXACT(metadata!S434,"Decimal degrees"))</f>
        <v>0</v>
      </c>
      <c r="BE434" t="b">
        <f>OR(AND(IF(metadata!T434="",FALSE,TRUE),OR(EXACT(metadata!T434,"missing: not collected"),EXACT(metadata!T434,"missing: not provided"),EXACT(metadata!T434,"missing: restricted access"))),AND(IF(metadata!T434="",FALSE,ISNUMBER(VALUE(metadata!T434))),metadata!T434&gt;=-180,metadata!T434&lt;=180))</f>
        <v>0</v>
      </c>
      <c r="BF434" t="b">
        <f>AND(IF(metadata!U434="",FALSE,TRUE),EXACT(metadata!U434,"Decimal degrees"))</f>
        <v>0</v>
      </c>
      <c r="BG434" t="b">
        <f>IF(metadata!V434="",FALSE,TRUE)</f>
        <v>0</v>
      </c>
      <c r="BH434" t="b">
        <f>OR(AND(IF(metadata!W434="",FALSE,TRUE),OR(EXACT(metadata!W434,"missing: not collected"),EXACT(metadata!W434,"missing: not provided"),EXACT(metadata!W434,"missing: restricted access"))),AND(IF(metadata!W434="",FALSE,TRUE),OR(EXACT(metadata!W434,"TRUE"),EXACT(metadata!W434,"FALSE"))))</f>
        <v>0</v>
      </c>
      <c r="BI434" t="b">
        <f>AND(IF(metadata!X434="",FALSE,TRUE),EXACT(metadata!X434,"other"))</f>
        <v>0</v>
      </c>
      <c r="BJ434" t="b">
        <f>IF(metadata!Y434="",FALSE,TRUE)</f>
        <v>0</v>
      </c>
      <c r="BK434" t="b">
        <f>OR(AND(IF(metadata!Z434="",FALSE,TRUE),OR(EXACT(metadata!Z434,"missing: not collected"),EXACT(metadata!Z434,"missing: not provided"))),AND(IF(metadata!Z434="",FALSE,IF(ISERROR(INT(metadata!Z434)),FALSE,INT(metadata!Z434)=metadata!Z434)),metadata!Z434&gt;0))</f>
        <v>0</v>
      </c>
      <c r="BL434" t="b">
        <f>AND(IF(metadata!AA434="",FALSE,TRUE),EXACT(metadata!AA434,"Not applicable"))</f>
        <v>0</v>
      </c>
      <c r="BM434" t="b">
        <f>IF(metadata!AB434="",FALSE,TRUE)</f>
        <v>0</v>
      </c>
    </row>
    <row r="435" spans="1:65" x14ac:dyDescent="0.2">
      <c r="A435" s="5" t="str">
        <f ca="1">IF(B435=" "," ",HYPERLINK(CONCATENATE("#metadata!",ADDRESS(INDEX($AH$2:$AH$1001,MATCH(ROWS($AF$2:AF435),$AF$2:$AF$1001,0),0),1)),INDEX($AK$2:$AK$1001,MATCH(ROWS($AF$2:AF435),$AF$2:$AF$1001,0),0)))</f>
        <v xml:space="preserve"> </v>
      </c>
      <c r="B435" s="4" t="str">
        <f ca="1">IF(OR(INDEX($AG$2:$AG$1001,MATCH(ROWS($AF$2:AF435),$AF$2:$AF$1001,0),1)&gt;=100000,INDEX($AM$1005:$BM$1005,1,MATCH(COLUMNS($AM$1006:AM1006),$AM$1006:$BM$1006,0))&gt;=100000), " ",IF(INDEX($AM$2:$BM$1001,MATCH(ROWS($AF$2:AF435),$AF$2:$AF$1001,0),MATCH(COLUMNS($AM$1006:AM1006),$AM$1006:$BM$1006,0)), HYPERLINK("#",""), HYPERLINK(CONCATENATE("#metadata!", ADDRESS(INDEX($AH$2:$AH$1001,MATCH(ROWS($AF$2:AF435),$AF$2:$AF$1001,0),0), INDEX($AM$1004:$BM$1004,1,MATCH(COLUMNS($AM$1006:AM1006),$AM$1006:$BM$1006,0)))),"Fix")))</f>
        <v xml:space="preserve"> </v>
      </c>
      <c r="C435" s="4" t="str">
        <f ca="1">IF(OR(INDEX($AG$2:$AG$1001,MATCH(ROWS($AF$2:AF435),$AF$2:$AF$1001,0),1)&gt;=100000,INDEX($AM$1005:$BM$1005,1,MATCH(COLUMNS($AM$1006:AN1006),$AM$1006:$BM$1006,0))&gt;=100000), " ",IF(INDEX($AM$2:$BM$1001,MATCH(ROWS($AF$2:AF435),$AF$2:$AF$1001,0),MATCH(COLUMNS($AM$1006:AN1006),$AM$1006:$BM$1006,0)), HYPERLINK("#",""), HYPERLINK(CONCATENATE("#metadata!", ADDRESS(INDEX($AH$2:$AH$1001,MATCH(ROWS($AF$2:AF435),$AF$2:$AF$1001,0),0), INDEX($AM$1004:$BM$1004,1,MATCH(COLUMNS($AM$1006:AN1006),$AM$1006:$BM$1006,0)))),"Fix")))</f>
        <v xml:space="preserve"> </v>
      </c>
      <c r="D435" s="4" t="str">
        <f ca="1">IF(OR(INDEX($AG$2:$AG$1001,MATCH(ROWS($AF$2:AF435),$AF$2:$AF$1001,0),1)&gt;=100000,INDEX($AM$1005:$BM$1005,1,MATCH(COLUMNS($AM$1006:AO1006),$AM$1006:$BM$1006,0))&gt;=100000), " ",IF(INDEX($AM$2:$BM$1001,MATCH(ROWS($AF$2:AF435),$AF$2:$AF$1001,0),MATCH(COLUMNS($AM$1006:AO1006),$AM$1006:$BM$1006,0)), HYPERLINK("#",""), HYPERLINK(CONCATENATE("#metadata!", ADDRESS(INDEX($AH$2:$AH$1001,MATCH(ROWS($AF$2:AF435),$AF$2:$AF$1001,0),0), INDEX($AM$1004:$BM$1004,1,MATCH(COLUMNS($AM$1006:AO1006),$AM$1006:$BM$1006,0)))),"Fix")))</f>
        <v xml:space="preserve"> </v>
      </c>
      <c r="E435" s="4" t="str">
        <f ca="1">IF(OR(INDEX($AG$2:$AG$1001,MATCH(ROWS($AF$2:AF435),$AF$2:$AF$1001,0),1)&gt;=100000,INDEX($AM$1005:$BM$1005,1,MATCH(COLUMNS($AM$1006:AP1006),$AM$1006:$BM$1006,0))&gt;=100000), " ",IF(INDEX($AM$2:$BM$1001,MATCH(ROWS($AF$2:AF435),$AF$2:$AF$1001,0),MATCH(COLUMNS($AM$1006:AP1006),$AM$1006:$BM$1006,0)), HYPERLINK("#",""), HYPERLINK(CONCATENATE("#metadata!", ADDRESS(INDEX($AH$2:$AH$1001,MATCH(ROWS($AF$2:AF435),$AF$2:$AF$1001,0),0), INDEX($AM$1004:$BM$1004,1,MATCH(COLUMNS($AM$1006:AP1006),$AM$1006:$BM$1006,0)))),"Fix")))</f>
        <v xml:space="preserve"> </v>
      </c>
      <c r="F435" s="4" t="str">
        <f ca="1">IF(OR(INDEX($AG$2:$AG$1001,MATCH(ROWS($AF$2:AF435),$AF$2:$AF$1001,0),1)&gt;=100000,INDEX($AM$1005:$BM$1005,1,MATCH(COLUMNS($AM$1006:AQ1006),$AM$1006:$BM$1006,0))&gt;=100000), " ",IF(INDEX($AM$2:$BM$1001,MATCH(ROWS($AF$2:AF435),$AF$2:$AF$1001,0),MATCH(COLUMNS($AM$1006:AQ1006),$AM$1006:$BM$1006,0)), HYPERLINK("#",""), HYPERLINK(CONCATENATE("#metadata!", ADDRESS(INDEX($AH$2:$AH$1001,MATCH(ROWS($AF$2:AF435),$AF$2:$AF$1001,0),0), INDEX($AM$1004:$BM$1004,1,MATCH(COLUMNS($AM$1006:AQ1006),$AM$1006:$BM$1006,0)))),"Fix")))</f>
        <v xml:space="preserve"> </v>
      </c>
      <c r="G435" s="4" t="str">
        <f ca="1">IF(OR(INDEX($AG$2:$AG$1001,MATCH(ROWS($AF$2:AF435),$AF$2:$AF$1001,0),1)&gt;=100000,INDEX($AM$1005:$BM$1005,1,MATCH(COLUMNS($AM$1006:AR1006),$AM$1006:$BM$1006,0))&gt;=100000), " ",IF(INDEX($AM$2:$BM$1001,MATCH(ROWS($AF$2:AF435),$AF$2:$AF$1001,0),MATCH(COLUMNS($AM$1006:AR1006),$AM$1006:$BM$1006,0)), HYPERLINK("#",""), HYPERLINK(CONCATENATE("#metadata!", ADDRESS(INDEX($AH$2:$AH$1001,MATCH(ROWS($AF$2:AF435),$AF$2:$AF$1001,0),0), INDEX($AM$1004:$BM$1004,1,MATCH(COLUMNS($AM$1006:AR1006),$AM$1006:$BM$1006,0)))),"Fix")))</f>
        <v xml:space="preserve"> </v>
      </c>
      <c r="H435" s="4" t="str">
        <f ca="1">IF(OR(INDEX($AG$2:$AG$1001,MATCH(ROWS($AF$2:AF435),$AF$2:$AF$1001,0),1)&gt;=100000,INDEX($AM$1005:$BM$1005,1,MATCH(COLUMNS($AM$1006:AS1006),$AM$1006:$BM$1006,0))&gt;=100000), " ",IF(INDEX($AM$2:$BM$1001,MATCH(ROWS($AF$2:AF435),$AF$2:$AF$1001,0),MATCH(COLUMNS($AM$1006:AS1006),$AM$1006:$BM$1006,0)), HYPERLINK("#",""), HYPERLINK(CONCATENATE("#metadata!", ADDRESS(INDEX($AH$2:$AH$1001,MATCH(ROWS($AF$2:AF435),$AF$2:$AF$1001,0),0), INDEX($AM$1004:$BM$1004,1,MATCH(COLUMNS($AM$1006:AS1006),$AM$1006:$BM$1006,0)))),"Fix")))</f>
        <v xml:space="preserve"> </v>
      </c>
      <c r="I435" s="4" t="str">
        <f ca="1">IF(OR(INDEX($AG$2:$AG$1001,MATCH(ROWS($AF$2:AF435),$AF$2:$AF$1001,0),1)&gt;=100000,INDEX($AM$1005:$BM$1005,1,MATCH(COLUMNS($AM$1006:AT1006),$AM$1006:$BM$1006,0))&gt;=100000), " ",IF(INDEX($AM$2:$BM$1001,MATCH(ROWS($AF$2:AF435),$AF$2:$AF$1001,0),MATCH(COLUMNS($AM$1006:AT1006),$AM$1006:$BM$1006,0)), HYPERLINK("#",""), HYPERLINK(CONCATENATE("#metadata!", ADDRESS(INDEX($AH$2:$AH$1001,MATCH(ROWS($AF$2:AF435),$AF$2:$AF$1001,0),0), INDEX($AM$1004:$BM$1004,1,MATCH(COLUMNS($AM$1006:AT1006),$AM$1006:$BM$1006,0)))),"Fix")))</f>
        <v xml:space="preserve"> </v>
      </c>
      <c r="J435" s="4" t="str">
        <f ca="1">IF(OR(INDEX($AG$2:$AG$1001,MATCH(ROWS($AF$2:AF435),$AF$2:$AF$1001,0),1)&gt;=100000,INDEX($AM$1005:$BM$1005,1,MATCH(COLUMNS($AM$1006:AU1006),$AM$1006:$BM$1006,0))&gt;=100000), " ",IF(INDEX($AM$2:$BM$1001,MATCH(ROWS($AF$2:AF435),$AF$2:$AF$1001,0),MATCH(COLUMNS($AM$1006:AU1006),$AM$1006:$BM$1006,0)), HYPERLINK("#",""), HYPERLINK(CONCATENATE("#metadata!", ADDRESS(INDEX($AH$2:$AH$1001,MATCH(ROWS($AF$2:AF435),$AF$2:$AF$1001,0),0), INDEX($AM$1004:$BM$1004,1,MATCH(COLUMNS($AM$1006:AU1006),$AM$1006:$BM$1006,0)))),"Fix")))</f>
        <v xml:space="preserve"> </v>
      </c>
      <c r="K435" s="4" t="str">
        <f ca="1">IF(OR(INDEX($AG$2:$AG$1001,MATCH(ROWS($AF$2:AF435),$AF$2:$AF$1001,0),1)&gt;=100000,INDEX($AM$1005:$BM$1005,1,MATCH(COLUMNS($AM$1006:AV1006),$AM$1006:$BM$1006,0))&gt;=100000), " ",IF(INDEX($AM$2:$BM$1001,MATCH(ROWS($AF$2:AF435),$AF$2:$AF$1001,0),MATCH(COLUMNS($AM$1006:AV1006),$AM$1006:$BM$1006,0)), HYPERLINK("#",""), HYPERLINK(CONCATENATE("#metadata!", ADDRESS(INDEX($AH$2:$AH$1001,MATCH(ROWS($AF$2:AF435),$AF$2:$AF$1001,0),0), INDEX($AM$1004:$BM$1004,1,MATCH(COLUMNS($AM$1006:AV1006),$AM$1006:$BM$1006,0)))),"Fix")))</f>
        <v xml:space="preserve"> </v>
      </c>
      <c r="L435" s="4" t="str">
        <f ca="1">IF(OR(INDEX($AG$2:$AG$1001,MATCH(ROWS($AF$2:AF435),$AF$2:$AF$1001,0),1)&gt;=100000,INDEX($AM$1005:$BM$1005,1,MATCH(COLUMNS($AM$1006:AW1006),$AM$1006:$BM$1006,0))&gt;=100000), " ",IF(INDEX($AM$2:$BM$1001,MATCH(ROWS($AF$2:AF435),$AF$2:$AF$1001,0),MATCH(COLUMNS($AM$1006:AW1006),$AM$1006:$BM$1006,0)), HYPERLINK("#",""), HYPERLINK(CONCATENATE("#metadata!", ADDRESS(INDEX($AH$2:$AH$1001,MATCH(ROWS($AF$2:AF435),$AF$2:$AF$1001,0),0), INDEX($AM$1004:$BM$1004,1,MATCH(COLUMNS($AM$1006:AW1006),$AM$1006:$BM$1006,0)))),"Fix")))</f>
        <v xml:space="preserve"> </v>
      </c>
      <c r="M435" s="4" t="str">
        <f ca="1">IF(OR(INDEX($AG$2:$AG$1001,MATCH(ROWS($AF$2:AF435),$AF$2:$AF$1001,0),1)&gt;=100000,INDEX($AM$1005:$BM$1005,1,MATCH(COLUMNS($AM$1006:AX1006),$AM$1006:$BM$1006,0))&gt;=100000), " ",IF(INDEX($AM$2:$BM$1001,MATCH(ROWS($AF$2:AF435),$AF$2:$AF$1001,0),MATCH(COLUMNS($AM$1006:AX1006),$AM$1006:$BM$1006,0)), HYPERLINK("#",""), HYPERLINK(CONCATENATE("#metadata!", ADDRESS(INDEX($AH$2:$AH$1001,MATCH(ROWS($AF$2:AF435),$AF$2:$AF$1001,0),0), INDEX($AM$1004:$BM$1004,1,MATCH(COLUMNS($AM$1006:AX1006),$AM$1006:$BM$1006,0)))),"Fix")))</f>
        <v xml:space="preserve"> </v>
      </c>
      <c r="N435" s="4" t="str">
        <f ca="1">IF(OR(INDEX($AG$2:$AG$1001,MATCH(ROWS($AF$2:AF435),$AF$2:$AF$1001,0),1)&gt;=100000,INDEX($AM$1005:$BM$1005,1,MATCH(COLUMNS($AM$1006:AY1006),$AM$1006:$BM$1006,0))&gt;=100000), " ",IF(INDEX($AM$2:$BM$1001,MATCH(ROWS($AF$2:AF435),$AF$2:$AF$1001,0),MATCH(COLUMNS($AM$1006:AY1006),$AM$1006:$BM$1006,0)), HYPERLINK("#",""), HYPERLINK(CONCATENATE("#metadata!", ADDRESS(INDEX($AH$2:$AH$1001,MATCH(ROWS($AF$2:AF435),$AF$2:$AF$1001,0),0), INDEX($AM$1004:$BM$1004,1,MATCH(COLUMNS($AM$1006:AY1006),$AM$1006:$BM$1006,0)))),"Fix")))</f>
        <v xml:space="preserve"> </v>
      </c>
      <c r="O435" s="4" t="str">
        <f ca="1">IF(OR(INDEX($AG$2:$AG$1001,MATCH(ROWS($AF$2:AF435),$AF$2:$AF$1001,0),1)&gt;=100000,INDEX($AM$1005:$BM$1005,1,MATCH(COLUMNS($AM$1006:AZ1006),$AM$1006:$BM$1006,0))&gt;=100000), " ",IF(INDEX($AM$2:$BM$1001,MATCH(ROWS($AF$2:AF435),$AF$2:$AF$1001,0),MATCH(COLUMNS($AM$1006:AZ1006),$AM$1006:$BM$1006,0)), HYPERLINK("#",""), HYPERLINK(CONCATENATE("#metadata!", ADDRESS(INDEX($AH$2:$AH$1001,MATCH(ROWS($AF$2:AF435),$AF$2:$AF$1001,0),0), INDEX($AM$1004:$BM$1004,1,MATCH(COLUMNS($AM$1006:AZ1006),$AM$1006:$BM$1006,0)))),"Fix")))</f>
        <v xml:space="preserve"> </v>
      </c>
      <c r="P435" s="4" t="str">
        <f ca="1">IF(OR(INDEX($AG$2:$AG$1001,MATCH(ROWS($AF$2:AF435),$AF$2:$AF$1001,0),1)&gt;=100000,INDEX($AM$1005:$BM$1005,1,MATCH(COLUMNS($AM$1006:BA1006),$AM$1006:$BM$1006,0))&gt;=100000), " ",IF(INDEX($AM$2:$BM$1001,MATCH(ROWS($AF$2:AF435),$AF$2:$AF$1001,0),MATCH(COLUMNS($AM$1006:BA1006),$AM$1006:$BM$1006,0)), HYPERLINK("#",""), HYPERLINK(CONCATENATE("#metadata!", ADDRESS(INDEX($AH$2:$AH$1001,MATCH(ROWS($AF$2:AF435),$AF$2:$AF$1001,0),0), INDEX($AM$1004:$BM$1004,1,MATCH(COLUMNS($AM$1006:BA1006),$AM$1006:$BM$1006,0)))),"Fix")))</f>
        <v xml:space="preserve"> </v>
      </c>
      <c r="Q435" s="4" t="str">
        <f ca="1">IF(OR(INDEX($AG$2:$AG$1001,MATCH(ROWS($AF$2:AF435),$AF$2:$AF$1001,0),1)&gt;=100000,INDEX($AM$1005:$BM$1005,1,MATCH(COLUMNS($AM$1006:BB1006),$AM$1006:$BM$1006,0))&gt;=100000), " ",IF(INDEX($AM$2:$BM$1001,MATCH(ROWS($AF$2:AF435),$AF$2:$AF$1001,0),MATCH(COLUMNS($AM$1006:BB1006),$AM$1006:$BM$1006,0)), HYPERLINK("#",""), HYPERLINK(CONCATENATE("#metadata!", ADDRESS(INDEX($AH$2:$AH$1001,MATCH(ROWS($AF$2:AF435),$AF$2:$AF$1001,0),0), INDEX($AM$1004:$BM$1004,1,MATCH(COLUMNS($AM$1006:BB1006),$AM$1006:$BM$1006,0)))),"Fix")))</f>
        <v xml:space="preserve"> </v>
      </c>
      <c r="R435" s="4" t="str">
        <f ca="1">IF(OR(INDEX($AG$2:$AG$1001,MATCH(ROWS($AF$2:AF435),$AF$2:$AF$1001,0),1)&gt;=100000,INDEX($AM$1005:$BM$1005,1,MATCH(COLUMNS($AM$1006:BC1006),$AM$1006:$BM$1006,0))&gt;=100000), " ",IF(INDEX($AM$2:$BM$1001,MATCH(ROWS($AF$2:AF435),$AF$2:$AF$1001,0),MATCH(COLUMNS($AM$1006:BC1006),$AM$1006:$BM$1006,0)), HYPERLINK("#",""), HYPERLINK(CONCATENATE("#metadata!", ADDRESS(INDEX($AH$2:$AH$1001,MATCH(ROWS($AF$2:AF435),$AF$2:$AF$1001,0),0), INDEX($AM$1004:$BM$1004,1,MATCH(COLUMNS($AM$1006:BC1006),$AM$1006:$BM$1006,0)))),"Fix")))</f>
        <v xml:space="preserve"> </v>
      </c>
      <c r="S435" s="4" t="str">
        <f ca="1">IF(OR(INDEX($AG$2:$AG$1001,MATCH(ROWS($AF$2:AF435),$AF$2:$AF$1001,0),1)&gt;=100000,INDEX($AM$1005:$BM$1005,1,MATCH(COLUMNS($AM$1006:BD1006),$AM$1006:$BM$1006,0))&gt;=100000), " ",IF(INDEX($AM$2:$BM$1001,MATCH(ROWS($AF$2:AF435),$AF$2:$AF$1001,0),MATCH(COLUMNS($AM$1006:BD1006),$AM$1006:$BM$1006,0)), HYPERLINK("#",""), HYPERLINK(CONCATENATE("#metadata!", ADDRESS(INDEX($AH$2:$AH$1001,MATCH(ROWS($AF$2:AF435),$AF$2:$AF$1001,0),0), INDEX($AM$1004:$BM$1004,1,MATCH(COLUMNS($AM$1006:BD1006),$AM$1006:$BM$1006,0)))),"Fix")))</f>
        <v xml:space="preserve"> </v>
      </c>
      <c r="T435" s="4" t="str">
        <f ca="1">IF(OR(INDEX($AG$2:$AG$1001,MATCH(ROWS($AF$2:AF435),$AF$2:$AF$1001,0),1)&gt;=100000,INDEX($AM$1005:$BM$1005,1,MATCH(COLUMNS($AM$1006:BE1006),$AM$1006:$BM$1006,0))&gt;=100000), " ",IF(INDEX($AM$2:$BM$1001,MATCH(ROWS($AF$2:AF435),$AF$2:$AF$1001,0),MATCH(COLUMNS($AM$1006:BE1006),$AM$1006:$BM$1006,0)), HYPERLINK("#",""), HYPERLINK(CONCATENATE("#metadata!", ADDRESS(INDEX($AH$2:$AH$1001,MATCH(ROWS($AF$2:AF435),$AF$2:$AF$1001,0),0), INDEX($AM$1004:$BM$1004,1,MATCH(COLUMNS($AM$1006:BE1006),$AM$1006:$BM$1006,0)))),"Fix")))</f>
        <v xml:space="preserve"> </v>
      </c>
      <c r="U435" s="4" t="str">
        <f ca="1">IF(OR(INDEX($AG$2:$AG$1001,MATCH(ROWS($AF$2:AF435),$AF$2:$AF$1001,0),1)&gt;=100000,INDEX($AM$1005:$BM$1005,1,MATCH(COLUMNS($AM$1006:BF1006),$AM$1006:$BM$1006,0))&gt;=100000), " ",IF(INDEX($AM$2:$BM$1001,MATCH(ROWS($AF$2:AF435),$AF$2:$AF$1001,0),MATCH(COLUMNS($AM$1006:BF1006),$AM$1006:$BM$1006,0)), HYPERLINK("#",""), HYPERLINK(CONCATENATE("#metadata!", ADDRESS(INDEX($AH$2:$AH$1001,MATCH(ROWS($AF$2:AF435),$AF$2:$AF$1001,0),0), INDEX($AM$1004:$BM$1004,1,MATCH(COLUMNS($AM$1006:BF1006),$AM$1006:$BM$1006,0)))),"Fix")))</f>
        <v xml:space="preserve"> </v>
      </c>
      <c r="V435" s="4" t="str">
        <f ca="1">IF(OR(INDEX($AG$2:$AG$1001,MATCH(ROWS($AF$2:AF435),$AF$2:$AF$1001,0),1)&gt;=100000,INDEX($AM$1005:$BM$1005,1,MATCH(COLUMNS($AM$1006:BG1006),$AM$1006:$BM$1006,0))&gt;=100000), " ",IF(INDEX($AM$2:$BM$1001,MATCH(ROWS($AF$2:AF435),$AF$2:$AF$1001,0),MATCH(COLUMNS($AM$1006:BG1006),$AM$1006:$BM$1006,0)), HYPERLINK("#",""), HYPERLINK(CONCATENATE("#metadata!", ADDRESS(INDEX($AH$2:$AH$1001,MATCH(ROWS($AF$2:AF435),$AF$2:$AF$1001,0),0), INDEX($AM$1004:$BM$1004,1,MATCH(COLUMNS($AM$1006:BG1006),$AM$1006:$BM$1006,0)))),"Fix")))</f>
        <v xml:space="preserve"> </v>
      </c>
      <c r="W435" s="4" t="str">
        <f ca="1">IF(OR(INDEX($AG$2:$AG$1001,MATCH(ROWS($AF$2:AF435),$AF$2:$AF$1001,0),1)&gt;=100000,INDEX($AM$1005:$BM$1005,1,MATCH(COLUMNS($AM$1006:BH1006),$AM$1006:$BM$1006,0))&gt;=100000), " ",IF(INDEX($AM$2:$BM$1001,MATCH(ROWS($AF$2:AF435),$AF$2:$AF$1001,0),MATCH(COLUMNS($AM$1006:BH1006),$AM$1006:$BM$1006,0)), HYPERLINK("#",""), HYPERLINK(CONCATENATE("#metadata!", ADDRESS(INDEX($AH$2:$AH$1001,MATCH(ROWS($AF$2:AF435),$AF$2:$AF$1001,0),0), INDEX($AM$1004:$BM$1004,1,MATCH(COLUMNS($AM$1006:BH1006),$AM$1006:$BM$1006,0)))),"Fix")))</f>
        <v xml:space="preserve"> </v>
      </c>
      <c r="X435" s="4" t="str">
        <f ca="1">IF(OR(INDEX($AG$2:$AG$1001,MATCH(ROWS($AF$2:AF435),$AF$2:$AF$1001,0),1)&gt;=100000,INDEX($AM$1005:$BM$1005,1,MATCH(COLUMNS($AM$1006:BI1006),$AM$1006:$BM$1006,0))&gt;=100000), " ",IF(INDEX($AM$2:$BM$1001,MATCH(ROWS($AF$2:AF435),$AF$2:$AF$1001,0),MATCH(COLUMNS($AM$1006:BI1006),$AM$1006:$BM$1006,0)), HYPERLINK("#",""), HYPERLINK(CONCATENATE("#metadata!", ADDRESS(INDEX($AH$2:$AH$1001,MATCH(ROWS($AF$2:AF435),$AF$2:$AF$1001,0),0), INDEX($AM$1004:$BM$1004,1,MATCH(COLUMNS($AM$1006:BI1006),$AM$1006:$BM$1006,0)))),"Fix")))</f>
        <v xml:space="preserve"> </v>
      </c>
      <c r="Y435" s="4" t="str">
        <f ca="1">IF(OR(INDEX($AG$2:$AG$1001,MATCH(ROWS($AF$2:AF435),$AF$2:$AF$1001,0),1)&gt;=100000,INDEX($AM$1005:$BM$1005,1,MATCH(COLUMNS($AM$1006:BJ1006),$AM$1006:$BM$1006,0))&gt;=100000), " ",IF(INDEX($AM$2:$BM$1001,MATCH(ROWS($AF$2:AF435),$AF$2:$AF$1001,0),MATCH(COLUMNS($AM$1006:BJ1006),$AM$1006:$BM$1006,0)), HYPERLINK("#",""), HYPERLINK(CONCATENATE("#metadata!", ADDRESS(INDEX($AH$2:$AH$1001,MATCH(ROWS($AF$2:AF435),$AF$2:$AF$1001,0),0), INDEX($AM$1004:$BM$1004,1,MATCH(COLUMNS($AM$1006:BJ1006),$AM$1006:$BM$1006,0)))),"Fix")))</f>
        <v xml:space="preserve"> </v>
      </c>
      <c r="Z435" s="4" t="str">
        <f ca="1">IF(OR(INDEX($AG$2:$AG$1001,MATCH(ROWS($AF$2:AF435),$AF$2:$AF$1001,0),1)&gt;=100000,INDEX($AM$1005:$BM$1005,1,MATCH(COLUMNS($AM$1006:BK1006),$AM$1006:$BM$1006,0))&gt;=100000), " ",IF(INDEX($AM$2:$BM$1001,MATCH(ROWS($AF$2:AF435),$AF$2:$AF$1001,0),MATCH(COLUMNS($AM$1006:BK1006),$AM$1006:$BM$1006,0)), HYPERLINK("#",""), HYPERLINK(CONCATENATE("#metadata!", ADDRESS(INDEX($AH$2:$AH$1001,MATCH(ROWS($AF$2:AF435),$AF$2:$AF$1001,0),0), INDEX($AM$1004:$BM$1004,1,MATCH(COLUMNS($AM$1006:BK1006),$AM$1006:$BM$1006,0)))),"Fix")))</f>
        <v xml:space="preserve"> </v>
      </c>
      <c r="AA435" s="4" t="str">
        <f ca="1">IF(OR(INDEX($AG$2:$AG$1001,MATCH(ROWS($AF$2:AF435),$AF$2:$AF$1001,0),1)&gt;=100000,INDEX($AM$1005:$BM$1005,1,MATCH(COLUMNS($AM$1006:BL1006),$AM$1006:$BM$1006,0))&gt;=100000), " ",IF(INDEX($AM$2:$BM$1001,MATCH(ROWS($AF$2:AF435),$AF$2:$AF$1001,0),MATCH(COLUMNS($AM$1006:BL1006),$AM$1006:$BM$1006,0)), HYPERLINK("#",""), HYPERLINK(CONCATENATE("#metadata!", ADDRESS(INDEX($AH$2:$AH$1001,MATCH(ROWS($AF$2:AF435),$AF$2:$AF$1001,0),0), INDEX($AM$1004:$BM$1004,1,MATCH(COLUMNS($AM$1006:BL1006),$AM$1006:$BM$1006,0)))),"Fix")))</f>
        <v xml:space="preserve"> </v>
      </c>
      <c r="AB435" s="4" t="str">
        <f ca="1">IF(OR(INDEX($AG$2:$AG$1001,MATCH(ROWS($AF$2:AF435),$AF$2:$AF$1001,0),1)&gt;=100000,INDEX($AM$1005:$BM$1005,1,MATCH(COLUMNS($AM$1006:BM1006),$AM$1006:$BM$1006,0))&gt;=100000), " ",IF(INDEX($AM$2:$BM$1001,MATCH(ROWS($AF$2:AF435),$AF$2:$AF$1001,0),MATCH(COLUMNS($AM$1006:BM1006),$AM$1006:$BM$1006,0)), HYPERLINK("#",""), HYPERLINK(CONCATENATE("#metadata!", ADDRESS(INDEX($AH$2:$AH$1001,MATCH(ROWS($AF$2:AF435),$AF$2:$AF$1001,0),0), INDEX($AM$1004:$BM$1004,1,MATCH(COLUMNS($AM$1006:BM1006),$AM$1006:$BM$1006,0)))),"Fix")))</f>
        <v xml:space="preserve"> </v>
      </c>
      <c r="AF435">
        <v>434</v>
      </c>
      <c r="AG435">
        <v>100435</v>
      </c>
      <c r="AH435">
        <v>435</v>
      </c>
      <c r="AI435" t="b">
        <f t="shared" si="6"/>
        <v>1</v>
      </c>
      <c r="AJ435" t="b">
        <f>COUNTBLANK(metadata!B435:AB435)=COLUMNS(metadata!B435:AB435)</f>
        <v>1</v>
      </c>
      <c r="AK435" t="str">
        <v/>
      </c>
      <c r="AM435" t="b">
        <f ca="1">AND(IF(metadata!B435="",FALSE,TRUE),COUNTIF(metadata!B:B, metadata!B435) = 1,NOT(ISERROR(SUMPRODUCT(SEARCH(MID(metadata!B435,ROW(INDIRECT("1:"&amp;LEN(metadata!B435))), 1),"0123456789abcdefghijklmnopqrstuvwxyzABCDEFGHIJKLMNOPQRSTUVWXYZ.")))))</f>
        <v>0</v>
      </c>
      <c r="AN435" t="b">
        <f ca="1">OR(AND(IF(metadata!C435="",FALSE,TRUE),OR(EXACT(metadata!C435,"missing: not collected"),EXACT(metadata!C435,"missing: not provided"),EXACT(metadata!C435,"missing: restricted access"))),AND(IF(metadata!C435="",FALSE,TRUE),AND(AND(IFERROR(INT(LEFT(metadata!C435,4))&gt;1900,FALSE),IFERROR(INT(LEFT(metadata!C435,4))&lt;=YEAR(NOW()),FALSE)), OR(MID(metadata!C435,5,1)="", AND(AND(MID(metadata!C435,5,1)="-",IFERROR(INT(MID(metadata!C435,6,1))&gt;=0,FALSE),IFERROR(INT(MID(metadata!C435,6,1))&lt;=1,FALSE),NOT(MID(metadata!C435,7,1)=""),IFERROR(INT(MID(metadata!C435,6,2))&gt;=1,FALSE),IFERROR(INT(MID(metadata!C435,6,2))&lt;=12,FALSE)), OR(MID(metadata!C435,8,1)="", AND(AND(MID(metadata!C435,8,1)="-",IFERROR(INT(MID(metadata!C435,9,1))&gt;=0,FALSE),IFERROR(INT(MID(metadata!C435,9,1))&lt;=3,FALSE),NOT(MID(metadata!C435,10,1)=""),IFERROR(INT(MID(metadata!C435,9,2))&gt;=1,FALSE),IFERROR(INT(MID(metadata!C435,9,2))&lt;=31,FALSE)), OR(MID(metadata!C435,11,1)="", AND(AND(MID(metadata!C435,11,1)=" ",IFERROR(INT(MID(metadata!C435,12,1))&gt;=0,FALSE),IFERROR(INT(MID(metadata!C435,12,1))&lt;=2,FALSE),NOT(MID(metadata!C435,13,1)=""),IFERROR(INT(MID(metadata!C435,12,2))&gt;=0,FALSE),IFERROR(INT(MID(metadata!C435,12,2))&lt;=23,FALSE)), OR(MID(metadata!C435,14,1)="", AND(AND(MID(metadata!C435,14,1)=":",IFERROR(INT(MID(metadata!C435,15,1))&gt;=0,FALSE),IFERROR(INT(MID(metadata!C435,15,1))&lt;=5,FALSE),NOT(MID(metadata!C435,16,1)=""),IFERROR(INT(MID(metadata!C435,15,2))&gt;=0,FALSE),IFERROR(INT(MID(metadata!C435,15,2))&lt;=59,FALSE)), OR(MID(metadata!C435,17,1)="", AND(AND(MID(metadata!C435,17,1)=":",IFERROR(INT(MID(metadata!C435,18,1))&gt;=0,FALSE),IFERROR(INT(MID(metadata!C435,18,1))&lt;=5,FALSE),NOT(MID(metadata!C435,19,1)=""),IFERROR(INT(MID(metadata!C435,18,2))&gt;=0,FALSE),IFERROR(INT(MID(metadata!C435,18,2))&lt;=59,FALSE)), LEN(metadata!C435)&lt;=19)))))))))))))</f>
        <v>0</v>
      </c>
      <c r="AO435" t="b">
        <f>AND(IF(metadata!D435="",FALSE,TRUE),EXACT(metadata!D435,"Not applicable"))</f>
        <v>0</v>
      </c>
      <c r="AP435" t="b">
        <f>IF(metadata!E435="",FALSE,TRUE)</f>
        <v>0</v>
      </c>
      <c r="AQ435" t="b">
        <f>OR(AND(IF(metadata!F435="",FALSE,TRUE),OR(EXACT(metadata!F435,"missing: not collected"),EXACT(metadata!F435,"missing: not provided"))),AND(IF(metadata!F435="",FALSE,TRUE),OR(EXACT(metadata!F435,"TRUE"),EXACT(metadata!F435,"FALSE"))))</f>
        <v>0</v>
      </c>
      <c r="AR435" t="b">
        <f>OR(AND(IF(metadata!G435="",FALSE,TRUE),OR(EXACT(metadata!G435,"missing: not collected"),EXACT(metadata!G435,"missing: not provided"),EXACT(metadata!G435,"missing: restricted access"))),AND(IF(metadata!G435="",FALSE,ISNUMBER(VALUE(metadata!G435))),metadata!G435&gt;=-413))</f>
        <v>0</v>
      </c>
      <c r="AS435" t="b">
        <f>AND(IF(metadata!H435="",FALSE,TRUE),EXACT(metadata!H435,"meters"))</f>
        <v>0</v>
      </c>
      <c r="AT435" t="b">
        <f>AND(IF(metadata!I435="",FALSE,TRUE),OR(EXACT(metadata!I435,"Host-associated"),EXACT(metadata!I435,"Free-living")))</f>
        <v>0</v>
      </c>
      <c r="AU435" t="b">
        <f>AND(IF(metadata!J435="",FALSE,TRUE),OR(EXACT(metadata!J435,"Animal"),EXACT(metadata!J435,"Fungus"),EXACT(metadata!J435,"Plant"),EXACT(metadata!J435,"Saline"),EXACT(metadata!J435,"Non-saline")))</f>
        <v>0</v>
      </c>
      <c r="AV435" t="b">
        <f>AND(IF(metadata!K435="",FALSE,TRUE),OR(EXACT(metadata!K435,"Plant secretion"),EXACT(metadata!K435,"Plant rhizosphere"),EXACT(metadata!K435,"Plant surface"),EXACT(metadata!K435,"Plant corpus"),EXACT(metadata!K435,"Fungus surface"),EXACT(metadata!K435,"Fungus corpus"),EXACT(metadata!K435,"Animal surface"),EXACT(metadata!K435,"Animal proximal gut"),EXACT(metadata!K435,"Animal corpus"),EXACT(metadata!K435,"Animal distal gut"),EXACT(metadata!K435,"Animal secretion"),EXACT(metadata!K435,"Sub-surface (non-saline)"),EXACT(metadata!K435,"Surface (non-saline)"),EXACT(metadata!K435,"Water (non-saline)"),EXACT(metadata!K435,"Soil (non-saline)"),EXACT(metadata!K435,"Aerosol (non-saline)"),EXACT(metadata!K435,"Sediment (non-saline)"),EXACT(metadata!K435,"Surface (saline)"),EXACT(metadata!K435,"Water (saline)"),EXACT(metadata!K435,"Hypersaline (saline)"),EXACT(metadata!K435,"Aerosol (saline)"),EXACT(metadata!K435,"Sediment (saline)")))</f>
        <v>0</v>
      </c>
      <c r="AW435" t="b">
        <f>IF(metadata!L435="",FALSE,TRUE)</f>
        <v>0</v>
      </c>
      <c r="AX435" t="b">
        <f>IF(metadata!M435="",FALSE,TRUE)</f>
        <v>0</v>
      </c>
      <c r="AY435" t="b">
        <f>IF(metadata!N435="",FALSE,TRUE)</f>
        <v>0</v>
      </c>
      <c r="AZ435" t="b">
        <f>OR(AND(IF(metadata!O435="",FALSE,TRUE),OR(EXACT(metadata!O435,"missing: not collected"),EXACT(metadata!O435,"missing: not provided"),EXACT(metadata!O435,"missing: restricted access"))),AND(IF(metadata!O435="",FALSE,TRUE),OR(EXACT(metadata!O435,"air"),EXACT(metadata!O435,"built environment"),EXACT(metadata!O435,"host-associated"),EXACT(metadata!O435,"human-associated"),EXACT(metadata!O435,"human-skin"),EXACT(metadata!O435,"human-oral"),EXACT(metadata!O435,"human-gut"),EXACT(metadata!O435,"human-vaginal"),EXACT(metadata!O435,"microbial mat/biofilm"),EXACT(metadata!O435,"misc environment"),EXACT(metadata!O435,"plant-associated"),EXACT(metadata!O435,"sediment"),EXACT(metadata!O435,"soil"),EXACT(metadata!O435,"wastewater/sludge"),EXACT(metadata!O435,"water"))))</f>
        <v>0</v>
      </c>
      <c r="BA435" t="b">
        <f>IF(metadata!P435="",FALSE,TRUE)</f>
        <v>0</v>
      </c>
      <c r="BB435" t="b">
        <f>IF(metadata!Q435="",FALSE,TRUE)</f>
        <v>0</v>
      </c>
      <c r="BC435" t="b">
        <f>OR(AND(IF(metadata!R435="",FALSE,TRUE),OR(EXACT(metadata!R435,"missing: not collected"),EXACT(metadata!R435,"missing: not provided"),EXACT(metadata!R435,"missing: restricted access"))),AND(IF(metadata!R435="",FALSE,ISNUMBER(VALUE(metadata!R435))),metadata!R435&gt;=-90,metadata!R435&lt;=90))</f>
        <v>0</v>
      </c>
      <c r="BD435" t="b">
        <f>AND(IF(metadata!S435="",FALSE,TRUE),EXACT(metadata!S435,"Decimal degrees"))</f>
        <v>0</v>
      </c>
      <c r="BE435" t="b">
        <f>OR(AND(IF(metadata!T435="",FALSE,TRUE),OR(EXACT(metadata!T435,"missing: not collected"),EXACT(metadata!T435,"missing: not provided"),EXACT(metadata!T435,"missing: restricted access"))),AND(IF(metadata!T435="",FALSE,ISNUMBER(VALUE(metadata!T435))),metadata!T435&gt;=-180,metadata!T435&lt;=180))</f>
        <v>0</v>
      </c>
      <c r="BF435" t="b">
        <f>AND(IF(metadata!U435="",FALSE,TRUE),EXACT(metadata!U435,"Decimal degrees"))</f>
        <v>0</v>
      </c>
      <c r="BG435" t="b">
        <f>IF(metadata!V435="",FALSE,TRUE)</f>
        <v>0</v>
      </c>
      <c r="BH435" t="b">
        <f>OR(AND(IF(metadata!W435="",FALSE,TRUE),OR(EXACT(metadata!W435,"missing: not collected"),EXACT(metadata!W435,"missing: not provided"),EXACT(metadata!W435,"missing: restricted access"))),AND(IF(metadata!W435="",FALSE,TRUE),OR(EXACT(metadata!W435,"TRUE"),EXACT(metadata!W435,"FALSE"))))</f>
        <v>0</v>
      </c>
      <c r="BI435" t="b">
        <f>AND(IF(metadata!X435="",FALSE,TRUE),EXACT(metadata!X435,"other"))</f>
        <v>0</v>
      </c>
      <c r="BJ435" t="b">
        <f>IF(metadata!Y435="",FALSE,TRUE)</f>
        <v>0</v>
      </c>
      <c r="BK435" t="b">
        <f>OR(AND(IF(metadata!Z435="",FALSE,TRUE),OR(EXACT(metadata!Z435,"missing: not collected"),EXACT(metadata!Z435,"missing: not provided"))),AND(IF(metadata!Z435="",FALSE,IF(ISERROR(INT(metadata!Z435)),FALSE,INT(metadata!Z435)=metadata!Z435)),metadata!Z435&gt;0))</f>
        <v>0</v>
      </c>
      <c r="BL435" t="b">
        <f>AND(IF(metadata!AA435="",FALSE,TRUE),EXACT(metadata!AA435,"Not applicable"))</f>
        <v>0</v>
      </c>
      <c r="BM435" t="b">
        <f>IF(metadata!AB435="",FALSE,TRUE)</f>
        <v>0</v>
      </c>
    </row>
    <row r="436" spans="1:65" x14ac:dyDescent="0.2">
      <c r="A436" s="5" t="str">
        <f ca="1">IF(B436=" "," ",HYPERLINK(CONCATENATE("#metadata!",ADDRESS(INDEX($AH$2:$AH$1001,MATCH(ROWS($AF$2:AF436),$AF$2:$AF$1001,0),0),1)),INDEX($AK$2:$AK$1001,MATCH(ROWS($AF$2:AF436),$AF$2:$AF$1001,0),0)))</f>
        <v xml:space="preserve"> </v>
      </c>
      <c r="B436" s="4" t="str">
        <f ca="1">IF(OR(INDEX($AG$2:$AG$1001,MATCH(ROWS($AF$2:AF436),$AF$2:$AF$1001,0),1)&gt;=100000,INDEX($AM$1005:$BM$1005,1,MATCH(COLUMNS($AM$1006:AM1006),$AM$1006:$BM$1006,0))&gt;=100000), " ",IF(INDEX($AM$2:$BM$1001,MATCH(ROWS($AF$2:AF436),$AF$2:$AF$1001,0),MATCH(COLUMNS($AM$1006:AM1006),$AM$1006:$BM$1006,0)), HYPERLINK("#",""), HYPERLINK(CONCATENATE("#metadata!", ADDRESS(INDEX($AH$2:$AH$1001,MATCH(ROWS($AF$2:AF436),$AF$2:$AF$1001,0),0), INDEX($AM$1004:$BM$1004,1,MATCH(COLUMNS($AM$1006:AM1006),$AM$1006:$BM$1006,0)))),"Fix")))</f>
        <v xml:space="preserve"> </v>
      </c>
      <c r="C436" s="4" t="str">
        <f ca="1">IF(OR(INDEX($AG$2:$AG$1001,MATCH(ROWS($AF$2:AF436),$AF$2:$AF$1001,0),1)&gt;=100000,INDEX($AM$1005:$BM$1005,1,MATCH(COLUMNS($AM$1006:AN1006),$AM$1006:$BM$1006,0))&gt;=100000), " ",IF(INDEX($AM$2:$BM$1001,MATCH(ROWS($AF$2:AF436),$AF$2:$AF$1001,0),MATCH(COLUMNS($AM$1006:AN1006),$AM$1006:$BM$1006,0)), HYPERLINK("#",""), HYPERLINK(CONCATENATE("#metadata!", ADDRESS(INDEX($AH$2:$AH$1001,MATCH(ROWS($AF$2:AF436),$AF$2:$AF$1001,0),0), INDEX($AM$1004:$BM$1004,1,MATCH(COLUMNS($AM$1006:AN1006),$AM$1006:$BM$1006,0)))),"Fix")))</f>
        <v xml:space="preserve"> </v>
      </c>
      <c r="D436" s="4" t="str">
        <f ca="1">IF(OR(INDEX($AG$2:$AG$1001,MATCH(ROWS($AF$2:AF436),$AF$2:$AF$1001,0),1)&gt;=100000,INDEX($AM$1005:$BM$1005,1,MATCH(COLUMNS($AM$1006:AO1006),$AM$1006:$BM$1006,0))&gt;=100000), " ",IF(INDEX($AM$2:$BM$1001,MATCH(ROWS($AF$2:AF436),$AF$2:$AF$1001,0),MATCH(COLUMNS($AM$1006:AO1006),$AM$1006:$BM$1006,0)), HYPERLINK("#",""), HYPERLINK(CONCATENATE("#metadata!", ADDRESS(INDEX($AH$2:$AH$1001,MATCH(ROWS($AF$2:AF436),$AF$2:$AF$1001,0),0), INDEX($AM$1004:$BM$1004,1,MATCH(COLUMNS($AM$1006:AO1006),$AM$1006:$BM$1006,0)))),"Fix")))</f>
        <v xml:space="preserve"> </v>
      </c>
      <c r="E436" s="4" t="str">
        <f ca="1">IF(OR(INDEX($AG$2:$AG$1001,MATCH(ROWS($AF$2:AF436),$AF$2:$AF$1001,0),1)&gt;=100000,INDEX($AM$1005:$BM$1005,1,MATCH(COLUMNS($AM$1006:AP1006),$AM$1006:$BM$1006,0))&gt;=100000), " ",IF(INDEX($AM$2:$BM$1001,MATCH(ROWS($AF$2:AF436),$AF$2:$AF$1001,0),MATCH(COLUMNS($AM$1006:AP1006),$AM$1006:$BM$1006,0)), HYPERLINK("#",""), HYPERLINK(CONCATENATE("#metadata!", ADDRESS(INDEX($AH$2:$AH$1001,MATCH(ROWS($AF$2:AF436),$AF$2:$AF$1001,0),0), INDEX($AM$1004:$BM$1004,1,MATCH(COLUMNS($AM$1006:AP1006),$AM$1006:$BM$1006,0)))),"Fix")))</f>
        <v xml:space="preserve"> </v>
      </c>
      <c r="F436" s="4" t="str">
        <f ca="1">IF(OR(INDEX($AG$2:$AG$1001,MATCH(ROWS($AF$2:AF436),$AF$2:$AF$1001,0),1)&gt;=100000,INDEX($AM$1005:$BM$1005,1,MATCH(COLUMNS($AM$1006:AQ1006),$AM$1006:$BM$1006,0))&gt;=100000), " ",IF(INDEX($AM$2:$BM$1001,MATCH(ROWS($AF$2:AF436),$AF$2:$AF$1001,0),MATCH(COLUMNS($AM$1006:AQ1006),$AM$1006:$BM$1006,0)), HYPERLINK("#",""), HYPERLINK(CONCATENATE("#metadata!", ADDRESS(INDEX($AH$2:$AH$1001,MATCH(ROWS($AF$2:AF436),$AF$2:$AF$1001,0),0), INDEX($AM$1004:$BM$1004,1,MATCH(COLUMNS($AM$1006:AQ1006),$AM$1006:$BM$1006,0)))),"Fix")))</f>
        <v xml:space="preserve"> </v>
      </c>
      <c r="G436" s="4" t="str">
        <f ca="1">IF(OR(INDEX($AG$2:$AG$1001,MATCH(ROWS($AF$2:AF436),$AF$2:$AF$1001,0),1)&gt;=100000,INDEX($AM$1005:$BM$1005,1,MATCH(COLUMNS($AM$1006:AR1006),$AM$1006:$BM$1006,0))&gt;=100000), " ",IF(INDEX($AM$2:$BM$1001,MATCH(ROWS($AF$2:AF436),$AF$2:$AF$1001,0),MATCH(COLUMNS($AM$1006:AR1006),$AM$1006:$BM$1006,0)), HYPERLINK("#",""), HYPERLINK(CONCATENATE("#metadata!", ADDRESS(INDEX($AH$2:$AH$1001,MATCH(ROWS($AF$2:AF436),$AF$2:$AF$1001,0),0), INDEX($AM$1004:$BM$1004,1,MATCH(COLUMNS($AM$1006:AR1006),$AM$1006:$BM$1006,0)))),"Fix")))</f>
        <v xml:space="preserve"> </v>
      </c>
      <c r="H436" s="4" t="str">
        <f ca="1">IF(OR(INDEX($AG$2:$AG$1001,MATCH(ROWS($AF$2:AF436),$AF$2:$AF$1001,0),1)&gt;=100000,INDEX($AM$1005:$BM$1005,1,MATCH(COLUMNS($AM$1006:AS1006),$AM$1006:$BM$1006,0))&gt;=100000), " ",IF(INDEX($AM$2:$BM$1001,MATCH(ROWS($AF$2:AF436),$AF$2:$AF$1001,0),MATCH(COLUMNS($AM$1006:AS1006),$AM$1006:$BM$1006,0)), HYPERLINK("#",""), HYPERLINK(CONCATENATE("#metadata!", ADDRESS(INDEX($AH$2:$AH$1001,MATCH(ROWS($AF$2:AF436),$AF$2:$AF$1001,0),0), INDEX($AM$1004:$BM$1004,1,MATCH(COLUMNS($AM$1006:AS1006),$AM$1006:$BM$1006,0)))),"Fix")))</f>
        <v xml:space="preserve"> </v>
      </c>
      <c r="I436" s="4" t="str">
        <f ca="1">IF(OR(INDEX($AG$2:$AG$1001,MATCH(ROWS($AF$2:AF436),$AF$2:$AF$1001,0),1)&gt;=100000,INDEX($AM$1005:$BM$1005,1,MATCH(COLUMNS($AM$1006:AT1006),$AM$1006:$BM$1006,0))&gt;=100000), " ",IF(INDEX($AM$2:$BM$1001,MATCH(ROWS($AF$2:AF436),$AF$2:$AF$1001,0),MATCH(COLUMNS($AM$1006:AT1006),$AM$1006:$BM$1006,0)), HYPERLINK("#",""), HYPERLINK(CONCATENATE("#metadata!", ADDRESS(INDEX($AH$2:$AH$1001,MATCH(ROWS($AF$2:AF436),$AF$2:$AF$1001,0),0), INDEX($AM$1004:$BM$1004,1,MATCH(COLUMNS($AM$1006:AT1006),$AM$1006:$BM$1006,0)))),"Fix")))</f>
        <v xml:space="preserve"> </v>
      </c>
      <c r="J436" s="4" t="str">
        <f ca="1">IF(OR(INDEX($AG$2:$AG$1001,MATCH(ROWS($AF$2:AF436),$AF$2:$AF$1001,0),1)&gt;=100000,INDEX($AM$1005:$BM$1005,1,MATCH(COLUMNS($AM$1006:AU1006),$AM$1006:$BM$1006,0))&gt;=100000), " ",IF(INDEX($AM$2:$BM$1001,MATCH(ROWS($AF$2:AF436),$AF$2:$AF$1001,0),MATCH(COLUMNS($AM$1006:AU1006),$AM$1006:$BM$1006,0)), HYPERLINK("#",""), HYPERLINK(CONCATENATE("#metadata!", ADDRESS(INDEX($AH$2:$AH$1001,MATCH(ROWS($AF$2:AF436),$AF$2:$AF$1001,0),0), INDEX($AM$1004:$BM$1004,1,MATCH(COLUMNS($AM$1006:AU1006),$AM$1006:$BM$1006,0)))),"Fix")))</f>
        <v xml:space="preserve"> </v>
      </c>
      <c r="K436" s="4" t="str">
        <f ca="1">IF(OR(INDEX($AG$2:$AG$1001,MATCH(ROWS($AF$2:AF436),$AF$2:$AF$1001,0),1)&gt;=100000,INDEX($AM$1005:$BM$1005,1,MATCH(COLUMNS($AM$1006:AV1006),$AM$1006:$BM$1006,0))&gt;=100000), " ",IF(INDEX($AM$2:$BM$1001,MATCH(ROWS($AF$2:AF436),$AF$2:$AF$1001,0),MATCH(COLUMNS($AM$1006:AV1006),$AM$1006:$BM$1006,0)), HYPERLINK("#",""), HYPERLINK(CONCATENATE("#metadata!", ADDRESS(INDEX($AH$2:$AH$1001,MATCH(ROWS($AF$2:AF436),$AF$2:$AF$1001,0),0), INDEX($AM$1004:$BM$1004,1,MATCH(COLUMNS($AM$1006:AV1006),$AM$1006:$BM$1006,0)))),"Fix")))</f>
        <v xml:space="preserve"> </v>
      </c>
      <c r="L436" s="4" t="str">
        <f ca="1">IF(OR(INDEX($AG$2:$AG$1001,MATCH(ROWS($AF$2:AF436),$AF$2:$AF$1001,0),1)&gt;=100000,INDEX($AM$1005:$BM$1005,1,MATCH(COLUMNS($AM$1006:AW1006),$AM$1006:$BM$1006,0))&gt;=100000), " ",IF(INDEX($AM$2:$BM$1001,MATCH(ROWS($AF$2:AF436),$AF$2:$AF$1001,0),MATCH(COLUMNS($AM$1006:AW1006),$AM$1006:$BM$1006,0)), HYPERLINK("#",""), HYPERLINK(CONCATENATE("#metadata!", ADDRESS(INDEX($AH$2:$AH$1001,MATCH(ROWS($AF$2:AF436),$AF$2:$AF$1001,0),0), INDEX($AM$1004:$BM$1004,1,MATCH(COLUMNS($AM$1006:AW1006),$AM$1006:$BM$1006,0)))),"Fix")))</f>
        <v xml:space="preserve"> </v>
      </c>
      <c r="M436" s="4" t="str">
        <f ca="1">IF(OR(INDEX($AG$2:$AG$1001,MATCH(ROWS($AF$2:AF436),$AF$2:$AF$1001,0),1)&gt;=100000,INDEX($AM$1005:$BM$1005,1,MATCH(COLUMNS($AM$1006:AX1006),$AM$1006:$BM$1006,0))&gt;=100000), " ",IF(INDEX($AM$2:$BM$1001,MATCH(ROWS($AF$2:AF436),$AF$2:$AF$1001,0),MATCH(COLUMNS($AM$1006:AX1006),$AM$1006:$BM$1006,0)), HYPERLINK("#",""), HYPERLINK(CONCATENATE("#metadata!", ADDRESS(INDEX($AH$2:$AH$1001,MATCH(ROWS($AF$2:AF436),$AF$2:$AF$1001,0),0), INDEX($AM$1004:$BM$1004,1,MATCH(COLUMNS($AM$1006:AX1006),$AM$1006:$BM$1006,0)))),"Fix")))</f>
        <v xml:space="preserve"> </v>
      </c>
      <c r="N436" s="4" t="str">
        <f ca="1">IF(OR(INDEX($AG$2:$AG$1001,MATCH(ROWS($AF$2:AF436),$AF$2:$AF$1001,0),1)&gt;=100000,INDEX($AM$1005:$BM$1005,1,MATCH(COLUMNS($AM$1006:AY1006),$AM$1006:$BM$1006,0))&gt;=100000), " ",IF(INDEX($AM$2:$BM$1001,MATCH(ROWS($AF$2:AF436),$AF$2:$AF$1001,0),MATCH(COLUMNS($AM$1006:AY1006),$AM$1006:$BM$1006,0)), HYPERLINK("#",""), HYPERLINK(CONCATENATE("#metadata!", ADDRESS(INDEX($AH$2:$AH$1001,MATCH(ROWS($AF$2:AF436),$AF$2:$AF$1001,0),0), INDEX($AM$1004:$BM$1004,1,MATCH(COLUMNS($AM$1006:AY1006),$AM$1006:$BM$1006,0)))),"Fix")))</f>
        <v xml:space="preserve"> </v>
      </c>
      <c r="O436" s="4" t="str">
        <f ca="1">IF(OR(INDEX($AG$2:$AG$1001,MATCH(ROWS($AF$2:AF436),$AF$2:$AF$1001,0),1)&gt;=100000,INDEX($AM$1005:$BM$1005,1,MATCH(COLUMNS($AM$1006:AZ1006),$AM$1006:$BM$1006,0))&gt;=100000), " ",IF(INDEX($AM$2:$BM$1001,MATCH(ROWS($AF$2:AF436),$AF$2:$AF$1001,0),MATCH(COLUMNS($AM$1006:AZ1006),$AM$1006:$BM$1006,0)), HYPERLINK("#",""), HYPERLINK(CONCATENATE("#metadata!", ADDRESS(INDEX($AH$2:$AH$1001,MATCH(ROWS($AF$2:AF436),$AF$2:$AF$1001,0),0), INDEX($AM$1004:$BM$1004,1,MATCH(COLUMNS($AM$1006:AZ1006),$AM$1006:$BM$1006,0)))),"Fix")))</f>
        <v xml:space="preserve"> </v>
      </c>
      <c r="P436" s="4" t="str">
        <f ca="1">IF(OR(INDEX($AG$2:$AG$1001,MATCH(ROWS($AF$2:AF436),$AF$2:$AF$1001,0),1)&gt;=100000,INDEX($AM$1005:$BM$1005,1,MATCH(COLUMNS($AM$1006:BA1006),$AM$1006:$BM$1006,0))&gt;=100000), " ",IF(INDEX($AM$2:$BM$1001,MATCH(ROWS($AF$2:AF436),$AF$2:$AF$1001,0),MATCH(COLUMNS($AM$1006:BA1006),$AM$1006:$BM$1006,0)), HYPERLINK("#",""), HYPERLINK(CONCATENATE("#metadata!", ADDRESS(INDEX($AH$2:$AH$1001,MATCH(ROWS($AF$2:AF436),$AF$2:$AF$1001,0),0), INDEX($AM$1004:$BM$1004,1,MATCH(COLUMNS($AM$1006:BA1006),$AM$1006:$BM$1006,0)))),"Fix")))</f>
        <v xml:space="preserve"> </v>
      </c>
      <c r="Q436" s="4" t="str">
        <f ca="1">IF(OR(INDEX($AG$2:$AG$1001,MATCH(ROWS($AF$2:AF436),$AF$2:$AF$1001,0),1)&gt;=100000,INDEX($AM$1005:$BM$1005,1,MATCH(COLUMNS($AM$1006:BB1006),$AM$1006:$BM$1006,0))&gt;=100000), " ",IF(INDEX($AM$2:$BM$1001,MATCH(ROWS($AF$2:AF436),$AF$2:$AF$1001,0),MATCH(COLUMNS($AM$1006:BB1006),$AM$1006:$BM$1006,0)), HYPERLINK("#",""), HYPERLINK(CONCATENATE("#metadata!", ADDRESS(INDEX($AH$2:$AH$1001,MATCH(ROWS($AF$2:AF436),$AF$2:$AF$1001,0),0), INDEX($AM$1004:$BM$1004,1,MATCH(COLUMNS($AM$1006:BB1006),$AM$1006:$BM$1006,0)))),"Fix")))</f>
        <v xml:space="preserve"> </v>
      </c>
      <c r="R436" s="4" t="str">
        <f ca="1">IF(OR(INDEX($AG$2:$AG$1001,MATCH(ROWS($AF$2:AF436),$AF$2:$AF$1001,0),1)&gt;=100000,INDEX($AM$1005:$BM$1005,1,MATCH(COLUMNS($AM$1006:BC1006),$AM$1006:$BM$1006,0))&gt;=100000), " ",IF(INDEX($AM$2:$BM$1001,MATCH(ROWS($AF$2:AF436),$AF$2:$AF$1001,0),MATCH(COLUMNS($AM$1006:BC1006),$AM$1006:$BM$1006,0)), HYPERLINK("#",""), HYPERLINK(CONCATENATE("#metadata!", ADDRESS(INDEX($AH$2:$AH$1001,MATCH(ROWS($AF$2:AF436),$AF$2:$AF$1001,0),0), INDEX($AM$1004:$BM$1004,1,MATCH(COLUMNS($AM$1006:BC1006),$AM$1006:$BM$1006,0)))),"Fix")))</f>
        <v xml:space="preserve"> </v>
      </c>
      <c r="S436" s="4" t="str">
        <f ca="1">IF(OR(INDEX($AG$2:$AG$1001,MATCH(ROWS($AF$2:AF436),$AF$2:$AF$1001,0),1)&gt;=100000,INDEX($AM$1005:$BM$1005,1,MATCH(COLUMNS($AM$1006:BD1006),$AM$1006:$BM$1006,0))&gt;=100000), " ",IF(INDEX($AM$2:$BM$1001,MATCH(ROWS($AF$2:AF436),$AF$2:$AF$1001,0),MATCH(COLUMNS($AM$1006:BD1006),$AM$1006:$BM$1006,0)), HYPERLINK("#",""), HYPERLINK(CONCATENATE("#metadata!", ADDRESS(INDEX($AH$2:$AH$1001,MATCH(ROWS($AF$2:AF436),$AF$2:$AF$1001,0),0), INDEX($AM$1004:$BM$1004,1,MATCH(COLUMNS($AM$1006:BD1006),$AM$1006:$BM$1006,0)))),"Fix")))</f>
        <v xml:space="preserve"> </v>
      </c>
      <c r="T436" s="4" t="str">
        <f ca="1">IF(OR(INDEX($AG$2:$AG$1001,MATCH(ROWS($AF$2:AF436),$AF$2:$AF$1001,0),1)&gt;=100000,INDEX($AM$1005:$BM$1005,1,MATCH(COLUMNS($AM$1006:BE1006),$AM$1006:$BM$1006,0))&gt;=100000), " ",IF(INDEX($AM$2:$BM$1001,MATCH(ROWS($AF$2:AF436),$AF$2:$AF$1001,0),MATCH(COLUMNS($AM$1006:BE1006),$AM$1006:$BM$1006,0)), HYPERLINK("#",""), HYPERLINK(CONCATENATE("#metadata!", ADDRESS(INDEX($AH$2:$AH$1001,MATCH(ROWS($AF$2:AF436),$AF$2:$AF$1001,0),0), INDEX($AM$1004:$BM$1004,1,MATCH(COLUMNS($AM$1006:BE1006),$AM$1006:$BM$1006,0)))),"Fix")))</f>
        <v xml:space="preserve"> </v>
      </c>
      <c r="U436" s="4" t="str">
        <f ca="1">IF(OR(INDEX($AG$2:$AG$1001,MATCH(ROWS($AF$2:AF436),$AF$2:$AF$1001,0),1)&gt;=100000,INDEX($AM$1005:$BM$1005,1,MATCH(COLUMNS($AM$1006:BF1006),$AM$1006:$BM$1006,0))&gt;=100000), " ",IF(INDEX($AM$2:$BM$1001,MATCH(ROWS($AF$2:AF436),$AF$2:$AF$1001,0),MATCH(COLUMNS($AM$1006:BF1006),$AM$1006:$BM$1006,0)), HYPERLINK("#",""), HYPERLINK(CONCATENATE("#metadata!", ADDRESS(INDEX($AH$2:$AH$1001,MATCH(ROWS($AF$2:AF436),$AF$2:$AF$1001,0),0), INDEX($AM$1004:$BM$1004,1,MATCH(COLUMNS($AM$1006:BF1006),$AM$1006:$BM$1006,0)))),"Fix")))</f>
        <v xml:space="preserve"> </v>
      </c>
      <c r="V436" s="4" t="str">
        <f ca="1">IF(OR(INDEX($AG$2:$AG$1001,MATCH(ROWS($AF$2:AF436),$AF$2:$AF$1001,0),1)&gt;=100000,INDEX($AM$1005:$BM$1005,1,MATCH(COLUMNS($AM$1006:BG1006),$AM$1006:$BM$1006,0))&gt;=100000), " ",IF(INDEX($AM$2:$BM$1001,MATCH(ROWS($AF$2:AF436),$AF$2:$AF$1001,0),MATCH(COLUMNS($AM$1006:BG1006),$AM$1006:$BM$1006,0)), HYPERLINK("#",""), HYPERLINK(CONCATENATE("#metadata!", ADDRESS(INDEX($AH$2:$AH$1001,MATCH(ROWS($AF$2:AF436),$AF$2:$AF$1001,0),0), INDEX($AM$1004:$BM$1004,1,MATCH(COLUMNS($AM$1006:BG1006),$AM$1006:$BM$1006,0)))),"Fix")))</f>
        <v xml:space="preserve"> </v>
      </c>
      <c r="W436" s="4" t="str">
        <f ca="1">IF(OR(INDEX($AG$2:$AG$1001,MATCH(ROWS($AF$2:AF436),$AF$2:$AF$1001,0),1)&gt;=100000,INDEX($AM$1005:$BM$1005,1,MATCH(COLUMNS($AM$1006:BH1006),$AM$1006:$BM$1006,0))&gt;=100000), " ",IF(INDEX($AM$2:$BM$1001,MATCH(ROWS($AF$2:AF436),$AF$2:$AF$1001,0),MATCH(COLUMNS($AM$1006:BH1006),$AM$1006:$BM$1006,0)), HYPERLINK("#",""), HYPERLINK(CONCATENATE("#metadata!", ADDRESS(INDEX($AH$2:$AH$1001,MATCH(ROWS($AF$2:AF436),$AF$2:$AF$1001,0),0), INDEX($AM$1004:$BM$1004,1,MATCH(COLUMNS($AM$1006:BH1006),$AM$1006:$BM$1006,0)))),"Fix")))</f>
        <v xml:space="preserve"> </v>
      </c>
      <c r="X436" s="4" t="str">
        <f ca="1">IF(OR(INDEX($AG$2:$AG$1001,MATCH(ROWS($AF$2:AF436),$AF$2:$AF$1001,0),1)&gt;=100000,INDEX($AM$1005:$BM$1005,1,MATCH(COLUMNS($AM$1006:BI1006),$AM$1006:$BM$1006,0))&gt;=100000), " ",IF(INDEX($AM$2:$BM$1001,MATCH(ROWS($AF$2:AF436),$AF$2:$AF$1001,0),MATCH(COLUMNS($AM$1006:BI1006),$AM$1006:$BM$1006,0)), HYPERLINK("#",""), HYPERLINK(CONCATENATE("#metadata!", ADDRESS(INDEX($AH$2:$AH$1001,MATCH(ROWS($AF$2:AF436),$AF$2:$AF$1001,0),0), INDEX($AM$1004:$BM$1004,1,MATCH(COLUMNS($AM$1006:BI1006),$AM$1006:$BM$1006,0)))),"Fix")))</f>
        <v xml:space="preserve"> </v>
      </c>
      <c r="Y436" s="4" t="str">
        <f ca="1">IF(OR(INDEX($AG$2:$AG$1001,MATCH(ROWS($AF$2:AF436),$AF$2:$AF$1001,0),1)&gt;=100000,INDEX($AM$1005:$BM$1005,1,MATCH(COLUMNS($AM$1006:BJ1006),$AM$1006:$BM$1006,0))&gt;=100000), " ",IF(INDEX($AM$2:$BM$1001,MATCH(ROWS($AF$2:AF436),$AF$2:$AF$1001,0),MATCH(COLUMNS($AM$1006:BJ1006),$AM$1006:$BM$1006,0)), HYPERLINK("#",""), HYPERLINK(CONCATENATE("#metadata!", ADDRESS(INDEX($AH$2:$AH$1001,MATCH(ROWS($AF$2:AF436),$AF$2:$AF$1001,0),0), INDEX($AM$1004:$BM$1004,1,MATCH(COLUMNS($AM$1006:BJ1006),$AM$1006:$BM$1006,0)))),"Fix")))</f>
        <v xml:space="preserve"> </v>
      </c>
      <c r="Z436" s="4" t="str">
        <f ca="1">IF(OR(INDEX($AG$2:$AG$1001,MATCH(ROWS($AF$2:AF436),$AF$2:$AF$1001,0),1)&gt;=100000,INDEX($AM$1005:$BM$1005,1,MATCH(COLUMNS($AM$1006:BK1006),$AM$1006:$BM$1006,0))&gt;=100000), " ",IF(INDEX($AM$2:$BM$1001,MATCH(ROWS($AF$2:AF436),$AF$2:$AF$1001,0),MATCH(COLUMNS($AM$1006:BK1006),$AM$1006:$BM$1006,0)), HYPERLINK("#",""), HYPERLINK(CONCATENATE("#metadata!", ADDRESS(INDEX($AH$2:$AH$1001,MATCH(ROWS($AF$2:AF436),$AF$2:$AF$1001,0),0), INDEX($AM$1004:$BM$1004,1,MATCH(COLUMNS($AM$1006:BK1006),$AM$1006:$BM$1006,0)))),"Fix")))</f>
        <v xml:space="preserve"> </v>
      </c>
      <c r="AA436" s="4" t="str">
        <f ca="1">IF(OR(INDEX($AG$2:$AG$1001,MATCH(ROWS($AF$2:AF436),$AF$2:$AF$1001,0),1)&gt;=100000,INDEX($AM$1005:$BM$1005,1,MATCH(COLUMNS($AM$1006:BL1006),$AM$1006:$BM$1006,0))&gt;=100000), " ",IF(INDEX($AM$2:$BM$1001,MATCH(ROWS($AF$2:AF436),$AF$2:$AF$1001,0),MATCH(COLUMNS($AM$1006:BL1006),$AM$1006:$BM$1006,0)), HYPERLINK("#",""), HYPERLINK(CONCATENATE("#metadata!", ADDRESS(INDEX($AH$2:$AH$1001,MATCH(ROWS($AF$2:AF436),$AF$2:$AF$1001,0),0), INDEX($AM$1004:$BM$1004,1,MATCH(COLUMNS($AM$1006:BL1006),$AM$1006:$BM$1006,0)))),"Fix")))</f>
        <v xml:space="preserve"> </v>
      </c>
      <c r="AB436" s="4" t="str">
        <f ca="1">IF(OR(INDEX($AG$2:$AG$1001,MATCH(ROWS($AF$2:AF436),$AF$2:$AF$1001,0),1)&gt;=100000,INDEX($AM$1005:$BM$1005,1,MATCH(COLUMNS($AM$1006:BM1006),$AM$1006:$BM$1006,0))&gt;=100000), " ",IF(INDEX($AM$2:$BM$1001,MATCH(ROWS($AF$2:AF436),$AF$2:$AF$1001,0),MATCH(COLUMNS($AM$1006:BM1006),$AM$1006:$BM$1006,0)), HYPERLINK("#",""), HYPERLINK(CONCATENATE("#metadata!", ADDRESS(INDEX($AH$2:$AH$1001,MATCH(ROWS($AF$2:AF436),$AF$2:$AF$1001,0),0), INDEX($AM$1004:$BM$1004,1,MATCH(COLUMNS($AM$1006:BM1006),$AM$1006:$BM$1006,0)))),"Fix")))</f>
        <v xml:space="preserve"> </v>
      </c>
      <c r="AF436">
        <v>435</v>
      </c>
      <c r="AG436">
        <v>100436</v>
      </c>
      <c r="AH436">
        <v>436</v>
      </c>
      <c r="AI436" t="b">
        <f t="shared" si="6"/>
        <v>1</v>
      </c>
      <c r="AJ436" t="b">
        <f>COUNTBLANK(metadata!B436:AB436)=COLUMNS(metadata!B436:AB436)</f>
        <v>1</v>
      </c>
      <c r="AK436" t="str">
        <v/>
      </c>
      <c r="AM436" t="b">
        <f ca="1">AND(IF(metadata!B436="",FALSE,TRUE),COUNTIF(metadata!B:B, metadata!B436) = 1,NOT(ISERROR(SUMPRODUCT(SEARCH(MID(metadata!B436,ROW(INDIRECT("1:"&amp;LEN(metadata!B436))), 1),"0123456789abcdefghijklmnopqrstuvwxyzABCDEFGHIJKLMNOPQRSTUVWXYZ.")))))</f>
        <v>0</v>
      </c>
      <c r="AN436" t="b">
        <f ca="1">OR(AND(IF(metadata!C436="",FALSE,TRUE),OR(EXACT(metadata!C436,"missing: not collected"),EXACT(metadata!C436,"missing: not provided"),EXACT(metadata!C436,"missing: restricted access"))),AND(IF(metadata!C436="",FALSE,TRUE),AND(AND(IFERROR(INT(LEFT(metadata!C436,4))&gt;1900,FALSE),IFERROR(INT(LEFT(metadata!C436,4))&lt;=YEAR(NOW()),FALSE)), OR(MID(metadata!C436,5,1)="", AND(AND(MID(metadata!C436,5,1)="-",IFERROR(INT(MID(metadata!C436,6,1))&gt;=0,FALSE),IFERROR(INT(MID(metadata!C436,6,1))&lt;=1,FALSE),NOT(MID(metadata!C436,7,1)=""),IFERROR(INT(MID(metadata!C436,6,2))&gt;=1,FALSE),IFERROR(INT(MID(metadata!C436,6,2))&lt;=12,FALSE)), OR(MID(metadata!C436,8,1)="", AND(AND(MID(metadata!C436,8,1)="-",IFERROR(INT(MID(metadata!C436,9,1))&gt;=0,FALSE),IFERROR(INT(MID(metadata!C436,9,1))&lt;=3,FALSE),NOT(MID(metadata!C436,10,1)=""),IFERROR(INT(MID(metadata!C436,9,2))&gt;=1,FALSE),IFERROR(INT(MID(metadata!C436,9,2))&lt;=31,FALSE)), OR(MID(metadata!C436,11,1)="", AND(AND(MID(metadata!C436,11,1)=" ",IFERROR(INT(MID(metadata!C436,12,1))&gt;=0,FALSE),IFERROR(INT(MID(metadata!C436,12,1))&lt;=2,FALSE),NOT(MID(metadata!C436,13,1)=""),IFERROR(INT(MID(metadata!C436,12,2))&gt;=0,FALSE),IFERROR(INT(MID(metadata!C436,12,2))&lt;=23,FALSE)), OR(MID(metadata!C436,14,1)="", AND(AND(MID(metadata!C436,14,1)=":",IFERROR(INT(MID(metadata!C436,15,1))&gt;=0,FALSE),IFERROR(INT(MID(metadata!C436,15,1))&lt;=5,FALSE),NOT(MID(metadata!C436,16,1)=""),IFERROR(INT(MID(metadata!C436,15,2))&gt;=0,FALSE),IFERROR(INT(MID(metadata!C436,15,2))&lt;=59,FALSE)), OR(MID(metadata!C436,17,1)="", AND(AND(MID(metadata!C436,17,1)=":",IFERROR(INT(MID(metadata!C436,18,1))&gt;=0,FALSE),IFERROR(INT(MID(metadata!C436,18,1))&lt;=5,FALSE),NOT(MID(metadata!C436,19,1)=""),IFERROR(INT(MID(metadata!C436,18,2))&gt;=0,FALSE),IFERROR(INT(MID(metadata!C436,18,2))&lt;=59,FALSE)), LEN(metadata!C436)&lt;=19)))))))))))))</f>
        <v>0</v>
      </c>
      <c r="AO436" t="b">
        <f>AND(IF(metadata!D436="",FALSE,TRUE),EXACT(metadata!D436,"Not applicable"))</f>
        <v>0</v>
      </c>
      <c r="AP436" t="b">
        <f>IF(metadata!E436="",FALSE,TRUE)</f>
        <v>0</v>
      </c>
      <c r="AQ436" t="b">
        <f>OR(AND(IF(metadata!F436="",FALSE,TRUE),OR(EXACT(metadata!F436,"missing: not collected"),EXACT(metadata!F436,"missing: not provided"))),AND(IF(metadata!F436="",FALSE,TRUE),OR(EXACT(metadata!F436,"TRUE"),EXACT(metadata!F436,"FALSE"))))</f>
        <v>0</v>
      </c>
      <c r="AR436" t="b">
        <f>OR(AND(IF(metadata!G436="",FALSE,TRUE),OR(EXACT(metadata!G436,"missing: not collected"),EXACT(metadata!G436,"missing: not provided"),EXACT(metadata!G436,"missing: restricted access"))),AND(IF(metadata!G436="",FALSE,ISNUMBER(VALUE(metadata!G436))),metadata!G436&gt;=-413))</f>
        <v>0</v>
      </c>
      <c r="AS436" t="b">
        <f>AND(IF(metadata!H436="",FALSE,TRUE),EXACT(metadata!H436,"meters"))</f>
        <v>0</v>
      </c>
      <c r="AT436" t="b">
        <f>AND(IF(metadata!I436="",FALSE,TRUE),OR(EXACT(metadata!I436,"Host-associated"),EXACT(metadata!I436,"Free-living")))</f>
        <v>0</v>
      </c>
      <c r="AU436" t="b">
        <f>AND(IF(metadata!J436="",FALSE,TRUE),OR(EXACT(metadata!J436,"Animal"),EXACT(metadata!J436,"Fungus"),EXACT(metadata!J436,"Plant"),EXACT(metadata!J436,"Saline"),EXACT(metadata!J436,"Non-saline")))</f>
        <v>0</v>
      </c>
      <c r="AV436" t="b">
        <f>AND(IF(metadata!K436="",FALSE,TRUE),OR(EXACT(metadata!K436,"Plant secretion"),EXACT(metadata!K436,"Plant rhizosphere"),EXACT(metadata!K436,"Plant surface"),EXACT(metadata!K436,"Plant corpus"),EXACT(metadata!K436,"Fungus surface"),EXACT(metadata!K436,"Fungus corpus"),EXACT(metadata!K436,"Animal surface"),EXACT(metadata!K436,"Animal proximal gut"),EXACT(metadata!K436,"Animal corpus"),EXACT(metadata!K436,"Animal distal gut"),EXACT(metadata!K436,"Animal secretion"),EXACT(metadata!K436,"Sub-surface (non-saline)"),EXACT(metadata!K436,"Surface (non-saline)"),EXACT(metadata!K436,"Water (non-saline)"),EXACT(metadata!K436,"Soil (non-saline)"),EXACT(metadata!K436,"Aerosol (non-saline)"),EXACT(metadata!K436,"Sediment (non-saline)"),EXACT(metadata!K436,"Surface (saline)"),EXACT(metadata!K436,"Water (saline)"),EXACT(metadata!K436,"Hypersaline (saline)"),EXACT(metadata!K436,"Aerosol (saline)"),EXACT(metadata!K436,"Sediment (saline)")))</f>
        <v>0</v>
      </c>
      <c r="AW436" t="b">
        <f>IF(metadata!L436="",FALSE,TRUE)</f>
        <v>0</v>
      </c>
      <c r="AX436" t="b">
        <f>IF(metadata!M436="",FALSE,TRUE)</f>
        <v>0</v>
      </c>
      <c r="AY436" t="b">
        <f>IF(metadata!N436="",FALSE,TRUE)</f>
        <v>0</v>
      </c>
      <c r="AZ436" t="b">
        <f>OR(AND(IF(metadata!O436="",FALSE,TRUE),OR(EXACT(metadata!O436,"missing: not collected"),EXACT(metadata!O436,"missing: not provided"),EXACT(metadata!O436,"missing: restricted access"))),AND(IF(metadata!O436="",FALSE,TRUE),OR(EXACT(metadata!O436,"air"),EXACT(metadata!O436,"built environment"),EXACT(metadata!O436,"host-associated"),EXACT(metadata!O436,"human-associated"),EXACT(metadata!O436,"human-skin"),EXACT(metadata!O436,"human-oral"),EXACT(metadata!O436,"human-gut"),EXACT(metadata!O436,"human-vaginal"),EXACT(metadata!O436,"microbial mat/biofilm"),EXACT(metadata!O436,"misc environment"),EXACT(metadata!O436,"plant-associated"),EXACT(metadata!O436,"sediment"),EXACT(metadata!O436,"soil"),EXACT(metadata!O436,"wastewater/sludge"),EXACT(metadata!O436,"water"))))</f>
        <v>0</v>
      </c>
      <c r="BA436" t="b">
        <f>IF(metadata!P436="",FALSE,TRUE)</f>
        <v>0</v>
      </c>
      <c r="BB436" t="b">
        <f>IF(metadata!Q436="",FALSE,TRUE)</f>
        <v>0</v>
      </c>
      <c r="BC436" t="b">
        <f>OR(AND(IF(metadata!R436="",FALSE,TRUE),OR(EXACT(metadata!R436,"missing: not collected"),EXACT(metadata!R436,"missing: not provided"),EXACT(metadata!R436,"missing: restricted access"))),AND(IF(metadata!R436="",FALSE,ISNUMBER(VALUE(metadata!R436))),metadata!R436&gt;=-90,metadata!R436&lt;=90))</f>
        <v>0</v>
      </c>
      <c r="BD436" t="b">
        <f>AND(IF(metadata!S436="",FALSE,TRUE),EXACT(metadata!S436,"Decimal degrees"))</f>
        <v>0</v>
      </c>
      <c r="BE436" t="b">
        <f>OR(AND(IF(metadata!T436="",FALSE,TRUE),OR(EXACT(metadata!T436,"missing: not collected"),EXACT(metadata!T436,"missing: not provided"),EXACT(metadata!T436,"missing: restricted access"))),AND(IF(metadata!T436="",FALSE,ISNUMBER(VALUE(metadata!T436))),metadata!T436&gt;=-180,metadata!T436&lt;=180))</f>
        <v>0</v>
      </c>
      <c r="BF436" t="b">
        <f>AND(IF(metadata!U436="",FALSE,TRUE),EXACT(metadata!U436,"Decimal degrees"))</f>
        <v>0</v>
      </c>
      <c r="BG436" t="b">
        <f>IF(metadata!V436="",FALSE,TRUE)</f>
        <v>0</v>
      </c>
      <c r="BH436" t="b">
        <f>OR(AND(IF(metadata!W436="",FALSE,TRUE),OR(EXACT(metadata!W436,"missing: not collected"),EXACT(metadata!W436,"missing: not provided"),EXACT(metadata!W436,"missing: restricted access"))),AND(IF(metadata!W436="",FALSE,TRUE),OR(EXACT(metadata!W436,"TRUE"),EXACT(metadata!W436,"FALSE"))))</f>
        <v>0</v>
      </c>
      <c r="BI436" t="b">
        <f>AND(IF(metadata!X436="",FALSE,TRUE),EXACT(metadata!X436,"other"))</f>
        <v>0</v>
      </c>
      <c r="BJ436" t="b">
        <f>IF(metadata!Y436="",FALSE,TRUE)</f>
        <v>0</v>
      </c>
      <c r="BK436" t="b">
        <f>OR(AND(IF(metadata!Z436="",FALSE,TRUE),OR(EXACT(metadata!Z436,"missing: not collected"),EXACT(metadata!Z436,"missing: not provided"))),AND(IF(metadata!Z436="",FALSE,IF(ISERROR(INT(metadata!Z436)),FALSE,INT(metadata!Z436)=metadata!Z436)),metadata!Z436&gt;0))</f>
        <v>0</v>
      </c>
      <c r="BL436" t="b">
        <f>AND(IF(metadata!AA436="",FALSE,TRUE),EXACT(metadata!AA436,"Not applicable"))</f>
        <v>0</v>
      </c>
      <c r="BM436" t="b">
        <f>IF(metadata!AB436="",FALSE,TRUE)</f>
        <v>0</v>
      </c>
    </row>
    <row r="437" spans="1:65" x14ac:dyDescent="0.2">
      <c r="A437" s="5" t="str">
        <f ca="1">IF(B437=" "," ",HYPERLINK(CONCATENATE("#metadata!",ADDRESS(INDEX($AH$2:$AH$1001,MATCH(ROWS($AF$2:AF437),$AF$2:$AF$1001,0),0),1)),INDEX($AK$2:$AK$1001,MATCH(ROWS($AF$2:AF437),$AF$2:$AF$1001,0),0)))</f>
        <v xml:space="preserve"> </v>
      </c>
      <c r="B437" s="4" t="str">
        <f ca="1">IF(OR(INDEX($AG$2:$AG$1001,MATCH(ROWS($AF$2:AF437),$AF$2:$AF$1001,0),1)&gt;=100000,INDEX($AM$1005:$BM$1005,1,MATCH(COLUMNS($AM$1006:AM1006),$AM$1006:$BM$1006,0))&gt;=100000), " ",IF(INDEX($AM$2:$BM$1001,MATCH(ROWS($AF$2:AF437),$AF$2:$AF$1001,0),MATCH(COLUMNS($AM$1006:AM1006),$AM$1006:$BM$1006,0)), HYPERLINK("#",""), HYPERLINK(CONCATENATE("#metadata!", ADDRESS(INDEX($AH$2:$AH$1001,MATCH(ROWS($AF$2:AF437),$AF$2:$AF$1001,0),0), INDEX($AM$1004:$BM$1004,1,MATCH(COLUMNS($AM$1006:AM1006),$AM$1006:$BM$1006,0)))),"Fix")))</f>
        <v xml:space="preserve"> </v>
      </c>
      <c r="C437" s="4" t="str">
        <f ca="1">IF(OR(INDEX($AG$2:$AG$1001,MATCH(ROWS($AF$2:AF437),$AF$2:$AF$1001,0),1)&gt;=100000,INDEX($AM$1005:$BM$1005,1,MATCH(COLUMNS($AM$1006:AN1006),$AM$1006:$BM$1006,0))&gt;=100000), " ",IF(INDEX($AM$2:$BM$1001,MATCH(ROWS($AF$2:AF437),$AF$2:$AF$1001,0),MATCH(COLUMNS($AM$1006:AN1006),$AM$1006:$BM$1006,0)), HYPERLINK("#",""), HYPERLINK(CONCATENATE("#metadata!", ADDRESS(INDEX($AH$2:$AH$1001,MATCH(ROWS($AF$2:AF437),$AF$2:$AF$1001,0),0), INDEX($AM$1004:$BM$1004,1,MATCH(COLUMNS($AM$1006:AN1006),$AM$1006:$BM$1006,0)))),"Fix")))</f>
        <v xml:space="preserve"> </v>
      </c>
      <c r="D437" s="4" t="str">
        <f ca="1">IF(OR(INDEX($AG$2:$AG$1001,MATCH(ROWS($AF$2:AF437),$AF$2:$AF$1001,0),1)&gt;=100000,INDEX($AM$1005:$BM$1005,1,MATCH(COLUMNS($AM$1006:AO1006),$AM$1006:$BM$1006,0))&gt;=100000), " ",IF(INDEX($AM$2:$BM$1001,MATCH(ROWS($AF$2:AF437),$AF$2:$AF$1001,0),MATCH(COLUMNS($AM$1006:AO1006),$AM$1006:$BM$1006,0)), HYPERLINK("#",""), HYPERLINK(CONCATENATE("#metadata!", ADDRESS(INDEX($AH$2:$AH$1001,MATCH(ROWS($AF$2:AF437),$AF$2:$AF$1001,0),0), INDEX($AM$1004:$BM$1004,1,MATCH(COLUMNS($AM$1006:AO1006),$AM$1006:$BM$1006,0)))),"Fix")))</f>
        <v xml:space="preserve"> </v>
      </c>
      <c r="E437" s="4" t="str">
        <f ca="1">IF(OR(INDEX($AG$2:$AG$1001,MATCH(ROWS($AF$2:AF437),$AF$2:$AF$1001,0),1)&gt;=100000,INDEX($AM$1005:$BM$1005,1,MATCH(COLUMNS($AM$1006:AP1006),$AM$1006:$BM$1006,0))&gt;=100000), " ",IF(INDEX($AM$2:$BM$1001,MATCH(ROWS($AF$2:AF437),$AF$2:$AF$1001,0),MATCH(COLUMNS($AM$1006:AP1006),$AM$1006:$BM$1006,0)), HYPERLINK("#",""), HYPERLINK(CONCATENATE("#metadata!", ADDRESS(INDEX($AH$2:$AH$1001,MATCH(ROWS($AF$2:AF437),$AF$2:$AF$1001,0),0), INDEX($AM$1004:$BM$1004,1,MATCH(COLUMNS($AM$1006:AP1006),$AM$1006:$BM$1006,0)))),"Fix")))</f>
        <v xml:space="preserve"> </v>
      </c>
      <c r="F437" s="4" t="str">
        <f ca="1">IF(OR(INDEX($AG$2:$AG$1001,MATCH(ROWS($AF$2:AF437),$AF$2:$AF$1001,0),1)&gt;=100000,INDEX($AM$1005:$BM$1005,1,MATCH(COLUMNS($AM$1006:AQ1006),$AM$1006:$BM$1006,0))&gt;=100000), " ",IF(INDEX($AM$2:$BM$1001,MATCH(ROWS($AF$2:AF437),$AF$2:$AF$1001,0),MATCH(COLUMNS($AM$1006:AQ1006),$AM$1006:$BM$1006,0)), HYPERLINK("#",""), HYPERLINK(CONCATENATE("#metadata!", ADDRESS(INDEX($AH$2:$AH$1001,MATCH(ROWS($AF$2:AF437),$AF$2:$AF$1001,0),0), INDEX($AM$1004:$BM$1004,1,MATCH(COLUMNS($AM$1006:AQ1006),$AM$1006:$BM$1006,0)))),"Fix")))</f>
        <v xml:space="preserve"> </v>
      </c>
      <c r="G437" s="4" t="str">
        <f ca="1">IF(OR(INDEX($AG$2:$AG$1001,MATCH(ROWS($AF$2:AF437),$AF$2:$AF$1001,0),1)&gt;=100000,INDEX($AM$1005:$BM$1005,1,MATCH(COLUMNS($AM$1006:AR1006),$AM$1006:$BM$1006,0))&gt;=100000), " ",IF(INDEX($AM$2:$BM$1001,MATCH(ROWS($AF$2:AF437),$AF$2:$AF$1001,0),MATCH(COLUMNS($AM$1006:AR1006),$AM$1006:$BM$1006,0)), HYPERLINK("#",""), HYPERLINK(CONCATENATE("#metadata!", ADDRESS(INDEX($AH$2:$AH$1001,MATCH(ROWS($AF$2:AF437),$AF$2:$AF$1001,0),0), INDEX($AM$1004:$BM$1004,1,MATCH(COLUMNS($AM$1006:AR1006),$AM$1006:$BM$1006,0)))),"Fix")))</f>
        <v xml:space="preserve"> </v>
      </c>
      <c r="H437" s="4" t="str">
        <f ca="1">IF(OR(INDEX($AG$2:$AG$1001,MATCH(ROWS($AF$2:AF437),$AF$2:$AF$1001,0),1)&gt;=100000,INDEX($AM$1005:$BM$1005,1,MATCH(COLUMNS($AM$1006:AS1006),$AM$1006:$BM$1006,0))&gt;=100000), " ",IF(INDEX($AM$2:$BM$1001,MATCH(ROWS($AF$2:AF437),$AF$2:$AF$1001,0),MATCH(COLUMNS($AM$1006:AS1006),$AM$1006:$BM$1006,0)), HYPERLINK("#",""), HYPERLINK(CONCATENATE("#metadata!", ADDRESS(INDEX($AH$2:$AH$1001,MATCH(ROWS($AF$2:AF437),$AF$2:$AF$1001,0),0), INDEX($AM$1004:$BM$1004,1,MATCH(COLUMNS($AM$1006:AS1006),$AM$1006:$BM$1006,0)))),"Fix")))</f>
        <v xml:space="preserve"> </v>
      </c>
      <c r="I437" s="4" t="str">
        <f ca="1">IF(OR(INDEX($AG$2:$AG$1001,MATCH(ROWS($AF$2:AF437),$AF$2:$AF$1001,0),1)&gt;=100000,INDEX($AM$1005:$BM$1005,1,MATCH(COLUMNS($AM$1006:AT1006),$AM$1006:$BM$1006,0))&gt;=100000), " ",IF(INDEX($AM$2:$BM$1001,MATCH(ROWS($AF$2:AF437),$AF$2:$AF$1001,0),MATCH(COLUMNS($AM$1006:AT1006),$AM$1006:$BM$1006,0)), HYPERLINK("#",""), HYPERLINK(CONCATENATE("#metadata!", ADDRESS(INDEX($AH$2:$AH$1001,MATCH(ROWS($AF$2:AF437),$AF$2:$AF$1001,0),0), INDEX($AM$1004:$BM$1004,1,MATCH(COLUMNS($AM$1006:AT1006),$AM$1006:$BM$1006,0)))),"Fix")))</f>
        <v xml:space="preserve"> </v>
      </c>
      <c r="J437" s="4" t="str">
        <f ca="1">IF(OR(INDEX($AG$2:$AG$1001,MATCH(ROWS($AF$2:AF437),$AF$2:$AF$1001,0),1)&gt;=100000,INDEX($AM$1005:$BM$1005,1,MATCH(COLUMNS($AM$1006:AU1006),$AM$1006:$BM$1006,0))&gt;=100000), " ",IF(INDEX($AM$2:$BM$1001,MATCH(ROWS($AF$2:AF437),$AF$2:$AF$1001,0),MATCH(COLUMNS($AM$1006:AU1006),$AM$1006:$BM$1006,0)), HYPERLINK("#",""), HYPERLINK(CONCATENATE("#metadata!", ADDRESS(INDEX($AH$2:$AH$1001,MATCH(ROWS($AF$2:AF437),$AF$2:$AF$1001,0),0), INDEX($AM$1004:$BM$1004,1,MATCH(COLUMNS($AM$1006:AU1006),$AM$1006:$BM$1006,0)))),"Fix")))</f>
        <v xml:space="preserve"> </v>
      </c>
      <c r="K437" s="4" t="str">
        <f ca="1">IF(OR(INDEX($AG$2:$AG$1001,MATCH(ROWS($AF$2:AF437),$AF$2:$AF$1001,0),1)&gt;=100000,INDEX($AM$1005:$BM$1005,1,MATCH(COLUMNS($AM$1006:AV1006),$AM$1006:$BM$1006,0))&gt;=100000), " ",IF(INDEX($AM$2:$BM$1001,MATCH(ROWS($AF$2:AF437),$AF$2:$AF$1001,0),MATCH(COLUMNS($AM$1006:AV1006),$AM$1006:$BM$1006,0)), HYPERLINK("#",""), HYPERLINK(CONCATENATE("#metadata!", ADDRESS(INDEX($AH$2:$AH$1001,MATCH(ROWS($AF$2:AF437),$AF$2:$AF$1001,0),0), INDEX($AM$1004:$BM$1004,1,MATCH(COLUMNS($AM$1006:AV1006),$AM$1006:$BM$1006,0)))),"Fix")))</f>
        <v xml:space="preserve"> </v>
      </c>
      <c r="L437" s="4" t="str">
        <f ca="1">IF(OR(INDEX($AG$2:$AG$1001,MATCH(ROWS($AF$2:AF437),$AF$2:$AF$1001,0),1)&gt;=100000,INDEX($AM$1005:$BM$1005,1,MATCH(COLUMNS($AM$1006:AW1006),$AM$1006:$BM$1006,0))&gt;=100000), " ",IF(INDEX($AM$2:$BM$1001,MATCH(ROWS($AF$2:AF437),$AF$2:$AF$1001,0),MATCH(COLUMNS($AM$1006:AW1006),$AM$1006:$BM$1006,0)), HYPERLINK("#",""), HYPERLINK(CONCATENATE("#metadata!", ADDRESS(INDEX($AH$2:$AH$1001,MATCH(ROWS($AF$2:AF437),$AF$2:$AF$1001,0),0), INDEX($AM$1004:$BM$1004,1,MATCH(COLUMNS($AM$1006:AW1006),$AM$1006:$BM$1006,0)))),"Fix")))</f>
        <v xml:space="preserve"> </v>
      </c>
      <c r="M437" s="4" t="str">
        <f ca="1">IF(OR(INDEX($AG$2:$AG$1001,MATCH(ROWS($AF$2:AF437),$AF$2:$AF$1001,0),1)&gt;=100000,INDEX($AM$1005:$BM$1005,1,MATCH(COLUMNS($AM$1006:AX1006),$AM$1006:$BM$1006,0))&gt;=100000), " ",IF(INDEX($AM$2:$BM$1001,MATCH(ROWS($AF$2:AF437),$AF$2:$AF$1001,0),MATCH(COLUMNS($AM$1006:AX1006),$AM$1006:$BM$1006,0)), HYPERLINK("#",""), HYPERLINK(CONCATENATE("#metadata!", ADDRESS(INDEX($AH$2:$AH$1001,MATCH(ROWS($AF$2:AF437),$AF$2:$AF$1001,0),0), INDEX($AM$1004:$BM$1004,1,MATCH(COLUMNS($AM$1006:AX1006),$AM$1006:$BM$1006,0)))),"Fix")))</f>
        <v xml:space="preserve"> </v>
      </c>
      <c r="N437" s="4" t="str">
        <f ca="1">IF(OR(INDEX($AG$2:$AG$1001,MATCH(ROWS($AF$2:AF437),$AF$2:$AF$1001,0),1)&gt;=100000,INDEX($AM$1005:$BM$1005,1,MATCH(COLUMNS($AM$1006:AY1006),$AM$1006:$BM$1006,0))&gt;=100000), " ",IF(INDEX($AM$2:$BM$1001,MATCH(ROWS($AF$2:AF437),$AF$2:$AF$1001,0),MATCH(COLUMNS($AM$1006:AY1006),$AM$1006:$BM$1006,0)), HYPERLINK("#",""), HYPERLINK(CONCATENATE("#metadata!", ADDRESS(INDEX($AH$2:$AH$1001,MATCH(ROWS($AF$2:AF437),$AF$2:$AF$1001,0),0), INDEX($AM$1004:$BM$1004,1,MATCH(COLUMNS($AM$1006:AY1006),$AM$1006:$BM$1006,0)))),"Fix")))</f>
        <v xml:space="preserve"> </v>
      </c>
      <c r="O437" s="4" t="str">
        <f ca="1">IF(OR(INDEX($AG$2:$AG$1001,MATCH(ROWS($AF$2:AF437),$AF$2:$AF$1001,0),1)&gt;=100000,INDEX($AM$1005:$BM$1005,1,MATCH(COLUMNS($AM$1006:AZ1006),$AM$1006:$BM$1006,0))&gt;=100000), " ",IF(INDEX($AM$2:$BM$1001,MATCH(ROWS($AF$2:AF437),$AF$2:$AF$1001,0),MATCH(COLUMNS($AM$1006:AZ1006),$AM$1006:$BM$1006,0)), HYPERLINK("#",""), HYPERLINK(CONCATENATE("#metadata!", ADDRESS(INDEX($AH$2:$AH$1001,MATCH(ROWS($AF$2:AF437),$AF$2:$AF$1001,0),0), INDEX($AM$1004:$BM$1004,1,MATCH(COLUMNS($AM$1006:AZ1006),$AM$1006:$BM$1006,0)))),"Fix")))</f>
        <v xml:space="preserve"> </v>
      </c>
      <c r="P437" s="4" t="str">
        <f ca="1">IF(OR(INDEX($AG$2:$AG$1001,MATCH(ROWS($AF$2:AF437),$AF$2:$AF$1001,0),1)&gt;=100000,INDEX($AM$1005:$BM$1005,1,MATCH(COLUMNS($AM$1006:BA1006),$AM$1006:$BM$1006,0))&gt;=100000), " ",IF(INDEX($AM$2:$BM$1001,MATCH(ROWS($AF$2:AF437),$AF$2:$AF$1001,0),MATCH(COLUMNS($AM$1006:BA1006),$AM$1006:$BM$1006,0)), HYPERLINK("#",""), HYPERLINK(CONCATENATE("#metadata!", ADDRESS(INDEX($AH$2:$AH$1001,MATCH(ROWS($AF$2:AF437),$AF$2:$AF$1001,0),0), INDEX($AM$1004:$BM$1004,1,MATCH(COLUMNS($AM$1006:BA1006),$AM$1006:$BM$1006,0)))),"Fix")))</f>
        <v xml:space="preserve"> </v>
      </c>
      <c r="Q437" s="4" t="str">
        <f ca="1">IF(OR(INDEX($AG$2:$AG$1001,MATCH(ROWS($AF$2:AF437),$AF$2:$AF$1001,0),1)&gt;=100000,INDEX($AM$1005:$BM$1005,1,MATCH(COLUMNS($AM$1006:BB1006),$AM$1006:$BM$1006,0))&gt;=100000), " ",IF(INDEX($AM$2:$BM$1001,MATCH(ROWS($AF$2:AF437),$AF$2:$AF$1001,0),MATCH(COLUMNS($AM$1006:BB1006),$AM$1006:$BM$1006,0)), HYPERLINK("#",""), HYPERLINK(CONCATENATE("#metadata!", ADDRESS(INDEX($AH$2:$AH$1001,MATCH(ROWS($AF$2:AF437),$AF$2:$AF$1001,0),0), INDEX($AM$1004:$BM$1004,1,MATCH(COLUMNS($AM$1006:BB1006),$AM$1006:$BM$1006,0)))),"Fix")))</f>
        <v xml:space="preserve"> </v>
      </c>
      <c r="R437" s="4" t="str">
        <f ca="1">IF(OR(INDEX($AG$2:$AG$1001,MATCH(ROWS($AF$2:AF437),$AF$2:$AF$1001,0),1)&gt;=100000,INDEX($AM$1005:$BM$1005,1,MATCH(COLUMNS($AM$1006:BC1006),$AM$1006:$BM$1006,0))&gt;=100000), " ",IF(INDEX($AM$2:$BM$1001,MATCH(ROWS($AF$2:AF437),$AF$2:$AF$1001,0),MATCH(COLUMNS($AM$1006:BC1006),$AM$1006:$BM$1006,0)), HYPERLINK("#",""), HYPERLINK(CONCATENATE("#metadata!", ADDRESS(INDEX($AH$2:$AH$1001,MATCH(ROWS($AF$2:AF437),$AF$2:$AF$1001,0),0), INDEX($AM$1004:$BM$1004,1,MATCH(COLUMNS($AM$1006:BC1006),$AM$1006:$BM$1006,0)))),"Fix")))</f>
        <v xml:space="preserve"> </v>
      </c>
      <c r="S437" s="4" t="str">
        <f ca="1">IF(OR(INDEX($AG$2:$AG$1001,MATCH(ROWS($AF$2:AF437),$AF$2:$AF$1001,0),1)&gt;=100000,INDEX($AM$1005:$BM$1005,1,MATCH(COLUMNS($AM$1006:BD1006),$AM$1006:$BM$1006,0))&gt;=100000), " ",IF(INDEX($AM$2:$BM$1001,MATCH(ROWS($AF$2:AF437),$AF$2:$AF$1001,0),MATCH(COLUMNS($AM$1006:BD1006),$AM$1006:$BM$1006,0)), HYPERLINK("#",""), HYPERLINK(CONCATENATE("#metadata!", ADDRESS(INDEX($AH$2:$AH$1001,MATCH(ROWS($AF$2:AF437),$AF$2:$AF$1001,0),0), INDEX($AM$1004:$BM$1004,1,MATCH(COLUMNS($AM$1006:BD1006),$AM$1006:$BM$1006,0)))),"Fix")))</f>
        <v xml:space="preserve"> </v>
      </c>
      <c r="T437" s="4" t="str">
        <f ca="1">IF(OR(INDEX($AG$2:$AG$1001,MATCH(ROWS($AF$2:AF437),$AF$2:$AF$1001,0),1)&gt;=100000,INDEX($AM$1005:$BM$1005,1,MATCH(COLUMNS($AM$1006:BE1006),$AM$1006:$BM$1006,0))&gt;=100000), " ",IF(INDEX($AM$2:$BM$1001,MATCH(ROWS($AF$2:AF437),$AF$2:$AF$1001,0),MATCH(COLUMNS($AM$1006:BE1006),$AM$1006:$BM$1006,0)), HYPERLINK("#",""), HYPERLINK(CONCATENATE("#metadata!", ADDRESS(INDEX($AH$2:$AH$1001,MATCH(ROWS($AF$2:AF437),$AF$2:$AF$1001,0),0), INDEX($AM$1004:$BM$1004,1,MATCH(COLUMNS($AM$1006:BE1006),$AM$1006:$BM$1006,0)))),"Fix")))</f>
        <v xml:space="preserve"> </v>
      </c>
      <c r="U437" s="4" t="str">
        <f ca="1">IF(OR(INDEX($AG$2:$AG$1001,MATCH(ROWS($AF$2:AF437),$AF$2:$AF$1001,0),1)&gt;=100000,INDEX($AM$1005:$BM$1005,1,MATCH(COLUMNS($AM$1006:BF1006),$AM$1006:$BM$1006,0))&gt;=100000), " ",IF(INDEX($AM$2:$BM$1001,MATCH(ROWS($AF$2:AF437),$AF$2:$AF$1001,0),MATCH(COLUMNS($AM$1006:BF1006),$AM$1006:$BM$1006,0)), HYPERLINK("#",""), HYPERLINK(CONCATENATE("#metadata!", ADDRESS(INDEX($AH$2:$AH$1001,MATCH(ROWS($AF$2:AF437),$AF$2:$AF$1001,0),0), INDEX($AM$1004:$BM$1004,1,MATCH(COLUMNS($AM$1006:BF1006),$AM$1006:$BM$1006,0)))),"Fix")))</f>
        <v xml:space="preserve"> </v>
      </c>
      <c r="V437" s="4" t="str">
        <f ca="1">IF(OR(INDEX($AG$2:$AG$1001,MATCH(ROWS($AF$2:AF437),$AF$2:$AF$1001,0),1)&gt;=100000,INDEX($AM$1005:$BM$1005,1,MATCH(COLUMNS($AM$1006:BG1006),$AM$1006:$BM$1006,0))&gt;=100000), " ",IF(INDEX($AM$2:$BM$1001,MATCH(ROWS($AF$2:AF437),$AF$2:$AF$1001,0),MATCH(COLUMNS($AM$1006:BG1006),$AM$1006:$BM$1006,0)), HYPERLINK("#",""), HYPERLINK(CONCATENATE("#metadata!", ADDRESS(INDEX($AH$2:$AH$1001,MATCH(ROWS($AF$2:AF437),$AF$2:$AF$1001,0),0), INDEX($AM$1004:$BM$1004,1,MATCH(COLUMNS($AM$1006:BG1006),$AM$1006:$BM$1006,0)))),"Fix")))</f>
        <v xml:space="preserve"> </v>
      </c>
      <c r="W437" s="4" t="str">
        <f ca="1">IF(OR(INDEX($AG$2:$AG$1001,MATCH(ROWS($AF$2:AF437),$AF$2:$AF$1001,0),1)&gt;=100000,INDEX($AM$1005:$BM$1005,1,MATCH(COLUMNS($AM$1006:BH1006),$AM$1006:$BM$1006,0))&gt;=100000), " ",IF(INDEX($AM$2:$BM$1001,MATCH(ROWS($AF$2:AF437),$AF$2:$AF$1001,0),MATCH(COLUMNS($AM$1006:BH1006),$AM$1006:$BM$1006,0)), HYPERLINK("#",""), HYPERLINK(CONCATENATE("#metadata!", ADDRESS(INDEX($AH$2:$AH$1001,MATCH(ROWS($AF$2:AF437),$AF$2:$AF$1001,0),0), INDEX($AM$1004:$BM$1004,1,MATCH(COLUMNS($AM$1006:BH1006),$AM$1006:$BM$1006,0)))),"Fix")))</f>
        <v xml:space="preserve"> </v>
      </c>
      <c r="X437" s="4" t="str">
        <f ca="1">IF(OR(INDEX($AG$2:$AG$1001,MATCH(ROWS($AF$2:AF437),$AF$2:$AF$1001,0),1)&gt;=100000,INDEX($AM$1005:$BM$1005,1,MATCH(COLUMNS($AM$1006:BI1006),$AM$1006:$BM$1006,0))&gt;=100000), " ",IF(INDEX($AM$2:$BM$1001,MATCH(ROWS($AF$2:AF437),$AF$2:$AF$1001,0),MATCH(COLUMNS($AM$1006:BI1006),$AM$1006:$BM$1006,0)), HYPERLINK("#",""), HYPERLINK(CONCATENATE("#metadata!", ADDRESS(INDEX($AH$2:$AH$1001,MATCH(ROWS($AF$2:AF437),$AF$2:$AF$1001,0),0), INDEX($AM$1004:$BM$1004,1,MATCH(COLUMNS($AM$1006:BI1006),$AM$1006:$BM$1006,0)))),"Fix")))</f>
        <v xml:space="preserve"> </v>
      </c>
      <c r="Y437" s="4" t="str">
        <f ca="1">IF(OR(INDEX($AG$2:$AG$1001,MATCH(ROWS($AF$2:AF437),$AF$2:$AF$1001,0),1)&gt;=100000,INDEX($AM$1005:$BM$1005,1,MATCH(COLUMNS($AM$1006:BJ1006),$AM$1006:$BM$1006,0))&gt;=100000), " ",IF(INDEX($AM$2:$BM$1001,MATCH(ROWS($AF$2:AF437),$AF$2:$AF$1001,0),MATCH(COLUMNS($AM$1006:BJ1006),$AM$1006:$BM$1006,0)), HYPERLINK("#",""), HYPERLINK(CONCATENATE("#metadata!", ADDRESS(INDEX($AH$2:$AH$1001,MATCH(ROWS($AF$2:AF437),$AF$2:$AF$1001,0),0), INDEX($AM$1004:$BM$1004,1,MATCH(COLUMNS($AM$1006:BJ1006),$AM$1006:$BM$1006,0)))),"Fix")))</f>
        <v xml:space="preserve"> </v>
      </c>
      <c r="Z437" s="4" t="str">
        <f ca="1">IF(OR(INDEX($AG$2:$AG$1001,MATCH(ROWS($AF$2:AF437),$AF$2:$AF$1001,0),1)&gt;=100000,INDEX($AM$1005:$BM$1005,1,MATCH(COLUMNS($AM$1006:BK1006),$AM$1006:$BM$1006,0))&gt;=100000), " ",IF(INDEX($AM$2:$BM$1001,MATCH(ROWS($AF$2:AF437),$AF$2:$AF$1001,0),MATCH(COLUMNS($AM$1006:BK1006),$AM$1006:$BM$1006,0)), HYPERLINK("#",""), HYPERLINK(CONCATENATE("#metadata!", ADDRESS(INDEX($AH$2:$AH$1001,MATCH(ROWS($AF$2:AF437),$AF$2:$AF$1001,0),0), INDEX($AM$1004:$BM$1004,1,MATCH(COLUMNS($AM$1006:BK1006),$AM$1006:$BM$1006,0)))),"Fix")))</f>
        <v xml:space="preserve"> </v>
      </c>
      <c r="AA437" s="4" t="str">
        <f ca="1">IF(OR(INDEX($AG$2:$AG$1001,MATCH(ROWS($AF$2:AF437),$AF$2:$AF$1001,0),1)&gt;=100000,INDEX($AM$1005:$BM$1005,1,MATCH(COLUMNS($AM$1006:BL1006),$AM$1006:$BM$1006,0))&gt;=100000), " ",IF(INDEX($AM$2:$BM$1001,MATCH(ROWS($AF$2:AF437),$AF$2:$AF$1001,0),MATCH(COLUMNS($AM$1006:BL1006),$AM$1006:$BM$1006,0)), HYPERLINK("#",""), HYPERLINK(CONCATENATE("#metadata!", ADDRESS(INDEX($AH$2:$AH$1001,MATCH(ROWS($AF$2:AF437),$AF$2:$AF$1001,0),0), INDEX($AM$1004:$BM$1004,1,MATCH(COLUMNS($AM$1006:BL1006),$AM$1006:$BM$1006,0)))),"Fix")))</f>
        <v xml:space="preserve"> </v>
      </c>
      <c r="AB437" s="4" t="str">
        <f ca="1">IF(OR(INDEX($AG$2:$AG$1001,MATCH(ROWS($AF$2:AF437),$AF$2:$AF$1001,0),1)&gt;=100000,INDEX($AM$1005:$BM$1005,1,MATCH(COLUMNS($AM$1006:BM1006),$AM$1006:$BM$1006,0))&gt;=100000), " ",IF(INDEX($AM$2:$BM$1001,MATCH(ROWS($AF$2:AF437),$AF$2:$AF$1001,0),MATCH(COLUMNS($AM$1006:BM1006),$AM$1006:$BM$1006,0)), HYPERLINK("#",""), HYPERLINK(CONCATENATE("#metadata!", ADDRESS(INDEX($AH$2:$AH$1001,MATCH(ROWS($AF$2:AF437),$AF$2:$AF$1001,0),0), INDEX($AM$1004:$BM$1004,1,MATCH(COLUMNS($AM$1006:BM1006),$AM$1006:$BM$1006,0)))),"Fix")))</f>
        <v xml:space="preserve"> </v>
      </c>
      <c r="AF437">
        <v>436</v>
      </c>
      <c r="AG437">
        <v>100437</v>
      </c>
      <c r="AH437">
        <v>437</v>
      </c>
      <c r="AI437" t="b">
        <f t="shared" si="6"/>
        <v>1</v>
      </c>
      <c r="AJ437" t="b">
        <f>COUNTBLANK(metadata!B437:AB437)=COLUMNS(metadata!B437:AB437)</f>
        <v>1</v>
      </c>
      <c r="AK437" t="str">
        <v/>
      </c>
      <c r="AM437" t="b">
        <f ca="1">AND(IF(metadata!B437="",FALSE,TRUE),COUNTIF(metadata!B:B, metadata!B437) = 1,NOT(ISERROR(SUMPRODUCT(SEARCH(MID(metadata!B437,ROW(INDIRECT("1:"&amp;LEN(metadata!B437))), 1),"0123456789abcdefghijklmnopqrstuvwxyzABCDEFGHIJKLMNOPQRSTUVWXYZ.")))))</f>
        <v>0</v>
      </c>
      <c r="AN437" t="b">
        <f ca="1">OR(AND(IF(metadata!C437="",FALSE,TRUE),OR(EXACT(metadata!C437,"missing: not collected"),EXACT(metadata!C437,"missing: not provided"),EXACT(metadata!C437,"missing: restricted access"))),AND(IF(metadata!C437="",FALSE,TRUE),AND(AND(IFERROR(INT(LEFT(metadata!C437,4))&gt;1900,FALSE),IFERROR(INT(LEFT(metadata!C437,4))&lt;=YEAR(NOW()),FALSE)), OR(MID(metadata!C437,5,1)="", AND(AND(MID(metadata!C437,5,1)="-",IFERROR(INT(MID(metadata!C437,6,1))&gt;=0,FALSE),IFERROR(INT(MID(metadata!C437,6,1))&lt;=1,FALSE),NOT(MID(metadata!C437,7,1)=""),IFERROR(INT(MID(metadata!C437,6,2))&gt;=1,FALSE),IFERROR(INT(MID(metadata!C437,6,2))&lt;=12,FALSE)), OR(MID(metadata!C437,8,1)="", AND(AND(MID(metadata!C437,8,1)="-",IFERROR(INT(MID(metadata!C437,9,1))&gt;=0,FALSE),IFERROR(INT(MID(metadata!C437,9,1))&lt;=3,FALSE),NOT(MID(metadata!C437,10,1)=""),IFERROR(INT(MID(metadata!C437,9,2))&gt;=1,FALSE),IFERROR(INT(MID(metadata!C437,9,2))&lt;=31,FALSE)), OR(MID(metadata!C437,11,1)="", AND(AND(MID(metadata!C437,11,1)=" ",IFERROR(INT(MID(metadata!C437,12,1))&gt;=0,FALSE),IFERROR(INT(MID(metadata!C437,12,1))&lt;=2,FALSE),NOT(MID(metadata!C437,13,1)=""),IFERROR(INT(MID(metadata!C437,12,2))&gt;=0,FALSE),IFERROR(INT(MID(metadata!C437,12,2))&lt;=23,FALSE)), OR(MID(metadata!C437,14,1)="", AND(AND(MID(metadata!C437,14,1)=":",IFERROR(INT(MID(metadata!C437,15,1))&gt;=0,FALSE),IFERROR(INT(MID(metadata!C437,15,1))&lt;=5,FALSE),NOT(MID(metadata!C437,16,1)=""),IFERROR(INT(MID(metadata!C437,15,2))&gt;=0,FALSE),IFERROR(INT(MID(metadata!C437,15,2))&lt;=59,FALSE)), OR(MID(metadata!C437,17,1)="", AND(AND(MID(metadata!C437,17,1)=":",IFERROR(INT(MID(metadata!C437,18,1))&gt;=0,FALSE),IFERROR(INT(MID(metadata!C437,18,1))&lt;=5,FALSE),NOT(MID(metadata!C437,19,1)=""),IFERROR(INT(MID(metadata!C437,18,2))&gt;=0,FALSE),IFERROR(INT(MID(metadata!C437,18,2))&lt;=59,FALSE)), LEN(metadata!C437)&lt;=19)))))))))))))</f>
        <v>0</v>
      </c>
      <c r="AO437" t="b">
        <f>AND(IF(metadata!D437="",FALSE,TRUE),EXACT(metadata!D437,"Not applicable"))</f>
        <v>0</v>
      </c>
      <c r="AP437" t="b">
        <f>IF(metadata!E437="",FALSE,TRUE)</f>
        <v>0</v>
      </c>
      <c r="AQ437" t="b">
        <f>OR(AND(IF(metadata!F437="",FALSE,TRUE),OR(EXACT(metadata!F437,"missing: not collected"),EXACT(metadata!F437,"missing: not provided"))),AND(IF(metadata!F437="",FALSE,TRUE),OR(EXACT(metadata!F437,"TRUE"),EXACT(metadata!F437,"FALSE"))))</f>
        <v>0</v>
      </c>
      <c r="AR437" t="b">
        <f>OR(AND(IF(metadata!G437="",FALSE,TRUE),OR(EXACT(metadata!G437,"missing: not collected"),EXACT(metadata!G437,"missing: not provided"),EXACT(metadata!G437,"missing: restricted access"))),AND(IF(metadata!G437="",FALSE,ISNUMBER(VALUE(metadata!G437))),metadata!G437&gt;=-413))</f>
        <v>0</v>
      </c>
      <c r="AS437" t="b">
        <f>AND(IF(metadata!H437="",FALSE,TRUE),EXACT(metadata!H437,"meters"))</f>
        <v>0</v>
      </c>
      <c r="AT437" t="b">
        <f>AND(IF(metadata!I437="",FALSE,TRUE),OR(EXACT(metadata!I437,"Host-associated"),EXACT(metadata!I437,"Free-living")))</f>
        <v>0</v>
      </c>
      <c r="AU437" t="b">
        <f>AND(IF(metadata!J437="",FALSE,TRUE),OR(EXACT(metadata!J437,"Animal"),EXACT(metadata!J437,"Fungus"),EXACT(metadata!J437,"Plant"),EXACT(metadata!J437,"Saline"),EXACT(metadata!J437,"Non-saline")))</f>
        <v>0</v>
      </c>
      <c r="AV437" t="b">
        <f>AND(IF(metadata!K437="",FALSE,TRUE),OR(EXACT(metadata!K437,"Plant secretion"),EXACT(metadata!K437,"Plant rhizosphere"),EXACT(metadata!K437,"Plant surface"),EXACT(metadata!K437,"Plant corpus"),EXACT(metadata!K437,"Fungus surface"),EXACT(metadata!K437,"Fungus corpus"),EXACT(metadata!K437,"Animal surface"),EXACT(metadata!K437,"Animal proximal gut"),EXACT(metadata!K437,"Animal corpus"),EXACT(metadata!K437,"Animal distal gut"),EXACT(metadata!K437,"Animal secretion"),EXACT(metadata!K437,"Sub-surface (non-saline)"),EXACT(metadata!K437,"Surface (non-saline)"),EXACT(metadata!K437,"Water (non-saline)"),EXACT(metadata!K437,"Soil (non-saline)"),EXACT(metadata!K437,"Aerosol (non-saline)"),EXACT(metadata!K437,"Sediment (non-saline)"),EXACT(metadata!K437,"Surface (saline)"),EXACT(metadata!K437,"Water (saline)"),EXACT(metadata!K437,"Hypersaline (saline)"),EXACT(metadata!K437,"Aerosol (saline)"),EXACT(metadata!K437,"Sediment (saline)")))</f>
        <v>0</v>
      </c>
      <c r="AW437" t="b">
        <f>IF(metadata!L437="",FALSE,TRUE)</f>
        <v>0</v>
      </c>
      <c r="AX437" t="b">
        <f>IF(metadata!M437="",FALSE,TRUE)</f>
        <v>0</v>
      </c>
      <c r="AY437" t="b">
        <f>IF(metadata!N437="",FALSE,TRUE)</f>
        <v>0</v>
      </c>
      <c r="AZ437" t="b">
        <f>OR(AND(IF(metadata!O437="",FALSE,TRUE),OR(EXACT(metadata!O437,"missing: not collected"),EXACT(metadata!O437,"missing: not provided"),EXACT(metadata!O437,"missing: restricted access"))),AND(IF(metadata!O437="",FALSE,TRUE),OR(EXACT(metadata!O437,"air"),EXACT(metadata!O437,"built environment"),EXACT(metadata!O437,"host-associated"),EXACT(metadata!O437,"human-associated"),EXACT(metadata!O437,"human-skin"),EXACT(metadata!O437,"human-oral"),EXACT(metadata!O437,"human-gut"),EXACT(metadata!O437,"human-vaginal"),EXACT(metadata!O437,"microbial mat/biofilm"),EXACT(metadata!O437,"misc environment"),EXACT(metadata!O437,"plant-associated"),EXACT(metadata!O437,"sediment"),EXACT(metadata!O437,"soil"),EXACT(metadata!O437,"wastewater/sludge"),EXACT(metadata!O437,"water"))))</f>
        <v>0</v>
      </c>
      <c r="BA437" t="b">
        <f>IF(metadata!P437="",FALSE,TRUE)</f>
        <v>0</v>
      </c>
      <c r="BB437" t="b">
        <f>IF(metadata!Q437="",FALSE,TRUE)</f>
        <v>0</v>
      </c>
      <c r="BC437" t="b">
        <f>OR(AND(IF(metadata!R437="",FALSE,TRUE),OR(EXACT(metadata!R437,"missing: not collected"),EXACT(metadata!R437,"missing: not provided"),EXACT(metadata!R437,"missing: restricted access"))),AND(IF(metadata!R437="",FALSE,ISNUMBER(VALUE(metadata!R437))),metadata!R437&gt;=-90,metadata!R437&lt;=90))</f>
        <v>0</v>
      </c>
      <c r="BD437" t="b">
        <f>AND(IF(metadata!S437="",FALSE,TRUE),EXACT(metadata!S437,"Decimal degrees"))</f>
        <v>0</v>
      </c>
      <c r="BE437" t="b">
        <f>OR(AND(IF(metadata!T437="",FALSE,TRUE),OR(EXACT(metadata!T437,"missing: not collected"),EXACT(metadata!T437,"missing: not provided"),EXACT(metadata!T437,"missing: restricted access"))),AND(IF(metadata!T437="",FALSE,ISNUMBER(VALUE(metadata!T437))),metadata!T437&gt;=-180,metadata!T437&lt;=180))</f>
        <v>0</v>
      </c>
      <c r="BF437" t="b">
        <f>AND(IF(metadata!U437="",FALSE,TRUE),EXACT(metadata!U437,"Decimal degrees"))</f>
        <v>0</v>
      </c>
      <c r="BG437" t="b">
        <f>IF(metadata!V437="",FALSE,TRUE)</f>
        <v>0</v>
      </c>
      <c r="BH437" t="b">
        <f>OR(AND(IF(metadata!W437="",FALSE,TRUE),OR(EXACT(metadata!W437,"missing: not collected"),EXACT(metadata!W437,"missing: not provided"),EXACT(metadata!W437,"missing: restricted access"))),AND(IF(metadata!W437="",FALSE,TRUE),OR(EXACT(metadata!W437,"TRUE"),EXACT(metadata!W437,"FALSE"))))</f>
        <v>0</v>
      </c>
      <c r="BI437" t="b">
        <f>AND(IF(metadata!X437="",FALSE,TRUE),EXACT(metadata!X437,"other"))</f>
        <v>0</v>
      </c>
      <c r="BJ437" t="b">
        <f>IF(metadata!Y437="",FALSE,TRUE)</f>
        <v>0</v>
      </c>
      <c r="BK437" t="b">
        <f>OR(AND(IF(metadata!Z437="",FALSE,TRUE),OR(EXACT(metadata!Z437,"missing: not collected"),EXACT(metadata!Z437,"missing: not provided"))),AND(IF(metadata!Z437="",FALSE,IF(ISERROR(INT(metadata!Z437)),FALSE,INT(metadata!Z437)=metadata!Z437)),metadata!Z437&gt;0))</f>
        <v>0</v>
      </c>
      <c r="BL437" t="b">
        <f>AND(IF(metadata!AA437="",FALSE,TRUE),EXACT(metadata!AA437,"Not applicable"))</f>
        <v>0</v>
      </c>
      <c r="BM437" t="b">
        <f>IF(metadata!AB437="",FALSE,TRUE)</f>
        <v>0</v>
      </c>
    </row>
    <row r="438" spans="1:65" x14ac:dyDescent="0.2">
      <c r="A438" s="5" t="str">
        <f ca="1">IF(B438=" "," ",HYPERLINK(CONCATENATE("#metadata!",ADDRESS(INDEX($AH$2:$AH$1001,MATCH(ROWS($AF$2:AF438),$AF$2:$AF$1001,0),0),1)),INDEX($AK$2:$AK$1001,MATCH(ROWS($AF$2:AF438),$AF$2:$AF$1001,0),0)))</f>
        <v xml:space="preserve"> </v>
      </c>
      <c r="B438" s="4" t="str">
        <f ca="1">IF(OR(INDEX($AG$2:$AG$1001,MATCH(ROWS($AF$2:AF438),$AF$2:$AF$1001,0),1)&gt;=100000,INDEX($AM$1005:$BM$1005,1,MATCH(COLUMNS($AM$1006:AM1006),$AM$1006:$BM$1006,0))&gt;=100000), " ",IF(INDEX($AM$2:$BM$1001,MATCH(ROWS($AF$2:AF438),$AF$2:$AF$1001,0),MATCH(COLUMNS($AM$1006:AM1006),$AM$1006:$BM$1006,0)), HYPERLINK("#",""), HYPERLINK(CONCATENATE("#metadata!", ADDRESS(INDEX($AH$2:$AH$1001,MATCH(ROWS($AF$2:AF438),$AF$2:$AF$1001,0),0), INDEX($AM$1004:$BM$1004,1,MATCH(COLUMNS($AM$1006:AM1006),$AM$1006:$BM$1006,0)))),"Fix")))</f>
        <v xml:space="preserve"> </v>
      </c>
      <c r="C438" s="4" t="str">
        <f ca="1">IF(OR(INDEX($AG$2:$AG$1001,MATCH(ROWS($AF$2:AF438),$AF$2:$AF$1001,0),1)&gt;=100000,INDEX($AM$1005:$BM$1005,1,MATCH(COLUMNS($AM$1006:AN1006),$AM$1006:$BM$1006,0))&gt;=100000), " ",IF(INDEX($AM$2:$BM$1001,MATCH(ROWS($AF$2:AF438),$AF$2:$AF$1001,0),MATCH(COLUMNS($AM$1006:AN1006),$AM$1006:$BM$1006,0)), HYPERLINK("#",""), HYPERLINK(CONCATENATE("#metadata!", ADDRESS(INDEX($AH$2:$AH$1001,MATCH(ROWS($AF$2:AF438),$AF$2:$AF$1001,0),0), INDEX($AM$1004:$BM$1004,1,MATCH(COLUMNS($AM$1006:AN1006),$AM$1006:$BM$1006,0)))),"Fix")))</f>
        <v xml:space="preserve"> </v>
      </c>
      <c r="D438" s="4" t="str">
        <f ca="1">IF(OR(INDEX($AG$2:$AG$1001,MATCH(ROWS($AF$2:AF438),$AF$2:$AF$1001,0),1)&gt;=100000,INDEX($AM$1005:$BM$1005,1,MATCH(COLUMNS($AM$1006:AO1006),$AM$1006:$BM$1006,0))&gt;=100000), " ",IF(INDEX($AM$2:$BM$1001,MATCH(ROWS($AF$2:AF438),$AF$2:$AF$1001,0),MATCH(COLUMNS($AM$1006:AO1006),$AM$1006:$BM$1006,0)), HYPERLINK("#",""), HYPERLINK(CONCATENATE("#metadata!", ADDRESS(INDEX($AH$2:$AH$1001,MATCH(ROWS($AF$2:AF438),$AF$2:$AF$1001,0),0), INDEX($AM$1004:$BM$1004,1,MATCH(COLUMNS($AM$1006:AO1006),$AM$1006:$BM$1006,0)))),"Fix")))</f>
        <v xml:space="preserve"> </v>
      </c>
      <c r="E438" s="4" t="str">
        <f ca="1">IF(OR(INDEX($AG$2:$AG$1001,MATCH(ROWS($AF$2:AF438),$AF$2:$AF$1001,0),1)&gt;=100000,INDEX($AM$1005:$BM$1005,1,MATCH(COLUMNS($AM$1006:AP1006),$AM$1006:$BM$1006,0))&gt;=100000), " ",IF(INDEX($AM$2:$BM$1001,MATCH(ROWS($AF$2:AF438),$AF$2:$AF$1001,0),MATCH(COLUMNS($AM$1006:AP1006),$AM$1006:$BM$1006,0)), HYPERLINK("#",""), HYPERLINK(CONCATENATE("#metadata!", ADDRESS(INDEX($AH$2:$AH$1001,MATCH(ROWS($AF$2:AF438),$AF$2:$AF$1001,0),0), INDEX($AM$1004:$BM$1004,1,MATCH(COLUMNS($AM$1006:AP1006),$AM$1006:$BM$1006,0)))),"Fix")))</f>
        <v xml:space="preserve"> </v>
      </c>
      <c r="F438" s="4" t="str">
        <f ca="1">IF(OR(INDEX($AG$2:$AG$1001,MATCH(ROWS($AF$2:AF438),$AF$2:$AF$1001,0),1)&gt;=100000,INDEX($AM$1005:$BM$1005,1,MATCH(COLUMNS($AM$1006:AQ1006),$AM$1006:$BM$1006,0))&gt;=100000), " ",IF(INDEX($AM$2:$BM$1001,MATCH(ROWS($AF$2:AF438),$AF$2:$AF$1001,0),MATCH(COLUMNS($AM$1006:AQ1006),$AM$1006:$BM$1006,0)), HYPERLINK("#",""), HYPERLINK(CONCATENATE("#metadata!", ADDRESS(INDEX($AH$2:$AH$1001,MATCH(ROWS($AF$2:AF438),$AF$2:$AF$1001,0),0), INDEX($AM$1004:$BM$1004,1,MATCH(COLUMNS($AM$1006:AQ1006),$AM$1006:$BM$1006,0)))),"Fix")))</f>
        <v xml:space="preserve"> </v>
      </c>
      <c r="G438" s="4" t="str">
        <f ca="1">IF(OR(INDEX($AG$2:$AG$1001,MATCH(ROWS($AF$2:AF438),$AF$2:$AF$1001,0),1)&gt;=100000,INDEX($AM$1005:$BM$1005,1,MATCH(COLUMNS($AM$1006:AR1006),$AM$1006:$BM$1006,0))&gt;=100000), " ",IF(INDEX($AM$2:$BM$1001,MATCH(ROWS($AF$2:AF438),$AF$2:$AF$1001,0),MATCH(COLUMNS($AM$1006:AR1006),$AM$1006:$BM$1006,0)), HYPERLINK("#",""), HYPERLINK(CONCATENATE("#metadata!", ADDRESS(INDEX($AH$2:$AH$1001,MATCH(ROWS($AF$2:AF438),$AF$2:$AF$1001,0),0), INDEX($AM$1004:$BM$1004,1,MATCH(COLUMNS($AM$1006:AR1006),$AM$1006:$BM$1006,0)))),"Fix")))</f>
        <v xml:space="preserve"> </v>
      </c>
      <c r="H438" s="4" t="str">
        <f ca="1">IF(OR(INDEX($AG$2:$AG$1001,MATCH(ROWS($AF$2:AF438),$AF$2:$AF$1001,0),1)&gt;=100000,INDEX($AM$1005:$BM$1005,1,MATCH(COLUMNS($AM$1006:AS1006),$AM$1006:$BM$1006,0))&gt;=100000), " ",IF(INDEX($AM$2:$BM$1001,MATCH(ROWS($AF$2:AF438),$AF$2:$AF$1001,0),MATCH(COLUMNS($AM$1006:AS1006),$AM$1006:$BM$1006,0)), HYPERLINK("#",""), HYPERLINK(CONCATENATE("#metadata!", ADDRESS(INDEX($AH$2:$AH$1001,MATCH(ROWS($AF$2:AF438),$AF$2:$AF$1001,0),0), INDEX($AM$1004:$BM$1004,1,MATCH(COLUMNS($AM$1006:AS1006),$AM$1006:$BM$1006,0)))),"Fix")))</f>
        <v xml:space="preserve"> </v>
      </c>
      <c r="I438" s="4" t="str">
        <f ca="1">IF(OR(INDEX($AG$2:$AG$1001,MATCH(ROWS($AF$2:AF438),$AF$2:$AF$1001,0),1)&gt;=100000,INDEX($AM$1005:$BM$1005,1,MATCH(COLUMNS($AM$1006:AT1006),$AM$1006:$BM$1006,0))&gt;=100000), " ",IF(INDEX($AM$2:$BM$1001,MATCH(ROWS($AF$2:AF438),$AF$2:$AF$1001,0),MATCH(COLUMNS($AM$1006:AT1006),$AM$1006:$BM$1006,0)), HYPERLINK("#",""), HYPERLINK(CONCATENATE("#metadata!", ADDRESS(INDEX($AH$2:$AH$1001,MATCH(ROWS($AF$2:AF438),$AF$2:$AF$1001,0),0), INDEX($AM$1004:$BM$1004,1,MATCH(COLUMNS($AM$1006:AT1006),$AM$1006:$BM$1006,0)))),"Fix")))</f>
        <v xml:space="preserve"> </v>
      </c>
      <c r="J438" s="4" t="str">
        <f ca="1">IF(OR(INDEX($AG$2:$AG$1001,MATCH(ROWS($AF$2:AF438),$AF$2:$AF$1001,0),1)&gt;=100000,INDEX($AM$1005:$BM$1005,1,MATCH(COLUMNS($AM$1006:AU1006),$AM$1006:$BM$1006,0))&gt;=100000), " ",IF(INDEX($AM$2:$BM$1001,MATCH(ROWS($AF$2:AF438),$AF$2:$AF$1001,0),MATCH(COLUMNS($AM$1006:AU1006),$AM$1006:$BM$1006,0)), HYPERLINK("#",""), HYPERLINK(CONCATENATE("#metadata!", ADDRESS(INDEX($AH$2:$AH$1001,MATCH(ROWS($AF$2:AF438),$AF$2:$AF$1001,0),0), INDEX($AM$1004:$BM$1004,1,MATCH(COLUMNS($AM$1006:AU1006),$AM$1006:$BM$1006,0)))),"Fix")))</f>
        <v xml:space="preserve"> </v>
      </c>
      <c r="K438" s="4" t="str">
        <f ca="1">IF(OR(INDEX($AG$2:$AG$1001,MATCH(ROWS($AF$2:AF438),$AF$2:$AF$1001,0),1)&gt;=100000,INDEX($AM$1005:$BM$1005,1,MATCH(COLUMNS($AM$1006:AV1006),$AM$1006:$BM$1006,0))&gt;=100000), " ",IF(INDEX($AM$2:$BM$1001,MATCH(ROWS($AF$2:AF438),$AF$2:$AF$1001,0),MATCH(COLUMNS($AM$1006:AV1006),$AM$1006:$BM$1006,0)), HYPERLINK("#",""), HYPERLINK(CONCATENATE("#metadata!", ADDRESS(INDEX($AH$2:$AH$1001,MATCH(ROWS($AF$2:AF438),$AF$2:$AF$1001,0),0), INDEX($AM$1004:$BM$1004,1,MATCH(COLUMNS($AM$1006:AV1006),$AM$1006:$BM$1006,0)))),"Fix")))</f>
        <v xml:space="preserve"> </v>
      </c>
      <c r="L438" s="4" t="str">
        <f ca="1">IF(OR(INDEX($AG$2:$AG$1001,MATCH(ROWS($AF$2:AF438),$AF$2:$AF$1001,0),1)&gt;=100000,INDEX($AM$1005:$BM$1005,1,MATCH(COLUMNS($AM$1006:AW1006),$AM$1006:$BM$1006,0))&gt;=100000), " ",IF(INDEX($AM$2:$BM$1001,MATCH(ROWS($AF$2:AF438),$AF$2:$AF$1001,0),MATCH(COLUMNS($AM$1006:AW1006),$AM$1006:$BM$1006,0)), HYPERLINK("#",""), HYPERLINK(CONCATENATE("#metadata!", ADDRESS(INDEX($AH$2:$AH$1001,MATCH(ROWS($AF$2:AF438),$AF$2:$AF$1001,0),0), INDEX($AM$1004:$BM$1004,1,MATCH(COLUMNS($AM$1006:AW1006),$AM$1006:$BM$1006,0)))),"Fix")))</f>
        <v xml:space="preserve"> </v>
      </c>
      <c r="M438" s="4" t="str">
        <f ca="1">IF(OR(INDEX($AG$2:$AG$1001,MATCH(ROWS($AF$2:AF438),$AF$2:$AF$1001,0),1)&gt;=100000,INDEX($AM$1005:$BM$1005,1,MATCH(COLUMNS($AM$1006:AX1006),$AM$1006:$BM$1006,0))&gt;=100000), " ",IF(INDEX($AM$2:$BM$1001,MATCH(ROWS($AF$2:AF438),$AF$2:$AF$1001,0),MATCH(COLUMNS($AM$1006:AX1006),$AM$1006:$BM$1006,0)), HYPERLINK("#",""), HYPERLINK(CONCATENATE("#metadata!", ADDRESS(INDEX($AH$2:$AH$1001,MATCH(ROWS($AF$2:AF438),$AF$2:$AF$1001,0),0), INDEX($AM$1004:$BM$1004,1,MATCH(COLUMNS($AM$1006:AX1006),$AM$1006:$BM$1006,0)))),"Fix")))</f>
        <v xml:space="preserve"> </v>
      </c>
      <c r="N438" s="4" t="str">
        <f ca="1">IF(OR(INDEX($AG$2:$AG$1001,MATCH(ROWS($AF$2:AF438),$AF$2:$AF$1001,0),1)&gt;=100000,INDEX($AM$1005:$BM$1005,1,MATCH(COLUMNS($AM$1006:AY1006),$AM$1006:$BM$1006,0))&gt;=100000), " ",IF(INDEX($AM$2:$BM$1001,MATCH(ROWS($AF$2:AF438),$AF$2:$AF$1001,0),MATCH(COLUMNS($AM$1006:AY1006),$AM$1006:$BM$1006,0)), HYPERLINK("#",""), HYPERLINK(CONCATENATE("#metadata!", ADDRESS(INDEX($AH$2:$AH$1001,MATCH(ROWS($AF$2:AF438),$AF$2:$AF$1001,0),0), INDEX($AM$1004:$BM$1004,1,MATCH(COLUMNS($AM$1006:AY1006),$AM$1006:$BM$1006,0)))),"Fix")))</f>
        <v xml:space="preserve"> </v>
      </c>
      <c r="O438" s="4" t="str">
        <f ca="1">IF(OR(INDEX($AG$2:$AG$1001,MATCH(ROWS($AF$2:AF438),$AF$2:$AF$1001,0),1)&gt;=100000,INDEX($AM$1005:$BM$1005,1,MATCH(COLUMNS($AM$1006:AZ1006),$AM$1006:$BM$1006,0))&gt;=100000), " ",IF(INDEX($AM$2:$BM$1001,MATCH(ROWS($AF$2:AF438),$AF$2:$AF$1001,0),MATCH(COLUMNS($AM$1006:AZ1006),$AM$1006:$BM$1006,0)), HYPERLINK("#",""), HYPERLINK(CONCATENATE("#metadata!", ADDRESS(INDEX($AH$2:$AH$1001,MATCH(ROWS($AF$2:AF438),$AF$2:$AF$1001,0),0), INDEX($AM$1004:$BM$1004,1,MATCH(COLUMNS($AM$1006:AZ1006),$AM$1006:$BM$1006,0)))),"Fix")))</f>
        <v xml:space="preserve"> </v>
      </c>
      <c r="P438" s="4" t="str">
        <f ca="1">IF(OR(INDEX($AG$2:$AG$1001,MATCH(ROWS($AF$2:AF438),$AF$2:$AF$1001,0),1)&gt;=100000,INDEX($AM$1005:$BM$1005,1,MATCH(COLUMNS($AM$1006:BA1006),$AM$1006:$BM$1006,0))&gt;=100000), " ",IF(INDEX($AM$2:$BM$1001,MATCH(ROWS($AF$2:AF438),$AF$2:$AF$1001,0),MATCH(COLUMNS($AM$1006:BA1006),$AM$1006:$BM$1006,0)), HYPERLINK("#",""), HYPERLINK(CONCATENATE("#metadata!", ADDRESS(INDEX($AH$2:$AH$1001,MATCH(ROWS($AF$2:AF438),$AF$2:$AF$1001,0),0), INDEX($AM$1004:$BM$1004,1,MATCH(COLUMNS($AM$1006:BA1006),$AM$1006:$BM$1006,0)))),"Fix")))</f>
        <v xml:space="preserve"> </v>
      </c>
      <c r="Q438" s="4" t="str">
        <f ca="1">IF(OR(INDEX($AG$2:$AG$1001,MATCH(ROWS($AF$2:AF438),$AF$2:$AF$1001,0),1)&gt;=100000,INDEX($AM$1005:$BM$1005,1,MATCH(COLUMNS($AM$1006:BB1006),$AM$1006:$BM$1006,0))&gt;=100000), " ",IF(INDEX($AM$2:$BM$1001,MATCH(ROWS($AF$2:AF438),$AF$2:$AF$1001,0),MATCH(COLUMNS($AM$1006:BB1006),$AM$1006:$BM$1006,0)), HYPERLINK("#",""), HYPERLINK(CONCATENATE("#metadata!", ADDRESS(INDEX($AH$2:$AH$1001,MATCH(ROWS($AF$2:AF438),$AF$2:$AF$1001,0),0), INDEX($AM$1004:$BM$1004,1,MATCH(COLUMNS($AM$1006:BB1006),$AM$1006:$BM$1006,0)))),"Fix")))</f>
        <v xml:space="preserve"> </v>
      </c>
      <c r="R438" s="4" t="str">
        <f ca="1">IF(OR(INDEX($AG$2:$AG$1001,MATCH(ROWS($AF$2:AF438),$AF$2:$AF$1001,0),1)&gt;=100000,INDEX($AM$1005:$BM$1005,1,MATCH(COLUMNS($AM$1006:BC1006),$AM$1006:$BM$1006,0))&gt;=100000), " ",IF(INDEX($AM$2:$BM$1001,MATCH(ROWS($AF$2:AF438),$AF$2:$AF$1001,0),MATCH(COLUMNS($AM$1006:BC1006),$AM$1006:$BM$1006,0)), HYPERLINK("#",""), HYPERLINK(CONCATENATE("#metadata!", ADDRESS(INDEX($AH$2:$AH$1001,MATCH(ROWS($AF$2:AF438),$AF$2:$AF$1001,0),0), INDEX($AM$1004:$BM$1004,1,MATCH(COLUMNS($AM$1006:BC1006),$AM$1006:$BM$1006,0)))),"Fix")))</f>
        <v xml:space="preserve"> </v>
      </c>
      <c r="S438" s="4" t="str">
        <f ca="1">IF(OR(INDEX($AG$2:$AG$1001,MATCH(ROWS($AF$2:AF438),$AF$2:$AF$1001,0),1)&gt;=100000,INDEX($AM$1005:$BM$1005,1,MATCH(COLUMNS($AM$1006:BD1006),$AM$1006:$BM$1006,0))&gt;=100000), " ",IF(INDEX($AM$2:$BM$1001,MATCH(ROWS($AF$2:AF438),$AF$2:$AF$1001,0),MATCH(COLUMNS($AM$1006:BD1006),$AM$1006:$BM$1006,0)), HYPERLINK("#",""), HYPERLINK(CONCATENATE("#metadata!", ADDRESS(INDEX($AH$2:$AH$1001,MATCH(ROWS($AF$2:AF438),$AF$2:$AF$1001,0),0), INDEX($AM$1004:$BM$1004,1,MATCH(COLUMNS($AM$1006:BD1006),$AM$1006:$BM$1006,0)))),"Fix")))</f>
        <v xml:space="preserve"> </v>
      </c>
      <c r="T438" s="4" t="str">
        <f ca="1">IF(OR(INDEX($AG$2:$AG$1001,MATCH(ROWS($AF$2:AF438),$AF$2:$AF$1001,0),1)&gt;=100000,INDEX($AM$1005:$BM$1005,1,MATCH(COLUMNS($AM$1006:BE1006),$AM$1006:$BM$1006,0))&gt;=100000), " ",IF(INDEX($AM$2:$BM$1001,MATCH(ROWS($AF$2:AF438),$AF$2:$AF$1001,0),MATCH(COLUMNS($AM$1006:BE1006),$AM$1006:$BM$1006,0)), HYPERLINK("#",""), HYPERLINK(CONCATENATE("#metadata!", ADDRESS(INDEX($AH$2:$AH$1001,MATCH(ROWS($AF$2:AF438),$AF$2:$AF$1001,0),0), INDEX($AM$1004:$BM$1004,1,MATCH(COLUMNS($AM$1006:BE1006),$AM$1006:$BM$1006,0)))),"Fix")))</f>
        <v xml:space="preserve"> </v>
      </c>
      <c r="U438" s="4" t="str">
        <f ca="1">IF(OR(INDEX($AG$2:$AG$1001,MATCH(ROWS($AF$2:AF438),$AF$2:$AF$1001,0),1)&gt;=100000,INDEX($AM$1005:$BM$1005,1,MATCH(COLUMNS($AM$1006:BF1006),$AM$1006:$BM$1006,0))&gt;=100000), " ",IF(INDEX($AM$2:$BM$1001,MATCH(ROWS($AF$2:AF438),$AF$2:$AF$1001,0),MATCH(COLUMNS($AM$1006:BF1006),$AM$1006:$BM$1006,0)), HYPERLINK("#",""), HYPERLINK(CONCATENATE("#metadata!", ADDRESS(INDEX($AH$2:$AH$1001,MATCH(ROWS($AF$2:AF438),$AF$2:$AF$1001,0),0), INDEX($AM$1004:$BM$1004,1,MATCH(COLUMNS($AM$1006:BF1006),$AM$1006:$BM$1006,0)))),"Fix")))</f>
        <v xml:space="preserve"> </v>
      </c>
      <c r="V438" s="4" t="str">
        <f ca="1">IF(OR(INDEX($AG$2:$AG$1001,MATCH(ROWS($AF$2:AF438),$AF$2:$AF$1001,0),1)&gt;=100000,INDEX($AM$1005:$BM$1005,1,MATCH(COLUMNS($AM$1006:BG1006),$AM$1006:$BM$1006,0))&gt;=100000), " ",IF(INDEX($AM$2:$BM$1001,MATCH(ROWS($AF$2:AF438),$AF$2:$AF$1001,0),MATCH(COLUMNS($AM$1006:BG1006),$AM$1006:$BM$1006,0)), HYPERLINK("#",""), HYPERLINK(CONCATENATE("#metadata!", ADDRESS(INDEX($AH$2:$AH$1001,MATCH(ROWS($AF$2:AF438),$AF$2:$AF$1001,0),0), INDEX($AM$1004:$BM$1004,1,MATCH(COLUMNS($AM$1006:BG1006),$AM$1006:$BM$1006,0)))),"Fix")))</f>
        <v xml:space="preserve"> </v>
      </c>
      <c r="W438" s="4" t="str">
        <f ca="1">IF(OR(INDEX($AG$2:$AG$1001,MATCH(ROWS($AF$2:AF438),$AF$2:$AF$1001,0),1)&gt;=100000,INDEX($AM$1005:$BM$1005,1,MATCH(COLUMNS($AM$1006:BH1006),$AM$1006:$BM$1006,0))&gt;=100000), " ",IF(INDEX($AM$2:$BM$1001,MATCH(ROWS($AF$2:AF438),$AF$2:$AF$1001,0),MATCH(COLUMNS($AM$1006:BH1006),$AM$1006:$BM$1006,0)), HYPERLINK("#",""), HYPERLINK(CONCATENATE("#metadata!", ADDRESS(INDEX($AH$2:$AH$1001,MATCH(ROWS($AF$2:AF438),$AF$2:$AF$1001,0),0), INDEX($AM$1004:$BM$1004,1,MATCH(COLUMNS($AM$1006:BH1006),$AM$1006:$BM$1006,0)))),"Fix")))</f>
        <v xml:space="preserve"> </v>
      </c>
      <c r="X438" s="4" t="str">
        <f ca="1">IF(OR(INDEX($AG$2:$AG$1001,MATCH(ROWS($AF$2:AF438),$AF$2:$AF$1001,0),1)&gt;=100000,INDEX($AM$1005:$BM$1005,1,MATCH(COLUMNS($AM$1006:BI1006),$AM$1006:$BM$1006,0))&gt;=100000), " ",IF(INDEX($AM$2:$BM$1001,MATCH(ROWS($AF$2:AF438),$AF$2:$AF$1001,0),MATCH(COLUMNS($AM$1006:BI1006),$AM$1006:$BM$1006,0)), HYPERLINK("#",""), HYPERLINK(CONCATENATE("#metadata!", ADDRESS(INDEX($AH$2:$AH$1001,MATCH(ROWS($AF$2:AF438),$AF$2:$AF$1001,0),0), INDEX($AM$1004:$BM$1004,1,MATCH(COLUMNS($AM$1006:BI1006),$AM$1006:$BM$1006,0)))),"Fix")))</f>
        <v xml:space="preserve"> </v>
      </c>
      <c r="Y438" s="4" t="str">
        <f ca="1">IF(OR(INDEX($AG$2:$AG$1001,MATCH(ROWS($AF$2:AF438),$AF$2:$AF$1001,0),1)&gt;=100000,INDEX($AM$1005:$BM$1005,1,MATCH(COLUMNS($AM$1006:BJ1006),$AM$1006:$BM$1006,0))&gt;=100000), " ",IF(INDEX($AM$2:$BM$1001,MATCH(ROWS($AF$2:AF438),$AF$2:$AF$1001,0),MATCH(COLUMNS($AM$1006:BJ1006),$AM$1006:$BM$1006,0)), HYPERLINK("#",""), HYPERLINK(CONCATENATE("#metadata!", ADDRESS(INDEX($AH$2:$AH$1001,MATCH(ROWS($AF$2:AF438),$AF$2:$AF$1001,0),0), INDEX($AM$1004:$BM$1004,1,MATCH(COLUMNS($AM$1006:BJ1006),$AM$1006:$BM$1006,0)))),"Fix")))</f>
        <v xml:space="preserve"> </v>
      </c>
      <c r="Z438" s="4" t="str">
        <f ca="1">IF(OR(INDEX($AG$2:$AG$1001,MATCH(ROWS($AF$2:AF438),$AF$2:$AF$1001,0),1)&gt;=100000,INDEX($AM$1005:$BM$1005,1,MATCH(COLUMNS($AM$1006:BK1006),$AM$1006:$BM$1006,0))&gt;=100000), " ",IF(INDEX($AM$2:$BM$1001,MATCH(ROWS($AF$2:AF438),$AF$2:$AF$1001,0),MATCH(COLUMNS($AM$1006:BK1006),$AM$1006:$BM$1006,0)), HYPERLINK("#",""), HYPERLINK(CONCATENATE("#metadata!", ADDRESS(INDEX($AH$2:$AH$1001,MATCH(ROWS($AF$2:AF438),$AF$2:$AF$1001,0),0), INDEX($AM$1004:$BM$1004,1,MATCH(COLUMNS($AM$1006:BK1006),$AM$1006:$BM$1006,0)))),"Fix")))</f>
        <v xml:space="preserve"> </v>
      </c>
      <c r="AA438" s="4" t="str">
        <f ca="1">IF(OR(INDEX($AG$2:$AG$1001,MATCH(ROWS($AF$2:AF438),$AF$2:$AF$1001,0),1)&gt;=100000,INDEX($AM$1005:$BM$1005,1,MATCH(COLUMNS($AM$1006:BL1006),$AM$1006:$BM$1006,0))&gt;=100000), " ",IF(INDEX($AM$2:$BM$1001,MATCH(ROWS($AF$2:AF438),$AF$2:$AF$1001,0),MATCH(COLUMNS($AM$1006:BL1006),$AM$1006:$BM$1006,0)), HYPERLINK("#",""), HYPERLINK(CONCATENATE("#metadata!", ADDRESS(INDEX($AH$2:$AH$1001,MATCH(ROWS($AF$2:AF438),$AF$2:$AF$1001,0),0), INDEX($AM$1004:$BM$1004,1,MATCH(COLUMNS($AM$1006:BL1006),$AM$1006:$BM$1006,0)))),"Fix")))</f>
        <v xml:space="preserve"> </v>
      </c>
      <c r="AB438" s="4" t="str">
        <f ca="1">IF(OR(INDEX($AG$2:$AG$1001,MATCH(ROWS($AF$2:AF438),$AF$2:$AF$1001,0),1)&gt;=100000,INDEX($AM$1005:$BM$1005,1,MATCH(COLUMNS($AM$1006:BM1006),$AM$1006:$BM$1006,0))&gt;=100000), " ",IF(INDEX($AM$2:$BM$1001,MATCH(ROWS($AF$2:AF438),$AF$2:$AF$1001,0),MATCH(COLUMNS($AM$1006:BM1006),$AM$1006:$BM$1006,0)), HYPERLINK("#",""), HYPERLINK(CONCATENATE("#metadata!", ADDRESS(INDEX($AH$2:$AH$1001,MATCH(ROWS($AF$2:AF438),$AF$2:$AF$1001,0),0), INDEX($AM$1004:$BM$1004,1,MATCH(COLUMNS($AM$1006:BM1006),$AM$1006:$BM$1006,0)))),"Fix")))</f>
        <v xml:space="preserve"> </v>
      </c>
      <c r="AF438">
        <v>437</v>
      </c>
      <c r="AG438">
        <v>100438</v>
      </c>
      <c r="AH438">
        <v>438</v>
      </c>
      <c r="AI438" t="b">
        <f t="shared" si="6"/>
        <v>1</v>
      </c>
      <c r="AJ438" t="b">
        <f>COUNTBLANK(metadata!B438:AB438)=COLUMNS(metadata!B438:AB438)</f>
        <v>1</v>
      </c>
      <c r="AK438" t="str">
        <v/>
      </c>
      <c r="AM438" t="b">
        <f ca="1">AND(IF(metadata!B438="",FALSE,TRUE),COUNTIF(metadata!B:B, metadata!B438) = 1,NOT(ISERROR(SUMPRODUCT(SEARCH(MID(metadata!B438,ROW(INDIRECT("1:"&amp;LEN(metadata!B438))), 1),"0123456789abcdefghijklmnopqrstuvwxyzABCDEFGHIJKLMNOPQRSTUVWXYZ.")))))</f>
        <v>0</v>
      </c>
      <c r="AN438" t="b">
        <f ca="1">OR(AND(IF(metadata!C438="",FALSE,TRUE),OR(EXACT(metadata!C438,"missing: not collected"),EXACT(metadata!C438,"missing: not provided"),EXACT(metadata!C438,"missing: restricted access"))),AND(IF(metadata!C438="",FALSE,TRUE),AND(AND(IFERROR(INT(LEFT(metadata!C438,4))&gt;1900,FALSE),IFERROR(INT(LEFT(metadata!C438,4))&lt;=YEAR(NOW()),FALSE)), OR(MID(metadata!C438,5,1)="", AND(AND(MID(metadata!C438,5,1)="-",IFERROR(INT(MID(metadata!C438,6,1))&gt;=0,FALSE),IFERROR(INT(MID(metadata!C438,6,1))&lt;=1,FALSE),NOT(MID(metadata!C438,7,1)=""),IFERROR(INT(MID(metadata!C438,6,2))&gt;=1,FALSE),IFERROR(INT(MID(metadata!C438,6,2))&lt;=12,FALSE)), OR(MID(metadata!C438,8,1)="", AND(AND(MID(metadata!C438,8,1)="-",IFERROR(INT(MID(metadata!C438,9,1))&gt;=0,FALSE),IFERROR(INT(MID(metadata!C438,9,1))&lt;=3,FALSE),NOT(MID(metadata!C438,10,1)=""),IFERROR(INT(MID(metadata!C438,9,2))&gt;=1,FALSE),IFERROR(INT(MID(metadata!C438,9,2))&lt;=31,FALSE)), OR(MID(metadata!C438,11,1)="", AND(AND(MID(metadata!C438,11,1)=" ",IFERROR(INT(MID(metadata!C438,12,1))&gt;=0,FALSE),IFERROR(INT(MID(metadata!C438,12,1))&lt;=2,FALSE),NOT(MID(metadata!C438,13,1)=""),IFERROR(INT(MID(metadata!C438,12,2))&gt;=0,FALSE),IFERROR(INT(MID(metadata!C438,12,2))&lt;=23,FALSE)), OR(MID(metadata!C438,14,1)="", AND(AND(MID(metadata!C438,14,1)=":",IFERROR(INT(MID(metadata!C438,15,1))&gt;=0,FALSE),IFERROR(INT(MID(metadata!C438,15,1))&lt;=5,FALSE),NOT(MID(metadata!C438,16,1)=""),IFERROR(INT(MID(metadata!C438,15,2))&gt;=0,FALSE),IFERROR(INT(MID(metadata!C438,15,2))&lt;=59,FALSE)), OR(MID(metadata!C438,17,1)="", AND(AND(MID(metadata!C438,17,1)=":",IFERROR(INT(MID(metadata!C438,18,1))&gt;=0,FALSE),IFERROR(INT(MID(metadata!C438,18,1))&lt;=5,FALSE),NOT(MID(metadata!C438,19,1)=""),IFERROR(INT(MID(metadata!C438,18,2))&gt;=0,FALSE),IFERROR(INT(MID(metadata!C438,18,2))&lt;=59,FALSE)), LEN(metadata!C438)&lt;=19)))))))))))))</f>
        <v>0</v>
      </c>
      <c r="AO438" t="b">
        <f>AND(IF(metadata!D438="",FALSE,TRUE),EXACT(metadata!D438,"Not applicable"))</f>
        <v>0</v>
      </c>
      <c r="AP438" t="b">
        <f>IF(metadata!E438="",FALSE,TRUE)</f>
        <v>0</v>
      </c>
      <c r="AQ438" t="b">
        <f>OR(AND(IF(metadata!F438="",FALSE,TRUE),OR(EXACT(metadata!F438,"missing: not collected"),EXACT(metadata!F438,"missing: not provided"))),AND(IF(metadata!F438="",FALSE,TRUE),OR(EXACT(metadata!F438,"TRUE"),EXACT(metadata!F438,"FALSE"))))</f>
        <v>0</v>
      </c>
      <c r="AR438" t="b">
        <f>OR(AND(IF(metadata!G438="",FALSE,TRUE),OR(EXACT(metadata!G438,"missing: not collected"),EXACT(metadata!G438,"missing: not provided"),EXACT(metadata!G438,"missing: restricted access"))),AND(IF(metadata!G438="",FALSE,ISNUMBER(VALUE(metadata!G438))),metadata!G438&gt;=-413))</f>
        <v>0</v>
      </c>
      <c r="AS438" t="b">
        <f>AND(IF(metadata!H438="",FALSE,TRUE),EXACT(metadata!H438,"meters"))</f>
        <v>0</v>
      </c>
      <c r="AT438" t="b">
        <f>AND(IF(metadata!I438="",FALSE,TRUE),OR(EXACT(metadata!I438,"Host-associated"),EXACT(metadata!I438,"Free-living")))</f>
        <v>0</v>
      </c>
      <c r="AU438" t="b">
        <f>AND(IF(metadata!J438="",FALSE,TRUE),OR(EXACT(metadata!J438,"Animal"),EXACT(metadata!J438,"Fungus"),EXACT(metadata!J438,"Plant"),EXACT(metadata!J438,"Saline"),EXACT(metadata!J438,"Non-saline")))</f>
        <v>0</v>
      </c>
      <c r="AV438" t="b">
        <f>AND(IF(metadata!K438="",FALSE,TRUE),OR(EXACT(metadata!K438,"Plant secretion"),EXACT(metadata!K438,"Plant rhizosphere"),EXACT(metadata!K438,"Plant surface"),EXACT(metadata!K438,"Plant corpus"),EXACT(metadata!K438,"Fungus surface"),EXACT(metadata!K438,"Fungus corpus"),EXACT(metadata!K438,"Animal surface"),EXACT(metadata!K438,"Animal proximal gut"),EXACT(metadata!K438,"Animal corpus"),EXACT(metadata!K438,"Animal distal gut"),EXACT(metadata!K438,"Animal secretion"),EXACT(metadata!K438,"Sub-surface (non-saline)"),EXACT(metadata!K438,"Surface (non-saline)"),EXACT(metadata!K438,"Water (non-saline)"),EXACT(metadata!K438,"Soil (non-saline)"),EXACT(metadata!K438,"Aerosol (non-saline)"),EXACT(metadata!K438,"Sediment (non-saline)"),EXACT(metadata!K438,"Surface (saline)"),EXACT(metadata!K438,"Water (saline)"),EXACT(metadata!K438,"Hypersaline (saline)"),EXACT(metadata!K438,"Aerosol (saline)"),EXACT(metadata!K438,"Sediment (saline)")))</f>
        <v>0</v>
      </c>
      <c r="AW438" t="b">
        <f>IF(metadata!L438="",FALSE,TRUE)</f>
        <v>0</v>
      </c>
      <c r="AX438" t="b">
        <f>IF(metadata!M438="",FALSE,TRUE)</f>
        <v>0</v>
      </c>
      <c r="AY438" t="b">
        <f>IF(metadata!N438="",FALSE,TRUE)</f>
        <v>0</v>
      </c>
      <c r="AZ438" t="b">
        <f>OR(AND(IF(metadata!O438="",FALSE,TRUE),OR(EXACT(metadata!O438,"missing: not collected"),EXACT(metadata!O438,"missing: not provided"),EXACT(metadata!O438,"missing: restricted access"))),AND(IF(metadata!O438="",FALSE,TRUE),OR(EXACT(metadata!O438,"air"),EXACT(metadata!O438,"built environment"),EXACT(metadata!O438,"host-associated"),EXACT(metadata!O438,"human-associated"),EXACT(metadata!O438,"human-skin"),EXACT(metadata!O438,"human-oral"),EXACT(metadata!O438,"human-gut"),EXACT(metadata!O438,"human-vaginal"),EXACT(metadata!O438,"microbial mat/biofilm"),EXACT(metadata!O438,"misc environment"),EXACT(metadata!O438,"plant-associated"),EXACT(metadata!O438,"sediment"),EXACT(metadata!O438,"soil"),EXACT(metadata!O438,"wastewater/sludge"),EXACT(metadata!O438,"water"))))</f>
        <v>0</v>
      </c>
      <c r="BA438" t="b">
        <f>IF(metadata!P438="",FALSE,TRUE)</f>
        <v>0</v>
      </c>
      <c r="BB438" t="b">
        <f>IF(metadata!Q438="",FALSE,TRUE)</f>
        <v>0</v>
      </c>
      <c r="BC438" t="b">
        <f>OR(AND(IF(metadata!R438="",FALSE,TRUE),OR(EXACT(metadata!R438,"missing: not collected"),EXACT(metadata!R438,"missing: not provided"),EXACT(metadata!R438,"missing: restricted access"))),AND(IF(metadata!R438="",FALSE,ISNUMBER(VALUE(metadata!R438))),metadata!R438&gt;=-90,metadata!R438&lt;=90))</f>
        <v>0</v>
      </c>
      <c r="BD438" t="b">
        <f>AND(IF(metadata!S438="",FALSE,TRUE),EXACT(metadata!S438,"Decimal degrees"))</f>
        <v>0</v>
      </c>
      <c r="BE438" t="b">
        <f>OR(AND(IF(metadata!T438="",FALSE,TRUE),OR(EXACT(metadata!T438,"missing: not collected"),EXACT(metadata!T438,"missing: not provided"),EXACT(metadata!T438,"missing: restricted access"))),AND(IF(metadata!T438="",FALSE,ISNUMBER(VALUE(metadata!T438))),metadata!T438&gt;=-180,metadata!T438&lt;=180))</f>
        <v>0</v>
      </c>
      <c r="BF438" t="b">
        <f>AND(IF(metadata!U438="",FALSE,TRUE),EXACT(metadata!U438,"Decimal degrees"))</f>
        <v>0</v>
      </c>
      <c r="BG438" t="b">
        <f>IF(metadata!V438="",FALSE,TRUE)</f>
        <v>0</v>
      </c>
      <c r="BH438" t="b">
        <f>OR(AND(IF(metadata!W438="",FALSE,TRUE),OR(EXACT(metadata!W438,"missing: not collected"),EXACT(metadata!W438,"missing: not provided"),EXACT(metadata!W438,"missing: restricted access"))),AND(IF(metadata!W438="",FALSE,TRUE),OR(EXACT(metadata!W438,"TRUE"),EXACT(metadata!W438,"FALSE"))))</f>
        <v>0</v>
      </c>
      <c r="BI438" t="b">
        <f>AND(IF(metadata!X438="",FALSE,TRUE),EXACT(metadata!X438,"other"))</f>
        <v>0</v>
      </c>
      <c r="BJ438" t="b">
        <f>IF(metadata!Y438="",FALSE,TRUE)</f>
        <v>0</v>
      </c>
      <c r="BK438" t="b">
        <f>OR(AND(IF(metadata!Z438="",FALSE,TRUE),OR(EXACT(metadata!Z438,"missing: not collected"),EXACT(metadata!Z438,"missing: not provided"))),AND(IF(metadata!Z438="",FALSE,IF(ISERROR(INT(metadata!Z438)),FALSE,INT(metadata!Z438)=metadata!Z438)),metadata!Z438&gt;0))</f>
        <v>0</v>
      </c>
      <c r="BL438" t="b">
        <f>AND(IF(metadata!AA438="",FALSE,TRUE),EXACT(metadata!AA438,"Not applicable"))</f>
        <v>0</v>
      </c>
      <c r="BM438" t="b">
        <f>IF(metadata!AB438="",FALSE,TRUE)</f>
        <v>0</v>
      </c>
    </row>
    <row r="439" spans="1:65" x14ac:dyDescent="0.2">
      <c r="A439" s="5" t="str">
        <f ca="1">IF(B439=" "," ",HYPERLINK(CONCATENATE("#metadata!",ADDRESS(INDEX($AH$2:$AH$1001,MATCH(ROWS($AF$2:AF439),$AF$2:$AF$1001,0),0),1)),INDEX($AK$2:$AK$1001,MATCH(ROWS($AF$2:AF439),$AF$2:$AF$1001,0),0)))</f>
        <v xml:space="preserve"> </v>
      </c>
      <c r="B439" s="4" t="str">
        <f ca="1">IF(OR(INDEX($AG$2:$AG$1001,MATCH(ROWS($AF$2:AF439),$AF$2:$AF$1001,0),1)&gt;=100000,INDEX($AM$1005:$BM$1005,1,MATCH(COLUMNS($AM$1006:AM1006),$AM$1006:$BM$1006,0))&gt;=100000), " ",IF(INDEX($AM$2:$BM$1001,MATCH(ROWS($AF$2:AF439),$AF$2:$AF$1001,0),MATCH(COLUMNS($AM$1006:AM1006),$AM$1006:$BM$1006,0)), HYPERLINK("#",""), HYPERLINK(CONCATENATE("#metadata!", ADDRESS(INDEX($AH$2:$AH$1001,MATCH(ROWS($AF$2:AF439),$AF$2:$AF$1001,0),0), INDEX($AM$1004:$BM$1004,1,MATCH(COLUMNS($AM$1006:AM1006),$AM$1006:$BM$1006,0)))),"Fix")))</f>
        <v xml:space="preserve"> </v>
      </c>
      <c r="C439" s="4" t="str">
        <f ca="1">IF(OR(INDEX($AG$2:$AG$1001,MATCH(ROWS($AF$2:AF439),$AF$2:$AF$1001,0),1)&gt;=100000,INDEX($AM$1005:$BM$1005,1,MATCH(COLUMNS($AM$1006:AN1006),$AM$1006:$BM$1006,0))&gt;=100000), " ",IF(INDEX($AM$2:$BM$1001,MATCH(ROWS($AF$2:AF439),$AF$2:$AF$1001,0),MATCH(COLUMNS($AM$1006:AN1006),$AM$1006:$BM$1006,0)), HYPERLINK("#",""), HYPERLINK(CONCATENATE("#metadata!", ADDRESS(INDEX($AH$2:$AH$1001,MATCH(ROWS($AF$2:AF439),$AF$2:$AF$1001,0),0), INDEX($AM$1004:$BM$1004,1,MATCH(COLUMNS($AM$1006:AN1006),$AM$1006:$BM$1006,0)))),"Fix")))</f>
        <v xml:space="preserve"> </v>
      </c>
      <c r="D439" s="4" t="str">
        <f ca="1">IF(OR(INDEX($AG$2:$AG$1001,MATCH(ROWS($AF$2:AF439),$AF$2:$AF$1001,0),1)&gt;=100000,INDEX($AM$1005:$BM$1005,1,MATCH(COLUMNS($AM$1006:AO1006),$AM$1006:$BM$1006,0))&gt;=100000), " ",IF(INDEX($AM$2:$BM$1001,MATCH(ROWS($AF$2:AF439),$AF$2:$AF$1001,0),MATCH(COLUMNS($AM$1006:AO1006),$AM$1006:$BM$1006,0)), HYPERLINK("#",""), HYPERLINK(CONCATENATE("#metadata!", ADDRESS(INDEX($AH$2:$AH$1001,MATCH(ROWS($AF$2:AF439),$AF$2:$AF$1001,0),0), INDEX($AM$1004:$BM$1004,1,MATCH(COLUMNS($AM$1006:AO1006),$AM$1006:$BM$1006,0)))),"Fix")))</f>
        <v xml:space="preserve"> </v>
      </c>
      <c r="E439" s="4" t="str">
        <f ca="1">IF(OR(INDEX($AG$2:$AG$1001,MATCH(ROWS($AF$2:AF439),$AF$2:$AF$1001,0),1)&gt;=100000,INDEX($AM$1005:$BM$1005,1,MATCH(COLUMNS($AM$1006:AP1006),$AM$1006:$BM$1006,0))&gt;=100000), " ",IF(INDEX($AM$2:$BM$1001,MATCH(ROWS($AF$2:AF439),$AF$2:$AF$1001,0),MATCH(COLUMNS($AM$1006:AP1006),$AM$1006:$BM$1006,0)), HYPERLINK("#",""), HYPERLINK(CONCATENATE("#metadata!", ADDRESS(INDEX($AH$2:$AH$1001,MATCH(ROWS($AF$2:AF439),$AF$2:$AF$1001,0),0), INDEX($AM$1004:$BM$1004,1,MATCH(COLUMNS($AM$1006:AP1006),$AM$1006:$BM$1006,0)))),"Fix")))</f>
        <v xml:space="preserve"> </v>
      </c>
      <c r="F439" s="4" t="str">
        <f ca="1">IF(OR(INDEX($AG$2:$AG$1001,MATCH(ROWS($AF$2:AF439),$AF$2:$AF$1001,0),1)&gt;=100000,INDEX($AM$1005:$BM$1005,1,MATCH(COLUMNS($AM$1006:AQ1006),$AM$1006:$BM$1006,0))&gt;=100000), " ",IF(INDEX($AM$2:$BM$1001,MATCH(ROWS($AF$2:AF439),$AF$2:$AF$1001,0),MATCH(COLUMNS($AM$1006:AQ1006),$AM$1006:$BM$1006,0)), HYPERLINK("#",""), HYPERLINK(CONCATENATE("#metadata!", ADDRESS(INDEX($AH$2:$AH$1001,MATCH(ROWS($AF$2:AF439),$AF$2:$AF$1001,0),0), INDEX($AM$1004:$BM$1004,1,MATCH(COLUMNS($AM$1006:AQ1006),$AM$1006:$BM$1006,0)))),"Fix")))</f>
        <v xml:space="preserve"> </v>
      </c>
      <c r="G439" s="4" t="str">
        <f ca="1">IF(OR(INDEX($AG$2:$AG$1001,MATCH(ROWS($AF$2:AF439),$AF$2:$AF$1001,0),1)&gt;=100000,INDEX($AM$1005:$BM$1005,1,MATCH(COLUMNS($AM$1006:AR1006),$AM$1006:$BM$1006,0))&gt;=100000), " ",IF(INDEX($AM$2:$BM$1001,MATCH(ROWS($AF$2:AF439),$AF$2:$AF$1001,0),MATCH(COLUMNS($AM$1006:AR1006),$AM$1006:$BM$1006,0)), HYPERLINK("#",""), HYPERLINK(CONCATENATE("#metadata!", ADDRESS(INDEX($AH$2:$AH$1001,MATCH(ROWS($AF$2:AF439),$AF$2:$AF$1001,0),0), INDEX($AM$1004:$BM$1004,1,MATCH(COLUMNS($AM$1006:AR1006),$AM$1006:$BM$1006,0)))),"Fix")))</f>
        <v xml:space="preserve"> </v>
      </c>
      <c r="H439" s="4" t="str">
        <f ca="1">IF(OR(INDEX($AG$2:$AG$1001,MATCH(ROWS($AF$2:AF439),$AF$2:$AF$1001,0),1)&gt;=100000,INDEX($AM$1005:$BM$1005,1,MATCH(COLUMNS($AM$1006:AS1006),$AM$1006:$BM$1006,0))&gt;=100000), " ",IF(INDEX($AM$2:$BM$1001,MATCH(ROWS($AF$2:AF439),$AF$2:$AF$1001,0),MATCH(COLUMNS($AM$1006:AS1006),$AM$1006:$BM$1006,0)), HYPERLINK("#",""), HYPERLINK(CONCATENATE("#metadata!", ADDRESS(INDEX($AH$2:$AH$1001,MATCH(ROWS($AF$2:AF439),$AF$2:$AF$1001,0),0), INDEX($AM$1004:$BM$1004,1,MATCH(COLUMNS($AM$1006:AS1006),$AM$1006:$BM$1006,0)))),"Fix")))</f>
        <v xml:space="preserve"> </v>
      </c>
      <c r="I439" s="4" t="str">
        <f ca="1">IF(OR(INDEX($AG$2:$AG$1001,MATCH(ROWS($AF$2:AF439),$AF$2:$AF$1001,0),1)&gt;=100000,INDEX($AM$1005:$BM$1005,1,MATCH(COLUMNS($AM$1006:AT1006),$AM$1006:$BM$1006,0))&gt;=100000), " ",IF(INDEX($AM$2:$BM$1001,MATCH(ROWS($AF$2:AF439),$AF$2:$AF$1001,0),MATCH(COLUMNS($AM$1006:AT1006),$AM$1006:$BM$1006,0)), HYPERLINK("#",""), HYPERLINK(CONCATENATE("#metadata!", ADDRESS(INDEX($AH$2:$AH$1001,MATCH(ROWS($AF$2:AF439),$AF$2:$AF$1001,0),0), INDEX($AM$1004:$BM$1004,1,MATCH(COLUMNS($AM$1006:AT1006),$AM$1006:$BM$1006,0)))),"Fix")))</f>
        <v xml:space="preserve"> </v>
      </c>
      <c r="J439" s="4" t="str">
        <f ca="1">IF(OR(INDEX($AG$2:$AG$1001,MATCH(ROWS($AF$2:AF439),$AF$2:$AF$1001,0),1)&gt;=100000,INDEX($AM$1005:$BM$1005,1,MATCH(COLUMNS($AM$1006:AU1006),$AM$1006:$BM$1006,0))&gt;=100000), " ",IF(INDEX($AM$2:$BM$1001,MATCH(ROWS($AF$2:AF439),$AF$2:$AF$1001,0),MATCH(COLUMNS($AM$1006:AU1006),$AM$1006:$BM$1006,0)), HYPERLINK("#",""), HYPERLINK(CONCATENATE("#metadata!", ADDRESS(INDEX($AH$2:$AH$1001,MATCH(ROWS($AF$2:AF439),$AF$2:$AF$1001,0),0), INDEX($AM$1004:$BM$1004,1,MATCH(COLUMNS($AM$1006:AU1006),$AM$1006:$BM$1006,0)))),"Fix")))</f>
        <v xml:space="preserve"> </v>
      </c>
      <c r="K439" s="4" t="str">
        <f ca="1">IF(OR(INDEX($AG$2:$AG$1001,MATCH(ROWS($AF$2:AF439),$AF$2:$AF$1001,0),1)&gt;=100000,INDEX($AM$1005:$BM$1005,1,MATCH(COLUMNS($AM$1006:AV1006),$AM$1006:$BM$1006,0))&gt;=100000), " ",IF(INDEX($AM$2:$BM$1001,MATCH(ROWS($AF$2:AF439),$AF$2:$AF$1001,0),MATCH(COLUMNS($AM$1006:AV1006),$AM$1006:$BM$1006,0)), HYPERLINK("#",""), HYPERLINK(CONCATENATE("#metadata!", ADDRESS(INDEX($AH$2:$AH$1001,MATCH(ROWS($AF$2:AF439),$AF$2:$AF$1001,0),0), INDEX($AM$1004:$BM$1004,1,MATCH(COLUMNS($AM$1006:AV1006),$AM$1006:$BM$1006,0)))),"Fix")))</f>
        <v xml:space="preserve"> </v>
      </c>
      <c r="L439" s="4" t="str">
        <f ca="1">IF(OR(INDEX($AG$2:$AG$1001,MATCH(ROWS($AF$2:AF439),$AF$2:$AF$1001,0),1)&gt;=100000,INDEX($AM$1005:$BM$1005,1,MATCH(COLUMNS($AM$1006:AW1006),$AM$1006:$BM$1006,0))&gt;=100000), " ",IF(INDEX($AM$2:$BM$1001,MATCH(ROWS($AF$2:AF439),$AF$2:$AF$1001,0),MATCH(COLUMNS($AM$1006:AW1006),$AM$1006:$BM$1006,0)), HYPERLINK("#",""), HYPERLINK(CONCATENATE("#metadata!", ADDRESS(INDEX($AH$2:$AH$1001,MATCH(ROWS($AF$2:AF439),$AF$2:$AF$1001,0),0), INDEX($AM$1004:$BM$1004,1,MATCH(COLUMNS($AM$1006:AW1006),$AM$1006:$BM$1006,0)))),"Fix")))</f>
        <v xml:space="preserve"> </v>
      </c>
      <c r="M439" s="4" t="str">
        <f ca="1">IF(OR(INDEX($AG$2:$AG$1001,MATCH(ROWS($AF$2:AF439),$AF$2:$AF$1001,0),1)&gt;=100000,INDEX($AM$1005:$BM$1005,1,MATCH(COLUMNS($AM$1006:AX1006),$AM$1006:$BM$1006,0))&gt;=100000), " ",IF(INDEX($AM$2:$BM$1001,MATCH(ROWS($AF$2:AF439),$AF$2:$AF$1001,0),MATCH(COLUMNS($AM$1006:AX1006),$AM$1006:$BM$1006,0)), HYPERLINK("#",""), HYPERLINK(CONCATENATE("#metadata!", ADDRESS(INDEX($AH$2:$AH$1001,MATCH(ROWS($AF$2:AF439),$AF$2:$AF$1001,0),0), INDEX($AM$1004:$BM$1004,1,MATCH(COLUMNS($AM$1006:AX1006),$AM$1006:$BM$1006,0)))),"Fix")))</f>
        <v xml:space="preserve"> </v>
      </c>
      <c r="N439" s="4" t="str">
        <f ca="1">IF(OR(INDEX($AG$2:$AG$1001,MATCH(ROWS($AF$2:AF439),$AF$2:$AF$1001,0),1)&gt;=100000,INDEX($AM$1005:$BM$1005,1,MATCH(COLUMNS($AM$1006:AY1006),$AM$1006:$BM$1006,0))&gt;=100000), " ",IF(INDEX($AM$2:$BM$1001,MATCH(ROWS($AF$2:AF439),$AF$2:$AF$1001,0),MATCH(COLUMNS($AM$1006:AY1006),$AM$1006:$BM$1006,0)), HYPERLINK("#",""), HYPERLINK(CONCATENATE("#metadata!", ADDRESS(INDEX($AH$2:$AH$1001,MATCH(ROWS($AF$2:AF439),$AF$2:$AF$1001,0),0), INDEX($AM$1004:$BM$1004,1,MATCH(COLUMNS($AM$1006:AY1006),$AM$1006:$BM$1006,0)))),"Fix")))</f>
        <v xml:space="preserve"> </v>
      </c>
      <c r="O439" s="4" t="str">
        <f ca="1">IF(OR(INDEX($AG$2:$AG$1001,MATCH(ROWS($AF$2:AF439),$AF$2:$AF$1001,0),1)&gt;=100000,INDEX($AM$1005:$BM$1005,1,MATCH(COLUMNS($AM$1006:AZ1006),$AM$1006:$BM$1006,0))&gt;=100000), " ",IF(INDEX($AM$2:$BM$1001,MATCH(ROWS($AF$2:AF439),$AF$2:$AF$1001,0),MATCH(COLUMNS($AM$1006:AZ1006),$AM$1006:$BM$1006,0)), HYPERLINK("#",""), HYPERLINK(CONCATENATE("#metadata!", ADDRESS(INDEX($AH$2:$AH$1001,MATCH(ROWS($AF$2:AF439),$AF$2:$AF$1001,0),0), INDEX($AM$1004:$BM$1004,1,MATCH(COLUMNS($AM$1006:AZ1006),$AM$1006:$BM$1006,0)))),"Fix")))</f>
        <v xml:space="preserve"> </v>
      </c>
      <c r="P439" s="4" t="str">
        <f ca="1">IF(OR(INDEX($AG$2:$AG$1001,MATCH(ROWS($AF$2:AF439),$AF$2:$AF$1001,0),1)&gt;=100000,INDEX($AM$1005:$BM$1005,1,MATCH(COLUMNS($AM$1006:BA1006),$AM$1006:$BM$1006,0))&gt;=100000), " ",IF(INDEX($AM$2:$BM$1001,MATCH(ROWS($AF$2:AF439),$AF$2:$AF$1001,0),MATCH(COLUMNS($AM$1006:BA1006),$AM$1006:$BM$1006,0)), HYPERLINK("#",""), HYPERLINK(CONCATENATE("#metadata!", ADDRESS(INDEX($AH$2:$AH$1001,MATCH(ROWS($AF$2:AF439),$AF$2:$AF$1001,0),0), INDEX($AM$1004:$BM$1004,1,MATCH(COLUMNS($AM$1006:BA1006),$AM$1006:$BM$1006,0)))),"Fix")))</f>
        <v xml:space="preserve"> </v>
      </c>
      <c r="Q439" s="4" t="str">
        <f ca="1">IF(OR(INDEX($AG$2:$AG$1001,MATCH(ROWS($AF$2:AF439),$AF$2:$AF$1001,0),1)&gt;=100000,INDEX($AM$1005:$BM$1005,1,MATCH(COLUMNS($AM$1006:BB1006),$AM$1006:$BM$1006,0))&gt;=100000), " ",IF(INDEX($AM$2:$BM$1001,MATCH(ROWS($AF$2:AF439),$AF$2:$AF$1001,0),MATCH(COLUMNS($AM$1006:BB1006),$AM$1006:$BM$1006,0)), HYPERLINK("#",""), HYPERLINK(CONCATENATE("#metadata!", ADDRESS(INDEX($AH$2:$AH$1001,MATCH(ROWS($AF$2:AF439),$AF$2:$AF$1001,0),0), INDEX($AM$1004:$BM$1004,1,MATCH(COLUMNS($AM$1006:BB1006),$AM$1006:$BM$1006,0)))),"Fix")))</f>
        <v xml:space="preserve"> </v>
      </c>
      <c r="R439" s="4" t="str">
        <f ca="1">IF(OR(INDEX($AG$2:$AG$1001,MATCH(ROWS($AF$2:AF439),$AF$2:$AF$1001,0),1)&gt;=100000,INDEX($AM$1005:$BM$1005,1,MATCH(COLUMNS($AM$1006:BC1006),$AM$1006:$BM$1006,0))&gt;=100000), " ",IF(INDEX($AM$2:$BM$1001,MATCH(ROWS($AF$2:AF439),$AF$2:$AF$1001,0),MATCH(COLUMNS($AM$1006:BC1006),$AM$1006:$BM$1006,0)), HYPERLINK("#",""), HYPERLINK(CONCATENATE("#metadata!", ADDRESS(INDEX($AH$2:$AH$1001,MATCH(ROWS($AF$2:AF439),$AF$2:$AF$1001,0),0), INDEX($AM$1004:$BM$1004,1,MATCH(COLUMNS($AM$1006:BC1006),$AM$1006:$BM$1006,0)))),"Fix")))</f>
        <v xml:space="preserve"> </v>
      </c>
      <c r="S439" s="4" t="str">
        <f ca="1">IF(OR(INDEX($AG$2:$AG$1001,MATCH(ROWS($AF$2:AF439),$AF$2:$AF$1001,0),1)&gt;=100000,INDEX($AM$1005:$BM$1005,1,MATCH(COLUMNS($AM$1006:BD1006),$AM$1006:$BM$1006,0))&gt;=100000), " ",IF(INDEX($AM$2:$BM$1001,MATCH(ROWS($AF$2:AF439),$AF$2:$AF$1001,0),MATCH(COLUMNS($AM$1006:BD1006),$AM$1006:$BM$1006,0)), HYPERLINK("#",""), HYPERLINK(CONCATENATE("#metadata!", ADDRESS(INDEX($AH$2:$AH$1001,MATCH(ROWS($AF$2:AF439),$AF$2:$AF$1001,0),0), INDEX($AM$1004:$BM$1004,1,MATCH(COLUMNS($AM$1006:BD1006),$AM$1006:$BM$1006,0)))),"Fix")))</f>
        <v xml:space="preserve"> </v>
      </c>
      <c r="T439" s="4" t="str">
        <f ca="1">IF(OR(INDEX($AG$2:$AG$1001,MATCH(ROWS($AF$2:AF439),$AF$2:$AF$1001,0),1)&gt;=100000,INDEX($AM$1005:$BM$1005,1,MATCH(COLUMNS($AM$1006:BE1006),$AM$1006:$BM$1006,0))&gt;=100000), " ",IF(INDEX($AM$2:$BM$1001,MATCH(ROWS($AF$2:AF439),$AF$2:$AF$1001,0),MATCH(COLUMNS($AM$1006:BE1006),$AM$1006:$BM$1006,0)), HYPERLINK("#",""), HYPERLINK(CONCATENATE("#metadata!", ADDRESS(INDEX($AH$2:$AH$1001,MATCH(ROWS($AF$2:AF439),$AF$2:$AF$1001,0),0), INDEX($AM$1004:$BM$1004,1,MATCH(COLUMNS($AM$1006:BE1006),$AM$1006:$BM$1006,0)))),"Fix")))</f>
        <v xml:space="preserve"> </v>
      </c>
      <c r="U439" s="4" t="str">
        <f ca="1">IF(OR(INDEX($AG$2:$AG$1001,MATCH(ROWS($AF$2:AF439),$AF$2:$AF$1001,0),1)&gt;=100000,INDEX($AM$1005:$BM$1005,1,MATCH(COLUMNS($AM$1006:BF1006),$AM$1006:$BM$1006,0))&gt;=100000), " ",IF(INDEX($AM$2:$BM$1001,MATCH(ROWS($AF$2:AF439),$AF$2:$AF$1001,0),MATCH(COLUMNS($AM$1006:BF1006),$AM$1006:$BM$1006,0)), HYPERLINK("#",""), HYPERLINK(CONCATENATE("#metadata!", ADDRESS(INDEX($AH$2:$AH$1001,MATCH(ROWS($AF$2:AF439),$AF$2:$AF$1001,0),0), INDEX($AM$1004:$BM$1004,1,MATCH(COLUMNS($AM$1006:BF1006),$AM$1006:$BM$1006,0)))),"Fix")))</f>
        <v xml:space="preserve"> </v>
      </c>
      <c r="V439" s="4" t="str">
        <f ca="1">IF(OR(INDEX($AG$2:$AG$1001,MATCH(ROWS($AF$2:AF439),$AF$2:$AF$1001,0),1)&gt;=100000,INDEX($AM$1005:$BM$1005,1,MATCH(COLUMNS($AM$1006:BG1006),$AM$1006:$BM$1006,0))&gt;=100000), " ",IF(INDEX($AM$2:$BM$1001,MATCH(ROWS($AF$2:AF439),$AF$2:$AF$1001,0),MATCH(COLUMNS($AM$1006:BG1006),$AM$1006:$BM$1006,0)), HYPERLINK("#",""), HYPERLINK(CONCATENATE("#metadata!", ADDRESS(INDEX($AH$2:$AH$1001,MATCH(ROWS($AF$2:AF439),$AF$2:$AF$1001,0),0), INDEX($AM$1004:$BM$1004,1,MATCH(COLUMNS($AM$1006:BG1006),$AM$1006:$BM$1006,0)))),"Fix")))</f>
        <v xml:space="preserve"> </v>
      </c>
      <c r="W439" s="4" t="str">
        <f ca="1">IF(OR(INDEX($AG$2:$AG$1001,MATCH(ROWS($AF$2:AF439),$AF$2:$AF$1001,0),1)&gt;=100000,INDEX($AM$1005:$BM$1005,1,MATCH(COLUMNS($AM$1006:BH1006),$AM$1006:$BM$1006,0))&gt;=100000), " ",IF(INDEX($AM$2:$BM$1001,MATCH(ROWS($AF$2:AF439),$AF$2:$AF$1001,0),MATCH(COLUMNS($AM$1006:BH1006),$AM$1006:$BM$1006,0)), HYPERLINK("#",""), HYPERLINK(CONCATENATE("#metadata!", ADDRESS(INDEX($AH$2:$AH$1001,MATCH(ROWS($AF$2:AF439),$AF$2:$AF$1001,0),0), INDEX($AM$1004:$BM$1004,1,MATCH(COLUMNS($AM$1006:BH1006),$AM$1006:$BM$1006,0)))),"Fix")))</f>
        <v xml:space="preserve"> </v>
      </c>
      <c r="X439" s="4" t="str">
        <f ca="1">IF(OR(INDEX($AG$2:$AG$1001,MATCH(ROWS($AF$2:AF439),$AF$2:$AF$1001,0),1)&gt;=100000,INDEX($AM$1005:$BM$1005,1,MATCH(COLUMNS($AM$1006:BI1006),$AM$1006:$BM$1006,0))&gt;=100000), " ",IF(INDEX($AM$2:$BM$1001,MATCH(ROWS($AF$2:AF439),$AF$2:$AF$1001,0),MATCH(COLUMNS($AM$1006:BI1006),$AM$1006:$BM$1006,0)), HYPERLINK("#",""), HYPERLINK(CONCATENATE("#metadata!", ADDRESS(INDEX($AH$2:$AH$1001,MATCH(ROWS($AF$2:AF439),$AF$2:$AF$1001,0),0), INDEX($AM$1004:$BM$1004,1,MATCH(COLUMNS($AM$1006:BI1006),$AM$1006:$BM$1006,0)))),"Fix")))</f>
        <v xml:space="preserve"> </v>
      </c>
      <c r="Y439" s="4" t="str">
        <f ca="1">IF(OR(INDEX($AG$2:$AG$1001,MATCH(ROWS($AF$2:AF439),$AF$2:$AF$1001,0),1)&gt;=100000,INDEX($AM$1005:$BM$1005,1,MATCH(COLUMNS($AM$1006:BJ1006),$AM$1006:$BM$1006,0))&gt;=100000), " ",IF(INDEX($AM$2:$BM$1001,MATCH(ROWS($AF$2:AF439),$AF$2:$AF$1001,0),MATCH(COLUMNS($AM$1006:BJ1006),$AM$1006:$BM$1006,0)), HYPERLINK("#",""), HYPERLINK(CONCATENATE("#metadata!", ADDRESS(INDEX($AH$2:$AH$1001,MATCH(ROWS($AF$2:AF439),$AF$2:$AF$1001,0),0), INDEX($AM$1004:$BM$1004,1,MATCH(COLUMNS($AM$1006:BJ1006),$AM$1006:$BM$1006,0)))),"Fix")))</f>
        <v xml:space="preserve"> </v>
      </c>
      <c r="Z439" s="4" t="str">
        <f ca="1">IF(OR(INDEX($AG$2:$AG$1001,MATCH(ROWS($AF$2:AF439),$AF$2:$AF$1001,0),1)&gt;=100000,INDEX($AM$1005:$BM$1005,1,MATCH(COLUMNS($AM$1006:BK1006),$AM$1006:$BM$1006,0))&gt;=100000), " ",IF(INDEX($AM$2:$BM$1001,MATCH(ROWS($AF$2:AF439),$AF$2:$AF$1001,0),MATCH(COLUMNS($AM$1006:BK1006),$AM$1006:$BM$1006,0)), HYPERLINK("#",""), HYPERLINK(CONCATENATE("#metadata!", ADDRESS(INDEX($AH$2:$AH$1001,MATCH(ROWS($AF$2:AF439),$AF$2:$AF$1001,0),0), INDEX($AM$1004:$BM$1004,1,MATCH(COLUMNS($AM$1006:BK1006),$AM$1006:$BM$1006,0)))),"Fix")))</f>
        <v xml:space="preserve"> </v>
      </c>
      <c r="AA439" s="4" t="str">
        <f ca="1">IF(OR(INDEX($AG$2:$AG$1001,MATCH(ROWS($AF$2:AF439),$AF$2:$AF$1001,0),1)&gt;=100000,INDEX($AM$1005:$BM$1005,1,MATCH(COLUMNS($AM$1006:BL1006),$AM$1006:$BM$1006,0))&gt;=100000), " ",IF(INDEX($AM$2:$BM$1001,MATCH(ROWS($AF$2:AF439),$AF$2:$AF$1001,0),MATCH(COLUMNS($AM$1006:BL1006),$AM$1006:$BM$1006,0)), HYPERLINK("#",""), HYPERLINK(CONCATENATE("#metadata!", ADDRESS(INDEX($AH$2:$AH$1001,MATCH(ROWS($AF$2:AF439),$AF$2:$AF$1001,0),0), INDEX($AM$1004:$BM$1004,1,MATCH(COLUMNS($AM$1006:BL1006),$AM$1006:$BM$1006,0)))),"Fix")))</f>
        <v xml:space="preserve"> </v>
      </c>
      <c r="AB439" s="4" t="str">
        <f ca="1">IF(OR(INDEX($AG$2:$AG$1001,MATCH(ROWS($AF$2:AF439),$AF$2:$AF$1001,0),1)&gt;=100000,INDEX($AM$1005:$BM$1005,1,MATCH(COLUMNS($AM$1006:BM1006),$AM$1006:$BM$1006,0))&gt;=100000), " ",IF(INDEX($AM$2:$BM$1001,MATCH(ROWS($AF$2:AF439),$AF$2:$AF$1001,0),MATCH(COLUMNS($AM$1006:BM1006),$AM$1006:$BM$1006,0)), HYPERLINK("#",""), HYPERLINK(CONCATENATE("#metadata!", ADDRESS(INDEX($AH$2:$AH$1001,MATCH(ROWS($AF$2:AF439),$AF$2:$AF$1001,0),0), INDEX($AM$1004:$BM$1004,1,MATCH(COLUMNS($AM$1006:BM1006),$AM$1006:$BM$1006,0)))),"Fix")))</f>
        <v xml:space="preserve"> </v>
      </c>
      <c r="AF439">
        <v>438</v>
      </c>
      <c r="AG439">
        <v>100439</v>
      </c>
      <c r="AH439">
        <v>439</v>
      </c>
      <c r="AI439" t="b">
        <f t="shared" si="6"/>
        <v>1</v>
      </c>
      <c r="AJ439" t="b">
        <f>COUNTBLANK(metadata!B439:AB439)=COLUMNS(metadata!B439:AB439)</f>
        <v>1</v>
      </c>
      <c r="AK439" t="str">
        <v/>
      </c>
      <c r="AM439" t="b">
        <f ca="1">AND(IF(metadata!B439="",FALSE,TRUE),COUNTIF(metadata!B:B, metadata!B439) = 1,NOT(ISERROR(SUMPRODUCT(SEARCH(MID(metadata!B439,ROW(INDIRECT("1:"&amp;LEN(metadata!B439))), 1),"0123456789abcdefghijklmnopqrstuvwxyzABCDEFGHIJKLMNOPQRSTUVWXYZ.")))))</f>
        <v>0</v>
      </c>
      <c r="AN439" t="b">
        <f ca="1">OR(AND(IF(metadata!C439="",FALSE,TRUE),OR(EXACT(metadata!C439,"missing: not collected"),EXACT(metadata!C439,"missing: not provided"),EXACT(metadata!C439,"missing: restricted access"))),AND(IF(metadata!C439="",FALSE,TRUE),AND(AND(IFERROR(INT(LEFT(metadata!C439,4))&gt;1900,FALSE),IFERROR(INT(LEFT(metadata!C439,4))&lt;=YEAR(NOW()),FALSE)), OR(MID(metadata!C439,5,1)="", AND(AND(MID(metadata!C439,5,1)="-",IFERROR(INT(MID(metadata!C439,6,1))&gt;=0,FALSE),IFERROR(INT(MID(metadata!C439,6,1))&lt;=1,FALSE),NOT(MID(metadata!C439,7,1)=""),IFERROR(INT(MID(metadata!C439,6,2))&gt;=1,FALSE),IFERROR(INT(MID(metadata!C439,6,2))&lt;=12,FALSE)), OR(MID(metadata!C439,8,1)="", AND(AND(MID(metadata!C439,8,1)="-",IFERROR(INT(MID(metadata!C439,9,1))&gt;=0,FALSE),IFERROR(INT(MID(metadata!C439,9,1))&lt;=3,FALSE),NOT(MID(metadata!C439,10,1)=""),IFERROR(INT(MID(metadata!C439,9,2))&gt;=1,FALSE),IFERROR(INT(MID(metadata!C439,9,2))&lt;=31,FALSE)), OR(MID(metadata!C439,11,1)="", AND(AND(MID(metadata!C439,11,1)=" ",IFERROR(INT(MID(metadata!C439,12,1))&gt;=0,FALSE),IFERROR(INT(MID(metadata!C439,12,1))&lt;=2,FALSE),NOT(MID(metadata!C439,13,1)=""),IFERROR(INT(MID(metadata!C439,12,2))&gt;=0,FALSE),IFERROR(INT(MID(metadata!C439,12,2))&lt;=23,FALSE)), OR(MID(metadata!C439,14,1)="", AND(AND(MID(metadata!C439,14,1)=":",IFERROR(INT(MID(metadata!C439,15,1))&gt;=0,FALSE),IFERROR(INT(MID(metadata!C439,15,1))&lt;=5,FALSE),NOT(MID(metadata!C439,16,1)=""),IFERROR(INT(MID(metadata!C439,15,2))&gt;=0,FALSE),IFERROR(INT(MID(metadata!C439,15,2))&lt;=59,FALSE)), OR(MID(metadata!C439,17,1)="", AND(AND(MID(metadata!C439,17,1)=":",IFERROR(INT(MID(metadata!C439,18,1))&gt;=0,FALSE),IFERROR(INT(MID(metadata!C439,18,1))&lt;=5,FALSE),NOT(MID(metadata!C439,19,1)=""),IFERROR(INT(MID(metadata!C439,18,2))&gt;=0,FALSE),IFERROR(INT(MID(metadata!C439,18,2))&lt;=59,FALSE)), LEN(metadata!C439)&lt;=19)))))))))))))</f>
        <v>0</v>
      </c>
      <c r="AO439" t="b">
        <f>AND(IF(metadata!D439="",FALSE,TRUE),EXACT(metadata!D439,"Not applicable"))</f>
        <v>0</v>
      </c>
      <c r="AP439" t="b">
        <f>IF(metadata!E439="",FALSE,TRUE)</f>
        <v>0</v>
      </c>
      <c r="AQ439" t="b">
        <f>OR(AND(IF(metadata!F439="",FALSE,TRUE),OR(EXACT(metadata!F439,"missing: not collected"),EXACT(metadata!F439,"missing: not provided"))),AND(IF(metadata!F439="",FALSE,TRUE),OR(EXACT(metadata!F439,"TRUE"),EXACT(metadata!F439,"FALSE"))))</f>
        <v>0</v>
      </c>
      <c r="AR439" t="b">
        <f>OR(AND(IF(metadata!G439="",FALSE,TRUE),OR(EXACT(metadata!G439,"missing: not collected"),EXACT(metadata!G439,"missing: not provided"),EXACT(metadata!G439,"missing: restricted access"))),AND(IF(metadata!G439="",FALSE,ISNUMBER(VALUE(metadata!G439))),metadata!G439&gt;=-413))</f>
        <v>0</v>
      </c>
      <c r="AS439" t="b">
        <f>AND(IF(metadata!H439="",FALSE,TRUE),EXACT(metadata!H439,"meters"))</f>
        <v>0</v>
      </c>
      <c r="AT439" t="b">
        <f>AND(IF(metadata!I439="",FALSE,TRUE),OR(EXACT(metadata!I439,"Host-associated"),EXACT(metadata!I439,"Free-living")))</f>
        <v>0</v>
      </c>
      <c r="AU439" t="b">
        <f>AND(IF(metadata!J439="",FALSE,TRUE),OR(EXACT(metadata!J439,"Animal"),EXACT(metadata!J439,"Fungus"),EXACT(metadata!J439,"Plant"),EXACT(metadata!J439,"Saline"),EXACT(metadata!J439,"Non-saline")))</f>
        <v>0</v>
      </c>
      <c r="AV439" t="b">
        <f>AND(IF(metadata!K439="",FALSE,TRUE),OR(EXACT(metadata!K439,"Plant secretion"),EXACT(metadata!K439,"Plant rhizosphere"),EXACT(metadata!K439,"Plant surface"),EXACT(metadata!K439,"Plant corpus"),EXACT(metadata!K439,"Fungus surface"),EXACT(metadata!K439,"Fungus corpus"),EXACT(metadata!K439,"Animal surface"),EXACT(metadata!K439,"Animal proximal gut"),EXACT(metadata!K439,"Animal corpus"),EXACT(metadata!K439,"Animal distal gut"),EXACT(metadata!K439,"Animal secretion"),EXACT(metadata!K439,"Sub-surface (non-saline)"),EXACT(metadata!K439,"Surface (non-saline)"),EXACT(metadata!K439,"Water (non-saline)"),EXACT(metadata!K439,"Soil (non-saline)"),EXACT(metadata!K439,"Aerosol (non-saline)"),EXACT(metadata!K439,"Sediment (non-saline)"),EXACT(metadata!K439,"Surface (saline)"),EXACT(metadata!K439,"Water (saline)"),EXACT(metadata!K439,"Hypersaline (saline)"),EXACT(metadata!K439,"Aerosol (saline)"),EXACT(metadata!K439,"Sediment (saline)")))</f>
        <v>0</v>
      </c>
      <c r="AW439" t="b">
        <f>IF(metadata!L439="",FALSE,TRUE)</f>
        <v>0</v>
      </c>
      <c r="AX439" t="b">
        <f>IF(metadata!M439="",FALSE,TRUE)</f>
        <v>0</v>
      </c>
      <c r="AY439" t="b">
        <f>IF(metadata!N439="",FALSE,TRUE)</f>
        <v>0</v>
      </c>
      <c r="AZ439" t="b">
        <f>OR(AND(IF(metadata!O439="",FALSE,TRUE),OR(EXACT(metadata!O439,"missing: not collected"),EXACT(metadata!O439,"missing: not provided"),EXACT(metadata!O439,"missing: restricted access"))),AND(IF(metadata!O439="",FALSE,TRUE),OR(EXACT(metadata!O439,"air"),EXACT(metadata!O439,"built environment"),EXACT(metadata!O439,"host-associated"),EXACT(metadata!O439,"human-associated"),EXACT(metadata!O439,"human-skin"),EXACT(metadata!O439,"human-oral"),EXACT(metadata!O439,"human-gut"),EXACT(metadata!O439,"human-vaginal"),EXACT(metadata!O439,"microbial mat/biofilm"),EXACT(metadata!O439,"misc environment"),EXACT(metadata!O439,"plant-associated"),EXACT(metadata!O439,"sediment"),EXACT(metadata!O439,"soil"),EXACT(metadata!O439,"wastewater/sludge"),EXACT(metadata!O439,"water"))))</f>
        <v>0</v>
      </c>
      <c r="BA439" t="b">
        <f>IF(metadata!P439="",FALSE,TRUE)</f>
        <v>0</v>
      </c>
      <c r="BB439" t="b">
        <f>IF(metadata!Q439="",FALSE,TRUE)</f>
        <v>0</v>
      </c>
      <c r="BC439" t="b">
        <f>OR(AND(IF(metadata!R439="",FALSE,TRUE),OR(EXACT(metadata!R439,"missing: not collected"),EXACT(metadata!R439,"missing: not provided"),EXACT(metadata!R439,"missing: restricted access"))),AND(IF(metadata!R439="",FALSE,ISNUMBER(VALUE(metadata!R439))),metadata!R439&gt;=-90,metadata!R439&lt;=90))</f>
        <v>0</v>
      </c>
      <c r="BD439" t="b">
        <f>AND(IF(metadata!S439="",FALSE,TRUE),EXACT(metadata!S439,"Decimal degrees"))</f>
        <v>0</v>
      </c>
      <c r="BE439" t="b">
        <f>OR(AND(IF(metadata!T439="",FALSE,TRUE),OR(EXACT(metadata!T439,"missing: not collected"),EXACT(metadata!T439,"missing: not provided"),EXACT(metadata!T439,"missing: restricted access"))),AND(IF(metadata!T439="",FALSE,ISNUMBER(VALUE(metadata!T439))),metadata!T439&gt;=-180,metadata!T439&lt;=180))</f>
        <v>0</v>
      </c>
      <c r="BF439" t="b">
        <f>AND(IF(metadata!U439="",FALSE,TRUE),EXACT(metadata!U439,"Decimal degrees"))</f>
        <v>0</v>
      </c>
      <c r="BG439" t="b">
        <f>IF(metadata!V439="",FALSE,TRUE)</f>
        <v>0</v>
      </c>
      <c r="BH439" t="b">
        <f>OR(AND(IF(metadata!W439="",FALSE,TRUE),OR(EXACT(metadata!W439,"missing: not collected"),EXACT(metadata!W439,"missing: not provided"),EXACT(metadata!W439,"missing: restricted access"))),AND(IF(metadata!W439="",FALSE,TRUE),OR(EXACT(metadata!W439,"TRUE"),EXACT(metadata!W439,"FALSE"))))</f>
        <v>0</v>
      </c>
      <c r="BI439" t="b">
        <f>AND(IF(metadata!X439="",FALSE,TRUE),EXACT(metadata!X439,"other"))</f>
        <v>0</v>
      </c>
      <c r="BJ439" t="b">
        <f>IF(metadata!Y439="",FALSE,TRUE)</f>
        <v>0</v>
      </c>
      <c r="BK439" t="b">
        <f>OR(AND(IF(metadata!Z439="",FALSE,TRUE),OR(EXACT(metadata!Z439,"missing: not collected"),EXACT(metadata!Z439,"missing: not provided"))),AND(IF(metadata!Z439="",FALSE,IF(ISERROR(INT(metadata!Z439)),FALSE,INT(metadata!Z439)=metadata!Z439)),metadata!Z439&gt;0))</f>
        <v>0</v>
      </c>
      <c r="BL439" t="b">
        <f>AND(IF(metadata!AA439="",FALSE,TRUE),EXACT(metadata!AA439,"Not applicable"))</f>
        <v>0</v>
      </c>
      <c r="BM439" t="b">
        <f>IF(metadata!AB439="",FALSE,TRUE)</f>
        <v>0</v>
      </c>
    </row>
    <row r="440" spans="1:65" x14ac:dyDescent="0.2">
      <c r="A440" s="5" t="str">
        <f ca="1">IF(B440=" "," ",HYPERLINK(CONCATENATE("#metadata!",ADDRESS(INDEX($AH$2:$AH$1001,MATCH(ROWS($AF$2:AF440),$AF$2:$AF$1001,0),0),1)),INDEX($AK$2:$AK$1001,MATCH(ROWS($AF$2:AF440),$AF$2:$AF$1001,0),0)))</f>
        <v xml:space="preserve"> </v>
      </c>
      <c r="B440" s="4" t="str">
        <f ca="1">IF(OR(INDEX($AG$2:$AG$1001,MATCH(ROWS($AF$2:AF440),$AF$2:$AF$1001,0),1)&gt;=100000,INDEX($AM$1005:$BM$1005,1,MATCH(COLUMNS($AM$1006:AM1006),$AM$1006:$BM$1006,0))&gt;=100000), " ",IF(INDEX($AM$2:$BM$1001,MATCH(ROWS($AF$2:AF440),$AF$2:$AF$1001,0),MATCH(COLUMNS($AM$1006:AM1006),$AM$1006:$BM$1006,0)), HYPERLINK("#",""), HYPERLINK(CONCATENATE("#metadata!", ADDRESS(INDEX($AH$2:$AH$1001,MATCH(ROWS($AF$2:AF440),$AF$2:$AF$1001,0),0), INDEX($AM$1004:$BM$1004,1,MATCH(COLUMNS($AM$1006:AM1006),$AM$1006:$BM$1006,0)))),"Fix")))</f>
        <v xml:space="preserve"> </v>
      </c>
      <c r="C440" s="4" t="str">
        <f ca="1">IF(OR(INDEX($AG$2:$AG$1001,MATCH(ROWS($AF$2:AF440),$AF$2:$AF$1001,0),1)&gt;=100000,INDEX($AM$1005:$BM$1005,1,MATCH(COLUMNS($AM$1006:AN1006),$AM$1006:$BM$1006,0))&gt;=100000), " ",IF(INDEX($AM$2:$BM$1001,MATCH(ROWS($AF$2:AF440),$AF$2:$AF$1001,0),MATCH(COLUMNS($AM$1006:AN1006),$AM$1006:$BM$1006,0)), HYPERLINK("#",""), HYPERLINK(CONCATENATE("#metadata!", ADDRESS(INDEX($AH$2:$AH$1001,MATCH(ROWS($AF$2:AF440),$AF$2:$AF$1001,0),0), INDEX($AM$1004:$BM$1004,1,MATCH(COLUMNS($AM$1006:AN1006),$AM$1006:$BM$1006,0)))),"Fix")))</f>
        <v xml:space="preserve"> </v>
      </c>
      <c r="D440" s="4" t="str">
        <f ca="1">IF(OR(INDEX($AG$2:$AG$1001,MATCH(ROWS($AF$2:AF440),$AF$2:$AF$1001,0),1)&gt;=100000,INDEX($AM$1005:$BM$1005,1,MATCH(COLUMNS($AM$1006:AO1006),$AM$1006:$BM$1006,0))&gt;=100000), " ",IF(INDEX($AM$2:$BM$1001,MATCH(ROWS($AF$2:AF440),$AF$2:$AF$1001,0),MATCH(COLUMNS($AM$1006:AO1006),$AM$1006:$BM$1006,0)), HYPERLINK("#",""), HYPERLINK(CONCATENATE("#metadata!", ADDRESS(INDEX($AH$2:$AH$1001,MATCH(ROWS($AF$2:AF440),$AF$2:$AF$1001,0),0), INDEX($AM$1004:$BM$1004,1,MATCH(COLUMNS($AM$1006:AO1006),$AM$1006:$BM$1006,0)))),"Fix")))</f>
        <v xml:space="preserve"> </v>
      </c>
      <c r="E440" s="4" t="str">
        <f ca="1">IF(OR(INDEX($AG$2:$AG$1001,MATCH(ROWS($AF$2:AF440),$AF$2:$AF$1001,0),1)&gt;=100000,INDEX($AM$1005:$BM$1005,1,MATCH(COLUMNS($AM$1006:AP1006),$AM$1006:$BM$1006,0))&gt;=100000), " ",IF(INDEX($AM$2:$BM$1001,MATCH(ROWS($AF$2:AF440),$AF$2:$AF$1001,0),MATCH(COLUMNS($AM$1006:AP1006),$AM$1006:$BM$1006,0)), HYPERLINK("#",""), HYPERLINK(CONCATENATE("#metadata!", ADDRESS(INDEX($AH$2:$AH$1001,MATCH(ROWS($AF$2:AF440),$AF$2:$AF$1001,0),0), INDEX($AM$1004:$BM$1004,1,MATCH(COLUMNS($AM$1006:AP1006),$AM$1006:$BM$1006,0)))),"Fix")))</f>
        <v xml:space="preserve"> </v>
      </c>
      <c r="F440" s="4" t="str">
        <f ca="1">IF(OR(INDEX($AG$2:$AG$1001,MATCH(ROWS($AF$2:AF440),$AF$2:$AF$1001,0),1)&gt;=100000,INDEX($AM$1005:$BM$1005,1,MATCH(COLUMNS($AM$1006:AQ1006),$AM$1006:$BM$1006,0))&gt;=100000), " ",IF(INDEX($AM$2:$BM$1001,MATCH(ROWS($AF$2:AF440),$AF$2:$AF$1001,0),MATCH(COLUMNS($AM$1006:AQ1006),$AM$1006:$BM$1006,0)), HYPERLINK("#",""), HYPERLINK(CONCATENATE("#metadata!", ADDRESS(INDEX($AH$2:$AH$1001,MATCH(ROWS($AF$2:AF440),$AF$2:$AF$1001,0),0), INDEX($AM$1004:$BM$1004,1,MATCH(COLUMNS($AM$1006:AQ1006),$AM$1006:$BM$1006,0)))),"Fix")))</f>
        <v xml:space="preserve"> </v>
      </c>
      <c r="G440" s="4" t="str">
        <f ca="1">IF(OR(INDEX($AG$2:$AG$1001,MATCH(ROWS($AF$2:AF440),$AF$2:$AF$1001,0),1)&gt;=100000,INDEX($AM$1005:$BM$1005,1,MATCH(COLUMNS($AM$1006:AR1006),$AM$1006:$BM$1006,0))&gt;=100000), " ",IF(INDEX($AM$2:$BM$1001,MATCH(ROWS($AF$2:AF440),$AF$2:$AF$1001,0),MATCH(COLUMNS($AM$1006:AR1006),$AM$1006:$BM$1006,0)), HYPERLINK("#",""), HYPERLINK(CONCATENATE("#metadata!", ADDRESS(INDEX($AH$2:$AH$1001,MATCH(ROWS($AF$2:AF440),$AF$2:$AF$1001,0),0), INDEX($AM$1004:$BM$1004,1,MATCH(COLUMNS($AM$1006:AR1006),$AM$1006:$BM$1006,0)))),"Fix")))</f>
        <v xml:space="preserve"> </v>
      </c>
      <c r="H440" s="4" t="str">
        <f ca="1">IF(OR(INDEX($AG$2:$AG$1001,MATCH(ROWS($AF$2:AF440),$AF$2:$AF$1001,0),1)&gt;=100000,INDEX($AM$1005:$BM$1005,1,MATCH(COLUMNS($AM$1006:AS1006),$AM$1006:$BM$1006,0))&gt;=100000), " ",IF(INDEX($AM$2:$BM$1001,MATCH(ROWS($AF$2:AF440),$AF$2:$AF$1001,0),MATCH(COLUMNS($AM$1006:AS1006),$AM$1006:$BM$1006,0)), HYPERLINK("#",""), HYPERLINK(CONCATENATE("#metadata!", ADDRESS(INDEX($AH$2:$AH$1001,MATCH(ROWS($AF$2:AF440),$AF$2:$AF$1001,0),0), INDEX($AM$1004:$BM$1004,1,MATCH(COLUMNS($AM$1006:AS1006),$AM$1006:$BM$1006,0)))),"Fix")))</f>
        <v xml:space="preserve"> </v>
      </c>
      <c r="I440" s="4" t="str">
        <f ca="1">IF(OR(INDEX($AG$2:$AG$1001,MATCH(ROWS($AF$2:AF440),$AF$2:$AF$1001,0),1)&gt;=100000,INDEX($AM$1005:$BM$1005,1,MATCH(COLUMNS($AM$1006:AT1006),$AM$1006:$BM$1006,0))&gt;=100000), " ",IF(INDEX($AM$2:$BM$1001,MATCH(ROWS($AF$2:AF440),$AF$2:$AF$1001,0),MATCH(COLUMNS($AM$1006:AT1006),$AM$1006:$BM$1006,0)), HYPERLINK("#",""), HYPERLINK(CONCATENATE("#metadata!", ADDRESS(INDEX($AH$2:$AH$1001,MATCH(ROWS($AF$2:AF440),$AF$2:$AF$1001,0),0), INDEX($AM$1004:$BM$1004,1,MATCH(COLUMNS($AM$1006:AT1006),$AM$1006:$BM$1006,0)))),"Fix")))</f>
        <v xml:space="preserve"> </v>
      </c>
      <c r="J440" s="4" t="str">
        <f ca="1">IF(OR(INDEX($AG$2:$AG$1001,MATCH(ROWS($AF$2:AF440),$AF$2:$AF$1001,0),1)&gt;=100000,INDEX($AM$1005:$BM$1005,1,MATCH(COLUMNS($AM$1006:AU1006),$AM$1006:$BM$1006,0))&gt;=100000), " ",IF(INDEX($AM$2:$BM$1001,MATCH(ROWS($AF$2:AF440),$AF$2:$AF$1001,0),MATCH(COLUMNS($AM$1006:AU1006),$AM$1006:$BM$1006,0)), HYPERLINK("#",""), HYPERLINK(CONCATENATE("#metadata!", ADDRESS(INDEX($AH$2:$AH$1001,MATCH(ROWS($AF$2:AF440),$AF$2:$AF$1001,0),0), INDEX($AM$1004:$BM$1004,1,MATCH(COLUMNS($AM$1006:AU1006),$AM$1006:$BM$1006,0)))),"Fix")))</f>
        <v xml:space="preserve"> </v>
      </c>
      <c r="K440" s="4" t="str">
        <f ca="1">IF(OR(INDEX($AG$2:$AG$1001,MATCH(ROWS($AF$2:AF440),$AF$2:$AF$1001,0),1)&gt;=100000,INDEX($AM$1005:$BM$1005,1,MATCH(COLUMNS($AM$1006:AV1006),$AM$1006:$BM$1006,0))&gt;=100000), " ",IF(INDEX($AM$2:$BM$1001,MATCH(ROWS($AF$2:AF440),$AF$2:$AF$1001,0),MATCH(COLUMNS($AM$1006:AV1006),$AM$1006:$BM$1006,0)), HYPERLINK("#",""), HYPERLINK(CONCATENATE("#metadata!", ADDRESS(INDEX($AH$2:$AH$1001,MATCH(ROWS($AF$2:AF440),$AF$2:$AF$1001,0),0), INDEX($AM$1004:$BM$1004,1,MATCH(COLUMNS($AM$1006:AV1006),$AM$1006:$BM$1006,0)))),"Fix")))</f>
        <v xml:space="preserve"> </v>
      </c>
      <c r="L440" s="4" t="str">
        <f ca="1">IF(OR(INDEX($AG$2:$AG$1001,MATCH(ROWS($AF$2:AF440),$AF$2:$AF$1001,0),1)&gt;=100000,INDEX($AM$1005:$BM$1005,1,MATCH(COLUMNS($AM$1006:AW1006),$AM$1006:$BM$1006,0))&gt;=100000), " ",IF(INDEX($AM$2:$BM$1001,MATCH(ROWS($AF$2:AF440),$AF$2:$AF$1001,0),MATCH(COLUMNS($AM$1006:AW1006),$AM$1006:$BM$1006,0)), HYPERLINK("#",""), HYPERLINK(CONCATENATE("#metadata!", ADDRESS(INDEX($AH$2:$AH$1001,MATCH(ROWS($AF$2:AF440),$AF$2:$AF$1001,0),0), INDEX($AM$1004:$BM$1004,1,MATCH(COLUMNS($AM$1006:AW1006),$AM$1006:$BM$1006,0)))),"Fix")))</f>
        <v xml:space="preserve"> </v>
      </c>
      <c r="M440" s="4" t="str">
        <f ca="1">IF(OR(INDEX($AG$2:$AG$1001,MATCH(ROWS($AF$2:AF440),$AF$2:$AF$1001,0),1)&gt;=100000,INDEX($AM$1005:$BM$1005,1,MATCH(COLUMNS($AM$1006:AX1006),$AM$1006:$BM$1006,0))&gt;=100000), " ",IF(INDEX($AM$2:$BM$1001,MATCH(ROWS($AF$2:AF440),$AF$2:$AF$1001,0),MATCH(COLUMNS($AM$1006:AX1006),$AM$1006:$BM$1006,0)), HYPERLINK("#",""), HYPERLINK(CONCATENATE("#metadata!", ADDRESS(INDEX($AH$2:$AH$1001,MATCH(ROWS($AF$2:AF440),$AF$2:$AF$1001,0),0), INDEX($AM$1004:$BM$1004,1,MATCH(COLUMNS($AM$1006:AX1006),$AM$1006:$BM$1006,0)))),"Fix")))</f>
        <v xml:space="preserve"> </v>
      </c>
      <c r="N440" s="4" t="str">
        <f ca="1">IF(OR(INDEX($AG$2:$AG$1001,MATCH(ROWS($AF$2:AF440),$AF$2:$AF$1001,0),1)&gt;=100000,INDEX($AM$1005:$BM$1005,1,MATCH(COLUMNS($AM$1006:AY1006),$AM$1006:$BM$1006,0))&gt;=100000), " ",IF(INDEX($AM$2:$BM$1001,MATCH(ROWS($AF$2:AF440),$AF$2:$AF$1001,0),MATCH(COLUMNS($AM$1006:AY1006),$AM$1006:$BM$1006,0)), HYPERLINK("#",""), HYPERLINK(CONCATENATE("#metadata!", ADDRESS(INDEX($AH$2:$AH$1001,MATCH(ROWS($AF$2:AF440),$AF$2:$AF$1001,0),0), INDEX($AM$1004:$BM$1004,1,MATCH(COLUMNS($AM$1006:AY1006),$AM$1006:$BM$1006,0)))),"Fix")))</f>
        <v xml:space="preserve"> </v>
      </c>
      <c r="O440" s="4" t="str">
        <f ca="1">IF(OR(INDEX($AG$2:$AG$1001,MATCH(ROWS($AF$2:AF440),$AF$2:$AF$1001,0),1)&gt;=100000,INDEX($AM$1005:$BM$1005,1,MATCH(COLUMNS($AM$1006:AZ1006),$AM$1006:$BM$1006,0))&gt;=100000), " ",IF(INDEX($AM$2:$BM$1001,MATCH(ROWS($AF$2:AF440),$AF$2:$AF$1001,0),MATCH(COLUMNS($AM$1006:AZ1006),$AM$1006:$BM$1006,0)), HYPERLINK("#",""), HYPERLINK(CONCATENATE("#metadata!", ADDRESS(INDEX($AH$2:$AH$1001,MATCH(ROWS($AF$2:AF440),$AF$2:$AF$1001,0),0), INDEX($AM$1004:$BM$1004,1,MATCH(COLUMNS($AM$1006:AZ1006),$AM$1006:$BM$1006,0)))),"Fix")))</f>
        <v xml:space="preserve"> </v>
      </c>
      <c r="P440" s="4" t="str">
        <f ca="1">IF(OR(INDEX($AG$2:$AG$1001,MATCH(ROWS($AF$2:AF440),$AF$2:$AF$1001,0),1)&gt;=100000,INDEX($AM$1005:$BM$1005,1,MATCH(COLUMNS($AM$1006:BA1006),$AM$1006:$BM$1006,0))&gt;=100000), " ",IF(INDEX($AM$2:$BM$1001,MATCH(ROWS($AF$2:AF440),$AF$2:$AF$1001,0),MATCH(COLUMNS($AM$1006:BA1006),$AM$1006:$BM$1006,0)), HYPERLINK("#",""), HYPERLINK(CONCATENATE("#metadata!", ADDRESS(INDEX($AH$2:$AH$1001,MATCH(ROWS($AF$2:AF440),$AF$2:$AF$1001,0),0), INDEX($AM$1004:$BM$1004,1,MATCH(COLUMNS($AM$1006:BA1006),$AM$1006:$BM$1006,0)))),"Fix")))</f>
        <v xml:space="preserve"> </v>
      </c>
      <c r="Q440" s="4" t="str">
        <f ca="1">IF(OR(INDEX($AG$2:$AG$1001,MATCH(ROWS($AF$2:AF440),$AF$2:$AF$1001,0),1)&gt;=100000,INDEX($AM$1005:$BM$1005,1,MATCH(COLUMNS($AM$1006:BB1006),$AM$1006:$BM$1006,0))&gt;=100000), " ",IF(INDEX($AM$2:$BM$1001,MATCH(ROWS($AF$2:AF440),$AF$2:$AF$1001,0),MATCH(COLUMNS($AM$1006:BB1006),$AM$1006:$BM$1006,0)), HYPERLINK("#",""), HYPERLINK(CONCATENATE("#metadata!", ADDRESS(INDEX($AH$2:$AH$1001,MATCH(ROWS($AF$2:AF440),$AF$2:$AF$1001,0),0), INDEX($AM$1004:$BM$1004,1,MATCH(COLUMNS($AM$1006:BB1006),$AM$1006:$BM$1006,0)))),"Fix")))</f>
        <v xml:space="preserve"> </v>
      </c>
      <c r="R440" s="4" t="str">
        <f ca="1">IF(OR(INDEX($AG$2:$AG$1001,MATCH(ROWS($AF$2:AF440),$AF$2:$AF$1001,0),1)&gt;=100000,INDEX($AM$1005:$BM$1005,1,MATCH(COLUMNS($AM$1006:BC1006),$AM$1006:$BM$1006,0))&gt;=100000), " ",IF(INDEX($AM$2:$BM$1001,MATCH(ROWS($AF$2:AF440),$AF$2:$AF$1001,0),MATCH(COLUMNS($AM$1006:BC1006),$AM$1006:$BM$1006,0)), HYPERLINK("#",""), HYPERLINK(CONCATENATE("#metadata!", ADDRESS(INDEX($AH$2:$AH$1001,MATCH(ROWS($AF$2:AF440),$AF$2:$AF$1001,0),0), INDEX($AM$1004:$BM$1004,1,MATCH(COLUMNS($AM$1006:BC1006),$AM$1006:$BM$1006,0)))),"Fix")))</f>
        <v xml:space="preserve"> </v>
      </c>
      <c r="S440" s="4" t="str">
        <f ca="1">IF(OR(INDEX($AG$2:$AG$1001,MATCH(ROWS($AF$2:AF440),$AF$2:$AF$1001,0),1)&gt;=100000,INDEX($AM$1005:$BM$1005,1,MATCH(COLUMNS($AM$1006:BD1006),$AM$1006:$BM$1006,0))&gt;=100000), " ",IF(INDEX($AM$2:$BM$1001,MATCH(ROWS($AF$2:AF440),$AF$2:$AF$1001,0),MATCH(COLUMNS($AM$1006:BD1006),$AM$1006:$BM$1006,0)), HYPERLINK("#",""), HYPERLINK(CONCATENATE("#metadata!", ADDRESS(INDEX($AH$2:$AH$1001,MATCH(ROWS($AF$2:AF440),$AF$2:$AF$1001,0),0), INDEX($AM$1004:$BM$1004,1,MATCH(COLUMNS($AM$1006:BD1006),$AM$1006:$BM$1006,0)))),"Fix")))</f>
        <v xml:space="preserve"> </v>
      </c>
      <c r="T440" s="4" t="str">
        <f ca="1">IF(OR(INDEX($AG$2:$AG$1001,MATCH(ROWS($AF$2:AF440),$AF$2:$AF$1001,0),1)&gt;=100000,INDEX($AM$1005:$BM$1005,1,MATCH(COLUMNS($AM$1006:BE1006),$AM$1006:$BM$1006,0))&gt;=100000), " ",IF(INDEX($AM$2:$BM$1001,MATCH(ROWS($AF$2:AF440),$AF$2:$AF$1001,0),MATCH(COLUMNS($AM$1006:BE1006),$AM$1006:$BM$1006,0)), HYPERLINK("#",""), HYPERLINK(CONCATENATE("#metadata!", ADDRESS(INDEX($AH$2:$AH$1001,MATCH(ROWS($AF$2:AF440),$AF$2:$AF$1001,0),0), INDEX($AM$1004:$BM$1004,1,MATCH(COLUMNS($AM$1006:BE1006),$AM$1006:$BM$1006,0)))),"Fix")))</f>
        <v xml:space="preserve"> </v>
      </c>
      <c r="U440" s="4" t="str">
        <f ca="1">IF(OR(INDEX($AG$2:$AG$1001,MATCH(ROWS($AF$2:AF440),$AF$2:$AF$1001,0),1)&gt;=100000,INDEX($AM$1005:$BM$1005,1,MATCH(COLUMNS($AM$1006:BF1006),$AM$1006:$BM$1006,0))&gt;=100000), " ",IF(INDEX($AM$2:$BM$1001,MATCH(ROWS($AF$2:AF440),$AF$2:$AF$1001,0),MATCH(COLUMNS($AM$1006:BF1006),$AM$1006:$BM$1006,0)), HYPERLINK("#",""), HYPERLINK(CONCATENATE("#metadata!", ADDRESS(INDEX($AH$2:$AH$1001,MATCH(ROWS($AF$2:AF440),$AF$2:$AF$1001,0),0), INDEX($AM$1004:$BM$1004,1,MATCH(COLUMNS($AM$1006:BF1006),$AM$1006:$BM$1006,0)))),"Fix")))</f>
        <v xml:space="preserve"> </v>
      </c>
      <c r="V440" s="4" t="str">
        <f ca="1">IF(OR(INDEX($AG$2:$AG$1001,MATCH(ROWS($AF$2:AF440),$AF$2:$AF$1001,0),1)&gt;=100000,INDEX($AM$1005:$BM$1005,1,MATCH(COLUMNS($AM$1006:BG1006),$AM$1006:$BM$1006,0))&gt;=100000), " ",IF(INDEX($AM$2:$BM$1001,MATCH(ROWS($AF$2:AF440),$AF$2:$AF$1001,0),MATCH(COLUMNS($AM$1006:BG1006),$AM$1006:$BM$1006,0)), HYPERLINK("#",""), HYPERLINK(CONCATENATE("#metadata!", ADDRESS(INDEX($AH$2:$AH$1001,MATCH(ROWS($AF$2:AF440),$AF$2:$AF$1001,0),0), INDEX($AM$1004:$BM$1004,1,MATCH(COLUMNS($AM$1006:BG1006),$AM$1006:$BM$1006,0)))),"Fix")))</f>
        <v xml:space="preserve"> </v>
      </c>
      <c r="W440" s="4" t="str">
        <f ca="1">IF(OR(INDEX($AG$2:$AG$1001,MATCH(ROWS($AF$2:AF440),$AF$2:$AF$1001,0),1)&gt;=100000,INDEX($AM$1005:$BM$1005,1,MATCH(COLUMNS($AM$1006:BH1006),$AM$1006:$BM$1006,0))&gt;=100000), " ",IF(INDEX($AM$2:$BM$1001,MATCH(ROWS($AF$2:AF440),$AF$2:$AF$1001,0),MATCH(COLUMNS($AM$1006:BH1006),$AM$1006:$BM$1006,0)), HYPERLINK("#",""), HYPERLINK(CONCATENATE("#metadata!", ADDRESS(INDEX($AH$2:$AH$1001,MATCH(ROWS($AF$2:AF440),$AF$2:$AF$1001,0),0), INDEX($AM$1004:$BM$1004,1,MATCH(COLUMNS($AM$1006:BH1006),$AM$1006:$BM$1006,0)))),"Fix")))</f>
        <v xml:space="preserve"> </v>
      </c>
      <c r="X440" s="4" t="str">
        <f ca="1">IF(OR(INDEX($AG$2:$AG$1001,MATCH(ROWS($AF$2:AF440),$AF$2:$AF$1001,0),1)&gt;=100000,INDEX($AM$1005:$BM$1005,1,MATCH(COLUMNS($AM$1006:BI1006),$AM$1006:$BM$1006,0))&gt;=100000), " ",IF(INDEX($AM$2:$BM$1001,MATCH(ROWS($AF$2:AF440),$AF$2:$AF$1001,0),MATCH(COLUMNS($AM$1006:BI1006),$AM$1006:$BM$1006,0)), HYPERLINK("#",""), HYPERLINK(CONCATENATE("#metadata!", ADDRESS(INDEX($AH$2:$AH$1001,MATCH(ROWS($AF$2:AF440),$AF$2:$AF$1001,0),0), INDEX($AM$1004:$BM$1004,1,MATCH(COLUMNS($AM$1006:BI1006),$AM$1006:$BM$1006,0)))),"Fix")))</f>
        <v xml:space="preserve"> </v>
      </c>
      <c r="Y440" s="4" t="str">
        <f ca="1">IF(OR(INDEX($AG$2:$AG$1001,MATCH(ROWS($AF$2:AF440),$AF$2:$AF$1001,0),1)&gt;=100000,INDEX($AM$1005:$BM$1005,1,MATCH(COLUMNS($AM$1006:BJ1006),$AM$1006:$BM$1006,0))&gt;=100000), " ",IF(INDEX($AM$2:$BM$1001,MATCH(ROWS($AF$2:AF440),$AF$2:$AF$1001,0),MATCH(COLUMNS($AM$1006:BJ1006),$AM$1006:$BM$1006,0)), HYPERLINK("#",""), HYPERLINK(CONCATENATE("#metadata!", ADDRESS(INDEX($AH$2:$AH$1001,MATCH(ROWS($AF$2:AF440),$AF$2:$AF$1001,0),0), INDEX($AM$1004:$BM$1004,1,MATCH(COLUMNS($AM$1006:BJ1006),$AM$1006:$BM$1006,0)))),"Fix")))</f>
        <v xml:space="preserve"> </v>
      </c>
      <c r="Z440" s="4" t="str">
        <f ca="1">IF(OR(INDEX($AG$2:$AG$1001,MATCH(ROWS($AF$2:AF440),$AF$2:$AF$1001,0),1)&gt;=100000,INDEX($AM$1005:$BM$1005,1,MATCH(COLUMNS($AM$1006:BK1006),$AM$1006:$BM$1006,0))&gt;=100000), " ",IF(INDEX($AM$2:$BM$1001,MATCH(ROWS($AF$2:AF440),$AF$2:$AF$1001,0),MATCH(COLUMNS($AM$1006:BK1006),$AM$1006:$BM$1006,0)), HYPERLINK("#",""), HYPERLINK(CONCATENATE("#metadata!", ADDRESS(INDEX($AH$2:$AH$1001,MATCH(ROWS($AF$2:AF440),$AF$2:$AF$1001,0),0), INDEX($AM$1004:$BM$1004,1,MATCH(COLUMNS($AM$1006:BK1006),$AM$1006:$BM$1006,0)))),"Fix")))</f>
        <v xml:space="preserve"> </v>
      </c>
      <c r="AA440" s="4" t="str">
        <f ca="1">IF(OR(INDEX($AG$2:$AG$1001,MATCH(ROWS($AF$2:AF440),$AF$2:$AF$1001,0),1)&gt;=100000,INDEX($AM$1005:$BM$1005,1,MATCH(COLUMNS($AM$1006:BL1006),$AM$1006:$BM$1006,0))&gt;=100000), " ",IF(INDEX($AM$2:$BM$1001,MATCH(ROWS($AF$2:AF440),$AF$2:$AF$1001,0),MATCH(COLUMNS($AM$1006:BL1006),$AM$1006:$BM$1006,0)), HYPERLINK("#",""), HYPERLINK(CONCATENATE("#metadata!", ADDRESS(INDEX($AH$2:$AH$1001,MATCH(ROWS($AF$2:AF440),$AF$2:$AF$1001,0),0), INDEX($AM$1004:$BM$1004,1,MATCH(COLUMNS($AM$1006:BL1006),$AM$1006:$BM$1006,0)))),"Fix")))</f>
        <v xml:space="preserve"> </v>
      </c>
      <c r="AB440" s="4" t="str">
        <f ca="1">IF(OR(INDEX($AG$2:$AG$1001,MATCH(ROWS($AF$2:AF440),$AF$2:$AF$1001,0),1)&gt;=100000,INDEX($AM$1005:$BM$1005,1,MATCH(COLUMNS($AM$1006:BM1006),$AM$1006:$BM$1006,0))&gt;=100000), " ",IF(INDEX($AM$2:$BM$1001,MATCH(ROWS($AF$2:AF440),$AF$2:$AF$1001,0),MATCH(COLUMNS($AM$1006:BM1006),$AM$1006:$BM$1006,0)), HYPERLINK("#",""), HYPERLINK(CONCATENATE("#metadata!", ADDRESS(INDEX($AH$2:$AH$1001,MATCH(ROWS($AF$2:AF440),$AF$2:$AF$1001,0),0), INDEX($AM$1004:$BM$1004,1,MATCH(COLUMNS($AM$1006:BM1006),$AM$1006:$BM$1006,0)))),"Fix")))</f>
        <v xml:space="preserve"> </v>
      </c>
      <c r="AF440">
        <v>439</v>
      </c>
      <c r="AG440">
        <v>100440</v>
      </c>
      <c r="AH440">
        <v>440</v>
      </c>
      <c r="AI440" t="b">
        <f t="shared" si="6"/>
        <v>1</v>
      </c>
      <c r="AJ440" t="b">
        <f>COUNTBLANK(metadata!B440:AB440)=COLUMNS(metadata!B440:AB440)</f>
        <v>1</v>
      </c>
      <c r="AK440" t="str">
        <v/>
      </c>
      <c r="AM440" t="b">
        <f ca="1">AND(IF(metadata!B440="",FALSE,TRUE),COUNTIF(metadata!B:B, metadata!B440) = 1,NOT(ISERROR(SUMPRODUCT(SEARCH(MID(metadata!B440,ROW(INDIRECT("1:"&amp;LEN(metadata!B440))), 1),"0123456789abcdefghijklmnopqrstuvwxyzABCDEFGHIJKLMNOPQRSTUVWXYZ.")))))</f>
        <v>0</v>
      </c>
      <c r="AN440" t="b">
        <f ca="1">OR(AND(IF(metadata!C440="",FALSE,TRUE),OR(EXACT(metadata!C440,"missing: not collected"),EXACT(metadata!C440,"missing: not provided"),EXACT(metadata!C440,"missing: restricted access"))),AND(IF(metadata!C440="",FALSE,TRUE),AND(AND(IFERROR(INT(LEFT(metadata!C440,4))&gt;1900,FALSE),IFERROR(INT(LEFT(metadata!C440,4))&lt;=YEAR(NOW()),FALSE)), OR(MID(metadata!C440,5,1)="", AND(AND(MID(metadata!C440,5,1)="-",IFERROR(INT(MID(metadata!C440,6,1))&gt;=0,FALSE),IFERROR(INT(MID(metadata!C440,6,1))&lt;=1,FALSE),NOT(MID(metadata!C440,7,1)=""),IFERROR(INT(MID(metadata!C440,6,2))&gt;=1,FALSE),IFERROR(INT(MID(metadata!C440,6,2))&lt;=12,FALSE)), OR(MID(metadata!C440,8,1)="", AND(AND(MID(metadata!C440,8,1)="-",IFERROR(INT(MID(metadata!C440,9,1))&gt;=0,FALSE),IFERROR(INT(MID(metadata!C440,9,1))&lt;=3,FALSE),NOT(MID(metadata!C440,10,1)=""),IFERROR(INT(MID(metadata!C440,9,2))&gt;=1,FALSE),IFERROR(INT(MID(metadata!C440,9,2))&lt;=31,FALSE)), OR(MID(metadata!C440,11,1)="", AND(AND(MID(metadata!C440,11,1)=" ",IFERROR(INT(MID(metadata!C440,12,1))&gt;=0,FALSE),IFERROR(INT(MID(metadata!C440,12,1))&lt;=2,FALSE),NOT(MID(metadata!C440,13,1)=""),IFERROR(INT(MID(metadata!C440,12,2))&gt;=0,FALSE),IFERROR(INT(MID(metadata!C440,12,2))&lt;=23,FALSE)), OR(MID(metadata!C440,14,1)="", AND(AND(MID(metadata!C440,14,1)=":",IFERROR(INT(MID(metadata!C440,15,1))&gt;=0,FALSE),IFERROR(INT(MID(metadata!C440,15,1))&lt;=5,FALSE),NOT(MID(metadata!C440,16,1)=""),IFERROR(INT(MID(metadata!C440,15,2))&gt;=0,FALSE),IFERROR(INT(MID(metadata!C440,15,2))&lt;=59,FALSE)), OR(MID(metadata!C440,17,1)="", AND(AND(MID(metadata!C440,17,1)=":",IFERROR(INT(MID(metadata!C440,18,1))&gt;=0,FALSE),IFERROR(INT(MID(metadata!C440,18,1))&lt;=5,FALSE),NOT(MID(metadata!C440,19,1)=""),IFERROR(INT(MID(metadata!C440,18,2))&gt;=0,FALSE),IFERROR(INT(MID(metadata!C440,18,2))&lt;=59,FALSE)), LEN(metadata!C440)&lt;=19)))))))))))))</f>
        <v>0</v>
      </c>
      <c r="AO440" t="b">
        <f>AND(IF(metadata!D440="",FALSE,TRUE),EXACT(metadata!D440,"Not applicable"))</f>
        <v>0</v>
      </c>
      <c r="AP440" t="b">
        <f>IF(metadata!E440="",FALSE,TRUE)</f>
        <v>0</v>
      </c>
      <c r="AQ440" t="b">
        <f>OR(AND(IF(metadata!F440="",FALSE,TRUE),OR(EXACT(metadata!F440,"missing: not collected"),EXACT(metadata!F440,"missing: not provided"))),AND(IF(metadata!F440="",FALSE,TRUE),OR(EXACT(metadata!F440,"TRUE"),EXACT(metadata!F440,"FALSE"))))</f>
        <v>0</v>
      </c>
      <c r="AR440" t="b">
        <f>OR(AND(IF(metadata!G440="",FALSE,TRUE),OR(EXACT(metadata!G440,"missing: not collected"),EXACT(metadata!G440,"missing: not provided"),EXACT(metadata!G440,"missing: restricted access"))),AND(IF(metadata!G440="",FALSE,ISNUMBER(VALUE(metadata!G440))),metadata!G440&gt;=-413))</f>
        <v>0</v>
      </c>
      <c r="AS440" t="b">
        <f>AND(IF(metadata!H440="",FALSE,TRUE),EXACT(metadata!H440,"meters"))</f>
        <v>0</v>
      </c>
      <c r="AT440" t="b">
        <f>AND(IF(metadata!I440="",FALSE,TRUE),OR(EXACT(metadata!I440,"Host-associated"),EXACT(metadata!I440,"Free-living")))</f>
        <v>0</v>
      </c>
      <c r="AU440" t="b">
        <f>AND(IF(metadata!J440="",FALSE,TRUE),OR(EXACT(metadata!J440,"Animal"),EXACT(metadata!J440,"Fungus"),EXACT(metadata!J440,"Plant"),EXACT(metadata!J440,"Saline"),EXACT(metadata!J440,"Non-saline")))</f>
        <v>0</v>
      </c>
      <c r="AV440" t="b">
        <f>AND(IF(metadata!K440="",FALSE,TRUE),OR(EXACT(metadata!K440,"Plant secretion"),EXACT(metadata!K440,"Plant rhizosphere"),EXACT(metadata!K440,"Plant surface"),EXACT(metadata!K440,"Plant corpus"),EXACT(metadata!K440,"Fungus surface"),EXACT(metadata!K440,"Fungus corpus"),EXACT(metadata!K440,"Animal surface"),EXACT(metadata!K440,"Animal proximal gut"),EXACT(metadata!K440,"Animal corpus"),EXACT(metadata!K440,"Animal distal gut"),EXACT(metadata!K440,"Animal secretion"),EXACT(metadata!K440,"Sub-surface (non-saline)"),EXACT(metadata!K440,"Surface (non-saline)"),EXACT(metadata!K440,"Water (non-saline)"),EXACT(metadata!K440,"Soil (non-saline)"),EXACT(metadata!K440,"Aerosol (non-saline)"),EXACT(metadata!K440,"Sediment (non-saline)"),EXACT(metadata!K440,"Surface (saline)"),EXACT(metadata!K440,"Water (saline)"),EXACT(metadata!K440,"Hypersaline (saline)"),EXACT(metadata!K440,"Aerosol (saline)"),EXACT(metadata!K440,"Sediment (saline)")))</f>
        <v>0</v>
      </c>
      <c r="AW440" t="b">
        <f>IF(metadata!L440="",FALSE,TRUE)</f>
        <v>0</v>
      </c>
      <c r="AX440" t="b">
        <f>IF(metadata!M440="",FALSE,TRUE)</f>
        <v>0</v>
      </c>
      <c r="AY440" t="b">
        <f>IF(metadata!N440="",FALSE,TRUE)</f>
        <v>0</v>
      </c>
      <c r="AZ440" t="b">
        <f>OR(AND(IF(metadata!O440="",FALSE,TRUE),OR(EXACT(metadata!O440,"missing: not collected"),EXACT(metadata!O440,"missing: not provided"),EXACT(metadata!O440,"missing: restricted access"))),AND(IF(metadata!O440="",FALSE,TRUE),OR(EXACT(metadata!O440,"air"),EXACT(metadata!O440,"built environment"),EXACT(metadata!O440,"host-associated"),EXACT(metadata!O440,"human-associated"),EXACT(metadata!O440,"human-skin"),EXACT(metadata!O440,"human-oral"),EXACT(metadata!O440,"human-gut"),EXACT(metadata!O440,"human-vaginal"),EXACT(metadata!O440,"microbial mat/biofilm"),EXACT(metadata!O440,"misc environment"),EXACT(metadata!O440,"plant-associated"),EXACT(metadata!O440,"sediment"),EXACT(metadata!O440,"soil"),EXACT(metadata!O440,"wastewater/sludge"),EXACT(metadata!O440,"water"))))</f>
        <v>0</v>
      </c>
      <c r="BA440" t="b">
        <f>IF(metadata!P440="",FALSE,TRUE)</f>
        <v>0</v>
      </c>
      <c r="BB440" t="b">
        <f>IF(metadata!Q440="",FALSE,TRUE)</f>
        <v>0</v>
      </c>
      <c r="BC440" t="b">
        <f>OR(AND(IF(metadata!R440="",FALSE,TRUE),OR(EXACT(metadata!R440,"missing: not collected"),EXACT(metadata!R440,"missing: not provided"),EXACT(metadata!R440,"missing: restricted access"))),AND(IF(metadata!R440="",FALSE,ISNUMBER(VALUE(metadata!R440))),metadata!R440&gt;=-90,metadata!R440&lt;=90))</f>
        <v>0</v>
      </c>
      <c r="BD440" t="b">
        <f>AND(IF(metadata!S440="",FALSE,TRUE),EXACT(metadata!S440,"Decimal degrees"))</f>
        <v>0</v>
      </c>
      <c r="BE440" t="b">
        <f>OR(AND(IF(metadata!T440="",FALSE,TRUE),OR(EXACT(metadata!T440,"missing: not collected"),EXACT(metadata!T440,"missing: not provided"),EXACT(metadata!T440,"missing: restricted access"))),AND(IF(metadata!T440="",FALSE,ISNUMBER(VALUE(metadata!T440))),metadata!T440&gt;=-180,metadata!T440&lt;=180))</f>
        <v>0</v>
      </c>
      <c r="BF440" t="b">
        <f>AND(IF(metadata!U440="",FALSE,TRUE),EXACT(metadata!U440,"Decimal degrees"))</f>
        <v>0</v>
      </c>
      <c r="BG440" t="b">
        <f>IF(metadata!V440="",FALSE,TRUE)</f>
        <v>0</v>
      </c>
      <c r="BH440" t="b">
        <f>OR(AND(IF(metadata!W440="",FALSE,TRUE),OR(EXACT(metadata!W440,"missing: not collected"),EXACT(metadata!W440,"missing: not provided"),EXACT(metadata!W440,"missing: restricted access"))),AND(IF(metadata!W440="",FALSE,TRUE),OR(EXACT(metadata!W440,"TRUE"),EXACT(metadata!W440,"FALSE"))))</f>
        <v>0</v>
      </c>
      <c r="BI440" t="b">
        <f>AND(IF(metadata!X440="",FALSE,TRUE),EXACT(metadata!X440,"other"))</f>
        <v>0</v>
      </c>
      <c r="BJ440" t="b">
        <f>IF(metadata!Y440="",FALSE,TRUE)</f>
        <v>0</v>
      </c>
      <c r="BK440" t="b">
        <f>OR(AND(IF(metadata!Z440="",FALSE,TRUE),OR(EXACT(metadata!Z440,"missing: not collected"),EXACT(metadata!Z440,"missing: not provided"))),AND(IF(metadata!Z440="",FALSE,IF(ISERROR(INT(metadata!Z440)),FALSE,INT(metadata!Z440)=metadata!Z440)),metadata!Z440&gt;0))</f>
        <v>0</v>
      </c>
      <c r="BL440" t="b">
        <f>AND(IF(metadata!AA440="",FALSE,TRUE),EXACT(metadata!AA440,"Not applicable"))</f>
        <v>0</v>
      </c>
      <c r="BM440" t="b">
        <f>IF(metadata!AB440="",FALSE,TRUE)</f>
        <v>0</v>
      </c>
    </row>
    <row r="441" spans="1:65" x14ac:dyDescent="0.2">
      <c r="A441" s="5" t="str">
        <f ca="1">IF(B441=" "," ",HYPERLINK(CONCATENATE("#metadata!",ADDRESS(INDEX($AH$2:$AH$1001,MATCH(ROWS($AF$2:AF441),$AF$2:$AF$1001,0),0),1)),INDEX($AK$2:$AK$1001,MATCH(ROWS($AF$2:AF441),$AF$2:$AF$1001,0),0)))</f>
        <v xml:space="preserve"> </v>
      </c>
      <c r="B441" s="4" t="str">
        <f ca="1">IF(OR(INDEX($AG$2:$AG$1001,MATCH(ROWS($AF$2:AF441),$AF$2:$AF$1001,0),1)&gt;=100000,INDEX($AM$1005:$BM$1005,1,MATCH(COLUMNS($AM$1006:AM1006),$AM$1006:$BM$1006,0))&gt;=100000), " ",IF(INDEX($AM$2:$BM$1001,MATCH(ROWS($AF$2:AF441),$AF$2:$AF$1001,0),MATCH(COLUMNS($AM$1006:AM1006),$AM$1006:$BM$1006,0)), HYPERLINK("#",""), HYPERLINK(CONCATENATE("#metadata!", ADDRESS(INDEX($AH$2:$AH$1001,MATCH(ROWS($AF$2:AF441),$AF$2:$AF$1001,0),0), INDEX($AM$1004:$BM$1004,1,MATCH(COLUMNS($AM$1006:AM1006),$AM$1006:$BM$1006,0)))),"Fix")))</f>
        <v xml:space="preserve"> </v>
      </c>
      <c r="C441" s="4" t="str">
        <f ca="1">IF(OR(INDEX($AG$2:$AG$1001,MATCH(ROWS($AF$2:AF441),$AF$2:$AF$1001,0),1)&gt;=100000,INDEX($AM$1005:$BM$1005,1,MATCH(COLUMNS($AM$1006:AN1006),$AM$1006:$BM$1006,0))&gt;=100000), " ",IF(INDEX($AM$2:$BM$1001,MATCH(ROWS($AF$2:AF441),$AF$2:$AF$1001,0),MATCH(COLUMNS($AM$1006:AN1006),$AM$1006:$BM$1006,0)), HYPERLINK("#",""), HYPERLINK(CONCATENATE("#metadata!", ADDRESS(INDEX($AH$2:$AH$1001,MATCH(ROWS($AF$2:AF441),$AF$2:$AF$1001,0),0), INDEX($AM$1004:$BM$1004,1,MATCH(COLUMNS($AM$1006:AN1006),$AM$1006:$BM$1006,0)))),"Fix")))</f>
        <v xml:space="preserve"> </v>
      </c>
      <c r="D441" s="4" t="str">
        <f ca="1">IF(OR(INDEX($AG$2:$AG$1001,MATCH(ROWS($AF$2:AF441),$AF$2:$AF$1001,0),1)&gt;=100000,INDEX($AM$1005:$BM$1005,1,MATCH(COLUMNS($AM$1006:AO1006),$AM$1006:$BM$1006,0))&gt;=100000), " ",IF(INDEX($AM$2:$BM$1001,MATCH(ROWS($AF$2:AF441),$AF$2:$AF$1001,0),MATCH(COLUMNS($AM$1006:AO1006),$AM$1006:$BM$1006,0)), HYPERLINK("#",""), HYPERLINK(CONCATENATE("#metadata!", ADDRESS(INDEX($AH$2:$AH$1001,MATCH(ROWS($AF$2:AF441),$AF$2:$AF$1001,0),0), INDEX($AM$1004:$BM$1004,1,MATCH(COLUMNS($AM$1006:AO1006),$AM$1006:$BM$1006,0)))),"Fix")))</f>
        <v xml:space="preserve"> </v>
      </c>
      <c r="E441" s="4" t="str">
        <f ca="1">IF(OR(INDEX($AG$2:$AG$1001,MATCH(ROWS($AF$2:AF441),$AF$2:$AF$1001,0),1)&gt;=100000,INDEX($AM$1005:$BM$1005,1,MATCH(COLUMNS($AM$1006:AP1006),$AM$1006:$BM$1006,0))&gt;=100000), " ",IF(INDEX($AM$2:$BM$1001,MATCH(ROWS($AF$2:AF441),$AF$2:$AF$1001,0),MATCH(COLUMNS($AM$1006:AP1006),$AM$1006:$BM$1006,0)), HYPERLINK("#",""), HYPERLINK(CONCATENATE("#metadata!", ADDRESS(INDEX($AH$2:$AH$1001,MATCH(ROWS($AF$2:AF441),$AF$2:$AF$1001,0),0), INDEX($AM$1004:$BM$1004,1,MATCH(COLUMNS($AM$1006:AP1006),$AM$1006:$BM$1006,0)))),"Fix")))</f>
        <v xml:space="preserve"> </v>
      </c>
      <c r="F441" s="4" t="str">
        <f ca="1">IF(OR(INDEX($AG$2:$AG$1001,MATCH(ROWS($AF$2:AF441),$AF$2:$AF$1001,0),1)&gt;=100000,INDEX($AM$1005:$BM$1005,1,MATCH(COLUMNS($AM$1006:AQ1006),$AM$1006:$BM$1006,0))&gt;=100000), " ",IF(INDEX($AM$2:$BM$1001,MATCH(ROWS($AF$2:AF441),$AF$2:$AF$1001,0),MATCH(COLUMNS($AM$1006:AQ1006),$AM$1006:$BM$1006,0)), HYPERLINK("#",""), HYPERLINK(CONCATENATE("#metadata!", ADDRESS(INDEX($AH$2:$AH$1001,MATCH(ROWS($AF$2:AF441),$AF$2:$AF$1001,0),0), INDEX($AM$1004:$BM$1004,1,MATCH(COLUMNS($AM$1006:AQ1006),$AM$1006:$BM$1006,0)))),"Fix")))</f>
        <v xml:space="preserve"> </v>
      </c>
      <c r="G441" s="4" t="str">
        <f ca="1">IF(OR(INDEX($AG$2:$AG$1001,MATCH(ROWS($AF$2:AF441),$AF$2:$AF$1001,0),1)&gt;=100000,INDEX($AM$1005:$BM$1005,1,MATCH(COLUMNS($AM$1006:AR1006),$AM$1006:$BM$1006,0))&gt;=100000), " ",IF(INDEX($AM$2:$BM$1001,MATCH(ROWS($AF$2:AF441),$AF$2:$AF$1001,0),MATCH(COLUMNS($AM$1006:AR1006),$AM$1006:$BM$1006,0)), HYPERLINK("#",""), HYPERLINK(CONCATENATE("#metadata!", ADDRESS(INDEX($AH$2:$AH$1001,MATCH(ROWS($AF$2:AF441),$AF$2:$AF$1001,0),0), INDEX($AM$1004:$BM$1004,1,MATCH(COLUMNS($AM$1006:AR1006),$AM$1006:$BM$1006,0)))),"Fix")))</f>
        <v xml:space="preserve"> </v>
      </c>
      <c r="H441" s="4" t="str">
        <f ca="1">IF(OR(INDEX($AG$2:$AG$1001,MATCH(ROWS($AF$2:AF441),$AF$2:$AF$1001,0),1)&gt;=100000,INDEX($AM$1005:$BM$1005,1,MATCH(COLUMNS($AM$1006:AS1006),$AM$1006:$BM$1006,0))&gt;=100000), " ",IF(INDEX($AM$2:$BM$1001,MATCH(ROWS($AF$2:AF441),$AF$2:$AF$1001,0),MATCH(COLUMNS($AM$1006:AS1006),$AM$1006:$BM$1006,0)), HYPERLINK("#",""), HYPERLINK(CONCATENATE("#metadata!", ADDRESS(INDEX($AH$2:$AH$1001,MATCH(ROWS($AF$2:AF441),$AF$2:$AF$1001,0),0), INDEX($AM$1004:$BM$1004,1,MATCH(COLUMNS($AM$1006:AS1006),$AM$1006:$BM$1006,0)))),"Fix")))</f>
        <v xml:space="preserve"> </v>
      </c>
      <c r="I441" s="4" t="str">
        <f ca="1">IF(OR(INDEX($AG$2:$AG$1001,MATCH(ROWS($AF$2:AF441),$AF$2:$AF$1001,0),1)&gt;=100000,INDEX($AM$1005:$BM$1005,1,MATCH(COLUMNS($AM$1006:AT1006),$AM$1006:$BM$1006,0))&gt;=100000), " ",IF(INDEX($AM$2:$BM$1001,MATCH(ROWS($AF$2:AF441),$AF$2:$AF$1001,0),MATCH(COLUMNS($AM$1006:AT1006),$AM$1006:$BM$1006,0)), HYPERLINK("#",""), HYPERLINK(CONCATENATE("#metadata!", ADDRESS(INDEX($AH$2:$AH$1001,MATCH(ROWS($AF$2:AF441),$AF$2:$AF$1001,0),0), INDEX($AM$1004:$BM$1004,1,MATCH(COLUMNS($AM$1006:AT1006),$AM$1006:$BM$1006,0)))),"Fix")))</f>
        <v xml:space="preserve"> </v>
      </c>
      <c r="J441" s="4" t="str">
        <f ca="1">IF(OR(INDEX($AG$2:$AG$1001,MATCH(ROWS($AF$2:AF441),$AF$2:$AF$1001,0),1)&gt;=100000,INDEX($AM$1005:$BM$1005,1,MATCH(COLUMNS($AM$1006:AU1006),$AM$1006:$BM$1006,0))&gt;=100000), " ",IF(INDEX($AM$2:$BM$1001,MATCH(ROWS($AF$2:AF441),$AF$2:$AF$1001,0),MATCH(COLUMNS($AM$1006:AU1006),$AM$1006:$BM$1006,0)), HYPERLINK("#",""), HYPERLINK(CONCATENATE("#metadata!", ADDRESS(INDEX($AH$2:$AH$1001,MATCH(ROWS($AF$2:AF441),$AF$2:$AF$1001,0),0), INDEX($AM$1004:$BM$1004,1,MATCH(COLUMNS($AM$1006:AU1006),$AM$1006:$BM$1006,0)))),"Fix")))</f>
        <v xml:space="preserve"> </v>
      </c>
      <c r="K441" s="4" t="str">
        <f ca="1">IF(OR(INDEX($AG$2:$AG$1001,MATCH(ROWS($AF$2:AF441),$AF$2:$AF$1001,0),1)&gt;=100000,INDEX($AM$1005:$BM$1005,1,MATCH(COLUMNS($AM$1006:AV1006),$AM$1006:$BM$1006,0))&gt;=100000), " ",IF(INDEX($AM$2:$BM$1001,MATCH(ROWS($AF$2:AF441),$AF$2:$AF$1001,0),MATCH(COLUMNS($AM$1006:AV1006),$AM$1006:$BM$1006,0)), HYPERLINK("#",""), HYPERLINK(CONCATENATE("#metadata!", ADDRESS(INDEX($AH$2:$AH$1001,MATCH(ROWS($AF$2:AF441),$AF$2:$AF$1001,0),0), INDEX($AM$1004:$BM$1004,1,MATCH(COLUMNS($AM$1006:AV1006),$AM$1006:$BM$1006,0)))),"Fix")))</f>
        <v xml:space="preserve"> </v>
      </c>
      <c r="L441" s="4" t="str">
        <f ca="1">IF(OR(INDEX($AG$2:$AG$1001,MATCH(ROWS($AF$2:AF441),$AF$2:$AF$1001,0),1)&gt;=100000,INDEX($AM$1005:$BM$1005,1,MATCH(COLUMNS($AM$1006:AW1006),$AM$1006:$BM$1006,0))&gt;=100000), " ",IF(INDEX($AM$2:$BM$1001,MATCH(ROWS($AF$2:AF441),$AF$2:$AF$1001,0),MATCH(COLUMNS($AM$1006:AW1006),$AM$1006:$BM$1006,0)), HYPERLINK("#",""), HYPERLINK(CONCATENATE("#metadata!", ADDRESS(INDEX($AH$2:$AH$1001,MATCH(ROWS($AF$2:AF441),$AF$2:$AF$1001,0),0), INDEX($AM$1004:$BM$1004,1,MATCH(COLUMNS($AM$1006:AW1006),$AM$1006:$BM$1006,0)))),"Fix")))</f>
        <v xml:space="preserve"> </v>
      </c>
      <c r="M441" s="4" t="str">
        <f ca="1">IF(OR(INDEX($AG$2:$AG$1001,MATCH(ROWS($AF$2:AF441),$AF$2:$AF$1001,0),1)&gt;=100000,INDEX($AM$1005:$BM$1005,1,MATCH(COLUMNS($AM$1006:AX1006),$AM$1006:$BM$1006,0))&gt;=100000), " ",IF(INDEX($AM$2:$BM$1001,MATCH(ROWS($AF$2:AF441),$AF$2:$AF$1001,0),MATCH(COLUMNS($AM$1006:AX1006),$AM$1006:$BM$1006,0)), HYPERLINK("#",""), HYPERLINK(CONCATENATE("#metadata!", ADDRESS(INDEX($AH$2:$AH$1001,MATCH(ROWS($AF$2:AF441),$AF$2:$AF$1001,0),0), INDEX($AM$1004:$BM$1004,1,MATCH(COLUMNS($AM$1006:AX1006),$AM$1006:$BM$1006,0)))),"Fix")))</f>
        <v xml:space="preserve"> </v>
      </c>
      <c r="N441" s="4" t="str">
        <f ca="1">IF(OR(INDEX($AG$2:$AG$1001,MATCH(ROWS($AF$2:AF441),$AF$2:$AF$1001,0),1)&gt;=100000,INDEX($AM$1005:$BM$1005,1,MATCH(COLUMNS($AM$1006:AY1006),$AM$1006:$BM$1006,0))&gt;=100000), " ",IF(INDEX($AM$2:$BM$1001,MATCH(ROWS($AF$2:AF441),$AF$2:$AF$1001,0),MATCH(COLUMNS($AM$1006:AY1006),$AM$1006:$BM$1006,0)), HYPERLINK("#",""), HYPERLINK(CONCATENATE("#metadata!", ADDRESS(INDEX($AH$2:$AH$1001,MATCH(ROWS($AF$2:AF441),$AF$2:$AF$1001,0),0), INDEX($AM$1004:$BM$1004,1,MATCH(COLUMNS($AM$1006:AY1006),$AM$1006:$BM$1006,0)))),"Fix")))</f>
        <v xml:space="preserve"> </v>
      </c>
      <c r="O441" s="4" t="str">
        <f ca="1">IF(OR(INDEX($AG$2:$AG$1001,MATCH(ROWS($AF$2:AF441),$AF$2:$AF$1001,0),1)&gt;=100000,INDEX($AM$1005:$BM$1005,1,MATCH(COLUMNS($AM$1006:AZ1006),$AM$1006:$BM$1006,0))&gt;=100000), " ",IF(INDEX($AM$2:$BM$1001,MATCH(ROWS($AF$2:AF441),$AF$2:$AF$1001,0),MATCH(COLUMNS($AM$1006:AZ1006),$AM$1006:$BM$1006,0)), HYPERLINK("#",""), HYPERLINK(CONCATENATE("#metadata!", ADDRESS(INDEX($AH$2:$AH$1001,MATCH(ROWS($AF$2:AF441),$AF$2:$AF$1001,0),0), INDEX($AM$1004:$BM$1004,1,MATCH(COLUMNS($AM$1006:AZ1006),$AM$1006:$BM$1006,0)))),"Fix")))</f>
        <v xml:space="preserve"> </v>
      </c>
      <c r="P441" s="4" t="str">
        <f ca="1">IF(OR(INDEX($AG$2:$AG$1001,MATCH(ROWS($AF$2:AF441),$AF$2:$AF$1001,0),1)&gt;=100000,INDEX($AM$1005:$BM$1005,1,MATCH(COLUMNS($AM$1006:BA1006),$AM$1006:$BM$1006,0))&gt;=100000), " ",IF(INDEX($AM$2:$BM$1001,MATCH(ROWS($AF$2:AF441),$AF$2:$AF$1001,0),MATCH(COLUMNS($AM$1006:BA1006),$AM$1006:$BM$1006,0)), HYPERLINK("#",""), HYPERLINK(CONCATENATE("#metadata!", ADDRESS(INDEX($AH$2:$AH$1001,MATCH(ROWS($AF$2:AF441),$AF$2:$AF$1001,0),0), INDEX($AM$1004:$BM$1004,1,MATCH(COLUMNS($AM$1006:BA1006),$AM$1006:$BM$1006,0)))),"Fix")))</f>
        <v xml:space="preserve"> </v>
      </c>
      <c r="Q441" s="4" t="str">
        <f ca="1">IF(OR(INDEX($AG$2:$AG$1001,MATCH(ROWS($AF$2:AF441),$AF$2:$AF$1001,0),1)&gt;=100000,INDEX($AM$1005:$BM$1005,1,MATCH(COLUMNS($AM$1006:BB1006),$AM$1006:$BM$1006,0))&gt;=100000), " ",IF(INDEX($AM$2:$BM$1001,MATCH(ROWS($AF$2:AF441),$AF$2:$AF$1001,0),MATCH(COLUMNS($AM$1006:BB1006),$AM$1006:$BM$1006,0)), HYPERLINK("#",""), HYPERLINK(CONCATENATE("#metadata!", ADDRESS(INDEX($AH$2:$AH$1001,MATCH(ROWS($AF$2:AF441),$AF$2:$AF$1001,0),0), INDEX($AM$1004:$BM$1004,1,MATCH(COLUMNS($AM$1006:BB1006),$AM$1006:$BM$1006,0)))),"Fix")))</f>
        <v xml:space="preserve"> </v>
      </c>
      <c r="R441" s="4" t="str">
        <f ca="1">IF(OR(INDEX($AG$2:$AG$1001,MATCH(ROWS($AF$2:AF441),$AF$2:$AF$1001,0),1)&gt;=100000,INDEX($AM$1005:$BM$1005,1,MATCH(COLUMNS($AM$1006:BC1006),$AM$1006:$BM$1006,0))&gt;=100000), " ",IF(INDEX($AM$2:$BM$1001,MATCH(ROWS($AF$2:AF441),$AF$2:$AF$1001,0),MATCH(COLUMNS($AM$1006:BC1006),$AM$1006:$BM$1006,0)), HYPERLINK("#",""), HYPERLINK(CONCATENATE("#metadata!", ADDRESS(INDEX($AH$2:$AH$1001,MATCH(ROWS($AF$2:AF441),$AF$2:$AF$1001,0),0), INDEX($AM$1004:$BM$1004,1,MATCH(COLUMNS($AM$1006:BC1006),$AM$1006:$BM$1006,0)))),"Fix")))</f>
        <v xml:space="preserve"> </v>
      </c>
      <c r="S441" s="4" t="str">
        <f ca="1">IF(OR(INDEX($AG$2:$AG$1001,MATCH(ROWS($AF$2:AF441),$AF$2:$AF$1001,0),1)&gt;=100000,INDEX($AM$1005:$BM$1005,1,MATCH(COLUMNS($AM$1006:BD1006),$AM$1006:$BM$1006,0))&gt;=100000), " ",IF(INDEX($AM$2:$BM$1001,MATCH(ROWS($AF$2:AF441),$AF$2:$AF$1001,0),MATCH(COLUMNS($AM$1006:BD1006),$AM$1006:$BM$1006,0)), HYPERLINK("#",""), HYPERLINK(CONCATENATE("#metadata!", ADDRESS(INDEX($AH$2:$AH$1001,MATCH(ROWS($AF$2:AF441),$AF$2:$AF$1001,0),0), INDEX($AM$1004:$BM$1004,1,MATCH(COLUMNS($AM$1006:BD1006),$AM$1006:$BM$1006,0)))),"Fix")))</f>
        <v xml:space="preserve"> </v>
      </c>
      <c r="T441" s="4" t="str">
        <f ca="1">IF(OR(INDEX($AG$2:$AG$1001,MATCH(ROWS($AF$2:AF441),$AF$2:$AF$1001,0),1)&gt;=100000,INDEX($AM$1005:$BM$1005,1,MATCH(COLUMNS($AM$1006:BE1006),$AM$1006:$BM$1006,0))&gt;=100000), " ",IF(INDEX($AM$2:$BM$1001,MATCH(ROWS($AF$2:AF441),$AF$2:$AF$1001,0),MATCH(COLUMNS($AM$1006:BE1006),$AM$1006:$BM$1006,0)), HYPERLINK("#",""), HYPERLINK(CONCATENATE("#metadata!", ADDRESS(INDEX($AH$2:$AH$1001,MATCH(ROWS($AF$2:AF441),$AF$2:$AF$1001,0),0), INDEX($AM$1004:$BM$1004,1,MATCH(COLUMNS($AM$1006:BE1006),$AM$1006:$BM$1006,0)))),"Fix")))</f>
        <v xml:space="preserve"> </v>
      </c>
      <c r="U441" s="4" t="str">
        <f ca="1">IF(OR(INDEX($AG$2:$AG$1001,MATCH(ROWS($AF$2:AF441),$AF$2:$AF$1001,0),1)&gt;=100000,INDEX($AM$1005:$BM$1005,1,MATCH(COLUMNS($AM$1006:BF1006),$AM$1006:$BM$1006,0))&gt;=100000), " ",IF(INDEX($AM$2:$BM$1001,MATCH(ROWS($AF$2:AF441),$AF$2:$AF$1001,0),MATCH(COLUMNS($AM$1006:BF1006),$AM$1006:$BM$1006,0)), HYPERLINK("#",""), HYPERLINK(CONCATENATE("#metadata!", ADDRESS(INDEX($AH$2:$AH$1001,MATCH(ROWS($AF$2:AF441),$AF$2:$AF$1001,0),0), INDEX($AM$1004:$BM$1004,1,MATCH(COLUMNS($AM$1006:BF1006),$AM$1006:$BM$1006,0)))),"Fix")))</f>
        <v xml:space="preserve"> </v>
      </c>
      <c r="V441" s="4" t="str">
        <f ca="1">IF(OR(INDEX($AG$2:$AG$1001,MATCH(ROWS($AF$2:AF441),$AF$2:$AF$1001,0),1)&gt;=100000,INDEX($AM$1005:$BM$1005,1,MATCH(COLUMNS($AM$1006:BG1006),$AM$1006:$BM$1006,0))&gt;=100000), " ",IF(INDEX($AM$2:$BM$1001,MATCH(ROWS($AF$2:AF441),$AF$2:$AF$1001,0),MATCH(COLUMNS($AM$1006:BG1006),$AM$1006:$BM$1006,0)), HYPERLINK("#",""), HYPERLINK(CONCATENATE("#metadata!", ADDRESS(INDEX($AH$2:$AH$1001,MATCH(ROWS($AF$2:AF441),$AF$2:$AF$1001,0),0), INDEX($AM$1004:$BM$1004,1,MATCH(COLUMNS($AM$1006:BG1006),$AM$1006:$BM$1006,0)))),"Fix")))</f>
        <v xml:space="preserve"> </v>
      </c>
      <c r="W441" s="4" t="str">
        <f ca="1">IF(OR(INDEX($AG$2:$AG$1001,MATCH(ROWS($AF$2:AF441),$AF$2:$AF$1001,0),1)&gt;=100000,INDEX($AM$1005:$BM$1005,1,MATCH(COLUMNS($AM$1006:BH1006),$AM$1006:$BM$1006,0))&gt;=100000), " ",IF(INDEX($AM$2:$BM$1001,MATCH(ROWS($AF$2:AF441),$AF$2:$AF$1001,0),MATCH(COLUMNS($AM$1006:BH1006),$AM$1006:$BM$1006,0)), HYPERLINK("#",""), HYPERLINK(CONCATENATE("#metadata!", ADDRESS(INDEX($AH$2:$AH$1001,MATCH(ROWS($AF$2:AF441),$AF$2:$AF$1001,0),0), INDEX($AM$1004:$BM$1004,1,MATCH(COLUMNS($AM$1006:BH1006),$AM$1006:$BM$1006,0)))),"Fix")))</f>
        <v xml:space="preserve"> </v>
      </c>
      <c r="X441" s="4" t="str">
        <f ca="1">IF(OR(INDEX($AG$2:$AG$1001,MATCH(ROWS($AF$2:AF441),$AF$2:$AF$1001,0),1)&gt;=100000,INDEX($AM$1005:$BM$1005,1,MATCH(COLUMNS($AM$1006:BI1006),$AM$1006:$BM$1006,0))&gt;=100000), " ",IF(INDEX($AM$2:$BM$1001,MATCH(ROWS($AF$2:AF441),$AF$2:$AF$1001,0),MATCH(COLUMNS($AM$1006:BI1006),$AM$1006:$BM$1006,0)), HYPERLINK("#",""), HYPERLINK(CONCATENATE("#metadata!", ADDRESS(INDEX($AH$2:$AH$1001,MATCH(ROWS($AF$2:AF441),$AF$2:$AF$1001,0),0), INDEX($AM$1004:$BM$1004,1,MATCH(COLUMNS($AM$1006:BI1006),$AM$1006:$BM$1006,0)))),"Fix")))</f>
        <v xml:space="preserve"> </v>
      </c>
      <c r="Y441" s="4" t="str">
        <f ca="1">IF(OR(INDEX($AG$2:$AG$1001,MATCH(ROWS($AF$2:AF441),$AF$2:$AF$1001,0),1)&gt;=100000,INDEX($AM$1005:$BM$1005,1,MATCH(COLUMNS($AM$1006:BJ1006),$AM$1006:$BM$1006,0))&gt;=100000), " ",IF(INDEX($AM$2:$BM$1001,MATCH(ROWS($AF$2:AF441),$AF$2:$AF$1001,0),MATCH(COLUMNS($AM$1006:BJ1006),$AM$1006:$BM$1006,0)), HYPERLINK("#",""), HYPERLINK(CONCATENATE("#metadata!", ADDRESS(INDEX($AH$2:$AH$1001,MATCH(ROWS($AF$2:AF441),$AF$2:$AF$1001,0),0), INDEX($AM$1004:$BM$1004,1,MATCH(COLUMNS($AM$1006:BJ1006),$AM$1006:$BM$1006,0)))),"Fix")))</f>
        <v xml:space="preserve"> </v>
      </c>
      <c r="Z441" s="4" t="str">
        <f ca="1">IF(OR(INDEX($AG$2:$AG$1001,MATCH(ROWS($AF$2:AF441),$AF$2:$AF$1001,0),1)&gt;=100000,INDEX($AM$1005:$BM$1005,1,MATCH(COLUMNS($AM$1006:BK1006),$AM$1006:$BM$1006,0))&gt;=100000), " ",IF(INDEX($AM$2:$BM$1001,MATCH(ROWS($AF$2:AF441),$AF$2:$AF$1001,0),MATCH(COLUMNS($AM$1006:BK1006),$AM$1006:$BM$1006,0)), HYPERLINK("#",""), HYPERLINK(CONCATENATE("#metadata!", ADDRESS(INDEX($AH$2:$AH$1001,MATCH(ROWS($AF$2:AF441),$AF$2:$AF$1001,0),0), INDEX($AM$1004:$BM$1004,1,MATCH(COLUMNS($AM$1006:BK1006),$AM$1006:$BM$1006,0)))),"Fix")))</f>
        <v xml:space="preserve"> </v>
      </c>
      <c r="AA441" s="4" t="str">
        <f ca="1">IF(OR(INDEX($AG$2:$AG$1001,MATCH(ROWS($AF$2:AF441),$AF$2:$AF$1001,0),1)&gt;=100000,INDEX($AM$1005:$BM$1005,1,MATCH(COLUMNS($AM$1006:BL1006),$AM$1006:$BM$1006,0))&gt;=100000), " ",IF(INDEX($AM$2:$BM$1001,MATCH(ROWS($AF$2:AF441),$AF$2:$AF$1001,0),MATCH(COLUMNS($AM$1006:BL1006),$AM$1006:$BM$1006,0)), HYPERLINK("#",""), HYPERLINK(CONCATENATE("#metadata!", ADDRESS(INDEX($AH$2:$AH$1001,MATCH(ROWS($AF$2:AF441),$AF$2:$AF$1001,0),0), INDEX($AM$1004:$BM$1004,1,MATCH(COLUMNS($AM$1006:BL1006),$AM$1006:$BM$1006,0)))),"Fix")))</f>
        <v xml:space="preserve"> </v>
      </c>
      <c r="AB441" s="4" t="str">
        <f ca="1">IF(OR(INDEX($AG$2:$AG$1001,MATCH(ROWS($AF$2:AF441),$AF$2:$AF$1001,0),1)&gt;=100000,INDEX($AM$1005:$BM$1005,1,MATCH(COLUMNS($AM$1006:BM1006),$AM$1006:$BM$1006,0))&gt;=100000), " ",IF(INDEX($AM$2:$BM$1001,MATCH(ROWS($AF$2:AF441),$AF$2:$AF$1001,0),MATCH(COLUMNS($AM$1006:BM1006),$AM$1006:$BM$1006,0)), HYPERLINK("#",""), HYPERLINK(CONCATENATE("#metadata!", ADDRESS(INDEX($AH$2:$AH$1001,MATCH(ROWS($AF$2:AF441),$AF$2:$AF$1001,0),0), INDEX($AM$1004:$BM$1004,1,MATCH(COLUMNS($AM$1006:BM1006),$AM$1006:$BM$1006,0)))),"Fix")))</f>
        <v xml:space="preserve"> </v>
      </c>
      <c r="AF441">
        <v>440</v>
      </c>
      <c r="AG441">
        <v>100441</v>
      </c>
      <c r="AH441">
        <v>441</v>
      </c>
      <c r="AI441" t="b">
        <f t="shared" si="6"/>
        <v>1</v>
      </c>
      <c r="AJ441" t="b">
        <f>COUNTBLANK(metadata!B441:AB441)=COLUMNS(metadata!B441:AB441)</f>
        <v>1</v>
      </c>
      <c r="AK441" t="str">
        <v/>
      </c>
      <c r="AM441" t="b">
        <f ca="1">AND(IF(metadata!B441="",FALSE,TRUE),COUNTIF(metadata!B:B, metadata!B441) = 1,NOT(ISERROR(SUMPRODUCT(SEARCH(MID(metadata!B441,ROW(INDIRECT("1:"&amp;LEN(metadata!B441))), 1),"0123456789abcdefghijklmnopqrstuvwxyzABCDEFGHIJKLMNOPQRSTUVWXYZ.")))))</f>
        <v>0</v>
      </c>
      <c r="AN441" t="b">
        <f ca="1">OR(AND(IF(metadata!C441="",FALSE,TRUE),OR(EXACT(metadata!C441,"missing: not collected"),EXACT(metadata!C441,"missing: not provided"),EXACT(metadata!C441,"missing: restricted access"))),AND(IF(metadata!C441="",FALSE,TRUE),AND(AND(IFERROR(INT(LEFT(metadata!C441,4))&gt;1900,FALSE),IFERROR(INT(LEFT(metadata!C441,4))&lt;=YEAR(NOW()),FALSE)), OR(MID(metadata!C441,5,1)="", AND(AND(MID(metadata!C441,5,1)="-",IFERROR(INT(MID(metadata!C441,6,1))&gt;=0,FALSE),IFERROR(INT(MID(metadata!C441,6,1))&lt;=1,FALSE),NOT(MID(metadata!C441,7,1)=""),IFERROR(INT(MID(metadata!C441,6,2))&gt;=1,FALSE),IFERROR(INT(MID(metadata!C441,6,2))&lt;=12,FALSE)), OR(MID(metadata!C441,8,1)="", AND(AND(MID(metadata!C441,8,1)="-",IFERROR(INT(MID(metadata!C441,9,1))&gt;=0,FALSE),IFERROR(INT(MID(metadata!C441,9,1))&lt;=3,FALSE),NOT(MID(metadata!C441,10,1)=""),IFERROR(INT(MID(metadata!C441,9,2))&gt;=1,FALSE),IFERROR(INT(MID(metadata!C441,9,2))&lt;=31,FALSE)), OR(MID(metadata!C441,11,1)="", AND(AND(MID(metadata!C441,11,1)=" ",IFERROR(INT(MID(metadata!C441,12,1))&gt;=0,FALSE),IFERROR(INT(MID(metadata!C441,12,1))&lt;=2,FALSE),NOT(MID(metadata!C441,13,1)=""),IFERROR(INT(MID(metadata!C441,12,2))&gt;=0,FALSE),IFERROR(INT(MID(metadata!C441,12,2))&lt;=23,FALSE)), OR(MID(metadata!C441,14,1)="", AND(AND(MID(metadata!C441,14,1)=":",IFERROR(INT(MID(metadata!C441,15,1))&gt;=0,FALSE),IFERROR(INT(MID(metadata!C441,15,1))&lt;=5,FALSE),NOT(MID(metadata!C441,16,1)=""),IFERROR(INT(MID(metadata!C441,15,2))&gt;=0,FALSE),IFERROR(INT(MID(metadata!C441,15,2))&lt;=59,FALSE)), OR(MID(metadata!C441,17,1)="", AND(AND(MID(metadata!C441,17,1)=":",IFERROR(INT(MID(metadata!C441,18,1))&gt;=0,FALSE),IFERROR(INT(MID(metadata!C441,18,1))&lt;=5,FALSE),NOT(MID(metadata!C441,19,1)=""),IFERROR(INT(MID(metadata!C441,18,2))&gt;=0,FALSE),IFERROR(INT(MID(metadata!C441,18,2))&lt;=59,FALSE)), LEN(metadata!C441)&lt;=19)))))))))))))</f>
        <v>0</v>
      </c>
      <c r="AO441" t="b">
        <f>AND(IF(metadata!D441="",FALSE,TRUE),EXACT(metadata!D441,"Not applicable"))</f>
        <v>0</v>
      </c>
      <c r="AP441" t="b">
        <f>IF(metadata!E441="",FALSE,TRUE)</f>
        <v>0</v>
      </c>
      <c r="AQ441" t="b">
        <f>OR(AND(IF(metadata!F441="",FALSE,TRUE),OR(EXACT(metadata!F441,"missing: not collected"),EXACT(metadata!F441,"missing: not provided"))),AND(IF(metadata!F441="",FALSE,TRUE),OR(EXACT(metadata!F441,"TRUE"),EXACT(metadata!F441,"FALSE"))))</f>
        <v>0</v>
      </c>
      <c r="AR441" t="b">
        <f>OR(AND(IF(metadata!G441="",FALSE,TRUE),OR(EXACT(metadata!G441,"missing: not collected"),EXACT(metadata!G441,"missing: not provided"),EXACT(metadata!G441,"missing: restricted access"))),AND(IF(metadata!G441="",FALSE,ISNUMBER(VALUE(metadata!G441))),metadata!G441&gt;=-413))</f>
        <v>0</v>
      </c>
      <c r="AS441" t="b">
        <f>AND(IF(metadata!H441="",FALSE,TRUE),EXACT(metadata!H441,"meters"))</f>
        <v>0</v>
      </c>
      <c r="AT441" t="b">
        <f>AND(IF(metadata!I441="",FALSE,TRUE),OR(EXACT(metadata!I441,"Host-associated"),EXACT(metadata!I441,"Free-living")))</f>
        <v>0</v>
      </c>
      <c r="AU441" t="b">
        <f>AND(IF(metadata!J441="",FALSE,TRUE),OR(EXACT(metadata!J441,"Animal"),EXACT(metadata!J441,"Fungus"),EXACT(metadata!J441,"Plant"),EXACT(metadata!J441,"Saline"),EXACT(metadata!J441,"Non-saline")))</f>
        <v>0</v>
      </c>
      <c r="AV441" t="b">
        <f>AND(IF(metadata!K441="",FALSE,TRUE),OR(EXACT(metadata!K441,"Plant secretion"),EXACT(metadata!K441,"Plant rhizosphere"),EXACT(metadata!K441,"Plant surface"),EXACT(metadata!K441,"Plant corpus"),EXACT(metadata!K441,"Fungus surface"),EXACT(metadata!K441,"Fungus corpus"),EXACT(metadata!K441,"Animal surface"),EXACT(metadata!K441,"Animal proximal gut"),EXACT(metadata!K441,"Animal corpus"),EXACT(metadata!K441,"Animal distal gut"),EXACT(metadata!K441,"Animal secretion"),EXACT(metadata!K441,"Sub-surface (non-saline)"),EXACT(metadata!K441,"Surface (non-saline)"),EXACT(metadata!K441,"Water (non-saline)"),EXACT(metadata!K441,"Soil (non-saline)"),EXACT(metadata!K441,"Aerosol (non-saline)"),EXACT(metadata!K441,"Sediment (non-saline)"),EXACT(metadata!K441,"Surface (saline)"),EXACT(metadata!K441,"Water (saline)"),EXACT(metadata!K441,"Hypersaline (saline)"),EXACT(metadata!K441,"Aerosol (saline)"),EXACT(metadata!K441,"Sediment (saline)")))</f>
        <v>0</v>
      </c>
      <c r="AW441" t="b">
        <f>IF(metadata!L441="",FALSE,TRUE)</f>
        <v>0</v>
      </c>
      <c r="AX441" t="b">
        <f>IF(metadata!M441="",FALSE,TRUE)</f>
        <v>0</v>
      </c>
      <c r="AY441" t="b">
        <f>IF(metadata!N441="",FALSE,TRUE)</f>
        <v>0</v>
      </c>
      <c r="AZ441" t="b">
        <f>OR(AND(IF(metadata!O441="",FALSE,TRUE),OR(EXACT(metadata!O441,"missing: not collected"),EXACT(metadata!O441,"missing: not provided"),EXACT(metadata!O441,"missing: restricted access"))),AND(IF(metadata!O441="",FALSE,TRUE),OR(EXACT(metadata!O441,"air"),EXACT(metadata!O441,"built environment"),EXACT(metadata!O441,"host-associated"),EXACT(metadata!O441,"human-associated"),EXACT(metadata!O441,"human-skin"),EXACT(metadata!O441,"human-oral"),EXACT(metadata!O441,"human-gut"),EXACT(metadata!O441,"human-vaginal"),EXACT(metadata!O441,"microbial mat/biofilm"),EXACT(metadata!O441,"misc environment"),EXACT(metadata!O441,"plant-associated"),EXACT(metadata!O441,"sediment"),EXACT(metadata!O441,"soil"),EXACT(metadata!O441,"wastewater/sludge"),EXACT(metadata!O441,"water"))))</f>
        <v>0</v>
      </c>
      <c r="BA441" t="b">
        <f>IF(metadata!P441="",FALSE,TRUE)</f>
        <v>0</v>
      </c>
      <c r="BB441" t="b">
        <f>IF(metadata!Q441="",FALSE,TRUE)</f>
        <v>0</v>
      </c>
      <c r="BC441" t="b">
        <f>OR(AND(IF(metadata!R441="",FALSE,TRUE),OR(EXACT(metadata!R441,"missing: not collected"),EXACT(metadata!R441,"missing: not provided"),EXACT(metadata!R441,"missing: restricted access"))),AND(IF(metadata!R441="",FALSE,ISNUMBER(VALUE(metadata!R441))),metadata!R441&gt;=-90,metadata!R441&lt;=90))</f>
        <v>0</v>
      </c>
      <c r="BD441" t="b">
        <f>AND(IF(metadata!S441="",FALSE,TRUE),EXACT(metadata!S441,"Decimal degrees"))</f>
        <v>0</v>
      </c>
      <c r="BE441" t="b">
        <f>OR(AND(IF(metadata!T441="",FALSE,TRUE),OR(EXACT(metadata!T441,"missing: not collected"),EXACT(metadata!T441,"missing: not provided"),EXACT(metadata!T441,"missing: restricted access"))),AND(IF(metadata!T441="",FALSE,ISNUMBER(VALUE(metadata!T441))),metadata!T441&gt;=-180,metadata!T441&lt;=180))</f>
        <v>0</v>
      </c>
      <c r="BF441" t="b">
        <f>AND(IF(metadata!U441="",FALSE,TRUE),EXACT(metadata!U441,"Decimal degrees"))</f>
        <v>0</v>
      </c>
      <c r="BG441" t="b">
        <f>IF(metadata!V441="",FALSE,TRUE)</f>
        <v>0</v>
      </c>
      <c r="BH441" t="b">
        <f>OR(AND(IF(metadata!W441="",FALSE,TRUE),OR(EXACT(metadata!W441,"missing: not collected"),EXACT(metadata!W441,"missing: not provided"),EXACT(metadata!W441,"missing: restricted access"))),AND(IF(metadata!W441="",FALSE,TRUE),OR(EXACT(metadata!W441,"TRUE"),EXACT(metadata!W441,"FALSE"))))</f>
        <v>0</v>
      </c>
      <c r="BI441" t="b">
        <f>AND(IF(metadata!X441="",FALSE,TRUE),EXACT(metadata!X441,"other"))</f>
        <v>0</v>
      </c>
      <c r="BJ441" t="b">
        <f>IF(metadata!Y441="",FALSE,TRUE)</f>
        <v>0</v>
      </c>
      <c r="BK441" t="b">
        <f>OR(AND(IF(metadata!Z441="",FALSE,TRUE),OR(EXACT(metadata!Z441,"missing: not collected"),EXACT(metadata!Z441,"missing: not provided"))),AND(IF(metadata!Z441="",FALSE,IF(ISERROR(INT(metadata!Z441)),FALSE,INT(metadata!Z441)=metadata!Z441)),metadata!Z441&gt;0))</f>
        <v>0</v>
      </c>
      <c r="BL441" t="b">
        <f>AND(IF(metadata!AA441="",FALSE,TRUE),EXACT(metadata!AA441,"Not applicable"))</f>
        <v>0</v>
      </c>
      <c r="BM441" t="b">
        <f>IF(metadata!AB441="",FALSE,TRUE)</f>
        <v>0</v>
      </c>
    </row>
    <row r="442" spans="1:65" x14ac:dyDescent="0.2">
      <c r="A442" s="5" t="str">
        <f ca="1">IF(B442=" "," ",HYPERLINK(CONCATENATE("#metadata!",ADDRESS(INDEX($AH$2:$AH$1001,MATCH(ROWS($AF$2:AF442),$AF$2:$AF$1001,0),0),1)),INDEX($AK$2:$AK$1001,MATCH(ROWS($AF$2:AF442),$AF$2:$AF$1001,0),0)))</f>
        <v xml:space="preserve"> </v>
      </c>
      <c r="B442" s="4" t="str">
        <f ca="1">IF(OR(INDEX($AG$2:$AG$1001,MATCH(ROWS($AF$2:AF442),$AF$2:$AF$1001,0),1)&gt;=100000,INDEX($AM$1005:$BM$1005,1,MATCH(COLUMNS($AM$1006:AM1006),$AM$1006:$BM$1006,0))&gt;=100000), " ",IF(INDEX($AM$2:$BM$1001,MATCH(ROWS($AF$2:AF442),$AF$2:$AF$1001,0),MATCH(COLUMNS($AM$1006:AM1006),$AM$1006:$BM$1006,0)), HYPERLINK("#",""), HYPERLINK(CONCATENATE("#metadata!", ADDRESS(INDEX($AH$2:$AH$1001,MATCH(ROWS($AF$2:AF442),$AF$2:$AF$1001,0),0), INDEX($AM$1004:$BM$1004,1,MATCH(COLUMNS($AM$1006:AM1006),$AM$1006:$BM$1006,0)))),"Fix")))</f>
        <v xml:space="preserve"> </v>
      </c>
      <c r="C442" s="4" t="str">
        <f ca="1">IF(OR(INDEX($AG$2:$AG$1001,MATCH(ROWS($AF$2:AF442),$AF$2:$AF$1001,0),1)&gt;=100000,INDEX($AM$1005:$BM$1005,1,MATCH(COLUMNS($AM$1006:AN1006),$AM$1006:$BM$1006,0))&gt;=100000), " ",IF(INDEX($AM$2:$BM$1001,MATCH(ROWS($AF$2:AF442),$AF$2:$AF$1001,0),MATCH(COLUMNS($AM$1006:AN1006),$AM$1006:$BM$1006,0)), HYPERLINK("#",""), HYPERLINK(CONCATENATE("#metadata!", ADDRESS(INDEX($AH$2:$AH$1001,MATCH(ROWS($AF$2:AF442),$AF$2:$AF$1001,0),0), INDEX($AM$1004:$BM$1004,1,MATCH(COLUMNS($AM$1006:AN1006),$AM$1006:$BM$1006,0)))),"Fix")))</f>
        <v xml:space="preserve"> </v>
      </c>
      <c r="D442" s="4" t="str">
        <f ca="1">IF(OR(INDEX($AG$2:$AG$1001,MATCH(ROWS($AF$2:AF442),$AF$2:$AF$1001,0),1)&gt;=100000,INDEX($AM$1005:$BM$1005,1,MATCH(COLUMNS($AM$1006:AO1006),$AM$1006:$BM$1006,0))&gt;=100000), " ",IF(INDEX($AM$2:$BM$1001,MATCH(ROWS($AF$2:AF442),$AF$2:$AF$1001,0),MATCH(COLUMNS($AM$1006:AO1006),$AM$1006:$BM$1006,0)), HYPERLINK("#",""), HYPERLINK(CONCATENATE("#metadata!", ADDRESS(INDEX($AH$2:$AH$1001,MATCH(ROWS($AF$2:AF442),$AF$2:$AF$1001,0),0), INDEX($AM$1004:$BM$1004,1,MATCH(COLUMNS($AM$1006:AO1006),$AM$1006:$BM$1006,0)))),"Fix")))</f>
        <v xml:space="preserve"> </v>
      </c>
      <c r="E442" s="4" t="str">
        <f ca="1">IF(OR(INDEX($AG$2:$AG$1001,MATCH(ROWS($AF$2:AF442),$AF$2:$AF$1001,0),1)&gt;=100000,INDEX($AM$1005:$BM$1005,1,MATCH(COLUMNS($AM$1006:AP1006),$AM$1006:$BM$1006,0))&gt;=100000), " ",IF(INDEX($AM$2:$BM$1001,MATCH(ROWS($AF$2:AF442),$AF$2:$AF$1001,0),MATCH(COLUMNS($AM$1006:AP1006),$AM$1006:$BM$1006,0)), HYPERLINK("#",""), HYPERLINK(CONCATENATE("#metadata!", ADDRESS(INDEX($AH$2:$AH$1001,MATCH(ROWS($AF$2:AF442),$AF$2:$AF$1001,0),0), INDEX($AM$1004:$BM$1004,1,MATCH(COLUMNS($AM$1006:AP1006),$AM$1006:$BM$1006,0)))),"Fix")))</f>
        <v xml:space="preserve"> </v>
      </c>
      <c r="F442" s="4" t="str">
        <f ca="1">IF(OR(INDEX($AG$2:$AG$1001,MATCH(ROWS($AF$2:AF442),$AF$2:$AF$1001,0),1)&gt;=100000,INDEX($AM$1005:$BM$1005,1,MATCH(COLUMNS($AM$1006:AQ1006),$AM$1006:$BM$1006,0))&gt;=100000), " ",IF(INDEX($AM$2:$BM$1001,MATCH(ROWS($AF$2:AF442),$AF$2:$AF$1001,0),MATCH(COLUMNS($AM$1006:AQ1006),$AM$1006:$BM$1006,0)), HYPERLINK("#",""), HYPERLINK(CONCATENATE("#metadata!", ADDRESS(INDEX($AH$2:$AH$1001,MATCH(ROWS($AF$2:AF442),$AF$2:$AF$1001,0),0), INDEX($AM$1004:$BM$1004,1,MATCH(COLUMNS($AM$1006:AQ1006),$AM$1006:$BM$1006,0)))),"Fix")))</f>
        <v xml:space="preserve"> </v>
      </c>
      <c r="G442" s="4" t="str">
        <f ca="1">IF(OR(INDEX($AG$2:$AG$1001,MATCH(ROWS($AF$2:AF442),$AF$2:$AF$1001,0),1)&gt;=100000,INDEX($AM$1005:$BM$1005,1,MATCH(COLUMNS($AM$1006:AR1006),$AM$1006:$BM$1006,0))&gt;=100000), " ",IF(INDEX($AM$2:$BM$1001,MATCH(ROWS($AF$2:AF442),$AF$2:$AF$1001,0),MATCH(COLUMNS($AM$1006:AR1006),$AM$1006:$BM$1006,0)), HYPERLINK("#",""), HYPERLINK(CONCATENATE("#metadata!", ADDRESS(INDEX($AH$2:$AH$1001,MATCH(ROWS($AF$2:AF442),$AF$2:$AF$1001,0),0), INDEX($AM$1004:$BM$1004,1,MATCH(COLUMNS($AM$1006:AR1006),$AM$1006:$BM$1006,0)))),"Fix")))</f>
        <v xml:space="preserve"> </v>
      </c>
      <c r="H442" s="4" t="str">
        <f ca="1">IF(OR(INDEX($AG$2:$AG$1001,MATCH(ROWS($AF$2:AF442),$AF$2:$AF$1001,0),1)&gt;=100000,INDEX($AM$1005:$BM$1005,1,MATCH(COLUMNS($AM$1006:AS1006),$AM$1006:$BM$1006,0))&gt;=100000), " ",IF(INDEX($AM$2:$BM$1001,MATCH(ROWS($AF$2:AF442),$AF$2:$AF$1001,0),MATCH(COLUMNS($AM$1006:AS1006),$AM$1006:$BM$1006,0)), HYPERLINK("#",""), HYPERLINK(CONCATENATE("#metadata!", ADDRESS(INDEX($AH$2:$AH$1001,MATCH(ROWS($AF$2:AF442),$AF$2:$AF$1001,0),0), INDEX($AM$1004:$BM$1004,1,MATCH(COLUMNS($AM$1006:AS1006),$AM$1006:$BM$1006,0)))),"Fix")))</f>
        <v xml:space="preserve"> </v>
      </c>
      <c r="I442" s="4" t="str">
        <f ca="1">IF(OR(INDEX($AG$2:$AG$1001,MATCH(ROWS($AF$2:AF442),$AF$2:$AF$1001,0),1)&gt;=100000,INDEX($AM$1005:$BM$1005,1,MATCH(COLUMNS($AM$1006:AT1006),$AM$1006:$BM$1006,0))&gt;=100000), " ",IF(INDEX($AM$2:$BM$1001,MATCH(ROWS($AF$2:AF442),$AF$2:$AF$1001,0),MATCH(COLUMNS($AM$1006:AT1006),$AM$1006:$BM$1006,0)), HYPERLINK("#",""), HYPERLINK(CONCATENATE("#metadata!", ADDRESS(INDEX($AH$2:$AH$1001,MATCH(ROWS($AF$2:AF442),$AF$2:$AF$1001,0),0), INDEX($AM$1004:$BM$1004,1,MATCH(COLUMNS($AM$1006:AT1006),$AM$1006:$BM$1006,0)))),"Fix")))</f>
        <v xml:space="preserve"> </v>
      </c>
      <c r="J442" s="4" t="str">
        <f ca="1">IF(OR(INDEX($AG$2:$AG$1001,MATCH(ROWS($AF$2:AF442),$AF$2:$AF$1001,0),1)&gt;=100000,INDEX($AM$1005:$BM$1005,1,MATCH(COLUMNS($AM$1006:AU1006),$AM$1006:$BM$1006,0))&gt;=100000), " ",IF(INDEX($AM$2:$BM$1001,MATCH(ROWS($AF$2:AF442),$AF$2:$AF$1001,0),MATCH(COLUMNS($AM$1006:AU1006),$AM$1006:$BM$1006,0)), HYPERLINK("#",""), HYPERLINK(CONCATENATE("#metadata!", ADDRESS(INDEX($AH$2:$AH$1001,MATCH(ROWS($AF$2:AF442),$AF$2:$AF$1001,0),0), INDEX($AM$1004:$BM$1004,1,MATCH(COLUMNS($AM$1006:AU1006),$AM$1006:$BM$1006,0)))),"Fix")))</f>
        <v xml:space="preserve"> </v>
      </c>
      <c r="K442" s="4" t="str">
        <f ca="1">IF(OR(INDEX($AG$2:$AG$1001,MATCH(ROWS($AF$2:AF442),$AF$2:$AF$1001,0),1)&gt;=100000,INDEX($AM$1005:$BM$1005,1,MATCH(COLUMNS($AM$1006:AV1006),$AM$1006:$BM$1006,0))&gt;=100000), " ",IF(INDEX($AM$2:$BM$1001,MATCH(ROWS($AF$2:AF442),$AF$2:$AF$1001,0),MATCH(COLUMNS($AM$1006:AV1006),$AM$1006:$BM$1006,0)), HYPERLINK("#",""), HYPERLINK(CONCATENATE("#metadata!", ADDRESS(INDEX($AH$2:$AH$1001,MATCH(ROWS($AF$2:AF442),$AF$2:$AF$1001,0),0), INDEX($AM$1004:$BM$1004,1,MATCH(COLUMNS($AM$1006:AV1006),$AM$1006:$BM$1006,0)))),"Fix")))</f>
        <v xml:space="preserve"> </v>
      </c>
      <c r="L442" s="4" t="str">
        <f ca="1">IF(OR(INDEX($AG$2:$AG$1001,MATCH(ROWS($AF$2:AF442),$AF$2:$AF$1001,0),1)&gt;=100000,INDEX($AM$1005:$BM$1005,1,MATCH(COLUMNS($AM$1006:AW1006),$AM$1006:$BM$1006,0))&gt;=100000), " ",IF(INDEX($AM$2:$BM$1001,MATCH(ROWS($AF$2:AF442),$AF$2:$AF$1001,0),MATCH(COLUMNS($AM$1006:AW1006),$AM$1006:$BM$1006,0)), HYPERLINK("#",""), HYPERLINK(CONCATENATE("#metadata!", ADDRESS(INDEX($AH$2:$AH$1001,MATCH(ROWS($AF$2:AF442),$AF$2:$AF$1001,0),0), INDEX($AM$1004:$BM$1004,1,MATCH(COLUMNS($AM$1006:AW1006),$AM$1006:$BM$1006,0)))),"Fix")))</f>
        <v xml:space="preserve"> </v>
      </c>
      <c r="M442" s="4" t="str">
        <f ca="1">IF(OR(INDEX($AG$2:$AG$1001,MATCH(ROWS($AF$2:AF442),$AF$2:$AF$1001,0),1)&gt;=100000,INDEX($AM$1005:$BM$1005,1,MATCH(COLUMNS($AM$1006:AX1006),$AM$1006:$BM$1006,0))&gt;=100000), " ",IF(INDEX($AM$2:$BM$1001,MATCH(ROWS($AF$2:AF442),$AF$2:$AF$1001,0),MATCH(COLUMNS($AM$1006:AX1006),$AM$1006:$BM$1006,0)), HYPERLINK("#",""), HYPERLINK(CONCATENATE("#metadata!", ADDRESS(INDEX($AH$2:$AH$1001,MATCH(ROWS($AF$2:AF442),$AF$2:$AF$1001,0),0), INDEX($AM$1004:$BM$1004,1,MATCH(COLUMNS($AM$1006:AX1006),$AM$1006:$BM$1006,0)))),"Fix")))</f>
        <v xml:space="preserve"> </v>
      </c>
      <c r="N442" s="4" t="str">
        <f ca="1">IF(OR(INDEX($AG$2:$AG$1001,MATCH(ROWS($AF$2:AF442),$AF$2:$AF$1001,0),1)&gt;=100000,INDEX($AM$1005:$BM$1005,1,MATCH(COLUMNS($AM$1006:AY1006),$AM$1006:$BM$1006,0))&gt;=100000), " ",IF(INDEX($AM$2:$BM$1001,MATCH(ROWS($AF$2:AF442),$AF$2:$AF$1001,0),MATCH(COLUMNS($AM$1006:AY1006),$AM$1006:$BM$1006,0)), HYPERLINK("#",""), HYPERLINK(CONCATENATE("#metadata!", ADDRESS(INDEX($AH$2:$AH$1001,MATCH(ROWS($AF$2:AF442),$AF$2:$AF$1001,0),0), INDEX($AM$1004:$BM$1004,1,MATCH(COLUMNS($AM$1006:AY1006),$AM$1006:$BM$1006,0)))),"Fix")))</f>
        <v xml:space="preserve"> </v>
      </c>
      <c r="O442" s="4" t="str">
        <f ca="1">IF(OR(INDEX($AG$2:$AG$1001,MATCH(ROWS($AF$2:AF442),$AF$2:$AF$1001,0),1)&gt;=100000,INDEX($AM$1005:$BM$1005,1,MATCH(COLUMNS($AM$1006:AZ1006),$AM$1006:$BM$1006,0))&gt;=100000), " ",IF(INDEX($AM$2:$BM$1001,MATCH(ROWS($AF$2:AF442),$AF$2:$AF$1001,0),MATCH(COLUMNS($AM$1006:AZ1006),$AM$1006:$BM$1006,0)), HYPERLINK("#",""), HYPERLINK(CONCATENATE("#metadata!", ADDRESS(INDEX($AH$2:$AH$1001,MATCH(ROWS($AF$2:AF442),$AF$2:$AF$1001,0),0), INDEX($AM$1004:$BM$1004,1,MATCH(COLUMNS($AM$1006:AZ1006),$AM$1006:$BM$1006,0)))),"Fix")))</f>
        <v xml:space="preserve"> </v>
      </c>
      <c r="P442" s="4" t="str">
        <f ca="1">IF(OR(INDEX($AG$2:$AG$1001,MATCH(ROWS($AF$2:AF442),$AF$2:$AF$1001,0),1)&gt;=100000,INDEX($AM$1005:$BM$1005,1,MATCH(COLUMNS($AM$1006:BA1006),$AM$1006:$BM$1006,0))&gt;=100000), " ",IF(INDEX($AM$2:$BM$1001,MATCH(ROWS($AF$2:AF442),$AF$2:$AF$1001,0),MATCH(COLUMNS($AM$1006:BA1006),$AM$1006:$BM$1006,0)), HYPERLINK("#",""), HYPERLINK(CONCATENATE("#metadata!", ADDRESS(INDEX($AH$2:$AH$1001,MATCH(ROWS($AF$2:AF442),$AF$2:$AF$1001,0),0), INDEX($AM$1004:$BM$1004,1,MATCH(COLUMNS($AM$1006:BA1006),$AM$1006:$BM$1006,0)))),"Fix")))</f>
        <v xml:space="preserve"> </v>
      </c>
      <c r="Q442" s="4" t="str">
        <f ca="1">IF(OR(INDEX($AG$2:$AG$1001,MATCH(ROWS($AF$2:AF442),$AF$2:$AF$1001,0),1)&gt;=100000,INDEX($AM$1005:$BM$1005,1,MATCH(COLUMNS($AM$1006:BB1006),$AM$1006:$BM$1006,0))&gt;=100000), " ",IF(INDEX($AM$2:$BM$1001,MATCH(ROWS($AF$2:AF442),$AF$2:$AF$1001,0),MATCH(COLUMNS($AM$1006:BB1006),$AM$1006:$BM$1006,0)), HYPERLINK("#",""), HYPERLINK(CONCATENATE("#metadata!", ADDRESS(INDEX($AH$2:$AH$1001,MATCH(ROWS($AF$2:AF442),$AF$2:$AF$1001,0),0), INDEX($AM$1004:$BM$1004,1,MATCH(COLUMNS($AM$1006:BB1006),$AM$1006:$BM$1006,0)))),"Fix")))</f>
        <v xml:space="preserve"> </v>
      </c>
      <c r="R442" s="4" t="str">
        <f ca="1">IF(OR(INDEX($AG$2:$AG$1001,MATCH(ROWS($AF$2:AF442),$AF$2:$AF$1001,0),1)&gt;=100000,INDEX($AM$1005:$BM$1005,1,MATCH(COLUMNS($AM$1006:BC1006),$AM$1006:$BM$1006,0))&gt;=100000), " ",IF(INDEX($AM$2:$BM$1001,MATCH(ROWS($AF$2:AF442),$AF$2:$AF$1001,0),MATCH(COLUMNS($AM$1006:BC1006),$AM$1006:$BM$1006,0)), HYPERLINK("#",""), HYPERLINK(CONCATENATE("#metadata!", ADDRESS(INDEX($AH$2:$AH$1001,MATCH(ROWS($AF$2:AF442),$AF$2:$AF$1001,0),0), INDEX($AM$1004:$BM$1004,1,MATCH(COLUMNS($AM$1006:BC1006),$AM$1006:$BM$1006,0)))),"Fix")))</f>
        <v xml:space="preserve"> </v>
      </c>
      <c r="S442" s="4" t="str">
        <f ca="1">IF(OR(INDEX($AG$2:$AG$1001,MATCH(ROWS($AF$2:AF442),$AF$2:$AF$1001,0),1)&gt;=100000,INDEX($AM$1005:$BM$1005,1,MATCH(COLUMNS($AM$1006:BD1006),$AM$1006:$BM$1006,0))&gt;=100000), " ",IF(INDEX($AM$2:$BM$1001,MATCH(ROWS($AF$2:AF442),$AF$2:$AF$1001,0),MATCH(COLUMNS($AM$1006:BD1006),$AM$1006:$BM$1006,0)), HYPERLINK("#",""), HYPERLINK(CONCATENATE("#metadata!", ADDRESS(INDEX($AH$2:$AH$1001,MATCH(ROWS($AF$2:AF442),$AF$2:$AF$1001,0),0), INDEX($AM$1004:$BM$1004,1,MATCH(COLUMNS($AM$1006:BD1006),$AM$1006:$BM$1006,0)))),"Fix")))</f>
        <v xml:space="preserve"> </v>
      </c>
      <c r="T442" s="4" t="str">
        <f ca="1">IF(OR(INDEX($AG$2:$AG$1001,MATCH(ROWS($AF$2:AF442),$AF$2:$AF$1001,0),1)&gt;=100000,INDEX($AM$1005:$BM$1005,1,MATCH(COLUMNS($AM$1006:BE1006),$AM$1006:$BM$1006,0))&gt;=100000), " ",IF(INDEX($AM$2:$BM$1001,MATCH(ROWS($AF$2:AF442),$AF$2:$AF$1001,0),MATCH(COLUMNS($AM$1006:BE1006),$AM$1006:$BM$1006,0)), HYPERLINK("#",""), HYPERLINK(CONCATENATE("#metadata!", ADDRESS(INDEX($AH$2:$AH$1001,MATCH(ROWS($AF$2:AF442),$AF$2:$AF$1001,0),0), INDEX($AM$1004:$BM$1004,1,MATCH(COLUMNS($AM$1006:BE1006),$AM$1006:$BM$1006,0)))),"Fix")))</f>
        <v xml:space="preserve"> </v>
      </c>
      <c r="U442" s="4" t="str">
        <f ca="1">IF(OR(INDEX($AG$2:$AG$1001,MATCH(ROWS($AF$2:AF442),$AF$2:$AF$1001,0),1)&gt;=100000,INDEX($AM$1005:$BM$1005,1,MATCH(COLUMNS($AM$1006:BF1006),$AM$1006:$BM$1006,0))&gt;=100000), " ",IF(INDEX($AM$2:$BM$1001,MATCH(ROWS($AF$2:AF442),$AF$2:$AF$1001,0),MATCH(COLUMNS($AM$1006:BF1006),$AM$1006:$BM$1006,0)), HYPERLINK("#",""), HYPERLINK(CONCATENATE("#metadata!", ADDRESS(INDEX($AH$2:$AH$1001,MATCH(ROWS($AF$2:AF442),$AF$2:$AF$1001,0),0), INDEX($AM$1004:$BM$1004,1,MATCH(COLUMNS($AM$1006:BF1006),$AM$1006:$BM$1006,0)))),"Fix")))</f>
        <v xml:space="preserve"> </v>
      </c>
      <c r="V442" s="4" t="str">
        <f ca="1">IF(OR(INDEX($AG$2:$AG$1001,MATCH(ROWS($AF$2:AF442),$AF$2:$AF$1001,0),1)&gt;=100000,INDEX($AM$1005:$BM$1005,1,MATCH(COLUMNS($AM$1006:BG1006),$AM$1006:$BM$1006,0))&gt;=100000), " ",IF(INDEX($AM$2:$BM$1001,MATCH(ROWS($AF$2:AF442),$AF$2:$AF$1001,0),MATCH(COLUMNS($AM$1006:BG1006),$AM$1006:$BM$1006,0)), HYPERLINK("#",""), HYPERLINK(CONCATENATE("#metadata!", ADDRESS(INDEX($AH$2:$AH$1001,MATCH(ROWS($AF$2:AF442),$AF$2:$AF$1001,0),0), INDEX($AM$1004:$BM$1004,1,MATCH(COLUMNS($AM$1006:BG1006),$AM$1006:$BM$1006,0)))),"Fix")))</f>
        <v xml:space="preserve"> </v>
      </c>
      <c r="W442" s="4" t="str">
        <f ca="1">IF(OR(INDEX($AG$2:$AG$1001,MATCH(ROWS($AF$2:AF442),$AF$2:$AF$1001,0),1)&gt;=100000,INDEX($AM$1005:$BM$1005,1,MATCH(COLUMNS($AM$1006:BH1006),$AM$1006:$BM$1006,0))&gt;=100000), " ",IF(INDEX($AM$2:$BM$1001,MATCH(ROWS($AF$2:AF442),$AF$2:$AF$1001,0),MATCH(COLUMNS($AM$1006:BH1006),$AM$1006:$BM$1006,0)), HYPERLINK("#",""), HYPERLINK(CONCATENATE("#metadata!", ADDRESS(INDEX($AH$2:$AH$1001,MATCH(ROWS($AF$2:AF442),$AF$2:$AF$1001,0),0), INDEX($AM$1004:$BM$1004,1,MATCH(COLUMNS($AM$1006:BH1006),$AM$1006:$BM$1006,0)))),"Fix")))</f>
        <v xml:space="preserve"> </v>
      </c>
      <c r="X442" s="4" t="str">
        <f ca="1">IF(OR(INDEX($AG$2:$AG$1001,MATCH(ROWS($AF$2:AF442),$AF$2:$AF$1001,0),1)&gt;=100000,INDEX($AM$1005:$BM$1005,1,MATCH(COLUMNS($AM$1006:BI1006),$AM$1006:$BM$1006,0))&gt;=100000), " ",IF(INDEX($AM$2:$BM$1001,MATCH(ROWS($AF$2:AF442),$AF$2:$AF$1001,0),MATCH(COLUMNS($AM$1006:BI1006),$AM$1006:$BM$1006,0)), HYPERLINK("#",""), HYPERLINK(CONCATENATE("#metadata!", ADDRESS(INDEX($AH$2:$AH$1001,MATCH(ROWS($AF$2:AF442),$AF$2:$AF$1001,0),0), INDEX($AM$1004:$BM$1004,1,MATCH(COLUMNS($AM$1006:BI1006),$AM$1006:$BM$1006,0)))),"Fix")))</f>
        <v xml:space="preserve"> </v>
      </c>
      <c r="Y442" s="4" t="str">
        <f ca="1">IF(OR(INDEX($AG$2:$AG$1001,MATCH(ROWS($AF$2:AF442),$AF$2:$AF$1001,0),1)&gt;=100000,INDEX($AM$1005:$BM$1005,1,MATCH(COLUMNS($AM$1006:BJ1006),$AM$1006:$BM$1006,0))&gt;=100000), " ",IF(INDEX($AM$2:$BM$1001,MATCH(ROWS($AF$2:AF442),$AF$2:$AF$1001,0),MATCH(COLUMNS($AM$1006:BJ1006),$AM$1006:$BM$1006,0)), HYPERLINK("#",""), HYPERLINK(CONCATENATE("#metadata!", ADDRESS(INDEX($AH$2:$AH$1001,MATCH(ROWS($AF$2:AF442),$AF$2:$AF$1001,0),0), INDEX($AM$1004:$BM$1004,1,MATCH(COLUMNS($AM$1006:BJ1006),$AM$1006:$BM$1006,0)))),"Fix")))</f>
        <v xml:space="preserve"> </v>
      </c>
      <c r="Z442" s="4" t="str">
        <f ca="1">IF(OR(INDEX($AG$2:$AG$1001,MATCH(ROWS($AF$2:AF442),$AF$2:$AF$1001,0),1)&gt;=100000,INDEX($AM$1005:$BM$1005,1,MATCH(COLUMNS($AM$1006:BK1006),$AM$1006:$BM$1006,0))&gt;=100000), " ",IF(INDEX($AM$2:$BM$1001,MATCH(ROWS($AF$2:AF442),$AF$2:$AF$1001,0),MATCH(COLUMNS($AM$1006:BK1006),$AM$1006:$BM$1006,0)), HYPERLINK("#",""), HYPERLINK(CONCATENATE("#metadata!", ADDRESS(INDEX($AH$2:$AH$1001,MATCH(ROWS($AF$2:AF442),$AF$2:$AF$1001,0),0), INDEX($AM$1004:$BM$1004,1,MATCH(COLUMNS($AM$1006:BK1006),$AM$1006:$BM$1006,0)))),"Fix")))</f>
        <v xml:space="preserve"> </v>
      </c>
      <c r="AA442" s="4" t="str">
        <f ca="1">IF(OR(INDEX($AG$2:$AG$1001,MATCH(ROWS($AF$2:AF442),$AF$2:$AF$1001,0),1)&gt;=100000,INDEX($AM$1005:$BM$1005,1,MATCH(COLUMNS($AM$1006:BL1006),$AM$1006:$BM$1006,0))&gt;=100000), " ",IF(INDEX($AM$2:$BM$1001,MATCH(ROWS($AF$2:AF442),$AF$2:$AF$1001,0),MATCH(COLUMNS($AM$1006:BL1006),$AM$1006:$BM$1006,0)), HYPERLINK("#",""), HYPERLINK(CONCATENATE("#metadata!", ADDRESS(INDEX($AH$2:$AH$1001,MATCH(ROWS($AF$2:AF442),$AF$2:$AF$1001,0),0), INDEX($AM$1004:$BM$1004,1,MATCH(COLUMNS($AM$1006:BL1006),$AM$1006:$BM$1006,0)))),"Fix")))</f>
        <v xml:space="preserve"> </v>
      </c>
      <c r="AB442" s="4" t="str">
        <f ca="1">IF(OR(INDEX($AG$2:$AG$1001,MATCH(ROWS($AF$2:AF442),$AF$2:$AF$1001,0),1)&gt;=100000,INDEX($AM$1005:$BM$1005,1,MATCH(COLUMNS($AM$1006:BM1006),$AM$1006:$BM$1006,0))&gt;=100000), " ",IF(INDEX($AM$2:$BM$1001,MATCH(ROWS($AF$2:AF442),$AF$2:$AF$1001,0),MATCH(COLUMNS($AM$1006:BM1006),$AM$1006:$BM$1006,0)), HYPERLINK("#",""), HYPERLINK(CONCATENATE("#metadata!", ADDRESS(INDEX($AH$2:$AH$1001,MATCH(ROWS($AF$2:AF442),$AF$2:$AF$1001,0),0), INDEX($AM$1004:$BM$1004,1,MATCH(COLUMNS($AM$1006:BM1006),$AM$1006:$BM$1006,0)))),"Fix")))</f>
        <v xml:space="preserve"> </v>
      </c>
      <c r="AF442">
        <v>441</v>
      </c>
      <c r="AG442">
        <v>100442</v>
      </c>
      <c r="AH442">
        <v>442</v>
      </c>
      <c r="AI442" t="b">
        <f t="shared" si="6"/>
        <v>1</v>
      </c>
      <c r="AJ442" t="b">
        <f>COUNTBLANK(metadata!B442:AB442)=COLUMNS(metadata!B442:AB442)</f>
        <v>1</v>
      </c>
      <c r="AK442" t="str">
        <v/>
      </c>
      <c r="AM442" t="b">
        <f ca="1">AND(IF(metadata!B442="",FALSE,TRUE),COUNTIF(metadata!B:B, metadata!B442) = 1,NOT(ISERROR(SUMPRODUCT(SEARCH(MID(metadata!B442,ROW(INDIRECT("1:"&amp;LEN(metadata!B442))), 1),"0123456789abcdefghijklmnopqrstuvwxyzABCDEFGHIJKLMNOPQRSTUVWXYZ.")))))</f>
        <v>0</v>
      </c>
      <c r="AN442" t="b">
        <f ca="1">OR(AND(IF(metadata!C442="",FALSE,TRUE),OR(EXACT(metadata!C442,"missing: not collected"),EXACT(metadata!C442,"missing: not provided"),EXACT(metadata!C442,"missing: restricted access"))),AND(IF(metadata!C442="",FALSE,TRUE),AND(AND(IFERROR(INT(LEFT(metadata!C442,4))&gt;1900,FALSE),IFERROR(INT(LEFT(metadata!C442,4))&lt;=YEAR(NOW()),FALSE)), OR(MID(metadata!C442,5,1)="", AND(AND(MID(metadata!C442,5,1)="-",IFERROR(INT(MID(metadata!C442,6,1))&gt;=0,FALSE),IFERROR(INT(MID(metadata!C442,6,1))&lt;=1,FALSE),NOT(MID(metadata!C442,7,1)=""),IFERROR(INT(MID(metadata!C442,6,2))&gt;=1,FALSE),IFERROR(INT(MID(metadata!C442,6,2))&lt;=12,FALSE)), OR(MID(metadata!C442,8,1)="", AND(AND(MID(metadata!C442,8,1)="-",IFERROR(INT(MID(metadata!C442,9,1))&gt;=0,FALSE),IFERROR(INT(MID(metadata!C442,9,1))&lt;=3,FALSE),NOT(MID(metadata!C442,10,1)=""),IFERROR(INT(MID(metadata!C442,9,2))&gt;=1,FALSE),IFERROR(INT(MID(metadata!C442,9,2))&lt;=31,FALSE)), OR(MID(metadata!C442,11,1)="", AND(AND(MID(metadata!C442,11,1)=" ",IFERROR(INT(MID(metadata!C442,12,1))&gt;=0,FALSE),IFERROR(INT(MID(metadata!C442,12,1))&lt;=2,FALSE),NOT(MID(metadata!C442,13,1)=""),IFERROR(INT(MID(metadata!C442,12,2))&gt;=0,FALSE),IFERROR(INT(MID(metadata!C442,12,2))&lt;=23,FALSE)), OR(MID(metadata!C442,14,1)="", AND(AND(MID(metadata!C442,14,1)=":",IFERROR(INT(MID(metadata!C442,15,1))&gt;=0,FALSE),IFERROR(INT(MID(metadata!C442,15,1))&lt;=5,FALSE),NOT(MID(metadata!C442,16,1)=""),IFERROR(INT(MID(metadata!C442,15,2))&gt;=0,FALSE),IFERROR(INT(MID(metadata!C442,15,2))&lt;=59,FALSE)), OR(MID(metadata!C442,17,1)="", AND(AND(MID(metadata!C442,17,1)=":",IFERROR(INT(MID(metadata!C442,18,1))&gt;=0,FALSE),IFERROR(INT(MID(metadata!C442,18,1))&lt;=5,FALSE),NOT(MID(metadata!C442,19,1)=""),IFERROR(INT(MID(metadata!C442,18,2))&gt;=0,FALSE),IFERROR(INT(MID(metadata!C442,18,2))&lt;=59,FALSE)), LEN(metadata!C442)&lt;=19)))))))))))))</f>
        <v>0</v>
      </c>
      <c r="AO442" t="b">
        <f>AND(IF(metadata!D442="",FALSE,TRUE),EXACT(metadata!D442,"Not applicable"))</f>
        <v>0</v>
      </c>
      <c r="AP442" t="b">
        <f>IF(metadata!E442="",FALSE,TRUE)</f>
        <v>0</v>
      </c>
      <c r="AQ442" t="b">
        <f>OR(AND(IF(metadata!F442="",FALSE,TRUE),OR(EXACT(metadata!F442,"missing: not collected"),EXACT(metadata!F442,"missing: not provided"))),AND(IF(metadata!F442="",FALSE,TRUE),OR(EXACT(metadata!F442,"TRUE"),EXACT(metadata!F442,"FALSE"))))</f>
        <v>0</v>
      </c>
      <c r="AR442" t="b">
        <f>OR(AND(IF(metadata!G442="",FALSE,TRUE),OR(EXACT(metadata!G442,"missing: not collected"),EXACT(metadata!G442,"missing: not provided"),EXACT(metadata!G442,"missing: restricted access"))),AND(IF(metadata!G442="",FALSE,ISNUMBER(VALUE(metadata!G442))),metadata!G442&gt;=-413))</f>
        <v>0</v>
      </c>
      <c r="AS442" t="b">
        <f>AND(IF(metadata!H442="",FALSE,TRUE),EXACT(metadata!H442,"meters"))</f>
        <v>0</v>
      </c>
      <c r="AT442" t="b">
        <f>AND(IF(metadata!I442="",FALSE,TRUE),OR(EXACT(metadata!I442,"Host-associated"),EXACT(metadata!I442,"Free-living")))</f>
        <v>0</v>
      </c>
      <c r="AU442" t="b">
        <f>AND(IF(metadata!J442="",FALSE,TRUE),OR(EXACT(metadata!J442,"Animal"),EXACT(metadata!J442,"Fungus"),EXACT(metadata!J442,"Plant"),EXACT(metadata!J442,"Saline"),EXACT(metadata!J442,"Non-saline")))</f>
        <v>0</v>
      </c>
      <c r="AV442" t="b">
        <f>AND(IF(metadata!K442="",FALSE,TRUE),OR(EXACT(metadata!K442,"Plant secretion"),EXACT(metadata!K442,"Plant rhizosphere"),EXACT(metadata!K442,"Plant surface"),EXACT(metadata!K442,"Plant corpus"),EXACT(metadata!K442,"Fungus surface"),EXACT(metadata!K442,"Fungus corpus"),EXACT(metadata!K442,"Animal surface"),EXACT(metadata!K442,"Animal proximal gut"),EXACT(metadata!K442,"Animal corpus"),EXACT(metadata!K442,"Animal distal gut"),EXACT(metadata!K442,"Animal secretion"),EXACT(metadata!K442,"Sub-surface (non-saline)"),EXACT(metadata!K442,"Surface (non-saline)"),EXACT(metadata!K442,"Water (non-saline)"),EXACT(metadata!K442,"Soil (non-saline)"),EXACT(metadata!K442,"Aerosol (non-saline)"),EXACT(metadata!K442,"Sediment (non-saline)"),EXACT(metadata!K442,"Surface (saline)"),EXACT(metadata!K442,"Water (saline)"),EXACT(metadata!K442,"Hypersaline (saline)"),EXACT(metadata!K442,"Aerosol (saline)"),EXACT(metadata!K442,"Sediment (saline)")))</f>
        <v>0</v>
      </c>
      <c r="AW442" t="b">
        <f>IF(metadata!L442="",FALSE,TRUE)</f>
        <v>0</v>
      </c>
      <c r="AX442" t="b">
        <f>IF(metadata!M442="",FALSE,TRUE)</f>
        <v>0</v>
      </c>
      <c r="AY442" t="b">
        <f>IF(metadata!N442="",FALSE,TRUE)</f>
        <v>0</v>
      </c>
      <c r="AZ442" t="b">
        <f>OR(AND(IF(metadata!O442="",FALSE,TRUE),OR(EXACT(metadata!O442,"missing: not collected"),EXACT(metadata!O442,"missing: not provided"),EXACT(metadata!O442,"missing: restricted access"))),AND(IF(metadata!O442="",FALSE,TRUE),OR(EXACT(metadata!O442,"air"),EXACT(metadata!O442,"built environment"),EXACT(metadata!O442,"host-associated"),EXACT(metadata!O442,"human-associated"),EXACT(metadata!O442,"human-skin"),EXACT(metadata!O442,"human-oral"),EXACT(metadata!O442,"human-gut"),EXACT(metadata!O442,"human-vaginal"),EXACT(metadata!O442,"microbial mat/biofilm"),EXACT(metadata!O442,"misc environment"),EXACT(metadata!O442,"plant-associated"),EXACT(metadata!O442,"sediment"),EXACT(metadata!O442,"soil"),EXACT(metadata!O442,"wastewater/sludge"),EXACT(metadata!O442,"water"))))</f>
        <v>0</v>
      </c>
      <c r="BA442" t="b">
        <f>IF(metadata!P442="",FALSE,TRUE)</f>
        <v>0</v>
      </c>
      <c r="BB442" t="b">
        <f>IF(metadata!Q442="",FALSE,TRUE)</f>
        <v>0</v>
      </c>
      <c r="BC442" t="b">
        <f>OR(AND(IF(metadata!R442="",FALSE,TRUE),OR(EXACT(metadata!R442,"missing: not collected"),EXACT(metadata!R442,"missing: not provided"),EXACT(metadata!R442,"missing: restricted access"))),AND(IF(metadata!R442="",FALSE,ISNUMBER(VALUE(metadata!R442))),metadata!R442&gt;=-90,metadata!R442&lt;=90))</f>
        <v>0</v>
      </c>
      <c r="BD442" t="b">
        <f>AND(IF(metadata!S442="",FALSE,TRUE),EXACT(metadata!S442,"Decimal degrees"))</f>
        <v>0</v>
      </c>
      <c r="BE442" t="b">
        <f>OR(AND(IF(metadata!T442="",FALSE,TRUE),OR(EXACT(metadata!T442,"missing: not collected"),EXACT(metadata!T442,"missing: not provided"),EXACT(metadata!T442,"missing: restricted access"))),AND(IF(metadata!T442="",FALSE,ISNUMBER(VALUE(metadata!T442))),metadata!T442&gt;=-180,metadata!T442&lt;=180))</f>
        <v>0</v>
      </c>
      <c r="BF442" t="b">
        <f>AND(IF(metadata!U442="",FALSE,TRUE),EXACT(metadata!U442,"Decimal degrees"))</f>
        <v>0</v>
      </c>
      <c r="BG442" t="b">
        <f>IF(metadata!V442="",FALSE,TRUE)</f>
        <v>0</v>
      </c>
      <c r="BH442" t="b">
        <f>OR(AND(IF(metadata!W442="",FALSE,TRUE),OR(EXACT(metadata!W442,"missing: not collected"),EXACT(metadata!W442,"missing: not provided"),EXACT(metadata!W442,"missing: restricted access"))),AND(IF(metadata!W442="",FALSE,TRUE),OR(EXACT(metadata!W442,"TRUE"),EXACT(metadata!W442,"FALSE"))))</f>
        <v>0</v>
      </c>
      <c r="BI442" t="b">
        <f>AND(IF(metadata!X442="",FALSE,TRUE),EXACT(metadata!X442,"other"))</f>
        <v>0</v>
      </c>
      <c r="BJ442" t="b">
        <f>IF(metadata!Y442="",FALSE,TRUE)</f>
        <v>0</v>
      </c>
      <c r="BK442" t="b">
        <f>OR(AND(IF(metadata!Z442="",FALSE,TRUE),OR(EXACT(metadata!Z442,"missing: not collected"),EXACT(metadata!Z442,"missing: not provided"))),AND(IF(metadata!Z442="",FALSE,IF(ISERROR(INT(metadata!Z442)),FALSE,INT(metadata!Z442)=metadata!Z442)),metadata!Z442&gt;0))</f>
        <v>0</v>
      </c>
      <c r="BL442" t="b">
        <f>AND(IF(metadata!AA442="",FALSE,TRUE),EXACT(metadata!AA442,"Not applicable"))</f>
        <v>0</v>
      </c>
      <c r="BM442" t="b">
        <f>IF(metadata!AB442="",FALSE,TRUE)</f>
        <v>0</v>
      </c>
    </row>
    <row r="443" spans="1:65" x14ac:dyDescent="0.2">
      <c r="A443" s="5" t="str">
        <f ca="1">IF(B443=" "," ",HYPERLINK(CONCATENATE("#metadata!",ADDRESS(INDEX($AH$2:$AH$1001,MATCH(ROWS($AF$2:AF443),$AF$2:$AF$1001,0),0),1)),INDEX($AK$2:$AK$1001,MATCH(ROWS($AF$2:AF443),$AF$2:$AF$1001,0),0)))</f>
        <v xml:space="preserve"> </v>
      </c>
      <c r="B443" s="4" t="str">
        <f ca="1">IF(OR(INDEX($AG$2:$AG$1001,MATCH(ROWS($AF$2:AF443),$AF$2:$AF$1001,0),1)&gt;=100000,INDEX($AM$1005:$BM$1005,1,MATCH(COLUMNS($AM$1006:AM1006),$AM$1006:$BM$1006,0))&gt;=100000), " ",IF(INDEX($AM$2:$BM$1001,MATCH(ROWS($AF$2:AF443),$AF$2:$AF$1001,0),MATCH(COLUMNS($AM$1006:AM1006),$AM$1006:$BM$1006,0)), HYPERLINK("#",""), HYPERLINK(CONCATENATE("#metadata!", ADDRESS(INDEX($AH$2:$AH$1001,MATCH(ROWS($AF$2:AF443),$AF$2:$AF$1001,0),0), INDEX($AM$1004:$BM$1004,1,MATCH(COLUMNS($AM$1006:AM1006),$AM$1006:$BM$1006,0)))),"Fix")))</f>
        <v xml:space="preserve"> </v>
      </c>
      <c r="C443" s="4" t="str">
        <f ca="1">IF(OR(INDEX($AG$2:$AG$1001,MATCH(ROWS($AF$2:AF443),$AF$2:$AF$1001,0),1)&gt;=100000,INDEX($AM$1005:$BM$1005,1,MATCH(COLUMNS($AM$1006:AN1006),$AM$1006:$BM$1006,0))&gt;=100000), " ",IF(INDEX($AM$2:$BM$1001,MATCH(ROWS($AF$2:AF443),$AF$2:$AF$1001,0),MATCH(COLUMNS($AM$1006:AN1006),$AM$1006:$BM$1006,0)), HYPERLINK("#",""), HYPERLINK(CONCATENATE("#metadata!", ADDRESS(INDEX($AH$2:$AH$1001,MATCH(ROWS($AF$2:AF443),$AF$2:$AF$1001,0),0), INDEX($AM$1004:$BM$1004,1,MATCH(COLUMNS($AM$1006:AN1006),$AM$1006:$BM$1006,0)))),"Fix")))</f>
        <v xml:space="preserve"> </v>
      </c>
      <c r="D443" s="4" t="str">
        <f ca="1">IF(OR(INDEX($AG$2:$AG$1001,MATCH(ROWS($AF$2:AF443),$AF$2:$AF$1001,0),1)&gt;=100000,INDEX($AM$1005:$BM$1005,1,MATCH(COLUMNS($AM$1006:AO1006),$AM$1006:$BM$1006,0))&gt;=100000), " ",IF(INDEX($AM$2:$BM$1001,MATCH(ROWS($AF$2:AF443),$AF$2:$AF$1001,0),MATCH(COLUMNS($AM$1006:AO1006),$AM$1006:$BM$1006,0)), HYPERLINK("#",""), HYPERLINK(CONCATENATE("#metadata!", ADDRESS(INDEX($AH$2:$AH$1001,MATCH(ROWS($AF$2:AF443),$AF$2:$AF$1001,0),0), INDEX($AM$1004:$BM$1004,1,MATCH(COLUMNS($AM$1006:AO1006),$AM$1006:$BM$1006,0)))),"Fix")))</f>
        <v xml:space="preserve"> </v>
      </c>
      <c r="E443" s="4" t="str">
        <f ca="1">IF(OR(INDEX($AG$2:$AG$1001,MATCH(ROWS($AF$2:AF443),$AF$2:$AF$1001,0),1)&gt;=100000,INDEX($AM$1005:$BM$1005,1,MATCH(COLUMNS($AM$1006:AP1006),$AM$1006:$BM$1006,0))&gt;=100000), " ",IF(INDEX($AM$2:$BM$1001,MATCH(ROWS($AF$2:AF443),$AF$2:$AF$1001,0),MATCH(COLUMNS($AM$1006:AP1006),$AM$1006:$BM$1006,0)), HYPERLINK("#",""), HYPERLINK(CONCATENATE("#metadata!", ADDRESS(INDEX($AH$2:$AH$1001,MATCH(ROWS($AF$2:AF443),$AF$2:$AF$1001,0),0), INDEX($AM$1004:$BM$1004,1,MATCH(COLUMNS($AM$1006:AP1006),$AM$1006:$BM$1006,0)))),"Fix")))</f>
        <v xml:space="preserve"> </v>
      </c>
      <c r="F443" s="4" t="str">
        <f ca="1">IF(OR(INDEX($AG$2:$AG$1001,MATCH(ROWS($AF$2:AF443),$AF$2:$AF$1001,0),1)&gt;=100000,INDEX($AM$1005:$BM$1005,1,MATCH(COLUMNS($AM$1006:AQ1006),$AM$1006:$BM$1006,0))&gt;=100000), " ",IF(INDEX($AM$2:$BM$1001,MATCH(ROWS($AF$2:AF443),$AF$2:$AF$1001,0),MATCH(COLUMNS($AM$1006:AQ1006),$AM$1006:$BM$1006,0)), HYPERLINK("#",""), HYPERLINK(CONCATENATE("#metadata!", ADDRESS(INDEX($AH$2:$AH$1001,MATCH(ROWS($AF$2:AF443),$AF$2:$AF$1001,0),0), INDEX($AM$1004:$BM$1004,1,MATCH(COLUMNS($AM$1006:AQ1006),$AM$1006:$BM$1006,0)))),"Fix")))</f>
        <v xml:space="preserve"> </v>
      </c>
      <c r="G443" s="4" t="str">
        <f ca="1">IF(OR(INDEX($AG$2:$AG$1001,MATCH(ROWS($AF$2:AF443),$AF$2:$AF$1001,0),1)&gt;=100000,INDEX($AM$1005:$BM$1005,1,MATCH(COLUMNS($AM$1006:AR1006),$AM$1006:$BM$1006,0))&gt;=100000), " ",IF(INDEX($AM$2:$BM$1001,MATCH(ROWS($AF$2:AF443),$AF$2:$AF$1001,0),MATCH(COLUMNS($AM$1006:AR1006),$AM$1006:$BM$1006,0)), HYPERLINK("#",""), HYPERLINK(CONCATENATE("#metadata!", ADDRESS(INDEX($AH$2:$AH$1001,MATCH(ROWS($AF$2:AF443),$AF$2:$AF$1001,0),0), INDEX($AM$1004:$BM$1004,1,MATCH(COLUMNS($AM$1006:AR1006),$AM$1006:$BM$1006,0)))),"Fix")))</f>
        <v xml:space="preserve"> </v>
      </c>
      <c r="H443" s="4" t="str">
        <f ca="1">IF(OR(INDEX($AG$2:$AG$1001,MATCH(ROWS($AF$2:AF443),$AF$2:$AF$1001,0),1)&gt;=100000,INDEX($AM$1005:$BM$1005,1,MATCH(COLUMNS($AM$1006:AS1006),$AM$1006:$BM$1006,0))&gt;=100000), " ",IF(INDEX($AM$2:$BM$1001,MATCH(ROWS($AF$2:AF443),$AF$2:$AF$1001,0),MATCH(COLUMNS($AM$1006:AS1006),$AM$1006:$BM$1006,0)), HYPERLINK("#",""), HYPERLINK(CONCATENATE("#metadata!", ADDRESS(INDEX($AH$2:$AH$1001,MATCH(ROWS($AF$2:AF443),$AF$2:$AF$1001,0),0), INDEX($AM$1004:$BM$1004,1,MATCH(COLUMNS($AM$1006:AS1006),$AM$1006:$BM$1006,0)))),"Fix")))</f>
        <v xml:space="preserve"> </v>
      </c>
      <c r="I443" s="4" t="str">
        <f ca="1">IF(OR(INDEX($AG$2:$AG$1001,MATCH(ROWS($AF$2:AF443),$AF$2:$AF$1001,0),1)&gt;=100000,INDEX($AM$1005:$BM$1005,1,MATCH(COLUMNS($AM$1006:AT1006),$AM$1006:$BM$1006,0))&gt;=100000), " ",IF(INDEX($AM$2:$BM$1001,MATCH(ROWS($AF$2:AF443),$AF$2:$AF$1001,0),MATCH(COLUMNS($AM$1006:AT1006),$AM$1006:$BM$1006,0)), HYPERLINK("#",""), HYPERLINK(CONCATENATE("#metadata!", ADDRESS(INDEX($AH$2:$AH$1001,MATCH(ROWS($AF$2:AF443),$AF$2:$AF$1001,0),0), INDEX($AM$1004:$BM$1004,1,MATCH(COLUMNS($AM$1006:AT1006),$AM$1006:$BM$1006,0)))),"Fix")))</f>
        <v xml:space="preserve"> </v>
      </c>
      <c r="J443" s="4" t="str">
        <f ca="1">IF(OR(INDEX($AG$2:$AG$1001,MATCH(ROWS($AF$2:AF443),$AF$2:$AF$1001,0),1)&gt;=100000,INDEX($AM$1005:$BM$1005,1,MATCH(COLUMNS($AM$1006:AU1006),$AM$1006:$BM$1006,0))&gt;=100000), " ",IF(INDEX($AM$2:$BM$1001,MATCH(ROWS($AF$2:AF443),$AF$2:$AF$1001,0),MATCH(COLUMNS($AM$1006:AU1006),$AM$1006:$BM$1006,0)), HYPERLINK("#",""), HYPERLINK(CONCATENATE("#metadata!", ADDRESS(INDEX($AH$2:$AH$1001,MATCH(ROWS($AF$2:AF443),$AF$2:$AF$1001,0),0), INDEX($AM$1004:$BM$1004,1,MATCH(COLUMNS($AM$1006:AU1006),$AM$1006:$BM$1006,0)))),"Fix")))</f>
        <v xml:space="preserve"> </v>
      </c>
      <c r="K443" s="4" t="str">
        <f ca="1">IF(OR(INDEX($AG$2:$AG$1001,MATCH(ROWS($AF$2:AF443),$AF$2:$AF$1001,0),1)&gt;=100000,INDEX($AM$1005:$BM$1005,1,MATCH(COLUMNS($AM$1006:AV1006),$AM$1006:$BM$1006,0))&gt;=100000), " ",IF(INDEX($AM$2:$BM$1001,MATCH(ROWS($AF$2:AF443),$AF$2:$AF$1001,0),MATCH(COLUMNS($AM$1006:AV1006),$AM$1006:$BM$1006,0)), HYPERLINK("#",""), HYPERLINK(CONCATENATE("#metadata!", ADDRESS(INDEX($AH$2:$AH$1001,MATCH(ROWS($AF$2:AF443),$AF$2:$AF$1001,0),0), INDEX($AM$1004:$BM$1004,1,MATCH(COLUMNS($AM$1006:AV1006),$AM$1006:$BM$1006,0)))),"Fix")))</f>
        <v xml:space="preserve"> </v>
      </c>
      <c r="L443" s="4" t="str">
        <f ca="1">IF(OR(INDEX($AG$2:$AG$1001,MATCH(ROWS($AF$2:AF443),$AF$2:$AF$1001,0),1)&gt;=100000,INDEX($AM$1005:$BM$1005,1,MATCH(COLUMNS($AM$1006:AW1006),$AM$1006:$BM$1006,0))&gt;=100000), " ",IF(INDEX($AM$2:$BM$1001,MATCH(ROWS($AF$2:AF443),$AF$2:$AF$1001,0),MATCH(COLUMNS($AM$1006:AW1006),$AM$1006:$BM$1006,0)), HYPERLINK("#",""), HYPERLINK(CONCATENATE("#metadata!", ADDRESS(INDEX($AH$2:$AH$1001,MATCH(ROWS($AF$2:AF443),$AF$2:$AF$1001,0),0), INDEX($AM$1004:$BM$1004,1,MATCH(COLUMNS($AM$1006:AW1006),$AM$1006:$BM$1006,0)))),"Fix")))</f>
        <v xml:space="preserve"> </v>
      </c>
      <c r="M443" s="4" t="str">
        <f ca="1">IF(OR(INDEX($AG$2:$AG$1001,MATCH(ROWS($AF$2:AF443),$AF$2:$AF$1001,0),1)&gt;=100000,INDEX($AM$1005:$BM$1005,1,MATCH(COLUMNS($AM$1006:AX1006),$AM$1006:$BM$1006,0))&gt;=100000), " ",IF(INDEX($AM$2:$BM$1001,MATCH(ROWS($AF$2:AF443),$AF$2:$AF$1001,0),MATCH(COLUMNS($AM$1006:AX1006),$AM$1006:$BM$1006,0)), HYPERLINK("#",""), HYPERLINK(CONCATENATE("#metadata!", ADDRESS(INDEX($AH$2:$AH$1001,MATCH(ROWS($AF$2:AF443),$AF$2:$AF$1001,0),0), INDEX($AM$1004:$BM$1004,1,MATCH(COLUMNS($AM$1006:AX1006),$AM$1006:$BM$1006,0)))),"Fix")))</f>
        <v xml:space="preserve"> </v>
      </c>
      <c r="N443" s="4" t="str">
        <f ca="1">IF(OR(INDEX($AG$2:$AG$1001,MATCH(ROWS($AF$2:AF443),$AF$2:$AF$1001,0),1)&gt;=100000,INDEX($AM$1005:$BM$1005,1,MATCH(COLUMNS($AM$1006:AY1006),$AM$1006:$BM$1006,0))&gt;=100000), " ",IF(INDEX($AM$2:$BM$1001,MATCH(ROWS($AF$2:AF443),$AF$2:$AF$1001,0),MATCH(COLUMNS($AM$1006:AY1006),$AM$1006:$BM$1006,0)), HYPERLINK("#",""), HYPERLINK(CONCATENATE("#metadata!", ADDRESS(INDEX($AH$2:$AH$1001,MATCH(ROWS($AF$2:AF443),$AF$2:$AF$1001,0),0), INDEX($AM$1004:$BM$1004,1,MATCH(COLUMNS($AM$1006:AY1006),$AM$1006:$BM$1006,0)))),"Fix")))</f>
        <v xml:space="preserve"> </v>
      </c>
      <c r="O443" s="4" t="str">
        <f ca="1">IF(OR(INDEX($AG$2:$AG$1001,MATCH(ROWS($AF$2:AF443),$AF$2:$AF$1001,0),1)&gt;=100000,INDEX($AM$1005:$BM$1005,1,MATCH(COLUMNS($AM$1006:AZ1006),$AM$1006:$BM$1006,0))&gt;=100000), " ",IF(INDEX($AM$2:$BM$1001,MATCH(ROWS($AF$2:AF443),$AF$2:$AF$1001,0),MATCH(COLUMNS($AM$1006:AZ1006),$AM$1006:$BM$1006,0)), HYPERLINK("#",""), HYPERLINK(CONCATENATE("#metadata!", ADDRESS(INDEX($AH$2:$AH$1001,MATCH(ROWS($AF$2:AF443),$AF$2:$AF$1001,0),0), INDEX($AM$1004:$BM$1004,1,MATCH(COLUMNS($AM$1006:AZ1006),$AM$1006:$BM$1006,0)))),"Fix")))</f>
        <v xml:space="preserve"> </v>
      </c>
      <c r="P443" s="4" t="str">
        <f ca="1">IF(OR(INDEX($AG$2:$AG$1001,MATCH(ROWS($AF$2:AF443),$AF$2:$AF$1001,0),1)&gt;=100000,INDEX($AM$1005:$BM$1005,1,MATCH(COLUMNS($AM$1006:BA1006),$AM$1006:$BM$1006,0))&gt;=100000), " ",IF(INDEX($AM$2:$BM$1001,MATCH(ROWS($AF$2:AF443),$AF$2:$AF$1001,0),MATCH(COLUMNS($AM$1006:BA1006),$AM$1006:$BM$1006,0)), HYPERLINK("#",""), HYPERLINK(CONCATENATE("#metadata!", ADDRESS(INDEX($AH$2:$AH$1001,MATCH(ROWS($AF$2:AF443),$AF$2:$AF$1001,0),0), INDEX($AM$1004:$BM$1004,1,MATCH(COLUMNS($AM$1006:BA1006),$AM$1006:$BM$1006,0)))),"Fix")))</f>
        <v xml:space="preserve"> </v>
      </c>
      <c r="Q443" s="4" t="str">
        <f ca="1">IF(OR(INDEX($AG$2:$AG$1001,MATCH(ROWS($AF$2:AF443),$AF$2:$AF$1001,0),1)&gt;=100000,INDEX($AM$1005:$BM$1005,1,MATCH(COLUMNS($AM$1006:BB1006),$AM$1006:$BM$1006,0))&gt;=100000), " ",IF(INDEX($AM$2:$BM$1001,MATCH(ROWS($AF$2:AF443),$AF$2:$AF$1001,0),MATCH(COLUMNS($AM$1006:BB1006),$AM$1006:$BM$1006,0)), HYPERLINK("#",""), HYPERLINK(CONCATENATE("#metadata!", ADDRESS(INDEX($AH$2:$AH$1001,MATCH(ROWS($AF$2:AF443),$AF$2:$AF$1001,0),0), INDEX($AM$1004:$BM$1004,1,MATCH(COLUMNS($AM$1006:BB1006),$AM$1006:$BM$1006,0)))),"Fix")))</f>
        <v xml:space="preserve"> </v>
      </c>
      <c r="R443" s="4" t="str">
        <f ca="1">IF(OR(INDEX($AG$2:$AG$1001,MATCH(ROWS($AF$2:AF443),$AF$2:$AF$1001,0),1)&gt;=100000,INDEX($AM$1005:$BM$1005,1,MATCH(COLUMNS($AM$1006:BC1006),$AM$1006:$BM$1006,0))&gt;=100000), " ",IF(INDEX($AM$2:$BM$1001,MATCH(ROWS($AF$2:AF443),$AF$2:$AF$1001,0),MATCH(COLUMNS($AM$1006:BC1006),$AM$1006:$BM$1006,0)), HYPERLINK("#",""), HYPERLINK(CONCATENATE("#metadata!", ADDRESS(INDEX($AH$2:$AH$1001,MATCH(ROWS($AF$2:AF443),$AF$2:$AF$1001,0),0), INDEX($AM$1004:$BM$1004,1,MATCH(COLUMNS($AM$1006:BC1006),$AM$1006:$BM$1006,0)))),"Fix")))</f>
        <v xml:space="preserve"> </v>
      </c>
      <c r="S443" s="4" t="str">
        <f ca="1">IF(OR(INDEX($AG$2:$AG$1001,MATCH(ROWS($AF$2:AF443),$AF$2:$AF$1001,0),1)&gt;=100000,INDEX($AM$1005:$BM$1005,1,MATCH(COLUMNS($AM$1006:BD1006),$AM$1006:$BM$1006,0))&gt;=100000), " ",IF(INDEX($AM$2:$BM$1001,MATCH(ROWS($AF$2:AF443),$AF$2:$AF$1001,0),MATCH(COLUMNS($AM$1006:BD1006),$AM$1006:$BM$1006,0)), HYPERLINK("#",""), HYPERLINK(CONCATENATE("#metadata!", ADDRESS(INDEX($AH$2:$AH$1001,MATCH(ROWS($AF$2:AF443),$AF$2:$AF$1001,0),0), INDEX($AM$1004:$BM$1004,1,MATCH(COLUMNS($AM$1006:BD1006),$AM$1006:$BM$1006,0)))),"Fix")))</f>
        <v xml:space="preserve"> </v>
      </c>
      <c r="T443" s="4" t="str">
        <f ca="1">IF(OR(INDEX($AG$2:$AG$1001,MATCH(ROWS($AF$2:AF443),$AF$2:$AF$1001,0),1)&gt;=100000,INDEX($AM$1005:$BM$1005,1,MATCH(COLUMNS($AM$1006:BE1006),$AM$1006:$BM$1006,0))&gt;=100000), " ",IF(INDEX($AM$2:$BM$1001,MATCH(ROWS($AF$2:AF443),$AF$2:$AF$1001,0),MATCH(COLUMNS($AM$1006:BE1006),$AM$1006:$BM$1006,0)), HYPERLINK("#",""), HYPERLINK(CONCATENATE("#metadata!", ADDRESS(INDEX($AH$2:$AH$1001,MATCH(ROWS($AF$2:AF443),$AF$2:$AF$1001,0),0), INDEX($AM$1004:$BM$1004,1,MATCH(COLUMNS($AM$1006:BE1006),$AM$1006:$BM$1006,0)))),"Fix")))</f>
        <v xml:space="preserve"> </v>
      </c>
      <c r="U443" s="4" t="str">
        <f ca="1">IF(OR(INDEX($AG$2:$AG$1001,MATCH(ROWS($AF$2:AF443),$AF$2:$AF$1001,0),1)&gt;=100000,INDEX($AM$1005:$BM$1005,1,MATCH(COLUMNS($AM$1006:BF1006),$AM$1006:$BM$1006,0))&gt;=100000), " ",IF(INDEX($AM$2:$BM$1001,MATCH(ROWS($AF$2:AF443),$AF$2:$AF$1001,0),MATCH(COLUMNS($AM$1006:BF1006),$AM$1006:$BM$1006,0)), HYPERLINK("#",""), HYPERLINK(CONCATENATE("#metadata!", ADDRESS(INDEX($AH$2:$AH$1001,MATCH(ROWS($AF$2:AF443),$AF$2:$AF$1001,0),0), INDEX($AM$1004:$BM$1004,1,MATCH(COLUMNS($AM$1006:BF1006),$AM$1006:$BM$1006,0)))),"Fix")))</f>
        <v xml:space="preserve"> </v>
      </c>
      <c r="V443" s="4" t="str">
        <f ca="1">IF(OR(INDEX($AG$2:$AG$1001,MATCH(ROWS($AF$2:AF443),$AF$2:$AF$1001,0),1)&gt;=100000,INDEX($AM$1005:$BM$1005,1,MATCH(COLUMNS($AM$1006:BG1006),$AM$1006:$BM$1006,0))&gt;=100000), " ",IF(INDEX($AM$2:$BM$1001,MATCH(ROWS($AF$2:AF443),$AF$2:$AF$1001,0),MATCH(COLUMNS($AM$1006:BG1006),$AM$1006:$BM$1006,0)), HYPERLINK("#",""), HYPERLINK(CONCATENATE("#metadata!", ADDRESS(INDEX($AH$2:$AH$1001,MATCH(ROWS($AF$2:AF443),$AF$2:$AF$1001,0),0), INDEX($AM$1004:$BM$1004,1,MATCH(COLUMNS($AM$1006:BG1006),$AM$1006:$BM$1006,0)))),"Fix")))</f>
        <v xml:space="preserve"> </v>
      </c>
      <c r="W443" s="4" t="str">
        <f ca="1">IF(OR(INDEX($AG$2:$AG$1001,MATCH(ROWS($AF$2:AF443),$AF$2:$AF$1001,0),1)&gt;=100000,INDEX($AM$1005:$BM$1005,1,MATCH(COLUMNS($AM$1006:BH1006),$AM$1006:$BM$1006,0))&gt;=100000), " ",IF(INDEX($AM$2:$BM$1001,MATCH(ROWS($AF$2:AF443),$AF$2:$AF$1001,0),MATCH(COLUMNS($AM$1006:BH1006),$AM$1006:$BM$1006,0)), HYPERLINK("#",""), HYPERLINK(CONCATENATE("#metadata!", ADDRESS(INDEX($AH$2:$AH$1001,MATCH(ROWS($AF$2:AF443),$AF$2:$AF$1001,0),0), INDEX($AM$1004:$BM$1004,1,MATCH(COLUMNS($AM$1006:BH1006),$AM$1006:$BM$1006,0)))),"Fix")))</f>
        <v xml:space="preserve"> </v>
      </c>
      <c r="X443" s="4" t="str">
        <f ca="1">IF(OR(INDEX($AG$2:$AG$1001,MATCH(ROWS($AF$2:AF443),$AF$2:$AF$1001,0),1)&gt;=100000,INDEX($AM$1005:$BM$1005,1,MATCH(COLUMNS($AM$1006:BI1006),$AM$1006:$BM$1006,0))&gt;=100000), " ",IF(INDEX($AM$2:$BM$1001,MATCH(ROWS($AF$2:AF443),$AF$2:$AF$1001,0),MATCH(COLUMNS($AM$1006:BI1006),$AM$1006:$BM$1006,0)), HYPERLINK("#",""), HYPERLINK(CONCATENATE("#metadata!", ADDRESS(INDEX($AH$2:$AH$1001,MATCH(ROWS($AF$2:AF443),$AF$2:$AF$1001,0),0), INDEX($AM$1004:$BM$1004,1,MATCH(COLUMNS($AM$1006:BI1006),$AM$1006:$BM$1006,0)))),"Fix")))</f>
        <v xml:space="preserve"> </v>
      </c>
      <c r="Y443" s="4" t="str">
        <f ca="1">IF(OR(INDEX($AG$2:$AG$1001,MATCH(ROWS($AF$2:AF443),$AF$2:$AF$1001,0),1)&gt;=100000,INDEX($AM$1005:$BM$1005,1,MATCH(COLUMNS($AM$1006:BJ1006),$AM$1006:$BM$1006,0))&gt;=100000), " ",IF(INDEX($AM$2:$BM$1001,MATCH(ROWS($AF$2:AF443),$AF$2:$AF$1001,0),MATCH(COLUMNS($AM$1006:BJ1006),$AM$1006:$BM$1006,0)), HYPERLINK("#",""), HYPERLINK(CONCATENATE("#metadata!", ADDRESS(INDEX($AH$2:$AH$1001,MATCH(ROWS($AF$2:AF443),$AF$2:$AF$1001,0),0), INDEX($AM$1004:$BM$1004,1,MATCH(COLUMNS($AM$1006:BJ1006),$AM$1006:$BM$1006,0)))),"Fix")))</f>
        <v xml:space="preserve"> </v>
      </c>
      <c r="Z443" s="4" t="str">
        <f ca="1">IF(OR(INDEX($AG$2:$AG$1001,MATCH(ROWS($AF$2:AF443),$AF$2:$AF$1001,0),1)&gt;=100000,INDEX($AM$1005:$BM$1005,1,MATCH(COLUMNS($AM$1006:BK1006),$AM$1006:$BM$1006,0))&gt;=100000), " ",IF(INDEX($AM$2:$BM$1001,MATCH(ROWS($AF$2:AF443),$AF$2:$AF$1001,0),MATCH(COLUMNS($AM$1006:BK1006),$AM$1006:$BM$1006,0)), HYPERLINK("#",""), HYPERLINK(CONCATENATE("#metadata!", ADDRESS(INDEX($AH$2:$AH$1001,MATCH(ROWS($AF$2:AF443),$AF$2:$AF$1001,0),0), INDEX($AM$1004:$BM$1004,1,MATCH(COLUMNS($AM$1006:BK1006),$AM$1006:$BM$1006,0)))),"Fix")))</f>
        <v xml:space="preserve"> </v>
      </c>
      <c r="AA443" s="4" t="str">
        <f ca="1">IF(OR(INDEX($AG$2:$AG$1001,MATCH(ROWS($AF$2:AF443),$AF$2:$AF$1001,0),1)&gt;=100000,INDEX($AM$1005:$BM$1005,1,MATCH(COLUMNS($AM$1006:BL1006),$AM$1006:$BM$1006,0))&gt;=100000), " ",IF(INDEX($AM$2:$BM$1001,MATCH(ROWS($AF$2:AF443),$AF$2:$AF$1001,0),MATCH(COLUMNS($AM$1006:BL1006),$AM$1006:$BM$1006,0)), HYPERLINK("#",""), HYPERLINK(CONCATENATE("#metadata!", ADDRESS(INDEX($AH$2:$AH$1001,MATCH(ROWS($AF$2:AF443),$AF$2:$AF$1001,0),0), INDEX($AM$1004:$BM$1004,1,MATCH(COLUMNS($AM$1006:BL1006),$AM$1006:$BM$1006,0)))),"Fix")))</f>
        <v xml:space="preserve"> </v>
      </c>
      <c r="AB443" s="4" t="str">
        <f ca="1">IF(OR(INDEX($AG$2:$AG$1001,MATCH(ROWS($AF$2:AF443),$AF$2:$AF$1001,0),1)&gt;=100000,INDEX($AM$1005:$BM$1005,1,MATCH(COLUMNS($AM$1006:BM1006),$AM$1006:$BM$1006,0))&gt;=100000), " ",IF(INDEX($AM$2:$BM$1001,MATCH(ROWS($AF$2:AF443),$AF$2:$AF$1001,0),MATCH(COLUMNS($AM$1006:BM1006),$AM$1006:$BM$1006,0)), HYPERLINK("#",""), HYPERLINK(CONCATENATE("#metadata!", ADDRESS(INDEX($AH$2:$AH$1001,MATCH(ROWS($AF$2:AF443),$AF$2:$AF$1001,0),0), INDEX($AM$1004:$BM$1004,1,MATCH(COLUMNS($AM$1006:BM1006),$AM$1006:$BM$1006,0)))),"Fix")))</f>
        <v xml:space="preserve"> </v>
      </c>
      <c r="AF443">
        <v>442</v>
      </c>
      <c r="AG443">
        <v>100443</v>
      </c>
      <c r="AH443">
        <v>443</v>
      </c>
      <c r="AI443" t="b">
        <f t="shared" si="6"/>
        <v>1</v>
      </c>
      <c r="AJ443" t="b">
        <f>COUNTBLANK(metadata!B443:AB443)=COLUMNS(metadata!B443:AB443)</f>
        <v>1</v>
      </c>
      <c r="AK443" t="str">
        <v/>
      </c>
      <c r="AM443" t="b">
        <f ca="1">AND(IF(metadata!B443="",FALSE,TRUE),COUNTIF(metadata!B:B, metadata!B443) = 1,NOT(ISERROR(SUMPRODUCT(SEARCH(MID(metadata!B443,ROW(INDIRECT("1:"&amp;LEN(metadata!B443))), 1),"0123456789abcdefghijklmnopqrstuvwxyzABCDEFGHIJKLMNOPQRSTUVWXYZ.")))))</f>
        <v>0</v>
      </c>
      <c r="AN443" t="b">
        <f ca="1">OR(AND(IF(metadata!C443="",FALSE,TRUE),OR(EXACT(metadata!C443,"missing: not collected"),EXACT(metadata!C443,"missing: not provided"),EXACT(metadata!C443,"missing: restricted access"))),AND(IF(metadata!C443="",FALSE,TRUE),AND(AND(IFERROR(INT(LEFT(metadata!C443,4))&gt;1900,FALSE),IFERROR(INT(LEFT(metadata!C443,4))&lt;=YEAR(NOW()),FALSE)), OR(MID(metadata!C443,5,1)="", AND(AND(MID(metadata!C443,5,1)="-",IFERROR(INT(MID(metadata!C443,6,1))&gt;=0,FALSE),IFERROR(INT(MID(metadata!C443,6,1))&lt;=1,FALSE),NOT(MID(metadata!C443,7,1)=""),IFERROR(INT(MID(metadata!C443,6,2))&gt;=1,FALSE),IFERROR(INT(MID(metadata!C443,6,2))&lt;=12,FALSE)), OR(MID(metadata!C443,8,1)="", AND(AND(MID(metadata!C443,8,1)="-",IFERROR(INT(MID(metadata!C443,9,1))&gt;=0,FALSE),IFERROR(INT(MID(metadata!C443,9,1))&lt;=3,FALSE),NOT(MID(metadata!C443,10,1)=""),IFERROR(INT(MID(metadata!C443,9,2))&gt;=1,FALSE),IFERROR(INT(MID(metadata!C443,9,2))&lt;=31,FALSE)), OR(MID(metadata!C443,11,1)="", AND(AND(MID(metadata!C443,11,1)=" ",IFERROR(INT(MID(metadata!C443,12,1))&gt;=0,FALSE),IFERROR(INT(MID(metadata!C443,12,1))&lt;=2,FALSE),NOT(MID(metadata!C443,13,1)=""),IFERROR(INT(MID(metadata!C443,12,2))&gt;=0,FALSE),IFERROR(INT(MID(metadata!C443,12,2))&lt;=23,FALSE)), OR(MID(metadata!C443,14,1)="", AND(AND(MID(metadata!C443,14,1)=":",IFERROR(INT(MID(metadata!C443,15,1))&gt;=0,FALSE),IFERROR(INT(MID(metadata!C443,15,1))&lt;=5,FALSE),NOT(MID(metadata!C443,16,1)=""),IFERROR(INT(MID(metadata!C443,15,2))&gt;=0,FALSE),IFERROR(INT(MID(metadata!C443,15,2))&lt;=59,FALSE)), OR(MID(metadata!C443,17,1)="", AND(AND(MID(metadata!C443,17,1)=":",IFERROR(INT(MID(metadata!C443,18,1))&gt;=0,FALSE),IFERROR(INT(MID(metadata!C443,18,1))&lt;=5,FALSE),NOT(MID(metadata!C443,19,1)=""),IFERROR(INT(MID(metadata!C443,18,2))&gt;=0,FALSE),IFERROR(INT(MID(metadata!C443,18,2))&lt;=59,FALSE)), LEN(metadata!C443)&lt;=19)))))))))))))</f>
        <v>0</v>
      </c>
      <c r="AO443" t="b">
        <f>AND(IF(metadata!D443="",FALSE,TRUE),EXACT(metadata!D443,"Not applicable"))</f>
        <v>0</v>
      </c>
      <c r="AP443" t="b">
        <f>IF(metadata!E443="",FALSE,TRUE)</f>
        <v>0</v>
      </c>
      <c r="AQ443" t="b">
        <f>OR(AND(IF(metadata!F443="",FALSE,TRUE),OR(EXACT(metadata!F443,"missing: not collected"),EXACT(metadata!F443,"missing: not provided"))),AND(IF(metadata!F443="",FALSE,TRUE),OR(EXACT(metadata!F443,"TRUE"),EXACT(metadata!F443,"FALSE"))))</f>
        <v>0</v>
      </c>
      <c r="AR443" t="b">
        <f>OR(AND(IF(metadata!G443="",FALSE,TRUE),OR(EXACT(metadata!G443,"missing: not collected"),EXACT(metadata!G443,"missing: not provided"),EXACT(metadata!G443,"missing: restricted access"))),AND(IF(metadata!G443="",FALSE,ISNUMBER(VALUE(metadata!G443))),metadata!G443&gt;=-413))</f>
        <v>0</v>
      </c>
      <c r="AS443" t="b">
        <f>AND(IF(metadata!H443="",FALSE,TRUE),EXACT(metadata!H443,"meters"))</f>
        <v>0</v>
      </c>
      <c r="AT443" t="b">
        <f>AND(IF(metadata!I443="",FALSE,TRUE),OR(EXACT(metadata!I443,"Host-associated"),EXACT(metadata!I443,"Free-living")))</f>
        <v>0</v>
      </c>
      <c r="AU443" t="b">
        <f>AND(IF(metadata!J443="",FALSE,TRUE),OR(EXACT(metadata!J443,"Animal"),EXACT(metadata!J443,"Fungus"),EXACT(metadata!J443,"Plant"),EXACT(metadata!J443,"Saline"),EXACT(metadata!J443,"Non-saline")))</f>
        <v>0</v>
      </c>
      <c r="AV443" t="b">
        <f>AND(IF(metadata!K443="",FALSE,TRUE),OR(EXACT(metadata!K443,"Plant secretion"),EXACT(metadata!K443,"Plant rhizosphere"),EXACT(metadata!K443,"Plant surface"),EXACT(metadata!K443,"Plant corpus"),EXACT(metadata!K443,"Fungus surface"),EXACT(metadata!K443,"Fungus corpus"),EXACT(metadata!K443,"Animal surface"),EXACT(metadata!K443,"Animal proximal gut"),EXACT(metadata!K443,"Animal corpus"),EXACT(metadata!K443,"Animal distal gut"),EXACT(metadata!K443,"Animal secretion"),EXACT(metadata!K443,"Sub-surface (non-saline)"),EXACT(metadata!K443,"Surface (non-saline)"),EXACT(metadata!K443,"Water (non-saline)"),EXACT(metadata!K443,"Soil (non-saline)"),EXACT(metadata!K443,"Aerosol (non-saline)"),EXACT(metadata!K443,"Sediment (non-saline)"),EXACT(metadata!K443,"Surface (saline)"),EXACT(metadata!K443,"Water (saline)"),EXACT(metadata!K443,"Hypersaline (saline)"),EXACT(metadata!K443,"Aerosol (saline)"),EXACT(metadata!K443,"Sediment (saline)")))</f>
        <v>0</v>
      </c>
      <c r="AW443" t="b">
        <f>IF(metadata!L443="",FALSE,TRUE)</f>
        <v>0</v>
      </c>
      <c r="AX443" t="b">
        <f>IF(metadata!M443="",FALSE,TRUE)</f>
        <v>0</v>
      </c>
      <c r="AY443" t="b">
        <f>IF(metadata!N443="",FALSE,TRUE)</f>
        <v>0</v>
      </c>
      <c r="AZ443" t="b">
        <f>OR(AND(IF(metadata!O443="",FALSE,TRUE),OR(EXACT(metadata!O443,"missing: not collected"),EXACT(metadata!O443,"missing: not provided"),EXACT(metadata!O443,"missing: restricted access"))),AND(IF(metadata!O443="",FALSE,TRUE),OR(EXACT(metadata!O443,"air"),EXACT(metadata!O443,"built environment"),EXACT(metadata!O443,"host-associated"),EXACT(metadata!O443,"human-associated"),EXACT(metadata!O443,"human-skin"),EXACT(metadata!O443,"human-oral"),EXACT(metadata!O443,"human-gut"),EXACT(metadata!O443,"human-vaginal"),EXACT(metadata!O443,"microbial mat/biofilm"),EXACT(metadata!O443,"misc environment"),EXACT(metadata!O443,"plant-associated"),EXACT(metadata!O443,"sediment"),EXACT(metadata!O443,"soil"),EXACT(metadata!O443,"wastewater/sludge"),EXACT(metadata!O443,"water"))))</f>
        <v>0</v>
      </c>
      <c r="BA443" t="b">
        <f>IF(metadata!P443="",FALSE,TRUE)</f>
        <v>0</v>
      </c>
      <c r="BB443" t="b">
        <f>IF(metadata!Q443="",FALSE,TRUE)</f>
        <v>0</v>
      </c>
      <c r="BC443" t="b">
        <f>OR(AND(IF(metadata!R443="",FALSE,TRUE),OR(EXACT(metadata!R443,"missing: not collected"),EXACT(metadata!R443,"missing: not provided"),EXACT(metadata!R443,"missing: restricted access"))),AND(IF(metadata!R443="",FALSE,ISNUMBER(VALUE(metadata!R443))),metadata!R443&gt;=-90,metadata!R443&lt;=90))</f>
        <v>0</v>
      </c>
      <c r="BD443" t="b">
        <f>AND(IF(metadata!S443="",FALSE,TRUE),EXACT(metadata!S443,"Decimal degrees"))</f>
        <v>0</v>
      </c>
      <c r="BE443" t="b">
        <f>OR(AND(IF(metadata!T443="",FALSE,TRUE),OR(EXACT(metadata!T443,"missing: not collected"),EXACT(metadata!T443,"missing: not provided"),EXACT(metadata!T443,"missing: restricted access"))),AND(IF(metadata!T443="",FALSE,ISNUMBER(VALUE(metadata!T443))),metadata!T443&gt;=-180,metadata!T443&lt;=180))</f>
        <v>0</v>
      </c>
      <c r="BF443" t="b">
        <f>AND(IF(metadata!U443="",FALSE,TRUE),EXACT(metadata!U443,"Decimal degrees"))</f>
        <v>0</v>
      </c>
      <c r="BG443" t="b">
        <f>IF(metadata!V443="",FALSE,TRUE)</f>
        <v>0</v>
      </c>
      <c r="BH443" t="b">
        <f>OR(AND(IF(metadata!W443="",FALSE,TRUE),OR(EXACT(metadata!W443,"missing: not collected"),EXACT(metadata!W443,"missing: not provided"),EXACT(metadata!W443,"missing: restricted access"))),AND(IF(metadata!W443="",FALSE,TRUE),OR(EXACT(metadata!W443,"TRUE"),EXACT(metadata!W443,"FALSE"))))</f>
        <v>0</v>
      </c>
      <c r="BI443" t="b">
        <f>AND(IF(metadata!X443="",FALSE,TRUE),EXACT(metadata!X443,"other"))</f>
        <v>0</v>
      </c>
      <c r="BJ443" t="b">
        <f>IF(metadata!Y443="",FALSE,TRUE)</f>
        <v>0</v>
      </c>
      <c r="BK443" t="b">
        <f>OR(AND(IF(metadata!Z443="",FALSE,TRUE),OR(EXACT(metadata!Z443,"missing: not collected"),EXACT(metadata!Z443,"missing: not provided"))),AND(IF(metadata!Z443="",FALSE,IF(ISERROR(INT(metadata!Z443)),FALSE,INT(metadata!Z443)=metadata!Z443)),metadata!Z443&gt;0))</f>
        <v>0</v>
      </c>
      <c r="BL443" t="b">
        <f>AND(IF(metadata!AA443="",FALSE,TRUE),EXACT(metadata!AA443,"Not applicable"))</f>
        <v>0</v>
      </c>
      <c r="BM443" t="b">
        <f>IF(metadata!AB443="",FALSE,TRUE)</f>
        <v>0</v>
      </c>
    </row>
    <row r="444" spans="1:65" x14ac:dyDescent="0.2">
      <c r="A444" s="5" t="str">
        <f ca="1">IF(B444=" "," ",HYPERLINK(CONCATENATE("#metadata!",ADDRESS(INDEX($AH$2:$AH$1001,MATCH(ROWS($AF$2:AF444),$AF$2:$AF$1001,0),0),1)),INDEX($AK$2:$AK$1001,MATCH(ROWS($AF$2:AF444),$AF$2:$AF$1001,0),0)))</f>
        <v xml:space="preserve"> </v>
      </c>
      <c r="B444" s="4" t="str">
        <f ca="1">IF(OR(INDEX($AG$2:$AG$1001,MATCH(ROWS($AF$2:AF444),$AF$2:$AF$1001,0),1)&gt;=100000,INDEX($AM$1005:$BM$1005,1,MATCH(COLUMNS($AM$1006:AM1006),$AM$1006:$BM$1006,0))&gt;=100000), " ",IF(INDEX($AM$2:$BM$1001,MATCH(ROWS($AF$2:AF444),$AF$2:$AF$1001,0),MATCH(COLUMNS($AM$1006:AM1006),$AM$1006:$BM$1006,0)), HYPERLINK("#",""), HYPERLINK(CONCATENATE("#metadata!", ADDRESS(INDEX($AH$2:$AH$1001,MATCH(ROWS($AF$2:AF444),$AF$2:$AF$1001,0),0), INDEX($AM$1004:$BM$1004,1,MATCH(COLUMNS($AM$1006:AM1006),$AM$1006:$BM$1006,0)))),"Fix")))</f>
        <v xml:space="preserve"> </v>
      </c>
      <c r="C444" s="4" t="str">
        <f ca="1">IF(OR(INDEX($AG$2:$AG$1001,MATCH(ROWS($AF$2:AF444),$AF$2:$AF$1001,0),1)&gt;=100000,INDEX($AM$1005:$BM$1005,1,MATCH(COLUMNS($AM$1006:AN1006),$AM$1006:$BM$1006,0))&gt;=100000), " ",IF(INDEX($AM$2:$BM$1001,MATCH(ROWS($AF$2:AF444),$AF$2:$AF$1001,0),MATCH(COLUMNS($AM$1006:AN1006),$AM$1006:$BM$1006,0)), HYPERLINK("#",""), HYPERLINK(CONCATENATE("#metadata!", ADDRESS(INDEX($AH$2:$AH$1001,MATCH(ROWS($AF$2:AF444),$AF$2:$AF$1001,0),0), INDEX($AM$1004:$BM$1004,1,MATCH(COLUMNS($AM$1006:AN1006),$AM$1006:$BM$1006,0)))),"Fix")))</f>
        <v xml:space="preserve"> </v>
      </c>
      <c r="D444" s="4" t="str">
        <f ca="1">IF(OR(INDEX($AG$2:$AG$1001,MATCH(ROWS($AF$2:AF444),$AF$2:$AF$1001,0),1)&gt;=100000,INDEX($AM$1005:$BM$1005,1,MATCH(COLUMNS($AM$1006:AO1006),$AM$1006:$BM$1006,0))&gt;=100000), " ",IF(INDEX($AM$2:$BM$1001,MATCH(ROWS($AF$2:AF444),$AF$2:$AF$1001,0),MATCH(COLUMNS($AM$1006:AO1006),$AM$1006:$BM$1006,0)), HYPERLINK("#",""), HYPERLINK(CONCATENATE("#metadata!", ADDRESS(INDEX($AH$2:$AH$1001,MATCH(ROWS($AF$2:AF444),$AF$2:$AF$1001,0),0), INDEX($AM$1004:$BM$1004,1,MATCH(COLUMNS($AM$1006:AO1006),$AM$1006:$BM$1006,0)))),"Fix")))</f>
        <v xml:space="preserve"> </v>
      </c>
      <c r="E444" s="4" t="str">
        <f ca="1">IF(OR(INDEX($AG$2:$AG$1001,MATCH(ROWS($AF$2:AF444),$AF$2:$AF$1001,0),1)&gt;=100000,INDEX($AM$1005:$BM$1005,1,MATCH(COLUMNS($AM$1006:AP1006),$AM$1006:$BM$1006,0))&gt;=100000), " ",IF(INDEX($AM$2:$BM$1001,MATCH(ROWS($AF$2:AF444),$AF$2:$AF$1001,0),MATCH(COLUMNS($AM$1006:AP1006),$AM$1006:$BM$1006,0)), HYPERLINK("#",""), HYPERLINK(CONCATENATE("#metadata!", ADDRESS(INDEX($AH$2:$AH$1001,MATCH(ROWS($AF$2:AF444),$AF$2:$AF$1001,0),0), INDEX($AM$1004:$BM$1004,1,MATCH(COLUMNS($AM$1006:AP1006),$AM$1006:$BM$1006,0)))),"Fix")))</f>
        <v xml:space="preserve"> </v>
      </c>
      <c r="F444" s="4" t="str">
        <f ca="1">IF(OR(INDEX($AG$2:$AG$1001,MATCH(ROWS($AF$2:AF444),$AF$2:$AF$1001,0),1)&gt;=100000,INDEX($AM$1005:$BM$1005,1,MATCH(COLUMNS($AM$1006:AQ1006),$AM$1006:$BM$1006,0))&gt;=100000), " ",IF(INDEX($AM$2:$BM$1001,MATCH(ROWS($AF$2:AF444),$AF$2:$AF$1001,0),MATCH(COLUMNS($AM$1006:AQ1006),$AM$1006:$BM$1006,0)), HYPERLINK("#",""), HYPERLINK(CONCATENATE("#metadata!", ADDRESS(INDEX($AH$2:$AH$1001,MATCH(ROWS($AF$2:AF444),$AF$2:$AF$1001,0),0), INDEX($AM$1004:$BM$1004,1,MATCH(COLUMNS($AM$1006:AQ1006),$AM$1006:$BM$1006,0)))),"Fix")))</f>
        <v xml:space="preserve"> </v>
      </c>
      <c r="G444" s="4" t="str">
        <f ca="1">IF(OR(INDEX($AG$2:$AG$1001,MATCH(ROWS($AF$2:AF444),$AF$2:$AF$1001,0),1)&gt;=100000,INDEX($AM$1005:$BM$1005,1,MATCH(COLUMNS($AM$1006:AR1006),$AM$1006:$BM$1006,0))&gt;=100000), " ",IF(INDEX($AM$2:$BM$1001,MATCH(ROWS($AF$2:AF444),$AF$2:$AF$1001,0),MATCH(COLUMNS($AM$1006:AR1006),$AM$1006:$BM$1006,0)), HYPERLINK("#",""), HYPERLINK(CONCATENATE("#metadata!", ADDRESS(INDEX($AH$2:$AH$1001,MATCH(ROWS($AF$2:AF444),$AF$2:$AF$1001,0),0), INDEX($AM$1004:$BM$1004,1,MATCH(COLUMNS($AM$1006:AR1006),$AM$1006:$BM$1006,0)))),"Fix")))</f>
        <v xml:space="preserve"> </v>
      </c>
      <c r="H444" s="4" t="str">
        <f ca="1">IF(OR(INDEX($AG$2:$AG$1001,MATCH(ROWS($AF$2:AF444),$AF$2:$AF$1001,0),1)&gt;=100000,INDEX($AM$1005:$BM$1005,1,MATCH(COLUMNS($AM$1006:AS1006),$AM$1006:$BM$1006,0))&gt;=100000), " ",IF(INDEX($AM$2:$BM$1001,MATCH(ROWS($AF$2:AF444),$AF$2:$AF$1001,0),MATCH(COLUMNS($AM$1006:AS1006),$AM$1006:$BM$1006,0)), HYPERLINK("#",""), HYPERLINK(CONCATENATE("#metadata!", ADDRESS(INDEX($AH$2:$AH$1001,MATCH(ROWS($AF$2:AF444),$AF$2:$AF$1001,0),0), INDEX($AM$1004:$BM$1004,1,MATCH(COLUMNS($AM$1006:AS1006),$AM$1006:$BM$1006,0)))),"Fix")))</f>
        <v xml:space="preserve"> </v>
      </c>
      <c r="I444" s="4" t="str">
        <f ca="1">IF(OR(INDEX($AG$2:$AG$1001,MATCH(ROWS($AF$2:AF444),$AF$2:$AF$1001,0),1)&gt;=100000,INDEX($AM$1005:$BM$1005,1,MATCH(COLUMNS($AM$1006:AT1006),$AM$1006:$BM$1006,0))&gt;=100000), " ",IF(INDEX($AM$2:$BM$1001,MATCH(ROWS($AF$2:AF444),$AF$2:$AF$1001,0),MATCH(COLUMNS($AM$1006:AT1006),$AM$1006:$BM$1006,0)), HYPERLINK("#",""), HYPERLINK(CONCATENATE("#metadata!", ADDRESS(INDEX($AH$2:$AH$1001,MATCH(ROWS($AF$2:AF444),$AF$2:$AF$1001,0),0), INDEX($AM$1004:$BM$1004,1,MATCH(COLUMNS($AM$1006:AT1006),$AM$1006:$BM$1006,0)))),"Fix")))</f>
        <v xml:space="preserve"> </v>
      </c>
      <c r="J444" s="4" t="str">
        <f ca="1">IF(OR(INDEX($AG$2:$AG$1001,MATCH(ROWS($AF$2:AF444),$AF$2:$AF$1001,0),1)&gt;=100000,INDEX($AM$1005:$BM$1005,1,MATCH(COLUMNS($AM$1006:AU1006),$AM$1006:$BM$1006,0))&gt;=100000), " ",IF(INDEX($AM$2:$BM$1001,MATCH(ROWS($AF$2:AF444),$AF$2:$AF$1001,0),MATCH(COLUMNS($AM$1006:AU1006),$AM$1006:$BM$1006,0)), HYPERLINK("#",""), HYPERLINK(CONCATENATE("#metadata!", ADDRESS(INDEX($AH$2:$AH$1001,MATCH(ROWS($AF$2:AF444),$AF$2:$AF$1001,0),0), INDEX($AM$1004:$BM$1004,1,MATCH(COLUMNS($AM$1006:AU1006),$AM$1006:$BM$1006,0)))),"Fix")))</f>
        <v xml:space="preserve"> </v>
      </c>
      <c r="K444" s="4" t="str">
        <f ca="1">IF(OR(INDEX($AG$2:$AG$1001,MATCH(ROWS($AF$2:AF444),$AF$2:$AF$1001,0),1)&gt;=100000,INDEX($AM$1005:$BM$1005,1,MATCH(COLUMNS($AM$1006:AV1006),$AM$1006:$BM$1006,0))&gt;=100000), " ",IF(INDEX($AM$2:$BM$1001,MATCH(ROWS($AF$2:AF444),$AF$2:$AF$1001,0),MATCH(COLUMNS($AM$1006:AV1006),$AM$1006:$BM$1006,0)), HYPERLINK("#",""), HYPERLINK(CONCATENATE("#metadata!", ADDRESS(INDEX($AH$2:$AH$1001,MATCH(ROWS($AF$2:AF444),$AF$2:$AF$1001,0),0), INDEX($AM$1004:$BM$1004,1,MATCH(COLUMNS($AM$1006:AV1006),$AM$1006:$BM$1006,0)))),"Fix")))</f>
        <v xml:space="preserve"> </v>
      </c>
      <c r="L444" s="4" t="str">
        <f ca="1">IF(OR(INDEX($AG$2:$AG$1001,MATCH(ROWS($AF$2:AF444),$AF$2:$AF$1001,0),1)&gt;=100000,INDEX($AM$1005:$BM$1005,1,MATCH(COLUMNS($AM$1006:AW1006),$AM$1006:$BM$1006,0))&gt;=100000), " ",IF(INDEX($AM$2:$BM$1001,MATCH(ROWS($AF$2:AF444),$AF$2:$AF$1001,0),MATCH(COLUMNS($AM$1006:AW1006),$AM$1006:$BM$1006,0)), HYPERLINK("#",""), HYPERLINK(CONCATENATE("#metadata!", ADDRESS(INDEX($AH$2:$AH$1001,MATCH(ROWS($AF$2:AF444),$AF$2:$AF$1001,0),0), INDEX($AM$1004:$BM$1004,1,MATCH(COLUMNS($AM$1006:AW1006),$AM$1006:$BM$1006,0)))),"Fix")))</f>
        <v xml:space="preserve"> </v>
      </c>
      <c r="M444" s="4" t="str">
        <f ca="1">IF(OR(INDEX($AG$2:$AG$1001,MATCH(ROWS($AF$2:AF444),$AF$2:$AF$1001,0),1)&gt;=100000,INDEX($AM$1005:$BM$1005,1,MATCH(COLUMNS($AM$1006:AX1006),$AM$1006:$BM$1006,0))&gt;=100000), " ",IF(INDEX($AM$2:$BM$1001,MATCH(ROWS($AF$2:AF444),$AF$2:$AF$1001,0),MATCH(COLUMNS($AM$1006:AX1006),$AM$1006:$BM$1006,0)), HYPERLINK("#",""), HYPERLINK(CONCATENATE("#metadata!", ADDRESS(INDEX($AH$2:$AH$1001,MATCH(ROWS($AF$2:AF444),$AF$2:$AF$1001,0),0), INDEX($AM$1004:$BM$1004,1,MATCH(COLUMNS($AM$1006:AX1006),$AM$1006:$BM$1006,0)))),"Fix")))</f>
        <v xml:space="preserve"> </v>
      </c>
      <c r="N444" s="4" t="str">
        <f ca="1">IF(OR(INDEX($AG$2:$AG$1001,MATCH(ROWS($AF$2:AF444),$AF$2:$AF$1001,0),1)&gt;=100000,INDEX($AM$1005:$BM$1005,1,MATCH(COLUMNS($AM$1006:AY1006),$AM$1006:$BM$1006,0))&gt;=100000), " ",IF(INDEX($AM$2:$BM$1001,MATCH(ROWS($AF$2:AF444),$AF$2:$AF$1001,0),MATCH(COLUMNS($AM$1006:AY1006),$AM$1006:$BM$1006,0)), HYPERLINK("#",""), HYPERLINK(CONCATENATE("#metadata!", ADDRESS(INDEX($AH$2:$AH$1001,MATCH(ROWS($AF$2:AF444),$AF$2:$AF$1001,0),0), INDEX($AM$1004:$BM$1004,1,MATCH(COLUMNS($AM$1006:AY1006),$AM$1006:$BM$1006,0)))),"Fix")))</f>
        <v xml:space="preserve"> </v>
      </c>
      <c r="O444" s="4" t="str">
        <f ca="1">IF(OR(INDEX($AG$2:$AG$1001,MATCH(ROWS($AF$2:AF444),$AF$2:$AF$1001,0),1)&gt;=100000,INDEX($AM$1005:$BM$1005,1,MATCH(COLUMNS($AM$1006:AZ1006),$AM$1006:$BM$1006,0))&gt;=100000), " ",IF(INDEX($AM$2:$BM$1001,MATCH(ROWS($AF$2:AF444),$AF$2:$AF$1001,0),MATCH(COLUMNS($AM$1006:AZ1006),$AM$1006:$BM$1006,0)), HYPERLINK("#",""), HYPERLINK(CONCATENATE("#metadata!", ADDRESS(INDEX($AH$2:$AH$1001,MATCH(ROWS($AF$2:AF444),$AF$2:$AF$1001,0),0), INDEX($AM$1004:$BM$1004,1,MATCH(COLUMNS($AM$1006:AZ1006),$AM$1006:$BM$1006,0)))),"Fix")))</f>
        <v xml:space="preserve"> </v>
      </c>
      <c r="P444" s="4" t="str">
        <f ca="1">IF(OR(INDEX($AG$2:$AG$1001,MATCH(ROWS($AF$2:AF444),$AF$2:$AF$1001,0),1)&gt;=100000,INDEX($AM$1005:$BM$1005,1,MATCH(COLUMNS($AM$1006:BA1006),$AM$1006:$BM$1006,0))&gt;=100000), " ",IF(INDEX($AM$2:$BM$1001,MATCH(ROWS($AF$2:AF444),$AF$2:$AF$1001,0),MATCH(COLUMNS($AM$1006:BA1006),$AM$1006:$BM$1006,0)), HYPERLINK("#",""), HYPERLINK(CONCATENATE("#metadata!", ADDRESS(INDEX($AH$2:$AH$1001,MATCH(ROWS($AF$2:AF444),$AF$2:$AF$1001,0),0), INDEX($AM$1004:$BM$1004,1,MATCH(COLUMNS($AM$1006:BA1006),$AM$1006:$BM$1006,0)))),"Fix")))</f>
        <v xml:space="preserve"> </v>
      </c>
      <c r="Q444" s="4" t="str">
        <f ca="1">IF(OR(INDEX($AG$2:$AG$1001,MATCH(ROWS($AF$2:AF444),$AF$2:$AF$1001,0),1)&gt;=100000,INDEX($AM$1005:$BM$1005,1,MATCH(COLUMNS($AM$1006:BB1006),$AM$1006:$BM$1006,0))&gt;=100000), " ",IF(INDEX($AM$2:$BM$1001,MATCH(ROWS($AF$2:AF444),$AF$2:$AF$1001,0),MATCH(COLUMNS($AM$1006:BB1006),$AM$1006:$BM$1006,0)), HYPERLINK("#",""), HYPERLINK(CONCATENATE("#metadata!", ADDRESS(INDEX($AH$2:$AH$1001,MATCH(ROWS($AF$2:AF444),$AF$2:$AF$1001,0),0), INDEX($AM$1004:$BM$1004,1,MATCH(COLUMNS($AM$1006:BB1006),$AM$1006:$BM$1006,0)))),"Fix")))</f>
        <v xml:space="preserve"> </v>
      </c>
      <c r="R444" s="4" t="str">
        <f ca="1">IF(OR(INDEX($AG$2:$AG$1001,MATCH(ROWS($AF$2:AF444),$AF$2:$AF$1001,0),1)&gt;=100000,INDEX($AM$1005:$BM$1005,1,MATCH(COLUMNS($AM$1006:BC1006),$AM$1006:$BM$1006,0))&gt;=100000), " ",IF(INDEX($AM$2:$BM$1001,MATCH(ROWS($AF$2:AF444),$AF$2:$AF$1001,0),MATCH(COLUMNS($AM$1006:BC1006),$AM$1006:$BM$1006,0)), HYPERLINK("#",""), HYPERLINK(CONCATENATE("#metadata!", ADDRESS(INDEX($AH$2:$AH$1001,MATCH(ROWS($AF$2:AF444),$AF$2:$AF$1001,0),0), INDEX($AM$1004:$BM$1004,1,MATCH(COLUMNS($AM$1006:BC1006),$AM$1006:$BM$1006,0)))),"Fix")))</f>
        <v xml:space="preserve"> </v>
      </c>
      <c r="S444" s="4" t="str">
        <f ca="1">IF(OR(INDEX($AG$2:$AG$1001,MATCH(ROWS($AF$2:AF444),$AF$2:$AF$1001,0),1)&gt;=100000,INDEX($AM$1005:$BM$1005,1,MATCH(COLUMNS($AM$1006:BD1006),$AM$1006:$BM$1006,0))&gt;=100000), " ",IF(INDEX($AM$2:$BM$1001,MATCH(ROWS($AF$2:AF444),$AF$2:$AF$1001,0),MATCH(COLUMNS($AM$1006:BD1006),$AM$1006:$BM$1006,0)), HYPERLINK("#",""), HYPERLINK(CONCATENATE("#metadata!", ADDRESS(INDEX($AH$2:$AH$1001,MATCH(ROWS($AF$2:AF444),$AF$2:$AF$1001,0),0), INDEX($AM$1004:$BM$1004,1,MATCH(COLUMNS($AM$1006:BD1006),$AM$1006:$BM$1006,0)))),"Fix")))</f>
        <v xml:space="preserve"> </v>
      </c>
      <c r="T444" s="4" t="str">
        <f ca="1">IF(OR(INDEX($AG$2:$AG$1001,MATCH(ROWS($AF$2:AF444),$AF$2:$AF$1001,0),1)&gt;=100000,INDEX($AM$1005:$BM$1005,1,MATCH(COLUMNS($AM$1006:BE1006),$AM$1006:$BM$1006,0))&gt;=100000), " ",IF(INDEX($AM$2:$BM$1001,MATCH(ROWS($AF$2:AF444),$AF$2:$AF$1001,0),MATCH(COLUMNS($AM$1006:BE1006),$AM$1006:$BM$1006,0)), HYPERLINK("#",""), HYPERLINK(CONCATENATE("#metadata!", ADDRESS(INDEX($AH$2:$AH$1001,MATCH(ROWS($AF$2:AF444),$AF$2:$AF$1001,0),0), INDEX($AM$1004:$BM$1004,1,MATCH(COLUMNS($AM$1006:BE1006),$AM$1006:$BM$1006,0)))),"Fix")))</f>
        <v xml:space="preserve"> </v>
      </c>
      <c r="U444" s="4" t="str">
        <f ca="1">IF(OR(INDEX($AG$2:$AG$1001,MATCH(ROWS($AF$2:AF444),$AF$2:$AF$1001,0),1)&gt;=100000,INDEX($AM$1005:$BM$1005,1,MATCH(COLUMNS($AM$1006:BF1006),$AM$1006:$BM$1006,0))&gt;=100000), " ",IF(INDEX($AM$2:$BM$1001,MATCH(ROWS($AF$2:AF444),$AF$2:$AF$1001,0),MATCH(COLUMNS($AM$1006:BF1006),$AM$1006:$BM$1006,0)), HYPERLINK("#",""), HYPERLINK(CONCATENATE("#metadata!", ADDRESS(INDEX($AH$2:$AH$1001,MATCH(ROWS($AF$2:AF444),$AF$2:$AF$1001,0),0), INDEX($AM$1004:$BM$1004,1,MATCH(COLUMNS($AM$1006:BF1006),$AM$1006:$BM$1006,0)))),"Fix")))</f>
        <v xml:space="preserve"> </v>
      </c>
      <c r="V444" s="4" t="str">
        <f ca="1">IF(OR(INDEX($AG$2:$AG$1001,MATCH(ROWS($AF$2:AF444),$AF$2:$AF$1001,0),1)&gt;=100000,INDEX($AM$1005:$BM$1005,1,MATCH(COLUMNS($AM$1006:BG1006),$AM$1006:$BM$1006,0))&gt;=100000), " ",IF(INDEX($AM$2:$BM$1001,MATCH(ROWS($AF$2:AF444),$AF$2:$AF$1001,0),MATCH(COLUMNS($AM$1006:BG1006),$AM$1006:$BM$1006,0)), HYPERLINK("#",""), HYPERLINK(CONCATENATE("#metadata!", ADDRESS(INDEX($AH$2:$AH$1001,MATCH(ROWS($AF$2:AF444),$AF$2:$AF$1001,0),0), INDEX($AM$1004:$BM$1004,1,MATCH(COLUMNS($AM$1006:BG1006),$AM$1006:$BM$1006,0)))),"Fix")))</f>
        <v xml:space="preserve"> </v>
      </c>
      <c r="W444" s="4" t="str">
        <f ca="1">IF(OR(INDEX($AG$2:$AG$1001,MATCH(ROWS($AF$2:AF444),$AF$2:$AF$1001,0),1)&gt;=100000,INDEX($AM$1005:$BM$1005,1,MATCH(COLUMNS($AM$1006:BH1006),$AM$1006:$BM$1006,0))&gt;=100000), " ",IF(INDEX($AM$2:$BM$1001,MATCH(ROWS($AF$2:AF444),$AF$2:$AF$1001,0),MATCH(COLUMNS($AM$1006:BH1006),$AM$1006:$BM$1006,0)), HYPERLINK("#",""), HYPERLINK(CONCATENATE("#metadata!", ADDRESS(INDEX($AH$2:$AH$1001,MATCH(ROWS($AF$2:AF444),$AF$2:$AF$1001,0),0), INDEX($AM$1004:$BM$1004,1,MATCH(COLUMNS($AM$1006:BH1006),$AM$1006:$BM$1006,0)))),"Fix")))</f>
        <v xml:space="preserve"> </v>
      </c>
      <c r="X444" s="4" t="str">
        <f ca="1">IF(OR(INDEX($AG$2:$AG$1001,MATCH(ROWS($AF$2:AF444),$AF$2:$AF$1001,0),1)&gt;=100000,INDEX($AM$1005:$BM$1005,1,MATCH(COLUMNS($AM$1006:BI1006),$AM$1006:$BM$1006,0))&gt;=100000), " ",IF(INDEX($AM$2:$BM$1001,MATCH(ROWS($AF$2:AF444),$AF$2:$AF$1001,0),MATCH(COLUMNS($AM$1006:BI1006),$AM$1006:$BM$1006,0)), HYPERLINK("#",""), HYPERLINK(CONCATENATE("#metadata!", ADDRESS(INDEX($AH$2:$AH$1001,MATCH(ROWS($AF$2:AF444),$AF$2:$AF$1001,0),0), INDEX($AM$1004:$BM$1004,1,MATCH(COLUMNS($AM$1006:BI1006),$AM$1006:$BM$1006,0)))),"Fix")))</f>
        <v xml:space="preserve"> </v>
      </c>
      <c r="Y444" s="4" t="str">
        <f ca="1">IF(OR(INDEX($AG$2:$AG$1001,MATCH(ROWS($AF$2:AF444),$AF$2:$AF$1001,0),1)&gt;=100000,INDEX($AM$1005:$BM$1005,1,MATCH(COLUMNS($AM$1006:BJ1006),$AM$1006:$BM$1006,0))&gt;=100000), " ",IF(INDEX($AM$2:$BM$1001,MATCH(ROWS($AF$2:AF444),$AF$2:$AF$1001,0),MATCH(COLUMNS($AM$1006:BJ1006),$AM$1006:$BM$1006,0)), HYPERLINK("#",""), HYPERLINK(CONCATENATE("#metadata!", ADDRESS(INDEX($AH$2:$AH$1001,MATCH(ROWS($AF$2:AF444),$AF$2:$AF$1001,0),0), INDEX($AM$1004:$BM$1004,1,MATCH(COLUMNS($AM$1006:BJ1006),$AM$1006:$BM$1006,0)))),"Fix")))</f>
        <v xml:space="preserve"> </v>
      </c>
      <c r="Z444" s="4" t="str">
        <f ca="1">IF(OR(INDEX($AG$2:$AG$1001,MATCH(ROWS($AF$2:AF444),$AF$2:$AF$1001,0),1)&gt;=100000,INDEX($AM$1005:$BM$1005,1,MATCH(COLUMNS($AM$1006:BK1006),$AM$1006:$BM$1006,0))&gt;=100000), " ",IF(INDEX($AM$2:$BM$1001,MATCH(ROWS($AF$2:AF444),$AF$2:$AF$1001,0),MATCH(COLUMNS($AM$1006:BK1006),$AM$1006:$BM$1006,0)), HYPERLINK("#",""), HYPERLINK(CONCATENATE("#metadata!", ADDRESS(INDEX($AH$2:$AH$1001,MATCH(ROWS($AF$2:AF444),$AF$2:$AF$1001,0),0), INDEX($AM$1004:$BM$1004,1,MATCH(COLUMNS($AM$1006:BK1006),$AM$1006:$BM$1006,0)))),"Fix")))</f>
        <v xml:space="preserve"> </v>
      </c>
      <c r="AA444" s="4" t="str">
        <f ca="1">IF(OR(INDEX($AG$2:$AG$1001,MATCH(ROWS($AF$2:AF444),$AF$2:$AF$1001,0),1)&gt;=100000,INDEX($AM$1005:$BM$1005,1,MATCH(COLUMNS($AM$1006:BL1006),$AM$1006:$BM$1006,0))&gt;=100000), " ",IF(INDEX($AM$2:$BM$1001,MATCH(ROWS($AF$2:AF444),$AF$2:$AF$1001,0),MATCH(COLUMNS($AM$1006:BL1006),$AM$1006:$BM$1006,0)), HYPERLINK("#",""), HYPERLINK(CONCATENATE("#metadata!", ADDRESS(INDEX($AH$2:$AH$1001,MATCH(ROWS($AF$2:AF444),$AF$2:$AF$1001,0),0), INDEX($AM$1004:$BM$1004,1,MATCH(COLUMNS($AM$1006:BL1006),$AM$1006:$BM$1006,0)))),"Fix")))</f>
        <v xml:space="preserve"> </v>
      </c>
      <c r="AB444" s="4" t="str">
        <f ca="1">IF(OR(INDEX($AG$2:$AG$1001,MATCH(ROWS($AF$2:AF444),$AF$2:$AF$1001,0),1)&gt;=100000,INDEX($AM$1005:$BM$1005,1,MATCH(COLUMNS($AM$1006:BM1006),$AM$1006:$BM$1006,0))&gt;=100000), " ",IF(INDEX($AM$2:$BM$1001,MATCH(ROWS($AF$2:AF444),$AF$2:$AF$1001,0),MATCH(COLUMNS($AM$1006:BM1006),$AM$1006:$BM$1006,0)), HYPERLINK("#",""), HYPERLINK(CONCATENATE("#metadata!", ADDRESS(INDEX($AH$2:$AH$1001,MATCH(ROWS($AF$2:AF444),$AF$2:$AF$1001,0),0), INDEX($AM$1004:$BM$1004,1,MATCH(COLUMNS($AM$1006:BM1006),$AM$1006:$BM$1006,0)))),"Fix")))</f>
        <v xml:space="preserve"> </v>
      </c>
      <c r="AF444">
        <v>443</v>
      </c>
      <c r="AG444">
        <v>100444</v>
      </c>
      <c r="AH444">
        <v>444</v>
      </c>
      <c r="AI444" t="b">
        <f t="shared" si="6"/>
        <v>1</v>
      </c>
      <c r="AJ444" t="b">
        <f>COUNTBLANK(metadata!B444:AB444)=COLUMNS(metadata!B444:AB444)</f>
        <v>1</v>
      </c>
      <c r="AK444" t="str">
        <v/>
      </c>
      <c r="AM444" t="b">
        <f ca="1">AND(IF(metadata!B444="",FALSE,TRUE),COUNTIF(metadata!B:B, metadata!B444) = 1,NOT(ISERROR(SUMPRODUCT(SEARCH(MID(metadata!B444,ROW(INDIRECT("1:"&amp;LEN(metadata!B444))), 1),"0123456789abcdefghijklmnopqrstuvwxyzABCDEFGHIJKLMNOPQRSTUVWXYZ.")))))</f>
        <v>0</v>
      </c>
      <c r="AN444" t="b">
        <f ca="1">OR(AND(IF(metadata!C444="",FALSE,TRUE),OR(EXACT(metadata!C444,"missing: not collected"),EXACT(metadata!C444,"missing: not provided"),EXACT(metadata!C444,"missing: restricted access"))),AND(IF(metadata!C444="",FALSE,TRUE),AND(AND(IFERROR(INT(LEFT(metadata!C444,4))&gt;1900,FALSE),IFERROR(INT(LEFT(metadata!C444,4))&lt;=YEAR(NOW()),FALSE)), OR(MID(metadata!C444,5,1)="", AND(AND(MID(metadata!C444,5,1)="-",IFERROR(INT(MID(metadata!C444,6,1))&gt;=0,FALSE),IFERROR(INT(MID(metadata!C444,6,1))&lt;=1,FALSE),NOT(MID(metadata!C444,7,1)=""),IFERROR(INT(MID(metadata!C444,6,2))&gt;=1,FALSE),IFERROR(INT(MID(metadata!C444,6,2))&lt;=12,FALSE)), OR(MID(metadata!C444,8,1)="", AND(AND(MID(metadata!C444,8,1)="-",IFERROR(INT(MID(metadata!C444,9,1))&gt;=0,FALSE),IFERROR(INT(MID(metadata!C444,9,1))&lt;=3,FALSE),NOT(MID(metadata!C444,10,1)=""),IFERROR(INT(MID(metadata!C444,9,2))&gt;=1,FALSE),IFERROR(INT(MID(metadata!C444,9,2))&lt;=31,FALSE)), OR(MID(metadata!C444,11,1)="", AND(AND(MID(metadata!C444,11,1)=" ",IFERROR(INT(MID(metadata!C444,12,1))&gt;=0,FALSE),IFERROR(INT(MID(metadata!C444,12,1))&lt;=2,FALSE),NOT(MID(metadata!C444,13,1)=""),IFERROR(INT(MID(metadata!C444,12,2))&gt;=0,FALSE),IFERROR(INT(MID(metadata!C444,12,2))&lt;=23,FALSE)), OR(MID(metadata!C444,14,1)="", AND(AND(MID(metadata!C444,14,1)=":",IFERROR(INT(MID(metadata!C444,15,1))&gt;=0,FALSE),IFERROR(INT(MID(metadata!C444,15,1))&lt;=5,FALSE),NOT(MID(metadata!C444,16,1)=""),IFERROR(INT(MID(metadata!C444,15,2))&gt;=0,FALSE),IFERROR(INT(MID(metadata!C444,15,2))&lt;=59,FALSE)), OR(MID(metadata!C444,17,1)="", AND(AND(MID(metadata!C444,17,1)=":",IFERROR(INT(MID(metadata!C444,18,1))&gt;=0,FALSE),IFERROR(INT(MID(metadata!C444,18,1))&lt;=5,FALSE),NOT(MID(metadata!C444,19,1)=""),IFERROR(INT(MID(metadata!C444,18,2))&gt;=0,FALSE),IFERROR(INT(MID(metadata!C444,18,2))&lt;=59,FALSE)), LEN(metadata!C444)&lt;=19)))))))))))))</f>
        <v>0</v>
      </c>
      <c r="AO444" t="b">
        <f>AND(IF(metadata!D444="",FALSE,TRUE),EXACT(metadata!D444,"Not applicable"))</f>
        <v>0</v>
      </c>
      <c r="AP444" t="b">
        <f>IF(metadata!E444="",FALSE,TRUE)</f>
        <v>0</v>
      </c>
      <c r="AQ444" t="b">
        <f>OR(AND(IF(metadata!F444="",FALSE,TRUE),OR(EXACT(metadata!F444,"missing: not collected"),EXACT(metadata!F444,"missing: not provided"))),AND(IF(metadata!F444="",FALSE,TRUE),OR(EXACT(metadata!F444,"TRUE"),EXACT(metadata!F444,"FALSE"))))</f>
        <v>0</v>
      </c>
      <c r="AR444" t="b">
        <f>OR(AND(IF(metadata!G444="",FALSE,TRUE),OR(EXACT(metadata!G444,"missing: not collected"),EXACT(metadata!G444,"missing: not provided"),EXACT(metadata!G444,"missing: restricted access"))),AND(IF(metadata!G444="",FALSE,ISNUMBER(VALUE(metadata!G444))),metadata!G444&gt;=-413))</f>
        <v>0</v>
      </c>
      <c r="AS444" t="b">
        <f>AND(IF(metadata!H444="",FALSE,TRUE),EXACT(metadata!H444,"meters"))</f>
        <v>0</v>
      </c>
      <c r="AT444" t="b">
        <f>AND(IF(metadata!I444="",FALSE,TRUE),OR(EXACT(metadata!I444,"Host-associated"),EXACT(metadata!I444,"Free-living")))</f>
        <v>0</v>
      </c>
      <c r="AU444" t="b">
        <f>AND(IF(metadata!J444="",FALSE,TRUE),OR(EXACT(metadata!J444,"Animal"),EXACT(metadata!J444,"Fungus"),EXACT(metadata!J444,"Plant"),EXACT(metadata!J444,"Saline"),EXACT(metadata!J444,"Non-saline")))</f>
        <v>0</v>
      </c>
      <c r="AV444" t="b">
        <f>AND(IF(metadata!K444="",FALSE,TRUE),OR(EXACT(metadata!K444,"Plant secretion"),EXACT(metadata!K444,"Plant rhizosphere"),EXACT(metadata!K444,"Plant surface"),EXACT(metadata!K444,"Plant corpus"),EXACT(metadata!K444,"Fungus surface"),EXACT(metadata!K444,"Fungus corpus"),EXACT(metadata!K444,"Animal surface"),EXACT(metadata!K444,"Animal proximal gut"),EXACT(metadata!K444,"Animal corpus"),EXACT(metadata!K444,"Animal distal gut"),EXACT(metadata!K444,"Animal secretion"),EXACT(metadata!K444,"Sub-surface (non-saline)"),EXACT(metadata!K444,"Surface (non-saline)"),EXACT(metadata!K444,"Water (non-saline)"),EXACT(metadata!K444,"Soil (non-saline)"),EXACT(metadata!K444,"Aerosol (non-saline)"),EXACT(metadata!K444,"Sediment (non-saline)"),EXACT(metadata!K444,"Surface (saline)"),EXACT(metadata!K444,"Water (saline)"),EXACT(metadata!K444,"Hypersaline (saline)"),EXACT(metadata!K444,"Aerosol (saline)"),EXACT(metadata!K444,"Sediment (saline)")))</f>
        <v>0</v>
      </c>
      <c r="AW444" t="b">
        <f>IF(metadata!L444="",FALSE,TRUE)</f>
        <v>0</v>
      </c>
      <c r="AX444" t="b">
        <f>IF(metadata!M444="",FALSE,TRUE)</f>
        <v>0</v>
      </c>
      <c r="AY444" t="b">
        <f>IF(metadata!N444="",FALSE,TRUE)</f>
        <v>0</v>
      </c>
      <c r="AZ444" t="b">
        <f>OR(AND(IF(metadata!O444="",FALSE,TRUE),OR(EXACT(metadata!O444,"missing: not collected"),EXACT(metadata!O444,"missing: not provided"),EXACT(metadata!O444,"missing: restricted access"))),AND(IF(metadata!O444="",FALSE,TRUE),OR(EXACT(metadata!O444,"air"),EXACT(metadata!O444,"built environment"),EXACT(metadata!O444,"host-associated"),EXACT(metadata!O444,"human-associated"),EXACT(metadata!O444,"human-skin"),EXACT(metadata!O444,"human-oral"),EXACT(metadata!O444,"human-gut"),EXACT(metadata!O444,"human-vaginal"),EXACT(metadata!O444,"microbial mat/biofilm"),EXACT(metadata!O444,"misc environment"),EXACT(metadata!O444,"plant-associated"),EXACT(metadata!O444,"sediment"),EXACT(metadata!O444,"soil"),EXACT(metadata!O444,"wastewater/sludge"),EXACT(metadata!O444,"water"))))</f>
        <v>0</v>
      </c>
      <c r="BA444" t="b">
        <f>IF(metadata!P444="",FALSE,TRUE)</f>
        <v>0</v>
      </c>
      <c r="BB444" t="b">
        <f>IF(metadata!Q444="",FALSE,TRUE)</f>
        <v>0</v>
      </c>
      <c r="BC444" t="b">
        <f>OR(AND(IF(metadata!R444="",FALSE,TRUE),OR(EXACT(metadata!R444,"missing: not collected"),EXACT(metadata!R444,"missing: not provided"),EXACT(metadata!R444,"missing: restricted access"))),AND(IF(metadata!R444="",FALSE,ISNUMBER(VALUE(metadata!R444))),metadata!R444&gt;=-90,metadata!R444&lt;=90))</f>
        <v>0</v>
      </c>
      <c r="BD444" t="b">
        <f>AND(IF(metadata!S444="",FALSE,TRUE),EXACT(metadata!S444,"Decimal degrees"))</f>
        <v>0</v>
      </c>
      <c r="BE444" t="b">
        <f>OR(AND(IF(metadata!T444="",FALSE,TRUE),OR(EXACT(metadata!T444,"missing: not collected"),EXACT(metadata!T444,"missing: not provided"),EXACT(metadata!T444,"missing: restricted access"))),AND(IF(metadata!T444="",FALSE,ISNUMBER(VALUE(metadata!T444))),metadata!T444&gt;=-180,metadata!T444&lt;=180))</f>
        <v>0</v>
      </c>
      <c r="BF444" t="b">
        <f>AND(IF(metadata!U444="",FALSE,TRUE),EXACT(metadata!U444,"Decimal degrees"))</f>
        <v>0</v>
      </c>
      <c r="BG444" t="b">
        <f>IF(metadata!V444="",FALSE,TRUE)</f>
        <v>0</v>
      </c>
      <c r="BH444" t="b">
        <f>OR(AND(IF(metadata!W444="",FALSE,TRUE),OR(EXACT(metadata!W444,"missing: not collected"),EXACT(metadata!W444,"missing: not provided"),EXACT(metadata!W444,"missing: restricted access"))),AND(IF(metadata!W444="",FALSE,TRUE),OR(EXACT(metadata!W444,"TRUE"),EXACT(metadata!W444,"FALSE"))))</f>
        <v>0</v>
      </c>
      <c r="BI444" t="b">
        <f>AND(IF(metadata!X444="",FALSE,TRUE),EXACT(metadata!X444,"other"))</f>
        <v>0</v>
      </c>
      <c r="BJ444" t="b">
        <f>IF(metadata!Y444="",FALSE,TRUE)</f>
        <v>0</v>
      </c>
      <c r="BK444" t="b">
        <f>OR(AND(IF(metadata!Z444="",FALSE,TRUE),OR(EXACT(metadata!Z444,"missing: not collected"),EXACT(metadata!Z444,"missing: not provided"))),AND(IF(metadata!Z444="",FALSE,IF(ISERROR(INT(metadata!Z444)),FALSE,INT(metadata!Z444)=metadata!Z444)),metadata!Z444&gt;0))</f>
        <v>0</v>
      </c>
      <c r="BL444" t="b">
        <f>AND(IF(metadata!AA444="",FALSE,TRUE),EXACT(metadata!AA444,"Not applicable"))</f>
        <v>0</v>
      </c>
      <c r="BM444" t="b">
        <f>IF(metadata!AB444="",FALSE,TRUE)</f>
        <v>0</v>
      </c>
    </row>
    <row r="445" spans="1:65" x14ac:dyDescent="0.2">
      <c r="A445" s="5" t="str">
        <f ca="1">IF(B445=" "," ",HYPERLINK(CONCATENATE("#metadata!",ADDRESS(INDEX($AH$2:$AH$1001,MATCH(ROWS($AF$2:AF445),$AF$2:$AF$1001,0),0),1)),INDEX($AK$2:$AK$1001,MATCH(ROWS($AF$2:AF445),$AF$2:$AF$1001,0),0)))</f>
        <v xml:space="preserve"> </v>
      </c>
      <c r="B445" s="4" t="str">
        <f ca="1">IF(OR(INDEX($AG$2:$AG$1001,MATCH(ROWS($AF$2:AF445),$AF$2:$AF$1001,0),1)&gt;=100000,INDEX($AM$1005:$BM$1005,1,MATCH(COLUMNS($AM$1006:AM1006),$AM$1006:$BM$1006,0))&gt;=100000), " ",IF(INDEX($AM$2:$BM$1001,MATCH(ROWS($AF$2:AF445),$AF$2:$AF$1001,0),MATCH(COLUMNS($AM$1006:AM1006),$AM$1006:$BM$1006,0)), HYPERLINK("#",""), HYPERLINK(CONCATENATE("#metadata!", ADDRESS(INDEX($AH$2:$AH$1001,MATCH(ROWS($AF$2:AF445),$AF$2:$AF$1001,0),0), INDEX($AM$1004:$BM$1004,1,MATCH(COLUMNS($AM$1006:AM1006),$AM$1006:$BM$1006,0)))),"Fix")))</f>
        <v xml:space="preserve"> </v>
      </c>
      <c r="C445" s="4" t="str">
        <f ca="1">IF(OR(INDEX($AG$2:$AG$1001,MATCH(ROWS($AF$2:AF445),$AF$2:$AF$1001,0),1)&gt;=100000,INDEX($AM$1005:$BM$1005,1,MATCH(COLUMNS($AM$1006:AN1006),$AM$1006:$BM$1006,0))&gt;=100000), " ",IF(INDEX($AM$2:$BM$1001,MATCH(ROWS($AF$2:AF445),$AF$2:$AF$1001,0),MATCH(COLUMNS($AM$1006:AN1006),$AM$1006:$BM$1006,0)), HYPERLINK("#",""), HYPERLINK(CONCATENATE("#metadata!", ADDRESS(INDEX($AH$2:$AH$1001,MATCH(ROWS($AF$2:AF445),$AF$2:$AF$1001,0),0), INDEX($AM$1004:$BM$1004,1,MATCH(COLUMNS($AM$1006:AN1006),$AM$1006:$BM$1006,0)))),"Fix")))</f>
        <v xml:space="preserve"> </v>
      </c>
      <c r="D445" s="4" t="str">
        <f ca="1">IF(OR(INDEX($AG$2:$AG$1001,MATCH(ROWS($AF$2:AF445),$AF$2:$AF$1001,0),1)&gt;=100000,INDEX($AM$1005:$BM$1005,1,MATCH(COLUMNS($AM$1006:AO1006),$AM$1006:$BM$1006,0))&gt;=100000), " ",IF(INDEX($AM$2:$BM$1001,MATCH(ROWS($AF$2:AF445),$AF$2:$AF$1001,0),MATCH(COLUMNS($AM$1006:AO1006),$AM$1006:$BM$1006,0)), HYPERLINK("#",""), HYPERLINK(CONCATENATE("#metadata!", ADDRESS(INDEX($AH$2:$AH$1001,MATCH(ROWS($AF$2:AF445),$AF$2:$AF$1001,0),0), INDEX($AM$1004:$BM$1004,1,MATCH(COLUMNS($AM$1006:AO1006),$AM$1006:$BM$1006,0)))),"Fix")))</f>
        <v xml:space="preserve"> </v>
      </c>
      <c r="E445" s="4" t="str">
        <f ca="1">IF(OR(INDEX($AG$2:$AG$1001,MATCH(ROWS($AF$2:AF445),$AF$2:$AF$1001,0),1)&gt;=100000,INDEX($AM$1005:$BM$1005,1,MATCH(COLUMNS($AM$1006:AP1006),$AM$1006:$BM$1006,0))&gt;=100000), " ",IF(INDEX($AM$2:$BM$1001,MATCH(ROWS($AF$2:AF445),$AF$2:$AF$1001,0),MATCH(COLUMNS($AM$1006:AP1006),$AM$1006:$BM$1006,0)), HYPERLINK("#",""), HYPERLINK(CONCATENATE("#metadata!", ADDRESS(INDEX($AH$2:$AH$1001,MATCH(ROWS($AF$2:AF445),$AF$2:$AF$1001,0),0), INDEX($AM$1004:$BM$1004,1,MATCH(COLUMNS($AM$1006:AP1006),$AM$1006:$BM$1006,0)))),"Fix")))</f>
        <v xml:space="preserve"> </v>
      </c>
      <c r="F445" s="4" t="str">
        <f ca="1">IF(OR(INDEX($AG$2:$AG$1001,MATCH(ROWS($AF$2:AF445),$AF$2:$AF$1001,0),1)&gt;=100000,INDEX($AM$1005:$BM$1005,1,MATCH(COLUMNS($AM$1006:AQ1006),$AM$1006:$BM$1006,0))&gt;=100000), " ",IF(INDEX($AM$2:$BM$1001,MATCH(ROWS($AF$2:AF445),$AF$2:$AF$1001,0),MATCH(COLUMNS($AM$1006:AQ1006),$AM$1006:$BM$1006,0)), HYPERLINK("#",""), HYPERLINK(CONCATENATE("#metadata!", ADDRESS(INDEX($AH$2:$AH$1001,MATCH(ROWS($AF$2:AF445),$AF$2:$AF$1001,0),0), INDEX($AM$1004:$BM$1004,1,MATCH(COLUMNS($AM$1006:AQ1006),$AM$1006:$BM$1006,0)))),"Fix")))</f>
        <v xml:space="preserve"> </v>
      </c>
      <c r="G445" s="4" t="str">
        <f ca="1">IF(OR(INDEX($AG$2:$AG$1001,MATCH(ROWS($AF$2:AF445),$AF$2:$AF$1001,0),1)&gt;=100000,INDEX($AM$1005:$BM$1005,1,MATCH(COLUMNS($AM$1006:AR1006),$AM$1006:$BM$1006,0))&gt;=100000), " ",IF(INDEX($AM$2:$BM$1001,MATCH(ROWS($AF$2:AF445),$AF$2:$AF$1001,0),MATCH(COLUMNS($AM$1006:AR1006),$AM$1006:$BM$1006,0)), HYPERLINK("#",""), HYPERLINK(CONCATENATE("#metadata!", ADDRESS(INDEX($AH$2:$AH$1001,MATCH(ROWS($AF$2:AF445),$AF$2:$AF$1001,0),0), INDEX($AM$1004:$BM$1004,1,MATCH(COLUMNS($AM$1006:AR1006),$AM$1006:$BM$1006,0)))),"Fix")))</f>
        <v xml:space="preserve"> </v>
      </c>
      <c r="H445" s="4" t="str">
        <f ca="1">IF(OR(INDEX($AG$2:$AG$1001,MATCH(ROWS($AF$2:AF445),$AF$2:$AF$1001,0),1)&gt;=100000,INDEX($AM$1005:$BM$1005,1,MATCH(COLUMNS($AM$1006:AS1006),$AM$1006:$BM$1006,0))&gt;=100000), " ",IF(INDEX($AM$2:$BM$1001,MATCH(ROWS($AF$2:AF445),$AF$2:$AF$1001,0),MATCH(COLUMNS($AM$1006:AS1006),$AM$1006:$BM$1006,0)), HYPERLINK("#",""), HYPERLINK(CONCATENATE("#metadata!", ADDRESS(INDEX($AH$2:$AH$1001,MATCH(ROWS($AF$2:AF445),$AF$2:$AF$1001,0),0), INDEX($AM$1004:$BM$1004,1,MATCH(COLUMNS($AM$1006:AS1006),$AM$1006:$BM$1006,0)))),"Fix")))</f>
        <v xml:space="preserve"> </v>
      </c>
      <c r="I445" s="4" t="str">
        <f ca="1">IF(OR(INDEX($AG$2:$AG$1001,MATCH(ROWS($AF$2:AF445),$AF$2:$AF$1001,0),1)&gt;=100000,INDEX($AM$1005:$BM$1005,1,MATCH(COLUMNS($AM$1006:AT1006),$AM$1006:$BM$1006,0))&gt;=100000), " ",IF(INDEX($AM$2:$BM$1001,MATCH(ROWS($AF$2:AF445),$AF$2:$AF$1001,0),MATCH(COLUMNS($AM$1006:AT1006),$AM$1006:$BM$1006,0)), HYPERLINK("#",""), HYPERLINK(CONCATENATE("#metadata!", ADDRESS(INDEX($AH$2:$AH$1001,MATCH(ROWS($AF$2:AF445),$AF$2:$AF$1001,0),0), INDEX($AM$1004:$BM$1004,1,MATCH(COLUMNS($AM$1006:AT1006),$AM$1006:$BM$1006,0)))),"Fix")))</f>
        <v xml:space="preserve"> </v>
      </c>
      <c r="J445" s="4" t="str">
        <f ca="1">IF(OR(INDEX($AG$2:$AG$1001,MATCH(ROWS($AF$2:AF445),$AF$2:$AF$1001,0),1)&gt;=100000,INDEX($AM$1005:$BM$1005,1,MATCH(COLUMNS($AM$1006:AU1006),$AM$1006:$BM$1006,0))&gt;=100000), " ",IF(INDEX($AM$2:$BM$1001,MATCH(ROWS($AF$2:AF445),$AF$2:$AF$1001,0),MATCH(COLUMNS($AM$1006:AU1006),$AM$1006:$BM$1006,0)), HYPERLINK("#",""), HYPERLINK(CONCATENATE("#metadata!", ADDRESS(INDEX($AH$2:$AH$1001,MATCH(ROWS($AF$2:AF445),$AF$2:$AF$1001,0),0), INDEX($AM$1004:$BM$1004,1,MATCH(COLUMNS($AM$1006:AU1006),$AM$1006:$BM$1006,0)))),"Fix")))</f>
        <v xml:space="preserve"> </v>
      </c>
      <c r="K445" s="4" t="str">
        <f ca="1">IF(OR(INDEX($AG$2:$AG$1001,MATCH(ROWS($AF$2:AF445),$AF$2:$AF$1001,0),1)&gt;=100000,INDEX($AM$1005:$BM$1005,1,MATCH(COLUMNS($AM$1006:AV1006),$AM$1006:$BM$1006,0))&gt;=100000), " ",IF(INDEX($AM$2:$BM$1001,MATCH(ROWS($AF$2:AF445),$AF$2:$AF$1001,0),MATCH(COLUMNS($AM$1006:AV1006),$AM$1006:$BM$1006,0)), HYPERLINK("#",""), HYPERLINK(CONCATENATE("#metadata!", ADDRESS(INDEX($AH$2:$AH$1001,MATCH(ROWS($AF$2:AF445),$AF$2:$AF$1001,0),0), INDEX($AM$1004:$BM$1004,1,MATCH(COLUMNS($AM$1006:AV1006),$AM$1006:$BM$1006,0)))),"Fix")))</f>
        <v xml:space="preserve"> </v>
      </c>
      <c r="L445" s="4" t="str">
        <f ca="1">IF(OR(INDEX($AG$2:$AG$1001,MATCH(ROWS($AF$2:AF445),$AF$2:$AF$1001,0),1)&gt;=100000,INDEX($AM$1005:$BM$1005,1,MATCH(COLUMNS($AM$1006:AW1006),$AM$1006:$BM$1006,0))&gt;=100000), " ",IF(INDEX($AM$2:$BM$1001,MATCH(ROWS($AF$2:AF445),$AF$2:$AF$1001,0),MATCH(COLUMNS($AM$1006:AW1006),$AM$1006:$BM$1006,0)), HYPERLINK("#",""), HYPERLINK(CONCATENATE("#metadata!", ADDRESS(INDEX($AH$2:$AH$1001,MATCH(ROWS($AF$2:AF445),$AF$2:$AF$1001,0),0), INDEX($AM$1004:$BM$1004,1,MATCH(COLUMNS($AM$1006:AW1006),$AM$1006:$BM$1006,0)))),"Fix")))</f>
        <v xml:space="preserve"> </v>
      </c>
      <c r="M445" s="4" t="str">
        <f ca="1">IF(OR(INDEX($AG$2:$AG$1001,MATCH(ROWS($AF$2:AF445),$AF$2:$AF$1001,0),1)&gt;=100000,INDEX($AM$1005:$BM$1005,1,MATCH(COLUMNS($AM$1006:AX1006),$AM$1006:$BM$1006,0))&gt;=100000), " ",IF(INDEX($AM$2:$BM$1001,MATCH(ROWS($AF$2:AF445),$AF$2:$AF$1001,0),MATCH(COLUMNS($AM$1006:AX1006),$AM$1006:$BM$1006,0)), HYPERLINK("#",""), HYPERLINK(CONCATENATE("#metadata!", ADDRESS(INDEX($AH$2:$AH$1001,MATCH(ROWS($AF$2:AF445),$AF$2:$AF$1001,0),0), INDEX($AM$1004:$BM$1004,1,MATCH(COLUMNS($AM$1006:AX1006),$AM$1006:$BM$1006,0)))),"Fix")))</f>
        <v xml:space="preserve"> </v>
      </c>
      <c r="N445" s="4" t="str">
        <f ca="1">IF(OR(INDEX($AG$2:$AG$1001,MATCH(ROWS($AF$2:AF445),$AF$2:$AF$1001,0),1)&gt;=100000,INDEX($AM$1005:$BM$1005,1,MATCH(COLUMNS($AM$1006:AY1006),$AM$1006:$BM$1006,0))&gt;=100000), " ",IF(INDEX($AM$2:$BM$1001,MATCH(ROWS($AF$2:AF445),$AF$2:$AF$1001,0),MATCH(COLUMNS($AM$1006:AY1006),$AM$1006:$BM$1006,0)), HYPERLINK("#",""), HYPERLINK(CONCATENATE("#metadata!", ADDRESS(INDEX($AH$2:$AH$1001,MATCH(ROWS($AF$2:AF445),$AF$2:$AF$1001,0),0), INDEX($AM$1004:$BM$1004,1,MATCH(COLUMNS($AM$1006:AY1006),$AM$1006:$BM$1006,0)))),"Fix")))</f>
        <v xml:space="preserve"> </v>
      </c>
      <c r="O445" s="4" t="str">
        <f ca="1">IF(OR(INDEX($AG$2:$AG$1001,MATCH(ROWS($AF$2:AF445),$AF$2:$AF$1001,0),1)&gt;=100000,INDEX($AM$1005:$BM$1005,1,MATCH(COLUMNS($AM$1006:AZ1006),$AM$1006:$BM$1006,0))&gt;=100000), " ",IF(INDEX($AM$2:$BM$1001,MATCH(ROWS($AF$2:AF445),$AF$2:$AF$1001,0),MATCH(COLUMNS($AM$1006:AZ1006),$AM$1006:$BM$1006,0)), HYPERLINK("#",""), HYPERLINK(CONCATENATE("#metadata!", ADDRESS(INDEX($AH$2:$AH$1001,MATCH(ROWS($AF$2:AF445),$AF$2:$AF$1001,0),0), INDEX($AM$1004:$BM$1004,1,MATCH(COLUMNS($AM$1006:AZ1006),$AM$1006:$BM$1006,0)))),"Fix")))</f>
        <v xml:space="preserve"> </v>
      </c>
      <c r="P445" s="4" t="str">
        <f ca="1">IF(OR(INDEX($AG$2:$AG$1001,MATCH(ROWS($AF$2:AF445),$AF$2:$AF$1001,0),1)&gt;=100000,INDEX($AM$1005:$BM$1005,1,MATCH(COLUMNS($AM$1006:BA1006),$AM$1006:$BM$1006,0))&gt;=100000), " ",IF(INDEX($AM$2:$BM$1001,MATCH(ROWS($AF$2:AF445),$AF$2:$AF$1001,0),MATCH(COLUMNS($AM$1006:BA1006),$AM$1006:$BM$1006,0)), HYPERLINK("#",""), HYPERLINK(CONCATENATE("#metadata!", ADDRESS(INDEX($AH$2:$AH$1001,MATCH(ROWS($AF$2:AF445),$AF$2:$AF$1001,0),0), INDEX($AM$1004:$BM$1004,1,MATCH(COLUMNS($AM$1006:BA1006),$AM$1006:$BM$1006,0)))),"Fix")))</f>
        <v xml:space="preserve"> </v>
      </c>
      <c r="Q445" s="4" t="str">
        <f ca="1">IF(OR(INDEX($AG$2:$AG$1001,MATCH(ROWS($AF$2:AF445),$AF$2:$AF$1001,0),1)&gt;=100000,INDEX($AM$1005:$BM$1005,1,MATCH(COLUMNS($AM$1006:BB1006),$AM$1006:$BM$1006,0))&gt;=100000), " ",IF(INDEX($AM$2:$BM$1001,MATCH(ROWS($AF$2:AF445),$AF$2:$AF$1001,0),MATCH(COLUMNS($AM$1006:BB1006),$AM$1006:$BM$1006,0)), HYPERLINK("#",""), HYPERLINK(CONCATENATE("#metadata!", ADDRESS(INDEX($AH$2:$AH$1001,MATCH(ROWS($AF$2:AF445),$AF$2:$AF$1001,0),0), INDEX($AM$1004:$BM$1004,1,MATCH(COLUMNS($AM$1006:BB1006),$AM$1006:$BM$1006,0)))),"Fix")))</f>
        <v xml:space="preserve"> </v>
      </c>
      <c r="R445" s="4" t="str">
        <f ca="1">IF(OR(INDEX($AG$2:$AG$1001,MATCH(ROWS($AF$2:AF445),$AF$2:$AF$1001,0),1)&gt;=100000,INDEX($AM$1005:$BM$1005,1,MATCH(COLUMNS($AM$1006:BC1006),$AM$1006:$BM$1006,0))&gt;=100000), " ",IF(INDEX($AM$2:$BM$1001,MATCH(ROWS($AF$2:AF445),$AF$2:$AF$1001,0),MATCH(COLUMNS($AM$1006:BC1006),$AM$1006:$BM$1006,0)), HYPERLINK("#",""), HYPERLINK(CONCATENATE("#metadata!", ADDRESS(INDEX($AH$2:$AH$1001,MATCH(ROWS($AF$2:AF445),$AF$2:$AF$1001,0),0), INDEX($AM$1004:$BM$1004,1,MATCH(COLUMNS($AM$1006:BC1006),$AM$1006:$BM$1006,0)))),"Fix")))</f>
        <v xml:space="preserve"> </v>
      </c>
      <c r="S445" s="4" t="str">
        <f ca="1">IF(OR(INDEX($AG$2:$AG$1001,MATCH(ROWS($AF$2:AF445),$AF$2:$AF$1001,0),1)&gt;=100000,INDEX($AM$1005:$BM$1005,1,MATCH(COLUMNS($AM$1006:BD1006),$AM$1006:$BM$1006,0))&gt;=100000), " ",IF(INDEX($AM$2:$BM$1001,MATCH(ROWS($AF$2:AF445),$AF$2:$AF$1001,0),MATCH(COLUMNS($AM$1006:BD1006),$AM$1006:$BM$1006,0)), HYPERLINK("#",""), HYPERLINK(CONCATENATE("#metadata!", ADDRESS(INDEX($AH$2:$AH$1001,MATCH(ROWS($AF$2:AF445),$AF$2:$AF$1001,0),0), INDEX($AM$1004:$BM$1004,1,MATCH(COLUMNS($AM$1006:BD1006),$AM$1006:$BM$1006,0)))),"Fix")))</f>
        <v xml:space="preserve"> </v>
      </c>
      <c r="T445" s="4" t="str">
        <f ca="1">IF(OR(INDEX($AG$2:$AG$1001,MATCH(ROWS($AF$2:AF445),$AF$2:$AF$1001,0),1)&gt;=100000,INDEX($AM$1005:$BM$1005,1,MATCH(COLUMNS($AM$1006:BE1006),$AM$1006:$BM$1006,0))&gt;=100000), " ",IF(INDEX($AM$2:$BM$1001,MATCH(ROWS($AF$2:AF445),$AF$2:$AF$1001,0),MATCH(COLUMNS($AM$1006:BE1006),$AM$1006:$BM$1006,0)), HYPERLINK("#",""), HYPERLINK(CONCATENATE("#metadata!", ADDRESS(INDEX($AH$2:$AH$1001,MATCH(ROWS($AF$2:AF445),$AF$2:$AF$1001,0),0), INDEX($AM$1004:$BM$1004,1,MATCH(COLUMNS($AM$1006:BE1006),$AM$1006:$BM$1006,0)))),"Fix")))</f>
        <v xml:space="preserve"> </v>
      </c>
      <c r="U445" s="4" t="str">
        <f ca="1">IF(OR(INDEX($AG$2:$AG$1001,MATCH(ROWS($AF$2:AF445),$AF$2:$AF$1001,0),1)&gt;=100000,INDEX($AM$1005:$BM$1005,1,MATCH(COLUMNS($AM$1006:BF1006),$AM$1006:$BM$1006,0))&gt;=100000), " ",IF(INDEX($AM$2:$BM$1001,MATCH(ROWS($AF$2:AF445),$AF$2:$AF$1001,0),MATCH(COLUMNS($AM$1006:BF1006),$AM$1006:$BM$1006,0)), HYPERLINK("#",""), HYPERLINK(CONCATENATE("#metadata!", ADDRESS(INDEX($AH$2:$AH$1001,MATCH(ROWS($AF$2:AF445),$AF$2:$AF$1001,0),0), INDEX($AM$1004:$BM$1004,1,MATCH(COLUMNS($AM$1006:BF1006),$AM$1006:$BM$1006,0)))),"Fix")))</f>
        <v xml:space="preserve"> </v>
      </c>
      <c r="V445" s="4" t="str">
        <f ca="1">IF(OR(INDEX($AG$2:$AG$1001,MATCH(ROWS($AF$2:AF445),$AF$2:$AF$1001,0),1)&gt;=100000,INDEX($AM$1005:$BM$1005,1,MATCH(COLUMNS($AM$1006:BG1006),$AM$1006:$BM$1006,0))&gt;=100000), " ",IF(INDEX($AM$2:$BM$1001,MATCH(ROWS($AF$2:AF445),$AF$2:$AF$1001,0),MATCH(COLUMNS($AM$1006:BG1006),$AM$1006:$BM$1006,0)), HYPERLINK("#",""), HYPERLINK(CONCATENATE("#metadata!", ADDRESS(INDEX($AH$2:$AH$1001,MATCH(ROWS($AF$2:AF445),$AF$2:$AF$1001,0),0), INDEX($AM$1004:$BM$1004,1,MATCH(COLUMNS($AM$1006:BG1006),$AM$1006:$BM$1006,0)))),"Fix")))</f>
        <v xml:space="preserve"> </v>
      </c>
      <c r="W445" s="4" t="str">
        <f ca="1">IF(OR(INDEX($AG$2:$AG$1001,MATCH(ROWS($AF$2:AF445),$AF$2:$AF$1001,0),1)&gt;=100000,INDEX($AM$1005:$BM$1005,1,MATCH(COLUMNS($AM$1006:BH1006),$AM$1006:$BM$1006,0))&gt;=100000), " ",IF(INDEX($AM$2:$BM$1001,MATCH(ROWS($AF$2:AF445),$AF$2:$AF$1001,0),MATCH(COLUMNS($AM$1006:BH1006),$AM$1006:$BM$1006,0)), HYPERLINK("#",""), HYPERLINK(CONCATENATE("#metadata!", ADDRESS(INDEX($AH$2:$AH$1001,MATCH(ROWS($AF$2:AF445),$AF$2:$AF$1001,0),0), INDEX($AM$1004:$BM$1004,1,MATCH(COLUMNS($AM$1006:BH1006),$AM$1006:$BM$1006,0)))),"Fix")))</f>
        <v xml:space="preserve"> </v>
      </c>
      <c r="X445" s="4" t="str">
        <f ca="1">IF(OR(INDEX($AG$2:$AG$1001,MATCH(ROWS($AF$2:AF445),$AF$2:$AF$1001,0),1)&gt;=100000,INDEX($AM$1005:$BM$1005,1,MATCH(COLUMNS($AM$1006:BI1006),$AM$1006:$BM$1006,0))&gt;=100000), " ",IF(INDEX($AM$2:$BM$1001,MATCH(ROWS($AF$2:AF445),$AF$2:$AF$1001,0),MATCH(COLUMNS($AM$1006:BI1006),$AM$1006:$BM$1006,0)), HYPERLINK("#",""), HYPERLINK(CONCATENATE("#metadata!", ADDRESS(INDEX($AH$2:$AH$1001,MATCH(ROWS($AF$2:AF445),$AF$2:$AF$1001,0),0), INDEX($AM$1004:$BM$1004,1,MATCH(COLUMNS($AM$1006:BI1006),$AM$1006:$BM$1006,0)))),"Fix")))</f>
        <v xml:space="preserve"> </v>
      </c>
      <c r="Y445" s="4" t="str">
        <f ca="1">IF(OR(INDEX($AG$2:$AG$1001,MATCH(ROWS($AF$2:AF445),$AF$2:$AF$1001,0),1)&gt;=100000,INDEX($AM$1005:$BM$1005,1,MATCH(COLUMNS($AM$1006:BJ1006),$AM$1006:$BM$1006,0))&gt;=100000), " ",IF(INDEX($AM$2:$BM$1001,MATCH(ROWS($AF$2:AF445),$AF$2:$AF$1001,0),MATCH(COLUMNS($AM$1006:BJ1006),$AM$1006:$BM$1006,0)), HYPERLINK("#",""), HYPERLINK(CONCATENATE("#metadata!", ADDRESS(INDEX($AH$2:$AH$1001,MATCH(ROWS($AF$2:AF445),$AF$2:$AF$1001,0),0), INDEX($AM$1004:$BM$1004,1,MATCH(COLUMNS($AM$1006:BJ1006),$AM$1006:$BM$1006,0)))),"Fix")))</f>
        <v xml:space="preserve"> </v>
      </c>
      <c r="Z445" s="4" t="str">
        <f ca="1">IF(OR(INDEX($AG$2:$AG$1001,MATCH(ROWS($AF$2:AF445),$AF$2:$AF$1001,0),1)&gt;=100000,INDEX($AM$1005:$BM$1005,1,MATCH(COLUMNS($AM$1006:BK1006),$AM$1006:$BM$1006,0))&gt;=100000), " ",IF(INDEX($AM$2:$BM$1001,MATCH(ROWS($AF$2:AF445),$AF$2:$AF$1001,0),MATCH(COLUMNS($AM$1006:BK1006),$AM$1006:$BM$1006,0)), HYPERLINK("#",""), HYPERLINK(CONCATENATE("#metadata!", ADDRESS(INDEX($AH$2:$AH$1001,MATCH(ROWS($AF$2:AF445),$AF$2:$AF$1001,0),0), INDEX($AM$1004:$BM$1004,1,MATCH(COLUMNS($AM$1006:BK1006),$AM$1006:$BM$1006,0)))),"Fix")))</f>
        <v xml:space="preserve"> </v>
      </c>
      <c r="AA445" s="4" t="str">
        <f ca="1">IF(OR(INDEX($AG$2:$AG$1001,MATCH(ROWS($AF$2:AF445),$AF$2:$AF$1001,0),1)&gt;=100000,INDEX($AM$1005:$BM$1005,1,MATCH(COLUMNS($AM$1006:BL1006),$AM$1006:$BM$1006,0))&gt;=100000), " ",IF(INDEX($AM$2:$BM$1001,MATCH(ROWS($AF$2:AF445),$AF$2:$AF$1001,0),MATCH(COLUMNS($AM$1006:BL1006),$AM$1006:$BM$1006,0)), HYPERLINK("#",""), HYPERLINK(CONCATENATE("#metadata!", ADDRESS(INDEX($AH$2:$AH$1001,MATCH(ROWS($AF$2:AF445),$AF$2:$AF$1001,0),0), INDEX($AM$1004:$BM$1004,1,MATCH(COLUMNS($AM$1006:BL1006),$AM$1006:$BM$1006,0)))),"Fix")))</f>
        <v xml:space="preserve"> </v>
      </c>
      <c r="AB445" s="4" t="str">
        <f ca="1">IF(OR(INDEX($AG$2:$AG$1001,MATCH(ROWS($AF$2:AF445),$AF$2:$AF$1001,0),1)&gt;=100000,INDEX($AM$1005:$BM$1005,1,MATCH(COLUMNS($AM$1006:BM1006),$AM$1006:$BM$1006,0))&gt;=100000), " ",IF(INDEX($AM$2:$BM$1001,MATCH(ROWS($AF$2:AF445),$AF$2:$AF$1001,0),MATCH(COLUMNS($AM$1006:BM1006),$AM$1006:$BM$1006,0)), HYPERLINK("#",""), HYPERLINK(CONCATENATE("#metadata!", ADDRESS(INDEX($AH$2:$AH$1001,MATCH(ROWS($AF$2:AF445),$AF$2:$AF$1001,0),0), INDEX($AM$1004:$BM$1004,1,MATCH(COLUMNS($AM$1006:BM1006),$AM$1006:$BM$1006,0)))),"Fix")))</f>
        <v xml:space="preserve"> </v>
      </c>
      <c r="AF445">
        <v>444</v>
      </c>
      <c r="AG445">
        <v>100445</v>
      </c>
      <c r="AH445">
        <v>445</v>
      </c>
      <c r="AI445" t="b">
        <f t="shared" si="6"/>
        <v>1</v>
      </c>
      <c r="AJ445" t="b">
        <f>COUNTBLANK(metadata!B445:AB445)=COLUMNS(metadata!B445:AB445)</f>
        <v>1</v>
      </c>
      <c r="AK445" t="str">
        <v/>
      </c>
      <c r="AM445" t="b">
        <f ca="1">AND(IF(metadata!B445="",FALSE,TRUE),COUNTIF(metadata!B:B, metadata!B445) = 1,NOT(ISERROR(SUMPRODUCT(SEARCH(MID(metadata!B445,ROW(INDIRECT("1:"&amp;LEN(metadata!B445))), 1),"0123456789abcdefghijklmnopqrstuvwxyzABCDEFGHIJKLMNOPQRSTUVWXYZ.")))))</f>
        <v>0</v>
      </c>
      <c r="AN445" t="b">
        <f ca="1">OR(AND(IF(metadata!C445="",FALSE,TRUE),OR(EXACT(metadata!C445,"missing: not collected"),EXACT(metadata!C445,"missing: not provided"),EXACT(metadata!C445,"missing: restricted access"))),AND(IF(metadata!C445="",FALSE,TRUE),AND(AND(IFERROR(INT(LEFT(metadata!C445,4))&gt;1900,FALSE),IFERROR(INT(LEFT(metadata!C445,4))&lt;=YEAR(NOW()),FALSE)), OR(MID(metadata!C445,5,1)="", AND(AND(MID(metadata!C445,5,1)="-",IFERROR(INT(MID(metadata!C445,6,1))&gt;=0,FALSE),IFERROR(INT(MID(metadata!C445,6,1))&lt;=1,FALSE),NOT(MID(metadata!C445,7,1)=""),IFERROR(INT(MID(metadata!C445,6,2))&gt;=1,FALSE),IFERROR(INT(MID(metadata!C445,6,2))&lt;=12,FALSE)), OR(MID(metadata!C445,8,1)="", AND(AND(MID(metadata!C445,8,1)="-",IFERROR(INT(MID(metadata!C445,9,1))&gt;=0,FALSE),IFERROR(INT(MID(metadata!C445,9,1))&lt;=3,FALSE),NOT(MID(metadata!C445,10,1)=""),IFERROR(INT(MID(metadata!C445,9,2))&gt;=1,FALSE),IFERROR(INT(MID(metadata!C445,9,2))&lt;=31,FALSE)), OR(MID(metadata!C445,11,1)="", AND(AND(MID(metadata!C445,11,1)=" ",IFERROR(INT(MID(metadata!C445,12,1))&gt;=0,FALSE),IFERROR(INT(MID(metadata!C445,12,1))&lt;=2,FALSE),NOT(MID(metadata!C445,13,1)=""),IFERROR(INT(MID(metadata!C445,12,2))&gt;=0,FALSE),IFERROR(INT(MID(metadata!C445,12,2))&lt;=23,FALSE)), OR(MID(metadata!C445,14,1)="", AND(AND(MID(metadata!C445,14,1)=":",IFERROR(INT(MID(metadata!C445,15,1))&gt;=0,FALSE),IFERROR(INT(MID(metadata!C445,15,1))&lt;=5,FALSE),NOT(MID(metadata!C445,16,1)=""),IFERROR(INT(MID(metadata!C445,15,2))&gt;=0,FALSE),IFERROR(INT(MID(metadata!C445,15,2))&lt;=59,FALSE)), OR(MID(metadata!C445,17,1)="", AND(AND(MID(metadata!C445,17,1)=":",IFERROR(INT(MID(metadata!C445,18,1))&gt;=0,FALSE),IFERROR(INT(MID(metadata!C445,18,1))&lt;=5,FALSE),NOT(MID(metadata!C445,19,1)=""),IFERROR(INT(MID(metadata!C445,18,2))&gt;=0,FALSE),IFERROR(INT(MID(metadata!C445,18,2))&lt;=59,FALSE)), LEN(metadata!C445)&lt;=19)))))))))))))</f>
        <v>0</v>
      </c>
      <c r="AO445" t="b">
        <f>AND(IF(metadata!D445="",FALSE,TRUE),EXACT(metadata!D445,"Not applicable"))</f>
        <v>0</v>
      </c>
      <c r="AP445" t="b">
        <f>IF(metadata!E445="",FALSE,TRUE)</f>
        <v>0</v>
      </c>
      <c r="AQ445" t="b">
        <f>OR(AND(IF(metadata!F445="",FALSE,TRUE),OR(EXACT(metadata!F445,"missing: not collected"),EXACT(metadata!F445,"missing: not provided"))),AND(IF(metadata!F445="",FALSE,TRUE),OR(EXACT(metadata!F445,"TRUE"),EXACT(metadata!F445,"FALSE"))))</f>
        <v>0</v>
      </c>
      <c r="AR445" t="b">
        <f>OR(AND(IF(metadata!G445="",FALSE,TRUE),OR(EXACT(metadata!G445,"missing: not collected"),EXACT(metadata!G445,"missing: not provided"),EXACT(metadata!G445,"missing: restricted access"))),AND(IF(metadata!G445="",FALSE,ISNUMBER(VALUE(metadata!G445))),metadata!G445&gt;=-413))</f>
        <v>0</v>
      </c>
      <c r="AS445" t="b">
        <f>AND(IF(metadata!H445="",FALSE,TRUE),EXACT(metadata!H445,"meters"))</f>
        <v>0</v>
      </c>
      <c r="AT445" t="b">
        <f>AND(IF(metadata!I445="",FALSE,TRUE),OR(EXACT(metadata!I445,"Host-associated"),EXACT(metadata!I445,"Free-living")))</f>
        <v>0</v>
      </c>
      <c r="AU445" t="b">
        <f>AND(IF(metadata!J445="",FALSE,TRUE),OR(EXACT(metadata!J445,"Animal"),EXACT(metadata!J445,"Fungus"),EXACT(metadata!J445,"Plant"),EXACT(metadata!J445,"Saline"),EXACT(metadata!J445,"Non-saline")))</f>
        <v>0</v>
      </c>
      <c r="AV445" t="b">
        <f>AND(IF(metadata!K445="",FALSE,TRUE),OR(EXACT(metadata!K445,"Plant secretion"),EXACT(metadata!K445,"Plant rhizosphere"),EXACT(metadata!K445,"Plant surface"),EXACT(metadata!K445,"Plant corpus"),EXACT(metadata!K445,"Fungus surface"),EXACT(metadata!K445,"Fungus corpus"),EXACT(metadata!K445,"Animal surface"),EXACT(metadata!K445,"Animal proximal gut"),EXACT(metadata!K445,"Animal corpus"),EXACT(metadata!K445,"Animal distal gut"),EXACT(metadata!K445,"Animal secretion"),EXACT(metadata!K445,"Sub-surface (non-saline)"),EXACT(metadata!K445,"Surface (non-saline)"),EXACT(metadata!K445,"Water (non-saline)"),EXACT(metadata!K445,"Soil (non-saline)"),EXACT(metadata!K445,"Aerosol (non-saline)"),EXACT(metadata!K445,"Sediment (non-saline)"),EXACT(metadata!K445,"Surface (saline)"),EXACT(metadata!K445,"Water (saline)"),EXACT(metadata!K445,"Hypersaline (saline)"),EXACT(metadata!K445,"Aerosol (saline)"),EXACT(metadata!K445,"Sediment (saline)")))</f>
        <v>0</v>
      </c>
      <c r="AW445" t="b">
        <f>IF(metadata!L445="",FALSE,TRUE)</f>
        <v>0</v>
      </c>
      <c r="AX445" t="b">
        <f>IF(metadata!M445="",FALSE,TRUE)</f>
        <v>0</v>
      </c>
      <c r="AY445" t="b">
        <f>IF(metadata!N445="",FALSE,TRUE)</f>
        <v>0</v>
      </c>
      <c r="AZ445" t="b">
        <f>OR(AND(IF(metadata!O445="",FALSE,TRUE),OR(EXACT(metadata!O445,"missing: not collected"),EXACT(metadata!O445,"missing: not provided"),EXACT(metadata!O445,"missing: restricted access"))),AND(IF(metadata!O445="",FALSE,TRUE),OR(EXACT(metadata!O445,"air"),EXACT(metadata!O445,"built environment"),EXACT(metadata!O445,"host-associated"),EXACT(metadata!O445,"human-associated"),EXACT(metadata!O445,"human-skin"),EXACT(metadata!O445,"human-oral"),EXACT(metadata!O445,"human-gut"),EXACT(metadata!O445,"human-vaginal"),EXACT(metadata!O445,"microbial mat/biofilm"),EXACT(metadata!O445,"misc environment"),EXACT(metadata!O445,"plant-associated"),EXACT(metadata!O445,"sediment"),EXACT(metadata!O445,"soil"),EXACT(metadata!O445,"wastewater/sludge"),EXACT(metadata!O445,"water"))))</f>
        <v>0</v>
      </c>
      <c r="BA445" t="b">
        <f>IF(metadata!P445="",FALSE,TRUE)</f>
        <v>0</v>
      </c>
      <c r="BB445" t="b">
        <f>IF(metadata!Q445="",FALSE,TRUE)</f>
        <v>0</v>
      </c>
      <c r="BC445" t="b">
        <f>OR(AND(IF(metadata!R445="",FALSE,TRUE),OR(EXACT(metadata!R445,"missing: not collected"),EXACT(metadata!R445,"missing: not provided"),EXACT(metadata!R445,"missing: restricted access"))),AND(IF(metadata!R445="",FALSE,ISNUMBER(VALUE(metadata!R445))),metadata!R445&gt;=-90,metadata!R445&lt;=90))</f>
        <v>0</v>
      </c>
      <c r="BD445" t="b">
        <f>AND(IF(metadata!S445="",FALSE,TRUE),EXACT(metadata!S445,"Decimal degrees"))</f>
        <v>0</v>
      </c>
      <c r="BE445" t="b">
        <f>OR(AND(IF(metadata!T445="",FALSE,TRUE),OR(EXACT(metadata!T445,"missing: not collected"),EXACT(metadata!T445,"missing: not provided"),EXACT(metadata!T445,"missing: restricted access"))),AND(IF(metadata!T445="",FALSE,ISNUMBER(VALUE(metadata!T445))),metadata!T445&gt;=-180,metadata!T445&lt;=180))</f>
        <v>0</v>
      </c>
      <c r="BF445" t="b">
        <f>AND(IF(metadata!U445="",FALSE,TRUE),EXACT(metadata!U445,"Decimal degrees"))</f>
        <v>0</v>
      </c>
      <c r="BG445" t="b">
        <f>IF(metadata!V445="",FALSE,TRUE)</f>
        <v>0</v>
      </c>
      <c r="BH445" t="b">
        <f>OR(AND(IF(metadata!W445="",FALSE,TRUE),OR(EXACT(metadata!W445,"missing: not collected"),EXACT(metadata!W445,"missing: not provided"),EXACT(metadata!W445,"missing: restricted access"))),AND(IF(metadata!W445="",FALSE,TRUE),OR(EXACT(metadata!W445,"TRUE"),EXACT(metadata!W445,"FALSE"))))</f>
        <v>0</v>
      </c>
      <c r="BI445" t="b">
        <f>AND(IF(metadata!X445="",FALSE,TRUE),EXACT(metadata!X445,"other"))</f>
        <v>0</v>
      </c>
      <c r="BJ445" t="b">
        <f>IF(metadata!Y445="",FALSE,TRUE)</f>
        <v>0</v>
      </c>
      <c r="BK445" t="b">
        <f>OR(AND(IF(metadata!Z445="",FALSE,TRUE),OR(EXACT(metadata!Z445,"missing: not collected"),EXACT(metadata!Z445,"missing: not provided"))),AND(IF(metadata!Z445="",FALSE,IF(ISERROR(INT(metadata!Z445)),FALSE,INT(metadata!Z445)=metadata!Z445)),metadata!Z445&gt;0))</f>
        <v>0</v>
      </c>
      <c r="BL445" t="b">
        <f>AND(IF(metadata!AA445="",FALSE,TRUE),EXACT(metadata!AA445,"Not applicable"))</f>
        <v>0</v>
      </c>
      <c r="BM445" t="b">
        <f>IF(metadata!AB445="",FALSE,TRUE)</f>
        <v>0</v>
      </c>
    </row>
    <row r="446" spans="1:65" x14ac:dyDescent="0.2">
      <c r="A446" s="5" t="str">
        <f ca="1">IF(B446=" "," ",HYPERLINK(CONCATENATE("#metadata!",ADDRESS(INDEX($AH$2:$AH$1001,MATCH(ROWS($AF$2:AF446),$AF$2:$AF$1001,0),0),1)),INDEX($AK$2:$AK$1001,MATCH(ROWS($AF$2:AF446),$AF$2:$AF$1001,0),0)))</f>
        <v xml:space="preserve"> </v>
      </c>
      <c r="B446" s="4" t="str">
        <f ca="1">IF(OR(INDEX($AG$2:$AG$1001,MATCH(ROWS($AF$2:AF446),$AF$2:$AF$1001,0),1)&gt;=100000,INDEX($AM$1005:$BM$1005,1,MATCH(COLUMNS($AM$1006:AM1006),$AM$1006:$BM$1006,0))&gt;=100000), " ",IF(INDEX($AM$2:$BM$1001,MATCH(ROWS($AF$2:AF446),$AF$2:$AF$1001,0),MATCH(COLUMNS($AM$1006:AM1006),$AM$1006:$BM$1006,0)), HYPERLINK("#",""), HYPERLINK(CONCATENATE("#metadata!", ADDRESS(INDEX($AH$2:$AH$1001,MATCH(ROWS($AF$2:AF446),$AF$2:$AF$1001,0),0), INDEX($AM$1004:$BM$1004,1,MATCH(COLUMNS($AM$1006:AM1006),$AM$1006:$BM$1006,0)))),"Fix")))</f>
        <v xml:space="preserve"> </v>
      </c>
      <c r="C446" s="4" t="str">
        <f ca="1">IF(OR(INDEX($AG$2:$AG$1001,MATCH(ROWS($AF$2:AF446),$AF$2:$AF$1001,0),1)&gt;=100000,INDEX($AM$1005:$BM$1005,1,MATCH(COLUMNS($AM$1006:AN1006),$AM$1006:$BM$1006,0))&gt;=100000), " ",IF(INDEX($AM$2:$BM$1001,MATCH(ROWS($AF$2:AF446),$AF$2:$AF$1001,0),MATCH(COLUMNS($AM$1006:AN1006),$AM$1006:$BM$1006,0)), HYPERLINK("#",""), HYPERLINK(CONCATENATE("#metadata!", ADDRESS(INDEX($AH$2:$AH$1001,MATCH(ROWS($AF$2:AF446),$AF$2:$AF$1001,0),0), INDEX($AM$1004:$BM$1004,1,MATCH(COLUMNS($AM$1006:AN1006),$AM$1006:$BM$1006,0)))),"Fix")))</f>
        <v xml:space="preserve"> </v>
      </c>
      <c r="D446" s="4" t="str">
        <f ca="1">IF(OR(INDEX($AG$2:$AG$1001,MATCH(ROWS($AF$2:AF446),$AF$2:$AF$1001,0),1)&gt;=100000,INDEX($AM$1005:$BM$1005,1,MATCH(COLUMNS($AM$1006:AO1006),$AM$1006:$BM$1006,0))&gt;=100000), " ",IF(INDEX($AM$2:$BM$1001,MATCH(ROWS($AF$2:AF446),$AF$2:$AF$1001,0),MATCH(COLUMNS($AM$1006:AO1006),$AM$1006:$BM$1006,0)), HYPERLINK("#",""), HYPERLINK(CONCATENATE("#metadata!", ADDRESS(INDEX($AH$2:$AH$1001,MATCH(ROWS($AF$2:AF446),$AF$2:$AF$1001,0),0), INDEX($AM$1004:$BM$1004,1,MATCH(COLUMNS($AM$1006:AO1006),$AM$1006:$BM$1006,0)))),"Fix")))</f>
        <v xml:space="preserve"> </v>
      </c>
      <c r="E446" s="4" t="str">
        <f ca="1">IF(OR(INDEX($AG$2:$AG$1001,MATCH(ROWS($AF$2:AF446),$AF$2:$AF$1001,0),1)&gt;=100000,INDEX($AM$1005:$BM$1005,1,MATCH(COLUMNS($AM$1006:AP1006),$AM$1006:$BM$1006,0))&gt;=100000), " ",IF(INDEX($AM$2:$BM$1001,MATCH(ROWS($AF$2:AF446),$AF$2:$AF$1001,0),MATCH(COLUMNS($AM$1006:AP1006),$AM$1006:$BM$1006,0)), HYPERLINK("#",""), HYPERLINK(CONCATENATE("#metadata!", ADDRESS(INDEX($AH$2:$AH$1001,MATCH(ROWS($AF$2:AF446),$AF$2:$AF$1001,0),0), INDEX($AM$1004:$BM$1004,1,MATCH(COLUMNS($AM$1006:AP1006),$AM$1006:$BM$1006,0)))),"Fix")))</f>
        <v xml:space="preserve"> </v>
      </c>
      <c r="F446" s="4" t="str">
        <f ca="1">IF(OR(INDEX($AG$2:$AG$1001,MATCH(ROWS($AF$2:AF446),$AF$2:$AF$1001,0),1)&gt;=100000,INDEX($AM$1005:$BM$1005,1,MATCH(COLUMNS($AM$1006:AQ1006),$AM$1006:$BM$1006,0))&gt;=100000), " ",IF(INDEX($AM$2:$BM$1001,MATCH(ROWS($AF$2:AF446),$AF$2:$AF$1001,0),MATCH(COLUMNS($AM$1006:AQ1006),$AM$1006:$BM$1006,0)), HYPERLINK("#",""), HYPERLINK(CONCATENATE("#metadata!", ADDRESS(INDEX($AH$2:$AH$1001,MATCH(ROWS($AF$2:AF446),$AF$2:$AF$1001,0),0), INDEX($AM$1004:$BM$1004,1,MATCH(COLUMNS($AM$1006:AQ1006),$AM$1006:$BM$1006,0)))),"Fix")))</f>
        <v xml:space="preserve"> </v>
      </c>
      <c r="G446" s="4" t="str">
        <f ca="1">IF(OR(INDEX($AG$2:$AG$1001,MATCH(ROWS($AF$2:AF446),$AF$2:$AF$1001,0),1)&gt;=100000,INDEX($AM$1005:$BM$1005,1,MATCH(COLUMNS($AM$1006:AR1006),$AM$1006:$BM$1006,0))&gt;=100000), " ",IF(INDEX($AM$2:$BM$1001,MATCH(ROWS($AF$2:AF446),$AF$2:$AF$1001,0),MATCH(COLUMNS($AM$1006:AR1006),$AM$1006:$BM$1006,0)), HYPERLINK("#",""), HYPERLINK(CONCATENATE("#metadata!", ADDRESS(INDEX($AH$2:$AH$1001,MATCH(ROWS($AF$2:AF446),$AF$2:$AF$1001,0),0), INDEX($AM$1004:$BM$1004,1,MATCH(COLUMNS($AM$1006:AR1006),$AM$1006:$BM$1006,0)))),"Fix")))</f>
        <v xml:space="preserve"> </v>
      </c>
      <c r="H446" s="4" t="str">
        <f ca="1">IF(OR(INDEX($AG$2:$AG$1001,MATCH(ROWS($AF$2:AF446),$AF$2:$AF$1001,0),1)&gt;=100000,INDEX($AM$1005:$BM$1005,1,MATCH(COLUMNS($AM$1006:AS1006),$AM$1006:$BM$1006,0))&gt;=100000), " ",IF(INDEX($AM$2:$BM$1001,MATCH(ROWS($AF$2:AF446),$AF$2:$AF$1001,0),MATCH(COLUMNS($AM$1006:AS1006),$AM$1006:$BM$1006,0)), HYPERLINK("#",""), HYPERLINK(CONCATENATE("#metadata!", ADDRESS(INDEX($AH$2:$AH$1001,MATCH(ROWS($AF$2:AF446),$AF$2:$AF$1001,0),0), INDEX($AM$1004:$BM$1004,1,MATCH(COLUMNS($AM$1006:AS1006),$AM$1006:$BM$1006,0)))),"Fix")))</f>
        <v xml:space="preserve"> </v>
      </c>
      <c r="I446" s="4" t="str">
        <f ca="1">IF(OR(INDEX($AG$2:$AG$1001,MATCH(ROWS($AF$2:AF446),$AF$2:$AF$1001,0),1)&gt;=100000,INDEX($AM$1005:$BM$1005,1,MATCH(COLUMNS($AM$1006:AT1006),$AM$1006:$BM$1006,0))&gt;=100000), " ",IF(INDEX($AM$2:$BM$1001,MATCH(ROWS($AF$2:AF446),$AF$2:$AF$1001,0),MATCH(COLUMNS($AM$1006:AT1006),$AM$1006:$BM$1006,0)), HYPERLINK("#",""), HYPERLINK(CONCATENATE("#metadata!", ADDRESS(INDEX($AH$2:$AH$1001,MATCH(ROWS($AF$2:AF446),$AF$2:$AF$1001,0),0), INDEX($AM$1004:$BM$1004,1,MATCH(COLUMNS($AM$1006:AT1006),$AM$1006:$BM$1006,0)))),"Fix")))</f>
        <v xml:space="preserve"> </v>
      </c>
      <c r="J446" s="4" t="str">
        <f ca="1">IF(OR(INDEX($AG$2:$AG$1001,MATCH(ROWS($AF$2:AF446),$AF$2:$AF$1001,0),1)&gt;=100000,INDEX($AM$1005:$BM$1005,1,MATCH(COLUMNS($AM$1006:AU1006),$AM$1006:$BM$1006,0))&gt;=100000), " ",IF(INDEX($AM$2:$BM$1001,MATCH(ROWS($AF$2:AF446),$AF$2:$AF$1001,0),MATCH(COLUMNS($AM$1006:AU1006),$AM$1006:$BM$1006,0)), HYPERLINK("#",""), HYPERLINK(CONCATENATE("#metadata!", ADDRESS(INDEX($AH$2:$AH$1001,MATCH(ROWS($AF$2:AF446),$AF$2:$AF$1001,0),0), INDEX($AM$1004:$BM$1004,1,MATCH(COLUMNS($AM$1006:AU1006),$AM$1006:$BM$1006,0)))),"Fix")))</f>
        <v xml:space="preserve"> </v>
      </c>
      <c r="K446" s="4" t="str">
        <f ca="1">IF(OR(INDEX($AG$2:$AG$1001,MATCH(ROWS($AF$2:AF446),$AF$2:$AF$1001,0),1)&gt;=100000,INDEX($AM$1005:$BM$1005,1,MATCH(COLUMNS($AM$1006:AV1006),$AM$1006:$BM$1006,0))&gt;=100000), " ",IF(INDEX($AM$2:$BM$1001,MATCH(ROWS($AF$2:AF446),$AF$2:$AF$1001,0),MATCH(COLUMNS($AM$1006:AV1006),$AM$1006:$BM$1006,0)), HYPERLINK("#",""), HYPERLINK(CONCATENATE("#metadata!", ADDRESS(INDEX($AH$2:$AH$1001,MATCH(ROWS($AF$2:AF446),$AF$2:$AF$1001,0),0), INDEX($AM$1004:$BM$1004,1,MATCH(COLUMNS($AM$1006:AV1006),$AM$1006:$BM$1006,0)))),"Fix")))</f>
        <v xml:space="preserve"> </v>
      </c>
      <c r="L446" s="4" t="str">
        <f ca="1">IF(OR(INDEX($AG$2:$AG$1001,MATCH(ROWS($AF$2:AF446),$AF$2:$AF$1001,0),1)&gt;=100000,INDEX($AM$1005:$BM$1005,1,MATCH(COLUMNS($AM$1006:AW1006),$AM$1006:$BM$1006,0))&gt;=100000), " ",IF(INDEX($AM$2:$BM$1001,MATCH(ROWS($AF$2:AF446),$AF$2:$AF$1001,0),MATCH(COLUMNS($AM$1006:AW1006),$AM$1006:$BM$1006,0)), HYPERLINK("#",""), HYPERLINK(CONCATENATE("#metadata!", ADDRESS(INDEX($AH$2:$AH$1001,MATCH(ROWS($AF$2:AF446),$AF$2:$AF$1001,0),0), INDEX($AM$1004:$BM$1004,1,MATCH(COLUMNS($AM$1006:AW1006),$AM$1006:$BM$1006,0)))),"Fix")))</f>
        <v xml:space="preserve"> </v>
      </c>
      <c r="M446" s="4" t="str">
        <f ca="1">IF(OR(INDEX($AG$2:$AG$1001,MATCH(ROWS($AF$2:AF446),$AF$2:$AF$1001,0),1)&gt;=100000,INDEX($AM$1005:$BM$1005,1,MATCH(COLUMNS($AM$1006:AX1006),$AM$1006:$BM$1006,0))&gt;=100000), " ",IF(INDEX($AM$2:$BM$1001,MATCH(ROWS($AF$2:AF446),$AF$2:$AF$1001,0),MATCH(COLUMNS($AM$1006:AX1006),$AM$1006:$BM$1006,0)), HYPERLINK("#",""), HYPERLINK(CONCATENATE("#metadata!", ADDRESS(INDEX($AH$2:$AH$1001,MATCH(ROWS($AF$2:AF446),$AF$2:$AF$1001,0),0), INDEX($AM$1004:$BM$1004,1,MATCH(COLUMNS($AM$1006:AX1006),$AM$1006:$BM$1006,0)))),"Fix")))</f>
        <v xml:space="preserve"> </v>
      </c>
      <c r="N446" s="4" t="str">
        <f ca="1">IF(OR(INDEX($AG$2:$AG$1001,MATCH(ROWS($AF$2:AF446),$AF$2:$AF$1001,0),1)&gt;=100000,INDEX($AM$1005:$BM$1005,1,MATCH(COLUMNS($AM$1006:AY1006),$AM$1006:$BM$1006,0))&gt;=100000), " ",IF(INDEX($AM$2:$BM$1001,MATCH(ROWS($AF$2:AF446),$AF$2:$AF$1001,0),MATCH(COLUMNS($AM$1006:AY1006),$AM$1006:$BM$1006,0)), HYPERLINK("#",""), HYPERLINK(CONCATENATE("#metadata!", ADDRESS(INDEX($AH$2:$AH$1001,MATCH(ROWS($AF$2:AF446),$AF$2:$AF$1001,0),0), INDEX($AM$1004:$BM$1004,1,MATCH(COLUMNS($AM$1006:AY1006),$AM$1006:$BM$1006,0)))),"Fix")))</f>
        <v xml:space="preserve"> </v>
      </c>
      <c r="O446" s="4" t="str">
        <f ca="1">IF(OR(INDEX($AG$2:$AG$1001,MATCH(ROWS($AF$2:AF446),$AF$2:$AF$1001,0),1)&gt;=100000,INDEX($AM$1005:$BM$1005,1,MATCH(COLUMNS($AM$1006:AZ1006),$AM$1006:$BM$1006,0))&gt;=100000), " ",IF(INDEX($AM$2:$BM$1001,MATCH(ROWS($AF$2:AF446),$AF$2:$AF$1001,0),MATCH(COLUMNS($AM$1006:AZ1006),$AM$1006:$BM$1006,0)), HYPERLINK("#",""), HYPERLINK(CONCATENATE("#metadata!", ADDRESS(INDEX($AH$2:$AH$1001,MATCH(ROWS($AF$2:AF446),$AF$2:$AF$1001,0),0), INDEX($AM$1004:$BM$1004,1,MATCH(COLUMNS($AM$1006:AZ1006),$AM$1006:$BM$1006,0)))),"Fix")))</f>
        <v xml:space="preserve"> </v>
      </c>
      <c r="P446" s="4" t="str">
        <f ca="1">IF(OR(INDEX($AG$2:$AG$1001,MATCH(ROWS($AF$2:AF446),$AF$2:$AF$1001,0),1)&gt;=100000,INDEX($AM$1005:$BM$1005,1,MATCH(COLUMNS($AM$1006:BA1006),$AM$1006:$BM$1006,0))&gt;=100000), " ",IF(INDEX($AM$2:$BM$1001,MATCH(ROWS($AF$2:AF446),$AF$2:$AF$1001,0),MATCH(COLUMNS($AM$1006:BA1006),$AM$1006:$BM$1006,0)), HYPERLINK("#",""), HYPERLINK(CONCATENATE("#metadata!", ADDRESS(INDEX($AH$2:$AH$1001,MATCH(ROWS($AF$2:AF446),$AF$2:$AF$1001,0),0), INDEX($AM$1004:$BM$1004,1,MATCH(COLUMNS($AM$1006:BA1006),$AM$1006:$BM$1006,0)))),"Fix")))</f>
        <v xml:space="preserve"> </v>
      </c>
      <c r="Q446" s="4" t="str">
        <f ca="1">IF(OR(INDEX($AG$2:$AG$1001,MATCH(ROWS($AF$2:AF446),$AF$2:$AF$1001,0),1)&gt;=100000,INDEX($AM$1005:$BM$1005,1,MATCH(COLUMNS($AM$1006:BB1006),$AM$1006:$BM$1006,0))&gt;=100000), " ",IF(INDEX($AM$2:$BM$1001,MATCH(ROWS($AF$2:AF446),$AF$2:$AF$1001,0),MATCH(COLUMNS($AM$1006:BB1006),$AM$1006:$BM$1006,0)), HYPERLINK("#",""), HYPERLINK(CONCATENATE("#metadata!", ADDRESS(INDEX($AH$2:$AH$1001,MATCH(ROWS($AF$2:AF446),$AF$2:$AF$1001,0),0), INDEX($AM$1004:$BM$1004,1,MATCH(COLUMNS($AM$1006:BB1006),$AM$1006:$BM$1006,0)))),"Fix")))</f>
        <v xml:space="preserve"> </v>
      </c>
      <c r="R446" s="4" t="str">
        <f ca="1">IF(OR(INDEX($AG$2:$AG$1001,MATCH(ROWS($AF$2:AF446),$AF$2:$AF$1001,0),1)&gt;=100000,INDEX($AM$1005:$BM$1005,1,MATCH(COLUMNS($AM$1006:BC1006),$AM$1006:$BM$1006,0))&gt;=100000), " ",IF(INDEX($AM$2:$BM$1001,MATCH(ROWS($AF$2:AF446),$AF$2:$AF$1001,0),MATCH(COLUMNS($AM$1006:BC1006),$AM$1006:$BM$1006,0)), HYPERLINK("#",""), HYPERLINK(CONCATENATE("#metadata!", ADDRESS(INDEX($AH$2:$AH$1001,MATCH(ROWS($AF$2:AF446),$AF$2:$AF$1001,0),0), INDEX($AM$1004:$BM$1004,1,MATCH(COLUMNS($AM$1006:BC1006),$AM$1006:$BM$1006,0)))),"Fix")))</f>
        <v xml:space="preserve"> </v>
      </c>
      <c r="S446" s="4" t="str">
        <f ca="1">IF(OR(INDEX($AG$2:$AG$1001,MATCH(ROWS($AF$2:AF446),$AF$2:$AF$1001,0),1)&gt;=100000,INDEX($AM$1005:$BM$1005,1,MATCH(COLUMNS($AM$1006:BD1006),$AM$1006:$BM$1006,0))&gt;=100000), " ",IF(INDEX($AM$2:$BM$1001,MATCH(ROWS($AF$2:AF446),$AF$2:$AF$1001,0),MATCH(COLUMNS($AM$1006:BD1006),$AM$1006:$BM$1006,0)), HYPERLINK("#",""), HYPERLINK(CONCATENATE("#metadata!", ADDRESS(INDEX($AH$2:$AH$1001,MATCH(ROWS($AF$2:AF446),$AF$2:$AF$1001,0),0), INDEX($AM$1004:$BM$1004,1,MATCH(COLUMNS($AM$1006:BD1006),$AM$1006:$BM$1006,0)))),"Fix")))</f>
        <v xml:space="preserve"> </v>
      </c>
      <c r="T446" s="4" t="str">
        <f ca="1">IF(OR(INDEX($AG$2:$AG$1001,MATCH(ROWS($AF$2:AF446),$AF$2:$AF$1001,0),1)&gt;=100000,INDEX($AM$1005:$BM$1005,1,MATCH(COLUMNS($AM$1006:BE1006),$AM$1006:$BM$1006,0))&gt;=100000), " ",IF(INDEX($AM$2:$BM$1001,MATCH(ROWS($AF$2:AF446),$AF$2:$AF$1001,0),MATCH(COLUMNS($AM$1006:BE1006),$AM$1006:$BM$1006,0)), HYPERLINK("#",""), HYPERLINK(CONCATENATE("#metadata!", ADDRESS(INDEX($AH$2:$AH$1001,MATCH(ROWS($AF$2:AF446),$AF$2:$AF$1001,0),0), INDEX($AM$1004:$BM$1004,1,MATCH(COLUMNS($AM$1006:BE1006),$AM$1006:$BM$1006,0)))),"Fix")))</f>
        <v xml:space="preserve"> </v>
      </c>
      <c r="U446" s="4" t="str">
        <f ca="1">IF(OR(INDEX($AG$2:$AG$1001,MATCH(ROWS($AF$2:AF446),$AF$2:$AF$1001,0),1)&gt;=100000,INDEX($AM$1005:$BM$1005,1,MATCH(COLUMNS($AM$1006:BF1006),$AM$1006:$BM$1006,0))&gt;=100000), " ",IF(INDEX($AM$2:$BM$1001,MATCH(ROWS($AF$2:AF446),$AF$2:$AF$1001,0),MATCH(COLUMNS($AM$1006:BF1006),$AM$1006:$BM$1006,0)), HYPERLINK("#",""), HYPERLINK(CONCATENATE("#metadata!", ADDRESS(INDEX($AH$2:$AH$1001,MATCH(ROWS($AF$2:AF446),$AF$2:$AF$1001,0),0), INDEX($AM$1004:$BM$1004,1,MATCH(COLUMNS($AM$1006:BF1006),$AM$1006:$BM$1006,0)))),"Fix")))</f>
        <v xml:space="preserve"> </v>
      </c>
      <c r="V446" s="4" t="str">
        <f ca="1">IF(OR(INDEX($AG$2:$AG$1001,MATCH(ROWS($AF$2:AF446),$AF$2:$AF$1001,0),1)&gt;=100000,INDEX($AM$1005:$BM$1005,1,MATCH(COLUMNS($AM$1006:BG1006),$AM$1006:$BM$1006,0))&gt;=100000), " ",IF(INDEX($AM$2:$BM$1001,MATCH(ROWS($AF$2:AF446),$AF$2:$AF$1001,0),MATCH(COLUMNS($AM$1006:BG1006),$AM$1006:$BM$1006,0)), HYPERLINK("#",""), HYPERLINK(CONCATENATE("#metadata!", ADDRESS(INDEX($AH$2:$AH$1001,MATCH(ROWS($AF$2:AF446),$AF$2:$AF$1001,0),0), INDEX($AM$1004:$BM$1004,1,MATCH(COLUMNS($AM$1006:BG1006),$AM$1006:$BM$1006,0)))),"Fix")))</f>
        <v xml:space="preserve"> </v>
      </c>
      <c r="W446" s="4" t="str">
        <f ca="1">IF(OR(INDEX($AG$2:$AG$1001,MATCH(ROWS($AF$2:AF446),$AF$2:$AF$1001,0),1)&gt;=100000,INDEX($AM$1005:$BM$1005,1,MATCH(COLUMNS($AM$1006:BH1006),$AM$1006:$BM$1006,0))&gt;=100000), " ",IF(INDEX($AM$2:$BM$1001,MATCH(ROWS($AF$2:AF446),$AF$2:$AF$1001,0),MATCH(COLUMNS($AM$1006:BH1006),$AM$1006:$BM$1006,0)), HYPERLINK("#",""), HYPERLINK(CONCATENATE("#metadata!", ADDRESS(INDEX($AH$2:$AH$1001,MATCH(ROWS($AF$2:AF446),$AF$2:$AF$1001,0),0), INDEX($AM$1004:$BM$1004,1,MATCH(COLUMNS($AM$1006:BH1006),$AM$1006:$BM$1006,0)))),"Fix")))</f>
        <v xml:space="preserve"> </v>
      </c>
      <c r="X446" s="4" t="str">
        <f ca="1">IF(OR(INDEX($AG$2:$AG$1001,MATCH(ROWS($AF$2:AF446),$AF$2:$AF$1001,0),1)&gt;=100000,INDEX($AM$1005:$BM$1005,1,MATCH(COLUMNS($AM$1006:BI1006),$AM$1006:$BM$1006,0))&gt;=100000), " ",IF(INDEX($AM$2:$BM$1001,MATCH(ROWS($AF$2:AF446),$AF$2:$AF$1001,0),MATCH(COLUMNS($AM$1006:BI1006),$AM$1006:$BM$1006,0)), HYPERLINK("#",""), HYPERLINK(CONCATENATE("#metadata!", ADDRESS(INDEX($AH$2:$AH$1001,MATCH(ROWS($AF$2:AF446),$AF$2:$AF$1001,0),0), INDEX($AM$1004:$BM$1004,1,MATCH(COLUMNS($AM$1006:BI1006),$AM$1006:$BM$1006,0)))),"Fix")))</f>
        <v xml:space="preserve"> </v>
      </c>
      <c r="Y446" s="4" t="str">
        <f ca="1">IF(OR(INDEX($AG$2:$AG$1001,MATCH(ROWS($AF$2:AF446),$AF$2:$AF$1001,0),1)&gt;=100000,INDEX($AM$1005:$BM$1005,1,MATCH(COLUMNS($AM$1006:BJ1006),$AM$1006:$BM$1006,0))&gt;=100000), " ",IF(INDEX($AM$2:$BM$1001,MATCH(ROWS($AF$2:AF446),$AF$2:$AF$1001,0),MATCH(COLUMNS($AM$1006:BJ1006),$AM$1006:$BM$1006,0)), HYPERLINK("#",""), HYPERLINK(CONCATENATE("#metadata!", ADDRESS(INDEX($AH$2:$AH$1001,MATCH(ROWS($AF$2:AF446),$AF$2:$AF$1001,0),0), INDEX($AM$1004:$BM$1004,1,MATCH(COLUMNS($AM$1006:BJ1006),$AM$1006:$BM$1006,0)))),"Fix")))</f>
        <v xml:space="preserve"> </v>
      </c>
      <c r="Z446" s="4" t="str">
        <f ca="1">IF(OR(INDEX($AG$2:$AG$1001,MATCH(ROWS($AF$2:AF446),$AF$2:$AF$1001,0),1)&gt;=100000,INDEX($AM$1005:$BM$1005,1,MATCH(COLUMNS($AM$1006:BK1006),$AM$1006:$BM$1006,0))&gt;=100000), " ",IF(INDEX($AM$2:$BM$1001,MATCH(ROWS($AF$2:AF446),$AF$2:$AF$1001,0),MATCH(COLUMNS($AM$1006:BK1006),$AM$1006:$BM$1006,0)), HYPERLINK("#",""), HYPERLINK(CONCATENATE("#metadata!", ADDRESS(INDEX($AH$2:$AH$1001,MATCH(ROWS($AF$2:AF446),$AF$2:$AF$1001,0),0), INDEX($AM$1004:$BM$1004,1,MATCH(COLUMNS($AM$1006:BK1006),$AM$1006:$BM$1006,0)))),"Fix")))</f>
        <v xml:space="preserve"> </v>
      </c>
      <c r="AA446" s="4" t="str">
        <f ca="1">IF(OR(INDEX($AG$2:$AG$1001,MATCH(ROWS($AF$2:AF446),$AF$2:$AF$1001,0),1)&gt;=100000,INDEX($AM$1005:$BM$1005,1,MATCH(COLUMNS($AM$1006:BL1006),$AM$1006:$BM$1006,0))&gt;=100000), " ",IF(INDEX($AM$2:$BM$1001,MATCH(ROWS($AF$2:AF446),$AF$2:$AF$1001,0),MATCH(COLUMNS($AM$1006:BL1006),$AM$1006:$BM$1006,0)), HYPERLINK("#",""), HYPERLINK(CONCATENATE("#metadata!", ADDRESS(INDEX($AH$2:$AH$1001,MATCH(ROWS($AF$2:AF446),$AF$2:$AF$1001,0),0), INDEX($AM$1004:$BM$1004,1,MATCH(COLUMNS($AM$1006:BL1006),$AM$1006:$BM$1006,0)))),"Fix")))</f>
        <v xml:space="preserve"> </v>
      </c>
      <c r="AB446" s="4" t="str">
        <f ca="1">IF(OR(INDEX($AG$2:$AG$1001,MATCH(ROWS($AF$2:AF446),$AF$2:$AF$1001,0),1)&gt;=100000,INDEX($AM$1005:$BM$1005,1,MATCH(COLUMNS($AM$1006:BM1006),$AM$1006:$BM$1006,0))&gt;=100000), " ",IF(INDEX($AM$2:$BM$1001,MATCH(ROWS($AF$2:AF446),$AF$2:$AF$1001,0),MATCH(COLUMNS($AM$1006:BM1006),$AM$1006:$BM$1006,0)), HYPERLINK("#",""), HYPERLINK(CONCATENATE("#metadata!", ADDRESS(INDEX($AH$2:$AH$1001,MATCH(ROWS($AF$2:AF446),$AF$2:$AF$1001,0),0), INDEX($AM$1004:$BM$1004,1,MATCH(COLUMNS($AM$1006:BM1006),$AM$1006:$BM$1006,0)))),"Fix")))</f>
        <v xml:space="preserve"> </v>
      </c>
      <c r="AF446">
        <v>445</v>
      </c>
      <c r="AG446">
        <v>100446</v>
      </c>
      <c r="AH446">
        <v>446</v>
      </c>
      <c r="AI446" t="b">
        <f t="shared" si="6"/>
        <v>1</v>
      </c>
      <c r="AJ446" t="b">
        <f>COUNTBLANK(metadata!B446:AB446)=COLUMNS(metadata!B446:AB446)</f>
        <v>1</v>
      </c>
      <c r="AK446" t="str">
        <v/>
      </c>
      <c r="AM446" t="b">
        <f ca="1">AND(IF(metadata!B446="",FALSE,TRUE),COUNTIF(metadata!B:B, metadata!B446) = 1,NOT(ISERROR(SUMPRODUCT(SEARCH(MID(metadata!B446,ROW(INDIRECT("1:"&amp;LEN(metadata!B446))), 1),"0123456789abcdefghijklmnopqrstuvwxyzABCDEFGHIJKLMNOPQRSTUVWXYZ.")))))</f>
        <v>0</v>
      </c>
      <c r="AN446" t="b">
        <f ca="1">OR(AND(IF(metadata!C446="",FALSE,TRUE),OR(EXACT(metadata!C446,"missing: not collected"),EXACT(metadata!C446,"missing: not provided"),EXACT(metadata!C446,"missing: restricted access"))),AND(IF(metadata!C446="",FALSE,TRUE),AND(AND(IFERROR(INT(LEFT(metadata!C446,4))&gt;1900,FALSE),IFERROR(INT(LEFT(metadata!C446,4))&lt;=YEAR(NOW()),FALSE)), OR(MID(metadata!C446,5,1)="", AND(AND(MID(metadata!C446,5,1)="-",IFERROR(INT(MID(metadata!C446,6,1))&gt;=0,FALSE),IFERROR(INT(MID(metadata!C446,6,1))&lt;=1,FALSE),NOT(MID(metadata!C446,7,1)=""),IFERROR(INT(MID(metadata!C446,6,2))&gt;=1,FALSE),IFERROR(INT(MID(metadata!C446,6,2))&lt;=12,FALSE)), OR(MID(metadata!C446,8,1)="", AND(AND(MID(metadata!C446,8,1)="-",IFERROR(INT(MID(metadata!C446,9,1))&gt;=0,FALSE),IFERROR(INT(MID(metadata!C446,9,1))&lt;=3,FALSE),NOT(MID(metadata!C446,10,1)=""),IFERROR(INT(MID(metadata!C446,9,2))&gt;=1,FALSE),IFERROR(INT(MID(metadata!C446,9,2))&lt;=31,FALSE)), OR(MID(metadata!C446,11,1)="", AND(AND(MID(metadata!C446,11,1)=" ",IFERROR(INT(MID(metadata!C446,12,1))&gt;=0,FALSE),IFERROR(INT(MID(metadata!C446,12,1))&lt;=2,FALSE),NOT(MID(metadata!C446,13,1)=""),IFERROR(INT(MID(metadata!C446,12,2))&gt;=0,FALSE),IFERROR(INT(MID(metadata!C446,12,2))&lt;=23,FALSE)), OR(MID(metadata!C446,14,1)="", AND(AND(MID(metadata!C446,14,1)=":",IFERROR(INT(MID(metadata!C446,15,1))&gt;=0,FALSE),IFERROR(INT(MID(metadata!C446,15,1))&lt;=5,FALSE),NOT(MID(metadata!C446,16,1)=""),IFERROR(INT(MID(metadata!C446,15,2))&gt;=0,FALSE),IFERROR(INT(MID(metadata!C446,15,2))&lt;=59,FALSE)), OR(MID(metadata!C446,17,1)="", AND(AND(MID(metadata!C446,17,1)=":",IFERROR(INT(MID(metadata!C446,18,1))&gt;=0,FALSE),IFERROR(INT(MID(metadata!C446,18,1))&lt;=5,FALSE),NOT(MID(metadata!C446,19,1)=""),IFERROR(INT(MID(metadata!C446,18,2))&gt;=0,FALSE),IFERROR(INT(MID(metadata!C446,18,2))&lt;=59,FALSE)), LEN(metadata!C446)&lt;=19)))))))))))))</f>
        <v>0</v>
      </c>
      <c r="AO446" t="b">
        <f>AND(IF(metadata!D446="",FALSE,TRUE),EXACT(metadata!D446,"Not applicable"))</f>
        <v>0</v>
      </c>
      <c r="AP446" t="b">
        <f>IF(metadata!E446="",FALSE,TRUE)</f>
        <v>0</v>
      </c>
      <c r="AQ446" t="b">
        <f>OR(AND(IF(metadata!F446="",FALSE,TRUE),OR(EXACT(metadata!F446,"missing: not collected"),EXACT(metadata!F446,"missing: not provided"))),AND(IF(metadata!F446="",FALSE,TRUE),OR(EXACT(metadata!F446,"TRUE"),EXACT(metadata!F446,"FALSE"))))</f>
        <v>0</v>
      </c>
      <c r="AR446" t="b">
        <f>OR(AND(IF(metadata!G446="",FALSE,TRUE),OR(EXACT(metadata!G446,"missing: not collected"),EXACT(metadata!G446,"missing: not provided"),EXACT(metadata!G446,"missing: restricted access"))),AND(IF(metadata!G446="",FALSE,ISNUMBER(VALUE(metadata!G446))),metadata!G446&gt;=-413))</f>
        <v>0</v>
      </c>
      <c r="AS446" t="b">
        <f>AND(IF(metadata!H446="",FALSE,TRUE),EXACT(metadata!H446,"meters"))</f>
        <v>0</v>
      </c>
      <c r="AT446" t="b">
        <f>AND(IF(metadata!I446="",FALSE,TRUE),OR(EXACT(metadata!I446,"Host-associated"),EXACT(metadata!I446,"Free-living")))</f>
        <v>0</v>
      </c>
      <c r="AU446" t="b">
        <f>AND(IF(metadata!J446="",FALSE,TRUE),OR(EXACT(metadata!J446,"Animal"),EXACT(metadata!J446,"Fungus"),EXACT(metadata!J446,"Plant"),EXACT(metadata!J446,"Saline"),EXACT(metadata!J446,"Non-saline")))</f>
        <v>0</v>
      </c>
      <c r="AV446" t="b">
        <f>AND(IF(metadata!K446="",FALSE,TRUE),OR(EXACT(metadata!K446,"Plant secretion"),EXACT(metadata!K446,"Plant rhizosphere"),EXACT(metadata!K446,"Plant surface"),EXACT(metadata!K446,"Plant corpus"),EXACT(metadata!K446,"Fungus surface"),EXACT(metadata!K446,"Fungus corpus"),EXACT(metadata!K446,"Animal surface"),EXACT(metadata!K446,"Animal proximal gut"),EXACT(metadata!K446,"Animal corpus"),EXACT(metadata!K446,"Animal distal gut"),EXACT(metadata!K446,"Animal secretion"),EXACT(metadata!K446,"Sub-surface (non-saline)"),EXACT(metadata!K446,"Surface (non-saline)"),EXACT(metadata!K446,"Water (non-saline)"),EXACT(metadata!K446,"Soil (non-saline)"),EXACT(metadata!K446,"Aerosol (non-saline)"),EXACT(metadata!K446,"Sediment (non-saline)"),EXACT(metadata!K446,"Surface (saline)"),EXACT(metadata!K446,"Water (saline)"),EXACT(metadata!K446,"Hypersaline (saline)"),EXACT(metadata!K446,"Aerosol (saline)"),EXACT(metadata!K446,"Sediment (saline)")))</f>
        <v>0</v>
      </c>
      <c r="AW446" t="b">
        <f>IF(metadata!L446="",FALSE,TRUE)</f>
        <v>0</v>
      </c>
      <c r="AX446" t="b">
        <f>IF(metadata!M446="",FALSE,TRUE)</f>
        <v>0</v>
      </c>
      <c r="AY446" t="b">
        <f>IF(metadata!N446="",FALSE,TRUE)</f>
        <v>0</v>
      </c>
      <c r="AZ446" t="b">
        <f>OR(AND(IF(metadata!O446="",FALSE,TRUE),OR(EXACT(metadata!O446,"missing: not collected"),EXACT(metadata!O446,"missing: not provided"),EXACT(metadata!O446,"missing: restricted access"))),AND(IF(metadata!O446="",FALSE,TRUE),OR(EXACT(metadata!O446,"air"),EXACT(metadata!O446,"built environment"),EXACT(metadata!O446,"host-associated"),EXACT(metadata!O446,"human-associated"),EXACT(metadata!O446,"human-skin"),EXACT(metadata!O446,"human-oral"),EXACT(metadata!O446,"human-gut"),EXACT(metadata!O446,"human-vaginal"),EXACT(metadata!O446,"microbial mat/biofilm"),EXACT(metadata!O446,"misc environment"),EXACT(metadata!O446,"plant-associated"),EXACT(metadata!O446,"sediment"),EXACT(metadata!O446,"soil"),EXACT(metadata!O446,"wastewater/sludge"),EXACT(metadata!O446,"water"))))</f>
        <v>0</v>
      </c>
      <c r="BA446" t="b">
        <f>IF(metadata!P446="",FALSE,TRUE)</f>
        <v>0</v>
      </c>
      <c r="BB446" t="b">
        <f>IF(metadata!Q446="",FALSE,TRUE)</f>
        <v>0</v>
      </c>
      <c r="BC446" t="b">
        <f>OR(AND(IF(metadata!R446="",FALSE,TRUE),OR(EXACT(metadata!R446,"missing: not collected"),EXACT(metadata!R446,"missing: not provided"),EXACT(metadata!R446,"missing: restricted access"))),AND(IF(metadata!R446="",FALSE,ISNUMBER(VALUE(metadata!R446))),metadata!R446&gt;=-90,metadata!R446&lt;=90))</f>
        <v>0</v>
      </c>
      <c r="BD446" t="b">
        <f>AND(IF(metadata!S446="",FALSE,TRUE),EXACT(metadata!S446,"Decimal degrees"))</f>
        <v>0</v>
      </c>
      <c r="BE446" t="b">
        <f>OR(AND(IF(metadata!T446="",FALSE,TRUE),OR(EXACT(metadata!T446,"missing: not collected"),EXACT(metadata!T446,"missing: not provided"),EXACT(metadata!T446,"missing: restricted access"))),AND(IF(metadata!T446="",FALSE,ISNUMBER(VALUE(metadata!T446))),metadata!T446&gt;=-180,metadata!T446&lt;=180))</f>
        <v>0</v>
      </c>
      <c r="BF446" t="b">
        <f>AND(IF(metadata!U446="",FALSE,TRUE),EXACT(metadata!U446,"Decimal degrees"))</f>
        <v>0</v>
      </c>
      <c r="BG446" t="b">
        <f>IF(metadata!V446="",FALSE,TRUE)</f>
        <v>0</v>
      </c>
      <c r="BH446" t="b">
        <f>OR(AND(IF(metadata!W446="",FALSE,TRUE),OR(EXACT(metadata!W446,"missing: not collected"),EXACT(metadata!W446,"missing: not provided"),EXACT(metadata!W446,"missing: restricted access"))),AND(IF(metadata!W446="",FALSE,TRUE),OR(EXACT(metadata!W446,"TRUE"),EXACT(metadata!W446,"FALSE"))))</f>
        <v>0</v>
      </c>
      <c r="BI446" t="b">
        <f>AND(IF(metadata!X446="",FALSE,TRUE),EXACT(metadata!X446,"other"))</f>
        <v>0</v>
      </c>
      <c r="BJ446" t="b">
        <f>IF(metadata!Y446="",FALSE,TRUE)</f>
        <v>0</v>
      </c>
      <c r="BK446" t="b">
        <f>OR(AND(IF(metadata!Z446="",FALSE,TRUE),OR(EXACT(metadata!Z446,"missing: not collected"),EXACT(metadata!Z446,"missing: not provided"))),AND(IF(metadata!Z446="",FALSE,IF(ISERROR(INT(metadata!Z446)),FALSE,INT(metadata!Z446)=metadata!Z446)),metadata!Z446&gt;0))</f>
        <v>0</v>
      </c>
      <c r="BL446" t="b">
        <f>AND(IF(metadata!AA446="",FALSE,TRUE),EXACT(metadata!AA446,"Not applicable"))</f>
        <v>0</v>
      </c>
      <c r="BM446" t="b">
        <f>IF(metadata!AB446="",FALSE,TRUE)</f>
        <v>0</v>
      </c>
    </row>
    <row r="447" spans="1:65" x14ac:dyDescent="0.2">
      <c r="A447" s="5" t="str">
        <f ca="1">IF(B447=" "," ",HYPERLINK(CONCATENATE("#metadata!",ADDRESS(INDEX($AH$2:$AH$1001,MATCH(ROWS($AF$2:AF447),$AF$2:$AF$1001,0),0),1)),INDEX($AK$2:$AK$1001,MATCH(ROWS($AF$2:AF447),$AF$2:$AF$1001,0),0)))</f>
        <v xml:space="preserve"> </v>
      </c>
      <c r="B447" s="4" t="str">
        <f ca="1">IF(OR(INDEX($AG$2:$AG$1001,MATCH(ROWS($AF$2:AF447),$AF$2:$AF$1001,0),1)&gt;=100000,INDEX($AM$1005:$BM$1005,1,MATCH(COLUMNS($AM$1006:AM1006),$AM$1006:$BM$1006,0))&gt;=100000), " ",IF(INDEX($AM$2:$BM$1001,MATCH(ROWS($AF$2:AF447),$AF$2:$AF$1001,0),MATCH(COLUMNS($AM$1006:AM1006),$AM$1006:$BM$1006,0)), HYPERLINK("#",""), HYPERLINK(CONCATENATE("#metadata!", ADDRESS(INDEX($AH$2:$AH$1001,MATCH(ROWS($AF$2:AF447),$AF$2:$AF$1001,0),0), INDEX($AM$1004:$BM$1004,1,MATCH(COLUMNS($AM$1006:AM1006),$AM$1006:$BM$1006,0)))),"Fix")))</f>
        <v xml:space="preserve"> </v>
      </c>
      <c r="C447" s="4" t="str">
        <f ca="1">IF(OR(INDEX($AG$2:$AG$1001,MATCH(ROWS($AF$2:AF447),$AF$2:$AF$1001,0),1)&gt;=100000,INDEX($AM$1005:$BM$1005,1,MATCH(COLUMNS($AM$1006:AN1006),$AM$1006:$BM$1006,0))&gt;=100000), " ",IF(INDEX($AM$2:$BM$1001,MATCH(ROWS($AF$2:AF447),$AF$2:$AF$1001,0),MATCH(COLUMNS($AM$1006:AN1006),$AM$1006:$BM$1006,0)), HYPERLINK("#",""), HYPERLINK(CONCATENATE("#metadata!", ADDRESS(INDEX($AH$2:$AH$1001,MATCH(ROWS($AF$2:AF447),$AF$2:$AF$1001,0),0), INDEX($AM$1004:$BM$1004,1,MATCH(COLUMNS($AM$1006:AN1006),$AM$1006:$BM$1006,0)))),"Fix")))</f>
        <v xml:space="preserve"> </v>
      </c>
      <c r="D447" s="4" t="str">
        <f ca="1">IF(OR(INDEX($AG$2:$AG$1001,MATCH(ROWS($AF$2:AF447),$AF$2:$AF$1001,0),1)&gt;=100000,INDEX($AM$1005:$BM$1005,1,MATCH(COLUMNS($AM$1006:AO1006),$AM$1006:$BM$1006,0))&gt;=100000), " ",IF(INDEX($AM$2:$BM$1001,MATCH(ROWS($AF$2:AF447),$AF$2:$AF$1001,0),MATCH(COLUMNS($AM$1006:AO1006),$AM$1006:$BM$1006,0)), HYPERLINK("#",""), HYPERLINK(CONCATENATE("#metadata!", ADDRESS(INDEX($AH$2:$AH$1001,MATCH(ROWS($AF$2:AF447),$AF$2:$AF$1001,0),0), INDEX($AM$1004:$BM$1004,1,MATCH(COLUMNS($AM$1006:AO1006),$AM$1006:$BM$1006,0)))),"Fix")))</f>
        <v xml:space="preserve"> </v>
      </c>
      <c r="E447" s="4" t="str">
        <f ca="1">IF(OR(INDEX($AG$2:$AG$1001,MATCH(ROWS($AF$2:AF447),$AF$2:$AF$1001,0),1)&gt;=100000,INDEX($AM$1005:$BM$1005,1,MATCH(COLUMNS($AM$1006:AP1006),$AM$1006:$BM$1006,0))&gt;=100000), " ",IF(INDEX($AM$2:$BM$1001,MATCH(ROWS($AF$2:AF447),$AF$2:$AF$1001,0),MATCH(COLUMNS($AM$1006:AP1006),$AM$1006:$BM$1006,0)), HYPERLINK("#",""), HYPERLINK(CONCATENATE("#metadata!", ADDRESS(INDEX($AH$2:$AH$1001,MATCH(ROWS($AF$2:AF447),$AF$2:$AF$1001,0),0), INDEX($AM$1004:$BM$1004,1,MATCH(COLUMNS($AM$1006:AP1006),$AM$1006:$BM$1006,0)))),"Fix")))</f>
        <v xml:space="preserve"> </v>
      </c>
      <c r="F447" s="4" t="str">
        <f ca="1">IF(OR(INDEX($AG$2:$AG$1001,MATCH(ROWS($AF$2:AF447),$AF$2:$AF$1001,0),1)&gt;=100000,INDEX($AM$1005:$BM$1005,1,MATCH(COLUMNS($AM$1006:AQ1006),$AM$1006:$BM$1006,0))&gt;=100000), " ",IF(INDEX($AM$2:$BM$1001,MATCH(ROWS($AF$2:AF447),$AF$2:$AF$1001,0),MATCH(COLUMNS($AM$1006:AQ1006),$AM$1006:$BM$1006,0)), HYPERLINK("#",""), HYPERLINK(CONCATENATE("#metadata!", ADDRESS(INDEX($AH$2:$AH$1001,MATCH(ROWS($AF$2:AF447),$AF$2:$AF$1001,0),0), INDEX($AM$1004:$BM$1004,1,MATCH(COLUMNS($AM$1006:AQ1006),$AM$1006:$BM$1006,0)))),"Fix")))</f>
        <v xml:space="preserve"> </v>
      </c>
      <c r="G447" s="4" t="str">
        <f ca="1">IF(OR(INDEX($AG$2:$AG$1001,MATCH(ROWS($AF$2:AF447),$AF$2:$AF$1001,0),1)&gt;=100000,INDEX($AM$1005:$BM$1005,1,MATCH(COLUMNS($AM$1006:AR1006),$AM$1006:$BM$1006,0))&gt;=100000), " ",IF(INDEX($AM$2:$BM$1001,MATCH(ROWS($AF$2:AF447),$AF$2:$AF$1001,0),MATCH(COLUMNS($AM$1006:AR1006),$AM$1006:$BM$1006,0)), HYPERLINK("#",""), HYPERLINK(CONCATENATE("#metadata!", ADDRESS(INDEX($AH$2:$AH$1001,MATCH(ROWS($AF$2:AF447),$AF$2:$AF$1001,0),0), INDEX($AM$1004:$BM$1004,1,MATCH(COLUMNS($AM$1006:AR1006),$AM$1006:$BM$1006,0)))),"Fix")))</f>
        <v xml:space="preserve"> </v>
      </c>
      <c r="H447" s="4" t="str">
        <f ca="1">IF(OR(INDEX($AG$2:$AG$1001,MATCH(ROWS($AF$2:AF447),$AF$2:$AF$1001,0),1)&gt;=100000,INDEX($AM$1005:$BM$1005,1,MATCH(COLUMNS($AM$1006:AS1006),$AM$1006:$BM$1006,0))&gt;=100000), " ",IF(INDEX($AM$2:$BM$1001,MATCH(ROWS($AF$2:AF447),$AF$2:$AF$1001,0),MATCH(COLUMNS($AM$1006:AS1006),$AM$1006:$BM$1006,0)), HYPERLINK("#",""), HYPERLINK(CONCATENATE("#metadata!", ADDRESS(INDEX($AH$2:$AH$1001,MATCH(ROWS($AF$2:AF447),$AF$2:$AF$1001,0),0), INDEX($AM$1004:$BM$1004,1,MATCH(COLUMNS($AM$1006:AS1006),$AM$1006:$BM$1006,0)))),"Fix")))</f>
        <v xml:space="preserve"> </v>
      </c>
      <c r="I447" s="4" t="str">
        <f ca="1">IF(OR(INDEX($AG$2:$AG$1001,MATCH(ROWS($AF$2:AF447),$AF$2:$AF$1001,0),1)&gt;=100000,INDEX($AM$1005:$BM$1005,1,MATCH(COLUMNS($AM$1006:AT1006),$AM$1006:$BM$1006,0))&gt;=100000), " ",IF(INDEX($AM$2:$BM$1001,MATCH(ROWS($AF$2:AF447),$AF$2:$AF$1001,0),MATCH(COLUMNS($AM$1006:AT1006),$AM$1006:$BM$1006,0)), HYPERLINK("#",""), HYPERLINK(CONCATENATE("#metadata!", ADDRESS(INDEX($AH$2:$AH$1001,MATCH(ROWS($AF$2:AF447),$AF$2:$AF$1001,0),0), INDEX($AM$1004:$BM$1004,1,MATCH(COLUMNS($AM$1006:AT1006),$AM$1006:$BM$1006,0)))),"Fix")))</f>
        <v xml:space="preserve"> </v>
      </c>
      <c r="J447" s="4" t="str">
        <f ca="1">IF(OR(INDEX($AG$2:$AG$1001,MATCH(ROWS($AF$2:AF447),$AF$2:$AF$1001,0),1)&gt;=100000,INDEX($AM$1005:$BM$1005,1,MATCH(COLUMNS($AM$1006:AU1006),$AM$1006:$BM$1006,0))&gt;=100000), " ",IF(INDEX($AM$2:$BM$1001,MATCH(ROWS($AF$2:AF447),$AF$2:$AF$1001,0),MATCH(COLUMNS($AM$1006:AU1006),$AM$1006:$BM$1006,0)), HYPERLINK("#",""), HYPERLINK(CONCATENATE("#metadata!", ADDRESS(INDEX($AH$2:$AH$1001,MATCH(ROWS($AF$2:AF447),$AF$2:$AF$1001,0),0), INDEX($AM$1004:$BM$1004,1,MATCH(COLUMNS($AM$1006:AU1006),$AM$1006:$BM$1006,0)))),"Fix")))</f>
        <v xml:space="preserve"> </v>
      </c>
      <c r="K447" s="4" t="str">
        <f ca="1">IF(OR(INDEX($AG$2:$AG$1001,MATCH(ROWS($AF$2:AF447),$AF$2:$AF$1001,0),1)&gt;=100000,INDEX($AM$1005:$BM$1005,1,MATCH(COLUMNS($AM$1006:AV1006),$AM$1006:$BM$1006,0))&gt;=100000), " ",IF(INDEX($AM$2:$BM$1001,MATCH(ROWS($AF$2:AF447),$AF$2:$AF$1001,0),MATCH(COLUMNS($AM$1006:AV1006),$AM$1006:$BM$1006,0)), HYPERLINK("#",""), HYPERLINK(CONCATENATE("#metadata!", ADDRESS(INDEX($AH$2:$AH$1001,MATCH(ROWS($AF$2:AF447),$AF$2:$AF$1001,0),0), INDEX($AM$1004:$BM$1004,1,MATCH(COLUMNS($AM$1006:AV1006),$AM$1006:$BM$1006,0)))),"Fix")))</f>
        <v xml:space="preserve"> </v>
      </c>
      <c r="L447" s="4" t="str">
        <f ca="1">IF(OR(INDEX($AG$2:$AG$1001,MATCH(ROWS($AF$2:AF447),$AF$2:$AF$1001,0),1)&gt;=100000,INDEX($AM$1005:$BM$1005,1,MATCH(COLUMNS($AM$1006:AW1006),$AM$1006:$BM$1006,0))&gt;=100000), " ",IF(INDEX($AM$2:$BM$1001,MATCH(ROWS($AF$2:AF447),$AF$2:$AF$1001,0),MATCH(COLUMNS($AM$1006:AW1006),$AM$1006:$BM$1006,0)), HYPERLINK("#",""), HYPERLINK(CONCATENATE("#metadata!", ADDRESS(INDEX($AH$2:$AH$1001,MATCH(ROWS($AF$2:AF447),$AF$2:$AF$1001,0),0), INDEX($AM$1004:$BM$1004,1,MATCH(COLUMNS($AM$1006:AW1006),$AM$1006:$BM$1006,0)))),"Fix")))</f>
        <v xml:space="preserve"> </v>
      </c>
      <c r="M447" s="4" t="str">
        <f ca="1">IF(OR(INDEX($AG$2:$AG$1001,MATCH(ROWS($AF$2:AF447),$AF$2:$AF$1001,0),1)&gt;=100000,INDEX($AM$1005:$BM$1005,1,MATCH(COLUMNS($AM$1006:AX1006),$AM$1006:$BM$1006,0))&gt;=100000), " ",IF(INDEX($AM$2:$BM$1001,MATCH(ROWS($AF$2:AF447),$AF$2:$AF$1001,0),MATCH(COLUMNS($AM$1006:AX1006),$AM$1006:$BM$1006,0)), HYPERLINK("#",""), HYPERLINK(CONCATENATE("#metadata!", ADDRESS(INDEX($AH$2:$AH$1001,MATCH(ROWS($AF$2:AF447),$AF$2:$AF$1001,0),0), INDEX($AM$1004:$BM$1004,1,MATCH(COLUMNS($AM$1006:AX1006),$AM$1006:$BM$1006,0)))),"Fix")))</f>
        <v xml:space="preserve"> </v>
      </c>
      <c r="N447" s="4" t="str">
        <f ca="1">IF(OR(INDEX($AG$2:$AG$1001,MATCH(ROWS($AF$2:AF447),$AF$2:$AF$1001,0),1)&gt;=100000,INDEX($AM$1005:$BM$1005,1,MATCH(COLUMNS($AM$1006:AY1006),$AM$1006:$BM$1006,0))&gt;=100000), " ",IF(INDEX($AM$2:$BM$1001,MATCH(ROWS($AF$2:AF447),$AF$2:$AF$1001,0),MATCH(COLUMNS($AM$1006:AY1006),$AM$1006:$BM$1006,0)), HYPERLINK("#",""), HYPERLINK(CONCATENATE("#metadata!", ADDRESS(INDEX($AH$2:$AH$1001,MATCH(ROWS($AF$2:AF447),$AF$2:$AF$1001,0),0), INDEX($AM$1004:$BM$1004,1,MATCH(COLUMNS($AM$1006:AY1006),$AM$1006:$BM$1006,0)))),"Fix")))</f>
        <v xml:space="preserve"> </v>
      </c>
      <c r="O447" s="4" t="str">
        <f ca="1">IF(OR(INDEX($AG$2:$AG$1001,MATCH(ROWS($AF$2:AF447),$AF$2:$AF$1001,0),1)&gt;=100000,INDEX($AM$1005:$BM$1005,1,MATCH(COLUMNS($AM$1006:AZ1006),$AM$1006:$BM$1006,0))&gt;=100000), " ",IF(INDEX($AM$2:$BM$1001,MATCH(ROWS($AF$2:AF447),$AF$2:$AF$1001,0),MATCH(COLUMNS($AM$1006:AZ1006),$AM$1006:$BM$1006,0)), HYPERLINK("#",""), HYPERLINK(CONCATENATE("#metadata!", ADDRESS(INDEX($AH$2:$AH$1001,MATCH(ROWS($AF$2:AF447),$AF$2:$AF$1001,0),0), INDEX($AM$1004:$BM$1004,1,MATCH(COLUMNS($AM$1006:AZ1006),$AM$1006:$BM$1006,0)))),"Fix")))</f>
        <v xml:space="preserve"> </v>
      </c>
      <c r="P447" s="4" t="str">
        <f ca="1">IF(OR(INDEX($AG$2:$AG$1001,MATCH(ROWS($AF$2:AF447),$AF$2:$AF$1001,0),1)&gt;=100000,INDEX($AM$1005:$BM$1005,1,MATCH(COLUMNS($AM$1006:BA1006),$AM$1006:$BM$1006,0))&gt;=100000), " ",IF(INDEX($AM$2:$BM$1001,MATCH(ROWS($AF$2:AF447),$AF$2:$AF$1001,0),MATCH(COLUMNS($AM$1006:BA1006),$AM$1006:$BM$1006,0)), HYPERLINK("#",""), HYPERLINK(CONCATENATE("#metadata!", ADDRESS(INDEX($AH$2:$AH$1001,MATCH(ROWS($AF$2:AF447),$AF$2:$AF$1001,0),0), INDEX($AM$1004:$BM$1004,1,MATCH(COLUMNS($AM$1006:BA1006),$AM$1006:$BM$1006,0)))),"Fix")))</f>
        <v xml:space="preserve"> </v>
      </c>
      <c r="Q447" s="4" t="str">
        <f ca="1">IF(OR(INDEX($AG$2:$AG$1001,MATCH(ROWS($AF$2:AF447),$AF$2:$AF$1001,0),1)&gt;=100000,INDEX($AM$1005:$BM$1005,1,MATCH(COLUMNS($AM$1006:BB1006),$AM$1006:$BM$1006,0))&gt;=100000), " ",IF(INDEX($AM$2:$BM$1001,MATCH(ROWS($AF$2:AF447),$AF$2:$AF$1001,0),MATCH(COLUMNS($AM$1006:BB1006),$AM$1006:$BM$1006,0)), HYPERLINK("#",""), HYPERLINK(CONCATENATE("#metadata!", ADDRESS(INDEX($AH$2:$AH$1001,MATCH(ROWS($AF$2:AF447),$AF$2:$AF$1001,0),0), INDEX($AM$1004:$BM$1004,1,MATCH(COLUMNS($AM$1006:BB1006),$AM$1006:$BM$1006,0)))),"Fix")))</f>
        <v xml:space="preserve"> </v>
      </c>
      <c r="R447" s="4" t="str">
        <f ca="1">IF(OR(INDEX($AG$2:$AG$1001,MATCH(ROWS($AF$2:AF447),$AF$2:$AF$1001,0),1)&gt;=100000,INDEX($AM$1005:$BM$1005,1,MATCH(COLUMNS($AM$1006:BC1006),$AM$1006:$BM$1006,0))&gt;=100000), " ",IF(INDEX($AM$2:$BM$1001,MATCH(ROWS($AF$2:AF447),$AF$2:$AF$1001,0),MATCH(COLUMNS($AM$1006:BC1006),$AM$1006:$BM$1006,0)), HYPERLINK("#",""), HYPERLINK(CONCATENATE("#metadata!", ADDRESS(INDEX($AH$2:$AH$1001,MATCH(ROWS($AF$2:AF447),$AF$2:$AF$1001,0),0), INDEX($AM$1004:$BM$1004,1,MATCH(COLUMNS($AM$1006:BC1006),$AM$1006:$BM$1006,0)))),"Fix")))</f>
        <v xml:space="preserve"> </v>
      </c>
      <c r="S447" s="4" t="str">
        <f ca="1">IF(OR(INDEX($AG$2:$AG$1001,MATCH(ROWS($AF$2:AF447),$AF$2:$AF$1001,0),1)&gt;=100000,INDEX($AM$1005:$BM$1005,1,MATCH(COLUMNS($AM$1006:BD1006),$AM$1006:$BM$1006,0))&gt;=100000), " ",IF(INDEX($AM$2:$BM$1001,MATCH(ROWS($AF$2:AF447),$AF$2:$AF$1001,0),MATCH(COLUMNS($AM$1006:BD1006),$AM$1006:$BM$1006,0)), HYPERLINK("#",""), HYPERLINK(CONCATENATE("#metadata!", ADDRESS(INDEX($AH$2:$AH$1001,MATCH(ROWS($AF$2:AF447),$AF$2:$AF$1001,0),0), INDEX($AM$1004:$BM$1004,1,MATCH(COLUMNS($AM$1006:BD1006),$AM$1006:$BM$1006,0)))),"Fix")))</f>
        <v xml:space="preserve"> </v>
      </c>
      <c r="T447" s="4" t="str">
        <f ca="1">IF(OR(INDEX($AG$2:$AG$1001,MATCH(ROWS($AF$2:AF447),$AF$2:$AF$1001,0),1)&gt;=100000,INDEX($AM$1005:$BM$1005,1,MATCH(COLUMNS($AM$1006:BE1006),$AM$1006:$BM$1006,0))&gt;=100000), " ",IF(INDEX($AM$2:$BM$1001,MATCH(ROWS($AF$2:AF447),$AF$2:$AF$1001,0),MATCH(COLUMNS($AM$1006:BE1006),$AM$1006:$BM$1006,0)), HYPERLINK("#",""), HYPERLINK(CONCATENATE("#metadata!", ADDRESS(INDEX($AH$2:$AH$1001,MATCH(ROWS($AF$2:AF447),$AF$2:$AF$1001,0),0), INDEX($AM$1004:$BM$1004,1,MATCH(COLUMNS($AM$1006:BE1006),$AM$1006:$BM$1006,0)))),"Fix")))</f>
        <v xml:space="preserve"> </v>
      </c>
      <c r="U447" s="4" t="str">
        <f ca="1">IF(OR(INDEX($AG$2:$AG$1001,MATCH(ROWS($AF$2:AF447),$AF$2:$AF$1001,0),1)&gt;=100000,INDEX($AM$1005:$BM$1005,1,MATCH(COLUMNS($AM$1006:BF1006),$AM$1006:$BM$1006,0))&gt;=100000), " ",IF(INDEX($AM$2:$BM$1001,MATCH(ROWS($AF$2:AF447),$AF$2:$AF$1001,0),MATCH(COLUMNS($AM$1006:BF1006),$AM$1006:$BM$1006,0)), HYPERLINK("#",""), HYPERLINK(CONCATENATE("#metadata!", ADDRESS(INDEX($AH$2:$AH$1001,MATCH(ROWS($AF$2:AF447),$AF$2:$AF$1001,0),0), INDEX($AM$1004:$BM$1004,1,MATCH(COLUMNS($AM$1006:BF1006),$AM$1006:$BM$1006,0)))),"Fix")))</f>
        <v xml:space="preserve"> </v>
      </c>
      <c r="V447" s="4" t="str">
        <f ca="1">IF(OR(INDEX($AG$2:$AG$1001,MATCH(ROWS($AF$2:AF447),$AF$2:$AF$1001,0),1)&gt;=100000,INDEX($AM$1005:$BM$1005,1,MATCH(COLUMNS($AM$1006:BG1006),$AM$1006:$BM$1006,0))&gt;=100000), " ",IF(INDEX($AM$2:$BM$1001,MATCH(ROWS($AF$2:AF447),$AF$2:$AF$1001,0),MATCH(COLUMNS($AM$1006:BG1006),$AM$1006:$BM$1006,0)), HYPERLINK("#",""), HYPERLINK(CONCATENATE("#metadata!", ADDRESS(INDEX($AH$2:$AH$1001,MATCH(ROWS($AF$2:AF447),$AF$2:$AF$1001,0),0), INDEX($AM$1004:$BM$1004,1,MATCH(COLUMNS($AM$1006:BG1006),$AM$1006:$BM$1006,0)))),"Fix")))</f>
        <v xml:space="preserve"> </v>
      </c>
      <c r="W447" s="4" t="str">
        <f ca="1">IF(OR(INDEX($AG$2:$AG$1001,MATCH(ROWS($AF$2:AF447),$AF$2:$AF$1001,0),1)&gt;=100000,INDEX($AM$1005:$BM$1005,1,MATCH(COLUMNS($AM$1006:BH1006),$AM$1006:$BM$1006,0))&gt;=100000), " ",IF(INDEX($AM$2:$BM$1001,MATCH(ROWS($AF$2:AF447),$AF$2:$AF$1001,0),MATCH(COLUMNS($AM$1006:BH1006),$AM$1006:$BM$1006,0)), HYPERLINK("#",""), HYPERLINK(CONCATENATE("#metadata!", ADDRESS(INDEX($AH$2:$AH$1001,MATCH(ROWS($AF$2:AF447),$AF$2:$AF$1001,0),0), INDEX($AM$1004:$BM$1004,1,MATCH(COLUMNS($AM$1006:BH1006),$AM$1006:$BM$1006,0)))),"Fix")))</f>
        <v xml:space="preserve"> </v>
      </c>
      <c r="X447" s="4" t="str">
        <f ca="1">IF(OR(INDEX($AG$2:$AG$1001,MATCH(ROWS($AF$2:AF447),$AF$2:$AF$1001,0),1)&gt;=100000,INDEX($AM$1005:$BM$1005,1,MATCH(COLUMNS($AM$1006:BI1006),$AM$1006:$BM$1006,0))&gt;=100000), " ",IF(INDEX($AM$2:$BM$1001,MATCH(ROWS($AF$2:AF447),$AF$2:$AF$1001,0),MATCH(COLUMNS($AM$1006:BI1006),$AM$1006:$BM$1006,0)), HYPERLINK("#",""), HYPERLINK(CONCATENATE("#metadata!", ADDRESS(INDEX($AH$2:$AH$1001,MATCH(ROWS($AF$2:AF447),$AF$2:$AF$1001,0),0), INDEX($AM$1004:$BM$1004,1,MATCH(COLUMNS($AM$1006:BI1006),$AM$1006:$BM$1006,0)))),"Fix")))</f>
        <v xml:space="preserve"> </v>
      </c>
      <c r="Y447" s="4" t="str">
        <f ca="1">IF(OR(INDEX($AG$2:$AG$1001,MATCH(ROWS($AF$2:AF447),$AF$2:$AF$1001,0),1)&gt;=100000,INDEX($AM$1005:$BM$1005,1,MATCH(COLUMNS($AM$1006:BJ1006),$AM$1006:$BM$1006,0))&gt;=100000), " ",IF(INDEX($AM$2:$BM$1001,MATCH(ROWS($AF$2:AF447),$AF$2:$AF$1001,0),MATCH(COLUMNS($AM$1006:BJ1006),$AM$1006:$BM$1006,0)), HYPERLINK("#",""), HYPERLINK(CONCATENATE("#metadata!", ADDRESS(INDEX($AH$2:$AH$1001,MATCH(ROWS($AF$2:AF447),$AF$2:$AF$1001,0),0), INDEX($AM$1004:$BM$1004,1,MATCH(COLUMNS($AM$1006:BJ1006),$AM$1006:$BM$1006,0)))),"Fix")))</f>
        <v xml:space="preserve"> </v>
      </c>
      <c r="Z447" s="4" t="str">
        <f ca="1">IF(OR(INDEX($AG$2:$AG$1001,MATCH(ROWS($AF$2:AF447),$AF$2:$AF$1001,0),1)&gt;=100000,INDEX($AM$1005:$BM$1005,1,MATCH(COLUMNS($AM$1006:BK1006),$AM$1006:$BM$1006,0))&gt;=100000), " ",IF(INDEX($AM$2:$BM$1001,MATCH(ROWS($AF$2:AF447),$AF$2:$AF$1001,0),MATCH(COLUMNS($AM$1006:BK1006),$AM$1006:$BM$1006,0)), HYPERLINK("#",""), HYPERLINK(CONCATENATE("#metadata!", ADDRESS(INDEX($AH$2:$AH$1001,MATCH(ROWS($AF$2:AF447),$AF$2:$AF$1001,0),0), INDEX($AM$1004:$BM$1004,1,MATCH(COLUMNS($AM$1006:BK1006),$AM$1006:$BM$1006,0)))),"Fix")))</f>
        <v xml:space="preserve"> </v>
      </c>
      <c r="AA447" s="4" t="str">
        <f ca="1">IF(OR(INDEX($AG$2:$AG$1001,MATCH(ROWS($AF$2:AF447),$AF$2:$AF$1001,0),1)&gt;=100000,INDEX($AM$1005:$BM$1005,1,MATCH(COLUMNS($AM$1006:BL1006),$AM$1006:$BM$1006,0))&gt;=100000), " ",IF(INDEX($AM$2:$BM$1001,MATCH(ROWS($AF$2:AF447),$AF$2:$AF$1001,0),MATCH(COLUMNS($AM$1006:BL1006),$AM$1006:$BM$1006,0)), HYPERLINK("#",""), HYPERLINK(CONCATENATE("#metadata!", ADDRESS(INDEX($AH$2:$AH$1001,MATCH(ROWS($AF$2:AF447),$AF$2:$AF$1001,0),0), INDEX($AM$1004:$BM$1004,1,MATCH(COLUMNS($AM$1006:BL1006),$AM$1006:$BM$1006,0)))),"Fix")))</f>
        <v xml:space="preserve"> </v>
      </c>
      <c r="AB447" s="4" t="str">
        <f ca="1">IF(OR(INDEX($AG$2:$AG$1001,MATCH(ROWS($AF$2:AF447),$AF$2:$AF$1001,0),1)&gt;=100000,INDEX($AM$1005:$BM$1005,1,MATCH(COLUMNS($AM$1006:BM1006),$AM$1006:$BM$1006,0))&gt;=100000), " ",IF(INDEX($AM$2:$BM$1001,MATCH(ROWS($AF$2:AF447),$AF$2:$AF$1001,0),MATCH(COLUMNS($AM$1006:BM1006),$AM$1006:$BM$1006,0)), HYPERLINK("#",""), HYPERLINK(CONCATENATE("#metadata!", ADDRESS(INDEX($AH$2:$AH$1001,MATCH(ROWS($AF$2:AF447),$AF$2:$AF$1001,0),0), INDEX($AM$1004:$BM$1004,1,MATCH(COLUMNS($AM$1006:BM1006),$AM$1006:$BM$1006,0)))),"Fix")))</f>
        <v xml:space="preserve"> </v>
      </c>
      <c r="AF447">
        <v>446</v>
      </c>
      <c r="AG447">
        <v>100447</v>
      </c>
      <c r="AH447">
        <v>447</v>
      </c>
      <c r="AI447" t="b">
        <f t="shared" si="6"/>
        <v>1</v>
      </c>
      <c r="AJ447" t="b">
        <f>COUNTBLANK(metadata!B447:AB447)=COLUMNS(metadata!B447:AB447)</f>
        <v>1</v>
      </c>
      <c r="AK447" t="str">
        <v/>
      </c>
      <c r="AM447" t="b">
        <f ca="1">AND(IF(metadata!B447="",FALSE,TRUE),COUNTIF(metadata!B:B, metadata!B447) = 1,NOT(ISERROR(SUMPRODUCT(SEARCH(MID(metadata!B447,ROW(INDIRECT("1:"&amp;LEN(metadata!B447))), 1),"0123456789abcdefghijklmnopqrstuvwxyzABCDEFGHIJKLMNOPQRSTUVWXYZ.")))))</f>
        <v>0</v>
      </c>
      <c r="AN447" t="b">
        <f ca="1">OR(AND(IF(metadata!C447="",FALSE,TRUE),OR(EXACT(metadata!C447,"missing: not collected"),EXACT(metadata!C447,"missing: not provided"),EXACT(metadata!C447,"missing: restricted access"))),AND(IF(metadata!C447="",FALSE,TRUE),AND(AND(IFERROR(INT(LEFT(metadata!C447,4))&gt;1900,FALSE),IFERROR(INT(LEFT(metadata!C447,4))&lt;=YEAR(NOW()),FALSE)), OR(MID(metadata!C447,5,1)="", AND(AND(MID(metadata!C447,5,1)="-",IFERROR(INT(MID(metadata!C447,6,1))&gt;=0,FALSE),IFERROR(INT(MID(metadata!C447,6,1))&lt;=1,FALSE),NOT(MID(metadata!C447,7,1)=""),IFERROR(INT(MID(metadata!C447,6,2))&gt;=1,FALSE),IFERROR(INT(MID(metadata!C447,6,2))&lt;=12,FALSE)), OR(MID(metadata!C447,8,1)="", AND(AND(MID(metadata!C447,8,1)="-",IFERROR(INT(MID(metadata!C447,9,1))&gt;=0,FALSE),IFERROR(INT(MID(metadata!C447,9,1))&lt;=3,FALSE),NOT(MID(metadata!C447,10,1)=""),IFERROR(INT(MID(metadata!C447,9,2))&gt;=1,FALSE),IFERROR(INT(MID(metadata!C447,9,2))&lt;=31,FALSE)), OR(MID(metadata!C447,11,1)="", AND(AND(MID(metadata!C447,11,1)=" ",IFERROR(INT(MID(metadata!C447,12,1))&gt;=0,FALSE),IFERROR(INT(MID(metadata!C447,12,1))&lt;=2,FALSE),NOT(MID(metadata!C447,13,1)=""),IFERROR(INT(MID(metadata!C447,12,2))&gt;=0,FALSE),IFERROR(INT(MID(metadata!C447,12,2))&lt;=23,FALSE)), OR(MID(metadata!C447,14,1)="", AND(AND(MID(metadata!C447,14,1)=":",IFERROR(INT(MID(metadata!C447,15,1))&gt;=0,FALSE),IFERROR(INT(MID(metadata!C447,15,1))&lt;=5,FALSE),NOT(MID(metadata!C447,16,1)=""),IFERROR(INT(MID(metadata!C447,15,2))&gt;=0,FALSE),IFERROR(INT(MID(metadata!C447,15,2))&lt;=59,FALSE)), OR(MID(metadata!C447,17,1)="", AND(AND(MID(metadata!C447,17,1)=":",IFERROR(INT(MID(metadata!C447,18,1))&gt;=0,FALSE),IFERROR(INT(MID(metadata!C447,18,1))&lt;=5,FALSE),NOT(MID(metadata!C447,19,1)=""),IFERROR(INT(MID(metadata!C447,18,2))&gt;=0,FALSE),IFERROR(INT(MID(metadata!C447,18,2))&lt;=59,FALSE)), LEN(metadata!C447)&lt;=19)))))))))))))</f>
        <v>0</v>
      </c>
      <c r="AO447" t="b">
        <f>AND(IF(metadata!D447="",FALSE,TRUE),EXACT(metadata!D447,"Not applicable"))</f>
        <v>0</v>
      </c>
      <c r="AP447" t="b">
        <f>IF(metadata!E447="",FALSE,TRUE)</f>
        <v>0</v>
      </c>
      <c r="AQ447" t="b">
        <f>OR(AND(IF(metadata!F447="",FALSE,TRUE),OR(EXACT(metadata!F447,"missing: not collected"),EXACT(metadata!F447,"missing: not provided"))),AND(IF(metadata!F447="",FALSE,TRUE),OR(EXACT(metadata!F447,"TRUE"),EXACT(metadata!F447,"FALSE"))))</f>
        <v>0</v>
      </c>
      <c r="AR447" t="b">
        <f>OR(AND(IF(metadata!G447="",FALSE,TRUE),OR(EXACT(metadata!G447,"missing: not collected"),EXACT(metadata!G447,"missing: not provided"),EXACT(metadata!G447,"missing: restricted access"))),AND(IF(metadata!G447="",FALSE,ISNUMBER(VALUE(metadata!G447))),metadata!G447&gt;=-413))</f>
        <v>0</v>
      </c>
      <c r="AS447" t="b">
        <f>AND(IF(metadata!H447="",FALSE,TRUE),EXACT(metadata!H447,"meters"))</f>
        <v>0</v>
      </c>
      <c r="AT447" t="b">
        <f>AND(IF(metadata!I447="",FALSE,TRUE),OR(EXACT(metadata!I447,"Host-associated"),EXACT(metadata!I447,"Free-living")))</f>
        <v>0</v>
      </c>
      <c r="AU447" t="b">
        <f>AND(IF(metadata!J447="",FALSE,TRUE),OR(EXACT(metadata!J447,"Animal"),EXACT(metadata!J447,"Fungus"),EXACT(metadata!J447,"Plant"),EXACT(metadata!J447,"Saline"),EXACT(metadata!J447,"Non-saline")))</f>
        <v>0</v>
      </c>
      <c r="AV447" t="b">
        <f>AND(IF(metadata!K447="",FALSE,TRUE),OR(EXACT(metadata!K447,"Plant secretion"),EXACT(metadata!K447,"Plant rhizosphere"),EXACT(metadata!K447,"Plant surface"),EXACT(metadata!K447,"Plant corpus"),EXACT(metadata!K447,"Fungus surface"),EXACT(metadata!K447,"Fungus corpus"),EXACT(metadata!K447,"Animal surface"),EXACT(metadata!K447,"Animal proximal gut"),EXACT(metadata!K447,"Animal corpus"),EXACT(metadata!K447,"Animal distal gut"),EXACT(metadata!K447,"Animal secretion"),EXACT(metadata!K447,"Sub-surface (non-saline)"),EXACT(metadata!K447,"Surface (non-saline)"),EXACT(metadata!K447,"Water (non-saline)"),EXACT(metadata!K447,"Soil (non-saline)"),EXACT(metadata!K447,"Aerosol (non-saline)"),EXACT(metadata!K447,"Sediment (non-saline)"),EXACT(metadata!K447,"Surface (saline)"),EXACT(metadata!K447,"Water (saline)"),EXACT(metadata!K447,"Hypersaline (saline)"),EXACT(metadata!K447,"Aerosol (saline)"),EXACT(metadata!K447,"Sediment (saline)")))</f>
        <v>0</v>
      </c>
      <c r="AW447" t="b">
        <f>IF(metadata!L447="",FALSE,TRUE)</f>
        <v>0</v>
      </c>
      <c r="AX447" t="b">
        <f>IF(metadata!M447="",FALSE,TRUE)</f>
        <v>0</v>
      </c>
      <c r="AY447" t="b">
        <f>IF(metadata!N447="",FALSE,TRUE)</f>
        <v>0</v>
      </c>
      <c r="AZ447" t="b">
        <f>OR(AND(IF(metadata!O447="",FALSE,TRUE),OR(EXACT(metadata!O447,"missing: not collected"),EXACT(metadata!O447,"missing: not provided"),EXACT(metadata!O447,"missing: restricted access"))),AND(IF(metadata!O447="",FALSE,TRUE),OR(EXACT(metadata!O447,"air"),EXACT(metadata!O447,"built environment"),EXACT(metadata!O447,"host-associated"),EXACT(metadata!O447,"human-associated"),EXACT(metadata!O447,"human-skin"),EXACT(metadata!O447,"human-oral"),EXACT(metadata!O447,"human-gut"),EXACT(metadata!O447,"human-vaginal"),EXACT(metadata!O447,"microbial mat/biofilm"),EXACT(metadata!O447,"misc environment"),EXACT(metadata!O447,"plant-associated"),EXACT(metadata!O447,"sediment"),EXACT(metadata!O447,"soil"),EXACT(metadata!O447,"wastewater/sludge"),EXACT(metadata!O447,"water"))))</f>
        <v>0</v>
      </c>
      <c r="BA447" t="b">
        <f>IF(metadata!P447="",FALSE,TRUE)</f>
        <v>0</v>
      </c>
      <c r="BB447" t="b">
        <f>IF(metadata!Q447="",FALSE,TRUE)</f>
        <v>0</v>
      </c>
      <c r="BC447" t="b">
        <f>OR(AND(IF(metadata!R447="",FALSE,TRUE),OR(EXACT(metadata!R447,"missing: not collected"),EXACT(metadata!R447,"missing: not provided"),EXACT(metadata!R447,"missing: restricted access"))),AND(IF(metadata!R447="",FALSE,ISNUMBER(VALUE(metadata!R447))),metadata!R447&gt;=-90,metadata!R447&lt;=90))</f>
        <v>0</v>
      </c>
      <c r="BD447" t="b">
        <f>AND(IF(metadata!S447="",FALSE,TRUE),EXACT(metadata!S447,"Decimal degrees"))</f>
        <v>0</v>
      </c>
      <c r="BE447" t="b">
        <f>OR(AND(IF(metadata!T447="",FALSE,TRUE),OR(EXACT(metadata!T447,"missing: not collected"),EXACT(metadata!T447,"missing: not provided"),EXACT(metadata!T447,"missing: restricted access"))),AND(IF(metadata!T447="",FALSE,ISNUMBER(VALUE(metadata!T447))),metadata!T447&gt;=-180,metadata!T447&lt;=180))</f>
        <v>0</v>
      </c>
      <c r="BF447" t="b">
        <f>AND(IF(metadata!U447="",FALSE,TRUE),EXACT(metadata!U447,"Decimal degrees"))</f>
        <v>0</v>
      </c>
      <c r="BG447" t="b">
        <f>IF(metadata!V447="",FALSE,TRUE)</f>
        <v>0</v>
      </c>
      <c r="BH447" t="b">
        <f>OR(AND(IF(metadata!W447="",FALSE,TRUE),OR(EXACT(metadata!W447,"missing: not collected"),EXACT(metadata!W447,"missing: not provided"),EXACT(metadata!W447,"missing: restricted access"))),AND(IF(metadata!W447="",FALSE,TRUE),OR(EXACT(metadata!W447,"TRUE"),EXACT(metadata!W447,"FALSE"))))</f>
        <v>0</v>
      </c>
      <c r="BI447" t="b">
        <f>AND(IF(metadata!X447="",FALSE,TRUE),EXACT(metadata!X447,"other"))</f>
        <v>0</v>
      </c>
      <c r="BJ447" t="b">
        <f>IF(metadata!Y447="",FALSE,TRUE)</f>
        <v>0</v>
      </c>
      <c r="BK447" t="b">
        <f>OR(AND(IF(metadata!Z447="",FALSE,TRUE),OR(EXACT(metadata!Z447,"missing: not collected"),EXACT(metadata!Z447,"missing: not provided"))),AND(IF(metadata!Z447="",FALSE,IF(ISERROR(INT(metadata!Z447)),FALSE,INT(metadata!Z447)=metadata!Z447)),metadata!Z447&gt;0))</f>
        <v>0</v>
      </c>
      <c r="BL447" t="b">
        <f>AND(IF(metadata!AA447="",FALSE,TRUE),EXACT(metadata!AA447,"Not applicable"))</f>
        <v>0</v>
      </c>
      <c r="BM447" t="b">
        <f>IF(metadata!AB447="",FALSE,TRUE)</f>
        <v>0</v>
      </c>
    </row>
    <row r="448" spans="1:65" x14ac:dyDescent="0.2">
      <c r="A448" s="5" t="str">
        <f ca="1">IF(B448=" "," ",HYPERLINK(CONCATENATE("#metadata!",ADDRESS(INDEX($AH$2:$AH$1001,MATCH(ROWS($AF$2:AF448),$AF$2:$AF$1001,0),0),1)),INDEX($AK$2:$AK$1001,MATCH(ROWS($AF$2:AF448),$AF$2:$AF$1001,0),0)))</f>
        <v xml:space="preserve"> </v>
      </c>
      <c r="B448" s="4" t="str">
        <f ca="1">IF(OR(INDEX($AG$2:$AG$1001,MATCH(ROWS($AF$2:AF448),$AF$2:$AF$1001,0),1)&gt;=100000,INDEX($AM$1005:$BM$1005,1,MATCH(COLUMNS($AM$1006:AM1006),$AM$1006:$BM$1006,0))&gt;=100000), " ",IF(INDEX($AM$2:$BM$1001,MATCH(ROWS($AF$2:AF448),$AF$2:$AF$1001,0),MATCH(COLUMNS($AM$1006:AM1006),$AM$1006:$BM$1006,0)), HYPERLINK("#",""), HYPERLINK(CONCATENATE("#metadata!", ADDRESS(INDEX($AH$2:$AH$1001,MATCH(ROWS($AF$2:AF448),$AF$2:$AF$1001,0),0), INDEX($AM$1004:$BM$1004,1,MATCH(COLUMNS($AM$1006:AM1006),$AM$1006:$BM$1006,0)))),"Fix")))</f>
        <v xml:space="preserve"> </v>
      </c>
      <c r="C448" s="4" t="str">
        <f ca="1">IF(OR(INDEX($AG$2:$AG$1001,MATCH(ROWS($AF$2:AF448),$AF$2:$AF$1001,0),1)&gt;=100000,INDEX($AM$1005:$BM$1005,1,MATCH(COLUMNS($AM$1006:AN1006),$AM$1006:$BM$1006,0))&gt;=100000), " ",IF(INDEX($AM$2:$BM$1001,MATCH(ROWS($AF$2:AF448),$AF$2:$AF$1001,0),MATCH(COLUMNS($AM$1006:AN1006),$AM$1006:$BM$1006,0)), HYPERLINK("#",""), HYPERLINK(CONCATENATE("#metadata!", ADDRESS(INDEX($AH$2:$AH$1001,MATCH(ROWS($AF$2:AF448),$AF$2:$AF$1001,0),0), INDEX($AM$1004:$BM$1004,1,MATCH(COLUMNS($AM$1006:AN1006),$AM$1006:$BM$1006,0)))),"Fix")))</f>
        <v xml:space="preserve"> </v>
      </c>
      <c r="D448" s="4" t="str">
        <f ca="1">IF(OR(INDEX($AG$2:$AG$1001,MATCH(ROWS($AF$2:AF448),$AF$2:$AF$1001,0),1)&gt;=100000,INDEX($AM$1005:$BM$1005,1,MATCH(COLUMNS($AM$1006:AO1006),$AM$1006:$BM$1006,0))&gt;=100000), " ",IF(INDEX($AM$2:$BM$1001,MATCH(ROWS($AF$2:AF448),$AF$2:$AF$1001,0),MATCH(COLUMNS($AM$1006:AO1006),$AM$1006:$BM$1006,0)), HYPERLINK("#",""), HYPERLINK(CONCATENATE("#metadata!", ADDRESS(INDEX($AH$2:$AH$1001,MATCH(ROWS($AF$2:AF448),$AF$2:$AF$1001,0),0), INDEX($AM$1004:$BM$1004,1,MATCH(COLUMNS($AM$1006:AO1006),$AM$1006:$BM$1006,0)))),"Fix")))</f>
        <v xml:space="preserve"> </v>
      </c>
      <c r="E448" s="4" t="str">
        <f ca="1">IF(OR(INDEX($AG$2:$AG$1001,MATCH(ROWS($AF$2:AF448),$AF$2:$AF$1001,0),1)&gt;=100000,INDEX($AM$1005:$BM$1005,1,MATCH(COLUMNS($AM$1006:AP1006),$AM$1006:$BM$1006,0))&gt;=100000), " ",IF(INDEX($AM$2:$BM$1001,MATCH(ROWS($AF$2:AF448),$AF$2:$AF$1001,0),MATCH(COLUMNS($AM$1006:AP1006),$AM$1006:$BM$1006,0)), HYPERLINK("#",""), HYPERLINK(CONCATENATE("#metadata!", ADDRESS(INDEX($AH$2:$AH$1001,MATCH(ROWS($AF$2:AF448),$AF$2:$AF$1001,0),0), INDEX($AM$1004:$BM$1004,1,MATCH(COLUMNS($AM$1006:AP1006),$AM$1006:$BM$1006,0)))),"Fix")))</f>
        <v xml:space="preserve"> </v>
      </c>
      <c r="F448" s="4" t="str">
        <f ca="1">IF(OR(INDEX($AG$2:$AG$1001,MATCH(ROWS($AF$2:AF448),$AF$2:$AF$1001,0),1)&gt;=100000,INDEX($AM$1005:$BM$1005,1,MATCH(COLUMNS($AM$1006:AQ1006),$AM$1006:$BM$1006,0))&gt;=100000), " ",IF(INDEX($AM$2:$BM$1001,MATCH(ROWS($AF$2:AF448),$AF$2:$AF$1001,0),MATCH(COLUMNS($AM$1006:AQ1006),$AM$1006:$BM$1006,0)), HYPERLINK("#",""), HYPERLINK(CONCATENATE("#metadata!", ADDRESS(INDEX($AH$2:$AH$1001,MATCH(ROWS($AF$2:AF448),$AF$2:$AF$1001,0),0), INDEX($AM$1004:$BM$1004,1,MATCH(COLUMNS($AM$1006:AQ1006),$AM$1006:$BM$1006,0)))),"Fix")))</f>
        <v xml:space="preserve"> </v>
      </c>
      <c r="G448" s="4" t="str">
        <f ca="1">IF(OR(INDEX($AG$2:$AG$1001,MATCH(ROWS($AF$2:AF448),$AF$2:$AF$1001,0),1)&gt;=100000,INDEX($AM$1005:$BM$1005,1,MATCH(COLUMNS($AM$1006:AR1006),$AM$1006:$BM$1006,0))&gt;=100000), " ",IF(INDEX($AM$2:$BM$1001,MATCH(ROWS($AF$2:AF448),$AF$2:$AF$1001,0),MATCH(COLUMNS($AM$1006:AR1006),$AM$1006:$BM$1006,0)), HYPERLINK("#",""), HYPERLINK(CONCATENATE("#metadata!", ADDRESS(INDEX($AH$2:$AH$1001,MATCH(ROWS($AF$2:AF448),$AF$2:$AF$1001,0),0), INDEX($AM$1004:$BM$1004,1,MATCH(COLUMNS($AM$1006:AR1006),$AM$1006:$BM$1006,0)))),"Fix")))</f>
        <v xml:space="preserve"> </v>
      </c>
      <c r="H448" s="4" t="str">
        <f ca="1">IF(OR(INDEX($AG$2:$AG$1001,MATCH(ROWS($AF$2:AF448),$AF$2:$AF$1001,0),1)&gt;=100000,INDEX($AM$1005:$BM$1005,1,MATCH(COLUMNS($AM$1006:AS1006),$AM$1006:$BM$1006,0))&gt;=100000), " ",IF(INDEX($AM$2:$BM$1001,MATCH(ROWS($AF$2:AF448),$AF$2:$AF$1001,0),MATCH(COLUMNS($AM$1006:AS1006),$AM$1006:$BM$1006,0)), HYPERLINK("#",""), HYPERLINK(CONCATENATE("#metadata!", ADDRESS(INDEX($AH$2:$AH$1001,MATCH(ROWS($AF$2:AF448),$AF$2:$AF$1001,0),0), INDEX($AM$1004:$BM$1004,1,MATCH(COLUMNS($AM$1006:AS1006),$AM$1006:$BM$1006,0)))),"Fix")))</f>
        <v xml:space="preserve"> </v>
      </c>
      <c r="I448" s="4" t="str">
        <f ca="1">IF(OR(INDEX($AG$2:$AG$1001,MATCH(ROWS($AF$2:AF448),$AF$2:$AF$1001,0),1)&gt;=100000,INDEX($AM$1005:$BM$1005,1,MATCH(COLUMNS($AM$1006:AT1006),$AM$1006:$BM$1006,0))&gt;=100000), " ",IF(INDEX($AM$2:$BM$1001,MATCH(ROWS($AF$2:AF448),$AF$2:$AF$1001,0),MATCH(COLUMNS($AM$1006:AT1006),$AM$1006:$BM$1006,0)), HYPERLINK("#",""), HYPERLINK(CONCATENATE("#metadata!", ADDRESS(INDEX($AH$2:$AH$1001,MATCH(ROWS($AF$2:AF448),$AF$2:$AF$1001,0),0), INDEX($AM$1004:$BM$1004,1,MATCH(COLUMNS($AM$1006:AT1006),$AM$1006:$BM$1006,0)))),"Fix")))</f>
        <v xml:space="preserve"> </v>
      </c>
      <c r="J448" s="4" t="str">
        <f ca="1">IF(OR(INDEX($AG$2:$AG$1001,MATCH(ROWS($AF$2:AF448),$AF$2:$AF$1001,0),1)&gt;=100000,INDEX($AM$1005:$BM$1005,1,MATCH(COLUMNS($AM$1006:AU1006),$AM$1006:$BM$1006,0))&gt;=100000), " ",IF(INDEX($AM$2:$BM$1001,MATCH(ROWS($AF$2:AF448),$AF$2:$AF$1001,0),MATCH(COLUMNS($AM$1006:AU1006),$AM$1006:$BM$1006,0)), HYPERLINK("#",""), HYPERLINK(CONCATENATE("#metadata!", ADDRESS(INDEX($AH$2:$AH$1001,MATCH(ROWS($AF$2:AF448),$AF$2:$AF$1001,0),0), INDEX($AM$1004:$BM$1004,1,MATCH(COLUMNS($AM$1006:AU1006),$AM$1006:$BM$1006,0)))),"Fix")))</f>
        <v xml:space="preserve"> </v>
      </c>
      <c r="K448" s="4" t="str">
        <f ca="1">IF(OR(INDEX($AG$2:$AG$1001,MATCH(ROWS($AF$2:AF448),$AF$2:$AF$1001,0),1)&gt;=100000,INDEX($AM$1005:$BM$1005,1,MATCH(COLUMNS($AM$1006:AV1006),$AM$1006:$BM$1006,0))&gt;=100000), " ",IF(INDEX($AM$2:$BM$1001,MATCH(ROWS($AF$2:AF448),$AF$2:$AF$1001,0),MATCH(COLUMNS($AM$1006:AV1006),$AM$1006:$BM$1006,0)), HYPERLINK("#",""), HYPERLINK(CONCATENATE("#metadata!", ADDRESS(INDEX($AH$2:$AH$1001,MATCH(ROWS($AF$2:AF448),$AF$2:$AF$1001,0),0), INDEX($AM$1004:$BM$1004,1,MATCH(COLUMNS($AM$1006:AV1006),$AM$1006:$BM$1006,0)))),"Fix")))</f>
        <v xml:space="preserve"> </v>
      </c>
      <c r="L448" s="4" t="str">
        <f ca="1">IF(OR(INDEX($AG$2:$AG$1001,MATCH(ROWS($AF$2:AF448),$AF$2:$AF$1001,0),1)&gt;=100000,INDEX($AM$1005:$BM$1005,1,MATCH(COLUMNS($AM$1006:AW1006),$AM$1006:$BM$1006,0))&gt;=100000), " ",IF(INDEX($AM$2:$BM$1001,MATCH(ROWS($AF$2:AF448),$AF$2:$AF$1001,0),MATCH(COLUMNS($AM$1006:AW1006),$AM$1006:$BM$1006,0)), HYPERLINK("#",""), HYPERLINK(CONCATENATE("#metadata!", ADDRESS(INDEX($AH$2:$AH$1001,MATCH(ROWS($AF$2:AF448),$AF$2:$AF$1001,0),0), INDEX($AM$1004:$BM$1004,1,MATCH(COLUMNS($AM$1006:AW1006),$AM$1006:$BM$1006,0)))),"Fix")))</f>
        <v xml:space="preserve"> </v>
      </c>
      <c r="M448" s="4" t="str">
        <f ca="1">IF(OR(INDEX($AG$2:$AG$1001,MATCH(ROWS($AF$2:AF448),$AF$2:$AF$1001,0),1)&gt;=100000,INDEX($AM$1005:$BM$1005,1,MATCH(COLUMNS($AM$1006:AX1006),$AM$1006:$BM$1006,0))&gt;=100000), " ",IF(INDEX($AM$2:$BM$1001,MATCH(ROWS($AF$2:AF448),$AF$2:$AF$1001,0),MATCH(COLUMNS($AM$1006:AX1006),$AM$1006:$BM$1006,0)), HYPERLINK("#",""), HYPERLINK(CONCATENATE("#metadata!", ADDRESS(INDEX($AH$2:$AH$1001,MATCH(ROWS($AF$2:AF448),$AF$2:$AF$1001,0),0), INDEX($AM$1004:$BM$1004,1,MATCH(COLUMNS($AM$1006:AX1006),$AM$1006:$BM$1006,0)))),"Fix")))</f>
        <v xml:space="preserve"> </v>
      </c>
      <c r="N448" s="4" t="str">
        <f ca="1">IF(OR(INDEX($AG$2:$AG$1001,MATCH(ROWS($AF$2:AF448),$AF$2:$AF$1001,0),1)&gt;=100000,INDEX($AM$1005:$BM$1005,1,MATCH(COLUMNS($AM$1006:AY1006),$AM$1006:$BM$1006,0))&gt;=100000), " ",IF(INDEX($AM$2:$BM$1001,MATCH(ROWS($AF$2:AF448),$AF$2:$AF$1001,0),MATCH(COLUMNS($AM$1006:AY1006),$AM$1006:$BM$1006,0)), HYPERLINK("#",""), HYPERLINK(CONCATENATE("#metadata!", ADDRESS(INDEX($AH$2:$AH$1001,MATCH(ROWS($AF$2:AF448),$AF$2:$AF$1001,0),0), INDEX($AM$1004:$BM$1004,1,MATCH(COLUMNS($AM$1006:AY1006),$AM$1006:$BM$1006,0)))),"Fix")))</f>
        <v xml:space="preserve"> </v>
      </c>
      <c r="O448" s="4" t="str">
        <f ca="1">IF(OR(INDEX($AG$2:$AG$1001,MATCH(ROWS($AF$2:AF448),$AF$2:$AF$1001,0),1)&gt;=100000,INDEX($AM$1005:$BM$1005,1,MATCH(COLUMNS($AM$1006:AZ1006),$AM$1006:$BM$1006,0))&gt;=100000), " ",IF(INDEX($AM$2:$BM$1001,MATCH(ROWS($AF$2:AF448),$AF$2:$AF$1001,0),MATCH(COLUMNS($AM$1006:AZ1006),$AM$1006:$BM$1006,0)), HYPERLINK("#",""), HYPERLINK(CONCATENATE("#metadata!", ADDRESS(INDEX($AH$2:$AH$1001,MATCH(ROWS($AF$2:AF448),$AF$2:$AF$1001,0),0), INDEX($AM$1004:$BM$1004,1,MATCH(COLUMNS($AM$1006:AZ1006),$AM$1006:$BM$1006,0)))),"Fix")))</f>
        <v xml:space="preserve"> </v>
      </c>
      <c r="P448" s="4" t="str">
        <f ca="1">IF(OR(INDEX($AG$2:$AG$1001,MATCH(ROWS($AF$2:AF448),$AF$2:$AF$1001,0),1)&gt;=100000,INDEX($AM$1005:$BM$1005,1,MATCH(COLUMNS($AM$1006:BA1006),$AM$1006:$BM$1006,0))&gt;=100000), " ",IF(INDEX($AM$2:$BM$1001,MATCH(ROWS($AF$2:AF448),$AF$2:$AF$1001,0),MATCH(COLUMNS($AM$1006:BA1006),$AM$1006:$BM$1006,0)), HYPERLINK("#",""), HYPERLINK(CONCATENATE("#metadata!", ADDRESS(INDEX($AH$2:$AH$1001,MATCH(ROWS($AF$2:AF448),$AF$2:$AF$1001,0),0), INDEX($AM$1004:$BM$1004,1,MATCH(COLUMNS($AM$1006:BA1006),$AM$1006:$BM$1006,0)))),"Fix")))</f>
        <v xml:space="preserve"> </v>
      </c>
      <c r="Q448" s="4" t="str">
        <f ca="1">IF(OR(INDEX($AG$2:$AG$1001,MATCH(ROWS($AF$2:AF448),$AF$2:$AF$1001,0),1)&gt;=100000,INDEX($AM$1005:$BM$1005,1,MATCH(COLUMNS($AM$1006:BB1006),$AM$1006:$BM$1006,0))&gt;=100000), " ",IF(INDEX($AM$2:$BM$1001,MATCH(ROWS($AF$2:AF448),$AF$2:$AF$1001,0),MATCH(COLUMNS($AM$1006:BB1006),$AM$1006:$BM$1006,0)), HYPERLINK("#",""), HYPERLINK(CONCATENATE("#metadata!", ADDRESS(INDEX($AH$2:$AH$1001,MATCH(ROWS($AF$2:AF448),$AF$2:$AF$1001,0),0), INDEX($AM$1004:$BM$1004,1,MATCH(COLUMNS($AM$1006:BB1006),$AM$1006:$BM$1006,0)))),"Fix")))</f>
        <v xml:space="preserve"> </v>
      </c>
      <c r="R448" s="4" t="str">
        <f ca="1">IF(OR(INDEX($AG$2:$AG$1001,MATCH(ROWS($AF$2:AF448),$AF$2:$AF$1001,0),1)&gt;=100000,INDEX($AM$1005:$BM$1005,1,MATCH(COLUMNS($AM$1006:BC1006),$AM$1006:$BM$1006,0))&gt;=100000), " ",IF(INDEX($AM$2:$BM$1001,MATCH(ROWS($AF$2:AF448),$AF$2:$AF$1001,0),MATCH(COLUMNS($AM$1006:BC1006),$AM$1006:$BM$1006,0)), HYPERLINK("#",""), HYPERLINK(CONCATENATE("#metadata!", ADDRESS(INDEX($AH$2:$AH$1001,MATCH(ROWS($AF$2:AF448),$AF$2:$AF$1001,0),0), INDEX($AM$1004:$BM$1004,1,MATCH(COLUMNS($AM$1006:BC1006),$AM$1006:$BM$1006,0)))),"Fix")))</f>
        <v xml:space="preserve"> </v>
      </c>
      <c r="S448" s="4" t="str">
        <f ca="1">IF(OR(INDEX($AG$2:$AG$1001,MATCH(ROWS($AF$2:AF448),$AF$2:$AF$1001,0),1)&gt;=100000,INDEX($AM$1005:$BM$1005,1,MATCH(COLUMNS($AM$1006:BD1006),$AM$1006:$BM$1006,0))&gt;=100000), " ",IF(INDEX($AM$2:$BM$1001,MATCH(ROWS($AF$2:AF448),$AF$2:$AF$1001,0),MATCH(COLUMNS($AM$1006:BD1006),$AM$1006:$BM$1006,0)), HYPERLINK("#",""), HYPERLINK(CONCATENATE("#metadata!", ADDRESS(INDEX($AH$2:$AH$1001,MATCH(ROWS($AF$2:AF448),$AF$2:$AF$1001,0),0), INDEX($AM$1004:$BM$1004,1,MATCH(COLUMNS($AM$1006:BD1006),$AM$1006:$BM$1006,0)))),"Fix")))</f>
        <v xml:space="preserve"> </v>
      </c>
      <c r="T448" s="4" t="str">
        <f ca="1">IF(OR(INDEX($AG$2:$AG$1001,MATCH(ROWS($AF$2:AF448),$AF$2:$AF$1001,0),1)&gt;=100000,INDEX($AM$1005:$BM$1005,1,MATCH(COLUMNS($AM$1006:BE1006),$AM$1006:$BM$1006,0))&gt;=100000), " ",IF(INDEX($AM$2:$BM$1001,MATCH(ROWS($AF$2:AF448),$AF$2:$AF$1001,0),MATCH(COLUMNS($AM$1006:BE1006),$AM$1006:$BM$1006,0)), HYPERLINK("#",""), HYPERLINK(CONCATENATE("#metadata!", ADDRESS(INDEX($AH$2:$AH$1001,MATCH(ROWS($AF$2:AF448),$AF$2:$AF$1001,0),0), INDEX($AM$1004:$BM$1004,1,MATCH(COLUMNS($AM$1006:BE1006),$AM$1006:$BM$1006,0)))),"Fix")))</f>
        <v xml:space="preserve"> </v>
      </c>
      <c r="U448" s="4" t="str">
        <f ca="1">IF(OR(INDEX($AG$2:$AG$1001,MATCH(ROWS($AF$2:AF448),$AF$2:$AF$1001,0),1)&gt;=100000,INDEX($AM$1005:$BM$1005,1,MATCH(COLUMNS($AM$1006:BF1006),$AM$1006:$BM$1006,0))&gt;=100000), " ",IF(INDEX($AM$2:$BM$1001,MATCH(ROWS($AF$2:AF448),$AF$2:$AF$1001,0),MATCH(COLUMNS($AM$1006:BF1006),$AM$1006:$BM$1006,0)), HYPERLINK("#",""), HYPERLINK(CONCATENATE("#metadata!", ADDRESS(INDEX($AH$2:$AH$1001,MATCH(ROWS($AF$2:AF448),$AF$2:$AF$1001,0),0), INDEX($AM$1004:$BM$1004,1,MATCH(COLUMNS($AM$1006:BF1006),$AM$1006:$BM$1006,0)))),"Fix")))</f>
        <v xml:space="preserve"> </v>
      </c>
      <c r="V448" s="4" t="str">
        <f ca="1">IF(OR(INDEX($AG$2:$AG$1001,MATCH(ROWS($AF$2:AF448),$AF$2:$AF$1001,0),1)&gt;=100000,INDEX($AM$1005:$BM$1005,1,MATCH(COLUMNS($AM$1006:BG1006),$AM$1006:$BM$1006,0))&gt;=100000), " ",IF(INDEX($AM$2:$BM$1001,MATCH(ROWS($AF$2:AF448),$AF$2:$AF$1001,0),MATCH(COLUMNS($AM$1006:BG1006),$AM$1006:$BM$1006,0)), HYPERLINK("#",""), HYPERLINK(CONCATENATE("#metadata!", ADDRESS(INDEX($AH$2:$AH$1001,MATCH(ROWS($AF$2:AF448),$AF$2:$AF$1001,0),0), INDEX($AM$1004:$BM$1004,1,MATCH(COLUMNS($AM$1006:BG1006),$AM$1006:$BM$1006,0)))),"Fix")))</f>
        <v xml:space="preserve"> </v>
      </c>
      <c r="W448" s="4" t="str">
        <f ca="1">IF(OR(INDEX($AG$2:$AG$1001,MATCH(ROWS($AF$2:AF448),$AF$2:$AF$1001,0),1)&gt;=100000,INDEX($AM$1005:$BM$1005,1,MATCH(COLUMNS($AM$1006:BH1006),$AM$1006:$BM$1006,0))&gt;=100000), " ",IF(INDEX($AM$2:$BM$1001,MATCH(ROWS($AF$2:AF448),$AF$2:$AF$1001,0),MATCH(COLUMNS($AM$1006:BH1006),$AM$1006:$BM$1006,0)), HYPERLINK("#",""), HYPERLINK(CONCATENATE("#metadata!", ADDRESS(INDEX($AH$2:$AH$1001,MATCH(ROWS($AF$2:AF448),$AF$2:$AF$1001,0),0), INDEX($AM$1004:$BM$1004,1,MATCH(COLUMNS($AM$1006:BH1006),$AM$1006:$BM$1006,0)))),"Fix")))</f>
        <v xml:space="preserve"> </v>
      </c>
      <c r="X448" s="4" t="str">
        <f ca="1">IF(OR(INDEX($AG$2:$AG$1001,MATCH(ROWS($AF$2:AF448),$AF$2:$AF$1001,0),1)&gt;=100000,INDEX($AM$1005:$BM$1005,1,MATCH(COLUMNS($AM$1006:BI1006),$AM$1006:$BM$1006,0))&gt;=100000), " ",IF(INDEX($AM$2:$BM$1001,MATCH(ROWS($AF$2:AF448),$AF$2:$AF$1001,0),MATCH(COLUMNS($AM$1006:BI1006),$AM$1006:$BM$1006,0)), HYPERLINK("#",""), HYPERLINK(CONCATENATE("#metadata!", ADDRESS(INDEX($AH$2:$AH$1001,MATCH(ROWS($AF$2:AF448),$AF$2:$AF$1001,0),0), INDEX($AM$1004:$BM$1004,1,MATCH(COLUMNS($AM$1006:BI1006),$AM$1006:$BM$1006,0)))),"Fix")))</f>
        <v xml:space="preserve"> </v>
      </c>
      <c r="Y448" s="4" t="str">
        <f ca="1">IF(OR(INDEX($AG$2:$AG$1001,MATCH(ROWS($AF$2:AF448),$AF$2:$AF$1001,0),1)&gt;=100000,INDEX($AM$1005:$BM$1005,1,MATCH(COLUMNS($AM$1006:BJ1006),$AM$1006:$BM$1006,0))&gt;=100000), " ",IF(INDEX($AM$2:$BM$1001,MATCH(ROWS($AF$2:AF448),$AF$2:$AF$1001,0),MATCH(COLUMNS($AM$1006:BJ1006),$AM$1006:$BM$1006,0)), HYPERLINK("#",""), HYPERLINK(CONCATENATE("#metadata!", ADDRESS(INDEX($AH$2:$AH$1001,MATCH(ROWS($AF$2:AF448),$AF$2:$AF$1001,0),0), INDEX($AM$1004:$BM$1004,1,MATCH(COLUMNS($AM$1006:BJ1006),$AM$1006:$BM$1006,0)))),"Fix")))</f>
        <v xml:space="preserve"> </v>
      </c>
      <c r="Z448" s="4" t="str">
        <f ca="1">IF(OR(INDEX($AG$2:$AG$1001,MATCH(ROWS($AF$2:AF448),$AF$2:$AF$1001,0),1)&gt;=100000,INDEX($AM$1005:$BM$1005,1,MATCH(COLUMNS($AM$1006:BK1006),$AM$1006:$BM$1006,0))&gt;=100000), " ",IF(INDEX($AM$2:$BM$1001,MATCH(ROWS($AF$2:AF448),$AF$2:$AF$1001,0),MATCH(COLUMNS($AM$1006:BK1006),$AM$1006:$BM$1006,0)), HYPERLINK("#",""), HYPERLINK(CONCATENATE("#metadata!", ADDRESS(INDEX($AH$2:$AH$1001,MATCH(ROWS($AF$2:AF448),$AF$2:$AF$1001,0),0), INDEX($AM$1004:$BM$1004,1,MATCH(COLUMNS($AM$1006:BK1006),$AM$1006:$BM$1006,0)))),"Fix")))</f>
        <v xml:space="preserve"> </v>
      </c>
      <c r="AA448" s="4" t="str">
        <f ca="1">IF(OR(INDEX($AG$2:$AG$1001,MATCH(ROWS($AF$2:AF448),$AF$2:$AF$1001,0),1)&gt;=100000,INDEX($AM$1005:$BM$1005,1,MATCH(COLUMNS($AM$1006:BL1006),$AM$1006:$BM$1006,0))&gt;=100000), " ",IF(INDEX($AM$2:$BM$1001,MATCH(ROWS($AF$2:AF448),$AF$2:$AF$1001,0),MATCH(COLUMNS($AM$1006:BL1006),$AM$1006:$BM$1006,0)), HYPERLINK("#",""), HYPERLINK(CONCATENATE("#metadata!", ADDRESS(INDEX($AH$2:$AH$1001,MATCH(ROWS($AF$2:AF448),$AF$2:$AF$1001,0),0), INDEX($AM$1004:$BM$1004,1,MATCH(COLUMNS($AM$1006:BL1006),$AM$1006:$BM$1006,0)))),"Fix")))</f>
        <v xml:space="preserve"> </v>
      </c>
      <c r="AB448" s="4" t="str">
        <f ca="1">IF(OR(INDEX($AG$2:$AG$1001,MATCH(ROWS($AF$2:AF448),$AF$2:$AF$1001,0),1)&gt;=100000,INDEX($AM$1005:$BM$1005,1,MATCH(COLUMNS($AM$1006:BM1006),$AM$1006:$BM$1006,0))&gt;=100000), " ",IF(INDEX($AM$2:$BM$1001,MATCH(ROWS($AF$2:AF448),$AF$2:$AF$1001,0),MATCH(COLUMNS($AM$1006:BM1006),$AM$1006:$BM$1006,0)), HYPERLINK("#",""), HYPERLINK(CONCATENATE("#metadata!", ADDRESS(INDEX($AH$2:$AH$1001,MATCH(ROWS($AF$2:AF448),$AF$2:$AF$1001,0),0), INDEX($AM$1004:$BM$1004,1,MATCH(COLUMNS($AM$1006:BM1006),$AM$1006:$BM$1006,0)))),"Fix")))</f>
        <v xml:space="preserve"> </v>
      </c>
      <c r="AF448">
        <v>447</v>
      </c>
      <c r="AG448">
        <v>100448</v>
      </c>
      <c r="AH448">
        <v>448</v>
      </c>
      <c r="AI448" t="b">
        <f t="shared" si="6"/>
        <v>1</v>
      </c>
      <c r="AJ448" t="b">
        <f>COUNTBLANK(metadata!B448:AB448)=COLUMNS(metadata!B448:AB448)</f>
        <v>1</v>
      </c>
      <c r="AK448" t="str">
        <v/>
      </c>
      <c r="AM448" t="b">
        <f ca="1">AND(IF(metadata!B448="",FALSE,TRUE),COUNTIF(metadata!B:B, metadata!B448) = 1,NOT(ISERROR(SUMPRODUCT(SEARCH(MID(metadata!B448,ROW(INDIRECT("1:"&amp;LEN(metadata!B448))), 1),"0123456789abcdefghijklmnopqrstuvwxyzABCDEFGHIJKLMNOPQRSTUVWXYZ.")))))</f>
        <v>0</v>
      </c>
      <c r="AN448" t="b">
        <f ca="1">OR(AND(IF(metadata!C448="",FALSE,TRUE),OR(EXACT(metadata!C448,"missing: not collected"),EXACT(metadata!C448,"missing: not provided"),EXACT(metadata!C448,"missing: restricted access"))),AND(IF(metadata!C448="",FALSE,TRUE),AND(AND(IFERROR(INT(LEFT(metadata!C448,4))&gt;1900,FALSE),IFERROR(INT(LEFT(metadata!C448,4))&lt;=YEAR(NOW()),FALSE)), OR(MID(metadata!C448,5,1)="", AND(AND(MID(metadata!C448,5,1)="-",IFERROR(INT(MID(metadata!C448,6,1))&gt;=0,FALSE),IFERROR(INT(MID(metadata!C448,6,1))&lt;=1,FALSE),NOT(MID(metadata!C448,7,1)=""),IFERROR(INT(MID(metadata!C448,6,2))&gt;=1,FALSE),IFERROR(INT(MID(metadata!C448,6,2))&lt;=12,FALSE)), OR(MID(metadata!C448,8,1)="", AND(AND(MID(metadata!C448,8,1)="-",IFERROR(INT(MID(metadata!C448,9,1))&gt;=0,FALSE),IFERROR(INT(MID(metadata!C448,9,1))&lt;=3,FALSE),NOT(MID(metadata!C448,10,1)=""),IFERROR(INT(MID(metadata!C448,9,2))&gt;=1,FALSE),IFERROR(INT(MID(metadata!C448,9,2))&lt;=31,FALSE)), OR(MID(metadata!C448,11,1)="", AND(AND(MID(metadata!C448,11,1)=" ",IFERROR(INT(MID(metadata!C448,12,1))&gt;=0,FALSE),IFERROR(INT(MID(metadata!C448,12,1))&lt;=2,FALSE),NOT(MID(metadata!C448,13,1)=""),IFERROR(INT(MID(metadata!C448,12,2))&gt;=0,FALSE),IFERROR(INT(MID(metadata!C448,12,2))&lt;=23,FALSE)), OR(MID(metadata!C448,14,1)="", AND(AND(MID(metadata!C448,14,1)=":",IFERROR(INT(MID(metadata!C448,15,1))&gt;=0,FALSE),IFERROR(INT(MID(metadata!C448,15,1))&lt;=5,FALSE),NOT(MID(metadata!C448,16,1)=""),IFERROR(INT(MID(metadata!C448,15,2))&gt;=0,FALSE),IFERROR(INT(MID(metadata!C448,15,2))&lt;=59,FALSE)), OR(MID(metadata!C448,17,1)="", AND(AND(MID(metadata!C448,17,1)=":",IFERROR(INT(MID(metadata!C448,18,1))&gt;=0,FALSE),IFERROR(INT(MID(metadata!C448,18,1))&lt;=5,FALSE),NOT(MID(metadata!C448,19,1)=""),IFERROR(INT(MID(metadata!C448,18,2))&gt;=0,FALSE),IFERROR(INT(MID(metadata!C448,18,2))&lt;=59,FALSE)), LEN(metadata!C448)&lt;=19)))))))))))))</f>
        <v>0</v>
      </c>
      <c r="AO448" t="b">
        <f>AND(IF(metadata!D448="",FALSE,TRUE),EXACT(metadata!D448,"Not applicable"))</f>
        <v>0</v>
      </c>
      <c r="AP448" t="b">
        <f>IF(metadata!E448="",FALSE,TRUE)</f>
        <v>0</v>
      </c>
      <c r="AQ448" t="b">
        <f>OR(AND(IF(metadata!F448="",FALSE,TRUE),OR(EXACT(metadata!F448,"missing: not collected"),EXACT(metadata!F448,"missing: not provided"))),AND(IF(metadata!F448="",FALSE,TRUE),OR(EXACT(metadata!F448,"TRUE"),EXACT(metadata!F448,"FALSE"))))</f>
        <v>0</v>
      </c>
      <c r="AR448" t="b">
        <f>OR(AND(IF(metadata!G448="",FALSE,TRUE),OR(EXACT(metadata!G448,"missing: not collected"),EXACT(metadata!G448,"missing: not provided"),EXACT(metadata!G448,"missing: restricted access"))),AND(IF(metadata!G448="",FALSE,ISNUMBER(VALUE(metadata!G448))),metadata!G448&gt;=-413))</f>
        <v>0</v>
      </c>
      <c r="AS448" t="b">
        <f>AND(IF(metadata!H448="",FALSE,TRUE),EXACT(metadata!H448,"meters"))</f>
        <v>0</v>
      </c>
      <c r="AT448" t="b">
        <f>AND(IF(metadata!I448="",FALSE,TRUE),OR(EXACT(metadata!I448,"Host-associated"),EXACT(metadata!I448,"Free-living")))</f>
        <v>0</v>
      </c>
      <c r="AU448" t="b">
        <f>AND(IF(metadata!J448="",FALSE,TRUE),OR(EXACT(metadata!J448,"Animal"),EXACT(metadata!J448,"Fungus"),EXACT(metadata!J448,"Plant"),EXACT(metadata!J448,"Saline"),EXACT(metadata!J448,"Non-saline")))</f>
        <v>0</v>
      </c>
      <c r="AV448" t="b">
        <f>AND(IF(metadata!K448="",FALSE,TRUE),OR(EXACT(metadata!K448,"Plant secretion"),EXACT(metadata!K448,"Plant rhizosphere"),EXACT(metadata!K448,"Plant surface"),EXACT(metadata!K448,"Plant corpus"),EXACT(metadata!K448,"Fungus surface"),EXACT(metadata!K448,"Fungus corpus"),EXACT(metadata!K448,"Animal surface"),EXACT(metadata!K448,"Animal proximal gut"),EXACT(metadata!K448,"Animal corpus"),EXACT(metadata!K448,"Animal distal gut"),EXACT(metadata!K448,"Animal secretion"),EXACT(metadata!K448,"Sub-surface (non-saline)"),EXACT(metadata!K448,"Surface (non-saline)"),EXACT(metadata!K448,"Water (non-saline)"),EXACT(metadata!K448,"Soil (non-saline)"),EXACT(metadata!K448,"Aerosol (non-saline)"),EXACT(metadata!K448,"Sediment (non-saline)"),EXACT(metadata!K448,"Surface (saline)"),EXACT(metadata!K448,"Water (saline)"),EXACT(metadata!K448,"Hypersaline (saline)"),EXACT(metadata!K448,"Aerosol (saline)"),EXACT(metadata!K448,"Sediment (saline)")))</f>
        <v>0</v>
      </c>
      <c r="AW448" t="b">
        <f>IF(metadata!L448="",FALSE,TRUE)</f>
        <v>0</v>
      </c>
      <c r="AX448" t="b">
        <f>IF(metadata!M448="",FALSE,TRUE)</f>
        <v>0</v>
      </c>
      <c r="AY448" t="b">
        <f>IF(metadata!N448="",FALSE,TRUE)</f>
        <v>0</v>
      </c>
      <c r="AZ448" t="b">
        <f>OR(AND(IF(metadata!O448="",FALSE,TRUE),OR(EXACT(metadata!O448,"missing: not collected"),EXACT(metadata!O448,"missing: not provided"),EXACT(metadata!O448,"missing: restricted access"))),AND(IF(metadata!O448="",FALSE,TRUE),OR(EXACT(metadata!O448,"air"),EXACT(metadata!O448,"built environment"),EXACT(metadata!O448,"host-associated"),EXACT(metadata!O448,"human-associated"),EXACT(metadata!O448,"human-skin"),EXACT(metadata!O448,"human-oral"),EXACT(metadata!O448,"human-gut"),EXACT(metadata!O448,"human-vaginal"),EXACT(metadata!O448,"microbial mat/biofilm"),EXACT(metadata!O448,"misc environment"),EXACT(metadata!O448,"plant-associated"),EXACT(metadata!O448,"sediment"),EXACT(metadata!O448,"soil"),EXACT(metadata!O448,"wastewater/sludge"),EXACT(metadata!O448,"water"))))</f>
        <v>0</v>
      </c>
      <c r="BA448" t="b">
        <f>IF(metadata!P448="",FALSE,TRUE)</f>
        <v>0</v>
      </c>
      <c r="BB448" t="b">
        <f>IF(metadata!Q448="",FALSE,TRUE)</f>
        <v>0</v>
      </c>
      <c r="BC448" t="b">
        <f>OR(AND(IF(metadata!R448="",FALSE,TRUE),OR(EXACT(metadata!R448,"missing: not collected"),EXACT(metadata!R448,"missing: not provided"),EXACT(metadata!R448,"missing: restricted access"))),AND(IF(metadata!R448="",FALSE,ISNUMBER(VALUE(metadata!R448))),metadata!R448&gt;=-90,metadata!R448&lt;=90))</f>
        <v>0</v>
      </c>
      <c r="BD448" t="b">
        <f>AND(IF(metadata!S448="",FALSE,TRUE),EXACT(metadata!S448,"Decimal degrees"))</f>
        <v>0</v>
      </c>
      <c r="BE448" t="b">
        <f>OR(AND(IF(metadata!T448="",FALSE,TRUE),OR(EXACT(metadata!T448,"missing: not collected"),EXACT(metadata!T448,"missing: not provided"),EXACT(metadata!T448,"missing: restricted access"))),AND(IF(metadata!T448="",FALSE,ISNUMBER(VALUE(metadata!T448))),metadata!T448&gt;=-180,metadata!T448&lt;=180))</f>
        <v>0</v>
      </c>
      <c r="BF448" t="b">
        <f>AND(IF(metadata!U448="",FALSE,TRUE),EXACT(metadata!U448,"Decimal degrees"))</f>
        <v>0</v>
      </c>
      <c r="BG448" t="b">
        <f>IF(metadata!V448="",FALSE,TRUE)</f>
        <v>0</v>
      </c>
      <c r="BH448" t="b">
        <f>OR(AND(IF(metadata!W448="",FALSE,TRUE),OR(EXACT(metadata!W448,"missing: not collected"),EXACT(metadata!W448,"missing: not provided"),EXACT(metadata!W448,"missing: restricted access"))),AND(IF(metadata!W448="",FALSE,TRUE),OR(EXACT(metadata!W448,"TRUE"),EXACT(metadata!W448,"FALSE"))))</f>
        <v>0</v>
      </c>
      <c r="BI448" t="b">
        <f>AND(IF(metadata!X448="",FALSE,TRUE),EXACT(metadata!X448,"other"))</f>
        <v>0</v>
      </c>
      <c r="BJ448" t="b">
        <f>IF(metadata!Y448="",FALSE,TRUE)</f>
        <v>0</v>
      </c>
      <c r="BK448" t="b">
        <f>OR(AND(IF(metadata!Z448="",FALSE,TRUE),OR(EXACT(metadata!Z448,"missing: not collected"),EXACT(metadata!Z448,"missing: not provided"))),AND(IF(metadata!Z448="",FALSE,IF(ISERROR(INT(metadata!Z448)),FALSE,INT(metadata!Z448)=metadata!Z448)),metadata!Z448&gt;0))</f>
        <v>0</v>
      </c>
      <c r="BL448" t="b">
        <f>AND(IF(metadata!AA448="",FALSE,TRUE),EXACT(metadata!AA448,"Not applicable"))</f>
        <v>0</v>
      </c>
      <c r="BM448" t="b">
        <f>IF(metadata!AB448="",FALSE,TRUE)</f>
        <v>0</v>
      </c>
    </row>
    <row r="449" spans="1:65" x14ac:dyDescent="0.2">
      <c r="A449" s="5" t="str">
        <f ca="1">IF(B449=" "," ",HYPERLINK(CONCATENATE("#metadata!",ADDRESS(INDEX($AH$2:$AH$1001,MATCH(ROWS($AF$2:AF449),$AF$2:$AF$1001,0),0),1)),INDEX($AK$2:$AK$1001,MATCH(ROWS($AF$2:AF449),$AF$2:$AF$1001,0),0)))</f>
        <v xml:space="preserve"> </v>
      </c>
      <c r="B449" s="4" t="str">
        <f ca="1">IF(OR(INDEX($AG$2:$AG$1001,MATCH(ROWS($AF$2:AF449),$AF$2:$AF$1001,0),1)&gt;=100000,INDEX($AM$1005:$BM$1005,1,MATCH(COLUMNS($AM$1006:AM1006),$AM$1006:$BM$1006,0))&gt;=100000), " ",IF(INDEX($AM$2:$BM$1001,MATCH(ROWS($AF$2:AF449),$AF$2:$AF$1001,0),MATCH(COLUMNS($AM$1006:AM1006),$AM$1006:$BM$1006,0)), HYPERLINK("#",""), HYPERLINK(CONCATENATE("#metadata!", ADDRESS(INDEX($AH$2:$AH$1001,MATCH(ROWS($AF$2:AF449),$AF$2:$AF$1001,0),0), INDEX($AM$1004:$BM$1004,1,MATCH(COLUMNS($AM$1006:AM1006),$AM$1006:$BM$1006,0)))),"Fix")))</f>
        <v xml:space="preserve"> </v>
      </c>
      <c r="C449" s="4" t="str">
        <f ca="1">IF(OR(INDEX($AG$2:$AG$1001,MATCH(ROWS($AF$2:AF449),$AF$2:$AF$1001,0),1)&gt;=100000,INDEX($AM$1005:$BM$1005,1,MATCH(COLUMNS($AM$1006:AN1006),$AM$1006:$BM$1006,0))&gt;=100000), " ",IF(INDEX($AM$2:$BM$1001,MATCH(ROWS($AF$2:AF449),$AF$2:$AF$1001,0),MATCH(COLUMNS($AM$1006:AN1006),$AM$1006:$BM$1006,0)), HYPERLINK("#",""), HYPERLINK(CONCATENATE("#metadata!", ADDRESS(INDEX($AH$2:$AH$1001,MATCH(ROWS($AF$2:AF449),$AF$2:$AF$1001,0),0), INDEX($AM$1004:$BM$1004,1,MATCH(COLUMNS($AM$1006:AN1006),$AM$1006:$BM$1006,0)))),"Fix")))</f>
        <v xml:space="preserve"> </v>
      </c>
      <c r="D449" s="4" t="str">
        <f ca="1">IF(OR(INDEX($AG$2:$AG$1001,MATCH(ROWS($AF$2:AF449),$AF$2:$AF$1001,0),1)&gt;=100000,INDEX($AM$1005:$BM$1005,1,MATCH(COLUMNS($AM$1006:AO1006),$AM$1006:$BM$1006,0))&gt;=100000), " ",IF(INDEX($AM$2:$BM$1001,MATCH(ROWS($AF$2:AF449),$AF$2:$AF$1001,0),MATCH(COLUMNS($AM$1006:AO1006),$AM$1006:$BM$1006,0)), HYPERLINK("#",""), HYPERLINK(CONCATENATE("#metadata!", ADDRESS(INDEX($AH$2:$AH$1001,MATCH(ROWS($AF$2:AF449),$AF$2:$AF$1001,0),0), INDEX($AM$1004:$BM$1004,1,MATCH(COLUMNS($AM$1006:AO1006),$AM$1006:$BM$1006,0)))),"Fix")))</f>
        <v xml:space="preserve"> </v>
      </c>
      <c r="E449" s="4" t="str">
        <f ca="1">IF(OR(INDEX($AG$2:$AG$1001,MATCH(ROWS($AF$2:AF449),$AF$2:$AF$1001,0),1)&gt;=100000,INDEX($AM$1005:$BM$1005,1,MATCH(COLUMNS($AM$1006:AP1006),$AM$1006:$BM$1006,0))&gt;=100000), " ",IF(INDEX($AM$2:$BM$1001,MATCH(ROWS($AF$2:AF449),$AF$2:$AF$1001,0),MATCH(COLUMNS($AM$1006:AP1006),$AM$1006:$BM$1006,0)), HYPERLINK("#",""), HYPERLINK(CONCATENATE("#metadata!", ADDRESS(INDEX($AH$2:$AH$1001,MATCH(ROWS($AF$2:AF449),$AF$2:$AF$1001,0),0), INDEX($AM$1004:$BM$1004,1,MATCH(COLUMNS($AM$1006:AP1006),$AM$1006:$BM$1006,0)))),"Fix")))</f>
        <v xml:space="preserve"> </v>
      </c>
      <c r="F449" s="4" t="str">
        <f ca="1">IF(OR(INDEX($AG$2:$AG$1001,MATCH(ROWS($AF$2:AF449),$AF$2:$AF$1001,0),1)&gt;=100000,INDEX($AM$1005:$BM$1005,1,MATCH(COLUMNS($AM$1006:AQ1006),$AM$1006:$BM$1006,0))&gt;=100000), " ",IF(INDEX($AM$2:$BM$1001,MATCH(ROWS($AF$2:AF449),$AF$2:$AF$1001,0),MATCH(COLUMNS($AM$1006:AQ1006),$AM$1006:$BM$1006,0)), HYPERLINK("#",""), HYPERLINK(CONCATENATE("#metadata!", ADDRESS(INDEX($AH$2:$AH$1001,MATCH(ROWS($AF$2:AF449),$AF$2:$AF$1001,0),0), INDEX($AM$1004:$BM$1004,1,MATCH(COLUMNS($AM$1006:AQ1006),$AM$1006:$BM$1006,0)))),"Fix")))</f>
        <v xml:space="preserve"> </v>
      </c>
      <c r="G449" s="4" t="str">
        <f ca="1">IF(OR(INDEX($AG$2:$AG$1001,MATCH(ROWS($AF$2:AF449),$AF$2:$AF$1001,0),1)&gt;=100000,INDEX($AM$1005:$BM$1005,1,MATCH(COLUMNS($AM$1006:AR1006),$AM$1006:$BM$1006,0))&gt;=100000), " ",IF(INDEX($AM$2:$BM$1001,MATCH(ROWS($AF$2:AF449),$AF$2:$AF$1001,0),MATCH(COLUMNS($AM$1006:AR1006),$AM$1006:$BM$1006,0)), HYPERLINK("#",""), HYPERLINK(CONCATENATE("#metadata!", ADDRESS(INDEX($AH$2:$AH$1001,MATCH(ROWS($AF$2:AF449),$AF$2:$AF$1001,0),0), INDEX($AM$1004:$BM$1004,1,MATCH(COLUMNS($AM$1006:AR1006),$AM$1006:$BM$1006,0)))),"Fix")))</f>
        <v xml:space="preserve"> </v>
      </c>
      <c r="H449" s="4" t="str">
        <f ca="1">IF(OR(INDEX($AG$2:$AG$1001,MATCH(ROWS($AF$2:AF449),$AF$2:$AF$1001,0),1)&gt;=100000,INDEX($AM$1005:$BM$1005,1,MATCH(COLUMNS($AM$1006:AS1006),$AM$1006:$BM$1006,0))&gt;=100000), " ",IF(INDEX($AM$2:$BM$1001,MATCH(ROWS($AF$2:AF449),$AF$2:$AF$1001,0),MATCH(COLUMNS($AM$1006:AS1006),$AM$1006:$BM$1006,0)), HYPERLINK("#",""), HYPERLINK(CONCATENATE("#metadata!", ADDRESS(INDEX($AH$2:$AH$1001,MATCH(ROWS($AF$2:AF449),$AF$2:$AF$1001,0),0), INDEX($AM$1004:$BM$1004,1,MATCH(COLUMNS($AM$1006:AS1006),$AM$1006:$BM$1006,0)))),"Fix")))</f>
        <v xml:space="preserve"> </v>
      </c>
      <c r="I449" s="4" t="str">
        <f ca="1">IF(OR(INDEX($AG$2:$AG$1001,MATCH(ROWS($AF$2:AF449),$AF$2:$AF$1001,0),1)&gt;=100000,INDEX($AM$1005:$BM$1005,1,MATCH(COLUMNS($AM$1006:AT1006),$AM$1006:$BM$1006,0))&gt;=100000), " ",IF(INDEX($AM$2:$BM$1001,MATCH(ROWS($AF$2:AF449),$AF$2:$AF$1001,0),MATCH(COLUMNS($AM$1006:AT1006),$AM$1006:$BM$1006,0)), HYPERLINK("#",""), HYPERLINK(CONCATENATE("#metadata!", ADDRESS(INDEX($AH$2:$AH$1001,MATCH(ROWS($AF$2:AF449),$AF$2:$AF$1001,0),0), INDEX($AM$1004:$BM$1004,1,MATCH(COLUMNS($AM$1006:AT1006),$AM$1006:$BM$1006,0)))),"Fix")))</f>
        <v xml:space="preserve"> </v>
      </c>
      <c r="J449" s="4" t="str">
        <f ca="1">IF(OR(INDEX($AG$2:$AG$1001,MATCH(ROWS($AF$2:AF449),$AF$2:$AF$1001,0),1)&gt;=100000,INDEX($AM$1005:$BM$1005,1,MATCH(COLUMNS($AM$1006:AU1006),$AM$1006:$BM$1006,0))&gt;=100000), " ",IF(INDEX($AM$2:$BM$1001,MATCH(ROWS($AF$2:AF449),$AF$2:$AF$1001,0),MATCH(COLUMNS($AM$1006:AU1006),$AM$1006:$BM$1006,0)), HYPERLINK("#",""), HYPERLINK(CONCATENATE("#metadata!", ADDRESS(INDEX($AH$2:$AH$1001,MATCH(ROWS($AF$2:AF449),$AF$2:$AF$1001,0),0), INDEX($AM$1004:$BM$1004,1,MATCH(COLUMNS($AM$1006:AU1006),$AM$1006:$BM$1006,0)))),"Fix")))</f>
        <v xml:space="preserve"> </v>
      </c>
      <c r="K449" s="4" t="str">
        <f ca="1">IF(OR(INDEX($AG$2:$AG$1001,MATCH(ROWS($AF$2:AF449),$AF$2:$AF$1001,0),1)&gt;=100000,INDEX($AM$1005:$BM$1005,1,MATCH(COLUMNS($AM$1006:AV1006),$AM$1006:$BM$1006,0))&gt;=100000), " ",IF(INDEX($AM$2:$BM$1001,MATCH(ROWS($AF$2:AF449),$AF$2:$AF$1001,0),MATCH(COLUMNS($AM$1006:AV1006),$AM$1006:$BM$1006,0)), HYPERLINK("#",""), HYPERLINK(CONCATENATE("#metadata!", ADDRESS(INDEX($AH$2:$AH$1001,MATCH(ROWS($AF$2:AF449),$AF$2:$AF$1001,0),0), INDEX($AM$1004:$BM$1004,1,MATCH(COLUMNS($AM$1006:AV1006),$AM$1006:$BM$1006,0)))),"Fix")))</f>
        <v xml:space="preserve"> </v>
      </c>
      <c r="L449" s="4" t="str">
        <f ca="1">IF(OR(INDEX($AG$2:$AG$1001,MATCH(ROWS($AF$2:AF449),$AF$2:$AF$1001,0),1)&gt;=100000,INDEX($AM$1005:$BM$1005,1,MATCH(COLUMNS($AM$1006:AW1006),$AM$1006:$BM$1006,0))&gt;=100000), " ",IF(INDEX($AM$2:$BM$1001,MATCH(ROWS($AF$2:AF449),$AF$2:$AF$1001,0),MATCH(COLUMNS($AM$1006:AW1006),$AM$1006:$BM$1006,0)), HYPERLINK("#",""), HYPERLINK(CONCATENATE("#metadata!", ADDRESS(INDEX($AH$2:$AH$1001,MATCH(ROWS($AF$2:AF449),$AF$2:$AF$1001,0),0), INDEX($AM$1004:$BM$1004,1,MATCH(COLUMNS($AM$1006:AW1006),$AM$1006:$BM$1006,0)))),"Fix")))</f>
        <v xml:space="preserve"> </v>
      </c>
      <c r="M449" s="4" t="str">
        <f ca="1">IF(OR(INDEX($AG$2:$AG$1001,MATCH(ROWS($AF$2:AF449),$AF$2:$AF$1001,0),1)&gt;=100000,INDEX($AM$1005:$BM$1005,1,MATCH(COLUMNS($AM$1006:AX1006),$AM$1006:$BM$1006,0))&gt;=100000), " ",IF(INDEX($AM$2:$BM$1001,MATCH(ROWS($AF$2:AF449),$AF$2:$AF$1001,0),MATCH(COLUMNS($AM$1006:AX1006),$AM$1006:$BM$1006,0)), HYPERLINK("#",""), HYPERLINK(CONCATENATE("#metadata!", ADDRESS(INDEX($AH$2:$AH$1001,MATCH(ROWS($AF$2:AF449),$AF$2:$AF$1001,0),0), INDEX($AM$1004:$BM$1004,1,MATCH(COLUMNS($AM$1006:AX1006),$AM$1006:$BM$1006,0)))),"Fix")))</f>
        <v xml:space="preserve"> </v>
      </c>
      <c r="N449" s="4" t="str">
        <f ca="1">IF(OR(INDEX($AG$2:$AG$1001,MATCH(ROWS($AF$2:AF449),$AF$2:$AF$1001,0),1)&gt;=100000,INDEX($AM$1005:$BM$1005,1,MATCH(COLUMNS($AM$1006:AY1006),$AM$1006:$BM$1006,0))&gt;=100000), " ",IF(INDEX($AM$2:$BM$1001,MATCH(ROWS($AF$2:AF449),$AF$2:$AF$1001,0),MATCH(COLUMNS($AM$1006:AY1006),$AM$1006:$BM$1006,0)), HYPERLINK("#",""), HYPERLINK(CONCATENATE("#metadata!", ADDRESS(INDEX($AH$2:$AH$1001,MATCH(ROWS($AF$2:AF449),$AF$2:$AF$1001,0),0), INDEX($AM$1004:$BM$1004,1,MATCH(COLUMNS($AM$1006:AY1006),$AM$1006:$BM$1006,0)))),"Fix")))</f>
        <v xml:space="preserve"> </v>
      </c>
      <c r="O449" s="4" t="str">
        <f ca="1">IF(OR(INDEX($AG$2:$AG$1001,MATCH(ROWS($AF$2:AF449),$AF$2:$AF$1001,0),1)&gt;=100000,INDEX($AM$1005:$BM$1005,1,MATCH(COLUMNS($AM$1006:AZ1006),$AM$1006:$BM$1006,0))&gt;=100000), " ",IF(INDEX($AM$2:$BM$1001,MATCH(ROWS($AF$2:AF449),$AF$2:$AF$1001,0),MATCH(COLUMNS($AM$1006:AZ1006),$AM$1006:$BM$1006,0)), HYPERLINK("#",""), HYPERLINK(CONCATENATE("#metadata!", ADDRESS(INDEX($AH$2:$AH$1001,MATCH(ROWS($AF$2:AF449),$AF$2:$AF$1001,0),0), INDEX($AM$1004:$BM$1004,1,MATCH(COLUMNS($AM$1006:AZ1006),$AM$1006:$BM$1006,0)))),"Fix")))</f>
        <v xml:space="preserve"> </v>
      </c>
      <c r="P449" s="4" t="str">
        <f ca="1">IF(OR(INDEX($AG$2:$AG$1001,MATCH(ROWS($AF$2:AF449),$AF$2:$AF$1001,0),1)&gt;=100000,INDEX($AM$1005:$BM$1005,1,MATCH(COLUMNS($AM$1006:BA1006),$AM$1006:$BM$1006,0))&gt;=100000), " ",IF(INDEX($AM$2:$BM$1001,MATCH(ROWS($AF$2:AF449),$AF$2:$AF$1001,0),MATCH(COLUMNS($AM$1006:BA1006),$AM$1006:$BM$1006,0)), HYPERLINK("#",""), HYPERLINK(CONCATENATE("#metadata!", ADDRESS(INDEX($AH$2:$AH$1001,MATCH(ROWS($AF$2:AF449),$AF$2:$AF$1001,0),0), INDEX($AM$1004:$BM$1004,1,MATCH(COLUMNS($AM$1006:BA1006),$AM$1006:$BM$1006,0)))),"Fix")))</f>
        <v xml:space="preserve"> </v>
      </c>
      <c r="Q449" s="4" t="str">
        <f ca="1">IF(OR(INDEX($AG$2:$AG$1001,MATCH(ROWS($AF$2:AF449),$AF$2:$AF$1001,0),1)&gt;=100000,INDEX($AM$1005:$BM$1005,1,MATCH(COLUMNS($AM$1006:BB1006),$AM$1006:$BM$1006,0))&gt;=100000), " ",IF(INDEX($AM$2:$BM$1001,MATCH(ROWS($AF$2:AF449),$AF$2:$AF$1001,0),MATCH(COLUMNS($AM$1006:BB1006),$AM$1006:$BM$1006,0)), HYPERLINK("#",""), HYPERLINK(CONCATENATE("#metadata!", ADDRESS(INDEX($AH$2:$AH$1001,MATCH(ROWS($AF$2:AF449),$AF$2:$AF$1001,0),0), INDEX($AM$1004:$BM$1004,1,MATCH(COLUMNS($AM$1006:BB1006),$AM$1006:$BM$1006,0)))),"Fix")))</f>
        <v xml:space="preserve"> </v>
      </c>
      <c r="R449" s="4" t="str">
        <f ca="1">IF(OR(INDEX($AG$2:$AG$1001,MATCH(ROWS($AF$2:AF449),$AF$2:$AF$1001,0),1)&gt;=100000,INDEX($AM$1005:$BM$1005,1,MATCH(COLUMNS($AM$1006:BC1006),$AM$1006:$BM$1006,0))&gt;=100000), " ",IF(INDEX($AM$2:$BM$1001,MATCH(ROWS($AF$2:AF449),$AF$2:$AF$1001,0),MATCH(COLUMNS($AM$1006:BC1006),$AM$1006:$BM$1006,0)), HYPERLINK("#",""), HYPERLINK(CONCATENATE("#metadata!", ADDRESS(INDEX($AH$2:$AH$1001,MATCH(ROWS($AF$2:AF449),$AF$2:$AF$1001,0),0), INDEX($AM$1004:$BM$1004,1,MATCH(COLUMNS($AM$1006:BC1006),$AM$1006:$BM$1006,0)))),"Fix")))</f>
        <v xml:space="preserve"> </v>
      </c>
      <c r="S449" s="4" t="str">
        <f ca="1">IF(OR(INDEX($AG$2:$AG$1001,MATCH(ROWS($AF$2:AF449),$AF$2:$AF$1001,0),1)&gt;=100000,INDEX($AM$1005:$BM$1005,1,MATCH(COLUMNS($AM$1006:BD1006),$AM$1006:$BM$1006,0))&gt;=100000), " ",IF(INDEX($AM$2:$BM$1001,MATCH(ROWS($AF$2:AF449),$AF$2:$AF$1001,0),MATCH(COLUMNS($AM$1006:BD1006),$AM$1006:$BM$1006,0)), HYPERLINK("#",""), HYPERLINK(CONCATENATE("#metadata!", ADDRESS(INDEX($AH$2:$AH$1001,MATCH(ROWS($AF$2:AF449),$AF$2:$AF$1001,0),0), INDEX($AM$1004:$BM$1004,1,MATCH(COLUMNS($AM$1006:BD1006),$AM$1006:$BM$1006,0)))),"Fix")))</f>
        <v xml:space="preserve"> </v>
      </c>
      <c r="T449" s="4" t="str">
        <f ca="1">IF(OR(INDEX($AG$2:$AG$1001,MATCH(ROWS($AF$2:AF449),$AF$2:$AF$1001,0),1)&gt;=100000,INDEX($AM$1005:$BM$1005,1,MATCH(COLUMNS($AM$1006:BE1006),$AM$1006:$BM$1006,0))&gt;=100000), " ",IF(INDEX($AM$2:$BM$1001,MATCH(ROWS($AF$2:AF449),$AF$2:$AF$1001,0),MATCH(COLUMNS($AM$1006:BE1006),$AM$1006:$BM$1006,0)), HYPERLINK("#",""), HYPERLINK(CONCATENATE("#metadata!", ADDRESS(INDEX($AH$2:$AH$1001,MATCH(ROWS($AF$2:AF449),$AF$2:$AF$1001,0),0), INDEX($AM$1004:$BM$1004,1,MATCH(COLUMNS($AM$1006:BE1006),$AM$1006:$BM$1006,0)))),"Fix")))</f>
        <v xml:space="preserve"> </v>
      </c>
      <c r="U449" s="4" t="str">
        <f ca="1">IF(OR(INDEX($AG$2:$AG$1001,MATCH(ROWS($AF$2:AF449),$AF$2:$AF$1001,0),1)&gt;=100000,INDEX($AM$1005:$BM$1005,1,MATCH(COLUMNS($AM$1006:BF1006),$AM$1006:$BM$1006,0))&gt;=100000), " ",IF(INDEX($AM$2:$BM$1001,MATCH(ROWS($AF$2:AF449),$AF$2:$AF$1001,0),MATCH(COLUMNS($AM$1006:BF1006),$AM$1006:$BM$1006,0)), HYPERLINK("#",""), HYPERLINK(CONCATENATE("#metadata!", ADDRESS(INDEX($AH$2:$AH$1001,MATCH(ROWS($AF$2:AF449),$AF$2:$AF$1001,0),0), INDEX($AM$1004:$BM$1004,1,MATCH(COLUMNS($AM$1006:BF1006),$AM$1006:$BM$1006,0)))),"Fix")))</f>
        <v xml:space="preserve"> </v>
      </c>
      <c r="V449" s="4" t="str">
        <f ca="1">IF(OR(INDEX($AG$2:$AG$1001,MATCH(ROWS($AF$2:AF449),$AF$2:$AF$1001,0),1)&gt;=100000,INDEX($AM$1005:$BM$1005,1,MATCH(COLUMNS($AM$1006:BG1006),$AM$1006:$BM$1006,0))&gt;=100000), " ",IF(INDEX($AM$2:$BM$1001,MATCH(ROWS($AF$2:AF449),$AF$2:$AF$1001,0),MATCH(COLUMNS($AM$1006:BG1006),$AM$1006:$BM$1006,0)), HYPERLINK("#",""), HYPERLINK(CONCATENATE("#metadata!", ADDRESS(INDEX($AH$2:$AH$1001,MATCH(ROWS($AF$2:AF449),$AF$2:$AF$1001,0),0), INDEX($AM$1004:$BM$1004,1,MATCH(COLUMNS($AM$1006:BG1006),$AM$1006:$BM$1006,0)))),"Fix")))</f>
        <v xml:space="preserve"> </v>
      </c>
      <c r="W449" s="4" t="str">
        <f ca="1">IF(OR(INDEX($AG$2:$AG$1001,MATCH(ROWS($AF$2:AF449),$AF$2:$AF$1001,0),1)&gt;=100000,INDEX($AM$1005:$BM$1005,1,MATCH(COLUMNS($AM$1006:BH1006),$AM$1006:$BM$1006,0))&gt;=100000), " ",IF(INDEX($AM$2:$BM$1001,MATCH(ROWS($AF$2:AF449),$AF$2:$AF$1001,0),MATCH(COLUMNS($AM$1006:BH1006),$AM$1006:$BM$1006,0)), HYPERLINK("#",""), HYPERLINK(CONCATENATE("#metadata!", ADDRESS(INDEX($AH$2:$AH$1001,MATCH(ROWS($AF$2:AF449),$AF$2:$AF$1001,0),0), INDEX($AM$1004:$BM$1004,1,MATCH(COLUMNS($AM$1006:BH1006),$AM$1006:$BM$1006,0)))),"Fix")))</f>
        <v xml:space="preserve"> </v>
      </c>
      <c r="X449" s="4" t="str">
        <f ca="1">IF(OR(INDEX($AG$2:$AG$1001,MATCH(ROWS($AF$2:AF449),$AF$2:$AF$1001,0),1)&gt;=100000,INDEX($AM$1005:$BM$1005,1,MATCH(COLUMNS($AM$1006:BI1006),$AM$1006:$BM$1006,0))&gt;=100000), " ",IF(INDEX($AM$2:$BM$1001,MATCH(ROWS($AF$2:AF449),$AF$2:$AF$1001,0),MATCH(COLUMNS($AM$1006:BI1006),$AM$1006:$BM$1006,0)), HYPERLINK("#",""), HYPERLINK(CONCATENATE("#metadata!", ADDRESS(INDEX($AH$2:$AH$1001,MATCH(ROWS($AF$2:AF449),$AF$2:$AF$1001,0),0), INDEX($AM$1004:$BM$1004,1,MATCH(COLUMNS($AM$1006:BI1006),$AM$1006:$BM$1006,0)))),"Fix")))</f>
        <v xml:space="preserve"> </v>
      </c>
      <c r="Y449" s="4" t="str">
        <f ca="1">IF(OR(INDEX($AG$2:$AG$1001,MATCH(ROWS($AF$2:AF449),$AF$2:$AF$1001,0),1)&gt;=100000,INDEX($AM$1005:$BM$1005,1,MATCH(COLUMNS($AM$1006:BJ1006),$AM$1006:$BM$1006,0))&gt;=100000), " ",IF(INDEX($AM$2:$BM$1001,MATCH(ROWS($AF$2:AF449),$AF$2:$AF$1001,0),MATCH(COLUMNS($AM$1006:BJ1006),$AM$1006:$BM$1006,0)), HYPERLINK("#",""), HYPERLINK(CONCATENATE("#metadata!", ADDRESS(INDEX($AH$2:$AH$1001,MATCH(ROWS($AF$2:AF449),$AF$2:$AF$1001,0),0), INDEX($AM$1004:$BM$1004,1,MATCH(COLUMNS($AM$1006:BJ1006),$AM$1006:$BM$1006,0)))),"Fix")))</f>
        <v xml:space="preserve"> </v>
      </c>
      <c r="Z449" s="4" t="str">
        <f ca="1">IF(OR(INDEX($AG$2:$AG$1001,MATCH(ROWS($AF$2:AF449),$AF$2:$AF$1001,0),1)&gt;=100000,INDEX($AM$1005:$BM$1005,1,MATCH(COLUMNS($AM$1006:BK1006),$AM$1006:$BM$1006,0))&gt;=100000), " ",IF(INDEX($AM$2:$BM$1001,MATCH(ROWS($AF$2:AF449),$AF$2:$AF$1001,0),MATCH(COLUMNS($AM$1006:BK1006),$AM$1006:$BM$1006,0)), HYPERLINK("#",""), HYPERLINK(CONCATENATE("#metadata!", ADDRESS(INDEX($AH$2:$AH$1001,MATCH(ROWS($AF$2:AF449),$AF$2:$AF$1001,0),0), INDEX($AM$1004:$BM$1004,1,MATCH(COLUMNS($AM$1006:BK1006),$AM$1006:$BM$1006,0)))),"Fix")))</f>
        <v xml:space="preserve"> </v>
      </c>
      <c r="AA449" s="4" t="str">
        <f ca="1">IF(OR(INDEX($AG$2:$AG$1001,MATCH(ROWS($AF$2:AF449),$AF$2:$AF$1001,0),1)&gt;=100000,INDEX($AM$1005:$BM$1005,1,MATCH(COLUMNS($AM$1006:BL1006),$AM$1006:$BM$1006,0))&gt;=100000), " ",IF(INDEX($AM$2:$BM$1001,MATCH(ROWS($AF$2:AF449),$AF$2:$AF$1001,0),MATCH(COLUMNS($AM$1006:BL1006),$AM$1006:$BM$1006,0)), HYPERLINK("#",""), HYPERLINK(CONCATENATE("#metadata!", ADDRESS(INDEX($AH$2:$AH$1001,MATCH(ROWS($AF$2:AF449),$AF$2:$AF$1001,0),0), INDEX($AM$1004:$BM$1004,1,MATCH(COLUMNS($AM$1006:BL1006),$AM$1006:$BM$1006,0)))),"Fix")))</f>
        <v xml:space="preserve"> </v>
      </c>
      <c r="AB449" s="4" t="str">
        <f ca="1">IF(OR(INDEX($AG$2:$AG$1001,MATCH(ROWS($AF$2:AF449),$AF$2:$AF$1001,0),1)&gt;=100000,INDEX($AM$1005:$BM$1005,1,MATCH(COLUMNS($AM$1006:BM1006),$AM$1006:$BM$1006,0))&gt;=100000), " ",IF(INDEX($AM$2:$BM$1001,MATCH(ROWS($AF$2:AF449),$AF$2:$AF$1001,0),MATCH(COLUMNS($AM$1006:BM1006),$AM$1006:$BM$1006,0)), HYPERLINK("#",""), HYPERLINK(CONCATENATE("#metadata!", ADDRESS(INDEX($AH$2:$AH$1001,MATCH(ROWS($AF$2:AF449),$AF$2:$AF$1001,0),0), INDEX($AM$1004:$BM$1004,1,MATCH(COLUMNS($AM$1006:BM1006),$AM$1006:$BM$1006,0)))),"Fix")))</f>
        <v xml:space="preserve"> </v>
      </c>
      <c r="AF449">
        <v>448</v>
      </c>
      <c r="AG449">
        <v>100449</v>
      </c>
      <c r="AH449">
        <v>449</v>
      </c>
      <c r="AI449" t="b">
        <f t="shared" si="6"/>
        <v>1</v>
      </c>
      <c r="AJ449" t="b">
        <f>COUNTBLANK(metadata!B449:AB449)=COLUMNS(metadata!B449:AB449)</f>
        <v>1</v>
      </c>
      <c r="AK449" t="str">
        <v/>
      </c>
      <c r="AM449" t="b">
        <f ca="1">AND(IF(metadata!B449="",FALSE,TRUE),COUNTIF(metadata!B:B, metadata!B449) = 1,NOT(ISERROR(SUMPRODUCT(SEARCH(MID(metadata!B449,ROW(INDIRECT("1:"&amp;LEN(metadata!B449))), 1),"0123456789abcdefghijklmnopqrstuvwxyzABCDEFGHIJKLMNOPQRSTUVWXYZ.")))))</f>
        <v>0</v>
      </c>
      <c r="AN449" t="b">
        <f ca="1">OR(AND(IF(metadata!C449="",FALSE,TRUE),OR(EXACT(metadata!C449,"missing: not collected"),EXACT(metadata!C449,"missing: not provided"),EXACT(metadata!C449,"missing: restricted access"))),AND(IF(metadata!C449="",FALSE,TRUE),AND(AND(IFERROR(INT(LEFT(metadata!C449,4))&gt;1900,FALSE),IFERROR(INT(LEFT(metadata!C449,4))&lt;=YEAR(NOW()),FALSE)), OR(MID(metadata!C449,5,1)="", AND(AND(MID(metadata!C449,5,1)="-",IFERROR(INT(MID(metadata!C449,6,1))&gt;=0,FALSE),IFERROR(INT(MID(metadata!C449,6,1))&lt;=1,FALSE),NOT(MID(metadata!C449,7,1)=""),IFERROR(INT(MID(metadata!C449,6,2))&gt;=1,FALSE),IFERROR(INT(MID(metadata!C449,6,2))&lt;=12,FALSE)), OR(MID(metadata!C449,8,1)="", AND(AND(MID(metadata!C449,8,1)="-",IFERROR(INT(MID(metadata!C449,9,1))&gt;=0,FALSE),IFERROR(INT(MID(metadata!C449,9,1))&lt;=3,FALSE),NOT(MID(metadata!C449,10,1)=""),IFERROR(INT(MID(metadata!C449,9,2))&gt;=1,FALSE),IFERROR(INT(MID(metadata!C449,9,2))&lt;=31,FALSE)), OR(MID(metadata!C449,11,1)="", AND(AND(MID(metadata!C449,11,1)=" ",IFERROR(INT(MID(metadata!C449,12,1))&gt;=0,FALSE),IFERROR(INT(MID(metadata!C449,12,1))&lt;=2,FALSE),NOT(MID(metadata!C449,13,1)=""),IFERROR(INT(MID(metadata!C449,12,2))&gt;=0,FALSE),IFERROR(INT(MID(metadata!C449,12,2))&lt;=23,FALSE)), OR(MID(metadata!C449,14,1)="", AND(AND(MID(metadata!C449,14,1)=":",IFERROR(INT(MID(metadata!C449,15,1))&gt;=0,FALSE),IFERROR(INT(MID(metadata!C449,15,1))&lt;=5,FALSE),NOT(MID(metadata!C449,16,1)=""),IFERROR(INT(MID(metadata!C449,15,2))&gt;=0,FALSE),IFERROR(INT(MID(metadata!C449,15,2))&lt;=59,FALSE)), OR(MID(metadata!C449,17,1)="", AND(AND(MID(metadata!C449,17,1)=":",IFERROR(INT(MID(metadata!C449,18,1))&gt;=0,FALSE),IFERROR(INT(MID(metadata!C449,18,1))&lt;=5,FALSE),NOT(MID(metadata!C449,19,1)=""),IFERROR(INT(MID(metadata!C449,18,2))&gt;=0,FALSE),IFERROR(INT(MID(metadata!C449,18,2))&lt;=59,FALSE)), LEN(metadata!C449)&lt;=19)))))))))))))</f>
        <v>0</v>
      </c>
      <c r="AO449" t="b">
        <f>AND(IF(metadata!D449="",FALSE,TRUE),EXACT(metadata!D449,"Not applicable"))</f>
        <v>0</v>
      </c>
      <c r="AP449" t="b">
        <f>IF(metadata!E449="",FALSE,TRUE)</f>
        <v>0</v>
      </c>
      <c r="AQ449" t="b">
        <f>OR(AND(IF(metadata!F449="",FALSE,TRUE),OR(EXACT(metadata!F449,"missing: not collected"),EXACT(metadata!F449,"missing: not provided"))),AND(IF(metadata!F449="",FALSE,TRUE),OR(EXACT(metadata!F449,"TRUE"),EXACT(metadata!F449,"FALSE"))))</f>
        <v>0</v>
      </c>
      <c r="AR449" t="b">
        <f>OR(AND(IF(metadata!G449="",FALSE,TRUE),OR(EXACT(metadata!G449,"missing: not collected"),EXACT(metadata!G449,"missing: not provided"),EXACT(metadata!G449,"missing: restricted access"))),AND(IF(metadata!G449="",FALSE,ISNUMBER(VALUE(metadata!G449))),metadata!G449&gt;=-413))</f>
        <v>0</v>
      </c>
      <c r="AS449" t="b">
        <f>AND(IF(metadata!H449="",FALSE,TRUE),EXACT(metadata!H449,"meters"))</f>
        <v>0</v>
      </c>
      <c r="AT449" t="b">
        <f>AND(IF(metadata!I449="",FALSE,TRUE),OR(EXACT(metadata!I449,"Host-associated"),EXACT(metadata!I449,"Free-living")))</f>
        <v>0</v>
      </c>
      <c r="AU449" t="b">
        <f>AND(IF(metadata!J449="",FALSE,TRUE),OR(EXACT(metadata!J449,"Animal"),EXACT(metadata!J449,"Fungus"),EXACT(metadata!J449,"Plant"),EXACT(metadata!J449,"Saline"),EXACT(metadata!J449,"Non-saline")))</f>
        <v>0</v>
      </c>
      <c r="AV449" t="b">
        <f>AND(IF(metadata!K449="",FALSE,TRUE),OR(EXACT(metadata!K449,"Plant secretion"),EXACT(metadata!K449,"Plant rhizosphere"),EXACT(metadata!K449,"Plant surface"),EXACT(metadata!K449,"Plant corpus"),EXACT(metadata!K449,"Fungus surface"),EXACT(metadata!K449,"Fungus corpus"),EXACT(metadata!K449,"Animal surface"),EXACT(metadata!K449,"Animal proximal gut"),EXACT(metadata!K449,"Animal corpus"),EXACT(metadata!K449,"Animal distal gut"),EXACT(metadata!K449,"Animal secretion"),EXACT(metadata!K449,"Sub-surface (non-saline)"),EXACT(metadata!K449,"Surface (non-saline)"),EXACT(metadata!K449,"Water (non-saline)"),EXACT(metadata!K449,"Soil (non-saline)"),EXACT(metadata!K449,"Aerosol (non-saline)"),EXACT(metadata!K449,"Sediment (non-saline)"),EXACT(metadata!K449,"Surface (saline)"),EXACT(metadata!K449,"Water (saline)"),EXACT(metadata!K449,"Hypersaline (saline)"),EXACT(metadata!K449,"Aerosol (saline)"),EXACT(metadata!K449,"Sediment (saline)")))</f>
        <v>0</v>
      </c>
      <c r="AW449" t="b">
        <f>IF(metadata!L449="",FALSE,TRUE)</f>
        <v>0</v>
      </c>
      <c r="AX449" t="b">
        <f>IF(metadata!M449="",FALSE,TRUE)</f>
        <v>0</v>
      </c>
      <c r="AY449" t="b">
        <f>IF(metadata!N449="",FALSE,TRUE)</f>
        <v>0</v>
      </c>
      <c r="AZ449" t="b">
        <f>OR(AND(IF(metadata!O449="",FALSE,TRUE),OR(EXACT(metadata!O449,"missing: not collected"),EXACT(metadata!O449,"missing: not provided"),EXACT(metadata!O449,"missing: restricted access"))),AND(IF(metadata!O449="",FALSE,TRUE),OR(EXACT(metadata!O449,"air"),EXACT(metadata!O449,"built environment"),EXACT(metadata!O449,"host-associated"),EXACT(metadata!O449,"human-associated"),EXACT(metadata!O449,"human-skin"),EXACT(metadata!O449,"human-oral"),EXACT(metadata!O449,"human-gut"),EXACT(metadata!O449,"human-vaginal"),EXACT(metadata!O449,"microbial mat/biofilm"),EXACT(metadata!O449,"misc environment"),EXACT(metadata!O449,"plant-associated"),EXACT(metadata!O449,"sediment"),EXACT(metadata!O449,"soil"),EXACT(metadata!O449,"wastewater/sludge"),EXACT(metadata!O449,"water"))))</f>
        <v>0</v>
      </c>
      <c r="BA449" t="b">
        <f>IF(metadata!P449="",FALSE,TRUE)</f>
        <v>0</v>
      </c>
      <c r="BB449" t="b">
        <f>IF(metadata!Q449="",FALSE,TRUE)</f>
        <v>0</v>
      </c>
      <c r="BC449" t="b">
        <f>OR(AND(IF(metadata!R449="",FALSE,TRUE),OR(EXACT(metadata!R449,"missing: not collected"),EXACT(metadata!R449,"missing: not provided"),EXACT(metadata!R449,"missing: restricted access"))),AND(IF(metadata!R449="",FALSE,ISNUMBER(VALUE(metadata!R449))),metadata!R449&gt;=-90,metadata!R449&lt;=90))</f>
        <v>0</v>
      </c>
      <c r="BD449" t="b">
        <f>AND(IF(metadata!S449="",FALSE,TRUE),EXACT(metadata!S449,"Decimal degrees"))</f>
        <v>0</v>
      </c>
      <c r="BE449" t="b">
        <f>OR(AND(IF(metadata!T449="",FALSE,TRUE),OR(EXACT(metadata!T449,"missing: not collected"),EXACT(metadata!T449,"missing: not provided"),EXACT(metadata!T449,"missing: restricted access"))),AND(IF(metadata!T449="",FALSE,ISNUMBER(VALUE(metadata!T449))),metadata!T449&gt;=-180,metadata!T449&lt;=180))</f>
        <v>0</v>
      </c>
      <c r="BF449" t="b">
        <f>AND(IF(metadata!U449="",FALSE,TRUE),EXACT(metadata!U449,"Decimal degrees"))</f>
        <v>0</v>
      </c>
      <c r="BG449" t="b">
        <f>IF(metadata!V449="",FALSE,TRUE)</f>
        <v>0</v>
      </c>
      <c r="BH449" t="b">
        <f>OR(AND(IF(metadata!W449="",FALSE,TRUE),OR(EXACT(metadata!W449,"missing: not collected"),EXACT(metadata!W449,"missing: not provided"),EXACT(metadata!W449,"missing: restricted access"))),AND(IF(metadata!W449="",FALSE,TRUE),OR(EXACT(metadata!W449,"TRUE"),EXACT(metadata!W449,"FALSE"))))</f>
        <v>0</v>
      </c>
      <c r="BI449" t="b">
        <f>AND(IF(metadata!X449="",FALSE,TRUE),EXACT(metadata!X449,"other"))</f>
        <v>0</v>
      </c>
      <c r="BJ449" t="b">
        <f>IF(metadata!Y449="",FALSE,TRUE)</f>
        <v>0</v>
      </c>
      <c r="BK449" t="b">
        <f>OR(AND(IF(metadata!Z449="",FALSE,TRUE),OR(EXACT(metadata!Z449,"missing: not collected"),EXACT(metadata!Z449,"missing: not provided"))),AND(IF(metadata!Z449="",FALSE,IF(ISERROR(INT(metadata!Z449)),FALSE,INT(metadata!Z449)=metadata!Z449)),metadata!Z449&gt;0))</f>
        <v>0</v>
      </c>
      <c r="BL449" t="b">
        <f>AND(IF(metadata!AA449="",FALSE,TRUE),EXACT(metadata!AA449,"Not applicable"))</f>
        <v>0</v>
      </c>
      <c r="BM449" t="b">
        <f>IF(metadata!AB449="",FALSE,TRUE)</f>
        <v>0</v>
      </c>
    </row>
    <row r="450" spans="1:65" x14ac:dyDescent="0.2">
      <c r="A450" s="5" t="str">
        <f ca="1">IF(B450=" "," ",HYPERLINK(CONCATENATE("#metadata!",ADDRESS(INDEX($AH$2:$AH$1001,MATCH(ROWS($AF$2:AF450),$AF$2:$AF$1001,0),0),1)),INDEX($AK$2:$AK$1001,MATCH(ROWS($AF$2:AF450),$AF$2:$AF$1001,0),0)))</f>
        <v xml:space="preserve"> </v>
      </c>
      <c r="B450" s="4" t="str">
        <f ca="1">IF(OR(INDEX($AG$2:$AG$1001,MATCH(ROWS($AF$2:AF450),$AF$2:$AF$1001,0),1)&gt;=100000,INDEX($AM$1005:$BM$1005,1,MATCH(COLUMNS($AM$1006:AM1006),$AM$1006:$BM$1006,0))&gt;=100000), " ",IF(INDEX($AM$2:$BM$1001,MATCH(ROWS($AF$2:AF450),$AF$2:$AF$1001,0),MATCH(COLUMNS($AM$1006:AM1006),$AM$1006:$BM$1006,0)), HYPERLINK("#",""), HYPERLINK(CONCATENATE("#metadata!", ADDRESS(INDEX($AH$2:$AH$1001,MATCH(ROWS($AF$2:AF450),$AF$2:$AF$1001,0),0), INDEX($AM$1004:$BM$1004,1,MATCH(COLUMNS($AM$1006:AM1006),$AM$1006:$BM$1006,0)))),"Fix")))</f>
        <v xml:space="preserve"> </v>
      </c>
      <c r="C450" s="4" t="str">
        <f ca="1">IF(OR(INDEX($AG$2:$AG$1001,MATCH(ROWS($AF$2:AF450),$AF$2:$AF$1001,0),1)&gt;=100000,INDEX($AM$1005:$BM$1005,1,MATCH(COLUMNS($AM$1006:AN1006),$AM$1006:$BM$1006,0))&gt;=100000), " ",IF(INDEX($AM$2:$BM$1001,MATCH(ROWS($AF$2:AF450),$AF$2:$AF$1001,0),MATCH(COLUMNS($AM$1006:AN1006),$AM$1006:$BM$1006,0)), HYPERLINK("#",""), HYPERLINK(CONCATENATE("#metadata!", ADDRESS(INDEX($AH$2:$AH$1001,MATCH(ROWS($AF$2:AF450),$AF$2:$AF$1001,0),0), INDEX($AM$1004:$BM$1004,1,MATCH(COLUMNS($AM$1006:AN1006),$AM$1006:$BM$1006,0)))),"Fix")))</f>
        <v xml:space="preserve"> </v>
      </c>
      <c r="D450" s="4" t="str">
        <f ca="1">IF(OR(INDEX($AG$2:$AG$1001,MATCH(ROWS($AF$2:AF450),$AF$2:$AF$1001,0),1)&gt;=100000,INDEX($AM$1005:$BM$1005,1,MATCH(COLUMNS($AM$1006:AO1006),$AM$1006:$BM$1006,0))&gt;=100000), " ",IF(INDEX($AM$2:$BM$1001,MATCH(ROWS($AF$2:AF450),$AF$2:$AF$1001,0),MATCH(COLUMNS($AM$1006:AO1006),$AM$1006:$BM$1006,0)), HYPERLINK("#",""), HYPERLINK(CONCATENATE("#metadata!", ADDRESS(INDEX($AH$2:$AH$1001,MATCH(ROWS($AF$2:AF450),$AF$2:$AF$1001,0),0), INDEX($AM$1004:$BM$1004,1,MATCH(COLUMNS($AM$1006:AO1006),$AM$1006:$BM$1006,0)))),"Fix")))</f>
        <v xml:space="preserve"> </v>
      </c>
      <c r="E450" s="4" t="str">
        <f ca="1">IF(OR(INDEX($AG$2:$AG$1001,MATCH(ROWS($AF$2:AF450),$AF$2:$AF$1001,0),1)&gt;=100000,INDEX($AM$1005:$BM$1005,1,MATCH(COLUMNS($AM$1006:AP1006),$AM$1006:$BM$1006,0))&gt;=100000), " ",IF(INDEX($AM$2:$BM$1001,MATCH(ROWS($AF$2:AF450),$AF$2:$AF$1001,0),MATCH(COLUMNS($AM$1006:AP1006),$AM$1006:$BM$1006,0)), HYPERLINK("#",""), HYPERLINK(CONCATENATE("#metadata!", ADDRESS(INDEX($AH$2:$AH$1001,MATCH(ROWS($AF$2:AF450),$AF$2:$AF$1001,0),0), INDEX($AM$1004:$BM$1004,1,MATCH(COLUMNS($AM$1006:AP1006),$AM$1006:$BM$1006,0)))),"Fix")))</f>
        <v xml:space="preserve"> </v>
      </c>
      <c r="F450" s="4" t="str">
        <f ca="1">IF(OR(INDEX($AG$2:$AG$1001,MATCH(ROWS($AF$2:AF450),$AF$2:$AF$1001,0),1)&gt;=100000,INDEX($AM$1005:$BM$1005,1,MATCH(COLUMNS($AM$1006:AQ1006),$AM$1006:$BM$1006,0))&gt;=100000), " ",IF(INDEX($AM$2:$BM$1001,MATCH(ROWS($AF$2:AF450),$AF$2:$AF$1001,0),MATCH(COLUMNS($AM$1006:AQ1006),$AM$1006:$BM$1006,0)), HYPERLINK("#",""), HYPERLINK(CONCATENATE("#metadata!", ADDRESS(INDEX($AH$2:$AH$1001,MATCH(ROWS($AF$2:AF450),$AF$2:$AF$1001,0),0), INDEX($AM$1004:$BM$1004,1,MATCH(COLUMNS($AM$1006:AQ1006),$AM$1006:$BM$1006,0)))),"Fix")))</f>
        <v xml:space="preserve"> </v>
      </c>
      <c r="G450" s="4" t="str">
        <f ca="1">IF(OR(INDEX($AG$2:$AG$1001,MATCH(ROWS($AF$2:AF450),$AF$2:$AF$1001,0),1)&gt;=100000,INDEX($AM$1005:$BM$1005,1,MATCH(COLUMNS($AM$1006:AR1006),$AM$1006:$BM$1006,0))&gt;=100000), " ",IF(INDEX($AM$2:$BM$1001,MATCH(ROWS($AF$2:AF450),$AF$2:$AF$1001,0),MATCH(COLUMNS($AM$1006:AR1006),$AM$1006:$BM$1006,0)), HYPERLINK("#",""), HYPERLINK(CONCATENATE("#metadata!", ADDRESS(INDEX($AH$2:$AH$1001,MATCH(ROWS($AF$2:AF450),$AF$2:$AF$1001,0),0), INDEX($AM$1004:$BM$1004,1,MATCH(COLUMNS($AM$1006:AR1006),$AM$1006:$BM$1006,0)))),"Fix")))</f>
        <v xml:space="preserve"> </v>
      </c>
      <c r="H450" s="4" t="str">
        <f ca="1">IF(OR(INDEX($AG$2:$AG$1001,MATCH(ROWS($AF$2:AF450),$AF$2:$AF$1001,0),1)&gt;=100000,INDEX($AM$1005:$BM$1005,1,MATCH(COLUMNS($AM$1006:AS1006),$AM$1006:$BM$1006,0))&gt;=100000), " ",IF(INDEX($AM$2:$BM$1001,MATCH(ROWS($AF$2:AF450),$AF$2:$AF$1001,0),MATCH(COLUMNS($AM$1006:AS1006),$AM$1006:$BM$1006,0)), HYPERLINK("#",""), HYPERLINK(CONCATENATE("#metadata!", ADDRESS(INDEX($AH$2:$AH$1001,MATCH(ROWS($AF$2:AF450),$AF$2:$AF$1001,0),0), INDEX($AM$1004:$BM$1004,1,MATCH(COLUMNS($AM$1006:AS1006),$AM$1006:$BM$1006,0)))),"Fix")))</f>
        <v xml:space="preserve"> </v>
      </c>
      <c r="I450" s="4" t="str">
        <f ca="1">IF(OR(INDEX($AG$2:$AG$1001,MATCH(ROWS($AF$2:AF450),$AF$2:$AF$1001,0),1)&gt;=100000,INDEX($AM$1005:$BM$1005,1,MATCH(COLUMNS($AM$1006:AT1006),$AM$1006:$BM$1006,0))&gt;=100000), " ",IF(INDEX($AM$2:$BM$1001,MATCH(ROWS($AF$2:AF450),$AF$2:$AF$1001,0),MATCH(COLUMNS($AM$1006:AT1006),$AM$1006:$BM$1006,0)), HYPERLINK("#",""), HYPERLINK(CONCATENATE("#metadata!", ADDRESS(INDEX($AH$2:$AH$1001,MATCH(ROWS($AF$2:AF450),$AF$2:$AF$1001,0),0), INDEX($AM$1004:$BM$1004,1,MATCH(COLUMNS($AM$1006:AT1006),$AM$1006:$BM$1006,0)))),"Fix")))</f>
        <v xml:space="preserve"> </v>
      </c>
      <c r="J450" s="4" t="str">
        <f ca="1">IF(OR(INDEX($AG$2:$AG$1001,MATCH(ROWS($AF$2:AF450),$AF$2:$AF$1001,0),1)&gt;=100000,INDEX($AM$1005:$BM$1005,1,MATCH(COLUMNS($AM$1006:AU1006),$AM$1006:$BM$1006,0))&gt;=100000), " ",IF(INDEX($AM$2:$BM$1001,MATCH(ROWS($AF$2:AF450),$AF$2:$AF$1001,0),MATCH(COLUMNS($AM$1006:AU1006),$AM$1006:$BM$1006,0)), HYPERLINK("#",""), HYPERLINK(CONCATENATE("#metadata!", ADDRESS(INDEX($AH$2:$AH$1001,MATCH(ROWS($AF$2:AF450),$AF$2:$AF$1001,0),0), INDEX($AM$1004:$BM$1004,1,MATCH(COLUMNS($AM$1006:AU1006),$AM$1006:$BM$1006,0)))),"Fix")))</f>
        <v xml:space="preserve"> </v>
      </c>
      <c r="K450" s="4" t="str">
        <f ca="1">IF(OR(INDEX($AG$2:$AG$1001,MATCH(ROWS($AF$2:AF450),$AF$2:$AF$1001,0),1)&gt;=100000,INDEX($AM$1005:$BM$1005,1,MATCH(COLUMNS($AM$1006:AV1006),$AM$1006:$BM$1006,0))&gt;=100000), " ",IF(INDEX($AM$2:$BM$1001,MATCH(ROWS($AF$2:AF450),$AF$2:$AF$1001,0),MATCH(COLUMNS($AM$1006:AV1006),$AM$1006:$BM$1006,0)), HYPERLINK("#",""), HYPERLINK(CONCATENATE("#metadata!", ADDRESS(INDEX($AH$2:$AH$1001,MATCH(ROWS($AF$2:AF450),$AF$2:$AF$1001,0),0), INDEX($AM$1004:$BM$1004,1,MATCH(COLUMNS($AM$1006:AV1006),$AM$1006:$BM$1006,0)))),"Fix")))</f>
        <v xml:space="preserve"> </v>
      </c>
      <c r="L450" s="4" t="str">
        <f ca="1">IF(OR(INDEX($AG$2:$AG$1001,MATCH(ROWS($AF$2:AF450),$AF$2:$AF$1001,0),1)&gt;=100000,INDEX($AM$1005:$BM$1005,1,MATCH(COLUMNS($AM$1006:AW1006),$AM$1006:$BM$1006,0))&gt;=100000), " ",IF(INDEX($AM$2:$BM$1001,MATCH(ROWS($AF$2:AF450),$AF$2:$AF$1001,0),MATCH(COLUMNS($AM$1006:AW1006),$AM$1006:$BM$1006,0)), HYPERLINK("#",""), HYPERLINK(CONCATENATE("#metadata!", ADDRESS(INDEX($AH$2:$AH$1001,MATCH(ROWS($AF$2:AF450),$AF$2:$AF$1001,0),0), INDEX($AM$1004:$BM$1004,1,MATCH(COLUMNS($AM$1006:AW1006),$AM$1006:$BM$1006,0)))),"Fix")))</f>
        <v xml:space="preserve"> </v>
      </c>
      <c r="M450" s="4" t="str">
        <f ca="1">IF(OR(INDEX($AG$2:$AG$1001,MATCH(ROWS($AF$2:AF450),$AF$2:$AF$1001,0),1)&gt;=100000,INDEX($AM$1005:$BM$1005,1,MATCH(COLUMNS($AM$1006:AX1006),$AM$1006:$BM$1006,0))&gt;=100000), " ",IF(INDEX($AM$2:$BM$1001,MATCH(ROWS($AF$2:AF450),$AF$2:$AF$1001,0),MATCH(COLUMNS($AM$1006:AX1006),$AM$1006:$BM$1006,0)), HYPERLINK("#",""), HYPERLINK(CONCATENATE("#metadata!", ADDRESS(INDEX($AH$2:$AH$1001,MATCH(ROWS($AF$2:AF450),$AF$2:$AF$1001,0),0), INDEX($AM$1004:$BM$1004,1,MATCH(COLUMNS($AM$1006:AX1006),$AM$1006:$BM$1006,0)))),"Fix")))</f>
        <v xml:space="preserve"> </v>
      </c>
      <c r="N450" s="4" t="str">
        <f ca="1">IF(OR(INDEX($AG$2:$AG$1001,MATCH(ROWS($AF$2:AF450),$AF$2:$AF$1001,0),1)&gt;=100000,INDEX($AM$1005:$BM$1005,1,MATCH(COLUMNS($AM$1006:AY1006),$AM$1006:$BM$1006,0))&gt;=100000), " ",IF(INDEX($AM$2:$BM$1001,MATCH(ROWS($AF$2:AF450),$AF$2:$AF$1001,0),MATCH(COLUMNS($AM$1006:AY1006),$AM$1006:$BM$1006,0)), HYPERLINK("#",""), HYPERLINK(CONCATENATE("#metadata!", ADDRESS(INDEX($AH$2:$AH$1001,MATCH(ROWS($AF$2:AF450),$AF$2:$AF$1001,0),0), INDEX($AM$1004:$BM$1004,1,MATCH(COLUMNS($AM$1006:AY1006),$AM$1006:$BM$1006,0)))),"Fix")))</f>
        <v xml:space="preserve"> </v>
      </c>
      <c r="O450" s="4" t="str">
        <f ca="1">IF(OR(INDEX($AG$2:$AG$1001,MATCH(ROWS($AF$2:AF450),$AF$2:$AF$1001,0),1)&gt;=100000,INDEX($AM$1005:$BM$1005,1,MATCH(COLUMNS($AM$1006:AZ1006),$AM$1006:$BM$1006,0))&gt;=100000), " ",IF(INDEX($AM$2:$BM$1001,MATCH(ROWS($AF$2:AF450),$AF$2:$AF$1001,0),MATCH(COLUMNS($AM$1006:AZ1006),$AM$1006:$BM$1006,0)), HYPERLINK("#",""), HYPERLINK(CONCATENATE("#metadata!", ADDRESS(INDEX($AH$2:$AH$1001,MATCH(ROWS($AF$2:AF450),$AF$2:$AF$1001,0),0), INDEX($AM$1004:$BM$1004,1,MATCH(COLUMNS($AM$1006:AZ1006),$AM$1006:$BM$1006,0)))),"Fix")))</f>
        <v xml:space="preserve"> </v>
      </c>
      <c r="P450" s="4" t="str">
        <f ca="1">IF(OR(INDEX($AG$2:$AG$1001,MATCH(ROWS($AF$2:AF450),$AF$2:$AF$1001,0),1)&gt;=100000,INDEX($AM$1005:$BM$1005,1,MATCH(COLUMNS($AM$1006:BA1006),$AM$1006:$BM$1006,0))&gt;=100000), " ",IF(INDEX($AM$2:$BM$1001,MATCH(ROWS($AF$2:AF450),$AF$2:$AF$1001,0),MATCH(COLUMNS($AM$1006:BA1006),$AM$1006:$BM$1006,0)), HYPERLINK("#",""), HYPERLINK(CONCATENATE("#metadata!", ADDRESS(INDEX($AH$2:$AH$1001,MATCH(ROWS($AF$2:AF450),$AF$2:$AF$1001,0),0), INDEX($AM$1004:$BM$1004,1,MATCH(COLUMNS($AM$1006:BA1006),$AM$1006:$BM$1006,0)))),"Fix")))</f>
        <v xml:space="preserve"> </v>
      </c>
      <c r="Q450" s="4" t="str">
        <f ca="1">IF(OR(INDEX($AG$2:$AG$1001,MATCH(ROWS($AF$2:AF450),$AF$2:$AF$1001,0),1)&gt;=100000,INDEX($AM$1005:$BM$1005,1,MATCH(COLUMNS($AM$1006:BB1006),$AM$1006:$BM$1006,0))&gt;=100000), " ",IF(INDEX($AM$2:$BM$1001,MATCH(ROWS($AF$2:AF450),$AF$2:$AF$1001,0),MATCH(COLUMNS($AM$1006:BB1006),$AM$1006:$BM$1006,0)), HYPERLINK("#",""), HYPERLINK(CONCATENATE("#metadata!", ADDRESS(INDEX($AH$2:$AH$1001,MATCH(ROWS($AF$2:AF450),$AF$2:$AF$1001,0),0), INDEX($AM$1004:$BM$1004,1,MATCH(COLUMNS($AM$1006:BB1006),$AM$1006:$BM$1006,0)))),"Fix")))</f>
        <v xml:space="preserve"> </v>
      </c>
      <c r="R450" s="4" t="str">
        <f ca="1">IF(OR(INDEX($AG$2:$AG$1001,MATCH(ROWS($AF$2:AF450),$AF$2:$AF$1001,0),1)&gt;=100000,INDEX($AM$1005:$BM$1005,1,MATCH(COLUMNS($AM$1006:BC1006),$AM$1006:$BM$1006,0))&gt;=100000), " ",IF(INDEX($AM$2:$BM$1001,MATCH(ROWS($AF$2:AF450),$AF$2:$AF$1001,0),MATCH(COLUMNS($AM$1006:BC1006),$AM$1006:$BM$1006,0)), HYPERLINK("#",""), HYPERLINK(CONCATENATE("#metadata!", ADDRESS(INDEX($AH$2:$AH$1001,MATCH(ROWS($AF$2:AF450),$AF$2:$AF$1001,0),0), INDEX($AM$1004:$BM$1004,1,MATCH(COLUMNS($AM$1006:BC1006),$AM$1006:$BM$1006,0)))),"Fix")))</f>
        <v xml:space="preserve"> </v>
      </c>
      <c r="S450" s="4" t="str">
        <f ca="1">IF(OR(INDEX($AG$2:$AG$1001,MATCH(ROWS($AF$2:AF450),$AF$2:$AF$1001,0),1)&gt;=100000,INDEX($AM$1005:$BM$1005,1,MATCH(COLUMNS($AM$1006:BD1006),$AM$1006:$BM$1006,0))&gt;=100000), " ",IF(INDEX($AM$2:$BM$1001,MATCH(ROWS($AF$2:AF450),$AF$2:$AF$1001,0),MATCH(COLUMNS($AM$1006:BD1006),$AM$1006:$BM$1006,0)), HYPERLINK("#",""), HYPERLINK(CONCATENATE("#metadata!", ADDRESS(INDEX($AH$2:$AH$1001,MATCH(ROWS($AF$2:AF450),$AF$2:$AF$1001,0),0), INDEX($AM$1004:$BM$1004,1,MATCH(COLUMNS($AM$1006:BD1006),$AM$1006:$BM$1006,0)))),"Fix")))</f>
        <v xml:space="preserve"> </v>
      </c>
      <c r="T450" s="4" t="str">
        <f ca="1">IF(OR(INDEX($AG$2:$AG$1001,MATCH(ROWS($AF$2:AF450),$AF$2:$AF$1001,0),1)&gt;=100000,INDEX($AM$1005:$BM$1005,1,MATCH(COLUMNS($AM$1006:BE1006),$AM$1006:$BM$1006,0))&gt;=100000), " ",IF(INDEX($AM$2:$BM$1001,MATCH(ROWS($AF$2:AF450),$AF$2:$AF$1001,0),MATCH(COLUMNS($AM$1006:BE1006),$AM$1006:$BM$1006,0)), HYPERLINK("#",""), HYPERLINK(CONCATENATE("#metadata!", ADDRESS(INDEX($AH$2:$AH$1001,MATCH(ROWS($AF$2:AF450),$AF$2:$AF$1001,0),0), INDEX($AM$1004:$BM$1004,1,MATCH(COLUMNS($AM$1006:BE1006),$AM$1006:$BM$1006,0)))),"Fix")))</f>
        <v xml:space="preserve"> </v>
      </c>
      <c r="U450" s="4" t="str">
        <f ca="1">IF(OR(INDEX($AG$2:$AG$1001,MATCH(ROWS($AF$2:AF450),$AF$2:$AF$1001,0),1)&gt;=100000,INDEX($AM$1005:$BM$1005,1,MATCH(COLUMNS($AM$1006:BF1006),$AM$1006:$BM$1006,0))&gt;=100000), " ",IF(INDEX($AM$2:$BM$1001,MATCH(ROWS($AF$2:AF450),$AF$2:$AF$1001,0),MATCH(COLUMNS($AM$1006:BF1006),$AM$1006:$BM$1006,0)), HYPERLINK("#",""), HYPERLINK(CONCATENATE("#metadata!", ADDRESS(INDEX($AH$2:$AH$1001,MATCH(ROWS($AF$2:AF450),$AF$2:$AF$1001,0),0), INDEX($AM$1004:$BM$1004,1,MATCH(COLUMNS($AM$1006:BF1006),$AM$1006:$BM$1006,0)))),"Fix")))</f>
        <v xml:space="preserve"> </v>
      </c>
      <c r="V450" s="4" t="str">
        <f ca="1">IF(OR(INDEX($AG$2:$AG$1001,MATCH(ROWS($AF$2:AF450),$AF$2:$AF$1001,0),1)&gt;=100000,INDEX($AM$1005:$BM$1005,1,MATCH(COLUMNS($AM$1006:BG1006),$AM$1006:$BM$1006,0))&gt;=100000), " ",IF(INDEX($AM$2:$BM$1001,MATCH(ROWS($AF$2:AF450),$AF$2:$AF$1001,0),MATCH(COLUMNS($AM$1006:BG1006),$AM$1006:$BM$1006,0)), HYPERLINK("#",""), HYPERLINK(CONCATENATE("#metadata!", ADDRESS(INDEX($AH$2:$AH$1001,MATCH(ROWS($AF$2:AF450),$AF$2:$AF$1001,0),0), INDEX($AM$1004:$BM$1004,1,MATCH(COLUMNS($AM$1006:BG1006),$AM$1006:$BM$1006,0)))),"Fix")))</f>
        <v xml:space="preserve"> </v>
      </c>
      <c r="W450" s="4" t="str">
        <f ca="1">IF(OR(INDEX($AG$2:$AG$1001,MATCH(ROWS($AF$2:AF450),$AF$2:$AF$1001,0),1)&gt;=100000,INDEX($AM$1005:$BM$1005,1,MATCH(COLUMNS($AM$1006:BH1006),$AM$1006:$BM$1006,0))&gt;=100000), " ",IF(INDEX($AM$2:$BM$1001,MATCH(ROWS($AF$2:AF450),$AF$2:$AF$1001,0),MATCH(COLUMNS($AM$1006:BH1006),$AM$1006:$BM$1006,0)), HYPERLINK("#",""), HYPERLINK(CONCATENATE("#metadata!", ADDRESS(INDEX($AH$2:$AH$1001,MATCH(ROWS($AF$2:AF450),$AF$2:$AF$1001,0),0), INDEX($AM$1004:$BM$1004,1,MATCH(COLUMNS($AM$1006:BH1006),$AM$1006:$BM$1006,0)))),"Fix")))</f>
        <v xml:space="preserve"> </v>
      </c>
      <c r="X450" s="4" t="str">
        <f ca="1">IF(OR(INDEX($AG$2:$AG$1001,MATCH(ROWS($AF$2:AF450),$AF$2:$AF$1001,0),1)&gt;=100000,INDEX($AM$1005:$BM$1005,1,MATCH(COLUMNS($AM$1006:BI1006),$AM$1006:$BM$1006,0))&gt;=100000), " ",IF(INDEX($AM$2:$BM$1001,MATCH(ROWS($AF$2:AF450),$AF$2:$AF$1001,0),MATCH(COLUMNS($AM$1006:BI1006),$AM$1006:$BM$1006,0)), HYPERLINK("#",""), HYPERLINK(CONCATENATE("#metadata!", ADDRESS(INDEX($AH$2:$AH$1001,MATCH(ROWS($AF$2:AF450),$AF$2:$AF$1001,0),0), INDEX($AM$1004:$BM$1004,1,MATCH(COLUMNS($AM$1006:BI1006),$AM$1006:$BM$1006,0)))),"Fix")))</f>
        <v xml:space="preserve"> </v>
      </c>
      <c r="Y450" s="4" t="str">
        <f ca="1">IF(OR(INDEX($AG$2:$AG$1001,MATCH(ROWS($AF$2:AF450),$AF$2:$AF$1001,0),1)&gt;=100000,INDEX($AM$1005:$BM$1005,1,MATCH(COLUMNS($AM$1006:BJ1006),$AM$1006:$BM$1006,0))&gt;=100000), " ",IF(INDEX($AM$2:$BM$1001,MATCH(ROWS($AF$2:AF450),$AF$2:$AF$1001,0),MATCH(COLUMNS($AM$1006:BJ1006),$AM$1006:$BM$1006,0)), HYPERLINK("#",""), HYPERLINK(CONCATENATE("#metadata!", ADDRESS(INDEX($AH$2:$AH$1001,MATCH(ROWS($AF$2:AF450),$AF$2:$AF$1001,0),0), INDEX($AM$1004:$BM$1004,1,MATCH(COLUMNS($AM$1006:BJ1006),$AM$1006:$BM$1006,0)))),"Fix")))</f>
        <v xml:space="preserve"> </v>
      </c>
      <c r="Z450" s="4" t="str">
        <f ca="1">IF(OR(INDEX($AG$2:$AG$1001,MATCH(ROWS($AF$2:AF450),$AF$2:$AF$1001,0),1)&gt;=100000,INDEX($AM$1005:$BM$1005,1,MATCH(COLUMNS($AM$1006:BK1006),$AM$1006:$BM$1006,0))&gt;=100000), " ",IF(INDEX($AM$2:$BM$1001,MATCH(ROWS($AF$2:AF450),$AF$2:$AF$1001,0),MATCH(COLUMNS($AM$1006:BK1006),$AM$1006:$BM$1006,0)), HYPERLINK("#",""), HYPERLINK(CONCATENATE("#metadata!", ADDRESS(INDEX($AH$2:$AH$1001,MATCH(ROWS($AF$2:AF450),$AF$2:$AF$1001,0),0), INDEX($AM$1004:$BM$1004,1,MATCH(COLUMNS($AM$1006:BK1006),$AM$1006:$BM$1006,0)))),"Fix")))</f>
        <v xml:space="preserve"> </v>
      </c>
      <c r="AA450" s="4" t="str">
        <f ca="1">IF(OR(INDEX($AG$2:$AG$1001,MATCH(ROWS($AF$2:AF450),$AF$2:$AF$1001,0),1)&gt;=100000,INDEX($AM$1005:$BM$1005,1,MATCH(COLUMNS($AM$1006:BL1006),$AM$1006:$BM$1006,0))&gt;=100000), " ",IF(INDEX($AM$2:$BM$1001,MATCH(ROWS($AF$2:AF450),$AF$2:$AF$1001,0),MATCH(COLUMNS($AM$1006:BL1006),$AM$1006:$BM$1006,0)), HYPERLINK("#",""), HYPERLINK(CONCATENATE("#metadata!", ADDRESS(INDEX($AH$2:$AH$1001,MATCH(ROWS($AF$2:AF450),$AF$2:$AF$1001,0),0), INDEX($AM$1004:$BM$1004,1,MATCH(COLUMNS($AM$1006:BL1006),$AM$1006:$BM$1006,0)))),"Fix")))</f>
        <v xml:space="preserve"> </v>
      </c>
      <c r="AB450" s="4" t="str">
        <f ca="1">IF(OR(INDEX($AG$2:$AG$1001,MATCH(ROWS($AF$2:AF450),$AF$2:$AF$1001,0),1)&gt;=100000,INDEX($AM$1005:$BM$1005,1,MATCH(COLUMNS($AM$1006:BM1006),$AM$1006:$BM$1006,0))&gt;=100000), " ",IF(INDEX($AM$2:$BM$1001,MATCH(ROWS($AF$2:AF450),$AF$2:$AF$1001,0),MATCH(COLUMNS($AM$1006:BM1006),$AM$1006:$BM$1006,0)), HYPERLINK("#",""), HYPERLINK(CONCATENATE("#metadata!", ADDRESS(INDEX($AH$2:$AH$1001,MATCH(ROWS($AF$2:AF450),$AF$2:$AF$1001,0),0), INDEX($AM$1004:$BM$1004,1,MATCH(COLUMNS($AM$1006:BM1006),$AM$1006:$BM$1006,0)))),"Fix")))</f>
        <v xml:space="preserve"> </v>
      </c>
      <c r="AF450">
        <v>449</v>
      </c>
      <c r="AG450">
        <v>100450</v>
      </c>
      <c r="AH450">
        <v>450</v>
      </c>
      <c r="AI450" t="b">
        <f t="shared" ref="AI450:AI513" si="7">IF(AJ450,TRUE,AND(AM450:BM450))</f>
        <v>1</v>
      </c>
      <c r="AJ450" t="b">
        <f>COUNTBLANK(metadata!B450:AB450)=COLUMNS(metadata!B450:AB450)</f>
        <v>1</v>
      </c>
      <c r="AK450" t="str">
        <v/>
      </c>
      <c r="AM450" t="b">
        <f ca="1">AND(IF(metadata!B450="",FALSE,TRUE),COUNTIF(metadata!B:B, metadata!B450) = 1,NOT(ISERROR(SUMPRODUCT(SEARCH(MID(metadata!B450,ROW(INDIRECT("1:"&amp;LEN(metadata!B450))), 1),"0123456789abcdefghijklmnopqrstuvwxyzABCDEFGHIJKLMNOPQRSTUVWXYZ.")))))</f>
        <v>0</v>
      </c>
      <c r="AN450" t="b">
        <f ca="1">OR(AND(IF(metadata!C450="",FALSE,TRUE),OR(EXACT(metadata!C450,"missing: not collected"),EXACT(metadata!C450,"missing: not provided"),EXACT(metadata!C450,"missing: restricted access"))),AND(IF(metadata!C450="",FALSE,TRUE),AND(AND(IFERROR(INT(LEFT(metadata!C450,4))&gt;1900,FALSE),IFERROR(INT(LEFT(metadata!C450,4))&lt;=YEAR(NOW()),FALSE)), OR(MID(metadata!C450,5,1)="", AND(AND(MID(metadata!C450,5,1)="-",IFERROR(INT(MID(metadata!C450,6,1))&gt;=0,FALSE),IFERROR(INT(MID(metadata!C450,6,1))&lt;=1,FALSE),NOT(MID(metadata!C450,7,1)=""),IFERROR(INT(MID(metadata!C450,6,2))&gt;=1,FALSE),IFERROR(INT(MID(metadata!C450,6,2))&lt;=12,FALSE)), OR(MID(metadata!C450,8,1)="", AND(AND(MID(metadata!C450,8,1)="-",IFERROR(INT(MID(metadata!C450,9,1))&gt;=0,FALSE),IFERROR(INT(MID(metadata!C450,9,1))&lt;=3,FALSE),NOT(MID(metadata!C450,10,1)=""),IFERROR(INT(MID(metadata!C450,9,2))&gt;=1,FALSE),IFERROR(INT(MID(metadata!C450,9,2))&lt;=31,FALSE)), OR(MID(metadata!C450,11,1)="", AND(AND(MID(metadata!C450,11,1)=" ",IFERROR(INT(MID(metadata!C450,12,1))&gt;=0,FALSE),IFERROR(INT(MID(metadata!C450,12,1))&lt;=2,FALSE),NOT(MID(metadata!C450,13,1)=""),IFERROR(INT(MID(metadata!C450,12,2))&gt;=0,FALSE),IFERROR(INT(MID(metadata!C450,12,2))&lt;=23,FALSE)), OR(MID(metadata!C450,14,1)="", AND(AND(MID(metadata!C450,14,1)=":",IFERROR(INT(MID(metadata!C450,15,1))&gt;=0,FALSE),IFERROR(INT(MID(metadata!C450,15,1))&lt;=5,FALSE),NOT(MID(metadata!C450,16,1)=""),IFERROR(INT(MID(metadata!C450,15,2))&gt;=0,FALSE),IFERROR(INT(MID(metadata!C450,15,2))&lt;=59,FALSE)), OR(MID(metadata!C450,17,1)="", AND(AND(MID(metadata!C450,17,1)=":",IFERROR(INT(MID(metadata!C450,18,1))&gt;=0,FALSE),IFERROR(INT(MID(metadata!C450,18,1))&lt;=5,FALSE),NOT(MID(metadata!C450,19,1)=""),IFERROR(INT(MID(metadata!C450,18,2))&gt;=0,FALSE),IFERROR(INT(MID(metadata!C450,18,2))&lt;=59,FALSE)), LEN(metadata!C450)&lt;=19)))))))))))))</f>
        <v>0</v>
      </c>
      <c r="AO450" t="b">
        <f>AND(IF(metadata!D450="",FALSE,TRUE),EXACT(metadata!D450,"Not applicable"))</f>
        <v>0</v>
      </c>
      <c r="AP450" t="b">
        <f>IF(metadata!E450="",FALSE,TRUE)</f>
        <v>0</v>
      </c>
      <c r="AQ450" t="b">
        <f>OR(AND(IF(metadata!F450="",FALSE,TRUE),OR(EXACT(metadata!F450,"missing: not collected"),EXACT(metadata!F450,"missing: not provided"))),AND(IF(metadata!F450="",FALSE,TRUE),OR(EXACT(metadata!F450,"TRUE"),EXACT(metadata!F450,"FALSE"))))</f>
        <v>0</v>
      </c>
      <c r="AR450" t="b">
        <f>OR(AND(IF(metadata!G450="",FALSE,TRUE),OR(EXACT(metadata!G450,"missing: not collected"),EXACT(metadata!G450,"missing: not provided"),EXACT(metadata!G450,"missing: restricted access"))),AND(IF(metadata!G450="",FALSE,ISNUMBER(VALUE(metadata!G450))),metadata!G450&gt;=-413))</f>
        <v>0</v>
      </c>
      <c r="AS450" t="b">
        <f>AND(IF(metadata!H450="",FALSE,TRUE),EXACT(metadata!H450,"meters"))</f>
        <v>0</v>
      </c>
      <c r="AT450" t="b">
        <f>AND(IF(metadata!I450="",FALSE,TRUE),OR(EXACT(metadata!I450,"Host-associated"),EXACT(metadata!I450,"Free-living")))</f>
        <v>0</v>
      </c>
      <c r="AU450" t="b">
        <f>AND(IF(metadata!J450="",FALSE,TRUE),OR(EXACT(metadata!J450,"Animal"),EXACT(metadata!J450,"Fungus"),EXACT(metadata!J450,"Plant"),EXACT(metadata!J450,"Saline"),EXACT(metadata!J450,"Non-saline")))</f>
        <v>0</v>
      </c>
      <c r="AV450" t="b">
        <f>AND(IF(metadata!K450="",FALSE,TRUE),OR(EXACT(metadata!K450,"Plant secretion"),EXACT(metadata!K450,"Plant rhizosphere"),EXACT(metadata!K450,"Plant surface"),EXACT(metadata!K450,"Plant corpus"),EXACT(metadata!K450,"Fungus surface"),EXACT(metadata!K450,"Fungus corpus"),EXACT(metadata!K450,"Animal surface"),EXACT(metadata!K450,"Animal proximal gut"),EXACT(metadata!K450,"Animal corpus"),EXACT(metadata!K450,"Animal distal gut"),EXACT(metadata!K450,"Animal secretion"),EXACT(metadata!K450,"Sub-surface (non-saline)"),EXACT(metadata!K450,"Surface (non-saline)"),EXACT(metadata!K450,"Water (non-saline)"),EXACT(metadata!K450,"Soil (non-saline)"),EXACT(metadata!K450,"Aerosol (non-saline)"),EXACT(metadata!K450,"Sediment (non-saline)"),EXACT(metadata!K450,"Surface (saline)"),EXACT(metadata!K450,"Water (saline)"),EXACT(metadata!K450,"Hypersaline (saline)"),EXACT(metadata!K450,"Aerosol (saline)"),EXACT(metadata!K450,"Sediment (saline)")))</f>
        <v>0</v>
      </c>
      <c r="AW450" t="b">
        <f>IF(metadata!L450="",FALSE,TRUE)</f>
        <v>0</v>
      </c>
      <c r="AX450" t="b">
        <f>IF(metadata!M450="",FALSE,TRUE)</f>
        <v>0</v>
      </c>
      <c r="AY450" t="b">
        <f>IF(metadata!N450="",FALSE,TRUE)</f>
        <v>0</v>
      </c>
      <c r="AZ450" t="b">
        <f>OR(AND(IF(metadata!O450="",FALSE,TRUE),OR(EXACT(metadata!O450,"missing: not collected"),EXACT(metadata!O450,"missing: not provided"),EXACT(metadata!O450,"missing: restricted access"))),AND(IF(metadata!O450="",FALSE,TRUE),OR(EXACT(metadata!O450,"air"),EXACT(metadata!O450,"built environment"),EXACT(metadata!O450,"host-associated"),EXACT(metadata!O450,"human-associated"),EXACT(metadata!O450,"human-skin"),EXACT(metadata!O450,"human-oral"),EXACT(metadata!O450,"human-gut"),EXACT(metadata!O450,"human-vaginal"),EXACT(metadata!O450,"microbial mat/biofilm"),EXACT(metadata!O450,"misc environment"),EXACT(metadata!O450,"plant-associated"),EXACT(metadata!O450,"sediment"),EXACT(metadata!O450,"soil"),EXACT(metadata!O450,"wastewater/sludge"),EXACT(metadata!O450,"water"))))</f>
        <v>0</v>
      </c>
      <c r="BA450" t="b">
        <f>IF(metadata!P450="",FALSE,TRUE)</f>
        <v>0</v>
      </c>
      <c r="BB450" t="b">
        <f>IF(metadata!Q450="",FALSE,TRUE)</f>
        <v>0</v>
      </c>
      <c r="BC450" t="b">
        <f>OR(AND(IF(metadata!R450="",FALSE,TRUE),OR(EXACT(metadata!R450,"missing: not collected"),EXACT(metadata!R450,"missing: not provided"),EXACT(metadata!R450,"missing: restricted access"))),AND(IF(metadata!R450="",FALSE,ISNUMBER(VALUE(metadata!R450))),metadata!R450&gt;=-90,metadata!R450&lt;=90))</f>
        <v>0</v>
      </c>
      <c r="BD450" t="b">
        <f>AND(IF(metadata!S450="",FALSE,TRUE),EXACT(metadata!S450,"Decimal degrees"))</f>
        <v>0</v>
      </c>
      <c r="BE450" t="b">
        <f>OR(AND(IF(metadata!T450="",FALSE,TRUE),OR(EXACT(metadata!T450,"missing: not collected"),EXACT(metadata!T450,"missing: not provided"),EXACT(metadata!T450,"missing: restricted access"))),AND(IF(metadata!T450="",FALSE,ISNUMBER(VALUE(metadata!T450))),metadata!T450&gt;=-180,metadata!T450&lt;=180))</f>
        <v>0</v>
      </c>
      <c r="BF450" t="b">
        <f>AND(IF(metadata!U450="",FALSE,TRUE),EXACT(metadata!U450,"Decimal degrees"))</f>
        <v>0</v>
      </c>
      <c r="BG450" t="b">
        <f>IF(metadata!V450="",FALSE,TRUE)</f>
        <v>0</v>
      </c>
      <c r="BH450" t="b">
        <f>OR(AND(IF(metadata!W450="",FALSE,TRUE),OR(EXACT(metadata!W450,"missing: not collected"),EXACT(metadata!W450,"missing: not provided"),EXACT(metadata!W450,"missing: restricted access"))),AND(IF(metadata!W450="",FALSE,TRUE),OR(EXACT(metadata!W450,"TRUE"),EXACT(metadata!W450,"FALSE"))))</f>
        <v>0</v>
      </c>
      <c r="BI450" t="b">
        <f>AND(IF(metadata!X450="",FALSE,TRUE),EXACT(metadata!X450,"other"))</f>
        <v>0</v>
      </c>
      <c r="BJ450" t="b">
        <f>IF(metadata!Y450="",FALSE,TRUE)</f>
        <v>0</v>
      </c>
      <c r="BK450" t="b">
        <f>OR(AND(IF(metadata!Z450="",FALSE,TRUE),OR(EXACT(metadata!Z450,"missing: not collected"),EXACT(metadata!Z450,"missing: not provided"))),AND(IF(metadata!Z450="",FALSE,IF(ISERROR(INT(metadata!Z450)),FALSE,INT(metadata!Z450)=metadata!Z450)),metadata!Z450&gt;0))</f>
        <v>0</v>
      </c>
      <c r="BL450" t="b">
        <f>AND(IF(metadata!AA450="",FALSE,TRUE),EXACT(metadata!AA450,"Not applicable"))</f>
        <v>0</v>
      </c>
      <c r="BM450" t="b">
        <f>IF(metadata!AB450="",FALSE,TRUE)</f>
        <v>0</v>
      </c>
    </row>
    <row r="451" spans="1:65" x14ac:dyDescent="0.2">
      <c r="A451" s="5" t="str">
        <f ca="1">IF(B451=" "," ",HYPERLINK(CONCATENATE("#metadata!",ADDRESS(INDEX($AH$2:$AH$1001,MATCH(ROWS($AF$2:AF451),$AF$2:$AF$1001,0),0),1)),INDEX($AK$2:$AK$1001,MATCH(ROWS($AF$2:AF451),$AF$2:$AF$1001,0),0)))</f>
        <v xml:space="preserve"> </v>
      </c>
      <c r="B451" s="4" t="str">
        <f ca="1">IF(OR(INDEX($AG$2:$AG$1001,MATCH(ROWS($AF$2:AF451),$AF$2:$AF$1001,0),1)&gt;=100000,INDEX($AM$1005:$BM$1005,1,MATCH(COLUMNS($AM$1006:AM1006),$AM$1006:$BM$1006,0))&gt;=100000), " ",IF(INDEX($AM$2:$BM$1001,MATCH(ROWS($AF$2:AF451),$AF$2:$AF$1001,0),MATCH(COLUMNS($AM$1006:AM1006),$AM$1006:$BM$1006,0)), HYPERLINK("#",""), HYPERLINK(CONCATENATE("#metadata!", ADDRESS(INDEX($AH$2:$AH$1001,MATCH(ROWS($AF$2:AF451),$AF$2:$AF$1001,0),0), INDEX($AM$1004:$BM$1004,1,MATCH(COLUMNS($AM$1006:AM1006),$AM$1006:$BM$1006,0)))),"Fix")))</f>
        <v xml:space="preserve"> </v>
      </c>
      <c r="C451" s="4" t="str">
        <f ca="1">IF(OR(INDEX($AG$2:$AG$1001,MATCH(ROWS($AF$2:AF451),$AF$2:$AF$1001,0),1)&gt;=100000,INDEX($AM$1005:$BM$1005,1,MATCH(COLUMNS($AM$1006:AN1006),$AM$1006:$BM$1006,0))&gt;=100000), " ",IF(INDEX($AM$2:$BM$1001,MATCH(ROWS($AF$2:AF451),$AF$2:$AF$1001,0),MATCH(COLUMNS($AM$1006:AN1006),$AM$1006:$BM$1006,0)), HYPERLINK("#",""), HYPERLINK(CONCATENATE("#metadata!", ADDRESS(INDEX($AH$2:$AH$1001,MATCH(ROWS($AF$2:AF451),$AF$2:$AF$1001,0),0), INDEX($AM$1004:$BM$1004,1,MATCH(COLUMNS($AM$1006:AN1006),$AM$1006:$BM$1006,0)))),"Fix")))</f>
        <v xml:space="preserve"> </v>
      </c>
      <c r="D451" s="4" t="str">
        <f ca="1">IF(OR(INDEX($AG$2:$AG$1001,MATCH(ROWS($AF$2:AF451),$AF$2:$AF$1001,0),1)&gt;=100000,INDEX($AM$1005:$BM$1005,1,MATCH(COLUMNS($AM$1006:AO1006),$AM$1006:$BM$1006,0))&gt;=100000), " ",IF(INDEX($AM$2:$BM$1001,MATCH(ROWS($AF$2:AF451),$AF$2:$AF$1001,0),MATCH(COLUMNS($AM$1006:AO1006),$AM$1006:$BM$1006,0)), HYPERLINK("#",""), HYPERLINK(CONCATENATE("#metadata!", ADDRESS(INDEX($AH$2:$AH$1001,MATCH(ROWS($AF$2:AF451),$AF$2:$AF$1001,0),0), INDEX($AM$1004:$BM$1004,1,MATCH(COLUMNS($AM$1006:AO1006),$AM$1006:$BM$1006,0)))),"Fix")))</f>
        <v xml:space="preserve"> </v>
      </c>
      <c r="E451" s="4" t="str">
        <f ca="1">IF(OR(INDEX($AG$2:$AG$1001,MATCH(ROWS($AF$2:AF451),$AF$2:$AF$1001,0),1)&gt;=100000,INDEX($AM$1005:$BM$1005,1,MATCH(COLUMNS($AM$1006:AP1006),$AM$1006:$BM$1006,0))&gt;=100000), " ",IF(INDEX($AM$2:$BM$1001,MATCH(ROWS($AF$2:AF451),$AF$2:$AF$1001,0),MATCH(COLUMNS($AM$1006:AP1006),$AM$1006:$BM$1006,0)), HYPERLINK("#",""), HYPERLINK(CONCATENATE("#metadata!", ADDRESS(INDEX($AH$2:$AH$1001,MATCH(ROWS($AF$2:AF451),$AF$2:$AF$1001,0),0), INDEX($AM$1004:$BM$1004,1,MATCH(COLUMNS($AM$1006:AP1006),$AM$1006:$BM$1006,0)))),"Fix")))</f>
        <v xml:space="preserve"> </v>
      </c>
      <c r="F451" s="4" t="str">
        <f ca="1">IF(OR(INDEX($AG$2:$AG$1001,MATCH(ROWS($AF$2:AF451),$AF$2:$AF$1001,0),1)&gt;=100000,INDEX($AM$1005:$BM$1005,1,MATCH(COLUMNS($AM$1006:AQ1006),$AM$1006:$BM$1006,0))&gt;=100000), " ",IF(INDEX($AM$2:$BM$1001,MATCH(ROWS($AF$2:AF451),$AF$2:$AF$1001,0),MATCH(COLUMNS($AM$1006:AQ1006),$AM$1006:$BM$1006,0)), HYPERLINK("#",""), HYPERLINK(CONCATENATE("#metadata!", ADDRESS(INDEX($AH$2:$AH$1001,MATCH(ROWS($AF$2:AF451),$AF$2:$AF$1001,0),0), INDEX($AM$1004:$BM$1004,1,MATCH(COLUMNS($AM$1006:AQ1006),$AM$1006:$BM$1006,0)))),"Fix")))</f>
        <v xml:space="preserve"> </v>
      </c>
      <c r="G451" s="4" t="str">
        <f ca="1">IF(OR(INDEX($AG$2:$AG$1001,MATCH(ROWS($AF$2:AF451),$AF$2:$AF$1001,0),1)&gt;=100000,INDEX($AM$1005:$BM$1005,1,MATCH(COLUMNS($AM$1006:AR1006),$AM$1006:$BM$1006,0))&gt;=100000), " ",IF(INDEX($AM$2:$BM$1001,MATCH(ROWS($AF$2:AF451),$AF$2:$AF$1001,0),MATCH(COLUMNS($AM$1006:AR1006),$AM$1006:$BM$1006,0)), HYPERLINK("#",""), HYPERLINK(CONCATENATE("#metadata!", ADDRESS(INDEX($AH$2:$AH$1001,MATCH(ROWS($AF$2:AF451),$AF$2:$AF$1001,0),0), INDEX($AM$1004:$BM$1004,1,MATCH(COLUMNS($AM$1006:AR1006),$AM$1006:$BM$1006,0)))),"Fix")))</f>
        <v xml:space="preserve"> </v>
      </c>
      <c r="H451" s="4" t="str">
        <f ca="1">IF(OR(INDEX($AG$2:$AG$1001,MATCH(ROWS($AF$2:AF451),$AF$2:$AF$1001,0),1)&gt;=100000,INDEX($AM$1005:$BM$1005,1,MATCH(COLUMNS($AM$1006:AS1006),$AM$1006:$BM$1006,0))&gt;=100000), " ",IF(INDEX($AM$2:$BM$1001,MATCH(ROWS($AF$2:AF451),$AF$2:$AF$1001,0),MATCH(COLUMNS($AM$1006:AS1006),$AM$1006:$BM$1006,0)), HYPERLINK("#",""), HYPERLINK(CONCATENATE("#metadata!", ADDRESS(INDEX($AH$2:$AH$1001,MATCH(ROWS($AF$2:AF451),$AF$2:$AF$1001,0),0), INDEX($AM$1004:$BM$1004,1,MATCH(COLUMNS($AM$1006:AS1006),$AM$1006:$BM$1006,0)))),"Fix")))</f>
        <v xml:space="preserve"> </v>
      </c>
      <c r="I451" s="4" t="str">
        <f ca="1">IF(OR(INDEX($AG$2:$AG$1001,MATCH(ROWS($AF$2:AF451),$AF$2:$AF$1001,0),1)&gt;=100000,INDEX($AM$1005:$BM$1005,1,MATCH(COLUMNS($AM$1006:AT1006),$AM$1006:$BM$1006,0))&gt;=100000), " ",IF(INDEX($AM$2:$BM$1001,MATCH(ROWS($AF$2:AF451),$AF$2:$AF$1001,0),MATCH(COLUMNS($AM$1006:AT1006),$AM$1006:$BM$1006,0)), HYPERLINK("#",""), HYPERLINK(CONCATENATE("#metadata!", ADDRESS(INDEX($AH$2:$AH$1001,MATCH(ROWS($AF$2:AF451),$AF$2:$AF$1001,0),0), INDEX($AM$1004:$BM$1004,1,MATCH(COLUMNS($AM$1006:AT1006),$AM$1006:$BM$1006,0)))),"Fix")))</f>
        <v xml:space="preserve"> </v>
      </c>
      <c r="J451" s="4" t="str">
        <f ca="1">IF(OR(INDEX($AG$2:$AG$1001,MATCH(ROWS($AF$2:AF451),$AF$2:$AF$1001,0),1)&gt;=100000,INDEX($AM$1005:$BM$1005,1,MATCH(COLUMNS($AM$1006:AU1006),$AM$1006:$BM$1006,0))&gt;=100000), " ",IF(INDEX($AM$2:$BM$1001,MATCH(ROWS($AF$2:AF451),$AF$2:$AF$1001,0),MATCH(COLUMNS($AM$1006:AU1006),$AM$1006:$BM$1006,0)), HYPERLINK("#",""), HYPERLINK(CONCATENATE("#metadata!", ADDRESS(INDEX($AH$2:$AH$1001,MATCH(ROWS($AF$2:AF451),$AF$2:$AF$1001,0),0), INDEX($AM$1004:$BM$1004,1,MATCH(COLUMNS($AM$1006:AU1006),$AM$1006:$BM$1006,0)))),"Fix")))</f>
        <v xml:space="preserve"> </v>
      </c>
      <c r="K451" s="4" t="str">
        <f ca="1">IF(OR(INDEX($AG$2:$AG$1001,MATCH(ROWS($AF$2:AF451),$AF$2:$AF$1001,0),1)&gt;=100000,INDEX($AM$1005:$BM$1005,1,MATCH(COLUMNS($AM$1006:AV1006),$AM$1006:$BM$1006,0))&gt;=100000), " ",IF(INDEX($AM$2:$BM$1001,MATCH(ROWS($AF$2:AF451),$AF$2:$AF$1001,0),MATCH(COLUMNS($AM$1006:AV1006),$AM$1006:$BM$1006,0)), HYPERLINK("#",""), HYPERLINK(CONCATENATE("#metadata!", ADDRESS(INDEX($AH$2:$AH$1001,MATCH(ROWS($AF$2:AF451),$AF$2:$AF$1001,0),0), INDEX($AM$1004:$BM$1004,1,MATCH(COLUMNS($AM$1006:AV1006),$AM$1006:$BM$1006,0)))),"Fix")))</f>
        <v xml:space="preserve"> </v>
      </c>
      <c r="L451" s="4" t="str">
        <f ca="1">IF(OR(INDEX($AG$2:$AG$1001,MATCH(ROWS($AF$2:AF451),$AF$2:$AF$1001,0),1)&gt;=100000,INDEX($AM$1005:$BM$1005,1,MATCH(COLUMNS($AM$1006:AW1006),$AM$1006:$BM$1006,0))&gt;=100000), " ",IF(INDEX($AM$2:$BM$1001,MATCH(ROWS($AF$2:AF451),$AF$2:$AF$1001,0),MATCH(COLUMNS($AM$1006:AW1006),$AM$1006:$BM$1006,0)), HYPERLINK("#",""), HYPERLINK(CONCATENATE("#metadata!", ADDRESS(INDEX($AH$2:$AH$1001,MATCH(ROWS($AF$2:AF451),$AF$2:$AF$1001,0),0), INDEX($AM$1004:$BM$1004,1,MATCH(COLUMNS($AM$1006:AW1006),$AM$1006:$BM$1006,0)))),"Fix")))</f>
        <v xml:space="preserve"> </v>
      </c>
      <c r="M451" s="4" t="str">
        <f ca="1">IF(OR(INDEX($AG$2:$AG$1001,MATCH(ROWS($AF$2:AF451),$AF$2:$AF$1001,0),1)&gt;=100000,INDEX($AM$1005:$BM$1005,1,MATCH(COLUMNS($AM$1006:AX1006),$AM$1006:$BM$1006,0))&gt;=100000), " ",IF(INDEX($AM$2:$BM$1001,MATCH(ROWS($AF$2:AF451),$AF$2:$AF$1001,0),MATCH(COLUMNS($AM$1006:AX1006),$AM$1006:$BM$1006,0)), HYPERLINK("#",""), HYPERLINK(CONCATENATE("#metadata!", ADDRESS(INDEX($AH$2:$AH$1001,MATCH(ROWS($AF$2:AF451),$AF$2:$AF$1001,0),0), INDEX($AM$1004:$BM$1004,1,MATCH(COLUMNS($AM$1006:AX1006),$AM$1006:$BM$1006,0)))),"Fix")))</f>
        <v xml:space="preserve"> </v>
      </c>
      <c r="N451" s="4" t="str">
        <f ca="1">IF(OR(INDEX($AG$2:$AG$1001,MATCH(ROWS($AF$2:AF451),$AF$2:$AF$1001,0),1)&gt;=100000,INDEX($AM$1005:$BM$1005,1,MATCH(COLUMNS($AM$1006:AY1006),$AM$1006:$BM$1006,0))&gt;=100000), " ",IF(INDEX($AM$2:$BM$1001,MATCH(ROWS($AF$2:AF451),$AF$2:$AF$1001,0),MATCH(COLUMNS($AM$1006:AY1006),$AM$1006:$BM$1006,0)), HYPERLINK("#",""), HYPERLINK(CONCATENATE("#metadata!", ADDRESS(INDEX($AH$2:$AH$1001,MATCH(ROWS($AF$2:AF451),$AF$2:$AF$1001,0),0), INDEX($AM$1004:$BM$1004,1,MATCH(COLUMNS($AM$1006:AY1006),$AM$1006:$BM$1006,0)))),"Fix")))</f>
        <v xml:space="preserve"> </v>
      </c>
      <c r="O451" s="4" t="str">
        <f ca="1">IF(OR(INDEX($AG$2:$AG$1001,MATCH(ROWS($AF$2:AF451),$AF$2:$AF$1001,0),1)&gt;=100000,INDEX($AM$1005:$BM$1005,1,MATCH(COLUMNS($AM$1006:AZ1006),$AM$1006:$BM$1006,0))&gt;=100000), " ",IF(INDEX($AM$2:$BM$1001,MATCH(ROWS($AF$2:AF451),$AF$2:$AF$1001,0),MATCH(COLUMNS($AM$1006:AZ1006),$AM$1006:$BM$1006,0)), HYPERLINK("#",""), HYPERLINK(CONCATENATE("#metadata!", ADDRESS(INDEX($AH$2:$AH$1001,MATCH(ROWS($AF$2:AF451),$AF$2:$AF$1001,0),0), INDEX($AM$1004:$BM$1004,1,MATCH(COLUMNS($AM$1006:AZ1006),$AM$1006:$BM$1006,0)))),"Fix")))</f>
        <v xml:space="preserve"> </v>
      </c>
      <c r="P451" s="4" t="str">
        <f ca="1">IF(OR(INDEX($AG$2:$AG$1001,MATCH(ROWS($AF$2:AF451),$AF$2:$AF$1001,0),1)&gt;=100000,INDEX($AM$1005:$BM$1005,1,MATCH(COLUMNS($AM$1006:BA1006),$AM$1006:$BM$1006,0))&gt;=100000), " ",IF(INDEX($AM$2:$BM$1001,MATCH(ROWS($AF$2:AF451),$AF$2:$AF$1001,0),MATCH(COLUMNS($AM$1006:BA1006),$AM$1006:$BM$1006,0)), HYPERLINK("#",""), HYPERLINK(CONCATENATE("#metadata!", ADDRESS(INDEX($AH$2:$AH$1001,MATCH(ROWS($AF$2:AF451),$AF$2:$AF$1001,0),0), INDEX($AM$1004:$BM$1004,1,MATCH(COLUMNS($AM$1006:BA1006),$AM$1006:$BM$1006,0)))),"Fix")))</f>
        <v xml:space="preserve"> </v>
      </c>
      <c r="Q451" s="4" t="str">
        <f ca="1">IF(OR(INDEX($AG$2:$AG$1001,MATCH(ROWS($AF$2:AF451),$AF$2:$AF$1001,0),1)&gt;=100000,INDEX($AM$1005:$BM$1005,1,MATCH(COLUMNS($AM$1006:BB1006),$AM$1006:$BM$1006,0))&gt;=100000), " ",IF(INDEX($AM$2:$BM$1001,MATCH(ROWS($AF$2:AF451),$AF$2:$AF$1001,0),MATCH(COLUMNS($AM$1006:BB1006),$AM$1006:$BM$1006,0)), HYPERLINK("#",""), HYPERLINK(CONCATENATE("#metadata!", ADDRESS(INDEX($AH$2:$AH$1001,MATCH(ROWS($AF$2:AF451),$AF$2:$AF$1001,0),0), INDEX($AM$1004:$BM$1004,1,MATCH(COLUMNS($AM$1006:BB1006),$AM$1006:$BM$1006,0)))),"Fix")))</f>
        <v xml:space="preserve"> </v>
      </c>
      <c r="R451" s="4" t="str">
        <f ca="1">IF(OR(INDEX($AG$2:$AG$1001,MATCH(ROWS($AF$2:AF451),$AF$2:$AF$1001,0),1)&gt;=100000,INDEX($AM$1005:$BM$1005,1,MATCH(COLUMNS($AM$1006:BC1006),$AM$1006:$BM$1006,0))&gt;=100000), " ",IF(INDEX($AM$2:$BM$1001,MATCH(ROWS($AF$2:AF451),$AF$2:$AF$1001,0),MATCH(COLUMNS($AM$1006:BC1006),$AM$1006:$BM$1006,0)), HYPERLINK("#",""), HYPERLINK(CONCATENATE("#metadata!", ADDRESS(INDEX($AH$2:$AH$1001,MATCH(ROWS($AF$2:AF451),$AF$2:$AF$1001,0),0), INDEX($AM$1004:$BM$1004,1,MATCH(COLUMNS($AM$1006:BC1006),$AM$1006:$BM$1006,0)))),"Fix")))</f>
        <v xml:space="preserve"> </v>
      </c>
      <c r="S451" s="4" t="str">
        <f ca="1">IF(OR(INDEX($AG$2:$AG$1001,MATCH(ROWS($AF$2:AF451),$AF$2:$AF$1001,0),1)&gt;=100000,INDEX($AM$1005:$BM$1005,1,MATCH(COLUMNS($AM$1006:BD1006),$AM$1006:$BM$1006,0))&gt;=100000), " ",IF(INDEX($AM$2:$BM$1001,MATCH(ROWS($AF$2:AF451),$AF$2:$AF$1001,0),MATCH(COLUMNS($AM$1006:BD1006),$AM$1006:$BM$1006,0)), HYPERLINK("#",""), HYPERLINK(CONCATENATE("#metadata!", ADDRESS(INDEX($AH$2:$AH$1001,MATCH(ROWS($AF$2:AF451),$AF$2:$AF$1001,0),0), INDEX($AM$1004:$BM$1004,1,MATCH(COLUMNS($AM$1006:BD1006),$AM$1006:$BM$1006,0)))),"Fix")))</f>
        <v xml:space="preserve"> </v>
      </c>
      <c r="T451" s="4" t="str">
        <f ca="1">IF(OR(INDEX($AG$2:$AG$1001,MATCH(ROWS($AF$2:AF451),$AF$2:$AF$1001,0),1)&gt;=100000,INDEX($AM$1005:$BM$1005,1,MATCH(COLUMNS($AM$1006:BE1006),$AM$1006:$BM$1006,0))&gt;=100000), " ",IF(INDEX($AM$2:$BM$1001,MATCH(ROWS($AF$2:AF451),$AF$2:$AF$1001,0),MATCH(COLUMNS($AM$1006:BE1006),$AM$1006:$BM$1006,0)), HYPERLINK("#",""), HYPERLINK(CONCATENATE("#metadata!", ADDRESS(INDEX($AH$2:$AH$1001,MATCH(ROWS($AF$2:AF451),$AF$2:$AF$1001,0),0), INDEX($AM$1004:$BM$1004,1,MATCH(COLUMNS($AM$1006:BE1006),$AM$1006:$BM$1006,0)))),"Fix")))</f>
        <v xml:space="preserve"> </v>
      </c>
      <c r="U451" s="4" t="str">
        <f ca="1">IF(OR(INDEX($AG$2:$AG$1001,MATCH(ROWS($AF$2:AF451),$AF$2:$AF$1001,0),1)&gt;=100000,INDEX($AM$1005:$BM$1005,1,MATCH(COLUMNS($AM$1006:BF1006),$AM$1006:$BM$1006,0))&gt;=100000), " ",IF(INDEX($AM$2:$BM$1001,MATCH(ROWS($AF$2:AF451),$AF$2:$AF$1001,0),MATCH(COLUMNS($AM$1006:BF1006),$AM$1006:$BM$1006,0)), HYPERLINK("#",""), HYPERLINK(CONCATENATE("#metadata!", ADDRESS(INDEX($AH$2:$AH$1001,MATCH(ROWS($AF$2:AF451),$AF$2:$AF$1001,0),0), INDEX($AM$1004:$BM$1004,1,MATCH(COLUMNS($AM$1006:BF1006),$AM$1006:$BM$1006,0)))),"Fix")))</f>
        <v xml:space="preserve"> </v>
      </c>
      <c r="V451" s="4" t="str">
        <f ca="1">IF(OR(INDEX($AG$2:$AG$1001,MATCH(ROWS($AF$2:AF451),$AF$2:$AF$1001,0),1)&gt;=100000,INDEX($AM$1005:$BM$1005,1,MATCH(COLUMNS($AM$1006:BG1006),$AM$1006:$BM$1006,0))&gt;=100000), " ",IF(INDEX($AM$2:$BM$1001,MATCH(ROWS($AF$2:AF451),$AF$2:$AF$1001,0),MATCH(COLUMNS($AM$1006:BG1006),$AM$1006:$BM$1006,0)), HYPERLINK("#",""), HYPERLINK(CONCATENATE("#metadata!", ADDRESS(INDEX($AH$2:$AH$1001,MATCH(ROWS($AF$2:AF451),$AF$2:$AF$1001,0),0), INDEX($AM$1004:$BM$1004,1,MATCH(COLUMNS($AM$1006:BG1006),$AM$1006:$BM$1006,0)))),"Fix")))</f>
        <v xml:space="preserve"> </v>
      </c>
      <c r="W451" s="4" t="str">
        <f ca="1">IF(OR(INDEX($AG$2:$AG$1001,MATCH(ROWS($AF$2:AF451),$AF$2:$AF$1001,0),1)&gt;=100000,INDEX($AM$1005:$BM$1005,1,MATCH(COLUMNS($AM$1006:BH1006),$AM$1006:$BM$1006,0))&gt;=100000), " ",IF(INDEX($AM$2:$BM$1001,MATCH(ROWS($AF$2:AF451),$AF$2:$AF$1001,0),MATCH(COLUMNS($AM$1006:BH1006),$AM$1006:$BM$1006,0)), HYPERLINK("#",""), HYPERLINK(CONCATENATE("#metadata!", ADDRESS(INDEX($AH$2:$AH$1001,MATCH(ROWS($AF$2:AF451),$AF$2:$AF$1001,0),0), INDEX($AM$1004:$BM$1004,1,MATCH(COLUMNS($AM$1006:BH1006),$AM$1006:$BM$1006,0)))),"Fix")))</f>
        <v xml:space="preserve"> </v>
      </c>
      <c r="X451" s="4" t="str">
        <f ca="1">IF(OR(INDEX($AG$2:$AG$1001,MATCH(ROWS($AF$2:AF451),$AF$2:$AF$1001,0),1)&gt;=100000,INDEX($AM$1005:$BM$1005,1,MATCH(COLUMNS($AM$1006:BI1006),$AM$1006:$BM$1006,0))&gt;=100000), " ",IF(INDEX($AM$2:$BM$1001,MATCH(ROWS($AF$2:AF451),$AF$2:$AF$1001,0),MATCH(COLUMNS($AM$1006:BI1006),$AM$1006:$BM$1006,0)), HYPERLINK("#",""), HYPERLINK(CONCATENATE("#metadata!", ADDRESS(INDEX($AH$2:$AH$1001,MATCH(ROWS($AF$2:AF451),$AF$2:$AF$1001,0),0), INDEX($AM$1004:$BM$1004,1,MATCH(COLUMNS($AM$1006:BI1006),$AM$1006:$BM$1006,0)))),"Fix")))</f>
        <v xml:space="preserve"> </v>
      </c>
      <c r="Y451" s="4" t="str">
        <f ca="1">IF(OR(INDEX($AG$2:$AG$1001,MATCH(ROWS($AF$2:AF451),$AF$2:$AF$1001,0),1)&gt;=100000,INDEX($AM$1005:$BM$1005,1,MATCH(COLUMNS($AM$1006:BJ1006),$AM$1006:$BM$1006,0))&gt;=100000), " ",IF(INDEX($AM$2:$BM$1001,MATCH(ROWS($AF$2:AF451),$AF$2:$AF$1001,0),MATCH(COLUMNS($AM$1006:BJ1006),$AM$1006:$BM$1006,0)), HYPERLINK("#",""), HYPERLINK(CONCATENATE("#metadata!", ADDRESS(INDEX($AH$2:$AH$1001,MATCH(ROWS($AF$2:AF451),$AF$2:$AF$1001,0),0), INDEX($AM$1004:$BM$1004,1,MATCH(COLUMNS($AM$1006:BJ1006),$AM$1006:$BM$1006,0)))),"Fix")))</f>
        <v xml:space="preserve"> </v>
      </c>
      <c r="Z451" s="4" t="str">
        <f ca="1">IF(OR(INDEX($AG$2:$AG$1001,MATCH(ROWS($AF$2:AF451),$AF$2:$AF$1001,0),1)&gt;=100000,INDEX($AM$1005:$BM$1005,1,MATCH(COLUMNS($AM$1006:BK1006),$AM$1006:$BM$1006,0))&gt;=100000), " ",IF(INDEX($AM$2:$BM$1001,MATCH(ROWS($AF$2:AF451),$AF$2:$AF$1001,0),MATCH(COLUMNS($AM$1006:BK1006),$AM$1006:$BM$1006,0)), HYPERLINK("#",""), HYPERLINK(CONCATENATE("#metadata!", ADDRESS(INDEX($AH$2:$AH$1001,MATCH(ROWS($AF$2:AF451),$AF$2:$AF$1001,0),0), INDEX($AM$1004:$BM$1004,1,MATCH(COLUMNS($AM$1006:BK1006),$AM$1006:$BM$1006,0)))),"Fix")))</f>
        <v xml:space="preserve"> </v>
      </c>
      <c r="AA451" s="4" t="str">
        <f ca="1">IF(OR(INDEX($AG$2:$AG$1001,MATCH(ROWS($AF$2:AF451),$AF$2:$AF$1001,0),1)&gt;=100000,INDEX($AM$1005:$BM$1005,1,MATCH(COLUMNS($AM$1006:BL1006),$AM$1006:$BM$1006,0))&gt;=100000), " ",IF(INDEX($AM$2:$BM$1001,MATCH(ROWS($AF$2:AF451),$AF$2:$AF$1001,0),MATCH(COLUMNS($AM$1006:BL1006),$AM$1006:$BM$1006,0)), HYPERLINK("#",""), HYPERLINK(CONCATENATE("#metadata!", ADDRESS(INDEX($AH$2:$AH$1001,MATCH(ROWS($AF$2:AF451),$AF$2:$AF$1001,0),0), INDEX($AM$1004:$BM$1004,1,MATCH(COLUMNS($AM$1006:BL1006),$AM$1006:$BM$1006,0)))),"Fix")))</f>
        <v xml:space="preserve"> </v>
      </c>
      <c r="AB451" s="4" t="str">
        <f ca="1">IF(OR(INDEX($AG$2:$AG$1001,MATCH(ROWS($AF$2:AF451),$AF$2:$AF$1001,0),1)&gt;=100000,INDEX($AM$1005:$BM$1005,1,MATCH(COLUMNS($AM$1006:BM1006),$AM$1006:$BM$1006,0))&gt;=100000), " ",IF(INDEX($AM$2:$BM$1001,MATCH(ROWS($AF$2:AF451),$AF$2:$AF$1001,0),MATCH(COLUMNS($AM$1006:BM1006),$AM$1006:$BM$1006,0)), HYPERLINK("#",""), HYPERLINK(CONCATENATE("#metadata!", ADDRESS(INDEX($AH$2:$AH$1001,MATCH(ROWS($AF$2:AF451),$AF$2:$AF$1001,0),0), INDEX($AM$1004:$BM$1004,1,MATCH(COLUMNS($AM$1006:BM1006),$AM$1006:$BM$1006,0)))),"Fix")))</f>
        <v xml:space="preserve"> </v>
      </c>
      <c r="AF451">
        <v>450</v>
      </c>
      <c r="AG451">
        <v>100451</v>
      </c>
      <c r="AH451">
        <v>451</v>
      </c>
      <c r="AI451" t="b">
        <f t="shared" si="7"/>
        <v>1</v>
      </c>
      <c r="AJ451" t="b">
        <f>COUNTBLANK(metadata!B451:AB451)=COLUMNS(metadata!B451:AB451)</f>
        <v>1</v>
      </c>
      <c r="AK451" t="str">
        <v/>
      </c>
      <c r="AM451" t="b">
        <f ca="1">AND(IF(metadata!B451="",FALSE,TRUE),COUNTIF(metadata!B:B, metadata!B451) = 1,NOT(ISERROR(SUMPRODUCT(SEARCH(MID(metadata!B451,ROW(INDIRECT("1:"&amp;LEN(metadata!B451))), 1),"0123456789abcdefghijklmnopqrstuvwxyzABCDEFGHIJKLMNOPQRSTUVWXYZ.")))))</f>
        <v>0</v>
      </c>
      <c r="AN451" t="b">
        <f ca="1">OR(AND(IF(metadata!C451="",FALSE,TRUE),OR(EXACT(metadata!C451,"missing: not collected"),EXACT(metadata!C451,"missing: not provided"),EXACT(metadata!C451,"missing: restricted access"))),AND(IF(metadata!C451="",FALSE,TRUE),AND(AND(IFERROR(INT(LEFT(metadata!C451,4))&gt;1900,FALSE),IFERROR(INT(LEFT(metadata!C451,4))&lt;=YEAR(NOW()),FALSE)), OR(MID(metadata!C451,5,1)="", AND(AND(MID(metadata!C451,5,1)="-",IFERROR(INT(MID(metadata!C451,6,1))&gt;=0,FALSE),IFERROR(INT(MID(metadata!C451,6,1))&lt;=1,FALSE),NOT(MID(metadata!C451,7,1)=""),IFERROR(INT(MID(metadata!C451,6,2))&gt;=1,FALSE),IFERROR(INT(MID(metadata!C451,6,2))&lt;=12,FALSE)), OR(MID(metadata!C451,8,1)="", AND(AND(MID(metadata!C451,8,1)="-",IFERROR(INT(MID(metadata!C451,9,1))&gt;=0,FALSE),IFERROR(INT(MID(metadata!C451,9,1))&lt;=3,FALSE),NOT(MID(metadata!C451,10,1)=""),IFERROR(INT(MID(metadata!C451,9,2))&gt;=1,FALSE),IFERROR(INT(MID(metadata!C451,9,2))&lt;=31,FALSE)), OR(MID(metadata!C451,11,1)="", AND(AND(MID(metadata!C451,11,1)=" ",IFERROR(INT(MID(metadata!C451,12,1))&gt;=0,FALSE),IFERROR(INT(MID(metadata!C451,12,1))&lt;=2,FALSE),NOT(MID(metadata!C451,13,1)=""),IFERROR(INT(MID(metadata!C451,12,2))&gt;=0,FALSE),IFERROR(INT(MID(metadata!C451,12,2))&lt;=23,FALSE)), OR(MID(metadata!C451,14,1)="", AND(AND(MID(metadata!C451,14,1)=":",IFERROR(INT(MID(metadata!C451,15,1))&gt;=0,FALSE),IFERROR(INT(MID(metadata!C451,15,1))&lt;=5,FALSE),NOT(MID(metadata!C451,16,1)=""),IFERROR(INT(MID(metadata!C451,15,2))&gt;=0,FALSE),IFERROR(INT(MID(metadata!C451,15,2))&lt;=59,FALSE)), OR(MID(metadata!C451,17,1)="", AND(AND(MID(metadata!C451,17,1)=":",IFERROR(INT(MID(metadata!C451,18,1))&gt;=0,FALSE),IFERROR(INT(MID(metadata!C451,18,1))&lt;=5,FALSE),NOT(MID(metadata!C451,19,1)=""),IFERROR(INT(MID(metadata!C451,18,2))&gt;=0,FALSE),IFERROR(INT(MID(metadata!C451,18,2))&lt;=59,FALSE)), LEN(metadata!C451)&lt;=19)))))))))))))</f>
        <v>0</v>
      </c>
      <c r="AO451" t="b">
        <f>AND(IF(metadata!D451="",FALSE,TRUE),EXACT(metadata!D451,"Not applicable"))</f>
        <v>0</v>
      </c>
      <c r="AP451" t="b">
        <f>IF(metadata!E451="",FALSE,TRUE)</f>
        <v>0</v>
      </c>
      <c r="AQ451" t="b">
        <f>OR(AND(IF(metadata!F451="",FALSE,TRUE),OR(EXACT(metadata!F451,"missing: not collected"),EXACT(metadata!F451,"missing: not provided"))),AND(IF(metadata!F451="",FALSE,TRUE),OR(EXACT(metadata!F451,"TRUE"),EXACT(metadata!F451,"FALSE"))))</f>
        <v>0</v>
      </c>
      <c r="AR451" t="b">
        <f>OR(AND(IF(metadata!G451="",FALSE,TRUE),OR(EXACT(metadata!G451,"missing: not collected"),EXACT(metadata!G451,"missing: not provided"),EXACT(metadata!G451,"missing: restricted access"))),AND(IF(metadata!G451="",FALSE,ISNUMBER(VALUE(metadata!G451))),metadata!G451&gt;=-413))</f>
        <v>0</v>
      </c>
      <c r="AS451" t="b">
        <f>AND(IF(metadata!H451="",FALSE,TRUE),EXACT(metadata!H451,"meters"))</f>
        <v>0</v>
      </c>
      <c r="AT451" t="b">
        <f>AND(IF(metadata!I451="",FALSE,TRUE),OR(EXACT(metadata!I451,"Host-associated"),EXACT(metadata!I451,"Free-living")))</f>
        <v>0</v>
      </c>
      <c r="AU451" t="b">
        <f>AND(IF(metadata!J451="",FALSE,TRUE),OR(EXACT(metadata!J451,"Animal"),EXACT(metadata!J451,"Fungus"),EXACT(metadata!J451,"Plant"),EXACT(metadata!J451,"Saline"),EXACT(metadata!J451,"Non-saline")))</f>
        <v>0</v>
      </c>
      <c r="AV451" t="b">
        <f>AND(IF(metadata!K451="",FALSE,TRUE),OR(EXACT(metadata!K451,"Plant secretion"),EXACT(metadata!K451,"Plant rhizosphere"),EXACT(metadata!K451,"Plant surface"),EXACT(metadata!K451,"Plant corpus"),EXACT(metadata!K451,"Fungus surface"),EXACT(metadata!K451,"Fungus corpus"),EXACT(metadata!K451,"Animal surface"),EXACT(metadata!K451,"Animal proximal gut"),EXACT(metadata!K451,"Animal corpus"),EXACT(metadata!K451,"Animal distal gut"),EXACT(metadata!K451,"Animal secretion"),EXACT(metadata!K451,"Sub-surface (non-saline)"),EXACT(metadata!K451,"Surface (non-saline)"),EXACT(metadata!K451,"Water (non-saline)"),EXACT(metadata!K451,"Soil (non-saline)"),EXACT(metadata!K451,"Aerosol (non-saline)"),EXACT(metadata!K451,"Sediment (non-saline)"),EXACT(metadata!K451,"Surface (saline)"),EXACT(metadata!K451,"Water (saline)"),EXACT(metadata!K451,"Hypersaline (saline)"),EXACT(metadata!K451,"Aerosol (saline)"),EXACT(metadata!K451,"Sediment (saline)")))</f>
        <v>0</v>
      </c>
      <c r="AW451" t="b">
        <f>IF(metadata!L451="",FALSE,TRUE)</f>
        <v>0</v>
      </c>
      <c r="AX451" t="b">
        <f>IF(metadata!M451="",FALSE,TRUE)</f>
        <v>0</v>
      </c>
      <c r="AY451" t="b">
        <f>IF(metadata!N451="",FALSE,TRUE)</f>
        <v>0</v>
      </c>
      <c r="AZ451" t="b">
        <f>OR(AND(IF(metadata!O451="",FALSE,TRUE),OR(EXACT(metadata!O451,"missing: not collected"),EXACT(metadata!O451,"missing: not provided"),EXACT(metadata!O451,"missing: restricted access"))),AND(IF(metadata!O451="",FALSE,TRUE),OR(EXACT(metadata!O451,"air"),EXACT(metadata!O451,"built environment"),EXACT(metadata!O451,"host-associated"),EXACT(metadata!O451,"human-associated"),EXACT(metadata!O451,"human-skin"),EXACT(metadata!O451,"human-oral"),EXACT(metadata!O451,"human-gut"),EXACT(metadata!O451,"human-vaginal"),EXACT(metadata!O451,"microbial mat/biofilm"),EXACT(metadata!O451,"misc environment"),EXACT(metadata!O451,"plant-associated"),EXACT(metadata!O451,"sediment"),EXACT(metadata!O451,"soil"),EXACT(metadata!O451,"wastewater/sludge"),EXACT(metadata!O451,"water"))))</f>
        <v>0</v>
      </c>
      <c r="BA451" t="b">
        <f>IF(metadata!P451="",FALSE,TRUE)</f>
        <v>0</v>
      </c>
      <c r="BB451" t="b">
        <f>IF(metadata!Q451="",FALSE,TRUE)</f>
        <v>0</v>
      </c>
      <c r="BC451" t="b">
        <f>OR(AND(IF(metadata!R451="",FALSE,TRUE),OR(EXACT(metadata!R451,"missing: not collected"),EXACT(metadata!R451,"missing: not provided"),EXACT(metadata!R451,"missing: restricted access"))),AND(IF(metadata!R451="",FALSE,ISNUMBER(VALUE(metadata!R451))),metadata!R451&gt;=-90,metadata!R451&lt;=90))</f>
        <v>0</v>
      </c>
      <c r="BD451" t="b">
        <f>AND(IF(metadata!S451="",FALSE,TRUE),EXACT(metadata!S451,"Decimal degrees"))</f>
        <v>0</v>
      </c>
      <c r="BE451" t="b">
        <f>OR(AND(IF(metadata!T451="",FALSE,TRUE),OR(EXACT(metadata!T451,"missing: not collected"),EXACT(metadata!T451,"missing: not provided"),EXACT(metadata!T451,"missing: restricted access"))),AND(IF(metadata!T451="",FALSE,ISNUMBER(VALUE(metadata!T451))),metadata!T451&gt;=-180,metadata!T451&lt;=180))</f>
        <v>0</v>
      </c>
      <c r="BF451" t="b">
        <f>AND(IF(metadata!U451="",FALSE,TRUE),EXACT(metadata!U451,"Decimal degrees"))</f>
        <v>0</v>
      </c>
      <c r="BG451" t="b">
        <f>IF(metadata!V451="",FALSE,TRUE)</f>
        <v>0</v>
      </c>
      <c r="BH451" t="b">
        <f>OR(AND(IF(metadata!W451="",FALSE,TRUE),OR(EXACT(metadata!W451,"missing: not collected"),EXACT(metadata!W451,"missing: not provided"),EXACT(metadata!W451,"missing: restricted access"))),AND(IF(metadata!W451="",FALSE,TRUE),OR(EXACT(metadata!W451,"TRUE"),EXACT(metadata!W451,"FALSE"))))</f>
        <v>0</v>
      </c>
      <c r="BI451" t="b">
        <f>AND(IF(metadata!X451="",FALSE,TRUE),EXACT(metadata!X451,"other"))</f>
        <v>0</v>
      </c>
      <c r="BJ451" t="b">
        <f>IF(metadata!Y451="",FALSE,TRUE)</f>
        <v>0</v>
      </c>
      <c r="BK451" t="b">
        <f>OR(AND(IF(metadata!Z451="",FALSE,TRUE),OR(EXACT(metadata!Z451,"missing: not collected"),EXACT(metadata!Z451,"missing: not provided"))),AND(IF(metadata!Z451="",FALSE,IF(ISERROR(INT(metadata!Z451)),FALSE,INT(metadata!Z451)=metadata!Z451)),metadata!Z451&gt;0))</f>
        <v>0</v>
      </c>
      <c r="BL451" t="b">
        <f>AND(IF(metadata!AA451="",FALSE,TRUE),EXACT(metadata!AA451,"Not applicable"))</f>
        <v>0</v>
      </c>
      <c r="BM451" t="b">
        <f>IF(metadata!AB451="",FALSE,TRUE)</f>
        <v>0</v>
      </c>
    </row>
    <row r="452" spans="1:65" x14ac:dyDescent="0.2">
      <c r="A452" s="5" t="str">
        <f ca="1">IF(B452=" "," ",HYPERLINK(CONCATENATE("#metadata!",ADDRESS(INDEX($AH$2:$AH$1001,MATCH(ROWS($AF$2:AF452),$AF$2:$AF$1001,0),0),1)),INDEX($AK$2:$AK$1001,MATCH(ROWS($AF$2:AF452),$AF$2:$AF$1001,0),0)))</f>
        <v xml:space="preserve"> </v>
      </c>
      <c r="B452" s="4" t="str">
        <f ca="1">IF(OR(INDEX($AG$2:$AG$1001,MATCH(ROWS($AF$2:AF452),$AF$2:$AF$1001,0),1)&gt;=100000,INDEX($AM$1005:$BM$1005,1,MATCH(COLUMNS($AM$1006:AM1006),$AM$1006:$BM$1006,0))&gt;=100000), " ",IF(INDEX($AM$2:$BM$1001,MATCH(ROWS($AF$2:AF452),$AF$2:$AF$1001,0),MATCH(COLUMNS($AM$1006:AM1006),$AM$1006:$BM$1006,0)), HYPERLINK("#",""), HYPERLINK(CONCATENATE("#metadata!", ADDRESS(INDEX($AH$2:$AH$1001,MATCH(ROWS($AF$2:AF452),$AF$2:$AF$1001,0),0), INDEX($AM$1004:$BM$1004,1,MATCH(COLUMNS($AM$1006:AM1006),$AM$1006:$BM$1006,0)))),"Fix")))</f>
        <v xml:space="preserve"> </v>
      </c>
      <c r="C452" s="4" t="str">
        <f ca="1">IF(OR(INDEX($AG$2:$AG$1001,MATCH(ROWS($AF$2:AF452),$AF$2:$AF$1001,0),1)&gt;=100000,INDEX($AM$1005:$BM$1005,1,MATCH(COLUMNS($AM$1006:AN1006),$AM$1006:$BM$1006,0))&gt;=100000), " ",IF(INDEX($AM$2:$BM$1001,MATCH(ROWS($AF$2:AF452),$AF$2:$AF$1001,0),MATCH(COLUMNS($AM$1006:AN1006),$AM$1006:$BM$1006,0)), HYPERLINK("#",""), HYPERLINK(CONCATENATE("#metadata!", ADDRESS(INDEX($AH$2:$AH$1001,MATCH(ROWS($AF$2:AF452),$AF$2:$AF$1001,0),0), INDEX($AM$1004:$BM$1004,1,MATCH(COLUMNS($AM$1006:AN1006),$AM$1006:$BM$1006,0)))),"Fix")))</f>
        <v xml:space="preserve"> </v>
      </c>
      <c r="D452" s="4" t="str">
        <f ca="1">IF(OR(INDEX($AG$2:$AG$1001,MATCH(ROWS($AF$2:AF452),$AF$2:$AF$1001,0),1)&gt;=100000,INDEX($AM$1005:$BM$1005,1,MATCH(COLUMNS($AM$1006:AO1006),$AM$1006:$BM$1006,0))&gt;=100000), " ",IF(INDEX($AM$2:$BM$1001,MATCH(ROWS($AF$2:AF452),$AF$2:$AF$1001,0),MATCH(COLUMNS($AM$1006:AO1006),$AM$1006:$BM$1006,0)), HYPERLINK("#",""), HYPERLINK(CONCATENATE("#metadata!", ADDRESS(INDEX($AH$2:$AH$1001,MATCH(ROWS($AF$2:AF452),$AF$2:$AF$1001,0),0), INDEX($AM$1004:$BM$1004,1,MATCH(COLUMNS($AM$1006:AO1006),$AM$1006:$BM$1006,0)))),"Fix")))</f>
        <v xml:space="preserve"> </v>
      </c>
      <c r="E452" s="4" t="str">
        <f ca="1">IF(OR(INDEX($AG$2:$AG$1001,MATCH(ROWS($AF$2:AF452),$AF$2:$AF$1001,0),1)&gt;=100000,INDEX($AM$1005:$BM$1005,1,MATCH(COLUMNS($AM$1006:AP1006),$AM$1006:$BM$1006,0))&gt;=100000), " ",IF(INDEX($AM$2:$BM$1001,MATCH(ROWS($AF$2:AF452),$AF$2:$AF$1001,0),MATCH(COLUMNS($AM$1006:AP1006),$AM$1006:$BM$1006,0)), HYPERLINK("#",""), HYPERLINK(CONCATENATE("#metadata!", ADDRESS(INDEX($AH$2:$AH$1001,MATCH(ROWS($AF$2:AF452),$AF$2:$AF$1001,0),0), INDEX($AM$1004:$BM$1004,1,MATCH(COLUMNS($AM$1006:AP1006),$AM$1006:$BM$1006,0)))),"Fix")))</f>
        <v xml:space="preserve"> </v>
      </c>
      <c r="F452" s="4" t="str">
        <f ca="1">IF(OR(INDEX($AG$2:$AG$1001,MATCH(ROWS($AF$2:AF452),$AF$2:$AF$1001,0),1)&gt;=100000,INDEX($AM$1005:$BM$1005,1,MATCH(COLUMNS($AM$1006:AQ1006),$AM$1006:$BM$1006,0))&gt;=100000), " ",IF(INDEX($AM$2:$BM$1001,MATCH(ROWS($AF$2:AF452),$AF$2:$AF$1001,0),MATCH(COLUMNS($AM$1006:AQ1006),$AM$1006:$BM$1006,0)), HYPERLINK("#",""), HYPERLINK(CONCATENATE("#metadata!", ADDRESS(INDEX($AH$2:$AH$1001,MATCH(ROWS($AF$2:AF452),$AF$2:$AF$1001,0),0), INDEX($AM$1004:$BM$1004,1,MATCH(COLUMNS($AM$1006:AQ1006),$AM$1006:$BM$1006,0)))),"Fix")))</f>
        <v xml:space="preserve"> </v>
      </c>
      <c r="G452" s="4" t="str">
        <f ca="1">IF(OR(INDEX($AG$2:$AG$1001,MATCH(ROWS($AF$2:AF452),$AF$2:$AF$1001,0),1)&gt;=100000,INDEX($AM$1005:$BM$1005,1,MATCH(COLUMNS($AM$1006:AR1006),$AM$1006:$BM$1006,0))&gt;=100000), " ",IF(INDEX($AM$2:$BM$1001,MATCH(ROWS($AF$2:AF452),$AF$2:$AF$1001,0),MATCH(COLUMNS($AM$1006:AR1006),$AM$1006:$BM$1006,0)), HYPERLINK("#",""), HYPERLINK(CONCATENATE("#metadata!", ADDRESS(INDEX($AH$2:$AH$1001,MATCH(ROWS($AF$2:AF452),$AF$2:$AF$1001,0),0), INDEX($AM$1004:$BM$1004,1,MATCH(COLUMNS($AM$1006:AR1006),$AM$1006:$BM$1006,0)))),"Fix")))</f>
        <v xml:space="preserve"> </v>
      </c>
      <c r="H452" s="4" t="str">
        <f ca="1">IF(OR(INDEX($AG$2:$AG$1001,MATCH(ROWS($AF$2:AF452),$AF$2:$AF$1001,0),1)&gt;=100000,INDEX($AM$1005:$BM$1005,1,MATCH(COLUMNS($AM$1006:AS1006),$AM$1006:$BM$1006,0))&gt;=100000), " ",IF(INDEX($AM$2:$BM$1001,MATCH(ROWS($AF$2:AF452),$AF$2:$AF$1001,0),MATCH(COLUMNS($AM$1006:AS1006),$AM$1006:$BM$1006,0)), HYPERLINK("#",""), HYPERLINK(CONCATENATE("#metadata!", ADDRESS(INDEX($AH$2:$AH$1001,MATCH(ROWS($AF$2:AF452),$AF$2:$AF$1001,0),0), INDEX($AM$1004:$BM$1004,1,MATCH(COLUMNS($AM$1006:AS1006),$AM$1006:$BM$1006,0)))),"Fix")))</f>
        <v xml:space="preserve"> </v>
      </c>
      <c r="I452" s="4" t="str">
        <f ca="1">IF(OR(INDEX($AG$2:$AG$1001,MATCH(ROWS($AF$2:AF452),$AF$2:$AF$1001,0),1)&gt;=100000,INDEX($AM$1005:$BM$1005,1,MATCH(COLUMNS($AM$1006:AT1006),$AM$1006:$BM$1006,0))&gt;=100000), " ",IF(INDEX($AM$2:$BM$1001,MATCH(ROWS($AF$2:AF452),$AF$2:$AF$1001,0),MATCH(COLUMNS($AM$1006:AT1006),$AM$1006:$BM$1006,0)), HYPERLINK("#",""), HYPERLINK(CONCATENATE("#metadata!", ADDRESS(INDEX($AH$2:$AH$1001,MATCH(ROWS($AF$2:AF452),$AF$2:$AF$1001,0),0), INDEX($AM$1004:$BM$1004,1,MATCH(COLUMNS($AM$1006:AT1006),$AM$1006:$BM$1006,0)))),"Fix")))</f>
        <v xml:space="preserve"> </v>
      </c>
      <c r="J452" s="4" t="str">
        <f ca="1">IF(OR(INDEX($AG$2:$AG$1001,MATCH(ROWS($AF$2:AF452),$AF$2:$AF$1001,0),1)&gt;=100000,INDEX($AM$1005:$BM$1005,1,MATCH(COLUMNS($AM$1006:AU1006),$AM$1006:$BM$1006,0))&gt;=100000), " ",IF(INDEX($AM$2:$BM$1001,MATCH(ROWS($AF$2:AF452),$AF$2:$AF$1001,0),MATCH(COLUMNS($AM$1006:AU1006),$AM$1006:$BM$1006,0)), HYPERLINK("#",""), HYPERLINK(CONCATENATE("#metadata!", ADDRESS(INDEX($AH$2:$AH$1001,MATCH(ROWS($AF$2:AF452),$AF$2:$AF$1001,0),0), INDEX($AM$1004:$BM$1004,1,MATCH(COLUMNS($AM$1006:AU1006),$AM$1006:$BM$1006,0)))),"Fix")))</f>
        <v xml:space="preserve"> </v>
      </c>
      <c r="K452" s="4" t="str">
        <f ca="1">IF(OR(INDEX($AG$2:$AG$1001,MATCH(ROWS($AF$2:AF452),$AF$2:$AF$1001,0),1)&gt;=100000,INDEX($AM$1005:$BM$1005,1,MATCH(COLUMNS($AM$1006:AV1006),$AM$1006:$BM$1006,0))&gt;=100000), " ",IF(INDEX($AM$2:$BM$1001,MATCH(ROWS($AF$2:AF452),$AF$2:$AF$1001,0),MATCH(COLUMNS($AM$1006:AV1006),$AM$1006:$BM$1006,0)), HYPERLINK("#",""), HYPERLINK(CONCATENATE("#metadata!", ADDRESS(INDEX($AH$2:$AH$1001,MATCH(ROWS($AF$2:AF452),$AF$2:$AF$1001,0),0), INDEX($AM$1004:$BM$1004,1,MATCH(COLUMNS($AM$1006:AV1006),$AM$1006:$BM$1006,0)))),"Fix")))</f>
        <v xml:space="preserve"> </v>
      </c>
      <c r="L452" s="4" t="str">
        <f ca="1">IF(OR(INDEX($AG$2:$AG$1001,MATCH(ROWS($AF$2:AF452),$AF$2:$AF$1001,0),1)&gt;=100000,INDEX($AM$1005:$BM$1005,1,MATCH(COLUMNS($AM$1006:AW1006),$AM$1006:$BM$1006,0))&gt;=100000), " ",IF(INDEX($AM$2:$BM$1001,MATCH(ROWS($AF$2:AF452),$AF$2:$AF$1001,0),MATCH(COLUMNS($AM$1006:AW1006),$AM$1006:$BM$1006,0)), HYPERLINK("#",""), HYPERLINK(CONCATENATE("#metadata!", ADDRESS(INDEX($AH$2:$AH$1001,MATCH(ROWS($AF$2:AF452),$AF$2:$AF$1001,0),0), INDEX($AM$1004:$BM$1004,1,MATCH(COLUMNS($AM$1006:AW1006),$AM$1006:$BM$1006,0)))),"Fix")))</f>
        <v xml:space="preserve"> </v>
      </c>
      <c r="M452" s="4" t="str">
        <f ca="1">IF(OR(INDEX($AG$2:$AG$1001,MATCH(ROWS($AF$2:AF452),$AF$2:$AF$1001,0),1)&gt;=100000,INDEX($AM$1005:$BM$1005,1,MATCH(COLUMNS($AM$1006:AX1006),$AM$1006:$BM$1006,0))&gt;=100000), " ",IF(INDEX($AM$2:$BM$1001,MATCH(ROWS($AF$2:AF452),$AF$2:$AF$1001,0),MATCH(COLUMNS($AM$1006:AX1006),$AM$1006:$BM$1006,0)), HYPERLINK("#",""), HYPERLINK(CONCATENATE("#metadata!", ADDRESS(INDEX($AH$2:$AH$1001,MATCH(ROWS($AF$2:AF452),$AF$2:$AF$1001,0),0), INDEX($AM$1004:$BM$1004,1,MATCH(COLUMNS($AM$1006:AX1006),$AM$1006:$BM$1006,0)))),"Fix")))</f>
        <v xml:space="preserve"> </v>
      </c>
      <c r="N452" s="4" t="str">
        <f ca="1">IF(OR(INDEX($AG$2:$AG$1001,MATCH(ROWS($AF$2:AF452),$AF$2:$AF$1001,0),1)&gt;=100000,INDEX($AM$1005:$BM$1005,1,MATCH(COLUMNS($AM$1006:AY1006),$AM$1006:$BM$1006,0))&gt;=100000), " ",IF(INDEX($AM$2:$BM$1001,MATCH(ROWS($AF$2:AF452),$AF$2:$AF$1001,0),MATCH(COLUMNS($AM$1006:AY1006),$AM$1006:$BM$1006,0)), HYPERLINK("#",""), HYPERLINK(CONCATENATE("#metadata!", ADDRESS(INDEX($AH$2:$AH$1001,MATCH(ROWS($AF$2:AF452),$AF$2:$AF$1001,0),0), INDEX($AM$1004:$BM$1004,1,MATCH(COLUMNS($AM$1006:AY1006),$AM$1006:$BM$1006,0)))),"Fix")))</f>
        <v xml:space="preserve"> </v>
      </c>
      <c r="O452" s="4" t="str">
        <f ca="1">IF(OR(INDEX($AG$2:$AG$1001,MATCH(ROWS($AF$2:AF452),$AF$2:$AF$1001,0),1)&gt;=100000,INDEX($AM$1005:$BM$1005,1,MATCH(COLUMNS($AM$1006:AZ1006),$AM$1006:$BM$1006,0))&gt;=100000), " ",IF(INDEX($AM$2:$BM$1001,MATCH(ROWS($AF$2:AF452),$AF$2:$AF$1001,0),MATCH(COLUMNS($AM$1006:AZ1006),$AM$1006:$BM$1006,0)), HYPERLINK("#",""), HYPERLINK(CONCATENATE("#metadata!", ADDRESS(INDEX($AH$2:$AH$1001,MATCH(ROWS($AF$2:AF452),$AF$2:$AF$1001,0),0), INDEX($AM$1004:$BM$1004,1,MATCH(COLUMNS($AM$1006:AZ1006),$AM$1006:$BM$1006,0)))),"Fix")))</f>
        <v xml:space="preserve"> </v>
      </c>
      <c r="P452" s="4" t="str">
        <f ca="1">IF(OR(INDEX($AG$2:$AG$1001,MATCH(ROWS($AF$2:AF452),$AF$2:$AF$1001,0),1)&gt;=100000,INDEX($AM$1005:$BM$1005,1,MATCH(COLUMNS($AM$1006:BA1006),$AM$1006:$BM$1006,0))&gt;=100000), " ",IF(INDEX($AM$2:$BM$1001,MATCH(ROWS($AF$2:AF452),$AF$2:$AF$1001,0),MATCH(COLUMNS($AM$1006:BA1006),$AM$1006:$BM$1006,0)), HYPERLINK("#",""), HYPERLINK(CONCATENATE("#metadata!", ADDRESS(INDEX($AH$2:$AH$1001,MATCH(ROWS($AF$2:AF452),$AF$2:$AF$1001,0),0), INDEX($AM$1004:$BM$1004,1,MATCH(COLUMNS($AM$1006:BA1006),$AM$1006:$BM$1006,0)))),"Fix")))</f>
        <v xml:space="preserve"> </v>
      </c>
      <c r="Q452" s="4" t="str">
        <f ca="1">IF(OR(INDEX($AG$2:$AG$1001,MATCH(ROWS($AF$2:AF452),$AF$2:$AF$1001,0),1)&gt;=100000,INDEX($AM$1005:$BM$1005,1,MATCH(COLUMNS($AM$1006:BB1006),$AM$1006:$BM$1006,0))&gt;=100000), " ",IF(INDEX($AM$2:$BM$1001,MATCH(ROWS($AF$2:AF452),$AF$2:$AF$1001,0),MATCH(COLUMNS($AM$1006:BB1006),$AM$1006:$BM$1006,0)), HYPERLINK("#",""), HYPERLINK(CONCATENATE("#metadata!", ADDRESS(INDEX($AH$2:$AH$1001,MATCH(ROWS($AF$2:AF452),$AF$2:$AF$1001,0),0), INDEX($AM$1004:$BM$1004,1,MATCH(COLUMNS($AM$1006:BB1006),$AM$1006:$BM$1006,0)))),"Fix")))</f>
        <v xml:space="preserve"> </v>
      </c>
      <c r="R452" s="4" t="str">
        <f ca="1">IF(OR(INDEX($AG$2:$AG$1001,MATCH(ROWS($AF$2:AF452),$AF$2:$AF$1001,0),1)&gt;=100000,INDEX($AM$1005:$BM$1005,1,MATCH(COLUMNS($AM$1006:BC1006),$AM$1006:$BM$1006,0))&gt;=100000), " ",IF(INDEX($AM$2:$BM$1001,MATCH(ROWS($AF$2:AF452),$AF$2:$AF$1001,0),MATCH(COLUMNS($AM$1006:BC1006),$AM$1006:$BM$1006,0)), HYPERLINK("#",""), HYPERLINK(CONCATENATE("#metadata!", ADDRESS(INDEX($AH$2:$AH$1001,MATCH(ROWS($AF$2:AF452),$AF$2:$AF$1001,0),0), INDEX($AM$1004:$BM$1004,1,MATCH(COLUMNS($AM$1006:BC1006),$AM$1006:$BM$1006,0)))),"Fix")))</f>
        <v xml:space="preserve"> </v>
      </c>
      <c r="S452" s="4" t="str">
        <f ca="1">IF(OR(INDEX($AG$2:$AG$1001,MATCH(ROWS($AF$2:AF452),$AF$2:$AF$1001,0),1)&gt;=100000,INDEX($AM$1005:$BM$1005,1,MATCH(COLUMNS($AM$1006:BD1006),$AM$1006:$BM$1006,0))&gt;=100000), " ",IF(INDEX($AM$2:$BM$1001,MATCH(ROWS($AF$2:AF452),$AF$2:$AF$1001,0),MATCH(COLUMNS($AM$1006:BD1006),$AM$1006:$BM$1006,0)), HYPERLINK("#",""), HYPERLINK(CONCATENATE("#metadata!", ADDRESS(INDEX($AH$2:$AH$1001,MATCH(ROWS($AF$2:AF452),$AF$2:$AF$1001,0),0), INDEX($AM$1004:$BM$1004,1,MATCH(COLUMNS($AM$1006:BD1006),$AM$1006:$BM$1006,0)))),"Fix")))</f>
        <v xml:space="preserve"> </v>
      </c>
      <c r="T452" s="4" t="str">
        <f ca="1">IF(OR(INDEX($AG$2:$AG$1001,MATCH(ROWS($AF$2:AF452),$AF$2:$AF$1001,0),1)&gt;=100000,INDEX($AM$1005:$BM$1005,1,MATCH(COLUMNS($AM$1006:BE1006),$AM$1006:$BM$1006,0))&gt;=100000), " ",IF(INDEX($AM$2:$BM$1001,MATCH(ROWS($AF$2:AF452),$AF$2:$AF$1001,0),MATCH(COLUMNS($AM$1006:BE1006),$AM$1006:$BM$1006,0)), HYPERLINK("#",""), HYPERLINK(CONCATENATE("#metadata!", ADDRESS(INDEX($AH$2:$AH$1001,MATCH(ROWS($AF$2:AF452),$AF$2:$AF$1001,0),0), INDEX($AM$1004:$BM$1004,1,MATCH(COLUMNS($AM$1006:BE1006),$AM$1006:$BM$1006,0)))),"Fix")))</f>
        <v xml:space="preserve"> </v>
      </c>
      <c r="U452" s="4" t="str">
        <f ca="1">IF(OR(INDEX($AG$2:$AG$1001,MATCH(ROWS($AF$2:AF452),$AF$2:$AF$1001,0),1)&gt;=100000,INDEX($AM$1005:$BM$1005,1,MATCH(COLUMNS($AM$1006:BF1006),$AM$1006:$BM$1006,0))&gt;=100000), " ",IF(INDEX($AM$2:$BM$1001,MATCH(ROWS($AF$2:AF452),$AF$2:$AF$1001,0),MATCH(COLUMNS($AM$1006:BF1006),$AM$1006:$BM$1006,0)), HYPERLINK("#",""), HYPERLINK(CONCATENATE("#metadata!", ADDRESS(INDEX($AH$2:$AH$1001,MATCH(ROWS($AF$2:AF452),$AF$2:$AF$1001,0),0), INDEX($AM$1004:$BM$1004,1,MATCH(COLUMNS($AM$1006:BF1006),$AM$1006:$BM$1006,0)))),"Fix")))</f>
        <v xml:space="preserve"> </v>
      </c>
      <c r="V452" s="4" t="str">
        <f ca="1">IF(OR(INDEX($AG$2:$AG$1001,MATCH(ROWS($AF$2:AF452),$AF$2:$AF$1001,0),1)&gt;=100000,INDEX($AM$1005:$BM$1005,1,MATCH(COLUMNS($AM$1006:BG1006),$AM$1006:$BM$1006,0))&gt;=100000), " ",IF(INDEX($AM$2:$BM$1001,MATCH(ROWS($AF$2:AF452),$AF$2:$AF$1001,0),MATCH(COLUMNS($AM$1006:BG1006),$AM$1006:$BM$1006,0)), HYPERLINK("#",""), HYPERLINK(CONCATENATE("#metadata!", ADDRESS(INDEX($AH$2:$AH$1001,MATCH(ROWS($AF$2:AF452),$AF$2:$AF$1001,0),0), INDEX($AM$1004:$BM$1004,1,MATCH(COLUMNS($AM$1006:BG1006),$AM$1006:$BM$1006,0)))),"Fix")))</f>
        <v xml:space="preserve"> </v>
      </c>
      <c r="W452" s="4" t="str">
        <f ca="1">IF(OR(INDEX($AG$2:$AG$1001,MATCH(ROWS($AF$2:AF452),$AF$2:$AF$1001,0),1)&gt;=100000,INDEX($AM$1005:$BM$1005,1,MATCH(COLUMNS($AM$1006:BH1006),$AM$1006:$BM$1006,0))&gt;=100000), " ",IF(INDEX($AM$2:$BM$1001,MATCH(ROWS($AF$2:AF452),$AF$2:$AF$1001,0),MATCH(COLUMNS($AM$1006:BH1006),$AM$1006:$BM$1006,0)), HYPERLINK("#",""), HYPERLINK(CONCATENATE("#metadata!", ADDRESS(INDEX($AH$2:$AH$1001,MATCH(ROWS($AF$2:AF452),$AF$2:$AF$1001,0),0), INDEX($AM$1004:$BM$1004,1,MATCH(COLUMNS($AM$1006:BH1006),$AM$1006:$BM$1006,0)))),"Fix")))</f>
        <v xml:space="preserve"> </v>
      </c>
      <c r="X452" s="4" t="str">
        <f ca="1">IF(OR(INDEX($AG$2:$AG$1001,MATCH(ROWS($AF$2:AF452),$AF$2:$AF$1001,0),1)&gt;=100000,INDEX($AM$1005:$BM$1005,1,MATCH(COLUMNS($AM$1006:BI1006),$AM$1006:$BM$1006,0))&gt;=100000), " ",IF(INDEX($AM$2:$BM$1001,MATCH(ROWS($AF$2:AF452),$AF$2:$AF$1001,0),MATCH(COLUMNS($AM$1006:BI1006),$AM$1006:$BM$1006,0)), HYPERLINK("#",""), HYPERLINK(CONCATENATE("#metadata!", ADDRESS(INDEX($AH$2:$AH$1001,MATCH(ROWS($AF$2:AF452),$AF$2:$AF$1001,0),0), INDEX($AM$1004:$BM$1004,1,MATCH(COLUMNS($AM$1006:BI1006),$AM$1006:$BM$1006,0)))),"Fix")))</f>
        <v xml:space="preserve"> </v>
      </c>
      <c r="Y452" s="4" t="str">
        <f ca="1">IF(OR(INDEX($AG$2:$AG$1001,MATCH(ROWS($AF$2:AF452),$AF$2:$AF$1001,0),1)&gt;=100000,INDEX($AM$1005:$BM$1005,1,MATCH(COLUMNS($AM$1006:BJ1006),$AM$1006:$BM$1006,0))&gt;=100000), " ",IF(INDEX($AM$2:$BM$1001,MATCH(ROWS($AF$2:AF452),$AF$2:$AF$1001,0),MATCH(COLUMNS($AM$1006:BJ1006),$AM$1006:$BM$1006,0)), HYPERLINK("#",""), HYPERLINK(CONCATENATE("#metadata!", ADDRESS(INDEX($AH$2:$AH$1001,MATCH(ROWS($AF$2:AF452),$AF$2:$AF$1001,0),0), INDEX($AM$1004:$BM$1004,1,MATCH(COLUMNS($AM$1006:BJ1006),$AM$1006:$BM$1006,0)))),"Fix")))</f>
        <v xml:space="preserve"> </v>
      </c>
      <c r="Z452" s="4" t="str">
        <f ca="1">IF(OR(INDEX($AG$2:$AG$1001,MATCH(ROWS($AF$2:AF452),$AF$2:$AF$1001,0),1)&gt;=100000,INDEX($AM$1005:$BM$1005,1,MATCH(COLUMNS($AM$1006:BK1006),$AM$1006:$BM$1006,0))&gt;=100000), " ",IF(INDEX($AM$2:$BM$1001,MATCH(ROWS($AF$2:AF452),$AF$2:$AF$1001,0),MATCH(COLUMNS($AM$1006:BK1006),$AM$1006:$BM$1006,0)), HYPERLINK("#",""), HYPERLINK(CONCATENATE("#metadata!", ADDRESS(INDEX($AH$2:$AH$1001,MATCH(ROWS($AF$2:AF452),$AF$2:$AF$1001,0),0), INDEX($AM$1004:$BM$1004,1,MATCH(COLUMNS($AM$1006:BK1006),$AM$1006:$BM$1006,0)))),"Fix")))</f>
        <v xml:space="preserve"> </v>
      </c>
      <c r="AA452" s="4" t="str">
        <f ca="1">IF(OR(INDEX($AG$2:$AG$1001,MATCH(ROWS($AF$2:AF452),$AF$2:$AF$1001,0),1)&gt;=100000,INDEX($AM$1005:$BM$1005,1,MATCH(COLUMNS($AM$1006:BL1006),$AM$1006:$BM$1006,0))&gt;=100000), " ",IF(INDEX($AM$2:$BM$1001,MATCH(ROWS($AF$2:AF452),$AF$2:$AF$1001,0),MATCH(COLUMNS($AM$1006:BL1006),$AM$1006:$BM$1006,0)), HYPERLINK("#",""), HYPERLINK(CONCATENATE("#metadata!", ADDRESS(INDEX($AH$2:$AH$1001,MATCH(ROWS($AF$2:AF452),$AF$2:$AF$1001,0),0), INDEX($AM$1004:$BM$1004,1,MATCH(COLUMNS($AM$1006:BL1006),$AM$1006:$BM$1006,0)))),"Fix")))</f>
        <v xml:space="preserve"> </v>
      </c>
      <c r="AB452" s="4" t="str">
        <f ca="1">IF(OR(INDEX($AG$2:$AG$1001,MATCH(ROWS($AF$2:AF452),$AF$2:$AF$1001,0),1)&gt;=100000,INDEX($AM$1005:$BM$1005,1,MATCH(COLUMNS($AM$1006:BM1006),$AM$1006:$BM$1006,0))&gt;=100000), " ",IF(INDEX($AM$2:$BM$1001,MATCH(ROWS($AF$2:AF452),$AF$2:$AF$1001,0),MATCH(COLUMNS($AM$1006:BM1006),$AM$1006:$BM$1006,0)), HYPERLINK("#",""), HYPERLINK(CONCATENATE("#metadata!", ADDRESS(INDEX($AH$2:$AH$1001,MATCH(ROWS($AF$2:AF452),$AF$2:$AF$1001,0),0), INDEX($AM$1004:$BM$1004,1,MATCH(COLUMNS($AM$1006:BM1006),$AM$1006:$BM$1006,0)))),"Fix")))</f>
        <v xml:space="preserve"> </v>
      </c>
      <c r="AF452">
        <v>451</v>
      </c>
      <c r="AG452">
        <v>100452</v>
      </c>
      <c r="AH452">
        <v>452</v>
      </c>
      <c r="AI452" t="b">
        <f t="shared" si="7"/>
        <v>1</v>
      </c>
      <c r="AJ452" t="b">
        <f>COUNTBLANK(metadata!B452:AB452)=COLUMNS(metadata!B452:AB452)</f>
        <v>1</v>
      </c>
      <c r="AK452" t="str">
        <v/>
      </c>
      <c r="AM452" t="b">
        <f ca="1">AND(IF(metadata!B452="",FALSE,TRUE),COUNTIF(metadata!B:B, metadata!B452) = 1,NOT(ISERROR(SUMPRODUCT(SEARCH(MID(metadata!B452,ROW(INDIRECT("1:"&amp;LEN(metadata!B452))), 1),"0123456789abcdefghijklmnopqrstuvwxyzABCDEFGHIJKLMNOPQRSTUVWXYZ.")))))</f>
        <v>0</v>
      </c>
      <c r="AN452" t="b">
        <f ca="1">OR(AND(IF(metadata!C452="",FALSE,TRUE),OR(EXACT(metadata!C452,"missing: not collected"),EXACT(metadata!C452,"missing: not provided"),EXACT(metadata!C452,"missing: restricted access"))),AND(IF(metadata!C452="",FALSE,TRUE),AND(AND(IFERROR(INT(LEFT(metadata!C452,4))&gt;1900,FALSE),IFERROR(INT(LEFT(metadata!C452,4))&lt;=YEAR(NOW()),FALSE)), OR(MID(metadata!C452,5,1)="", AND(AND(MID(metadata!C452,5,1)="-",IFERROR(INT(MID(metadata!C452,6,1))&gt;=0,FALSE),IFERROR(INT(MID(metadata!C452,6,1))&lt;=1,FALSE),NOT(MID(metadata!C452,7,1)=""),IFERROR(INT(MID(metadata!C452,6,2))&gt;=1,FALSE),IFERROR(INT(MID(metadata!C452,6,2))&lt;=12,FALSE)), OR(MID(metadata!C452,8,1)="", AND(AND(MID(metadata!C452,8,1)="-",IFERROR(INT(MID(metadata!C452,9,1))&gt;=0,FALSE),IFERROR(INT(MID(metadata!C452,9,1))&lt;=3,FALSE),NOT(MID(metadata!C452,10,1)=""),IFERROR(INT(MID(metadata!C452,9,2))&gt;=1,FALSE),IFERROR(INT(MID(metadata!C452,9,2))&lt;=31,FALSE)), OR(MID(metadata!C452,11,1)="", AND(AND(MID(metadata!C452,11,1)=" ",IFERROR(INT(MID(metadata!C452,12,1))&gt;=0,FALSE),IFERROR(INT(MID(metadata!C452,12,1))&lt;=2,FALSE),NOT(MID(metadata!C452,13,1)=""),IFERROR(INT(MID(metadata!C452,12,2))&gt;=0,FALSE),IFERROR(INT(MID(metadata!C452,12,2))&lt;=23,FALSE)), OR(MID(metadata!C452,14,1)="", AND(AND(MID(metadata!C452,14,1)=":",IFERROR(INT(MID(metadata!C452,15,1))&gt;=0,FALSE),IFERROR(INT(MID(metadata!C452,15,1))&lt;=5,FALSE),NOT(MID(metadata!C452,16,1)=""),IFERROR(INT(MID(metadata!C452,15,2))&gt;=0,FALSE),IFERROR(INT(MID(metadata!C452,15,2))&lt;=59,FALSE)), OR(MID(metadata!C452,17,1)="", AND(AND(MID(metadata!C452,17,1)=":",IFERROR(INT(MID(metadata!C452,18,1))&gt;=0,FALSE),IFERROR(INT(MID(metadata!C452,18,1))&lt;=5,FALSE),NOT(MID(metadata!C452,19,1)=""),IFERROR(INT(MID(metadata!C452,18,2))&gt;=0,FALSE),IFERROR(INT(MID(metadata!C452,18,2))&lt;=59,FALSE)), LEN(metadata!C452)&lt;=19)))))))))))))</f>
        <v>0</v>
      </c>
      <c r="AO452" t="b">
        <f>AND(IF(metadata!D452="",FALSE,TRUE),EXACT(metadata!D452,"Not applicable"))</f>
        <v>0</v>
      </c>
      <c r="AP452" t="b">
        <f>IF(metadata!E452="",FALSE,TRUE)</f>
        <v>0</v>
      </c>
      <c r="AQ452" t="b">
        <f>OR(AND(IF(metadata!F452="",FALSE,TRUE),OR(EXACT(metadata!F452,"missing: not collected"),EXACT(metadata!F452,"missing: not provided"))),AND(IF(metadata!F452="",FALSE,TRUE),OR(EXACT(metadata!F452,"TRUE"),EXACT(metadata!F452,"FALSE"))))</f>
        <v>0</v>
      </c>
      <c r="AR452" t="b">
        <f>OR(AND(IF(metadata!G452="",FALSE,TRUE),OR(EXACT(metadata!G452,"missing: not collected"),EXACT(metadata!G452,"missing: not provided"),EXACT(metadata!G452,"missing: restricted access"))),AND(IF(metadata!G452="",FALSE,ISNUMBER(VALUE(metadata!G452))),metadata!G452&gt;=-413))</f>
        <v>0</v>
      </c>
      <c r="AS452" t="b">
        <f>AND(IF(metadata!H452="",FALSE,TRUE),EXACT(metadata!H452,"meters"))</f>
        <v>0</v>
      </c>
      <c r="AT452" t="b">
        <f>AND(IF(metadata!I452="",FALSE,TRUE),OR(EXACT(metadata!I452,"Host-associated"),EXACT(metadata!I452,"Free-living")))</f>
        <v>0</v>
      </c>
      <c r="AU452" t="b">
        <f>AND(IF(metadata!J452="",FALSE,TRUE),OR(EXACT(metadata!J452,"Animal"),EXACT(metadata!J452,"Fungus"),EXACT(metadata!J452,"Plant"),EXACT(metadata!J452,"Saline"),EXACT(metadata!J452,"Non-saline")))</f>
        <v>0</v>
      </c>
      <c r="AV452" t="b">
        <f>AND(IF(metadata!K452="",FALSE,TRUE),OR(EXACT(metadata!K452,"Plant secretion"),EXACT(metadata!K452,"Plant rhizosphere"),EXACT(metadata!K452,"Plant surface"),EXACT(metadata!K452,"Plant corpus"),EXACT(metadata!K452,"Fungus surface"),EXACT(metadata!K452,"Fungus corpus"),EXACT(metadata!K452,"Animal surface"),EXACT(metadata!K452,"Animal proximal gut"),EXACT(metadata!K452,"Animal corpus"),EXACT(metadata!K452,"Animal distal gut"),EXACT(metadata!K452,"Animal secretion"),EXACT(metadata!K452,"Sub-surface (non-saline)"),EXACT(metadata!K452,"Surface (non-saline)"),EXACT(metadata!K452,"Water (non-saline)"),EXACT(metadata!K452,"Soil (non-saline)"),EXACT(metadata!K452,"Aerosol (non-saline)"),EXACT(metadata!K452,"Sediment (non-saline)"),EXACT(metadata!K452,"Surface (saline)"),EXACT(metadata!K452,"Water (saline)"),EXACT(metadata!K452,"Hypersaline (saline)"),EXACT(metadata!K452,"Aerosol (saline)"),EXACT(metadata!K452,"Sediment (saline)")))</f>
        <v>0</v>
      </c>
      <c r="AW452" t="b">
        <f>IF(metadata!L452="",FALSE,TRUE)</f>
        <v>0</v>
      </c>
      <c r="AX452" t="b">
        <f>IF(metadata!M452="",FALSE,TRUE)</f>
        <v>0</v>
      </c>
      <c r="AY452" t="b">
        <f>IF(metadata!N452="",FALSE,TRUE)</f>
        <v>0</v>
      </c>
      <c r="AZ452" t="b">
        <f>OR(AND(IF(metadata!O452="",FALSE,TRUE),OR(EXACT(metadata!O452,"missing: not collected"),EXACT(metadata!O452,"missing: not provided"),EXACT(metadata!O452,"missing: restricted access"))),AND(IF(metadata!O452="",FALSE,TRUE),OR(EXACT(metadata!O452,"air"),EXACT(metadata!O452,"built environment"),EXACT(metadata!O452,"host-associated"),EXACT(metadata!O452,"human-associated"),EXACT(metadata!O452,"human-skin"),EXACT(metadata!O452,"human-oral"),EXACT(metadata!O452,"human-gut"),EXACT(metadata!O452,"human-vaginal"),EXACT(metadata!O452,"microbial mat/biofilm"),EXACT(metadata!O452,"misc environment"),EXACT(metadata!O452,"plant-associated"),EXACT(metadata!O452,"sediment"),EXACT(metadata!O452,"soil"),EXACT(metadata!O452,"wastewater/sludge"),EXACT(metadata!O452,"water"))))</f>
        <v>0</v>
      </c>
      <c r="BA452" t="b">
        <f>IF(metadata!P452="",FALSE,TRUE)</f>
        <v>0</v>
      </c>
      <c r="BB452" t="b">
        <f>IF(metadata!Q452="",FALSE,TRUE)</f>
        <v>0</v>
      </c>
      <c r="BC452" t="b">
        <f>OR(AND(IF(metadata!R452="",FALSE,TRUE),OR(EXACT(metadata!R452,"missing: not collected"),EXACT(metadata!R452,"missing: not provided"),EXACT(metadata!R452,"missing: restricted access"))),AND(IF(metadata!R452="",FALSE,ISNUMBER(VALUE(metadata!R452))),metadata!R452&gt;=-90,metadata!R452&lt;=90))</f>
        <v>0</v>
      </c>
      <c r="BD452" t="b">
        <f>AND(IF(metadata!S452="",FALSE,TRUE),EXACT(metadata!S452,"Decimal degrees"))</f>
        <v>0</v>
      </c>
      <c r="BE452" t="b">
        <f>OR(AND(IF(metadata!T452="",FALSE,TRUE),OR(EXACT(metadata!T452,"missing: not collected"),EXACT(metadata!T452,"missing: not provided"),EXACT(metadata!T452,"missing: restricted access"))),AND(IF(metadata!T452="",FALSE,ISNUMBER(VALUE(metadata!T452))),metadata!T452&gt;=-180,metadata!T452&lt;=180))</f>
        <v>0</v>
      </c>
      <c r="BF452" t="b">
        <f>AND(IF(metadata!U452="",FALSE,TRUE),EXACT(metadata!U452,"Decimal degrees"))</f>
        <v>0</v>
      </c>
      <c r="BG452" t="b">
        <f>IF(metadata!V452="",FALSE,TRUE)</f>
        <v>0</v>
      </c>
      <c r="BH452" t="b">
        <f>OR(AND(IF(metadata!W452="",FALSE,TRUE),OR(EXACT(metadata!W452,"missing: not collected"),EXACT(metadata!W452,"missing: not provided"),EXACT(metadata!W452,"missing: restricted access"))),AND(IF(metadata!W452="",FALSE,TRUE),OR(EXACT(metadata!W452,"TRUE"),EXACT(metadata!W452,"FALSE"))))</f>
        <v>0</v>
      </c>
      <c r="BI452" t="b">
        <f>AND(IF(metadata!X452="",FALSE,TRUE),EXACT(metadata!X452,"other"))</f>
        <v>0</v>
      </c>
      <c r="BJ452" t="b">
        <f>IF(metadata!Y452="",FALSE,TRUE)</f>
        <v>0</v>
      </c>
      <c r="BK452" t="b">
        <f>OR(AND(IF(metadata!Z452="",FALSE,TRUE),OR(EXACT(metadata!Z452,"missing: not collected"),EXACT(metadata!Z452,"missing: not provided"))),AND(IF(metadata!Z452="",FALSE,IF(ISERROR(INT(metadata!Z452)),FALSE,INT(metadata!Z452)=metadata!Z452)),metadata!Z452&gt;0))</f>
        <v>0</v>
      </c>
      <c r="BL452" t="b">
        <f>AND(IF(metadata!AA452="",FALSE,TRUE),EXACT(metadata!AA452,"Not applicable"))</f>
        <v>0</v>
      </c>
      <c r="BM452" t="b">
        <f>IF(metadata!AB452="",FALSE,TRUE)</f>
        <v>0</v>
      </c>
    </row>
    <row r="453" spans="1:65" x14ac:dyDescent="0.2">
      <c r="A453" s="5" t="str">
        <f ca="1">IF(B453=" "," ",HYPERLINK(CONCATENATE("#metadata!",ADDRESS(INDEX($AH$2:$AH$1001,MATCH(ROWS($AF$2:AF453),$AF$2:$AF$1001,0),0),1)),INDEX($AK$2:$AK$1001,MATCH(ROWS($AF$2:AF453),$AF$2:$AF$1001,0),0)))</f>
        <v xml:space="preserve"> </v>
      </c>
      <c r="B453" s="4" t="str">
        <f ca="1">IF(OR(INDEX($AG$2:$AG$1001,MATCH(ROWS($AF$2:AF453),$AF$2:$AF$1001,0),1)&gt;=100000,INDEX($AM$1005:$BM$1005,1,MATCH(COLUMNS($AM$1006:AM1006),$AM$1006:$BM$1006,0))&gt;=100000), " ",IF(INDEX($AM$2:$BM$1001,MATCH(ROWS($AF$2:AF453),$AF$2:$AF$1001,0),MATCH(COLUMNS($AM$1006:AM1006),$AM$1006:$BM$1006,0)), HYPERLINK("#",""), HYPERLINK(CONCATENATE("#metadata!", ADDRESS(INDEX($AH$2:$AH$1001,MATCH(ROWS($AF$2:AF453),$AF$2:$AF$1001,0),0), INDEX($AM$1004:$BM$1004,1,MATCH(COLUMNS($AM$1006:AM1006),$AM$1006:$BM$1006,0)))),"Fix")))</f>
        <v xml:space="preserve"> </v>
      </c>
      <c r="C453" s="4" t="str">
        <f ca="1">IF(OR(INDEX($AG$2:$AG$1001,MATCH(ROWS($AF$2:AF453),$AF$2:$AF$1001,0),1)&gt;=100000,INDEX($AM$1005:$BM$1005,1,MATCH(COLUMNS($AM$1006:AN1006),$AM$1006:$BM$1006,0))&gt;=100000), " ",IF(INDEX($AM$2:$BM$1001,MATCH(ROWS($AF$2:AF453),$AF$2:$AF$1001,0),MATCH(COLUMNS($AM$1006:AN1006),$AM$1006:$BM$1006,0)), HYPERLINK("#",""), HYPERLINK(CONCATENATE("#metadata!", ADDRESS(INDEX($AH$2:$AH$1001,MATCH(ROWS($AF$2:AF453),$AF$2:$AF$1001,0),0), INDEX($AM$1004:$BM$1004,1,MATCH(COLUMNS($AM$1006:AN1006),$AM$1006:$BM$1006,0)))),"Fix")))</f>
        <v xml:space="preserve"> </v>
      </c>
      <c r="D453" s="4" t="str">
        <f ca="1">IF(OR(INDEX($AG$2:$AG$1001,MATCH(ROWS($AF$2:AF453),$AF$2:$AF$1001,0),1)&gt;=100000,INDEX($AM$1005:$BM$1005,1,MATCH(COLUMNS($AM$1006:AO1006),$AM$1006:$BM$1006,0))&gt;=100000), " ",IF(INDEX($AM$2:$BM$1001,MATCH(ROWS($AF$2:AF453),$AF$2:$AF$1001,0),MATCH(COLUMNS($AM$1006:AO1006),$AM$1006:$BM$1006,0)), HYPERLINK("#",""), HYPERLINK(CONCATENATE("#metadata!", ADDRESS(INDEX($AH$2:$AH$1001,MATCH(ROWS($AF$2:AF453),$AF$2:$AF$1001,0),0), INDEX($AM$1004:$BM$1004,1,MATCH(COLUMNS($AM$1006:AO1006),$AM$1006:$BM$1006,0)))),"Fix")))</f>
        <v xml:space="preserve"> </v>
      </c>
      <c r="E453" s="4" t="str">
        <f ca="1">IF(OR(INDEX($AG$2:$AG$1001,MATCH(ROWS($AF$2:AF453),$AF$2:$AF$1001,0),1)&gt;=100000,INDEX($AM$1005:$BM$1005,1,MATCH(COLUMNS($AM$1006:AP1006),$AM$1006:$BM$1006,0))&gt;=100000), " ",IF(INDEX($AM$2:$BM$1001,MATCH(ROWS($AF$2:AF453),$AF$2:$AF$1001,0),MATCH(COLUMNS($AM$1006:AP1006),$AM$1006:$BM$1006,0)), HYPERLINK("#",""), HYPERLINK(CONCATENATE("#metadata!", ADDRESS(INDEX($AH$2:$AH$1001,MATCH(ROWS($AF$2:AF453),$AF$2:$AF$1001,0),0), INDEX($AM$1004:$BM$1004,1,MATCH(COLUMNS($AM$1006:AP1006),$AM$1006:$BM$1006,0)))),"Fix")))</f>
        <v xml:space="preserve"> </v>
      </c>
      <c r="F453" s="4" t="str">
        <f ca="1">IF(OR(INDEX($AG$2:$AG$1001,MATCH(ROWS($AF$2:AF453),$AF$2:$AF$1001,0),1)&gt;=100000,INDEX($AM$1005:$BM$1005,1,MATCH(COLUMNS($AM$1006:AQ1006),$AM$1006:$BM$1006,0))&gt;=100000), " ",IF(INDEX($AM$2:$BM$1001,MATCH(ROWS($AF$2:AF453),$AF$2:$AF$1001,0),MATCH(COLUMNS($AM$1006:AQ1006),$AM$1006:$BM$1006,0)), HYPERLINK("#",""), HYPERLINK(CONCATENATE("#metadata!", ADDRESS(INDEX($AH$2:$AH$1001,MATCH(ROWS($AF$2:AF453),$AF$2:$AF$1001,0),0), INDEX($AM$1004:$BM$1004,1,MATCH(COLUMNS($AM$1006:AQ1006),$AM$1006:$BM$1006,0)))),"Fix")))</f>
        <v xml:space="preserve"> </v>
      </c>
      <c r="G453" s="4" t="str">
        <f ca="1">IF(OR(INDEX($AG$2:$AG$1001,MATCH(ROWS($AF$2:AF453),$AF$2:$AF$1001,0),1)&gt;=100000,INDEX($AM$1005:$BM$1005,1,MATCH(COLUMNS($AM$1006:AR1006),$AM$1006:$BM$1006,0))&gt;=100000), " ",IF(INDEX($AM$2:$BM$1001,MATCH(ROWS($AF$2:AF453),$AF$2:$AF$1001,0),MATCH(COLUMNS($AM$1006:AR1006),$AM$1006:$BM$1006,0)), HYPERLINK("#",""), HYPERLINK(CONCATENATE("#metadata!", ADDRESS(INDEX($AH$2:$AH$1001,MATCH(ROWS($AF$2:AF453),$AF$2:$AF$1001,0),0), INDEX($AM$1004:$BM$1004,1,MATCH(COLUMNS($AM$1006:AR1006),$AM$1006:$BM$1006,0)))),"Fix")))</f>
        <v xml:space="preserve"> </v>
      </c>
      <c r="H453" s="4" t="str">
        <f ca="1">IF(OR(INDEX($AG$2:$AG$1001,MATCH(ROWS($AF$2:AF453),$AF$2:$AF$1001,0),1)&gt;=100000,INDEX($AM$1005:$BM$1005,1,MATCH(COLUMNS($AM$1006:AS1006),$AM$1006:$BM$1006,0))&gt;=100000), " ",IF(INDEX($AM$2:$BM$1001,MATCH(ROWS($AF$2:AF453),$AF$2:$AF$1001,0),MATCH(COLUMNS($AM$1006:AS1006),$AM$1006:$BM$1006,0)), HYPERLINK("#",""), HYPERLINK(CONCATENATE("#metadata!", ADDRESS(INDEX($AH$2:$AH$1001,MATCH(ROWS($AF$2:AF453),$AF$2:$AF$1001,0),0), INDEX($AM$1004:$BM$1004,1,MATCH(COLUMNS($AM$1006:AS1006),$AM$1006:$BM$1006,0)))),"Fix")))</f>
        <v xml:space="preserve"> </v>
      </c>
      <c r="I453" s="4" t="str">
        <f ca="1">IF(OR(INDEX($AG$2:$AG$1001,MATCH(ROWS($AF$2:AF453),$AF$2:$AF$1001,0),1)&gt;=100000,INDEX($AM$1005:$BM$1005,1,MATCH(COLUMNS($AM$1006:AT1006),$AM$1006:$BM$1006,0))&gt;=100000), " ",IF(INDEX($AM$2:$BM$1001,MATCH(ROWS($AF$2:AF453),$AF$2:$AF$1001,0),MATCH(COLUMNS($AM$1006:AT1006),$AM$1006:$BM$1006,0)), HYPERLINK("#",""), HYPERLINK(CONCATENATE("#metadata!", ADDRESS(INDEX($AH$2:$AH$1001,MATCH(ROWS($AF$2:AF453),$AF$2:$AF$1001,0),0), INDEX($AM$1004:$BM$1004,1,MATCH(COLUMNS($AM$1006:AT1006),$AM$1006:$BM$1006,0)))),"Fix")))</f>
        <v xml:space="preserve"> </v>
      </c>
      <c r="J453" s="4" t="str">
        <f ca="1">IF(OR(INDEX($AG$2:$AG$1001,MATCH(ROWS($AF$2:AF453),$AF$2:$AF$1001,0),1)&gt;=100000,INDEX($AM$1005:$BM$1005,1,MATCH(COLUMNS($AM$1006:AU1006),$AM$1006:$BM$1006,0))&gt;=100000), " ",IF(INDEX($AM$2:$BM$1001,MATCH(ROWS($AF$2:AF453),$AF$2:$AF$1001,0),MATCH(COLUMNS($AM$1006:AU1006),$AM$1006:$BM$1006,0)), HYPERLINK("#",""), HYPERLINK(CONCATENATE("#metadata!", ADDRESS(INDEX($AH$2:$AH$1001,MATCH(ROWS($AF$2:AF453),$AF$2:$AF$1001,0),0), INDEX($AM$1004:$BM$1004,1,MATCH(COLUMNS($AM$1006:AU1006),$AM$1006:$BM$1006,0)))),"Fix")))</f>
        <v xml:space="preserve"> </v>
      </c>
      <c r="K453" s="4" t="str">
        <f ca="1">IF(OR(INDEX($AG$2:$AG$1001,MATCH(ROWS($AF$2:AF453),$AF$2:$AF$1001,0),1)&gt;=100000,INDEX($AM$1005:$BM$1005,1,MATCH(COLUMNS($AM$1006:AV1006),$AM$1006:$BM$1006,0))&gt;=100000), " ",IF(INDEX($AM$2:$BM$1001,MATCH(ROWS($AF$2:AF453),$AF$2:$AF$1001,0),MATCH(COLUMNS($AM$1006:AV1006),$AM$1006:$BM$1006,0)), HYPERLINK("#",""), HYPERLINK(CONCATENATE("#metadata!", ADDRESS(INDEX($AH$2:$AH$1001,MATCH(ROWS($AF$2:AF453),$AF$2:$AF$1001,0),0), INDEX($AM$1004:$BM$1004,1,MATCH(COLUMNS($AM$1006:AV1006),$AM$1006:$BM$1006,0)))),"Fix")))</f>
        <v xml:space="preserve"> </v>
      </c>
      <c r="L453" s="4" t="str">
        <f ca="1">IF(OR(INDEX($AG$2:$AG$1001,MATCH(ROWS($AF$2:AF453),$AF$2:$AF$1001,0),1)&gt;=100000,INDEX($AM$1005:$BM$1005,1,MATCH(COLUMNS($AM$1006:AW1006),$AM$1006:$BM$1006,0))&gt;=100000), " ",IF(INDEX($AM$2:$BM$1001,MATCH(ROWS($AF$2:AF453),$AF$2:$AF$1001,0),MATCH(COLUMNS($AM$1006:AW1006),$AM$1006:$BM$1006,0)), HYPERLINK("#",""), HYPERLINK(CONCATENATE("#metadata!", ADDRESS(INDEX($AH$2:$AH$1001,MATCH(ROWS($AF$2:AF453),$AF$2:$AF$1001,0),0), INDEX($AM$1004:$BM$1004,1,MATCH(COLUMNS($AM$1006:AW1006),$AM$1006:$BM$1006,0)))),"Fix")))</f>
        <v xml:space="preserve"> </v>
      </c>
      <c r="M453" s="4" t="str">
        <f ca="1">IF(OR(INDEX($AG$2:$AG$1001,MATCH(ROWS($AF$2:AF453),$AF$2:$AF$1001,0),1)&gt;=100000,INDEX($AM$1005:$BM$1005,1,MATCH(COLUMNS($AM$1006:AX1006),$AM$1006:$BM$1006,0))&gt;=100000), " ",IF(INDEX($AM$2:$BM$1001,MATCH(ROWS($AF$2:AF453),$AF$2:$AF$1001,0),MATCH(COLUMNS($AM$1006:AX1006),$AM$1006:$BM$1006,0)), HYPERLINK("#",""), HYPERLINK(CONCATENATE("#metadata!", ADDRESS(INDEX($AH$2:$AH$1001,MATCH(ROWS($AF$2:AF453),$AF$2:$AF$1001,0),0), INDEX($AM$1004:$BM$1004,1,MATCH(COLUMNS($AM$1006:AX1006),$AM$1006:$BM$1006,0)))),"Fix")))</f>
        <v xml:space="preserve"> </v>
      </c>
      <c r="N453" s="4" t="str">
        <f ca="1">IF(OR(INDEX($AG$2:$AG$1001,MATCH(ROWS($AF$2:AF453),$AF$2:$AF$1001,0),1)&gt;=100000,INDEX($AM$1005:$BM$1005,1,MATCH(COLUMNS($AM$1006:AY1006),$AM$1006:$BM$1006,0))&gt;=100000), " ",IF(INDEX($AM$2:$BM$1001,MATCH(ROWS($AF$2:AF453),$AF$2:$AF$1001,0),MATCH(COLUMNS($AM$1006:AY1006),$AM$1006:$BM$1006,0)), HYPERLINK("#",""), HYPERLINK(CONCATENATE("#metadata!", ADDRESS(INDEX($AH$2:$AH$1001,MATCH(ROWS($AF$2:AF453),$AF$2:$AF$1001,0),0), INDEX($AM$1004:$BM$1004,1,MATCH(COLUMNS($AM$1006:AY1006),$AM$1006:$BM$1006,0)))),"Fix")))</f>
        <v xml:space="preserve"> </v>
      </c>
      <c r="O453" s="4" t="str">
        <f ca="1">IF(OR(INDEX($AG$2:$AG$1001,MATCH(ROWS($AF$2:AF453),$AF$2:$AF$1001,0),1)&gt;=100000,INDEX($AM$1005:$BM$1005,1,MATCH(COLUMNS($AM$1006:AZ1006),$AM$1006:$BM$1006,0))&gt;=100000), " ",IF(INDEX($AM$2:$BM$1001,MATCH(ROWS($AF$2:AF453),$AF$2:$AF$1001,0),MATCH(COLUMNS($AM$1006:AZ1006),$AM$1006:$BM$1006,0)), HYPERLINK("#",""), HYPERLINK(CONCATENATE("#metadata!", ADDRESS(INDEX($AH$2:$AH$1001,MATCH(ROWS($AF$2:AF453),$AF$2:$AF$1001,0),0), INDEX($AM$1004:$BM$1004,1,MATCH(COLUMNS($AM$1006:AZ1006),$AM$1006:$BM$1006,0)))),"Fix")))</f>
        <v xml:space="preserve"> </v>
      </c>
      <c r="P453" s="4" t="str">
        <f ca="1">IF(OR(INDEX($AG$2:$AG$1001,MATCH(ROWS($AF$2:AF453),$AF$2:$AF$1001,0),1)&gt;=100000,INDEX($AM$1005:$BM$1005,1,MATCH(COLUMNS($AM$1006:BA1006),$AM$1006:$BM$1006,0))&gt;=100000), " ",IF(INDEX($AM$2:$BM$1001,MATCH(ROWS($AF$2:AF453),$AF$2:$AF$1001,0),MATCH(COLUMNS($AM$1006:BA1006),$AM$1006:$BM$1006,0)), HYPERLINK("#",""), HYPERLINK(CONCATENATE("#metadata!", ADDRESS(INDEX($AH$2:$AH$1001,MATCH(ROWS($AF$2:AF453),$AF$2:$AF$1001,0),0), INDEX($AM$1004:$BM$1004,1,MATCH(COLUMNS($AM$1006:BA1006),$AM$1006:$BM$1006,0)))),"Fix")))</f>
        <v xml:space="preserve"> </v>
      </c>
      <c r="Q453" s="4" t="str">
        <f ca="1">IF(OR(INDEX($AG$2:$AG$1001,MATCH(ROWS($AF$2:AF453),$AF$2:$AF$1001,0),1)&gt;=100000,INDEX($AM$1005:$BM$1005,1,MATCH(COLUMNS($AM$1006:BB1006),$AM$1006:$BM$1006,0))&gt;=100000), " ",IF(INDEX($AM$2:$BM$1001,MATCH(ROWS($AF$2:AF453),$AF$2:$AF$1001,0),MATCH(COLUMNS($AM$1006:BB1006),$AM$1006:$BM$1006,0)), HYPERLINK("#",""), HYPERLINK(CONCATENATE("#metadata!", ADDRESS(INDEX($AH$2:$AH$1001,MATCH(ROWS($AF$2:AF453),$AF$2:$AF$1001,0),0), INDEX($AM$1004:$BM$1004,1,MATCH(COLUMNS($AM$1006:BB1006),$AM$1006:$BM$1006,0)))),"Fix")))</f>
        <v xml:space="preserve"> </v>
      </c>
      <c r="R453" s="4" t="str">
        <f ca="1">IF(OR(INDEX($AG$2:$AG$1001,MATCH(ROWS($AF$2:AF453),$AF$2:$AF$1001,0),1)&gt;=100000,INDEX($AM$1005:$BM$1005,1,MATCH(COLUMNS($AM$1006:BC1006),$AM$1006:$BM$1006,0))&gt;=100000), " ",IF(INDEX($AM$2:$BM$1001,MATCH(ROWS($AF$2:AF453),$AF$2:$AF$1001,0),MATCH(COLUMNS($AM$1006:BC1006),$AM$1006:$BM$1006,0)), HYPERLINK("#",""), HYPERLINK(CONCATENATE("#metadata!", ADDRESS(INDEX($AH$2:$AH$1001,MATCH(ROWS($AF$2:AF453),$AF$2:$AF$1001,0),0), INDEX($AM$1004:$BM$1004,1,MATCH(COLUMNS($AM$1006:BC1006),$AM$1006:$BM$1006,0)))),"Fix")))</f>
        <v xml:space="preserve"> </v>
      </c>
      <c r="S453" s="4" t="str">
        <f ca="1">IF(OR(INDEX($AG$2:$AG$1001,MATCH(ROWS($AF$2:AF453),$AF$2:$AF$1001,0),1)&gt;=100000,INDEX($AM$1005:$BM$1005,1,MATCH(COLUMNS($AM$1006:BD1006),$AM$1006:$BM$1006,0))&gt;=100000), " ",IF(INDEX($AM$2:$BM$1001,MATCH(ROWS($AF$2:AF453),$AF$2:$AF$1001,0),MATCH(COLUMNS($AM$1006:BD1006),$AM$1006:$BM$1006,0)), HYPERLINK("#",""), HYPERLINK(CONCATENATE("#metadata!", ADDRESS(INDEX($AH$2:$AH$1001,MATCH(ROWS($AF$2:AF453),$AF$2:$AF$1001,0),0), INDEX($AM$1004:$BM$1004,1,MATCH(COLUMNS($AM$1006:BD1006),$AM$1006:$BM$1006,0)))),"Fix")))</f>
        <v xml:space="preserve"> </v>
      </c>
      <c r="T453" s="4" t="str">
        <f ca="1">IF(OR(INDEX($AG$2:$AG$1001,MATCH(ROWS($AF$2:AF453),$AF$2:$AF$1001,0),1)&gt;=100000,INDEX($AM$1005:$BM$1005,1,MATCH(COLUMNS($AM$1006:BE1006),$AM$1006:$BM$1006,0))&gt;=100000), " ",IF(INDEX($AM$2:$BM$1001,MATCH(ROWS($AF$2:AF453),$AF$2:$AF$1001,0),MATCH(COLUMNS($AM$1006:BE1006),$AM$1006:$BM$1006,0)), HYPERLINK("#",""), HYPERLINK(CONCATENATE("#metadata!", ADDRESS(INDEX($AH$2:$AH$1001,MATCH(ROWS($AF$2:AF453),$AF$2:$AF$1001,0),0), INDEX($AM$1004:$BM$1004,1,MATCH(COLUMNS($AM$1006:BE1006),$AM$1006:$BM$1006,0)))),"Fix")))</f>
        <v xml:space="preserve"> </v>
      </c>
      <c r="U453" s="4" t="str">
        <f ca="1">IF(OR(INDEX($AG$2:$AG$1001,MATCH(ROWS($AF$2:AF453),$AF$2:$AF$1001,0),1)&gt;=100000,INDEX($AM$1005:$BM$1005,1,MATCH(COLUMNS($AM$1006:BF1006),$AM$1006:$BM$1006,0))&gt;=100000), " ",IF(INDEX($AM$2:$BM$1001,MATCH(ROWS($AF$2:AF453),$AF$2:$AF$1001,0),MATCH(COLUMNS($AM$1006:BF1006),$AM$1006:$BM$1006,0)), HYPERLINK("#",""), HYPERLINK(CONCATENATE("#metadata!", ADDRESS(INDEX($AH$2:$AH$1001,MATCH(ROWS($AF$2:AF453),$AF$2:$AF$1001,0),0), INDEX($AM$1004:$BM$1004,1,MATCH(COLUMNS($AM$1006:BF1006),$AM$1006:$BM$1006,0)))),"Fix")))</f>
        <v xml:space="preserve"> </v>
      </c>
      <c r="V453" s="4" t="str">
        <f ca="1">IF(OR(INDEX($AG$2:$AG$1001,MATCH(ROWS($AF$2:AF453),$AF$2:$AF$1001,0),1)&gt;=100000,INDEX($AM$1005:$BM$1005,1,MATCH(COLUMNS($AM$1006:BG1006),$AM$1006:$BM$1006,0))&gt;=100000), " ",IF(INDEX($AM$2:$BM$1001,MATCH(ROWS($AF$2:AF453),$AF$2:$AF$1001,0),MATCH(COLUMNS($AM$1006:BG1006),$AM$1006:$BM$1006,0)), HYPERLINK("#",""), HYPERLINK(CONCATENATE("#metadata!", ADDRESS(INDEX($AH$2:$AH$1001,MATCH(ROWS($AF$2:AF453),$AF$2:$AF$1001,0),0), INDEX($AM$1004:$BM$1004,1,MATCH(COLUMNS($AM$1006:BG1006),$AM$1006:$BM$1006,0)))),"Fix")))</f>
        <v xml:space="preserve"> </v>
      </c>
      <c r="W453" s="4" t="str">
        <f ca="1">IF(OR(INDEX($AG$2:$AG$1001,MATCH(ROWS($AF$2:AF453),$AF$2:$AF$1001,0),1)&gt;=100000,INDEX($AM$1005:$BM$1005,1,MATCH(COLUMNS($AM$1006:BH1006),$AM$1006:$BM$1006,0))&gt;=100000), " ",IF(INDEX($AM$2:$BM$1001,MATCH(ROWS($AF$2:AF453),$AF$2:$AF$1001,0),MATCH(COLUMNS($AM$1006:BH1006),$AM$1006:$BM$1006,0)), HYPERLINK("#",""), HYPERLINK(CONCATENATE("#metadata!", ADDRESS(INDEX($AH$2:$AH$1001,MATCH(ROWS($AF$2:AF453),$AF$2:$AF$1001,0),0), INDEX($AM$1004:$BM$1004,1,MATCH(COLUMNS($AM$1006:BH1006),$AM$1006:$BM$1006,0)))),"Fix")))</f>
        <v xml:space="preserve"> </v>
      </c>
      <c r="X453" s="4" t="str">
        <f ca="1">IF(OR(INDEX($AG$2:$AG$1001,MATCH(ROWS($AF$2:AF453),$AF$2:$AF$1001,0),1)&gt;=100000,INDEX($AM$1005:$BM$1005,1,MATCH(COLUMNS($AM$1006:BI1006),$AM$1006:$BM$1006,0))&gt;=100000), " ",IF(INDEX($AM$2:$BM$1001,MATCH(ROWS($AF$2:AF453),$AF$2:$AF$1001,0),MATCH(COLUMNS($AM$1006:BI1006),$AM$1006:$BM$1006,0)), HYPERLINK("#",""), HYPERLINK(CONCATENATE("#metadata!", ADDRESS(INDEX($AH$2:$AH$1001,MATCH(ROWS($AF$2:AF453),$AF$2:$AF$1001,0),0), INDEX($AM$1004:$BM$1004,1,MATCH(COLUMNS($AM$1006:BI1006),$AM$1006:$BM$1006,0)))),"Fix")))</f>
        <v xml:space="preserve"> </v>
      </c>
      <c r="Y453" s="4" t="str">
        <f ca="1">IF(OR(INDEX($AG$2:$AG$1001,MATCH(ROWS($AF$2:AF453),$AF$2:$AF$1001,0),1)&gt;=100000,INDEX($AM$1005:$BM$1005,1,MATCH(COLUMNS($AM$1006:BJ1006),$AM$1006:$BM$1006,0))&gt;=100000), " ",IF(INDEX($AM$2:$BM$1001,MATCH(ROWS($AF$2:AF453),$AF$2:$AF$1001,0),MATCH(COLUMNS($AM$1006:BJ1006),$AM$1006:$BM$1006,0)), HYPERLINK("#",""), HYPERLINK(CONCATENATE("#metadata!", ADDRESS(INDEX($AH$2:$AH$1001,MATCH(ROWS($AF$2:AF453),$AF$2:$AF$1001,0),0), INDEX($AM$1004:$BM$1004,1,MATCH(COLUMNS($AM$1006:BJ1006),$AM$1006:$BM$1006,0)))),"Fix")))</f>
        <v xml:space="preserve"> </v>
      </c>
      <c r="Z453" s="4" t="str">
        <f ca="1">IF(OR(INDEX($AG$2:$AG$1001,MATCH(ROWS($AF$2:AF453),$AF$2:$AF$1001,0),1)&gt;=100000,INDEX($AM$1005:$BM$1005,1,MATCH(COLUMNS($AM$1006:BK1006),$AM$1006:$BM$1006,0))&gt;=100000), " ",IF(INDEX($AM$2:$BM$1001,MATCH(ROWS($AF$2:AF453),$AF$2:$AF$1001,0),MATCH(COLUMNS($AM$1006:BK1006),$AM$1006:$BM$1006,0)), HYPERLINK("#",""), HYPERLINK(CONCATENATE("#metadata!", ADDRESS(INDEX($AH$2:$AH$1001,MATCH(ROWS($AF$2:AF453),$AF$2:$AF$1001,0),0), INDEX($AM$1004:$BM$1004,1,MATCH(COLUMNS($AM$1006:BK1006),$AM$1006:$BM$1006,0)))),"Fix")))</f>
        <v xml:space="preserve"> </v>
      </c>
      <c r="AA453" s="4" t="str">
        <f ca="1">IF(OR(INDEX($AG$2:$AG$1001,MATCH(ROWS($AF$2:AF453),$AF$2:$AF$1001,0),1)&gt;=100000,INDEX($AM$1005:$BM$1005,1,MATCH(COLUMNS($AM$1006:BL1006),$AM$1006:$BM$1006,0))&gt;=100000), " ",IF(INDEX($AM$2:$BM$1001,MATCH(ROWS($AF$2:AF453),$AF$2:$AF$1001,0),MATCH(COLUMNS($AM$1006:BL1006),$AM$1006:$BM$1006,0)), HYPERLINK("#",""), HYPERLINK(CONCATENATE("#metadata!", ADDRESS(INDEX($AH$2:$AH$1001,MATCH(ROWS($AF$2:AF453),$AF$2:$AF$1001,0),0), INDEX($AM$1004:$BM$1004,1,MATCH(COLUMNS($AM$1006:BL1006),$AM$1006:$BM$1006,0)))),"Fix")))</f>
        <v xml:space="preserve"> </v>
      </c>
      <c r="AB453" s="4" t="str">
        <f ca="1">IF(OR(INDEX($AG$2:$AG$1001,MATCH(ROWS($AF$2:AF453),$AF$2:$AF$1001,0),1)&gt;=100000,INDEX($AM$1005:$BM$1005,1,MATCH(COLUMNS($AM$1006:BM1006),$AM$1006:$BM$1006,0))&gt;=100000), " ",IF(INDEX($AM$2:$BM$1001,MATCH(ROWS($AF$2:AF453),$AF$2:$AF$1001,0),MATCH(COLUMNS($AM$1006:BM1006),$AM$1006:$BM$1006,0)), HYPERLINK("#",""), HYPERLINK(CONCATENATE("#metadata!", ADDRESS(INDEX($AH$2:$AH$1001,MATCH(ROWS($AF$2:AF453),$AF$2:$AF$1001,0),0), INDEX($AM$1004:$BM$1004,1,MATCH(COLUMNS($AM$1006:BM1006),$AM$1006:$BM$1006,0)))),"Fix")))</f>
        <v xml:space="preserve"> </v>
      </c>
      <c r="AF453">
        <v>452</v>
      </c>
      <c r="AG453">
        <v>100453</v>
      </c>
      <c r="AH453">
        <v>453</v>
      </c>
      <c r="AI453" t="b">
        <f t="shared" si="7"/>
        <v>1</v>
      </c>
      <c r="AJ453" t="b">
        <f>COUNTBLANK(metadata!B453:AB453)=COLUMNS(metadata!B453:AB453)</f>
        <v>1</v>
      </c>
      <c r="AK453" t="str">
        <v/>
      </c>
      <c r="AM453" t="b">
        <f ca="1">AND(IF(metadata!B453="",FALSE,TRUE),COUNTIF(metadata!B:B, metadata!B453) = 1,NOT(ISERROR(SUMPRODUCT(SEARCH(MID(metadata!B453,ROW(INDIRECT("1:"&amp;LEN(metadata!B453))), 1),"0123456789abcdefghijklmnopqrstuvwxyzABCDEFGHIJKLMNOPQRSTUVWXYZ.")))))</f>
        <v>0</v>
      </c>
      <c r="AN453" t="b">
        <f ca="1">OR(AND(IF(metadata!C453="",FALSE,TRUE),OR(EXACT(metadata!C453,"missing: not collected"),EXACT(metadata!C453,"missing: not provided"),EXACT(metadata!C453,"missing: restricted access"))),AND(IF(metadata!C453="",FALSE,TRUE),AND(AND(IFERROR(INT(LEFT(metadata!C453,4))&gt;1900,FALSE),IFERROR(INT(LEFT(metadata!C453,4))&lt;=YEAR(NOW()),FALSE)), OR(MID(metadata!C453,5,1)="", AND(AND(MID(metadata!C453,5,1)="-",IFERROR(INT(MID(metadata!C453,6,1))&gt;=0,FALSE),IFERROR(INT(MID(metadata!C453,6,1))&lt;=1,FALSE),NOT(MID(metadata!C453,7,1)=""),IFERROR(INT(MID(metadata!C453,6,2))&gt;=1,FALSE),IFERROR(INT(MID(metadata!C453,6,2))&lt;=12,FALSE)), OR(MID(metadata!C453,8,1)="", AND(AND(MID(metadata!C453,8,1)="-",IFERROR(INT(MID(metadata!C453,9,1))&gt;=0,FALSE),IFERROR(INT(MID(metadata!C453,9,1))&lt;=3,FALSE),NOT(MID(metadata!C453,10,1)=""),IFERROR(INT(MID(metadata!C453,9,2))&gt;=1,FALSE),IFERROR(INT(MID(metadata!C453,9,2))&lt;=31,FALSE)), OR(MID(metadata!C453,11,1)="", AND(AND(MID(metadata!C453,11,1)=" ",IFERROR(INT(MID(metadata!C453,12,1))&gt;=0,FALSE),IFERROR(INT(MID(metadata!C453,12,1))&lt;=2,FALSE),NOT(MID(metadata!C453,13,1)=""),IFERROR(INT(MID(metadata!C453,12,2))&gt;=0,FALSE),IFERROR(INT(MID(metadata!C453,12,2))&lt;=23,FALSE)), OR(MID(metadata!C453,14,1)="", AND(AND(MID(metadata!C453,14,1)=":",IFERROR(INT(MID(metadata!C453,15,1))&gt;=0,FALSE),IFERROR(INT(MID(metadata!C453,15,1))&lt;=5,FALSE),NOT(MID(metadata!C453,16,1)=""),IFERROR(INT(MID(metadata!C453,15,2))&gt;=0,FALSE),IFERROR(INT(MID(metadata!C453,15,2))&lt;=59,FALSE)), OR(MID(metadata!C453,17,1)="", AND(AND(MID(metadata!C453,17,1)=":",IFERROR(INT(MID(metadata!C453,18,1))&gt;=0,FALSE),IFERROR(INT(MID(metadata!C453,18,1))&lt;=5,FALSE),NOT(MID(metadata!C453,19,1)=""),IFERROR(INT(MID(metadata!C453,18,2))&gt;=0,FALSE),IFERROR(INT(MID(metadata!C453,18,2))&lt;=59,FALSE)), LEN(metadata!C453)&lt;=19)))))))))))))</f>
        <v>0</v>
      </c>
      <c r="AO453" t="b">
        <f>AND(IF(metadata!D453="",FALSE,TRUE),EXACT(metadata!D453,"Not applicable"))</f>
        <v>0</v>
      </c>
      <c r="AP453" t="b">
        <f>IF(metadata!E453="",FALSE,TRUE)</f>
        <v>0</v>
      </c>
      <c r="AQ453" t="b">
        <f>OR(AND(IF(metadata!F453="",FALSE,TRUE),OR(EXACT(metadata!F453,"missing: not collected"),EXACT(metadata!F453,"missing: not provided"))),AND(IF(metadata!F453="",FALSE,TRUE),OR(EXACT(metadata!F453,"TRUE"),EXACT(metadata!F453,"FALSE"))))</f>
        <v>0</v>
      </c>
      <c r="AR453" t="b">
        <f>OR(AND(IF(metadata!G453="",FALSE,TRUE),OR(EXACT(metadata!G453,"missing: not collected"),EXACT(metadata!G453,"missing: not provided"),EXACT(metadata!G453,"missing: restricted access"))),AND(IF(metadata!G453="",FALSE,ISNUMBER(VALUE(metadata!G453))),metadata!G453&gt;=-413))</f>
        <v>0</v>
      </c>
      <c r="AS453" t="b">
        <f>AND(IF(metadata!H453="",FALSE,TRUE),EXACT(metadata!H453,"meters"))</f>
        <v>0</v>
      </c>
      <c r="AT453" t="b">
        <f>AND(IF(metadata!I453="",FALSE,TRUE),OR(EXACT(metadata!I453,"Host-associated"),EXACT(metadata!I453,"Free-living")))</f>
        <v>0</v>
      </c>
      <c r="AU453" t="b">
        <f>AND(IF(metadata!J453="",FALSE,TRUE),OR(EXACT(metadata!J453,"Animal"),EXACT(metadata!J453,"Fungus"),EXACT(metadata!J453,"Plant"),EXACT(metadata!J453,"Saline"),EXACT(metadata!J453,"Non-saline")))</f>
        <v>0</v>
      </c>
      <c r="AV453" t="b">
        <f>AND(IF(metadata!K453="",FALSE,TRUE),OR(EXACT(metadata!K453,"Plant secretion"),EXACT(metadata!K453,"Plant rhizosphere"),EXACT(metadata!K453,"Plant surface"),EXACT(metadata!K453,"Plant corpus"),EXACT(metadata!K453,"Fungus surface"),EXACT(metadata!K453,"Fungus corpus"),EXACT(metadata!K453,"Animal surface"),EXACT(metadata!K453,"Animal proximal gut"),EXACT(metadata!K453,"Animal corpus"),EXACT(metadata!K453,"Animal distal gut"),EXACT(metadata!K453,"Animal secretion"),EXACT(metadata!K453,"Sub-surface (non-saline)"),EXACT(metadata!K453,"Surface (non-saline)"),EXACT(metadata!K453,"Water (non-saline)"),EXACT(metadata!K453,"Soil (non-saline)"),EXACT(metadata!K453,"Aerosol (non-saline)"),EXACT(metadata!K453,"Sediment (non-saline)"),EXACT(metadata!K453,"Surface (saline)"),EXACT(metadata!K453,"Water (saline)"),EXACT(metadata!K453,"Hypersaline (saline)"),EXACT(metadata!K453,"Aerosol (saline)"),EXACT(metadata!K453,"Sediment (saline)")))</f>
        <v>0</v>
      </c>
      <c r="AW453" t="b">
        <f>IF(metadata!L453="",FALSE,TRUE)</f>
        <v>0</v>
      </c>
      <c r="AX453" t="b">
        <f>IF(metadata!M453="",FALSE,TRUE)</f>
        <v>0</v>
      </c>
      <c r="AY453" t="b">
        <f>IF(metadata!N453="",FALSE,TRUE)</f>
        <v>0</v>
      </c>
      <c r="AZ453" t="b">
        <f>OR(AND(IF(metadata!O453="",FALSE,TRUE),OR(EXACT(metadata!O453,"missing: not collected"),EXACT(metadata!O453,"missing: not provided"),EXACT(metadata!O453,"missing: restricted access"))),AND(IF(metadata!O453="",FALSE,TRUE),OR(EXACT(metadata!O453,"air"),EXACT(metadata!O453,"built environment"),EXACT(metadata!O453,"host-associated"),EXACT(metadata!O453,"human-associated"),EXACT(metadata!O453,"human-skin"),EXACT(metadata!O453,"human-oral"),EXACT(metadata!O453,"human-gut"),EXACT(metadata!O453,"human-vaginal"),EXACT(metadata!O453,"microbial mat/biofilm"),EXACT(metadata!O453,"misc environment"),EXACT(metadata!O453,"plant-associated"),EXACT(metadata!O453,"sediment"),EXACT(metadata!O453,"soil"),EXACT(metadata!O453,"wastewater/sludge"),EXACT(metadata!O453,"water"))))</f>
        <v>0</v>
      </c>
      <c r="BA453" t="b">
        <f>IF(metadata!P453="",FALSE,TRUE)</f>
        <v>0</v>
      </c>
      <c r="BB453" t="b">
        <f>IF(metadata!Q453="",FALSE,TRUE)</f>
        <v>0</v>
      </c>
      <c r="BC453" t="b">
        <f>OR(AND(IF(metadata!R453="",FALSE,TRUE),OR(EXACT(metadata!R453,"missing: not collected"),EXACT(metadata!R453,"missing: not provided"),EXACT(metadata!R453,"missing: restricted access"))),AND(IF(metadata!R453="",FALSE,ISNUMBER(VALUE(metadata!R453))),metadata!R453&gt;=-90,metadata!R453&lt;=90))</f>
        <v>0</v>
      </c>
      <c r="BD453" t="b">
        <f>AND(IF(metadata!S453="",FALSE,TRUE),EXACT(metadata!S453,"Decimal degrees"))</f>
        <v>0</v>
      </c>
      <c r="BE453" t="b">
        <f>OR(AND(IF(metadata!T453="",FALSE,TRUE),OR(EXACT(metadata!T453,"missing: not collected"),EXACT(metadata!T453,"missing: not provided"),EXACT(metadata!T453,"missing: restricted access"))),AND(IF(metadata!T453="",FALSE,ISNUMBER(VALUE(metadata!T453))),metadata!T453&gt;=-180,metadata!T453&lt;=180))</f>
        <v>0</v>
      </c>
      <c r="BF453" t="b">
        <f>AND(IF(metadata!U453="",FALSE,TRUE),EXACT(metadata!U453,"Decimal degrees"))</f>
        <v>0</v>
      </c>
      <c r="BG453" t="b">
        <f>IF(metadata!V453="",FALSE,TRUE)</f>
        <v>0</v>
      </c>
      <c r="BH453" t="b">
        <f>OR(AND(IF(metadata!W453="",FALSE,TRUE),OR(EXACT(metadata!W453,"missing: not collected"),EXACT(metadata!W453,"missing: not provided"),EXACT(metadata!W453,"missing: restricted access"))),AND(IF(metadata!W453="",FALSE,TRUE),OR(EXACT(metadata!W453,"TRUE"),EXACT(metadata!W453,"FALSE"))))</f>
        <v>0</v>
      </c>
      <c r="BI453" t="b">
        <f>AND(IF(metadata!X453="",FALSE,TRUE),EXACT(metadata!X453,"other"))</f>
        <v>0</v>
      </c>
      <c r="BJ453" t="b">
        <f>IF(metadata!Y453="",FALSE,TRUE)</f>
        <v>0</v>
      </c>
      <c r="BK453" t="b">
        <f>OR(AND(IF(metadata!Z453="",FALSE,TRUE),OR(EXACT(metadata!Z453,"missing: not collected"),EXACT(metadata!Z453,"missing: not provided"))),AND(IF(metadata!Z453="",FALSE,IF(ISERROR(INT(metadata!Z453)),FALSE,INT(metadata!Z453)=metadata!Z453)),metadata!Z453&gt;0))</f>
        <v>0</v>
      </c>
      <c r="BL453" t="b">
        <f>AND(IF(metadata!AA453="",FALSE,TRUE),EXACT(metadata!AA453,"Not applicable"))</f>
        <v>0</v>
      </c>
      <c r="BM453" t="b">
        <f>IF(metadata!AB453="",FALSE,TRUE)</f>
        <v>0</v>
      </c>
    </row>
    <row r="454" spans="1:65" x14ac:dyDescent="0.2">
      <c r="A454" s="5" t="str">
        <f ca="1">IF(B454=" "," ",HYPERLINK(CONCATENATE("#metadata!",ADDRESS(INDEX($AH$2:$AH$1001,MATCH(ROWS($AF$2:AF454),$AF$2:$AF$1001,0),0),1)),INDEX($AK$2:$AK$1001,MATCH(ROWS($AF$2:AF454),$AF$2:$AF$1001,0),0)))</f>
        <v xml:space="preserve"> </v>
      </c>
      <c r="B454" s="4" t="str">
        <f ca="1">IF(OR(INDEX($AG$2:$AG$1001,MATCH(ROWS($AF$2:AF454),$AF$2:$AF$1001,0),1)&gt;=100000,INDEX($AM$1005:$BM$1005,1,MATCH(COLUMNS($AM$1006:AM1006),$AM$1006:$BM$1006,0))&gt;=100000), " ",IF(INDEX($AM$2:$BM$1001,MATCH(ROWS($AF$2:AF454),$AF$2:$AF$1001,0),MATCH(COLUMNS($AM$1006:AM1006),$AM$1006:$BM$1006,0)), HYPERLINK("#",""), HYPERLINK(CONCATENATE("#metadata!", ADDRESS(INDEX($AH$2:$AH$1001,MATCH(ROWS($AF$2:AF454),$AF$2:$AF$1001,0),0), INDEX($AM$1004:$BM$1004,1,MATCH(COLUMNS($AM$1006:AM1006),$AM$1006:$BM$1006,0)))),"Fix")))</f>
        <v xml:space="preserve"> </v>
      </c>
      <c r="C454" s="4" t="str">
        <f ca="1">IF(OR(INDEX($AG$2:$AG$1001,MATCH(ROWS($AF$2:AF454),$AF$2:$AF$1001,0),1)&gt;=100000,INDEX($AM$1005:$BM$1005,1,MATCH(COLUMNS($AM$1006:AN1006),$AM$1006:$BM$1006,0))&gt;=100000), " ",IF(INDEX($AM$2:$BM$1001,MATCH(ROWS($AF$2:AF454),$AF$2:$AF$1001,0),MATCH(COLUMNS($AM$1006:AN1006),$AM$1006:$BM$1006,0)), HYPERLINK("#",""), HYPERLINK(CONCATENATE("#metadata!", ADDRESS(INDEX($AH$2:$AH$1001,MATCH(ROWS($AF$2:AF454),$AF$2:$AF$1001,0),0), INDEX($AM$1004:$BM$1004,1,MATCH(COLUMNS($AM$1006:AN1006),$AM$1006:$BM$1006,0)))),"Fix")))</f>
        <v xml:space="preserve"> </v>
      </c>
      <c r="D454" s="4" t="str">
        <f ca="1">IF(OR(INDEX($AG$2:$AG$1001,MATCH(ROWS($AF$2:AF454),$AF$2:$AF$1001,0),1)&gt;=100000,INDEX($AM$1005:$BM$1005,1,MATCH(COLUMNS($AM$1006:AO1006),$AM$1006:$BM$1006,0))&gt;=100000), " ",IF(INDEX($AM$2:$BM$1001,MATCH(ROWS($AF$2:AF454),$AF$2:$AF$1001,0),MATCH(COLUMNS($AM$1006:AO1006),$AM$1006:$BM$1006,0)), HYPERLINK("#",""), HYPERLINK(CONCATENATE("#metadata!", ADDRESS(INDEX($AH$2:$AH$1001,MATCH(ROWS($AF$2:AF454),$AF$2:$AF$1001,0),0), INDEX($AM$1004:$BM$1004,1,MATCH(COLUMNS($AM$1006:AO1006),$AM$1006:$BM$1006,0)))),"Fix")))</f>
        <v xml:space="preserve"> </v>
      </c>
      <c r="E454" s="4" t="str">
        <f ca="1">IF(OR(INDEX($AG$2:$AG$1001,MATCH(ROWS($AF$2:AF454),$AF$2:$AF$1001,0),1)&gt;=100000,INDEX($AM$1005:$BM$1005,1,MATCH(COLUMNS($AM$1006:AP1006),$AM$1006:$BM$1006,0))&gt;=100000), " ",IF(INDEX($AM$2:$BM$1001,MATCH(ROWS($AF$2:AF454),$AF$2:$AF$1001,0),MATCH(COLUMNS($AM$1006:AP1006),$AM$1006:$BM$1006,0)), HYPERLINK("#",""), HYPERLINK(CONCATENATE("#metadata!", ADDRESS(INDEX($AH$2:$AH$1001,MATCH(ROWS($AF$2:AF454),$AF$2:$AF$1001,0),0), INDEX($AM$1004:$BM$1004,1,MATCH(COLUMNS($AM$1006:AP1006),$AM$1006:$BM$1006,0)))),"Fix")))</f>
        <v xml:space="preserve"> </v>
      </c>
      <c r="F454" s="4" t="str">
        <f ca="1">IF(OR(INDEX($AG$2:$AG$1001,MATCH(ROWS($AF$2:AF454),$AF$2:$AF$1001,0),1)&gt;=100000,INDEX($AM$1005:$BM$1005,1,MATCH(COLUMNS($AM$1006:AQ1006),$AM$1006:$BM$1006,0))&gt;=100000), " ",IF(INDEX($AM$2:$BM$1001,MATCH(ROWS($AF$2:AF454),$AF$2:$AF$1001,0),MATCH(COLUMNS($AM$1006:AQ1006),$AM$1006:$BM$1006,0)), HYPERLINK("#",""), HYPERLINK(CONCATENATE("#metadata!", ADDRESS(INDEX($AH$2:$AH$1001,MATCH(ROWS($AF$2:AF454),$AF$2:$AF$1001,0),0), INDEX($AM$1004:$BM$1004,1,MATCH(COLUMNS($AM$1006:AQ1006),$AM$1006:$BM$1006,0)))),"Fix")))</f>
        <v xml:space="preserve"> </v>
      </c>
      <c r="G454" s="4" t="str">
        <f ca="1">IF(OR(INDEX($AG$2:$AG$1001,MATCH(ROWS($AF$2:AF454),$AF$2:$AF$1001,0),1)&gt;=100000,INDEX($AM$1005:$BM$1005,1,MATCH(COLUMNS($AM$1006:AR1006),$AM$1006:$BM$1006,0))&gt;=100000), " ",IF(INDEX($AM$2:$BM$1001,MATCH(ROWS($AF$2:AF454),$AF$2:$AF$1001,0),MATCH(COLUMNS($AM$1006:AR1006),$AM$1006:$BM$1006,0)), HYPERLINK("#",""), HYPERLINK(CONCATENATE("#metadata!", ADDRESS(INDEX($AH$2:$AH$1001,MATCH(ROWS($AF$2:AF454),$AF$2:$AF$1001,0),0), INDEX($AM$1004:$BM$1004,1,MATCH(COLUMNS($AM$1006:AR1006),$AM$1006:$BM$1006,0)))),"Fix")))</f>
        <v xml:space="preserve"> </v>
      </c>
      <c r="H454" s="4" t="str">
        <f ca="1">IF(OR(INDEX($AG$2:$AG$1001,MATCH(ROWS($AF$2:AF454),$AF$2:$AF$1001,0),1)&gt;=100000,INDEX($AM$1005:$BM$1005,1,MATCH(COLUMNS($AM$1006:AS1006),$AM$1006:$BM$1006,0))&gt;=100000), " ",IF(INDEX($AM$2:$BM$1001,MATCH(ROWS($AF$2:AF454),$AF$2:$AF$1001,0),MATCH(COLUMNS($AM$1006:AS1006),$AM$1006:$BM$1006,0)), HYPERLINK("#",""), HYPERLINK(CONCATENATE("#metadata!", ADDRESS(INDEX($AH$2:$AH$1001,MATCH(ROWS($AF$2:AF454),$AF$2:$AF$1001,0),0), INDEX($AM$1004:$BM$1004,1,MATCH(COLUMNS($AM$1006:AS1006),$AM$1006:$BM$1006,0)))),"Fix")))</f>
        <v xml:space="preserve"> </v>
      </c>
      <c r="I454" s="4" t="str">
        <f ca="1">IF(OR(INDEX($AG$2:$AG$1001,MATCH(ROWS($AF$2:AF454),$AF$2:$AF$1001,0),1)&gt;=100000,INDEX($AM$1005:$BM$1005,1,MATCH(COLUMNS($AM$1006:AT1006),$AM$1006:$BM$1006,0))&gt;=100000), " ",IF(INDEX($AM$2:$BM$1001,MATCH(ROWS($AF$2:AF454),$AF$2:$AF$1001,0),MATCH(COLUMNS($AM$1006:AT1006),$AM$1006:$BM$1006,0)), HYPERLINK("#",""), HYPERLINK(CONCATENATE("#metadata!", ADDRESS(INDEX($AH$2:$AH$1001,MATCH(ROWS($AF$2:AF454),$AF$2:$AF$1001,0),0), INDEX($AM$1004:$BM$1004,1,MATCH(COLUMNS($AM$1006:AT1006),$AM$1006:$BM$1006,0)))),"Fix")))</f>
        <v xml:space="preserve"> </v>
      </c>
      <c r="J454" s="4" t="str">
        <f ca="1">IF(OR(INDEX($AG$2:$AG$1001,MATCH(ROWS($AF$2:AF454),$AF$2:$AF$1001,0),1)&gt;=100000,INDEX($AM$1005:$BM$1005,1,MATCH(COLUMNS($AM$1006:AU1006),$AM$1006:$BM$1006,0))&gt;=100000), " ",IF(INDEX($AM$2:$BM$1001,MATCH(ROWS($AF$2:AF454),$AF$2:$AF$1001,0),MATCH(COLUMNS($AM$1006:AU1006),$AM$1006:$BM$1006,0)), HYPERLINK("#",""), HYPERLINK(CONCATENATE("#metadata!", ADDRESS(INDEX($AH$2:$AH$1001,MATCH(ROWS($AF$2:AF454),$AF$2:$AF$1001,0),0), INDEX($AM$1004:$BM$1004,1,MATCH(COLUMNS($AM$1006:AU1006),$AM$1006:$BM$1006,0)))),"Fix")))</f>
        <v xml:space="preserve"> </v>
      </c>
      <c r="K454" s="4" t="str">
        <f ca="1">IF(OR(INDEX($AG$2:$AG$1001,MATCH(ROWS($AF$2:AF454),$AF$2:$AF$1001,0),1)&gt;=100000,INDEX($AM$1005:$BM$1005,1,MATCH(COLUMNS($AM$1006:AV1006),$AM$1006:$BM$1006,0))&gt;=100000), " ",IF(INDEX($AM$2:$BM$1001,MATCH(ROWS($AF$2:AF454),$AF$2:$AF$1001,0),MATCH(COLUMNS($AM$1006:AV1006),$AM$1006:$BM$1006,0)), HYPERLINK("#",""), HYPERLINK(CONCATENATE("#metadata!", ADDRESS(INDEX($AH$2:$AH$1001,MATCH(ROWS($AF$2:AF454),$AF$2:$AF$1001,0),0), INDEX($AM$1004:$BM$1004,1,MATCH(COLUMNS($AM$1006:AV1006),$AM$1006:$BM$1006,0)))),"Fix")))</f>
        <v xml:space="preserve"> </v>
      </c>
      <c r="L454" s="4" t="str">
        <f ca="1">IF(OR(INDEX($AG$2:$AG$1001,MATCH(ROWS($AF$2:AF454),$AF$2:$AF$1001,0),1)&gt;=100000,INDEX($AM$1005:$BM$1005,1,MATCH(COLUMNS($AM$1006:AW1006),$AM$1006:$BM$1006,0))&gt;=100000), " ",IF(INDEX($AM$2:$BM$1001,MATCH(ROWS($AF$2:AF454),$AF$2:$AF$1001,0),MATCH(COLUMNS($AM$1006:AW1006),$AM$1006:$BM$1006,0)), HYPERLINK("#",""), HYPERLINK(CONCATENATE("#metadata!", ADDRESS(INDEX($AH$2:$AH$1001,MATCH(ROWS($AF$2:AF454),$AF$2:$AF$1001,0),0), INDEX($AM$1004:$BM$1004,1,MATCH(COLUMNS($AM$1006:AW1006),$AM$1006:$BM$1006,0)))),"Fix")))</f>
        <v xml:space="preserve"> </v>
      </c>
      <c r="M454" s="4" t="str">
        <f ca="1">IF(OR(INDEX($AG$2:$AG$1001,MATCH(ROWS($AF$2:AF454),$AF$2:$AF$1001,0),1)&gt;=100000,INDEX($AM$1005:$BM$1005,1,MATCH(COLUMNS($AM$1006:AX1006),$AM$1006:$BM$1006,0))&gt;=100000), " ",IF(INDEX($AM$2:$BM$1001,MATCH(ROWS($AF$2:AF454),$AF$2:$AF$1001,0),MATCH(COLUMNS($AM$1006:AX1006),$AM$1006:$BM$1006,0)), HYPERLINK("#",""), HYPERLINK(CONCATENATE("#metadata!", ADDRESS(INDEX($AH$2:$AH$1001,MATCH(ROWS($AF$2:AF454),$AF$2:$AF$1001,0),0), INDEX($AM$1004:$BM$1004,1,MATCH(COLUMNS($AM$1006:AX1006),$AM$1006:$BM$1006,0)))),"Fix")))</f>
        <v xml:space="preserve"> </v>
      </c>
      <c r="N454" s="4" t="str">
        <f ca="1">IF(OR(INDEX($AG$2:$AG$1001,MATCH(ROWS($AF$2:AF454),$AF$2:$AF$1001,0),1)&gt;=100000,INDEX($AM$1005:$BM$1005,1,MATCH(COLUMNS($AM$1006:AY1006),$AM$1006:$BM$1006,0))&gt;=100000), " ",IF(INDEX($AM$2:$BM$1001,MATCH(ROWS($AF$2:AF454),$AF$2:$AF$1001,0),MATCH(COLUMNS($AM$1006:AY1006),$AM$1006:$BM$1006,0)), HYPERLINK("#",""), HYPERLINK(CONCATENATE("#metadata!", ADDRESS(INDEX($AH$2:$AH$1001,MATCH(ROWS($AF$2:AF454),$AF$2:$AF$1001,0),0), INDEX($AM$1004:$BM$1004,1,MATCH(COLUMNS($AM$1006:AY1006),$AM$1006:$BM$1006,0)))),"Fix")))</f>
        <v xml:space="preserve"> </v>
      </c>
      <c r="O454" s="4" t="str">
        <f ca="1">IF(OR(INDEX($AG$2:$AG$1001,MATCH(ROWS($AF$2:AF454),$AF$2:$AF$1001,0),1)&gt;=100000,INDEX($AM$1005:$BM$1005,1,MATCH(COLUMNS($AM$1006:AZ1006),$AM$1006:$BM$1006,0))&gt;=100000), " ",IF(INDEX($AM$2:$BM$1001,MATCH(ROWS($AF$2:AF454),$AF$2:$AF$1001,0),MATCH(COLUMNS($AM$1006:AZ1006),$AM$1006:$BM$1006,0)), HYPERLINK("#",""), HYPERLINK(CONCATENATE("#metadata!", ADDRESS(INDEX($AH$2:$AH$1001,MATCH(ROWS($AF$2:AF454),$AF$2:$AF$1001,0),0), INDEX($AM$1004:$BM$1004,1,MATCH(COLUMNS($AM$1006:AZ1006),$AM$1006:$BM$1006,0)))),"Fix")))</f>
        <v xml:space="preserve"> </v>
      </c>
      <c r="P454" s="4" t="str">
        <f ca="1">IF(OR(INDEX($AG$2:$AG$1001,MATCH(ROWS($AF$2:AF454),$AF$2:$AF$1001,0),1)&gt;=100000,INDEX($AM$1005:$BM$1005,1,MATCH(COLUMNS($AM$1006:BA1006),$AM$1006:$BM$1006,0))&gt;=100000), " ",IF(INDEX($AM$2:$BM$1001,MATCH(ROWS($AF$2:AF454),$AF$2:$AF$1001,0),MATCH(COLUMNS($AM$1006:BA1006),$AM$1006:$BM$1006,0)), HYPERLINK("#",""), HYPERLINK(CONCATENATE("#metadata!", ADDRESS(INDEX($AH$2:$AH$1001,MATCH(ROWS($AF$2:AF454),$AF$2:$AF$1001,0),0), INDEX($AM$1004:$BM$1004,1,MATCH(COLUMNS($AM$1006:BA1006),$AM$1006:$BM$1006,0)))),"Fix")))</f>
        <v xml:space="preserve"> </v>
      </c>
      <c r="Q454" s="4" t="str">
        <f ca="1">IF(OR(INDEX($AG$2:$AG$1001,MATCH(ROWS($AF$2:AF454),$AF$2:$AF$1001,0),1)&gt;=100000,INDEX($AM$1005:$BM$1005,1,MATCH(COLUMNS($AM$1006:BB1006),$AM$1006:$BM$1006,0))&gt;=100000), " ",IF(INDEX($AM$2:$BM$1001,MATCH(ROWS($AF$2:AF454),$AF$2:$AF$1001,0),MATCH(COLUMNS($AM$1006:BB1006),$AM$1006:$BM$1006,0)), HYPERLINK("#",""), HYPERLINK(CONCATENATE("#metadata!", ADDRESS(INDEX($AH$2:$AH$1001,MATCH(ROWS($AF$2:AF454),$AF$2:$AF$1001,0),0), INDEX($AM$1004:$BM$1004,1,MATCH(COLUMNS($AM$1006:BB1006),$AM$1006:$BM$1006,0)))),"Fix")))</f>
        <v xml:space="preserve"> </v>
      </c>
      <c r="R454" s="4" t="str">
        <f ca="1">IF(OR(INDEX($AG$2:$AG$1001,MATCH(ROWS($AF$2:AF454),$AF$2:$AF$1001,0),1)&gt;=100000,INDEX($AM$1005:$BM$1005,1,MATCH(COLUMNS($AM$1006:BC1006),$AM$1006:$BM$1006,0))&gt;=100000), " ",IF(INDEX($AM$2:$BM$1001,MATCH(ROWS($AF$2:AF454),$AF$2:$AF$1001,0),MATCH(COLUMNS($AM$1006:BC1006),$AM$1006:$BM$1006,0)), HYPERLINK("#",""), HYPERLINK(CONCATENATE("#metadata!", ADDRESS(INDEX($AH$2:$AH$1001,MATCH(ROWS($AF$2:AF454),$AF$2:$AF$1001,0),0), INDEX($AM$1004:$BM$1004,1,MATCH(COLUMNS($AM$1006:BC1006),$AM$1006:$BM$1006,0)))),"Fix")))</f>
        <v xml:space="preserve"> </v>
      </c>
      <c r="S454" s="4" t="str">
        <f ca="1">IF(OR(INDEX($AG$2:$AG$1001,MATCH(ROWS($AF$2:AF454),$AF$2:$AF$1001,0),1)&gt;=100000,INDEX($AM$1005:$BM$1005,1,MATCH(COLUMNS($AM$1006:BD1006),$AM$1006:$BM$1006,0))&gt;=100000), " ",IF(INDEX($AM$2:$BM$1001,MATCH(ROWS($AF$2:AF454),$AF$2:$AF$1001,0),MATCH(COLUMNS($AM$1006:BD1006),$AM$1006:$BM$1006,0)), HYPERLINK("#",""), HYPERLINK(CONCATENATE("#metadata!", ADDRESS(INDEX($AH$2:$AH$1001,MATCH(ROWS($AF$2:AF454),$AF$2:$AF$1001,0),0), INDEX($AM$1004:$BM$1004,1,MATCH(COLUMNS($AM$1006:BD1006),$AM$1006:$BM$1006,0)))),"Fix")))</f>
        <v xml:space="preserve"> </v>
      </c>
      <c r="T454" s="4" t="str">
        <f ca="1">IF(OR(INDEX($AG$2:$AG$1001,MATCH(ROWS($AF$2:AF454),$AF$2:$AF$1001,0),1)&gt;=100000,INDEX($AM$1005:$BM$1005,1,MATCH(COLUMNS($AM$1006:BE1006),$AM$1006:$BM$1006,0))&gt;=100000), " ",IF(INDEX($AM$2:$BM$1001,MATCH(ROWS($AF$2:AF454),$AF$2:$AF$1001,0),MATCH(COLUMNS($AM$1006:BE1006),$AM$1006:$BM$1006,0)), HYPERLINK("#",""), HYPERLINK(CONCATENATE("#metadata!", ADDRESS(INDEX($AH$2:$AH$1001,MATCH(ROWS($AF$2:AF454),$AF$2:$AF$1001,0),0), INDEX($AM$1004:$BM$1004,1,MATCH(COLUMNS($AM$1006:BE1006),$AM$1006:$BM$1006,0)))),"Fix")))</f>
        <v xml:space="preserve"> </v>
      </c>
      <c r="U454" s="4" t="str">
        <f ca="1">IF(OR(INDEX($AG$2:$AG$1001,MATCH(ROWS($AF$2:AF454),$AF$2:$AF$1001,0),1)&gt;=100000,INDEX($AM$1005:$BM$1005,1,MATCH(COLUMNS($AM$1006:BF1006),$AM$1006:$BM$1006,0))&gt;=100000), " ",IF(INDEX($AM$2:$BM$1001,MATCH(ROWS($AF$2:AF454),$AF$2:$AF$1001,0),MATCH(COLUMNS($AM$1006:BF1006),$AM$1006:$BM$1006,0)), HYPERLINK("#",""), HYPERLINK(CONCATENATE("#metadata!", ADDRESS(INDEX($AH$2:$AH$1001,MATCH(ROWS($AF$2:AF454),$AF$2:$AF$1001,0),0), INDEX($AM$1004:$BM$1004,1,MATCH(COLUMNS($AM$1006:BF1006),$AM$1006:$BM$1006,0)))),"Fix")))</f>
        <v xml:space="preserve"> </v>
      </c>
      <c r="V454" s="4" t="str">
        <f ca="1">IF(OR(INDEX($AG$2:$AG$1001,MATCH(ROWS($AF$2:AF454),$AF$2:$AF$1001,0),1)&gt;=100000,INDEX($AM$1005:$BM$1005,1,MATCH(COLUMNS($AM$1006:BG1006),$AM$1006:$BM$1006,0))&gt;=100000), " ",IF(INDEX($AM$2:$BM$1001,MATCH(ROWS($AF$2:AF454),$AF$2:$AF$1001,0),MATCH(COLUMNS($AM$1006:BG1006),$AM$1006:$BM$1006,0)), HYPERLINK("#",""), HYPERLINK(CONCATENATE("#metadata!", ADDRESS(INDEX($AH$2:$AH$1001,MATCH(ROWS($AF$2:AF454),$AF$2:$AF$1001,0),0), INDEX($AM$1004:$BM$1004,1,MATCH(COLUMNS($AM$1006:BG1006),$AM$1006:$BM$1006,0)))),"Fix")))</f>
        <v xml:space="preserve"> </v>
      </c>
      <c r="W454" s="4" t="str">
        <f ca="1">IF(OR(INDEX($AG$2:$AG$1001,MATCH(ROWS($AF$2:AF454),$AF$2:$AF$1001,0),1)&gt;=100000,INDEX($AM$1005:$BM$1005,1,MATCH(COLUMNS($AM$1006:BH1006),$AM$1006:$BM$1006,0))&gt;=100000), " ",IF(INDEX($AM$2:$BM$1001,MATCH(ROWS($AF$2:AF454),$AF$2:$AF$1001,0),MATCH(COLUMNS($AM$1006:BH1006),$AM$1006:$BM$1006,0)), HYPERLINK("#",""), HYPERLINK(CONCATENATE("#metadata!", ADDRESS(INDEX($AH$2:$AH$1001,MATCH(ROWS($AF$2:AF454),$AF$2:$AF$1001,0),0), INDEX($AM$1004:$BM$1004,1,MATCH(COLUMNS($AM$1006:BH1006),$AM$1006:$BM$1006,0)))),"Fix")))</f>
        <v xml:space="preserve"> </v>
      </c>
      <c r="X454" s="4" t="str">
        <f ca="1">IF(OR(INDEX($AG$2:$AG$1001,MATCH(ROWS($AF$2:AF454),$AF$2:$AF$1001,0),1)&gt;=100000,INDEX($AM$1005:$BM$1005,1,MATCH(COLUMNS($AM$1006:BI1006),$AM$1006:$BM$1006,0))&gt;=100000), " ",IF(INDEX($AM$2:$BM$1001,MATCH(ROWS($AF$2:AF454),$AF$2:$AF$1001,0),MATCH(COLUMNS($AM$1006:BI1006),$AM$1006:$BM$1006,0)), HYPERLINK("#",""), HYPERLINK(CONCATENATE("#metadata!", ADDRESS(INDEX($AH$2:$AH$1001,MATCH(ROWS($AF$2:AF454),$AF$2:$AF$1001,0),0), INDEX($AM$1004:$BM$1004,1,MATCH(COLUMNS($AM$1006:BI1006),$AM$1006:$BM$1006,0)))),"Fix")))</f>
        <v xml:space="preserve"> </v>
      </c>
      <c r="Y454" s="4" t="str">
        <f ca="1">IF(OR(INDEX($AG$2:$AG$1001,MATCH(ROWS($AF$2:AF454),$AF$2:$AF$1001,0),1)&gt;=100000,INDEX($AM$1005:$BM$1005,1,MATCH(COLUMNS($AM$1006:BJ1006),$AM$1006:$BM$1006,0))&gt;=100000), " ",IF(INDEX($AM$2:$BM$1001,MATCH(ROWS($AF$2:AF454),$AF$2:$AF$1001,0),MATCH(COLUMNS($AM$1006:BJ1006),$AM$1006:$BM$1006,0)), HYPERLINK("#",""), HYPERLINK(CONCATENATE("#metadata!", ADDRESS(INDEX($AH$2:$AH$1001,MATCH(ROWS($AF$2:AF454),$AF$2:$AF$1001,0),0), INDEX($AM$1004:$BM$1004,1,MATCH(COLUMNS($AM$1006:BJ1006),$AM$1006:$BM$1006,0)))),"Fix")))</f>
        <v xml:space="preserve"> </v>
      </c>
      <c r="Z454" s="4" t="str">
        <f ca="1">IF(OR(INDEX($AG$2:$AG$1001,MATCH(ROWS($AF$2:AF454),$AF$2:$AF$1001,0),1)&gt;=100000,INDEX($AM$1005:$BM$1005,1,MATCH(COLUMNS($AM$1006:BK1006),$AM$1006:$BM$1006,0))&gt;=100000), " ",IF(INDEX($AM$2:$BM$1001,MATCH(ROWS($AF$2:AF454),$AF$2:$AF$1001,0),MATCH(COLUMNS($AM$1006:BK1006),$AM$1006:$BM$1006,0)), HYPERLINK("#",""), HYPERLINK(CONCATENATE("#metadata!", ADDRESS(INDEX($AH$2:$AH$1001,MATCH(ROWS($AF$2:AF454),$AF$2:$AF$1001,0),0), INDEX($AM$1004:$BM$1004,1,MATCH(COLUMNS($AM$1006:BK1006),$AM$1006:$BM$1006,0)))),"Fix")))</f>
        <v xml:space="preserve"> </v>
      </c>
      <c r="AA454" s="4" t="str">
        <f ca="1">IF(OR(INDEX($AG$2:$AG$1001,MATCH(ROWS($AF$2:AF454),$AF$2:$AF$1001,0),1)&gt;=100000,INDEX($AM$1005:$BM$1005,1,MATCH(COLUMNS($AM$1006:BL1006),$AM$1006:$BM$1006,0))&gt;=100000), " ",IF(INDEX($AM$2:$BM$1001,MATCH(ROWS($AF$2:AF454),$AF$2:$AF$1001,0),MATCH(COLUMNS($AM$1006:BL1006),$AM$1006:$BM$1006,0)), HYPERLINK("#",""), HYPERLINK(CONCATENATE("#metadata!", ADDRESS(INDEX($AH$2:$AH$1001,MATCH(ROWS($AF$2:AF454),$AF$2:$AF$1001,0),0), INDEX($AM$1004:$BM$1004,1,MATCH(COLUMNS($AM$1006:BL1006),$AM$1006:$BM$1006,0)))),"Fix")))</f>
        <v xml:space="preserve"> </v>
      </c>
      <c r="AB454" s="4" t="str">
        <f ca="1">IF(OR(INDEX($AG$2:$AG$1001,MATCH(ROWS($AF$2:AF454),$AF$2:$AF$1001,0),1)&gt;=100000,INDEX($AM$1005:$BM$1005,1,MATCH(COLUMNS($AM$1006:BM1006),$AM$1006:$BM$1006,0))&gt;=100000), " ",IF(INDEX($AM$2:$BM$1001,MATCH(ROWS($AF$2:AF454),$AF$2:$AF$1001,0),MATCH(COLUMNS($AM$1006:BM1006),$AM$1006:$BM$1006,0)), HYPERLINK("#",""), HYPERLINK(CONCATENATE("#metadata!", ADDRESS(INDEX($AH$2:$AH$1001,MATCH(ROWS($AF$2:AF454),$AF$2:$AF$1001,0),0), INDEX($AM$1004:$BM$1004,1,MATCH(COLUMNS($AM$1006:BM1006),$AM$1006:$BM$1006,0)))),"Fix")))</f>
        <v xml:space="preserve"> </v>
      </c>
      <c r="AF454">
        <v>453</v>
      </c>
      <c r="AG454">
        <v>100454</v>
      </c>
      <c r="AH454">
        <v>454</v>
      </c>
      <c r="AI454" t="b">
        <f t="shared" si="7"/>
        <v>1</v>
      </c>
      <c r="AJ454" t="b">
        <f>COUNTBLANK(metadata!B454:AB454)=COLUMNS(metadata!B454:AB454)</f>
        <v>1</v>
      </c>
      <c r="AK454" t="str">
        <v/>
      </c>
      <c r="AM454" t="b">
        <f ca="1">AND(IF(metadata!B454="",FALSE,TRUE),COUNTIF(metadata!B:B, metadata!B454) = 1,NOT(ISERROR(SUMPRODUCT(SEARCH(MID(metadata!B454,ROW(INDIRECT("1:"&amp;LEN(metadata!B454))), 1),"0123456789abcdefghijklmnopqrstuvwxyzABCDEFGHIJKLMNOPQRSTUVWXYZ.")))))</f>
        <v>0</v>
      </c>
      <c r="AN454" t="b">
        <f ca="1">OR(AND(IF(metadata!C454="",FALSE,TRUE),OR(EXACT(metadata!C454,"missing: not collected"),EXACT(metadata!C454,"missing: not provided"),EXACT(metadata!C454,"missing: restricted access"))),AND(IF(metadata!C454="",FALSE,TRUE),AND(AND(IFERROR(INT(LEFT(metadata!C454,4))&gt;1900,FALSE),IFERROR(INT(LEFT(metadata!C454,4))&lt;=YEAR(NOW()),FALSE)), OR(MID(metadata!C454,5,1)="", AND(AND(MID(metadata!C454,5,1)="-",IFERROR(INT(MID(metadata!C454,6,1))&gt;=0,FALSE),IFERROR(INT(MID(metadata!C454,6,1))&lt;=1,FALSE),NOT(MID(metadata!C454,7,1)=""),IFERROR(INT(MID(metadata!C454,6,2))&gt;=1,FALSE),IFERROR(INT(MID(metadata!C454,6,2))&lt;=12,FALSE)), OR(MID(metadata!C454,8,1)="", AND(AND(MID(metadata!C454,8,1)="-",IFERROR(INT(MID(metadata!C454,9,1))&gt;=0,FALSE),IFERROR(INT(MID(metadata!C454,9,1))&lt;=3,FALSE),NOT(MID(metadata!C454,10,1)=""),IFERROR(INT(MID(metadata!C454,9,2))&gt;=1,FALSE),IFERROR(INT(MID(metadata!C454,9,2))&lt;=31,FALSE)), OR(MID(metadata!C454,11,1)="", AND(AND(MID(metadata!C454,11,1)=" ",IFERROR(INT(MID(metadata!C454,12,1))&gt;=0,FALSE),IFERROR(INT(MID(metadata!C454,12,1))&lt;=2,FALSE),NOT(MID(metadata!C454,13,1)=""),IFERROR(INT(MID(metadata!C454,12,2))&gt;=0,FALSE),IFERROR(INT(MID(metadata!C454,12,2))&lt;=23,FALSE)), OR(MID(metadata!C454,14,1)="", AND(AND(MID(metadata!C454,14,1)=":",IFERROR(INT(MID(metadata!C454,15,1))&gt;=0,FALSE),IFERROR(INT(MID(metadata!C454,15,1))&lt;=5,FALSE),NOT(MID(metadata!C454,16,1)=""),IFERROR(INT(MID(metadata!C454,15,2))&gt;=0,FALSE),IFERROR(INT(MID(metadata!C454,15,2))&lt;=59,FALSE)), OR(MID(metadata!C454,17,1)="", AND(AND(MID(metadata!C454,17,1)=":",IFERROR(INT(MID(metadata!C454,18,1))&gt;=0,FALSE),IFERROR(INT(MID(metadata!C454,18,1))&lt;=5,FALSE),NOT(MID(metadata!C454,19,1)=""),IFERROR(INT(MID(metadata!C454,18,2))&gt;=0,FALSE),IFERROR(INT(MID(metadata!C454,18,2))&lt;=59,FALSE)), LEN(metadata!C454)&lt;=19)))))))))))))</f>
        <v>0</v>
      </c>
      <c r="AO454" t="b">
        <f>AND(IF(metadata!D454="",FALSE,TRUE),EXACT(metadata!D454,"Not applicable"))</f>
        <v>0</v>
      </c>
      <c r="AP454" t="b">
        <f>IF(metadata!E454="",FALSE,TRUE)</f>
        <v>0</v>
      </c>
      <c r="AQ454" t="b">
        <f>OR(AND(IF(metadata!F454="",FALSE,TRUE),OR(EXACT(metadata!F454,"missing: not collected"),EXACT(metadata!F454,"missing: not provided"))),AND(IF(metadata!F454="",FALSE,TRUE),OR(EXACT(metadata!F454,"TRUE"),EXACT(metadata!F454,"FALSE"))))</f>
        <v>0</v>
      </c>
      <c r="AR454" t="b">
        <f>OR(AND(IF(metadata!G454="",FALSE,TRUE),OR(EXACT(metadata!G454,"missing: not collected"),EXACT(metadata!G454,"missing: not provided"),EXACT(metadata!G454,"missing: restricted access"))),AND(IF(metadata!G454="",FALSE,ISNUMBER(VALUE(metadata!G454))),metadata!G454&gt;=-413))</f>
        <v>0</v>
      </c>
      <c r="AS454" t="b">
        <f>AND(IF(metadata!H454="",FALSE,TRUE),EXACT(metadata!H454,"meters"))</f>
        <v>0</v>
      </c>
      <c r="AT454" t="b">
        <f>AND(IF(metadata!I454="",FALSE,TRUE),OR(EXACT(metadata!I454,"Host-associated"),EXACT(metadata!I454,"Free-living")))</f>
        <v>0</v>
      </c>
      <c r="AU454" t="b">
        <f>AND(IF(metadata!J454="",FALSE,TRUE),OR(EXACT(metadata!J454,"Animal"),EXACT(metadata!J454,"Fungus"),EXACT(metadata!J454,"Plant"),EXACT(metadata!J454,"Saline"),EXACT(metadata!J454,"Non-saline")))</f>
        <v>0</v>
      </c>
      <c r="AV454" t="b">
        <f>AND(IF(metadata!K454="",FALSE,TRUE),OR(EXACT(metadata!K454,"Plant secretion"),EXACT(metadata!K454,"Plant rhizosphere"),EXACT(metadata!K454,"Plant surface"),EXACT(metadata!K454,"Plant corpus"),EXACT(metadata!K454,"Fungus surface"),EXACT(metadata!K454,"Fungus corpus"),EXACT(metadata!K454,"Animal surface"),EXACT(metadata!K454,"Animal proximal gut"),EXACT(metadata!K454,"Animal corpus"),EXACT(metadata!K454,"Animal distal gut"),EXACT(metadata!K454,"Animal secretion"),EXACT(metadata!K454,"Sub-surface (non-saline)"),EXACT(metadata!K454,"Surface (non-saline)"),EXACT(metadata!K454,"Water (non-saline)"),EXACT(metadata!K454,"Soil (non-saline)"),EXACT(metadata!K454,"Aerosol (non-saline)"),EXACT(metadata!K454,"Sediment (non-saline)"),EXACT(metadata!K454,"Surface (saline)"),EXACT(metadata!K454,"Water (saline)"),EXACT(metadata!K454,"Hypersaline (saline)"),EXACT(metadata!K454,"Aerosol (saline)"),EXACT(metadata!K454,"Sediment (saline)")))</f>
        <v>0</v>
      </c>
      <c r="AW454" t="b">
        <f>IF(metadata!L454="",FALSE,TRUE)</f>
        <v>0</v>
      </c>
      <c r="AX454" t="b">
        <f>IF(metadata!M454="",FALSE,TRUE)</f>
        <v>0</v>
      </c>
      <c r="AY454" t="b">
        <f>IF(metadata!N454="",FALSE,TRUE)</f>
        <v>0</v>
      </c>
      <c r="AZ454" t="b">
        <f>OR(AND(IF(metadata!O454="",FALSE,TRUE),OR(EXACT(metadata!O454,"missing: not collected"),EXACT(metadata!O454,"missing: not provided"),EXACT(metadata!O454,"missing: restricted access"))),AND(IF(metadata!O454="",FALSE,TRUE),OR(EXACT(metadata!O454,"air"),EXACT(metadata!O454,"built environment"),EXACT(metadata!O454,"host-associated"),EXACT(metadata!O454,"human-associated"),EXACT(metadata!O454,"human-skin"),EXACT(metadata!O454,"human-oral"),EXACT(metadata!O454,"human-gut"),EXACT(metadata!O454,"human-vaginal"),EXACT(metadata!O454,"microbial mat/biofilm"),EXACT(metadata!O454,"misc environment"),EXACT(metadata!O454,"plant-associated"),EXACT(metadata!O454,"sediment"),EXACT(metadata!O454,"soil"),EXACT(metadata!O454,"wastewater/sludge"),EXACT(metadata!O454,"water"))))</f>
        <v>0</v>
      </c>
      <c r="BA454" t="b">
        <f>IF(metadata!P454="",FALSE,TRUE)</f>
        <v>0</v>
      </c>
      <c r="BB454" t="b">
        <f>IF(metadata!Q454="",FALSE,TRUE)</f>
        <v>0</v>
      </c>
      <c r="BC454" t="b">
        <f>OR(AND(IF(metadata!R454="",FALSE,TRUE),OR(EXACT(metadata!R454,"missing: not collected"),EXACT(metadata!R454,"missing: not provided"),EXACT(metadata!R454,"missing: restricted access"))),AND(IF(metadata!R454="",FALSE,ISNUMBER(VALUE(metadata!R454))),metadata!R454&gt;=-90,metadata!R454&lt;=90))</f>
        <v>0</v>
      </c>
      <c r="BD454" t="b">
        <f>AND(IF(metadata!S454="",FALSE,TRUE),EXACT(metadata!S454,"Decimal degrees"))</f>
        <v>0</v>
      </c>
      <c r="BE454" t="b">
        <f>OR(AND(IF(metadata!T454="",FALSE,TRUE),OR(EXACT(metadata!T454,"missing: not collected"),EXACT(metadata!T454,"missing: not provided"),EXACT(metadata!T454,"missing: restricted access"))),AND(IF(metadata!T454="",FALSE,ISNUMBER(VALUE(metadata!T454))),metadata!T454&gt;=-180,metadata!T454&lt;=180))</f>
        <v>0</v>
      </c>
      <c r="BF454" t="b">
        <f>AND(IF(metadata!U454="",FALSE,TRUE),EXACT(metadata!U454,"Decimal degrees"))</f>
        <v>0</v>
      </c>
      <c r="BG454" t="b">
        <f>IF(metadata!V454="",FALSE,TRUE)</f>
        <v>0</v>
      </c>
      <c r="BH454" t="b">
        <f>OR(AND(IF(metadata!W454="",FALSE,TRUE),OR(EXACT(metadata!W454,"missing: not collected"),EXACT(metadata!W454,"missing: not provided"),EXACT(metadata!W454,"missing: restricted access"))),AND(IF(metadata!W454="",FALSE,TRUE),OR(EXACT(metadata!W454,"TRUE"),EXACT(metadata!W454,"FALSE"))))</f>
        <v>0</v>
      </c>
      <c r="BI454" t="b">
        <f>AND(IF(metadata!X454="",FALSE,TRUE),EXACT(metadata!X454,"other"))</f>
        <v>0</v>
      </c>
      <c r="BJ454" t="b">
        <f>IF(metadata!Y454="",FALSE,TRUE)</f>
        <v>0</v>
      </c>
      <c r="BK454" t="b">
        <f>OR(AND(IF(metadata!Z454="",FALSE,TRUE),OR(EXACT(metadata!Z454,"missing: not collected"),EXACT(metadata!Z454,"missing: not provided"))),AND(IF(metadata!Z454="",FALSE,IF(ISERROR(INT(metadata!Z454)),FALSE,INT(metadata!Z454)=metadata!Z454)),metadata!Z454&gt;0))</f>
        <v>0</v>
      </c>
      <c r="BL454" t="b">
        <f>AND(IF(metadata!AA454="",FALSE,TRUE),EXACT(metadata!AA454,"Not applicable"))</f>
        <v>0</v>
      </c>
      <c r="BM454" t="b">
        <f>IF(metadata!AB454="",FALSE,TRUE)</f>
        <v>0</v>
      </c>
    </row>
    <row r="455" spans="1:65" x14ac:dyDescent="0.2">
      <c r="A455" s="5" t="str">
        <f ca="1">IF(B455=" "," ",HYPERLINK(CONCATENATE("#metadata!",ADDRESS(INDEX($AH$2:$AH$1001,MATCH(ROWS($AF$2:AF455),$AF$2:$AF$1001,0),0),1)),INDEX($AK$2:$AK$1001,MATCH(ROWS($AF$2:AF455),$AF$2:$AF$1001,0),0)))</f>
        <v xml:space="preserve"> </v>
      </c>
      <c r="B455" s="4" t="str">
        <f ca="1">IF(OR(INDEX($AG$2:$AG$1001,MATCH(ROWS($AF$2:AF455),$AF$2:$AF$1001,0),1)&gt;=100000,INDEX($AM$1005:$BM$1005,1,MATCH(COLUMNS($AM$1006:AM1006),$AM$1006:$BM$1006,0))&gt;=100000), " ",IF(INDEX($AM$2:$BM$1001,MATCH(ROWS($AF$2:AF455),$AF$2:$AF$1001,0),MATCH(COLUMNS($AM$1006:AM1006),$AM$1006:$BM$1006,0)), HYPERLINK("#",""), HYPERLINK(CONCATENATE("#metadata!", ADDRESS(INDEX($AH$2:$AH$1001,MATCH(ROWS($AF$2:AF455),$AF$2:$AF$1001,0),0), INDEX($AM$1004:$BM$1004,1,MATCH(COLUMNS($AM$1006:AM1006),$AM$1006:$BM$1006,0)))),"Fix")))</f>
        <v xml:space="preserve"> </v>
      </c>
      <c r="C455" s="4" t="str">
        <f ca="1">IF(OR(INDEX($AG$2:$AG$1001,MATCH(ROWS($AF$2:AF455),$AF$2:$AF$1001,0),1)&gt;=100000,INDEX($AM$1005:$BM$1005,1,MATCH(COLUMNS($AM$1006:AN1006),$AM$1006:$BM$1006,0))&gt;=100000), " ",IF(INDEX($AM$2:$BM$1001,MATCH(ROWS($AF$2:AF455),$AF$2:$AF$1001,0),MATCH(COLUMNS($AM$1006:AN1006),$AM$1006:$BM$1006,0)), HYPERLINK("#",""), HYPERLINK(CONCATENATE("#metadata!", ADDRESS(INDEX($AH$2:$AH$1001,MATCH(ROWS($AF$2:AF455),$AF$2:$AF$1001,0),0), INDEX($AM$1004:$BM$1004,1,MATCH(COLUMNS($AM$1006:AN1006),$AM$1006:$BM$1006,0)))),"Fix")))</f>
        <v xml:space="preserve"> </v>
      </c>
      <c r="D455" s="4" t="str">
        <f ca="1">IF(OR(INDEX($AG$2:$AG$1001,MATCH(ROWS($AF$2:AF455),$AF$2:$AF$1001,0),1)&gt;=100000,INDEX($AM$1005:$BM$1005,1,MATCH(COLUMNS($AM$1006:AO1006),$AM$1006:$BM$1006,0))&gt;=100000), " ",IF(INDEX($AM$2:$BM$1001,MATCH(ROWS($AF$2:AF455),$AF$2:$AF$1001,0),MATCH(COLUMNS($AM$1006:AO1006),$AM$1006:$BM$1006,0)), HYPERLINK("#",""), HYPERLINK(CONCATENATE("#metadata!", ADDRESS(INDEX($AH$2:$AH$1001,MATCH(ROWS($AF$2:AF455),$AF$2:$AF$1001,0),0), INDEX($AM$1004:$BM$1004,1,MATCH(COLUMNS($AM$1006:AO1006),$AM$1006:$BM$1006,0)))),"Fix")))</f>
        <v xml:space="preserve"> </v>
      </c>
      <c r="E455" s="4" t="str">
        <f ca="1">IF(OR(INDEX($AG$2:$AG$1001,MATCH(ROWS($AF$2:AF455),$AF$2:$AF$1001,0),1)&gt;=100000,INDEX($AM$1005:$BM$1005,1,MATCH(COLUMNS($AM$1006:AP1006),$AM$1006:$BM$1006,0))&gt;=100000), " ",IF(INDEX($AM$2:$BM$1001,MATCH(ROWS($AF$2:AF455),$AF$2:$AF$1001,0),MATCH(COLUMNS($AM$1006:AP1006),$AM$1006:$BM$1006,0)), HYPERLINK("#",""), HYPERLINK(CONCATENATE("#metadata!", ADDRESS(INDEX($AH$2:$AH$1001,MATCH(ROWS($AF$2:AF455),$AF$2:$AF$1001,0),0), INDEX($AM$1004:$BM$1004,1,MATCH(COLUMNS($AM$1006:AP1006),$AM$1006:$BM$1006,0)))),"Fix")))</f>
        <v xml:space="preserve"> </v>
      </c>
      <c r="F455" s="4" t="str">
        <f ca="1">IF(OR(INDEX($AG$2:$AG$1001,MATCH(ROWS($AF$2:AF455),$AF$2:$AF$1001,0),1)&gt;=100000,INDEX($AM$1005:$BM$1005,1,MATCH(COLUMNS($AM$1006:AQ1006),$AM$1006:$BM$1006,0))&gt;=100000), " ",IF(INDEX($AM$2:$BM$1001,MATCH(ROWS($AF$2:AF455),$AF$2:$AF$1001,0),MATCH(COLUMNS($AM$1006:AQ1006),$AM$1006:$BM$1006,0)), HYPERLINK("#",""), HYPERLINK(CONCATENATE("#metadata!", ADDRESS(INDEX($AH$2:$AH$1001,MATCH(ROWS($AF$2:AF455),$AF$2:$AF$1001,0),0), INDEX($AM$1004:$BM$1004,1,MATCH(COLUMNS($AM$1006:AQ1006),$AM$1006:$BM$1006,0)))),"Fix")))</f>
        <v xml:space="preserve"> </v>
      </c>
      <c r="G455" s="4" t="str">
        <f ca="1">IF(OR(INDEX($AG$2:$AG$1001,MATCH(ROWS($AF$2:AF455),$AF$2:$AF$1001,0),1)&gt;=100000,INDEX($AM$1005:$BM$1005,1,MATCH(COLUMNS($AM$1006:AR1006),$AM$1006:$BM$1006,0))&gt;=100000), " ",IF(INDEX($AM$2:$BM$1001,MATCH(ROWS($AF$2:AF455),$AF$2:$AF$1001,0),MATCH(COLUMNS($AM$1006:AR1006),$AM$1006:$BM$1006,0)), HYPERLINK("#",""), HYPERLINK(CONCATENATE("#metadata!", ADDRESS(INDEX($AH$2:$AH$1001,MATCH(ROWS($AF$2:AF455),$AF$2:$AF$1001,0),0), INDEX($AM$1004:$BM$1004,1,MATCH(COLUMNS($AM$1006:AR1006),$AM$1006:$BM$1006,0)))),"Fix")))</f>
        <v xml:space="preserve"> </v>
      </c>
      <c r="H455" s="4" t="str">
        <f ca="1">IF(OR(INDEX($AG$2:$AG$1001,MATCH(ROWS($AF$2:AF455),$AF$2:$AF$1001,0),1)&gt;=100000,INDEX($AM$1005:$BM$1005,1,MATCH(COLUMNS($AM$1006:AS1006),$AM$1006:$BM$1006,0))&gt;=100000), " ",IF(INDEX($AM$2:$BM$1001,MATCH(ROWS($AF$2:AF455),$AF$2:$AF$1001,0),MATCH(COLUMNS($AM$1006:AS1006),$AM$1006:$BM$1006,0)), HYPERLINK("#",""), HYPERLINK(CONCATENATE("#metadata!", ADDRESS(INDEX($AH$2:$AH$1001,MATCH(ROWS($AF$2:AF455),$AF$2:$AF$1001,0),0), INDEX($AM$1004:$BM$1004,1,MATCH(COLUMNS($AM$1006:AS1006),$AM$1006:$BM$1006,0)))),"Fix")))</f>
        <v xml:space="preserve"> </v>
      </c>
      <c r="I455" s="4" t="str">
        <f ca="1">IF(OR(INDEX($AG$2:$AG$1001,MATCH(ROWS($AF$2:AF455),$AF$2:$AF$1001,0),1)&gt;=100000,INDEX($AM$1005:$BM$1005,1,MATCH(COLUMNS($AM$1006:AT1006),$AM$1006:$BM$1006,0))&gt;=100000), " ",IF(INDEX($AM$2:$BM$1001,MATCH(ROWS($AF$2:AF455),$AF$2:$AF$1001,0),MATCH(COLUMNS($AM$1006:AT1006),$AM$1006:$BM$1006,0)), HYPERLINK("#",""), HYPERLINK(CONCATENATE("#metadata!", ADDRESS(INDEX($AH$2:$AH$1001,MATCH(ROWS($AF$2:AF455),$AF$2:$AF$1001,0),0), INDEX($AM$1004:$BM$1004,1,MATCH(COLUMNS($AM$1006:AT1006),$AM$1006:$BM$1006,0)))),"Fix")))</f>
        <v xml:space="preserve"> </v>
      </c>
      <c r="J455" s="4" t="str">
        <f ca="1">IF(OR(INDEX($AG$2:$AG$1001,MATCH(ROWS($AF$2:AF455),$AF$2:$AF$1001,0),1)&gt;=100000,INDEX($AM$1005:$BM$1005,1,MATCH(COLUMNS($AM$1006:AU1006),$AM$1006:$BM$1006,0))&gt;=100000), " ",IF(INDEX($AM$2:$BM$1001,MATCH(ROWS($AF$2:AF455),$AF$2:$AF$1001,0),MATCH(COLUMNS($AM$1006:AU1006),$AM$1006:$BM$1006,0)), HYPERLINK("#",""), HYPERLINK(CONCATENATE("#metadata!", ADDRESS(INDEX($AH$2:$AH$1001,MATCH(ROWS($AF$2:AF455),$AF$2:$AF$1001,0),0), INDEX($AM$1004:$BM$1004,1,MATCH(COLUMNS($AM$1006:AU1006),$AM$1006:$BM$1006,0)))),"Fix")))</f>
        <v xml:space="preserve"> </v>
      </c>
      <c r="K455" s="4" t="str">
        <f ca="1">IF(OR(INDEX($AG$2:$AG$1001,MATCH(ROWS($AF$2:AF455),$AF$2:$AF$1001,0),1)&gt;=100000,INDEX($AM$1005:$BM$1005,1,MATCH(COLUMNS($AM$1006:AV1006),$AM$1006:$BM$1006,0))&gt;=100000), " ",IF(INDEX($AM$2:$BM$1001,MATCH(ROWS($AF$2:AF455),$AF$2:$AF$1001,0),MATCH(COLUMNS($AM$1006:AV1006),$AM$1006:$BM$1006,0)), HYPERLINK("#",""), HYPERLINK(CONCATENATE("#metadata!", ADDRESS(INDEX($AH$2:$AH$1001,MATCH(ROWS($AF$2:AF455),$AF$2:$AF$1001,0),0), INDEX($AM$1004:$BM$1004,1,MATCH(COLUMNS($AM$1006:AV1006),$AM$1006:$BM$1006,0)))),"Fix")))</f>
        <v xml:space="preserve"> </v>
      </c>
      <c r="L455" s="4" t="str">
        <f ca="1">IF(OR(INDEX($AG$2:$AG$1001,MATCH(ROWS($AF$2:AF455),$AF$2:$AF$1001,0),1)&gt;=100000,INDEX($AM$1005:$BM$1005,1,MATCH(COLUMNS($AM$1006:AW1006),$AM$1006:$BM$1006,0))&gt;=100000), " ",IF(INDEX($AM$2:$BM$1001,MATCH(ROWS($AF$2:AF455),$AF$2:$AF$1001,0),MATCH(COLUMNS($AM$1006:AW1006),$AM$1006:$BM$1006,0)), HYPERLINK("#",""), HYPERLINK(CONCATENATE("#metadata!", ADDRESS(INDEX($AH$2:$AH$1001,MATCH(ROWS($AF$2:AF455),$AF$2:$AF$1001,0),0), INDEX($AM$1004:$BM$1004,1,MATCH(COLUMNS($AM$1006:AW1006),$AM$1006:$BM$1006,0)))),"Fix")))</f>
        <v xml:space="preserve"> </v>
      </c>
      <c r="M455" s="4" t="str">
        <f ca="1">IF(OR(INDEX($AG$2:$AG$1001,MATCH(ROWS($AF$2:AF455),$AF$2:$AF$1001,0),1)&gt;=100000,INDEX($AM$1005:$BM$1005,1,MATCH(COLUMNS($AM$1006:AX1006),$AM$1006:$BM$1006,0))&gt;=100000), " ",IF(INDEX($AM$2:$BM$1001,MATCH(ROWS($AF$2:AF455),$AF$2:$AF$1001,0),MATCH(COLUMNS($AM$1006:AX1006),$AM$1006:$BM$1006,0)), HYPERLINK("#",""), HYPERLINK(CONCATENATE("#metadata!", ADDRESS(INDEX($AH$2:$AH$1001,MATCH(ROWS($AF$2:AF455),$AF$2:$AF$1001,0),0), INDEX($AM$1004:$BM$1004,1,MATCH(COLUMNS($AM$1006:AX1006),$AM$1006:$BM$1006,0)))),"Fix")))</f>
        <v xml:space="preserve"> </v>
      </c>
      <c r="N455" s="4" t="str">
        <f ca="1">IF(OR(INDEX($AG$2:$AG$1001,MATCH(ROWS($AF$2:AF455),$AF$2:$AF$1001,0),1)&gt;=100000,INDEX($AM$1005:$BM$1005,1,MATCH(COLUMNS($AM$1006:AY1006),$AM$1006:$BM$1006,0))&gt;=100000), " ",IF(INDEX($AM$2:$BM$1001,MATCH(ROWS($AF$2:AF455),$AF$2:$AF$1001,0),MATCH(COLUMNS($AM$1006:AY1006),$AM$1006:$BM$1006,0)), HYPERLINK("#",""), HYPERLINK(CONCATENATE("#metadata!", ADDRESS(INDEX($AH$2:$AH$1001,MATCH(ROWS($AF$2:AF455),$AF$2:$AF$1001,0),0), INDEX($AM$1004:$BM$1004,1,MATCH(COLUMNS($AM$1006:AY1006),$AM$1006:$BM$1006,0)))),"Fix")))</f>
        <v xml:space="preserve"> </v>
      </c>
      <c r="O455" s="4" t="str">
        <f ca="1">IF(OR(INDEX($AG$2:$AG$1001,MATCH(ROWS($AF$2:AF455),$AF$2:$AF$1001,0),1)&gt;=100000,INDEX($AM$1005:$BM$1005,1,MATCH(COLUMNS($AM$1006:AZ1006),$AM$1006:$BM$1006,0))&gt;=100000), " ",IF(INDEX($AM$2:$BM$1001,MATCH(ROWS($AF$2:AF455),$AF$2:$AF$1001,0),MATCH(COLUMNS($AM$1006:AZ1006),$AM$1006:$BM$1006,0)), HYPERLINK("#",""), HYPERLINK(CONCATENATE("#metadata!", ADDRESS(INDEX($AH$2:$AH$1001,MATCH(ROWS($AF$2:AF455),$AF$2:$AF$1001,0),0), INDEX($AM$1004:$BM$1004,1,MATCH(COLUMNS($AM$1006:AZ1006),$AM$1006:$BM$1006,0)))),"Fix")))</f>
        <v xml:space="preserve"> </v>
      </c>
      <c r="P455" s="4" t="str">
        <f ca="1">IF(OR(INDEX($AG$2:$AG$1001,MATCH(ROWS($AF$2:AF455),$AF$2:$AF$1001,0),1)&gt;=100000,INDEX($AM$1005:$BM$1005,1,MATCH(COLUMNS($AM$1006:BA1006),$AM$1006:$BM$1006,0))&gt;=100000), " ",IF(INDEX($AM$2:$BM$1001,MATCH(ROWS($AF$2:AF455),$AF$2:$AF$1001,0),MATCH(COLUMNS($AM$1006:BA1006),$AM$1006:$BM$1006,0)), HYPERLINK("#",""), HYPERLINK(CONCATENATE("#metadata!", ADDRESS(INDEX($AH$2:$AH$1001,MATCH(ROWS($AF$2:AF455),$AF$2:$AF$1001,0),0), INDEX($AM$1004:$BM$1004,1,MATCH(COLUMNS($AM$1006:BA1006),$AM$1006:$BM$1006,0)))),"Fix")))</f>
        <v xml:space="preserve"> </v>
      </c>
      <c r="Q455" s="4" t="str">
        <f ca="1">IF(OR(INDEX($AG$2:$AG$1001,MATCH(ROWS($AF$2:AF455),$AF$2:$AF$1001,0),1)&gt;=100000,INDEX($AM$1005:$BM$1005,1,MATCH(COLUMNS($AM$1006:BB1006),$AM$1006:$BM$1006,0))&gt;=100000), " ",IF(INDEX($AM$2:$BM$1001,MATCH(ROWS($AF$2:AF455),$AF$2:$AF$1001,0),MATCH(COLUMNS($AM$1006:BB1006),$AM$1006:$BM$1006,0)), HYPERLINK("#",""), HYPERLINK(CONCATENATE("#metadata!", ADDRESS(INDEX($AH$2:$AH$1001,MATCH(ROWS($AF$2:AF455),$AF$2:$AF$1001,0),0), INDEX($AM$1004:$BM$1004,1,MATCH(COLUMNS($AM$1006:BB1006),$AM$1006:$BM$1006,0)))),"Fix")))</f>
        <v xml:space="preserve"> </v>
      </c>
      <c r="R455" s="4" t="str">
        <f ca="1">IF(OR(INDEX($AG$2:$AG$1001,MATCH(ROWS($AF$2:AF455),$AF$2:$AF$1001,0),1)&gt;=100000,INDEX($AM$1005:$BM$1005,1,MATCH(COLUMNS($AM$1006:BC1006),$AM$1006:$BM$1006,0))&gt;=100000), " ",IF(INDEX($AM$2:$BM$1001,MATCH(ROWS($AF$2:AF455),$AF$2:$AF$1001,0),MATCH(COLUMNS($AM$1006:BC1006),$AM$1006:$BM$1006,0)), HYPERLINK("#",""), HYPERLINK(CONCATENATE("#metadata!", ADDRESS(INDEX($AH$2:$AH$1001,MATCH(ROWS($AF$2:AF455),$AF$2:$AF$1001,0),0), INDEX($AM$1004:$BM$1004,1,MATCH(COLUMNS($AM$1006:BC1006),$AM$1006:$BM$1006,0)))),"Fix")))</f>
        <v xml:space="preserve"> </v>
      </c>
      <c r="S455" s="4" t="str">
        <f ca="1">IF(OR(INDEX($AG$2:$AG$1001,MATCH(ROWS($AF$2:AF455),$AF$2:$AF$1001,0),1)&gt;=100000,INDEX($AM$1005:$BM$1005,1,MATCH(COLUMNS($AM$1006:BD1006),$AM$1006:$BM$1006,0))&gt;=100000), " ",IF(INDEX($AM$2:$BM$1001,MATCH(ROWS($AF$2:AF455),$AF$2:$AF$1001,0),MATCH(COLUMNS($AM$1006:BD1006),$AM$1006:$BM$1006,0)), HYPERLINK("#",""), HYPERLINK(CONCATENATE("#metadata!", ADDRESS(INDEX($AH$2:$AH$1001,MATCH(ROWS($AF$2:AF455),$AF$2:$AF$1001,0),0), INDEX($AM$1004:$BM$1004,1,MATCH(COLUMNS($AM$1006:BD1006),$AM$1006:$BM$1006,0)))),"Fix")))</f>
        <v xml:space="preserve"> </v>
      </c>
      <c r="T455" s="4" t="str">
        <f ca="1">IF(OR(INDEX($AG$2:$AG$1001,MATCH(ROWS($AF$2:AF455),$AF$2:$AF$1001,0),1)&gt;=100000,INDEX($AM$1005:$BM$1005,1,MATCH(COLUMNS($AM$1006:BE1006),$AM$1006:$BM$1006,0))&gt;=100000), " ",IF(INDEX($AM$2:$BM$1001,MATCH(ROWS($AF$2:AF455),$AF$2:$AF$1001,0),MATCH(COLUMNS($AM$1006:BE1006),$AM$1006:$BM$1006,0)), HYPERLINK("#",""), HYPERLINK(CONCATENATE("#metadata!", ADDRESS(INDEX($AH$2:$AH$1001,MATCH(ROWS($AF$2:AF455),$AF$2:$AF$1001,0),0), INDEX($AM$1004:$BM$1004,1,MATCH(COLUMNS($AM$1006:BE1006),$AM$1006:$BM$1006,0)))),"Fix")))</f>
        <v xml:space="preserve"> </v>
      </c>
      <c r="U455" s="4" t="str">
        <f ca="1">IF(OR(INDEX($AG$2:$AG$1001,MATCH(ROWS($AF$2:AF455),$AF$2:$AF$1001,0),1)&gt;=100000,INDEX($AM$1005:$BM$1005,1,MATCH(COLUMNS($AM$1006:BF1006),$AM$1006:$BM$1006,0))&gt;=100000), " ",IF(INDEX($AM$2:$BM$1001,MATCH(ROWS($AF$2:AF455),$AF$2:$AF$1001,0),MATCH(COLUMNS($AM$1006:BF1006),$AM$1006:$BM$1006,0)), HYPERLINK("#",""), HYPERLINK(CONCATENATE("#metadata!", ADDRESS(INDEX($AH$2:$AH$1001,MATCH(ROWS($AF$2:AF455),$AF$2:$AF$1001,0),0), INDEX($AM$1004:$BM$1004,1,MATCH(COLUMNS($AM$1006:BF1006),$AM$1006:$BM$1006,0)))),"Fix")))</f>
        <v xml:space="preserve"> </v>
      </c>
      <c r="V455" s="4" t="str">
        <f ca="1">IF(OR(INDEX($AG$2:$AG$1001,MATCH(ROWS($AF$2:AF455),$AF$2:$AF$1001,0),1)&gt;=100000,INDEX($AM$1005:$BM$1005,1,MATCH(COLUMNS($AM$1006:BG1006),$AM$1006:$BM$1006,0))&gt;=100000), " ",IF(INDEX($AM$2:$BM$1001,MATCH(ROWS($AF$2:AF455),$AF$2:$AF$1001,0),MATCH(COLUMNS($AM$1006:BG1006),$AM$1006:$BM$1006,0)), HYPERLINK("#",""), HYPERLINK(CONCATENATE("#metadata!", ADDRESS(INDEX($AH$2:$AH$1001,MATCH(ROWS($AF$2:AF455),$AF$2:$AF$1001,0),0), INDEX($AM$1004:$BM$1004,1,MATCH(COLUMNS($AM$1006:BG1006),$AM$1006:$BM$1006,0)))),"Fix")))</f>
        <v xml:space="preserve"> </v>
      </c>
      <c r="W455" s="4" t="str">
        <f ca="1">IF(OR(INDEX($AG$2:$AG$1001,MATCH(ROWS($AF$2:AF455),$AF$2:$AF$1001,0),1)&gt;=100000,INDEX($AM$1005:$BM$1005,1,MATCH(COLUMNS($AM$1006:BH1006),$AM$1006:$BM$1006,0))&gt;=100000), " ",IF(INDEX($AM$2:$BM$1001,MATCH(ROWS($AF$2:AF455),$AF$2:$AF$1001,0),MATCH(COLUMNS($AM$1006:BH1006),$AM$1006:$BM$1006,0)), HYPERLINK("#",""), HYPERLINK(CONCATENATE("#metadata!", ADDRESS(INDEX($AH$2:$AH$1001,MATCH(ROWS($AF$2:AF455),$AF$2:$AF$1001,0),0), INDEX($AM$1004:$BM$1004,1,MATCH(COLUMNS($AM$1006:BH1006),$AM$1006:$BM$1006,0)))),"Fix")))</f>
        <v xml:space="preserve"> </v>
      </c>
      <c r="X455" s="4" t="str">
        <f ca="1">IF(OR(INDEX($AG$2:$AG$1001,MATCH(ROWS($AF$2:AF455),$AF$2:$AF$1001,0),1)&gt;=100000,INDEX($AM$1005:$BM$1005,1,MATCH(COLUMNS($AM$1006:BI1006),$AM$1006:$BM$1006,0))&gt;=100000), " ",IF(INDEX($AM$2:$BM$1001,MATCH(ROWS($AF$2:AF455),$AF$2:$AF$1001,0),MATCH(COLUMNS($AM$1006:BI1006),$AM$1006:$BM$1006,0)), HYPERLINK("#",""), HYPERLINK(CONCATENATE("#metadata!", ADDRESS(INDEX($AH$2:$AH$1001,MATCH(ROWS($AF$2:AF455),$AF$2:$AF$1001,0),0), INDEX($AM$1004:$BM$1004,1,MATCH(COLUMNS($AM$1006:BI1006),$AM$1006:$BM$1006,0)))),"Fix")))</f>
        <v xml:space="preserve"> </v>
      </c>
      <c r="Y455" s="4" t="str">
        <f ca="1">IF(OR(INDEX($AG$2:$AG$1001,MATCH(ROWS($AF$2:AF455),$AF$2:$AF$1001,0),1)&gt;=100000,INDEX($AM$1005:$BM$1005,1,MATCH(COLUMNS($AM$1006:BJ1006),$AM$1006:$BM$1006,0))&gt;=100000), " ",IF(INDEX($AM$2:$BM$1001,MATCH(ROWS($AF$2:AF455),$AF$2:$AF$1001,0),MATCH(COLUMNS($AM$1006:BJ1006),$AM$1006:$BM$1006,0)), HYPERLINK("#",""), HYPERLINK(CONCATENATE("#metadata!", ADDRESS(INDEX($AH$2:$AH$1001,MATCH(ROWS($AF$2:AF455),$AF$2:$AF$1001,0),0), INDEX($AM$1004:$BM$1004,1,MATCH(COLUMNS($AM$1006:BJ1006),$AM$1006:$BM$1006,0)))),"Fix")))</f>
        <v xml:space="preserve"> </v>
      </c>
      <c r="Z455" s="4" t="str">
        <f ca="1">IF(OR(INDEX($AG$2:$AG$1001,MATCH(ROWS($AF$2:AF455),$AF$2:$AF$1001,0),1)&gt;=100000,INDEX($AM$1005:$BM$1005,1,MATCH(COLUMNS($AM$1006:BK1006),$AM$1006:$BM$1006,0))&gt;=100000), " ",IF(INDEX($AM$2:$BM$1001,MATCH(ROWS($AF$2:AF455),$AF$2:$AF$1001,0),MATCH(COLUMNS($AM$1006:BK1006),$AM$1006:$BM$1006,0)), HYPERLINK("#",""), HYPERLINK(CONCATENATE("#metadata!", ADDRESS(INDEX($AH$2:$AH$1001,MATCH(ROWS($AF$2:AF455),$AF$2:$AF$1001,0),0), INDEX($AM$1004:$BM$1004,1,MATCH(COLUMNS($AM$1006:BK1006),$AM$1006:$BM$1006,0)))),"Fix")))</f>
        <v xml:space="preserve"> </v>
      </c>
      <c r="AA455" s="4" t="str">
        <f ca="1">IF(OR(INDEX($AG$2:$AG$1001,MATCH(ROWS($AF$2:AF455),$AF$2:$AF$1001,0),1)&gt;=100000,INDEX($AM$1005:$BM$1005,1,MATCH(COLUMNS($AM$1006:BL1006),$AM$1006:$BM$1006,0))&gt;=100000), " ",IF(INDEX($AM$2:$BM$1001,MATCH(ROWS($AF$2:AF455),$AF$2:$AF$1001,0),MATCH(COLUMNS($AM$1006:BL1006),$AM$1006:$BM$1006,0)), HYPERLINK("#",""), HYPERLINK(CONCATENATE("#metadata!", ADDRESS(INDEX($AH$2:$AH$1001,MATCH(ROWS($AF$2:AF455),$AF$2:$AF$1001,0),0), INDEX($AM$1004:$BM$1004,1,MATCH(COLUMNS($AM$1006:BL1006),$AM$1006:$BM$1006,0)))),"Fix")))</f>
        <v xml:space="preserve"> </v>
      </c>
      <c r="AB455" s="4" t="str">
        <f ca="1">IF(OR(INDEX($AG$2:$AG$1001,MATCH(ROWS($AF$2:AF455),$AF$2:$AF$1001,0),1)&gt;=100000,INDEX($AM$1005:$BM$1005,1,MATCH(COLUMNS($AM$1006:BM1006),$AM$1006:$BM$1006,0))&gt;=100000), " ",IF(INDEX($AM$2:$BM$1001,MATCH(ROWS($AF$2:AF455),$AF$2:$AF$1001,0),MATCH(COLUMNS($AM$1006:BM1006),$AM$1006:$BM$1006,0)), HYPERLINK("#",""), HYPERLINK(CONCATENATE("#metadata!", ADDRESS(INDEX($AH$2:$AH$1001,MATCH(ROWS($AF$2:AF455),$AF$2:$AF$1001,0),0), INDEX($AM$1004:$BM$1004,1,MATCH(COLUMNS($AM$1006:BM1006),$AM$1006:$BM$1006,0)))),"Fix")))</f>
        <v xml:space="preserve"> </v>
      </c>
      <c r="AF455">
        <v>454</v>
      </c>
      <c r="AG455">
        <v>100455</v>
      </c>
      <c r="AH455">
        <v>455</v>
      </c>
      <c r="AI455" t="b">
        <f t="shared" si="7"/>
        <v>1</v>
      </c>
      <c r="AJ455" t="b">
        <f>COUNTBLANK(metadata!B455:AB455)=COLUMNS(metadata!B455:AB455)</f>
        <v>1</v>
      </c>
      <c r="AK455" t="str">
        <v/>
      </c>
      <c r="AM455" t="b">
        <f ca="1">AND(IF(metadata!B455="",FALSE,TRUE),COUNTIF(metadata!B:B, metadata!B455) = 1,NOT(ISERROR(SUMPRODUCT(SEARCH(MID(metadata!B455,ROW(INDIRECT("1:"&amp;LEN(metadata!B455))), 1),"0123456789abcdefghijklmnopqrstuvwxyzABCDEFGHIJKLMNOPQRSTUVWXYZ.")))))</f>
        <v>0</v>
      </c>
      <c r="AN455" t="b">
        <f ca="1">OR(AND(IF(metadata!C455="",FALSE,TRUE),OR(EXACT(metadata!C455,"missing: not collected"),EXACT(metadata!C455,"missing: not provided"),EXACT(metadata!C455,"missing: restricted access"))),AND(IF(metadata!C455="",FALSE,TRUE),AND(AND(IFERROR(INT(LEFT(metadata!C455,4))&gt;1900,FALSE),IFERROR(INT(LEFT(metadata!C455,4))&lt;=YEAR(NOW()),FALSE)), OR(MID(metadata!C455,5,1)="", AND(AND(MID(metadata!C455,5,1)="-",IFERROR(INT(MID(metadata!C455,6,1))&gt;=0,FALSE),IFERROR(INT(MID(metadata!C455,6,1))&lt;=1,FALSE),NOT(MID(metadata!C455,7,1)=""),IFERROR(INT(MID(metadata!C455,6,2))&gt;=1,FALSE),IFERROR(INT(MID(metadata!C455,6,2))&lt;=12,FALSE)), OR(MID(metadata!C455,8,1)="", AND(AND(MID(metadata!C455,8,1)="-",IFERROR(INT(MID(metadata!C455,9,1))&gt;=0,FALSE),IFERROR(INT(MID(metadata!C455,9,1))&lt;=3,FALSE),NOT(MID(metadata!C455,10,1)=""),IFERROR(INT(MID(metadata!C455,9,2))&gt;=1,FALSE),IFERROR(INT(MID(metadata!C455,9,2))&lt;=31,FALSE)), OR(MID(metadata!C455,11,1)="", AND(AND(MID(metadata!C455,11,1)=" ",IFERROR(INT(MID(metadata!C455,12,1))&gt;=0,FALSE),IFERROR(INT(MID(metadata!C455,12,1))&lt;=2,FALSE),NOT(MID(metadata!C455,13,1)=""),IFERROR(INT(MID(metadata!C455,12,2))&gt;=0,FALSE),IFERROR(INT(MID(metadata!C455,12,2))&lt;=23,FALSE)), OR(MID(metadata!C455,14,1)="", AND(AND(MID(metadata!C455,14,1)=":",IFERROR(INT(MID(metadata!C455,15,1))&gt;=0,FALSE),IFERROR(INT(MID(metadata!C455,15,1))&lt;=5,FALSE),NOT(MID(metadata!C455,16,1)=""),IFERROR(INT(MID(metadata!C455,15,2))&gt;=0,FALSE),IFERROR(INT(MID(metadata!C455,15,2))&lt;=59,FALSE)), OR(MID(metadata!C455,17,1)="", AND(AND(MID(metadata!C455,17,1)=":",IFERROR(INT(MID(metadata!C455,18,1))&gt;=0,FALSE),IFERROR(INT(MID(metadata!C455,18,1))&lt;=5,FALSE),NOT(MID(metadata!C455,19,1)=""),IFERROR(INT(MID(metadata!C455,18,2))&gt;=0,FALSE),IFERROR(INT(MID(metadata!C455,18,2))&lt;=59,FALSE)), LEN(metadata!C455)&lt;=19)))))))))))))</f>
        <v>0</v>
      </c>
      <c r="AO455" t="b">
        <f>AND(IF(metadata!D455="",FALSE,TRUE),EXACT(metadata!D455,"Not applicable"))</f>
        <v>0</v>
      </c>
      <c r="AP455" t="b">
        <f>IF(metadata!E455="",FALSE,TRUE)</f>
        <v>0</v>
      </c>
      <c r="AQ455" t="b">
        <f>OR(AND(IF(metadata!F455="",FALSE,TRUE),OR(EXACT(metadata!F455,"missing: not collected"),EXACT(metadata!F455,"missing: not provided"))),AND(IF(metadata!F455="",FALSE,TRUE),OR(EXACT(metadata!F455,"TRUE"),EXACT(metadata!F455,"FALSE"))))</f>
        <v>0</v>
      </c>
      <c r="AR455" t="b">
        <f>OR(AND(IF(metadata!G455="",FALSE,TRUE),OR(EXACT(metadata!G455,"missing: not collected"),EXACT(metadata!G455,"missing: not provided"),EXACT(metadata!G455,"missing: restricted access"))),AND(IF(metadata!G455="",FALSE,ISNUMBER(VALUE(metadata!G455))),metadata!G455&gt;=-413))</f>
        <v>0</v>
      </c>
      <c r="AS455" t="b">
        <f>AND(IF(metadata!H455="",FALSE,TRUE),EXACT(metadata!H455,"meters"))</f>
        <v>0</v>
      </c>
      <c r="AT455" t="b">
        <f>AND(IF(metadata!I455="",FALSE,TRUE),OR(EXACT(metadata!I455,"Host-associated"),EXACT(metadata!I455,"Free-living")))</f>
        <v>0</v>
      </c>
      <c r="AU455" t="b">
        <f>AND(IF(metadata!J455="",FALSE,TRUE),OR(EXACT(metadata!J455,"Animal"),EXACT(metadata!J455,"Fungus"),EXACT(metadata!J455,"Plant"),EXACT(metadata!J455,"Saline"),EXACT(metadata!J455,"Non-saline")))</f>
        <v>0</v>
      </c>
      <c r="AV455" t="b">
        <f>AND(IF(metadata!K455="",FALSE,TRUE),OR(EXACT(metadata!K455,"Plant secretion"),EXACT(metadata!K455,"Plant rhizosphere"),EXACT(metadata!K455,"Plant surface"),EXACT(metadata!K455,"Plant corpus"),EXACT(metadata!K455,"Fungus surface"),EXACT(metadata!K455,"Fungus corpus"),EXACT(metadata!K455,"Animal surface"),EXACT(metadata!K455,"Animal proximal gut"),EXACT(metadata!K455,"Animal corpus"),EXACT(metadata!K455,"Animal distal gut"),EXACT(metadata!K455,"Animal secretion"),EXACT(metadata!K455,"Sub-surface (non-saline)"),EXACT(metadata!K455,"Surface (non-saline)"),EXACT(metadata!K455,"Water (non-saline)"),EXACT(metadata!K455,"Soil (non-saline)"),EXACT(metadata!K455,"Aerosol (non-saline)"),EXACT(metadata!K455,"Sediment (non-saline)"),EXACT(metadata!K455,"Surface (saline)"),EXACT(metadata!K455,"Water (saline)"),EXACT(metadata!K455,"Hypersaline (saline)"),EXACT(metadata!K455,"Aerosol (saline)"),EXACT(metadata!K455,"Sediment (saline)")))</f>
        <v>0</v>
      </c>
      <c r="AW455" t="b">
        <f>IF(metadata!L455="",FALSE,TRUE)</f>
        <v>0</v>
      </c>
      <c r="AX455" t="b">
        <f>IF(metadata!M455="",FALSE,TRUE)</f>
        <v>0</v>
      </c>
      <c r="AY455" t="b">
        <f>IF(metadata!N455="",FALSE,TRUE)</f>
        <v>0</v>
      </c>
      <c r="AZ455" t="b">
        <f>OR(AND(IF(metadata!O455="",FALSE,TRUE),OR(EXACT(metadata!O455,"missing: not collected"),EXACT(metadata!O455,"missing: not provided"),EXACT(metadata!O455,"missing: restricted access"))),AND(IF(metadata!O455="",FALSE,TRUE),OR(EXACT(metadata!O455,"air"),EXACT(metadata!O455,"built environment"),EXACT(metadata!O455,"host-associated"),EXACT(metadata!O455,"human-associated"),EXACT(metadata!O455,"human-skin"),EXACT(metadata!O455,"human-oral"),EXACT(metadata!O455,"human-gut"),EXACT(metadata!O455,"human-vaginal"),EXACT(metadata!O455,"microbial mat/biofilm"),EXACT(metadata!O455,"misc environment"),EXACT(metadata!O455,"plant-associated"),EXACT(metadata!O455,"sediment"),EXACT(metadata!O455,"soil"),EXACT(metadata!O455,"wastewater/sludge"),EXACT(metadata!O455,"water"))))</f>
        <v>0</v>
      </c>
      <c r="BA455" t="b">
        <f>IF(metadata!P455="",FALSE,TRUE)</f>
        <v>0</v>
      </c>
      <c r="BB455" t="b">
        <f>IF(metadata!Q455="",FALSE,TRUE)</f>
        <v>0</v>
      </c>
      <c r="BC455" t="b">
        <f>OR(AND(IF(metadata!R455="",FALSE,TRUE),OR(EXACT(metadata!R455,"missing: not collected"),EXACT(metadata!R455,"missing: not provided"),EXACT(metadata!R455,"missing: restricted access"))),AND(IF(metadata!R455="",FALSE,ISNUMBER(VALUE(metadata!R455))),metadata!R455&gt;=-90,metadata!R455&lt;=90))</f>
        <v>0</v>
      </c>
      <c r="BD455" t="b">
        <f>AND(IF(metadata!S455="",FALSE,TRUE),EXACT(metadata!S455,"Decimal degrees"))</f>
        <v>0</v>
      </c>
      <c r="BE455" t="b">
        <f>OR(AND(IF(metadata!T455="",FALSE,TRUE),OR(EXACT(metadata!T455,"missing: not collected"),EXACT(metadata!T455,"missing: not provided"),EXACT(metadata!T455,"missing: restricted access"))),AND(IF(metadata!T455="",FALSE,ISNUMBER(VALUE(metadata!T455))),metadata!T455&gt;=-180,metadata!T455&lt;=180))</f>
        <v>0</v>
      </c>
      <c r="BF455" t="b">
        <f>AND(IF(metadata!U455="",FALSE,TRUE),EXACT(metadata!U455,"Decimal degrees"))</f>
        <v>0</v>
      </c>
      <c r="BG455" t="b">
        <f>IF(metadata!V455="",FALSE,TRUE)</f>
        <v>0</v>
      </c>
      <c r="BH455" t="b">
        <f>OR(AND(IF(metadata!W455="",FALSE,TRUE),OR(EXACT(metadata!W455,"missing: not collected"),EXACT(metadata!W455,"missing: not provided"),EXACT(metadata!W455,"missing: restricted access"))),AND(IF(metadata!W455="",FALSE,TRUE),OR(EXACT(metadata!W455,"TRUE"),EXACT(metadata!W455,"FALSE"))))</f>
        <v>0</v>
      </c>
      <c r="BI455" t="b">
        <f>AND(IF(metadata!X455="",FALSE,TRUE),EXACT(metadata!X455,"other"))</f>
        <v>0</v>
      </c>
      <c r="BJ455" t="b">
        <f>IF(metadata!Y455="",FALSE,TRUE)</f>
        <v>0</v>
      </c>
      <c r="BK455" t="b">
        <f>OR(AND(IF(metadata!Z455="",FALSE,TRUE),OR(EXACT(metadata!Z455,"missing: not collected"),EXACT(metadata!Z455,"missing: not provided"))),AND(IF(metadata!Z455="",FALSE,IF(ISERROR(INT(metadata!Z455)),FALSE,INT(metadata!Z455)=metadata!Z455)),metadata!Z455&gt;0))</f>
        <v>0</v>
      </c>
      <c r="BL455" t="b">
        <f>AND(IF(metadata!AA455="",FALSE,TRUE),EXACT(metadata!AA455,"Not applicable"))</f>
        <v>0</v>
      </c>
      <c r="BM455" t="b">
        <f>IF(metadata!AB455="",FALSE,TRUE)</f>
        <v>0</v>
      </c>
    </row>
    <row r="456" spans="1:65" x14ac:dyDescent="0.2">
      <c r="A456" s="5" t="str">
        <f ca="1">IF(B456=" "," ",HYPERLINK(CONCATENATE("#metadata!",ADDRESS(INDEX($AH$2:$AH$1001,MATCH(ROWS($AF$2:AF456),$AF$2:$AF$1001,0),0),1)),INDEX($AK$2:$AK$1001,MATCH(ROWS($AF$2:AF456),$AF$2:$AF$1001,0),0)))</f>
        <v xml:space="preserve"> </v>
      </c>
      <c r="B456" s="4" t="str">
        <f ca="1">IF(OR(INDEX($AG$2:$AG$1001,MATCH(ROWS($AF$2:AF456),$AF$2:$AF$1001,0),1)&gt;=100000,INDEX($AM$1005:$BM$1005,1,MATCH(COLUMNS($AM$1006:AM1006),$AM$1006:$BM$1006,0))&gt;=100000), " ",IF(INDEX($AM$2:$BM$1001,MATCH(ROWS($AF$2:AF456),$AF$2:$AF$1001,0),MATCH(COLUMNS($AM$1006:AM1006),$AM$1006:$BM$1006,0)), HYPERLINK("#",""), HYPERLINK(CONCATENATE("#metadata!", ADDRESS(INDEX($AH$2:$AH$1001,MATCH(ROWS($AF$2:AF456),$AF$2:$AF$1001,0),0), INDEX($AM$1004:$BM$1004,1,MATCH(COLUMNS($AM$1006:AM1006),$AM$1006:$BM$1006,0)))),"Fix")))</f>
        <v xml:space="preserve"> </v>
      </c>
      <c r="C456" s="4" t="str">
        <f ca="1">IF(OR(INDEX($AG$2:$AG$1001,MATCH(ROWS($AF$2:AF456),$AF$2:$AF$1001,0),1)&gt;=100000,INDEX($AM$1005:$BM$1005,1,MATCH(COLUMNS($AM$1006:AN1006),$AM$1006:$BM$1006,0))&gt;=100000), " ",IF(INDEX($AM$2:$BM$1001,MATCH(ROWS($AF$2:AF456),$AF$2:$AF$1001,0),MATCH(COLUMNS($AM$1006:AN1006),$AM$1006:$BM$1006,0)), HYPERLINK("#",""), HYPERLINK(CONCATENATE("#metadata!", ADDRESS(INDEX($AH$2:$AH$1001,MATCH(ROWS($AF$2:AF456),$AF$2:$AF$1001,0),0), INDEX($AM$1004:$BM$1004,1,MATCH(COLUMNS($AM$1006:AN1006),$AM$1006:$BM$1006,0)))),"Fix")))</f>
        <v xml:space="preserve"> </v>
      </c>
      <c r="D456" s="4" t="str">
        <f ca="1">IF(OR(INDEX($AG$2:$AG$1001,MATCH(ROWS($AF$2:AF456),$AF$2:$AF$1001,0),1)&gt;=100000,INDEX($AM$1005:$BM$1005,1,MATCH(COLUMNS($AM$1006:AO1006),$AM$1006:$BM$1006,0))&gt;=100000), " ",IF(INDEX($AM$2:$BM$1001,MATCH(ROWS($AF$2:AF456),$AF$2:$AF$1001,0),MATCH(COLUMNS($AM$1006:AO1006),$AM$1006:$BM$1006,0)), HYPERLINK("#",""), HYPERLINK(CONCATENATE("#metadata!", ADDRESS(INDEX($AH$2:$AH$1001,MATCH(ROWS($AF$2:AF456),$AF$2:$AF$1001,0),0), INDEX($AM$1004:$BM$1004,1,MATCH(COLUMNS($AM$1006:AO1006),$AM$1006:$BM$1006,0)))),"Fix")))</f>
        <v xml:space="preserve"> </v>
      </c>
      <c r="E456" s="4" t="str">
        <f ca="1">IF(OR(INDEX($AG$2:$AG$1001,MATCH(ROWS($AF$2:AF456),$AF$2:$AF$1001,0),1)&gt;=100000,INDEX($AM$1005:$BM$1005,1,MATCH(COLUMNS($AM$1006:AP1006),$AM$1006:$BM$1006,0))&gt;=100000), " ",IF(INDEX($AM$2:$BM$1001,MATCH(ROWS($AF$2:AF456),$AF$2:$AF$1001,0),MATCH(COLUMNS($AM$1006:AP1006),$AM$1006:$BM$1006,0)), HYPERLINK("#",""), HYPERLINK(CONCATENATE("#metadata!", ADDRESS(INDEX($AH$2:$AH$1001,MATCH(ROWS($AF$2:AF456),$AF$2:$AF$1001,0),0), INDEX($AM$1004:$BM$1004,1,MATCH(COLUMNS($AM$1006:AP1006),$AM$1006:$BM$1006,0)))),"Fix")))</f>
        <v xml:space="preserve"> </v>
      </c>
      <c r="F456" s="4" t="str">
        <f ca="1">IF(OR(INDEX($AG$2:$AG$1001,MATCH(ROWS($AF$2:AF456),$AF$2:$AF$1001,0),1)&gt;=100000,INDEX($AM$1005:$BM$1005,1,MATCH(COLUMNS($AM$1006:AQ1006),$AM$1006:$BM$1006,0))&gt;=100000), " ",IF(INDEX($AM$2:$BM$1001,MATCH(ROWS($AF$2:AF456),$AF$2:$AF$1001,0),MATCH(COLUMNS($AM$1006:AQ1006),$AM$1006:$BM$1006,0)), HYPERLINK("#",""), HYPERLINK(CONCATENATE("#metadata!", ADDRESS(INDEX($AH$2:$AH$1001,MATCH(ROWS($AF$2:AF456),$AF$2:$AF$1001,0),0), INDEX($AM$1004:$BM$1004,1,MATCH(COLUMNS($AM$1006:AQ1006),$AM$1006:$BM$1006,0)))),"Fix")))</f>
        <v xml:space="preserve"> </v>
      </c>
      <c r="G456" s="4" t="str">
        <f ca="1">IF(OR(INDEX($AG$2:$AG$1001,MATCH(ROWS($AF$2:AF456),$AF$2:$AF$1001,0),1)&gt;=100000,INDEX($AM$1005:$BM$1005,1,MATCH(COLUMNS($AM$1006:AR1006),$AM$1006:$BM$1006,0))&gt;=100000), " ",IF(INDEX($AM$2:$BM$1001,MATCH(ROWS($AF$2:AF456),$AF$2:$AF$1001,0),MATCH(COLUMNS($AM$1006:AR1006),$AM$1006:$BM$1006,0)), HYPERLINK("#",""), HYPERLINK(CONCATENATE("#metadata!", ADDRESS(INDEX($AH$2:$AH$1001,MATCH(ROWS($AF$2:AF456),$AF$2:$AF$1001,0),0), INDEX($AM$1004:$BM$1004,1,MATCH(COLUMNS($AM$1006:AR1006),$AM$1006:$BM$1006,0)))),"Fix")))</f>
        <v xml:space="preserve"> </v>
      </c>
      <c r="H456" s="4" t="str">
        <f ca="1">IF(OR(INDEX($AG$2:$AG$1001,MATCH(ROWS($AF$2:AF456),$AF$2:$AF$1001,0),1)&gt;=100000,INDEX($AM$1005:$BM$1005,1,MATCH(COLUMNS($AM$1006:AS1006),$AM$1006:$BM$1006,0))&gt;=100000), " ",IF(INDEX($AM$2:$BM$1001,MATCH(ROWS($AF$2:AF456),$AF$2:$AF$1001,0),MATCH(COLUMNS($AM$1006:AS1006),$AM$1006:$BM$1006,0)), HYPERLINK("#",""), HYPERLINK(CONCATENATE("#metadata!", ADDRESS(INDEX($AH$2:$AH$1001,MATCH(ROWS($AF$2:AF456),$AF$2:$AF$1001,0),0), INDEX($AM$1004:$BM$1004,1,MATCH(COLUMNS($AM$1006:AS1006),$AM$1006:$BM$1006,0)))),"Fix")))</f>
        <v xml:space="preserve"> </v>
      </c>
      <c r="I456" s="4" t="str">
        <f ca="1">IF(OR(INDEX($AG$2:$AG$1001,MATCH(ROWS($AF$2:AF456),$AF$2:$AF$1001,0),1)&gt;=100000,INDEX($AM$1005:$BM$1005,1,MATCH(COLUMNS($AM$1006:AT1006),$AM$1006:$BM$1006,0))&gt;=100000), " ",IF(INDEX($AM$2:$BM$1001,MATCH(ROWS($AF$2:AF456),$AF$2:$AF$1001,0),MATCH(COLUMNS($AM$1006:AT1006),$AM$1006:$BM$1006,0)), HYPERLINK("#",""), HYPERLINK(CONCATENATE("#metadata!", ADDRESS(INDEX($AH$2:$AH$1001,MATCH(ROWS($AF$2:AF456),$AF$2:$AF$1001,0),0), INDEX($AM$1004:$BM$1004,1,MATCH(COLUMNS($AM$1006:AT1006),$AM$1006:$BM$1006,0)))),"Fix")))</f>
        <v xml:space="preserve"> </v>
      </c>
      <c r="J456" s="4" t="str">
        <f ca="1">IF(OR(INDEX($AG$2:$AG$1001,MATCH(ROWS($AF$2:AF456),$AF$2:$AF$1001,0),1)&gt;=100000,INDEX($AM$1005:$BM$1005,1,MATCH(COLUMNS($AM$1006:AU1006),$AM$1006:$BM$1006,0))&gt;=100000), " ",IF(INDEX($AM$2:$BM$1001,MATCH(ROWS($AF$2:AF456),$AF$2:$AF$1001,0),MATCH(COLUMNS($AM$1006:AU1006),$AM$1006:$BM$1006,0)), HYPERLINK("#",""), HYPERLINK(CONCATENATE("#metadata!", ADDRESS(INDEX($AH$2:$AH$1001,MATCH(ROWS($AF$2:AF456),$AF$2:$AF$1001,0),0), INDEX($AM$1004:$BM$1004,1,MATCH(COLUMNS($AM$1006:AU1006),$AM$1006:$BM$1006,0)))),"Fix")))</f>
        <v xml:space="preserve"> </v>
      </c>
      <c r="K456" s="4" t="str">
        <f ca="1">IF(OR(INDEX($AG$2:$AG$1001,MATCH(ROWS($AF$2:AF456),$AF$2:$AF$1001,0),1)&gt;=100000,INDEX($AM$1005:$BM$1005,1,MATCH(COLUMNS($AM$1006:AV1006),$AM$1006:$BM$1006,0))&gt;=100000), " ",IF(INDEX($AM$2:$BM$1001,MATCH(ROWS($AF$2:AF456),$AF$2:$AF$1001,0),MATCH(COLUMNS($AM$1006:AV1006),$AM$1006:$BM$1006,0)), HYPERLINK("#",""), HYPERLINK(CONCATENATE("#metadata!", ADDRESS(INDEX($AH$2:$AH$1001,MATCH(ROWS($AF$2:AF456),$AF$2:$AF$1001,0),0), INDEX($AM$1004:$BM$1004,1,MATCH(COLUMNS($AM$1006:AV1006),$AM$1006:$BM$1006,0)))),"Fix")))</f>
        <v xml:space="preserve"> </v>
      </c>
      <c r="L456" s="4" t="str">
        <f ca="1">IF(OR(INDEX($AG$2:$AG$1001,MATCH(ROWS($AF$2:AF456),$AF$2:$AF$1001,0),1)&gt;=100000,INDEX($AM$1005:$BM$1005,1,MATCH(COLUMNS($AM$1006:AW1006),$AM$1006:$BM$1006,0))&gt;=100000), " ",IF(INDEX($AM$2:$BM$1001,MATCH(ROWS($AF$2:AF456),$AF$2:$AF$1001,0),MATCH(COLUMNS($AM$1006:AW1006),$AM$1006:$BM$1006,0)), HYPERLINK("#",""), HYPERLINK(CONCATENATE("#metadata!", ADDRESS(INDEX($AH$2:$AH$1001,MATCH(ROWS($AF$2:AF456),$AF$2:$AF$1001,0),0), INDEX($AM$1004:$BM$1004,1,MATCH(COLUMNS($AM$1006:AW1006),$AM$1006:$BM$1006,0)))),"Fix")))</f>
        <v xml:space="preserve"> </v>
      </c>
      <c r="M456" s="4" t="str">
        <f ca="1">IF(OR(INDEX($AG$2:$AG$1001,MATCH(ROWS($AF$2:AF456),$AF$2:$AF$1001,0),1)&gt;=100000,INDEX($AM$1005:$BM$1005,1,MATCH(COLUMNS($AM$1006:AX1006),$AM$1006:$BM$1006,0))&gt;=100000), " ",IF(INDEX($AM$2:$BM$1001,MATCH(ROWS($AF$2:AF456),$AF$2:$AF$1001,0),MATCH(COLUMNS($AM$1006:AX1006),$AM$1006:$BM$1006,0)), HYPERLINK("#",""), HYPERLINK(CONCATENATE("#metadata!", ADDRESS(INDEX($AH$2:$AH$1001,MATCH(ROWS($AF$2:AF456),$AF$2:$AF$1001,0),0), INDEX($AM$1004:$BM$1004,1,MATCH(COLUMNS($AM$1006:AX1006),$AM$1006:$BM$1006,0)))),"Fix")))</f>
        <v xml:space="preserve"> </v>
      </c>
      <c r="N456" s="4" t="str">
        <f ca="1">IF(OR(INDEX($AG$2:$AG$1001,MATCH(ROWS($AF$2:AF456),$AF$2:$AF$1001,0),1)&gt;=100000,INDEX($AM$1005:$BM$1005,1,MATCH(COLUMNS($AM$1006:AY1006),$AM$1006:$BM$1006,0))&gt;=100000), " ",IF(INDEX($AM$2:$BM$1001,MATCH(ROWS($AF$2:AF456),$AF$2:$AF$1001,0),MATCH(COLUMNS($AM$1006:AY1006),$AM$1006:$BM$1006,0)), HYPERLINK("#",""), HYPERLINK(CONCATENATE("#metadata!", ADDRESS(INDEX($AH$2:$AH$1001,MATCH(ROWS($AF$2:AF456),$AF$2:$AF$1001,0),0), INDEX($AM$1004:$BM$1004,1,MATCH(COLUMNS($AM$1006:AY1006),$AM$1006:$BM$1006,0)))),"Fix")))</f>
        <v xml:space="preserve"> </v>
      </c>
      <c r="O456" s="4" t="str">
        <f ca="1">IF(OR(INDEX($AG$2:$AG$1001,MATCH(ROWS($AF$2:AF456),$AF$2:$AF$1001,0),1)&gt;=100000,INDEX($AM$1005:$BM$1005,1,MATCH(COLUMNS($AM$1006:AZ1006),$AM$1006:$BM$1006,0))&gt;=100000), " ",IF(INDEX($AM$2:$BM$1001,MATCH(ROWS($AF$2:AF456),$AF$2:$AF$1001,0),MATCH(COLUMNS($AM$1006:AZ1006),$AM$1006:$BM$1006,0)), HYPERLINK("#",""), HYPERLINK(CONCATENATE("#metadata!", ADDRESS(INDEX($AH$2:$AH$1001,MATCH(ROWS($AF$2:AF456),$AF$2:$AF$1001,0),0), INDEX($AM$1004:$BM$1004,1,MATCH(COLUMNS($AM$1006:AZ1006),$AM$1006:$BM$1006,0)))),"Fix")))</f>
        <v xml:space="preserve"> </v>
      </c>
      <c r="P456" s="4" t="str">
        <f ca="1">IF(OR(INDEX($AG$2:$AG$1001,MATCH(ROWS($AF$2:AF456),$AF$2:$AF$1001,0),1)&gt;=100000,INDEX($AM$1005:$BM$1005,1,MATCH(COLUMNS($AM$1006:BA1006),$AM$1006:$BM$1006,0))&gt;=100000), " ",IF(INDEX($AM$2:$BM$1001,MATCH(ROWS($AF$2:AF456),$AF$2:$AF$1001,0),MATCH(COLUMNS($AM$1006:BA1006),$AM$1006:$BM$1006,0)), HYPERLINK("#",""), HYPERLINK(CONCATENATE("#metadata!", ADDRESS(INDEX($AH$2:$AH$1001,MATCH(ROWS($AF$2:AF456),$AF$2:$AF$1001,0),0), INDEX($AM$1004:$BM$1004,1,MATCH(COLUMNS($AM$1006:BA1006),$AM$1006:$BM$1006,0)))),"Fix")))</f>
        <v xml:space="preserve"> </v>
      </c>
      <c r="Q456" s="4" t="str">
        <f ca="1">IF(OR(INDEX($AG$2:$AG$1001,MATCH(ROWS($AF$2:AF456),$AF$2:$AF$1001,0),1)&gt;=100000,INDEX($AM$1005:$BM$1005,1,MATCH(COLUMNS($AM$1006:BB1006),$AM$1006:$BM$1006,0))&gt;=100000), " ",IF(INDEX($AM$2:$BM$1001,MATCH(ROWS($AF$2:AF456),$AF$2:$AF$1001,0),MATCH(COLUMNS($AM$1006:BB1006),$AM$1006:$BM$1006,0)), HYPERLINK("#",""), HYPERLINK(CONCATENATE("#metadata!", ADDRESS(INDEX($AH$2:$AH$1001,MATCH(ROWS($AF$2:AF456),$AF$2:$AF$1001,0),0), INDEX($AM$1004:$BM$1004,1,MATCH(COLUMNS($AM$1006:BB1006),$AM$1006:$BM$1006,0)))),"Fix")))</f>
        <v xml:space="preserve"> </v>
      </c>
      <c r="R456" s="4" t="str">
        <f ca="1">IF(OR(INDEX($AG$2:$AG$1001,MATCH(ROWS($AF$2:AF456),$AF$2:$AF$1001,0),1)&gt;=100000,INDEX($AM$1005:$BM$1005,1,MATCH(COLUMNS($AM$1006:BC1006),$AM$1006:$BM$1006,0))&gt;=100000), " ",IF(INDEX($AM$2:$BM$1001,MATCH(ROWS($AF$2:AF456),$AF$2:$AF$1001,0),MATCH(COLUMNS($AM$1006:BC1006),$AM$1006:$BM$1006,0)), HYPERLINK("#",""), HYPERLINK(CONCATENATE("#metadata!", ADDRESS(INDEX($AH$2:$AH$1001,MATCH(ROWS($AF$2:AF456),$AF$2:$AF$1001,0),0), INDEX($AM$1004:$BM$1004,1,MATCH(COLUMNS($AM$1006:BC1006),$AM$1006:$BM$1006,0)))),"Fix")))</f>
        <v xml:space="preserve"> </v>
      </c>
      <c r="S456" s="4" t="str">
        <f ca="1">IF(OR(INDEX($AG$2:$AG$1001,MATCH(ROWS($AF$2:AF456),$AF$2:$AF$1001,0),1)&gt;=100000,INDEX($AM$1005:$BM$1005,1,MATCH(COLUMNS($AM$1006:BD1006),$AM$1006:$BM$1006,0))&gt;=100000), " ",IF(INDEX($AM$2:$BM$1001,MATCH(ROWS($AF$2:AF456),$AF$2:$AF$1001,0),MATCH(COLUMNS($AM$1006:BD1006),$AM$1006:$BM$1006,0)), HYPERLINK("#",""), HYPERLINK(CONCATENATE("#metadata!", ADDRESS(INDEX($AH$2:$AH$1001,MATCH(ROWS($AF$2:AF456),$AF$2:$AF$1001,0),0), INDEX($AM$1004:$BM$1004,1,MATCH(COLUMNS($AM$1006:BD1006),$AM$1006:$BM$1006,0)))),"Fix")))</f>
        <v xml:space="preserve"> </v>
      </c>
      <c r="T456" s="4" t="str">
        <f ca="1">IF(OR(INDEX($AG$2:$AG$1001,MATCH(ROWS($AF$2:AF456),$AF$2:$AF$1001,0),1)&gt;=100000,INDEX($AM$1005:$BM$1005,1,MATCH(COLUMNS($AM$1006:BE1006),$AM$1006:$BM$1006,0))&gt;=100000), " ",IF(INDEX($AM$2:$BM$1001,MATCH(ROWS($AF$2:AF456),$AF$2:$AF$1001,0),MATCH(COLUMNS($AM$1006:BE1006),$AM$1006:$BM$1006,0)), HYPERLINK("#",""), HYPERLINK(CONCATENATE("#metadata!", ADDRESS(INDEX($AH$2:$AH$1001,MATCH(ROWS($AF$2:AF456),$AF$2:$AF$1001,0),0), INDEX($AM$1004:$BM$1004,1,MATCH(COLUMNS($AM$1006:BE1006),$AM$1006:$BM$1006,0)))),"Fix")))</f>
        <v xml:space="preserve"> </v>
      </c>
      <c r="U456" s="4" t="str">
        <f ca="1">IF(OR(INDEX($AG$2:$AG$1001,MATCH(ROWS($AF$2:AF456),$AF$2:$AF$1001,0),1)&gt;=100000,INDEX($AM$1005:$BM$1005,1,MATCH(COLUMNS($AM$1006:BF1006),$AM$1006:$BM$1006,0))&gt;=100000), " ",IF(INDEX($AM$2:$BM$1001,MATCH(ROWS($AF$2:AF456),$AF$2:$AF$1001,0),MATCH(COLUMNS($AM$1006:BF1006),$AM$1006:$BM$1006,0)), HYPERLINK("#",""), HYPERLINK(CONCATENATE("#metadata!", ADDRESS(INDEX($AH$2:$AH$1001,MATCH(ROWS($AF$2:AF456),$AF$2:$AF$1001,0),0), INDEX($AM$1004:$BM$1004,1,MATCH(COLUMNS($AM$1006:BF1006),$AM$1006:$BM$1006,0)))),"Fix")))</f>
        <v xml:space="preserve"> </v>
      </c>
      <c r="V456" s="4" t="str">
        <f ca="1">IF(OR(INDEX($AG$2:$AG$1001,MATCH(ROWS($AF$2:AF456),$AF$2:$AF$1001,0),1)&gt;=100000,INDEX($AM$1005:$BM$1005,1,MATCH(COLUMNS($AM$1006:BG1006),$AM$1006:$BM$1006,0))&gt;=100000), " ",IF(INDEX($AM$2:$BM$1001,MATCH(ROWS($AF$2:AF456),$AF$2:$AF$1001,0),MATCH(COLUMNS($AM$1006:BG1006),$AM$1006:$BM$1006,0)), HYPERLINK("#",""), HYPERLINK(CONCATENATE("#metadata!", ADDRESS(INDEX($AH$2:$AH$1001,MATCH(ROWS($AF$2:AF456),$AF$2:$AF$1001,0),0), INDEX($AM$1004:$BM$1004,1,MATCH(COLUMNS($AM$1006:BG1006),$AM$1006:$BM$1006,0)))),"Fix")))</f>
        <v xml:space="preserve"> </v>
      </c>
      <c r="W456" s="4" t="str">
        <f ca="1">IF(OR(INDEX($AG$2:$AG$1001,MATCH(ROWS($AF$2:AF456),$AF$2:$AF$1001,0),1)&gt;=100000,INDEX($AM$1005:$BM$1005,1,MATCH(COLUMNS($AM$1006:BH1006),$AM$1006:$BM$1006,0))&gt;=100000), " ",IF(INDEX($AM$2:$BM$1001,MATCH(ROWS($AF$2:AF456),$AF$2:$AF$1001,0),MATCH(COLUMNS($AM$1006:BH1006),$AM$1006:$BM$1006,0)), HYPERLINK("#",""), HYPERLINK(CONCATENATE("#metadata!", ADDRESS(INDEX($AH$2:$AH$1001,MATCH(ROWS($AF$2:AF456),$AF$2:$AF$1001,0),0), INDEX($AM$1004:$BM$1004,1,MATCH(COLUMNS($AM$1006:BH1006),$AM$1006:$BM$1006,0)))),"Fix")))</f>
        <v xml:space="preserve"> </v>
      </c>
      <c r="X456" s="4" t="str">
        <f ca="1">IF(OR(INDEX($AG$2:$AG$1001,MATCH(ROWS($AF$2:AF456),$AF$2:$AF$1001,0),1)&gt;=100000,INDEX($AM$1005:$BM$1005,1,MATCH(COLUMNS($AM$1006:BI1006),$AM$1006:$BM$1006,0))&gt;=100000), " ",IF(INDEX($AM$2:$BM$1001,MATCH(ROWS($AF$2:AF456),$AF$2:$AF$1001,0),MATCH(COLUMNS($AM$1006:BI1006),$AM$1006:$BM$1006,0)), HYPERLINK("#",""), HYPERLINK(CONCATENATE("#metadata!", ADDRESS(INDEX($AH$2:$AH$1001,MATCH(ROWS($AF$2:AF456),$AF$2:$AF$1001,0),0), INDEX($AM$1004:$BM$1004,1,MATCH(COLUMNS($AM$1006:BI1006),$AM$1006:$BM$1006,0)))),"Fix")))</f>
        <v xml:space="preserve"> </v>
      </c>
      <c r="Y456" s="4" t="str">
        <f ca="1">IF(OR(INDEX($AG$2:$AG$1001,MATCH(ROWS($AF$2:AF456),$AF$2:$AF$1001,0),1)&gt;=100000,INDEX($AM$1005:$BM$1005,1,MATCH(COLUMNS($AM$1006:BJ1006),$AM$1006:$BM$1006,0))&gt;=100000), " ",IF(INDEX($AM$2:$BM$1001,MATCH(ROWS($AF$2:AF456),$AF$2:$AF$1001,0),MATCH(COLUMNS($AM$1006:BJ1006),$AM$1006:$BM$1006,0)), HYPERLINK("#",""), HYPERLINK(CONCATENATE("#metadata!", ADDRESS(INDEX($AH$2:$AH$1001,MATCH(ROWS($AF$2:AF456),$AF$2:$AF$1001,0),0), INDEX($AM$1004:$BM$1004,1,MATCH(COLUMNS($AM$1006:BJ1006),$AM$1006:$BM$1006,0)))),"Fix")))</f>
        <v xml:space="preserve"> </v>
      </c>
      <c r="Z456" s="4" t="str">
        <f ca="1">IF(OR(INDEX($AG$2:$AG$1001,MATCH(ROWS($AF$2:AF456),$AF$2:$AF$1001,0),1)&gt;=100000,INDEX($AM$1005:$BM$1005,1,MATCH(COLUMNS($AM$1006:BK1006),$AM$1006:$BM$1006,0))&gt;=100000), " ",IF(INDEX($AM$2:$BM$1001,MATCH(ROWS($AF$2:AF456),$AF$2:$AF$1001,0),MATCH(COLUMNS($AM$1006:BK1006),$AM$1006:$BM$1006,0)), HYPERLINK("#",""), HYPERLINK(CONCATENATE("#metadata!", ADDRESS(INDEX($AH$2:$AH$1001,MATCH(ROWS($AF$2:AF456),$AF$2:$AF$1001,0),0), INDEX($AM$1004:$BM$1004,1,MATCH(COLUMNS($AM$1006:BK1006),$AM$1006:$BM$1006,0)))),"Fix")))</f>
        <v xml:space="preserve"> </v>
      </c>
      <c r="AA456" s="4" t="str">
        <f ca="1">IF(OR(INDEX($AG$2:$AG$1001,MATCH(ROWS($AF$2:AF456),$AF$2:$AF$1001,0),1)&gt;=100000,INDEX($AM$1005:$BM$1005,1,MATCH(COLUMNS($AM$1006:BL1006),$AM$1006:$BM$1006,0))&gt;=100000), " ",IF(INDEX($AM$2:$BM$1001,MATCH(ROWS($AF$2:AF456),$AF$2:$AF$1001,0),MATCH(COLUMNS($AM$1006:BL1006),$AM$1006:$BM$1006,0)), HYPERLINK("#",""), HYPERLINK(CONCATENATE("#metadata!", ADDRESS(INDEX($AH$2:$AH$1001,MATCH(ROWS($AF$2:AF456),$AF$2:$AF$1001,0),0), INDEX($AM$1004:$BM$1004,1,MATCH(COLUMNS($AM$1006:BL1006),$AM$1006:$BM$1006,0)))),"Fix")))</f>
        <v xml:space="preserve"> </v>
      </c>
      <c r="AB456" s="4" t="str">
        <f ca="1">IF(OR(INDEX($AG$2:$AG$1001,MATCH(ROWS($AF$2:AF456),$AF$2:$AF$1001,0),1)&gt;=100000,INDEX($AM$1005:$BM$1005,1,MATCH(COLUMNS($AM$1006:BM1006),$AM$1006:$BM$1006,0))&gt;=100000), " ",IF(INDEX($AM$2:$BM$1001,MATCH(ROWS($AF$2:AF456),$AF$2:$AF$1001,0),MATCH(COLUMNS($AM$1006:BM1006),$AM$1006:$BM$1006,0)), HYPERLINK("#",""), HYPERLINK(CONCATENATE("#metadata!", ADDRESS(INDEX($AH$2:$AH$1001,MATCH(ROWS($AF$2:AF456),$AF$2:$AF$1001,0),0), INDEX($AM$1004:$BM$1004,1,MATCH(COLUMNS($AM$1006:BM1006),$AM$1006:$BM$1006,0)))),"Fix")))</f>
        <v xml:space="preserve"> </v>
      </c>
      <c r="AF456">
        <v>455</v>
      </c>
      <c r="AG456">
        <v>100456</v>
      </c>
      <c r="AH456">
        <v>456</v>
      </c>
      <c r="AI456" t="b">
        <f t="shared" si="7"/>
        <v>1</v>
      </c>
      <c r="AJ456" t="b">
        <f>COUNTBLANK(metadata!B456:AB456)=COLUMNS(metadata!B456:AB456)</f>
        <v>1</v>
      </c>
      <c r="AK456" t="str">
        <v/>
      </c>
      <c r="AM456" t="b">
        <f ca="1">AND(IF(metadata!B456="",FALSE,TRUE),COUNTIF(metadata!B:B, metadata!B456) = 1,NOT(ISERROR(SUMPRODUCT(SEARCH(MID(metadata!B456,ROW(INDIRECT("1:"&amp;LEN(metadata!B456))), 1),"0123456789abcdefghijklmnopqrstuvwxyzABCDEFGHIJKLMNOPQRSTUVWXYZ.")))))</f>
        <v>0</v>
      </c>
      <c r="AN456" t="b">
        <f ca="1">OR(AND(IF(metadata!C456="",FALSE,TRUE),OR(EXACT(metadata!C456,"missing: not collected"),EXACT(metadata!C456,"missing: not provided"),EXACT(metadata!C456,"missing: restricted access"))),AND(IF(metadata!C456="",FALSE,TRUE),AND(AND(IFERROR(INT(LEFT(metadata!C456,4))&gt;1900,FALSE),IFERROR(INT(LEFT(metadata!C456,4))&lt;=YEAR(NOW()),FALSE)), OR(MID(metadata!C456,5,1)="", AND(AND(MID(metadata!C456,5,1)="-",IFERROR(INT(MID(metadata!C456,6,1))&gt;=0,FALSE),IFERROR(INT(MID(metadata!C456,6,1))&lt;=1,FALSE),NOT(MID(metadata!C456,7,1)=""),IFERROR(INT(MID(metadata!C456,6,2))&gt;=1,FALSE),IFERROR(INT(MID(metadata!C456,6,2))&lt;=12,FALSE)), OR(MID(metadata!C456,8,1)="", AND(AND(MID(metadata!C456,8,1)="-",IFERROR(INT(MID(metadata!C456,9,1))&gt;=0,FALSE),IFERROR(INT(MID(metadata!C456,9,1))&lt;=3,FALSE),NOT(MID(metadata!C456,10,1)=""),IFERROR(INT(MID(metadata!C456,9,2))&gt;=1,FALSE),IFERROR(INT(MID(metadata!C456,9,2))&lt;=31,FALSE)), OR(MID(metadata!C456,11,1)="", AND(AND(MID(metadata!C456,11,1)=" ",IFERROR(INT(MID(metadata!C456,12,1))&gt;=0,FALSE),IFERROR(INT(MID(metadata!C456,12,1))&lt;=2,FALSE),NOT(MID(metadata!C456,13,1)=""),IFERROR(INT(MID(metadata!C456,12,2))&gt;=0,FALSE),IFERROR(INT(MID(metadata!C456,12,2))&lt;=23,FALSE)), OR(MID(metadata!C456,14,1)="", AND(AND(MID(metadata!C456,14,1)=":",IFERROR(INT(MID(metadata!C456,15,1))&gt;=0,FALSE),IFERROR(INT(MID(metadata!C456,15,1))&lt;=5,FALSE),NOT(MID(metadata!C456,16,1)=""),IFERROR(INT(MID(metadata!C456,15,2))&gt;=0,FALSE),IFERROR(INT(MID(metadata!C456,15,2))&lt;=59,FALSE)), OR(MID(metadata!C456,17,1)="", AND(AND(MID(metadata!C456,17,1)=":",IFERROR(INT(MID(metadata!C456,18,1))&gt;=0,FALSE),IFERROR(INT(MID(metadata!C456,18,1))&lt;=5,FALSE),NOT(MID(metadata!C456,19,1)=""),IFERROR(INT(MID(metadata!C456,18,2))&gt;=0,FALSE),IFERROR(INT(MID(metadata!C456,18,2))&lt;=59,FALSE)), LEN(metadata!C456)&lt;=19)))))))))))))</f>
        <v>0</v>
      </c>
      <c r="AO456" t="b">
        <f>AND(IF(metadata!D456="",FALSE,TRUE),EXACT(metadata!D456,"Not applicable"))</f>
        <v>0</v>
      </c>
      <c r="AP456" t="b">
        <f>IF(metadata!E456="",FALSE,TRUE)</f>
        <v>0</v>
      </c>
      <c r="AQ456" t="b">
        <f>OR(AND(IF(metadata!F456="",FALSE,TRUE),OR(EXACT(metadata!F456,"missing: not collected"),EXACT(metadata!F456,"missing: not provided"))),AND(IF(metadata!F456="",FALSE,TRUE),OR(EXACT(metadata!F456,"TRUE"),EXACT(metadata!F456,"FALSE"))))</f>
        <v>0</v>
      </c>
      <c r="AR456" t="b">
        <f>OR(AND(IF(metadata!G456="",FALSE,TRUE),OR(EXACT(metadata!G456,"missing: not collected"),EXACT(metadata!G456,"missing: not provided"),EXACT(metadata!G456,"missing: restricted access"))),AND(IF(metadata!G456="",FALSE,ISNUMBER(VALUE(metadata!G456))),metadata!G456&gt;=-413))</f>
        <v>0</v>
      </c>
      <c r="AS456" t="b">
        <f>AND(IF(metadata!H456="",FALSE,TRUE),EXACT(metadata!H456,"meters"))</f>
        <v>0</v>
      </c>
      <c r="AT456" t="b">
        <f>AND(IF(metadata!I456="",FALSE,TRUE),OR(EXACT(metadata!I456,"Host-associated"),EXACT(metadata!I456,"Free-living")))</f>
        <v>0</v>
      </c>
      <c r="AU456" t="b">
        <f>AND(IF(metadata!J456="",FALSE,TRUE),OR(EXACT(metadata!J456,"Animal"),EXACT(metadata!J456,"Fungus"),EXACT(metadata!J456,"Plant"),EXACT(metadata!J456,"Saline"),EXACT(metadata!J456,"Non-saline")))</f>
        <v>0</v>
      </c>
      <c r="AV456" t="b">
        <f>AND(IF(metadata!K456="",FALSE,TRUE),OR(EXACT(metadata!K456,"Plant secretion"),EXACT(metadata!K456,"Plant rhizosphere"),EXACT(metadata!K456,"Plant surface"),EXACT(metadata!K456,"Plant corpus"),EXACT(metadata!K456,"Fungus surface"),EXACT(metadata!K456,"Fungus corpus"),EXACT(metadata!K456,"Animal surface"),EXACT(metadata!K456,"Animal proximal gut"),EXACT(metadata!K456,"Animal corpus"),EXACT(metadata!K456,"Animal distal gut"),EXACT(metadata!K456,"Animal secretion"),EXACT(metadata!K456,"Sub-surface (non-saline)"),EXACT(metadata!K456,"Surface (non-saline)"),EXACT(metadata!K456,"Water (non-saline)"),EXACT(metadata!K456,"Soil (non-saline)"),EXACT(metadata!K456,"Aerosol (non-saline)"),EXACT(metadata!K456,"Sediment (non-saline)"),EXACT(metadata!K456,"Surface (saline)"),EXACT(metadata!K456,"Water (saline)"),EXACT(metadata!K456,"Hypersaline (saline)"),EXACT(metadata!K456,"Aerosol (saline)"),EXACT(metadata!K456,"Sediment (saline)")))</f>
        <v>0</v>
      </c>
      <c r="AW456" t="b">
        <f>IF(metadata!L456="",FALSE,TRUE)</f>
        <v>0</v>
      </c>
      <c r="AX456" t="b">
        <f>IF(metadata!M456="",FALSE,TRUE)</f>
        <v>0</v>
      </c>
      <c r="AY456" t="b">
        <f>IF(metadata!N456="",FALSE,TRUE)</f>
        <v>0</v>
      </c>
      <c r="AZ456" t="b">
        <f>OR(AND(IF(metadata!O456="",FALSE,TRUE),OR(EXACT(metadata!O456,"missing: not collected"),EXACT(metadata!O456,"missing: not provided"),EXACT(metadata!O456,"missing: restricted access"))),AND(IF(metadata!O456="",FALSE,TRUE),OR(EXACT(metadata!O456,"air"),EXACT(metadata!O456,"built environment"),EXACT(metadata!O456,"host-associated"),EXACT(metadata!O456,"human-associated"),EXACT(metadata!O456,"human-skin"),EXACT(metadata!O456,"human-oral"),EXACT(metadata!O456,"human-gut"),EXACT(metadata!O456,"human-vaginal"),EXACT(metadata!O456,"microbial mat/biofilm"),EXACT(metadata!O456,"misc environment"),EXACT(metadata!O456,"plant-associated"),EXACT(metadata!O456,"sediment"),EXACT(metadata!O456,"soil"),EXACT(metadata!O456,"wastewater/sludge"),EXACT(metadata!O456,"water"))))</f>
        <v>0</v>
      </c>
      <c r="BA456" t="b">
        <f>IF(metadata!P456="",FALSE,TRUE)</f>
        <v>0</v>
      </c>
      <c r="BB456" t="b">
        <f>IF(metadata!Q456="",FALSE,TRUE)</f>
        <v>0</v>
      </c>
      <c r="BC456" t="b">
        <f>OR(AND(IF(metadata!R456="",FALSE,TRUE),OR(EXACT(metadata!R456,"missing: not collected"),EXACT(metadata!R456,"missing: not provided"),EXACT(metadata!R456,"missing: restricted access"))),AND(IF(metadata!R456="",FALSE,ISNUMBER(VALUE(metadata!R456))),metadata!R456&gt;=-90,metadata!R456&lt;=90))</f>
        <v>0</v>
      </c>
      <c r="BD456" t="b">
        <f>AND(IF(metadata!S456="",FALSE,TRUE),EXACT(metadata!S456,"Decimal degrees"))</f>
        <v>0</v>
      </c>
      <c r="BE456" t="b">
        <f>OR(AND(IF(metadata!T456="",FALSE,TRUE),OR(EXACT(metadata!T456,"missing: not collected"),EXACT(metadata!T456,"missing: not provided"),EXACT(metadata!T456,"missing: restricted access"))),AND(IF(metadata!T456="",FALSE,ISNUMBER(VALUE(metadata!T456))),metadata!T456&gt;=-180,metadata!T456&lt;=180))</f>
        <v>0</v>
      </c>
      <c r="BF456" t="b">
        <f>AND(IF(metadata!U456="",FALSE,TRUE),EXACT(metadata!U456,"Decimal degrees"))</f>
        <v>0</v>
      </c>
      <c r="BG456" t="b">
        <f>IF(metadata!V456="",FALSE,TRUE)</f>
        <v>0</v>
      </c>
      <c r="BH456" t="b">
        <f>OR(AND(IF(metadata!W456="",FALSE,TRUE),OR(EXACT(metadata!W456,"missing: not collected"),EXACT(metadata!W456,"missing: not provided"),EXACT(metadata!W456,"missing: restricted access"))),AND(IF(metadata!W456="",FALSE,TRUE),OR(EXACT(metadata!W456,"TRUE"),EXACT(metadata!W456,"FALSE"))))</f>
        <v>0</v>
      </c>
      <c r="BI456" t="b">
        <f>AND(IF(metadata!X456="",FALSE,TRUE),EXACT(metadata!X456,"other"))</f>
        <v>0</v>
      </c>
      <c r="BJ456" t="b">
        <f>IF(metadata!Y456="",FALSE,TRUE)</f>
        <v>0</v>
      </c>
      <c r="BK456" t="b">
        <f>OR(AND(IF(metadata!Z456="",FALSE,TRUE),OR(EXACT(metadata!Z456,"missing: not collected"),EXACT(metadata!Z456,"missing: not provided"))),AND(IF(metadata!Z456="",FALSE,IF(ISERROR(INT(metadata!Z456)),FALSE,INT(metadata!Z456)=metadata!Z456)),metadata!Z456&gt;0))</f>
        <v>0</v>
      </c>
      <c r="BL456" t="b">
        <f>AND(IF(metadata!AA456="",FALSE,TRUE),EXACT(metadata!AA456,"Not applicable"))</f>
        <v>0</v>
      </c>
      <c r="BM456" t="b">
        <f>IF(metadata!AB456="",FALSE,TRUE)</f>
        <v>0</v>
      </c>
    </row>
    <row r="457" spans="1:65" x14ac:dyDescent="0.2">
      <c r="A457" s="5" t="str">
        <f ca="1">IF(B457=" "," ",HYPERLINK(CONCATENATE("#metadata!",ADDRESS(INDEX($AH$2:$AH$1001,MATCH(ROWS($AF$2:AF457),$AF$2:$AF$1001,0),0),1)),INDEX($AK$2:$AK$1001,MATCH(ROWS($AF$2:AF457),$AF$2:$AF$1001,0),0)))</f>
        <v xml:space="preserve"> </v>
      </c>
      <c r="B457" s="4" t="str">
        <f ca="1">IF(OR(INDEX($AG$2:$AG$1001,MATCH(ROWS($AF$2:AF457),$AF$2:$AF$1001,0),1)&gt;=100000,INDEX($AM$1005:$BM$1005,1,MATCH(COLUMNS($AM$1006:AM1006),$AM$1006:$BM$1006,0))&gt;=100000), " ",IF(INDEX($AM$2:$BM$1001,MATCH(ROWS($AF$2:AF457),$AF$2:$AF$1001,0),MATCH(COLUMNS($AM$1006:AM1006),$AM$1006:$BM$1006,0)), HYPERLINK("#",""), HYPERLINK(CONCATENATE("#metadata!", ADDRESS(INDEX($AH$2:$AH$1001,MATCH(ROWS($AF$2:AF457),$AF$2:$AF$1001,0),0), INDEX($AM$1004:$BM$1004,1,MATCH(COLUMNS($AM$1006:AM1006),$AM$1006:$BM$1006,0)))),"Fix")))</f>
        <v xml:space="preserve"> </v>
      </c>
      <c r="C457" s="4" t="str">
        <f ca="1">IF(OR(INDEX($AG$2:$AG$1001,MATCH(ROWS($AF$2:AF457),$AF$2:$AF$1001,0),1)&gt;=100000,INDEX($AM$1005:$BM$1005,1,MATCH(COLUMNS($AM$1006:AN1006),$AM$1006:$BM$1006,0))&gt;=100000), " ",IF(INDEX($AM$2:$BM$1001,MATCH(ROWS($AF$2:AF457),$AF$2:$AF$1001,0),MATCH(COLUMNS($AM$1006:AN1006),$AM$1006:$BM$1006,0)), HYPERLINK("#",""), HYPERLINK(CONCATENATE("#metadata!", ADDRESS(INDEX($AH$2:$AH$1001,MATCH(ROWS($AF$2:AF457),$AF$2:$AF$1001,0),0), INDEX($AM$1004:$BM$1004,1,MATCH(COLUMNS($AM$1006:AN1006),$AM$1006:$BM$1006,0)))),"Fix")))</f>
        <v xml:space="preserve"> </v>
      </c>
      <c r="D457" s="4" t="str">
        <f ca="1">IF(OR(INDEX($AG$2:$AG$1001,MATCH(ROWS($AF$2:AF457),$AF$2:$AF$1001,0),1)&gt;=100000,INDEX($AM$1005:$BM$1005,1,MATCH(COLUMNS($AM$1006:AO1006),$AM$1006:$BM$1006,0))&gt;=100000), " ",IF(INDEX($AM$2:$BM$1001,MATCH(ROWS($AF$2:AF457),$AF$2:$AF$1001,0),MATCH(COLUMNS($AM$1006:AO1006),$AM$1006:$BM$1006,0)), HYPERLINK("#",""), HYPERLINK(CONCATENATE("#metadata!", ADDRESS(INDEX($AH$2:$AH$1001,MATCH(ROWS($AF$2:AF457),$AF$2:$AF$1001,0),0), INDEX($AM$1004:$BM$1004,1,MATCH(COLUMNS($AM$1006:AO1006),$AM$1006:$BM$1006,0)))),"Fix")))</f>
        <v xml:space="preserve"> </v>
      </c>
      <c r="E457" s="4" t="str">
        <f ca="1">IF(OR(INDEX($AG$2:$AG$1001,MATCH(ROWS($AF$2:AF457),$AF$2:$AF$1001,0),1)&gt;=100000,INDEX($AM$1005:$BM$1005,1,MATCH(COLUMNS($AM$1006:AP1006),$AM$1006:$BM$1006,0))&gt;=100000), " ",IF(INDEX($AM$2:$BM$1001,MATCH(ROWS($AF$2:AF457),$AF$2:$AF$1001,0),MATCH(COLUMNS($AM$1006:AP1006),$AM$1006:$BM$1006,0)), HYPERLINK("#",""), HYPERLINK(CONCATENATE("#metadata!", ADDRESS(INDEX($AH$2:$AH$1001,MATCH(ROWS($AF$2:AF457),$AF$2:$AF$1001,0),0), INDEX($AM$1004:$BM$1004,1,MATCH(COLUMNS($AM$1006:AP1006),$AM$1006:$BM$1006,0)))),"Fix")))</f>
        <v xml:space="preserve"> </v>
      </c>
      <c r="F457" s="4" t="str">
        <f ca="1">IF(OR(INDEX($AG$2:$AG$1001,MATCH(ROWS($AF$2:AF457),$AF$2:$AF$1001,0),1)&gt;=100000,INDEX($AM$1005:$BM$1005,1,MATCH(COLUMNS($AM$1006:AQ1006),$AM$1006:$BM$1006,0))&gt;=100000), " ",IF(INDEX($AM$2:$BM$1001,MATCH(ROWS($AF$2:AF457),$AF$2:$AF$1001,0),MATCH(COLUMNS($AM$1006:AQ1006),$AM$1006:$BM$1006,0)), HYPERLINK("#",""), HYPERLINK(CONCATENATE("#metadata!", ADDRESS(INDEX($AH$2:$AH$1001,MATCH(ROWS($AF$2:AF457),$AF$2:$AF$1001,0),0), INDEX($AM$1004:$BM$1004,1,MATCH(COLUMNS($AM$1006:AQ1006),$AM$1006:$BM$1006,0)))),"Fix")))</f>
        <v xml:space="preserve"> </v>
      </c>
      <c r="G457" s="4" t="str">
        <f ca="1">IF(OR(INDEX($AG$2:$AG$1001,MATCH(ROWS($AF$2:AF457),$AF$2:$AF$1001,0),1)&gt;=100000,INDEX($AM$1005:$BM$1005,1,MATCH(COLUMNS($AM$1006:AR1006),$AM$1006:$BM$1006,0))&gt;=100000), " ",IF(INDEX($AM$2:$BM$1001,MATCH(ROWS($AF$2:AF457),$AF$2:$AF$1001,0),MATCH(COLUMNS($AM$1006:AR1006),$AM$1006:$BM$1006,0)), HYPERLINK("#",""), HYPERLINK(CONCATENATE("#metadata!", ADDRESS(INDEX($AH$2:$AH$1001,MATCH(ROWS($AF$2:AF457),$AF$2:$AF$1001,0),0), INDEX($AM$1004:$BM$1004,1,MATCH(COLUMNS($AM$1006:AR1006),$AM$1006:$BM$1006,0)))),"Fix")))</f>
        <v xml:space="preserve"> </v>
      </c>
      <c r="H457" s="4" t="str">
        <f ca="1">IF(OR(INDEX($AG$2:$AG$1001,MATCH(ROWS($AF$2:AF457),$AF$2:$AF$1001,0),1)&gt;=100000,INDEX($AM$1005:$BM$1005,1,MATCH(COLUMNS($AM$1006:AS1006),$AM$1006:$BM$1006,0))&gt;=100000), " ",IF(INDEX($AM$2:$BM$1001,MATCH(ROWS($AF$2:AF457),$AF$2:$AF$1001,0),MATCH(COLUMNS($AM$1006:AS1006),$AM$1006:$BM$1006,0)), HYPERLINK("#",""), HYPERLINK(CONCATENATE("#metadata!", ADDRESS(INDEX($AH$2:$AH$1001,MATCH(ROWS($AF$2:AF457),$AF$2:$AF$1001,0),0), INDEX($AM$1004:$BM$1004,1,MATCH(COLUMNS($AM$1006:AS1006),$AM$1006:$BM$1006,0)))),"Fix")))</f>
        <v xml:space="preserve"> </v>
      </c>
      <c r="I457" s="4" t="str">
        <f ca="1">IF(OR(INDEX($AG$2:$AG$1001,MATCH(ROWS($AF$2:AF457),$AF$2:$AF$1001,0),1)&gt;=100000,INDEX($AM$1005:$BM$1005,1,MATCH(COLUMNS($AM$1006:AT1006),$AM$1006:$BM$1006,0))&gt;=100000), " ",IF(INDEX($AM$2:$BM$1001,MATCH(ROWS($AF$2:AF457),$AF$2:$AF$1001,0),MATCH(COLUMNS($AM$1006:AT1006),$AM$1006:$BM$1006,0)), HYPERLINK("#",""), HYPERLINK(CONCATENATE("#metadata!", ADDRESS(INDEX($AH$2:$AH$1001,MATCH(ROWS($AF$2:AF457),$AF$2:$AF$1001,0),0), INDEX($AM$1004:$BM$1004,1,MATCH(COLUMNS($AM$1006:AT1006),$AM$1006:$BM$1006,0)))),"Fix")))</f>
        <v xml:space="preserve"> </v>
      </c>
      <c r="J457" s="4" t="str">
        <f ca="1">IF(OR(INDEX($AG$2:$AG$1001,MATCH(ROWS($AF$2:AF457),$AF$2:$AF$1001,0),1)&gt;=100000,INDEX($AM$1005:$BM$1005,1,MATCH(COLUMNS($AM$1006:AU1006),$AM$1006:$BM$1006,0))&gt;=100000), " ",IF(INDEX($AM$2:$BM$1001,MATCH(ROWS($AF$2:AF457),$AF$2:$AF$1001,0),MATCH(COLUMNS($AM$1006:AU1006),$AM$1006:$BM$1006,0)), HYPERLINK("#",""), HYPERLINK(CONCATENATE("#metadata!", ADDRESS(INDEX($AH$2:$AH$1001,MATCH(ROWS($AF$2:AF457),$AF$2:$AF$1001,0),0), INDEX($AM$1004:$BM$1004,1,MATCH(COLUMNS($AM$1006:AU1006),$AM$1006:$BM$1006,0)))),"Fix")))</f>
        <v xml:space="preserve"> </v>
      </c>
      <c r="K457" s="4" t="str">
        <f ca="1">IF(OR(INDEX($AG$2:$AG$1001,MATCH(ROWS($AF$2:AF457),$AF$2:$AF$1001,0),1)&gt;=100000,INDEX($AM$1005:$BM$1005,1,MATCH(COLUMNS($AM$1006:AV1006),$AM$1006:$BM$1006,0))&gt;=100000), " ",IF(INDEX($AM$2:$BM$1001,MATCH(ROWS($AF$2:AF457),$AF$2:$AF$1001,0),MATCH(COLUMNS($AM$1006:AV1006),$AM$1006:$BM$1006,0)), HYPERLINK("#",""), HYPERLINK(CONCATENATE("#metadata!", ADDRESS(INDEX($AH$2:$AH$1001,MATCH(ROWS($AF$2:AF457),$AF$2:$AF$1001,0),0), INDEX($AM$1004:$BM$1004,1,MATCH(COLUMNS($AM$1006:AV1006),$AM$1006:$BM$1006,0)))),"Fix")))</f>
        <v xml:space="preserve"> </v>
      </c>
      <c r="L457" s="4" t="str">
        <f ca="1">IF(OR(INDEX($AG$2:$AG$1001,MATCH(ROWS($AF$2:AF457),$AF$2:$AF$1001,0),1)&gt;=100000,INDEX($AM$1005:$BM$1005,1,MATCH(COLUMNS($AM$1006:AW1006),$AM$1006:$BM$1006,0))&gt;=100000), " ",IF(INDEX($AM$2:$BM$1001,MATCH(ROWS($AF$2:AF457),$AF$2:$AF$1001,0),MATCH(COLUMNS($AM$1006:AW1006),$AM$1006:$BM$1006,0)), HYPERLINK("#",""), HYPERLINK(CONCATENATE("#metadata!", ADDRESS(INDEX($AH$2:$AH$1001,MATCH(ROWS($AF$2:AF457),$AF$2:$AF$1001,0),0), INDEX($AM$1004:$BM$1004,1,MATCH(COLUMNS($AM$1006:AW1006),$AM$1006:$BM$1006,0)))),"Fix")))</f>
        <v xml:space="preserve"> </v>
      </c>
      <c r="M457" s="4" t="str">
        <f ca="1">IF(OR(INDEX($AG$2:$AG$1001,MATCH(ROWS($AF$2:AF457),$AF$2:$AF$1001,0),1)&gt;=100000,INDEX($AM$1005:$BM$1005,1,MATCH(COLUMNS($AM$1006:AX1006),$AM$1006:$BM$1006,0))&gt;=100000), " ",IF(INDEX($AM$2:$BM$1001,MATCH(ROWS($AF$2:AF457),$AF$2:$AF$1001,0),MATCH(COLUMNS($AM$1006:AX1006),$AM$1006:$BM$1006,0)), HYPERLINK("#",""), HYPERLINK(CONCATENATE("#metadata!", ADDRESS(INDEX($AH$2:$AH$1001,MATCH(ROWS($AF$2:AF457),$AF$2:$AF$1001,0),0), INDEX($AM$1004:$BM$1004,1,MATCH(COLUMNS($AM$1006:AX1006),$AM$1006:$BM$1006,0)))),"Fix")))</f>
        <v xml:space="preserve"> </v>
      </c>
      <c r="N457" s="4" t="str">
        <f ca="1">IF(OR(INDEX($AG$2:$AG$1001,MATCH(ROWS($AF$2:AF457),$AF$2:$AF$1001,0),1)&gt;=100000,INDEX($AM$1005:$BM$1005,1,MATCH(COLUMNS($AM$1006:AY1006),$AM$1006:$BM$1006,0))&gt;=100000), " ",IF(INDEX($AM$2:$BM$1001,MATCH(ROWS($AF$2:AF457),$AF$2:$AF$1001,0),MATCH(COLUMNS($AM$1006:AY1006),$AM$1006:$BM$1006,0)), HYPERLINK("#",""), HYPERLINK(CONCATENATE("#metadata!", ADDRESS(INDEX($AH$2:$AH$1001,MATCH(ROWS($AF$2:AF457),$AF$2:$AF$1001,0),0), INDEX($AM$1004:$BM$1004,1,MATCH(COLUMNS($AM$1006:AY1006),$AM$1006:$BM$1006,0)))),"Fix")))</f>
        <v xml:space="preserve"> </v>
      </c>
      <c r="O457" s="4" t="str">
        <f ca="1">IF(OR(INDEX($AG$2:$AG$1001,MATCH(ROWS($AF$2:AF457),$AF$2:$AF$1001,0),1)&gt;=100000,INDEX($AM$1005:$BM$1005,1,MATCH(COLUMNS($AM$1006:AZ1006),$AM$1006:$BM$1006,0))&gt;=100000), " ",IF(INDEX($AM$2:$BM$1001,MATCH(ROWS($AF$2:AF457),$AF$2:$AF$1001,0),MATCH(COLUMNS($AM$1006:AZ1006),$AM$1006:$BM$1006,0)), HYPERLINK("#",""), HYPERLINK(CONCATENATE("#metadata!", ADDRESS(INDEX($AH$2:$AH$1001,MATCH(ROWS($AF$2:AF457),$AF$2:$AF$1001,0),0), INDEX($AM$1004:$BM$1004,1,MATCH(COLUMNS($AM$1006:AZ1006),$AM$1006:$BM$1006,0)))),"Fix")))</f>
        <v xml:space="preserve"> </v>
      </c>
      <c r="P457" s="4" t="str">
        <f ca="1">IF(OR(INDEX($AG$2:$AG$1001,MATCH(ROWS($AF$2:AF457),$AF$2:$AF$1001,0),1)&gt;=100000,INDEX($AM$1005:$BM$1005,1,MATCH(COLUMNS($AM$1006:BA1006),$AM$1006:$BM$1006,0))&gt;=100000), " ",IF(INDEX($AM$2:$BM$1001,MATCH(ROWS($AF$2:AF457),$AF$2:$AF$1001,0),MATCH(COLUMNS($AM$1006:BA1006),$AM$1006:$BM$1006,0)), HYPERLINK("#",""), HYPERLINK(CONCATENATE("#metadata!", ADDRESS(INDEX($AH$2:$AH$1001,MATCH(ROWS($AF$2:AF457),$AF$2:$AF$1001,0),0), INDEX($AM$1004:$BM$1004,1,MATCH(COLUMNS($AM$1006:BA1006),$AM$1006:$BM$1006,0)))),"Fix")))</f>
        <v xml:space="preserve"> </v>
      </c>
      <c r="Q457" s="4" t="str">
        <f ca="1">IF(OR(INDEX($AG$2:$AG$1001,MATCH(ROWS($AF$2:AF457),$AF$2:$AF$1001,0),1)&gt;=100000,INDEX($AM$1005:$BM$1005,1,MATCH(COLUMNS($AM$1006:BB1006),$AM$1006:$BM$1006,0))&gt;=100000), " ",IF(INDEX($AM$2:$BM$1001,MATCH(ROWS($AF$2:AF457),$AF$2:$AF$1001,0),MATCH(COLUMNS($AM$1006:BB1006),$AM$1006:$BM$1006,0)), HYPERLINK("#",""), HYPERLINK(CONCATENATE("#metadata!", ADDRESS(INDEX($AH$2:$AH$1001,MATCH(ROWS($AF$2:AF457),$AF$2:$AF$1001,0),0), INDEX($AM$1004:$BM$1004,1,MATCH(COLUMNS($AM$1006:BB1006),$AM$1006:$BM$1006,0)))),"Fix")))</f>
        <v xml:space="preserve"> </v>
      </c>
      <c r="R457" s="4" t="str">
        <f ca="1">IF(OR(INDEX($AG$2:$AG$1001,MATCH(ROWS($AF$2:AF457),$AF$2:$AF$1001,0),1)&gt;=100000,INDEX($AM$1005:$BM$1005,1,MATCH(COLUMNS($AM$1006:BC1006),$AM$1006:$BM$1006,0))&gt;=100000), " ",IF(INDEX($AM$2:$BM$1001,MATCH(ROWS($AF$2:AF457),$AF$2:$AF$1001,0),MATCH(COLUMNS($AM$1006:BC1006),$AM$1006:$BM$1006,0)), HYPERLINK("#",""), HYPERLINK(CONCATENATE("#metadata!", ADDRESS(INDEX($AH$2:$AH$1001,MATCH(ROWS($AF$2:AF457),$AF$2:$AF$1001,0),0), INDEX($AM$1004:$BM$1004,1,MATCH(COLUMNS($AM$1006:BC1006),$AM$1006:$BM$1006,0)))),"Fix")))</f>
        <v xml:space="preserve"> </v>
      </c>
      <c r="S457" s="4" t="str">
        <f ca="1">IF(OR(INDEX($AG$2:$AG$1001,MATCH(ROWS($AF$2:AF457),$AF$2:$AF$1001,0),1)&gt;=100000,INDEX($AM$1005:$BM$1005,1,MATCH(COLUMNS($AM$1006:BD1006),$AM$1006:$BM$1006,0))&gt;=100000), " ",IF(INDEX($AM$2:$BM$1001,MATCH(ROWS($AF$2:AF457),$AF$2:$AF$1001,0),MATCH(COLUMNS($AM$1006:BD1006),$AM$1006:$BM$1006,0)), HYPERLINK("#",""), HYPERLINK(CONCATENATE("#metadata!", ADDRESS(INDEX($AH$2:$AH$1001,MATCH(ROWS($AF$2:AF457),$AF$2:$AF$1001,0),0), INDEX($AM$1004:$BM$1004,1,MATCH(COLUMNS($AM$1006:BD1006),$AM$1006:$BM$1006,0)))),"Fix")))</f>
        <v xml:space="preserve"> </v>
      </c>
      <c r="T457" s="4" t="str">
        <f ca="1">IF(OR(INDEX($AG$2:$AG$1001,MATCH(ROWS($AF$2:AF457),$AF$2:$AF$1001,0),1)&gt;=100000,INDEX($AM$1005:$BM$1005,1,MATCH(COLUMNS($AM$1006:BE1006),$AM$1006:$BM$1006,0))&gt;=100000), " ",IF(INDEX($AM$2:$BM$1001,MATCH(ROWS($AF$2:AF457),$AF$2:$AF$1001,0),MATCH(COLUMNS($AM$1006:BE1006),$AM$1006:$BM$1006,0)), HYPERLINK("#",""), HYPERLINK(CONCATENATE("#metadata!", ADDRESS(INDEX($AH$2:$AH$1001,MATCH(ROWS($AF$2:AF457),$AF$2:$AF$1001,0),0), INDEX($AM$1004:$BM$1004,1,MATCH(COLUMNS($AM$1006:BE1006),$AM$1006:$BM$1006,0)))),"Fix")))</f>
        <v xml:space="preserve"> </v>
      </c>
      <c r="U457" s="4" t="str">
        <f ca="1">IF(OR(INDEX($AG$2:$AG$1001,MATCH(ROWS($AF$2:AF457),$AF$2:$AF$1001,0),1)&gt;=100000,INDEX($AM$1005:$BM$1005,1,MATCH(COLUMNS($AM$1006:BF1006),$AM$1006:$BM$1006,0))&gt;=100000), " ",IF(INDEX($AM$2:$BM$1001,MATCH(ROWS($AF$2:AF457),$AF$2:$AF$1001,0),MATCH(COLUMNS($AM$1006:BF1006),$AM$1006:$BM$1006,0)), HYPERLINK("#",""), HYPERLINK(CONCATENATE("#metadata!", ADDRESS(INDEX($AH$2:$AH$1001,MATCH(ROWS($AF$2:AF457),$AF$2:$AF$1001,0),0), INDEX($AM$1004:$BM$1004,1,MATCH(COLUMNS($AM$1006:BF1006),$AM$1006:$BM$1006,0)))),"Fix")))</f>
        <v xml:space="preserve"> </v>
      </c>
      <c r="V457" s="4" t="str">
        <f ca="1">IF(OR(INDEX($AG$2:$AG$1001,MATCH(ROWS($AF$2:AF457),$AF$2:$AF$1001,0),1)&gt;=100000,INDEX($AM$1005:$BM$1005,1,MATCH(COLUMNS($AM$1006:BG1006),$AM$1006:$BM$1006,0))&gt;=100000), " ",IF(INDEX($AM$2:$BM$1001,MATCH(ROWS($AF$2:AF457),$AF$2:$AF$1001,0),MATCH(COLUMNS($AM$1006:BG1006),$AM$1006:$BM$1006,0)), HYPERLINK("#",""), HYPERLINK(CONCATENATE("#metadata!", ADDRESS(INDEX($AH$2:$AH$1001,MATCH(ROWS($AF$2:AF457),$AF$2:$AF$1001,0),0), INDEX($AM$1004:$BM$1004,1,MATCH(COLUMNS($AM$1006:BG1006),$AM$1006:$BM$1006,0)))),"Fix")))</f>
        <v xml:space="preserve"> </v>
      </c>
      <c r="W457" s="4" t="str">
        <f ca="1">IF(OR(INDEX($AG$2:$AG$1001,MATCH(ROWS($AF$2:AF457),$AF$2:$AF$1001,0),1)&gt;=100000,INDEX($AM$1005:$BM$1005,1,MATCH(COLUMNS($AM$1006:BH1006),$AM$1006:$BM$1006,0))&gt;=100000), " ",IF(INDEX($AM$2:$BM$1001,MATCH(ROWS($AF$2:AF457),$AF$2:$AF$1001,0),MATCH(COLUMNS($AM$1006:BH1006),$AM$1006:$BM$1006,0)), HYPERLINK("#",""), HYPERLINK(CONCATENATE("#metadata!", ADDRESS(INDEX($AH$2:$AH$1001,MATCH(ROWS($AF$2:AF457),$AF$2:$AF$1001,0),0), INDEX($AM$1004:$BM$1004,1,MATCH(COLUMNS($AM$1006:BH1006),$AM$1006:$BM$1006,0)))),"Fix")))</f>
        <v xml:space="preserve"> </v>
      </c>
      <c r="X457" s="4" t="str">
        <f ca="1">IF(OR(INDEX($AG$2:$AG$1001,MATCH(ROWS($AF$2:AF457),$AF$2:$AF$1001,0),1)&gt;=100000,INDEX($AM$1005:$BM$1005,1,MATCH(COLUMNS($AM$1006:BI1006),$AM$1006:$BM$1006,0))&gt;=100000), " ",IF(INDEX($AM$2:$BM$1001,MATCH(ROWS($AF$2:AF457),$AF$2:$AF$1001,0),MATCH(COLUMNS($AM$1006:BI1006),$AM$1006:$BM$1006,0)), HYPERLINK("#",""), HYPERLINK(CONCATENATE("#metadata!", ADDRESS(INDEX($AH$2:$AH$1001,MATCH(ROWS($AF$2:AF457),$AF$2:$AF$1001,0),0), INDEX($AM$1004:$BM$1004,1,MATCH(COLUMNS($AM$1006:BI1006),$AM$1006:$BM$1006,0)))),"Fix")))</f>
        <v xml:space="preserve"> </v>
      </c>
      <c r="Y457" s="4" t="str">
        <f ca="1">IF(OR(INDEX($AG$2:$AG$1001,MATCH(ROWS($AF$2:AF457),$AF$2:$AF$1001,0),1)&gt;=100000,INDEX($AM$1005:$BM$1005,1,MATCH(COLUMNS($AM$1006:BJ1006),$AM$1006:$BM$1006,0))&gt;=100000), " ",IF(INDEX($AM$2:$BM$1001,MATCH(ROWS($AF$2:AF457),$AF$2:$AF$1001,0),MATCH(COLUMNS($AM$1006:BJ1006),$AM$1006:$BM$1006,0)), HYPERLINK("#",""), HYPERLINK(CONCATENATE("#metadata!", ADDRESS(INDEX($AH$2:$AH$1001,MATCH(ROWS($AF$2:AF457),$AF$2:$AF$1001,0),0), INDEX($AM$1004:$BM$1004,1,MATCH(COLUMNS($AM$1006:BJ1006),$AM$1006:$BM$1006,0)))),"Fix")))</f>
        <v xml:space="preserve"> </v>
      </c>
      <c r="Z457" s="4" t="str">
        <f ca="1">IF(OR(INDEX($AG$2:$AG$1001,MATCH(ROWS($AF$2:AF457),$AF$2:$AF$1001,0),1)&gt;=100000,INDEX($AM$1005:$BM$1005,1,MATCH(COLUMNS($AM$1006:BK1006),$AM$1006:$BM$1006,0))&gt;=100000), " ",IF(INDEX($AM$2:$BM$1001,MATCH(ROWS($AF$2:AF457),$AF$2:$AF$1001,0),MATCH(COLUMNS($AM$1006:BK1006),$AM$1006:$BM$1006,0)), HYPERLINK("#",""), HYPERLINK(CONCATENATE("#metadata!", ADDRESS(INDEX($AH$2:$AH$1001,MATCH(ROWS($AF$2:AF457),$AF$2:$AF$1001,0),0), INDEX($AM$1004:$BM$1004,1,MATCH(COLUMNS($AM$1006:BK1006),$AM$1006:$BM$1006,0)))),"Fix")))</f>
        <v xml:space="preserve"> </v>
      </c>
      <c r="AA457" s="4" t="str">
        <f ca="1">IF(OR(INDEX($AG$2:$AG$1001,MATCH(ROWS($AF$2:AF457),$AF$2:$AF$1001,0),1)&gt;=100000,INDEX($AM$1005:$BM$1005,1,MATCH(COLUMNS($AM$1006:BL1006),$AM$1006:$BM$1006,0))&gt;=100000), " ",IF(INDEX($AM$2:$BM$1001,MATCH(ROWS($AF$2:AF457),$AF$2:$AF$1001,0),MATCH(COLUMNS($AM$1006:BL1006),$AM$1006:$BM$1006,0)), HYPERLINK("#",""), HYPERLINK(CONCATENATE("#metadata!", ADDRESS(INDEX($AH$2:$AH$1001,MATCH(ROWS($AF$2:AF457),$AF$2:$AF$1001,0),0), INDEX($AM$1004:$BM$1004,1,MATCH(COLUMNS($AM$1006:BL1006),$AM$1006:$BM$1006,0)))),"Fix")))</f>
        <v xml:space="preserve"> </v>
      </c>
      <c r="AB457" s="4" t="str">
        <f ca="1">IF(OR(INDEX($AG$2:$AG$1001,MATCH(ROWS($AF$2:AF457),$AF$2:$AF$1001,0),1)&gt;=100000,INDEX($AM$1005:$BM$1005,1,MATCH(COLUMNS($AM$1006:BM1006),$AM$1006:$BM$1006,0))&gt;=100000), " ",IF(INDEX($AM$2:$BM$1001,MATCH(ROWS($AF$2:AF457),$AF$2:$AF$1001,0),MATCH(COLUMNS($AM$1006:BM1006),$AM$1006:$BM$1006,0)), HYPERLINK("#",""), HYPERLINK(CONCATENATE("#metadata!", ADDRESS(INDEX($AH$2:$AH$1001,MATCH(ROWS($AF$2:AF457),$AF$2:$AF$1001,0),0), INDEX($AM$1004:$BM$1004,1,MATCH(COLUMNS($AM$1006:BM1006),$AM$1006:$BM$1006,0)))),"Fix")))</f>
        <v xml:space="preserve"> </v>
      </c>
      <c r="AF457">
        <v>456</v>
      </c>
      <c r="AG457">
        <v>100457</v>
      </c>
      <c r="AH457">
        <v>457</v>
      </c>
      <c r="AI457" t="b">
        <f t="shared" si="7"/>
        <v>1</v>
      </c>
      <c r="AJ457" t="b">
        <f>COUNTBLANK(metadata!B457:AB457)=COLUMNS(metadata!B457:AB457)</f>
        <v>1</v>
      </c>
      <c r="AK457" t="str">
        <v/>
      </c>
      <c r="AM457" t="b">
        <f ca="1">AND(IF(metadata!B457="",FALSE,TRUE),COUNTIF(metadata!B:B, metadata!B457) = 1,NOT(ISERROR(SUMPRODUCT(SEARCH(MID(metadata!B457,ROW(INDIRECT("1:"&amp;LEN(metadata!B457))), 1),"0123456789abcdefghijklmnopqrstuvwxyzABCDEFGHIJKLMNOPQRSTUVWXYZ.")))))</f>
        <v>0</v>
      </c>
      <c r="AN457" t="b">
        <f ca="1">OR(AND(IF(metadata!C457="",FALSE,TRUE),OR(EXACT(metadata!C457,"missing: not collected"),EXACT(metadata!C457,"missing: not provided"),EXACT(metadata!C457,"missing: restricted access"))),AND(IF(metadata!C457="",FALSE,TRUE),AND(AND(IFERROR(INT(LEFT(metadata!C457,4))&gt;1900,FALSE),IFERROR(INT(LEFT(metadata!C457,4))&lt;=YEAR(NOW()),FALSE)), OR(MID(metadata!C457,5,1)="", AND(AND(MID(metadata!C457,5,1)="-",IFERROR(INT(MID(metadata!C457,6,1))&gt;=0,FALSE),IFERROR(INT(MID(metadata!C457,6,1))&lt;=1,FALSE),NOT(MID(metadata!C457,7,1)=""),IFERROR(INT(MID(metadata!C457,6,2))&gt;=1,FALSE),IFERROR(INT(MID(metadata!C457,6,2))&lt;=12,FALSE)), OR(MID(metadata!C457,8,1)="", AND(AND(MID(metadata!C457,8,1)="-",IFERROR(INT(MID(metadata!C457,9,1))&gt;=0,FALSE),IFERROR(INT(MID(metadata!C457,9,1))&lt;=3,FALSE),NOT(MID(metadata!C457,10,1)=""),IFERROR(INT(MID(metadata!C457,9,2))&gt;=1,FALSE),IFERROR(INT(MID(metadata!C457,9,2))&lt;=31,FALSE)), OR(MID(metadata!C457,11,1)="", AND(AND(MID(metadata!C457,11,1)=" ",IFERROR(INT(MID(metadata!C457,12,1))&gt;=0,FALSE),IFERROR(INT(MID(metadata!C457,12,1))&lt;=2,FALSE),NOT(MID(metadata!C457,13,1)=""),IFERROR(INT(MID(metadata!C457,12,2))&gt;=0,FALSE),IFERROR(INT(MID(metadata!C457,12,2))&lt;=23,FALSE)), OR(MID(metadata!C457,14,1)="", AND(AND(MID(metadata!C457,14,1)=":",IFERROR(INT(MID(metadata!C457,15,1))&gt;=0,FALSE),IFERROR(INT(MID(metadata!C457,15,1))&lt;=5,FALSE),NOT(MID(metadata!C457,16,1)=""),IFERROR(INT(MID(metadata!C457,15,2))&gt;=0,FALSE),IFERROR(INT(MID(metadata!C457,15,2))&lt;=59,FALSE)), OR(MID(metadata!C457,17,1)="", AND(AND(MID(metadata!C457,17,1)=":",IFERROR(INT(MID(metadata!C457,18,1))&gt;=0,FALSE),IFERROR(INT(MID(metadata!C457,18,1))&lt;=5,FALSE),NOT(MID(metadata!C457,19,1)=""),IFERROR(INT(MID(metadata!C457,18,2))&gt;=0,FALSE),IFERROR(INT(MID(metadata!C457,18,2))&lt;=59,FALSE)), LEN(metadata!C457)&lt;=19)))))))))))))</f>
        <v>0</v>
      </c>
      <c r="AO457" t="b">
        <f>AND(IF(metadata!D457="",FALSE,TRUE),EXACT(metadata!D457,"Not applicable"))</f>
        <v>0</v>
      </c>
      <c r="AP457" t="b">
        <f>IF(metadata!E457="",FALSE,TRUE)</f>
        <v>0</v>
      </c>
      <c r="AQ457" t="b">
        <f>OR(AND(IF(metadata!F457="",FALSE,TRUE),OR(EXACT(metadata!F457,"missing: not collected"),EXACT(metadata!F457,"missing: not provided"))),AND(IF(metadata!F457="",FALSE,TRUE),OR(EXACT(metadata!F457,"TRUE"),EXACT(metadata!F457,"FALSE"))))</f>
        <v>0</v>
      </c>
      <c r="AR457" t="b">
        <f>OR(AND(IF(metadata!G457="",FALSE,TRUE),OR(EXACT(metadata!G457,"missing: not collected"),EXACT(metadata!G457,"missing: not provided"),EXACT(metadata!G457,"missing: restricted access"))),AND(IF(metadata!G457="",FALSE,ISNUMBER(VALUE(metadata!G457))),metadata!G457&gt;=-413))</f>
        <v>0</v>
      </c>
      <c r="AS457" t="b">
        <f>AND(IF(metadata!H457="",FALSE,TRUE),EXACT(metadata!H457,"meters"))</f>
        <v>0</v>
      </c>
      <c r="AT457" t="b">
        <f>AND(IF(metadata!I457="",FALSE,TRUE),OR(EXACT(metadata!I457,"Host-associated"),EXACT(metadata!I457,"Free-living")))</f>
        <v>0</v>
      </c>
      <c r="AU457" t="b">
        <f>AND(IF(metadata!J457="",FALSE,TRUE),OR(EXACT(metadata!J457,"Animal"),EXACT(metadata!J457,"Fungus"),EXACT(metadata!J457,"Plant"),EXACT(metadata!J457,"Saline"),EXACT(metadata!J457,"Non-saline")))</f>
        <v>0</v>
      </c>
      <c r="AV457" t="b">
        <f>AND(IF(metadata!K457="",FALSE,TRUE),OR(EXACT(metadata!K457,"Plant secretion"),EXACT(metadata!K457,"Plant rhizosphere"),EXACT(metadata!K457,"Plant surface"),EXACT(metadata!K457,"Plant corpus"),EXACT(metadata!K457,"Fungus surface"),EXACT(metadata!K457,"Fungus corpus"),EXACT(metadata!K457,"Animal surface"),EXACT(metadata!K457,"Animal proximal gut"),EXACT(metadata!K457,"Animal corpus"),EXACT(metadata!K457,"Animal distal gut"),EXACT(metadata!K457,"Animal secretion"),EXACT(metadata!K457,"Sub-surface (non-saline)"),EXACT(metadata!K457,"Surface (non-saline)"),EXACT(metadata!K457,"Water (non-saline)"),EXACT(metadata!K457,"Soil (non-saline)"),EXACT(metadata!K457,"Aerosol (non-saline)"),EXACT(metadata!K457,"Sediment (non-saline)"),EXACT(metadata!K457,"Surface (saline)"),EXACT(metadata!K457,"Water (saline)"),EXACT(metadata!K457,"Hypersaline (saline)"),EXACT(metadata!K457,"Aerosol (saline)"),EXACT(metadata!K457,"Sediment (saline)")))</f>
        <v>0</v>
      </c>
      <c r="AW457" t="b">
        <f>IF(metadata!L457="",FALSE,TRUE)</f>
        <v>0</v>
      </c>
      <c r="AX457" t="b">
        <f>IF(metadata!M457="",FALSE,TRUE)</f>
        <v>0</v>
      </c>
      <c r="AY457" t="b">
        <f>IF(metadata!N457="",FALSE,TRUE)</f>
        <v>0</v>
      </c>
      <c r="AZ457" t="b">
        <f>OR(AND(IF(metadata!O457="",FALSE,TRUE),OR(EXACT(metadata!O457,"missing: not collected"),EXACT(metadata!O457,"missing: not provided"),EXACT(metadata!O457,"missing: restricted access"))),AND(IF(metadata!O457="",FALSE,TRUE),OR(EXACT(metadata!O457,"air"),EXACT(metadata!O457,"built environment"),EXACT(metadata!O457,"host-associated"),EXACT(metadata!O457,"human-associated"),EXACT(metadata!O457,"human-skin"),EXACT(metadata!O457,"human-oral"),EXACT(metadata!O457,"human-gut"),EXACT(metadata!O457,"human-vaginal"),EXACT(metadata!O457,"microbial mat/biofilm"),EXACT(metadata!O457,"misc environment"),EXACT(metadata!O457,"plant-associated"),EXACT(metadata!O457,"sediment"),EXACT(metadata!O457,"soil"),EXACT(metadata!O457,"wastewater/sludge"),EXACT(metadata!O457,"water"))))</f>
        <v>0</v>
      </c>
      <c r="BA457" t="b">
        <f>IF(metadata!P457="",FALSE,TRUE)</f>
        <v>0</v>
      </c>
      <c r="BB457" t="b">
        <f>IF(metadata!Q457="",FALSE,TRUE)</f>
        <v>0</v>
      </c>
      <c r="BC457" t="b">
        <f>OR(AND(IF(metadata!R457="",FALSE,TRUE),OR(EXACT(metadata!R457,"missing: not collected"),EXACT(metadata!R457,"missing: not provided"),EXACT(metadata!R457,"missing: restricted access"))),AND(IF(metadata!R457="",FALSE,ISNUMBER(VALUE(metadata!R457))),metadata!R457&gt;=-90,metadata!R457&lt;=90))</f>
        <v>0</v>
      </c>
      <c r="BD457" t="b">
        <f>AND(IF(metadata!S457="",FALSE,TRUE),EXACT(metadata!S457,"Decimal degrees"))</f>
        <v>0</v>
      </c>
      <c r="BE457" t="b">
        <f>OR(AND(IF(metadata!T457="",FALSE,TRUE),OR(EXACT(metadata!T457,"missing: not collected"),EXACT(metadata!T457,"missing: not provided"),EXACT(metadata!T457,"missing: restricted access"))),AND(IF(metadata!T457="",FALSE,ISNUMBER(VALUE(metadata!T457))),metadata!T457&gt;=-180,metadata!T457&lt;=180))</f>
        <v>0</v>
      </c>
      <c r="BF457" t="b">
        <f>AND(IF(metadata!U457="",FALSE,TRUE),EXACT(metadata!U457,"Decimal degrees"))</f>
        <v>0</v>
      </c>
      <c r="BG457" t="b">
        <f>IF(metadata!V457="",FALSE,TRUE)</f>
        <v>0</v>
      </c>
      <c r="BH457" t="b">
        <f>OR(AND(IF(metadata!W457="",FALSE,TRUE),OR(EXACT(metadata!W457,"missing: not collected"),EXACT(metadata!W457,"missing: not provided"),EXACT(metadata!W457,"missing: restricted access"))),AND(IF(metadata!W457="",FALSE,TRUE),OR(EXACT(metadata!W457,"TRUE"),EXACT(metadata!W457,"FALSE"))))</f>
        <v>0</v>
      </c>
      <c r="BI457" t="b">
        <f>AND(IF(metadata!X457="",FALSE,TRUE),EXACT(metadata!X457,"other"))</f>
        <v>0</v>
      </c>
      <c r="BJ457" t="b">
        <f>IF(metadata!Y457="",FALSE,TRUE)</f>
        <v>0</v>
      </c>
      <c r="BK457" t="b">
        <f>OR(AND(IF(metadata!Z457="",FALSE,TRUE),OR(EXACT(metadata!Z457,"missing: not collected"),EXACT(metadata!Z457,"missing: not provided"))),AND(IF(metadata!Z457="",FALSE,IF(ISERROR(INT(metadata!Z457)),FALSE,INT(metadata!Z457)=metadata!Z457)),metadata!Z457&gt;0))</f>
        <v>0</v>
      </c>
      <c r="BL457" t="b">
        <f>AND(IF(metadata!AA457="",FALSE,TRUE),EXACT(metadata!AA457,"Not applicable"))</f>
        <v>0</v>
      </c>
      <c r="BM457" t="b">
        <f>IF(metadata!AB457="",FALSE,TRUE)</f>
        <v>0</v>
      </c>
    </row>
    <row r="458" spans="1:65" x14ac:dyDescent="0.2">
      <c r="A458" s="5" t="str">
        <f ca="1">IF(B458=" "," ",HYPERLINK(CONCATENATE("#metadata!",ADDRESS(INDEX($AH$2:$AH$1001,MATCH(ROWS($AF$2:AF458),$AF$2:$AF$1001,0),0),1)),INDEX($AK$2:$AK$1001,MATCH(ROWS($AF$2:AF458),$AF$2:$AF$1001,0),0)))</f>
        <v xml:space="preserve"> </v>
      </c>
      <c r="B458" s="4" t="str">
        <f ca="1">IF(OR(INDEX($AG$2:$AG$1001,MATCH(ROWS($AF$2:AF458),$AF$2:$AF$1001,0),1)&gt;=100000,INDEX($AM$1005:$BM$1005,1,MATCH(COLUMNS($AM$1006:AM1006),$AM$1006:$BM$1006,0))&gt;=100000), " ",IF(INDEX($AM$2:$BM$1001,MATCH(ROWS($AF$2:AF458),$AF$2:$AF$1001,0),MATCH(COLUMNS($AM$1006:AM1006),$AM$1006:$BM$1006,0)), HYPERLINK("#",""), HYPERLINK(CONCATENATE("#metadata!", ADDRESS(INDEX($AH$2:$AH$1001,MATCH(ROWS($AF$2:AF458),$AF$2:$AF$1001,0),0), INDEX($AM$1004:$BM$1004,1,MATCH(COLUMNS($AM$1006:AM1006),$AM$1006:$BM$1006,0)))),"Fix")))</f>
        <v xml:space="preserve"> </v>
      </c>
      <c r="C458" s="4" t="str">
        <f ca="1">IF(OR(INDEX($AG$2:$AG$1001,MATCH(ROWS($AF$2:AF458),$AF$2:$AF$1001,0),1)&gt;=100000,INDEX($AM$1005:$BM$1005,1,MATCH(COLUMNS($AM$1006:AN1006),$AM$1006:$BM$1006,0))&gt;=100000), " ",IF(INDEX($AM$2:$BM$1001,MATCH(ROWS($AF$2:AF458),$AF$2:$AF$1001,0),MATCH(COLUMNS($AM$1006:AN1006),$AM$1006:$BM$1006,0)), HYPERLINK("#",""), HYPERLINK(CONCATENATE("#metadata!", ADDRESS(INDEX($AH$2:$AH$1001,MATCH(ROWS($AF$2:AF458),$AF$2:$AF$1001,0),0), INDEX($AM$1004:$BM$1004,1,MATCH(COLUMNS($AM$1006:AN1006),$AM$1006:$BM$1006,0)))),"Fix")))</f>
        <v xml:space="preserve"> </v>
      </c>
      <c r="D458" s="4" t="str">
        <f ca="1">IF(OR(INDEX($AG$2:$AG$1001,MATCH(ROWS($AF$2:AF458),$AF$2:$AF$1001,0),1)&gt;=100000,INDEX($AM$1005:$BM$1005,1,MATCH(COLUMNS($AM$1006:AO1006),$AM$1006:$BM$1006,0))&gt;=100000), " ",IF(INDEX($AM$2:$BM$1001,MATCH(ROWS($AF$2:AF458),$AF$2:$AF$1001,0),MATCH(COLUMNS($AM$1006:AO1006),$AM$1006:$BM$1006,0)), HYPERLINK("#",""), HYPERLINK(CONCATENATE("#metadata!", ADDRESS(INDEX($AH$2:$AH$1001,MATCH(ROWS($AF$2:AF458),$AF$2:$AF$1001,0),0), INDEX($AM$1004:$BM$1004,1,MATCH(COLUMNS($AM$1006:AO1006),$AM$1006:$BM$1006,0)))),"Fix")))</f>
        <v xml:space="preserve"> </v>
      </c>
      <c r="E458" s="4" t="str">
        <f ca="1">IF(OR(INDEX($AG$2:$AG$1001,MATCH(ROWS($AF$2:AF458),$AF$2:$AF$1001,0),1)&gt;=100000,INDEX($AM$1005:$BM$1005,1,MATCH(COLUMNS($AM$1006:AP1006),$AM$1006:$BM$1006,0))&gt;=100000), " ",IF(INDEX($AM$2:$BM$1001,MATCH(ROWS($AF$2:AF458),$AF$2:$AF$1001,0),MATCH(COLUMNS($AM$1006:AP1006),$AM$1006:$BM$1006,0)), HYPERLINK("#",""), HYPERLINK(CONCATENATE("#metadata!", ADDRESS(INDEX($AH$2:$AH$1001,MATCH(ROWS($AF$2:AF458),$AF$2:$AF$1001,0),0), INDEX($AM$1004:$BM$1004,1,MATCH(COLUMNS($AM$1006:AP1006),$AM$1006:$BM$1006,0)))),"Fix")))</f>
        <v xml:space="preserve"> </v>
      </c>
      <c r="F458" s="4" t="str">
        <f ca="1">IF(OR(INDEX($AG$2:$AG$1001,MATCH(ROWS($AF$2:AF458),$AF$2:$AF$1001,0),1)&gt;=100000,INDEX($AM$1005:$BM$1005,1,MATCH(COLUMNS($AM$1006:AQ1006),$AM$1006:$BM$1006,0))&gt;=100000), " ",IF(INDEX($AM$2:$BM$1001,MATCH(ROWS($AF$2:AF458),$AF$2:$AF$1001,0),MATCH(COLUMNS($AM$1006:AQ1006),$AM$1006:$BM$1006,0)), HYPERLINK("#",""), HYPERLINK(CONCATENATE("#metadata!", ADDRESS(INDEX($AH$2:$AH$1001,MATCH(ROWS($AF$2:AF458),$AF$2:$AF$1001,0),0), INDEX($AM$1004:$BM$1004,1,MATCH(COLUMNS($AM$1006:AQ1006),$AM$1006:$BM$1006,0)))),"Fix")))</f>
        <v xml:space="preserve"> </v>
      </c>
      <c r="G458" s="4" t="str">
        <f ca="1">IF(OR(INDEX($AG$2:$AG$1001,MATCH(ROWS($AF$2:AF458),$AF$2:$AF$1001,0),1)&gt;=100000,INDEX($AM$1005:$BM$1005,1,MATCH(COLUMNS($AM$1006:AR1006),$AM$1006:$BM$1006,0))&gt;=100000), " ",IF(INDEX($AM$2:$BM$1001,MATCH(ROWS($AF$2:AF458),$AF$2:$AF$1001,0),MATCH(COLUMNS($AM$1006:AR1006),$AM$1006:$BM$1006,0)), HYPERLINK("#",""), HYPERLINK(CONCATENATE("#metadata!", ADDRESS(INDEX($AH$2:$AH$1001,MATCH(ROWS($AF$2:AF458),$AF$2:$AF$1001,0),0), INDEX($AM$1004:$BM$1004,1,MATCH(COLUMNS($AM$1006:AR1006),$AM$1006:$BM$1006,0)))),"Fix")))</f>
        <v xml:space="preserve"> </v>
      </c>
      <c r="H458" s="4" t="str">
        <f ca="1">IF(OR(INDEX($AG$2:$AG$1001,MATCH(ROWS($AF$2:AF458),$AF$2:$AF$1001,0),1)&gt;=100000,INDEX($AM$1005:$BM$1005,1,MATCH(COLUMNS($AM$1006:AS1006),$AM$1006:$BM$1006,0))&gt;=100000), " ",IF(INDEX($AM$2:$BM$1001,MATCH(ROWS($AF$2:AF458),$AF$2:$AF$1001,0),MATCH(COLUMNS($AM$1006:AS1006),$AM$1006:$BM$1006,0)), HYPERLINK("#",""), HYPERLINK(CONCATENATE("#metadata!", ADDRESS(INDEX($AH$2:$AH$1001,MATCH(ROWS($AF$2:AF458),$AF$2:$AF$1001,0),0), INDEX($AM$1004:$BM$1004,1,MATCH(COLUMNS($AM$1006:AS1006),$AM$1006:$BM$1006,0)))),"Fix")))</f>
        <v xml:space="preserve"> </v>
      </c>
      <c r="I458" s="4" t="str">
        <f ca="1">IF(OR(INDEX($AG$2:$AG$1001,MATCH(ROWS($AF$2:AF458),$AF$2:$AF$1001,0),1)&gt;=100000,INDEX($AM$1005:$BM$1005,1,MATCH(COLUMNS($AM$1006:AT1006),$AM$1006:$BM$1006,0))&gt;=100000), " ",IF(INDEX($AM$2:$BM$1001,MATCH(ROWS($AF$2:AF458),$AF$2:$AF$1001,0),MATCH(COLUMNS($AM$1006:AT1006),$AM$1006:$BM$1006,0)), HYPERLINK("#",""), HYPERLINK(CONCATENATE("#metadata!", ADDRESS(INDEX($AH$2:$AH$1001,MATCH(ROWS($AF$2:AF458),$AF$2:$AF$1001,0),0), INDEX($AM$1004:$BM$1004,1,MATCH(COLUMNS($AM$1006:AT1006),$AM$1006:$BM$1006,0)))),"Fix")))</f>
        <v xml:space="preserve"> </v>
      </c>
      <c r="J458" s="4" t="str">
        <f ca="1">IF(OR(INDEX($AG$2:$AG$1001,MATCH(ROWS($AF$2:AF458),$AF$2:$AF$1001,0),1)&gt;=100000,INDEX($AM$1005:$BM$1005,1,MATCH(COLUMNS($AM$1006:AU1006),$AM$1006:$BM$1006,0))&gt;=100000), " ",IF(INDEX($AM$2:$BM$1001,MATCH(ROWS($AF$2:AF458),$AF$2:$AF$1001,0),MATCH(COLUMNS($AM$1006:AU1006),$AM$1006:$BM$1006,0)), HYPERLINK("#",""), HYPERLINK(CONCATENATE("#metadata!", ADDRESS(INDEX($AH$2:$AH$1001,MATCH(ROWS($AF$2:AF458),$AF$2:$AF$1001,0),0), INDEX($AM$1004:$BM$1004,1,MATCH(COLUMNS($AM$1006:AU1006),$AM$1006:$BM$1006,0)))),"Fix")))</f>
        <v xml:space="preserve"> </v>
      </c>
      <c r="K458" s="4" t="str">
        <f ca="1">IF(OR(INDEX($AG$2:$AG$1001,MATCH(ROWS($AF$2:AF458),$AF$2:$AF$1001,0),1)&gt;=100000,INDEX($AM$1005:$BM$1005,1,MATCH(COLUMNS($AM$1006:AV1006),$AM$1006:$BM$1006,0))&gt;=100000), " ",IF(INDEX($AM$2:$BM$1001,MATCH(ROWS($AF$2:AF458),$AF$2:$AF$1001,0),MATCH(COLUMNS($AM$1006:AV1006),$AM$1006:$BM$1006,0)), HYPERLINK("#",""), HYPERLINK(CONCATENATE("#metadata!", ADDRESS(INDEX($AH$2:$AH$1001,MATCH(ROWS($AF$2:AF458),$AF$2:$AF$1001,0),0), INDEX($AM$1004:$BM$1004,1,MATCH(COLUMNS($AM$1006:AV1006),$AM$1006:$BM$1006,0)))),"Fix")))</f>
        <v xml:space="preserve"> </v>
      </c>
      <c r="L458" s="4" t="str">
        <f ca="1">IF(OR(INDEX($AG$2:$AG$1001,MATCH(ROWS($AF$2:AF458),$AF$2:$AF$1001,0),1)&gt;=100000,INDEX($AM$1005:$BM$1005,1,MATCH(COLUMNS($AM$1006:AW1006),$AM$1006:$BM$1006,0))&gt;=100000), " ",IF(INDEX($AM$2:$BM$1001,MATCH(ROWS($AF$2:AF458),$AF$2:$AF$1001,0),MATCH(COLUMNS($AM$1006:AW1006),$AM$1006:$BM$1006,0)), HYPERLINK("#",""), HYPERLINK(CONCATENATE("#metadata!", ADDRESS(INDEX($AH$2:$AH$1001,MATCH(ROWS($AF$2:AF458),$AF$2:$AF$1001,0),0), INDEX($AM$1004:$BM$1004,1,MATCH(COLUMNS($AM$1006:AW1006),$AM$1006:$BM$1006,0)))),"Fix")))</f>
        <v xml:space="preserve"> </v>
      </c>
      <c r="M458" s="4" t="str">
        <f ca="1">IF(OR(INDEX($AG$2:$AG$1001,MATCH(ROWS($AF$2:AF458),$AF$2:$AF$1001,0),1)&gt;=100000,INDEX($AM$1005:$BM$1005,1,MATCH(COLUMNS($AM$1006:AX1006),$AM$1006:$BM$1006,0))&gt;=100000), " ",IF(INDEX($AM$2:$BM$1001,MATCH(ROWS($AF$2:AF458),$AF$2:$AF$1001,0),MATCH(COLUMNS($AM$1006:AX1006),$AM$1006:$BM$1006,0)), HYPERLINK("#",""), HYPERLINK(CONCATENATE("#metadata!", ADDRESS(INDEX($AH$2:$AH$1001,MATCH(ROWS($AF$2:AF458),$AF$2:$AF$1001,0),0), INDEX($AM$1004:$BM$1004,1,MATCH(COLUMNS($AM$1006:AX1006),$AM$1006:$BM$1006,0)))),"Fix")))</f>
        <v xml:space="preserve"> </v>
      </c>
      <c r="N458" s="4" t="str">
        <f ca="1">IF(OR(INDEX($AG$2:$AG$1001,MATCH(ROWS($AF$2:AF458),$AF$2:$AF$1001,0),1)&gt;=100000,INDEX($AM$1005:$BM$1005,1,MATCH(COLUMNS($AM$1006:AY1006),$AM$1006:$BM$1006,0))&gt;=100000), " ",IF(INDEX($AM$2:$BM$1001,MATCH(ROWS($AF$2:AF458),$AF$2:$AF$1001,0),MATCH(COLUMNS($AM$1006:AY1006),$AM$1006:$BM$1006,0)), HYPERLINK("#",""), HYPERLINK(CONCATENATE("#metadata!", ADDRESS(INDEX($AH$2:$AH$1001,MATCH(ROWS($AF$2:AF458),$AF$2:$AF$1001,0),0), INDEX($AM$1004:$BM$1004,1,MATCH(COLUMNS($AM$1006:AY1006),$AM$1006:$BM$1006,0)))),"Fix")))</f>
        <v xml:space="preserve"> </v>
      </c>
      <c r="O458" s="4" t="str">
        <f ca="1">IF(OR(INDEX($AG$2:$AG$1001,MATCH(ROWS($AF$2:AF458),$AF$2:$AF$1001,0),1)&gt;=100000,INDEX($AM$1005:$BM$1005,1,MATCH(COLUMNS($AM$1006:AZ1006),$AM$1006:$BM$1006,0))&gt;=100000), " ",IF(INDEX($AM$2:$BM$1001,MATCH(ROWS($AF$2:AF458),$AF$2:$AF$1001,0),MATCH(COLUMNS($AM$1006:AZ1006),$AM$1006:$BM$1006,0)), HYPERLINK("#",""), HYPERLINK(CONCATENATE("#metadata!", ADDRESS(INDEX($AH$2:$AH$1001,MATCH(ROWS($AF$2:AF458),$AF$2:$AF$1001,0),0), INDEX($AM$1004:$BM$1004,1,MATCH(COLUMNS($AM$1006:AZ1006),$AM$1006:$BM$1006,0)))),"Fix")))</f>
        <v xml:space="preserve"> </v>
      </c>
      <c r="P458" s="4" t="str">
        <f ca="1">IF(OR(INDEX($AG$2:$AG$1001,MATCH(ROWS($AF$2:AF458),$AF$2:$AF$1001,0),1)&gt;=100000,INDEX($AM$1005:$BM$1005,1,MATCH(COLUMNS($AM$1006:BA1006),$AM$1006:$BM$1006,0))&gt;=100000), " ",IF(INDEX($AM$2:$BM$1001,MATCH(ROWS($AF$2:AF458),$AF$2:$AF$1001,0),MATCH(COLUMNS($AM$1006:BA1006),$AM$1006:$BM$1006,0)), HYPERLINK("#",""), HYPERLINK(CONCATENATE("#metadata!", ADDRESS(INDEX($AH$2:$AH$1001,MATCH(ROWS($AF$2:AF458),$AF$2:$AF$1001,0),0), INDEX($AM$1004:$BM$1004,1,MATCH(COLUMNS($AM$1006:BA1006),$AM$1006:$BM$1006,0)))),"Fix")))</f>
        <v xml:space="preserve"> </v>
      </c>
      <c r="Q458" s="4" t="str">
        <f ca="1">IF(OR(INDEX($AG$2:$AG$1001,MATCH(ROWS($AF$2:AF458),$AF$2:$AF$1001,0),1)&gt;=100000,INDEX($AM$1005:$BM$1005,1,MATCH(COLUMNS($AM$1006:BB1006),$AM$1006:$BM$1006,0))&gt;=100000), " ",IF(INDEX($AM$2:$BM$1001,MATCH(ROWS($AF$2:AF458),$AF$2:$AF$1001,0),MATCH(COLUMNS($AM$1006:BB1006),$AM$1006:$BM$1006,0)), HYPERLINK("#",""), HYPERLINK(CONCATENATE("#metadata!", ADDRESS(INDEX($AH$2:$AH$1001,MATCH(ROWS($AF$2:AF458),$AF$2:$AF$1001,0),0), INDEX($AM$1004:$BM$1004,1,MATCH(COLUMNS($AM$1006:BB1006),$AM$1006:$BM$1006,0)))),"Fix")))</f>
        <v xml:space="preserve"> </v>
      </c>
      <c r="R458" s="4" t="str">
        <f ca="1">IF(OR(INDEX($AG$2:$AG$1001,MATCH(ROWS($AF$2:AF458),$AF$2:$AF$1001,0),1)&gt;=100000,INDEX($AM$1005:$BM$1005,1,MATCH(COLUMNS($AM$1006:BC1006),$AM$1006:$BM$1006,0))&gt;=100000), " ",IF(INDEX($AM$2:$BM$1001,MATCH(ROWS($AF$2:AF458),$AF$2:$AF$1001,0),MATCH(COLUMNS($AM$1006:BC1006),$AM$1006:$BM$1006,0)), HYPERLINK("#",""), HYPERLINK(CONCATENATE("#metadata!", ADDRESS(INDEX($AH$2:$AH$1001,MATCH(ROWS($AF$2:AF458),$AF$2:$AF$1001,0),0), INDEX($AM$1004:$BM$1004,1,MATCH(COLUMNS($AM$1006:BC1006),$AM$1006:$BM$1006,0)))),"Fix")))</f>
        <v xml:space="preserve"> </v>
      </c>
      <c r="S458" s="4" t="str">
        <f ca="1">IF(OR(INDEX($AG$2:$AG$1001,MATCH(ROWS($AF$2:AF458),$AF$2:$AF$1001,0),1)&gt;=100000,INDEX($AM$1005:$BM$1005,1,MATCH(COLUMNS($AM$1006:BD1006),$AM$1006:$BM$1006,0))&gt;=100000), " ",IF(INDEX($AM$2:$BM$1001,MATCH(ROWS($AF$2:AF458),$AF$2:$AF$1001,0),MATCH(COLUMNS($AM$1006:BD1006),$AM$1006:$BM$1006,0)), HYPERLINK("#",""), HYPERLINK(CONCATENATE("#metadata!", ADDRESS(INDEX($AH$2:$AH$1001,MATCH(ROWS($AF$2:AF458),$AF$2:$AF$1001,0),0), INDEX($AM$1004:$BM$1004,1,MATCH(COLUMNS($AM$1006:BD1006),$AM$1006:$BM$1006,0)))),"Fix")))</f>
        <v xml:space="preserve"> </v>
      </c>
      <c r="T458" s="4" t="str">
        <f ca="1">IF(OR(INDEX($AG$2:$AG$1001,MATCH(ROWS($AF$2:AF458),$AF$2:$AF$1001,0),1)&gt;=100000,INDEX($AM$1005:$BM$1005,1,MATCH(COLUMNS($AM$1006:BE1006),$AM$1006:$BM$1006,0))&gt;=100000), " ",IF(INDEX($AM$2:$BM$1001,MATCH(ROWS($AF$2:AF458),$AF$2:$AF$1001,0),MATCH(COLUMNS($AM$1006:BE1006),$AM$1006:$BM$1006,0)), HYPERLINK("#",""), HYPERLINK(CONCATENATE("#metadata!", ADDRESS(INDEX($AH$2:$AH$1001,MATCH(ROWS($AF$2:AF458),$AF$2:$AF$1001,0),0), INDEX($AM$1004:$BM$1004,1,MATCH(COLUMNS($AM$1006:BE1006),$AM$1006:$BM$1006,0)))),"Fix")))</f>
        <v xml:space="preserve"> </v>
      </c>
      <c r="U458" s="4" t="str">
        <f ca="1">IF(OR(INDEX($AG$2:$AG$1001,MATCH(ROWS($AF$2:AF458),$AF$2:$AF$1001,0),1)&gt;=100000,INDEX($AM$1005:$BM$1005,1,MATCH(COLUMNS($AM$1006:BF1006),$AM$1006:$BM$1006,0))&gt;=100000), " ",IF(INDEX($AM$2:$BM$1001,MATCH(ROWS($AF$2:AF458),$AF$2:$AF$1001,0),MATCH(COLUMNS($AM$1006:BF1006),$AM$1006:$BM$1006,0)), HYPERLINK("#",""), HYPERLINK(CONCATENATE("#metadata!", ADDRESS(INDEX($AH$2:$AH$1001,MATCH(ROWS($AF$2:AF458),$AF$2:$AF$1001,0),0), INDEX($AM$1004:$BM$1004,1,MATCH(COLUMNS($AM$1006:BF1006),$AM$1006:$BM$1006,0)))),"Fix")))</f>
        <v xml:space="preserve"> </v>
      </c>
      <c r="V458" s="4" t="str">
        <f ca="1">IF(OR(INDEX($AG$2:$AG$1001,MATCH(ROWS($AF$2:AF458),$AF$2:$AF$1001,0),1)&gt;=100000,INDEX($AM$1005:$BM$1005,1,MATCH(COLUMNS($AM$1006:BG1006),$AM$1006:$BM$1006,0))&gt;=100000), " ",IF(INDEX($AM$2:$BM$1001,MATCH(ROWS($AF$2:AF458),$AF$2:$AF$1001,0),MATCH(COLUMNS($AM$1006:BG1006),$AM$1006:$BM$1006,0)), HYPERLINK("#",""), HYPERLINK(CONCATENATE("#metadata!", ADDRESS(INDEX($AH$2:$AH$1001,MATCH(ROWS($AF$2:AF458),$AF$2:$AF$1001,0),0), INDEX($AM$1004:$BM$1004,1,MATCH(COLUMNS($AM$1006:BG1006),$AM$1006:$BM$1006,0)))),"Fix")))</f>
        <v xml:space="preserve"> </v>
      </c>
      <c r="W458" s="4" t="str">
        <f ca="1">IF(OR(INDEX($AG$2:$AG$1001,MATCH(ROWS($AF$2:AF458),$AF$2:$AF$1001,0),1)&gt;=100000,INDEX($AM$1005:$BM$1005,1,MATCH(COLUMNS($AM$1006:BH1006),$AM$1006:$BM$1006,0))&gt;=100000), " ",IF(INDEX($AM$2:$BM$1001,MATCH(ROWS($AF$2:AF458),$AF$2:$AF$1001,0),MATCH(COLUMNS($AM$1006:BH1006),$AM$1006:$BM$1006,0)), HYPERLINK("#",""), HYPERLINK(CONCATENATE("#metadata!", ADDRESS(INDEX($AH$2:$AH$1001,MATCH(ROWS($AF$2:AF458),$AF$2:$AF$1001,0),0), INDEX($AM$1004:$BM$1004,1,MATCH(COLUMNS($AM$1006:BH1006),$AM$1006:$BM$1006,0)))),"Fix")))</f>
        <v xml:space="preserve"> </v>
      </c>
      <c r="X458" s="4" t="str">
        <f ca="1">IF(OR(INDEX($AG$2:$AG$1001,MATCH(ROWS($AF$2:AF458),$AF$2:$AF$1001,0),1)&gt;=100000,INDEX($AM$1005:$BM$1005,1,MATCH(COLUMNS($AM$1006:BI1006),$AM$1006:$BM$1006,0))&gt;=100000), " ",IF(INDEX($AM$2:$BM$1001,MATCH(ROWS($AF$2:AF458),$AF$2:$AF$1001,0),MATCH(COLUMNS($AM$1006:BI1006),$AM$1006:$BM$1006,0)), HYPERLINK("#",""), HYPERLINK(CONCATENATE("#metadata!", ADDRESS(INDEX($AH$2:$AH$1001,MATCH(ROWS($AF$2:AF458),$AF$2:$AF$1001,0),0), INDEX($AM$1004:$BM$1004,1,MATCH(COLUMNS($AM$1006:BI1006),$AM$1006:$BM$1006,0)))),"Fix")))</f>
        <v xml:space="preserve"> </v>
      </c>
      <c r="Y458" s="4" t="str">
        <f ca="1">IF(OR(INDEX($AG$2:$AG$1001,MATCH(ROWS($AF$2:AF458),$AF$2:$AF$1001,0),1)&gt;=100000,INDEX($AM$1005:$BM$1005,1,MATCH(COLUMNS($AM$1006:BJ1006),$AM$1006:$BM$1006,0))&gt;=100000), " ",IF(INDEX($AM$2:$BM$1001,MATCH(ROWS($AF$2:AF458),$AF$2:$AF$1001,0),MATCH(COLUMNS($AM$1006:BJ1006),$AM$1006:$BM$1006,0)), HYPERLINK("#",""), HYPERLINK(CONCATENATE("#metadata!", ADDRESS(INDEX($AH$2:$AH$1001,MATCH(ROWS($AF$2:AF458),$AF$2:$AF$1001,0),0), INDEX($AM$1004:$BM$1004,1,MATCH(COLUMNS($AM$1006:BJ1006),$AM$1006:$BM$1006,0)))),"Fix")))</f>
        <v xml:space="preserve"> </v>
      </c>
      <c r="Z458" s="4" t="str">
        <f ca="1">IF(OR(INDEX($AG$2:$AG$1001,MATCH(ROWS($AF$2:AF458),$AF$2:$AF$1001,0),1)&gt;=100000,INDEX($AM$1005:$BM$1005,1,MATCH(COLUMNS($AM$1006:BK1006),$AM$1006:$BM$1006,0))&gt;=100000), " ",IF(INDEX($AM$2:$BM$1001,MATCH(ROWS($AF$2:AF458),$AF$2:$AF$1001,0),MATCH(COLUMNS($AM$1006:BK1006),$AM$1006:$BM$1006,0)), HYPERLINK("#",""), HYPERLINK(CONCATENATE("#metadata!", ADDRESS(INDEX($AH$2:$AH$1001,MATCH(ROWS($AF$2:AF458),$AF$2:$AF$1001,0),0), INDEX($AM$1004:$BM$1004,1,MATCH(COLUMNS($AM$1006:BK1006),$AM$1006:$BM$1006,0)))),"Fix")))</f>
        <v xml:space="preserve"> </v>
      </c>
      <c r="AA458" s="4" t="str">
        <f ca="1">IF(OR(INDEX($AG$2:$AG$1001,MATCH(ROWS($AF$2:AF458),$AF$2:$AF$1001,0),1)&gt;=100000,INDEX($AM$1005:$BM$1005,1,MATCH(COLUMNS($AM$1006:BL1006),$AM$1006:$BM$1006,0))&gt;=100000), " ",IF(INDEX($AM$2:$BM$1001,MATCH(ROWS($AF$2:AF458),$AF$2:$AF$1001,0),MATCH(COLUMNS($AM$1006:BL1006),$AM$1006:$BM$1006,0)), HYPERLINK("#",""), HYPERLINK(CONCATENATE("#metadata!", ADDRESS(INDEX($AH$2:$AH$1001,MATCH(ROWS($AF$2:AF458),$AF$2:$AF$1001,0),0), INDEX($AM$1004:$BM$1004,1,MATCH(COLUMNS($AM$1006:BL1006),$AM$1006:$BM$1006,0)))),"Fix")))</f>
        <v xml:space="preserve"> </v>
      </c>
      <c r="AB458" s="4" t="str">
        <f ca="1">IF(OR(INDEX($AG$2:$AG$1001,MATCH(ROWS($AF$2:AF458),$AF$2:$AF$1001,0),1)&gt;=100000,INDEX($AM$1005:$BM$1005,1,MATCH(COLUMNS($AM$1006:BM1006),$AM$1006:$BM$1006,0))&gt;=100000), " ",IF(INDEX($AM$2:$BM$1001,MATCH(ROWS($AF$2:AF458),$AF$2:$AF$1001,0),MATCH(COLUMNS($AM$1006:BM1006),$AM$1006:$BM$1006,0)), HYPERLINK("#",""), HYPERLINK(CONCATENATE("#metadata!", ADDRESS(INDEX($AH$2:$AH$1001,MATCH(ROWS($AF$2:AF458),$AF$2:$AF$1001,0),0), INDEX($AM$1004:$BM$1004,1,MATCH(COLUMNS($AM$1006:BM1006),$AM$1006:$BM$1006,0)))),"Fix")))</f>
        <v xml:space="preserve"> </v>
      </c>
      <c r="AF458">
        <v>457</v>
      </c>
      <c r="AG458">
        <v>100458</v>
      </c>
      <c r="AH458">
        <v>458</v>
      </c>
      <c r="AI458" t="b">
        <f t="shared" si="7"/>
        <v>1</v>
      </c>
      <c r="AJ458" t="b">
        <f>COUNTBLANK(metadata!B458:AB458)=COLUMNS(metadata!B458:AB458)</f>
        <v>1</v>
      </c>
      <c r="AK458" t="str">
        <v/>
      </c>
      <c r="AM458" t="b">
        <f ca="1">AND(IF(metadata!B458="",FALSE,TRUE),COUNTIF(metadata!B:B, metadata!B458) = 1,NOT(ISERROR(SUMPRODUCT(SEARCH(MID(metadata!B458,ROW(INDIRECT("1:"&amp;LEN(metadata!B458))), 1),"0123456789abcdefghijklmnopqrstuvwxyzABCDEFGHIJKLMNOPQRSTUVWXYZ.")))))</f>
        <v>0</v>
      </c>
      <c r="AN458" t="b">
        <f ca="1">OR(AND(IF(metadata!C458="",FALSE,TRUE),OR(EXACT(metadata!C458,"missing: not collected"),EXACT(metadata!C458,"missing: not provided"),EXACT(metadata!C458,"missing: restricted access"))),AND(IF(metadata!C458="",FALSE,TRUE),AND(AND(IFERROR(INT(LEFT(metadata!C458,4))&gt;1900,FALSE),IFERROR(INT(LEFT(metadata!C458,4))&lt;=YEAR(NOW()),FALSE)), OR(MID(metadata!C458,5,1)="", AND(AND(MID(metadata!C458,5,1)="-",IFERROR(INT(MID(metadata!C458,6,1))&gt;=0,FALSE),IFERROR(INT(MID(metadata!C458,6,1))&lt;=1,FALSE),NOT(MID(metadata!C458,7,1)=""),IFERROR(INT(MID(metadata!C458,6,2))&gt;=1,FALSE),IFERROR(INT(MID(metadata!C458,6,2))&lt;=12,FALSE)), OR(MID(metadata!C458,8,1)="", AND(AND(MID(metadata!C458,8,1)="-",IFERROR(INT(MID(metadata!C458,9,1))&gt;=0,FALSE),IFERROR(INT(MID(metadata!C458,9,1))&lt;=3,FALSE),NOT(MID(metadata!C458,10,1)=""),IFERROR(INT(MID(metadata!C458,9,2))&gt;=1,FALSE),IFERROR(INT(MID(metadata!C458,9,2))&lt;=31,FALSE)), OR(MID(metadata!C458,11,1)="", AND(AND(MID(metadata!C458,11,1)=" ",IFERROR(INT(MID(metadata!C458,12,1))&gt;=0,FALSE),IFERROR(INT(MID(metadata!C458,12,1))&lt;=2,FALSE),NOT(MID(metadata!C458,13,1)=""),IFERROR(INT(MID(metadata!C458,12,2))&gt;=0,FALSE),IFERROR(INT(MID(metadata!C458,12,2))&lt;=23,FALSE)), OR(MID(metadata!C458,14,1)="", AND(AND(MID(metadata!C458,14,1)=":",IFERROR(INT(MID(metadata!C458,15,1))&gt;=0,FALSE),IFERROR(INT(MID(metadata!C458,15,1))&lt;=5,FALSE),NOT(MID(metadata!C458,16,1)=""),IFERROR(INT(MID(metadata!C458,15,2))&gt;=0,FALSE),IFERROR(INT(MID(metadata!C458,15,2))&lt;=59,FALSE)), OR(MID(metadata!C458,17,1)="", AND(AND(MID(metadata!C458,17,1)=":",IFERROR(INT(MID(metadata!C458,18,1))&gt;=0,FALSE),IFERROR(INT(MID(metadata!C458,18,1))&lt;=5,FALSE),NOT(MID(metadata!C458,19,1)=""),IFERROR(INT(MID(metadata!C458,18,2))&gt;=0,FALSE),IFERROR(INT(MID(metadata!C458,18,2))&lt;=59,FALSE)), LEN(metadata!C458)&lt;=19)))))))))))))</f>
        <v>0</v>
      </c>
      <c r="AO458" t="b">
        <f>AND(IF(metadata!D458="",FALSE,TRUE),EXACT(metadata!D458,"Not applicable"))</f>
        <v>0</v>
      </c>
      <c r="AP458" t="b">
        <f>IF(metadata!E458="",FALSE,TRUE)</f>
        <v>0</v>
      </c>
      <c r="AQ458" t="b">
        <f>OR(AND(IF(metadata!F458="",FALSE,TRUE),OR(EXACT(metadata!F458,"missing: not collected"),EXACT(metadata!F458,"missing: not provided"))),AND(IF(metadata!F458="",FALSE,TRUE),OR(EXACT(metadata!F458,"TRUE"),EXACT(metadata!F458,"FALSE"))))</f>
        <v>0</v>
      </c>
      <c r="AR458" t="b">
        <f>OR(AND(IF(metadata!G458="",FALSE,TRUE),OR(EXACT(metadata!G458,"missing: not collected"),EXACT(metadata!G458,"missing: not provided"),EXACT(metadata!G458,"missing: restricted access"))),AND(IF(metadata!G458="",FALSE,ISNUMBER(VALUE(metadata!G458))),metadata!G458&gt;=-413))</f>
        <v>0</v>
      </c>
      <c r="AS458" t="b">
        <f>AND(IF(metadata!H458="",FALSE,TRUE),EXACT(metadata!H458,"meters"))</f>
        <v>0</v>
      </c>
      <c r="AT458" t="b">
        <f>AND(IF(metadata!I458="",FALSE,TRUE),OR(EXACT(metadata!I458,"Host-associated"),EXACT(metadata!I458,"Free-living")))</f>
        <v>0</v>
      </c>
      <c r="AU458" t="b">
        <f>AND(IF(metadata!J458="",FALSE,TRUE),OR(EXACT(metadata!J458,"Animal"),EXACT(metadata!J458,"Fungus"),EXACT(metadata!J458,"Plant"),EXACT(metadata!J458,"Saline"),EXACT(metadata!J458,"Non-saline")))</f>
        <v>0</v>
      </c>
      <c r="AV458" t="b">
        <f>AND(IF(metadata!K458="",FALSE,TRUE),OR(EXACT(metadata!K458,"Plant secretion"),EXACT(metadata!K458,"Plant rhizosphere"),EXACT(metadata!K458,"Plant surface"),EXACT(metadata!K458,"Plant corpus"),EXACT(metadata!K458,"Fungus surface"),EXACT(metadata!K458,"Fungus corpus"),EXACT(metadata!K458,"Animal surface"),EXACT(metadata!K458,"Animal proximal gut"),EXACT(metadata!K458,"Animal corpus"),EXACT(metadata!K458,"Animal distal gut"),EXACT(metadata!K458,"Animal secretion"),EXACT(metadata!K458,"Sub-surface (non-saline)"),EXACT(metadata!K458,"Surface (non-saline)"),EXACT(metadata!K458,"Water (non-saline)"),EXACT(metadata!K458,"Soil (non-saline)"),EXACT(metadata!K458,"Aerosol (non-saline)"),EXACT(metadata!K458,"Sediment (non-saline)"),EXACT(metadata!K458,"Surface (saline)"),EXACT(metadata!K458,"Water (saline)"),EXACT(metadata!K458,"Hypersaline (saline)"),EXACT(metadata!K458,"Aerosol (saline)"),EXACT(metadata!K458,"Sediment (saline)")))</f>
        <v>0</v>
      </c>
      <c r="AW458" t="b">
        <f>IF(metadata!L458="",FALSE,TRUE)</f>
        <v>0</v>
      </c>
      <c r="AX458" t="b">
        <f>IF(metadata!M458="",FALSE,TRUE)</f>
        <v>0</v>
      </c>
      <c r="AY458" t="b">
        <f>IF(metadata!N458="",FALSE,TRUE)</f>
        <v>0</v>
      </c>
      <c r="AZ458" t="b">
        <f>OR(AND(IF(metadata!O458="",FALSE,TRUE),OR(EXACT(metadata!O458,"missing: not collected"),EXACT(metadata!O458,"missing: not provided"),EXACT(metadata!O458,"missing: restricted access"))),AND(IF(metadata!O458="",FALSE,TRUE),OR(EXACT(metadata!O458,"air"),EXACT(metadata!O458,"built environment"),EXACT(metadata!O458,"host-associated"),EXACT(metadata!O458,"human-associated"),EXACT(metadata!O458,"human-skin"),EXACT(metadata!O458,"human-oral"),EXACT(metadata!O458,"human-gut"),EXACT(metadata!O458,"human-vaginal"),EXACT(metadata!O458,"microbial mat/biofilm"),EXACT(metadata!O458,"misc environment"),EXACT(metadata!O458,"plant-associated"),EXACT(metadata!O458,"sediment"),EXACT(metadata!O458,"soil"),EXACT(metadata!O458,"wastewater/sludge"),EXACT(metadata!O458,"water"))))</f>
        <v>0</v>
      </c>
      <c r="BA458" t="b">
        <f>IF(metadata!P458="",FALSE,TRUE)</f>
        <v>0</v>
      </c>
      <c r="BB458" t="b">
        <f>IF(metadata!Q458="",FALSE,TRUE)</f>
        <v>0</v>
      </c>
      <c r="BC458" t="b">
        <f>OR(AND(IF(metadata!R458="",FALSE,TRUE),OR(EXACT(metadata!R458,"missing: not collected"),EXACT(metadata!R458,"missing: not provided"),EXACT(metadata!R458,"missing: restricted access"))),AND(IF(metadata!R458="",FALSE,ISNUMBER(VALUE(metadata!R458))),metadata!R458&gt;=-90,metadata!R458&lt;=90))</f>
        <v>0</v>
      </c>
      <c r="BD458" t="b">
        <f>AND(IF(metadata!S458="",FALSE,TRUE),EXACT(metadata!S458,"Decimal degrees"))</f>
        <v>0</v>
      </c>
      <c r="BE458" t="b">
        <f>OR(AND(IF(metadata!T458="",FALSE,TRUE),OR(EXACT(metadata!T458,"missing: not collected"),EXACT(metadata!T458,"missing: not provided"),EXACT(metadata!T458,"missing: restricted access"))),AND(IF(metadata!T458="",FALSE,ISNUMBER(VALUE(metadata!T458))),metadata!T458&gt;=-180,metadata!T458&lt;=180))</f>
        <v>0</v>
      </c>
      <c r="BF458" t="b">
        <f>AND(IF(metadata!U458="",FALSE,TRUE),EXACT(metadata!U458,"Decimal degrees"))</f>
        <v>0</v>
      </c>
      <c r="BG458" t="b">
        <f>IF(metadata!V458="",FALSE,TRUE)</f>
        <v>0</v>
      </c>
      <c r="BH458" t="b">
        <f>OR(AND(IF(metadata!W458="",FALSE,TRUE),OR(EXACT(metadata!W458,"missing: not collected"),EXACT(metadata!W458,"missing: not provided"),EXACT(metadata!W458,"missing: restricted access"))),AND(IF(metadata!W458="",FALSE,TRUE),OR(EXACT(metadata!W458,"TRUE"),EXACT(metadata!W458,"FALSE"))))</f>
        <v>0</v>
      </c>
      <c r="BI458" t="b">
        <f>AND(IF(metadata!X458="",FALSE,TRUE),EXACT(metadata!X458,"other"))</f>
        <v>0</v>
      </c>
      <c r="BJ458" t="b">
        <f>IF(metadata!Y458="",FALSE,TRUE)</f>
        <v>0</v>
      </c>
      <c r="BK458" t="b">
        <f>OR(AND(IF(metadata!Z458="",FALSE,TRUE),OR(EXACT(metadata!Z458,"missing: not collected"),EXACT(metadata!Z458,"missing: not provided"))),AND(IF(metadata!Z458="",FALSE,IF(ISERROR(INT(metadata!Z458)),FALSE,INT(metadata!Z458)=metadata!Z458)),metadata!Z458&gt;0))</f>
        <v>0</v>
      </c>
      <c r="BL458" t="b">
        <f>AND(IF(metadata!AA458="",FALSE,TRUE),EXACT(metadata!AA458,"Not applicable"))</f>
        <v>0</v>
      </c>
      <c r="BM458" t="b">
        <f>IF(metadata!AB458="",FALSE,TRUE)</f>
        <v>0</v>
      </c>
    </row>
    <row r="459" spans="1:65" x14ac:dyDescent="0.2">
      <c r="A459" s="5" t="str">
        <f ca="1">IF(B459=" "," ",HYPERLINK(CONCATENATE("#metadata!",ADDRESS(INDEX($AH$2:$AH$1001,MATCH(ROWS($AF$2:AF459),$AF$2:$AF$1001,0),0),1)),INDEX($AK$2:$AK$1001,MATCH(ROWS($AF$2:AF459),$AF$2:$AF$1001,0),0)))</f>
        <v xml:space="preserve"> </v>
      </c>
      <c r="B459" s="4" t="str">
        <f ca="1">IF(OR(INDEX($AG$2:$AG$1001,MATCH(ROWS($AF$2:AF459),$AF$2:$AF$1001,0),1)&gt;=100000,INDEX($AM$1005:$BM$1005,1,MATCH(COLUMNS($AM$1006:AM1006),$AM$1006:$BM$1006,0))&gt;=100000), " ",IF(INDEX($AM$2:$BM$1001,MATCH(ROWS($AF$2:AF459),$AF$2:$AF$1001,0),MATCH(COLUMNS($AM$1006:AM1006),$AM$1006:$BM$1006,0)), HYPERLINK("#",""), HYPERLINK(CONCATENATE("#metadata!", ADDRESS(INDEX($AH$2:$AH$1001,MATCH(ROWS($AF$2:AF459),$AF$2:$AF$1001,0),0), INDEX($AM$1004:$BM$1004,1,MATCH(COLUMNS($AM$1006:AM1006),$AM$1006:$BM$1006,0)))),"Fix")))</f>
        <v xml:space="preserve"> </v>
      </c>
      <c r="C459" s="4" t="str">
        <f ca="1">IF(OR(INDEX($AG$2:$AG$1001,MATCH(ROWS($AF$2:AF459),$AF$2:$AF$1001,0),1)&gt;=100000,INDEX($AM$1005:$BM$1005,1,MATCH(COLUMNS($AM$1006:AN1006),$AM$1006:$BM$1006,0))&gt;=100000), " ",IF(INDEX($AM$2:$BM$1001,MATCH(ROWS($AF$2:AF459),$AF$2:$AF$1001,0),MATCH(COLUMNS($AM$1006:AN1006),$AM$1006:$BM$1006,0)), HYPERLINK("#",""), HYPERLINK(CONCATENATE("#metadata!", ADDRESS(INDEX($AH$2:$AH$1001,MATCH(ROWS($AF$2:AF459),$AF$2:$AF$1001,0),0), INDEX($AM$1004:$BM$1004,1,MATCH(COLUMNS($AM$1006:AN1006),$AM$1006:$BM$1006,0)))),"Fix")))</f>
        <v xml:space="preserve"> </v>
      </c>
      <c r="D459" s="4" t="str">
        <f ca="1">IF(OR(INDEX($AG$2:$AG$1001,MATCH(ROWS($AF$2:AF459),$AF$2:$AF$1001,0),1)&gt;=100000,INDEX($AM$1005:$BM$1005,1,MATCH(COLUMNS($AM$1006:AO1006),$AM$1006:$BM$1006,0))&gt;=100000), " ",IF(INDEX($AM$2:$BM$1001,MATCH(ROWS($AF$2:AF459),$AF$2:$AF$1001,0),MATCH(COLUMNS($AM$1006:AO1006),$AM$1006:$BM$1006,0)), HYPERLINK("#",""), HYPERLINK(CONCATENATE("#metadata!", ADDRESS(INDEX($AH$2:$AH$1001,MATCH(ROWS($AF$2:AF459),$AF$2:$AF$1001,0),0), INDEX($AM$1004:$BM$1004,1,MATCH(COLUMNS($AM$1006:AO1006),$AM$1006:$BM$1006,0)))),"Fix")))</f>
        <v xml:space="preserve"> </v>
      </c>
      <c r="E459" s="4" t="str">
        <f ca="1">IF(OR(INDEX($AG$2:$AG$1001,MATCH(ROWS($AF$2:AF459),$AF$2:$AF$1001,0),1)&gt;=100000,INDEX($AM$1005:$BM$1005,1,MATCH(COLUMNS($AM$1006:AP1006),$AM$1006:$BM$1006,0))&gt;=100000), " ",IF(INDEX($AM$2:$BM$1001,MATCH(ROWS($AF$2:AF459),$AF$2:$AF$1001,0),MATCH(COLUMNS($AM$1006:AP1006),$AM$1006:$BM$1006,0)), HYPERLINK("#",""), HYPERLINK(CONCATENATE("#metadata!", ADDRESS(INDEX($AH$2:$AH$1001,MATCH(ROWS($AF$2:AF459),$AF$2:$AF$1001,0),0), INDEX($AM$1004:$BM$1004,1,MATCH(COLUMNS($AM$1006:AP1006),$AM$1006:$BM$1006,0)))),"Fix")))</f>
        <v xml:space="preserve"> </v>
      </c>
      <c r="F459" s="4" t="str">
        <f ca="1">IF(OR(INDEX($AG$2:$AG$1001,MATCH(ROWS($AF$2:AF459),$AF$2:$AF$1001,0),1)&gt;=100000,INDEX($AM$1005:$BM$1005,1,MATCH(COLUMNS($AM$1006:AQ1006),$AM$1006:$BM$1006,0))&gt;=100000), " ",IF(INDEX($AM$2:$BM$1001,MATCH(ROWS($AF$2:AF459),$AF$2:$AF$1001,0),MATCH(COLUMNS($AM$1006:AQ1006),$AM$1006:$BM$1006,0)), HYPERLINK("#",""), HYPERLINK(CONCATENATE("#metadata!", ADDRESS(INDEX($AH$2:$AH$1001,MATCH(ROWS($AF$2:AF459),$AF$2:$AF$1001,0),0), INDEX($AM$1004:$BM$1004,1,MATCH(COLUMNS($AM$1006:AQ1006),$AM$1006:$BM$1006,0)))),"Fix")))</f>
        <v xml:space="preserve"> </v>
      </c>
      <c r="G459" s="4" t="str">
        <f ca="1">IF(OR(INDEX($AG$2:$AG$1001,MATCH(ROWS($AF$2:AF459),$AF$2:$AF$1001,0),1)&gt;=100000,INDEX($AM$1005:$BM$1005,1,MATCH(COLUMNS($AM$1006:AR1006),$AM$1006:$BM$1006,0))&gt;=100000), " ",IF(INDEX($AM$2:$BM$1001,MATCH(ROWS($AF$2:AF459),$AF$2:$AF$1001,0),MATCH(COLUMNS($AM$1006:AR1006),$AM$1006:$BM$1006,0)), HYPERLINK("#",""), HYPERLINK(CONCATENATE("#metadata!", ADDRESS(INDEX($AH$2:$AH$1001,MATCH(ROWS($AF$2:AF459),$AF$2:$AF$1001,0),0), INDEX($AM$1004:$BM$1004,1,MATCH(COLUMNS($AM$1006:AR1006),$AM$1006:$BM$1006,0)))),"Fix")))</f>
        <v xml:space="preserve"> </v>
      </c>
      <c r="H459" s="4" t="str">
        <f ca="1">IF(OR(INDEX($AG$2:$AG$1001,MATCH(ROWS($AF$2:AF459),$AF$2:$AF$1001,0),1)&gt;=100000,INDEX($AM$1005:$BM$1005,1,MATCH(COLUMNS($AM$1006:AS1006),$AM$1006:$BM$1006,0))&gt;=100000), " ",IF(INDEX($AM$2:$BM$1001,MATCH(ROWS($AF$2:AF459),$AF$2:$AF$1001,0),MATCH(COLUMNS($AM$1006:AS1006),$AM$1006:$BM$1006,0)), HYPERLINK("#",""), HYPERLINK(CONCATENATE("#metadata!", ADDRESS(INDEX($AH$2:$AH$1001,MATCH(ROWS($AF$2:AF459),$AF$2:$AF$1001,0),0), INDEX($AM$1004:$BM$1004,1,MATCH(COLUMNS($AM$1006:AS1006),$AM$1006:$BM$1006,0)))),"Fix")))</f>
        <v xml:space="preserve"> </v>
      </c>
      <c r="I459" s="4" t="str">
        <f ca="1">IF(OR(INDEX($AG$2:$AG$1001,MATCH(ROWS($AF$2:AF459),$AF$2:$AF$1001,0),1)&gt;=100000,INDEX($AM$1005:$BM$1005,1,MATCH(COLUMNS($AM$1006:AT1006),$AM$1006:$BM$1006,0))&gt;=100000), " ",IF(INDEX($AM$2:$BM$1001,MATCH(ROWS($AF$2:AF459),$AF$2:$AF$1001,0),MATCH(COLUMNS($AM$1006:AT1006),$AM$1006:$BM$1006,0)), HYPERLINK("#",""), HYPERLINK(CONCATENATE("#metadata!", ADDRESS(INDEX($AH$2:$AH$1001,MATCH(ROWS($AF$2:AF459),$AF$2:$AF$1001,0),0), INDEX($AM$1004:$BM$1004,1,MATCH(COLUMNS($AM$1006:AT1006),$AM$1006:$BM$1006,0)))),"Fix")))</f>
        <v xml:space="preserve"> </v>
      </c>
      <c r="J459" s="4" t="str">
        <f ca="1">IF(OR(INDEX($AG$2:$AG$1001,MATCH(ROWS($AF$2:AF459),$AF$2:$AF$1001,0),1)&gt;=100000,INDEX($AM$1005:$BM$1005,1,MATCH(COLUMNS($AM$1006:AU1006),$AM$1006:$BM$1006,0))&gt;=100000), " ",IF(INDEX($AM$2:$BM$1001,MATCH(ROWS($AF$2:AF459),$AF$2:$AF$1001,0),MATCH(COLUMNS($AM$1006:AU1006),$AM$1006:$BM$1006,0)), HYPERLINK("#",""), HYPERLINK(CONCATENATE("#metadata!", ADDRESS(INDEX($AH$2:$AH$1001,MATCH(ROWS($AF$2:AF459),$AF$2:$AF$1001,0),0), INDEX($AM$1004:$BM$1004,1,MATCH(COLUMNS($AM$1006:AU1006),$AM$1006:$BM$1006,0)))),"Fix")))</f>
        <v xml:space="preserve"> </v>
      </c>
      <c r="K459" s="4" t="str">
        <f ca="1">IF(OR(INDEX($AG$2:$AG$1001,MATCH(ROWS($AF$2:AF459),$AF$2:$AF$1001,0),1)&gt;=100000,INDEX($AM$1005:$BM$1005,1,MATCH(COLUMNS($AM$1006:AV1006),$AM$1006:$BM$1006,0))&gt;=100000), " ",IF(INDEX($AM$2:$BM$1001,MATCH(ROWS($AF$2:AF459),$AF$2:$AF$1001,0),MATCH(COLUMNS($AM$1006:AV1006),$AM$1006:$BM$1006,0)), HYPERLINK("#",""), HYPERLINK(CONCATENATE("#metadata!", ADDRESS(INDEX($AH$2:$AH$1001,MATCH(ROWS($AF$2:AF459),$AF$2:$AF$1001,0),0), INDEX($AM$1004:$BM$1004,1,MATCH(COLUMNS($AM$1006:AV1006),$AM$1006:$BM$1006,0)))),"Fix")))</f>
        <v xml:space="preserve"> </v>
      </c>
      <c r="L459" s="4" t="str">
        <f ca="1">IF(OR(INDEX($AG$2:$AG$1001,MATCH(ROWS($AF$2:AF459),$AF$2:$AF$1001,0),1)&gt;=100000,INDEX($AM$1005:$BM$1005,1,MATCH(COLUMNS($AM$1006:AW1006),$AM$1006:$BM$1006,0))&gt;=100000), " ",IF(INDEX($AM$2:$BM$1001,MATCH(ROWS($AF$2:AF459),$AF$2:$AF$1001,0),MATCH(COLUMNS($AM$1006:AW1006),$AM$1006:$BM$1006,0)), HYPERLINK("#",""), HYPERLINK(CONCATENATE("#metadata!", ADDRESS(INDEX($AH$2:$AH$1001,MATCH(ROWS($AF$2:AF459),$AF$2:$AF$1001,0),0), INDEX($AM$1004:$BM$1004,1,MATCH(COLUMNS($AM$1006:AW1006),$AM$1006:$BM$1006,0)))),"Fix")))</f>
        <v xml:space="preserve"> </v>
      </c>
      <c r="M459" s="4" t="str">
        <f ca="1">IF(OR(INDEX($AG$2:$AG$1001,MATCH(ROWS($AF$2:AF459),$AF$2:$AF$1001,0),1)&gt;=100000,INDEX($AM$1005:$BM$1005,1,MATCH(COLUMNS($AM$1006:AX1006),$AM$1006:$BM$1006,0))&gt;=100000), " ",IF(INDEX($AM$2:$BM$1001,MATCH(ROWS($AF$2:AF459),$AF$2:$AF$1001,0),MATCH(COLUMNS($AM$1006:AX1006),$AM$1006:$BM$1006,0)), HYPERLINK("#",""), HYPERLINK(CONCATENATE("#metadata!", ADDRESS(INDEX($AH$2:$AH$1001,MATCH(ROWS($AF$2:AF459),$AF$2:$AF$1001,0),0), INDEX($AM$1004:$BM$1004,1,MATCH(COLUMNS($AM$1006:AX1006),$AM$1006:$BM$1006,0)))),"Fix")))</f>
        <v xml:space="preserve"> </v>
      </c>
      <c r="N459" s="4" t="str">
        <f ca="1">IF(OR(INDEX($AG$2:$AG$1001,MATCH(ROWS($AF$2:AF459),$AF$2:$AF$1001,0),1)&gt;=100000,INDEX($AM$1005:$BM$1005,1,MATCH(COLUMNS($AM$1006:AY1006),$AM$1006:$BM$1006,0))&gt;=100000), " ",IF(INDEX($AM$2:$BM$1001,MATCH(ROWS($AF$2:AF459),$AF$2:$AF$1001,0),MATCH(COLUMNS($AM$1006:AY1006),$AM$1006:$BM$1006,0)), HYPERLINK("#",""), HYPERLINK(CONCATENATE("#metadata!", ADDRESS(INDEX($AH$2:$AH$1001,MATCH(ROWS($AF$2:AF459),$AF$2:$AF$1001,0),0), INDEX($AM$1004:$BM$1004,1,MATCH(COLUMNS($AM$1006:AY1006),$AM$1006:$BM$1006,0)))),"Fix")))</f>
        <v xml:space="preserve"> </v>
      </c>
      <c r="O459" s="4" t="str">
        <f ca="1">IF(OR(INDEX($AG$2:$AG$1001,MATCH(ROWS($AF$2:AF459),$AF$2:$AF$1001,0),1)&gt;=100000,INDEX($AM$1005:$BM$1005,1,MATCH(COLUMNS($AM$1006:AZ1006),$AM$1006:$BM$1006,0))&gt;=100000), " ",IF(INDEX($AM$2:$BM$1001,MATCH(ROWS($AF$2:AF459),$AF$2:$AF$1001,0),MATCH(COLUMNS($AM$1006:AZ1006),$AM$1006:$BM$1006,0)), HYPERLINK("#",""), HYPERLINK(CONCATENATE("#metadata!", ADDRESS(INDEX($AH$2:$AH$1001,MATCH(ROWS($AF$2:AF459),$AF$2:$AF$1001,0),0), INDEX($AM$1004:$BM$1004,1,MATCH(COLUMNS($AM$1006:AZ1006),$AM$1006:$BM$1006,0)))),"Fix")))</f>
        <v xml:space="preserve"> </v>
      </c>
      <c r="P459" s="4" t="str">
        <f ca="1">IF(OR(INDEX($AG$2:$AG$1001,MATCH(ROWS($AF$2:AF459),$AF$2:$AF$1001,0),1)&gt;=100000,INDEX($AM$1005:$BM$1005,1,MATCH(COLUMNS($AM$1006:BA1006),$AM$1006:$BM$1006,0))&gt;=100000), " ",IF(INDEX($AM$2:$BM$1001,MATCH(ROWS($AF$2:AF459),$AF$2:$AF$1001,0),MATCH(COLUMNS($AM$1006:BA1006),$AM$1006:$BM$1006,0)), HYPERLINK("#",""), HYPERLINK(CONCATENATE("#metadata!", ADDRESS(INDEX($AH$2:$AH$1001,MATCH(ROWS($AF$2:AF459),$AF$2:$AF$1001,0),0), INDEX($AM$1004:$BM$1004,1,MATCH(COLUMNS($AM$1006:BA1006),$AM$1006:$BM$1006,0)))),"Fix")))</f>
        <v xml:space="preserve"> </v>
      </c>
      <c r="Q459" s="4" t="str">
        <f ca="1">IF(OR(INDEX($AG$2:$AG$1001,MATCH(ROWS($AF$2:AF459),$AF$2:$AF$1001,0),1)&gt;=100000,INDEX($AM$1005:$BM$1005,1,MATCH(COLUMNS($AM$1006:BB1006),$AM$1006:$BM$1006,0))&gt;=100000), " ",IF(INDEX($AM$2:$BM$1001,MATCH(ROWS($AF$2:AF459),$AF$2:$AF$1001,0),MATCH(COLUMNS($AM$1006:BB1006),$AM$1006:$BM$1006,0)), HYPERLINK("#",""), HYPERLINK(CONCATENATE("#metadata!", ADDRESS(INDEX($AH$2:$AH$1001,MATCH(ROWS($AF$2:AF459),$AF$2:$AF$1001,0),0), INDEX($AM$1004:$BM$1004,1,MATCH(COLUMNS($AM$1006:BB1006),$AM$1006:$BM$1006,0)))),"Fix")))</f>
        <v xml:space="preserve"> </v>
      </c>
      <c r="R459" s="4" t="str">
        <f ca="1">IF(OR(INDEX($AG$2:$AG$1001,MATCH(ROWS($AF$2:AF459),$AF$2:$AF$1001,0),1)&gt;=100000,INDEX($AM$1005:$BM$1005,1,MATCH(COLUMNS($AM$1006:BC1006),$AM$1006:$BM$1006,0))&gt;=100000), " ",IF(INDEX($AM$2:$BM$1001,MATCH(ROWS($AF$2:AF459),$AF$2:$AF$1001,0),MATCH(COLUMNS($AM$1006:BC1006),$AM$1006:$BM$1006,0)), HYPERLINK("#",""), HYPERLINK(CONCATENATE("#metadata!", ADDRESS(INDEX($AH$2:$AH$1001,MATCH(ROWS($AF$2:AF459),$AF$2:$AF$1001,0),0), INDEX($AM$1004:$BM$1004,1,MATCH(COLUMNS($AM$1006:BC1006),$AM$1006:$BM$1006,0)))),"Fix")))</f>
        <v xml:space="preserve"> </v>
      </c>
      <c r="S459" s="4" t="str">
        <f ca="1">IF(OR(INDEX($AG$2:$AG$1001,MATCH(ROWS($AF$2:AF459),$AF$2:$AF$1001,0),1)&gt;=100000,INDEX($AM$1005:$BM$1005,1,MATCH(COLUMNS($AM$1006:BD1006),$AM$1006:$BM$1006,0))&gt;=100000), " ",IF(INDEX($AM$2:$BM$1001,MATCH(ROWS($AF$2:AF459),$AF$2:$AF$1001,0),MATCH(COLUMNS($AM$1006:BD1006),$AM$1006:$BM$1006,0)), HYPERLINK("#",""), HYPERLINK(CONCATENATE("#metadata!", ADDRESS(INDEX($AH$2:$AH$1001,MATCH(ROWS($AF$2:AF459),$AF$2:$AF$1001,0),0), INDEX($AM$1004:$BM$1004,1,MATCH(COLUMNS($AM$1006:BD1006),$AM$1006:$BM$1006,0)))),"Fix")))</f>
        <v xml:space="preserve"> </v>
      </c>
      <c r="T459" s="4" t="str">
        <f ca="1">IF(OR(INDEX($AG$2:$AG$1001,MATCH(ROWS($AF$2:AF459),$AF$2:$AF$1001,0),1)&gt;=100000,INDEX($AM$1005:$BM$1005,1,MATCH(COLUMNS($AM$1006:BE1006),$AM$1006:$BM$1006,0))&gt;=100000), " ",IF(INDEX($AM$2:$BM$1001,MATCH(ROWS($AF$2:AF459),$AF$2:$AF$1001,0),MATCH(COLUMNS($AM$1006:BE1006),$AM$1006:$BM$1006,0)), HYPERLINK("#",""), HYPERLINK(CONCATENATE("#metadata!", ADDRESS(INDEX($AH$2:$AH$1001,MATCH(ROWS($AF$2:AF459),$AF$2:$AF$1001,0),0), INDEX($AM$1004:$BM$1004,1,MATCH(COLUMNS($AM$1006:BE1006),$AM$1006:$BM$1006,0)))),"Fix")))</f>
        <v xml:space="preserve"> </v>
      </c>
      <c r="U459" s="4" t="str">
        <f ca="1">IF(OR(INDEX($AG$2:$AG$1001,MATCH(ROWS($AF$2:AF459),$AF$2:$AF$1001,0),1)&gt;=100000,INDEX($AM$1005:$BM$1005,1,MATCH(COLUMNS($AM$1006:BF1006),$AM$1006:$BM$1006,0))&gt;=100000), " ",IF(INDEX($AM$2:$BM$1001,MATCH(ROWS($AF$2:AF459),$AF$2:$AF$1001,0),MATCH(COLUMNS($AM$1006:BF1006),$AM$1006:$BM$1006,0)), HYPERLINK("#",""), HYPERLINK(CONCATENATE("#metadata!", ADDRESS(INDEX($AH$2:$AH$1001,MATCH(ROWS($AF$2:AF459),$AF$2:$AF$1001,0),0), INDEX($AM$1004:$BM$1004,1,MATCH(COLUMNS($AM$1006:BF1006),$AM$1006:$BM$1006,0)))),"Fix")))</f>
        <v xml:space="preserve"> </v>
      </c>
      <c r="V459" s="4" t="str">
        <f ca="1">IF(OR(INDEX($AG$2:$AG$1001,MATCH(ROWS($AF$2:AF459),$AF$2:$AF$1001,0),1)&gt;=100000,INDEX($AM$1005:$BM$1005,1,MATCH(COLUMNS($AM$1006:BG1006),$AM$1006:$BM$1006,0))&gt;=100000), " ",IF(INDEX($AM$2:$BM$1001,MATCH(ROWS($AF$2:AF459),$AF$2:$AF$1001,0),MATCH(COLUMNS($AM$1006:BG1006),$AM$1006:$BM$1006,0)), HYPERLINK("#",""), HYPERLINK(CONCATENATE("#metadata!", ADDRESS(INDEX($AH$2:$AH$1001,MATCH(ROWS($AF$2:AF459),$AF$2:$AF$1001,0),0), INDEX($AM$1004:$BM$1004,1,MATCH(COLUMNS($AM$1006:BG1006),$AM$1006:$BM$1006,0)))),"Fix")))</f>
        <v xml:space="preserve"> </v>
      </c>
      <c r="W459" s="4" t="str">
        <f ca="1">IF(OR(INDEX($AG$2:$AG$1001,MATCH(ROWS($AF$2:AF459),$AF$2:$AF$1001,0),1)&gt;=100000,INDEX($AM$1005:$BM$1005,1,MATCH(COLUMNS($AM$1006:BH1006),$AM$1006:$BM$1006,0))&gt;=100000), " ",IF(INDEX($AM$2:$BM$1001,MATCH(ROWS($AF$2:AF459),$AF$2:$AF$1001,0),MATCH(COLUMNS($AM$1006:BH1006),$AM$1006:$BM$1006,0)), HYPERLINK("#",""), HYPERLINK(CONCATENATE("#metadata!", ADDRESS(INDEX($AH$2:$AH$1001,MATCH(ROWS($AF$2:AF459),$AF$2:$AF$1001,0),0), INDEX($AM$1004:$BM$1004,1,MATCH(COLUMNS($AM$1006:BH1006),$AM$1006:$BM$1006,0)))),"Fix")))</f>
        <v xml:space="preserve"> </v>
      </c>
      <c r="X459" s="4" t="str">
        <f ca="1">IF(OR(INDEX($AG$2:$AG$1001,MATCH(ROWS($AF$2:AF459),$AF$2:$AF$1001,0),1)&gt;=100000,INDEX($AM$1005:$BM$1005,1,MATCH(COLUMNS($AM$1006:BI1006),$AM$1006:$BM$1006,0))&gt;=100000), " ",IF(INDEX($AM$2:$BM$1001,MATCH(ROWS($AF$2:AF459),$AF$2:$AF$1001,0),MATCH(COLUMNS($AM$1006:BI1006),$AM$1006:$BM$1006,0)), HYPERLINK("#",""), HYPERLINK(CONCATENATE("#metadata!", ADDRESS(INDEX($AH$2:$AH$1001,MATCH(ROWS($AF$2:AF459),$AF$2:$AF$1001,0),0), INDEX($AM$1004:$BM$1004,1,MATCH(COLUMNS($AM$1006:BI1006),$AM$1006:$BM$1006,0)))),"Fix")))</f>
        <v xml:space="preserve"> </v>
      </c>
      <c r="Y459" s="4" t="str">
        <f ca="1">IF(OR(INDEX($AG$2:$AG$1001,MATCH(ROWS($AF$2:AF459),$AF$2:$AF$1001,0),1)&gt;=100000,INDEX($AM$1005:$BM$1005,1,MATCH(COLUMNS($AM$1006:BJ1006),$AM$1006:$BM$1006,0))&gt;=100000), " ",IF(INDEX($AM$2:$BM$1001,MATCH(ROWS($AF$2:AF459),$AF$2:$AF$1001,0),MATCH(COLUMNS($AM$1006:BJ1006),$AM$1006:$BM$1006,0)), HYPERLINK("#",""), HYPERLINK(CONCATENATE("#metadata!", ADDRESS(INDEX($AH$2:$AH$1001,MATCH(ROWS($AF$2:AF459),$AF$2:$AF$1001,0),0), INDEX($AM$1004:$BM$1004,1,MATCH(COLUMNS($AM$1006:BJ1006),$AM$1006:$BM$1006,0)))),"Fix")))</f>
        <v xml:space="preserve"> </v>
      </c>
      <c r="Z459" s="4" t="str">
        <f ca="1">IF(OR(INDEX($AG$2:$AG$1001,MATCH(ROWS($AF$2:AF459),$AF$2:$AF$1001,0),1)&gt;=100000,INDEX($AM$1005:$BM$1005,1,MATCH(COLUMNS($AM$1006:BK1006),$AM$1006:$BM$1006,0))&gt;=100000), " ",IF(INDEX($AM$2:$BM$1001,MATCH(ROWS($AF$2:AF459),$AF$2:$AF$1001,0),MATCH(COLUMNS($AM$1006:BK1006),$AM$1006:$BM$1006,0)), HYPERLINK("#",""), HYPERLINK(CONCATENATE("#metadata!", ADDRESS(INDEX($AH$2:$AH$1001,MATCH(ROWS($AF$2:AF459),$AF$2:$AF$1001,0),0), INDEX($AM$1004:$BM$1004,1,MATCH(COLUMNS($AM$1006:BK1006),$AM$1006:$BM$1006,0)))),"Fix")))</f>
        <v xml:space="preserve"> </v>
      </c>
      <c r="AA459" s="4" t="str">
        <f ca="1">IF(OR(INDEX($AG$2:$AG$1001,MATCH(ROWS($AF$2:AF459),$AF$2:$AF$1001,0),1)&gt;=100000,INDEX($AM$1005:$BM$1005,1,MATCH(COLUMNS($AM$1006:BL1006),$AM$1006:$BM$1006,0))&gt;=100000), " ",IF(INDEX($AM$2:$BM$1001,MATCH(ROWS($AF$2:AF459),$AF$2:$AF$1001,0),MATCH(COLUMNS($AM$1006:BL1006),$AM$1006:$BM$1006,0)), HYPERLINK("#",""), HYPERLINK(CONCATENATE("#metadata!", ADDRESS(INDEX($AH$2:$AH$1001,MATCH(ROWS($AF$2:AF459),$AF$2:$AF$1001,0),0), INDEX($AM$1004:$BM$1004,1,MATCH(COLUMNS($AM$1006:BL1006),$AM$1006:$BM$1006,0)))),"Fix")))</f>
        <v xml:space="preserve"> </v>
      </c>
      <c r="AB459" s="4" t="str">
        <f ca="1">IF(OR(INDEX($AG$2:$AG$1001,MATCH(ROWS($AF$2:AF459),$AF$2:$AF$1001,0),1)&gt;=100000,INDEX($AM$1005:$BM$1005,1,MATCH(COLUMNS($AM$1006:BM1006),$AM$1006:$BM$1006,0))&gt;=100000), " ",IF(INDEX($AM$2:$BM$1001,MATCH(ROWS($AF$2:AF459),$AF$2:$AF$1001,0),MATCH(COLUMNS($AM$1006:BM1006),$AM$1006:$BM$1006,0)), HYPERLINK("#",""), HYPERLINK(CONCATENATE("#metadata!", ADDRESS(INDEX($AH$2:$AH$1001,MATCH(ROWS($AF$2:AF459),$AF$2:$AF$1001,0),0), INDEX($AM$1004:$BM$1004,1,MATCH(COLUMNS($AM$1006:BM1006),$AM$1006:$BM$1006,0)))),"Fix")))</f>
        <v xml:space="preserve"> </v>
      </c>
      <c r="AF459">
        <v>458</v>
      </c>
      <c r="AG459">
        <v>100459</v>
      </c>
      <c r="AH459">
        <v>459</v>
      </c>
      <c r="AI459" t="b">
        <f t="shared" si="7"/>
        <v>1</v>
      </c>
      <c r="AJ459" t="b">
        <f>COUNTBLANK(metadata!B459:AB459)=COLUMNS(metadata!B459:AB459)</f>
        <v>1</v>
      </c>
      <c r="AK459" t="str">
        <v/>
      </c>
      <c r="AM459" t="b">
        <f ca="1">AND(IF(metadata!B459="",FALSE,TRUE),COUNTIF(metadata!B:B, metadata!B459) = 1,NOT(ISERROR(SUMPRODUCT(SEARCH(MID(metadata!B459,ROW(INDIRECT("1:"&amp;LEN(metadata!B459))), 1),"0123456789abcdefghijklmnopqrstuvwxyzABCDEFGHIJKLMNOPQRSTUVWXYZ.")))))</f>
        <v>0</v>
      </c>
      <c r="AN459" t="b">
        <f ca="1">OR(AND(IF(metadata!C459="",FALSE,TRUE),OR(EXACT(metadata!C459,"missing: not collected"),EXACT(metadata!C459,"missing: not provided"),EXACT(metadata!C459,"missing: restricted access"))),AND(IF(metadata!C459="",FALSE,TRUE),AND(AND(IFERROR(INT(LEFT(metadata!C459,4))&gt;1900,FALSE),IFERROR(INT(LEFT(metadata!C459,4))&lt;=YEAR(NOW()),FALSE)), OR(MID(metadata!C459,5,1)="", AND(AND(MID(metadata!C459,5,1)="-",IFERROR(INT(MID(metadata!C459,6,1))&gt;=0,FALSE),IFERROR(INT(MID(metadata!C459,6,1))&lt;=1,FALSE),NOT(MID(metadata!C459,7,1)=""),IFERROR(INT(MID(metadata!C459,6,2))&gt;=1,FALSE),IFERROR(INT(MID(metadata!C459,6,2))&lt;=12,FALSE)), OR(MID(metadata!C459,8,1)="", AND(AND(MID(metadata!C459,8,1)="-",IFERROR(INT(MID(metadata!C459,9,1))&gt;=0,FALSE),IFERROR(INT(MID(metadata!C459,9,1))&lt;=3,FALSE),NOT(MID(metadata!C459,10,1)=""),IFERROR(INT(MID(metadata!C459,9,2))&gt;=1,FALSE),IFERROR(INT(MID(metadata!C459,9,2))&lt;=31,FALSE)), OR(MID(metadata!C459,11,1)="", AND(AND(MID(metadata!C459,11,1)=" ",IFERROR(INT(MID(metadata!C459,12,1))&gt;=0,FALSE),IFERROR(INT(MID(metadata!C459,12,1))&lt;=2,FALSE),NOT(MID(metadata!C459,13,1)=""),IFERROR(INT(MID(metadata!C459,12,2))&gt;=0,FALSE),IFERROR(INT(MID(metadata!C459,12,2))&lt;=23,FALSE)), OR(MID(metadata!C459,14,1)="", AND(AND(MID(metadata!C459,14,1)=":",IFERROR(INT(MID(metadata!C459,15,1))&gt;=0,FALSE),IFERROR(INT(MID(metadata!C459,15,1))&lt;=5,FALSE),NOT(MID(metadata!C459,16,1)=""),IFERROR(INT(MID(metadata!C459,15,2))&gt;=0,FALSE),IFERROR(INT(MID(metadata!C459,15,2))&lt;=59,FALSE)), OR(MID(metadata!C459,17,1)="", AND(AND(MID(metadata!C459,17,1)=":",IFERROR(INT(MID(metadata!C459,18,1))&gt;=0,FALSE),IFERROR(INT(MID(metadata!C459,18,1))&lt;=5,FALSE),NOT(MID(metadata!C459,19,1)=""),IFERROR(INT(MID(metadata!C459,18,2))&gt;=0,FALSE),IFERROR(INT(MID(metadata!C459,18,2))&lt;=59,FALSE)), LEN(metadata!C459)&lt;=19)))))))))))))</f>
        <v>0</v>
      </c>
      <c r="AO459" t="b">
        <f>AND(IF(metadata!D459="",FALSE,TRUE),EXACT(metadata!D459,"Not applicable"))</f>
        <v>0</v>
      </c>
      <c r="AP459" t="b">
        <f>IF(metadata!E459="",FALSE,TRUE)</f>
        <v>0</v>
      </c>
      <c r="AQ459" t="b">
        <f>OR(AND(IF(metadata!F459="",FALSE,TRUE),OR(EXACT(metadata!F459,"missing: not collected"),EXACT(metadata!F459,"missing: not provided"))),AND(IF(metadata!F459="",FALSE,TRUE),OR(EXACT(metadata!F459,"TRUE"),EXACT(metadata!F459,"FALSE"))))</f>
        <v>0</v>
      </c>
      <c r="AR459" t="b">
        <f>OR(AND(IF(metadata!G459="",FALSE,TRUE),OR(EXACT(metadata!G459,"missing: not collected"),EXACT(metadata!G459,"missing: not provided"),EXACT(metadata!G459,"missing: restricted access"))),AND(IF(metadata!G459="",FALSE,ISNUMBER(VALUE(metadata!G459))),metadata!G459&gt;=-413))</f>
        <v>0</v>
      </c>
      <c r="AS459" t="b">
        <f>AND(IF(metadata!H459="",FALSE,TRUE),EXACT(metadata!H459,"meters"))</f>
        <v>0</v>
      </c>
      <c r="AT459" t="b">
        <f>AND(IF(metadata!I459="",FALSE,TRUE),OR(EXACT(metadata!I459,"Host-associated"),EXACT(metadata!I459,"Free-living")))</f>
        <v>0</v>
      </c>
      <c r="AU459" t="b">
        <f>AND(IF(metadata!J459="",FALSE,TRUE),OR(EXACT(metadata!J459,"Animal"),EXACT(metadata!J459,"Fungus"),EXACT(metadata!J459,"Plant"),EXACT(metadata!J459,"Saline"),EXACT(metadata!J459,"Non-saline")))</f>
        <v>0</v>
      </c>
      <c r="AV459" t="b">
        <f>AND(IF(metadata!K459="",FALSE,TRUE),OR(EXACT(metadata!K459,"Plant secretion"),EXACT(metadata!K459,"Plant rhizosphere"),EXACT(metadata!K459,"Plant surface"),EXACT(metadata!K459,"Plant corpus"),EXACT(metadata!K459,"Fungus surface"),EXACT(metadata!K459,"Fungus corpus"),EXACT(metadata!K459,"Animal surface"),EXACT(metadata!K459,"Animal proximal gut"),EXACT(metadata!K459,"Animal corpus"),EXACT(metadata!K459,"Animal distal gut"),EXACT(metadata!K459,"Animal secretion"),EXACT(metadata!K459,"Sub-surface (non-saline)"),EXACT(metadata!K459,"Surface (non-saline)"),EXACT(metadata!K459,"Water (non-saline)"),EXACT(metadata!K459,"Soil (non-saline)"),EXACT(metadata!K459,"Aerosol (non-saline)"),EXACT(metadata!K459,"Sediment (non-saline)"),EXACT(metadata!K459,"Surface (saline)"),EXACT(metadata!K459,"Water (saline)"),EXACT(metadata!K459,"Hypersaline (saline)"),EXACT(metadata!K459,"Aerosol (saline)"),EXACT(metadata!K459,"Sediment (saline)")))</f>
        <v>0</v>
      </c>
      <c r="AW459" t="b">
        <f>IF(metadata!L459="",FALSE,TRUE)</f>
        <v>0</v>
      </c>
      <c r="AX459" t="b">
        <f>IF(metadata!M459="",FALSE,TRUE)</f>
        <v>0</v>
      </c>
      <c r="AY459" t="b">
        <f>IF(metadata!N459="",FALSE,TRUE)</f>
        <v>0</v>
      </c>
      <c r="AZ459" t="b">
        <f>OR(AND(IF(metadata!O459="",FALSE,TRUE),OR(EXACT(metadata!O459,"missing: not collected"),EXACT(metadata!O459,"missing: not provided"),EXACT(metadata!O459,"missing: restricted access"))),AND(IF(metadata!O459="",FALSE,TRUE),OR(EXACT(metadata!O459,"air"),EXACT(metadata!O459,"built environment"),EXACT(metadata!O459,"host-associated"),EXACT(metadata!O459,"human-associated"),EXACT(metadata!O459,"human-skin"),EXACT(metadata!O459,"human-oral"),EXACT(metadata!O459,"human-gut"),EXACT(metadata!O459,"human-vaginal"),EXACT(metadata!O459,"microbial mat/biofilm"),EXACT(metadata!O459,"misc environment"),EXACT(metadata!O459,"plant-associated"),EXACT(metadata!O459,"sediment"),EXACT(metadata!O459,"soil"),EXACT(metadata!O459,"wastewater/sludge"),EXACT(metadata!O459,"water"))))</f>
        <v>0</v>
      </c>
      <c r="BA459" t="b">
        <f>IF(metadata!P459="",FALSE,TRUE)</f>
        <v>0</v>
      </c>
      <c r="BB459" t="b">
        <f>IF(metadata!Q459="",FALSE,TRUE)</f>
        <v>0</v>
      </c>
      <c r="BC459" t="b">
        <f>OR(AND(IF(metadata!R459="",FALSE,TRUE),OR(EXACT(metadata!R459,"missing: not collected"),EXACT(metadata!R459,"missing: not provided"),EXACT(metadata!R459,"missing: restricted access"))),AND(IF(metadata!R459="",FALSE,ISNUMBER(VALUE(metadata!R459))),metadata!R459&gt;=-90,metadata!R459&lt;=90))</f>
        <v>0</v>
      </c>
      <c r="BD459" t="b">
        <f>AND(IF(metadata!S459="",FALSE,TRUE),EXACT(metadata!S459,"Decimal degrees"))</f>
        <v>0</v>
      </c>
      <c r="BE459" t="b">
        <f>OR(AND(IF(metadata!T459="",FALSE,TRUE),OR(EXACT(metadata!T459,"missing: not collected"),EXACT(metadata!T459,"missing: not provided"),EXACT(metadata!T459,"missing: restricted access"))),AND(IF(metadata!T459="",FALSE,ISNUMBER(VALUE(metadata!T459))),metadata!T459&gt;=-180,metadata!T459&lt;=180))</f>
        <v>0</v>
      </c>
      <c r="BF459" t="b">
        <f>AND(IF(metadata!U459="",FALSE,TRUE),EXACT(metadata!U459,"Decimal degrees"))</f>
        <v>0</v>
      </c>
      <c r="BG459" t="b">
        <f>IF(metadata!V459="",FALSE,TRUE)</f>
        <v>0</v>
      </c>
      <c r="BH459" t="b">
        <f>OR(AND(IF(metadata!W459="",FALSE,TRUE),OR(EXACT(metadata!W459,"missing: not collected"),EXACT(metadata!W459,"missing: not provided"),EXACT(metadata!W459,"missing: restricted access"))),AND(IF(metadata!W459="",FALSE,TRUE),OR(EXACT(metadata!W459,"TRUE"),EXACT(metadata!W459,"FALSE"))))</f>
        <v>0</v>
      </c>
      <c r="BI459" t="b">
        <f>AND(IF(metadata!X459="",FALSE,TRUE),EXACT(metadata!X459,"other"))</f>
        <v>0</v>
      </c>
      <c r="BJ459" t="b">
        <f>IF(metadata!Y459="",FALSE,TRUE)</f>
        <v>0</v>
      </c>
      <c r="BK459" t="b">
        <f>OR(AND(IF(metadata!Z459="",FALSE,TRUE),OR(EXACT(metadata!Z459,"missing: not collected"),EXACT(metadata!Z459,"missing: not provided"))),AND(IF(metadata!Z459="",FALSE,IF(ISERROR(INT(metadata!Z459)),FALSE,INT(metadata!Z459)=metadata!Z459)),metadata!Z459&gt;0))</f>
        <v>0</v>
      </c>
      <c r="BL459" t="b">
        <f>AND(IF(metadata!AA459="",FALSE,TRUE),EXACT(metadata!AA459,"Not applicable"))</f>
        <v>0</v>
      </c>
      <c r="BM459" t="b">
        <f>IF(metadata!AB459="",FALSE,TRUE)</f>
        <v>0</v>
      </c>
    </row>
    <row r="460" spans="1:65" x14ac:dyDescent="0.2">
      <c r="A460" s="5" t="str">
        <f ca="1">IF(B460=" "," ",HYPERLINK(CONCATENATE("#metadata!",ADDRESS(INDEX($AH$2:$AH$1001,MATCH(ROWS($AF$2:AF460),$AF$2:$AF$1001,0),0),1)),INDEX($AK$2:$AK$1001,MATCH(ROWS($AF$2:AF460),$AF$2:$AF$1001,0),0)))</f>
        <v xml:space="preserve"> </v>
      </c>
      <c r="B460" s="4" t="str">
        <f ca="1">IF(OR(INDEX($AG$2:$AG$1001,MATCH(ROWS($AF$2:AF460),$AF$2:$AF$1001,0),1)&gt;=100000,INDEX($AM$1005:$BM$1005,1,MATCH(COLUMNS($AM$1006:AM1006),$AM$1006:$BM$1006,0))&gt;=100000), " ",IF(INDEX($AM$2:$BM$1001,MATCH(ROWS($AF$2:AF460),$AF$2:$AF$1001,0),MATCH(COLUMNS($AM$1006:AM1006),$AM$1006:$BM$1006,0)), HYPERLINK("#",""), HYPERLINK(CONCATENATE("#metadata!", ADDRESS(INDEX($AH$2:$AH$1001,MATCH(ROWS($AF$2:AF460),$AF$2:$AF$1001,0),0), INDEX($AM$1004:$BM$1004,1,MATCH(COLUMNS($AM$1006:AM1006),$AM$1006:$BM$1006,0)))),"Fix")))</f>
        <v xml:space="preserve"> </v>
      </c>
      <c r="C460" s="4" t="str">
        <f ca="1">IF(OR(INDEX($AG$2:$AG$1001,MATCH(ROWS($AF$2:AF460),$AF$2:$AF$1001,0),1)&gt;=100000,INDEX($AM$1005:$BM$1005,1,MATCH(COLUMNS($AM$1006:AN1006),$AM$1006:$BM$1006,0))&gt;=100000), " ",IF(INDEX($AM$2:$BM$1001,MATCH(ROWS($AF$2:AF460),$AF$2:$AF$1001,0),MATCH(COLUMNS($AM$1006:AN1006),$AM$1006:$BM$1006,0)), HYPERLINK("#",""), HYPERLINK(CONCATENATE("#metadata!", ADDRESS(INDEX($AH$2:$AH$1001,MATCH(ROWS($AF$2:AF460),$AF$2:$AF$1001,0),0), INDEX($AM$1004:$BM$1004,1,MATCH(COLUMNS($AM$1006:AN1006),$AM$1006:$BM$1006,0)))),"Fix")))</f>
        <v xml:space="preserve"> </v>
      </c>
      <c r="D460" s="4" t="str">
        <f ca="1">IF(OR(INDEX($AG$2:$AG$1001,MATCH(ROWS($AF$2:AF460),$AF$2:$AF$1001,0),1)&gt;=100000,INDEX($AM$1005:$BM$1005,1,MATCH(COLUMNS($AM$1006:AO1006),$AM$1006:$BM$1006,0))&gt;=100000), " ",IF(INDEX($AM$2:$BM$1001,MATCH(ROWS($AF$2:AF460),$AF$2:$AF$1001,0),MATCH(COLUMNS($AM$1006:AO1006),$AM$1006:$BM$1006,0)), HYPERLINK("#",""), HYPERLINK(CONCATENATE("#metadata!", ADDRESS(INDEX($AH$2:$AH$1001,MATCH(ROWS($AF$2:AF460),$AF$2:$AF$1001,0),0), INDEX($AM$1004:$BM$1004,1,MATCH(COLUMNS($AM$1006:AO1006),$AM$1006:$BM$1006,0)))),"Fix")))</f>
        <v xml:space="preserve"> </v>
      </c>
      <c r="E460" s="4" t="str">
        <f ca="1">IF(OR(INDEX($AG$2:$AG$1001,MATCH(ROWS($AF$2:AF460),$AF$2:$AF$1001,0),1)&gt;=100000,INDEX($AM$1005:$BM$1005,1,MATCH(COLUMNS($AM$1006:AP1006),$AM$1006:$BM$1006,0))&gt;=100000), " ",IF(INDEX($AM$2:$BM$1001,MATCH(ROWS($AF$2:AF460),$AF$2:$AF$1001,0),MATCH(COLUMNS($AM$1006:AP1006),$AM$1006:$BM$1006,0)), HYPERLINK("#",""), HYPERLINK(CONCATENATE("#metadata!", ADDRESS(INDEX($AH$2:$AH$1001,MATCH(ROWS($AF$2:AF460),$AF$2:$AF$1001,0),0), INDEX($AM$1004:$BM$1004,1,MATCH(COLUMNS($AM$1006:AP1006),$AM$1006:$BM$1006,0)))),"Fix")))</f>
        <v xml:space="preserve"> </v>
      </c>
      <c r="F460" s="4" t="str">
        <f ca="1">IF(OR(INDEX($AG$2:$AG$1001,MATCH(ROWS($AF$2:AF460),$AF$2:$AF$1001,0),1)&gt;=100000,INDEX($AM$1005:$BM$1005,1,MATCH(COLUMNS($AM$1006:AQ1006),$AM$1006:$BM$1006,0))&gt;=100000), " ",IF(INDEX($AM$2:$BM$1001,MATCH(ROWS($AF$2:AF460),$AF$2:$AF$1001,0),MATCH(COLUMNS($AM$1006:AQ1006),$AM$1006:$BM$1006,0)), HYPERLINK("#",""), HYPERLINK(CONCATENATE("#metadata!", ADDRESS(INDEX($AH$2:$AH$1001,MATCH(ROWS($AF$2:AF460),$AF$2:$AF$1001,0),0), INDEX($AM$1004:$BM$1004,1,MATCH(COLUMNS($AM$1006:AQ1006),$AM$1006:$BM$1006,0)))),"Fix")))</f>
        <v xml:space="preserve"> </v>
      </c>
      <c r="G460" s="4" t="str">
        <f ca="1">IF(OR(INDEX($AG$2:$AG$1001,MATCH(ROWS($AF$2:AF460),$AF$2:$AF$1001,0),1)&gt;=100000,INDEX($AM$1005:$BM$1005,1,MATCH(COLUMNS($AM$1006:AR1006),$AM$1006:$BM$1006,0))&gt;=100000), " ",IF(INDEX($AM$2:$BM$1001,MATCH(ROWS($AF$2:AF460),$AF$2:$AF$1001,0),MATCH(COLUMNS($AM$1006:AR1006),$AM$1006:$BM$1006,0)), HYPERLINK("#",""), HYPERLINK(CONCATENATE("#metadata!", ADDRESS(INDEX($AH$2:$AH$1001,MATCH(ROWS($AF$2:AF460),$AF$2:$AF$1001,0),0), INDEX($AM$1004:$BM$1004,1,MATCH(COLUMNS($AM$1006:AR1006),$AM$1006:$BM$1006,0)))),"Fix")))</f>
        <v xml:space="preserve"> </v>
      </c>
      <c r="H460" s="4" t="str">
        <f ca="1">IF(OR(INDEX($AG$2:$AG$1001,MATCH(ROWS($AF$2:AF460),$AF$2:$AF$1001,0),1)&gt;=100000,INDEX($AM$1005:$BM$1005,1,MATCH(COLUMNS($AM$1006:AS1006),$AM$1006:$BM$1006,0))&gt;=100000), " ",IF(INDEX($AM$2:$BM$1001,MATCH(ROWS($AF$2:AF460),$AF$2:$AF$1001,0),MATCH(COLUMNS($AM$1006:AS1006),$AM$1006:$BM$1006,0)), HYPERLINK("#",""), HYPERLINK(CONCATENATE("#metadata!", ADDRESS(INDEX($AH$2:$AH$1001,MATCH(ROWS($AF$2:AF460),$AF$2:$AF$1001,0),0), INDEX($AM$1004:$BM$1004,1,MATCH(COLUMNS($AM$1006:AS1006),$AM$1006:$BM$1006,0)))),"Fix")))</f>
        <v xml:space="preserve"> </v>
      </c>
      <c r="I460" s="4" t="str">
        <f ca="1">IF(OR(INDEX($AG$2:$AG$1001,MATCH(ROWS($AF$2:AF460),$AF$2:$AF$1001,0),1)&gt;=100000,INDEX($AM$1005:$BM$1005,1,MATCH(COLUMNS($AM$1006:AT1006),$AM$1006:$BM$1006,0))&gt;=100000), " ",IF(INDEX($AM$2:$BM$1001,MATCH(ROWS($AF$2:AF460),$AF$2:$AF$1001,0),MATCH(COLUMNS($AM$1006:AT1006),$AM$1006:$BM$1006,0)), HYPERLINK("#",""), HYPERLINK(CONCATENATE("#metadata!", ADDRESS(INDEX($AH$2:$AH$1001,MATCH(ROWS($AF$2:AF460),$AF$2:$AF$1001,0),0), INDEX($AM$1004:$BM$1004,1,MATCH(COLUMNS($AM$1006:AT1006),$AM$1006:$BM$1006,0)))),"Fix")))</f>
        <v xml:space="preserve"> </v>
      </c>
      <c r="J460" s="4" t="str">
        <f ca="1">IF(OR(INDEX($AG$2:$AG$1001,MATCH(ROWS($AF$2:AF460),$AF$2:$AF$1001,0),1)&gt;=100000,INDEX($AM$1005:$BM$1005,1,MATCH(COLUMNS($AM$1006:AU1006),$AM$1006:$BM$1006,0))&gt;=100000), " ",IF(INDEX($AM$2:$BM$1001,MATCH(ROWS($AF$2:AF460),$AF$2:$AF$1001,0),MATCH(COLUMNS($AM$1006:AU1006),$AM$1006:$BM$1006,0)), HYPERLINK("#",""), HYPERLINK(CONCATENATE("#metadata!", ADDRESS(INDEX($AH$2:$AH$1001,MATCH(ROWS($AF$2:AF460),$AF$2:$AF$1001,0),0), INDEX($AM$1004:$BM$1004,1,MATCH(COLUMNS($AM$1006:AU1006),$AM$1006:$BM$1006,0)))),"Fix")))</f>
        <v xml:space="preserve"> </v>
      </c>
      <c r="K460" s="4" t="str">
        <f ca="1">IF(OR(INDEX($AG$2:$AG$1001,MATCH(ROWS($AF$2:AF460),$AF$2:$AF$1001,0),1)&gt;=100000,INDEX($AM$1005:$BM$1005,1,MATCH(COLUMNS($AM$1006:AV1006),$AM$1006:$BM$1006,0))&gt;=100000), " ",IF(INDEX($AM$2:$BM$1001,MATCH(ROWS($AF$2:AF460),$AF$2:$AF$1001,0),MATCH(COLUMNS($AM$1006:AV1006),$AM$1006:$BM$1006,0)), HYPERLINK("#",""), HYPERLINK(CONCATENATE("#metadata!", ADDRESS(INDEX($AH$2:$AH$1001,MATCH(ROWS($AF$2:AF460),$AF$2:$AF$1001,0),0), INDEX($AM$1004:$BM$1004,1,MATCH(COLUMNS($AM$1006:AV1006),$AM$1006:$BM$1006,0)))),"Fix")))</f>
        <v xml:space="preserve"> </v>
      </c>
      <c r="L460" s="4" t="str">
        <f ca="1">IF(OR(INDEX($AG$2:$AG$1001,MATCH(ROWS($AF$2:AF460),$AF$2:$AF$1001,0),1)&gt;=100000,INDEX($AM$1005:$BM$1005,1,MATCH(COLUMNS($AM$1006:AW1006),$AM$1006:$BM$1006,0))&gt;=100000), " ",IF(INDEX($AM$2:$BM$1001,MATCH(ROWS($AF$2:AF460),$AF$2:$AF$1001,0),MATCH(COLUMNS($AM$1006:AW1006),$AM$1006:$BM$1006,0)), HYPERLINK("#",""), HYPERLINK(CONCATENATE("#metadata!", ADDRESS(INDEX($AH$2:$AH$1001,MATCH(ROWS($AF$2:AF460),$AF$2:$AF$1001,0),0), INDEX($AM$1004:$BM$1004,1,MATCH(COLUMNS($AM$1006:AW1006),$AM$1006:$BM$1006,0)))),"Fix")))</f>
        <v xml:space="preserve"> </v>
      </c>
      <c r="M460" s="4" t="str">
        <f ca="1">IF(OR(INDEX($AG$2:$AG$1001,MATCH(ROWS($AF$2:AF460),$AF$2:$AF$1001,0),1)&gt;=100000,INDEX($AM$1005:$BM$1005,1,MATCH(COLUMNS($AM$1006:AX1006),$AM$1006:$BM$1006,0))&gt;=100000), " ",IF(INDEX($AM$2:$BM$1001,MATCH(ROWS($AF$2:AF460),$AF$2:$AF$1001,0),MATCH(COLUMNS($AM$1006:AX1006),$AM$1006:$BM$1006,0)), HYPERLINK("#",""), HYPERLINK(CONCATENATE("#metadata!", ADDRESS(INDEX($AH$2:$AH$1001,MATCH(ROWS($AF$2:AF460),$AF$2:$AF$1001,0),0), INDEX($AM$1004:$BM$1004,1,MATCH(COLUMNS($AM$1006:AX1006),$AM$1006:$BM$1006,0)))),"Fix")))</f>
        <v xml:space="preserve"> </v>
      </c>
      <c r="N460" s="4" t="str">
        <f ca="1">IF(OR(INDEX($AG$2:$AG$1001,MATCH(ROWS($AF$2:AF460),$AF$2:$AF$1001,0),1)&gt;=100000,INDEX($AM$1005:$BM$1005,1,MATCH(COLUMNS($AM$1006:AY1006),$AM$1006:$BM$1006,0))&gt;=100000), " ",IF(INDEX($AM$2:$BM$1001,MATCH(ROWS($AF$2:AF460),$AF$2:$AF$1001,0),MATCH(COLUMNS($AM$1006:AY1006),$AM$1006:$BM$1006,0)), HYPERLINK("#",""), HYPERLINK(CONCATENATE("#metadata!", ADDRESS(INDEX($AH$2:$AH$1001,MATCH(ROWS($AF$2:AF460),$AF$2:$AF$1001,0),0), INDEX($AM$1004:$BM$1004,1,MATCH(COLUMNS($AM$1006:AY1006),$AM$1006:$BM$1006,0)))),"Fix")))</f>
        <v xml:space="preserve"> </v>
      </c>
      <c r="O460" s="4" t="str">
        <f ca="1">IF(OR(INDEX($AG$2:$AG$1001,MATCH(ROWS($AF$2:AF460),$AF$2:$AF$1001,0),1)&gt;=100000,INDEX($AM$1005:$BM$1005,1,MATCH(COLUMNS($AM$1006:AZ1006),$AM$1006:$BM$1006,0))&gt;=100000), " ",IF(INDEX($AM$2:$BM$1001,MATCH(ROWS($AF$2:AF460),$AF$2:$AF$1001,0),MATCH(COLUMNS($AM$1006:AZ1006),$AM$1006:$BM$1006,0)), HYPERLINK("#",""), HYPERLINK(CONCATENATE("#metadata!", ADDRESS(INDEX($AH$2:$AH$1001,MATCH(ROWS($AF$2:AF460),$AF$2:$AF$1001,0),0), INDEX($AM$1004:$BM$1004,1,MATCH(COLUMNS($AM$1006:AZ1006),$AM$1006:$BM$1006,0)))),"Fix")))</f>
        <v xml:space="preserve"> </v>
      </c>
      <c r="P460" s="4" t="str">
        <f ca="1">IF(OR(INDEX($AG$2:$AG$1001,MATCH(ROWS($AF$2:AF460),$AF$2:$AF$1001,0),1)&gt;=100000,INDEX($AM$1005:$BM$1005,1,MATCH(COLUMNS($AM$1006:BA1006),$AM$1006:$BM$1006,0))&gt;=100000), " ",IF(INDEX($AM$2:$BM$1001,MATCH(ROWS($AF$2:AF460),$AF$2:$AF$1001,0),MATCH(COLUMNS($AM$1006:BA1006),$AM$1006:$BM$1006,0)), HYPERLINK("#",""), HYPERLINK(CONCATENATE("#metadata!", ADDRESS(INDEX($AH$2:$AH$1001,MATCH(ROWS($AF$2:AF460),$AF$2:$AF$1001,0),0), INDEX($AM$1004:$BM$1004,1,MATCH(COLUMNS($AM$1006:BA1006),$AM$1006:$BM$1006,0)))),"Fix")))</f>
        <v xml:space="preserve"> </v>
      </c>
      <c r="Q460" s="4" t="str">
        <f ca="1">IF(OR(INDEX($AG$2:$AG$1001,MATCH(ROWS($AF$2:AF460),$AF$2:$AF$1001,0),1)&gt;=100000,INDEX($AM$1005:$BM$1005,1,MATCH(COLUMNS($AM$1006:BB1006),$AM$1006:$BM$1006,0))&gt;=100000), " ",IF(INDEX($AM$2:$BM$1001,MATCH(ROWS($AF$2:AF460),$AF$2:$AF$1001,0),MATCH(COLUMNS($AM$1006:BB1006),$AM$1006:$BM$1006,0)), HYPERLINK("#",""), HYPERLINK(CONCATENATE("#metadata!", ADDRESS(INDEX($AH$2:$AH$1001,MATCH(ROWS($AF$2:AF460),$AF$2:$AF$1001,0),0), INDEX($AM$1004:$BM$1004,1,MATCH(COLUMNS($AM$1006:BB1006),$AM$1006:$BM$1006,0)))),"Fix")))</f>
        <v xml:space="preserve"> </v>
      </c>
      <c r="R460" s="4" t="str">
        <f ca="1">IF(OR(INDEX($AG$2:$AG$1001,MATCH(ROWS($AF$2:AF460),$AF$2:$AF$1001,0),1)&gt;=100000,INDEX($AM$1005:$BM$1005,1,MATCH(COLUMNS($AM$1006:BC1006),$AM$1006:$BM$1006,0))&gt;=100000), " ",IF(INDEX($AM$2:$BM$1001,MATCH(ROWS($AF$2:AF460),$AF$2:$AF$1001,0),MATCH(COLUMNS($AM$1006:BC1006),$AM$1006:$BM$1006,0)), HYPERLINK("#",""), HYPERLINK(CONCATENATE("#metadata!", ADDRESS(INDEX($AH$2:$AH$1001,MATCH(ROWS($AF$2:AF460),$AF$2:$AF$1001,0),0), INDEX($AM$1004:$BM$1004,1,MATCH(COLUMNS($AM$1006:BC1006),$AM$1006:$BM$1006,0)))),"Fix")))</f>
        <v xml:space="preserve"> </v>
      </c>
      <c r="S460" s="4" t="str">
        <f ca="1">IF(OR(INDEX($AG$2:$AG$1001,MATCH(ROWS($AF$2:AF460),$AF$2:$AF$1001,0),1)&gt;=100000,INDEX($AM$1005:$BM$1005,1,MATCH(COLUMNS($AM$1006:BD1006),$AM$1006:$BM$1006,0))&gt;=100000), " ",IF(INDEX($AM$2:$BM$1001,MATCH(ROWS($AF$2:AF460),$AF$2:$AF$1001,0),MATCH(COLUMNS($AM$1006:BD1006),$AM$1006:$BM$1006,0)), HYPERLINK("#",""), HYPERLINK(CONCATENATE("#metadata!", ADDRESS(INDEX($AH$2:$AH$1001,MATCH(ROWS($AF$2:AF460),$AF$2:$AF$1001,0),0), INDEX($AM$1004:$BM$1004,1,MATCH(COLUMNS($AM$1006:BD1006),$AM$1006:$BM$1006,0)))),"Fix")))</f>
        <v xml:space="preserve"> </v>
      </c>
      <c r="T460" s="4" t="str">
        <f ca="1">IF(OR(INDEX($AG$2:$AG$1001,MATCH(ROWS($AF$2:AF460),$AF$2:$AF$1001,0),1)&gt;=100000,INDEX($AM$1005:$BM$1005,1,MATCH(COLUMNS($AM$1006:BE1006),$AM$1006:$BM$1006,0))&gt;=100000), " ",IF(INDEX($AM$2:$BM$1001,MATCH(ROWS($AF$2:AF460),$AF$2:$AF$1001,0),MATCH(COLUMNS($AM$1006:BE1006),$AM$1006:$BM$1006,0)), HYPERLINK("#",""), HYPERLINK(CONCATENATE("#metadata!", ADDRESS(INDEX($AH$2:$AH$1001,MATCH(ROWS($AF$2:AF460),$AF$2:$AF$1001,0),0), INDEX($AM$1004:$BM$1004,1,MATCH(COLUMNS($AM$1006:BE1006),$AM$1006:$BM$1006,0)))),"Fix")))</f>
        <v xml:space="preserve"> </v>
      </c>
      <c r="U460" s="4" t="str">
        <f ca="1">IF(OR(INDEX($AG$2:$AG$1001,MATCH(ROWS($AF$2:AF460),$AF$2:$AF$1001,0),1)&gt;=100000,INDEX($AM$1005:$BM$1005,1,MATCH(COLUMNS($AM$1006:BF1006),$AM$1006:$BM$1006,0))&gt;=100000), " ",IF(INDEX($AM$2:$BM$1001,MATCH(ROWS($AF$2:AF460),$AF$2:$AF$1001,0),MATCH(COLUMNS($AM$1006:BF1006),$AM$1006:$BM$1006,0)), HYPERLINK("#",""), HYPERLINK(CONCATENATE("#metadata!", ADDRESS(INDEX($AH$2:$AH$1001,MATCH(ROWS($AF$2:AF460),$AF$2:$AF$1001,0),0), INDEX($AM$1004:$BM$1004,1,MATCH(COLUMNS($AM$1006:BF1006),$AM$1006:$BM$1006,0)))),"Fix")))</f>
        <v xml:space="preserve"> </v>
      </c>
      <c r="V460" s="4" t="str">
        <f ca="1">IF(OR(INDEX($AG$2:$AG$1001,MATCH(ROWS($AF$2:AF460),$AF$2:$AF$1001,0),1)&gt;=100000,INDEX($AM$1005:$BM$1005,1,MATCH(COLUMNS($AM$1006:BG1006),$AM$1006:$BM$1006,0))&gt;=100000), " ",IF(INDEX($AM$2:$BM$1001,MATCH(ROWS($AF$2:AF460),$AF$2:$AF$1001,0),MATCH(COLUMNS($AM$1006:BG1006),$AM$1006:$BM$1006,0)), HYPERLINK("#",""), HYPERLINK(CONCATENATE("#metadata!", ADDRESS(INDEX($AH$2:$AH$1001,MATCH(ROWS($AF$2:AF460),$AF$2:$AF$1001,0),0), INDEX($AM$1004:$BM$1004,1,MATCH(COLUMNS($AM$1006:BG1006),$AM$1006:$BM$1006,0)))),"Fix")))</f>
        <v xml:space="preserve"> </v>
      </c>
      <c r="W460" s="4" t="str">
        <f ca="1">IF(OR(INDEX($AG$2:$AG$1001,MATCH(ROWS($AF$2:AF460),$AF$2:$AF$1001,0),1)&gt;=100000,INDEX($AM$1005:$BM$1005,1,MATCH(COLUMNS($AM$1006:BH1006),$AM$1006:$BM$1006,0))&gt;=100000), " ",IF(INDEX($AM$2:$BM$1001,MATCH(ROWS($AF$2:AF460),$AF$2:$AF$1001,0),MATCH(COLUMNS($AM$1006:BH1006),$AM$1006:$BM$1006,0)), HYPERLINK("#",""), HYPERLINK(CONCATENATE("#metadata!", ADDRESS(INDEX($AH$2:$AH$1001,MATCH(ROWS($AF$2:AF460),$AF$2:$AF$1001,0),0), INDEX($AM$1004:$BM$1004,1,MATCH(COLUMNS($AM$1006:BH1006),$AM$1006:$BM$1006,0)))),"Fix")))</f>
        <v xml:space="preserve"> </v>
      </c>
      <c r="X460" s="4" t="str">
        <f ca="1">IF(OR(INDEX($AG$2:$AG$1001,MATCH(ROWS($AF$2:AF460),$AF$2:$AF$1001,0),1)&gt;=100000,INDEX($AM$1005:$BM$1005,1,MATCH(COLUMNS($AM$1006:BI1006),$AM$1006:$BM$1006,0))&gt;=100000), " ",IF(INDEX($AM$2:$BM$1001,MATCH(ROWS($AF$2:AF460),$AF$2:$AF$1001,0),MATCH(COLUMNS($AM$1006:BI1006),$AM$1006:$BM$1006,0)), HYPERLINK("#",""), HYPERLINK(CONCATENATE("#metadata!", ADDRESS(INDEX($AH$2:$AH$1001,MATCH(ROWS($AF$2:AF460),$AF$2:$AF$1001,0),0), INDEX($AM$1004:$BM$1004,1,MATCH(COLUMNS($AM$1006:BI1006),$AM$1006:$BM$1006,0)))),"Fix")))</f>
        <v xml:space="preserve"> </v>
      </c>
      <c r="Y460" s="4" t="str">
        <f ca="1">IF(OR(INDEX($AG$2:$AG$1001,MATCH(ROWS($AF$2:AF460),$AF$2:$AF$1001,0),1)&gt;=100000,INDEX($AM$1005:$BM$1005,1,MATCH(COLUMNS($AM$1006:BJ1006),$AM$1006:$BM$1006,0))&gt;=100000), " ",IF(INDEX($AM$2:$BM$1001,MATCH(ROWS($AF$2:AF460),$AF$2:$AF$1001,0),MATCH(COLUMNS($AM$1006:BJ1006),$AM$1006:$BM$1006,0)), HYPERLINK("#",""), HYPERLINK(CONCATENATE("#metadata!", ADDRESS(INDEX($AH$2:$AH$1001,MATCH(ROWS($AF$2:AF460),$AF$2:$AF$1001,0),0), INDEX($AM$1004:$BM$1004,1,MATCH(COLUMNS($AM$1006:BJ1006),$AM$1006:$BM$1006,0)))),"Fix")))</f>
        <v xml:space="preserve"> </v>
      </c>
      <c r="Z460" s="4" t="str">
        <f ca="1">IF(OR(INDEX($AG$2:$AG$1001,MATCH(ROWS($AF$2:AF460),$AF$2:$AF$1001,0),1)&gt;=100000,INDEX($AM$1005:$BM$1005,1,MATCH(COLUMNS($AM$1006:BK1006),$AM$1006:$BM$1006,0))&gt;=100000), " ",IF(INDEX($AM$2:$BM$1001,MATCH(ROWS($AF$2:AF460),$AF$2:$AF$1001,0),MATCH(COLUMNS($AM$1006:BK1006),$AM$1006:$BM$1006,0)), HYPERLINK("#",""), HYPERLINK(CONCATENATE("#metadata!", ADDRESS(INDEX($AH$2:$AH$1001,MATCH(ROWS($AF$2:AF460),$AF$2:$AF$1001,0),0), INDEX($AM$1004:$BM$1004,1,MATCH(COLUMNS($AM$1006:BK1006),$AM$1006:$BM$1006,0)))),"Fix")))</f>
        <v xml:space="preserve"> </v>
      </c>
      <c r="AA460" s="4" t="str">
        <f ca="1">IF(OR(INDEX($AG$2:$AG$1001,MATCH(ROWS($AF$2:AF460),$AF$2:$AF$1001,0),1)&gt;=100000,INDEX($AM$1005:$BM$1005,1,MATCH(COLUMNS($AM$1006:BL1006),$AM$1006:$BM$1006,0))&gt;=100000), " ",IF(INDEX($AM$2:$BM$1001,MATCH(ROWS($AF$2:AF460),$AF$2:$AF$1001,0),MATCH(COLUMNS($AM$1006:BL1006),$AM$1006:$BM$1006,0)), HYPERLINK("#",""), HYPERLINK(CONCATENATE("#metadata!", ADDRESS(INDEX($AH$2:$AH$1001,MATCH(ROWS($AF$2:AF460),$AF$2:$AF$1001,0),0), INDEX($AM$1004:$BM$1004,1,MATCH(COLUMNS($AM$1006:BL1006),$AM$1006:$BM$1006,0)))),"Fix")))</f>
        <v xml:space="preserve"> </v>
      </c>
      <c r="AB460" s="4" t="str">
        <f ca="1">IF(OR(INDEX($AG$2:$AG$1001,MATCH(ROWS($AF$2:AF460),$AF$2:$AF$1001,0),1)&gt;=100000,INDEX($AM$1005:$BM$1005,1,MATCH(COLUMNS($AM$1006:BM1006),$AM$1006:$BM$1006,0))&gt;=100000), " ",IF(INDEX($AM$2:$BM$1001,MATCH(ROWS($AF$2:AF460),$AF$2:$AF$1001,0),MATCH(COLUMNS($AM$1006:BM1006),$AM$1006:$BM$1006,0)), HYPERLINK("#",""), HYPERLINK(CONCATENATE("#metadata!", ADDRESS(INDEX($AH$2:$AH$1001,MATCH(ROWS($AF$2:AF460),$AF$2:$AF$1001,0),0), INDEX($AM$1004:$BM$1004,1,MATCH(COLUMNS($AM$1006:BM1006),$AM$1006:$BM$1006,0)))),"Fix")))</f>
        <v xml:space="preserve"> </v>
      </c>
      <c r="AF460">
        <v>459</v>
      </c>
      <c r="AG460">
        <v>100460</v>
      </c>
      <c r="AH460">
        <v>460</v>
      </c>
      <c r="AI460" t="b">
        <f t="shared" si="7"/>
        <v>1</v>
      </c>
      <c r="AJ460" t="b">
        <f>COUNTBLANK(metadata!B460:AB460)=COLUMNS(metadata!B460:AB460)</f>
        <v>1</v>
      </c>
      <c r="AK460" t="str">
        <v/>
      </c>
      <c r="AM460" t="b">
        <f ca="1">AND(IF(metadata!B460="",FALSE,TRUE),COUNTIF(metadata!B:B, metadata!B460) = 1,NOT(ISERROR(SUMPRODUCT(SEARCH(MID(metadata!B460,ROW(INDIRECT("1:"&amp;LEN(metadata!B460))), 1),"0123456789abcdefghijklmnopqrstuvwxyzABCDEFGHIJKLMNOPQRSTUVWXYZ.")))))</f>
        <v>0</v>
      </c>
      <c r="AN460" t="b">
        <f ca="1">OR(AND(IF(metadata!C460="",FALSE,TRUE),OR(EXACT(metadata!C460,"missing: not collected"),EXACT(metadata!C460,"missing: not provided"),EXACT(metadata!C460,"missing: restricted access"))),AND(IF(metadata!C460="",FALSE,TRUE),AND(AND(IFERROR(INT(LEFT(metadata!C460,4))&gt;1900,FALSE),IFERROR(INT(LEFT(metadata!C460,4))&lt;=YEAR(NOW()),FALSE)), OR(MID(metadata!C460,5,1)="", AND(AND(MID(metadata!C460,5,1)="-",IFERROR(INT(MID(metadata!C460,6,1))&gt;=0,FALSE),IFERROR(INT(MID(metadata!C460,6,1))&lt;=1,FALSE),NOT(MID(metadata!C460,7,1)=""),IFERROR(INT(MID(metadata!C460,6,2))&gt;=1,FALSE),IFERROR(INT(MID(metadata!C460,6,2))&lt;=12,FALSE)), OR(MID(metadata!C460,8,1)="", AND(AND(MID(metadata!C460,8,1)="-",IFERROR(INT(MID(metadata!C460,9,1))&gt;=0,FALSE),IFERROR(INT(MID(metadata!C460,9,1))&lt;=3,FALSE),NOT(MID(metadata!C460,10,1)=""),IFERROR(INT(MID(metadata!C460,9,2))&gt;=1,FALSE),IFERROR(INT(MID(metadata!C460,9,2))&lt;=31,FALSE)), OR(MID(metadata!C460,11,1)="", AND(AND(MID(metadata!C460,11,1)=" ",IFERROR(INT(MID(metadata!C460,12,1))&gt;=0,FALSE),IFERROR(INT(MID(metadata!C460,12,1))&lt;=2,FALSE),NOT(MID(metadata!C460,13,1)=""),IFERROR(INT(MID(metadata!C460,12,2))&gt;=0,FALSE),IFERROR(INT(MID(metadata!C460,12,2))&lt;=23,FALSE)), OR(MID(metadata!C460,14,1)="", AND(AND(MID(metadata!C460,14,1)=":",IFERROR(INT(MID(metadata!C460,15,1))&gt;=0,FALSE),IFERROR(INT(MID(metadata!C460,15,1))&lt;=5,FALSE),NOT(MID(metadata!C460,16,1)=""),IFERROR(INT(MID(metadata!C460,15,2))&gt;=0,FALSE),IFERROR(INT(MID(metadata!C460,15,2))&lt;=59,FALSE)), OR(MID(metadata!C460,17,1)="", AND(AND(MID(metadata!C460,17,1)=":",IFERROR(INT(MID(metadata!C460,18,1))&gt;=0,FALSE),IFERROR(INT(MID(metadata!C460,18,1))&lt;=5,FALSE),NOT(MID(metadata!C460,19,1)=""),IFERROR(INT(MID(metadata!C460,18,2))&gt;=0,FALSE),IFERROR(INT(MID(metadata!C460,18,2))&lt;=59,FALSE)), LEN(metadata!C460)&lt;=19)))))))))))))</f>
        <v>0</v>
      </c>
      <c r="AO460" t="b">
        <f>AND(IF(metadata!D460="",FALSE,TRUE),EXACT(metadata!D460,"Not applicable"))</f>
        <v>0</v>
      </c>
      <c r="AP460" t="b">
        <f>IF(metadata!E460="",FALSE,TRUE)</f>
        <v>0</v>
      </c>
      <c r="AQ460" t="b">
        <f>OR(AND(IF(metadata!F460="",FALSE,TRUE),OR(EXACT(metadata!F460,"missing: not collected"),EXACT(metadata!F460,"missing: not provided"))),AND(IF(metadata!F460="",FALSE,TRUE),OR(EXACT(metadata!F460,"TRUE"),EXACT(metadata!F460,"FALSE"))))</f>
        <v>0</v>
      </c>
      <c r="AR460" t="b">
        <f>OR(AND(IF(metadata!G460="",FALSE,TRUE),OR(EXACT(metadata!G460,"missing: not collected"),EXACT(metadata!G460,"missing: not provided"),EXACT(metadata!G460,"missing: restricted access"))),AND(IF(metadata!G460="",FALSE,ISNUMBER(VALUE(metadata!G460))),metadata!G460&gt;=-413))</f>
        <v>0</v>
      </c>
      <c r="AS460" t="b">
        <f>AND(IF(metadata!H460="",FALSE,TRUE),EXACT(metadata!H460,"meters"))</f>
        <v>0</v>
      </c>
      <c r="AT460" t="b">
        <f>AND(IF(metadata!I460="",FALSE,TRUE),OR(EXACT(metadata!I460,"Host-associated"),EXACT(metadata!I460,"Free-living")))</f>
        <v>0</v>
      </c>
      <c r="AU460" t="b">
        <f>AND(IF(metadata!J460="",FALSE,TRUE),OR(EXACT(metadata!J460,"Animal"),EXACT(metadata!J460,"Fungus"),EXACT(metadata!J460,"Plant"),EXACT(metadata!J460,"Saline"),EXACT(metadata!J460,"Non-saline")))</f>
        <v>0</v>
      </c>
      <c r="AV460" t="b">
        <f>AND(IF(metadata!K460="",FALSE,TRUE),OR(EXACT(metadata!K460,"Plant secretion"),EXACT(metadata!K460,"Plant rhizosphere"),EXACT(metadata!K460,"Plant surface"),EXACT(metadata!K460,"Plant corpus"),EXACT(metadata!K460,"Fungus surface"),EXACT(metadata!K460,"Fungus corpus"),EXACT(metadata!K460,"Animal surface"),EXACT(metadata!K460,"Animal proximal gut"),EXACT(metadata!K460,"Animal corpus"),EXACT(metadata!K460,"Animal distal gut"),EXACT(metadata!K460,"Animal secretion"),EXACT(metadata!K460,"Sub-surface (non-saline)"),EXACT(metadata!K460,"Surface (non-saline)"),EXACT(metadata!K460,"Water (non-saline)"),EXACT(metadata!K460,"Soil (non-saline)"),EXACT(metadata!K460,"Aerosol (non-saline)"),EXACT(metadata!K460,"Sediment (non-saline)"),EXACT(metadata!K460,"Surface (saline)"),EXACT(metadata!K460,"Water (saline)"),EXACT(metadata!K460,"Hypersaline (saline)"),EXACT(metadata!K460,"Aerosol (saline)"),EXACT(metadata!K460,"Sediment (saline)")))</f>
        <v>0</v>
      </c>
      <c r="AW460" t="b">
        <f>IF(metadata!L460="",FALSE,TRUE)</f>
        <v>0</v>
      </c>
      <c r="AX460" t="b">
        <f>IF(metadata!M460="",FALSE,TRUE)</f>
        <v>0</v>
      </c>
      <c r="AY460" t="b">
        <f>IF(metadata!N460="",FALSE,TRUE)</f>
        <v>0</v>
      </c>
      <c r="AZ460" t="b">
        <f>OR(AND(IF(metadata!O460="",FALSE,TRUE),OR(EXACT(metadata!O460,"missing: not collected"),EXACT(metadata!O460,"missing: not provided"),EXACT(metadata!O460,"missing: restricted access"))),AND(IF(metadata!O460="",FALSE,TRUE),OR(EXACT(metadata!O460,"air"),EXACT(metadata!O460,"built environment"),EXACT(metadata!O460,"host-associated"),EXACT(metadata!O460,"human-associated"),EXACT(metadata!O460,"human-skin"),EXACT(metadata!O460,"human-oral"),EXACT(metadata!O460,"human-gut"),EXACT(metadata!O460,"human-vaginal"),EXACT(metadata!O460,"microbial mat/biofilm"),EXACT(metadata!O460,"misc environment"),EXACT(metadata!O460,"plant-associated"),EXACT(metadata!O460,"sediment"),EXACT(metadata!O460,"soil"),EXACT(metadata!O460,"wastewater/sludge"),EXACT(metadata!O460,"water"))))</f>
        <v>0</v>
      </c>
      <c r="BA460" t="b">
        <f>IF(metadata!P460="",FALSE,TRUE)</f>
        <v>0</v>
      </c>
      <c r="BB460" t="b">
        <f>IF(metadata!Q460="",FALSE,TRUE)</f>
        <v>0</v>
      </c>
      <c r="BC460" t="b">
        <f>OR(AND(IF(metadata!R460="",FALSE,TRUE),OR(EXACT(metadata!R460,"missing: not collected"),EXACT(metadata!R460,"missing: not provided"),EXACT(metadata!R460,"missing: restricted access"))),AND(IF(metadata!R460="",FALSE,ISNUMBER(VALUE(metadata!R460))),metadata!R460&gt;=-90,metadata!R460&lt;=90))</f>
        <v>0</v>
      </c>
      <c r="BD460" t="b">
        <f>AND(IF(metadata!S460="",FALSE,TRUE),EXACT(metadata!S460,"Decimal degrees"))</f>
        <v>0</v>
      </c>
      <c r="BE460" t="b">
        <f>OR(AND(IF(metadata!T460="",FALSE,TRUE),OR(EXACT(metadata!T460,"missing: not collected"),EXACT(metadata!T460,"missing: not provided"),EXACT(metadata!T460,"missing: restricted access"))),AND(IF(metadata!T460="",FALSE,ISNUMBER(VALUE(metadata!T460))),metadata!T460&gt;=-180,metadata!T460&lt;=180))</f>
        <v>0</v>
      </c>
      <c r="BF460" t="b">
        <f>AND(IF(metadata!U460="",FALSE,TRUE),EXACT(metadata!U460,"Decimal degrees"))</f>
        <v>0</v>
      </c>
      <c r="BG460" t="b">
        <f>IF(metadata!V460="",FALSE,TRUE)</f>
        <v>0</v>
      </c>
      <c r="BH460" t="b">
        <f>OR(AND(IF(metadata!W460="",FALSE,TRUE),OR(EXACT(metadata!W460,"missing: not collected"),EXACT(metadata!W460,"missing: not provided"),EXACT(metadata!W460,"missing: restricted access"))),AND(IF(metadata!W460="",FALSE,TRUE),OR(EXACT(metadata!W460,"TRUE"),EXACT(metadata!W460,"FALSE"))))</f>
        <v>0</v>
      </c>
      <c r="BI460" t="b">
        <f>AND(IF(metadata!X460="",FALSE,TRUE),EXACT(metadata!X460,"other"))</f>
        <v>0</v>
      </c>
      <c r="BJ460" t="b">
        <f>IF(metadata!Y460="",FALSE,TRUE)</f>
        <v>0</v>
      </c>
      <c r="BK460" t="b">
        <f>OR(AND(IF(metadata!Z460="",FALSE,TRUE),OR(EXACT(metadata!Z460,"missing: not collected"),EXACT(metadata!Z460,"missing: not provided"))),AND(IF(metadata!Z460="",FALSE,IF(ISERROR(INT(metadata!Z460)),FALSE,INT(metadata!Z460)=metadata!Z460)),metadata!Z460&gt;0))</f>
        <v>0</v>
      </c>
      <c r="BL460" t="b">
        <f>AND(IF(metadata!AA460="",FALSE,TRUE),EXACT(metadata!AA460,"Not applicable"))</f>
        <v>0</v>
      </c>
      <c r="BM460" t="b">
        <f>IF(metadata!AB460="",FALSE,TRUE)</f>
        <v>0</v>
      </c>
    </row>
    <row r="461" spans="1:65" x14ac:dyDescent="0.2">
      <c r="A461" s="5" t="str">
        <f ca="1">IF(B461=" "," ",HYPERLINK(CONCATENATE("#metadata!",ADDRESS(INDEX($AH$2:$AH$1001,MATCH(ROWS($AF$2:AF461),$AF$2:$AF$1001,0),0),1)),INDEX($AK$2:$AK$1001,MATCH(ROWS($AF$2:AF461),$AF$2:$AF$1001,0),0)))</f>
        <v xml:space="preserve"> </v>
      </c>
      <c r="B461" s="4" t="str">
        <f ca="1">IF(OR(INDEX($AG$2:$AG$1001,MATCH(ROWS($AF$2:AF461),$AF$2:$AF$1001,0),1)&gt;=100000,INDEX($AM$1005:$BM$1005,1,MATCH(COLUMNS($AM$1006:AM1006),$AM$1006:$BM$1006,0))&gt;=100000), " ",IF(INDEX($AM$2:$BM$1001,MATCH(ROWS($AF$2:AF461),$AF$2:$AF$1001,0),MATCH(COLUMNS($AM$1006:AM1006),$AM$1006:$BM$1006,0)), HYPERLINK("#",""), HYPERLINK(CONCATENATE("#metadata!", ADDRESS(INDEX($AH$2:$AH$1001,MATCH(ROWS($AF$2:AF461),$AF$2:$AF$1001,0),0), INDEX($AM$1004:$BM$1004,1,MATCH(COLUMNS($AM$1006:AM1006),$AM$1006:$BM$1006,0)))),"Fix")))</f>
        <v xml:space="preserve"> </v>
      </c>
      <c r="C461" s="4" t="str">
        <f ca="1">IF(OR(INDEX($AG$2:$AG$1001,MATCH(ROWS($AF$2:AF461),$AF$2:$AF$1001,0),1)&gt;=100000,INDEX($AM$1005:$BM$1005,1,MATCH(COLUMNS($AM$1006:AN1006),$AM$1006:$BM$1006,0))&gt;=100000), " ",IF(INDEX($AM$2:$BM$1001,MATCH(ROWS($AF$2:AF461),$AF$2:$AF$1001,0),MATCH(COLUMNS($AM$1006:AN1006),$AM$1006:$BM$1006,0)), HYPERLINK("#",""), HYPERLINK(CONCATENATE("#metadata!", ADDRESS(INDEX($AH$2:$AH$1001,MATCH(ROWS($AF$2:AF461),$AF$2:$AF$1001,0),0), INDEX($AM$1004:$BM$1004,1,MATCH(COLUMNS($AM$1006:AN1006),$AM$1006:$BM$1006,0)))),"Fix")))</f>
        <v xml:space="preserve"> </v>
      </c>
      <c r="D461" s="4" t="str">
        <f ca="1">IF(OR(INDEX($AG$2:$AG$1001,MATCH(ROWS($AF$2:AF461),$AF$2:$AF$1001,0),1)&gt;=100000,INDEX($AM$1005:$BM$1005,1,MATCH(COLUMNS($AM$1006:AO1006),$AM$1006:$BM$1006,0))&gt;=100000), " ",IF(INDEX($AM$2:$BM$1001,MATCH(ROWS($AF$2:AF461),$AF$2:$AF$1001,0),MATCH(COLUMNS($AM$1006:AO1006),$AM$1006:$BM$1006,0)), HYPERLINK("#",""), HYPERLINK(CONCATENATE("#metadata!", ADDRESS(INDEX($AH$2:$AH$1001,MATCH(ROWS($AF$2:AF461),$AF$2:$AF$1001,0),0), INDEX($AM$1004:$BM$1004,1,MATCH(COLUMNS($AM$1006:AO1006),$AM$1006:$BM$1006,0)))),"Fix")))</f>
        <v xml:space="preserve"> </v>
      </c>
      <c r="E461" s="4" t="str">
        <f ca="1">IF(OR(INDEX($AG$2:$AG$1001,MATCH(ROWS($AF$2:AF461),$AF$2:$AF$1001,0),1)&gt;=100000,INDEX($AM$1005:$BM$1005,1,MATCH(COLUMNS($AM$1006:AP1006),$AM$1006:$BM$1006,0))&gt;=100000), " ",IF(INDEX($AM$2:$BM$1001,MATCH(ROWS($AF$2:AF461),$AF$2:$AF$1001,0),MATCH(COLUMNS($AM$1006:AP1006),$AM$1006:$BM$1006,0)), HYPERLINK("#",""), HYPERLINK(CONCATENATE("#metadata!", ADDRESS(INDEX($AH$2:$AH$1001,MATCH(ROWS($AF$2:AF461),$AF$2:$AF$1001,0),0), INDEX($AM$1004:$BM$1004,1,MATCH(COLUMNS($AM$1006:AP1006),$AM$1006:$BM$1006,0)))),"Fix")))</f>
        <v xml:space="preserve"> </v>
      </c>
      <c r="F461" s="4" t="str">
        <f ca="1">IF(OR(INDEX($AG$2:$AG$1001,MATCH(ROWS($AF$2:AF461),$AF$2:$AF$1001,0),1)&gt;=100000,INDEX($AM$1005:$BM$1005,1,MATCH(COLUMNS($AM$1006:AQ1006),$AM$1006:$BM$1006,0))&gt;=100000), " ",IF(INDEX($AM$2:$BM$1001,MATCH(ROWS($AF$2:AF461),$AF$2:$AF$1001,0),MATCH(COLUMNS($AM$1006:AQ1006),$AM$1006:$BM$1006,0)), HYPERLINK("#",""), HYPERLINK(CONCATENATE("#metadata!", ADDRESS(INDEX($AH$2:$AH$1001,MATCH(ROWS($AF$2:AF461),$AF$2:$AF$1001,0),0), INDEX($AM$1004:$BM$1004,1,MATCH(COLUMNS($AM$1006:AQ1006),$AM$1006:$BM$1006,0)))),"Fix")))</f>
        <v xml:space="preserve"> </v>
      </c>
      <c r="G461" s="4" t="str">
        <f ca="1">IF(OR(INDEX($AG$2:$AG$1001,MATCH(ROWS($AF$2:AF461),$AF$2:$AF$1001,0),1)&gt;=100000,INDEX($AM$1005:$BM$1005,1,MATCH(COLUMNS($AM$1006:AR1006),$AM$1006:$BM$1006,0))&gt;=100000), " ",IF(INDEX($AM$2:$BM$1001,MATCH(ROWS($AF$2:AF461),$AF$2:$AF$1001,0),MATCH(COLUMNS($AM$1006:AR1006),$AM$1006:$BM$1006,0)), HYPERLINK("#",""), HYPERLINK(CONCATENATE("#metadata!", ADDRESS(INDEX($AH$2:$AH$1001,MATCH(ROWS($AF$2:AF461),$AF$2:$AF$1001,0),0), INDEX($AM$1004:$BM$1004,1,MATCH(COLUMNS($AM$1006:AR1006),$AM$1006:$BM$1006,0)))),"Fix")))</f>
        <v xml:space="preserve"> </v>
      </c>
      <c r="H461" s="4" t="str">
        <f ca="1">IF(OR(INDEX($AG$2:$AG$1001,MATCH(ROWS($AF$2:AF461),$AF$2:$AF$1001,0),1)&gt;=100000,INDEX($AM$1005:$BM$1005,1,MATCH(COLUMNS($AM$1006:AS1006),$AM$1006:$BM$1006,0))&gt;=100000), " ",IF(INDEX($AM$2:$BM$1001,MATCH(ROWS($AF$2:AF461),$AF$2:$AF$1001,0),MATCH(COLUMNS($AM$1006:AS1006),$AM$1006:$BM$1006,0)), HYPERLINK("#",""), HYPERLINK(CONCATENATE("#metadata!", ADDRESS(INDEX($AH$2:$AH$1001,MATCH(ROWS($AF$2:AF461),$AF$2:$AF$1001,0),0), INDEX($AM$1004:$BM$1004,1,MATCH(COLUMNS($AM$1006:AS1006),$AM$1006:$BM$1006,0)))),"Fix")))</f>
        <v xml:space="preserve"> </v>
      </c>
      <c r="I461" s="4" t="str">
        <f ca="1">IF(OR(INDEX($AG$2:$AG$1001,MATCH(ROWS($AF$2:AF461),$AF$2:$AF$1001,0),1)&gt;=100000,INDEX($AM$1005:$BM$1005,1,MATCH(COLUMNS($AM$1006:AT1006),$AM$1006:$BM$1006,0))&gt;=100000), " ",IF(INDEX($AM$2:$BM$1001,MATCH(ROWS($AF$2:AF461),$AF$2:$AF$1001,0),MATCH(COLUMNS($AM$1006:AT1006),$AM$1006:$BM$1006,0)), HYPERLINK("#",""), HYPERLINK(CONCATENATE("#metadata!", ADDRESS(INDEX($AH$2:$AH$1001,MATCH(ROWS($AF$2:AF461),$AF$2:$AF$1001,0),0), INDEX($AM$1004:$BM$1004,1,MATCH(COLUMNS($AM$1006:AT1006),$AM$1006:$BM$1006,0)))),"Fix")))</f>
        <v xml:space="preserve"> </v>
      </c>
      <c r="J461" s="4" t="str">
        <f ca="1">IF(OR(INDEX($AG$2:$AG$1001,MATCH(ROWS($AF$2:AF461),$AF$2:$AF$1001,0),1)&gt;=100000,INDEX($AM$1005:$BM$1005,1,MATCH(COLUMNS($AM$1006:AU1006),$AM$1006:$BM$1006,0))&gt;=100000), " ",IF(INDEX($AM$2:$BM$1001,MATCH(ROWS($AF$2:AF461),$AF$2:$AF$1001,0),MATCH(COLUMNS($AM$1006:AU1006),$AM$1006:$BM$1006,0)), HYPERLINK("#",""), HYPERLINK(CONCATENATE("#metadata!", ADDRESS(INDEX($AH$2:$AH$1001,MATCH(ROWS($AF$2:AF461),$AF$2:$AF$1001,0),0), INDEX($AM$1004:$BM$1004,1,MATCH(COLUMNS($AM$1006:AU1006),$AM$1006:$BM$1006,0)))),"Fix")))</f>
        <v xml:space="preserve"> </v>
      </c>
      <c r="K461" s="4" t="str">
        <f ca="1">IF(OR(INDEX($AG$2:$AG$1001,MATCH(ROWS($AF$2:AF461),$AF$2:$AF$1001,0),1)&gt;=100000,INDEX($AM$1005:$BM$1005,1,MATCH(COLUMNS($AM$1006:AV1006),$AM$1006:$BM$1006,0))&gt;=100000), " ",IF(INDEX($AM$2:$BM$1001,MATCH(ROWS($AF$2:AF461),$AF$2:$AF$1001,0),MATCH(COLUMNS($AM$1006:AV1006),$AM$1006:$BM$1006,0)), HYPERLINK("#",""), HYPERLINK(CONCATENATE("#metadata!", ADDRESS(INDEX($AH$2:$AH$1001,MATCH(ROWS($AF$2:AF461),$AF$2:$AF$1001,0),0), INDEX($AM$1004:$BM$1004,1,MATCH(COLUMNS($AM$1006:AV1006),$AM$1006:$BM$1006,0)))),"Fix")))</f>
        <v xml:space="preserve"> </v>
      </c>
      <c r="L461" s="4" t="str">
        <f ca="1">IF(OR(INDEX($AG$2:$AG$1001,MATCH(ROWS($AF$2:AF461),$AF$2:$AF$1001,0),1)&gt;=100000,INDEX($AM$1005:$BM$1005,1,MATCH(COLUMNS($AM$1006:AW1006),$AM$1006:$BM$1006,0))&gt;=100000), " ",IF(INDEX($AM$2:$BM$1001,MATCH(ROWS($AF$2:AF461),$AF$2:$AF$1001,0),MATCH(COLUMNS($AM$1006:AW1006),$AM$1006:$BM$1006,0)), HYPERLINK("#",""), HYPERLINK(CONCATENATE("#metadata!", ADDRESS(INDEX($AH$2:$AH$1001,MATCH(ROWS($AF$2:AF461),$AF$2:$AF$1001,0),0), INDEX($AM$1004:$BM$1004,1,MATCH(COLUMNS($AM$1006:AW1006),$AM$1006:$BM$1006,0)))),"Fix")))</f>
        <v xml:space="preserve"> </v>
      </c>
      <c r="M461" s="4" t="str">
        <f ca="1">IF(OR(INDEX($AG$2:$AG$1001,MATCH(ROWS($AF$2:AF461),$AF$2:$AF$1001,0),1)&gt;=100000,INDEX($AM$1005:$BM$1005,1,MATCH(COLUMNS($AM$1006:AX1006),$AM$1006:$BM$1006,0))&gt;=100000), " ",IF(INDEX($AM$2:$BM$1001,MATCH(ROWS($AF$2:AF461),$AF$2:$AF$1001,0),MATCH(COLUMNS($AM$1006:AX1006),$AM$1006:$BM$1006,0)), HYPERLINK("#",""), HYPERLINK(CONCATENATE("#metadata!", ADDRESS(INDEX($AH$2:$AH$1001,MATCH(ROWS($AF$2:AF461),$AF$2:$AF$1001,0),0), INDEX($AM$1004:$BM$1004,1,MATCH(COLUMNS($AM$1006:AX1006),$AM$1006:$BM$1006,0)))),"Fix")))</f>
        <v xml:space="preserve"> </v>
      </c>
      <c r="N461" s="4" t="str">
        <f ca="1">IF(OR(INDEX($AG$2:$AG$1001,MATCH(ROWS($AF$2:AF461),$AF$2:$AF$1001,0),1)&gt;=100000,INDEX($AM$1005:$BM$1005,1,MATCH(COLUMNS($AM$1006:AY1006),$AM$1006:$BM$1006,0))&gt;=100000), " ",IF(INDEX($AM$2:$BM$1001,MATCH(ROWS($AF$2:AF461),$AF$2:$AF$1001,0),MATCH(COLUMNS($AM$1006:AY1006),$AM$1006:$BM$1006,0)), HYPERLINK("#",""), HYPERLINK(CONCATENATE("#metadata!", ADDRESS(INDEX($AH$2:$AH$1001,MATCH(ROWS($AF$2:AF461),$AF$2:$AF$1001,0),0), INDEX($AM$1004:$BM$1004,1,MATCH(COLUMNS($AM$1006:AY1006),$AM$1006:$BM$1006,0)))),"Fix")))</f>
        <v xml:space="preserve"> </v>
      </c>
      <c r="O461" s="4" t="str">
        <f ca="1">IF(OR(INDEX($AG$2:$AG$1001,MATCH(ROWS($AF$2:AF461),$AF$2:$AF$1001,0),1)&gt;=100000,INDEX($AM$1005:$BM$1005,1,MATCH(COLUMNS($AM$1006:AZ1006),$AM$1006:$BM$1006,0))&gt;=100000), " ",IF(INDEX($AM$2:$BM$1001,MATCH(ROWS($AF$2:AF461),$AF$2:$AF$1001,0),MATCH(COLUMNS($AM$1006:AZ1006),$AM$1006:$BM$1006,0)), HYPERLINK("#",""), HYPERLINK(CONCATENATE("#metadata!", ADDRESS(INDEX($AH$2:$AH$1001,MATCH(ROWS($AF$2:AF461),$AF$2:$AF$1001,0),0), INDEX($AM$1004:$BM$1004,1,MATCH(COLUMNS($AM$1006:AZ1006),$AM$1006:$BM$1006,0)))),"Fix")))</f>
        <v xml:space="preserve"> </v>
      </c>
      <c r="P461" s="4" t="str">
        <f ca="1">IF(OR(INDEX($AG$2:$AG$1001,MATCH(ROWS($AF$2:AF461),$AF$2:$AF$1001,0),1)&gt;=100000,INDEX($AM$1005:$BM$1005,1,MATCH(COLUMNS($AM$1006:BA1006),$AM$1006:$BM$1006,0))&gt;=100000), " ",IF(INDEX($AM$2:$BM$1001,MATCH(ROWS($AF$2:AF461),$AF$2:$AF$1001,0),MATCH(COLUMNS($AM$1006:BA1006),$AM$1006:$BM$1006,0)), HYPERLINK("#",""), HYPERLINK(CONCATENATE("#metadata!", ADDRESS(INDEX($AH$2:$AH$1001,MATCH(ROWS($AF$2:AF461),$AF$2:$AF$1001,0),0), INDEX($AM$1004:$BM$1004,1,MATCH(COLUMNS($AM$1006:BA1006),$AM$1006:$BM$1006,0)))),"Fix")))</f>
        <v xml:space="preserve"> </v>
      </c>
      <c r="Q461" s="4" t="str">
        <f ca="1">IF(OR(INDEX($AG$2:$AG$1001,MATCH(ROWS($AF$2:AF461),$AF$2:$AF$1001,0),1)&gt;=100000,INDEX($AM$1005:$BM$1005,1,MATCH(COLUMNS($AM$1006:BB1006),$AM$1006:$BM$1006,0))&gt;=100000), " ",IF(INDEX($AM$2:$BM$1001,MATCH(ROWS($AF$2:AF461),$AF$2:$AF$1001,0),MATCH(COLUMNS($AM$1006:BB1006),$AM$1006:$BM$1006,0)), HYPERLINK("#",""), HYPERLINK(CONCATENATE("#metadata!", ADDRESS(INDEX($AH$2:$AH$1001,MATCH(ROWS($AF$2:AF461),$AF$2:$AF$1001,0),0), INDEX($AM$1004:$BM$1004,1,MATCH(COLUMNS($AM$1006:BB1006),$AM$1006:$BM$1006,0)))),"Fix")))</f>
        <v xml:space="preserve"> </v>
      </c>
      <c r="R461" s="4" t="str">
        <f ca="1">IF(OR(INDEX($AG$2:$AG$1001,MATCH(ROWS($AF$2:AF461),$AF$2:$AF$1001,0),1)&gt;=100000,INDEX($AM$1005:$BM$1005,1,MATCH(COLUMNS($AM$1006:BC1006),$AM$1006:$BM$1006,0))&gt;=100000), " ",IF(INDEX($AM$2:$BM$1001,MATCH(ROWS($AF$2:AF461),$AF$2:$AF$1001,0),MATCH(COLUMNS($AM$1006:BC1006),$AM$1006:$BM$1006,0)), HYPERLINK("#",""), HYPERLINK(CONCATENATE("#metadata!", ADDRESS(INDEX($AH$2:$AH$1001,MATCH(ROWS($AF$2:AF461),$AF$2:$AF$1001,0),0), INDEX($AM$1004:$BM$1004,1,MATCH(COLUMNS($AM$1006:BC1006),$AM$1006:$BM$1006,0)))),"Fix")))</f>
        <v xml:space="preserve"> </v>
      </c>
      <c r="S461" s="4" t="str">
        <f ca="1">IF(OR(INDEX($AG$2:$AG$1001,MATCH(ROWS($AF$2:AF461),$AF$2:$AF$1001,0),1)&gt;=100000,INDEX($AM$1005:$BM$1005,1,MATCH(COLUMNS($AM$1006:BD1006),$AM$1006:$BM$1006,0))&gt;=100000), " ",IF(INDEX($AM$2:$BM$1001,MATCH(ROWS($AF$2:AF461),$AF$2:$AF$1001,0),MATCH(COLUMNS($AM$1006:BD1006),$AM$1006:$BM$1006,0)), HYPERLINK("#",""), HYPERLINK(CONCATENATE("#metadata!", ADDRESS(INDEX($AH$2:$AH$1001,MATCH(ROWS($AF$2:AF461),$AF$2:$AF$1001,0),0), INDEX($AM$1004:$BM$1004,1,MATCH(COLUMNS($AM$1006:BD1006),$AM$1006:$BM$1006,0)))),"Fix")))</f>
        <v xml:space="preserve"> </v>
      </c>
      <c r="T461" s="4" t="str">
        <f ca="1">IF(OR(INDEX($AG$2:$AG$1001,MATCH(ROWS($AF$2:AF461),$AF$2:$AF$1001,0),1)&gt;=100000,INDEX($AM$1005:$BM$1005,1,MATCH(COLUMNS($AM$1006:BE1006),$AM$1006:$BM$1006,0))&gt;=100000), " ",IF(INDEX($AM$2:$BM$1001,MATCH(ROWS($AF$2:AF461),$AF$2:$AF$1001,0),MATCH(COLUMNS($AM$1006:BE1006),$AM$1006:$BM$1006,0)), HYPERLINK("#",""), HYPERLINK(CONCATENATE("#metadata!", ADDRESS(INDEX($AH$2:$AH$1001,MATCH(ROWS($AF$2:AF461),$AF$2:$AF$1001,0),0), INDEX($AM$1004:$BM$1004,1,MATCH(COLUMNS($AM$1006:BE1006),$AM$1006:$BM$1006,0)))),"Fix")))</f>
        <v xml:space="preserve"> </v>
      </c>
      <c r="U461" s="4" t="str">
        <f ca="1">IF(OR(INDEX($AG$2:$AG$1001,MATCH(ROWS($AF$2:AF461),$AF$2:$AF$1001,0),1)&gt;=100000,INDEX($AM$1005:$BM$1005,1,MATCH(COLUMNS($AM$1006:BF1006),$AM$1006:$BM$1006,0))&gt;=100000), " ",IF(INDEX($AM$2:$BM$1001,MATCH(ROWS($AF$2:AF461),$AF$2:$AF$1001,0),MATCH(COLUMNS($AM$1006:BF1006),$AM$1006:$BM$1006,0)), HYPERLINK("#",""), HYPERLINK(CONCATENATE("#metadata!", ADDRESS(INDEX($AH$2:$AH$1001,MATCH(ROWS($AF$2:AF461),$AF$2:$AF$1001,0),0), INDEX($AM$1004:$BM$1004,1,MATCH(COLUMNS($AM$1006:BF1006),$AM$1006:$BM$1006,0)))),"Fix")))</f>
        <v xml:space="preserve"> </v>
      </c>
      <c r="V461" s="4" t="str">
        <f ca="1">IF(OR(INDEX($AG$2:$AG$1001,MATCH(ROWS($AF$2:AF461),$AF$2:$AF$1001,0),1)&gt;=100000,INDEX($AM$1005:$BM$1005,1,MATCH(COLUMNS($AM$1006:BG1006),$AM$1006:$BM$1006,0))&gt;=100000), " ",IF(INDEX($AM$2:$BM$1001,MATCH(ROWS($AF$2:AF461),$AF$2:$AF$1001,0),MATCH(COLUMNS($AM$1006:BG1006),$AM$1006:$BM$1006,0)), HYPERLINK("#",""), HYPERLINK(CONCATENATE("#metadata!", ADDRESS(INDEX($AH$2:$AH$1001,MATCH(ROWS($AF$2:AF461),$AF$2:$AF$1001,0),0), INDEX($AM$1004:$BM$1004,1,MATCH(COLUMNS($AM$1006:BG1006),$AM$1006:$BM$1006,0)))),"Fix")))</f>
        <v xml:space="preserve"> </v>
      </c>
      <c r="W461" s="4" t="str">
        <f ca="1">IF(OR(INDEX($AG$2:$AG$1001,MATCH(ROWS($AF$2:AF461),$AF$2:$AF$1001,0),1)&gt;=100000,INDEX($AM$1005:$BM$1005,1,MATCH(COLUMNS($AM$1006:BH1006),$AM$1006:$BM$1006,0))&gt;=100000), " ",IF(INDEX($AM$2:$BM$1001,MATCH(ROWS($AF$2:AF461),$AF$2:$AF$1001,0),MATCH(COLUMNS($AM$1006:BH1006),$AM$1006:$BM$1006,0)), HYPERLINK("#",""), HYPERLINK(CONCATENATE("#metadata!", ADDRESS(INDEX($AH$2:$AH$1001,MATCH(ROWS($AF$2:AF461),$AF$2:$AF$1001,0),0), INDEX($AM$1004:$BM$1004,1,MATCH(COLUMNS($AM$1006:BH1006),$AM$1006:$BM$1006,0)))),"Fix")))</f>
        <v xml:space="preserve"> </v>
      </c>
      <c r="X461" s="4" t="str">
        <f ca="1">IF(OR(INDEX($AG$2:$AG$1001,MATCH(ROWS($AF$2:AF461),$AF$2:$AF$1001,0),1)&gt;=100000,INDEX($AM$1005:$BM$1005,1,MATCH(COLUMNS($AM$1006:BI1006),$AM$1006:$BM$1006,0))&gt;=100000), " ",IF(INDEX($AM$2:$BM$1001,MATCH(ROWS($AF$2:AF461),$AF$2:$AF$1001,0),MATCH(COLUMNS($AM$1006:BI1006),$AM$1006:$BM$1006,0)), HYPERLINK("#",""), HYPERLINK(CONCATENATE("#metadata!", ADDRESS(INDEX($AH$2:$AH$1001,MATCH(ROWS($AF$2:AF461),$AF$2:$AF$1001,0),0), INDEX($AM$1004:$BM$1004,1,MATCH(COLUMNS($AM$1006:BI1006),$AM$1006:$BM$1006,0)))),"Fix")))</f>
        <v xml:space="preserve"> </v>
      </c>
      <c r="Y461" s="4" t="str">
        <f ca="1">IF(OR(INDEX($AG$2:$AG$1001,MATCH(ROWS($AF$2:AF461),$AF$2:$AF$1001,0),1)&gt;=100000,INDEX($AM$1005:$BM$1005,1,MATCH(COLUMNS($AM$1006:BJ1006),$AM$1006:$BM$1006,0))&gt;=100000), " ",IF(INDEX($AM$2:$BM$1001,MATCH(ROWS($AF$2:AF461),$AF$2:$AF$1001,0),MATCH(COLUMNS($AM$1006:BJ1006),$AM$1006:$BM$1006,0)), HYPERLINK("#",""), HYPERLINK(CONCATENATE("#metadata!", ADDRESS(INDEX($AH$2:$AH$1001,MATCH(ROWS($AF$2:AF461),$AF$2:$AF$1001,0),0), INDEX($AM$1004:$BM$1004,1,MATCH(COLUMNS($AM$1006:BJ1006),$AM$1006:$BM$1006,0)))),"Fix")))</f>
        <v xml:space="preserve"> </v>
      </c>
      <c r="Z461" s="4" t="str">
        <f ca="1">IF(OR(INDEX($AG$2:$AG$1001,MATCH(ROWS($AF$2:AF461),$AF$2:$AF$1001,0),1)&gt;=100000,INDEX($AM$1005:$BM$1005,1,MATCH(COLUMNS($AM$1006:BK1006),$AM$1006:$BM$1006,0))&gt;=100000), " ",IF(INDEX($AM$2:$BM$1001,MATCH(ROWS($AF$2:AF461),$AF$2:$AF$1001,0),MATCH(COLUMNS($AM$1006:BK1006),$AM$1006:$BM$1006,0)), HYPERLINK("#",""), HYPERLINK(CONCATENATE("#metadata!", ADDRESS(INDEX($AH$2:$AH$1001,MATCH(ROWS($AF$2:AF461),$AF$2:$AF$1001,0),0), INDEX($AM$1004:$BM$1004,1,MATCH(COLUMNS($AM$1006:BK1006),$AM$1006:$BM$1006,0)))),"Fix")))</f>
        <v xml:space="preserve"> </v>
      </c>
      <c r="AA461" s="4" t="str">
        <f ca="1">IF(OR(INDEX($AG$2:$AG$1001,MATCH(ROWS($AF$2:AF461),$AF$2:$AF$1001,0),1)&gt;=100000,INDEX($AM$1005:$BM$1005,1,MATCH(COLUMNS($AM$1006:BL1006),$AM$1006:$BM$1006,0))&gt;=100000), " ",IF(INDEX($AM$2:$BM$1001,MATCH(ROWS($AF$2:AF461),$AF$2:$AF$1001,0),MATCH(COLUMNS($AM$1006:BL1006),$AM$1006:$BM$1006,0)), HYPERLINK("#",""), HYPERLINK(CONCATENATE("#metadata!", ADDRESS(INDEX($AH$2:$AH$1001,MATCH(ROWS($AF$2:AF461),$AF$2:$AF$1001,0),0), INDEX($AM$1004:$BM$1004,1,MATCH(COLUMNS($AM$1006:BL1006),$AM$1006:$BM$1006,0)))),"Fix")))</f>
        <v xml:space="preserve"> </v>
      </c>
      <c r="AB461" s="4" t="str">
        <f ca="1">IF(OR(INDEX($AG$2:$AG$1001,MATCH(ROWS($AF$2:AF461),$AF$2:$AF$1001,0),1)&gt;=100000,INDEX($AM$1005:$BM$1005,1,MATCH(COLUMNS($AM$1006:BM1006),$AM$1006:$BM$1006,0))&gt;=100000), " ",IF(INDEX($AM$2:$BM$1001,MATCH(ROWS($AF$2:AF461),$AF$2:$AF$1001,0),MATCH(COLUMNS($AM$1006:BM1006),$AM$1006:$BM$1006,0)), HYPERLINK("#",""), HYPERLINK(CONCATENATE("#metadata!", ADDRESS(INDEX($AH$2:$AH$1001,MATCH(ROWS($AF$2:AF461),$AF$2:$AF$1001,0),0), INDEX($AM$1004:$BM$1004,1,MATCH(COLUMNS($AM$1006:BM1006),$AM$1006:$BM$1006,0)))),"Fix")))</f>
        <v xml:space="preserve"> </v>
      </c>
      <c r="AF461">
        <v>460</v>
      </c>
      <c r="AG461">
        <v>100461</v>
      </c>
      <c r="AH461">
        <v>461</v>
      </c>
      <c r="AI461" t="b">
        <f t="shared" si="7"/>
        <v>1</v>
      </c>
      <c r="AJ461" t="b">
        <f>COUNTBLANK(metadata!B461:AB461)=COLUMNS(metadata!B461:AB461)</f>
        <v>1</v>
      </c>
      <c r="AK461" t="str">
        <v/>
      </c>
      <c r="AM461" t="b">
        <f ca="1">AND(IF(metadata!B461="",FALSE,TRUE),COUNTIF(metadata!B:B, metadata!B461) = 1,NOT(ISERROR(SUMPRODUCT(SEARCH(MID(metadata!B461,ROW(INDIRECT("1:"&amp;LEN(metadata!B461))), 1),"0123456789abcdefghijklmnopqrstuvwxyzABCDEFGHIJKLMNOPQRSTUVWXYZ.")))))</f>
        <v>0</v>
      </c>
      <c r="AN461" t="b">
        <f ca="1">OR(AND(IF(metadata!C461="",FALSE,TRUE),OR(EXACT(metadata!C461,"missing: not collected"),EXACT(metadata!C461,"missing: not provided"),EXACT(metadata!C461,"missing: restricted access"))),AND(IF(metadata!C461="",FALSE,TRUE),AND(AND(IFERROR(INT(LEFT(metadata!C461,4))&gt;1900,FALSE),IFERROR(INT(LEFT(metadata!C461,4))&lt;=YEAR(NOW()),FALSE)), OR(MID(metadata!C461,5,1)="", AND(AND(MID(metadata!C461,5,1)="-",IFERROR(INT(MID(metadata!C461,6,1))&gt;=0,FALSE),IFERROR(INT(MID(metadata!C461,6,1))&lt;=1,FALSE),NOT(MID(metadata!C461,7,1)=""),IFERROR(INT(MID(metadata!C461,6,2))&gt;=1,FALSE),IFERROR(INT(MID(metadata!C461,6,2))&lt;=12,FALSE)), OR(MID(metadata!C461,8,1)="", AND(AND(MID(metadata!C461,8,1)="-",IFERROR(INT(MID(metadata!C461,9,1))&gt;=0,FALSE),IFERROR(INT(MID(metadata!C461,9,1))&lt;=3,FALSE),NOT(MID(metadata!C461,10,1)=""),IFERROR(INT(MID(metadata!C461,9,2))&gt;=1,FALSE),IFERROR(INT(MID(metadata!C461,9,2))&lt;=31,FALSE)), OR(MID(metadata!C461,11,1)="", AND(AND(MID(metadata!C461,11,1)=" ",IFERROR(INT(MID(metadata!C461,12,1))&gt;=0,FALSE),IFERROR(INT(MID(metadata!C461,12,1))&lt;=2,FALSE),NOT(MID(metadata!C461,13,1)=""),IFERROR(INT(MID(metadata!C461,12,2))&gt;=0,FALSE),IFERROR(INT(MID(metadata!C461,12,2))&lt;=23,FALSE)), OR(MID(metadata!C461,14,1)="", AND(AND(MID(metadata!C461,14,1)=":",IFERROR(INT(MID(metadata!C461,15,1))&gt;=0,FALSE),IFERROR(INT(MID(metadata!C461,15,1))&lt;=5,FALSE),NOT(MID(metadata!C461,16,1)=""),IFERROR(INT(MID(metadata!C461,15,2))&gt;=0,FALSE),IFERROR(INT(MID(metadata!C461,15,2))&lt;=59,FALSE)), OR(MID(metadata!C461,17,1)="", AND(AND(MID(metadata!C461,17,1)=":",IFERROR(INT(MID(metadata!C461,18,1))&gt;=0,FALSE),IFERROR(INT(MID(metadata!C461,18,1))&lt;=5,FALSE),NOT(MID(metadata!C461,19,1)=""),IFERROR(INT(MID(metadata!C461,18,2))&gt;=0,FALSE),IFERROR(INT(MID(metadata!C461,18,2))&lt;=59,FALSE)), LEN(metadata!C461)&lt;=19)))))))))))))</f>
        <v>0</v>
      </c>
      <c r="AO461" t="b">
        <f>AND(IF(metadata!D461="",FALSE,TRUE),EXACT(metadata!D461,"Not applicable"))</f>
        <v>0</v>
      </c>
      <c r="AP461" t="b">
        <f>IF(metadata!E461="",FALSE,TRUE)</f>
        <v>0</v>
      </c>
      <c r="AQ461" t="b">
        <f>OR(AND(IF(metadata!F461="",FALSE,TRUE),OR(EXACT(metadata!F461,"missing: not collected"),EXACT(metadata!F461,"missing: not provided"))),AND(IF(metadata!F461="",FALSE,TRUE),OR(EXACT(metadata!F461,"TRUE"),EXACT(metadata!F461,"FALSE"))))</f>
        <v>0</v>
      </c>
      <c r="AR461" t="b">
        <f>OR(AND(IF(metadata!G461="",FALSE,TRUE),OR(EXACT(metadata!G461,"missing: not collected"),EXACT(metadata!G461,"missing: not provided"),EXACT(metadata!G461,"missing: restricted access"))),AND(IF(metadata!G461="",FALSE,ISNUMBER(VALUE(metadata!G461))),metadata!G461&gt;=-413))</f>
        <v>0</v>
      </c>
      <c r="AS461" t="b">
        <f>AND(IF(metadata!H461="",FALSE,TRUE),EXACT(metadata!H461,"meters"))</f>
        <v>0</v>
      </c>
      <c r="AT461" t="b">
        <f>AND(IF(metadata!I461="",FALSE,TRUE),OR(EXACT(metadata!I461,"Host-associated"),EXACT(metadata!I461,"Free-living")))</f>
        <v>0</v>
      </c>
      <c r="AU461" t="b">
        <f>AND(IF(metadata!J461="",FALSE,TRUE),OR(EXACT(metadata!J461,"Animal"),EXACT(metadata!J461,"Fungus"),EXACT(metadata!J461,"Plant"),EXACT(metadata!J461,"Saline"),EXACT(metadata!J461,"Non-saline")))</f>
        <v>0</v>
      </c>
      <c r="AV461" t="b">
        <f>AND(IF(metadata!K461="",FALSE,TRUE),OR(EXACT(metadata!K461,"Plant secretion"),EXACT(metadata!K461,"Plant rhizosphere"),EXACT(metadata!K461,"Plant surface"),EXACT(metadata!K461,"Plant corpus"),EXACT(metadata!K461,"Fungus surface"),EXACT(metadata!K461,"Fungus corpus"),EXACT(metadata!K461,"Animal surface"),EXACT(metadata!K461,"Animal proximal gut"),EXACT(metadata!K461,"Animal corpus"),EXACT(metadata!K461,"Animal distal gut"),EXACT(metadata!K461,"Animal secretion"),EXACT(metadata!K461,"Sub-surface (non-saline)"),EXACT(metadata!K461,"Surface (non-saline)"),EXACT(metadata!K461,"Water (non-saline)"),EXACT(metadata!K461,"Soil (non-saline)"),EXACT(metadata!K461,"Aerosol (non-saline)"),EXACT(metadata!K461,"Sediment (non-saline)"),EXACT(metadata!K461,"Surface (saline)"),EXACT(metadata!K461,"Water (saline)"),EXACT(metadata!K461,"Hypersaline (saline)"),EXACT(metadata!K461,"Aerosol (saline)"),EXACT(metadata!K461,"Sediment (saline)")))</f>
        <v>0</v>
      </c>
      <c r="AW461" t="b">
        <f>IF(metadata!L461="",FALSE,TRUE)</f>
        <v>0</v>
      </c>
      <c r="AX461" t="b">
        <f>IF(metadata!M461="",FALSE,TRUE)</f>
        <v>0</v>
      </c>
      <c r="AY461" t="b">
        <f>IF(metadata!N461="",FALSE,TRUE)</f>
        <v>0</v>
      </c>
      <c r="AZ461" t="b">
        <f>OR(AND(IF(metadata!O461="",FALSE,TRUE),OR(EXACT(metadata!O461,"missing: not collected"),EXACT(metadata!O461,"missing: not provided"),EXACT(metadata!O461,"missing: restricted access"))),AND(IF(metadata!O461="",FALSE,TRUE),OR(EXACT(metadata!O461,"air"),EXACT(metadata!O461,"built environment"),EXACT(metadata!O461,"host-associated"),EXACT(metadata!O461,"human-associated"),EXACT(metadata!O461,"human-skin"),EXACT(metadata!O461,"human-oral"),EXACT(metadata!O461,"human-gut"),EXACT(metadata!O461,"human-vaginal"),EXACT(metadata!O461,"microbial mat/biofilm"),EXACT(metadata!O461,"misc environment"),EXACT(metadata!O461,"plant-associated"),EXACT(metadata!O461,"sediment"),EXACT(metadata!O461,"soil"),EXACT(metadata!O461,"wastewater/sludge"),EXACT(metadata!O461,"water"))))</f>
        <v>0</v>
      </c>
      <c r="BA461" t="b">
        <f>IF(metadata!P461="",FALSE,TRUE)</f>
        <v>0</v>
      </c>
      <c r="BB461" t="b">
        <f>IF(metadata!Q461="",FALSE,TRUE)</f>
        <v>0</v>
      </c>
      <c r="BC461" t="b">
        <f>OR(AND(IF(metadata!R461="",FALSE,TRUE),OR(EXACT(metadata!R461,"missing: not collected"),EXACT(metadata!R461,"missing: not provided"),EXACT(metadata!R461,"missing: restricted access"))),AND(IF(metadata!R461="",FALSE,ISNUMBER(VALUE(metadata!R461))),metadata!R461&gt;=-90,metadata!R461&lt;=90))</f>
        <v>0</v>
      </c>
      <c r="BD461" t="b">
        <f>AND(IF(metadata!S461="",FALSE,TRUE),EXACT(metadata!S461,"Decimal degrees"))</f>
        <v>0</v>
      </c>
      <c r="BE461" t="b">
        <f>OR(AND(IF(metadata!T461="",FALSE,TRUE),OR(EXACT(metadata!T461,"missing: not collected"),EXACT(metadata!T461,"missing: not provided"),EXACT(metadata!T461,"missing: restricted access"))),AND(IF(metadata!T461="",FALSE,ISNUMBER(VALUE(metadata!T461))),metadata!T461&gt;=-180,metadata!T461&lt;=180))</f>
        <v>0</v>
      </c>
      <c r="BF461" t="b">
        <f>AND(IF(metadata!U461="",FALSE,TRUE),EXACT(metadata!U461,"Decimal degrees"))</f>
        <v>0</v>
      </c>
      <c r="BG461" t="b">
        <f>IF(metadata!V461="",FALSE,TRUE)</f>
        <v>0</v>
      </c>
      <c r="BH461" t="b">
        <f>OR(AND(IF(metadata!W461="",FALSE,TRUE),OR(EXACT(metadata!W461,"missing: not collected"),EXACT(metadata!W461,"missing: not provided"),EXACT(metadata!W461,"missing: restricted access"))),AND(IF(metadata!W461="",FALSE,TRUE),OR(EXACT(metadata!W461,"TRUE"),EXACT(metadata!W461,"FALSE"))))</f>
        <v>0</v>
      </c>
      <c r="BI461" t="b">
        <f>AND(IF(metadata!X461="",FALSE,TRUE),EXACT(metadata!X461,"other"))</f>
        <v>0</v>
      </c>
      <c r="BJ461" t="b">
        <f>IF(metadata!Y461="",FALSE,TRUE)</f>
        <v>0</v>
      </c>
      <c r="BK461" t="b">
        <f>OR(AND(IF(metadata!Z461="",FALSE,TRUE),OR(EXACT(metadata!Z461,"missing: not collected"),EXACT(metadata!Z461,"missing: not provided"))),AND(IF(metadata!Z461="",FALSE,IF(ISERROR(INT(metadata!Z461)),FALSE,INT(metadata!Z461)=metadata!Z461)),metadata!Z461&gt;0))</f>
        <v>0</v>
      </c>
      <c r="BL461" t="b">
        <f>AND(IF(metadata!AA461="",FALSE,TRUE),EXACT(metadata!AA461,"Not applicable"))</f>
        <v>0</v>
      </c>
      <c r="BM461" t="b">
        <f>IF(metadata!AB461="",FALSE,TRUE)</f>
        <v>0</v>
      </c>
    </row>
    <row r="462" spans="1:65" x14ac:dyDescent="0.2">
      <c r="A462" s="5" t="str">
        <f ca="1">IF(B462=" "," ",HYPERLINK(CONCATENATE("#metadata!",ADDRESS(INDEX($AH$2:$AH$1001,MATCH(ROWS($AF$2:AF462),$AF$2:$AF$1001,0),0),1)),INDEX($AK$2:$AK$1001,MATCH(ROWS($AF$2:AF462),$AF$2:$AF$1001,0),0)))</f>
        <v xml:space="preserve"> </v>
      </c>
      <c r="B462" s="4" t="str">
        <f ca="1">IF(OR(INDEX($AG$2:$AG$1001,MATCH(ROWS($AF$2:AF462),$AF$2:$AF$1001,0),1)&gt;=100000,INDEX($AM$1005:$BM$1005,1,MATCH(COLUMNS($AM$1006:AM1006),$AM$1006:$BM$1006,0))&gt;=100000), " ",IF(INDEX($AM$2:$BM$1001,MATCH(ROWS($AF$2:AF462),$AF$2:$AF$1001,0),MATCH(COLUMNS($AM$1006:AM1006),$AM$1006:$BM$1006,0)), HYPERLINK("#",""), HYPERLINK(CONCATENATE("#metadata!", ADDRESS(INDEX($AH$2:$AH$1001,MATCH(ROWS($AF$2:AF462),$AF$2:$AF$1001,0),0), INDEX($AM$1004:$BM$1004,1,MATCH(COLUMNS($AM$1006:AM1006),$AM$1006:$BM$1006,0)))),"Fix")))</f>
        <v xml:space="preserve"> </v>
      </c>
      <c r="C462" s="4" t="str">
        <f ca="1">IF(OR(INDEX($AG$2:$AG$1001,MATCH(ROWS($AF$2:AF462),$AF$2:$AF$1001,0),1)&gt;=100000,INDEX($AM$1005:$BM$1005,1,MATCH(COLUMNS($AM$1006:AN1006),$AM$1006:$BM$1006,0))&gt;=100000), " ",IF(INDEX($AM$2:$BM$1001,MATCH(ROWS($AF$2:AF462),$AF$2:$AF$1001,0),MATCH(COLUMNS($AM$1006:AN1006),$AM$1006:$BM$1006,0)), HYPERLINK("#",""), HYPERLINK(CONCATENATE("#metadata!", ADDRESS(INDEX($AH$2:$AH$1001,MATCH(ROWS($AF$2:AF462),$AF$2:$AF$1001,0),0), INDEX($AM$1004:$BM$1004,1,MATCH(COLUMNS($AM$1006:AN1006),$AM$1006:$BM$1006,0)))),"Fix")))</f>
        <v xml:space="preserve"> </v>
      </c>
      <c r="D462" s="4" t="str">
        <f ca="1">IF(OR(INDEX($AG$2:$AG$1001,MATCH(ROWS($AF$2:AF462),$AF$2:$AF$1001,0),1)&gt;=100000,INDEX($AM$1005:$BM$1005,1,MATCH(COLUMNS($AM$1006:AO1006),$AM$1006:$BM$1006,0))&gt;=100000), " ",IF(INDEX($AM$2:$BM$1001,MATCH(ROWS($AF$2:AF462),$AF$2:$AF$1001,0),MATCH(COLUMNS($AM$1006:AO1006),$AM$1006:$BM$1006,0)), HYPERLINK("#",""), HYPERLINK(CONCATENATE("#metadata!", ADDRESS(INDEX($AH$2:$AH$1001,MATCH(ROWS($AF$2:AF462),$AF$2:$AF$1001,0),0), INDEX($AM$1004:$BM$1004,1,MATCH(COLUMNS($AM$1006:AO1006),$AM$1006:$BM$1006,0)))),"Fix")))</f>
        <v xml:space="preserve"> </v>
      </c>
      <c r="E462" s="4" t="str">
        <f ca="1">IF(OR(INDEX($AG$2:$AG$1001,MATCH(ROWS($AF$2:AF462),$AF$2:$AF$1001,0),1)&gt;=100000,INDEX($AM$1005:$BM$1005,1,MATCH(COLUMNS($AM$1006:AP1006),$AM$1006:$BM$1006,0))&gt;=100000), " ",IF(INDEX($AM$2:$BM$1001,MATCH(ROWS($AF$2:AF462),$AF$2:$AF$1001,0),MATCH(COLUMNS($AM$1006:AP1006),$AM$1006:$BM$1006,0)), HYPERLINK("#",""), HYPERLINK(CONCATENATE("#metadata!", ADDRESS(INDEX($AH$2:$AH$1001,MATCH(ROWS($AF$2:AF462),$AF$2:$AF$1001,0),0), INDEX($AM$1004:$BM$1004,1,MATCH(COLUMNS($AM$1006:AP1006),$AM$1006:$BM$1006,0)))),"Fix")))</f>
        <v xml:space="preserve"> </v>
      </c>
      <c r="F462" s="4" t="str">
        <f ca="1">IF(OR(INDEX($AG$2:$AG$1001,MATCH(ROWS($AF$2:AF462),$AF$2:$AF$1001,0),1)&gt;=100000,INDEX($AM$1005:$BM$1005,1,MATCH(COLUMNS($AM$1006:AQ1006),$AM$1006:$BM$1006,0))&gt;=100000), " ",IF(INDEX($AM$2:$BM$1001,MATCH(ROWS($AF$2:AF462),$AF$2:$AF$1001,0),MATCH(COLUMNS($AM$1006:AQ1006),$AM$1006:$BM$1006,0)), HYPERLINK("#",""), HYPERLINK(CONCATENATE("#metadata!", ADDRESS(INDEX($AH$2:$AH$1001,MATCH(ROWS($AF$2:AF462),$AF$2:$AF$1001,0),0), INDEX($AM$1004:$BM$1004,1,MATCH(COLUMNS($AM$1006:AQ1006),$AM$1006:$BM$1006,0)))),"Fix")))</f>
        <v xml:space="preserve"> </v>
      </c>
      <c r="G462" s="4" t="str">
        <f ca="1">IF(OR(INDEX($AG$2:$AG$1001,MATCH(ROWS($AF$2:AF462),$AF$2:$AF$1001,0),1)&gt;=100000,INDEX($AM$1005:$BM$1005,1,MATCH(COLUMNS($AM$1006:AR1006),$AM$1006:$BM$1006,0))&gt;=100000), " ",IF(INDEX($AM$2:$BM$1001,MATCH(ROWS($AF$2:AF462),$AF$2:$AF$1001,0),MATCH(COLUMNS($AM$1006:AR1006),$AM$1006:$BM$1006,0)), HYPERLINK("#",""), HYPERLINK(CONCATENATE("#metadata!", ADDRESS(INDEX($AH$2:$AH$1001,MATCH(ROWS($AF$2:AF462),$AF$2:$AF$1001,0),0), INDEX($AM$1004:$BM$1004,1,MATCH(COLUMNS($AM$1006:AR1006),$AM$1006:$BM$1006,0)))),"Fix")))</f>
        <v xml:space="preserve"> </v>
      </c>
      <c r="H462" s="4" t="str">
        <f ca="1">IF(OR(INDEX($AG$2:$AG$1001,MATCH(ROWS($AF$2:AF462),$AF$2:$AF$1001,0),1)&gt;=100000,INDEX($AM$1005:$BM$1005,1,MATCH(COLUMNS($AM$1006:AS1006),$AM$1006:$BM$1006,0))&gt;=100000), " ",IF(INDEX($AM$2:$BM$1001,MATCH(ROWS($AF$2:AF462),$AF$2:$AF$1001,0),MATCH(COLUMNS($AM$1006:AS1006),$AM$1006:$BM$1006,0)), HYPERLINK("#",""), HYPERLINK(CONCATENATE("#metadata!", ADDRESS(INDEX($AH$2:$AH$1001,MATCH(ROWS($AF$2:AF462),$AF$2:$AF$1001,0),0), INDEX($AM$1004:$BM$1004,1,MATCH(COLUMNS($AM$1006:AS1006),$AM$1006:$BM$1006,0)))),"Fix")))</f>
        <v xml:space="preserve"> </v>
      </c>
      <c r="I462" s="4" t="str">
        <f ca="1">IF(OR(INDEX($AG$2:$AG$1001,MATCH(ROWS($AF$2:AF462),$AF$2:$AF$1001,0),1)&gt;=100000,INDEX($AM$1005:$BM$1005,1,MATCH(COLUMNS($AM$1006:AT1006),$AM$1006:$BM$1006,0))&gt;=100000), " ",IF(INDEX($AM$2:$BM$1001,MATCH(ROWS($AF$2:AF462),$AF$2:$AF$1001,0),MATCH(COLUMNS($AM$1006:AT1006),$AM$1006:$BM$1006,0)), HYPERLINK("#",""), HYPERLINK(CONCATENATE("#metadata!", ADDRESS(INDEX($AH$2:$AH$1001,MATCH(ROWS($AF$2:AF462),$AF$2:$AF$1001,0),0), INDEX($AM$1004:$BM$1004,1,MATCH(COLUMNS($AM$1006:AT1006),$AM$1006:$BM$1006,0)))),"Fix")))</f>
        <v xml:space="preserve"> </v>
      </c>
      <c r="J462" s="4" t="str">
        <f ca="1">IF(OR(INDEX($AG$2:$AG$1001,MATCH(ROWS($AF$2:AF462),$AF$2:$AF$1001,0),1)&gt;=100000,INDEX($AM$1005:$BM$1005,1,MATCH(COLUMNS($AM$1006:AU1006),$AM$1006:$BM$1006,0))&gt;=100000), " ",IF(INDEX($AM$2:$BM$1001,MATCH(ROWS($AF$2:AF462),$AF$2:$AF$1001,0),MATCH(COLUMNS($AM$1006:AU1006),$AM$1006:$BM$1006,0)), HYPERLINK("#",""), HYPERLINK(CONCATENATE("#metadata!", ADDRESS(INDEX($AH$2:$AH$1001,MATCH(ROWS($AF$2:AF462),$AF$2:$AF$1001,0),0), INDEX($AM$1004:$BM$1004,1,MATCH(COLUMNS($AM$1006:AU1006),$AM$1006:$BM$1006,0)))),"Fix")))</f>
        <v xml:space="preserve"> </v>
      </c>
      <c r="K462" s="4" t="str">
        <f ca="1">IF(OR(INDEX($AG$2:$AG$1001,MATCH(ROWS($AF$2:AF462),$AF$2:$AF$1001,0),1)&gt;=100000,INDEX($AM$1005:$BM$1005,1,MATCH(COLUMNS($AM$1006:AV1006),$AM$1006:$BM$1006,0))&gt;=100000), " ",IF(INDEX($AM$2:$BM$1001,MATCH(ROWS($AF$2:AF462),$AF$2:$AF$1001,0),MATCH(COLUMNS($AM$1006:AV1006),$AM$1006:$BM$1006,0)), HYPERLINK("#",""), HYPERLINK(CONCATENATE("#metadata!", ADDRESS(INDEX($AH$2:$AH$1001,MATCH(ROWS($AF$2:AF462),$AF$2:$AF$1001,0),0), INDEX($AM$1004:$BM$1004,1,MATCH(COLUMNS($AM$1006:AV1006),$AM$1006:$BM$1006,0)))),"Fix")))</f>
        <v xml:space="preserve"> </v>
      </c>
      <c r="L462" s="4" t="str">
        <f ca="1">IF(OR(INDEX($AG$2:$AG$1001,MATCH(ROWS($AF$2:AF462),$AF$2:$AF$1001,0),1)&gt;=100000,INDEX($AM$1005:$BM$1005,1,MATCH(COLUMNS($AM$1006:AW1006),$AM$1006:$BM$1006,0))&gt;=100000), " ",IF(INDEX($AM$2:$BM$1001,MATCH(ROWS($AF$2:AF462),$AF$2:$AF$1001,0),MATCH(COLUMNS($AM$1006:AW1006),$AM$1006:$BM$1006,0)), HYPERLINK("#",""), HYPERLINK(CONCATENATE("#metadata!", ADDRESS(INDEX($AH$2:$AH$1001,MATCH(ROWS($AF$2:AF462),$AF$2:$AF$1001,0),0), INDEX($AM$1004:$BM$1004,1,MATCH(COLUMNS($AM$1006:AW1006),$AM$1006:$BM$1006,0)))),"Fix")))</f>
        <v xml:space="preserve"> </v>
      </c>
      <c r="M462" s="4" t="str">
        <f ca="1">IF(OR(INDEX($AG$2:$AG$1001,MATCH(ROWS($AF$2:AF462),$AF$2:$AF$1001,0),1)&gt;=100000,INDEX($AM$1005:$BM$1005,1,MATCH(COLUMNS($AM$1006:AX1006),$AM$1006:$BM$1006,0))&gt;=100000), " ",IF(INDEX($AM$2:$BM$1001,MATCH(ROWS($AF$2:AF462),$AF$2:$AF$1001,0),MATCH(COLUMNS($AM$1006:AX1006),$AM$1006:$BM$1006,0)), HYPERLINK("#",""), HYPERLINK(CONCATENATE("#metadata!", ADDRESS(INDEX($AH$2:$AH$1001,MATCH(ROWS($AF$2:AF462),$AF$2:$AF$1001,0),0), INDEX($AM$1004:$BM$1004,1,MATCH(COLUMNS($AM$1006:AX1006),$AM$1006:$BM$1006,0)))),"Fix")))</f>
        <v xml:space="preserve"> </v>
      </c>
      <c r="N462" s="4" t="str">
        <f ca="1">IF(OR(INDEX($AG$2:$AG$1001,MATCH(ROWS($AF$2:AF462),$AF$2:$AF$1001,0),1)&gt;=100000,INDEX($AM$1005:$BM$1005,1,MATCH(COLUMNS($AM$1006:AY1006),$AM$1006:$BM$1006,0))&gt;=100000), " ",IF(INDEX($AM$2:$BM$1001,MATCH(ROWS($AF$2:AF462),$AF$2:$AF$1001,0),MATCH(COLUMNS($AM$1006:AY1006),$AM$1006:$BM$1006,0)), HYPERLINK("#",""), HYPERLINK(CONCATENATE("#metadata!", ADDRESS(INDEX($AH$2:$AH$1001,MATCH(ROWS($AF$2:AF462),$AF$2:$AF$1001,0),0), INDEX($AM$1004:$BM$1004,1,MATCH(COLUMNS($AM$1006:AY1006),$AM$1006:$BM$1006,0)))),"Fix")))</f>
        <v xml:space="preserve"> </v>
      </c>
      <c r="O462" s="4" t="str">
        <f ca="1">IF(OR(INDEX($AG$2:$AG$1001,MATCH(ROWS($AF$2:AF462),$AF$2:$AF$1001,0),1)&gt;=100000,INDEX($AM$1005:$BM$1005,1,MATCH(COLUMNS($AM$1006:AZ1006),$AM$1006:$BM$1006,0))&gt;=100000), " ",IF(INDEX($AM$2:$BM$1001,MATCH(ROWS($AF$2:AF462),$AF$2:$AF$1001,0),MATCH(COLUMNS($AM$1006:AZ1006),$AM$1006:$BM$1006,0)), HYPERLINK("#",""), HYPERLINK(CONCATENATE("#metadata!", ADDRESS(INDEX($AH$2:$AH$1001,MATCH(ROWS($AF$2:AF462),$AF$2:$AF$1001,0),0), INDEX($AM$1004:$BM$1004,1,MATCH(COLUMNS($AM$1006:AZ1006),$AM$1006:$BM$1006,0)))),"Fix")))</f>
        <v xml:space="preserve"> </v>
      </c>
      <c r="P462" s="4" t="str">
        <f ca="1">IF(OR(INDEX($AG$2:$AG$1001,MATCH(ROWS($AF$2:AF462),$AF$2:$AF$1001,0),1)&gt;=100000,INDEX($AM$1005:$BM$1005,1,MATCH(COLUMNS($AM$1006:BA1006),$AM$1006:$BM$1006,0))&gt;=100000), " ",IF(INDEX($AM$2:$BM$1001,MATCH(ROWS($AF$2:AF462),$AF$2:$AF$1001,0),MATCH(COLUMNS($AM$1006:BA1006),$AM$1006:$BM$1006,0)), HYPERLINK("#",""), HYPERLINK(CONCATENATE("#metadata!", ADDRESS(INDEX($AH$2:$AH$1001,MATCH(ROWS($AF$2:AF462),$AF$2:$AF$1001,0),0), INDEX($AM$1004:$BM$1004,1,MATCH(COLUMNS($AM$1006:BA1006),$AM$1006:$BM$1006,0)))),"Fix")))</f>
        <v xml:space="preserve"> </v>
      </c>
      <c r="Q462" s="4" t="str">
        <f ca="1">IF(OR(INDEX($AG$2:$AG$1001,MATCH(ROWS($AF$2:AF462),$AF$2:$AF$1001,0),1)&gt;=100000,INDEX($AM$1005:$BM$1005,1,MATCH(COLUMNS($AM$1006:BB1006),$AM$1006:$BM$1006,0))&gt;=100000), " ",IF(INDEX($AM$2:$BM$1001,MATCH(ROWS($AF$2:AF462),$AF$2:$AF$1001,0),MATCH(COLUMNS($AM$1006:BB1006),$AM$1006:$BM$1006,0)), HYPERLINK("#",""), HYPERLINK(CONCATENATE("#metadata!", ADDRESS(INDEX($AH$2:$AH$1001,MATCH(ROWS($AF$2:AF462),$AF$2:$AF$1001,0),0), INDEX($AM$1004:$BM$1004,1,MATCH(COLUMNS($AM$1006:BB1006),$AM$1006:$BM$1006,0)))),"Fix")))</f>
        <v xml:space="preserve"> </v>
      </c>
      <c r="R462" s="4" t="str">
        <f ca="1">IF(OR(INDEX($AG$2:$AG$1001,MATCH(ROWS($AF$2:AF462),$AF$2:$AF$1001,0),1)&gt;=100000,INDEX($AM$1005:$BM$1005,1,MATCH(COLUMNS($AM$1006:BC1006),$AM$1006:$BM$1006,0))&gt;=100000), " ",IF(INDEX($AM$2:$BM$1001,MATCH(ROWS($AF$2:AF462),$AF$2:$AF$1001,0),MATCH(COLUMNS($AM$1006:BC1006),$AM$1006:$BM$1006,0)), HYPERLINK("#",""), HYPERLINK(CONCATENATE("#metadata!", ADDRESS(INDEX($AH$2:$AH$1001,MATCH(ROWS($AF$2:AF462),$AF$2:$AF$1001,0),0), INDEX($AM$1004:$BM$1004,1,MATCH(COLUMNS($AM$1006:BC1006),$AM$1006:$BM$1006,0)))),"Fix")))</f>
        <v xml:space="preserve"> </v>
      </c>
      <c r="S462" s="4" t="str">
        <f ca="1">IF(OR(INDEX($AG$2:$AG$1001,MATCH(ROWS($AF$2:AF462),$AF$2:$AF$1001,0),1)&gt;=100000,INDEX($AM$1005:$BM$1005,1,MATCH(COLUMNS($AM$1006:BD1006),$AM$1006:$BM$1006,0))&gt;=100000), " ",IF(INDEX($AM$2:$BM$1001,MATCH(ROWS($AF$2:AF462),$AF$2:$AF$1001,0),MATCH(COLUMNS($AM$1006:BD1006),$AM$1006:$BM$1006,0)), HYPERLINK("#",""), HYPERLINK(CONCATENATE("#metadata!", ADDRESS(INDEX($AH$2:$AH$1001,MATCH(ROWS($AF$2:AF462),$AF$2:$AF$1001,0),0), INDEX($AM$1004:$BM$1004,1,MATCH(COLUMNS($AM$1006:BD1006),$AM$1006:$BM$1006,0)))),"Fix")))</f>
        <v xml:space="preserve"> </v>
      </c>
      <c r="T462" s="4" t="str">
        <f ca="1">IF(OR(INDEX($AG$2:$AG$1001,MATCH(ROWS($AF$2:AF462),$AF$2:$AF$1001,0),1)&gt;=100000,INDEX($AM$1005:$BM$1005,1,MATCH(COLUMNS($AM$1006:BE1006),$AM$1006:$BM$1006,0))&gt;=100000), " ",IF(INDEX($AM$2:$BM$1001,MATCH(ROWS($AF$2:AF462),$AF$2:$AF$1001,0),MATCH(COLUMNS($AM$1006:BE1006),$AM$1006:$BM$1006,0)), HYPERLINK("#",""), HYPERLINK(CONCATENATE("#metadata!", ADDRESS(INDEX($AH$2:$AH$1001,MATCH(ROWS($AF$2:AF462),$AF$2:$AF$1001,0),0), INDEX($AM$1004:$BM$1004,1,MATCH(COLUMNS($AM$1006:BE1006),$AM$1006:$BM$1006,0)))),"Fix")))</f>
        <v xml:space="preserve"> </v>
      </c>
      <c r="U462" s="4" t="str">
        <f ca="1">IF(OR(INDEX($AG$2:$AG$1001,MATCH(ROWS($AF$2:AF462),$AF$2:$AF$1001,0),1)&gt;=100000,INDEX($AM$1005:$BM$1005,1,MATCH(COLUMNS($AM$1006:BF1006),$AM$1006:$BM$1006,0))&gt;=100000), " ",IF(INDEX($AM$2:$BM$1001,MATCH(ROWS($AF$2:AF462),$AF$2:$AF$1001,0),MATCH(COLUMNS($AM$1006:BF1006),$AM$1006:$BM$1006,0)), HYPERLINK("#",""), HYPERLINK(CONCATENATE("#metadata!", ADDRESS(INDEX($AH$2:$AH$1001,MATCH(ROWS($AF$2:AF462),$AF$2:$AF$1001,0),0), INDEX($AM$1004:$BM$1004,1,MATCH(COLUMNS($AM$1006:BF1006),$AM$1006:$BM$1006,0)))),"Fix")))</f>
        <v xml:space="preserve"> </v>
      </c>
      <c r="V462" s="4" t="str">
        <f ca="1">IF(OR(INDEX($AG$2:$AG$1001,MATCH(ROWS($AF$2:AF462),$AF$2:$AF$1001,0),1)&gt;=100000,INDEX($AM$1005:$BM$1005,1,MATCH(COLUMNS($AM$1006:BG1006),$AM$1006:$BM$1006,0))&gt;=100000), " ",IF(INDEX($AM$2:$BM$1001,MATCH(ROWS($AF$2:AF462),$AF$2:$AF$1001,0),MATCH(COLUMNS($AM$1006:BG1006),$AM$1006:$BM$1006,0)), HYPERLINK("#",""), HYPERLINK(CONCATENATE("#metadata!", ADDRESS(INDEX($AH$2:$AH$1001,MATCH(ROWS($AF$2:AF462),$AF$2:$AF$1001,0),0), INDEX($AM$1004:$BM$1004,1,MATCH(COLUMNS($AM$1006:BG1006),$AM$1006:$BM$1006,0)))),"Fix")))</f>
        <v xml:space="preserve"> </v>
      </c>
      <c r="W462" s="4" t="str">
        <f ca="1">IF(OR(INDEX($AG$2:$AG$1001,MATCH(ROWS($AF$2:AF462),$AF$2:$AF$1001,0),1)&gt;=100000,INDEX($AM$1005:$BM$1005,1,MATCH(COLUMNS($AM$1006:BH1006),$AM$1006:$BM$1006,0))&gt;=100000), " ",IF(INDEX($AM$2:$BM$1001,MATCH(ROWS($AF$2:AF462),$AF$2:$AF$1001,0),MATCH(COLUMNS($AM$1006:BH1006),$AM$1006:$BM$1006,0)), HYPERLINK("#",""), HYPERLINK(CONCATENATE("#metadata!", ADDRESS(INDEX($AH$2:$AH$1001,MATCH(ROWS($AF$2:AF462),$AF$2:$AF$1001,0),0), INDEX($AM$1004:$BM$1004,1,MATCH(COLUMNS($AM$1006:BH1006),$AM$1006:$BM$1006,0)))),"Fix")))</f>
        <v xml:space="preserve"> </v>
      </c>
      <c r="X462" s="4" t="str">
        <f ca="1">IF(OR(INDEX($AG$2:$AG$1001,MATCH(ROWS($AF$2:AF462),$AF$2:$AF$1001,0),1)&gt;=100000,INDEX($AM$1005:$BM$1005,1,MATCH(COLUMNS($AM$1006:BI1006),$AM$1006:$BM$1006,0))&gt;=100000), " ",IF(INDEX($AM$2:$BM$1001,MATCH(ROWS($AF$2:AF462),$AF$2:$AF$1001,0),MATCH(COLUMNS($AM$1006:BI1006),$AM$1006:$BM$1006,0)), HYPERLINK("#",""), HYPERLINK(CONCATENATE("#metadata!", ADDRESS(INDEX($AH$2:$AH$1001,MATCH(ROWS($AF$2:AF462),$AF$2:$AF$1001,0),0), INDEX($AM$1004:$BM$1004,1,MATCH(COLUMNS($AM$1006:BI1006),$AM$1006:$BM$1006,0)))),"Fix")))</f>
        <v xml:space="preserve"> </v>
      </c>
      <c r="Y462" s="4" t="str">
        <f ca="1">IF(OR(INDEX($AG$2:$AG$1001,MATCH(ROWS($AF$2:AF462),$AF$2:$AF$1001,0),1)&gt;=100000,INDEX($AM$1005:$BM$1005,1,MATCH(COLUMNS($AM$1006:BJ1006),$AM$1006:$BM$1006,0))&gt;=100000), " ",IF(INDEX($AM$2:$BM$1001,MATCH(ROWS($AF$2:AF462),$AF$2:$AF$1001,0),MATCH(COLUMNS($AM$1006:BJ1006),$AM$1006:$BM$1006,0)), HYPERLINK("#",""), HYPERLINK(CONCATENATE("#metadata!", ADDRESS(INDEX($AH$2:$AH$1001,MATCH(ROWS($AF$2:AF462),$AF$2:$AF$1001,0),0), INDEX($AM$1004:$BM$1004,1,MATCH(COLUMNS($AM$1006:BJ1006),$AM$1006:$BM$1006,0)))),"Fix")))</f>
        <v xml:space="preserve"> </v>
      </c>
      <c r="Z462" s="4" t="str">
        <f ca="1">IF(OR(INDEX($AG$2:$AG$1001,MATCH(ROWS($AF$2:AF462),$AF$2:$AF$1001,0),1)&gt;=100000,INDEX($AM$1005:$BM$1005,1,MATCH(COLUMNS($AM$1006:BK1006),$AM$1006:$BM$1006,0))&gt;=100000), " ",IF(INDEX($AM$2:$BM$1001,MATCH(ROWS($AF$2:AF462),$AF$2:$AF$1001,0),MATCH(COLUMNS($AM$1006:BK1006),$AM$1006:$BM$1006,0)), HYPERLINK("#",""), HYPERLINK(CONCATENATE("#metadata!", ADDRESS(INDEX($AH$2:$AH$1001,MATCH(ROWS($AF$2:AF462),$AF$2:$AF$1001,0),0), INDEX($AM$1004:$BM$1004,1,MATCH(COLUMNS($AM$1006:BK1006),$AM$1006:$BM$1006,0)))),"Fix")))</f>
        <v xml:space="preserve"> </v>
      </c>
      <c r="AA462" s="4" t="str">
        <f ca="1">IF(OR(INDEX($AG$2:$AG$1001,MATCH(ROWS($AF$2:AF462),$AF$2:$AF$1001,0),1)&gt;=100000,INDEX($AM$1005:$BM$1005,1,MATCH(COLUMNS($AM$1006:BL1006),$AM$1006:$BM$1006,0))&gt;=100000), " ",IF(INDEX($AM$2:$BM$1001,MATCH(ROWS($AF$2:AF462),$AF$2:$AF$1001,0),MATCH(COLUMNS($AM$1006:BL1006),$AM$1006:$BM$1006,0)), HYPERLINK("#",""), HYPERLINK(CONCATENATE("#metadata!", ADDRESS(INDEX($AH$2:$AH$1001,MATCH(ROWS($AF$2:AF462),$AF$2:$AF$1001,0),0), INDEX($AM$1004:$BM$1004,1,MATCH(COLUMNS($AM$1006:BL1006),$AM$1006:$BM$1006,0)))),"Fix")))</f>
        <v xml:space="preserve"> </v>
      </c>
      <c r="AB462" s="4" t="str">
        <f ca="1">IF(OR(INDEX($AG$2:$AG$1001,MATCH(ROWS($AF$2:AF462),$AF$2:$AF$1001,0),1)&gt;=100000,INDEX($AM$1005:$BM$1005,1,MATCH(COLUMNS($AM$1006:BM1006),$AM$1006:$BM$1006,0))&gt;=100000), " ",IF(INDEX($AM$2:$BM$1001,MATCH(ROWS($AF$2:AF462),$AF$2:$AF$1001,0),MATCH(COLUMNS($AM$1006:BM1006),$AM$1006:$BM$1006,0)), HYPERLINK("#",""), HYPERLINK(CONCATENATE("#metadata!", ADDRESS(INDEX($AH$2:$AH$1001,MATCH(ROWS($AF$2:AF462),$AF$2:$AF$1001,0),0), INDEX($AM$1004:$BM$1004,1,MATCH(COLUMNS($AM$1006:BM1006),$AM$1006:$BM$1006,0)))),"Fix")))</f>
        <v xml:space="preserve"> </v>
      </c>
      <c r="AF462">
        <v>461</v>
      </c>
      <c r="AG462">
        <v>100462</v>
      </c>
      <c r="AH462">
        <v>462</v>
      </c>
      <c r="AI462" t="b">
        <f t="shared" si="7"/>
        <v>1</v>
      </c>
      <c r="AJ462" t="b">
        <f>COUNTBLANK(metadata!B462:AB462)=COLUMNS(metadata!B462:AB462)</f>
        <v>1</v>
      </c>
      <c r="AK462" t="str">
        <v/>
      </c>
      <c r="AM462" t="b">
        <f ca="1">AND(IF(metadata!B462="",FALSE,TRUE),COUNTIF(metadata!B:B, metadata!B462) = 1,NOT(ISERROR(SUMPRODUCT(SEARCH(MID(metadata!B462,ROW(INDIRECT("1:"&amp;LEN(metadata!B462))), 1),"0123456789abcdefghijklmnopqrstuvwxyzABCDEFGHIJKLMNOPQRSTUVWXYZ.")))))</f>
        <v>0</v>
      </c>
      <c r="AN462" t="b">
        <f ca="1">OR(AND(IF(metadata!C462="",FALSE,TRUE),OR(EXACT(metadata!C462,"missing: not collected"),EXACT(metadata!C462,"missing: not provided"),EXACT(metadata!C462,"missing: restricted access"))),AND(IF(metadata!C462="",FALSE,TRUE),AND(AND(IFERROR(INT(LEFT(metadata!C462,4))&gt;1900,FALSE),IFERROR(INT(LEFT(metadata!C462,4))&lt;=YEAR(NOW()),FALSE)), OR(MID(metadata!C462,5,1)="", AND(AND(MID(metadata!C462,5,1)="-",IFERROR(INT(MID(metadata!C462,6,1))&gt;=0,FALSE),IFERROR(INT(MID(metadata!C462,6,1))&lt;=1,FALSE),NOT(MID(metadata!C462,7,1)=""),IFERROR(INT(MID(metadata!C462,6,2))&gt;=1,FALSE),IFERROR(INT(MID(metadata!C462,6,2))&lt;=12,FALSE)), OR(MID(metadata!C462,8,1)="", AND(AND(MID(metadata!C462,8,1)="-",IFERROR(INT(MID(metadata!C462,9,1))&gt;=0,FALSE),IFERROR(INT(MID(metadata!C462,9,1))&lt;=3,FALSE),NOT(MID(metadata!C462,10,1)=""),IFERROR(INT(MID(metadata!C462,9,2))&gt;=1,FALSE),IFERROR(INT(MID(metadata!C462,9,2))&lt;=31,FALSE)), OR(MID(metadata!C462,11,1)="", AND(AND(MID(metadata!C462,11,1)=" ",IFERROR(INT(MID(metadata!C462,12,1))&gt;=0,FALSE),IFERROR(INT(MID(metadata!C462,12,1))&lt;=2,FALSE),NOT(MID(metadata!C462,13,1)=""),IFERROR(INT(MID(metadata!C462,12,2))&gt;=0,FALSE),IFERROR(INT(MID(metadata!C462,12,2))&lt;=23,FALSE)), OR(MID(metadata!C462,14,1)="", AND(AND(MID(metadata!C462,14,1)=":",IFERROR(INT(MID(metadata!C462,15,1))&gt;=0,FALSE),IFERROR(INT(MID(metadata!C462,15,1))&lt;=5,FALSE),NOT(MID(metadata!C462,16,1)=""),IFERROR(INT(MID(metadata!C462,15,2))&gt;=0,FALSE),IFERROR(INT(MID(metadata!C462,15,2))&lt;=59,FALSE)), OR(MID(metadata!C462,17,1)="", AND(AND(MID(metadata!C462,17,1)=":",IFERROR(INT(MID(metadata!C462,18,1))&gt;=0,FALSE),IFERROR(INT(MID(metadata!C462,18,1))&lt;=5,FALSE),NOT(MID(metadata!C462,19,1)=""),IFERROR(INT(MID(metadata!C462,18,2))&gt;=0,FALSE),IFERROR(INT(MID(metadata!C462,18,2))&lt;=59,FALSE)), LEN(metadata!C462)&lt;=19)))))))))))))</f>
        <v>0</v>
      </c>
      <c r="AO462" t="b">
        <f>AND(IF(metadata!D462="",FALSE,TRUE),EXACT(metadata!D462,"Not applicable"))</f>
        <v>0</v>
      </c>
      <c r="AP462" t="b">
        <f>IF(metadata!E462="",FALSE,TRUE)</f>
        <v>0</v>
      </c>
      <c r="AQ462" t="b">
        <f>OR(AND(IF(metadata!F462="",FALSE,TRUE),OR(EXACT(metadata!F462,"missing: not collected"),EXACT(metadata!F462,"missing: not provided"))),AND(IF(metadata!F462="",FALSE,TRUE),OR(EXACT(metadata!F462,"TRUE"),EXACT(metadata!F462,"FALSE"))))</f>
        <v>0</v>
      </c>
      <c r="AR462" t="b">
        <f>OR(AND(IF(metadata!G462="",FALSE,TRUE),OR(EXACT(metadata!G462,"missing: not collected"),EXACT(metadata!G462,"missing: not provided"),EXACT(metadata!G462,"missing: restricted access"))),AND(IF(metadata!G462="",FALSE,ISNUMBER(VALUE(metadata!G462))),metadata!G462&gt;=-413))</f>
        <v>0</v>
      </c>
      <c r="AS462" t="b">
        <f>AND(IF(metadata!H462="",FALSE,TRUE),EXACT(metadata!H462,"meters"))</f>
        <v>0</v>
      </c>
      <c r="AT462" t="b">
        <f>AND(IF(metadata!I462="",FALSE,TRUE),OR(EXACT(metadata!I462,"Host-associated"),EXACT(metadata!I462,"Free-living")))</f>
        <v>0</v>
      </c>
      <c r="AU462" t="b">
        <f>AND(IF(metadata!J462="",FALSE,TRUE),OR(EXACT(metadata!J462,"Animal"),EXACT(metadata!J462,"Fungus"),EXACT(metadata!J462,"Plant"),EXACT(metadata!J462,"Saline"),EXACT(metadata!J462,"Non-saline")))</f>
        <v>0</v>
      </c>
      <c r="AV462" t="b">
        <f>AND(IF(metadata!K462="",FALSE,TRUE),OR(EXACT(metadata!K462,"Plant secretion"),EXACT(metadata!K462,"Plant rhizosphere"),EXACT(metadata!K462,"Plant surface"),EXACT(metadata!K462,"Plant corpus"),EXACT(metadata!K462,"Fungus surface"),EXACT(metadata!K462,"Fungus corpus"),EXACT(metadata!K462,"Animal surface"),EXACT(metadata!K462,"Animal proximal gut"),EXACT(metadata!K462,"Animal corpus"),EXACT(metadata!K462,"Animal distal gut"),EXACT(metadata!K462,"Animal secretion"),EXACT(metadata!K462,"Sub-surface (non-saline)"),EXACT(metadata!K462,"Surface (non-saline)"),EXACT(metadata!K462,"Water (non-saline)"),EXACT(metadata!K462,"Soil (non-saline)"),EXACT(metadata!K462,"Aerosol (non-saline)"),EXACT(metadata!K462,"Sediment (non-saline)"),EXACT(metadata!K462,"Surface (saline)"),EXACT(metadata!K462,"Water (saline)"),EXACT(metadata!K462,"Hypersaline (saline)"),EXACT(metadata!K462,"Aerosol (saline)"),EXACT(metadata!K462,"Sediment (saline)")))</f>
        <v>0</v>
      </c>
      <c r="AW462" t="b">
        <f>IF(metadata!L462="",FALSE,TRUE)</f>
        <v>0</v>
      </c>
      <c r="AX462" t="b">
        <f>IF(metadata!M462="",FALSE,TRUE)</f>
        <v>0</v>
      </c>
      <c r="AY462" t="b">
        <f>IF(metadata!N462="",FALSE,TRUE)</f>
        <v>0</v>
      </c>
      <c r="AZ462" t="b">
        <f>OR(AND(IF(metadata!O462="",FALSE,TRUE),OR(EXACT(metadata!O462,"missing: not collected"),EXACT(metadata!O462,"missing: not provided"),EXACT(metadata!O462,"missing: restricted access"))),AND(IF(metadata!O462="",FALSE,TRUE),OR(EXACT(metadata!O462,"air"),EXACT(metadata!O462,"built environment"),EXACT(metadata!O462,"host-associated"),EXACT(metadata!O462,"human-associated"),EXACT(metadata!O462,"human-skin"),EXACT(metadata!O462,"human-oral"),EXACT(metadata!O462,"human-gut"),EXACT(metadata!O462,"human-vaginal"),EXACT(metadata!O462,"microbial mat/biofilm"),EXACT(metadata!O462,"misc environment"),EXACT(metadata!O462,"plant-associated"),EXACT(metadata!O462,"sediment"),EXACT(metadata!O462,"soil"),EXACT(metadata!O462,"wastewater/sludge"),EXACT(metadata!O462,"water"))))</f>
        <v>0</v>
      </c>
      <c r="BA462" t="b">
        <f>IF(metadata!P462="",FALSE,TRUE)</f>
        <v>0</v>
      </c>
      <c r="BB462" t="b">
        <f>IF(metadata!Q462="",FALSE,TRUE)</f>
        <v>0</v>
      </c>
      <c r="BC462" t="b">
        <f>OR(AND(IF(metadata!R462="",FALSE,TRUE),OR(EXACT(metadata!R462,"missing: not collected"),EXACT(metadata!R462,"missing: not provided"),EXACT(metadata!R462,"missing: restricted access"))),AND(IF(metadata!R462="",FALSE,ISNUMBER(VALUE(metadata!R462))),metadata!R462&gt;=-90,metadata!R462&lt;=90))</f>
        <v>0</v>
      </c>
      <c r="BD462" t="b">
        <f>AND(IF(metadata!S462="",FALSE,TRUE),EXACT(metadata!S462,"Decimal degrees"))</f>
        <v>0</v>
      </c>
      <c r="BE462" t="b">
        <f>OR(AND(IF(metadata!T462="",FALSE,TRUE),OR(EXACT(metadata!T462,"missing: not collected"),EXACT(metadata!T462,"missing: not provided"),EXACT(metadata!T462,"missing: restricted access"))),AND(IF(metadata!T462="",FALSE,ISNUMBER(VALUE(metadata!T462))),metadata!T462&gt;=-180,metadata!T462&lt;=180))</f>
        <v>0</v>
      </c>
      <c r="BF462" t="b">
        <f>AND(IF(metadata!U462="",FALSE,TRUE),EXACT(metadata!U462,"Decimal degrees"))</f>
        <v>0</v>
      </c>
      <c r="BG462" t="b">
        <f>IF(metadata!V462="",FALSE,TRUE)</f>
        <v>0</v>
      </c>
      <c r="BH462" t="b">
        <f>OR(AND(IF(metadata!W462="",FALSE,TRUE),OR(EXACT(metadata!W462,"missing: not collected"),EXACT(metadata!W462,"missing: not provided"),EXACT(metadata!W462,"missing: restricted access"))),AND(IF(metadata!W462="",FALSE,TRUE),OR(EXACT(metadata!W462,"TRUE"),EXACT(metadata!W462,"FALSE"))))</f>
        <v>0</v>
      </c>
      <c r="BI462" t="b">
        <f>AND(IF(metadata!X462="",FALSE,TRUE),EXACT(metadata!X462,"other"))</f>
        <v>0</v>
      </c>
      <c r="BJ462" t="b">
        <f>IF(metadata!Y462="",FALSE,TRUE)</f>
        <v>0</v>
      </c>
      <c r="BK462" t="b">
        <f>OR(AND(IF(metadata!Z462="",FALSE,TRUE),OR(EXACT(metadata!Z462,"missing: not collected"),EXACT(metadata!Z462,"missing: not provided"))),AND(IF(metadata!Z462="",FALSE,IF(ISERROR(INT(metadata!Z462)),FALSE,INT(metadata!Z462)=metadata!Z462)),metadata!Z462&gt;0))</f>
        <v>0</v>
      </c>
      <c r="BL462" t="b">
        <f>AND(IF(metadata!AA462="",FALSE,TRUE),EXACT(metadata!AA462,"Not applicable"))</f>
        <v>0</v>
      </c>
      <c r="BM462" t="b">
        <f>IF(metadata!AB462="",FALSE,TRUE)</f>
        <v>0</v>
      </c>
    </row>
    <row r="463" spans="1:65" x14ac:dyDescent="0.2">
      <c r="A463" s="5" t="str">
        <f ca="1">IF(B463=" "," ",HYPERLINK(CONCATENATE("#metadata!",ADDRESS(INDEX($AH$2:$AH$1001,MATCH(ROWS($AF$2:AF463),$AF$2:$AF$1001,0),0),1)),INDEX($AK$2:$AK$1001,MATCH(ROWS($AF$2:AF463),$AF$2:$AF$1001,0),0)))</f>
        <v xml:space="preserve"> </v>
      </c>
      <c r="B463" s="4" t="str">
        <f ca="1">IF(OR(INDEX($AG$2:$AG$1001,MATCH(ROWS($AF$2:AF463),$AF$2:$AF$1001,0),1)&gt;=100000,INDEX($AM$1005:$BM$1005,1,MATCH(COLUMNS($AM$1006:AM1006),$AM$1006:$BM$1006,0))&gt;=100000), " ",IF(INDEX($AM$2:$BM$1001,MATCH(ROWS($AF$2:AF463),$AF$2:$AF$1001,0),MATCH(COLUMNS($AM$1006:AM1006),$AM$1006:$BM$1006,0)), HYPERLINK("#",""), HYPERLINK(CONCATENATE("#metadata!", ADDRESS(INDEX($AH$2:$AH$1001,MATCH(ROWS($AF$2:AF463),$AF$2:$AF$1001,0),0), INDEX($AM$1004:$BM$1004,1,MATCH(COLUMNS($AM$1006:AM1006),$AM$1006:$BM$1006,0)))),"Fix")))</f>
        <v xml:space="preserve"> </v>
      </c>
      <c r="C463" s="4" t="str">
        <f ca="1">IF(OR(INDEX($AG$2:$AG$1001,MATCH(ROWS($AF$2:AF463),$AF$2:$AF$1001,0),1)&gt;=100000,INDEX($AM$1005:$BM$1005,1,MATCH(COLUMNS($AM$1006:AN1006),$AM$1006:$BM$1006,0))&gt;=100000), " ",IF(INDEX($AM$2:$BM$1001,MATCH(ROWS($AF$2:AF463),$AF$2:$AF$1001,0),MATCH(COLUMNS($AM$1006:AN1006),$AM$1006:$BM$1006,0)), HYPERLINK("#",""), HYPERLINK(CONCATENATE("#metadata!", ADDRESS(INDEX($AH$2:$AH$1001,MATCH(ROWS($AF$2:AF463),$AF$2:$AF$1001,0),0), INDEX($AM$1004:$BM$1004,1,MATCH(COLUMNS($AM$1006:AN1006),$AM$1006:$BM$1006,0)))),"Fix")))</f>
        <v xml:space="preserve"> </v>
      </c>
      <c r="D463" s="4" t="str">
        <f ca="1">IF(OR(INDEX($AG$2:$AG$1001,MATCH(ROWS($AF$2:AF463),$AF$2:$AF$1001,0),1)&gt;=100000,INDEX($AM$1005:$BM$1005,1,MATCH(COLUMNS($AM$1006:AO1006),$AM$1006:$BM$1006,0))&gt;=100000), " ",IF(INDEX($AM$2:$BM$1001,MATCH(ROWS($AF$2:AF463),$AF$2:$AF$1001,0),MATCH(COLUMNS($AM$1006:AO1006),$AM$1006:$BM$1006,0)), HYPERLINK("#",""), HYPERLINK(CONCATENATE("#metadata!", ADDRESS(INDEX($AH$2:$AH$1001,MATCH(ROWS($AF$2:AF463),$AF$2:$AF$1001,0),0), INDEX($AM$1004:$BM$1004,1,MATCH(COLUMNS($AM$1006:AO1006),$AM$1006:$BM$1006,0)))),"Fix")))</f>
        <v xml:space="preserve"> </v>
      </c>
      <c r="E463" s="4" t="str">
        <f ca="1">IF(OR(INDEX($AG$2:$AG$1001,MATCH(ROWS($AF$2:AF463),$AF$2:$AF$1001,0),1)&gt;=100000,INDEX($AM$1005:$BM$1005,1,MATCH(COLUMNS($AM$1006:AP1006),$AM$1006:$BM$1006,0))&gt;=100000), " ",IF(INDEX($AM$2:$BM$1001,MATCH(ROWS($AF$2:AF463),$AF$2:$AF$1001,0),MATCH(COLUMNS($AM$1006:AP1006),$AM$1006:$BM$1006,0)), HYPERLINK("#",""), HYPERLINK(CONCATENATE("#metadata!", ADDRESS(INDEX($AH$2:$AH$1001,MATCH(ROWS($AF$2:AF463),$AF$2:$AF$1001,0),0), INDEX($AM$1004:$BM$1004,1,MATCH(COLUMNS($AM$1006:AP1006),$AM$1006:$BM$1006,0)))),"Fix")))</f>
        <v xml:space="preserve"> </v>
      </c>
      <c r="F463" s="4" t="str">
        <f ca="1">IF(OR(INDEX($AG$2:$AG$1001,MATCH(ROWS($AF$2:AF463),$AF$2:$AF$1001,0),1)&gt;=100000,INDEX($AM$1005:$BM$1005,1,MATCH(COLUMNS($AM$1006:AQ1006),$AM$1006:$BM$1006,0))&gt;=100000), " ",IF(INDEX($AM$2:$BM$1001,MATCH(ROWS($AF$2:AF463),$AF$2:$AF$1001,0),MATCH(COLUMNS($AM$1006:AQ1006),$AM$1006:$BM$1006,0)), HYPERLINK("#",""), HYPERLINK(CONCATENATE("#metadata!", ADDRESS(INDEX($AH$2:$AH$1001,MATCH(ROWS($AF$2:AF463),$AF$2:$AF$1001,0),0), INDEX($AM$1004:$BM$1004,1,MATCH(COLUMNS($AM$1006:AQ1006),$AM$1006:$BM$1006,0)))),"Fix")))</f>
        <v xml:space="preserve"> </v>
      </c>
      <c r="G463" s="4" t="str">
        <f ca="1">IF(OR(INDEX($AG$2:$AG$1001,MATCH(ROWS($AF$2:AF463),$AF$2:$AF$1001,0),1)&gt;=100000,INDEX($AM$1005:$BM$1005,1,MATCH(COLUMNS($AM$1006:AR1006),$AM$1006:$BM$1006,0))&gt;=100000), " ",IF(INDEX($AM$2:$BM$1001,MATCH(ROWS($AF$2:AF463),$AF$2:$AF$1001,0),MATCH(COLUMNS($AM$1006:AR1006),$AM$1006:$BM$1006,0)), HYPERLINK("#",""), HYPERLINK(CONCATENATE("#metadata!", ADDRESS(INDEX($AH$2:$AH$1001,MATCH(ROWS($AF$2:AF463),$AF$2:$AF$1001,0),0), INDEX($AM$1004:$BM$1004,1,MATCH(COLUMNS($AM$1006:AR1006),$AM$1006:$BM$1006,0)))),"Fix")))</f>
        <v xml:space="preserve"> </v>
      </c>
      <c r="H463" s="4" t="str">
        <f ca="1">IF(OR(INDEX($AG$2:$AG$1001,MATCH(ROWS($AF$2:AF463),$AF$2:$AF$1001,0),1)&gt;=100000,INDEX($AM$1005:$BM$1005,1,MATCH(COLUMNS($AM$1006:AS1006),$AM$1006:$BM$1006,0))&gt;=100000), " ",IF(INDEX($AM$2:$BM$1001,MATCH(ROWS($AF$2:AF463),$AF$2:$AF$1001,0),MATCH(COLUMNS($AM$1006:AS1006),$AM$1006:$BM$1006,0)), HYPERLINK("#",""), HYPERLINK(CONCATENATE("#metadata!", ADDRESS(INDEX($AH$2:$AH$1001,MATCH(ROWS($AF$2:AF463),$AF$2:$AF$1001,0),0), INDEX($AM$1004:$BM$1004,1,MATCH(COLUMNS($AM$1006:AS1006),$AM$1006:$BM$1006,0)))),"Fix")))</f>
        <v xml:space="preserve"> </v>
      </c>
      <c r="I463" s="4" t="str">
        <f ca="1">IF(OR(INDEX($AG$2:$AG$1001,MATCH(ROWS($AF$2:AF463),$AF$2:$AF$1001,0),1)&gt;=100000,INDEX($AM$1005:$BM$1005,1,MATCH(COLUMNS($AM$1006:AT1006),$AM$1006:$BM$1006,0))&gt;=100000), " ",IF(INDEX($AM$2:$BM$1001,MATCH(ROWS($AF$2:AF463),$AF$2:$AF$1001,0),MATCH(COLUMNS($AM$1006:AT1006),$AM$1006:$BM$1006,0)), HYPERLINK("#",""), HYPERLINK(CONCATENATE("#metadata!", ADDRESS(INDEX($AH$2:$AH$1001,MATCH(ROWS($AF$2:AF463),$AF$2:$AF$1001,0),0), INDEX($AM$1004:$BM$1004,1,MATCH(COLUMNS($AM$1006:AT1006),$AM$1006:$BM$1006,0)))),"Fix")))</f>
        <v xml:space="preserve"> </v>
      </c>
      <c r="J463" s="4" t="str">
        <f ca="1">IF(OR(INDEX($AG$2:$AG$1001,MATCH(ROWS($AF$2:AF463),$AF$2:$AF$1001,0),1)&gt;=100000,INDEX($AM$1005:$BM$1005,1,MATCH(COLUMNS($AM$1006:AU1006),$AM$1006:$BM$1006,0))&gt;=100000), " ",IF(INDEX($AM$2:$BM$1001,MATCH(ROWS($AF$2:AF463),$AF$2:$AF$1001,0),MATCH(COLUMNS($AM$1006:AU1006),$AM$1006:$BM$1006,0)), HYPERLINK("#",""), HYPERLINK(CONCATENATE("#metadata!", ADDRESS(INDEX($AH$2:$AH$1001,MATCH(ROWS($AF$2:AF463),$AF$2:$AF$1001,0),0), INDEX($AM$1004:$BM$1004,1,MATCH(COLUMNS($AM$1006:AU1006),$AM$1006:$BM$1006,0)))),"Fix")))</f>
        <v xml:space="preserve"> </v>
      </c>
      <c r="K463" s="4" t="str">
        <f ca="1">IF(OR(INDEX($AG$2:$AG$1001,MATCH(ROWS($AF$2:AF463),$AF$2:$AF$1001,0),1)&gt;=100000,INDEX($AM$1005:$BM$1005,1,MATCH(COLUMNS($AM$1006:AV1006),$AM$1006:$BM$1006,0))&gt;=100000), " ",IF(INDEX($AM$2:$BM$1001,MATCH(ROWS($AF$2:AF463),$AF$2:$AF$1001,0),MATCH(COLUMNS($AM$1006:AV1006),$AM$1006:$BM$1006,0)), HYPERLINK("#",""), HYPERLINK(CONCATENATE("#metadata!", ADDRESS(INDEX($AH$2:$AH$1001,MATCH(ROWS($AF$2:AF463),$AF$2:$AF$1001,0),0), INDEX($AM$1004:$BM$1004,1,MATCH(COLUMNS($AM$1006:AV1006),$AM$1006:$BM$1006,0)))),"Fix")))</f>
        <v xml:space="preserve"> </v>
      </c>
      <c r="L463" s="4" t="str">
        <f ca="1">IF(OR(INDEX($AG$2:$AG$1001,MATCH(ROWS($AF$2:AF463),$AF$2:$AF$1001,0),1)&gt;=100000,INDEX($AM$1005:$BM$1005,1,MATCH(COLUMNS($AM$1006:AW1006),$AM$1006:$BM$1006,0))&gt;=100000), " ",IF(INDEX($AM$2:$BM$1001,MATCH(ROWS($AF$2:AF463),$AF$2:$AF$1001,0),MATCH(COLUMNS($AM$1006:AW1006),$AM$1006:$BM$1006,0)), HYPERLINK("#",""), HYPERLINK(CONCATENATE("#metadata!", ADDRESS(INDEX($AH$2:$AH$1001,MATCH(ROWS($AF$2:AF463),$AF$2:$AF$1001,0),0), INDEX($AM$1004:$BM$1004,1,MATCH(COLUMNS($AM$1006:AW1006),$AM$1006:$BM$1006,0)))),"Fix")))</f>
        <v xml:space="preserve"> </v>
      </c>
      <c r="M463" s="4" t="str">
        <f ca="1">IF(OR(INDEX($AG$2:$AG$1001,MATCH(ROWS($AF$2:AF463),$AF$2:$AF$1001,0),1)&gt;=100000,INDEX($AM$1005:$BM$1005,1,MATCH(COLUMNS($AM$1006:AX1006),$AM$1006:$BM$1006,0))&gt;=100000), " ",IF(INDEX($AM$2:$BM$1001,MATCH(ROWS($AF$2:AF463),$AF$2:$AF$1001,0),MATCH(COLUMNS($AM$1006:AX1006),$AM$1006:$BM$1006,0)), HYPERLINK("#",""), HYPERLINK(CONCATENATE("#metadata!", ADDRESS(INDEX($AH$2:$AH$1001,MATCH(ROWS($AF$2:AF463),$AF$2:$AF$1001,0),0), INDEX($AM$1004:$BM$1004,1,MATCH(COLUMNS($AM$1006:AX1006),$AM$1006:$BM$1006,0)))),"Fix")))</f>
        <v xml:space="preserve"> </v>
      </c>
      <c r="N463" s="4" t="str">
        <f ca="1">IF(OR(INDEX($AG$2:$AG$1001,MATCH(ROWS($AF$2:AF463),$AF$2:$AF$1001,0),1)&gt;=100000,INDEX($AM$1005:$BM$1005,1,MATCH(COLUMNS($AM$1006:AY1006),$AM$1006:$BM$1006,0))&gt;=100000), " ",IF(INDEX($AM$2:$BM$1001,MATCH(ROWS($AF$2:AF463),$AF$2:$AF$1001,0),MATCH(COLUMNS($AM$1006:AY1006),$AM$1006:$BM$1006,0)), HYPERLINK("#",""), HYPERLINK(CONCATENATE("#metadata!", ADDRESS(INDEX($AH$2:$AH$1001,MATCH(ROWS($AF$2:AF463),$AF$2:$AF$1001,0),0), INDEX($AM$1004:$BM$1004,1,MATCH(COLUMNS($AM$1006:AY1006),$AM$1006:$BM$1006,0)))),"Fix")))</f>
        <v xml:space="preserve"> </v>
      </c>
      <c r="O463" s="4" t="str">
        <f ca="1">IF(OR(INDEX($AG$2:$AG$1001,MATCH(ROWS($AF$2:AF463),$AF$2:$AF$1001,0),1)&gt;=100000,INDEX($AM$1005:$BM$1005,1,MATCH(COLUMNS($AM$1006:AZ1006),$AM$1006:$BM$1006,0))&gt;=100000), " ",IF(INDEX($AM$2:$BM$1001,MATCH(ROWS($AF$2:AF463),$AF$2:$AF$1001,0),MATCH(COLUMNS($AM$1006:AZ1006),$AM$1006:$BM$1006,0)), HYPERLINK("#",""), HYPERLINK(CONCATENATE("#metadata!", ADDRESS(INDEX($AH$2:$AH$1001,MATCH(ROWS($AF$2:AF463),$AF$2:$AF$1001,0),0), INDEX($AM$1004:$BM$1004,1,MATCH(COLUMNS($AM$1006:AZ1006),$AM$1006:$BM$1006,0)))),"Fix")))</f>
        <v xml:space="preserve"> </v>
      </c>
      <c r="P463" s="4" t="str">
        <f ca="1">IF(OR(INDEX($AG$2:$AG$1001,MATCH(ROWS($AF$2:AF463),$AF$2:$AF$1001,0),1)&gt;=100000,INDEX($AM$1005:$BM$1005,1,MATCH(COLUMNS($AM$1006:BA1006),$AM$1006:$BM$1006,0))&gt;=100000), " ",IF(INDEX($AM$2:$BM$1001,MATCH(ROWS($AF$2:AF463),$AF$2:$AF$1001,0),MATCH(COLUMNS($AM$1006:BA1006),$AM$1006:$BM$1006,0)), HYPERLINK("#",""), HYPERLINK(CONCATENATE("#metadata!", ADDRESS(INDEX($AH$2:$AH$1001,MATCH(ROWS($AF$2:AF463),$AF$2:$AF$1001,0),0), INDEX($AM$1004:$BM$1004,1,MATCH(COLUMNS($AM$1006:BA1006),$AM$1006:$BM$1006,0)))),"Fix")))</f>
        <v xml:space="preserve"> </v>
      </c>
      <c r="Q463" s="4" t="str">
        <f ca="1">IF(OR(INDEX($AG$2:$AG$1001,MATCH(ROWS($AF$2:AF463),$AF$2:$AF$1001,0),1)&gt;=100000,INDEX($AM$1005:$BM$1005,1,MATCH(COLUMNS($AM$1006:BB1006),$AM$1006:$BM$1006,0))&gt;=100000), " ",IF(INDEX($AM$2:$BM$1001,MATCH(ROWS($AF$2:AF463),$AF$2:$AF$1001,0),MATCH(COLUMNS($AM$1006:BB1006),$AM$1006:$BM$1006,0)), HYPERLINK("#",""), HYPERLINK(CONCATENATE("#metadata!", ADDRESS(INDEX($AH$2:$AH$1001,MATCH(ROWS($AF$2:AF463),$AF$2:$AF$1001,0),0), INDEX($AM$1004:$BM$1004,1,MATCH(COLUMNS($AM$1006:BB1006),$AM$1006:$BM$1006,0)))),"Fix")))</f>
        <v xml:space="preserve"> </v>
      </c>
      <c r="R463" s="4" t="str">
        <f ca="1">IF(OR(INDEX($AG$2:$AG$1001,MATCH(ROWS($AF$2:AF463),$AF$2:$AF$1001,0),1)&gt;=100000,INDEX($AM$1005:$BM$1005,1,MATCH(COLUMNS($AM$1006:BC1006),$AM$1006:$BM$1006,0))&gt;=100000), " ",IF(INDEX($AM$2:$BM$1001,MATCH(ROWS($AF$2:AF463),$AF$2:$AF$1001,0),MATCH(COLUMNS($AM$1006:BC1006),$AM$1006:$BM$1006,0)), HYPERLINK("#",""), HYPERLINK(CONCATENATE("#metadata!", ADDRESS(INDEX($AH$2:$AH$1001,MATCH(ROWS($AF$2:AF463),$AF$2:$AF$1001,0),0), INDEX($AM$1004:$BM$1004,1,MATCH(COLUMNS($AM$1006:BC1006),$AM$1006:$BM$1006,0)))),"Fix")))</f>
        <v xml:space="preserve"> </v>
      </c>
      <c r="S463" s="4" t="str">
        <f ca="1">IF(OR(INDEX($AG$2:$AG$1001,MATCH(ROWS($AF$2:AF463),$AF$2:$AF$1001,0),1)&gt;=100000,INDEX($AM$1005:$BM$1005,1,MATCH(COLUMNS($AM$1006:BD1006),$AM$1006:$BM$1006,0))&gt;=100000), " ",IF(INDEX($AM$2:$BM$1001,MATCH(ROWS($AF$2:AF463),$AF$2:$AF$1001,0),MATCH(COLUMNS($AM$1006:BD1006),$AM$1006:$BM$1006,0)), HYPERLINK("#",""), HYPERLINK(CONCATENATE("#metadata!", ADDRESS(INDEX($AH$2:$AH$1001,MATCH(ROWS($AF$2:AF463),$AF$2:$AF$1001,0),0), INDEX($AM$1004:$BM$1004,1,MATCH(COLUMNS($AM$1006:BD1006),$AM$1006:$BM$1006,0)))),"Fix")))</f>
        <v xml:space="preserve"> </v>
      </c>
      <c r="T463" s="4" t="str">
        <f ca="1">IF(OR(INDEX($AG$2:$AG$1001,MATCH(ROWS($AF$2:AF463),$AF$2:$AF$1001,0),1)&gt;=100000,INDEX($AM$1005:$BM$1005,1,MATCH(COLUMNS($AM$1006:BE1006),$AM$1006:$BM$1006,0))&gt;=100000), " ",IF(INDEX($AM$2:$BM$1001,MATCH(ROWS($AF$2:AF463),$AF$2:$AF$1001,0),MATCH(COLUMNS($AM$1006:BE1006),$AM$1006:$BM$1006,0)), HYPERLINK("#",""), HYPERLINK(CONCATENATE("#metadata!", ADDRESS(INDEX($AH$2:$AH$1001,MATCH(ROWS($AF$2:AF463),$AF$2:$AF$1001,0),0), INDEX($AM$1004:$BM$1004,1,MATCH(COLUMNS($AM$1006:BE1006),$AM$1006:$BM$1006,0)))),"Fix")))</f>
        <v xml:space="preserve"> </v>
      </c>
      <c r="U463" s="4" t="str">
        <f ca="1">IF(OR(INDEX($AG$2:$AG$1001,MATCH(ROWS($AF$2:AF463),$AF$2:$AF$1001,0),1)&gt;=100000,INDEX($AM$1005:$BM$1005,1,MATCH(COLUMNS($AM$1006:BF1006),$AM$1006:$BM$1006,0))&gt;=100000), " ",IF(INDEX($AM$2:$BM$1001,MATCH(ROWS($AF$2:AF463),$AF$2:$AF$1001,0),MATCH(COLUMNS($AM$1006:BF1006),$AM$1006:$BM$1006,0)), HYPERLINK("#",""), HYPERLINK(CONCATENATE("#metadata!", ADDRESS(INDEX($AH$2:$AH$1001,MATCH(ROWS($AF$2:AF463),$AF$2:$AF$1001,0),0), INDEX($AM$1004:$BM$1004,1,MATCH(COLUMNS($AM$1006:BF1006),$AM$1006:$BM$1006,0)))),"Fix")))</f>
        <v xml:space="preserve"> </v>
      </c>
      <c r="V463" s="4" t="str">
        <f ca="1">IF(OR(INDEX($AG$2:$AG$1001,MATCH(ROWS($AF$2:AF463),$AF$2:$AF$1001,0),1)&gt;=100000,INDEX($AM$1005:$BM$1005,1,MATCH(COLUMNS($AM$1006:BG1006),$AM$1006:$BM$1006,0))&gt;=100000), " ",IF(INDEX($AM$2:$BM$1001,MATCH(ROWS($AF$2:AF463),$AF$2:$AF$1001,0),MATCH(COLUMNS($AM$1006:BG1006),$AM$1006:$BM$1006,0)), HYPERLINK("#",""), HYPERLINK(CONCATENATE("#metadata!", ADDRESS(INDEX($AH$2:$AH$1001,MATCH(ROWS($AF$2:AF463),$AF$2:$AF$1001,0),0), INDEX($AM$1004:$BM$1004,1,MATCH(COLUMNS($AM$1006:BG1006),$AM$1006:$BM$1006,0)))),"Fix")))</f>
        <v xml:space="preserve"> </v>
      </c>
      <c r="W463" s="4" t="str">
        <f ca="1">IF(OR(INDEX($AG$2:$AG$1001,MATCH(ROWS($AF$2:AF463),$AF$2:$AF$1001,0),1)&gt;=100000,INDEX($AM$1005:$BM$1005,1,MATCH(COLUMNS($AM$1006:BH1006),$AM$1006:$BM$1006,0))&gt;=100000), " ",IF(INDEX($AM$2:$BM$1001,MATCH(ROWS($AF$2:AF463),$AF$2:$AF$1001,0),MATCH(COLUMNS($AM$1006:BH1006),$AM$1006:$BM$1006,0)), HYPERLINK("#",""), HYPERLINK(CONCATENATE("#metadata!", ADDRESS(INDEX($AH$2:$AH$1001,MATCH(ROWS($AF$2:AF463),$AF$2:$AF$1001,0),0), INDEX($AM$1004:$BM$1004,1,MATCH(COLUMNS($AM$1006:BH1006),$AM$1006:$BM$1006,0)))),"Fix")))</f>
        <v xml:space="preserve"> </v>
      </c>
      <c r="X463" s="4" t="str">
        <f ca="1">IF(OR(INDEX($AG$2:$AG$1001,MATCH(ROWS($AF$2:AF463),$AF$2:$AF$1001,0),1)&gt;=100000,INDEX($AM$1005:$BM$1005,1,MATCH(COLUMNS($AM$1006:BI1006),$AM$1006:$BM$1006,0))&gt;=100000), " ",IF(INDEX($AM$2:$BM$1001,MATCH(ROWS($AF$2:AF463),$AF$2:$AF$1001,0),MATCH(COLUMNS($AM$1006:BI1006),$AM$1006:$BM$1006,0)), HYPERLINK("#",""), HYPERLINK(CONCATENATE("#metadata!", ADDRESS(INDEX($AH$2:$AH$1001,MATCH(ROWS($AF$2:AF463),$AF$2:$AF$1001,0),0), INDEX($AM$1004:$BM$1004,1,MATCH(COLUMNS($AM$1006:BI1006),$AM$1006:$BM$1006,0)))),"Fix")))</f>
        <v xml:space="preserve"> </v>
      </c>
      <c r="Y463" s="4" t="str">
        <f ca="1">IF(OR(INDEX($AG$2:$AG$1001,MATCH(ROWS($AF$2:AF463),$AF$2:$AF$1001,0),1)&gt;=100000,INDEX($AM$1005:$BM$1005,1,MATCH(COLUMNS($AM$1006:BJ1006),$AM$1006:$BM$1006,0))&gt;=100000), " ",IF(INDEX($AM$2:$BM$1001,MATCH(ROWS($AF$2:AF463),$AF$2:$AF$1001,0),MATCH(COLUMNS($AM$1006:BJ1006),$AM$1006:$BM$1006,0)), HYPERLINK("#",""), HYPERLINK(CONCATENATE("#metadata!", ADDRESS(INDEX($AH$2:$AH$1001,MATCH(ROWS($AF$2:AF463),$AF$2:$AF$1001,0),0), INDEX($AM$1004:$BM$1004,1,MATCH(COLUMNS($AM$1006:BJ1006),$AM$1006:$BM$1006,0)))),"Fix")))</f>
        <v xml:space="preserve"> </v>
      </c>
      <c r="Z463" s="4" t="str">
        <f ca="1">IF(OR(INDEX($AG$2:$AG$1001,MATCH(ROWS($AF$2:AF463),$AF$2:$AF$1001,0),1)&gt;=100000,INDEX($AM$1005:$BM$1005,1,MATCH(COLUMNS($AM$1006:BK1006),$AM$1006:$BM$1006,0))&gt;=100000), " ",IF(INDEX($AM$2:$BM$1001,MATCH(ROWS($AF$2:AF463),$AF$2:$AF$1001,0),MATCH(COLUMNS($AM$1006:BK1006),$AM$1006:$BM$1006,0)), HYPERLINK("#",""), HYPERLINK(CONCATENATE("#metadata!", ADDRESS(INDEX($AH$2:$AH$1001,MATCH(ROWS($AF$2:AF463),$AF$2:$AF$1001,0),0), INDEX($AM$1004:$BM$1004,1,MATCH(COLUMNS($AM$1006:BK1006),$AM$1006:$BM$1006,0)))),"Fix")))</f>
        <v xml:space="preserve"> </v>
      </c>
      <c r="AA463" s="4" t="str">
        <f ca="1">IF(OR(INDEX($AG$2:$AG$1001,MATCH(ROWS($AF$2:AF463),$AF$2:$AF$1001,0),1)&gt;=100000,INDEX($AM$1005:$BM$1005,1,MATCH(COLUMNS($AM$1006:BL1006),$AM$1006:$BM$1006,0))&gt;=100000), " ",IF(INDEX($AM$2:$BM$1001,MATCH(ROWS($AF$2:AF463),$AF$2:$AF$1001,0),MATCH(COLUMNS($AM$1006:BL1006),$AM$1006:$BM$1006,0)), HYPERLINK("#",""), HYPERLINK(CONCATENATE("#metadata!", ADDRESS(INDEX($AH$2:$AH$1001,MATCH(ROWS($AF$2:AF463),$AF$2:$AF$1001,0),0), INDEX($AM$1004:$BM$1004,1,MATCH(COLUMNS($AM$1006:BL1006),$AM$1006:$BM$1006,0)))),"Fix")))</f>
        <v xml:space="preserve"> </v>
      </c>
      <c r="AB463" s="4" t="str">
        <f ca="1">IF(OR(INDEX($AG$2:$AG$1001,MATCH(ROWS($AF$2:AF463),$AF$2:$AF$1001,0),1)&gt;=100000,INDEX($AM$1005:$BM$1005,1,MATCH(COLUMNS($AM$1006:BM1006),$AM$1006:$BM$1006,0))&gt;=100000), " ",IF(INDEX($AM$2:$BM$1001,MATCH(ROWS($AF$2:AF463),$AF$2:$AF$1001,0),MATCH(COLUMNS($AM$1006:BM1006),$AM$1006:$BM$1006,0)), HYPERLINK("#",""), HYPERLINK(CONCATENATE("#metadata!", ADDRESS(INDEX($AH$2:$AH$1001,MATCH(ROWS($AF$2:AF463),$AF$2:$AF$1001,0),0), INDEX($AM$1004:$BM$1004,1,MATCH(COLUMNS($AM$1006:BM1006),$AM$1006:$BM$1006,0)))),"Fix")))</f>
        <v xml:space="preserve"> </v>
      </c>
      <c r="AF463">
        <v>462</v>
      </c>
      <c r="AG463">
        <v>100463</v>
      </c>
      <c r="AH463">
        <v>463</v>
      </c>
      <c r="AI463" t="b">
        <f t="shared" si="7"/>
        <v>1</v>
      </c>
      <c r="AJ463" t="b">
        <f>COUNTBLANK(metadata!B463:AB463)=COLUMNS(metadata!B463:AB463)</f>
        <v>1</v>
      </c>
      <c r="AK463" t="str">
        <v/>
      </c>
      <c r="AM463" t="b">
        <f ca="1">AND(IF(metadata!B463="",FALSE,TRUE),COUNTIF(metadata!B:B, metadata!B463) = 1,NOT(ISERROR(SUMPRODUCT(SEARCH(MID(metadata!B463,ROW(INDIRECT("1:"&amp;LEN(metadata!B463))), 1),"0123456789abcdefghijklmnopqrstuvwxyzABCDEFGHIJKLMNOPQRSTUVWXYZ.")))))</f>
        <v>0</v>
      </c>
      <c r="AN463" t="b">
        <f ca="1">OR(AND(IF(metadata!C463="",FALSE,TRUE),OR(EXACT(metadata!C463,"missing: not collected"),EXACT(metadata!C463,"missing: not provided"),EXACT(metadata!C463,"missing: restricted access"))),AND(IF(metadata!C463="",FALSE,TRUE),AND(AND(IFERROR(INT(LEFT(metadata!C463,4))&gt;1900,FALSE),IFERROR(INT(LEFT(metadata!C463,4))&lt;=YEAR(NOW()),FALSE)), OR(MID(metadata!C463,5,1)="", AND(AND(MID(metadata!C463,5,1)="-",IFERROR(INT(MID(metadata!C463,6,1))&gt;=0,FALSE),IFERROR(INT(MID(metadata!C463,6,1))&lt;=1,FALSE),NOT(MID(metadata!C463,7,1)=""),IFERROR(INT(MID(metadata!C463,6,2))&gt;=1,FALSE),IFERROR(INT(MID(metadata!C463,6,2))&lt;=12,FALSE)), OR(MID(metadata!C463,8,1)="", AND(AND(MID(metadata!C463,8,1)="-",IFERROR(INT(MID(metadata!C463,9,1))&gt;=0,FALSE),IFERROR(INT(MID(metadata!C463,9,1))&lt;=3,FALSE),NOT(MID(metadata!C463,10,1)=""),IFERROR(INT(MID(metadata!C463,9,2))&gt;=1,FALSE),IFERROR(INT(MID(metadata!C463,9,2))&lt;=31,FALSE)), OR(MID(metadata!C463,11,1)="", AND(AND(MID(metadata!C463,11,1)=" ",IFERROR(INT(MID(metadata!C463,12,1))&gt;=0,FALSE),IFERROR(INT(MID(metadata!C463,12,1))&lt;=2,FALSE),NOT(MID(metadata!C463,13,1)=""),IFERROR(INT(MID(metadata!C463,12,2))&gt;=0,FALSE),IFERROR(INT(MID(metadata!C463,12,2))&lt;=23,FALSE)), OR(MID(metadata!C463,14,1)="", AND(AND(MID(metadata!C463,14,1)=":",IFERROR(INT(MID(metadata!C463,15,1))&gt;=0,FALSE),IFERROR(INT(MID(metadata!C463,15,1))&lt;=5,FALSE),NOT(MID(metadata!C463,16,1)=""),IFERROR(INT(MID(metadata!C463,15,2))&gt;=0,FALSE),IFERROR(INT(MID(metadata!C463,15,2))&lt;=59,FALSE)), OR(MID(metadata!C463,17,1)="", AND(AND(MID(metadata!C463,17,1)=":",IFERROR(INT(MID(metadata!C463,18,1))&gt;=0,FALSE),IFERROR(INT(MID(metadata!C463,18,1))&lt;=5,FALSE),NOT(MID(metadata!C463,19,1)=""),IFERROR(INT(MID(metadata!C463,18,2))&gt;=0,FALSE),IFERROR(INT(MID(metadata!C463,18,2))&lt;=59,FALSE)), LEN(metadata!C463)&lt;=19)))))))))))))</f>
        <v>0</v>
      </c>
      <c r="AO463" t="b">
        <f>AND(IF(metadata!D463="",FALSE,TRUE),EXACT(metadata!D463,"Not applicable"))</f>
        <v>0</v>
      </c>
      <c r="AP463" t="b">
        <f>IF(metadata!E463="",FALSE,TRUE)</f>
        <v>0</v>
      </c>
      <c r="AQ463" t="b">
        <f>OR(AND(IF(metadata!F463="",FALSE,TRUE),OR(EXACT(metadata!F463,"missing: not collected"),EXACT(metadata!F463,"missing: not provided"))),AND(IF(metadata!F463="",FALSE,TRUE),OR(EXACT(metadata!F463,"TRUE"),EXACT(metadata!F463,"FALSE"))))</f>
        <v>0</v>
      </c>
      <c r="AR463" t="b">
        <f>OR(AND(IF(metadata!G463="",FALSE,TRUE),OR(EXACT(metadata!G463,"missing: not collected"),EXACT(metadata!G463,"missing: not provided"),EXACT(metadata!G463,"missing: restricted access"))),AND(IF(metadata!G463="",FALSE,ISNUMBER(VALUE(metadata!G463))),metadata!G463&gt;=-413))</f>
        <v>0</v>
      </c>
      <c r="AS463" t="b">
        <f>AND(IF(metadata!H463="",FALSE,TRUE),EXACT(metadata!H463,"meters"))</f>
        <v>0</v>
      </c>
      <c r="AT463" t="b">
        <f>AND(IF(metadata!I463="",FALSE,TRUE),OR(EXACT(metadata!I463,"Host-associated"),EXACT(metadata!I463,"Free-living")))</f>
        <v>0</v>
      </c>
      <c r="AU463" t="b">
        <f>AND(IF(metadata!J463="",FALSE,TRUE),OR(EXACT(metadata!J463,"Animal"),EXACT(metadata!J463,"Fungus"),EXACT(metadata!J463,"Plant"),EXACT(metadata!J463,"Saline"),EXACT(metadata!J463,"Non-saline")))</f>
        <v>0</v>
      </c>
      <c r="AV463" t="b">
        <f>AND(IF(metadata!K463="",FALSE,TRUE),OR(EXACT(metadata!K463,"Plant secretion"),EXACT(metadata!K463,"Plant rhizosphere"),EXACT(metadata!K463,"Plant surface"),EXACT(metadata!K463,"Plant corpus"),EXACT(metadata!K463,"Fungus surface"),EXACT(metadata!K463,"Fungus corpus"),EXACT(metadata!K463,"Animal surface"),EXACT(metadata!K463,"Animal proximal gut"),EXACT(metadata!K463,"Animal corpus"),EXACT(metadata!K463,"Animal distal gut"),EXACT(metadata!K463,"Animal secretion"),EXACT(metadata!K463,"Sub-surface (non-saline)"),EXACT(metadata!K463,"Surface (non-saline)"),EXACT(metadata!K463,"Water (non-saline)"),EXACT(metadata!K463,"Soil (non-saline)"),EXACT(metadata!K463,"Aerosol (non-saline)"),EXACT(metadata!K463,"Sediment (non-saline)"),EXACT(metadata!K463,"Surface (saline)"),EXACT(metadata!K463,"Water (saline)"),EXACT(metadata!K463,"Hypersaline (saline)"),EXACT(metadata!K463,"Aerosol (saline)"),EXACT(metadata!K463,"Sediment (saline)")))</f>
        <v>0</v>
      </c>
      <c r="AW463" t="b">
        <f>IF(metadata!L463="",FALSE,TRUE)</f>
        <v>0</v>
      </c>
      <c r="AX463" t="b">
        <f>IF(metadata!M463="",FALSE,TRUE)</f>
        <v>0</v>
      </c>
      <c r="AY463" t="b">
        <f>IF(metadata!N463="",FALSE,TRUE)</f>
        <v>0</v>
      </c>
      <c r="AZ463" t="b">
        <f>OR(AND(IF(metadata!O463="",FALSE,TRUE),OR(EXACT(metadata!O463,"missing: not collected"),EXACT(metadata!O463,"missing: not provided"),EXACT(metadata!O463,"missing: restricted access"))),AND(IF(metadata!O463="",FALSE,TRUE),OR(EXACT(metadata!O463,"air"),EXACT(metadata!O463,"built environment"),EXACT(metadata!O463,"host-associated"),EXACT(metadata!O463,"human-associated"),EXACT(metadata!O463,"human-skin"),EXACT(metadata!O463,"human-oral"),EXACT(metadata!O463,"human-gut"),EXACT(metadata!O463,"human-vaginal"),EXACT(metadata!O463,"microbial mat/biofilm"),EXACT(metadata!O463,"misc environment"),EXACT(metadata!O463,"plant-associated"),EXACT(metadata!O463,"sediment"),EXACT(metadata!O463,"soil"),EXACT(metadata!O463,"wastewater/sludge"),EXACT(metadata!O463,"water"))))</f>
        <v>0</v>
      </c>
      <c r="BA463" t="b">
        <f>IF(metadata!P463="",FALSE,TRUE)</f>
        <v>0</v>
      </c>
      <c r="BB463" t="b">
        <f>IF(metadata!Q463="",FALSE,TRUE)</f>
        <v>0</v>
      </c>
      <c r="BC463" t="b">
        <f>OR(AND(IF(metadata!R463="",FALSE,TRUE),OR(EXACT(metadata!R463,"missing: not collected"),EXACT(metadata!R463,"missing: not provided"),EXACT(metadata!R463,"missing: restricted access"))),AND(IF(metadata!R463="",FALSE,ISNUMBER(VALUE(metadata!R463))),metadata!R463&gt;=-90,metadata!R463&lt;=90))</f>
        <v>0</v>
      </c>
      <c r="BD463" t="b">
        <f>AND(IF(metadata!S463="",FALSE,TRUE),EXACT(metadata!S463,"Decimal degrees"))</f>
        <v>0</v>
      </c>
      <c r="BE463" t="b">
        <f>OR(AND(IF(metadata!T463="",FALSE,TRUE),OR(EXACT(metadata!T463,"missing: not collected"),EXACT(metadata!T463,"missing: not provided"),EXACT(metadata!T463,"missing: restricted access"))),AND(IF(metadata!T463="",FALSE,ISNUMBER(VALUE(metadata!T463))),metadata!T463&gt;=-180,metadata!T463&lt;=180))</f>
        <v>0</v>
      </c>
      <c r="BF463" t="b">
        <f>AND(IF(metadata!U463="",FALSE,TRUE),EXACT(metadata!U463,"Decimal degrees"))</f>
        <v>0</v>
      </c>
      <c r="BG463" t="b">
        <f>IF(metadata!V463="",FALSE,TRUE)</f>
        <v>0</v>
      </c>
      <c r="BH463" t="b">
        <f>OR(AND(IF(metadata!W463="",FALSE,TRUE),OR(EXACT(metadata!W463,"missing: not collected"),EXACT(metadata!W463,"missing: not provided"),EXACT(metadata!W463,"missing: restricted access"))),AND(IF(metadata!W463="",FALSE,TRUE),OR(EXACT(metadata!W463,"TRUE"),EXACT(metadata!W463,"FALSE"))))</f>
        <v>0</v>
      </c>
      <c r="BI463" t="b">
        <f>AND(IF(metadata!X463="",FALSE,TRUE),EXACT(metadata!X463,"other"))</f>
        <v>0</v>
      </c>
      <c r="BJ463" t="b">
        <f>IF(metadata!Y463="",FALSE,TRUE)</f>
        <v>0</v>
      </c>
      <c r="BK463" t="b">
        <f>OR(AND(IF(metadata!Z463="",FALSE,TRUE),OR(EXACT(metadata!Z463,"missing: not collected"),EXACT(metadata!Z463,"missing: not provided"))),AND(IF(metadata!Z463="",FALSE,IF(ISERROR(INT(metadata!Z463)),FALSE,INT(metadata!Z463)=metadata!Z463)),metadata!Z463&gt;0))</f>
        <v>0</v>
      </c>
      <c r="BL463" t="b">
        <f>AND(IF(metadata!AA463="",FALSE,TRUE),EXACT(metadata!AA463,"Not applicable"))</f>
        <v>0</v>
      </c>
      <c r="BM463" t="b">
        <f>IF(metadata!AB463="",FALSE,TRUE)</f>
        <v>0</v>
      </c>
    </row>
    <row r="464" spans="1:65" x14ac:dyDescent="0.2">
      <c r="A464" s="5" t="str">
        <f ca="1">IF(B464=" "," ",HYPERLINK(CONCATENATE("#metadata!",ADDRESS(INDEX($AH$2:$AH$1001,MATCH(ROWS($AF$2:AF464),$AF$2:$AF$1001,0),0),1)),INDEX($AK$2:$AK$1001,MATCH(ROWS($AF$2:AF464),$AF$2:$AF$1001,0),0)))</f>
        <v xml:space="preserve"> </v>
      </c>
      <c r="B464" s="4" t="str">
        <f ca="1">IF(OR(INDEX($AG$2:$AG$1001,MATCH(ROWS($AF$2:AF464),$AF$2:$AF$1001,0),1)&gt;=100000,INDEX($AM$1005:$BM$1005,1,MATCH(COLUMNS($AM$1006:AM1006),$AM$1006:$BM$1006,0))&gt;=100000), " ",IF(INDEX($AM$2:$BM$1001,MATCH(ROWS($AF$2:AF464),$AF$2:$AF$1001,0),MATCH(COLUMNS($AM$1006:AM1006),$AM$1006:$BM$1006,0)), HYPERLINK("#",""), HYPERLINK(CONCATENATE("#metadata!", ADDRESS(INDEX($AH$2:$AH$1001,MATCH(ROWS($AF$2:AF464),$AF$2:$AF$1001,0),0), INDEX($AM$1004:$BM$1004,1,MATCH(COLUMNS($AM$1006:AM1006),$AM$1006:$BM$1006,0)))),"Fix")))</f>
        <v xml:space="preserve"> </v>
      </c>
      <c r="C464" s="4" t="str">
        <f ca="1">IF(OR(INDEX($AG$2:$AG$1001,MATCH(ROWS($AF$2:AF464),$AF$2:$AF$1001,0),1)&gt;=100000,INDEX($AM$1005:$BM$1005,1,MATCH(COLUMNS($AM$1006:AN1006),$AM$1006:$BM$1006,0))&gt;=100000), " ",IF(INDEX($AM$2:$BM$1001,MATCH(ROWS($AF$2:AF464),$AF$2:$AF$1001,0),MATCH(COLUMNS($AM$1006:AN1006),$AM$1006:$BM$1006,0)), HYPERLINK("#",""), HYPERLINK(CONCATENATE("#metadata!", ADDRESS(INDEX($AH$2:$AH$1001,MATCH(ROWS($AF$2:AF464),$AF$2:$AF$1001,0),0), INDEX($AM$1004:$BM$1004,1,MATCH(COLUMNS($AM$1006:AN1006),$AM$1006:$BM$1006,0)))),"Fix")))</f>
        <v xml:space="preserve"> </v>
      </c>
      <c r="D464" s="4" t="str">
        <f ca="1">IF(OR(INDEX($AG$2:$AG$1001,MATCH(ROWS($AF$2:AF464),$AF$2:$AF$1001,0),1)&gt;=100000,INDEX($AM$1005:$BM$1005,1,MATCH(COLUMNS($AM$1006:AO1006),$AM$1006:$BM$1006,0))&gt;=100000), " ",IF(INDEX($AM$2:$BM$1001,MATCH(ROWS($AF$2:AF464),$AF$2:$AF$1001,0),MATCH(COLUMNS($AM$1006:AO1006),$AM$1006:$BM$1006,0)), HYPERLINK("#",""), HYPERLINK(CONCATENATE("#metadata!", ADDRESS(INDEX($AH$2:$AH$1001,MATCH(ROWS($AF$2:AF464),$AF$2:$AF$1001,0),0), INDEX($AM$1004:$BM$1004,1,MATCH(COLUMNS($AM$1006:AO1006),$AM$1006:$BM$1006,0)))),"Fix")))</f>
        <v xml:space="preserve"> </v>
      </c>
      <c r="E464" s="4" t="str">
        <f ca="1">IF(OR(INDEX($AG$2:$AG$1001,MATCH(ROWS($AF$2:AF464),$AF$2:$AF$1001,0),1)&gt;=100000,INDEX($AM$1005:$BM$1005,1,MATCH(COLUMNS($AM$1006:AP1006),$AM$1006:$BM$1006,0))&gt;=100000), " ",IF(INDEX($AM$2:$BM$1001,MATCH(ROWS($AF$2:AF464),$AF$2:$AF$1001,0),MATCH(COLUMNS($AM$1006:AP1006),$AM$1006:$BM$1006,0)), HYPERLINK("#",""), HYPERLINK(CONCATENATE("#metadata!", ADDRESS(INDEX($AH$2:$AH$1001,MATCH(ROWS($AF$2:AF464),$AF$2:$AF$1001,0),0), INDEX($AM$1004:$BM$1004,1,MATCH(COLUMNS($AM$1006:AP1006),$AM$1006:$BM$1006,0)))),"Fix")))</f>
        <v xml:space="preserve"> </v>
      </c>
      <c r="F464" s="4" t="str">
        <f ca="1">IF(OR(INDEX($AG$2:$AG$1001,MATCH(ROWS($AF$2:AF464),$AF$2:$AF$1001,0),1)&gt;=100000,INDEX($AM$1005:$BM$1005,1,MATCH(COLUMNS($AM$1006:AQ1006),$AM$1006:$BM$1006,0))&gt;=100000), " ",IF(INDEX($AM$2:$BM$1001,MATCH(ROWS($AF$2:AF464),$AF$2:$AF$1001,0),MATCH(COLUMNS($AM$1006:AQ1006),$AM$1006:$BM$1006,0)), HYPERLINK("#",""), HYPERLINK(CONCATENATE("#metadata!", ADDRESS(INDEX($AH$2:$AH$1001,MATCH(ROWS($AF$2:AF464),$AF$2:$AF$1001,0),0), INDEX($AM$1004:$BM$1004,1,MATCH(COLUMNS($AM$1006:AQ1006),$AM$1006:$BM$1006,0)))),"Fix")))</f>
        <v xml:space="preserve"> </v>
      </c>
      <c r="G464" s="4" t="str">
        <f ca="1">IF(OR(INDEX($AG$2:$AG$1001,MATCH(ROWS($AF$2:AF464),$AF$2:$AF$1001,0),1)&gt;=100000,INDEX($AM$1005:$BM$1005,1,MATCH(COLUMNS($AM$1006:AR1006),$AM$1006:$BM$1006,0))&gt;=100000), " ",IF(INDEX($AM$2:$BM$1001,MATCH(ROWS($AF$2:AF464),$AF$2:$AF$1001,0),MATCH(COLUMNS($AM$1006:AR1006),$AM$1006:$BM$1006,0)), HYPERLINK("#",""), HYPERLINK(CONCATENATE("#metadata!", ADDRESS(INDEX($AH$2:$AH$1001,MATCH(ROWS($AF$2:AF464),$AF$2:$AF$1001,0),0), INDEX($AM$1004:$BM$1004,1,MATCH(COLUMNS($AM$1006:AR1006),$AM$1006:$BM$1006,0)))),"Fix")))</f>
        <v xml:space="preserve"> </v>
      </c>
      <c r="H464" s="4" t="str">
        <f ca="1">IF(OR(INDEX($AG$2:$AG$1001,MATCH(ROWS($AF$2:AF464),$AF$2:$AF$1001,0),1)&gt;=100000,INDEX($AM$1005:$BM$1005,1,MATCH(COLUMNS($AM$1006:AS1006),$AM$1006:$BM$1006,0))&gt;=100000), " ",IF(INDEX($AM$2:$BM$1001,MATCH(ROWS($AF$2:AF464),$AF$2:$AF$1001,0),MATCH(COLUMNS($AM$1006:AS1006),$AM$1006:$BM$1006,0)), HYPERLINK("#",""), HYPERLINK(CONCATENATE("#metadata!", ADDRESS(INDEX($AH$2:$AH$1001,MATCH(ROWS($AF$2:AF464),$AF$2:$AF$1001,0),0), INDEX($AM$1004:$BM$1004,1,MATCH(COLUMNS($AM$1006:AS1006),$AM$1006:$BM$1006,0)))),"Fix")))</f>
        <v xml:space="preserve"> </v>
      </c>
      <c r="I464" s="4" t="str">
        <f ca="1">IF(OR(INDEX($AG$2:$AG$1001,MATCH(ROWS($AF$2:AF464),$AF$2:$AF$1001,0),1)&gt;=100000,INDEX($AM$1005:$BM$1005,1,MATCH(COLUMNS($AM$1006:AT1006),$AM$1006:$BM$1006,0))&gt;=100000), " ",IF(INDEX($AM$2:$BM$1001,MATCH(ROWS($AF$2:AF464),$AF$2:$AF$1001,0),MATCH(COLUMNS($AM$1006:AT1006),$AM$1006:$BM$1006,0)), HYPERLINK("#",""), HYPERLINK(CONCATENATE("#metadata!", ADDRESS(INDEX($AH$2:$AH$1001,MATCH(ROWS($AF$2:AF464),$AF$2:$AF$1001,0),0), INDEX($AM$1004:$BM$1004,1,MATCH(COLUMNS($AM$1006:AT1006),$AM$1006:$BM$1006,0)))),"Fix")))</f>
        <v xml:space="preserve"> </v>
      </c>
      <c r="J464" s="4" t="str">
        <f ca="1">IF(OR(INDEX($AG$2:$AG$1001,MATCH(ROWS($AF$2:AF464),$AF$2:$AF$1001,0),1)&gt;=100000,INDEX($AM$1005:$BM$1005,1,MATCH(COLUMNS($AM$1006:AU1006),$AM$1006:$BM$1006,0))&gt;=100000), " ",IF(INDEX($AM$2:$BM$1001,MATCH(ROWS($AF$2:AF464),$AF$2:$AF$1001,0),MATCH(COLUMNS($AM$1006:AU1006),$AM$1006:$BM$1006,0)), HYPERLINK("#",""), HYPERLINK(CONCATENATE("#metadata!", ADDRESS(INDEX($AH$2:$AH$1001,MATCH(ROWS($AF$2:AF464),$AF$2:$AF$1001,0),0), INDEX($AM$1004:$BM$1004,1,MATCH(COLUMNS($AM$1006:AU1006),$AM$1006:$BM$1006,0)))),"Fix")))</f>
        <v xml:space="preserve"> </v>
      </c>
      <c r="K464" s="4" t="str">
        <f ca="1">IF(OR(INDEX($AG$2:$AG$1001,MATCH(ROWS($AF$2:AF464),$AF$2:$AF$1001,0),1)&gt;=100000,INDEX($AM$1005:$BM$1005,1,MATCH(COLUMNS($AM$1006:AV1006),$AM$1006:$BM$1006,0))&gt;=100000), " ",IF(INDEX($AM$2:$BM$1001,MATCH(ROWS($AF$2:AF464),$AF$2:$AF$1001,0),MATCH(COLUMNS($AM$1006:AV1006),$AM$1006:$BM$1006,0)), HYPERLINK("#",""), HYPERLINK(CONCATENATE("#metadata!", ADDRESS(INDEX($AH$2:$AH$1001,MATCH(ROWS($AF$2:AF464),$AF$2:$AF$1001,0),0), INDEX($AM$1004:$BM$1004,1,MATCH(COLUMNS($AM$1006:AV1006),$AM$1006:$BM$1006,0)))),"Fix")))</f>
        <v xml:space="preserve"> </v>
      </c>
      <c r="L464" s="4" t="str">
        <f ca="1">IF(OR(INDEX($AG$2:$AG$1001,MATCH(ROWS($AF$2:AF464),$AF$2:$AF$1001,0),1)&gt;=100000,INDEX($AM$1005:$BM$1005,1,MATCH(COLUMNS($AM$1006:AW1006),$AM$1006:$BM$1006,0))&gt;=100000), " ",IF(INDEX($AM$2:$BM$1001,MATCH(ROWS($AF$2:AF464),$AF$2:$AF$1001,0),MATCH(COLUMNS($AM$1006:AW1006),$AM$1006:$BM$1006,0)), HYPERLINK("#",""), HYPERLINK(CONCATENATE("#metadata!", ADDRESS(INDEX($AH$2:$AH$1001,MATCH(ROWS($AF$2:AF464),$AF$2:$AF$1001,0),0), INDEX($AM$1004:$BM$1004,1,MATCH(COLUMNS($AM$1006:AW1006),$AM$1006:$BM$1006,0)))),"Fix")))</f>
        <v xml:space="preserve"> </v>
      </c>
      <c r="M464" s="4" t="str">
        <f ca="1">IF(OR(INDEX($AG$2:$AG$1001,MATCH(ROWS($AF$2:AF464),$AF$2:$AF$1001,0),1)&gt;=100000,INDEX($AM$1005:$BM$1005,1,MATCH(COLUMNS($AM$1006:AX1006),$AM$1006:$BM$1006,0))&gt;=100000), " ",IF(INDEX($AM$2:$BM$1001,MATCH(ROWS($AF$2:AF464),$AF$2:$AF$1001,0),MATCH(COLUMNS($AM$1006:AX1006),$AM$1006:$BM$1006,0)), HYPERLINK("#",""), HYPERLINK(CONCATENATE("#metadata!", ADDRESS(INDEX($AH$2:$AH$1001,MATCH(ROWS($AF$2:AF464),$AF$2:$AF$1001,0),0), INDEX($AM$1004:$BM$1004,1,MATCH(COLUMNS($AM$1006:AX1006),$AM$1006:$BM$1006,0)))),"Fix")))</f>
        <v xml:space="preserve"> </v>
      </c>
      <c r="N464" s="4" t="str">
        <f ca="1">IF(OR(INDEX($AG$2:$AG$1001,MATCH(ROWS($AF$2:AF464),$AF$2:$AF$1001,0),1)&gt;=100000,INDEX($AM$1005:$BM$1005,1,MATCH(COLUMNS($AM$1006:AY1006),$AM$1006:$BM$1006,0))&gt;=100000), " ",IF(INDEX($AM$2:$BM$1001,MATCH(ROWS($AF$2:AF464),$AF$2:$AF$1001,0),MATCH(COLUMNS($AM$1006:AY1006),$AM$1006:$BM$1006,0)), HYPERLINK("#",""), HYPERLINK(CONCATENATE("#metadata!", ADDRESS(INDEX($AH$2:$AH$1001,MATCH(ROWS($AF$2:AF464),$AF$2:$AF$1001,0),0), INDEX($AM$1004:$BM$1004,1,MATCH(COLUMNS($AM$1006:AY1006),$AM$1006:$BM$1006,0)))),"Fix")))</f>
        <v xml:space="preserve"> </v>
      </c>
      <c r="O464" s="4" t="str">
        <f ca="1">IF(OR(INDEX($AG$2:$AG$1001,MATCH(ROWS($AF$2:AF464),$AF$2:$AF$1001,0),1)&gt;=100000,INDEX($AM$1005:$BM$1005,1,MATCH(COLUMNS($AM$1006:AZ1006),$AM$1006:$BM$1006,0))&gt;=100000), " ",IF(INDEX($AM$2:$BM$1001,MATCH(ROWS($AF$2:AF464),$AF$2:$AF$1001,0),MATCH(COLUMNS($AM$1006:AZ1006),$AM$1006:$BM$1006,0)), HYPERLINK("#",""), HYPERLINK(CONCATENATE("#metadata!", ADDRESS(INDEX($AH$2:$AH$1001,MATCH(ROWS($AF$2:AF464),$AF$2:$AF$1001,0),0), INDEX($AM$1004:$BM$1004,1,MATCH(COLUMNS($AM$1006:AZ1006),$AM$1006:$BM$1006,0)))),"Fix")))</f>
        <v xml:space="preserve"> </v>
      </c>
      <c r="P464" s="4" t="str">
        <f ca="1">IF(OR(INDEX($AG$2:$AG$1001,MATCH(ROWS($AF$2:AF464),$AF$2:$AF$1001,0),1)&gt;=100000,INDEX($AM$1005:$BM$1005,1,MATCH(COLUMNS($AM$1006:BA1006),$AM$1006:$BM$1006,0))&gt;=100000), " ",IF(INDEX($AM$2:$BM$1001,MATCH(ROWS($AF$2:AF464),$AF$2:$AF$1001,0),MATCH(COLUMNS($AM$1006:BA1006),$AM$1006:$BM$1006,0)), HYPERLINK("#",""), HYPERLINK(CONCATENATE("#metadata!", ADDRESS(INDEX($AH$2:$AH$1001,MATCH(ROWS($AF$2:AF464),$AF$2:$AF$1001,0),0), INDEX($AM$1004:$BM$1004,1,MATCH(COLUMNS($AM$1006:BA1006),$AM$1006:$BM$1006,0)))),"Fix")))</f>
        <v xml:space="preserve"> </v>
      </c>
      <c r="Q464" s="4" t="str">
        <f ca="1">IF(OR(INDEX($AG$2:$AG$1001,MATCH(ROWS($AF$2:AF464),$AF$2:$AF$1001,0),1)&gt;=100000,INDEX($AM$1005:$BM$1005,1,MATCH(COLUMNS($AM$1006:BB1006),$AM$1006:$BM$1006,0))&gt;=100000), " ",IF(INDEX($AM$2:$BM$1001,MATCH(ROWS($AF$2:AF464),$AF$2:$AF$1001,0),MATCH(COLUMNS($AM$1006:BB1006),$AM$1006:$BM$1006,0)), HYPERLINK("#",""), HYPERLINK(CONCATENATE("#metadata!", ADDRESS(INDEX($AH$2:$AH$1001,MATCH(ROWS($AF$2:AF464),$AF$2:$AF$1001,0),0), INDEX($AM$1004:$BM$1004,1,MATCH(COLUMNS($AM$1006:BB1006),$AM$1006:$BM$1006,0)))),"Fix")))</f>
        <v xml:space="preserve"> </v>
      </c>
      <c r="R464" s="4" t="str">
        <f ca="1">IF(OR(INDEX($AG$2:$AG$1001,MATCH(ROWS($AF$2:AF464),$AF$2:$AF$1001,0),1)&gt;=100000,INDEX($AM$1005:$BM$1005,1,MATCH(COLUMNS($AM$1006:BC1006),$AM$1006:$BM$1006,0))&gt;=100000), " ",IF(INDEX($AM$2:$BM$1001,MATCH(ROWS($AF$2:AF464),$AF$2:$AF$1001,0),MATCH(COLUMNS($AM$1006:BC1006),$AM$1006:$BM$1006,0)), HYPERLINK("#",""), HYPERLINK(CONCATENATE("#metadata!", ADDRESS(INDEX($AH$2:$AH$1001,MATCH(ROWS($AF$2:AF464),$AF$2:$AF$1001,0),0), INDEX($AM$1004:$BM$1004,1,MATCH(COLUMNS($AM$1006:BC1006),$AM$1006:$BM$1006,0)))),"Fix")))</f>
        <v xml:space="preserve"> </v>
      </c>
      <c r="S464" s="4" t="str">
        <f ca="1">IF(OR(INDEX($AG$2:$AG$1001,MATCH(ROWS($AF$2:AF464),$AF$2:$AF$1001,0),1)&gt;=100000,INDEX($AM$1005:$BM$1005,1,MATCH(COLUMNS($AM$1006:BD1006),$AM$1006:$BM$1006,0))&gt;=100000), " ",IF(INDEX($AM$2:$BM$1001,MATCH(ROWS($AF$2:AF464),$AF$2:$AF$1001,0),MATCH(COLUMNS($AM$1006:BD1006),$AM$1006:$BM$1006,0)), HYPERLINK("#",""), HYPERLINK(CONCATENATE("#metadata!", ADDRESS(INDEX($AH$2:$AH$1001,MATCH(ROWS($AF$2:AF464),$AF$2:$AF$1001,0),0), INDEX($AM$1004:$BM$1004,1,MATCH(COLUMNS($AM$1006:BD1006),$AM$1006:$BM$1006,0)))),"Fix")))</f>
        <v xml:space="preserve"> </v>
      </c>
      <c r="T464" s="4" t="str">
        <f ca="1">IF(OR(INDEX($AG$2:$AG$1001,MATCH(ROWS($AF$2:AF464),$AF$2:$AF$1001,0),1)&gt;=100000,INDEX($AM$1005:$BM$1005,1,MATCH(COLUMNS($AM$1006:BE1006),$AM$1006:$BM$1006,0))&gt;=100000), " ",IF(INDEX($AM$2:$BM$1001,MATCH(ROWS($AF$2:AF464),$AF$2:$AF$1001,0),MATCH(COLUMNS($AM$1006:BE1006),$AM$1006:$BM$1006,0)), HYPERLINK("#",""), HYPERLINK(CONCATENATE("#metadata!", ADDRESS(INDEX($AH$2:$AH$1001,MATCH(ROWS($AF$2:AF464),$AF$2:$AF$1001,0),0), INDEX($AM$1004:$BM$1004,1,MATCH(COLUMNS($AM$1006:BE1006),$AM$1006:$BM$1006,0)))),"Fix")))</f>
        <v xml:space="preserve"> </v>
      </c>
      <c r="U464" s="4" t="str">
        <f ca="1">IF(OR(INDEX($AG$2:$AG$1001,MATCH(ROWS($AF$2:AF464),$AF$2:$AF$1001,0),1)&gt;=100000,INDEX($AM$1005:$BM$1005,1,MATCH(COLUMNS($AM$1006:BF1006),$AM$1006:$BM$1006,0))&gt;=100000), " ",IF(INDEX($AM$2:$BM$1001,MATCH(ROWS($AF$2:AF464),$AF$2:$AF$1001,0),MATCH(COLUMNS($AM$1006:BF1006),$AM$1006:$BM$1006,0)), HYPERLINK("#",""), HYPERLINK(CONCATENATE("#metadata!", ADDRESS(INDEX($AH$2:$AH$1001,MATCH(ROWS($AF$2:AF464),$AF$2:$AF$1001,0),0), INDEX($AM$1004:$BM$1004,1,MATCH(COLUMNS($AM$1006:BF1006),$AM$1006:$BM$1006,0)))),"Fix")))</f>
        <v xml:space="preserve"> </v>
      </c>
      <c r="V464" s="4" t="str">
        <f ca="1">IF(OR(INDEX($AG$2:$AG$1001,MATCH(ROWS($AF$2:AF464),$AF$2:$AF$1001,0),1)&gt;=100000,INDEX($AM$1005:$BM$1005,1,MATCH(COLUMNS($AM$1006:BG1006),$AM$1006:$BM$1006,0))&gt;=100000), " ",IF(INDEX($AM$2:$BM$1001,MATCH(ROWS($AF$2:AF464),$AF$2:$AF$1001,0),MATCH(COLUMNS($AM$1006:BG1006),$AM$1006:$BM$1006,0)), HYPERLINK("#",""), HYPERLINK(CONCATENATE("#metadata!", ADDRESS(INDEX($AH$2:$AH$1001,MATCH(ROWS($AF$2:AF464),$AF$2:$AF$1001,0),0), INDEX($AM$1004:$BM$1004,1,MATCH(COLUMNS($AM$1006:BG1006),$AM$1006:$BM$1006,0)))),"Fix")))</f>
        <v xml:space="preserve"> </v>
      </c>
      <c r="W464" s="4" t="str">
        <f ca="1">IF(OR(INDEX($AG$2:$AG$1001,MATCH(ROWS($AF$2:AF464),$AF$2:$AF$1001,0),1)&gt;=100000,INDEX($AM$1005:$BM$1005,1,MATCH(COLUMNS($AM$1006:BH1006),$AM$1006:$BM$1006,0))&gt;=100000), " ",IF(INDEX($AM$2:$BM$1001,MATCH(ROWS($AF$2:AF464),$AF$2:$AF$1001,0),MATCH(COLUMNS($AM$1006:BH1006),$AM$1006:$BM$1006,0)), HYPERLINK("#",""), HYPERLINK(CONCATENATE("#metadata!", ADDRESS(INDEX($AH$2:$AH$1001,MATCH(ROWS($AF$2:AF464),$AF$2:$AF$1001,0),0), INDEX($AM$1004:$BM$1004,1,MATCH(COLUMNS($AM$1006:BH1006),$AM$1006:$BM$1006,0)))),"Fix")))</f>
        <v xml:space="preserve"> </v>
      </c>
      <c r="X464" s="4" t="str">
        <f ca="1">IF(OR(INDEX($AG$2:$AG$1001,MATCH(ROWS($AF$2:AF464),$AF$2:$AF$1001,0),1)&gt;=100000,INDEX($AM$1005:$BM$1005,1,MATCH(COLUMNS($AM$1006:BI1006),$AM$1006:$BM$1006,0))&gt;=100000), " ",IF(INDEX($AM$2:$BM$1001,MATCH(ROWS($AF$2:AF464),$AF$2:$AF$1001,0),MATCH(COLUMNS($AM$1006:BI1006),$AM$1006:$BM$1006,0)), HYPERLINK("#",""), HYPERLINK(CONCATENATE("#metadata!", ADDRESS(INDEX($AH$2:$AH$1001,MATCH(ROWS($AF$2:AF464),$AF$2:$AF$1001,0),0), INDEX($AM$1004:$BM$1004,1,MATCH(COLUMNS($AM$1006:BI1006),$AM$1006:$BM$1006,0)))),"Fix")))</f>
        <v xml:space="preserve"> </v>
      </c>
      <c r="Y464" s="4" t="str">
        <f ca="1">IF(OR(INDEX($AG$2:$AG$1001,MATCH(ROWS($AF$2:AF464),$AF$2:$AF$1001,0),1)&gt;=100000,INDEX($AM$1005:$BM$1005,1,MATCH(COLUMNS($AM$1006:BJ1006),$AM$1006:$BM$1006,0))&gt;=100000), " ",IF(INDEX($AM$2:$BM$1001,MATCH(ROWS($AF$2:AF464),$AF$2:$AF$1001,0),MATCH(COLUMNS($AM$1006:BJ1006),$AM$1006:$BM$1006,0)), HYPERLINK("#",""), HYPERLINK(CONCATENATE("#metadata!", ADDRESS(INDEX($AH$2:$AH$1001,MATCH(ROWS($AF$2:AF464),$AF$2:$AF$1001,0),0), INDEX($AM$1004:$BM$1004,1,MATCH(COLUMNS($AM$1006:BJ1006),$AM$1006:$BM$1006,0)))),"Fix")))</f>
        <v xml:space="preserve"> </v>
      </c>
      <c r="Z464" s="4" t="str">
        <f ca="1">IF(OR(INDEX($AG$2:$AG$1001,MATCH(ROWS($AF$2:AF464),$AF$2:$AF$1001,0),1)&gt;=100000,INDEX($AM$1005:$BM$1005,1,MATCH(COLUMNS($AM$1006:BK1006),$AM$1006:$BM$1006,0))&gt;=100000), " ",IF(INDEX($AM$2:$BM$1001,MATCH(ROWS($AF$2:AF464),$AF$2:$AF$1001,0),MATCH(COLUMNS($AM$1006:BK1006),$AM$1006:$BM$1006,0)), HYPERLINK("#",""), HYPERLINK(CONCATENATE("#metadata!", ADDRESS(INDEX($AH$2:$AH$1001,MATCH(ROWS($AF$2:AF464),$AF$2:$AF$1001,0),0), INDEX($AM$1004:$BM$1004,1,MATCH(COLUMNS($AM$1006:BK1006),$AM$1006:$BM$1006,0)))),"Fix")))</f>
        <v xml:space="preserve"> </v>
      </c>
      <c r="AA464" s="4" t="str">
        <f ca="1">IF(OR(INDEX($AG$2:$AG$1001,MATCH(ROWS($AF$2:AF464),$AF$2:$AF$1001,0),1)&gt;=100000,INDEX($AM$1005:$BM$1005,1,MATCH(COLUMNS($AM$1006:BL1006),$AM$1006:$BM$1006,0))&gt;=100000), " ",IF(INDEX($AM$2:$BM$1001,MATCH(ROWS($AF$2:AF464),$AF$2:$AF$1001,0),MATCH(COLUMNS($AM$1006:BL1006),$AM$1006:$BM$1006,0)), HYPERLINK("#",""), HYPERLINK(CONCATENATE("#metadata!", ADDRESS(INDEX($AH$2:$AH$1001,MATCH(ROWS($AF$2:AF464),$AF$2:$AF$1001,0),0), INDEX($AM$1004:$BM$1004,1,MATCH(COLUMNS($AM$1006:BL1006),$AM$1006:$BM$1006,0)))),"Fix")))</f>
        <v xml:space="preserve"> </v>
      </c>
      <c r="AB464" s="4" t="str">
        <f ca="1">IF(OR(INDEX($AG$2:$AG$1001,MATCH(ROWS($AF$2:AF464),$AF$2:$AF$1001,0),1)&gt;=100000,INDEX($AM$1005:$BM$1005,1,MATCH(COLUMNS($AM$1006:BM1006),$AM$1006:$BM$1006,0))&gt;=100000), " ",IF(INDEX($AM$2:$BM$1001,MATCH(ROWS($AF$2:AF464),$AF$2:$AF$1001,0),MATCH(COLUMNS($AM$1006:BM1006),$AM$1006:$BM$1006,0)), HYPERLINK("#",""), HYPERLINK(CONCATENATE("#metadata!", ADDRESS(INDEX($AH$2:$AH$1001,MATCH(ROWS($AF$2:AF464),$AF$2:$AF$1001,0),0), INDEX($AM$1004:$BM$1004,1,MATCH(COLUMNS($AM$1006:BM1006),$AM$1006:$BM$1006,0)))),"Fix")))</f>
        <v xml:space="preserve"> </v>
      </c>
      <c r="AF464">
        <v>463</v>
      </c>
      <c r="AG464">
        <v>100464</v>
      </c>
      <c r="AH464">
        <v>464</v>
      </c>
      <c r="AI464" t="b">
        <f t="shared" si="7"/>
        <v>1</v>
      </c>
      <c r="AJ464" t="b">
        <f>COUNTBLANK(metadata!B464:AB464)=COLUMNS(metadata!B464:AB464)</f>
        <v>1</v>
      </c>
      <c r="AK464" t="str">
        <v/>
      </c>
      <c r="AM464" t="b">
        <f ca="1">AND(IF(metadata!B464="",FALSE,TRUE),COUNTIF(metadata!B:B, metadata!B464) = 1,NOT(ISERROR(SUMPRODUCT(SEARCH(MID(metadata!B464,ROW(INDIRECT("1:"&amp;LEN(metadata!B464))), 1),"0123456789abcdefghijklmnopqrstuvwxyzABCDEFGHIJKLMNOPQRSTUVWXYZ.")))))</f>
        <v>0</v>
      </c>
      <c r="AN464" t="b">
        <f ca="1">OR(AND(IF(metadata!C464="",FALSE,TRUE),OR(EXACT(metadata!C464,"missing: not collected"),EXACT(metadata!C464,"missing: not provided"),EXACT(metadata!C464,"missing: restricted access"))),AND(IF(metadata!C464="",FALSE,TRUE),AND(AND(IFERROR(INT(LEFT(metadata!C464,4))&gt;1900,FALSE),IFERROR(INT(LEFT(metadata!C464,4))&lt;=YEAR(NOW()),FALSE)), OR(MID(metadata!C464,5,1)="", AND(AND(MID(metadata!C464,5,1)="-",IFERROR(INT(MID(metadata!C464,6,1))&gt;=0,FALSE),IFERROR(INT(MID(metadata!C464,6,1))&lt;=1,FALSE),NOT(MID(metadata!C464,7,1)=""),IFERROR(INT(MID(metadata!C464,6,2))&gt;=1,FALSE),IFERROR(INT(MID(metadata!C464,6,2))&lt;=12,FALSE)), OR(MID(metadata!C464,8,1)="", AND(AND(MID(metadata!C464,8,1)="-",IFERROR(INT(MID(metadata!C464,9,1))&gt;=0,FALSE),IFERROR(INT(MID(metadata!C464,9,1))&lt;=3,FALSE),NOT(MID(metadata!C464,10,1)=""),IFERROR(INT(MID(metadata!C464,9,2))&gt;=1,FALSE),IFERROR(INT(MID(metadata!C464,9,2))&lt;=31,FALSE)), OR(MID(metadata!C464,11,1)="", AND(AND(MID(metadata!C464,11,1)=" ",IFERROR(INT(MID(metadata!C464,12,1))&gt;=0,FALSE),IFERROR(INT(MID(metadata!C464,12,1))&lt;=2,FALSE),NOT(MID(metadata!C464,13,1)=""),IFERROR(INT(MID(metadata!C464,12,2))&gt;=0,FALSE),IFERROR(INT(MID(metadata!C464,12,2))&lt;=23,FALSE)), OR(MID(metadata!C464,14,1)="", AND(AND(MID(metadata!C464,14,1)=":",IFERROR(INT(MID(metadata!C464,15,1))&gt;=0,FALSE),IFERROR(INT(MID(metadata!C464,15,1))&lt;=5,FALSE),NOT(MID(metadata!C464,16,1)=""),IFERROR(INT(MID(metadata!C464,15,2))&gt;=0,FALSE),IFERROR(INT(MID(metadata!C464,15,2))&lt;=59,FALSE)), OR(MID(metadata!C464,17,1)="", AND(AND(MID(metadata!C464,17,1)=":",IFERROR(INT(MID(metadata!C464,18,1))&gt;=0,FALSE),IFERROR(INT(MID(metadata!C464,18,1))&lt;=5,FALSE),NOT(MID(metadata!C464,19,1)=""),IFERROR(INT(MID(metadata!C464,18,2))&gt;=0,FALSE),IFERROR(INT(MID(metadata!C464,18,2))&lt;=59,FALSE)), LEN(metadata!C464)&lt;=19)))))))))))))</f>
        <v>0</v>
      </c>
      <c r="AO464" t="b">
        <f>AND(IF(metadata!D464="",FALSE,TRUE),EXACT(metadata!D464,"Not applicable"))</f>
        <v>0</v>
      </c>
      <c r="AP464" t="b">
        <f>IF(metadata!E464="",FALSE,TRUE)</f>
        <v>0</v>
      </c>
      <c r="AQ464" t="b">
        <f>OR(AND(IF(metadata!F464="",FALSE,TRUE),OR(EXACT(metadata!F464,"missing: not collected"),EXACT(metadata!F464,"missing: not provided"))),AND(IF(metadata!F464="",FALSE,TRUE),OR(EXACT(metadata!F464,"TRUE"),EXACT(metadata!F464,"FALSE"))))</f>
        <v>0</v>
      </c>
      <c r="AR464" t="b">
        <f>OR(AND(IF(metadata!G464="",FALSE,TRUE),OR(EXACT(metadata!G464,"missing: not collected"),EXACT(metadata!G464,"missing: not provided"),EXACT(metadata!G464,"missing: restricted access"))),AND(IF(metadata!G464="",FALSE,ISNUMBER(VALUE(metadata!G464))),metadata!G464&gt;=-413))</f>
        <v>0</v>
      </c>
      <c r="AS464" t="b">
        <f>AND(IF(metadata!H464="",FALSE,TRUE),EXACT(metadata!H464,"meters"))</f>
        <v>0</v>
      </c>
      <c r="AT464" t="b">
        <f>AND(IF(metadata!I464="",FALSE,TRUE),OR(EXACT(metadata!I464,"Host-associated"),EXACT(metadata!I464,"Free-living")))</f>
        <v>0</v>
      </c>
      <c r="AU464" t="b">
        <f>AND(IF(metadata!J464="",FALSE,TRUE),OR(EXACT(metadata!J464,"Animal"),EXACT(metadata!J464,"Fungus"),EXACT(metadata!J464,"Plant"),EXACT(metadata!J464,"Saline"),EXACT(metadata!J464,"Non-saline")))</f>
        <v>0</v>
      </c>
      <c r="AV464" t="b">
        <f>AND(IF(metadata!K464="",FALSE,TRUE),OR(EXACT(metadata!K464,"Plant secretion"),EXACT(metadata!K464,"Plant rhizosphere"),EXACT(metadata!K464,"Plant surface"),EXACT(metadata!K464,"Plant corpus"),EXACT(metadata!K464,"Fungus surface"),EXACT(metadata!K464,"Fungus corpus"),EXACT(metadata!K464,"Animal surface"),EXACT(metadata!K464,"Animal proximal gut"),EXACT(metadata!K464,"Animal corpus"),EXACT(metadata!K464,"Animal distal gut"),EXACT(metadata!K464,"Animal secretion"),EXACT(metadata!K464,"Sub-surface (non-saline)"),EXACT(metadata!K464,"Surface (non-saline)"),EXACT(metadata!K464,"Water (non-saline)"),EXACT(metadata!K464,"Soil (non-saline)"),EXACT(metadata!K464,"Aerosol (non-saline)"),EXACT(metadata!K464,"Sediment (non-saline)"),EXACT(metadata!K464,"Surface (saline)"),EXACT(metadata!K464,"Water (saline)"),EXACT(metadata!K464,"Hypersaline (saline)"),EXACT(metadata!K464,"Aerosol (saline)"),EXACT(metadata!K464,"Sediment (saline)")))</f>
        <v>0</v>
      </c>
      <c r="AW464" t="b">
        <f>IF(metadata!L464="",FALSE,TRUE)</f>
        <v>0</v>
      </c>
      <c r="AX464" t="b">
        <f>IF(metadata!M464="",FALSE,TRUE)</f>
        <v>0</v>
      </c>
      <c r="AY464" t="b">
        <f>IF(metadata!N464="",FALSE,TRUE)</f>
        <v>0</v>
      </c>
      <c r="AZ464" t="b">
        <f>OR(AND(IF(metadata!O464="",FALSE,TRUE),OR(EXACT(metadata!O464,"missing: not collected"),EXACT(metadata!O464,"missing: not provided"),EXACT(metadata!O464,"missing: restricted access"))),AND(IF(metadata!O464="",FALSE,TRUE),OR(EXACT(metadata!O464,"air"),EXACT(metadata!O464,"built environment"),EXACT(metadata!O464,"host-associated"),EXACT(metadata!O464,"human-associated"),EXACT(metadata!O464,"human-skin"),EXACT(metadata!O464,"human-oral"),EXACT(metadata!O464,"human-gut"),EXACT(metadata!O464,"human-vaginal"),EXACT(metadata!O464,"microbial mat/biofilm"),EXACT(metadata!O464,"misc environment"),EXACT(metadata!O464,"plant-associated"),EXACT(metadata!O464,"sediment"),EXACT(metadata!O464,"soil"),EXACT(metadata!O464,"wastewater/sludge"),EXACT(metadata!O464,"water"))))</f>
        <v>0</v>
      </c>
      <c r="BA464" t="b">
        <f>IF(metadata!P464="",FALSE,TRUE)</f>
        <v>0</v>
      </c>
      <c r="BB464" t="b">
        <f>IF(metadata!Q464="",FALSE,TRUE)</f>
        <v>0</v>
      </c>
      <c r="BC464" t="b">
        <f>OR(AND(IF(metadata!R464="",FALSE,TRUE),OR(EXACT(metadata!R464,"missing: not collected"),EXACT(metadata!R464,"missing: not provided"),EXACT(metadata!R464,"missing: restricted access"))),AND(IF(metadata!R464="",FALSE,ISNUMBER(VALUE(metadata!R464))),metadata!R464&gt;=-90,metadata!R464&lt;=90))</f>
        <v>0</v>
      </c>
      <c r="BD464" t="b">
        <f>AND(IF(metadata!S464="",FALSE,TRUE),EXACT(metadata!S464,"Decimal degrees"))</f>
        <v>0</v>
      </c>
      <c r="BE464" t="b">
        <f>OR(AND(IF(metadata!T464="",FALSE,TRUE),OR(EXACT(metadata!T464,"missing: not collected"),EXACT(metadata!T464,"missing: not provided"),EXACT(metadata!T464,"missing: restricted access"))),AND(IF(metadata!T464="",FALSE,ISNUMBER(VALUE(metadata!T464))),metadata!T464&gt;=-180,metadata!T464&lt;=180))</f>
        <v>0</v>
      </c>
      <c r="BF464" t="b">
        <f>AND(IF(metadata!U464="",FALSE,TRUE),EXACT(metadata!U464,"Decimal degrees"))</f>
        <v>0</v>
      </c>
      <c r="BG464" t="b">
        <f>IF(metadata!V464="",FALSE,TRUE)</f>
        <v>0</v>
      </c>
      <c r="BH464" t="b">
        <f>OR(AND(IF(metadata!W464="",FALSE,TRUE),OR(EXACT(metadata!W464,"missing: not collected"),EXACT(metadata!W464,"missing: not provided"),EXACT(metadata!W464,"missing: restricted access"))),AND(IF(metadata!W464="",FALSE,TRUE),OR(EXACT(metadata!W464,"TRUE"),EXACT(metadata!W464,"FALSE"))))</f>
        <v>0</v>
      </c>
      <c r="BI464" t="b">
        <f>AND(IF(metadata!X464="",FALSE,TRUE),EXACT(metadata!X464,"other"))</f>
        <v>0</v>
      </c>
      <c r="BJ464" t="b">
        <f>IF(metadata!Y464="",FALSE,TRUE)</f>
        <v>0</v>
      </c>
      <c r="BK464" t="b">
        <f>OR(AND(IF(metadata!Z464="",FALSE,TRUE),OR(EXACT(metadata!Z464,"missing: not collected"),EXACT(metadata!Z464,"missing: not provided"))),AND(IF(metadata!Z464="",FALSE,IF(ISERROR(INT(metadata!Z464)),FALSE,INT(metadata!Z464)=metadata!Z464)),metadata!Z464&gt;0))</f>
        <v>0</v>
      </c>
      <c r="BL464" t="b">
        <f>AND(IF(metadata!AA464="",FALSE,TRUE),EXACT(metadata!AA464,"Not applicable"))</f>
        <v>0</v>
      </c>
      <c r="BM464" t="b">
        <f>IF(metadata!AB464="",FALSE,TRUE)</f>
        <v>0</v>
      </c>
    </row>
    <row r="465" spans="1:65" x14ac:dyDescent="0.2">
      <c r="A465" s="5" t="str">
        <f ca="1">IF(B465=" "," ",HYPERLINK(CONCATENATE("#metadata!",ADDRESS(INDEX($AH$2:$AH$1001,MATCH(ROWS($AF$2:AF465),$AF$2:$AF$1001,0),0),1)),INDEX($AK$2:$AK$1001,MATCH(ROWS($AF$2:AF465),$AF$2:$AF$1001,0),0)))</f>
        <v xml:space="preserve"> </v>
      </c>
      <c r="B465" s="4" t="str">
        <f ca="1">IF(OR(INDEX($AG$2:$AG$1001,MATCH(ROWS($AF$2:AF465),$AF$2:$AF$1001,0),1)&gt;=100000,INDEX($AM$1005:$BM$1005,1,MATCH(COLUMNS($AM$1006:AM1006),$AM$1006:$BM$1006,0))&gt;=100000), " ",IF(INDEX($AM$2:$BM$1001,MATCH(ROWS($AF$2:AF465),$AF$2:$AF$1001,0),MATCH(COLUMNS($AM$1006:AM1006),$AM$1006:$BM$1006,0)), HYPERLINK("#",""), HYPERLINK(CONCATENATE("#metadata!", ADDRESS(INDEX($AH$2:$AH$1001,MATCH(ROWS($AF$2:AF465),$AF$2:$AF$1001,0),0), INDEX($AM$1004:$BM$1004,1,MATCH(COLUMNS($AM$1006:AM1006),$AM$1006:$BM$1006,0)))),"Fix")))</f>
        <v xml:space="preserve"> </v>
      </c>
      <c r="C465" s="4" t="str">
        <f ca="1">IF(OR(INDEX($AG$2:$AG$1001,MATCH(ROWS($AF$2:AF465),$AF$2:$AF$1001,0),1)&gt;=100000,INDEX($AM$1005:$BM$1005,1,MATCH(COLUMNS($AM$1006:AN1006),$AM$1006:$BM$1006,0))&gt;=100000), " ",IF(INDEX($AM$2:$BM$1001,MATCH(ROWS($AF$2:AF465),$AF$2:$AF$1001,0),MATCH(COLUMNS($AM$1006:AN1006),$AM$1006:$BM$1006,0)), HYPERLINK("#",""), HYPERLINK(CONCATENATE("#metadata!", ADDRESS(INDEX($AH$2:$AH$1001,MATCH(ROWS($AF$2:AF465),$AF$2:$AF$1001,0),0), INDEX($AM$1004:$BM$1004,1,MATCH(COLUMNS($AM$1006:AN1006),$AM$1006:$BM$1006,0)))),"Fix")))</f>
        <v xml:space="preserve"> </v>
      </c>
      <c r="D465" s="4" t="str">
        <f ca="1">IF(OR(INDEX($AG$2:$AG$1001,MATCH(ROWS($AF$2:AF465),$AF$2:$AF$1001,0),1)&gt;=100000,INDEX($AM$1005:$BM$1005,1,MATCH(COLUMNS($AM$1006:AO1006),$AM$1006:$BM$1006,0))&gt;=100000), " ",IF(INDEX($AM$2:$BM$1001,MATCH(ROWS($AF$2:AF465),$AF$2:$AF$1001,0),MATCH(COLUMNS($AM$1006:AO1006),$AM$1006:$BM$1006,0)), HYPERLINK("#",""), HYPERLINK(CONCATENATE("#metadata!", ADDRESS(INDEX($AH$2:$AH$1001,MATCH(ROWS($AF$2:AF465),$AF$2:$AF$1001,0),0), INDEX($AM$1004:$BM$1004,1,MATCH(COLUMNS($AM$1006:AO1006),$AM$1006:$BM$1006,0)))),"Fix")))</f>
        <v xml:space="preserve"> </v>
      </c>
      <c r="E465" s="4" t="str">
        <f ca="1">IF(OR(INDEX($AG$2:$AG$1001,MATCH(ROWS($AF$2:AF465),$AF$2:$AF$1001,0),1)&gt;=100000,INDEX($AM$1005:$BM$1005,1,MATCH(COLUMNS($AM$1006:AP1006),$AM$1006:$BM$1006,0))&gt;=100000), " ",IF(INDEX($AM$2:$BM$1001,MATCH(ROWS($AF$2:AF465),$AF$2:$AF$1001,0),MATCH(COLUMNS($AM$1006:AP1006),$AM$1006:$BM$1006,0)), HYPERLINK("#",""), HYPERLINK(CONCATENATE("#metadata!", ADDRESS(INDEX($AH$2:$AH$1001,MATCH(ROWS($AF$2:AF465),$AF$2:$AF$1001,0),0), INDEX($AM$1004:$BM$1004,1,MATCH(COLUMNS($AM$1006:AP1006),$AM$1006:$BM$1006,0)))),"Fix")))</f>
        <v xml:space="preserve"> </v>
      </c>
      <c r="F465" s="4" t="str">
        <f ca="1">IF(OR(INDEX($AG$2:$AG$1001,MATCH(ROWS($AF$2:AF465),$AF$2:$AF$1001,0),1)&gt;=100000,INDEX($AM$1005:$BM$1005,1,MATCH(COLUMNS($AM$1006:AQ1006),$AM$1006:$BM$1006,0))&gt;=100000), " ",IF(INDEX($AM$2:$BM$1001,MATCH(ROWS($AF$2:AF465),$AF$2:$AF$1001,0),MATCH(COLUMNS($AM$1006:AQ1006),$AM$1006:$BM$1006,0)), HYPERLINK("#",""), HYPERLINK(CONCATENATE("#metadata!", ADDRESS(INDEX($AH$2:$AH$1001,MATCH(ROWS($AF$2:AF465),$AF$2:$AF$1001,0),0), INDEX($AM$1004:$BM$1004,1,MATCH(COLUMNS($AM$1006:AQ1006),$AM$1006:$BM$1006,0)))),"Fix")))</f>
        <v xml:space="preserve"> </v>
      </c>
      <c r="G465" s="4" t="str">
        <f ca="1">IF(OR(INDEX($AG$2:$AG$1001,MATCH(ROWS($AF$2:AF465),$AF$2:$AF$1001,0),1)&gt;=100000,INDEX($AM$1005:$BM$1005,1,MATCH(COLUMNS($AM$1006:AR1006),$AM$1006:$BM$1006,0))&gt;=100000), " ",IF(INDEX($AM$2:$BM$1001,MATCH(ROWS($AF$2:AF465),$AF$2:$AF$1001,0),MATCH(COLUMNS($AM$1006:AR1006),$AM$1006:$BM$1006,0)), HYPERLINK("#",""), HYPERLINK(CONCATENATE("#metadata!", ADDRESS(INDEX($AH$2:$AH$1001,MATCH(ROWS($AF$2:AF465),$AF$2:$AF$1001,0),0), INDEX($AM$1004:$BM$1004,1,MATCH(COLUMNS($AM$1006:AR1006),$AM$1006:$BM$1006,0)))),"Fix")))</f>
        <v xml:space="preserve"> </v>
      </c>
      <c r="H465" s="4" t="str">
        <f ca="1">IF(OR(INDEX($AG$2:$AG$1001,MATCH(ROWS($AF$2:AF465),$AF$2:$AF$1001,0),1)&gt;=100000,INDEX($AM$1005:$BM$1005,1,MATCH(COLUMNS($AM$1006:AS1006),$AM$1006:$BM$1006,0))&gt;=100000), " ",IF(INDEX($AM$2:$BM$1001,MATCH(ROWS($AF$2:AF465),$AF$2:$AF$1001,0),MATCH(COLUMNS($AM$1006:AS1006),$AM$1006:$BM$1006,0)), HYPERLINK("#",""), HYPERLINK(CONCATENATE("#metadata!", ADDRESS(INDEX($AH$2:$AH$1001,MATCH(ROWS($AF$2:AF465),$AF$2:$AF$1001,0),0), INDEX($AM$1004:$BM$1004,1,MATCH(COLUMNS($AM$1006:AS1006),$AM$1006:$BM$1006,0)))),"Fix")))</f>
        <v xml:space="preserve"> </v>
      </c>
      <c r="I465" s="4" t="str">
        <f ca="1">IF(OR(INDEX($AG$2:$AG$1001,MATCH(ROWS($AF$2:AF465),$AF$2:$AF$1001,0),1)&gt;=100000,INDEX($AM$1005:$BM$1005,1,MATCH(COLUMNS($AM$1006:AT1006),$AM$1006:$BM$1006,0))&gt;=100000), " ",IF(INDEX($AM$2:$BM$1001,MATCH(ROWS($AF$2:AF465),$AF$2:$AF$1001,0),MATCH(COLUMNS($AM$1006:AT1006),$AM$1006:$BM$1006,0)), HYPERLINK("#",""), HYPERLINK(CONCATENATE("#metadata!", ADDRESS(INDEX($AH$2:$AH$1001,MATCH(ROWS($AF$2:AF465),$AF$2:$AF$1001,0),0), INDEX($AM$1004:$BM$1004,1,MATCH(COLUMNS($AM$1006:AT1006),$AM$1006:$BM$1006,0)))),"Fix")))</f>
        <v xml:space="preserve"> </v>
      </c>
      <c r="J465" s="4" t="str">
        <f ca="1">IF(OR(INDEX($AG$2:$AG$1001,MATCH(ROWS($AF$2:AF465),$AF$2:$AF$1001,0),1)&gt;=100000,INDEX($AM$1005:$BM$1005,1,MATCH(COLUMNS($AM$1006:AU1006),$AM$1006:$BM$1006,0))&gt;=100000), " ",IF(INDEX($AM$2:$BM$1001,MATCH(ROWS($AF$2:AF465),$AF$2:$AF$1001,0),MATCH(COLUMNS($AM$1006:AU1006),$AM$1006:$BM$1006,0)), HYPERLINK("#",""), HYPERLINK(CONCATENATE("#metadata!", ADDRESS(INDEX($AH$2:$AH$1001,MATCH(ROWS($AF$2:AF465),$AF$2:$AF$1001,0),0), INDEX($AM$1004:$BM$1004,1,MATCH(COLUMNS($AM$1006:AU1006),$AM$1006:$BM$1006,0)))),"Fix")))</f>
        <v xml:space="preserve"> </v>
      </c>
      <c r="K465" s="4" t="str">
        <f ca="1">IF(OR(INDEX($AG$2:$AG$1001,MATCH(ROWS($AF$2:AF465),$AF$2:$AF$1001,0),1)&gt;=100000,INDEX($AM$1005:$BM$1005,1,MATCH(COLUMNS($AM$1006:AV1006),$AM$1006:$BM$1006,0))&gt;=100000), " ",IF(INDEX($AM$2:$BM$1001,MATCH(ROWS($AF$2:AF465),$AF$2:$AF$1001,0),MATCH(COLUMNS($AM$1006:AV1006),$AM$1006:$BM$1006,0)), HYPERLINK("#",""), HYPERLINK(CONCATENATE("#metadata!", ADDRESS(INDEX($AH$2:$AH$1001,MATCH(ROWS($AF$2:AF465),$AF$2:$AF$1001,0),0), INDEX($AM$1004:$BM$1004,1,MATCH(COLUMNS($AM$1006:AV1006),$AM$1006:$BM$1006,0)))),"Fix")))</f>
        <v xml:space="preserve"> </v>
      </c>
      <c r="L465" s="4" t="str">
        <f ca="1">IF(OR(INDEX($AG$2:$AG$1001,MATCH(ROWS($AF$2:AF465),$AF$2:$AF$1001,0),1)&gt;=100000,INDEX($AM$1005:$BM$1005,1,MATCH(COLUMNS($AM$1006:AW1006),$AM$1006:$BM$1006,0))&gt;=100000), " ",IF(INDEX($AM$2:$BM$1001,MATCH(ROWS($AF$2:AF465),$AF$2:$AF$1001,0),MATCH(COLUMNS($AM$1006:AW1006),$AM$1006:$BM$1006,0)), HYPERLINK("#",""), HYPERLINK(CONCATENATE("#metadata!", ADDRESS(INDEX($AH$2:$AH$1001,MATCH(ROWS($AF$2:AF465),$AF$2:$AF$1001,0),0), INDEX($AM$1004:$BM$1004,1,MATCH(COLUMNS($AM$1006:AW1006),$AM$1006:$BM$1006,0)))),"Fix")))</f>
        <v xml:space="preserve"> </v>
      </c>
      <c r="M465" s="4" t="str">
        <f ca="1">IF(OR(INDEX($AG$2:$AG$1001,MATCH(ROWS($AF$2:AF465),$AF$2:$AF$1001,0),1)&gt;=100000,INDEX($AM$1005:$BM$1005,1,MATCH(COLUMNS($AM$1006:AX1006),$AM$1006:$BM$1006,0))&gt;=100000), " ",IF(INDEX($AM$2:$BM$1001,MATCH(ROWS($AF$2:AF465),$AF$2:$AF$1001,0),MATCH(COLUMNS($AM$1006:AX1006),$AM$1006:$BM$1006,0)), HYPERLINK("#",""), HYPERLINK(CONCATENATE("#metadata!", ADDRESS(INDEX($AH$2:$AH$1001,MATCH(ROWS($AF$2:AF465),$AF$2:$AF$1001,0),0), INDEX($AM$1004:$BM$1004,1,MATCH(COLUMNS($AM$1006:AX1006),$AM$1006:$BM$1006,0)))),"Fix")))</f>
        <v xml:space="preserve"> </v>
      </c>
      <c r="N465" s="4" t="str">
        <f ca="1">IF(OR(INDEX($AG$2:$AG$1001,MATCH(ROWS($AF$2:AF465),$AF$2:$AF$1001,0),1)&gt;=100000,INDEX($AM$1005:$BM$1005,1,MATCH(COLUMNS($AM$1006:AY1006),$AM$1006:$BM$1006,0))&gt;=100000), " ",IF(INDEX($AM$2:$BM$1001,MATCH(ROWS($AF$2:AF465),$AF$2:$AF$1001,0),MATCH(COLUMNS($AM$1006:AY1006),$AM$1006:$BM$1006,0)), HYPERLINK("#",""), HYPERLINK(CONCATENATE("#metadata!", ADDRESS(INDEX($AH$2:$AH$1001,MATCH(ROWS($AF$2:AF465),$AF$2:$AF$1001,0),0), INDEX($AM$1004:$BM$1004,1,MATCH(COLUMNS($AM$1006:AY1006),$AM$1006:$BM$1006,0)))),"Fix")))</f>
        <v xml:space="preserve"> </v>
      </c>
      <c r="O465" s="4" t="str">
        <f ca="1">IF(OR(INDEX($AG$2:$AG$1001,MATCH(ROWS($AF$2:AF465),$AF$2:$AF$1001,0),1)&gt;=100000,INDEX($AM$1005:$BM$1005,1,MATCH(COLUMNS($AM$1006:AZ1006),$AM$1006:$BM$1006,0))&gt;=100000), " ",IF(INDEX($AM$2:$BM$1001,MATCH(ROWS($AF$2:AF465),$AF$2:$AF$1001,0),MATCH(COLUMNS($AM$1006:AZ1006),$AM$1006:$BM$1006,0)), HYPERLINK("#",""), HYPERLINK(CONCATENATE("#metadata!", ADDRESS(INDEX($AH$2:$AH$1001,MATCH(ROWS($AF$2:AF465),$AF$2:$AF$1001,0),0), INDEX($AM$1004:$BM$1004,1,MATCH(COLUMNS($AM$1006:AZ1006),$AM$1006:$BM$1006,0)))),"Fix")))</f>
        <v xml:space="preserve"> </v>
      </c>
      <c r="P465" s="4" t="str">
        <f ca="1">IF(OR(INDEX($AG$2:$AG$1001,MATCH(ROWS($AF$2:AF465),$AF$2:$AF$1001,0),1)&gt;=100000,INDEX($AM$1005:$BM$1005,1,MATCH(COLUMNS($AM$1006:BA1006),$AM$1006:$BM$1006,0))&gt;=100000), " ",IF(INDEX($AM$2:$BM$1001,MATCH(ROWS($AF$2:AF465),$AF$2:$AF$1001,0),MATCH(COLUMNS($AM$1006:BA1006),$AM$1006:$BM$1006,0)), HYPERLINK("#",""), HYPERLINK(CONCATENATE("#metadata!", ADDRESS(INDEX($AH$2:$AH$1001,MATCH(ROWS($AF$2:AF465),$AF$2:$AF$1001,0),0), INDEX($AM$1004:$BM$1004,1,MATCH(COLUMNS($AM$1006:BA1006),$AM$1006:$BM$1006,0)))),"Fix")))</f>
        <v xml:space="preserve"> </v>
      </c>
      <c r="Q465" s="4" t="str">
        <f ca="1">IF(OR(INDEX($AG$2:$AG$1001,MATCH(ROWS($AF$2:AF465),$AF$2:$AF$1001,0),1)&gt;=100000,INDEX($AM$1005:$BM$1005,1,MATCH(COLUMNS($AM$1006:BB1006),$AM$1006:$BM$1006,0))&gt;=100000), " ",IF(INDEX($AM$2:$BM$1001,MATCH(ROWS($AF$2:AF465),$AF$2:$AF$1001,0),MATCH(COLUMNS($AM$1006:BB1006),$AM$1006:$BM$1006,0)), HYPERLINK("#",""), HYPERLINK(CONCATENATE("#metadata!", ADDRESS(INDEX($AH$2:$AH$1001,MATCH(ROWS($AF$2:AF465),$AF$2:$AF$1001,0),0), INDEX($AM$1004:$BM$1004,1,MATCH(COLUMNS($AM$1006:BB1006),$AM$1006:$BM$1006,0)))),"Fix")))</f>
        <v xml:space="preserve"> </v>
      </c>
      <c r="R465" s="4" t="str">
        <f ca="1">IF(OR(INDEX($AG$2:$AG$1001,MATCH(ROWS($AF$2:AF465),$AF$2:$AF$1001,0),1)&gt;=100000,INDEX($AM$1005:$BM$1005,1,MATCH(COLUMNS($AM$1006:BC1006),$AM$1006:$BM$1006,0))&gt;=100000), " ",IF(INDEX($AM$2:$BM$1001,MATCH(ROWS($AF$2:AF465),$AF$2:$AF$1001,0),MATCH(COLUMNS($AM$1006:BC1006),$AM$1006:$BM$1006,0)), HYPERLINK("#",""), HYPERLINK(CONCATENATE("#metadata!", ADDRESS(INDEX($AH$2:$AH$1001,MATCH(ROWS($AF$2:AF465),$AF$2:$AF$1001,0),0), INDEX($AM$1004:$BM$1004,1,MATCH(COLUMNS($AM$1006:BC1006),$AM$1006:$BM$1006,0)))),"Fix")))</f>
        <v xml:space="preserve"> </v>
      </c>
      <c r="S465" s="4" t="str">
        <f ca="1">IF(OR(INDEX($AG$2:$AG$1001,MATCH(ROWS($AF$2:AF465),$AF$2:$AF$1001,0),1)&gt;=100000,INDEX($AM$1005:$BM$1005,1,MATCH(COLUMNS($AM$1006:BD1006),$AM$1006:$BM$1006,0))&gt;=100000), " ",IF(INDEX($AM$2:$BM$1001,MATCH(ROWS($AF$2:AF465),$AF$2:$AF$1001,0),MATCH(COLUMNS($AM$1006:BD1006),$AM$1006:$BM$1006,0)), HYPERLINK("#",""), HYPERLINK(CONCATENATE("#metadata!", ADDRESS(INDEX($AH$2:$AH$1001,MATCH(ROWS($AF$2:AF465),$AF$2:$AF$1001,0),0), INDEX($AM$1004:$BM$1004,1,MATCH(COLUMNS($AM$1006:BD1006),$AM$1006:$BM$1006,0)))),"Fix")))</f>
        <v xml:space="preserve"> </v>
      </c>
      <c r="T465" s="4" t="str">
        <f ca="1">IF(OR(INDEX($AG$2:$AG$1001,MATCH(ROWS($AF$2:AF465),$AF$2:$AF$1001,0),1)&gt;=100000,INDEX($AM$1005:$BM$1005,1,MATCH(COLUMNS($AM$1006:BE1006),$AM$1006:$BM$1006,0))&gt;=100000), " ",IF(INDEX($AM$2:$BM$1001,MATCH(ROWS($AF$2:AF465),$AF$2:$AF$1001,0),MATCH(COLUMNS($AM$1006:BE1006),$AM$1006:$BM$1006,0)), HYPERLINK("#",""), HYPERLINK(CONCATENATE("#metadata!", ADDRESS(INDEX($AH$2:$AH$1001,MATCH(ROWS($AF$2:AF465),$AF$2:$AF$1001,0),0), INDEX($AM$1004:$BM$1004,1,MATCH(COLUMNS($AM$1006:BE1006),$AM$1006:$BM$1006,0)))),"Fix")))</f>
        <v xml:space="preserve"> </v>
      </c>
      <c r="U465" s="4" t="str">
        <f ca="1">IF(OR(INDEX($AG$2:$AG$1001,MATCH(ROWS($AF$2:AF465),$AF$2:$AF$1001,0),1)&gt;=100000,INDEX($AM$1005:$BM$1005,1,MATCH(COLUMNS($AM$1006:BF1006),$AM$1006:$BM$1006,0))&gt;=100000), " ",IF(INDEX($AM$2:$BM$1001,MATCH(ROWS($AF$2:AF465),$AF$2:$AF$1001,0),MATCH(COLUMNS($AM$1006:BF1006),$AM$1006:$BM$1006,0)), HYPERLINK("#",""), HYPERLINK(CONCATENATE("#metadata!", ADDRESS(INDEX($AH$2:$AH$1001,MATCH(ROWS($AF$2:AF465),$AF$2:$AF$1001,0),0), INDEX($AM$1004:$BM$1004,1,MATCH(COLUMNS($AM$1006:BF1006),$AM$1006:$BM$1006,0)))),"Fix")))</f>
        <v xml:space="preserve"> </v>
      </c>
      <c r="V465" s="4" t="str">
        <f ca="1">IF(OR(INDEX($AG$2:$AG$1001,MATCH(ROWS($AF$2:AF465),$AF$2:$AF$1001,0),1)&gt;=100000,INDEX($AM$1005:$BM$1005,1,MATCH(COLUMNS($AM$1006:BG1006),$AM$1006:$BM$1006,0))&gt;=100000), " ",IF(INDEX($AM$2:$BM$1001,MATCH(ROWS($AF$2:AF465),$AF$2:$AF$1001,0),MATCH(COLUMNS($AM$1006:BG1006),$AM$1006:$BM$1006,0)), HYPERLINK("#",""), HYPERLINK(CONCATENATE("#metadata!", ADDRESS(INDEX($AH$2:$AH$1001,MATCH(ROWS($AF$2:AF465),$AF$2:$AF$1001,0),0), INDEX($AM$1004:$BM$1004,1,MATCH(COLUMNS($AM$1006:BG1006),$AM$1006:$BM$1006,0)))),"Fix")))</f>
        <v xml:space="preserve"> </v>
      </c>
      <c r="W465" s="4" t="str">
        <f ca="1">IF(OR(INDEX($AG$2:$AG$1001,MATCH(ROWS($AF$2:AF465),$AF$2:$AF$1001,0),1)&gt;=100000,INDEX($AM$1005:$BM$1005,1,MATCH(COLUMNS($AM$1006:BH1006),$AM$1006:$BM$1006,0))&gt;=100000), " ",IF(INDEX($AM$2:$BM$1001,MATCH(ROWS($AF$2:AF465),$AF$2:$AF$1001,0),MATCH(COLUMNS($AM$1006:BH1006),$AM$1006:$BM$1006,0)), HYPERLINK("#",""), HYPERLINK(CONCATENATE("#metadata!", ADDRESS(INDEX($AH$2:$AH$1001,MATCH(ROWS($AF$2:AF465),$AF$2:$AF$1001,0),0), INDEX($AM$1004:$BM$1004,1,MATCH(COLUMNS($AM$1006:BH1006),$AM$1006:$BM$1006,0)))),"Fix")))</f>
        <v xml:space="preserve"> </v>
      </c>
      <c r="X465" s="4" t="str">
        <f ca="1">IF(OR(INDEX($AG$2:$AG$1001,MATCH(ROWS($AF$2:AF465),$AF$2:$AF$1001,0),1)&gt;=100000,INDEX($AM$1005:$BM$1005,1,MATCH(COLUMNS($AM$1006:BI1006),$AM$1006:$BM$1006,0))&gt;=100000), " ",IF(INDEX($AM$2:$BM$1001,MATCH(ROWS($AF$2:AF465),$AF$2:$AF$1001,0),MATCH(COLUMNS($AM$1006:BI1006),$AM$1006:$BM$1006,0)), HYPERLINK("#",""), HYPERLINK(CONCATENATE("#metadata!", ADDRESS(INDEX($AH$2:$AH$1001,MATCH(ROWS($AF$2:AF465),$AF$2:$AF$1001,0),0), INDEX($AM$1004:$BM$1004,1,MATCH(COLUMNS($AM$1006:BI1006),$AM$1006:$BM$1006,0)))),"Fix")))</f>
        <v xml:space="preserve"> </v>
      </c>
      <c r="Y465" s="4" t="str">
        <f ca="1">IF(OR(INDEX($AG$2:$AG$1001,MATCH(ROWS($AF$2:AF465),$AF$2:$AF$1001,0),1)&gt;=100000,INDEX($AM$1005:$BM$1005,1,MATCH(COLUMNS($AM$1006:BJ1006),$AM$1006:$BM$1006,0))&gt;=100000), " ",IF(INDEX($AM$2:$BM$1001,MATCH(ROWS($AF$2:AF465),$AF$2:$AF$1001,0),MATCH(COLUMNS($AM$1006:BJ1006),$AM$1006:$BM$1006,0)), HYPERLINK("#",""), HYPERLINK(CONCATENATE("#metadata!", ADDRESS(INDEX($AH$2:$AH$1001,MATCH(ROWS($AF$2:AF465),$AF$2:$AF$1001,0),0), INDEX($AM$1004:$BM$1004,1,MATCH(COLUMNS($AM$1006:BJ1006),$AM$1006:$BM$1006,0)))),"Fix")))</f>
        <v xml:space="preserve"> </v>
      </c>
      <c r="Z465" s="4" t="str">
        <f ca="1">IF(OR(INDEX($AG$2:$AG$1001,MATCH(ROWS($AF$2:AF465),$AF$2:$AF$1001,0),1)&gt;=100000,INDEX($AM$1005:$BM$1005,1,MATCH(COLUMNS($AM$1006:BK1006),$AM$1006:$BM$1006,0))&gt;=100000), " ",IF(INDEX($AM$2:$BM$1001,MATCH(ROWS($AF$2:AF465),$AF$2:$AF$1001,0),MATCH(COLUMNS($AM$1006:BK1006),$AM$1006:$BM$1006,0)), HYPERLINK("#",""), HYPERLINK(CONCATENATE("#metadata!", ADDRESS(INDEX($AH$2:$AH$1001,MATCH(ROWS($AF$2:AF465),$AF$2:$AF$1001,0),0), INDEX($AM$1004:$BM$1004,1,MATCH(COLUMNS($AM$1006:BK1006),$AM$1006:$BM$1006,0)))),"Fix")))</f>
        <v xml:space="preserve"> </v>
      </c>
      <c r="AA465" s="4" t="str">
        <f ca="1">IF(OR(INDEX($AG$2:$AG$1001,MATCH(ROWS($AF$2:AF465),$AF$2:$AF$1001,0),1)&gt;=100000,INDEX($AM$1005:$BM$1005,1,MATCH(COLUMNS($AM$1006:BL1006),$AM$1006:$BM$1006,0))&gt;=100000), " ",IF(INDEX($AM$2:$BM$1001,MATCH(ROWS($AF$2:AF465),$AF$2:$AF$1001,0),MATCH(COLUMNS($AM$1006:BL1006),$AM$1006:$BM$1006,0)), HYPERLINK("#",""), HYPERLINK(CONCATENATE("#metadata!", ADDRESS(INDEX($AH$2:$AH$1001,MATCH(ROWS($AF$2:AF465),$AF$2:$AF$1001,0),0), INDEX($AM$1004:$BM$1004,1,MATCH(COLUMNS($AM$1006:BL1006),$AM$1006:$BM$1006,0)))),"Fix")))</f>
        <v xml:space="preserve"> </v>
      </c>
      <c r="AB465" s="4" t="str">
        <f ca="1">IF(OR(INDEX($AG$2:$AG$1001,MATCH(ROWS($AF$2:AF465),$AF$2:$AF$1001,0),1)&gt;=100000,INDEX($AM$1005:$BM$1005,1,MATCH(COLUMNS($AM$1006:BM1006),$AM$1006:$BM$1006,0))&gt;=100000), " ",IF(INDEX($AM$2:$BM$1001,MATCH(ROWS($AF$2:AF465),$AF$2:$AF$1001,0),MATCH(COLUMNS($AM$1006:BM1006),$AM$1006:$BM$1006,0)), HYPERLINK("#",""), HYPERLINK(CONCATENATE("#metadata!", ADDRESS(INDEX($AH$2:$AH$1001,MATCH(ROWS($AF$2:AF465),$AF$2:$AF$1001,0),0), INDEX($AM$1004:$BM$1004,1,MATCH(COLUMNS($AM$1006:BM1006),$AM$1006:$BM$1006,0)))),"Fix")))</f>
        <v xml:space="preserve"> </v>
      </c>
      <c r="AF465">
        <v>464</v>
      </c>
      <c r="AG465">
        <v>100465</v>
      </c>
      <c r="AH465">
        <v>465</v>
      </c>
      <c r="AI465" t="b">
        <f t="shared" si="7"/>
        <v>1</v>
      </c>
      <c r="AJ465" t="b">
        <f>COUNTBLANK(metadata!B465:AB465)=COLUMNS(metadata!B465:AB465)</f>
        <v>1</v>
      </c>
      <c r="AK465" t="str">
        <v/>
      </c>
      <c r="AM465" t="b">
        <f ca="1">AND(IF(metadata!B465="",FALSE,TRUE),COUNTIF(metadata!B:B, metadata!B465) = 1,NOT(ISERROR(SUMPRODUCT(SEARCH(MID(metadata!B465,ROW(INDIRECT("1:"&amp;LEN(metadata!B465))), 1),"0123456789abcdefghijklmnopqrstuvwxyzABCDEFGHIJKLMNOPQRSTUVWXYZ.")))))</f>
        <v>0</v>
      </c>
      <c r="AN465" t="b">
        <f ca="1">OR(AND(IF(metadata!C465="",FALSE,TRUE),OR(EXACT(metadata!C465,"missing: not collected"),EXACT(metadata!C465,"missing: not provided"),EXACT(metadata!C465,"missing: restricted access"))),AND(IF(metadata!C465="",FALSE,TRUE),AND(AND(IFERROR(INT(LEFT(metadata!C465,4))&gt;1900,FALSE),IFERROR(INT(LEFT(metadata!C465,4))&lt;=YEAR(NOW()),FALSE)), OR(MID(metadata!C465,5,1)="", AND(AND(MID(metadata!C465,5,1)="-",IFERROR(INT(MID(metadata!C465,6,1))&gt;=0,FALSE),IFERROR(INT(MID(metadata!C465,6,1))&lt;=1,FALSE),NOT(MID(metadata!C465,7,1)=""),IFERROR(INT(MID(metadata!C465,6,2))&gt;=1,FALSE),IFERROR(INT(MID(metadata!C465,6,2))&lt;=12,FALSE)), OR(MID(metadata!C465,8,1)="", AND(AND(MID(metadata!C465,8,1)="-",IFERROR(INT(MID(metadata!C465,9,1))&gt;=0,FALSE),IFERROR(INT(MID(metadata!C465,9,1))&lt;=3,FALSE),NOT(MID(metadata!C465,10,1)=""),IFERROR(INT(MID(metadata!C465,9,2))&gt;=1,FALSE),IFERROR(INT(MID(metadata!C465,9,2))&lt;=31,FALSE)), OR(MID(metadata!C465,11,1)="", AND(AND(MID(metadata!C465,11,1)=" ",IFERROR(INT(MID(metadata!C465,12,1))&gt;=0,FALSE),IFERROR(INT(MID(metadata!C465,12,1))&lt;=2,FALSE),NOT(MID(metadata!C465,13,1)=""),IFERROR(INT(MID(metadata!C465,12,2))&gt;=0,FALSE),IFERROR(INT(MID(metadata!C465,12,2))&lt;=23,FALSE)), OR(MID(metadata!C465,14,1)="", AND(AND(MID(metadata!C465,14,1)=":",IFERROR(INT(MID(metadata!C465,15,1))&gt;=0,FALSE),IFERROR(INT(MID(metadata!C465,15,1))&lt;=5,FALSE),NOT(MID(metadata!C465,16,1)=""),IFERROR(INT(MID(metadata!C465,15,2))&gt;=0,FALSE),IFERROR(INT(MID(metadata!C465,15,2))&lt;=59,FALSE)), OR(MID(metadata!C465,17,1)="", AND(AND(MID(metadata!C465,17,1)=":",IFERROR(INT(MID(metadata!C465,18,1))&gt;=0,FALSE),IFERROR(INT(MID(metadata!C465,18,1))&lt;=5,FALSE),NOT(MID(metadata!C465,19,1)=""),IFERROR(INT(MID(metadata!C465,18,2))&gt;=0,FALSE),IFERROR(INT(MID(metadata!C465,18,2))&lt;=59,FALSE)), LEN(metadata!C465)&lt;=19)))))))))))))</f>
        <v>0</v>
      </c>
      <c r="AO465" t="b">
        <f>AND(IF(metadata!D465="",FALSE,TRUE),EXACT(metadata!D465,"Not applicable"))</f>
        <v>0</v>
      </c>
      <c r="AP465" t="b">
        <f>IF(metadata!E465="",FALSE,TRUE)</f>
        <v>0</v>
      </c>
      <c r="AQ465" t="b">
        <f>OR(AND(IF(metadata!F465="",FALSE,TRUE),OR(EXACT(metadata!F465,"missing: not collected"),EXACT(metadata!F465,"missing: not provided"))),AND(IF(metadata!F465="",FALSE,TRUE),OR(EXACT(metadata!F465,"TRUE"),EXACT(metadata!F465,"FALSE"))))</f>
        <v>0</v>
      </c>
      <c r="AR465" t="b">
        <f>OR(AND(IF(metadata!G465="",FALSE,TRUE),OR(EXACT(metadata!G465,"missing: not collected"),EXACT(metadata!G465,"missing: not provided"),EXACT(metadata!G465,"missing: restricted access"))),AND(IF(metadata!G465="",FALSE,ISNUMBER(VALUE(metadata!G465))),metadata!G465&gt;=-413))</f>
        <v>0</v>
      </c>
      <c r="AS465" t="b">
        <f>AND(IF(metadata!H465="",FALSE,TRUE),EXACT(metadata!H465,"meters"))</f>
        <v>0</v>
      </c>
      <c r="AT465" t="b">
        <f>AND(IF(metadata!I465="",FALSE,TRUE),OR(EXACT(metadata!I465,"Host-associated"),EXACT(metadata!I465,"Free-living")))</f>
        <v>0</v>
      </c>
      <c r="AU465" t="b">
        <f>AND(IF(metadata!J465="",FALSE,TRUE),OR(EXACT(metadata!J465,"Animal"),EXACT(metadata!J465,"Fungus"),EXACT(metadata!J465,"Plant"),EXACT(metadata!J465,"Saline"),EXACT(metadata!J465,"Non-saline")))</f>
        <v>0</v>
      </c>
      <c r="AV465" t="b">
        <f>AND(IF(metadata!K465="",FALSE,TRUE),OR(EXACT(metadata!K465,"Plant secretion"),EXACT(metadata!K465,"Plant rhizosphere"),EXACT(metadata!K465,"Plant surface"),EXACT(metadata!K465,"Plant corpus"),EXACT(metadata!K465,"Fungus surface"),EXACT(metadata!K465,"Fungus corpus"),EXACT(metadata!K465,"Animal surface"),EXACT(metadata!K465,"Animal proximal gut"),EXACT(metadata!K465,"Animal corpus"),EXACT(metadata!K465,"Animal distal gut"),EXACT(metadata!K465,"Animal secretion"),EXACT(metadata!K465,"Sub-surface (non-saline)"),EXACT(metadata!K465,"Surface (non-saline)"),EXACT(metadata!K465,"Water (non-saline)"),EXACT(metadata!K465,"Soil (non-saline)"),EXACT(metadata!K465,"Aerosol (non-saline)"),EXACT(metadata!K465,"Sediment (non-saline)"),EXACT(metadata!K465,"Surface (saline)"),EXACT(metadata!K465,"Water (saline)"),EXACT(metadata!K465,"Hypersaline (saline)"),EXACT(metadata!K465,"Aerosol (saline)"),EXACT(metadata!K465,"Sediment (saline)")))</f>
        <v>0</v>
      </c>
      <c r="AW465" t="b">
        <f>IF(metadata!L465="",FALSE,TRUE)</f>
        <v>0</v>
      </c>
      <c r="AX465" t="b">
        <f>IF(metadata!M465="",FALSE,TRUE)</f>
        <v>0</v>
      </c>
      <c r="AY465" t="b">
        <f>IF(metadata!N465="",FALSE,TRUE)</f>
        <v>0</v>
      </c>
      <c r="AZ465" t="b">
        <f>OR(AND(IF(metadata!O465="",FALSE,TRUE),OR(EXACT(metadata!O465,"missing: not collected"),EXACT(metadata!O465,"missing: not provided"),EXACT(metadata!O465,"missing: restricted access"))),AND(IF(metadata!O465="",FALSE,TRUE),OR(EXACT(metadata!O465,"air"),EXACT(metadata!O465,"built environment"),EXACT(metadata!O465,"host-associated"),EXACT(metadata!O465,"human-associated"),EXACT(metadata!O465,"human-skin"),EXACT(metadata!O465,"human-oral"),EXACT(metadata!O465,"human-gut"),EXACT(metadata!O465,"human-vaginal"),EXACT(metadata!O465,"microbial mat/biofilm"),EXACT(metadata!O465,"misc environment"),EXACT(metadata!O465,"plant-associated"),EXACT(metadata!O465,"sediment"),EXACT(metadata!O465,"soil"),EXACT(metadata!O465,"wastewater/sludge"),EXACT(metadata!O465,"water"))))</f>
        <v>0</v>
      </c>
      <c r="BA465" t="b">
        <f>IF(metadata!P465="",FALSE,TRUE)</f>
        <v>0</v>
      </c>
      <c r="BB465" t="b">
        <f>IF(metadata!Q465="",FALSE,TRUE)</f>
        <v>0</v>
      </c>
      <c r="BC465" t="b">
        <f>OR(AND(IF(metadata!R465="",FALSE,TRUE),OR(EXACT(metadata!R465,"missing: not collected"),EXACT(metadata!R465,"missing: not provided"),EXACT(metadata!R465,"missing: restricted access"))),AND(IF(metadata!R465="",FALSE,ISNUMBER(VALUE(metadata!R465))),metadata!R465&gt;=-90,metadata!R465&lt;=90))</f>
        <v>0</v>
      </c>
      <c r="BD465" t="b">
        <f>AND(IF(metadata!S465="",FALSE,TRUE),EXACT(metadata!S465,"Decimal degrees"))</f>
        <v>0</v>
      </c>
      <c r="BE465" t="b">
        <f>OR(AND(IF(metadata!T465="",FALSE,TRUE),OR(EXACT(metadata!T465,"missing: not collected"),EXACT(metadata!T465,"missing: not provided"),EXACT(metadata!T465,"missing: restricted access"))),AND(IF(metadata!T465="",FALSE,ISNUMBER(VALUE(metadata!T465))),metadata!T465&gt;=-180,metadata!T465&lt;=180))</f>
        <v>0</v>
      </c>
      <c r="BF465" t="b">
        <f>AND(IF(metadata!U465="",FALSE,TRUE),EXACT(metadata!U465,"Decimal degrees"))</f>
        <v>0</v>
      </c>
      <c r="BG465" t="b">
        <f>IF(metadata!V465="",FALSE,TRUE)</f>
        <v>0</v>
      </c>
      <c r="BH465" t="b">
        <f>OR(AND(IF(metadata!W465="",FALSE,TRUE),OR(EXACT(metadata!W465,"missing: not collected"),EXACT(metadata!W465,"missing: not provided"),EXACT(metadata!W465,"missing: restricted access"))),AND(IF(metadata!W465="",FALSE,TRUE),OR(EXACT(metadata!W465,"TRUE"),EXACT(metadata!W465,"FALSE"))))</f>
        <v>0</v>
      </c>
      <c r="BI465" t="b">
        <f>AND(IF(metadata!X465="",FALSE,TRUE),EXACT(metadata!X465,"other"))</f>
        <v>0</v>
      </c>
      <c r="BJ465" t="b">
        <f>IF(metadata!Y465="",FALSE,TRUE)</f>
        <v>0</v>
      </c>
      <c r="BK465" t="b">
        <f>OR(AND(IF(metadata!Z465="",FALSE,TRUE),OR(EXACT(metadata!Z465,"missing: not collected"),EXACT(metadata!Z465,"missing: not provided"))),AND(IF(metadata!Z465="",FALSE,IF(ISERROR(INT(metadata!Z465)),FALSE,INT(metadata!Z465)=metadata!Z465)),metadata!Z465&gt;0))</f>
        <v>0</v>
      </c>
      <c r="BL465" t="b">
        <f>AND(IF(metadata!AA465="",FALSE,TRUE),EXACT(metadata!AA465,"Not applicable"))</f>
        <v>0</v>
      </c>
      <c r="BM465" t="b">
        <f>IF(metadata!AB465="",FALSE,TRUE)</f>
        <v>0</v>
      </c>
    </row>
    <row r="466" spans="1:65" x14ac:dyDescent="0.2">
      <c r="A466" s="5" t="str">
        <f ca="1">IF(B466=" "," ",HYPERLINK(CONCATENATE("#metadata!",ADDRESS(INDEX($AH$2:$AH$1001,MATCH(ROWS($AF$2:AF466),$AF$2:$AF$1001,0),0),1)),INDEX($AK$2:$AK$1001,MATCH(ROWS($AF$2:AF466),$AF$2:$AF$1001,0),0)))</f>
        <v xml:space="preserve"> </v>
      </c>
      <c r="B466" s="4" t="str">
        <f ca="1">IF(OR(INDEX($AG$2:$AG$1001,MATCH(ROWS($AF$2:AF466),$AF$2:$AF$1001,0),1)&gt;=100000,INDEX($AM$1005:$BM$1005,1,MATCH(COLUMNS($AM$1006:AM1006),$AM$1006:$BM$1006,0))&gt;=100000), " ",IF(INDEX($AM$2:$BM$1001,MATCH(ROWS($AF$2:AF466),$AF$2:$AF$1001,0),MATCH(COLUMNS($AM$1006:AM1006),$AM$1006:$BM$1006,0)), HYPERLINK("#",""), HYPERLINK(CONCATENATE("#metadata!", ADDRESS(INDEX($AH$2:$AH$1001,MATCH(ROWS($AF$2:AF466),$AF$2:$AF$1001,0),0), INDEX($AM$1004:$BM$1004,1,MATCH(COLUMNS($AM$1006:AM1006),$AM$1006:$BM$1006,0)))),"Fix")))</f>
        <v xml:space="preserve"> </v>
      </c>
      <c r="C466" s="4" t="str">
        <f ca="1">IF(OR(INDEX($AG$2:$AG$1001,MATCH(ROWS($AF$2:AF466),$AF$2:$AF$1001,0),1)&gt;=100000,INDEX($AM$1005:$BM$1005,1,MATCH(COLUMNS($AM$1006:AN1006),$AM$1006:$BM$1006,0))&gt;=100000), " ",IF(INDEX($AM$2:$BM$1001,MATCH(ROWS($AF$2:AF466),$AF$2:$AF$1001,0),MATCH(COLUMNS($AM$1006:AN1006),$AM$1006:$BM$1006,0)), HYPERLINK("#",""), HYPERLINK(CONCATENATE("#metadata!", ADDRESS(INDEX($AH$2:$AH$1001,MATCH(ROWS($AF$2:AF466),$AF$2:$AF$1001,0),0), INDEX($AM$1004:$BM$1004,1,MATCH(COLUMNS($AM$1006:AN1006),$AM$1006:$BM$1006,0)))),"Fix")))</f>
        <v xml:space="preserve"> </v>
      </c>
      <c r="D466" s="4" t="str">
        <f ca="1">IF(OR(INDEX($AG$2:$AG$1001,MATCH(ROWS($AF$2:AF466),$AF$2:$AF$1001,0),1)&gt;=100000,INDEX($AM$1005:$BM$1005,1,MATCH(COLUMNS($AM$1006:AO1006),$AM$1006:$BM$1006,0))&gt;=100000), " ",IF(INDEX($AM$2:$BM$1001,MATCH(ROWS($AF$2:AF466),$AF$2:$AF$1001,0),MATCH(COLUMNS($AM$1006:AO1006),$AM$1006:$BM$1006,0)), HYPERLINK("#",""), HYPERLINK(CONCATENATE("#metadata!", ADDRESS(INDEX($AH$2:$AH$1001,MATCH(ROWS($AF$2:AF466),$AF$2:$AF$1001,0),0), INDEX($AM$1004:$BM$1004,1,MATCH(COLUMNS($AM$1006:AO1006),$AM$1006:$BM$1006,0)))),"Fix")))</f>
        <v xml:space="preserve"> </v>
      </c>
      <c r="E466" s="4" t="str">
        <f ca="1">IF(OR(INDEX($AG$2:$AG$1001,MATCH(ROWS($AF$2:AF466),$AF$2:$AF$1001,0),1)&gt;=100000,INDEX($AM$1005:$BM$1005,1,MATCH(COLUMNS($AM$1006:AP1006),$AM$1006:$BM$1006,0))&gt;=100000), " ",IF(INDEX($AM$2:$BM$1001,MATCH(ROWS($AF$2:AF466),$AF$2:$AF$1001,0),MATCH(COLUMNS($AM$1006:AP1006),$AM$1006:$BM$1006,0)), HYPERLINK("#",""), HYPERLINK(CONCATENATE("#metadata!", ADDRESS(INDEX($AH$2:$AH$1001,MATCH(ROWS($AF$2:AF466),$AF$2:$AF$1001,0),0), INDEX($AM$1004:$BM$1004,1,MATCH(COLUMNS($AM$1006:AP1006),$AM$1006:$BM$1006,0)))),"Fix")))</f>
        <v xml:space="preserve"> </v>
      </c>
      <c r="F466" s="4" t="str">
        <f ca="1">IF(OR(INDEX($AG$2:$AG$1001,MATCH(ROWS($AF$2:AF466),$AF$2:$AF$1001,0),1)&gt;=100000,INDEX($AM$1005:$BM$1005,1,MATCH(COLUMNS($AM$1006:AQ1006),$AM$1006:$BM$1006,0))&gt;=100000), " ",IF(INDEX($AM$2:$BM$1001,MATCH(ROWS($AF$2:AF466),$AF$2:$AF$1001,0),MATCH(COLUMNS($AM$1006:AQ1006),$AM$1006:$BM$1006,0)), HYPERLINK("#",""), HYPERLINK(CONCATENATE("#metadata!", ADDRESS(INDEX($AH$2:$AH$1001,MATCH(ROWS($AF$2:AF466),$AF$2:$AF$1001,0),0), INDEX($AM$1004:$BM$1004,1,MATCH(COLUMNS($AM$1006:AQ1006),$AM$1006:$BM$1006,0)))),"Fix")))</f>
        <v xml:space="preserve"> </v>
      </c>
      <c r="G466" s="4" t="str">
        <f ca="1">IF(OR(INDEX($AG$2:$AG$1001,MATCH(ROWS($AF$2:AF466),$AF$2:$AF$1001,0),1)&gt;=100000,INDEX($AM$1005:$BM$1005,1,MATCH(COLUMNS($AM$1006:AR1006),$AM$1006:$BM$1006,0))&gt;=100000), " ",IF(INDEX($AM$2:$BM$1001,MATCH(ROWS($AF$2:AF466),$AF$2:$AF$1001,0),MATCH(COLUMNS($AM$1006:AR1006),$AM$1006:$BM$1006,0)), HYPERLINK("#",""), HYPERLINK(CONCATENATE("#metadata!", ADDRESS(INDEX($AH$2:$AH$1001,MATCH(ROWS($AF$2:AF466),$AF$2:$AF$1001,0),0), INDEX($AM$1004:$BM$1004,1,MATCH(COLUMNS($AM$1006:AR1006),$AM$1006:$BM$1006,0)))),"Fix")))</f>
        <v xml:space="preserve"> </v>
      </c>
      <c r="H466" s="4" t="str">
        <f ca="1">IF(OR(INDEX($AG$2:$AG$1001,MATCH(ROWS($AF$2:AF466),$AF$2:$AF$1001,0),1)&gt;=100000,INDEX($AM$1005:$BM$1005,1,MATCH(COLUMNS($AM$1006:AS1006),$AM$1006:$BM$1006,0))&gt;=100000), " ",IF(INDEX($AM$2:$BM$1001,MATCH(ROWS($AF$2:AF466),$AF$2:$AF$1001,0),MATCH(COLUMNS($AM$1006:AS1006),$AM$1006:$BM$1006,0)), HYPERLINK("#",""), HYPERLINK(CONCATENATE("#metadata!", ADDRESS(INDEX($AH$2:$AH$1001,MATCH(ROWS($AF$2:AF466),$AF$2:$AF$1001,0),0), INDEX($AM$1004:$BM$1004,1,MATCH(COLUMNS($AM$1006:AS1006),$AM$1006:$BM$1006,0)))),"Fix")))</f>
        <v xml:space="preserve"> </v>
      </c>
      <c r="I466" s="4" t="str">
        <f ca="1">IF(OR(INDEX($AG$2:$AG$1001,MATCH(ROWS($AF$2:AF466),$AF$2:$AF$1001,0),1)&gt;=100000,INDEX($AM$1005:$BM$1005,1,MATCH(COLUMNS($AM$1006:AT1006),$AM$1006:$BM$1006,0))&gt;=100000), " ",IF(INDEX($AM$2:$BM$1001,MATCH(ROWS($AF$2:AF466),$AF$2:$AF$1001,0),MATCH(COLUMNS($AM$1006:AT1006),$AM$1006:$BM$1006,0)), HYPERLINK("#",""), HYPERLINK(CONCATENATE("#metadata!", ADDRESS(INDEX($AH$2:$AH$1001,MATCH(ROWS($AF$2:AF466),$AF$2:$AF$1001,0),0), INDEX($AM$1004:$BM$1004,1,MATCH(COLUMNS($AM$1006:AT1006),$AM$1006:$BM$1006,0)))),"Fix")))</f>
        <v xml:space="preserve"> </v>
      </c>
      <c r="J466" s="4" t="str">
        <f ca="1">IF(OR(INDEX($AG$2:$AG$1001,MATCH(ROWS($AF$2:AF466),$AF$2:$AF$1001,0),1)&gt;=100000,INDEX($AM$1005:$BM$1005,1,MATCH(COLUMNS($AM$1006:AU1006),$AM$1006:$BM$1006,0))&gt;=100000), " ",IF(INDEX($AM$2:$BM$1001,MATCH(ROWS($AF$2:AF466),$AF$2:$AF$1001,0),MATCH(COLUMNS($AM$1006:AU1006),$AM$1006:$BM$1006,0)), HYPERLINK("#",""), HYPERLINK(CONCATENATE("#metadata!", ADDRESS(INDEX($AH$2:$AH$1001,MATCH(ROWS($AF$2:AF466),$AF$2:$AF$1001,0),0), INDEX($AM$1004:$BM$1004,1,MATCH(COLUMNS($AM$1006:AU1006),$AM$1006:$BM$1006,0)))),"Fix")))</f>
        <v xml:space="preserve"> </v>
      </c>
      <c r="K466" s="4" t="str">
        <f ca="1">IF(OR(INDEX($AG$2:$AG$1001,MATCH(ROWS($AF$2:AF466),$AF$2:$AF$1001,0),1)&gt;=100000,INDEX($AM$1005:$BM$1005,1,MATCH(COLUMNS($AM$1006:AV1006),$AM$1006:$BM$1006,0))&gt;=100000), " ",IF(INDEX($AM$2:$BM$1001,MATCH(ROWS($AF$2:AF466),$AF$2:$AF$1001,0),MATCH(COLUMNS($AM$1006:AV1006),$AM$1006:$BM$1006,0)), HYPERLINK("#",""), HYPERLINK(CONCATENATE("#metadata!", ADDRESS(INDEX($AH$2:$AH$1001,MATCH(ROWS($AF$2:AF466),$AF$2:$AF$1001,0),0), INDEX($AM$1004:$BM$1004,1,MATCH(COLUMNS($AM$1006:AV1006),$AM$1006:$BM$1006,0)))),"Fix")))</f>
        <v xml:space="preserve"> </v>
      </c>
      <c r="L466" s="4" t="str">
        <f ca="1">IF(OR(INDEX($AG$2:$AG$1001,MATCH(ROWS($AF$2:AF466),$AF$2:$AF$1001,0),1)&gt;=100000,INDEX($AM$1005:$BM$1005,1,MATCH(COLUMNS($AM$1006:AW1006),$AM$1006:$BM$1006,0))&gt;=100000), " ",IF(INDEX($AM$2:$BM$1001,MATCH(ROWS($AF$2:AF466),$AF$2:$AF$1001,0),MATCH(COLUMNS($AM$1006:AW1006),$AM$1006:$BM$1006,0)), HYPERLINK("#",""), HYPERLINK(CONCATENATE("#metadata!", ADDRESS(INDEX($AH$2:$AH$1001,MATCH(ROWS($AF$2:AF466),$AF$2:$AF$1001,0),0), INDEX($AM$1004:$BM$1004,1,MATCH(COLUMNS($AM$1006:AW1006),$AM$1006:$BM$1006,0)))),"Fix")))</f>
        <v xml:space="preserve"> </v>
      </c>
      <c r="M466" s="4" t="str">
        <f ca="1">IF(OR(INDEX($AG$2:$AG$1001,MATCH(ROWS($AF$2:AF466),$AF$2:$AF$1001,0),1)&gt;=100000,INDEX($AM$1005:$BM$1005,1,MATCH(COLUMNS($AM$1006:AX1006),$AM$1006:$BM$1006,0))&gt;=100000), " ",IF(INDEX($AM$2:$BM$1001,MATCH(ROWS($AF$2:AF466),$AF$2:$AF$1001,0),MATCH(COLUMNS($AM$1006:AX1006),$AM$1006:$BM$1006,0)), HYPERLINK("#",""), HYPERLINK(CONCATENATE("#metadata!", ADDRESS(INDEX($AH$2:$AH$1001,MATCH(ROWS($AF$2:AF466),$AF$2:$AF$1001,0),0), INDEX($AM$1004:$BM$1004,1,MATCH(COLUMNS($AM$1006:AX1006),$AM$1006:$BM$1006,0)))),"Fix")))</f>
        <v xml:space="preserve"> </v>
      </c>
      <c r="N466" s="4" t="str">
        <f ca="1">IF(OR(INDEX($AG$2:$AG$1001,MATCH(ROWS($AF$2:AF466),$AF$2:$AF$1001,0),1)&gt;=100000,INDEX($AM$1005:$BM$1005,1,MATCH(COLUMNS($AM$1006:AY1006),$AM$1006:$BM$1006,0))&gt;=100000), " ",IF(INDEX($AM$2:$BM$1001,MATCH(ROWS($AF$2:AF466),$AF$2:$AF$1001,0),MATCH(COLUMNS($AM$1006:AY1006),$AM$1006:$BM$1006,0)), HYPERLINK("#",""), HYPERLINK(CONCATENATE("#metadata!", ADDRESS(INDEX($AH$2:$AH$1001,MATCH(ROWS($AF$2:AF466),$AF$2:$AF$1001,0),0), INDEX($AM$1004:$BM$1004,1,MATCH(COLUMNS($AM$1006:AY1006),$AM$1006:$BM$1006,0)))),"Fix")))</f>
        <v xml:space="preserve"> </v>
      </c>
      <c r="O466" s="4" t="str">
        <f ca="1">IF(OR(INDEX($AG$2:$AG$1001,MATCH(ROWS($AF$2:AF466),$AF$2:$AF$1001,0),1)&gt;=100000,INDEX($AM$1005:$BM$1005,1,MATCH(COLUMNS($AM$1006:AZ1006),$AM$1006:$BM$1006,0))&gt;=100000), " ",IF(INDEX($AM$2:$BM$1001,MATCH(ROWS($AF$2:AF466),$AF$2:$AF$1001,0),MATCH(COLUMNS($AM$1006:AZ1006),$AM$1006:$BM$1006,0)), HYPERLINK("#",""), HYPERLINK(CONCATENATE("#metadata!", ADDRESS(INDEX($AH$2:$AH$1001,MATCH(ROWS($AF$2:AF466),$AF$2:$AF$1001,0),0), INDEX($AM$1004:$BM$1004,1,MATCH(COLUMNS($AM$1006:AZ1006),$AM$1006:$BM$1006,0)))),"Fix")))</f>
        <v xml:space="preserve"> </v>
      </c>
      <c r="P466" s="4" t="str">
        <f ca="1">IF(OR(INDEX($AG$2:$AG$1001,MATCH(ROWS($AF$2:AF466),$AF$2:$AF$1001,0),1)&gt;=100000,INDEX($AM$1005:$BM$1005,1,MATCH(COLUMNS($AM$1006:BA1006),$AM$1006:$BM$1006,0))&gt;=100000), " ",IF(INDEX($AM$2:$BM$1001,MATCH(ROWS($AF$2:AF466),$AF$2:$AF$1001,0),MATCH(COLUMNS($AM$1006:BA1006),$AM$1006:$BM$1006,0)), HYPERLINK("#",""), HYPERLINK(CONCATENATE("#metadata!", ADDRESS(INDEX($AH$2:$AH$1001,MATCH(ROWS($AF$2:AF466),$AF$2:$AF$1001,0),0), INDEX($AM$1004:$BM$1004,1,MATCH(COLUMNS($AM$1006:BA1006),$AM$1006:$BM$1006,0)))),"Fix")))</f>
        <v xml:space="preserve"> </v>
      </c>
      <c r="Q466" s="4" t="str">
        <f ca="1">IF(OR(INDEX($AG$2:$AG$1001,MATCH(ROWS($AF$2:AF466),$AF$2:$AF$1001,0),1)&gt;=100000,INDEX($AM$1005:$BM$1005,1,MATCH(COLUMNS($AM$1006:BB1006),$AM$1006:$BM$1006,0))&gt;=100000), " ",IF(INDEX($AM$2:$BM$1001,MATCH(ROWS($AF$2:AF466),$AF$2:$AF$1001,0),MATCH(COLUMNS($AM$1006:BB1006),$AM$1006:$BM$1006,0)), HYPERLINK("#",""), HYPERLINK(CONCATENATE("#metadata!", ADDRESS(INDEX($AH$2:$AH$1001,MATCH(ROWS($AF$2:AF466),$AF$2:$AF$1001,0),0), INDEX($AM$1004:$BM$1004,1,MATCH(COLUMNS($AM$1006:BB1006),$AM$1006:$BM$1006,0)))),"Fix")))</f>
        <v xml:space="preserve"> </v>
      </c>
      <c r="R466" s="4" t="str">
        <f ca="1">IF(OR(INDEX($AG$2:$AG$1001,MATCH(ROWS($AF$2:AF466),$AF$2:$AF$1001,0),1)&gt;=100000,INDEX($AM$1005:$BM$1005,1,MATCH(COLUMNS($AM$1006:BC1006),$AM$1006:$BM$1006,0))&gt;=100000), " ",IF(INDEX($AM$2:$BM$1001,MATCH(ROWS($AF$2:AF466),$AF$2:$AF$1001,0),MATCH(COLUMNS($AM$1006:BC1006),$AM$1006:$BM$1006,0)), HYPERLINK("#",""), HYPERLINK(CONCATENATE("#metadata!", ADDRESS(INDEX($AH$2:$AH$1001,MATCH(ROWS($AF$2:AF466),$AF$2:$AF$1001,0),0), INDEX($AM$1004:$BM$1004,1,MATCH(COLUMNS($AM$1006:BC1006),$AM$1006:$BM$1006,0)))),"Fix")))</f>
        <v xml:space="preserve"> </v>
      </c>
      <c r="S466" s="4" t="str">
        <f ca="1">IF(OR(INDEX($AG$2:$AG$1001,MATCH(ROWS($AF$2:AF466),$AF$2:$AF$1001,0),1)&gt;=100000,INDEX($AM$1005:$BM$1005,1,MATCH(COLUMNS($AM$1006:BD1006),$AM$1006:$BM$1006,0))&gt;=100000), " ",IF(INDEX($AM$2:$BM$1001,MATCH(ROWS($AF$2:AF466),$AF$2:$AF$1001,0),MATCH(COLUMNS($AM$1006:BD1006),$AM$1006:$BM$1006,0)), HYPERLINK("#",""), HYPERLINK(CONCATENATE("#metadata!", ADDRESS(INDEX($AH$2:$AH$1001,MATCH(ROWS($AF$2:AF466),$AF$2:$AF$1001,0),0), INDEX($AM$1004:$BM$1004,1,MATCH(COLUMNS($AM$1006:BD1006),$AM$1006:$BM$1006,0)))),"Fix")))</f>
        <v xml:space="preserve"> </v>
      </c>
      <c r="T466" s="4" t="str">
        <f ca="1">IF(OR(INDEX($AG$2:$AG$1001,MATCH(ROWS($AF$2:AF466),$AF$2:$AF$1001,0),1)&gt;=100000,INDEX($AM$1005:$BM$1005,1,MATCH(COLUMNS($AM$1006:BE1006),$AM$1006:$BM$1006,0))&gt;=100000), " ",IF(INDEX($AM$2:$BM$1001,MATCH(ROWS($AF$2:AF466),$AF$2:$AF$1001,0),MATCH(COLUMNS($AM$1006:BE1006),$AM$1006:$BM$1006,0)), HYPERLINK("#",""), HYPERLINK(CONCATENATE("#metadata!", ADDRESS(INDEX($AH$2:$AH$1001,MATCH(ROWS($AF$2:AF466),$AF$2:$AF$1001,0),0), INDEX($AM$1004:$BM$1004,1,MATCH(COLUMNS($AM$1006:BE1006),$AM$1006:$BM$1006,0)))),"Fix")))</f>
        <v xml:space="preserve"> </v>
      </c>
      <c r="U466" s="4" t="str">
        <f ca="1">IF(OR(INDEX($AG$2:$AG$1001,MATCH(ROWS($AF$2:AF466),$AF$2:$AF$1001,0),1)&gt;=100000,INDEX($AM$1005:$BM$1005,1,MATCH(COLUMNS($AM$1006:BF1006),$AM$1006:$BM$1006,0))&gt;=100000), " ",IF(INDEX($AM$2:$BM$1001,MATCH(ROWS($AF$2:AF466),$AF$2:$AF$1001,0),MATCH(COLUMNS($AM$1006:BF1006),$AM$1006:$BM$1006,0)), HYPERLINK("#",""), HYPERLINK(CONCATENATE("#metadata!", ADDRESS(INDEX($AH$2:$AH$1001,MATCH(ROWS($AF$2:AF466),$AF$2:$AF$1001,0),0), INDEX($AM$1004:$BM$1004,1,MATCH(COLUMNS($AM$1006:BF1006),$AM$1006:$BM$1006,0)))),"Fix")))</f>
        <v xml:space="preserve"> </v>
      </c>
      <c r="V466" s="4" t="str">
        <f ca="1">IF(OR(INDEX($AG$2:$AG$1001,MATCH(ROWS($AF$2:AF466),$AF$2:$AF$1001,0),1)&gt;=100000,INDEX($AM$1005:$BM$1005,1,MATCH(COLUMNS($AM$1006:BG1006),$AM$1006:$BM$1006,0))&gt;=100000), " ",IF(INDEX($AM$2:$BM$1001,MATCH(ROWS($AF$2:AF466),$AF$2:$AF$1001,0),MATCH(COLUMNS($AM$1006:BG1006),$AM$1006:$BM$1006,0)), HYPERLINK("#",""), HYPERLINK(CONCATENATE("#metadata!", ADDRESS(INDEX($AH$2:$AH$1001,MATCH(ROWS($AF$2:AF466),$AF$2:$AF$1001,0),0), INDEX($AM$1004:$BM$1004,1,MATCH(COLUMNS($AM$1006:BG1006),$AM$1006:$BM$1006,0)))),"Fix")))</f>
        <v xml:space="preserve"> </v>
      </c>
      <c r="W466" s="4" t="str">
        <f ca="1">IF(OR(INDEX($AG$2:$AG$1001,MATCH(ROWS($AF$2:AF466),$AF$2:$AF$1001,0),1)&gt;=100000,INDEX($AM$1005:$BM$1005,1,MATCH(COLUMNS($AM$1006:BH1006),$AM$1006:$BM$1006,0))&gt;=100000), " ",IF(INDEX($AM$2:$BM$1001,MATCH(ROWS($AF$2:AF466),$AF$2:$AF$1001,0),MATCH(COLUMNS($AM$1006:BH1006),$AM$1006:$BM$1006,0)), HYPERLINK("#",""), HYPERLINK(CONCATENATE("#metadata!", ADDRESS(INDEX($AH$2:$AH$1001,MATCH(ROWS($AF$2:AF466),$AF$2:$AF$1001,0),0), INDEX($AM$1004:$BM$1004,1,MATCH(COLUMNS($AM$1006:BH1006),$AM$1006:$BM$1006,0)))),"Fix")))</f>
        <v xml:space="preserve"> </v>
      </c>
      <c r="X466" s="4" t="str">
        <f ca="1">IF(OR(INDEX($AG$2:$AG$1001,MATCH(ROWS($AF$2:AF466),$AF$2:$AF$1001,0),1)&gt;=100000,INDEX($AM$1005:$BM$1005,1,MATCH(COLUMNS($AM$1006:BI1006),$AM$1006:$BM$1006,0))&gt;=100000), " ",IF(INDEX($AM$2:$BM$1001,MATCH(ROWS($AF$2:AF466),$AF$2:$AF$1001,0),MATCH(COLUMNS($AM$1006:BI1006),$AM$1006:$BM$1006,0)), HYPERLINK("#",""), HYPERLINK(CONCATENATE("#metadata!", ADDRESS(INDEX($AH$2:$AH$1001,MATCH(ROWS($AF$2:AF466),$AF$2:$AF$1001,0),0), INDEX($AM$1004:$BM$1004,1,MATCH(COLUMNS($AM$1006:BI1006),$AM$1006:$BM$1006,0)))),"Fix")))</f>
        <v xml:space="preserve"> </v>
      </c>
      <c r="Y466" s="4" t="str">
        <f ca="1">IF(OR(INDEX($AG$2:$AG$1001,MATCH(ROWS($AF$2:AF466),$AF$2:$AF$1001,0),1)&gt;=100000,INDEX($AM$1005:$BM$1005,1,MATCH(COLUMNS($AM$1006:BJ1006),$AM$1006:$BM$1006,0))&gt;=100000), " ",IF(INDEX($AM$2:$BM$1001,MATCH(ROWS($AF$2:AF466),$AF$2:$AF$1001,0),MATCH(COLUMNS($AM$1006:BJ1006),$AM$1006:$BM$1006,0)), HYPERLINK("#",""), HYPERLINK(CONCATENATE("#metadata!", ADDRESS(INDEX($AH$2:$AH$1001,MATCH(ROWS($AF$2:AF466),$AF$2:$AF$1001,0),0), INDEX($AM$1004:$BM$1004,1,MATCH(COLUMNS($AM$1006:BJ1006),$AM$1006:$BM$1006,0)))),"Fix")))</f>
        <v xml:space="preserve"> </v>
      </c>
      <c r="Z466" s="4" t="str">
        <f ca="1">IF(OR(INDEX($AG$2:$AG$1001,MATCH(ROWS($AF$2:AF466),$AF$2:$AF$1001,0),1)&gt;=100000,INDEX($AM$1005:$BM$1005,1,MATCH(COLUMNS($AM$1006:BK1006),$AM$1006:$BM$1006,0))&gt;=100000), " ",IF(INDEX($AM$2:$BM$1001,MATCH(ROWS($AF$2:AF466),$AF$2:$AF$1001,0),MATCH(COLUMNS($AM$1006:BK1006),$AM$1006:$BM$1006,0)), HYPERLINK("#",""), HYPERLINK(CONCATENATE("#metadata!", ADDRESS(INDEX($AH$2:$AH$1001,MATCH(ROWS($AF$2:AF466),$AF$2:$AF$1001,0),0), INDEX($AM$1004:$BM$1004,1,MATCH(COLUMNS($AM$1006:BK1006),$AM$1006:$BM$1006,0)))),"Fix")))</f>
        <v xml:space="preserve"> </v>
      </c>
      <c r="AA466" s="4" t="str">
        <f ca="1">IF(OR(INDEX($AG$2:$AG$1001,MATCH(ROWS($AF$2:AF466),$AF$2:$AF$1001,0),1)&gt;=100000,INDEX($AM$1005:$BM$1005,1,MATCH(COLUMNS($AM$1006:BL1006),$AM$1006:$BM$1006,0))&gt;=100000), " ",IF(INDEX($AM$2:$BM$1001,MATCH(ROWS($AF$2:AF466),$AF$2:$AF$1001,0),MATCH(COLUMNS($AM$1006:BL1006),$AM$1006:$BM$1006,0)), HYPERLINK("#",""), HYPERLINK(CONCATENATE("#metadata!", ADDRESS(INDEX($AH$2:$AH$1001,MATCH(ROWS($AF$2:AF466),$AF$2:$AF$1001,0),0), INDEX($AM$1004:$BM$1004,1,MATCH(COLUMNS($AM$1006:BL1006),$AM$1006:$BM$1006,0)))),"Fix")))</f>
        <v xml:space="preserve"> </v>
      </c>
      <c r="AB466" s="4" t="str">
        <f ca="1">IF(OR(INDEX($AG$2:$AG$1001,MATCH(ROWS($AF$2:AF466),$AF$2:$AF$1001,0),1)&gt;=100000,INDEX($AM$1005:$BM$1005,1,MATCH(COLUMNS($AM$1006:BM1006),$AM$1006:$BM$1006,0))&gt;=100000), " ",IF(INDEX($AM$2:$BM$1001,MATCH(ROWS($AF$2:AF466),$AF$2:$AF$1001,0),MATCH(COLUMNS($AM$1006:BM1006),$AM$1006:$BM$1006,0)), HYPERLINK("#",""), HYPERLINK(CONCATENATE("#metadata!", ADDRESS(INDEX($AH$2:$AH$1001,MATCH(ROWS($AF$2:AF466),$AF$2:$AF$1001,0),0), INDEX($AM$1004:$BM$1004,1,MATCH(COLUMNS($AM$1006:BM1006),$AM$1006:$BM$1006,0)))),"Fix")))</f>
        <v xml:space="preserve"> </v>
      </c>
      <c r="AF466">
        <v>465</v>
      </c>
      <c r="AG466">
        <v>100466</v>
      </c>
      <c r="AH466">
        <v>466</v>
      </c>
      <c r="AI466" t="b">
        <f t="shared" si="7"/>
        <v>1</v>
      </c>
      <c r="AJ466" t="b">
        <f>COUNTBLANK(metadata!B466:AB466)=COLUMNS(metadata!B466:AB466)</f>
        <v>1</v>
      </c>
      <c r="AK466" t="str">
        <v/>
      </c>
      <c r="AM466" t="b">
        <f ca="1">AND(IF(metadata!B466="",FALSE,TRUE),COUNTIF(metadata!B:B, metadata!B466) = 1,NOT(ISERROR(SUMPRODUCT(SEARCH(MID(metadata!B466,ROW(INDIRECT("1:"&amp;LEN(metadata!B466))), 1),"0123456789abcdefghijklmnopqrstuvwxyzABCDEFGHIJKLMNOPQRSTUVWXYZ.")))))</f>
        <v>0</v>
      </c>
      <c r="AN466" t="b">
        <f ca="1">OR(AND(IF(metadata!C466="",FALSE,TRUE),OR(EXACT(metadata!C466,"missing: not collected"),EXACT(metadata!C466,"missing: not provided"),EXACT(metadata!C466,"missing: restricted access"))),AND(IF(metadata!C466="",FALSE,TRUE),AND(AND(IFERROR(INT(LEFT(metadata!C466,4))&gt;1900,FALSE),IFERROR(INT(LEFT(metadata!C466,4))&lt;=YEAR(NOW()),FALSE)), OR(MID(metadata!C466,5,1)="", AND(AND(MID(metadata!C466,5,1)="-",IFERROR(INT(MID(metadata!C466,6,1))&gt;=0,FALSE),IFERROR(INT(MID(metadata!C466,6,1))&lt;=1,FALSE),NOT(MID(metadata!C466,7,1)=""),IFERROR(INT(MID(metadata!C466,6,2))&gt;=1,FALSE),IFERROR(INT(MID(metadata!C466,6,2))&lt;=12,FALSE)), OR(MID(metadata!C466,8,1)="", AND(AND(MID(metadata!C466,8,1)="-",IFERROR(INT(MID(metadata!C466,9,1))&gt;=0,FALSE),IFERROR(INT(MID(metadata!C466,9,1))&lt;=3,FALSE),NOT(MID(metadata!C466,10,1)=""),IFERROR(INT(MID(metadata!C466,9,2))&gt;=1,FALSE),IFERROR(INT(MID(metadata!C466,9,2))&lt;=31,FALSE)), OR(MID(metadata!C466,11,1)="", AND(AND(MID(metadata!C466,11,1)=" ",IFERROR(INT(MID(metadata!C466,12,1))&gt;=0,FALSE),IFERROR(INT(MID(metadata!C466,12,1))&lt;=2,FALSE),NOT(MID(metadata!C466,13,1)=""),IFERROR(INT(MID(metadata!C466,12,2))&gt;=0,FALSE),IFERROR(INT(MID(metadata!C466,12,2))&lt;=23,FALSE)), OR(MID(metadata!C466,14,1)="", AND(AND(MID(metadata!C466,14,1)=":",IFERROR(INT(MID(metadata!C466,15,1))&gt;=0,FALSE),IFERROR(INT(MID(metadata!C466,15,1))&lt;=5,FALSE),NOT(MID(metadata!C466,16,1)=""),IFERROR(INT(MID(metadata!C466,15,2))&gt;=0,FALSE),IFERROR(INT(MID(metadata!C466,15,2))&lt;=59,FALSE)), OR(MID(metadata!C466,17,1)="", AND(AND(MID(metadata!C466,17,1)=":",IFERROR(INT(MID(metadata!C466,18,1))&gt;=0,FALSE),IFERROR(INT(MID(metadata!C466,18,1))&lt;=5,FALSE),NOT(MID(metadata!C466,19,1)=""),IFERROR(INT(MID(metadata!C466,18,2))&gt;=0,FALSE),IFERROR(INT(MID(metadata!C466,18,2))&lt;=59,FALSE)), LEN(metadata!C466)&lt;=19)))))))))))))</f>
        <v>0</v>
      </c>
      <c r="AO466" t="b">
        <f>AND(IF(metadata!D466="",FALSE,TRUE),EXACT(metadata!D466,"Not applicable"))</f>
        <v>0</v>
      </c>
      <c r="AP466" t="b">
        <f>IF(metadata!E466="",FALSE,TRUE)</f>
        <v>0</v>
      </c>
      <c r="AQ466" t="b">
        <f>OR(AND(IF(metadata!F466="",FALSE,TRUE),OR(EXACT(metadata!F466,"missing: not collected"),EXACT(metadata!F466,"missing: not provided"))),AND(IF(metadata!F466="",FALSE,TRUE),OR(EXACT(metadata!F466,"TRUE"),EXACT(metadata!F466,"FALSE"))))</f>
        <v>0</v>
      </c>
      <c r="AR466" t="b">
        <f>OR(AND(IF(metadata!G466="",FALSE,TRUE),OR(EXACT(metadata!G466,"missing: not collected"),EXACT(metadata!G466,"missing: not provided"),EXACT(metadata!G466,"missing: restricted access"))),AND(IF(metadata!G466="",FALSE,ISNUMBER(VALUE(metadata!G466))),metadata!G466&gt;=-413))</f>
        <v>0</v>
      </c>
      <c r="AS466" t="b">
        <f>AND(IF(metadata!H466="",FALSE,TRUE),EXACT(metadata!H466,"meters"))</f>
        <v>0</v>
      </c>
      <c r="AT466" t="b">
        <f>AND(IF(metadata!I466="",FALSE,TRUE),OR(EXACT(metadata!I466,"Host-associated"),EXACT(metadata!I466,"Free-living")))</f>
        <v>0</v>
      </c>
      <c r="AU466" t="b">
        <f>AND(IF(metadata!J466="",FALSE,TRUE),OR(EXACT(metadata!J466,"Animal"),EXACT(metadata!J466,"Fungus"),EXACT(metadata!J466,"Plant"),EXACT(metadata!J466,"Saline"),EXACT(metadata!J466,"Non-saline")))</f>
        <v>0</v>
      </c>
      <c r="AV466" t="b">
        <f>AND(IF(metadata!K466="",FALSE,TRUE),OR(EXACT(metadata!K466,"Plant secretion"),EXACT(metadata!K466,"Plant rhizosphere"),EXACT(metadata!K466,"Plant surface"),EXACT(metadata!K466,"Plant corpus"),EXACT(metadata!K466,"Fungus surface"),EXACT(metadata!K466,"Fungus corpus"),EXACT(metadata!K466,"Animal surface"),EXACT(metadata!K466,"Animal proximal gut"),EXACT(metadata!K466,"Animal corpus"),EXACT(metadata!K466,"Animal distal gut"),EXACT(metadata!K466,"Animal secretion"),EXACT(metadata!K466,"Sub-surface (non-saline)"),EXACT(metadata!K466,"Surface (non-saline)"),EXACT(metadata!K466,"Water (non-saline)"),EXACT(metadata!K466,"Soil (non-saline)"),EXACT(metadata!K466,"Aerosol (non-saline)"),EXACT(metadata!K466,"Sediment (non-saline)"),EXACT(metadata!K466,"Surface (saline)"),EXACT(metadata!K466,"Water (saline)"),EXACT(metadata!K466,"Hypersaline (saline)"),EXACT(metadata!K466,"Aerosol (saline)"),EXACT(metadata!K466,"Sediment (saline)")))</f>
        <v>0</v>
      </c>
      <c r="AW466" t="b">
        <f>IF(metadata!L466="",FALSE,TRUE)</f>
        <v>0</v>
      </c>
      <c r="AX466" t="b">
        <f>IF(metadata!M466="",FALSE,TRUE)</f>
        <v>0</v>
      </c>
      <c r="AY466" t="b">
        <f>IF(metadata!N466="",FALSE,TRUE)</f>
        <v>0</v>
      </c>
      <c r="AZ466" t="b">
        <f>OR(AND(IF(metadata!O466="",FALSE,TRUE),OR(EXACT(metadata!O466,"missing: not collected"),EXACT(metadata!O466,"missing: not provided"),EXACT(metadata!O466,"missing: restricted access"))),AND(IF(metadata!O466="",FALSE,TRUE),OR(EXACT(metadata!O466,"air"),EXACT(metadata!O466,"built environment"),EXACT(metadata!O466,"host-associated"),EXACT(metadata!O466,"human-associated"),EXACT(metadata!O466,"human-skin"),EXACT(metadata!O466,"human-oral"),EXACT(metadata!O466,"human-gut"),EXACT(metadata!O466,"human-vaginal"),EXACT(metadata!O466,"microbial mat/biofilm"),EXACT(metadata!O466,"misc environment"),EXACT(metadata!O466,"plant-associated"),EXACT(metadata!O466,"sediment"),EXACT(metadata!O466,"soil"),EXACT(metadata!O466,"wastewater/sludge"),EXACT(metadata!O466,"water"))))</f>
        <v>0</v>
      </c>
      <c r="BA466" t="b">
        <f>IF(metadata!P466="",FALSE,TRUE)</f>
        <v>0</v>
      </c>
      <c r="BB466" t="b">
        <f>IF(metadata!Q466="",FALSE,TRUE)</f>
        <v>0</v>
      </c>
      <c r="BC466" t="b">
        <f>OR(AND(IF(metadata!R466="",FALSE,TRUE),OR(EXACT(metadata!R466,"missing: not collected"),EXACT(metadata!R466,"missing: not provided"),EXACT(metadata!R466,"missing: restricted access"))),AND(IF(metadata!R466="",FALSE,ISNUMBER(VALUE(metadata!R466))),metadata!R466&gt;=-90,metadata!R466&lt;=90))</f>
        <v>0</v>
      </c>
      <c r="BD466" t="b">
        <f>AND(IF(metadata!S466="",FALSE,TRUE),EXACT(metadata!S466,"Decimal degrees"))</f>
        <v>0</v>
      </c>
      <c r="BE466" t="b">
        <f>OR(AND(IF(metadata!T466="",FALSE,TRUE),OR(EXACT(metadata!T466,"missing: not collected"),EXACT(metadata!T466,"missing: not provided"),EXACT(metadata!T466,"missing: restricted access"))),AND(IF(metadata!T466="",FALSE,ISNUMBER(VALUE(metadata!T466))),metadata!T466&gt;=-180,metadata!T466&lt;=180))</f>
        <v>0</v>
      </c>
      <c r="BF466" t="b">
        <f>AND(IF(metadata!U466="",FALSE,TRUE),EXACT(metadata!U466,"Decimal degrees"))</f>
        <v>0</v>
      </c>
      <c r="BG466" t="b">
        <f>IF(metadata!V466="",FALSE,TRUE)</f>
        <v>0</v>
      </c>
      <c r="BH466" t="b">
        <f>OR(AND(IF(metadata!W466="",FALSE,TRUE),OR(EXACT(metadata!W466,"missing: not collected"),EXACT(metadata!W466,"missing: not provided"),EXACT(metadata!W466,"missing: restricted access"))),AND(IF(metadata!W466="",FALSE,TRUE),OR(EXACT(metadata!W466,"TRUE"),EXACT(metadata!W466,"FALSE"))))</f>
        <v>0</v>
      </c>
      <c r="BI466" t="b">
        <f>AND(IF(metadata!X466="",FALSE,TRUE),EXACT(metadata!X466,"other"))</f>
        <v>0</v>
      </c>
      <c r="BJ466" t="b">
        <f>IF(metadata!Y466="",FALSE,TRUE)</f>
        <v>0</v>
      </c>
      <c r="BK466" t="b">
        <f>OR(AND(IF(metadata!Z466="",FALSE,TRUE),OR(EXACT(metadata!Z466,"missing: not collected"),EXACT(metadata!Z466,"missing: not provided"))),AND(IF(metadata!Z466="",FALSE,IF(ISERROR(INT(metadata!Z466)),FALSE,INT(metadata!Z466)=metadata!Z466)),metadata!Z466&gt;0))</f>
        <v>0</v>
      </c>
      <c r="BL466" t="b">
        <f>AND(IF(metadata!AA466="",FALSE,TRUE),EXACT(metadata!AA466,"Not applicable"))</f>
        <v>0</v>
      </c>
      <c r="BM466" t="b">
        <f>IF(metadata!AB466="",FALSE,TRUE)</f>
        <v>0</v>
      </c>
    </row>
    <row r="467" spans="1:65" x14ac:dyDescent="0.2">
      <c r="A467" s="5" t="str">
        <f ca="1">IF(B467=" "," ",HYPERLINK(CONCATENATE("#metadata!",ADDRESS(INDEX($AH$2:$AH$1001,MATCH(ROWS($AF$2:AF467),$AF$2:$AF$1001,0),0),1)),INDEX($AK$2:$AK$1001,MATCH(ROWS($AF$2:AF467),$AF$2:$AF$1001,0),0)))</f>
        <v xml:space="preserve"> </v>
      </c>
      <c r="B467" s="4" t="str">
        <f ca="1">IF(OR(INDEX($AG$2:$AG$1001,MATCH(ROWS($AF$2:AF467),$AF$2:$AF$1001,0),1)&gt;=100000,INDEX($AM$1005:$BM$1005,1,MATCH(COLUMNS($AM$1006:AM1006),$AM$1006:$BM$1006,0))&gt;=100000), " ",IF(INDEX($AM$2:$BM$1001,MATCH(ROWS($AF$2:AF467),$AF$2:$AF$1001,0),MATCH(COLUMNS($AM$1006:AM1006),$AM$1006:$BM$1006,0)), HYPERLINK("#",""), HYPERLINK(CONCATENATE("#metadata!", ADDRESS(INDEX($AH$2:$AH$1001,MATCH(ROWS($AF$2:AF467),$AF$2:$AF$1001,0),0), INDEX($AM$1004:$BM$1004,1,MATCH(COLUMNS($AM$1006:AM1006),$AM$1006:$BM$1006,0)))),"Fix")))</f>
        <v xml:space="preserve"> </v>
      </c>
      <c r="C467" s="4" t="str">
        <f ca="1">IF(OR(INDEX($AG$2:$AG$1001,MATCH(ROWS($AF$2:AF467),$AF$2:$AF$1001,0),1)&gt;=100000,INDEX($AM$1005:$BM$1005,1,MATCH(COLUMNS($AM$1006:AN1006),$AM$1006:$BM$1006,0))&gt;=100000), " ",IF(INDEX($AM$2:$BM$1001,MATCH(ROWS($AF$2:AF467),$AF$2:$AF$1001,0),MATCH(COLUMNS($AM$1006:AN1006),$AM$1006:$BM$1006,0)), HYPERLINK("#",""), HYPERLINK(CONCATENATE("#metadata!", ADDRESS(INDEX($AH$2:$AH$1001,MATCH(ROWS($AF$2:AF467),$AF$2:$AF$1001,0),0), INDEX($AM$1004:$BM$1004,1,MATCH(COLUMNS($AM$1006:AN1006),$AM$1006:$BM$1006,0)))),"Fix")))</f>
        <v xml:space="preserve"> </v>
      </c>
      <c r="D467" s="4" t="str">
        <f ca="1">IF(OR(INDEX($AG$2:$AG$1001,MATCH(ROWS($AF$2:AF467),$AF$2:$AF$1001,0),1)&gt;=100000,INDEX($AM$1005:$BM$1005,1,MATCH(COLUMNS($AM$1006:AO1006),$AM$1006:$BM$1006,0))&gt;=100000), " ",IF(INDEX($AM$2:$BM$1001,MATCH(ROWS($AF$2:AF467),$AF$2:$AF$1001,0),MATCH(COLUMNS($AM$1006:AO1006),$AM$1006:$BM$1006,0)), HYPERLINK("#",""), HYPERLINK(CONCATENATE("#metadata!", ADDRESS(INDEX($AH$2:$AH$1001,MATCH(ROWS($AF$2:AF467),$AF$2:$AF$1001,0),0), INDEX($AM$1004:$BM$1004,1,MATCH(COLUMNS($AM$1006:AO1006),$AM$1006:$BM$1006,0)))),"Fix")))</f>
        <v xml:space="preserve"> </v>
      </c>
      <c r="E467" s="4" t="str">
        <f ca="1">IF(OR(INDEX($AG$2:$AG$1001,MATCH(ROWS($AF$2:AF467),$AF$2:$AF$1001,0),1)&gt;=100000,INDEX($AM$1005:$BM$1005,1,MATCH(COLUMNS($AM$1006:AP1006),$AM$1006:$BM$1006,0))&gt;=100000), " ",IF(INDEX($AM$2:$BM$1001,MATCH(ROWS($AF$2:AF467),$AF$2:$AF$1001,0),MATCH(COLUMNS($AM$1006:AP1006),$AM$1006:$BM$1006,0)), HYPERLINK("#",""), HYPERLINK(CONCATENATE("#metadata!", ADDRESS(INDEX($AH$2:$AH$1001,MATCH(ROWS($AF$2:AF467),$AF$2:$AF$1001,0),0), INDEX($AM$1004:$BM$1004,1,MATCH(COLUMNS($AM$1006:AP1006),$AM$1006:$BM$1006,0)))),"Fix")))</f>
        <v xml:space="preserve"> </v>
      </c>
      <c r="F467" s="4" t="str">
        <f ca="1">IF(OR(INDEX($AG$2:$AG$1001,MATCH(ROWS($AF$2:AF467),$AF$2:$AF$1001,0),1)&gt;=100000,INDEX($AM$1005:$BM$1005,1,MATCH(COLUMNS($AM$1006:AQ1006),$AM$1006:$BM$1006,0))&gt;=100000), " ",IF(INDEX($AM$2:$BM$1001,MATCH(ROWS($AF$2:AF467),$AF$2:$AF$1001,0),MATCH(COLUMNS($AM$1006:AQ1006),$AM$1006:$BM$1006,0)), HYPERLINK("#",""), HYPERLINK(CONCATENATE("#metadata!", ADDRESS(INDEX($AH$2:$AH$1001,MATCH(ROWS($AF$2:AF467),$AF$2:$AF$1001,0),0), INDEX($AM$1004:$BM$1004,1,MATCH(COLUMNS($AM$1006:AQ1006),$AM$1006:$BM$1006,0)))),"Fix")))</f>
        <v xml:space="preserve"> </v>
      </c>
      <c r="G467" s="4" t="str">
        <f ca="1">IF(OR(INDEX($AG$2:$AG$1001,MATCH(ROWS($AF$2:AF467),$AF$2:$AF$1001,0),1)&gt;=100000,INDEX($AM$1005:$BM$1005,1,MATCH(COLUMNS($AM$1006:AR1006),$AM$1006:$BM$1006,0))&gt;=100000), " ",IF(INDEX($AM$2:$BM$1001,MATCH(ROWS($AF$2:AF467),$AF$2:$AF$1001,0),MATCH(COLUMNS($AM$1006:AR1006),$AM$1006:$BM$1006,0)), HYPERLINK("#",""), HYPERLINK(CONCATENATE("#metadata!", ADDRESS(INDEX($AH$2:$AH$1001,MATCH(ROWS($AF$2:AF467),$AF$2:$AF$1001,0),0), INDEX($AM$1004:$BM$1004,1,MATCH(COLUMNS($AM$1006:AR1006),$AM$1006:$BM$1006,0)))),"Fix")))</f>
        <v xml:space="preserve"> </v>
      </c>
      <c r="H467" s="4" t="str">
        <f ca="1">IF(OR(INDEX($AG$2:$AG$1001,MATCH(ROWS($AF$2:AF467),$AF$2:$AF$1001,0),1)&gt;=100000,INDEX($AM$1005:$BM$1005,1,MATCH(COLUMNS($AM$1006:AS1006),$AM$1006:$BM$1006,0))&gt;=100000), " ",IF(INDEX($AM$2:$BM$1001,MATCH(ROWS($AF$2:AF467),$AF$2:$AF$1001,0),MATCH(COLUMNS($AM$1006:AS1006),$AM$1006:$BM$1006,0)), HYPERLINK("#",""), HYPERLINK(CONCATENATE("#metadata!", ADDRESS(INDEX($AH$2:$AH$1001,MATCH(ROWS($AF$2:AF467),$AF$2:$AF$1001,0),0), INDEX($AM$1004:$BM$1004,1,MATCH(COLUMNS($AM$1006:AS1006),$AM$1006:$BM$1006,0)))),"Fix")))</f>
        <v xml:space="preserve"> </v>
      </c>
      <c r="I467" s="4" t="str">
        <f ca="1">IF(OR(INDEX($AG$2:$AG$1001,MATCH(ROWS($AF$2:AF467),$AF$2:$AF$1001,0),1)&gt;=100000,INDEX($AM$1005:$BM$1005,1,MATCH(COLUMNS($AM$1006:AT1006),$AM$1006:$BM$1006,0))&gt;=100000), " ",IF(INDEX($AM$2:$BM$1001,MATCH(ROWS($AF$2:AF467),$AF$2:$AF$1001,0),MATCH(COLUMNS($AM$1006:AT1006),$AM$1006:$BM$1006,0)), HYPERLINK("#",""), HYPERLINK(CONCATENATE("#metadata!", ADDRESS(INDEX($AH$2:$AH$1001,MATCH(ROWS($AF$2:AF467),$AF$2:$AF$1001,0),0), INDEX($AM$1004:$BM$1004,1,MATCH(COLUMNS($AM$1006:AT1006),$AM$1006:$BM$1006,0)))),"Fix")))</f>
        <v xml:space="preserve"> </v>
      </c>
      <c r="J467" s="4" t="str">
        <f ca="1">IF(OR(INDEX($AG$2:$AG$1001,MATCH(ROWS($AF$2:AF467),$AF$2:$AF$1001,0),1)&gt;=100000,INDEX($AM$1005:$BM$1005,1,MATCH(COLUMNS($AM$1006:AU1006),$AM$1006:$BM$1006,0))&gt;=100000), " ",IF(INDEX($AM$2:$BM$1001,MATCH(ROWS($AF$2:AF467),$AF$2:$AF$1001,0),MATCH(COLUMNS($AM$1006:AU1006),$AM$1006:$BM$1006,0)), HYPERLINK("#",""), HYPERLINK(CONCATENATE("#metadata!", ADDRESS(INDEX($AH$2:$AH$1001,MATCH(ROWS($AF$2:AF467),$AF$2:$AF$1001,0),0), INDEX($AM$1004:$BM$1004,1,MATCH(COLUMNS($AM$1006:AU1006),$AM$1006:$BM$1006,0)))),"Fix")))</f>
        <v xml:space="preserve"> </v>
      </c>
      <c r="K467" s="4" t="str">
        <f ca="1">IF(OR(INDEX($AG$2:$AG$1001,MATCH(ROWS($AF$2:AF467),$AF$2:$AF$1001,0),1)&gt;=100000,INDEX($AM$1005:$BM$1005,1,MATCH(COLUMNS($AM$1006:AV1006),$AM$1006:$BM$1006,0))&gt;=100000), " ",IF(INDEX($AM$2:$BM$1001,MATCH(ROWS($AF$2:AF467),$AF$2:$AF$1001,0),MATCH(COLUMNS($AM$1006:AV1006),$AM$1006:$BM$1006,0)), HYPERLINK("#",""), HYPERLINK(CONCATENATE("#metadata!", ADDRESS(INDEX($AH$2:$AH$1001,MATCH(ROWS($AF$2:AF467),$AF$2:$AF$1001,0),0), INDEX($AM$1004:$BM$1004,1,MATCH(COLUMNS($AM$1006:AV1006),$AM$1006:$BM$1006,0)))),"Fix")))</f>
        <v xml:space="preserve"> </v>
      </c>
      <c r="L467" s="4" t="str">
        <f ca="1">IF(OR(INDEX($AG$2:$AG$1001,MATCH(ROWS($AF$2:AF467),$AF$2:$AF$1001,0),1)&gt;=100000,INDEX($AM$1005:$BM$1005,1,MATCH(COLUMNS($AM$1006:AW1006),$AM$1006:$BM$1006,0))&gt;=100000), " ",IF(INDEX($AM$2:$BM$1001,MATCH(ROWS($AF$2:AF467),$AF$2:$AF$1001,0),MATCH(COLUMNS($AM$1006:AW1006),$AM$1006:$BM$1006,0)), HYPERLINK("#",""), HYPERLINK(CONCATENATE("#metadata!", ADDRESS(INDEX($AH$2:$AH$1001,MATCH(ROWS($AF$2:AF467),$AF$2:$AF$1001,0),0), INDEX($AM$1004:$BM$1004,1,MATCH(COLUMNS($AM$1006:AW1006),$AM$1006:$BM$1006,0)))),"Fix")))</f>
        <v xml:space="preserve"> </v>
      </c>
      <c r="M467" s="4" t="str">
        <f ca="1">IF(OR(INDEX($AG$2:$AG$1001,MATCH(ROWS($AF$2:AF467),$AF$2:$AF$1001,0),1)&gt;=100000,INDEX($AM$1005:$BM$1005,1,MATCH(COLUMNS($AM$1006:AX1006),$AM$1006:$BM$1006,0))&gt;=100000), " ",IF(INDEX($AM$2:$BM$1001,MATCH(ROWS($AF$2:AF467),$AF$2:$AF$1001,0),MATCH(COLUMNS($AM$1006:AX1006),$AM$1006:$BM$1006,0)), HYPERLINK("#",""), HYPERLINK(CONCATENATE("#metadata!", ADDRESS(INDEX($AH$2:$AH$1001,MATCH(ROWS($AF$2:AF467),$AF$2:$AF$1001,0),0), INDEX($AM$1004:$BM$1004,1,MATCH(COLUMNS($AM$1006:AX1006),$AM$1006:$BM$1006,0)))),"Fix")))</f>
        <v xml:space="preserve"> </v>
      </c>
      <c r="N467" s="4" t="str">
        <f ca="1">IF(OR(INDEX($AG$2:$AG$1001,MATCH(ROWS($AF$2:AF467),$AF$2:$AF$1001,0),1)&gt;=100000,INDEX($AM$1005:$BM$1005,1,MATCH(COLUMNS($AM$1006:AY1006),$AM$1006:$BM$1006,0))&gt;=100000), " ",IF(INDEX($AM$2:$BM$1001,MATCH(ROWS($AF$2:AF467),$AF$2:$AF$1001,0),MATCH(COLUMNS($AM$1006:AY1006),$AM$1006:$BM$1006,0)), HYPERLINK("#",""), HYPERLINK(CONCATENATE("#metadata!", ADDRESS(INDEX($AH$2:$AH$1001,MATCH(ROWS($AF$2:AF467),$AF$2:$AF$1001,0),0), INDEX($AM$1004:$BM$1004,1,MATCH(COLUMNS($AM$1006:AY1006),$AM$1006:$BM$1006,0)))),"Fix")))</f>
        <v xml:space="preserve"> </v>
      </c>
      <c r="O467" s="4" t="str">
        <f ca="1">IF(OR(INDEX($AG$2:$AG$1001,MATCH(ROWS($AF$2:AF467),$AF$2:$AF$1001,0),1)&gt;=100000,INDEX($AM$1005:$BM$1005,1,MATCH(COLUMNS($AM$1006:AZ1006),$AM$1006:$BM$1006,0))&gt;=100000), " ",IF(INDEX($AM$2:$BM$1001,MATCH(ROWS($AF$2:AF467),$AF$2:$AF$1001,0),MATCH(COLUMNS($AM$1006:AZ1006),$AM$1006:$BM$1006,0)), HYPERLINK("#",""), HYPERLINK(CONCATENATE("#metadata!", ADDRESS(INDEX($AH$2:$AH$1001,MATCH(ROWS($AF$2:AF467),$AF$2:$AF$1001,0),0), INDEX($AM$1004:$BM$1004,1,MATCH(COLUMNS($AM$1006:AZ1006),$AM$1006:$BM$1006,0)))),"Fix")))</f>
        <v xml:space="preserve"> </v>
      </c>
      <c r="P467" s="4" t="str">
        <f ca="1">IF(OR(INDEX($AG$2:$AG$1001,MATCH(ROWS($AF$2:AF467),$AF$2:$AF$1001,0),1)&gt;=100000,INDEX($AM$1005:$BM$1005,1,MATCH(COLUMNS($AM$1006:BA1006),$AM$1006:$BM$1006,0))&gt;=100000), " ",IF(INDEX($AM$2:$BM$1001,MATCH(ROWS($AF$2:AF467),$AF$2:$AF$1001,0),MATCH(COLUMNS($AM$1006:BA1006),$AM$1006:$BM$1006,0)), HYPERLINK("#",""), HYPERLINK(CONCATENATE("#metadata!", ADDRESS(INDEX($AH$2:$AH$1001,MATCH(ROWS($AF$2:AF467),$AF$2:$AF$1001,0),0), INDEX($AM$1004:$BM$1004,1,MATCH(COLUMNS($AM$1006:BA1006),$AM$1006:$BM$1006,0)))),"Fix")))</f>
        <v xml:space="preserve"> </v>
      </c>
      <c r="Q467" s="4" t="str">
        <f ca="1">IF(OR(INDEX($AG$2:$AG$1001,MATCH(ROWS($AF$2:AF467),$AF$2:$AF$1001,0),1)&gt;=100000,INDEX($AM$1005:$BM$1005,1,MATCH(COLUMNS($AM$1006:BB1006),$AM$1006:$BM$1006,0))&gt;=100000), " ",IF(INDEX($AM$2:$BM$1001,MATCH(ROWS($AF$2:AF467),$AF$2:$AF$1001,0),MATCH(COLUMNS($AM$1006:BB1006),$AM$1006:$BM$1006,0)), HYPERLINK("#",""), HYPERLINK(CONCATENATE("#metadata!", ADDRESS(INDEX($AH$2:$AH$1001,MATCH(ROWS($AF$2:AF467),$AF$2:$AF$1001,0),0), INDEX($AM$1004:$BM$1004,1,MATCH(COLUMNS($AM$1006:BB1006),$AM$1006:$BM$1006,0)))),"Fix")))</f>
        <v xml:space="preserve"> </v>
      </c>
      <c r="R467" s="4" t="str">
        <f ca="1">IF(OR(INDEX($AG$2:$AG$1001,MATCH(ROWS($AF$2:AF467),$AF$2:$AF$1001,0),1)&gt;=100000,INDEX($AM$1005:$BM$1005,1,MATCH(COLUMNS($AM$1006:BC1006),$AM$1006:$BM$1006,0))&gt;=100000), " ",IF(INDEX($AM$2:$BM$1001,MATCH(ROWS($AF$2:AF467),$AF$2:$AF$1001,0),MATCH(COLUMNS($AM$1006:BC1006),$AM$1006:$BM$1006,0)), HYPERLINK("#",""), HYPERLINK(CONCATENATE("#metadata!", ADDRESS(INDEX($AH$2:$AH$1001,MATCH(ROWS($AF$2:AF467),$AF$2:$AF$1001,0),0), INDEX($AM$1004:$BM$1004,1,MATCH(COLUMNS($AM$1006:BC1006),$AM$1006:$BM$1006,0)))),"Fix")))</f>
        <v xml:space="preserve"> </v>
      </c>
      <c r="S467" s="4" t="str">
        <f ca="1">IF(OR(INDEX($AG$2:$AG$1001,MATCH(ROWS($AF$2:AF467),$AF$2:$AF$1001,0),1)&gt;=100000,INDEX($AM$1005:$BM$1005,1,MATCH(COLUMNS($AM$1006:BD1006),$AM$1006:$BM$1006,0))&gt;=100000), " ",IF(INDEX($AM$2:$BM$1001,MATCH(ROWS($AF$2:AF467),$AF$2:$AF$1001,0),MATCH(COLUMNS($AM$1006:BD1006),$AM$1006:$BM$1006,0)), HYPERLINK("#",""), HYPERLINK(CONCATENATE("#metadata!", ADDRESS(INDEX($AH$2:$AH$1001,MATCH(ROWS($AF$2:AF467),$AF$2:$AF$1001,0),0), INDEX($AM$1004:$BM$1004,1,MATCH(COLUMNS($AM$1006:BD1006),$AM$1006:$BM$1006,0)))),"Fix")))</f>
        <v xml:space="preserve"> </v>
      </c>
      <c r="T467" s="4" t="str">
        <f ca="1">IF(OR(INDEX($AG$2:$AG$1001,MATCH(ROWS($AF$2:AF467),$AF$2:$AF$1001,0),1)&gt;=100000,INDEX($AM$1005:$BM$1005,1,MATCH(COLUMNS($AM$1006:BE1006),$AM$1006:$BM$1006,0))&gt;=100000), " ",IF(INDEX($AM$2:$BM$1001,MATCH(ROWS($AF$2:AF467),$AF$2:$AF$1001,0),MATCH(COLUMNS($AM$1006:BE1006),$AM$1006:$BM$1006,0)), HYPERLINK("#",""), HYPERLINK(CONCATENATE("#metadata!", ADDRESS(INDEX($AH$2:$AH$1001,MATCH(ROWS($AF$2:AF467),$AF$2:$AF$1001,0),0), INDEX($AM$1004:$BM$1004,1,MATCH(COLUMNS($AM$1006:BE1006),$AM$1006:$BM$1006,0)))),"Fix")))</f>
        <v xml:space="preserve"> </v>
      </c>
      <c r="U467" s="4" t="str">
        <f ca="1">IF(OR(INDEX($AG$2:$AG$1001,MATCH(ROWS($AF$2:AF467),$AF$2:$AF$1001,0),1)&gt;=100000,INDEX($AM$1005:$BM$1005,1,MATCH(COLUMNS($AM$1006:BF1006),$AM$1006:$BM$1006,0))&gt;=100000), " ",IF(INDEX($AM$2:$BM$1001,MATCH(ROWS($AF$2:AF467),$AF$2:$AF$1001,0),MATCH(COLUMNS($AM$1006:BF1006),$AM$1006:$BM$1006,0)), HYPERLINK("#",""), HYPERLINK(CONCATENATE("#metadata!", ADDRESS(INDEX($AH$2:$AH$1001,MATCH(ROWS($AF$2:AF467),$AF$2:$AF$1001,0),0), INDEX($AM$1004:$BM$1004,1,MATCH(COLUMNS($AM$1006:BF1006),$AM$1006:$BM$1006,0)))),"Fix")))</f>
        <v xml:space="preserve"> </v>
      </c>
      <c r="V467" s="4" t="str">
        <f ca="1">IF(OR(INDEX($AG$2:$AG$1001,MATCH(ROWS($AF$2:AF467),$AF$2:$AF$1001,0),1)&gt;=100000,INDEX($AM$1005:$BM$1005,1,MATCH(COLUMNS($AM$1006:BG1006),$AM$1006:$BM$1006,0))&gt;=100000), " ",IF(INDEX($AM$2:$BM$1001,MATCH(ROWS($AF$2:AF467),$AF$2:$AF$1001,0),MATCH(COLUMNS($AM$1006:BG1006),$AM$1006:$BM$1006,0)), HYPERLINK("#",""), HYPERLINK(CONCATENATE("#metadata!", ADDRESS(INDEX($AH$2:$AH$1001,MATCH(ROWS($AF$2:AF467),$AF$2:$AF$1001,0),0), INDEX($AM$1004:$BM$1004,1,MATCH(COLUMNS($AM$1006:BG1006),$AM$1006:$BM$1006,0)))),"Fix")))</f>
        <v xml:space="preserve"> </v>
      </c>
      <c r="W467" s="4" t="str">
        <f ca="1">IF(OR(INDEX($AG$2:$AG$1001,MATCH(ROWS($AF$2:AF467),$AF$2:$AF$1001,0),1)&gt;=100000,INDEX($AM$1005:$BM$1005,1,MATCH(COLUMNS($AM$1006:BH1006),$AM$1006:$BM$1006,0))&gt;=100000), " ",IF(INDEX($AM$2:$BM$1001,MATCH(ROWS($AF$2:AF467),$AF$2:$AF$1001,0),MATCH(COLUMNS($AM$1006:BH1006),$AM$1006:$BM$1006,0)), HYPERLINK("#",""), HYPERLINK(CONCATENATE("#metadata!", ADDRESS(INDEX($AH$2:$AH$1001,MATCH(ROWS($AF$2:AF467),$AF$2:$AF$1001,0),0), INDEX($AM$1004:$BM$1004,1,MATCH(COLUMNS($AM$1006:BH1006),$AM$1006:$BM$1006,0)))),"Fix")))</f>
        <v xml:space="preserve"> </v>
      </c>
      <c r="X467" s="4" t="str">
        <f ca="1">IF(OR(INDEX($AG$2:$AG$1001,MATCH(ROWS($AF$2:AF467),$AF$2:$AF$1001,0),1)&gt;=100000,INDEX($AM$1005:$BM$1005,1,MATCH(COLUMNS($AM$1006:BI1006),$AM$1006:$BM$1006,0))&gt;=100000), " ",IF(INDEX($AM$2:$BM$1001,MATCH(ROWS($AF$2:AF467),$AF$2:$AF$1001,0),MATCH(COLUMNS($AM$1006:BI1006),$AM$1006:$BM$1006,0)), HYPERLINK("#",""), HYPERLINK(CONCATENATE("#metadata!", ADDRESS(INDEX($AH$2:$AH$1001,MATCH(ROWS($AF$2:AF467),$AF$2:$AF$1001,0),0), INDEX($AM$1004:$BM$1004,1,MATCH(COLUMNS($AM$1006:BI1006),$AM$1006:$BM$1006,0)))),"Fix")))</f>
        <v xml:space="preserve"> </v>
      </c>
      <c r="Y467" s="4" t="str">
        <f ca="1">IF(OR(INDEX($AG$2:$AG$1001,MATCH(ROWS($AF$2:AF467),$AF$2:$AF$1001,0),1)&gt;=100000,INDEX($AM$1005:$BM$1005,1,MATCH(COLUMNS($AM$1006:BJ1006),$AM$1006:$BM$1006,0))&gt;=100000), " ",IF(INDEX($AM$2:$BM$1001,MATCH(ROWS($AF$2:AF467),$AF$2:$AF$1001,0),MATCH(COLUMNS($AM$1006:BJ1006),$AM$1006:$BM$1006,0)), HYPERLINK("#",""), HYPERLINK(CONCATENATE("#metadata!", ADDRESS(INDEX($AH$2:$AH$1001,MATCH(ROWS($AF$2:AF467),$AF$2:$AF$1001,0),0), INDEX($AM$1004:$BM$1004,1,MATCH(COLUMNS($AM$1006:BJ1006),$AM$1006:$BM$1006,0)))),"Fix")))</f>
        <v xml:space="preserve"> </v>
      </c>
      <c r="Z467" s="4" t="str">
        <f ca="1">IF(OR(INDEX($AG$2:$AG$1001,MATCH(ROWS($AF$2:AF467),$AF$2:$AF$1001,0),1)&gt;=100000,INDEX($AM$1005:$BM$1005,1,MATCH(COLUMNS($AM$1006:BK1006),$AM$1006:$BM$1006,0))&gt;=100000), " ",IF(INDEX($AM$2:$BM$1001,MATCH(ROWS($AF$2:AF467),$AF$2:$AF$1001,0),MATCH(COLUMNS($AM$1006:BK1006),$AM$1006:$BM$1006,0)), HYPERLINK("#",""), HYPERLINK(CONCATENATE("#metadata!", ADDRESS(INDEX($AH$2:$AH$1001,MATCH(ROWS($AF$2:AF467),$AF$2:$AF$1001,0),0), INDEX($AM$1004:$BM$1004,1,MATCH(COLUMNS($AM$1006:BK1006),$AM$1006:$BM$1006,0)))),"Fix")))</f>
        <v xml:space="preserve"> </v>
      </c>
      <c r="AA467" s="4" t="str">
        <f ca="1">IF(OR(INDEX($AG$2:$AG$1001,MATCH(ROWS($AF$2:AF467),$AF$2:$AF$1001,0),1)&gt;=100000,INDEX($AM$1005:$BM$1005,1,MATCH(COLUMNS($AM$1006:BL1006),$AM$1006:$BM$1006,0))&gt;=100000), " ",IF(INDEX($AM$2:$BM$1001,MATCH(ROWS($AF$2:AF467),$AF$2:$AF$1001,0),MATCH(COLUMNS($AM$1006:BL1006),$AM$1006:$BM$1006,0)), HYPERLINK("#",""), HYPERLINK(CONCATENATE("#metadata!", ADDRESS(INDEX($AH$2:$AH$1001,MATCH(ROWS($AF$2:AF467),$AF$2:$AF$1001,0),0), INDEX($AM$1004:$BM$1004,1,MATCH(COLUMNS($AM$1006:BL1006),$AM$1006:$BM$1006,0)))),"Fix")))</f>
        <v xml:space="preserve"> </v>
      </c>
      <c r="AB467" s="4" t="str">
        <f ca="1">IF(OR(INDEX($AG$2:$AG$1001,MATCH(ROWS($AF$2:AF467),$AF$2:$AF$1001,0),1)&gt;=100000,INDEX($AM$1005:$BM$1005,1,MATCH(COLUMNS($AM$1006:BM1006),$AM$1006:$BM$1006,0))&gt;=100000), " ",IF(INDEX($AM$2:$BM$1001,MATCH(ROWS($AF$2:AF467),$AF$2:$AF$1001,0),MATCH(COLUMNS($AM$1006:BM1006),$AM$1006:$BM$1006,0)), HYPERLINK("#",""), HYPERLINK(CONCATENATE("#metadata!", ADDRESS(INDEX($AH$2:$AH$1001,MATCH(ROWS($AF$2:AF467),$AF$2:$AF$1001,0),0), INDEX($AM$1004:$BM$1004,1,MATCH(COLUMNS($AM$1006:BM1006),$AM$1006:$BM$1006,0)))),"Fix")))</f>
        <v xml:space="preserve"> </v>
      </c>
      <c r="AF467">
        <v>466</v>
      </c>
      <c r="AG467">
        <v>100467</v>
      </c>
      <c r="AH467">
        <v>467</v>
      </c>
      <c r="AI467" t="b">
        <f t="shared" si="7"/>
        <v>1</v>
      </c>
      <c r="AJ467" t="b">
        <f>COUNTBLANK(metadata!B467:AB467)=COLUMNS(metadata!B467:AB467)</f>
        <v>1</v>
      </c>
      <c r="AK467" t="str">
        <v/>
      </c>
      <c r="AM467" t="b">
        <f ca="1">AND(IF(metadata!B467="",FALSE,TRUE),COUNTIF(metadata!B:B, metadata!B467) = 1,NOT(ISERROR(SUMPRODUCT(SEARCH(MID(metadata!B467,ROW(INDIRECT("1:"&amp;LEN(metadata!B467))), 1),"0123456789abcdefghijklmnopqrstuvwxyzABCDEFGHIJKLMNOPQRSTUVWXYZ.")))))</f>
        <v>0</v>
      </c>
      <c r="AN467" t="b">
        <f ca="1">OR(AND(IF(metadata!C467="",FALSE,TRUE),OR(EXACT(metadata!C467,"missing: not collected"),EXACT(metadata!C467,"missing: not provided"),EXACT(metadata!C467,"missing: restricted access"))),AND(IF(metadata!C467="",FALSE,TRUE),AND(AND(IFERROR(INT(LEFT(metadata!C467,4))&gt;1900,FALSE),IFERROR(INT(LEFT(metadata!C467,4))&lt;=YEAR(NOW()),FALSE)), OR(MID(metadata!C467,5,1)="", AND(AND(MID(metadata!C467,5,1)="-",IFERROR(INT(MID(metadata!C467,6,1))&gt;=0,FALSE),IFERROR(INT(MID(metadata!C467,6,1))&lt;=1,FALSE),NOT(MID(metadata!C467,7,1)=""),IFERROR(INT(MID(metadata!C467,6,2))&gt;=1,FALSE),IFERROR(INT(MID(metadata!C467,6,2))&lt;=12,FALSE)), OR(MID(metadata!C467,8,1)="", AND(AND(MID(metadata!C467,8,1)="-",IFERROR(INT(MID(metadata!C467,9,1))&gt;=0,FALSE),IFERROR(INT(MID(metadata!C467,9,1))&lt;=3,FALSE),NOT(MID(metadata!C467,10,1)=""),IFERROR(INT(MID(metadata!C467,9,2))&gt;=1,FALSE),IFERROR(INT(MID(metadata!C467,9,2))&lt;=31,FALSE)), OR(MID(metadata!C467,11,1)="", AND(AND(MID(metadata!C467,11,1)=" ",IFERROR(INT(MID(metadata!C467,12,1))&gt;=0,FALSE),IFERROR(INT(MID(metadata!C467,12,1))&lt;=2,FALSE),NOT(MID(metadata!C467,13,1)=""),IFERROR(INT(MID(metadata!C467,12,2))&gt;=0,FALSE),IFERROR(INT(MID(metadata!C467,12,2))&lt;=23,FALSE)), OR(MID(metadata!C467,14,1)="", AND(AND(MID(metadata!C467,14,1)=":",IFERROR(INT(MID(metadata!C467,15,1))&gt;=0,FALSE),IFERROR(INT(MID(metadata!C467,15,1))&lt;=5,FALSE),NOT(MID(metadata!C467,16,1)=""),IFERROR(INT(MID(metadata!C467,15,2))&gt;=0,FALSE),IFERROR(INT(MID(metadata!C467,15,2))&lt;=59,FALSE)), OR(MID(metadata!C467,17,1)="", AND(AND(MID(metadata!C467,17,1)=":",IFERROR(INT(MID(metadata!C467,18,1))&gt;=0,FALSE),IFERROR(INT(MID(metadata!C467,18,1))&lt;=5,FALSE),NOT(MID(metadata!C467,19,1)=""),IFERROR(INT(MID(metadata!C467,18,2))&gt;=0,FALSE),IFERROR(INT(MID(metadata!C467,18,2))&lt;=59,FALSE)), LEN(metadata!C467)&lt;=19)))))))))))))</f>
        <v>0</v>
      </c>
      <c r="AO467" t="b">
        <f>AND(IF(metadata!D467="",FALSE,TRUE),EXACT(metadata!D467,"Not applicable"))</f>
        <v>0</v>
      </c>
      <c r="AP467" t="b">
        <f>IF(metadata!E467="",FALSE,TRUE)</f>
        <v>0</v>
      </c>
      <c r="AQ467" t="b">
        <f>OR(AND(IF(metadata!F467="",FALSE,TRUE),OR(EXACT(metadata!F467,"missing: not collected"),EXACT(metadata!F467,"missing: not provided"))),AND(IF(metadata!F467="",FALSE,TRUE),OR(EXACT(metadata!F467,"TRUE"),EXACT(metadata!F467,"FALSE"))))</f>
        <v>0</v>
      </c>
      <c r="AR467" t="b">
        <f>OR(AND(IF(metadata!G467="",FALSE,TRUE),OR(EXACT(metadata!G467,"missing: not collected"),EXACT(metadata!G467,"missing: not provided"),EXACT(metadata!G467,"missing: restricted access"))),AND(IF(metadata!G467="",FALSE,ISNUMBER(VALUE(metadata!G467))),metadata!G467&gt;=-413))</f>
        <v>0</v>
      </c>
      <c r="AS467" t="b">
        <f>AND(IF(metadata!H467="",FALSE,TRUE),EXACT(metadata!H467,"meters"))</f>
        <v>0</v>
      </c>
      <c r="AT467" t="b">
        <f>AND(IF(metadata!I467="",FALSE,TRUE),OR(EXACT(metadata!I467,"Host-associated"),EXACT(metadata!I467,"Free-living")))</f>
        <v>0</v>
      </c>
      <c r="AU467" t="b">
        <f>AND(IF(metadata!J467="",FALSE,TRUE),OR(EXACT(metadata!J467,"Animal"),EXACT(metadata!J467,"Fungus"),EXACT(metadata!J467,"Plant"),EXACT(metadata!J467,"Saline"),EXACT(metadata!J467,"Non-saline")))</f>
        <v>0</v>
      </c>
      <c r="AV467" t="b">
        <f>AND(IF(metadata!K467="",FALSE,TRUE),OR(EXACT(metadata!K467,"Plant secretion"),EXACT(metadata!K467,"Plant rhizosphere"),EXACT(metadata!K467,"Plant surface"),EXACT(metadata!K467,"Plant corpus"),EXACT(metadata!K467,"Fungus surface"),EXACT(metadata!K467,"Fungus corpus"),EXACT(metadata!K467,"Animal surface"),EXACT(metadata!K467,"Animal proximal gut"),EXACT(metadata!K467,"Animal corpus"),EXACT(metadata!K467,"Animal distal gut"),EXACT(metadata!K467,"Animal secretion"),EXACT(metadata!K467,"Sub-surface (non-saline)"),EXACT(metadata!K467,"Surface (non-saline)"),EXACT(metadata!K467,"Water (non-saline)"),EXACT(metadata!K467,"Soil (non-saline)"),EXACT(metadata!K467,"Aerosol (non-saline)"),EXACT(metadata!K467,"Sediment (non-saline)"),EXACT(metadata!K467,"Surface (saline)"),EXACT(metadata!K467,"Water (saline)"),EXACT(metadata!K467,"Hypersaline (saline)"),EXACT(metadata!K467,"Aerosol (saline)"),EXACT(metadata!K467,"Sediment (saline)")))</f>
        <v>0</v>
      </c>
      <c r="AW467" t="b">
        <f>IF(metadata!L467="",FALSE,TRUE)</f>
        <v>0</v>
      </c>
      <c r="AX467" t="b">
        <f>IF(metadata!M467="",FALSE,TRUE)</f>
        <v>0</v>
      </c>
      <c r="AY467" t="b">
        <f>IF(metadata!N467="",FALSE,TRUE)</f>
        <v>0</v>
      </c>
      <c r="AZ467" t="b">
        <f>OR(AND(IF(metadata!O467="",FALSE,TRUE),OR(EXACT(metadata!O467,"missing: not collected"),EXACT(metadata!O467,"missing: not provided"),EXACT(metadata!O467,"missing: restricted access"))),AND(IF(metadata!O467="",FALSE,TRUE),OR(EXACT(metadata!O467,"air"),EXACT(metadata!O467,"built environment"),EXACT(metadata!O467,"host-associated"),EXACT(metadata!O467,"human-associated"),EXACT(metadata!O467,"human-skin"),EXACT(metadata!O467,"human-oral"),EXACT(metadata!O467,"human-gut"),EXACT(metadata!O467,"human-vaginal"),EXACT(metadata!O467,"microbial mat/biofilm"),EXACT(metadata!O467,"misc environment"),EXACT(metadata!O467,"plant-associated"),EXACT(metadata!O467,"sediment"),EXACT(metadata!O467,"soil"),EXACT(metadata!O467,"wastewater/sludge"),EXACT(metadata!O467,"water"))))</f>
        <v>0</v>
      </c>
      <c r="BA467" t="b">
        <f>IF(metadata!P467="",FALSE,TRUE)</f>
        <v>0</v>
      </c>
      <c r="BB467" t="b">
        <f>IF(metadata!Q467="",FALSE,TRUE)</f>
        <v>0</v>
      </c>
      <c r="BC467" t="b">
        <f>OR(AND(IF(metadata!R467="",FALSE,TRUE),OR(EXACT(metadata!R467,"missing: not collected"),EXACT(metadata!R467,"missing: not provided"),EXACT(metadata!R467,"missing: restricted access"))),AND(IF(metadata!R467="",FALSE,ISNUMBER(VALUE(metadata!R467))),metadata!R467&gt;=-90,metadata!R467&lt;=90))</f>
        <v>0</v>
      </c>
      <c r="BD467" t="b">
        <f>AND(IF(metadata!S467="",FALSE,TRUE),EXACT(metadata!S467,"Decimal degrees"))</f>
        <v>0</v>
      </c>
      <c r="BE467" t="b">
        <f>OR(AND(IF(metadata!T467="",FALSE,TRUE),OR(EXACT(metadata!T467,"missing: not collected"),EXACT(metadata!T467,"missing: not provided"),EXACT(metadata!T467,"missing: restricted access"))),AND(IF(metadata!T467="",FALSE,ISNUMBER(VALUE(metadata!T467))),metadata!T467&gt;=-180,metadata!T467&lt;=180))</f>
        <v>0</v>
      </c>
      <c r="BF467" t="b">
        <f>AND(IF(metadata!U467="",FALSE,TRUE),EXACT(metadata!U467,"Decimal degrees"))</f>
        <v>0</v>
      </c>
      <c r="BG467" t="b">
        <f>IF(metadata!V467="",FALSE,TRUE)</f>
        <v>0</v>
      </c>
      <c r="BH467" t="b">
        <f>OR(AND(IF(metadata!W467="",FALSE,TRUE),OR(EXACT(metadata!W467,"missing: not collected"),EXACT(metadata!W467,"missing: not provided"),EXACT(metadata!W467,"missing: restricted access"))),AND(IF(metadata!W467="",FALSE,TRUE),OR(EXACT(metadata!W467,"TRUE"),EXACT(metadata!W467,"FALSE"))))</f>
        <v>0</v>
      </c>
      <c r="BI467" t="b">
        <f>AND(IF(metadata!X467="",FALSE,TRUE),EXACT(metadata!X467,"other"))</f>
        <v>0</v>
      </c>
      <c r="BJ467" t="b">
        <f>IF(metadata!Y467="",FALSE,TRUE)</f>
        <v>0</v>
      </c>
      <c r="BK467" t="b">
        <f>OR(AND(IF(metadata!Z467="",FALSE,TRUE),OR(EXACT(metadata!Z467,"missing: not collected"),EXACT(metadata!Z467,"missing: not provided"))),AND(IF(metadata!Z467="",FALSE,IF(ISERROR(INT(metadata!Z467)),FALSE,INT(metadata!Z467)=metadata!Z467)),metadata!Z467&gt;0))</f>
        <v>0</v>
      </c>
      <c r="BL467" t="b">
        <f>AND(IF(metadata!AA467="",FALSE,TRUE),EXACT(metadata!AA467,"Not applicable"))</f>
        <v>0</v>
      </c>
      <c r="BM467" t="b">
        <f>IF(metadata!AB467="",FALSE,TRUE)</f>
        <v>0</v>
      </c>
    </row>
    <row r="468" spans="1:65" x14ac:dyDescent="0.2">
      <c r="A468" s="5" t="str">
        <f ca="1">IF(B468=" "," ",HYPERLINK(CONCATENATE("#metadata!",ADDRESS(INDEX($AH$2:$AH$1001,MATCH(ROWS($AF$2:AF468),$AF$2:$AF$1001,0),0),1)),INDEX($AK$2:$AK$1001,MATCH(ROWS($AF$2:AF468),$AF$2:$AF$1001,0),0)))</f>
        <v xml:space="preserve"> </v>
      </c>
      <c r="B468" s="4" t="str">
        <f ca="1">IF(OR(INDEX($AG$2:$AG$1001,MATCH(ROWS($AF$2:AF468),$AF$2:$AF$1001,0),1)&gt;=100000,INDEX($AM$1005:$BM$1005,1,MATCH(COLUMNS($AM$1006:AM1006),$AM$1006:$BM$1006,0))&gt;=100000), " ",IF(INDEX($AM$2:$BM$1001,MATCH(ROWS($AF$2:AF468),$AF$2:$AF$1001,0),MATCH(COLUMNS($AM$1006:AM1006),$AM$1006:$BM$1006,0)), HYPERLINK("#",""), HYPERLINK(CONCATENATE("#metadata!", ADDRESS(INDEX($AH$2:$AH$1001,MATCH(ROWS($AF$2:AF468),$AF$2:$AF$1001,0),0), INDEX($AM$1004:$BM$1004,1,MATCH(COLUMNS($AM$1006:AM1006),$AM$1006:$BM$1006,0)))),"Fix")))</f>
        <v xml:space="preserve"> </v>
      </c>
      <c r="C468" s="4" t="str">
        <f ca="1">IF(OR(INDEX($AG$2:$AG$1001,MATCH(ROWS($AF$2:AF468),$AF$2:$AF$1001,0),1)&gt;=100000,INDEX($AM$1005:$BM$1005,1,MATCH(COLUMNS($AM$1006:AN1006),$AM$1006:$BM$1006,0))&gt;=100000), " ",IF(INDEX($AM$2:$BM$1001,MATCH(ROWS($AF$2:AF468),$AF$2:$AF$1001,0),MATCH(COLUMNS($AM$1006:AN1006),$AM$1006:$BM$1006,0)), HYPERLINK("#",""), HYPERLINK(CONCATENATE("#metadata!", ADDRESS(INDEX($AH$2:$AH$1001,MATCH(ROWS($AF$2:AF468),$AF$2:$AF$1001,0),0), INDEX($AM$1004:$BM$1004,1,MATCH(COLUMNS($AM$1006:AN1006),$AM$1006:$BM$1006,0)))),"Fix")))</f>
        <v xml:space="preserve"> </v>
      </c>
      <c r="D468" s="4" t="str">
        <f ca="1">IF(OR(INDEX($AG$2:$AG$1001,MATCH(ROWS($AF$2:AF468),$AF$2:$AF$1001,0),1)&gt;=100000,INDEX($AM$1005:$BM$1005,1,MATCH(COLUMNS($AM$1006:AO1006),$AM$1006:$BM$1006,0))&gt;=100000), " ",IF(INDEX($AM$2:$BM$1001,MATCH(ROWS($AF$2:AF468),$AF$2:$AF$1001,0),MATCH(COLUMNS($AM$1006:AO1006),$AM$1006:$BM$1006,0)), HYPERLINK("#",""), HYPERLINK(CONCATENATE("#metadata!", ADDRESS(INDEX($AH$2:$AH$1001,MATCH(ROWS($AF$2:AF468),$AF$2:$AF$1001,0),0), INDEX($AM$1004:$BM$1004,1,MATCH(COLUMNS($AM$1006:AO1006),$AM$1006:$BM$1006,0)))),"Fix")))</f>
        <v xml:space="preserve"> </v>
      </c>
      <c r="E468" s="4" t="str">
        <f ca="1">IF(OR(INDEX($AG$2:$AG$1001,MATCH(ROWS($AF$2:AF468),$AF$2:$AF$1001,0),1)&gt;=100000,INDEX($AM$1005:$BM$1005,1,MATCH(COLUMNS($AM$1006:AP1006),$AM$1006:$BM$1006,0))&gt;=100000), " ",IF(INDEX($AM$2:$BM$1001,MATCH(ROWS($AF$2:AF468),$AF$2:$AF$1001,0),MATCH(COLUMNS($AM$1006:AP1006),$AM$1006:$BM$1006,0)), HYPERLINK("#",""), HYPERLINK(CONCATENATE("#metadata!", ADDRESS(INDEX($AH$2:$AH$1001,MATCH(ROWS($AF$2:AF468),$AF$2:$AF$1001,0),0), INDEX($AM$1004:$BM$1004,1,MATCH(COLUMNS($AM$1006:AP1006),$AM$1006:$BM$1006,0)))),"Fix")))</f>
        <v xml:space="preserve"> </v>
      </c>
      <c r="F468" s="4" t="str">
        <f ca="1">IF(OR(INDEX($AG$2:$AG$1001,MATCH(ROWS($AF$2:AF468),$AF$2:$AF$1001,0),1)&gt;=100000,INDEX($AM$1005:$BM$1005,1,MATCH(COLUMNS($AM$1006:AQ1006),$AM$1006:$BM$1006,0))&gt;=100000), " ",IF(INDEX($AM$2:$BM$1001,MATCH(ROWS($AF$2:AF468),$AF$2:$AF$1001,0),MATCH(COLUMNS($AM$1006:AQ1006),$AM$1006:$BM$1006,0)), HYPERLINK("#",""), HYPERLINK(CONCATENATE("#metadata!", ADDRESS(INDEX($AH$2:$AH$1001,MATCH(ROWS($AF$2:AF468),$AF$2:$AF$1001,0),0), INDEX($AM$1004:$BM$1004,1,MATCH(COLUMNS($AM$1006:AQ1006),$AM$1006:$BM$1006,0)))),"Fix")))</f>
        <v xml:space="preserve"> </v>
      </c>
      <c r="G468" s="4" t="str">
        <f ca="1">IF(OR(INDEX($AG$2:$AG$1001,MATCH(ROWS($AF$2:AF468),$AF$2:$AF$1001,0),1)&gt;=100000,INDEX($AM$1005:$BM$1005,1,MATCH(COLUMNS($AM$1006:AR1006),$AM$1006:$BM$1006,0))&gt;=100000), " ",IF(INDEX($AM$2:$BM$1001,MATCH(ROWS($AF$2:AF468),$AF$2:$AF$1001,0),MATCH(COLUMNS($AM$1006:AR1006),$AM$1006:$BM$1006,0)), HYPERLINK("#",""), HYPERLINK(CONCATENATE("#metadata!", ADDRESS(INDEX($AH$2:$AH$1001,MATCH(ROWS($AF$2:AF468),$AF$2:$AF$1001,0),0), INDEX($AM$1004:$BM$1004,1,MATCH(COLUMNS($AM$1006:AR1006),$AM$1006:$BM$1006,0)))),"Fix")))</f>
        <v xml:space="preserve"> </v>
      </c>
      <c r="H468" s="4" t="str">
        <f ca="1">IF(OR(INDEX($AG$2:$AG$1001,MATCH(ROWS($AF$2:AF468),$AF$2:$AF$1001,0),1)&gt;=100000,INDEX($AM$1005:$BM$1005,1,MATCH(COLUMNS($AM$1006:AS1006),$AM$1006:$BM$1006,0))&gt;=100000), " ",IF(INDEX($AM$2:$BM$1001,MATCH(ROWS($AF$2:AF468),$AF$2:$AF$1001,0),MATCH(COLUMNS($AM$1006:AS1006),$AM$1006:$BM$1006,0)), HYPERLINK("#",""), HYPERLINK(CONCATENATE("#metadata!", ADDRESS(INDEX($AH$2:$AH$1001,MATCH(ROWS($AF$2:AF468),$AF$2:$AF$1001,0),0), INDEX($AM$1004:$BM$1004,1,MATCH(COLUMNS($AM$1006:AS1006),$AM$1006:$BM$1006,0)))),"Fix")))</f>
        <v xml:space="preserve"> </v>
      </c>
      <c r="I468" s="4" t="str">
        <f ca="1">IF(OR(INDEX($AG$2:$AG$1001,MATCH(ROWS($AF$2:AF468),$AF$2:$AF$1001,0),1)&gt;=100000,INDEX($AM$1005:$BM$1005,1,MATCH(COLUMNS($AM$1006:AT1006),$AM$1006:$BM$1006,0))&gt;=100000), " ",IF(INDEX($AM$2:$BM$1001,MATCH(ROWS($AF$2:AF468),$AF$2:$AF$1001,0),MATCH(COLUMNS($AM$1006:AT1006),$AM$1006:$BM$1006,0)), HYPERLINK("#",""), HYPERLINK(CONCATENATE("#metadata!", ADDRESS(INDEX($AH$2:$AH$1001,MATCH(ROWS($AF$2:AF468),$AF$2:$AF$1001,0),0), INDEX($AM$1004:$BM$1004,1,MATCH(COLUMNS($AM$1006:AT1006),$AM$1006:$BM$1006,0)))),"Fix")))</f>
        <v xml:space="preserve"> </v>
      </c>
      <c r="J468" s="4" t="str">
        <f ca="1">IF(OR(INDEX($AG$2:$AG$1001,MATCH(ROWS($AF$2:AF468),$AF$2:$AF$1001,0),1)&gt;=100000,INDEX($AM$1005:$BM$1005,1,MATCH(COLUMNS($AM$1006:AU1006),$AM$1006:$BM$1006,0))&gt;=100000), " ",IF(INDEX($AM$2:$BM$1001,MATCH(ROWS($AF$2:AF468),$AF$2:$AF$1001,0),MATCH(COLUMNS($AM$1006:AU1006),$AM$1006:$BM$1006,0)), HYPERLINK("#",""), HYPERLINK(CONCATENATE("#metadata!", ADDRESS(INDEX($AH$2:$AH$1001,MATCH(ROWS($AF$2:AF468),$AF$2:$AF$1001,0),0), INDEX($AM$1004:$BM$1004,1,MATCH(COLUMNS($AM$1006:AU1006),$AM$1006:$BM$1006,0)))),"Fix")))</f>
        <v xml:space="preserve"> </v>
      </c>
      <c r="K468" s="4" t="str">
        <f ca="1">IF(OR(INDEX($AG$2:$AG$1001,MATCH(ROWS($AF$2:AF468),$AF$2:$AF$1001,0),1)&gt;=100000,INDEX($AM$1005:$BM$1005,1,MATCH(COLUMNS($AM$1006:AV1006),$AM$1006:$BM$1006,0))&gt;=100000), " ",IF(INDEX($AM$2:$BM$1001,MATCH(ROWS($AF$2:AF468),$AF$2:$AF$1001,0),MATCH(COLUMNS($AM$1006:AV1006),$AM$1006:$BM$1006,0)), HYPERLINK("#",""), HYPERLINK(CONCATENATE("#metadata!", ADDRESS(INDEX($AH$2:$AH$1001,MATCH(ROWS($AF$2:AF468),$AF$2:$AF$1001,0),0), INDEX($AM$1004:$BM$1004,1,MATCH(COLUMNS($AM$1006:AV1006),$AM$1006:$BM$1006,0)))),"Fix")))</f>
        <v xml:space="preserve"> </v>
      </c>
      <c r="L468" s="4" t="str">
        <f ca="1">IF(OR(INDEX($AG$2:$AG$1001,MATCH(ROWS($AF$2:AF468),$AF$2:$AF$1001,0),1)&gt;=100000,INDEX($AM$1005:$BM$1005,1,MATCH(COLUMNS($AM$1006:AW1006),$AM$1006:$BM$1006,0))&gt;=100000), " ",IF(INDEX($AM$2:$BM$1001,MATCH(ROWS($AF$2:AF468),$AF$2:$AF$1001,0),MATCH(COLUMNS($AM$1006:AW1006),$AM$1006:$BM$1006,0)), HYPERLINK("#",""), HYPERLINK(CONCATENATE("#metadata!", ADDRESS(INDEX($AH$2:$AH$1001,MATCH(ROWS($AF$2:AF468),$AF$2:$AF$1001,0),0), INDEX($AM$1004:$BM$1004,1,MATCH(COLUMNS($AM$1006:AW1006),$AM$1006:$BM$1006,0)))),"Fix")))</f>
        <v xml:space="preserve"> </v>
      </c>
      <c r="M468" s="4" t="str">
        <f ca="1">IF(OR(INDEX($AG$2:$AG$1001,MATCH(ROWS($AF$2:AF468),$AF$2:$AF$1001,0),1)&gt;=100000,INDEX($AM$1005:$BM$1005,1,MATCH(COLUMNS($AM$1006:AX1006),$AM$1006:$BM$1006,0))&gt;=100000), " ",IF(INDEX($AM$2:$BM$1001,MATCH(ROWS($AF$2:AF468),$AF$2:$AF$1001,0),MATCH(COLUMNS($AM$1006:AX1006),$AM$1006:$BM$1006,0)), HYPERLINK("#",""), HYPERLINK(CONCATENATE("#metadata!", ADDRESS(INDEX($AH$2:$AH$1001,MATCH(ROWS($AF$2:AF468),$AF$2:$AF$1001,0),0), INDEX($AM$1004:$BM$1004,1,MATCH(COLUMNS($AM$1006:AX1006),$AM$1006:$BM$1006,0)))),"Fix")))</f>
        <v xml:space="preserve"> </v>
      </c>
      <c r="N468" s="4" t="str">
        <f ca="1">IF(OR(INDEX($AG$2:$AG$1001,MATCH(ROWS($AF$2:AF468),$AF$2:$AF$1001,0),1)&gt;=100000,INDEX($AM$1005:$BM$1005,1,MATCH(COLUMNS($AM$1006:AY1006),$AM$1006:$BM$1006,0))&gt;=100000), " ",IF(INDEX($AM$2:$BM$1001,MATCH(ROWS($AF$2:AF468),$AF$2:$AF$1001,0),MATCH(COLUMNS($AM$1006:AY1006),$AM$1006:$BM$1006,0)), HYPERLINK("#",""), HYPERLINK(CONCATENATE("#metadata!", ADDRESS(INDEX($AH$2:$AH$1001,MATCH(ROWS($AF$2:AF468),$AF$2:$AF$1001,0),0), INDEX($AM$1004:$BM$1004,1,MATCH(COLUMNS($AM$1006:AY1006),$AM$1006:$BM$1006,0)))),"Fix")))</f>
        <v xml:space="preserve"> </v>
      </c>
      <c r="O468" s="4" t="str">
        <f ca="1">IF(OR(INDEX($AG$2:$AG$1001,MATCH(ROWS($AF$2:AF468),$AF$2:$AF$1001,0),1)&gt;=100000,INDEX($AM$1005:$BM$1005,1,MATCH(COLUMNS($AM$1006:AZ1006),$AM$1006:$BM$1006,0))&gt;=100000), " ",IF(INDEX($AM$2:$BM$1001,MATCH(ROWS($AF$2:AF468),$AF$2:$AF$1001,0),MATCH(COLUMNS($AM$1006:AZ1006),$AM$1006:$BM$1006,0)), HYPERLINK("#",""), HYPERLINK(CONCATENATE("#metadata!", ADDRESS(INDEX($AH$2:$AH$1001,MATCH(ROWS($AF$2:AF468),$AF$2:$AF$1001,0),0), INDEX($AM$1004:$BM$1004,1,MATCH(COLUMNS($AM$1006:AZ1006),$AM$1006:$BM$1006,0)))),"Fix")))</f>
        <v xml:space="preserve"> </v>
      </c>
      <c r="P468" s="4" t="str">
        <f ca="1">IF(OR(INDEX($AG$2:$AG$1001,MATCH(ROWS($AF$2:AF468),$AF$2:$AF$1001,0),1)&gt;=100000,INDEX($AM$1005:$BM$1005,1,MATCH(COLUMNS($AM$1006:BA1006),$AM$1006:$BM$1006,0))&gt;=100000), " ",IF(INDEX($AM$2:$BM$1001,MATCH(ROWS($AF$2:AF468),$AF$2:$AF$1001,0),MATCH(COLUMNS($AM$1006:BA1006),$AM$1006:$BM$1006,0)), HYPERLINK("#",""), HYPERLINK(CONCATENATE("#metadata!", ADDRESS(INDEX($AH$2:$AH$1001,MATCH(ROWS($AF$2:AF468),$AF$2:$AF$1001,0),0), INDEX($AM$1004:$BM$1004,1,MATCH(COLUMNS($AM$1006:BA1006),$AM$1006:$BM$1006,0)))),"Fix")))</f>
        <v xml:space="preserve"> </v>
      </c>
      <c r="Q468" s="4" t="str">
        <f ca="1">IF(OR(INDEX($AG$2:$AG$1001,MATCH(ROWS($AF$2:AF468),$AF$2:$AF$1001,0),1)&gt;=100000,INDEX($AM$1005:$BM$1005,1,MATCH(COLUMNS($AM$1006:BB1006),$AM$1006:$BM$1006,0))&gt;=100000), " ",IF(INDEX($AM$2:$BM$1001,MATCH(ROWS($AF$2:AF468),$AF$2:$AF$1001,0),MATCH(COLUMNS($AM$1006:BB1006),$AM$1006:$BM$1006,0)), HYPERLINK("#",""), HYPERLINK(CONCATENATE("#metadata!", ADDRESS(INDEX($AH$2:$AH$1001,MATCH(ROWS($AF$2:AF468),$AF$2:$AF$1001,0),0), INDEX($AM$1004:$BM$1004,1,MATCH(COLUMNS($AM$1006:BB1006),$AM$1006:$BM$1006,0)))),"Fix")))</f>
        <v xml:space="preserve"> </v>
      </c>
      <c r="R468" s="4" t="str">
        <f ca="1">IF(OR(INDEX($AG$2:$AG$1001,MATCH(ROWS($AF$2:AF468),$AF$2:$AF$1001,0),1)&gt;=100000,INDEX($AM$1005:$BM$1005,1,MATCH(COLUMNS($AM$1006:BC1006),$AM$1006:$BM$1006,0))&gt;=100000), " ",IF(INDEX($AM$2:$BM$1001,MATCH(ROWS($AF$2:AF468),$AF$2:$AF$1001,0),MATCH(COLUMNS($AM$1006:BC1006),$AM$1006:$BM$1006,0)), HYPERLINK("#",""), HYPERLINK(CONCATENATE("#metadata!", ADDRESS(INDEX($AH$2:$AH$1001,MATCH(ROWS($AF$2:AF468),$AF$2:$AF$1001,0),0), INDEX($AM$1004:$BM$1004,1,MATCH(COLUMNS($AM$1006:BC1006),$AM$1006:$BM$1006,0)))),"Fix")))</f>
        <v xml:space="preserve"> </v>
      </c>
      <c r="S468" s="4" t="str">
        <f ca="1">IF(OR(INDEX($AG$2:$AG$1001,MATCH(ROWS($AF$2:AF468),$AF$2:$AF$1001,0),1)&gt;=100000,INDEX($AM$1005:$BM$1005,1,MATCH(COLUMNS($AM$1006:BD1006),$AM$1006:$BM$1006,0))&gt;=100000), " ",IF(INDEX($AM$2:$BM$1001,MATCH(ROWS($AF$2:AF468),$AF$2:$AF$1001,0),MATCH(COLUMNS($AM$1006:BD1006),$AM$1006:$BM$1006,0)), HYPERLINK("#",""), HYPERLINK(CONCATENATE("#metadata!", ADDRESS(INDEX($AH$2:$AH$1001,MATCH(ROWS($AF$2:AF468),$AF$2:$AF$1001,0),0), INDEX($AM$1004:$BM$1004,1,MATCH(COLUMNS($AM$1006:BD1006),$AM$1006:$BM$1006,0)))),"Fix")))</f>
        <v xml:space="preserve"> </v>
      </c>
      <c r="T468" s="4" t="str">
        <f ca="1">IF(OR(INDEX($AG$2:$AG$1001,MATCH(ROWS($AF$2:AF468),$AF$2:$AF$1001,0),1)&gt;=100000,INDEX($AM$1005:$BM$1005,1,MATCH(COLUMNS($AM$1006:BE1006),$AM$1006:$BM$1006,0))&gt;=100000), " ",IF(INDEX($AM$2:$BM$1001,MATCH(ROWS($AF$2:AF468),$AF$2:$AF$1001,0),MATCH(COLUMNS($AM$1006:BE1006),$AM$1006:$BM$1006,0)), HYPERLINK("#",""), HYPERLINK(CONCATENATE("#metadata!", ADDRESS(INDEX($AH$2:$AH$1001,MATCH(ROWS($AF$2:AF468),$AF$2:$AF$1001,0),0), INDEX($AM$1004:$BM$1004,1,MATCH(COLUMNS($AM$1006:BE1006),$AM$1006:$BM$1006,0)))),"Fix")))</f>
        <v xml:space="preserve"> </v>
      </c>
      <c r="U468" s="4" t="str">
        <f ca="1">IF(OR(INDEX($AG$2:$AG$1001,MATCH(ROWS($AF$2:AF468),$AF$2:$AF$1001,0),1)&gt;=100000,INDEX($AM$1005:$BM$1005,1,MATCH(COLUMNS($AM$1006:BF1006),$AM$1006:$BM$1006,0))&gt;=100000), " ",IF(INDEX($AM$2:$BM$1001,MATCH(ROWS($AF$2:AF468),$AF$2:$AF$1001,0),MATCH(COLUMNS($AM$1006:BF1006),$AM$1006:$BM$1006,0)), HYPERLINK("#",""), HYPERLINK(CONCATENATE("#metadata!", ADDRESS(INDEX($AH$2:$AH$1001,MATCH(ROWS($AF$2:AF468),$AF$2:$AF$1001,0),0), INDEX($AM$1004:$BM$1004,1,MATCH(COLUMNS($AM$1006:BF1006),$AM$1006:$BM$1006,0)))),"Fix")))</f>
        <v xml:space="preserve"> </v>
      </c>
      <c r="V468" s="4" t="str">
        <f ca="1">IF(OR(INDEX($AG$2:$AG$1001,MATCH(ROWS($AF$2:AF468),$AF$2:$AF$1001,0),1)&gt;=100000,INDEX($AM$1005:$BM$1005,1,MATCH(COLUMNS($AM$1006:BG1006),$AM$1006:$BM$1006,0))&gt;=100000), " ",IF(INDEX($AM$2:$BM$1001,MATCH(ROWS($AF$2:AF468),$AF$2:$AF$1001,0),MATCH(COLUMNS($AM$1006:BG1006),$AM$1006:$BM$1006,0)), HYPERLINK("#",""), HYPERLINK(CONCATENATE("#metadata!", ADDRESS(INDEX($AH$2:$AH$1001,MATCH(ROWS($AF$2:AF468),$AF$2:$AF$1001,0),0), INDEX($AM$1004:$BM$1004,1,MATCH(COLUMNS($AM$1006:BG1006),$AM$1006:$BM$1006,0)))),"Fix")))</f>
        <v xml:space="preserve"> </v>
      </c>
      <c r="W468" s="4" t="str">
        <f ca="1">IF(OR(INDEX($AG$2:$AG$1001,MATCH(ROWS($AF$2:AF468),$AF$2:$AF$1001,0),1)&gt;=100000,INDEX($AM$1005:$BM$1005,1,MATCH(COLUMNS($AM$1006:BH1006),$AM$1006:$BM$1006,0))&gt;=100000), " ",IF(INDEX($AM$2:$BM$1001,MATCH(ROWS($AF$2:AF468),$AF$2:$AF$1001,0),MATCH(COLUMNS($AM$1006:BH1006),$AM$1006:$BM$1006,0)), HYPERLINK("#",""), HYPERLINK(CONCATENATE("#metadata!", ADDRESS(INDEX($AH$2:$AH$1001,MATCH(ROWS($AF$2:AF468),$AF$2:$AF$1001,0),0), INDEX($AM$1004:$BM$1004,1,MATCH(COLUMNS($AM$1006:BH1006),$AM$1006:$BM$1006,0)))),"Fix")))</f>
        <v xml:space="preserve"> </v>
      </c>
      <c r="X468" s="4" t="str">
        <f ca="1">IF(OR(INDEX($AG$2:$AG$1001,MATCH(ROWS($AF$2:AF468),$AF$2:$AF$1001,0),1)&gt;=100000,INDEX($AM$1005:$BM$1005,1,MATCH(COLUMNS($AM$1006:BI1006),$AM$1006:$BM$1006,0))&gt;=100000), " ",IF(INDEX($AM$2:$BM$1001,MATCH(ROWS($AF$2:AF468),$AF$2:$AF$1001,0),MATCH(COLUMNS($AM$1006:BI1006),$AM$1006:$BM$1006,0)), HYPERLINK("#",""), HYPERLINK(CONCATENATE("#metadata!", ADDRESS(INDEX($AH$2:$AH$1001,MATCH(ROWS($AF$2:AF468),$AF$2:$AF$1001,0),0), INDEX($AM$1004:$BM$1004,1,MATCH(COLUMNS($AM$1006:BI1006),$AM$1006:$BM$1006,0)))),"Fix")))</f>
        <v xml:space="preserve"> </v>
      </c>
      <c r="Y468" s="4" t="str">
        <f ca="1">IF(OR(INDEX($AG$2:$AG$1001,MATCH(ROWS($AF$2:AF468),$AF$2:$AF$1001,0),1)&gt;=100000,INDEX($AM$1005:$BM$1005,1,MATCH(COLUMNS($AM$1006:BJ1006),$AM$1006:$BM$1006,0))&gt;=100000), " ",IF(INDEX($AM$2:$BM$1001,MATCH(ROWS($AF$2:AF468),$AF$2:$AF$1001,0),MATCH(COLUMNS($AM$1006:BJ1006),$AM$1006:$BM$1006,0)), HYPERLINK("#",""), HYPERLINK(CONCATENATE("#metadata!", ADDRESS(INDEX($AH$2:$AH$1001,MATCH(ROWS($AF$2:AF468),$AF$2:$AF$1001,0),0), INDEX($AM$1004:$BM$1004,1,MATCH(COLUMNS($AM$1006:BJ1006),$AM$1006:$BM$1006,0)))),"Fix")))</f>
        <v xml:space="preserve"> </v>
      </c>
      <c r="Z468" s="4" t="str">
        <f ca="1">IF(OR(INDEX($AG$2:$AG$1001,MATCH(ROWS($AF$2:AF468),$AF$2:$AF$1001,0),1)&gt;=100000,INDEX($AM$1005:$BM$1005,1,MATCH(COLUMNS($AM$1006:BK1006),$AM$1006:$BM$1006,0))&gt;=100000), " ",IF(INDEX($AM$2:$BM$1001,MATCH(ROWS($AF$2:AF468),$AF$2:$AF$1001,0),MATCH(COLUMNS($AM$1006:BK1006),$AM$1006:$BM$1006,0)), HYPERLINK("#",""), HYPERLINK(CONCATENATE("#metadata!", ADDRESS(INDEX($AH$2:$AH$1001,MATCH(ROWS($AF$2:AF468),$AF$2:$AF$1001,0),0), INDEX($AM$1004:$BM$1004,1,MATCH(COLUMNS($AM$1006:BK1006),$AM$1006:$BM$1006,0)))),"Fix")))</f>
        <v xml:space="preserve"> </v>
      </c>
      <c r="AA468" s="4" t="str">
        <f ca="1">IF(OR(INDEX($AG$2:$AG$1001,MATCH(ROWS($AF$2:AF468),$AF$2:$AF$1001,0),1)&gt;=100000,INDEX($AM$1005:$BM$1005,1,MATCH(COLUMNS($AM$1006:BL1006),$AM$1006:$BM$1006,0))&gt;=100000), " ",IF(INDEX($AM$2:$BM$1001,MATCH(ROWS($AF$2:AF468),$AF$2:$AF$1001,0),MATCH(COLUMNS($AM$1006:BL1006),$AM$1006:$BM$1006,0)), HYPERLINK("#",""), HYPERLINK(CONCATENATE("#metadata!", ADDRESS(INDEX($AH$2:$AH$1001,MATCH(ROWS($AF$2:AF468),$AF$2:$AF$1001,0),0), INDEX($AM$1004:$BM$1004,1,MATCH(COLUMNS($AM$1006:BL1006),$AM$1006:$BM$1006,0)))),"Fix")))</f>
        <v xml:space="preserve"> </v>
      </c>
      <c r="AB468" s="4" t="str">
        <f ca="1">IF(OR(INDEX($AG$2:$AG$1001,MATCH(ROWS($AF$2:AF468),$AF$2:$AF$1001,0),1)&gt;=100000,INDEX($AM$1005:$BM$1005,1,MATCH(COLUMNS($AM$1006:BM1006),$AM$1006:$BM$1006,0))&gt;=100000), " ",IF(INDEX($AM$2:$BM$1001,MATCH(ROWS($AF$2:AF468),$AF$2:$AF$1001,0),MATCH(COLUMNS($AM$1006:BM1006),$AM$1006:$BM$1006,0)), HYPERLINK("#",""), HYPERLINK(CONCATENATE("#metadata!", ADDRESS(INDEX($AH$2:$AH$1001,MATCH(ROWS($AF$2:AF468),$AF$2:$AF$1001,0),0), INDEX($AM$1004:$BM$1004,1,MATCH(COLUMNS($AM$1006:BM1006),$AM$1006:$BM$1006,0)))),"Fix")))</f>
        <v xml:space="preserve"> </v>
      </c>
      <c r="AF468">
        <v>467</v>
      </c>
      <c r="AG468">
        <v>100468</v>
      </c>
      <c r="AH468">
        <v>468</v>
      </c>
      <c r="AI468" t="b">
        <f t="shared" si="7"/>
        <v>1</v>
      </c>
      <c r="AJ468" t="b">
        <f>COUNTBLANK(metadata!B468:AB468)=COLUMNS(metadata!B468:AB468)</f>
        <v>1</v>
      </c>
      <c r="AK468" t="str">
        <v/>
      </c>
      <c r="AM468" t="b">
        <f ca="1">AND(IF(metadata!B468="",FALSE,TRUE),COUNTIF(metadata!B:B, metadata!B468) = 1,NOT(ISERROR(SUMPRODUCT(SEARCH(MID(metadata!B468,ROW(INDIRECT("1:"&amp;LEN(metadata!B468))), 1),"0123456789abcdefghijklmnopqrstuvwxyzABCDEFGHIJKLMNOPQRSTUVWXYZ.")))))</f>
        <v>0</v>
      </c>
      <c r="AN468" t="b">
        <f ca="1">OR(AND(IF(metadata!C468="",FALSE,TRUE),OR(EXACT(metadata!C468,"missing: not collected"),EXACT(metadata!C468,"missing: not provided"),EXACT(metadata!C468,"missing: restricted access"))),AND(IF(metadata!C468="",FALSE,TRUE),AND(AND(IFERROR(INT(LEFT(metadata!C468,4))&gt;1900,FALSE),IFERROR(INT(LEFT(metadata!C468,4))&lt;=YEAR(NOW()),FALSE)), OR(MID(metadata!C468,5,1)="", AND(AND(MID(metadata!C468,5,1)="-",IFERROR(INT(MID(metadata!C468,6,1))&gt;=0,FALSE),IFERROR(INT(MID(metadata!C468,6,1))&lt;=1,FALSE),NOT(MID(metadata!C468,7,1)=""),IFERROR(INT(MID(metadata!C468,6,2))&gt;=1,FALSE),IFERROR(INT(MID(metadata!C468,6,2))&lt;=12,FALSE)), OR(MID(metadata!C468,8,1)="", AND(AND(MID(metadata!C468,8,1)="-",IFERROR(INT(MID(metadata!C468,9,1))&gt;=0,FALSE),IFERROR(INT(MID(metadata!C468,9,1))&lt;=3,FALSE),NOT(MID(metadata!C468,10,1)=""),IFERROR(INT(MID(metadata!C468,9,2))&gt;=1,FALSE),IFERROR(INT(MID(metadata!C468,9,2))&lt;=31,FALSE)), OR(MID(metadata!C468,11,1)="", AND(AND(MID(metadata!C468,11,1)=" ",IFERROR(INT(MID(metadata!C468,12,1))&gt;=0,FALSE),IFERROR(INT(MID(metadata!C468,12,1))&lt;=2,FALSE),NOT(MID(metadata!C468,13,1)=""),IFERROR(INT(MID(metadata!C468,12,2))&gt;=0,FALSE),IFERROR(INT(MID(metadata!C468,12,2))&lt;=23,FALSE)), OR(MID(metadata!C468,14,1)="", AND(AND(MID(metadata!C468,14,1)=":",IFERROR(INT(MID(metadata!C468,15,1))&gt;=0,FALSE),IFERROR(INT(MID(metadata!C468,15,1))&lt;=5,FALSE),NOT(MID(metadata!C468,16,1)=""),IFERROR(INT(MID(metadata!C468,15,2))&gt;=0,FALSE),IFERROR(INT(MID(metadata!C468,15,2))&lt;=59,FALSE)), OR(MID(metadata!C468,17,1)="", AND(AND(MID(metadata!C468,17,1)=":",IFERROR(INT(MID(metadata!C468,18,1))&gt;=0,FALSE),IFERROR(INT(MID(metadata!C468,18,1))&lt;=5,FALSE),NOT(MID(metadata!C468,19,1)=""),IFERROR(INT(MID(metadata!C468,18,2))&gt;=0,FALSE),IFERROR(INT(MID(metadata!C468,18,2))&lt;=59,FALSE)), LEN(metadata!C468)&lt;=19)))))))))))))</f>
        <v>0</v>
      </c>
      <c r="AO468" t="b">
        <f>AND(IF(metadata!D468="",FALSE,TRUE),EXACT(metadata!D468,"Not applicable"))</f>
        <v>0</v>
      </c>
      <c r="AP468" t="b">
        <f>IF(metadata!E468="",FALSE,TRUE)</f>
        <v>0</v>
      </c>
      <c r="AQ468" t="b">
        <f>OR(AND(IF(metadata!F468="",FALSE,TRUE),OR(EXACT(metadata!F468,"missing: not collected"),EXACT(metadata!F468,"missing: not provided"))),AND(IF(metadata!F468="",FALSE,TRUE),OR(EXACT(metadata!F468,"TRUE"),EXACT(metadata!F468,"FALSE"))))</f>
        <v>0</v>
      </c>
      <c r="AR468" t="b">
        <f>OR(AND(IF(metadata!G468="",FALSE,TRUE),OR(EXACT(metadata!G468,"missing: not collected"),EXACT(metadata!G468,"missing: not provided"),EXACT(metadata!G468,"missing: restricted access"))),AND(IF(metadata!G468="",FALSE,ISNUMBER(VALUE(metadata!G468))),metadata!G468&gt;=-413))</f>
        <v>0</v>
      </c>
      <c r="AS468" t="b">
        <f>AND(IF(metadata!H468="",FALSE,TRUE),EXACT(metadata!H468,"meters"))</f>
        <v>0</v>
      </c>
      <c r="AT468" t="b">
        <f>AND(IF(metadata!I468="",FALSE,TRUE),OR(EXACT(metadata!I468,"Host-associated"),EXACT(metadata!I468,"Free-living")))</f>
        <v>0</v>
      </c>
      <c r="AU468" t="b">
        <f>AND(IF(metadata!J468="",FALSE,TRUE),OR(EXACT(metadata!J468,"Animal"),EXACT(metadata!J468,"Fungus"),EXACT(metadata!J468,"Plant"),EXACT(metadata!J468,"Saline"),EXACT(metadata!J468,"Non-saline")))</f>
        <v>0</v>
      </c>
      <c r="AV468" t="b">
        <f>AND(IF(metadata!K468="",FALSE,TRUE),OR(EXACT(metadata!K468,"Plant secretion"),EXACT(metadata!K468,"Plant rhizosphere"),EXACT(metadata!K468,"Plant surface"),EXACT(metadata!K468,"Plant corpus"),EXACT(metadata!K468,"Fungus surface"),EXACT(metadata!K468,"Fungus corpus"),EXACT(metadata!K468,"Animal surface"),EXACT(metadata!K468,"Animal proximal gut"),EXACT(metadata!K468,"Animal corpus"),EXACT(metadata!K468,"Animal distal gut"),EXACT(metadata!K468,"Animal secretion"),EXACT(metadata!K468,"Sub-surface (non-saline)"),EXACT(metadata!K468,"Surface (non-saline)"),EXACT(metadata!K468,"Water (non-saline)"),EXACT(metadata!K468,"Soil (non-saline)"),EXACT(metadata!K468,"Aerosol (non-saline)"),EXACT(metadata!K468,"Sediment (non-saline)"),EXACT(metadata!K468,"Surface (saline)"),EXACT(metadata!K468,"Water (saline)"),EXACT(metadata!K468,"Hypersaline (saline)"),EXACT(metadata!K468,"Aerosol (saline)"),EXACT(metadata!K468,"Sediment (saline)")))</f>
        <v>0</v>
      </c>
      <c r="AW468" t="b">
        <f>IF(metadata!L468="",FALSE,TRUE)</f>
        <v>0</v>
      </c>
      <c r="AX468" t="b">
        <f>IF(metadata!M468="",FALSE,TRUE)</f>
        <v>0</v>
      </c>
      <c r="AY468" t="b">
        <f>IF(metadata!N468="",FALSE,TRUE)</f>
        <v>0</v>
      </c>
      <c r="AZ468" t="b">
        <f>OR(AND(IF(metadata!O468="",FALSE,TRUE),OR(EXACT(metadata!O468,"missing: not collected"),EXACT(metadata!O468,"missing: not provided"),EXACT(metadata!O468,"missing: restricted access"))),AND(IF(metadata!O468="",FALSE,TRUE),OR(EXACT(metadata!O468,"air"),EXACT(metadata!O468,"built environment"),EXACT(metadata!O468,"host-associated"),EXACT(metadata!O468,"human-associated"),EXACT(metadata!O468,"human-skin"),EXACT(metadata!O468,"human-oral"),EXACT(metadata!O468,"human-gut"),EXACT(metadata!O468,"human-vaginal"),EXACT(metadata!O468,"microbial mat/biofilm"),EXACT(metadata!O468,"misc environment"),EXACT(metadata!O468,"plant-associated"),EXACT(metadata!O468,"sediment"),EXACT(metadata!O468,"soil"),EXACT(metadata!O468,"wastewater/sludge"),EXACT(metadata!O468,"water"))))</f>
        <v>0</v>
      </c>
      <c r="BA468" t="b">
        <f>IF(metadata!P468="",FALSE,TRUE)</f>
        <v>0</v>
      </c>
      <c r="BB468" t="b">
        <f>IF(metadata!Q468="",FALSE,TRUE)</f>
        <v>0</v>
      </c>
      <c r="BC468" t="b">
        <f>OR(AND(IF(metadata!R468="",FALSE,TRUE),OR(EXACT(metadata!R468,"missing: not collected"),EXACT(metadata!R468,"missing: not provided"),EXACT(metadata!R468,"missing: restricted access"))),AND(IF(metadata!R468="",FALSE,ISNUMBER(VALUE(metadata!R468))),metadata!R468&gt;=-90,metadata!R468&lt;=90))</f>
        <v>0</v>
      </c>
      <c r="BD468" t="b">
        <f>AND(IF(metadata!S468="",FALSE,TRUE),EXACT(metadata!S468,"Decimal degrees"))</f>
        <v>0</v>
      </c>
      <c r="BE468" t="b">
        <f>OR(AND(IF(metadata!T468="",FALSE,TRUE),OR(EXACT(metadata!T468,"missing: not collected"),EXACT(metadata!T468,"missing: not provided"),EXACT(metadata!T468,"missing: restricted access"))),AND(IF(metadata!T468="",FALSE,ISNUMBER(VALUE(metadata!T468))),metadata!T468&gt;=-180,metadata!T468&lt;=180))</f>
        <v>0</v>
      </c>
      <c r="BF468" t="b">
        <f>AND(IF(metadata!U468="",FALSE,TRUE),EXACT(metadata!U468,"Decimal degrees"))</f>
        <v>0</v>
      </c>
      <c r="BG468" t="b">
        <f>IF(metadata!V468="",FALSE,TRUE)</f>
        <v>0</v>
      </c>
      <c r="BH468" t="b">
        <f>OR(AND(IF(metadata!W468="",FALSE,TRUE),OR(EXACT(metadata!W468,"missing: not collected"),EXACT(metadata!W468,"missing: not provided"),EXACT(metadata!W468,"missing: restricted access"))),AND(IF(metadata!W468="",FALSE,TRUE),OR(EXACT(metadata!W468,"TRUE"),EXACT(metadata!W468,"FALSE"))))</f>
        <v>0</v>
      </c>
      <c r="BI468" t="b">
        <f>AND(IF(metadata!X468="",FALSE,TRUE),EXACT(metadata!X468,"other"))</f>
        <v>0</v>
      </c>
      <c r="BJ468" t="b">
        <f>IF(metadata!Y468="",FALSE,TRUE)</f>
        <v>0</v>
      </c>
      <c r="BK468" t="b">
        <f>OR(AND(IF(metadata!Z468="",FALSE,TRUE),OR(EXACT(metadata!Z468,"missing: not collected"),EXACT(metadata!Z468,"missing: not provided"))),AND(IF(metadata!Z468="",FALSE,IF(ISERROR(INT(metadata!Z468)),FALSE,INT(metadata!Z468)=metadata!Z468)),metadata!Z468&gt;0))</f>
        <v>0</v>
      </c>
      <c r="BL468" t="b">
        <f>AND(IF(metadata!AA468="",FALSE,TRUE),EXACT(metadata!AA468,"Not applicable"))</f>
        <v>0</v>
      </c>
      <c r="BM468" t="b">
        <f>IF(metadata!AB468="",FALSE,TRUE)</f>
        <v>0</v>
      </c>
    </row>
    <row r="469" spans="1:65" x14ac:dyDescent="0.2">
      <c r="A469" s="5" t="str">
        <f ca="1">IF(B469=" "," ",HYPERLINK(CONCATENATE("#metadata!",ADDRESS(INDEX($AH$2:$AH$1001,MATCH(ROWS($AF$2:AF469),$AF$2:$AF$1001,0),0),1)),INDEX($AK$2:$AK$1001,MATCH(ROWS($AF$2:AF469),$AF$2:$AF$1001,0),0)))</f>
        <v xml:space="preserve"> </v>
      </c>
      <c r="B469" s="4" t="str">
        <f ca="1">IF(OR(INDEX($AG$2:$AG$1001,MATCH(ROWS($AF$2:AF469),$AF$2:$AF$1001,0),1)&gt;=100000,INDEX($AM$1005:$BM$1005,1,MATCH(COLUMNS($AM$1006:AM1006),$AM$1006:$BM$1006,0))&gt;=100000), " ",IF(INDEX($AM$2:$BM$1001,MATCH(ROWS($AF$2:AF469),$AF$2:$AF$1001,0),MATCH(COLUMNS($AM$1006:AM1006),$AM$1006:$BM$1006,0)), HYPERLINK("#",""), HYPERLINK(CONCATENATE("#metadata!", ADDRESS(INDEX($AH$2:$AH$1001,MATCH(ROWS($AF$2:AF469),$AF$2:$AF$1001,0),0), INDEX($AM$1004:$BM$1004,1,MATCH(COLUMNS($AM$1006:AM1006),$AM$1006:$BM$1006,0)))),"Fix")))</f>
        <v xml:space="preserve"> </v>
      </c>
      <c r="C469" s="4" t="str">
        <f ca="1">IF(OR(INDEX($AG$2:$AG$1001,MATCH(ROWS($AF$2:AF469),$AF$2:$AF$1001,0),1)&gt;=100000,INDEX($AM$1005:$BM$1005,1,MATCH(COLUMNS($AM$1006:AN1006),$AM$1006:$BM$1006,0))&gt;=100000), " ",IF(INDEX($AM$2:$BM$1001,MATCH(ROWS($AF$2:AF469),$AF$2:$AF$1001,0),MATCH(COLUMNS($AM$1006:AN1006),$AM$1006:$BM$1006,0)), HYPERLINK("#",""), HYPERLINK(CONCATENATE("#metadata!", ADDRESS(INDEX($AH$2:$AH$1001,MATCH(ROWS($AF$2:AF469),$AF$2:$AF$1001,0),0), INDEX($AM$1004:$BM$1004,1,MATCH(COLUMNS($AM$1006:AN1006),$AM$1006:$BM$1006,0)))),"Fix")))</f>
        <v xml:space="preserve"> </v>
      </c>
      <c r="D469" s="4" t="str">
        <f ca="1">IF(OR(INDEX($AG$2:$AG$1001,MATCH(ROWS($AF$2:AF469),$AF$2:$AF$1001,0),1)&gt;=100000,INDEX($AM$1005:$BM$1005,1,MATCH(COLUMNS($AM$1006:AO1006),$AM$1006:$BM$1006,0))&gt;=100000), " ",IF(INDEX($AM$2:$BM$1001,MATCH(ROWS($AF$2:AF469),$AF$2:$AF$1001,0),MATCH(COLUMNS($AM$1006:AO1006),$AM$1006:$BM$1006,0)), HYPERLINK("#",""), HYPERLINK(CONCATENATE("#metadata!", ADDRESS(INDEX($AH$2:$AH$1001,MATCH(ROWS($AF$2:AF469),$AF$2:$AF$1001,0),0), INDEX($AM$1004:$BM$1004,1,MATCH(COLUMNS($AM$1006:AO1006),$AM$1006:$BM$1006,0)))),"Fix")))</f>
        <v xml:space="preserve"> </v>
      </c>
      <c r="E469" s="4" t="str">
        <f ca="1">IF(OR(INDEX($AG$2:$AG$1001,MATCH(ROWS($AF$2:AF469),$AF$2:$AF$1001,0),1)&gt;=100000,INDEX($AM$1005:$BM$1005,1,MATCH(COLUMNS($AM$1006:AP1006),$AM$1006:$BM$1006,0))&gt;=100000), " ",IF(INDEX($AM$2:$BM$1001,MATCH(ROWS($AF$2:AF469),$AF$2:$AF$1001,0),MATCH(COLUMNS($AM$1006:AP1006),$AM$1006:$BM$1006,0)), HYPERLINK("#",""), HYPERLINK(CONCATENATE("#metadata!", ADDRESS(INDEX($AH$2:$AH$1001,MATCH(ROWS($AF$2:AF469),$AF$2:$AF$1001,0),0), INDEX($AM$1004:$BM$1004,1,MATCH(COLUMNS($AM$1006:AP1006),$AM$1006:$BM$1006,0)))),"Fix")))</f>
        <v xml:space="preserve"> </v>
      </c>
      <c r="F469" s="4" t="str">
        <f ca="1">IF(OR(INDEX($AG$2:$AG$1001,MATCH(ROWS($AF$2:AF469),$AF$2:$AF$1001,0),1)&gt;=100000,INDEX($AM$1005:$BM$1005,1,MATCH(COLUMNS($AM$1006:AQ1006),$AM$1006:$BM$1006,0))&gt;=100000), " ",IF(INDEX($AM$2:$BM$1001,MATCH(ROWS($AF$2:AF469),$AF$2:$AF$1001,0),MATCH(COLUMNS($AM$1006:AQ1006),$AM$1006:$BM$1006,0)), HYPERLINK("#",""), HYPERLINK(CONCATENATE("#metadata!", ADDRESS(INDEX($AH$2:$AH$1001,MATCH(ROWS($AF$2:AF469),$AF$2:$AF$1001,0),0), INDEX($AM$1004:$BM$1004,1,MATCH(COLUMNS($AM$1006:AQ1006),$AM$1006:$BM$1006,0)))),"Fix")))</f>
        <v xml:space="preserve"> </v>
      </c>
      <c r="G469" s="4" t="str">
        <f ca="1">IF(OR(INDEX($AG$2:$AG$1001,MATCH(ROWS($AF$2:AF469),$AF$2:$AF$1001,0),1)&gt;=100000,INDEX($AM$1005:$BM$1005,1,MATCH(COLUMNS($AM$1006:AR1006),$AM$1006:$BM$1006,0))&gt;=100000), " ",IF(INDEX($AM$2:$BM$1001,MATCH(ROWS($AF$2:AF469),$AF$2:$AF$1001,0),MATCH(COLUMNS($AM$1006:AR1006),$AM$1006:$BM$1006,0)), HYPERLINK("#",""), HYPERLINK(CONCATENATE("#metadata!", ADDRESS(INDEX($AH$2:$AH$1001,MATCH(ROWS($AF$2:AF469),$AF$2:$AF$1001,0),0), INDEX($AM$1004:$BM$1004,1,MATCH(COLUMNS($AM$1006:AR1006),$AM$1006:$BM$1006,0)))),"Fix")))</f>
        <v xml:space="preserve"> </v>
      </c>
      <c r="H469" s="4" t="str">
        <f ca="1">IF(OR(INDEX($AG$2:$AG$1001,MATCH(ROWS($AF$2:AF469),$AF$2:$AF$1001,0),1)&gt;=100000,INDEX($AM$1005:$BM$1005,1,MATCH(COLUMNS($AM$1006:AS1006),$AM$1006:$BM$1006,0))&gt;=100000), " ",IF(INDEX($AM$2:$BM$1001,MATCH(ROWS($AF$2:AF469),$AF$2:$AF$1001,0),MATCH(COLUMNS($AM$1006:AS1006),$AM$1006:$BM$1006,0)), HYPERLINK("#",""), HYPERLINK(CONCATENATE("#metadata!", ADDRESS(INDEX($AH$2:$AH$1001,MATCH(ROWS($AF$2:AF469),$AF$2:$AF$1001,0),0), INDEX($AM$1004:$BM$1004,1,MATCH(COLUMNS($AM$1006:AS1006),$AM$1006:$BM$1006,0)))),"Fix")))</f>
        <v xml:space="preserve"> </v>
      </c>
      <c r="I469" s="4" t="str">
        <f ca="1">IF(OR(INDEX($AG$2:$AG$1001,MATCH(ROWS($AF$2:AF469),$AF$2:$AF$1001,0),1)&gt;=100000,INDEX($AM$1005:$BM$1005,1,MATCH(COLUMNS($AM$1006:AT1006),$AM$1006:$BM$1006,0))&gt;=100000), " ",IF(INDEX($AM$2:$BM$1001,MATCH(ROWS($AF$2:AF469),$AF$2:$AF$1001,0),MATCH(COLUMNS($AM$1006:AT1006),$AM$1006:$BM$1006,0)), HYPERLINK("#",""), HYPERLINK(CONCATENATE("#metadata!", ADDRESS(INDEX($AH$2:$AH$1001,MATCH(ROWS($AF$2:AF469),$AF$2:$AF$1001,0),0), INDEX($AM$1004:$BM$1004,1,MATCH(COLUMNS($AM$1006:AT1006),$AM$1006:$BM$1006,0)))),"Fix")))</f>
        <v xml:space="preserve"> </v>
      </c>
      <c r="J469" s="4" t="str">
        <f ca="1">IF(OR(INDEX($AG$2:$AG$1001,MATCH(ROWS($AF$2:AF469),$AF$2:$AF$1001,0),1)&gt;=100000,INDEX($AM$1005:$BM$1005,1,MATCH(COLUMNS($AM$1006:AU1006),$AM$1006:$BM$1006,0))&gt;=100000), " ",IF(INDEX($AM$2:$BM$1001,MATCH(ROWS($AF$2:AF469),$AF$2:$AF$1001,0),MATCH(COLUMNS($AM$1006:AU1006),$AM$1006:$BM$1006,0)), HYPERLINK("#",""), HYPERLINK(CONCATENATE("#metadata!", ADDRESS(INDEX($AH$2:$AH$1001,MATCH(ROWS($AF$2:AF469),$AF$2:$AF$1001,0),0), INDEX($AM$1004:$BM$1004,1,MATCH(COLUMNS($AM$1006:AU1006),$AM$1006:$BM$1006,0)))),"Fix")))</f>
        <v xml:space="preserve"> </v>
      </c>
      <c r="K469" s="4" t="str">
        <f ca="1">IF(OR(INDEX($AG$2:$AG$1001,MATCH(ROWS($AF$2:AF469),$AF$2:$AF$1001,0),1)&gt;=100000,INDEX($AM$1005:$BM$1005,1,MATCH(COLUMNS($AM$1006:AV1006),$AM$1006:$BM$1006,0))&gt;=100000), " ",IF(INDEX($AM$2:$BM$1001,MATCH(ROWS($AF$2:AF469),$AF$2:$AF$1001,0),MATCH(COLUMNS($AM$1006:AV1006),$AM$1006:$BM$1006,0)), HYPERLINK("#",""), HYPERLINK(CONCATENATE("#metadata!", ADDRESS(INDEX($AH$2:$AH$1001,MATCH(ROWS($AF$2:AF469),$AF$2:$AF$1001,0),0), INDEX($AM$1004:$BM$1004,1,MATCH(COLUMNS($AM$1006:AV1006),$AM$1006:$BM$1006,0)))),"Fix")))</f>
        <v xml:space="preserve"> </v>
      </c>
      <c r="L469" s="4" t="str">
        <f ca="1">IF(OR(INDEX($AG$2:$AG$1001,MATCH(ROWS($AF$2:AF469),$AF$2:$AF$1001,0),1)&gt;=100000,INDEX($AM$1005:$BM$1005,1,MATCH(COLUMNS($AM$1006:AW1006),$AM$1006:$BM$1006,0))&gt;=100000), " ",IF(INDEX($AM$2:$BM$1001,MATCH(ROWS($AF$2:AF469),$AF$2:$AF$1001,0),MATCH(COLUMNS($AM$1006:AW1006),$AM$1006:$BM$1006,0)), HYPERLINK("#",""), HYPERLINK(CONCATENATE("#metadata!", ADDRESS(INDEX($AH$2:$AH$1001,MATCH(ROWS($AF$2:AF469),$AF$2:$AF$1001,0),0), INDEX($AM$1004:$BM$1004,1,MATCH(COLUMNS($AM$1006:AW1006),$AM$1006:$BM$1006,0)))),"Fix")))</f>
        <v xml:space="preserve"> </v>
      </c>
      <c r="M469" s="4" t="str">
        <f ca="1">IF(OR(INDEX($AG$2:$AG$1001,MATCH(ROWS($AF$2:AF469),$AF$2:$AF$1001,0),1)&gt;=100000,INDEX($AM$1005:$BM$1005,1,MATCH(COLUMNS($AM$1006:AX1006),$AM$1006:$BM$1006,0))&gt;=100000), " ",IF(INDEX($AM$2:$BM$1001,MATCH(ROWS($AF$2:AF469),$AF$2:$AF$1001,0),MATCH(COLUMNS($AM$1006:AX1006),$AM$1006:$BM$1006,0)), HYPERLINK("#",""), HYPERLINK(CONCATENATE("#metadata!", ADDRESS(INDEX($AH$2:$AH$1001,MATCH(ROWS($AF$2:AF469),$AF$2:$AF$1001,0),0), INDEX($AM$1004:$BM$1004,1,MATCH(COLUMNS($AM$1006:AX1006),$AM$1006:$BM$1006,0)))),"Fix")))</f>
        <v xml:space="preserve"> </v>
      </c>
      <c r="N469" s="4" t="str">
        <f ca="1">IF(OR(INDEX($AG$2:$AG$1001,MATCH(ROWS($AF$2:AF469),$AF$2:$AF$1001,0),1)&gt;=100000,INDEX($AM$1005:$BM$1005,1,MATCH(COLUMNS($AM$1006:AY1006),$AM$1006:$BM$1006,0))&gt;=100000), " ",IF(INDEX($AM$2:$BM$1001,MATCH(ROWS($AF$2:AF469),$AF$2:$AF$1001,0),MATCH(COLUMNS($AM$1006:AY1006),$AM$1006:$BM$1006,0)), HYPERLINK("#",""), HYPERLINK(CONCATENATE("#metadata!", ADDRESS(INDEX($AH$2:$AH$1001,MATCH(ROWS($AF$2:AF469),$AF$2:$AF$1001,0),0), INDEX($AM$1004:$BM$1004,1,MATCH(COLUMNS($AM$1006:AY1006),$AM$1006:$BM$1006,0)))),"Fix")))</f>
        <v xml:space="preserve"> </v>
      </c>
      <c r="O469" s="4" t="str">
        <f ca="1">IF(OR(INDEX($AG$2:$AG$1001,MATCH(ROWS($AF$2:AF469),$AF$2:$AF$1001,0),1)&gt;=100000,INDEX($AM$1005:$BM$1005,1,MATCH(COLUMNS($AM$1006:AZ1006),$AM$1006:$BM$1006,0))&gt;=100000), " ",IF(INDEX($AM$2:$BM$1001,MATCH(ROWS($AF$2:AF469),$AF$2:$AF$1001,0),MATCH(COLUMNS($AM$1006:AZ1006),$AM$1006:$BM$1006,0)), HYPERLINK("#",""), HYPERLINK(CONCATENATE("#metadata!", ADDRESS(INDEX($AH$2:$AH$1001,MATCH(ROWS($AF$2:AF469),$AF$2:$AF$1001,0),0), INDEX($AM$1004:$BM$1004,1,MATCH(COLUMNS($AM$1006:AZ1006),$AM$1006:$BM$1006,0)))),"Fix")))</f>
        <v xml:space="preserve"> </v>
      </c>
      <c r="P469" s="4" t="str">
        <f ca="1">IF(OR(INDEX($AG$2:$AG$1001,MATCH(ROWS($AF$2:AF469),$AF$2:$AF$1001,0),1)&gt;=100000,INDEX($AM$1005:$BM$1005,1,MATCH(COLUMNS($AM$1006:BA1006),$AM$1006:$BM$1006,0))&gt;=100000), " ",IF(INDEX($AM$2:$BM$1001,MATCH(ROWS($AF$2:AF469),$AF$2:$AF$1001,0),MATCH(COLUMNS($AM$1006:BA1006),$AM$1006:$BM$1006,0)), HYPERLINK("#",""), HYPERLINK(CONCATENATE("#metadata!", ADDRESS(INDEX($AH$2:$AH$1001,MATCH(ROWS($AF$2:AF469),$AF$2:$AF$1001,0),0), INDEX($AM$1004:$BM$1004,1,MATCH(COLUMNS($AM$1006:BA1006),$AM$1006:$BM$1006,0)))),"Fix")))</f>
        <v xml:space="preserve"> </v>
      </c>
      <c r="Q469" s="4" t="str">
        <f ca="1">IF(OR(INDEX($AG$2:$AG$1001,MATCH(ROWS($AF$2:AF469),$AF$2:$AF$1001,0),1)&gt;=100000,INDEX($AM$1005:$BM$1005,1,MATCH(COLUMNS($AM$1006:BB1006),$AM$1006:$BM$1006,0))&gt;=100000), " ",IF(INDEX($AM$2:$BM$1001,MATCH(ROWS($AF$2:AF469),$AF$2:$AF$1001,0),MATCH(COLUMNS($AM$1006:BB1006),$AM$1006:$BM$1006,0)), HYPERLINK("#",""), HYPERLINK(CONCATENATE("#metadata!", ADDRESS(INDEX($AH$2:$AH$1001,MATCH(ROWS($AF$2:AF469),$AF$2:$AF$1001,0),0), INDEX($AM$1004:$BM$1004,1,MATCH(COLUMNS($AM$1006:BB1006),$AM$1006:$BM$1006,0)))),"Fix")))</f>
        <v xml:space="preserve"> </v>
      </c>
      <c r="R469" s="4" t="str">
        <f ca="1">IF(OR(INDEX($AG$2:$AG$1001,MATCH(ROWS($AF$2:AF469),$AF$2:$AF$1001,0),1)&gt;=100000,INDEX($AM$1005:$BM$1005,1,MATCH(COLUMNS($AM$1006:BC1006),$AM$1006:$BM$1006,0))&gt;=100000), " ",IF(INDEX($AM$2:$BM$1001,MATCH(ROWS($AF$2:AF469),$AF$2:$AF$1001,0),MATCH(COLUMNS($AM$1006:BC1006),$AM$1006:$BM$1006,0)), HYPERLINK("#",""), HYPERLINK(CONCATENATE("#metadata!", ADDRESS(INDEX($AH$2:$AH$1001,MATCH(ROWS($AF$2:AF469),$AF$2:$AF$1001,0),0), INDEX($AM$1004:$BM$1004,1,MATCH(COLUMNS($AM$1006:BC1006),$AM$1006:$BM$1006,0)))),"Fix")))</f>
        <v xml:space="preserve"> </v>
      </c>
      <c r="S469" s="4" t="str">
        <f ca="1">IF(OR(INDEX($AG$2:$AG$1001,MATCH(ROWS($AF$2:AF469),$AF$2:$AF$1001,0),1)&gt;=100000,INDEX($AM$1005:$BM$1005,1,MATCH(COLUMNS($AM$1006:BD1006),$AM$1006:$BM$1006,0))&gt;=100000), " ",IF(INDEX($AM$2:$BM$1001,MATCH(ROWS($AF$2:AF469),$AF$2:$AF$1001,0),MATCH(COLUMNS($AM$1006:BD1006),$AM$1006:$BM$1006,0)), HYPERLINK("#",""), HYPERLINK(CONCATENATE("#metadata!", ADDRESS(INDEX($AH$2:$AH$1001,MATCH(ROWS($AF$2:AF469),$AF$2:$AF$1001,0),0), INDEX($AM$1004:$BM$1004,1,MATCH(COLUMNS($AM$1006:BD1006),$AM$1006:$BM$1006,0)))),"Fix")))</f>
        <v xml:space="preserve"> </v>
      </c>
      <c r="T469" s="4" t="str">
        <f ca="1">IF(OR(INDEX($AG$2:$AG$1001,MATCH(ROWS($AF$2:AF469),$AF$2:$AF$1001,0),1)&gt;=100000,INDEX($AM$1005:$BM$1005,1,MATCH(COLUMNS($AM$1006:BE1006),$AM$1006:$BM$1006,0))&gt;=100000), " ",IF(INDEX($AM$2:$BM$1001,MATCH(ROWS($AF$2:AF469),$AF$2:$AF$1001,0),MATCH(COLUMNS($AM$1006:BE1006),$AM$1006:$BM$1006,0)), HYPERLINK("#",""), HYPERLINK(CONCATENATE("#metadata!", ADDRESS(INDEX($AH$2:$AH$1001,MATCH(ROWS($AF$2:AF469),$AF$2:$AF$1001,0),0), INDEX($AM$1004:$BM$1004,1,MATCH(COLUMNS($AM$1006:BE1006),$AM$1006:$BM$1006,0)))),"Fix")))</f>
        <v xml:space="preserve"> </v>
      </c>
      <c r="U469" s="4" t="str">
        <f ca="1">IF(OR(INDEX($AG$2:$AG$1001,MATCH(ROWS($AF$2:AF469),$AF$2:$AF$1001,0),1)&gt;=100000,INDEX($AM$1005:$BM$1005,1,MATCH(COLUMNS($AM$1006:BF1006),$AM$1006:$BM$1006,0))&gt;=100000), " ",IF(INDEX($AM$2:$BM$1001,MATCH(ROWS($AF$2:AF469),$AF$2:$AF$1001,0),MATCH(COLUMNS($AM$1006:BF1006),$AM$1006:$BM$1006,0)), HYPERLINK("#",""), HYPERLINK(CONCATENATE("#metadata!", ADDRESS(INDEX($AH$2:$AH$1001,MATCH(ROWS($AF$2:AF469),$AF$2:$AF$1001,0),0), INDEX($AM$1004:$BM$1004,1,MATCH(COLUMNS($AM$1006:BF1006),$AM$1006:$BM$1006,0)))),"Fix")))</f>
        <v xml:space="preserve"> </v>
      </c>
      <c r="V469" s="4" t="str">
        <f ca="1">IF(OR(INDEX($AG$2:$AG$1001,MATCH(ROWS($AF$2:AF469),$AF$2:$AF$1001,0),1)&gt;=100000,INDEX($AM$1005:$BM$1005,1,MATCH(COLUMNS($AM$1006:BG1006),$AM$1006:$BM$1006,0))&gt;=100000), " ",IF(INDEX($AM$2:$BM$1001,MATCH(ROWS($AF$2:AF469),$AF$2:$AF$1001,0),MATCH(COLUMNS($AM$1006:BG1006),$AM$1006:$BM$1006,0)), HYPERLINK("#",""), HYPERLINK(CONCATENATE("#metadata!", ADDRESS(INDEX($AH$2:$AH$1001,MATCH(ROWS($AF$2:AF469),$AF$2:$AF$1001,0),0), INDEX($AM$1004:$BM$1004,1,MATCH(COLUMNS($AM$1006:BG1006),$AM$1006:$BM$1006,0)))),"Fix")))</f>
        <v xml:space="preserve"> </v>
      </c>
      <c r="W469" s="4" t="str">
        <f ca="1">IF(OR(INDEX($AG$2:$AG$1001,MATCH(ROWS($AF$2:AF469),$AF$2:$AF$1001,0),1)&gt;=100000,INDEX($AM$1005:$BM$1005,1,MATCH(COLUMNS($AM$1006:BH1006),$AM$1006:$BM$1006,0))&gt;=100000), " ",IF(INDEX($AM$2:$BM$1001,MATCH(ROWS($AF$2:AF469),$AF$2:$AF$1001,0),MATCH(COLUMNS($AM$1006:BH1006),$AM$1006:$BM$1006,0)), HYPERLINK("#",""), HYPERLINK(CONCATENATE("#metadata!", ADDRESS(INDEX($AH$2:$AH$1001,MATCH(ROWS($AF$2:AF469),$AF$2:$AF$1001,0),0), INDEX($AM$1004:$BM$1004,1,MATCH(COLUMNS($AM$1006:BH1006),$AM$1006:$BM$1006,0)))),"Fix")))</f>
        <v xml:space="preserve"> </v>
      </c>
      <c r="X469" s="4" t="str">
        <f ca="1">IF(OR(INDEX($AG$2:$AG$1001,MATCH(ROWS($AF$2:AF469),$AF$2:$AF$1001,0),1)&gt;=100000,INDEX($AM$1005:$BM$1005,1,MATCH(COLUMNS($AM$1006:BI1006),$AM$1006:$BM$1006,0))&gt;=100000), " ",IF(INDEX($AM$2:$BM$1001,MATCH(ROWS($AF$2:AF469),$AF$2:$AF$1001,0),MATCH(COLUMNS($AM$1006:BI1006),$AM$1006:$BM$1006,0)), HYPERLINK("#",""), HYPERLINK(CONCATENATE("#metadata!", ADDRESS(INDEX($AH$2:$AH$1001,MATCH(ROWS($AF$2:AF469),$AF$2:$AF$1001,0),0), INDEX($AM$1004:$BM$1004,1,MATCH(COLUMNS($AM$1006:BI1006),$AM$1006:$BM$1006,0)))),"Fix")))</f>
        <v xml:space="preserve"> </v>
      </c>
      <c r="Y469" s="4" t="str">
        <f ca="1">IF(OR(INDEX($AG$2:$AG$1001,MATCH(ROWS($AF$2:AF469),$AF$2:$AF$1001,0),1)&gt;=100000,INDEX($AM$1005:$BM$1005,1,MATCH(COLUMNS($AM$1006:BJ1006),$AM$1006:$BM$1006,0))&gt;=100000), " ",IF(INDEX($AM$2:$BM$1001,MATCH(ROWS($AF$2:AF469),$AF$2:$AF$1001,0),MATCH(COLUMNS($AM$1006:BJ1006),$AM$1006:$BM$1006,0)), HYPERLINK("#",""), HYPERLINK(CONCATENATE("#metadata!", ADDRESS(INDEX($AH$2:$AH$1001,MATCH(ROWS($AF$2:AF469),$AF$2:$AF$1001,0),0), INDEX($AM$1004:$BM$1004,1,MATCH(COLUMNS($AM$1006:BJ1006),$AM$1006:$BM$1006,0)))),"Fix")))</f>
        <v xml:space="preserve"> </v>
      </c>
      <c r="Z469" s="4" t="str">
        <f ca="1">IF(OR(INDEX($AG$2:$AG$1001,MATCH(ROWS($AF$2:AF469),$AF$2:$AF$1001,0),1)&gt;=100000,INDEX($AM$1005:$BM$1005,1,MATCH(COLUMNS($AM$1006:BK1006),$AM$1006:$BM$1006,0))&gt;=100000), " ",IF(INDEX($AM$2:$BM$1001,MATCH(ROWS($AF$2:AF469),$AF$2:$AF$1001,0),MATCH(COLUMNS($AM$1006:BK1006),$AM$1006:$BM$1006,0)), HYPERLINK("#",""), HYPERLINK(CONCATENATE("#metadata!", ADDRESS(INDEX($AH$2:$AH$1001,MATCH(ROWS($AF$2:AF469),$AF$2:$AF$1001,0),0), INDEX($AM$1004:$BM$1004,1,MATCH(COLUMNS($AM$1006:BK1006),$AM$1006:$BM$1006,0)))),"Fix")))</f>
        <v xml:space="preserve"> </v>
      </c>
      <c r="AA469" s="4" t="str">
        <f ca="1">IF(OR(INDEX($AG$2:$AG$1001,MATCH(ROWS($AF$2:AF469),$AF$2:$AF$1001,0),1)&gt;=100000,INDEX($AM$1005:$BM$1005,1,MATCH(COLUMNS($AM$1006:BL1006),$AM$1006:$BM$1006,0))&gt;=100000), " ",IF(INDEX($AM$2:$BM$1001,MATCH(ROWS($AF$2:AF469),$AF$2:$AF$1001,0),MATCH(COLUMNS($AM$1006:BL1006),$AM$1006:$BM$1006,0)), HYPERLINK("#",""), HYPERLINK(CONCATENATE("#metadata!", ADDRESS(INDEX($AH$2:$AH$1001,MATCH(ROWS($AF$2:AF469),$AF$2:$AF$1001,0),0), INDEX($AM$1004:$BM$1004,1,MATCH(COLUMNS($AM$1006:BL1006),$AM$1006:$BM$1006,0)))),"Fix")))</f>
        <v xml:space="preserve"> </v>
      </c>
      <c r="AB469" s="4" t="str">
        <f ca="1">IF(OR(INDEX($AG$2:$AG$1001,MATCH(ROWS($AF$2:AF469),$AF$2:$AF$1001,0),1)&gt;=100000,INDEX($AM$1005:$BM$1005,1,MATCH(COLUMNS($AM$1006:BM1006),$AM$1006:$BM$1006,0))&gt;=100000), " ",IF(INDEX($AM$2:$BM$1001,MATCH(ROWS($AF$2:AF469),$AF$2:$AF$1001,0),MATCH(COLUMNS($AM$1006:BM1006),$AM$1006:$BM$1006,0)), HYPERLINK("#",""), HYPERLINK(CONCATENATE("#metadata!", ADDRESS(INDEX($AH$2:$AH$1001,MATCH(ROWS($AF$2:AF469),$AF$2:$AF$1001,0),0), INDEX($AM$1004:$BM$1004,1,MATCH(COLUMNS($AM$1006:BM1006),$AM$1006:$BM$1006,0)))),"Fix")))</f>
        <v xml:space="preserve"> </v>
      </c>
      <c r="AF469">
        <v>468</v>
      </c>
      <c r="AG469">
        <v>100469</v>
      </c>
      <c r="AH469">
        <v>469</v>
      </c>
      <c r="AI469" t="b">
        <f t="shared" si="7"/>
        <v>1</v>
      </c>
      <c r="AJ469" t="b">
        <f>COUNTBLANK(metadata!B469:AB469)=COLUMNS(metadata!B469:AB469)</f>
        <v>1</v>
      </c>
      <c r="AK469" t="str">
        <v/>
      </c>
      <c r="AM469" t="b">
        <f ca="1">AND(IF(metadata!B469="",FALSE,TRUE),COUNTIF(metadata!B:B, metadata!B469) = 1,NOT(ISERROR(SUMPRODUCT(SEARCH(MID(metadata!B469,ROW(INDIRECT("1:"&amp;LEN(metadata!B469))), 1),"0123456789abcdefghijklmnopqrstuvwxyzABCDEFGHIJKLMNOPQRSTUVWXYZ.")))))</f>
        <v>0</v>
      </c>
      <c r="AN469" t="b">
        <f ca="1">OR(AND(IF(metadata!C469="",FALSE,TRUE),OR(EXACT(metadata!C469,"missing: not collected"),EXACT(metadata!C469,"missing: not provided"),EXACT(metadata!C469,"missing: restricted access"))),AND(IF(metadata!C469="",FALSE,TRUE),AND(AND(IFERROR(INT(LEFT(metadata!C469,4))&gt;1900,FALSE),IFERROR(INT(LEFT(metadata!C469,4))&lt;=YEAR(NOW()),FALSE)), OR(MID(metadata!C469,5,1)="", AND(AND(MID(metadata!C469,5,1)="-",IFERROR(INT(MID(metadata!C469,6,1))&gt;=0,FALSE),IFERROR(INT(MID(metadata!C469,6,1))&lt;=1,FALSE),NOT(MID(metadata!C469,7,1)=""),IFERROR(INT(MID(metadata!C469,6,2))&gt;=1,FALSE),IFERROR(INT(MID(metadata!C469,6,2))&lt;=12,FALSE)), OR(MID(metadata!C469,8,1)="", AND(AND(MID(metadata!C469,8,1)="-",IFERROR(INT(MID(metadata!C469,9,1))&gt;=0,FALSE),IFERROR(INT(MID(metadata!C469,9,1))&lt;=3,FALSE),NOT(MID(metadata!C469,10,1)=""),IFERROR(INT(MID(metadata!C469,9,2))&gt;=1,FALSE),IFERROR(INT(MID(metadata!C469,9,2))&lt;=31,FALSE)), OR(MID(metadata!C469,11,1)="", AND(AND(MID(metadata!C469,11,1)=" ",IFERROR(INT(MID(metadata!C469,12,1))&gt;=0,FALSE),IFERROR(INT(MID(metadata!C469,12,1))&lt;=2,FALSE),NOT(MID(metadata!C469,13,1)=""),IFERROR(INT(MID(metadata!C469,12,2))&gt;=0,FALSE),IFERROR(INT(MID(metadata!C469,12,2))&lt;=23,FALSE)), OR(MID(metadata!C469,14,1)="", AND(AND(MID(metadata!C469,14,1)=":",IFERROR(INT(MID(metadata!C469,15,1))&gt;=0,FALSE),IFERROR(INT(MID(metadata!C469,15,1))&lt;=5,FALSE),NOT(MID(metadata!C469,16,1)=""),IFERROR(INT(MID(metadata!C469,15,2))&gt;=0,FALSE),IFERROR(INT(MID(metadata!C469,15,2))&lt;=59,FALSE)), OR(MID(metadata!C469,17,1)="", AND(AND(MID(metadata!C469,17,1)=":",IFERROR(INT(MID(metadata!C469,18,1))&gt;=0,FALSE),IFERROR(INT(MID(metadata!C469,18,1))&lt;=5,FALSE),NOT(MID(metadata!C469,19,1)=""),IFERROR(INT(MID(metadata!C469,18,2))&gt;=0,FALSE),IFERROR(INT(MID(metadata!C469,18,2))&lt;=59,FALSE)), LEN(metadata!C469)&lt;=19)))))))))))))</f>
        <v>0</v>
      </c>
      <c r="AO469" t="b">
        <f>AND(IF(metadata!D469="",FALSE,TRUE),EXACT(metadata!D469,"Not applicable"))</f>
        <v>0</v>
      </c>
      <c r="AP469" t="b">
        <f>IF(metadata!E469="",FALSE,TRUE)</f>
        <v>0</v>
      </c>
      <c r="AQ469" t="b">
        <f>OR(AND(IF(metadata!F469="",FALSE,TRUE),OR(EXACT(metadata!F469,"missing: not collected"),EXACT(metadata!F469,"missing: not provided"))),AND(IF(metadata!F469="",FALSE,TRUE),OR(EXACT(metadata!F469,"TRUE"),EXACT(metadata!F469,"FALSE"))))</f>
        <v>0</v>
      </c>
      <c r="AR469" t="b">
        <f>OR(AND(IF(metadata!G469="",FALSE,TRUE),OR(EXACT(metadata!G469,"missing: not collected"),EXACT(metadata!G469,"missing: not provided"),EXACT(metadata!G469,"missing: restricted access"))),AND(IF(metadata!G469="",FALSE,ISNUMBER(VALUE(metadata!G469))),metadata!G469&gt;=-413))</f>
        <v>0</v>
      </c>
      <c r="AS469" t="b">
        <f>AND(IF(metadata!H469="",FALSE,TRUE),EXACT(metadata!H469,"meters"))</f>
        <v>0</v>
      </c>
      <c r="AT469" t="b">
        <f>AND(IF(metadata!I469="",FALSE,TRUE),OR(EXACT(metadata!I469,"Host-associated"),EXACT(metadata!I469,"Free-living")))</f>
        <v>0</v>
      </c>
      <c r="AU469" t="b">
        <f>AND(IF(metadata!J469="",FALSE,TRUE),OR(EXACT(metadata!J469,"Animal"),EXACT(metadata!J469,"Fungus"),EXACT(metadata!J469,"Plant"),EXACT(metadata!J469,"Saline"),EXACT(metadata!J469,"Non-saline")))</f>
        <v>0</v>
      </c>
      <c r="AV469" t="b">
        <f>AND(IF(metadata!K469="",FALSE,TRUE),OR(EXACT(metadata!K469,"Plant secretion"),EXACT(metadata!K469,"Plant rhizosphere"),EXACT(metadata!K469,"Plant surface"),EXACT(metadata!K469,"Plant corpus"),EXACT(metadata!K469,"Fungus surface"),EXACT(metadata!K469,"Fungus corpus"),EXACT(metadata!K469,"Animal surface"),EXACT(metadata!K469,"Animal proximal gut"),EXACT(metadata!K469,"Animal corpus"),EXACT(metadata!K469,"Animal distal gut"),EXACT(metadata!K469,"Animal secretion"),EXACT(metadata!K469,"Sub-surface (non-saline)"),EXACT(metadata!K469,"Surface (non-saline)"),EXACT(metadata!K469,"Water (non-saline)"),EXACT(metadata!K469,"Soil (non-saline)"),EXACT(metadata!K469,"Aerosol (non-saline)"),EXACT(metadata!K469,"Sediment (non-saline)"),EXACT(metadata!K469,"Surface (saline)"),EXACT(metadata!K469,"Water (saline)"),EXACT(metadata!K469,"Hypersaline (saline)"),EXACT(metadata!K469,"Aerosol (saline)"),EXACT(metadata!K469,"Sediment (saline)")))</f>
        <v>0</v>
      </c>
      <c r="AW469" t="b">
        <f>IF(metadata!L469="",FALSE,TRUE)</f>
        <v>0</v>
      </c>
      <c r="AX469" t="b">
        <f>IF(metadata!M469="",FALSE,TRUE)</f>
        <v>0</v>
      </c>
      <c r="AY469" t="b">
        <f>IF(metadata!N469="",FALSE,TRUE)</f>
        <v>0</v>
      </c>
      <c r="AZ469" t="b">
        <f>OR(AND(IF(metadata!O469="",FALSE,TRUE),OR(EXACT(metadata!O469,"missing: not collected"),EXACT(metadata!O469,"missing: not provided"),EXACT(metadata!O469,"missing: restricted access"))),AND(IF(metadata!O469="",FALSE,TRUE),OR(EXACT(metadata!O469,"air"),EXACT(metadata!O469,"built environment"),EXACT(metadata!O469,"host-associated"),EXACT(metadata!O469,"human-associated"),EXACT(metadata!O469,"human-skin"),EXACT(metadata!O469,"human-oral"),EXACT(metadata!O469,"human-gut"),EXACT(metadata!O469,"human-vaginal"),EXACT(metadata!O469,"microbial mat/biofilm"),EXACT(metadata!O469,"misc environment"),EXACT(metadata!O469,"plant-associated"),EXACT(metadata!O469,"sediment"),EXACT(metadata!O469,"soil"),EXACT(metadata!O469,"wastewater/sludge"),EXACT(metadata!O469,"water"))))</f>
        <v>0</v>
      </c>
      <c r="BA469" t="b">
        <f>IF(metadata!P469="",FALSE,TRUE)</f>
        <v>0</v>
      </c>
      <c r="BB469" t="b">
        <f>IF(metadata!Q469="",FALSE,TRUE)</f>
        <v>0</v>
      </c>
      <c r="BC469" t="b">
        <f>OR(AND(IF(metadata!R469="",FALSE,TRUE),OR(EXACT(metadata!R469,"missing: not collected"),EXACT(metadata!R469,"missing: not provided"),EXACT(metadata!R469,"missing: restricted access"))),AND(IF(metadata!R469="",FALSE,ISNUMBER(VALUE(metadata!R469))),metadata!R469&gt;=-90,metadata!R469&lt;=90))</f>
        <v>0</v>
      </c>
      <c r="BD469" t="b">
        <f>AND(IF(metadata!S469="",FALSE,TRUE),EXACT(metadata!S469,"Decimal degrees"))</f>
        <v>0</v>
      </c>
      <c r="BE469" t="b">
        <f>OR(AND(IF(metadata!T469="",FALSE,TRUE),OR(EXACT(metadata!T469,"missing: not collected"),EXACT(metadata!T469,"missing: not provided"),EXACT(metadata!T469,"missing: restricted access"))),AND(IF(metadata!T469="",FALSE,ISNUMBER(VALUE(metadata!T469))),metadata!T469&gt;=-180,metadata!T469&lt;=180))</f>
        <v>0</v>
      </c>
      <c r="BF469" t="b">
        <f>AND(IF(metadata!U469="",FALSE,TRUE),EXACT(metadata!U469,"Decimal degrees"))</f>
        <v>0</v>
      </c>
      <c r="BG469" t="b">
        <f>IF(metadata!V469="",FALSE,TRUE)</f>
        <v>0</v>
      </c>
      <c r="BH469" t="b">
        <f>OR(AND(IF(metadata!W469="",FALSE,TRUE),OR(EXACT(metadata!W469,"missing: not collected"),EXACT(metadata!W469,"missing: not provided"),EXACT(metadata!W469,"missing: restricted access"))),AND(IF(metadata!W469="",FALSE,TRUE),OR(EXACT(metadata!W469,"TRUE"),EXACT(metadata!W469,"FALSE"))))</f>
        <v>0</v>
      </c>
      <c r="BI469" t="b">
        <f>AND(IF(metadata!X469="",FALSE,TRUE),EXACT(metadata!X469,"other"))</f>
        <v>0</v>
      </c>
      <c r="BJ469" t="b">
        <f>IF(metadata!Y469="",FALSE,TRUE)</f>
        <v>0</v>
      </c>
      <c r="BK469" t="b">
        <f>OR(AND(IF(metadata!Z469="",FALSE,TRUE),OR(EXACT(metadata!Z469,"missing: not collected"),EXACT(metadata!Z469,"missing: not provided"))),AND(IF(metadata!Z469="",FALSE,IF(ISERROR(INT(metadata!Z469)),FALSE,INT(metadata!Z469)=metadata!Z469)),metadata!Z469&gt;0))</f>
        <v>0</v>
      </c>
      <c r="BL469" t="b">
        <f>AND(IF(metadata!AA469="",FALSE,TRUE),EXACT(metadata!AA469,"Not applicable"))</f>
        <v>0</v>
      </c>
      <c r="BM469" t="b">
        <f>IF(metadata!AB469="",FALSE,TRUE)</f>
        <v>0</v>
      </c>
    </row>
    <row r="470" spans="1:65" x14ac:dyDescent="0.2">
      <c r="A470" s="5" t="str">
        <f ca="1">IF(B470=" "," ",HYPERLINK(CONCATENATE("#metadata!",ADDRESS(INDEX($AH$2:$AH$1001,MATCH(ROWS($AF$2:AF470),$AF$2:$AF$1001,0),0),1)),INDEX($AK$2:$AK$1001,MATCH(ROWS($AF$2:AF470),$AF$2:$AF$1001,0),0)))</f>
        <v xml:space="preserve"> </v>
      </c>
      <c r="B470" s="4" t="str">
        <f ca="1">IF(OR(INDEX($AG$2:$AG$1001,MATCH(ROWS($AF$2:AF470),$AF$2:$AF$1001,0),1)&gt;=100000,INDEX($AM$1005:$BM$1005,1,MATCH(COLUMNS($AM$1006:AM1006),$AM$1006:$BM$1006,0))&gt;=100000), " ",IF(INDEX($AM$2:$BM$1001,MATCH(ROWS($AF$2:AF470),$AF$2:$AF$1001,0),MATCH(COLUMNS($AM$1006:AM1006),$AM$1006:$BM$1006,0)), HYPERLINK("#",""), HYPERLINK(CONCATENATE("#metadata!", ADDRESS(INDEX($AH$2:$AH$1001,MATCH(ROWS($AF$2:AF470),$AF$2:$AF$1001,0),0), INDEX($AM$1004:$BM$1004,1,MATCH(COLUMNS($AM$1006:AM1006),$AM$1006:$BM$1006,0)))),"Fix")))</f>
        <v xml:space="preserve"> </v>
      </c>
      <c r="C470" s="4" t="str">
        <f ca="1">IF(OR(INDEX($AG$2:$AG$1001,MATCH(ROWS($AF$2:AF470),$AF$2:$AF$1001,0),1)&gt;=100000,INDEX($AM$1005:$BM$1005,1,MATCH(COLUMNS($AM$1006:AN1006),$AM$1006:$BM$1006,0))&gt;=100000), " ",IF(INDEX($AM$2:$BM$1001,MATCH(ROWS($AF$2:AF470),$AF$2:$AF$1001,0),MATCH(COLUMNS($AM$1006:AN1006),$AM$1006:$BM$1006,0)), HYPERLINK("#",""), HYPERLINK(CONCATENATE("#metadata!", ADDRESS(INDEX($AH$2:$AH$1001,MATCH(ROWS($AF$2:AF470),$AF$2:$AF$1001,0),0), INDEX($AM$1004:$BM$1004,1,MATCH(COLUMNS($AM$1006:AN1006),$AM$1006:$BM$1006,0)))),"Fix")))</f>
        <v xml:space="preserve"> </v>
      </c>
      <c r="D470" s="4" t="str">
        <f ca="1">IF(OR(INDEX($AG$2:$AG$1001,MATCH(ROWS($AF$2:AF470),$AF$2:$AF$1001,0),1)&gt;=100000,INDEX($AM$1005:$BM$1005,1,MATCH(COLUMNS($AM$1006:AO1006),$AM$1006:$BM$1006,0))&gt;=100000), " ",IF(INDEX($AM$2:$BM$1001,MATCH(ROWS($AF$2:AF470),$AF$2:$AF$1001,0),MATCH(COLUMNS($AM$1006:AO1006),$AM$1006:$BM$1006,0)), HYPERLINK("#",""), HYPERLINK(CONCATENATE("#metadata!", ADDRESS(INDEX($AH$2:$AH$1001,MATCH(ROWS($AF$2:AF470),$AF$2:$AF$1001,0),0), INDEX($AM$1004:$BM$1004,1,MATCH(COLUMNS($AM$1006:AO1006),$AM$1006:$BM$1006,0)))),"Fix")))</f>
        <v xml:space="preserve"> </v>
      </c>
      <c r="E470" s="4" t="str">
        <f ca="1">IF(OR(INDEX($AG$2:$AG$1001,MATCH(ROWS($AF$2:AF470),$AF$2:$AF$1001,0),1)&gt;=100000,INDEX($AM$1005:$BM$1005,1,MATCH(COLUMNS($AM$1006:AP1006),$AM$1006:$BM$1006,0))&gt;=100000), " ",IF(INDEX($AM$2:$BM$1001,MATCH(ROWS($AF$2:AF470),$AF$2:$AF$1001,0),MATCH(COLUMNS($AM$1006:AP1006),$AM$1006:$BM$1006,0)), HYPERLINK("#",""), HYPERLINK(CONCATENATE("#metadata!", ADDRESS(INDEX($AH$2:$AH$1001,MATCH(ROWS($AF$2:AF470),$AF$2:$AF$1001,0),0), INDEX($AM$1004:$BM$1004,1,MATCH(COLUMNS($AM$1006:AP1006),$AM$1006:$BM$1006,0)))),"Fix")))</f>
        <v xml:space="preserve"> </v>
      </c>
      <c r="F470" s="4" t="str">
        <f ca="1">IF(OR(INDEX($AG$2:$AG$1001,MATCH(ROWS($AF$2:AF470),$AF$2:$AF$1001,0),1)&gt;=100000,INDEX($AM$1005:$BM$1005,1,MATCH(COLUMNS($AM$1006:AQ1006),$AM$1006:$BM$1006,0))&gt;=100000), " ",IF(INDEX($AM$2:$BM$1001,MATCH(ROWS($AF$2:AF470),$AF$2:$AF$1001,0),MATCH(COLUMNS($AM$1006:AQ1006),$AM$1006:$BM$1006,0)), HYPERLINK("#",""), HYPERLINK(CONCATENATE("#metadata!", ADDRESS(INDEX($AH$2:$AH$1001,MATCH(ROWS($AF$2:AF470),$AF$2:$AF$1001,0),0), INDEX($AM$1004:$BM$1004,1,MATCH(COLUMNS($AM$1006:AQ1006),$AM$1006:$BM$1006,0)))),"Fix")))</f>
        <v xml:space="preserve"> </v>
      </c>
      <c r="G470" s="4" t="str">
        <f ca="1">IF(OR(INDEX($AG$2:$AG$1001,MATCH(ROWS($AF$2:AF470),$AF$2:$AF$1001,0),1)&gt;=100000,INDEX($AM$1005:$BM$1005,1,MATCH(COLUMNS($AM$1006:AR1006),$AM$1006:$BM$1006,0))&gt;=100000), " ",IF(INDEX($AM$2:$BM$1001,MATCH(ROWS($AF$2:AF470),$AF$2:$AF$1001,0),MATCH(COLUMNS($AM$1006:AR1006),$AM$1006:$BM$1006,0)), HYPERLINK("#",""), HYPERLINK(CONCATENATE("#metadata!", ADDRESS(INDEX($AH$2:$AH$1001,MATCH(ROWS($AF$2:AF470),$AF$2:$AF$1001,0),0), INDEX($AM$1004:$BM$1004,1,MATCH(COLUMNS($AM$1006:AR1006),$AM$1006:$BM$1006,0)))),"Fix")))</f>
        <v xml:space="preserve"> </v>
      </c>
      <c r="H470" s="4" t="str">
        <f ca="1">IF(OR(INDEX($AG$2:$AG$1001,MATCH(ROWS($AF$2:AF470),$AF$2:$AF$1001,0),1)&gt;=100000,INDEX($AM$1005:$BM$1005,1,MATCH(COLUMNS($AM$1006:AS1006),$AM$1006:$BM$1006,0))&gt;=100000), " ",IF(INDEX($AM$2:$BM$1001,MATCH(ROWS($AF$2:AF470),$AF$2:$AF$1001,0),MATCH(COLUMNS($AM$1006:AS1006),$AM$1006:$BM$1006,0)), HYPERLINK("#",""), HYPERLINK(CONCATENATE("#metadata!", ADDRESS(INDEX($AH$2:$AH$1001,MATCH(ROWS($AF$2:AF470),$AF$2:$AF$1001,0),0), INDEX($AM$1004:$BM$1004,1,MATCH(COLUMNS($AM$1006:AS1006),$AM$1006:$BM$1006,0)))),"Fix")))</f>
        <v xml:space="preserve"> </v>
      </c>
      <c r="I470" s="4" t="str">
        <f ca="1">IF(OR(INDEX($AG$2:$AG$1001,MATCH(ROWS($AF$2:AF470),$AF$2:$AF$1001,0),1)&gt;=100000,INDEX($AM$1005:$BM$1005,1,MATCH(COLUMNS($AM$1006:AT1006),$AM$1006:$BM$1006,0))&gt;=100000), " ",IF(INDEX($AM$2:$BM$1001,MATCH(ROWS($AF$2:AF470),$AF$2:$AF$1001,0),MATCH(COLUMNS($AM$1006:AT1006),$AM$1006:$BM$1006,0)), HYPERLINK("#",""), HYPERLINK(CONCATENATE("#metadata!", ADDRESS(INDEX($AH$2:$AH$1001,MATCH(ROWS($AF$2:AF470),$AF$2:$AF$1001,0),0), INDEX($AM$1004:$BM$1004,1,MATCH(COLUMNS($AM$1006:AT1006),$AM$1006:$BM$1006,0)))),"Fix")))</f>
        <v xml:space="preserve"> </v>
      </c>
      <c r="J470" s="4" t="str">
        <f ca="1">IF(OR(INDEX($AG$2:$AG$1001,MATCH(ROWS($AF$2:AF470),$AF$2:$AF$1001,0),1)&gt;=100000,INDEX($AM$1005:$BM$1005,1,MATCH(COLUMNS($AM$1006:AU1006),$AM$1006:$BM$1006,0))&gt;=100000), " ",IF(INDEX($AM$2:$BM$1001,MATCH(ROWS($AF$2:AF470),$AF$2:$AF$1001,0),MATCH(COLUMNS($AM$1006:AU1006),$AM$1006:$BM$1006,0)), HYPERLINK("#",""), HYPERLINK(CONCATENATE("#metadata!", ADDRESS(INDEX($AH$2:$AH$1001,MATCH(ROWS($AF$2:AF470),$AF$2:$AF$1001,0),0), INDEX($AM$1004:$BM$1004,1,MATCH(COLUMNS($AM$1006:AU1006),$AM$1006:$BM$1006,0)))),"Fix")))</f>
        <v xml:space="preserve"> </v>
      </c>
      <c r="K470" s="4" t="str">
        <f ca="1">IF(OR(INDEX($AG$2:$AG$1001,MATCH(ROWS($AF$2:AF470),$AF$2:$AF$1001,0),1)&gt;=100000,INDEX($AM$1005:$BM$1005,1,MATCH(COLUMNS($AM$1006:AV1006),$AM$1006:$BM$1006,0))&gt;=100000), " ",IF(INDEX($AM$2:$BM$1001,MATCH(ROWS($AF$2:AF470),$AF$2:$AF$1001,0),MATCH(COLUMNS($AM$1006:AV1006),$AM$1006:$BM$1006,0)), HYPERLINK("#",""), HYPERLINK(CONCATENATE("#metadata!", ADDRESS(INDEX($AH$2:$AH$1001,MATCH(ROWS($AF$2:AF470),$AF$2:$AF$1001,0),0), INDEX($AM$1004:$BM$1004,1,MATCH(COLUMNS($AM$1006:AV1006),$AM$1006:$BM$1006,0)))),"Fix")))</f>
        <v xml:space="preserve"> </v>
      </c>
      <c r="L470" s="4" t="str">
        <f ca="1">IF(OR(INDEX($AG$2:$AG$1001,MATCH(ROWS($AF$2:AF470),$AF$2:$AF$1001,0),1)&gt;=100000,INDEX($AM$1005:$BM$1005,1,MATCH(COLUMNS($AM$1006:AW1006),$AM$1006:$BM$1006,0))&gt;=100000), " ",IF(INDEX($AM$2:$BM$1001,MATCH(ROWS($AF$2:AF470),$AF$2:$AF$1001,0),MATCH(COLUMNS($AM$1006:AW1006),$AM$1006:$BM$1006,0)), HYPERLINK("#",""), HYPERLINK(CONCATENATE("#metadata!", ADDRESS(INDEX($AH$2:$AH$1001,MATCH(ROWS($AF$2:AF470),$AF$2:$AF$1001,0),0), INDEX($AM$1004:$BM$1004,1,MATCH(COLUMNS($AM$1006:AW1006),$AM$1006:$BM$1006,0)))),"Fix")))</f>
        <v xml:space="preserve"> </v>
      </c>
      <c r="M470" s="4" t="str">
        <f ca="1">IF(OR(INDEX($AG$2:$AG$1001,MATCH(ROWS($AF$2:AF470),$AF$2:$AF$1001,0),1)&gt;=100000,INDEX($AM$1005:$BM$1005,1,MATCH(COLUMNS($AM$1006:AX1006),$AM$1006:$BM$1006,0))&gt;=100000), " ",IF(INDEX($AM$2:$BM$1001,MATCH(ROWS($AF$2:AF470),$AF$2:$AF$1001,0),MATCH(COLUMNS($AM$1006:AX1006),$AM$1006:$BM$1006,0)), HYPERLINK("#",""), HYPERLINK(CONCATENATE("#metadata!", ADDRESS(INDEX($AH$2:$AH$1001,MATCH(ROWS($AF$2:AF470),$AF$2:$AF$1001,0),0), INDEX($AM$1004:$BM$1004,1,MATCH(COLUMNS($AM$1006:AX1006),$AM$1006:$BM$1006,0)))),"Fix")))</f>
        <v xml:space="preserve"> </v>
      </c>
      <c r="N470" s="4" t="str">
        <f ca="1">IF(OR(INDEX($AG$2:$AG$1001,MATCH(ROWS($AF$2:AF470),$AF$2:$AF$1001,0),1)&gt;=100000,INDEX($AM$1005:$BM$1005,1,MATCH(COLUMNS($AM$1006:AY1006),$AM$1006:$BM$1006,0))&gt;=100000), " ",IF(INDEX($AM$2:$BM$1001,MATCH(ROWS($AF$2:AF470),$AF$2:$AF$1001,0),MATCH(COLUMNS($AM$1006:AY1006),$AM$1006:$BM$1006,0)), HYPERLINK("#",""), HYPERLINK(CONCATENATE("#metadata!", ADDRESS(INDEX($AH$2:$AH$1001,MATCH(ROWS($AF$2:AF470),$AF$2:$AF$1001,0),0), INDEX($AM$1004:$BM$1004,1,MATCH(COLUMNS($AM$1006:AY1006),$AM$1006:$BM$1006,0)))),"Fix")))</f>
        <v xml:space="preserve"> </v>
      </c>
      <c r="O470" s="4" t="str">
        <f ca="1">IF(OR(INDEX($AG$2:$AG$1001,MATCH(ROWS($AF$2:AF470),$AF$2:$AF$1001,0),1)&gt;=100000,INDEX($AM$1005:$BM$1005,1,MATCH(COLUMNS($AM$1006:AZ1006),$AM$1006:$BM$1006,0))&gt;=100000), " ",IF(INDEX($AM$2:$BM$1001,MATCH(ROWS($AF$2:AF470),$AF$2:$AF$1001,0),MATCH(COLUMNS($AM$1006:AZ1006),$AM$1006:$BM$1006,0)), HYPERLINK("#",""), HYPERLINK(CONCATENATE("#metadata!", ADDRESS(INDEX($AH$2:$AH$1001,MATCH(ROWS($AF$2:AF470),$AF$2:$AF$1001,0),0), INDEX($AM$1004:$BM$1004,1,MATCH(COLUMNS($AM$1006:AZ1006),$AM$1006:$BM$1006,0)))),"Fix")))</f>
        <v xml:space="preserve"> </v>
      </c>
      <c r="P470" s="4" t="str">
        <f ca="1">IF(OR(INDEX($AG$2:$AG$1001,MATCH(ROWS($AF$2:AF470),$AF$2:$AF$1001,0),1)&gt;=100000,INDEX($AM$1005:$BM$1005,1,MATCH(COLUMNS($AM$1006:BA1006),$AM$1006:$BM$1006,0))&gt;=100000), " ",IF(INDEX($AM$2:$BM$1001,MATCH(ROWS($AF$2:AF470),$AF$2:$AF$1001,0),MATCH(COLUMNS($AM$1006:BA1006),$AM$1006:$BM$1006,0)), HYPERLINK("#",""), HYPERLINK(CONCATENATE("#metadata!", ADDRESS(INDEX($AH$2:$AH$1001,MATCH(ROWS($AF$2:AF470),$AF$2:$AF$1001,0),0), INDEX($AM$1004:$BM$1004,1,MATCH(COLUMNS($AM$1006:BA1006),$AM$1006:$BM$1006,0)))),"Fix")))</f>
        <v xml:space="preserve"> </v>
      </c>
      <c r="Q470" s="4" t="str">
        <f ca="1">IF(OR(INDEX($AG$2:$AG$1001,MATCH(ROWS($AF$2:AF470),$AF$2:$AF$1001,0),1)&gt;=100000,INDEX($AM$1005:$BM$1005,1,MATCH(COLUMNS($AM$1006:BB1006),$AM$1006:$BM$1006,0))&gt;=100000), " ",IF(INDEX($AM$2:$BM$1001,MATCH(ROWS($AF$2:AF470),$AF$2:$AF$1001,0),MATCH(COLUMNS($AM$1006:BB1006),$AM$1006:$BM$1006,0)), HYPERLINK("#",""), HYPERLINK(CONCATENATE("#metadata!", ADDRESS(INDEX($AH$2:$AH$1001,MATCH(ROWS($AF$2:AF470),$AF$2:$AF$1001,0),0), INDEX($AM$1004:$BM$1004,1,MATCH(COLUMNS($AM$1006:BB1006),$AM$1006:$BM$1006,0)))),"Fix")))</f>
        <v xml:space="preserve"> </v>
      </c>
      <c r="R470" s="4" t="str">
        <f ca="1">IF(OR(INDEX($AG$2:$AG$1001,MATCH(ROWS($AF$2:AF470),$AF$2:$AF$1001,0),1)&gt;=100000,INDEX($AM$1005:$BM$1005,1,MATCH(COLUMNS($AM$1006:BC1006),$AM$1006:$BM$1006,0))&gt;=100000), " ",IF(INDEX($AM$2:$BM$1001,MATCH(ROWS($AF$2:AF470),$AF$2:$AF$1001,0),MATCH(COLUMNS($AM$1006:BC1006),$AM$1006:$BM$1006,0)), HYPERLINK("#",""), HYPERLINK(CONCATENATE("#metadata!", ADDRESS(INDEX($AH$2:$AH$1001,MATCH(ROWS($AF$2:AF470),$AF$2:$AF$1001,0),0), INDEX($AM$1004:$BM$1004,1,MATCH(COLUMNS($AM$1006:BC1006),$AM$1006:$BM$1006,0)))),"Fix")))</f>
        <v xml:space="preserve"> </v>
      </c>
      <c r="S470" s="4" t="str">
        <f ca="1">IF(OR(INDEX($AG$2:$AG$1001,MATCH(ROWS($AF$2:AF470),$AF$2:$AF$1001,0),1)&gt;=100000,INDEX($AM$1005:$BM$1005,1,MATCH(COLUMNS($AM$1006:BD1006),$AM$1006:$BM$1006,0))&gt;=100000), " ",IF(INDEX($AM$2:$BM$1001,MATCH(ROWS($AF$2:AF470),$AF$2:$AF$1001,0),MATCH(COLUMNS($AM$1006:BD1006),$AM$1006:$BM$1006,0)), HYPERLINK("#",""), HYPERLINK(CONCATENATE("#metadata!", ADDRESS(INDEX($AH$2:$AH$1001,MATCH(ROWS($AF$2:AF470),$AF$2:$AF$1001,0),0), INDEX($AM$1004:$BM$1004,1,MATCH(COLUMNS($AM$1006:BD1006),$AM$1006:$BM$1006,0)))),"Fix")))</f>
        <v xml:space="preserve"> </v>
      </c>
      <c r="T470" s="4" t="str">
        <f ca="1">IF(OR(INDEX($AG$2:$AG$1001,MATCH(ROWS($AF$2:AF470),$AF$2:$AF$1001,0),1)&gt;=100000,INDEX($AM$1005:$BM$1005,1,MATCH(COLUMNS($AM$1006:BE1006),$AM$1006:$BM$1006,0))&gt;=100000), " ",IF(INDEX($AM$2:$BM$1001,MATCH(ROWS($AF$2:AF470),$AF$2:$AF$1001,0),MATCH(COLUMNS($AM$1006:BE1006),$AM$1006:$BM$1006,0)), HYPERLINK("#",""), HYPERLINK(CONCATENATE("#metadata!", ADDRESS(INDEX($AH$2:$AH$1001,MATCH(ROWS($AF$2:AF470),$AF$2:$AF$1001,0),0), INDEX($AM$1004:$BM$1004,1,MATCH(COLUMNS($AM$1006:BE1006),$AM$1006:$BM$1006,0)))),"Fix")))</f>
        <v xml:space="preserve"> </v>
      </c>
      <c r="U470" s="4" t="str">
        <f ca="1">IF(OR(INDEX($AG$2:$AG$1001,MATCH(ROWS($AF$2:AF470),$AF$2:$AF$1001,0),1)&gt;=100000,INDEX($AM$1005:$BM$1005,1,MATCH(COLUMNS($AM$1006:BF1006),$AM$1006:$BM$1006,0))&gt;=100000), " ",IF(INDEX($AM$2:$BM$1001,MATCH(ROWS($AF$2:AF470),$AF$2:$AF$1001,0),MATCH(COLUMNS($AM$1006:BF1006),$AM$1006:$BM$1006,0)), HYPERLINK("#",""), HYPERLINK(CONCATENATE("#metadata!", ADDRESS(INDEX($AH$2:$AH$1001,MATCH(ROWS($AF$2:AF470),$AF$2:$AF$1001,0),0), INDEX($AM$1004:$BM$1004,1,MATCH(COLUMNS($AM$1006:BF1006),$AM$1006:$BM$1006,0)))),"Fix")))</f>
        <v xml:space="preserve"> </v>
      </c>
      <c r="V470" s="4" t="str">
        <f ca="1">IF(OR(INDEX($AG$2:$AG$1001,MATCH(ROWS($AF$2:AF470),$AF$2:$AF$1001,0),1)&gt;=100000,INDEX($AM$1005:$BM$1005,1,MATCH(COLUMNS($AM$1006:BG1006),$AM$1006:$BM$1006,0))&gt;=100000), " ",IF(INDEX($AM$2:$BM$1001,MATCH(ROWS($AF$2:AF470),$AF$2:$AF$1001,0),MATCH(COLUMNS($AM$1006:BG1006),$AM$1006:$BM$1006,0)), HYPERLINK("#",""), HYPERLINK(CONCATENATE("#metadata!", ADDRESS(INDEX($AH$2:$AH$1001,MATCH(ROWS($AF$2:AF470),$AF$2:$AF$1001,0),0), INDEX($AM$1004:$BM$1004,1,MATCH(COLUMNS($AM$1006:BG1006),$AM$1006:$BM$1006,0)))),"Fix")))</f>
        <v xml:space="preserve"> </v>
      </c>
      <c r="W470" s="4" t="str">
        <f ca="1">IF(OR(INDEX($AG$2:$AG$1001,MATCH(ROWS($AF$2:AF470),$AF$2:$AF$1001,0),1)&gt;=100000,INDEX($AM$1005:$BM$1005,1,MATCH(COLUMNS($AM$1006:BH1006),$AM$1006:$BM$1006,0))&gt;=100000), " ",IF(INDEX($AM$2:$BM$1001,MATCH(ROWS($AF$2:AF470),$AF$2:$AF$1001,0),MATCH(COLUMNS($AM$1006:BH1006),$AM$1006:$BM$1006,0)), HYPERLINK("#",""), HYPERLINK(CONCATENATE("#metadata!", ADDRESS(INDEX($AH$2:$AH$1001,MATCH(ROWS($AF$2:AF470),$AF$2:$AF$1001,0),0), INDEX($AM$1004:$BM$1004,1,MATCH(COLUMNS($AM$1006:BH1006),$AM$1006:$BM$1006,0)))),"Fix")))</f>
        <v xml:space="preserve"> </v>
      </c>
      <c r="X470" s="4" t="str">
        <f ca="1">IF(OR(INDEX($AG$2:$AG$1001,MATCH(ROWS($AF$2:AF470),$AF$2:$AF$1001,0),1)&gt;=100000,INDEX($AM$1005:$BM$1005,1,MATCH(COLUMNS($AM$1006:BI1006),$AM$1006:$BM$1006,0))&gt;=100000), " ",IF(INDEX($AM$2:$BM$1001,MATCH(ROWS($AF$2:AF470),$AF$2:$AF$1001,0),MATCH(COLUMNS($AM$1006:BI1006),$AM$1006:$BM$1006,0)), HYPERLINK("#",""), HYPERLINK(CONCATENATE("#metadata!", ADDRESS(INDEX($AH$2:$AH$1001,MATCH(ROWS($AF$2:AF470),$AF$2:$AF$1001,0),0), INDEX($AM$1004:$BM$1004,1,MATCH(COLUMNS($AM$1006:BI1006),$AM$1006:$BM$1006,0)))),"Fix")))</f>
        <v xml:space="preserve"> </v>
      </c>
      <c r="Y470" s="4" t="str">
        <f ca="1">IF(OR(INDEX($AG$2:$AG$1001,MATCH(ROWS($AF$2:AF470),$AF$2:$AF$1001,0),1)&gt;=100000,INDEX($AM$1005:$BM$1005,1,MATCH(COLUMNS($AM$1006:BJ1006),$AM$1006:$BM$1006,0))&gt;=100000), " ",IF(INDEX($AM$2:$BM$1001,MATCH(ROWS($AF$2:AF470),$AF$2:$AF$1001,0),MATCH(COLUMNS($AM$1006:BJ1006),$AM$1006:$BM$1006,0)), HYPERLINK("#",""), HYPERLINK(CONCATENATE("#metadata!", ADDRESS(INDEX($AH$2:$AH$1001,MATCH(ROWS($AF$2:AF470),$AF$2:$AF$1001,0),0), INDEX($AM$1004:$BM$1004,1,MATCH(COLUMNS($AM$1006:BJ1006),$AM$1006:$BM$1006,0)))),"Fix")))</f>
        <v xml:space="preserve"> </v>
      </c>
      <c r="Z470" s="4" t="str">
        <f ca="1">IF(OR(INDEX($AG$2:$AG$1001,MATCH(ROWS($AF$2:AF470),$AF$2:$AF$1001,0),1)&gt;=100000,INDEX($AM$1005:$BM$1005,1,MATCH(COLUMNS($AM$1006:BK1006),$AM$1006:$BM$1006,0))&gt;=100000), " ",IF(INDEX($AM$2:$BM$1001,MATCH(ROWS($AF$2:AF470),$AF$2:$AF$1001,0),MATCH(COLUMNS($AM$1006:BK1006),$AM$1006:$BM$1006,0)), HYPERLINK("#",""), HYPERLINK(CONCATENATE("#metadata!", ADDRESS(INDEX($AH$2:$AH$1001,MATCH(ROWS($AF$2:AF470),$AF$2:$AF$1001,0),0), INDEX($AM$1004:$BM$1004,1,MATCH(COLUMNS($AM$1006:BK1006),$AM$1006:$BM$1006,0)))),"Fix")))</f>
        <v xml:space="preserve"> </v>
      </c>
      <c r="AA470" s="4" t="str">
        <f ca="1">IF(OR(INDEX($AG$2:$AG$1001,MATCH(ROWS($AF$2:AF470),$AF$2:$AF$1001,0),1)&gt;=100000,INDEX($AM$1005:$BM$1005,1,MATCH(COLUMNS($AM$1006:BL1006),$AM$1006:$BM$1006,0))&gt;=100000), " ",IF(INDEX($AM$2:$BM$1001,MATCH(ROWS($AF$2:AF470),$AF$2:$AF$1001,0),MATCH(COLUMNS($AM$1006:BL1006),$AM$1006:$BM$1006,0)), HYPERLINK("#",""), HYPERLINK(CONCATENATE("#metadata!", ADDRESS(INDEX($AH$2:$AH$1001,MATCH(ROWS($AF$2:AF470),$AF$2:$AF$1001,0),0), INDEX($AM$1004:$BM$1004,1,MATCH(COLUMNS($AM$1006:BL1006),$AM$1006:$BM$1006,0)))),"Fix")))</f>
        <v xml:space="preserve"> </v>
      </c>
      <c r="AB470" s="4" t="str">
        <f ca="1">IF(OR(INDEX($AG$2:$AG$1001,MATCH(ROWS($AF$2:AF470),$AF$2:$AF$1001,0),1)&gt;=100000,INDEX($AM$1005:$BM$1005,1,MATCH(COLUMNS($AM$1006:BM1006),$AM$1006:$BM$1006,0))&gt;=100000), " ",IF(INDEX($AM$2:$BM$1001,MATCH(ROWS($AF$2:AF470),$AF$2:$AF$1001,0),MATCH(COLUMNS($AM$1006:BM1006),$AM$1006:$BM$1006,0)), HYPERLINK("#",""), HYPERLINK(CONCATENATE("#metadata!", ADDRESS(INDEX($AH$2:$AH$1001,MATCH(ROWS($AF$2:AF470),$AF$2:$AF$1001,0),0), INDEX($AM$1004:$BM$1004,1,MATCH(COLUMNS($AM$1006:BM1006),$AM$1006:$BM$1006,0)))),"Fix")))</f>
        <v xml:space="preserve"> </v>
      </c>
      <c r="AF470">
        <v>469</v>
      </c>
      <c r="AG470">
        <v>100470</v>
      </c>
      <c r="AH470">
        <v>470</v>
      </c>
      <c r="AI470" t="b">
        <f t="shared" si="7"/>
        <v>1</v>
      </c>
      <c r="AJ470" t="b">
        <f>COUNTBLANK(metadata!B470:AB470)=COLUMNS(metadata!B470:AB470)</f>
        <v>1</v>
      </c>
      <c r="AK470" t="str">
        <v/>
      </c>
      <c r="AM470" t="b">
        <f ca="1">AND(IF(metadata!B470="",FALSE,TRUE),COUNTIF(metadata!B:B, metadata!B470) = 1,NOT(ISERROR(SUMPRODUCT(SEARCH(MID(metadata!B470,ROW(INDIRECT("1:"&amp;LEN(metadata!B470))), 1),"0123456789abcdefghijklmnopqrstuvwxyzABCDEFGHIJKLMNOPQRSTUVWXYZ.")))))</f>
        <v>0</v>
      </c>
      <c r="AN470" t="b">
        <f ca="1">OR(AND(IF(metadata!C470="",FALSE,TRUE),OR(EXACT(metadata!C470,"missing: not collected"),EXACT(metadata!C470,"missing: not provided"),EXACT(metadata!C470,"missing: restricted access"))),AND(IF(metadata!C470="",FALSE,TRUE),AND(AND(IFERROR(INT(LEFT(metadata!C470,4))&gt;1900,FALSE),IFERROR(INT(LEFT(metadata!C470,4))&lt;=YEAR(NOW()),FALSE)), OR(MID(metadata!C470,5,1)="", AND(AND(MID(metadata!C470,5,1)="-",IFERROR(INT(MID(metadata!C470,6,1))&gt;=0,FALSE),IFERROR(INT(MID(metadata!C470,6,1))&lt;=1,FALSE),NOT(MID(metadata!C470,7,1)=""),IFERROR(INT(MID(metadata!C470,6,2))&gt;=1,FALSE),IFERROR(INT(MID(metadata!C470,6,2))&lt;=12,FALSE)), OR(MID(metadata!C470,8,1)="", AND(AND(MID(metadata!C470,8,1)="-",IFERROR(INT(MID(metadata!C470,9,1))&gt;=0,FALSE),IFERROR(INT(MID(metadata!C470,9,1))&lt;=3,FALSE),NOT(MID(metadata!C470,10,1)=""),IFERROR(INT(MID(metadata!C470,9,2))&gt;=1,FALSE),IFERROR(INT(MID(metadata!C470,9,2))&lt;=31,FALSE)), OR(MID(metadata!C470,11,1)="", AND(AND(MID(metadata!C470,11,1)=" ",IFERROR(INT(MID(metadata!C470,12,1))&gt;=0,FALSE),IFERROR(INT(MID(metadata!C470,12,1))&lt;=2,FALSE),NOT(MID(metadata!C470,13,1)=""),IFERROR(INT(MID(metadata!C470,12,2))&gt;=0,FALSE),IFERROR(INT(MID(metadata!C470,12,2))&lt;=23,FALSE)), OR(MID(metadata!C470,14,1)="", AND(AND(MID(metadata!C470,14,1)=":",IFERROR(INT(MID(metadata!C470,15,1))&gt;=0,FALSE),IFERROR(INT(MID(metadata!C470,15,1))&lt;=5,FALSE),NOT(MID(metadata!C470,16,1)=""),IFERROR(INT(MID(metadata!C470,15,2))&gt;=0,FALSE),IFERROR(INT(MID(metadata!C470,15,2))&lt;=59,FALSE)), OR(MID(metadata!C470,17,1)="", AND(AND(MID(metadata!C470,17,1)=":",IFERROR(INT(MID(metadata!C470,18,1))&gt;=0,FALSE),IFERROR(INT(MID(metadata!C470,18,1))&lt;=5,FALSE),NOT(MID(metadata!C470,19,1)=""),IFERROR(INT(MID(metadata!C470,18,2))&gt;=0,FALSE),IFERROR(INT(MID(metadata!C470,18,2))&lt;=59,FALSE)), LEN(metadata!C470)&lt;=19)))))))))))))</f>
        <v>0</v>
      </c>
      <c r="AO470" t="b">
        <f>AND(IF(metadata!D470="",FALSE,TRUE),EXACT(metadata!D470,"Not applicable"))</f>
        <v>0</v>
      </c>
      <c r="AP470" t="b">
        <f>IF(metadata!E470="",FALSE,TRUE)</f>
        <v>0</v>
      </c>
      <c r="AQ470" t="b">
        <f>OR(AND(IF(metadata!F470="",FALSE,TRUE),OR(EXACT(metadata!F470,"missing: not collected"),EXACT(metadata!F470,"missing: not provided"))),AND(IF(metadata!F470="",FALSE,TRUE),OR(EXACT(metadata!F470,"TRUE"),EXACT(metadata!F470,"FALSE"))))</f>
        <v>0</v>
      </c>
      <c r="AR470" t="b">
        <f>OR(AND(IF(metadata!G470="",FALSE,TRUE),OR(EXACT(metadata!G470,"missing: not collected"),EXACT(metadata!G470,"missing: not provided"),EXACT(metadata!G470,"missing: restricted access"))),AND(IF(metadata!G470="",FALSE,ISNUMBER(VALUE(metadata!G470))),metadata!G470&gt;=-413))</f>
        <v>0</v>
      </c>
      <c r="AS470" t="b">
        <f>AND(IF(metadata!H470="",FALSE,TRUE),EXACT(metadata!H470,"meters"))</f>
        <v>0</v>
      </c>
      <c r="AT470" t="b">
        <f>AND(IF(metadata!I470="",FALSE,TRUE),OR(EXACT(metadata!I470,"Host-associated"),EXACT(metadata!I470,"Free-living")))</f>
        <v>0</v>
      </c>
      <c r="AU470" t="b">
        <f>AND(IF(metadata!J470="",FALSE,TRUE),OR(EXACT(metadata!J470,"Animal"),EXACT(metadata!J470,"Fungus"),EXACT(metadata!J470,"Plant"),EXACT(metadata!J470,"Saline"),EXACT(metadata!J470,"Non-saline")))</f>
        <v>0</v>
      </c>
      <c r="AV470" t="b">
        <f>AND(IF(metadata!K470="",FALSE,TRUE),OR(EXACT(metadata!K470,"Plant secretion"),EXACT(metadata!K470,"Plant rhizosphere"),EXACT(metadata!K470,"Plant surface"),EXACT(metadata!K470,"Plant corpus"),EXACT(metadata!K470,"Fungus surface"),EXACT(metadata!K470,"Fungus corpus"),EXACT(metadata!K470,"Animal surface"),EXACT(metadata!K470,"Animal proximal gut"),EXACT(metadata!K470,"Animal corpus"),EXACT(metadata!K470,"Animal distal gut"),EXACT(metadata!K470,"Animal secretion"),EXACT(metadata!K470,"Sub-surface (non-saline)"),EXACT(metadata!K470,"Surface (non-saline)"),EXACT(metadata!K470,"Water (non-saline)"),EXACT(metadata!K470,"Soil (non-saline)"),EXACT(metadata!K470,"Aerosol (non-saline)"),EXACT(metadata!K470,"Sediment (non-saline)"),EXACT(metadata!K470,"Surface (saline)"),EXACT(metadata!K470,"Water (saline)"),EXACT(metadata!K470,"Hypersaline (saline)"),EXACT(metadata!K470,"Aerosol (saline)"),EXACT(metadata!K470,"Sediment (saline)")))</f>
        <v>0</v>
      </c>
      <c r="AW470" t="b">
        <f>IF(metadata!L470="",FALSE,TRUE)</f>
        <v>0</v>
      </c>
      <c r="AX470" t="b">
        <f>IF(metadata!M470="",FALSE,TRUE)</f>
        <v>0</v>
      </c>
      <c r="AY470" t="b">
        <f>IF(metadata!N470="",FALSE,TRUE)</f>
        <v>0</v>
      </c>
      <c r="AZ470" t="b">
        <f>OR(AND(IF(metadata!O470="",FALSE,TRUE),OR(EXACT(metadata!O470,"missing: not collected"),EXACT(metadata!O470,"missing: not provided"),EXACT(metadata!O470,"missing: restricted access"))),AND(IF(metadata!O470="",FALSE,TRUE),OR(EXACT(metadata!O470,"air"),EXACT(metadata!O470,"built environment"),EXACT(metadata!O470,"host-associated"),EXACT(metadata!O470,"human-associated"),EXACT(metadata!O470,"human-skin"),EXACT(metadata!O470,"human-oral"),EXACT(metadata!O470,"human-gut"),EXACT(metadata!O470,"human-vaginal"),EXACT(metadata!O470,"microbial mat/biofilm"),EXACT(metadata!O470,"misc environment"),EXACT(metadata!O470,"plant-associated"),EXACT(metadata!O470,"sediment"),EXACT(metadata!O470,"soil"),EXACT(metadata!O470,"wastewater/sludge"),EXACT(metadata!O470,"water"))))</f>
        <v>0</v>
      </c>
      <c r="BA470" t="b">
        <f>IF(metadata!P470="",FALSE,TRUE)</f>
        <v>0</v>
      </c>
      <c r="BB470" t="b">
        <f>IF(metadata!Q470="",FALSE,TRUE)</f>
        <v>0</v>
      </c>
      <c r="BC470" t="b">
        <f>OR(AND(IF(metadata!R470="",FALSE,TRUE),OR(EXACT(metadata!R470,"missing: not collected"),EXACT(metadata!R470,"missing: not provided"),EXACT(metadata!R470,"missing: restricted access"))),AND(IF(metadata!R470="",FALSE,ISNUMBER(VALUE(metadata!R470))),metadata!R470&gt;=-90,metadata!R470&lt;=90))</f>
        <v>0</v>
      </c>
      <c r="BD470" t="b">
        <f>AND(IF(metadata!S470="",FALSE,TRUE),EXACT(metadata!S470,"Decimal degrees"))</f>
        <v>0</v>
      </c>
      <c r="BE470" t="b">
        <f>OR(AND(IF(metadata!T470="",FALSE,TRUE),OR(EXACT(metadata!T470,"missing: not collected"),EXACT(metadata!T470,"missing: not provided"),EXACT(metadata!T470,"missing: restricted access"))),AND(IF(metadata!T470="",FALSE,ISNUMBER(VALUE(metadata!T470))),metadata!T470&gt;=-180,metadata!T470&lt;=180))</f>
        <v>0</v>
      </c>
      <c r="BF470" t="b">
        <f>AND(IF(metadata!U470="",FALSE,TRUE),EXACT(metadata!U470,"Decimal degrees"))</f>
        <v>0</v>
      </c>
      <c r="BG470" t="b">
        <f>IF(metadata!V470="",FALSE,TRUE)</f>
        <v>0</v>
      </c>
      <c r="BH470" t="b">
        <f>OR(AND(IF(metadata!W470="",FALSE,TRUE),OR(EXACT(metadata!W470,"missing: not collected"),EXACT(metadata!W470,"missing: not provided"),EXACT(metadata!W470,"missing: restricted access"))),AND(IF(metadata!W470="",FALSE,TRUE),OR(EXACT(metadata!W470,"TRUE"),EXACT(metadata!W470,"FALSE"))))</f>
        <v>0</v>
      </c>
      <c r="BI470" t="b">
        <f>AND(IF(metadata!X470="",FALSE,TRUE),EXACT(metadata!X470,"other"))</f>
        <v>0</v>
      </c>
      <c r="BJ470" t="b">
        <f>IF(metadata!Y470="",FALSE,TRUE)</f>
        <v>0</v>
      </c>
      <c r="BK470" t="b">
        <f>OR(AND(IF(metadata!Z470="",FALSE,TRUE),OR(EXACT(metadata!Z470,"missing: not collected"),EXACT(metadata!Z470,"missing: not provided"))),AND(IF(metadata!Z470="",FALSE,IF(ISERROR(INT(metadata!Z470)),FALSE,INT(metadata!Z470)=metadata!Z470)),metadata!Z470&gt;0))</f>
        <v>0</v>
      </c>
      <c r="BL470" t="b">
        <f>AND(IF(metadata!AA470="",FALSE,TRUE),EXACT(metadata!AA470,"Not applicable"))</f>
        <v>0</v>
      </c>
      <c r="BM470" t="b">
        <f>IF(metadata!AB470="",FALSE,TRUE)</f>
        <v>0</v>
      </c>
    </row>
    <row r="471" spans="1:65" x14ac:dyDescent="0.2">
      <c r="A471" s="5" t="str">
        <f ca="1">IF(B471=" "," ",HYPERLINK(CONCATENATE("#metadata!",ADDRESS(INDEX($AH$2:$AH$1001,MATCH(ROWS($AF$2:AF471),$AF$2:$AF$1001,0),0),1)),INDEX($AK$2:$AK$1001,MATCH(ROWS($AF$2:AF471),$AF$2:$AF$1001,0),0)))</f>
        <v xml:space="preserve"> </v>
      </c>
      <c r="B471" s="4" t="str">
        <f ca="1">IF(OR(INDEX($AG$2:$AG$1001,MATCH(ROWS($AF$2:AF471),$AF$2:$AF$1001,0),1)&gt;=100000,INDEX($AM$1005:$BM$1005,1,MATCH(COLUMNS($AM$1006:AM1006),$AM$1006:$BM$1006,0))&gt;=100000), " ",IF(INDEX($AM$2:$BM$1001,MATCH(ROWS($AF$2:AF471),$AF$2:$AF$1001,0),MATCH(COLUMNS($AM$1006:AM1006),$AM$1006:$BM$1006,0)), HYPERLINK("#",""), HYPERLINK(CONCATENATE("#metadata!", ADDRESS(INDEX($AH$2:$AH$1001,MATCH(ROWS($AF$2:AF471),$AF$2:$AF$1001,0),0), INDEX($AM$1004:$BM$1004,1,MATCH(COLUMNS($AM$1006:AM1006),$AM$1006:$BM$1006,0)))),"Fix")))</f>
        <v xml:space="preserve"> </v>
      </c>
      <c r="C471" s="4" t="str">
        <f ca="1">IF(OR(INDEX($AG$2:$AG$1001,MATCH(ROWS($AF$2:AF471),$AF$2:$AF$1001,0),1)&gt;=100000,INDEX($AM$1005:$BM$1005,1,MATCH(COLUMNS($AM$1006:AN1006),$AM$1006:$BM$1006,0))&gt;=100000), " ",IF(INDEX($AM$2:$BM$1001,MATCH(ROWS($AF$2:AF471),$AF$2:$AF$1001,0),MATCH(COLUMNS($AM$1006:AN1006),$AM$1006:$BM$1006,0)), HYPERLINK("#",""), HYPERLINK(CONCATENATE("#metadata!", ADDRESS(INDEX($AH$2:$AH$1001,MATCH(ROWS($AF$2:AF471),$AF$2:$AF$1001,0),0), INDEX($AM$1004:$BM$1004,1,MATCH(COLUMNS($AM$1006:AN1006),$AM$1006:$BM$1006,0)))),"Fix")))</f>
        <v xml:space="preserve"> </v>
      </c>
      <c r="D471" s="4" t="str">
        <f ca="1">IF(OR(INDEX($AG$2:$AG$1001,MATCH(ROWS($AF$2:AF471),$AF$2:$AF$1001,0),1)&gt;=100000,INDEX($AM$1005:$BM$1005,1,MATCH(COLUMNS($AM$1006:AO1006),$AM$1006:$BM$1006,0))&gt;=100000), " ",IF(INDEX($AM$2:$BM$1001,MATCH(ROWS($AF$2:AF471),$AF$2:$AF$1001,0),MATCH(COLUMNS($AM$1006:AO1006),$AM$1006:$BM$1006,0)), HYPERLINK("#",""), HYPERLINK(CONCATENATE("#metadata!", ADDRESS(INDEX($AH$2:$AH$1001,MATCH(ROWS($AF$2:AF471),$AF$2:$AF$1001,0),0), INDEX($AM$1004:$BM$1004,1,MATCH(COLUMNS($AM$1006:AO1006),$AM$1006:$BM$1006,0)))),"Fix")))</f>
        <v xml:space="preserve"> </v>
      </c>
      <c r="E471" s="4" t="str">
        <f ca="1">IF(OR(INDEX($AG$2:$AG$1001,MATCH(ROWS($AF$2:AF471),$AF$2:$AF$1001,0),1)&gt;=100000,INDEX($AM$1005:$BM$1005,1,MATCH(COLUMNS($AM$1006:AP1006),$AM$1006:$BM$1006,0))&gt;=100000), " ",IF(INDEX($AM$2:$BM$1001,MATCH(ROWS($AF$2:AF471),$AF$2:$AF$1001,0),MATCH(COLUMNS($AM$1006:AP1006),$AM$1006:$BM$1006,0)), HYPERLINK("#",""), HYPERLINK(CONCATENATE("#metadata!", ADDRESS(INDEX($AH$2:$AH$1001,MATCH(ROWS($AF$2:AF471),$AF$2:$AF$1001,0),0), INDEX($AM$1004:$BM$1004,1,MATCH(COLUMNS($AM$1006:AP1006),$AM$1006:$BM$1006,0)))),"Fix")))</f>
        <v xml:space="preserve"> </v>
      </c>
      <c r="F471" s="4" t="str">
        <f ca="1">IF(OR(INDEX($AG$2:$AG$1001,MATCH(ROWS($AF$2:AF471),$AF$2:$AF$1001,0),1)&gt;=100000,INDEX($AM$1005:$BM$1005,1,MATCH(COLUMNS($AM$1006:AQ1006),$AM$1006:$BM$1006,0))&gt;=100000), " ",IF(INDEX($AM$2:$BM$1001,MATCH(ROWS($AF$2:AF471),$AF$2:$AF$1001,0),MATCH(COLUMNS($AM$1006:AQ1006),$AM$1006:$BM$1006,0)), HYPERLINK("#",""), HYPERLINK(CONCATENATE("#metadata!", ADDRESS(INDEX($AH$2:$AH$1001,MATCH(ROWS($AF$2:AF471),$AF$2:$AF$1001,0),0), INDEX($AM$1004:$BM$1004,1,MATCH(COLUMNS($AM$1006:AQ1006),$AM$1006:$BM$1006,0)))),"Fix")))</f>
        <v xml:space="preserve"> </v>
      </c>
      <c r="G471" s="4" t="str">
        <f ca="1">IF(OR(INDEX($AG$2:$AG$1001,MATCH(ROWS($AF$2:AF471),$AF$2:$AF$1001,0),1)&gt;=100000,INDEX($AM$1005:$BM$1005,1,MATCH(COLUMNS($AM$1006:AR1006),$AM$1006:$BM$1006,0))&gt;=100000), " ",IF(INDEX($AM$2:$BM$1001,MATCH(ROWS($AF$2:AF471),$AF$2:$AF$1001,0),MATCH(COLUMNS($AM$1006:AR1006),$AM$1006:$BM$1006,0)), HYPERLINK("#",""), HYPERLINK(CONCATENATE("#metadata!", ADDRESS(INDEX($AH$2:$AH$1001,MATCH(ROWS($AF$2:AF471),$AF$2:$AF$1001,0),0), INDEX($AM$1004:$BM$1004,1,MATCH(COLUMNS($AM$1006:AR1006),$AM$1006:$BM$1006,0)))),"Fix")))</f>
        <v xml:space="preserve"> </v>
      </c>
      <c r="H471" s="4" t="str">
        <f ca="1">IF(OR(INDEX($AG$2:$AG$1001,MATCH(ROWS($AF$2:AF471),$AF$2:$AF$1001,0),1)&gt;=100000,INDEX($AM$1005:$BM$1005,1,MATCH(COLUMNS($AM$1006:AS1006),$AM$1006:$BM$1006,0))&gt;=100000), " ",IF(INDEX($AM$2:$BM$1001,MATCH(ROWS($AF$2:AF471),$AF$2:$AF$1001,0),MATCH(COLUMNS($AM$1006:AS1006),$AM$1006:$BM$1006,0)), HYPERLINK("#",""), HYPERLINK(CONCATENATE("#metadata!", ADDRESS(INDEX($AH$2:$AH$1001,MATCH(ROWS($AF$2:AF471),$AF$2:$AF$1001,0),0), INDEX($AM$1004:$BM$1004,1,MATCH(COLUMNS($AM$1006:AS1006),$AM$1006:$BM$1006,0)))),"Fix")))</f>
        <v xml:space="preserve"> </v>
      </c>
      <c r="I471" s="4" t="str">
        <f ca="1">IF(OR(INDEX($AG$2:$AG$1001,MATCH(ROWS($AF$2:AF471),$AF$2:$AF$1001,0),1)&gt;=100000,INDEX($AM$1005:$BM$1005,1,MATCH(COLUMNS($AM$1006:AT1006),$AM$1006:$BM$1006,0))&gt;=100000), " ",IF(INDEX($AM$2:$BM$1001,MATCH(ROWS($AF$2:AF471),$AF$2:$AF$1001,0),MATCH(COLUMNS($AM$1006:AT1006),$AM$1006:$BM$1006,0)), HYPERLINK("#",""), HYPERLINK(CONCATENATE("#metadata!", ADDRESS(INDEX($AH$2:$AH$1001,MATCH(ROWS($AF$2:AF471),$AF$2:$AF$1001,0),0), INDEX($AM$1004:$BM$1004,1,MATCH(COLUMNS($AM$1006:AT1006),$AM$1006:$BM$1006,0)))),"Fix")))</f>
        <v xml:space="preserve"> </v>
      </c>
      <c r="J471" s="4" t="str">
        <f ca="1">IF(OR(INDEX($AG$2:$AG$1001,MATCH(ROWS($AF$2:AF471),$AF$2:$AF$1001,0),1)&gt;=100000,INDEX($AM$1005:$BM$1005,1,MATCH(COLUMNS($AM$1006:AU1006),$AM$1006:$BM$1006,0))&gt;=100000), " ",IF(INDEX($AM$2:$BM$1001,MATCH(ROWS($AF$2:AF471),$AF$2:$AF$1001,0),MATCH(COLUMNS($AM$1006:AU1006),$AM$1006:$BM$1006,0)), HYPERLINK("#",""), HYPERLINK(CONCATENATE("#metadata!", ADDRESS(INDEX($AH$2:$AH$1001,MATCH(ROWS($AF$2:AF471),$AF$2:$AF$1001,0),0), INDEX($AM$1004:$BM$1004,1,MATCH(COLUMNS($AM$1006:AU1006),$AM$1006:$BM$1006,0)))),"Fix")))</f>
        <v xml:space="preserve"> </v>
      </c>
      <c r="K471" s="4" t="str">
        <f ca="1">IF(OR(INDEX($AG$2:$AG$1001,MATCH(ROWS($AF$2:AF471),$AF$2:$AF$1001,0),1)&gt;=100000,INDEX($AM$1005:$BM$1005,1,MATCH(COLUMNS($AM$1006:AV1006),$AM$1006:$BM$1006,0))&gt;=100000), " ",IF(INDEX($AM$2:$BM$1001,MATCH(ROWS($AF$2:AF471),$AF$2:$AF$1001,0),MATCH(COLUMNS($AM$1006:AV1006),$AM$1006:$BM$1006,0)), HYPERLINK("#",""), HYPERLINK(CONCATENATE("#metadata!", ADDRESS(INDEX($AH$2:$AH$1001,MATCH(ROWS($AF$2:AF471),$AF$2:$AF$1001,0),0), INDEX($AM$1004:$BM$1004,1,MATCH(COLUMNS($AM$1006:AV1006),$AM$1006:$BM$1006,0)))),"Fix")))</f>
        <v xml:space="preserve"> </v>
      </c>
      <c r="L471" s="4" t="str">
        <f ca="1">IF(OR(INDEX($AG$2:$AG$1001,MATCH(ROWS($AF$2:AF471),$AF$2:$AF$1001,0),1)&gt;=100000,INDEX($AM$1005:$BM$1005,1,MATCH(COLUMNS($AM$1006:AW1006),$AM$1006:$BM$1006,0))&gt;=100000), " ",IF(INDEX($AM$2:$BM$1001,MATCH(ROWS($AF$2:AF471),$AF$2:$AF$1001,0),MATCH(COLUMNS($AM$1006:AW1006),$AM$1006:$BM$1006,0)), HYPERLINK("#",""), HYPERLINK(CONCATENATE("#metadata!", ADDRESS(INDEX($AH$2:$AH$1001,MATCH(ROWS($AF$2:AF471),$AF$2:$AF$1001,0),0), INDEX($AM$1004:$BM$1004,1,MATCH(COLUMNS($AM$1006:AW1006),$AM$1006:$BM$1006,0)))),"Fix")))</f>
        <v xml:space="preserve"> </v>
      </c>
      <c r="M471" s="4" t="str">
        <f ca="1">IF(OR(INDEX($AG$2:$AG$1001,MATCH(ROWS($AF$2:AF471),$AF$2:$AF$1001,0),1)&gt;=100000,INDEX($AM$1005:$BM$1005,1,MATCH(COLUMNS($AM$1006:AX1006),$AM$1006:$BM$1006,0))&gt;=100000), " ",IF(INDEX($AM$2:$BM$1001,MATCH(ROWS($AF$2:AF471),$AF$2:$AF$1001,0),MATCH(COLUMNS($AM$1006:AX1006),$AM$1006:$BM$1006,0)), HYPERLINK("#",""), HYPERLINK(CONCATENATE("#metadata!", ADDRESS(INDEX($AH$2:$AH$1001,MATCH(ROWS($AF$2:AF471),$AF$2:$AF$1001,0),0), INDEX($AM$1004:$BM$1004,1,MATCH(COLUMNS($AM$1006:AX1006),$AM$1006:$BM$1006,0)))),"Fix")))</f>
        <v xml:space="preserve"> </v>
      </c>
      <c r="N471" s="4" t="str">
        <f ca="1">IF(OR(INDEX($AG$2:$AG$1001,MATCH(ROWS($AF$2:AF471),$AF$2:$AF$1001,0),1)&gt;=100000,INDEX($AM$1005:$BM$1005,1,MATCH(COLUMNS($AM$1006:AY1006),$AM$1006:$BM$1006,0))&gt;=100000), " ",IF(INDEX($AM$2:$BM$1001,MATCH(ROWS($AF$2:AF471),$AF$2:$AF$1001,0),MATCH(COLUMNS($AM$1006:AY1006),$AM$1006:$BM$1006,0)), HYPERLINK("#",""), HYPERLINK(CONCATENATE("#metadata!", ADDRESS(INDEX($AH$2:$AH$1001,MATCH(ROWS($AF$2:AF471),$AF$2:$AF$1001,0),0), INDEX($AM$1004:$BM$1004,1,MATCH(COLUMNS($AM$1006:AY1006),$AM$1006:$BM$1006,0)))),"Fix")))</f>
        <v xml:space="preserve"> </v>
      </c>
      <c r="O471" s="4" t="str">
        <f ca="1">IF(OR(INDEX($AG$2:$AG$1001,MATCH(ROWS($AF$2:AF471),$AF$2:$AF$1001,0),1)&gt;=100000,INDEX($AM$1005:$BM$1005,1,MATCH(COLUMNS($AM$1006:AZ1006),$AM$1006:$BM$1006,0))&gt;=100000), " ",IF(INDEX($AM$2:$BM$1001,MATCH(ROWS($AF$2:AF471),$AF$2:$AF$1001,0),MATCH(COLUMNS($AM$1006:AZ1006),$AM$1006:$BM$1006,0)), HYPERLINK("#",""), HYPERLINK(CONCATENATE("#metadata!", ADDRESS(INDEX($AH$2:$AH$1001,MATCH(ROWS($AF$2:AF471),$AF$2:$AF$1001,0),0), INDEX($AM$1004:$BM$1004,1,MATCH(COLUMNS($AM$1006:AZ1006),$AM$1006:$BM$1006,0)))),"Fix")))</f>
        <v xml:space="preserve"> </v>
      </c>
      <c r="P471" s="4" t="str">
        <f ca="1">IF(OR(INDEX($AG$2:$AG$1001,MATCH(ROWS($AF$2:AF471),$AF$2:$AF$1001,0),1)&gt;=100000,INDEX($AM$1005:$BM$1005,1,MATCH(COLUMNS($AM$1006:BA1006),$AM$1006:$BM$1006,0))&gt;=100000), " ",IF(INDEX($AM$2:$BM$1001,MATCH(ROWS($AF$2:AF471),$AF$2:$AF$1001,0),MATCH(COLUMNS($AM$1006:BA1006),$AM$1006:$BM$1006,0)), HYPERLINK("#",""), HYPERLINK(CONCATENATE("#metadata!", ADDRESS(INDEX($AH$2:$AH$1001,MATCH(ROWS($AF$2:AF471),$AF$2:$AF$1001,0),0), INDEX($AM$1004:$BM$1004,1,MATCH(COLUMNS($AM$1006:BA1006),$AM$1006:$BM$1006,0)))),"Fix")))</f>
        <v xml:space="preserve"> </v>
      </c>
      <c r="Q471" s="4" t="str">
        <f ca="1">IF(OR(INDEX($AG$2:$AG$1001,MATCH(ROWS($AF$2:AF471),$AF$2:$AF$1001,0),1)&gt;=100000,INDEX($AM$1005:$BM$1005,1,MATCH(COLUMNS($AM$1006:BB1006),$AM$1006:$BM$1006,0))&gt;=100000), " ",IF(INDEX($AM$2:$BM$1001,MATCH(ROWS($AF$2:AF471),$AF$2:$AF$1001,0),MATCH(COLUMNS($AM$1006:BB1006),$AM$1006:$BM$1006,0)), HYPERLINK("#",""), HYPERLINK(CONCATENATE("#metadata!", ADDRESS(INDEX($AH$2:$AH$1001,MATCH(ROWS($AF$2:AF471),$AF$2:$AF$1001,0),0), INDEX($AM$1004:$BM$1004,1,MATCH(COLUMNS($AM$1006:BB1006),$AM$1006:$BM$1006,0)))),"Fix")))</f>
        <v xml:space="preserve"> </v>
      </c>
      <c r="R471" s="4" t="str">
        <f ca="1">IF(OR(INDEX($AG$2:$AG$1001,MATCH(ROWS($AF$2:AF471),$AF$2:$AF$1001,0),1)&gt;=100000,INDEX($AM$1005:$BM$1005,1,MATCH(COLUMNS($AM$1006:BC1006),$AM$1006:$BM$1006,0))&gt;=100000), " ",IF(INDEX($AM$2:$BM$1001,MATCH(ROWS($AF$2:AF471),$AF$2:$AF$1001,0),MATCH(COLUMNS($AM$1006:BC1006),$AM$1006:$BM$1006,0)), HYPERLINK("#",""), HYPERLINK(CONCATENATE("#metadata!", ADDRESS(INDEX($AH$2:$AH$1001,MATCH(ROWS($AF$2:AF471),$AF$2:$AF$1001,0),0), INDEX($AM$1004:$BM$1004,1,MATCH(COLUMNS($AM$1006:BC1006),$AM$1006:$BM$1006,0)))),"Fix")))</f>
        <v xml:space="preserve"> </v>
      </c>
      <c r="S471" s="4" t="str">
        <f ca="1">IF(OR(INDEX($AG$2:$AG$1001,MATCH(ROWS($AF$2:AF471),$AF$2:$AF$1001,0),1)&gt;=100000,INDEX($AM$1005:$BM$1005,1,MATCH(COLUMNS($AM$1006:BD1006),$AM$1006:$BM$1006,0))&gt;=100000), " ",IF(INDEX($AM$2:$BM$1001,MATCH(ROWS($AF$2:AF471),$AF$2:$AF$1001,0),MATCH(COLUMNS($AM$1006:BD1006),$AM$1006:$BM$1006,0)), HYPERLINK("#",""), HYPERLINK(CONCATENATE("#metadata!", ADDRESS(INDEX($AH$2:$AH$1001,MATCH(ROWS($AF$2:AF471),$AF$2:$AF$1001,0),0), INDEX($AM$1004:$BM$1004,1,MATCH(COLUMNS($AM$1006:BD1006),$AM$1006:$BM$1006,0)))),"Fix")))</f>
        <v xml:space="preserve"> </v>
      </c>
      <c r="T471" s="4" t="str">
        <f ca="1">IF(OR(INDEX($AG$2:$AG$1001,MATCH(ROWS($AF$2:AF471),$AF$2:$AF$1001,0),1)&gt;=100000,INDEX($AM$1005:$BM$1005,1,MATCH(COLUMNS($AM$1006:BE1006),$AM$1006:$BM$1006,0))&gt;=100000), " ",IF(INDEX($AM$2:$BM$1001,MATCH(ROWS($AF$2:AF471),$AF$2:$AF$1001,0),MATCH(COLUMNS($AM$1006:BE1006),$AM$1006:$BM$1006,0)), HYPERLINK("#",""), HYPERLINK(CONCATENATE("#metadata!", ADDRESS(INDEX($AH$2:$AH$1001,MATCH(ROWS($AF$2:AF471),$AF$2:$AF$1001,0),0), INDEX($AM$1004:$BM$1004,1,MATCH(COLUMNS($AM$1006:BE1006),$AM$1006:$BM$1006,0)))),"Fix")))</f>
        <v xml:space="preserve"> </v>
      </c>
      <c r="U471" s="4" t="str">
        <f ca="1">IF(OR(INDEX($AG$2:$AG$1001,MATCH(ROWS($AF$2:AF471),$AF$2:$AF$1001,0),1)&gt;=100000,INDEX($AM$1005:$BM$1005,1,MATCH(COLUMNS($AM$1006:BF1006),$AM$1006:$BM$1006,0))&gt;=100000), " ",IF(INDEX($AM$2:$BM$1001,MATCH(ROWS($AF$2:AF471),$AF$2:$AF$1001,0),MATCH(COLUMNS($AM$1006:BF1006),$AM$1006:$BM$1006,0)), HYPERLINK("#",""), HYPERLINK(CONCATENATE("#metadata!", ADDRESS(INDEX($AH$2:$AH$1001,MATCH(ROWS($AF$2:AF471),$AF$2:$AF$1001,0),0), INDEX($AM$1004:$BM$1004,1,MATCH(COLUMNS($AM$1006:BF1006),$AM$1006:$BM$1006,0)))),"Fix")))</f>
        <v xml:space="preserve"> </v>
      </c>
      <c r="V471" s="4" t="str">
        <f ca="1">IF(OR(INDEX($AG$2:$AG$1001,MATCH(ROWS($AF$2:AF471),$AF$2:$AF$1001,0),1)&gt;=100000,INDEX($AM$1005:$BM$1005,1,MATCH(COLUMNS($AM$1006:BG1006),$AM$1006:$BM$1006,0))&gt;=100000), " ",IF(INDEX($AM$2:$BM$1001,MATCH(ROWS($AF$2:AF471),$AF$2:$AF$1001,0),MATCH(COLUMNS($AM$1006:BG1006),$AM$1006:$BM$1006,0)), HYPERLINK("#",""), HYPERLINK(CONCATENATE("#metadata!", ADDRESS(INDEX($AH$2:$AH$1001,MATCH(ROWS($AF$2:AF471),$AF$2:$AF$1001,0),0), INDEX($AM$1004:$BM$1004,1,MATCH(COLUMNS($AM$1006:BG1006),$AM$1006:$BM$1006,0)))),"Fix")))</f>
        <v xml:space="preserve"> </v>
      </c>
      <c r="W471" s="4" t="str">
        <f ca="1">IF(OR(INDEX($AG$2:$AG$1001,MATCH(ROWS($AF$2:AF471),$AF$2:$AF$1001,0),1)&gt;=100000,INDEX($AM$1005:$BM$1005,1,MATCH(COLUMNS($AM$1006:BH1006),$AM$1006:$BM$1006,0))&gt;=100000), " ",IF(INDEX($AM$2:$BM$1001,MATCH(ROWS($AF$2:AF471),$AF$2:$AF$1001,0),MATCH(COLUMNS($AM$1006:BH1006),$AM$1006:$BM$1006,0)), HYPERLINK("#",""), HYPERLINK(CONCATENATE("#metadata!", ADDRESS(INDEX($AH$2:$AH$1001,MATCH(ROWS($AF$2:AF471),$AF$2:$AF$1001,0),0), INDEX($AM$1004:$BM$1004,1,MATCH(COLUMNS($AM$1006:BH1006),$AM$1006:$BM$1006,0)))),"Fix")))</f>
        <v xml:space="preserve"> </v>
      </c>
      <c r="X471" s="4" t="str">
        <f ca="1">IF(OR(INDEX($AG$2:$AG$1001,MATCH(ROWS($AF$2:AF471),$AF$2:$AF$1001,0),1)&gt;=100000,INDEX($AM$1005:$BM$1005,1,MATCH(COLUMNS($AM$1006:BI1006),$AM$1006:$BM$1006,0))&gt;=100000), " ",IF(INDEX($AM$2:$BM$1001,MATCH(ROWS($AF$2:AF471),$AF$2:$AF$1001,0),MATCH(COLUMNS($AM$1006:BI1006),$AM$1006:$BM$1006,0)), HYPERLINK("#",""), HYPERLINK(CONCATENATE("#metadata!", ADDRESS(INDEX($AH$2:$AH$1001,MATCH(ROWS($AF$2:AF471),$AF$2:$AF$1001,0),0), INDEX($AM$1004:$BM$1004,1,MATCH(COLUMNS($AM$1006:BI1006),$AM$1006:$BM$1006,0)))),"Fix")))</f>
        <v xml:space="preserve"> </v>
      </c>
      <c r="Y471" s="4" t="str">
        <f ca="1">IF(OR(INDEX($AG$2:$AG$1001,MATCH(ROWS($AF$2:AF471),$AF$2:$AF$1001,0),1)&gt;=100000,INDEX($AM$1005:$BM$1005,1,MATCH(COLUMNS($AM$1006:BJ1006),$AM$1006:$BM$1006,0))&gt;=100000), " ",IF(INDEX($AM$2:$BM$1001,MATCH(ROWS($AF$2:AF471),$AF$2:$AF$1001,0),MATCH(COLUMNS($AM$1006:BJ1006),$AM$1006:$BM$1006,0)), HYPERLINK("#",""), HYPERLINK(CONCATENATE("#metadata!", ADDRESS(INDEX($AH$2:$AH$1001,MATCH(ROWS($AF$2:AF471),$AF$2:$AF$1001,0),0), INDEX($AM$1004:$BM$1004,1,MATCH(COLUMNS($AM$1006:BJ1006),$AM$1006:$BM$1006,0)))),"Fix")))</f>
        <v xml:space="preserve"> </v>
      </c>
      <c r="Z471" s="4" t="str">
        <f ca="1">IF(OR(INDEX($AG$2:$AG$1001,MATCH(ROWS($AF$2:AF471),$AF$2:$AF$1001,0),1)&gt;=100000,INDEX($AM$1005:$BM$1005,1,MATCH(COLUMNS($AM$1006:BK1006),$AM$1006:$BM$1006,0))&gt;=100000), " ",IF(INDEX($AM$2:$BM$1001,MATCH(ROWS($AF$2:AF471),$AF$2:$AF$1001,0),MATCH(COLUMNS($AM$1006:BK1006),$AM$1006:$BM$1006,0)), HYPERLINK("#",""), HYPERLINK(CONCATENATE("#metadata!", ADDRESS(INDEX($AH$2:$AH$1001,MATCH(ROWS($AF$2:AF471),$AF$2:$AF$1001,0),0), INDEX($AM$1004:$BM$1004,1,MATCH(COLUMNS($AM$1006:BK1006),$AM$1006:$BM$1006,0)))),"Fix")))</f>
        <v xml:space="preserve"> </v>
      </c>
      <c r="AA471" s="4" t="str">
        <f ca="1">IF(OR(INDEX($AG$2:$AG$1001,MATCH(ROWS($AF$2:AF471),$AF$2:$AF$1001,0),1)&gt;=100000,INDEX($AM$1005:$BM$1005,1,MATCH(COLUMNS($AM$1006:BL1006),$AM$1006:$BM$1006,0))&gt;=100000), " ",IF(INDEX($AM$2:$BM$1001,MATCH(ROWS($AF$2:AF471),$AF$2:$AF$1001,0),MATCH(COLUMNS($AM$1006:BL1006),$AM$1006:$BM$1006,0)), HYPERLINK("#",""), HYPERLINK(CONCATENATE("#metadata!", ADDRESS(INDEX($AH$2:$AH$1001,MATCH(ROWS($AF$2:AF471),$AF$2:$AF$1001,0),0), INDEX($AM$1004:$BM$1004,1,MATCH(COLUMNS($AM$1006:BL1006),$AM$1006:$BM$1006,0)))),"Fix")))</f>
        <v xml:space="preserve"> </v>
      </c>
      <c r="AB471" s="4" t="str">
        <f ca="1">IF(OR(INDEX($AG$2:$AG$1001,MATCH(ROWS($AF$2:AF471),$AF$2:$AF$1001,0),1)&gt;=100000,INDEX($AM$1005:$BM$1005,1,MATCH(COLUMNS($AM$1006:BM1006),$AM$1006:$BM$1006,0))&gt;=100000), " ",IF(INDEX($AM$2:$BM$1001,MATCH(ROWS($AF$2:AF471),$AF$2:$AF$1001,0),MATCH(COLUMNS($AM$1006:BM1006),$AM$1006:$BM$1006,0)), HYPERLINK("#",""), HYPERLINK(CONCATENATE("#metadata!", ADDRESS(INDEX($AH$2:$AH$1001,MATCH(ROWS($AF$2:AF471),$AF$2:$AF$1001,0),0), INDEX($AM$1004:$BM$1004,1,MATCH(COLUMNS($AM$1006:BM1006),$AM$1006:$BM$1006,0)))),"Fix")))</f>
        <v xml:space="preserve"> </v>
      </c>
      <c r="AF471">
        <v>470</v>
      </c>
      <c r="AG471">
        <v>100471</v>
      </c>
      <c r="AH471">
        <v>471</v>
      </c>
      <c r="AI471" t="b">
        <f t="shared" si="7"/>
        <v>1</v>
      </c>
      <c r="AJ471" t="b">
        <f>COUNTBLANK(metadata!B471:AB471)=COLUMNS(metadata!B471:AB471)</f>
        <v>1</v>
      </c>
      <c r="AK471" t="str">
        <v/>
      </c>
      <c r="AM471" t="b">
        <f ca="1">AND(IF(metadata!B471="",FALSE,TRUE),COUNTIF(metadata!B:B, metadata!B471) = 1,NOT(ISERROR(SUMPRODUCT(SEARCH(MID(metadata!B471,ROW(INDIRECT("1:"&amp;LEN(metadata!B471))), 1),"0123456789abcdefghijklmnopqrstuvwxyzABCDEFGHIJKLMNOPQRSTUVWXYZ.")))))</f>
        <v>0</v>
      </c>
      <c r="AN471" t="b">
        <f ca="1">OR(AND(IF(metadata!C471="",FALSE,TRUE),OR(EXACT(metadata!C471,"missing: not collected"),EXACT(metadata!C471,"missing: not provided"),EXACT(metadata!C471,"missing: restricted access"))),AND(IF(metadata!C471="",FALSE,TRUE),AND(AND(IFERROR(INT(LEFT(metadata!C471,4))&gt;1900,FALSE),IFERROR(INT(LEFT(metadata!C471,4))&lt;=YEAR(NOW()),FALSE)), OR(MID(metadata!C471,5,1)="", AND(AND(MID(metadata!C471,5,1)="-",IFERROR(INT(MID(metadata!C471,6,1))&gt;=0,FALSE),IFERROR(INT(MID(metadata!C471,6,1))&lt;=1,FALSE),NOT(MID(metadata!C471,7,1)=""),IFERROR(INT(MID(metadata!C471,6,2))&gt;=1,FALSE),IFERROR(INT(MID(metadata!C471,6,2))&lt;=12,FALSE)), OR(MID(metadata!C471,8,1)="", AND(AND(MID(metadata!C471,8,1)="-",IFERROR(INT(MID(metadata!C471,9,1))&gt;=0,FALSE),IFERROR(INT(MID(metadata!C471,9,1))&lt;=3,FALSE),NOT(MID(metadata!C471,10,1)=""),IFERROR(INT(MID(metadata!C471,9,2))&gt;=1,FALSE),IFERROR(INT(MID(metadata!C471,9,2))&lt;=31,FALSE)), OR(MID(metadata!C471,11,1)="", AND(AND(MID(metadata!C471,11,1)=" ",IFERROR(INT(MID(metadata!C471,12,1))&gt;=0,FALSE),IFERROR(INT(MID(metadata!C471,12,1))&lt;=2,FALSE),NOT(MID(metadata!C471,13,1)=""),IFERROR(INT(MID(metadata!C471,12,2))&gt;=0,FALSE),IFERROR(INT(MID(metadata!C471,12,2))&lt;=23,FALSE)), OR(MID(metadata!C471,14,1)="", AND(AND(MID(metadata!C471,14,1)=":",IFERROR(INT(MID(metadata!C471,15,1))&gt;=0,FALSE),IFERROR(INT(MID(metadata!C471,15,1))&lt;=5,FALSE),NOT(MID(metadata!C471,16,1)=""),IFERROR(INT(MID(metadata!C471,15,2))&gt;=0,FALSE),IFERROR(INT(MID(metadata!C471,15,2))&lt;=59,FALSE)), OR(MID(metadata!C471,17,1)="", AND(AND(MID(metadata!C471,17,1)=":",IFERROR(INT(MID(metadata!C471,18,1))&gt;=0,FALSE),IFERROR(INT(MID(metadata!C471,18,1))&lt;=5,FALSE),NOT(MID(metadata!C471,19,1)=""),IFERROR(INT(MID(metadata!C471,18,2))&gt;=0,FALSE),IFERROR(INT(MID(metadata!C471,18,2))&lt;=59,FALSE)), LEN(metadata!C471)&lt;=19)))))))))))))</f>
        <v>0</v>
      </c>
      <c r="AO471" t="b">
        <f>AND(IF(metadata!D471="",FALSE,TRUE),EXACT(metadata!D471,"Not applicable"))</f>
        <v>0</v>
      </c>
      <c r="AP471" t="b">
        <f>IF(metadata!E471="",FALSE,TRUE)</f>
        <v>0</v>
      </c>
      <c r="AQ471" t="b">
        <f>OR(AND(IF(metadata!F471="",FALSE,TRUE),OR(EXACT(metadata!F471,"missing: not collected"),EXACT(metadata!F471,"missing: not provided"))),AND(IF(metadata!F471="",FALSE,TRUE),OR(EXACT(metadata!F471,"TRUE"),EXACT(metadata!F471,"FALSE"))))</f>
        <v>0</v>
      </c>
      <c r="AR471" t="b">
        <f>OR(AND(IF(metadata!G471="",FALSE,TRUE),OR(EXACT(metadata!G471,"missing: not collected"),EXACT(metadata!G471,"missing: not provided"),EXACT(metadata!G471,"missing: restricted access"))),AND(IF(metadata!G471="",FALSE,ISNUMBER(VALUE(metadata!G471))),metadata!G471&gt;=-413))</f>
        <v>0</v>
      </c>
      <c r="AS471" t="b">
        <f>AND(IF(metadata!H471="",FALSE,TRUE),EXACT(metadata!H471,"meters"))</f>
        <v>0</v>
      </c>
      <c r="AT471" t="b">
        <f>AND(IF(metadata!I471="",FALSE,TRUE),OR(EXACT(metadata!I471,"Host-associated"),EXACT(metadata!I471,"Free-living")))</f>
        <v>0</v>
      </c>
      <c r="AU471" t="b">
        <f>AND(IF(metadata!J471="",FALSE,TRUE),OR(EXACT(metadata!J471,"Animal"),EXACT(metadata!J471,"Fungus"),EXACT(metadata!J471,"Plant"),EXACT(metadata!J471,"Saline"),EXACT(metadata!J471,"Non-saline")))</f>
        <v>0</v>
      </c>
      <c r="AV471" t="b">
        <f>AND(IF(metadata!K471="",FALSE,TRUE),OR(EXACT(metadata!K471,"Plant secretion"),EXACT(metadata!K471,"Plant rhizosphere"),EXACT(metadata!K471,"Plant surface"),EXACT(metadata!K471,"Plant corpus"),EXACT(metadata!K471,"Fungus surface"),EXACT(metadata!K471,"Fungus corpus"),EXACT(metadata!K471,"Animal surface"),EXACT(metadata!K471,"Animal proximal gut"),EXACT(metadata!K471,"Animal corpus"),EXACT(metadata!K471,"Animal distal gut"),EXACT(metadata!K471,"Animal secretion"),EXACT(metadata!K471,"Sub-surface (non-saline)"),EXACT(metadata!K471,"Surface (non-saline)"),EXACT(metadata!K471,"Water (non-saline)"),EXACT(metadata!K471,"Soil (non-saline)"),EXACT(metadata!K471,"Aerosol (non-saline)"),EXACT(metadata!K471,"Sediment (non-saline)"),EXACT(metadata!K471,"Surface (saline)"),EXACT(metadata!K471,"Water (saline)"),EXACT(metadata!K471,"Hypersaline (saline)"),EXACT(metadata!K471,"Aerosol (saline)"),EXACT(metadata!K471,"Sediment (saline)")))</f>
        <v>0</v>
      </c>
      <c r="AW471" t="b">
        <f>IF(metadata!L471="",FALSE,TRUE)</f>
        <v>0</v>
      </c>
      <c r="AX471" t="b">
        <f>IF(metadata!M471="",FALSE,TRUE)</f>
        <v>0</v>
      </c>
      <c r="AY471" t="b">
        <f>IF(metadata!N471="",FALSE,TRUE)</f>
        <v>0</v>
      </c>
      <c r="AZ471" t="b">
        <f>OR(AND(IF(metadata!O471="",FALSE,TRUE),OR(EXACT(metadata!O471,"missing: not collected"),EXACT(metadata!O471,"missing: not provided"),EXACT(metadata!O471,"missing: restricted access"))),AND(IF(metadata!O471="",FALSE,TRUE),OR(EXACT(metadata!O471,"air"),EXACT(metadata!O471,"built environment"),EXACT(metadata!O471,"host-associated"),EXACT(metadata!O471,"human-associated"),EXACT(metadata!O471,"human-skin"),EXACT(metadata!O471,"human-oral"),EXACT(metadata!O471,"human-gut"),EXACT(metadata!O471,"human-vaginal"),EXACT(metadata!O471,"microbial mat/biofilm"),EXACT(metadata!O471,"misc environment"),EXACT(metadata!O471,"plant-associated"),EXACT(metadata!O471,"sediment"),EXACT(metadata!O471,"soil"),EXACT(metadata!O471,"wastewater/sludge"),EXACT(metadata!O471,"water"))))</f>
        <v>0</v>
      </c>
      <c r="BA471" t="b">
        <f>IF(metadata!P471="",FALSE,TRUE)</f>
        <v>0</v>
      </c>
      <c r="BB471" t="b">
        <f>IF(metadata!Q471="",FALSE,TRUE)</f>
        <v>0</v>
      </c>
      <c r="BC471" t="b">
        <f>OR(AND(IF(metadata!R471="",FALSE,TRUE),OR(EXACT(metadata!R471,"missing: not collected"),EXACT(metadata!R471,"missing: not provided"),EXACT(metadata!R471,"missing: restricted access"))),AND(IF(metadata!R471="",FALSE,ISNUMBER(VALUE(metadata!R471))),metadata!R471&gt;=-90,metadata!R471&lt;=90))</f>
        <v>0</v>
      </c>
      <c r="BD471" t="b">
        <f>AND(IF(metadata!S471="",FALSE,TRUE),EXACT(metadata!S471,"Decimal degrees"))</f>
        <v>0</v>
      </c>
      <c r="BE471" t="b">
        <f>OR(AND(IF(metadata!T471="",FALSE,TRUE),OR(EXACT(metadata!T471,"missing: not collected"),EXACT(metadata!T471,"missing: not provided"),EXACT(metadata!T471,"missing: restricted access"))),AND(IF(metadata!T471="",FALSE,ISNUMBER(VALUE(metadata!T471))),metadata!T471&gt;=-180,metadata!T471&lt;=180))</f>
        <v>0</v>
      </c>
      <c r="BF471" t="b">
        <f>AND(IF(metadata!U471="",FALSE,TRUE),EXACT(metadata!U471,"Decimal degrees"))</f>
        <v>0</v>
      </c>
      <c r="BG471" t="b">
        <f>IF(metadata!V471="",FALSE,TRUE)</f>
        <v>0</v>
      </c>
      <c r="BH471" t="b">
        <f>OR(AND(IF(metadata!W471="",FALSE,TRUE),OR(EXACT(metadata!W471,"missing: not collected"),EXACT(metadata!W471,"missing: not provided"),EXACT(metadata!W471,"missing: restricted access"))),AND(IF(metadata!W471="",FALSE,TRUE),OR(EXACT(metadata!W471,"TRUE"),EXACT(metadata!W471,"FALSE"))))</f>
        <v>0</v>
      </c>
      <c r="BI471" t="b">
        <f>AND(IF(metadata!X471="",FALSE,TRUE),EXACT(metadata!X471,"other"))</f>
        <v>0</v>
      </c>
      <c r="BJ471" t="b">
        <f>IF(metadata!Y471="",FALSE,TRUE)</f>
        <v>0</v>
      </c>
      <c r="BK471" t="b">
        <f>OR(AND(IF(metadata!Z471="",FALSE,TRUE),OR(EXACT(metadata!Z471,"missing: not collected"),EXACT(metadata!Z471,"missing: not provided"))),AND(IF(metadata!Z471="",FALSE,IF(ISERROR(INT(metadata!Z471)),FALSE,INT(metadata!Z471)=metadata!Z471)),metadata!Z471&gt;0))</f>
        <v>0</v>
      </c>
      <c r="BL471" t="b">
        <f>AND(IF(metadata!AA471="",FALSE,TRUE),EXACT(metadata!AA471,"Not applicable"))</f>
        <v>0</v>
      </c>
      <c r="BM471" t="b">
        <f>IF(metadata!AB471="",FALSE,TRUE)</f>
        <v>0</v>
      </c>
    </row>
    <row r="472" spans="1:65" x14ac:dyDescent="0.2">
      <c r="A472" s="5" t="str">
        <f ca="1">IF(B472=" "," ",HYPERLINK(CONCATENATE("#metadata!",ADDRESS(INDEX($AH$2:$AH$1001,MATCH(ROWS($AF$2:AF472),$AF$2:$AF$1001,0),0),1)),INDEX($AK$2:$AK$1001,MATCH(ROWS($AF$2:AF472),$AF$2:$AF$1001,0),0)))</f>
        <v xml:space="preserve"> </v>
      </c>
      <c r="B472" s="4" t="str">
        <f ca="1">IF(OR(INDEX($AG$2:$AG$1001,MATCH(ROWS($AF$2:AF472),$AF$2:$AF$1001,0),1)&gt;=100000,INDEX($AM$1005:$BM$1005,1,MATCH(COLUMNS($AM$1006:AM1006),$AM$1006:$BM$1006,0))&gt;=100000), " ",IF(INDEX($AM$2:$BM$1001,MATCH(ROWS($AF$2:AF472),$AF$2:$AF$1001,0),MATCH(COLUMNS($AM$1006:AM1006),$AM$1006:$BM$1006,0)), HYPERLINK("#",""), HYPERLINK(CONCATENATE("#metadata!", ADDRESS(INDEX($AH$2:$AH$1001,MATCH(ROWS($AF$2:AF472),$AF$2:$AF$1001,0),0), INDEX($AM$1004:$BM$1004,1,MATCH(COLUMNS($AM$1006:AM1006),$AM$1006:$BM$1006,0)))),"Fix")))</f>
        <v xml:space="preserve"> </v>
      </c>
      <c r="C472" s="4" t="str">
        <f ca="1">IF(OR(INDEX($AG$2:$AG$1001,MATCH(ROWS($AF$2:AF472),$AF$2:$AF$1001,0),1)&gt;=100000,INDEX($AM$1005:$BM$1005,1,MATCH(COLUMNS($AM$1006:AN1006),$AM$1006:$BM$1006,0))&gt;=100000), " ",IF(INDEX($AM$2:$BM$1001,MATCH(ROWS($AF$2:AF472),$AF$2:$AF$1001,0),MATCH(COLUMNS($AM$1006:AN1006),$AM$1006:$BM$1006,0)), HYPERLINK("#",""), HYPERLINK(CONCATENATE("#metadata!", ADDRESS(INDEX($AH$2:$AH$1001,MATCH(ROWS($AF$2:AF472),$AF$2:$AF$1001,0),0), INDEX($AM$1004:$BM$1004,1,MATCH(COLUMNS($AM$1006:AN1006),$AM$1006:$BM$1006,0)))),"Fix")))</f>
        <v xml:space="preserve"> </v>
      </c>
      <c r="D472" s="4" t="str">
        <f ca="1">IF(OR(INDEX($AG$2:$AG$1001,MATCH(ROWS($AF$2:AF472),$AF$2:$AF$1001,0),1)&gt;=100000,INDEX($AM$1005:$BM$1005,1,MATCH(COLUMNS($AM$1006:AO1006),$AM$1006:$BM$1006,0))&gt;=100000), " ",IF(INDEX($AM$2:$BM$1001,MATCH(ROWS($AF$2:AF472),$AF$2:$AF$1001,0),MATCH(COLUMNS($AM$1006:AO1006),$AM$1006:$BM$1006,0)), HYPERLINK("#",""), HYPERLINK(CONCATENATE("#metadata!", ADDRESS(INDEX($AH$2:$AH$1001,MATCH(ROWS($AF$2:AF472),$AF$2:$AF$1001,0),0), INDEX($AM$1004:$BM$1004,1,MATCH(COLUMNS($AM$1006:AO1006),$AM$1006:$BM$1006,0)))),"Fix")))</f>
        <v xml:space="preserve"> </v>
      </c>
      <c r="E472" s="4" t="str">
        <f ca="1">IF(OR(INDEX($AG$2:$AG$1001,MATCH(ROWS($AF$2:AF472),$AF$2:$AF$1001,0),1)&gt;=100000,INDEX($AM$1005:$BM$1005,1,MATCH(COLUMNS($AM$1006:AP1006),$AM$1006:$BM$1006,0))&gt;=100000), " ",IF(INDEX($AM$2:$BM$1001,MATCH(ROWS($AF$2:AF472),$AF$2:$AF$1001,0),MATCH(COLUMNS($AM$1006:AP1006),$AM$1006:$BM$1006,0)), HYPERLINK("#",""), HYPERLINK(CONCATENATE("#metadata!", ADDRESS(INDEX($AH$2:$AH$1001,MATCH(ROWS($AF$2:AF472),$AF$2:$AF$1001,0),0), INDEX($AM$1004:$BM$1004,1,MATCH(COLUMNS($AM$1006:AP1006),$AM$1006:$BM$1006,0)))),"Fix")))</f>
        <v xml:space="preserve"> </v>
      </c>
      <c r="F472" s="4" t="str">
        <f ca="1">IF(OR(INDEX($AG$2:$AG$1001,MATCH(ROWS($AF$2:AF472),$AF$2:$AF$1001,0),1)&gt;=100000,INDEX($AM$1005:$BM$1005,1,MATCH(COLUMNS($AM$1006:AQ1006),$AM$1006:$BM$1006,0))&gt;=100000), " ",IF(INDEX($AM$2:$BM$1001,MATCH(ROWS($AF$2:AF472),$AF$2:$AF$1001,0),MATCH(COLUMNS($AM$1006:AQ1006),$AM$1006:$BM$1006,0)), HYPERLINK("#",""), HYPERLINK(CONCATENATE("#metadata!", ADDRESS(INDEX($AH$2:$AH$1001,MATCH(ROWS($AF$2:AF472),$AF$2:$AF$1001,0),0), INDEX($AM$1004:$BM$1004,1,MATCH(COLUMNS($AM$1006:AQ1006),$AM$1006:$BM$1006,0)))),"Fix")))</f>
        <v xml:space="preserve"> </v>
      </c>
      <c r="G472" s="4" t="str">
        <f ca="1">IF(OR(INDEX($AG$2:$AG$1001,MATCH(ROWS($AF$2:AF472),$AF$2:$AF$1001,0),1)&gt;=100000,INDEX($AM$1005:$BM$1005,1,MATCH(COLUMNS($AM$1006:AR1006),$AM$1006:$BM$1006,0))&gt;=100000), " ",IF(INDEX($AM$2:$BM$1001,MATCH(ROWS($AF$2:AF472),$AF$2:$AF$1001,0),MATCH(COLUMNS($AM$1006:AR1006),$AM$1006:$BM$1006,0)), HYPERLINK("#",""), HYPERLINK(CONCATENATE("#metadata!", ADDRESS(INDEX($AH$2:$AH$1001,MATCH(ROWS($AF$2:AF472),$AF$2:$AF$1001,0),0), INDEX($AM$1004:$BM$1004,1,MATCH(COLUMNS($AM$1006:AR1006),$AM$1006:$BM$1006,0)))),"Fix")))</f>
        <v xml:space="preserve"> </v>
      </c>
      <c r="H472" s="4" t="str">
        <f ca="1">IF(OR(INDEX($AG$2:$AG$1001,MATCH(ROWS($AF$2:AF472),$AF$2:$AF$1001,0),1)&gt;=100000,INDEX($AM$1005:$BM$1005,1,MATCH(COLUMNS($AM$1006:AS1006),$AM$1006:$BM$1006,0))&gt;=100000), " ",IF(INDEX($AM$2:$BM$1001,MATCH(ROWS($AF$2:AF472),$AF$2:$AF$1001,0),MATCH(COLUMNS($AM$1006:AS1006),$AM$1006:$BM$1006,0)), HYPERLINK("#",""), HYPERLINK(CONCATENATE("#metadata!", ADDRESS(INDEX($AH$2:$AH$1001,MATCH(ROWS($AF$2:AF472),$AF$2:$AF$1001,0),0), INDEX($AM$1004:$BM$1004,1,MATCH(COLUMNS($AM$1006:AS1006),$AM$1006:$BM$1006,0)))),"Fix")))</f>
        <v xml:space="preserve"> </v>
      </c>
      <c r="I472" s="4" t="str">
        <f ca="1">IF(OR(INDEX($AG$2:$AG$1001,MATCH(ROWS($AF$2:AF472),$AF$2:$AF$1001,0),1)&gt;=100000,INDEX($AM$1005:$BM$1005,1,MATCH(COLUMNS($AM$1006:AT1006),$AM$1006:$BM$1006,0))&gt;=100000), " ",IF(INDEX($AM$2:$BM$1001,MATCH(ROWS($AF$2:AF472),$AF$2:$AF$1001,0),MATCH(COLUMNS($AM$1006:AT1006),$AM$1006:$BM$1006,0)), HYPERLINK("#",""), HYPERLINK(CONCATENATE("#metadata!", ADDRESS(INDEX($AH$2:$AH$1001,MATCH(ROWS($AF$2:AF472),$AF$2:$AF$1001,0),0), INDEX($AM$1004:$BM$1004,1,MATCH(COLUMNS($AM$1006:AT1006),$AM$1006:$BM$1006,0)))),"Fix")))</f>
        <v xml:space="preserve"> </v>
      </c>
      <c r="J472" s="4" t="str">
        <f ca="1">IF(OR(INDEX($AG$2:$AG$1001,MATCH(ROWS($AF$2:AF472),$AF$2:$AF$1001,0),1)&gt;=100000,INDEX($AM$1005:$BM$1005,1,MATCH(COLUMNS($AM$1006:AU1006),$AM$1006:$BM$1006,0))&gt;=100000), " ",IF(INDEX($AM$2:$BM$1001,MATCH(ROWS($AF$2:AF472),$AF$2:$AF$1001,0),MATCH(COLUMNS($AM$1006:AU1006),$AM$1006:$BM$1006,0)), HYPERLINK("#",""), HYPERLINK(CONCATENATE("#metadata!", ADDRESS(INDEX($AH$2:$AH$1001,MATCH(ROWS($AF$2:AF472),$AF$2:$AF$1001,0),0), INDEX($AM$1004:$BM$1004,1,MATCH(COLUMNS($AM$1006:AU1006),$AM$1006:$BM$1006,0)))),"Fix")))</f>
        <v xml:space="preserve"> </v>
      </c>
      <c r="K472" s="4" t="str">
        <f ca="1">IF(OR(INDEX($AG$2:$AG$1001,MATCH(ROWS($AF$2:AF472),$AF$2:$AF$1001,0),1)&gt;=100000,INDEX($AM$1005:$BM$1005,1,MATCH(COLUMNS($AM$1006:AV1006),$AM$1006:$BM$1006,0))&gt;=100000), " ",IF(INDEX($AM$2:$BM$1001,MATCH(ROWS($AF$2:AF472),$AF$2:$AF$1001,0),MATCH(COLUMNS($AM$1006:AV1006),$AM$1006:$BM$1006,0)), HYPERLINK("#",""), HYPERLINK(CONCATENATE("#metadata!", ADDRESS(INDEX($AH$2:$AH$1001,MATCH(ROWS($AF$2:AF472),$AF$2:$AF$1001,0),0), INDEX($AM$1004:$BM$1004,1,MATCH(COLUMNS($AM$1006:AV1006),$AM$1006:$BM$1006,0)))),"Fix")))</f>
        <v xml:space="preserve"> </v>
      </c>
      <c r="L472" s="4" t="str">
        <f ca="1">IF(OR(INDEX($AG$2:$AG$1001,MATCH(ROWS($AF$2:AF472),$AF$2:$AF$1001,0),1)&gt;=100000,INDEX($AM$1005:$BM$1005,1,MATCH(COLUMNS($AM$1006:AW1006),$AM$1006:$BM$1006,0))&gt;=100000), " ",IF(INDEX($AM$2:$BM$1001,MATCH(ROWS($AF$2:AF472),$AF$2:$AF$1001,0),MATCH(COLUMNS($AM$1006:AW1006),$AM$1006:$BM$1006,0)), HYPERLINK("#",""), HYPERLINK(CONCATENATE("#metadata!", ADDRESS(INDEX($AH$2:$AH$1001,MATCH(ROWS($AF$2:AF472),$AF$2:$AF$1001,0),0), INDEX($AM$1004:$BM$1004,1,MATCH(COLUMNS($AM$1006:AW1006),$AM$1006:$BM$1006,0)))),"Fix")))</f>
        <v xml:space="preserve"> </v>
      </c>
      <c r="M472" s="4" t="str">
        <f ca="1">IF(OR(INDEX($AG$2:$AG$1001,MATCH(ROWS($AF$2:AF472),$AF$2:$AF$1001,0),1)&gt;=100000,INDEX($AM$1005:$BM$1005,1,MATCH(COLUMNS($AM$1006:AX1006),$AM$1006:$BM$1006,0))&gt;=100000), " ",IF(INDEX($AM$2:$BM$1001,MATCH(ROWS($AF$2:AF472),$AF$2:$AF$1001,0),MATCH(COLUMNS($AM$1006:AX1006),$AM$1006:$BM$1006,0)), HYPERLINK("#",""), HYPERLINK(CONCATENATE("#metadata!", ADDRESS(INDEX($AH$2:$AH$1001,MATCH(ROWS($AF$2:AF472),$AF$2:$AF$1001,0),0), INDEX($AM$1004:$BM$1004,1,MATCH(COLUMNS($AM$1006:AX1006),$AM$1006:$BM$1006,0)))),"Fix")))</f>
        <v xml:space="preserve"> </v>
      </c>
      <c r="N472" s="4" t="str">
        <f ca="1">IF(OR(INDEX($AG$2:$AG$1001,MATCH(ROWS($AF$2:AF472),$AF$2:$AF$1001,0),1)&gt;=100000,INDEX($AM$1005:$BM$1005,1,MATCH(COLUMNS($AM$1006:AY1006),$AM$1006:$BM$1006,0))&gt;=100000), " ",IF(INDEX($AM$2:$BM$1001,MATCH(ROWS($AF$2:AF472),$AF$2:$AF$1001,0),MATCH(COLUMNS($AM$1006:AY1006),$AM$1006:$BM$1006,0)), HYPERLINK("#",""), HYPERLINK(CONCATENATE("#metadata!", ADDRESS(INDEX($AH$2:$AH$1001,MATCH(ROWS($AF$2:AF472),$AF$2:$AF$1001,0),0), INDEX($AM$1004:$BM$1004,1,MATCH(COLUMNS($AM$1006:AY1006),$AM$1006:$BM$1006,0)))),"Fix")))</f>
        <v xml:space="preserve"> </v>
      </c>
      <c r="O472" s="4" t="str">
        <f ca="1">IF(OR(INDEX($AG$2:$AG$1001,MATCH(ROWS($AF$2:AF472),$AF$2:$AF$1001,0),1)&gt;=100000,INDEX($AM$1005:$BM$1005,1,MATCH(COLUMNS($AM$1006:AZ1006),$AM$1006:$BM$1006,0))&gt;=100000), " ",IF(INDEX($AM$2:$BM$1001,MATCH(ROWS($AF$2:AF472),$AF$2:$AF$1001,0),MATCH(COLUMNS($AM$1006:AZ1006),$AM$1006:$BM$1006,0)), HYPERLINK("#",""), HYPERLINK(CONCATENATE("#metadata!", ADDRESS(INDEX($AH$2:$AH$1001,MATCH(ROWS($AF$2:AF472),$AF$2:$AF$1001,0),0), INDEX($AM$1004:$BM$1004,1,MATCH(COLUMNS($AM$1006:AZ1006),$AM$1006:$BM$1006,0)))),"Fix")))</f>
        <v xml:space="preserve"> </v>
      </c>
      <c r="P472" s="4" t="str">
        <f ca="1">IF(OR(INDEX($AG$2:$AG$1001,MATCH(ROWS($AF$2:AF472),$AF$2:$AF$1001,0),1)&gt;=100000,INDEX($AM$1005:$BM$1005,1,MATCH(COLUMNS($AM$1006:BA1006),$AM$1006:$BM$1006,0))&gt;=100000), " ",IF(INDEX($AM$2:$BM$1001,MATCH(ROWS($AF$2:AF472),$AF$2:$AF$1001,0),MATCH(COLUMNS($AM$1006:BA1006),$AM$1006:$BM$1006,0)), HYPERLINK("#",""), HYPERLINK(CONCATENATE("#metadata!", ADDRESS(INDEX($AH$2:$AH$1001,MATCH(ROWS($AF$2:AF472),$AF$2:$AF$1001,0),0), INDEX($AM$1004:$BM$1004,1,MATCH(COLUMNS($AM$1006:BA1006),$AM$1006:$BM$1006,0)))),"Fix")))</f>
        <v xml:space="preserve"> </v>
      </c>
      <c r="Q472" s="4" t="str">
        <f ca="1">IF(OR(INDEX($AG$2:$AG$1001,MATCH(ROWS($AF$2:AF472),$AF$2:$AF$1001,0),1)&gt;=100000,INDEX($AM$1005:$BM$1005,1,MATCH(COLUMNS($AM$1006:BB1006),$AM$1006:$BM$1006,0))&gt;=100000), " ",IF(INDEX($AM$2:$BM$1001,MATCH(ROWS($AF$2:AF472),$AF$2:$AF$1001,0),MATCH(COLUMNS($AM$1006:BB1006),$AM$1006:$BM$1006,0)), HYPERLINK("#",""), HYPERLINK(CONCATENATE("#metadata!", ADDRESS(INDEX($AH$2:$AH$1001,MATCH(ROWS($AF$2:AF472),$AF$2:$AF$1001,0),0), INDEX($AM$1004:$BM$1004,1,MATCH(COLUMNS($AM$1006:BB1006),$AM$1006:$BM$1006,0)))),"Fix")))</f>
        <v xml:space="preserve"> </v>
      </c>
      <c r="R472" s="4" t="str">
        <f ca="1">IF(OR(INDEX($AG$2:$AG$1001,MATCH(ROWS($AF$2:AF472),$AF$2:$AF$1001,0),1)&gt;=100000,INDEX($AM$1005:$BM$1005,1,MATCH(COLUMNS($AM$1006:BC1006),$AM$1006:$BM$1006,0))&gt;=100000), " ",IF(INDEX($AM$2:$BM$1001,MATCH(ROWS($AF$2:AF472),$AF$2:$AF$1001,0),MATCH(COLUMNS($AM$1006:BC1006),$AM$1006:$BM$1006,0)), HYPERLINK("#",""), HYPERLINK(CONCATENATE("#metadata!", ADDRESS(INDEX($AH$2:$AH$1001,MATCH(ROWS($AF$2:AF472),$AF$2:$AF$1001,0),0), INDEX($AM$1004:$BM$1004,1,MATCH(COLUMNS($AM$1006:BC1006),$AM$1006:$BM$1006,0)))),"Fix")))</f>
        <v xml:space="preserve"> </v>
      </c>
      <c r="S472" s="4" t="str">
        <f ca="1">IF(OR(INDEX($AG$2:$AG$1001,MATCH(ROWS($AF$2:AF472),$AF$2:$AF$1001,0),1)&gt;=100000,INDEX($AM$1005:$BM$1005,1,MATCH(COLUMNS($AM$1006:BD1006),$AM$1006:$BM$1006,0))&gt;=100000), " ",IF(INDEX($AM$2:$BM$1001,MATCH(ROWS($AF$2:AF472),$AF$2:$AF$1001,0),MATCH(COLUMNS($AM$1006:BD1006),$AM$1006:$BM$1006,0)), HYPERLINK("#",""), HYPERLINK(CONCATENATE("#metadata!", ADDRESS(INDEX($AH$2:$AH$1001,MATCH(ROWS($AF$2:AF472),$AF$2:$AF$1001,0),0), INDEX($AM$1004:$BM$1004,1,MATCH(COLUMNS($AM$1006:BD1006),$AM$1006:$BM$1006,0)))),"Fix")))</f>
        <v xml:space="preserve"> </v>
      </c>
      <c r="T472" s="4" t="str">
        <f ca="1">IF(OR(INDEX($AG$2:$AG$1001,MATCH(ROWS($AF$2:AF472),$AF$2:$AF$1001,0),1)&gt;=100000,INDEX($AM$1005:$BM$1005,1,MATCH(COLUMNS($AM$1006:BE1006),$AM$1006:$BM$1006,0))&gt;=100000), " ",IF(INDEX($AM$2:$BM$1001,MATCH(ROWS($AF$2:AF472),$AF$2:$AF$1001,0),MATCH(COLUMNS($AM$1006:BE1006),$AM$1006:$BM$1006,0)), HYPERLINK("#",""), HYPERLINK(CONCATENATE("#metadata!", ADDRESS(INDEX($AH$2:$AH$1001,MATCH(ROWS($AF$2:AF472),$AF$2:$AF$1001,0),0), INDEX($AM$1004:$BM$1004,1,MATCH(COLUMNS($AM$1006:BE1006),$AM$1006:$BM$1006,0)))),"Fix")))</f>
        <v xml:space="preserve"> </v>
      </c>
      <c r="U472" s="4" t="str">
        <f ca="1">IF(OR(INDEX($AG$2:$AG$1001,MATCH(ROWS($AF$2:AF472),$AF$2:$AF$1001,0),1)&gt;=100000,INDEX($AM$1005:$BM$1005,1,MATCH(COLUMNS($AM$1006:BF1006),$AM$1006:$BM$1006,0))&gt;=100000), " ",IF(INDEX($AM$2:$BM$1001,MATCH(ROWS($AF$2:AF472),$AF$2:$AF$1001,0),MATCH(COLUMNS($AM$1006:BF1006),$AM$1006:$BM$1006,0)), HYPERLINK("#",""), HYPERLINK(CONCATENATE("#metadata!", ADDRESS(INDEX($AH$2:$AH$1001,MATCH(ROWS($AF$2:AF472),$AF$2:$AF$1001,0),0), INDEX($AM$1004:$BM$1004,1,MATCH(COLUMNS($AM$1006:BF1006),$AM$1006:$BM$1006,0)))),"Fix")))</f>
        <v xml:space="preserve"> </v>
      </c>
      <c r="V472" s="4" t="str">
        <f ca="1">IF(OR(INDEX($AG$2:$AG$1001,MATCH(ROWS($AF$2:AF472),$AF$2:$AF$1001,0),1)&gt;=100000,INDEX($AM$1005:$BM$1005,1,MATCH(COLUMNS($AM$1006:BG1006),$AM$1006:$BM$1006,0))&gt;=100000), " ",IF(INDEX($AM$2:$BM$1001,MATCH(ROWS($AF$2:AF472),$AF$2:$AF$1001,0),MATCH(COLUMNS($AM$1006:BG1006),$AM$1006:$BM$1006,0)), HYPERLINK("#",""), HYPERLINK(CONCATENATE("#metadata!", ADDRESS(INDEX($AH$2:$AH$1001,MATCH(ROWS($AF$2:AF472),$AF$2:$AF$1001,0),0), INDEX($AM$1004:$BM$1004,1,MATCH(COLUMNS($AM$1006:BG1006),$AM$1006:$BM$1006,0)))),"Fix")))</f>
        <v xml:space="preserve"> </v>
      </c>
      <c r="W472" s="4" t="str">
        <f ca="1">IF(OR(INDEX($AG$2:$AG$1001,MATCH(ROWS($AF$2:AF472),$AF$2:$AF$1001,0),1)&gt;=100000,INDEX($AM$1005:$BM$1005,1,MATCH(COLUMNS($AM$1006:BH1006),$AM$1006:$BM$1006,0))&gt;=100000), " ",IF(INDEX($AM$2:$BM$1001,MATCH(ROWS($AF$2:AF472),$AF$2:$AF$1001,0),MATCH(COLUMNS($AM$1006:BH1006),$AM$1006:$BM$1006,0)), HYPERLINK("#",""), HYPERLINK(CONCATENATE("#metadata!", ADDRESS(INDEX($AH$2:$AH$1001,MATCH(ROWS($AF$2:AF472),$AF$2:$AF$1001,0),0), INDEX($AM$1004:$BM$1004,1,MATCH(COLUMNS($AM$1006:BH1006),$AM$1006:$BM$1006,0)))),"Fix")))</f>
        <v xml:space="preserve"> </v>
      </c>
      <c r="X472" s="4" t="str">
        <f ca="1">IF(OR(INDEX($AG$2:$AG$1001,MATCH(ROWS($AF$2:AF472),$AF$2:$AF$1001,0),1)&gt;=100000,INDEX($AM$1005:$BM$1005,1,MATCH(COLUMNS($AM$1006:BI1006),$AM$1006:$BM$1006,0))&gt;=100000), " ",IF(INDEX($AM$2:$BM$1001,MATCH(ROWS($AF$2:AF472),$AF$2:$AF$1001,0),MATCH(COLUMNS($AM$1006:BI1006),$AM$1006:$BM$1006,0)), HYPERLINK("#",""), HYPERLINK(CONCATENATE("#metadata!", ADDRESS(INDEX($AH$2:$AH$1001,MATCH(ROWS($AF$2:AF472),$AF$2:$AF$1001,0),0), INDEX($AM$1004:$BM$1004,1,MATCH(COLUMNS($AM$1006:BI1006),$AM$1006:$BM$1006,0)))),"Fix")))</f>
        <v xml:space="preserve"> </v>
      </c>
      <c r="Y472" s="4" t="str">
        <f ca="1">IF(OR(INDEX($AG$2:$AG$1001,MATCH(ROWS($AF$2:AF472),$AF$2:$AF$1001,0),1)&gt;=100000,INDEX($AM$1005:$BM$1005,1,MATCH(COLUMNS($AM$1006:BJ1006),$AM$1006:$BM$1006,0))&gt;=100000), " ",IF(INDEX($AM$2:$BM$1001,MATCH(ROWS($AF$2:AF472),$AF$2:$AF$1001,0),MATCH(COLUMNS($AM$1006:BJ1006),$AM$1006:$BM$1006,0)), HYPERLINK("#",""), HYPERLINK(CONCATENATE("#metadata!", ADDRESS(INDEX($AH$2:$AH$1001,MATCH(ROWS($AF$2:AF472),$AF$2:$AF$1001,0),0), INDEX($AM$1004:$BM$1004,1,MATCH(COLUMNS($AM$1006:BJ1006),$AM$1006:$BM$1006,0)))),"Fix")))</f>
        <v xml:space="preserve"> </v>
      </c>
      <c r="Z472" s="4" t="str">
        <f ca="1">IF(OR(INDEX($AG$2:$AG$1001,MATCH(ROWS($AF$2:AF472),$AF$2:$AF$1001,0),1)&gt;=100000,INDEX($AM$1005:$BM$1005,1,MATCH(COLUMNS($AM$1006:BK1006),$AM$1006:$BM$1006,0))&gt;=100000), " ",IF(INDEX($AM$2:$BM$1001,MATCH(ROWS($AF$2:AF472),$AF$2:$AF$1001,0),MATCH(COLUMNS($AM$1006:BK1006),$AM$1006:$BM$1006,0)), HYPERLINK("#",""), HYPERLINK(CONCATENATE("#metadata!", ADDRESS(INDEX($AH$2:$AH$1001,MATCH(ROWS($AF$2:AF472),$AF$2:$AF$1001,0),0), INDEX($AM$1004:$BM$1004,1,MATCH(COLUMNS($AM$1006:BK1006),$AM$1006:$BM$1006,0)))),"Fix")))</f>
        <v xml:space="preserve"> </v>
      </c>
      <c r="AA472" s="4" t="str">
        <f ca="1">IF(OR(INDEX($AG$2:$AG$1001,MATCH(ROWS($AF$2:AF472),$AF$2:$AF$1001,0),1)&gt;=100000,INDEX($AM$1005:$BM$1005,1,MATCH(COLUMNS($AM$1006:BL1006),$AM$1006:$BM$1006,0))&gt;=100000), " ",IF(INDEX($AM$2:$BM$1001,MATCH(ROWS($AF$2:AF472),$AF$2:$AF$1001,0),MATCH(COLUMNS($AM$1006:BL1006),$AM$1006:$BM$1006,0)), HYPERLINK("#",""), HYPERLINK(CONCATENATE("#metadata!", ADDRESS(INDEX($AH$2:$AH$1001,MATCH(ROWS($AF$2:AF472),$AF$2:$AF$1001,0),0), INDEX($AM$1004:$BM$1004,1,MATCH(COLUMNS($AM$1006:BL1006),$AM$1006:$BM$1006,0)))),"Fix")))</f>
        <v xml:space="preserve"> </v>
      </c>
      <c r="AB472" s="4" t="str">
        <f ca="1">IF(OR(INDEX($AG$2:$AG$1001,MATCH(ROWS($AF$2:AF472),$AF$2:$AF$1001,0),1)&gt;=100000,INDEX($AM$1005:$BM$1005,1,MATCH(COLUMNS($AM$1006:BM1006),$AM$1006:$BM$1006,0))&gt;=100000), " ",IF(INDEX($AM$2:$BM$1001,MATCH(ROWS($AF$2:AF472),$AF$2:$AF$1001,0),MATCH(COLUMNS($AM$1006:BM1006),$AM$1006:$BM$1006,0)), HYPERLINK("#",""), HYPERLINK(CONCATENATE("#metadata!", ADDRESS(INDEX($AH$2:$AH$1001,MATCH(ROWS($AF$2:AF472),$AF$2:$AF$1001,0),0), INDEX($AM$1004:$BM$1004,1,MATCH(COLUMNS($AM$1006:BM1006),$AM$1006:$BM$1006,0)))),"Fix")))</f>
        <v xml:space="preserve"> </v>
      </c>
      <c r="AF472">
        <v>471</v>
      </c>
      <c r="AG472">
        <v>100472</v>
      </c>
      <c r="AH472">
        <v>472</v>
      </c>
      <c r="AI472" t="b">
        <f t="shared" si="7"/>
        <v>1</v>
      </c>
      <c r="AJ472" t="b">
        <f>COUNTBLANK(metadata!B472:AB472)=COLUMNS(metadata!B472:AB472)</f>
        <v>1</v>
      </c>
      <c r="AK472" t="str">
        <v/>
      </c>
      <c r="AM472" t="b">
        <f ca="1">AND(IF(metadata!B472="",FALSE,TRUE),COUNTIF(metadata!B:B, metadata!B472) = 1,NOT(ISERROR(SUMPRODUCT(SEARCH(MID(metadata!B472,ROW(INDIRECT("1:"&amp;LEN(metadata!B472))), 1),"0123456789abcdefghijklmnopqrstuvwxyzABCDEFGHIJKLMNOPQRSTUVWXYZ.")))))</f>
        <v>0</v>
      </c>
      <c r="AN472" t="b">
        <f ca="1">OR(AND(IF(metadata!C472="",FALSE,TRUE),OR(EXACT(metadata!C472,"missing: not collected"),EXACT(metadata!C472,"missing: not provided"),EXACT(metadata!C472,"missing: restricted access"))),AND(IF(metadata!C472="",FALSE,TRUE),AND(AND(IFERROR(INT(LEFT(metadata!C472,4))&gt;1900,FALSE),IFERROR(INT(LEFT(metadata!C472,4))&lt;=YEAR(NOW()),FALSE)), OR(MID(metadata!C472,5,1)="", AND(AND(MID(metadata!C472,5,1)="-",IFERROR(INT(MID(metadata!C472,6,1))&gt;=0,FALSE),IFERROR(INT(MID(metadata!C472,6,1))&lt;=1,FALSE),NOT(MID(metadata!C472,7,1)=""),IFERROR(INT(MID(metadata!C472,6,2))&gt;=1,FALSE),IFERROR(INT(MID(metadata!C472,6,2))&lt;=12,FALSE)), OR(MID(metadata!C472,8,1)="", AND(AND(MID(metadata!C472,8,1)="-",IFERROR(INT(MID(metadata!C472,9,1))&gt;=0,FALSE),IFERROR(INT(MID(metadata!C472,9,1))&lt;=3,FALSE),NOT(MID(metadata!C472,10,1)=""),IFERROR(INT(MID(metadata!C472,9,2))&gt;=1,FALSE),IFERROR(INT(MID(metadata!C472,9,2))&lt;=31,FALSE)), OR(MID(metadata!C472,11,1)="", AND(AND(MID(metadata!C472,11,1)=" ",IFERROR(INT(MID(metadata!C472,12,1))&gt;=0,FALSE),IFERROR(INT(MID(metadata!C472,12,1))&lt;=2,FALSE),NOT(MID(metadata!C472,13,1)=""),IFERROR(INT(MID(metadata!C472,12,2))&gt;=0,FALSE),IFERROR(INT(MID(metadata!C472,12,2))&lt;=23,FALSE)), OR(MID(metadata!C472,14,1)="", AND(AND(MID(metadata!C472,14,1)=":",IFERROR(INT(MID(metadata!C472,15,1))&gt;=0,FALSE),IFERROR(INT(MID(metadata!C472,15,1))&lt;=5,FALSE),NOT(MID(metadata!C472,16,1)=""),IFERROR(INT(MID(metadata!C472,15,2))&gt;=0,FALSE),IFERROR(INT(MID(metadata!C472,15,2))&lt;=59,FALSE)), OR(MID(metadata!C472,17,1)="", AND(AND(MID(metadata!C472,17,1)=":",IFERROR(INT(MID(metadata!C472,18,1))&gt;=0,FALSE),IFERROR(INT(MID(metadata!C472,18,1))&lt;=5,FALSE),NOT(MID(metadata!C472,19,1)=""),IFERROR(INT(MID(metadata!C472,18,2))&gt;=0,FALSE),IFERROR(INT(MID(metadata!C472,18,2))&lt;=59,FALSE)), LEN(metadata!C472)&lt;=19)))))))))))))</f>
        <v>0</v>
      </c>
      <c r="AO472" t="b">
        <f>AND(IF(metadata!D472="",FALSE,TRUE),EXACT(metadata!D472,"Not applicable"))</f>
        <v>0</v>
      </c>
      <c r="AP472" t="b">
        <f>IF(metadata!E472="",FALSE,TRUE)</f>
        <v>0</v>
      </c>
      <c r="AQ472" t="b">
        <f>OR(AND(IF(metadata!F472="",FALSE,TRUE),OR(EXACT(metadata!F472,"missing: not collected"),EXACT(metadata!F472,"missing: not provided"))),AND(IF(metadata!F472="",FALSE,TRUE),OR(EXACT(metadata!F472,"TRUE"),EXACT(metadata!F472,"FALSE"))))</f>
        <v>0</v>
      </c>
      <c r="AR472" t="b">
        <f>OR(AND(IF(metadata!G472="",FALSE,TRUE),OR(EXACT(metadata!G472,"missing: not collected"),EXACT(metadata!G472,"missing: not provided"),EXACT(metadata!G472,"missing: restricted access"))),AND(IF(metadata!G472="",FALSE,ISNUMBER(VALUE(metadata!G472))),metadata!G472&gt;=-413))</f>
        <v>0</v>
      </c>
      <c r="AS472" t="b">
        <f>AND(IF(metadata!H472="",FALSE,TRUE),EXACT(metadata!H472,"meters"))</f>
        <v>0</v>
      </c>
      <c r="AT472" t="b">
        <f>AND(IF(metadata!I472="",FALSE,TRUE),OR(EXACT(metadata!I472,"Host-associated"),EXACT(metadata!I472,"Free-living")))</f>
        <v>0</v>
      </c>
      <c r="AU472" t="b">
        <f>AND(IF(metadata!J472="",FALSE,TRUE),OR(EXACT(metadata!J472,"Animal"),EXACT(metadata!J472,"Fungus"),EXACT(metadata!J472,"Plant"),EXACT(metadata!J472,"Saline"),EXACT(metadata!J472,"Non-saline")))</f>
        <v>0</v>
      </c>
      <c r="AV472" t="b">
        <f>AND(IF(metadata!K472="",FALSE,TRUE),OR(EXACT(metadata!K472,"Plant secretion"),EXACT(metadata!K472,"Plant rhizosphere"),EXACT(metadata!K472,"Plant surface"),EXACT(metadata!K472,"Plant corpus"),EXACT(metadata!K472,"Fungus surface"),EXACT(metadata!K472,"Fungus corpus"),EXACT(metadata!K472,"Animal surface"),EXACT(metadata!K472,"Animal proximal gut"),EXACT(metadata!K472,"Animal corpus"),EXACT(metadata!K472,"Animal distal gut"),EXACT(metadata!K472,"Animal secretion"),EXACT(metadata!K472,"Sub-surface (non-saline)"),EXACT(metadata!K472,"Surface (non-saline)"),EXACT(metadata!K472,"Water (non-saline)"),EXACT(metadata!K472,"Soil (non-saline)"),EXACT(metadata!K472,"Aerosol (non-saline)"),EXACT(metadata!K472,"Sediment (non-saline)"),EXACT(metadata!K472,"Surface (saline)"),EXACT(metadata!K472,"Water (saline)"),EXACT(metadata!K472,"Hypersaline (saline)"),EXACT(metadata!K472,"Aerosol (saline)"),EXACT(metadata!K472,"Sediment (saline)")))</f>
        <v>0</v>
      </c>
      <c r="AW472" t="b">
        <f>IF(metadata!L472="",FALSE,TRUE)</f>
        <v>0</v>
      </c>
      <c r="AX472" t="b">
        <f>IF(metadata!M472="",FALSE,TRUE)</f>
        <v>0</v>
      </c>
      <c r="AY472" t="b">
        <f>IF(metadata!N472="",FALSE,TRUE)</f>
        <v>0</v>
      </c>
      <c r="AZ472" t="b">
        <f>OR(AND(IF(metadata!O472="",FALSE,TRUE),OR(EXACT(metadata!O472,"missing: not collected"),EXACT(metadata!O472,"missing: not provided"),EXACT(metadata!O472,"missing: restricted access"))),AND(IF(metadata!O472="",FALSE,TRUE),OR(EXACT(metadata!O472,"air"),EXACT(metadata!O472,"built environment"),EXACT(metadata!O472,"host-associated"),EXACT(metadata!O472,"human-associated"),EXACT(metadata!O472,"human-skin"),EXACT(metadata!O472,"human-oral"),EXACT(metadata!O472,"human-gut"),EXACT(metadata!O472,"human-vaginal"),EXACT(metadata!O472,"microbial mat/biofilm"),EXACT(metadata!O472,"misc environment"),EXACT(metadata!O472,"plant-associated"),EXACT(metadata!O472,"sediment"),EXACT(metadata!O472,"soil"),EXACT(metadata!O472,"wastewater/sludge"),EXACT(metadata!O472,"water"))))</f>
        <v>0</v>
      </c>
      <c r="BA472" t="b">
        <f>IF(metadata!P472="",FALSE,TRUE)</f>
        <v>0</v>
      </c>
      <c r="BB472" t="b">
        <f>IF(metadata!Q472="",FALSE,TRUE)</f>
        <v>0</v>
      </c>
      <c r="BC472" t="b">
        <f>OR(AND(IF(metadata!R472="",FALSE,TRUE),OR(EXACT(metadata!R472,"missing: not collected"),EXACT(metadata!R472,"missing: not provided"),EXACT(metadata!R472,"missing: restricted access"))),AND(IF(metadata!R472="",FALSE,ISNUMBER(VALUE(metadata!R472))),metadata!R472&gt;=-90,metadata!R472&lt;=90))</f>
        <v>0</v>
      </c>
      <c r="BD472" t="b">
        <f>AND(IF(metadata!S472="",FALSE,TRUE),EXACT(metadata!S472,"Decimal degrees"))</f>
        <v>0</v>
      </c>
      <c r="BE472" t="b">
        <f>OR(AND(IF(metadata!T472="",FALSE,TRUE),OR(EXACT(metadata!T472,"missing: not collected"),EXACT(metadata!T472,"missing: not provided"),EXACT(metadata!T472,"missing: restricted access"))),AND(IF(metadata!T472="",FALSE,ISNUMBER(VALUE(metadata!T472))),metadata!T472&gt;=-180,metadata!T472&lt;=180))</f>
        <v>0</v>
      </c>
      <c r="BF472" t="b">
        <f>AND(IF(metadata!U472="",FALSE,TRUE),EXACT(metadata!U472,"Decimal degrees"))</f>
        <v>0</v>
      </c>
      <c r="BG472" t="b">
        <f>IF(metadata!V472="",FALSE,TRUE)</f>
        <v>0</v>
      </c>
      <c r="BH472" t="b">
        <f>OR(AND(IF(metadata!W472="",FALSE,TRUE),OR(EXACT(metadata!W472,"missing: not collected"),EXACT(metadata!W472,"missing: not provided"),EXACT(metadata!W472,"missing: restricted access"))),AND(IF(metadata!W472="",FALSE,TRUE),OR(EXACT(metadata!W472,"TRUE"),EXACT(metadata!W472,"FALSE"))))</f>
        <v>0</v>
      </c>
      <c r="BI472" t="b">
        <f>AND(IF(metadata!X472="",FALSE,TRUE),EXACT(metadata!X472,"other"))</f>
        <v>0</v>
      </c>
      <c r="BJ472" t="b">
        <f>IF(metadata!Y472="",FALSE,TRUE)</f>
        <v>0</v>
      </c>
      <c r="BK472" t="b">
        <f>OR(AND(IF(metadata!Z472="",FALSE,TRUE),OR(EXACT(metadata!Z472,"missing: not collected"),EXACT(metadata!Z472,"missing: not provided"))),AND(IF(metadata!Z472="",FALSE,IF(ISERROR(INT(metadata!Z472)),FALSE,INT(metadata!Z472)=metadata!Z472)),metadata!Z472&gt;0))</f>
        <v>0</v>
      </c>
      <c r="BL472" t="b">
        <f>AND(IF(metadata!AA472="",FALSE,TRUE),EXACT(metadata!AA472,"Not applicable"))</f>
        <v>0</v>
      </c>
      <c r="BM472" t="b">
        <f>IF(metadata!AB472="",FALSE,TRUE)</f>
        <v>0</v>
      </c>
    </row>
    <row r="473" spans="1:65" x14ac:dyDescent="0.2">
      <c r="A473" s="5" t="str">
        <f ca="1">IF(B473=" "," ",HYPERLINK(CONCATENATE("#metadata!",ADDRESS(INDEX($AH$2:$AH$1001,MATCH(ROWS($AF$2:AF473),$AF$2:$AF$1001,0),0),1)),INDEX($AK$2:$AK$1001,MATCH(ROWS($AF$2:AF473),$AF$2:$AF$1001,0),0)))</f>
        <v xml:space="preserve"> </v>
      </c>
      <c r="B473" s="4" t="str">
        <f ca="1">IF(OR(INDEX($AG$2:$AG$1001,MATCH(ROWS($AF$2:AF473),$AF$2:$AF$1001,0),1)&gt;=100000,INDEX($AM$1005:$BM$1005,1,MATCH(COLUMNS($AM$1006:AM1006),$AM$1006:$BM$1006,0))&gt;=100000), " ",IF(INDEX($AM$2:$BM$1001,MATCH(ROWS($AF$2:AF473),$AF$2:$AF$1001,0),MATCH(COLUMNS($AM$1006:AM1006),$AM$1006:$BM$1006,0)), HYPERLINK("#",""), HYPERLINK(CONCATENATE("#metadata!", ADDRESS(INDEX($AH$2:$AH$1001,MATCH(ROWS($AF$2:AF473),$AF$2:$AF$1001,0),0), INDEX($AM$1004:$BM$1004,1,MATCH(COLUMNS($AM$1006:AM1006),$AM$1006:$BM$1006,0)))),"Fix")))</f>
        <v xml:space="preserve"> </v>
      </c>
      <c r="C473" s="4" t="str">
        <f ca="1">IF(OR(INDEX($AG$2:$AG$1001,MATCH(ROWS($AF$2:AF473),$AF$2:$AF$1001,0),1)&gt;=100000,INDEX($AM$1005:$BM$1005,1,MATCH(COLUMNS($AM$1006:AN1006),$AM$1006:$BM$1006,0))&gt;=100000), " ",IF(INDEX($AM$2:$BM$1001,MATCH(ROWS($AF$2:AF473),$AF$2:$AF$1001,0),MATCH(COLUMNS($AM$1006:AN1006),$AM$1006:$BM$1006,0)), HYPERLINK("#",""), HYPERLINK(CONCATENATE("#metadata!", ADDRESS(INDEX($AH$2:$AH$1001,MATCH(ROWS($AF$2:AF473),$AF$2:$AF$1001,0),0), INDEX($AM$1004:$BM$1004,1,MATCH(COLUMNS($AM$1006:AN1006),$AM$1006:$BM$1006,0)))),"Fix")))</f>
        <v xml:space="preserve"> </v>
      </c>
      <c r="D473" s="4" t="str">
        <f ca="1">IF(OR(INDEX($AG$2:$AG$1001,MATCH(ROWS($AF$2:AF473),$AF$2:$AF$1001,0),1)&gt;=100000,INDEX($AM$1005:$BM$1005,1,MATCH(COLUMNS($AM$1006:AO1006),$AM$1006:$BM$1006,0))&gt;=100000), " ",IF(INDEX($AM$2:$BM$1001,MATCH(ROWS($AF$2:AF473),$AF$2:$AF$1001,0),MATCH(COLUMNS($AM$1006:AO1006),$AM$1006:$BM$1006,0)), HYPERLINK("#",""), HYPERLINK(CONCATENATE("#metadata!", ADDRESS(INDEX($AH$2:$AH$1001,MATCH(ROWS($AF$2:AF473),$AF$2:$AF$1001,0),0), INDEX($AM$1004:$BM$1004,1,MATCH(COLUMNS($AM$1006:AO1006),$AM$1006:$BM$1006,0)))),"Fix")))</f>
        <v xml:space="preserve"> </v>
      </c>
      <c r="E473" s="4" t="str">
        <f ca="1">IF(OR(INDEX($AG$2:$AG$1001,MATCH(ROWS($AF$2:AF473),$AF$2:$AF$1001,0),1)&gt;=100000,INDEX($AM$1005:$BM$1005,1,MATCH(COLUMNS($AM$1006:AP1006),$AM$1006:$BM$1006,0))&gt;=100000), " ",IF(INDEX($AM$2:$BM$1001,MATCH(ROWS($AF$2:AF473),$AF$2:$AF$1001,0),MATCH(COLUMNS($AM$1006:AP1006),$AM$1006:$BM$1006,0)), HYPERLINK("#",""), HYPERLINK(CONCATENATE("#metadata!", ADDRESS(INDEX($AH$2:$AH$1001,MATCH(ROWS($AF$2:AF473),$AF$2:$AF$1001,0),0), INDEX($AM$1004:$BM$1004,1,MATCH(COLUMNS($AM$1006:AP1006),$AM$1006:$BM$1006,0)))),"Fix")))</f>
        <v xml:space="preserve"> </v>
      </c>
      <c r="F473" s="4" t="str">
        <f ca="1">IF(OR(INDEX($AG$2:$AG$1001,MATCH(ROWS($AF$2:AF473),$AF$2:$AF$1001,0),1)&gt;=100000,INDEX($AM$1005:$BM$1005,1,MATCH(COLUMNS($AM$1006:AQ1006),$AM$1006:$BM$1006,0))&gt;=100000), " ",IF(INDEX($AM$2:$BM$1001,MATCH(ROWS($AF$2:AF473),$AF$2:$AF$1001,0),MATCH(COLUMNS($AM$1006:AQ1006),$AM$1006:$BM$1006,0)), HYPERLINK("#",""), HYPERLINK(CONCATENATE("#metadata!", ADDRESS(INDEX($AH$2:$AH$1001,MATCH(ROWS($AF$2:AF473),$AF$2:$AF$1001,0),0), INDEX($AM$1004:$BM$1004,1,MATCH(COLUMNS($AM$1006:AQ1006),$AM$1006:$BM$1006,0)))),"Fix")))</f>
        <v xml:space="preserve"> </v>
      </c>
      <c r="G473" s="4" t="str">
        <f ca="1">IF(OR(INDEX($AG$2:$AG$1001,MATCH(ROWS($AF$2:AF473),$AF$2:$AF$1001,0),1)&gt;=100000,INDEX($AM$1005:$BM$1005,1,MATCH(COLUMNS($AM$1006:AR1006),$AM$1006:$BM$1006,0))&gt;=100000), " ",IF(INDEX($AM$2:$BM$1001,MATCH(ROWS($AF$2:AF473),$AF$2:$AF$1001,0),MATCH(COLUMNS($AM$1006:AR1006),$AM$1006:$BM$1006,0)), HYPERLINK("#",""), HYPERLINK(CONCATENATE("#metadata!", ADDRESS(INDEX($AH$2:$AH$1001,MATCH(ROWS($AF$2:AF473),$AF$2:$AF$1001,0),0), INDEX($AM$1004:$BM$1004,1,MATCH(COLUMNS($AM$1006:AR1006),$AM$1006:$BM$1006,0)))),"Fix")))</f>
        <v xml:space="preserve"> </v>
      </c>
      <c r="H473" s="4" t="str">
        <f ca="1">IF(OR(INDEX($AG$2:$AG$1001,MATCH(ROWS($AF$2:AF473),$AF$2:$AF$1001,0),1)&gt;=100000,INDEX($AM$1005:$BM$1005,1,MATCH(COLUMNS($AM$1006:AS1006),$AM$1006:$BM$1006,0))&gt;=100000), " ",IF(INDEX($AM$2:$BM$1001,MATCH(ROWS($AF$2:AF473),$AF$2:$AF$1001,0),MATCH(COLUMNS($AM$1006:AS1006),$AM$1006:$BM$1006,0)), HYPERLINK("#",""), HYPERLINK(CONCATENATE("#metadata!", ADDRESS(INDEX($AH$2:$AH$1001,MATCH(ROWS($AF$2:AF473),$AF$2:$AF$1001,0),0), INDEX($AM$1004:$BM$1004,1,MATCH(COLUMNS($AM$1006:AS1006),$AM$1006:$BM$1006,0)))),"Fix")))</f>
        <v xml:space="preserve"> </v>
      </c>
      <c r="I473" s="4" t="str">
        <f ca="1">IF(OR(INDEX($AG$2:$AG$1001,MATCH(ROWS($AF$2:AF473),$AF$2:$AF$1001,0),1)&gt;=100000,INDEX($AM$1005:$BM$1005,1,MATCH(COLUMNS($AM$1006:AT1006),$AM$1006:$BM$1006,0))&gt;=100000), " ",IF(INDEX($AM$2:$BM$1001,MATCH(ROWS($AF$2:AF473),$AF$2:$AF$1001,0),MATCH(COLUMNS($AM$1006:AT1006),$AM$1006:$BM$1006,0)), HYPERLINK("#",""), HYPERLINK(CONCATENATE("#metadata!", ADDRESS(INDEX($AH$2:$AH$1001,MATCH(ROWS($AF$2:AF473),$AF$2:$AF$1001,0),0), INDEX($AM$1004:$BM$1004,1,MATCH(COLUMNS($AM$1006:AT1006),$AM$1006:$BM$1006,0)))),"Fix")))</f>
        <v xml:space="preserve"> </v>
      </c>
      <c r="J473" s="4" t="str">
        <f ca="1">IF(OR(INDEX($AG$2:$AG$1001,MATCH(ROWS($AF$2:AF473),$AF$2:$AF$1001,0),1)&gt;=100000,INDEX($AM$1005:$BM$1005,1,MATCH(COLUMNS($AM$1006:AU1006),$AM$1006:$BM$1006,0))&gt;=100000), " ",IF(INDEX($AM$2:$BM$1001,MATCH(ROWS($AF$2:AF473),$AF$2:$AF$1001,0),MATCH(COLUMNS($AM$1006:AU1006),$AM$1006:$BM$1006,0)), HYPERLINK("#",""), HYPERLINK(CONCATENATE("#metadata!", ADDRESS(INDEX($AH$2:$AH$1001,MATCH(ROWS($AF$2:AF473),$AF$2:$AF$1001,0),0), INDEX($AM$1004:$BM$1004,1,MATCH(COLUMNS($AM$1006:AU1006),$AM$1006:$BM$1006,0)))),"Fix")))</f>
        <v xml:space="preserve"> </v>
      </c>
      <c r="K473" s="4" t="str">
        <f ca="1">IF(OR(INDEX($AG$2:$AG$1001,MATCH(ROWS($AF$2:AF473),$AF$2:$AF$1001,0),1)&gt;=100000,INDEX($AM$1005:$BM$1005,1,MATCH(COLUMNS($AM$1006:AV1006),$AM$1006:$BM$1006,0))&gt;=100000), " ",IF(INDEX($AM$2:$BM$1001,MATCH(ROWS($AF$2:AF473),$AF$2:$AF$1001,0),MATCH(COLUMNS($AM$1006:AV1006),$AM$1006:$BM$1006,0)), HYPERLINK("#",""), HYPERLINK(CONCATENATE("#metadata!", ADDRESS(INDEX($AH$2:$AH$1001,MATCH(ROWS($AF$2:AF473),$AF$2:$AF$1001,0),0), INDEX($AM$1004:$BM$1004,1,MATCH(COLUMNS($AM$1006:AV1006),$AM$1006:$BM$1006,0)))),"Fix")))</f>
        <v xml:space="preserve"> </v>
      </c>
      <c r="L473" s="4" t="str">
        <f ca="1">IF(OR(INDEX($AG$2:$AG$1001,MATCH(ROWS($AF$2:AF473),$AF$2:$AF$1001,0),1)&gt;=100000,INDEX($AM$1005:$BM$1005,1,MATCH(COLUMNS($AM$1006:AW1006),$AM$1006:$BM$1006,0))&gt;=100000), " ",IF(INDEX($AM$2:$BM$1001,MATCH(ROWS($AF$2:AF473),$AF$2:$AF$1001,0),MATCH(COLUMNS($AM$1006:AW1006),$AM$1006:$BM$1006,0)), HYPERLINK("#",""), HYPERLINK(CONCATENATE("#metadata!", ADDRESS(INDEX($AH$2:$AH$1001,MATCH(ROWS($AF$2:AF473),$AF$2:$AF$1001,0),0), INDEX($AM$1004:$BM$1004,1,MATCH(COLUMNS($AM$1006:AW1006),$AM$1006:$BM$1006,0)))),"Fix")))</f>
        <v xml:space="preserve"> </v>
      </c>
      <c r="M473" s="4" t="str">
        <f ca="1">IF(OR(INDEX($AG$2:$AG$1001,MATCH(ROWS($AF$2:AF473),$AF$2:$AF$1001,0),1)&gt;=100000,INDEX($AM$1005:$BM$1005,1,MATCH(COLUMNS($AM$1006:AX1006),$AM$1006:$BM$1006,0))&gt;=100000), " ",IF(INDEX($AM$2:$BM$1001,MATCH(ROWS($AF$2:AF473),$AF$2:$AF$1001,0),MATCH(COLUMNS($AM$1006:AX1006),$AM$1006:$BM$1006,0)), HYPERLINK("#",""), HYPERLINK(CONCATENATE("#metadata!", ADDRESS(INDEX($AH$2:$AH$1001,MATCH(ROWS($AF$2:AF473),$AF$2:$AF$1001,0),0), INDEX($AM$1004:$BM$1004,1,MATCH(COLUMNS($AM$1006:AX1006),$AM$1006:$BM$1006,0)))),"Fix")))</f>
        <v xml:space="preserve"> </v>
      </c>
      <c r="N473" s="4" t="str">
        <f ca="1">IF(OR(INDEX($AG$2:$AG$1001,MATCH(ROWS($AF$2:AF473),$AF$2:$AF$1001,0),1)&gt;=100000,INDEX($AM$1005:$BM$1005,1,MATCH(COLUMNS($AM$1006:AY1006),$AM$1006:$BM$1006,0))&gt;=100000), " ",IF(INDEX($AM$2:$BM$1001,MATCH(ROWS($AF$2:AF473),$AF$2:$AF$1001,0),MATCH(COLUMNS($AM$1006:AY1006),$AM$1006:$BM$1006,0)), HYPERLINK("#",""), HYPERLINK(CONCATENATE("#metadata!", ADDRESS(INDEX($AH$2:$AH$1001,MATCH(ROWS($AF$2:AF473),$AF$2:$AF$1001,0),0), INDEX($AM$1004:$BM$1004,1,MATCH(COLUMNS($AM$1006:AY1006),$AM$1006:$BM$1006,0)))),"Fix")))</f>
        <v xml:space="preserve"> </v>
      </c>
      <c r="O473" s="4" t="str">
        <f ca="1">IF(OR(INDEX($AG$2:$AG$1001,MATCH(ROWS($AF$2:AF473),$AF$2:$AF$1001,0),1)&gt;=100000,INDEX($AM$1005:$BM$1005,1,MATCH(COLUMNS($AM$1006:AZ1006),$AM$1006:$BM$1006,0))&gt;=100000), " ",IF(INDEX($AM$2:$BM$1001,MATCH(ROWS($AF$2:AF473),$AF$2:$AF$1001,0),MATCH(COLUMNS($AM$1006:AZ1006),$AM$1006:$BM$1006,0)), HYPERLINK("#",""), HYPERLINK(CONCATENATE("#metadata!", ADDRESS(INDEX($AH$2:$AH$1001,MATCH(ROWS($AF$2:AF473),$AF$2:$AF$1001,0),0), INDEX($AM$1004:$BM$1004,1,MATCH(COLUMNS($AM$1006:AZ1006),$AM$1006:$BM$1006,0)))),"Fix")))</f>
        <v xml:space="preserve"> </v>
      </c>
      <c r="P473" s="4" t="str">
        <f ca="1">IF(OR(INDEX($AG$2:$AG$1001,MATCH(ROWS($AF$2:AF473),$AF$2:$AF$1001,0),1)&gt;=100000,INDEX($AM$1005:$BM$1005,1,MATCH(COLUMNS($AM$1006:BA1006),$AM$1006:$BM$1006,0))&gt;=100000), " ",IF(INDEX($AM$2:$BM$1001,MATCH(ROWS($AF$2:AF473),$AF$2:$AF$1001,0),MATCH(COLUMNS($AM$1006:BA1006),$AM$1006:$BM$1006,0)), HYPERLINK("#",""), HYPERLINK(CONCATENATE("#metadata!", ADDRESS(INDEX($AH$2:$AH$1001,MATCH(ROWS($AF$2:AF473),$AF$2:$AF$1001,0),0), INDEX($AM$1004:$BM$1004,1,MATCH(COLUMNS($AM$1006:BA1006),$AM$1006:$BM$1006,0)))),"Fix")))</f>
        <v xml:space="preserve"> </v>
      </c>
      <c r="Q473" s="4" t="str">
        <f ca="1">IF(OR(INDEX($AG$2:$AG$1001,MATCH(ROWS($AF$2:AF473),$AF$2:$AF$1001,0),1)&gt;=100000,INDEX($AM$1005:$BM$1005,1,MATCH(COLUMNS($AM$1006:BB1006),$AM$1006:$BM$1006,0))&gt;=100000), " ",IF(INDEX($AM$2:$BM$1001,MATCH(ROWS($AF$2:AF473),$AF$2:$AF$1001,0),MATCH(COLUMNS($AM$1006:BB1006),$AM$1006:$BM$1006,0)), HYPERLINK("#",""), HYPERLINK(CONCATENATE("#metadata!", ADDRESS(INDEX($AH$2:$AH$1001,MATCH(ROWS($AF$2:AF473),$AF$2:$AF$1001,0),0), INDEX($AM$1004:$BM$1004,1,MATCH(COLUMNS($AM$1006:BB1006),$AM$1006:$BM$1006,0)))),"Fix")))</f>
        <v xml:space="preserve"> </v>
      </c>
      <c r="R473" s="4" t="str">
        <f ca="1">IF(OR(INDEX($AG$2:$AG$1001,MATCH(ROWS($AF$2:AF473),$AF$2:$AF$1001,0),1)&gt;=100000,INDEX($AM$1005:$BM$1005,1,MATCH(COLUMNS($AM$1006:BC1006),$AM$1006:$BM$1006,0))&gt;=100000), " ",IF(INDEX($AM$2:$BM$1001,MATCH(ROWS($AF$2:AF473),$AF$2:$AF$1001,0),MATCH(COLUMNS($AM$1006:BC1006),$AM$1006:$BM$1006,0)), HYPERLINK("#",""), HYPERLINK(CONCATENATE("#metadata!", ADDRESS(INDEX($AH$2:$AH$1001,MATCH(ROWS($AF$2:AF473),$AF$2:$AF$1001,0),0), INDEX($AM$1004:$BM$1004,1,MATCH(COLUMNS($AM$1006:BC1006),$AM$1006:$BM$1006,0)))),"Fix")))</f>
        <v xml:space="preserve"> </v>
      </c>
      <c r="S473" s="4" t="str">
        <f ca="1">IF(OR(INDEX($AG$2:$AG$1001,MATCH(ROWS($AF$2:AF473),$AF$2:$AF$1001,0),1)&gt;=100000,INDEX($AM$1005:$BM$1005,1,MATCH(COLUMNS($AM$1006:BD1006),$AM$1006:$BM$1006,0))&gt;=100000), " ",IF(INDEX($AM$2:$BM$1001,MATCH(ROWS($AF$2:AF473),$AF$2:$AF$1001,0),MATCH(COLUMNS($AM$1006:BD1006),$AM$1006:$BM$1006,0)), HYPERLINK("#",""), HYPERLINK(CONCATENATE("#metadata!", ADDRESS(INDEX($AH$2:$AH$1001,MATCH(ROWS($AF$2:AF473),$AF$2:$AF$1001,0),0), INDEX($AM$1004:$BM$1004,1,MATCH(COLUMNS($AM$1006:BD1006),$AM$1006:$BM$1006,0)))),"Fix")))</f>
        <v xml:space="preserve"> </v>
      </c>
      <c r="T473" s="4" t="str">
        <f ca="1">IF(OR(INDEX($AG$2:$AG$1001,MATCH(ROWS($AF$2:AF473),$AF$2:$AF$1001,0),1)&gt;=100000,INDEX($AM$1005:$BM$1005,1,MATCH(COLUMNS($AM$1006:BE1006),$AM$1006:$BM$1006,0))&gt;=100000), " ",IF(INDEX($AM$2:$BM$1001,MATCH(ROWS($AF$2:AF473),$AF$2:$AF$1001,0),MATCH(COLUMNS($AM$1006:BE1006),$AM$1006:$BM$1006,0)), HYPERLINK("#",""), HYPERLINK(CONCATENATE("#metadata!", ADDRESS(INDEX($AH$2:$AH$1001,MATCH(ROWS($AF$2:AF473),$AF$2:$AF$1001,0),0), INDEX($AM$1004:$BM$1004,1,MATCH(COLUMNS($AM$1006:BE1006),$AM$1006:$BM$1006,0)))),"Fix")))</f>
        <v xml:space="preserve"> </v>
      </c>
      <c r="U473" s="4" t="str">
        <f ca="1">IF(OR(INDEX($AG$2:$AG$1001,MATCH(ROWS($AF$2:AF473),$AF$2:$AF$1001,0),1)&gt;=100000,INDEX($AM$1005:$BM$1005,1,MATCH(COLUMNS($AM$1006:BF1006),$AM$1006:$BM$1006,0))&gt;=100000), " ",IF(INDEX($AM$2:$BM$1001,MATCH(ROWS($AF$2:AF473),$AF$2:$AF$1001,0),MATCH(COLUMNS($AM$1006:BF1006),$AM$1006:$BM$1006,0)), HYPERLINK("#",""), HYPERLINK(CONCATENATE("#metadata!", ADDRESS(INDEX($AH$2:$AH$1001,MATCH(ROWS($AF$2:AF473),$AF$2:$AF$1001,0),0), INDEX($AM$1004:$BM$1004,1,MATCH(COLUMNS($AM$1006:BF1006),$AM$1006:$BM$1006,0)))),"Fix")))</f>
        <v xml:space="preserve"> </v>
      </c>
      <c r="V473" s="4" t="str">
        <f ca="1">IF(OR(INDEX($AG$2:$AG$1001,MATCH(ROWS($AF$2:AF473),$AF$2:$AF$1001,0),1)&gt;=100000,INDEX($AM$1005:$BM$1005,1,MATCH(COLUMNS($AM$1006:BG1006),$AM$1006:$BM$1006,0))&gt;=100000), " ",IF(INDEX($AM$2:$BM$1001,MATCH(ROWS($AF$2:AF473),$AF$2:$AF$1001,0),MATCH(COLUMNS($AM$1006:BG1006),$AM$1006:$BM$1006,0)), HYPERLINK("#",""), HYPERLINK(CONCATENATE("#metadata!", ADDRESS(INDEX($AH$2:$AH$1001,MATCH(ROWS($AF$2:AF473),$AF$2:$AF$1001,0),0), INDEX($AM$1004:$BM$1004,1,MATCH(COLUMNS($AM$1006:BG1006),$AM$1006:$BM$1006,0)))),"Fix")))</f>
        <v xml:space="preserve"> </v>
      </c>
      <c r="W473" s="4" t="str">
        <f ca="1">IF(OR(INDEX($AG$2:$AG$1001,MATCH(ROWS($AF$2:AF473),$AF$2:$AF$1001,0),1)&gt;=100000,INDEX($AM$1005:$BM$1005,1,MATCH(COLUMNS($AM$1006:BH1006),$AM$1006:$BM$1006,0))&gt;=100000), " ",IF(INDEX($AM$2:$BM$1001,MATCH(ROWS($AF$2:AF473),$AF$2:$AF$1001,0),MATCH(COLUMNS($AM$1006:BH1006),$AM$1006:$BM$1006,0)), HYPERLINK("#",""), HYPERLINK(CONCATENATE("#metadata!", ADDRESS(INDEX($AH$2:$AH$1001,MATCH(ROWS($AF$2:AF473),$AF$2:$AF$1001,0),0), INDEX($AM$1004:$BM$1004,1,MATCH(COLUMNS($AM$1006:BH1006),$AM$1006:$BM$1006,0)))),"Fix")))</f>
        <v xml:space="preserve"> </v>
      </c>
      <c r="X473" s="4" t="str">
        <f ca="1">IF(OR(INDEX($AG$2:$AG$1001,MATCH(ROWS($AF$2:AF473),$AF$2:$AF$1001,0),1)&gt;=100000,INDEX($AM$1005:$BM$1005,1,MATCH(COLUMNS($AM$1006:BI1006),$AM$1006:$BM$1006,0))&gt;=100000), " ",IF(INDEX($AM$2:$BM$1001,MATCH(ROWS($AF$2:AF473),$AF$2:$AF$1001,0),MATCH(COLUMNS($AM$1006:BI1006),$AM$1006:$BM$1006,0)), HYPERLINK("#",""), HYPERLINK(CONCATENATE("#metadata!", ADDRESS(INDEX($AH$2:$AH$1001,MATCH(ROWS($AF$2:AF473),$AF$2:$AF$1001,0),0), INDEX($AM$1004:$BM$1004,1,MATCH(COLUMNS($AM$1006:BI1006),$AM$1006:$BM$1006,0)))),"Fix")))</f>
        <v xml:space="preserve"> </v>
      </c>
      <c r="Y473" s="4" t="str">
        <f ca="1">IF(OR(INDEX($AG$2:$AG$1001,MATCH(ROWS($AF$2:AF473),$AF$2:$AF$1001,0),1)&gt;=100000,INDEX($AM$1005:$BM$1005,1,MATCH(COLUMNS($AM$1006:BJ1006),$AM$1006:$BM$1006,0))&gt;=100000), " ",IF(INDEX($AM$2:$BM$1001,MATCH(ROWS($AF$2:AF473),$AF$2:$AF$1001,0),MATCH(COLUMNS($AM$1006:BJ1006),$AM$1006:$BM$1006,0)), HYPERLINK("#",""), HYPERLINK(CONCATENATE("#metadata!", ADDRESS(INDEX($AH$2:$AH$1001,MATCH(ROWS($AF$2:AF473),$AF$2:$AF$1001,0),0), INDEX($AM$1004:$BM$1004,1,MATCH(COLUMNS($AM$1006:BJ1006),$AM$1006:$BM$1006,0)))),"Fix")))</f>
        <v xml:space="preserve"> </v>
      </c>
      <c r="Z473" s="4" t="str">
        <f ca="1">IF(OR(INDEX($AG$2:$AG$1001,MATCH(ROWS($AF$2:AF473),$AF$2:$AF$1001,0),1)&gt;=100000,INDEX($AM$1005:$BM$1005,1,MATCH(COLUMNS($AM$1006:BK1006),$AM$1006:$BM$1006,0))&gt;=100000), " ",IF(INDEX($AM$2:$BM$1001,MATCH(ROWS($AF$2:AF473),$AF$2:$AF$1001,0),MATCH(COLUMNS($AM$1006:BK1006),$AM$1006:$BM$1006,0)), HYPERLINK("#",""), HYPERLINK(CONCATENATE("#metadata!", ADDRESS(INDEX($AH$2:$AH$1001,MATCH(ROWS($AF$2:AF473),$AF$2:$AF$1001,0),0), INDEX($AM$1004:$BM$1004,1,MATCH(COLUMNS($AM$1006:BK1006),$AM$1006:$BM$1006,0)))),"Fix")))</f>
        <v xml:space="preserve"> </v>
      </c>
      <c r="AA473" s="4" t="str">
        <f ca="1">IF(OR(INDEX($AG$2:$AG$1001,MATCH(ROWS($AF$2:AF473),$AF$2:$AF$1001,0),1)&gt;=100000,INDEX($AM$1005:$BM$1005,1,MATCH(COLUMNS($AM$1006:BL1006),$AM$1006:$BM$1006,0))&gt;=100000), " ",IF(INDEX($AM$2:$BM$1001,MATCH(ROWS($AF$2:AF473),$AF$2:$AF$1001,0),MATCH(COLUMNS($AM$1006:BL1006),$AM$1006:$BM$1006,0)), HYPERLINK("#",""), HYPERLINK(CONCATENATE("#metadata!", ADDRESS(INDEX($AH$2:$AH$1001,MATCH(ROWS($AF$2:AF473),$AF$2:$AF$1001,0),0), INDEX($AM$1004:$BM$1004,1,MATCH(COLUMNS($AM$1006:BL1006),$AM$1006:$BM$1006,0)))),"Fix")))</f>
        <v xml:space="preserve"> </v>
      </c>
      <c r="AB473" s="4" t="str">
        <f ca="1">IF(OR(INDEX($AG$2:$AG$1001,MATCH(ROWS($AF$2:AF473),$AF$2:$AF$1001,0),1)&gt;=100000,INDEX($AM$1005:$BM$1005,1,MATCH(COLUMNS($AM$1006:BM1006),$AM$1006:$BM$1006,0))&gt;=100000), " ",IF(INDEX($AM$2:$BM$1001,MATCH(ROWS($AF$2:AF473),$AF$2:$AF$1001,0),MATCH(COLUMNS($AM$1006:BM1006),$AM$1006:$BM$1006,0)), HYPERLINK("#",""), HYPERLINK(CONCATENATE("#metadata!", ADDRESS(INDEX($AH$2:$AH$1001,MATCH(ROWS($AF$2:AF473),$AF$2:$AF$1001,0),0), INDEX($AM$1004:$BM$1004,1,MATCH(COLUMNS($AM$1006:BM1006),$AM$1006:$BM$1006,0)))),"Fix")))</f>
        <v xml:space="preserve"> </v>
      </c>
      <c r="AF473">
        <v>472</v>
      </c>
      <c r="AG473">
        <v>100473</v>
      </c>
      <c r="AH473">
        <v>473</v>
      </c>
      <c r="AI473" t="b">
        <f t="shared" si="7"/>
        <v>1</v>
      </c>
      <c r="AJ473" t="b">
        <f>COUNTBLANK(metadata!B473:AB473)=COLUMNS(metadata!B473:AB473)</f>
        <v>1</v>
      </c>
      <c r="AK473" t="str">
        <v/>
      </c>
      <c r="AM473" t="b">
        <f ca="1">AND(IF(metadata!B473="",FALSE,TRUE),COUNTIF(metadata!B:B, metadata!B473) = 1,NOT(ISERROR(SUMPRODUCT(SEARCH(MID(metadata!B473,ROW(INDIRECT("1:"&amp;LEN(metadata!B473))), 1),"0123456789abcdefghijklmnopqrstuvwxyzABCDEFGHIJKLMNOPQRSTUVWXYZ.")))))</f>
        <v>0</v>
      </c>
      <c r="AN473" t="b">
        <f ca="1">OR(AND(IF(metadata!C473="",FALSE,TRUE),OR(EXACT(metadata!C473,"missing: not collected"),EXACT(metadata!C473,"missing: not provided"),EXACT(metadata!C473,"missing: restricted access"))),AND(IF(metadata!C473="",FALSE,TRUE),AND(AND(IFERROR(INT(LEFT(metadata!C473,4))&gt;1900,FALSE),IFERROR(INT(LEFT(metadata!C473,4))&lt;=YEAR(NOW()),FALSE)), OR(MID(metadata!C473,5,1)="", AND(AND(MID(metadata!C473,5,1)="-",IFERROR(INT(MID(metadata!C473,6,1))&gt;=0,FALSE),IFERROR(INT(MID(metadata!C473,6,1))&lt;=1,FALSE),NOT(MID(metadata!C473,7,1)=""),IFERROR(INT(MID(metadata!C473,6,2))&gt;=1,FALSE),IFERROR(INT(MID(metadata!C473,6,2))&lt;=12,FALSE)), OR(MID(metadata!C473,8,1)="", AND(AND(MID(metadata!C473,8,1)="-",IFERROR(INT(MID(metadata!C473,9,1))&gt;=0,FALSE),IFERROR(INT(MID(metadata!C473,9,1))&lt;=3,FALSE),NOT(MID(metadata!C473,10,1)=""),IFERROR(INT(MID(metadata!C473,9,2))&gt;=1,FALSE),IFERROR(INT(MID(metadata!C473,9,2))&lt;=31,FALSE)), OR(MID(metadata!C473,11,1)="", AND(AND(MID(metadata!C473,11,1)=" ",IFERROR(INT(MID(metadata!C473,12,1))&gt;=0,FALSE),IFERROR(INT(MID(metadata!C473,12,1))&lt;=2,FALSE),NOT(MID(metadata!C473,13,1)=""),IFERROR(INT(MID(metadata!C473,12,2))&gt;=0,FALSE),IFERROR(INT(MID(metadata!C473,12,2))&lt;=23,FALSE)), OR(MID(metadata!C473,14,1)="", AND(AND(MID(metadata!C473,14,1)=":",IFERROR(INT(MID(metadata!C473,15,1))&gt;=0,FALSE),IFERROR(INT(MID(metadata!C473,15,1))&lt;=5,FALSE),NOT(MID(metadata!C473,16,1)=""),IFERROR(INT(MID(metadata!C473,15,2))&gt;=0,FALSE),IFERROR(INT(MID(metadata!C473,15,2))&lt;=59,FALSE)), OR(MID(metadata!C473,17,1)="", AND(AND(MID(metadata!C473,17,1)=":",IFERROR(INT(MID(metadata!C473,18,1))&gt;=0,FALSE),IFERROR(INT(MID(metadata!C473,18,1))&lt;=5,FALSE),NOT(MID(metadata!C473,19,1)=""),IFERROR(INT(MID(metadata!C473,18,2))&gt;=0,FALSE),IFERROR(INT(MID(metadata!C473,18,2))&lt;=59,FALSE)), LEN(metadata!C473)&lt;=19)))))))))))))</f>
        <v>0</v>
      </c>
      <c r="AO473" t="b">
        <f>AND(IF(metadata!D473="",FALSE,TRUE),EXACT(metadata!D473,"Not applicable"))</f>
        <v>0</v>
      </c>
      <c r="AP473" t="b">
        <f>IF(metadata!E473="",FALSE,TRUE)</f>
        <v>0</v>
      </c>
      <c r="AQ473" t="b">
        <f>OR(AND(IF(metadata!F473="",FALSE,TRUE),OR(EXACT(metadata!F473,"missing: not collected"),EXACT(metadata!F473,"missing: not provided"))),AND(IF(metadata!F473="",FALSE,TRUE),OR(EXACT(metadata!F473,"TRUE"),EXACT(metadata!F473,"FALSE"))))</f>
        <v>0</v>
      </c>
      <c r="AR473" t="b">
        <f>OR(AND(IF(metadata!G473="",FALSE,TRUE),OR(EXACT(metadata!G473,"missing: not collected"),EXACT(metadata!G473,"missing: not provided"),EXACT(metadata!G473,"missing: restricted access"))),AND(IF(metadata!G473="",FALSE,ISNUMBER(VALUE(metadata!G473))),metadata!G473&gt;=-413))</f>
        <v>0</v>
      </c>
      <c r="AS473" t="b">
        <f>AND(IF(metadata!H473="",FALSE,TRUE),EXACT(metadata!H473,"meters"))</f>
        <v>0</v>
      </c>
      <c r="AT473" t="b">
        <f>AND(IF(metadata!I473="",FALSE,TRUE),OR(EXACT(metadata!I473,"Host-associated"),EXACT(metadata!I473,"Free-living")))</f>
        <v>0</v>
      </c>
      <c r="AU473" t="b">
        <f>AND(IF(metadata!J473="",FALSE,TRUE),OR(EXACT(metadata!J473,"Animal"),EXACT(metadata!J473,"Fungus"),EXACT(metadata!J473,"Plant"),EXACT(metadata!J473,"Saline"),EXACT(metadata!J473,"Non-saline")))</f>
        <v>0</v>
      </c>
      <c r="AV473" t="b">
        <f>AND(IF(metadata!K473="",FALSE,TRUE),OR(EXACT(metadata!K473,"Plant secretion"),EXACT(metadata!K473,"Plant rhizosphere"),EXACT(metadata!K473,"Plant surface"),EXACT(metadata!K473,"Plant corpus"),EXACT(metadata!K473,"Fungus surface"),EXACT(metadata!K473,"Fungus corpus"),EXACT(metadata!K473,"Animal surface"),EXACT(metadata!K473,"Animal proximal gut"),EXACT(metadata!K473,"Animal corpus"),EXACT(metadata!K473,"Animal distal gut"),EXACT(metadata!K473,"Animal secretion"),EXACT(metadata!K473,"Sub-surface (non-saline)"),EXACT(metadata!K473,"Surface (non-saline)"),EXACT(metadata!K473,"Water (non-saline)"),EXACT(metadata!K473,"Soil (non-saline)"),EXACT(metadata!K473,"Aerosol (non-saline)"),EXACT(metadata!K473,"Sediment (non-saline)"),EXACT(metadata!K473,"Surface (saline)"),EXACT(metadata!K473,"Water (saline)"),EXACT(metadata!K473,"Hypersaline (saline)"),EXACT(metadata!K473,"Aerosol (saline)"),EXACT(metadata!K473,"Sediment (saline)")))</f>
        <v>0</v>
      </c>
      <c r="AW473" t="b">
        <f>IF(metadata!L473="",FALSE,TRUE)</f>
        <v>0</v>
      </c>
      <c r="AX473" t="b">
        <f>IF(metadata!M473="",FALSE,TRUE)</f>
        <v>0</v>
      </c>
      <c r="AY473" t="b">
        <f>IF(metadata!N473="",FALSE,TRUE)</f>
        <v>0</v>
      </c>
      <c r="AZ473" t="b">
        <f>OR(AND(IF(metadata!O473="",FALSE,TRUE),OR(EXACT(metadata!O473,"missing: not collected"),EXACT(metadata!O473,"missing: not provided"),EXACT(metadata!O473,"missing: restricted access"))),AND(IF(metadata!O473="",FALSE,TRUE),OR(EXACT(metadata!O473,"air"),EXACT(metadata!O473,"built environment"),EXACT(metadata!O473,"host-associated"),EXACT(metadata!O473,"human-associated"),EXACT(metadata!O473,"human-skin"),EXACT(metadata!O473,"human-oral"),EXACT(metadata!O473,"human-gut"),EXACT(metadata!O473,"human-vaginal"),EXACT(metadata!O473,"microbial mat/biofilm"),EXACT(metadata!O473,"misc environment"),EXACT(metadata!O473,"plant-associated"),EXACT(metadata!O473,"sediment"),EXACT(metadata!O473,"soil"),EXACT(metadata!O473,"wastewater/sludge"),EXACT(metadata!O473,"water"))))</f>
        <v>0</v>
      </c>
      <c r="BA473" t="b">
        <f>IF(metadata!P473="",FALSE,TRUE)</f>
        <v>0</v>
      </c>
      <c r="BB473" t="b">
        <f>IF(metadata!Q473="",FALSE,TRUE)</f>
        <v>0</v>
      </c>
      <c r="BC473" t="b">
        <f>OR(AND(IF(metadata!R473="",FALSE,TRUE),OR(EXACT(metadata!R473,"missing: not collected"),EXACT(metadata!R473,"missing: not provided"),EXACT(metadata!R473,"missing: restricted access"))),AND(IF(metadata!R473="",FALSE,ISNUMBER(VALUE(metadata!R473))),metadata!R473&gt;=-90,metadata!R473&lt;=90))</f>
        <v>0</v>
      </c>
      <c r="BD473" t="b">
        <f>AND(IF(metadata!S473="",FALSE,TRUE),EXACT(metadata!S473,"Decimal degrees"))</f>
        <v>0</v>
      </c>
      <c r="BE473" t="b">
        <f>OR(AND(IF(metadata!T473="",FALSE,TRUE),OR(EXACT(metadata!T473,"missing: not collected"),EXACT(metadata!T473,"missing: not provided"),EXACT(metadata!T473,"missing: restricted access"))),AND(IF(metadata!T473="",FALSE,ISNUMBER(VALUE(metadata!T473))),metadata!T473&gt;=-180,metadata!T473&lt;=180))</f>
        <v>0</v>
      </c>
      <c r="BF473" t="b">
        <f>AND(IF(metadata!U473="",FALSE,TRUE),EXACT(metadata!U473,"Decimal degrees"))</f>
        <v>0</v>
      </c>
      <c r="BG473" t="b">
        <f>IF(metadata!V473="",FALSE,TRUE)</f>
        <v>0</v>
      </c>
      <c r="BH473" t="b">
        <f>OR(AND(IF(metadata!W473="",FALSE,TRUE),OR(EXACT(metadata!W473,"missing: not collected"),EXACT(metadata!W473,"missing: not provided"),EXACT(metadata!W473,"missing: restricted access"))),AND(IF(metadata!W473="",FALSE,TRUE),OR(EXACT(metadata!W473,"TRUE"),EXACT(metadata!W473,"FALSE"))))</f>
        <v>0</v>
      </c>
      <c r="BI473" t="b">
        <f>AND(IF(metadata!X473="",FALSE,TRUE),EXACT(metadata!X473,"other"))</f>
        <v>0</v>
      </c>
      <c r="BJ473" t="b">
        <f>IF(metadata!Y473="",FALSE,TRUE)</f>
        <v>0</v>
      </c>
      <c r="BK473" t="b">
        <f>OR(AND(IF(metadata!Z473="",FALSE,TRUE),OR(EXACT(metadata!Z473,"missing: not collected"),EXACT(metadata!Z473,"missing: not provided"))),AND(IF(metadata!Z473="",FALSE,IF(ISERROR(INT(metadata!Z473)),FALSE,INT(metadata!Z473)=metadata!Z473)),metadata!Z473&gt;0))</f>
        <v>0</v>
      </c>
      <c r="BL473" t="b">
        <f>AND(IF(metadata!AA473="",FALSE,TRUE),EXACT(metadata!AA473,"Not applicable"))</f>
        <v>0</v>
      </c>
      <c r="BM473" t="b">
        <f>IF(metadata!AB473="",FALSE,TRUE)</f>
        <v>0</v>
      </c>
    </row>
    <row r="474" spans="1:65" x14ac:dyDescent="0.2">
      <c r="A474" s="5" t="str">
        <f ca="1">IF(B474=" "," ",HYPERLINK(CONCATENATE("#metadata!",ADDRESS(INDEX($AH$2:$AH$1001,MATCH(ROWS($AF$2:AF474),$AF$2:$AF$1001,0),0),1)),INDEX($AK$2:$AK$1001,MATCH(ROWS($AF$2:AF474),$AF$2:$AF$1001,0),0)))</f>
        <v xml:space="preserve"> </v>
      </c>
      <c r="B474" s="4" t="str">
        <f ca="1">IF(OR(INDEX($AG$2:$AG$1001,MATCH(ROWS($AF$2:AF474),$AF$2:$AF$1001,0),1)&gt;=100000,INDEX($AM$1005:$BM$1005,1,MATCH(COLUMNS($AM$1006:AM1006),$AM$1006:$BM$1006,0))&gt;=100000), " ",IF(INDEX($AM$2:$BM$1001,MATCH(ROWS($AF$2:AF474),$AF$2:$AF$1001,0),MATCH(COLUMNS($AM$1006:AM1006),$AM$1006:$BM$1006,0)), HYPERLINK("#",""), HYPERLINK(CONCATENATE("#metadata!", ADDRESS(INDEX($AH$2:$AH$1001,MATCH(ROWS($AF$2:AF474),$AF$2:$AF$1001,0),0), INDEX($AM$1004:$BM$1004,1,MATCH(COLUMNS($AM$1006:AM1006),$AM$1006:$BM$1006,0)))),"Fix")))</f>
        <v xml:space="preserve"> </v>
      </c>
      <c r="C474" s="4" t="str">
        <f ca="1">IF(OR(INDEX($AG$2:$AG$1001,MATCH(ROWS($AF$2:AF474),$AF$2:$AF$1001,0),1)&gt;=100000,INDEX($AM$1005:$BM$1005,1,MATCH(COLUMNS($AM$1006:AN1006),$AM$1006:$BM$1006,0))&gt;=100000), " ",IF(INDEX($AM$2:$BM$1001,MATCH(ROWS($AF$2:AF474),$AF$2:$AF$1001,0),MATCH(COLUMNS($AM$1006:AN1006),$AM$1006:$BM$1006,0)), HYPERLINK("#",""), HYPERLINK(CONCATENATE("#metadata!", ADDRESS(INDEX($AH$2:$AH$1001,MATCH(ROWS($AF$2:AF474),$AF$2:$AF$1001,0),0), INDEX($AM$1004:$BM$1004,1,MATCH(COLUMNS($AM$1006:AN1006),$AM$1006:$BM$1006,0)))),"Fix")))</f>
        <v xml:space="preserve"> </v>
      </c>
      <c r="D474" s="4" t="str">
        <f ca="1">IF(OR(INDEX($AG$2:$AG$1001,MATCH(ROWS($AF$2:AF474),$AF$2:$AF$1001,0),1)&gt;=100000,INDEX($AM$1005:$BM$1005,1,MATCH(COLUMNS($AM$1006:AO1006),$AM$1006:$BM$1006,0))&gt;=100000), " ",IF(INDEX($AM$2:$BM$1001,MATCH(ROWS($AF$2:AF474),$AF$2:$AF$1001,0),MATCH(COLUMNS($AM$1006:AO1006),$AM$1006:$BM$1006,0)), HYPERLINK("#",""), HYPERLINK(CONCATENATE("#metadata!", ADDRESS(INDEX($AH$2:$AH$1001,MATCH(ROWS($AF$2:AF474),$AF$2:$AF$1001,0),0), INDEX($AM$1004:$BM$1004,1,MATCH(COLUMNS($AM$1006:AO1006),$AM$1006:$BM$1006,0)))),"Fix")))</f>
        <v xml:space="preserve"> </v>
      </c>
      <c r="E474" s="4" t="str">
        <f ca="1">IF(OR(INDEX($AG$2:$AG$1001,MATCH(ROWS($AF$2:AF474),$AF$2:$AF$1001,0),1)&gt;=100000,INDEX($AM$1005:$BM$1005,1,MATCH(COLUMNS($AM$1006:AP1006),$AM$1006:$BM$1006,0))&gt;=100000), " ",IF(INDEX($AM$2:$BM$1001,MATCH(ROWS($AF$2:AF474),$AF$2:$AF$1001,0),MATCH(COLUMNS($AM$1006:AP1006),$AM$1006:$BM$1006,0)), HYPERLINK("#",""), HYPERLINK(CONCATENATE("#metadata!", ADDRESS(INDEX($AH$2:$AH$1001,MATCH(ROWS($AF$2:AF474),$AF$2:$AF$1001,0),0), INDEX($AM$1004:$BM$1004,1,MATCH(COLUMNS($AM$1006:AP1006),$AM$1006:$BM$1006,0)))),"Fix")))</f>
        <v xml:space="preserve"> </v>
      </c>
      <c r="F474" s="4" t="str">
        <f ca="1">IF(OR(INDEX($AG$2:$AG$1001,MATCH(ROWS($AF$2:AF474),$AF$2:$AF$1001,0),1)&gt;=100000,INDEX($AM$1005:$BM$1005,1,MATCH(COLUMNS($AM$1006:AQ1006),$AM$1006:$BM$1006,0))&gt;=100000), " ",IF(INDEX($AM$2:$BM$1001,MATCH(ROWS($AF$2:AF474),$AF$2:$AF$1001,0),MATCH(COLUMNS($AM$1006:AQ1006),$AM$1006:$BM$1006,0)), HYPERLINK("#",""), HYPERLINK(CONCATENATE("#metadata!", ADDRESS(INDEX($AH$2:$AH$1001,MATCH(ROWS($AF$2:AF474),$AF$2:$AF$1001,0),0), INDEX($AM$1004:$BM$1004,1,MATCH(COLUMNS($AM$1006:AQ1006),$AM$1006:$BM$1006,0)))),"Fix")))</f>
        <v xml:space="preserve"> </v>
      </c>
      <c r="G474" s="4" t="str">
        <f ca="1">IF(OR(INDEX($AG$2:$AG$1001,MATCH(ROWS($AF$2:AF474),$AF$2:$AF$1001,0),1)&gt;=100000,INDEX($AM$1005:$BM$1005,1,MATCH(COLUMNS($AM$1006:AR1006),$AM$1006:$BM$1006,0))&gt;=100000), " ",IF(INDEX($AM$2:$BM$1001,MATCH(ROWS($AF$2:AF474),$AF$2:$AF$1001,0),MATCH(COLUMNS($AM$1006:AR1006),$AM$1006:$BM$1006,0)), HYPERLINK("#",""), HYPERLINK(CONCATENATE("#metadata!", ADDRESS(INDEX($AH$2:$AH$1001,MATCH(ROWS($AF$2:AF474),$AF$2:$AF$1001,0),0), INDEX($AM$1004:$BM$1004,1,MATCH(COLUMNS($AM$1006:AR1006),$AM$1006:$BM$1006,0)))),"Fix")))</f>
        <v xml:space="preserve"> </v>
      </c>
      <c r="H474" s="4" t="str">
        <f ca="1">IF(OR(INDEX($AG$2:$AG$1001,MATCH(ROWS($AF$2:AF474),$AF$2:$AF$1001,0),1)&gt;=100000,INDEX($AM$1005:$BM$1005,1,MATCH(COLUMNS($AM$1006:AS1006),$AM$1006:$BM$1006,0))&gt;=100000), " ",IF(INDEX($AM$2:$BM$1001,MATCH(ROWS($AF$2:AF474),$AF$2:$AF$1001,0),MATCH(COLUMNS($AM$1006:AS1006),$AM$1006:$BM$1006,0)), HYPERLINK("#",""), HYPERLINK(CONCATENATE("#metadata!", ADDRESS(INDEX($AH$2:$AH$1001,MATCH(ROWS($AF$2:AF474),$AF$2:$AF$1001,0),0), INDEX($AM$1004:$BM$1004,1,MATCH(COLUMNS($AM$1006:AS1006),$AM$1006:$BM$1006,0)))),"Fix")))</f>
        <v xml:space="preserve"> </v>
      </c>
      <c r="I474" s="4" t="str">
        <f ca="1">IF(OR(INDEX($AG$2:$AG$1001,MATCH(ROWS($AF$2:AF474),$AF$2:$AF$1001,0),1)&gt;=100000,INDEX($AM$1005:$BM$1005,1,MATCH(COLUMNS($AM$1006:AT1006),$AM$1006:$BM$1006,0))&gt;=100000), " ",IF(INDEX($AM$2:$BM$1001,MATCH(ROWS($AF$2:AF474),$AF$2:$AF$1001,0),MATCH(COLUMNS($AM$1006:AT1006),$AM$1006:$BM$1006,0)), HYPERLINK("#",""), HYPERLINK(CONCATENATE("#metadata!", ADDRESS(INDEX($AH$2:$AH$1001,MATCH(ROWS($AF$2:AF474),$AF$2:$AF$1001,0),0), INDEX($AM$1004:$BM$1004,1,MATCH(COLUMNS($AM$1006:AT1006),$AM$1006:$BM$1006,0)))),"Fix")))</f>
        <v xml:space="preserve"> </v>
      </c>
      <c r="J474" s="4" t="str">
        <f ca="1">IF(OR(INDEX($AG$2:$AG$1001,MATCH(ROWS($AF$2:AF474),$AF$2:$AF$1001,0),1)&gt;=100000,INDEX($AM$1005:$BM$1005,1,MATCH(COLUMNS($AM$1006:AU1006),$AM$1006:$BM$1006,0))&gt;=100000), " ",IF(INDEX($AM$2:$BM$1001,MATCH(ROWS($AF$2:AF474),$AF$2:$AF$1001,0),MATCH(COLUMNS($AM$1006:AU1006),$AM$1006:$BM$1006,0)), HYPERLINK("#",""), HYPERLINK(CONCATENATE("#metadata!", ADDRESS(INDEX($AH$2:$AH$1001,MATCH(ROWS($AF$2:AF474),$AF$2:$AF$1001,0),0), INDEX($AM$1004:$BM$1004,1,MATCH(COLUMNS($AM$1006:AU1006),$AM$1006:$BM$1006,0)))),"Fix")))</f>
        <v xml:space="preserve"> </v>
      </c>
      <c r="K474" s="4" t="str">
        <f ca="1">IF(OR(INDEX($AG$2:$AG$1001,MATCH(ROWS($AF$2:AF474),$AF$2:$AF$1001,0),1)&gt;=100000,INDEX($AM$1005:$BM$1005,1,MATCH(COLUMNS($AM$1006:AV1006),$AM$1006:$BM$1006,0))&gt;=100000), " ",IF(INDEX($AM$2:$BM$1001,MATCH(ROWS($AF$2:AF474),$AF$2:$AF$1001,0),MATCH(COLUMNS($AM$1006:AV1006),$AM$1006:$BM$1006,0)), HYPERLINK("#",""), HYPERLINK(CONCATENATE("#metadata!", ADDRESS(INDEX($AH$2:$AH$1001,MATCH(ROWS($AF$2:AF474),$AF$2:$AF$1001,0),0), INDEX($AM$1004:$BM$1004,1,MATCH(COLUMNS($AM$1006:AV1006),$AM$1006:$BM$1006,0)))),"Fix")))</f>
        <v xml:space="preserve"> </v>
      </c>
      <c r="L474" s="4" t="str">
        <f ca="1">IF(OR(INDEX($AG$2:$AG$1001,MATCH(ROWS($AF$2:AF474),$AF$2:$AF$1001,0),1)&gt;=100000,INDEX($AM$1005:$BM$1005,1,MATCH(COLUMNS($AM$1006:AW1006),$AM$1006:$BM$1006,0))&gt;=100000), " ",IF(INDEX($AM$2:$BM$1001,MATCH(ROWS($AF$2:AF474),$AF$2:$AF$1001,0),MATCH(COLUMNS($AM$1006:AW1006),$AM$1006:$BM$1006,0)), HYPERLINK("#",""), HYPERLINK(CONCATENATE("#metadata!", ADDRESS(INDEX($AH$2:$AH$1001,MATCH(ROWS($AF$2:AF474),$AF$2:$AF$1001,0),0), INDEX($AM$1004:$BM$1004,1,MATCH(COLUMNS($AM$1006:AW1006),$AM$1006:$BM$1006,0)))),"Fix")))</f>
        <v xml:space="preserve"> </v>
      </c>
      <c r="M474" s="4" t="str">
        <f ca="1">IF(OR(INDEX($AG$2:$AG$1001,MATCH(ROWS($AF$2:AF474),$AF$2:$AF$1001,0),1)&gt;=100000,INDEX($AM$1005:$BM$1005,1,MATCH(COLUMNS($AM$1006:AX1006),$AM$1006:$BM$1006,0))&gt;=100000), " ",IF(INDEX($AM$2:$BM$1001,MATCH(ROWS($AF$2:AF474),$AF$2:$AF$1001,0),MATCH(COLUMNS($AM$1006:AX1006),$AM$1006:$BM$1006,0)), HYPERLINK("#",""), HYPERLINK(CONCATENATE("#metadata!", ADDRESS(INDEX($AH$2:$AH$1001,MATCH(ROWS($AF$2:AF474),$AF$2:$AF$1001,0),0), INDEX($AM$1004:$BM$1004,1,MATCH(COLUMNS($AM$1006:AX1006),$AM$1006:$BM$1006,0)))),"Fix")))</f>
        <v xml:space="preserve"> </v>
      </c>
      <c r="N474" s="4" t="str">
        <f ca="1">IF(OR(INDEX($AG$2:$AG$1001,MATCH(ROWS($AF$2:AF474),$AF$2:$AF$1001,0),1)&gt;=100000,INDEX($AM$1005:$BM$1005,1,MATCH(COLUMNS($AM$1006:AY1006),$AM$1006:$BM$1006,0))&gt;=100000), " ",IF(INDEX($AM$2:$BM$1001,MATCH(ROWS($AF$2:AF474),$AF$2:$AF$1001,0),MATCH(COLUMNS($AM$1006:AY1006),$AM$1006:$BM$1006,0)), HYPERLINK("#",""), HYPERLINK(CONCATENATE("#metadata!", ADDRESS(INDEX($AH$2:$AH$1001,MATCH(ROWS($AF$2:AF474),$AF$2:$AF$1001,0),0), INDEX($AM$1004:$BM$1004,1,MATCH(COLUMNS($AM$1006:AY1006),$AM$1006:$BM$1006,0)))),"Fix")))</f>
        <v xml:space="preserve"> </v>
      </c>
      <c r="O474" s="4" t="str">
        <f ca="1">IF(OR(INDEX($AG$2:$AG$1001,MATCH(ROWS($AF$2:AF474),$AF$2:$AF$1001,0),1)&gt;=100000,INDEX($AM$1005:$BM$1005,1,MATCH(COLUMNS($AM$1006:AZ1006),$AM$1006:$BM$1006,0))&gt;=100000), " ",IF(INDEX($AM$2:$BM$1001,MATCH(ROWS($AF$2:AF474),$AF$2:$AF$1001,0),MATCH(COLUMNS($AM$1006:AZ1006),$AM$1006:$BM$1006,0)), HYPERLINK("#",""), HYPERLINK(CONCATENATE("#metadata!", ADDRESS(INDEX($AH$2:$AH$1001,MATCH(ROWS($AF$2:AF474),$AF$2:$AF$1001,0),0), INDEX($AM$1004:$BM$1004,1,MATCH(COLUMNS($AM$1006:AZ1006),$AM$1006:$BM$1006,0)))),"Fix")))</f>
        <v xml:space="preserve"> </v>
      </c>
      <c r="P474" s="4" t="str">
        <f ca="1">IF(OR(INDEX($AG$2:$AG$1001,MATCH(ROWS($AF$2:AF474),$AF$2:$AF$1001,0),1)&gt;=100000,INDEX($AM$1005:$BM$1005,1,MATCH(COLUMNS($AM$1006:BA1006),$AM$1006:$BM$1006,0))&gt;=100000), " ",IF(INDEX($AM$2:$BM$1001,MATCH(ROWS($AF$2:AF474),$AF$2:$AF$1001,0),MATCH(COLUMNS($AM$1006:BA1006),$AM$1006:$BM$1006,0)), HYPERLINK("#",""), HYPERLINK(CONCATENATE("#metadata!", ADDRESS(INDEX($AH$2:$AH$1001,MATCH(ROWS($AF$2:AF474),$AF$2:$AF$1001,0),0), INDEX($AM$1004:$BM$1004,1,MATCH(COLUMNS($AM$1006:BA1006),$AM$1006:$BM$1006,0)))),"Fix")))</f>
        <v xml:space="preserve"> </v>
      </c>
      <c r="Q474" s="4" t="str">
        <f ca="1">IF(OR(INDEX($AG$2:$AG$1001,MATCH(ROWS($AF$2:AF474),$AF$2:$AF$1001,0),1)&gt;=100000,INDEX($AM$1005:$BM$1005,1,MATCH(COLUMNS($AM$1006:BB1006),$AM$1006:$BM$1006,0))&gt;=100000), " ",IF(INDEX($AM$2:$BM$1001,MATCH(ROWS($AF$2:AF474),$AF$2:$AF$1001,0),MATCH(COLUMNS($AM$1006:BB1006),$AM$1006:$BM$1006,0)), HYPERLINK("#",""), HYPERLINK(CONCATENATE("#metadata!", ADDRESS(INDEX($AH$2:$AH$1001,MATCH(ROWS($AF$2:AF474),$AF$2:$AF$1001,0),0), INDEX($AM$1004:$BM$1004,1,MATCH(COLUMNS($AM$1006:BB1006),$AM$1006:$BM$1006,0)))),"Fix")))</f>
        <v xml:space="preserve"> </v>
      </c>
      <c r="R474" s="4" t="str">
        <f ca="1">IF(OR(INDEX($AG$2:$AG$1001,MATCH(ROWS($AF$2:AF474),$AF$2:$AF$1001,0),1)&gt;=100000,INDEX($AM$1005:$BM$1005,1,MATCH(COLUMNS($AM$1006:BC1006),$AM$1006:$BM$1006,0))&gt;=100000), " ",IF(INDEX($AM$2:$BM$1001,MATCH(ROWS($AF$2:AF474),$AF$2:$AF$1001,0),MATCH(COLUMNS($AM$1006:BC1006),$AM$1006:$BM$1006,0)), HYPERLINK("#",""), HYPERLINK(CONCATENATE("#metadata!", ADDRESS(INDEX($AH$2:$AH$1001,MATCH(ROWS($AF$2:AF474),$AF$2:$AF$1001,0),0), INDEX($AM$1004:$BM$1004,1,MATCH(COLUMNS($AM$1006:BC1006),$AM$1006:$BM$1006,0)))),"Fix")))</f>
        <v xml:space="preserve"> </v>
      </c>
      <c r="S474" s="4" t="str">
        <f ca="1">IF(OR(INDEX($AG$2:$AG$1001,MATCH(ROWS($AF$2:AF474),$AF$2:$AF$1001,0),1)&gt;=100000,INDEX($AM$1005:$BM$1005,1,MATCH(COLUMNS($AM$1006:BD1006),$AM$1006:$BM$1006,0))&gt;=100000), " ",IF(INDEX($AM$2:$BM$1001,MATCH(ROWS($AF$2:AF474),$AF$2:$AF$1001,0),MATCH(COLUMNS($AM$1006:BD1006),$AM$1006:$BM$1006,0)), HYPERLINK("#",""), HYPERLINK(CONCATENATE("#metadata!", ADDRESS(INDEX($AH$2:$AH$1001,MATCH(ROWS($AF$2:AF474),$AF$2:$AF$1001,0),0), INDEX($AM$1004:$BM$1004,1,MATCH(COLUMNS($AM$1006:BD1006),$AM$1006:$BM$1006,0)))),"Fix")))</f>
        <v xml:space="preserve"> </v>
      </c>
      <c r="T474" s="4" t="str">
        <f ca="1">IF(OR(INDEX($AG$2:$AG$1001,MATCH(ROWS($AF$2:AF474),$AF$2:$AF$1001,0),1)&gt;=100000,INDEX($AM$1005:$BM$1005,1,MATCH(COLUMNS($AM$1006:BE1006),$AM$1006:$BM$1006,0))&gt;=100000), " ",IF(INDEX($AM$2:$BM$1001,MATCH(ROWS($AF$2:AF474),$AF$2:$AF$1001,0),MATCH(COLUMNS($AM$1006:BE1006),$AM$1006:$BM$1006,0)), HYPERLINK("#",""), HYPERLINK(CONCATENATE("#metadata!", ADDRESS(INDEX($AH$2:$AH$1001,MATCH(ROWS($AF$2:AF474),$AF$2:$AF$1001,0),0), INDEX($AM$1004:$BM$1004,1,MATCH(COLUMNS($AM$1006:BE1006),$AM$1006:$BM$1006,0)))),"Fix")))</f>
        <v xml:space="preserve"> </v>
      </c>
      <c r="U474" s="4" t="str">
        <f ca="1">IF(OR(INDEX($AG$2:$AG$1001,MATCH(ROWS($AF$2:AF474),$AF$2:$AF$1001,0),1)&gt;=100000,INDEX($AM$1005:$BM$1005,1,MATCH(COLUMNS($AM$1006:BF1006),$AM$1006:$BM$1006,0))&gt;=100000), " ",IF(INDEX($AM$2:$BM$1001,MATCH(ROWS($AF$2:AF474),$AF$2:$AF$1001,0),MATCH(COLUMNS($AM$1006:BF1006),$AM$1006:$BM$1006,0)), HYPERLINK("#",""), HYPERLINK(CONCATENATE("#metadata!", ADDRESS(INDEX($AH$2:$AH$1001,MATCH(ROWS($AF$2:AF474),$AF$2:$AF$1001,0),0), INDEX($AM$1004:$BM$1004,1,MATCH(COLUMNS($AM$1006:BF1006),$AM$1006:$BM$1006,0)))),"Fix")))</f>
        <v xml:space="preserve"> </v>
      </c>
      <c r="V474" s="4" t="str">
        <f ca="1">IF(OR(INDEX($AG$2:$AG$1001,MATCH(ROWS($AF$2:AF474),$AF$2:$AF$1001,0),1)&gt;=100000,INDEX($AM$1005:$BM$1005,1,MATCH(COLUMNS($AM$1006:BG1006),$AM$1006:$BM$1006,0))&gt;=100000), " ",IF(INDEX($AM$2:$BM$1001,MATCH(ROWS($AF$2:AF474),$AF$2:$AF$1001,0),MATCH(COLUMNS($AM$1006:BG1006),$AM$1006:$BM$1006,0)), HYPERLINK("#",""), HYPERLINK(CONCATENATE("#metadata!", ADDRESS(INDEX($AH$2:$AH$1001,MATCH(ROWS($AF$2:AF474),$AF$2:$AF$1001,0),0), INDEX($AM$1004:$BM$1004,1,MATCH(COLUMNS($AM$1006:BG1006),$AM$1006:$BM$1006,0)))),"Fix")))</f>
        <v xml:space="preserve"> </v>
      </c>
      <c r="W474" s="4" t="str">
        <f ca="1">IF(OR(INDEX($AG$2:$AG$1001,MATCH(ROWS($AF$2:AF474),$AF$2:$AF$1001,0),1)&gt;=100000,INDEX($AM$1005:$BM$1005,1,MATCH(COLUMNS($AM$1006:BH1006),$AM$1006:$BM$1006,0))&gt;=100000), " ",IF(INDEX($AM$2:$BM$1001,MATCH(ROWS($AF$2:AF474),$AF$2:$AF$1001,0),MATCH(COLUMNS($AM$1006:BH1006),$AM$1006:$BM$1006,0)), HYPERLINK("#",""), HYPERLINK(CONCATENATE("#metadata!", ADDRESS(INDEX($AH$2:$AH$1001,MATCH(ROWS($AF$2:AF474),$AF$2:$AF$1001,0),0), INDEX($AM$1004:$BM$1004,1,MATCH(COLUMNS($AM$1006:BH1006),$AM$1006:$BM$1006,0)))),"Fix")))</f>
        <v xml:space="preserve"> </v>
      </c>
      <c r="X474" s="4" t="str">
        <f ca="1">IF(OR(INDEX($AG$2:$AG$1001,MATCH(ROWS($AF$2:AF474),$AF$2:$AF$1001,0),1)&gt;=100000,INDEX($AM$1005:$BM$1005,1,MATCH(COLUMNS($AM$1006:BI1006),$AM$1006:$BM$1006,0))&gt;=100000), " ",IF(INDEX($AM$2:$BM$1001,MATCH(ROWS($AF$2:AF474),$AF$2:$AF$1001,0),MATCH(COLUMNS($AM$1006:BI1006),$AM$1006:$BM$1006,0)), HYPERLINK("#",""), HYPERLINK(CONCATENATE("#metadata!", ADDRESS(INDEX($AH$2:$AH$1001,MATCH(ROWS($AF$2:AF474),$AF$2:$AF$1001,0),0), INDEX($AM$1004:$BM$1004,1,MATCH(COLUMNS($AM$1006:BI1006),$AM$1006:$BM$1006,0)))),"Fix")))</f>
        <v xml:space="preserve"> </v>
      </c>
      <c r="Y474" s="4" t="str">
        <f ca="1">IF(OR(INDEX($AG$2:$AG$1001,MATCH(ROWS($AF$2:AF474),$AF$2:$AF$1001,0),1)&gt;=100000,INDEX($AM$1005:$BM$1005,1,MATCH(COLUMNS($AM$1006:BJ1006),$AM$1006:$BM$1006,0))&gt;=100000), " ",IF(INDEX($AM$2:$BM$1001,MATCH(ROWS($AF$2:AF474),$AF$2:$AF$1001,0),MATCH(COLUMNS($AM$1006:BJ1006),$AM$1006:$BM$1006,0)), HYPERLINK("#",""), HYPERLINK(CONCATENATE("#metadata!", ADDRESS(INDEX($AH$2:$AH$1001,MATCH(ROWS($AF$2:AF474),$AF$2:$AF$1001,0),0), INDEX($AM$1004:$BM$1004,1,MATCH(COLUMNS($AM$1006:BJ1006),$AM$1006:$BM$1006,0)))),"Fix")))</f>
        <v xml:space="preserve"> </v>
      </c>
      <c r="Z474" s="4" t="str">
        <f ca="1">IF(OR(INDEX($AG$2:$AG$1001,MATCH(ROWS($AF$2:AF474),$AF$2:$AF$1001,0),1)&gt;=100000,INDEX($AM$1005:$BM$1005,1,MATCH(COLUMNS($AM$1006:BK1006),$AM$1006:$BM$1006,0))&gt;=100000), " ",IF(INDEX($AM$2:$BM$1001,MATCH(ROWS($AF$2:AF474),$AF$2:$AF$1001,0),MATCH(COLUMNS($AM$1006:BK1006),$AM$1006:$BM$1006,0)), HYPERLINK("#",""), HYPERLINK(CONCATENATE("#metadata!", ADDRESS(INDEX($AH$2:$AH$1001,MATCH(ROWS($AF$2:AF474),$AF$2:$AF$1001,0),0), INDEX($AM$1004:$BM$1004,1,MATCH(COLUMNS($AM$1006:BK1006),$AM$1006:$BM$1006,0)))),"Fix")))</f>
        <v xml:space="preserve"> </v>
      </c>
      <c r="AA474" s="4" t="str">
        <f ca="1">IF(OR(INDEX($AG$2:$AG$1001,MATCH(ROWS($AF$2:AF474),$AF$2:$AF$1001,0),1)&gt;=100000,INDEX($AM$1005:$BM$1005,1,MATCH(COLUMNS($AM$1006:BL1006),$AM$1006:$BM$1006,0))&gt;=100000), " ",IF(INDEX($AM$2:$BM$1001,MATCH(ROWS($AF$2:AF474),$AF$2:$AF$1001,0),MATCH(COLUMNS($AM$1006:BL1006),$AM$1006:$BM$1006,0)), HYPERLINK("#",""), HYPERLINK(CONCATENATE("#metadata!", ADDRESS(INDEX($AH$2:$AH$1001,MATCH(ROWS($AF$2:AF474),$AF$2:$AF$1001,0),0), INDEX($AM$1004:$BM$1004,1,MATCH(COLUMNS($AM$1006:BL1006),$AM$1006:$BM$1006,0)))),"Fix")))</f>
        <v xml:space="preserve"> </v>
      </c>
      <c r="AB474" s="4" t="str">
        <f ca="1">IF(OR(INDEX($AG$2:$AG$1001,MATCH(ROWS($AF$2:AF474),$AF$2:$AF$1001,0),1)&gt;=100000,INDEX($AM$1005:$BM$1005,1,MATCH(COLUMNS($AM$1006:BM1006),$AM$1006:$BM$1006,0))&gt;=100000), " ",IF(INDEX($AM$2:$BM$1001,MATCH(ROWS($AF$2:AF474),$AF$2:$AF$1001,0),MATCH(COLUMNS($AM$1006:BM1006),$AM$1006:$BM$1006,0)), HYPERLINK("#",""), HYPERLINK(CONCATENATE("#metadata!", ADDRESS(INDEX($AH$2:$AH$1001,MATCH(ROWS($AF$2:AF474),$AF$2:$AF$1001,0),0), INDEX($AM$1004:$BM$1004,1,MATCH(COLUMNS($AM$1006:BM1006),$AM$1006:$BM$1006,0)))),"Fix")))</f>
        <v xml:space="preserve"> </v>
      </c>
      <c r="AF474">
        <v>473</v>
      </c>
      <c r="AG474">
        <v>100474</v>
      </c>
      <c r="AH474">
        <v>474</v>
      </c>
      <c r="AI474" t="b">
        <f t="shared" si="7"/>
        <v>1</v>
      </c>
      <c r="AJ474" t="b">
        <f>COUNTBLANK(metadata!B474:AB474)=COLUMNS(metadata!B474:AB474)</f>
        <v>1</v>
      </c>
      <c r="AK474" t="str">
        <v/>
      </c>
      <c r="AM474" t="b">
        <f ca="1">AND(IF(metadata!B474="",FALSE,TRUE),COUNTIF(metadata!B:B, metadata!B474) = 1,NOT(ISERROR(SUMPRODUCT(SEARCH(MID(metadata!B474,ROW(INDIRECT("1:"&amp;LEN(metadata!B474))), 1),"0123456789abcdefghijklmnopqrstuvwxyzABCDEFGHIJKLMNOPQRSTUVWXYZ.")))))</f>
        <v>0</v>
      </c>
      <c r="AN474" t="b">
        <f ca="1">OR(AND(IF(metadata!C474="",FALSE,TRUE),OR(EXACT(metadata!C474,"missing: not collected"),EXACT(metadata!C474,"missing: not provided"),EXACT(metadata!C474,"missing: restricted access"))),AND(IF(metadata!C474="",FALSE,TRUE),AND(AND(IFERROR(INT(LEFT(metadata!C474,4))&gt;1900,FALSE),IFERROR(INT(LEFT(metadata!C474,4))&lt;=YEAR(NOW()),FALSE)), OR(MID(metadata!C474,5,1)="", AND(AND(MID(metadata!C474,5,1)="-",IFERROR(INT(MID(metadata!C474,6,1))&gt;=0,FALSE),IFERROR(INT(MID(metadata!C474,6,1))&lt;=1,FALSE),NOT(MID(metadata!C474,7,1)=""),IFERROR(INT(MID(metadata!C474,6,2))&gt;=1,FALSE),IFERROR(INT(MID(metadata!C474,6,2))&lt;=12,FALSE)), OR(MID(metadata!C474,8,1)="", AND(AND(MID(metadata!C474,8,1)="-",IFERROR(INT(MID(metadata!C474,9,1))&gt;=0,FALSE),IFERROR(INT(MID(metadata!C474,9,1))&lt;=3,FALSE),NOT(MID(metadata!C474,10,1)=""),IFERROR(INT(MID(metadata!C474,9,2))&gt;=1,FALSE),IFERROR(INT(MID(metadata!C474,9,2))&lt;=31,FALSE)), OR(MID(metadata!C474,11,1)="", AND(AND(MID(metadata!C474,11,1)=" ",IFERROR(INT(MID(metadata!C474,12,1))&gt;=0,FALSE),IFERROR(INT(MID(metadata!C474,12,1))&lt;=2,FALSE),NOT(MID(metadata!C474,13,1)=""),IFERROR(INT(MID(metadata!C474,12,2))&gt;=0,FALSE),IFERROR(INT(MID(metadata!C474,12,2))&lt;=23,FALSE)), OR(MID(metadata!C474,14,1)="", AND(AND(MID(metadata!C474,14,1)=":",IFERROR(INT(MID(metadata!C474,15,1))&gt;=0,FALSE),IFERROR(INT(MID(metadata!C474,15,1))&lt;=5,FALSE),NOT(MID(metadata!C474,16,1)=""),IFERROR(INT(MID(metadata!C474,15,2))&gt;=0,FALSE),IFERROR(INT(MID(metadata!C474,15,2))&lt;=59,FALSE)), OR(MID(metadata!C474,17,1)="", AND(AND(MID(metadata!C474,17,1)=":",IFERROR(INT(MID(metadata!C474,18,1))&gt;=0,FALSE),IFERROR(INT(MID(metadata!C474,18,1))&lt;=5,FALSE),NOT(MID(metadata!C474,19,1)=""),IFERROR(INT(MID(metadata!C474,18,2))&gt;=0,FALSE),IFERROR(INT(MID(metadata!C474,18,2))&lt;=59,FALSE)), LEN(metadata!C474)&lt;=19)))))))))))))</f>
        <v>0</v>
      </c>
      <c r="AO474" t="b">
        <f>AND(IF(metadata!D474="",FALSE,TRUE),EXACT(metadata!D474,"Not applicable"))</f>
        <v>0</v>
      </c>
      <c r="AP474" t="b">
        <f>IF(metadata!E474="",FALSE,TRUE)</f>
        <v>0</v>
      </c>
      <c r="AQ474" t="b">
        <f>OR(AND(IF(metadata!F474="",FALSE,TRUE),OR(EXACT(metadata!F474,"missing: not collected"),EXACT(metadata!F474,"missing: not provided"))),AND(IF(metadata!F474="",FALSE,TRUE),OR(EXACT(metadata!F474,"TRUE"),EXACT(metadata!F474,"FALSE"))))</f>
        <v>0</v>
      </c>
      <c r="AR474" t="b">
        <f>OR(AND(IF(metadata!G474="",FALSE,TRUE),OR(EXACT(metadata!G474,"missing: not collected"),EXACT(metadata!G474,"missing: not provided"),EXACT(metadata!G474,"missing: restricted access"))),AND(IF(metadata!G474="",FALSE,ISNUMBER(VALUE(metadata!G474))),metadata!G474&gt;=-413))</f>
        <v>0</v>
      </c>
      <c r="AS474" t="b">
        <f>AND(IF(metadata!H474="",FALSE,TRUE),EXACT(metadata!H474,"meters"))</f>
        <v>0</v>
      </c>
      <c r="AT474" t="b">
        <f>AND(IF(metadata!I474="",FALSE,TRUE),OR(EXACT(metadata!I474,"Host-associated"),EXACT(metadata!I474,"Free-living")))</f>
        <v>0</v>
      </c>
      <c r="AU474" t="b">
        <f>AND(IF(metadata!J474="",FALSE,TRUE),OR(EXACT(metadata!J474,"Animal"),EXACT(metadata!J474,"Fungus"),EXACT(metadata!J474,"Plant"),EXACT(metadata!J474,"Saline"),EXACT(metadata!J474,"Non-saline")))</f>
        <v>0</v>
      </c>
      <c r="AV474" t="b">
        <f>AND(IF(metadata!K474="",FALSE,TRUE),OR(EXACT(metadata!K474,"Plant secretion"),EXACT(metadata!K474,"Plant rhizosphere"),EXACT(metadata!K474,"Plant surface"),EXACT(metadata!K474,"Plant corpus"),EXACT(metadata!K474,"Fungus surface"),EXACT(metadata!K474,"Fungus corpus"),EXACT(metadata!K474,"Animal surface"),EXACT(metadata!K474,"Animal proximal gut"),EXACT(metadata!K474,"Animal corpus"),EXACT(metadata!K474,"Animal distal gut"),EXACT(metadata!K474,"Animal secretion"),EXACT(metadata!K474,"Sub-surface (non-saline)"),EXACT(metadata!K474,"Surface (non-saline)"),EXACT(metadata!K474,"Water (non-saline)"),EXACT(metadata!K474,"Soil (non-saline)"),EXACT(metadata!K474,"Aerosol (non-saline)"),EXACT(metadata!K474,"Sediment (non-saline)"),EXACT(metadata!K474,"Surface (saline)"),EXACT(metadata!K474,"Water (saline)"),EXACT(metadata!K474,"Hypersaline (saline)"),EXACT(metadata!K474,"Aerosol (saline)"),EXACT(metadata!K474,"Sediment (saline)")))</f>
        <v>0</v>
      </c>
      <c r="AW474" t="b">
        <f>IF(metadata!L474="",FALSE,TRUE)</f>
        <v>0</v>
      </c>
      <c r="AX474" t="b">
        <f>IF(metadata!M474="",FALSE,TRUE)</f>
        <v>0</v>
      </c>
      <c r="AY474" t="b">
        <f>IF(metadata!N474="",FALSE,TRUE)</f>
        <v>0</v>
      </c>
      <c r="AZ474" t="b">
        <f>OR(AND(IF(metadata!O474="",FALSE,TRUE),OR(EXACT(metadata!O474,"missing: not collected"),EXACT(metadata!O474,"missing: not provided"),EXACT(metadata!O474,"missing: restricted access"))),AND(IF(metadata!O474="",FALSE,TRUE),OR(EXACT(metadata!O474,"air"),EXACT(metadata!O474,"built environment"),EXACT(metadata!O474,"host-associated"),EXACT(metadata!O474,"human-associated"),EXACT(metadata!O474,"human-skin"),EXACT(metadata!O474,"human-oral"),EXACT(metadata!O474,"human-gut"),EXACT(metadata!O474,"human-vaginal"),EXACT(metadata!O474,"microbial mat/biofilm"),EXACT(metadata!O474,"misc environment"),EXACT(metadata!O474,"plant-associated"),EXACT(metadata!O474,"sediment"),EXACT(metadata!O474,"soil"),EXACT(metadata!O474,"wastewater/sludge"),EXACT(metadata!O474,"water"))))</f>
        <v>0</v>
      </c>
      <c r="BA474" t="b">
        <f>IF(metadata!P474="",FALSE,TRUE)</f>
        <v>0</v>
      </c>
      <c r="BB474" t="b">
        <f>IF(metadata!Q474="",FALSE,TRUE)</f>
        <v>0</v>
      </c>
      <c r="BC474" t="b">
        <f>OR(AND(IF(metadata!R474="",FALSE,TRUE),OR(EXACT(metadata!R474,"missing: not collected"),EXACT(metadata!R474,"missing: not provided"),EXACT(metadata!R474,"missing: restricted access"))),AND(IF(metadata!R474="",FALSE,ISNUMBER(VALUE(metadata!R474))),metadata!R474&gt;=-90,metadata!R474&lt;=90))</f>
        <v>0</v>
      </c>
      <c r="BD474" t="b">
        <f>AND(IF(metadata!S474="",FALSE,TRUE),EXACT(metadata!S474,"Decimal degrees"))</f>
        <v>0</v>
      </c>
      <c r="BE474" t="b">
        <f>OR(AND(IF(metadata!T474="",FALSE,TRUE),OR(EXACT(metadata!T474,"missing: not collected"),EXACT(metadata!T474,"missing: not provided"),EXACT(metadata!T474,"missing: restricted access"))),AND(IF(metadata!T474="",FALSE,ISNUMBER(VALUE(metadata!T474))),metadata!T474&gt;=-180,metadata!T474&lt;=180))</f>
        <v>0</v>
      </c>
      <c r="BF474" t="b">
        <f>AND(IF(metadata!U474="",FALSE,TRUE),EXACT(metadata!U474,"Decimal degrees"))</f>
        <v>0</v>
      </c>
      <c r="BG474" t="b">
        <f>IF(metadata!V474="",FALSE,TRUE)</f>
        <v>0</v>
      </c>
      <c r="BH474" t="b">
        <f>OR(AND(IF(metadata!W474="",FALSE,TRUE),OR(EXACT(metadata!W474,"missing: not collected"),EXACT(metadata!W474,"missing: not provided"),EXACT(metadata!W474,"missing: restricted access"))),AND(IF(metadata!W474="",FALSE,TRUE),OR(EXACT(metadata!W474,"TRUE"),EXACT(metadata!W474,"FALSE"))))</f>
        <v>0</v>
      </c>
      <c r="BI474" t="b">
        <f>AND(IF(metadata!X474="",FALSE,TRUE),EXACT(metadata!X474,"other"))</f>
        <v>0</v>
      </c>
      <c r="BJ474" t="b">
        <f>IF(metadata!Y474="",FALSE,TRUE)</f>
        <v>0</v>
      </c>
      <c r="BK474" t="b">
        <f>OR(AND(IF(metadata!Z474="",FALSE,TRUE),OR(EXACT(metadata!Z474,"missing: not collected"),EXACT(metadata!Z474,"missing: not provided"))),AND(IF(metadata!Z474="",FALSE,IF(ISERROR(INT(metadata!Z474)),FALSE,INT(metadata!Z474)=metadata!Z474)),metadata!Z474&gt;0))</f>
        <v>0</v>
      </c>
      <c r="BL474" t="b">
        <f>AND(IF(metadata!AA474="",FALSE,TRUE),EXACT(metadata!AA474,"Not applicable"))</f>
        <v>0</v>
      </c>
      <c r="BM474" t="b">
        <f>IF(metadata!AB474="",FALSE,TRUE)</f>
        <v>0</v>
      </c>
    </row>
    <row r="475" spans="1:65" x14ac:dyDescent="0.2">
      <c r="A475" s="5" t="str">
        <f ca="1">IF(B475=" "," ",HYPERLINK(CONCATENATE("#metadata!",ADDRESS(INDEX($AH$2:$AH$1001,MATCH(ROWS($AF$2:AF475),$AF$2:$AF$1001,0),0),1)),INDEX($AK$2:$AK$1001,MATCH(ROWS($AF$2:AF475),$AF$2:$AF$1001,0),0)))</f>
        <v xml:space="preserve"> </v>
      </c>
      <c r="B475" s="4" t="str">
        <f ca="1">IF(OR(INDEX($AG$2:$AG$1001,MATCH(ROWS($AF$2:AF475),$AF$2:$AF$1001,0),1)&gt;=100000,INDEX($AM$1005:$BM$1005,1,MATCH(COLUMNS($AM$1006:AM1006),$AM$1006:$BM$1006,0))&gt;=100000), " ",IF(INDEX($AM$2:$BM$1001,MATCH(ROWS($AF$2:AF475),$AF$2:$AF$1001,0),MATCH(COLUMNS($AM$1006:AM1006),$AM$1006:$BM$1006,0)), HYPERLINK("#",""), HYPERLINK(CONCATENATE("#metadata!", ADDRESS(INDEX($AH$2:$AH$1001,MATCH(ROWS($AF$2:AF475),$AF$2:$AF$1001,0),0), INDEX($AM$1004:$BM$1004,1,MATCH(COLUMNS($AM$1006:AM1006),$AM$1006:$BM$1006,0)))),"Fix")))</f>
        <v xml:space="preserve"> </v>
      </c>
      <c r="C475" s="4" t="str">
        <f ca="1">IF(OR(INDEX($AG$2:$AG$1001,MATCH(ROWS($AF$2:AF475),$AF$2:$AF$1001,0),1)&gt;=100000,INDEX($AM$1005:$BM$1005,1,MATCH(COLUMNS($AM$1006:AN1006),$AM$1006:$BM$1006,0))&gt;=100000), " ",IF(INDEX($AM$2:$BM$1001,MATCH(ROWS($AF$2:AF475),$AF$2:$AF$1001,0),MATCH(COLUMNS($AM$1006:AN1006),$AM$1006:$BM$1006,0)), HYPERLINK("#",""), HYPERLINK(CONCATENATE("#metadata!", ADDRESS(INDEX($AH$2:$AH$1001,MATCH(ROWS($AF$2:AF475),$AF$2:$AF$1001,0),0), INDEX($AM$1004:$BM$1004,1,MATCH(COLUMNS($AM$1006:AN1006),$AM$1006:$BM$1006,0)))),"Fix")))</f>
        <v xml:space="preserve"> </v>
      </c>
      <c r="D475" s="4" t="str">
        <f ca="1">IF(OR(INDEX($AG$2:$AG$1001,MATCH(ROWS($AF$2:AF475),$AF$2:$AF$1001,0),1)&gt;=100000,INDEX($AM$1005:$BM$1005,1,MATCH(COLUMNS($AM$1006:AO1006),$AM$1006:$BM$1006,0))&gt;=100000), " ",IF(INDEX($AM$2:$BM$1001,MATCH(ROWS($AF$2:AF475),$AF$2:$AF$1001,0),MATCH(COLUMNS($AM$1006:AO1006),$AM$1006:$BM$1006,0)), HYPERLINK("#",""), HYPERLINK(CONCATENATE("#metadata!", ADDRESS(INDEX($AH$2:$AH$1001,MATCH(ROWS($AF$2:AF475),$AF$2:$AF$1001,0),0), INDEX($AM$1004:$BM$1004,1,MATCH(COLUMNS($AM$1006:AO1006),$AM$1006:$BM$1006,0)))),"Fix")))</f>
        <v xml:space="preserve"> </v>
      </c>
      <c r="E475" s="4" t="str">
        <f ca="1">IF(OR(INDEX($AG$2:$AG$1001,MATCH(ROWS($AF$2:AF475),$AF$2:$AF$1001,0),1)&gt;=100000,INDEX($AM$1005:$BM$1005,1,MATCH(COLUMNS($AM$1006:AP1006),$AM$1006:$BM$1006,0))&gt;=100000), " ",IF(INDEX($AM$2:$BM$1001,MATCH(ROWS($AF$2:AF475),$AF$2:$AF$1001,0),MATCH(COLUMNS($AM$1006:AP1006),$AM$1006:$BM$1006,0)), HYPERLINK("#",""), HYPERLINK(CONCATENATE("#metadata!", ADDRESS(INDEX($AH$2:$AH$1001,MATCH(ROWS($AF$2:AF475),$AF$2:$AF$1001,0),0), INDEX($AM$1004:$BM$1004,1,MATCH(COLUMNS($AM$1006:AP1006),$AM$1006:$BM$1006,0)))),"Fix")))</f>
        <v xml:space="preserve"> </v>
      </c>
      <c r="F475" s="4" t="str">
        <f ca="1">IF(OR(INDEX($AG$2:$AG$1001,MATCH(ROWS($AF$2:AF475),$AF$2:$AF$1001,0),1)&gt;=100000,INDEX($AM$1005:$BM$1005,1,MATCH(COLUMNS($AM$1006:AQ1006),$AM$1006:$BM$1006,0))&gt;=100000), " ",IF(INDEX($AM$2:$BM$1001,MATCH(ROWS($AF$2:AF475),$AF$2:$AF$1001,0),MATCH(COLUMNS($AM$1006:AQ1006),$AM$1006:$BM$1006,0)), HYPERLINK("#",""), HYPERLINK(CONCATENATE("#metadata!", ADDRESS(INDEX($AH$2:$AH$1001,MATCH(ROWS($AF$2:AF475),$AF$2:$AF$1001,0),0), INDEX($AM$1004:$BM$1004,1,MATCH(COLUMNS($AM$1006:AQ1006),$AM$1006:$BM$1006,0)))),"Fix")))</f>
        <v xml:space="preserve"> </v>
      </c>
      <c r="G475" s="4" t="str">
        <f ca="1">IF(OR(INDEX($AG$2:$AG$1001,MATCH(ROWS($AF$2:AF475),$AF$2:$AF$1001,0),1)&gt;=100000,INDEX($AM$1005:$BM$1005,1,MATCH(COLUMNS($AM$1006:AR1006),$AM$1006:$BM$1006,0))&gt;=100000), " ",IF(INDEX($AM$2:$BM$1001,MATCH(ROWS($AF$2:AF475),$AF$2:$AF$1001,0),MATCH(COLUMNS($AM$1006:AR1006),$AM$1006:$BM$1006,0)), HYPERLINK("#",""), HYPERLINK(CONCATENATE("#metadata!", ADDRESS(INDEX($AH$2:$AH$1001,MATCH(ROWS($AF$2:AF475),$AF$2:$AF$1001,0),0), INDEX($AM$1004:$BM$1004,1,MATCH(COLUMNS($AM$1006:AR1006),$AM$1006:$BM$1006,0)))),"Fix")))</f>
        <v xml:space="preserve"> </v>
      </c>
      <c r="H475" s="4" t="str">
        <f ca="1">IF(OR(INDEX($AG$2:$AG$1001,MATCH(ROWS($AF$2:AF475),$AF$2:$AF$1001,0),1)&gt;=100000,INDEX($AM$1005:$BM$1005,1,MATCH(COLUMNS($AM$1006:AS1006),$AM$1006:$BM$1006,0))&gt;=100000), " ",IF(INDEX($AM$2:$BM$1001,MATCH(ROWS($AF$2:AF475),$AF$2:$AF$1001,0),MATCH(COLUMNS($AM$1006:AS1006),$AM$1006:$BM$1006,0)), HYPERLINK("#",""), HYPERLINK(CONCATENATE("#metadata!", ADDRESS(INDEX($AH$2:$AH$1001,MATCH(ROWS($AF$2:AF475),$AF$2:$AF$1001,0),0), INDEX($AM$1004:$BM$1004,1,MATCH(COLUMNS($AM$1006:AS1006),$AM$1006:$BM$1006,0)))),"Fix")))</f>
        <v xml:space="preserve"> </v>
      </c>
      <c r="I475" s="4" t="str">
        <f ca="1">IF(OR(INDEX($AG$2:$AG$1001,MATCH(ROWS($AF$2:AF475),$AF$2:$AF$1001,0),1)&gt;=100000,INDEX($AM$1005:$BM$1005,1,MATCH(COLUMNS($AM$1006:AT1006),$AM$1006:$BM$1006,0))&gt;=100000), " ",IF(INDEX($AM$2:$BM$1001,MATCH(ROWS($AF$2:AF475),$AF$2:$AF$1001,0),MATCH(COLUMNS($AM$1006:AT1006),$AM$1006:$BM$1006,0)), HYPERLINK("#",""), HYPERLINK(CONCATENATE("#metadata!", ADDRESS(INDEX($AH$2:$AH$1001,MATCH(ROWS($AF$2:AF475),$AF$2:$AF$1001,0),0), INDEX($AM$1004:$BM$1004,1,MATCH(COLUMNS($AM$1006:AT1006),$AM$1006:$BM$1006,0)))),"Fix")))</f>
        <v xml:space="preserve"> </v>
      </c>
      <c r="J475" s="4" t="str">
        <f ca="1">IF(OR(INDEX($AG$2:$AG$1001,MATCH(ROWS($AF$2:AF475),$AF$2:$AF$1001,0),1)&gt;=100000,INDEX($AM$1005:$BM$1005,1,MATCH(COLUMNS($AM$1006:AU1006),$AM$1006:$BM$1006,0))&gt;=100000), " ",IF(INDEX($AM$2:$BM$1001,MATCH(ROWS($AF$2:AF475),$AF$2:$AF$1001,0),MATCH(COLUMNS($AM$1006:AU1006),$AM$1006:$BM$1006,0)), HYPERLINK("#",""), HYPERLINK(CONCATENATE("#metadata!", ADDRESS(INDEX($AH$2:$AH$1001,MATCH(ROWS($AF$2:AF475),$AF$2:$AF$1001,0),0), INDEX($AM$1004:$BM$1004,1,MATCH(COLUMNS($AM$1006:AU1006),$AM$1006:$BM$1006,0)))),"Fix")))</f>
        <v xml:space="preserve"> </v>
      </c>
      <c r="K475" s="4" t="str">
        <f ca="1">IF(OR(INDEX($AG$2:$AG$1001,MATCH(ROWS($AF$2:AF475),$AF$2:$AF$1001,0),1)&gt;=100000,INDEX($AM$1005:$BM$1005,1,MATCH(COLUMNS($AM$1006:AV1006),$AM$1006:$BM$1006,0))&gt;=100000), " ",IF(INDEX($AM$2:$BM$1001,MATCH(ROWS($AF$2:AF475),$AF$2:$AF$1001,0),MATCH(COLUMNS($AM$1006:AV1006),$AM$1006:$BM$1006,0)), HYPERLINK("#",""), HYPERLINK(CONCATENATE("#metadata!", ADDRESS(INDEX($AH$2:$AH$1001,MATCH(ROWS($AF$2:AF475),$AF$2:$AF$1001,0),0), INDEX($AM$1004:$BM$1004,1,MATCH(COLUMNS($AM$1006:AV1006),$AM$1006:$BM$1006,0)))),"Fix")))</f>
        <v xml:space="preserve"> </v>
      </c>
      <c r="L475" s="4" t="str">
        <f ca="1">IF(OR(INDEX($AG$2:$AG$1001,MATCH(ROWS($AF$2:AF475),$AF$2:$AF$1001,0),1)&gt;=100000,INDEX($AM$1005:$BM$1005,1,MATCH(COLUMNS($AM$1006:AW1006),$AM$1006:$BM$1006,0))&gt;=100000), " ",IF(INDEX($AM$2:$BM$1001,MATCH(ROWS($AF$2:AF475),$AF$2:$AF$1001,0),MATCH(COLUMNS($AM$1006:AW1006),$AM$1006:$BM$1006,0)), HYPERLINK("#",""), HYPERLINK(CONCATENATE("#metadata!", ADDRESS(INDEX($AH$2:$AH$1001,MATCH(ROWS($AF$2:AF475),$AF$2:$AF$1001,0),0), INDEX($AM$1004:$BM$1004,1,MATCH(COLUMNS($AM$1006:AW1006),$AM$1006:$BM$1006,0)))),"Fix")))</f>
        <v xml:space="preserve"> </v>
      </c>
      <c r="M475" s="4" t="str">
        <f ca="1">IF(OR(INDEX($AG$2:$AG$1001,MATCH(ROWS($AF$2:AF475),$AF$2:$AF$1001,0),1)&gt;=100000,INDEX($AM$1005:$BM$1005,1,MATCH(COLUMNS($AM$1006:AX1006),$AM$1006:$BM$1006,0))&gt;=100000), " ",IF(INDEX($AM$2:$BM$1001,MATCH(ROWS($AF$2:AF475),$AF$2:$AF$1001,0),MATCH(COLUMNS($AM$1006:AX1006),$AM$1006:$BM$1006,0)), HYPERLINK("#",""), HYPERLINK(CONCATENATE("#metadata!", ADDRESS(INDEX($AH$2:$AH$1001,MATCH(ROWS($AF$2:AF475),$AF$2:$AF$1001,0),0), INDEX($AM$1004:$BM$1004,1,MATCH(COLUMNS($AM$1006:AX1006),$AM$1006:$BM$1006,0)))),"Fix")))</f>
        <v xml:space="preserve"> </v>
      </c>
      <c r="N475" s="4" t="str">
        <f ca="1">IF(OR(INDEX($AG$2:$AG$1001,MATCH(ROWS($AF$2:AF475),$AF$2:$AF$1001,0),1)&gt;=100000,INDEX($AM$1005:$BM$1005,1,MATCH(COLUMNS($AM$1006:AY1006),$AM$1006:$BM$1006,0))&gt;=100000), " ",IF(INDEX($AM$2:$BM$1001,MATCH(ROWS($AF$2:AF475),$AF$2:$AF$1001,0),MATCH(COLUMNS($AM$1006:AY1006),$AM$1006:$BM$1006,0)), HYPERLINK("#",""), HYPERLINK(CONCATENATE("#metadata!", ADDRESS(INDEX($AH$2:$AH$1001,MATCH(ROWS($AF$2:AF475),$AF$2:$AF$1001,0),0), INDEX($AM$1004:$BM$1004,1,MATCH(COLUMNS($AM$1006:AY1006),$AM$1006:$BM$1006,0)))),"Fix")))</f>
        <v xml:space="preserve"> </v>
      </c>
      <c r="O475" s="4" t="str">
        <f ca="1">IF(OR(INDEX($AG$2:$AG$1001,MATCH(ROWS($AF$2:AF475),$AF$2:$AF$1001,0),1)&gt;=100000,INDEX($AM$1005:$BM$1005,1,MATCH(COLUMNS($AM$1006:AZ1006),$AM$1006:$BM$1006,0))&gt;=100000), " ",IF(INDEX($AM$2:$BM$1001,MATCH(ROWS($AF$2:AF475),$AF$2:$AF$1001,0),MATCH(COLUMNS($AM$1006:AZ1006),$AM$1006:$BM$1006,0)), HYPERLINK("#",""), HYPERLINK(CONCATENATE("#metadata!", ADDRESS(INDEX($AH$2:$AH$1001,MATCH(ROWS($AF$2:AF475),$AF$2:$AF$1001,0),0), INDEX($AM$1004:$BM$1004,1,MATCH(COLUMNS($AM$1006:AZ1006),$AM$1006:$BM$1006,0)))),"Fix")))</f>
        <v xml:space="preserve"> </v>
      </c>
      <c r="P475" s="4" t="str">
        <f ca="1">IF(OR(INDEX($AG$2:$AG$1001,MATCH(ROWS($AF$2:AF475),$AF$2:$AF$1001,0),1)&gt;=100000,INDEX($AM$1005:$BM$1005,1,MATCH(COLUMNS($AM$1006:BA1006),$AM$1006:$BM$1006,0))&gt;=100000), " ",IF(INDEX($AM$2:$BM$1001,MATCH(ROWS($AF$2:AF475),$AF$2:$AF$1001,0),MATCH(COLUMNS($AM$1006:BA1006),$AM$1006:$BM$1006,0)), HYPERLINK("#",""), HYPERLINK(CONCATENATE("#metadata!", ADDRESS(INDEX($AH$2:$AH$1001,MATCH(ROWS($AF$2:AF475),$AF$2:$AF$1001,0),0), INDEX($AM$1004:$BM$1004,1,MATCH(COLUMNS($AM$1006:BA1006),$AM$1006:$BM$1006,0)))),"Fix")))</f>
        <v xml:space="preserve"> </v>
      </c>
      <c r="Q475" s="4" t="str">
        <f ca="1">IF(OR(INDEX($AG$2:$AG$1001,MATCH(ROWS($AF$2:AF475),$AF$2:$AF$1001,0),1)&gt;=100000,INDEX($AM$1005:$BM$1005,1,MATCH(COLUMNS($AM$1006:BB1006),$AM$1006:$BM$1006,0))&gt;=100000), " ",IF(INDEX($AM$2:$BM$1001,MATCH(ROWS($AF$2:AF475),$AF$2:$AF$1001,0),MATCH(COLUMNS($AM$1006:BB1006),$AM$1006:$BM$1006,0)), HYPERLINK("#",""), HYPERLINK(CONCATENATE("#metadata!", ADDRESS(INDEX($AH$2:$AH$1001,MATCH(ROWS($AF$2:AF475),$AF$2:$AF$1001,0),0), INDEX($AM$1004:$BM$1004,1,MATCH(COLUMNS($AM$1006:BB1006),$AM$1006:$BM$1006,0)))),"Fix")))</f>
        <v xml:space="preserve"> </v>
      </c>
      <c r="R475" s="4" t="str">
        <f ca="1">IF(OR(INDEX($AG$2:$AG$1001,MATCH(ROWS($AF$2:AF475),$AF$2:$AF$1001,0),1)&gt;=100000,INDEX($AM$1005:$BM$1005,1,MATCH(COLUMNS($AM$1006:BC1006),$AM$1006:$BM$1006,0))&gt;=100000), " ",IF(INDEX($AM$2:$BM$1001,MATCH(ROWS($AF$2:AF475),$AF$2:$AF$1001,0),MATCH(COLUMNS($AM$1006:BC1006),$AM$1006:$BM$1006,0)), HYPERLINK("#",""), HYPERLINK(CONCATENATE("#metadata!", ADDRESS(INDEX($AH$2:$AH$1001,MATCH(ROWS($AF$2:AF475),$AF$2:$AF$1001,0),0), INDEX($AM$1004:$BM$1004,1,MATCH(COLUMNS($AM$1006:BC1006),$AM$1006:$BM$1006,0)))),"Fix")))</f>
        <v xml:space="preserve"> </v>
      </c>
      <c r="S475" s="4" t="str">
        <f ca="1">IF(OR(INDEX($AG$2:$AG$1001,MATCH(ROWS($AF$2:AF475),$AF$2:$AF$1001,0),1)&gt;=100000,INDEX($AM$1005:$BM$1005,1,MATCH(COLUMNS($AM$1006:BD1006),$AM$1006:$BM$1006,0))&gt;=100000), " ",IF(INDEX($AM$2:$BM$1001,MATCH(ROWS($AF$2:AF475),$AF$2:$AF$1001,0),MATCH(COLUMNS($AM$1006:BD1006),$AM$1006:$BM$1006,0)), HYPERLINK("#",""), HYPERLINK(CONCATENATE("#metadata!", ADDRESS(INDEX($AH$2:$AH$1001,MATCH(ROWS($AF$2:AF475),$AF$2:$AF$1001,0),0), INDEX($AM$1004:$BM$1004,1,MATCH(COLUMNS($AM$1006:BD1006),$AM$1006:$BM$1006,0)))),"Fix")))</f>
        <v xml:space="preserve"> </v>
      </c>
      <c r="T475" s="4" t="str">
        <f ca="1">IF(OR(INDEX($AG$2:$AG$1001,MATCH(ROWS($AF$2:AF475),$AF$2:$AF$1001,0),1)&gt;=100000,INDEX($AM$1005:$BM$1005,1,MATCH(COLUMNS($AM$1006:BE1006),$AM$1006:$BM$1006,0))&gt;=100000), " ",IF(INDEX($AM$2:$BM$1001,MATCH(ROWS($AF$2:AF475),$AF$2:$AF$1001,0),MATCH(COLUMNS($AM$1006:BE1006),$AM$1006:$BM$1006,0)), HYPERLINK("#",""), HYPERLINK(CONCATENATE("#metadata!", ADDRESS(INDEX($AH$2:$AH$1001,MATCH(ROWS($AF$2:AF475),$AF$2:$AF$1001,0),0), INDEX($AM$1004:$BM$1004,1,MATCH(COLUMNS($AM$1006:BE1006),$AM$1006:$BM$1006,0)))),"Fix")))</f>
        <v xml:space="preserve"> </v>
      </c>
      <c r="U475" s="4" t="str">
        <f ca="1">IF(OR(INDEX($AG$2:$AG$1001,MATCH(ROWS($AF$2:AF475),$AF$2:$AF$1001,0),1)&gt;=100000,INDEX($AM$1005:$BM$1005,1,MATCH(COLUMNS($AM$1006:BF1006),$AM$1006:$BM$1006,0))&gt;=100000), " ",IF(INDEX($AM$2:$BM$1001,MATCH(ROWS($AF$2:AF475),$AF$2:$AF$1001,0),MATCH(COLUMNS($AM$1006:BF1006),$AM$1006:$BM$1006,0)), HYPERLINK("#",""), HYPERLINK(CONCATENATE("#metadata!", ADDRESS(INDEX($AH$2:$AH$1001,MATCH(ROWS($AF$2:AF475),$AF$2:$AF$1001,0),0), INDEX($AM$1004:$BM$1004,1,MATCH(COLUMNS($AM$1006:BF1006),$AM$1006:$BM$1006,0)))),"Fix")))</f>
        <v xml:space="preserve"> </v>
      </c>
      <c r="V475" s="4" t="str">
        <f ca="1">IF(OR(INDEX($AG$2:$AG$1001,MATCH(ROWS($AF$2:AF475),$AF$2:$AF$1001,0),1)&gt;=100000,INDEX($AM$1005:$BM$1005,1,MATCH(COLUMNS($AM$1006:BG1006),$AM$1006:$BM$1006,0))&gt;=100000), " ",IF(INDEX($AM$2:$BM$1001,MATCH(ROWS($AF$2:AF475),$AF$2:$AF$1001,0),MATCH(COLUMNS($AM$1006:BG1006),$AM$1006:$BM$1006,0)), HYPERLINK("#",""), HYPERLINK(CONCATENATE("#metadata!", ADDRESS(INDEX($AH$2:$AH$1001,MATCH(ROWS($AF$2:AF475),$AF$2:$AF$1001,0),0), INDEX($AM$1004:$BM$1004,1,MATCH(COLUMNS($AM$1006:BG1006),$AM$1006:$BM$1006,0)))),"Fix")))</f>
        <v xml:space="preserve"> </v>
      </c>
      <c r="W475" s="4" t="str">
        <f ca="1">IF(OR(INDEX($AG$2:$AG$1001,MATCH(ROWS($AF$2:AF475),$AF$2:$AF$1001,0),1)&gt;=100000,INDEX($AM$1005:$BM$1005,1,MATCH(COLUMNS($AM$1006:BH1006),$AM$1006:$BM$1006,0))&gt;=100000), " ",IF(INDEX($AM$2:$BM$1001,MATCH(ROWS($AF$2:AF475),$AF$2:$AF$1001,0),MATCH(COLUMNS($AM$1006:BH1006),$AM$1006:$BM$1006,0)), HYPERLINK("#",""), HYPERLINK(CONCATENATE("#metadata!", ADDRESS(INDEX($AH$2:$AH$1001,MATCH(ROWS($AF$2:AF475),$AF$2:$AF$1001,0),0), INDEX($AM$1004:$BM$1004,1,MATCH(COLUMNS($AM$1006:BH1006),$AM$1006:$BM$1006,0)))),"Fix")))</f>
        <v xml:space="preserve"> </v>
      </c>
      <c r="X475" s="4" t="str">
        <f ca="1">IF(OR(INDEX($AG$2:$AG$1001,MATCH(ROWS($AF$2:AF475),$AF$2:$AF$1001,0),1)&gt;=100000,INDEX($AM$1005:$BM$1005,1,MATCH(COLUMNS($AM$1006:BI1006),$AM$1006:$BM$1006,0))&gt;=100000), " ",IF(INDEX($AM$2:$BM$1001,MATCH(ROWS($AF$2:AF475),$AF$2:$AF$1001,0),MATCH(COLUMNS($AM$1006:BI1006),$AM$1006:$BM$1006,0)), HYPERLINK("#",""), HYPERLINK(CONCATENATE("#metadata!", ADDRESS(INDEX($AH$2:$AH$1001,MATCH(ROWS($AF$2:AF475),$AF$2:$AF$1001,0),0), INDEX($AM$1004:$BM$1004,1,MATCH(COLUMNS($AM$1006:BI1006),$AM$1006:$BM$1006,0)))),"Fix")))</f>
        <v xml:space="preserve"> </v>
      </c>
      <c r="Y475" s="4" t="str">
        <f ca="1">IF(OR(INDEX($AG$2:$AG$1001,MATCH(ROWS($AF$2:AF475),$AF$2:$AF$1001,0),1)&gt;=100000,INDEX($AM$1005:$BM$1005,1,MATCH(COLUMNS($AM$1006:BJ1006),$AM$1006:$BM$1006,0))&gt;=100000), " ",IF(INDEX($AM$2:$BM$1001,MATCH(ROWS($AF$2:AF475),$AF$2:$AF$1001,0),MATCH(COLUMNS($AM$1006:BJ1006),$AM$1006:$BM$1006,0)), HYPERLINK("#",""), HYPERLINK(CONCATENATE("#metadata!", ADDRESS(INDEX($AH$2:$AH$1001,MATCH(ROWS($AF$2:AF475),$AF$2:$AF$1001,0),0), INDEX($AM$1004:$BM$1004,1,MATCH(COLUMNS($AM$1006:BJ1006),$AM$1006:$BM$1006,0)))),"Fix")))</f>
        <v xml:space="preserve"> </v>
      </c>
      <c r="Z475" s="4" t="str">
        <f ca="1">IF(OR(INDEX($AG$2:$AG$1001,MATCH(ROWS($AF$2:AF475),$AF$2:$AF$1001,0),1)&gt;=100000,INDEX($AM$1005:$BM$1005,1,MATCH(COLUMNS($AM$1006:BK1006),$AM$1006:$BM$1006,0))&gt;=100000), " ",IF(INDEX($AM$2:$BM$1001,MATCH(ROWS($AF$2:AF475),$AF$2:$AF$1001,0),MATCH(COLUMNS($AM$1006:BK1006),$AM$1006:$BM$1006,0)), HYPERLINK("#",""), HYPERLINK(CONCATENATE("#metadata!", ADDRESS(INDEX($AH$2:$AH$1001,MATCH(ROWS($AF$2:AF475),$AF$2:$AF$1001,0),0), INDEX($AM$1004:$BM$1004,1,MATCH(COLUMNS($AM$1006:BK1006),$AM$1006:$BM$1006,0)))),"Fix")))</f>
        <v xml:space="preserve"> </v>
      </c>
      <c r="AA475" s="4" t="str">
        <f ca="1">IF(OR(INDEX($AG$2:$AG$1001,MATCH(ROWS($AF$2:AF475),$AF$2:$AF$1001,0),1)&gt;=100000,INDEX($AM$1005:$BM$1005,1,MATCH(COLUMNS($AM$1006:BL1006),$AM$1006:$BM$1006,0))&gt;=100000), " ",IF(INDEX($AM$2:$BM$1001,MATCH(ROWS($AF$2:AF475),$AF$2:$AF$1001,0),MATCH(COLUMNS($AM$1006:BL1006),$AM$1006:$BM$1006,0)), HYPERLINK("#",""), HYPERLINK(CONCATENATE("#metadata!", ADDRESS(INDEX($AH$2:$AH$1001,MATCH(ROWS($AF$2:AF475),$AF$2:$AF$1001,0),0), INDEX($AM$1004:$BM$1004,1,MATCH(COLUMNS($AM$1006:BL1006),$AM$1006:$BM$1006,0)))),"Fix")))</f>
        <v xml:space="preserve"> </v>
      </c>
      <c r="AB475" s="4" t="str">
        <f ca="1">IF(OR(INDEX($AG$2:$AG$1001,MATCH(ROWS($AF$2:AF475),$AF$2:$AF$1001,0),1)&gt;=100000,INDEX($AM$1005:$BM$1005,1,MATCH(COLUMNS($AM$1006:BM1006),$AM$1006:$BM$1006,0))&gt;=100000), " ",IF(INDEX($AM$2:$BM$1001,MATCH(ROWS($AF$2:AF475),$AF$2:$AF$1001,0),MATCH(COLUMNS($AM$1006:BM1006),$AM$1006:$BM$1006,0)), HYPERLINK("#",""), HYPERLINK(CONCATENATE("#metadata!", ADDRESS(INDEX($AH$2:$AH$1001,MATCH(ROWS($AF$2:AF475),$AF$2:$AF$1001,0),0), INDEX($AM$1004:$BM$1004,1,MATCH(COLUMNS($AM$1006:BM1006),$AM$1006:$BM$1006,0)))),"Fix")))</f>
        <v xml:space="preserve"> </v>
      </c>
      <c r="AF475">
        <v>474</v>
      </c>
      <c r="AG475">
        <v>100475</v>
      </c>
      <c r="AH475">
        <v>475</v>
      </c>
      <c r="AI475" t="b">
        <f t="shared" si="7"/>
        <v>1</v>
      </c>
      <c r="AJ475" t="b">
        <f>COUNTBLANK(metadata!B475:AB475)=COLUMNS(metadata!B475:AB475)</f>
        <v>1</v>
      </c>
      <c r="AK475" t="str">
        <v/>
      </c>
      <c r="AM475" t="b">
        <f ca="1">AND(IF(metadata!B475="",FALSE,TRUE),COUNTIF(metadata!B:B, metadata!B475) = 1,NOT(ISERROR(SUMPRODUCT(SEARCH(MID(metadata!B475,ROW(INDIRECT("1:"&amp;LEN(metadata!B475))), 1),"0123456789abcdefghijklmnopqrstuvwxyzABCDEFGHIJKLMNOPQRSTUVWXYZ.")))))</f>
        <v>0</v>
      </c>
      <c r="AN475" t="b">
        <f ca="1">OR(AND(IF(metadata!C475="",FALSE,TRUE),OR(EXACT(metadata!C475,"missing: not collected"),EXACT(metadata!C475,"missing: not provided"),EXACT(metadata!C475,"missing: restricted access"))),AND(IF(metadata!C475="",FALSE,TRUE),AND(AND(IFERROR(INT(LEFT(metadata!C475,4))&gt;1900,FALSE),IFERROR(INT(LEFT(metadata!C475,4))&lt;=YEAR(NOW()),FALSE)), OR(MID(metadata!C475,5,1)="", AND(AND(MID(metadata!C475,5,1)="-",IFERROR(INT(MID(metadata!C475,6,1))&gt;=0,FALSE),IFERROR(INT(MID(metadata!C475,6,1))&lt;=1,FALSE),NOT(MID(metadata!C475,7,1)=""),IFERROR(INT(MID(metadata!C475,6,2))&gt;=1,FALSE),IFERROR(INT(MID(metadata!C475,6,2))&lt;=12,FALSE)), OR(MID(metadata!C475,8,1)="", AND(AND(MID(metadata!C475,8,1)="-",IFERROR(INT(MID(metadata!C475,9,1))&gt;=0,FALSE),IFERROR(INT(MID(metadata!C475,9,1))&lt;=3,FALSE),NOT(MID(metadata!C475,10,1)=""),IFERROR(INT(MID(metadata!C475,9,2))&gt;=1,FALSE),IFERROR(INT(MID(metadata!C475,9,2))&lt;=31,FALSE)), OR(MID(metadata!C475,11,1)="", AND(AND(MID(metadata!C475,11,1)=" ",IFERROR(INT(MID(metadata!C475,12,1))&gt;=0,FALSE),IFERROR(INT(MID(metadata!C475,12,1))&lt;=2,FALSE),NOT(MID(metadata!C475,13,1)=""),IFERROR(INT(MID(metadata!C475,12,2))&gt;=0,FALSE),IFERROR(INT(MID(metadata!C475,12,2))&lt;=23,FALSE)), OR(MID(metadata!C475,14,1)="", AND(AND(MID(metadata!C475,14,1)=":",IFERROR(INT(MID(metadata!C475,15,1))&gt;=0,FALSE),IFERROR(INT(MID(metadata!C475,15,1))&lt;=5,FALSE),NOT(MID(metadata!C475,16,1)=""),IFERROR(INT(MID(metadata!C475,15,2))&gt;=0,FALSE),IFERROR(INT(MID(metadata!C475,15,2))&lt;=59,FALSE)), OR(MID(metadata!C475,17,1)="", AND(AND(MID(metadata!C475,17,1)=":",IFERROR(INT(MID(metadata!C475,18,1))&gt;=0,FALSE),IFERROR(INT(MID(metadata!C475,18,1))&lt;=5,FALSE),NOT(MID(metadata!C475,19,1)=""),IFERROR(INT(MID(metadata!C475,18,2))&gt;=0,FALSE),IFERROR(INT(MID(metadata!C475,18,2))&lt;=59,FALSE)), LEN(metadata!C475)&lt;=19)))))))))))))</f>
        <v>0</v>
      </c>
      <c r="AO475" t="b">
        <f>AND(IF(metadata!D475="",FALSE,TRUE),EXACT(metadata!D475,"Not applicable"))</f>
        <v>0</v>
      </c>
      <c r="AP475" t="b">
        <f>IF(metadata!E475="",FALSE,TRUE)</f>
        <v>0</v>
      </c>
      <c r="AQ475" t="b">
        <f>OR(AND(IF(metadata!F475="",FALSE,TRUE),OR(EXACT(metadata!F475,"missing: not collected"),EXACT(metadata!F475,"missing: not provided"))),AND(IF(metadata!F475="",FALSE,TRUE),OR(EXACT(metadata!F475,"TRUE"),EXACT(metadata!F475,"FALSE"))))</f>
        <v>0</v>
      </c>
      <c r="AR475" t="b">
        <f>OR(AND(IF(metadata!G475="",FALSE,TRUE),OR(EXACT(metadata!G475,"missing: not collected"),EXACT(metadata!G475,"missing: not provided"),EXACT(metadata!G475,"missing: restricted access"))),AND(IF(metadata!G475="",FALSE,ISNUMBER(VALUE(metadata!G475))),metadata!G475&gt;=-413))</f>
        <v>0</v>
      </c>
      <c r="AS475" t="b">
        <f>AND(IF(metadata!H475="",FALSE,TRUE),EXACT(metadata!H475,"meters"))</f>
        <v>0</v>
      </c>
      <c r="AT475" t="b">
        <f>AND(IF(metadata!I475="",FALSE,TRUE),OR(EXACT(metadata!I475,"Host-associated"),EXACT(metadata!I475,"Free-living")))</f>
        <v>0</v>
      </c>
      <c r="AU475" t="b">
        <f>AND(IF(metadata!J475="",FALSE,TRUE),OR(EXACT(metadata!J475,"Animal"),EXACT(metadata!J475,"Fungus"),EXACT(metadata!J475,"Plant"),EXACT(metadata!J475,"Saline"),EXACT(metadata!J475,"Non-saline")))</f>
        <v>0</v>
      </c>
      <c r="AV475" t="b">
        <f>AND(IF(metadata!K475="",FALSE,TRUE),OR(EXACT(metadata!K475,"Plant secretion"),EXACT(metadata!K475,"Plant rhizosphere"),EXACT(metadata!K475,"Plant surface"),EXACT(metadata!K475,"Plant corpus"),EXACT(metadata!K475,"Fungus surface"),EXACT(metadata!K475,"Fungus corpus"),EXACT(metadata!K475,"Animal surface"),EXACT(metadata!K475,"Animal proximal gut"),EXACT(metadata!K475,"Animal corpus"),EXACT(metadata!K475,"Animal distal gut"),EXACT(metadata!K475,"Animal secretion"),EXACT(metadata!K475,"Sub-surface (non-saline)"),EXACT(metadata!K475,"Surface (non-saline)"),EXACT(metadata!K475,"Water (non-saline)"),EXACT(metadata!K475,"Soil (non-saline)"),EXACT(metadata!K475,"Aerosol (non-saline)"),EXACT(metadata!K475,"Sediment (non-saline)"),EXACT(metadata!K475,"Surface (saline)"),EXACT(metadata!K475,"Water (saline)"),EXACT(metadata!K475,"Hypersaline (saline)"),EXACT(metadata!K475,"Aerosol (saline)"),EXACT(metadata!K475,"Sediment (saline)")))</f>
        <v>0</v>
      </c>
      <c r="AW475" t="b">
        <f>IF(metadata!L475="",FALSE,TRUE)</f>
        <v>0</v>
      </c>
      <c r="AX475" t="b">
        <f>IF(metadata!M475="",FALSE,TRUE)</f>
        <v>0</v>
      </c>
      <c r="AY475" t="b">
        <f>IF(metadata!N475="",FALSE,TRUE)</f>
        <v>0</v>
      </c>
      <c r="AZ475" t="b">
        <f>OR(AND(IF(metadata!O475="",FALSE,TRUE),OR(EXACT(metadata!O475,"missing: not collected"),EXACT(metadata!O475,"missing: not provided"),EXACT(metadata!O475,"missing: restricted access"))),AND(IF(metadata!O475="",FALSE,TRUE),OR(EXACT(metadata!O475,"air"),EXACT(metadata!O475,"built environment"),EXACT(metadata!O475,"host-associated"),EXACT(metadata!O475,"human-associated"),EXACT(metadata!O475,"human-skin"),EXACT(metadata!O475,"human-oral"),EXACT(metadata!O475,"human-gut"),EXACT(metadata!O475,"human-vaginal"),EXACT(metadata!O475,"microbial mat/biofilm"),EXACT(metadata!O475,"misc environment"),EXACT(metadata!O475,"plant-associated"),EXACT(metadata!O475,"sediment"),EXACT(metadata!O475,"soil"),EXACT(metadata!O475,"wastewater/sludge"),EXACT(metadata!O475,"water"))))</f>
        <v>0</v>
      </c>
      <c r="BA475" t="b">
        <f>IF(metadata!P475="",FALSE,TRUE)</f>
        <v>0</v>
      </c>
      <c r="BB475" t="b">
        <f>IF(metadata!Q475="",FALSE,TRUE)</f>
        <v>0</v>
      </c>
      <c r="BC475" t="b">
        <f>OR(AND(IF(metadata!R475="",FALSE,TRUE),OR(EXACT(metadata!R475,"missing: not collected"),EXACT(metadata!R475,"missing: not provided"),EXACT(metadata!R475,"missing: restricted access"))),AND(IF(metadata!R475="",FALSE,ISNUMBER(VALUE(metadata!R475))),metadata!R475&gt;=-90,metadata!R475&lt;=90))</f>
        <v>0</v>
      </c>
      <c r="BD475" t="b">
        <f>AND(IF(metadata!S475="",FALSE,TRUE),EXACT(metadata!S475,"Decimal degrees"))</f>
        <v>0</v>
      </c>
      <c r="BE475" t="b">
        <f>OR(AND(IF(metadata!T475="",FALSE,TRUE),OR(EXACT(metadata!T475,"missing: not collected"),EXACT(metadata!T475,"missing: not provided"),EXACT(metadata!T475,"missing: restricted access"))),AND(IF(metadata!T475="",FALSE,ISNUMBER(VALUE(metadata!T475))),metadata!T475&gt;=-180,metadata!T475&lt;=180))</f>
        <v>0</v>
      </c>
      <c r="BF475" t="b">
        <f>AND(IF(metadata!U475="",FALSE,TRUE),EXACT(metadata!U475,"Decimal degrees"))</f>
        <v>0</v>
      </c>
      <c r="BG475" t="b">
        <f>IF(metadata!V475="",FALSE,TRUE)</f>
        <v>0</v>
      </c>
      <c r="BH475" t="b">
        <f>OR(AND(IF(metadata!W475="",FALSE,TRUE),OR(EXACT(metadata!W475,"missing: not collected"),EXACT(metadata!W475,"missing: not provided"),EXACT(metadata!W475,"missing: restricted access"))),AND(IF(metadata!W475="",FALSE,TRUE),OR(EXACT(metadata!W475,"TRUE"),EXACT(metadata!W475,"FALSE"))))</f>
        <v>0</v>
      </c>
      <c r="BI475" t="b">
        <f>AND(IF(metadata!X475="",FALSE,TRUE),EXACT(metadata!X475,"other"))</f>
        <v>0</v>
      </c>
      <c r="BJ475" t="b">
        <f>IF(metadata!Y475="",FALSE,TRUE)</f>
        <v>0</v>
      </c>
      <c r="BK475" t="b">
        <f>OR(AND(IF(metadata!Z475="",FALSE,TRUE),OR(EXACT(metadata!Z475,"missing: not collected"),EXACT(metadata!Z475,"missing: not provided"))),AND(IF(metadata!Z475="",FALSE,IF(ISERROR(INT(metadata!Z475)),FALSE,INT(metadata!Z475)=metadata!Z475)),metadata!Z475&gt;0))</f>
        <v>0</v>
      </c>
      <c r="BL475" t="b">
        <f>AND(IF(metadata!AA475="",FALSE,TRUE),EXACT(metadata!AA475,"Not applicable"))</f>
        <v>0</v>
      </c>
      <c r="BM475" t="b">
        <f>IF(metadata!AB475="",FALSE,TRUE)</f>
        <v>0</v>
      </c>
    </row>
    <row r="476" spans="1:65" x14ac:dyDescent="0.2">
      <c r="A476" s="5" t="str">
        <f ca="1">IF(B476=" "," ",HYPERLINK(CONCATENATE("#metadata!",ADDRESS(INDEX($AH$2:$AH$1001,MATCH(ROWS($AF$2:AF476),$AF$2:$AF$1001,0),0),1)),INDEX($AK$2:$AK$1001,MATCH(ROWS($AF$2:AF476),$AF$2:$AF$1001,0),0)))</f>
        <v xml:space="preserve"> </v>
      </c>
      <c r="B476" s="4" t="str">
        <f ca="1">IF(OR(INDEX($AG$2:$AG$1001,MATCH(ROWS($AF$2:AF476),$AF$2:$AF$1001,0),1)&gt;=100000,INDEX($AM$1005:$BM$1005,1,MATCH(COLUMNS($AM$1006:AM1006),$AM$1006:$BM$1006,0))&gt;=100000), " ",IF(INDEX($AM$2:$BM$1001,MATCH(ROWS($AF$2:AF476),$AF$2:$AF$1001,0),MATCH(COLUMNS($AM$1006:AM1006),$AM$1006:$BM$1006,0)), HYPERLINK("#",""), HYPERLINK(CONCATENATE("#metadata!", ADDRESS(INDEX($AH$2:$AH$1001,MATCH(ROWS($AF$2:AF476),$AF$2:$AF$1001,0),0), INDEX($AM$1004:$BM$1004,1,MATCH(COLUMNS($AM$1006:AM1006),$AM$1006:$BM$1006,0)))),"Fix")))</f>
        <v xml:space="preserve"> </v>
      </c>
      <c r="C476" s="4" t="str">
        <f ca="1">IF(OR(INDEX($AG$2:$AG$1001,MATCH(ROWS($AF$2:AF476),$AF$2:$AF$1001,0),1)&gt;=100000,INDEX($AM$1005:$BM$1005,1,MATCH(COLUMNS($AM$1006:AN1006),$AM$1006:$BM$1006,0))&gt;=100000), " ",IF(INDEX($AM$2:$BM$1001,MATCH(ROWS($AF$2:AF476),$AF$2:$AF$1001,0),MATCH(COLUMNS($AM$1006:AN1006),$AM$1006:$BM$1006,0)), HYPERLINK("#",""), HYPERLINK(CONCATENATE("#metadata!", ADDRESS(INDEX($AH$2:$AH$1001,MATCH(ROWS($AF$2:AF476),$AF$2:$AF$1001,0),0), INDEX($AM$1004:$BM$1004,1,MATCH(COLUMNS($AM$1006:AN1006),$AM$1006:$BM$1006,0)))),"Fix")))</f>
        <v xml:space="preserve"> </v>
      </c>
      <c r="D476" s="4" t="str">
        <f ca="1">IF(OR(INDEX($AG$2:$AG$1001,MATCH(ROWS($AF$2:AF476),$AF$2:$AF$1001,0),1)&gt;=100000,INDEX($AM$1005:$BM$1005,1,MATCH(COLUMNS($AM$1006:AO1006),$AM$1006:$BM$1006,0))&gt;=100000), " ",IF(INDEX($AM$2:$BM$1001,MATCH(ROWS($AF$2:AF476),$AF$2:$AF$1001,0),MATCH(COLUMNS($AM$1006:AO1006),$AM$1006:$BM$1006,0)), HYPERLINK("#",""), HYPERLINK(CONCATENATE("#metadata!", ADDRESS(INDEX($AH$2:$AH$1001,MATCH(ROWS($AF$2:AF476),$AF$2:$AF$1001,0),0), INDEX($AM$1004:$BM$1004,1,MATCH(COLUMNS($AM$1006:AO1006),$AM$1006:$BM$1006,0)))),"Fix")))</f>
        <v xml:space="preserve"> </v>
      </c>
      <c r="E476" s="4" t="str">
        <f ca="1">IF(OR(INDEX($AG$2:$AG$1001,MATCH(ROWS($AF$2:AF476),$AF$2:$AF$1001,0),1)&gt;=100000,INDEX($AM$1005:$BM$1005,1,MATCH(COLUMNS($AM$1006:AP1006),$AM$1006:$BM$1006,0))&gt;=100000), " ",IF(INDEX($AM$2:$BM$1001,MATCH(ROWS($AF$2:AF476),$AF$2:$AF$1001,0),MATCH(COLUMNS($AM$1006:AP1006),$AM$1006:$BM$1006,0)), HYPERLINK("#",""), HYPERLINK(CONCATENATE("#metadata!", ADDRESS(INDEX($AH$2:$AH$1001,MATCH(ROWS($AF$2:AF476),$AF$2:$AF$1001,0),0), INDEX($AM$1004:$BM$1004,1,MATCH(COLUMNS($AM$1006:AP1006),$AM$1006:$BM$1006,0)))),"Fix")))</f>
        <v xml:space="preserve"> </v>
      </c>
      <c r="F476" s="4" t="str">
        <f ca="1">IF(OR(INDEX($AG$2:$AG$1001,MATCH(ROWS($AF$2:AF476),$AF$2:$AF$1001,0),1)&gt;=100000,INDEX($AM$1005:$BM$1005,1,MATCH(COLUMNS($AM$1006:AQ1006),$AM$1006:$BM$1006,0))&gt;=100000), " ",IF(INDEX($AM$2:$BM$1001,MATCH(ROWS($AF$2:AF476),$AF$2:$AF$1001,0),MATCH(COLUMNS($AM$1006:AQ1006),$AM$1006:$BM$1006,0)), HYPERLINK("#",""), HYPERLINK(CONCATENATE("#metadata!", ADDRESS(INDEX($AH$2:$AH$1001,MATCH(ROWS($AF$2:AF476),$AF$2:$AF$1001,0),0), INDEX($AM$1004:$BM$1004,1,MATCH(COLUMNS($AM$1006:AQ1006),$AM$1006:$BM$1006,0)))),"Fix")))</f>
        <v xml:space="preserve"> </v>
      </c>
      <c r="G476" s="4" t="str">
        <f ca="1">IF(OR(INDEX($AG$2:$AG$1001,MATCH(ROWS($AF$2:AF476),$AF$2:$AF$1001,0),1)&gt;=100000,INDEX($AM$1005:$BM$1005,1,MATCH(COLUMNS($AM$1006:AR1006),$AM$1006:$BM$1006,0))&gt;=100000), " ",IF(INDEX($AM$2:$BM$1001,MATCH(ROWS($AF$2:AF476),$AF$2:$AF$1001,0),MATCH(COLUMNS($AM$1006:AR1006),$AM$1006:$BM$1006,0)), HYPERLINK("#",""), HYPERLINK(CONCATENATE("#metadata!", ADDRESS(INDEX($AH$2:$AH$1001,MATCH(ROWS($AF$2:AF476),$AF$2:$AF$1001,0),0), INDEX($AM$1004:$BM$1004,1,MATCH(COLUMNS($AM$1006:AR1006),$AM$1006:$BM$1006,0)))),"Fix")))</f>
        <v xml:space="preserve"> </v>
      </c>
      <c r="H476" s="4" t="str">
        <f ca="1">IF(OR(INDEX($AG$2:$AG$1001,MATCH(ROWS($AF$2:AF476),$AF$2:$AF$1001,0),1)&gt;=100000,INDEX($AM$1005:$BM$1005,1,MATCH(COLUMNS($AM$1006:AS1006),$AM$1006:$BM$1006,0))&gt;=100000), " ",IF(INDEX($AM$2:$BM$1001,MATCH(ROWS($AF$2:AF476),$AF$2:$AF$1001,0),MATCH(COLUMNS($AM$1006:AS1006),$AM$1006:$BM$1006,0)), HYPERLINK("#",""), HYPERLINK(CONCATENATE("#metadata!", ADDRESS(INDEX($AH$2:$AH$1001,MATCH(ROWS($AF$2:AF476),$AF$2:$AF$1001,0),0), INDEX($AM$1004:$BM$1004,1,MATCH(COLUMNS($AM$1006:AS1006),$AM$1006:$BM$1006,0)))),"Fix")))</f>
        <v xml:space="preserve"> </v>
      </c>
      <c r="I476" s="4" t="str">
        <f ca="1">IF(OR(INDEX($AG$2:$AG$1001,MATCH(ROWS($AF$2:AF476),$AF$2:$AF$1001,0),1)&gt;=100000,INDEX($AM$1005:$BM$1005,1,MATCH(COLUMNS($AM$1006:AT1006),$AM$1006:$BM$1006,0))&gt;=100000), " ",IF(INDEX($AM$2:$BM$1001,MATCH(ROWS($AF$2:AF476),$AF$2:$AF$1001,0),MATCH(COLUMNS($AM$1006:AT1006),$AM$1006:$BM$1006,0)), HYPERLINK("#",""), HYPERLINK(CONCATENATE("#metadata!", ADDRESS(INDEX($AH$2:$AH$1001,MATCH(ROWS($AF$2:AF476),$AF$2:$AF$1001,0),0), INDEX($AM$1004:$BM$1004,1,MATCH(COLUMNS($AM$1006:AT1006),$AM$1006:$BM$1006,0)))),"Fix")))</f>
        <v xml:space="preserve"> </v>
      </c>
      <c r="J476" s="4" t="str">
        <f ca="1">IF(OR(INDEX($AG$2:$AG$1001,MATCH(ROWS($AF$2:AF476),$AF$2:$AF$1001,0),1)&gt;=100000,INDEX($AM$1005:$BM$1005,1,MATCH(COLUMNS($AM$1006:AU1006),$AM$1006:$BM$1006,0))&gt;=100000), " ",IF(INDEX($AM$2:$BM$1001,MATCH(ROWS($AF$2:AF476),$AF$2:$AF$1001,0),MATCH(COLUMNS($AM$1006:AU1006),$AM$1006:$BM$1006,0)), HYPERLINK("#",""), HYPERLINK(CONCATENATE("#metadata!", ADDRESS(INDEX($AH$2:$AH$1001,MATCH(ROWS($AF$2:AF476),$AF$2:$AF$1001,0),0), INDEX($AM$1004:$BM$1004,1,MATCH(COLUMNS($AM$1006:AU1006),$AM$1006:$BM$1006,0)))),"Fix")))</f>
        <v xml:space="preserve"> </v>
      </c>
      <c r="K476" s="4" t="str">
        <f ca="1">IF(OR(INDEX($AG$2:$AG$1001,MATCH(ROWS($AF$2:AF476),$AF$2:$AF$1001,0),1)&gt;=100000,INDEX($AM$1005:$BM$1005,1,MATCH(COLUMNS($AM$1006:AV1006),$AM$1006:$BM$1006,0))&gt;=100000), " ",IF(INDEX($AM$2:$BM$1001,MATCH(ROWS($AF$2:AF476),$AF$2:$AF$1001,0),MATCH(COLUMNS($AM$1006:AV1006),$AM$1006:$BM$1006,0)), HYPERLINK("#",""), HYPERLINK(CONCATENATE("#metadata!", ADDRESS(INDEX($AH$2:$AH$1001,MATCH(ROWS($AF$2:AF476),$AF$2:$AF$1001,0),0), INDEX($AM$1004:$BM$1004,1,MATCH(COLUMNS($AM$1006:AV1006),$AM$1006:$BM$1006,0)))),"Fix")))</f>
        <v xml:space="preserve"> </v>
      </c>
      <c r="L476" s="4" t="str">
        <f ca="1">IF(OR(INDEX($AG$2:$AG$1001,MATCH(ROWS($AF$2:AF476),$AF$2:$AF$1001,0),1)&gt;=100000,INDEX($AM$1005:$BM$1005,1,MATCH(COLUMNS($AM$1006:AW1006),$AM$1006:$BM$1006,0))&gt;=100000), " ",IF(INDEX($AM$2:$BM$1001,MATCH(ROWS($AF$2:AF476),$AF$2:$AF$1001,0),MATCH(COLUMNS($AM$1006:AW1006),$AM$1006:$BM$1006,0)), HYPERLINK("#",""), HYPERLINK(CONCATENATE("#metadata!", ADDRESS(INDEX($AH$2:$AH$1001,MATCH(ROWS($AF$2:AF476),$AF$2:$AF$1001,0),0), INDEX($AM$1004:$BM$1004,1,MATCH(COLUMNS($AM$1006:AW1006),$AM$1006:$BM$1006,0)))),"Fix")))</f>
        <v xml:space="preserve"> </v>
      </c>
      <c r="M476" s="4" t="str">
        <f ca="1">IF(OR(INDEX($AG$2:$AG$1001,MATCH(ROWS($AF$2:AF476),$AF$2:$AF$1001,0),1)&gt;=100000,INDEX($AM$1005:$BM$1005,1,MATCH(COLUMNS($AM$1006:AX1006),$AM$1006:$BM$1006,0))&gt;=100000), " ",IF(INDEX($AM$2:$BM$1001,MATCH(ROWS($AF$2:AF476),$AF$2:$AF$1001,0),MATCH(COLUMNS($AM$1006:AX1006),$AM$1006:$BM$1006,0)), HYPERLINK("#",""), HYPERLINK(CONCATENATE("#metadata!", ADDRESS(INDEX($AH$2:$AH$1001,MATCH(ROWS($AF$2:AF476),$AF$2:$AF$1001,0),0), INDEX($AM$1004:$BM$1004,1,MATCH(COLUMNS($AM$1006:AX1006),$AM$1006:$BM$1006,0)))),"Fix")))</f>
        <v xml:space="preserve"> </v>
      </c>
      <c r="N476" s="4" t="str">
        <f ca="1">IF(OR(INDEX($AG$2:$AG$1001,MATCH(ROWS($AF$2:AF476),$AF$2:$AF$1001,0),1)&gt;=100000,INDEX($AM$1005:$BM$1005,1,MATCH(COLUMNS($AM$1006:AY1006),$AM$1006:$BM$1006,0))&gt;=100000), " ",IF(INDEX($AM$2:$BM$1001,MATCH(ROWS($AF$2:AF476),$AF$2:$AF$1001,0),MATCH(COLUMNS($AM$1006:AY1006),$AM$1006:$BM$1006,0)), HYPERLINK("#",""), HYPERLINK(CONCATENATE("#metadata!", ADDRESS(INDEX($AH$2:$AH$1001,MATCH(ROWS($AF$2:AF476),$AF$2:$AF$1001,0),0), INDEX($AM$1004:$BM$1004,1,MATCH(COLUMNS($AM$1006:AY1006),$AM$1006:$BM$1006,0)))),"Fix")))</f>
        <v xml:space="preserve"> </v>
      </c>
      <c r="O476" s="4" t="str">
        <f ca="1">IF(OR(INDEX($AG$2:$AG$1001,MATCH(ROWS($AF$2:AF476),$AF$2:$AF$1001,0),1)&gt;=100000,INDEX($AM$1005:$BM$1005,1,MATCH(COLUMNS($AM$1006:AZ1006),$AM$1006:$BM$1006,0))&gt;=100000), " ",IF(INDEX($AM$2:$BM$1001,MATCH(ROWS($AF$2:AF476),$AF$2:$AF$1001,0),MATCH(COLUMNS($AM$1006:AZ1006),$AM$1006:$BM$1006,0)), HYPERLINK("#",""), HYPERLINK(CONCATENATE("#metadata!", ADDRESS(INDEX($AH$2:$AH$1001,MATCH(ROWS($AF$2:AF476),$AF$2:$AF$1001,0),0), INDEX($AM$1004:$BM$1004,1,MATCH(COLUMNS($AM$1006:AZ1006),$AM$1006:$BM$1006,0)))),"Fix")))</f>
        <v xml:space="preserve"> </v>
      </c>
      <c r="P476" s="4" t="str">
        <f ca="1">IF(OR(INDEX($AG$2:$AG$1001,MATCH(ROWS($AF$2:AF476),$AF$2:$AF$1001,0),1)&gt;=100000,INDEX($AM$1005:$BM$1005,1,MATCH(COLUMNS($AM$1006:BA1006),$AM$1006:$BM$1006,0))&gt;=100000), " ",IF(INDEX($AM$2:$BM$1001,MATCH(ROWS($AF$2:AF476),$AF$2:$AF$1001,0),MATCH(COLUMNS($AM$1006:BA1006),$AM$1006:$BM$1006,0)), HYPERLINK("#",""), HYPERLINK(CONCATENATE("#metadata!", ADDRESS(INDEX($AH$2:$AH$1001,MATCH(ROWS($AF$2:AF476),$AF$2:$AF$1001,0),0), INDEX($AM$1004:$BM$1004,1,MATCH(COLUMNS($AM$1006:BA1006),$AM$1006:$BM$1006,0)))),"Fix")))</f>
        <v xml:space="preserve"> </v>
      </c>
      <c r="Q476" s="4" t="str">
        <f ca="1">IF(OR(INDEX($AG$2:$AG$1001,MATCH(ROWS($AF$2:AF476),$AF$2:$AF$1001,0),1)&gt;=100000,INDEX($AM$1005:$BM$1005,1,MATCH(COLUMNS($AM$1006:BB1006),$AM$1006:$BM$1006,0))&gt;=100000), " ",IF(INDEX($AM$2:$BM$1001,MATCH(ROWS($AF$2:AF476),$AF$2:$AF$1001,0),MATCH(COLUMNS($AM$1006:BB1006),$AM$1006:$BM$1006,0)), HYPERLINK("#",""), HYPERLINK(CONCATENATE("#metadata!", ADDRESS(INDEX($AH$2:$AH$1001,MATCH(ROWS($AF$2:AF476),$AF$2:$AF$1001,0),0), INDEX($AM$1004:$BM$1004,1,MATCH(COLUMNS($AM$1006:BB1006),$AM$1006:$BM$1006,0)))),"Fix")))</f>
        <v xml:space="preserve"> </v>
      </c>
      <c r="R476" s="4" t="str">
        <f ca="1">IF(OR(INDEX($AG$2:$AG$1001,MATCH(ROWS($AF$2:AF476),$AF$2:$AF$1001,0),1)&gt;=100000,INDEX($AM$1005:$BM$1005,1,MATCH(COLUMNS($AM$1006:BC1006),$AM$1006:$BM$1006,0))&gt;=100000), " ",IF(INDEX($AM$2:$BM$1001,MATCH(ROWS($AF$2:AF476),$AF$2:$AF$1001,0),MATCH(COLUMNS($AM$1006:BC1006),$AM$1006:$BM$1006,0)), HYPERLINK("#",""), HYPERLINK(CONCATENATE("#metadata!", ADDRESS(INDEX($AH$2:$AH$1001,MATCH(ROWS($AF$2:AF476),$AF$2:$AF$1001,0),0), INDEX($AM$1004:$BM$1004,1,MATCH(COLUMNS($AM$1006:BC1006),$AM$1006:$BM$1006,0)))),"Fix")))</f>
        <v xml:space="preserve"> </v>
      </c>
      <c r="S476" s="4" t="str">
        <f ca="1">IF(OR(INDEX($AG$2:$AG$1001,MATCH(ROWS($AF$2:AF476),$AF$2:$AF$1001,0),1)&gt;=100000,INDEX($AM$1005:$BM$1005,1,MATCH(COLUMNS($AM$1006:BD1006),$AM$1006:$BM$1006,0))&gt;=100000), " ",IF(INDEX($AM$2:$BM$1001,MATCH(ROWS($AF$2:AF476),$AF$2:$AF$1001,0),MATCH(COLUMNS($AM$1006:BD1006),$AM$1006:$BM$1006,0)), HYPERLINK("#",""), HYPERLINK(CONCATENATE("#metadata!", ADDRESS(INDEX($AH$2:$AH$1001,MATCH(ROWS($AF$2:AF476),$AF$2:$AF$1001,0),0), INDEX($AM$1004:$BM$1004,1,MATCH(COLUMNS($AM$1006:BD1006),$AM$1006:$BM$1006,0)))),"Fix")))</f>
        <v xml:space="preserve"> </v>
      </c>
      <c r="T476" s="4" t="str">
        <f ca="1">IF(OR(INDEX($AG$2:$AG$1001,MATCH(ROWS($AF$2:AF476),$AF$2:$AF$1001,0),1)&gt;=100000,INDEX($AM$1005:$BM$1005,1,MATCH(COLUMNS($AM$1006:BE1006),$AM$1006:$BM$1006,0))&gt;=100000), " ",IF(INDEX($AM$2:$BM$1001,MATCH(ROWS($AF$2:AF476),$AF$2:$AF$1001,0),MATCH(COLUMNS($AM$1006:BE1006),$AM$1006:$BM$1006,0)), HYPERLINK("#",""), HYPERLINK(CONCATENATE("#metadata!", ADDRESS(INDEX($AH$2:$AH$1001,MATCH(ROWS($AF$2:AF476),$AF$2:$AF$1001,0),0), INDEX($AM$1004:$BM$1004,1,MATCH(COLUMNS($AM$1006:BE1006),$AM$1006:$BM$1006,0)))),"Fix")))</f>
        <v xml:space="preserve"> </v>
      </c>
      <c r="U476" s="4" t="str">
        <f ca="1">IF(OR(INDEX($AG$2:$AG$1001,MATCH(ROWS($AF$2:AF476),$AF$2:$AF$1001,0),1)&gt;=100000,INDEX($AM$1005:$BM$1005,1,MATCH(COLUMNS($AM$1006:BF1006),$AM$1006:$BM$1006,0))&gt;=100000), " ",IF(INDEX($AM$2:$BM$1001,MATCH(ROWS($AF$2:AF476),$AF$2:$AF$1001,0),MATCH(COLUMNS($AM$1006:BF1006),$AM$1006:$BM$1006,0)), HYPERLINK("#",""), HYPERLINK(CONCATENATE("#metadata!", ADDRESS(INDEX($AH$2:$AH$1001,MATCH(ROWS($AF$2:AF476),$AF$2:$AF$1001,0),0), INDEX($AM$1004:$BM$1004,1,MATCH(COLUMNS($AM$1006:BF1006),$AM$1006:$BM$1006,0)))),"Fix")))</f>
        <v xml:space="preserve"> </v>
      </c>
      <c r="V476" s="4" t="str">
        <f ca="1">IF(OR(INDEX($AG$2:$AG$1001,MATCH(ROWS($AF$2:AF476),$AF$2:$AF$1001,0),1)&gt;=100000,INDEX($AM$1005:$BM$1005,1,MATCH(COLUMNS($AM$1006:BG1006),$AM$1006:$BM$1006,0))&gt;=100000), " ",IF(INDEX($AM$2:$BM$1001,MATCH(ROWS($AF$2:AF476),$AF$2:$AF$1001,0),MATCH(COLUMNS($AM$1006:BG1006),$AM$1006:$BM$1006,0)), HYPERLINK("#",""), HYPERLINK(CONCATENATE("#metadata!", ADDRESS(INDEX($AH$2:$AH$1001,MATCH(ROWS($AF$2:AF476),$AF$2:$AF$1001,0),0), INDEX($AM$1004:$BM$1004,1,MATCH(COLUMNS($AM$1006:BG1006),$AM$1006:$BM$1006,0)))),"Fix")))</f>
        <v xml:space="preserve"> </v>
      </c>
      <c r="W476" s="4" t="str">
        <f ca="1">IF(OR(INDEX($AG$2:$AG$1001,MATCH(ROWS($AF$2:AF476),$AF$2:$AF$1001,0),1)&gt;=100000,INDEX($AM$1005:$BM$1005,1,MATCH(COLUMNS($AM$1006:BH1006),$AM$1006:$BM$1006,0))&gt;=100000), " ",IF(INDEX($AM$2:$BM$1001,MATCH(ROWS($AF$2:AF476),$AF$2:$AF$1001,0),MATCH(COLUMNS($AM$1006:BH1006),$AM$1006:$BM$1006,0)), HYPERLINK("#",""), HYPERLINK(CONCATENATE("#metadata!", ADDRESS(INDEX($AH$2:$AH$1001,MATCH(ROWS($AF$2:AF476),$AF$2:$AF$1001,0),0), INDEX($AM$1004:$BM$1004,1,MATCH(COLUMNS($AM$1006:BH1006),$AM$1006:$BM$1006,0)))),"Fix")))</f>
        <v xml:space="preserve"> </v>
      </c>
      <c r="X476" s="4" t="str">
        <f ca="1">IF(OR(INDEX($AG$2:$AG$1001,MATCH(ROWS($AF$2:AF476),$AF$2:$AF$1001,0),1)&gt;=100000,INDEX($AM$1005:$BM$1005,1,MATCH(COLUMNS($AM$1006:BI1006),$AM$1006:$BM$1006,0))&gt;=100000), " ",IF(INDEX($AM$2:$BM$1001,MATCH(ROWS($AF$2:AF476),$AF$2:$AF$1001,0),MATCH(COLUMNS($AM$1006:BI1006),$AM$1006:$BM$1006,0)), HYPERLINK("#",""), HYPERLINK(CONCATENATE("#metadata!", ADDRESS(INDEX($AH$2:$AH$1001,MATCH(ROWS($AF$2:AF476),$AF$2:$AF$1001,0),0), INDEX($AM$1004:$BM$1004,1,MATCH(COLUMNS($AM$1006:BI1006),$AM$1006:$BM$1006,0)))),"Fix")))</f>
        <v xml:space="preserve"> </v>
      </c>
      <c r="Y476" s="4" t="str">
        <f ca="1">IF(OR(INDEX($AG$2:$AG$1001,MATCH(ROWS($AF$2:AF476),$AF$2:$AF$1001,0),1)&gt;=100000,INDEX($AM$1005:$BM$1005,1,MATCH(COLUMNS($AM$1006:BJ1006),$AM$1006:$BM$1006,0))&gt;=100000), " ",IF(INDEX($AM$2:$BM$1001,MATCH(ROWS($AF$2:AF476),$AF$2:$AF$1001,0),MATCH(COLUMNS($AM$1006:BJ1006),$AM$1006:$BM$1006,0)), HYPERLINK("#",""), HYPERLINK(CONCATENATE("#metadata!", ADDRESS(INDEX($AH$2:$AH$1001,MATCH(ROWS($AF$2:AF476),$AF$2:$AF$1001,0),0), INDEX($AM$1004:$BM$1004,1,MATCH(COLUMNS($AM$1006:BJ1006),$AM$1006:$BM$1006,0)))),"Fix")))</f>
        <v xml:space="preserve"> </v>
      </c>
      <c r="Z476" s="4" t="str">
        <f ca="1">IF(OR(INDEX($AG$2:$AG$1001,MATCH(ROWS($AF$2:AF476),$AF$2:$AF$1001,0),1)&gt;=100000,INDEX($AM$1005:$BM$1005,1,MATCH(COLUMNS($AM$1006:BK1006),$AM$1006:$BM$1006,0))&gt;=100000), " ",IF(INDEX($AM$2:$BM$1001,MATCH(ROWS($AF$2:AF476),$AF$2:$AF$1001,0),MATCH(COLUMNS($AM$1006:BK1006),$AM$1006:$BM$1006,0)), HYPERLINK("#",""), HYPERLINK(CONCATENATE("#metadata!", ADDRESS(INDEX($AH$2:$AH$1001,MATCH(ROWS($AF$2:AF476),$AF$2:$AF$1001,0),0), INDEX($AM$1004:$BM$1004,1,MATCH(COLUMNS($AM$1006:BK1006),$AM$1006:$BM$1006,0)))),"Fix")))</f>
        <v xml:space="preserve"> </v>
      </c>
      <c r="AA476" s="4" t="str">
        <f ca="1">IF(OR(INDEX($AG$2:$AG$1001,MATCH(ROWS($AF$2:AF476),$AF$2:$AF$1001,0),1)&gt;=100000,INDEX($AM$1005:$BM$1005,1,MATCH(COLUMNS($AM$1006:BL1006),$AM$1006:$BM$1006,0))&gt;=100000), " ",IF(INDEX($AM$2:$BM$1001,MATCH(ROWS($AF$2:AF476),$AF$2:$AF$1001,0),MATCH(COLUMNS($AM$1006:BL1006),$AM$1006:$BM$1006,0)), HYPERLINK("#",""), HYPERLINK(CONCATENATE("#metadata!", ADDRESS(INDEX($AH$2:$AH$1001,MATCH(ROWS($AF$2:AF476),$AF$2:$AF$1001,0),0), INDEX($AM$1004:$BM$1004,1,MATCH(COLUMNS($AM$1006:BL1006),$AM$1006:$BM$1006,0)))),"Fix")))</f>
        <v xml:space="preserve"> </v>
      </c>
      <c r="AB476" s="4" t="str">
        <f ca="1">IF(OR(INDEX($AG$2:$AG$1001,MATCH(ROWS($AF$2:AF476),$AF$2:$AF$1001,0),1)&gt;=100000,INDEX($AM$1005:$BM$1005,1,MATCH(COLUMNS($AM$1006:BM1006),$AM$1006:$BM$1006,0))&gt;=100000), " ",IF(INDEX($AM$2:$BM$1001,MATCH(ROWS($AF$2:AF476),$AF$2:$AF$1001,0),MATCH(COLUMNS($AM$1006:BM1006),$AM$1006:$BM$1006,0)), HYPERLINK("#",""), HYPERLINK(CONCATENATE("#metadata!", ADDRESS(INDEX($AH$2:$AH$1001,MATCH(ROWS($AF$2:AF476),$AF$2:$AF$1001,0),0), INDEX($AM$1004:$BM$1004,1,MATCH(COLUMNS($AM$1006:BM1006),$AM$1006:$BM$1006,0)))),"Fix")))</f>
        <v xml:space="preserve"> </v>
      </c>
      <c r="AF476">
        <v>475</v>
      </c>
      <c r="AG476">
        <v>100476</v>
      </c>
      <c r="AH476">
        <v>476</v>
      </c>
      <c r="AI476" t="b">
        <f t="shared" si="7"/>
        <v>1</v>
      </c>
      <c r="AJ476" t="b">
        <f>COUNTBLANK(metadata!B476:AB476)=COLUMNS(metadata!B476:AB476)</f>
        <v>1</v>
      </c>
      <c r="AK476" t="str">
        <v/>
      </c>
      <c r="AM476" t="b">
        <f ca="1">AND(IF(metadata!B476="",FALSE,TRUE),COUNTIF(metadata!B:B, metadata!B476) = 1,NOT(ISERROR(SUMPRODUCT(SEARCH(MID(metadata!B476,ROW(INDIRECT("1:"&amp;LEN(metadata!B476))), 1),"0123456789abcdefghijklmnopqrstuvwxyzABCDEFGHIJKLMNOPQRSTUVWXYZ.")))))</f>
        <v>0</v>
      </c>
      <c r="AN476" t="b">
        <f ca="1">OR(AND(IF(metadata!C476="",FALSE,TRUE),OR(EXACT(metadata!C476,"missing: not collected"),EXACT(metadata!C476,"missing: not provided"),EXACT(metadata!C476,"missing: restricted access"))),AND(IF(metadata!C476="",FALSE,TRUE),AND(AND(IFERROR(INT(LEFT(metadata!C476,4))&gt;1900,FALSE),IFERROR(INT(LEFT(metadata!C476,4))&lt;=YEAR(NOW()),FALSE)), OR(MID(metadata!C476,5,1)="", AND(AND(MID(metadata!C476,5,1)="-",IFERROR(INT(MID(metadata!C476,6,1))&gt;=0,FALSE),IFERROR(INT(MID(metadata!C476,6,1))&lt;=1,FALSE),NOT(MID(metadata!C476,7,1)=""),IFERROR(INT(MID(metadata!C476,6,2))&gt;=1,FALSE),IFERROR(INT(MID(metadata!C476,6,2))&lt;=12,FALSE)), OR(MID(metadata!C476,8,1)="", AND(AND(MID(metadata!C476,8,1)="-",IFERROR(INT(MID(metadata!C476,9,1))&gt;=0,FALSE),IFERROR(INT(MID(metadata!C476,9,1))&lt;=3,FALSE),NOT(MID(metadata!C476,10,1)=""),IFERROR(INT(MID(metadata!C476,9,2))&gt;=1,FALSE),IFERROR(INT(MID(metadata!C476,9,2))&lt;=31,FALSE)), OR(MID(metadata!C476,11,1)="", AND(AND(MID(metadata!C476,11,1)=" ",IFERROR(INT(MID(metadata!C476,12,1))&gt;=0,FALSE),IFERROR(INT(MID(metadata!C476,12,1))&lt;=2,FALSE),NOT(MID(metadata!C476,13,1)=""),IFERROR(INT(MID(metadata!C476,12,2))&gt;=0,FALSE),IFERROR(INT(MID(metadata!C476,12,2))&lt;=23,FALSE)), OR(MID(metadata!C476,14,1)="", AND(AND(MID(metadata!C476,14,1)=":",IFERROR(INT(MID(metadata!C476,15,1))&gt;=0,FALSE),IFERROR(INT(MID(metadata!C476,15,1))&lt;=5,FALSE),NOT(MID(metadata!C476,16,1)=""),IFERROR(INT(MID(metadata!C476,15,2))&gt;=0,FALSE),IFERROR(INT(MID(metadata!C476,15,2))&lt;=59,FALSE)), OR(MID(metadata!C476,17,1)="", AND(AND(MID(metadata!C476,17,1)=":",IFERROR(INT(MID(metadata!C476,18,1))&gt;=0,FALSE),IFERROR(INT(MID(metadata!C476,18,1))&lt;=5,FALSE),NOT(MID(metadata!C476,19,1)=""),IFERROR(INT(MID(metadata!C476,18,2))&gt;=0,FALSE),IFERROR(INT(MID(metadata!C476,18,2))&lt;=59,FALSE)), LEN(metadata!C476)&lt;=19)))))))))))))</f>
        <v>0</v>
      </c>
      <c r="AO476" t="b">
        <f>AND(IF(metadata!D476="",FALSE,TRUE),EXACT(metadata!D476,"Not applicable"))</f>
        <v>0</v>
      </c>
      <c r="AP476" t="b">
        <f>IF(metadata!E476="",FALSE,TRUE)</f>
        <v>0</v>
      </c>
      <c r="AQ476" t="b">
        <f>OR(AND(IF(metadata!F476="",FALSE,TRUE),OR(EXACT(metadata!F476,"missing: not collected"),EXACT(metadata!F476,"missing: not provided"))),AND(IF(metadata!F476="",FALSE,TRUE),OR(EXACT(metadata!F476,"TRUE"),EXACT(metadata!F476,"FALSE"))))</f>
        <v>0</v>
      </c>
      <c r="AR476" t="b">
        <f>OR(AND(IF(metadata!G476="",FALSE,TRUE),OR(EXACT(metadata!G476,"missing: not collected"),EXACT(metadata!G476,"missing: not provided"),EXACT(metadata!G476,"missing: restricted access"))),AND(IF(metadata!G476="",FALSE,ISNUMBER(VALUE(metadata!G476))),metadata!G476&gt;=-413))</f>
        <v>0</v>
      </c>
      <c r="AS476" t="b">
        <f>AND(IF(metadata!H476="",FALSE,TRUE),EXACT(metadata!H476,"meters"))</f>
        <v>0</v>
      </c>
      <c r="AT476" t="b">
        <f>AND(IF(metadata!I476="",FALSE,TRUE),OR(EXACT(metadata!I476,"Host-associated"),EXACT(metadata!I476,"Free-living")))</f>
        <v>0</v>
      </c>
      <c r="AU476" t="b">
        <f>AND(IF(metadata!J476="",FALSE,TRUE),OR(EXACT(metadata!J476,"Animal"),EXACT(metadata!J476,"Fungus"),EXACT(metadata!J476,"Plant"),EXACT(metadata!J476,"Saline"),EXACT(metadata!J476,"Non-saline")))</f>
        <v>0</v>
      </c>
      <c r="AV476" t="b">
        <f>AND(IF(metadata!K476="",FALSE,TRUE),OR(EXACT(metadata!K476,"Plant secretion"),EXACT(metadata!K476,"Plant rhizosphere"),EXACT(metadata!K476,"Plant surface"),EXACT(metadata!K476,"Plant corpus"),EXACT(metadata!K476,"Fungus surface"),EXACT(metadata!K476,"Fungus corpus"),EXACT(metadata!K476,"Animal surface"),EXACT(metadata!K476,"Animal proximal gut"),EXACT(metadata!K476,"Animal corpus"),EXACT(metadata!K476,"Animal distal gut"),EXACT(metadata!K476,"Animal secretion"),EXACT(metadata!K476,"Sub-surface (non-saline)"),EXACT(metadata!K476,"Surface (non-saline)"),EXACT(metadata!K476,"Water (non-saline)"),EXACT(metadata!K476,"Soil (non-saline)"),EXACT(metadata!K476,"Aerosol (non-saline)"),EXACT(metadata!K476,"Sediment (non-saline)"),EXACT(metadata!K476,"Surface (saline)"),EXACT(metadata!K476,"Water (saline)"),EXACT(metadata!K476,"Hypersaline (saline)"),EXACT(metadata!K476,"Aerosol (saline)"),EXACT(metadata!K476,"Sediment (saline)")))</f>
        <v>0</v>
      </c>
      <c r="AW476" t="b">
        <f>IF(metadata!L476="",FALSE,TRUE)</f>
        <v>0</v>
      </c>
      <c r="AX476" t="b">
        <f>IF(metadata!M476="",FALSE,TRUE)</f>
        <v>0</v>
      </c>
      <c r="AY476" t="b">
        <f>IF(metadata!N476="",FALSE,TRUE)</f>
        <v>0</v>
      </c>
      <c r="AZ476" t="b">
        <f>OR(AND(IF(metadata!O476="",FALSE,TRUE),OR(EXACT(metadata!O476,"missing: not collected"),EXACT(metadata!O476,"missing: not provided"),EXACT(metadata!O476,"missing: restricted access"))),AND(IF(metadata!O476="",FALSE,TRUE),OR(EXACT(metadata!O476,"air"),EXACT(metadata!O476,"built environment"),EXACT(metadata!O476,"host-associated"),EXACT(metadata!O476,"human-associated"),EXACT(metadata!O476,"human-skin"),EXACT(metadata!O476,"human-oral"),EXACT(metadata!O476,"human-gut"),EXACT(metadata!O476,"human-vaginal"),EXACT(metadata!O476,"microbial mat/biofilm"),EXACT(metadata!O476,"misc environment"),EXACT(metadata!O476,"plant-associated"),EXACT(metadata!O476,"sediment"),EXACT(metadata!O476,"soil"),EXACT(metadata!O476,"wastewater/sludge"),EXACT(metadata!O476,"water"))))</f>
        <v>0</v>
      </c>
      <c r="BA476" t="b">
        <f>IF(metadata!P476="",FALSE,TRUE)</f>
        <v>0</v>
      </c>
      <c r="BB476" t="b">
        <f>IF(metadata!Q476="",FALSE,TRUE)</f>
        <v>0</v>
      </c>
      <c r="BC476" t="b">
        <f>OR(AND(IF(metadata!R476="",FALSE,TRUE),OR(EXACT(metadata!R476,"missing: not collected"),EXACT(metadata!R476,"missing: not provided"),EXACT(metadata!R476,"missing: restricted access"))),AND(IF(metadata!R476="",FALSE,ISNUMBER(VALUE(metadata!R476))),metadata!R476&gt;=-90,metadata!R476&lt;=90))</f>
        <v>0</v>
      </c>
      <c r="BD476" t="b">
        <f>AND(IF(metadata!S476="",FALSE,TRUE),EXACT(metadata!S476,"Decimal degrees"))</f>
        <v>0</v>
      </c>
      <c r="BE476" t="b">
        <f>OR(AND(IF(metadata!T476="",FALSE,TRUE),OR(EXACT(metadata!T476,"missing: not collected"),EXACT(metadata!T476,"missing: not provided"),EXACT(metadata!T476,"missing: restricted access"))),AND(IF(metadata!T476="",FALSE,ISNUMBER(VALUE(metadata!T476))),metadata!T476&gt;=-180,metadata!T476&lt;=180))</f>
        <v>0</v>
      </c>
      <c r="BF476" t="b">
        <f>AND(IF(metadata!U476="",FALSE,TRUE),EXACT(metadata!U476,"Decimal degrees"))</f>
        <v>0</v>
      </c>
      <c r="BG476" t="b">
        <f>IF(metadata!V476="",FALSE,TRUE)</f>
        <v>0</v>
      </c>
      <c r="BH476" t="b">
        <f>OR(AND(IF(metadata!W476="",FALSE,TRUE),OR(EXACT(metadata!W476,"missing: not collected"),EXACT(metadata!W476,"missing: not provided"),EXACT(metadata!W476,"missing: restricted access"))),AND(IF(metadata!W476="",FALSE,TRUE),OR(EXACT(metadata!W476,"TRUE"),EXACT(metadata!W476,"FALSE"))))</f>
        <v>0</v>
      </c>
      <c r="BI476" t="b">
        <f>AND(IF(metadata!X476="",FALSE,TRUE),EXACT(metadata!X476,"other"))</f>
        <v>0</v>
      </c>
      <c r="BJ476" t="b">
        <f>IF(metadata!Y476="",FALSE,TRUE)</f>
        <v>0</v>
      </c>
      <c r="BK476" t="b">
        <f>OR(AND(IF(metadata!Z476="",FALSE,TRUE),OR(EXACT(metadata!Z476,"missing: not collected"),EXACT(metadata!Z476,"missing: not provided"))),AND(IF(metadata!Z476="",FALSE,IF(ISERROR(INT(metadata!Z476)),FALSE,INT(metadata!Z476)=metadata!Z476)),metadata!Z476&gt;0))</f>
        <v>0</v>
      </c>
      <c r="BL476" t="b">
        <f>AND(IF(metadata!AA476="",FALSE,TRUE),EXACT(metadata!AA476,"Not applicable"))</f>
        <v>0</v>
      </c>
      <c r="BM476" t="b">
        <f>IF(metadata!AB476="",FALSE,TRUE)</f>
        <v>0</v>
      </c>
    </row>
    <row r="477" spans="1:65" x14ac:dyDescent="0.2">
      <c r="A477" s="5" t="str">
        <f ca="1">IF(B477=" "," ",HYPERLINK(CONCATENATE("#metadata!",ADDRESS(INDEX($AH$2:$AH$1001,MATCH(ROWS($AF$2:AF477),$AF$2:$AF$1001,0),0),1)),INDEX($AK$2:$AK$1001,MATCH(ROWS($AF$2:AF477),$AF$2:$AF$1001,0),0)))</f>
        <v xml:space="preserve"> </v>
      </c>
      <c r="B477" s="4" t="str">
        <f ca="1">IF(OR(INDEX($AG$2:$AG$1001,MATCH(ROWS($AF$2:AF477),$AF$2:$AF$1001,0),1)&gt;=100000,INDEX($AM$1005:$BM$1005,1,MATCH(COLUMNS($AM$1006:AM1006),$AM$1006:$BM$1006,0))&gt;=100000), " ",IF(INDEX($AM$2:$BM$1001,MATCH(ROWS($AF$2:AF477),$AF$2:$AF$1001,0),MATCH(COLUMNS($AM$1006:AM1006),$AM$1006:$BM$1006,0)), HYPERLINK("#",""), HYPERLINK(CONCATENATE("#metadata!", ADDRESS(INDEX($AH$2:$AH$1001,MATCH(ROWS($AF$2:AF477),$AF$2:$AF$1001,0),0), INDEX($AM$1004:$BM$1004,1,MATCH(COLUMNS($AM$1006:AM1006),$AM$1006:$BM$1006,0)))),"Fix")))</f>
        <v xml:space="preserve"> </v>
      </c>
      <c r="C477" s="4" t="str">
        <f ca="1">IF(OR(INDEX($AG$2:$AG$1001,MATCH(ROWS($AF$2:AF477),$AF$2:$AF$1001,0),1)&gt;=100000,INDEX($AM$1005:$BM$1005,1,MATCH(COLUMNS($AM$1006:AN1006),$AM$1006:$BM$1006,0))&gt;=100000), " ",IF(INDEX($AM$2:$BM$1001,MATCH(ROWS($AF$2:AF477),$AF$2:$AF$1001,0),MATCH(COLUMNS($AM$1006:AN1006),$AM$1006:$BM$1006,0)), HYPERLINK("#",""), HYPERLINK(CONCATENATE("#metadata!", ADDRESS(INDEX($AH$2:$AH$1001,MATCH(ROWS($AF$2:AF477),$AF$2:$AF$1001,0),0), INDEX($AM$1004:$BM$1004,1,MATCH(COLUMNS($AM$1006:AN1006),$AM$1006:$BM$1006,0)))),"Fix")))</f>
        <v xml:space="preserve"> </v>
      </c>
      <c r="D477" s="4" t="str">
        <f ca="1">IF(OR(INDEX($AG$2:$AG$1001,MATCH(ROWS($AF$2:AF477),$AF$2:$AF$1001,0),1)&gt;=100000,INDEX($AM$1005:$BM$1005,1,MATCH(COLUMNS($AM$1006:AO1006),$AM$1006:$BM$1006,0))&gt;=100000), " ",IF(INDEX($AM$2:$BM$1001,MATCH(ROWS($AF$2:AF477),$AF$2:$AF$1001,0),MATCH(COLUMNS($AM$1006:AO1006),$AM$1006:$BM$1006,0)), HYPERLINK("#",""), HYPERLINK(CONCATENATE("#metadata!", ADDRESS(INDEX($AH$2:$AH$1001,MATCH(ROWS($AF$2:AF477),$AF$2:$AF$1001,0),0), INDEX($AM$1004:$BM$1004,1,MATCH(COLUMNS($AM$1006:AO1006),$AM$1006:$BM$1006,0)))),"Fix")))</f>
        <v xml:space="preserve"> </v>
      </c>
      <c r="E477" s="4" t="str">
        <f ca="1">IF(OR(INDEX($AG$2:$AG$1001,MATCH(ROWS($AF$2:AF477),$AF$2:$AF$1001,0),1)&gt;=100000,INDEX($AM$1005:$BM$1005,1,MATCH(COLUMNS($AM$1006:AP1006),$AM$1006:$BM$1006,0))&gt;=100000), " ",IF(INDEX($AM$2:$BM$1001,MATCH(ROWS($AF$2:AF477),$AF$2:$AF$1001,0),MATCH(COLUMNS($AM$1006:AP1006),$AM$1006:$BM$1006,0)), HYPERLINK("#",""), HYPERLINK(CONCATENATE("#metadata!", ADDRESS(INDEX($AH$2:$AH$1001,MATCH(ROWS($AF$2:AF477),$AF$2:$AF$1001,0),0), INDEX($AM$1004:$BM$1004,1,MATCH(COLUMNS($AM$1006:AP1006),$AM$1006:$BM$1006,0)))),"Fix")))</f>
        <v xml:space="preserve"> </v>
      </c>
      <c r="F477" s="4" t="str">
        <f ca="1">IF(OR(INDEX($AG$2:$AG$1001,MATCH(ROWS($AF$2:AF477),$AF$2:$AF$1001,0),1)&gt;=100000,INDEX($AM$1005:$BM$1005,1,MATCH(COLUMNS($AM$1006:AQ1006),$AM$1006:$BM$1006,0))&gt;=100000), " ",IF(INDEX($AM$2:$BM$1001,MATCH(ROWS($AF$2:AF477),$AF$2:$AF$1001,0),MATCH(COLUMNS($AM$1006:AQ1006),$AM$1006:$BM$1006,0)), HYPERLINK("#",""), HYPERLINK(CONCATENATE("#metadata!", ADDRESS(INDEX($AH$2:$AH$1001,MATCH(ROWS($AF$2:AF477),$AF$2:$AF$1001,0),0), INDEX($AM$1004:$BM$1004,1,MATCH(COLUMNS($AM$1006:AQ1006),$AM$1006:$BM$1006,0)))),"Fix")))</f>
        <v xml:space="preserve"> </v>
      </c>
      <c r="G477" s="4" t="str">
        <f ca="1">IF(OR(INDEX($AG$2:$AG$1001,MATCH(ROWS($AF$2:AF477),$AF$2:$AF$1001,0),1)&gt;=100000,INDEX($AM$1005:$BM$1005,1,MATCH(COLUMNS($AM$1006:AR1006),$AM$1006:$BM$1006,0))&gt;=100000), " ",IF(INDEX($AM$2:$BM$1001,MATCH(ROWS($AF$2:AF477),$AF$2:$AF$1001,0),MATCH(COLUMNS($AM$1006:AR1006),$AM$1006:$BM$1006,0)), HYPERLINK("#",""), HYPERLINK(CONCATENATE("#metadata!", ADDRESS(INDEX($AH$2:$AH$1001,MATCH(ROWS($AF$2:AF477),$AF$2:$AF$1001,0),0), INDEX($AM$1004:$BM$1004,1,MATCH(COLUMNS($AM$1006:AR1006),$AM$1006:$BM$1006,0)))),"Fix")))</f>
        <v xml:space="preserve"> </v>
      </c>
      <c r="H477" s="4" t="str">
        <f ca="1">IF(OR(INDEX($AG$2:$AG$1001,MATCH(ROWS($AF$2:AF477),$AF$2:$AF$1001,0),1)&gt;=100000,INDEX($AM$1005:$BM$1005,1,MATCH(COLUMNS($AM$1006:AS1006),$AM$1006:$BM$1006,0))&gt;=100000), " ",IF(INDEX($AM$2:$BM$1001,MATCH(ROWS($AF$2:AF477),$AF$2:$AF$1001,0),MATCH(COLUMNS($AM$1006:AS1006),$AM$1006:$BM$1006,0)), HYPERLINK("#",""), HYPERLINK(CONCATENATE("#metadata!", ADDRESS(INDEX($AH$2:$AH$1001,MATCH(ROWS($AF$2:AF477),$AF$2:$AF$1001,0),0), INDEX($AM$1004:$BM$1004,1,MATCH(COLUMNS($AM$1006:AS1006),$AM$1006:$BM$1006,0)))),"Fix")))</f>
        <v xml:space="preserve"> </v>
      </c>
      <c r="I477" s="4" t="str">
        <f ca="1">IF(OR(INDEX($AG$2:$AG$1001,MATCH(ROWS($AF$2:AF477),$AF$2:$AF$1001,0),1)&gt;=100000,INDEX($AM$1005:$BM$1005,1,MATCH(COLUMNS($AM$1006:AT1006),$AM$1006:$BM$1006,0))&gt;=100000), " ",IF(INDEX($AM$2:$BM$1001,MATCH(ROWS($AF$2:AF477),$AF$2:$AF$1001,0),MATCH(COLUMNS($AM$1006:AT1006),$AM$1006:$BM$1006,0)), HYPERLINK("#",""), HYPERLINK(CONCATENATE("#metadata!", ADDRESS(INDEX($AH$2:$AH$1001,MATCH(ROWS($AF$2:AF477),$AF$2:$AF$1001,0),0), INDEX($AM$1004:$BM$1004,1,MATCH(COLUMNS($AM$1006:AT1006),$AM$1006:$BM$1006,0)))),"Fix")))</f>
        <v xml:space="preserve"> </v>
      </c>
      <c r="J477" s="4" t="str">
        <f ca="1">IF(OR(INDEX($AG$2:$AG$1001,MATCH(ROWS($AF$2:AF477),$AF$2:$AF$1001,0),1)&gt;=100000,INDEX($AM$1005:$BM$1005,1,MATCH(COLUMNS($AM$1006:AU1006),$AM$1006:$BM$1006,0))&gt;=100000), " ",IF(INDEX($AM$2:$BM$1001,MATCH(ROWS($AF$2:AF477),$AF$2:$AF$1001,0),MATCH(COLUMNS($AM$1006:AU1006),$AM$1006:$BM$1006,0)), HYPERLINK("#",""), HYPERLINK(CONCATENATE("#metadata!", ADDRESS(INDEX($AH$2:$AH$1001,MATCH(ROWS($AF$2:AF477),$AF$2:$AF$1001,0),0), INDEX($AM$1004:$BM$1004,1,MATCH(COLUMNS($AM$1006:AU1006),$AM$1006:$BM$1006,0)))),"Fix")))</f>
        <v xml:space="preserve"> </v>
      </c>
      <c r="K477" s="4" t="str">
        <f ca="1">IF(OR(INDEX($AG$2:$AG$1001,MATCH(ROWS($AF$2:AF477),$AF$2:$AF$1001,0),1)&gt;=100000,INDEX($AM$1005:$BM$1005,1,MATCH(COLUMNS($AM$1006:AV1006),$AM$1006:$BM$1006,0))&gt;=100000), " ",IF(INDEX($AM$2:$BM$1001,MATCH(ROWS($AF$2:AF477),$AF$2:$AF$1001,0),MATCH(COLUMNS($AM$1006:AV1006),$AM$1006:$BM$1006,0)), HYPERLINK("#",""), HYPERLINK(CONCATENATE("#metadata!", ADDRESS(INDEX($AH$2:$AH$1001,MATCH(ROWS($AF$2:AF477),$AF$2:$AF$1001,0),0), INDEX($AM$1004:$BM$1004,1,MATCH(COLUMNS($AM$1006:AV1006),$AM$1006:$BM$1006,0)))),"Fix")))</f>
        <v xml:space="preserve"> </v>
      </c>
      <c r="L477" s="4" t="str">
        <f ca="1">IF(OR(INDEX($AG$2:$AG$1001,MATCH(ROWS($AF$2:AF477),$AF$2:$AF$1001,0),1)&gt;=100000,INDEX($AM$1005:$BM$1005,1,MATCH(COLUMNS($AM$1006:AW1006),$AM$1006:$BM$1006,0))&gt;=100000), " ",IF(INDEX($AM$2:$BM$1001,MATCH(ROWS($AF$2:AF477),$AF$2:$AF$1001,0),MATCH(COLUMNS($AM$1006:AW1006),$AM$1006:$BM$1006,0)), HYPERLINK("#",""), HYPERLINK(CONCATENATE("#metadata!", ADDRESS(INDEX($AH$2:$AH$1001,MATCH(ROWS($AF$2:AF477),$AF$2:$AF$1001,0),0), INDEX($AM$1004:$BM$1004,1,MATCH(COLUMNS($AM$1006:AW1006),$AM$1006:$BM$1006,0)))),"Fix")))</f>
        <v xml:space="preserve"> </v>
      </c>
      <c r="M477" s="4" t="str">
        <f ca="1">IF(OR(INDEX($AG$2:$AG$1001,MATCH(ROWS($AF$2:AF477),$AF$2:$AF$1001,0),1)&gt;=100000,INDEX($AM$1005:$BM$1005,1,MATCH(COLUMNS($AM$1006:AX1006),$AM$1006:$BM$1006,0))&gt;=100000), " ",IF(INDEX($AM$2:$BM$1001,MATCH(ROWS($AF$2:AF477),$AF$2:$AF$1001,0),MATCH(COLUMNS($AM$1006:AX1006),$AM$1006:$BM$1006,0)), HYPERLINK("#",""), HYPERLINK(CONCATENATE("#metadata!", ADDRESS(INDEX($AH$2:$AH$1001,MATCH(ROWS($AF$2:AF477),$AF$2:$AF$1001,0),0), INDEX($AM$1004:$BM$1004,1,MATCH(COLUMNS($AM$1006:AX1006),$AM$1006:$BM$1006,0)))),"Fix")))</f>
        <v xml:space="preserve"> </v>
      </c>
      <c r="N477" s="4" t="str">
        <f ca="1">IF(OR(INDEX($AG$2:$AG$1001,MATCH(ROWS($AF$2:AF477),$AF$2:$AF$1001,0),1)&gt;=100000,INDEX($AM$1005:$BM$1005,1,MATCH(COLUMNS($AM$1006:AY1006),$AM$1006:$BM$1006,0))&gt;=100000), " ",IF(INDEX($AM$2:$BM$1001,MATCH(ROWS($AF$2:AF477),$AF$2:$AF$1001,0),MATCH(COLUMNS($AM$1006:AY1006),$AM$1006:$BM$1006,0)), HYPERLINK("#",""), HYPERLINK(CONCATENATE("#metadata!", ADDRESS(INDEX($AH$2:$AH$1001,MATCH(ROWS($AF$2:AF477),$AF$2:$AF$1001,0),0), INDEX($AM$1004:$BM$1004,1,MATCH(COLUMNS($AM$1006:AY1006),$AM$1006:$BM$1006,0)))),"Fix")))</f>
        <v xml:space="preserve"> </v>
      </c>
      <c r="O477" s="4" t="str">
        <f ca="1">IF(OR(INDEX($AG$2:$AG$1001,MATCH(ROWS($AF$2:AF477),$AF$2:$AF$1001,0),1)&gt;=100000,INDEX($AM$1005:$BM$1005,1,MATCH(COLUMNS($AM$1006:AZ1006),$AM$1006:$BM$1006,0))&gt;=100000), " ",IF(INDEX($AM$2:$BM$1001,MATCH(ROWS($AF$2:AF477),$AF$2:$AF$1001,0),MATCH(COLUMNS($AM$1006:AZ1006),$AM$1006:$BM$1006,0)), HYPERLINK("#",""), HYPERLINK(CONCATENATE("#metadata!", ADDRESS(INDEX($AH$2:$AH$1001,MATCH(ROWS($AF$2:AF477),$AF$2:$AF$1001,0),0), INDEX($AM$1004:$BM$1004,1,MATCH(COLUMNS($AM$1006:AZ1006),$AM$1006:$BM$1006,0)))),"Fix")))</f>
        <v xml:space="preserve"> </v>
      </c>
      <c r="P477" s="4" t="str">
        <f ca="1">IF(OR(INDEX($AG$2:$AG$1001,MATCH(ROWS($AF$2:AF477),$AF$2:$AF$1001,0),1)&gt;=100000,INDEX($AM$1005:$BM$1005,1,MATCH(COLUMNS($AM$1006:BA1006),$AM$1006:$BM$1006,0))&gt;=100000), " ",IF(INDEX($AM$2:$BM$1001,MATCH(ROWS($AF$2:AF477),$AF$2:$AF$1001,0),MATCH(COLUMNS($AM$1006:BA1006),$AM$1006:$BM$1006,0)), HYPERLINK("#",""), HYPERLINK(CONCATENATE("#metadata!", ADDRESS(INDEX($AH$2:$AH$1001,MATCH(ROWS($AF$2:AF477),$AF$2:$AF$1001,0),0), INDEX($AM$1004:$BM$1004,1,MATCH(COLUMNS($AM$1006:BA1006),$AM$1006:$BM$1006,0)))),"Fix")))</f>
        <v xml:space="preserve"> </v>
      </c>
      <c r="Q477" s="4" t="str">
        <f ca="1">IF(OR(INDEX($AG$2:$AG$1001,MATCH(ROWS($AF$2:AF477),$AF$2:$AF$1001,0),1)&gt;=100000,INDEX($AM$1005:$BM$1005,1,MATCH(COLUMNS($AM$1006:BB1006),$AM$1006:$BM$1006,0))&gt;=100000), " ",IF(INDEX($AM$2:$BM$1001,MATCH(ROWS($AF$2:AF477),$AF$2:$AF$1001,0),MATCH(COLUMNS($AM$1006:BB1006),$AM$1006:$BM$1006,0)), HYPERLINK("#",""), HYPERLINK(CONCATENATE("#metadata!", ADDRESS(INDEX($AH$2:$AH$1001,MATCH(ROWS($AF$2:AF477),$AF$2:$AF$1001,0),0), INDEX($AM$1004:$BM$1004,1,MATCH(COLUMNS($AM$1006:BB1006),$AM$1006:$BM$1006,0)))),"Fix")))</f>
        <v xml:space="preserve"> </v>
      </c>
      <c r="R477" s="4" t="str">
        <f ca="1">IF(OR(INDEX($AG$2:$AG$1001,MATCH(ROWS($AF$2:AF477),$AF$2:$AF$1001,0),1)&gt;=100000,INDEX($AM$1005:$BM$1005,1,MATCH(COLUMNS($AM$1006:BC1006),$AM$1006:$BM$1006,0))&gt;=100000), " ",IF(INDEX($AM$2:$BM$1001,MATCH(ROWS($AF$2:AF477),$AF$2:$AF$1001,0),MATCH(COLUMNS($AM$1006:BC1006),$AM$1006:$BM$1006,0)), HYPERLINK("#",""), HYPERLINK(CONCATENATE("#metadata!", ADDRESS(INDEX($AH$2:$AH$1001,MATCH(ROWS($AF$2:AF477),$AF$2:$AF$1001,0),0), INDEX($AM$1004:$BM$1004,1,MATCH(COLUMNS($AM$1006:BC1006),$AM$1006:$BM$1006,0)))),"Fix")))</f>
        <v xml:space="preserve"> </v>
      </c>
      <c r="S477" s="4" t="str">
        <f ca="1">IF(OR(INDEX($AG$2:$AG$1001,MATCH(ROWS($AF$2:AF477),$AF$2:$AF$1001,0),1)&gt;=100000,INDEX($AM$1005:$BM$1005,1,MATCH(COLUMNS($AM$1006:BD1006),$AM$1006:$BM$1006,0))&gt;=100000), " ",IF(INDEX($AM$2:$BM$1001,MATCH(ROWS($AF$2:AF477),$AF$2:$AF$1001,0),MATCH(COLUMNS($AM$1006:BD1006),$AM$1006:$BM$1006,0)), HYPERLINK("#",""), HYPERLINK(CONCATENATE("#metadata!", ADDRESS(INDEX($AH$2:$AH$1001,MATCH(ROWS($AF$2:AF477),$AF$2:$AF$1001,0),0), INDEX($AM$1004:$BM$1004,1,MATCH(COLUMNS($AM$1006:BD1006),$AM$1006:$BM$1006,0)))),"Fix")))</f>
        <v xml:space="preserve"> </v>
      </c>
      <c r="T477" s="4" t="str">
        <f ca="1">IF(OR(INDEX($AG$2:$AG$1001,MATCH(ROWS($AF$2:AF477),$AF$2:$AF$1001,0),1)&gt;=100000,INDEX($AM$1005:$BM$1005,1,MATCH(COLUMNS($AM$1006:BE1006),$AM$1006:$BM$1006,0))&gt;=100000), " ",IF(INDEX($AM$2:$BM$1001,MATCH(ROWS($AF$2:AF477),$AF$2:$AF$1001,0),MATCH(COLUMNS($AM$1006:BE1006),$AM$1006:$BM$1006,0)), HYPERLINK("#",""), HYPERLINK(CONCATENATE("#metadata!", ADDRESS(INDEX($AH$2:$AH$1001,MATCH(ROWS($AF$2:AF477),$AF$2:$AF$1001,0),0), INDEX($AM$1004:$BM$1004,1,MATCH(COLUMNS($AM$1006:BE1006),$AM$1006:$BM$1006,0)))),"Fix")))</f>
        <v xml:space="preserve"> </v>
      </c>
      <c r="U477" s="4" t="str">
        <f ca="1">IF(OR(INDEX($AG$2:$AG$1001,MATCH(ROWS($AF$2:AF477),$AF$2:$AF$1001,0),1)&gt;=100000,INDEX($AM$1005:$BM$1005,1,MATCH(COLUMNS($AM$1006:BF1006),$AM$1006:$BM$1006,0))&gt;=100000), " ",IF(INDEX($AM$2:$BM$1001,MATCH(ROWS($AF$2:AF477),$AF$2:$AF$1001,0),MATCH(COLUMNS($AM$1006:BF1006),$AM$1006:$BM$1006,0)), HYPERLINK("#",""), HYPERLINK(CONCATENATE("#metadata!", ADDRESS(INDEX($AH$2:$AH$1001,MATCH(ROWS($AF$2:AF477),$AF$2:$AF$1001,0),0), INDEX($AM$1004:$BM$1004,1,MATCH(COLUMNS($AM$1006:BF1006),$AM$1006:$BM$1006,0)))),"Fix")))</f>
        <v xml:space="preserve"> </v>
      </c>
      <c r="V477" s="4" t="str">
        <f ca="1">IF(OR(INDEX($AG$2:$AG$1001,MATCH(ROWS($AF$2:AF477),$AF$2:$AF$1001,0),1)&gt;=100000,INDEX($AM$1005:$BM$1005,1,MATCH(COLUMNS($AM$1006:BG1006),$AM$1006:$BM$1006,0))&gt;=100000), " ",IF(INDEX($AM$2:$BM$1001,MATCH(ROWS($AF$2:AF477),$AF$2:$AF$1001,0),MATCH(COLUMNS($AM$1006:BG1006),$AM$1006:$BM$1006,0)), HYPERLINK("#",""), HYPERLINK(CONCATENATE("#metadata!", ADDRESS(INDEX($AH$2:$AH$1001,MATCH(ROWS($AF$2:AF477),$AF$2:$AF$1001,0),0), INDEX($AM$1004:$BM$1004,1,MATCH(COLUMNS($AM$1006:BG1006),$AM$1006:$BM$1006,0)))),"Fix")))</f>
        <v xml:space="preserve"> </v>
      </c>
      <c r="W477" s="4" t="str">
        <f ca="1">IF(OR(INDEX($AG$2:$AG$1001,MATCH(ROWS($AF$2:AF477),$AF$2:$AF$1001,0),1)&gt;=100000,INDEX($AM$1005:$BM$1005,1,MATCH(COLUMNS($AM$1006:BH1006),$AM$1006:$BM$1006,0))&gt;=100000), " ",IF(INDEX($AM$2:$BM$1001,MATCH(ROWS($AF$2:AF477),$AF$2:$AF$1001,0),MATCH(COLUMNS($AM$1006:BH1006),$AM$1006:$BM$1006,0)), HYPERLINK("#",""), HYPERLINK(CONCATENATE("#metadata!", ADDRESS(INDEX($AH$2:$AH$1001,MATCH(ROWS($AF$2:AF477),$AF$2:$AF$1001,0),0), INDEX($AM$1004:$BM$1004,1,MATCH(COLUMNS($AM$1006:BH1006),$AM$1006:$BM$1006,0)))),"Fix")))</f>
        <v xml:space="preserve"> </v>
      </c>
      <c r="X477" s="4" t="str">
        <f ca="1">IF(OR(INDEX($AG$2:$AG$1001,MATCH(ROWS($AF$2:AF477),$AF$2:$AF$1001,0),1)&gt;=100000,INDEX($AM$1005:$BM$1005,1,MATCH(COLUMNS($AM$1006:BI1006),$AM$1006:$BM$1006,0))&gt;=100000), " ",IF(INDEX($AM$2:$BM$1001,MATCH(ROWS($AF$2:AF477),$AF$2:$AF$1001,0),MATCH(COLUMNS($AM$1006:BI1006),$AM$1006:$BM$1006,0)), HYPERLINK("#",""), HYPERLINK(CONCATENATE("#metadata!", ADDRESS(INDEX($AH$2:$AH$1001,MATCH(ROWS($AF$2:AF477),$AF$2:$AF$1001,0),0), INDEX($AM$1004:$BM$1004,1,MATCH(COLUMNS($AM$1006:BI1006),$AM$1006:$BM$1006,0)))),"Fix")))</f>
        <v xml:space="preserve"> </v>
      </c>
      <c r="Y477" s="4" t="str">
        <f ca="1">IF(OR(INDEX($AG$2:$AG$1001,MATCH(ROWS($AF$2:AF477),$AF$2:$AF$1001,0),1)&gt;=100000,INDEX($AM$1005:$BM$1005,1,MATCH(COLUMNS($AM$1006:BJ1006),$AM$1006:$BM$1006,0))&gt;=100000), " ",IF(INDEX($AM$2:$BM$1001,MATCH(ROWS($AF$2:AF477),$AF$2:$AF$1001,0),MATCH(COLUMNS($AM$1006:BJ1006),$AM$1006:$BM$1006,0)), HYPERLINK("#",""), HYPERLINK(CONCATENATE("#metadata!", ADDRESS(INDEX($AH$2:$AH$1001,MATCH(ROWS($AF$2:AF477),$AF$2:$AF$1001,0),0), INDEX($AM$1004:$BM$1004,1,MATCH(COLUMNS($AM$1006:BJ1006),$AM$1006:$BM$1006,0)))),"Fix")))</f>
        <v xml:space="preserve"> </v>
      </c>
      <c r="Z477" s="4" t="str">
        <f ca="1">IF(OR(INDEX($AG$2:$AG$1001,MATCH(ROWS($AF$2:AF477),$AF$2:$AF$1001,0),1)&gt;=100000,INDEX($AM$1005:$BM$1005,1,MATCH(COLUMNS($AM$1006:BK1006),$AM$1006:$BM$1006,0))&gt;=100000), " ",IF(INDEX($AM$2:$BM$1001,MATCH(ROWS($AF$2:AF477),$AF$2:$AF$1001,0),MATCH(COLUMNS($AM$1006:BK1006),$AM$1006:$BM$1006,0)), HYPERLINK("#",""), HYPERLINK(CONCATENATE("#metadata!", ADDRESS(INDEX($AH$2:$AH$1001,MATCH(ROWS($AF$2:AF477),$AF$2:$AF$1001,0),0), INDEX($AM$1004:$BM$1004,1,MATCH(COLUMNS($AM$1006:BK1006),$AM$1006:$BM$1006,0)))),"Fix")))</f>
        <v xml:space="preserve"> </v>
      </c>
      <c r="AA477" s="4" t="str">
        <f ca="1">IF(OR(INDEX($AG$2:$AG$1001,MATCH(ROWS($AF$2:AF477),$AF$2:$AF$1001,0),1)&gt;=100000,INDEX($AM$1005:$BM$1005,1,MATCH(COLUMNS($AM$1006:BL1006),$AM$1006:$BM$1006,0))&gt;=100000), " ",IF(INDEX($AM$2:$BM$1001,MATCH(ROWS($AF$2:AF477),$AF$2:$AF$1001,0),MATCH(COLUMNS($AM$1006:BL1006),$AM$1006:$BM$1006,0)), HYPERLINK("#",""), HYPERLINK(CONCATENATE("#metadata!", ADDRESS(INDEX($AH$2:$AH$1001,MATCH(ROWS($AF$2:AF477),$AF$2:$AF$1001,0),0), INDEX($AM$1004:$BM$1004,1,MATCH(COLUMNS($AM$1006:BL1006),$AM$1006:$BM$1006,0)))),"Fix")))</f>
        <v xml:space="preserve"> </v>
      </c>
      <c r="AB477" s="4" t="str">
        <f ca="1">IF(OR(INDEX($AG$2:$AG$1001,MATCH(ROWS($AF$2:AF477),$AF$2:$AF$1001,0),1)&gt;=100000,INDEX($AM$1005:$BM$1005,1,MATCH(COLUMNS($AM$1006:BM1006),$AM$1006:$BM$1006,0))&gt;=100000), " ",IF(INDEX($AM$2:$BM$1001,MATCH(ROWS($AF$2:AF477),$AF$2:$AF$1001,0),MATCH(COLUMNS($AM$1006:BM1006),$AM$1006:$BM$1006,0)), HYPERLINK("#",""), HYPERLINK(CONCATENATE("#metadata!", ADDRESS(INDEX($AH$2:$AH$1001,MATCH(ROWS($AF$2:AF477),$AF$2:$AF$1001,0),0), INDEX($AM$1004:$BM$1004,1,MATCH(COLUMNS($AM$1006:BM1006),$AM$1006:$BM$1006,0)))),"Fix")))</f>
        <v xml:space="preserve"> </v>
      </c>
      <c r="AF477">
        <v>476</v>
      </c>
      <c r="AG477">
        <v>100477</v>
      </c>
      <c r="AH477">
        <v>477</v>
      </c>
      <c r="AI477" t="b">
        <f t="shared" si="7"/>
        <v>1</v>
      </c>
      <c r="AJ477" t="b">
        <f>COUNTBLANK(metadata!B477:AB477)=COLUMNS(metadata!B477:AB477)</f>
        <v>1</v>
      </c>
      <c r="AK477" t="str">
        <v/>
      </c>
      <c r="AM477" t="b">
        <f ca="1">AND(IF(metadata!B477="",FALSE,TRUE),COUNTIF(metadata!B:B, metadata!B477) = 1,NOT(ISERROR(SUMPRODUCT(SEARCH(MID(metadata!B477,ROW(INDIRECT("1:"&amp;LEN(metadata!B477))), 1),"0123456789abcdefghijklmnopqrstuvwxyzABCDEFGHIJKLMNOPQRSTUVWXYZ.")))))</f>
        <v>0</v>
      </c>
      <c r="AN477" t="b">
        <f ca="1">OR(AND(IF(metadata!C477="",FALSE,TRUE),OR(EXACT(metadata!C477,"missing: not collected"),EXACT(metadata!C477,"missing: not provided"),EXACT(metadata!C477,"missing: restricted access"))),AND(IF(metadata!C477="",FALSE,TRUE),AND(AND(IFERROR(INT(LEFT(metadata!C477,4))&gt;1900,FALSE),IFERROR(INT(LEFT(metadata!C477,4))&lt;=YEAR(NOW()),FALSE)), OR(MID(metadata!C477,5,1)="", AND(AND(MID(metadata!C477,5,1)="-",IFERROR(INT(MID(metadata!C477,6,1))&gt;=0,FALSE),IFERROR(INT(MID(metadata!C477,6,1))&lt;=1,FALSE),NOT(MID(metadata!C477,7,1)=""),IFERROR(INT(MID(metadata!C477,6,2))&gt;=1,FALSE),IFERROR(INT(MID(metadata!C477,6,2))&lt;=12,FALSE)), OR(MID(metadata!C477,8,1)="", AND(AND(MID(metadata!C477,8,1)="-",IFERROR(INT(MID(metadata!C477,9,1))&gt;=0,FALSE),IFERROR(INT(MID(metadata!C477,9,1))&lt;=3,FALSE),NOT(MID(metadata!C477,10,1)=""),IFERROR(INT(MID(metadata!C477,9,2))&gt;=1,FALSE),IFERROR(INT(MID(metadata!C477,9,2))&lt;=31,FALSE)), OR(MID(metadata!C477,11,1)="", AND(AND(MID(metadata!C477,11,1)=" ",IFERROR(INT(MID(metadata!C477,12,1))&gt;=0,FALSE),IFERROR(INT(MID(metadata!C477,12,1))&lt;=2,FALSE),NOT(MID(metadata!C477,13,1)=""),IFERROR(INT(MID(metadata!C477,12,2))&gt;=0,FALSE),IFERROR(INT(MID(metadata!C477,12,2))&lt;=23,FALSE)), OR(MID(metadata!C477,14,1)="", AND(AND(MID(metadata!C477,14,1)=":",IFERROR(INT(MID(metadata!C477,15,1))&gt;=0,FALSE),IFERROR(INT(MID(metadata!C477,15,1))&lt;=5,FALSE),NOT(MID(metadata!C477,16,1)=""),IFERROR(INT(MID(metadata!C477,15,2))&gt;=0,FALSE),IFERROR(INT(MID(metadata!C477,15,2))&lt;=59,FALSE)), OR(MID(metadata!C477,17,1)="", AND(AND(MID(metadata!C477,17,1)=":",IFERROR(INT(MID(metadata!C477,18,1))&gt;=0,FALSE),IFERROR(INT(MID(metadata!C477,18,1))&lt;=5,FALSE),NOT(MID(metadata!C477,19,1)=""),IFERROR(INT(MID(metadata!C477,18,2))&gt;=0,FALSE),IFERROR(INT(MID(metadata!C477,18,2))&lt;=59,FALSE)), LEN(metadata!C477)&lt;=19)))))))))))))</f>
        <v>0</v>
      </c>
      <c r="AO477" t="b">
        <f>AND(IF(metadata!D477="",FALSE,TRUE),EXACT(metadata!D477,"Not applicable"))</f>
        <v>0</v>
      </c>
      <c r="AP477" t="b">
        <f>IF(metadata!E477="",FALSE,TRUE)</f>
        <v>0</v>
      </c>
      <c r="AQ477" t="b">
        <f>OR(AND(IF(metadata!F477="",FALSE,TRUE),OR(EXACT(metadata!F477,"missing: not collected"),EXACT(metadata!F477,"missing: not provided"))),AND(IF(metadata!F477="",FALSE,TRUE),OR(EXACT(metadata!F477,"TRUE"),EXACT(metadata!F477,"FALSE"))))</f>
        <v>0</v>
      </c>
      <c r="AR477" t="b">
        <f>OR(AND(IF(metadata!G477="",FALSE,TRUE),OR(EXACT(metadata!G477,"missing: not collected"),EXACT(metadata!G477,"missing: not provided"),EXACT(metadata!G477,"missing: restricted access"))),AND(IF(metadata!G477="",FALSE,ISNUMBER(VALUE(metadata!G477))),metadata!G477&gt;=-413))</f>
        <v>0</v>
      </c>
      <c r="AS477" t="b">
        <f>AND(IF(metadata!H477="",FALSE,TRUE),EXACT(metadata!H477,"meters"))</f>
        <v>0</v>
      </c>
      <c r="AT477" t="b">
        <f>AND(IF(metadata!I477="",FALSE,TRUE),OR(EXACT(metadata!I477,"Host-associated"),EXACT(metadata!I477,"Free-living")))</f>
        <v>0</v>
      </c>
      <c r="AU477" t="b">
        <f>AND(IF(metadata!J477="",FALSE,TRUE),OR(EXACT(metadata!J477,"Animal"),EXACT(metadata!J477,"Fungus"),EXACT(metadata!J477,"Plant"),EXACT(metadata!J477,"Saline"),EXACT(metadata!J477,"Non-saline")))</f>
        <v>0</v>
      </c>
      <c r="AV477" t="b">
        <f>AND(IF(metadata!K477="",FALSE,TRUE),OR(EXACT(metadata!K477,"Plant secretion"),EXACT(metadata!K477,"Plant rhizosphere"),EXACT(metadata!K477,"Plant surface"),EXACT(metadata!K477,"Plant corpus"),EXACT(metadata!K477,"Fungus surface"),EXACT(metadata!K477,"Fungus corpus"),EXACT(metadata!K477,"Animal surface"),EXACT(metadata!K477,"Animal proximal gut"),EXACT(metadata!K477,"Animal corpus"),EXACT(metadata!K477,"Animal distal gut"),EXACT(metadata!K477,"Animal secretion"),EXACT(metadata!K477,"Sub-surface (non-saline)"),EXACT(metadata!K477,"Surface (non-saline)"),EXACT(metadata!K477,"Water (non-saline)"),EXACT(metadata!K477,"Soil (non-saline)"),EXACT(metadata!K477,"Aerosol (non-saline)"),EXACT(metadata!K477,"Sediment (non-saline)"),EXACT(metadata!K477,"Surface (saline)"),EXACT(metadata!K477,"Water (saline)"),EXACT(metadata!K477,"Hypersaline (saline)"),EXACT(metadata!K477,"Aerosol (saline)"),EXACT(metadata!K477,"Sediment (saline)")))</f>
        <v>0</v>
      </c>
      <c r="AW477" t="b">
        <f>IF(metadata!L477="",FALSE,TRUE)</f>
        <v>0</v>
      </c>
      <c r="AX477" t="b">
        <f>IF(metadata!M477="",FALSE,TRUE)</f>
        <v>0</v>
      </c>
      <c r="AY477" t="b">
        <f>IF(metadata!N477="",FALSE,TRUE)</f>
        <v>0</v>
      </c>
      <c r="AZ477" t="b">
        <f>OR(AND(IF(metadata!O477="",FALSE,TRUE),OR(EXACT(metadata!O477,"missing: not collected"),EXACT(metadata!O477,"missing: not provided"),EXACT(metadata!O477,"missing: restricted access"))),AND(IF(metadata!O477="",FALSE,TRUE),OR(EXACT(metadata!O477,"air"),EXACT(metadata!O477,"built environment"),EXACT(metadata!O477,"host-associated"),EXACT(metadata!O477,"human-associated"),EXACT(metadata!O477,"human-skin"),EXACT(metadata!O477,"human-oral"),EXACT(metadata!O477,"human-gut"),EXACT(metadata!O477,"human-vaginal"),EXACT(metadata!O477,"microbial mat/biofilm"),EXACT(metadata!O477,"misc environment"),EXACT(metadata!O477,"plant-associated"),EXACT(metadata!O477,"sediment"),EXACT(metadata!O477,"soil"),EXACT(metadata!O477,"wastewater/sludge"),EXACT(metadata!O477,"water"))))</f>
        <v>0</v>
      </c>
      <c r="BA477" t="b">
        <f>IF(metadata!P477="",FALSE,TRUE)</f>
        <v>0</v>
      </c>
      <c r="BB477" t="b">
        <f>IF(metadata!Q477="",FALSE,TRUE)</f>
        <v>0</v>
      </c>
      <c r="BC477" t="b">
        <f>OR(AND(IF(metadata!R477="",FALSE,TRUE),OR(EXACT(metadata!R477,"missing: not collected"),EXACT(metadata!R477,"missing: not provided"),EXACT(metadata!R477,"missing: restricted access"))),AND(IF(metadata!R477="",FALSE,ISNUMBER(VALUE(metadata!R477))),metadata!R477&gt;=-90,metadata!R477&lt;=90))</f>
        <v>0</v>
      </c>
      <c r="BD477" t="b">
        <f>AND(IF(metadata!S477="",FALSE,TRUE),EXACT(metadata!S477,"Decimal degrees"))</f>
        <v>0</v>
      </c>
      <c r="BE477" t="b">
        <f>OR(AND(IF(metadata!T477="",FALSE,TRUE),OR(EXACT(metadata!T477,"missing: not collected"),EXACT(metadata!T477,"missing: not provided"),EXACT(metadata!T477,"missing: restricted access"))),AND(IF(metadata!T477="",FALSE,ISNUMBER(VALUE(metadata!T477))),metadata!T477&gt;=-180,metadata!T477&lt;=180))</f>
        <v>0</v>
      </c>
      <c r="BF477" t="b">
        <f>AND(IF(metadata!U477="",FALSE,TRUE),EXACT(metadata!U477,"Decimal degrees"))</f>
        <v>0</v>
      </c>
      <c r="BG477" t="b">
        <f>IF(metadata!V477="",FALSE,TRUE)</f>
        <v>0</v>
      </c>
      <c r="BH477" t="b">
        <f>OR(AND(IF(metadata!W477="",FALSE,TRUE),OR(EXACT(metadata!W477,"missing: not collected"),EXACT(metadata!W477,"missing: not provided"),EXACT(metadata!W477,"missing: restricted access"))),AND(IF(metadata!W477="",FALSE,TRUE),OR(EXACT(metadata!W477,"TRUE"),EXACT(metadata!W477,"FALSE"))))</f>
        <v>0</v>
      </c>
      <c r="BI477" t="b">
        <f>AND(IF(metadata!X477="",FALSE,TRUE),EXACT(metadata!X477,"other"))</f>
        <v>0</v>
      </c>
      <c r="BJ477" t="b">
        <f>IF(metadata!Y477="",FALSE,TRUE)</f>
        <v>0</v>
      </c>
      <c r="BK477" t="b">
        <f>OR(AND(IF(metadata!Z477="",FALSE,TRUE),OR(EXACT(metadata!Z477,"missing: not collected"),EXACT(metadata!Z477,"missing: not provided"))),AND(IF(metadata!Z477="",FALSE,IF(ISERROR(INT(metadata!Z477)),FALSE,INT(metadata!Z477)=metadata!Z477)),metadata!Z477&gt;0))</f>
        <v>0</v>
      </c>
      <c r="BL477" t="b">
        <f>AND(IF(metadata!AA477="",FALSE,TRUE),EXACT(metadata!AA477,"Not applicable"))</f>
        <v>0</v>
      </c>
      <c r="BM477" t="b">
        <f>IF(metadata!AB477="",FALSE,TRUE)</f>
        <v>0</v>
      </c>
    </row>
    <row r="478" spans="1:65" x14ac:dyDescent="0.2">
      <c r="A478" s="5" t="str">
        <f ca="1">IF(B478=" "," ",HYPERLINK(CONCATENATE("#metadata!",ADDRESS(INDEX($AH$2:$AH$1001,MATCH(ROWS($AF$2:AF478),$AF$2:$AF$1001,0),0),1)),INDEX($AK$2:$AK$1001,MATCH(ROWS($AF$2:AF478),$AF$2:$AF$1001,0),0)))</f>
        <v xml:space="preserve"> </v>
      </c>
      <c r="B478" s="4" t="str">
        <f ca="1">IF(OR(INDEX($AG$2:$AG$1001,MATCH(ROWS($AF$2:AF478),$AF$2:$AF$1001,0),1)&gt;=100000,INDEX($AM$1005:$BM$1005,1,MATCH(COLUMNS($AM$1006:AM1006),$AM$1006:$BM$1006,0))&gt;=100000), " ",IF(INDEX($AM$2:$BM$1001,MATCH(ROWS($AF$2:AF478),$AF$2:$AF$1001,0),MATCH(COLUMNS($AM$1006:AM1006),$AM$1006:$BM$1006,0)), HYPERLINK("#",""), HYPERLINK(CONCATENATE("#metadata!", ADDRESS(INDEX($AH$2:$AH$1001,MATCH(ROWS($AF$2:AF478),$AF$2:$AF$1001,0),0), INDEX($AM$1004:$BM$1004,1,MATCH(COLUMNS($AM$1006:AM1006),$AM$1006:$BM$1006,0)))),"Fix")))</f>
        <v xml:space="preserve"> </v>
      </c>
      <c r="C478" s="4" t="str">
        <f ca="1">IF(OR(INDEX($AG$2:$AG$1001,MATCH(ROWS($AF$2:AF478),$AF$2:$AF$1001,0),1)&gt;=100000,INDEX($AM$1005:$BM$1005,1,MATCH(COLUMNS($AM$1006:AN1006),$AM$1006:$BM$1006,0))&gt;=100000), " ",IF(INDEX($AM$2:$BM$1001,MATCH(ROWS($AF$2:AF478),$AF$2:$AF$1001,0),MATCH(COLUMNS($AM$1006:AN1006),$AM$1006:$BM$1006,0)), HYPERLINK("#",""), HYPERLINK(CONCATENATE("#metadata!", ADDRESS(INDEX($AH$2:$AH$1001,MATCH(ROWS($AF$2:AF478),$AF$2:$AF$1001,0),0), INDEX($AM$1004:$BM$1004,1,MATCH(COLUMNS($AM$1006:AN1006),$AM$1006:$BM$1006,0)))),"Fix")))</f>
        <v xml:space="preserve"> </v>
      </c>
      <c r="D478" s="4" t="str">
        <f ca="1">IF(OR(INDEX($AG$2:$AG$1001,MATCH(ROWS($AF$2:AF478),$AF$2:$AF$1001,0),1)&gt;=100000,INDEX($AM$1005:$BM$1005,1,MATCH(COLUMNS($AM$1006:AO1006),$AM$1006:$BM$1006,0))&gt;=100000), " ",IF(INDEX($AM$2:$BM$1001,MATCH(ROWS($AF$2:AF478),$AF$2:$AF$1001,0),MATCH(COLUMNS($AM$1006:AO1006),$AM$1006:$BM$1006,0)), HYPERLINK("#",""), HYPERLINK(CONCATENATE("#metadata!", ADDRESS(INDEX($AH$2:$AH$1001,MATCH(ROWS($AF$2:AF478),$AF$2:$AF$1001,0),0), INDEX($AM$1004:$BM$1004,1,MATCH(COLUMNS($AM$1006:AO1006),$AM$1006:$BM$1006,0)))),"Fix")))</f>
        <v xml:space="preserve"> </v>
      </c>
      <c r="E478" s="4" t="str">
        <f ca="1">IF(OR(INDEX($AG$2:$AG$1001,MATCH(ROWS($AF$2:AF478),$AF$2:$AF$1001,0),1)&gt;=100000,INDEX($AM$1005:$BM$1005,1,MATCH(COLUMNS($AM$1006:AP1006),$AM$1006:$BM$1006,0))&gt;=100000), " ",IF(INDEX($AM$2:$BM$1001,MATCH(ROWS($AF$2:AF478),$AF$2:$AF$1001,0),MATCH(COLUMNS($AM$1006:AP1006),$AM$1006:$BM$1006,0)), HYPERLINK("#",""), HYPERLINK(CONCATENATE("#metadata!", ADDRESS(INDEX($AH$2:$AH$1001,MATCH(ROWS($AF$2:AF478),$AF$2:$AF$1001,0),0), INDEX($AM$1004:$BM$1004,1,MATCH(COLUMNS($AM$1006:AP1006),$AM$1006:$BM$1006,0)))),"Fix")))</f>
        <v xml:space="preserve"> </v>
      </c>
      <c r="F478" s="4" t="str">
        <f ca="1">IF(OR(INDEX($AG$2:$AG$1001,MATCH(ROWS($AF$2:AF478),$AF$2:$AF$1001,0),1)&gt;=100000,INDEX($AM$1005:$BM$1005,1,MATCH(COLUMNS($AM$1006:AQ1006),$AM$1006:$BM$1006,0))&gt;=100000), " ",IF(INDEX($AM$2:$BM$1001,MATCH(ROWS($AF$2:AF478),$AF$2:$AF$1001,0),MATCH(COLUMNS($AM$1006:AQ1006),$AM$1006:$BM$1006,0)), HYPERLINK("#",""), HYPERLINK(CONCATENATE("#metadata!", ADDRESS(INDEX($AH$2:$AH$1001,MATCH(ROWS($AF$2:AF478),$AF$2:$AF$1001,0),0), INDEX($AM$1004:$BM$1004,1,MATCH(COLUMNS($AM$1006:AQ1006),$AM$1006:$BM$1006,0)))),"Fix")))</f>
        <v xml:space="preserve"> </v>
      </c>
      <c r="G478" s="4" t="str">
        <f ca="1">IF(OR(INDEX($AG$2:$AG$1001,MATCH(ROWS($AF$2:AF478),$AF$2:$AF$1001,0),1)&gt;=100000,INDEX($AM$1005:$BM$1005,1,MATCH(COLUMNS($AM$1006:AR1006),$AM$1006:$BM$1006,0))&gt;=100000), " ",IF(INDEX($AM$2:$BM$1001,MATCH(ROWS($AF$2:AF478),$AF$2:$AF$1001,0),MATCH(COLUMNS($AM$1006:AR1006),$AM$1006:$BM$1006,0)), HYPERLINK("#",""), HYPERLINK(CONCATENATE("#metadata!", ADDRESS(INDEX($AH$2:$AH$1001,MATCH(ROWS($AF$2:AF478),$AF$2:$AF$1001,0),0), INDEX($AM$1004:$BM$1004,1,MATCH(COLUMNS($AM$1006:AR1006),$AM$1006:$BM$1006,0)))),"Fix")))</f>
        <v xml:space="preserve"> </v>
      </c>
      <c r="H478" s="4" t="str">
        <f ca="1">IF(OR(INDEX($AG$2:$AG$1001,MATCH(ROWS($AF$2:AF478),$AF$2:$AF$1001,0),1)&gt;=100000,INDEX($AM$1005:$BM$1005,1,MATCH(COLUMNS($AM$1006:AS1006),$AM$1006:$BM$1006,0))&gt;=100000), " ",IF(INDEX($AM$2:$BM$1001,MATCH(ROWS($AF$2:AF478),$AF$2:$AF$1001,0),MATCH(COLUMNS($AM$1006:AS1006),$AM$1006:$BM$1006,0)), HYPERLINK("#",""), HYPERLINK(CONCATENATE("#metadata!", ADDRESS(INDEX($AH$2:$AH$1001,MATCH(ROWS($AF$2:AF478),$AF$2:$AF$1001,0),0), INDEX($AM$1004:$BM$1004,1,MATCH(COLUMNS($AM$1006:AS1006),$AM$1006:$BM$1006,0)))),"Fix")))</f>
        <v xml:space="preserve"> </v>
      </c>
      <c r="I478" s="4" t="str">
        <f ca="1">IF(OR(INDEX($AG$2:$AG$1001,MATCH(ROWS($AF$2:AF478),$AF$2:$AF$1001,0),1)&gt;=100000,INDEX($AM$1005:$BM$1005,1,MATCH(COLUMNS($AM$1006:AT1006),$AM$1006:$BM$1006,0))&gt;=100000), " ",IF(INDEX($AM$2:$BM$1001,MATCH(ROWS($AF$2:AF478),$AF$2:$AF$1001,0),MATCH(COLUMNS($AM$1006:AT1006),$AM$1006:$BM$1006,0)), HYPERLINK("#",""), HYPERLINK(CONCATENATE("#metadata!", ADDRESS(INDEX($AH$2:$AH$1001,MATCH(ROWS($AF$2:AF478),$AF$2:$AF$1001,0),0), INDEX($AM$1004:$BM$1004,1,MATCH(COLUMNS($AM$1006:AT1006),$AM$1006:$BM$1006,0)))),"Fix")))</f>
        <v xml:space="preserve"> </v>
      </c>
      <c r="J478" s="4" t="str">
        <f ca="1">IF(OR(INDEX($AG$2:$AG$1001,MATCH(ROWS($AF$2:AF478),$AF$2:$AF$1001,0),1)&gt;=100000,INDEX($AM$1005:$BM$1005,1,MATCH(COLUMNS($AM$1006:AU1006),$AM$1006:$BM$1006,0))&gt;=100000), " ",IF(INDEX($AM$2:$BM$1001,MATCH(ROWS($AF$2:AF478),$AF$2:$AF$1001,0),MATCH(COLUMNS($AM$1006:AU1006),$AM$1006:$BM$1006,0)), HYPERLINK("#",""), HYPERLINK(CONCATENATE("#metadata!", ADDRESS(INDEX($AH$2:$AH$1001,MATCH(ROWS($AF$2:AF478),$AF$2:$AF$1001,0),0), INDEX($AM$1004:$BM$1004,1,MATCH(COLUMNS($AM$1006:AU1006),$AM$1006:$BM$1006,0)))),"Fix")))</f>
        <v xml:space="preserve"> </v>
      </c>
      <c r="K478" s="4" t="str">
        <f ca="1">IF(OR(INDEX($AG$2:$AG$1001,MATCH(ROWS($AF$2:AF478),$AF$2:$AF$1001,0),1)&gt;=100000,INDEX($AM$1005:$BM$1005,1,MATCH(COLUMNS($AM$1006:AV1006),$AM$1006:$BM$1006,0))&gt;=100000), " ",IF(INDEX($AM$2:$BM$1001,MATCH(ROWS($AF$2:AF478),$AF$2:$AF$1001,0),MATCH(COLUMNS($AM$1006:AV1006),$AM$1006:$BM$1006,0)), HYPERLINK("#",""), HYPERLINK(CONCATENATE("#metadata!", ADDRESS(INDEX($AH$2:$AH$1001,MATCH(ROWS($AF$2:AF478),$AF$2:$AF$1001,0),0), INDEX($AM$1004:$BM$1004,1,MATCH(COLUMNS($AM$1006:AV1006),$AM$1006:$BM$1006,0)))),"Fix")))</f>
        <v xml:space="preserve"> </v>
      </c>
      <c r="L478" s="4" t="str">
        <f ca="1">IF(OR(INDEX($AG$2:$AG$1001,MATCH(ROWS($AF$2:AF478),$AF$2:$AF$1001,0),1)&gt;=100000,INDEX($AM$1005:$BM$1005,1,MATCH(COLUMNS($AM$1006:AW1006),$AM$1006:$BM$1006,0))&gt;=100000), " ",IF(INDEX($AM$2:$BM$1001,MATCH(ROWS($AF$2:AF478),$AF$2:$AF$1001,0),MATCH(COLUMNS($AM$1006:AW1006),$AM$1006:$BM$1006,0)), HYPERLINK("#",""), HYPERLINK(CONCATENATE("#metadata!", ADDRESS(INDEX($AH$2:$AH$1001,MATCH(ROWS($AF$2:AF478),$AF$2:$AF$1001,0),0), INDEX($AM$1004:$BM$1004,1,MATCH(COLUMNS($AM$1006:AW1006),$AM$1006:$BM$1006,0)))),"Fix")))</f>
        <v xml:space="preserve"> </v>
      </c>
      <c r="M478" s="4" t="str">
        <f ca="1">IF(OR(INDEX($AG$2:$AG$1001,MATCH(ROWS($AF$2:AF478),$AF$2:$AF$1001,0),1)&gt;=100000,INDEX($AM$1005:$BM$1005,1,MATCH(COLUMNS($AM$1006:AX1006),$AM$1006:$BM$1006,0))&gt;=100000), " ",IF(INDEX($AM$2:$BM$1001,MATCH(ROWS($AF$2:AF478),$AF$2:$AF$1001,0),MATCH(COLUMNS($AM$1006:AX1006),$AM$1006:$BM$1006,0)), HYPERLINK("#",""), HYPERLINK(CONCATENATE("#metadata!", ADDRESS(INDEX($AH$2:$AH$1001,MATCH(ROWS($AF$2:AF478),$AF$2:$AF$1001,0),0), INDEX($AM$1004:$BM$1004,1,MATCH(COLUMNS($AM$1006:AX1006),$AM$1006:$BM$1006,0)))),"Fix")))</f>
        <v xml:space="preserve"> </v>
      </c>
      <c r="N478" s="4" t="str">
        <f ca="1">IF(OR(INDEX($AG$2:$AG$1001,MATCH(ROWS($AF$2:AF478),$AF$2:$AF$1001,0),1)&gt;=100000,INDEX($AM$1005:$BM$1005,1,MATCH(COLUMNS($AM$1006:AY1006),$AM$1006:$BM$1006,0))&gt;=100000), " ",IF(INDEX($AM$2:$BM$1001,MATCH(ROWS($AF$2:AF478),$AF$2:$AF$1001,0),MATCH(COLUMNS($AM$1006:AY1006),$AM$1006:$BM$1006,0)), HYPERLINK("#",""), HYPERLINK(CONCATENATE("#metadata!", ADDRESS(INDEX($AH$2:$AH$1001,MATCH(ROWS($AF$2:AF478),$AF$2:$AF$1001,0),0), INDEX($AM$1004:$BM$1004,1,MATCH(COLUMNS($AM$1006:AY1006),$AM$1006:$BM$1006,0)))),"Fix")))</f>
        <v xml:space="preserve"> </v>
      </c>
      <c r="O478" s="4" t="str">
        <f ca="1">IF(OR(INDEX($AG$2:$AG$1001,MATCH(ROWS($AF$2:AF478),$AF$2:$AF$1001,0),1)&gt;=100000,INDEX($AM$1005:$BM$1005,1,MATCH(COLUMNS($AM$1006:AZ1006),$AM$1006:$BM$1006,0))&gt;=100000), " ",IF(INDEX($AM$2:$BM$1001,MATCH(ROWS($AF$2:AF478),$AF$2:$AF$1001,0),MATCH(COLUMNS($AM$1006:AZ1006),$AM$1006:$BM$1006,0)), HYPERLINK("#",""), HYPERLINK(CONCATENATE("#metadata!", ADDRESS(INDEX($AH$2:$AH$1001,MATCH(ROWS($AF$2:AF478),$AF$2:$AF$1001,0),0), INDEX($AM$1004:$BM$1004,1,MATCH(COLUMNS($AM$1006:AZ1006),$AM$1006:$BM$1006,0)))),"Fix")))</f>
        <v xml:space="preserve"> </v>
      </c>
      <c r="P478" s="4" t="str">
        <f ca="1">IF(OR(INDEX($AG$2:$AG$1001,MATCH(ROWS($AF$2:AF478),$AF$2:$AF$1001,0),1)&gt;=100000,INDEX($AM$1005:$BM$1005,1,MATCH(COLUMNS($AM$1006:BA1006),$AM$1006:$BM$1006,0))&gt;=100000), " ",IF(INDEX($AM$2:$BM$1001,MATCH(ROWS($AF$2:AF478),$AF$2:$AF$1001,0),MATCH(COLUMNS($AM$1006:BA1006),$AM$1006:$BM$1006,0)), HYPERLINK("#",""), HYPERLINK(CONCATENATE("#metadata!", ADDRESS(INDEX($AH$2:$AH$1001,MATCH(ROWS($AF$2:AF478),$AF$2:$AF$1001,0),0), INDEX($AM$1004:$BM$1004,1,MATCH(COLUMNS($AM$1006:BA1006),$AM$1006:$BM$1006,0)))),"Fix")))</f>
        <v xml:space="preserve"> </v>
      </c>
      <c r="Q478" s="4" t="str">
        <f ca="1">IF(OR(INDEX($AG$2:$AG$1001,MATCH(ROWS($AF$2:AF478),$AF$2:$AF$1001,0),1)&gt;=100000,INDEX($AM$1005:$BM$1005,1,MATCH(COLUMNS($AM$1006:BB1006),$AM$1006:$BM$1006,0))&gt;=100000), " ",IF(INDEX($AM$2:$BM$1001,MATCH(ROWS($AF$2:AF478),$AF$2:$AF$1001,0),MATCH(COLUMNS($AM$1006:BB1006),$AM$1006:$BM$1006,0)), HYPERLINK("#",""), HYPERLINK(CONCATENATE("#metadata!", ADDRESS(INDEX($AH$2:$AH$1001,MATCH(ROWS($AF$2:AF478),$AF$2:$AF$1001,0),0), INDEX($AM$1004:$BM$1004,1,MATCH(COLUMNS($AM$1006:BB1006),$AM$1006:$BM$1006,0)))),"Fix")))</f>
        <v xml:space="preserve"> </v>
      </c>
      <c r="R478" s="4" t="str">
        <f ca="1">IF(OR(INDEX($AG$2:$AG$1001,MATCH(ROWS($AF$2:AF478),$AF$2:$AF$1001,0),1)&gt;=100000,INDEX($AM$1005:$BM$1005,1,MATCH(COLUMNS($AM$1006:BC1006),$AM$1006:$BM$1006,0))&gt;=100000), " ",IF(INDEX($AM$2:$BM$1001,MATCH(ROWS($AF$2:AF478),$AF$2:$AF$1001,0),MATCH(COLUMNS($AM$1006:BC1006),$AM$1006:$BM$1006,0)), HYPERLINK("#",""), HYPERLINK(CONCATENATE("#metadata!", ADDRESS(INDEX($AH$2:$AH$1001,MATCH(ROWS($AF$2:AF478),$AF$2:$AF$1001,0),0), INDEX($AM$1004:$BM$1004,1,MATCH(COLUMNS($AM$1006:BC1006),$AM$1006:$BM$1006,0)))),"Fix")))</f>
        <v xml:space="preserve"> </v>
      </c>
      <c r="S478" s="4" t="str">
        <f ca="1">IF(OR(INDEX($AG$2:$AG$1001,MATCH(ROWS($AF$2:AF478),$AF$2:$AF$1001,0),1)&gt;=100000,INDEX($AM$1005:$BM$1005,1,MATCH(COLUMNS($AM$1006:BD1006),$AM$1006:$BM$1006,0))&gt;=100000), " ",IF(INDEX($AM$2:$BM$1001,MATCH(ROWS($AF$2:AF478),$AF$2:$AF$1001,0),MATCH(COLUMNS($AM$1006:BD1006),$AM$1006:$BM$1006,0)), HYPERLINK("#",""), HYPERLINK(CONCATENATE("#metadata!", ADDRESS(INDEX($AH$2:$AH$1001,MATCH(ROWS($AF$2:AF478),$AF$2:$AF$1001,0),0), INDEX($AM$1004:$BM$1004,1,MATCH(COLUMNS($AM$1006:BD1006),$AM$1006:$BM$1006,0)))),"Fix")))</f>
        <v xml:space="preserve"> </v>
      </c>
      <c r="T478" s="4" t="str">
        <f ca="1">IF(OR(INDEX($AG$2:$AG$1001,MATCH(ROWS($AF$2:AF478),$AF$2:$AF$1001,0),1)&gt;=100000,INDEX($AM$1005:$BM$1005,1,MATCH(COLUMNS($AM$1006:BE1006),$AM$1006:$BM$1006,0))&gt;=100000), " ",IF(INDEX($AM$2:$BM$1001,MATCH(ROWS($AF$2:AF478),$AF$2:$AF$1001,0),MATCH(COLUMNS($AM$1006:BE1006),$AM$1006:$BM$1006,0)), HYPERLINK("#",""), HYPERLINK(CONCATENATE("#metadata!", ADDRESS(INDEX($AH$2:$AH$1001,MATCH(ROWS($AF$2:AF478),$AF$2:$AF$1001,0),0), INDEX($AM$1004:$BM$1004,1,MATCH(COLUMNS($AM$1006:BE1006),$AM$1006:$BM$1006,0)))),"Fix")))</f>
        <v xml:space="preserve"> </v>
      </c>
      <c r="U478" s="4" t="str">
        <f ca="1">IF(OR(INDEX($AG$2:$AG$1001,MATCH(ROWS($AF$2:AF478),$AF$2:$AF$1001,0),1)&gt;=100000,INDEX($AM$1005:$BM$1005,1,MATCH(COLUMNS($AM$1006:BF1006),$AM$1006:$BM$1006,0))&gt;=100000), " ",IF(INDEX($AM$2:$BM$1001,MATCH(ROWS($AF$2:AF478),$AF$2:$AF$1001,0),MATCH(COLUMNS($AM$1006:BF1006),$AM$1006:$BM$1006,0)), HYPERLINK("#",""), HYPERLINK(CONCATENATE("#metadata!", ADDRESS(INDEX($AH$2:$AH$1001,MATCH(ROWS($AF$2:AF478),$AF$2:$AF$1001,0),0), INDEX($AM$1004:$BM$1004,1,MATCH(COLUMNS($AM$1006:BF1006),$AM$1006:$BM$1006,0)))),"Fix")))</f>
        <v xml:space="preserve"> </v>
      </c>
      <c r="V478" s="4" t="str">
        <f ca="1">IF(OR(INDEX($AG$2:$AG$1001,MATCH(ROWS($AF$2:AF478),$AF$2:$AF$1001,0),1)&gt;=100000,INDEX($AM$1005:$BM$1005,1,MATCH(COLUMNS($AM$1006:BG1006),$AM$1006:$BM$1006,0))&gt;=100000), " ",IF(INDEX($AM$2:$BM$1001,MATCH(ROWS($AF$2:AF478),$AF$2:$AF$1001,0),MATCH(COLUMNS($AM$1006:BG1006),$AM$1006:$BM$1006,0)), HYPERLINK("#",""), HYPERLINK(CONCATENATE("#metadata!", ADDRESS(INDEX($AH$2:$AH$1001,MATCH(ROWS($AF$2:AF478),$AF$2:$AF$1001,0),0), INDEX($AM$1004:$BM$1004,1,MATCH(COLUMNS($AM$1006:BG1006),$AM$1006:$BM$1006,0)))),"Fix")))</f>
        <v xml:space="preserve"> </v>
      </c>
      <c r="W478" s="4" t="str">
        <f ca="1">IF(OR(INDEX($AG$2:$AG$1001,MATCH(ROWS($AF$2:AF478),$AF$2:$AF$1001,0),1)&gt;=100000,INDEX($AM$1005:$BM$1005,1,MATCH(COLUMNS($AM$1006:BH1006),$AM$1006:$BM$1006,0))&gt;=100000), " ",IF(INDEX($AM$2:$BM$1001,MATCH(ROWS($AF$2:AF478),$AF$2:$AF$1001,0),MATCH(COLUMNS($AM$1006:BH1006),$AM$1006:$BM$1006,0)), HYPERLINK("#",""), HYPERLINK(CONCATENATE("#metadata!", ADDRESS(INDEX($AH$2:$AH$1001,MATCH(ROWS($AF$2:AF478),$AF$2:$AF$1001,0),0), INDEX($AM$1004:$BM$1004,1,MATCH(COLUMNS($AM$1006:BH1006),$AM$1006:$BM$1006,0)))),"Fix")))</f>
        <v xml:space="preserve"> </v>
      </c>
      <c r="X478" s="4" t="str">
        <f ca="1">IF(OR(INDEX($AG$2:$AG$1001,MATCH(ROWS($AF$2:AF478),$AF$2:$AF$1001,0),1)&gt;=100000,INDEX($AM$1005:$BM$1005,1,MATCH(COLUMNS($AM$1006:BI1006),$AM$1006:$BM$1006,0))&gt;=100000), " ",IF(INDEX($AM$2:$BM$1001,MATCH(ROWS($AF$2:AF478),$AF$2:$AF$1001,0),MATCH(COLUMNS($AM$1006:BI1006),$AM$1006:$BM$1006,0)), HYPERLINK("#",""), HYPERLINK(CONCATENATE("#metadata!", ADDRESS(INDEX($AH$2:$AH$1001,MATCH(ROWS($AF$2:AF478),$AF$2:$AF$1001,0),0), INDEX($AM$1004:$BM$1004,1,MATCH(COLUMNS($AM$1006:BI1006),$AM$1006:$BM$1006,0)))),"Fix")))</f>
        <v xml:space="preserve"> </v>
      </c>
      <c r="Y478" s="4" t="str">
        <f ca="1">IF(OR(INDEX($AG$2:$AG$1001,MATCH(ROWS($AF$2:AF478),$AF$2:$AF$1001,0),1)&gt;=100000,INDEX($AM$1005:$BM$1005,1,MATCH(COLUMNS($AM$1006:BJ1006),$AM$1006:$BM$1006,0))&gt;=100000), " ",IF(INDEX($AM$2:$BM$1001,MATCH(ROWS($AF$2:AF478),$AF$2:$AF$1001,0),MATCH(COLUMNS($AM$1006:BJ1006),$AM$1006:$BM$1006,0)), HYPERLINK("#",""), HYPERLINK(CONCATENATE("#metadata!", ADDRESS(INDEX($AH$2:$AH$1001,MATCH(ROWS($AF$2:AF478),$AF$2:$AF$1001,0),0), INDEX($AM$1004:$BM$1004,1,MATCH(COLUMNS($AM$1006:BJ1006),$AM$1006:$BM$1006,0)))),"Fix")))</f>
        <v xml:space="preserve"> </v>
      </c>
      <c r="Z478" s="4" t="str">
        <f ca="1">IF(OR(INDEX($AG$2:$AG$1001,MATCH(ROWS($AF$2:AF478),$AF$2:$AF$1001,0),1)&gt;=100000,INDEX($AM$1005:$BM$1005,1,MATCH(COLUMNS($AM$1006:BK1006),$AM$1006:$BM$1006,0))&gt;=100000), " ",IF(INDEX($AM$2:$BM$1001,MATCH(ROWS($AF$2:AF478),$AF$2:$AF$1001,0),MATCH(COLUMNS($AM$1006:BK1006),$AM$1006:$BM$1006,0)), HYPERLINK("#",""), HYPERLINK(CONCATENATE("#metadata!", ADDRESS(INDEX($AH$2:$AH$1001,MATCH(ROWS($AF$2:AF478),$AF$2:$AF$1001,0),0), INDEX($AM$1004:$BM$1004,1,MATCH(COLUMNS($AM$1006:BK1006),$AM$1006:$BM$1006,0)))),"Fix")))</f>
        <v xml:space="preserve"> </v>
      </c>
      <c r="AA478" s="4" t="str">
        <f ca="1">IF(OR(INDEX($AG$2:$AG$1001,MATCH(ROWS($AF$2:AF478),$AF$2:$AF$1001,0),1)&gt;=100000,INDEX($AM$1005:$BM$1005,1,MATCH(COLUMNS($AM$1006:BL1006),$AM$1006:$BM$1006,0))&gt;=100000), " ",IF(INDEX($AM$2:$BM$1001,MATCH(ROWS($AF$2:AF478),$AF$2:$AF$1001,0),MATCH(COLUMNS($AM$1006:BL1006),$AM$1006:$BM$1006,0)), HYPERLINK("#",""), HYPERLINK(CONCATENATE("#metadata!", ADDRESS(INDEX($AH$2:$AH$1001,MATCH(ROWS($AF$2:AF478),$AF$2:$AF$1001,0),0), INDEX($AM$1004:$BM$1004,1,MATCH(COLUMNS($AM$1006:BL1006),$AM$1006:$BM$1006,0)))),"Fix")))</f>
        <v xml:space="preserve"> </v>
      </c>
      <c r="AB478" s="4" t="str">
        <f ca="1">IF(OR(INDEX($AG$2:$AG$1001,MATCH(ROWS($AF$2:AF478),$AF$2:$AF$1001,0),1)&gt;=100000,INDEX($AM$1005:$BM$1005,1,MATCH(COLUMNS($AM$1006:BM1006),$AM$1006:$BM$1006,0))&gt;=100000), " ",IF(INDEX($AM$2:$BM$1001,MATCH(ROWS($AF$2:AF478),$AF$2:$AF$1001,0),MATCH(COLUMNS($AM$1006:BM1006),$AM$1006:$BM$1006,0)), HYPERLINK("#",""), HYPERLINK(CONCATENATE("#metadata!", ADDRESS(INDEX($AH$2:$AH$1001,MATCH(ROWS($AF$2:AF478),$AF$2:$AF$1001,0),0), INDEX($AM$1004:$BM$1004,1,MATCH(COLUMNS($AM$1006:BM1006),$AM$1006:$BM$1006,0)))),"Fix")))</f>
        <v xml:space="preserve"> </v>
      </c>
      <c r="AF478">
        <v>477</v>
      </c>
      <c r="AG478">
        <v>100478</v>
      </c>
      <c r="AH478">
        <v>478</v>
      </c>
      <c r="AI478" t="b">
        <f t="shared" si="7"/>
        <v>1</v>
      </c>
      <c r="AJ478" t="b">
        <f>COUNTBLANK(metadata!B478:AB478)=COLUMNS(metadata!B478:AB478)</f>
        <v>1</v>
      </c>
      <c r="AK478" t="str">
        <v/>
      </c>
      <c r="AM478" t="b">
        <f ca="1">AND(IF(metadata!B478="",FALSE,TRUE),COUNTIF(metadata!B:B, metadata!B478) = 1,NOT(ISERROR(SUMPRODUCT(SEARCH(MID(metadata!B478,ROW(INDIRECT("1:"&amp;LEN(metadata!B478))), 1),"0123456789abcdefghijklmnopqrstuvwxyzABCDEFGHIJKLMNOPQRSTUVWXYZ.")))))</f>
        <v>0</v>
      </c>
      <c r="AN478" t="b">
        <f ca="1">OR(AND(IF(metadata!C478="",FALSE,TRUE),OR(EXACT(metadata!C478,"missing: not collected"),EXACT(metadata!C478,"missing: not provided"),EXACT(metadata!C478,"missing: restricted access"))),AND(IF(metadata!C478="",FALSE,TRUE),AND(AND(IFERROR(INT(LEFT(metadata!C478,4))&gt;1900,FALSE),IFERROR(INT(LEFT(metadata!C478,4))&lt;=YEAR(NOW()),FALSE)), OR(MID(metadata!C478,5,1)="", AND(AND(MID(metadata!C478,5,1)="-",IFERROR(INT(MID(metadata!C478,6,1))&gt;=0,FALSE),IFERROR(INT(MID(metadata!C478,6,1))&lt;=1,FALSE),NOT(MID(metadata!C478,7,1)=""),IFERROR(INT(MID(metadata!C478,6,2))&gt;=1,FALSE),IFERROR(INT(MID(metadata!C478,6,2))&lt;=12,FALSE)), OR(MID(metadata!C478,8,1)="", AND(AND(MID(metadata!C478,8,1)="-",IFERROR(INT(MID(metadata!C478,9,1))&gt;=0,FALSE),IFERROR(INT(MID(metadata!C478,9,1))&lt;=3,FALSE),NOT(MID(metadata!C478,10,1)=""),IFERROR(INT(MID(metadata!C478,9,2))&gt;=1,FALSE),IFERROR(INT(MID(metadata!C478,9,2))&lt;=31,FALSE)), OR(MID(metadata!C478,11,1)="", AND(AND(MID(metadata!C478,11,1)=" ",IFERROR(INT(MID(metadata!C478,12,1))&gt;=0,FALSE),IFERROR(INT(MID(metadata!C478,12,1))&lt;=2,FALSE),NOT(MID(metadata!C478,13,1)=""),IFERROR(INT(MID(metadata!C478,12,2))&gt;=0,FALSE),IFERROR(INT(MID(metadata!C478,12,2))&lt;=23,FALSE)), OR(MID(metadata!C478,14,1)="", AND(AND(MID(metadata!C478,14,1)=":",IFERROR(INT(MID(metadata!C478,15,1))&gt;=0,FALSE),IFERROR(INT(MID(metadata!C478,15,1))&lt;=5,FALSE),NOT(MID(metadata!C478,16,1)=""),IFERROR(INT(MID(metadata!C478,15,2))&gt;=0,FALSE),IFERROR(INT(MID(metadata!C478,15,2))&lt;=59,FALSE)), OR(MID(metadata!C478,17,1)="", AND(AND(MID(metadata!C478,17,1)=":",IFERROR(INT(MID(metadata!C478,18,1))&gt;=0,FALSE),IFERROR(INT(MID(metadata!C478,18,1))&lt;=5,FALSE),NOT(MID(metadata!C478,19,1)=""),IFERROR(INT(MID(metadata!C478,18,2))&gt;=0,FALSE),IFERROR(INT(MID(metadata!C478,18,2))&lt;=59,FALSE)), LEN(metadata!C478)&lt;=19)))))))))))))</f>
        <v>0</v>
      </c>
      <c r="AO478" t="b">
        <f>AND(IF(metadata!D478="",FALSE,TRUE),EXACT(metadata!D478,"Not applicable"))</f>
        <v>0</v>
      </c>
      <c r="AP478" t="b">
        <f>IF(metadata!E478="",FALSE,TRUE)</f>
        <v>0</v>
      </c>
      <c r="AQ478" t="b">
        <f>OR(AND(IF(metadata!F478="",FALSE,TRUE),OR(EXACT(metadata!F478,"missing: not collected"),EXACT(metadata!F478,"missing: not provided"))),AND(IF(metadata!F478="",FALSE,TRUE),OR(EXACT(metadata!F478,"TRUE"),EXACT(metadata!F478,"FALSE"))))</f>
        <v>0</v>
      </c>
      <c r="AR478" t="b">
        <f>OR(AND(IF(metadata!G478="",FALSE,TRUE),OR(EXACT(metadata!G478,"missing: not collected"),EXACT(metadata!G478,"missing: not provided"),EXACT(metadata!G478,"missing: restricted access"))),AND(IF(metadata!G478="",FALSE,ISNUMBER(VALUE(metadata!G478))),metadata!G478&gt;=-413))</f>
        <v>0</v>
      </c>
      <c r="AS478" t="b">
        <f>AND(IF(metadata!H478="",FALSE,TRUE),EXACT(metadata!H478,"meters"))</f>
        <v>0</v>
      </c>
      <c r="AT478" t="b">
        <f>AND(IF(metadata!I478="",FALSE,TRUE),OR(EXACT(metadata!I478,"Host-associated"),EXACT(metadata!I478,"Free-living")))</f>
        <v>0</v>
      </c>
      <c r="AU478" t="b">
        <f>AND(IF(metadata!J478="",FALSE,TRUE),OR(EXACT(metadata!J478,"Animal"),EXACT(metadata!J478,"Fungus"),EXACT(metadata!J478,"Plant"),EXACT(metadata!J478,"Saline"),EXACT(metadata!J478,"Non-saline")))</f>
        <v>0</v>
      </c>
      <c r="AV478" t="b">
        <f>AND(IF(metadata!K478="",FALSE,TRUE),OR(EXACT(metadata!K478,"Plant secretion"),EXACT(metadata!K478,"Plant rhizosphere"),EXACT(metadata!K478,"Plant surface"),EXACT(metadata!K478,"Plant corpus"),EXACT(metadata!K478,"Fungus surface"),EXACT(metadata!K478,"Fungus corpus"),EXACT(metadata!K478,"Animal surface"),EXACT(metadata!K478,"Animal proximal gut"),EXACT(metadata!K478,"Animal corpus"),EXACT(metadata!K478,"Animal distal gut"),EXACT(metadata!K478,"Animal secretion"),EXACT(metadata!K478,"Sub-surface (non-saline)"),EXACT(metadata!K478,"Surface (non-saline)"),EXACT(metadata!K478,"Water (non-saline)"),EXACT(metadata!K478,"Soil (non-saline)"),EXACT(metadata!K478,"Aerosol (non-saline)"),EXACT(metadata!K478,"Sediment (non-saline)"),EXACT(metadata!K478,"Surface (saline)"),EXACT(metadata!K478,"Water (saline)"),EXACT(metadata!K478,"Hypersaline (saline)"),EXACT(metadata!K478,"Aerosol (saline)"),EXACT(metadata!K478,"Sediment (saline)")))</f>
        <v>0</v>
      </c>
      <c r="AW478" t="b">
        <f>IF(metadata!L478="",FALSE,TRUE)</f>
        <v>0</v>
      </c>
      <c r="AX478" t="b">
        <f>IF(metadata!M478="",FALSE,TRUE)</f>
        <v>0</v>
      </c>
      <c r="AY478" t="b">
        <f>IF(metadata!N478="",FALSE,TRUE)</f>
        <v>0</v>
      </c>
      <c r="AZ478" t="b">
        <f>OR(AND(IF(metadata!O478="",FALSE,TRUE),OR(EXACT(metadata!O478,"missing: not collected"),EXACT(metadata!O478,"missing: not provided"),EXACT(metadata!O478,"missing: restricted access"))),AND(IF(metadata!O478="",FALSE,TRUE),OR(EXACT(metadata!O478,"air"),EXACT(metadata!O478,"built environment"),EXACT(metadata!O478,"host-associated"),EXACT(metadata!O478,"human-associated"),EXACT(metadata!O478,"human-skin"),EXACT(metadata!O478,"human-oral"),EXACT(metadata!O478,"human-gut"),EXACT(metadata!O478,"human-vaginal"),EXACT(metadata!O478,"microbial mat/biofilm"),EXACT(metadata!O478,"misc environment"),EXACT(metadata!O478,"plant-associated"),EXACT(metadata!O478,"sediment"),EXACT(metadata!O478,"soil"),EXACT(metadata!O478,"wastewater/sludge"),EXACT(metadata!O478,"water"))))</f>
        <v>0</v>
      </c>
      <c r="BA478" t="b">
        <f>IF(metadata!P478="",FALSE,TRUE)</f>
        <v>0</v>
      </c>
      <c r="BB478" t="b">
        <f>IF(metadata!Q478="",FALSE,TRUE)</f>
        <v>0</v>
      </c>
      <c r="BC478" t="b">
        <f>OR(AND(IF(metadata!R478="",FALSE,TRUE),OR(EXACT(metadata!R478,"missing: not collected"),EXACT(metadata!R478,"missing: not provided"),EXACT(metadata!R478,"missing: restricted access"))),AND(IF(metadata!R478="",FALSE,ISNUMBER(VALUE(metadata!R478))),metadata!R478&gt;=-90,metadata!R478&lt;=90))</f>
        <v>0</v>
      </c>
      <c r="BD478" t="b">
        <f>AND(IF(metadata!S478="",FALSE,TRUE),EXACT(metadata!S478,"Decimal degrees"))</f>
        <v>0</v>
      </c>
      <c r="BE478" t="b">
        <f>OR(AND(IF(metadata!T478="",FALSE,TRUE),OR(EXACT(metadata!T478,"missing: not collected"),EXACT(metadata!T478,"missing: not provided"),EXACT(metadata!T478,"missing: restricted access"))),AND(IF(metadata!T478="",FALSE,ISNUMBER(VALUE(metadata!T478))),metadata!T478&gt;=-180,metadata!T478&lt;=180))</f>
        <v>0</v>
      </c>
      <c r="BF478" t="b">
        <f>AND(IF(metadata!U478="",FALSE,TRUE),EXACT(metadata!U478,"Decimal degrees"))</f>
        <v>0</v>
      </c>
      <c r="BG478" t="b">
        <f>IF(metadata!V478="",FALSE,TRUE)</f>
        <v>0</v>
      </c>
      <c r="BH478" t="b">
        <f>OR(AND(IF(metadata!W478="",FALSE,TRUE),OR(EXACT(metadata!W478,"missing: not collected"),EXACT(metadata!W478,"missing: not provided"),EXACT(metadata!W478,"missing: restricted access"))),AND(IF(metadata!W478="",FALSE,TRUE),OR(EXACT(metadata!W478,"TRUE"),EXACT(metadata!W478,"FALSE"))))</f>
        <v>0</v>
      </c>
      <c r="BI478" t="b">
        <f>AND(IF(metadata!X478="",FALSE,TRUE),EXACT(metadata!X478,"other"))</f>
        <v>0</v>
      </c>
      <c r="BJ478" t="b">
        <f>IF(metadata!Y478="",FALSE,TRUE)</f>
        <v>0</v>
      </c>
      <c r="BK478" t="b">
        <f>OR(AND(IF(metadata!Z478="",FALSE,TRUE),OR(EXACT(metadata!Z478,"missing: not collected"),EXACT(metadata!Z478,"missing: not provided"))),AND(IF(metadata!Z478="",FALSE,IF(ISERROR(INT(metadata!Z478)),FALSE,INT(metadata!Z478)=metadata!Z478)),metadata!Z478&gt;0))</f>
        <v>0</v>
      </c>
      <c r="BL478" t="b">
        <f>AND(IF(metadata!AA478="",FALSE,TRUE),EXACT(metadata!AA478,"Not applicable"))</f>
        <v>0</v>
      </c>
      <c r="BM478" t="b">
        <f>IF(metadata!AB478="",FALSE,TRUE)</f>
        <v>0</v>
      </c>
    </row>
    <row r="479" spans="1:65" x14ac:dyDescent="0.2">
      <c r="A479" s="5" t="str">
        <f ca="1">IF(B479=" "," ",HYPERLINK(CONCATENATE("#metadata!",ADDRESS(INDEX($AH$2:$AH$1001,MATCH(ROWS($AF$2:AF479),$AF$2:$AF$1001,0),0),1)),INDEX($AK$2:$AK$1001,MATCH(ROWS($AF$2:AF479),$AF$2:$AF$1001,0),0)))</f>
        <v xml:space="preserve"> </v>
      </c>
      <c r="B479" s="4" t="str">
        <f ca="1">IF(OR(INDEX($AG$2:$AG$1001,MATCH(ROWS($AF$2:AF479),$AF$2:$AF$1001,0),1)&gt;=100000,INDEX($AM$1005:$BM$1005,1,MATCH(COLUMNS($AM$1006:AM1006),$AM$1006:$BM$1006,0))&gt;=100000), " ",IF(INDEX($AM$2:$BM$1001,MATCH(ROWS($AF$2:AF479),$AF$2:$AF$1001,0),MATCH(COLUMNS($AM$1006:AM1006),$AM$1006:$BM$1006,0)), HYPERLINK("#",""), HYPERLINK(CONCATENATE("#metadata!", ADDRESS(INDEX($AH$2:$AH$1001,MATCH(ROWS($AF$2:AF479),$AF$2:$AF$1001,0),0), INDEX($AM$1004:$BM$1004,1,MATCH(COLUMNS($AM$1006:AM1006),$AM$1006:$BM$1006,0)))),"Fix")))</f>
        <v xml:space="preserve"> </v>
      </c>
      <c r="C479" s="4" t="str">
        <f ca="1">IF(OR(INDEX($AG$2:$AG$1001,MATCH(ROWS($AF$2:AF479),$AF$2:$AF$1001,0),1)&gt;=100000,INDEX($AM$1005:$BM$1005,1,MATCH(COLUMNS($AM$1006:AN1006),$AM$1006:$BM$1006,0))&gt;=100000), " ",IF(INDEX($AM$2:$BM$1001,MATCH(ROWS($AF$2:AF479),$AF$2:$AF$1001,0),MATCH(COLUMNS($AM$1006:AN1006),$AM$1006:$BM$1006,0)), HYPERLINK("#",""), HYPERLINK(CONCATENATE("#metadata!", ADDRESS(INDEX($AH$2:$AH$1001,MATCH(ROWS($AF$2:AF479),$AF$2:$AF$1001,0),0), INDEX($AM$1004:$BM$1004,1,MATCH(COLUMNS($AM$1006:AN1006),$AM$1006:$BM$1006,0)))),"Fix")))</f>
        <v xml:space="preserve"> </v>
      </c>
      <c r="D479" s="4" t="str">
        <f ca="1">IF(OR(INDEX($AG$2:$AG$1001,MATCH(ROWS($AF$2:AF479),$AF$2:$AF$1001,0),1)&gt;=100000,INDEX($AM$1005:$BM$1005,1,MATCH(COLUMNS($AM$1006:AO1006),$AM$1006:$BM$1006,0))&gt;=100000), " ",IF(INDEX($AM$2:$BM$1001,MATCH(ROWS($AF$2:AF479),$AF$2:$AF$1001,0),MATCH(COLUMNS($AM$1006:AO1006),$AM$1006:$BM$1006,0)), HYPERLINK("#",""), HYPERLINK(CONCATENATE("#metadata!", ADDRESS(INDEX($AH$2:$AH$1001,MATCH(ROWS($AF$2:AF479),$AF$2:$AF$1001,0),0), INDEX($AM$1004:$BM$1004,1,MATCH(COLUMNS($AM$1006:AO1006),$AM$1006:$BM$1006,0)))),"Fix")))</f>
        <v xml:space="preserve"> </v>
      </c>
      <c r="E479" s="4" t="str">
        <f ca="1">IF(OR(INDEX($AG$2:$AG$1001,MATCH(ROWS($AF$2:AF479),$AF$2:$AF$1001,0),1)&gt;=100000,INDEX($AM$1005:$BM$1005,1,MATCH(COLUMNS($AM$1006:AP1006),$AM$1006:$BM$1006,0))&gt;=100000), " ",IF(INDEX($AM$2:$BM$1001,MATCH(ROWS($AF$2:AF479),$AF$2:$AF$1001,0),MATCH(COLUMNS($AM$1006:AP1006),$AM$1006:$BM$1006,0)), HYPERLINK("#",""), HYPERLINK(CONCATENATE("#metadata!", ADDRESS(INDEX($AH$2:$AH$1001,MATCH(ROWS($AF$2:AF479),$AF$2:$AF$1001,0),0), INDEX($AM$1004:$BM$1004,1,MATCH(COLUMNS($AM$1006:AP1006),$AM$1006:$BM$1006,0)))),"Fix")))</f>
        <v xml:space="preserve"> </v>
      </c>
      <c r="F479" s="4" t="str">
        <f ca="1">IF(OR(INDEX($AG$2:$AG$1001,MATCH(ROWS($AF$2:AF479),$AF$2:$AF$1001,0),1)&gt;=100000,INDEX($AM$1005:$BM$1005,1,MATCH(COLUMNS($AM$1006:AQ1006),$AM$1006:$BM$1006,0))&gt;=100000), " ",IF(INDEX($AM$2:$BM$1001,MATCH(ROWS($AF$2:AF479),$AF$2:$AF$1001,0),MATCH(COLUMNS($AM$1006:AQ1006),$AM$1006:$BM$1006,0)), HYPERLINK("#",""), HYPERLINK(CONCATENATE("#metadata!", ADDRESS(INDEX($AH$2:$AH$1001,MATCH(ROWS($AF$2:AF479),$AF$2:$AF$1001,0),0), INDEX($AM$1004:$BM$1004,1,MATCH(COLUMNS($AM$1006:AQ1006),$AM$1006:$BM$1006,0)))),"Fix")))</f>
        <v xml:space="preserve"> </v>
      </c>
      <c r="G479" s="4" t="str">
        <f ca="1">IF(OR(INDEX($AG$2:$AG$1001,MATCH(ROWS($AF$2:AF479),$AF$2:$AF$1001,0),1)&gt;=100000,INDEX($AM$1005:$BM$1005,1,MATCH(COLUMNS($AM$1006:AR1006),$AM$1006:$BM$1006,0))&gt;=100000), " ",IF(INDEX($AM$2:$BM$1001,MATCH(ROWS($AF$2:AF479),$AF$2:$AF$1001,0),MATCH(COLUMNS($AM$1006:AR1006),$AM$1006:$BM$1006,0)), HYPERLINK("#",""), HYPERLINK(CONCATENATE("#metadata!", ADDRESS(INDEX($AH$2:$AH$1001,MATCH(ROWS($AF$2:AF479),$AF$2:$AF$1001,0),0), INDEX($AM$1004:$BM$1004,1,MATCH(COLUMNS($AM$1006:AR1006),$AM$1006:$BM$1006,0)))),"Fix")))</f>
        <v xml:space="preserve"> </v>
      </c>
      <c r="H479" s="4" t="str">
        <f ca="1">IF(OR(INDEX($AG$2:$AG$1001,MATCH(ROWS($AF$2:AF479),$AF$2:$AF$1001,0),1)&gt;=100000,INDEX($AM$1005:$BM$1005,1,MATCH(COLUMNS($AM$1006:AS1006),$AM$1006:$BM$1006,0))&gt;=100000), " ",IF(INDEX($AM$2:$BM$1001,MATCH(ROWS($AF$2:AF479),$AF$2:$AF$1001,0),MATCH(COLUMNS($AM$1006:AS1006),$AM$1006:$BM$1006,0)), HYPERLINK("#",""), HYPERLINK(CONCATENATE("#metadata!", ADDRESS(INDEX($AH$2:$AH$1001,MATCH(ROWS($AF$2:AF479),$AF$2:$AF$1001,0),0), INDEX($AM$1004:$BM$1004,1,MATCH(COLUMNS($AM$1006:AS1006),$AM$1006:$BM$1006,0)))),"Fix")))</f>
        <v xml:space="preserve"> </v>
      </c>
      <c r="I479" s="4" t="str">
        <f ca="1">IF(OR(INDEX($AG$2:$AG$1001,MATCH(ROWS($AF$2:AF479),$AF$2:$AF$1001,0),1)&gt;=100000,INDEX($AM$1005:$BM$1005,1,MATCH(COLUMNS($AM$1006:AT1006),$AM$1006:$BM$1006,0))&gt;=100000), " ",IF(INDEX($AM$2:$BM$1001,MATCH(ROWS($AF$2:AF479),$AF$2:$AF$1001,0),MATCH(COLUMNS($AM$1006:AT1006),$AM$1006:$BM$1006,0)), HYPERLINK("#",""), HYPERLINK(CONCATENATE("#metadata!", ADDRESS(INDEX($AH$2:$AH$1001,MATCH(ROWS($AF$2:AF479),$AF$2:$AF$1001,0),0), INDEX($AM$1004:$BM$1004,1,MATCH(COLUMNS($AM$1006:AT1006),$AM$1006:$BM$1006,0)))),"Fix")))</f>
        <v xml:space="preserve"> </v>
      </c>
      <c r="J479" s="4" t="str">
        <f ca="1">IF(OR(INDEX($AG$2:$AG$1001,MATCH(ROWS($AF$2:AF479),$AF$2:$AF$1001,0),1)&gt;=100000,INDEX($AM$1005:$BM$1005,1,MATCH(COLUMNS($AM$1006:AU1006),$AM$1006:$BM$1006,0))&gt;=100000), " ",IF(INDEX($AM$2:$BM$1001,MATCH(ROWS($AF$2:AF479),$AF$2:$AF$1001,0),MATCH(COLUMNS($AM$1006:AU1006),$AM$1006:$BM$1006,0)), HYPERLINK("#",""), HYPERLINK(CONCATENATE("#metadata!", ADDRESS(INDEX($AH$2:$AH$1001,MATCH(ROWS($AF$2:AF479),$AF$2:$AF$1001,0),0), INDEX($AM$1004:$BM$1004,1,MATCH(COLUMNS($AM$1006:AU1006),$AM$1006:$BM$1006,0)))),"Fix")))</f>
        <v xml:space="preserve"> </v>
      </c>
      <c r="K479" s="4" t="str">
        <f ca="1">IF(OR(INDEX($AG$2:$AG$1001,MATCH(ROWS($AF$2:AF479),$AF$2:$AF$1001,0),1)&gt;=100000,INDEX($AM$1005:$BM$1005,1,MATCH(COLUMNS($AM$1006:AV1006),$AM$1006:$BM$1006,0))&gt;=100000), " ",IF(INDEX($AM$2:$BM$1001,MATCH(ROWS($AF$2:AF479),$AF$2:$AF$1001,0),MATCH(COLUMNS($AM$1006:AV1006),$AM$1006:$BM$1006,0)), HYPERLINK("#",""), HYPERLINK(CONCATENATE("#metadata!", ADDRESS(INDEX($AH$2:$AH$1001,MATCH(ROWS($AF$2:AF479),$AF$2:$AF$1001,0),0), INDEX($AM$1004:$BM$1004,1,MATCH(COLUMNS($AM$1006:AV1006),$AM$1006:$BM$1006,0)))),"Fix")))</f>
        <v xml:space="preserve"> </v>
      </c>
      <c r="L479" s="4" t="str">
        <f ca="1">IF(OR(INDEX($AG$2:$AG$1001,MATCH(ROWS($AF$2:AF479),$AF$2:$AF$1001,0),1)&gt;=100000,INDEX($AM$1005:$BM$1005,1,MATCH(COLUMNS($AM$1006:AW1006),$AM$1006:$BM$1006,0))&gt;=100000), " ",IF(INDEX($AM$2:$BM$1001,MATCH(ROWS($AF$2:AF479),$AF$2:$AF$1001,0),MATCH(COLUMNS($AM$1006:AW1006),$AM$1006:$BM$1006,0)), HYPERLINK("#",""), HYPERLINK(CONCATENATE("#metadata!", ADDRESS(INDEX($AH$2:$AH$1001,MATCH(ROWS($AF$2:AF479),$AF$2:$AF$1001,0),0), INDEX($AM$1004:$BM$1004,1,MATCH(COLUMNS($AM$1006:AW1006),$AM$1006:$BM$1006,0)))),"Fix")))</f>
        <v xml:space="preserve"> </v>
      </c>
      <c r="M479" s="4" t="str">
        <f ca="1">IF(OR(INDEX($AG$2:$AG$1001,MATCH(ROWS($AF$2:AF479),$AF$2:$AF$1001,0),1)&gt;=100000,INDEX($AM$1005:$BM$1005,1,MATCH(COLUMNS($AM$1006:AX1006),$AM$1006:$BM$1006,0))&gt;=100000), " ",IF(INDEX($AM$2:$BM$1001,MATCH(ROWS($AF$2:AF479),$AF$2:$AF$1001,0),MATCH(COLUMNS($AM$1006:AX1006),$AM$1006:$BM$1006,0)), HYPERLINK("#",""), HYPERLINK(CONCATENATE("#metadata!", ADDRESS(INDEX($AH$2:$AH$1001,MATCH(ROWS($AF$2:AF479),$AF$2:$AF$1001,0),0), INDEX($AM$1004:$BM$1004,1,MATCH(COLUMNS($AM$1006:AX1006),$AM$1006:$BM$1006,0)))),"Fix")))</f>
        <v xml:space="preserve"> </v>
      </c>
      <c r="N479" s="4" t="str">
        <f ca="1">IF(OR(INDEX($AG$2:$AG$1001,MATCH(ROWS($AF$2:AF479),$AF$2:$AF$1001,0),1)&gt;=100000,INDEX($AM$1005:$BM$1005,1,MATCH(COLUMNS($AM$1006:AY1006),$AM$1006:$BM$1006,0))&gt;=100000), " ",IF(INDEX($AM$2:$BM$1001,MATCH(ROWS($AF$2:AF479),$AF$2:$AF$1001,0),MATCH(COLUMNS($AM$1006:AY1006),$AM$1006:$BM$1006,0)), HYPERLINK("#",""), HYPERLINK(CONCATENATE("#metadata!", ADDRESS(INDEX($AH$2:$AH$1001,MATCH(ROWS($AF$2:AF479),$AF$2:$AF$1001,0),0), INDEX($AM$1004:$BM$1004,1,MATCH(COLUMNS($AM$1006:AY1006),$AM$1006:$BM$1006,0)))),"Fix")))</f>
        <v xml:space="preserve"> </v>
      </c>
      <c r="O479" s="4" t="str">
        <f ca="1">IF(OR(INDEX($AG$2:$AG$1001,MATCH(ROWS($AF$2:AF479),$AF$2:$AF$1001,0),1)&gt;=100000,INDEX($AM$1005:$BM$1005,1,MATCH(COLUMNS($AM$1006:AZ1006),$AM$1006:$BM$1006,0))&gt;=100000), " ",IF(INDEX($AM$2:$BM$1001,MATCH(ROWS($AF$2:AF479),$AF$2:$AF$1001,0),MATCH(COLUMNS($AM$1006:AZ1006),$AM$1006:$BM$1006,0)), HYPERLINK("#",""), HYPERLINK(CONCATENATE("#metadata!", ADDRESS(INDEX($AH$2:$AH$1001,MATCH(ROWS($AF$2:AF479),$AF$2:$AF$1001,0),0), INDEX($AM$1004:$BM$1004,1,MATCH(COLUMNS($AM$1006:AZ1006),$AM$1006:$BM$1006,0)))),"Fix")))</f>
        <v xml:space="preserve"> </v>
      </c>
      <c r="P479" s="4" t="str">
        <f ca="1">IF(OR(INDEX($AG$2:$AG$1001,MATCH(ROWS($AF$2:AF479),$AF$2:$AF$1001,0),1)&gt;=100000,INDEX($AM$1005:$BM$1005,1,MATCH(COLUMNS($AM$1006:BA1006),$AM$1006:$BM$1006,0))&gt;=100000), " ",IF(INDEX($AM$2:$BM$1001,MATCH(ROWS($AF$2:AF479),$AF$2:$AF$1001,0),MATCH(COLUMNS($AM$1006:BA1006),$AM$1006:$BM$1006,0)), HYPERLINK("#",""), HYPERLINK(CONCATENATE("#metadata!", ADDRESS(INDEX($AH$2:$AH$1001,MATCH(ROWS($AF$2:AF479),$AF$2:$AF$1001,0),0), INDEX($AM$1004:$BM$1004,1,MATCH(COLUMNS($AM$1006:BA1006),$AM$1006:$BM$1006,0)))),"Fix")))</f>
        <v xml:space="preserve"> </v>
      </c>
      <c r="Q479" s="4" t="str">
        <f ca="1">IF(OR(INDEX($AG$2:$AG$1001,MATCH(ROWS($AF$2:AF479),$AF$2:$AF$1001,0),1)&gt;=100000,INDEX($AM$1005:$BM$1005,1,MATCH(COLUMNS($AM$1006:BB1006),$AM$1006:$BM$1006,0))&gt;=100000), " ",IF(INDEX($AM$2:$BM$1001,MATCH(ROWS($AF$2:AF479),$AF$2:$AF$1001,0),MATCH(COLUMNS($AM$1006:BB1006),$AM$1006:$BM$1006,0)), HYPERLINK("#",""), HYPERLINK(CONCATENATE("#metadata!", ADDRESS(INDEX($AH$2:$AH$1001,MATCH(ROWS($AF$2:AF479),$AF$2:$AF$1001,0),0), INDEX($AM$1004:$BM$1004,1,MATCH(COLUMNS($AM$1006:BB1006),$AM$1006:$BM$1006,0)))),"Fix")))</f>
        <v xml:space="preserve"> </v>
      </c>
      <c r="R479" s="4" t="str">
        <f ca="1">IF(OR(INDEX($AG$2:$AG$1001,MATCH(ROWS($AF$2:AF479),$AF$2:$AF$1001,0),1)&gt;=100000,INDEX($AM$1005:$BM$1005,1,MATCH(COLUMNS($AM$1006:BC1006),$AM$1006:$BM$1006,0))&gt;=100000), " ",IF(INDEX($AM$2:$BM$1001,MATCH(ROWS($AF$2:AF479),$AF$2:$AF$1001,0),MATCH(COLUMNS($AM$1006:BC1006),$AM$1006:$BM$1006,0)), HYPERLINK("#",""), HYPERLINK(CONCATENATE("#metadata!", ADDRESS(INDEX($AH$2:$AH$1001,MATCH(ROWS($AF$2:AF479),$AF$2:$AF$1001,0),0), INDEX($AM$1004:$BM$1004,1,MATCH(COLUMNS($AM$1006:BC1006),$AM$1006:$BM$1006,0)))),"Fix")))</f>
        <v xml:space="preserve"> </v>
      </c>
      <c r="S479" s="4" t="str">
        <f ca="1">IF(OR(INDEX($AG$2:$AG$1001,MATCH(ROWS($AF$2:AF479),$AF$2:$AF$1001,0),1)&gt;=100000,INDEX($AM$1005:$BM$1005,1,MATCH(COLUMNS($AM$1006:BD1006),$AM$1006:$BM$1006,0))&gt;=100000), " ",IF(INDEX($AM$2:$BM$1001,MATCH(ROWS($AF$2:AF479),$AF$2:$AF$1001,0),MATCH(COLUMNS($AM$1006:BD1006),$AM$1006:$BM$1006,0)), HYPERLINK("#",""), HYPERLINK(CONCATENATE("#metadata!", ADDRESS(INDEX($AH$2:$AH$1001,MATCH(ROWS($AF$2:AF479),$AF$2:$AF$1001,0),0), INDEX($AM$1004:$BM$1004,1,MATCH(COLUMNS($AM$1006:BD1006),$AM$1006:$BM$1006,0)))),"Fix")))</f>
        <v xml:space="preserve"> </v>
      </c>
      <c r="T479" s="4" t="str">
        <f ca="1">IF(OR(INDEX($AG$2:$AG$1001,MATCH(ROWS($AF$2:AF479),$AF$2:$AF$1001,0),1)&gt;=100000,INDEX($AM$1005:$BM$1005,1,MATCH(COLUMNS($AM$1006:BE1006),$AM$1006:$BM$1006,0))&gt;=100000), " ",IF(INDEX($AM$2:$BM$1001,MATCH(ROWS($AF$2:AF479),$AF$2:$AF$1001,0),MATCH(COLUMNS($AM$1006:BE1006),$AM$1006:$BM$1006,0)), HYPERLINK("#",""), HYPERLINK(CONCATENATE("#metadata!", ADDRESS(INDEX($AH$2:$AH$1001,MATCH(ROWS($AF$2:AF479),$AF$2:$AF$1001,0),0), INDEX($AM$1004:$BM$1004,1,MATCH(COLUMNS($AM$1006:BE1006),$AM$1006:$BM$1006,0)))),"Fix")))</f>
        <v xml:space="preserve"> </v>
      </c>
      <c r="U479" s="4" t="str">
        <f ca="1">IF(OR(INDEX($AG$2:$AG$1001,MATCH(ROWS($AF$2:AF479),$AF$2:$AF$1001,0),1)&gt;=100000,INDEX($AM$1005:$BM$1005,1,MATCH(COLUMNS($AM$1006:BF1006),$AM$1006:$BM$1006,0))&gt;=100000), " ",IF(INDEX($AM$2:$BM$1001,MATCH(ROWS($AF$2:AF479),$AF$2:$AF$1001,0),MATCH(COLUMNS($AM$1006:BF1006),$AM$1006:$BM$1006,0)), HYPERLINK("#",""), HYPERLINK(CONCATENATE("#metadata!", ADDRESS(INDEX($AH$2:$AH$1001,MATCH(ROWS($AF$2:AF479),$AF$2:$AF$1001,0),0), INDEX($AM$1004:$BM$1004,1,MATCH(COLUMNS($AM$1006:BF1006),$AM$1006:$BM$1006,0)))),"Fix")))</f>
        <v xml:space="preserve"> </v>
      </c>
      <c r="V479" s="4" t="str">
        <f ca="1">IF(OR(INDEX($AG$2:$AG$1001,MATCH(ROWS($AF$2:AF479),$AF$2:$AF$1001,0),1)&gt;=100000,INDEX($AM$1005:$BM$1005,1,MATCH(COLUMNS($AM$1006:BG1006),$AM$1006:$BM$1006,0))&gt;=100000), " ",IF(INDEX($AM$2:$BM$1001,MATCH(ROWS($AF$2:AF479),$AF$2:$AF$1001,0),MATCH(COLUMNS($AM$1006:BG1006),$AM$1006:$BM$1006,0)), HYPERLINK("#",""), HYPERLINK(CONCATENATE("#metadata!", ADDRESS(INDEX($AH$2:$AH$1001,MATCH(ROWS($AF$2:AF479),$AF$2:$AF$1001,0),0), INDEX($AM$1004:$BM$1004,1,MATCH(COLUMNS($AM$1006:BG1006),$AM$1006:$BM$1006,0)))),"Fix")))</f>
        <v xml:space="preserve"> </v>
      </c>
      <c r="W479" s="4" t="str">
        <f ca="1">IF(OR(INDEX($AG$2:$AG$1001,MATCH(ROWS($AF$2:AF479),$AF$2:$AF$1001,0),1)&gt;=100000,INDEX($AM$1005:$BM$1005,1,MATCH(COLUMNS($AM$1006:BH1006),$AM$1006:$BM$1006,0))&gt;=100000), " ",IF(INDEX($AM$2:$BM$1001,MATCH(ROWS($AF$2:AF479),$AF$2:$AF$1001,0),MATCH(COLUMNS($AM$1006:BH1006),$AM$1006:$BM$1006,0)), HYPERLINK("#",""), HYPERLINK(CONCATENATE("#metadata!", ADDRESS(INDEX($AH$2:$AH$1001,MATCH(ROWS($AF$2:AF479),$AF$2:$AF$1001,0),0), INDEX($AM$1004:$BM$1004,1,MATCH(COLUMNS($AM$1006:BH1006),$AM$1006:$BM$1006,0)))),"Fix")))</f>
        <v xml:space="preserve"> </v>
      </c>
      <c r="X479" s="4" t="str">
        <f ca="1">IF(OR(INDEX($AG$2:$AG$1001,MATCH(ROWS($AF$2:AF479),$AF$2:$AF$1001,0),1)&gt;=100000,INDEX($AM$1005:$BM$1005,1,MATCH(COLUMNS($AM$1006:BI1006),$AM$1006:$BM$1006,0))&gt;=100000), " ",IF(INDEX($AM$2:$BM$1001,MATCH(ROWS($AF$2:AF479),$AF$2:$AF$1001,0),MATCH(COLUMNS($AM$1006:BI1006),$AM$1006:$BM$1006,0)), HYPERLINK("#",""), HYPERLINK(CONCATENATE("#metadata!", ADDRESS(INDEX($AH$2:$AH$1001,MATCH(ROWS($AF$2:AF479),$AF$2:$AF$1001,0),0), INDEX($AM$1004:$BM$1004,1,MATCH(COLUMNS($AM$1006:BI1006),$AM$1006:$BM$1006,0)))),"Fix")))</f>
        <v xml:space="preserve"> </v>
      </c>
      <c r="Y479" s="4" t="str">
        <f ca="1">IF(OR(INDEX($AG$2:$AG$1001,MATCH(ROWS($AF$2:AF479),$AF$2:$AF$1001,0),1)&gt;=100000,INDEX($AM$1005:$BM$1005,1,MATCH(COLUMNS($AM$1006:BJ1006),$AM$1006:$BM$1006,0))&gt;=100000), " ",IF(INDEX($AM$2:$BM$1001,MATCH(ROWS($AF$2:AF479),$AF$2:$AF$1001,0),MATCH(COLUMNS($AM$1006:BJ1006),$AM$1006:$BM$1006,0)), HYPERLINK("#",""), HYPERLINK(CONCATENATE("#metadata!", ADDRESS(INDEX($AH$2:$AH$1001,MATCH(ROWS($AF$2:AF479),$AF$2:$AF$1001,0),0), INDEX($AM$1004:$BM$1004,1,MATCH(COLUMNS($AM$1006:BJ1006),$AM$1006:$BM$1006,0)))),"Fix")))</f>
        <v xml:space="preserve"> </v>
      </c>
      <c r="Z479" s="4" t="str">
        <f ca="1">IF(OR(INDEX($AG$2:$AG$1001,MATCH(ROWS($AF$2:AF479),$AF$2:$AF$1001,0),1)&gt;=100000,INDEX($AM$1005:$BM$1005,1,MATCH(COLUMNS($AM$1006:BK1006),$AM$1006:$BM$1006,0))&gt;=100000), " ",IF(INDEX($AM$2:$BM$1001,MATCH(ROWS($AF$2:AF479),$AF$2:$AF$1001,0),MATCH(COLUMNS($AM$1006:BK1006),$AM$1006:$BM$1006,0)), HYPERLINK("#",""), HYPERLINK(CONCATENATE("#metadata!", ADDRESS(INDEX($AH$2:$AH$1001,MATCH(ROWS($AF$2:AF479),$AF$2:$AF$1001,0),0), INDEX($AM$1004:$BM$1004,1,MATCH(COLUMNS($AM$1006:BK1006),$AM$1006:$BM$1006,0)))),"Fix")))</f>
        <v xml:space="preserve"> </v>
      </c>
      <c r="AA479" s="4" t="str">
        <f ca="1">IF(OR(INDEX($AG$2:$AG$1001,MATCH(ROWS($AF$2:AF479),$AF$2:$AF$1001,0),1)&gt;=100000,INDEX($AM$1005:$BM$1005,1,MATCH(COLUMNS($AM$1006:BL1006),$AM$1006:$BM$1006,0))&gt;=100000), " ",IF(INDEX($AM$2:$BM$1001,MATCH(ROWS($AF$2:AF479),$AF$2:$AF$1001,0),MATCH(COLUMNS($AM$1006:BL1006),$AM$1006:$BM$1006,0)), HYPERLINK("#",""), HYPERLINK(CONCATENATE("#metadata!", ADDRESS(INDEX($AH$2:$AH$1001,MATCH(ROWS($AF$2:AF479),$AF$2:$AF$1001,0),0), INDEX($AM$1004:$BM$1004,1,MATCH(COLUMNS($AM$1006:BL1006),$AM$1006:$BM$1006,0)))),"Fix")))</f>
        <v xml:space="preserve"> </v>
      </c>
      <c r="AB479" s="4" t="str">
        <f ca="1">IF(OR(INDEX($AG$2:$AG$1001,MATCH(ROWS($AF$2:AF479),$AF$2:$AF$1001,0),1)&gt;=100000,INDEX($AM$1005:$BM$1005,1,MATCH(COLUMNS($AM$1006:BM1006),$AM$1006:$BM$1006,0))&gt;=100000), " ",IF(INDEX($AM$2:$BM$1001,MATCH(ROWS($AF$2:AF479),$AF$2:$AF$1001,0),MATCH(COLUMNS($AM$1006:BM1006),$AM$1006:$BM$1006,0)), HYPERLINK("#",""), HYPERLINK(CONCATENATE("#metadata!", ADDRESS(INDEX($AH$2:$AH$1001,MATCH(ROWS($AF$2:AF479),$AF$2:$AF$1001,0),0), INDEX($AM$1004:$BM$1004,1,MATCH(COLUMNS($AM$1006:BM1006),$AM$1006:$BM$1006,0)))),"Fix")))</f>
        <v xml:space="preserve"> </v>
      </c>
      <c r="AF479">
        <v>478</v>
      </c>
      <c r="AG479">
        <v>100479</v>
      </c>
      <c r="AH479">
        <v>479</v>
      </c>
      <c r="AI479" t="b">
        <f t="shared" si="7"/>
        <v>1</v>
      </c>
      <c r="AJ479" t="b">
        <f>COUNTBLANK(metadata!B479:AB479)=COLUMNS(metadata!B479:AB479)</f>
        <v>1</v>
      </c>
      <c r="AK479" t="str">
        <v/>
      </c>
      <c r="AM479" t="b">
        <f ca="1">AND(IF(metadata!B479="",FALSE,TRUE),COUNTIF(metadata!B:B, metadata!B479) = 1,NOT(ISERROR(SUMPRODUCT(SEARCH(MID(metadata!B479,ROW(INDIRECT("1:"&amp;LEN(metadata!B479))), 1),"0123456789abcdefghijklmnopqrstuvwxyzABCDEFGHIJKLMNOPQRSTUVWXYZ.")))))</f>
        <v>0</v>
      </c>
      <c r="AN479" t="b">
        <f ca="1">OR(AND(IF(metadata!C479="",FALSE,TRUE),OR(EXACT(metadata!C479,"missing: not collected"),EXACT(metadata!C479,"missing: not provided"),EXACT(metadata!C479,"missing: restricted access"))),AND(IF(metadata!C479="",FALSE,TRUE),AND(AND(IFERROR(INT(LEFT(metadata!C479,4))&gt;1900,FALSE),IFERROR(INT(LEFT(metadata!C479,4))&lt;=YEAR(NOW()),FALSE)), OR(MID(metadata!C479,5,1)="", AND(AND(MID(metadata!C479,5,1)="-",IFERROR(INT(MID(metadata!C479,6,1))&gt;=0,FALSE),IFERROR(INT(MID(metadata!C479,6,1))&lt;=1,FALSE),NOT(MID(metadata!C479,7,1)=""),IFERROR(INT(MID(metadata!C479,6,2))&gt;=1,FALSE),IFERROR(INT(MID(metadata!C479,6,2))&lt;=12,FALSE)), OR(MID(metadata!C479,8,1)="", AND(AND(MID(metadata!C479,8,1)="-",IFERROR(INT(MID(metadata!C479,9,1))&gt;=0,FALSE),IFERROR(INT(MID(metadata!C479,9,1))&lt;=3,FALSE),NOT(MID(metadata!C479,10,1)=""),IFERROR(INT(MID(metadata!C479,9,2))&gt;=1,FALSE),IFERROR(INT(MID(metadata!C479,9,2))&lt;=31,FALSE)), OR(MID(metadata!C479,11,1)="", AND(AND(MID(metadata!C479,11,1)=" ",IFERROR(INT(MID(metadata!C479,12,1))&gt;=0,FALSE),IFERROR(INT(MID(metadata!C479,12,1))&lt;=2,FALSE),NOT(MID(metadata!C479,13,1)=""),IFERROR(INT(MID(metadata!C479,12,2))&gt;=0,FALSE),IFERROR(INT(MID(metadata!C479,12,2))&lt;=23,FALSE)), OR(MID(metadata!C479,14,1)="", AND(AND(MID(metadata!C479,14,1)=":",IFERROR(INT(MID(metadata!C479,15,1))&gt;=0,FALSE),IFERROR(INT(MID(metadata!C479,15,1))&lt;=5,FALSE),NOT(MID(metadata!C479,16,1)=""),IFERROR(INT(MID(metadata!C479,15,2))&gt;=0,FALSE),IFERROR(INT(MID(metadata!C479,15,2))&lt;=59,FALSE)), OR(MID(metadata!C479,17,1)="", AND(AND(MID(metadata!C479,17,1)=":",IFERROR(INT(MID(metadata!C479,18,1))&gt;=0,FALSE),IFERROR(INT(MID(metadata!C479,18,1))&lt;=5,FALSE),NOT(MID(metadata!C479,19,1)=""),IFERROR(INT(MID(metadata!C479,18,2))&gt;=0,FALSE),IFERROR(INT(MID(metadata!C479,18,2))&lt;=59,FALSE)), LEN(metadata!C479)&lt;=19)))))))))))))</f>
        <v>0</v>
      </c>
      <c r="AO479" t="b">
        <f>AND(IF(metadata!D479="",FALSE,TRUE),EXACT(metadata!D479,"Not applicable"))</f>
        <v>0</v>
      </c>
      <c r="AP479" t="b">
        <f>IF(metadata!E479="",FALSE,TRUE)</f>
        <v>0</v>
      </c>
      <c r="AQ479" t="b">
        <f>OR(AND(IF(metadata!F479="",FALSE,TRUE),OR(EXACT(metadata!F479,"missing: not collected"),EXACT(metadata!F479,"missing: not provided"))),AND(IF(metadata!F479="",FALSE,TRUE),OR(EXACT(metadata!F479,"TRUE"),EXACT(metadata!F479,"FALSE"))))</f>
        <v>0</v>
      </c>
      <c r="AR479" t="b">
        <f>OR(AND(IF(metadata!G479="",FALSE,TRUE),OR(EXACT(metadata!G479,"missing: not collected"),EXACT(metadata!G479,"missing: not provided"),EXACT(metadata!G479,"missing: restricted access"))),AND(IF(metadata!G479="",FALSE,ISNUMBER(VALUE(metadata!G479))),metadata!G479&gt;=-413))</f>
        <v>0</v>
      </c>
      <c r="AS479" t="b">
        <f>AND(IF(metadata!H479="",FALSE,TRUE),EXACT(metadata!H479,"meters"))</f>
        <v>0</v>
      </c>
      <c r="AT479" t="b">
        <f>AND(IF(metadata!I479="",FALSE,TRUE),OR(EXACT(metadata!I479,"Host-associated"),EXACT(metadata!I479,"Free-living")))</f>
        <v>0</v>
      </c>
      <c r="AU479" t="b">
        <f>AND(IF(metadata!J479="",FALSE,TRUE),OR(EXACT(metadata!J479,"Animal"),EXACT(metadata!J479,"Fungus"),EXACT(metadata!J479,"Plant"),EXACT(metadata!J479,"Saline"),EXACT(metadata!J479,"Non-saline")))</f>
        <v>0</v>
      </c>
      <c r="AV479" t="b">
        <f>AND(IF(metadata!K479="",FALSE,TRUE),OR(EXACT(metadata!K479,"Plant secretion"),EXACT(metadata!K479,"Plant rhizosphere"),EXACT(metadata!K479,"Plant surface"),EXACT(metadata!K479,"Plant corpus"),EXACT(metadata!K479,"Fungus surface"),EXACT(metadata!K479,"Fungus corpus"),EXACT(metadata!K479,"Animal surface"),EXACT(metadata!K479,"Animal proximal gut"),EXACT(metadata!K479,"Animal corpus"),EXACT(metadata!K479,"Animal distal gut"),EXACT(metadata!K479,"Animal secretion"),EXACT(metadata!K479,"Sub-surface (non-saline)"),EXACT(metadata!K479,"Surface (non-saline)"),EXACT(metadata!K479,"Water (non-saline)"),EXACT(metadata!K479,"Soil (non-saline)"),EXACT(metadata!K479,"Aerosol (non-saline)"),EXACT(metadata!K479,"Sediment (non-saline)"),EXACT(metadata!K479,"Surface (saline)"),EXACT(metadata!K479,"Water (saline)"),EXACT(metadata!K479,"Hypersaline (saline)"),EXACT(metadata!K479,"Aerosol (saline)"),EXACT(metadata!K479,"Sediment (saline)")))</f>
        <v>0</v>
      </c>
      <c r="AW479" t="b">
        <f>IF(metadata!L479="",FALSE,TRUE)</f>
        <v>0</v>
      </c>
      <c r="AX479" t="b">
        <f>IF(metadata!M479="",FALSE,TRUE)</f>
        <v>0</v>
      </c>
      <c r="AY479" t="b">
        <f>IF(metadata!N479="",FALSE,TRUE)</f>
        <v>0</v>
      </c>
      <c r="AZ479" t="b">
        <f>OR(AND(IF(metadata!O479="",FALSE,TRUE),OR(EXACT(metadata!O479,"missing: not collected"),EXACT(metadata!O479,"missing: not provided"),EXACT(metadata!O479,"missing: restricted access"))),AND(IF(metadata!O479="",FALSE,TRUE),OR(EXACT(metadata!O479,"air"),EXACT(metadata!O479,"built environment"),EXACT(metadata!O479,"host-associated"),EXACT(metadata!O479,"human-associated"),EXACT(metadata!O479,"human-skin"),EXACT(metadata!O479,"human-oral"),EXACT(metadata!O479,"human-gut"),EXACT(metadata!O479,"human-vaginal"),EXACT(metadata!O479,"microbial mat/biofilm"),EXACT(metadata!O479,"misc environment"),EXACT(metadata!O479,"plant-associated"),EXACT(metadata!O479,"sediment"),EXACT(metadata!O479,"soil"),EXACT(metadata!O479,"wastewater/sludge"),EXACT(metadata!O479,"water"))))</f>
        <v>0</v>
      </c>
      <c r="BA479" t="b">
        <f>IF(metadata!P479="",FALSE,TRUE)</f>
        <v>0</v>
      </c>
      <c r="BB479" t="b">
        <f>IF(metadata!Q479="",FALSE,TRUE)</f>
        <v>0</v>
      </c>
      <c r="BC479" t="b">
        <f>OR(AND(IF(metadata!R479="",FALSE,TRUE),OR(EXACT(metadata!R479,"missing: not collected"),EXACT(metadata!R479,"missing: not provided"),EXACT(metadata!R479,"missing: restricted access"))),AND(IF(metadata!R479="",FALSE,ISNUMBER(VALUE(metadata!R479))),metadata!R479&gt;=-90,metadata!R479&lt;=90))</f>
        <v>0</v>
      </c>
      <c r="BD479" t="b">
        <f>AND(IF(metadata!S479="",FALSE,TRUE),EXACT(metadata!S479,"Decimal degrees"))</f>
        <v>0</v>
      </c>
      <c r="BE479" t="b">
        <f>OR(AND(IF(metadata!T479="",FALSE,TRUE),OR(EXACT(metadata!T479,"missing: not collected"),EXACT(metadata!T479,"missing: not provided"),EXACT(metadata!T479,"missing: restricted access"))),AND(IF(metadata!T479="",FALSE,ISNUMBER(VALUE(metadata!T479))),metadata!T479&gt;=-180,metadata!T479&lt;=180))</f>
        <v>0</v>
      </c>
      <c r="BF479" t="b">
        <f>AND(IF(metadata!U479="",FALSE,TRUE),EXACT(metadata!U479,"Decimal degrees"))</f>
        <v>0</v>
      </c>
      <c r="BG479" t="b">
        <f>IF(metadata!V479="",FALSE,TRUE)</f>
        <v>0</v>
      </c>
      <c r="BH479" t="b">
        <f>OR(AND(IF(metadata!W479="",FALSE,TRUE),OR(EXACT(metadata!W479,"missing: not collected"),EXACT(metadata!W479,"missing: not provided"),EXACT(metadata!W479,"missing: restricted access"))),AND(IF(metadata!W479="",FALSE,TRUE),OR(EXACT(metadata!W479,"TRUE"),EXACT(metadata!W479,"FALSE"))))</f>
        <v>0</v>
      </c>
      <c r="BI479" t="b">
        <f>AND(IF(metadata!X479="",FALSE,TRUE),EXACT(metadata!X479,"other"))</f>
        <v>0</v>
      </c>
      <c r="BJ479" t="b">
        <f>IF(metadata!Y479="",FALSE,TRUE)</f>
        <v>0</v>
      </c>
      <c r="BK479" t="b">
        <f>OR(AND(IF(metadata!Z479="",FALSE,TRUE),OR(EXACT(metadata!Z479,"missing: not collected"),EXACT(metadata!Z479,"missing: not provided"))),AND(IF(metadata!Z479="",FALSE,IF(ISERROR(INT(metadata!Z479)),FALSE,INT(metadata!Z479)=metadata!Z479)),metadata!Z479&gt;0))</f>
        <v>0</v>
      </c>
      <c r="BL479" t="b">
        <f>AND(IF(metadata!AA479="",FALSE,TRUE),EXACT(metadata!AA479,"Not applicable"))</f>
        <v>0</v>
      </c>
      <c r="BM479" t="b">
        <f>IF(metadata!AB479="",FALSE,TRUE)</f>
        <v>0</v>
      </c>
    </row>
    <row r="480" spans="1:65" x14ac:dyDescent="0.2">
      <c r="A480" s="5" t="str">
        <f ca="1">IF(B480=" "," ",HYPERLINK(CONCATENATE("#metadata!",ADDRESS(INDEX($AH$2:$AH$1001,MATCH(ROWS($AF$2:AF480),$AF$2:$AF$1001,0),0),1)),INDEX($AK$2:$AK$1001,MATCH(ROWS($AF$2:AF480),$AF$2:$AF$1001,0),0)))</f>
        <v xml:space="preserve"> </v>
      </c>
      <c r="B480" s="4" t="str">
        <f ca="1">IF(OR(INDEX($AG$2:$AG$1001,MATCH(ROWS($AF$2:AF480),$AF$2:$AF$1001,0),1)&gt;=100000,INDEX($AM$1005:$BM$1005,1,MATCH(COLUMNS($AM$1006:AM1006),$AM$1006:$BM$1006,0))&gt;=100000), " ",IF(INDEX($AM$2:$BM$1001,MATCH(ROWS($AF$2:AF480),$AF$2:$AF$1001,0),MATCH(COLUMNS($AM$1006:AM1006),$AM$1006:$BM$1006,0)), HYPERLINK("#",""), HYPERLINK(CONCATENATE("#metadata!", ADDRESS(INDEX($AH$2:$AH$1001,MATCH(ROWS($AF$2:AF480),$AF$2:$AF$1001,0),0), INDEX($AM$1004:$BM$1004,1,MATCH(COLUMNS($AM$1006:AM1006),$AM$1006:$BM$1006,0)))),"Fix")))</f>
        <v xml:space="preserve"> </v>
      </c>
      <c r="C480" s="4" t="str">
        <f ca="1">IF(OR(INDEX($AG$2:$AG$1001,MATCH(ROWS($AF$2:AF480),$AF$2:$AF$1001,0),1)&gt;=100000,INDEX($AM$1005:$BM$1005,1,MATCH(COLUMNS($AM$1006:AN1006),$AM$1006:$BM$1006,0))&gt;=100000), " ",IF(INDEX($AM$2:$BM$1001,MATCH(ROWS($AF$2:AF480),$AF$2:$AF$1001,0),MATCH(COLUMNS($AM$1006:AN1006),$AM$1006:$BM$1006,0)), HYPERLINK("#",""), HYPERLINK(CONCATENATE("#metadata!", ADDRESS(INDEX($AH$2:$AH$1001,MATCH(ROWS($AF$2:AF480),$AF$2:$AF$1001,0),0), INDEX($AM$1004:$BM$1004,1,MATCH(COLUMNS($AM$1006:AN1006),$AM$1006:$BM$1006,0)))),"Fix")))</f>
        <v xml:space="preserve"> </v>
      </c>
      <c r="D480" s="4" t="str">
        <f ca="1">IF(OR(INDEX($AG$2:$AG$1001,MATCH(ROWS($AF$2:AF480),$AF$2:$AF$1001,0),1)&gt;=100000,INDEX($AM$1005:$BM$1005,1,MATCH(COLUMNS($AM$1006:AO1006),$AM$1006:$BM$1006,0))&gt;=100000), " ",IF(INDEX($AM$2:$BM$1001,MATCH(ROWS($AF$2:AF480),$AF$2:$AF$1001,0),MATCH(COLUMNS($AM$1006:AO1006),$AM$1006:$BM$1006,0)), HYPERLINK("#",""), HYPERLINK(CONCATENATE("#metadata!", ADDRESS(INDEX($AH$2:$AH$1001,MATCH(ROWS($AF$2:AF480),$AF$2:$AF$1001,0),0), INDEX($AM$1004:$BM$1004,1,MATCH(COLUMNS($AM$1006:AO1006),$AM$1006:$BM$1006,0)))),"Fix")))</f>
        <v xml:space="preserve"> </v>
      </c>
      <c r="E480" s="4" t="str">
        <f ca="1">IF(OR(INDEX($AG$2:$AG$1001,MATCH(ROWS($AF$2:AF480),$AF$2:$AF$1001,0),1)&gt;=100000,INDEX($AM$1005:$BM$1005,1,MATCH(COLUMNS($AM$1006:AP1006),$AM$1006:$BM$1006,0))&gt;=100000), " ",IF(INDEX($AM$2:$BM$1001,MATCH(ROWS($AF$2:AF480),$AF$2:$AF$1001,0),MATCH(COLUMNS($AM$1006:AP1006),$AM$1006:$BM$1006,0)), HYPERLINK("#",""), HYPERLINK(CONCATENATE("#metadata!", ADDRESS(INDEX($AH$2:$AH$1001,MATCH(ROWS($AF$2:AF480),$AF$2:$AF$1001,0),0), INDEX($AM$1004:$BM$1004,1,MATCH(COLUMNS($AM$1006:AP1006),$AM$1006:$BM$1006,0)))),"Fix")))</f>
        <v xml:space="preserve"> </v>
      </c>
      <c r="F480" s="4" t="str">
        <f ca="1">IF(OR(INDEX($AG$2:$AG$1001,MATCH(ROWS($AF$2:AF480),$AF$2:$AF$1001,0),1)&gt;=100000,INDEX($AM$1005:$BM$1005,1,MATCH(COLUMNS($AM$1006:AQ1006),$AM$1006:$BM$1006,0))&gt;=100000), " ",IF(INDEX($AM$2:$BM$1001,MATCH(ROWS($AF$2:AF480),$AF$2:$AF$1001,0),MATCH(COLUMNS($AM$1006:AQ1006),$AM$1006:$BM$1006,0)), HYPERLINK("#",""), HYPERLINK(CONCATENATE("#metadata!", ADDRESS(INDEX($AH$2:$AH$1001,MATCH(ROWS($AF$2:AF480),$AF$2:$AF$1001,0),0), INDEX($AM$1004:$BM$1004,1,MATCH(COLUMNS($AM$1006:AQ1006),$AM$1006:$BM$1006,0)))),"Fix")))</f>
        <v xml:space="preserve"> </v>
      </c>
      <c r="G480" s="4" t="str">
        <f ca="1">IF(OR(INDEX($AG$2:$AG$1001,MATCH(ROWS($AF$2:AF480),$AF$2:$AF$1001,0),1)&gt;=100000,INDEX($AM$1005:$BM$1005,1,MATCH(COLUMNS($AM$1006:AR1006),$AM$1006:$BM$1006,0))&gt;=100000), " ",IF(INDEX($AM$2:$BM$1001,MATCH(ROWS($AF$2:AF480),$AF$2:$AF$1001,0),MATCH(COLUMNS($AM$1006:AR1006),$AM$1006:$BM$1006,0)), HYPERLINK("#",""), HYPERLINK(CONCATENATE("#metadata!", ADDRESS(INDEX($AH$2:$AH$1001,MATCH(ROWS($AF$2:AF480),$AF$2:$AF$1001,0),0), INDEX($AM$1004:$BM$1004,1,MATCH(COLUMNS($AM$1006:AR1006),$AM$1006:$BM$1006,0)))),"Fix")))</f>
        <v xml:space="preserve"> </v>
      </c>
      <c r="H480" s="4" t="str">
        <f ca="1">IF(OR(INDEX($AG$2:$AG$1001,MATCH(ROWS($AF$2:AF480),$AF$2:$AF$1001,0),1)&gt;=100000,INDEX($AM$1005:$BM$1005,1,MATCH(COLUMNS($AM$1006:AS1006),$AM$1006:$BM$1006,0))&gt;=100000), " ",IF(INDEX($AM$2:$BM$1001,MATCH(ROWS($AF$2:AF480),$AF$2:$AF$1001,0),MATCH(COLUMNS($AM$1006:AS1006),$AM$1006:$BM$1006,0)), HYPERLINK("#",""), HYPERLINK(CONCATENATE("#metadata!", ADDRESS(INDEX($AH$2:$AH$1001,MATCH(ROWS($AF$2:AF480),$AF$2:$AF$1001,0),0), INDEX($AM$1004:$BM$1004,1,MATCH(COLUMNS($AM$1006:AS1006),$AM$1006:$BM$1006,0)))),"Fix")))</f>
        <v xml:space="preserve"> </v>
      </c>
      <c r="I480" s="4" t="str">
        <f ca="1">IF(OR(INDEX($AG$2:$AG$1001,MATCH(ROWS($AF$2:AF480),$AF$2:$AF$1001,0),1)&gt;=100000,INDEX($AM$1005:$BM$1005,1,MATCH(COLUMNS($AM$1006:AT1006),$AM$1006:$BM$1006,0))&gt;=100000), " ",IF(INDEX($AM$2:$BM$1001,MATCH(ROWS($AF$2:AF480),$AF$2:$AF$1001,0),MATCH(COLUMNS($AM$1006:AT1006),$AM$1006:$BM$1006,0)), HYPERLINK("#",""), HYPERLINK(CONCATENATE("#metadata!", ADDRESS(INDEX($AH$2:$AH$1001,MATCH(ROWS($AF$2:AF480),$AF$2:$AF$1001,0),0), INDEX($AM$1004:$BM$1004,1,MATCH(COLUMNS($AM$1006:AT1006),$AM$1006:$BM$1006,0)))),"Fix")))</f>
        <v xml:space="preserve"> </v>
      </c>
      <c r="J480" s="4" t="str">
        <f ca="1">IF(OR(INDEX($AG$2:$AG$1001,MATCH(ROWS($AF$2:AF480),$AF$2:$AF$1001,0),1)&gt;=100000,INDEX($AM$1005:$BM$1005,1,MATCH(COLUMNS($AM$1006:AU1006),$AM$1006:$BM$1006,0))&gt;=100000), " ",IF(INDEX($AM$2:$BM$1001,MATCH(ROWS($AF$2:AF480),$AF$2:$AF$1001,0),MATCH(COLUMNS($AM$1006:AU1006),$AM$1006:$BM$1006,0)), HYPERLINK("#",""), HYPERLINK(CONCATENATE("#metadata!", ADDRESS(INDEX($AH$2:$AH$1001,MATCH(ROWS($AF$2:AF480),$AF$2:$AF$1001,0),0), INDEX($AM$1004:$BM$1004,1,MATCH(COLUMNS($AM$1006:AU1006),$AM$1006:$BM$1006,0)))),"Fix")))</f>
        <v xml:space="preserve"> </v>
      </c>
      <c r="K480" s="4" t="str">
        <f ca="1">IF(OR(INDEX($AG$2:$AG$1001,MATCH(ROWS($AF$2:AF480),$AF$2:$AF$1001,0),1)&gt;=100000,INDEX($AM$1005:$BM$1005,1,MATCH(COLUMNS($AM$1006:AV1006),$AM$1006:$BM$1006,0))&gt;=100000), " ",IF(INDEX($AM$2:$BM$1001,MATCH(ROWS($AF$2:AF480),$AF$2:$AF$1001,0),MATCH(COLUMNS($AM$1006:AV1006),$AM$1006:$BM$1006,0)), HYPERLINK("#",""), HYPERLINK(CONCATENATE("#metadata!", ADDRESS(INDEX($AH$2:$AH$1001,MATCH(ROWS($AF$2:AF480),$AF$2:$AF$1001,0),0), INDEX($AM$1004:$BM$1004,1,MATCH(COLUMNS($AM$1006:AV1006),$AM$1006:$BM$1006,0)))),"Fix")))</f>
        <v xml:space="preserve"> </v>
      </c>
      <c r="L480" s="4" t="str">
        <f ca="1">IF(OR(INDEX($AG$2:$AG$1001,MATCH(ROWS($AF$2:AF480),$AF$2:$AF$1001,0),1)&gt;=100000,INDEX($AM$1005:$BM$1005,1,MATCH(COLUMNS($AM$1006:AW1006),$AM$1006:$BM$1006,0))&gt;=100000), " ",IF(INDEX($AM$2:$BM$1001,MATCH(ROWS($AF$2:AF480),$AF$2:$AF$1001,0),MATCH(COLUMNS($AM$1006:AW1006),$AM$1006:$BM$1006,0)), HYPERLINK("#",""), HYPERLINK(CONCATENATE("#metadata!", ADDRESS(INDEX($AH$2:$AH$1001,MATCH(ROWS($AF$2:AF480),$AF$2:$AF$1001,0),0), INDEX($AM$1004:$BM$1004,1,MATCH(COLUMNS($AM$1006:AW1006),$AM$1006:$BM$1006,0)))),"Fix")))</f>
        <v xml:space="preserve"> </v>
      </c>
      <c r="M480" s="4" t="str">
        <f ca="1">IF(OR(INDEX($AG$2:$AG$1001,MATCH(ROWS($AF$2:AF480),$AF$2:$AF$1001,0),1)&gt;=100000,INDEX($AM$1005:$BM$1005,1,MATCH(COLUMNS($AM$1006:AX1006),$AM$1006:$BM$1006,0))&gt;=100000), " ",IF(INDEX($AM$2:$BM$1001,MATCH(ROWS($AF$2:AF480),$AF$2:$AF$1001,0),MATCH(COLUMNS($AM$1006:AX1006),$AM$1006:$BM$1006,0)), HYPERLINK("#",""), HYPERLINK(CONCATENATE("#metadata!", ADDRESS(INDEX($AH$2:$AH$1001,MATCH(ROWS($AF$2:AF480),$AF$2:$AF$1001,0),0), INDEX($AM$1004:$BM$1004,1,MATCH(COLUMNS($AM$1006:AX1006),$AM$1006:$BM$1006,0)))),"Fix")))</f>
        <v xml:space="preserve"> </v>
      </c>
      <c r="N480" s="4" t="str">
        <f ca="1">IF(OR(INDEX($AG$2:$AG$1001,MATCH(ROWS($AF$2:AF480),$AF$2:$AF$1001,0),1)&gt;=100000,INDEX($AM$1005:$BM$1005,1,MATCH(COLUMNS($AM$1006:AY1006),$AM$1006:$BM$1006,0))&gt;=100000), " ",IF(INDEX($AM$2:$BM$1001,MATCH(ROWS($AF$2:AF480),$AF$2:$AF$1001,0),MATCH(COLUMNS($AM$1006:AY1006),$AM$1006:$BM$1006,0)), HYPERLINK("#",""), HYPERLINK(CONCATENATE("#metadata!", ADDRESS(INDEX($AH$2:$AH$1001,MATCH(ROWS($AF$2:AF480),$AF$2:$AF$1001,0),0), INDEX($AM$1004:$BM$1004,1,MATCH(COLUMNS($AM$1006:AY1006),$AM$1006:$BM$1006,0)))),"Fix")))</f>
        <v xml:space="preserve"> </v>
      </c>
      <c r="O480" s="4" t="str">
        <f ca="1">IF(OR(INDEX($AG$2:$AG$1001,MATCH(ROWS($AF$2:AF480),$AF$2:$AF$1001,0),1)&gt;=100000,INDEX($AM$1005:$BM$1005,1,MATCH(COLUMNS($AM$1006:AZ1006),$AM$1006:$BM$1006,0))&gt;=100000), " ",IF(INDEX($AM$2:$BM$1001,MATCH(ROWS($AF$2:AF480),$AF$2:$AF$1001,0),MATCH(COLUMNS($AM$1006:AZ1006),$AM$1006:$BM$1006,0)), HYPERLINK("#",""), HYPERLINK(CONCATENATE("#metadata!", ADDRESS(INDEX($AH$2:$AH$1001,MATCH(ROWS($AF$2:AF480),$AF$2:$AF$1001,0),0), INDEX($AM$1004:$BM$1004,1,MATCH(COLUMNS($AM$1006:AZ1006),$AM$1006:$BM$1006,0)))),"Fix")))</f>
        <v xml:space="preserve"> </v>
      </c>
      <c r="P480" s="4" t="str">
        <f ca="1">IF(OR(INDEX($AG$2:$AG$1001,MATCH(ROWS($AF$2:AF480),$AF$2:$AF$1001,0),1)&gt;=100000,INDEX($AM$1005:$BM$1005,1,MATCH(COLUMNS($AM$1006:BA1006),$AM$1006:$BM$1006,0))&gt;=100000), " ",IF(INDEX($AM$2:$BM$1001,MATCH(ROWS($AF$2:AF480),$AF$2:$AF$1001,0),MATCH(COLUMNS($AM$1006:BA1006),$AM$1006:$BM$1006,0)), HYPERLINK("#",""), HYPERLINK(CONCATENATE("#metadata!", ADDRESS(INDEX($AH$2:$AH$1001,MATCH(ROWS($AF$2:AF480),$AF$2:$AF$1001,0),0), INDEX($AM$1004:$BM$1004,1,MATCH(COLUMNS($AM$1006:BA1006),$AM$1006:$BM$1006,0)))),"Fix")))</f>
        <v xml:space="preserve"> </v>
      </c>
      <c r="Q480" s="4" t="str">
        <f ca="1">IF(OR(INDEX($AG$2:$AG$1001,MATCH(ROWS($AF$2:AF480),$AF$2:$AF$1001,0),1)&gt;=100000,INDEX($AM$1005:$BM$1005,1,MATCH(COLUMNS($AM$1006:BB1006),$AM$1006:$BM$1006,0))&gt;=100000), " ",IF(INDEX($AM$2:$BM$1001,MATCH(ROWS($AF$2:AF480),$AF$2:$AF$1001,0),MATCH(COLUMNS($AM$1006:BB1006),$AM$1006:$BM$1006,0)), HYPERLINK("#",""), HYPERLINK(CONCATENATE("#metadata!", ADDRESS(INDEX($AH$2:$AH$1001,MATCH(ROWS($AF$2:AF480),$AF$2:$AF$1001,0),0), INDEX($AM$1004:$BM$1004,1,MATCH(COLUMNS($AM$1006:BB1006),$AM$1006:$BM$1006,0)))),"Fix")))</f>
        <v xml:space="preserve"> </v>
      </c>
      <c r="R480" s="4" t="str">
        <f ca="1">IF(OR(INDEX($AG$2:$AG$1001,MATCH(ROWS($AF$2:AF480),$AF$2:$AF$1001,0),1)&gt;=100000,INDEX($AM$1005:$BM$1005,1,MATCH(COLUMNS($AM$1006:BC1006),$AM$1006:$BM$1006,0))&gt;=100000), " ",IF(INDEX($AM$2:$BM$1001,MATCH(ROWS($AF$2:AF480),$AF$2:$AF$1001,0),MATCH(COLUMNS($AM$1006:BC1006),$AM$1006:$BM$1006,0)), HYPERLINK("#",""), HYPERLINK(CONCATENATE("#metadata!", ADDRESS(INDEX($AH$2:$AH$1001,MATCH(ROWS($AF$2:AF480),$AF$2:$AF$1001,0),0), INDEX($AM$1004:$BM$1004,1,MATCH(COLUMNS($AM$1006:BC1006),$AM$1006:$BM$1006,0)))),"Fix")))</f>
        <v xml:space="preserve"> </v>
      </c>
      <c r="S480" s="4" t="str">
        <f ca="1">IF(OR(INDEX($AG$2:$AG$1001,MATCH(ROWS($AF$2:AF480),$AF$2:$AF$1001,0),1)&gt;=100000,INDEX($AM$1005:$BM$1005,1,MATCH(COLUMNS($AM$1006:BD1006),$AM$1006:$BM$1006,0))&gt;=100000), " ",IF(INDEX($AM$2:$BM$1001,MATCH(ROWS($AF$2:AF480),$AF$2:$AF$1001,0),MATCH(COLUMNS($AM$1006:BD1006),$AM$1006:$BM$1006,0)), HYPERLINK("#",""), HYPERLINK(CONCATENATE("#metadata!", ADDRESS(INDEX($AH$2:$AH$1001,MATCH(ROWS($AF$2:AF480),$AF$2:$AF$1001,0),0), INDEX($AM$1004:$BM$1004,1,MATCH(COLUMNS($AM$1006:BD1006),$AM$1006:$BM$1006,0)))),"Fix")))</f>
        <v xml:space="preserve"> </v>
      </c>
      <c r="T480" s="4" t="str">
        <f ca="1">IF(OR(INDEX($AG$2:$AG$1001,MATCH(ROWS($AF$2:AF480),$AF$2:$AF$1001,0),1)&gt;=100000,INDEX($AM$1005:$BM$1005,1,MATCH(COLUMNS($AM$1006:BE1006),$AM$1006:$BM$1006,0))&gt;=100000), " ",IF(INDEX($AM$2:$BM$1001,MATCH(ROWS($AF$2:AF480),$AF$2:$AF$1001,0),MATCH(COLUMNS($AM$1006:BE1006),$AM$1006:$BM$1006,0)), HYPERLINK("#",""), HYPERLINK(CONCATENATE("#metadata!", ADDRESS(INDEX($AH$2:$AH$1001,MATCH(ROWS($AF$2:AF480),$AF$2:$AF$1001,0),0), INDEX($AM$1004:$BM$1004,1,MATCH(COLUMNS($AM$1006:BE1006),$AM$1006:$BM$1006,0)))),"Fix")))</f>
        <v xml:space="preserve"> </v>
      </c>
      <c r="U480" s="4" t="str">
        <f ca="1">IF(OR(INDEX($AG$2:$AG$1001,MATCH(ROWS($AF$2:AF480),$AF$2:$AF$1001,0),1)&gt;=100000,INDEX($AM$1005:$BM$1005,1,MATCH(COLUMNS($AM$1006:BF1006),$AM$1006:$BM$1006,0))&gt;=100000), " ",IF(INDEX($AM$2:$BM$1001,MATCH(ROWS($AF$2:AF480),$AF$2:$AF$1001,0),MATCH(COLUMNS($AM$1006:BF1006),$AM$1006:$BM$1006,0)), HYPERLINK("#",""), HYPERLINK(CONCATENATE("#metadata!", ADDRESS(INDEX($AH$2:$AH$1001,MATCH(ROWS($AF$2:AF480),$AF$2:$AF$1001,0),0), INDEX($AM$1004:$BM$1004,1,MATCH(COLUMNS($AM$1006:BF1006),$AM$1006:$BM$1006,0)))),"Fix")))</f>
        <v xml:space="preserve"> </v>
      </c>
      <c r="V480" s="4" t="str">
        <f ca="1">IF(OR(INDEX($AG$2:$AG$1001,MATCH(ROWS($AF$2:AF480),$AF$2:$AF$1001,0),1)&gt;=100000,INDEX($AM$1005:$BM$1005,1,MATCH(COLUMNS($AM$1006:BG1006),$AM$1006:$BM$1006,0))&gt;=100000), " ",IF(INDEX($AM$2:$BM$1001,MATCH(ROWS($AF$2:AF480),$AF$2:$AF$1001,0),MATCH(COLUMNS($AM$1006:BG1006),$AM$1006:$BM$1006,0)), HYPERLINK("#",""), HYPERLINK(CONCATENATE("#metadata!", ADDRESS(INDEX($AH$2:$AH$1001,MATCH(ROWS($AF$2:AF480),$AF$2:$AF$1001,0),0), INDEX($AM$1004:$BM$1004,1,MATCH(COLUMNS($AM$1006:BG1006),$AM$1006:$BM$1006,0)))),"Fix")))</f>
        <v xml:space="preserve"> </v>
      </c>
      <c r="W480" s="4" t="str">
        <f ca="1">IF(OR(INDEX($AG$2:$AG$1001,MATCH(ROWS($AF$2:AF480),$AF$2:$AF$1001,0),1)&gt;=100000,INDEX($AM$1005:$BM$1005,1,MATCH(COLUMNS($AM$1006:BH1006),$AM$1006:$BM$1006,0))&gt;=100000), " ",IF(INDEX($AM$2:$BM$1001,MATCH(ROWS($AF$2:AF480),$AF$2:$AF$1001,0),MATCH(COLUMNS($AM$1006:BH1006),$AM$1006:$BM$1006,0)), HYPERLINK("#",""), HYPERLINK(CONCATENATE("#metadata!", ADDRESS(INDEX($AH$2:$AH$1001,MATCH(ROWS($AF$2:AF480),$AF$2:$AF$1001,0),0), INDEX($AM$1004:$BM$1004,1,MATCH(COLUMNS($AM$1006:BH1006),$AM$1006:$BM$1006,0)))),"Fix")))</f>
        <v xml:space="preserve"> </v>
      </c>
      <c r="X480" s="4" t="str">
        <f ca="1">IF(OR(INDEX($AG$2:$AG$1001,MATCH(ROWS($AF$2:AF480),$AF$2:$AF$1001,0),1)&gt;=100000,INDEX($AM$1005:$BM$1005,1,MATCH(COLUMNS($AM$1006:BI1006),$AM$1006:$BM$1006,0))&gt;=100000), " ",IF(INDEX($AM$2:$BM$1001,MATCH(ROWS($AF$2:AF480),$AF$2:$AF$1001,0),MATCH(COLUMNS($AM$1006:BI1006),$AM$1006:$BM$1006,0)), HYPERLINK("#",""), HYPERLINK(CONCATENATE("#metadata!", ADDRESS(INDEX($AH$2:$AH$1001,MATCH(ROWS($AF$2:AF480),$AF$2:$AF$1001,0),0), INDEX($AM$1004:$BM$1004,1,MATCH(COLUMNS($AM$1006:BI1006),$AM$1006:$BM$1006,0)))),"Fix")))</f>
        <v xml:space="preserve"> </v>
      </c>
      <c r="Y480" s="4" t="str">
        <f ca="1">IF(OR(INDEX($AG$2:$AG$1001,MATCH(ROWS($AF$2:AF480),$AF$2:$AF$1001,0),1)&gt;=100000,INDEX($AM$1005:$BM$1005,1,MATCH(COLUMNS($AM$1006:BJ1006),$AM$1006:$BM$1006,0))&gt;=100000), " ",IF(INDEX($AM$2:$BM$1001,MATCH(ROWS($AF$2:AF480),$AF$2:$AF$1001,0),MATCH(COLUMNS($AM$1006:BJ1006),$AM$1006:$BM$1006,0)), HYPERLINK("#",""), HYPERLINK(CONCATENATE("#metadata!", ADDRESS(INDEX($AH$2:$AH$1001,MATCH(ROWS($AF$2:AF480),$AF$2:$AF$1001,0),0), INDEX($AM$1004:$BM$1004,1,MATCH(COLUMNS($AM$1006:BJ1006),$AM$1006:$BM$1006,0)))),"Fix")))</f>
        <v xml:space="preserve"> </v>
      </c>
      <c r="Z480" s="4" t="str">
        <f ca="1">IF(OR(INDEX($AG$2:$AG$1001,MATCH(ROWS($AF$2:AF480),$AF$2:$AF$1001,0),1)&gt;=100000,INDEX($AM$1005:$BM$1005,1,MATCH(COLUMNS($AM$1006:BK1006),$AM$1006:$BM$1006,0))&gt;=100000), " ",IF(INDEX($AM$2:$BM$1001,MATCH(ROWS($AF$2:AF480),$AF$2:$AF$1001,0),MATCH(COLUMNS($AM$1006:BK1006),$AM$1006:$BM$1006,0)), HYPERLINK("#",""), HYPERLINK(CONCATENATE("#metadata!", ADDRESS(INDEX($AH$2:$AH$1001,MATCH(ROWS($AF$2:AF480),$AF$2:$AF$1001,0),0), INDEX($AM$1004:$BM$1004,1,MATCH(COLUMNS($AM$1006:BK1006),$AM$1006:$BM$1006,0)))),"Fix")))</f>
        <v xml:space="preserve"> </v>
      </c>
      <c r="AA480" s="4" t="str">
        <f ca="1">IF(OR(INDEX($AG$2:$AG$1001,MATCH(ROWS($AF$2:AF480),$AF$2:$AF$1001,0),1)&gt;=100000,INDEX($AM$1005:$BM$1005,1,MATCH(COLUMNS($AM$1006:BL1006),$AM$1006:$BM$1006,0))&gt;=100000), " ",IF(INDEX($AM$2:$BM$1001,MATCH(ROWS($AF$2:AF480),$AF$2:$AF$1001,0),MATCH(COLUMNS($AM$1006:BL1006),$AM$1006:$BM$1006,0)), HYPERLINK("#",""), HYPERLINK(CONCATENATE("#metadata!", ADDRESS(INDEX($AH$2:$AH$1001,MATCH(ROWS($AF$2:AF480),$AF$2:$AF$1001,0),0), INDEX($AM$1004:$BM$1004,1,MATCH(COLUMNS($AM$1006:BL1006),$AM$1006:$BM$1006,0)))),"Fix")))</f>
        <v xml:space="preserve"> </v>
      </c>
      <c r="AB480" s="4" t="str">
        <f ca="1">IF(OR(INDEX($AG$2:$AG$1001,MATCH(ROWS($AF$2:AF480),$AF$2:$AF$1001,0),1)&gt;=100000,INDEX($AM$1005:$BM$1005,1,MATCH(COLUMNS($AM$1006:BM1006),$AM$1006:$BM$1006,0))&gt;=100000), " ",IF(INDEX($AM$2:$BM$1001,MATCH(ROWS($AF$2:AF480),$AF$2:$AF$1001,0),MATCH(COLUMNS($AM$1006:BM1006),$AM$1006:$BM$1006,0)), HYPERLINK("#",""), HYPERLINK(CONCATENATE("#metadata!", ADDRESS(INDEX($AH$2:$AH$1001,MATCH(ROWS($AF$2:AF480),$AF$2:$AF$1001,0),0), INDEX($AM$1004:$BM$1004,1,MATCH(COLUMNS($AM$1006:BM1006),$AM$1006:$BM$1006,0)))),"Fix")))</f>
        <v xml:space="preserve"> </v>
      </c>
      <c r="AF480">
        <v>479</v>
      </c>
      <c r="AG480">
        <v>100480</v>
      </c>
      <c r="AH480">
        <v>480</v>
      </c>
      <c r="AI480" t="b">
        <f t="shared" si="7"/>
        <v>1</v>
      </c>
      <c r="AJ480" t="b">
        <f>COUNTBLANK(metadata!B480:AB480)=COLUMNS(metadata!B480:AB480)</f>
        <v>1</v>
      </c>
      <c r="AK480" t="str">
        <v/>
      </c>
      <c r="AM480" t="b">
        <f ca="1">AND(IF(metadata!B480="",FALSE,TRUE),COUNTIF(metadata!B:B, metadata!B480) = 1,NOT(ISERROR(SUMPRODUCT(SEARCH(MID(metadata!B480,ROW(INDIRECT("1:"&amp;LEN(metadata!B480))), 1),"0123456789abcdefghijklmnopqrstuvwxyzABCDEFGHIJKLMNOPQRSTUVWXYZ.")))))</f>
        <v>0</v>
      </c>
      <c r="AN480" t="b">
        <f ca="1">OR(AND(IF(metadata!C480="",FALSE,TRUE),OR(EXACT(metadata!C480,"missing: not collected"),EXACT(metadata!C480,"missing: not provided"),EXACT(metadata!C480,"missing: restricted access"))),AND(IF(metadata!C480="",FALSE,TRUE),AND(AND(IFERROR(INT(LEFT(metadata!C480,4))&gt;1900,FALSE),IFERROR(INT(LEFT(metadata!C480,4))&lt;=YEAR(NOW()),FALSE)), OR(MID(metadata!C480,5,1)="", AND(AND(MID(metadata!C480,5,1)="-",IFERROR(INT(MID(metadata!C480,6,1))&gt;=0,FALSE),IFERROR(INT(MID(metadata!C480,6,1))&lt;=1,FALSE),NOT(MID(metadata!C480,7,1)=""),IFERROR(INT(MID(metadata!C480,6,2))&gt;=1,FALSE),IFERROR(INT(MID(metadata!C480,6,2))&lt;=12,FALSE)), OR(MID(metadata!C480,8,1)="", AND(AND(MID(metadata!C480,8,1)="-",IFERROR(INT(MID(metadata!C480,9,1))&gt;=0,FALSE),IFERROR(INT(MID(metadata!C480,9,1))&lt;=3,FALSE),NOT(MID(metadata!C480,10,1)=""),IFERROR(INT(MID(metadata!C480,9,2))&gt;=1,FALSE),IFERROR(INT(MID(metadata!C480,9,2))&lt;=31,FALSE)), OR(MID(metadata!C480,11,1)="", AND(AND(MID(metadata!C480,11,1)=" ",IFERROR(INT(MID(metadata!C480,12,1))&gt;=0,FALSE),IFERROR(INT(MID(metadata!C480,12,1))&lt;=2,FALSE),NOT(MID(metadata!C480,13,1)=""),IFERROR(INT(MID(metadata!C480,12,2))&gt;=0,FALSE),IFERROR(INT(MID(metadata!C480,12,2))&lt;=23,FALSE)), OR(MID(metadata!C480,14,1)="", AND(AND(MID(metadata!C480,14,1)=":",IFERROR(INT(MID(metadata!C480,15,1))&gt;=0,FALSE),IFERROR(INT(MID(metadata!C480,15,1))&lt;=5,FALSE),NOT(MID(metadata!C480,16,1)=""),IFERROR(INT(MID(metadata!C480,15,2))&gt;=0,FALSE),IFERROR(INT(MID(metadata!C480,15,2))&lt;=59,FALSE)), OR(MID(metadata!C480,17,1)="", AND(AND(MID(metadata!C480,17,1)=":",IFERROR(INT(MID(metadata!C480,18,1))&gt;=0,FALSE),IFERROR(INT(MID(metadata!C480,18,1))&lt;=5,FALSE),NOT(MID(metadata!C480,19,1)=""),IFERROR(INT(MID(metadata!C480,18,2))&gt;=0,FALSE),IFERROR(INT(MID(metadata!C480,18,2))&lt;=59,FALSE)), LEN(metadata!C480)&lt;=19)))))))))))))</f>
        <v>0</v>
      </c>
      <c r="AO480" t="b">
        <f>AND(IF(metadata!D480="",FALSE,TRUE),EXACT(metadata!D480,"Not applicable"))</f>
        <v>0</v>
      </c>
      <c r="AP480" t="b">
        <f>IF(metadata!E480="",FALSE,TRUE)</f>
        <v>0</v>
      </c>
      <c r="AQ480" t="b">
        <f>OR(AND(IF(metadata!F480="",FALSE,TRUE),OR(EXACT(metadata!F480,"missing: not collected"),EXACT(metadata!F480,"missing: not provided"))),AND(IF(metadata!F480="",FALSE,TRUE),OR(EXACT(metadata!F480,"TRUE"),EXACT(metadata!F480,"FALSE"))))</f>
        <v>0</v>
      </c>
      <c r="AR480" t="b">
        <f>OR(AND(IF(metadata!G480="",FALSE,TRUE),OR(EXACT(metadata!G480,"missing: not collected"),EXACT(metadata!G480,"missing: not provided"),EXACT(metadata!G480,"missing: restricted access"))),AND(IF(metadata!G480="",FALSE,ISNUMBER(VALUE(metadata!G480))),metadata!G480&gt;=-413))</f>
        <v>0</v>
      </c>
      <c r="AS480" t="b">
        <f>AND(IF(metadata!H480="",FALSE,TRUE),EXACT(metadata!H480,"meters"))</f>
        <v>0</v>
      </c>
      <c r="AT480" t="b">
        <f>AND(IF(metadata!I480="",FALSE,TRUE),OR(EXACT(metadata!I480,"Host-associated"),EXACT(metadata!I480,"Free-living")))</f>
        <v>0</v>
      </c>
      <c r="AU480" t="b">
        <f>AND(IF(metadata!J480="",FALSE,TRUE),OR(EXACT(metadata!J480,"Animal"),EXACT(metadata!J480,"Fungus"),EXACT(metadata!J480,"Plant"),EXACT(metadata!J480,"Saline"),EXACT(metadata!J480,"Non-saline")))</f>
        <v>0</v>
      </c>
      <c r="AV480" t="b">
        <f>AND(IF(metadata!K480="",FALSE,TRUE),OR(EXACT(metadata!K480,"Plant secretion"),EXACT(metadata!K480,"Plant rhizosphere"),EXACT(metadata!K480,"Plant surface"),EXACT(metadata!K480,"Plant corpus"),EXACT(metadata!K480,"Fungus surface"),EXACT(metadata!K480,"Fungus corpus"),EXACT(metadata!K480,"Animal surface"),EXACT(metadata!K480,"Animal proximal gut"),EXACT(metadata!K480,"Animal corpus"),EXACT(metadata!K480,"Animal distal gut"),EXACT(metadata!K480,"Animal secretion"),EXACT(metadata!K480,"Sub-surface (non-saline)"),EXACT(metadata!K480,"Surface (non-saline)"),EXACT(metadata!K480,"Water (non-saline)"),EXACT(metadata!K480,"Soil (non-saline)"),EXACT(metadata!K480,"Aerosol (non-saline)"),EXACT(metadata!K480,"Sediment (non-saline)"),EXACT(metadata!K480,"Surface (saline)"),EXACT(metadata!K480,"Water (saline)"),EXACT(metadata!K480,"Hypersaline (saline)"),EXACT(metadata!K480,"Aerosol (saline)"),EXACT(metadata!K480,"Sediment (saline)")))</f>
        <v>0</v>
      </c>
      <c r="AW480" t="b">
        <f>IF(metadata!L480="",FALSE,TRUE)</f>
        <v>0</v>
      </c>
      <c r="AX480" t="b">
        <f>IF(metadata!M480="",FALSE,TRUE)</f>
        <v>0</v>
      </c>
      <c r="AY480" t="b">
        <f>IF(metadata!N480="",FALSE,TRUE)</f>
        <v>0</v>
      </c>
      <c r="AZ480" t="b">
        <f>OR(AND(IF(metadata!O480="",FALSE,TRUE),OR(EXACT(metadata!O480,"missing: not collected"),EXACT(metadata!O480,"missing: not provided"),EXACT(metadata!O480,"missing: restricted access"))),AND(IF(metadata!O480="",FALSE,TRUE),OR(EXACT(metadata!O480,"air"),EXACT(metadata!O480,"built environment"),EXACT(metadata!O480,"host-associated"),EXACT(metadata!O480,"human-associated"),EXACT(metadata!O480,"human-skin"),EXACT(metadata!O480,"human-oral"),EXACT(metadata!O480,"human-gut"),EXACT(metadata!O480,"human-vaginal"),EXACT(metadata!O480,"microbial mat/biofilm"),EXACT(metadata!O480,"misc environment"),EXACT(metadata!O480,"plant-associated"),EXACT(metadata!O480,"sediment"),EXACT(metadata!O480,"soil"),EXACT(metadata!O480,"wastewater/sludge"),EXACT(metadata!O480,"water"))))</f>
        <v>0</v>
      </c>
      <c r="BA480" t="b">
        <f>IF(metadata!P480="",FALSE,TRUE)</f>
        <v>0</v>
      </c>
      <c r="BB480" t="b">
        <f>IF(metadata!Q480="",FALSE,TRUE)</f>
        <v>0</v>
      </c>
      <c r="BC480" t="b">
        <f>OR(AND(IF(metadata!R480="",FALSE,TRUE),OR(EXACT(metadata!R480,"missing: not collected"),EXACT(metadata!R480,"missing: not provided"),EXACT(metadata!R480,"missing: restricted access"))),AND(IF(metadata!R480="",FALSE,ISNUMBER(VALUE(metadata!R480))),metadata!R480&gt;=-90,metadata!R480&lt;=90))</f>
        <v>0</v>
      </c>
      <c r="BD480" t="b">
        <f>AND(IF(metadata!S480="",FALSE,TRUE),EXACT(metadata!S480,"Decimal degrees"))</f>
        <v>0</v>
      </c>
      <c r="BE480" t="b">
        <f>OR(AND(IF(metadata!T480="",FALSE,TRUE),OR(EXACT(metadata!T480,"missing: not collected"),EXACT(metadata!T480,"missing: not provided"),EXACT(metadata!T480,"missing: restricted access"))),AND(IF(metadata!T480="",FALSE,ISNUMBER(VALUE(metadata!T480))),metadata!T480&gt;=-180,metadata!T480&lt;=180))</f>
        <v>0</v>
      </c>
      <c r="BF480" t="b">
        <f>AND(IF(metadata!U480="",FALSE,TRUE),EXACT(metadata!U480,"Decimal degrees"))</f>
        <v>0</v>
      </c>
      <c r="BG480" t="b">
        <f>IF(metadata!V480="",FALSE,TRUE)</f>
        <v>0</v>
      </c>
      <c r="BH480" t="b">
        <f>OR(AND(IF(metadata!W480="",FALSE,TRUE),OR(EXACT(metadata!W480,"missing: not collected"),EXACT(metadata!W480,"missing: not provided"),EXACT(metadata!W480,"missing: restricted access"))),AND(IF(metadata!W480="",FALSE,TRUE),OR(EXACT(metadata!W480,"TRUE"),EXACT(metadata!W480,"FALSE"))))</f>
        <v>0</v>
      </c>
      <c r="BI480" t="b">
        <f>AND(IF(metadata!X480="",FALSE,TRUE),EXACT(metadata!X480,"other"))</f>
        <v>0</v>
      </c>
      <c r="BJ480" t="b">
        <f>IF(metadata!Y480="",FALSE,TRUE)</f>
        <v>0</v>
      </c>
      <c r="BK480" t="b">
        <f>OR(AND(IF(metadata!Z480="",FALSE,TRUE),OR(EXACT(metadata!Z480,"missing: not collected"),EXACT(metadata!Z480,"missing: not provided"))),AND(IF(metadata!Z480="",FALSE,IF(ISERROR(INT(metadata!Z480)),FALSE,INT(metadata!Z480)=metadata!Z480)),metadata!Z480&gt;0))</f>
        <v>0</v>
      </c>
      <c r="BL480" t="b">
        <f>AND(IF(metadata!AA480="",FALSE,TRUE),EXACT(metadata!AA480,"Not applicable"))</f>
        <v>0</v>
      </c>
      <c r="BM480" t="b">
        <f>IF(metadata!AB480="",FALSE,TRUE)</f>
        <v>0</v>
      </c>
    </row>
    <row r="481" spans="1:65" x14ac:dyDescent="0.2">
      <c r="A481" s="5" t="str">
        <f ca="1">IF(B481=" "," ",HYPERLINK(CONCATENATE("#metadata!",ADDRESS(INDEX($AH$2:$AH$1001,MATCH(ROWS($AF$2:AF481),$AF$2:$AF$1001,0),0),1)),INDEX($AK$2:$AK$1001,MATCH(ROWS($AF$2:AF481),$AF$2:$AF$1001,0),0)))</f>
        <v xml:space="preserve"> </v>
      </c>
      <c r="B481" s="4" t="str">
        <f ca="1">IF(OR(INDEX($AG$2:$AG$1001,MATCH(ROWS($AF$2:AF481),$AF$2:$AF$1001,0),1)&gt;=100000,INDEX($AM$1005:$BM$1005,1,MATCH(COLUMNS($AM$1006:AM1006),$AM$1006:$BM$1006,0))&gt;=100000), " ",IF(INDEX($AM$2:$BM$1001,MATCH(ROWS($AF$2:AF481),$AF$2:$AF$1001,0),MATCH(COLUMNS($AM$1006:AM1006),$AM$1006:$BM$1006,0)), HYPERLINK("#",""), HYPERLINK(CONCATENATE("#metadata!", ADDRESS(INDEX($AH$2:$AH$1001,MATCH(ROWS($AF$2:AF481),$AF$2:$AF$1001,0),0), INDEX($AM$1004:$BM$1004,1,MATCH(COLUMNS($AM$1006:AM1006),$AM$1006:$BM$1006,0)))),"Fix")))</f>
        <v xml:space="preserve"> </v>
      </c>
      <c r="C481" s="4" t="str">
        <f ca="1">IF(OR(INDEX($AG$2:$AG$1001,MATCH(ROWS($AF$2:AF481),$AF$2:$AF$1001,0),1)&gt;=100000,INDEX($AM$1005:$BM$1005,1,MATCH(COLUMNS($AM$1006:AN1006),$AM$1006:$BM$1006,0))&gt;=100000), " ",IF(INDEX($AM$2:$BM$1001,MATCH(ROWS($AF$2:AF481),$AF$2:$AF$1001,0),MATCH(COLUMNS($AM$1006:AN1006),$AM$1006:$BM$1006,0)), HYPERLINK("#",""), HYPERLINK(CONCATENATE("#metadata!", ADDRESS(INDEX($AH$2:$AH$1001,MATCH(ROWS($AF$2:AF481),$AF$2:$AF$1001,0),0), INDEX($AM$1004:$BM$1004,1,MATCH(COLUMNS($AM$1006:AN1006),$AM$1006:$BM$1006,0)))),"Fix")))</f>
        <v xml:space="preserve"> </v>
      </c>
      <c r="D481" s="4" t="str">
        <f ca="1">IF(OR(INDEX($AG$2:$AG$1001,MATCH(ROWS($AF$2:AF481),$AF$2:$AF$1001,0),1)&gt;=100000,INDEX($AM$1005:$BM$1005,1,MATCH(COLUMNS($AM$1006:AO1006),$AM$1006:$BM$1006,0))&gt;=100000), " ",IF(INDEX($AM$2:$BM$1001,MATCH(ROWS($AF$2:AF481),$AF$2:$AF$1001,0),MATCH(COLUMNS($AM$1006:AO1006),$AM$1006:$BM$1006,0)), HYPERLINK("#",""), HYPERLINK(CONCATENATE("#metadata!", ADDRESS(INDEX($AH$2:$AH$1001,MATCH(ROWS($AF$2:AF481),$AF$2:$AF$1001,0),0), INDEX($AM$1004:$BM$1004,1,MATCH(COLUMNS($AM$1006:AO1006),$AM$1006:$BM$1006,0)))),"Fix")))</f>
        <v xml:space="preserve"> </v>
      </c>
      <c r="E481" s="4" t="str">
        <f ca="1">IF(OR(INDEX($AG$2:$AG$1001,MATCH(ROWS($AF$2:AF481),$AF$2:$AF$1001,0),1)&gt;=100000,INDEX($AM$1005:$BM$1005,1,MATCH(COLUMNS($AM$1006:AP1006),$AM$1006:$BM$1006,0))&gt;=100000), " ",IF(INDEX($AM$2:$BM$1001,MATCH(ROWS($AF$2:AF481),$AF$2:$AF$1001,0),MATCH(COLUMNS($AM$1006:AP1006),$AM$1006:$BM$1006,0)), HYPERLINK("#",""), HYPERLINK(CONCATENATE("#metadata!", ADDRESS(INDEX($AH$2:$AH$1001,MATCH(ROWS($AF$2:AF481),$AF$2:$AF$1001,0),0), INDEX($AM$1004:$BM$1004,1,MATCH(COLUMNS($AM$1006:AP1006),$AM$1006:$BM$1006,0)))),"Fix")))</f>
        <v xml:space="preserve"> </v>
      </c>
      <c r="F481" s="4" t="str">
        <f ca="1">IF(OR(INDEX($AG$2:$AG$1001,MATCH(ROWS($AF$2:AF481),$AF$2:$AF$1001,0),1)&gt;=100000,INDEX($AM$1005:$BM$1005,1,MATCH(COLUMNS($AM$1006:AQ1006),$AM$1006:$BM$1006,0))&gt;=100000), " ",IF(INDEX($AM$2:$BM$1001,MATCH(ROWS($AF$2:AF481),$AF$2:$AF$1001,0),MATCH(COLUMNS($AM$1006:AQ1006),$AM$1006:$BM$1006,0)), HYPERLINK("#",""), HYPERLINK(CONCATENATE("#metadata!", ADDRESS(INDEX($AH$2:$AH$1001,MATCH(ROWS($AF$2:AF481),$AF$2:$AF$1001,0),0), INDEX($AM$1004:$BM$1004,1,MATCH(COLUMNS($AM$1006:AQ1006),$AM$1006:$BM$1006,0)))),"Fix")))</f>
        <v xml:space="preserve"> </v>
      </c>
      <c r="G481" s="4" t="str">
        <f ca="1">IF(OR(INDEX($AG$2:$AG$1001,MATCH(ROWS($AF$2:AF481),$AF$2:$AF$1001,0),1)&gt;=100000,INDEX($AM$1005:$BM$1005,1,MATCH(COLUMNS($AM$1006:AR1006),$AM$1006:$BM$1006,0))&gt;=100000), " ",IF(INDEX($AM$2:$BM$1001,MATCH(ROWS($AF$2:AF481),$AF$2:$AF$1001,0),MATCH(COLUMNS($AM$1006:AR1006),$AM$1006:$BM$1006,0)), HYPERLINK("#",""), HYPERLINK(CONCATENATE("#metadata!", ADDRESS(INDEX($AH$2:$AH$1001,MATCH(ROWS($AF$2:AF481),$AF$2:$AF$1001,0),0), INDEX($AM$1004:$BM$1004,1,MATCH(COLUMNS($AM$1006:AR1006),$AM$1006:$BM$1006,0)))),"Fix")))</f>
        <v xml:space="preserve"> </v>
      </c>
      <c r="H481" s="4" t="str">
        <f ca="1">IF(OR(INDEX($AG$2:$AG$1001,MATCH(ROWS($AF$2:AF481),$AF$2:$AF$1001,0),1)&gt;=100000,INDEX($AM$1005:$BM$1005,1,MATCH(COLUMNS($AM$1006:AS1006),$AM$1006:$BM$1006,0))&gt;=100000), " ",IF(INDEX($AM$2:$BM$1001,MATCH(ROWS($AF$2:AF481),$AF$2:$AF$1001,0),MATCH(COLUMNS($AM$1006:AS1006),$AM$1006:$BM$1006,0)), HYPERLINK("#",""), HYPERLINK(CONCATENATE("#metadata!", ADDRESS(INDEX($AH$2:$AH$1001,MATCH(ROWS($AF$2:AF481),$AF$2:$AF$1001,0),0), INDEX($AM$1004:$BM$1004,1,MATCH(COLUMNS($AM$1006:AS1006),$AM$1006:$BM$1006,0)))),"Fix")))</f>
        <v xml:space="preserve"> </v>
      </c>
      <c r="I481" s="4" t="str">
        <f ca="1">IF(OR(INDEX($AG$2:$AG$1001,MATCH(ROWS($AF$2:AF481),$AF$2:$AF$1001,0),1)&gt;=100000,INDEX($AM$1005:$BM$1005,1,MATCH(COLUMNS($AM$1006:AT1006),$AM$1006:$BM$1006,0))&gt;=100000), " ",IF(INDEX($AM$2:$BM$1001,MATCH(ROWS($AF$2:AF481),$AF$2:$AF$1001,0),MATCH(COLUMNS($AM$1006:AT1006),$AM$1006:$BM$1006,0)), HYPERLINK("#",""), HYPERLINK(CONCATENATE("#metadata!", ADDRESS(INDEX($AH$2:$AH$1001,MATCH(ROWS($AF$2:AF481),$AF$2:$AF$1001,0),0), INDEX($AM$1004:$BM$1004,1,MATCH(COLUMNS($AM$1006:AT1006),$AM$1006:$BM$1006,0)))),"Fix")))</f>
        <v xml:space="preserve"> </v>
      </c>
      <c r="J481" s="4" t="str">
        <f ca="1">IF(OR(INDEX($AG$2:$AG$1001,MATCH(ROWS($AF$2:AF481),$AF$2:$AF$1001,0),1)&gt;=100000,INDEX($AM$1005:$BM$1005,1,MATCH(COLUMNS($AM$1006:AU1006),$AM$1006:$BM$1006,0))&gt;=100000), " ",IF(INDEX($AM$2:$BM$1001,MATCH(ROWS($AF$2:AF481),$AF$2:$AF$1001,0),MATCH(COLUMNS($AM$1006:AU1006),$AM$1006:$BM$1006,0)), HYPERLINK("#",""), HYPERLINK(CONCATENATE("#metadata!", ADDRESS(INDEX($AH$2:$AH$1001,MATCH(ROWS($AF$2:AF481),$AF$2:$AF$1001,0),0), INDEX($AM$1004:$BM$1004,1,MATCH(COLUMNS($AM$1006:AU1006),$AM$1006:$BM$1006,0)))),"Fix")))</f>
        <v xml:space="preserve"> </v>
      </c>
      <c r="K481" s="4" t="str">
        <f ca="1">IF(OR(INDEX($AG$2:$AG$1001,MATCH(ROWS($AF$2:AF481),$AF$2:$AF$1001,0),1)&gt;=100000,INDEX($AM$1005:$BM$1005,1,MATCH(COLUMNS($AM$1006:AV1006),$AM$1006:$BM$1006,0))&gt;=100000), " ",IF(INDEX($AM$2:$BM$1001,MATCH(ROWS($AF$2:AF481),$AF$2:$AF$1001,0),MATCH(COLUMNS($AM$1006:AV1006),$AM$1006:$BM$1006,0)), HYPERLINK("#",""), HYPERLINK(CONCATENATE("#metadata!", ADDRESS(INDEX($AH$2:$AH$1001,MATCH(ROWS($AF$2:AF481),$AF$2:$AF$1001,0),0), INDEX($AM$1004:$BM$1004,1,MATCH(COLUMNS($AM$1006:AV1006),$AM$1006:$BM$1006,0)))),"Fix")))</f>
        <v xml:space="preserve"> </v>
      </c>
      <c r="L481" s="4" t="str">
        <f ca="1">IF(OR(INDEX($AG$2:$AG$1001,MATCH(ROWS($AF$2:AF481),$AF$2:$AF$1001,0),1)&gt;=100000,INDEX($AM$1005:$BM$1005,1,MATCH(COLUMNS($AM$1006:AW1006),$AM$1006:$BM$1006,0))&gt;=100000), " ",IF(INDEX($AM$2:$BM$1001,MATCH(ROWS($AF$2:AF481),$AF$2:$AF$1001,0),MATCH(COLUMNS($AM$1006:AW1006),$AM$1006:$BM$1006,0)), HYPERLINK("#",""), HYPERLINK(CONCATENATE("#metadata!", ADDRESS(INDEX($AH$2:$AH$1001,MATCH(ROWS($AF$2:AF481),$AF$2:$AF$1001,0),0), INDEX($AM$1004:$BM$1004,1,MATCH(COLUMNS($AM$1006:AW1006),$AM$1006:$BM$1006,0)))),"Fix")))</f>
        <v xml:space="preserve"> </v>
      </c>
      <c r="M481" s="4" t="str">
        <f ca="1">IF(OR(INDEX($AG$2:$AG$1001,MATCH(ROWS($AF$2:AF481),$AF$2:$AF$1001,0),1)&gt;=100000,INDEX($AM$1005:$BM$1005,1,MATCH(COLUMNS($AM$1006:AX1006),$AM$1006:$BM$1006,0))&gt;=100000), " ",IF(INDEX($AM$2:$BM$1001,MATCH(ROWS($AF$2:AF481),$AF$2:$AF$1001,0),MATCH(COLUMNS($AM$1006:AX1006),$AM$1006:$BM$1006,0)), HYPERLINK("#",""), HYPERLINK(CONCATENATE("#metadata!", ADDRESS(INDEX($AH$2:$AH$1001,MATCH(ROWS($AF$2:AF481),$AF$2:$AF$1001,0),0), INDEX($AM$1004:$BM$1004,1,MATCH(COLUMNS($AM$1006:AX1006),$AM$1006:$BM$1006,0)))),"Fix")))</f>
        <v xml:space="preserve"> </v>
      </c>
      <c r="N481" s="4" t="str">
        <f ca="1">IF(OR(INDEX($AG$2:$AG$1001,MATCH(ROWS($AF$2:AF481),$AF$2:$AF$1001,0),1)&gt;=100000,INDEX($AM$1005:$BM$1005,1,MATCH(COLUMNS($AM$1006:AY1006),$AM$1006:$BM$1006,0))&gt;=100000), " ",IF(INDEX($AM$2:$BM$1001,MATCH(ROWS($AF$2:AF481),$AF$2:$AF$1001,0),MATCH(COLUMNS($AM$1006:AY1006),$AM$1006:$BM$1006,0)), HYPERLINK("#",""), HYPERLINK(CONCATENATE("#metadata!", ADDRESS(INDEX($AH$2:$AH$1001,MATCH(ROWS($AF$2:AF481),$AF$2:$AF$1001,0),0), INDEX($AM$1004:$BM$1004,1,MATCH(COLUMNS($AM$1006:AY1006),$AM$1006:$BM$1006,0)))),"Fix")))</f>
        <v xml:space="preserve"> </v>
      </c>
      <c r="O481" s="4" t="str">
        <f ca="1">IF(OR(INDEX($AG$2:$AG$1001,MATCH(ROWS($AF$2:AF481),$AF$2:$AF$1001,0),1)&gt;=100000,INDEX($AM$1005:$BM$1005,1,MATCH(COLUMNS($AM$1006:AZ1006),$AM$1006:$BM$1006,0))&gt;=100000), " ",IF(INDEX($AM$2:$BM$1001,MATCH(ROWS($AF$2:AF481),$AF$2:$AF$1001,0),MATCH(COLUMNS($AM$1006:AZ1006),$AM$1006:$BM$1006,0)), HYPERLINK("#",""), HYPERLINK(CONCATENATE("#metadata!", ADDRESS(INDEX($AH$2:$AH$1001,MATCH(ROWS($AF$2:AF481),$AF$2:$AF$1001,0),0), INDEX($AM$1004:$BM$1004,1,MATCH(COLUMNS($AM$1006:AZ1006),$AM$1006:$BM$1006,0)))),"Fix")))</f>
        <v xml:space="preserve"> </v>
      </c>
      <c r="P481" s="4" t="str">
        <f ca="1">IF(OR(INDEX($AG$2:$AG$1001,MATCH(ROWS($AF$2:AF481),$AF$2:$AF$1001,0),1)&gt;=100000,INDEX($AM$1005:$BM$1005,1,MATCH(COLUMNS($AM$1006:BA1006),$AM$1006:$BM$1006,0))&gt;=100000), " ",IF(INDEX($AM$2:$BM$1001,MATCH(ROWS($AF$2:AF481),$AF$2:$AF$1001,0),MATCH(COLUMNS($AM$1006:BA1006),$AM$1006:$BM$1006,0)), HYPERLINK("#",""), HYPERLINK(CONCATENATE("#metadata!", ADDRESS(INDEX($AH$2:$AH$1001,MATCH(ROWS($AF$2:AF481),$AF$2:$AF$1001,0),0), INDEX($AM$1004:$BM$1004,1,MATCH(COLUMNS($AM$1006:BA1006),$AM$1006:$BM$1006,0)))),"Fix")))</f>
        <v xml:space="preserve"> </v>
      </c>
      <c r="Q481" s="4" t="str">
        <f ca="1">IF(OR(INDEX($AG$2:$AG$1001,MATCH(ROWS($AF$2:AF481),$AF$2:$AF$1001,0),1)&gt;=100000,INDEX($AM$1005:$BM$1005,1,MATCH(COLUMNS($AM$1006:BB1006),$AM$1006:$BM$1006,0))&gt;=100000), " ",IF(INDEX($AM$2:$BM$1001,MATCH(ROWS($AF$2:AF481),$AF$2:$AF$1001,0),MATCH(COLUMNS($AM$1006:BB1006),$AM$1006:$BM$1006,0)), HYPERLINK("#",""), HYPERLINK(CONCATENATE("#metadata!", ADDRESS(INDEX($AH$2:$AH$1001,MATCH(ROWS($AF$2:AF481),$AF$2:$AF$1001,0),0), INDEX($AM$1004:$BM$1004,1,MATCH(COLUMNS($AM$1006:BB1006),$AM$1006:$BM$1006,0)))),"Fix")))</f>
        <v xml:space="preserve"> </v>
      </c>
      <c r="R481" s="4" t="str">
        <f ca="1">IF(OR(INDEX($AG$2:$AG$1001,MATCH(ROWS($AF$2:AF481),$AF$2:$AF$1001,0),1)&gt;=100000,INDEX($AM$1005:$BM$1005,1,MATCH(COLUMNS($AM$1006:BC1006),$AM$1006:$BM$1006,0))&gt;=100000), " ",IF(INDEX($AM$2:$BM$1001,MATCH(ROWS($AF$2:AF481),$AF$2:$AF$1001,0),MATCH(COLUMNS($AM$1006:BC1006),$AM$1006:$BM$1006,0)), HYPERLINK("#",""), HYPERLINK(CONCATENATE("#metadata!", ADDRESS(INDEX($AH$2:$AH$1001,MATCH(ROWS($AF$2:AF481),$AF$2:$AF$1001,0),0), INDEX($AM$1004:$BM$1004,1,MATCH(COLUMNS($AM$1006:BC1006),$AM$1006:$BM$1006,0)))),"Fix")))</f>
        <v xml:space="preserve"> </v>
      </c>
      <c r="S481" s="4" t="str">
        <f ca="1">IF(OR(INDEX($AG$2:$AG$1001,MATCH(ROWS($AF$2:AF481),$AF$2:$AF$1001,0),1)&gt;=100000,INDEX($AM$1005:$BM$1005,1,MATCH(COLUMNS($AM$1006:BD1006),$AM$1006:$BM$1006,0))&gt;=100000), " ",IF(INDEX($AM$2:$BM$1001,MATCH(ROWS($AF$2:AF481),$AF$2:$AF$1001,0),MATCH(COLUMNS($AM$1006:BD1006),$AM$1006:$BM$1006,0)), HYPERLINK("#",""), HYPERLINK(CONCATENATE("#metadata!", ADDRESS(INDEX($AH$2:$AH$1001,MATCH(ROWS($AF$2:AF481),$AF$2:$AF$1001,0),0), INDEX($AM$1004:$BM$1004,1,MATCH(COLUMNS($AM$1006:BD1006),$AM$1006:$BM$1006,0)))),"Fix")))</f>
        <v xml:space="preserve"> </v>
      </c>
      <c r="T481" s="4" t="str">
        <f ca="1">IF(OR(INDEX($AG$2:$AG$1001,MATCH(ROWS($AF$2:AF481),$AF$2:$AF$1001,0),1)&gt;=100000,INDEX($AM$1005:$BM$1005,1,MATCH(COLUMNS($AM$1006:BE1006),$AM$1006:$BM$1006,0))&gt;=100000), " ",IF(INDEX($AM$2:$BM$1001,MATCH(ROWS($AF$2:AF481),$AF$2:$AF$1001,0),MATCH(COLUMNS($AM$1006:BE1006),$AM$1006:$BM$1006,0)), HYPERLINK("#",""), HYPERLINK(CONCATENATE("#metadata!", ADDRESS(INDEX($AH$2:$AH$1001,MATCH(ROWS($AF$2:AF481),$AF$2:$AF$1001,0),0), INDEX($AM$1004:$BM$1004,1,MATCH(COLUMNS($AM$1006:BE1006),$AM$1006:$BM$1006,0)))),"Fix")))</f>
        <v xml:space="preserve"> </v>
      </c>
      <c r="U481" s="4" t="str">
        <f ca="1">IF(OR(INDEX($AG$2:$AG$1001,MATCH(ROWS($AF$2:AF481),$AF$2:$AF$1001,0),1)&gt;=100000,INDEX($AM$1005:$BM$1005,1,MATCH(COLUMNS($AM$1006:BF1006),$AM$1006:$BM$1006,0))&gt;=100000), " ",IF(INDEX($AM$2:$BM$1001,MATCH(ROWS($AF$2:AF481),$AF$2:$AF$1001,0),MATCH(COLUMNS($AM$1006:BF1006),$AM$1006:$BM$1006,0)), HYPERLINK("#",""), HYPERLINK(CONCATENATE("#metadata!", ADDRESS(INDEX($AH$2:$AH$1001,MATCH(ROWS($AF$2:AF481),$AF$2:$AF$1001,0),0), INDEX($AM$1004:$BM$1004,1,MATCH(COLUMNS($AM$1006:BF1006),$AM$1006:$BM$1006,0)))),"Fix")))</f>
        <v xml:space="preserve"> </v>
      </c>
      <c r="V481" s="4" t="str">
        <f ca="1">IF(OR(INDEX($AG$2:$AG$1001,MATCH(ROWS($AF$2:AF481),$AF$2:$AF$1001,0),1)&gt;=100000,INDEX($AM$1005:$BM$1005,1,MATCH(COLUMNS($AM$1006:BG1006),$AM$1006:$BM$1006,0))&gt;=100000), " ",IF(INDEX($AM$2:$BM$1001,MATCH(ROWS($AF$2:AF481),$AF$2:$AF$1001,0),MATCH(COLUMNS($AM$1006:BG1006),$AM$1006:$BM$1006,0)), HYPERLINK("#",""), HYPERLINK(CONCATENATE("#metadata!", ADDRESS(INDEX($AH$2:$AH$1001,MATCH(ROWS($AF$2:AF481),$AF$2:$AF$1001,0),0), INDEX($AM$1004:$BM$1004,1,MATCH(COLUMNS($AM$1006:BG1006),$AM$1006:$BM$1006,0)))),"Fix")))</f>
        <v xml:space="preserve"> </v>
      </c>
      <c r="W481" s="4" t="str">
        <f ca="1">IF(OR(INDEX($AG$2:$AG$1001,MATCH(ROWS($AF$2:AF481),$AF$2:$AF$1001,0),1)&gt;=100000,INDEX($AM$1005:$BM$1005,1,MATCH(COLUMNS($AM$1006:BH1006),$AM$1006:$BM$1006,0))&gt;=100000), " ",IF(INDEX($AM$2:$BM$1001,MATCH(ROWS($AF$2:AF481),$AF$2:$AF$1001,0),MATCH(COLUMNS($AM$1006:BH1006),$AM$1006:$BM$1006,0)), HYPERLINK("#",""), HYPERLINK(CONCATENATE("#metadata!", ADDRESS(INDEX($AH$2:$AH$1001,MATCH(ROWS($AF$2:AF481),$AF$2:$AF$1001,0),0), INDEX($AM$1004:$BM$1004,1,MATCH(COLUMNS($AM$1006:BH1006),$AM$1006:$BM$1006,0)))),"Fix")))</f>
        <v xml:space="preserve"> </v>
      </c>
      <c r="X481" s="4" t="str">
        <f ca="1">IF(OR(INDEX($AG$2:$AG$1001,MATCH(ROWS($AF$2:AF481),$AF$2:$AF$1001,0),1)&gt;=100000,INDEX($AM$1005:$BM$1005,1,MATCH(COLUMNS($AM$1006:BI1006),$AM$1006:$BM$1006,0))&gt;=100000), " ",IF(INDEX($AM$2:$BM$1001,MATCH(ROWS($AF$2:AF481),$AF$2:$AF$1001,0),MATCH(COLUMNS($AM$1006:BI1006),$AM$1006:$BM$1006,0)), HYPERLINK("#",""), HYPERLINK(CONCATENATE("#metadata!", ADDRESS(INDEX($AH$2:$AH$1001,MATCH(ROWS($AF$2:AF481),$AF$2:$AF$1001,0),0), INDEX($AM$1004:$BM$1004,1,MATCH(COLUMNS($AM$1006:BI1006),$AM$1006:$BM$1006,0)))),"Fix")))</f>
        <v xml:space="preserve"> </v>
      </c>
      <c r="Y481" s="4" t="str">
        <f ca="1">IF(OR(INDEX($AG$2:$AG$1001,MATCH(ROWS($AF$2:AF481),$AF$2:$AF$1001,0),1)&gt;=100000,INDEX($AM$1005:$BM$1005,1,MATCH(COLUMNS($AM$1006:BJ1006),$AM$1006:$BM$1006,0))&gt;=100000), " ",IF(INDEX($AM$2:$BM$1001,MATCH(ROWS($AF$2:AF481),$AF$2:$AF$1001,0),MATCH(COLUMNS($AM$1006:BJ1006),$AM$1006:$BM$1006,0)), HYPERLINK("#",""), HYPERLINK(CONCATENATE("#metadata!", ADDRESS(INDEX($AH$2:$AH$1001,MATCH(ROWS($AF$2:AF481),$AF$2:$AF$1001,0),0), INDEX($AM$1004:$BM$1004,1,MATCH(COLUMNS($AM$1006:BJ1006),$AM$1006:$BM$1006,0)))),"Fix")))</f>
        <v xml:space="preserve"> </v>
      </c>
      <c r="Z481" s="4" t="str">
        <f ca="1">IF(OR(INDEX($AG$2:$AG$1001,MATCH(ROWS($AF$2:AF481),$AF$2:$AF$1001,0),1)&gt;=100000,INDEX($AM$1005:$BM$1005,1,MATCH(COLUMNS($AM$1006:BK1006),$AM$1006:$BM$1006,0))&gt;=100000), " ",IF(INDEX($AM$2:$BM$1001,MATCH(ROWS($AF$2:AF481),$AF$2:$AF$1001,0),MATCH(COLUMNS($AM$1006:BK1006),$AM$1006:$BM$1006,0)), HYPERLINK("#",""), HYPERLINK(CONCATENATE("#metadata!", ADDRESS(INDEX($AH$2:$AH$1001,MATCH(ROWS($AF$2:AF481),$AF$2:$AF$1001,0),0), INDEX($AM$1004:$BM$1004,1,MATCH(COLUMNS($AM$1006:BK1006),$AM$1006:$BM$1006,0)))),"Fix")))</f>
        <v xml:space="preserve"> </v>
      </c>
      <c r="AA481" s="4" t="str">
        <f ca="1">IF(OR(INDEX($AG$2:$AG$1001,MATCH(ROWS($AF$2:AF481),$AF$2:$AF$1001,0),1)&gt;=100000,INDEX($AM$1005:$BM$1005,1,MATCH(COLUMNS($AM$1006:BL1006),$AM$1006:$BM$1006,0))&gt;=100000), " ",IF(INDEX($AM$2:$BM$1001,MATCH(ROWS($AF$2:AF481),$AF$2:$AF$1001,0),MATCH(COLUMNS($AM$1006:BL1006),$AM$1006:$BM$1006,0)), HYPERLINK("#",""), HYPERLINK(CONCATENATE("#metadata!", ADDRESS(INDEX($AH$2:$AH$1001,MATCH(ROWS($AF$2:AF481),$AF$2:$AF$1001,0),0), INDEX($AM$1004:$BM$1004,1,MATCH(COLUMNS($AM$1006:BL1006),$AM$1006:$BM$1006,0)))),"Fix")))</f>
        <v xml:space="preserve"> </v>
      </c>
      <c r="AB481" s="4" t="str">
        <f ca="1">IF(OR(INDEX($AG$2:$AG$1001,MATCH(ROWS($AF$2:AF481),$AF$2:$AF$1001,0),1)&gt;=100000,INDEX($AM$1005:$BM$1005,1,MATCH(COLUMNS($AM$1006:BM1006),$AM$1006:$BM$1006,0))&gt;=100000), " ",IF(INDEX($AM$2:$BM$1001,MATCH(ROWS($AF$2:AF481),$AF$2:$AF$1001,0),MATCH(COLUMNS($AM$1006:BM1006),$AM$1006:$BM$1006,0)), HYPERLINK("#",""), HYPERLINK(CONCATENATE("#metadata!", ADDRESS(INDEX($AH$2:$AH$1001,MATCH(ROWS($AF$2:AF481),$AF$2:$AF$1001,0),0), INDEX($AM$1004:$BM$1004,1,MATCH(COLUMNS($AM$1006:BM1006),$AM$1006:$BM$1006,0)))),"Fix")))</f>
        <v xml:space="preserve"> </v>
      </c>
      <c r="AF481">
        <v>480</v>
      </c>
      <c r="AG481">
        <v>100481</v>
      </c>
      <c r="AH481">
        <v>481</v>
      </c>
      <c r="AI481" t="b">
        <f t="shared" si="7"/>
        <v>1</v>
      </c>
      <c r="AJ481" t="b">
        <f>COUNTBLANK(metadata!B481:AB481)=COLUMNS(metadata!B481:AB481)</f>
        <v>1</v>
      </c>
      <c r="AK481" t="str">
        <v/>
      </c>
      <c r="AM481" t="b">
        <f ca="1">AND(IF(metadata!B481="",FALSE,TRUE),COUNTIF(metadata!B:B, metadata!B481) = 1,NOT(ISERROR(SUMPRODUCT(SEARCH(MID(metadata!B481,ROW(INDIRECT("1:"&amp;LEN(metadata!B481))), 1),"0123456789abcdefghijklmnopqrstuvwxyzABCDEFGHIJKLMNOPQRSTUVWXYZ.")))))</f>
        <v>0</v>
      </c>
      <c r="AN481" t="b">
        <f ca="1">OR(AND(IF(metadata!C481="",FALSE,TRUE),OR(EXACT(metadata!C481,"missing: not collected"),EXACT(metadata!C481,"missing: not provided"),EXACT(metadata!C481,"missing: restricted access"))),AND(IF(metadata!C481="",FALSE,TRUE),AND(AND(IFERROR(INT(LEFT(metadata!C481,4))&gt;1900,FALSE),IFERROR(INT(LEFT(metadata!C481,4))&lt;=YEAR(NOW()),FALSE)), OR(MID(metadata!C481,5,1)="", AND(AND(MID(metadata!C481,5,1)="-",IFERROR(INT(MID(metadata!C481,6,1))&gt;=0,FALSE),IFERROR(INT(MID(metadata!C481,6,1))&lt;=1,FALSE),NOT(MID(metadata!C481,7,1)=""),IFERROR(INT(MID(metadata!C481,6,2))&gt;=1,FALSE),IFERROR(INT(MID(metadata!C481,6,2))&lt;=12,FALSE)), OR(MID(metadata!C481,8,1)="", AND(AND(MID(metadata!C481,8,1)="-",IFERROR(INT(MID(metadata!C481,9,1))&gt;=0,FALSE),IFERROR(INT(MID(metadata!C481,9,1))&lt;=3,FALSE),NOT(MID(metadata!C481,10,1)=""),IFERROR(INT(MID(metadata!C481,9,2))&gt;=1,FALSE),IFERROR(INT(MID(metadata!C481,9,2))&lt;=31,FALSE)), OR(MID(metadata!C481,11,1)="", AND(AND(MID(metadata!C481,11,1)=" ",IFERROR(INT(MID(metadata!C481,12,1))&gt;=0,FALSE),IFERROR(INT(MID(metadata!C481,12,1))&lt;=2,FALSE),NOT(MID(metadata!C481,13,1)=""),IFERROR(INT(MID(metadata!C481,12,2))&gt;=0,FALSE),IFERROR(INT(MID(metadata!C481,12,2))&lt;=23,FALSE)), OR(MID(metadata!C481,14,1)="", AND(AND(MID(metadata!C481,14,1)=":",IFERROR(INT(MID(metadata!C481,15,1))&gt;=0,FALSE),IFERROR(INT(MID(metadata!C481,15,1))&lt;=5,FALSE),NOT(MID(metadata!C481,16,1)=""),IFERROR(INT(MID(metadata!C481,15,2))&gt;=0,FALSE),IFERROR(INT(MID(metadata!C481,15,2))&lt;=59,FALSE)), OR(MID(metadata!C481,17,1)="", AND(AND(MID(metadata!C481,17,1)=":",IFERROR(INT(MID(metadata!C481,18,1))&gt;=0,FALSE),IFERROR(INT(MID(metadata!C481,18,1))&lt;=5,FALSE),NOT(MID(metadata!C481,19,1)=""),IFERROR(INT(MID(metadata!C481,18,2))&gt;=0,FALSE),IFERROR(INT(MID(metadata!C481,18,2))&lt;=59,FALSE)), LEN(metadata!C481)&lt;=19)))))))))))))</f>
        <v>0</v>
      </c>
      <c r="AO481" t="b">
        <f>AND(IF(metadata!D481="",FALSE,TRUE),EXACT(metadata!D481,"Not applicable"))</f>
        <v>0</v>
      </c>
      <c r="AP481" t="b">
        <f>IF(metadata!E481="",FALSE,TRUE)</f>
        <v>0</v>
      </c>
      <c r="AQ481" t="b">
        <f>OR(AND(IF(metadata!F481="",FALSE,TRUE),OR(EXACT(metadata!F481,"missing: not collected"),EXACT(metadata!F481,"missing: not provided"))),AND(IF(metadata!F481="",FALSE,TRUE),OR(EXACT(metadata!F481,"TRUE"),EXACT(metadata!F481,"FALSE"))))</f>
        <v>0</v>
      </c>
      <c r="AR481" t="b">
        <f>OR(AND(IF(metadata!G481="",FALSE,TRUE),OR(EXACT(metadata!G481,"missing: not collected"),EXACT(metadata!G481,"missing: not provided"),EXACT(metadata!G481,"missing: restricted access"))),AND(IF(metadata!G481="",FALSE,ISNUMBER(VALUE(metadata!G481))),metadata!G481&gt;=-413))</f>
        <v>0</v>
      </c>
      <c r="AS481" t="b">
        <f>AND(IF(metadata!H481="",FALSE,TRUE),EXACT(metadata!H481,"meters"))</f>
        <v>0</v>
      </c>
      <c r="AT481" t="b">
        <f>AND(IF(metadata!I481="",FALSE,TRUE),OR(EXACT(metadata!I481,"Host-associated"),EXACT(metadata!I481,"Free-living")))</f>
        <v>0</v>
      </c>
      <c r="AU481" t="b">
        <f>AND(IF(metadata!J481="",FALSE,TRUE),OR(EXACT(metadata!J481,"Animal"),EXACT(metadata!J481,"Fungus"),EXACT(metadata!J481,"Plant"),EXACT(metadata!J481,"Saline"),EXACT(metadata!J481,"Non-saline")))</f>
        <v>0</v>
      </c>
      <c r="AV481" t="b">
        <f>AND(IF(metadata!K481="",FALSE,TRUE),OR(EXACT(metadata!K481,"Plant secretion"),EXACT(metadata!K481,"Plant rhizosphere"),EXACT(metadata!K481,"Plant surface"),EXACT(metadata!K481,"Plant corpus"),EXACT(metadata!K481,"Fungus surface"),EXACT(metadata!K481,"Fungus corpus"),EXACT(metadata!K481,"Animal surface"),EXACT(metadata!K481,"Animal proximal gut"),EXACT(metadata!K481,"Animal corpus"),EXACT(metadata!K481,"Animal distal gut"),EXACT(metadata!K481,"Animal secretion"),EXACT(metadata!K481,"Sub-surface (non-saline)"),EXACT(metadata!K481,"Surface (non-saline)"),EXACT(metadata!K481,"Water (non-saline)"),EXACT(metadata!K481,"Soil (non-saline)"),EXACT(metadata!K481,"Aerosol (non-saline)"),EXACT(metadata!K481,"Sediment (non-saline)"),EXACT(metadata!K481,"Surface (saline)"),EXACT(metadata!K481,"Water (saline)"),EXACT(metadata!K481,"Hypersaline (saline)"),EXACT(metadata!K481,"Aerosol (saline)"),EXACT(metadata!K481,"Sediment (saline)")))</f>
        <v>0</v>
      </c>
      <c r="AW481" t="b">
        <f>IF(metadata!L481="",FALSE,TRUE)</f>
        <v>0</v>
      </c>
      <c r="AX481" t="b">
        <f>IF(metadata!M481="",FALSE,TRUE)</f>
        <v>0</v>
      </c>
      <c r="AY481" t="b">
        <f>IF(metadata!N481="",FALSE,TRUE)</f>
        <v>0</v>
      </c>
      <c r="AZ481" t="b">
        <f>OR(AND(IF(metadata!O481="",FALSE,TRUE),OR(EXACT(metadata!O481,"missing: not collected"),EXACT(metadata!O481,"missing: not provided"),EXACT(metadata!O481,"missing: restricted access"))),AND(IF(metadata!O481="",FALSE,TRUE),OR(EXACT(metadata!O481,"air"),EXACT(metadata!O481,"built environment"),EXACT(metadata!O481,"host-associated"),EXACT(metadata!O481,"human-associated"),EXACT(metadata!O481,"human-skin"),EXACT(metadata!O481,"human-oral"),EXACT(metadata!O481,"human-gut"),EXACT(metadata!O481,"human-vaginal"),EXACT(metadata!O481,"microbial mat/biofilm"),EXACT(metadata!O481,"misc environment"),EXACT(metadata!O481,"plant-associated"),EXACT(metadata!O481,"sediment"),EXACT(metadata!O481,"soil"),EXACT(metadata!O481,"wastewater/sludge"),EXACT(metadata!O481,"water"))))</f>
        <v>0</v>
      </c>
      <c r="BA481" t="b">
        <f>IF(metadata!P481="",FALSE,TRUE)</f>
        <v>0</v>
      </c>
      <c r="BB481" t="b">
        <f>IF(metadata!Q481="",FALSE,TRUE)</f>
        <v>0</v>
      </c>
      <c r="BC481" t="b">
        <f>OR(AND(IF(metadata!R481="",FALSE,TRUE),OR(EXACT(metadata!R481,"missing: not collected"),EXACT(metadata!R481,"missing: not provided"),EXACT(metadata!R481,"missing: restricted access"))),AND(IF(metadata!R481="",FALSE,ISNUMBER(VALUE(metadata!R481))),metadata!R481&gt;=-90,metadata!R481&lt;=90))</f>
        <v>0</v>
      </c>
      <c r="BD481" t="b">
        <f>AND(IF(metadata!S481="",FALSE,TRUE),EXACT(metadata!S481,"Decimal degrees"))</f>
        <v>0</v>
      </c>
      <c r="BE481" t="b">
        <f>OR(AND(IF(metadata!T481="",FALSE,TRUE),OR(EXACT(metadata!T481,"missing: not collected"),EXACT(metadata!T481,"missing: not provided"),EXACT(metadata!T481,"missing: restricted access"))),AND(IF(metadata!T481="",FALSE,ISNUMBER(VALUE(metadata!T481))),metadata!T481&gt;=-180,metadata!T481&lt;=180))</f>
        <v>0</v>
      </c>
      <c r="BF481" t="b">
        <f>AND(IF(metadata!U481="",FALSE,TRUE),EXACT(metadata!U481,"Decimal degrees"))</f>
        <v>0</v>
      </c>
      <c r="BG481" t="b">
        <f>IF(metadata!V481="",FALSE,TRUE)</f>
        <v>0</v>
      </c>
      <c r="BH481" t="b">
        <f>OR(AND(IF(metadata!W481="",FALSE,TRUE),OR(EXACT(metadata!W481,"missing: not collected"),EXACT(metadata!W481,"missing: not provided"),EXACT(metadata!W481,"missing: restricted access"))),AND(IF(metadata!W481="",FALSE,TRUE),OR(EXACT(metadata!W481,"TRUE"),EXACT(metadata!W481,"FALSE"))))</f>
        <v>0</v>
      </c>
      <c r="BI481" t="b">
        <f>AND(IF(metadata!X481="",FALSE,TRUE),EXACT(metadata!X481,"other"))</f>
        <v>0</v>
      </c>
      <c r="BJ481" t="b">
        <f>IF(metadata!Y481="",FALSE,TRUE)</f>
        <v>0</v>
      </c>
      <c r="BK481" t="b">
        <f>OR(AND(IF(metadata!Z481="",FALSE,TRUE),OR(EXACT(metadata!Z481,"missing: not collected"),EXACT(metadata!Z481,"missing: not provided"))),AND(IF(metadata!Z481="",FALSE,IF(ISERROR(INT(metadata!Z481)),FALSE,INT(metadata!Z481)=metadata!Z481)),metadata!Z481&gt;0))</f>
        <v>0</v>
      </c>
      <c r="BL481" t="b">
        <f>AND(IF(metadata!AA481="",FALSE,TRUE),EXACT(metadata!AA481,"Not applicable"))</f>
        <v>0</v>
      </c>
      <c r="BM481" t="b">
        <f>IF(metadata!AB481="",FALSE,TRUE)</f>
        <v>0</v>
      </c>
    </row>
    <row r="482" spans="1:65" x14ac:dyDescent="0.2">
      <c r="A482" s="5" t="str">
        <f ca="1">IF(B482=" "," ",HYPERLINK(CONCATENATE("#metadata!",ADDRESS(INDEX($AH$2:$AH$1001,MATCH(ROWS($AF$2:AF482),$AF$2:$AF$1001,0),0),1)),INDEX($AK$2:$AK$1001,MATCH(ROWS($AF$2:AF482),$AF$2:$AF$1001,0),0)))</f>
        <v xml:space="preserve"> </v>
      </c>
      <c r="B482" s="4" t="str">
        <f ca="1">IF(OR(INDEX($AG$2:$AG$1001,MATCH(ROWS($AF$2:AF482),$AF$2:$AF$1001,0),1)&gt;=100000,INDEX($AM$1005:$BM$1005,1,MATCH(COLUMNS($AM$1006:AM1006),$AM$1006:$BM$1006,0))&gt;=100000), " ",IF(INDEX($AM$2:$BM$1001,MATCH(ROWS($AF$2:AF482),$AF$2:$AF$1001,0),MATCH(COLUMNS($AM$1006:AM1006),$AM$1006:$BM$1006,0)), HYPERLINK("#",""), HYPERLINK(CONCATENATE("#metadata!", ADDRESS(INDEX($AH$2:$AH$1001,MATCH(ROWS($AF$2:AF482),$AF$2:$AF$1001,0),0), INDEX($AM$1004:$BM$1004,1,MATCH(COLUMNS($AM$1006:AM1006),$AM$1006:$BM$1006,0)))),"Fix")))</f>
        <v xml:space="preserve"> </v>
      </c>
      <c r="C482" s="4" t="str">
        <f ca="1">IF(OR(INDEX($AG$2:$AG$1001,MATCH(ROWS($AF$2:AF482),$AF$2:$AF$1001,0),1)&gt;=100000,INDEX($AM$1005:$BM$1005,1,MATCH(COLUMNS($AM$1006:AN1006),$AM$1006:$BM$1006,0))&gt;=100000), " ",IF(INDEX($AM$2:$BM$1001,MATCH(ROWS($AF$2:AF482),$AF$2:$AF$1001,0),MATCH(COLUMNS($AM$1006:AN1006),$AM$1006:$BM$1006,0)), HYPERLINK("#",""), HYPERLINK(CONCATENATE("#metadata!", ADDRESS(INDEX($AH$2:$AH$1001,MATCH(ROWS($AF$2:AF482),$AF$2:$AF$1001,0),0), INDEX($AM$1004:$BM$1004,1,MATCH(COLUMNS($AM$1006:AN1006),$AM$1006:$BM$1006,0)))),"Fix")))</f>
        <v xml:space="preserve"> </v>
      </c>
      <c r="D482" s="4" t="str">
        <f ca="1">IF(OR(INDEX($AG$2:$AG$1001,MATCH(ROWS($AF$2:AF482),$AF$2:$AF$1001,0),1)&gt;=100000,INDEX($AM$1005:$BM$1005,1,MATCH(COLUMNS($AM$1006:AO1006),$AM$1006:$BM$1006,0))&gt;=100000), " ",IF(INDEX($AM$2:$BM$1001,MATCH(ROWS($AF$2:AF482),$AF$2:$AF$1001,0),MATCH(COLUMNS($AM$1006:AO1006),$AM$1006:$BM$1006,0)), HYPERLINK("#",""), HYPERLINK(CONCATENATE("#metadata!", ADDRESS(INDEX($AH$2:$AH$1001,MATCH(ROWS($AF$2:AF482),$AF$2:$AF$1001,0),0), INDEX($AM$1004:$BM$1004,1,MATCH(COLUMNS($AM$1006:AO1006),$AM$1006:$BM$1006,0)))),"Fix")))</f>
        <v xml:space="preserve"> </v>
      </c>
      <c r="E482" s="4" t="str">
        <f ca="1">IF(OR(INDEX($AG$2:$AG$1001,MATCH(ROWS($AF$2:AF482),$AF$2:$AF$1001,0),1)&gt;=100000,INDEX($AM$1005:$BM$1005,1,MATCH(COLUMNS($AM$1006:AP1006),$AM$1006:$BM$1006,0))&gt;=100000), " ",IF(INDEX($AM$2:$BM$1001,MATCH(ROWS($AF$2:AF482),$AF$2:$AF$1001,0),MATCH(COLUMNS($AM$1006:AP1006),$AM$1006:$BM$1006,0)), HYPERLINK("#",""), HYPERLINK(CONCATENATE("#metadata!", ADDRESS(INDEX($AH$2:$AH$1001,MATCH(ROWS($AF$2:AF482),$AF$2:$AF$1001,0),0), INDEX($AM$1004:$BM$1004,1,MATCH(COLUMNS($AM$1006:AP1006),$AM$1006:$BM$1006,0)))),"Fix")))</f>
        <v xml:space="preserve"> </v>
      </c>
      <c r="F482" s="4" t="str">
        <f ca="1">IF(OR(INDEX($AG$2:$AG$1001,MATCH(ROWS($AF$2:AF482),$AF$2:$AF$1001,0),1)&gt;=100000,INDEX($AM$1005:$BM$1005,1,MATCH(COLUMNS($AM$1006:AQ1006),$AM$1006:$BM$1006,0))&gt;=100000), " ",IF(INDEX($AM$2:$BM$1001,MATCH(ROWS($AF$2:AF482),$AF$2:$AF$1001,0),MATCH(COLUMNS($AM$1006:AQ1006),$AM$1006:$BM$1006,0)), HYPERLINK("#",""), HYPERLINK(CONCATENATE("#metadata!", ADDRESS(INDEX($AH$2:$AH$1001,MATCH(ROWS($AF$2:AF482),$AF$2:$AF$1001,0),0), INDEX($AM$1004:$BM$1004,1,MATCH(COLUMNS($AM$1006:AQ1006),$AM$1006:$BM$1006,0)))),"Fix")))</f>
        <v xml:space="preserve"> </v>
      </c>
      <c r="G482" s="4" t="str">
        <f ca="1">IF(OR(INDEX($AG$2:$AG$1001,MATCH(ROWS($AF$2:AF482),$AF$2:$AF$1001,0),1)&gt;=100000,INDEX($AM$1005:$BM$1005,1,MATCH(COLUMNS($AM$1006:AR1006),$AM$1006:$BM$1006,0))&gt;=100000), " ",IF(INDEX($AM$2:$BM$1001,MATCH(ROWS($AF$2:AF482),$AF$2:$AF$1001,0),MATCH(COLUMNS($AM$1006:AR1006),$AM$1006:$BM$1006,0)), HYPERLINK("#",""), HYPERLINK(CONCATENATE("#metadata!", ADDRESS(INDEX($AH$2:$AH$1001,MATCH(ROWS($AF$2:AF482),$AF$2:$AF$1001,0),0), INDEX($AM$1004:$BM$1004,1,MATCH(COLUMNS($AM$1006:AR1006),$AM$1006:$BM$1006,0)))),"Fix")))</f>
        <v xml:space="preserve"> </v>
      </c>
      <c r="H482" s="4" t="str">
        <f ca="1">IF(OR(INDEX($AG$2:$AG$1001,MATCH(ROWS($AF$2:AF482),$AF$2:$AF$1001,0),1)&gt;=100000,INDEX($AM$1005:$BM$1005,1,MATCH(COLUMNS($AM$1006:AS1006),$AM$1006:$BM$1006,0))&gt;=100000), " ",IF(INDEX($AM$2:$BM$1001,MATCH(ROWS($AF$2:AF482),$AF$2:$AF$1001,0),MATCH(COLUMNS($AM$1006:AS1006),$AM$1006:$BM$1006,0)), HYPERLINK("#",""), HYPERLINK(CONCATENATE("#metadata!", ADDRESS(INDEX($AH$2:$AH$1001,MATCH(ROWS($AF$2:AF482),$AF$2:$AF$1001,0),0), INDEX($AM$1004:$BM$1004,1,MATCH(COLUMNS($AM$1006:AS1006),$AM$1006:$BM$1006,0)))),"Fix")))</f>
        <v xml:space="preserve"> </v>
      </c>
      <c r="I482" s="4" t="str">
        <f ca="1">IF(OR(INDEX($AG$2:$AG$1001,MATCH(ROWS($AF$2:AF482),$AF$2:$AF$1001,0),1)&gt;=100000,INDEX($AM$1005:$BM$1005,1,MATCH(COLUMNS($AM$1006:AT1006),$AM$1006:$BM$1006,0))&gt;=100000), " ",IF(INDEX($AM$2:$BM$1001,MATCH(ROWS($AF$2:AF482),$AF$2:$AF$1001,0),MATCH(COLUMNS($AM$1006:AT1006),$AM$1006:$BM$1006,0)), HYPERLINK("#",""), HYPERLINK(CONCATENATE("#metadata!", ADDRESS(INDEX($AH$2:$AH$1001,MATCH(ROWS($AF$2:AF482),$AF$2:$AF$1001,0),0), INDEX($AM$1004:$BM$1004,1,MATCH(COLUMNS($AM$1006:AT1006),$AM$1006:$BM$1006,0)))),"Fix")))</f>
        <v xml:space="preserve"> </v>
      </c>
      <c r="J482" s="4" t="str">
        <f ca="1">IF(OR(INDEX($AG$2:$AG$1001,MATCH(ROWS($AF$2:AF482),$AF$2:$AF$1001,0),1)&gt;=100000,INDEX($AM$1005:$BM$1005,1,MATCH(COLUMNS($AM$1006:AU1006),$AM$1006:$BM$1006,0))&gt;=100000), " ",IF(INDEX($AM$2:$BM$1001,MATCH(ROWS($AF$2:AF482),$AF$2:$AF$1001,0),MATCH(COLUMNS($AM$1006:AU1006),$AM$1006:$BM$1006,0)), HYPERLINK("#",""), HYPERLINK(CONCATENATE("#metadata!", ADDRESS(INDEX($AH$2:$AH$1001,MATCH(ROWS($AF$2:AF482),$AF$2:$AF$1001,0),0), INDEX($AM$1004:$BM$1004,1,MATCH(COLUMNS($AM$1006:AU1006),$AM$1006:$BM$1006,0)))),"Fix")))</f>
        <v xml:space="preserve"> </v>
      </c>
      <c r="K482" s="4" t="str">
        <f ca="1">IF(OR(INDEX($AG$2:$AG$1001,MATCH(ROWS($AF$2:AF482),$AF$2:$AF$1001,0),1)&gt;=100000,INDEX($AM$1005:$BM$1005,1,MATCH(COLUMNS($AM$1006:AV1006),$AM$1006:$BM$1006,0))&gt;=100000), " ",IF(INDEX($AM$2:$BM$1001,MATCH(ROWS($AF$2:AF482),$AF$2:$AF$1001,0),MATCH(COLUMNS($AM$1006:AV1006),$AM$1006:$BM$1006,0)), HYPERLINK("#",""), HYPERLINK(CONCATENATE("#metadata!", ADDRESS(INDEX($AH$2:$AH$1001,MATCH(ROWS($AF$2:AF482),$AF$2:$AF$1001,0),0), INDEX($AM$1004:$BM$1004,1,MATCH(COLUMNS($AM$1006:AV1006),$AM$1006:$BM$1006,0)))),"Fix")))</f>
        <v xml:space="preserve"> </v>
      </c>
      <c r="L482" s="4" t="str">
        <f ca="1">IF(OR(INDEX($AG$2:$AG$1001,MATCH(ROWS($AF$2:AF482),$AF$2:$AF$1001,0),1)&gt;=100000,INDEX($AM$1005:$BM$1005,1,MATCH(COLUMNS($AM$1006:AW1006),$AM$1006:$BM$1006,0))&gt;=100000), " ",IF(INDEX($AM$2:$BM$1001,MATCH(ROWS($AF$2:AF482),$AF$2:$AF$1001,0),MATCH(COLUMNS($AM$1006:AW1006),$AM$1006:$BM$1006,0)), HYPERLINK("#",""), HYPERLINK(CONCATENATE("#metadata!", ADDRESS(INDEX($AH$2:$AH$1001,MATCH(ROWS($AF$2:AF482),$AF$2:$AF$1001,0),0), INDEX($AM$1004:$BM$1004,1,MATCH(COLUMNS($AM$1006:AW1006),$AM$1006:$BM$1006,0)))),"Fix")))</f>
        <v xml:space="preserve"> </v>
      </c>
      <c r="M482" s="4" t="str">
        <f ca="1">IF(OR(INDEX($AG$2:$AG$1001,MATCH(ROWS($AF$2:AF482),$AF$2:$AF$1001,0),1)&gt;=100000,INDEX($AM$1005:$BM$1005,1,MATCH(COLUMNS($AM$1006:AX1006),$AM$1006:$BM$1006,0))&gt;=100000), " ",IF(INDEX($AM$2:$BM$1001,MATCH(ROWS($AF$2:AF482),$AF$2:$AF$1001,0),MATCH(COLUMNS($AM$1006:AX1006),$AM$1006:$BM$1006,0)), HYPERLINK("#",""), HYPERLINK(CONCATENATE("#metadata!", ADDRESS(INDEX($AH$2:$AH$1001,MATCH(ROWS($AF$2:AF482),$AF$2:$AF$1001,0),0), INDEX($AM$1004:$BM$1004,1,MATCH(COLUMNS($AM$1006:AX1006),$AM$1006:$BM$1006,0)))),"Fix")))</f>
        <v xml:space="preserve"> </v>
      </c>
      <c r="N482" s="4" t="str">
        <f ca="1">IF(OR(INDEX($AG$2:$AG$1001,MATCH(ROWS($AF$2:AF482),$AF$2:$AF$1001,0),1)&gt;=100000,INDEX($AM$1005:$BM$1005,1,MATCH(COLUMNS($AM$1006:AY1006),$AM$1006:$BM$1006,0))&gt;=100000), " ",IF(INDEX($AM$2:$BM$1001,MATCH(ROWS($AF$2:AF482),$AF$2:$AF$1001,0),MATCH(COLUMNS($AM$1006:AY1006),$AM$1006:$BM$1006,0)), HYPERLINK("#",""), HYPERLINK(CONCATENATE("#metadata!", ADDRESS(INDEX($AH$2:$AH$1001,MATCH(ROWS($AF$2:AF482),$AF$2:$AF$1001,0),0), INDEX($AM$1004:$BM$1004,1,MATCH(COLUMNS($AM$1006:AY1006),$AM$1006:$BM$1006,0)))),"Fix")))</f>
        <v xml:space="preserve"> </v>
      </c>
      <c r="O482" s="4" t="str">
        <f ca="1">IF(OR(INDEX($AG$2:$AG$1001,MATCH(ROWS($AF$2:AF482),$AF$2:$AF$1001,0),1)&gt;=100000,INDEX($AM$1005:$BM$1005,1,MATCH(COLUMNS($AM$1006:AZ1006),$AM$1006:$BM$1006,0))&gt;=100000), " ",IF(INDEX($AM$2:$BM$1001,MATCH(ROWS($AF$2:AF482),$AF$2:$AF$1001,0),MATCH(COLUMNS($AM$1006:AZ1006),$AM$1006:$BM$1006,0)), HYPERLINK("#",""), HYPERLINK(CONCATENATE("#metadata!", ADDRESS(INDEX($AH$2:$AH$1001,MATCH(ROWS($AF$2:AF482),$AF$2:$AF$1001,0),0), INDEX($AM$1004:$BM$1004,1,MATCH(COLUMNS($AM$1006:AZ1006),$AM$1006:$BM$1006,0)))),"Fix")))</f>
        <v xml:space="preserve"> </v>
      </c>
      <c r="P482" s="4" t="str">
        <f ca="1">IF(OR(INDEX($AG$2:$AG$1001,MATCH(ROWS($AF$2:AF482),$AF$2:$AF$1001,0),1)&gt;=100000,INDEX($AM$1005:$BM$1005,1,MATCH(COLUMNS($AM$1006:BA1006),$AM$1006:$BM$1006,0))&gt;=100000), " ",IF(INDEX($AM$2:$BM$1001,MATCH(ROWS($AF$2:AF482),$AF$2:$AF$1001,0),MATCH(COLUMNS($AM$1006:BA1006),$AM$1006:$BM$1006,0)), HYPERLINK("#",""), HYPERLINK(CONCATENATE("#metadata!", ADDRESS(INDEX($AH$2:$AH$1001,MATCH(ROWS($AF$2:AF482),$AF$2:$AF$1001,0),0), INDEX($AM$1004:$BM$1004,1,MATCH(COLUMNS($AM$1006:BA1006),$AM$1006:$BM$1006,0)))),"Fix")))</f>
        <v xml:space="preserve"> </v>
      </c>
      <c r="Q482" s="4" t="str">
        <f ca="1">IF(OR(INDEX($AG$2:$AG$1001,MATCH(ROWS($AF$2:AF482),$AF$2:$AF$1001,0),1)&gt;=100000,INDEX($AM$1005:$BM$1005,1,MATCH(COLUMNS($AM$1006:BB1006),$AM$1006:$BM$1006,0))&gt;=100000), " ",IF(INDEX($AM$2:$BM$1001,MATCH(ROWS($AF$2:AF482),$AF$2:$AF$1001,0),MATCH(COLUMNS($AM$1006:BB1006),$AM$1006:$BM$1006,0)), HYPERLINK("#",""), HYPERLINK(CONCATENATE("#metadata!", ADDRESS(INDEX($AH$2:$AH$1001,MATCH(ROWS($AF$2:AF482),$AF$2:$AF$1001,0),0), INDEX($AM$1004:$BM$1004,1,MATCH(COLUMNS($AM$1006:BB1006),$AM$1006:$BM$1006,0)))),"Fix")))</f>
        <v xml:space="preserve"> </v>
      </c>
      <c r="R482" s="4" t="str">
        <f ca="1">IF(OR(INDEX($AG$2:$AG$1001,MATCH(ROWS($AF$2:AF482),$AF$2:$AF$1001,0),1)&gt;=100000,INDEX($AM$1005:$BM$1005,1,MATCH(COLUMNS($AM$1006:BC1006),$AM$1006:$BM$1006,0))&gt;=100000), " ",IF(INDEX($AM$2:$BM$1001,MATCH(ROWS($AF$2:AF482),$AF$2:$AF$1001,0),MATCH(COLUMNS($AM$1006:BC1006),$AM$1006:$BM$1006,0)), HYPERLINK("#",""), HYPERLINK(CONCATENATE("#metadata!", ADDRESS(INDEX($AH$2:$AH$1001,MATCH(ROWS($AF$2:AF482),$AF$2:$AF$1001,0),0), INDEX($AM$1004:$BM$1004,1,MATCH(COLUMNS($AM$1006:BC1006),$AM$1006:$BM$1006,0)))),"Fix")))</f>
        <v xml:space="preserve"> </v>
      </c>
      <c r="S482" s="4" t="str">
        <f ca="1">IF(OR(INDEX($AG$2:$AG$1001,MATCH(ROWS($AF$2:AF482),$AF$2:$AF$1001,0),1)&gt;=100000,INDEX($AM$1005:$BM$1005,1,MATCH(COLUMNS($AM$1006:BD1006),$AM$1006:$BM$1006,0))&gt;=100000), " ",IF(INDEX($AM$2:$BM$1001,MATCH(ROWS($AF$2:AF482),$AF$2:$AF$1001,0),MATCH(COLUMNS($AM$1006:BD1006),$AM$1006:$BM$1006,0)), HYPERLINK("#",""), HYPERLINK(CONCATENATE("#metadata!", ADDRESS(INDEX($AH$2:$AH$1001,MATCH(ROWS($AF$2:AF482),$AF$2:$AF$1001,0),0), INDEX($AM$1004:$BM$1004,1,MATCH(COLUMNS($AM$1006:BD1006),$AM$1006:$BM$1006,0)))),"Fix")))</f>
        <v xml:space="preserve"> </v>
      </c>
      <c r="T482" s="4" t="str">
        <f ca="1">IF(OR(INDEX($AG$2:$AG$1001,MATCH(ROWS($AF$2:AF482),$AF$2:$AF$1001,0),1)&gt;=100000,INDEX($AM$1005:$BM$1005,1,MATCH(COLUMNS($AM$1006:BE1006),$AM$1006:$BM$1006,0))&gt;=100000), " ",IF(INDEX($AM$2:$BM$1001,MATCH(ROWS($AF$2:AF482),$AF$2:$AF$1001,0),MATCH(COLUMNS($AM$1006:BE1006),$AM$1006:$BM$1006,0)), HYPERLINK("#",""), HYPERLINK(CONCATENATE("#metadata!", ADDRESS(INDEX($AH$2:$AH$1001,MATCH(ROWS($AF$2:AF482),$AF$2:$AF$1001,0),0), INDEX($AM$1004:$BM$1004,1,MATCH(COLUMNS($AM$1006:BE1006),$AM$1006:$BM$1006,0)))),"Fix")))</f>
        <v xml:space="preserve"> </v>
      </c>
      <c r="U482" s="4" t="str">
        <f ca="1">IF(OR(INDEX($AG$2:$AG$1001,MATCH(ROWS($AF$2:AF482),$AF$2:$AF$1001,0),1)&gt;=100000,INDEX($AM$1005:$BM$1005,1,MATCH(COLUMNS($AM$1006:BF1006),$AM$1006:$BM$1006,0))&gt;=100000), " ",IF(INDEX($AM$2:$BM$1001,MATCH(ROWS($AF$2:AF482),$AF$2:$AF$1001,0),MATCH(COLUMNS($AM$1006:BF1006),$AM$1006:$BM$1006,0)), HYPERLINK("#",""), HYPERLINK(CONCATENATE("#metadata!", ADDRESS(INDEX($AH$2:$AH$1001,MATCH(ROWS($AF$2:AF482),$AF$2:$AF$1001,0),0), INDEX($AM$1004:$BM$1004,1,MATCH(COLUMNS($AM$1006:BF1006),$AM$1006:$BM$1006,0)))),"Fix")))</f>
        <v xml:space="preserve"> </v>
      </c>
      <c r="V482" s="4" t="str">
        <f ca="1">IF(OR(INDEX($AG$2:$AG$1001,MATCH(ROWS($AF$2:AF482),$AF$2:$AF$1001,0),1)&gt;=100000,INDEX($AM$1005:$BM$1005,1,MATCH(COLUMNS($AM$1006:BG1006),$AM$1006:$BM$1006,0))&gt;=100000), " ",IF(INDEX($AM$2:$BM$1001,MATCH(ROWS($AF$2:AF482),$AF$2:$AF$1001,0),MATCH(COLUMNS($AM$1006:BG1006),$AM$1006:$BM$1006,0)), HYPERLINK("#",""), HYPERLINK(CONCATENATE("#metadata!", ADDRESS(INDEX($AH$2:$AH$1001,MATCH(ROWS($AF$2:AF482),$AF$2:$AF$1001,0),0), INDEX($AM$1004:$BM$1004,1,MATCH(COLUMNS($AM$1006:BG1006),$AM$1006:$BM$1006,0)))),"Fix")))</f>
        <v xml:space="preserve"> </v>
      </c>
      <c r="W482" s="4" t="str">
        <f ca="1">IF(OR(INDEX($AG$2:$AG$1001,MATCH(ROWS($AF$2:AF482),$AF$2:$AF$1001,0),1)&gt;=100000,INDEX($AM$1005:$BM$1005,1,MATCH(COLUMNS($AM$1006:BH1006),$AM$1006:$BM$1006,0))&gt;=100000), " ",IF(INDEX($AM$2:$BM$1001,MATCH(ROWS($AF$2:AF482),$AF$2:$AF$1001,0),MATCH(COLUMNS($AM$1006:BH1006),$AM$1006:$BM$1006,0)), HYPERLINK("#",""), HYPERLINK(CONCATENATE("#metadata!", ADDRESS(INDEX($AH$2:$AH$1001,MATCH(ROWS($AF$2:AF482),$AF$2:$AF$1001,0),0), INDEX($AM$1004:$BM$1004,1,MATCH(COLUMNS($AM$1006:BH1006),$AM$1006:$BM$1006,0)))),"Fix")))</f>
        <v xml:space="preserve"> </v>
      </c>
      <c r="X482" s="4" t="str">
        <f ca="1">IF(OR(INDEX($AG$2:$AG$1001,MATCH(ROWS($AF$2:AF482),$AF$2:$AF$1001,0),1)&gt;=100000,INDEX($AM$1005:$BM$1005,1,MATCH(COLUMNS($AM$1006:BI1006),$AM$1006:$BM$1006,0))&gt;=100000), " ",IF(INDEX($AM$2:$BM$1001,MATCH(ROWS($AF$2:AF482),$AF$2:$AF$1001,0),MATCH(COLUMNS($AM$1006:BI1006),$AM$1006:$BM$1006,0)), HYPERLINK("#",""), HYPERLINK(CONCATENATE("#metadata!", ADDRESS(INDEX($AH$2:$AH$1001,MATCH(ROWS($AF$2:AF482),$AF$2:$AF$1001,0),0), INDEX($AM$1004:$BM$1004,1,MATCH(COLUMNS($AM$1006:BI1006),$AM$1006:$BM$1006,0)))),"Fix")))</f>
        <v xml:space="preserve"> </v>
      </c>
      <c r="Y482" s="4" t="str">
        <f ca="1">IF(OR(INDEX($AG$2:$AG$1001,MATCH(ROWS($AF$2:AF482),$AF$2:$AF$1001,0),1)&gt;=100000,INDEX($AM$1005:$BM$1005,1,MATCH(COLUMNS($AM$1006:BJ1006),$AM$1006:$BM$1006,0))&gt;=100000), " ",IF(INDEX($AM$2:$BM$1001,MATCH(ROWS($AF$2:AF482),$AF$2:$AF$1001,0),MATCH(COLUMNS($AM$1006:BJ1006),$AM$1006:$BM$1006,0)), HYPERLINK("#",""), HYPERLINK(CONCATENATE("#metadata!", ADDRESS(INDEX($AH$2:$AH$1001,MATCH(ROWS($AF$2:AF482),$AF$2:$AF$1001,0),0), INDEX($AM$1004:$BM$1004,1,MATCH(COLUMNS($AM$1006:BJ1006),$AM$1006:$BM$1006,0)))),"Fix")))</f>
        <v xml:space="preserve"> </v>
      </c>
      <c r="Z482" s="4" t="str">
        <f ca="1">IF(OR(INDEX($AG$2:$AG$1001,MATCH(ROWS($AF$2:AF482),$AF$2:$AF$1001,0),1)&gt;=100000,INDEX($AM$1005:$BM$1005,1,MATCH(COLUMNS($AM$1006:BK1006),$AM$1006:$BM$1006,0))&gt;=100000), " ",IF(INDEX($AM$2:$BM$1001,MATCH(ROWS($AF$2:AF482),$AF$2:$AF$1001,0),MATCH(COLUMNS($AM$1006:BK1006),$AM$1006:$BM$1006,0)), HYPERLINK("#",""), HYPERLINK(CONCATENATE("#metadata!", ADDRESS(INDEX($AH$2:$AH$1001,MATCH(ROWS($AF$2:AF482),$AF$2:$AF$1001,0),0), INDEX($AM$1004:$BM$1004,1,MATCH(COLUMNS($AM$1006:BK1006),$AM$1006:$BM$1006,0)))),"Fix")))</f>
        <v xml:space="preserve"> </v>
      </c>
      <c r="AA482" s="4" t="str">
        <f ca="1">IF(OR(INDEX($AG$2:$AG$1001,MATCH(ROWS($AF$2:AF482),$AF$2:$AF$1001,0),1)&gt;=100000,INDEX($AM$1005:$BM$1005,1,MATCH(COLUMNS($AM$1006:BL1006),$AM$1006:$BM$1006,0))&gt;=100000), " ",IF(INDEX($AM$2:$BM$1001,MATCH(ROWS($AF$2:AF482),$AF$2:$AF$1001,0),MATCH(COLUMNS($AM$1006:BL1006),$AM$1006:$BM$1006,0)), HYPERLINK("#",""), HYPERLINK(CONCATENATE("#metadata!", ADDRESS(INDEX($AH$2:$AH$1001,MATCH(ROWS($AF$2:AF482),$AF$2:$AF$1001,0),0), INDEX($AM$1004:$BM$1004,1,MATCH(COLUMNS($AM$1006:BL1006),$AM$1006:$BM$1006,0)))),"Fix")))</f>
        <v xml:space="preserve"> </v>
      </c>
      <c r="AB482" s="4" t="str">
        <f ca="1">IF(OR(INDEX($AG$2:$AG$1001,MATCH(ROWS($AF$2:AF482),$AF$2:$AF$1001,0),1)&gt;=100000,INDEX($AM$1005:$BM$1005,1,MATCH(COLUMNS($AM$1006:BM1006),$AM$1006:$BM$1006,0))&gt;=100000), " ",IF(INDEX($AM$2:$BM$1001,MATCH(ROWS($AF$2:AF482),$AF$2:$AF$1001,0),MATCH(COLUMNS($AM$1006:BM1006),$AM$1006:$BM$1006,0)), HYPERLINK("#",""), HYPERLINK(CONCATENATE("#metadata!", ADDRESS(INDEX($AH$2:$AH$1001,MATCH(ROWS($AF$2:AF482),$AF$2:$AF$1001,0),0), INDEX($AM$1004:$BM$1004,1,MATCH(COLUMNS($AM$1006:BM1006),$AM$1006:$BM$1006,0)))),"Fix")))</f>
        <v xml:space="preserve"> </v>
      </c>
      <c r="AF482">
        <v>481</v>
      </c>
      <c r="AG482">
        <v>100482</v>
      </c>
      <c r="AH482">
        <v>482</v>
      </c>
      <c r="AI482" t="b">
        <f t="shared" si="7"/>
        <v>1</v>
      </c>
      <c r="AJ482" t="b">
        <f>COUNTBLANK(metadata!B482:AB482)=COLUMNS(metadata!B482:AB482)</f>
        <v>1</v>
      </c>
      <c r="AK482" t="str">
        <v/>
      </c>
      <c r="AM482" t="b">
        <f ca="1">AND(IF(metadata!B482="",FALSE,TRUE),COUNTIF(metadata!B:B, metadata!B482) = 1,NOT(ISERROR(SUMPRODUCT(SEARCH(MID(metadata!B482,ROW(INDIRECT("1:"&amp;LEN(metadata!B482))), 1),"0123456789abcdefghijklmnopqrstuvwxyzABCDEFGHIJKLMNOPQRSTUVWXYZ.")))))</f>
        <v>0</v>
      </c>
      <c r="AN482" t="b">
        <f ca="1">OR(AND(IF(metadata!C482="",FALSE,TRUE),OR(EXACT(metadata!C482,"missing: not collected"),EXACT(metadata!C482,"missing: not provided"),EXACT(metadata!C482,"missing: restricted access"))),AND(IF(metadata!C482="",FALSE,TRUE),AND(AND(IFERROR(INT(LEFT(metadata!C482,4))&gt;1900,FALSE),IFERROR(INT(LEFT(metadata!C482,4))&lt;=YEAR(NOW()),FALSE)), OR(MID(metadata!C482,5,1)="", AND(AND(MID(metadata!C482,5,1)="-",IFERROR(INT(MID(metadata!C482,6,1))&gt;=0,FALSE),IFERROR(INT(MID(metadata!C482,6,1))&lt;=1,FALSE),NOT(MID(metadata!C482,7,1)=""),IFERROR(INT(MID(metadata!C482,6,2))&gt;=1,FALSE),IFERROR(INT(MID(metadata!C482,6,2))&lt;=12,FALSE)), OR(MID(metadata!C482,8,1)="", AND(AND(MID(metadata!C482,8,1)="-",IFERROR(INT(MID(metadata!C482,9,1))&gt;=0,FALSE),IFERROR(INT(MID(metadata!C482,9,1))&lt;=3,FALSE),NOT(MID(metadata!C482,10,1)=""),IFERROR(INT(MID(metadata!C482,9,2))&gt;=1,FALSE),IFERROR(INT(MID(metadata!C482,9,2))&lt;=31,FALSE)), OR(MID(metadata!C482,11,1)="", AND(AND(MID(metadata!C482,11,1)=" ",IFERROR(INT(MID(metadata!C482,12,1))&gt;=0,FALSE),IFERROR(INT(MID(metadata!C482,12,1))&lt;=2,FALSE),NOT(MID(metadata!C482,13,1)=""),IFERROR(INT(MID(metadata!C482,12,2))&gt;=0,FALSE),IFERROR(INT(MID(metadata!C482,12,2))&lt;=23,FALSE)), OR(MID(metadata!C482,14,1)="", AND(AND(MID(metadata!C482,14,1)=":",IFERROR(INT(MID(metadata!C482,15,1))&gt;=0,FALSE),IFERROR(INT(MID(metadata!C482,15,1))&lt;=5,FALSE),NOT(MID(metadata!C482,16,1)=""),IFERROR(INT(MID(metadata!C482,15,2))&gt;=0,FALSE),IFERROR(INT(MID(metadata!C482,15,2))&lt;=59,FALSE)), OR(MID(metadata!C482,17,1)="", AND(AND(MID(metadata!C482,17,1)=":",IFERROR(INT(MID(metadata!C482,18,1))&gt;=0,FALSE),IFERROR(INT(MID(metadata!C482,18,1))&lt;=5,FALSE),NOT(MID(metadata!C482,19,1)=""),IFERROR(INT(MID(metadata!C482,18,2))&gt;=0,FALSE),IFERROR(INT(MID(metadata!C482,18,2))&lt;=59,FALSE)), LEN(metadata!C482)&lt;=19)))))))))))))</f>
        <v>0</v>
      </c>
      <c r="AO482" t="b">
        <f>AND(IF(metadata!D482="",FALSE,TRUE),EXACT(metadata!D482,"Not applicable"))</f>
        <v>0</v>
      </c>
      <c r="AP482" t="b">
        <f>IF(metadata!E482="",FALSE,TRUE)</f>
        <v>0</v>
      </c>
      <c r="AQ482" t="b">
        <f>OR(AND(IF(metadata!F482="",FALSE,TRUE),OR(EXACT(metadata!F482,"missing: not collected"),EXACT(metadata!F482,"missing: not provided"))),AND(IF(metadata!F482="",FALSE,TRUE),OR(EXACT(metadata!F482,"TRUE"),EXACT(metadata!F482,"FALSE"))))</f>
        <v>0</v>
      </c>
      <c r="AR482" t="b">
        <f>OR(AND(IF(metadata!G482="",FALSE,TRUE),OR(EXACT(metadata!G482,"missing: not collected"),EXACT(metadata!G482,"missing: not provided"),EXACT(metadata!G482,"missing: restricted access"))),AND(IF(metadata!G482="",FALSE,ISNUMBER(VALUE(metadata!G482))),metadata!G482&gt;=-413))</f>
        <v>0</v>
      </c>
      <c r="AS482" t="b">
        <f>AND(IF(metadata!H482="",FALSE,TRUE),EXACT(metadata!H482,"meters"))</f>
        <v>0</v>
      </c>
      <c r="AT482" t="b">
        <f>AND(IF(metadata!I482="",FALSE,TRUE),OR(EXACT(metadata!I482,"Host-associated"),EXACT(metadata!I482,"Free-living")))</f>
        <v>0</v>
      </c>
      <c r="AU482" t="b">
        <f>AND(IF(metadata!J482="",FALSE,TRUE),OR(EXACT(metadata!J482,"Animal"),EXACT(metadata!J482,"Fungus"),EXACT(metadata!J482,"Plant"),EXACT(metadata!J482,"Saline"),EXACT(metadata!J482,"Non-saline")))</f>
        <v>0</v>
      </c>
      <c r="AV482" t="b">
        <f>AND(IF(metadata!K482="",FALSE,TRUE),OR(EXACT(metadata!K482,"Plant secretion"),EXACT(metadata!K482,"Plant rhizosphere"),EXACT(metadata!K482,"Plant surface"),EXACT(metadata!K482,"Plant corpus"),EXACT(metadata!K482,"Fungus surface"),EXACT(metadata!K482,"Fungus corpus"),EXACT(metadata!K482,"Animal surface"),EXACT(metadata!K482,"Animal proximal gut"),EXACT(metadata!K482,"Animal corpus"),EXACT(metadata!K482,"Animal distal gut"),EXACT(metadata!K482,"Animal secretion"),EXACT(metadata!K482,"Sub-surface (non-saline)"),EXACT(metadata!K482,"Surface (non-saline)"),EXACT(metadata!K482,"Water (non-saline)"),EXACT(metadata!K482,"Soil (non-saline)"),EXACT(metadata!K482,"Aerosol (non-saline)"),EXACT(metadata!K482,"Sediment (non-saline)"),EXACT(metadata!K482,"Surface (saline)"),EXACT(metadata!K482,"Water (saline)"),EXACT(metadata!K482,"Hypersaline (saline)"),EXACT(metadata!K482,"Aerosol (saline)"),EXACT(metadata!K482,"Sediment (saline)")))</f>
        <v>0</v>
      </c>
      <c r="AW482" t="b">
        <f>IF(metadata!L482="",FALSE,TRUE)</f>
        <v>0</v>
      </c>
      <c r="AX482" t="b">
        <f>IF(metadata!M482="",FALSE,TRUE)</f>
        <v>0</v>
      </c>
      <c r="AY482" t="b">
        <f>IF(metadata!N482="",FALSE,TRUE)</f>
        <v>0</v>
      </c>
      <c r="AZ482" t="b">
        <f>OR(AND(IF(metadata!O482="",FALSE,TRUE),OR(EXACT(metadata!O482,"missing: not collected"),EXACT(metadata!O482,"missing: not provided"),EXACT(metadata!O482,"missing: restricted access"))),AND(IF(metadata!O482="",FALSE,TRUE),OR(EXACT(metadata!O482,"air"),EXACT(metadata!O482,"built environment"),EXACT(metadata!O482,"host-associated"),EXACT(metadata!O482,"human-associated"),EXACT(metadata!O482,"human-skin"),EXACT(metadata!O482,"human-oral"),EXACT(metadata!O482,"human-gut"),EXACT(metadata!O482,"human-vaginal"),EXACT(metadata!O482,"microbial mat/biofilm"),EXACT(metadata!O482,"misc environment"),EXACT(metadata!O482,"plant-associated"),EXACT(metadata!O482,"sediment"),EXACT(metadata!O482,"soil"),EXACT(metadata!O482,"wastewater/sludge"),EXACT(metadata!O482,"water"))))</f>
        <v>0</v>
      </c>
      <c r="BA482" t="b">
        <f>IF(metadata!P482="",FALSE,TRUE)</f>
        <v>0</v>
      </c>
      <c r="BB482" t="b">
        <f>IF(metadata!Q482="",FALSE,TRUE)</f>
        <v>0</v>
      </c>
      <c r="BC482" t="b">
        <f>OR(AND(IF(metadata!R482="",FALSE,TRUE),OR(EXACT(metadata!R482,"missing: not collected"),EXACT(metadata!R482,"missing: not provided"),EXACT(metadata!R482,"missing: restricted access"))),AND(IF(metadata!R482="",FALSE,ISNUMBER(VALUE(metadata!R482))),metadata!R482&gt;=-90,metadata!R482&lt;=90))</f>
        <v>0</v>
      </c>
      <c r="BD482" t="b">
        <f>AND(IF(metadata!S482="",FALSE,TRUE),EXACT(metadata!S482,"Decimal degrees"))</f>
        <v>0</v>
      </c>
      <c r="BE482" t="b">
        <f>OR(AND(IF(metadata!T482="",FALSE,TRUE),OR(EXACT(metadata!T482,"missing: not collected"),EXACT(metadata!T482,"missing: not provided"),EXACT(metadata!T482,"missing: restricted access"))),AND(IF(metadata!T482="",FALSE,ISNUMBER(VALUE(metadata!T482))),metadata!T482&gt;=-180,metadata!T482&lt;=180))</f>
        <v>0</v>
      </c>
      <c r="BF482" t="b">
        <f>AND(IF(metadata!U482="",FALSE,TRUE),EXACT(metadata!U482,"Decimal degrees"))</f>
        <v>0</v>
      </c>
      <c r="BG482" t="b">
        <f>IF(metadata!V482="",FALSE,TRUE)</f>
        <v>0</v>
      </c>
      <c r="BH482" t="b">
        <f>OR(AND(IF(metadata!W482="",FALSE,TRUE),OR(EXACT(metadata!W482,"missing: not collected"),EXACT(metadata!W482,"missing: not provided"),EXACT(metadata!W482,"missing: restricted access"))),AND(IF(metadata!W482="",FALSE,TRUE),OR(EXACT(metadata!W482,"TRUE"),EXACT(metadata!W482,"FALSE"))))</f>
        <v>0</v>
      </c>
      <c r="BI482" t="b">
        <f>AND(IF(metadata!X482="",FALSE,TRUE),EXACT(metadata!X482,"other"))</f>
        <v>0</v>
      </c>
      <c r="BJ482" t="b">
        <f>IF(metadata!Y482="",FALSE,TRUE)</f>
        <v>0</v>
      </c>
      <c r="BK482" t="b">
        <f>OR(AND(IF(metadata!Z482="",FALSE,TRUE),OR(EXACT(metadata!Z482,"missing: not collected"),EXACT(metadata!Z482,"missing: not provided"))),AND(IF(metadata!Z482="",FALSE,IF(ISERROR(INT(metadata!Z482)),FALSE,INT(metadata!Z482)=metadata!Z482)),metadata!Z482&gt;0))</f>
        <v>0</v>
      </c>
      <c r="BL482" t="b">
        <f>AND(IF(metadata!AA482="",FALSE,TRUE),EXACT(metadata!AA482,"Not applicable"))</f>
        <v>0</v>
      </c>
      <c r="BM482" t="b">
        <f>IF(metadata!AB482="",FALSE,TRUE)</f>
        <v>0</v>
      </c>
    </row>
    <row r="483" spans="1:65" x14ac:dyDescent="0.2">
      <c r="A483" s="5" t="str">
        <f ca="1">IF(B483=" "," ",HYPERLINK(CONCATENATE("#metadata!",ADDRESS(INDEX($AH$2:$AH$1001,MATCH(ROWS($AF$2:AF483),$AF$2:$AF$1001,0),0),1)),INDEX($AK$2:$AK$1001,MATCH(ROWS($AF$2:AF483),$AF$2:$AF$1001,0),0)))</f>
        <v xml:space="preserve"> </v>
      </c>
      <c r="B483" s="4" t="str">
        <f ca="1">IF(OR(INDEX($AG$2:$AG$1001,MATCH(ROWS($AF$2:AF483),$AF$2:$AF$1001,0),1)&gt;=100000,INDEX($AM$1005:$BM$1005,1,MATCH(COLUMNS($AM$1006:AM1006),$AM$1006:$BM$1006,0))&gt;=100000), " ",IF(INDEX($AM$2:$BM$1001,MATCH(ROWS($AF$2:AF483),$AF$2:$AF$1001,0),MATCH(COLUMNS($AM$1006:AM1006),$AM$1006:$BM$1006,0)), HYPERLINK("#",""), HYPERLINK(CONCATENATE("#metadata!", ADDRESS(INDEX($AH$2:$AH$1001,MATCH(ROWS($AF$2:AF483),$AF$2:$AF$1001,0),0), INDEX($AM$1004:$BM$1004,1,MATCH(COLUMNS($AM$1006:AM1006),$AM$1006:$BM$1006,0)))),"Fix")))</f>
        <v xml:space="preserve"> </v>
      </c>
      <c r="C483" s="4" t="str">
        <f ca="1">IF(OR(INDEX($AG$2:$AG$1001,MATCH(ROWS($AF$2:AF483),$AF$2:$AF$1001,0),1)&gt;=100000,INDEX($AM$1005:$BM$1005,1,MATCH(COLUMNS($AM$1006:AN1006),$AM$1006:$BM$1006,0))&gt;=100000), " ",IF(INDEX($AM$2:$BM$1001,MATCH(ROWS($AF$2:AF483),$AF$2:$AF$1001,0),MATCH(COLUMNS($AM$1006:AN1006),$AM$1006:$BM$1006,0)), HYPERLINK("#",""), HYPERLINK(CONCATENATE("#metadata!", ADDRESS(INDEX($AH$2:$AH$1001,MATCH(ROWS($AF$2:AF483),$AF$2:$AF$1001,0),0), INDEX($AM$1004:$BM$1004,1,MATCH(COLUMNS($AM$1006:AN1006),$AM$1006:$BM$1006,0)))),"Fix")))</f>
        <v xml:space="preserve"> </v>
      </c>
      <c r="D483" s="4" t="str">
        <f ca="1">IF(OR(INDEX($AG$2:$AG$1001,MATCH(ROWS($AF$2:AF483),$AF$2:$AF$1001,0),1)&gt;=100000,INDEX($AM$1005:$BM$1005,1,MATCH(COLUMNS($AM$1006:AO1006),$AM$1006:$BM$1006,0))&gt;=100000), " ",IF(INDEX($AM$2:$BM$1001,MATCH(ROWS($AF$2:AF483),$AF$2:$AF$1001,0),MATCH(COLUMNS($AM$1006:AO1006),$AM$1006:$BM$1006,0)), HYPERLINK("#",""), HYPERLINK(CONCATENATE("#metadata!", ADDRESS(INDEX($AH$2:$AH$1001,MATCH(ROWS($AF$2:AF483),$AF$2:$AF$1001,0),0), INDEX($AM$1004:$BM$1004,1,MATCH(COLUMNS($AM$1006:AO1006),$AM$1006:$BM$1006,0)))),"Fix")))</f>
        <v xml:space="preserve"> </v>
      </c>
      <c r="E483" s="4" t="str">
        <f ca="1">IF(OR(INDEX($AG$2:$AG$1001,MATCH(ROWS($AF$2:AF483),$AF$2:$AF$1001,0),1)&gt;=100000,INDEX($AM$1005:$BM$1005,1,MATCH(COLUMNS($AM$1006:AP1006),$AM$1006:$BM$1006,0))&gt;=100000), " ",IF(INDEX($AM$2:$BM$1001,MATCH(ROWS($AF$2:AF483),$AF$2:$AF$1001,0),MATCH(COLUMNS($AM$1006:AP1006),$AM$1006:$BM$1006,0)), HYPERLINK("#",""), HYPERLINK(CONCATENATE("#metadata!", ADDRESS(INDEX($AH$2:$AH$1001,MATCH(ROWS($AF$2:AF483),$AF$2:$AF$1001,0),0), INDEX($AM$1004:$BM$1004,1,MATCH(COLUMNS($AM$1006:AP1006),$AM$1006:$BM$1006,0)))),"Fix")))</f>
        <v xml:space="preserve"> </v>
      </c>
      <c r="F483" s="4" t="str">
        <f ca="1">IF(OR(INDEX($AG$2:$AG$1001,MATCH(ROWS($AF$2:AF483),$AF$2:$AF$1001,0),1)&gt;=100000,INDEX($AM$1005:$BM$1005,1,MATCH(COLUMNS($AM$1006:AQ1006),$AM$1006:$BM$1006,0))&gt;=100000), " ",IF(INDEX($AM$2:$BM$1001,MATCH(ROWS($AF$2:AF483),$AF$2:$AF$1001,0),MATCH(COLUMNS($AM$1006:AQ1006),$AM$1006:$BM$1006,0)), HYPERLINK("#",""), HYPERLINK(CONCATENATE("#metadata!", ADDRESS(INDEX($AH$2:$AH$1001,MATCH(ROWS($AF$2:AF483),$AF$2:$AF$1001,0),0), INDEX($AM$1004:$BM$1004,1,MATCH(COLUMNS($AM$1006:AQ1006),$AM$1006:$BM$1006,0)))),"Fix")))</f>
        <v xml:space="preserve"> </v>
      </c>
      <c r="G483" s="4" t="str">
        <f ca="1">IF(OR(INDEX($AG$2:$AG$1001,MATCH(ROWS($AF$2:AF483),$AF$2:$AF$1001,0),1)&gt;=100000,INDEX($AM$1005:$BM$1005,1,MATCH(COLUMNS($AM$1006:AR1006),$AM$1006:$BM$1006,0))&gt;=100000), " ",IF(INDEX($AM$2:$BM$1001,MATCH(ROWS($AF$2:AF483),$AF$2:$AF$1001,0),MATCH(COLUMNS($AM$1006:AR1006),$AM$1006:$BM$1006,0)), HYPERLINK("#",""), HYPERLINK(CONCATENATE("#metadata!", ADDRESS(INDEX($AH$2:$AH$1001,MATCH(ROWS($AF$2:AF483),$AF$2:$AF$1001,0),0), INDEX($AM$1004:$BM$1004,1,MATCH(COLUMNS($AM$1006:AR1006),$AM$1006:$BM$1006,0)))),"Fix")))</f>
        <v xml:space="preserve"> </v>
      </c>
      <c r="H483" s="4" t="str">
        <f ca="1">IF(OR(INDEX($AG$2:$AG$1001,MATCH(ROWS($AF$2:AF483),$AF$2:$AF$1001,0),1)&gt;=100000,INDEX($AM$1005:$BM$1005,1,MATCH(COLUMNS($AM$1006:AS1006),$AM$1006:$BM$1006,0))&gt;=100000), " ",IF(INDEX($AM$2:$BM$1001,MATCH(ROWS($AF$2:AF483),$AF$2:$AF$1001,0),MATCH(COLUMNS($AM$1006:AS1006),$AM$1006:$BM$1006,0)), HYPERLINK("#",""), HYPERLINK(CONCATENATE("#metadata!", ADDRESS(INDEX($AH$2:$AH$1001,MATCH(ROWS($AF$2:AF483),$AF$2:$AF$1001,0),0), INDEX($AM$1004:$BM$1004,1,MATCH(COLUMNS($AM$1006:AS1006),$AM$1006:$BM$1006,0)))),"Fix")))</f>
        <v xml:space="preserve"> </v>
      </c>
      <c r="I483" s="4" t="str">
        <f ca="1">IF(OR(INDEX($AG$2:$AG$1001,MATCH(ROWS($AF$2:AF483),$AF$2:$AF$1001,0),1)&gt;=100000,INDEX($AM$1005:$BM$1005,1,MATCH(COLUMNS($AM$1006:AT1006),$AM$1006:$BM$1006,0))&gt;=100000), " ",IF(INDEX($AM$2:$BM$1001,MATCH(ROWS($AF$2:AF483),$AF$2:$AF$1001,0),MATCH(COLUMNS($AM$1006:AT1006),$AM$1006:$BM$1006,0)), HYPERLINK("#",""), HYPERLINK(CONCATENATE("#metadata!", ADDRESS(INDEX($AH$2:$AH$1001,MATCH(ROWS($AF$2:AF483),$AF$2:$AF$1001,0),0), INDEX($AM$1004:$BM$1004,1,MATCH(COLUMNS($AM$1006:AT1006),$AM$1006:$BM$1006,0)))),"Fix")))</f>
        <v xml:space="preserve"> </v>
      </c>
      <c r="J483" s="4" t="str">
        <f ca="1">IF(OR(INDEX($AG$2:$AG$1001,MATCH(ROWS($AF$2:AF483),$AF$2:$AF$1001,0),1)&gt;=100000,INDEX($AM$1005:$BM$1005,1,MATCH(COLUMNS($AM$1006:AU1006),$AM$1006:$BM$1006,0))&gt;=100000), " ",IF(INDEX($AM$2:$BM$1001,MATCH(ROWS($AF$2:AF483),$AF$2:$AF$1001,0),MATCH(COLUMNS($AM$1006:AU1006),$AM$1006:$BM$1006,0)), HYPERLINK("#",""), HYPERLINK(CONCATENATE("#metadata!", ADDRESS(INDEX($AH$2:$AH$1001,MATCH(ROWS($AF$2:AF483),$AF$2:$AF$1001,0),0), INDEX($AM$1004:$BM$1004,1,MATCH(COLUMNS($AM$1006:AU1006),$AM$1006:$BM$1006,0)))),"Fix")))</f>
        <v xml:space="preserve"> </v>
      </c>
      <c r="K483" s="4" t="str">
        <f ca="1">IF(OR(INDEX($AG$2:$AG$1001,MATCH(ROWS($AF$2:AF483),$AF$2:$AF$1001,0),1)&gt;=100000,INDEX($AM$1005:$BM$1005,1,MATCH(COLUMNS($AM$1006:AV1006),$AM$1006:$BM$1006,0))&gt;=100000), " ",IF(INDEX($AM$2:$BM$1001,MATCH(ROWS($AF$2:AF483),$AF$2:$AF$1001,0),MATCH(COLUMNS($AM$1006:AV1006),$AM$1006:$BM$1006,0)), HYPERLINK("#",""), HYPERLINK(CONCATENATE("#metadata!", ADDRESS(INDEX($AH$2:$AH$1001,MATCH(ROWS($AF$2:AF483),$AF$2:$AF$1001,0),0), INDEX($AM$1004:$BM$1004,1,MATCH(COLUMNS($AM$1006:AV1006),$AM$1006:$BM$1006,0)))),"Fix")))</f>
        <v xml:space="preserve"> </v>
      </c>
      <c r="L483" s="4" t="str">
        <f ca="1">IF(OR(INDEX($AG$2:$AG$1001,MATCH(ROWS($AF$2:AF483),$AF$2:$AF$1001,0),1)&gt;=100000,INDEX($AM$1005:$BM$1005,1,MATCH(COLUMNS($AM$1006:AW1006),$AM$1006:$BM$1006,0))&gt;=100000), " ",IF(INDEX($AM$2:$BM$1001,MATCH(ROWS($AF$2:AF483),$AF$2:$AF$1001,0),MATCH(COLUMNS($AM$1006:AW1006),$AM$1006:$BM$1006,0)), HYPERLINK("#",""), HYPERLINK(CONCATENATE("#metadata!", ADDRESS(INDEX($AH$2:$AH$1001,MATCH(ROWS($AF$2:AF483),$AF$2:$AF$1001,0),0), INDEX($AM$1004:$BM$1004,1,MATCH(COLUMNS($AM$1006:AW1006),$AM$1006:$BM$1006,0)))),"Fix")))</f>
        <v xml:space="preserve"> </v>
      </c>
      <c r="M483" s="4" t="str">
        <f ca="1">IF(OR(INDEX($AG$2:$AG$1001,MATCH(ROWS($AF$2:AF483),$AF$2:$AF$1001,0),1)&gt;=100000,INDEX($AM$1005:$BM$1005,1,MATCH(COLUMNS($AM$1006:AX1006),$AM$1006:$BM$1006,0))&gt;=100000), " ",IF(INDEX($AM$2:$BM$1001,MATCH(ROWS($AF$2:AF483),$AF$2:$AF$1001,0),MATCH(COLUMNS($AM$1006:AX1006),$AM$1006:$BM$1006,0)), HYPERLINK("#",""), HYPERLINK(CONCATENATE("#metadata!", ADDRESS(INDEX($AH$2:$AH$1001,MATCH(ROWS($AF$2:AF483),$AF$2:$AF$1001,0),0), INDEX($AM$1004:$BM$1004,1,MATCH(COLUMNS($AM$1006:AX1006),$AM$1006:$BM$1006,0)))),"Fix")))</f>
        <v xml:space="preserve"> </v>
      </c>
      <c r="N483" s="4" t="str">
        <f ca="1">IF(OR(INDEX($AG$2:$AG$1001,MATCH(ROWS($AF$2:AF483),$AF$2:$AF$1001,0),1)&gt;=100000,INDEX($AM$1005:$BM$1005,1,MATCH(COLUMNS($AM$1006:AY1006),$AM$1006:$BM$1006,0))&gt;=100000), " ",IF(INDEX($AM$2:$BM$1001,MATCH(ROWS($AF$2:AF483),$AF$2:$AF$1001,0),MATCH(COLUMNS($AM$1006:AY1006),$AM$1006:$BM$1006,0)), HYPERLINK("#",""), HYPERLINK(CONCATENATE("#metadata!", ADDRESS(INDEX($AH$2:$AH$1001,MATCH(ROWS($AF$2:AF483),$AF$2:$AF$1001,0),0), INDEX($AM$1004:$BM$1004,1,MATCH(COLUMNS($AM$1006:AY1006),$AM$1006:$BM$1006,0)))),"Fix")))</f>
        <v xml:space="preserve"> </v>
      </c>
      <c r="O483" s="4" t="str">
        <f ca="1">IF(OR(INDEX($AG$2:$AG$1001,MATCH(ROWS($AF$2:AF483),$AF$2:$AF$1001,0),1)&gt;=100000,INDEX($AM$1005:$BM$1005,1,MATCH(COLUMNS($AM$1006:AZ1006),$AM$1006:$BM$1006,0))&gt;=100000), " ",IF(INDEX($AM$2:$BM$1001,MATCH(ROWS($AF$2:AF483),$AF$2:$AF$1001,0),MATCH(COLUMNS($AM$1006:AZ1006),$AM$1006:$BM$1006,0)), HYPERLINK("#",""), HYPERLINK(CONCATENATE("#metadata!", ADDRESS(INDEX($AH$2:$AH$1001,MATCH(ROWS($AF$2:AF483),$AF$2:$AF$1001,0),0), INDEX($AM$1004:$BM$1004,1,MATCH(COLUMNS($AM$1006:AZ1006),$AM$1006:$BM$1006,0)))),"Fix")))</f>
        <v xml:space="preserve"> </v>
      </c>
      <c r="P483" s="4" t="str">
        <f ca="1">IF(OR(INDEX($AG$2:$AG$1001,MATCH(ROWS($AF$2:AF483),$AF$2:$AF$1001,0),1)&gt;=100000,INDEX($AM$1005:$BM$1005,1,MATCH(COLUMNS($AM$1006:BA1006),$AM$1006:$BM$1006,0))&gt;=100000), " ",IF(INDEX($AM$2:$BM$1001,MATCH(ROWS($AF$2:AF483),$AF$2:$AF$1001,0),MATCH(COLUMNS($AM$1006:BA1006),$AM$1006:$BM$1006,0)), HYPERLINK("#",""), HYPERLINK(CONCATENATE("#metadata!", ADDRESS(INDEX($AH$2:$AH$1001,MATCH(ROWS($AF$2:AF483),$AF$2:$AF$1001,0),0), INDEX($AM$1004:$BM$1004,1,MATCH(COLUMNS($AM$1006:BA1006),$AM$1006:$BM$1006,0)))),"Fix")))</f>
        <v xml:space="preserve"> </v>
      </c>
      <c r="Q483" s="4" t="str">
        <f ca="1">IF(OR(INDEX($AG$2:$AG$1001,MATCH(ROWS($AF$2:AF483),$AF$2:$AF$1001,0),1)&gt;=100000,INDEX($AM$1005:$BM$1005,1,MATCH(COLUMNS($AM$1006:BB1006),$AM$1006:$BM$1006,0))&gt;=100000), " ",IF(INDEX($AM$2:$BM$1001,MATCH(ROWS($AF$2:AF483),$AF$2:$AF$1001,0),MATCH(COLUMNS($AM$1006:BB1006),$AM$1006:$BM$1006,0)), HYPERLINK("#",""), HYPERLINK(CONCATENATE("#metadata!", ADDRESS(INDEX($AH$2:$AH$1001,MATCH(ROWS($AF$2:AF483),$AF$2:$AF$1001,0),0), INDEX($AM$1004:$BM$1004,1,MATCH(COLUMNS($AM$1006:BB1006),$AM$1006:$BM$1006,0)))),"Fix")))</f>
        <v xml:space="preserve"> </v>
      </c>
      <c r="R483" s="4" t="str">
        <f ca="1">IF(OR(INDEX($AG$2:$AG$1001,MATCH(ROWS($AF$2:AF483),$AF$2:$AF$1001,0),1)&gt;=100000,INDEX($AM$1005:$BM$1005,1,MATCH(COLUMNS($AM$1006:BC1006),$AM$1006:$BM$1006,0))&gt;=100000), " ",IF(INDEX($AM$2:$BM$1001,MATCH(ROWS($AF$2:AF483),$AF$2:$AF$1001,0),MATCH(COLUMNS($AM$1006:BC1006),$AM$1006:$BM$1006,0)), HYPERLINK("#",""), HYPERLINK(CONCATENATE("#metadata!", ADDRESS(INDEX($AH$2:$AH$1001,MATCH(ROWS($AF$2:AF483),$AF$2:$AF$1001,0),0), INDEX($AM$1004:$BM$1004,1,MATCH(COLUMNS($AM$1006:BC1006),$AM$1006:$BM$1006,0)))),"Fix")))</f>
        <v xml:space="preserve"> </v>
      </c>
      <c r="S483" s="4" t="str">
        <f ca="1">IF(OR(INDEX($AG$2:$AG$1001,MATCH(ROWS($AF$2:AF483),$AF$2:$AF$1001,0),1)&gt;=100000,INDEX($AM$1005:$BM$1005,1,MATCH(COLUMNS($AM$1006:BD1006),$AM$1006:$BM$1006,0))&gt;=100000), " ",IF(INDEX($AM$2:$BM$1001,MATCH(ROWS($AF$2:AF483),$AF$2:$AF$1001,0),MATCH(COLUMNS($AM$1006:BD1006),$AM$1006:$BM$1006,0)), HYPERLINK("#",""), HYPERLINK(CONCATENATE("#metadata!", ADDRESS(INDEX($AH$2:$AH$1001,MATCH(ROWS($AF$2:AF483),$AF$2:$AF$1001,0),0), INDEX($AM$1004:$BM$1004,1,MATCH(COLUMNS($AM$1006:BD1006),$AM$1006:$BM$1006,0)))),"Fix")))</f>
        <v xml:space="preserve"> </v>
      </c>
      <c r="T483" s="4" t="str">
        <f ca="1">IF(OR(INDEX($AG$2:$AG$1001,MATCH(ROWS($AF$2:AF483),$AF$2:$AF$1001,0),1)&gt;=100000,INDEX($AM$1005:$BM$1005,1,MATCH(COLUMNS($AM$1006:BE1006),$AM$1006:$BM$1006,0))&gt;=100000), " ",IF(INDEX($AM$2:$BM$1001,MATCH(ROWS($AF$2:AF483),$AF$2:$AF$1001,0),MATCH(COLUMNS($AM$1006:BE1006),$AM$1006:$BM$1006,0)), HYPERLINK("#",""), HYPERLINK(CONCATENATE("#metadata!", ADDRESS(INDEX($AH$2:$AH$1001,MATCH(ROWS($AF$2:AF483),$AF$2:$AF$1001,0),0), INDEX($AM$1004:$BM$1004,1,MATCH(COLUMNS($AM$1006:BE1006),$AM$1006:$BM$1006,0)))),"Fix")))</f>
        <v xml:space="preserve"> </v>
      </c>
      <c r="U483" s="4" t="str">
        <f ca="1">IF(OR(INDEX($AG$2:$AG$1001,MATCH(ROWS($AF$2:AF483),$AF$2:$AF$1001,0),1)&gt;=100000,INDEX($AM$1005:$BM$1005,1,MATCH(COLUMNS($AM$1006:BF1006),$AM$1006:$BM$1006,0))&gt;=100000), " ",IF(INDEX($AM$2:$BM$1001,MATCH(ROWS($AF$2:AF483),$AF$2:$AF$1001,0),MATCH(COLUMNS($AM$1006:BF1006),$AM$1006:$BM$1006,0)), HYPERLINK("#",""), HYPERLINK(CONCATENATE("#metadata!", ADDRESS(INDEX($AH$2:$AH$1001,MATCH(ROWS($AF$2:AF483),$AF$2:$AF$1001,0),0), INDEX($AM$1004:$BM$1004,1,MATCH(COLUMNS($AM$1006:BF1006),$AM$1006:$BM$1006,0)))),"Fix")))</f>
        <v xml:space="preserve"> </v>
      </c>
      <c r="V483" s="4" t="str">
        <f ca="1">IF(OR(INDEX($AG$2:$AG$1001,MATCH(ROWS($AF$2:AF483),$AF$2:$AF$1001,0),1)&gt;=100000,INDEX($AM$1005:$BM$1005,1,MATCH(COLUMNS($AM$1006:BG1006),$AM$1006:$BM$1006,0))&gt;=100000), " ",IF(INDEX($AM$2:$BM$1001,MATCH(ROWS($AF$2:AF483),$AF$2:$AF$1001,0),MATCH(COLUMNS($AM$1006:BG1006),$AM$1006:$BM$1006,0)), HYPERLINK("#",""), HYPERLINK(CONCATENATE("#metadata!", ADDRESS(INDEX($AH$2:$AH$1001,MATCH(ROWS($AF$2:AF483),$AF$2:$AF$1001,0),0), INDEX($AM$1004:$BM$1004,1,MATCH(COLUMNS($AM$1006:BG1006),$AM$1006:$BM$1006,0)))),"Fix")))</f>
        <v xml:space="preserve"> </v>
      </c>
      <c r="W483" s="4" t="str">
        <f ca="1">IF(OR(INDEX($AG$2:$AG$1001,MATCH(ROWS($AF$2:AF483),$AF$2:$AF$1001,0),1)&gt;=100000,INDEX($AM$1005:$BM$1005,1,MATCH(COLUMNS($AM$1006:BH1006),$AM$1006:$BM$1006,0))&gt;=100000), " ",IF(INDEX($AM$2:$BM$1001,MATCH(ROWS($AF$2:AF483),$AF$2:$AF$1001,0),MATCH(COLUMNS($AM$1006:BH1006),$AM$1006:$BM$1006,0)), HYPERLINK("#",""), HYPERLINK(CONCATENATE("#metadata!", ADDRESS(INDEX($AH$2:$AH$1001,MATCH(ROWS($AF$2:AF483),$AF$2:$AF$1001,0),0), INDEX($AM$1004:$BM$1004,1,MATCH(COLUMNS($AM$1006:BH1006),$AM$1006:$BM$1006,0)))),"Fix")))</f>
        <v xml:space="preserve"> </v>
      </c>
      <c r="X483" s="4" t="str">
        <f ca="1">IF(OR(INDEX($AG$2:$AG$1001,MATCH(ROWS($AF$2:AF483),$AF$2:$AF$1001,0),1)&gt;=100000,INDEX($AM$1005:$BM$1005,1,MATCH(COLUMNS($AM$1006:BI1006),$AM$1006:$BM$1006,0))&gt;=100000), " ",IF(INDEX($AM$2:$BM$1001,MATCH(ROWS($AF$2:AF483),$AF$2:$AF$1001,0),MATCH(COLUMNS($AM$1006:BI1006),$AM$1006:$BM$1006,0)), HYPERLINK("#",""), HYPERLINK(CONCATENATE("#metadata!", ADDRESS(INDEX($AH$2:$AH$1001,MATCH(ROWS($AF$2:AF483),$AF$2:$AF$1001,0),0), INDEX($AM$1004:$BM$1004,1,MATCH(COLUMNS($AM$1006:BI1006),$AM$1006:$BM$1006,0)))),"Fix")))</f>
        <v xml:space="preserve"> </v>
      </c>
      <c r="Y483" s="4" t="str">
        <f ca="1">IF(OR(INDEX($AG$2:$AG$1001,MATCH(ROWS($AF$2:AF483),$AF$2:$AF$1001,0),1)&gt;=100000,INDEX($AM$1005:$BM$1005,1,MATCH(COLUMNS($AM$1006:BJ1006),$AM$1006:$BM$1006,0))&gt;=100000), " ",IF(INDEX($AM$2:$BM$1001,MATCH(ROWS($AF$2:AF483),$AF$2:$AF$1001,0),MATCH(COLUMNS($AM$1006:BJ1006),$AM$1006:$BM$1006,0)), HYPERLINK("#",""), HYPERLINK(CONCATENATE("#metadata!", ADDRESS(INDEX($AH$2:$AH$1001,MATCH(ROWS($AF$2:AF483),$AF$2:$AF$1001,0),0), INDEX($AM$1004:$BM$1004,1,MATCH(COLUMNS($AM$1006:BJ1006),$AM$1006:$BM$1006,0)))),"Fix")))</f>
        <v xml:space="preserve"> </v>
      </c>
      <c r="Z483" s="4" t="str">
        <f ca="1">IF(OR(INDEX($AG$2:$AG$1001,MATCH(ROWS($AF$2:AF483),$AF$2:$AF$1001,0),1)&gt;=100000,INDEX($AM$1005:$BM$1005,1,MATCH(COLUMNS($AM$1006:BK1006),$AM$1006:$BM$1006,0))&gt;=100000), " ",IF(INDEX($AM$2:$BM$1001,MATCH(ROWS($AF$2:AF483),$AF$2:$AF$1001,0),MATCH(COLUMNS($AM$1006:BK1006),$AM$1006:$BM$1006,0)), HYPERLINK("#",""), HYPERLINK(CONCATENATE("#metadata!", ADDRESS(INDEX($AH$2:$AH$1001,MATCH(ROWS($AF$2:AF483),$AF$2:$AF$1001,0),0), INDEX($AM$1004:$BM$1004,1,MATCH(COLUMNS($AM$1006:BK1006),$AM$1006:$BM$1006,0)))),"Fix")))</f>
        <v xml:space="preserve"> </v>
      </c>
      <c r="AA483" s="4" t="str">
        <f ca="1">IF(OR(INDEX($AG$2:$AG$1001,MATCH(ROWS($AF$2:AF483),$AF$2:$AF$1001,0),1)&gt;=100000,INDEX($AM$1005:$BM$1005,1,MATCH(COLUMNS($AM$1006:BL1006),$AM$1006:$BM$1006,0))&gt;=100000), " ",IF(INDEX($AM$2:$BM$1001,MATCH(ROWS($AF$2:AF483),$AF$2:$AF$1001,0),MATCH(COLUMNS($AM$1006:BL1006),$AM$1006:$BM$1006,0)), HYPERLINK("#",""), HYPERLINK(CONCATENATE("#metadata!", ADDRESS(INDEX($AH$2:$AH$1001,MATCH(ROWS($AF$2:AF483),$AF$2:$AF$1001,0),0), INDEX($AM$1004:$BM$1004,1,MATCH(COLUMNS($AM$1006:BL1006),$AM$1006:$BM$1006,0)))),"Fix")))</f>
        <v xml:space="preserve"> </v>
      </c>
      <c r="AB483" s="4" t="str">
        <f ca="1">IF(OR(INDEX($AG$2:$AG$1001,MATCH(ROWS($AF$2:AF483),$AF$2:$AF$1001,0),1)&gt;=100000,INDEX($AM$1005:$BM$1005,1,MATCH(COLUMNS($AM$1006:BM1006),$AM$1006:$BM$1006,0))&gt;=100000), " ",IF(INDEX($AM$2:$BM$1001,MATCH(ROWS($AF$2:AF483),$AF$2:$AF$1001,0),MATCH(COLUMNS($AM$1006:BM1006),$AM$1006:$BM$1006,0)), HYPERLINK("#",""), HYPERLINK(CONCATENATE("#metadata!", ADDRESS(INDEX($AH$2:$AH$1001,MATCH(ROWS($AF$2:AF483),$AF$2:$AF$1001,0),0), INDEX($AM$1004:$BM$1004,1,MATCH(COLUMNS($AM$1006:BM1006),$AM$1006:$BM$1006,0)))),"Fix")))</f>
        <v xml:space="preserve"> </v>
      </c>
      <c r="AF483">
        <v>482</v>
      </c>
      <c r="AG483">
        <v>100483</v>
      </c>
      <c r="AH483">
        <v>483</v>
      </c>
      <c r="AI483" t="b">
        <f t="shared" si="7"/>
        <v>1</v>
      </c>
      <c r="AJ483" t="b">
        <f>COUNTBLANK(metadata!B483:AB483)=COLUMNS(metadata!B483:AB483)</f>
        <v>1</v>
      </c>
      <c r="AK483" t="str">
        <v/>
      </c>
      <c r="AM483" t="b">
        <f ca="1">AND(IF(metadata!B483="",FALSE,TRUE),COUNTIF(metadata!B:B, metadata!B483) = 1,NOT(ISERROR(SUMPRODUCT(SEARCH(MID(metadata!B483,ROW(INDIRECT("1:"&amp;LEN(metadata!B483))), 1),"0123456789abcdefghijklmnopqrstuvwxyzABCDEFGHIJKLMNOPQRSTUVWXYZ.")))))</f>
        <v>0</v>
      </c>
      <c r="AN483" t="b">
        <f ca="1">OR(AND(IF(metadata!C483="",FALSE,TRUE),OR(EXACT(metadata!C483,"missing: not collected"),EXACT(metadata!C483,"missing: not provided"),EXACT(metadata!C483,"missing: restricted access"))),AND(IF(metadata!C483="",FALSE,TRUE),AND(AND(IFERROR(INT(LEFT(metadata!C483,4))&gt;1900,FALSE),IFERROR(INT(LEFT(metadata!C483,4))&lt;=YEAR(NOW()),FALSE)), OR(MID(metadata!C483,5,1)="", AND(AND(MID(metadata!C483,5,1)="-",IFERROR(INT(MID(metadata!C483,6,1))&gt;=0,FALSE),IFERROR(INT(MID(metadata!C483,6,1))&lt;=1,FALSE),NOT(MID(metadata!C483,7,1)=""),IFERROR(INT(MID(metadata!C483,6,2))&gt;=1,FALSE),IFERROR(INT(MID(metadata!C483,6,2))&lt;=12,FALSE)), OR(MID(metadata!C483,8,1)="", AND(AND(MID(metadata!C483,8,1)="-",IFERROR(INT(MID(metadata!C483,9,1))&gt;=0,FALSE),IFERROR(INT(MID(metadata!C483,9,1))&lt;=3,FALSE),NOT(MID(metadata!C483,10,1)=""),IFERROR(INT(MID(metadata!C483,9,2))&gt;=1,FALSE),IFERROR(INT(MID(metadata!C483,9,2))&lt;=31,FALSE)), OR(MID(metadata!C483,11,1)="", AND(AND(MID(metadata!C483,11,1)=" ",IFERROR(INT(MID(metadata!C483,12,1))&gt;=0,FALSE),IFERROR(INT(MID(metadata!C483,12,1))&lt;=2,FALSE),NOT(MID(metadata!C483,13,1)=""),IFERROR(INT(MID(metadata!C483,12,2))&gt;=0,FALSE),IFERROR(INT(MID(metadata!C483,12,2))&lt;=23,FALSE)), OR(MID(metadata!C483,14,1)="", AND(AND(MID(metadata!C483,14,1)=":",IFERROR(INT(MID(metadata!C483,15,1))&gt;=0,FALSE),IFERROR(INT(MID(metadata!C483,15,1))&lt;=5,FALSE),NOT(MID(metadata!C483,16,1)=""),IFERROR(INT(MID(metadata!C483,15,2))&gt;=0,FALSE),IFERROR(INT(MID(metadata!C483,15,2))&lt;=59,FALSE)), OR(MID(metadata!C483,17,1)="", AND(AND(MID(metadata!C483,17,1)=":",IFERROR(INT(MID(metadata!C483,18,1))&gt;=0,FALSE),IFERROR(INT(MID(metadata!C483,18,1))&lt;=5,FALSE),NOT(MID(metadata!C483,19,1)=""),IFERROR(INT(MID(metadata!C483,18,2))&gt;=0,FALSE),IFERROR(INT(MID(metadata!C483,18,2))&lt;=59,FALSE)), LEN(metadata!C483)&lt;=19)))))))))))))</f>
        <v>0</v>
      </c>
      <c r="AO483" t="b">
        <f>AND(IF(metadata!D483="",FALSE,TRUE),EXACT(metadata!D483,"Not applicable"))</f>
        <v>0</v>
      </c>
      <c r="AP483" t="b">
        <f>IF(metadata!E483="",FALSE,TRUE)</f>
        <v>0</v>
      </c>
      <c r="AQ483" t="b">
        <f>OR(AND(IF(metadata!F483="",FALSE,TRUE),OR(EXACT(metadata!F483,"missing: not collected"),EXACT(metadata!F483,"missing: not provided"))),AND(IF(metadata!F483="",FALSE,TRUE),OR(EXACT(metadata!F483,"TRUE"),EXACT(metadata!F483,"FALSE"))))</f>
        <v>0</v>
      </c>
      <c r="AR483" t="b">
        <f>OR(AND(IF(metadata!G483="",FALSE,TRUE),OR(EXACT(metadata!G483,"missing: not collected"),EXACT(metadata!G483,"missing: not provided"),EXACT(metadata!G483,"missing: restricted access"))),AND(IF(metadata!G483="",FALSE,ISNUMBER(VALUE(metadata!G483))),metadata!G483&gt;=-413))</f>
        <v>0</v>
      </c>
      <c r="AS483" t="b">
        <f>AND(IF(metadata!H483="",FALSE,TRUE),EXACT(metadata!H483,"meters"))</f>
        <v>0</v>
      </c>
      <c r="AT483" t="b">
        <f>AND(IF(metadata!I483="",FALSE,TRUE),OR(EXACT(metadata!I483,"Host-associated"),EXACT(metadata!I483,"Free-living")))</f>
        <v>0</v>
      </c>
      <c r="AU483" t="b">
        <f>AND(IF(metadata!J483="",FALSE,TRUE),OR(EXACT(metadata!J483,"Animal"),EXACT(metadata!J483,"Fungus"),EXACT(metadata!J483,"Plant"),EXACT(metadata!J483,"Saline"),EXACT(metadata!J483,"Non-saline")))</f>
        <v>0</v>
      </c>
      <c r="AV483" t="b">
        <f>AND(IF(metadata!K483="",FALSE,TRUE),OR(EXACT(metadata!K483,"Plant secretion"),EXACT(metadata!K483,"Plant rhizosphere"),EXACT(metadata!K483,"Plant surface"),EXACT(metadata!K483,"Plant corpus"),EXACT(metadata!K483,"Fungus surface"),EXACT(metadata!K483,"Fungus corpus"),EXACT(metadata!K483,"Animal surface"),EXACT(metadata!K483,"Animal proximal gut"),EXACT(metadata!K483,"Animal corpus"),EXACT(metadata!K483,"Animal distal gut"),EXACT(metadata!K483,"Animal secretion"),EXACT(metadata!K483,"Sub-surface (non-saline)"),EXACT(metadata!K483,"Surface (non-saline)"),EXACT(metadata!K483,"Water (non-saline)"),EXACT(metadata!K483,"Soil (non-saline)"),EXACT(metadata!K483,"Aerosol (non-saline)"),EXACT(metadata!K483,"Sediment (non-saline)"),EXACT(metadata!K483,"Surface (saline)"),EXACT(metadata!K483,"Water (saline)"),EXACT(metadata!K483,"Hypersaline (saline)"),EXACT(metadata!K483,"Aerosol (saline)"),EXACT(metadata!K483,"Sediment (saline)")))</f>
        <v>0</v>
      </c>
      <c r="AW483" t="b">
        <f>IF(metadata!L483="",FALSE,TRUE)</f>
        <v>0</v>
      </c>
      <c r="AX483" t="b">
        <f>IF(metadata!M483="",FALSE,TRUE)</f>
        <v>0</v>
      </c>
      <c r="AY483" t="b">
        <f>IF(metadata!N483="",FALSE,TRUE)</f>
        <v>0</v>
      </c>
      <c r="AZ483" t="b">
        <f>OR(AND(IF(metadata!O483="",FALSE,TRUE),OR(EXACT(metadata!O483,"missing: not collected"),EXACT(metadata!O483,"missing: not provided"),EXACT(metadata!O483,"missing: restricted access"))),AND(IF(metadata!O483="",FALSE,TRUE),OR(EXACT(metadata!O483,"air"),EXACT(metadata!O483,"built environment"),EXACT(metadata!O483,"host-associated"),EXACT(metadata!O483,"human-associated"),EXACT(metadata!O483,"human-skin"),EXACT(metadata!O483,"human-oral"),EXACT(metadata!O483,"human-gut"),EXACT(metadata!O483,"human-vaginal"),EXACT(metadata!O483,"microbial mat/biofilm"),EXACT(metadata!O483,"misc environment"),EXACT(metadata!O483,"plant-associated"),EXACT(metadata!O483,"sediment"),EXACT(metadata!O483,"soil"),EXACT(metadata!O483,"wastewater/sludge"),EXACT(metadata!O483,"water"))))</f>
        <v>0</v>
      </c>
      <c r="BA483" t="b">
        <f>IF(metadata!P483="",FALSE,TRUE)</f>
        <v>0</v>
      </c>
      <c r="BB483" t="b">
        <f>IF(metadata!Q483="",FALSE,TRUE)</f>
        <v>0</v>
      </c>
      <c r="BC483" t="b">
        <f>OR(AND(IF(metadata!R483="",FALSE,TRUE),OR(EXACT(metadata!R483,"missing: not collected"),EXACT(metadata!R483,"missing: not provided"),EXACT(metadata!R483,"missing: restricted access"))),AND(IF(metadata!R483="",FALSE,ISNUMBER(VALUE(metadata!R483))),metadata!R483&gt;=-90,metadata!R483&lt;=90))</f>
        <v>0</v>
      </c>
      <c r="BD483" t="b">
        <f>AND(IF(metadata!S483="",FALSE,TRUE),EXACT(metadata!S483,"Decimal degrees"))</f>
        <v>0</v>
      </c>
      <c r="BE483" t="b">
        <f>OR(AND(IF(metadata!T483="",FALSE,TRUE),OR(EXACT(metadata!T483,"missing: not collected"),EXACT(metadata!T483,"missing: not provided"),EXACT(metadata!T483,"missing: restricted access"))),AND(IF(metadata!T483="",FALSE,ISNUMBER(VALUE(metadata!T483))),metadata!T483&gt;=-180,metadata!T483&lt;=180))</f>
        <v>0</v>
      </c>
      <c r="BF483" t="b">
        <f>AND(IF(metadata!U483="",FALSE,TRUE),EXACT(metadata!U483,"Decimal degrees"))</f>
        <v>0</v>
      </c>
      <c r="BG483" t="b">
        <f>IF(metadata!V483="",FALSE,TRUE)</f>
        <v>0</v>
      </c>
      <c r="BH483" t="b">
        <f>OR(AND(IF(metadata!W483="",FALSE,TRUE),OR(EXACT(metadata!W483,"missing: not collected"),EXACT(metadata!W483,"missing: not provided"),EXACT(metadata!W483,"missing: restricted access"))),AND(IF(metadata!W483="",FALSE,TRUE),OR(EXACT(metadata!W483,"TRUE"),EXACT(metadata!W483,"FALSE"))))</f>
        <v>0</v>
      </c>
      <c r="BI483" t="b">
        <f>AND(IF(metadata!X483="",FALSE,TRUE),EXACT(metadata!X483,"other"))</f>
        <v>0</v>
      </c>
      <c r="BJ483" t="b">
        <f>IF(metadata!Y483="",FALSE,TRUE)</f>
        <v>0</v>
      </c>
      <c r="BK483" t="b">
        <f>OR(AND(IF(metadata!Z483="",FALSE,TRUE),OR(EXACT(metadata!Z483,"missing: not collected"),EXACT(metadata!Z483,"missing: not provided"))),AND(IF(metadata!Z483="",FALSE,IF(ISERROR(INT(metadata!Z483)),FALSE,INT(metadata!Z483)=metadata!Z483)),metadata!Z483&gt;0))</f>
        <v>0</v>
      </c>
      <c r="BL483" t="b">
        <f>AND(IF(metadata!AA483="",FALSE,TRUE),EXACT(metadata!AA483,"Not applicable"))</f>
        <v>0</v>
      </c>
      <c r="BM483" t="b">
        <f>IF(metadata!AB483="",FALSE,TRUE)</f>
        <v>0</v>
      </c>
    </row>
    <row r="484" spans="1:65" x14ac:dyDescent="0.2">
      <c r="A484" s="5" t="str">
        <f ca="1">IF(B484=" "," ",HYPERLINK(CONCATENATE("#metadata!",ADDRESS(INDEX($AH$2:$AH$1001,MATCH(ROWS($AF$2:AF484),$AF$2:$AF$1001,0),0),1)),INDEX($AK$2:$AK$1001,MATCH(ROWS($AF$2:AF484),$AF$2:$AF$1001,0),0)))</f>
        <v xml:space="preserve"> </v>
      </c>
      <c r="B484" s="4" t="str">
        <f ca="1">IF(OR(INDEX($AG$2:$AG$1001,MATCH(ROWS($AF$2:AF484),$AF$2:$AF$1001,0),1)&gt;=100000,INDEX($AM$1005:$BM$1005,1,MATCH(COLUMNS($AM$1006:AM1006),$AM$1006:$BM$1006,0))&gt;=100000), " ",IF(INDEX($AM$2:$BM$1001,MATCH(ROWS($AF$2:AF484),$AF$2:$AF$1001,0),MATCH(COLUMNS($AM$1006:AM1006),$AM$1006:$BM$1006,0)), HYPERLINK("#",""), HYPERLINK(CONCATENATE("#metadata!", ADDRESS(INDEX($AH$2:$AH$1001,MATCH(ROWS($AF$2:AF484),$AF$2:$AF$1001,0),0), INDEX($AM$1004:$BM$1004,1,MATCH(COLUMNS($AM$1006:AM1006),$AM$1006:$BM$1006,0)))),"Fix")))</f>
        <v xml:space="preserve"> </v>
      </c>
      <c r="C484" s="4" t="str">
        <f ca="1">IF(OR(INDEX($AG$2:$AG$1001,MATCH(ROWS($AF$2:AF484),$AF$2:$AF$1001,0),1)&gt;=100000,INDEX($AM$1005:$BM$1005,1,MATCH(COLUMNS($AM$1006:AN1006),$AM$1006:$BM$1006,0))&gt;=100000), " ",IF(INDEX($AM$2:$BM$1001,MATCH(ROWS($AF$2:AF484),$AF$2:$AF$1001,0),MATCH(COLUMNS($AM$1006:AN1006),$AM$1006:$BM$1006,0)), HYPERLINK("#",""), HYPERLINK(CONCATENATE("#metadata!", ADDRESS(INDEX($AH$2:$AH$1001,MATCH(ROWS($AF$2:AF484),$AF$2:$AF$1001,0),0), INDEX($AM$1004:$BM$1004,1,MATCH(COLUMNS($AM$1006:AN1006),$AM$1006:$BM$1006,0)))),"Fix")))</f>
        <v xml:space="preserve"> </v>
      </c>
      <c r="D484" s="4" t="str">
        <f ca="1">IF(OR(INDEX($AG$2:$AG$1001,MATCH(ROWS($AF$2:AF484),$AF$2:$AF$1001,0),1)&gt;=100000,INDEX($AM$1005:$BM$1005,1,MATCH(COLUMNS($AM$1006:AO1006),$AM$1006:$BM$1006,0))&gt;=100000), " ",IF(INDEX($AM$2:$BM$1001,MATCH(ROWS($AF$2:AF484),$AF$2:$AF$1001,0),MATCH(COLUMNS($AM$1006:AO1006),$AM$1006:$BM$1006,0)), HYPERLINK("#",""), HYPERLINK(CONCATENATE("#metadata!", ADDRESS(INDEX($AH$2:$AH$1001,MATCH(ROWS($AF$2:AF484),$AF$2:$AF$1001,0),0), INDEX($AM$1004:$BM$1004,1,MATCH(COLUMNS($AM$1006:AO1006),$AM$1006:$BM$1006,0)))),"Fix")))</f>
        <v xml:space="preserve"> </v>
      </c>
      <c r="E484" s="4" t="str">
        <f ca="1">IF(OR(INDEX($AG$2:$AG$1001,MATCH(ROWS($AF$2:AF484),$AF$2:$AF$1001,0),1)&gt;=100000,INDEX($AM$1005:$BM$1005,1,MATCH(COLUMNS($AM$1006:AP1006),$AM$1006:$BM$1006,0))&gt;=100000), " ",IF(INDEX($AM$2:$BM$1001,MATCH(ROWS($AF$2:AF484),$AF$2:$AF$1001,0),MATCH(COLUMNS($AM$1006:AP1006),$AM$1006:$BM$1006,0)), HYPERLINK("#",""), HYPERLINK(CONCATENATE("#metadata!", ADDRESS(INDEX($AH$2:$AH$1001,MATCH(ROWS($AF$2:AF484),$AF$2:$AF$1001,0),0), INDEX($AM$1004:$BM$1004,1,MATCH(COLUMNS($AM$1006:AP1006),$AM$1006:$BM$1006,0)))),"Fix")))</f>
        <v xml:space="preserve"> </v>
      </c>
      <c r="F484" s="4" t="str">
        <f ca="1">IF(OR(INDEX($AG$2:$AG$1001,MATCH(ROWS($AF$2:AF484),$AF$2:$AF$1001,0),1)&gt;=100000,INDEX($AM$1005:$BM$1005,1,MATCH(COLUMNS($AM$1006:AQ1006),$AM$1006:$BM$1006,0))&gt;=100000), " ",IF(INDEX($AM$2:$BM$1001,MATCH(ROWS($AF$2:AF484),$AF$2:$AF$1001,0),MATCH(COLUMNS($AM$1006:AQ1006),$AM$1006:$BM$1006,0)), HYPERLINK("#",""), HYPERLINK(CONCATENATE("#metadata!", ADDRESS(INDEX($AH$2:$AH$1001,MATCH(ROWS($AF$2:AF484),$AF$2:$AF$1001,0),0), INDEX($AM$1004:$BM$1004,1,MATCH(COLUMNS($AM$1006:AQ1006),$AM$1006:$BM$1006,0)))),"Fix")))</f>
        <v xml:space="preserve"> </v>
      </c>
      <c r="G484" s="4" t="str">
        <f ca="1">IF(OR(INDEX($AG$2:$AG$1001,MATCH(ROWS($AF$2:AF484),$AF$2:$AF$1001,0),1)&gt;=100000,INDEX($AM$1005:$BM$1005,1,MATCH(COLUMNS($AM$1006:AR1006),$AM$1006:$BM$1006,0))&gt;=100000), " ",IF(INDEX($AM$2:$BM$1001,MATCH(ROWS($AF$2:AF484),$AF$2:$AF$1001,0),MATCH(COLUMNS($AM$1006:AR1006),$AM$1006:$BM$1006,0)), HYPERLINK("#",""), HYPERLINK(CONCATENATE("#metadata!", ADDRESS(INDEX($AH$2:$AH$1001,MATCH(ROWS($AF$2:AF484),$AF$2:$AF$1001,0),0), INDEX($AM$1004:$BM$1004,1,MATCH(COLUMNS($AM$1006:AR1006),$AM$1006:$BM$1006,0)))),"Fix")))</f>
        <v xml:space="preserve"> </v>
      </c>
      <c r="H484" s="4" t="str">
        <f ca="1">IF(OR(INDEX($AG$2:$AG$1001,MATCH(ROWS($AF$2:AF484),$AF$2:$AF$1001,0),1)&gt;=100000,INDEX($AM$1005:$BM$1005,1,MATCH(COLUMNS($AM$1006:AS1006),$AM$1006:$BM$1006,0))&gt;=100000), " ",IF(INDEX($AM$2:$BM$1001,MATCH(ROWS($AF$2:AF484),$AF$2:$AF$1001,0),MATCH(COLUMNS($AM$1006:AS1006),$AM$1006:$BM$1006,0)), HYPERLINK("#",""), HYPERLINK(CONCATENATE("#metadata!", ADDRESS(INDEX($AH$2:$AH$1001,MATCH(ROWS($AF$2:AF484),$AF$2:$AF$1001,0),0), INDEX($AM$1004:$BM$1004,1,MATCH(COLUMNS($AM$1006:AS1006),$AM$1006:$BM$1006,0)))),"Fix")))</f>
        <v xml:space="preserve"> </v>
      </c>
      <c r="I484" s="4" t="str">
        <f ca="1">IF(OR(INDEX($AG$2:$AG$1001,MATCH(ROWS($AF$2:AF484),$AF$2:$AF$1001,0),1)&gt;=100000,INDEX($AM$1005:$BM$1005,1,MATCH(COLUMNS($AM$1006:AT1006),$AM$1006:$BM$1006,0))&gt;=100000), " ",IF(INDEX($AM$2:$BM$1001,MATCH(ROWS($AF$2:AF484),$AF$2:$AF$1001,0),MATCH(COLUMNS($AM$1006:AT1006),$AM$1006:$BM$1006,0)), HYPERLINK("#",""), HYPERLINK(CONCATENATE("#metadata!", ADDRESS(INDEX($AH$2:$AH$1001,MATCH(ROWS($AF$2:AF484),$AF$2:$AF$1001,0),0), INDEX($AM$1004:$BM$1004,1,MATCH(COLUMNS($AM$1006:AT1006),$AM$1006:$BM$1006,0)))),"Fix")))</f>
        <v xml:space="preserve"> </v>
      </c>
      <c r="J484" s="4" t="str">
        <f ca="1">IF(OR(INDEX($AG$2:$AG$1001,MATCH(ROWS($AF$2:AF484),$AF$2:$AF$1001,0),1)&gt;=100000,INDEX($AM$1005:$BM$1005,1,MATCH(COLUMNS($AM$1006:AU1006),$AM$1006:$BM$1006,0))&gt;=100000), " ",IF(INDEX($AM$2:$BM$1001,MATCH(ROWS($AF$2:AF484),$AF$2:$AF$1001,0),MATCH(COLUMNS($AM$1006:AU1006),$AM$1006:$BM$1006,0)), HYPERLINK("#",""), HYPERLINK(CONCATENATE("#metadata!", ADDRESS(INDEX($AH$2:$AH$1001,MATCH(ROWS($AF$2:AF484),$AF$2:$AF$1001,0),0), INDEX($AM$1004:$BM$1004,1,MATCH(COLUMNS($AM$1006:AU1006),$AM$1006:$BM$1006,0)))),"Fix")))</f>
        <v xml:space="preserve"> </v>
      </c>
      <c r="K484" s="4" t="str">
        <f ca="1">IF(OR(INDEX($AG$2:$AG$1001,MATCH(ROWS($AF$2:AF484),$AF$2:$AF$1001,0),1)&gt;=100000,INDEX($AM$1005:$BM$1005,1,MATCH(COLUMNS($AM$1006:AV1006),$AM$1006:$BM$1006,0))&gt;=100000), " ",IF(INDEX($AM$2:$BM$1001,MATCH(ROWS($AF$2:AF484),$AF$2:$AF$1001,0),MATCH(COLUMNS($AM$1006:AV1006),$AM$1006:$BM$1006,0)), HYPERLINK("#",""), HYPERLINK(CONCATENATE("#metadata!", ADDRESS(INDEX($AH$2:$AH$1001,MATCH(ROWS($AF$2:AF484),$AF$2:$AF$1001,0),0), INDEX($AM$1004:$BM$1004,1,MATCH(COLUMNS($AM$1006:AV1006),$AM$1006:$BM$1006,0)))),"Fix")))</f>
        <v xml:space="preserve"> </v>
      </c>
      <c r="L484" s="4" t="str">
        <f ca="1">IF(OR(INDEX($AG$2:$AG$1001,MATCH(ROWS($AF$2:AF484),$AF$2:$AF$1001,0),1)&gt;=100000,INDEX($AM$1005:$BM$1005,1,MATCH(COLUMNS($AM$1006:AW1006),$AM$1006:$BM$1006,0))&gt;=100000), " ",IF(INDEX($AM$2:$BM$1001,MATCH(ROWS($AF$2:AF484),$AF$2:$AF$1001,0),MATCH(COLUMNS($AM$1006:AW1006),$AM$1006:$BM$1006,0)), HYPERLINK("#",""), HYPERLINK(CONCATENATE("#metadata!", ADDRESS(INDEX($AH$2:$AH$1001,MATCH(ROWS($AF$2:AF484),$AF$2:$AF$1001,0),0), INDEX($AM$1004:$BM$1004,1,MATCH(COLUMNS($AM$1006:AW1006),$AM$1006:$BM$1006,0)))),"Fix")))</f>
        <v xml:space="preserve"> </v>
      </c>
      <c r="M484" s="4" t="str">
        <f ca="1">IF(OR(INDEX($AG$2:$AG$1001,MATCH(ROWS($AF$2:AF484),$AF$2:$AF$1001,0),1)&gt;=100000,INDEX($AM$1005:$BM$1005,1,MATCH(COLUMNS($AM$1006:AX1006),$AM$1006:$BM$1006,0))&gt;=100000), " ",IF(INDEX($AM$2:$BM$1001,MATCH(ROWS($AF$2:AF484),$AF$2:$AF$1001,0),MATCH(COLUMNS($AM$1006:AX1006),$AM$1006:$BM$1006,0)), HYPERLINK("#",""), HYPERLINK(CONCATENATE("#metadata!", ADDRESS(INDEX($AH$2:$AH$1001,MATCH(ROWS($AF$2:AF484),$AF$2:$AF$1001,0),0), INDEX($AM$1004:$BM$1004,1,MATCH(COLUMNS($AM$1006:AX1006),$AM$1006:$BM$1006,0)))),"Fix")))</f>
        <v xml:space="preserve"> </v>
      </c>
      <c r="N484" s="4" t="str">
        <f ca="1">IF(OR(INDEX($AG$2:$AG$1001,MATCH(ROWS($AF$2:AF484),$AF$2:$AF$1001,0),1)&gt;=100000,INDEX($AM$1005:$BM$1005,1,MATCH(COLUMNS($AM$1006:AY1006),$AM$1006:$BM$1006,0))&gt;=100000), " ",IF(INDEX($AM$2:$BM$1001,MATCH(ROWS($AF$2:AF484),$AF$2:$AF$1001,0),MATCH(COLUMNS($AM$1006:AY1006),$AM$1006:$BM$1006,0)), HYPERLINK("#",""), HYPERLINK(CONCATENATE("#metadata!", ADDRESS(INDEX($AH$2:$AH$1001,MATCH(ROWS($AF$2:AF484),$AF$2:$AF$1001,0),0), INDEX($AM$1004:$BM$1004,1,MATCH(COLUMNS($AM$1006:AY1006),$AM$1006:$BM$1006,0)))),"Fix")))</f>
        <v xml:space="preserve"> </v>
      </c>
      <c r="O484" s="4" t="str">
        <f ca="1">IF(OR(INDEX($AG$2:$AG$1001,MATCH(ROWS($AF$2:AF484),$AF$2:$AF$1001,0),1)&gt;=100000,INDEX($AM$1005:$BM$1005,1,MATCH(COLUMNS($AM$1006:AZ1006),$AM$1006:$BM$1006,0))&gt;=100000), " ",IF(INDEX($AM$2:$BM$1001,MATCH(ROWS($AF$2:AF484),$AF$2:$AF$1001,0),MATCH(COLUMNS($AM$1006:AZ1006),$AM$1006:$BM$1006,0)), HYPERLINK("#",""), HYPERLINK(CONCATENATE("#metadata!", ADDRESS(INDEX($AH$2:$AH$1001,MATCH(ROWS($AF$2:AF484),$AF$2:$AF$1001,0),0), INDEX($AM$1004:$BM$1004,1,MATCH(COLUMNS($AM$1006:AZ1006),$AM$1006:$BM$1006,0)))),"Fix")))</f>
        <v xml:space="preserve"> </v>
      </c>
      <c r="P484" s="4" t="str">
        <f ca="1">IF(OR(INDEX($AG$2:$AG$1001,MATCH(ROWS($AF$2:AF484),$AF$2:$AF$1001,0),1)&gt;=100000,INDEX($AM$1005:$BM$1005,1,MATCH(COLUMNS($AM$1006:BA1006),$AM$1006:$BM$1006,0))&gt;=100000), " ",IF(INDEX($AM$2:$BM$1001,MATCH(ROWS($AF$2:AF484),$AF$2:$AF$1001,0),MATCH(COLUMNS($AM$1006:BA1006),$AM$1006:$BM$1006,0)), HYPERLINK("#",""), HYPERLINK(CONCATENATE("#metadata!", ADDRESS(INDEX($AH$2:$AH$1001,MATCH(ROWS($AF$2:AF484),$AF$2:$AF$1001,0),0), INDEX($AM$1004:$BM$1004,1,MATCH(COLUMNS($AM$1006:BA1006),$AM$1006:$BM$1006,0)))),"Fix")))</f>
        <v xml:space="preserve"> </v>
      </c>
      <c r="Q484" s="4" t="str">
        <f ca="1">IF(OR(INDEX($AG$2:$AG$1001,MATCH(ROWS($AF$2:AF484),$AF$2:$AF$1001,0),1)&gt;=100000,INDEX($AM$1005:$BM$1005,1,MATCH(COLUMNS($AM$1006:BB1006),$AM$1006:$BM$1006,0))&gt;=100000), " ",IF(INDEX($AM$2:$BM$1001,MATCH(ROWS($AF$2:AF484),$AF$2:$AF$1001,0),MATCH(COLUMNS($AM$1006:BB1006),$AM$1006:$BM$1006,0)), HYPERLINK("#",""), HYPERLINK(CONCATENATE("#metadata!", ADDRESS(INDEX($AH$2:$AH$1001,MATCH(ROWS($AF$2:AF484),$AF$2:$AF$1001,0),0), INDEX($AM$1004:$BM$1004,1,MATCH(COLUMNS($AM$1006:BB1006),$AM$1006:$BM$1006,0)))),"Fix")))</f>
        <v xml:space="preserve"> </v>
      </c>
      <c r="R484" s="4" t="str">
        <f ca="1">IF(OR(INDEX($AG$2:$AG$1001,MATCH(ROWS($AF$2:AF484),$AF$2:$AF$1001,0),1)&gt;=100000,INDEX($AM$1005:$BM$1005,1,MATCH(COLUMNS($AM$1006:BC1006),$AM$1006:$BM$1006,0))&gt;=100000), " ",IF(INDEX($AM$2:$BM$1001,MATCH(ROWS($AF$2:AF484),$AF$2:$AF$1001,0),MATCH(COLUMNS($AM$1006:BC1006),$AM$1006:$BM$1006,0)), HYPERLINK("#",""), HYPERLINK(CONCATENATE("#metadata!", ADDRESS(INDEX($AH$2:$AH$1001,MATCH(ROWS($AF$2:AF484),$AF$2:$AF$1001,0),0), INDEX($AM$1004:$BM$1004,1,MATCH(COLUMNS($AM$1006:BC1006),$AM$1006:$BM$1006,0)))),"Fix")))</f>
        <v xml:space="preserve"> </v>
      </c>
      <c r="S484" s="4" t="str">
        <f ca="1">IF(OR(INDEX($AG$2:$AG$1001,MATCH(ROWS($AF$2:AF484),$AF$2:$AF$1001,0),1)&gt;=100000,INDEX($AM$1005:$BM$1005,1,MATCH(COLUMNS($AM$1006:BD1006),$AM$1006:$BM$1006,0))&gt;=100000), " ",IF(INDEX($AM$2:$BM$1001,MATCH(ROWS($AF$2:AF484),$AF$2:$AF$1001,0),MATCH(COLUMNS($AM$1006:BD1006),$AM$1006:$BM$1006,0)), HYPERLINK("#",""), HYPERLINK(CONCATENATE("#metadata!", ADDRESS(INDEX($AH$2:$AH$1001,MATCH(ROWS($AF$2:AF484),$AF$2:$AF$1001,0),0), INDEX($AM$1004:$BM$1004,1,MATCH(COLUMNS($AM$1006:BD1006),$AM$1006:$BM$1006,0)))),"Fix")))</f>
        <v xml:space="preserve"> </v>
      </c>
      <c r="T484" s="4" t="str">
        <f ca="1">IF(OR(INDEX($AG$2:$AG$1001,MATCH(ROWS($AF$2:AF484),$AF$2:$AF$1001,0),1)&gt;=100000,INDEX($AM$1005:$BM$1005,1,MATCH(COLUMNS($AM$1006:BE1006),$AM$1006:$BM$1006,0))&gt;=100000), " ",IF(INDEX($AM$2:$BM$1001,MATCH(ROWS($AF$2:AF484),$AF$2:$AF$1001,0),MATCH(COLUMNS($AM$1006:BE1006),$AM$1006:$BM$1006,0)), HYPERLINK("#",""), HYPERLINK(CONCATENATE("#metadata!", ADDRESS(INDEX($AH$2:$AH$1001,MATCH(ROWS($AF$2:AF484),$AF$2:$AF$1001,0),0), INDEX($AM$1004:$BM$1004,1,MATCH(COLUMNS($AM$1006:BE1006),$AM$1006:$BM$1006,0)))),"Fix")))</f>
        <v xml:space="preserve"> </v>
      </c>
      <c r="U484" s="4" t="str">
        <f ca="1">IF(OR(INDEX($AG$2:$AG$1001,MATCH(ROWS($AF$2:AF484),$AF$2:$AF$1001,0),1)&gt;=100000,INDEX($AM$1005:$BM$1005,1,MATCH(COLUMNS($AM$1006:BF1006),$AM$1006:$BM$1006,0))&gt;=100000), " ",IF(INDEX($AM$2:$BM$1001,MATCH(ROWS($AF$2:AF484),$AF$2:$AF$1001,0),MATCH(COLUMNS($AM$1006:BF1006),$AM$1006:$BM$1006,0)), HYPERLINK("#",""), HYPERLINK(CONCATENATE("#metadata!", ADDRESS(INDEX($AH$2:$AH$1001,MATCH(ROWS($AF$2:AF484),$AF$2:$AF$1001,0),0), INDEX($AM$1004:$BM$1004,1,MATCH(COLUMNS($AM$1006:BF1006),$AM$1006:$BM$1006,0)))),"Fix")))</f>
        <v xml:space="preserve"> </v>
      </c>
      <c r="V484" s="4" t="str">
        <f ca="1">IF(OR(INDEX($AG$2:$AG$1001,MATCH(ROWS($AF$2:AF484),$AF$2:$AF$1001,0),1)&gt;=100000,INDEX($AM$1005:$BM$1005,1,MATCH(COLUMNS($AM$1006:BG1006),$AM$1006:$BM$1006,0))&gt;=100000), " ",IF(INDEX($AM$2:$BM$1001,MATCH(ROWS($AF$2:AF484),$AF$2:$AF$1001,0),MATCH(COLUMNS($AM$1006:BG1006),$AM$1006:$BM$1006,0)), HYPERLINK("#",""), HYPERLINK(CONCATENATE("#metadata!", ADDRESS(INDEX($AH$2:$AH$1001,MATCH(ROWS($AF$2:AF484),$AF$2:$AF$1001,0),0), INDEX($AM$1004:$BM$1004,1,MATCH(COLUMNS($AM$1006:BG1006),$AM$1006:$BM$1006,0)))),"Fix")))</f>
        <v xml:space="preserve"> </v>
      </c>
      <c r="W484" s="4" t="str">
        <f ca="1">IF(OR(INDEX($AG$2:$AG$1001,MATCH(ROWS($AF$2:AF484),$AF$2:$AF$1001,0),1)&gt;=100000,INDEX($AM$1005:$BM$1005,1,MATCH(COLUMNS($AM$1006:BH1006),$AM$1006:$BM$1006,0))&gt;=100000), " ",IF(INDEX($AM$2:$BM$1001,MATCH(ROWS($AF$2:AF484),$AF$2:$AF$1001,0),MATCH(COLUMNS($AM$1006:BH1006),$AM$1006:$BM$1006,0)), HYPERLINK("#",""), HYPERLINK(CONCATENATE("#metadata!", ADDRESS(INDEX($AH$2:$AH$1001,MATCH(ROWS($AF$2:AF484),$AF$2:$AF$1001,0),0), INDEX($AM$1004:$BM$1004,1,MATCH(COLUMNS($AM$1006:BH1006),$AM$1006:$BM$1006,0)))),"Fix")))</f>
        <v xml:space="preserve"> </v>
      </c>
      <c r="X484" s="4" t="str">
        <f ca="1">IF(OR(INDEX($AG$2:$AG$1001,MATCH(ROWS($AF$2:AF484),$AF$2:$AF$1001,0),1)&gt;=100000,INDEX($AM$1005:$BM$1005,1,MATCH(COLUMNS($AM$1006:BI1006),$AM$1006:$BM$1006,0))&gt;=100000), " ",IF(INDEX($AM$2:$BM$1001,MATCH(ROWS($AF$2:AF484),$AF$2:$AF$1001,0),MATCH(COLUMNS($AM$1006:BI1006),$AM$1006:$BM$1006,0)), HYPERLINK("#",""), HYPERLINK(CONCATENATE("#metadata!", ADDRESS(INDEX($AH$2:$AH$1001,MATCH(ROWS($AF$2:AF484),$AF$2:$AF$1001,0),0), INDEX($AM$1004:$BM$1004,1,MATCH(COLUMNS($AM$1006:BI1006),$AM$1006:$BM$1006,0)))),"Fix")))</f>
        <v xml:space="preserve"> </v>
      </c>
      <c r="Y484" s="4" t="str">
        <f ca="1">IF(OR(INDEX($AG$2:$AG$1001,MATCH(ROWS($AF$2:AF484),$AF$2:$AF$1001,0),1)&gt;=100000,INDEX($AM$1005:$BM$1005,1,MATCH(COLUMNS($AM$1006:BJ1006),$AM$1006:$BM$1006,0))&gt;=100000), " ",IF(INDEX($AM$2:$BM$1001,MATCH(ROWS($AF$2:AF484),$AF$2:$AF$1001,0),MATCH(COLUMNS($AM$1006:BJ1006),$AM$1006:$BM$1006,0)), HYPERLINK("#",""), HYPERLINK(CONCATENATE("#metadata!", ADDRESS(INDEX($AH$2:$AH$1001,MATCH(ROWS($AF$2:AF484),$AF$2:$AF$1001,0),0), INDEX($AM$1004:$BM$1004,1,MATCH(COLUMNS($AM$1006:BJ1006),$AM$1006:$BM$1006,0)))),"Fix")))</f>
        <v xml:space="preserve"> </v>
      </c>
      <c r="Z484" s="4" t="str">
        <f ca="1">IF(OR(INDEX($AG$2:$AG$1001,MATCH(ROWS($AF$2:AF484),$AF$2:$AF$1001,0),1)&gt;=100000,INDEX($AM$1005:$BM$1005,1,MATCH(COLUMNS($AM$1006:BK1006),$AM$1006:$BM$1006,0))&gt;=100000), " ",IF(INDEX($AM$2:$BM$1001,MATCH(ROWS($AF$2:AF484),$AF$2:$AF$1001,0),MATCH(COLUMNS($AM$1006:BK1006),$AM$1006:$BM$1006,0)), HYPERLINK("#",""), HYPERLINK(CONCATENATE("#metadata!", ADDRESS(INDEX($AH$2:$AH$1001,MATCH(ROWS($AF$2:AF484),$AF$2:$AF$1001,0),0), INDEX($AM$1004:$BM$1004,1,MATCH(COLUMNS($AM$1006:BK1006),$AM$1006:$BM$1006,0)))),"Fix")))</f>
        <v xml:space="preserve"> </v>
      </c>
      <c r="AA484" s="4" t="str">
        <f ca="1">IF(OR(INDEX($AG$2:$AG$1001,MATCH(ROWS($AF$2:AF484),$AF$2:$AF$1001,0),1)&gt;=100000,INDEX($AM$1005:$BM$1005,1,MATCH(COLUMNS($AM$1006:BL1006),$AM$1006:$BM$1006,0))&gt;=100000), " ",IF(INDEX($AM$2:$BM$1001,MATCH(ROWS($AF$2:AF484),$AF$2:$AF$1001,0),MATCH(COLUMNS($AM$1006:BL1006),$AM$1006:$BM$1006,0)), HYPERLINK("#",""), HYPERLINK(CONCATENATE("#metadata!", ADDRESS(INDEX($AH$2:$AH$1001,MATCH(ROWS($AF$2:AF484),$AF$2:$AF$1001,0),0), INDEX($AM$1004:$BM$1004,1,MATCH(COLUMNS($AM$1006:BL1006),$AM$1006:$BM$1006,0)))),"Fix")))</f>
        <v xml:space="preserve"> </v>
      </c>
      <c r="AB484" s="4" t="str">
        <f ca="1">IF(OR(INDEX($AG$2:$AG$1001,MATCH(ROWS($AF$2:AF484),$AF$2:$AF$1001,0),1)&gt;=100000,INDEX($AM$1005:$BM$1005,1,MATCH(COLUMNS($AM$1006:BM1006),$AM$1006:$BM$1006,0))&gt;=100000), " ",IF(INDEX($AM$2:$BM$1001,MATCH(ROWS($AF$2:AF484),$AF$2:$AF$1001,0),MATCH(COLUMNS($AM$1006:BM1006),$AM$1006:$BM$1006,0)), HYPERLINK("#",""), HYPERLINK(CONCATENATE("#metadata!", ADDRESS(INDEX($AH$2:$AH$1001,MATCH(ROWS($AF$2:AF484),$AF$2:$AF$1001,0),0), INDEX($AM$1004:$BM$1004,1,MATCH(COLUMNS($AM$1006:BM1006),$AM$1006:$BM$1006,0)))),"Fix")))</f>
        <v xml:space="preserve"> </v>
      </c>
      <c r="AF484">
        <v>483</v>
      </c>
      <c r="AG484">
        <v>100484</v>
      </c>
      <c r="AH484">
        <v>484</v>
      </c>
      <c r="AI484" t="b">
        <f t="shared" si="7"/>
        <v>1</v>
      </c>
      <c r="AJ484" t="b">
        <f>COUNTBLANK(metadata!B484:AB484)=COLUMNS(metadata!B484:AB484)</f>
        <v>1</v>
      </c>
      <c r="AK484" t="str">
        <v/>
      </c>
      <c r="AM484" t="b">
        <f ca="1">AND(IF(metadata!B484="",FALSE,TRUE),COUNTIF(metadata!B:B, metadata!B484) = 1,NOT(ISERROR(SUMPRODUCT(SEARCH(MID(metadata!B484,ROW(INDIRECT("1:"&amp;LEN(metadata!B484))), 1),"0123456789abcdefghijklmnopqrstuvwxyzABCDEFGHIJKLMNOPQRSTUVWXYZ.")))))</f>
        <v>0</v>
      </c>
      <c r="AN484" t="b">
        <f ca="1">OR(AND(IF(metadata!C484="",FALSE,TRUE),OR(EXACT(metadata!C484,"missing: not collected"),EXACT(metadata!C484,"missing: not provided"),EXACT(metadata!C484,"missing: restricted access"))),AND(IF(metadata!C484="",FALSE,TRUE),AND(AND(IFERROR(INT(LEFT(metadata!C484,4))&gt;1900,FALSE),IFERROR(INT(LEFT(metadata!C484,4))&lt;=YEAR(NOW()),FALSE)), OR(MID(metadata!C484,5,1)="", AND(AND(MID(metadata!C484,5,1)="-",IFERROR(INT(MID(metadata!C484,6,1))&gt;=0,FALSE),IFERROR(INT(MID(metadata!C484,6,1))&lt;=1,FALSE),NOT(MID(metadata!C484,7,1)=""),IFERROR(INT(MID(metadata!C484,6,2))&gt;=1,FALSE),IFERROR(INT(MID(metadata!C484,6,2))&lt;=12,FALSE)), OR(MID(metadata!C484,8,1)="", AND(AND(MID(metadata!C484,8,1)="-",IFERROR(INT(MID(metadata!C484,9,1))&gt;=0,FALSE),IFERROR(INT(MID(metadata!C484,9,1))&lt;=3,FALSE),NOT(MID(metadata!C484,10,1)=""),IFERROR(INT(MID(metadata!C484,9,2))&gt;=1,FALSE),IFERROR(INT(MID(metadata!C484,9,2))&lt;=31,FALSE)), OR(MID(metadata!C484,11,1)="", AND(AND(MID(metadata!C484,11,1)=" ",IFERROR(INT(MID(metadata!C484,12,1))&gt;=0,FALSE),IFERROR(INT(MID(metadata!C484,12,1))&lt;=2,FALSE),NOT(MID(metadata!C484,13,1)=""),IFERROR(INT(MID(metadata!C484,12,2))&gt;=0,FALSE),IFERROR(INT(MID(metadata!C484,12,2))&lt;=23,FALSE)), OR(MID(metadata!C484,14,1)="", AND(AND(MID(metadata!C484,14,1)=":",IFERROR(INT(MID(metadata!C484,15,1))&gt;=0,FALSE),IFERROR(INT(MID(metadata!C484,15,1))&lt;=5,FALSE),NOT(MID(metadata!C484,16,1)=""),IFERROR(INT(MID(metadata!C484,15,2))&gt;=0,FALSE),IFERROR(INT(MID(metadata!C484,15,2))&lt;=59,FALSE)), OR(MID(metadata!C484,17,1)="", AND(AND(MID(metadata!C484,17,1)=":",IFERROR(INT(MID(metadata!C484,18,1))&gt;=0,FALSE),IFERROR(INT(MID(metadata!C484,18,1))&lt;=5,FALSE),NOT(MID(metadata!C484,19,1)=""),IFERROR(INT(MID(metadata!C484,18,2))&gt;=0,FALSE),IFERROR(INT(MID(metadata!C484,18,2))&lt;=59,FALSE)), LEN(metadata!C484)&lt;=19)))))))))))))</f>
        <v>0</v>
      </c>
      <c r="AO484" t="b">
        <f>AND(IF(metadata!D484="",FALSE,TRUE),EXACT(metadata!D484,"Not applicable"))</f>
        <v>0</v>
      </c>
      <c r="AP484" t="b">
        <f>IF(metadata!E484="",FALSE,TRUE)</f>
        <v>0</v>
      </c>
      <c r="AQ484" t="b">
        <f>OR(AND(IF(metadata!F484="",FALSE,TRUE),OR(EXACT(metadata!F484,"missing: not collected"),EXACT(metadata!F484,"missing: not provided"))),AND(IF(metadata!F484="",FALSE,TRUE),OR(EXACT(metadata!F484,"TRUE"),EXACT(metadata!F484,"FALSE"))))</f>
        <v>0</v>
      </c>
      <c r="AR484" t="b">
        <f>OR(AND(IF(metadata!G484="",FALSE,TRUE),OR(EXACT(metadata!G484,"missing: not collected"),EXACT(metadata!G484,"missing: not provided"),EXACT(metadata!G484,"missing: restricted access"))),AND(IF(metadata!G484="",FALSE,ISNUMBER(VALUE(metadata!G484))),metadata!G484&gt;=-413))</f>
        <v>0</v>
      </c>
      <c r="AS484" t="b">
        <f>AND(IF(metadata!H484="",FALSE,TRUE),EXACT(metadata!H484,"meters"))</f>
        <v>0</v>
      </c>
      <c r="AT484" t="b">
        <f>AND(IF(metadata!I484="",FALSE,TRUE),OR(EXACT(metadata!I484,"Host-associated"),EXACT(metadata!I484,"Free-living")))</f>
        <v>0</v>
      </c>
      <c r="AU484" t="b">
        <f>AND(IF(metadata!J484="",FALSE,TRUE),OR(EXACT(metadata!J484,"Animal"),EXACT(metadata!J484,"Fungus"),EXACT(metadata!J484,"Plant"),EXACT(metadata!J484,"Saline"),EXACT(metadata!J484,"Non-saline")))</f>
        <v>0</v>
      </c>
      <c r="AV484" t="b">
        <f>AND(IF(metadata!K484="",FALSE,TRUE),OR(EXACT(metadata!K484,"Plant secretion"),EXACT(metadata!K484,"Plant rhizosphere"),EXACT(metadata!K484,"Plant surface"),EXACT(metadata!K484,"Plant corpus"),EXACT(metadata!K484,"Fungus surface"),EXACT(metadata!K484,"Fungus corpus"),EXACT(metadata!K484,"Animal surface"),EXACT(metadata!K484,"Animal proximal gut"),EXACT(metadata!K484,"Animal corpus"),EXACT(metadata!K484,"Animal distal gut"),EXACT(metadata!K484,"Animal secretion"),EXACT(metadata!K484,"Sub-surface (non-saline)"),EXACT(metadata!K484,"Surface (non-saline)"),EXACT(metadata!K484,"Water (non-saline)"),EXACT(metadata!K484,"Soil (non-saline)"),EXACT(metadata!K484,"Aerosol (non-saline)"),EXACT(metadata!K484,"Sediment (non-saline)"),EXACT(metadata!K484,"Surface (saline)"),EXACT(metadata!K484,"Water (saline)"),EXACT(metadata!K484,"Hypersaline (saline)"),EXACT(metadata!K484,"Aerosol (saline)"),EXACT(metadata!K484,"Sediment (saline)")))</f>
        <v>0</v>
      </c>
      <c r="AW484" t="b">
        <f>IF(metadata!L484="",FALSE,TRUE)</f>
        <v>0</v>
      </c>
      <c r="AX484" t="b">
        <f>IF(metadata!M484="",FALSE,TRUE)</f>
        <v>0</v>
      </c>
      <c r="AY484" t="b">
        <f>IF(metadata!N484="",FALSE,TRUE)</f>
        <v>0</v>
      </c>
      <c r="AZ484" t="b">
        <f>OR(AND(IF(metadata!O484="",FALSE,TRUE),OR(EXACT(metadata!O484,"missing: not collected"),EXACT(metadata!O484,"missing: not provided"),EXACT(metadata!O484,"missing: restricted access"))),AND(IF(metadata!O484="",FALSE,TRUE),OR(EXACT(metadata!O484,"air"),EXACT(metadata!O484,"built environment"),EXACT(metadata!O484,"host-associated"),EXACT(metadata!O484,"human-associated"),EXACT(metadata!O484,"human-skin"),EXACT(metadata!O484,"human-oral"),EXACT(metadata!O484,"human-gut"),EXACT(metadata!O484,"human-vaginal"),EXACT(metadata!O484,"microbial mat/biofilm"),EXACT(metadata!O484,"misc environment"),EXACT(metadata!O484,"plant-associated"),EXACT(metadata!O484,"sediment"),EXACT(metadata!O484,"soil"),EXACT(metadata!O484,"wastewater/sludge"),EXACT(metadata!O484,"water"))))</f>
        <v>0</v>
      </c>
      <c r="BA484" t="b">
        <f>IF(metadata!P484="",FALSE,TRUE)</f>
        <v>0</v>
      </c>
      <c r="BB484" t="b">
        <f>IF(metadata!Q484="",FALSE,TRUE)</f>
        <v>0</v>
      </c>
      <c r="BC484" t="b">
        <f>OR(AND(IF(metadata!R484="",FALSE,TRUE),OR(EXACT(metadata!R484,"missing: not collected"),EXACT(metadata!R484,"missing: not provided"),EXACT(metadata!R484,"missing: restricted access"))),AND(IF(metadata!R484="",FALSE,ISNUMBER(VALUE(metadata!R484))),metadata!R484&gt;=-90,metadata!R484&lt;=90))</f>
        <v>0</v>
      </c>
      <c r="BD484" t="b">
        <f>AND(IF(metadata!S484="",FALSE,TRUE),EXACT(metadata!S484,"Decimal degrees"))</f>
        <v>0</v>
      </c>
      <c r="BE484" t="b">
        <f>OR(AND(IF(metadata!T484="",FALSE,TRUE),OR(EXACT(metadata!T484,"missing: not collected"),EXACT(metadata!T484,"missing: not provided"),EXACT(metadata!T484,"missing: restricted access"))),AND(IF(metadata!T484="",FALSE,ISNUMBER(VALUE(metadata!T484))),metadata!T484&gt;=-180,metadata!T484&lt;=180))</f>
        <v>0</v>
      </c>
      <c r="BF484" t="b">
        <f>AND(IF(metadata!U484="",FALSE,TRUE),EXACT(metadata!U484,"Decimal degrees"))</f>
        <v>0</v>
      </c>
      <c r="BG484" t="b">
        <f>IF(metadata!V484="",FALSE,TRUE)</f>
        <v>0</v>
      </c>
      <c r="BH484" t="b">
        <f>OR(AND(IF(metadata!W484="",FALSE,TRUE),OR(EXACT(metadata!W484,"missing: not collected"),EXACT(metadata!W484,"missing: not provided"),EXACT(metadata!W484,"missing: restricted access"))),AND(IF(metadata!W484="",FALSE,TRUE),OR(EXACT(metadata!W484,"TRUE"),EXACT(metadata!W484,"FALSE"))))</f>
        <v>0</v>
      </c>
      <c r="BI484" t="b">
        <f>AND(IF(metadata!X484="",FALSE,TRUE),EXACT(metadata!X484,"other"))</f>
        <v>0</v>
      </c>
      <c r="BJ484" t="b">
        <f>IF(metadata!Y484="",FALSE,TRUE)</f>
        <v>0</v>
      </c>
      <c r="BK484" t="b">
        <f>OR(AND(IF(metadata!Z484="",FALSE,TRUE),OR(EXACT(metadata!Z484,"missing: not collected"),EXACT(metadata!Z484,"missing: not provided"))),AND(IF(metadata!Z484="",FALSE,IF(ISERROR(INT(metadata!Z484)),FALSE,INT(metadata!Z484)=metadata!Z484)),metadata!Z484&gt;0))</f>
        <v>0</v>
      </c>
      <c r="BL484" t="b">
        <f>AND(IF(metadata!AA484="",FALSE,TRUE),EXACT(metadata!AA484,"Not applicable"))</f>
        <v>0</v>
      </c>
      <c r="BM484" t="b">
        <f>IF(metadata!AB484="",FALSE,TRUE)</f>
        <v>0</v>
      </c>
    </row>
    <row r="485" spans="1:65" x14ac:dyDescent="0.2">
      <c r="A485" s="5" t="str">
        <f ca="1">IF(B485=" "," ",HYPERLINK(CONCATENATE("#metadata!",ADDRESS(INDEX($AH$2:$AH$1001,MATCH(ROWS($AF$2:AF485),$AF$2:$AF$1001,0),0),1)),INDEX($AK$2:$AK$1001,MATCH(ROWS($AF$2:AF485),$AF$2:$AF$1001,0),0)))</f>
        <v xml:space="preserve"> </v>
      </c>
      <c r="B485" s="4" t="str">
        <f ca="1">IF(OR(INDEX($AG$2:$AG$1001,MATCH(ROWS($AF$2:AF485),$AF$2:$AF$1001,0),1)&gt;=100000,INDEX($AM$1005:$BM$1005,1,MATCH(COLUMNS($AM$1006:AM1006),$AM$1006:$BM$1006,0))&gt;=100000), " ",IF(INDEX($AM$2:$BM$1001,MATCH(ROWS($AF$2:AF485),$AF$2:$AF$1001,0),MATCH(COLUMNS($AM$1006:AM1006),$AM$1006:$BM$1006,0)), HYPERLINK("#",""), HYPERLINK(CONCATENATE("#metadata!", ADDRESS(INDEX($AH$2:$AH$1001,MATCH(ROWS($AF$2:AF485),$AF$2:$AF$1001,0),0), INDEX($AM$1004:$BM$1004,1,MATCH(COLUMNS($AM$1006:AM1006),$AM$1006:$BM$1006,0)))),"Fix")))</f>
        <v xml:space="preserve"> </v>
      </c>
      <c r="C485" s="4" t="str">
        <f ca="1">IF(OR(INDEX($AG$2:$AG$1001,MATCH(ROWS($AF$2:AF485),$AF$2:$AF$1001,0),1)&gt;=100000,INDEX($AM$1005:$BM$1005,1,MATCH(COLUMNS($AM$1006:AN1006),$AM$1006:$BM$1006,0))&gt;=100000), " ",IF(INDEX($AM$2:$BM$1001,MATCH(ROWS($AF$2:AF485),$AF$2:$AF$1001,0),MATCH(COLUMNS($AM$1006:AN1006),$AM$1006:$BM$1006,0)), HYPERLINK("#",""), HYPERLINK(CONCATENATE("#metadata!", ADDRESS(INDEX($AH$2:$AH$1001,MATCH(ROWS($AF$2:AF485),$AF$2:$AF$1001,0),0), INDEX($AM$1004:$BM$1004,1,MATCH(COLUMNS($AM$1006:AN1006),$AM$1006:$BM$1006,0)))),"Fix")))</f>
        <v xml:space="preserve"> </v>
      </c>
      <c r="D485" s="4" t="str">
        <f ca="1">IF(OR(INDEX($AG$2:$AG$1001,MATCH(ROWS($AF$2:AF485),$AF$2:$AF$1001,0),1)&gt;=100000,INDEX($AM$1005:$BM$1005,1,MATCH(COLUMNS($AM$1006:AO1006),$AM$1006:$BM$1006,0))&gt;=100000), " ",IF(INDEX($AM$2:$BM$1001,MATCH(ROWS($AF$2:AF485),$AF$2:$AF$1001,0),MATCH(COLUMNS($AM$1006:AO1006),$AM$1006:$BM$1006,0)), HYPERLINK("#",""), HYPERLINK(CONCATENATE("#metadata!", ADDRESS(INDEX($AH$2:$AH$1001,MATCH(ROWS($AF$2:AF485),$AF$2:$AF$1001,0),0), INDEX($AM$1004:$BM$1004,1,MATCH(COLUMNS($AM$1006:AO1006),$AM$1006:$BM$1006,0)))),"Fix")))</f>
        <v xml:space="preserve"> </v>
      </c>
      <c r="E485" s="4" t="str">
        <f ca="1">IF(OR(INDEX($AG$2:$AG$1001,MATCH(ROWS($AF$2:AF485),$AF$2:$AF$1001,0),1)&gt;=100000,INDEX($AM$1005:$BM$1005,1,MATCH(COLUMNS($AM$1006:AP1006),$AM$1006:$BM$1006,0))&gt;=100000), " ",IF(INDEX($AM$2:$BM$1001,MATCH(ROWS($AF$2:AF485),$AF$2:$AF$1001,0),MATCH(COLUMNS($AM$1006:AP1006),$AM$1006:$BM$1006,0)), HYPERLINK("#",""), HYPERLINK(CONCATENATE("#metadata!", ADDRESS(INDEX($AH$2:$AH$1001,MATCH(ROWS($AF$2:AF485),$AF$2:$AF$1001,0),0), INDEX($AM$1004:$BM$1004,1,MATCH(COLUMNS($AM$1006:AP1006),$AM$1006:$BM$1006,0)))),"Fix")))</f>
        <v xml:space="preserve"> </v>
      </c>
      <c r="F485" s="4" t="str">
        <f ca="1">IF(OR(INDEX($AG$2:$AG$1001,MATCH(ROWS($AF$2:AF485),$AF$2:$AF$1001,0),1)&gt;=100000,INDEX($AM$1005:$BM$1005,1,MATCH(COLUMNS($AM$1006:AQ1006),$AM$1006:$BM$1006,0))&gt;=100000), " ",IF(INDEX($AM$2:$BM$1001,MATCH(ROWS($AF$2:AF485),$AF$2:$AF$1001,0),MATCH(COLUMNS($AM$1006:AQ1006),$AM$1006:$BM$1006,0)), HYPERLINK("#",""), HYPERLINK(CONCATENATE("#metadata!", ADDRESS(INDEX($AH$2:$AH$1001,MATCH(ROWS($AF$2:AF485),$AF$2:$AF$1001,0),0), INDEX($AM$1004:$BM$1004,1,MATCH(COLUMNS($AM$1006:AQ1006),$AM$1006:$BM$1006,0)))),"Fix")))</f>
        <v xml:space="preserve"> </v>
      </c>
      <c r="G485" s="4" t="str">
        <f ca="1">IF(OR(INDEX($AG$2:$AG$1001,MATCH(ROWS($AF$2:AF485),$AF$2:$AF$1001,0),1)&gt;=100000,INDEX($AM$1005:$BM$1005,1,MATCH(COLUMNS($AM$1006:AR1006),$AM$1006:$BM$1006,0))&gt;=100000), " ",IF(INDEX($AM$2:$BM$1001,MATCH(ROWS($AF$2:AF485),$AF$2:$AF$1001,0),MATCH(COLUMNS($AM$1006:AR1006),$AM$1006:$BM$1006,0)), HYPERLINK("#",""), HYPERLINK(CONCATENATE("#metadata!", ADDRESS(INDEX($AH$2:$AH$1001,MATCH(ROWS($AF$2:AF485),$AF$2:$AF$1001,0),0), INDEX($AM$1004:$BM$1004,1,MATCH(COLUMNS($AM$1006:AR1006),$AM$1006:$BM$1006,0)))),"Fix")))</f>
        <v xml:space="preserve"> </v>
      </c>
      <c r="H485" s="4" t="str">
        <f ca="1">IF(OR(INDEX($AG$2:$AG$1001,MATCH(ROWS($AF$2:AF485),$AF$2:$AF$1001,0),1)&gt;=100000,INDEX($AM$1005:$BM$1005,1,MATCH(COLUMNS($AM$1006:AS1006),$AM$1006:$BM$1006,0))&gt;=100000), " ",IF(INDEX($AM$2:$BM$1001,MATCH(ROWS($AF$2:AF485),$AF$2:$AF$1001,0),MATCH(COLUMNS($AM$1006:AS1006),$AM$1006:$BM$1006,0)), HYPERLINK("#",""), HYPERLINK(CONCATENATE("#metadata!", ADDRESS(INDEX($AH$2:$AH$1001,MATCH(ROWS($AF$2:AF485),$AF$2:$AF$1001,0),0), INDEX($AM$1004:$BM$1004,1,MATCH(COLUMNS($AM$1006:AS1006),$AM$1006:$BM$1006,0)))),"Fix")))</f>
        <v xml:space="preserve"> </v>
      </c>
      <c r="I485" s="4" t="str">
        <f ca="1">IF(OR(INDEX($AG$2:$AG$1001,MATCH(ROWS($AF$2:AF485),$AF$2:$AF$1001,0),1)&gt;=100000,INDEX($AM$1005:$BM$1005,1,MATCH(COLUMNS($AM$1006:AT1006),$AM$1006:$BM$1006,0))&gt;=100000), " ",IF(INDEX($AM$2:$BM$1001,MATCH(ROWS($AF$2:AF485),$AF$2:$AF$1001,0),MATCH(COLUMNS($AM$1006:AT1006),$AM$1006:$BM$1006,0)), HYPERLINK("#",""), HYPERLINK(CONCATENATE("#metadata!", ADDRESS(INDEX($AH$2:$AH$1001,MATCH(ROWS($AF$2:AF485),$AF$2:$AF$1001,0),0), INDEX($AM$1004:$BM$1004,1,MATCH(COLUMNS($AM$1006:AT1006),$AM$1006:$BM$1006,0)))),"Fix")))</f>
        <v xml:space="preserve"> </v>
      </c>
      <c r="J485" s="4" t="str">
        <f ca="1">IF(OR(INDEX($AG$2:$AG$1001,MATCH(ROWS($AF$2:AF485),$AF$2:$AF$1001,0),1)&gt;=100000,INDEX($AM$1005:$BM$1005,1,MATCH(COLUMNS($AM$1006:AU1006),$AM$1006:$BM$1006,0))&gt;=100000), " ",IF(INDEX($AM$2:$BM$1001,MATCH(ROWS($AF$2:AF485),$AF$2:$AF$1001,0),MATCH(COLUMNS($AM$1006:AU1006),$AM$1006:$BM$1006,0)), HYPERLINK("#",""), HYPERLINK(CONCATENATE("#metadata!", ADDRESS(INDEX($AH$2:$AH$1001,MATCH(ROWS($AF$2:AF485),$AF$2:$AF$1001,0),0), INDEX($AM$1004:$BM$1004,1,MATCH(COLUMNS($AM$1006:AU1006),$AM$1006:$BM$1006,0)))),"Fix")))</f>
        <v xml:space="preserve"> </v>
      </c>
      <c r="K485" s="4" t="str">
        <f ca="1">IF(OR(INDEX($AG$2:$AG$1001,MATCH(ROWS($AF$2:AF485),$AF$2:$AF$1001,0),1)&gt;=100000,INDEX($AM$1005:$BM$1005,1,MATCH(COLUMNS($AM$1006:AV1006),$AM$1006:$BM$1006,0))&gt;=100000), " ",IF(INDEX($AM$2:$BM$1001,MATCH(ROWS($AF$2:AF485),$AF$2:$AF$1001,0),MATCH(COLUMNS($AM$1006:AV1006),$AM$1006:$BM$1006,0)), HYPERLINK("#",""), HYPERLINK(CONCATENATE("#metadata!", ADDRESS(INDEX($AH$2:$AH$1001,MATCH(ROWS($AF$2:AF485),$AF$2:$AF$1001,0),0), INDEX($AM$1004:$BM$1004,1,MATCH(COLUMNS($AM$1006:AV1006),$AM$1006:$BM$1006,0)))),"Fix")))</f>
        <v xml:space="preserve"> </v>
      </c>
      <c r="L485" s="4" t="str">
        <f ca="1">IF(OR(INDEX($AG$2:$AG$1001,MATCH(ROWS($AF$2:AF485),$AF$2:$AF$1001,0),1)&gt;=100000,INDEX($AM$1005:$BM$1005,1,MATCH(COLUMNS($AM$1006:AW1006),$AM$1006:$BM$1006,0))&gt;=100000), " ",IF(INDEX($AM$2:$BM$1001,MATCH(ROWS($AF$2:AF485),$AF$2:$AF$1001,0),MATCH(COLUMNS($AM$1006:AW1006),$AM$1006:$BM$1006,0)), HYPERLINK("#",""), HYPERLINK(CONCATENATE("#metadata!", ADDRESS(INDEX($AH$2:$AH$1001,MATCH(ROWS($AF$2:AF485),$AF$2:$AF$1001,0),0), INDEX($AM$1004:$BM$1004,1,MATCH(COLUMNS($AM$1006:AW1006),$AM$1006:$BM$1006,0)))),"Fix")))</f>
        <v xml:space="preserve"> </v>
      </c>
      <c r="M485" s="4" t="str">
        <f ca="1">IF(OR(INDEX($AG$2:$AG$1001,MATCH(ROWS($AF$2:AF485),$AF$2:$AF$1001,0),1)&gt;=100000,INDEX($AM$1005:$BM$1005,1,MATCH(COLUMNS($AM$1006:AX1006),$AM$1006:$BM$1006,0))&gt;=100000), " ",IF(INDEX($AM$2:$BM$1001,MATCH(ROWS($AF$2:AF485),$AF$2:$AF$1001,0),MATCH(COLUMNS($AM$1006:AX1006),$AM$1006:$BM$1006,0)), HYPERLINK("#",""), HYPERLINK(CONCATENATE("#metadata!", ADDRESS(INDEX($AH$2:$AH$1001,MATCH(ROWS($AF$2:AF485),$AF$2:$AF$1001,0),0), INDEX($AM$1004:$BM$1004,1,MATCH(COLUMNS($AM$1006:AX1006),$AM$1006:$BM$1006,0)))),"Fix")))</f>
        <v xml:space="preserve"> </v>
      </c>
      <c r="N485" s="4" t="str">
        <f ca="1">IF(OR(INDEX($AG$2:$AG$1001,MATCH(ROWS($AF$2:AF485),$AF$2:$AF$1001,0),1)&gt;=100000,INDEX($AM$1005:$BM$1005,1,MATCH(COLUMNS($AM$1006:AY1006),$AM$1006:$BM$1006,0))&gt;=100000), " ",IF(INDEX($AM$2:$BM$1001,MATCH(ROWS($AF$2:AF485),$AF$2:$AF$1001,0),MATCH(COLUMNS($AM$1006:AY1006),$AM$1006:$BM$1006,0)), HYPERLINK("#",""), HYPERLINK(CONCATENATE("#metadata!", ADDRESS(INDEX($AH$2:$AH$1001,MATCH(ROWS($AF$2:AF485),$AF$2:$AF$1001,0),0), INDEX($AM$1004:$BM$1004,1,MATCH(COLUMNS($AM$1006:AY1006),$AM$1006:$BM$1006,0)))),"Fix")))</f>
        <v xml:space="preserve"> </v>
      </c>
      <c r="O485" s="4" t="str">
        <f ca="1">IF(OR(INDEX($AG$2:$AG$1001,MATCH(ROWS($AF$2:AF485),$AF$2:$AF$1001,0),1)&gt;=100000,INDEX($AM$1005:$BM$1005,1,MATCH(COLUMNS($AM$1006:AZ1006),$AM$1006:$BM$1006,0))&gt;=100000), " ",IF(INDEX($AM$2:$BM$1001,MATCH(ROWS($AF$2:AF485),$AF$2:$AF$1001,0),MATCH(COLUMNS($AM$1006:AZ1006),$AM$1006:$BM$1006,0)), HYPERLINK("#",""), HYPERLINK(CONCATENATE("#metadata!", ADDRESS(INDEX($AH$2:$AH$1001,MATCH(ROWS($AF$2:AF485),$AF$2:$AF$1001,0),0), INDEX($AM$1004:$BM$1004,1,MATCH(COLUMNS($AM$1006:AZ1006),$AM$1006:$BM$1006,0)))),"Fix")))</f>
        <v xml:space="preserve"> </v>
      </c>
      <c r="P485" s="4" t="str">
        <f ca="1">IF(OR(INDEX($AG$2:$AG$1001,MATCH(ROWS($AF$2:AF485),$AF$2:$AF$1001,0),1)&gt;=100000,INDEX($AM$1005:$BM$1005,1,MATCH(COLUMNS($AM$1006:BA1006),$AM$1006:$BM$1006,0))&gt;=100000), " ",IF(INDEX($AM$2:$BM$1001,MATCH(ROWS($AF$2:AF485),$AF$2:$AF$1001,0),MATCH(COLUMNS($AM$1006:BA1006),$AM$1006:$BM$1006,0)), HYPERLINK("#",""), HYPERLINK(CONCATENATE("#metadata!", ADDRESS(INDEX($AH$2:$AH$1001,MATCH(ROWS($AF$2:AF485),$AF$2:$AF$1001,0),0), INDEX($AM$1004:$BM$1004,1,MATCH(COLUMNS($AM$1006:BA1006),$AM$1006:$BM$1006,0)))),"Fix")))</f>
        <v xml:space="preserve"> </v>
      </c>
      <c r="Q485" s="4" t="str">
        <f ca="1">IF(OR(INDEX($AG$2:$AG$1001,MATCH(ROWS($AF$2:AF485),$AF$2:$AF$1001,0),1)&gt;=100000,INDEX($AM$1005:$BM$1005,1,MATCH(COLUMNS($AM$1006:BB1006),$AM$1006:$BM$1006,0))&gt;=100000), " ",IF(INDEX($AM$2:$BM$1001,MATCH(ROWS($AF$2:AF485),$AF$2:$AF$1001,0),MATCH(COLUMNS($AM$1006:BB1006),$AM$1006:$BM$1006,0)), HYPERLINK("#",""), HYPERLINK(CONCATENATE("#metadata!", ADDRESS(INDEX($AH$2:$AH$1001,MATCH(ROWS($AF$2:AF485),$AF$2:$AF$1001,0),0), INDEX($AM$1004:$BM$1004,1,MATCH(COLUMNS($AM$1006:BB1006),$AM$1006:$BM$1006,0)))),"Fix")))</f>
        <v xml:space="preserve"> </v>
      </c>
      <c r="R485" s="4" t="str">
        <f ca="1">IF(OR(INDEX($AG$2:$AG$1001,MATCH(ROWS($AF$2:AF485),$AF$2:$AF$1001,0),1)&gt;=100000,INDEX($AM$1005:$BM$1005,1,MATCH(COLUMNS($AM$1006:BC1006),$AM$1006:$BM$1006,0))&gt;=100000), " ",IF(INDEX($AM$2:$BM$1001,MATCH(ROWS($AF$2:AF485),$AF$2:$AF$1001,0),MATCH(COLUMNS($AM$1006:BC1006),$AM$1006:$BM$1006,0)), HYPERLINK("#",""), HYPERLINK(CONCATENATE("#metadata!", ADDRESS(INDEX($AH$2:$AH$1001,MATCH(ROWS($AF$2:AF485),$AF$2:$AF$1001,0),0), INDEX($AM$1004:$BM$1004,1,MATCH(COLUMNS($AM$1006:BC1006),$AM$1006:$BM$1006,0)))),"Fix")))</f>
        <v xml:space="preserve"> </v>
      </c>
      <c r="S485" s="4" t="str">
        <f ca="1">IF(OR(INDEX($AG$2:$AG$1001,MATCH(ROWS($AF$2:AF485),$AF$2:$AF$1001,0),1)&gt;=100000,INDEX($AM$1005:$BM$1005,1,MATCH(COLUMNS($AM$1006:BD1006),$AM$1006:$BM$1006,0))&gt;=100000), " ",IF(INDEX($AM$2:$BM$1001,MATCH(ROWS($AF$2:AF485),$AF$2:$AF$1001,0),MATCH(COLUMNS($AM$1006:BD1006),$AM$1006:$BM$1006,0)), HYPERLINK("#",""), HYPERLINK(CONCATENATE("#metadata!", ADDRESS(INDEX($AH$2:$AH$1001,MATCH(ROWS($AF$2:AF485),$AF$2:$AF$1001,0),0), INDEX($AM$1004:$BM$1004,1,MATCH(COLUMNS($AM$1006:BD1006),$AM$1006:$BM$1006,0)))),"Fix")))</f>
        <v xml:space="preserve"> </v>
      </c>
      <c r="T485" s="4" t="str">
        <f ca="1">IF(OR(INDEX($AG$2:$AG$1001,MATCH(ROWS($AF$2:AF485),$AF$2:$AF$1001,0),1)&gt;=100000,INDEX($AM$1005:$BM$1005,1,MATCH(COLUMNS($AM$1006:BE1006),$AM$1006:$BM$1006,0))&gt;=100000), " ",IF(INDEX($AM$2:$BM$1001,MATCH(ROWS($AF$2:AF485),$AF$2:$AF$1001,0),MATCH(COLUMNS($AM$1006:BE1006),$AM$1006:$BM$1006,0)), HYPERLINK("#",""), HYPERLINK(CONCATENATE("#metadata!", ADDRESS(INDEX($AH$2:$AH$1001,MATCH(ROWS($AF$2:AF485),$AF$2:$AF$1001,0),0), INDEX($AM$1004:$BM$1004,1,MATCH(COLUMNS($AM$1006:BE1006),$AM$1006:$BM$1006,0)))),"Fix")))</f>
        <v xml:space="preserve"> </v>
      </c>
      <c r="U485" s="4" t="str">
        <f ca="1">IF(OR(INDEX($AG$2:$AG$1001,MATCH(ROWS($AF$2:AF485),$AF$2:$AF$1001,0),1)&gt;=100000,INDEX($AM$1005:$BM$1005,1,MATCH(COLUMNS($AM$1006:BF1006),$AM$1006:$BM$1006,0))&gt;=100000), " ",IF(INDEX($AM$2:$BM$1001,MATCH(ROWS($AF$2:AF485),$AF$2:$AF$1001,0),MATCH(COLUMNS($AM$1006:BF1006),$AM$1006:$BM$1006,0)), HYPERLINK("#",""), HYPERLINK(CONCATENATE("#metadata!", ADDRESS(INDEX($AH$2:$AH$1001,MATCH(ROWS($AF$2:AF485),$AF$2:$AF$1001,0),0), INDEX($AM$1004:$BM$1004,1,MATCH(COLUMNS($AM$1006:BF1006),$AM$1006:$BM$1006,0)))),"Fix")))</f>
        <v xml:space="preserve"> </v>
      </c>
      <c r="V485" s="4" t="str">
        <f ca="1">IF(OR(INDEX($AG$2:$AG$1001,MATCH(ROWS($AF$2:AF485),$AF$2:$AF$1001,0),1)&gt;=100000,INDEX($AM$1005:$BM$1005,1,MATCH(COLUMNS($AM$1006:BG1006),$AM$1006:$BM$1006,0))&gt;=100000), " ",IF(INDEX($AM$2:$BM$1001,MATCH(ROWS($AF$2:AF485),$AF$2:$AF$1001,0),MATCH(COLUMNS($AM$1006:BG1006),$AM$1006:$BM$1006,0)), HYPERLINK("#",""), HYPERLINK(CONCATENATE("#metadata!", ADDRESS(INDEX($AH$2:$AH$1001,MATCH(ROWS($AF$2:AF485),$AF$2:$AF$1001,0),0), INDEX($AM$1004:$BM$1004,1,MATCH(COLUMNS($AM$1006:BG1006),$AM$1006:$BM$1006,0)))),"Fix")))</f>
        <v xml:space="preserve"> </v>
      </c>
      <c r="W485" s="4" t="str">
        <f ca="1">IF(OR(INDEX($AG$2:$AG$1001,MATCH(ROWS($AF$2:AF485),$AF$2:$AF$1001,0),1)&gt;=100000,INDEX($AM$1005:$BM$1005,1,MATCH(COLUMNS($AM$1006:BH1006),$AM$1006:$BM$1006,0))&gt;=100000), " ",IF(INDEX($AM$2:$BM$1001,MATCH(ROWS($AF$2:AF485),$AF$2:$AF$1001,0),MATCH(COLUMNS($AM$1006:BH1006),$AM$1006:$BM$1006,0)), HYPERLINK("#",""), HYPERLINK(CONCATENATE("#metadata!", ADDRESS(INDEX($AH$2:$AH$1001,MATCH(ROWS($AF$2:AF485),$AF$2:$AF$1001,0),0), INDEX($AM$1004:$BM$1004,1,MATCH(COLUMNS($AM$1006:BH1006),$AM$1006:$BM$1006,0)))),"Fix")))</f>
        <v xml:space="preserve"> </v>
      </c>
      <c r="X485" s="4" t="str">
        <f ca="1">IF(OR(INDEX($AG$2:$AG$1001,MATCH(ROWS($AF$2:AF485),$AF$2:$AF$1001,0),1)&gt;=100000,INDEX($AM$1005:$BM$1005,1,MATCH(COLUMNS($AM$1006:BI1006),$AM$1006:$BM$1006,0))&gt;=100000), " ",IF(INDEX($AM$2:$BM$1001,MATCH(ROWS($AF$2:AF485),$AF$2:$AF$1001,0),MATCH(COLUMNS($AM$1006:BI1006),$AM$1006:$BM$1006,0)), HYPERLINK("#",""), HYPERLINK(CONCATENATE("#metadata!", ADDRESS(INDEX($AH$2:$AH$1001,MATCH(ROWS($AF$2:AF485),$AF$2:$AF$1001,0),0), INDEX($AM$1004:$BM$1004,1,MATCH(COLUMNS($AM$1006:BI1006),$AM$1006:$BM$1006,0)))),"Fix")))</f>
        <v xml:space="preserve"> </v>
      </c>
      <c r="Y485" s="4" t="str">
        <f ca="1">IF(OR(INDEX($AG$2:$AG$1001,MATCH(ROWS($AF$2:AF485),$AF$2:$AF$1001,0),1)&gt;=100000,INDEX($AM$1005:$BM$1005,1,MATCH(COLUMNS($AM$1006:BJ1006),$AM$1006:$BM$1006,0))&gt;=100000), " ",IF(INDEX($AM$2:$BM$1001,MATCH(ROWS($AF$2:AF485),$AF$2:$AF$1001,0),MATCH(COLUMNS($AM$1006:BJ1006),$AM$1006:$BM$1006,0)), HYPERLINK("#",""), HYPERLINK(CONCATENATE("#metadata!", ADDRESS(INDEX($AH$2:$AH$1001,MATCH(ROWS($AF$2:AF485),$AF$2:$AF$1001,0),0), INDEX($AM$1004:$BM$1004,1,MATCH(COLUMNS($AM$1006:BJ1006),$AM$1006:$BM$1006,0)))),"Fix")))</f>
        <v xml:space="preserve"> </v>
      </c>
      <c r="Z485" s="4" t="str">
        <f ca="1">IF(OR(INDEX($AG$2:$AG$1001,MATCH(ROWS($AF$2:AF485),$AF$2:$AF$1001,0),1)&gt;=100000,INDEX($AM$1005:$BM$1005,1,MATCH(COLUMNS($AM$1006:BK1006),$AM$1006:$BM$1006,0))&gt;=100000), " ",IF(INDEX($AM$2:$BM$1001,MATCH(ROWS($AF$2:AF485),$AF$2:$AF$1001,0),MATCH(COLUMNS($AM$1006:BK1006),$AM$1006:$BM$1006,0)), HYPERLINK("#",""), HYPERLINK(CONCATENATE("#metadata!", ADDRESS(INDEX($AH$2:$AH$1001,MATCH(ROWS($AF$2:AF485),$AF$2:$AF$1001,0),0), INDEX($AM$1004:$BM$1004,1,MATCH(COLUMNS($AM$1006:BK1006),$AM$1006:$BM$1006,0)))),"Fix")))</f>
        <v xml:space="preserve"> </v>
      </c>
      <c r="AA485" s="4" t="str">
        <f ca="1">IF(OR(INDEX($AG$2:$AG$1001,MATCH(ROWS($AF$2:AF485),$AF$2:$AF$1001,0),1)&gt;=100000,INDEX($AM$1005:$BM$1005,1,MATCH(COLUMNS($AM$1006:BL1006),$AM$1006:$BM$1006,0))&gt;=100000), " ",IF(INDEX($AM$2:$BM$1001,MATCH(ROWS($AF$2:AF485),$AF$2:$AF$1001,0),MATCH(COLUMNS($AM$1006:BL1006),$AM$1006:$BM$1006,0)), HYPERLINK("#",""), HYPERLINK(CONCATENATE("#metadata!", ADDRESS(INDEX($AH$2:$AH$1001,MATCH(ROWS($AF$2:AF485),$AF$2:$AF$1001,0),0), INDEX($AM$1004:$BM$1004,1,MATCH(COLUMNS($AM$1006:BL1006),$AM$1006:$BM$1006,0)))),"Fix")))</f>
        <v xml:space="preserve"> </v>
      </c>
      <c r="AB485" s="4" t="str">
        <f ca="1">IF(OR(INDEX($AG$2:$AG$1001,MATCH(ROWS($AF$2:AF485),$AF$2:$AF$1001,0),1)&gt;=100000,INDEX($AM$1005:$BM$1005,1,MATCH(COLUMNS($AM$1006:BM1006),$AM$1006:$BM$1006,0))&gt;=100000), " ",IF(INDEX($AM$2:$BM$1001,MATCH(ROWS($AF$2:AF485),$AF$2:$AF$1001,0),MATCH(COLUMNS($AM$1006:BM1006),$AM$1006:$BM$1006,0)), HYPERLINK("#",""), HYPERLINK(CONCATENATE("#metadata!", ADDRESS(INDEX($AH$2:$AH$1001,MATCH(ROWS($AF$2:AF485),$AF$2:$AF$1001,0),0), INDEX($AM$1004:$BM$1004,1,MATCH(COLUMNS($AM$1006:BM1006),$AM$1006:$BM$1006,0)))),"Fix")))</f>
        <v xml:space="preserve"> </v>
      </c>
      <c r="AF485">
        <v>484</v>
      </c>
      <c r="AG485">
        <v>100485</v>
      </c>
      <c r="AH485">
        <v>485</v>
      </c>
      <c r="AI485" t="b">
        <f t="shared" si="7"/>
        <v>1</v>
      </c>
      <c r="AJ485" t="b">
        <f>COUNTBLANK(metadata!B485:AB485)=COLUMNS(metadata!B485:AB485)</f>
        <v>1</v>
      </c>
      <c r="AK485" t="str">
        <v/>
      </c>
      <c r="AM485" t="b">
        <f ca="1">AND(IF(metadata!B485="",FALSE,TRUE),COUNTIF(metadata!B:B, metadata!B485) = 1,NOT(ISERROR(SUMPRODUCT(SEARCH(MID(metadata!B485,ROW(INDIRECT("1:"&amp;LEN(metadata!B485))), 1),"0123456789abcdefghijklmnopqrstuvwxyzABCDEFGHIJKLMNOPQRSTUVWXYZ.")))))</f>
        <v>0</v>
      </c>
      <c r="AN485" t="b">
        <f ca="1">OR(AND(IF(metadata!C485="",FALSE,TRUE),OR(EXACT(metadata!C485,"missing: not collected"),EXACT(metadata!C485,"missing: not provided"),EXACT(metadata!C485,"missing: restricted access"))),AND(IF(metadata!C485="",FALSE,TRUE),AND(AND(IFERROR(INT(LEFT(metadata!C485,4))&gt;1900,FALSE),IFERROR(INT(LEFT(metadata!C485,4))&lt;=YEAR(NOW()),FALSE)), OR(MID(metadata!C485,5,1)="", AND(AND(MID(metadata!C485,5,1)="-",IFERROR(INT(MID(metadata!C485,6,1))&gt;=0,FALSE),IFERROR(INT(MID(metadata!C485,6,1))&lt;=1,FALSE),NOT(MID(metadata!C485,7,1)=""),IFERROR(INT(MID(metadata!C485,6,2))&gt;=1,FALSE),IFERROR(INT(MID(metadata!C485,6,2))&lt;=12,FALSE)), OR(MID(metadata!C485,8,1)="", AND(AND(MID(metadata!C485,8,1)="-",IFERROR(INT(MID(metadata!C485,9,1))&gt;=0,FALSE),IFERROR(INT(MID(metadata!C485,9,1))&lt;=3,FALSE),NOT(MID(metadata!C485,10,1)=""),IFERROR(INT(MID(metadata!C485,9,2))&gt;=1,FALSE),IFERROR(INT(MID(metadata!C485,9,2))&lt;=31,FALSE)), OR(MID(metadata!C485,11,1)="", AND(AND(MID(metadata!C485,11,1)=" ",IFERROR(INT(MID(metadata!C485,12,1))&gt;=0,FALSE),IFERROR(INT(MID(metadata!C485,12,1))&lt;=2,FALSE),NOT(MID(metadata!C485,13,1)=""),IFERROR(INT(MID(metadata!C485,12,2))&gt;=0,FALSE),IFERROR(INT(MID(metadata!C485,12,2))&lt;=23,FALSE)), OR(MID(metadata!C485,14,1)="", AND(AND(MID(metadata!C485,14,1)=":",IFERROR(INT(MID(metadata!C485,15,1))&gt;=0,FALSE),IFERROR(INT(MID(metadata!C485,15,1))&lt;=5,FALSE),NOT(MID(metadata!C485,16,1)=""),IFERROR(INT(MID(metadata!C485,15,2))&gt;=0,FALSE),IFERROR(INT(MID(metadata!C485,15,2))&lt;=59,FALSE)), OR(MID(metadata!C485,17,1)="", AND(AND(MID(metadata!C485,17,1)=":",IFERROR(INT(MID(metadata!C485,18,1))&gt;=0,FALSE),IFERROR(INT(MID(metadata!C485,18,1))&lt;=5,FALSE),NOT(MID(metadata!C485,19,1)=""),IFERROR(INT(MID(metadata!C485,18,2))&gt;=0,FALSE),IFERROR(INT(MID(metadata!C485,18,2))&lt;=59,FALSE)), LEN(metadata!C485)&lt;=19)))))))))))))</f>
        <v>0</v>
      </c>
      <c r="AO485" t="b">
        <f>AND(IF(metadata!D485="",FALSE,TRUE),EXACT(metadata!D485,"Not applicable"))</f>
        <v>0</v>
      </c>
      <c r="AP485" t="b">
        <f>IF(metadata!E485="",FALSE,TRUE)</f>
        <v>0</v>
      </c>
      <c r="AQ485" t="b">
        <f>OR(AND(IF(metadata!F485="",FALSE,TRUE),OR(EXACT(metadata!F485,"missing: not collected"),EXACT(metadata!F485,"missing: not provided"))),AND(IF(metadata!F485="",FALSE,TRUE),OR(EXACT(metadata!F485,"TRUE"),EXACT(metadata!F485,"FALSE"))))</f>
        <v>0</v>
      </c>
      <c r="AR485" t="b">
        <f>OR(AND(IF(metadata!G485="",FALSE,TRUE),OR(EXACT(metadata!G485,"missing: not collected"),EXACT(metadata!G485,"missing: not provided"),EXACT(metadata!G485,"missing: restricted access"))),AND(IF(metadata!G485="",FALSE,ISNUMBER(VALUE(metadata!G485))),metadata!G485&gt;=-413))</f>
        <v>0</v>
      </c>
      <c r="AS485" t="b">
        <f>AND(IF(metadata!H485="",FALSE,TRUE),EXACT(metadata!H485,"meters"))</f>
        <v>0</v>
      </c>
      <c r="AT485" t="b">
        <f>AND(IF(metadata!I485="",FALSE,TRUE),OR(EXACT(metadata!I485,"Host-associated"),EXACT(metadata!I485,"Free-living")))</f>
        <v>0</v>
      </c>
      <c r="AU485" t="b">
        <f>AND(IF(metadata!J485="",FALSE,TRUE),OR(EXACT(metadata!J485,"Animal"),EXACT(metadata!J485,"Fungus"),EXACT(metadata!J485,"Plant"),EXACT(metadata!J485,"Saline"),EXACT(metadata!J485,"Non-saline")))</f>
        <v>0</v>
      </c>
      <c r="AV485" t="b">
        <f>AND(IF(metadata!K485="",FALSE,TRUE),OR(EXACT(metadata!K485,"Plant secretion"),EXACT(metadata!K485,"Plant rhizosphere"),EXACT(metadata!K485,"Plant surface"),EXACT(metadata!K485,"Plant corpus"),EXACT(metadata!K485,"Fungus surface"),EXACT(metadata!K485,"Fungus corpus"),EXACT(metadata!K485,"Animal surface"),EXACT(metadata!K485,"Animal proximal gut"),EXACT(metadata!K485,"Animal corpus"),EXACT(metadata!K485,"Animal distal gut"),EXACT(metadata!K485,"Animal secretion"),EXACT(metadata!K485,"Sub-surface (non-saline)"),EXACT(metadata!K485,"Surface (non-saline)"),EXACT(metadata!K485,"Water (non-saline)"),EXACT(metadata!K485,"Soil (non-saline)"),EXACT(metadata!K485,"Aerosol (non-saline)"),EXACT(metadata!K485,"Sediment (non-saline)"),EXACT(metadata!K485,"Surface (saline)"),EXACT(metadata!K485,"Water (saline)"),EXACT(metadata!K485,"Hypersaline (saline)"),EXACT(metadata!K485,"Aerosol (saline)"),EXACT(metadata!K485,"Sediment (saline)")))</f>
        <v>0</v>
      </c>
      <c r="AW485" t="b">
        <f>IF(metadata!L485="",FALSE,TRUE)</f>
        <v>0</v>
      </c>
      <c r="AX485" t="b">
        <f>IF(metadata!M485="",FALSE,TRUE)</f>
        <v>0</v>
      </c>
      <c r="AY485" t="b">
        <f>IF(metadata!N485="",FALSE,TRUE)</f>
        <v>0</v>
      </c>
      <c r="AZ485" t="b">
        <f>OR(AND(IF(metadata!O485="",FALSE,TRUE),OR(EXACT(metadata!O485,"missing: not collected"),EXACT(metadata!O485,"missing: not provided"),EXACT(metadata!O485,"missing: restricted access"))),AND(IF(metadata!O485="",FALSE,TRUE),OR(EXACT(metadata!O485,"air"),EXACT(metadata!O485,"built environment"),EXACT(metadata!O485,"host-associated"),EXACT(metadata!O485,"human-associated"),EXACT(metadata!O485,"human-skin"),EXACT(metadata!O485,"human-oral"),EXACT(metadata!O485,"human-gut"),EXACT(metadata!O485,"human-vaginal"),EXACT(metadata!O485,"microbial mat/biofilm"),EXACT(metadata!O485,"misc environment"),EXACT(metadata!O485,"plant-associated"),EXACT(metadata!O485,"sediment"),EXACT(metadata!O485,"soil"),EXACT(metadata!O485,"wastewater/sludge"),EXACT(metadata!O485,"water"))))</f>
        <v>0</v>
      </c>
      <c r="BA485" t="b">
        <f>IF(metadata!P485="",FALSE,TRUE)</f>
        <v>0</v>
      </c>
      <c r="BB485" t="b">
        <f>IF(metadata!Q485="",FALSE,TRUE)</f>
        <v>0</v>
      </c>
      <c r="BC485" t="b">
        <f>OR(AND(IF(metadata!R485="",FALSE,TRUE),OR(EXACT(metadata!R485,"missing: not collected"),EXACT(metadata!R485,"missing: not provided"),EXACT(metadata!R485,"missing: restricted access"))),AND(IF(metadata!R485="",FALSE,ISNUMBER(VALUE(metadata!R485))),metadata!R485&gt;=-90,metadata!R485&lt;=90))</f>
        <v>0</v>
      </c>
      <c r="BD485" t="b">
        <f>AND(IF(metadata!S485="",FALSE,TRUE),EXACT(metadata!S485,"Decimal degrees"))</f>
        <v>0</v>
      </c>
      <c r="BE485" t="b">
        <f>OR(AND(IF(metadata!T485="",FALSE,TRUE),OR(EXACT(metadata!T485,"missing: not collected"),EXACT(metadata!T485,"missing: not provided"),EXACT(metadata!T485,"missing: restricted access"))),AND(IF(metadata!T485="",FALSE,ISNUMBER(VALUE(metadata!T485))),metadata!T485&gt;=-180,metadata!T485&lt;=180))</f>
        <v>0</v>
      </c>
      <c r="BF485" t="b">
        <f>AND(IF(metadata!U485="",FALSE,TRUE),EXACT(metadata!U485,"Decimal degrees"))</f>
        <v>0</v>
      </c>
      <c r="BG485" t="b">
        <f>IF(metadata!V485="",FALSE,TRUE)</f>
        <v>0</v>
      </c>
      <c r="BH485" t="b">
        <f>OR(AND(IF(metadata!W485="",FALSE,TRUE),OR(EXACT(metadata!W485,"missing: not collected"),EXACT(metadata!W485,"missing: not provided"),EXACT(metadata!W485,"missing: restricted access"))),AND(IF(metadata!W485="",FALSE,TRUE),OR(EXACT(metadata!W485,"TRUE"),EXACT(metadata!W485,"FALSE"))))</f>
        <v>0</v>
      </c>
      <c r="BI485" t="b">
        <f>AND(IF(metadata!X485="",FALSE,TRUE),EXACT(metadata!X485,"other"))</f>
        <v>0</v>
      </c>
      <c r="BJ485" t="b">
        <f>IF(metadata!Y485="",FALSE,TRUE)</f>
        <v>0</v>
      </c>
      <c r="BK485" t="b">
        <f>OR(AND(IF(metadata!Z485="",FALSE,TRUE),OR(EXACT(metadata!Z485,"missing: not collected"),EXACT(metadata!Z485,"missing: not provided"))),AND(IF(metadata!Z485="",FALSE,IF(ISERROR(INT(metadata!Z485)),FALSE,INT(metadata!Z485)=metadata!Z485)),metadata!Z485&gt;0))</f>
        <v>0</v>
      </c>
      <c r="BL485" t="b">
        <f>AND(IF(metadata!AA485="",FALSE,TRUE),EXACT(metadata!AA485,"Not applicable"))</f>
        <v>0</v>
      </c>
      <c r="BM485" t="b">
        <f>IF(metadata!AB485="",FALSE,TRUE)</f>
        <v>0</v>
      </c>
    </row>
    <row r="486" spans="1:65" x14ac:dyDescent="0.2">
      <c r="A486" s="5" t="str">
        <f ca="1">IF(B486=" "," ",HYPERLINK(CONCATENATE("#metadata!",ADDRESS(INDEX($AH$2:$AH$1001,MATCH(ROWS($AF$2:AF486),$AF$2:$AF$1001,0),0),1)),INDEX($AK$2:$AK$1001,MATCH(ROWS($AF$2:AF486),$AF$2:$AF$1001,0),0)))</f>
        <v xml:space="preserve"> </v>
      </c>
      <c r="B486" s="4" t="str">
        <f ca="1">IF(OR(INDEX($AG$2:$AG$1001,MATCH(ROWS($AF$2:AF486),$AF$2:$AF$1001,0),1)&gt;=100000,INDEX($AM$1005:$BM$1005,1,MATCH(COLUMNS($AM$1006:AM1006),$AM$1006:$BM$1006,0))&gt;=100000), " ",IF(INDEX($AM$2:$BM$1001,MATCH(ROWS($AF$2:AF486),$AF$2:$AF$1001,0),MATCH(COLUMNS($AM$1006:AM1006),$AM$1006:$BM$1006,0)), HYPERLINK("#",""), HYPERLINK(CONCATENATE("#metadata!", ADDRESS(INDEX($AH$2:$AH$1001,MATCH(ROWS($AF$2:AF486),$AF$2:$AF$1001,0),0), INDEX($AM$1004:$BM$1004,1,MATCH(COLUMNS($AM$1006:AM1006),$AM$1006:$BM$1006,0)))),"Fix")))</f>
        <v xml:space="preserve"> </v>
      </c>
      <c r="C486" s="4" t="str">
        <f ca="1">IF(OR(INDEX($AG$2:$AG$1001,MATCH(ROWS($AF$2:AF486),$AF$2:$AF$1001,0),1)&gt;=100000,INDEX($AM$1005:$BM$1005,1,MATCH(COLUMNS($AM$1006:AN1006),$AM$1006:$BM$1006,0))&gt;=100000), " ",IF(INDEX($AM$2:$BM$1001,MATCH(ROWS($AF$2:AF486),$AF$2:$AF$1001,0),MATCH(COLUMNS($AM$1006:AN1006),$AM$1006:$BM$1006,0)), HYPERLINK("#",""), HYPERLINK(CONCATENATE("#metadata!", ADDRESS(INDEX($AH$2:$AH$1001,MATCH(ROWS($AF$2:AF486),$AF$2:$AF$1001,0),0), INDEX($AM$1004:$BM$1004,1,MATCH(COLUMNS($AM$1006:AN1006),$AM$1006:$BM$1006,0)))),"Fix")))</f>
        <v xml:space="preserve"> </v>
      </c>
      <c r="D486" s="4" t="str">
        <f ca="1">IF(OR(INDEX($AG$2:$AG$1001,MATCH(ROWS($AF$2:AF486),$AF$2:$AF$1001,0),1)&gt;=100000,INDEX($AM$1005:$BM$1005,1,MATCH(COLUMNS($AM$1006:AO1006),$AM$1006:$BM$1006,0))&gt;=100000), " ",IF(INDEX($AM$2:$BM$1001,MATCH(ROWS($AF$2:AF486),$AF$2:$AF$1001,0),MATCH(COLUMNS($AM$1006:AO1006),$AM$1006:$BM$1006,0)), HYPERLINK("#",""), HYPERLINK(CONCATENATE("#metadata!", ADDRESS(INDEX($AH$2:$AH$1001,MATCH(ROWS($AF$2:AF486),$AF$2:$AF$1001,0),0), INDEX($AM$1004:$BM$1004,1,MATCH(COLUMNS($AM$1006:AO1006),$AM$1006:$BM$1006,0)))),"Fix")))</f>
        <v xml:space="preserve"> </v>
      </c>
      <c r="E486" s="4" t="str">
        <f ca="1">IF(OR(INDEX($AG$2:$AG$1001,MATCH(ROWS($AF$2:AF486),$AF$2:$AF$1001,0),1)&gt;=100000,INDEX($AM$1005:$BM$1005,1,MATCH(COLUMNS($AM$1006:AP1006),$AM$1006:$BM$1006,0))&gt;=100000), " ",IF(INDEX($AM$2:$BM$1001,MATCH(ROWS($AF$2:AF486),$AF$2:$AF$1001,0),MATCH(COLUMNS($AM$1006:AP1006),$AM$1006:$BM$1006,0)), HYPERLINK("#",""), HYPERLINK(CONCATENATE("#metadata!", ADDRESS(INDEX($AH$2:$AH$1001,MATCH(ROWS($AF$2:AF486),$AF$2:$AF$1001,0),0), INDEX($AM$1004:$BM$1004,1,MATCH(COLUMNS($AM$1006:AP1006),$AM$1006:$BM$1006,0)))),"Fix")))</f>
        <v xml:space="preserve"> </v>
      </c>
      <c r="F486" s="4" t="str">
        <f ca="1">IF(OR(INDEX($AG$2:$AG$1001,MATCH(ROWS($AF$2:AF486),$AF$2:$AF$1001,0),1)&gt;=100000,INDEX($AM$1005:$BM$1005,1,MATCH(COLUMNS($AM$1006:AQ1006),$AM$1006:$BM$1006,0))&gt;=100000), " ",IF(INDEX($AM$2:$BM$1001,MATCH(ROWS($AF$2:AF486),$AF$2:$AF$1001,0),MATCH(COLUMNS($AM$1006:AQ1006),$AM$1006:$BM$1006,0)), HYPERLINK("#",""), HYPERLINK(CONCATENATE("#metadata!", ADDRESS(INDEX($AH$2:$AH$1001,MATCH(ROWS($AF$2:AF486),$AF$2:$AF$1001,0),0), INDEX($AM$1004:$BM$1004,1,MATCH(COLUMNS($AM$1006:AQ1006),$AM$1006:$BM$1006,0)))),"Fix")))</f>
        <v xml:space="preserve"> </v>
      </c>
      <c r="G486" s="4" t="str">
        <f ca="1">IF(OR(INDEX($AG$2:$AG$1001,MATCH(ROWS($AF$2:AF486),$AF$2:$AF$1001,0),1)&gt;=100000,INDEX($AM$1005:$BM$1005,1,MATCH(COLUMNS($AM$1006:AR1006),$AM$1006:$BM$1006,0))&gt;=100000), " ",IF(INDEX($AM$2:$BM$1001,MATCH(ROWS($AF$2:AF486),$AF$2:$AF$1001,0),MATCH(COLUMNS($AM$1006:AR1006),$AM$1006:$BM$1006,0)), HYPERLINK("#",""), HYPERLINK(CONCATENATE("#metadata!", ADDRESS(INDEX($AH$2:$AH$1001,MATCH(ROWS($AF$2:AF486),$AF$2:$AF$1001,0),0), INDEX($AM$1004:$BM$1004,1,MATCH(COLUMNS($AM$1006:AR1006),$AM$1006:$BM$1006,0)))),"Fix")))</f>
        <v xml:space="preserve"> </v>
      </c>
      <c r="H486" s="4" t="str">
        <f ca="1">IF(OR(INDEX($AG$2:$AG$1001,MATCH(ROWS($AF$2:AF486),$AF$2:$AF$1001,0),1)&gt;=100000,INDEX($AM$1005:$BM$1005,1,MATCH(COLUMNS($AM$1006:AS1006),$AM$1006:$BM$1006,0))&gt;=100000), " ",IF(INDEX($AM$2:$BM$1001,MATCH(ROWS($AF$2:AF486),$AF$2:$AF$1001,0),MATCH(COLUMNS($AM$1006:AS1006),$AM$1006:$BM$1006,0)), HYPERLINK("#",""), HYPERLINK(CONCATENATE("#metadata!", ADDRESS(INDEX($AH$2:$AH$1001,MATCH(ROWS($AF$2:AF486),$AF$2:$AF$1001,0),0), INDEX($AM$1004:$BM$1004,1,MATCH(COLUMNS($AM$1006:AS1006),$AM$1006:$BM$1006,0)))),"Fix")))</f>
        <v xml:space="preserve"> </v>
      </c>
      <c r="I486" s="4" t="str">
        <f ca="1">IF(OR(INDEX($AG$2:$AG$1001,MATCH(ROWS($AF$2:AF486),$AF$2:$AF$1001,0),1)&gt;=100000,INDEX($AM$1005:$BM$1005,1,MATCH(COLUMNS($AM$1006:AT1006),$AM$1006:$BM$1006,0))&gt;=100000), " ",IF(INDEX($AM$2:$BM$1001,MATCH(ROWS($AF$2:AF486),$AF$2:$AF$1001,0),MATCH(COLUMNS($AM$1006:AT1006),$AM$1006:$BM$1006,0)), HYPERLINK("#",""), HYPERLINK(CONCATENATE("#metadata!", ADDRESS(INDEX($AH$2:$AH$1001,MATCH(ROWS($AF$2:AF486),$AF$2:$AF$1001,0),0), INDEX($AM$1004:$BM$1004,1,MATCH(COLUMNS($AM$1006:AT1006),$AM$1006:$BM$1006,0)))),"Fix")))</f>
        <v xml:space="preserve"> </v>
      </c>
      <c r="J486" s="4" t="str">
        <f ca="1">IF(OR(INDEX($AG$2:$AG$1001,MATCH(ROWS($AF$2:AF486),$AF$2:$AF$1001,0),1)&gt;=100000,INDEX($AM$1005:$BM$1005,1,MATCH(COLUMNS($AM$1006:AU1006),$AM$1006:$BM$1006,0))&gt;=100000), " ",IF(INDEX($AM$2:$BM$1001,MATCH(ROWS($AF$2:AF486),$AF$2:$AF$1001,0),MATCH(COLUMNS($AM$1006:AU1006),$AM$1006:$BM$1006,0)), HYPERLINK("#",""), HYPERLINK(CONCATENATE("#metadata!", ADDRESS(INDEX($AH$2:$AH$1001,MATCH(ROWS($AF$2:AF486),$AF$2:$AF$1001,0),0), INDEX($AM$1004:$BM$1004,1,MATCH(COLUMNS($AM$1006:AU1006),$AM$1006:$BM$1006,0)))),"Fix")))</f>
        <v xml:space="preserve"> </v>
      </c>
      <c r="K486" s="4" t="str">
        <f ca="1">IF(OR(INDEX($AG$2:$AG$1001,MATCH(ROWS($AF$2:AF486),$AF$2:$AF$1001,0),1)&gt;=100000,INDEX($AM$1005:$BM$1005,1,MATCH(COLUMNS($AM$1006:AV1006),$AM$1006:$BM$1006,0))&gt;=100000), " ",IF(INDEX($AM$2:$BM$1001,MATCH(ROWS($AF$2:AF486),$AF$2:$AF$1001,0),MATCH(COLUMNS($AM$1006:AV1006),$AM$1006:$BM$1006,0)), HYPERLINK("#",""), HYPERLINK(CONCATENATE("#metadata!", ADDRESS(INDEX($AH$2:$AH$1001,MATCH(ROWS($AF$2:AF486),$AF$2:$AF$1001,0),0), INDEX($AM$1004:$BM$1004,1,MATCH(COLUMNS($AM$1006:AV1006),$AM$1006:$BM$1006,0)))),"Fix")))</f>
        <v xml:space="preserve"> </v>
      </c>
      <c r="L486" s="4" t="str">
        <f ca="1">IF(OR(INDEX($AG$2:$AG$1001,MATCH(ROWS($AF$2:AF486),$AF$2:$AF$1001,0),1)&gt;=100000,INDEX($AM$1005:$BM$1005,1,MATCH(COLUMNS($AM$1006:AW1006),$AM$1006:$BM$1006,0))&gt;=100000), " ",IF(INDEX($AM$2:$BM$1001,MATCH(ROWS($AF$2:AF486),$AF$2:$AF$1001,0),MATCH(COLUMNS($AM$1006:AW1006),$AM$1006:$BM$1006,0)), HYPERLINK("#",""), HYPERLINK(CONCATENATE("#metadata!", ADDRESS(INDEX($AH$2:$AH$1001,MATCH(ROWS($AF$2:AF486),$AF$2:$AF$1001,0),0), INDEX($AM$1004:$BM$1004,1,MATCH(COLUMNS($AM$1006:AW1006),$AM$1006:$BM$1006,0)))),"Fix")))</f>
        <v xml:space="preserve"> </v>
      </c>
      <c r="M486" s="4" t="str">
        <f ca="1">IF(OR(INDEX($AG$2:$AG$1001,MATCH(ROWS($AF$2:AF486),$AF$2:$AF$1001,0),1)&gt;=100000,INDEX($AM$1005:$BM$1005,1,MATCH(COLUMNS($AM$1006:AX1006),$AM$1006:$BM$1006,0))&gt;=100000), " ",IF(INDEX($AM$2:$BM$1001,MATCH(ROWS($AF$2:AF486),$AF$2:$AF$1001,0),MATCH(COLUMNS($AM$1006:AX1006),$AM$1006:$BM$1006,0)), HYPERLINK("#",""), HYPERLINK(CONCATENATE("#metadata!", ADDRESS(INDEX($AH$2:$AH$1001,MATCH(ROWS($AF$2:AF486),$AF$2:$AF$1001,0),0), INDEX($AM$1004:$BM$1004,1,MATCH(COLUMNS($AM$1006:AX1006),$AM$1006:$BM$1006,0)))),"Fix")))</f>
        <v xml:space="preserve"> </v>
      </c>
      <c r="N486" s="4" t="str">
        <f ca="1">IF(OR(INDEX($AG$2:$AG$1001,MATCH(ROWS($AF$2:AF486),$AF$2:$AF$1001,0),1)&gt;=100000,INDEX($AM$1005:$BM$1005,1,MATCH(COLUMNS($AM$1006:AY1006),$AM$1006:$BM$1006,0))&gt;=100000), " ",IF(INDEX($AM$2:$BM$1001,MATCH(ROWS($AF$2:AF486),$AF$2:$AF$1001,0),MATCH(COLUMNS($AM$1006:AY1006),$AM$1006:$BM$1006,0)), HYPERLINK("#",""), HYPERLINK(CONCATENATE("#metadata!", ADDRESS(INDEX($AH$2:$AH$1001,MATCH(ROWS($AF$2:AF486),$AF$2:$AF$1001,0),0), INDEX($AM$1004:$BM$1004,1,MATCH(COLUMNS($AM$1006:AY1006),$AM$1006:$BM$1006,0)))),"Fix")))</f>
        <v xml:space="preserve"> </v>
      </c>
      <c r="O486" s="4" t="str">
        <f ca="1">IF(OR(INDEX($AG$2:$AG$1001,MATCH(ROWS($AF$2:AF486),$AF$2:$AF$1001,0),1)&gt;=100000,INDEX($AM$1005:$BM$1005,1,MATCH(COLUMNS($AM$1006:AZ1006),$AM$1006:$BM$1006,0))&gt;=100000), " ",IF(INDEX($AM$2:$BM$1001,MATCH(ROWS($AF$2:AF486),$AF$2:$AF$1001,0),MATCH(COLUMNS($AM$1006:AZ1006),$AM$1006:$BM$1006,0)), HYPERLINK("#",""), HYPERLINK(CONCATENATE("#metadata!", ADDRESS(INDEX($AH$2:$AH$1001,MATCH(ROWS($AF$2:AF486),$AF$2:$AF$1001,0),0), INDEX($AM$1004:$BM$1004,1,MATCH(COLUMNS($AM$1006:AZ1006),$AM$1006:$BM$1006,0)))),"Fix")))</f>
        <v xml:space="preserve"> </v>
      </c>
      <c r="P486" s="4" t="str">
        <f ca="1">IF(OR(INDEX($AG$2:$AG$1001,MATCH(ROWS($AF$2:AF486),$AF$2:$AF$1001,0),1)&gt;=100000,INDEX($AM$1005:$BM$1005,1,MATCH(COLUMNS($AM$1006:BA1006),$AM$1006:$BM$1006,0))&gt;=100000), " ",IF(INDEX($AM$2:$BM$1001,MATCH(ROWS($AF$2:AF486),$AF$2:$AF$1001,0),MATCH(COLUMNS($AM$1006:BA1006),$AM$1006:$BM$1006,0)), HYPERLINK("#",""), HYPERLINK(CONCATENATE("#metadata!", ADDRESS(INDEX($AH$2:$AH$1001,MATCH(ROWS($AF$2:AF486),$AF$2:$AF$1001,0),0), INDEX($AM$1004:$BM$1004,1,MATCH(COLUMNS($AM$1006:BA1006),$AM$1006:$BM$1006,0)))),"Fix")))</f>
        <v xml:space="preserve"> </v>
      </c>
      <c r="Q486" s="4" t="str">
        <f ca="1">IF(OR(INDEX($AG$2:$AG$1001,MATCH(ROWS($AF$2:AF486),$AF$2:$AF$1001,0),1)&gt;=100000,INDEX($AM$1005:$BM$1005,1,MATCH(COLUMNS($AM$1006:BB1006),$AM$1006:$BM$1006,0))&gt;=100000), " ",IF(INDEX($AM$2:$BM$1001,MATCH(ROWS($AF$2:AF486),$AF$2:$AF$1001,0),MATCH(COLUMNS($AM$1006:BB1006),$AM$1006:$BM$1006,0)), HYPERLINK("#",""), HYPERLINK(CONCATENATE("#metadata!", ADDRESS(INDEX($AH$2:$AH$1001,MATCH(ROWS($AF$2:AF486),$AF$2:$AF$1001,0),0), INDEX($AM$1004:$BM$1004,1,MATCH(COLUMNS($AM$1006:BB1006),$AM$1006:$BM$1006,0)))),"Fix")))</f>
        <v xml:space="preserve"> </v>
      </c>
      <c r="R486" s="4" t="str">
        <f ca="1">IF(OR(INDEX($AG$2:$AG$1001,MATCH(ROWS($AF$2:AF486),$AF$2:$AF$1001,0),1)&gt;=100000,INDEX($AM$1005:$BM$1005,1,MATCH(COLUMNS($AM$1006:BC1006),$AM$1006:$BM$1006,0))&gt;=100000), " ",IF(INDEX($AM$2:$BM$1001,MATCH(ROWS($AF$2:AF486),$AF$2:$AF$1001,0),MATCH(COLUMNS($AM$1006:BC1006),$AM$1006:$BM$1006,0)), HYPERLINK("#",""), HYPERLINK(CONCATENATE("#metadata!", ADDRESS(INDEX($AH$2:$AH$1001,MATCH(ROWS($AF$2:AF486),$AF$2:$AF$1001,0),0), INDEX($AM$1004:$BM$1004,1,MATCH(COLUMNS($AM$1006:BC1006),$AM$1006:$BM$1006,0)))),"Fix")))</f>
        <v xml:space="preserve"> </v>
      </c>
      <c r="S486" s="4" t="str">
        <f ca="1">IF(OR(INDEX($AG$2:$AG$1001,MATCH(ROWS($AF$2:AF486),$AF$2:$AF$1001,0),1)&gt;=100000,INDEX($AM$1005:$BM$1005,1,MATCH(COLUMNS($AM$1006:BD1006),$AM$1006:$BM$1006,0))&gt;=100000), " ",IF(INDEX($AM$2:$BM$1001,MATCH(ROWS($AF$2:AF486),$AF$2:$AF$1001,0),MATCH(COLUMNS($AM$1006:BD1006),$AM$1006:$BM$1006,0)), HYPERLINK("#",""), HYPERLINK(CONCATENATE("#metadata!", ADDRESS(INDEX($AH$2:$AH$1001,MATCH(ROWS($AF$2:AF486),$AF$2:$AF$1001,0),0), INDEX($AM$1004:$BM$1004,1,MATCH(COLUMNS($AM$1006:BD1006),$AM$1006:$BM$1006,0)))),"Fix")))</f>
        <v xml:space="preserve"> </v>
      </c>
      <c r="T486" s="4" t="str">
        <f ca="1">IF(OR(INDEX($AG$2:$AG$1001,MATCH(ROWS($AF$2:AF486),$AF$2:$AF$1001,0),1)&gt;=100000,INDEX($AM$1005:$BM$1005,1,MATCH(COLUMNS($AM$1006:BE1006),$AM$1006:$BM$1006,0))&gt;=100000), " ",IF(INDEX($AM$2:$BM$1001,MATCH(ROWS($AF$2:AF486),$AF$2:$AF$1001,0),MATCH(COLUMNS($AM$1006:BE1006),$AM$1006:$BM$1006,0)), HYPERLINK("#",""), HYPERLINK(CONCATENATE("#metadata!", ADDRESS(INDEX($AH$2:$AH$1001,MATCH(ROWS($AF$2:AF486),$AF$2:$AF$1001,0),0), INDEX($AM$1004:$BM$1004,1,MATCH(COLUMNS($AM$1006:BE1006),$AM$1006:$BM$1006,0)))),"Fix")))</f>
        <v xml:space="preserve"> </v>
      </c>
      <c r="U486" s="4" t="str">
        <f ca="1">IF(OR(INDEX($AG$2:$AG$1001,MATCH(ROWS($AF$2:AF486),$AF$2:$AF$1001,0),1)&gt;=100000,INDEX($AM$1005:$BM$1005,1,MATCH(COLUMNS($AM$1006:BF1006),$AM$1006:$BM$1006,0))&gt;=100000), " ",IF(INDEX($AM$2:$BM$1001,MATCH(ROWS($AF$2:AF486),$AF$2:$AF$1001,0),MATCH(COLUMNS($AM$1006:BF1006),$AM$1006:$BM$1006,0)), HYPERLINK("#",""), HYPERLINK(CONCATENATE("#metadata!", ADDRESS(INDEX($AH$2:$AH$1001,MATCH(ROWS($AF$2:AF486),$AF$2:$AF$1001,0),0), INDEX($AM$1004:$BM$1004,1,MATCH(COLUMNS($AM$1006:BF1006),$AM$1006:$BM$1006,0)))),"Fix")))</f>
        <v xml:space="preserve"> </v>
      </c>
      <c r="V486" s="4" t="str">
        <f ca="1">IF(OR(INDEX($AG$2:$AG$1001,MATCH(ROWS($AF$2:AF486),$AF$2:$AF$1001,0),1)&gt;=100000,INDEX($AM$1005:$BM$1005,1,MATCH(COLUMNS($AM$1006:BG1006),$AM$1006:$BM$1006,0))&gt;=100000), " ",IF(INDEX($AM$2:$BM$1001,MATCH(ROWS($AF$2:AF486),$AF$2:$AF$1001,0),MATCH(COLUMNS($AM$1006:BG1006),$AM$1006:$BM$1006,0)), HYPERLINK("#",""), HYPERLINK(CONCATENATE("#metadata!", ADDRESS(INDEX($AH$2:$AH$1001,MATCH(ROWS($AF$2:AF486),$AF$2:$AF$1001,0),0), INDEX($AM$1004:$BM$1004,1,MATCH(COLUMNS($AM$1006:BG1006),$AM$1006:$BM$1006,0)))),"Fix")))</f>
        <v xml:space="preserve"> </v>
      </c>
      <c r="W486" s="4" t="str">
        <f ca="1">IF(OR(INDEX($AG$2:$AG$1001,MATCH(ROWS($AF$2:AF486),$AF$2:$AF$1001,0),1)&gt;=100000,INDEX($AM$1005:$BM$1005,1,MATCH(COLUMNS($AM$1006:BH1006),$AM$1006:$BM$1006,0))&gt;=100000), " ",IF(INDEX($AM$2:$BM$1001,MATCH(ROWS($AF$2:AF486),$AF$2:$AF$1001,0),MATCH(COLUMNS($AM$1006:BH1006),$AM$1006:$BM$1006,0)), HYPERLINK("#",""), HYPERLINK(CONCATENATE("#metadata!", ADDRESS(INDEX($AH$2:$AH$1001,MATCH(ROWS($AF$2:AF486),$AF$2:$AF$1001,0),0), INDEX($AM$1004:$BM$1004,1,MATCH(COLUMNS($AM$1006:BH1006),$AM$1006:$BM$1006,0)))),"Fix")))</f>
        <v xml:space="preserve"> </v>
      </c>
      <c r="X486" s="4" t="str">
        <f ca="1">IF(OR(INDEX($AG$2:$AG$1001,MATCH(ROWS($AF$2:AF486),$AF$2:$AF$1001,0),1)&gt;=100000,INDEX($AM$1005:$BM$1005,1,MATCH(COLUMNS($AM$1006:BI1006),$AM$1006:$BM$1006,0))&gt;=100000), " ",IF(INDEX($AM$2:$BM$1001,MATCH(ROWS($AF$2:AF486),$AF$2:$AF$1001,0),MATCH(COLUMNS($AM$1006:BI1006),$AM$1006:$BM$1006,0)), HYPERLINK("#",""), HYPERLINK(CONCATENATE("#metadata!", ADDRESS(INDEX($AH$2:$AH$1001,MATCH(ROWS($AF$2:AF486),$AF$2:$AF$1001,0),0), INDEX($AM$1004:$BM$1004,1,MATCH(COLUMNS($AM$1006:BI1006),$AM$1006:$BM$1006,0)))),"Fix")))</f>
        <v xml:space="preserve"> </v>
      </c>
      <c r="Y486" s="4" t="str">
        <f ca="1">IF(OR(INDEX($AG$2:$AG$1001,MATCH(ROWS($AF$2:AF486),$AF$2:$AF$1001,0),1)&gt;=100000,INDEX($AM$1005:$BM$1005,1,MATCH(COLUMNS($AM$1006:BJ1006),$AM$1006:$BM$1006,0))&gt;=100000), " ",IF(INDEX($AM$2:$BM$1001,MATCH(ROWS($AF$2:AF486),$AF$2:$AF$1001,0),MATCH(COLUMNS($AM$1006:BJ1006),$AM$1006:$BM$1006,0)), HYPERLINK("#",""), HYPERLINK(CONCATENATE("#metadata!", ADDRESS(INDEX($AH$2:$AH$1001,MATCH(ROWS($AF$2:AF486),$AF$2:$AF$1001,0),0), INDEX($AM$1004:$BM$1004,1,MATCH(COLUMNS($AM$1006:BJ1006),$AM$1006:$BM$1006,0)))),"Fix")))</f>
        <v xml:space="preserve"> </v>
      </c>
      <c r="Z486" s="4" t="str">
        <f ca="1">IF(OR(INDEX($AG$2:$AG$1001,MATCH(ROWS($AF$2:AF486),$AF$2:$AF$1001,0),1)&gt;=100000,INDEX($AM$1005:$BM$1005,1,MATCH(COLUMNS($AM$1006:BK1006),$AM$1006:$BM$1006,0))&gt;=100000), " ",IF(INDEX($AM$2:$BM$1001,MATCH(ROWS($AF$2:AF486),$AF$2:$AF$1001,0),MATCH(COLUMNS($AM$1006:BK1006),$AM$1006:$BM$1006,0)), HYPERLINK("#",""), HYPERLINK(CONCATENATE("#metadata!", ADDRESS(INDEX($AH$2:$AH$1001,MATCH(ROWS($AF$2:AF486),$AF$2:$AF$1001,0),0), INDEX($AM$1004:$BM$1004,1,MATCH(COLUMNS($AM$1006:BK1006),$AM$1006:$BM$1006,0)))),"Fix")))</f>
        <v xml:space="preserve"> </v>
      </c>
      <c r="AA486" s="4" t="str">
        <f ca="1">IF(OR(INDEX($AG$2:$AG$1001,MATCH(ROWS($AF$2:AF486),$AF$2:$AF$1001,0),1)&gt;=100000,INDEX($AM$1005:$BM$1005,1,MATCH(COLUMNS($AM$1006:BL1006),$AM$1006:$BM$1006,0))&gt;=100000), " ",IF(INDEX($AM$2:$BM$1001,MATCH(ROWS($AF$2:AF486),$AF$2:$AF$1001,0),MATCH(COLUMNS($AM$1006:BL1006),$AM$1006:$BM$1006,0)), HYPERLINK("#",""), HYPERLINK(CONCATENATE("#metadata!", ADDRESS(INDEX($AH$2:$AH$1001,MATCH(ROWS($AF$2:AF486),$AF$2:$AF$1001,0),0), INDEX($AM$1004:$BM$1004,1,MATCH(COLUMNS($AM$1006:BL1006),$AM$1006:$BM$1006,0)))),"Fix")))</f>
        <v xml:space="preserve"> </v>
      </c>
      <c r="AB486" s="4" t="str">
        <f ca="1">IF(OR(INDEX($AG$2:$AG$1001,MATCH(ROWS($AF$2:AF486),$AF$2:$AF$1001,0),1)&gt;=100000,INDEX($AM$1005:$BM$1005,1,MATCH(COLUMNS($AM$1006:BM1006),$AM$1006:$BM$1006,0))&gt;=100000), " ",IF(INDEX($AM$2:$BM$1001,MATCH(ROWS($AF$2:AF486),$AF$2:$AF$1001,0),MATCH(COLUMNS($AM$1006:BM1006),$AM$1006:$BM$1006,0)), HYPERLINK("#",""), HYPERLINK(CONCATENATE("#metadata!", ADDRESS(INDEX($AH$2:$AH$1001,MATCH(ROWS($AF$2:AF486),$AF$2:$AF$1001,0),0), INDEX($AM$1004:$BM$1004,1,MATCH(COLUMNS($AM$1006:BM1006),$AM$1006:$BM$1006,0)))),"Fix")))</f>
        <v xml:space="preserve"> </v>
      </c>
      <c r="AF486">
        <v>485</v>
      </c>
      <c r="AG486">
        <v>100486</v>
      </c>
      <c r="AH486">
        <v>486</v>
      </c>
      <c r="AI486" t="b">
        <f t="shared" si="7"/>
        <v>1</v>
      </c>
      <c r="AJ486" t="b">
        <f>COUNTBLANK(metadata!B486:AB486)=COLUMNS(metadata!B486:AB486)</f>
        <v>1</v>
      </c>
      <c r="AK486" t="str">
        <v/>
      </c>
      <c r="AM486" t="b">
        <f ca="1">AND(IF(metadata!B486="",FALSE,TRUE),COUNTIF(metadata!B:B, metadata!B486) = 1,NOT(ISERROR(SUMPRODUCT(SEARCH(MID(metadata!B486,ROW(INDIRECT("1:"&amp;LEN(metadata!B486))), 1),"0123456789abcdefghijklmnopqrstuvwxyzABCDEFGHIJKLMNOPQRSTUVWXYZ.")))))</f>
        <v>0</v>
      </c>
      <c r="AN486" t="b">
        <f ca="1">OR(AND(IF(metadata!C486="",FALSE,TRUE),OR(EXACT(metadata!C486,"missing: not collected"),EXACT(metadata!C486,"missing: not provided"),EXACT(metadata!C486,"missing: restricted access"))),AND(IF(metadata!C486="",FALSE,TRUE),AND(AND(IFERROR(INT(LEFT(metadata!C486,4))&gt;1900,FALSE),IFERROR(INT(LEFT(metadata!C486,4))&lt;=YEAR(NOW()),FALSE)), OR(MID(metadata!C486,5,1)="", AND(AND(MID(metadata!C486,5,1)="-",IFERROR(INT(MID(metadata!C486,6,1))&gt;=0,FALSE),IFERROR(INT(MID(metadata!C486,6,1))&lt;=1,FALSE),NOT(MID(metadata!C486,7,1)=""),IFERROR(INT(MID(metadata!C486,6,2))&gt;=1,FALSE),IFERROR(INT(MID(metadata!C486,6,2))&lt;=12,FALSE)), OR(MID(metadata!C486,8,1)="", AND(AND(MID(metadata!C486,8,1)="-",IFERROR(INT(MID(metadata!C486,9,1))&gt;=0,FALSE),IFERROR(INT(MID(metadata!C486,9,1))&lt;=3,FALSE),NOT(MID(metadata!C486,10,1)=""),IFERROR(INT(MID(metadata!C486,9,2))&gt;=1,FALSE),IFERROR(INT(MID(metadata!C486,9,2))&lt;=31,FALSE)), OR(MID(metadata!C486,11,1)="", AND(AND(MID(metadata!C486,11,1)=" ",IFERROR(INT(MID(metadata!C486,12,1))&gt;=0,FALSE),IFERROR(INT(MID(metadata!C486,12,1))&lt;=2,FALSE),NOT(MID(metadata!C486,13,1)=""),IFERROR(INT(MID(metadata!C486,12,2))&gt;=0,FALSE),IFERROR(INT(MID(metadata!C486,12,2))&lt;=23,FALSE)), OR(MID(metadata!C486,14,1)="", AND(AND(MID(metadata!C486,14,1)=":",IFERROR(INT(MID(metadata!C486,15,1))&gt;=0,FALSE),IFERROR(INT(MID(metadata!C486,15,1))&lt;=5,FALSE),NOT(MID(metadata!C486,16,1)=""),IFERROR(INT(MID(metadata!C486,15,2))&gt;=0,FALSE),IFERROR(INT(MID(metadata!C486,15,2))&lt;=59,FALSE)), OR(MID(metadata!C486,17,1)="", AND(AND(MID(metadata!C486,17,1)=":",IFERROR(INT(MID(metadata!C486,18,1))&gt;=0,FALSE),IFERROR(INT(MID(metadata!C486,18,1))&lt;=5,FALSE),NOT(MID(metadata!C486,19,1)=""),IFERROR(INT(MID(metadata!C486,18,2))&gt;=0,FALSE),IFERROR(INT(MID(metadata!C486,18,2))&lt;=59,FALSE)), LEN(metadata!C486)&lt;=19)))))))))))))</f>
        <v>0</v>
      </c>
      <c r="AO486" t="b">
        <f>AND(IF(metadata!D486="",FALSE,TRUE),EXACT(metadata!D486,"Not applicable"))</f>
        <v>0</v>
      </c>
      <c r="AP486" t="b">
        <f>IF(metadata!E486="",FALSE,TRUE)</f>
        <v>0</v>
      </c>
      <c r="AQ486" t="b">
        <f>OR(AND(IF(metadata!F486="",FALSE,TRUE),OR(EXACT(metadata!F486,"missing: not collected"),EXACT(metadata!F486,"missing: not provided"))),AND(IF(metadata!F486="",FALSE,TRUE),OR(EXACT(metadata!F486,"TRUE"),EXACT(metadata!F486,"FALSE"))))</f>
        <v>0</v>
      </c>
      <c r="AR486" t="b">
        <f>OR(AND(IF(metadata!G486="",FALSE,TRUE),OR(EXACT(metadata!G486,"missing: not collected"),EXACT(metadata!G486,"missing: not provided"),EXACT(metadata!G486,"missing: restricted access"))),AND(IF(metadata!G486="",FALSE,ISNUMBER(VALUE(metadata!G486))),metadata!G486&gt;=-413))</f>
        <v>0</v>
      </c>
      <c r="AS486" t="b">
        <f>AND(IF(metadata!H486="",FALSE,TRUE),EXACT(metadata!H486,"meters"))</f>
        <v>0</v>
      </c>
      <c r="AT486" t="b">
        <f>AND(IF(metadata!I486="",FALSE,TRUE),OR(EXACT(metadata!I486,"Host-associated"),EXACT(metadata!I486,"Free-living")))</f>
        <v>0</v>
      </c>
      <c r="AU486" t="b">
        <f>AND(IF(metadata!J486="",FALSE,TRUE),OR(EXACT(metadata!J486,"Animal"),EXACT(metadata!J486,"Fungus"),EXACT(metadata!J486,"Plant"),EXACT(metadata!J486,"Saline"),EXACT(metadata!J486,"Non-saline")))</f>
        <v>0</v>
      </c>
      <c r="AV486" t="b">
        <f>AND(IF(metadata!K486="",FALSE,TRUE),OR(EXACT(metadata!K486,"Plant secretion"),EXACT(metadata!K486,"Plant rhizosphere"),EXACT(metadata!K486,"Plant surface"),EXACT(metadata!K486,"Plant corpus"),EXACT(metadata!K486,"Fungus surface"),EXACT(metadata!K486,"Fungus corpus"),EXACT(metadata!K486,"Animal surface"),EXACT(metadata!K486,"Animal proximal gut"),EXACT(metadata!K486,"Animal corpus"),EXACT(metadata!K486,"Animal distal gut"),EXACT(metadata!K486,"Animal secretion"),EXACT(metadata!K486,"Sub-surface (non-saline)"),EXACT(metadata!K486,"Surface (non-saline)"),EXACT(metadata!K486,"Water (non-saline)"),EXACT(metadata!K486,"Soil (non-saline)"),EXACT(metadata!K486,"Aerosol (non-saline)"),EXACT(metadata!K486,"Sediment (non-saline)"),EXACT(metadata!K486,"Surface (saline)"),EXACT(metadata!K486,"Water (saline)"),EXACT(metadata!K486,"Hypersaline (saline)"),EXACT(metadata!K486,"Aerosol (saline)"),EXACT(metadata!K486,"Sediment (saline)")))</f>
        <v>0</v>
      </c>
      <c r="AW486" t="b">
        <f>IF(metadata!L486="",FALSE,TRUE)</f>
        <v>0</v>
      </c>
      <c r="AX486" t="b">
        <f>IF(metadata!M486="",FALSE,TRUE)</f>
        <v>0</v>
      </c>
      <c r="AY486" t="b">
        <f>IF(metadata!N486="",FALSE,TRUE)</f>
        <v>0</v>
      </c>
      <c r="AZ486" t="b">
        <f>OR(AND(IF(metadata!O486="",FALSE,TRUE),OR(EXACT(metadata!O486,"missing: not collected"),EXACT(metadata!O486,"missing: not provided"),EXACT(metadata!O486,"missing: restricted access"))),AND(IF(metadata!O486="",FALSE,TRUE),OR(EXACT(metadata!O486,"air"),EXACT(metadata!O486,"built environment"),EXACT(metadata!O486,"host-associated"),EXACT(metadata!O486,"human-associated"),EXACT(metadata!O486,"human-skin"),EXACT(metadata!O486,"human-oral"),EXACT(metadata!O486,"human-gut"),EXACT(metadata!O486,"human-vaginal"),EXACT(metadata!O486,"microbial mat/biofilm"),EXACT(metadata!O486,"misc environment"),EXACT(metadata!O486,"plant-associated"),EXACT(metadata!O486,"sediment"),EXACT(metadata!O486,"soil"),EXACT(metadata!O486,"wastewater/sludge"),EXACT(metadata!O486,"water"))))</f>
        <v>0</v>
      </c>
      <c r="BA486" t="b">
        <f>IF(metadata!P486="",FALSE,TRUE)</f>
        <v>0</v>
      </c>
      <c r="BB486" t="b">
        <f>IF(metadata!Q486="",FALSE,TRUE)</f>
        <v>0</v>
      </c>
      <c r="BC486" t="b">
        <f>OR(AND(IF(metadata!R486="",FALSE,TRUE),OR(EXACT(metadata!R486,"missing: not collected"),EXACT(metadata!R486,"missing: not provided"),EXACT(metadata!R486,"missing: restricted access"))),AND(IF(metadata!R486="",FALSE,ISNUMBER(VALUE(metadata!R486))),metadata!R486&gt;=-90,metadata!R486&lt;=90))</f>
        <v>0</v>
      </c>
      <c r="BD486" t="b">
        <f>AND(IF(metadata!S486="",FALSE,TRUE),EXACT(metadata!S486,"Decimal degrees"))</f>
        <v>0</v>
      </c>
      <c r="BE486" t="b">
        <f>OR(AND(IF(metadata!T486="",FALSE,TRUE),OR(EXACT(metadata!T486,"missing: not collected"),EXACT(metadata!T486,"missing: not provided"),EXACT(metadata!T486,"missing: restricted access"))),AND(IF(metadata!T486="",FALSE,ISNUMBER(VALUE(metadata!T486))),metadata!T486&gt;=-180,metadata!T486&lt;=180))</f>
        <v>0</v>
      </c>
      <c r="BF486" t="b">
        <f>AND(IF(metadata!U486="",FALSE,TRUE),EXACT(metadata!U486,"Decimal degrees"))</f>
        <v>0</v>
      </c>
      <c r="BG486" t="b">
        <f>IF(metadata!V486="",FALSE,TRUE)</f>
        <v>0</v>
      </c>
      <c r="BH486" t="b">
        <f>OR(AND(IF(metadata!W486="",FALSE,TRUE),OR(EXACT(metadata!W486,"missing: not collected"),EXACT(metadata!W486,"missing: not provided"),EXACT(metadata!W486,"missing: restricted access"))),AND(IF(metadata!W486="",FALSE,TRUE),OR(EXACT(metadata!W486,"TRUE"),EXACT(metadata!W486,"FALSE"))))</f>
        <v>0</v>
      </c>
      <c r="BI486" t="b">
        <f>AND(IF(metadata!X486="",FALSE,TRUE),EXACT(metadata!X486,"other"))</f>
        <v>0</v>
      </c>
      <c r="BJ486" t="b">
        <f>IF(metadata!Y486="",FALSE,TRUE)</f>
        <v>0</v>
      </c>
      <c r="BK486" t="b">
        <f>OR(AND(IF(metadata!Z486="",FALSE,TRUE),OR(EXACT(metadata!Z486,"missing: not collected"),EXACT(metadata!Z486,"missing: not provided"))),AND(IF(metadata!Z486="",FALSE,IF(ISERROR(INT(metadata!Z486)),FALSE,INT(metadata!Z486)=metadata!Z486)),metadata!Z486&gt;0))</f>
        <v>0</v>
      </c>
      <c r="BL486" t="b">
        <f>AND(IF(metadata!AA486="",FALSE,TRUE),EXACT(metadata!AA486,"Not applicable"))</f>
        <v>0</v>
      </c>
      <c r="BM486" t="b">
        <f>IF(metadata!AB486="",FALSE,TRUE)</f>
        <v>0</v>
      </c>
    </row>
    <row r="487" spans="1:65" x14ac:dyDescent="0.2">
      <c r="A487" s="5" t="str">
        <f ca="1">IF(B487=" "," ",HYPERLINK(CONCATENATE("#metadata!",ADDRESS(INDEX($AH$2:$AH$1001,MATCH(ROWS($AF$2:AF487),$AF$2:$AF$1001,0),0),1)),INDEX($AK$2:$AK$1001,MATCH(ROWS($AF$2:AF487),$AF$2:$AF$1001,0),0)))</f>
        <v xml:space="preserve"> </v>
      </c>
      <c r="B487" s="4" t="str">
        <f ca="1">IF(OR(INDEX($AG$2:$AG$1001,MATCH(ROWS($AF$2:AF487),$AF$2:$AF$1001,0),1)&gt;=100000,INDEX($AM$1005:$BM$1005,1,MATCH(COLUMNS($AM$1006:AM1006),$AM$1006:$BM$1006,0))&gt;=100000), " ",IF(INDEX($AM$2:$BM$1001,MATCH(ROWS($AF$2:AF487),$AF$2:$AF$1001,0),MATCH(COLUMNS($AM$1006:AM1006),$AM$1006:$BM$1006,0)), HYPERLINK("#",""), HYPERLINK(CONCATENATE("#metadata!", ADDRESS(INDEX($AH$2:$AH$1001,MATCH(ROWS($AF$2:AF487),$AF$2:$AF$1001,0),0), INDEX($AM$1004:$BM$1004,1,MATCH(COLUMNS($AM$1006:AM1006),$AM$1006:$BM$1006,0)))),"Fix")))</f>
        <v xml:space="preserve"> </v>
      </c>
      <c r="C487" s="4" t="str">
        <f ca="1">IF(OR(INDEX($AG$2:$AG$1001,MATCH(ROWS($AF$2:AF487),$AF$2:$AF$1001,0),1)&gt;=100000,INDEX($AM$1005:$BM$1005,1,MATCH(COLUMNS($AM$1006:AN1006),$AM$1006:$BM$1006,0))&gt;=100000), " ",IF(INDEX($AM$2:$BM$1001,MATCH(ROWS($AF$2:AF487),$AF$2:$AF$1001,0),MATCH(COLUMNS($AM$1006:AN1006),$AM$1006:$BM$1006,0)), HYPERLINK("#",""), HYPERLINK(CONCATENATE("#metadata!", ADDRESS(INDEX($AH$2:$AH$1001,MATCH(ROWS($AF$2:AF487),$AF$2:$AF$1001,0),0), INDEX($AM$1004:$BM$1004,1,MATCH(COLUMNS($AM$1006:AN1006),$AM$1006:$BM$1006,0)))),"Fix")))</f>
        <v xml:space="preserve"> </v>
      </c>
      <c r="D487" s="4" t="str">
        <f ca="1">IF(OR(INDEX($AG$2:$AG$1001,MATCH(ROWS($AF$2:AF487),$AF$2:$AF$1001,0),1)&gt;=100000,INDEX($AM$1005:$BM$1005,1,MATCH(COLUMNS($AM$1006:AO1006),$AM$1006:$BM$1006,0))&gt;=100000), " ",IF(INDEX($AM$2:$BM$1001,MATCH(ROWS($AF$2:AF487),$AF$2:$AF$1001,0),MATCH(COLUMNS($AM$1006:AO1006),$AM$1006:$BM$1006,0)), HYPERLINK("#",""), HYPERLINK(CONCATENATE("#metadata!", ADDRESS(INDEX($AH$2:$AH$1001,MATCH(ROWS($AF$2:AF487),$AF$2:$AF$1001,0),0), INDEX($AM$1004:$BM$1004,1,MATCH(COLUMNS($AM$1006:AO1006),$AM$1006:$BM$1006,0)))),"Fix")))</f>
        <v xml:space="preserve"> </v>
      </c>
      <c r="E487" s="4" t="str">
        <f ca="1">IF(OR(INDEX($AG$2:$AG$1001,MATCH(ROWS($AF$2:AF487),$AF$2:$AF$1001,0),1)&gt;=100000,INDEX($AM$1005:$BM$1005,1,MATCH(COLUMNS($AM$1006:AP1006),$AM$1006:$BM$1006,0))&gt;=100000), " ",IF(INDEX($AM$2:$BM$1001,MATCH(ROWS($AF$2:AF487),$AF$2:$AF$1001,0),MATCH(COLUMNS($AM$1006:AP1006),$AM$1006:$BM$1006,0)), HYPERLINK("#",""), HYPERLINK(CONCATENATE("#metadata!", ADDRESS(INDEX($AH$2:$AH$1001,MATCH(ROWS($AF$2:AF487),$AF$2:$AF$1001,0),0), INDEX($AM$1004:$BM$1004,1,MATCH(COLUMNS($AM$1006:AP1006),$AM$1006:$BM$1006,0)))),"Fix")))</f>
        <v xml:space="preserve"> </v>
      </c>
      <c r="F487" s="4" t="str">
        <f ca="1">IF(OR(INDEX($AG$2:$AG$1001,MATCH(ROWS($AF$2:AF487),$AF$2:$AF$1001,0),1)&gt;=100000,INDEX($AM$1005:$BM$1005,1,MATCH(COLUMNS($AM$1006:AQ1006),$AM$1006:$BM$1006,0))&gt;=100000), " ",IF(INDEX($AM$2:$BM$1001,MATCH(ROWS($AF$2:AF487),$AF$2:$AF$1001,0),MATCH(COLUMNS($AM$1006:AQ1006),$AM$1006:$BM$1006,0)), HYPERLINK("#",""), HYPERLINK(CONCATENATE("#metadata!", ADDRESS(INDEX($AH$2:$AH$1001,MATCH(ROWS($AF$2:AF487),$AF$2:$AF$1001,0),0), INDEX($AM$1004:$BM$1004,1,MATCH(COLUMNS($AM$1006:AQ1006),$AM$1006:$BM$1006,0)))),"Fix")))</f>
        <v xml:space="preserve"> </v>
      </c>
      <c r="G487" s="4" t="str">
        <f ca="1">IF(OR(INDEX($AG$2:$AG$1001,MATCH(ROWS($AF$2:AF487),$AF$2:$AF$1001,0),1)&gt;=100000,INDEX($AM$1005:$BM$1005,1,MATCH(COLUMNS($AM$1006:AR1006),$AM$1006:$BM$1006,0))&gt;=100000), " ",IF(INDEX($AM$2:$BM$1001,MATCH(ROWS($AF$2:AF487),$AF$2:$AF$1001,0),MATCH(COLUMNS($AM$1006:AR1006),$AM$1006:$BM$1006,0)), HYPERLINK("#",""), HYPERLINK(CONCATENATE("#metadata!", ADDRESS(INDEX($AH$2:$AH$1001,MATCH(ROWS($AF$2:AF487),$AF$2:$AF$1001,0),0), INDEX($AM$1004:$BM$1004,1,MATCH(COLUMNS($AM$1006:AR1006),$AM$1006:$BM$1006,0)))),"Fix")))</f>
        <v xml:space="preserve"> </v>
      </c>
      <c r="H487" s="4" t="str">
        <f ca="1">IF(OR(INDEX($AG$2:$AG$1001,MATCH(ROWS($AF$2:AF487),$AF$2:$AF$1001,0),1)&gt;=100000,INDEX($AM$1005:$BM$1005,1,MATCH(COLUMNS($AM$1006:AS1006),$AM$1006:$BM$1006,0))&gt;=100000), " ",IF(INDEX($AM$2:$BM$1001,MATCH(ROWS($AF$2:AF487),$AF$2:$AF$1001,0),MATCH(COLUMNS($AM$1006:AS1006),$AM$1006:$BM$1006,0)), HYPERLINK("#",""), HYPERLINK(CONCATENATE("#metadata!", ADDRESS(INDEX($AH$2:$AH$1001,MATCH(ROWS($AF$2:AF487),$AF$2:$AF$1001,0),0), INDEX($AM$1004:$BM$1004,1,MATCH(COLUMNS($AM$1006:AS1006),$AM$1006:$BM$1006,0)))),"Fix")))</f>
        <v xml:space="preserve"> </v>
      </c>
      <c r="I487" s="4" t="str">
        <f ca="1">IF(OR(INDEX($AG$2:$AG$1001,MATCH(ROWS($AF$2:AF487),$AF$2:$AF$1001,0),1)&gt;=100000,INDEX($AM$1005:$BM$1005,1,MATCH(COLUMNS($AM$1006:AT1006),$AM$1006:$BM$1006,0))&gt;=100000), " ",IF(INDEX($AM$2:$BM$1001,MATCH(ROWS($AF$2:AF487),$AF$2:$AF$1001,0),MATCH(COLUMNS($AM$1006:AT1006),$AM$1006:$BM$1006,0)), HYPERLINK("#",""), HYPERLINK(CONCATENATE("#metadata!", ADDRESS(INDEX($AH$2:$AH$1001,MATCH(ROWS($AF$2:AF487),$AF$2:$AF$1001,0),0), INDEX($AM$1004:$BM$1004,1,MATCH(COLUMNS($AM$1006:AT1006),$AM$1006:$BM$1006,0)))),"Fix")))</f>
        <v xml:space="preserve"> </v>
      </c>
      <c r="J487" s="4" t="str">
        <f ca="1">IF(OR(INDEX($AG$2:$AG$1001,MATCH(ROWS($AF$2:AF487),$AF$2:$AF$1001,0),1)&gt;=100000,INDEX($AM$1005:$BM$1005,1,MATCH(COLUMNS($AM$1006:AU1006),$AM$1006:$BM$1006,0))&gt;=100000), " ",IF(INDEX($AM$2:$BM$1001,MATCH(ROWS($AF$2:AF487),$AF$2:$AF$1001,0),MATCH(COLUMNS($AM$1006:AU1006),$AM$1006:$BM$1006,0)), HYPERLINK("#",""), HYPERLINK(CONCATENATE("#metadata!", ADDRESS(INDEX($AH$2:$AH$1001,MATCH(ROWS($AF$2:AF487),$AF$2:$AF$1001,0),0), INDEX($AM$1004:$BM$1004,1,MATCH(COLUMNS($AM$1006:AU1006),$AM$1006:$BM$1006,0)))),"Fix")))</f>
        <v xml:space="preserve"> </v>
      </c>
      <c r="K487" s="4" t="str">
        <f ca="1">IF(OR(INDEX($AG$2:$AG$1001,MATCH(ROWS($AF$2:AF487),$AF$2:$AF$1001,0),1)&gt;=100000,INDEX($AM$1005:$BM$1005,1,MATCH(COLUMNS($AM$1006:AV1006),$AM$1006:$BM$1006,0))&gt;=100000), " ",IF(INDEX($AM$2:$BM$1001,MATCH(ROWS($AF$2:AF487),$AF$2:$AF$1001,0),MATCH(COLUMNS($AM$1006:AV1006),$AM$1006:$BM$1006,0)), HYPERLINK("#",""), HYPERLINK(CONCATENATE("#metadata!", ADDRESS(INDEX($AH$2:$AH$1001,MATCH(ROWS($AF$2:AF487),$AF$2:$AF$1001,0),0), INDEX($AM$1004:$BM$1004,1,MATCH(COLUMNS($AM$1006:AV1006),$AM$1006:$BM$1006,0)))),"Fix")))</f>
        <v xml:space="preserve"> </v>
      </c>
      <c r="L487" s="4" t="str">
        <f ca="1">IF(OR(INDEX($AG$2:$AG$1001,MATCH(ROWS($AF$2:AF487),$AF$2:$AF$1001,0),1)&gt;=100000,INDEX($AM$1005:$BM$1005,1,MATCH(COLUMNS($AM$1006:AW1006),$AM$1006:$BM$1006,0))&gt;=100000), " ",IF(INDEX($AM$2:$BM$1001,MATCH(ROWS($AF$2:AF487),$AF$2:$AF$1001,0),MATCH(COLUMNS($AM$1006:AW1006),$AM$1006:$BM$1006,0)), HYPERLINK("#",""), HYPERLINK(CONCATENATE("#metadata!", ADDRESS(INDEX($AH$2:$AH$1001,MATCH(ROWS($AF$2:AF487),$AF$2:$AF$1001,0),0), INDEX($AM$1004:$BM$1004,1,MATCH(COLUMNS($AM$1006:AW1006),$AM$1006:$BM$1006,0)))),"Fix")))</f>
        <v xml:space="preserve"> </v>
      </c>
      <c r="M487" s="4" t="str">
        <f ca="1">IF(OR(INDEX($AG$2:$AG$1001,MATCH(ROWS($AF$2:AF487),$AF$2:$AF$1001,0),1)&gt;=100000,INDEX($AM$1005:$BM$1005,1,MATCH(COLUMNS($AM$1006:AX1006),$AM$1006:$BM$1006,0))&gt;=100000), " ",IF(INDEX($AM$2:$BM$1001,MATCH(ROWS($AF$2:AF487),$AF$2:$AF$1001,0),MATCH(COLUMNS($AM$1006:AX1006),$AM$1006:$BM$1006,0)), HYPERLINK("#",""), HYPERLINK(CONCATENATE("#metadata!", ADDRESS(INDEX($AH$2:$AH$1001,MATCH(ROWS($AF$2:AF487),$AF$2:$AF$1001,0),0), INDEX($AM$1004:$BM$1004,1,MATCH(COLUMNS($AM$1006:AX1006),$AM$1006:$BM$1006,0)))),"Fix")))</f>
        <v xml:space="preserve"> </v>
      </c>
      <c r="N487" s="4" t="str">
        <f ca="1">IF(OR(INDEX($AG$2:$AG$1001,MATCH(ROWS($AF$2:AF487),$AF$2:$AF$1001,0),1)&gt;=100000,INDEX($AM$1005:$BM$1005,1,MATCH(COLUMNS($AM$1006:AY1006),$AM$1006:$BM$1006,0))&gt;=100000), " ",IF(INDEX($AM$2:$BM$1001,MATCH(ROWS($AF$2:AF487),$AF$2:$AF$1001,0),MATCH(COLUMNS($AM$1006:AY1006),$AM$1006:$BM$1006,0)), HYPERLINK("#",""), HYPERLINK(CONCATENATE("#metadata!", ADDRESS(INDEX($AH$2:$AH$1001,MATCH(ROWS($AF$2:AF487),$AF$2:$AF$1001,0),0), INDEX($AM$1004:$BM$1004,1,MATCH(COLUMNS($AM$1006:AY1006),$AM$1006:$BM$1006,0)))),"Fix")))</f>
        <v xml:space="preserve"> </v>
      </c>
      <c r="O487" s="4" t="str">
        <f ca="1">IF(OR(INDEX($AG$2:$AG$1001,MATCH(ROWS($AF$2:AF487),$AF$2:$AF$1001,0),1)&gt;=100000,INDEX($AM$1005:$BM$1005,1,MATCH(COLUMNS($AM$1006:AZ1006),$AM$1006:$BM$1006,0))&gt;=100000), " ",IF(INDEX($AM$2:$BM$1001,MATCH(ROWS($AF$2:AF487),$AF$2:$AF$1001,0),MATCH(COLUMNS($AM$1006:AZ1006),$AM$1006:$BM$1006,0)), HYPERLINK("#",""), HYPERLINK(CONCATENATE("#metadata!", ADDRESS(INDEX($AH$2:$AH$1001,MATCH(ROWS($AF$2:AF487),$AF$2:$AF$1001,0),0), INDEX($AM$1004:$BM$1004,1,MATCH(COLUMNS($AM$1006:AZ1006),$AM$1006:$BM$1006,0)))),"Fix")))</f>
        <v xml:space="preserve"> </v>
      </c>
      <c r="P487" s="4" t="str">
        <f ca="1">IF(OR(INDEX($AG$2:$AG$1001,MATCH(ROWS($AF$2:AF487),$AF$2:$AF$1001,0),1)&gt;=100000,INDEX($AM$1005:$BM$1005,1,MATCH(COLUMNS($AM$1006:BA1006),$AM$1006:$BM$1006,0))&gt;=100000), " ",IF(INDEX($AM$2:$BM$1001,MATCH(ROWS($AF$2:AF487),$AF$2:$AF$1001,0),MATCH(COLUMNS($AM$1006:BA1006),$AM$1006:$BM$1006,0)), HYPERLINK("#",""), HYPERLINK(CONCATENATE("#metadata!", ADDRESS(INDEX($AH$2:$AH$1001,MATCH(ROWS($AF$2:AF487),$AF$2:$AF$1001,0),0), INDEX($AM$1004:$BM$1004,1,MATCH(COLUMNS($AM$1006:BA1006),$AM$1006:$BM$1006,0)))),"Fix")))</f>
        <v xml:space="preserve"> </v>
      </c>
      <c r="Q487" s="4" t="str">
        <f ca="1">IF(OR(INDEX($AG$2:$AG$1001,MATCH(ROWS($AF$2:AF487),$AF$2:$AF$1001,0),1)&gt;=100000,INDEX($AM$1005:$BM$1005,1,MATCH(COLUMNS($AM$1006:BB1006),$AM$1006:$BM$1006,0))&gt;=100000), " ",IF(INDEX($AM$2:$BM$1001,MATCH(ROWS($AF$2:AF487),$AF$2:$AF$1001,0),MATCH(COLUMNS($AM$1006:BB1006),$AM$1006:$BM$1006,0)), HYPERLINK("#",""), HYPERLINK(CONCATENATE("#metadata!", ADDRESS(INDEX($AH$2:$AH$1001,MATCH(ROWS($AF$2:AF487),$AF$2:$AF$1001,0),0), INDEX($AM$1004:$BM$1004,1,MATCH(COLUMNS($AM$1006:BB1006),$AM$1006:$BM$1006,0)))),"Fix")))</f>
        <v xml:space="preserve"> </v>
      </c>
      <c r="R487" s="4" t="str">
        <f ca="1">IF(OR(INDEX($AG$2:$AG$1001,MATCH(ROWS($AF$2:AF487),$AF$2:$AF$1001,0),1)&gt;=100000,INDEX($AM$1005:$BM$1005,1,MATCH(COLUMNS($AM$1006:BC1006),$AM$1006:$BM$1006,0))&gt;=100000), " ",IF(INDEX($AM$2:$BM$1001,MATCH(ROWS($AF$2:AF487),$AF$2:$AF$1001,0),MATCH(COLUMNS($AM$1006:BC1006),$AM$1006:$BM$1006,0)), HYPERLINK("#",""), HYPERLINK(CONCATENATE("#metadata!", ADDRESS(INDEX($AH$2:$AH$1001,MATCH(ROWS($AF$2:AF487),$AF$2:$AF$1001,0),0), INDEX($AM$1004:$BM$1004,1,MATCH(COLUMNS($AM$1006:BC1006),$AM$1006:$BM$1006,0)))),"Fix")))</f>
        <v xml:space="preserve"> </v>
      </c>
      <c r="S487" s="4" t="str">
        <f ca="1">IF(OR(INDEX($AG$2:$AG$1001,MATCH(ROWS($AF$2:AF487),$AF$2:$AF$1001,0),1)&gt;=100000,INDEX($AM$1005:$BM$1005,1,MATCH(COLUMNS($AM$1006:BD1006),$AM$1006:$BM$1006,0))&gt;=100000), " ",IF(INDEX($AM$2:$BM$1001,MATCH(ROWS($AF$2:AF487),$AF$2:$AF$1001,0),MATCH(COLUMNS($AM$1006:BD1006),$AM$1006:$BM$1006,0)), HYPERLINK("#",""), HYPERLINK(CONCATENATE("#metadata!", ADDRESS(INDEX($AH$2:$AH$1001,MATCH(ROWS($AF$2:AF487),$AF$2:$AF$1001,0),0), INDEX($AM$1004:$BM$1004,1,MATCH(COLUMNS($AM$1006:BD1006),$AM$1006:$BM$1006,0)))),"Fix")))</f>
        <v xml:space="preserve"> </v>
      </c>
      <c r="T487" s="4" t="str">
        <f ca="1">IF(OR(INDEX($AG$2:$AG$1001,MATCH(ROWS($AF$2:AF487),$AF$2:$AF$1001,0),1)&gt;=100000,INDEX($AM$1005:$BM$1005,1,MATCH(COLUMNS($AM$1006:BE1006),$AM$1006:$BM$1006,0))&gt;=100000), " ",IF(INDEX($AM$2:$BM$1001,MATCH(ROWS($AF$2:AF487),$AF$2:$AF$1001,0),MATCH(COLUMNS($AM$1006:BE1006),$AM$1006:$BM$1006,0)), HYPERLINK("#",""), HYPERLINK(CONCATENATE("#metadata!", ADDRESS(INDEX($AH$2:$AH$1001,MATCH(ROWS($AF$2:AF487),$AF$2:$AF$1001,0),0), INDEX($AM$1004:$BM$1004,1,MATCH(COLUMNS($AM$1006:BE1006),$AM$1006:$BM$1006,0)))),"Fix")))</f>
        <v xml:space="preserve"> </v>
      </c>
      <c r="U487" s="4" t="str">
        <f ca="1">IF(OR(INDEX($AG$2:$AG$1001,MATCH(ROWS($AF$2:AF487),$AF$2:$AF$1001,0),1)&gt;=100000,INDEX($AM$1005:$BM$1005,1,MATCH(COLUMNS($AM$1006:BF1006),$AM$1006:$BM$1006,0))&gt;=100000), " ",IF(INDEX($AM$2:$BM$1001,MATCH(ROWS($AF$2:AF487),$AF$2:$AF$1001,0),MATCH(COLUMNS($AM$1006:BF1006),$AM$1006:$BM$1006,0)), HYPERLINK("#",""), HYPERLINK(CONCATENATE("#metadata!", ADDRESS(INDEX($AH$2:$AH$1001,MATCH(ROWS($AF$2:AF487),$AF$2:$AF$1001,0),0), INDEX($AM$1004:$BM$1004,1,MATCH(COLUMNS($AM$1006:BF1006),$AM$1006:$BM$1006,0)))),"Fix")))</f>
        <v xml:space="preserve"> </v>
      </c>
      <c r="V487" s="4" t="str">
        <f ca="1">IF(OR(INDEX($AG$2:$AG$1001,MATCH(ROWS($AF$2:AF487),$AF$2:$AF$1001,0),1)&gt;=100000,INDEX($AM$1005:$BM$1005,1,MATCH(COLUMNS($AM$1006:BG1006),$AM$1006:$BM$1006,0))&gt;=100000), " ",IF(INDEX($AM$2:$BM$1001,MATCH(ROWS($AF$2:AF487),$AF$2:$AF$1001,0),MATCH(COLUMNS($AM$1006:BG1006),$AM$1006:$BM$1006,0)), HYPERLINK("#",""), HYPERLINK(CONCATENATE("#metadata!", ADDRESS(INDEX($AH$2:$AH$1001,MATCH(ROWS($AF$2:AF487),$AF$2:$AF$1001,0),0), INDEX($AM$1004:$BM$1004,1,MATCH(COLUMNS($AM$1006:BG1006),$AM$1006:$BM$1006,0)))),"Fix")))</f>
        <v xml:space="preserve"> </v>
      </c>
      <c r="W487" s="4" t="str">
        <f ca="1">IF(OR(INDEX($AG$2:$AG$1001,MATCH(ROWS($AF$2:AF487),$AF$2:$AF$1001,0),1)&gt;=100000,INDEX($AM$1005:$BM$1005,1,MATCH(COLUMNS($AM$1006:BH1006),$AM$1006:$BM$1006,0))&gt;=100000), " ",IF(INDEX($AM$2:$BM$1001,MATCH(ROWS($AF$2:AF487),$AF$2:$AF$1001,0),MATCH(COLUMNS($AM$1006:BH1006),$AM$1006:$BM$1006,0)), HYPERLINK("#",""), HYPERLINK(CONCATENATE("#metadata!", ADDRESS(INDEX($AH$2:$AH$1001,MATCH(ROWS($AF$2:AF487),$AF$2:$AF$1001,0),0), INDEX($AM$1004:$BM$1004,1,MATCH(COLUMNS($AM$1006:BH1006),$AM$1006:$BM$1006,0)))),"Fix")))</f>
        <v xml:space="preserve"> </v>
      </c>
      <c r="X487" s="4" t="str">
        <f ca="1">IF(OR(INDEX($AG$2:$AG$1001,MATCH(ROWS($AF$2:AF487),$AF$2:$AF$1001,0),1)&gt;=100000,INDEX($AM$1005:$BM$1005,1,MATCH(COLUMNS($AM$1006:BI1006),$AM$1006:$BM$1006,0))&gt;=100000), " ",IF(INDEX($AM$2:$BM$1001,MATCH(ROWS($AF$2:AF487),$AF$2:$AF$1001,0),MATCH(COLUMNS($AM$1006:BI1006),$AM$1006:$BM$1006,0)), HYPERLINK("#",""), HYPERLINK(CONCATENATE("#metadata!", ADDRESS(INDEX($AH$2:$AH$1001,MATCH(ROWS($AF$2:AF487),$AF$2:$AF$1001,0),0), INDEX($AM$1004:$BM$1004,1,MATCH(COLUMNS($AM$1006:BI1006),$AM$1006:$BM$1006,0)))),"Fix")))</f>
        <v xml:space="preserve"> </v>
      </c>
      <c r="Y487" s="4" t="str">
        <f ca="1">IF(OR(INDEX($AG$2:$AG$1001,MATCH(ROWS($AF$2:AF487),$AF$2:$AF$1001,0),1)&gt;=100000,INDEX($AM$1005:$BM$1005,1,MATCH(COLUMNS($AM$1006:BJ1006),$AM$1006:$BM$1006,0))&gt;=100000), " ",IF(INDEX($AM$2:$BM$1001,MATCH(ROWS($AF$2:AF487),$AF$2:$AF$1001,0),MATCH(COLUMNS($AM$1006:BJ1006),$AM$1006:$BM$1006,0)), HYPERLINK("#",""), HYPERLINK(CONCATENATE("#metadata!", ADDRESS(INDEX($AH$2:$AH$1001,MATCH(ROWS($AF$2:AF487),$AF$2:$AF$1001,0),0), INDEX($AM$1004:$BM$1004,1,MATCH(COLUMNS($AM$1006:BJ1006),$AM$1006:$BM$1006,0)))),"Fix")))</f>
        <v xml:space="preserve"> </v>
      </c>
      <c r="Z487" s="4" t="str">
        <f ca="1">IF(OR(INDEX($AG$2:$AG$1001,MATCH(ROWS($AF$2:AF487),$AF$2:$AF$1001,0),1)&gt;=100000,INDEX($AM$1005:$BM$1005,1,MATCH(COLUMNS($AM$1006:BK1006),$AM$1006:$BM$1006,0))&gt;=100000), " ",IF(INDEX($AM$2:$BM$1001,MATCH(ROWS($AF$2:AF487),$AF$2:$AF$1001,0),MATCH(COLUMNS($AM$1006:BK1006),$AM$1006:$BM$1006,0)), HYPERLINK("#",""), HYPERLINK(CONCATENATE("#metadata!", ADDRESS(INDEX($AH$2:$AH$1001,MATCH(ROWS($AF$2:AF487),$AF$2:$AF$1001,0),0), INDEX($AM$1004:$BM$1004,1,MATCH(COLUMNS($AM$1006:BK1006),$AM$1006:$BM$1006,0)))),"Fix")))</f>
        <v xml:space="preserve"> </v>
      </c>
      <c r="AA487" s="4" t="str">
        <f ca="1">IF(OR(INDEX($AG$2:$AG$1001,MATCH(ROWS($AF$2:AF487),$AF$2:$AF$1001,0),1)&gt;=100000,INDEX($AM$1005:$BM$1005,1,MATCH(COLUMNS($AM$1006:BL1006),$AM$1006:$BM$1006,0))&gt;=100000), " ",IF(INDEX($AM$2:$BM$1001,MATCH(ROWS($AF$2:AF487),$AF$2:$AF$1001,0),MATCH(COLUMNS($AM$1006:BL1006),$AM$1006:$BM$1006,0)), HYPERLINK("#",""), HYPERLINK(CONCATENATE("#metadata!", ADDRESS(INDEX($AH$2:$AH$1001,MATCH(ROWS($AF$2:AF487),$AF$2:$AF$1001,0),0), INDEX($AM$1004:$BM$1004,1,MATCH(COLUMNS($AM$1006:BL1006),$AM$1006:$BM$1006,0)))),"Fix")))</f>
        <v xml:space="preserve"> </v>
      </c>
      <c r="AB487" s="4" t="str">
        <f ca="1">IF(OR(INDEX($AG$2:$AG$1001,MATCH(ROWS($AF$2:AF487),$AF$2:$AF$1001,0),1)&gt;=100000,INDEX($AM$1005:$BM$1005,1,MATCH(COLUMNS($AM$1006:BM1006),$AM$1006:$BM$1006,0))&gt;=100000), " ",IF(INDEX($AM$2:$BM$1001,MATCH(ROWS($AF$2:AF487),$AF$2:$AF$1001,0),MATCH(COLUMNS($AM$1006:BM1006),$AM$1006:$BM$1006,0)), HYPERLINK("#",""), HYPERLINK(CONCATENATE("#metadata!", ADDRESS(INDEX($AH$2:$AH$1001,MATCH(ROWS($AF$2:AF487),$AF$2:$AF$1001,0),0), INDEX($AM$1004:$BM$1004,1,MATCH(COLUMNS($AM$1006:BM1006),$AM$1006:$BM$1006,0)))),"Fix")))</f>
        <v xml:space="preserve"> </v>
      </c>
      <c r="AF487">
        <v>486</v>
      </c>
      <c r="AG487">
        <v>100487</v>
      </c>
      <c r="AH487">
        <v>487</v>
      </c>
      <c r="AI487" t="b">
        <f t="shared" si="7"/>
        <v>1</v>
      </c>
      <c r="AJ487" t="b">
        <f>COUNTBLANK(metadata!B487:AB487)=COLUMNS(metadata!B487:AB487)</f>
        <v>1</v>
      </c>
      <c r="AK487" t="str">
        <v/>
      </c>
      <c r="AM487" t="b">
        <f ca="1">AND(IF(metadata!B487="",FALSE,TRUE),COUNTIF(metadata!B:B, metadata!B487) = 1,NOT(ISERROR(SUMPRODUCT(SEARCH(MID(metadata!B487,ROW(INDIRECT("1:"&amp;LEN(metadata!B487))), 1),"0123456789abcdefghijklmnopqrstuvwxyzABCDEFGHIJKLMNOPQRSTUVWXYZ.")))))</f>
        <v>0</v>
      </c>
      <c r="AN487" t="b">
        <f ca="1">OR(AND(IF(metadata!C487="",FALSE,TRUE),OR(EXACT(metadata!C487,"missing: not collected"),EXACT(metadata!C487,"missing: not provided"),EXACT(metadata!C487,"missing: restricted access"))),AND(IF(metadata!C487="",FALSE,TRUE),AND(AND(IFERROR(INT(LEFT(metadata!C487,4))&gt;1900,FALSE),IFERROR(INT(LEFT(metadata!C487,4))&lt;=YEAR(NOW()),FALSE)), OR(MID(metadata!C487,5,1)="", AND(AND(MID(metadata!C487,5,1)="-",IFERROR(INT(MID(metadata!C487,6,1))&gt;=0,FALSE),IFERROR(INT(MID(metadata!C487,6,1))&lt;=1,FALSE),NOT(MID(metadata!C487,7,1)=""),IFERROR(INT(MID(metadata!C487,6,2))&gt;=1,FALSE),IFERROR(INT(MID(metadata!C487,6,2))&lt;=12,FALSE)), OR(MID(metadata!C487,8,1)="", AND(AND(MID(metadata!C487,8,1)="-",IFERROR(INT(MID(metadata!C487,9,1))&gt;=0,FALSE),IFERROR(INT(MID(metadata!C487,9,1))&lt;=3,FALSE),NOT(MID(metadata!C487,10,1)=""),IFERROR(INT(MID(metadata!C487,9,2))&gt;=1,FALSE),IFERROR(INT(MID(metadata!C487,9,2))&lt;=31,FALSE)), OR(MID(metadata!C487,11,1)="", AND(AND(MID(metadata!C487,11,1)=" ",IFERROR(INT(MID(metadata!C487,12,1))&gt;=0,FALSE),IFERROR(INT(MID(metadata!C487,12,1))&lt;=2,FALSE),NOT(MID(metadata!C487,13,1)=""),IFERROR(INT(MID(metadata!C487,12,2))&gt;=0,FALSE),IFERROR(INT(MID(metadata!C487,12,2))&lt;=23,FALSE)), OR(MID(metadata!C487,14,1)="", AND(AND(MID(metadata!C487,14,1)=":",IFERROR(INT(MID(metadata!C487,15,1))&gt;=0,FALSE),IFERROR(INT(MID(metadata!C487,15,1))&lt;=5,FALSE),NOT(MID(metadata!C487,16,1)=""),IFERROR(INT(MID(metadata!C487,15,2))&gt;=0,FALSE),IFERROR(INT(MID(metadata!C487,15,2))&lt;=59,FALSE)), OR(MID(metadata!C487,17,1)="", AND(AND(MID(metadata!C487,17,1)=":",IFERROR(INT(MID(metadata!C487,18,1))&gt;=0,FALSE),IFERROR(INT(MID(metadata!C487,18,1))&lt;=5,FALSE),NOT(MID(metadata!C487,19,1)=""),IFERROR(INT(MID(metadata!C487,18,2))&gt;=0,FALSE),IFERROR(INT(MID(metadata!C487,18,2))&lt;=59,FALSE)), LEN(metadata!C487)&lt;=19)))))))))))))</f>
        <v>0</v>
      </c>
      <c r="AO487" t="b">
        <f>AND(IF(metadata!D487="",FALSE,TRUE),EXACT(metadata!D487,"Not applicable"))</f>
        <v>0</v>
      </c>
      <c r="AP487" t="b">
        <f>IF(metadata!E487="",FALSE,TRUE)</f>
        <v>0</v>
      </c>
      <c r="AQ487" t="b">
        <f>OR(AND(IF(metadata!F487="",FALSE,TRUE),OR(EXACT(metadata!F487,"missing: not collected"),EXACT(metadata!F487,"missing: not provided"))),AND(IF(metadata!F487="",FALSE,TRUE),OR(EXACT(metadata!F487,"TRUE"),EXACT(metadata!F487,"FALSE"))))</f>
        <v>0</v>
      </c>
      <c r="AR487" t="b">
        <f>OR(AND(IF(metadata!G487="",FALSE,TRUE),OR(EXACT(metadata!G487,"missing: not collected"),EXACT(metadata!G487,"missing: not provided"),EXACT(metadata!G487,"missing: restricted access"))),AND(IF(metadata!G487="",FALSE,ISNUMBER(VALUE(metadata!G487))),metadata!G487&gt;=-413))</f>
        <v>0</v>
      </c>
      <c r="AS487" t="b">
        <f>AND(IF(metadata!H487="",FALSE,TRUE),EXACT(metadata!H487,"meters"))</f>
        <v>0</v>
      </c>
      <c r="AT487" t="b">
        <f>AND(IF(metadata!I487="",FALSE,TRUE),OR(EXACT(metadata!I487,"Host-associated"),EXACT(metadata!I487,"Free-living")))</f>
        <v>0</v>
      </c>
      <c r="AU487" t="b">
        <f>AND(IF(metadata!J487="",FALSE,TRUE),OR(EXACT(metadata!J487,"Animal"),EXACT(metadata!J487,"Fungus"),EXACT(metadata!J487,"Plant"),EXACT(metadata!J487,"Saline"),EXACT(metadata!J487,"Non-saline")))</f>
        <v>0</v>
      </c>
      <c r="AV487" t="b">
        <f>AND(IF(metadata!K487="",FALSE,TRUE),OR(EXACT(metadata!K487,"Plant secretion"),EXACT(metadata!K487,"Plant rhizosphere"),EXACT(metadata!K487,"Plant surface"),EXACT(metadata!K487,"Plant corpus"),EXACT(metadata!K487,"Fungus surface"),EXACT(metadata!K487,"Fungus corpus"),EXACT(metadata!K487,"Animal surface"),EXACT(metadata!K487,"Animal proximal gut"),EXACT(metadata!K487,"Animal corpus"),EXACT(metadata!K487,"Animal distal gut"),EXACT(metadata!K487,"Animal secretion"),EXACT(metadata!K487,"Sub-surface (non-saline)"),EXACT(metadata!K487,"Surface (non-saline)"),EXACT(metadata!K487,"Water (non-saline)"),EXACT(metadata!K487,"Soil (non-saline)"),EXACT(metadata!K487,"Aerosol (non-saline)"),EXACT(metadata!K487,"Sediment (non-saline)"),EXACT(metadata!K487,"Surface (saline)"),EXACT(metadata!K487,"Water (saline)"),EXACT(metadata!K487,"Hypersaline (saline)"),EXACT(metadata!K487,"Aerosol (saline)"),EXACT(metadata!K487,"Sediment (saline)")))</f>
        <v>0</v>
      </c>
      <c r="AW487" t="b">
        <f>IF(metadata!L487="",FALSE,TRUE)</f>
        <v>0</v>
      </c>
      <c r="AX487" t="b">
        <f>IF(metadata!M487="",FALSE,TRUE)</f>
        <v>0</v>
      </c>
      <c r="AY487" t="b">
        <f>IF(metadata!N487="",FALSE,TRUE)</f>
        <v>0</v>
      </c>
      <c r="AZ487" t="b">
        <f>OR(AND(IF(metadata!O487="",FALSE,TRUE),OR(EXACT(metadata!O487,"missing: not collected"),EXACT(metadata!O487,"missing: not provided"),EXACT(metadata!O487,"missing: restricted access"))),AND(IF(metadata!O487="",FALSE,TRUE),OR(EXACT(metadata!O487,"air"),EXACT(metadata!O487,"built environment"),EXACT(metadata!O487,"host-associated"),EXACT(metadata!O487,"human-associated"),EXACT(metadata!O487,"human-skin"),EXACT(metadata!O487,"human-oral"),EXACT(metadata!O487,"human-gut"),EXACT(metadata!O487,"human-vaginal"),EXACT(metadata!O487,"microbial mat/biofilm"),EXACT(metadata!O487,"misc environment"),EXACT(metadata!O487,"plant-associated"),EXACT(metadata!O487,"sediment"),EXACT(metadata!O487,"soil"),EXACT(metadata!O487,"wastewater/sludge"),EXACT(metadata!O487,"water"))))</f>
        <v>0</v>
      </c>
      <c r="BA487" t="b">
        <f>IF(metadata!P487="",FALSE,TRUE)</f>
        <v>0</v>
      </c>
      <c r="BB487" t="b">
        <f>IF(metadata!Q487="",FALSE,TRUE)</f>
        <v>0</v>
      </c>
      <c r="BC487" t="b">
        <f>OR(AND(IF(metadata!R487="",FALSE,TRUE),OR(EXACT(metadata!R487,"missing: not collected"),EXACT(metadata!R487,"missing: not provided"),EXACT(metadata!R487,"missing: restricted access"))),AND(IF(metadata!R487="",FALSE,ISNUMBER(VALUE(metadata!R487))),metadata!R487&gt;=-90,metadata!R487&lt;=90))</f>
        <v>0</v>
      </c>
      <c r="BD487" t="b">
        <f>AND(IF(metadata!S487="",FALSE,TRUE),EXACT(metadata!S487,"Decimal degrees"))</f>
        <v>0</v>
      </c>
      <c r="BE487" t="b">
        <f>OR(AND(IF(metadata!T487="",FALSE,TRUE),OR(EXACT(metadata!T487,"missing: not collected"),EXACT(metadata!T487,"missing: not provided"),EXACT(metadata!T487,"missing: restricted access"))),AND(IF(metadata!T487="",FALSE,ISNUMBER(VALUE(metadata!T487))),metadata!T487&gt;=-180,metadata!T487&lt;=180))</f>
        <v>0</v>
      </c>
      <c r="BF487" t="b">
        <f>AND(IF(metadata!U487="",FALSE,TRUE),EXACT(metadata!U487,"Decimal degrees"))</f>
        <v>0</v>
      </c>
      <c r="BG487" t="b">
        <f>IF(metadata!V487="",FALSE,TRUE)</f>
        <v>0</v>
      </c>
      <c r="BH487" t="b">
        <f>OR(AND(IF(metadata!W487="",FALSE,TRUE),OR(EXACT(metadata!W487,"missing: not collected"),EXACT(metadata!W487,"missing: not provided"),EXACT(metadata!W487,"missing: restricted access"))),AND(IF(metadata!W487="",FALSE,TRUE),OR(EXACT(metadata!W487,"TRUE"),EXACT(metadata!W487,"FALSE"))))</f>
        <v>0</v>
      </c>
      <c r="BI487" t="b">
        <f>AND(IF(metadata!X487="",FALSE,TRUE),EXACT(metadata!X487,"other"))</f>
        <v>0</v>
      </c>
      <c r="BJ487" t="b">
        <f>IF(metadata!Y487="",FALSE,TRUE)</f>
        <v>0</v>
      </c>
      <c r="BK487" t="b">
        <f>OR(AND(IF(metadata!Z487="",FALSE,TRUE),OR(EXACT(metadata!Z487,"missing: not collected"),EXACT(metadata!Z487,"missing: not provided"))),AND(IF(metadata!Z487="",FALSE,IF(ISERROR(INT(metadata!Z487)),FALSE,INT(metadata!Z487)=metadata!Z487)),metadata!Z487&gt;0))</f>
        <v>0</v>
      </c>
      <c r="BL487" t="b">
        <f>AND(IF(metadata!AA487="",FALSE,TRUE),EXACT(metadata!AA487,"Not applicable"))</f>
        <v>0</v>
      </c>
      <c r="BM487" t="b">
        <f>IF(metadata!AB487="",FALSE,TRUE)</f>
        <v>0</v>
      </c>
    </row>
    <row r="488" spans="1:65" x14ac:dyDescent="0.2">
      <c r="A488" s="5" t="str">
        <f ca="1">IF(B488=" "," ",HYPERLINK(CONCATENATE("#metadata!",ADDRESS(INDEX($AH$2:$AH$1001,MATCH(ROWS($AF$2:AF488),$AF$2:$AF$1001,0),0),1)),INDEX($AK$2:$AK$1001,MATCH(ROWS($AF$2:AF488),$AF$2:$AF$1001,0),0)))</f>
        <v xml:space="preserve"> </v>
      </c>
      <c r="B488" s="4" t="str">
        <f ca="1">IF(OR(INDEX($AG$2:$AG$1001,MATCH(ROWS($AF$2:AF488),$AF$2:$AF$1001,0),1)&gt;=100000,INDEX($AM$1005:$BM$1005,1,MATCH(COLUMNS($AM$1006:AM1006),$AM$1006:$BM$1006,0))&gt;=100000), " ",IF(INDEX($AM$2:$BM$1001,MATCH(ROWS($AF$2:AF488),$AF$2:$AF$1001,0),MATCH(COLUMNS($AM$1006:AM1006),$AM$1006:$BM$1006,0)), HYPERLINK("#",""), HYPERLINK(CONCATENATE("#metadata!", ADDRESS(INDEX($AH$2:$AH$1001,MATCH(ROWS($AF$2:AF488),$AF$2:$AF$1001,0),0), INDEX($AM$1004:$BM$1004,1,MATCH(COLUMNS($AM$1006:AM1006),$AM$1006:$BM$1006,0)))),"Fix")))</f>
        <v xml:space="preserve"> </v>
      </c>
      <c r="C488" s="4" t="str">
        <f ca="1">IF(OR(INDEX($AG$2:$AG$1001,MATCH(ROWS($AF$2:AF488),$AF$2:$AF$1001,0),1)&gt;=100000,INDEX($AM$1005:$BM$1005,1,MATCH(COLUMNS($AM$1006:AN1006),$AM$1006:$BM$1006,0))&gt;=100000), " ",IF(INDEX($AM$2:$BM$1001,MATCH(ROWS($AF$2:AF488),$AF$2:$AF$1001,0),MATCH(COLUMNS($AM$1006:AN1006),$AM$1006:$BM$1006,0)), HYPERLINK("#",""), HYPERLINK(CONCATENATE("#metadata!", ADDRESS(INDEX($AH$2:$AH$1001,MATCH(ROWS($AF$2:AF488),$AF$2:$AF$1001,0),0), INDEX($AM$1004:$BM$1004,1,MATCH(COLUMNS($AM$1006:AN1006),$AM$1006:$BM$1006,0)))),"Fix")))</f>
        <v xml:space="preserve"> </v>
      </c>
      <c r="D488" s="4" t="str">
        <f ca="1">IF(OR(INDEX($AG$2:$AG$1001,MATCH(ROWS($AF$2:AF488),$AF$2:$AF$1001,0),1)&gt;=100000,INDEX($AM$1005:$BM$1005,1,MATCH(COLUMNS($AM$1006:AO1006),$AM$1006:$BM$1006,0))&gt;=100000), " ",IF(INDEX($AM$2:$BM$1001,MATCH(ROWS($AF$2:AF488),$AF$2:$AF$1001,0),MATCH(COLUMNS($AM$1006:AO1006),$AM$1006:$BM$1006,0)), HYPERLINK("#",""), HYPERLINK(CONCATENATE("#metadata!", ADDRESS(INDEX($AH$2:$AH$1001,MATCH(ROWS($AF$2:AF488),$AF$2:$AF$1001,0),0), INDEX($AM$1004:$BM$1004,1,MATCH(COLUMNS($AM$1006:AO1006),$AM$1006:$BM$1006,0)))),"Fix")))</f>
        <v xml:space="preserve"> </v>
      </c>
      <c r="E488" s="4" t="str">
        <f ca="1">IF(OR(INDEX($AG$2:$AG$1001,MATCH(ROWS($AF$2:AF488),$AF$2:$AF$1001,0),1)&gt;=100000,INDEX($AM$1005:$BM$1005,1,MATCH(COLUMNS($AM$1006:AP1006),$AM$1006:$BM$1006,0))&gt;=100000), " ",IF(INDEX($AM$2:$BM$1001,MATCH(ROWS($AF$2:AF488),$AF$2:$AF$1001,0),MATCH(COLUMNS($AM$1006:AP1006),$AM$1006:$BM$1006,0)), HYPERLINK("#",""), HYPERLINK(CONCATENATE("#metadata!", ADDRESS(INDEX($AH$2:$AH$1001,MATCH(ROWS($AF$2:AF488),$AF$2:$AF$1001,0),0), INDEX($AM$1004:$BM$1004,1,MATCH(COLUMNS($AM$1006:AP1006),$AM$1006:$BM$1006,0)))),"Fix")))</f>
        <v xml:space="preserve"> </v>
      </c>
      <c r="F488" s="4" t="str">
        <f ca="1">IF(OR(INDEX($AG$2:$AG$1001,MATCH(ROWS($AF$2:AF488),$AF$2:$AF$1001,0),1)&gt;=100000,INDEX($AM$1005:$BM$1005,1,MATCH(COLUMNS($AM$1006:AQ1006),$AM$1006:$BM$1006,0))&gt;=100000), " ",IF(INDEX($AM$2:$BM$1001,MATCH(ROWS($AF$2:AF488),$AF$2:$AF$1001,0),MATCH(COLUMNS($AM$1006:AQ1006),$AM$1006:$BM$1006,0)), HYPERLINK("#",""), HYPERLINK(CONCATENATE("#metadata!", ADDRESS(INDEX($AH$2:$AH$1001,MATCH(ROWS($AF$2:AF488),$AF$2:$AF$1001,0),0), INDEX($AM$1004:$BM$1004,1,MATCH(COLUMNS($AM$1006:AQ1006),$AM$1006:$BM$1006,0)))),"Fix")))</f>
        <v xml:space="preserve"> </v>
      </c>
      <c r="G488" s="4" t="str">
        <f ca="1">IF(OR(INDEX($AG$2:$AG$1001,MATCH(ROWS($AF$2:AF488),$AF$2:$AF$1001,0),1)&gt;=100000,INDEX($AM$1005:$BM$1005,1,MATCH(COLUMNS($AM$1006:AR1006),$AM$1006:$BM$1006,0))&gt;=100000), " ",IF(INDEX($AM$2:$BM$1001,MATCH(ROWS($AF$2:AF488),$AF$2:$AF$1001,0),MATCH(COLUMNS($AM$1006:AR1006),$AM$1006:$BM$1006,0)), HYPERLINK("#",""), HYPERLINK(CONCATENATE("#metadata!", ADDRESS(INDEX($AH$2:$AH$1001,MATCH(ROWS($AF$2:AF488),$AF$2:$AF$1001,0),0), INDEX($AM$1004:$BM$1004,1,MATCH(COLUMNS($AM$1006:AR1006),$AM$1006:$BM$1006,0)))),"Fix")))</f>
        <v xml:space="preserve"> </v>
      </c>
      <c r="H488" s="4" t="str">
        <f ca="1">IF(OR(INDEX($AG$2:$AG$1001,MATCH(ROWS($AF$2:AF488),$AF$2:$AF$1001,0),1)&gt;=100000,INDEX($AM$1005:$BM$1005,1,MATCH(COLUMNS($AM$1006:AS1006),$AM$1006:$BM$1006,0))&gt;=100000), " ",IF(INDEX($AM$2:$BM$1001,MATCH(ROWS($AF$2:AF488),$AF$2:$AF$1001,0),MATCH(COLUMNS($AM$1006:AS1006),$AM$1006:$BM$1006,0)), HYPERLINK("#",""), HYPERLINK(CONCATENATE("#metadata!", ADDRESS(INDEX($AH$2:$AH$1001,MATCH(ROWS($AF$2:AF488),$AF$2:$AF$1001,0),0), INDEX($AM$1004:$BM$1004,1,MATCH(COLUMNS($AM$1006:AS1006),$AM$1006:$BM$1006,0)))),"Fix")))</f>
        <v xml:space="preserve"> </v>
      </c>
      <c r="I488" s="4" t="str">
        <f ca="1">IF(OR(INDEX($AG$2:$AG$1001,MATCH(ROWS($AF$2:AF488),$AF$2:$AF$1001,0),1)&gt;=100000,INDEX($AM$1005:$BM$1005,1,MATCH(COLUMNS($AM$1006:AT1006),$AM$1006:$BM$1006,0))&gt;=100000), " ",IF(INDEX($AM$2:$BM$1001,MATCH(ROWS($AF$2:AF488),$AF$2:$AF$1001,0),MATCH(COLUMNS($AM$1006:AT1006),$AM$1006:$BM$1006,0)), HYPERLINK("#",""), HYPERLINK(CONCATENATE("#metadata!", ADDRESS(INDEX($AH$2:$AH$1001,MATCH(ROWS($AF$2:AF488),$AF$2:$AF$1001,0),0), INDEX($AM$1004:$BM$1004,1,MATCH(COLUMNS($AM$1006:AT1006),$AM$1006:$BM$1006,0)))),"Fix")))</f>
        <v xml:space="preserve"> </v>
      </c>
      <c r="J488" s="4" t="str">
        <f ca="1">IF(OR(INDEX($AG$2:$AG$1001,MATCH(ROWS($AF$2:AF488),$AF$2:$AF$1001,0),1)&gt;=100000,INDEX($AM$1005:$BM$1005,1,MATCH(COLUMNS($AM$1006:AU1006),$AM$1006:$BM$1006,0))&gt;=100000), " ",IF(INDEX($AM$2:$BM$1001,MATCH(ROWS($AF$2:AF488),$AF$2:$AF$1001,0),MATCH(COLUMNS($AM$1006:AU1006),$AM$1006:$BM$1006,0)), HYPERLINK("#",""), HYPERLINK(CONCATENATE("#metadata!", ADDRESS(INDEX($AH$2:$AH$1001,MATCH(ROWS($AF$2:AF488),$AF$2:$AF$1001,0),0), INDEX($AM$1004:$BM$1004,1,MATCH(COLUMNS($AM$1006:AU1006),$AM$1006:$BM$1006,0)))),"Fix")))</f>
        <v xml:space="preserve"> </v>
      </c>
      <c r="K488" s="4" t="str">
        <f ca="1">IF(OR(INDEX($AG$2:$AG$1001,MATCH(ROWS($AF$2:AF488),$AF$2:$AF$1001,0),1)&gt;=100000,INDEX($AM$1005:$BM$1005,1,MATCH(COLUMNS($AM$1006:AV1006),$AM$1006:$BM$1006,0))&gt;=100000), " ",IF(INDEX($AM$2:$BM$1001,MATCH(ROWS($AF$2:AF488),$AF$2:$AF$1001,0),MATCH(COLUMNS($AM$1006:AV1006),$AM$1006:$BM$1006,0)), HYPERLINK("#",""), HYPERLINK(CONCATENATE("#metadata!", ADDRESS(INDEX($AH$2:$AH$1001,MATCH(ROWS($AF$2:AF488),$AF$2:$AF$1001,0),0), INDEX($AM$1004:$BM$1004,1,MATCH(COLUMNS($AM$1006:AV1006),$AM$1006:$BM$1006,0)))),"Fix")))</f>
        <v xml:space="preserve"> </v>
      </c>
      <c r="L488" s="4" t="str">
        <f ca="1">IF(OR(INDEX($AG$2:$AG$1001,MATCH(ROWS($AF$2:AF488),$AF$2:$AF$1001,0),1)&gt;=100000,INDEX($AM$1005:$BM$1005,1,MATCH(COLUMNS($AM$1006:AW1006),$AM$1006:$BM$1006,0))&gt;=100000), " ",IF(INDEX($AM$2:$BM$1001,MATCH(ROWS($AF$2:AF488),$AF$2:$AF$1001,0),MATCH(COLUMNS($AM$1006:AW1006),$AM$1006:$BM$1006,0)), HYPERLINK("#",""), HYPERLINK(CONCATENATE("#metadata!", ADDRESS(INDEX($AH$2:$AH$1001,MATCH(ROWS($AF$2:AF488),$AF$2:$AF$1001,0),0), INDEX($AM$1004:$BM$1004,1,MATCH(COLUMNS($AM$1006:AW1006),$AM$1006:$BM$1006,0)))),"Fix")))</f>
        <v xml:space="preserve"> </v>
      </c>
      <c r="M488" s="4" t="str">
        <f ca="1">IF(OR(INDEX($AG$2:$AG$1001,MATCH(ROWS($AF$2:AF488),$AF$2:$AF$1001,0),1)&gt;=100000,INDEX($AM$1005:$BM$1005,1,MATCH(COLUMNS($AM$1006:AX1006),$AM$1006:$BM$1006,0))&gt;=100000), " ",IF(INDEX($AM$2:$BM$1001,MATCH(ROWS($AF$2:AF488),$AF$2:$AF$1001,0),MATCH(COLUMNS($AM$1006:AX1006),$AM$1006:$BM$1006,0)), HYPERLINK("#",""), HYPERLINK(CONCATENATE("#metadata!", ADDRESS(INDEX($AH$2:$AH$1001,MATCH(ROWS($AF$2:AF488),$AF$2:$AF$1001,0),0), INDEX($AM$1004:$BM$1004,1,MATCH(COLUMNS($AM$1006:AX1006),$AM$1006:$BM$1006,0)))),"Fix")))</f>
        <v xml:space="preserve"> </v>
      </c>
      <c r="N488" s="4" t="str">
        <f ca="1">IF(OR(INDEX($AG$2:$AG$1001,MATCH(ROWS($AF$2:AF488),$AF$2:$AF$1001,0),1)&gt;=100000,INDEX($AM$1005:$BM$1005,1,MATCH(COLUMNS($AM$1006:AY1006),$AM$1006:$BM$1006,0))&gt;=100000), " ",IF(INDEX($AM$2:$BM$1001,MATCH(ROWS($AF$2:AF488),$AF$2:$AF$1001,0),MATCH(COLUMNS($AM$1006:AY1006),$AM$1006:$BM$1006,0)), HYPERLINK("#",""), HYPERLINK(CONCATENATE("#metadata!", ADDRESS(INDEX($AH$2:$AH$1001,MATCH(ROWS($AF$2:AF488),$AF$2:$AF$1001,0),0), INDEX($AM$1004:$BM$1004,1,MATCH(COLUMNS($AM$1006:AY1006),$AM$1006:$BM$1006,0)))),"Fix")))</f>
        <v xml:space="preserve"> </v>
      </c>
      <c r="O488" s="4" t="str">
        <f ca="1">IF(OR(INDEX($AG$2:$AG$1001,MATCH(ROWS($AF$2:AF488),$AF$2:$AF$1001,0),1)&gt;=100000,INDEX($AM$1005:$BM$1005,1,MATCH(COLUMNS($AM$1006:AZ1006),$AM$1006:$BM$1006,0))&gt;=100000), " ",IF(INDEX($AM$2:$BM$1001,MATCH(ROWS($AF$2:AF488),$AF$2:$AF$1001,0),MATCH(COLUMNS($AM$1006:AZ1006),$AM$1006:$BM$1006,0)), HYPERLINK("#",""), HYPERLINK(CONCATENATE("#metadata!", ADDRESS(INDEX($AH$2:$AH$1001,MATCH(ROWS($AF$2:AF488),$AF$2:$AF$1001,0),0), INDEX($AM$1004:$BM$1004,1,MATCH(COLUMNS($AM$1006:AZ1006),$AM$1006:$BM$1006,0)))),"Fix")))</f>
        <v xml:space="preserve"> </v>
      </c>
      <c r="P488" s="4" t="str">
        <f ca="1">IF(OR(INDEX($AG$2:$AG$1001,MATCH(ROWS($AF$2:AF488),$AF$2:$AF$1001,0),1)&gt;=100000,INDEX($AM$1005:$BM$1005,1,MATCH(COLUMNS($AM$1006:BA1006),$AM$1006:$BM$1006,0))&gt;=100000), " ",IF(INDEX($AM$2:$BM$1001,MATCH(ROWS($AF$2:AF488),$AF$2:$AF$1001,0),MATCH(COLUMNS($AM$1006:BA1006),$AM$1006:$BM$1006,0)), HYPERLINK("#",""), HYPERLINK(CONCATENATE("#metadata!", ADDRESS(INDEX($AH$2:$AH$1001,MATCH(ROWS($AF$2:AF488),$AF$2:$AF$1001,0),0), INDEX($AM$1004:$BM$1004,1,MATCH(COLUMNS($AM$1006:BA1006),$AM$1006:$BM$1006,0)))),"Fix")))</f>
        <v xml:space="preserve"> </v>
      </c>
      <c r="Q488" s="4" t="str">
        <f ca="1">IF(OR(INDEX($AG$2:$AG$1001,MATCH(ROWS($AF$2:AF488),$AF$2:$AF$1001,0),1)&gt;=100000,INDEX($AM$1005:$BM$1005,1,MATCH(COLUMNS($AM$1006:BB1006),$AM$1006:$BM$1006,0))&gt;=100000), " ",IF(INDEX($AM$2:$BM$1001,MATCH(ROWS($AF$2:AF488),$AF$2:$AF$1001,0),MATCH(COLUMNS($AM$1006:BB1006),$AM$1006:$BM$1006,0)), HYPERLINK("#",""), HYPERLINK(CONCATENATE("#metadata!", ADDRESS(INDEX($AH$2:$AH$1001,MATCH(ROWS($AF$2:AF488),$AF$2:$AF$1001,0),0), INDEX($AM$1004:$BM$1004,1,MATCH(COLUMNS($AM$1006:BB1006),$AM$1006:$BM$1006,0)))),"Fix")))</f>
        <v xml:space="preserve"> </v>
      </c>
      <c r="R488" s="4" t="str">
        <f ca="1">IF(OR(INDEX($AG$2:$AG$1001,MATCH(ROWS($AF$2:AF488),$AF$2:$AF$1001,0),1)&gt;=100000,INDEX($AM$1005:$BM$1005,1,MATCH(COLUMNS($AM$1006:BC1006),$AM$1006:$BM$1006,0))&gt;=100000), " ",IF(INDEX($AM$2:$BM$1001,MATCH(ROWS($AF$2:AF488),$AF$2:$AF$1001,0),MATCH(COLUMNS($AM$1006:BC1006),$AM$1006:$BM$1006,0)), HYPERLINK("#",""), HYPERLINK(CONCATENATE("#metadata!", ADDRESS(INDEX($AH$2:$AH$1001,MATCH(ROWS($AF$2:AF488),$AF$2:$AF$1001,0),0), INDEX($AM$1004:$BM$1004,1,MATCH(COLUMNS($AM$1006:BC1006),$AM$1006:$BM$1006,0)))),"Fix")))</f>
        <v xml:space="preserve"> </v>
      </c>
      <c r="S488" s="4" t="str">
        <f ca="1">IF(OR(INDEX($AG$2:$AG$1001,MATCH(ROWS($AF$2:AF488),$AF$2:$AF$1001,0),1)&gt;=100000,INDEX($AM$1005:$BM$1005,1,MATCH(COLUMNS($AM$1006:BD1006),$AM$1006:$BM$1006,0))&gt;=100000), " ",IF(INDEX($AM$2:$BM$1001,MATCH(ROWS($AF$2:AF488),$AF$2:$AF$1001,0),MATCH(COLUMNS($AM$1006:BD1006),$AM$1006:$BM$1006,0)), HYPERLINK("#",""), HYPERLINK(CONCATENATE("#metadata!", ADDRESS(INDEX($AH$2:$AH$1001,MATCH(ROWS($AF$2:AF488),$AF$2:$AF$1001,0),0), INDEX($AM$1004:$BM$1004,1,MATCH(COLUMNS($AM$1006:BD1006),$AM$1006:$BM$1006,0)))),"Fix")))</f>
        <v xml:space="preserve"> </v>
      </c>
      <c r="T488" s="4" t="str">
        <f ca="1">IF(OR(INDEX($AG$2:$AG$1001,MATCH(ROWS($AF$2:AF488),$AF$2:$AF$1001,0),1)&gt;=100000,INDEX($AM$1005:$BM$1005,1,MATCH(COLUMNS($AM$1006:BE1006),$AM$1006:$BM$1006,0))&gt;=100000), " ",IF(INDEX($AM$2:$BM$1001,MATCH(ROWS($AF$2:AF488),$AF$2:$AF$1001,0),MATCH(COLUMNS($AM$1006:BE1006),$AM$1006:$BM$1006,0)), HYPERLINK("#",""), HYPERLINK(CONCATENATE("#metadata!", ADDRESS(INDEX($AH$2:$AH$1001,MATCH(ROWS($AF$2:AF488),$AF$2:$AF$1001,0),0), INDEX($AM$1004:$BM$1004,1,MATCH(COLUMNS($AM$1006:BE1006),$AM$1006:$BM$1006,0)))),"Fix")))</f>
        <v xml:space="preserve"> </v>
      </c>
      <c r="U488" s="4" t="str">
        <f ca="1">IF(OR(INDEX($AG$2:$AG$1001,MATCH(ROWS($AF$2:AF488),$AF$2:$AF$1001,0),1)&gt;=100000,INDEX($AM$1005:$BM$1005,1,MATCH(COLUMNS($AM$1006:BF1006),$AM$1006:$BM$1006,0))&gt;=100000), " ",IF(INDEX($AM$2:$BM$1001,MATCH(ROWS($AF$2:AF488),$AF$2:$AF$1001,0),MATCH(COLUMNS($AM$1006:BF1006),$AM$1006:$BM$1006,0)), HYPERLINK("#",""), HYPERLINK(CONCATENATE("#metadata!", ADDRESS(INDEX($AH$2:$AH$1001,MATCH(ROWS($AF$2:AF488),$AF$2:$AF$1001,0),0), INDEX($AM$1004:$BM$1004,1,MATCH(COLUMNS($AM$1006:BF1006),$AM$1006:$BM$1006,0)))),"Fix")))</f>
        <v xml:space="preserve"> </v>
      </c>
      <c r="V488" s="4" t="str">
        <f ca="1">IF(OR(INDEX($AG$2:$AG$1001,MATCH(ROWS($AF$2:AF488),$AF$2:$AF$1001,0),1)&gt;=100000,INDEX($AM$1005:$BM$1005,1,MATCH(COLUMNS($AM$1006:BG1006),$AM$1006:$BM$1006,0))&gt;=100000), " ",IF(INDEX($AM$2:$BM$1001,MATCH(ROWS($AF$2:AF488),$AF$2:$AF$1001,0),MATCH(COLUMNS($AM$1006:BG1006),$AM$1006:$BM$1006,0)), HYPERLINK("#",""), HYPERLINK(CONCATENATE("#metadata!", ADDRESS(INDEX($AH$2:$AH$1001,MATCH(ROWS($AF$2:AF488),$AF$2:$AF$1001,0),0), INDEX($AM$1004:$BM$1004,1,MATCH(COLUMNS($AM$1006:BG1006),$AM$1006:$BM$1006,0)))),"Fix")))</f>
        <v xml:space="preserve"> </v>
      </c>
      <c r="W488" s="4" t="str">
        <f ca="1">IF(OR(INDEX($AG$2:$AG$1001,MATCH(ROWS($AF$2:AF488),$AF$2:$AF$1001,0),1)&gt;=100000,INDEX($AM$1005:$BM$1005,1,MATCH(COLUMNS($AM$1006:BH1006),$AM$1006:$BM$1006,0))&gt;=100000), " ",IF(INDEX($AM$2:$BM$1001,MATCH(ROWS($AF$2:AF488),$AF$2:$AF$1001,0),MATCH(COLUMNS($AM$1006:BH1006),$AM$1006:$BM$1006,0)), HYPERLINK("#",""), HYPERLINK(CONCATENATE("#metadata!", ADDRESS(INDEX($AH$2:$AH$1001,MATCH(ROWS($AF$2:AF488),$AF$2:$AF$1001,0),0), INDEX($AM$1004:$BM$1004,1,MATCH(COLUMNS($AM$1006:BH1006),$AM$1006:$BM$1006,0)))),"Fix")))</f>
        <v xml:space="preserve"> </v>
      </c>
      <c r="X488" s="4" t="str">
        <f ca="1">IF(OR(INDEX($AG$2:$AG$1001,MATCH(ROWS($AF$2:AF488),$AF$2:$AF$1001,0),1)&gt;=100000,INDEX($AM$1005:$BM$1005,1,MATCH(COLUMNS($AM$1006:BI1006),$AM$1006:$BM$1006,0))&gt;=100000), " ",IF(INDEX($AM$2:$BM$1001,MATCH(ROWS($AF$2:AF488),$AF$2:$AF$1001,0),MATCH(COLUMNS($AM$1006:BI1006),$AM$1006:$BM$1006,0)), HYPERLINK("#",""), HYPERLINK(CONCATENATE("#metadata!", ADDRESS(INDEX($AH$2:$AH$1001,MATCH(ROWS($AF$2:AF488),$AF$2:$AF$1001,0),0), INDEX($AM$1004:$BM$1004,1,MATCH(COLUMNS($AM$1006:BI1006),$AM$1006:$BM$1006,0)))),"Fix")))</f>
        <v xml:space="preserve"> </v>
      </c>
      <c r="Y488" s="4" t="str">
        <f ca="1">IF(OR(INDEX($AG$2:$AG$1001,MATCH(ROWS($AF$2:AF488),$AF$2:$AF$1001,0),1)&gt;=100000,INDEX($AM$1005:$BM$1005,1,MATCH(COLUMNS($AM$1006:BJ1006),$AM$1006:$BM$1006,0))&gt;=100000), " ",IF(INDEX($AM$2:$BM$1001,MATCH(ROWS($AF$2:AF488),$AF$2:$AF$1001,0),MATCH(COLUMNS($AM$1006:BJ1006),$AM$1006:$BM$1006,0)), HYPERLINK("#",""), HYPERLINK(CONCATENATE("#metadata!", ADDRESS(INDEX($AH$2:$AH$1001,MATCH(ROWS($AF$2:AF488),$AF$2:$AF$1001,0),0), INDEX($AM$1004:$BM$1004,1,MATCH(COLUMNS($AM$1006:BJ1006),$AM$1006:$BM$1006,0)))),"Fix")))</f>
        <v xml:space="preserve"> </v>
      </c>
      <c r="Z488" s="4" t="str">
        <f ca="1">IF(OR(INDEX($AG$2:$AG$1001,MATCH(ROWS($AF$2:AF488),$AF$2:$AF$1001,0),1)&gt;=100000,INDEX($AM$1005:$BM$1005,1,MATCH(COLUMNS($AM$1006:BK1006),$AM$1006:$BM$1006,0))&gt;=100000), " ",IF(INDEX($AM$2:$BM$1001,MATCH(ROWS($AF$2:AF488),$AF$2:$AF$1001,0),MATCH(COLUMNS($AM$1006:BK1006),$AM$1006:$BM$1006,0)), HYPERLINK("#",""), HYPERLINK(CONCATENATE("#metadata!", ADDRESS(INDEX($AH$2:$AH$1001,MATCH(ROWS($AF$2:AF488),$AF$2:$AF$1001,0),0), INDEX($AM$1004:$BM$1004,1,MATCH(COLUMNS($AM$1006:BK1006),$AM$1006:$BM$1006,0)))),"Fix")))</f>
        <v xml:space="preserve"> </v>
      </c>
      <c r="AA488" s="4" t="str">
        <f ca="1">IF(OR(INDEX($AG$2:$AG$1001,MATCH(ROWS($AF$2:AF488),$AF$2:$AF$1001,0),1)&gt;=100000,INDEX($AM$1005:$BM$1005,1,MATCH(COLUMNS($AM$1006:BL1006),$AM$1006:$BM$1006,0))&gt;=100000), " ",IF(INDEX($AM$2:$BM$1001,MATCH(ROWS($AF$2:AF488),$AF$2:$AF$1001,0),MATCH(COLUMNS($AM$1006:BL1006),$AM$1006:$BM$1006,0)), HYPERLINK("#",""), HYPERLINK(CONCATENATE("#metadata!", ADDRESS(INDEX($AH$2:$AH$1001,MATCH(ROWS($AF$2:AF488),$AF$2:$AF$1001,0),0), INDEX($AM$1004:$BM$1004,1,MATCH(COLUMNS($AM$1006:BL1006),$AM$1006:$BM$1006,0)))),"Fix")))</f>
        <v xml:space="preserve"> </v>
      </c>
      <c r="AB488" s="4" t="str">
        <f ca="1">IF(OR(INDEX($AG$2:$AG$1001,MATCH(ROWS($AF$2:AF488),$AF$2:$AF$1001,0),1)&gt;=100000,INDEX($AM$1005:$BM$1005,1,MATCH(COLUMNS($AM$1006:BM1006),$AM$1006:$BM$1006,0))&gt;=100000), " ",IF(INDEX($AM$2:$BM$1001,MATCH(ROWS($AF$2:AF488),$AF$2:$AF$1001,0),MATCH(COLUMNS($AM$1006:BM1006),$AM$1006:$BM$1006,0)), HYPERLINK("#",""), HYPERLINK(CONCATENATE("#metadata!", ADDRESS(INDEX($AH$2:$AH$1001,MATCH(ROWS($AF$2:AF488),$AF$2:$AF$1001,0),0), INDEX($AM$1004:$BM$1004,1,MATCH(COLUMNS($AM$1006:BM1006),$AM$1006:$BM$1006,0)))),"Fix")))</f>
        <v xml:space="preserve"> </v>
      </c>
      <c r="AF488">
        <v>487</v>
      </c>
      <c r="AG488">
        <v>100488</v>
      </c>
      <c r="AH488">
        <v>488</v>
      </c>
      <c r="AI488" t="b">
        <f t="shared" si="7"/>
        <v>1</v>
      </c>
      <c r="AJ488" t="b">
        <f>COUNTBLANK(metadata!B488:AB488)=COLUMNS(metadata!B488:AB488)</f>
        <v>1</v>
      </c>
      <c r="AK488" t="str">
        <v/>
      </c>
      <c r="AM488" t="b">
        <f ca="1">AND(IF(metadata!B488="",FALSE,TRUE),COUNTIF(metadata!B:B, metadata!B488) = 1,NOT(ISERROR(SUMPRODUCT(SEARCH(MID(metadata!B488,ROW(INDIRECT("1:"&amp;LEN(metadata!B488))), 1),"0123456789abcdefghijklmnopqrstuvwxyzABCDEFGHIJKLMNOPQRSTUVWXYZ.")))))</f>
        <v>0</v>
      </c>
      <c r="AN488" t="b">
        <f ca="1">OR(AND(IF(metadata!C488="",FALSE,TRUE),OR(EXACT(metadata!C488,"missing: not collected"),EXACT(metadata!C488,"missing: not provided"),EXACT(metadata!C488,"missing: restricted access"))),AND(IF(metadata!C488="",FALSE,TRUE),AND(AND(IFERROR(INT(LEFT(metadata!C488,4))&gt;1900,FALSE),IFERROR(INT(LEFT(metadata!C488,4))&lt;=YEAR(NOW()),FALSE)), OR(MID(metadata!C488,5,1)="", AND(AND(MID(metadata!C488,5,1)="-",IFERROR(INT(MID(metadata!C488,6,1))&gt;=0,FALSE),IFERROR(INT(MID(metadata!C488,6,1))&lt;=1,FALSE),NOT(MID(metadata!C488,7,1)=""),IFERROR(INT(MID(metadata!C488,6,2))&gt;=1,FALSE),IFERROR(INT(MID(metadata!C488,6,2))&lt;=12,FALSE)), OR(MID(metadata!C488,8,1)="", AND(AND(MID(metadata!C488,8,1)="-",IFERROR(INT(MID(metadata!C488,9,1))&gt;=0,FALSE),IFERROR(INT(MID(metadata!C488,9,1))&lt;=3,FALSE),NOT(MID(metadata!C488,10,1)=""),IFERROR(INT(MID(metadata!C488,9,2))&gt;=1,FALSE),IFERROR(INT(MID(metadata!C488,9,2))&lt;=31,FALSE)), OR(MID(metadata!C488,11,1)="", AND(AND(MID(metadata!C488,11,1)=" ",IFERROR(INT(MID(metadata!C488,12,1))&gt;=0,FALSE),IFERROR(INT(MID(metadata!C488,12,1))&lt;=2,FALSE),NOT(MID(metadata!C488,13,1)=""),IFERROR(INT(MID(metadata!C488,12,2))&gt;=0,FALSE),IFERROR(INT(MID(metadata!C488,12,2))&lt;=23,FALSE)), OR(MID(metadata!C488,14,1)="", AND(AND(MID(metadata!C488,14,1)=":",IFERROR(INT(MID(metadata!C488,15,1))&gt;=0,FALSE),IFERROR(INT(MID(metadata!C488,15,1))&lt;=5,FALSE),NOT(MID(metadata!C488,16,1)=""),IFERROR(INT(MID(metadata!C488,15,2))&gt;=0,FALSE),IFERROR(INT(MID(metadata!C488,15,2))&lt;=59,FALSE)), OR(MID(metadata!C488,17,1)="", AND(AND(MID(metadata!C488,17,1)=":",IFERROR(INT(MID(metadata!C488,18,1))&gt;=0,FALSE),IFERROR(INT(MID(metadata!C488,18,1))&lt;=5,FALSE),NOT(MID(metadata!C488,19,1)=""),IFERROR(INT(MID(metadata!C488,18,2))&gt;=0,FALSE),IFERROR(INT(MID(metadata!C488,18,2))&lt;=59,FALSE)), LEN(metadata!C488)&lt;=19)))))))))))))</f>
        <v>0</v>
      </c>
      <c r="AO488" t="b">
        <f>AND(IF(metadata!D488="",FALSE,TRUE),EXACT(metadata!D488,"Not applicable"))</f>
        <v>0</v>
      </c>
      <c r="AP488" t="b">
        <f>IF(metadata!E488="",FALSE,TRUE)</f>
        <v>0</v>
      </c>
      <c r="AQ488" t="b">
        <f>OR(AND(IF(metadata!F488="",FALSE,TRUE),OR(EXACT(metadata!F488,"missing: not collected"),EXACT(metadata!F488,"missing: not provided"))),AND(IF(metadata!F488="",FALSE,TRUE),OR(EXACT(metadata!F488,"TRUE"),EXACT(metadata!F488,"FALSE"))))</f>
        <v>0</v>
      </c>
      <c r="AR488" t="b">
        <f>OR(AND(IF(metadata!G488="",FALSE,TRUE),OR(EXACT(metadata!G488,"missing: not collected"),EXACT(metadata!G488,"missing: not provided"),EXACT(metadata!G488,"missing: restricted access"))),AND(IF(metadata!G488="",FALSE,ISNUMBER(VALUE(metadata!G488))),metadata!G488&gt;=-413))</f>
        <v>0</v>
      </c>
      <c r="AS488" t="b">
        <f>AND(IF(metadata!H488="",FALSE,TRUE),EXACT(metadata!H488,"meters"))</f>
        <v>0</v>
      </c>
      <c r="AT488" t="b">
        <f>AND(IF(metadata!I488="",FALSE,TRUE),OR(EXACT(metadata!I488,"Host-associated"),EXACT(metadata!I488,"Free-living")))</f>
        <v>0</v>
      </c>
      <c r="AU488" t="b">
        <f>AND(IF(metadata!J488="",FALSE,TRUE),OR(EXACT(metadata!J488,"Animal"),EXACT(metadata!J488,"Fungus"),EXACT(metadata!J488,"Plant"),EXACT(metadata!J488,"Saline"),EXACT(metadata!J488,"Non-saline")))</f>
        <v>0</v>
      </c>
      <c r="AV488" t="b">
        <f>AND(IF(metadata!K488="",FALSE,TRUE),OR(EXACT(metadata!K488,"Plant secretion"),EXACT(metadata!K488,"Plant rhizosphere"),EXACT(metadata!K488,"Plant surface"),EXACT(metadata!K488,"Plant corpus"),EXACT(metadata!K488,"Fungus surface"),EXACT(metadata!K488,"Fungus corpus"),EXACT(metadata!K488,"Animal surface"),EXACT(metadata!K488,"Animal proximal gut"),EXACT(metadata!K488,"Animal corpus"),EXACT(metadata!K488,"Animal distal gut"),EXACT(metadata!K488,"Animal secretion"),EXACT(metadata!K488,"Sub-surface (non-saline)"),EXACT(metadata!K488,"Surface (non-saline)"),EXACT(metadata!K488,"Water (non-saline)"),EXACT(metadata!K488,"Soil (non-saline)"),EXACT(metadata!K488,"Aerosol (non-saline)"),EXACT(metadata!K488,"Sediment (non-saline)"),EXACT(metadata!K488,"Surface (saline)"),EXACT(metadata!K488,"Water (saline)"),EXACT(metadata!K488,"Hypersaline (saline)"),EXACT(metadata!K488,"Aerosol (saline)"),EXACT(metadata!K488,"Sediment (saline)")))</f>
        <v>0</v>
      </c>
      <c r="AW488" t="b">
        <f>IF(metadata!L488="",FALSE,TRUE)</f>
        <v>0</v>
      </c>
      <c r="AX488" t="b">
        <f>IF(metadata!M488="",FALSE,TRUE)</f>
        <v>0</v>
      </c>
      <c r="AY488" t="b">
        <f>IF(metadata!N488="",FALSE,TRUE)</f>
        <v>0</v>
      </c>
      <c r="AZ488" t="b">
        <f>OR(AND(IF(metadata!O488="",FALSE,TRUE),OR(EXACT(metadata!O488,"missing: not collected"),EXACT(metadata!O488,"missing: not provided"),EXACT(metadata!O488,"missing: restricted access"))),AND(IF(metadata!O488="",FALSE,TRUE),OR(EXACT(metadata!O488,"air"),EXACT(metadata!O488,"built environment"),EXACT(metadata!O488,"host-associated"),EXACT(metadata!O488,"human-associated"),EXACT(metadata!O488,"human-skin"),EXACT(metadata!O488,"human-oral"),EXACT(metadata!O488,"human-gut"),EXACT(metadata!O488,"human-vaginal"),EXACT(metadata!O488,"microbial mat/biofilm"),EXACT(metadata!O488,"misc environment"),EXACT(metadata!O488,"plant-associated"),EXACT(metadata!O488,"sediment"),EXACT(metadata!O488,"soil"),EXACT(metadata!O488,"wastewater/sludge"),EXACT(metadata!O488,"water"))))</f>
        <v>0</v>
      </c>
      <c r="BA488" t="b">
        <f>IF(metadata!P488="",FALSE,TRUE)</f>
        <v>0</v>
      </c>
      <c r="BB488" t="b">
        <f>IF(metadata!Q488="",FALSE,TRUE)</f>
        <v>0</v>
      </c>
      <c r="BC488" t="b">
        <f>OR(AND(IF(metadata!R488="",FALSE,TRUE),OR(EXACT(metadata!R488,"missing: not collected"),EXACT(metadata!R488,"missing: not provided"),EXACT(metadata!R488,"missing: restricted access"))),AND(IF(metadata!R488="",FALSE,ISNUMBER(VALUE(metadata!R488))),metadata!R488&gt;=-90,metadata!R488&lt;=90))</f>
        <v>0</v>
      </c>
      <c r="BD488" t="b">
        <f>AND(IF(metadata!S488="",FALSE,TRUE),EXACT(metadata!S488,"Decimal degrees"))</f>
        <v>0</v>
      </c>
      <c r="BE488" t="b">
        <f>OR(AND(IF(metadata!T488="",FALSE,TRUE),OR(EXACT(metadata!T488,"missing: not collected"),EXACT(metadata!T488,"missing: not provided"),EXACT(metadata!T488,"missing: restricted access"))),AND(IF(metadata!T488="",FALSE,ISNUMBER(VALUE(metadata!T488))),metadata!T488&gt;=-180,metadata!T488&lt;=180))</f>
        <v>0</v>
      </c>
      <c r="BF488" t="b">
        <f>AND(IF(metadata!U488="",FALSE,TRUE),EXACT(metadata!U488,"Decimal degrees"))</f>
        <v>0</v>
      </c>
      <c r="BG488" t="b">
        <f>IF(metadata!V488="",FALSE,TRUE)</f>
        <v>0</v>
      </c>
      <c r="BH488" t="b">
        <f>OR(AND(IF(metadata!W488="",FALSE,TRUE),OR(EXACT(metadata!W488,"missing: not collected"),EXACT(metadata!W488,"missing: not provided"),EXACT(metadata!W488,"missing: restricted access"))),AND(IF(metadata!W488="",FALSE,TRUE),OR(EXACT(metadata!W488,"TRUE"),EXACT(metadata!W488,"FALSE"))))</f>
        <v>0</v>
      </c>
      <c r="BI488" t="b">
        <f>AND(IF(metadata!X488="",FALSE,TRUE),EXACT(metadata!X488,"other"))</f>
        <v>0</v>
      </c>
      <c r="BJ488" t="b">
        <f>IF(metadata!Y488="",FALSE,TRUE)</f>
        <v>0</v>
      </c>
      <c r="BK488" t="b">
        <f>OR(AND(IF(metadata!Z488="",FALSE,TRUE),OR(EXACT(metadata!Z488,"missing: not collected"),EXACT(metadata!Z488,"missing: not provided"))),AND(IF(metadata!Z488="",FALSE,IF(ISERROR(INT(metadata!Z488)),FALSE,INT(metadata!Z488)=metadata!Z488)),metadata!Z488&gt;0))</f>
        <v>0</v>
      </c>
      <c r="BL488" t="b">
        <f>AND(IF(metadata!AA488="",FALSE,TRUE),EXACT(metadata!AA488,"Not applicable"))</f>
        <v>0</v>
      </c>
      <c r="BM488" t="b">
        <f>IF(metadata!AB488="",FALSE,TRUE)</f>
        <v>0</v>
      </c>
    </row>
    <row r="489" spans="1:65" x14ac:dyDescent="0.2">
      <c r="A489" s="5" t="str">
        <f ca="1">IF(B489=" "," ",HYPERLINK(CONCATENATE("#metadata!",ADDRESS(INDEX($AH$2:$AH$1001,MATCH(ROWS($AF$2:AF489),$AF$2:$AF$1001,0),0),1)),INDEX($AK$2:$AK$1001,MATCH(ROWS($AF$2:AF489),$AF$2:$AF$1001,0),0)))</f>
        <v xml:space="preserve"> </v>
      </c>
      <c r="B489" s="4" t="str">
        <f ca="1">IF(OR(INDEX($AG$2:$AG$1001,MATCH(ROWS($AF$2:AF489),$AF$2:$AF$1001,0),1)&gt;=100000,INDEX($AM$1005:$BM$1005,1,MATCH(COLUMNS($AM$1006:AM1006),$AM$1006:$BM$1006,0))&gt;=100000), " ",IF(INDEX($AM$2:$BM$1001,MATCH(ROWS($AF$2:AF489),$AF$2:$AF$1001,0),MATCH(COLUMNS($AM$1006:AM1006),$AM$1006:$BM$1006,0)), HYPERLINK("#",""), HYPERLINK(CONCATENATE("#metadata!", ADDRESS(INDEX($AH$2:$AH$1001,MATCH(ROWS($AF$2:AF489),$AF$2:$AF$1001,0),0), INDEX($AM$1004:$BM$1004,1,MATCH(COLUMNS($AM$1006:AM1006),$AM$1006:$BM$1006,0)))),"Fix")))</f>
        <v xml:space="preserve"> </v>
      </c>
      <c r="C489" s="4" t="str">
        <f ca="1">IF(OR(INDEX($AG$2:$AG$1001,MATCH(ROWS($AF$2:AF489),$AF$2:$AF$1001,0),1)&gt;=100000,INDEX($AM$1005:$BM$1005,1,MATCH(COLUMNS($AM$1006:AN1006),$AM$1006:$BM$1006,0))&gt;=100000), " ",IF(INDEX($AM$2:$BM$1001,MATCH(ROWS($AF$2:AF489),$AF$2:$AF$1001,0),MATCH(COLUMNS($AM$1006:AN1006),$AM$1006:$BM$1006,0)), HYPERLINK("#",""), HYPERLINK(CONCATENATE("#metadata!", ADDRESS(INDEX($AH$2:$AH$1001,MATCH(ROWS($AF$2:AF489),$AF$2:$AF$1001,0),0), INDEX($AM$1004:$BM$1004,1,MATCH(COLUMNS($AM$1006:AN1006),$AM$1006:$BM$1006,0)))),"Fix")))</f>
        <v xml:space="preserve"> </v>
      </c>
      <c r="D489" s="4" t="str">
        <f ca="1">IF(OR(INDEX($AG$2:$AG$1001,MATCH(ROWS($AF$2:AF489),$AF$2:$AF$1001,0),1)&gt;=100000,INDEX($AM$1005:$BM$1005,1,MATCH(COLUMNS($AM$1006:AO1006),$AM$1006:$BM$1006,0))&gt;=100000), " ",IF(INDEX($AM$2:$BM$1001,MATCH(ROWS($AF$2:AF489),$AF$2:$AF$1001,0),MATCH(COLUMNS($AM$1006:AO1006),$AM$1006:$BM$1006,0)), HYPERLINK("#",""), HYPERLINK(CONCATENATE("#metadata!", ADDRESS(INDEX($AH$2:$AH$1001,MATCH(ROWS($AF$2:AF489),$AF$2:$AF$1001,0),0), INDEX($AM$1004:$BM$1004,1,MATCH(COLUMNS($AM$1006:AO1006),$AM$1006:$BM$1006,0)))),"Fix")))</f>
        <v xml:space="preserve"> </v>
      </c>
      <c r="E489" s="4" t="str">
        <f ca="1">IF(OR(INDEX($AG$2:$AG$1001,MATCH(ROWS($AF$2:AF489),$AF$2:$AF$1001,0),1)&gt;=100000,INDEX($AM$1005:$BM$1005,1,MATCH(COLUMNS($AM$1006:AP1006),$AM$1006:$BM$1006,0))&gt;=100000), " ",IF(INDEX($AM$2:$BM$1001,MATCH(ROWS($AF$2:AF489),$AF$2:$AF$1001,0),MATCH(COLUMNS($AM$1006:AP1006),$AM$1006:$BM$1006,0)), HYPERLINK("#",""), HYPERLINK(CONCATENATE("#metadata!", ADDRESS(INDEX($AH$2:$AH$1001,MATCH(ROWS($AF$2:AF489),$AF$2:$AF$1001,0),0), INDEX($AM$1004:$BM$1004,1,MATCH(COLUMNS($AM$1006:AP1006),$AM$1006:$BM$1006,0)))),"Fix")))</f>
        <v xml:space="preserve"> </v>
      </c>
      <c r="F489" s="4" t="str">
        <f ca="1">IF(OR(INDEX($AG$2:$AG$1001,MATCH(ROWS($AF$2:AF489),$AF$2:$AF$1001,0),1)&gt;=100000,INDEX($AM$1005:$BM$1005,1,MATCH(COLUMNS($AM$1006:AQ1006),$AM$1006:$BM$1006,0))&gt;=100000), " ",IF(INDEX($AM$2:$BM$1001,MATCH(ROWS($AF$2:AF489),$AF$2:$AF$1001,0),MATCH(COLUMNS($AM$1006:AQ1006),$AM$1006:$BM$1006,0)), HYPERLINK("#",""), HYPERLINK(CONCATENATE("#metadata!", ADDRESS(INDEX($AH$2:$AH$1001,MATCH(ROWS($AF$2:AF489),$AF$2:$AF$1001,0),0), INDEX($AM$1004:$BM$1004,1,MATCH(COLUMNS($AM$1006:AQ1006),$AM$1006:$BM$1006,0)))),"Fix")))</f>
        <v xml:space="preserve"> </v>
      </c>
      <c r="G489" s="4" t="str">
        <f ca="1">IF(OR(INDEX($AG$2:$AG$1001,MATCH(ROWS($AF$2:AF489),$AF$2:$AF$1001,0),1)&gt;=100000,INDEX($AM$1005:$BM$1005,1,MATCH(COLUMNS($AM$1006:AR1006),$AM$1006:$BM$1006,0))&gt;=100000), " ",IF(INDEX($AM$2:$BM$1001,MATCH(ROWS($AF$2:AF489),$AF$2:$AF$1001,0),MATCH(COLUMNS($AM$1006:AR1006),$AM$1006:$BM$1006,0)), HYPERLINK("#",""), HYPERLINK(CONCATENATE("#metadata!", ADDRESS(INDEX($AH$2:$AH$1001,MATCH(ROWS($AF$2:AF489),$AF$2:$AF$1001,0),0), INDEX($AM$1004:$BM$1004,1,MATCH(COLUMNS($AM$1006:AR1006),$AM$1006:$BM$1006,0)))),"Fix")))</f>
        <v xml:space="preserve"> </v>
      </c>
      <c r="H489" s="4" t="str">
        <f ca="1">IF(OR(INDEX($AG$2:$AG$1001,MATCH(ROWS($AF$2:AF489),$AF$2:$AF$1001,0),1)&gt;=100000,INDEX($AM$1005:$BM$1005,1,MATCH(COLUMNS($AM$1006:AS1006),$AM$1006:$BM$1006,0))&gt;=100000), " ",IF(INDEX($AM$2:$BM$1001,MATCH(ROWS($AF$2:AF489),$AF$2:$AF$1001,0),MATCH(COLUMNS($AM$1006:AS1006),$AM$1006:$BM$1006,0)), HYPERLINK("#",""), HYPERLINK(CONCATENATE("#metadata!", ADDRESS(INDEX($AH$2:$AH$1001,MATCH(ROWS($AF$2:AF489),$AF$2:$AF$1001,0),0), INDEX($AM$1004:$BM$1004,1,MATCH(COLUMNS($AM$1006:AS1006),$AM$1006:$BM$1006,0)))),"Fix")))</f>
        <v xml:space="preserve"> </v>
      </c>
      <c r="I489" s="4" t="str">
        <f ca="1">IF(OR(INDEX($AG$2:$AG$1001,MATCH(ROWS($AF$2:AF489),$AF$2:$AF$1001,0),1)&gt;=100000,INDEX($AM$1005:$BM$1005,1,MATCH(COLUMNS($AM$1006:AT1006),$AM$1006:$BM$1006,0))&gt;=100000), " ",IF(INDEX($AM$2:$BM$1001,MATCH(ROWS($AF$2:AF489),$AF$2:$AF$1001,0),MATCH(COLUMNS($AM$1006:AT1006),$AM$1006:$BM$1006,0)), HYPERLINK("#",""), HYPERLINK(CONCATENATE("#metadata!", ADDRESS(INDEX($AH$2:$AH$1001,MATCH(ROWS($AF$2:AF489),$AF$2:$AF$1001,0),0), INDEX($AM$1004:$BM$1004,1,MATCH(COLUMNS($AM$1006:AT1006),$AM$1006:$BM$1006,0)))),"Fix")))</f>
        <v xml:space="preserve"> </v>
      </c>
      <c r="J489" s="4" t="str">
        <f ca="1">IF(OR(INDEX($AG$2:$AG$1001,MATCH(ROWS($AF$2:AF489),$AF$2:$AF$1001,0),1)&gt;=100000,INDEX($AM$1005:$BM$1005,1,MATCH(COLUMNS($AM$1006:AU1006),$AM$1006:$BM$1006,0))&gt;=100000), " ",IF(INDEX($AM$2:$BM$1001,MATCH(ROWS($AF$2:AF489),$AF$2:$AF$1001,0),MATCH(COLUMNS($AM$1006:AU1006),$AM$1006:$BM$1006,0)), HYPERLINK("#",""), HYPERLINK(CONCATENATE("#metadata!", ADDRESS(INDEX($AH$2:$AH$1001,MATCH(ROWS($AF$2:AF489),$AF$2:$AF$1001,0),0), INDEX($AM$1004:$BM$1004,1,MATCH(COLUMNS($AM$1006:AU1006),$AM$1006:$BM$1006,0)))),"Fix")))</f>
        <v xml:space="preserve"> </v>
      </c>
      <c r="K489" s="4" t="str">
        <f ca="1">IF(OR(INDEX($AG$2:$AG$1001,MATCH(ROWS($AF$2:AF489),$AF$2:$AF$1001,0),1)&gt;=100000,INDEX($AM$1005:$BM$1005,1,MATCH(COLUMNS($AM$1006:AV1006),$AM$1006:$BM$1006,0))&gt;=100000), " ",IF(INDEX($AM$2:$BM$1001,MATCH(ROWS($AF$2:AF489),$AF$2:$AF$1001,0),MATCH(COLUMNS($AM$1006:AV1006),$AM$1006:$BM$1006,0)), HYPERLINK("#",""), HYPERLINK(CONCATENATE("#metadata!", ADDRESS(INDEX($AH$2:$AH$1001,MATCH(ROWS($AF$2:AF489),$AF$2:$AF$1001,0),0), INDEX($AM$1004:$BM$1004,1,MATCH(COLUMNS($AM$1006:AV1006),$AM$1006:$BM$1006,0)))),"Fix")))</f>
        <v xml:space="preserve"> </v>
      </c>
      <c r="L489" s="4" t="str">
        <f ca="1">IF(OR(INDEX($AG$2:$AG$1001,MATCH(ROWS($AF$2:AF489),$AF$2:$AF$1001,0),1)&gt;=100000,INDEX($AM$1005:$BM$1005,1,MATCH(COLUMNS($AM$1006:AW1006),$AM$1006:$BM$1006,0))&gt;=100000), " ",IF(INDEX($AM$2:$BM$1001,MATCH(ROWS($AF$2:AF489),$AF$2:$AF$1001,0),MATCH(COLUMNS($AM$1006:AW1006),$AM$1006:$BM$1006,0)), HYPERLINK("#",""), HYPERLINK(CONCATENATE("#metadata!", ADDRESS(INDEX($AH$2:$AH$1001,MATCH(ROWS($AF$2:AF489),$AF$2:$AF$1001,0),0), INDEX($AM$1004:$BM$1004,1,MATCH(COLUMNS($AM$1006:AW1006),$AM$1006:$BM$1006,0)))),"Fix")))</f>
        <v xml:space="preserve"> </v>
      </c>
      <c r="M489" s="4" t="str">
        <f ca="1">IF(OR(INDEX($AG$2:$AG$1001,MATCH(ROWS($AF$2:AF489),$AF$2:$AF$1001,0),1)&gt;=100000,INDEX($AM$1005:$BM$1005,1,MATCH(COLUMNS($AM$1006:AX1006),$AM$1006:$BM$1006,0))&gt;=100000), " ",IF(INDEX($AM$2:$BM$1001,MATCH(ROWS($AF$2:AF489),$AF$2:$AF$1001,0),MATCH(COLUMNS($AM$1006:AX1006),$AM$1006:$BM$1006,0)), HYPERLINK("#",""), HYPERLINK(CONCATENATE("#metadata!", ADDRESS(INDEX($AH$2:$AH$1001,MATCH(ROWS($AF$2:AF489),$AF$2:$AF$1001,0),0), INDEX($AM$1004:$BM$1004,1,MATCH(COLUMNS($AM$1006:AX1006),$AM$1006:$BM$1006,0)))),"Fix")))</f>
        <v xml:space="preserve"> </v>
      </c>
      <c r="N489" s="4" t="str">
        <f ca="1">IF(OR(INDEX($AG$2:$AG$1001,MATCH(ROWS($AF$2:AF489),$AF$2:$AF$1001,0),1)&gt;=100000,INDEX($AM$1005:$BM$1005,1,MATCH(COLUMNS($AM$1006:AY1006),$AM$1006:$BM$1006,0))&gt;=100000), " ",IF(INDEX($AM$2:$BM$1001,MATCH(ROWS($AF$2:AF489),$AF$2:$AF$1001,0),MATCH(COLUMNS($AM$1006:AY1006),$AM$1006:$BM$1006,0)), HYPERLINK("#",""), HYPERLINK(CONCATENATE("#metadata!", ADDRESS(INDEX($AH$2:$AH$1001,MATCH(ROWS($AF$2:AF489),$AF$2:$AF$1001,0),0), INDEX($AM$1004:$BM$1004,1,MATCH(COLUMNS($AM$1006:AY1006),$AM$1006:$BM$1006,0)))),"Fix")))</f>
        <v xml:space="preserve"> </v>
      </c>
      <c r="O489" s="4" t="str">
        <f ca="1">IF(OR(INDEX($AG$2:$AG$1001,MATCH(ROWS($AF$2:AF489),$AF$2:$AF$1001,0),1)&gt;=100000,INDEX($AM$1005:$BM$1005,1,MATCH(COLUMNS($AM$1006:AZ1006),$AM$1006:$BM$1006,0))&gt;=100000), " ",IF(INDEX($AM$2:$BM$1001,MATCH(ROWS($AF$2:AF489),$AF$2:$AF$1001,0),MATCH(COLUMNS($AM$1006:AZ1006),$AM$1006:$BM$1006,0)), HYPERLINK("#",""), HYPERLINK(CONCATENATE("#metadata!", ADDRESS(INDEX($AH$2:$AH$1001,MATCH(ROWS($AF$2:AF489),$AF$2:$AF$1001,0),0), INDEX($AM$1004:$BM$1004,1,MATCH(COLUMNS($AM$1006:AZ1006),$AM$1006:$BM$1006,0)))),"Fix")))</f>
        <v xml:space="preserve"> </v>
      </c>
      <c r="P489" s="4" t="str">
        <f ca="1">IF(OR(INDEX($AG$2:$AG$1001,MATCH(ROWS($AF$2:AF489),$AF$2:$AF$1001,0),1)&gt;=100000,INDEX($AM$1005:$BM$1005,1,MATCH(COLUMNS($AM$1006:BA1006),$AM$1006:$BM$1006,0))&gt;=100000), " ",IF(INDEX($AM$2:$BM$1001,MATCH(ROWS($AF$2:AF489),$AF$2:$AF$1001,0),MATCH(COLUMNS($AM$1006:BA1006),$AM$1006:$BM$1006,0)), HYPERLINK("#",""), HYPERLINK(CONCATENATE("#metadata!", ADDRESS(INDEX($AH$2:$AH$1001,MATCH(ROWS($AF$2:AF489),$AF$2:$AF$1001,0),0), INDEX($AM$1004:$BM$1004,1,MATCH(COLUMNS($AM$1006:BA1006),$AM$1006:$BM$1006,0)))),"Fix")))</f>
        <v xml:space="preserve"> </v>
      </c>
      <c r="Q489" s="4" t="str">
        <f ca="1">IF(OR(INDEX($AG$2:$AG$1001,MATCH(ROWS($AF$2:AF489),$AF$2:$AF$1001,0),1)&gt;=100000,INDEX($AM$1005:$BM$1005,1,MATCH(COLUMNS($AM$1006:BB1006),$AM$1006:$BM$1006,0))&gt;=100000), " ",IF(INDEX($AM$2:$BM$1001,MATCH(ROWS($AF$2:AF489),$AF$2:$AF$1001,0),MATCH(COLUMNS($AM$1006:BB1006),$AM$1006:$BM$1006,0)), HYPERLINK("#",""), HYPERLINK(CONCATENATE("#metadata!", ADDRESS(INDEX($AH$2:$AH$1001,MATCH(ROWS($AF$2:AF489),$AF$2:$AF$1001,0),0), INDEX($AM$1004:$BM$1004,1,MATCH(COLUMNS($AM$1006:BB1006),$AM$1006:$BM$1006,0)))),"Fix")))</f>
        <v xml:space="preserve"> </v>
      </c>
      <c r="R489" s="4" t="str">
        <f ca="1">IF(OR(INDEX($AG$2:$AG$1001,MATCH(ROWS($AF$2:AF489),$AF$2:$AF$1001,0),1)&gt;=100000,INDEX($AM$1005:$BM$1005,1,MATCH(COLUMNS($AM$1006:BC1006),$AM$1006:$BM$1006,0))&gt;=100000), " ",IF(INDEX($AM$2:$BM$1001,MATCH(ROWS($AF$2:AF489),$AF$2:$AF$1001,0),MATCH(COLUMNS($AM$1006:BC1006),$AM$1006:$BM$1006,0)), HYPERLINK("#",""), HYPERLINK(CONCATENATE("#metadata!", ADDRESS(INDEX($AH$2:$AH$1001,MATCH(ROWS($AF$2:AF489),$AF$2:$AF$1001,0),0), INDEX($AM$1004:$BM$1004,1,MATCH(COLUMNS($AM$1006:BC1006),$AM$1006:$BM$1006,0)))),"Fix")))</f>
        <v xml:space="preserve"> </v>
      </c>
      <c r="S489" s="4" t="str">
        <f ca="1">IF(OR(INDEX($AG$2:$AG$1001,MATCH(ROWS($AF$2:AF489),$AF$2:$AF$1001,0),1)&gt;=100000,INDEX($AM$1005:$BM$1005,1,MATCH(COLUMNS($AM$1006:BD1006),$AM$1006:$BM$1006,0))&gt;=100000), " ",IF(INDEX($AM$2:$BM$1001,MATCH(ROWS($AF$2:AF489),$AF$2:$AF$1001,0),MATCH(COLUMNS($AM$1006:BD1006),$AM$1006:$BM$1006,0)), HYPERLINK("#",""), HYPERLINK(CONCATENATE("#metadata!", ADDRESS(INDEX($AH$2:$AH$1001,MATCH(ROWS($AF$2:AF489),$AF$2:$AF$1001,0),0), INDEX($AM$1004:$BM$1004,1,MATCH(COLUMNS($AM$1006:BD1006),$AM$1006:$BM$1006,0)))),"Fix")))</f>
        <v xml:space="preserve"> </v>
      </c>
      <c r="T489" s="4" t="str">
        <f ca="1">IF(OR(INDEX($AG$2:$AG$1001,MATCH(ROWS($AF$2:AF489),$AF$2:$AF$1001,0),1)&gt;=100000,INDEX($AM$1005:$BM$1005,1,MATCH(COLUMNS($AM$1006:BE1006),$AM$1006:$BM$1006,0))&gt;=100000), " ",IF(INDEX($AM$2:$BM$1001,MATCH(ROWS($AF$2:AF489),$AF$2:$AF$1001,0),MATCH(COLUMNS($AM$1006:BE1006),$AM$1006:$BM$1006,0)), HYPERLINK("#",""), HYPERLINK(CONCATENATE("#metadata!", ADDRESS(INDEX($AH$2:$AH$1001,MATCH(ROWS($AF$2:AF489),$AF$2:$AF$1001,0),0), INDEX($AM$1004:$BM$1004,1,MATCH(COLUMNS($AM$1006:BE1006),$AM$1006:$BM$1006,0)))),"Fix")))</f>
        <v xml:space="preserve"> </v>
      </c>
      <c r="U489" s="4" t="str">
        <f ca="1">IF(OR(INDEX($AG$2:$AG$1001,MATCH(ROWS($AF$2:AF489),$AF$2:$AF$1001,0),1)&gt;=100000,INDEX($AM$1005:$BM$1005,1,MATCH(COLUMNS($AM$1006:BF1006),$AM$1006:$BM$1006,0))&gt;=100000), " ",IF(INDEX($AM$2:$BM$1001,MATCH(ROWS($AF$2:AF489),$AF$2:$AF$1001,0),MATCH(COLUMNS($AM$1006:BF1006),$AM$1006:$BM$1006,0)), HYPERLINK("#",""), HYPERLINK(CONCATENATE("#metadata!", ADDRESS(INDEX($AH$2:$AH$1001,MATCH(ROWS($AF$2:AF489),$AF$2:$AF$1001,0),0), INDEX($AM$1004:$BM$1004,1,MATCH(COLUMNS($AM$1006:BF1006),$AM$1006:$BM$1006,0)))),"Fix")))</f>
        <v xml:space="preserve"> </v>
      </c>
      <c r="V489" s="4" t="str">
        <f ca="1">IF(OR(INDEX($AG$2:$AG$1001,MATCH(ROWS($AF$2:AF489),$AF$2:$AF$1001,0),1)&gt;=100000,INDEX($AM$1005:$BM$1005,1,MATCH(COLUMNS($AM$1006:BG1006),$AM$1006:$BM$1006,0))&gt;=100000), " ",IF(INDEX($AM$2:$BM$1001,MATCH(ROWS($AF$2:AF489),$AF$2:$AF$1001,0),MATCH(COLUMNS($AM$1006:BG1006),$AM$1006:$BM$1006,0)), HYPERLINK("#",""), HYPERLINK(CONCATENATE("#metadata!", ADDRESS(INDEX($AH$2:$AH$1001,MATCH(ROWS($AF$2:AF489),$AF$2:$AF$1001,0),0), INDEX($AM$1004:$BM$1004,1,MATCH(COLUMNS($AM$1006:BG1006),$AM$1006:$BM$1006,0)))),"Fix")))</f>
        <v xml:space="preserve"> </v>
      </c>
      <c r="W489" s="4" t="str">
        <f ca="1">IF(OR(INDEX($AG$2:$AG$1001,MATCH(ROWS($AF$2:AF489),$AF$2:$AF$1001,0),1)&gt;=100000,INDEX($AM$1005:$BM$1005,1,MATCH(COLUMNS($AM$1006:BH1006),$AM$1006:$BM$1006,0))&gt;=100000), " ",IF(INDEX($AM$2:$BM$1001,MATCH(ROWS($AF$2:AF489),$AF$2:$AF$1001,0),MATCH(COLUMNS($AM$1006:BH1006),$AM$1006:$BM$1006,0)), HYPERLINK("#",""), HYPERLINK(CONCATENATE("#metadata!", ADDRESS(INDEX($AH$2:$AH$1001,MATCH(ROWS($AF$2:AF489),$AF$2:$AF$1001,0),0), INDEX($AM$1004:$BM$1004,1,MATCH(COLUMNS($AM$1006:BH1006),$AM$1006:$BM$1006,0)))),"Fix")))</f>
        <v xml:space="preserve"> </v>
      </c>
      <c r="X489" s="4" t="str">
        <f ca="1">IF(OR(INDEX($AG$2:$AG$1001,MATCH(ROWS($AF$2:AF489),$AF$2:$AF$1001,0),1)&gt;=100000,INDEX($AM$1005:$BM$1005,1,MATCH(COLUMNS($AM$1006:BI1006),$AM$1006:$BM$1006,0))&gt;=100000), " ",IF(INDEX($AM$2:$BM$1001,MATCH(ROWS($AF$2:AF489),$AF$2:$AF$1001,0),MATCH(COLUMNS($AM$1006:BI1006),$AM$1006:$BM$1006,0)), HYPERLINK("#",""), HYPERLINK(CONCATENATE("#metadata!", ADDRESS(INDEX($AH$2:$AH$1001,MATCH(ROWS($AF$2:AF489),$AF$2:$AF$1001,0),0), INDEX($AM$1004:$BM$1004,1,MATCH(COLUMNS($AM$1006:BI1006),$AM$1006:$BM$1006,0)))),"Fix")))</f>
        <v xml:space="preserve"> </v>
      </c>
      <c r="Y489" s="4" t="str">
        <f ca="1">IF(OR(INDEX($AG$2:$AG$1001,MATCH(ROWS($AF$2:AF489),$AF$2:$AF$1001,0),1)&gt;=100000,INDEX($AM$1005:$BM$1005,1,MATCH(COLUMNS($AM$1006:BJ1006),$AM$1006:$BM$1006,0))&gt;=100000), " ",IF(INDEX($AM$2:$BM$1001,MATCH(ROWS($AF$2:AF489),$AF$2:$AF$1001,0),MATCH(COLUMNS($AM$1006:BJ1006),$AM$1006:$BM$1006,0)), HYPERLINK("#",""), HYPERLINK(CONCATENATE("#metadata!", ADDRESS(INDEX($AH$2:$AH$1001,MATCH(ROWS($AF$2:AF489),$AF$2:$AF$1001,0),0), INDEX($AM$1004:$BM$1004,1,MATCH(COLUMNS($AM$1006:BJ1006),$AM$1006:$BM$1006,0)))),"Fix")))</f>
        <v xml:space="preserve"> </v>
      </c>
      <c r="Z489" s="4" t="str">
        <f ca="1">IF(OR(INDEX($AG$2:$AG$1001,MATCH(ROWS($AF$2:AF489),$AF$2:$AF$1001,0),1)&gt;=100000,INDEX($AM$1005:$BM$1005,1,MATCH(COLUMNS($AM$1006:BK1006),$AM$1006:$BM$1006,0))&gt;=100000), " ",IF(INDEX($AM$2:$BM$1001,MATCH(ROWS($AF$2:AF489),$AF$2:$AF$1001,0),MATCH(COLUMNS($AM$1006:BK1006),$AM$1006:$BM$1006,0)), HYPERLINK("#",""), HYPERLINK(CONCATENATE("#metadata!", ADDRESS(INDEX($AH$2:$AH$1001,MATCH(ROWS($AF$2:AF489),$AF$2:$AF$1001,0),0), INDEX($AM$1004:$BM$1004,1,MATCH(COLUMNS($AM$1006:BK1006),$AM$1006:$BM$1006,0)))),"Fix")))</f>
        <v xml:space="preserve"> </v>
      </c>
      <c r="AA489" s="4" t="str">
        <f ca="1">IF(OR(INDEX($AG$2:$AG$1001,MATCH(ROWS($AF$2:AF489),$AF$2:$AF$1001,0),1)&gt;=100000,INDEX($AM$1005:$BM$1005,1,MATCH(COLUMNS($AM$1006:BL1006),$AM$1006:$BM$1006,0))&gt;=100000), " ",IF(INDEX($AM$2:$BM$1001,MATCH(ROWS($AF$2:AF489),$AF$2:$AF$1001,0),MATCH(COLUMNS($AM$1006:BL1006),$AM$1006:$BM$1006,0)), HYPERLINK("#",""), HYPERLINK(CONCATENATE("#metadata!", ADDRESS(INDEX($AH$2:$AH$1001,MATCH(ROWS($AF$2:AF489),$AF$2:$AF$1001,0),0), INDEX($AM$1004:$BM$1004,1,MATCH(COLUMNS($AM$1006:BL1006),$AM$1006:$BM$1006,0)))),"Fix")))</f>
        <v xml:space="preserve"> </v>
      </c>
      <c r="AB489" s="4" t="str">
        <f ca="1">IF(OR(INDEX($AG$2:$AG$1001,MATCH(ROWS($AF$2:AF489),$AF$2:$AF$1001,0),1)&gt;=100000,INDEX($AM$1005:$BM$1005,1,MATCH(COLUMNS($AM$1006:BM1006),$AM$1006:$BM$1006,0))&gt;=100000), " ",IF(INDEX($AM$2:$BM$1001,MATCH(ROWS($AF$2:AF489),$AF$2:$AF$1001,0),MATCH(COLUMNS($AM$1006:BM1006),$AM$1006:$BM$1006,0)), HYPERLINK("#",""), HYPERLINK(CONCATENATE("#metadata!", ADDRESS(INDEX($AH$2:$AH$1001,MATCH(ROWS($AF$2:AF489),$AF$2:$AF$1001,0),0), INDEX($AM$1004:$BM$1004,1,MATCH(COLUMNS($AM$1006:BM1006),$AM$1006:$BM$1006,0)))),"Fix")))</f>
        <v xml:space="preserve"> </v>
      </c>
      <c r="AF489">
        <v>488</v>
      </c>
      <c r="AG489">
        <v>100489</v>
      </c>
      <c r="AH489">
        <v>489</v>
      </c>
      <c r="AI489" t="b">
        <f t="shared" si="7"/>
        <v>1</v>
      </c>
      <c r="AJ489" t="b">
        <f>COUNTBLANK(metadata!B489:AB489)=COLUMNS(metadata!B489:AB489)</f>
        <v>1</v>
      </c>
      <c r="AK489" t="str">
        <v/>
      </c>
      <c r="AM489" t="b">
        <f ca="1">AND(IF(metadata!B489="",FALSE,TRUE),COUNTIF(metadata!B:B, metadata!B489) = 1,NOT(ISERROR(SUMPRODUCT(SEARCH(MID(metadata!B489,ROW(INDIRECT("1:"&amp;LEN(metadata!B489))), 1),"0123456789abcdefghijklmnopqrstuvwxyzABCDEFGHIJKLMNOPQRSTUVWXYZ.")))))</f>
        <v>0</v>
      </c>
      <c r="AN489" t="b">
        <f ca="1">OR(AND(IF(metadata!C489="",FALSE,TRUE),OR(EXACT(metadata!C489,"missing: not collected"),EXACT(metadata!C489,"missing: not provided"),EXACT(metadata!C489,"missing: restricted access"))),AND(IF(metadata!C489="",FALSE,TRUE),AND(AND(IFERROR(INT(LEFT(metadata!C489,4))&gt;1900,FALSE),IFERROR(INT(LEFT(metadata!C489,4))&lt;=YEAR(NOW()),FALSE)), OR(MID(metadata!C489,5,1)="", AND(AND(MID(metadata!C489,5,1)="-",IFERROR(INT(MID(metadata!C489,6,1))&gt;=0,FALSE),IFERROR(INT(MID(metadata!C489,6,1))&lt;=1,FALSE),NOT(MID(metadata!C489,7,1)=""),IFERROR(INT(MID(metadata!C489,6,2))&gt;=1,FALSE),IFERROR(INT(MID(metadata!C489,6,2))&lt;=12,FALSE)), OR(MID(metadata!C489,8,1)="", AND(AND(MID(metadata!C489,8,1)="-",IFERROR(INT(MID(metadata!C489,9,1))&gt;=0,FALSE),IFERROR(INT(MID(metadata!C489,9,1))&lt;=3,FALSE),NOT(MID(metadata!C489,10,1)=""),IFERROR(INT(MID(metadata!C489,9,2))&gt;=1,FALSE),IFERROR(INT(MID(metadata!C489,9,2))&lt;=31,FALSE)), OR(MID(metadata!C489,11,1)="", AND(AND(MID(metadata!C489,11,1)=" ",IFERROR(INT(MID(metadata!C489,12,1))&gt;=0,FALSE),IFERROR(INT(MID(metadata!C489,12,1))&lt;=2,FALSE),NOT(MID(metadata!C489,13,1)=""),IFERROR(INT(MID(metadata!C489,12,2))&gt;=0,FALSE),IFERROR(INT(MID(metadata!C489,12,2))&lt;=23,FALSE)), OR(MID(metadata!C489,14,1)="", AND(AND(MID(metadata!C489,14,1)=":",IFERROR(INT(MID(metadata!C489,15,1))&gt;=0,FALSE),IFERROR(INT(MID(metadata!C489,15,1))&lt;=5,FALSE),NOT(MID(metadata!C489,16,1)=""),IFERROR(INT(MID(metadata!C489,15,2))&gt;=0,FALSE),IFERROR(INT(MID(metadata!C489,15,2))&lt;=59,FALSE)), OR(MID(metadata!C489,17,1)="", AND(AND(MID(metadata!C489,17,1)=":",IFERROR(INT(MID(metadata!C489,18,1))&gt;=0,FALSE),IFERROR(INT(MID(metadata!C489,18,1))&lt;=5,FALSE),NOT(MID(metadata!C489,19,1)=""),IFERROR(INT(MID(metadata!C489,18,2))&gt;=0,FALSE),IFERROR(INT(MID(metadata!C489,18,2))&lt;=59,FALSE)), LEN(metadata!C489)&lt;=19)))))))))))))</f>
        <v>0</v>
      </c>
      <c r="AO489" t="b">
        <f>AND(IF(metadata!D489="",FALSE,TRUE),EXACT(metadata!D489,"Not applicable"))</f>
        <v>0</v>
      </c>
      <c r="AP489" t="b">
        <f>IF(metadata!E489="",FALSE,TRUE)</f>
        <v>0</v>
      </c>
      <c r="AQ489" t="b">
        <f>OR(AND(IF(metadata!F489="",FALSE,TRUE),OR(EXACT(metadata!F489,"missing: not collected"),EXACT(metadata!F489,"missing: not provided"))),AND(IF(metadata!F489="",FALSE,TRUE),OR(EXACT(metadata!F489,"TRUE"),EXACT(metadata!F489,"FALSE"))))</f>
        <v>0</v>
      </c>
      <c r="AR489" t="b">
        <f>OR(AND(IF(metadata!G489="",FALSE,TRUE),OR(EXACT(metadata!G489,"missing: not collected"),EXACT(metadata!G489,"missing: not provided"),EXACT(metadata!G489,"missing: restricted access"))),AND(IF(metadata!G489="",FALSE,ISNUMBER(VALUE(metadata!G489))),metadata!G489&gt;=-413))</f>
        <v>0</v>
      </c>
      <c r="AS489" t="b">
        <f>AND(IF(metadata!H489="",FALSE,TRUE),EXACT(metadata!H489,"meters"))</f>
        <v>0</v>
      </c>
      <c r="AT489" t="b">
        <f>AND(IF(metadata!I489="",FALSE,TRUE),OR(EXACT(metadata!I489,"Host-associated"),EXACT(metadata!I489,"Free-living")))</f>
        <v>0</v>
      </c>
      <c r="AU489" t="b">
        <f>AND(IF(metadata!J489="",FALSE,TRUE),OR(EXACT(metadata!J489,"Animal"),EXACT(metadata!J489,"Fungus"),EXACT(metadata!J489,"Plant"),EXACT(metadata!J489,"Saline"),EXACT(metadata!J489,"Non-saline")))</f>
        <v>0</v>
      </c>
      <c r="AV489" t="b">
        <f>AND(IF(metadata!K489="",FALSE,TRUE),OR(EXACT(metadata!K489,"Plant secretion"),EXACT(metadata!K489,"Plant rhizosphere"),EXACT(metadata!K489,"Plant surface"),EXACT(metadata!K489,"Plant corpus"),EXACT(metadata!K489,"Fungus surface"),EXACT(metadata!K489,"Fungus corpus"),EXACT(metadata!K489,"Animal surface"),EXACT(metadata!K489,"Animal proximal gut"),EXACT(metadata!K489,"Animal corpus"),EXACT(metadata!K489,"Animal distal gut"),EXACT(metadata!K489,"Animal secretion"),EXACT(metadata!K489,"Sub-surface (non-saline)"),EXACT(metadata!K489,"Surface (non-saline)"),EXACT(metadata!K489,"Water (non-saline)"),EXACT(metadata!K489,"Soil (non-saline)"),EXACT(metadata!K489,"Aerosol (non-saline)"),EXACT(metadata!K489,"Sediment (non-saline)"),EXACT(metadata!K489,"Surface (saline)"),EXACT(metadata!K489,"Water (saline)"),EXACT(metadata!K489,"Hypersaline (saline)"),EXACT(metadata!K489,"Aerosol (saline)"),EXACT(metadata!K489,"Sediment (saline)")))</f>
        <v>0</v>
      </c>
      <c r="AW489" t="b">
        <f>IF(metadata!L489="",FALSE,TRUE)</f>
        <v>0</v>
      </c>
      <c r="AX489" t="b">
        <f>IF(metadata!M489="",FALSE,TRUE)</f>
        <v>0</v>
      </c>
      <c r="AY489" t="b">
        <f>IF(metadata!N489="",FALSE,TRUE)</f>
        <v>0</v>
      </c>
      <c r="AZ489" t="b">
        <f>OR(AND(IF(metadata!O489="",FALSE,TRUE),OR(EXACT(metadata!O489,"missing: not collected"),EXACT(metadata!O489,"missing: not provided"),EXACT(metadata!O489,"missing: restricted access"))),AND(IF(metadata!O489="",FALSE,TRUE),OR(EXACT(metadata!O489,"air"),EXACT(metadata!O489,"built environment"),EXACT(metadata!O489,"host-associated"),EXACT(metadata!O489,"human-associated"),EXACT(metadata!O489,"human-skin"),EXACT(metadata!O489,"human-oral"),EXACT(metadata!O489,"human-gut"),EXACT(metadata!O489,"human-vaginal"),EXACT(metadata!O489,"microbial mat/biofilm"),EXACT(metadata!O489,"misc environment"),EXACT(metadata!O489,"plant-associated"),EXACT(metadata!O489,"sediment"),EXACT(metadata!O489,"soil"),EXACT(metadata!O489,"wastewater/sludge"),EXACT(metadata!O489,"water"))))</f>
        <v>0</v>
      </c>
      <c r="BA489" t="b">
        <f>IF(metadata!P489="",FALSE,TRUE)</f>
        <v>0</v>
      </c>
      <c r="BB489" t="b">
        <f>IF(metadata!Q489="",FALSE,TRUE)</f>
        <v>0</v>
      </c>
      <c r="BC489" t="b">
        <f>OR(AND(IF(metadata!R489="",FALSE,TRUE),OR(EXACT(metadata!R489,"missing: not collected"),EXACT(metadata!R489,"missing: not provided"),EXACT(metadata!R489,"missing: restricted access"))),AND(IF(metadata!R489="",FALSE,ISNUMBER(VALUE(metadata!R489))),metadata!R489&gt;=-90,metadata!R489&lt;=90))</f>
        <v>0</v>
      </c>
      <c r="BD489" t="b">
        <f>AND(IF(metadata!S489="",FALSE,TRUE),EXACT(metadata!S489,"Decimal degrees"))</f>
        <v>0</v>
      </c>
      <c r="BE489" t="b">
        <f>OR(AND(IF(metadata!T489="",FALSE,TRUE),OR(EXACT(metadata!T489,"missing: not collected"),EXACT(metadata!T489,"missing: not provided"),EXACT(metadata!T489,"missing: restricted access"))),AND(IF(metadata!T489="",FALSE,ISNUMBER(VALUE(metadata!T489))),metadata!T489&gt;=-180,metadata!T489&lt;=180))</f>
        <v>0</v>
      </c>
      <c r="BF489" t="b">
        <f>AND(IF(metadata!U489="",FALSE,TRUE),EXACT(metadata!U489,"Decimal degrees"))</f>
        <v>0</v>
      </c>
      <c r="BG489" t="b">
        <f>IF(metadata!V489="",FALSE,TRUE)</f>
        <v>0</v>
      </c>
      <c r="BH489" t="b">
        <f>OR(AND(IF(metadata!W489="",FALSE,TRUE),OR(EXACT(metadata!W489,"missing: not collected"),EXACT(metadata!W489,"missing: not provided"),EXACT(metadata!W489,"missing: restricted access"))),AND(IF(metadata!W489="",FALSE,TRUE),OR(EXACT(metadata!W489,"TRUE"),EXACT(metadata!W489,"FALSE"))))</f>
        <v>0</v>
      </c>
      <c r="BI489" t="b">
        <f>AND(IF(metadata!X489="",FALSE,TRUE),EXACT(metadata!X489,"other"))</f>
        <v>0</v>
      </c>
      <c r="BJ489" t="b">
        <f>IF(metadata!Y489="",FALSE,TRUE)</f>
        <v>0</v>
      </c>
      <c r="BK489" t="b">
        <f>OR(AND(IF(metadata!Z489="",FALSE,TRUE),OR(EXACT(metadata!Z489,"missing: not collected"),EXACT(metadata!Z489,"missing: not provided"))),AND(IF(metadata!Z489="",FALSE,IF(ISERROR(INT(metadata!Z489)),FALSE,INT(metadata!Z489)=metadata!Z489)),metadata!Z489&gt;0))</f>
        <v>0</v>
      </c>
      <c r="BL489" t="b">
        <f>AND(IF(metadata!AA489="",FALSE,TRUE),EXACT(metadata!AA489,"Not applicable"))</f>
        <v>0</v>
      </c>
      <c r="BM489" t="b">
        <f>IF(metadata!AB489="",FALSE,TRUE)</f>
        <v>0</v>
      </c>
    </row>
    <row r="490" spans="1:65" x14ac:dyDescent="0.2">
      <c r="A490" s="5" t="str">
        <f ca="1">IF(B490=" "," ",HYPERLINK(CONCATENATE("#metadata!",ADDRESS(INDEX($AH$2:$AH$1001,MATCH(ROWS($AF$2:AF490),$AF$2:$AF$1001,0),0),1)),INDEX($AK$2:$AK$1001,MATCH(ROWS($AF$2:AF490),$AF$2:$AF$1001,0),0)))</f>
        <v xml:space="preserve"> </v>
      </c>
      <c r="B490" s="4" t="str">
        <f ca="1">IF(OR(INDEX($AG$2:$AG$1001,MATCH(ROWS($AF$2:AF490),$AF$2:$AF$1001,0),1)&gt;=100000,INDEX($AM$1005:$BM$1005,1,MATCH(COLUMNS($AM$1006:AM1006),$AM$1006:$BM$1006,0))&gt;=100000), " ",IF(INDEX($AM$2:$BM$1001,MATCH(ROWS($AF$2:AF490),$AF$2:$AF$1001,0),MATCH(COLUMNS($AM$1006:AM1006),$AM$1006:$BM$1006,0)), HYPERLINK("#",""), HYPERLINK(CONCATENATE("#metadata!", ADDRESS(INDEX($AH$2:$AH$1001,MATCH(ROWS($AF$2:AF490),$AF$2:$AF$1001,0),0), INDEX($AM$1004:$BM$1004,1,MATCH(COLUMNS($AM$1006:AM1006),$AM$1006:$BM$1006,0)))),"Fix")))</f>
        <v xml:space="preserve"> </v>
      </c>
      <c r="C490" s="4" t="str">
        <f ca="1">IF(OR(INDEX($AG$2:$AG$1001,MATCH(ROWS($AF$2:AF490),$AF$2:$AF$1001,0),1)&gt;=100000,INDEX($AM$1005:$BM$1005,1,MATCH(COLUMNS($AM$1006:AN1006),$AM$1006:$BM$1006,0))&gt;=100000), " ",IF(INDEX($AM$2:$BM$1001,MATCH(ROWS($AF$2:AF490),$AF$2:$AF$1001,0),MATCH(COLUMNS($AM$1006:AN1006),$AM$1006:$BM$1006,0)), HYPERLINK("#",""), HYPERLINK(CONCATENATE("#metadata!", ADDRESS(INDEX($AH$2:$AH$1001,MATCH(ROWS($AF$2:AF490),$AF$2:$AF$1001,0),0), INDEX($AM$1004:$BM$1004,1,MATCH(COLUMNS($AM$1006:AN1006),$AM$1006:$BM$1006,0)))),"Fix")))</f>
        <v xml:space="preserve"> </v>
      </c>
      <c r="D490" s="4" t="str">
        <f ca="1">IF(OR(INDEX($AG$2:$AG$1001,MATCH(ROWS($AF$2:AF490),$AF$2:$AF$1001,0),1)&gt;=100000,INDEX($AM$1005:$BM$1005,1,MATCH(COLUMNS($AM$1006:AO1006),$AM$1006:$BM$1006,0))&gt;=100000), " ",IF(INDEX($AM$2:$BM$1001,MATCH(ROWS($AF$2:AF490),$AF$2:$AF$1001,0),MATCH(COLUMNS($AM$1006:AO1006),$AM$1006:$BM$1006,0)), HYPERLINK("#",""), HYPERLINK(CONCATENATE("#metadata!", ADDRESS(INDEX($AH$2:$AH$1001,MATCH(ROWS($AF$2:AF490),$AF$2:$AF$1001,0),0), INDEX($AM$1004:$BM$1004,1,MATCH(COLUMNS($AM$1006:AO1006),$AM$1006:$BM$1006,0)))),"Fix")))</f>
        <v xml:space="preserve"> </v>
      </c>
      <c r="E490" s="4" t="str">
        <f ca="1">IF(OR(INDEX($AG$2:$AG$1001,MATCH(ROWS($AF$2:AF490),$AF$2:$AF$1001,0),1)&gt;=100000,INDEX($AM$1005:$BM$1005,1,MATCH(COLUMNS($AM$1006:AP1006),$AM$1006:$BM$1006,0))&gt;=100000), " ",IF(INDEX($AM$2:$BM$1001,MATCH(ROWS($AF$2:AF490),$AF$2:$AF$1001,0),MATCH(COLUMNS($AM$1006:AP1006),$AM$1006:$BM$1006,0)), HYPERLINK("#",""), HYPERLINK(CONCATENATE("#metadata!", ADDRESS(INDEX($AH$2:$AH$1001,MATCH(ROWS($AF$2:AF490),$AF$2:$AF$1001,0),0), INDEX($AM$1004:$BM$1004,1,MATCH(COLUMNS($AM$1006:AP1006),$AM$1006:$BM$1006,0)))),"Fix")))</f>
        <v xml:space="preserve"> </v>
      </c>
      <c r="F490" s="4" t="str">
        <f ca="1">IF(OR(INDEX($AG$2:$AG$1001,MATCH(ROWS($AF$2:AF490),$AF$2:$AF$1001,0),1)&gt;=100000,INDEX($AM$1005:$BM$1005,1,MATCH(COLUMNS($AM$1006:AQ1006),$AM$1006:$BM$1006,0))&gt;=100000), " ",IF(INDEX($AM$2:$BM$1001,MATCH(ROWS($AF$2:AF490),$AF$2:$AF$1001,0),MATCH(COLUMNS($AM$1006:AQ1006),$AM$1006:$BM$1006,0)), HYPERLINK("#",""), HYPERLINK(CONCATENATE("#metadata!", ADDRESS(INDEX($AH$2:$AH$1001,MATCH(ROWS($AF$2:AF490),$AF$2:$AF$1001,0),0), INDEX($AM$1004:$BM$1004,1,MATCH(COLUMNS($AM$1006:AQ1006),$AM$1006:$BM$1006,0)))),"Fix")))</f>
        <v xml:space="preserve"> </v>
      </c>
      <c r="G490" s="4" t="str">
        <f ca="1">IF(OR(INDEX($AG$2:$AG$1001,MATCH(ROWS($AF$2:AF490),$AF$2:$AF$1001,0),1)&gt;=100000,INDEX($AM$1005:$BM$1005,1,MATCH(COLUMNS($AM$1006:AR1006),$AM$1006:$BM$1006,0))&gt;=100000), " ",IF(INDEX($AM$2:$BM$1001,MATCH(ROWS($AF$2:AF490),$AF$2:$AF$1001,0),MATCH(COLUMNS($AM$1006:AR1006),$AM$1006:$BM$1006,0)), HYPERLINK("#",""), HYPERLINK(CONCATENATE("#metadata!", ADDRESS(INDEX($AH$2:$AH$1001,MATCH(ROWS($AF$2:AF490),$AF$2:$AF$1001,0),0), INDEX($AM$1004:$BM$1004,1,MATCH(COLUMNS($AM$1006:AR1006),$AM$1006:$BM$1006,0)))),"Fix")))</f>
        <v xml:space="preserve"> </v>
      </c>
      <c r="H490" s="4" t="str">
        <f ca="1">IF(OR(INDEX($AG$2:$AG$1001,MATCH(ROWS($AF$2:AF490),$AF$2:$AF$1001,0),1)&gt;=100000,INDEX($AM$1005:$BM$1005,1,MATCH(COLUMNS($AM$1006:AS1006),$AM$1006:$BM$1006,0))&gt;=100000), " ",IF(INDEX($AM$2:$BM$1001,MATCH(ROWS($AF$2:AF490),$AF$2:$AF$1001,0),MATCH(COLUMNS($AM$1006:AS1006),$AM$1006:$BM$1006,0)), HYPERLINK("#",""), HYPERLINK(CONCATENATE("#metadata!", ADDRESS(INDEX($AH$2:$AH$1001,MATCH(ROWS($AF$2:AF490),$AF$2:$AF$1001,0),0), INDEX($AM$1004:$BM$1004,1,MATCH(COLUMNS($AM$1006:AS1006),$AM$1006:$BM$1006,0)))),"Fix")))</f>
        <v xml:space="preserve"> </v>
      </c>
      <c r="I490" s="4" t="str">
        <f ca="1">IF(OR(INDEX($AG$2:$AG$1001,MATCH(ROWS($AF$2:AF490),$AF$2:$AF$1001,0),1)&gt;=100000,INDEX($AM$1005:$BM$1005,1,MATCH(COLUMNS($AM$1006:AT1006),$AM$1006:$BM$1006,0))&gt;=100000), " ",IF(INDEX($AM$2:$BM$1001,MATCH(ROWS($AF$2:AF490),$AF$2:$AF$1001,0),MATCH(COLUMNS($AM$1006:AT1006),$AM$1006:$BM$1006,0)), HYPERLINK("#",""), HYPERLINK(CONCATENATE("#metadata!", ADDRESS(INDEX($AH$2:$AH$1001,MATCH(ROWS($AF$2:AF490),$AF$2:$AF$1001,0),0), INDEX($AM$1004:$BM$1004,1,MATCH(COLUMNS($AM$1006:AT1006),$AM$1006:$BM$1006,0)))),"Fix")))</f>
        <v xml:space="preserve"> </v>
      </c>
      <c r="J490" s="4" t="str">
        <f ca="1">IF(OR(INDEX($AG$2:$AG$1001,MATCH(ROWS($AF$2:AF490),$AF$2:$AF$1001,0),1)&gt;=100000,INDEX($AM$1005:$BM$1005,1,MATCH(COLUMNS($AM$1006:AU1006),$AM$1006:$BM$1006,0))&gt;=100000), " ",IF(INDEX($AM$2:$BM$1001,MATCH(ROWS($AF$2:AF490),$AF$2:$AF$1001,0),MATCH(COLUMNS($AM$1006:AU1006),$AM$1006:$BM$1006,0)), HYPERLINK("#",""), HYPERLINK(CONCATENATE("#metadata!", ADDRESS(INDEX($AH$2:$AH$1001,MATCH(ROWS($AF$2:AF490),$AF$2:$AF$1001,0),0), INDEX($AM$1004:$BM$1004,1,MATCH(COLUMNS($AM$1006:AU1006),$AM$1006:$BM$1006,0)))),"Fix")))</f>
        <v xml:space="preserve"> </v>
      </c>
      <c r="K490" s="4" t="str">
        <f ca="1">IF(OR(INDEX($AG$2:$AG$1001,MATCH(ROWS($AF$2:AF490),$AF$2:$AF$1001,0),1)&gt;=100000,INDEX($AM$1005:$BM$1005,1,MATCH(COLUMNS($AM$1006:AV1006),$AM$1006:$BM$1006,0))&gt;=100000), " ",IF(INDEX($AM$2:$BM$1001,MATCH(ROWS($AF$2:AF490),$AF$2:$AF$1001,0),MATCH(COLUMNS($AM$1006:AV1006),$AM$1006:$BM$1006,0)), HYPERLINK("#",""), HYPERLINK(CONCATENATE("#metadata!", ADDRESS(INDEX($AH$2:$AH$1001,MATCH(ROWS($AF$2:AF490),$AF$2:$AF$1001,0),0), INDEX($AM$1004:$BM$1004,1,MATCH(COLUMNS($AM$1006:AV1006),$AM$1006:$BM$1006,0)))),"Fix")))</f>
        <v xml:space="preserve"> </v>
      </c>
      <c r="L490" s="4" t="str">
        <f ca="1">IF(OR(INDEX($AG$2:$AG$1001,MATCH(ROWS($AF$2:AF490),$AF$2:$AF$1001,0),1)&gt;=100000,INDEX($AM$1005:$BM$1005,1,MATCH(COLUMNS($AM$1006:AW1006),$AM$1006:$BM$1006,0))&gt;=100000), " ",IF(INDEX($AM$2:$BM$1001,MATCH(ROWS($AF$2:AF490),$AF$2:$AF$1001,0),MATCH(COLUMNS($AM$1006:AW1006),$AM$1006:$BM$1006,0)), HYPERLINK("#",""), HYPERLINK(CONCATENATE("#metadata!", ADDRESS(INDEX($AH$2:$AH$1001,MATCH(ROWS($AF$2:AF490),$AF$2:$AF$1001,0),0), INDEX($AM$1004:$BM$1004,1,MATCH(COLUMNS($AM$1006:AW1006),$AM$1006:$BM$1006,0)))),"Fix")))</f>
        <v xml:space="preserve"> </v>
      </c>
      <c r="M490" s="4" t="str">
        <f ca="1">IF(OR(INDEX($AG$2:$AG$1001,MATCH(ROWS($AF$2:AF490),$AF$2:$AF$1001,0),1)&gt;=100000,INDEX($AM$1005:$BM$1005,1,MATCH(COLUMNS($AM$1006:AX1006),$AM$1006:$BM$1006,0))&gt;=100000), " ",IF(INDEX($AM$2:$BM$1001,MATCH(ROWS($AF$2:AF490),$AF$2:$AF$1001,0),MATCH(COLUMNS($AM$1006:AX1006),$AM$1006:$BM$1006,0)), HYPERLINK("#",""), HYPERLINK(CONCATENATE("#metadata!", ADDRESS(INDEX($AH$2:$AH$1001,MATCH(ROWS($AF$2:AF490),$AF$2:$AF$1001,0),0), INDEX($AM$1004:$BM$1004,1,MATCH(COLUMNS($AM$1006:AX1006),$AM$1006:$BM$1006,0)))),"Fix")))</f>
        <v xml:space="preserve"> </v>
      </c>
      <c r="N490" s="4" t="str">
        <f ca="1">IF(OR(INDEX($AG$2:$AG$1001,MATCH(ROWS($AF$2:AF490),$AF$2:$AF$1001,0),1)&gt;=100000,INDEX($AM$1005:$BM$1005,1,MATCH(COLUMNS($AM$1006:AY1006),$AM$1006:$BM$1006,0))&gt;=100000), " ",IF(INDEX($AM$2:$BM$1001,MATCH(ROWS($AF$2:AF490),$AF$2:$AF$1001,0),MATCH(COLUMNS($AM$1006:AY1006),$AM$1006:$BM$1006,0)), HYPERLINK("#",""), HYPERLINK(CONCATENATE("#metadata!", ADDRESS(INDEX($AH$2:$AH$1001,MATCH(ROWS($AF$2:AF490),$AF$2:$AF$1001,0),0), INDEX($AM$1004:$BM$1004,1,MATCH(COLUMNS($AM$1006:AY1006),$AM$1006:$BM$1006,0)))),"Fix")))</f>
        <v xml:space="preserve"> </v>
      </c>
      <c r="O490" s="4" t="str">
        <f ca="1">IF(OR(INDEX($AG$2:$AG$1001,MATCH(ROWS($AF$2:AF490),$AF$2:$AF$1001,0),1)&gt;=100000,INDEX($AM$1005:$BM$1005,1,MATCH(COLUMNS($AM$1006:AZ1006),$AM$1006:$BM$1006,0))&gt;=100000), " ",IF(INDEX($AM$2:$BM$1001,MATCH(ROWS($AF$2:AF490),$AF$2:$AF$1001,0),MATCH(COLUMNS($AM$1006:AZ1006),$AM$1006:$BM$1006,0)), HYPERLINK("#",""), HYPERLINK(CONCATENATE("#metadata!", ADDRESS(INDEX($AH$2:$AH$1001,MATCH(ROWS($AF$2:AF490),$AF$2:$AF$1001,0),0), INDEX($AM$1004:$BM$1004,1,MATCH(COLUMNS($AM$1006:AZ1006),$AM$1006:$BM$1006,0)))),"Fix")))</f>
        <v xml:space="preserve"> </v>
      </c>
      <c r="P490" s="4" t="str">
        <f ca="1">IF(OR(INDEX($AG$2:$AG$1001,MATCH(ROWS($AF$2:AF490),$AF$2:$AF$1001,0),1)&gt;=100000,INDEX($AM$1005:$BM$1005,1,MATCH(COLUMNS($AM$1006:BA1006),$AM$1006:$BM$1006,0))&gt;=100000), " ",IF(INDEX($AM$2:$BM$1001,MATCH(ROWS($AF$2:AF490),$AF$2:$AF$1001,0),MATCH(COLUMNS($AM$1006:BA1006),$AM$1006:$BM$1006,0)), HYPERLINK("#",""), HYPERLINK(CONCATENATE("#metadata!", ADDRESS(INDEX($AH$2:$AH$1001,MATCH(ROWS($AF$2:AF490),$AF$2:$AF$1001,0),0), INDEX($AM$1004:$BM$1004,1,MATCH(COLUMNS($AM$1006:BA1006),$AM$1006:$BM$1006,0)))),"Fix")))</f>
        <v xml:space="preserve"> </v>
      </c>
      <c r="Q490" s="4" t="str">
        <f ca="1">IF(OR(INDEX($AG$2:$AG$1001,MATCH(ROWS($AF$2:AF490),$AF$2:$AF$1001,0),1)&gt;=100000,INDEX($AM$1005:$BM$1005,1,MATCH(COLUMNS($AM$1006:BB1006),$AM$1006:$BM$1006,0))&gt;=100000), " ",IF(INDEX($AM$2:$BM$1001,MATCH(ROWS($AF$2:AF490),$AF$2:$AF$1001,0),MATCH(COLUMNS($AM$1006:BB1006),$AM$1006:$BM$1006,0)), HYPERLINK("#",""), HYPERLINK(CONCATENATE("#metadata!", ADDRESS(INDEX($AH$2:$AH$1001,MATCH(ROWS($AF$2:AF490),$AF$2:$AF$1001,0),0), INDEX($AM$1004:$BM$1004,1,MATCH(COLUMNS($AM$1006:BB1006),$AM$1006:$BM$1006,0)))),"Fix")))</f>
        <v xml:space="preserve"> </v>
      </c>
      <c r="R490" s="4" t="str">
        <f ca="1">IF(OR(INDEX($AG$2:$AG$1001,MATCH(ROWS($AF$2:AF490),$AF$2:$AF$1001,0),1)&gt;=100000,INDEX($AM$1005:$BM$1005,1,MATCH(COLUMNS($AM$1006:BC1006),$AM$1006:$BM$1006,0))&gt;=100000), " ",IF(INDEX($AM$2:$BM$1001,MATCH(ROWS($AF$2:AF490),$AF$2:$AF$1001,0),MATCH(COLUMNS($AM$1006:BC1006),$AM$1006:$BM$1006,0)), HYPERLINK("#",""), HYPERLINK(CONCATENATE("#metadata!", ADDRESS(INDEX($AH$2:$AH$1001,MATCH(ROWS($AF$2:AF490),$AF$2:$AF$1001,0),0), INDEX($AM$1004:$BM$1004,1,MATCH(COLUMNS($AM$1006:BC1006),$AM$1006:$BM$1006,0)))),"Fix")))</f>
        <v xml:space="preserve"> </v>
      </c>
      <c r="S490" s="4" t="str">
        <f ca="1">IF(OR(INDEX($AG$2:$AG$1001,MATCH(ROWS($AF$2:AF490),$AF$2:$AF$1001,0),1)&gt;=100000,INDEX($AM$1005:$BM$1005,1,MATCH(COLUMNS($AM$1006:BD1006),$AM$1006:$BM$1006,0))&gt;=100000), " ",IF(INDEX($AM$2:$BM$1001,MATCH(ROWS($AF$2:AF490),$AF$2:$AF$1001,0),MATCH(COLUMNS($AM$1006:BD1006),$AM$1006:$BM$1006,0)), HYPERLINK("#",""), HYPERLINK(CONCATENATE("#metadata!", ADDRESS(INDEX($AH$2:$AH$1001,MATCH(ROWS($AF$2:AF490),$AF$2:$AF$1001,0),0), INDEX($AM$1004:$BM$1004,1,MATCH(COLUMNS($AM$1006:BD1006),$AM$1006:$BM$1006,0)))),"Fix")))</f>
        <v xml:space="preserve"> </v>
      </c>
      <c r="T490" s="4" t="str">
        <f ca="1">IF(OR(INDEX($AG$2:$AG$1001,MATCH(ROWS($AF$2:AF490),$AF$2:$AF$1001,0),1)&gt;=100000,INDEX($AM$1005:$BM$1005,1,MATCH(COLUMNS($AM$1006:BE1006),$AM$1006:$BM$1006,0))&gt;=100000), " ",IF(INDEX($AM$2:$BM$1001,MATCH(ROWS($AF$2:AF490),$AF$2:$AF$1001,0),MATCH(COLUMNS($AM$1006:BE1006),$AM$1006:$BM$1006,0)), HYPERLINK("#",""), HYPERLINK(CONCATENATE("#metadata!", ADDRESS(INDEX($AH$2:$AH$1001,MATCH(ROWS($AF$2:AF490),$AF$2:$AF$1001,0),0), INDEX($AM$1004:$BM$1004,1,MATCH(COLUMNS($AM$1006:BE1006),$AM$1006:$BM$1006,0)))),"Fix")))</f>
        <v xml:space="preserve"> </v>
      </c>
      <c r="U490" s="4" t="str">
        <f ca="1">IF(OR(INDEX($AG$2:$AG$1001,MATCH(ROWS($AF$2:AF490),$AF$2:$AF$1001,0),1)&gt;=100000,INDEX($AM$1005:$BM$1005,1,MATCH(COLUMNS($AM$1006:BF1006),$AM$1006:$BM$1006,0))&gt;=100000), " ",IF(INDEX($AM$2:$BM$1001,MATCH(ROWS($AF$2:AF490),$AF$2:$AF$1001,0),MATCH(COLUMNS($AM$1006:BF1006),$AM$1006:$BM$1006,0)), HYPERLINK("#",""), HYPERLINK(CONCATENATE("#metadata!", ADDRESS(INDEX($AH$2:$AH$1001,MATCH(ROWS($AF$2:AF490),$AF$2:$AF$1001,0),0), INDEX($AM$1004:$BM$1004,1,MATCH(COLUMNS($AM$1006:BF1006),$AM$1006:$BM$1006,0)))),"Fix")))</f>
        <v xml:space="preserve"> </v>
      </c>
      <c r="V490" s="4" t="str">
        <f ca="1">IF(OR(INDEX($AG$2:$AG$1001,MATCH(ROWS($AF$2:AF490),$AF$2:$AF$1001,0),1)&gt;=100000,INDEX($AM$1005:$BM$1005,1,MATCH(COLUMNS($AM$1006:BG1006),$AM$1006:$BM$1006,0))&gt;=100000), " ",IF(INDEX($AM$2:$BM$1001,MATCH(ROWS($AF$2:AF490),$AF$2:$AF$1001,0),MATCH(COLUMNS($AM$1006:BG1006),$AM$1006:$BM$1006,0)), HYPERLINK("#",""), HYPERLINK(CONCATENATE("#metadata!", ADDRESS(INDEX($AH$2:$AH$1001,MATCH(ROWS($AF$2:AF490),$AF$2:$AF$1001,0),0), INDEX($AM$1004:$BM$1004,1,MATCH(COLUMNS($AM$1006:BG1006),$AM$1006:$BM$1006,0)))),"Fix")))</f>
        <v xml:space="preserve"> </v>
      </c>
      <c r="W490" s="4" t="str">
        <f ca="1">IF(OR(INDEX($AG$2:$AG$1001,MATCH(ROWS($AF$2:AF490),$AF$2:$AF$1001,0),1)&gt;=100000,INDEX($AM$1005:$BM$1005,1,MATCH(COLUMNS($AM$1006:BH1006),$AM$1006:$BM$1006,0))&gt;=100000), " ",IF(INDEX($AM$2:$BM$1001,MATCH(ROWS($AF$2:AF490),$AF$2:$AF$1001,0),MATCH(COLUMNS($AM$1006:BH1006),$AM$1006:$BM$1006,0)), HYPERLINK("#",""), HYPERLINK(CONCATENATE("#metadata!", ADDRESS(INDEX($AH$2:$AH$1001,MATCH(ROWS($AF$2:AF490),$AF$2:$AF$1001,0),0), INDEX($AM$1004:$BM$1004,1,MATCH(COLUMNS($AM$1006:BH1006),$AM$1006:$BM$1006,0)))),"Fix")))</f>
        <v xml:space="preserve"> </v>
      </c>
      <c r="X490" s="4" t="str">
        <f ca="1">IF(OR(INDEX($AG$2:$AG$1001,MATCH(ROWS($AF$2:AF490),$AF$2:$AF$1001,0),1)&gt;=100000,INDEX($AM$1005:$BM$1005,1,MATCH(COLUMNS($AM$1006:BI1006),$AM$1006:$BM$1006,0))&gt;=100000), " ",IF(INDEX($AM$2:$BM$1001,MATCH(ROWS($AF$2:AF490),$AF$2:$AF$1001,0),MATCH(COLUMNS($AM$1006:BI1006),$AM$1006:$BM$1006,0)), HYPERLINK("#",""), HYPERLINK(CONCATENATE("#metadata!", ADDRESS(INDEX($AH$2:$AH$1001,MATCH(ROWS($AF$2:AF490),$AF$2:$AF$1001,0),0), INDEX($AM$1004:$BM$1004,1,MATCH(COLUMNS($AM$1006:BI1006),$AM$1006:$BM$1006,0)))),"Fix")))</f>
        <v xml:space="preserve"> </v>
      </c>
      <c r="Y490" s="4" t="str">
        <f ca="1">IF(OR(INDEX($AG$2:$AG$1001,MATCH(ROWS($AF$2:AF490),$AF$2:$AF$1001,0),1)&gt;=100000,INDEX($AM$1005:$BM$1005,1,MATCH(COLUMNS($AM$1006:BJ1006),$AM$1006:$BM$1006,0))&gt;=100000), " ",IF(INDEX($AM$2:$BM$1001,MATCH(ROWS($AF$2:AF490),$AF$2:$AF$1001,0),MATCH(COLUMNS($AM$1006:BJ1006),$AM$1006:$BM$1006,0)), HYPERLINK("#",""), HYPERLINK(CONCATENATE("#metadata!", ADDRESS(INDEX($AH$2:$AH$1001,MATCH(ROWS($AF$2:AF490),$AF$2:$AF$1001,0),0), INDEX($AM$1004:$BM$1004,1,MATCH(COLUMNS($AM$1006:BJ1006),$AM$1006:$BM$1006,0)))),"Fix")))</f>
        <v xml:space="preserve"> </v>
      </c>
      <c r="Z490" s="4" t="str">
        <f ca="1">IF(OR(INDEX($AG$2:$AG$1001,MATCH(ROWS($AF$2:AF490),$AF$2:$AF$1001,0),1)&gt;=100000,INDEX($AM$1005:$BM$1005,1,MATCH(COLUMNS($AM$1006:BK1006),$AM$1006:$BM$1006,0))&gt;=100000), " ",IF(INDEX($AM$2:$BM$1001,MATCH(ROWS($AF$2:AF490),$AF$2:$AF$1001,0),MATCH(COLUMNS($AM$1006:BK1006),$AM$1006:$BM$1006,0)), HYPERLINK("#",""), HYPERLINK(CONCATENATE("#metadata!", ADDRESS(INDEX($AH$2:$AH$1001,MATCH(ROWS($AF$2:AF490),$AF$2:$AF$1001,0),0), INDEX($AM$1004:$BM$1004,1,MATCH(COLUMNS($AM$1006:BK1006),$AM$1006:$BM$1006,0)))),"Fix")))</f>
        <v xml:space="preserve"> </v>
      </c>
      <c r="AA490" s="4" t="str">
        <f ca="1">IF(OR(INDEX($AG$2:$AG$1001,MATCH(ROWS($AF$2:AF490),$AF$2:$AF$1001,0),1)&gt;=100000,INDEX($AM$1005:$BM$1005,1,MATCH(COLUMNS($AM$1006:BL1006),$AM$1006:$BM$1006,0))&gt;=100000), " ",IF(INDEX($AM$2:$BM$1001,MATCH(ROWS($AF$2:AF490),$AF$2:$AF$1001,0),MATCH(COLUMNS($AM$1006:BL1006),$AM$1006:$BM$1006,0)), HYPERLINK("#",""), HYPERLINK(CONCATENATE("#metadata!", ADDRESS(INDEX($AH$2:$AH$1001,MATCH(ROWS($AF$2:AF490),$AF$2:$AF$1001,0),0), INDEX($AM$1004:$BM$1004,1,MATCH(COLUMNS($AM$1006:BL1006),$AM$1006:$BM$1006,0)))),"Fix")))</f>
        <v xml:space="preserve"> </v>
      </c>
      <c r="AB490" s="4" t="str">
        <f ca="1">IF(OR(INDEX($AG$2:$AG$1001,MATCH(ROWS($AF$2:AF490),$AF$2:$AF$1001,0),1)&gt;=100000,INDEX($AM$1005:$BM$1005,1,MATCH(COLUMNS($AM$1006:BM1006),$AM$1006:$BM$1006,0))&gt;=100000), " ",IF(INDEX($AM$2:$BM$1001,MATCH(ROWS($AF$2:AF490),$AF$2:$AF$1001,0),MATCH(COLUMNS($AM$1006:BM1006),$AM$1006:$BM$1006,0)), HYPERLINK("#",""), HYPERLINK(CONCATENATE("#metadata!", ADDRESS(INDEX($AH$2:$AH$1001,MATCH(ROWS($AF$2:AF490),$AF$2:$AF$1001,0),0), INDEX($AM$1004:$BM$1004,1,MATCH(COLUMNS($AM$1006:BM1006),$AM$1006:$BM$1006,0)))),"Fix")))</f>
        <v xml:space="preserve"> </v>
      </c>
      <c r="AF490">
        <v>489</v>
      </c>
      <c r="AG490">
        <v>100490</v>
      </c>
      <c r="AH490">
        <v>490</v>
      </c>
      <c r="AI490" t="b">
        <f t="shared" si="7"/>
        <v>1</v>
      </c>
      <c r="AJ490" t="b">
        <f>COUNTBLANK(metadata!B490:AB490)=COLUMNS(metadata!B490:AB490)</f>
        <v>1</v>
      </c>
      <c r="AK490" t="str">
        <v/>
      </c>
      <c r="AM490" t="b">
        <f ca="1">AND(IF(metadata!B490="",FALSE,TRUE),COUNTIF(metadata!B:B, metadata!B490) = 1,NOT(ISERROR(SUMPRODUCT(SEARCH(MID(metadata!B490,ROW(INDIRECT("1:"&amp;LEN(metadata!B490))), 1),"0123456789abcdefghijklmnopqrstuvwxyzABCDEFGHIJKLMNOPQRSTUVWXYZ.")))))</f>
        <v>0</v>
      </c>
      <c r="AN490" t="b">
        <f ca="1">OR(AND(IF(metadata!C490="",FALSE,TRUE),OR(EXACT(metadata!C490,"missing: not collected"),EXACT(metadata!C490,"missing: not provided"),EXACT(metadata!C490,"missing: restricted access"))),AND(IF(metadata!C490="",FALSE,TRUE),AND(AND(IFERROR(INT(LEFT(metadata!C490,4))&gt;1900,FALSE),IFERROR(INT(LEFT(metadata!C490,4))&lt;=YEAR(NOW()),FALSE)), OR(MID(metadata!C490,5,1)="", AND(AND(MID(metadata!C490,5,1)="-",IFERROR(INT(MID(metadata!C490,6,1))&gt;=0,FALSE),IFERROR(INT(MID(metadata!C490,6,1))&lt;=1,FALSE),NOT(MID(metadata!C490,7,1)=""),IFERROR(INT(MID(metadata!C490,6,2))&gt;=1,FALSE),IFERROR(INT(MID(metadata!C490,6,2))&lt;=12,FALSE)), OR(MID(metadata!C490,8,1)="", AND(AND(MID(metadata!C490,8,1)="-",IFERROR(INT(MID(metadata!C490,9,1))&gt;=0,FALSE),IFERROR(INT(MID(metadata!C490,9,1))&lt;=3,FALSE),NOT(MID(metadata!C490,10,1)=""),IFERROR(INT(MID(metadata!C490,9,2))&gt;=1,FALSE),IFERROR(INT(MID(metadata!C490,9,2))&lt;=31,FALSE)), OR(MID(metadata!C490,11,1)="", AND(AND(MID(metadata!C490,11,1)=" ",IFERROR(INT(MID(metadata!C490,12,1))&gt;=0,FALSE),IFERROR(INT(MID(metadata!C490,12,1))&lt;=2,FALSE),NOT(MID(metadata!C490,13,1)=""),IFERROR(INT(MID(metadata!C490,12,2))&gt;=0,FALSE),IFERROR(INT(MID(metadata!C490,12,2))&lt;=23,FALSE)), OR(MID(metadata!C490,14,1)="", AND(AND(MID(metadata!C490,14,1)=":",IFERROR(INT(MID(metadata!C490,15,1))&gt;=0,FALSE),IFERROR(INT(MID(metadata!C490,15,1))&lt;=5,FALSE),NOT(MID(metadata!C490,16,1)=""),IFERROR(INT(MID(metadata!C490,15,2))&gt;=0,FALSE),IFERROR(INT(MID(metadata!C490,15,2))&lt;=59,FALSE)), OR(MID(metadata!C490,17,1)="", AND(AND(MID(metadata!C490,17,1)=":",IFERROR(INT(MID(metadata!C490,18,1))&gt;=0,FALSE),IFERROR(INT(MID(metadata!C490,18,1))&lt;=5,FALSE),NOT(MID(metadata!C490,19,1)=""),IFERROR(INT(MID(metadata!C490,18,2))&gt;=0,FALSE),IFERROR(INT(MID(metadata!C490,18,2))&lt;=59,FALSE)), LEN(metadata!C490)&lt;=19)))))))))))))</f>
        <v>0</v>
      </c>
      <c r="AO490" t="b">
        <f>AND(IF(metadata!D490="",FALSE,TRUE),EXACT(metadata!D490,"Not applicable"))</f>
        <v>0</v>
      </c>
      <c r="AP490" t="b">
        <f>IF(metadata!E490="",FALSE,TRUE)</f>
        <v>0</v>
      </c>
      <c r="AQ490" t="b">
        <f>OR(AND(IF(metadata!F490="",FALSE,TRUE),OR(EXACT(metadata!F490,"missing: not collected"),EXACT(metadata!F490,"missing: not provided"))),AND(IF(metadata!F490="",FALSE,TRUE),OR(EXACT(metadata!F490,"TRUE"),EXACT(metadata!F490,"FALSE"))))</f>
        <v>0</v>
      </c>
      <c r="AR490" t="b">
        <f>OR(AND(IF(metadata!G490="",FALSE,TRUE),OR(EXACT(metadata!G490,"missing: not collected"),EXACT(metadata!G490,"missing: not provided"),EXACT(metadata!G490,"missing: restricted access"))),AND(IF(metadata!G490="",FALSE,ISNUMBER(VALUE(metadata!G490))),metadata!G490&gt;=-413))</f>
        <v>0</v>
      </c>
      <c r="AS490" t="b">
        <f>AND(IF(metadata!H490="",FALSE,TRUE),EXACT(metadata!H490,"meters"))</f>
        <v>0</v>
      </c>
      <c r="AT490" t="b">
        <f>AND(IF(metadata!I490="",FALSE,TRUE),OR(EXACT(metadata!I490,"Host-associated"),EXACT(metadata!I490,"Free-living")))</f>
        <v>0</v>
      </c>
      <c r="AU490" t="b">
        <f>AND(IF(metadata!J490="",FALSE,TRUE),OR(EXACT(metadata!J490,"Animal"),EXACT(metadata!J490,"Fungus"),EXACT(metadata!J490,"Plant"),EXACT(metadata!J490,"Saline"),EXACT(metadata!J490,"Non-saline")))</f>
        <v>0</v>
      </c>
      <c r="AV490" t="b">
        <f>AND(IF(metadata!K490="",FALSE,TRUE),OR(EXACT(metadata!K490,"Plant secretion"),EXACT(metadata!K490,"Plant rhizosphere"),EXACT(metadata!K490,"Plant surface"),EXACT(metadata!K490,"Plant corpus"),EXACT(metadata!K490,"Fungus surface"),EXACT(metadata!K490,"Fungus corpus"),EXACT(metadata!K490,"Animal surface"),EXACT(metadata!K490,"Animal proximal gut"),EXACT(metadata!K490,"Animal corpus"),EXACT(metadata!K490,"Animal distal gut"),EXACT(metadata!K490,"Animal secretion"),EXACT(metadata!K490,"Sub-surface (non-saline)"),EXACT(metadata!K490,"Surface (non-saline)"),EXACT(metadata!K490,"Water (non-saline)"),EXACT(metadata!K490,"Soil (non-saline)"),EXACT(metadata!K490,"Aerosol (non-saline)"),EXACT(metadata!K490,"Sediment (non-saline)"),EXACT(metadata!K490,"Surface (saline)"),EXACT(metadata!K490,"Water (saline)"),EXACT(metadata!K490,"Hypersaline (saline)"),EXACT(metadata!K490,"Aerosol (saline)"),EXACT(metadata!K490,"Sediment (saline)")))</f>
        <v>0</v>
      </c>
      <c r="AW490" t="b">
        <f>IF(metadata!L490="",FALSE,TRUE)</f>
        <v>0</v>
      </c>
      <c r="AX490" t="b">
        <f>IF(metadata!M490="",FALSE,TRUE)</f>
        <v>0</v>
      </c>
      <c r="AY490" t="b">
        <f>IF(metadata!N490="",FALSE,TRUE)</f>
        <v>0</v>
      </c>
      <c r="AZ490" t="b">
        <f>OR(AND(IF(metadata!O490="",FALSE,TRUE),OR(EXACT(metadata!O490,"missing: not collected"),EXACT(metadata!O490,"missing: not provided"),EXACT(metadata!O490,"missing: restricted access"))),AND(IF(metadata!O490="",FALSE,TRUE),OR(EXACT(metadata!O490,"air"),EXACT(metadata!O490,"built environment"),EXACT(metadata!O490,"host-associated"),EXACT(metadata!O490,"human-associated"),EXACT(metadata!O490,"human-skin"),EXACT(metadata!O490,"human-oral"),EXACT(metadata!O490,"human-gut"),EXACT(metadata!O490,"human-vaginal"),EXACT(metadata!O490,"microbial mat/biofilm"),EXACT(metadata!O490,"misc environment"),EXACT(metadata!O490,"plant-associated"),EXACT(metadata!O490,"sediment"),EXACT(metadata!O490,"soil"),EXACT(metadata!O490,"wastewater/sludge"),EXACT(metadata!O490,"water"))))</f>
        <v>0</v>
      </c>
      <c r="BA490" t="b">
        <f>IF(metadata!P490="",FALSE,TRUE)</f>
        <v>0</v>
      </c>
      <c r="BB490" t="b">
        <f>IF(metadata!Q490="",FALSE,TRUE)</f>
        <v>0</v>
      </c>
      <c r="BC490" t="b">
        <f>OR(AND(IF(metadata!R490="",FALSE,TRUE),OR(EXACT(metadata!R490,"missing: not collected"),EXACT(metadata!R490,"missing: not provided"),EXACT(metadata!R490,"missing: restricted access"))),AND(IF(metadata!R490="",FALSE,ISNUMBER(VALUE(metadata!R490))),metadata!R490&gt;=-90,metadata!R490&lt;=90))</f>
        <v>0</v>
      </c>
      <c r="BD490" t="b">
        <f>AND(IF(metadata!S490="",FALSE,TRUE),EXACT(metadata!S490,"Decimal degrees"))</f>
        <v>0</v>
      </c>
      <c r="BE490" t="b">
        <f>OR(AND(IF(metadata!T490="",FALSE,TRUE),OR(EXACT(metadata!T490,"missing: not collected"),EXACT(metadata!T490,"missing: not provided"),EXACT(metadata!T490,"missing: restricted access"))),AND(IF(metadata!T490="",FALSE,ISNUMBER(VALUE(metadata!T490))),metadata!T490&gt;=-180,metadata!T490&lt;=180))</f>
        <v>0</v>
      </c>
      <c r="BF490" t="b">
        <f>AND(IF(metadata!U490="",FALSE,TRUE),EXACT(metadata!U490,"Decimal degrees"))</f>
        <v>0</v>
      </c>
      <c r="BG490" t="b">
        <f>IF(metadata!V490="",FALSE,TRUE)</f>
        <v>0</v>
      </c>
      <c r="BH490" t="b">
        <f>OR(AND(IF(metadata!W490="",FALSE,TRUE),OR(EXACT(metadata!W490,"missing: not collected"),EXACT(metadata!W490,"missing: not provided"),EXACT(metadata!W490,"missing: restricted access"))),AND(IF(metadata!W490="",FALSE,TRUE),OR(EXACT(metadata!W490,"TRUE"),EXACT(metadata!W490,"FALSE"))))</f>
        <v>0</v>
      </c>
      <c r="BI490" t="b">
        <f>AND(IF(metadata!X490="",FALSE,TRUE),EXACT(metadata!X490,"other"))</f>
        <v>0</v>
      </c>
      <c r="BJ490" t="b">
        <f>IF(metadata!Y490="",FALSE,TRUE)</f>
        <v>0</v>
      </c>
      <c r="BK490" t="b">
        <f>OR(AND(IF(metadata!Z490="",FALSE,TRUE),OR(EXACT(metadata!Z490,"missing: not collected"),EXACT(metadata!Z490,"missing: not provided"))),AND(IF(metadata!Z490="",FALSE,IF(ISERROR(INT(metadata!Z490)),FALSE,INT(metadata!Z490)=metadata!Z490)),metadata!Z490&gt;0))</f>
        <v>0</v>
      </c>
      <c r="BL490" t="b">
        <f>AND(IF(metadata!AA490="",FALSE,TRUE),EXACT(metadata!AA490,"Not applicable"))</f>
        <v>0</v>
      </c>
      <c r="BM490" t="b">
        <f>IF(metadata!AB490="",FALSE,TRUE)</f>
        <v>0</v>
      </c>
    </row>
    <row r="491" spans="1:65" x14ac:dyDescent="0.2">
      <c r="A491" s="5" t="str">
        <f ca="1">IF(B491=" "," ",HYPERLINK(CONCATENATE("#metadata!",ADDRESS(INDEX($AH$2:$AH$1001,MATCH(ROWS($AF$2:AF491),$AF$2:$AF$1001,0),0),1)),INDEX($AK$2:$AK$1001,MATCH(ROWS($AF$2:AF491),$AF$2:$AF$1001,0),0)))</f>
        <v xml:space="preserve"> </v>
      </c>
      <c r="B491" s="4" t="str">
        <f ca="1">IF(OR(INDEX($AG$2:$AG$1001,MATCH(ROWS($AF$2:AF491),$AF$2:$AF$1001,0),1)&gt;=100000,INDEX($AM$1005:$BM$1005,1,MATCH(COLUMNS($AM$1006:AM1006),$AM$1006:$BM$1006,0))&gt;=100000), " ",IF(INDEX($AM$2:$BM$1001,MATCH(ROWS($AF$2:AF491),$AF$2:$AF$1001,0),MATCH(COLUMNS($AM$1006:AM1006),$AM$1006:$BM$1006,0)), HYPERLINK("#",""), HYPERLINK(CONCATENATE("#metadata!", ADDRESS(INDEX($AH$2:$AH$1001,MATCH(ROWS($AF$2:AF491),$AF$2:$AF$1001,0),0), INDEX($AM$1004:$BM$1004,1,MATCH(COLUMNS($AM$1006:AM1006),$AM$1006:$BM$1006,0)))),"Fix")))</f>
        <v xml:space="preserve"> </v>
      </c>
      <c r="C491" s="4" t="str">
        <f ca="1">IF(OR(INDEX($AG$2:$AG$1001,MATCH(ROWS($AF$2:AF491),$AF$2:$AF$1001,0),1)&gt;=100000,INDEX($AM$1005:$BM$1005,1,MATCH(COLUMNS($AM$1006:AN1006),$AM$1006:$BM$1006,0))&gt;=100000), " ",IF(INDEX($AM$2:$BM$1001,MATCH(ROWS($AF$2:AF491),$AF$2:$AF$1001,0),MATCH(COLUMNS($AM$1006:AN1006),$AM$1006:$BM$1006,0)), HYPERLINK("#",""), HYPERLINK(CONCATENATE("#metadata!", ADDRESS(INDEX($AH$2:$AH$1001,MATCH(ROWS($AF$2:AF491),$AF$2:$AF$1001,0),0), INDEX($AM$1004:$BM$1004,1,MATCH(COLUMNS($AM$1006:AN1006),$AM$1006:$BM$1006,0)))),"Fix")))</f>
        <v xml:space="preserve"> </v>
      </c>
      <c r="D491" s="4" t="str">
        <f ca="1">IF(OR(INDEX($AG$2:$AG$1001,MATCH(ROWS($AF$2:AF491),$AF$2:$AF$1001,0),1)&gt;=100000,INDEX($AM$1005:$BM$1005,1,MATCH(COLUMNS($AM$1006:AO1006),$AM$1006:$BM$1006,0))&gt;=100000), " ",IF(INDEX($AM$2:$BM$1001,MATCH(ROWS($AF$2:AF491),$AF$2:$AF$1001,0),MATCH(COLUMNS($AM$1006:AO1006),$AM$1006:$BM$1006,0)), HYPERLINK("#",""), HYPERLINK(CONCATENATE("#metadata!", ADDRESS(INDEX($AH$2:$AH$1001,MATCH(ROWS($AF$2:AF491),$AF$2:$AF$1001,0),0), INDEX($AM$1004:$BM$1004,1,MATCH(COLUMNS($AM$1006:AO1006),$AM$1006:$BM$1006,0)))),"Fix")))</f>
        <v xml:space="preserve"> </v>
      </c>
      <c r="E491" s="4" t="str">
        <f ca="1">IF(OR(INDEX($AG$2:$AG$1001,MATCH(ROWS($AF$2:AF491),$AF$2:$AF$1001,0),1)&gt;=100000,INDEX($AM$1005:$BM$1005,1,MATCH(COLUMNS($AM$1006:AP1006),$AM$1006:$BM$1006,0))&gt;=100000), " ",IF(INDEX($AM$2:$BM$1001,MATCH(ROWS($AF$2:AF491),$AF$2:$AF$1001,0),MATCH(COLUMNS($AM$1006:AP1006),$AM$1006:$BM$1006,0)), HYPERLINK("#",""), HYPERLINK(CONCATENATE("#metadata!", ADDRESS(INDEX($AH$2:$AH$1001,MATCH(ROWS($AF$2:AF491),$AF$2:$AF$1001,0),0), INDEX($AM$1004:$BM$1004,1,MATCH(COLUMNS($AM$1006:AP1006),$AM$1006:$BM$1006,0)))),"Fix")))</f>
        <v xml:space="preserve"> </v>
      </c>
      <c r="F491" s="4" t="str">
        <f ca="1">IF(OR(INDEX($AG$2:$AG$1001,MATCH(ROWS($AF$2:AF491),$AF$2:$AF$1001,0),1)&gt;=100000,INDEX($AM$1005:$BM$1005,1,MATCH(COLUMNS($AM$1006:AQ1006),$AM$1006:$BM$1006,0))&gt;=100000), " ",IF(INDEX($AM$2:$BM$1001,MATCH(ROWS($AF$2:AF491),$AF$2:$AF$1001,0),MATCH(COLUMNS($AM$1006:AQ1006),$AM$1006:$BM$1006,0)), HYPERLINK("#",""), HYPERLINK(CONCATENATE("#metadata!", ADDRESS(INDEX($AH$2:$AH$1001,MATCH(ROWS($AF$2:AF491),$AF$2:$AF$1001,0),0), INDEX($AM$1004:$BM$1004,1,MATCH(COLUMNS($AM$1006:AQ1006),$AM$1006:$BM$1006,0)))),"Fix")))</f>
        <v xml:space="preserve"> </v>
      </c>
      <c r="G491" s="4" t="str">
        <f ca="1">IF(OR(INDEX($AG$2:$AG$1001,MATCH(ROWS($AF$2:AF491),$AF$2:$AF$1001,0),1)&gt;=100000,INDEX($AM$1005:$BM$1005,1,MATCH(COLUMNS($AM$1006:AR1006),$AM$1006:$BM$1006,0))&gt;=100000), " ",IF(INDEX($AM$2:$BM$1001,MATCH(ROWS($AF$2:AF491),$AF$2:$AF$1001,0),MATCH(COLUMNS($AM$1006:AR1006),$AM$1006:$BM$1006,0)), HYPERLINK("#",""), HYPERLINK(CONCATENATE("#metadata!", ADDRESS(INDEX($AH$2:$AH$1001,MATCH(ROWS($AF$2:AF491),$AF$2:$AF$1001,0),0), INDEX($AM$1004:$BM$1004,1,MATCH(COLUMNS($AM$1006:AR1006),$AM$1006:$BM$1006,0)))),"Fix")))</f>
        <v xml:space="preserve"> </v>
      </c>
      <c r="H491" s="4" t="str">
        <f ca="1">IF(OR(INDEX($AG$2:$AG$1001,MATCH(ROWS($AF$2:AF491),$AF$2:$AF$1001,0),1)&gt;=100000,INDEX($AM$1005:$BM$1005,1,MATCH(COLUMNS($AM$1006:AS1006),$AM$1006:$BM$1006,0))&gt;=100000), " ",IF(INDEX($AM$2:$BM$1001,MATCH(ROWS($AF$2:AF491),$AF$2:$AF$1001,0),MATCH(COLUMNS($AM$1006:AS1006),$AM$1006:$BM$1006,0)), HYPERLINK("#",""), HYPERLINK(CONCATENATE("#metadata!", ADDRESS(INDEX($AH$2:$AH$1001,MATCH(ROWS($AF$2:AF491),$AF$2:$AF$1001,0),0), INDEX($AM$1004:$BM$1004,1,MATCH(COLUMNS($AM$1006:AS1006),$AM$1006:$BM$1006,0)))),"Fix")))</f>
        <v xml:space="preserve"> </v>
      </c>
      <c r="I491" s="4" t="str">
        <f ca="1">IF(OR(INDEX($AG$2:$AG$1001,MATCH(ROWS($AF$2:AF491),$AF$2:$AF$1001,0),1)&gt;=100000,INDEX($AM$1005:$BM$1005,1,MATCH(COLUMNS($AM$1006:AT1006),$AM$1006:$BM$1006,0))&gt;=100000), " ",IF(INDEX($AM$2:$BM$1001,MATCH(ROWS($AF$2:AF491),$AF$2:$AF$1001,0),MATCH(COLUMNS($AM$1006:AT1006),$AM$1006:$BM$1006,0)), HYPERLINK("#",""), HYPERLINK(CONCATENATE("#metadata!", ADDRESS(INDEX($AH$2:$AH$1001,MATCH(ROWS($AF$2:AF491),$AF$2:$AF$1001,0),0), INDEX($AM$1004:$BM$1004,1,MATCH(COLUMNS($AM$1006:AT1006),$AM$1006:$BM$1006,0)))),"Fix")))</f>
        <v xml:space="preserve"> </v>
      </c>
      <c r="J491" s="4" t="str">
        <f ca="1">IF(OR(INDEX($AG$2:$AG$1001,MATCH(ROWS($AF$2:AF491),$AF$2:$AF$1001,0),1)&gt;=100000,INDEX($AM$1005:$BM$1005,1,MATCH(COLUMNS($AM$1006:AU1006),$AM$1006:$BM$1006,0))&gt;=100000), " ",IF(INDEX($AM$2:$BM$1001,MATCH(ROWS($AF$2:AF491),$AF$2:$AF$1001,0),MATCH(COLUMNS($AM$1006:AU1006),$AM$1006:$BM$1006,0)), HYPERLINK("#",""), HYPERLINK(CONCATENATE("#metadata!", ADDRESS(INDEX($AH$2:$AH$1001,MATCH(ROWS($AF$2:AF491),$AF$2:$AF$1001,0),0), INDEX($AM$1004:$BM$1004,1,MATCH(COLUMNS($AM$1006:AU1006),$AM$1006:$BM$1006,0)))),"Fix")))</f>
        <v xml:space="preserve"> </v>
      </c>
      <c r="K491" s="4" t="str">
        <f ca="1">IF(OR(INDEX($AG$2:$AG$1001,MATCH(ROWS($AF$2:AF491),$AF$2:$AF$1001,0),1)&gt;=100000,INDEX($AM$1005:$BM$1005,1,MATCH(COLUMNS($AM$1006:AV1006),$AM$1006:$BM$1006,0))&gt;=100000), " ",IF(INDEX($AM$2:$BM$1001,MATCH(ROWS($AF$2:AF491),$AF$2:$AF$1001,0),MATCH(COLUMNS($AM$1006:AV1006),$AM$1006:$BM$1006,0)), HYPERLINK("#",""), HYPERLINK(CONCATENATE("#metadata!", ADDRESS(INDEX($AH$2:$AH$1001,MATCH(ROWS($AF$2:AF491),$AF$2:$AF$1001,0),0), INDEX($AM$1004:$BM$1004,1,MATCH(COLUMNS($AM$1006:AV1006),$AM$1006:$BM$1006,0)))),"Fix")))</f>
        <v xml:space="preserve"> </v>
      </c>
      <c r="L491" s="4" t="str">
        <f ca="1">IF(OR(INDEX($AG$2:$AG$1001,MATCH(ROWS($AF$2:AF491),$AF$2:$AF$1001,0),1)&gt;=100000,INDEX($AM$1005:$BM$1005,1,MATCH(COLUMNS($AM$1006:AW1006),$AM$1006:$BM$1006,0))&gt;=100000), " ",IF(INDEX($AM$2:$BM$1001,MATCH(ROWS($AF$2:AF491),$AF$2:$AF$1001,0),MATCH(COLUMNS($AM$1006:AW1006),$AM$1006:$BM$1006,0)), HYPERLINK("#",""), HYPERLINK(CONCATENATE("#metadata!", ADDRESS(INDEX($AH$2:$AH$1001,MATCH(ROWS($AF$2:AF491),$AF$2:$AF$1001,0),0), INDEX($AM$1004:$BM$1004,1,MATCH(COLUMNS($AM$1006:AW1006),$AM$1006:$BM$1006,0)))),"Fix")))</f>
        <v xml:space="preserve"> </v>
      </c>
      <c r="M491" s="4" t="str">
        <f ca="1">IF(OR(INDEX($AG$2:$AG$1001,MATCH(ROWS($AF$2:AF491),$AF$2:$AF$1001,0),1)&gt;=100000,INDEX($AM$1005:$BM$1005,1,MATCH(COLUMNS($AM$1006:AX1006),$AM$1006:$BM$1006,0))&gt;=100000), " ",IF(INDEX($AM$2:$BM$1001,MATCH(ROWS($AF$2:AF491),$AF$2:$AF$1001,0),MATCH(COLUMNS($AM$1006:AX1006),$AM$1006:$BM$1006,0)), HYPERLINK("#",""), HYPERLINK(CONCATENATE("#metadata!", ADDRESS(INDEX($AH$2:$AH$1001,MATCH(ROWS($AF$2:AF491),$AF$2:$AF$1001,0),0), INDEX($AM$1004:$BM$1004,1,MATCH(COLUMNS($AM$1006:AX1006),$AM$1006:$BM$1006,0)))),"Fix")))</f>
        <v xml:space="preserve"> </v>
      </c>
      <c r="N491" s="4" t="str">
        <f ca="1">IF(OR(INDEX($AG$2:$AG$1001,MATCH(ROWS($AF$2:AF491),$AF$2:$AF$1001,0),1)&gt;=100000,INDEX($AM$1005:$BM$1005,1,MATCH(COLUMNS($AM$1006:AY1006),$AM$1006:$BM$1006,0))&gt;=100000), " ",IF(INDEX($AM$2:$BM$1001,MATCH(ROWS($AF$2:AF491),$AF$2:$AF$1001,0),MATCH(COLUMNS($AM$1006:AY1006),$AM$1006:$BM$1006,0)), HYPERLINK("#",""), HYPERLINK(CONCATENATE("#metadata!", ADDRESS(INDEX($AH$2:$AH$1001,MATCH(ROWS($AF$2:AF491),$AF$2:$AF$1001,0),0), INDEX($AM$1004:$BM$1004,1,MATCH(COLUMNS($AM$1006:AY1006),$AM$1006:$BM$1006,0)))),"Fix")))</f>
        <v xml:space="preserve"> </v>
      </c>
      <c r="O491" s="4" t="str">
        <f ca="1">IF(OR(INDEX($AG$2:$AG$1001,MATCH(ROWS($AF$2:AF491),$AF$2:$AF$1001,0),1)&gt;=100000,INDEX($AM$1005:$BM$1005,1,MATCH(COLUMNS($AM$1006:AZ1006),$AM$1006:$BM$1006,0))&gt;=100000), " ",IF(INDEX($AM$2:$BM$1001,MATCH(ROWS($AF$2:AF491),$AF$2:$AF$1001,0),MATCH(COLUMNS($AM$1006:AZ1006),$AM$1006:$BM$1006,0)), HYPERLINK("#",""), HYPERLINK(CONCATENATE("#metadata!", ADDRESS(INDEX($AH$2:$AH$1001,MATCH(ROWS($AF$2:AF491),$AF$2:$AF$1001,0),0), INDEX($AM$1004:$BM$1004,1,MATCH(COLUMNS($AM$1006:AZ1006),$AM$1006:$BM$1006,0)))),"Fix")))</f>
        <v xml:space="preserve"> </v>
      </c>
      <c r="P491" s="4" t="str">
        <f ca="1">IF(OR(INDEX($AG$2:$AG$1001,MATCH(ROWS($AF$2:AF491),$AF$2:$AF$1001,0),1)&gt;=100000,INDEX($AM$1005:$BM$1005,1,MATCH(COLUMNS($AM$1006:BA1006),$AM$1006:$BM$1006,0))&gt;=100000), " ",IF(INDEX($AM$2:$BM$1001,MATCH(ROWS($AF$2:AF491),$AF$2:$AF$1001,0),MATCH(COLUMNS($AM$1006:BA1006),$AM$1006:$BM$1006,0)), HYPERLINK("#",""), HYPERLINK(CONCATENATE("#metadata!", ADDRESS(INDEX($AH$2:$AH$1001,MATCH(ROWS($AF$2:AF491),$AF$2:$AF$1001,0),0), INDEX($AM$1004:$BM$1004,1,MATCH(COLUMNS($AM$1006:BA1006),$AM$1006:$BM$1006,0)))),"Fix")))</f>
        <v xml:space="preserve"> </v>
      </c>
      <c r="Q491" s="4" t="str">
        <f ca="1">IF(OR(INDEX($AG$2:$AG$1001,MATCH(ROWS($AF$2:AF491),$AF$2:$AF$1001,0),1)&gt;=100000,INDEX($AM$1005:$BM$1005,1,MATCH(COLUMNS($AM$1006:BB1006),$AM$1006:$BM$1006,0))&gt;=100000), " ",IF(INDEX($AM$2:$BM$1001,MATCH(ROWS($AF$2:AF491),$AF$2:$AF$1001,0),MATCH(COLUMNS($AM$1006:BB1006),$AM$1006:$BM$1006,0)), HYPERLINK("#",""), HYPERLINK(CONCATENATE("#metadata!", ADDRESS(INDEX($AH$2:$AH$1001,MATCH(ROWS($AF$2:AF491),$AF$2:$AF$1001,0),0), INDEX($AM$1004:$BM$1004,1,MATCH(COLUMNS($AM$1006:BB1006),$AM$1006:$BM$1006,0)))),"Fix")))</f>
        <v xml:space="preserve"> </v>
      </c>
      <c r="R491" s="4" t="str">
        <f ca="1">IF(OR(INDEX($AG$2:$AG$1001,MATCH(ROWS($AF$2:AF491),$AF$2:$AF$1001,0),1)&gt;=100000,INDEX($AM$1005:$BM$1005,1,MATCH(COLUMNS($AM$1006:BC1006),$AM$1006:$BM$1006,0))&gt;=100000), " ",IF(INDEX($AM$2:$BM$1001,MATCH(ROWS($AF$2:AF491),$AF$2:$AF$1001,0),MATCH(COLUMNS($AM$1006:BC1006),$AM$1006:$BM$1006,0)), HYPERLINK("#",""), HYPERLINK(CONCATENATE("#metadata!", ADDRESS(INDEX($AH$2:$AH$1001,MATCH(ROWS($AF$2:AF491),$AF$2:$AF$1001,0),0), INDEX($AM$1004:$BM$1004,1,MATCH(COLUMNS($AM$1006:BC1006),$AM$1006:$BM$1006,0)))),"Fix")))</f>
        <v xml:space="preserve"> </v>
      </c>
      <c r="S491" s="4" t="str">
        <f ca="1">IF(OR(INDEX($AG$2:$AG$1001,MATCH(ROWS($AF$2:AF491),$AF$2:$AF$1001,0),1)&gt;=100000,INDEX($AM$1005:$BM$1005,1,MATCH(COLUMNS($AM$1006:BD1006),$AM$1006:$BM$1006,0))&gt;=100000), " ",IF(INDEX($AM$2:$BM$1001,MATCH(ROWS($AF$2:AF491),$AF$2:$AF$1001,0),MATCH(COLUMNS($AM$1006:BD1006),$AM$1006:$BM$1006,0)), HYPERLINK("#",""), HYPERLINK(CONCATENATE("#metadata!", ADDRESS(INDEX($AH$2:$AH$1001,MATCH(ROWS($AF$2:AF491),$AF$2:$AF$1001,0),0), INDEX($AM$1004:$BM$1004,1,MATCH(COLUMNS($AM$1006:BD1006),$AM$1006:$BM$1006,0)))),"Fix")))</f>
        <v xml:space="preserve"> </v>
      </c>
      <c r="T491" s="4" t="str">
        <f ca="1">IF(OR(INDEX($AG$2:$AG$1001,MATCH(ROWS($AF$2:AF491),$AF$2:$AF$1001,0),1)&gt;=100000,INDEX($AM$1005:$BM$1005,1,MATCH(COLUMNS($AM$1006:BE1006),$AM$1006:$BM$1006,0))&gt;=100000), " ",IF(INDEX($AM$2:$BM$1001,MATCH(ROWS($AF$2:AF491),$AF$2:$AF$1001,0),MATCH(COLUMNS($AM$1006:BE1006),$AM$1006:$BM$1006,0)), HYPERLINK("#",""), HYPERLINK(CONCATENATE("#metadata!", ADDRESS(INDEX($AH$2:$AH$1001,MATCH(ROWS($AF$2:AF491),$AF$2:$AF$1001,0),0), INDEX($AM$1004:$BM$1004,1,MATCH(COLUMNS($AM$1006:BE1006),$AM$1006:$BM$1006,0)))),"Fix")))</f>
        <v xml:space="preserve"> </v>
      </c>
      <c r="U491" s="4" t="str">
        <f ca="1">IF(OR(INDEX($AG$2:$AG$1001,MATCH(ROWS($AF$2:AF491),$AF$2:$AF$1001,0),1)&gt;=100000,INDEX($AM$1005:$BM$1005,1,MATCH(COLUMNS($AM$1006:BF1006),$AM$1006:$BM$1006,0))&gt;=100000), " ",IF(INDEX($AM$2:$BM$1001,MATCH(ROWS($AF$2:AF491),$AF$2:$AF$1001,0),MATCH(COLUMNS($AM$1006:BF1006),$AM$1006:$BM$1006,0)), HYPERLINK("#",""), HYPERLINK(CONCATENATE("#metadata!", ADDRESS(INDEX($AH$2:$AH$1001,MATCH(ROWS($AF$2:AF491),$AF$2:$AF$1001,0),0), INDEX($AM$1004:$BM$1004,1,MATCH(COLUMNS($AM$1006:BF1006),$AM$1006:$BM$1006,0)))),"Fix")))</f>
        <v xml:space="preserve"> </v>
      </c>
      <c r="V491" s="4" t="str">
        <f ca="1">IF(OR(INDEX($AG$2:$AG$1001,MATCH(ROWS($AF$2:AF491),$AF$2:$AF$1001,0),1)&gt;=100000,INDEX($AM$1005:$BM$1005,1,MATCH(COLUMNS($AM$1006:BG1006),$AM$1006:$BM$1006,0))&gt;=100000), " ",IF(INDEX($AM$2:$BM$1001,MATCH(ROWS($AF$2:AF491),$AF$2:$AF$1001,0),MATCH(COLUMNS($AM$1006:BG1006),$AM$1006:$BM$1006,0)), HYPERLINK("#",""), HYPERLINK(CONCATENATE("#metadata!", ADDRESS(INDEX($AH$2:$AH$1001,MATCH(ROWS($AF$2:AF491),$AF$2:$AF$1001,0),0), INDEX($AM$1004:$BM$1004,1,MATCH(COLUMNS($AM$1006:BG1006),$AM$1006:$BM$1006,0)))),"Fix")))</f>
        <v xml:space="preserve"> </v>
      </c>
      <c r="W491" s="4" t="str">
        <f ca="1">IF(OR(INDEX($AG$2:$AG$1001,MATCH(ROWS($AF$2:AF491),$AF$2:$AF$1001,0),1)&gt;=100000,INDEX($AM$1005:$BM$1005,1,MATCH(COLUMNS($AM$1006:BH1006),$AM$1006:$BM$1006,0))&gt;=100000), " ",IF(INDEX($AM$2:$BM$1001,MATCH(ROWS($AF$2:AF491),$AF$2:$AF$1001,0),MATCH(COLUMNS($AM$1006:BH1006),$AM$1006:$BM$1006,0)), HYPERLINK("#",""), HYPERLINK(CONCATENATE("#metadata!", ADDRESS(INDEX($AH$2:$AH$1001,MATCH(ROWS($AF$2:AF491),$AF$2:$AF$1001,0),0), INDEX($AM$1004:$BM$1004,1,MATCH(COLUMNS($AM$1006:BH1006),$AM$1006:$BM$1006,0)))),"Fix")))</f>
        <v xml:space="preserve"> </v>
      </c>
      <c r="X491" s="4" t="str">
        <f ca="1">IF(OR(INDEX($AG$2:$AG$1001,MATCH(ROWS($AF$2:AF491),$AF$2:$AF$1001,0),1)&gt;=100000,INDEX($AM$1005:$BM$1005,1,MATCH(COLUMNS($AM$1006:BI1006),$AM$1006:$BM$1006,0))&gt;=100000), " ",IF(INDEX($AM$2:$BM$1001,MATCH(ROWS($AF$2:AF491),$AF$2:$AF$1001,0),MATCH(COLUMNS($AM$1006:BI1006),$AM$1006:$BM$1006,0)), HYPERLINK("#",""), HYPERLINK(CONCATENATE("#metadata!", ADDRESS(INDEX($AH$2:$AH$1001,MATCH(ROWS($AF$2:AF491),$AF$2:$AF$1001,0),0), INDEX($AM$1004:$BM$1004,1,MATCH(COLUMNS($AM$1006:BI1006),$AM$1006:$BM$1006,0)))),"Fix")))</f>
        <v xml:space="preserve"> </v>
      </c>
      <c r="Y491" s="4" t="str">
        <f ca="1">IF(OR(INDEX($AG$2:$AG$1001,MATCH(ROWS($AF$2:AF491),$AF$2:$AF$1001,0),1)&gt;=100000,INDEX($AM$1005:$BM$1005,1,MATCH(COLUMNS($AM$1006:BJ1006),$AM$1006:$BM$1006,0))&gt;=100000), " ",IF(INDEX($AM$2:$BM$1001,MATCH(ROWS($AF$2:AF491),$AF$2:$AF$1001,0),MATCH(COLUMNS($AM$1006:BJ1006),$AM$1006:$BM$1006,0)), HYPERLINK("#",""), HYPERLINK(CONCATENATE("#metadata!", ADDRESS(INDEX($AH$2:$AH$1001,MATCH(ROWS($AF$2:AF491),$AF$2:$AF$1001,0),0), INDEX($AM$1004:$BM$1004,1,MATCH(COLUMNS($AM$1006:BJ1006),$AM$1006:$BM$1006,0)))),"Fix")))</f>
        <v xml:space="preserve"> </v>
      </c>
      <c r="Z491" s="4" t="str">
        <f ca="1">IF(OR(INDEX($AG$2:$AG$1001,MATCH(ROWS($AF$2:AF491),$AF$2:$AF$1001,0),1)&gt;=100000,INDEX($AM$1005:$BM$1005,1,MATCH(COLUMNS($AM$1006:BK1006),$AM$1006:$BM$1006,0))&gt;=100000), " ",IF(INDEX($AM$2:$BM$1001,MATCH(ROWS($AF$2:AF491),$AF$2:$AF$1001,0),MATCH(COLUMNS($AM$1006:BK1006),$AM$1006:$BM$1006,0)), HYPERLINK("#",""), HYPERLINK(CONCATENATE("#metadata!", ADDRESS(INDEX($AH$2:$AH$1001,MATCH(ROWS($AF$2:AF491),$AF$2:$AF$1001,0),0), INDEX($AM$1004:$BM$1004,1,MATCH(COLUMNS($AM$1006:BK1006),$AM$1006:$BM$1006,0)))),"Fix")))</f>
        <v xml:space="preserve"> </v>
      </c>
      <c r="AA491" s="4" t="str">
        <f ca="1">IF(OR(INDEX($AG$2:$AG$1001,MATCH(ROWS($AF$2:AF491),$AF$2:$AF$1001,0),1)&gt;=100000,INDEX($AM$1005:$BM$1005,1,MATCH(COLUMNS($AM$1006:BL1006),$AM$1006:$BM$1006,0))&gt;=100000), " ",IF(INDEX($AM$2:$BM$1001,MATCH(ROWS($AF$2:AF491),$AF$2:$AF$1001,0),MATCH(COLUMNS($AM$1006:BL1006),$AM$1006:$BM$1006,0)), HYPERLINK("#",""), HYPERLINK(CONCATENATE("#metadata!", ADDRESS(INDEX($AH$2:$AH$1001,MATCH(ROWS($AF$2:AF491),$AF$2:$AF$1001,0),0), INDEX($AM$1004:$BM$1004,1,MATCH(COLUMNS($AM$1006:BL1006),$AM$1006:$BM$1006,0)))),"Fix")))</f>
        <v xml:space="preserve"> </v>
      </c>
      <c r="AB491" s="4" t="str">
        <f ca="1">IF(OR(INDEX($AG$2:$AG$1001,MATCH(ROWS($AF$2:AF491),$AF$2:$AF$1001,0),1)&gt;=100000,INDEX($AM$1005:$BM$1005,1,MATCH(COLUMNS($AM$1006:BM1006),$AM$1006:$BM$1006,0))&gt;=100000), " ",IF(INDEX($AM$2:$BM$1001,MATCH(ROWS($AF$2:AF491),$AF$2:$AF$1001,0),MATCH(COLUMNS($AM$1006:BM1006),$AM$1006:$BM$1006,0)), HYPERLINK("#",""), HYPERLINK(CONCATENATE("#metadata!", ADDRESS(INDEX($AH$2:$AH$1001,MATCH(ROWS($AF$2:AF491),$AF$2:$AF$1001,0),0), INDEX($AM$1004:$BM$1004,1,MATCH(COLUMNS($AM$1006:BM1006),$AM$1006:$BM$1006,0)))),"Fix")))</f>
        <v xml:space="preserve"> </v>
      </c>
      <c r="AF491">
        <v>490</v>
      </c>
      <c r="AG491">
        <v>100491</v>
      </c>
      <c r="AH491">
        <v>491</v>
      </c>
      <c r="AI491" t="b">
        <f t="shared" si="7"/>
        <v>1</v>
      </c>
      <c r="AJ491" t="b">
        <f>COUNTBLANK(metadata!B491:AB491)=COLUMNS(metadata!B491:AB491)</f>
        <v>1</v>
      </c>
      <c r="AK491" t="str">
        <v/>
      </c>
      <c r="AM491" t="b">
        <f ca="1">AND(IF(metadata!B491="",FALSE,TRUE),COUNTIF(metadata!B:B, metadata!B491) = 1,NOT(ISERROR(SUMPRODUCT(SEARCH(MID(metadata!B491,ROW(INDIRECT("1:"&amp;LEN(metadata!B491))), 1),"0123456789abcdefghijklmnopqrstuvwxyzABCDEFGHIJKLMNOPQRSTUVWXYZ.")))))</f>
        <v>0</v>
      </c>
      <c r="AN491" t="b">
        <f ca="1">OR(AND(IF(metadata!C491="",FALSE,TRUE),OR(EXACT(metadata!C491,"missing: not collected"),EXACT(metadata!C491,"missing: not provided"),EXACT(metadata!C491,"missing: restricted access"))),AND(IF(metadata!C491="",FALSE,TRUE),AND(AND(IFERROR(INT(LEFT(metadata!C491,4))&gt;1900,FALSE),IFERROR(INT(LEFT(metadata!C491,4))&lt;=YEAR(NOW()),FALSE)), OR(MID(metadata!C491,5,1)="", AND(AND(MID(metadata!C491,5,1)="-",IFERROR(INT(MID(metadata!C491,6,1))&gt;=0,FALSE),IFERROR(INT(MID(metadata!C491,6,1))&lt;=1,FALSE),NOT(MID(metadata!C491,7,1)=""),IFERROR(INT(MID(metadata!C491,6,2))&gt;=1,FALSE),IFERROR(INT(MID(metadata!C491,6,2))&lt;=12,FALSE)), OR(MID(metadata!C491,8,1)="", AND(AND(MID(metadata!C491,8,1)="-",IFERROR(INT(MID(metadata!C491,9,1))&gt;=0,FALSE),IFERROR(INT(MID(metadata!C491,9,1))&lt;=3,FALSE),NOT(MID(metadata!C491,10,1)=""),IFERROR(INT(MID(metadata!C491,9,2))&gt;=1,FALSE),IFERROR(INT(MID(metadata!C491,9,2))&lt;=31,FALSE)), OR(MID(metadata!C491,11,1)="", AND(AND(MID(metadata!C491,11,1)=" ",IFERROR(INT(MID(metadata!C491,12,1))&gt;=0,FALSE),IFERROR(INT(MID(metadata!C491,12,1))&lt;=2,FALSE),NOT(MID(metadata!C491,13,1)=""),IFERROR(INT(MID(metadata!C491,12,2))&gt;=0,FALSE),IFERROR(INT(MID(metadata!C491,12,2))&lt;=23,FALSE)), OR(MID(metadata!C491,14,1)="", AND(AND(MID(metadata!C491,14,1)=":",IFERROR(INT(MID(metadata!C491,15,1))&gt;=0,FALSE),IFERROR(INT(MID(metadata!C491,15,1))&lt;=5,FALSE),NOT(MID(metadata!C491,16,1)=""),IFERROR(INT(MID(metadata!C491,15,2))&gt;=0,FALSE),IFERROR(INT(MID(metadata!C491,15,2))&lt;=59,FALSE)), OR(MID(metadata!C491,17,1)="", AND(AND(MID(metadata!C491,17,1)=":",IFERROR(INT(MID(metadata!C491,18,1))&gt;=0,FALSE),IFERROR(INT(MID(metadata!C491,18,1))&lt;=5,FALSE),NOT(MID(metadata!C491,19,1)=""),IFERROR(INT(MID(metadata!C491,18,2))&gt;=0,FALSE),IFERROR(INT(MID(metadata!C491,18,2))&lt;=59,FALSE)), LEN(metadata!C491)&lt;=19)))))))))))))</f>
        <v>0</v>
      </c>
      <c r="AO491" t="b">
        <f>AND(IF(metadata!D491="",FALSE,TRUE),EXACT(metadata!D491,"Not applicable"))</f>
        <v>0</v>
      </c>
      <c r="AP491" t="b">
        <f>IF(metadata!E491="",FALSE,TRUE)</f>
        <v>0</v>
      </c>
      <c r="AQ491" t="b">
        <f>OR(AND(IF(metadata!F491="",FALSE,TRUE),OR(EXACT(metadata!F491,"missing: not collected"),EXACT(metadata!F491,"missing: not provided"))),AND(IF(metadata!F491="",FALSE,TRUE),OR(EXACT(metadata!F491,"TRUE"),EXACT(metadata!F491,"FALSE"))))</f>
        <v>0</v>
      </c>
      <c r="AR491" t="b">
        <f>OR(AND(IF(metadata!G491="",FALSE,TRUE),OR(EXACT(metadata!G491,"missing: not collected"),EXACT(metadata!G491,"missing: not provided"),EXACT(metadata!G491,"missing: restricted access"))),AND(IF(metadata!G491="",FALSE,ISNUMBER(VALUE(metadata!G491))),metadata!G491&gt;=-413))</f>
        <v>0</v>
      </c>
      <c r="AS491" t="b">
        <f>AND(IF(metadata!H491="",FALSE,TRUE),EXACT(metadata!H491,"meters"))</f>
        <v>0</v>
      </c>
      <c r="AT491" t="b">
        <f>AND(IF(metadata!I491="",FALSE,TRUE),OR(EXACT(metadata!I491,"Host-associated"),EXACT(metadata!I491,"Free-living")))</f>
        <v>0</v>
      </c>
      <c r="AU491" t="b">
        <f>AND(IF(metadata!J491="",FALSE,TRUE),OR(EXACT(metadata!J491,"Animal"),EXACT(metadata!J491,"Fungus"),EXACT(metadata!J491,"Plant"),EXACT(metadata!J491,"Saline"),EXACT(metadata!J491,"Non-saline")))</f>
        <v>0</v>
      </c>
      <c r="AV491" t="b">
        <f>AND(IF(metadata!K491="",FALSE,TRUE),OR(EXACT(metadata!K491,"Plant secretion"),EXACT(metadata!K491,"Plant rhizosphere"),EXACT(metadata!K491,"Plant surface"),EXACT(metadata!K491,"Plant corpus"),EXACT(metadata!K491,"Fungus surface"),EXACT(metadata!K491,"Fungus corpus"),EXACT(metadata!K491,"Animal surface"),EXACT(metadata!K491,"Animal proximal gut"),EXACT(metadata!K491,"Animal corpus"),EXACT(metadata!K491,"Animal distal gut"),EXACT(metadata!K491,"Animal secretion"),EXACT(metadata!K491,"Sub-surface (non-saline)"),EXACT(metadata!K491,"Surface (non-saline)"),EXACT(metadata!K491,"Water (non-saline)"),EXACT(metadata!K491,"Soil (non-saline)"),EXACT(metadata!K491,"Aerosol (non-saline)"),EXACT(metadata!K491,"Sediment (non-saline)"),EXACT(metadata!K491,"Surface (saline)"),EXACT(metadata!K491,"Water (saline)"),EXACT(metadata!K491,"Hypersaline (saline)"),EXACT(metadata!K491,"Aerosol (saline)"),EXACT(metadata!K491,"Sediment (saline)")))</f>
        <v>0</v>
      </c>
      <c r="AW491" t="b">
        <f>IF(metadata!L491="",FALSE,TRUE)</f>
        <v>0</v>
      </c>
      <c r="AX491" t="b">
        <f>IF(metadata!M491="",FALSE,TRUE)</f>
        <v>0</v>
      </c>
      <c r="AY491" t="b">
        <f>IF(metadata!N491="",FALSE,TRUE)</f>
        <v>0</v>
      </c>
      <c r="AZ491" t="b">
        <f>OR(AND(IF(metadata!O491="",FALSE,TRUE),OR(EXACT(metadata!O491,"missing: not collected"),EXACT(metadata!O491,"missing: not provided"),EXACT(metadata!O491,"missing: restricted access"))),AND(IF(metadata!O491="",FALSE,TRUE),OR(EXACT(metadata!O491,"air"),EXACT(metadata!O491,"built environment"),EXACT(metadata!O491,"host-associated"),EXACT(metadata!O491,"human-associated"),EXACT(metadata!O491,"human-skin"),EXACT(metadata!O491,"human-oral"),EXACT(metadata!O491,"human-gut"),EXACT(metadata!O491,"human-vaginal"),EXACT(metadata!O491,"microbial mat/biofilm"),EXACT(metadata!O491,"misc environment"),EXACT(metadata!O491,"plant-associated"),EXACT(metadata!O491,"sediment"),EXACT(metadata!O491,"soil"),EXACT(metadata!O491,"wastewater/sludge"),EXACT(metadata!O491,"water"))))</f>
        <v>0</v>
      </c>
      <c r="BA491" t="b">
        <f>IF(metadata!P491="",FALSE,TRUE)</f>
        <v>0</v>
      </c>
      <c r="BB491" t="b">
        <f>IF(metadata!Q491="",FALSE,TRUE)</f>
        <v>0</v>
      </c>
      <c r="BC491" t="b">
        <f>OR(AND(IF(metadata!R491="",FALSE,TRUE),OR(EXACT(metadata!R491,"missing: not collected"),EXACT(metadata!R491,"missing: not provided"),EXACT(metadata!R491,"missing: restricted access"))),AND(IF(metadata!R491="",FALSE,ISNUMBER(VALUE(metadata!R491))),metadata!R491&gt;=-90,metadata!R491&lt;=90))</f>
        <v>0</v>
      </c>
      <c r="BD491" t="b">
        <f>AND(IF(metadata!S491="",FALSE,TRUE),EXACT(metadata!S491,"Decimal degrees"))</f>
        <v>0</v>
      </c>
      <c r="BE491" t="b">
        <f>OR(AND(IF(metadata!T491="",FALSE,TRUE),OR(EXACT(metadata!T491,"missing: not collected"),EXACT(metadata!T491,"missing: not provided"),EXACT(metadata!T491,"missing: restricted access"))),AND(IF(metadata!T491="",FALSE,ISNUMBER(VALUE(metadata!T491))),metadata!T491&gt;=-180,metadata!T491&lt;=180))</f>
        <v>0</v>
      </c>
      <c r="BF491" t="b">
        <f>AND(IF(metadata!U491="",FALSE,TRUE),EXACT(metadata!U491,"Decimal degrees"))</f>
        <v>0</v>
      </c>
      <c r="BG491" t="b">
        <f>IF(metadata!V491="",FALSE,TRUE)</f>
        <v>0</v>
      </c>
      <c r="BH491" t="b">
        <f>OR(AND(IF(metadata!W491="",FALSE,TRUE),OR(EXACT(metadata!W491,"missing: not collected"),EXACT(metadata!W491,"missing: not provided"),EXACT(metadata!W491,"missing: restricted access"))),AND(IF(metadata!W491="",FALSE,TRUE),OR(EXACT(metadata!W491,"TRUE"),EXACT(metadata!W491,"FALSE"))))</f>
        <v>0</v>
      </c>
      <c r="BI491" t="b">
        <f>AND(IF(metadata!X491="",FALSE,TRUE),EXACT(metadata!X491,"other"))</f>
        <v>0</v>
      </c>
      <c r="BJ491" t="b">
        <f>IF(metadata!Y491="",FALSE,TRUE)</f>
        <v>0</v>
      </c>
      <c r="BK491" t="b">
        <f>OR(AND(IF(metadata!Z491="",FALSE,TRUE),OR(EXACT(metadata!Z491,"missing: not collected"),EXACT(metadata!Z491,"missing: not provided"))),AND(IF(metadata!Z491="",FALSE,IF(ISERROR(INT(metadata!Z491)),FALSE,INT(metadata!Z491)=metadata!Z491)),metadata!Z491&gt;0))</f>
        <v>0</v>
      </c>
      <c r="BL491" t="b">
        <f>AND(IF(metadata!AA491="",FALSE,TRUE),EXACT(metadata!AA491,"Not applicable"))</f>
        <v>0</v>
      </c>
      <c r="BM491" t="b">
        <f>IF(metadata!AB491="",FALSE,TRUE)</f>
        <v>0</v>
      </c>
    </row>
    <row r="492" spans="1:65" x14ac:dyDescent="0.2">
      <c r="A492" s="5" t="str">
        <f ca="1">IF(B492=" "," ",HYPERLINK(CONCATENATE("#metadata!",ADDRESS(INDEX($AH$2:$AH$1001,MATCH(ROWS($AF$2:AF492),$AF$2:$AF$1001,0),0),1)),INDEX($AK$2:$AK$1001,MATCH(ROWS($AF$2:AF492),$AF$2:$AF$1001,0),0)))</f>
        <v xml:space="preserve"> </v>
      </c>
      <c r="B492" s="4" t="str">
        <f ca="1">IF(OR(INDEX($AG$2:$AG$1001,MATCH(ROWS($AF$2:AF492),$AF$2:$AF$1001,0),1)&gt;=100000,INDEX($AM$1005:$BM$1005,1,MATCH(COLUMNS($AM$1006:AM1006),$AM$1006:$BM$1006,0))&gt;=100000), " ",IF(INDEX($AM$2:$BM$1001,MATCH(ROWS($AF$2:AF492),$AF$2:$AF$1001,0),MATCH(COLUMNS($AM$1006:AM1006),$AM$1006:$BM$1006,0)), HYPERLINK("#",""), HYPERLINK(CONCATENATE("#metadata!", ADDRESS(INDEX($AH$2:$AH$1001,MATCH(ROWS($AF$2:AF492),$AF$2:$AF$1001,0),0), INDEX($AM$1004:$BM$1004,1,MATCH(COLUMNS($AM$1006:AM1006),$AM$1006:$BM$1006,0)))),"Fix")))</f>
        <v xml:space="preserve"> </v>
      </c>
      <c r="C492" s="4" t="str">
        <f ca="1">IF(OR(INDEX($AG$2:$AG$1001,MATCH(ROWS($AF$2:AF492),$AF$2:$AF$1001,0),1)&gt;=100000,INDEX($AM$1005:$BM$1005,1,MATCH(COLUMNS($AM$1006:AN1006),$AM$1006:$BM$1006,0))&gt;=100000), " ",IF(INDEX($AM$2:$BM$1001,MATCH(ROWS($AF$2:AF492),$AF$2:$AF$1001,0),MATCH(COLUMNS($AM$1006:AN1006),$AM$1006:$BM$1006,0)), HYPERLINK("#",""), HYPERLINK(CONCATENATE("#metadata!", ADDRESS(INDEX($AH$2:$AH$1001,MATCH(ROWS($AF$2:AF492),$AF$2:$AF$1001,0),0), INDEX($AM$1004:$BM$1004,1,MATCH(COLUMNS($AM$1006:AN1006),$AM$1006:$BM$1006,0)))),"Fix")))</f>
        <v xml:space="preserve"> </v>
      </c>
      <c r="D492" s="4" t="str">
        <f ca="1">IF(OR(INDEX($AG$2:$AG$1001,MATCH(ROWS($AF$2:AF492),$AF$2:$AF$1001,0),1)&gt;=100000,INDEX($AM$1005:$BM$1005,1,MATCH(COLUMNS($AM$1006:AO1006),$AM$1006:$BM$1006,0))&gt;=100000), " ",IF(INDEX($AM$2:$BM$1001,MATCH(ROWS($AF$2:AF492),$AF$2:$AF$1001,0),MATCH(COLUMNS($AM$1006:AO1006),$AM$1006:$BM$1006,0)), HYPERLINK("#",""), HYPERLINK(CONCATENATE("#metadata!", ADDRESS(INDEX($AH$2:$AH$1001,MATCH(ROWS($AF$2:AF492),$AF$2:$AF$1001,0),0), INDEX($AM$1004:$BM$1004,1,MATCH(COLUMNS($AM$1006:AO1006),$AM$1006:$BM$1006,0)))),"Fix")))</f>
        <v xml:space="preserve"> </v>
      </c>
      <c r="E492" s="4" t="str">
        <f ca="1">IF(OR(INDEX($AG$2:$AG$1001,MATCH(ROWS($AF$2:AF492),$AF$2:$AF$1001,0),1)&gt;=100000,INDEX($AM$1005:$BM$1005,1,MATCH(COLUMNS($AM$1006:AP1006),$AM$1006:$BM$1006,0))&gt;=100000), " ",IF(INDEX($AM$2:$BM$1001,MATCH(ROWS($AF$2:AF492),$AF$2:$AF$1001,0),MATCH(COLUMNS($AM$1006:AP1006),$AM$1006:$BM$1006,0)), HYPERLINK("#",""), HYPERLINK(CONCATENATE("#metadata!", ADDRESS(INDEX($AH$2:$AH$1001,MATCH(ROWS($AF$2:AF492),$AF$2:$AF$1001,0),0), INDEX($AM$1004:$BM$1004,1,MATCH(COLUMNS($AM$1006:AP1006),$AM$1006:$BM$1006,0)))),"Fix")))</f>
        <v xml:space="preserve"> </v>
      </c>
      <c r="F492" s="4" t="str">
        <f ca="1">IF(OR(INDEX($AG$2:$AG$1001,MATCH(ROWS($AF$2:AF492),$AF$2:$AF$1001,0),1)&gt;=100000,INDEX($AM$1005:$BM$1005,1,MATCH(COLUMNS($AM$1006:AQ1006),$AM$1006:$BM$1006,0))&gt;=100000), " ",IF(INDEX($AM$2:$BM$1001,MATCH(ROWS($AF$2:AF492),$AF$2:$AF$1001,0),MATCH(COLUMNS($AM$1006:AQ1006),$AM$1006:$BM$1006,0)), HYPERLINK("#",""), HYPERLINK(CONCATENATE("#metadata!", ADDRESS(INDEX($AH$2:$AH$1001,MATCH(ROWS($AF$2:AF492),$AF$2:$AF$1001,0),0), INDEX($AM$1004:$BM$1004,1,MATCH(COLUMNS($AM$1006:AQ1006),$AM$1006:$BM$1006,0)))),"Fix")))</f>
        <v xml:space="preserve"> </v>
      </c>
      <c r="G492" s="4" t="str">
        <f ca="1">IF(OR(INDEX($AG$2:$AG$1001,MATCH(ROWS($AF$2:AF492),$AF$2:$AF$1001,0),1)&gt;=100000,INDEX($AM$1005:$BM$1005,1,MATCH(COLUMNS($AM$1006:AR1006),$AM$1006:$BM$1006,0))&gt;=100000), " ",IF(INDEX($AM$2:$BM$1001,MATCH(ROWS($AF$2:AF492),$AF$2:$AF$1001,0),MATCH(COLUMNS($AM$1006:AR1006),$AM$1006:$BM$1006,0)), HYPERLINK("#",""), HYPERLINK(CONCATENATE("#metadata!", ADDRESS(INDEX($AH$2:$AH$1001,MATCH(ROWS($AF$2:AF492),$AF$2:$AF$1001,0),0), INDEX($AM$1004:$BM$1004,1,MATCH(COLUMNS($AM$1006:AR1006),$AM$1006:$BM$1006,0)))),"Fix")))</f>
        <v xml:space="preserve"> </v>
      </c>
      <c r="H492" s="4" t="str">
        <f ca="1">IF(OR(INDEX($AG$2:$AG$1001,MATCH(ROWS($AF$2:AF492),$AF$2:$AF$1001,0),1)&gt;=100000,INDEX($AM$1005:$BM$1005,1,MATCH(COLUMNS($AM$1006:AS1006),$AM$1006:$BM$1006,0))&gt;=100000), " ",IF(INDEX($AM$2:$BM$1001,MATCH(ROWS($AF$2:AF492),$AF$2:$AF$1001,0),MATCH(COLUMNS($AM$1006:AS1006),$AM$1006:$BM$1006,0)), HYPERLINK("#",""), HYPERLINK(CONCATENATE("#metadata!", ADDRESS(INDEX($AH$2:$AH$1001,MATCH(ROWS($AF$2:AF492),$AF$2:$AF$1001,0),0), INDEX($AM$1004:$BM$1004,1,MATCH(COLUMNS($AM$1006:AS1006),$AM$1006:$BM$1006,0)))),"Fix")))</f>
        <v xml:space="preserve"> </v>
      </c>
      <c r="I492" s="4" t="str">
        <f ca="1">IF(OR(INDEX($AG$2:$AG$1001,MATCH(ROWS($AF$2:AF492),$AF$2:$AF$1001,0),1)&gt;=100000,INDEX($AM$1005:$BM$1005,1,MATCH(COLUMNS($AM$1006:AT1006),$AM$1006:$BM$1006,0))&gt;=100000), " ",IF(INDEX($AM$2:$BM$1001,MATCH(ROWS($AF$2:AF492),$AF$2:$AF$1001,0),MATCH(COLUMNS($AM$1006:AT1006),$AM$1006:$BM$1006,0)), HYPERLINK("#",""), HYPERLINK(CONCATENATE("#metadata!", ADDRESS(INDEX($AH$2:$AH$1001,MATCH(ROWS($AF$2:AF492),$AF$2:$AF$1001,0),0), INDEX($AM$1004:$BM$1004,1,MATCH(COLUMNS($AM$1006:AT1006),$AM$1006:$BM$1006,0)))),"Fix")))</f>
        <v xml:space="preserve"> </v>
      </c>
      <c r="J492" s="4" t="str">
        <f ca="1">IF(OR(INDEX($AG$2:$AG$1001,MATCH(ROWS($AF$2:AF492),$AF$2:$AF$1001,0),1)&gt;=100000,INDEX($AM$1005:$BM$1005,1,MATCH(COLUMNS($AM$1006:AU1006),$AM$1006:$BM$1006,0))&gt;=100000), " ",IF(INDEX($AM$2:$BM$1001,MATCH(ROWS($AF$2:AF492),$AF$2:$AF$1001,0),MATCH(COLUMNS($AM$1006:AU1006),$AM$1006:$BM$1006,0)), HYPERLINK("#",""), HYPERLINK(CONCATENATE("#metadata!", ADDRESS(INDEX($AH$2:$AH$1001,MATCH(ROWS($AF$2:AF492),$AF$2:$AF$1001,0),0), INDEX($AM$1004:$BM$1004,1,MATCH(COLUMNS($AM$1006:AU1006),$AM$1006:$BM$1006,0)))),"Fix")))</f>
        <v xml:space="preserve"> </v>
      </c>
      <c r="K492" s="4" t="str">
        <f ca="1">IF(OR(INDEX($AG$2:$AG$1001,MATCH(ROWS($AF$2:AF492),$AF$2:$AF$1001,0),1)&gt;=100000,INDEX($AM$1005:$BM$1005,1,MATCH(COLUMNS($AM$1006:AV1006),$AM$1006:$BM$1006,0))&gt;=100000), " ",IF(INDEX($AM$2:$BM$1001,MATCH(ROWS($AF$2:AF492),$AF$2:$AF$1001,0),MATCH(COLUMNS($AM$1006:AV1006),$AM$1006:$BM$1006,0)), HYPERLINK("#",""), HYPERLINK(CONCATENATE("#metadata!", ADDRESS(INDEX($AH$2:$AH$1001,MATCH(ROWS($AF$2:AF492),$AF$2:$AF$1001,0),0), INDEX($AM$1004:$BM$1004,1,MATCH(COLUMNS($AM$1006:AV1006),$AM$1006:$BM$1006,0)))),"Fix")))</f>
        <v xml:space="preserve"> </v>
      </c>
      <c r="L492" s="4" t="str">
        <f ca="1">IF(OR(INDEX($AG$2:$AG$1001,MATCH(ROWS($AF$2:AF492),$AF$2:$AF$1001,0),1)&gt;=100000,INDEX($AM$1005:$BM$1005,1,MATCH(COLUMNS($AM$1006:AW1006),$AM$1006:$BM$1006,0))&gt;=100000), " ",IF(INDEX($AM$2:$BM$1001,MATCH(ROWS($AF$2:AF492),$AF$2:$AF$1001,0),MATCH(COLUMNS($AM$1006:AW1006),$AM$1006:$BM$1006,0)), HYPERLINK("#",""), HYPERLINK(CONCATENATE("#metadata!", ADDRESS(INDEX($AH$2:$AH$1001,MATCH(ROWS($AF$2:AF492),$AF$2:$AF$1001,0),0), INDEX($AM$1004:$BM$1004,1,MATCH(COLUMNS($AM$1006:AW1006),$AM$1006:$BM$1006,0)))),"Fix")))</f>
        <v xml:space="preserve"> </v>
      </c>
      <c r="M492" s="4" t="str">
        <f ca="1">IF(OR(INDEX($AG$2:$AG$1001,MATCH(ROWS($AF$2:AF492),$AF$2:$AF$1001,0),1)&gt;=100000,INDEX($AM$1005:$BM$1005,1,MATCH(COLUMNS($AM$1006:AX1006),$AM$1006:$BM$1006,0))&gt;=100000), " ",IF(INDEX($AM$2:$BM$1001,MATCH(ROWS($AF$2:AF492),$AF$2:$AF$1001,0),MATCH(COLUMNS($AM$1006:AX1006),$AM$1006:$BM$1006,0)), HYPERLINK("#",""), HYPERLINK(CONCATENATE("#metadata!", ADDRESS(INDEX($AH$2:$AH$1001,MATCH(ROWS($AF$2:AF492),$AF$2:$AF$1001,0),0), INDEX($AM$1004:$BM$1004,1,MATCH(COLUMNS($AM$1006:AX1006),$AM$1006:$BM$1006,0)))),"Fix")))</f>
        <v xml:space="preserve"> </v>
      </c>
      <c r="N492" s="4" t="str">
        <f ca="1">IF(OR(INDEX($AG$2:$AG$1001,MATCH(ROWS($AF$2:AF492),$AF$2:$AF$1001,0),1)&gt;=100000,INDEX($AM$1005:$BM$1005,1,MATCH(COLUMNS($AM$1006:AY1006),$AM$1006:$BM$1006,0))&gt;=100000), " ",IF(INDEX($AM$2:$BM$1001,MATCH(ROWS($AF$2:AF492),$AF$2:$AF$1001,0),MATCH(COLUMNS($AM$1006:AY1006),$AM$1006:$BM$1006,0)), HYPERLINK("#",""), HYPERLINK(CONCATENATE("#metadata!", ADDRESS(INDEX($AH$2:$AH$1001,MATCH(ROWS($AF$2:AF492),$AF$2:$AF$1001,0),0), INDEX($AM$1004:$BM$1004,1,MATCH(COLUMNS($AM$1006:AY1006),$AM$1006:$BM$1006,0)))),"Fix")))</f>
        <v xml:space="preserve"> </v>
      </c>
      <c r="O492" s="4" t="str">
        <f ca="1">IF(OR(INDEX($AG$2:$AG$1001,MATCH(ROWS($AF$2:AF492),$AF$2:$AF$1001,0),1)&gt;=100000,INDEX($AM$1005:$BM$1005,1,MATCH(COLUMNS($AM$1006:AZ1006),$AM$1006:$BM$1006,0))&gt;=100000), " ",IF(INDEX($AM$2:$BM$1001,MATCH(ROWS($AF$2:AF492),$AF$2:$AF$1001,0),MATCH(COLUMNS($AM$1006:AZ1006),$AM$1006:$BM$1006,0)), HYPERLINK("#",""), HYPERLINK(CONCATENATE("#metadata!", ADDRESS(INDEX($AH$2:$AH$1001,MATCH(ROWS($AF$2:AF492),$AF$2:$AF$1001,0),0), INDEX($AM$1004:$BM$1004,1,MATCH(COLUMNS($AM$1006:AZ1006),$AM$1006:$BM$1006,0)))),"Fix")))</f>
        <v xml:space="preserve"> </v>
      </c>
      <c r="P492" s="4" t="str">
        <f ca="1">IF(OR(INDEX($AG$2:$AG$1001,MATCH(ROWS($AF$2:AF492),$AF$2:$AF$1001,0),1)&gt;=100000,INDEX($AM$1005:$BM$1005,1,MATCH(COLUMNS($AM$1006:BA1006),$AM$1006:$BM$1006,0))&gt;=100000), " ",IF(INDEX($AM$2:$BM$1001,MATCH(ROWS($AF$2:AF492),$AF$2:$AF$1001,0),MATCH(COLUMNS($AM$1006:BA1006),$AM$1006:$BM$1006,0)), HYPERLINK("#",""), HYPERLINK(CONCATENATE("#metadata!", ADDRESS(INDEX($AH$2:$AH$1001,MATCH(ROWS($AF$2:AF492),$AF$2:$AF$1001,0),0), INDEX($AM$1004:$BM$1004,1,MATCH(COLUMNS($AM$1006:BA1006),$AM$1006:$BM$1006,0)))),"Fix")))</f>
        <v xml:space="preserve"> </v>
      </c>
      <c r="Q492" s="4" t="str">
        <f ca="1">IF(OR(INDEX($AG$2:$AG$1001,MATCH(ROWS($AF$2:AF492),$AF$2:$AF$1001,0),1)&gt;=100000,INDEX($AM$1005:$BM$1005,1,MATCH(COLUMNS($AM$1006:BB1006),$AM$1006:$BM$1006,0))&gt;=100000), " ",IF(INDEX($AM$2:$BM$1001,MATCH(ROWS($AF$2:AF492),$AF$2:$AF$1001,0),MATCH(COLUMNS($AM$1006:BB1006),$AM$1006:$BM$1006,0)), HYPERLINK("#",""), HYPERLINK(CONCATENATE("#metadata!", ADDRESS(INDEX($AH$2:$AH$1001,MATCH(ROWS($AF$2:AF492),$AF$2:$AF$1001,0),0), INDEX($AM$1004:$BM$1004,1,MATCH(COLUMNS($AM$1006:BB1006),$AM$1006:$BM$1006,0)))),"Fix")))</f>
        <v xml:space="preserve"> </v>
      </c>
      <c r="R492" s="4" t="str">
        <f ca="1">IF(OR(INDEX($AG$2:$AG$1001,MATCH(ROWS($AF$2:AF492),$AF$2:$AF$1001,0),1)&gt;=100000,INDEX($AM$1005:$BM$1005,1,MATCH(COLUMNS($AM$1006:BC1006),$AM$1006:$BM$1006,0))&gt;=100000), " ",IF(INDEX($AM$2:$BM$1001,MATCH(ROWS($AF$2:AF492),$AF$2:$AF$1001,0),MATCH(COLUMNS($AM$1006:BC1006),$AM$1006:$BM$1006,0)), HYPERLINK("#",""), HYPERLINK(CONCATENATE("#metadata!", ADDRESS(INDEX($AH$2:$AH$1001,MATCH(ROWS($AF$2:AF492),$AF$2:$AF$1001,0),0), INDEX($AM$1004:$BM$1004,1,MATCH(COLUMNS($AM$1006:BC1006),$AM$1006:$BM$1006,0)))),"Fix")))</f>
        <v xml:space="preserve"> </v>
      </c>
      <c r="S492" s="4" t="str">
        <f ca="1">IF(OR(INDEX($AG$2:$AG$1001,MATCH(ROWS($AF$2:AF492),$AF$2:$AF$1001,0),1)&gt;=100000,INDEX($AM$1005:$BM$1005,1,MATCH(COLUMNS($AM$1006:BD1006),$AM$1006:$BM$1006,0))&gt;=100000), " ",IF(INDEX($AM$2:$BM$1001,MATCH(ROWS($AF$2:AF492),$AF$2:$AF$1001,0),MATCH(COLUMNS($AM$1006:BD1006),$AM$1006:$BM$1006,0)), HYPERLINK("#",""), HYPERLINK(CONCATENATE("#metadata!", ADDRESS(INDEX($AH$2:$AH$1001,MATCH(ROWS($AF$2:AF492),$AF$2:$AF$1001,0),0), INDEX($AM$1004:$BM$1004,1,MATCH(COLUMNS($AM$1006:BD1006),$AM$1006:$BM$1006,0)))),"Fix")))</f>
        <v xml:space="preserve"> </v>
      </c>
      <c r="T492" s="4" t="str">
        <f ca="1">IF(OR(INDEX($AG$2:$AG$1001,MATCH(ROWS($AF$2:AF492),$AF$2:$AF$1001,0),1)&gt;=100000,INDEX($AM$1005:$BM$1005,1,MATCH(COLUMNS($AM$1006:BE1006),$AM$1006:$BM$1006,0))&gt;=100000), " ",IF(INDEX($AM$2:$BM$1001,MATCH(ROWS($AF$2:AF492),$AF$2:$AF$1001,0),MATCH(COLUMNS($AM$1006:BE1006),$AM$1006:$BM$1006,0)), HYPERLINK("#",""), HYPERLINK(CONCATENATE("#metadata!", ADDRESS(INDEX($AH$2:$AH$1001,MATCH(ROWS($AF$2:AF492),$AF$2:$AF$1001,0),0), INDEX($AM$1004:$BM$1004,1,MATCH(COLUMNS($AM$1006:BE1006),$AM$1006:$BM$1006,0)))),"Fix")))</f>
        <v xml:space="preserve"> </v>
      </c>
      <c r="U492" s="4" t="str">
        <f ca="1">IF(OR(INDEX($AG$2:$AG$1001,MATCH(ROWS($AF$2:AF492),$AF$2:$AF$1001,0),1)&gt;=100000,INDEX($AM$1005:$BM$1005,1,MATCH(COLUMNS($AM$1006:BF1006),$AM$1006:$BM$1006,0))&gt;=100000), " ",IF(INDEX($AM$2:$BM$1001,MATCH(ROWS($AF$2:AF492),$AF$2:$AF$1001,0),MATCH(COLUMNS($AM$1006:BF1006),$AM$1006:$BM$1006,0)), HYPERLINK("#",""), HYPERLINK(CONCATENATE("#metadata!", ADDRESS(INDEX($AH$2:$AH$1001,MATCH(ROWS($AF$2:AF492),$AF$2:$AF$1001,0),0), INDEX($AM$1004:$BM$1004,1,MATCH(COLUMNS($AM$1006:BF1006),$AM$1006:$BM$1006,0)))),"Fix")))</f>
        <v xml:space="preserve"> </v>
      </c>
      <c r="V492" s="4" t="str">
        <f ca="1">IF(OR(INDEX($AG$2:$AG$1001,MATCH(ROWS($AF$2:AF492),$AF$2:$AF$1001,0),1)&gt;=100000,INDEX($AM$1005:$BM$1005,1,MATCH(COLUMNS($AM$1006:BG1006),$AM$1006:$BM$1006,0))&gt;=100000), " ",IF(INDEX($AM$2:$BM$1001,MATCH(ROWS($AF$2:AF492),$AF$2:$AF$1001,0),MATCH(COLUMNS($AM$1006:BG1006),$AM$1006:$BM$1006,0)), HYPERLINK("#",""), HYPERLINK(CONCATENATE("#metadata!", ADDRESS(INDEX($AH$2:$AH$1001,MATCH(ROWS($AF$2:AF492),$AF$2:$AF$1001,0),0), INDEX($AM$1004:$BM$1004,1,MATCH(COLUMNS($AM$1006:BG1006),$AM$1006:$BM$1006,0)))),"Fix")))</f>
        <v xml:space="preserve"> </v>
      </c>
      <c r="W492" s="4" t="str">
        <f ca="1">IF(OR(INDEX($AG$2:$AG$1001,MATCH(ROWS($AF$2:AF492),$AF$2:$AF$1001,0),1)&gt;=100000,INDEX($AM$1005:$BM$1005,1,MATCH(COLUMNS($AM$1006:BH1006),$AM$1006:$BM$1006,0))&gt;=100000), " ",IF(INDEX($AM$2:$BM$1001,MATCH(ROWS($AF$2:AF492),$AF$2:$AF$1001,0),MATCH(COLUMNS($AM$1006:BH1006),$AM$1006:$BM$1006,0)), HYPERLINK("#",""), HYPERLINK(CONCATENATE("#metadata!", ADDRESS(INDEX($AH$2:$AH$1001,MATCH(ROWS($AF$2:AF492),$AF$2:$AF$1001,0),0), INDEX($AM$1004:$BM$1004,1,MATCH(COLUMNS($AM$1006:BH1006),$AM$1006:$BM$1006,0)))),"Fix")))</f>
        <v xml:space="preserve"> </v>
      </c>
      <c r="X492" s="4" t="str">
        <f ca="1">IF(OR(INDEX($AG$2:$AG$1001,MATCH(ROWS($AF$2:AF492),$AF$2:$AF$1001,0),1)&gt;=100000,INDEX($AM$1005:$BM$1005,1,MATCH(COLUMNS($AM$1006:BI1006),$AM$1006:$BM$1006,0))&gt;=100000), " ",IF(INDEX($AM$2:$BM$1001,MATCH(ROWS($AF$2:AF492),$AF$2:$AF$1001,0),MATCH(COLUMNS($AM$1006:BI1006),$AM$1006:$BM$1006,0)), HYPERLINK("#",""), HYPERLINK(CONCATENATE("#metadata!", ADDRESS(INDEX($AH$2:$AH$1001,MATCH(ROWS($AF$2:AF492),$AF$2:$AF$1001,0),0), INDEX($AM$1004:$BM$1004,1,MATCH(COLUMNS($AM$1006:BI1006),$AM$1006:$BM$1006,0)))),"Fix")))</f>
        <v xml:space="preserve"> </v>
      </c>
      <c r="Y492" s="4" t="str">
        <f ca="1">IF(OR(INDEX($AG$2:$AG$1001,MATCH(ROWS($AF$2:AF492),$AF$2:$AF$1001,0),1)&gt;=100000,INDEX($AM$1005:$BM$1005,1,MATCH(COLUMNS($AM$1006:BJ1006),$AM$1006:$BM$1006,0))&gt;=100000), " ",IF(INDEX($AM$2:$BM$1001,MATCH(ROWS($AF$2:AF492),$AF$2:$AF$1001,0),MATCH(COLUMNS($AM$1006:BJ1006),$AM$1006:$BM$1006,0)), HYPERLINK("#",""), HYPERLINK(CONCATENATE("#metadata!", ADDRESS(INDEX($AH$2:$AH$1001,MATCH(ROWS($AF$2:AF492),$AF$2:$AF$1001,0),0), INDEX($AM$1004:$BM$1004,1,MATCH(COLUMNS($AM$1006:BJ1006),$AM$1006:$BM$1006,0)))),"Fix")))</f>
        <v xml:space="preserve"> </v>
      </c>
      <c r="Z492" s="4" t="str">
        <f ca="1">IF(OR(INDEX($AG$2:$AG$1001,MATCH(ROWS($AF$2:AF492),$AF$2:$AF$1001,0),1)&gt;=100000,INDEX($AM$1005:$BM$1005,1,MATCH(COLUMNS($AM$1006:BK1006),$AM$1006:$BM$1006,0))&gt;=100000), " ",IF(INDEX($AM$2:$BM$1001,MATCH(ROWS($AF$2:AF492),$AF$2:$AF$1001,0),MATCH(COLUMNS($AM$1006:BK1006),$AM$1006:$BM$1006,0)), HYPERLINK("#",""), HYPERLINK(CONCATENATE("#metadata!", ADDRESS(INDEX($AH$2:$AH$1001,MATCH(ROWS($AF$2:AF492),$AF$2:$AF$1001,0),0), INDEX($AM$1004:$BM$1004,1,MATCH(COLUMNS($AM$1006:BK1006),$AM$1006:$BM$1006,0)))),"Fix")))</f>
        <v xml:space="preserve"> </v>
      </c>
      <c r="AA492" s="4" t="str">
        <f ca="1">IF(OR(INDEX($AG$2:$AG$1001,MATCH(ROWS($AF$2:AF492),$AF$2:$AF$1001,0),1)&gt;=100000,INDEX($AM$1005:$BM$1005,1,MATCH(COLUMNS($AM$1006:BL1006),$AM$1006:$BM$1006,0))&gt;=100000), " ",IF(INDEX($AM$2:$BM$1001,MATCH(ROWS($AF$2:AF492),$AF$2:$AF$1001,0),MATCH(COLUMNS($AM$1006:BL1006),$AM$1006:$BM$1006,0)), HYPERLINK("#",""), HYPERLINK(CONCATENATE("#metadata!", ADDRESS(INDEX($AH$2:$AH$1001,MATCH(ROWS($AF$2:AF492),$AF$2:$AF$1001,0),0), INDEX($AM$1004:$BM$1004,1,MATCH(COLUMNS($AM$1006:BL1006),$AM$1006:$BM$1006,0)))),"Fix")))</f>
        <v xml:space="preserve"> </v>
      </c>
      <c r="AB492" s="4" t="str">
        <f ca="1">IF(OR(INDEX($AG$2:$AG$1001,MATCH(ROWS($AF$2:AF492),$AF$2:$AF$1001,0),1)&gt;=100000,INDEX($AM$1005:$BM$1005,1,MATCH(COLUMNS($AM$1006:BM1006),$AM$1006:$BM$1006,0))&gt;=100000), " ",IF(INDEX($AM$2:$BM$1001,MATCH(ROWS($AF$2:AF492),$AF$2:$AF$1001,0),MATCH(COLUMNS($AM$1006:BM1006),$AM$1006:$BM$1006,0)), HYPERLINK("#",""), HYPERLINK(CONCATENATE("#metadata!", ADDRESS(INDEX($AH$2:$AH$1001,MATCH(ROWS($AF$2:AF492),$AF$2:$AF$1001,0),0), INDEX($AM$1004:$BM$1004,1,MATCH(COLUMNS($AM$1006:BM1006),$AM$1006:$BM$1006,0)))),"Fix")))</f>
        <v xml:space="preserve"> </v>
      </c>
      <c r="AF492">
        <v>491</v>
      </c>
      <c r="AG492">
        <v>100492</v>
      </c>
      <c r="AH492">
        <v>492</v>
      </c>
      <c r="AI492" t="b">
        <f t="shared" si="7"/>
        <v>1</v>
      </c>
      <c r="AJ492" t="b">
        <f>COUNTBLANK(metadata!B492:AB492)=COLUMNS(metadata!B492:AB492)</f>
        <v>1</v>
      </c>
      <c r="AK492" t="str">
        <v/>
      </c>
      <c r="AM492" t="b">
        <f ca="1">AND(IF(metadata!B492="",FALSE,TRUE),COUNTIF(metadata!B:B, metadata!B492) = 1,NOT(ISERROR(SUMPRODUCT(SEARCH(MID(metadata!B492,ROW(INDIRECT("1:"&amp;LEN(metadata!B492))), 1),"0123456789abcdefghijklmnopqrstuvwxyzABCDEFGHIJKLMNOPQRSTUVWXYZ.")))))</f>
        <v>0</v>
      </c>
      <c r="AN492" t="b">
        <f ca="1">OR(AND(IF(metadata!C492="",FALSE,TRUE),OR(EXACT(metadata!C492,"missing: not collected"),EXACT(metadata!C492,"missing: not provided"),EXACT(metadata!C492,"missing: restricted access"))),AND(IF(metadata!C492="",FALSE,TRUE),AND(AND(IFERROR(INT(LEFT(metadata!C492,4))&gt;1900,FALSE),IFERROR(INT(LEFT(metadata!C492,4))&lt;=YEAR(NOW()),FALSE)), OR(MID(metadata!C492,5,1)="", AND(AND(MID(metadata!C492,5,1)="-",IFERROR(INT(MID(metadata!C492,6,1))&gt;=0,FALSE),IFERROR(INT(MID(metadata!C492,6,1))&lt;=1,FALSE),NOT(MID(metadata!C492,7,1)=""),IFERROR(INT(MID(metadata!C492,6,2))&gt;=1,FALSE),IFERROR(INT(MID(metadata!C492,6,2))&lt;=12,FALSE)), OR(MID(metadata!C492,8,1)="", AND(AND(MID(metadata!C492,8,1)="-",IFERROR(INT(MID(metadata!C492,9,1))&gt;=0,FALSE),IFERROR(INT(MID(metadata!C492,9,1))&lt;=3,FALSE),NOT(MID(metadata!C492,10,1)=""),IFERROR(INT(MID(metadata!C492,9,2))&gt;=1,FALSE),IFERROR(INT(MID(metadata!C492,9,2))&lt;=31,FALSE)), OR(MID(metadata!C492,11,1)="", AND(AND(MID(metadata!C492,11,1)=" ",IFERROR(INT(MID(metadata!C492,12,1))&gt;=0,FALSE),IFERROR(INT(MID(metadata!C492,12,1))&lt;=2,FALSE),NOT(MID(metadata!C492,13,1)=""),IFERROR(INT(MID(metadata!C492,12,2))&gt;=0,FALSE),IFERROR(INT(MID(metadata!C492,12,2))&lt;=23,FALSE)), OR(MID(metadata!C492,14,1)="", AND(AND(MID(metadata!C492,14,1)=":",IFERROR(INT(MID(metadata!C492,15,1))&gt;=0,FALSE),IFERROR(INT(MID(metadata!C492,15,1))&lt;=5,FALSE),NOT(MID(metadata!C492,16,1)=""),IFERROR(INT(MID(metadata!C492,15,2))&gt;=0,FALSE),IFERROR(INT(MID(metadata!C492,15,2))&lt;=59,FALSE)), OR(MID(metadata!C492,17,1)="", AND(AND(MID(metadata!C492,17,1)=":",IFERROR(INT(MID(metadata!C492,18,1))&gt;=0,FALSE),IFERROR(INT(MID(metadata!C492,18,1))&lt;=5,FALSE),NOT(MID(metadata!C492,19,1)=""),IFERROR(INT(MID(metadata!C492,18,2))&gt;=0,FALSE),IFERROR(INT(MID(metadata!C492,18,2))&lt;=59,FALSE)), LEN(metadata!C492)&lt;=19)))))))))))))</f>
        <v>0</v>
      </c>
      <c r="AO492" t="b">
        <f>AND(IF(metadata!D492="",FALSE,TRUE),EXACT(metadata!D492,"Not applicable"))</f>
        <v>0</v>
      </c>
      <c r="AP492" t="b">
        <f>IF(metadata!E492="",FALSE,TRUE)</f>
        <v>0</v>
      </c>
      <c r="AQ492" t="b">
        <f>OR(AND(IF(metadata!F492="",FALSE,TRUE),OR(EXACT(metadata!F492,"missing: not collected"),EXACT(metadata!F492,"missing: not provided"))),AND(IF(metadata!F492="",FALSE,TRUE),OR(EXACT(metadata!F492,"TRUE"),EXACT(metadata!F492,"FALSE"))))</f>
        <v>0</v>
      </c>
      <c r="AR492" t="b">
        <f>OR(AND(IF(metadata!G492="",FALSE,TRUE),OR(EXACT(metadata!G492,"missing: not collected"),EXACT(metadata!G492,"missing: not provided"),EXACT(metadata!G492,"missing: restricted access"))),AND(IF(metadata!G492="",FALSE,ISNUMBER(VALUE(metadata!G492))),metadata!G492&gt;=-413))</f>
        <v>0</v>
      </c>
      <c r="AS492" t="b">
        <f>AND(IF(metadata!H492="",FALSE,TRUE),EXACT(metadata!H492,"meters"))</f>
        <v>0</v>
      </c>
      <c r="AT492" t="b">
        <f>AND(IF(metadata!I492="",FALSE,TRUE),OR(EXACT(metadata!I492,"Host-associated"),EXACT(metadata!I492,"Free-living")))</f>
        <v>0</v>
      </c>
      <c r="AU492" t="b">
        <f>AND(IF(metadata!J492="",FALSE,TRUE),OR(EXACT(metadata!J492,"Animal"),EXACT(metadata!J492,"Fungus"),EXACT(metadata!J492,"Plant"),EXACT(metadata!J492,"Saline"),EXACT(metadata!J492,"Non-saline")))</f>
        <v>0</v>
      </c>
      <c r="AV492" t="b">
        <f>AND(IF(metadata!K492="",FALSE,TRUE),OR(EXACT(metadata!K492,"Plant secretion"),EXACT(metadata!K492,"Plant rhizosphere"),EXACT(metadata!K492,"Plant surface"),EXACT(metadata!K492,"Plant corpus"),EXACT(metadata!K492,"Fungus surface"),EXACT(metadata!K492,"Fungus corpus"),EXACT(metadata!K492,"Animal surface"),EXACT(metadata!K492,"Animal proximal gut"),EXACT(metadata!K492,"Animal corpus"),EXACT(metadata!K492,"Animal distal gut"),EXACT(metadata!K492,"Animal secretion"),EXACT(metadata!K492,"Sub-surface (non-saline)"),EXACT(metadata!K492,"Surface (non-saline)"),EXACT(metadata!K492,"Water (non-saline)"),EXACT(metadata!K492,"Soil (non-saline)"),EXACT(metadata!K492,"Aerosol (non-saline)"),EXACT(metadata!K492,"Sediment (non-saline)"),EXACT(metadata!K492,"Surface (saline)"),EXACT(metadata!K492,"Water (saline)"),EXACT(metadata!K492,"Hypersaline (saline)"),EXACT(metadata!K492,"Aerosol (saline)"),EXACT(metadata!K492,"Sediment (saline)")))</f>
        <v>0</v>
      </c>
      <c r="AW492" t="b">
        <f>IF(metadata!L492="",FALSE,TRUE)</f>
        <v>0</v>
      </c>
      <c r="AX492" t="b">
        <f>IF(metadata!M492="",FALSE,TRUE)</f>
        <v>0</v>
      </c>
      <c r="AY492" t="b">
        <f>IF(metadata!N492="",FALSE,TRUE)</f>
        <v>0</v>
      </c>
      <c r="AZ492" t="b">
        <f>OR(AND(IF(metadata!O492="",FALSE,TRUE),OR(EXACT(metadata!O492,"missing: not collected"),EXACT(metadata!O492,"missing: not provided"),EXACT(metadata!O492,"missing: restricted access"))),AND(IF(metadata!O492="",FALSE,TRUE),OR(EXACT(metadata!O492,"air"),EXACT(metadata!O492,"built environment"),EXACT(metadata!O492,"host-associated"),EXACT(metadata!O492,"human-associated"),EXACT(metadata!O492,"human-skin"),EXACT(metadata!O492,"human-oral"),EXACT(metadata!O492,"human-gut"),EXACT(metadata!O492,"human-vaginal"),EXACT(metadata!O492,"microbial mat/biofilm"),EXACT(metadata!O492,"misc environment"),EXACT(metadata!O492,"plant-associated"),EXACT(metadata!O492,"sediment"),EXACT(metadata!O492,"soil"),EXACT(metadata!O492,"wastewater/sludge"),EXACT(metadata!O492,"water"))))</f>
        <v>0</v>
      </c>
      <c r="BA492" t="b">
        <f>IF(metadata!P492="",FALSE,TRUE)</f>
        <v>0</v>
      </c>
      <c r="BB492" t="b">
        <f>IF(metadata!Q492="",FALSE,TRUE)</f>
        <v>0</v>
      </c>
      <c r="BC492" t="b">
        <f>OR(AND(IF(metadata!R492="",FALSE,TRUE),OR(EXACT(metadata!R492,"missing: not collected"),EXACT(metadata!R492,"missing: not provided"),EXACT(metadata!R492,"missing: restricted access"))),AND(IF(metadata!R492="",FALSE,ISNUMBER(VALUE(metadata!R492))),metadata!R492&gt;=-90,metadata!R492&lt;=90))</f>
        <v>0</v>
      </c>
      <c r="BD492" t="b">
        <f>AND(IF(metadata!S492="",FALSE,TRUE),EXACT(metadata!S492,"Decimal degrees"))</f>
        <v>0</v>
      </c>
      <c r="BE492" t="b">
        <f>OR(AND(IF(metadata!T492="",FALSE,TRUE),OR(EXACT(metadata!T492,"missing: not collected"),EXACT(metadata!T492,"missing: not provided"),EXACT(metadata!T492,"missing: restricted access"))),AND(IF(metadata!T492="",FALSE,ISNUMBER(VALUE(metadata!T492))),metadata!T492&gt;=-180,metadata!T492&lt;=180))</f>
        <v>0</v>
      </c>
      <c r="BF492" t="b">
        <f>AND(IF(metadata!U492="",FALSE,TRUE),EXACT(metadata!U492,"Decimal degrees"))</f>
        <v>0</v>
      </c>
      <c r="BG492" t="b">
        <f>IF(metadata!V492="",FALSE,TRUE)</f>
        <v>0</v>
      </c>
      <c r="BH492" t="b">
        <f>OR(AND(IF(metadata!W492="",FALSE,TRUE),OR(EXACT(metadata!W492,"missing: not collected"),EXACT(metadata!W492,"missing: not provided"),EXACT(metadata!W492,"missing: restricted access"))),AND(IF(metadata!W492="",FALSE,TRUE),OR(EXACT(metadata!W492,"TRUE"),EXACT(metadata!W492,"FALSE"))))</f>
        <v>0</v>
      </c>
      <c r="BI492" t="b">
        <f>AND(IF(metadata!X492="",FALSE,TRUE),EXACT(metadata!X492,"other"))</f>
        <v>0</v>
      </c>
      <c r="BJ492" t="b">
        <f>IF(metadata!Y492="",FALSE,TRUE)</f>
        <v>0</v>
      </c>
      <c r="BK492" t="b">
        <f>OR(AND(IF(metadata!Z492="",FALSE,TRUE),OR(EXACT(metadata!Z492,"missing: not collected"),EXACT(metadata!Z492,"missing: not provided"))),AND(IF(metadata!Z492="",FALSE,IF(ISERROR(INT(metadata!Z492)),FALSE,INT(metadata!Z492)=metadata!Z492)),metadata!Z492&gt;0))</f>
        <v>0</v>
      </c>
      <c r="BL492" t="b">
        <f>AND(IF(metadata!AA492="",FALSE,TRUE),EXACT(metadata!AA492,"Not applicable"))</f>
        <v>0</v>
      </c>
      <c r="BM492" t="b">
        <f>IF(metadata!AB492="",FALSE,TRUE)</f>
        <v>0</v>
      </c>
    </row>
    <row r="493" spans="1:65" x14ac:dyDescent="0.2">
      <c r="A493" s="5" t="str">
        <f ca="1">IF(B493=" "," ",HYPERLINK(CONCATENATE("#metadata!",ADDRESS(INDEX($AH$2:$AH$1001,MATCH(ROWS($AF$2:AF493),$AF$2:$AF$1001,0),0),1)),INDEX($AK$2:$AK$1001,MATCH(ROWS($AF$2:AF493),$AF$2:$AF$1001,0),0)))</f>
        <v xml:space="preserve"> </v>
      </c>
      <c r="B493" s="4" t="str">
        <f ca="1">IF(OR(INDEX($AG$2:$AG$1001,MATCH(ROWS($AF$2:AF493),$AF$2:$AF$1001,0),1)&gt;=100000,INDEX($AM$1005:$BM$1005,1,MATCH(COLUMNS($AM$1006:AM1006),$AM$1006:$BM$1006,0))&gt;=100000), " ",IF(INDEX($AM$2:$BM$1001,MATCH(ROWS($AF$2:AF493),$AF$2:$AF$1001,0),MATCH(COLUMNS($AM$1006:AM1006),$AM$1006:$BM$1006,0)), HYPERLINK("#",""), HYPERLINK(CONCATENATE("#metadata!", ADDRESS(INDEX($AH$2:$AH$1001,MATCH(ROWS($AF$2:AF493),$AF$2:$AF$1001,0),0), INDEX($AM$1004:$BM$1004,1,MATCH(COLUMNS($AM$1006:AM1006),$AM$1006:$BM$1006,0)))),"Fix")))</f>
        <v xml:space="preserve"> </v>
      </c>
      <c r="C493" s="4" t="str">
        <f ca="1">IF(OR(INDEX($AG$2:$AG$1001,MATCH(ROWS($AF$2:AF493),$AF$2:$AF$1001,0),1)&gt;=100000,INDEX($AM$1005:$BM$1005,1,MATCH(COLUMNS($AM$1006:AN1006),$AM$1006:$BM$1006,0))&gt;=100000), " ",IF(INDEX($AM$2:$BM$1001,MATCH(ROWS($AF$2:AF493),$AF$2:$AF$1001,0),MATCH(COLUMNS($AM$1006:AN1006),$AM$1006:$BM$1006,0)), HYPERLINK("#",""), HYPERLINK(CONCATENATE("#metadata!", ADDRESS(INDEX($AH$2:$AH$1001,MATCH(ROWS($AF$2:AF493),$AF$2:$AF$1001,0),0), INDEX($AM$1004:$BM$1004,1,MATCH(COLUMNS($AM$1006:AN1006),$AM$1006:$BM$1006,0)))),"Fix")))</f>
        <v xml:space="preserve"> </v>
      </c>
      <c r="D493" s="4" t="str">
        <f ca="1">IF(OR(INDEX($AG$2:$AG$1001,MATCH(ROWS($AF$2:AF493),$AF$2:$AF$1001,0),1)&gt;=100000,INDEX($AM$1005:$BM$1005,1,MATCH(COLUMNS($AM$1006:AO1006),$AM$1006:$BM$1006,0))&gt;=100000), " ",IF(INDEX($AM$2:$BM$1001,MATCH(ROWS($AF$2:AF493),$AF$2:$AF$1001,0),MATCH(COLUMNS($AM$1006:AO1006),$AM$1006:$BM$1006,0)), HYPERLINK("#",""), HYPERLINK(CONCATENATE("#metadata!", ADDRESS(INDEX($AH$2:$AH$1001,MATCH(ROWS($AF$2:AF493),$AF$2:$AF$1001,0),0), INDEX($AM$1004:$BM$1004,1,MATCH(COLUMNS($AM$1006:AO1006),$AM$1006:$BM$1006,0)))),"Fix")))</f>
        <v xml:space="preserve"> </v>
      </c>
      <c r="E493" s="4" t="str">
        <f ca="1">IF(OR(INDEX($AG$2:$AG$1001,MATCH(ROWS($AF$2:AF493),$AF$2:$AF$1001,0),1)&gt;=100000,INDEX($AM$1005:$BM$1005,1,MATCH(COLUMNS($AM$1006:AP1006),$AM$1006:$BM$1006,0))&gt;=100000), " ",IF(INDEX($AM$2:$BM$1001,MATCH(ROWS($AF$2:AF493),$AF$2:$AF$1001,0),MATCH(COLUMNS($AM$1006:AP1006),$AM$1006:$BM$1006,0)), HYPERLINK("#",""), HYPERLINK(CONCATENATE("#metadata!", ADDRESS(INDEX($AH$2:$AH$1001,MATCH(ROWS($AF$2:AF493),$AF$2:$AF$1001,0),0), INDEX($AM$1004:$BM$1004,1,MATCH(COLUMNS($AM$1006:AP1006),$AM$1006:$BM$1006,0)))),"Fix")))</f>
        <v xml:space="preserve"> </v>
      </c>
      <c r="F493" s="4" t="str">
        <f ca="1">IF(OR(INDEX($AG$2:$AG$1001,MATCH(ROWS($AF$2:AF493),$AF$2:$AF$1001,0),1)&gt;=100000,INDEX($AM$1005:$BM$1005,1,MATCH(COLUMNS($AM$1006:AQ1006),$AM$1006:$BM$1006,0))&gt;=100000), " ",IF(INDEX($AM$2:$BM$1001,MATCH(ROWS($AF$2:AF493),$AF$2:$AF$1001,0),MATCH(COLUMNS($AM$1006:AQ1006),$AM$1006:$BM$1006,0)), HYPERLINK("#",""), HYPERLINK(CONCATENATE("#metadata!", ADDRESS(INDEX($AH$2:$AH$1001,MATCH(ROWS($AF$2:AF493),$AF$2:$AF$1001,0),0), INDEX($AM$1004:$BM$1004,1,MATCH(COLUMNS($AM$1006:AQ1006),$AM$1006:$BM$1006,0)))),"Fix")))</f>
        <v xml:space="preserve"> </v>
      </c>
      <c r="G493" s="4" t="str">
        <f ca="1">IF(OR(INDEX($AG$2:$AG$1001,MATCH(ROWS($AF$2:AF493),$AF$2:$AF$1001,0),1)&gt;=100000,INDEX($AM$1005:$BM$1005,1,MATCH(COLUMNS($AM$1006:AR1006),$AM$1006:$BM$1006,0))&gt;=100000), " ",IF(INDEX($AM$2:$BM$1001,MATCH(ROWS($AF$2:AF493),$AF$2:$AF$1001,0),MATCH(COLUMNS($AM$1006:AR1006),$AM$1006:$BM$1006,0)), HYPERLINK("#",""), HYPERLINK(CONCATENATE("#metadata!", ADDRESS(INDEX($AH$2:$AH$1001,MATCH(ROWS($AF$2:AF493),$AF$2:$AF$1001,0),0), INDEX($AM$1004:$BM$1004,1,MATCH(COLUMNS($AM$1006:AR1006),$AM$1006:$BM$1006,0)))),"Fix")))</f>
        <v xml:space="preserve"> </v>
      </c>
      <c r="H493" s="4" t="str">
        <f ca="1">IF(OR(INDEX($AG$2:$AG$1001,MATCH(ROWS($AF$2:AF493),$AF$2:$AF$1001,0),1)&gt;=100000,INDEX($AM$1005:$BM$1005,1,MATCH(COLUMNS($AM$1006:AS1006),$AM$1006:$BM$1006,0))&gt;=100000), " ",IF(INDEX($AM$2:$BM$1001,MATCH(ROWS($AF$2:AF493),$AF$2:$AF$1001,0),MATCH(COLUMNS($AM$1006:AS1006),$AM$1006:$BM$1006,0)), HYPERLINK("#",""), HYPERLINK(CONCATENATE("#metadata!", ADDRESS(INDEX($AH$2:$AH$1001,MATCH(ROWS($AF$2:AF493),$AF$2:$AF$1001,0),0), INDEX($AM$1004:$BM$1004,1,MATCH(COLUMNS($AM$1006:AS1006),$AM$1006:$BM$1006,0)))),"Fix")))</f>
        <v xml:space="preserve"> </v>
      </c>
      <c r="I493" s="4" t="str">
        <f ca="1">IF(OR(INDEX($AG$2:$AG$1001,MATCH(ROWS($AF$2:AF493),$AF$2:$AF$1001,0),1)&gt;=100000,INDEX($AM$1005:$BM$1005,1,MATCH(COLUMNS($AM$1006:AT1006),$AM$1006:$BM$1006,0))&gt;=100000), " ",IF(INDEX($AM$2:$BM$1001,MATCH(ROWS($AF$2:AF493),$AF$2:$AF$1001,0),MATCH(COLUMNS($AM$1006:AT1006),$AM$1006:$BM$1006,0)), HYPERLINK("#",""), HYPERLINK(CONCATENATE("#metadata!", ADDRESS(INDEX($AH$2:$AH$1001,MATCH(ROWS($AF$2:AF493),$AF$2:$AF$1001,0),0), INDEX($AM$1004:$BM$1004,1,MATCH(COLUMNS($AM$1006:AT1006),$AM$1006:$BM$1006,0)))),"Fix")))</f>
        <v xml:space="preserve"> </v>
      </c>
      <c r="J493" s="4" t="str">
        <f ca="1">IF(OR(INDEX($AG$2:$AG$1001,MATCH(ROWS($AF$2:AF493),$AF$2:$AF$1001,0),1)&gt;=100000,INDEX($AM$1005:$BM$1005,1,MATCH(COLUMNS($AM$1006:AU1006),$AM$1006:$BM$1006,0))&gt;=100000), " ",IF(INDEX($AM$2:$BM$1001,MATCH(ROWS($AF$2:AF493),$AF$2:$AF$1001,0),MATCH(COLUMNS($AM$1006:AU1006),$AM$1006:$BM$1006,0)), HYPERLINK("#",""), HYPERLINK(CONCATENATE("#metadata!", ADDRESS(INDEX($AH$2:$AH$1001,MATCH(ROWS($AF$2:AF493),$AF$2:$AF$1001,0),0), INDEX($AM$1004:$BM$1004,1,MATCH(COLUMNS($AM$1006:AU1006),$AM$1006:$BM$1006,0)))),"Fix")))</f>
        <v xml:space="preserve"> </v>
      </c>
      <c r="K493" s="4" t="str">
        <f ca="1">IF(OR(INDEX($AG$2:$AG$1001,MATCH(ROWS($AF$2:AF493),$AF$2:$AF$1001,0),1)&gt;=100000,INDEX($AM$1005:$BM$1005,1,MATCH(COLUMNS($AM$1006:AV1006),$AM$1006:$BM$1006,0))&gt;=100000), " ",IF(INDEX($AM$2:$BM$1001,MATCH(ROWS($AF$2:AF493),$AF$2:$AF$1001,0),MATCH(COLUMNS($AM$1006:AV1006),$AM$1006:$BM$1006,0)), HYPERLINK("#",""), HYPERLINK(CONCATENATE("#metadata!", ADDRESS(INDEX($AH$2:$AH$1001,MATCH(ROWS($AF$2:AF493),$AF$2:$AF$1001,0),0), INDEX($AM$1004:$BM$1004,1,MATCH(COLUMNS($AM$1006:AV1006),$AM$1006:$BM$1006,0)))),"Fix")))</f>
        <v xml:space="preserve"> </v>
      </c>
      <c r="L493" s="4" t="str">
        <f ca="1">IF(OR(INDEX($AG$2:$AG$1001,MATCH(ROWS($AF$2:AF493),$AF$2:$AF$1001,0),1)&gt;=100000,INDEX($AM$1005:$BM$1005,1,MATCH(COLUMNS($AM$1006:AW1006),$AM$1006:$BM$1006,0))&gt;=100000), " ",IF(INDEX($AM$2:$BM$1001,MATCH(ROWS($AF$2:AF493),$AF$2:$AF$1001,0),MATCH(COLUMNS($AM$1006:AW1006),$AM$1006:$BM$1006,0)), HYPERLINK("#",""), HYPERLINK(CONCATENATE("#metadata!", ADDRESS(INDEX($AH$2:$AH$1001,MATCH(ROWS($AF$2:AF493),$AF$2:$AF$1001,0),0), INDEX($AM$1004:$BM$1004,1,MATCH(COLUMNS($AM$1006:AW1006),$AM$1006:$BM$1006,0)))),"Fix")))</f>
        <v xml:space="preserve"> </v>
      </c>
      <c r="M493" s="4" t="str">
        <f ca="1">IF(OR(INDEX($AG$2:$AG$1001,MATCH(ROWS($AF$2:AF493),$AF$2:$AF$1001,0),1)&gt;=100000,INDEX($AM$1005:$BM$1005,1,MATCH(COLUMNS($AM$1006:AX1006),$AM$1006:$BM$1006,0))&gt;=100000), " ",IF(INDEX($AM$2:$BM$1001,MATCH(ROWS($AF$2:AF493),$AF$2:$AF$1001,0),MATCH(COLUMNS($AM$1006:AX1006),$AM$1006:$BM$1006,0)), HYPERLINK("#",""), HYPERLINK(CONCATENATE("#metadata!", ADDRESS(INDEX($AH$2:$AH$1001,MATCH(ROWS($AF$2:AF493),$AF$2:$AF$1001,0),0), INDEX($AM$1004:$BM$1004,1,MATCH(COLUMNS($AM$1006:AX1006),$AM$1006:$BM$1006,0)))),"Fix")))</f>
        <v xml:space="preserve"> </v>
      </c>
      <c r="N493" s="4" t="str">
        <f ca="1">IF(OR(INDEX($AG$2:$AG$1001,MATCH(ROWS($AF$2:AF493),$AF$2:$AF$1001,0),1)&gt;=100000,INDEX($AM$1005:$BM$1005,1,MATCH(COLUMNS($AM$1006:AY1006),$AM$1006:$BM$1006,0))&gt;=100000), " ",IF(INDEX($AM$2:$BM$1001,MATCH(ROWS($AF$2:AF493),$AF$2:$AF$1001,0),MATCH(COLUMNS($AM$1006:AY1006),$AM$1006:$BM$1006,0)), HYPERLINK("#",""), HYPERLINK(CONCATENATE("#metadata!", ADDRESS(INDEX($AH$2:$AH$1001,MATCH(ROWS($AF$2:AF493),$AF$2:$AF$1001,0),0), INDEX($AM$1004:$BM$1004,1,MATCH(COLUMNS($AM$1006:AY1006),$AM$1006:$BM$1006,0)))),"Fix")))</f>
        <v xml:space="preserve"> </v>
      </c>
      <c r="O493" s="4" t="str">
        <f ca="1">IF(OR(INDEX($AG$2:$AG$1001,MATCH(ROWS($AF$2:AF493),$AF$2:$AF$1001,0),1)&gt;=100000,INDEX($AM$1005:$BM$1005,1,MATCH(COLUMNS($AM$1006:AZ1006),$AM$1006:$BM$1006,0))&gt;=100000), " ",IF(INDEX($AM$2:$BM$1001,MATCH(ROWS($AF$2:AF493),$AF$2:$AF$1001,0),MATCH(COLUMNS($AM$1006:AZ1006),$AM$1006:$BM$1006,0)), HYPERLINK("#",""), HYPERLINK(CONCATENATE("#metadata!", ADDRESS(INDEX($AH$2:$AH$1001,MATCH(ROWS($AF$2:AF493),$AF$2:$AF$1001,0),0), INDEX($AM$1004:$BM$1004,1,MATCH(COLUMNS($AM$1006:AZ1006),$AM$1006:$BM$1006,0)))),"Fix")))</f>
        <v xml:space="preserve"> </v>
      </c>
      <c r="P493" s="4" t="str">
        <f ca="1">IF(OR(INDEX($AG$2:$AG$1001,MATCH(ROWS($AF$2:AF493),$AF$2:$AF$1001,0),1)&gt;=100000,INDEX($AM$1005:$BM$1005,1,MATCH(COLUMNS($AM$1006:BA1006),$AM$1006:$BM$1006,0))&gt;=100000), " ",IF(INDEX($AM$2:$BM$1001,MATCH(ROWS($AF$2:AF493),$AF$2:$AF$1001,0),MATCH(COLUMNS($AM$1006:BA1006),$AM$1006:$BM$1006,0)), HYPERLINK("#",""), HYPERLINK(CONCATENATE("#metadata!", ADDRESS(INDEX($AH$2:$AH$1001,MATCH(ROWS($AF$2:AF493),$AF$2:$AF$1001,0),0), INDEX($AM$1004:$BM$1004,1,MATCH(COLUMNS($AM$1006:BA1006),$AM$1006:$BM$1006,0)))),"Fix")))</f>
        <v xml:space="preserve"> </v>
      </c>
      <c r="Q493" s="4" t="str">
        <f ca="1">IF(OR(INDEX($AG$2:$AG$1001,MATCH(ROWS($AF$2:AF493),$AF$2:$AF$1001,0),1)&gt;=100000,INDEX($AM$1005:$BM$1005,1,MATCH(COLUMNS($AM$1006:BB1006),$AM$1006:$BM$1006,0))&gt;=100000), " ",IF(INDEX($AM$2:$BM$1001,MATCH(ROWS($AF$2:AF493),$AF$2:$AF$1001,0),MATCH(COLUMNS($AM$1006:BB1006),$AM$1006:$BM$1006,0)), HYPERLINK("#",""), HYPERLINK(CONCATENATE("#metadata!", ADDRESS(INDEX($AH$2:$AH$1001,MATCH(ROWS($AF$2:AF493),$AF$2:$AF$1001,0),0), INDEX($AM$1004:$BM$1004,1,MATCH(COLUMNS($AM$1006:BB1006),$AM$1006:$BM$1006,0)))),"Fix")))</f>
        <v xml:space="preserve"> </v>
      </c>
      <c r="R493" s="4" t="str">
        <f ca="1">IF(OR(INDEX($AG$2:$AG$1001,MATCH(ROWS($AF$2:AF493),$AF$2:$AF$1001,0),1)&gt;=100000,INDEX($AM$1005:$BM$1005,1,MATCH(COLUMNS($AM$1006:BC1006),$AM$1006:$BM$1006,0))&gt;=100000), " ",IF(INDEX($AM$2:$BM$1001,MATCH(ROWS($AF$2:AF493),$AF$2:$AF$1001,0),MATCH(COLUMNS($AM$1006:BC1006),$AM$1006:$BM$1006,0)), HYPERLINK("#",""), HYPERLINK(CONCATENATE("#metadata!", ADDRESS(INDEX($AH$2:$AH$1001,MATCH(ROWS($AF$2:AF493),$AF$2:$AF$1001,0),0), INDEX($AM$1004:$BM$1004,1,MATCH(COLUMNS($AM$1006:BC1006),$AM$1006:$BM$1006,0)))),"Fix")))</f>
        <v xml:space="preserve"> </v>
      </c>
      <c r="S493" s="4" t="str">
        <f ca="1">IF(OR(INDEX($AG$2:$AG$1001,MATCH(ROWS($AF$2:AF493),$AF$2:$AF$1001,0),1)&gt;=100000,INDEX($AM$1005:$BM$1005,1,MATCH(COLUMNS($AM$1006:BD1006),$AM$1006:$BM$1006,0))&gt;=100000), " ",IF(INDEX($AM$2:$BM$1001,MATCH(ROWS($AF$2:AF493),$AF$2:$AF$1001,0),MATCH(COLUMNS($AM$1006:BD1006),$AM$1006:$BM$1006,0)), HYPERLINK("#",""), HYPERLINK(CONCATENATE("#metadata!", ADDRESS(INDEX($AH$2:$AH$1001,MATCH(ROWS($AF$2:AF493),$AF$2:$AF$1001,0),0), INDEX($AM$1004:$BM$1004,1,MATCH(COLUMNS($AM$1006:BD1006),$AM$1006:$BM$1006,0)))),"Fix")))</f>
        <v xml:space="preserve"> </v>
      </c>
      <c r="T493" s="4" t="str">
        <f ca="1">IF(OR(INDEX($AG$2:$AG$1001,MATCH(ROWS($AF$2:AF493),$AF$2:$AF$1001,0),1)&gt;=100000,INDEX($AM$1005:$BM$1005,1,MATCH(COLUMNS($AM$1006:BE1006),$AM$1006:$BM$1006,0))&gt;=100000), " ",IF(INDEX($AM$2:$BM$1001,MATCH(ROWS($AF$2:AF493),$AF$2:$AF$1001,0),MATCH(COLUMNS($AM$1006:BE1006),$AM$1006:$BM$1006,0)), HYPERLINK("#",""), HYPERLINK(CONCATENATE("#metadata!", ADDRESS(INDEX($AH$2:$AH$1001,MATCH(ROWS($AF$2:AF493),$AF$2:$AF$1001,0),0), INDEX($AM$1004:$BM$1004,1,MATCH(COLUMNS($AM$1006:BE1006),$AM$1006:$BM$1006,0)))),"Fix")))</f>
        <v xml:space="preserve"> </v>
      </c>
      <c r="U493" s="4" t="str">
        <f ca="1">IF(OR(INDEX($AG$2:$AG$1001,MATCH(ROWS($AF$2:AF493),$AF$2:$AF$1001,0),1)&gt;=100000,INDEX($AM$1005:$BM$1005,1,MATCH(COLUMNS($AM$1006:BF1006),$AM$1006:$BM$1006,0))&gt;=100000), " ",IF(INDEX($AM$2:$BM$1001,MATCH(ROWS($AF$2:AF493),$AF$2:$AF$1001,0),MATCH(COLUMNS($AM$1006:BF1006),$AM$1006:$BM$1006,0)), HYPERLINK("#",""), HYPERLINK(CONCATENATE("#metadata!", ADDRESS(INDEX($AH$2:$AH$1001,MATCH(ROWS($AF$2:AF493),$AF$2:$AF$1001,0),0), INDEX($AM$1004:$BM$1004,1,MATCH(COLUMNS($AM$1006:BF1006),$AM$1006:$BM$1006,0)))),"Fix")))</f>
        <v xml:space="preserve"> </v>
      </c>
      <c r="V493" s="4" t="str">
        <f ca="1">IF(OR(INDEX($AG$2:$AG$1001,MATCH(ROWS($AF$2:AF493),$AF$2:$AF$1001,0),1)&gt;=100000,INDEX($AM$1005:$BM$1005,1,MATCH(COLUMNS($AM$1006:BG1006),$AM$1006:$BM$1006,0))&gt;=100000), " ",IF(INDEX($AM$2:$BM$1001,MATCH(ROWS($AF$2:AF493),$AF$2:$AF$1001,0),MATCH(COLUMNS($AM$1006:BG1006),$AM$1006:$BM$1006,0)), HYPERLINK("#",""), HYPERLINK(CONCATENATE("#metadata!", ADDRESS(INDEX($AH$2:$AH$1001,MATCH(ROWS($AF$2:AF493),$AF$2:$AF$1001,0),0), INDEX($AM$1004:$BM$1004,1,MATCH(COLUMNS($AM$1006:BG1006),$AM$1006:$BM$1006,0)))),"Fix")))</f>
        <v xml:space="preserve"> </v>
      </c>
      <c r="W493" s="4" t="str">
        <f ca="1">IF(OR(INDEX($AG$2:$AG$1001,MATCH(ROWS($AF$2:AF493),$AF$2:$AF$1001,0),1)&gt;=100000,INDEX($AM$1005:$BM$1005,1,MATCH(COLUMNS($AM$1006:BH1006),$AM$1006:$BM$1006,0))&gt;=100000), " ",IF(INDEX($AM$2:$BM$1001,MATCH(ROWS($AF$2:AF493),$AF$2:$AF$1001,0),MATCH(COLUMNS($AM$1006:BH1006),$AM$1006:$BM$1006,0)), HYPERLINK("#",""), HYPERLINK(CONCATENATE("#metadata!", ADDRESS(INDEX($AH$2:$AH$1001,MATCH(ROWS($AF$2:AF493),$AF$2:$AF$1001,0),0), INDEX($AM$1004:$BM$1004,1,MATCH(COLUMNS($AM$1006:BH1006),$AM$1006:$BM$1006,0)))),"Fix")))</f>
        <v xml:space="preserve"> </v>
      </c>
      <c r="X493" s="4" t="str">
        <f ca="1">IF(OR(INDEX($AG$2:$AG$1001,MATCH(ROWS($AF$2:AF493),$AF$2:$AF$1001,0),1)&gt;=100000,INDEX($AM$1005:$BM$1005,1,MATCH(COLUMNS($AM$1006:BI1006),$AM$1006:$BM$1006,0))&gt;=100000), " ",IF(INDEX($AM$2:$BM$1001,MATCH(ROWS($AF$2:AF493),$AF$2:$AF$1001,0),MATCH(COLUMNS($AM$1006:BI1006),$AM$1006:$BM$1006,0)), HYPERLINK("#",""), HYPERLINK(CONCATENATE("#metadata!", ADDRESS(INDEX($AH$2:$AH$1001,MATCH(ROWS($AF$2:AF493),$AF$2:$AF$1001,0),0), INDEX($AM$1004:$BM$1004,1,MATCH(COLUMNS($AM$1006:BI1006),$AM$1006:$BM$1006,0)))),"Fix")))</f>
        <v xml:space="preserve"> </v>
      </c>
      <c r="Y493" s="4" t="str">
        <f ca="1">IF(OR(INDEX($AG$2:$AG$1001,MATCH(ROWS($AF$2:AF493),$AF$2:$AF$1001,0),1)&gt;=100000,INDEX($AM$1005:$BM$1005,1,MATCH(COLUMNS($AM$1006:BJ1006),$AM$1006:$BM$1006,0))&gt;=100000), " ",IF(INDEX($AM$2:$BM$1001,MATCH(ROWS($AF$2:AF493),$AF$2:$AF$1001,0),MATCH(COLUMNS($AM$1006:BJ1006),$AM$1006:$BM$1006,0)), HYPERLINK("#",""), HYPERLINK(CONCATENATE("#metadata!", ADDRESS(INDEX($AH$2:$AH$1001,MATCH(ROWS($AF$2:AF493),$AF$2:$AF$1001,0),0), INDEX($AM$1004:$BM$1004,1,MATCH(COLUMNS($AM$1006:BJ1006),$AM$1006:$BM$1006,0)))),"Fix")))</f>
        <v xml:space="preserve"> </v>
      </c>
      <c r="Z493" s="4" t="str">
        <f ca="1">IF(OR(INDEX($AG$2:$AG$1001,MATCH(ROWS($AF$2:AF493),$AF$2:$AF$1001,0),1)&gt;=100000,INDEX($AM$1005:$BM$1005,1,MATCH(COLUMNS($AM$1006:BK1006),$AM$1006:$BM$1006,0))&gt;=100000), " ",IF(INDEX($AM$2:$BM$1001,MATCH(ROWS($AF$2:AF493),$AF$2:$AF$1001,0),MATCH(COLUMNS($AM$1006:BK1006),$AM$1006:$BM$1006,0)), HYPERLINK("#",""), HYPERLINK(CONCATENATE("#metadata!", ADDRESS(INDEX($AH$2:$AH$1001,MATCH(ROWS($AF$2:AF493),$AF$2:$AF$1001,0),0), INDEX($AM$1004:$BM$1004,1,MATCH(COLUMNS($AM$1006:BK1006),$AM$1006:$BM$1006,0)))),"Fix")))</f>
        <v xml:space="preserve"> </v>
      </c>
      <c r="AA493" s="4" t="str">
        <f ca="1">IF(OR(INDEX($AG$2:$AG$1001,MATCH(ROWS($AF$2:AF493),$AF$2:$AF$1001,0),1)&gt;=100000,INDEX($AM$1005:$BM$1005,1,MATCH(COLUMNS($AM$1006:BL1006),$AM$1006:$BM$1006,0))&gt;=100000), " ",IF(INDEX($AM$2:$BM$1001,MATCH(ROWS($AF$2:AF493),$AF$2:$AF$1001,0),MATCH(COLUMNS($AM$1006:BL1006),$AM$1006:$BM$1006,0)), HYPERLINK("#",""), HYPERLINK(CONCATENATE("#metadata!", ADDRESS(INDEX($AH$2:$AH$1001,MATCH(ROWS($AF$2:AF493),$AF$2:$AF$1001,0),0), INDEX($AM$1004:$BM$1004,1,MATCH(COLUMNS($AM$1006:BL1006),$AM$1006:$BM$1006,0)))),"Fix")))</f>
        <v xml:space="preserve"> </v>
      </c>
      <c r="AB493" s="4" t="str">
        <f ca="1">IF(OR(INDEX($AG$2:$AG$1001,MATCH(ROWS($AF$2:AF493),$AF$2:$AF$1001,0),1)&gt;=100000,INDEX($AM$1005:$BM$1005,1,MATCH(COLUMNS($AM$1006:BM1006),$AM$1006:$BM$1006,0))&gt;=100000), " ",IF(INDEX($AM$2:$BM$1001,MATCH(ROWS($AF$2:AF493),$AF$2:$AF$1001,0),MATCH(COLUMNS($AM$1006:BM1006),$AM$1006:$BM$1006,0)), HYPERLINK("#",""), HYPERLINK(CONCATENATE("#metadata!", ADDRESS(INDEX($AH$2:$AH$1001,MATCH(ROWS($AF$2:AF493),$AF$2:$AF$1001,0),0), INDEX($AM$1004:$BM$1004,1,MATCH(COLUMNS($AM$1006:BM1006),$AM$1006:$BM$1006,0)))),"Fix")))</f>
        <v xml:space="preserve"> </v>
      </c>
      <c r="AF493">
        <v>492</v>
      </c>
      <c r="AG493">
        <v>100493</v>
      </c>
      <c r="AH493">
        <v>493</v>
      </c>
      <c r="AI493" t="b">
        <f t="shared" si="7"/>
        <v>1</v>
      </c>
      <c r="AJ493" t="b">
        <f>COUNTBLANK(metadata!B493:AB493)=COLUMNS(metadata!B493:AB493)</f>
        <v>1</v>
      </c>
      <c r="AK493" t="str">
        <v/>
      </c>
      <c r="AM493" t="b">
        <f ca="1">AND(IF(metadata!B493="",FALSE,TRUE),COUNTIF(metadata!B:B, metadata!B493) = 1,NOT(ISERROR(SUMPRODUCT(SEARCH(MID(metadata!B493,ROW(INDIRECT("1:"&amp;LEN(metadata!B493))), 1),"0123456789abcdefghijklmnopqrstuvwxyzABCDEFGHIJKLMNOPQRSTUVWXYZ.")))))</f>
        <v>0</v>
      </c>
      <c r="AN493" t="b">
        <f ca="1">OR(AND(IF(metadata!C493="",FALSE,TRUE),OR(EXACT(metadata!C493,"missing: not collected"),EXACT(metadata!C493,"missing: not provided"),EXACT(metadata!C493,"missing: restricted access"))),AND(IF(metadata!C493="",FALSE,TRUE),AND(AND(IFERROR(INT(LEFT(metadata!C493,4))&gt;1900,FALSE),IFERROR(INT(LEFT(metadata!C493,4))&lt;=YEAR(NOW()),FALSE)), OR(MID(metadata!C493,5,1)="", AND(AND(MID(metadata!C493,5,1)="-",IFERROR(INT(MID(metadata!C493,6,1))&gt;=0,FALSE),IFERROR(INT(MID(metadata!C493,6,1))&lt;=1,FALSE),NOT(MID(metadata!C493,7,1)=""),IFERROR(INT(MID(metadata!C493,6,2))&gt;=1,FALSE),IFERROR(INT(MID(metadata!C493,6,2))&lt;=12,FALSE)), OR(MID(metadata!C493,8,1)="", AND(AND(MID(metadata!C493,8,1)="-",IFERROR(INT(MID(metadata!C493,9,1))&gt;=0,FALSE),IFERROR(INT(MID(metadata!C493,9,1))&lt;=3,FALSE),NOT(MID(metadata!C493,10,1)=""),IFERROR(INT(MID(metadata!C493,9,2))&gt;=1,FALSE),IFERROR(INT(MID(metadata!C493,9,2))&lt;=31,FALSE)), OR(MID(metadata!C493,11,1)="", AND(AND(MID(metadata!C493,11,1)=" ",IFERROR(INT(MID(metadata!C493,12,1))&gt;=0,FALSE),IFERROR(INT(MID(metadata!C493,12,1))&lt;=2,FALSE),NOT(MID(metadata!C493,13,1)=""),IFERROR(INT(MID(metadata!C493,12,2))&gt;=0,FALSE),IFERROR(INT(MID(metadata!C493,12,2))&lt;=23,FALSE)), OR(MID(metadata!C493,14,1)="", AND(AND(MID(metadata!C493,14,1)=":",IFERROR(INT(MID(metadata!C493,15,1))&gt;=0,FALSE),IFERROR(INT(MID(metadata!C493,15,1))&lt;=5,FALSE),NOT(MID(metadata!C493,16,1)=""),IFERROR(INT(MID(metadata!C493,15,2))&gt;=0,FALSE),IFERROR(INT(MID(metadata!C493,15,2))&lt;=59,FALSE)), OR(MID(metadata!C493,17,1)="", AND(AND(MID(metadata!C493,17,1)=":",IFERROR(INT(MID(metadata!C493,18,1))&gt;=0,FALSE),IFERROR(INT(MID(metadata!C493,18,1))&lt;=5,FALSE),NOT(MID(metadata!C493,19,1)=""),IFERROR(INT(MID(metadata!C493,18,2))&gt;=0,FALSE),IFERROR(INT(MID(metadata!C493,18,2))&lt;=59,FALSE)), LEN(metadata!C493)&lt;=19)))))))))))))</f>
        <v>0</v>
      </c>
      <c r="AO493" t="b">
        <f>AND(IF(metadata!D493="",FALSE,TRUE),EXACT(metadata!D493,"Not applicable"))</f>
        <v>0</v>
      </c>
      <c r="AP493" t="b">
        <f>IF(metadata!E493="",FALSE,TRUE)</f>
        <v>0</v>
      </c>
      <c r="AQ493" t="b">
        <f>OR(AND(IF(metadata!F493="",FALSE,TRUE),OR(EXACT(metadata!F493,"missing: not collected"),EXACT(metadata!F493,"missing: not provided"))),AND(IF(metadata!F493="",FALSE,TRUE),OR(EXACT(metadata!F493,"TRUE"),EXACT(metadata!F493,"FALSE"))))</f>
        <v>0</v>
      </c>
      <c r="AR493" t="b">
        <f>OR(AND(IF(metadata!G493="",FALSE,TRUE),OR(EXACT(metadata!G493,"missing: not collected"),EXACT(metadata!G493,"missing: not provided"),EXACT(metadata!G493,"missing: restricted access"))),AND(IF(metadata!G493="",FALSE,ISNUMBER(VALUE(metadata!G493))),metadata!G493&gt;=-413))</f>
        <v>0</v>
      </c>
      <c r="AS493" t="b">
        <f>AND(IF(metadata!H493="",FALSE,TRUE),EXACT(metadata!H493,"meters"))</f>
        <v>0</v>
      </c>
      <c r="AT493" t="b">
        <f>AND(IF(metadata!I493="",FALSE,TRUE),OR(EXACT(metadata!I493,"Host-associated"),EXACT(metadata!I493,"Free-living")))</f>
        <v>0</v>
      </c>
      <c r="AU493" t="b">
        <f>AND(IF(metadata!J493="",FALSE,TRUE),OR(EXACT(metadata!J493,"Animal"),EXACT(metadata!J493,"Fungus"),EXACT(metadata!J493,"Plant"),EXACT(metadata!J493,"Saline"),EXACT(metadata!J493,"Non-saline")))</f>
        <v>0</v>
      </c>
      <c r="AV493" t="b">
        <f>AND(IF(metadata!K493="",FALSE,TRUE),OR(EXACT(metadata!K493,"Plant secretion"),EXACT(metadata!K493,"Plant rhizosphere"),EXACT(metadata!K493,"Plant surface"),EXACT(metadata!K493,"Plant corpus"),EXACT(metadata!K493,"Fungus surface"),EXACT(metadata!K493,"Fungus corpus"),EXACT(metadata!K493,"Animal surface"),EXACT(metadata!K493,"Animal proximal gut"),EXACT(metadata!K493,"Animal corpus"),EXACT(metadata!K493,"Animal distal gut"),EXACT(metadata!K493,"Animal secretion"),EXACT(metadata!K493,"Sub-surface (non-saline)"),EXACT(metadata!K493,"Surface (non-saline)"),EXACT(metadata!K493,"Water (non-saline)"),EXACT(metadata!K493,"Soil (non-saline)"),EXACT(metadata!K493,"Aerosol (non-saline)"),EXACT(metadata!K493,"Sediment (non-saline)"),EXACT(metadata!K493,"Surface (saline)"),EXACT(metadata!K493,"Water (saline)"),EXACT(metadata!K493,"Hypersaline (saline)"),EXACT(metadata!K493,"Aerosol (saline)"),EXACT(metadata!K493,"Sediment (saline)")))</f>
        <v>0</v>
      </c>
      <c r="AW493" t="b">
        <f>IF(metadata!L493="",FALSE,TRUE)</f>
        <v>0</v>
      </c>
      <c r="AX493" t="b">
        <f>IF(metadata!M493="",FALSE,TRUE)</f>
        <v>0</v>
      </c>
      <c r="AY493" t="b">
        <f>IF(metadata!N493="",FALSE,TRUE)</f>
        <v>0</v>
      </c>
      <c r="AZ493" t="b">
        <f>OR(AND(IF(metadata!O493="",FALSE,TRUE),OR(EXACT(metadata!O493,"missing: not collected"),EXACT(metadata!O493,"missing: not provided"),EXACT(metadata!O493,"missing: restricted access"))),AND(IF(metadata!O493="",FALSE,TRUE),OR(EXACT(metadata!O493,"air"),EXACT(metadata!O493,"built environment"),EXACT(metadata!O493,"host-associated"),EXACT(metadata!O493,"human-associated"),EXACT(metadata!O493,"human-skin"),EXACT(metadata!O493,"human-oral"),EXACT(metadata!O493,"human-gut"),EXACT(metadata!O493,"human-vaginal"),EXACT(metadata!O493,"microbial mat/biofilm"),EXACT(metadata!O493,"misc environment"),EXACT(metadata!O493,"plant-associated"),EXACT(metadata!O493,"sediment"),EXACT(metadata!O493,"soil"),EXACT(metadata!O493,"wastewater/sludge"),EXACT(metadata!O493,"water"))))</f>
        <v>0</v>
      </c>
      <c r="BA493" t="b">
        <f>IF(metadata!P493="",FALSE,TRUE)</f>
        <v>0</v>
      </c>
      <c r="BB493" t="b">
        <f>IF(metadata!Q493="",FALSE,TRUE)</f>
        <v>0</v>
      </c>
      <c r="BC493" t="b">
        <f>OR(AND(IF(metadata!R493="",FALSE,TRUE),OR(EXACT(metadata!R493,"missing: not collected"),EXACT(metadata!R493,"missing: not provided"),EXACT(metadata!R493,"missing: restricted access"))),AND(IF(metadata!R493="",FALSE,ISNUMBER(VALUE(metadata!R493))),metadata!R493&gt;=-90,metadata!R493&lt;=90))</f>
        <v>0</v>
      </c>
      <c r="BD493" t="b">
        <f>AND(IF(metadata!S493="",FALSE,TRUE),EXACT(metadata!S493,"Decimal degrees"))</f>
        <v>0</v>
      </c>
      <c r="BE493" t="b">
        <f>OR(AND(IF(metadata!T493="",FALSE,TRUE),OR(EXACT(metadata!T493,"missing: not collected"),EXACT(metadata!T493,"missing: not provided"),EXACT(metadata!T493,"missing: restricted access"))),AND(IF(metadata!T493="",FALSE,ISNUMBER(VALUE(metadata!T493))),metadata!T493&gt;=-180,metadata!T493&lt;=180))</f>
        <v>0</v>
      </c>
      <c r="BF493" t="b">
        <f>AND(IF(metadata!U493="",FALSE,TRUE),EXACT(metadata!U493,"Decimal degrees"))</f>
        <v>0</v>
      </c>
      <c r="BG493" t="b">
        <f>IF(metadata!V493="",FALSE,TRUE)</f>
        <v>0</v>
      </c>
      <c r="BH493" t="b">
        <f>OR(AND(IF(metadata!W493="",FALSE,TRUE),OR(EXACT(metadata!W493,"missing: not collected"),EXACT(metadata!W493,"missing: not provided"),EXACT(metadata!W493,"missing: restricted access"))),AND(IF(metadata!W493="",FALSE,TRUE),OR(EXACT(metadata!W493,"TRUE"),EXACT(metadata!W493,"FALSE"))))</f>
        <v>0</v>
      </c>
      <c r="BI493" t="b">
        <f>AND(IF(metadata!X493="",FALSE,TRUE),EXACT(metadata!X493,"other"))</f>
        <v>0</v>
      </c>
      <c r="BJ493" t="b">
        <f>IF(metadata!Y493="",FALSE,TRUE)</f>
        <v>0</v>
      </c>
      <c r="BK493" t="b">
        <f>OR(AND(IF(metadata!Z493="",FALSE,TRUE),OR(EXACT(metadata!Z493,"missing: not collected"),EXACT(metadata!Z493,"missing: not provided"))),AND(IF(metadata!Z493="",FALSE,IF(ISERROR(INT(metadata!Z493)),FALSE,INT(metadata!Z493)=metadata!Z493)),metadata!Z493&gt;0))</f>
        <v>0</v>
      </c>
      <c r="BL493" t="b">
        <f>AND(IF(metadata!AA493="",FALSE,TRUE),EXACT(metadata!AA493,"Not applicable"))</f>
        <v>0</v>
      </c>
      <c r="BM493" t="b">
        <f>IF(metadata!AB493="",FALSE,TRUE)</f>
        <v>0</v>
      </c>
    </row>
    <row r="494" spans="1:65" x14ac:dyDescent="0.2">
      <c r="A494" s="5" t="str">
        <f ca="1">IF(B494=" "," ",HYPERLINK(CONCATENATE("#metadata!",ADDRESS(INDEX($AH$2:$AH$1001,MATCH(ROWS($AF$2:AF494),$AF$2:$AF$1001,0),0),1)),INDEX($AK$2:$AK$1001,MATCH(ROWS($AF$2:AF494),$AF$2:$AF$1001,0),0)))</f>
        <v xml:space="preserve"> </v>
      </c>
      <c r="B494" s="4" t="str">
        <f ca="1">IF(OR(INDEX($AG$2:$AG$1001,MATCH(ROWS($AF$2:AF494),$AF$2:$AF$1001,0),1)&gt;=100000,INDEX($AM$1005:$BM$1005,1,MATCH(COLUMNS($AM$1006:AM1006),$AM$1006:$BM$1006,0))&gt;=100000), " ",IF(INDEX($AM$2:$BM$1001,MATCH(ROWS($AF$2:AF494),$AF$2:$AF$1001,0),MATCH(COLUMNS($AM$1006:AM1006),$AM$1006:$BM$1006,0)), HYPERLINK("#",""), HYPERLINK(CONCATENATE("#metadata!", ADDRESS(INDEX($AH$2:$AH$1001,MATCH(ROWS($AF$2:AF494),$AF$2:$AF$1001,0),0), INDEX($AM$1004:$BM$1004,1,MATCH(COLUMNS($AM$1006:AM1006),$AM$1006:$BM$1006,0)))),"Fix")))</f>
        <v xml:space="preserve"> </v>
      </c>
      <c r="C494" s="4" t="str">
        <f ca="1">IF(OR(INDEX($AG$2:$AG$1001,MATCH(ROWS($AF$2:AF494),$AF$2:$AF$1001,0),1)&gt;=100000,INDEX($AM$1005:$BM$1005,1,MATCH(COLUMNS($AM$1006:AN1006),$AM$1006:$BM$1006,0))&gt;=100000), " ",IF(INDEX($AM$2:$BM$1001,MATCH(ROWS($AF$2:AF494),$AF$2:$AF$1001,0),MATCH(COLUMNS($AM$1006:AN1006),$AM$1006:$BM$1006,0)), HYPERLINK("#",""), HYPERLINK(CONCATENATE("#metadata!", ADDRESS(INDEX($AH$2:$AH$1001,MATCH(ROWS($AF$2:AF494),$AF$2:$AF$1001,0),0), INDEX($AM$1004:$BM$1004,1,MATCH(COLUMNS($AM$1006:AN1006),$AM$1006:$BM$1006,0)))),"Fix")))</f>
        <v xml:space="preserve"> </v>
      </c>
      <c r="D494" s="4" t="str">
        <f ca="1">IF(OR(INDEX($AG$2:$AG$1001,MATCH(ROWS($AF$2:AF494),$AF$2:$AF$1001,0),1)&gt;=100000,INDEX($AM$1005:$BM$1005,1,MATCH(COLUMNS($AM$1006:AO1006),$AM$1006:$BM$1006,0))&gt;=100000), " ",IF(INDEX($AM$2:$BM$1001,MATCH(ROWS($AF$2:AF494),$AF$2:$AF$1001,0),MATCH(COLUMNS($AM$1006:AO1006),$AM$1006:$BM$1006,0)), HYPERLINK("#",""), HYPERLINK(CONCATENATE("#metadata!", ADDRESS(INDEX($AH$2:$AH$1001,MATCH(ROWS($AF$2:AF494),$AF$2:$AF$1001,0),0), INDEX($AM$1004:$BM$1004,1,MATCH(COLUMNS($AM$1006:AO1006),$AM$1006:$BM$1006,0)))),"Fix")))</f>
        <v xml:space="preserve"> </v>
      </c>
      <c r="E494" s="4" t="str">
        <f ca="1">IF(OR(INDEX($AG$2:$AG$1001,MATCH(ROWS($AF$2:AF494),$AF$2:$AF$1001,0),1)&gt;=100000,INDEX($AM$1005:$BM$1005,1,MATCH(COLUMNS($AM$1006:AP1006),$AM$1006:$BM$1006,0))&gt;=100000), " ",IF(INDEX($AM$2:$BM$1001,MATCH(ROWS($AF$2:AF494),$AF$2:$AF$1001,0),MATCH(COLUMNS($AM$1006:AP1006),$AM$1006:$BM$1006,0)), HYPERLINK("#",""), HYPERLINK(CONCATENATE("#metadata!", ADDRESS(INDEX($AH$2:$AH$1001,MATCH(ROWS($AF$2:AF494),$AF$2:$AF$1001,0),0), INDEX($AM$1004:$BM$1004,1,MATCH(COLUMNS($AM$1006:AP1006),$AM$1006:$BM$1006,0)))),"Fix")))</f>
        <v xml:space="preserve"> </v>
      </c>
      <c r="F494" s="4" t="str">
        <f ca="1">IF(OR(INDEX($AG$2:$AG$1001,MATCH(ROWS($AF$2:AF494),$AF$2:$AF$1001,0),1)&gt;=100000,INDEX($AM$1005:$BM$1005,1,MATCH(COLUMNS($AM$1006:AQ1006),$AM$1006:$BM$1006,0))&gt;=100000), " ",IF(INDEX($AM$2:$BM$1001,MATCH(ROWS($AF$2:AF494),$AF$2:$AF$1001,0),MATCH(COLUMNS($AM$1006:AQ1006),$AM$1006:$BM$1006,0)), HYPERLINK("#",""), HYPERLINK(CONCATENATE("#metadata!", ADDRESS(INDEX($AH$2:$AH$1001,MATCH(ROWS($AF$2:AF494),$AF$2:$AF$1001,0),0), INDEX($AM$1004:$BM$1004,1,MATCH(COLUMNS($AM$1006:AQ1006),$AM$1006:$BM$1006,0)))),"Fix")))</f>
        <v xml:space="preserve"> </v>
      </c>
      <c r="G494" s="4" t="str">
        <f ca="1">IF(OR(INDEX($AG$2:$AG$1001,MATCH(ROWS($AF$2:AF494),$AF$2:$AF$1001,0),1)&gt;=100000,INDEX($AM$1005:$BM$1005,1,MATCH(COLUMNS($AM$1006:AR1006),$AM$1006:$BM$1006,0))&gt;=100000), " ",IF(INDEX($AM$2:$BM$1001,MATCH(ROWS($AF$2:AF494),$AF$2:$AF$1001,0),MATCH(COLUMNS($AM$1006:AR1006),$AM$1006:$BM$1006,0)), HYPERLINK("#",""), HYPERLINK(CONCATENATE("#metadata!", ADDRESS(INDEX($AH$2:$AH$1001,MATCH(ROWS($AF$2:AF494),$AF$2:$AF$1001,0),0), INDEX($AM$1004:$BM$1004,1,MATCH(COLUMNS($AM$1006:AR1006),$AM$1006:$BM$1006,0)))),"Fix")))</f>
        <v xml:space="preserve"> </v>
      </c>
      <c r="H494" s="4" t="str">
        <f ca="1">IF(OR(INDEX($AG$2:$AG$1001,MATCH(ROWS($AF$2:AF494),$AF$2:$AF$1001,0),1)&gt;=100000,INDEX($AM$1005:$BM$1005,1,MATCH(COLUMNS($AM$1006:AS1006),$AM$1006:$BM$1006,0))&gt;=100000), " ",IF(INDEX($AM$2:$BM$1001,MATCH(ROWS($AF$2:AF494),$AF$2:$AF$1001,0),MATCH(COLUMNS($AM$1006:AS1006),$AM$1006:$BM$1006,0)), HYPERLINK("#",""), HYPERLINK(CONCATENATE("#metadata!", ADDRESS(INDEX($AH$2:$AH$1001,MATCH(ROWS($AF$2:AF494),$AF$2:$AF$1001,0),0), INDEX($AM$1004:$BM$1004,1,MATCH(COLUMNS($AM$1006:AS1006),$AM$1006:$BM$1006,0)))),"Fix")))</f>
        <v xml:space="preserve"> </v>
      </c>
      <c r="I494" s="4" t="str">
        <f ca="1">IF(OR(INDEX($AG$2:$AG$1001,MATCH(ROWS($AF$2:AF494),$AF$2:$AF$1001,0),1)&gt;=100000,INDEX($AM$1005:$BM$1005,1,MATCH(COLUMNS($AM$1006:AT1006),$AM$1006:$BM$1006,0))&gt;=100000), " ",IF(INDEX($AM$2:$BM$1001,MATCH(ROWS($AF$2:AF494),$AF$2:$AF$1001,0),MATCH(COLUMNS($AM$1006:AT1006),$AM$1006:$BM$1006,0)), HYPERLINK("#",""), HYPERLINK(CONCATENATE("#metadata!", ADDRESS(INDEX($AH$2:$AH$1001,MATCH(ROWS($AF$2:AF494),$AF$2:$AF$1001,0),0), INDEX($AM$1004:$BM$1004,1,MATCH(COLUMNS($AM$1006:AT1006),$AM$1006:$BM$1006,0)))),"Fix")))</f>
        <v xml:space="preserve"> </v>
      </c>
      <c r="J494" s="4" t="str">
        <f ca="1">IF(OR(INDEX($AG$2:$AG$1001,MATCH(ROWS($AF$2:AF494),$AF$2:$AF$1001,0),1)&gt;=100000,INDEX($AM$1005:$BM$1005,1,MATCH(COLUMNS($AM$1006:AU1006),$AM$1006:$BM$1006,0))&gt;=100000), " ",IF(INDEX($AM$2:$BM$1001,MATCH(ROWS($AF$2:AF494),$AF$2:$AF$1001,0),MATCH(COLUMNS($AM$1006:AU1006),$AM$1006:$BM$1006,0)), HYPERLINK("#",""), HYPERLINK(CONCATENATE("#metadata!", ADDRESS(INDEX($AH$2:$AH$1001,MATCH(ROWS($AF$2:AF494),$AF$2:$AF$1001,0),0), INDEX($AM$1004:$BM$1004,1,MATCH(COLUMNS($AM$1006:AU1006),$AM$1006:$BM$1006,0)))),"Fix")))</f>
        <v xml:space="preserve"> </v>
      </c>
      <c r="K494" s="4" t="str">
        <f ca="1">IF(OR(INDEX($AG$2:$AG$1001,MATCH(ROWS($AF$2:AF494),$AF$2:$AF$1001,0),1)&gt;=100000,INDEX($AM$1005:$BM$1005,1,MATCH(COLUMNS($AM$1006:AV1006),$AM$1006:$BM$1006,0))&gt;=100000), " ",IF(INDEX($AM$2:$BM$1001,MATCH(ROWS($AF$2:AF494),$AF$2:$AF$1001,0),MATCH(COLUMNS($AM$1006:AV1006),$AM$1006:$BM$1006,0)), HYPERLINK("#",""), HYPERLINK(CONCATENATE("#metadata!", ADDRESS(INDEX($AH$2:$AH$1001,MATCH(ROWS($AF$2:AF494),$AF$2:$AF$1001,0),0), INDEX($AM$1004:$BM$1004,1,MATCH(COLUMNS($AM$1006:AV1006),$AM$1006:$BM$1006,0)))),"Fix")))</f>
        <v xml:space="preserve"> </v>
      </c>
      <c r="L494" s="4" t="str">
        <f ca="1">IF(OR(INDEX($AG$2:$AG$1001,MATCH(ROWS($AF$2:AF494),$AF$2:$AF$1001,0),1)&gt;=100000,INDEX($AM$1005:$BM$1005,1,MATCH(COLUMNS($AM$1006:AW1006),$AM$1006:$BM$1006,0))&gt;=100000), " ",IF(INDEX($AM$2:$BM$1001,MATCH(ROWS($AF$2:AF494),$AF$2:$AF$1001,0),MATCH(COLUMNS($AM$1006:AW1006),$AM$1006:$BM$1006,0)), HYPERLINK("#",""), HYPERLINK(CONCATENATE("#metadata!", ADDRESS(INDEX($AH$2:$AH$1001,MATCH(ROWS($AF$2:AF494),$AF$2:$AF$1001,0),0), INDEX($AM$1004:$BM$1004,1,MATCH(COLUMNS($AM$1006:AW1006),$AM$1006:$BM$1006,0)))),"Fix")))</f>
        <v xml:space="preserve"> </v>
      </c>
      <c r="M494" s="4" t="str">
        <f ca="1">IF(OR(INDEX($AG$2:$AG$1001,MATCH(ROWS($AF$2:AF494),$AF$2:$AF$1001,0),1)&gt;=100000,INDEX($AM$1005:$BM$1005,1,MATCH(COLUMNS($AM$1006:AX1006),$AM$1006:$BM$1006,0))&gt;=100000), " ",IF(INDEX($AM$2:$BM$1001,MATCH(ROWS($AF$2:AF494),$AF$2:$AF$1001,0),MATCH(COLUMNS($AM$1006:AX1006),$AM$1006:$BM$1006,0)), HYPERLINK("#",""), HYPERLINK(CONCATENATE("#metadata!", ADDRESS(INDEX($AH$2:$AH$1001,MATCH(ROWS($AF$2:AF494),$AF$2:$AF$1001,0),0), INDEX($AM$1004:$BM$1004,1,MATCH(COLUMNS($AM$1006:AX1006),$AM$1006:$BM$1006,0)))),"Fix")))</f>
        <v xml:space="preserve"> </v>
      </c>
      <c r="N494" s="4" t="str">
        <f ca="1">IF(OR(INDEX($AG$2:$AG$1001,MATCH(ROWS($AF$2:AF494),$AF$2:$AF$1001,0),1)&gt;=100000,INDEX($AM$1005:$BM$1005,1,MATCH(COLUMNS($AM$1006:AY1006),$AM$1006:$BM$1006,0))&gt;=100000), " ",IF(INDEX($AM$2:$BM$1001,MATCH(ROWS($AF$2:AF494),$AF$2:$AF$1001,0),MATCH(COLUMNS($AM$1006:AY1006),$AM$1006:$BM$1006,0)), HYPERLINK("#",""), HYPERLINK(CONCATENATE("#metadata!", ADDRESS(INDEX($AH$2:$AH$1001,MATCH(ROWS($AF$2:AF494),$AF$2:$AF$1001,0),0), INDEX($AM$1004:$BM$1004,1,MATCH(COLUMNS($AM$1006:AY1006),$AM$1006:$BM$1006,0)))),"Fix")))</f>
        <v xml:space="preserve"> </v>
      </c>
      <c r="O494" s="4" t="str">
        <f ca="1">IF(OR(INDEX($AG$2:$AG$1001,MATCH(ROWS($AF$2:AF494),$AF$2:$AF$1001,0),1)&gt;=100000,INDEX($AM$1005:$BM$1005,1,MATCH(COLUMNS($AM$1006:AZ1006),$AM$1006:$BM$1006,0))&gt;=100000), " ",IF(INDEX($AM$2:$BM$1001,MATCH(ROWS($AF$2:AF494),$AF$2:$AF$1001,0),MATCH(COLUMNS($AM$1006:AZ1006),$AM$1006:$BM$1006,0)), HYPERLINK("#",""), HYPERLINK(CONCATENATE("#metadata!", ADDRESS(INDEX($AH$2:$AH$1001,MATCH(ROWS($AF$2:AF494),$AF$2:$AF$1001,0),0), INDEX($AM$1004:$BM$1004,1,MATCH(COLUMNS($AM$1006:AZ1006),$AM$1006:$BM$1006,0)))),"Fix")))</f>
        <v xml:space="preserve"> </v>
      </c>
      <c r="P494" s="4" t="str">
        <f ca="1">IF(OR(INDEX($AG$2:$AG$1001,MATCH(ROWS($AF$2:AF494),$AF$2:$AF$1001,0),1)&gt;=100000,INDEX($AM$1005:$BM$1005,1,MATCH(COLUMNS($AM$1006:BA1006),$AM$1006:$BM$1006,0))&gt;=100000), " ",IF(INDEX($AM$2:$BM$1001,MATCH(ROWS($AF$2:AF494),$AF$2:$AF$1001,0),MATCH(COLUMNS($AM$1006:BA1006),$AM$1006:$BM$1006,0)), HYPERLINK("#",""), HYPERLINK(CONCATENATE("#metadata!", ADDRESS(INDEX($AH$2:$AH$1001,MATCH(ROWS($AF$2:AF494),$AF$2:$AF$1001,0),0), INDEX($AM$1004:$BM$1004,1,MATCH(COLUMNS($AM$1006:BA1006),$AM$1006:$BM$1006,0)))),"Fix")))</f>
        <v xml:space="preserve"> </v>
      </c>
      <c r="Q494" s="4" t="str">
        <f ca="1">IF(OR(INDEX($AG$2:$AG$1001,MATCH(ROWS($AF$2:AF494),$AF$2:$AF$1001,0),1)&gt;=100000,INDEX($AM$1005:$BM$1005,1,MATCH(COLUMNS($AM$1006:BB1006),$AM$1006:$BM$1006,0))&gt;=100000), " ",IF(INDEX($AM$2:$BM$1001,MATCH(ROWS($AF$2:AF494),$AF$2:$AF$1001,0),MATCH(COLUMNS($AM$1006:BB1006),$AM$1006:$BM$1006,0)), HYPERLINK("#",""), HYPERLINK(CONCATENATE("#metadata!", ADDRESS(INDEX($AH$2:$AH$1001,MATCH(ROWS($AF$2:AF494),$AF$2:$AF$1001,0),0), INDEX($AM$1004:$BM$1004,1,MATCH(COLUMNS($AM$1006:BB1006),$AM$1006:$BM$1006,0)))),"Fix")))</f>
        <v xml:space="preserve"> </v>
      </c>
      <c r="R494" s="4" t="str">
        <f ca="1">IF(OR(INDEX($AG$2:$AG$1001,MATCH(ROWS($AF$2:AF494),$AF$2:$AF$1001,0),1)&gt;=100000,INDEX($AM$1005:$BM$1005,1,MATCH(COLUMNS($AM$1006:BC1006),$AM$1006:$BM$1006,0))&gt;=100000), " ",IF(INDEX($AM$2:$BM$1001,MATCH(ROWS($AF$2:AF494),$AF$2:$AF$1001,0),MATCH(COLUMNS($AM$1006:BC1006),$AM$1006:$BM$1006,0)), HYPERLINK("#",""), HYPERLINK(CONCATENATE("#metadata!", ADDRESS(INDEX($AH$2:$AH$1001,MATCH(ROWS($AF$2:AF494),$AF$2:$AF$1001,0),0), INDEX($AM$1004:$BM$1004,1,MATCH(COLUMNS($AM$1006:BC1006),$AM$1006:$BM$1006,0)))),"Fix")))</f>
        <v xml:space="preserve"> </v>
      </c>
      <c r="S494" s="4" t="str">
        <f ca="1">IF(OR(INDEX($AG$2:$AG$1001,MATCH(ROWS($AF$2:AF494),$AF$2:$AF$1001,0),1)&gt;=100000,INDEX($AM$1005:$BM$1005,1,MATCH(COLUMNS($AM$1006:BD1006),$AM$1006:$BM$1006,0))&gt;=100000), " ",IF(INDEX($AM$2:$BM$1001,MATCH(ROWS($AF$2:AF494),$AF$2:$AF$1001,0),MATCH(COLUMNS($AM$1006:BD1006),$AM$1006:$BM$1006,0)), HYPERLINK("#",""), HYPERLINK(CONCATENATE("#metadata!", ADDRESS(INDEX($AH$2:$AH$1001,MATCH(ROWS($AF$2:AF494),$AF$2:$AF$1001,0),0), INDEX($AM$1004:$BM$1004,1,MATCH(COLUMNS($AM$1006:BD1006),$AM$1006:$BM$1006,0)))),"Fix")))</f>
        <v xml:space="preserve"> </v>
      </c>
      <c r="T494" s="4" t="str">
        <f ca="1">IF(OR(INDEX($AG$2:$AG$1001,MATCH(ROWS($AF$2:AF494),$AF$2:$AF$1001,0),1)&gt;=100000,INDEX($AM$1005:$BM$1005,1,MATCH(COLUMNS($AM$1006:BE1006),$AM$1006:$BM$1006,0))&gt;=100000), " ",IF(INDEX($AM$2:$BM$1001,MATCH(ROWS($AF$2:AF494),$AF$2:$AF$1001,0),MATCH(COLUMNS($AM$1006:BE1006),$AM$1006:$BM$1006,0)), HYPERLINK("#",""), HYPERLINK(CONCATENATE("#metadata!", ADDRESS(INDEX($AH$2:$AH$1001,MATCH(ROWS($AF$2:AF494),$AF$2:$AF$1001,0),0), INDEX($AM$1004:$BM$1004,1,MATCH(COLUMNS($AM$1006:BE1006),$AM$1006:$BM$1006,0)))),"Fix")))</f>
        <v xml:space="preserve"> </v>
      </c>
      <c r="U494" s="4" t="str">
        <f ca="1">IF(OR(INDEX($AG$2:$AG$1001,MATCH(ROWS($AF$2:AF494),$AF$2:$AF$1001,0),1)&gt;=100000,INDEX($AM$1005:$BM$1005,1,MATCH(COLUMNS($AM$1006:BF1006),$AM$1006:$BM$1006,0))&gt;=100000), " ",IF(INDEX($AM$2:$BM$1001,MATCH(ROWS($AF$2:AF494),$AF$2:$AF$1001,0),MATCH(COLUMNS($AM$1006:BF1006),$AM$1006:$BM$1006,0)), HYPERLINK("#",""), HYPERLINK(CONCATENATE("#metadata!", ADDRESS(INDEX($AH$2:$AH$1001,MATCH(ROWS($AF$2:AF494),$AF$2:$AF$1001,0),0), INDEX($AM$1004:$BM$1004,1,MATCH(COLUMNS($AM$1006:BF1006),$AM$1006:$BM$1006,0)))),"Fix")))</f>
        <v xml:space="preserve"> </v>
      </c>
      <c r="V494" s="4" t="str">
        <f ca="1">IF(OR(INDEX($AG$2:$AG$1001,MATCH(ROWS($AF$2:AF494),$AF$2:$AF$1001,0),1)&gt;=100000,INDEX($AM$1005:$BM$1005,1,MATCH(COLUMNS($AM$1006:BG1006),$AM$1006:$BM$1006,0))&gt;=100000), " ",IF(INDEX($AM$2:$BM$1001,MATCH(ROWS($AF$2:AF494),$AF$2:$AF$1001,0),MATCH(COLUMNS($AM$1006:BG1006),$AM$1006:$BM$1006,0)), HYPERLINK("#",""), HYPERLINK(CONCATENATE("#metadata!", ADDRESS(INDEX($AH$2:$AH$1001,MATCH(ROWS($AF$2:AF494),$AF$2:$AF$1001,0),0), INDEX($AM$1004:$BM$1004,1,MATCH(COLUMNS($AM$1006:BG1006),$AM$1006:$BM$1006,0)))),"Fix")))</f>
        <v xml:space="preserve"> </v>
      </c>
      <c r="W494" s="4" t="str">
        <f ca="1">IF(OR(INDEX($AG$2:$AG$1001,MATCH(ROWS($AF$2:AF494),$AF$2:$AF$1001,0),1)&gt;=100000,INDEX($AM$1005:$BM$1005,1,MATCH(COLUMNS($AM$1006:BH1006),$AM$1006:$BM$1006,0))&gt;=100000), " ",IF(INDEX($AM$2:$BM$1001,MATCH(ROWS($AF$2:AF494),$AF$2:$AF$1001,0),MATCH(COLUMNS($AM$1006:BH1006),$AM$1006:$BM$1006,0)), HYPERLINK("#",""), HYPERLINK(CONCATENATE("#metadata!", ADDRESS(INDEX($AH$2:$AH$1001,MATCH(ROWS($AF$2:AF494),$AF$2:$AF$1001,0),0), INDEX($AM$1004:$BM$1004,1,MATCH(COLUMNS($AM$1006:BH1006),$AM$1006:$BM$1006,0)))),"Fix")))</f>
        <v xml:space="preserve"> </v>
      </c>
      <c r="X494" s="4" t="str">
        <f ca="1">IF(OR(INDEX($AG$2:$AG$1001,MATCH(ROWS($AF$2:AF494),$AF$2:$AF$1001,0),1)&gt;=100000,INDEX($AM$1005:$BM$1005,1,MATCH(COLUMNS($AM$1006:BI1006),$AM$1006:$BM$1006,0))&gt;=100000), " ",IF(INDEX($AM$2:$BM$1001,MATCH(ROWS($AF$2:AF494),$AF$2:$AF$1001,0),MATCH(COLUMNS($AM$1006:BI1006),$AM$1006:$BM$1006,0)), HYPERLINK("#",""), HYPERLINK(CONCATENATE("#metadata!", ADDRESS(INDEX($AH$2:$AH$1001,MATCH(ROWS($AF$2:AF494),$AF$2:$AF$1001,0),0), INDEX($AM$1004:$BM$1004,1,MATCH(COLUMNS($AM$1006:BI1006),$AM$1006:$BM$1006,0)))),"Fix")))</f>
        <v xml:space="preserve"> </v>
      </c>
      <c r="Y494" s="4" t="str">
        <f ca="1">IF(OR(INDEX($AG$2:$AG$1001,MATCH(ROWS($AF$2:AF494),$AF$2:$AF$1001,0),1)&gt;=100000,INDEX($AM$1005:$BM$1005,1,MATCH(COLUMNS($AM$1006:BJ1006),$AM$1006:$BM$1006,0))&gt;=100000), " ",IF(INDEX($AM$2:$BM$1001,MATCH(ROWS($AF$2:AF494),$AF$2:$AF$1001,0),MATCH(COLUMNS($AM$1006:BJ1006),$AM$1006:$BM$1006,0)), HYPERLINK("#",""), HYPERLINK(CONCATENATE("#metadata!", ADDRESS(INDEX($AH$2:$AH$1001,MATCH(ROWS($AF$2:AF494),$AF$2:$AF$1001,0),0), INDEX($AM$1004:$BM$1004,1,MATCH(COLUMNS($AM$1006:BJ1006),$AM$1006:$BM$1006,0)))),"Fix")))</f>
        <v xml:space="preserve"> </v>
      </c>
      <c r="Z494" s="4" t="str">
        <f ca="1">IF(OR(INDEX($AG$2:$AG$1001,MATCH(ROWS($AF$2:AF494),$AF$2:$AF$1001,0),1)&gt;=100000,INDEX($AM$1005:$BM$1005,1,MATCH(COLUMNS($AM$1006:BK1006),$AM$1006:$BM$1006,0))&gt;=100000), " ",IF(INDEX($AM$2:$BM$1001,MATCH(ROWS($AF$2:AF494),$AF$2:$AF$1001,0),MATCH(COLUMNS($AM$1006:BK1006),$AM$1006:$BM$1006,0)), HYPERLINK("#",""), HYPERLINK(CONCATENATE("#metadata!", ADDRESS(INDEX($AH$2:$AH$1001,MATCH(ROWS($AF$2:AF494),$AF$2:$AF$1001,0),0), INDEX($AM$1004:$BM$1004,1,MATCH(COLUMNS($AM$1006:BK1006),$AM$1006:$BM$1006,0)))),"Fix")))</f>
        <v xml:space="preserve"> </v>
      </c>
      <c r="AA494" s="4" t="str">
        <f ca="1">IF(OR(INDEX($AG$2:$AG$1001,MATCH(ROWS($AF$2:AF494),$AF$2:$AF$1001,0),1)&gt;=100000,INDEX($AM$1005:$BM$1005,1,MATCH(COLUMNS($AM$1006:BL1006),$AM$1006:$BM$1006,0))&gt;=100000), " ",IF(INDEX($AM$2:$BM$1001,MATCH(ROWS($AF$2:AF494),$AF$2:$AF$1001,0),MATCH(COLUMNS($AM$1006:BL1006),$AM$1006:$BM$1006,0)), HYPERLINK("#",""), HYPERLINK(CONCATENATE("#metadata!", ADDRESS(INDEX($AH$2:$AH$1001,MATCH(ROWS($AF$2:AF494),$AF$2:$AF$1001,0),0), INDEX($AM$1004:$BM$1004,1,MATCH(COLUMNS($AM$1006:BL1006),$AM$1006:$BM$1006,0)))),"Fix")))</f>
        <v xml:space="preserve"> </v>
      </c>
      <c r="AB494" s="4" t="str">
        <f ca="1">IF(OR(INDEX($AG$2:$AG$1001,MATCH(ROWS($AF$2:AF494),$AF$2:$AF$1001,0),1)&gt;=100000,INDEX($AM$1005:$BM$1005,1,MATCH(COLUMNS($AM$1006:BM1006),$AM$1006:$BM$1006,0))&gt;=100000), " ",IF(INDEX($AM$2:$BM$1001,MATCH(ROWS($AF$2:AF494),$AF$2:$AF$1001,0),MATCH(COLUMNS($AM$1006:BM1006),$AM$1006:$BM$1006,0)), HYPERLINK("#",""), HYPERLINK(CONCATENATE("#metadata!", ADDRESS(INDEX($AH$2:$AH$1001,MATCH(ROWS($AF$2:AF494),$AF$2:$AF$1001,0),0), INDEX($AM$1004:$BM$1004,1,MATCH(COLUMNS($AM$1006:BM1006),$AM$1006:$BM$1006,0)))),"Fix")))</f>
        <v xml:space="preserve"> </v>
      </c>
      <c r="AF494">
        <v>493</v>
      </c>
      <c r="AG494">
        <v>100494</v>
      </c>
      <c r="AH494">
        <v>494</v>
      </c>
      <c r="AI494" t="b">
        <f t="shared" si="7"/>
        <v>1</v>
      </c>
      <c r="AJ494" t="b">
        <f>COUNTBLANK(metadata!B494:AB494)=COLUMNS(metadata!B494:AB494)</f>
        <v>1</v>
      </c>
      <c r="AK494" t="str">
        <v/>
      </c>
      <c r="AM494" t="b">
        <f ca="1">AND(IF(metadata!B494="",FALSE,TRUE),COUNTIF(metadata!B:B, metadata!B494) = 1,NOT(ISERROR(SUMPRODUCT(SEARCH(MID(metadata!B494,ROW(INDIRECT("1:"&amp;LEN(metadata!B494))), 1),"0123456789abcdefghijklmnopqrstuvwxyzABCDEFGHIJKLMNOPQRSTUVWXYZ.")))))</f>
        <v>0</v>
      </c>
      <c r="AN494" t="b">
        <f ca="1">OR(AND(IF(metadata!C494="",FALSE,TRUE),OR(EXACT(metadata!C494,"missing: not collected"),EXACT(metadata!C494,"missing: not provided"),EXACT(metadata!C494,"missing: restricted access"))),AND(IF(metadata!C494="",FALSE,TRUE),AND(AND(IFERROR(INT(LEFT(metadata!C494,4))&gt;1900,FALSE),IFERROR(INT(LEFT(metadata!C494,4))&lt;=YEAR(NOW()),FALSE)), OR(MID(metadata!C494,5,1)="", AND(AND(MID(metadata!C494,5,1)="-",IFERROR(INT(MID(metadata!C494,6,1))&gt;=0,FALSE),IFERROR(INT(MID(metadata!C494,6,1))&lt;=1,FALSE),NOT(MID(metadata!C494,7,1)=""),IFERROR(INT(MID(metadata!C494,6,2))&gt;=1,FALSE),IFERROR(INT(MID(metadata!C494,6,2))&lt;=12,FALSE)), OR(MID(metadata!C494,8,1)="", AND(AND(MID(metadata!C494,8,1)="-",IFERROR(INT(MID(metadata!C494,9,1))&gt;=0,FALSE),IFERROR(INT(MID(metadata!C494,9,1))&lt;=3,FALSE),NOT(MID(metadata!C494,10,1)=""),IFERROR(INT(MID(metadata!C494,9,2))&gt;=1,FALSE),IFERROR(INT(MID(metadata!C494,9,2))&lt;=31,FALSE)), OR(MID(metadata!C494,11,1)="", AND(AND(MID(metadata!C494,11,1)=" ",IFERROR(INT(MID(metadata!C494,12,1))&gt;=0,FALSE),IFERROR(INT(MID(metadata!C494,12,1))&lt;=2,FALSE),NOT(MID(metadata!C494,13,1)=""),IFERROR(INT(MID(metadata!C494,12,2))&gt;=0,FALSE),IFERROR(INT(MID(metadata!C494,12,2))&lt;=23,FALSE)), OR(MID(metadata!C494,14,1)="", AND(AND(MID(metadata!C494,14,1)=":",IFERROR(INT(MID(metadata!C494,15,1))&gt;=0,FALSE),IFERROR(INT(MID(metadata!C494,15,1))&lt;=5,FALSE),NOT(MID(metadata!C494,16,1)=""),IFERROR(INT(MID(metadata!C494,15,2))&gt;=0,FALSE),IFERROR(INT(MID(metadata!C494,15,2))&lt;=59,FALSE)), OR(MID(metadata!C494,17,1)="", AND(AND(MID(metadata!C494,17,1)=":",IFERROR(INT(MID(metadata!C494,18,1))&gt;=0,FALSE),IFERROR(INT(MID(metadata!C494,18,1))&lt;=5,FALSE),NOT(MID(metadata!C494,19,1)=""),IFERROR(INT(MID(metadata!C494,18,2))&gt;=0,FALSE),IFERROR(INT(MID(metadata!C494,18,2))&lt;=59,FALSE)), LEN(metadata!C494)&lt;=19)))))))))))))</f>
        <v>0</v>
      </c>
      <c r="AO494" t="b">
        <f>AND(IF(metadata!D494="",FALSE,TRUE),EXACT(metadata!D494,"Not applicable"))</f>
        <v>0</v>
      </c>
      <c r="AP494" t="b">
        <f>IF(metadata!E494="",FALSE,TRUE)</f>
        <v>0</v>
      </c>
      <c r="AQ494" t="b">
        <f>OR(AND(IF(metadata!F494="",FALSE,TRUE),OR(EXACT(metadata!F494,"missing: not collected"),EXACT(metadata!F494,"missing: not provided"))),AND(IF(metadata!F494="",FALSE,TRUE),OR(EXACT(metadata!F494,"TRUE"),EXACT(metadata!F494,"FALSE"))))</f>
        <v>0</v>
      </c>
      <c r="AR494" t="b">
        <f>OR(AND(IF(metadata!G494="",FALSE,TRUE),OR(EXACT(metadata!G494,"missing: not collected"),EXACT(metadata!G494,"missing: not provided"),EXACT(metadata!G494,"missing: restricted access"))),AND(IF(metadata!G494="",FALSE,ISNUMBER(VALUE(metadata!G494))),metadata!G494&gt;=-413))</f>
        <v>0</v>
      </c>
      <c r="AS494" t="b">
        <f>AND(IF(metadata!H494="",FALSE,TRUE),EXACT(metadata!H494,"meters"))</f>
        <v>0</v>
      </c>
      <c r="AT494" t="b">
        <f>AND(IF(metadata!I494="",FALSE,TRUE),OR(EXACT(metadata!I494,"Host-associated"),EXACT(metadata!I494,"Free-living")))</f>
        <v>0</v>
      </c>
      <c r="AU494" t="b">
        <f>AND(IF(metadata!J494="",FALSE,TRUE),OR(EXACT(metadata!J494,"Animal"),EXACT(metadata!J494,"Fungus"),EXACT(metadata!J494,"Plant"),EXACT(metadata!J494,"Saline"),EXACT(metadata!J494,"Non-saline")))</f>
        <v>0</v>
      </c>
      <c r="AV494" t="b">
        <f>AND(IF(metadata!K494="",FALSE,TRUE),OR(EXACT(metadata!K494,"Plant secretion"),EXACT(metadata!K494,"Plant rhizosphere"),EXACT(metadata!K494,"Plant surface"),EXACT(metadata!K494,"Plant corpus"),EXACT(metadata!K494,"Fungus surface"),EXACT(metadata!K494,"Fungus corpus"),EXACT(metadata!K494,"Animal surface"),EXACT(metadata!K494,"Animal proximal gut"),EXACT(metadata!K494,"Animal corpus"),EXACT(metadata!K494,"Animal distal gut"),EXACT(metadata!K494,"Animal secretion"),EXACT(metadata!K494,"Sub-surface (non-saline)"),EXACT(metadata!K494,"Surface (non-saline)"),EXACT(metadata!K494,"Water (non-saline)"),EXACT(metadata!K494,"Soil (non-saline)"),EXACT(metadata!K494,"Aerosol (non-saline)"),EXACT(metadata!K494,"Sediment (non-saline)"),EXACT(metadata!K494,"Surface (saline)"),EXACT(metadata!K494,"Water (saline)"),EXACT(metadata!K494,"Hypersaline (saline)"),EXACT(metadata!K494,"Aerosol (saline)"),EXACT(metadata!K494,"Sediment (saline)")))</f>
        <v>0</v>
      </c>
      <c r="AW494" t="b">
        <f>IF(metadata!L494="",FALSE,TRUE)</f>
        <v>0</v>
      </c>
      <c r="AX494" t="b">
        <f>IF(metadata!M494="",FALSE,TRUE)</f>
        <v>0</v>
      </c>
      <c r="AY494" t="b">
        <f>IF(metadata!N494="",FALSE,TRUE)</f>
        <v>0</v>
      </c>
      <c r="AZ494" t="b">
        <f>OR(AND(IF(metadata!O494="",FALSE,TRUE),OR(EXACT(metadata!O494,"missing: not collected"),EXACT(metadata!O494,"missing: not provided"),EXACT(metadata!O494,"missing: restricted access"))),AND(IF(metadata!O494="",FALSE,TRUE),OR(EXACT(metadata!O494,"air"),EXACT(metadata!O494,"built environment"),EXACT(metadata!O494,"host-associated"),EXACT(metadata!O494,"human-associated"),EXACT(metadata!O494,"human-skin"),EXACT(metadata!O494,"human-oral"),EXACT(metadata!O494,"human-gut"),EXACT(metadata!O494,"human-vaginal"),EXACT(metadata!O494,"microbial mat/biofilm"),EXACT(metadata!O494,"misc environment"),EXACT(metadata!O494,"plant-associated"),EXACT(metadata!O494,"sediment"),EXACT(metadata!O494,"soil"),EXACT(metadata!O494,"wastewater/sludge"),EXACT(metadata!O494,"water"))))</f>
        <v>0</v>
      </c>
      <c r="BA494" t="b">
        <f>IF(metadata!P494="",FALSE,TRUE)</f>
        <v>0</v>
      </c>
      <c r="BB494" t="b">
        <f>IF(metadata!Q494="",FALSE,TRUE)</f>
        <v>0</v>
      </c>
      <c r="BC494" t="b">
        <f>OR(AND(IF(metadata!R494="",FALSE,TRUE),OR(EXACT(metadata!R494,"missing: not collected"),EXACT(metadata!R494,"missing: not provided"),EXACT(metadata!R494,"missing: restricted access"))),AND(IF(metadata!R494="",FALSE,ISNUMBER(VALUE(metadata!R494))),metadata!R494&gt;=-90,metadata!R494&lt;=90))</f>
        <v>0</v>
      </c>
      <c r="BD494" t="b">
        <f>AND(IF(metadata!S494="",FALSE,TRUE),EXACT(metadata!S494,"Decimal degrees"))</f>
        <v>0</v>
      </c>
      <c r="BE494" t="b">
        <f>OR(AND(IF(metadata!T494="",FALSE,TRUE),OR(EXACT(metadata!T494,"missing: not collected"),EXACT(metadata!T494,"missing: not provided"),EXACT(metadata!T494,"missing: restricted access"))),AND(IF(metadata!T494="",FALSE,ISNUMBER(VALUE(metadata!T494))),metadata!T494&gt;=-180,metadata!T494&lt;=180))</f>
        <v>0</v>
      </c>
      <c r="BF494" t="b">
        <f>AND(IF(metadata!U494="",FALSE,TRUE),EXACT(metadata!U494,"Decimal degrees"))</f>
        <v>0</v>
      </c>
      <c r="BG494" t="b">
        <f>IF(metadata!V494="",FALSE,TRUE)</f>
        <v>0</v>
      </c>
      <c r="BH494" t="b">
        <f>OR(AND(IF(metadata!W494="",FALSE,TRUE),OR(EXACT(metadata!W494,"missing: not collected"),EXACT(metadata!W494,"missing: not provided"),EXACT(metadata!W494,"missing: restricted access"))),AND(IF(metadata!W494="",FALSE,TRUE),OR(EXACT(metadata!W494,"TRUE"),EXACT(metadata!W494,"FALSE"))))</f>
        <v>0</v>
      </c>
      <c r="BI494" t="b">
        <f>AND(IF(metadata!X494="",FALSE,TRUE),EXACT(metadata!X494,"other"))</f>
        <v>0</v>
      </c>
      <c r="BJ494" t="b">
        <f>IF(metadata!Y494="",FALSE,TRUE)</f>
        <v>0</v>
      </c>
      <c r="BK494" t="b">
        <f>OR(AND(IF(metadata!Z494="",FALSE,TRUE),OR(EXACT(metadata!Z494,"missing: not collected"),EXACT(metadata!Z494,"missing: not provided"))),AND(IF(metadata!Z494="",FALSE,IF(ISERROR(INT(metadata!Z494)),FALSE,INT(metadata!Z494)=metadata!Z494)),metadata!Z494&gt;0))</f>
        <v>0</v>
      </c>
      <c r="BL494" t="b">
        <f>AND(IF(metadata!AA494="",FALSE,TRUE),EXACT(metadata!AA494,"Not applicable"))</f>
        <v>0</v>
      </c>
      <c r="BM494" t="b">
        <f>IF(metadata!AB494="",FALSE,TRUE)</f>
        <v>0</v>
      </c>
    </row>
    <row r="495" spans="1:65" x14ac:dyDescent="0.2">
      <c r="A495" s="5" t="str">
        <f ca="1">IF(B495=" "," ",HYPERLINK(CONCATENATE("#metadata!",ADDRESS(INDEX($AH$2:$AH$1001,MATCH(ROWS($AF$2:AF495),$AF$2:$AF$1001,0),0),1)),INDEX($AK$2:$AK$1001,MATCH(ROWS($AF$2:AF495),$AF$2:$AF$1001,0),0)))</f>
        <v xml:space="preserve"> </v>
      </c>
      <c r="B495" s="4" t="str">
        <f ca="1">IF(OR(INDEX($AG$2:$AG$1001,MATCH(ROWS($AF$2:AF495),$AF$2:$AF$1001,0),1)&gt;=100000,INDEX($AM$1005:$BM$1005,1,MATCH(COLUMNS($AM$1006:AM1006),$AM$1006:$BM$1006,0))&gt;=100000), " ",IF(INDEX($AM$2:$BM$1001,MATCH(ROWS($AF$2:AF495),$AF$2:$AF$1001,0),MATCH(COLUMNS($AM$1006:AM1006),$AM$1006:$BM$1006,0)), HYPERLINK("#",""), HYPERLINK(CONCATENATE("#metadata!", ADDRESS(INDEX($AH$2:$AH$1001,MATCH(ROWS($AF$2:AF495),$AF$2:$AF$1001,0),0), INDEX($AM$1004:$BM$1004,1,MATCH(COLUMNS($AM$1006:AM1006),$AM$1006:$BM$1006,0)))),"Fix")))</f>
        <v xml:space="preserve"> </v>
      </c>
      <c r="C495" s="4" t="str">
        <f ca="1">IF(OR(INDEX($AG$2:$AG$1001,MATCH(ROWS($AF$2:AF495),$AF$2:$AF$1001,0),1)&gt;=100000,INDEX($AM$1005:$BM$1005,1,MATCH(COLUMNS($AM$1006:AN1006),$AM$1006:$BM$1006,0))&gt;=100000), " ",IF(INDEX($AM$2:$BM$1001,MATCH(ROWS($AF$2:AF495),$AF$2:$AF$1001,0),MATCH(COLUMNS($AM$1006:AN1006),$AM$1006:$BM$1006,0)), HYPERLINK("#",""), HYPERLINK(CONCATENATE("#metadata!", ADDRESS(INDEX($AH$2:$AH$1001,MATCH(ROWS($AF$2:AF495),$AF$2:$AF$1001,0),0), INDEX($AM$1004:$BM$1004,1,MATCH(COLUMNS($AM$1006:AN1006),$AM$1006:$BM$1006,0)))),"Fix")))</f>
        <v xml:space="preserve"> </v>
      </c>
      <c r="D495" s="4" t="str">
        <f ca="1">IF(OR(INDEX($AG$2:$AG$1001,MATCH(ROWS($AF$2:AF495),$AF$2:$AF$1001,0),1)&gt;=100000,INDEX($AM$1005:$BM$1005,1,MATCH(COLUMNS($AM$1006:AO1006),$AM$1006:$BM$1006,0))&gt;=100000), " ",IF(INDEX($AM$2:$BM$1001,MATCH(ROWS($AF$2:AF495),$AF$2:$AF$1001,0),MATCH(COLUMNS($AM$1006:AO1006),$AM$1006:$BM$1006,0)), HYPERLINK("#",""), HYPERLINK(CONCATENATE("#metadata!", ADDRESS(INDEX($AH$2:$AH$1001,MATCH(ROWS($AF$2:AF495),$AF$2:$AF$1001,0),0), INDEX($AM$1004:$BM$1004,1,MATCH(COLUMNS($AM$1006:AO1006),$AM$1006:$BM$1006,0)))),"Fix")))</f>
        <v xml:space="preserve"> </v>
      </c>
      <c r="E495" s="4" t="str">
        <f ca="1">IF(OR(INDEX($AG$2:$AG$1001,MATCH(ROWS($AF$2:AF495),$AF$2:$AF$1001,0),1)&gt;=100000,INDEX($AM$1005:$BM$1005,1,MATCH(COLUMNS($AM$1006:AP1006),$AM$1006:$BM$1006,0))&gt;=100000), " ",IF(INDEX($AM$2:$BM$1001,MATCH(ROWS($AF$2:AF495),$AF$2:$AF$1001,0),MATCH(COLUMNS($AM$1006:AP1006),$AM$1006:$BM$1006,0)), HYPERLINK("#",""), HYPERLINK(CONCATENATE("#metadata!", ADDRESS(INDEX($AH$2:$AH$1001,MATCH(ROWS($AF$2:AF495),$AF$2:$AF$1001,0),0), INDEX($AM$1004:$BM$1004,1,MATCH(COLUMNS($AM$1006:AP1006),$AM$1006:$BM$1006,0)))),"Fix")))</f>
        <v xml:space="preserve"> </v>
      </c>
      <c r="F495" s="4" t="str">
        <f ca="1">IF(OR(INDEX($AG$2:$AG$1001,MATCH(ROWS($AF$2:AF495),$AF$2:$AF$1001,0),1)&gt;=100000,INDEX($AM$1005:$BM$1005,1,MATCH(COLUMNS($AM$1006:AQ1006),$AM$1006:$BM$1006,0))&gt;=100000), " ",IF(INDEX($AM$2:$BM$1001,MATCH(ROWS($AF$2:AF495),$AF$2:$AF$1001,0),MATCH(COLUMNS($AM$1006:AQ1006),$AM$1006:$BM$1006,0)), HYPERLINK("#",""), HYPERLINK(CONCATENATE("#metadata!", ADDRESS(INDEX($AH$2:$AH$1001,MATCH(ROWS($AF$2:AF495),$AF$2:$AF$1001,0),0), INDEX($AM$1004:$BM$1004,1,MATCH(COLUMNS($AM$1006:AQ1006),$AM$1006:$BM$1006,0)))),"Fix")))</f>
        <v xml:space="preserve"> </v>
      </c>
      <c r="G495" s="4" t="str">
        <f ca="1">IF(OR(INDEX($AG$2:$AG$1001,MATCH(ROWS($AF$2:AF495),$AF$2:$AF$1001,0),1)&gt;=100000,INDEX($AM$1005:$BM$1005,1,MATCH(COLUMNS($AM$1006:AR1006),$AM$1006:$BM$1006,0))&gt;=100000), " ",IF(INDEX($AM$2:$BM$1001,MATCH(ROWS($AF$2:AF495),$AF$2:$AF$1001,0),MATCH(COLUMNS($AM$1006:AR1006),$AM$1006:$BM$1006,0)), HYPERLINK("#",""), HYPERLINK(CONCATENATE("#metadata!", ADDRESS(INDEX($AH$2:$AH$1001,MATCH(ROWS($AF$2:AF495),$AF$2:$AF$1001,0),0), INDEX($AM$1004:$BM$1004,1,MATCH(COLUMNS($AM$1006:AR1006),$AM$1006:$BM$1006,0)))),"Fix")))</f>
        <v xml:space="preserve"> </v>
      </c>
      <c r="H495" s="4" t="str">
        <f ca="1">IF(OR(INDEX($AG$2:$AG$1001,MATCH(ROWS($AF$2:AF495),$AF$2:$AF$1001,0),1)&gt;=100000,INDEX($AM$1005:$BM$1005,1,MATCH(COLUMNS($AM$1006:AS1006),$AM$1006:$BM$1006,0))&gt;=100000), " ",IF(INDEX($AM$2:$BM$1001,MATCH(ROWS($AF$2:AF495),$AF$2:$AF$1001,0),MATCH(COLUMNS($AM$1006:AS1006),$AM$1006:$BM$1006,0)), HYPERLINK("#",""), HYPERLINK(CONCATENATE("#metadata!", ADDRESS(INDEX($AH$2:$AH$1001,MATCH(ROWS($AF$2:AF495),$AF$2:$AF$1001,0),0), INDEX($AM$1004:$BM$1004,1,MATCH(COLUMNS($AM$1006:AS1006),$AM$1006:$BM$1006,0)))),"Fix")))</f>
        <v xml:space="preserve"> </v>
      </c>
      <c r="I495" s="4" t="str">
        <f ca="1">IF(OR(INDEX($AG$2:$AG$1001,MATCH(ROWS($AF$2:AF495),$AF$2:$AF$1001,0),1)&gt;=100000,INDEX($AM$1005:$BM$1005,1,MATCH(COLUMNS($AM$1006:AT1006),$AM$1006:$BM$1006,0))&gt;=100000), " ",IF(INDEX($AM$2:$BM$1001,MATCH(ROWS($AF$2:AF495),$AF$2:$AF$1001,0),MATCH(COLUMNS($AM$1006:AT1006),$AM$1006:$BM$1006,0)), HYPERLINK("#",""), HYPERLINK(CONCATENATE("#metadata!", ADDRESS(INDEX($AH$2:$AH$1001,MATCH(ROWS($AF$2:AF495),$AF$2:$AF$1001,0),0), INDEX($AM$1004:$BM$1004,1,MATCH(COLUMNS($AM$1006:AT1006),$AM$1006:$BM$1006,0)))),"Fix")))</f>
        <v xml:space="preserve"> </v>
      </c>
      <c r="J495" s="4" t="str">
        <f ca="1">IF(OR(INDEX($AG$2:$AG$1001,MATCH(ROWS($AF$2:AF495),$AF$2:$AF$1001,0),1)&gt;=100000,INDEX($AM$1005:$BM$1005,1,MATCH(COLUMNS($AM$1006:AU1006),$AM$1006:$BM$1006,0))&gt;=100000), " ",IF(INDEX($AM$2:$BM$1001,MATCH(ROWS($AF$2:AF495),$AF$2:$AF$1001,0),MATCH(COLUMNS($AM$1006:AU1006),$AM$1006:$BM$1006,0)), HYPERLINK("#",""), HYPERLINK(CONCATENATE("#metadata!", ADDRESS(INDEX($AH$2:$AH$1001,MATCH(ROWS($AF$2:AF495),$AF$2:$AF$1001,0),0), INDEX($AM$1004:$BM$1004,1,MATCH(COLUMNS($AM$1006:AU1006),$AM$1006:$BM$1006,0)))),"Fix")))</f>
        <v xml:space="preserve"> </v>
      </c>
      <c r="K495" s="4" t="str">
        <f ca="1">IF(OR(INDEX($AG$2:$AG$1001,MATCH(ROWS($AF$2:AF495),$AF$2:$AF$1001,0),1)&gt;=100000,INDEX($AM$1005:$BM$1005,1,MATCH(COLUMNS($AM$1006:AV1006),$AM$1006:$BM$1006,0))&gt;=100000), " ",IF(INDEX($AM$2:$BM$1001,MATCH(ROWS($AF$2:AF495),$AF$2:$AF$1001,0),MATCH(COLUMNS($AM$1006:AV1006),$AM$1006:$BM$1006,0)), HYPERLINK("#",""), HYPERLINK(CONCATENATE("#metadata!", ADDRESS(INDEX($AH$2:$AH$1001,MATCH(ROWS($AF$2:AF495),$AF$2:$AF$1001,0),0), INDEX($AM$1004:$BM$1004,1,MATCH(COLUMNS($AM$1006:AV1006),$AM$1006:$BM$1006,0)))),"Fix")))</f>
        <v xml:space="preserve"> </v>
      </c>
      <c r="L495" s="4" t="str">
        <f ca="1">IF(OR(INDEX($AG$2:$AG$1001,MATCH(ROWS($AF$2:AF495),$AF$2:$AF$1001,0),1)&gt;=100000,INDEX($AM$1005:$BM$1005,1,MATCH(COLUMNS($AM$1006:AW1006),$AM$1006:$BM$1006,0))&gt;=100000), " ",IF(INDEX($AM$2:$BM$1001,MATCH(ROWS($AF$2:AF495),$AF$2:$AF$1001,0),MATCH(COLUMNS($AM$1006:AW1006),$AM$1006:$BM$1006,0)), HYPERLINK("#",""), HYPERLINK(CONCATENATE("#metadata!", ADDRESS(INDEX($AH$2:$AH$1001,MATCH(ROWS($AF$2:AF495),$AF$2:$AF$1001,0),0), INDEX($AM$1004:$BM$1004,1,MATCH(COLUMNS($AM$1006:AW1006),$AM$1006:$BM$1006,0)))),"Fix")))</f>
        <v xml:space="preserve"> </v>
      </c>
      <c r="M495" s="4" t="str">
        <f ca="1">IF(OR(INDEX($AG$2:$AG$1001,MATCH(ROWS($AF$2:AF495),$AF$2:$AF$1001,0),1)&gt;=100000,INDEX($AM$1005:$BM$1005,1,MATCH(COLUMNS($AM$1006:AX1006),$AM$1006:$BM$1006,0))&gt;=100000), " ",IF(INDEX($AM$2:$BM$1001,MATCH(ROWS($AF$2:AF495),$AF$2:$AF$1001,0),MATCH(COLUMNS($AM$1006:AX1006),$AM$1006:$BM$1006,0)), HYPERLINK("#",""), HYPERLINK(CONCATENATE("#metadata!", ADDRESS(INDEX($AH$2:$AH$1001,MATCH(ROWS($AF$2:AF495),$AF$2:$AF$1001,0),0), INDEX($AM$1004:$BM$1004,1,MATCH(COLUMNS($AM$1006:AX1006),$AM$1006:$BM$1006,0)))),"Fix")))</f>
        <v xml:space="preserve"> </v>
      </c>
      <c r="N495" s="4" t="str">
        <f ca="1">IF(OR(INDEX($AG$2:$AG$1001,MATCH(ROWS($AF$2:AF495),$AF$2:$AF$1001,0),1)&gt;=100000,INDEX($AM$1005:$BM$1005,1,MATCH(COLUMNS($AM$1006:AY1006),$AM$1006:$BM$1006,0))&gt;=100000), " ",IF(INDEX($AM$2:$BM$1001,MATCH(ROWS($AF$2:AF495),$AF$2:$AF$1001,0),MATCH(COLUMNS($AM$1006:AY1006),$AM$1006:$BM$1006,0)), HYPERLINK("#",""), HYPERLINK(CONCATENATE("#metadata!", ADDRESS(INDEX($AH$2:$AH$1001,MATCH(ROWS($AF$2:AF495),$AF$2:$AF$1001,0),0), INDEX($AM$1004:$BM$1004,1,MATCH(COLUMNS($AM$1006:AY1006),$AM$1006:$BM$1006,0)))),"Fix")))</f>
        <v xml:space="preserve"> </v>
      </c>
      <c r="O495" s="4" t="str">
        <f ca="1">IF(OR(INDEX($AG$2:$AG$1001,MATCH(ROWS($AF$2:AF495),$AF$2:$AF$1001,0),1)&gt;=100000,INDEX($AM$1005:$BM$1005,1,MATCH(COLUMNS($AM$1006:AZ1006),$AM$1006:$BM$1006,0))&gt;=100000), " ",IF(INDEX($AM$2:$BM$1001,MATCH(ROWS($AF$2:AF495),$AF$2:$AF$1001,0),MATCH(COLUMNS($AM$1006:AZ1006),$AM$1006:$BM$1006,0)), HYPERLINK("#",""), HYPERLINK(CONCATENATE("#metadata!", ADDRESS(INDEX($AH$2:$AH$1001,MATCH(ROWS($AF$2:AF495),$AF$2:$AF$1001,0),0), INDEX($AM$1004:$BM$1004,1,MATCH(COLUMNS($AM$1006:AZ1006),$AM$1006:$BM$1006,0)))),"Fix")))</f>
        <v xml:space="preserve"> </v>
      </c>
      <c r="P495" s="4" t="str">
        <f ca="1">IF(OR(INDEX($AG$2:$AG$1001,MATCH(ROWS($AF$2:AF495),$AF$2:$AF$1001,0),1)&gt;=100000,INDEX($AM$1005:$BM$1005,1,MATCH(COLUMNS($AM$1006:BA1006),$AM$1006:$BM$1006,0))&gt;=100000), " ",IF(INDEX($AM$2:$BM$1001,MATCH(ROWS($AF$2:AF495),$AF$2:$AF$1001,0),MATCH(COLUMNS($AM$1006:BA1006),$AM$1006:$BM$1006,0)), HYPERLINK("#",""), HYPERLINK(CONCATENATE("#metadata!", ADDRESS(INDEX($AH$2:$AH$1001,MATCH(ROWS($AF$2:AF495),$AF$2:$AF$1001,0),0), INDEX($AM$1004:$BM$1004,1,MATCH(COLUMNS($AM$1006:BA1006),$AM$1006:$BM$1006,0)))),"Fix")))</f>
        <v xml:space="preserve"> </v>
      </c>
      <c r="Q495" s="4" t="str">
        <f ca="1">IF(OR(INDEX($AG$2:$AG$1001,MATCH(ROWS($AF$2:AF495),$AF$2:$AF$1001,0),1)&gt;=100000,INDEX($AM$1005:$BM$1005,1,MATCH(COLUMNS($AM$1006:BB1006),$AM$1006:$BM$1006,0))&gt;=100000), " ",IF(INDEX($AM$2:$BM$1001,MATCH(ROWS($AF$2:AF495),$AF$2:$AF$1001,0),MATCH(COLUMNS($AM$1006:BB1006),$AM$1006:$BM$1006,0)), HYPERLINK("#",""), HYPERLINK(CONCATENATE("#metadata!", ADDRESS(INDEX($AH$2:$AH$1001,MATCH(ROWS($AF$2:AF495),$AF$2:$AF$1001,0),0), INDEX($AM$1004:$BM$1004,1,MATCH(COLUMNS($AM$1006:BB1006),$AM$1006:$BM$1006,0)))),"Fix")))</f>
        <v xml:space="preserve"> </v>
      </c>
      <c r="R495" s="4" t="str">
        <f ca="1">IF(OR(INDEX($AG$2:$AG$1001,MATCH(ROWS($AF$2:AF495),$AF$2:$AF$1001,0),1)&gt;=100000,INDEX($AM$1005:$BM$1005,1,MATCH(COLUMNS($AM$1006:BC1006),$AM$1006:$BM$1006,0))&gt;=100000), " ",IF(INDEX($AM$2:$BM$1001,MATCH(ROWS($AF$2:AF495),$AF$2:$AF$1001,0),MATCH(COLUMNS($AM$1006:BC1006),$AM$1006:$BM$1006,0)), HYPERLINK("#",""), HYPERLINK(CONCATENATE("#metadata!", ADDRESS(INDEX($AH$2:$AH$1001,MATCH(ROWS($AF$2:AF495),$AF$2:$AF$1001,0),0), INDEX($AM$1004:$BM$1004,1,MATCH(COLUMNS($AM$1006:BC1006),$AM$1006:$BM$1006,0)))),"Fix")))</f>
        <v xml:space="preserve"> </v>
      </c>
      <c r="S495" s="4" t="str">
        <f ca="1">IF(OR(INDEX($AG$2:$AG$1001,MATCH(ROWS($AF$2:AF495),$AF$2:$AF$1001,0),1)&gt;=100000,INDEX($AM$1005:$BM$1005,1,MATCH(COLUMNS($AM$1006:BD1006),$AM$1006:$BM$1006,0))&gt;=100000), " ",IF(INDEX($AM$2:$BM$1001,MATCH(ROWS($AF$2:AF495),$AF$2:$AF$1001,0),MATCH(COLUMNS($AM$1006:BD1006),$AM$1006:$BM$1006,0)), HYPERLINK("#",""), HYPERLINK(CONCATENATE("#metadata!", ADDRESS(INDEX($AH$2:$AH$1001,MATCH(ROWS($AF$2:AF495),$AF$2:$AF$1001,0),0), INDEX($AM$1004:$BM$1004,1,MATCH(COLUMNS($AM$1006:BD1006),$AM$1006:$BM$1006,0)))),"Fix")))</f>
        <v xml:space="preserve"> </v>
      </c>
      <c r="T495" s="4" t="str">
        <f ca="1">IF(OR(INDEX($AG$2:$AG$1001,MATCH(ROWS($AF$2:AF495),$AF$2:$AF$1001,0),1)&gt;=100000,INDEX($AM$1005:$BM$1005,1,MATCH(COLUMNS($AM$1006:BE1006),$AM$1006:$BM$1006,0))&gt;=100000), " ",IF(INDEX($AM$2:$BM$1001,MATCH(ROWS($AF$2:AF495),$AF$2:$AF$1001,0),MATCH(COLUMNS($AM$1006:BE1006),$AM$1006:$BM$1006,0)), HYPERLINK("#",""), HYPERLINK(CONCATENATE("#metadata!", ADDRESS(INDEX($AH$2:$AH$1001,MATCH(ROWS($AF$2:AF495),$AF$2:$AF$1001,0),0), INDEX($AM$1004:$BM$1004,1,MATCH(COLUMNS($AM$1006:BE1006),$AM$1006:$BM$1006,0)))),"Fix")))</f>
        <v xml:space="preserve"> </v>
      </c>
      <c r="U495" s="4" t="str">
        <f ca="1">IF(OR(INDEX($AG$2:$AG$1001,MATCH(ROWS($AF$2:AF495),$AF$2:$AF$1001,0),1)&gt;=100000,INDEX($AM$1005:$BM$1005,1,MATCH(COLUMNS($AM$1006:BF1006),$AM$1006:$BM$1006,0))&gt;=100000), " ",IF(INDEX($AM$2:$BM$1001,MATCH(ROWS($AF$2:AF495),$AF$2:$AF$1001,0),MATCH(COLUMNS($AM$1006:BF1006),$AM$1006:$BM$1006,0)), HYPERLINK("#",""), HYPERLINK(CONCATENATE("#metadata!", ADDRESS(INDEX($AH$2:$AH$1001,MATCH(ROWS($AF$2:AF495),$AF$2:$AF$1001,0),0), INDEX($AM$1004:$BM$1004,1,MATCH(COLUMNS($AM$1006:BF1006),$AM$1006:$BM$1006,0)))),"Fix")))</f>
        <v xml:space="preserve"> </v>
      </c>
      <c r="V495" s="4" t="str">
        <f ca="1">IF(OR(INDEX($AG$2:$AG$1001,MATCH(ROWS($AF$2:AF495),$AF$2:$AF$1001,0),1)&gt;=100000,INDEX($AM$1005:$BM$1005,1,MATCH(COLUMNS($AM$1006:BG1006),$AM$1006:$BM$1006,0))&gt;=100000), " ",IF(INDEX($AM$2:$BM$1001,MATCH(ROWS($AF$2:AF495),$AF$2:$AF$1001,0),MATCH(COLUMNS($AM$1006:BG1006),$AM$1006:$BM$1006,0)), HYPERLINK("#",""), HYPERLINK(CONCATENATE("#metadata!", ADDRESS(INDEX($AH$2:$AH$1001,MATCH(ROWS($AF$2:AF495),$AF$2:$AF$1001,0),0), INDEX($AM$1004:$BM$1004,1,MATCH(COLUMNS($AM$1006:BG1006),$AM$1006:$BM$1006,0)))),"Fix")))</f>
        <v xml:space="preserve"> </v>
      </c>
      <c r="W495" s="4" t="str">
        <f ca="1">IF(OR(INDEX($AG$2:$AG$1001,MATCH(ROWS($AF$2:AF495),$AF$2:$AF$1001,0),1)&gt;=100000,INDEX($AM$1005:$BM$1005,1,MATCH(COLUMNS($AM$1006:BH1006),$AM$1006:$BM$1006,0))&gt;=100000), " ",IF(INDEX($AM$2:$BM$1001,MATCH(ROWS($AF$2:AF495),$AF$2:$AF$1001,0),MATCH(COLUMNS($AM$1006:BH1006),$AM$1006:$BM$1006,0)), HYPERLINK("#",""), HYPERLINK(CONCATENATE("#metadata!", ADDRESS(INDEX($AH$2:$AH$1001,MATCH(ROWS($AF$2:AF495),$AF$2:$AF$1001,0),0), INDEX($AM$1004:$BM$1004,1,MATCH(COLUMNS($AM$1006:BH1006),$AM$1006:$BM$1006,0)))),"Fix")))</f>
        <v xml:space="preserve"> </v>
      </c>
      <c r="X495" s="4" t="str">
        <f ca="1">IF(OR(INDEX($AG$2:$AG$1001,MATCH(ROWS($AF$2:AF495),$AF$2:$AF$1001,0),1)&gt;=100000,INDEX($AM$1005:$BM$1005,1,MATCH(COLUMNS($AM$1006:BI1006),$AM$1006:$BM$1006,0))&gt;=100000), " ",IF(INDEX($AM$2:$BM$1001,MATCH(ROWS($AF$2:AF495),$AF$2:$AF$1001,0),MATCH(COLUMNS($AM$1006:BI1006),$AM$1006:$BM$1006,0)), HYPERLINK("#",""), HYPERLINK(CONCATENATE("#metadata!", ADDRESS(INDEX($AH$2:$AH$1001,MATCH(ROWS($AF$2:AF495),$AF$2:$AF$1001,0),0), INDEX($AM$1004:$BM$1004,1,MATCH(COLUMNS($AM$1006:BI1006),$AM$1006:$BM$1006,0)))),"Fix")))</f>
        <v xml:space="preserve"> </v>
      </c>
      <c r="Y495" s="4" t="str">
        <f ca="1">IF(OR(INDEX($AG$2:$AG$1001,MATCH(ROWS($AF$2:AF495),$AF$2:$AF$1001,0),1)&gt;=100000,INDEX($AM$1005:$BM$1005,1,MATCH(COLUMNS($AM$1006:BJ1006),$AM$1006:$BM$1006,0))&gt;=100000), " ",IF(INDEX($AM$2:$BM$1001,MATCH(ROWS($AF$2:AF495),$AF$2:$AF$1001,0),MATCH(COLUMNS($AM$1006:BJ1006),$AM$1006:$BM$1006,0)), HYPERLINK("#",""), HYPERLINK(CONCATENATE("#metadata!", ADDRESS(INDEX($AH$2:$AH$1001,MATCH(ROWS($AF$2:AF495),$AF$2:$AF$1001,0),0), INDEX($AM$1004:$BM$1004,1,MATCH(COLUMNS($AM$1006:BJ1006),$AM$1006:$BM$1006,0)))),"Fix")))</f>
        <v xml:space="preserve"> </v>
      </c>
      <c r="Z495" s="4" t="str">
        <f ca="1">IF(OR(INDEX($AG$2:$AG$1001,MATCH(ROWS($AF$2:AF495),$AF$2:$AF$1001,0),1)&gt;=100000,INDEX($AM$1005:$BM$1005,1,MATCH(COLUMNS($AM$1006:BK1006),$AM$1006:$BM$1006,0))&gt;=100000), " ",IF(INDEX($AM$2:$BM$1001,MATCH(ROWS($AF$2:AF495),$AF$2:$AF$1001,0),MATCH(COLUMNS($AM$1006:BK1006),$AM$1006:$BM$1006,0)), HYPERLINK("#",""), HYPERLINK(CONCATENATE("#metadata!", ADDRESS(INDEX($AH$2:$AH$1001,MATCH(ROWS($AF$2:AF495),$AF$2:$AF$1001,0),0), INDEX($AM$1004:$BM$1004,1,MATCH(COLUMNS($AM$1006:BK1006),$AM$1006:$BM$1006,0)))),"Fix")))</f>
        <v xml:space="preserve"> </v>
      </c>
      <c r="AA495" s="4" t="str">
        <f ca="1">IF(OR(INDEX($AG$2:$AG$1001,MATCH(ROWS($AF$2:AF495),$AF$2:$AF$1001,0),1)&gt;=100000,INDEX($AM$1005:$BM$1005,1,MATCH(COLUMNS($AM$1006:BL1006),$AM$1006:$BM$1006,0))&gt;=100000), " ",IF(INDEX($AM$2:$BM$1001,MATCH(ROWS($AF$2:AF495),$AF$2:$AF$1001,0),MATCH(COLUMNS($AM$1006:BL1006),$AM$1006:$BM$1006,0)), HYPERLINK("#",""), HYPERLINK(CONCATENATE("#metadata!", ADDRESS(INDEX($AH$2:$AH$1001,MATCH(ROWS($AF$2:AF495),$AF$2:$AF$1001,0),0), INDEX($AM$1004:$BM$1004,1,MATCH(COLUMNS($AM$1006:BL1006),$AM$1006:$BM$1006,0)))),"Fix")))</f>
        <v xml:space="preserve"> </v>
      </c>
      <c r="AB495" s="4" t="str">
        <f ca="1">IF(OR(INDEX($AG$2:$AG$1001,MATCH(ROWS($AF$2:AF495),$AF$2:$AF$1001,0),1)&gt;=100000,INDEX($AM$1005:$BM$1005,1,MATCH(COLUMNS($AM$1006:BM1006),$AM$1006:$BM$1006,0))&gt;=100000), " ",IF(INDEX($AM$2:$BM$1001,MATCH(ROWS($AF$2:AF495),$AF$2:$AF$1001,0),MATCH(COLUMNS($AM$1006:BM1006),$AM$1006:$BM$1006,0)), HYPERLINK("#",""), HYPERLINK(CONCATENATE("#metadata!", ADDRESS(INDEX($AH$2:$AH$1001,MATCH(ROWS($AF$2:AF495),$AF$2:$AF$1001,0),0), INDEX($AM$1004:$BM$1004,1,MATCH(COLUMNS($AM$1006:BM1006),$AM$1006:$BM$1006,0)))),"Fix")))</f>
        <v xml:space="preserve"> </v>
      </c>
      <c r="AF495">
        <v>494</v>
      </c>
      <c r="AG495">
        <v>100495</v>
      </c>
      <c r="AH495">
        <v>495</v>
      </c>
      <c r="AI495" t="b">
        <f t="shared" si="7"/>
        <v>1</v>
      </c>
      <c r="AJ495" t="b">
        <f>COUNTBLANK(metadata!B495:AB495)=COLUMNS(metadata!B495:AB495)</f>
        <v>1</v>
      </c>
      <c r="AK495" t="str">
        <v/>
      </c>
      <c r="AM495" t="b">
        <f ca="1">AND(IF(metadata!B495="",FALSE,TRUE),COUNTIF(metadata!B:B, metadata!B495) = 1,NOT(ISERROR(SUMPRODUCT(SEARCH(MID(metadata!B495,ROW(INDIRECT("1:"&amp;LEN(metadata!B495))), 1),"0123456789abcdefghijklmnopqrstuvwxyzABCDEFGHIJKLMNOPQRSTUVWXYZ.")))))</f>
        <v>0</v>
      </c>
      <c r="AN495" t="b">
        <f ca="1">OR(AND(IF(metadata!C495="",FALSE,TRUE),OR(EXACT(metadata!C495,"missing: not collected"),EXACT(metadata!C495,"missing: not provided"),EXACT(metadata!C495,"missing: restricted access"))),AND(IF(metadata!C495="",FALSE,TRUE),AND(AND(IFERROR(INT(LEFT(metadata!C495,4))&gt;1900,FALSE),IFERROR(INT(LEFT(metadata!C495,4))&lt;=YEAR(NOW()),FALSE)), OR(MID(metadata!C495,5,1)="", AND(AND(MID(metadata!C495,5,1)="-",IFERROR(INT(MID(metadata!C495,6,1))&gt;=0,FALSE),IFERROR(INT(MID(metadata!C495,6,1))&lt;=1,FALSE),NOT(MID(metadata!C495,7,1)=""),IFERROR(INT(MID(metadata!C495,6,2))&gt;=1,FALSE),IFERROR(INT(MID(metadata!C495,6,2))&lt;=12,FALSE)), OR(MID(metadata!C495,8,1)="", AND(AND(MID(metadata!C495,8,1)="-",IFERROR(INT(MID(metadata!C495,9,1))&gt;=0,FALSE),IFERROR(INT(MID(metadata!C495,9,1))&lt;=3,FALSE),NOT(MID(metadata!C495,10,1)=""),IFERROR(INT(MID(metadata!C495,9,2))&gt;=1,FALSE),IFERROR(INT(MID(metadata!C495,9,2))&lt;=31,FALSE)), OR(MID(metadata!C495,11,1)="", AND(AND(MID(metadata!C495,11,1)=" ",IFERROR(INT(MID(metadata!C495,12,1))&gt;=0,FALSE),IFERROR(INT(MID(metadata!C495,12,1))&lt;=2,FALSE),NOT(MID(metadata!C495,13,1)=""),IFERROR(INT(MID(metadata!C495,12,2))&gt;=0,FALSE),IFERROR(INT(MID(metadata!C495,12,2))&lt;=23,FALSE)), OR(MID(metadata!C495,14,1)="", AND(AND(MID(metadata!C495,14,1)=":",IFERROR(INT(MID(metadata!C495,15,1))&gt;=0,FALSE),IFERROR(INT(MID(metadata!C495,15,1))&lt;=5,FALSE),NOT(MID(metadata!C495,16,1)=""),IFERROR(INT(MID(metadata!C495,15,2))&gt;=0,FALSE),IFERROR(INT(MID(metadata!C495,15,2))&lt;=59,FALSE)), OR(MID(metadata!C495,17,1)="", AND(AND(MID(metadata!C495,17,1)=":",IFERROR(INT(MID(metadata!C495,18,1))&gt;=0,FALSE),IFERROR(INT(MID(metadata!C495,18,1))&lt;=5,FALSE),NOT(MID(metadata!C495,19,1)=""),IFERROR(INT(MID(metadata!C495,18,2))&gt;=0,FALSE),IFERROR(INT(MID(metadata!C495,18,2))&lt;=59,FALSE)), LEN(metadata!C495)&lt;=19)))))))))))))</f>
        <v>0</v>
      </c>
      <c r="AO495" t="b">
        <f>AND(IF(metadata!D495="",FALSE,TRUE),EXACT(metadata!D495,"Not applicable"))</f>
        <v>0</v>
      </c>
      <c r="AP495" t="b">
        <f>IF(metadata!E495="",FALSE,TRUE)</f>
        <v>0</v>
      </c>
      <c r="AQ495" t="b">
        <f>OR(AND(IF(metadata!F495="",FALSE,TRUE),OR(EXACT(metadata!F495,"missing: not collected"),EXACT(metadata!F495,"missing: not provided"))),AND(IF(metadata!F495="",FALSE,TRUE),OR(EXACT(metadata!F495,"TRUE"),EXACT(metadata!F495,"FALSE"))))</f>
        <v>0</v>
      </c>
      <c r="AR495" t="b">
        <f>OR(AND(IF(metadata!G495="",FALSE,TRUE),OR(EXACT(metadata!G495,"missing: not collected"),EXACT(metadata!G495,"missing: not provided"),EXACT(metadata!G495,"missing: restricted access"))),AND(IF(metadata!G495="",FALSE,ISNUMBER(VALUE(metadata!G495))),metadata!G495&gt;=-413))</f>
        <v>0</v>
      </c>
      <c r="AS495" t="b">
        <f>AND(IF(metadata!H495="",FALSE,TRUE),EXACT(metadata!H495,"meters"))</f>
        <v>0</v>
      </c>
      <c r="AT495" t="b">
        <f>AND(IF(metadata!I495="",FALSE,TRUE),OR(EXACT(metadata!I495,"Host-associated"),EXACT(metadata!I495,"Free-living")))</f>
        <v>0</v>
      </c>
      <c r="AU495" t="b">
        <f>AND(IF(metadata!J495="",FALSE,TRUE),OR(EXACT(metadata!J495,"Animal"),EXACT(metadata!J495,"Fungus"),EXACT(metadata!J495,"Plant"),EXACT(metadata!J495,"Saline"),EXACT(metadata!J495,"Non-saline")))</f>
        <v>0</v>
      </c>
      <c r="AV495" t="b">
        <f>AND(IF(metadata!K495="",FALSE,TRUE),OR(EXACT(metadata!K495,"Plant secretion"),EXACT(metadata!K495,"Plant rhizosphere"),EXACT(metadata!K495,"Plant surface"),EXACT(metadata!K495,"Plant corpus"),EXACT(metadata!K495,"Fungus surface"),EXACT(metadata!K495,"Fungus corpus"),EXACT(metadata!K495,"Animal surface"),EXACT(metadata!K495,"Animal proximal gut"),EXACT(metadata!K495,"Animal corpus"),EXACT(metadata!K495,"Animal distal gut"),EXACT(metadata!K495,"Animal secretion"),EXACT(metadata!K495,"Sub-surface (non-saline)"),EXACT(metadata!K495,"Surface (non-saline)"),EXACT(metadata!K495,"Water (non-saline)"),EXACT(metadata!K495,"Soil (non-saline)"),EXACT(metadata!K495,"Aerosol (non-saline)"),EXACT(metadata!K495,"Sediment (non-saline)"),EXACT(metadata!K495,"Surface (saline)"),EXACT(metadata!K495,"Water (saline)"),EXACT(metadata!K495,"Hypersaline (saline)"),EXACT(metadata!K495,"Aerosol (saline)"),EXACT(metadata!K495,"Sediment (saline)")))</f>
        <v>0</v>
      </c>
      <c r="AW495" t="b">
        <f>IF(metadata!L495="",FALSE,TRUE)</f>
        <v>0</v>
      </c>
      <c r="AX495" t="b">
        <f>IF(metadata!M495="",FALSE,TRUE)</f>
        <v>0</v>
      </c>
      <c r="AY495" t="b">
        <f>IF(metadata!N495="",FALSE,TRUE)</f>
        <v>0</v>
      </c>
      <c r="AZ495" t="b">
        <f>OR(AND(IF(metadata!O495="",FALSE,TRUE),OR(EXACT(metadata!O495,"missing: not collected"),EXACT(metadata!O495,"missing: not provided"),EXACT(metadata!O495,"missing: restricted access"))),AND(IF(metadata!O495="",FALSE,TRUE),OR(EXACT(metadata!O495,"air"),EXACT(metadata!O495,"built environment"),EXACT(metadata!O495,"host-associated"),EXACT(metadata!O495,"human-associated"),EXACT(metadata!O495,"human-skin"),EXACT(metadata!O495,"human-oral"),EXACT(metadata!O495,"human-gut"),EXACT(metadata!O495,"human-vaginal"),EXACT(metadata!O495,"microbial mat/biofilm"),EXACT(metadata!O495,"misc environment"),EXACT(metadata!O495,"plant-associated"),EXACT(metadata!O495,"sediment"),EXACT(metadata!O495,"soil"),EXACT(metadata!O495,"wastewater/sludge"),EXACT(metadata!O495,"water"))))</f>
        <v>0</v>
      </c>
      <c r="BA495" t="b">
        <f>IF(metadata!P495="",FALSE,TRUE)</f>
        <v>0</v>
      </c>
      <c r="BB495" t="b">
        <f>IF(metadata!Q495="",FALSE,TRUE)</f>
        <v>0</v>
      </c>
      <c r="BC495" t="b">
        <f>OR(AND(IF(metadata!R495="",FALSE,TRUE),OR(EXACT(metadata!R495,"missing: not collected"),EXACT(metadata!R495,"missing: not provided"),EXACT(metadata!R495,"missing: restricted access"))),AND(IF(metadata!R495="",FALSE,ISNUMBER(VALUE(metadata!R495))),metadata!R495&gt;=-90,metadata!R495&lt;=90))</f>
        <v>0</v>
      </c>
      <c r="BD495" t="b">
        <f>AND(IF(metadata!S495="",FALSE,TRUE),EXACT(metadata!S495,"Decimal degrees"))</f>
        <v>0</v>
      </c>
      <c r="BE495" t="b">
        <f>OR(AND(IF(metadata!T495="",FALSE,TRUE),OR(EXACT(metadata!T495,"missing: not collected"),EXACT(metadata!T495,"missing: not provided"),EXACT(metadata!T495,"missing: restricted access"))),AND(IF(metadata!T495="",FALSE,ISNUMBER(VALUE(metadata!T495))),metadata!T495&gt;=-180,metadata!T495&lt;=180))</f>
        <v>0</v>
      </c>
      <c r="BF495" t="b">
        <f>AND(IF(metadata!U495="",FALSE,TRUE),EXACT(metadata!U495,"Decimal degrees"))</f>
        <v>0</v>
      </c>
      <c r="BG495" t="b">
        <f>IF(metadata!V495="",FALSE,TRUE)</f>
        <v>0</v>
      </c>
      <c r="BH495" t="b">
        <f>OR(AND(IF(metadata!W495="",FALSE,TRUE),OR(EXACT(metadata!W495,"missing: not collected"),EXACT(metadata!W495,"missing: not provided"),EXACT(metadata!W495,"missing: restricted access"))),AND(IF(metadata!W495="",FALSE,TRUE),OR(EXACT(metadata!W495,"TRUE"),EXACT(metadata!W495,"FALSE"))))</f>
        <v>0</v>
      </c>
      <c r="BI495" t="b">
        <f>AND(IF(metadata!X495="",FALSE,TRUE),EXACT(metadata!X495,"other"))</f>
        <v>0</v>
      </c>
      <c r="BJ495" t="b">
        <f>IF(metadata!Y495="",FALSE,TRUE)</f>
        <v>0</v>
      </c>
      <c r="BK495" t="b">
        <f>OR(AND(IF(metadata!Z495="",FALSE,TRUE),OR(EXACT(metadata!Z495,"missing: not collected"),EXACT(metadata!Z495,"missing: not provided"))),AND(IF(metadata!Z495="",FALSE,IF(ISERROR(INT(metadata!Z495)),FALSE,INT(metadata!Z495)=metadata!Z495)),metadata!Z495&gt;0))</f>
        <v>0</v>
      </c>
      <c r="BL495" t="b">
        <f>AND(IF(metadata!AA495="",FALSE,TRUE),EXACT(metadata!AA495,"Not applicable"))</f>
        <v>0</v>
      </c>
      <c r="BM495" t="b">
        <f>IF(metadata!AB495="",FALSE,TRUE)</f>
        <v>0</v>
      </c>
    </row>
    <row r="496" spans="1:65" x14ac:dyDescent="0.2">
      <c r="A496" s="5" t="str">
        <f ca="1">IF(B496=" "," ",HYPERLINK(CONCATENATE("#metadata!",ADDRESS(INDEX($AH$2:$AH$1001,MATCH(ROWS($AF$2:AF496),$AF$2:$AF$1001,0),0),1)),INDEX($AK$2:$AK$1001,MATCH(ROWS($AF$2:AF496),$AF$2:$AF$1001,0),0)))</f>
        <v xml:space="preserve"> </v>
      </c>
      <c r="B496" s="4" t="str">
        <f ca="1">IF(OR(INDEX($AG$2:$AG$1001,MATCH(ROWS($AF$2:AF496),$AF$2:$AF$1001,0),1)&gt;=100000,INDEX($AM$1005:$BM$1005,1,MATCH(COLUMNS($AM$1006:AM1006),$AM$1006:$BM$1006,0))&gt;=100000), " ",IF(INDEX($AM$2:$BM$1001,MATCH(ROWS($AF$2:AF496),$AF$2:$AF$1001,0),MATCH(COLUMNS($AM$1006:AM1006),$AM$1006:$BM$1006,0)), HYPERLINK("#",""), HYPERLINK(CONCATENATE("#metadata!", ADDRESS(INDEX($AH$2:$AH$1001,MATCH(ROWS($AF$2:AF496),$AF$2:$AF$1001,0),0), INDEX($AM$1004:$BM$1004,1,MATCH(COLUMNS($AM$1006:AM1006),$AM$1006:$BM$1006,0)))),"Fix")))</f>
        <v xml:space="preserve"> </v>
      </c>
      <c r="C496" s="4" t="str">
        <f ca="1">IF(OR(INDEX($AG$2:$AG$1001,MATCH(ROWS($AF$2:AF496),$AF$2:$AF$1001,0),1)&gt;=100000,INDEX($AM$1005:$BM$1005,1,MATCH(COLUMNS($AM$1006:AN1006),$AM$1006:$BM$1006,0))&gt;=100000), " ",IF(INDEX($AM$2:$BM$1001,MATCH(ROWS($AF$2:AF496),$AF$2:$AF$1001,0),MATCH(COLUMNS($AM$1006:AN1006),$AM$1006:$BM$1006,0)), HYPERLINK("#",""), HYPERLINK(CONCATENATE("#metadata!", ADDRESS(INDEX($AH$2:$AH$1001,MATCH(ROWS($AF$2:AF496),$AF$2:$AF$1001,0),0), INDEX($AM$1004:$BM$1004,1,MATCH(COLUMNS($AM$1006:AN1006),$AM$1006:$BM$1006,0)))),"Fix")))</f>
        <v xml:space="preserve"> </v>
      </c>
      <c r="D496" s="4" t="str">
        <f ca="1">IF(OR(INDEX($AG$2:$AG$1001,MATCH(ROWS($AF$2:AF496),$AF$2:$AF$1001,0),1)&gt;=100000,INDEX($AM$1005:$BM$1005,1,MATCH(COLUMNS($AM$1006:AO1006),$AM$1006:$BM$1006,0))&gt;=100000), " ",IF(INDEX($AM$2:$BM$1001,MATCH(ROWS($AF$2:AF496),$AF$2:$AF$1001,0),MATCH(COLUMNS($AM$1006:AO1006),$AM$1006:$BM$1006,0)), HYPERLINK("#",""), HYPERLINK(CONCATENATE("#metadata!", ADDRESS(INDEX($AH$2:$AH$1001,MATCH(ROWS($AF$2:AF496),$AF$2:$AF$1001,0),0), INDEX($AM$1004:$BM$1004,1,MATCH(COLUMNS($AM$1006:AO1006),$AM$1006:$BM$1006,0)))),"Fix")))</f>
        <v xml:space="preserve"> </v>
      </c>
      <c r="E496" s="4" t="str">
        <f ca="1">IF(OR(INDEX($AG$2:$AG$1001,MATCH(ROWS($AF$2:AF496),$AF$2:$AF$1001,0),1)&gt;=100000,INDEX($AM$1005:$BM$1005,1,MATCH(COLUMNS($AM$1006:AP1006),$AM$1006:$BM$1006,0))&gt;=100000), " ",IF(INDEX($AM$2:$BM$1001,MATCH(ROWS($AF$2:AF496),$AF$2:$AF$1001,0),MATCH(COLUMNS($AM$1006:AP1006),$AM$1006:$BM$1006,0)), HYPERLINK("#",""), HYPERLINK(CONCATENATE("#metadata!", ADDRESS(INDEX($AH$2:$AH$1001,MATCH(ROWS($AF$2:AF496),$AF$2:$AF$1001,0),0), INDEX($AM$1004:$BM$1004,1,MATCH(COLUMNS($AM$1006:AP1006),$AM$1006:$BM$1006,0)))),"Fix")))</f>
        <v xml:space="preserve"> </v>
      </c>
      <c r="F496" s="4" t="str">
        <f ca="1">IF(OR(INDEX($AG$2:$AG$1001,MATCH(ROWS($AF$2:AF496),$AF$2:$AF$1001,0),1)&gt;=100000,INDEX($AM$1005:$BM$1005,1,MATCH(COLUMNS($AM$1006:AQ1006),$AM$1006:$BM$1006,0))&gt;=100000), " ",IF(INDEX($AM$2:$BM$1001,MATCH(ROWS($AF$2:AF496),$AF$2:$AF$1001,0),MATCH(COLUMNS($AM$1006:AQ1006),$AM$1006:$BM$1006,0)), HYPERLINK("#",""), HYPERLINK(CONCATENATE("#metadata!", ADDRESS(INDEX($AH$2:$AH$1001,MATCH(ROWS($AF$2:AF496),$AF$2:$AF$1001,0),0), INDEX($AM$1004:$BM$1004,1,MATCH(COLUMNS($AM$1006:AQ1006),$AM$1006:$BM$1006,0)))),"Fix")))</f>
        <v xml:space="preserve"> </v>
      </c>
      <c r="G496" s="4" t="str">
        <f ca="1">IF(OR(INDEX($AG$2:$AG$1001,MATCH(ROWS($AF$2:AF496),$AF$2:$AF$1001,0),1)&gt;=100000,INDEX($AM$1005:$BM$1005,1,MATCH(COLUMNS($AM$1006:AR1006),$AM$1006:$BM$1006,0))&gt;=100000), " ",IF(INDEX($AM$2:$BM$1001,MATCH(ROWS($AF$2:AF496),$AF$2:$AF$1001,0),MATCH(COLUMNS($AM$1006:AR1006),$AM$1006:$BM$1006,0)), HYPERLINK("#",""), HYPERLINK(CONCATENATE("#metadata!", ADDRESS(INDEX($AH$2:$AH$1001,MATCH(ROWS($AF$2:AF496),$AF$2:$AF$1001,0),0), INDEX($AM$1004:$BM$1004,1,MATCH(COLUMNS($AM$1006:AR1006),$AM$1006:$BM$1006,0)))),"Fix")))</f>
        <v xml:space="preserve"> </v>
      </c>
      <c r="H496" s="4" t="str">
        <f ca="1">IF(OR(INDEX($AG$2:$AG$1001,MATCH(ROWS($AF$2:AF496),$AF$2:$AF$1001,0),1)&gt;=100000,INDEX($AM$1005:$BM$1005,1,MATCH(COLUMNS($AM$1006:AS1006),$AM$1006:$BM$1006,0))&gt;=100000), " ",IF(INDEX($AM$2:$BM$1001,MATCH(ROWS($AF$2:AF496),$AF$2:$AF$1001,0),MATCH(COLUMNS($AM$1006:AS1006),$AM$1006:$BM$1006,0)), HYPERLINK("#",""), HYPERLINK(CONCATENATE("#metadata!", ADDRESS(INDEX($AH$2:$AH$1001,MATCH(ROWS($AF$2:AF496),$AF$2:$AF$1001,0),0), INDEX($AM$1004:$BM$1004,1,MATCH(COLUMNS($AM$1006:AS1006),$AM$1006:$BM$1006,0)))),"Fix")))</f>
        <v xml:space="preserve"> </v>
      </c>
      <c r="I496" s="4" t="str">
        <f ca="1">IF(OR(INDEX($AG$2:$AG$1001,MATCH(ROWS($AF$2:AF496),$AF$2:$AF$1001,0),1)&gt;=100000,INDEX($AM$1005:$BM$1005,1,MATCH(COLUMNS($AM$1006:AT1006),$AM$1006:$BM$1006,0))&gt;=100000), " ",IF(INDEX($AM$2:$BM$1001,MATCH(ROWS($AF$2:AF496),$AF$2:$AF$1001,0),MATCH(COLUMNS($AM$1006:AT1006),$AM$1006:$BM$1006,0)), HYPERLINK("#",""), HYPERLINK(CONCATENATE("#metadata!", ADDRESS(INDEX($AH$2:$AH$1001,MATCH(ROWS($AF$2:AF496),$AF$2:$AF$1001,0),0), INDEX($AM$1004:$BM$1004,1,MATCH(COLUMNS($AM$1006:AT1006),$AM$1006:$BM$1006,0)))),"Fix")))</f>
        <v xml:space="preserve"> </v>
      </c>
      <c r="J496" s="4" t="str">
        <f ca="1">IF(OR(INDEX($AG$2:$AG$1001,MATCH(ROWS($AF$2:AF496),$AF$2:$AF$1001,0),1)&gt;=100000,INDEX($AM$1005:$BM$1005,1,MATCH(COLUMNS($AM$1006:AU1006),$AM$1006:$BM$1006,0))&gt;=100000), " ",IF(INDEX($AM$2:$BM$1001,MATCH(ROWS($AF$2:AF496),$AF$2:$AF$1001,0),MATCH(COLUMNS($AM$1006:AU1006),$AM$1006:$BM$1006,0)), HYPERLINK("#",""), HYPERLINK(CONCATENATE("#metadata!", ADDRESS(INDEX($AH$2:$AH$1001,MATCH(ROWS($AF$2:AF496),$AF$2:$AF$1001,0),0), INDEX($AM$1004:$BM$1004,1,MATCH(COLUMNS($AM$1006:AU1006),$AM$1006:$BM$1006,0)))),"Fix")))</f>
        <v xml:space="preserve"> </v>
      </c>
      <c r="K496" s="4" t="str">
        <f ca="1">IF(OR(INDEX($AG$2:$AG$1001,MATCH(ROWS($AF$2:AF496),$AF$2:$AF$1001,0),1)&gt;=100000,INDEX($AM$1005:$BM$1005,1,MATCH(COLUMNS($AM$1006:AV1006),$AM$1006:$BM$1006,0))&gt;=100000), " ",IF(INDEX($AM$2:$BM$1001,MATCH(ROWS($AF$2:AF496),$AF$2:$AF$1001,0),MATCH(COLUMNS($AM$1006:AV1006),$AM$1006:$BM$1006,0)), HYPERLINK("#",""), HYPERLINK(CONCATENATE("#metadata!", ADDRESS(INDEX($AH$2:$AH$1001,MATCH(ROWS($AF$2:AF496),$AF$2:$AF$1001,0),0), INDEX($AM$1004:$BM$1004,1,MATCH(COLUMNS($AM$1006:AV1006),$AM$1006:$BM$1006,0)))),"Fix")))</f>
        <v xml:space="preserve"> </v>
      </c>
      <c r="L496" s="4" t="str">
        <f ca="1">IF(OR(INDEX($AG$2:$AG$1001,MATCH(ROWS($AF$2:AF496),$AF$2:$AF$1001,0),1)&gt;=100000,INDEX($AM$1005:$BM$1005,1,MATCH(COLUMNS($AM$1006:AW1006),$AM$1006:$BM$1006,0))&gt;=100000), " ",IF(INDEX($AM$2:$BM$1001,MATCH(ROWS($AF$2:AF496),$AF$2:$AF$1001,0),MATCH(COLUMNS($AM$1006:AW1006),$AM$1006:$BM$1006,0)), HYPERLINK("#",""), HYPERLINK(CONCATENATE("#metadata!", ADDRESS(INDEX($AH$2:$AH$1001,MATCH(ROWS($AF$2:AF496),$AF$2:$AF$1001,0),0), INDEX($AM$1004:$BM$1004,1,MATCH(COLUMNS($AM$1006:AW1006),$AM$1006:$BM$1006,0)))),"Fix")))</f>
        <v xml:space="preserve"> </v>
      </c>
      <c r="M496" s="4" t="str">
        <f ca="1">IF(OR(INDEX($AG$2:$AG$1001,MATCH(ROWS($AF$2:AF496),$AF$2:$AF$1001,0),1)&gt;=100000,INDEX($AM$1005:$BM$1005,1,MATCH(COLUMNS($AM$1006:AX1006),$AM$1006:$BM$1006,0))&gt;=100000), " ",IF(INDEX($AM$2:$BM$1001,MATCH(ROWS($AF$2:AF496),$AF$2:$AF$1001,0),MATCH(COLUMNS($AM$1006:AX1006),$AM$1006:$BM$1006,0)), HYPERLINK("#",""), HYPERLINK(CONCATENATE("#metadata!", ADDRESS(INDEX($AH$2:$AH$1001,MATCH(ROWS($AF$2:AF496),$AF$2:$AF$1001,0),0), INDEX($AM$1004:$BM$1004,1,MATCH(COLUMNS($AM$1006:AX1006),$AM$1006:$BM$1006,0)))),"Fix")))</f>
        <v xml:space="preserve"> </v>
      </c>
      <c r="N496" s="4" t="str">
        <f ca="1">IF(OR(INDEX($AG$2:$AG$1001,MATCH(ROWS($AF$2:AF496),$AF$2:$AF$1001,0),1)&gt;=100000,INDEX($AM$1005:$BM$1005,1,MATCH(COLUMNS($AM$1006:AY1006),$AM$1006:$BM$1006,0))&gt;=100000), " ",IF(INDEX($AM$2:$BM$1001,MATCH(ROWS($AF$2:AF496),$AF$2:$AF$1001,0),MATCH(COLUMNS($AM$1006:AY1006),$AM$1006:$BM$1006,0)), HYPERLINK("#",""), HYPERLINK(CONCATENATE("#metadata!", ADDRESS(INDEX($AH$2:$AH$1001,MATCH(ROWS($AF$2:AF496),$AF$2:$AF$1001,0),0), INDEX($AM$1004:$BM$1004,1,MATCH(COLUMNS($AM$1006:AY1006),$AM$1006:$BM$1006,0)))),"Fix")))</f>
        <v xml:space="preserve"> </v>
      </c>
      <c r="O496" s="4" t="str">
        <f ca="1">IF(OR(INDEX($AG$2:$AG$1001,MATCH(ROWS($AF$2:AF496),$AF$2:$AF$1001,0),1)&gt;=100000,INDEX($AM$1005:$BM$1005,1,MATCH(COLUMNS($AM$1006:AZ1006),$AM$1006:$BM$1006,0))&gt;=100000), " ",IF(INDEX($AM$2:$BM$1001,MATCH(ROWS($AF$2:AF496),$AF$2:$AF$1001,0),MATCH(COLUMNS($AM$1006:AZ1006),$AM$1006:$BM$1006,0)), HYPERLINK("#",""), HYPERLINK(CONCATENATE("#metadata!", ADDRESS(INDEX($AH$2:$AH$1001,MATCH(ROWS($AF$2:AF496),$AF$2:$AF$1001,0),0), INDEX($AM$1004:$BM$1004,1,MATCH(COLUMNS($AM$1006:AZ1006),$AM$1006:$BM$1006,0)))),"Fix")))</f>
        <v xml:space="preserve"> </v>
      </c>
      <c r="P496" s="4" t="str">
        <f ca="1">IF(OR(INDEX($AG$2:$AG$1001,MATCH(ROWS($AF$2:AF496),$AF$2:$AF$1001,0),1)&gt;=100000,INDEX($AM$1005:$BM$1005,1,MATCH(COLUMNS($AM$1006:BA1006),$AM$1006:$BM$1006,0))&gt;=100000), " ",IF(INDEX($AM$2:$BM$1001,MATCH(ROWS($AF$2:AF496),$AF$2:$AF$1001,0),MATCH(COLUMNS($AM$1006:BA1006),$AM$1006:$BM$1006,0)), HYPERLINK("#",""), HYPERLINK(CONCATENATE("#metadata!", ADDRESS(INDEX($AH$2:$AH$1001,MATCH(ROWS($AF$2:AF496),$AF$2:$AF$1001,0),0), INDEX($AM$1004:$BM$1004,1,MATCH(COLUMNS($AM$1006:BA1006),$AM$1006:$BM$1006,0)))),"Fix")))</f>
        <v xml:space="preserve"> </v>
      </c>
      <c r="Q496" s="4" t="str">
        <f ca="1">IF(OR(INDEX($AG$2:$AG$1001,MATCH(ROWS($AF$2:AF496),$AF$2:$AF$1001,0),1)&gt;=100000,INDEX($AM$1005:$BM$1005,1,MATCH(COLUMNS($AM$1006:BB1006),$AM$1006:$BM$1006,0))&gt;=100000), " ",IF(INDEX($AM$2:$BM$1001,MATCH(ROWS($AF$2:AF496),$AF$2:$AF$1001,0),MATCH(COLUMNS($AM$1006:BB1006),$AM$1006:$BM$1006,0)), HYPERLINK("#",""), HYPERLINK(CONCATENATE("#metadata!", ADDRESS(INDEX($AH$2:$AH$1001,MATCH(ROWS($AF$2:AF496),$AF$2:$AF$1001,0),0), INDEX($AM$1004:$BM$1004,1,MATCH(COLUMNS($AM$1006:BB1006),$AM$1006:$BM$1006,0)))),"Fix")))</f>
        <v xml:space="preserve"> </v>
      </c>
      <c r="R496" s="4" t="str">
        <f ca="1">IF(OR(INDEX($AG$2:$AG$1001,MATCH(ROWS($AF$2:AF496),$AF$2:$AF$1001,0),1)&gt;=100000,INDEX($AM$1005:$BM$1005,1,MATCH(COLUMNS($AM$1006:BC1006),$AM$1006:$BM$1006,0))&gt;=100000), " ",IF(INDEX($AM$2:$BM$1001,MATCH(ROWS($AF$2:AF496),$AF$2:$AF$1001,0),MATCH(COLUMNS($AM$1006:BC1006),$AM$1006:$BM$1006,0)), HYPERLINK("#",""), HYPERLINK(CONCATENATE("#metadata!", ADDRESS(INDEX($AH$2:$AH$1001,MATCH(ROWS($AF$2:AF496),$AF$2:$AF$1001,0),0), INDEX($AM$1004:$BM$1004,1,MATCH(COLUMNS($AM$1006:BC1006),$AM$1006:$BM$1006,0)))),"Fix")))</f>
        <v xml:space="preserve"> </v>
      </c>
      <c r="S496" s="4" t="str">
        <f ca="1">IF(OR(INDEX($AG$2:$AG$1001,MATCH(ROWS($AF$2:AF496),$AF$2:$AF$1001,0),1)&gt;=100000,INDEX($AM$1005:$BM$1005,1,MATCH(COLUMNS($AM$1006:BD1006),$AM$1006:$BM$1006,0))&gt;=100000), " ",IF(INDEX($AM$2:$BM$1001,MATCH(ROWS($AF$2:AF496),$AF$2:$AF$1001,0),MATCH(COLUMNS($AM$1006:BD1006),$AM$1006:$BM$1006,0)), HYPERLINK("#",""), HYPERLINK(CONCATENATE("#metadata!", ADDRESS(INDEX($AH$2:$AH$1001,MATCH(ROWS($AF$2:AF496),$AF$2:$AF$1001,0),0), INDEX($AM$1004:$BM$1004,1,MATCH(COLUMNS($AM$1006:BD1006),$AM$1006:$BM$1006,0)))),"Fix")))</f>
        <v xml:space="preserve"> </v>
      </c>
      <c r="T496" s="4" t="str">
        <f ca="1">IF(OR(INDEX($AG$2:$AG$1001,MATCH(ROWS($AF$2:AF496),$AF$2:$AF$1001,0),1)&gt;=100000,INDEX($AM$1005:$BM$1005,1,MATCH(COLUMNS($AM$1006:BE1006),$AM$1006:$BM$1006,0))&gt;=100000), " ",IF(INDEX($AM$2:$BM$1001,MATCH(ROWS($AF$2:AF496),$AF$2:$AF$1001,0),MATCH(COLUMNS($AM$1006:BE1006),$AM$1006:$BM$1006,0)), HYPERLINK("#",""), HYPERLINK(CONCATENATE("#metadata!", ADDRESS(INDEX($AH$2:$AH$1001,MATCH(ROWS($AF$2:AF496),$AF$2:$AF$1001,0),0), INDEX($AM$1004:$BM$1004,1,MATCH(COLUMNS($AM$1006:BE1006),$AM$1006:$BM$1006,0)))),"Fix")))</f>
        <v xml:space="preserve"> </v>
      </c>
      <c r="U496" s="4" t="str">
        <f ca="1">IF(OR(INDEX($AG$2:$AG$1001,MATCH(ROWS($AF$2:AF496),$AF$2:$AF$1001,0),1)&gt;=100000,INDEX($AM$1005:$BM$1005,1,MATCH(COLUMNS($AM$1006:BF1006),$AM$1006:$BM$1006,0))&gt;=100000), " ",IF(INDEX($AM$2:$BM$1001,MATCH(ROWS($AF$2:AF496),$AF$2:$AF$1001,0),MATCH(COLUMNS($AM$1006:BF1006),$AM$1006:$BM$1006,0)), HYPERLINK("#",""), HYPERLINK(CONCATENATE("#metadata!", ADDRESS(INDEX($AH$2:$AH$1001,MATCH(ROWS($AF$2:AF496),$AF$2:$AF$1001,0),0), INDEX($AM$1004:$BM$1004,1,MATCH(COLUMNS($AM$1006:BF1006),$AM$1006:$BM$1006,0)))),"Fix")))</f>
        <v xml:space="preserve"> </v>
      </c>
      <c r="V496" s="4" t="str">
        <f ca="1">IF(OR(INDEX($AG$2:$AG$1001,MATCH(ROWS($AF$2:AF496),$AF$2:$AF$1001,0),1)&gt;=100000,INDEX($AM$1005:$BM$1005,1,MATCH(COLUMNS($AM$1006:BG1006),$AM$1006:$BM$1006,0))&gt;=100000), " ",IF(INDEX($AM$2:$BM$1001,MATCH(ROWS($AF$2:AF496),$AF$2:$AF$1001,0),MATCH(COLUMNS($AM$1006:BG1006),$AM$1006:$BM$1006,0)), HYPERLINK("#",""), HYPERLINK(CONCATENATE("#metadata!", ADDRESS(INDEX($AH$2:$AH$1001,MATCH(ROWS($AF$2:AF496),$AF$2:$AF$1001,0),0), INDEX($AM$1004:$BM$1004,1,MATCH(COLUMNS($AM$1006:BG1006),$AM$1006:$BM$1006,0)))),"Fix")))</f>
        <v xml:space="preserve"> </v>
      </c>
      <c r="W496" s="4" t="str">
        <f ca="1">IF(OR(INDEX($AG$2:$AG$1001,MATCH(ROWS($AF$2:AF496),$AF$2:$AF$1001,0),1)&gt;=100000,INDEX($AM$1005:$BM$1005,1,MATCH(COLUMNS($AM$1006:BH1006),$AM$1006:$BM$1006,0))&gt;=100000), " ",IF(INDEX($AM$2:$BM$1001,MATCH(ROWS($AF$2:AF496),$AF$2:$AF$1001,0),MATCH(COLUMNS($AM$1006:BH1006),$AM$1006:$BM$1006,0)), HYPERLINK("#",""), HYPERLINK(CONCATENATE("#metadata!", ADDRESS(INDEX($AH$2:$AH$1001,MATCH(ROWS($AF$2:AF496),$AF$2:$AF$1001,0),0), INDEX($AM$1004:$BM$1004,1,MATCH(COLUMNS($AM$1006:BH1006),$AM$1006:$BM$1006,0)))),"Fix")))</f>
        <v xml:space="preserve"> </v>
      </c>
      <c r="X496" s="4" t="str">
        <f ca="1">IF(OR(INDEX($AG$2:$AG$1001,MATCH(ROWS($AF$2:AF496),$AF$2:$AF$1001,0),1)&gt;=100000,INDEX($AM$1005:$BM$1005,1,MATCH(COLUMNS($AM$1006:BI1006),$AM$1006:$BM$1006,0))&gt;=100000), " ",IF(INDEX($AM$2:$BM$1001,MATCH(ROWS($AF$2:AF496),$AF$2:$AF$1001,0),MATCH(COLUMNS($AM$1006:BI1006),$AM$1006:$BM$1006,0)), HYPERLINK("#",""), HYPERLINK(CONCATENATE("#metadata!", ADDRESS(INDEX($AH$2:$AH$1001,MATCH(ROWS($AF$2:AF496),$AF$2:$AF$1001,0),0), INDEX($AM$1004:$BM$1004,1,MATCH(COLUMNS($AM$1006:BI1006),$AM$1006:$BM$1006,0)))),"Fix")))</f>
        <v xml:space="preserve"> </v>
      </c>
      <c r="Y496" s="4" t="str">
        <f ca="1">IF(OR(INDEX($AG$2:$AG$1001,MATCH(ROWS($AF$2:AF496),$AF$2:$AF$1001,0),1)&gt;=100000,INDEX($AM$1005:$BM$1005,1,MATCH(COLUMNS($AM$1006:BJ1006),$AM$1006:$BM$1006,0))&gt;=100000), " ",IF(INDEX($AM$2:$BM$1001,MATCH(ROWS($AF$2:AF496),$AF$2:$AF$1001,0),MATCH(COLUMNS($AM$1006:BJ1006),$AM$1006:$BM$1006,0)), HYPERLINK("#",""), HYPERLINK(CONCATENATE("#metadata!", ADDRESS(INDEX($AH$2:$AH$1001,MATCH(ROWS($AF$2:AF496),$AF$2:$AF$1001,0),0), INDEX($AM$1004:$BM$1004,1,MATCH(COLUMNS($AM$1006:BJ1006),$AM$1006:$BM$1006,0)))),"Fix")))</f>
        <v xml:space="preserve"> </v>
      </c>
      <c r="Z496" s="4" t="str">
        <f ca="1">IF(OR(INDEX($AG$2:$AG$1001,MATCH(ROWS($AF$2:AF496),$AF$2:$AF$1001,0),1)&gt;=100000,INDEX($AM$1005:$BM$1005,1,MATCH(COLUMNS($AM$1006:BK1006),$AM$1006:$BM$1006,0))&gt;=100000), " ",IF(INDEX($AM$2:$BM$1001,MATCH(ROWS($AF$2:AF496),$AF$2:$AF$1001,0),MATCH(COLUMNS($AM$1006:BK1006),$AM$1006:$BM$1006,0)), HYPERLINK("#",""), HYPERLINK(CONCATENATE("#metadata!", ADDRESS(INDEX($AH$2:$AH$1001,MATCH(ROWS($AF$2:AF496),$AF$2:$AF$1001,0),0), INDEX($AM$1004:$BM$1004,1,MATCH(COLUMNS($AM$1006:BK1006),$AM$1006:$BM$1006,0)))),"Fix")))</f>
        <v xml:space="preserve"> </v>
      </c>
      <c r="AA496" s="4" t="str">
        <f ca="1">IF(OR(INDEX($AG$2:$AG$1001,MATCH(ROWS($AF$2:AF496),$AF$2:$AF$1001,0),1)&gt;=100000,INDEX($AM$1005:$BM$1005,1,MATCH(COLUMNS($AM$1006:BL1006),$AM$1006:$BM$1006,0))&gt;=100000), " ",IF(INDEX($AM$2:$BM$1001,MATCH(ROWS($AF$2:AF496),$AF$2:$AF$1001,0),MATCH(COLUMNS($AM$1006:BL1006),$AM$1006:$BM$1006,0)), HYPERLINK("#",""), HYPERLINK(CONCATENATE("#metadata!", ADDRESS(INDEX($AH$2:$AH$1001,MATCH(ROWS($AF$2:AF496),$AF$2:$AF$1001,0),0), INDEX($AM$1004:$BM$1004,1,MATCH(COLUMNS($AM$1006:BL1006),$AM$1006:$BM$1006,0)))),"Fix")))</f>
        <v xml:space="preserve"> </v>
      </c>
      <c r="AB496" s="4" t="str">
        <f ca="1">IF(OR(INDEX($AG$2:$AG$1001,MATCH(ROWS($AF$2:AF496),$AF$2:$AF$1001,0),1)&gt;=100000,INDEX($AM$1005:$BM$1005,1,MATCH(COLUMNS($AM$1006:BM1006),$AM$1006:$BM$1006,0))&gt;=100000), " ",IF(INDEX($AM$2:$BM$1001,MATCH(ROWS($AF$2:AF496),$AF$2:$AF$1001,0),MATCH(COLUMNS($AM$1006:BM1006),$AM$1006:$BM$1006,0)), HYPERLINK("#",""), HYPERLINK(CONCATENATE("#metadata!", ADDRESS(INDEX($AH$2:$AH$1001,MATCH(ROWS($AF$2:AF496),$AF$2:$AF$1001,0),0), INDEX($AM$1004:$BM$1004,1,MATCH(COLUMNS($AM$1006:BM1006),$AM$1006:$BM$1006,0)))),"Fix")))</f>
        <v xml:space="preserve"> </v>
      </c>
      <c r="AF496">
        <v>495</v>
      </c>
      <c r="AG496">
        <v>100496</v>
      </c>
      <c r="AH496">
        <v>496</v>
      </c>
      <c r="AI496" t="b">
        <f t="shared" si="7"/>
        <v>1</v>
      </c>
      <c r="AJ496" t="b">
        <f>COUNTBLANK(metadata!B496:AB496)=COLUMNS(metadata!B496:AB496)</f>
        <v>1</v>
      </c>
      <c r="AK496" t="str">
        <v/>
      </c>
      <c r="AM496" t="b">
        <f ca="1">AND(IF(metadata!B496="",FALSE,TRUE),COUNTIF(metadata!B:B, metadata!B496) = 1,NOT(ISERROR(SUMPRODUCT(SEARCH(MID(metadata!B496,ROW(INDIRECT("1:"&amp;LEN(metadata!B496))), 1),"0123456789abcdefghijklmnopqrstuvwxyzABCDEFGHIJKLMNOPQRSTUVWXYZ.")))))</f>
        <v>0</v>
      </c>
      <c r="AN496" t="b">
        <f ca="1">OR(AND(IF(metadata!C496="",FALSE,TRUE),OR(EXACT(metadata!C496,"missing: not collected"),EXACT(metadata!C496,"missing: not provided"),EXACT(metadata!C496,"missing: restricted access"))),AND(IF(metadata!C496="",FALSE,TRUE),AND(AND(IFERROR(INT(LEFT(metadata!C496,4))&gt;1900,FALSE),IFERROR(INT(LEFT(metadata!C496,4))&lt;=YEAR(NOW()),FALSE)), OR(MID(metadata!C496,5,1)="", AND(AND(MID(metadata!C496,5,1)="-",IFERROR(INT(MID(metadata!C496,6,1))&gt;=0,FALSE),IFERROR(INT(MID(metadata!C496,6,1))&lt;=1,FALSE),NOT(MID(metadata!C496,7,1)=""),IFERROR(INT(MID(metadata!C496,6,2))&gt;=1,FALSE),IFERROR(INT(MID(metadata!C496,6,2))&lt;=12,FALSE)), OR(MID(metadata!C496,8,1)="", AND(AND(MID(metadata!C496,8,1)="-",IFERROR(INT(MID(metadata!C496,9,1))&gt;=0,FALSE),IFERROR(INT(MID(metadata!C496,9,1))&lt;=3,FALSE),NOT(MID(metadata!C496,10,1)=""),IFERROR(INT(MID(metadata!C496,9,2))&gt;=1,FALSE),IFERROR(INT(MID(metadata!C496,9,2))&lt;=31,FALSE)), OR(MID(metadata!C496,11,1)="", AND(AND(MID(metadata!C496,11,1)=" ",IFERROR(INT(MID(metadata!C496,12,1))&gt;=0,FALSE),IFERROR(INT(MID(metadata!C496,12,1))&lt;=2,FALSE),NOT(MID(metadata!C496,13,1)=""),IFERROR(INT(MID(metadata!C496,12,2))&gt;=0,FALSE),IFERROR(INT(MID(metadata!C496,12,2))&lt;=23,FALSE)), OR(MID(metadata!C496,14,1)="", AND(AND(MID(metadata!C496,14,1)=":",IFERROR(INT(MID(metadata!C496,15,1))&gt;=0,FALSE),IFERROR(INT(MID(metadata!C496,15,1))&lt;=5,FALSE),NOT(MID(metadata!C496,16,1)=""),IFERROR(INT(MID(metadata!C496,15,2))&gt;=0,FALSE),IFERROR(INT(MID(metadata!C496,15,2))&lt;=59,FALSE)), OR(MID(metadata!C496,17,1)="", AND(AND(MID(metadata!C496,17,1)=":",IFERROR(INT(MID(metadata!C496,18,1))&gt;=0,FALSE),IFERROR(INT(MID(metadata!C496,18,1))&lt;=5,FALSE),NOT(MID(metadata!C496,19,1)=""),IFERROR(INT(MID(metadata!C496,18,2))&gt;=0,FALSE),IFERROR(INT(MID(metadata!C496,18,2))&lt;=59,FALSE)), LEN(metadata!C496)&lt;=19)))))))))))))</f>
        <v>0</v>
      </c>
      <c r="AO496" t="b">
        <f>AND(IF(metadata!D496="",FALSE,TRUE),EXACT(metadata!D496,"Not applicable"))</f>
        <v>0</v>
      </c>
      <c r="AP496" t="b">
        <f>IF(metadata!E496="",FALSE,TRUE)</f>
        <v>0</v>
      </c>
      <c r="AQ496" t="b">
        <f>OR(AND(IF(metadata!F496="",FALSE,TRUE),OR(EXACT(metadata!F496,"missing: not collected"),EXACT(metadata!F496,"missing: not provided"))),AND(IF(metadata!F496="",FALSE,TRUE),OR(EXACT(metadata!F496,"TRUE"),EXACT(metadata!F496,"FALSE"))))</f>
        <v>0</v>
      </c>
      <c r="AR496" t="b">
        <f>OR(AND(IF(metadata!G496="",FALSE,TRUE),OR(EXACT(metadata!G496,"missing: not collected"),EXACT(metadata!G496,"missing: not provided"),EXACT(metadata!G496,"missing: restricted access"))),AND(IF(metadata!G496="",FALSE,ISNUMBER(VALUE(metadata!G496))),metadata!G496&gt;=-413))</f>
        <v>0</v>
      </c>
      <c r="AS496" t="b">
        <f>AND(IF(metadata!H496="",FALSE,TRUE),EXACT(metadata!H496,"meters"))</f>
        <v>0</v>
      </c>
      <c r="AT496" t="b">
        <f>AND(IF(metadata!I496="",FALSE,TRUE),OR(EXACT(metadata!I496,"Host-associated"),EXACT(metadata!I496,"Free-living")))</f>
        <v>0</v>
      </c>
      <c r="AU496" t="b">
        <f>AND(IF(metadata!J496="",FALSE,TRUE),OR(EXACT(metadata!J496,"Animal"),EXACT(metadata!J496,"Fungus"),EXACT(metadata!J496,"Plant"),EXACT(metadata!J496,"Saline"),EXACT(metadata!J496,"Non-saline")))</f>
        <v>0</v>
      </c>
      <c r="AV496" t="b">
        <f>AND(IF(metadata!K496="",FALSE,TRUE),OR(EXACT(metadata!K496,"Plant secretion"),EXACT(metadata!K496,"Plant rhizosphere"),EXACT(metadata!K496,"Plant surface"),EXACT(metadata!K496,"Plant corpus"),EXACT(metadata!K496,"Fungus surface"),EXACT(metadata!K496,"Fungus corpus"),EXACT(metadata!K496,"Animal surface"),EXACT(metadata!K496,"Animal proximal gut"),EXACT(metadata!K496,"Animal corpus"),EXACT(metadata!K496,"Animal distal gut"),EXACT(metadata!K496,"Animal secretion"),EXACT(metadata!K496,"Sub-surface (non-saline)"),EXACT(metadata!K496,"Surface (non-saline)"),EXACT(metadata!K496,"Water (non-saline)"),EXACT(metadata!K496,"Soil (non-saline)"),EXACT(metadata!K496,"Aerosol (non-saline)"),EXACT(metadata!K496,"Sediment (non-saline)"),EXACT(metadata!K496,"Surface (saline)"),EXACT(metadata!K496,"Water (saline)"),EXACT(metadata!K496,"Hypersaline (saline)"),EXACT(metadata!K496,"Aerosol (saline)"),EXACT(metadata!K496,"Sediment (saline)")))</f>
        <v>0</v>
      </c>
      <c r="AW496" t="b">
        <f>IF(metadata!L496="",FALSE,TRUE)</f>
        <v>0</v>
      </c>
      <c r="AX496" t="b">
        <f>IF(metadata!M496="",FALSE,TRUE)</f>
        <v>0</v>
      </c>
      <c r="AY496" t="b">
        <f>IF(metadata!N496="",FALSE,TRUE)</f>
        <v>0</v>
      </c>
      <c r="AZ496" t="b">
        <f>OR(AND(IF(metadata!O496="",FALSE,TRUE),OR(EXACT(metadata!O496,"missing: not collected"),EXACT(metadata!O496,"missing: not provided"),EXACT(metadata!O496,"missing: restricted access"))),AND(IF(metadata!O496="",FALSE,TRUE),OR(EXACT(metadata!O496,"air"),EXACT(metadata!O496,"built environment"),EXACT(metadata!O496,"host-associated"),EXACT(metadata!O496,"human-associated"),EXACT(metadata!O496,"human-skin"),EXACT(metadata!O496,"human-oral"),EXACT(metadata!O496,"human-gut"),EXACT(metadata!O496,"human-vaginal"),EXACT(metadata!O496,"microbial mat/biofilm"),EXACT(metadata!O496,"misc environment"),EXACT(metadata!O496,"plant-associated"),EXACT(metadata!O496,"sediment"),EXACT(metadata!O496,"soil"),EXACT(metadata!O496,"wastewater/sludge"),EXACT(metadata!O496,"water"))))</f>
        <v>0</v>
      </c>
      <c r="BA496" t="b">
        <f>IF(metadata!P496="",FALSE,TRUE)</f>
        <v>0</v>
      </c>
      <c r="BB496" t="b">
        <f>IF(metadata!Q496="",FALSE,TRUE)</f>
        <v>0</v>
      </c>
      <c r="BC496" t="b">
        <f>OR(AND(IF(metadata!R496="",FALSE,TRUE),OR(EXACT(metadata!R496,"missing: not collected"),EXACT(metadata!R496,"missing: not provided"),EXACT(metadata!R496,"missing: restricted access"))),AND(IF(metadata!R496="",FALSE,ISNUMBER(VALUE(metadata!R496))),metadata!R496&gt;=-90,metadata!R496&lt;=90))</f>
        <v>0</v>
      </c>
      <c r="BD496" t="b">
        <f>AND(IF(metadata!S496="",FALSE,TRUE),EXACT(metadata!S496,"Decimal degrees"))</f>
        <v>0</v>
      </c>
      <c r="BE496" t="b">
        <f>OR(AND(IF(metadata!T496="",FALSE,TRUE),OR(EXACT(metadata!T496,"missing: not collected"),EXACT(metadata!T496,"missing: not provided"),EXACT(metadata!T496,"missing: restricted access"))),AND(IF(metadata!T496="",FALSE,ISNUMBER(VALUE(metadata!T496))),metadata!T496&gt;=-180,metadata!T496&lt;=180))</f>
        <v>0</v>
      </c>
      <c r="BF496" t="b">
        <f>AND(IF(metadata!U496="",FALSE,TRUE),EXACT(metadata!U496,"Decimal degrees"))</f>
        <v>0</v>
      </c>
      <c r="BG496" t="b">
        <f>IF(metadata!V496="",FALSE,TRUE)</f>
        <v>0</v>
      </c>
      <c r="BH496" t="b">
        <f>OR(AND(IF(metadata!W496="",FALSE,TRUE),OR(EXACT(metadata!W496,"missing: not collected"),EXACT(metadata!W496,"missing: not provided"),EXACT(metadata!W496,"missing: restricted access"))),AND(IF(metadata!W496="",FALSE,TRUE),OR(EXACT(metadata!W496,"TRUE"),EXACT(metadata!W496,"FALSE"))))</f>
        <v>0</v>
      </c>
      <c r="BI496" t="b">
        <f>AND(IF(metadata!X496="",FALSE,TRUE),EXACT(metadata!X496,"other"))</f>
        <v>0</v>
      </c>
      <c r="BJ496" t="b">
        <f>IF(metadata!Y496="",FALSE,TRUE)</f>
        <v>0</v>
      </c>
      <c r="BK496" t="b">
        <f>OR(AND(IF(metadata!Z496="",FALSE,TRUE),OR(EXACT(metadata!Z496,"missing: not collected"),EXACT(metadata!Z496,"missing: not provided"))),AND(IF(metadata!Z496="",FALSE,IF(ISERROR(INT(metadata!Z496)),FALSE,INT(metadata!Z496)=metadata!Z496)),metadata!Z496&gt;0))</f>
        <v>0</v>
      </c>
      <c r="BL496" t="b">
        <f>AND(IF(metadata!AA496="",FALSE,TRUE),EXACT(metadata!AA496,"Not applicable"))</f>
        <v>0</v>
      </c>
      <c r="BM496" t="b">
        <f>IF(metadata!AB496="",FALSE,TRUE)</f>
        <v>0</v>
      </c>
    </row>
    <row r="497" spans="1:65" x14ac:dyDescent="0.2">
      <c r="A497" s="5" t="str">
        <f ca="1">IF(B497=" "," ",HYPERLINK(CONCATENATE("#metadata!",ADDRESS(INDEX($AH$2:$AH$1001,MATCH(ROWS($AF$2:AF497),$AF$2:$AF$1001,0),0),1)),INDEX($AK$2:$AK$1001,MATCH(ROWS($AF$2:AF497),$AF$2:$AF$1001,0),0)))</f>
        <v xml:space="preserve"> </v>
      </c>
      <c r="B497" s="4" t="str">
        <f ca="1">IF(OR(INDEX($AG$2:$AG$1001,MATCH(ROWS($AF$2:AF497),$AF$2:$AF$1001,0),1)&gt;=100000,INDEX($AM$1005:$BM$1005,1,MATCH(COLUMNS($AM$1006:AM1006),$AM$1006:$BM$1006,0))&gt;=100000), " ",IF(INDEX($AM$2:$BM$1001,MATCH(ROWS($AF$2:AF497),$AF$2:$AF$1001,0),MATCH(COLUMNS($AM$1006:AM1006),$AM$1006:$BM$1006,0)), HYPERLINK("#",""), HYPERLINK(CONCATENATE("#metadata!", ADDRESS(INDEX($AH$2:$AH$1001,MATCH(ROWS($AF$2:AF497),$AF$2:$AF$1001,0),0), INDEX($AM$1004:$BM$1004,1,MATCH(COLUMNS($AM$1006:AM1006),$AM$1006:$BM$1006,0)))),"Fix")))</f>
        <v xml:space="preserve"> </v>
      </c>
      <c r="C497" s="4" t="str">
        <f ca="1">IF(OR(INDEX($AG$2:$AG$1001,MATCH(ROWS($AF$2:AF497),$AF$2:$AF$1001,0),1)&gt;=100000,INDEX($AM$1005:$BM$1005,1,MATCH(COLUMNS($AM$1006:AN1006),$AM$1006:$BM$1006,0))&gt;=100000), " ",IF(INDEX($AM$2:$BM$1001,MATCH(ROWS($AF$2:AF497),$AF$2:$AF$1001,0),MATCH(COLUMNS($AM$1006:AN1006),$AM$1006:$BM$1006,0)), HYPERLINK("#",""), HYPERLINK(CONCATENATE("#metadata!", ADDRESS(INDEX($AH$2:$AH$1001,MATCH(ROWS($AF$2:AF497),$AF$2:$AF$1001,0),0), INDEX($AM$1004:$BM$1004,1,MATCH(COLUMNS($AM$1006:AN1006),$AM$1006:$BM$1006,0)))),"Fix")))</f>
        <v xml:space="preserve"> </v>
      </c>
      <c r="D497" s="4" t="str">
        <f ca="1">IF(OR(INDEX($AG$2:$AG$1001,MATCH(ROWS($AF$2:AF497),$AF$2:$AF$1001,0),1)&gt;=100000,INDEX($AM$1005:$BM$1005,1,MATCH(COLUMNS($AM$1006:AO1006),$AM$1006:$BM$1006,0))&gt;=100000), " ",IF(INDEX($AM$2:$BM$1001,MATCH(ROWS($AF$2:AF497),$AF$2:$AF$1001,0),MATCH(COLUMNS($AM$1006:AO1006),$AM$1006:$BM$1006,0)), HYPERLINK("#",""), HYPERLINK(CONCATENATE("#metadata!", ADDRESS(INDEX($AH$2:$AH$1001,MATCH(ROWS($AF$2:AF497),$AF$2:$AF$1001,0),0), INDEX($AM$1004:$BM$1004,1,MATCH(COLUMNS($AM$1006:AO1006),$AM$1006:$BM$1006,0)))),"Fix")))</f>
        <v xml:space="preserve"> </v>
      </c>
      <c r="E497" s="4" t="str">
        <f ca="1">IF(OR(INDEX($AG$2:$AG$1001,MATCH(ROWS($AF$2:AF497),$AF$2:$AF$1001,0),1)&gt;=100000,INDEX($AM$1005:$BM$1005,1,MATCH(COLUMNS($AM$1006:AP1006),$AM$1006:$BM$1006,0))&gt;=100000), " ",IF(INDEX($AM$2:$BM$1001,MATCH(ROWS($AF$2:AF497),$AF$2:$AF$1001,0),MATCH(COLUMNS($AM$1006:AP1006),$AM$1006:$BM$1006,0)), HYPERLINK("#",""), HYPERLINK(CONCATENATE("#metadata!", ADDRESS(INDEX($AH$2:$AH$1001,MATCH(ROWS($AF$2:AF497),$AF$2:$AF$1001,0),0), INDEX($AM$1004:$BM$1004,1,MATCH(COLUMNS($AM$1006:AP1006),$AM$1006:$BM$1006,0)))),"Fix")))</f>
        <v xml:space="preserve"> </v>
      </c>
      <c r="F497" s="4" t="str">
        <f ca="1">IF(OR(INDEX($AG$2:$AG$1001,MATCH(ROWS($AF$2:AF497),$AF$2:$AF$1001,0),1)&gt;=100000,INDEX($AM$1005:$BM$1005,1,MATCH(COLUMNS($AM$1006:AQ1006),$AM$1006:$BM$1006,0))&gt;=100000), " ",IF(INDEX($AM$2:$BM$1001,MATCH(ROWS($AF$2:AF497),$AF$2:$AF$1001,0),MATCH(COLUMNS($AM$1006:AQ1006),$AM$1006:$BM$1006,0)), HYPERLINK("#",""), HYPERLINK(CONCATENATE("#metadata!", ADDRESS(INDEX($AH$2:$AH$1001,MATCH(ROWS($AF$2:AF497),$AF$2:$AF$1001,0),0), INDEX($AM$1004:$BM$1004,1,MATCH(COLUMNS($AM$1006:AQ1006),$AM$1006:$BM$1006,0)))),"Fix")))</f>
        <v xml:space="preserve"> </v>
      </c>
      <c r="G497" s="4" t="str">
        <f ca="1">IF(OR(INDEX($AG$2:$AG$1001,MATCH(ROWS($AF$2:AF497),$AF$2:$AF$1001,0),1)&gt;=100000,INDEX($AM$1005:$BM$1005,1,MATCH(COLUMNS($AM$1006:AR1006),$AM$1006:$BM$1006,0))&gt;=100000), " ",IF(INDEX($AM$2:$BM$1001,MATCH(ROWS($AF$2:AF497),$AF$2:$AF$1001,0),MATCH(COLUMNS($AM$1006:AR1006),$AM$1006:$BM$1006,0)), HYPERLINK("#",""), HYPERLINK(CONCATENATE("#metadata!", ADDRESS(INDEX($AH$2:$AH$1001,MATCH(ROWS($AF$2:AF497),$AF$2:$AF$1001,0),0), INDEX($AM$1004:$BM$1004,1,MATCH(COLUMNS($AM$1006:AR1006),$AM$1006:$BM$1006,0)))),"Fix")))</f>
        <v xml:space="preserve"> </v>
      </c>
      <c r="H497" s="4" t="str">
        <f ca="1">IF(OR(INDEX($AG$2:$AG$1001,MATCH(ROWS($AF$2:AF497),$AF$2:$AF$1001,0),1)&gt;=100000,INDEX($AM$1005:$BM$1005,1,MATCH(COLUMNS($AM$1006:AS1006),$AM$1006:$BM$1006,0))&gt;=100000), " ",IF(INDEX($AM$2:$BM$1001,MATCH(ROWS($AF$2:AF497),$AF$2:$AF$1001,0),MATCH(COLUMNS($AM$1006:AS1006),$AM$1006:$BM$1006,0)), HYPERLINK("#",""), HYPERLINK(CONCATENATE("#metadata!", ADDRESS(INDEX($AH$2:$AH$1001,MATCH(ROWS($AF$2:AF497),$AF$2:$AF$1001,0),0), INDEX($AM$1004:$BM$1004,1,MATCH(COLUMNS($AM$1006:AS1006),$AM$1006:$BM$1006,0)))),"Fix")))</f>
        <v xml:space="preserve"> </v>
      </c>
      <c r="I497" s="4" t="str">
        <f ca="1">IF(OR(INDEX($AG$2:$AG$1001,MATCH(ROWS($AF$2:AF497),$AF$2:$AF$1001,0),1)&gt;=100000,INDEX($AM$1005:$BM$1005,1,MATCH(COLUMNS($AM$1006:AT1006),$AM$1006:$BM$1006,0))&gt;=100000), " ",IF(INDEX($AM$2:$BM$1001,MATCH(ROWS($AF$2:AF497),$AF$2:$AF$1001,0),MATCH(COLUMNS($AM$1006:AT1006),$AM$1006:$BM$1006,0)), HYPERLINK("#",""), HYPERLINK(CONCATENATE("#metadata!", ADDRESS(INDEX($AH$2:$AH$1001,MATCH(ROWS($AF$2:AF497),$AF$2:$AF$1001,0),0), INDEX($AM$1004:$BM$1004,1,MATCH(COLUMNS($AM$1006:AT1006),$AM$1006:$BM$1006,0)))),"Fix")))</f>
        <v xml:space="preserve"> </v>
      </c>
      <c r="J497" s="4" t="str">
        <f ca="1">IF(OR(INDEX($AG$2:$AG$1001,MATCH(ROWS($AF$2:AF497),$AF$2:$AF$1001,0),1)&gt;=100000,INDEX($AM$1005:$BM$1005,1,MATCH(COLUMNS($AM$1006:AU1006),$AM$1006:$BM$1006,0))&gt;=100000), " ",IF(INDEX($AM$2:$BM$1001,MATCH(ROWS($AF$2:AF497),$AF$2:$AF$1001,0),MATCH(COLUMNS($AM$1006:AU1006),$AM$1006:$BM$1006,0)), HYPERLINK("#",""), HYPERLINK(CONCATENATE("#metadata!", ADDRESS(INDEX($AH$2:$AH$1001,MATCH(ROWS($AF$2:AF497),$AF$2:$AF$1001,0),0), INDEX($AM$1004:$BM$1004,1,MATCH(COLUMNS($AM$1006:AU1006),$AM$1006:$BM$1006,0)))),"Fix")))</f>
        <v xml:space="preserve"> </v>
      </c>
      <c r="K497" s="4" t="str">
        <f ca="1">IF(OR(INDEX($AG$2:$AG$1001,MATCH(ROWS($AF$2:AF497),$AF$2:$AF$1001,0),1)&gt;=100000,INDEX($AM$1005:$BM$1005,1,MATCH(COLUMNS($AM$1006:AV1006),$AM$1006:$BM$1006,0))&gt;=100000), " ",IF(INDEX($AM$2:$BM$1001,MATCH(ROWS($AF$2:AF497),$AF$2:$AF$1001,0),MATCH(COLUMNS($AM$1006:AV1006),$AM$1006:$BM$1006,0)), HYPERLINK("#",""), HYPERLINK(CONCATENATE("#metadata!", ADDRESS(INDEX($AH$2:$AH$1001,MATCH(ROWS($AF$2:AF497),$AF$2:$AF$1001,0),0), INDEX($AM$1004:$BM$1004,1,MATCH(COLUMNS($AM$1006:AV1006),$AM$1006:$BM$1006,0)))),"Fix")))</f>
        <v xml:space="preserve"> </v>
      </c>
      <c r="L497" s="4" t="str">
        <f ca="1">IF(OR(INDEX($AG$2:$AG$1001,MATCH(ROWS($AF$2:AF497),$AF$2:$AF$1001,0),1)&gt;=100000,INDEX($AM$1005:$BM$1005,1,MATCH(COLUMNS($AM$1006:AW1006),$AM$1006:$BM$1006,0))&gt;=100000), " ",IF(INDEX($AM$2:$BM$1001,MATCH(ROWS($AF$2:AF497),$AF$2:$AF$1001,0),MATCH(COLUMNS($AM$1006:AW1006),$AM$1006:$BM$1006,0)), HYPERLINK("#",""), HYPERLINK(CONCATENATE("#metadata!", ADDRESS(INDEX($AH$2:$AH$1001,MATCH(ROWS($AF$2:AF497),$AF$2:$AF$1001,0),0), INDEX($AM$1004:$BM$1004,1,MATCH(COLUMNS($AM$1006:AW1006),$AM$1006:$BM$1006,0)))),"Fix")))</f>
        <v xml:space="preserve"> </v>
      </c>
      <c r="M497" s="4" t="str">
        <f ca="1">IF(OR(INDEX($AG$2:$AG$1001,MATCH(ROWS($AF$2:AF497),$AF$2:$AF$1001,0),1)&gt;=100000,INDEX($AM$1005:$BM$1005,1,MATCH(COLUMNS($AM$1006:AX1006),$AM$1006:$BM$1006,0))&gt;=100000), " ",IF(INDEX($AM$2:$BM$1001,MATCH(ROWS($AF$2:AF497),$AF$2:$AF$1001,0),MATCH(COLUMNS($AM$1006:AX1006),$AM$1006:$BM$1006,0)), HYPERLINK("#",""), HYPERLINK(CONCATENATE("#metadata!", ADDRESS(INDEX($AH$2:$AH$1001,MATCH(ROWS($AF$2:AF497),$AF$2:$AF$1001,0),0), INDEX($AM$1004:$BM$1004,1,MATCH(COLUMNS($AM$1006:AX1006),$AM$1006:$BM$1006,0)))),"Fix")))</f>
        <v xml:space="preserve"> </v>
      </c>
      <c r="N497" s="4" t="str">
        <f ca="1">IF(OR(INDEX($AG$2:$AG$1001,MATCH(ROWS($AF$2:AF497),$AF$2:$AF$1001,0),1)&gt;=100000,INDEX($AM$1005:$BM$1005,1,MATCH(COLUMNS($AM$1006:AY1006),$AM$1006:$BM$1006,0))&gt;=100000), " ",IF(INDEX($AM$2:$BM$1001,MATCH(ROWS($AF$2:AF497),$AF$2:$AF$1001,0),MATCH(COLUMNS($AM$1006:AY1006),$AM$1006:$BM$1006,0)), HYPERLINK("#",""), HYPERLINK(CONCATENATE("#metadata!", ADDRESS(INDEX($AH$2:$AH$1001,MATCH(ROWS($AF$2:AF497),$AF$2:$AF$1001,0),0), INDEX($AM$1004:$BM$1004,1,MATCH(COLUMNS($AM$1006:AY1006),$AM$1006:$BM$1006,0)))),"Fix")))</f>
        <v xml:space="preserve"> </v>
      </c>
      <c r="O497" s="4" t="str">
        <f ca="1">IF(OR(INDEX($AG$2:$AG$1001,MATCH(ROWS($AF$2:AF497),$AF$2:$AF$1001,0),1)&gt;=100000,INDEX($AM$1005:$BM$1005,1,MATCH(COLUMNS($AM$1006:AZ1006),$AM$1006:$BM$1006,0))&gt;=100000), " ",IF(INDEX($AM$2:$BM$1001,MATCH(ROWS($AF$2:AF497),$AF$2:$AF$1001,0),MATCH(COLUMNS($AM$1006:AZ1006),$AM$1006:$BM$1006,0)), HYPERLINK("#",""), HYPERLINK(CONCATENATE("#metadata!", ADDRESS(INDEX($AH$2:$AH$1001,MATCH(ROWS($AF$2:AF497),$AF$2:$AF$1001,0),0), INDEX($AM$1004:$BM$1004,1,MATCH(COLUMNS($AM$1006:AZ1006),$AM$1006:$BM$1006,0)))),"Fix")))</f>
        <v xml:space="preserve"> </v>
      </c>
      <c r="P497" s="4" t="str">
        <f ca="1">IF(OR(INDEX($AG$2:$AG$1001,MATCH(ROWS($AF$2:AF497),$AF$2:$AF$1001,0),1)&gt;=100000,INDEX($AM$1005:$BM$1005,1,MATCH(COLUMNS($AM$1006:BA1006),$AM$1006:$BM$1006,0))&gt;=100000), " ",IF(INDEX($AM$2:$BM$1001,MATCH(ROWS($AF$2:AF497),$AF$2:$AF$1001,0),MATCH(COLUMNS($AM$1006:BA1006),$AM$1006:$BM$1006,0)), HYPERLINK("#",""), HYPERLINK(CONCATENATE("#metadata!", ADDRESS(INDEX($AH$2:$AH$1001,MATCH(ROWS($AF$2:AF497),$AF$2:$AF$1001,0),0), INDEX($AM$1004:$BM$1004,1,MATCH(COLUMNS($AM$1006:BA1006),$AM$1006:$BM$1006,0)))),"Fix")))</f>
        <v xml:space="preserve"> </v>
      </c>
      <c r="Q497" s="4" t="str">
        <f ca="1">IF(OR(INDEX($AG$2:$AG$1001,MATCH(ROWS($AF$2:AF497),$AF$2:$AF$1001,0),1)&gt;=100000,INDEX($AM$1005:$BM$1005,1,MATCH(COLUMNS($AM$1006:BB1006),$AM$1006:$BM$1006,0))&gt;=100000), " ",IF(INDEX($AM$2:$BM$1001,MATCH(ROWS($AF$2:AF497),$AF$2:$AF$1001,0),MATCH(COLUMNS($AM$1006:BB1006),$AM$1006:$BM$1006,0)), HYPERLINK("#",""), HYPERLINK(CONCATENATE("#metadata!", ADDRESS(INDEX($AH$2:$AH$1001,MATCH(ROWS($AF$2:AF497),$AF$2:$AF$1001,0),0), INDEX($AM$1004:$BM$1004,1,MATCH(COLUMNS($AM$1006:BB1006),$AM$1006:$BM$1006,0)))),"Fix")))</f>
        <v xml:space="preserve"> </v>
      </c>
      <c r="R497" s="4" t="str">
        <f ca="1">IF(OR(INDEX($AG$2:$AG$1001,MATCH(ROWS($AF$2:AF497),$AF$2:$AF$1001,0),1)&gt;=100000,INDEX($AM$1005:$BM$1005,1,MATCH(COLUMNS($AM$1006:BC1006),$AM$1006:$BM$1006,0))&gt;=100000), " ",IF(INDEX($AM$2:$BM$1001,MATCH(ROWS($AF$2:AF497),$AF$2:$AF$1001,0),MATCH(COLUMNS($AM$1006:BC1006),$AM$1006:$BM$1006,0)), HYPERLINK("#",""), HYPERLINK(CONCATENATE("#metadata!", ADDRESS(INDEX($AH$2:$AH$1001,MATCH(ROWS($AF$2:AF497),$AF$2:$AF$1001,0),0), INDEX($AM$1004:$BM$1004,1,MATCH(COLUMNS($AM$1006:BC1006),$AM$1006:$BM$1006,0)))),"Fix")))</f>
        <v xml:space="preserve"> </v>
      </c>
      <c r="S497" s="4" t="str">
        <f ca="1">IF(OR(INDEX($AG$2:$AG$1001,MATCH(ROWS($AF$2:AF497),$AF$2:$AF$1001,0),1)&gt;=100000,INDEX($AM$1005:$BM$1005,1,MATCH(COLUMNS($AM$1006:BD1006),$AM$1006:$BM$1006,0))&gt;=100000), " ",IF(INDEX($AM$2:$BM$1001,MATCH(ROWS($AF$2:AF497),$AF$2:$AF$1001,0),MATCH(COLUMNS($AM$1006:BD1006),$AM$1006:$BM$1006,0)), HYPERLINK("#",""), HYPERLINK(CONCATENATE("#metadata!", ADDRESS(INDEX($AH$2:$AH$1001,MATCH(ROWS($AF$2:AF497),$AF$2:$AF$1001,0),0), INDEX($AM$1004:$BM$1004,1,MATCH(COLUMNS($AM$1006:BD1006),$AM$1006:$BM$1006,0)))),"Fix")))</f>
        <v xml:space="preserve"> </v>
      </c>
      <c r="T497" s="4" t="str">
        <f ca="1">IF(OR(INDEX($AG$2:$AG$1001,MATCH(ROWS($AF$2:AF497),$AF$2:$AF$1001,0),1)&gt;=100000,INDEX($AM$1005:$BM$1005,1,MATCH(COLUMNS($AM$1006:BE1006),$AM$1006:$BM$1006,0))&gt;=100000), " ",IF(INDEX($AM$2:$BM$1001,MATCH(ROWS($AF$2:AF497),$AF$2:$AF$1001,0),MATCH(COLUMNS($AM$1006:BE1006),$AM$1006:$BM$1006,0)), HYPERLINK("#",""), HYPERLINK(CONCATENATE("#metadata!", ADDRESS(INDEX($AH$2:$AH$1001,MATCH(ROWS($AF$2:AF497),$AF$2:$AF$1001,0),0), INDEX($AM$1004:$BM$1004,1,MATCH(COLUMNS($AM$1006:BE1006),$AM$1006:$BM$1006,0)))),"Fix")))</f>
        <v xml:space="preserve"> </v>
      </c>
      <c r="U497" s="4" t="str">
        <f ca="1">IF(OR(INDEX($AG$2:$AG$1001,MATCH(ROWS($AF$2:AF497),$AF$2:$AF$1001,0),1)&gt;=100000,INDEX($AM$1005:$BM$1005,1,MATCH(COLUMNS($AM$1006:BF1006),$AM$1006:$BM$1006,0))&gt;=100000), " ",IF(INDEX($AM$2:$BM$1001,MATCH(ROWS($AF$2:AF497),$AF$2:$AF$1001,0),MATCH(COLUMNS($AM$1006:BF1006),$AM$1006:$BM$1006,0)), HYPERLINK("#",""), HYPERLINK(CONCATENATE("#metadata!", ADDRESS(INDEX($AH$2:$AH$1001,MATCH(ROWS($AF$2:AF497),$AF$2:$AF$1001,0),0), INDEX($AM$1004:$BM$1004,1,MATCH(COLUMNS($AM$1006:BF1006),$AM$1006:$BM$1006,0)))),"Fix")))</f>
        <v xml:space="preserve"> </v>
      </c>
      <c r="V497" s="4" t="str">
        <f ca="1">IF(OR(INDEX($AG$2:$AG$1001,MATCH(ROWS($AF$2:AF497),$AF$2:$AF$1001,0),1)&gt;=100000,INDEX($AM$1005:$BM$1005,1,MATCH(COLUMNS($AM$1006:BG1006),$AM$1006:$BM$1006,0))&gt;=100000), " ",IF(INDEX($AM$2:$BM$1001,MATCH(ROWS($AF$2:AF497),$AF$2:$AF$1001,0),MATCH(COLUMNS($AM$1006:BG1006),$AM$1006:$BM$1006,0)), HYPERLINK("#",""), HYPERLINK(CONCATENATE("#metadata!", ADDRESS(INDEX($AH$2:$AH$1001,MATCH(ROWS($AF$2:AF497),$AF$2:$AF$1001,0),0), INDEX($AM$1004:$BM$1004,1,MATCH(COLUMNS($AM$1006:BG1006),$AM$1006:$BM$1006,0)))),"Fix")))</f>
        <v xml:space="preserve"> </v>
      </c>
      <c r="W497" s="4" t="str">
        <f ca="1">IF(OR(INDEX($AG$2:$AG$1001,MATCH(ROWS($AF$2:AF497),$AF$2:$AF$1001,0),1)&gt;=100000,INDEX($AM$1005:$BM$1005,1,MATCH(COLUMNS($AM$1006:BH1006),$AM$1006:$BM$1006,0))&gt;=100000), " ",IF(INDEX($AM$2:$BM$1001,MATCH(ROWS($AF$2:AF497),$AF$2:$AF$1001,0),MATCH(COLUMNS($AM$1006:BH1006),$AM$1006:$BM$1006,0)), HYPERLINK("#",""), HYPERLINK(CONCATENATE("#metadata!", ADDRESS(INDEX($AH$2:$AH$1001,MATCH(ROWS($AF$2:AF497),$AF$2:$AF$1001,0),0), INDEX($AM$1004:$BM$1004,1,MATCH(COLUMNS($AM$1006:BH1006),$AM$1006:$BM$1006,0)))),"Fix")))</f>
        <v xml:space="preserve"> </v>
      </c>
      <c r="X497" s="4" t="str">
        <f ca="1">IF(OR(INDEX($AG$2:$AG$1001,MATCH(ROWS($AF$2:AF497),$AF$2:$AF$1001,0),1)&gt;=100000,INDEX($AM$1005:$BM$1005,1,MATCH(COLUMNS($AM$1006:BI1006),$AM$1006:$BM$1006,0))&gt;=100000), " ",IF(INDEX($AM$2:$BM$1001,MATCH(ROWS($AF$2:AF497),$AF$2:$AF$1001,0),MATCH(COLUMNS($AM$1006:BI1006),$AM$1006:$BM$1006,0)), HYPERLINK("#",""), HYPERLINK(CONCATENATE("#metadata!", ADDRESS(INDEX($AH$2:$AH$1001,MATCH(ROWS($AF$2:AF497),$AF$2:$AF$1001,0),0), INDEX($AM$1004:$BM$1004,1,MATCH(COLUMNS($AM$1006:BI1006),$AM$1006:$BM$1006,0)))),"Fix")))</f>
        <v xml:space="preserve"> </v>
      </c>
      <c r="Y497" s="4" t="str">
        <f ca="1">IF(OR(INDEX($AG$2:$AG$1001,MATCH(ROWS($AF$2:AF497),$AF$2:$AF$1001,0),1)&gt;=100000,INDEX($AM$1005:$BM$1005,1,MATCH(COLUMNS($AM$1006:BJ1006),$AM$1006:$BM$1006,0))&gt;=100000), " ",IF(INDEX($AM$2:$BM$1001,MATCH(ROWS($AF$2:AF497),$AF$2:$AF$1001,0),MATCH(COLUMNS($AM$1006:BJ1006),$AM$1006:$BM$1006,0)), HYPERLINK("#",""), HYPERLINK(CONCATENATE("#metadata!", ADDRESS(INDEX($AH$2:$AH$1001,MATCH(ROWS($AF$2:AF497),$AF$2:$AF$1001,0),0), INDEX($AM$1004:$BM$1004,1,MATCH(COLUMNS($AM$1006:BJ1006),$AM$1006:$BM$1006,0)))),"Fix")))</f>
        <v xml:space="preserve"> </v>
      </c>
      <c r="Z497" s="4" t="str">
        <f ca="1">IF(OR(INDEX($AG$2:$AG$1001,MATCH(ROWS($AF$2:AF497),$AF$2:$AF$1001,0),1)&gt;=100000,INDEX($AM$1005:$BM$1005,1,MATCH(COLUMNS($AM$1006:BK1006),$AM$1006:$BM$1006,0))&gt;=100000), " ",IF(INDEX($AM$2:$BM$1001,MATCH(ROWS($AF$2:AF497),$AF$2:$AF$1001,0),MATCH(COLUMNS($AM$1006:BK1006),$AM$1006:$BM$1006,0)), HYPERLINK("#",""), HYPERLINK(CONCATENATE("#metadata!", ADDRESS(INDEX($AH$2:$AH$1001,MATCH(ROWS($AF$2:AF497),$AF$2:$AF$1001,0),0), INDEX($AM$1004:$BM$1004,1,MATCH(COLUMNS($AM$1006:BK1006),$AM$1006:$BM$1006,0)))),"Fix")))</f>
        <v xml:space="preserve"> </v>
      </c>
      <c r="AA497" s="4" t="str">
        <f ca="1">IF(OR(INDEX($AG$2:$AG$1001,MATCH(ROWS($AF$2:AF497),$AF$2:$AF$1001,0),1)&gt;=100000,INDEX($AM$1005:$BM$1005,1,MATCH(COLUMNS($AM$1006:BL1006),$AM$1006:$BM$1006,0))&gt;=100000), " ",IF(INDEX($AM$2:$BM$1001,MATCH(ROWS($AF$2:AF497),$AF$2:$AF$1001,0),MATCH(COLUMNS($AM$1006:BL1006),$AM$1006:$BM$1006,0)), HYPERLINK("#",""), HYPERLINK(CONCATENATE("#metadata!", ADDRESS(INDEX($AH$2:$AH$1001,MATCH(ROWS($AF$2:AF497),$AF$2:$AF$1001,0),0), INDEX($AM$1004:$BM$1004,1,MATCH(COLUMNS($AM$1006:BL1006),$AM$1006:$BM$1006,0)))),"Fix")))</f>
        <v xml:space="preserve"> </v>
      </c>
      <c r="AB497" s="4" t="str">
        <f ca="1">IF(OR(INDEX($AG$2:$AG$1001,MATCH(ROWS($AF$2:AF497),$AF$2:$AF$1001,0),1)&gt;=100000,INDEX($AM$1005:$BM$1005,1,MATCH(COLUMNS($AM$1006:BM1006),$AM$1006:$BM$1006,0))&gt;=100000), " ",IF(INDEX($AM$2:$BM$1001,MATCH(ROWS($AF$2:AF497),$AF$2:$AF$1001,0),MATCH(COLUMNS($AM$1006:BM1006),$AM$1006:$BM$1006,0)), HYPERLINK("#",""), HYPERLINK(CONCATENATE("#metadata!", ADDRESS(INDEX($AH$2:$AH$1001,MATCH(ROWS($AF$2:AF497),$AF$2:$AF$1001,0),0), INDEX($AM$1004:$BM$1004,1,MATCH(COLUMNS($AM$1006:BM1006),$AM$1006:$BM$1006,0)))),"Fix")))</f>
        <v xml:space="preserve"> </v>
      </c>
      <c r="AF497">
        <v>496</v>
      </c>
      <c r="AG497">
        <v>100497</v>
      </c>
      <c r="AH497">
        <v>497</v>
      </c>
      <c r="AI497" t="b">
        <f t="shared" si="7"/>
        <v>1</v>
      </c>
      <c r="AJ497" t="b">
        <f>COUNTBLANK(metadata!B497:AB497)=COLUMNS(metadata!B497:AB497)</f>
        <v>1</v>
      </c>
      <c r="AK497" t="str">
        <v/>
      </c>
      <c r="AM497" t="b">
        <f ca="1">AND(IF(metadata!B497="",FALSE,TRUE),COUNTIF(metadata!B:B, metadata!B497) = 1,NOT(ISERROR(SUMPRODUCT(SEARCH(MID(metadata!B497,ROW(INDIRECT("1:"&amp;LEN(metadata!B497))), 1),"0123456789abcdefghijklmnopqrstuvwxyzABCDEFGHIJKLMNOPQRSTUVWXYZ.")))))</f>
        <v>0</v>
      </c>
      <c r="AN497" t="b">
        <f ca="1">OR(AND(IF(metadata!C497="",FALSE,TRUE),OR(EXACT(metadata!C497,"missing: not collected"),EXACT(metadata!C497,"missing: not provided"),EXACT(metadata!C497,"missing: restricted access"))),AND(IF(metadata!C497="",FALSE,TRUE),AND(AND(IFERROR(INT(LEFT(metadata!C497,4))&gt;1900,FALSE),IFERROR(INT(LEFT(metadata!C497,4))&lt;=YEAR(NOW()),FALSE)), OR(MID(metadata!C497,5,1)="", AND(AND(MID(metadata!C497,5,1)="-",IFERROR(INT(MID(metadata!C497,6,1))&gt;=0,FALSE),IFERROR(INT(MID(metadata!C497,6,1))&lt;=1,FALSE),NOT(MID(metadata!C497,7,1)=""),IFERROR(INT(MID(metadata!C497,6,2))&gt;=1,FALSE),IFERROR(INT(MID(metadata!C497,6,2))&lt;=12,FALSE)), OR(MID(metadata!C497,8,1)="", AND(AND(MID(metadata!C497,8,1)="-",IFERROR(INT(MID(metadata!C497,9,1))&gt;=0,FALSE),IFERROR(INT(MID(metadata!C497,9,1))&lt;=3,FALSE),NOT(MID(metadata!C497,10,1)=""),IFERROR(INT(MID(metadata!C497,9,2))&gt;=1,FALSE),IFERROR(INT(MID(metadata!C497,9,2))&lt;=31,FALSE)), OR(MID(metadata!C497,11,1)="", AND(AND(MID(metadata!C497,11,1)=" ",IFERROR(INT(MID(metadata!C497,12,1))&gt;=0,FALSE),IFERROR(INT(MID(metadata!C497,12,1))&lt;=2,FALSE),NOT(MID(metadata!C497,13,1)=""),IFERROR(INT(MID(metadata!C497,12,2))&gt;=0,FALSE),IFERROR(INT(MID(metadata!C497,12,2))&lt;=23,FALSE)), OR(MID(metadata!C497,14,1)="", AND(AND(MID(metadata!C497,14,1)=":",IFERROR(INT(MID(metadata!C497,15,1))&gt;=0,FALSE),IFERROR(INT(MID(metadata!C497,15,1))&lt;=5,FALSE),NOT(MID(metadata!C497,16,1)=""),IFERROR(INT(MID(metadata!C497,15,2))&gt;=0,FALSE),IFERROR(INT(MID(metadata!C497,15,2))&lt;=59,FALSE)), OR(MID(metadata!C497,17,1)="", AND(AND(MID(metadata!C497,17,1)=":",IFERROR(INT(MID(metadata!C497,18,1))&gt;=0,FALSE),IFERROR(INT(MID(metadata!C497,18,1))&lt;=5,FALSE),NOT(MID(metadata!C497,19,1)=""),IFERROR(INT(MID(metadata!C497,18,2))&gt;=0,FALSE),IFERROR(INT(MID(metadata!C497,18,2))&lt;=59,FALSE)), LEN(metadata!C497)&lt;=19)))))))))))))</f>
        <v>0</v>
      </c>
      <c r="AO497" t="b">
        <f>AND(IF(metadata!D497="",FALSE,TRUE),EXACT(metadata!D497,"Not applicable"))</f>
        <v>0</v>
      </c>
      <c r="AP497" t="b">
        <f>IF(metadata!E497="",FALSE,TRUE)</f>
        <v>0</v>
      </c>
      <c r="AQ497" t="b">
        <f>OR(AND(IF(metadata!F497="",FALSE,TRUE),OR(EXACT(metadata!F497,"missing: not collected"),EXACT(metadata!F497,"missing: not provided"))),AND(IF(metadata!F497="",FALSE,TRUE),OR(EXACT(metadata!F497,"TRUE"),EXACT(metadata!F497,"FALSE"))))</f>
        <v>0</v>
      </c>
      <c r="AR497" t="b">
        <f>OR(AND(IF(metadata!G497="",FALSE,TRUE),OR(EXACT(metadata!G497,"missing: not collected"),EXACT(metadata!G497,"missing: not provided"),EXACT(metadata!G497,"missing: restricted access"))),AND(IF(metadata!G497="",FALSE,ISNUMBER(VALUE(metadata!G497))),metadata!G497&gt;=-413))</f>
        <v>0</v>
      </c>
      <c r="AS497" t="b">
        <f>AND(IF(metadata!H497="",FALSE,TRUE),EXACT(metadata!H497,"meters"))</f>
        <v>0</v>
      </c>
      <c r="AT497" t="b">
        <f>AND(IF(metadata!I497="",FALSE,TRUE),OR(EXACT(metadata!I497,"Host-associated"),EXACT(metadata!I497,"Free-living")))</f>
        <v>0</v>
      </c>
      <c r="AU497" t="b">
        <f>AND(IF(metadata!J497="",FALSE,TRUE),OR(EXACT(metadata!J497,"Animal"),EXACT(metadata!J497,"Fungus"),EXACT(metadata!J497,"Plant"),EXACT(metadata!J497,"Saline"),EXACT(metadata!J497,"Non-saline")))</f>
        <v>0</v>
      </c>
      <c r="AV497" t="b">
        <f>AND(IF(metadata!K497="",FALSE,TRUE),OR(EXACT(metadata!K497,"Plant secretion"),EXACT(metadata!K497,"Plant rhizosphere"),EXACT(metadata!K497,"Plant surface"),EXACT(metadata!K497,"Plant corpus"),EXACT(metadata!K497,"Fungus surface"),EXACT(metadata!K497,"Fungus corpus"),EXACT(metadata!K497,"Animal surface"),EXACT(metadata!K497,"Animal proximal gut"),EXACT(metadata!K497,"Animal corpus"),EXACT(metadata!K497,"Animal distal gut"),EXACT(metadata!K497,"Animal secretion"),EXACT(metadata!K497,"Sub-surface (non-saline)"),EXACT(metadata!K497,"Surface (non-saline)"),EXACT(metadata!K497,"Water (non-saline)"),EXACT(metadata!K497,"Soil (non-saline)"),EXACT(metadata!K497,"Aerosol (non-saline)"),EXACT(metadata!K497,"Sediment (non-saline)"),EXACT(metadata!K497,"Surface (saline)"),EXACT(metadata!K497,"Water (saline)"),EXACT(metadata!K497,"Hypersaline (saline)"),EXACT(metadata!K497,"Aerosol (saline)"),EXACT(metadata!K497,"Sediment (saline)")))</f>
        <v>0</v>
      </c>
      <c r="AW497" t="b">
        <f>IF(metadata!L497="",FALSE,TRUE)</f>
        <v>0</v>
      </c>
      <c r="AX497" t="b">
        <f>IF(metadata!M497="",FALSE,TRUE)</f>
        <v>0</v>
      </c>
      <c r="AY497" t="b">
        <f>IF(metadata!N497="",FALSE,TRUE)</f>
        <v>0</v>
      </c>
      <c r="AZ497" t="b">
        <f>OR(AND(IF(metadata!O497="",FALSE,TRUE),OR(EXACT(metadata!O497,"missing: not collected"),EXACT(metadata!O497,"missing: not provided"),EXACT(metadata!O497,"missing: restricted access"))),AND(IF(metadata!O497="",FALSE,TRUE),OR(EXACT(metadata!O497,"air"),EXACT(metadata!O497,"built environment"),EXACT(metadata!O497,"host-associated"),EXACT(metadata!O497,"human-associated"),EXACT(metadata!O497,"human-skin"),EXACT(metadata!O497,"human-oral"),EXACT(metadata!O497,"human-gut"),EXACT(metadata!O497,"human-vaginal"),EXACT(metadata!O497,"microbial mat/biofilm"),EXACT(metadata!O497,"misc environment"),EXACT(metadata!O497,"plant-associated"),EXACT(metadata!O497,"sediment"),EXACT(metadata!O497,"soil"),EXACT(metadata!O497,"wastewater/sludge"),EXACT(metadata!O497,"water"))))</f>
        <v>0</v>
      </c>
      <c r="BA497" t="b">
        <f>IF(metadata!P497="",FALSE,TRUE)</f>
        <v>0</v>
      </c>
      <c r="BB497" t="b">
        <f>IF(metadata!Q497="",FALSE,TRUE)</f>
        <v>0</v>
      </c>
      <c r="BC497" t="b">
        <f>OR(AND(IF(metadata!R497="",FALSE,TRUE),OR(EXACT(metadata!R497,"missing: not collected"),EXACT(metadata!R497,"missing: not provided"),EXACT(metadata!R497,"missing: restricted access"))),AND(IF(metadata!R497="",FALSE,ISNUMBER(VALUE(metadata!R497))),metadata!R497&gt;=-90,metadata!R497&lt;=90))</f>
        <v>0</v>
      </c>
      <c r="BD497" t="b">
        <f>AND(IF(metadata!S497="",FALSE,TRUE),EXACT(metadata!S497,"Decimal degrees"))</f>
        <v>0</v>
      </c>
      <c r="BE497" t="b">
        <f>OR(AND(IF(metadata!T497="",FALSE,TRUE),OR(EXACT(metadata!T497,"missing: not collected"),EXACT(metadata!T497,"missing: not provided"),EXACT(metadata!T497,"missing: restricted access"))),AND(IF(metadata!T497="",FALSE,ISNUMBER(VALUE(metadata!T497))),metadata!T497&gt;=-180,metadata!T497&lt;=180))</f>
        <v>0</v>
      </c>
      <c r="BF497" t="b">
        <f>AND(IF(metadata!U497="",FALSE,TRUE),EXACT(metadata!U497,"Decimal degrees"))</f>
        <v>0</v>
      </c>
      <c r="BG497" t="b">
        <f>IF(metadata!V497="",FALSE,TRUE)</f>
        <v>0</v>
      </c>
      <c r="BH497" t="b">
        <f>OR(AND(IF(metadata!W497="",FALSE,TRUE),OR(EXACT(metadata!W497,"missing: not collected"),EXACT(metadata!W497,"missing: not provided"),EXACT(metadata!W497,"missing: restricted access"))),AND(IF(metadata!W497="",FALSE,TRUE),OR(EXACT(metadata!W497,"TRUE"),EXACT(metadata!W497,"FALSE"))))</f>
        <v>0</v>
      </c>
      <c r="BI497" t="b">
        <f>AND(IF(metadata!X497="",FALSE,TRUE),EXACT(metadata!X497,"other"))</f>
        <v>0</v>
      </c>
      <c r="BJ497" t="b">
        <f>IF(metadata!Y497="",FALSE,TRUE)</f>
        <v>0</v>
      </c>
      <c r="BK497" t="b">
        <f>OR(AND(IF(metadata!Z497="",FALSE,TRUE),OR(EXACT(metadata!Z497,"missing: not collected"),EXACT(metadata!Z497,"missing: not provided"))),AND(IF(metadata!Z497="",FALSE,IF(ISERROR(INT(metadata!Z497)),FALSE,INT(metadata!Z497)=metadata!Z497)),metadata!Z497&gt;0))</f>
        <v>0</v>
      </c>
      <c r="BL497" t="b">
        <f>AND(IF(metadata!AA497="",FALSE,TRUE),EXACT(metadata!AA497,"Not applicable"))</f>
        <v>0</v>
      </c>
      <c r="BM497" t="b">
        <f>IF(metadata!AB497="",FALSE,TRUE)</f>
        <v>0</v>
      </c>
    </row>
    <row r="498" spans="1:65" x14ac:dyDescent="0.2">
      <c r="A498" s="5" t="str">
        <f ca="1">IF(B498=" "," ",HYPERLINK(CONCATENATE("#metadata!",ADDRESS(INDEX($AH$2:$AH$1001,MATCH(ROWS($AF$2:AF498),$AF$2:$AF$1001,0),0),1)),INDEX($AK$2:$AK$1001,MATCH(ROWS($AF$2:AF498),$AF$2:$AF$1001,0),0)))</f>
        <v xml:space="preserve"> </v>
      </c>
      <c r="B498" s="4" t="str">
        <f ca="1">IF(OR(INDEX($AG$2:$AG$1001,MATCH(ROWS($AF$2:AF498),$AF$2:$AF$1001,0),1)&gt;=100000,INDEX($AM$1005:$BM$1005,1,MATCH(COLUMNS($AM$1006:AM1006),$AM$1006:$BM$1006,0))&gt;=100000), " ",IF(INDEX($AM$2:$BM$1001,MATCH(ROWS($AF$2:AF498),$AF$2:$AF$1001,0),MATCH(COLUMNS($AM$1006:AM1006),$AM$1006:$BM$1006,0)), HYPERLINK("#",""), HYPERLINK(CONCATENATE("#metadata!", ADDRESS(INDEX($AH$2:$AH$1001,MATCH(ROWS($AF$2:AF498),$AF$2:$AF$1001,0),0), INDEX($AM$1004:$BM$1004,1,MATCH(COLUMNS($AM$1006:AM1006),$AM$1006:$BM$1006,0)))),"Fix")))</f>
        <v xml:space="preserve"> </v>
      </c>
      <c r="C498" s="4" t="str">
        <f ca="1">IF(OR(INDEX($AG$2:$AG$1001,MATCH(ROWS($AF$2:AF498),$AF$2:$AF$1001,0),1)&gt;=100000,INDEX($AM$1005:$BM$1005,1,MATCH(COLUMNS($AM$1006:AN1006),$AM$1006:$BM$1006,0))&gt;=100000), " ",IF(INDEX($AM$2:$BM$1001,MATCH(ROWS($AF$2:AF498),$AF$2:$AF$1001,0),MATCH(COLUMNS($AM$1006:AN1006),$AM$1006:$BM$1006,0)), HYPERLINK("#",""), HYPERLINK(CONCATENATE("#metadata!", ADDRESS(INDEX($AH$2:$AH$1001,MATCH(ROWS($AF$2:AF498),$AF$2:$AF$1001,0),0), INDEX($AM$1004:$BM$1004,1,MATCH(COLUMNS($AM$1006:AN1006),$AM$1006:$BM$1006,0)))),"Fix")))</f>
        <v xml:space="preserve"> </v>
      </c>
      <c r="D498" s="4" t="str">
        <f ca="1">IF(OR(INDEX($AG$2:$AG$1001,MATCH(ROWS($AF$2:AF498),$AF$2:$AF$1001,0),1)&gt;=100000,INDEX($AM$1005:$BM$1005,1,MATCH(COLUMNS($AM$1006:AO1006),$AM$1006:$BM$1006,0))&gt;=100000), " ",IF(INDEX($AM$2:$BM$1001,MATCH(ROWS($AF$2:AF498),$AF$2:$AF$1001,0),MATCH(COLUMNS($AM$1006:AO1006),$AM$1006:$BM$1006,0)), HYPERLINK("#",""), HYPERLINK(CONCATENATE("#metadata!", ADDRESS(INDEX($AH$2:$AH$1001,MATCH(ROWS($AF$2:AF498),$AF$2:$AF$1001,0),0), INDEX($AM$1004:$BM$1004,1,MATCH(COLUMNS($AM$1006:AO1006),$AM$1006:$BM$1006,0)))),"Fix")))</f>
        <v xml:space="preserve"> </v>
      </c>
      <c r="E498" s="4" t="str">
        <f ca="1">IF(OR(INDEX($AG$2:$AG$1001,MATCH(ROWS($AF$2:AF498),$AF$2:$AF$1001,0),1)&gt;=100000,INDEX($AM$1005:$BM$1005,1,MATCH(COLUMNS($AM$1006:AP1006),$AM$1006:$BM$1006,0))&gt;=100000), " ",IF(INDEX($AM$2:$BM$1001,MATCH(ROWS($AF$2:AF498),$AF$2:$AF$1001,0),MATCH(COLUMNS($AM$1006:AP1006),$AM$1006:$BM$1006,0)), HYPERLINK("#",""), HYPERLINK(CONCATENATE("#metadata!", ADDRESS(INDEX($AH$2:$AH$1001,MATCH(ROWS($AF$2:AF498),$AF$2:$AF$1001,0),0), INDEX($AM$1004:$BM$1004,1,MATCH(COLUMNS($AM$1006:AP1006),$AM$1006:$BM$1006,0)))),"Fix")))</f>
        <v xml:space="preserve"> </v>
      </c>
      <c r="F498" s="4" t="str">
        <f ca="1">IF(OR(INDEX($AG$2:$AG$1001,MATCH(ROWS($AF$2:AF498),$AF$2:$AF$1001,0),1)&gt;=100000,INDEX($AM$1005:$BM$1005,1,MATCH(COLUMNS($AM$1006:AQ1006),$AM$1006:$BM$1006,0))&gt;=100000), " ",IF(INDEX($AM$2:$BM$1001,MATCH(ROWS($AF$2:AF498),$AF$2:$AF$1001,0),MATCH(COLUMNS($AM$1006:AQ1006),$AM$1006:$BM$1006,0)), HYPERLINK("#",""), HYPERLINK(CONCATENATE("#metadata!", ADDRESS(INDEX($AH$2:$AH$1001,MATCH(ROWS($AF$2:AF498),$AF$2:$AF$1001,0),0), INDEX($AM$1004:$BM$1004,1,MATCH(COLUMNS($AM$1006:AQ1006),$AM$1006:$BM$1006,0)))),"Fix")))</f>
        <v xml:space="preserve"> </v>
      </c>
      <c r="G498" s="4" t="str">
        <f ca="1">IF(OR(INDEX($AG$2:$AG$1001,MATCH(ROWS($AF$2:AF498),$AF$2:$AF$1001,0),1)&gt;=100000,INDEX($AM$1005:$BM$1005,1,MATCH(COLUMNS($AM$1006:AR1006),$AM$1006:$BM$1006,0))&gt;=100000), " ",IF(INDEX($AM$2:$BM$1001,MATCH(ROWS($AF$2:AF498),$AF$2:$AF$1001,0),MATCH(COLUMNS($AM$1006:AR1006),$AM$1006:$BM$1006,0)), HYPERLINK("#",""), HYPERLINK(CONCATENATE("#metadata!", ADDRESS(INDEX($AH$2:$AH$1001,MATCH(ROWS($AF$2:AF498),$AF$2:$AF$1001,0),0), INDEX($AM$1004:$BM$1004,1,MATCH(COLUMNS($AM$1006:AR1006),$AM$1006:$BM$1006,0)))),"Fix")))</f>
        <v xml:space="preserve"> </v>
      </c>
      <c r="H498" s="4" t="str">
        <f ca="1">IF(OR(INDEX($AG$2:$AG$1001,MATCH(ROWS($AF$2:AF498),$AF$2:$AF$1001,0),1)&gt;=100000,INDEX($AM$1005:$BM$1005,1,MATCH(COLUMNS($AM$1006:AS1006),$AM$1006:$BM$1006,0))&gt;=100000), " ",IF(INDEX($AM$2:$BM$1001,MATCH(ROWS($AF$2:AF498),$AF$2:$AF$1001,0),MATCH(COLUMNS($AM$1006:AS1006),$AM$1006:$BM$1006,0)), HYPERLINK("#",""), HYPERLINK(CONCATENATE("#metadata!", ADDRESS(INDEX($AH$2:$AH$1001,MATCH(ROWS($AF$2:AF498),$AF$2:$AF$1001,0),0), INDEX($AM$1004:$BM$1004,1,MATCH(COLUMNS($AM$1006:AS1006),$AM$1006:$BM$1006,0)))),"Fix")))</f>
        <v xml:space="preserve"> </v>
      </c>
      <c r="I498" s="4" t="str">
        <f ca="1">IF(OR(INDEX($AG$2:$AG$1001,MATCH(ROWS($AF$2:AF498),$AF$2:$AF$1001,0),1)&gt;=100000,INDEX($AM$1005:$BM$1005,1,MATCH(COLUMNS($AM$1006:AT1006),$AM$1006:$BM$1006,0))&gt;=100000), " ",IF(INDEX($AM$2:$BM$1001,MATCH(ROWS($AF$2:AF498),$AF$2:$AF$1001,0),MATCH(COLUMNS($AM$1006:AT1006),$AM$1006:$BM$1006,0)), HYPERLINK("#",""), HYPERLINK(CONCATENATE("#metadata!", ADDRESS(INDEX($AH$2:$AH$1001,MATCH(ROWS($AF$2:AF498),$AF$2:$AF$1001,0),0), INDEX($AM$1004:$BM$1004,1,MATCH(COLUMNS($AM$1006:AT1006),$AM$1006:$BM$1006,0)))),"Fix")))</f>
        <v xml:space="preserve"> </v>
      </c>
      <c r="J498" s="4" t="str">
        <f ca="1">IF(OR(INDEX($AG$2:$AG$1001,MATCH(ROWS($AF$2:AF498),$AF$2:$AF$1001,0),1)&gt;=100000,INDEX($AM$1005:$BM$1005,1,MATCH(COLUMNS($AM$1006:AU1006),$AM$1006:$BM$1006,0))&gt;=100000), " ",IF(INDEX($AM$2:$BM$1001,MATCH(ROWS($AF$2:AF498),$AF$2:$AF$1001,0),MATCH(COLUMNS($AM$1006:AU1006),$AM$1006:$BM$1006,0)), HYPERLINK("#",""), HYPERLINK(CONCATENATE("#metadata!", ADDRESS(INDEX($AH$2:$AH$1001,MATCH(ROWS($AF$2:AF498),$AF$2:$AF$1001,0),0), INDEX($AM$1004:$BM$1004,1,MATCH(COLUMNS($AM$1006:AU1006),$AM$1006:$BM$1006,0)))),"Fix")))</f>
        <v xml:space="preserve"> </v>
      </c>
      <c r="K498" s="4" t="str">
        <f ca="1">IF(OR(INDEX($AG$2:$AG$1001,MATCH(ROWS($AF$2:AF498),$AF$2:$AF$1001,0),1)&gt;=100000,INDEX($AM$1005:$BM$1005,1,MATCH(COLUMNS($AM$1006:AV1006),$AM$1006:$BM$1006,0))&gt;=100000), " ",IF(INDEX($AM$2:$BM$1001,MATCH(ROWS($AF$2:AF498),$AF$2:$AF$1001,0),MATCH(COLUMNS($AM$1006:AV1006),$AM$1006:$BM$1006,0)), HYPERLINK("#",""), HYPERLINK(CONCATENATE("#metadata!", ADDRESS(INDEX($AH$2:$AH$1001,MATCH(ROWS($AF$2:AF498),$AF$2:$AF$1001,0),0), INDEX($AM$1004:$BM$1004,1,MATCH(COLUMNS($AM$1006:AV1006),$AM$1006:$BM$1006,0)))),"Fix")))</f>
        <v xml:space="preserve"> </v>
      </c>
      <c r="L498" s="4" t="str">
        <f ca="1">IF(OR(INDEX($AG$2:$AG$1001,MATCH(ROWS($AF$2:AF498),$AF$2:$AF$1001,0),1)&gt;=100000,INDEX($AM$1005:$BM$1005,1,MATCH(COLUMNS($AM$1006:AW1006),$AM$1006:$BM$1006,0))&gt;=100000), " ",IF(INDEX($AM$2:$BM$1001,MATCH(ROWS($AF$2:AF498),$AF$2:$AF$1001,0),MATCH(COLUMNS($AM$1006:AW1006),$AM$1006:$BM$1006,0)), HYPERLINK("#",""), HYPERLINK(CONCATENATE("#metadata!", ADDRESS(INDEX($AH$2:$AH$1001,MATCH(ROWS($AF$2:AF498),$AF$2:$AF$1001,0),0), INDEX($AM$1004:$BM$1004,1,MATCH(COLUMNS($AM$1006:AW1006),$AM$1006:$BM$1006,0)))),"Fix")))</f>
        <v xml:space="preserve"> </v>
      </c>
      <c r="M498" s="4" t="str">
        <f ca="1">IF(OR(INDEX($AG$2:$AG$1001,MATCH(ROWS($AF$2:AF498),$AF$2:$AF$1001,0),1)&gt;=100000,INDEX($AM$1005:$BM$1005,1,MATCH(COLUMNS($AM$1006:AX1006),$AM$1006:$BM$1006,0))&gt;=100000), " ",IF(INDEX($AM$2:$BM$1001,MATCH(ROWS($AF$2:AF498),$AF$2:$AF$1001,0),MATCH(COLUMNS($AM$1006:AX1006),$AM$1006:$BM$1006,0)), HYPERLINK("#",""), HYPERLINK(CONCATENATE("#metadata!", ADDRESS(INDEX($AH$2:$AH$1001,MATCH(ROWS($AF$2:AF498),$AF$2:$AF$1001,0),0), INDEX($AM$1004:$BM$1004,1,MATCH(COLUMNS($AM$1006:AX1006),$AM$1006:$BM$1006,0)))),"Fix")))</f>
        <v xml:space="preserve"> </v>
      </c>
      <c r="N498" s="4" t="str">
        <f ca="1">IF(OR(INDEX($AG$2:$AG$1001,MATCH(ROWS($AF$2:AF498),$AF$2:$AF$1001,0),1)&gt;=100000,INDEX($AM$1005:$BM$1005,1,MATCH(COLUMNS($AM$1006:AY1006),$AM$1006:$BM$1006,0))&gt;=100000), " ",IF(INDEX($AM$2:$BM$1001,MATCH(ROWS($AF$2:AF498),$AF$2:$AF$1001,0),MATCH(COLUMNS($AM$1006:AY1006),$AM$1006:$BM$1006,0)), HYPERLINK("#",""), HYPERLINK(CONCATENATE("#metadata!", ADDRESS(INDEX($AH$2:$AH$1001,MATCH(ROWS($AF$2:AF498),$AF$2:$AF$1001,0),0), INDEX($AM$1004:$BM$1004,1,MATCH(COLUMNS($AM$1006:AY1006),$AM$1006:$BM$1006,0)))),"Fix")))</f>
        <v xml:space="preserve"> </v>
      </c>
      <c r="O498" s="4" t="str">
        <f ca="1">IF(OR(INDEX($AG$2:$AG$1001,MATCH(ROWS($AF$2:AF498),$AF$2:$AF$1001,0),1)&gt;=100000,INDEX($AM$1005:$BM$1005,1,MATCH(COLUMNS($AM$1006:AZ1006),$AM$1006:$BM$1006,0))&gt;=100000), " ",IF(INDEX($AM$2:$BM$1001,MATCH(ROWS($AF$2:AF498),$AF$2:$AF$1001,0),MATCH(COLUMNS($AM$1006:AZ1006),$AM$1006:$BM$1006,0)), HYPERLINK("#",""), HYPERLINK(CONCATENATE("#metadata!", ADDRESS(INDEX($AH$2:$AH$1001,MATCH(ROWS($AF$2:AF498),$AF$2:$AF$1001,0),0), INDEX($AM$1004:$BM$1004,1,MATCH(COLUMNS($AM$1006:AZ1006),$AM$1006:$BM$1006,0)))),"Fix")))</f>
        <v xml:space="preserve"> </v>
      </c>
      <c r="P498" s="4" t="str">
        <f ca="1">IF(OR(INDEX($AG$2:$AG$1001,MATCH(ROWS($AF$2:AF498),$AF$2:$AF$1001,0),1)&gt;=100000,INDEX($AM$1005:$BM$1005,1,MATCH(COLUMNS($AM$1006:BA1006),$AM$1006:$BM$1006,0))&gt;=100000), " ",IF(INDEX($AM$2:$BM$1001,MATCH(ROWS($AF$2:AF498),$AF$2:$AF$1001,0),MATCH(COLUMNS($AM$1006:BA1006),$AM$1006:$BM$1006,0)), HYPERLINK("#",""), HYPERLINK(CONCATENATE("#metadata!", ADDRESS(INDEX($AH$2:$AH$1001,MATCH(ROWS($AF$2:AF498),$AF$2:$AF$1001,0),0), INDEX($AM$1004:$BM$1004,1,MATCH(COLUMNS($AM$1006:BA1006),$AM$1006:$BM$1006,0)))),"Fix")))</f>
        <v xml:space="preserve"> </v>
      </c>
      <c r="Q498" s="4" t="str">
        <f ca="1">IF(OR(INDEX($AG$2:$AG$1001,MATCH(ROWS($AF$2:AF498),$AF$2:$AF$1001,0),1)&gt;=100000,INDEX($AM$1005:$BM$1005,1,MATCH(COLUMNS($AM$1006:BB1006),$AM$1006:$BM$1006,0))&gt;=100000), " ",IF(INDEX($AM$2:$BM$1001,MATCH(ROWS($AF$2:AF498),$AF$2:$AF$1001,0),MATCH(COLUMNS($AM$1006:BB1006),$AM$1006:$BM$1006,0)), HYPERLINK("#",""), HYPERLINK(CONCATENATE("#metadata!", ADDRESS(INDEX($AH$2:$AH$1001,MATCH(ROWS($AF$2:AF498),$AF$2:$AF$1001,0),0), INDEX($AM$1004:$BM$1004,1,MATCH(COLUMNS($AM$1006:BB1006),$AM$1006:$BM$1006,0)))),"Fix")))</f>
        <v xml:space="preserve"> </v>
      </c>
      <c r="R498" s="4" t="str">
        <f ca="1">IF(OR(INDEX($AG$2:$AG$1001,MATCH(ROWS($AF$2:AF498),$AF$2:$AF$1001,0),1)&gt;=100000,INDEX($AM$1005:$BM$1005,1,MATCH(COLUMNS($AM$1006:BC1006),$AM$1006:$BM$1006,0))&gt;=100000), " ",IF(INDEX($AM$2:$BM$1001,MATCH(ROWS($AF$2:AF498),$AF$2:$AF$1001,0),MATCH(COLUMNS($AM$1006:BC1006),$AM$1006:$BM$1006,0)), HYPERLINK("#",""), HYPERLINK(CONCATENATE("#metadata!", ADDRESS(INDEX($AH$2:$AH$1001,MATCH(ROWS($AF$2:AF498),$AF$2:$AF$1001,0),0), INDEX($AM$1004:$BM$1004,1,MATCH(COLUMNS($AM$1006:BC1006),$AM$1006:$BM$1006,0)))),"Fix")))</f>
        <v xml:space="preserve"> </v>
      </c>
      <c r="S498" s="4" t="str">
        <f ca="1">IF(OR(INDEX($AG$2:$AG$1001,MATCH(ROWS($AF$2:AF498),$AF$2:$AF$1001,0),1)&gt;=100000,INDEX($AM$1005:$BM$1005,1,MATCH(COLUMNS($AM$1006:BD1006),$AM$1006:$BM$1006,0))&gt;=100000), " ",IF(INDEX($AM$2:$BM$1001,MATCH(ROWS($AF$2:AF498),$AF$2:$AF$1001,0),MATCH(COLUMNS($AM$1006:BD1006),$AM$1006:$BM$1006,0)), HYPERLINK("#",""), HYPERLINK(CONCATENATE("#metadata!", ADDRESS(INDEX($AH$2:$AH$1001,MATCH(ROWS($AF$2:AF498),$AF$2:$AF$1001,0),0), INDEX($AM$1004:$BM$1004,1,MATCH(COLUMNS($AM$1006:BD1006),$AM$1006:$BM$1006,0)))),"Fix")))</f>
        <v xml:space="preserve"> </v>
      </c>
      <c r="T498" s="4" t="str">
        <f ca="1">IF(OR(INDEX($AG$2:$AG$1001,MATCH(ROWS($AF$2:AF498),$AF$2:$AF$1001,0),1)&gt;=100000,INDEX($AM$1005:$BM$1005,1,MATCH(COLUMNS($AM$1006:BE1006),$AM$1006:$BM$1006,0))&gt;=100000), " ",IF(INDEX($AM$2:$BM$1001,MATCH(ROWS($AF$2:AF498),$AF$2:$AF$1001,0),MATCH(COLUMNS($AM$1006:BE1006),$AM$1006:$BM$1006,0)), HYPERLINK("#",""), HYPERLINK(CONCATENATE("#metadata!", ADDRESS(INDEX($AH$2:$AH$1001,MATCH(ROWS($AF$2:AF498),$AF$2:$AF$1001,0),0), INDEX($AM$1004:$BM$1004,1,MATCH(COLUMNS($AM$1006:BE1006),$AM$1006:$BM$1006,0)))),"Fix")))</f>
        <v xml:space="preserve"> </v>
      </c>
      <c r="U498" s="4" t="str">
        <f ca="1">IF(OR(INDEX($AG$2:$AG$1001,MATCH(ROWS($AF$2:AF498),$AF$2:$AF$1001,0),1)&gt;=100000,INDEX($AM$1005:$BM$1005,1,MATCH(COLUMNS($AM$1006:BF1006),$AM$1006:$BM$1006,0))&gt;=100000), " ",IF(INDEX($AM$2:$BM$1001,MATCH(ROWS($AF$2:AF498),$AF$2:$AF$1001,0),MATCH(COLUMNS($AM$1006:BF1006),$AM$1006:$BM$1006,0)), HYPERLINK("#",""), HYPERLINK(CONCATENATE("#metadata!", ADDRESS(INDEX($AH$2:$AH$1001,MATCH(ROWS($AF$2:AF498),$AF$2:$AF$1001,0),0), INDEX($AM$1004:$BM$1004,1,MATCH(COLUMNS($AM$1006:BF1006),$AM$1006:$BM$1006,0)))),"Fix")))</f>
        <v xml:space="preserve"> </v>
      </c>
      <c r="V498" s="4" t="str">
        <f ca="1">IF(OR(INDEX($AG$2:$AG$1001,MATCH(ROWS($AF$2:AF498),$AF$2:$AF$1001,0),1)&gt;=100000,INDEX($AM$1005:$BM$1005,1,MATCH(COLUMNS($AM$1006:BG1006),$AM$1006:$BM$1006,0))&gt;=100000), " ",IF(INDEX($AM$2:$BM$1001,MATCH(ROWS($AF$2:AF498),$AF$2:$AF$1001,0),MATCH(COLUMNS($AM$1006:BG1006),$AM$1006:$BM$1006,0)), HYPERLINK("#",""), HYPERLINK(CONCATENATE("#metadata!", ADDRESS(INDEX($AH$2:$AH$1001,MATCH(ROWS($AF$2:AF498),$AF$2:$AF$1001,0),0), INDEX($AM$1004:$BM$1004,1,MATCH(COLUMNS($AM$1006:BG1006),$AM$1006:$BM$1006,0)))),"Fix")))</f>
        <v xml:space="preserve"> </v>
      </c>
      <c r="W498" s="4" t="str">
        <f ca="1">IF(OR(INDEX($AG$2:$AG$1001,MATCH(ROWS($AF$2:AF498),$AF$2:$AF$1001,0),1)&gt;=100000,INDEX($AM$1005:$BM$1005,1,MATCH(COLUMNS($AM$1006:BH1006),$AM$1006:$BM$1006,0))&gt;=100000), " ",IF(INDEX($AM$2:$BM$1001,MATCH(ROWS($AF$2:AF498),$AF$2:$AF$1001,0),MATCH(COLUMNS($AM$1006:BH1006),$AM$1006:$BM$1006,0)), HYPERLINK("#",""), HYPERLINK(CONCATENATE("#metadata!", ADDRESS(INDEX($AH$2:$AH$1001,MATCH(ROWS($AF$2:AF498),$AF$2:$AF$1001,0),0), INDEX($AM$1004:$BM$1004,1,MATCH(COLUMNS($AM$1006:BH1006),$AM$1006:$BM$1006,0)))),"Fix")))</f>
        <v xml:space="preserve"> </v>
      </c>
      <c r="X498" s="4" t="str">
        <f ca="1">IF(OR(INDEX($AG$2:$AG$1001,MATCH(ROWS($AF$2:AF498),$AF$2:$AF$1001,0),1)&gt;=100000,INDEX($AM$1005:$BM$1005,1,MATCH(COLUMNS($AM$1006:BI1006),$AM$1006:$BM$1006,0))&gt;=100000), " ",IF(INDEX($AM$2:$BM$1001,MATCH(ROWS($AF$2:AF498),$AF$2:$AF$1001,0),MATCH(COLUMNS($AM$1006:BI1006),$AM$1006:$BM$1006,0)), HYPERLINK("#",""), HYPERLINK(CONCATENATE("#metadata!", ADDRESS(INDEX($AH$2:$AH$1001,MATCH(ROWS($AF$2:AF498),$AF$2:$AF$1001,0),0), INDEX($AM$1004:$BM$1004,1,MATCH(COLUMNS($AM$1006:BI1006),$AM$1006:$BM$1006,0)))),"Fix")))</f>
        <v xml:space="preserve"> </v>
      </c>
      <c r="Y498" s="4" t="str">
        <f ca="1">IF(OR(INDEX($AG$2:$AG$1001,MATCH(ROWS($AF$2:AF498),$AF$2:$AF$1001,0),1)&gt;=100000,INDEX($AM$1005:$BM$1005,1,MATCH(COLUMNS($AM$1006:BJ1006),$AM$1006:$BM$1006,0))&gt;=100000), " ",IF(INDEX($AM$2:$BM$1001,MATCH(ROWS($AF$2:AF498),$AF$2:$AF$1001,0),MATCH(COLUMNS($AM$1006:BJ1006),$AM$1006:$BM$1006,0)), HYPERLINK("#",""), HYPERLINK(CONCATENATE("#metadata!", ADDRESS(INDEX($AH$2:$AH$1001,MATCH(ROWS($AF$2:AF498),$AF$2:$AF$1001,0),0), INDEX($AM$1004:$BM$1004,1,MATCH(COLUMNS($AM$1006:BJ1006),$AM$1006:$BM$1006,0)))),"Fix")))</f>
        <v xml:space="preserve"> </v>
      </c>
      <c r="Z498" s="4" t="str">
        <f ca="1">IF(OR(INDEX($AG$2:$AG$1001,MATCH(ROWS($AF$2:AF498),$AF$2:$AF$1001,0),1)&gt;=100000,INDEX($AM$1005:$BM$1005,1,MATCH(COLUMNS($AM$1006:BK1006),$AM$1006:$BM$1006,0))&gt;=100000), " ",IF(INDEX($AM$2:$BM$1001,MATCH(ROWS($AF$2:AF498),$AF$2:$AF$1001,0),MATCH(COLUMNS($AM$1006:BK1006),$AM$1006:$BM$1006,0)), HYPERLINK("#",""), HYPERLINK(CONCATENATE("#metadata!", ADDRESS(INDEX($AH$2:$AH$1001,MATCH(ROWS($AF$2:AF498),$AF$2:$AF$1001,0),0), INDEX($AM$1004:$BM$1004,1,MATCH(COLUMNS($AM$1006:BK1006),$AM$1006:$BM$1006,0)))),"Fix")))</f>
        <v xml:space="preserve"> </v>
      </c>
      <c r="AA498" s="4" t="str">
        <f ca="1">IF(OR(INDEX($AG$2:$AG$1001,MATCH(ROWS($AF$2:AF498),$AF$2:$AF$1001,0),1)&gt;=100000,INDEX($AM$1005:$BM$1005,1,MATCH(COLUMNS($AM$1006:BL1006),$AM$1006:$BM$1006,0))&gt;=100000), " ",IF(INDEX($AM$2:$BM$1001,MATCH(ROWS($AF$2:AF498),$AF$2:$AF$1001,0),MATCH(COLUMNS($AM$1006:BL1006),$AM$1006:$BM$1006,0)), HYPERLINK("#",""), HYPERLINK(CONCATENATE("#metadata!", ADDRESS(INDEX($AH$2:$AH$1001,MATCH(ROWS($AF$2:AF498),$AF$2:$AF$1001,0),0), INDEX($AM$1004:$BM$1004,1,MATCH(COLUMNS($AM$1006:BL1006),$AM$1006:$BM$1006,0)))),"Fix")))</f>
        <v xml:space="preserve"> </v>
      </c>
      <c r="AB498" s="4" t="str">
        <f ca="1">IF(OR(INDEX($AG$2:$AG$1001,MATCH(ROWS($AF$2:AF498),$AF$2:$AF$1001,0),1)&gt;=100000,INDEX($AM$1005:$BM$1005,1,MATCH(COLUMNS($AM$1006:BM1006),$AM$1006:$BM$1006,0))&gt;=100000), " ",IF(INDEX($AM$2:$BM$1001,MATCH(ROWS($AF$2:AF498),$AF$2:$AF$1001,0),MATCH(COLUMNS($AM$1006:BM1006),$AM$1006:$BM$1006,0)), HYPERLINK("#",""), HYPERLINK(CONCATENATE("#metadata!", ADDRESS(INDEX($AH$2:$AH$1001,MATCH(ROWS($AF$2:AF498),$AF$2:$AF$1001,0),0), INDEX($AM$1004:$BM$1004,1,MATCH(COLUMNS($AM$1006:BM1006),$AM$1006:$BM$1006,0)))),"Fix")))</f>
        <v xml:space="preserve"> </v>
      </c>
      <c r="AF498">
        <v>497</v>
      </c>
      <c r="AG498">
        <v>100498</v>
      </c>
      <c r="AH498">
        <v>498</v>
      </c>
      <c r="AI498" t="b">
        <f t="shared" si="7"/>
        <v>1</v>
      </c>
      <c r="AJ498" t="b">
        <f>COUNTBLANK(metadata!B498:AB498)=COLUMNS(metadata!B498:AB498)</f>
        <v>1</v>
      </c>
      <c r="AK498" t="str">
        <v/>
      </c>
      <c r="AM498" t="b">
        <f ca="1">AND(IF(metadata!B498="",FALSE,TRUE),COUNTIF(metadata!B:B, metadata!B498) = 1,NOT(ISERROR(SUMPRODUCT(SEARCH(MID(metadata!B498,ROW(INDIRECT("1:"&amp;LEN(metadata!B498))), 1),"0123456789abcdefghijklmnopqrstuvwxyzABCDEFGHIJKLMNOPQRSTUVWXYZ.")))))</f>
        <v>0</v>
      </c>
      <c r="AN498" t="b">
        <f ca="1">OR(AND(IF(metadata!C498="",FALSE,TRUE),OR(EXACT(metadata!C498,"missing: not collected"),EXACT(metadata!C498,"missing: not provided"),EXACT(metadata!C498,"missing: restricted access"))),AND(IF(metadata!C498="",FALSE,TRUE),AND(AND(IFERROR(INT(LEFT(metadata!C498,4))&gt;1900,FALSE),IFERROR(INT(LEFT(metadata!C498,4))&lt;=YEAR(NOW()),FALSE)), OR(MID(metadata!C498,5,1)="", AND(AND(MID(metadata!C498,5,1)="-",IFERROR(INT(MID(metadata!C498,6,1))&gt;=0,FALSE),IFERROR(INT(MID(metadata!C498,6,1))&lt;=1,FALSE),NOT(MID(metadata!C498,7,1)=""),IFERROR(INT(MID(metadata!C498,6,2))&gt;=1,FALSE),IFERROR(INT(MID(metadata!C498,6,2))&lt;=12,FALSE)), OR(MID(metadata!C498,8,1)="", AND(AND(MID(metadata!C498,8,1)="-",IFERROR(INT(MID(metadata!C498,9,1))&gt;=0,FALSE),IFERROR(INT(MID(metadata!C498,9,1))&lt;=3,FALSE),NOT(MID(metadata!C498,10,1)=""),IFERROR(INT(MID(metadata!C498,9,2))&gt;=1,FALSE),IFERROR(INT(MID(metadata!C498,9,2))&lt;=31,FALSE)), OR(MID(metadata!C498,11,1)="", AND(AND(MID(metadata!C498,11,1)=" ",IFERROR(INT(MID(metadata!C498,12,1))&gt;=0,FALSE),IFERROR(INT(MID(metadata!C498,12,1))&lt;=2,FALSE),NOT(MID(metadata!C498,13,1)=""),IFERROR(INT(MID(metadata!C498,12,2))&gt;=0,FALSE),IFERROR(INT(MID(metadata!C498,12,2))&lt;=23,FALSE)), OR(MID(metadata!C498,14,1)="", AND(AND(MID(metadata!C498,14,1)=":",IFERROR(INT(MID(metadata!C498,15,1))&gt;=0,FALSE),IFERROR(INT(MID(metadata!C498,15,1))&lt;=5,FALSE),NOT(MID(metadata!C498,16,1)=""),IFERROR(INT(MID(metadata!C498,15,2))&gt;=0,FALSE),IFERROR(INT(MID(metadata!C498,15,2))&lt;=59,FALSE)), OR(MID(metadata!C498,17,1)="", AND(AND(MID(metadata!C498,17,1)=":",IFERROR(INT(MID(metadata!C498,18,1))&gt;=0,FALSE),IFERROR(INT(MID(metadata!C498,18,1))&lt;=5,FALSE),NOT(MID(metadata!C498,19,1)=""),IFERROR(INT(MID(metadata!C498,18,2))&gt;=0,FALSE),IFERROR(INT(MID(metadata!C498,18,2))&lt;=59,FALSE)), LEN(metadata!C498)&lt;=19)))))))))))))</f>
        <v>0</v>
      </c>
      <c r="AO498" t="b">
        <f>AND(IF(metadata!D498="",FALSE,TRUE),EXACT(metadata!D498,"Not applicable"))</f>
        <v>0</v>
      </c>
      <c r="AP498" t="b">
        <f>IF(metadata!E498="",FALSE,TRUE)</f>
        <v>0</v>
      </c>
      <c r="AQ498" t="b">
        <f>OR(AND(IF(metadata!F498="",FALSE,TRUE),OR(EXACT(metadata!F498,"missing: not collected"),EXACT(metadata!F498,"missing: not provided"))),AND(IF(metadata!F498="",FALSE,TRUE),OR(EXACT(metadata!F498,"TRUE"),EXACT(metadata!F498,"FALSE"))))</f>
        <v>0</v>
      </c>
      <c r="AR498" t="b">
        <f>OR(AND(IF(metadata!G498="",FALSE,TRUE),OR(EXACT(metadata!G498,"missing: not collected"),EXACT(metadata!G498,"missing: not provided"),EXACT(metadata!G498,"missing: restricted access"))),AND(IF(metadata!G498="",FALSE,ISNUMBER(VALUE(metadata!G498))),metadata!G498&gt;=-413))</f>
        <v>0</v>
      </c>
      <c r="AS498" t="b">
        <f>AND(IF(metadata!H498="",FALSE,TRUE),EXACT(metadata!H498,"meters"))</f>
        <v>0</v>
      </c>
      <c r="AT498" t="b">
        <f>AND(IF(metadata!I498="",FALSE,TRUE),OR(EXACT(metadata!I498,"Host-associated"),EXACT(metadata!I498,"Free-living")))</f>
        <v>0</v>
      </c>
      <c r="AU498" t="b">
        <f>AND(IF(metadata!J498="",FALSE,TRUE),OR(EXACT(metadata!J498,"Animal"),EXACT(metadata!J498,"Fungus"),EXACT(metadata!J498,"Plant"),EXACT(metadata!J498,"Saline"),EXACT(metadata!J498,"Non-saline")))</f>
        <v>0</v>
      </c>
      <c r="AV498" t="b">
        <f>AND(IF(metadata!K498="",FALSE,TRUE),OR(EXACT(metadata!K498,"Plant secretion"),EXACT(metadata!K498,"Plant rhizosphere"),EXACT(metadata!K498,"Plant surface"),EXACT(metadata!K498,"Plant corpus"),EXACT(metadata!K498,"Fungus surface"),EXACT(metadata!K498,"Fungus corpus"),EXACT(metadata!K498,"Animal surface"),EXACT(metadata!K498,"Animal proximal gut"),EXACT(metadata!K498,"Animal corpus"),EXACT(metadata!K498,"Animal distal gut"),EXACT(metadata!K498,"Animal secretion"),EXACT(metadata!K498,"Sub-surface (non-saline)"),EXACT(metadata!K498,"Surface (non-saline)"),EXACT(metadata!K498,"Water (non-saline)"),EXACT(metadata!K498,"Soil (non-saline)"),EXACT(metadata!K498,"Aerosol (non-saline)"),EXACT(metadata!K498,"Sediment (non-saline)"),EXACT(metadata!K498,"Surface (saline)"),EXACT(metadata!K498,"Water (saline)"),EXACT(metadata!K498,"Hypersaline (saline)"),EXACT(metadata!K498,"Aerosol (saline)"),EXACT(metadata!K498,"Sediment (saline)")))</f>
        <v>0</v>
      </c>
      <c r="AW498" t="b">
        <f>IF(metadata!L498="",FALSE,TRUE)</f>
        <v>0</v>
      </c>
      <c r="AX498" t="b">
        <f>IF(metadata!M498="",FALSE,TRUE)</f>
        <v>0</v>
      </c>
      <c r="AY498" t="b">
        <f>IF(metadata!N498="",FALSE,TRUE)</f>
        <v>0</v>
      </c>
      <c r="AZ498" t="b">
        <f>OR(AND(IF(metadata!O498="",FALSE,TRUE),OR(EXACT(metadata!O498,"missing: not collected"),EXACT(metadata!O498,"missing: not provided"),EXACT(metadata!O498,"missing: restricted access"))),AND(IF(metadata!O498="",FALSE,TRUE),OR(EXACT(metadata!O498,"air"),EXACT(metadata!O498,"built environment"),EXACT(metadata!O498,"host-associated"),EXACT(metadata!O498,"human-associated"),EXACT(metadata!O498,"human-skin"),EXACT(metadata!O498,"human-oral"),EXACT(metadata!O498,"human-gut"),EXACT(metadata!O498,"human-vaginal"),EXACT(metadata!O498,"microbial mat/biofilm"),EXACT(metadata!O498,"misc environment"),EXACT(metadata!O498,"plant-associated"),EXACT(metadata!O498,"sediment"),EXACT(metadata!O498,"soil"),EXACT(metadata!O498,"wastewater/sludge"),EXACT(metadata!O498,"water"))))</f>
        <v>0</v>
      </c>
      <c r="BA498" t="b">
        <f>IF(metadata!P498="",FALSE,TRUE)</f>
        <v>0</v>
      </c>
      <c r="BB498" t="b">
        <f>IF(metadata!Q498="",FALSE,TRUE)</f>
        <v>0</v>
      </c>
      <c r="BC498" t="b">
        <f>OR(AND(IF(metadata!R498="",FALSE,TRUE),OR(EXACT(metadata!R498,"missing: not collected"),EXACT(metadata!R498,"missing: not provided"),EXACT(metadata!R498,"missing: restricted access"))),AND(IF(metadata!R498="",FALSE,ISNUMBER(VALUE(metadata!R498))),metadata!R498&gt;=-90,metadata!R498&lt;=90))</f>
        <v>0</v>
      </c>
      <c r="BD498" t="b">
        <f>AND(IF(metadata!S498="",FALSE,TRUE),EXACT(metadata!S498,"Decimal degrees"))</f>
        <v>0</v>
      </c>
      <c r="BE498" t="b">
        <f>OR(AND(IF(metadata!T498="",FALSE,TRUE),OR(EXACT(metadata!T498,"missing: not collected"),EXACT(metadata!T498,"missing: not provided"),EXACT(metadata!T498,"missing: restricted access"))),AND(IF(metadata!T498="",FALSE,ISNUMBER(VALUE(metadata!T498))),metadata!T498&gt;=-180,metadata!T498&lt;=180))</f>
        <v>0</v>
      </c>
      <c r="BF498" t="b">
        <f>AND(IF(metadata!U498="",FALSE,TRUE),EXACT(metadata!U498,"Decimal degrees"))</f>
        <v>0</v>
      </c>
      <c r="BG498" t="b">
        <f>IF(metadata!V498="",FALSE,TRUE)</f>
        <v>0</v>
      </c>
      <c r="BH498" t="b">
        <f>OR(AND(IF(metadata!W498="",FALSE,TRUE),OR(EXACT(metadata!W498,"missing: not collected"),EXACT(metadata!W498,"missing: not provided"),EXACT(metadata!W498,"missing: restricted access"))),AND(IF(metadata!W498="",FALSE,TRUE),OR(EXACT(metadata!W498,"TRUE"),EXACT(metadata!W498,"FALSE"))))</f>
        <v>0</v>
      </c>
      <c r="BI498" t="b">
        <f>AND(IF(metadata!X498="",FALSE,TRUE),EXACT(metadata!X498,"other"))</f>
        <v>0</v>
      </c>
      <c r="BJ498" t="b">
        <f>IF(metadata!Y498="",FALSE,TRUE)</f>
        <v>0</v>
      </c>
      <c r="BK498" t="b">
        <f>OR(AND(IF(metadata!Z498="",FALSE,TRUE),OR(EXACT(metadata!Z498,"missing: not collected"),EXACT(metadata!Z498,"missing: not provided"))),AND(IF(metadata!Z498="",FALSE,IF(ISERROR(INT(metadata!Z498)),FALSE,INT(metadata!Z498)=metadata!Z498)),metadata!Z498&gt;0))</f>
        <v>0</v>
      </c>
      <c r="BL498" t="b">
        <f>AND(IF(metadata!AA498="",FALSE,TRUE),EXACT(metadata!AA498,"Not applicable"))</f>
        <v>0</v>
      </c>
      <c r="BM498" t="b">
        <f>IF(metadata!AB498="",FALSE,TRUE)</f>
        <v>0</v>
      </c>
    </row>
    <row r="499" spans="1:65" x14ac:dyDescent="0.2">
      <c r="A499" s="5" t="str">
        <f ca="1">IF(B499=" "," ",HYPERLINK(CONCATENATE("#metadata!",ADDRESS(INDEX($AH$2:$AH$1001,MATCH(ROWS($AF$2:AF499),$AF$2:$AF$1001,0),0),1)),INDEX($AK$2:$AK$1001,MATCH(ROWS($AF$2:AF499),$AF$2:$AF$1001,0),0)))</f>
        <v xml:space="preserve"> </v>
      </c>
      <c r="B499" s="4" t="str">
        <f ca="1">IF(OR(INDEX($AG$2:$AG$1001,MATCH(ROWS($AF$2:AF499),$AF$2:$AF$1001,0),1)&gt;=100000,INDEX($AM$1005:$BM$1005,1,MATCH(COLUMNS($AM$1006:AM1006),$AM$1006:$BM$1006,0))&gt;=100000), " ",IF(INDEX($AM$2:$BM$1001,MATCH(ROWS($AF$2:AF499),$AF$2:$AF$1001,0),MATCH(COLUMNS($AM$1006:AM1006),$AM$1006:$BM$1006,0)), HYPERLINK("#",""), HYPERLINK(CONCATENATE("#metadata!", ADDRESS(INDEX($AH$2:$AH$1001,MATCH(ROWS($AF$2:AF499),$AF$2:$AF$1001,0),0), INDEX($AM$1004:$BM$1004,1,MATCH(COLUMNS($AM$1006:AM1006),$AM$1006:$BM$1006,0)))),"Fix")))</f>
        <v xml:space="preserve"> </v>
      </c>
      <c r="C499" s="4" t="str">
        <f ca="1">IF(OR(INDEX($AG$2:$AG$1001,MATCH(ROWS($AF$2:AF499),$AF$2:$AF$1001,0),1)&gt;=100000,INDEX($AM$1005:$BM$1005,1,MATCH(COLUMNS($AM$1006:AN1006),$AM$1006:$BM$1006,0))&gt;=100000), " ",IF(INDEX($AM$2:$BM$1001,MATCH(ROWS($AF$2:AF499),$AF$2:$AF$1001,0),MATCH(COLUMNS($AM$1006:AN1006),$AM$1006:$BM$1006,0)), HYPERLINK("#",""), HYPERLINK(CONCATENATE("#metadata!", ADDRESS(INDEX($AH$2:$AH$1001,MATCH(ROWS($AF$2:AF499),$AF$2:$AF$1001,0),0), INDEX($AM$1004:$BM$1004,1,MATCH(COLUMNS($AM$1006:AN1006),$AM$1006:$BM$1006,0)))),"Fix")))</f>
        <v xml:space="preserve"> </v>
      </c>
      <c r="D499" s="4" t="str">
        <f ca="1">IF(OR(INDEX($AG$2:$AG$1001,MATCH(ROWS($AF$2:AF499),$AF$2:$AF$1001,0),1)&gt;=100000,INDEX($AM$1005:$BM$1005,1,MATCH(COLUMNS($AM$1006:AO1006),$AM$1006:$BM$1006,0))&gt;=100000), " ",IF(INDEX($AM$2:$BM$1001,MATCH(ROWS($AF$2:AF499),$AF$2:$AF$1001,0),MATCH(COLUMNS($AM$1006:AO1006),$AM$1006:$BM$1006,0)), HYPERLINK("#",""), HYPERLINK(CONCATENATE("#metadata!", ADDRESS(INDEX($AH$2:$AH$1001,MATCH(ROWS($AF$2:AF499),$AF$2:$AF$1001,0),0), INDEX($AM$1004:$BM$1004,1,MATCH(COLUMNS($AM$1006:AO1006),$AM$1006:$BM$1006,0)))),"Fix")))</f>
        <v xml:space="preserve"> </v>
      </c>
      <c r="E499" s="4" t="str">
        <f ca="1">IF(OR(INDEX($AG$2:$AG$1001,MATCH(ROWS($AF$2:AF499),$AF$2:$AF$1001,0),1)&gt;=100000,INDEX($AM$1005:$BM$1005,1,MATCH(COLUMNS($AM$1006:AP1006),$AM$1006:$BM$1006,0))&gt;=100000), " ",IF(INDEX($AM$2:$BM$1001,MATCH(ROWS($AF$2:AF499),$AF$2:$AF$1001,0),MATCH(COLUMNS($AM$1006:AP1006),$AM$1006:$BM$1006,0)), HYPERLINK("#",""), HYPERLINK(CONCATENATE("#metadata!", ADDRESS(INDEX($AH$2:$AH$1001,MATCH(ROWS($AF$2:AF499),$AF$2:$AF$1001,0),0), INDEX($AM$1004:$BM$1004,1,MATCH(COLUMNS($AM$1006:AP1006),$AM$1006:$BM$1006,0)))),"Fix")))</f>
        <v xml:space="preserve"> </v>
      </c>
      <c r="F499" s="4" t="str">
        <f ca="1">IF(OR(INDEX($AG$2:$AG$1001,MATCH(ROWS($AF$2:AF499),$AF$2:$AF$1001,0),1)&gt;=100000,INDEX($AM$1005:$BM$1005,1,MATCH(COLUMNS($AM$1006:AQ1006),$AM$1006:$BM$1006,0))&gt;=100000), " ",IF(INDEX($AM$2:$BM$1001,MATCH(ROWS($AF$2:AF499),$AF$2:$AF$1001,0),MATCH(COLUMNS($AM$1006:AQ1006),$AM$1006:$BM$1006,0)), HYPERLINK("#",""), HYPERLINK(CONCATENATE("#metadata!", ADDRESS(INDEX($AH$2:$AH$1001,MATCH(ROWS($AF$2:AF499),$AF$2:$AF$1001,0),0), INDEX($AM$1004:$BM$1004,1,MATCH(COLUMNS($AM$1006:AQ1006),$AM$1006:$BM$1006,0)))),"Fix")))</f>
        <v xml:space="preserve"> </v>
      </c>
      <c r="G499" s="4" t="str">
        <f ca="1">IF(OR(INDEX($AG$2:$AG$1001,MATCH(ROWS($AF$2:AF499),$AF$2:$AF$1001,0),1)&gt;=100000,INDEX($AM$1005:$BM$1005,1,MATCH(COLUMNS($AM$1006:AR1006),$AM$1006:$BM$1006,0))&gt;=100000), " ",IF(INDEX($AM$2:$BM$1001,MATCH(ROWS($AF$2:AF499),$AF$2:$AF$1001,0),MATCH(COLUMNS($AM$1006:AR1006),$AM$1006:$BM$1006,0)), HYPERLINK("#",""), HYPERLINK(CONCATENATE("#metadata!", ADDRESS(INDEX($AH$2:$AH$1001,MATCH(ROWS($AF$2:AF499),$AF$2:$AF$1001,0),0), INDEX($AM$1004:$BM$1004,1,MATCH(COLUMNS($AM$1006:AR1006),$AM$1006:$BM$1006,0)))),"Fix")))</f>
        <v xml:space="preserve"> </v>
      </c>
      <c r="H499" s="4" t="str">
        <f ca="1">IF(OR(INDEX($AG$2:$AG$1001,MATCH(ROWS($AF$2:AF499),$AF$2:$AF$1001,0),1)&gt;=100000,INDEX($AM$1005:$BM$1005,1,MATCH(COLUMNS($AM$1006:AS1006),$AM$1006:$BM$1006,0))&gt;=100000), " ",IF(INDEX($AM$2:$BM$1001,MATCH(ROWS($AF$2:AF499),$AF$2:$AF$1001,0),MATCH(COLUMNS($AM$1006:AS1006),$AM$1006:$BM$1006,0)), HYPERLINK("#",""), HYPERLINK(CONCATENATE("#metadata!", ADDRESS(INDEX($AH$2:$AH$1001,MATCH(ROWS($AF$2:AF499),$AF$2:$AF$1001,0),0), INDEX($AM$1004:$BM$1004,1,MATCH(COLUMNS($AM$1006:AS1006),$AM$1006:$BM$1006,0)))),"Fix")))</f>
        <v xml:space="preserve"> </v>
      </c>
      <c r="I499" s="4" t="str">
        <f ca="1">IF(OR(INDEX($AG$2:$AG$1001,MATCH(ROWS($AF$2:AF499),$AF$2:$AF$1001,0),1)&gt;=100000,INDEX($AM$1005:$BM$1005,1,MATCH(COLUMNS($AM$1006:AT1006),$AM$1006:$BM$1006,0))&gt;=100000), " ",IF(INDEX($AM$2:$BM$1001,MATCH(ROWS($AF$2:AF499),$AF$2:$AF$1001,0),MATCH(COLUMNS($AM$1006:AT1006),$AM$1006:$BM$1006,0)), HYPERLINK("#",""), HYPERLINK(CONCATENATE("#metadata!", ADDRESS(INDEX($AH$2:$AH$1001,MATCH(ROWS($AF$2:AF499),$AF$2:$AF$1001,0),0), INDEX($AM$1004:$BM$1004,1,MATCH(COLUMNS($AM$1006:AT1006),$AM$1006:$BM$1006,0)))),"Fix")))</f>
        <v xml:space="preserve"> </v>
      </c>
      <c r="J499" s="4" t="str">
        <f ca="1">IF(OR(INDEX($AG$2:$AG$1001,MATCH(ROWS($AF$2:AF499),$AF$2:$AF$1001,0),1)&gt;=100000,INDEX($AM$1005:$BM$1005,1,MATCH(COLUMNS($AM$1006:AU1006),$AM$1006:$BM$1006,0))&gt;=100000), " ",IF(INDEX($AM$2:$BM$1001,MATCH(ROWS($AF$2:AF499),$AF$2:$AF$1001,0),MATCH(COLUMNS($AM$1006:AU1006),$AM$1006:$BM$1006,0)), HYPERLINK("#",""), HYPERLINK(CONCATENATE("#metadata!", ADDRESS(INDEX($AH$2:$AH$1001,MATCH(ROWS($AF$2:AF499),$AF$2:$AF$1001,0),0), INDEX($AM$1004:$BM$1004,1,MATCH(COLUMNS($AM$1006:AU1006),$AM$1006:$BM$1006,0)))),"Fix")))</f>
        <v xml:space="preserve"> </v>
      </c>
      <c r="K499" s="4" t="str">
        <f ca="1">IF(OR(INDEX($AG$2:$AG$1001,MATCH(ROWS($AF$2:AF499),$AF$2:$AF$1001,0),1)&gt;=100000,INDEX($AM$1005:$BM$1005,1,MATCH(COLUMNS($AM$1006:AV1006),$AM$1006:$BM$1006,0))&gt;=100000), " ",IF(INDEX($AM$2:$BM$1001,MATCH(ROWS($AF$2:AF499),$AF$2:$AF$1001,0),MATCH(COLUMNS($AM$1006:AV1006),$AM$1006:$BM$1006,0)), HYPERLINK("#",""), HYPERLINK(CONCATENATE("#metadata!", ADDRESS(INDEX($AH$2:$AH$1001,MATCH(ROWS($AF$2:AF499),$AF$2:$AF$1001,0),0), INDEX($AM$1004:$BM$1004,1,MATCH(COLUMNS($AM$1006:AV1006),$AM$1006:$BM$1006,0)))),"Fix")))</f>
        <v xml:space="preserve"> </v>
      </c>
      <c r="L499" s="4" t="str">
        <f ca="1">IF(OR(INDEX($AG$2:$AG$1001,MATCH(ROWS($AF$2:AF499),$AF$2:$AF$1001,0),1)&gt;=100000,INDEX($AM$1005:$BM$1005,1,MATCH(COLUMNS($AM$1006:AW1006),$AM$1006:$BM$1006,0))&gt;=100000), " ",IF(INDEX($AM$2:$BM$1001,MATCH(ROWS($AF$2:AF499),$AF$2:$AF$1001,0),MATCH(COLUMNS($AM$1006:AW1006),$AM$1006:$BM$1006,0)), HYPERLINK("#",""), HYPERLINK(CONCATENATE("#metadata!", ADDRESS(INDEX($AH$2:$AH$1001,MATCH(ROWS($AF$2:AF499),$AF$2:$AF$1001,0),0), INDEX($AM$1004:$BM$1004,1,MATCH(COLUMNS($AM$1006:AW1006),$AM$1006:$BM$1006,0)))),"Fix")))</f>
        <v xml:space="preserve"> </v>
      </c>
      <c r="M499" s="4" t="str">
        <f ca="1">IF(OR(INDEX($AG$2:$AG$1001,MATCH(ROWS($AF$2:AF499),$AF$2:$AF$1001,0),1)&gt;=100000,INDEX($AM$1005:$BM$1005,1,MATCH(COLUMNS($AM$1006:AX1006),$AM$1006:$BM$1006,0))&gt;=100000), " ",IF(INDEX($AM$2:$BM$1001,MATCH(ROWS($AF$2:AF499),$AF$2:$AF$1001,0),MATCH(COLUMNS($AM$1006:AX1006),$AM$1006:$BM$1006,0)), HYPERLINK("#",""), HYPERLINK(CONCATENATE("#metadata!", ADDRESS(INDEX($AH$2:$AH$1001,MATCH(ROWS($AF$2:AF499),$AF$2:$AF$1001,0),0), INDEX($AM$1004:$BM$1004,1,MATCH(COLUMNS($AM$1006:AX1006),$AM$1006:$BM$1006,0)))),"Fix")))</f>
        <v xml:space="preserve"> </v>
      </c>
      <c r="N499" s="4" t="str">
        <f ca="1">IF(OR(INDEX($AG$2:$AG$1001,MATCH(ROWS($AF$2:AF499),$AF$2:$AF$1001,0),1)&gt;=100000,INDEX($AM$1005:$BM$1005,1,MATCH(COLUMNS($AM$1006:AY1006),$AM$1006:$BM$1006,0))&gt;=100000), " ",IF(INDEX($AM$2:$BM$1001,MATCH(ROWS($AF$2:AF499),$AF$2:$AF$1001,0),MATCH(COLUMNS($AM$1006:AY1006),$AM$1006:$BM$1006,0)), HYPERLINK("#",""), HYPERLINK(CONCATENATE("#metadata!", ADDRESS(INDEX($AH$2:$AH$1001,MATCH(ROWS($AF$2:AF499),$AF$2:$AF$1001,0),0), INDEX($AM$1004:$BM$1004,1,MATCH(COLUMNS($AM$1006:AY1006),$AM$1006:$BM$1006,0)))),"Fix")))</f>
        <v xml:space="preserve"> </v>
      </c>
      <c r="O499" s="4" t="str">
        <f ca="1">IF(OR(INDEX($AG$2:$AG$1001,MATCH(ROWS($AF$2:AF499),$AF$2:$AF$1001,0),1)&gt;=100000,INDEX($AM$1005:$BM$1005,1,MATCH(COLUMNS($AM$1006:AZ1006),$AM$1006:$BM$1006,0))&gt;=100000), " ",IF(INDEX($AM$2:$BM$1001,MATCH(ROWS($AF$2:AF499),$AF$2:$AF$1001,0),MATCH(COLUMNS($AM$1006:AZ1006),$AM$1006:$BM$1006,0)), HYPERLINK("#",""), HYPERLINK(CONCATENATE("#metadata!", ADDRESS(INDEX($AH$2:$AH$1001,MATCH(ROWS($AF$2:AF499),$AF$2:$AF$1001,0),0), INDEX($AM$1004:$BM$1004,1,MATCH(COLUMNS($AM$1006:AZ1006),$AM$1006:$BM$1006,0)))),"Fix")))</f>
        <v xml:space="preserve"> </v>
      </c>
      <c r="P499" s="4" t="str">
        <f ca="1">IF(OR(INDEX($AG$2:$AG$1001,MATCH(ROWS($AF$2:AF499),$AF$2:$AF$1001,0),1)&gt;=100000,INDEX($AM$1005:$BM$1005,1,MATCH(COLUMNS($AM$1006:BA1006),$AM$1006:$BM$1006,0))&gt;=100000), " ",IF(INDEX($AM$2:$BM$1001,MATCH(ROWS($AF$2:AF499),$AF$2:$AF$1001,0),MATCH(COLUMNS($AM$1006:BA1006),$AM$1006:$BM$1006,0)), HYPERLINK("#",""), HYPERLINK(CONCATENATE("#metadata!", ADDRESS(INDEX($AH$2:$AH$1001,MATCH(ROWS($AF$2:AF499),$AF$2:$AF$1001,0),0), INDEX($AM$1004:$BM$1004,1,MATCH(COLUMNS($AM$1006:BA1006),$AM$1006:$BM$1006,0)))),"Fix")))</f>
        <v xml:space="preserve"> </v>
      </c>
      <c r="Q499" s="4" t="str">
        <f ca="1">IF(OR(INDEX($AG$2:$AG$1001,MATCH(ROWS($AF$2:AF499),$AF$2:$AF$1001,0),1)&gt;=100000,INDEX($AM$1005:$BM$1005,1,MATCH(COLUMNS($AM$1006:BB1006),$AM$1006:$BM$1006,0))&gt;=100000), " ",IF(INDEX($AM$2:$BM$1001,MATCH(ROWS($AF$2:AF499),$AF$2:$AF$1001,0),MATCH(COLUMNS($AM$1006:BB1006),$AM$1006:$BM$1006,0)), HYPERLINK("#",""), HYPERLINK(CONCATENATE("#metadata!", ADDRESS(INDEX($AH$2:$AH$1001,MATCH(ROWS($AF$2:AF499),$AF$2:$AF$1001,0),0), INDEX($AM$1004:$BM$1004,1,MATCH(COLUMNS($AM$1006:BB1006),$AM$1006:$BM$1006,0)))),"Fix")))</f>
        <v xml:space="preserve"> </v>
      </c>
      <c r="R499" s="4" t="str">
        <f ca="1">IF(OR(INDEX($AG$2:$AG$1001,MATCH(ROWS($AF$2:AF499),$AF$2:$AF$1001,0),1)&gt;=100000,INDEX($AM$1005:$BM$1005,1,MATCH(COLUMNS($AM$1006:BC1006),$AM$1006:$BM$1006,0))&gt;=100000), " ",IF(INDEX($AM$2:$BM$1001,MATCH(ROWS($AF$2:AF499),$AF$2:$AF$1001,0),MATCH(COLUMNS($AM$1006:BC1006),$AM$1006:$BM$1006,0)), HYPERLINK("#",""), HYPERLINK(CONCATENATE("#metadata!", ADDRESS(INDEX($AH$2:$AH$1001,MATCH(ROWS($AF$2:AF499),$AF$2:$AF$1001,0),0), INDEX($AM$1004:$BM$1004,1,MATCH(COLUMNS($AM$1006:BC1006),$AM$1006:$BM$1006,0)))),"Fix")))</f>
        <v xml:space="preserve"> </v>
      </c>
      <c r="S499" s="4" t="str">
        <f ca="1">IF(OR(INDEX($AG$2:$AG$1001,MATCH(ROWS($AF$2:AF499),$AF$2:$AF$1001,0),1)&gt;=100000,INDEX($AM$1005:$BM$1005,1,MATCH(COLUMNS($AM$1006:BD1006),$AM$1006:$BM$1006,0))&gt;=100000), " ",IF(INDEX($AM$2:$BM$1001,MATCH(ROWS($AF$2:AF499),$AF$2:$AF$1001,0),MATCH(COLUMNS($AM$1006:BD1006),$AM$1006:$BM$1006,0)), HYPERLINK("#",""), HYPERLINK(CONCATENATE("#metadata!", ADDRESS(INDEX($AH$2:$AH$1001,MATCH(ROWS($AF$2:AF499),$AF$2:$AF$1001,0),0), INDEX($AM$1004:$BM$1004,1,MATCH(COLUMNS($AM$1006:BD1006),$AM$1006:$BM$1006,0)))),"Fix")))</f>
        <v xml:space="preserve"> </v>
      </c>
      <c r="T499" s="4" t="str">
        <f ca="1">IF(OR(INDEX($AG$2:$AG$1001,MATCH(ROWS($AF$2:AF499),$AF$2:$AF$1001,0),1)&gt;=100000,INDEX($AM$1005:$BM$1005,1,MATCH(COLUMNS($AM$1006:BE1006),$AM$1006:$BM$1006,0))&gt;=100000), " ",IF(INDEX($AM$2:$BM$1001,MATCH(ROWS($AF$2:AF499),$AF$2:$AF$1001,0),MATCH(COLUMNS($AM$1006:BE1006),$AM$1006:$BM$1006,0)), HYPERLINK("#",""), HYPERLINK(CONCATENATE("#metadata!", ADDRESS(INDEX($AH$2:$AH$1001,MATCH(ROWS($AF$2:AF499),$AF$2:$AF$1001,0),0), INDEX($AM$1004:$BM$1004,1,MATCH(COLUMNS($AM$1006:BE1006),$AM$1006:$BM$1006,0)))),"Fix")))</f>
        <v xml:space="preserve"> </v>
      </c>
      <c r="U499" s="4" t="str">
        <f ca="1">IF(OR(INDEX($AG$2:$AG$1001,MATCH(ROWS($AF$2:AF499),$AF$2:$AF$1001,0),1)&gt;=100000,INDEX($AM$1005:$BM$1005,1,MATCH(COLUMNS($AM$1006:BF1006),$AM$1006:$BM$1006,0))&gt;=100000), " ",IF(INDEX($AM$2:$BM$1001,MATCH(ROWS($AF$2:AF499),$AF$2:$AF$1001,0),MATCH(COLUMNS($AM$1006:BF1006),$AM$1006:$BM$1006,0)), HYPERLINK("#",""), HYPERLINK(CONCATENATE("#metadata!", ADDRESS(INDEX($AH$2:$AH$1001,MATCH(ROWS($AF$2:AF499),$AF$2:$AF$1001,0),0), INDEX($AM$1004:$BM$1004,1,MATCH(COLUMNS($AM$1006:BF1006),$AM$1006:$BM$1006,0)))),"Fix")))</f>
        <v xml:space="preserve"> </v>
      </c>
      <c r="V499" s="4" t="str">
        <f ca="1">IF(OR(INDEX($AG$2:$AG$1001,MATCH(ROWS($AF$2:AF499),$AF$2:$AF$1001,0),1)&gt;=100000,INDEX($AM$1005:$BM$1005,1,MATCH(COLUMNS($AM$1006:BG1006),$AM$1006:$BM$1006,0))&gt;=100000), " ",IF(INDEX($AM$2:$BM$1001,MATCH(ROWS($AF$2:AF499),$AF$2:$AF$1001,0),MATCH(COLUMNS($AM$1006:BG1006),$AM$1006:$BM$1006,0)), HYPERLINK("#",""), HYPERLINK(CONCATENATE("#metadata!", ADDRESS(INDEX($AH$2:$AH$1001,MATCH(ROWS($AF$2:AF499),$AF$2:$AF$1001,0),0), INDEX($AM$1004:$BM$1004,1,MATCH(COLUMNS($AM$1006:BG1006),$AM$1006:$BM$1006,0)))),"Fix")))</f>
        <v xml:space="preserve"> </v>
      </c>
      <c r="W499" s="4" t="str">
        <f ca="1">IF(OR(INDEX($AG$2:$AG$1001,MATCH(ROWS($AF$2:AF499),$AF$2:$AF$1001,0),1)&gt;=100000,INDEX($AM$1005:$BM$1005,1,MATCH(COLUMNS($AM$1006:BH1006),$AM$1006:$BM$1006,0))&gt;=100000), " ",IF(INDEX($AM$2:$BM$1001,MATCH(ROWS($AF$2:AF499),$AF$2:$AF$1001,0),MATCH(COLUMNS($AM$1006:BH1006),$AM$1006:$BM$1006,0)), HYPERLINK("#",""), HYPERLINK(CONCATENATE("#metadata!", ADDRESS(INDEX($AH$2:$AH$1001,MATCH(ROWS($AF$2:AF499),$AF$2:$AF$1001,0),0), INDEX($AM$1004:$BM$1004,1,MATCH(COLUMNS($AM$1006:BH1006),$AM$1006:$BM$1006,0)))),"Fix")))</f>
        <v xml:space="preserve"> </v>
      </c>
      <c r="X499" s="4" t="str">
        <f ca="1">IF(OR(INDEX($AG$2:$AG$1001,MATCH(ROWS($AF$2:AF499),$AF$2:$AF$1001,0),1)&gt;=100000,INDEX($AM$1005:$BM$1005,1,MATCH(COLUMNS($AM$1006:BI1006),$AM$1006:$BM$1006,0))&gt;=100000), " ",IF(INDEX($AM$2:$BM$1001,MATCH(ROWS($AF$2:AF499),$AF$2:$AF$1001,0),MATCH(COLUMNS($AM$1006:BI1006),$AM$1006:$BM$1006,0)), HYPERLINK("#",""), HYPERLINK(CONCATENATE("#metadata!", ADDRESS(INDEX($AH$2:$AH$1001,MATCH(ROWS($AF$2:AF499),$AF$2:$AF$1001,0),0), INDEX($AM$1004:$BM$1004,1,MATCH(COLUMNS($AM$1006:BI1006),$AM$1006:$BM$1006,0)))),"Fix")))</f>
        <v xml:space="preserve"> </v>
      </c>
      <c r="Y499" s="4" t="str">
        <f ca="1">IF(OR(INDEX($AG$2:$AG$1001,MATCH(ROWS($AF$2:AF499),$AF$2:$AF$1001,0),1)&gt;=100000,INDEX($AM$1005:$BM$1005,1,MATCH(COLUMNS($AM$1006:BJ1006),$AM$1006:$BM$1006,0))&gt;=100000), " ",IF(INDEX($AM$2:$BM$1001,MATCH(ROWS($AF$2:AF499),$AF$2:$AF$1001,0),MATCH(COLUMNS($AM$1006:BJ1006),$AM$1006:$BM$1006,0)), HYPERLINK("#",""), HYPERLINK(CONCATENATE("#metadata!", ADDRESS(INDEX($AH$2:$AH$1001,MATCH(ROWS($AF$2:AF499),$AF$2:$AF$1001,0),0), INDEX($AM$1004:$BM$1004,1,MATCH(COLUMNS($AM$1006:BJ1006),$AM$1006:$BM$1006,0)))),"Fix")))</f>
        <v xml:space="preserve"> </v>
      </c>
      <c r="Z499" s="4" t="str">
        <f ca="1">IF(OR(INDEX($AG$2:$AG$1001,MATCH(ROWS($AF$2:AF499),$AF$2:$AF$1001,0),1)&gt;=100000,INDEX($AM$1005:$BM$1005,1,MATCH(COLUMNS($AM$1006:BK1006),$AM$1006:$BM$1006,0))&gt;=100000), " ",IF(INDEX($AM$2:$BM$1001,MATCH(ROWS($AF$2:AF499),$AF$2:$AF$1001,0),MATCH(COLUMNS($AM$1006:BK1006),$AM$1006:$BM$1006,0)), HYPERLINK("#",""), HYPERLINK(CONCATENATE("#metadata!", ADDRESS(INDEX($AH$2:$AH$1001,MATCH(ROWS($AF$2:AF499),$AF$2:$AF$1001,0),0), INDEX($AM$1004:$BM$1004,1,MATCH(COLUMNS($AM$1006:BK1006),$AM$1006:$BM$1006,0)))),"Fix")))</f>
        <v xml:space="preserve"> </v>
      </c>
      <c r="AA499" s="4" t="str">
        <f ca="1">IF(OR(INDEX($AG$2:$AG$1001,MATCH(ROWS($AF$2:AF499),$AF$2:$AF$1001,0),1)&gt;=100000,INDEX($AM$1005:$BM$1005,1,MATCH(COLUMNS($AM$1006:BL1006),$AM$1006:$BM$1006,0))&gt;=100000), " ",IF(INDEX($AM$2:$BM$1001,MATCH(ROWS($AF$2:AF499),$AF$2:$AF$1001,0),MATCH(COLUMNS($AM$1006:BL1006),$AM$1006:$BM$1006,0)), HYPERLINK("#",""), HYPERLINK(CONCATENATE("#metadata!", ADDRESS(INDEX($AH$2:$AH$1001,MATCH(ROWS($AF$2:AF499),$AF$2:$AF$1001,0),0), INDEX($AM$1004:$BM$1004,1,MATCH(COLUMNS($AM$1006:BL1006),$AM$1006:$BM$1006,0)))),"Fix")))</f>
        <v xml:space="preserve"> </v>
      </c>
      <c r="AB499" s="4" t="str">
        <f ca="1">IF(OR(INDEX($AG$2:$AG$1001,MATCH(ROWS($AF$2:AF499),$AF$2:$AF$1001,0),1)&gt;=100000,INDEX($AM$1005:$BM$1005,1,MATCH(COLUMNS($AM$1006:BM1006),$AM$1006:$BM$1006,0))&gt;=100000), " ",IF(INDEX($AM$2:$BM$1001,MATCH(ROWS($AF$2:AF499),$AF$2:$AF$1001,0),MATCH(COLUMNS($AM$1006:BM1006),$AM$1006:$BM$1006,0)), HYPERLINK("#",""), HYPERLINK(CONCATENATE("#metadata!", ADDRESS(INDEX($AH$2:$AH$1001,MATCH(ROWS($AF$2:AF499),$AF$2:$AF$1001,0),0), INDEX($AM$1004:$BM$1004,1,MATCH(COLUMNS($AM$1006:BM1006),$AM$1006:$BM$1006,0)))),"Fix")))</f>
        <v xml:space="preserve"> </v>
      </c>
      <c r="AF499">
        <v>498</v>
      </c>
      <c r="AG499">
        <v>100499</v>
      </c>
      <c r="AH499">
        <v>499</v>
      </c>
      <c r="AI499" t="b">
        <f t="shared" si="7"/>
        <v>1</v>
      </c>
      <c r="AJ499" t="b">
        <f>COUNTBLANK(metadata!B499:AB499)=COLUMNS(metadata!B499:AB499)</f>
        <v>1</v>
      </c>
      <c r="AK499" t="str">
        <v/>
      </c>
      <c r="AM499" t="b">
        <f ca="1">AND(IF(metadata!B499="",FALSE,TRUE),COUNTIF(metadata!B:B, metadata!B499) = 1,NOT(ISERROR(SUMPRODUCT(SEARCH(MID(metadata!B499,ROW(INDIRECT("1:"&amp;LEN(metadata!B499))), 1),"0123456789abcdefghijklmnopqrstuvwxyzABCDEFGHIJKLMNOPQRSTUVWXYZ.")))))</f>
        <v>0</v>
      </c>
      <c r="AN499" t="b">
        <f ca="1">OR(AND(IF(metadata!C499="",FALSE,TRUE),OR(EXACT(metadata!C499,"missing: not collected"),EXACT(metadata!C499,"missing: not provided"),EXACT(metadata!C499,"missing: restricted access"))),AND(IF(metadata!C499="",FALSE,TRUE),AND(AND(IFERROR(INT(LEFT(metadata!C499,4))&gt;1900,FALSE),IFERROR(INT(LEFT(metadata!C499,4))&lt;=YEAR(NOW()),FALSE)), OR(MID(metadata!C499,5,1)="", AND(AND(MID(metadata!C499,5,1)="-",IFERROR(INT(MID(metadata!C499,6,1))&gt;=0,FALSE),IFERROR(INT(MID(metadata!C499,6,1))&lt;=1,FALSE),NOT(MID(metadata!C499,7,1)=""),IFERROR(INT(MID(metadata!C499,6,2))&gt;=1,FALSE),IFERROR(INT(MID(metadata!C499,6,2))&lt;=12,FALSE)), OR(MID(metadata!C499,8,1)="", AND(AND(MID(metadata!C499,8,1)="-",IFERROR(INT(MID(metadata!C499,9,1))&gt;=0,FALSE),IFERROR(INT(MID(metadata!C499,9,1))&lt;=3,FALSE),NOT(MID(metadata!C499,10,1)=""),IFERROR(INT(MID(metadata!C499,9,2))&gt;=1,FALSE),IFERROR(INT(MID(metadata!C499,9,2))&lt;=31,FALSE)), OR(MID(metadata!C499,11,1)="", AND(AND(MID(metadata!C499,11,1)=" ",IFERROR(INT(MID(metadata!C499,12,1))&gt;=0,FALSE),IFERROR(INT(MID(metadata!C499,12,1))&lt;=2,FALSE),NOT(MID(metadata!C499,13,1)=""),IFERROR(INT(MID(metadata!C499,12,2))&gt;=0,FALSE),IFERROR(INT(MID(metadata!C499,12,2))&lt;=23,FALSE)), OR(MID(metadata!C499,14,1)="", AND(AND(MID(metadata!C499,14,1)=":",IFERROR(INT(MID(metadata!C499,15,1))&gt;=0,FALSE),IFERROR(INT(MID(metadata!C499,15,1))&lt;=5,FALSE),NOT(MID(metadata!C499,16,1)=""),IFERROR(INT(MID(metadata!C499,15,2))&gt;=0,FALSE),IFERROR(INT(MID(metadata!C499,15,2))&lt;=59,FALSE)), OR(MID(metadata!C499,17,1)="", AND(AND(MID(metadata!C499,17,1)=":",IFERROR(INT(MID(metadata!C499,18,1))&gt;=0,FALSE),IFERROR(INT(MID(metadata!C499,18,1))&lt;=5,FALSE),NOT(MID(metadata!C499,19,1)=""),IFERROR(INT(MID(metadata!C499,18,2))&gt;=0,FALSE),IFERROR(INT(MID(metadata!C499,18,2))&lt;=59,FALSE)), LEN(metadata!C499)&lt;=19)))))))))))))</f>
        <v>0</v>
      </c>
      <c r="AO499" t="b">
        <f>AND(IF(metadata!D499="",FALSE,TRUE),EXACT(metadata!D499,"Not applicable"))</f>
        <v>0</v>
      </c>
      <c r="AP499" t="b">
        <f>IF(metadata!E499="",FALSE,TRUE)</f>
        <v>0</v>
      </c>
      <c r="AQ499" t="b">
        <f>OR(AND(IF(metadata!F499="",FALSE,TRUE),OR(EXACT(metadata!F499,"missing: not collected"),EXACT(metadata!F499,"missing: not provided"))),AND(IF(metadata!F499="",FALSE,TRUE),OR(EXACT(metadata!F499,"TRUE"),EXACT(metadata!F499,"FALSE"))))</f>
        <v>0</v>
      </c>
      <c r="AR499" t="b">
        <f>OR(AND(IF(metadata!G499="",FALSE,TRUE),OR(EXACT(metadata!G499,"missing: not collected"),EXACT(metadata!G499,"missing: not provided"),EXACT(metadata!G499,"missing: restricted access"))),AND(IF(metadata!G499="",FALSE,ISNUMBER(VALUE(metadata!G499))),metadata!G499&gt;=-413))</f>
        <v>0</v>
      </c>
      <c r="AS499" t="b">
        <f>AND(IF(metadata!H499="",FALSE,TRUE),EXACT(metadata!H499,"meters"))</f>
        <v>0</v>
      </c>
      <c r="AT499" t="b">
        <f>AND(IF(metadata!I499="",FALSE,TRUE),OR(EXACT(metadata!I499,"Host-associated"),EXACT(metadata!I499,"Free-living")))</f>
        <v>0</v>
      </c>
      <c r="AU499" t="b">
        <f>AND(IF(metadata!J499="",FALSE,TRUE),OR(EXACT(metadata!J499,"Animal"),EXACT(metadata!J499,"Fungus"),EXACT(metadata!J499,"Plant"),EXACT(metadata!J499,"Saline"),EXACT(metadata!J499,"Non-saline")))</f>
        <v>0</v>
      </c>
      <c r="AV499" t="b">
        <f>AND(IF(metadata!K499="",FALSE,TRUE),OR(EXACT(metadata!K499,"Plant secretion"),EXACT(metadata!K499,"Plant rhizosphere"),EXACT(metadata!K499,"Plant surface"),EXACT(metadata!K499,"Plant corpus"),EXACT(metadata!K499,"Fungus surface"),EXACT(metadata!K499,"Fungus corpus"),EXACT(metadata!K499,"Animal surface"),EXACT(metadata!K499,"Animal proximal gut"),EXACT(metadata!K499,"Animal corpus"),EXACT(metadata!K499,"Animal distal gut"),EXACT(metadata!K499,"Animal secretion"),EXACT(metadata!K499,"Sub-surface (non-saline)"),EXACT(metadata!K499,"Surface (non-saline)"),EXACT(metadata!K499,"Water (non-saline)"),EXACT(metadata!K499,"Soil (non-saline)"),EXACT(metadata!K499,"Aerosol (non-saline)"),EXACT(metadata!K499,"Sediment (non-saline)"),EXACT(metadata!K499,"Surface (saline)"),EXACT(metadata!K499,"Water (saline)"),EXACT(metadata!K499,"Hypersaline (saline)"),EXACT(metadata!K499,"Aerosol (saline)"),EXACT(metadata!K499,"Sediment (saline)")))</f>
        <v>0</v>
      </c>
      <c r="AW499" t="b">
        <f>IF(metadata!L499="",FALSE,TRUE)</f>
        <v>0</v>
      </c>
      <c r="AX499" t="b">
        <f>IF(metadata!M499="",FALSE,TRUE)</f>
        <v>0</v>
      </c>
      <c r="AY499" t="b">
        <f>IF(metadata!N499="",FALSE,TRUE)</f>
        <v>0</v>
      </c>
      <c r="AZ499" t="b">
        <f>OR(AND(IF(metadata!O499="",FALSE,TRUE),OR(EXACT(metadata!O499,"missing: not collected"),EXACT(metadata!O499,"missing: not provided"),EXACT(metadata!O499,"missing: restricted access"))),AND(IF(metadata!O499="",FALSE,TRUE),OR(EXACT(metadata!O499,"air"),EXACT(metadata!O499,"built environment"),EXACT(metadata!O499,"host-associated"),EXACT(metadata!O499,"human-associated"),EXACT(metadata!O499,"human-skin"),EXACT(metadata!O499,"human-oral"),EXACT(metadata!O499,"human-gut"),EXACT(metadata!O499,"human-vaginal"),EXACT(metadata!O499,"microbial mat/biofilm"),EXACT(metadata!O499,"misc environment"),EXACT(metadata!O499,"plant-associated"),EXACT(metadata!O499,"sediment"),EXACT(metadata!O499,"soil"),EXACT(metadata!O499,"wastewater/sludge"),EXACT(metadata!O499,"water"))))</f>
        <v>0</v>
      </c>
      <c r="BA499" t="b">
        <f>IF(metadata!P499="",FALSE,TRUE)</f>
        <v>0</v>
      </c>
      <c r="BB499" t="b">
        <f>IF(metadata!Q499="",FALSE,TRUE)</f>
        <v>0</v>
      </c>
      <c r="BC499" t="b">
        <f>OR(AND(IF(metadata!R499="",FALSE,TRUE),OR(EXACT(metadata!R499,"missing: not collected"),EXACT(metadata!R499,"missing: not provided"),EXACT(metadata!R499,"missing: restricted access"))),AND(IF(metadata!R499="",FALSE,ISNUMBER(VALUE(metadata!R499))),metadata!R499&gt;=-90,metadata!R499&lt;=90))</f>
        <v>0</v>
      </c>
      <c r="BD499" t="b">
        <f>AND(IF(metadata!S499="",FALSE,TRUE),EXACT(metadata!S499,"Decimal degrees"))</f>
        <v>0</v>
      </c>
      <c r="BE499" t="b">
        <f>OR(AND(IF(metadata!T499="",FALSE,TRUE),OR(EXACT(metadata!T499,"missing: not collected"),EXACT(metadata!T499,"missing: not provided"),EXACT(metadata!T499,"missing: restricted access"))),AND(IF(metadata!T499="",FALSE,ISNUMBER(VALUE(metadata!T499))),metadata!T499&gt;=-180,metadata!T499&lt;=180))</f>
        <v>0</v>
      </c>
      <c r="BF499" t="b">
        <f>AND(IF(metadata!U499="",FALSE,TRUE),EXACT(metadata!U499,"Decimal degrees"))</f>
        <v>0</v>
      </c>
      <c r="BG499" t="b">
        <f>IF(metadata!V499="",FALSE,TRUE)</f>
        <v>0</v>
      </c>
      <c r="BH499" t="b">
        <f>OR(AND(IF(metadata!W499="",FALSE,TRUE),OR(EXACT(metadata!W499,"missing: not collected"),EXACT(metadata!W499,"missing: not provided"),EXACT(metadata!W499,"missing: restricted access"))),AND(IF(metadata!W499="",FALSE,TRUE),OR(EXACT(metadata!W499,"TRUE"),EXACT(metadata!W499,"FALSE"))))</f>
        <v>0</v>
      </c>
      <c r="BI499" t="b">
        <f>AND(IF(metadata!X499="",FALSE,TRUE),EXACT(metadata!X499,"other"))</f>
        <v>0</v>
      </c>
      <c r="BJ499" t="b">
        <f>IF(metadata!Y499="",FALSE,TRUE)</f>
        <v>0</v>
      </c>
      <c r="BK499" t="b">
        <f>OR(AND(IF(metadata!Z499="",FALSE,TRUE),OR(EXACT(metadata!Z499,"missing: not collected"),EXACT(metadata!Z499,"missing: not provided"))),AND(IF(metadata!Z499="",FALSE,IF(ISERROR(INT(metadata!Z499)),FALSE,INT(metadata!Z499)=metadata!Z499)),metadata!Z499&gt;0))</f>
        <v>0</v>
      </c>
      <c r="BL499" t="b">
        <f>AND(IF(metadata!AA499="",FALSE,TRUE),EXACT(metadata!AA499,"Not applicable"))</f>
        <v>0</v>
      </c>
      <c r="BM499" t="b">
        <f>IF(metadata!AB499="",FALSE,TRUE)</f>
        <v>0</v>
      </c>
    </row>
    <row r="500" spans="1:65" x14ac:dyDescent="0.2">
      <c r="A500" s="5" t="str">
        <f ca="1">IF(B500=" "," ",HYPERLINK(CONCATENATE("#metadata!",ADDRESS(INDEX($AH$2:$AH$1001,MATCH(ROWS($AF$2:AF500),$AF$2:$AF$1001,0),0),1)),INDEX($AK$2:$AK$1001,MATCH(ROWS($AF$2:AF500),$AF$2:$AF$1001,0),0)))</f>
        <v xml:space="preserve"> </v>
      </c>
      <c r="B500" s="4" t="str">
        <f ca="1">IF(OR(INDEX($AG$2:$AG$1001,MATCH(ROWS($AF$2:AF500),$AF$2:$AF$1001,0),1)&gt;=100000,INDEX($AM$1005:$BM$1005,1,MATCH(COLUMNS($AM$1006:AM1006),$AM$1006:$BM$1006,0))&gt;=100000), " ",IF(INDEX($AM$2:$BM$1001,MATCH(ROWS($AF$2:AF500),$AF$2:$AF$1001,0),MATCH(COLUMNS($AM$1006:AM1006),$AM$1006:$BM$1006,0)), HYPERLINK("#",""), HYPERLINK(CONCATENATE("#metadata!", ADDRESS(INDEX($AH$2:$AH$1001,MATCH(ROWS($AF$2:AF500),$AF$2:$AF$1001,0),0), INDEX($AM$1004:$BM$1004,1,MATCH(COLUMNS($AM$1006:AM1006),$AM$1006:$BM$1006,0)))),"Fix")))</f>
        <v xml:space="preserve"> </v>
      </c>
      <c r="C500" s="4" t="str">
        <f ca="1">IF(OR(INDEX($AG$2:$AG$1001,MATCH(ROWS($AF$2:AF500),$AF$2:$AF$1001,0),1)&gt;=100000,INDEX($AM$1005:$BM$1005,1,MATCH(COLUMNS($AM$1006:AN1006),$AM$1006:$BM$1006,0))&gt;=100000), " ",IF(INDEX($AM$2:$BM$1001,MATCH(ROWS($AF$2:AF500),$AF$2:$AF$1001,0),MATCH(COLUMNS($AM$1006:AN1006),$AM$1006:$BM$1006,0)), HYPERLINK("#",""), HYPERLINK(CONCATENATE("#metadata!", ADDRESS(INDEX($AH$2:$AH$1001,MATCH(ROWS($AF$2:AF500),$AF$2:$AF$1001,0),0), INDEX($AM$1004:$BM$1004,1,MATCH(COLUMNS($AM$1006:AN1006),$AM$1006:$BM$1006,0)))),"Fix")))</f>
        <v xml:space="preserve"> </v>
      </c>
      <c r="D500" s="4" t="str">
        <f ca="1">IF(OR(INDEX($AG$2:$AG$1001,MATCH(ROWS($AF$2:AF500),$AF$2:$AF$1001,0),1)&gt;=100000,INDEX($AM$1005:$BM$1005,1,MATCH(COLUMNS($AM$1006:AO1006),$AM$1006:$BM$1006,0))&gt;=100000), " ",IF(INDEX($AM$2:$BM$1001,MATCH(ROWS($AF$2:AF500),$AF$2:$AF$1001,0),MATCH(COLUMNS($AM$1006:AO1006),$AM$1006:$BM$1006,0)), HYPERLINK("#",""), HYPERLINK(CONCATENATE("#metadata!", ADDRESS(INDEX($AH$2:$AH$1001,MATCH(ROWS($AF$2:AF500),$AF$2:$AF$1001,0),0), INDEX($AM$1004:$BM$1004,1,MATCH(COLUMNS($AM$1006:AO1006),$AM$1006:$BM$1006,0)))),"Fix")))</f>
        <v xml:space="preserve"> </v>
      </c>
      <c r="E500" s="4" t="str">
        <f ca="1">IF(OR(INDEX($AG$2:$AG$1001,MATCH(ROWS($AF$2:AF500),$AF$2:$AF$1001,0),1)&gt;=100000,INDEX($AM$1005:$BM$1005,1,MATCH(COLUMNS($AM$1006:AP1006),$AM$1006:$BM$1006,0))&gt;=100000), " ",IF(INDEX($AM$2:$BM$1001,MATCH(ROWS($AF$2:AF500),$AF$2:$AF$1001,0),MATCH(COLUMNS($AM$1006:AP1006),$AM$1006:$BM$1006,0)), HYPERLINK("#",""), HYPERLINK(CONCATENATE("#metadata!", ADDRESS(INDEX($AH$2:$AH$1001,MATCH(ROWS($AF$2:AF500),$AF$2:$AF$1001,0),0), INDEX($AM$1004:$BM$1004,1,MATCH(COLUMNS($AM$1006:AP1006),$AM$1006:$BM$1006,0)))),"Fix")))</f>
        <v xml:space="preserve"> </v>
      </c>
      <c r="F500" s="4" t="str">
        <f ca="1">IF(OR(INDEX($AG$2:$AG$1001,MATCH(ROWS($AF$2:AF500),$AF$2:$AF$1001,0),1)&gt;=100000,INDEX($AM$1005:$BM$1005,1,MATCH(COLUMNS($AM$1006:AQ1006),$AM$1006:$BM$1006,0))&gt;=100000), " ",IF(INDEX($AM$2:$BM$1001,MATCH(ROWS($AF$2:AF500),$AF$2:$AF$1001,0),MATCH(COLUMNS($AM$1006:AQ1006),$AM$1006:$BM$1006,0)), HYPERLINK("#",""), HYPERLINK(CONCATENATE("#metadata!", ADDRESS(INDEX($AH$2:$AH$1001,MATCH(ROWS($AF$2:AF500),$AF$2:$AF$1001,0),0), INDEX($AM$1004:$BM$1004,1,MATCH(COLUMNS($AM$1006:AQ1006),$AM$1006:$BM$1006,0)))),"Fix")))</f>
        <v xml:space="preserve"> </v>
      </c>
      <c r="G500" s="4" t="str">
        <f ca="1">IF(OR(INDEX($AG$2:$AG$1001,MATCH(ROWS($AF$2:AF500),$AF$2:$AF$1001,0),1)&gt;=100000,INDEX($AM$1005:$BM$1005,1,MATCH(COLUMNS($AM$1006:AR1006),$AM$1006:$BM$1006,0))&gt;=100000), " ",IF(INDEX($AM$2:$BM$1001,MATCH(ROWS($AF$2:AF500),$AF$2:$AF$1001,0),MATCH(COLUMNS($AM$1006:AR1006),$AM$1006:$BM$1006,0)), HYPERLINK("#",""), HYPERLINK(CONCATENATE("#metadata!", ADDRESS(INDEX($AH$2:$AH$1001,MATCH(ROWS($AF$2:AF500),$AF$2:$AF$1001,0),0), INDEX($AM$1004:$BM$1004,1,MATCH(COLUMNS($AM$1006:AR1006),$AM$1006:$BM$1006,0)))),"Fix")))</f>
        <v xml:space="preserve"> </v>
      </c>
      <c r="H500" s="4" t="str">
        <f ca="1">IF(OR(INDEX($AG$2:$AG$1001,MATCH(ROWS($AF$2:AF500),$AF$2:$AF$1001,0),1)&gt;=100000,INDEX($AM$1005:$BM$1005,1,MATCH(COLUMNS($AM$1006:AS1006),$AM$1006:$BM$1006,0))&gt;=100000), " ",IF(INDEX($AM$2:$BM$1001,MATCH(ROWS($AF$2:AF500),$AF$2:$AF$1001,0),MATCH(COLUMNS($AM$1006:AS1006),$AM$1006:$BM$1006,0)), HYPERLINK("#",""), HYPERLINK(CONCATENATE("#metadata!", ADDRESS(INDEX($AH$2:$AH$1001,MATCH(ROWS($AF$2:AF500),$AF$2:$AF$1001,0),0), INDEX($AM$1004:$BM$1004,1,MATCH(COLUMNS($AM$1006:AS1006),$AM$1006:$BM$1006,0)))),"Fix")))</f>
        <v xml:space="preserve"> </v>
      </c>
      <c r="I500" s="4" t="str">
        <f ca="1">IF(OR(INDEX($AG$2:$AG$1001,MATCH(ROWS($AF$2:AF500),$AF$2:$AF$1001,0),1)&gt;=100000,INDEX($AM$1005:$BM$1005,1,MATCH(COLUMNS($AM$1006:AT1006),$AM$1006:$BM$1006,0))&gt;=100000), " ",IF(INDEX($AM$2:$BM$1001,MATCH(ROWS($AF$2:AF500),$AF$2:$AF$1001,0),MATCH(COLUMNS($AM$1006:AT1006),$AM$1006:$BM$1006,0)), HYPERLINK("#",""), HYPERLINK(CONCATENATE("#metadata!", ADDRESS(INDEX($AH$2:$AH$1001,MATCH(ROWS($AF$2:AF500),$AF$2:$AF$1001,0),0), INDEX($AM$1004:$BM$1004,1,MATCH(COLUMNS($AM$1006:AT1006),$AM$1006:$BM$1006,0)))),"Fix")))</f>
        <v xml:space="preserve"> </v>
      </c>
      <c r="J500" s="4" t="str">
        <f ca="1">IF(OR(INDEX($AG$2:$AG$1001,MATCH(ROWS($AF$2:AF500),$AF$2:$AF$1001,0),1)&gt;=100000,INDEX($AM$1005:$BM$1005,1,MATCH(COLUMNS($AM$1006:AU1006),$AM$1006:$BM$1006,0))&gt;=100000), " ",IF(INDEX($AM$2:$BM$1001,MATCH(ROWS($AF$2:AF500),$AF$2:$AF$1001,0),MATCH(COLUMNS($AM$1006:AU1006),$AM$1006:$BM$1006,0)), HYPERLINK("#",""), HYPERLINK(CONCATENATE("#metadata!", ADDRESS(INDEX($AH$2:$AH$1001,MATCH(ROWS($AF$2:AF500),$AF$2:$AF$1001,0),0), INDEX($AM$1004:$BM$1004,1,MATCH(COLUMNS($AM$1006:AU1006),$AM$1006:$BM$1006,0)))),"Fix")))</f>
        <v xml:space="preserve"> </v>
      </c>
      <c r="K500" s="4" t="str">
        <f ca="1">IF(OR(INDEX($AG$2:$AG$1001,MATCH(ROWS($AF$2:AF500),$AF$2:$AF$1001,0),1)&gt;=100000,INDEX($AM$1005:$BM$1005,1,MATCH(COLUMNS($AM$1006:AV1006),$AM$1006:$BM$1006,0))&gt;=100000), " ",IF(INDEX($AM$2:$BM$1001,MATCH(ROWS($AF$2:AF500),$AF$2:$AF$1001,0),MATCH(COLUMNS($AM$1006:AV1006),$AM$1006:$BM$1006,0)), HYPERLINK("#",""), HYPERLINK(CONCATENATE("#metadata!", ADDRESS(INDEX($AH$2:$AH$1001,MATCH(ROWS($AF$2:AF500),$AF$2:$AF$1001,0),0), INDEX($AM$1004:$BM$1004,1,MATCH(COLUMNS($AM$1006:AV1006),$AM$1006:$BM$1006,0)))),"Fix")))</f>
        <v xml:space="preserve"> </v>
      </c>
      <c r="L500" s="4" t="str">
        <f ca="1">IF(OR(INDEX($AG$2:$AG$1001,MATCH(ROWS($AF$2:AF500),$AF$2:$AF$1001,0),1)&gt;=100000,INDEX($AM$1005:$BM$1005,1,MATCH(COLUMNS($AM$1006:AW1006),$AM$1006:$BM$1006,0))&gt;=100000), " ",IF(INDEX($AM$2:$BM$1001,MATCH(ROWS($AF$2:AF500),$AF$2:$AF$1001,0),MATCH(COLUMNS($AM$1006:AW1006),$AM$1006:$BM$1006,0)), HYPERLINK("#",""), HYPERLINK(CONCATENATE("#metadata!", ADDRESS(INDEX($AH$2:$AH$1001,MATCH(ROWS($AF$2:AF500),$AF$2:$AF$1001,0),0), INDEX($AM$1004:$BM$1004,1,MATCH(COLUMNS($AM$1006:AW1006),$AM$1006:$BM$1006,0)))),"Fix")))</f>
        <v xml:space="preserve"> </v>
      </c>
      <c r="M500" s="4" t="str">
        <f ca="1">IF(OR(INDEX($AG$2:$AG$1001,MATCH(ROWS($AF$2:AF500),$AF$2:$AF$1001,0),1)&gt;=100000,INDEX($AM$1005:$BM$1005,1,MATCH(COLUMNS($AM$1006:AX1006),$AM$1006:$BM$1006,0))&gt;=100000), " ",IF(INDEX($AM$2:$BM$1001,MATCH(ROWS($AF$2:AF500),$AF$2:$AF$1001,0),MATCH(COLUMNS($AM$1006:AX1006),$AM$1006:$BM$1006,0)), HYPERLINK("#",""), HYPERLINK(CONCATENATE("#metadata!", ADDRESS(INDEX($AH$2:$AH$1001,MATCH(ROWS($AF$2:AF500),$AF$2:$AF$1001,0),0), INDEX($AM$1004:$BM$1004,1,MATCH(COLUMNS($AM$1006:AX1006),$AM$1006:$BM$1006,0)))),"Fix")))</f>
        <v xml:space="preserve"> </v>
      </c>
      <c r="N500" s="4" t="str">
        <f ca="1">IF(OR(INDEX($AG$2:$AG$1001,MATCH(ROWS($AF$2:AF500),$AF$2:$AF$1001,0),1)&gt;=100000,INDEX($AM$1005:$BM$1005,1,MATCH(COLUMNS($AM$1006:AY1006),$AM$1006:$BM$1006,0))&gt;=100000), " ",IF(INDEX($AM$2:$BM$1001,MATCH(ROWS($AF$2:AF500),$AF$2:$AF$1001,0),MATCH(COLUMNS($AM$1006:AY1006),$AM$1006:$BM$1006,0)), HYPERLINK("#",""), HYPERLINK(CONCATENATE("#metadata!", ADDRESS(INDEX($AH$2:$AH$1001,MATCH(ROWS($AF$2:AF500),$AF$2:$AF$1001,0),0), INDEX($AM$1004:$BM$1004,1,MATCH(COLUMNS($AM$1006:AY1006),$AM$1006:$BM$1006,0)))),"Fix")))</f>
        <v xml:space="preserve"> </v>
      </c>
      <c r="O500" s="4" t="str">
        <f ca="1">IF(OR(INDEX($AG$2:$AG$1001,MATCH(ROWS($AF$2:AF500),$AF$2:$AF$1001,0),1)&gt;=100000,INDEX($AM$1005:$BM$1005,1,MATCH(COLUMNS($AM$1006:AZ1006),$AM$1006:$BM$1006,0))&gt;=100000), " ",IF(INDEX($AM$2:$BM$1001,MATCH(ROWS($AF$2:AF500),$AF$2:$AF$1001,0),MATCH(COLUMNS($AM$1006:AZ1006),$AM$1006:$BM$1006,0)), HYPERLINK("#",""), HYPERLINK(CONCATENATE("#metadata!", ADDRESS(INDEX($AH$2:$AH$1001,MATCH(ROWS($AF$2:AF500),$AF$2:$AF$1001,0),0), INDEX($AM$1004:$BM$1004,1,MATCH(COLUMNS($AM$1006:AZ1006),$AM$1006:$BM$1006,0)))),"Fix")))</f>
        <v xml:space="preserve"> </v>
      </c>
      <c r="P500" s="4" t="str">
        <f ca="1">IF(OR(INDEX($AG$2:$AG$1001,MATCH(ROWS($AF$2:AF500),$AF$2:$AF$1001,0),1)&gt;=100000,INDEX($AM$1005:$BM$1005,1,MATCH(COLUMNS($AM$1006:BA1006),$AM$1006:$BM$1006,0))&gt;=100000), " ",IF(INDEX($AM$2:$BM$1001,MATCH(ROWS($AF$2:AF500),$AF$2:$AF$1001,0),MATCH(COLUMNS($AM$1006:BA1006),$AM$1006:$BM$1006,0)), HYPERLINK("#",""), HYPERLINK(CONCATENATE("#metadata!", ADDRESS(INDEX($AH$2:$AH$1001,MATCH(ROWS($AF$2:AF500),$AF$2:$AF$1001,0),0), INDEX($AM$1004:$BM$1004,1,MATCH(COLUMNS($AM$1006:BA1006),$AM$1006:$BM$1006,0)))),"Fix")))</f>
        <v xml:space="preserve"> </v>
      </c>
      <c r="Q500" s="4" t="str">
        <f ca="1">IF(OR(INDEX($AG$2:$AG$1001,MATCH(ROWS($AF$2:AF500),$AF$2:$AF$1001,0),1)&gt;=100000,INDEX($AM$1005:$BM$1005,1,MATCH(COLUMNS($AM$1006:BB1006),$AM$1006:$BM$1006,0))&gt;=100000), " ",IF(INDEX($AM$2:$BM$1001,MATCH(ROWS($AF$2:AF500),$AF$2:$AF$1001,0),MATCH(COLUMNS($AM$1006:BB1006),$AM$1006:$BM$1006,0)), HYPERLINK("#",""), HYPERLINK(CONCATENATE("#metadata!", ADDRESS(INDEX($AH$2:$AH$1001,MATCH(ROWS($AF$2:AF500),$AF$2:$AF$1001,0),0), INDEX($AM$1004:$BM$1004,1,MATCH(COLUMNS($AM$1006:BB1006),$AM$1006:$BM$1006,0)))),"Fix")))</f>
        <v xml:space="preserve"> </v>
      </c>
      <c r="R500" s="4" t="str">
        <f ca="1">IF(OR(INDEX($AG$2:$AG$1001,MATCH(ROWS($AF$2:AF500),$AF$2:$AF$1001,0),1)&gt;=100000,INDEX($AM$1005:$BM$1005,1,MATCH(COLUMNS($AM$1006:BC1006),$AM$1006:$BM$1006,0))&gt;=100000), " ",IF(INDEX($AM$2:$BM$1001,MATCH(ROWS($AF$2:AF500),$AF$2:$AF$1001,0),MATCH(COLUMNS($AM$1006:BC1006),$AM$1006:$BM$1006,0)), HYPERLINK("#",""), HYPERLINK(CONCATENATE("#metadata!", ADDRESS(INDEX($AH$2:$AH$1001,MATCH(ROWS($AF$2:AF500),$AF$2:$AF$1001,0),0), INDEX($AM$1004:$BM$1004,1,MATCH(COLUMNS($AM$1006:BC1006),$AM$1006:$BM$1006,0)))),"Fix")))</f>
        <v xml:space="preserve"> </v>
      </c>
      <c r="S500" s="4" t="str">
        <f ca="1">IF(OR(INDEX($AG$2:$AG$1001,MATCH(ROWS($AF$2:AF500),$AF$2:$AF$1001,0),1)&gt;=100000,INDEX($AM$1005:$BM$1005,1,MATCH(COLUMNS($AM$1006:BD1006),$AM$1006:$BM$1006,0))&gt;=100000), " ",IF(INDEX($AM$2:$BM$1001,MATCH(ROWS($AF$2:AF500),$AF$2:$AF$1001,0),MATCH(COLUMNS($AM$1006:BD1006),$AM$1006:$BM$1006,0)), HYPERLINK("#",""), HYPERLINK(CONCATENATE("#metadata!", ADDRESS(INDEX($AH$2:$AH$1001,MATCH(ROWS($AF$2:AF500),$AF$2:$AF$1001,0),0), INDEX($AM$1004:$BM$1004,1,MATCH(COLUMNS($AM$1006:BD1006),$AM$1006:$BM$1006,0)))),"Fix")))</f>
        <v xml:space="preserve"> </v>
      </c>
      <c r="T500" s="4" t="str">
        <f ca="1">IF(OR(INDEX($AG$2:$AG$1001,MATCH(ROWS($AF$2:AF500),$AF$2:$AF$1001,0),1)&gt;=100000,INDEX($AM$1005:$BM$1005,1,MATCH(COLUMNS($AM$1006:BE1006),$AM$1006:$BM$1006,0))&gt;=100000), " ",IF(INDEX($AM$2:$BM$1001,MATCH(ROWS($AF$2:AF500),$AF$2:$AF$1001,0),MATCH(COLUMNS($AM$1006:BE1006),$AM$1006:$BM$1006,0)), HYPERLINK("#",""), HYPERLINK(CONCATENATE("#metadata!", ADDRESS(INDEX($AH$2:$AH$1001,MATCH(ROWS($AF$2:AF500),$AF$2:$AF$1001,0),0), INDEX($AM$1004:$BM$1004,1,MATCH(COLUMNS($AM$1006:BE1006),$AM$1006:$BM$1006,0)))),"Fix")))</f>
        <v xml:space="preserve"> </v>
      </c>
      <c r="U500" s="4" t="str">
        <f ca="1">IF(OR(INDEX($AG$2:$AG$1001,MATCH(ROWS($AF$2:AF500),$AF$2:$AF$1001,0),1)&gt;=100000,INDEX($AM$1005:$BM$1005,1,MATCH(COLUMNS($AM$1006:BF1006),$AM$1006:$BM$1006,0))&gt;=100000), " ",IF(INDEX($AM$2:$BM$1001,MATCH(ROWS($AF$2:AF500),$AF$2:$AF$1001,0),MATCH(COLUMNS($AM$1006:BF1006),$AM$1006:$BM$1006,0)), HYPERLINK("#",""), HYPERLINK(CONCATENATE("#metadata!", ADDRESS(INDEX($AH$2:$AH$1001,MATCH(ROWS($AF$2:AF500),$AF$2:$AF$1001,0),0), INDEX($AM$1004:$BM$1004,1,MATCH(COLUMNS($AM$1006:BF1006),$AM$1006:$BM$1006,0)))),"Fix")))</f>
        <v xml:space="preserve"> </v>
      </c>
      <c r="V500" s="4" t="str">
        <f ca="1">IF(OR(INDEX($AG$2:$AG$1001,MATCH(ROWS($AF$2:AF500),$AF$2:$AF$1001,0),1)&gt;=100000,INDEX($AM$1005:$BM$1005,1,MATCH(COLUMNS($AM$1006:BG1006),$AM$1006:$BM$1006,0))&gt;=100000), " ",IF(INDEX($AM$2:$BM$1001,MATCH(ROWS($AF$2:AF500),$AF$2:$AF$1001,0),MATCH(COLUMNS($AM$1006:BG1006),$AM$1006:$BM$1006,0)), HYPERLINK("#",""), HYPERLINK(CONCATENATE("#metadata!", ADDRESS(INDEX($AH$2:$AH$1001,MATCH(ROWS($AF$2:AF500),$AF$2:$AF$1001,0),0), INDEX($AM$1004:$BM$1004,1,MATCH(COLUMNS($AM$1006:BG1006),$AM$1006:$BM$1006,0)))),"Fix")))</f>
        <v xml:space="preserve"> </v>
      </c>
      <c r="W500" s="4" t="str">
        <f ca="1">IF(OR(INDEX($AG$2:$AG$1001,MATCH(ROWS($AF$2:AF500),$AF$2:$AF$1001,0),1)&gt;=100000,INDEX($AM$1005:$BM$1005,1,MATCH(COLUMNS($AM$1006:BH1006),$AM$1006:$BM$1006,0))&gt;=100000), " ",IF(INDEX($AM$2:$BM$1001,MATCH(ROWS($AF$2:AF500),$AF$2:$AF$1001,0),MATCH(COLUMNS($AM$1006:BH1006),$AM$1006:$BM$1006,0)), HYPERLINK("#",""), HYPERLINK(CONCATENATE("#metadata!", ADDRESS(INDEX($AH$2:$AH$1001,MATCH(ROWS($AF$2:AF500),$AF$2:$AF$1001,0),0), INDEX($AM$1004:$BM$1004,1,MATCH(COLUMNS($AM$1006:BH1006),$AM$1006:$BM$1006,0)))),"Fix")))</f>
        <v xml:space="preserve"> </v>
      </c>
      <c r="X500" s="4" t="str">
        <f ca="1">IF(OR(INDEX($AG$2:$AG$1001,MATCH(ROWS($AF$2:AF500),$AF$2:$AF$1001,0),1)&gt;=100000,INDEX($AM$1005:$BM$1005,1,MATCH(COLUMNS($AM$1006:BI1006),$AM$1006:$BM$1006,0))&gt;=100000), " ",IF(INDEX($AM$2:$BM$1001,MATCH(ROWS($AF$2:AF500),$AF$2:$AF$1001,0),MATCH(COLUMNS($AM$1006:BI1006),$AM$1006:$BM$1006,0)), HYPERLINK("#",""), HYPERLINK(CONCATENATE("#metadata!", ADDRESS(INDEX($AH$2:$AH$1001,MATCH(ROWS($AF$2:AF500),$AF$2:$AF$1001,0),0), INDEX($AM$1004:$BM$1004,1,MATCH(COLUMNS($AM$1006:BI1006),$AM$1006:$BM$1006,0)))),"Fix")))</f>
        <v xml:space="preserve"> </v>
      </c>
      <c r="Y500" s="4" t="str">
        <f ca="1">IF(OR(INDEX($AG$2:$AG$1001,MATCH(ROWS($AF$2:AF500),$AF$2:$AF$1001,0),1)&gt;=100000,INDEX($AM$1005:$BM$1005,1,MATCH(COLUMNS($AM$1006:BJ1006),$AM$1006:$BM$1006,0))&gt;=100000), " ",IF(INDEX($AM$2:$BM$1001,MATCH(ROWS($AF$2:AF500),$AF$2:$AF$1001,0),MATCH(COLUMNS($AM$1006:BJ1006),$AM$1006:$BM$1006,0)), HYPERLINK("#",""), HYPERLINK(CONCATENATE("#metadata!", ADDRESS(INDEX($AH$2:$AH$1001,MATCH(ROWS($AF$2:AF500),$AF$2:$AF$1001,0),0), INDEX($AM$1004:$BM$1004,1,MATCH(COLUMNS($AM$1006:BJ1006),$AM$1006:$BM$1006,0)))),"Fix")))</f>
        <v xml:space="preserve"> </v>
      </c>
      <c r="Z500" s="4" t="str">
        <f ca="1">IF(OR(INDEX($AG$2:$AG$1001,MATCH(ROWS($AF$2:AF500),$AF$2:$AF$1001,0),1)&gt;=100000,INDEX($AM$1005:$BM$1005,1,MATCH(COLUMNS($AM$1006:BK1006),$AM$1006:$BM$1006,0))&gt;=100000), " ",IF(INDEX($AM$2:$BM$1001,MATCH(ROWS($AF$2:AF500),$AF$2:$AF$1001,0),MATCH(COLUMNS($AM$1006:BK1006),$AM$1006:$BM$1006,0)), HYPERLINK("#",""), HYPERLINK(CONCATENATE("#metadata!", ADDRESS(INDEX($AH$2:$AH$1001,MATCH(ROWS($AF$2:AF500),$AF$2:$AF$1001,0),0), INDEX($AM$1004:$BM$1004,1,MATCH(COLUMNS($AM$1006:BK1006),$AM$1006:$BM$1006,0)))),"Fix")))</f>
        <v xml:space="preserve"> </v>
      </c>
      <c r="AA500" s="4" t="str">
        <f ca="1">IF(OR(INDEX($AG$2:$AG$1001,MATCH(ROWS($AF$2:AF500),$AF$2:$AF$1001,0),1)&gt;=100000,INDEX($AM$1005:$BM$1005,1,MATCH(COLUMNS($AM$1006:BL1006),$AM$1006:$BM$1006,0))&gt;=100000), " ",IF(INDEX($AM$2:$BM$1001,MATCH(ROWS($AF$2:AF500),$AF$2:$AF$1001,0),MATCH(COLUMNS($AM$1006:BL1006),$AM$1006:$BM$1006,0)), HYPERLINK("#",""), HYPERLINK(CONCATENATE("#metadata!", ADDRESS(INDEX($AH$2:$AH$1001,MATCH(ROWS($AF$2:AF500),$AF$2:$AF$1001,0),0), INDEX($AM$1004:$BM$1004,1,MATCH(COLUMNS($AM$1006:BL1006),$AM$1006:$BM$1006,0)))),"Fix")))</f>
        <v xml:space="preserve"> </v>
      </c>
      <c r="AB500" s="4" t="str">
        <f ca="1">IF(OR(INDEX($AG$2:$AG$1001,MATCH(ROWS($AF$2:AF500),$AF$2:$AF$1001,0),1)&gt;=100000,INDEX($AM$1005:$BM$1005,1,MATCH(COLUMNS($AM$1006:BM1006),$AM$1006:$BM$1006,0))&gt;=100000), " ",IF(INDEX($AM$2:$BM$1001,MATCH(ROWS($AF$2:AF500),$AF$2:$AF$1001,0),MATCH(COLUMNS($AM$1006:BM1006),$AM$1006:$BM$1006,0)), HYPERLINK("#",""), HYPERLINK(CONCATENATE("#metadata!", ADDRESS(INDEX($AH$2:$AH$1001,MATCH(ROWS($AF$2:AF500),$AF$2:$AF$1001,0),0), INDEX($AM$1004:$BM$1004,1,MATCH(COLUMNS($AM$1006:BM1006),$AM$1006:$BM$1006,0)))),"Fix")))</f>
        <v xml:space="preserve"> </v>
      </c>
      <c r="AF500">
        <v>499</v>
      </c>
      <c r="AG500">
        <v>100500</v>
      </c>
      <c r="AH500">
        <v>500</v>
      </c>
      <c r="AI500" t="b">
        <f t="shared" si="7"/>
        <v>1</v>
      </c>
      <c r="AJ500" t="b">
        <f>COUNTBLANK(metadata!B500:AB500)=COLUMNS(metadata!B500:AB500)</f>
        <v>1</v>
      </c>
      <c r="AK500" t="str">
        <v/>
      </c>
      <c r="AM500" t="b">
        <f ca="1">AND(IF(metadata!B500="",FALSE,TRUE),COUNTIF(metadata!B:B, metadata!B500) = 1,NOT(ISERROR(SUMPRODUCT(SEARCH(MID(metadata!B500,ROW(INDIRECT("1:"&amp;LEN(metadata!B500))), 1),"0123456789abcdefghijklmnopqrstuvwxyzABCDEFGHIJKLMNOPQRSTUVWXYZ.")))))</f>
        <v>0</v>
      </c>
      <c r="AN500" t="b">
        <f ca="1">OR(AND(IF(metadata!C500="",FALSE,TRUE),OR(EXACT(metadata!C500,"missing: not collected"),EXACT(metadata!C500,"missing: not provided"),EXACT(metadata!C500,"missing: restricted access"))),AND(IF(metadata!C500="",FALSE,TRUE),AND(AND(IFERROR(INT(LEFT(metadata!C500,4))&gt;1900,FALSE),IFERROR(INT(LEFT(metadata!C500,4))&lt;=YEAR(NOW()),FALSE)), OR(MID(metadata!C500,5,1)="", AND(AND(MID(metadata!C500,5,1)="-",IFERROR(INT(MID(metadata!C500,6,1))&gt;=0,FALSE),IFERROR(INT(MID(metadata!C500,6,1))&lt;=1,FALSE),NOT(MID(metadata!C500,7,1)=""),IFERROR(INT(MID(metadata!C500,6,2))&gt;=1,FALSE),IFERROR(INT(MID(metadata!C500,6,2))&lt;=12,FALSE)), OR(MID(metadata!C500,8,1)="", AND(AND(MID(metadata!C500,8,1)="-",IFERROR(INT(MID(metadata!C500,9,1))&gt;=0,FALSE),IFERROR(INT(MID(metadata!C500,9,1))&lt;=3,FALSE),NOT(MID(metadata!C500,10,1)=""),IFERROR(INT(MID(metadata!C500,9,2))&gt;=1,FALSE),IFERROR(INT(MID(metadata!C500,9,2))&lt;=31,FALSE)), OR(MID(metadata!C500,11,1)="", AND(AND(MID(metadata!C500,11,1)=" ",IFERROR(INT(MID(metadata!C500,12,1))&gt;=0,FALSE),IFERROR(INT(MID(metadata!C500,12,1))&lt;=2,FALSE),NOT(MID(metadata!C500,13,1)=""),IFERROR(INT(MID(metadata!C500,12,2))&gt;=0,FALSE),IFERROR(INT(MID(metadata!C500,12,2))&lt;=23,FALSE)), OR(MID(metadata!C500,14,1)="", AND(AND(MID(metadata!C500,14,1)=":",IFERROR(INT(MID(metadata!C500,15,1))&gt;=0,FALSE),IFERROR(INT(MID(metadata!C500,15,1))&lt;=5,FALSE),NOT(MID(metadata!C500,16,1)=""),IFERROR(INT(MID(metadata!C500,15,2))&gt;=0,FALSE),IFERROR(INT(MID(metadata!C500,15,2))&lt;=59,FALSE)), OR(MID(metadata!C500,17,1)="", AND(AND(MID(metadata!C500,17,1)=":",IFERROR(INT(MID(metadata!C500,18,1))&gt;=0,FALSE),IFERROR(INT(MID(metadata!C500,18,1))&lt;=5,FALSE),NOT(MID(metadata!C500,19,1)=""),IFERROR(INT(MID(metadata!C500,18,2))&gt;=0,FALSE),IFERROR(INT(MID(metadata!C500,18,2))&lt;=59,FALSE)), LEN(metadata!C500)&lt;=19)))))))))))))</f>
        <v>0</v>
      </c>
      <c r="AO500" t="b">
        <f>AND(IF(metadata!D500="",FALSE,TRUE),EXACT(metadata!D500,"Not applicable"))</f>
        <v>0</v>
      </c>
      <c r="AP500" t="b">
        <f>IF(metadata!E500="",FALSE,TRUE)</f>
        <v>0</v>
      </c>
      <c r="AQ500" t="b">
        <f>OR(AND(IF(metadata!F500="",FALSE,TRUE),OR(EXACT(metadata!F500,"missing: not collected"),EXACT(metadata!F500,"missing: not provided"))),AND(IF(metadata!F500="",FALSE,TRUE),OR(EXACT(metadata!F500,"TRUE"),EXACT(metadata!F500,"FALSE"))))</f>
        <v>0</v>
      </c>
      <c r="AR500" t="b">
        <f>OR(AND(IF(metadata!G500="",FALSE,TRUE),OR(EXACT(metadata!G500,"missing: not collected"),EXACT(metadata!G500,"missing: not provided"),EXACT(metadata!G500,"missing: restricted access"))),AND(IF(metadata!G500="",FALSE,ISNUMBER(VALUE(metadata!G500))),metadata!G500&gt;=-413))</f>
        <v>0</v>
      </c>
      <c r="AS500" t="b">
        <f>AND(IF(metadata!H500="",FALSE,TRUE),EXACT(metadata!H500,"meters"))</f>
        <v>0</v>
      </c>
      <c r="AT500" t="b">
        <f>AND(IF(metadata!I500="",FALSE,TRUE),OR(EXACT(metadata!I500,"Host-associated"),EXACT(metadata!I500,"Free-living")))</f>
        <v>0</v>
      </c>
      <c r="AU500" t="b">
        <f>AND(IF(metadata!J500="",FALSE,TRUE),OR(EXACT(metadata!J500,"Animal"),EXACT(metadata!J500,"Fungus"),EXACT(metadata!J500,"Plant"),EXACT(metadata!J500,"Saline"),EXACT(metadata!J500,"Non-saline")))</f>
        <v>0</v>
      </c>
      <c r="AV500" t="b">
        <f>AND(IF(metadata!K500="",FALSE,TRUE),OR(EXACT(metadata!K500,"Plant secretion"),EXACT(metadata!K500,"Plant rhizosphere"),EXACT(metadata!K500,"Plant surface"),EXACT(metadata!K500,"Plant corpus"),EXACT(metadata!K500,"Fungus surface"),EXACT(metadata!K500,"Fungus corpus"),EXACT(metadata!K500,"Animal surface"),EXACT(metadata!K500,"Animal proximal gut"),EXACT(metadata!K500,"Animal corpus"),EXACT(metadata!K500,"Animal distal gut"),EXACT(metadata!K500,"Animal secretion"),EXACT(metadata!K500,"Sub-surface (non-saline)"),EXACT(metadata!K500,"Surface (non-saline)"),EXACT(metadata!K500,"Water (non-saline)"),EXACT(metadata!K500,"Soil (non-saline)"),EXACT(metadata!K500,"Aerosol (non-saline)"),EXACT(metadata!K500,"Sediment (non-saline)"),EXACT(metadata!K500,"Surface (saline)"),EXACT(metadata!K500,"Water (saline)"),EXACT(metadata!K500,"Hypersaline (saline)"),EXACT(metadata!K500,"Aerosol (saline)"),EXACT(metadata!K500,"Sediment (saline)")))</f>
        <v>0</v>
      </c>
      <c r="AW500" t="b">
        <f>IF(metadata!L500="",FALSE,TRUE)</f>
        <v>0</v>
      </c>
      <c r="AX500" t="b">
        <f>IF(metadata!M500="",FALSE,TRUE)</f>
        <v>0</v>
      </c>
      <c r="AY500" t="b">
        <f>IF(metadata!N500="",FALSE,TRUE)</f>
        <v>0</v>
      </c>
      <c r="AZ500" t="b">
        <f>OR(AND(IF(metadata!O500="",FALSE,TRUE),OR(EXACT(metadata!O500,"missing: not collected"),EXACT(metadata!O500,"missing: not provided"),EXACT(metadata!O500,"missing: restricted access"))),AND(IF(metadata!O500="",FALSE,TRUE),OR(EXACT(metadata!O500,"air"),EXACT(metadata!O500,"built environment"),EXACT(metadata!O500,"host-associated"),EXACT(metadata!O500,"human-associated"),EXACT(metadata!O500,"human-skin"),EXACT(metadata!O500,"human-oral"),EXACT(metadata!O500,"human-gut"),EXACT(metadata!O500,"human-vaginal"),EXACT(metadata!O500,"microbial mat/biofilm"),EXACT(metadata!O500,"misc environment"),EXACT(metadata!O500,"plant-associated"),EXACT(metadata!O500,"sediment"),EXACT(metadata!O500,"soil"),EXACT(metadata!O500,"wastewater/sludge"),EXACT(metadata!O500,"water"))))</f>
        <v>0</v>
      </c>
      <c r="BA500" t="b">
        <f>IF(metadata!P500="",FALSE,TRUE)</f>
        <v>0</v>
      </c>
      <c r="BB500" t="b">
        <f>IF(metadata!Q500="",FALSE,TRUE)</f>
        <v>0</v>
      </c>
      <c r="BC500" t="b">
        <f>OR(AND(IF(metadata!R500="",FALSE,TRUE),OR(EXACT(metadata!R500,"missing: not collected"),EXACT(metadata!R500,"missing: not provided"),EXACT(metadata!R500,"missing: restricted access"))),AND(IF(metadata!R500="",FALSE,ISNUMBER(VALUE(metadata!R500))),metadata!R500&gt;=-90,metadata!R500&lt;=90))</f>
        <v>0</v>
      </c>
      <c r="BD500" t="b">
        <f>AND(IF(metadata!S500="",FALSE,TRUE),EXACT(metadata!S500,"Decimal degrees"))</f>
        <v>0</v>
      </c>
      <c r="BE500" t="b">
        <f>OR(AND(IF(metadata!T500="",FALSE,TRUE),OR(EXACT(metadata!T500,"missing: not collected"),EXACT(metadata!T500,"missing: not provided"),EXACT(metadata!T500,"missing: restricted access"))),AND(IF(metadata!T500="",FALSE,ISNUMBER(VALUE(metadata!T500))),metadata!T500&gt;=-180,metadata!T500&lt;=180))</f>
        <v>0</v>
      </c>
      <c r="BF500" t="b">
        <f>AND(IF(metadata!U500="",FALSE,TRUE),EXACT(metadata!U500,"Decimal degrees"))</f>
        <v>0</v>
      </c>
      <c r="BG500" t="b">
        <f>IF(metadata!V500="",FALSE,TRUE)</f>
        <v>0</v>
      </c>
      <c r="BH500" t="b">
        <f>OR(AND(IF(metadata!W500="",FALSE,TRUE),OR(EXACT(metadata!W500,"missing: not collected"),EXACT(metadata!W500,"missing: not provided"),EXACT(metadata!W500,"missing: restricted access"))),AND(IF(metadata!W500="",FALSE,TRUE),OR(EXACT(metadata!W500,"TRUE"),EXACT(metadata!W500,"FALSE"))))</f>
        <v>0</v>
      </c>
      <c r="BI500" t="b">
        <f>AND(IF(metadata!X500="",FALSE,TRUE),EXACT(metadata!X500,"other"))</f>
        <v>0</v>
      </c>
      <c r="BJ500" t="b">
        <f>IF(metadata!Y500="",FALSE,TRUE)</f>
        <v>0</v>
      </c>
      <c r="BK500" t="b">
        <f>OR(AND(IF(metadata!Z500="",FALSE,TRUE),OR(EXACT(metadata!Z500,"missing: not collected"),EXACT(metadata!Z500,"missing: not provided"))),AND(IF(metadata!Z500="",FALSE,IF(ISERROR(INT(metadata!Z500)),FALSE,INT(metadata!Z500)=metadata!Z500)),metadata!Z500&gt;0))</f>
        <v>0</v>
      </c>
      <c r="BL500" t="b">
        <f>AND(IF(metadata!AA500="",FALSE,TRUE),EXACT(metadata!AA500,"Not applicable"))</f>
        <v>0</v>
      </c>
      <c r="BM500" t="b">
        <f>IF(metadata!AB500="",FALSE,TRUE)</f>
        <v>0</v>
      </c>
    </row>
    <row r="501" spans="1:65" x14ac:dyDescent="0.2">
      <c r="A501" s="5" t="str">
        <f ca="1">IF(B501=" "," ",HYPERLINK(CONCATENATE("#metadata!",ADDRESS(INDEX($AH$2:$AH$1001,MATCH(ROWS($AF$2:AF501),$AF$2:$AF$1001,0),0),1)),INDEX($AK$2:$AK$1001,MATCH(ROWS($AF$2:AF501),$AF$2:$AF$1001,0),0)))</f>
        <v xml:space="preserve"> </v>
      </c>
      <c r="B501" s="4" t="str">
        <f ca="1">IF(OR(INDEX($AG$2:$AG$1001,MATCH(ROWS($AF$2:AF501),$AF$2:$AF$1001,0),1)&gt;=100000,INDEX($AM$1005:$BM$1005,1,MATCH(COLUMNS($AM$1006:AM1006),$AM$1006:$BM$1006,0))&gt;=100000), " ",IF(INDEX($AM$2:$BM$1001,MATCH(ROWS($AF$2:AF501),$AF$2:$AF$1001,0),MATCH(COLUMNS($AM$1006:AM1006),$AM$1006:$BM$1006,0)), HYPERLINK("#",""), HYPERLINK(CONCATENATE("#metadata!", ADDRESS(INDEX($AH$2:$AH$1001,MATCH(ROWS($AF$2:AF501),$AF$2:$AF$1001,0),0), INDEX($AM$1004:$BM$1004,1,MATCH(COLUMNS($AM$1006:AM1006),$AM$1006:$BM$1006,0)))),"Fix")))</f>
        <v xml:space="preserve"> </v>
      </c>
      <c r="C501" s="4" t="str">
        <f ca="1">IF(OR(INDEX($AG$2:$AG$1001,MATCH(ROWS($AF$2:AF501),$AF$2:$AF$1001,0),1)&gt;=100000,INDEX($AM$1005:$BM$1005,1,MATCH(COLUMNS($AM$1006:AN1006),$AM$1006:$BM$1006,0))&gt;=100000), " ",IF(INDEX($AM$2:$BM$1001,MATCH(ROWS($AF$2:AF501),$AF$2:$AF$1001,0),MATCH(COLUMNS($AM$1006:AN1006),$AM$1006:$BM$1006,0)), HYPERLINK("#",""), HYPERLINK(CONCATENATE("#metadata!", ADDRESS(INDEX($AH$2:$AH$1001,MATCH(ROWS($AF$2:AF501),$AF$2:$AF$1001,0),0), INDEX($AM$1004:$BM$1004,1,MATCH(COLUMNS($AM$1006:AN1006),$AM$1006:$BM$1006,0)))),"Fix")))</f>
        <v xml:space="preserve"> </v>
      </c>
      <c r="D501" s="4" t="str">
        <f ca="1">IF(OR(INDEX($AG$2:$AG$1001,MATCH(ROWS($AF$2:AF501),$AF$2:$AF$1001,0),1)&gt;=100000,INDEX($AM$1005:$BM$1005,1,MATCH(COLUMNS($AM$1006:AO1006),$AM$1006:$BM$1006,0))&gt;=100000), " ",IF(INDEX($AM$2:$BM$1001,MATCH(ROWS($AF$2:AF501),$AF$2:$AF$1001,0),MATCH(COLUMNS($AM$1006:AO1006),$AM$1006:$BM$1006,0)), HYPERLINK("#",""), HYPERLINK(CONCATENATE("#metadata!", ADDRESS(INDEX($AH$2:$AH$1001,MATCH(ROWS($AF$2:AF501),$AF$2:$AF$1001,0),0), INDEX($AM$1004:$BM$1004,1,MATCH(COLUMNS($AM$1006:AO1006),$AM$1006:$BM$1006,0)))),"Fix")))</f>
        <v xml:space="preserve"> </v>
      </c>
      <c r="E501" s="4" t="str">
        <f ca="1">IF(OR(INDEX($AG$2:$AG$1001,MATCH(ROWS($AF$2:AF501),$AF$2:$AF$1001,0),1)&gt;=100000,INDEX($AM$1005:$BM$1005,1,MATCH(COLUMNS($AM$1006:AP1006),$AM$1006:$BM$1006,0))&gt;=100000), " ",IF(INDEX($AM$2:$BM$1001,MATCH(ROWS($AF$2:AF501),$AF$2:$AF$1001,0),MATCH(COLUMNS($AM$1006:AP1006),$AM$1006:$BM$1006,0)), HYPERLINK("#",""), HYPERLINK(CONCATENATE("#metadata!", ADDRESS(INDEX($AH$2:$AH$1001,MATCH(ROWS($AF$2:AF501),$AF$2:$AF$1001,0),0), INDEX($AM$1004:$BM$1004,1,MATCH(COLUMNS($AM$1006:AP1006),$AM$1006:$BM$1006,0)))),"Fix")))</f>
        <v xml:space="preserve"> </v>
      </c>
      <c r="F501" s="4" t="str">
        <f ca="1">IF(OR(INDEX($AG$2:$AG$1001,MATCH(ROWS($AF$2:AF501),$AF$2:$AF$1001,0),1)&gt;=100000,INDEX($AM$1005:$BM$1005,1,MATCH(COLUMNS($AM$1006:AQ1006),$AM$1006:$BM$1006,0))&gt;=100000), " ",IF(INDEX($AM$2:$BM$1001,MATCH(ROWS($AF$2:AF501),$AF$2:$AF$1001,0),MATCH(COLUMNS($AM$1006:AQ1006),$AM$1006:$BM$1006,0)), HYPERLINK("#",""), HYPERLINK(CONCATENATE("#metadata!", ADDRESS(INDEX($AH$2:$AH$1001,MATCH(ROWS($AF$2:AF501),$AF$2:$AF$1001,0),0), INDEX($AM$1004:$BM$1004,1,MATCH(COLUMNS($AM$1006:AQ1006),$AM$1006:$BM$1006,0)))),"Fix")))</f>
        <v xml:space="preserve"> </v>
      </c>
      <c r="G501" s="4" t="str">
        <f ca="1">IF(OR(INDEX($AG$2:$AG$1001,MATCH(ROWS($AF$2:AF501),$AF$2:$AF$1001,0),1)&gt;=100000,INDEX($AM$1005:$BM$1005,1,MATCH(COLUMNS($AM$1006:AR1006),$AM$1006:$BM$1006,0))&gt;=100000), " ",IF(INDEX($AM$2:$BM$1001,MATCH(ROWS($AF$2:AF501),$AF$2:$AF$1001,0),MATCH(COLUMNS($AM$1006:AR1006),$AM$1006:$BM$1006,0)), HYPERLINK("#",""), HYPERLINK(CONCATENATE("#metadata!", ADDRESS(INDEX($AH$2:$AH$1001,MATCH(ROWS($AF$2:AF501),$AF$2:$AF$1001,0),0), INDEX($AM$1004:$BM$1004,1,MATCH(COLUMNS($AM$1006:AR1006),$AM$1006:$BM$1006,0)))),"Fix")))</f>
        <v xml:space="preserve"> </v>
      </c>
      <c r="H501" s="4" t="str">
        <f ca="1">IF(OR(INDEX($AG$2:$AG$1001,MATCH(ROWS($AF$2:AF501),$AF$2:$AF$1001,0),1)&gt;=100000,INDEX($AM$1005:$BM$1005,1,MATCH(COLUMNS($AM$1006:AS1006),$AM$1006:$BM$1006,0))&gt;=100000), " ",IF(INDEX($AM$2:$BM$1001,MATCH(ROWS($AF$2:AF501),$AF$2:$AF$1001,0),MATCH(COLUMNS($AM$1006:AS1006),$AM$1006:$BM$1006,0)), HYPERLINK("#",""), HYPERLINK(CONCATENATE("#metadata!", ADDRESS(INDEX($AH$2:$AH$1001,MATCH(ROWS($AF$2:AF501),$AF$2:$AF$1001,0),0), INDEX($AM$1004:$BM$1004,1,MATCH(COLUMNS($AM$1006:AS1006),$AM$1006:$BM$1006,0)))),"Fix")))</f>
        <v xml:space="preserve"> </v>
      </c>
      <c r="I501" s="4" t="str">
        <f ca="1">IF(OR(INDEX($AG$2:$AG$1001,MATCH(ROWS($AF$2:AF501),$AF$2:$AF$1001,0),1)&gt;=100000,INDEX($AM$1005:$BM$1005,1,MATCH(COLUMNS($AM$1006:AT1006),$AM$1006:$BM$1006,0))&gt;=100000), " ",IF(INDEX($AM$2:$BM$1001,MATCH(ROWS($AF$2:AF501),$AF$2:$AF$1001,0),MATCH(COLUMNS($AM$1006:AT1006),$AM$1006:$BM$1006,0)), HYPERLINK("#",""), HYPERLINK(CONCATENATE("#metadata!", ADDRESS(INDEX($AH$2:$AH$1001,MATCH(ROWS($AF$2:AF501),$AF$2:$AF$1001,0),0), INDEX($AM$1004:$BM$1004,1,MATCH(COLUMNS($AM$1006:AT1006),$AM$1006:$BM$1006,0)))),"Fix")))</f>
        <v xml:space="preserve"> </v>
      </c>
      <c r="J501" s="4" t="str">
        <f ca="1">IF(OR(INDEX($AG$2:$AG$1001,MATCH(ROWS($AF$2:AF501),$AF$2:$AF$1001,0),1)&gt;=100000,INDEX($AM$1005:$BM$1005,1,MATCH(COLUMNS($AM$1006:AU1006),$AM$1006:$BM$1006,0))&gt;=100000), " ",IF(INDEX($AM$2:$BM$1001,MATCH(ROWS($AF$2:AF501),$AF$2:$AF$1001,0),MATCH(COLUMNS($AM$1006:AU1006),$AM$1006:$BM$1006,0)), HYPERLINK("#",""), HYPERLINK(CONCATENATE("#metadata!", ADDRESS(INDEX($AH$2:$AH$1001,MATCH(ROWS($AF$2:AF501),$AF$2:$AF$1001,0),0), INDEX($AM$1004:$BM$1004,1,MATCH(COLUMNS($AM$1006:AU1006),$AM$1006:$BM$1006,0)))),"Fix")))</f>
        <v xml:space="preserve"> </v>
      </c>
      <c r="K501" s="4" t="str">
        <f ca="1">IF(OR(INDEX($AG$2:$AG$1001,MATCH(ROWS($AF$2:AF501),$AF$2:$AF$1001,0),1)&gt;=100000,INDEX($AM$1005:$BM$1005,1,MATCH(COLUMNS($AM$1006:AV1006),$AM$1006:$BM$1006,0))&gt;=100000), " ",IF(INDEX($AM$2:$BM$1001,MATCH(ROWS($AF$2:AF501),$AF$2:$AF$1001,0),MATCH(COLUMNS($AM$1006:AV1006),$AM$1006:$BM$1006,0)), HYPERLINK("#",""), HYPERLINK(CONCATENATE("#metadata!", ADDRESS(INDEX($AH$2:$AH$1001,MATCH(ROWS($AF$2:AF501),$AF$2:$AF$1001,0),0), INDEX($AM$1004:$BM$1004,1,MATCH(COLUMNS($AM$1006:AV1006),$AM$1006:$BM$1006,0)))),"Fix")))</f>
        <v xml:space="preserve"> </v>
      </c>
      <c r="L501" s="4" t="str">
        <f ca="1">IF(OR(INDEX($AG$2:$AG$1001,MATCH(ROWS($AF$2:AF501),$AF$2:$AF$1001,0),1)&gt;=100000,INDEX($AM$1005:$BM$1005,1,MATCH(COLUMNS($AM$1006:AW1006),$AM$1006:$BM$1006,0))&gt;=100000), " ",IF(INDEX($AM$2:$BM$1001,MATCH(ROWS($AF$2:AF501),$AF$2:$AF$1001,0),MATCH(COLUMNS($AM$1006:AW1006),$AM$1006:$BM$1006,0)), HYPERLINK("#",""), HYPERLINK(CONCATENATE("#metadata!", ADDRESS(INDEX($AH$2:$AH$1001,MATCH(ROWS($AF$2:AF501),$AF$2:$AF$1001,0),0), INDEX($AM$1004:$BM$1004,1,MATCH(COLUMNS($AM$1006:AW1006),$AM$1006:$BM$1006,0)))),"Fix")))</f>
        <v xml:space="preserve"> </v>
      </c>
      <c r="M501" s="4" t="str">
        <f ca="1">IF(OR(INDEX($AG$2:$AG$1001,MATCH(ROWS($AF$2:AF501),$AF$2:$AF$1001,0),1)&gt;=100000,INDEX($AM$1005:$BM$1005,1,MATCH(COLUMNS($AM$1006:AX1006),$AM$1006:$BM$1006,0))&gt;=100000), " ",IF(INDEX($AM$2:$BM$1001,MATCH(ROWS($AF$2:AF501),$AF$2:$AF$1001,0),MATCH(COLUMNS($AM$1006:AX1006),$AM$1006:$BM$1006,0)), HYPERLINK("#",""), HYPERLINK(CONCATENATE("#metadata!", ADDRESS(INDEX($AH$2:$AH$1001,MATCH(ROWS($AF$2:AF501),$AF$2:$AF$1001,0),0), INDEX($AM$1004:$BM$1004,1,MATCH(COLUMNS($AM$1006:AX1006),$AM$1006:$BM$1006,0)))),"Fix")))</f>
        <v xml:space="preserve"> </v>
      </c>
      <c r="N501" s="4" t="str">
        <f ca="1">IF(OR(INDEX($AG$2:$AG$1001,MATCH(ROWS($AF$2:AF501),$AF$2:$AF$1001,0),1)&gt;=100000,INDEX($AM$1005:$BM$1005,1,MATCH(COLUMNS($AM$1006:AY1006),$AM$1006:$BM$1006,0))&gt;=100000), " ",IF(INDEX($AM$2:$BM$1001,MATCH(ROWS($AF$2:AF501),$AF$2:$AF$1001,0),MATCH(COLUMNS($AM$1006:AY1006),$AM$1006:$BM$1006,0)), HYPERLINK("#",""), HYPERLINK(CONCATENATE("#metadata!", ADDRESS(INDEX($AH$2:$AH$1001,MATCH(ROWS($AF$2:AF501),$AF$2:$AF$1001,0),0), INDEX($AM$1004:$BM$1004,1,MATCH(COLUMNS($AM$1006:AY1006),$AM$1006:$BM$1006,0)))),"Fix")))</f>
        <v xml:space="preserve"> </v>
      </c>
      <c r="O501" s="4" t="str">
        <f ca="1">IF(OR(INDEX($AG$2:$AG$1001,MATCH(ROWS($AF$2:AF501),$AF$2:$AF$1001,0),1)&gt;=100000,INDEX($AM$1005:$BM$1005,1,MATCH(COLUMNS($AM$1006:AZ1006),$AM$1006:$BM$1006,0))&gt;=100000), " ",IF(INDEX($AM$2:$BM$1001,MATCH(ROWS($AF$2:AF501),$AF$2:$AF$1001,0),MATCH(COLUMNS($AM$1006:AZ1006),$AM$1006:$BM$1006,0)), HYPERLINK("#",""), HYPERLINK(CONCATENATE("#metadata!", ADDRESS(INDEX($AH$2:$AH$1001,MATCH(ROWS($AF$2:AF501),$AF$2:$AF$1001,0),0), INDEX($AM$1004:$BM$1004,1,MATCH(COLUMNS($AM$1006:AZ1006),$AM$1006:$BM$1006,0)))),"Fix")))</f>
        <v xml:space="preserve"> </v>
      </c>
      <c r="P501" s="4" t="str">
        <f ca="1">IF(OR(INDEX($AG$2:$AG$1001,MATCH(ROWS($AF$2:AF501),$AF$2:$AF$1001,0),1)&gt;=100000,INDEX($AM$1005:$BM$1005,1,MATCH(COLUMNS($AM$1006:BA1006),$AM$1006:$BM$1006,0))&gt;=100000), " ",IF(INDEX($AM$2:$BM$1001,MATCH(ROWS($AF$2:AF501),$AF$2:$AF$1001,0),MATCH(COLUMNS($AM$1006:BA1006),$AM$1006:$BM$1006,0)), HYPERLINK("#",""), HYPERLINK(CONCATENATE("#metadata!", ADDRESS(INDEX($AH$2:$AH$1001,MATCH(ROWS($AF$2:AF501),$AF$2:$AF$1001,0),0), INDEX($AM$1004:$BM$1004,1,MATCH(COLUMNS($AM$1006:BA1006),$AM$1006:$BM$1006,0)))),"Fix")))</f>
        <v xml:space="preserve"> </v>
      </c>
      <c r="Q501" s="4" t="str">
        <f ca="1">IF(OR(INDEX($AG$2:$AG$1001,MATCH(ROWS($AF$2:AF501),$AF$2:$AF$1001,0),1)&gt;=100000,INDEX($AM$1005:$BM$1005,1,MATCH(COLUMNS($AM$1006:BB1006),$AM$1006:$BM$1006,0))&gt;=100000), " ",IF(INDEX($AM$2:$BM$1001,MATCH(ROWS($AF$2:AF501),$AF$2:$AF$1001,0),MATCH(COLUMNS($AM$1006:BB1006),$AM$1006:$BM$1006,0)), HYPERLINK("#",""), HYPERLINK(CONCATENATE("#metadata!", ADDRESS(INDEX($AH$2:$AH$1001,MATCH(ROWS($AF$2:AF501),$AF$2:$AF$1001,0),0), INDEX($AM$1004:$BM$1004,1,MATCH(COLUMNS($AM$1006:BB1006),$AM$1006:$BM$1006,0)))),"Fix")))</f>
        <v xml:space="preserve"> </v>
      </c>
      <c r="R501" s="4" t="str">
        <f ca="1">IF(OR(INDEX($AG$2:$AG$1001,MATCH(ROWS($AF$2:AF501),$AF$2:$AF$1001,0),1)&gt;=100000,INDEX($AM$1005:$BM$1005,1,MATCH(COLUMNS($AM$1006:BC1006),$AM$1006:$BM$1006,0))&gt;=100000), " ",IF(INDEX($AM$2:$BM$1001,MATCH(ROWS($AF$2:AF501),$AF$2:$AF$1001,0),MATCH(COLUMNS($AM$1006:BC1006),$AM$1006:$BM$1006,0)), HYPERLINK("#",""), HYPERLINK(CONCATENATE("#metadata!", ADDRESS(INDEX($AH$2:$AH$1001,MATCH(ROWS($AF$2:AF501),$AF$2:$AF$1001,0),0), INDEX($AM$1004:$BM$1004,1,MATCH(COLUMNS($AM$1006:BC1006),$AM$1006:$BM$1006,0)))),"Fix")))</f>
        <v xml:space="preserve"> </v>
      </c>
      <c r="S501" s="4" t="str">
        <f ca="1">IF(OR(INDEX($AG$2:$AG$1001,MATCH(ROWS($AF$2:AF501),$AF$2:$AF$1001,0),1)&gt;=100000,INDEX($AM$1005:$BM$1005,1,MATCH(COLUMNS($AM$1006:BD1006),$AM$1006:$BM$1006,0))&gt;=100000), " ",IF(INDEX($AM$2:$BM$1001,MATCH(ROWS($AF$2:AF501),$AF$2:$AF$1001,0),MATCH(COLUMNS($AM$1006:BD1006),$AM$1006:$BM$1006,0)), HYPERLINK("#",""), HYPERLINK(CONCATENATE("#metadata!", ADDRESS(INDEX($AH$2:$AH$1001,MATCH(ROWS($AF$2:AF501),$AF$2:$AF$1001,0),0), INDEX($AM$1004:$BM$1004,1,MATCH(COLUMNS($AM$1006:BD1006),$AM$1006:$BM$1006,0)))),"Fix")))</f>
        <v xml:space="preserve"> </v>
      </c>
      <c r="T501" s="4" t="str">
        <f ca="1">IF(OR(INDEX($AG$2:$AG$1001,MATCH(ROWS($AF$2:AF501),$AF$2:$AF$1001,0),1)&gt;=100000,INDEX($AM$1005:$BM$1005,1,MATCH(COLUMNS($AM$1006:BE1006),$AM$1006:$BM$1006,0))&gt;=100000), " ",IF(INDEX($AM$2:$BM$1001,MATCH(ROWS($AF$2:AF501),$AF$2:$AF$1001,0),MATCH(COLUMNS($AM$1006:BE1006),$AM$1006:$BM$1006,0)), HYPERLINK("#",""), HYPERLINK(CONCATENATE("#metadata!", ADDRESS(INDEX($AH$2:$AH$1001,MATCH(ROWS($AF$2:AF501),$AF$2:$AF$1001,0),0), INDEX($AM$1004:$BM$1004,1,MATCH(COLUMNS($AM$1006:BE1006),$AM$1006:$BM$1006,0)))),"Fix")))</f>
        <v xml:space="preserve"> </v>
      </c>
      <c r="U501" s="4" t="str">
        <f ca="1">IF(OR(INDEX($AG$2:$AG$1001,MATCH(ROWS($AF$2:AF501),$AF$2:$AF$1001,0),1)&gt;=100000,INDEX($AM$1005:$BM$1005,1,MATCH(COLUMNS($AM$1006:BF1006),$AM$1006:$BM$1006,0))&gt;=100000), " ",IF(INDEX($AM$2:$BM$1001,MATCH(ROWS($AF$2:AF501),$AF$2:$AF$1001,0),MATCH(COLUMNS($AM$1006:BF1006),$AM$1006:$BM$1006,0)), HYPERLINK("#",""), HYPERLINK(CONCATENATE("#metadata!", ADDRESS(INDEX($AH$2:$AH$1001,MATCH(ROWS($AF$2:AF501),$AF$2:$AF$1001,0),0), INDEX($AM$1004:$BM$1004,1,MATCH(COLUMNS($AM$1006:BF1006),$AM$1006:$BM$1006,0)))),"Fix")))</f>
        <v xml:space="preserve"> </v>
      </c>
      <c r="V501" s="4" t="str">
        <f ca="1">IF(OR(INDEX($AG$2:$AG$1001,MATCH(ROWS($AF$2:AF501),$AF$2:$AF$1001,0),1)&gt;=100000,INDEX($AM$1005:$BM$1005,1,MATCH(COLUMNS($AM$1006:BG1006),$AM$1006:$BM$1006,0))&gt;=100000), " ",IF(INDEX($AM$2:$BM$1001,MATCH(ROWS($AF$2:AF501),$AF$2:$AF$1001,0),MATCH(COLUMNS($AM$1006:BG1006),$AM$1006:$BM$1006,0)), HYPERLINK("#",""), HYPERLINK(CONCATENATE("#metadata!", ADDRESS(INDEX($AH$2:$AH$1001,MATCH(ROWS($AF$2:AF501),$AF$2:$AF$1001,0),0), INDEX($AM$1004:$BM$1004,1,MATCH(COLUMNS($AM$1006:BG1006),$AM$1006:$BM$1006,0)))),"Fix")))</f>
        <v xml:space="preserve"> </v>
      </c>
      <c r="W501" s="4" t="str">
        <f ca="1">IF(OR(INDEX($AG$2:$AG$1001,MATCH(ROWS($AF$2:AF501),$AF$2:$AF$1001,0),1)&gt;=100000,INDEX($AM$1005:$BM$1005,1,MATCH(COLUMNS($AM$1006:BH1006),$AM$1006:$BM$1006,0))&gt;=100000), " ",IF(INDEX($AM$2:$BM$1001,MATCH(ROWS($AF$2:AF501),$AF$2:$AF$1001,0),MATCH(COLUMNS($AM$1006:BH1006),$AM$1006:$BM$1006,0)), HYPERLINK("#",""), HYPERLINK(CONCATENATE("#metadata!", ADDRESS(INDEX($AH$2:$AH$1001,MATCH(ROWS($AF$2:AF501),$AF$2:$AF$1001,0),0), INDEX($AM$1004:$BM$1004,1,MATCH(COLUMNS($AM$1006:BH1006),$AM$1006:$BM$1006,0)))),"Fix")))</f>
        <v xml:space="preserve"> </v>
      </c>
      <c r="X501" s="4" t="str">
        <f ca="1">IF(OR(INDEX($AG$2:$AG$1001,MATCH(ROWS($AF$2:AF501),$AF$2:$AF$1001,0),1)&gt;=100000,INDEX($AM$1005:$BM$1005,1,MATCH(COLUMNS($AM$1006:BI1006),$AM$1006:$BM$1006,0))&gt;=100000), " ",IF(INDEX($AM$2:$BM$1001,MATCH(ROWS($AF$2:AF501),$AF$2:$AF$1001,0),MATCH(COLUMNS($AM$1006:BI1006),$AM$1006:$BM$1006,0)), HYPERLINK("#",""), HYPERLINK(CONCATENATE("#metadata!", ADDRESS(INDEX($AH$2:$AH$1001,MATCH(ROWS($AF$2:AF501),$AF$2:$AF$1001,0),0), INDEX($AM$1004:$BM$1004,1,MATCH(COLUMNS($AM$1006:BI1006),$AM$1006:$BM$1006,0)))),"Fix")))</f>
        <v xml:space="preserve"> </v>
      </c>
      <c r="Y501" s="4" t="str">
        <f ca="1">IF(OR(INDEX($AG$2:$AG$1001,MATCH(ROWS($AF$2:AF501),$AF$2:$AF$1001,0),1)&gt;=100000,INDEX($AM$1005:$BM$1005,1,MATCH(COLUMNS($AM$1006:BJ1006),$AM$1006:$BM$1006,0))&gt;=100000), " ",IF(INDEX($AM$2:$BM$1001,MATCH(ROWS($AF$2:AF501),$AF$2:$AF$1001,0),MATCH(COLUMNS($AM$1006:BJ1006),$AM$1006:$BM$1006,0)), HYPERLINK("#",""), HYPERLINK(CONCATENATE("#metadata!", ADDRESS(INDEX($AH$2:$AH$1001,MATCH(ROWS($AF$2:AF501),$AF$2:$AF$1001,0),0), INDEX($AM$1004:$BM$1004,1,MATCH(COLUMNS($AM$1006:BJ1006),$AM$1006:$BM$1006,0)))),"Fix")))</f>
        <v xml:space="preserve"> </v>
      </c>
      <c r="Z501" s="4" t="str">
        <f ca="1">IF(OR(INDEX($AG$2:$AG$1001,MATCH(ROWS($AF$2:AF501),$AF$2:$AF$1001,0),1)&gt;=100000,INDEX($AM$1005:$BM$1005,1,MATCH(COLUMNS($AM$1006:BK1006),$AM$1006:$BM$1006,0))&gt;=100000), " ",IF(INDEX($AM$2:$BM$1001,MATCH(ROWS($AF$2:AF501),$AF$2:$AF$1001,0),MATCH(COLUMNS($AM$1006:BK1006),$AM$1006:$BM$1006,0)), HYPERLINK("#",""), HYPERLINK(CONCATENATE("#metadata!", ADDRESS(INDEX($AH$2:$AH$1001,MATCH(ROWS($AF$2:AF501),$AF$2:$AF$1001,0),0), INDEX($AM$1004:$BM$1004,1,MATCH(COLUMNS($AM$1006:BK1006),$AM$1006:$BM$1006,0)))),"Fix")))</f>
        <v xml:space="preserve"> </v>
      </c>
      <c r="AA501" s="4" t="str">
        <f ca="1">IF(OR(INDEX($AG$2:$AG$1001,MATCH(ROWS($AF$2:AF501),$AF$2:$AF$1001,0),1)&gt;=100000,INDEX($AM$1005:$BM$1005,1,MATCH(COLUMNS($AM$1006:BL1006),$AM$1006:$BM$1006,0))&gt;=100000), " ",IF(INDEX($AM$2:$BM$1001,MATCH(ROWS($AF$2:AF501),$AF$2:$AF$1001,0),MATCH(COLUMNS($AM$1006:BL1006),$AM$1006:$BM$1006,0)), HYPERLINK("#",""), HYPERLINK(CONCATENATE("#metadata!", ADDRESS(INDEX($AH$2:$AH$1001,MATCH(ROWS($AF$2:AF501),$AF$2:$AF$1001,0),0), INDEX($AM$1004:$BM$1004,1,MATCH(COLUMNS($AM$1006:BL1006),$AM$1006:$BM$1006,0)))),"Fix")))</f>
        <v xml:space="preserve"> </v>
      </c>
      <c r="AB501" s="4" t="str">
        <f ca="1">IF(OR(INDEX($AG$2:$AG$1001,MATCH(ROWS($AF$2:AF501),$AF$2:$AF$1001,0),1)&gt;=100000,INDEX($AM$1005:$BM$1005,1,MATCH(COLUMNS($AM$1006:BM1006),$AM$1006:$BM$1006,0))&gt;=100000), " ",IF(INDEX($AM$2:$BM$1001,MATCH(ROWS($AF$2:AF501),$AF$2:$AF$1001,0),MATCH(COLUMNS($AM$1006:BM1006),$AM$1006:$BM$1006,0)), HYPERLINK("#",""), HYPERLINK(CONCATENATE("#metadata!", ADDRESS(INDEX($AH$2:$AH$1001,MATCH(ROWS($AF$2:AF501),$AF$2:$AF$1001,0),0), INDEX($AM$1004:$BM$1004,1,MATCH(COLUMNS($AM$1006:BM1006),$AM$1006:$BM$1006,0)))),"Fix")))</f>
        <v xml:space="preserve"> </v>
      </c>
      <c r="AF501">
        <v>500</v>
      </c>
      <c r="AG501">
        <v>100501</v>
      </c>
      <c r="AH501">
        <v>501</v>
      </c>
      <c r="AI501" t="b">
        <f t="shared" si="7"/>
        <v>1</v>
      </c>
      <c r="AJ501" t="b">
        <f>COUNTBLANK(metadata!B501:AB501)=COLUMNS(metadata!B501:AB501)</f>
        <v>1</v>
      </c>
      <c r="AK501" t="str">
        <v/>
      </c>
      <c r="AM501" t="b">
        <f ca="1">AND(IF(metadata!B501="",FALSE,TRUE),COUNTIF(metadata!B:B, metadata!B501) = 1,NOT(ISERROR(SUMPRODUCT(SEARCH(MID(metadata!B501,ROW(INDIRECT("1:"&amp;LEN(metadata!B501))), 1),"0123456789abcdefghijklmnopqrstuvwxyzABCDEFGHIJKLMNOPQRSTUVWXYZ.")))))</f>
        <v>0</v>
      </c>
      <c r="AN501" t="b">
        <f ca="1">OR(AND(IF(metadata!C501="",FALSE,TRUE),OR(EXACT(metadata!C501,"missing: not collected"),EXACT(metadata!C501,"missing: not provided"),EXACT(metadata!C501,"missing: restricted access"))),AND(IF(metadata!C501="",FALSE,TRUE),AND(AND(IFERROR(INT(LEFT(metadata!C501,4))&gt;1900,FALSE),IFERROR(INT(LEFT(metadata!C501,4))&lt;=YEAR(NOW()),FALSE)), OR(MID(metadata!C501,5,1)="", AND(AND(MID(metadata!C501,5,1)="-",IFERROR(INT(MID(metadata!C501,6,1))&gt;=0,FALSE),IFERROR(INT(MID(metadata!C501,6,1))&lt;=1,FALSE),NOT(MID(metadata!C501,7,1)=""),IFERROR(INT(MID(metadata!C501,6,2))&gt;=1,FALSE),IFERROR(INT(MID(metadata!C501,6,2))&lt;=12,FALSE)), OR(MID(metadata!C501,8,1)="", AND(AND(MID(metadata!C501,8,1)="-",IFERROR(INT(MID(metadata!C501,9,1))&gt;=0,FALSE),IFERROR(INT(MID(metadata!C501,9,1))&lt;=3,FALSE),NOT(MID(metadata!C501,10,1)=""),IFERROR(INT(MID(metadata!C501,9,2))&gt;=1,FALSE),IFERROR(INT(MID(metadata!C501,9,2))&lt;=31,FALSE)), OR(MID(metadata!C501,11,1)="", AND(AND(MID(metadata!C501,11,1)=" ",IFERROR(INT(MID(metadata!C501,12,1))&gt;=0,FALSE),IFERROR(INT(MID(metadata!C501,12,1))&lt;=2,FALSE),NOT(MID(metadata!C501,13,1)=""),IFERROR(INT(MID(metadata!C501,12,2))&gt;=0,FALSE),IFERROR(INT(MID(metadata!C501,12,2))&lt;=23,FALSE)), OR(MID(metadata!C501,14,1)="", AND(AND(MID(metadata!C501,14,1)=":",IFERROR(INT(MID(metadata!C501,15,1))&gt;=0,FALSE),IFERROR(INT(MID(metadata!C501,15,1))&lt;=5,FALSE),NOT(MID(metadata!C501,16,1)=""),IFERROR(INT(MID(metadata!C501,15,2))&gt;=0,FALSE),IFERROR(INT(MID(metadata!C501,15,2))&lt;=59,FALSE)), OR(MID(metadata!C501,17,1)="", AND(AND(MID(metadata!C501,17,1)=":",IFERROR(INT(MID(metadata!C501,18,1))&gt;=0,FALSE),IFERROR(INT(MID(metadata!C501,18,1))&lt;=5,FALSE),NOT(MID(metadata!C501,19,1)=""),IFERROR(INT(MID(metadata!C501,18,2))&gt;=0,FALSE),IFERROR(INT(MID(metadata!C501,18,2))&lt;=59,FALSE)), LEN(metadata!C501)&lt;=19)))))))))))))</f>
        <v>0</v>
      </c>
      <c r="AO501" t="b">
        <f>AND(IF(metadata!D501="",FALSE,TRUE),EXACT(metadata!D501,"Not applicable"))</f>
        <v>0</v>
      </c>
      <c r="AP501" t="b">
        <f>IF(metadata!E501="",FALSE,TRUE)</f>
        <v>0</v>
      </c>
      <c r="AQ501" t="b">
        <f>OR(AND(IF(metadata!F501="",FALSE,TRUE),OR(EXACT(metadata!F501,"missing: not collected"),EXACT(metadata!F501,"missing: not provided"))),AND(IF(metadata!F501="",FALSE,TRUE),OR(EXACT(metadata!F501,"TRUE"),EXACT(metadata!F501,"FALSE"))))</f>
        <v>0</v>
      </c>
      <c r="AR501" t="b">
        <f>OR(AND(IF(metadata!G501="",FALSE,TRUE),OR(EXACT(metadata!G501,"missing: not collected"),EXACT(metadata!G501,"missing: not provided"),EXACT(metadata!G501,"missing: restricted access"))),AND(IF(metadata!G501="",FALSE,ISNUMBER(VALUE(metadata!G501))),metadata!G501&gt;=-413))</f>
        <v>0</v>
      </c>
      <c r="AS501" t="b">
        <f>AND(IF(metadata!H501="",FALSE,TRUE),EXACT(metadata!H501,"meters"))</f>
        <v>0</v>
      </c>
      <c r="AT501" t="b">
        <f>AND(IF(metadata!I501="",FALSE,TRUE),OR(EXACT(metadata!I501,"Host-associated"),EXACT(metadata!I501,"Free-living")))</f>
        <v>0</v>
      </c>
      <c r="AU501" t="b">
        <f>AND(IF(metadata!J501="",FALSE,TRUE),OR(EXACT(metadata!J501,"Animal"),EXACT(metadata!J501,"Fungus"),EXACT(metadata!J501,"Plant"),EXACT(metadata!J501,"Saline"),EXACT(metadata!J501,"Non-saline")))</f>
        <v>0</v>
      </c>
      <c r="AV501" t="b">
        <f>AND(IF(metadata!K501="",FALSE,TRUE),OR(EXACT(metadata!K501,"Plant secretion"),EXACT(metadata!K501,"Plant rhizosphere"),EXACT(metadata!K501,"Plant surface"),EXACT(metadata!K501,"Plant corpus"),EXACT(metadata!K501,"Fungus surface"),EXACT(metadata!K501,"Fungus corpus"),EXACT(metadata!K501,"Animal surface"),EXACT(metadata!K501,"Animal proximal gut"),EXACT(metadata!K501,"Animal corpus"),EXACT(metadata!K501,"Animal distal gut"),EXACT(metadata!K501,"Animal secretion"),EXACT(metadata!K501,"Sub-surface (non-saline)"),EXACT(metadata!K501,"Surface (non-saline)"),EXACT(metadata!K501,"Water (non-saline)"),EXACT(metadata!K501,"Soil (non-saline)"),EXACT(metadata!K501,"Aerosol (non-saline)"),EXACT(metadata!K501,"Sediment (non-saline)"),EXACT(metadata!K501,"Surface (saline)"),EXACT(metadata!K501,"Water (saline)"),EXACT(metadata!K501,"Hypersaline (saline)"),EXACT(metadata!K501,"Aerosol (saline)"),EXACT(metadata!K501,"Sediment (saline)")))</f>
        <v>0</v>
      </c>
      <c r="AW501" t="b">
        <f>IF(metadata!L501="",FALSE,TRUE)</f>
        <v>0</v>
      </c>
      <c r="AX501" t="b">
        <f>IF(metadata!M501="",FALSE,TRUE)</f>
        <v>0</v>
      </c>
      <c r="AY501" t="b">
        <f>IF(metadata!N501="",FALSE,TRUE)</f>
        <v>0</v>
      </c>
      <c r="AZ501" t="b">
        <f>OR(AND(IF(metadata!O501="",FALSE,TRUE),OR(EXACT(metadata!O501,"missing: not collected"),EXACT(metadata!O501,"missing: not provided"),EXACT(metadata!O501,"missing: restricted access"))),AND(IF(metadata!O501="",FALSE,TRUE),OR(EXACT(metadata!O501,"air"),EXACT(metadata!O501,"built environment"),EXACT(metadata!O501,"host-associated"),EXACT(metadata!O501,"human-associated"),EXACT(metadata!O501,"human-skin"),EXACT(metadata!O501,"human-oral"),EXACT(metadata!O501,"human-gut"),EXACT(metadata!O501,"human-vaginal"),EXACT(metadata!O501,"microbial mat/biofilm"),EXACT(metadata!O501,"misc environment"),EXACT(metadata!O501,"plant-associated"),EXACT(metadata!O501,"sediment"),EXACT(metadata!O501,"soil"),EXACT(metadata!O501,"wastewater/sludge"),EXACT(metadata!O501,"water"))))</f>
        <v>0</v>
      </c>
      <c r="BA501" t="b">
        <f>IF(metadata!P501="",FALSE,TRUE)</f>
        <v>0</v>
      </c>
      <c r="BB501" t="b">
        <f>IF(metadata!Q501="",FALSE,TRUE)</f>
        <v>0</v>
      </c>
      <c r="BC501" t="b">
        <f>OR(AND(IF(metadata!R501="",FALSE,TRUE),OR(EXACT(metadata!R501,"missing: not collected"),EXACT(metadata!R501,"missing: not provided"),EXACT(metadata!R501,"missing: restricted access"))),AND(IF(metadata!R501="",FALSE,ISNUMBER(VALUE(metadata!R501))),metadata!R501&gt;=-90,metadata!R501&lt;=90))</f>
        <v>0</v>
      </c>
      <c r="BD501" t="b">
        <f>AND(IF(metadata!S501="",FALSE,TRUE),EXACT(metadata!S501,"Decimal degrees"))</f>
        <v>0</v>
      </c>
      <c r="BE501" t="b">
        <f>OR(AND(IF(metadata!T501="",FALSE,TRUE),OR(EXACT(metadata!T501,"missing: not collected"),EXACT(metadata!T501,"missing: not provided"),EXACT(metadata!T501,"missing: restricted access"))),AND(IF(metadata!T501="",FALSE,ISNUMBER(VALUE(metadata!T501))),metadata!T501&gt;=-180,metadata!T501&lt;=180))</f>
        <v>0</v>
      </c>
      <c r="BF501" t="b">
        <f>AND(IF(metadata!U501="",FALSE,TRUE),EXACT(metadata!U501,"Decimal degrees"))</f>
        <v>0</v>
      </c>
      <c r="BG501" t="b">
        <f>IF(metadata!V501="",FALSE,TRUE)</f>
        <v>0</v>
      </c>
      <c r="BH501" t="b">
        <f>OR(AND(IF(metadata!W501="",FALSE,TRUE),OR(EXACT(metadata!W501,"missing: not collected"),EXACT(metadata!W501,"missing: not provided"),EXACT(metadata!W501,"missing: restricted access"))),AND(IF(metadata!W501="",FALSE,TRUE),OR(EXACT(metadata!W501,"TRUE"),EXACT(metadata!W501,"FALSE"))))</f>
        <v>0</v>
      </c>
      <c r="BI501" t="b">
        <f>AND(IF(metadata!X501="",FALSE,TRUE),EXACT(metadata!X501,"other"))</f>
        <v>0</v>
      </c>
      <c r="BJ501" t="b">
        <f>IF(metadata!Y501="",FALSE,TRUE)</f>
        <v>0</v>
      </c>
      <c r="BK501" t="b">
        <f>OR(AND(IF(metadata!Z501="",FALSE,TRUE),OR(EXACT(metadata!Z501,"missing: not collected"),EXACT(metadata!Z501,"missing: not provided"))),AND(IF(metadata!Z501="",FALSE,IF(ISERROR(INT(metadata!Z501)),FALSE,INT(metadata!Z501)=metadata!Z501)),metadata!Z501&gt;0))</f>
        <v>0</v>
      </c>
      <c r="BL501" t="b">
        <f>AND(IF(metadata!AA501="",FALSE,TRUE),EXACT(metadata!AA501,"Not applicable"))</f>
        <v>0</v>
      </c>
      <c r="BM501" t="b">
        <f>IF(metadata!AB501="",FALSE,TRUE)</f>
        <v>0</v>
      </c>
    </row>
    <row r="502" spans="1:65" x14ac:dyDescent="0.2">
      <c r="A502" s="5" t="str">
        <f ca="1">IF(B502=" "," ",HYPERLINK(CONCATENATE("#metadata!",ADDRESS(INDEX($AH$2:$AH$1001,MATCH(ROWS($AF$2:AF502),$AF$2:$AF$1001,0),0),1)),INDEX($AK$2:$AK$1001,MATCH(ROWS($AF$2:AF502),$AF$2:$AF$1001,0),0)))</f>
        <v xml:space="preserve"> </v>
      </c>
      <c r="B502" s="4" t="str">
        <f ca="1">IF(OR(INDEX($AG$2:$AG$1001,MATCH(ROWS($AF$2:AF502),$AF$2:$AF$1001,0),1)&gt;=100000,INDEX($AM$1005:$BM$1005,1,MATCH(COLUMNS($AM$1006:AM1006),$AM$1006:$BM$1006,0))&gt;=100000), " ",IF(INDEX($AM$2:$BM$1001,MATCH(ROWS($AF$2:AF502),$AF$2:$AF$1001,0),MATCH(COLUMNS($AM$1006:AM1006),$AM$1006:$BM$1006,0)), HYPERLINK("#",""), HYPERLINK(CONCATENATE("#metadata!", ADDRESS(INDEX($AH$2:$AH$1001,MATCH(ROWS($AF$2:AF502),$AF$2:$AF$1001,0),0), INDEX($AM$1004:$BM$1004,1,MATCH(COLUMNS($AM$1006:AM1006),$AM$1006:$BM$1006,0)))),"Fix")))</f>
        <v xml:space="preserve"> </v>
      </c>
      <c r="C502" s="4" t="str">
        <f ca="1">IF(OR(INDEX($AG$2:$AG$1001,MATCH(ROWS($AF$2:AF502),$AF$2:$AF$1001,0),1)&gt;=100000,INDEX($AM$1005:$BM$1005,1,MATCH(COLUMNS($AM$1006:AN1006),$AM$1006:$BM$1006,0))&gt;=100000), " ",IF(INDEX($AM$2:$BM$1001,MATCH(ROWS($AF$2:AF502),$AF$2:$AF$1001,0),MATCH(COLUMNS($AM$1006:AN1006),$AM$1006:$BM$1006,0)), HYPERLINK("#",""), HYPERLINK(CONCATENATE("#metadata!", ADDRESS(INDEX($AH$2:$AH$1001,MATCH(ROWS($AF$2:AF502),$AF$2:$AF$1001,0),0), INDEX($AM$1004:$BM$1004,1,MATCH(COLUMNS($AM$1006:AN1006),$AM$1006:$BM$1006,0)))),"Fix")))</f>
        <v xml:space="preserve"> </v>
      </c>
      <c r="D502" s="4" t="str">
        <f ca="1">IF(OR(INDEX($AG$2:$AG$1001,MATCH(ROWS($AF$2:AF502),$AF$2:$AF$1001,0),1)&gt;=100000,INDEX($AM$1005:$BM$1005,1,MATCH(COLUMNS($AM$1006:AO1006),$AM$1006:$BM$1006,0))&gt;=100000), " ",IF(INDEX($AM$2:$BM$1001,MATCH(ROWS($AF$2:AF502),$AF$2:$AF$1001,0),MATCH(COLUMNS($AM$1006:AO1006),$AM$1006:$BM$1006,0)), HYPERLINK("#",""), HYPERLINK(CONCATENATE("#metadata!", ADDRESS(INDEX($AH$2:$AH$1001,MATCH(ROWS($AF$2:AF502),$AF$2:$AF$1001,0),0), INDEX($AM$1004:$BM$1004,1,MATCH(COLUMNS($AM$1006:AO1006),$AM$1006:$BM$1006,0)))),"Fix")))</f>
        <v xml:space="preserve"> </v>
      </c>
      <c r="E502" s="4" t="str">
        <f ca="1">IF(OR(INDEX($AG$2:$AG$1001,MATCH(ROWS($AF$2:AF502),$AF$2:$AF$1001,0),1)&gt;=100000,INDEX($AM$1005:$BM$1005,1,MATCH(COLUMNS($AM$1006:AP1006),$AM$1006:$BM$1006,0))&gt;=100000), " ",IF(INDEX($AM$2:$BM$1001,MATCH(ROWS($AF$2:AF502),$AF$2:$AF$1001,0),MATCH(COLUMNS($AM$1006:AP1006),$AM$1006:$BM$1006,0)), HYPERLINK("#",""), HYPERLINK(CONCATENATE("#metadata!", ADDRESS(INDEX($AH$2:$AH$1001,MATCH(ROWS($AF$2:AF502),$AF$2:$AF$1001,0),0), INDEX($AM$1004:$BM$1004,1,MATCH(COLUMNS($AM$1006:AP1006),$AM$1006:$BM$1006,0)))),"Fix")))</f>
        <v xml:space="preserve"> </v>
      </c>
      <c r="F502" s="4" t="str">
        <f ca="1">IF(OR(INDEX($AG$2:$AG$1001,MATCH(ROWS($AF$2:AF502),$AF$2:$AF$1001,0),1)&gt;=100000,INDEX($AM$1005:$BM$1005,1,MATCH(COLUMNS($AM$1006:AQ1006),$AM$1006:$BM$1006,0))&gt;=100000), " ",IF(INDEX($AM$2:$BM$1001,MATCH(ROWS($AF$2:AF502),$AF$2:$AF$1001,0),MATCH(COLUMNS($AM$1006:AQ1006),$AM$1006:$BM$1006,0)), HYPERLINK("#",""), HYPERLINK(CONCATENATE("#metadata!", ADDRESS(INDEX($AH$2:$AH$1001,MATCH(ROWS($AF$2:AF502),$AF$2:$AF$1001,0),0), INDEX($AM$1004:$BM$1004,1,MATCH(COLUMNS($AM$1006:AQ1006),$AM$1006:$BM$1006,0)))),"Fix")))</f>
        <v xml:space="preserve"> </v>
      </c>
      <c r="G502" s="4" t="str">
        <f ca="1">IF(OR(INDEX($AG$2:$AG$1001,MATCH(ROWS($AF$2:AF502),$AF$2:$AF$1001,0),1)&gt;=100000,INDEX($AM$1005:$BM$1005,1,MATCH(COLUMNS($AM$1006:AR1006),$AM$1006:$BM$1006,0))&gt;=100000), " ",IF(INDEX($AM$2:$BM$1001,MATCH(ROWS($AF$2:AF502),$AF$2:$AF$1001,0),MATCH(COLUMNS($AM$1006:AR1006),$AM$1006:$BM$1006,0)), HYPERLINK("#",""), HYPERLINK(CONCATENATE("#metadata!", ADDRESS(INDEX($AH$2:$AH$1001,MATCH(ROWS($AF$2:AF502),$AF$2:$AF$1001,0),0), INDEX($AM$1004:$BM$1004,1,MATCH(COLUMNS($AM$1006:AR1006),$AM$1006:$BM$1006,0)))),"Fix")))</f>
        <v xml:space="preserve"> </v>
      </c>
      <c r="H502" s="4" t="str">
        <f ca="1">IF(OR(INDEX($AG$2:$AG$1001,MATCH(ROWS($AF$2:AF502),$AF$2:$AF$1001,0),1)&gt;=100000,INDEX($AM$1005:$BM$1005,1,MATCH(COLUMNS($AM$1006:AS1006),$AM$1006:$BM$1006,0))&gt;=100000), " ",IF(INDEX($AM$2:$BM$1001,MATCH(ROWS($AF$2:AF502),$AF$2:$AF$1001,0),MATCH(COLUMNS($AM$1006:AS1006),$AM$1006:$BM$1006,0)), HYPERLINK("#",""), HYPERLINK(CONCATENATE("#metadata!", ADDRESS(INDEX($AH$2:$AH$1001,MATCH(ROWS($AF$2:AF502),$AF$2:$AF$1001,0),0), INDEX($AM$1004:$BM$1004,1,MATCH(COLUMNS($AM$1006:AS1006),$AM$1006:$BM$1006,0)))),"Fix")))</f>
        <v xml:space="preserve"> </v>
      </c>
      <c r="I502" s="4" t="str">
        <f ca="1">IF(OR(INDEX($AG$2:$AG$1001,MATCH(ROWS($AF$2:AF502),$AF$2:$AF$1001,0),1)&gt;=100000,INDEX($AM$1005:$BM$1005,1,MATCH(COLUMNS($AM$1006:AT1006),$AM$1006:$BM$1006,0))&gt;=100000), " ",IF(INDEX($AM$2:$BM$1001,MATCH(ROWS($AF$2:AF502),$AF$2:$AF$1001,0),MATCH(COLUMNS($AM$1006:AT1006),$AM$1006:$BM$1006,0)), HYPERLINK("#",""), HYPERLINK(CONCATENATE("#metadata!", ADDRESS(INDEX($AH$2:$AH$1001,MATCH(ROWS($AF$2:AF502),$AF$2:$AF$1001,0),0), INDEX($AM$1004:$BM$1004,1,MATCH(COLUMNS($AM$1006:AT1006),$AM$1006:$BM$1006,0)))),"Fix")))</f>
        <v xml:space="preserve"> </v>
      </c>
      <c r="J502" s="4" t="str">
        <f ca="1">IF(OR(INDEX($AG$2:$AG$1001,MATCH(ROWS($AF$2:AF502),$AF$2:$AF$1001,0),1)&gt;=100000,INDEX($AM$1005:$BM$1005,1,MATCH(COLUMNS($AM$1006:AU1006),$AM$1006:$BM$1006,0))&gt;=100000), " ",IF(INDEX($AM$2:$BM$1001,MATCH(ROWS($AF$2:AF502),$AF$2:$AF$1001,0),MATCH(COLUMNS($AM$1006:AU1006),$AM$1006:$BM$1006,0)), HYPERLINK("#",""), HYPERLINK(CONCATENATE("#metadata!", ADDRESS(INDEX($AH$2:$AH$1001,MATCH(ROWS($AF$2:AF502),$AF$2:$AF$1001,0),0), INDEX($AM$1004:$BM$1004,1,MATCH(COLUMNS($AM$1006:AU1006),$AM$1006:$BM$1006,0)))),"Fix")))</f>
        <v xml:space="preserve"> </v>
      </c>
      <c r="K502" s="4" t="str">
        <f ca="1">IF(OR(INDEX($AG$2:$AG$1001,MATCH(ROWS($AF$2:AF502),$AF$2:$AF$1001,0),1)&gt;=100000,INDEX($AM$1005:$BM$1005,1,MATCH(COLUMNS($AM$1006:AV1006),$AM$1006:$BM$1006,0))&gt;=100000), " ",IF(INDEX($AM$2:$BM$1001,MATCH(ROWS($AF$2:AF502),$AF$2:$AF$1001,0),MATCH(COLUMNS($AM$1006:AV1006),$AM$1006:$BM$1006,0)), HYPERLINK("#",""), HYPERLINK(CONCATENATE("#metadata!", ADDRESS(INDEX($AH$2:$AH$1001,MATCH(ROWS($AF$2:AF502),$AF$2:$AF$1001,0),0), INDEX($AM$1004:$BM$1004,1,MATCH(COLUMNS($AM$1006:AV1006),$AM$1006:$BM$1006,0)))),"Fix")))</f>
        <v xml:space="preserve"> </v>
      </c>
      <c r="L502" s="4" t="str">
        <f ca="1">IF(OR(INDEX($AG$2:$AG$1001,MATCH(ROWS($AF$2:AF502),$AF$2:$AF$1001,0),1)&gt;=100000,INDEX($AM$1005:$BM$1005,1,MATCH(COLUMNS($AM$1006:AW1006),$AM$1006:$BM$1006,0))&gt;=100000), " ",IF(INDEX($AM$2:$BM$1001,MATCH(ROWS($AF$2:AF502),$AF$2:$AF$1001,0),MATCH(COLUMNS($AM$1006:AW1006),$AM$1006:$BM$1006,0)), HYPERLINK("#",""), HYPERLINK(CONCATENATE("#metadata!", ADDRESS(INDEX($AH$2:$AH$1001,MATCH(ROWS($AF$2:AF502),$AF$2:$AF$1001,0),0), INDEX($AM$1004:$BM$1004,1,MATCH(COLUMNS($AM$1006:AW1006),$AM$1006:$BM$1006,0)))),"Fix")))</f>
        <v xml:space="preserve"> </v>
      </c>
      <c r="M502" s="4" t="str">
        <f ca="1">IF(OR(INDEX($AG$2:$AG$1001,MATCH(ROWS($AF$2:AF502),$AF$2:$AF$1001,0),1)&gt;=100000,INDEX($AM$1005:$BM$1005,1,MATCH(COLUMNS($AM$1006:AX1006),$AM$1006:$BM$1006,0))&gt;=100000), " ",IF(INDEX($AM$2:$BM$1001,MATCH(ROWS($AF$2:AF502),$AF$2:$AF$1001,0),MATCH(COLUMNS($AM$1006:AX1006),$AM$1006:$BM$1006,0)), HYPERLINK("#",""), HYPERLINK(CONCATENATE("#metadata!", ADDRESS(INDEX($AH$2:$AH$1001,MATCH(ROWS($AF$2:AF502),$AF$2:$AF$1001,0),0), INDEX($AM$1004:$BM$1004,1,MATCH(COLUMNS($AM$1006:AX1006),$AM$1006:$BM$1006,0)))),"Fix")))</f>
        <v xml:space="preserve"> </v>
      </c>
      <c r="N502" s="4" t="str">
        <f ca="1">IF(OR(INDEX($AG$2:$AG$1001,MATCH(ROWS($AF$2:AF502),$AF$2:$AF$1001,0),1)&gt;=100000,INDEX($AM$1005:$BM$1005,1,MATCH(COLUMNS($AM$1006:AY1006),$AM$1006:$BM$1006,0))&gt;=100000), " ",IF(INDEX($AM$2:$BM$1001,MATCH(ROWS($AF$2:AF502),$AF$2:$AF$1001,0),MATCH(COLUMNS($AM$1006:AY1006),$AM$1006:$BM$1006,0)), HYPERLINK("#",""), HYPERLINK(CONCATENATE("#metadata!", ADDRESS(INDEX($AH$2:$AH$1001,MATCH(ROWS($AF$2:AF502),$AF$2:$AF$1001,0),0), INDEX($AM$1004:$BM$1004,1,MATCH(COLUMNS($AM$1006:AY1006),$AM$1006:$BM$1006,0)))),"Fix")))</f>
        <v xml:space="preserve"> </v>
      </c>
      <c r="O502" s="4" t="str">
        <f ca="1">IF(OR(INDEX($AG$2:$AG$1001,MATCH(ROWS($AF$2:AF502),$AF$2:$AF$1001,0),1)&gt;=100000,INDEX($AM$1005:$BM$1005,1,MATCH(COLUMNS($AM$1006:AZ1006),$AM$1006:$BM$1006,0))&gt;=100000), " ",IF(INDEX($AM$2:$BM$1001,MATCH(ROWS($AF$2:AF502),$AF$2:$AF$1001,0),MATCH(COLUMNS($AM$1006:AZ1006),$AM$1006:$BM$1006,0)), HYPERLINK("#",""), HYPERLINK(CONCATENATE("#metadata!", ADDRESS(INDEX($AH$2:$AH$1001,MATCH(ROWS($AF$2:AF502),$AF$2:$AF$1001,0),0), INDEX($AM$1004:$BM$1004,1,MATCH(COLUMNS($AM$1006:AZ1006),$AM$1006:$BM$1006,0)))),"Fix")))</f>
        <v xml:space="preserve"> </v>
      </c>
      <c r="P502" s="4" t="str">
        <f ca="1">IF(OR(INDEX($AG$2:$AG$1001,MATCH(ROWS($AF$2:AF502),$AF$2:$AF$1001,0),1)&gt;=100000,INDEX($AM$1005:$BM$1005,1,MATCH(COLUMNS($AM$1006:BA1006),$AM$1006:$BM$1006,0))&gt;=100000), " ",IF(INDEX($AM$2:$BM$1001,MATCH(ROWS($AF$2:AF502),$AF$2:$AF$1001,0),MATCH(COLUMNS($AM$1006:BA1006),$AM$1006:$BM$1006,0)), HYPERLINK("#",""), HYPERLINK(CONCATENATE("#metadata!", ADDRESS(INDEX($AH$2:$AH$1001,MATCH(ROWS($AF$2:AF502),$AF$2:$AF$1001,0),0), INDEX($AM$1004:$BM$1004,1,MATCH(COLUMNS($AM$1006:BA1006),$AM$1006:$BM$1006,0)))),"Fix")))</f>
        <v xml:space="preserve"> </v>
      </c>
      <c r="Q502" s="4" t="str">
        <f ca="1">IF(OR(INDEX($AG$2:$AG$1001,MATCH(ROWS($AF$2:AF502),$AF$2:$AF$1001,0),1)&gt;=100000,INDEX($AM$1005:$BM$1005,1,MATCH(COLUMNS($AM$1006:BB1006),$AM$1006:$BM$1006,0))&gt;=100000), " ",IF(INDEX($AM$2:$BM$1001,MATCH(ROWS($AF$2:AF502),$AF$2:$AF$1001,0),MATCH(COLUMNS($AM$1006:BB1006),$AM$1006:$BM$1006,0)), HYPERLINK("#",""), HYPERLINK(CONCATENATE("#metadata!", ADDRESS(INDEX($AH$2:$AH$1001,MATCH(ROWS($AF$2:AF502),$AF$2:$AF$1001,0),0), INDEX($AM$1004:$BM$1004,1,MATCH(COLUMNS($AM$1006:BB1006),$AM$1006:$BM$1006,0)))),"Fix")))</f>
        <v xml:space="preserve"> </v>
      </c>
      <c r="R502" s="4" t="str">
        <f ca="1">IF(OR(INDEX($AG$2:$AG$1001,MATCH(ROWS($AF$2:AF502),$AF$2:$AF$1001,0),1)&gt;=100000,INDEX($AM$1005:$BM$1005,1,MATCH(COLUMNS($AM$1006:BC1006),$AM$1006:$BM$1006,0))&gt;=100000), " ",IF(INDEX($AM$2:$BM$1001,MATCH(ROWS($AF$2:AF502),$AF$2:$AF$1001,0),MATCH(COLUMNS($AM$1006:BC1006),$AM$1006:$BM$1006,0)), HYPERLINK("#",""), HYPERLINK(CONCATENATE("#metadata!", ADDRESS(INDEX($AH$2:$AH$1001,MATCH(ROWS($AF$2:AF502),$AF$2:$AF$1001,0),0), INDEX($AM$1004:$BM$1004,1,MATCH(COLUMNS($AM$1006:BC1006),$AM$1006:$BM$1006,0)))),"Fix")))</f>
        <v xml:space="preserve"> </v>
      </c>
      <c r="S502" s="4" t="str">
        <f ca="1">IF(OR(INDEX($AG$2:$AG$1001,MATCH(ROWS($AF$2:AF502),$AF$2:$AF$1001,0),1)&gt;=100000,INDEX($AM$1005:$BM$1005,1,MATCH(COLUMNS($AM$1006:BD1006),$AM$1006:$BM$1006,0))&gt;=100000), " ",IF(INDEX($AM$2:$BM$1001,MATCH(ROWS($AF$2:AF502),$AF$2:$AF$1001,0),MATCH(COLUMNS($AM$1006:BD1006),$AM$1006:$BM$1006,0)), HYPERLINK("#",""), HYPERLINK(CONCATENATE("#metadata!", ADDRESS(INDEX($AH$2:$AH$1001,MATCH(ROWS($AF$2:AF502),$AF$2:$AF$1001,0),0), INDEX($AM$1004:$BM$1004,1,MATCH(COLUMNS($AM$1006:BD1006),$AM$1006:$BM$1006,0)))),"Fix")))</f>
        <v xml:space="preserve"> </v>
      </c>
      <c r="T502" s="4" t="str">
        <f ca="1">IF(OR(INDEX($AG$2:$AG$1001,MATCH(ROWS($AF$2:AF502),$AF$2:$AF$1001,0),1)&gt;=100000,INDEX($AM$1005:$BM$1005,1,MATCH(COLUMNS($AM$1006:BE1006),$AM$1006:$BM$1006,0))&gt;=100000), " ",IF(INDEX($AM$2:$BM$1001,MATCH(ROWS($AF$2:AF502),$AF$2:$AF$1001,0),MATCH(COLUMNS($AM$1006:BE1006),$AM$1006:$BM$1006,0)), HYPERLINK("#",""), HYPERLINK(CONCATENATE("#metadata!", ADDRESS(INDEX($AH$2:$AH$1001,MATCH(ROWS($AF$2:AF502),$AF$2:$AF$1001,0),0), INDEX($AM$1004:$BM$1004,1,MATCH(COLUMNS($AM$1006:BE1006),$AM$1006:$BM$1006,0)))),"Fix")))</f>
        <v xml:space="preserve"> </v>
      </c>
      <c r="U502" s="4" t="str">
        <f ca="1">IF(OR(INDEX($AG$2:$AG$1001,MATCH(ROWS($AF$2:AF502),$AF$2:$AF$1001,0),1)&gt;=100000,INDEX($AM$1005:$BM$1005,1,MATCH(COLUMNS($AM$1006:BF1006),$AM$1006:$BM$1006,0))&gt;=100000), " ",IF(INDEX($AM$2:$BM$1001,MATCH(ROWS($AF$2:AF502),$AF$2:$AF$1001,0),MATCH(COLUMNS($AM$1006:BF1006),$AM$1006:$BM$1006,0)), HYPERLINK("#",""), HYPERLINK(CONCATENATE("#metadata!", ADDRESS(INDEX($AH$2:$AH$1001,MATCH(ROWS($AF$2:AF502),$AF$2:$AF$1001,0),0), INDEX($AM$1004:$BM$1004,1,MATCH(COLUMNS($AM$1006:BF1006),$AM$1006:$BM$1006,0)))),"Fix")))</f>
        <v xml:space="preserve"> </v>
      </c>
      <c r="V502" s="4" t="str">
        <f ca="1">IF(OR(INDEX($AG$2:$AG$1001,MATCH(ROWS($AF$2:AF502),$AF$2:$AF$1001,0),1)&gt;=100000,INDEX($AM$1005:$BM$1005,1,MATCH(COLUMNS($AM$1006:BG1006),$AM$1006:$BM$1006,0))&gt;=100000), " ",IF(INDEX($AM$2:$BM$1001,MATCH(ROWS($AF$2:AF502),$AF$2:$AF$1001,0),MATCH(COLUMNS($AM$1006:BG1006),$AM$1006:$BM$1006,0)), HYPERLINK("#",""), HYPERLINK(CONCATENATE("#metadata!", ADDRESS(INDEX($AH$2:$AH$1001,MATCH(ROWS($AF$2:AF502),$AF$2:$AF$1001,0),0), INDEX($AM$1004:$BM$1004,1,MATCH(COLUMNS($AM$1006:BG1006),$AM$1006:$BM$1006,0)))),"Fix")))</f>
        <v xml:space="preserve"> </v>
      </c>
      <c r="W502" s="4" t="str">
        <f ca="1">IF(OR(INDEX($AG$2:$AG$1001,MATCH(ROWS($AF$2:AF502),$AF$2:$AF$1001,0),1)&gt;=100000,INDEX($AM$1005:$BM$1005,1,MATCH(COLUMNS($AM$1006:BH1006),$AM$1006:$BM$1006,0))&gt;=100000), " ",IF(INDEX($AM$2:$BM$1001,MATCH(ROWS($AF$2:AF502),$AF$2:$AF$1001,0),MATCH(COLUMNS($AM$1006:BH1006),$AM$1006:$BM$1006,0)), HYPERLINK("#",""), HYPERLINK(CONCATENATE("#metadata!", ADDRESS(INDEX($AH$2:$AH$1001,MATCH(ROWS($AF$2:AF502),$AF$2:$AF$1001,0),0), INDEX($AM$1004:$BM$1004,1,MATCH(COLUMNS($AM$1006:BH1006),$AM$1006:$BM$1006,0)))),"Fix")))</f>
        <v xml:space="preserve"> </v>
      </c>
      <c r="X502" s="4" t="str">
        <f ca="1">IF(OR(INDEX($AG$2:$AG$1001,MATCH(ROWS($AF$2:AF502),$AF$2:$AF$1001,0),1)&gt;=100000,INDEX($AM$1005:$BM$1005,1,MATCH(COLUMNS($AM$1006:BI1006),$AM$1006:$BM$1006,0))&gt;=100000), " ",IF(INDEX($AM$2:$BM$1001,MATCH(ROWS($AF$2:AF502),$AF$2:$AF$1001,0),MATCH(COLUMNS($AM$1006:BI1006),$AM$1006:$BM$1006,0)), HYPERLINK("#",""), HYPERLINK(CONCATENATE("#metadata!", ADDRESS(INDEX($AH$2:$AH$1001,MATCH(ROWS($AF$2:AF502),$AF$2:$AF$1001,0),0), INDEX($AM$1004:$BM$1004,1,MATCH(COLUMNS($AM$1006:BI1006),$AM$1006:$BM$1006,0)))),"Fix")))</f>
        <v xml:space="preserve"> </v>
      </c>
      <c r="Y502" s="4" t="str">
        <f ca="1">IF(OR(INDEX($AG$2:$AG$1001,MATCH(ROWS($AF$2:AF502),$AF$2:$AF$1001,0),1)&gt;=100000,INDEX($AM$1005:$BM$1005,1,MATCH(COLUMNS($AM$1006:BJ1006),$AM$1006:$BM$1006,0))&gt;=100000), " ",IF(INDEX($AM$2:$BM$1001,MATCH(ROWS($AF$2:AF502),$AF$2:$AF$1001,0),MATCH(COLUMNS($AM$1006:BJ1006),$AM$1006:$BM$1006,0)), HYPERLINK("#",""), HYPERLINK(CONCATENATE("#metadata!", ADDRESS(INDEX($AH$2:$AH$1001,MATCH(ROWS($AF$2:AF502),$AF$2:$AF$1001,0),0), INDEX($AM$1004:$BM$1004,1,MATCH(COLUMNS($AM$1006:BJ1006),$AM$1006:$BM$1006,0)))),"Fix")))</f>
        <v xml:space="preserve"> </v>
      </c>
      <c r="Z502" s="4" t="str">
        <f ca="1">IF(OR(INDEX($AG$2:$AG$1001,MATCH(ROWS($AF$2:AF502),$AF$2:$AF$1001,0),1)&gt;=100000,INDEX($AM$1005:$BM$1005,1,MATCH(COLUMNS($AM$1006:BK1006),$AM$1006:$BM$1006,0))&gt;=100000), " ",IF(INDEX($AM$2:$BM$1001,MATCH(ROWS($AF$2:AF502),$AF$2:$AF$1001,0),MATCH(COLUMNS($AM$1006:BK1006),$AM$1006:$BM$1006,0)), HYPERLINK("#",""), HYPERLINK(CONCATENATE("#metadata!", ADDRESS(INDEX($AH$2:$AH$1001,MATCH(ROWS($AF$2:AF502),$AF$2:$AF$1001,0),0), INDEX($AM$1004:$BM$1004,1,MATCH(COLUMNS($AM$1006:BK1006),$AM$1006:$BM$1006,0)))),"Fix")))</f>
        <v xml:space="preserve"> </v>
      </c>
      <c r="AA502" s="4" t="str">
        <f ca="1">IF(OR(INDEX($AG$2:$AG$1001,MATCH(ROWS($AF$2:AF502),$AF$2:$AF$1001,0),1)&gt;=100000,INDEX($AM$1005:$BM$1005,1,MATCH(COLUMNS($AM$1006:BL1006),$AM$1006:$BM$1006,0))&gt;=100000), " ",IF(INDEX($AM$2:$BM$1001,MATCH(ROWS($AF$2:AF502),$AF$2:$AF$1001,0),MATCH(COLUMNS($AM$1006:BL1006),$AM$1006:$BM$1006,0)), HYPERLINK("#",""), HYPERLINK(CONCATENATE("#metadata!", ADDRESS(INDEX($AH$2:$AH$1001,MATCH(ROWS($AF$2:AF502),$AF$2:$AF$1001,0),0), INDEX($AM$1004:$BM$1004,1,MATCH(COLUMNS($AM$1006:BL1006),$AM$1006:$BM$1006,0)))),"Fix")))</f>
        <v xml:space="preserve"> </v>
      </c>
      <c r="AB502" s="4" t="str">
        <f ca="1">IF(OR(INDEX($AG$2:$AG$1001,MATCH(ROWS($AF$2:AF502),$AF$2:$AF$1001,0),1)&gt;=100000,INDEX($AM$1005:$BM$1005,1,MATCH(COLUMNS($AM$1006:BM1006),$AM$1006:$BM$1006,0))&gt;=100000), " ",IF(INDEX($AM$2:$BM$1001,MATCH(ROWS($AF$2:AF502),$AF$2:$AF$1001,0),MATCH(COLUMNS($AM$1006:BM1006),$AM$1006:$BM$1006,0)), HYPERLINK("#",""), HYPERLINK(CONCATENATE("#metadata!", ADDRESS(INDEX($AH$2:$AH$1001,MATCH(ROWS($AF$2:AF502),$AF$2:$AF$1001,0),0), INDEX($AM$1004:$BM$1004,1,MATCH(COLUMNS($AM$1006:BM1006),$AM$1006:$BM$1006,0)))),"Fix")))</f>
        <v xml:space="preserve"> </v>
      </c>
      <c r="AF502">
        <v>501</v>
      </c>
      <c r="AG502">
        <v>100502</v>
      </c>
      <c r="AH502">
        <v>502</v>
      </c>
      <c r="AI502" t="b">
        <f t="shared" si="7"/>
        <v>1</v>
      </c>
      <c r="AJ502" t="b">
        <f>COUNTBLANK(metadata!B502:AB502)=COLUMNS(metadata!B502:AB502)</f>
        <v>1</v>
      </c>
      <c r="AK502" t="str">
        <v/>
      </c>
      <c r="AM502" t="b">
        <f ca="1">AND(IF(metadata!B502="",FALSE,TRUE),COUNTIF(metadata!B:B, metadata!B502) = 1,NOT(ISERROR(SUMPRODUCT(SEARCH(MID(metadata!B502,ROW(INDIRECT("1:"&amp;LEN(metadata!B502))), 1),"0123456789abcdefghijklmnopqrstuvwxyzABCDEFGHIJKLMNOPQRSTUVWXYZ.")))))</f>
        <v>0</v>
      </c>
      <c r="AN502" t="b">
        <f ca="1">OR(AND(IF(metadata!C502="",FALSE,TRUE),OR(EXACT(metadata!C502,"missing: not collected"),EXACT(metadata!C502,"missing: not provided"),EXACT(metadata!C502,"missing: restricted access"))),AND(IF(metadata!C502="",FALSE,TRUE),AND(AND(IFERROR(INT(LEFT(metadata!C502,4))&gt;1900,FALSE),IFERROR(INT(LEFT(metadata!C502,4))&lt;=YEAR(NOW()),FALSE)), OR(MID(metadata!C502,5,1)="", AND(AND(MID(metadata!C502,5,1)="-",IFERROR(INT(MID(metadata!C502,6,1))&gt;=0,FALSE),IFERROR(INT(MID(metadata!C502,6,1))&lt;=1,FALSE),NOT(MID(metadata!C502,7,1)=""),IFERROR(INT(MID(metadata!C502,6,2))&gt;=1,FALSE),IFERROR(INT(MID(metadata!C502,6,2))&lt;=12,FALSE)), OR(MID(metadata!C502,8,1)="", AND(AND(MID(metadata!C502,8,1)="-",IFERROR(INT(MID(metadata!C502,9,1))&gt;=0,FALSE),IFERROR(INT(MID(metadata!C502,9,1))&lt;=3,FALSE),NOT(MID(metadata!C502,10,1)=""),IFERROR(INT(MID(metadata!C502,9,2))&gt;=1,FALSE),IFERROR(INT(MID(metadata!C502,9,2))&lt;=31,FALSE)), OR(MID(metadata!C502,11,1)="", AND(AND(MID(metadata!C502,11,1)=" ",IFERROR(INT(MID(metadata!C502,12,1))&gt;=0,FALSE),IFERROR(INT(MID(metadata!C502,12,1))&lt;=2,FALSE),NOT(MID(metadata!C502,13,1)=""),IFERROR(INT(MID(metadata!C502,12,2))&gt;=0,FALSE),IFERROR(INT(MID(metadata!C502,12,2))&lt;=23,FALSE)), OR(MID(metadata!C502,14,1)="", AND(AND(MID(metadata!C502,14,1)=":",IFERROR(INT(MID(metadata!C502,15,1))&gt;=0,FALSE),IFERROR(INT(MID(metadata!C502,15,1))&lt;=5,FALSE),NOT(MID(metadata!C502,16,1)=""),IFERROR(INT(MID(metadata!C502,15,2))&gt;=0,FALSE),IFERROR(INT(MID(metadata!C502,15,2))&lt;=59,FALSE)), OR(MID(metadata!C502,17,1)="", AND(AND(MID(metadata!C502,17,1)=":",IFERROR(INT(MID(metadata!C502,18,1))&gt;=0,FALSE),IFERROR(INT(MID(metadata!C502,18,1))&lt;=5,FALSE),NOT(MID(metadata!C502,19,1)=""),IFERROR(INT(MID(metadata!C502,18,2))&gt;=0,FALSE),IFERROR(INT(MID(metadata!C502,18,2))&lt;=59,FALSE)), LEN(metadata!C502)&lt;=19)))))))))))))</f>
        <v>0</v>
      </c>
      <c r="AO502" t="b">
        <f>AND(IF(metadata!D502="",FALSE,TRUE),EXACT(metadata!D502,"Not applicable"))</f>
        <v>0</v>
      </c>
      <c r="AP502" t="b">
        <f>IF(metadata!E502="",FALSE,TRUE)</f>
        <v>0</v>
      </c>
      <c r="AQ502" t="b">
        <f>OR(AND(IF(metadata!F502="",FALSE,TRUE),OR(EXACT(metadata!F502,"missing: not collected"),EXACT(metadata!F502,"missing: not provided"))),AND(IF(metadata!F502="",FALSE,TRUE),OR(EXACT(metadata!F502,"TRUE"),EXACT(metadata!F502,"FALSE"))))</f>
        <v>0</v>
      </c>
      <c r="AR502" t="b">
        <f>OR(AND(IF(metadata!G502="",FALSE,TRUE),OR(EXACT(metadata!G502,"missing: not collected"),EXACT(metadata!G502,"missing: not provided"),EXACT(metadata!G502,"missing: restricted access"))),AND(IF(metadata!G502="",FALSE,ISNUMBER(VALUE(metadata!G502))),metadata!G502&gt;=-413))</f>
        <v>0</v>
      </c>
      <c r="AS502" t="b">
        <f>AND(IF(metadata!H502="",FALSE,TRUE),EXACT(metadata!H502,"meters"))</f>
        <v>0</v>
      </c>
      <c r="AT502" t="b">
        <f>AND(IF(metadata!I502="",FALSE,TRUE),OR(EXACT(metadata!I502,"Host-associated"),EXACT(metadata!I502,"Free-living")))</f>
        <v>0</v>
      </c>
      <c r="AU502" t="b">
        <f>AND(IF(metadata!J502="",FALSE,TRUE),OR(EXACT(metadata!J502,"Animal"),EXACT(metadata!J502,"Fungus"),EXACT(metadata!J502,"Plant"),EXACT(metadata!J502,"Saline"),EXACT(metadata!J502,"Non-saline")))</f>
        <v>0</v>
      </c>
      <c r="AV502" t="b">
        <f>AND(IF(metadata!K502="",FALSE,TRUE),OR(EXACT(metadata!K502,"Plant secretion"),EXACT(metadata!K502,"Plant rhizosphere"),EXACT(metadata!K502,"Plant surface"),EXACT(metadata!K502,"Plant corpus"),EXACT(metadata!K502,"Fungus surface"),EXACT(metadata!K502,"Fungus corpus"),EXACT(metadata!K502,"Animal surface"),EXACT(metadata!K502,"Animal proximal gut"),EXACT(metadata!K502,"Animal corpus"),EXACT(metadata!K502,"Animal distal gut"),EXACT(metadata!K502,"Animal secretion"),EXACT(metadata!K502,"Sub-surface (non-saline)"),EXACT(metadata!K502,"Surface (non-saline)"),EXACT(metadata!K502,"Water (non-saline)"),EXACT(metadata!K502,"Soil (non-saline)"),EXACT(metadata!K502,"Aerosol (non-saline)"),EXACT(metadata!K502,"Sediment (non-saline)"),EXACT(metadata!K502,"Surface (saline)"),EXACT(metadata!K502,"Water (saline)"),EXACT(metadata!K502,"Hypersaline (saline)"),EXACT(metadata!K502,"Aerosol (saline)"),EXACT(metadata!K502,"Sediment (saline)")))</f>
        <v>0</v>
      </c>
      <c r="AW502" t="b">
        <f>IF(metadata!L502="",FALSE,TRUE)</f>
        <v>0</v>
      </c>
      <c r="AX502" t="b">
        <f>IF(metadata!M502="",FALSE,TRUE)</f>
        <v>0</v>
      </c>
      <c r="AY502" t="b">
        <f>IF(metadata!N502="",FALSE,TRUE)</f>
        <v>0</v>
      </c>
      <c r="AZ502" t="b">
        <f>OR(AND(IF(metadata!O502="",FALSE,TRUE),OR(EXACT(metadata!O502,"missing: not collected"),EXACT(metadata!O502,"missing: not provided"),EXACT(metadata!O502,"missing: restricted access"))),AND(IF(metadata!O502="",FALSE,TRUE),OR(EXACT(metadata!O502,"air"),EXACT(metadata!O502,"built environment"),EXACT(metadata!O502,"host-associated"),EXACT(metadata!O502,"human-associated"),EXACT(metadata!O502,"human-skin"),EXACT(metadata!O502,"human-oral"),EXACT(metadata!O502,"human-gut"),EXACT(metadata!O502,"human-vaginal"),EXACT(metadata!O502,"microbial mat/biofilm"),EXACT(metadata!O502,"misc environment"),EXACT(metadata!O502,"plant-associated"),EXACT(metadata!O502,"sediment"),EXACT(metadata!O502,"soil"),EXACT(metadata!O502,"wastewater/sludge"),EXACT(metadata!O502,"water"))))</f>
        <v>0</v>
      </c>
      <c r="BA502" t="b">
        <f>IF(metadata!P502="",FALSE,TRUE)</f>
        <v>0</v>
      </c>
      <c r="BB502" t="b">
        <f>IF(metadata!Q502="",FALSE,TRUE)</f>
        <v>0</v>
      </c>
      <c r="BC502" t="b">
        <f>OR(AND(IF(metadata!R502="",FALSE,TRUE),OR(EXACT(metadata!R502,"missing: not collected"),EXACT(metadata!R502,"missing: not provided"),EXACT(metadata!R502,"missing: restricted access"))),AND(IF(metadata!R502="",FALSE,ISNUMBER(VALUE(metadata!R502))),metadata!R502&gt;=-90,metadata!R502&lt;=90))</f>
        <v>0</v>
      </c>
      <c r="BD502" t="b">
        <f>AND(IF(metadata!S502="",FALSE,TRUE),EXACT(metadata!S502,"Decimal degrees"))</f>
        <v>0</v>
      </c>
      <c r="BE502" t="b">
        <f>OR(AND(IF(metadata!T502="",FALSE,TRUE),OR(EXACT(metadata!T502,"missing: not collected"),EXACT(metadata!T502,"missing: not provided"),EXACT(metadata!T502,"missing: restricted access"))),AND(IF(metadata!T502="",FALSE,ISNUMBER(VALUE(metadata!T502))),metadata!T502&gt;=-180,metadata!T502&lt;=180))</f>
        <v>0</v>
      </c>
      <c r="BF502" t="b">
        <f>AND(IF(metadata!U502="",FALSE,TRUE),EXACT(metadata!U502,"Decimal degrees"))</f>
        <v>0</v>
      </c>
      <c r="BG502" t="b">
        <f>IF(metadata!V502="",FALSE,TRUE)</f>
        <v>0</v>
      </c>
      <c r="BH502" t="b">
        <f>OR(AND(IF(metadata!W502="",FALSE,TRUE),OR(EXACT(metadata!W502,"missing: not collected"),EXACT(metadata!W502,"missing: not provided"),EXACT(metadata!W502,"missing: restricted access"))),AND(IF(metadata!W502="",FALSE,TRUE),OR(EXACT(metadata!W502,"TRUE"),EXACT(metadata!W502,"FALSE"))))</f>
        <v>0</v>
      </c>
      <c r="BI502" t="b">
        <f>AND(IF(metadata!X502="",FALSE,TRUE),EXACT(metadata!X502,"other"))</f>
        <v>0</v>
      </c>
      <c r="BJ502" t="b">
        <f>IF(metadata!Y502="",FALSE,TRUE)</f>
        <v>0</v>
      </c>
      <c r="BK502" t="b">
        <f>OR(AND(IF(metadata!Z502="",FALSE,TRUE),OR(EXACT(metadata!Z502,"missing: not collected"),EXACT(metadata!Z502,"missing: not provided"))),AND(IF(metadata!Z502="",FALSE,IF(ISERROR(INT(metadata!Z502)),FALSE,INT(metadata!Z502)=metadata!Z502)),metadata!Z502&gt;0))</f>
        <v>0</v>
      </c>
      <c r="BL502" t="b">
        <f>AND(IF(metadata!AA502="",FALSE,TRUE),EXACT(metadata!AA502,"Not applicable"))</f>
        <v>0</v>
      </c>
      <c r="BM502" t="b">
        <f>IF(metadata!AB502="",FALSE,TRUE)</f>
        <v>0</v>
      </c>
    </row>
    <row r="503" spans="1:65" x14ac:dyDescent="0.2">
      <c r="A503" s="5" t="str">
        <f ca="1">IF(B503=" "," ",HYPERLINK(CONCATENATE("#metadata!",ADDRESS(INDEX($AH$2:$AH$1001,MATCH(ROWS($AF$2:AF503),$AF$2:$AF$1001,0),0),1)),INDEX($AK$2:$AK$1001,MATCH(ROWS($AF$2:AF503),$AF$2:$AF$1001,0),0)))</f>
        <v xml:space="preserve"> </v>
      </c>
      <c r="B503" s="4" t="str">
        <f ca="1">IF(OR(INDEX($AG$2:$AG$1001,MATCH(ROWS($AF$2:AF503),$AF$2:$AF$1001,0),1)&gt;=100000,INDEX($AM$1005:$BM$1005,1,MATCH(COLUMNS($AM$1006:AM1006),$AM$1006:$BM$1006,0))&gt;=100000), " ",IF(INDEX($AM$2:$BM$1001,MATCH(ROWS($AF$2:AF503),$AF$2:$AF$1001,0),MATCH(COLUMNS($AM$1006:AM1006),$AM$1006:$BM$1006,0)), HYPERLINK("#",""), HYPERLINK(CONCATENATE("#metadata!", ADDRESS(INDEX($AH$2:$AH$1001,MATCH(ROWS($AF$2:AF503),$AF$2:$AF$1001,0),0), INDEX($AM$1004:$BM$1004,1,MATCH(COLUMNS($AM$1006:AM1006),$AM$1006:$BM$1006,0)))),"Fix")))</f>
        <v xml:space="preserve"> </v>
      </c>
      <c r="C503" s="4" t="str">
        <f ca="1">IF(OR(INDEX($AG$2:$AG$1001,MATCH(ROWS($AF$2:AF503),$AF$2:$AF$1001,0),1)&gt;=100000,INDEX($AM$1005:$BM$1005,1,MATCH(COLUMNS($AM$1006:AN1006),$AM$1006:$BM$1006,0))&gt;=100000), " ",IF(INDEX($AM$2:$BM$1001,MATCH(ROWS($AF$2:AF503),$AF$2:$AF$1001,0),MATCH(COLUMNS($AM$1006:AN1006),$AM$1006:$BM$1006,0)), HYPERLINK("#",""), HYPERLINK(CONCATENATE("#metadata!", ADDRESS(INDEX($AH$2:$AH$1001,MATCH(ROWS($AF$2:AF503),$AF$2:$AF$1001,0),0), INDEX($AM$1004:$BM$1004,1,MATCH(COLUMNS($AM$1006:AN1006),$AM$1006:$BM$1006,0)))),"Fix")))</f>
        <v xml:space="preserve"> </v>
      </c>
      <c r="D503" s="4" t="str">
        <f ca="1">IF(OR(INDEX($AG$2:$AG$1001,MATCH(ROWS($AF$2:AF503),$AF$2:$AF$1001,0),1)&gt;=100000,INDEX($AM$1005:$BM$1005,1,MATCH(COLUMNS($AM$1006:AO1006),$AM$1006:$BM$1006,0))&gt;=100000), " ",IF(INDEX($AM$2:$BM$1001,MATCH(ROWS($AF$2:AF503),$AF$2:$AF$1001,0),MATCH(COLUMNS($AM$1006:AO1006),$AM$1006:$BM$1006,0)), HYPERLINK("#",""), HYPERLINK(CONCATENATE("#metadata!", ADDRESS(INDEX($AH$2:$AH$1001,MATCH(ROWS($AF$2:AF503),$AF$2:$AF$1001,0),0), INDEX($AM$1004:$BM$1004,1,MATCH(COLUMNS($AM$1006:AO1006),$AM$1006:$BM$1006,0)))),"Fix")))</f>
        <v xml:space="preserve"> </v>
      </c>
      <c r="E503" s="4" t="str">
        <f ca="1">IF(OR(INDEX($AG$2:$AG$1001,MATCH(ROWS($AF$2:AF503),$AF$2:$AF$1001,0),1)&gt;=100000,INDEX($AM$1005:$BM$1005,1,MATCH(COLUMNS($AM$1006:AP1006),$AM$1006:$BM$1006,0))&gt;=100000), " ",IF(INDEX($AM$2:$BM$1001,MATCH(ROWS($AF$2:AF503),$AF$2:$AF$1001,0),MATCH(COLUMNS($AM$1006:AP1006),$AM$1006:$BM$1006,0)), HYPERLINK("#",""), HYPERLINK(CONCATENATE("#metadata!", ADDRESS(INDEX($AH$2:$AH$1001,MATCH(ROWS($AF$2:AF503),$AF$2:$AF$1001,0),0), INDEX($AM$1004:$BM$1004,1,MATCH(COLUMNS($AM$1006:AP1006),$AM$1006:$BM$1006,0)))),"Fix")))</f>
        <v xml:space="preserve"> </v>
      </c>
      <c r="F503" s="4" t="str">
        <f ca="1">IF(OR(INDEX($AG$2:$AG$1001,MATCH(ROWS($AF$2:AF503),$AF$2:$AF$1001,0),1)&gt;=100000,INDEX($AM$1005:$BM$1005,1,MATCH(COLUMNS($AM$1006:AQ1006),$AM$1006:$BM$1006,0))&gt;=100000), " ",IF(INDEX($AM$2:$BM$1001,MATCH(ROWS($AF$2:AF503),$AF$2:$AF$1001,0),MATCH(COLUMNS($AM$1006:AQ1006),$AM$1006:$BM$1006,0)), HYPERLINK("#",""), HYPERLINK(CONCATENATE("#metadata!", ADDRESS(INDEX($AH$2:$AH$1001,MATCH(ROWS($AF$2:AF503),$AF$2:$AF$1001,0),0), INDEX($AM$1004:$BM$1004,1,MATCH(COLUMNS($AM$1006:AQ1006),$AM$1006:$BM$1006,0)))),"Fix")))</f>
        <v xml:space="preserve"> </v>
      </c>
      <c r="G503" s="4" t="str">
        <f ca="1">IF(OR(INDEX($AG$2:$AG$1001,MATCH(ROWS($AF$2:AF503),$AF$2:$AF$1001,0),1)&gt;=100000,INDEX($AM$1005:$BM$1005,1,MATCH(COLUMNS($AM$1006:AR1006),$AM$1006:$BM$1006,0))&gt;=100000), " ",IF(INDEX($AM$2:$BM$1001,MATCH(ROWS($AF$2:AF503),$AF$2:$AF$1001,0),MATCH(COLUMNS($AM$1006:AR1006),$AM$1006:$BM$1006,0)), HYPERLINK("#",""), HYPERLINK(CONCATENATE("#metadata!", ADDRESS(INDEX($AH$2:$AH$1001,MATCH(ROWS($AF$2:AF503),$AF$2:$AF$1001,0),0), INDEX($AM$1004:$BM$1004,1,MATCH(COLUMNS($AM$1006:AR1006),$AM$1006:$BM$1006,0)))),"Fix")))</f>
        <v xml:space="preserve"> </v>
      </c>
      <c r="H503" s="4" t="str">
        <f ca="1">IF(OR(INDEX($AG$2:$AG$1001,MATCH(ROWS($AF$2:AF503),$AF$2:$AF$1001,0),1)&gt;=100000,INDEX($AM$1005:$BM$1005,1,MATCH(COLUMNS($AM$1006:AS1006),$AM$1006:$BM$1006,0))&gt;=100000), " ",IF(INDEX($AM$2:$BM$1001,MATCH(ROWS($AF$2:AF503),$AF$2:$AF$1001,0),MATCH(COLUMNS($AM$1006:AS1006),$AM$1006:$BM$1006,0)), HYPERLINK("#",""), HYPERLINK(CONCATENATE("#metadata!", ADDRESS(INDEX($AH$2:$AH$1001,MATCH(ROWS($AF$2:AF503),$AF$2:$AF$1001,0),0), INDEX($AM$1004:$BM$1004,1,MATCH(COLUMNS($AM$1006:AS1006),$AM$1006:$BM$1006,0)))),"Fix")))</f>
        <v xml:space="preserve"> </v>
      </c>
      <c r="I503" s="4" t="str">
        <f ca="1">IF(OR(INDEX($AG$2:$AG$1001,MATCH(ROWS($AF$2:AF503),$AF$2:$AF$1001,0),1)&gt;=100000,INDEX($AM$1005:$BM$1005,1,MATCH(COLUMNS($AM$1006:AT1006),$AM$1006:$BM$1006,0))&gt;=100000), " ",IF(INDEX($AM$2:$BM$1001,MATCH(ROWS($AF$2:AF503),$AF$2:$AF$1001,0),MATCH(COLUMNS($AM$1006:AT1006),$AM$1006:$BM$1006,0)), HYPERLINK("#",""), HYPERLINK(CONCATENATE("#metadata!", ADDRESS(INDEX($AH$2:$AH$1001,MATCH(ROWS($AF$2:AF503),$AF$2:$AF$1001,0),0), INDEX($AM$1004:$BM$1004,1,MATCH(COLUMNS($AM$1006:AT1006),$AM$1006:$BM$1006,0)))),"Fix")))</f>
        <v xml:space="preserve"> </v>
      </c>
      <c r="J503" s="4" t="str">
        <f ca="1">IF(OR(INDEX($AG$2:$AG$1001,MATCH(ROWS($AF$2:AF503),$AF$2:$AF$1001,0),1)&gt;=100000,INDEX($AM$1005:$BM$1005,1,MATCH(COLUMNS($AM$1006:AU1006),$AM$1006:$BM$1006,0))&gt;=100000), " ",IF(INDEX($AM$2:$BM$1001,MATCH(ROWS($AF$2:AF503),$AF$2:$AF$1001,0),MATCH(COLUMNS($AM$1006:AU1006),$AM$1006:$BM$1006,0)), HYPERLINK("#",""), HYPERLINK(CONCATENATE("#metadata!", ADDRESS(INDEX($AH$2:$AH$1001,MATCH(ROWS($AF$2:AF503),$AF$2:$AF$1001,0),0), INDEX($AM$1004:$BM$1004,1,MATCH(COLUMNS($AM$1006:AU1006),$AM$1006:$BM$1006,0)))),"Fix")))</f>
        <v xml:space="preserve"> </v>
      </c>
      <c r="K503" s="4" t="str">
        <f ca="1">IF(OR(INDEX($AG$2:$AG$1001,MATCH(ROWS($AF$2:AF503),$AF$2:$AF$1001,0),1)&gt;=100000,INDEX($AM$1005:$BM$1005,1,MATCH(COLUMNS($AM$1006:AV1006),$AM$1006:$BM$1006,0))&gt;=100000), " ",IF(INDEX($AM$2:$BM$1001,MATCH(ROWS($AF$2:AF503),$AF$2:$AF$1001,0),MATCH(COLUMNS($AM$1006:AV1006),$AM$1006:$BM$1006,0)), HYPERLINK("#",""), HYPERLINK(CONCATENATE("#metadata!", ADDRESS(INDEX($AH$2:$AH$1001,MATCH(ROWS($AF$2:AF503),$AF$2:$AF$1001,0),0), INDEX($AM$1004:$BM$1004,1,MATCH(COLUMNS($AM$1006:AV1006),$AM$1006:$BM$1006,0)))),"Fix")))</f>
        <v xml:space="preserve"> </v>
      </c>
      <c r="L503" s="4" t="str">
        <f ca="1">IF(OR(INDEX($AG$2:$AG$1001,MATCH(ROWS($AF$2:AF503),$AF$2:$AF$1001,0),1)&gt;=100000,INDEX($AM$1005:$BM$1005,1,MATCH(COLUMNS($AM$1006:AW1006),$AM$1006:$BM$1006,0))&gt;=100000), " ",IF(INDEX($AM$2:$BM$1001,MATCH(ROWS($AF$2:AF503),$AF$2:$AF$1001,0),MATCH(COLUMNS($AM$1006:AW1006),$AM$1006:$BM$1006,0)), HYPERLINK("#",""), HYPERLINK(CONCATENATE("#metadata!", ADDRESS(INDEX($AH$2:$AH$1001,MATCH(ROWS($AF$2:AF503),$AF$2:$AF$1001,0),0), INDEX($AM$1004:$BM$1004,1,MATCH(COLUMNS($AM$1006:AW1006),$AM$1006:$BM$1006,0)))),"Fix")))</f>
        <v xml:space="preserve"> </v>
      </c>
      <c r="M503" s="4" t="str">
        <f ca="1">IF(OR(INDEX($AG$2:$AG$1001,MATCH(ROWS($AF$2:AF503),$AF$2:$AF$1001,0),1)&gt;=100000,INDEX($AM$1005:$BM$1005,1,MATCH(COLUMNS($AM$1006:AX1006),$AM$1006:$BM$1006,0))&gt;=100000), " ",IF(INDEX($AM$2:$BM$1001,MATCH(ROWS($AF$2:AF503),$AF$2:$AF$1001,0),MATCH(COLUMNS($AM$1006:AX1006),$AM$1006:$BM$1006,0)), HYPERLINK("#",""), HYPERLINK(CONCATENATE("#metadata!", ADDRESS(INDEX($AH$2:$AH$1001,MATCH(ROWS($AF$2:AF503),$AF$2:$AF$1001,0),0), INDEX($AM$1004:$BM$1004,1,MATCH(COLUMNS($AM$1006:AX1006),$AM$1006:$BM$1006,0)))),"Fix")))</f>
        <v xml:space="preserve"> </v>
      </c>
      <c r="N503" s="4" t="str">
        <f ca="1">IF(OR(INDEX($AG$2:$AG$1001,MATCH(ROWS($AF$2:AF503),$AF$2:$AF$1001,0),1)&gt;=100000,INDEX($AM$1005:$BM$1005,1,MATCH(COLUMNS($AM$1006:AY1006),$AM$1006:$BM$1006,0))&gt;=100000), " ",IF(INDEX($AM$2:$BM$1001,MATCH(ROWS($AF$2:AF503),$AF$2:$AF$1001,0),MATCH(COLUMNS($AM$1006:AY1006),$AM$1006:$BM$1006,0)), HYPERLINK("#",""), HYPERLINK(CONCATENATE("#metadata!", ADDRESS(INDEX($AH$2:$AH$1001,MATCH(ROWS($AF$2:AF503),$AF$2:$AF$1001,0),0), INDEX($AM$1004:$BM$1004,1,MATCH(COLUMNS($AM$1006:AY1006),$AM$1006:$BM$1006,0)))),"Fix")))</f>
        <v xml:space="preserve"> </v>
      </c>
      <c r="O503" s="4" t="str">
        <f ca="1">IF(OR(INDEX($AG$2:$AG$1001,MATCH(ROWS($AF$2:AF503),$AF$2:$AF$1001,0),1)&gt;=100000,INDEX($AM$1005:$BM$1005,1,MATCH(COLUMNS($AM$1006:AZ1006),$AM$1006:$BM$1006,0))&gt;=100000), " ",IF(INDEX($AM$2:$BM$1001,MATCH(ROWS($AF$2:AF503),$AF$2:$AF$1001,0),MATCH(COLUMNS($AM$1006:AZ1006),$AM$1006:$BM$1006,0)), HYPERLINK("#",""), HYPERLINK(CONCATENATE("#metadata!", ADDRESS(INDEX($AH$2:$AH$1001,MATCH(ROWS($AF$2:AF503),$AF$2:$AF$1001,0),0), INDEX($AM$1004:$BM$1004,1,MATCH(COLUMNS($AM$1006:AZ1006),$AM$1006:$BM$1006,0)))),"Fix")))</f>
        <v xml:space="preserve"> </v>
      </c>
      <c r="P503" s="4" t="str">
        <f ca="1">IF(OR(INDEX($AG$2:$AG$1001,MATCH(ROWS($AF$2:AF503),$AF$2:$AF$1001,0),1)&gt;=100000,INDEX($AM$1005:$BM$1005,1,MATCH(COLUMNS($AM$1006:BA1006),$AM$1006:$BM$1006,0))&gt;=100000), " ",IF(INDEX($AM$2:$BM$1001,MATCH(ROWS($AF$2:AF503),$AF$2:$AF$1001,0),MATCH(COLUMNS($AM$1006:BA1006),$AM$1006:$BM$1006,0)), HYPERLINK("#",""), HYPERLINK(CONCATENATE("#metadata!", ADDRESS(INDEX($AH$2:$AH$1001,MATCH(ROWS($AF$2:AF503),$AF$2:$AF$1001,0),0), INDEX($AM$1004:$BM$1004,1,MATCH(COLUMNS($AM$1006:BA1006),$AM$1006:$BM$1006,0)))),"Fix")))</f>
        <v xml:space="preserve"> </v>
      </c>
      <c r="Q503" s="4" t="str">
        <f ca="1">IF(OR(INDEX($AG$2:$AG$1001,MATCH(ROWS($AF$2:AF503),$AF$2:$AF$1001,0),1)&gt;=100000,INDEX($AM$1005:$BM$1005,1,MATCH(COLUMNS($AM$1006:BB1006),$AM$1006:$BM$1006,0))&gt;=100000), " ",IF(INDEX($AM$2:$BM$1001,MATCH(ROWS($AF$2:AF503),$AF$2:$AF$1001,0),MATCH(COLUMNS($AM$1006:BB1006),$AM$1006:$BM$1006,0)), HYPERLINK("#",""), HYPERLINK(CONCATENATE("#metadata!", ADDRESS(INDEX($AH$2:$AH$1001,MATCH(ROWS($AF$2:AF503),$AF$2:$AF$1001,0),0), INDEX($AM$1004:$BM$1004,1,MATCH(COLUMNS($AM$1006:BB1006),$AM$1006:$BM$1006,0)))),"Fix")))</f>
        <v xml:space="preserve"> </v>
      </c>
      <c r="R503" s="4" t="str">
        <f ca="1">IF(OR(INDEX($AG$2:$AG$1001,MATCH(ROWS($AF$2:AF503),$AF$2:$AF$1001,0),1)&gt;=100000,INDEX($AM$1005:$BM$1005,1,MATCH(COLUMNS($AM$1006:BC1006),$AM$1006:$BM$1006,0))&gt;=100000), " ",IF(INDEX($AM$2:$BM$1001,MATCH(ROWS($AF$2:AF503),$AF$2:$AF$1001,0),MATCH(COLUMNS($AM$1006:BC1006),$AM$1006:$BM$1006,0)), HYPERLINK("#",""), HYPERLINK(CONCATENATE("#metadata!", ADDRESS(INDEX($AH$2:$AH$1001,MATCH(ROWS($AF$2:AF503),$AF$2:$AF$1001,0),0), INDEX($AM$1004:$BM$1004,1,MATCH(COLUMNS($AM$1006:BC1006),$AM$1006:$BM$1006,0)))),"Fix")))</f>
        <v xml:space="preserve"> </v>
      </c>
      <c r="S503" s="4" t="str">
        <f ca="1">IF(OR(INDEX($AG$2:$AG$1001,MATCH(ROWS($AF$2:AF503),$AF$2:$AF$1001,0),1)&gt;=100000,INDEX($AM$1005:$BM$1005,1,MATCH(COLUMNS($AM$1006:BD1006),$AM$1006:$BM$1006,0))&gt;=100000), " ",IF(INDEX($AM$2:$BM$1001,MATCH(ROWS($AF$2:AF503),$AF$2:$AF$1001,0),MATCH(COLUMNS($AM$1006:BD1006),$AM$1006:$BM$1006,0)), HYPERLINK("#",""), HYPERLINK(CONCATENATE("#metadata!", ADDRESS(INDEX($AH$2:$AH$1001,MATCH(ROWS($AF$2:AF503),$AF$2:$AF$1001,0),0), INDEX($AM$1004:$BM$1004,1,MATCH(COLUMNS($AM$1006:BD1006),$AM$1006:$BM$1006,0)))),"Fix")))</f>
        <v xml:space="preserve"> </v>
      </c>
      <c r="T503" s="4" t="str">
        <f ca="1">IF(OR(INDEX($AG$2:$AG$1001,MATCH(ROWS($AF$2:AF503),$AF$2:$AF$1001,0),1)&gt;=100000,INDEX($AM$1005:$BM$1005,1,MATCH(COLUMNS($AM$1006:BE1006),$AM$1006:$BM$1006,0))&gt;=100000), " ",IF(INDEX($AM$2:$BM$1001,MATCH(ROWS($AF$2:AF503),$AF$2:$AF$1001,0),MATCH(COLUMNS($AM$1006:BE1006),$AM$1006:$BM$1006,0)), HYPERLINK("#",""), HYPERLINK(CONCATENATE("#metadata!", ADDRESS(INDEX($AH$2:$AH$1001,MATCH(ROWS($AF$2:AF503),$AF$2:$AF$1001,0),0), INDEX($AM$1004:$BM$1004,1,MATCH(COLUMNS($AM$1006:BE1006),$AM$1006:$BM$1006,0)))),"Fix")))</f>
        <v xml:space="preserve"> </v>
      </c>
      <c r="U503" s="4" t="str">
        <f ca="1">IF(OR(INDEX($AG$2:$AG$1001,MATCH(ROWS($AF$2:AF503),$AF$2:$AF$1001,0),1)&gt;=100000,INDEX($AM$1005:$BM$1005,1,MATCH(COLUMNS($AM$1006:BF1006),$AM$1006:$BM$1006,0))&gt;=100000), " ",IF(INDEX($AM$2:$BM$1001,MATCH(ROWS($AF$2:AF503),$AF$2:$AF$1001,0),MATCH(COLUMNS($AM$1006:BF1006),$AM$1006:$BM$1006,0)), HYPERLINK("#",""), HYPERLINK(CONCATENATE("#metadata!", ADDRESS(INDEX($AH$2:$AH$1001,MATCH(ROWS($AF$2:AF503),$AF$2:$AF$1001,0),0), INDEX($AM$1004:$BM$1004,1,MATCH(COLUMNS($AM$1006:BF1006),$AM$1006:$BM$1006,0)))),"Fix")))</f>
        <v xml:space="preserve"> </v>
      </c>
      <c r="V503" s="4" t="str">
        <f ca="1">IF(OR(INDEX($AG$2:$AG$1001,MATCH(ROWS($AF$2:AF503),$AF$2:$AF$1001,0),1)&gt;=100000,INDEX($AM$1005:$BM$1005,1,MATCH(COLUMNS($AM$1006:BG1006),$AM$1006:$BM$1006,0))&gt;=100000), " ",IF(INDEX($AM$2:$BM$1001,MATCH(ROWS($AF$2:AF503),$AF$2:$AF$1001,0),MATCH(COLUMNS($AM$1006:BG1006),$AM$1006:$BM$1006,0)), HYPERLINK("#",""), HYPERLINK(CONCATENATE("#metadata!", ADDRESS(INDEX($AH$2:$AH$1001,MATCH(ROWS($AF$2:AF503),$AF$2:$AF$1001,0),0), INDEX($AM$1004:$BM$1004,1,MATCH(COLUMNS($AM$1006:BG1006),$AM$1006:$BM$1006,0)))),"Fix")))</f>
        <v xml:space="preserve"> </v>
      </c>
      <c r="W503" s="4" t="str">
        <f ca="1">IF(OR(INDEX($AG$2:$AG$1001,MATCH(ROWS($AF$2:AF503),$AF$2:$AF$1001,0),1)&gt;=100000,INDEX($AM$1005:$BM$1005,1,MATCH(COLUMNS($AM$1006:BH1006),$AM$1006:$BM$1006,0))&gt;=100000), " ",IF(INDEX($AM$2:$BM$1001,MATCH(ROWS($AF$2:AF503),$AF$2:$AF$1001,0),MATCH(COLUMNS($AM$1006:BH1006),$AM$1006:$BM$1006,0)), HYPERLINK("#",""), HYPERLINK(CONCATENATE("#metadata!", ADDRESS(INDEX($AH$2:$AH$1001,MATCH(ROWS($AF$2:AF503),$AF$2:$AF$1001,0),0), INDEX($AM$1004:$BM$1004,1,MATCH(COLUMNS($AM$1006:BH1006),$AM$1006:$BM$1006,0)))),"Fix")))</f>
        <v xml:space="preserve"> </v>
      </c>
      <c r="X503" s="4" t="str">
        <f ca="1">IF(OR(INDEX($AG$2:$AG$1001,MATCH(ROWS($AF$2:AF503),$AF$2:$AF$1001,0),1)&gt;=100000,INDEX($AM$1005:$BM$1005,1,MATCH(COLUMNS($AM$1006:BI1006),$AM$1006:$BM$1006,0))&gt;=100000), " ",IF(INDEX($AM$2:$BM$1001,MATCH(ROWS($AF$2:AF503),$AF$2:$AF$1001,0),MATCH(COLUMNS($AM$1006:BI1006),$AM$1006:$BM$1006,0)), HYPERLINK("#",""), HYPERLINK(CONCATENATE("#metadata!", ADDRESS(INDEX($AH$2:$AH$1001,MATCH(ROWS($AF$2:AF503),$AF$2:$AF$1001,0),0), INDEX($AM$1004:$BM$1004,1,MATCH(COLUMNS($AM$1006:BI1006),$AM$1006:$BM$1006,0)))),"Fix")))</f>
        <v xml:space="preserve"> </v>
      </c>
      <c r="Y503" s="4" t="str">
        <f ca="1">IF(OR(INDEX($AG$2:$AG$1001,MATCH(ROWS($AF$2:AF503),$AF$2:$AF$1001,0),1)&gt;=100000,INDEX($AM$1005:$BM$1005,1,MATCH(COLUMNS($AM$1006:BJ1006),$AM$1006:$BM$1006,0))&gt;=100000), " ",IF(INDEX($AM$2:$BM$1001,MATCH(ROWS($AF$2:AF503),$AF$2:$AF$1001,0),MATCH(COLUMNS($AM$1006:BJ1006),$AM$1006:$BM$1006,0)), HYPERLINK("#",""), HYPERLINK(CONCATENATE("#metadata!", ADDRESS(INDEX($AH$2:$AH$1001,MATCH(ROWS($AF$2:AF503),$AF$2:$AF$1001,0),0), INDEX($AM$1004:$BM$1004,1,MATCH(COLUMNS($AM$1006:BJ1006),$AM$1006:$BM$1006,0)))),"Fix")))</f>
        <v xml:space="preserve"> </v>
      </c>
      <c r="Z503" s="4" t="str">
        <f ca="1">IF(OR(INDEX($AG$2:$AG$1001,MATCH(ROWS($AF$2:AF503),$AF$2:$AF$1001,0),1)&gt;=100000,INDEX($AM$1005:$BM$1005,1,MATCH(COLUMNS($AM$1006:BK1006),$AM$1006:$BM$1006,0))&gt;=100000), " ",IF(INDEX($AM$2:$BM$1001,MATCH(ROWS($AF$2:AF503),$AF$2:$AF$1001,0),MATCH(COLUMNS($AM$1006:BK1006),$AM$1006:$BM$1006,0)), HYPERLINK("#",""), HYPERLINK(CONCATENATE("#metadata!", ADDRESS(INDEX($AH$2:$AH$1001,MATCH(ROWS($AF$2:AF503),$AF$2:$AF$1001,0),0), INDEX($AM$1004:$BM$1004,1,MATCH(COLUMNS($AM$1006:BK1006),$AM$1006:$BM$1006,0)))),"Fix")))</f>
        <v xml:space="preserve"> </v>
      </c>
      <c r="AA503" s="4" t="str">
        <f ca="1">IF(OR(INDEX($AG$2:$AG$1001,MATCH(ROWS($AF$2:AF503),$AF$2:$AF$1001,0),1)&gt;=100000,INDEX($AM$1005:$BM$1005,1,MATCH(COLUMNS($AM$1006:BL1006),$AM$1006:$BM$1006,0))&gt;=100000), " ",IF(INDEX($AM$2:$BM$1001,MATCH(ROWS($AF$2:AF503),$AF$2:$AF$1001,0),MATCH(COLUMNS($AM$1006:BL1006),$AM$1006:$BM$1006,0)), HYPERLINK("#",""), HYPERLINK(CONCATENATE("#metadata!", ADDRESS(INDEX($AH$2:$AH$1001,MATCH(ROWS($AF$2:AF503),$AF$2:$AF$1001,0),0), INDEX($AM$1004:$BM$1004,1,MATCH(COLUMNS($AM$1006:BL1006),$AM$1006:$BM$1006,0)))),"Fix")))</f>
        <v xml:space="preserve"> </v>
      </c>
      <c r="AB503" s="4" t="str">
        <f ca="1">IF(OR(INDEX($AG$2:$AG$1001,MATCH(ROWS($AF$2:AF503),$AF$2:$AF$1001,0),1)&gt;=100000,INDEX($AM$1005:$BM$1005,1,MATCH(COLUMNS($AM$1006:BM1006),$AM$1006:$BM$1006,0))&gt;=100000), " ",IF(INDEX($AM$2:$BM$1001,MATCH(ROWS($AF$2:AF503),$AF$2:$AF$1001,0),MATCH(COLUMNS($AM$1006:BM1006),$AM$1006:$BM$1006,0)), HYPERLINK("#",""), HYPERLINK(CONCATENATE("#metadata!", ADDRESS(INDEX($AH$2:$AH$1001,MATCH(ROWS($AF$2:AF503),$AF$2:$AF$1001,0),0), INDEX($AM$1004:$BM$1004,1,MATCH(COLUMNS($AM$1006:BM1006),$AM$1006:$BM$1006,0)))),"Fix")))</f>
        <v xml:space="preserve"> </v>
      </c>
      <c r="AF503">
        <v>502</v>
      </c>
      <c r="AG503">
        <v>100503</v>
      </c>
      <c r="AH503">
        <v>503</v>
      </c>
      <c r="AI503" t="b">
        <f t="shared" si="7"/>
        <v>1</v>
      </c>
      <c r="AJ503" t="b">
        <f>COUNTBLANK(metadata!B503:AB503)=COLUMNS(metadata!B503:AB503)</f>
        <v>1</v>
      </c>
      <c r="AK503" t="str">
        <v/>
      </c>
      <c r="AM503" t="b">
        <f ca="1">AND(IF(metadata!B503="",FALSE,TRUE),COUNTIF(metadata!B:B, metadata!B503) = 1,NOT(ISERROR(SUMPRODUCT(SEARCH(MID(metadata!B503,ROW(INDIRECT("1:"&amp;LEN(metadata!B503))), 1),"0123456789abcdefghijklmnopqrstuvwxyzABCDEFGHIJKLMNOPQRSTUVWXYZ.")))))</f>
        <v>0</v>
      </c>
      <c r="AN503" t="b">
        <f ca="1">OR(AND(IF(metadata!C503="",FALSE,TRUE),OR(EXACT(metadata!C503,"missing: not collected"),EXACT(metadata!C503,"missing: not provided"),EXACT(metadata!C503,"missing: restricted access"))),AND(IF(metadata!C503="",FALSE,TRUE),AND(AND(IFERROR(INT(LEFT(metadata!C503,4))&gt;1900,FALSE),IFERROR(INT(LEFT(metadata!C503,4))&lt;=YEAR(NOW()),FALSE)), OR(MID(metadata!C503,5,1)="", AND(AND(MID(metadata!C503,5,1)="-",IFERROR(INT(MID(metadata!C503,6,1))&gt;=0,FALSE),IFERROR(INT(MID(metadata!C503,6,1))&lt;=1,FALSE),NOT(MID(metadata!C503,7,1)=""),IFERROR(INT(MID(metadata!C503,6,2))&gt;=1,FALSE),IFERROR(INT(MID(metadata!C503,6,2))&lt;=12,FALSE)), OR(MID(metadata!C503,8,1)="", AND(AND(MID(metadata!C503,8,1)="-",IFERROR(INT(MID(metadata!C503,9,1))&gt;=0,FALSE),IFERROR(INT(MID(metadata!C503,9,1))&lt;=3,FALSE),NOT(MID(metadata!C503,10,1)=""),IFERROR(INT(MID(metadata!C503,9,2))&gt;=1,FALSE),IFERROR(INT(MID(metadata!C503,9,2))&lt;=31,FALSE)), OR(MID(metadata!C503,11,1)="", AND(AND(MID(metadata!C503,11,1)=" ",IFERROR(INT(MID(metadata!C503,12,1))&gt;=0,FALSE),IFERROR(INT(MID(metadata!C503,12,1))&lt;=2,FALSE),NOT(MID(metadata!C503,13,1)=""),IFERROR(INT(MID(metadata!C503,12,2))&gt;=0,FALSE),IFERROR(INT(MID(metadata!C503,12,2))&lt;=23,FALSE)), OR(MID(metadata!C503,14,1)="", AND(AND(MID(metadata!C503,14,1)=":",IFERROR(INT(MID(metadata!C503,15,1))&gt;=0,FALSE),IFERROR(INT(MID(metadata!C503,15,1))&lt;=5,FALSE),NOT(MID(metadata!C503,16,1)=""),IFERROR(INT(MID(metadata!C503,15,2))&gt;=0,FALSE),IFERROR(INT(MID(metadata!C503,15,2))&lt;=59,FALSE)), OR(MID(metadata!C503,17,1)="", AND(AND(MID(metadata!C503,17,1)=":",IFERROR(INT(MID(metadata!C503,18,1))&gt;=0,FALSE),IFERROR(INT(MID(metadata!C503,18,1))&lt;=5,FALSE),NOT(MID(metadata!C503,19,1)=""),IFERROR(INT(MID(metadata!C503,18,2))&gt;=0,FALSE),IFERROR(INT(MID(metadata!C503,18,2))&lt;=59,FALSE)), LEN(metadata!C503)&lt;=19)))))))))))))</f>
        <v>0</v>
      </c>
      <c r="AO503" t="b">
        <f>AND(IF(metadata!D503="",FALSE,TRUE),EXACT(metadata!D503,"Not applicable"))</f>
        <v>0</v>
      </c>
      <c r="AP503" t="b">
        <f>IF(metadata!E503="",FALSE,TRUE)</f>
        <v>0</v>
      </c>
      <c r="AQ503" t="b">
        <f>OR(AND(IF(metadata!F503="",FALSE,TRUE),OR(EXACT(metadata!F503,"missing: not collected"),EXACT(metadata!F503,"missing: not provided"))),AND(IF(metadata!F503="",FALSE,TRUE),OR(EXACT(metadata!F503,"TRUE"),EXACT(metadata!F503,"FALSE"))))</f>
        <v>0</v>
      </c>
      <c r="AR503" t="b">
        <f>OR(AND(IF(metadata!G503="",FALSE,TRUE),OR(EXACT(metadata!G503,"missing: not collected"),EXACT(metadata!G503,"missing: not provided"),EXACT(metadata!G503,"missing: restricted access"))),AND(IF(metadata!G503="",FALSE,ISNUMBER(VALUE(metadata!G503))),metadata!G503&gt;=-413))</f>
        <v>0</v>
      </c>
      <c r="AS503" t="b">
        <f>AND(IF(metadata!H503="",FALSE,TRUE),EXACT(metadata!H503,"meters"))</f>
        <v>0</v>
      </c>
      <c r="AT503" t="b">
        <f>AND(IF(metadata!I503="",FALSE,TRUE),OR(EXACT(metadata!I503,"Host-associated"),EXACT(metadata!I503,"Free-living")))</f>
        <v>0</v>
      </c>
      <c r="AU503" t="b">
        <f>AND(IF(metadata!J503="",FALSE,TRUE),OR(EXACT(metadata!J503,"Animal"),EXACT(metadata!J503,"Fungus"),EXACT(metadata!J503,"Plant"),EXACT(metadata!J503,"Saline"),EXACT(metadata!J503,"Non-saline")))</f>
        <v>0</v>
      </c>
      <c r="AV503" t="b">
        <f>AND(IF(metadata!K503="",FALSE,TRUE),OR(EXACT(metadata!K503,"Plant secretion"),EXACT(metadata!K503,"Plant rhizosphere"),EXACT(metadata!K503,"Plant surface"),EXACT(metadata!K503,"Plant corpus"),EXACT(metadata!K503,"Fungus surface"),EXACT(metadata!K503,"Fungus corpus"),EXACT(metadata!K503,"Animal surface"),EXACT(metadata!K503,"Animal proximal gut"),EXACT(metadata!K503,"Animal corpus"),EXACT(metadata!K503,"Animal distal gut"),EXACT(metadata!K503,"Animal secretion"),EXACT(metadata!K503,"Sub-surface (non-saline)"),EXACT(metadata!K503,"Surface (non-saline)"),EXACT(metadata!K503,"Water (non-saline)"),EXACT(metadata!K503,"Soil (non-saline)"),EXACT(metadata!K503,"Aerosol (non-saline)"),EXACT(metadata!K503,"Sediment (non-saline)"),EXACT(metadata!K503,"Surface (saline)"),EXACT(metadata!K503,"Water (saline)"),EXACT(metadata!K503,"Hypersaline (saline)"),EXACT(metadata!K503,"Aerosol (saline)"),EXACT(metadata!K503,"Sediment (saline)")))</f>
        <v>0</v>
      </c>
      <c r="AW503" t="b">
        <f>IF(metadata!L503="",FALSE,TRUE)</f>
        <v>0</v>
      </c>
      <c r="AX503" t="b">
        <f>IF(metadata!M503="",FALSE,TRUE)</f>
        <v>0</v>
      </c>
      <c r="AY503" t="b">
        <f>IF(metadata!N503="",FALSE,TRUE)</f>
        <v>0</v>
      </c>
      <c r="AZ503" t="b">
        <f>OR(AND(IF(metadata!O503="",FALSE,TRUE),OR(EXACT(metadata!O503,"missing: not collected"),EXACT(metadata!O503,"missing: not provided"),EXACT(metadata!O503,"missing: restricted access"))),AND(IF(metadata!O503="",FALSE,TRUE),OR(EXACT(metadata!O503,"air"),EXACT(metadata!O503,"built environment"),EXACT(metadata!O503,"host-associated"),EXACT(metadata!O503,"human-associated"),EXACT(metadata!O503,"human-skin"),EXACT(metadata!O503,"human-oral"),EXACT(metadata!O503,"human-gut"),EXACT(metadata!O503,"human-vaginal"),EXACT(metadata!O503,"microbial mat/biofilm"),EXACT(metadata!O503,"misc environment"),EXACT(metadata!O503,"plant-associated"),EXACT(metadata!O503,"sediment"),EXACT(metadata!O503,"soil"),EXACT(metadata!O503,"wastewater/sludge"),EXACT(metadata!O503,"water"))))</f>
        <v>0</v>
      </c>
      <c r="BA503" t="b">
        <f>IF(metadata!P503="",FALSE,TRUE)</f>
        <v>0</v>
      </c>
      <c r="BB503" t="b">
        <f>IF(metadata!Q503="",FALSE,TRUE)</f>
        <v>0</v>
      </c>
      <c r="BC503" t="b">
        <f>OR(AND(IF(metadata!R503="",FALSE,TRUE),OR(EXACT(metadata!R503,"missing: not collected"),EXACT(metadata!R503,"missing: not provided"),EXACT(metadata!R503,"missing: restricted access"))),AND(IF(metadata!R503="",FALSE,ISNUMBER(VALUE(metadata!R503))),metadata!R503&gt;=-90,metadata!R503&lt;=90))</f>
        <v>0</v>
      </c>
      <c r="BD503" t="b">
        <f>AND(IF(metadata!S503="",FALSE,TRUE),EXACT(metadata!S503,"Decimal degrees"))</f>
        <v>0</v>
      </c>
      <c r="BE503" t="b">
        <f>OR(AND(IF(metadata!T503="",FALSE,TRUE),OR(EXACT(metadata!T503,"missing: not collected"),EXACT(metadata!T503,"missing: not provided"),EXACT(metadata!T503,"missing: restricted access"))),AND(IF(metadata!T503="",FALSE,ISNUMBER(VALUE(metadata!T503))),metadata!T503&gt;=-180,metadata!T503&lt;=180))</f>
        <v>0</v>
      </c>
      <c r="BF503" t="b">
        <f>AND(IF(metadata!U503="",FALSE,TRUE),EXACT(metadata!U503,"Decimal degrees"))</f>
        <v>0</v>
      </c>
      <c r="BG503" t="b">
        <f>IF(metadata!V503="",FALSE,TRUE)</f>
        <v>0</v>
      </c>
      <c r="BH503" t="b">
        <f>OR(AND(IF(metadata!W503="",FALSE,TRUE),OR(EXACT(metadata!W503,"missing: not collected"),EXACT(metadata!W503,"missing: not provided"),EXACT(metadata!W503,"missing: restricted access"))),AND(IF(metadata!W503="",FALSE,TRUE),OR(EXACT(metadata!W503,"TRUE"),EXACT(metadata!W503,"FALSE"))))</f>
        <v>0</v>
      </c>
      <c r="BI503" t="b">
        <f>AND(IF(metadata!X503="",FALSE,TRUE),EXACT(metadata!X503,"other"))</f>
        <v>0</v>
      </c>
      <c r="BJ503" t="b">
        <f>IF(metadata!Y503="",FALSE,TRUE)</f>
        <v>0</v>
      </c>
      <c r="BK503" t="b">
        <f>OR(AND(IF(metadata!Z503="",FALSE,TRUE),OR(EXACT(metadata!Z503,"missing: not collected"),EXACT(metadata!Z503,"missing: not provided"))),AND(IF(metadata!Z503="",FALSE,IF(ISERROR(INT(metadata!Z503)),FALSE,INT(metadata!Z503)=metadata!Z503)),metadata!Z503&gt;0))</f>
        <v>0</v>
      </c>
      <c r="BL503" t="b">
        <f>AND(IF(metadata!AA503="",FALSE,TRUE),EXACT(metadata!AA503,"Not applicable"))</f>
        <v>0</v>
      </c>
      <c r="BM503" t="b">
        <f>IF(metadata!AB503="",FALSE,TRUE)</f>
        <v>0</v>
      </c>
    </row>
    <row r="504" spans="1:65" x14ac:dyDescent="0.2">
      <c r="A504" s="5" t="str">
        <f ca="1">IF(B504=" "," ",HYPERLINK(CONCATENATE("#metadata!",ADDRESS(INDEX($AH$2:$AH$1001,MATCH(ROWS($AF$2:AF504),$AF$2:$AF$1001,0),0),1)),INDEX($AK$2:$AK$1001,MATCH(ROWS($AF$2:AF504),$AF$2:$AF$1001,0),0)))</f>
        <v xml:space="preserve"> </v>
      </c>
      <c r="B504" s="4" t="str">
        <f ca="1">IF(OR(INDEX($AG$2:$AG$1001,MATCH(ROWS($AF$2:AF504),$AF$2:$AF$1001,0),1)&gt;=100000,INDEX($AM$1005:$BM$1005,1,MATCH(COLUMNS($AM$1006:AM1006),$AM$1006:$BM$1006,0))&gt;=100000), " ",IF(INDEX($AM$2:$BM$1001,MATCH(ROWS($AF$2:AF504),$AF$2:$AF$1001,0),MATCH(COLUMNS($AM$1006:AM1006),$AM$1006:$BM$1006,0)), HYPERLINK("#",""), HYPERLINK(CONCATENATE("#metadata!", ADDRESS(INDEX($AH$2:$AH$1001,MATCH(ROWS($AF$2:AF504),$AF$2:$AF$1001,0),0), INDEX($AM$1004:$BM$1004,1,MATCH(COLUMNS($AM$1006:AM1006),$AM$1006:$BM$1006,0)))),"Fix")))</f>
        <v xml:space="preserve"> </v>
      </c>
      <c r="C504" s="4" t="str">
        <f ca="1">IF(OR(INDEX($AG$2:$AG$1001,MATCH(ROWS($AF$2:AF504),$AF$2:$AF$1001,0),1)&gt;=100000,INDEX($AM$1005:$BM$1005,1,MATCH(COLUMNS($AM$1006:AN1006),$AM$1006:$BM$1006,0))&gt;=100000), " ",IF(INDEX($AM$2:$BM$1001,MATCH(ROWS($AF$2:AF504),$AF$2:$AF$1001,0),MATCH(COLUMNS($AM$1006:AN1006),$AM$1006:$BM$1006,0)), HYPERLINK("#",""), HYPERLINK(CONCATENATE("#metadata!", ADDRESS(INDEX($AH$2:$AH$1001,MATCH(ROWS($AF$2:AF504),$AF$2:$AF$1001,0),0), INDEX($AM$1004:$BM$1004,1,MATCH(COLUMNS($AM$1006:AN1006),$AM$1006:$BM$1006,0)))),"Fix")))</f>
        <v xml:space="preserve"> </v>
      </c>
      <c r="D504" s="4" t="str">
        <f ca="1">IF(OR(INDEX($AG$2:$AG$1001,MATCH(ROWS($AF$2:AF504),$AF$2:$AF$1001,0),1)&gt;=100000,INDEX($AM$1005:$BM$1005,1,MATCH(COLUMNS($AM$1006:AO1006),$AM$1006:$BM$1006,0))&gt;=100000), " ",IF(INDEX($AM$2:$BM$1001,MATCH(ROWS($AF$2:AF504),$AF$2:$AF$1001,0),MATCH(COLUMNS($AM$1006:AO1006),$AM$1006:$BM$1006,0)), HYPERLINK("#",""), HYPERLINK(CONCATENATE("#metadata!", ADDRESS(INDEX($AH$2:$AH$1001,MATCH(ROWS($AF$2:AF504),$AF$2:$AF$1001,0),0), INDEX($AM$1004:$BM$1004,1,MATCH(COLUMNS($AM$1006:AO1006),$AM$1006:$BM$1006,0)))),"Fix")))</f>
        <v xml:space="preserve"> </v>
      </c>
      <c r="E504" s="4" t="str">
        <f ca="1">IF(OR(INDEX($AG$2:$AG$1001,MATCH(ROWS($AF$2:AF504),$AF$2:$AF$1001,0),1)&gt;=100000,INDEX($AM$1005:$BM$1005,1,MATCH(COLUMNS($AM$1006:AP1006),$AM$1006:$BM$1006,0))&gt;=100000), " ",IF(INDEX($AM$2:$BM$1001,MATCH(ROWS($AF$2:AF504),$AF$2:$AF$1001,0),MATCH(COLUMNS($AM$1006:AP1006),$AM$1006:$BM$1006,0)), HYPERLINK("#",""), HYPERLINK(CONCATENATE("#metadata!", ADDRESS(INDEX($AH$2:$AH$1001,MATCH(ROWS($AF$2:AF504),$AF$2:$AF$1001,0),0), INDEX($AM$1004:$BM$1004,1,MATCH(COLUMNS($AM$1006:AP1006),$AM$1006:$BM$1006,0)))),"Fix")))</f>
        <v xml:space="preserve"> </v>
      </c>
      <c r="F504" s="4" t="str">
        <f ca="1">IF(OR(INDEX($AG$2:$AG$1001,MATCH(ROWS($AF$2:AF504),$AF$2:$AF$1001,0),1)&gt;=100000,INDEX($AM$1005:$BM$1005,1,MATCH(COLUMNS($AM$1006:AQ1006),$AM$1006:$BM$1006,0))&gt;=100000), " ",IF(INDEX($AM$2:$BM$1001,MATCH(ROWS($AF$2:AF504),$AF$2:$AF$1001,0),MATCH(COLUMNS($AM$1006:AQ1006),$AM$1006:$BM$1006,0)), HYPERLINK("#",""), HYPERLINK(CONCATENATE("#metadata!", ADDRESS(INDEX($AH$2:$AH$1001,MATCH(ROWS($AF$2:AF504),$AF$2:$AF$1001,0),0), INDEX($AM$1004:$BM$1004,1,MATCH(COLUMNS($AM$1006:AQ1006),$AM$1006:$BM$1006,0)))),"Fix")))</f>
        <v xml:space="preserve"> </v>
      </c>
      <c r="G504" s="4" t="str">
        <f ca="1">IF(OR(INDEX($AG$2:$AG$1001,MATCH(ROWS($AF$2:AF504),$AF$2:$AF$1001,0),1)&gt;=100000,INDEX($AM$1005:$BM$1005,1,MATCH(COLUMNS($AM$1006:AR1006),$AM$1006:$BM$1006,0))&gt;=100000), " ",IF(INDEX($AM$2:$BM$1001,MATCH(ROWS($AF$2:AF504),$AF$2:$AF$1001,0),MATCH(COLUMNS($AM$1006:AR1006),$AM$1006:$BM$1006,0)), HYPERLINK("#",""), HYPERLINK(CONCATENATE("#metadata!", ADDRESS(INDEX($AH$2:$AH$1001,MATCH(ROWS($AF$2:AF504),$AF$2:$AF$1001,0),0), INDEX($AM$1004:$BM$1004,1,MATCH(COLUMNS($AM$1006:AR1006),$AM$1006:$BM$1006,0)))),"Fix")))</f>
        <v xml:space="preserve"> </v>
      </c>
      <c r="H504" s="4" t="str">
        <f ca="1">IF(OR(INDEX($AG$2:$AG$1001,MATCH(ROWS($AF$2:AF504),$AF$2:$AF$1001,0),1)&gt;=100000,INDEX($AM$1005:$BM$1005,1,MATCH(COLUMNS($AM$1006:AS1006),$AM$1006:$BM$1006,0))&gt;=100000), " ",IF(INDEX($AM$2:$BM$1001,MATCH(ROWS($AF$2:AF504),$AF$2:$AF$1001,0),MATCH(COLUMNS($AM$1006:AS1006),$AM$1006:$BM$1006,0)), HYPERLINK("#",""), HYPERLINK(CONCATENATE("#metadata!", ADDRESS(INDEX($AH$2:$AH$1001,MATCH(ROWS($AF$2:AF504),$AF$2:$AF$1001,0),0), INDEX($AM$1004:$BM$1004,1,MATCH(COLUMNS($AM$1006:AS1006),$AM$1006:$BM$1006,0)))),"Fix")))</f>
        <v xml:space="preserve"> </v>
      </c>
      <c r="I504" s="4" t="str">
        <f ca="1">IF(OR(INDEX($AG$2:$AG$1001,MATCH(ROWS($AF$2:AF504),$AF$2:$AF$1001,0),1)&gt;=100000,INDEX($AM$1005:$BM$1005,1,MATCH(COLUMNS($AM$1006:AT1006),$AM$1006:$BM$1006,0))&gt;=100000), " ",IF(INDEX($AM$2:$BM$1001,MATCH(ROWS($AF$2:AF504),$AF$2:$AF$1001,0),MATCH(COLUMNS($AM$1006:AT1006),$AM$1006:$BM$1006,0)), HYPERLINK("#",""), HYPERLINK(CONCATENATE("#metadata!", ADDRESS(INDEX($AH$2:$AH$1001,MATCH(ROWS($AF$2:AF504),$AF$2:$AF$1001,0),0), INDEX($AM$1004:$BM$1004,1,MATCH(COLUMNS($AM$1006:AT1006),$AM$1006:$BM$1006,0)))),"Fix")))</f>
        <v xml:space="preserve"> </v>
      </c>
      <c r="J504" s="4" t="str">
        <f ca="1">IF(OR(INDEX($AG$2:$AG$1001,MATCH(ROWS($AF$2:AF504),$AF$2:$AF$1001,0),1)&gt;=100000,INDEX($AM$1005:$BM$1005,1,MATCH(COLUMNS($AM$1006:AU1006),$AM$1006:$BM$1006,0))&gt;=100000), " ",IF(INDEX($AM$2:$BM$1001,MATCH(ROWS($AF$2:AF504),$AF$2:$AF$1001,0),MATCH(COLUMNS($AM$1006:AU1006),$AM$1006:$BM$1006,0)), HYPERLINK("#",""), HYPERLINK(CONCATENATE("#metadata!", ADDRESS(INDEX($AH$2:$AH$1001,MATCH(ROWS($AF$2:AF504),$AF$2:$AF$1001,0),0), INDEX($AM$1004:$BM$1004,1,MATCH(COLUMNS($AM$1006:AU1006),$AM$1006:$BM$1006,0)))),"Fix")))</f>
        <v xml:space="preserve"> </v>
      </c>
      <c r="K504" s="4" t="str">
        <f ca="1">IF(OR(INDEX($AG$2:$AG$1001,MATCH(ROWS($AF$2:AF504),$AF$2:$AF$1001,0),1)&gt;=100000,INDEX($AM$1005:$BM$1005,1,MATCH(COLUMNS($AM$1006:AV1006),$AM$1006:$BM$1006,0))&gt;=100000), " ",IF(INDEX($AM$2:$BM$1001,MATCH(ROWS($AF$2:AF504),$AF$2:$AF$1001,0),MATCH(COLUMNS($AM$1006:AV1006),$AM$1006:$BM$1006,0)), HYPERLINK("#",""), HYPERLINK(CONCATENATE("#metadata!", ADDRESS(INDEX($AH$2:$AH$1001,MATCH(ROWS($AF$2:AF504),$AF$2:$AF$1001,0),0), INDEX($AM$1004:$BM$1004,1,MATCH(COLUMNS($AM$1006:AV1006),$AM$1006:$BM$1006,0)))),"Fix")))</f>
        <v xml:space="preserve"> </v>
      </c>
      <c r="L504" s="4" t="str">
        <f ca="1">IF(OR(INDEX($AG$2:$AG$1001,MATCH(ROWS($AF$2:AF504),$AF$2:$AF$1001,0),1)&gt;=100000,INDEX($AM$1005:$BM$1005,1,MATCH(COLUMNS($AM$1006:AW1006),$AM$1006:$BM$1006,0))&gt;=100000), " ",IF(INDEX($AM$2:$BM$1001,MATCH(ROWS($AF$2:AF504),$AF$2:$AF$1001,0),MATCH(COLUMNS($AM$1006:AW1006),$AM$1006:$BM$1006,0)), HYPERLINK("#",""), HYPERLINK(CONCATENATE("#metadata!", ADDRESS(INDEX($AH$2:$AH$1001,MATCH(ROWS($AF$2:AF504),$AF$2:$AF$1001,0),0), INDEX($AM$1004:$BM$1004,1,MATCH(COLUMNS($AM$1006:AW1006),$AM$1006:$BM$1006,0)))),"Fix")))</f>
        <v xml:space="preserve"> </v>
      </c>
      <c r="M504" s="4" t="str">
        <f ca="1">IF(OR(INDEX($AG$2:$AG$1001,MATCH(ROWS($AF$2:AF504),$AF$2:$AF$1001,0),1)&gt;=100000,INDEX($AM$1005:$BM$1005,1,MATCH(COLUMNS($AM$1006:AX1006),$AM$1006:$BM$1006,0))&gt;=100000), " ",IF(INDEX($AM$2:$BM$1001,MATCH(ROWS($AF$2:AF504),$AF$2:$AF$1001,0),MATCH(COLUMNS($AM$1006:AX1006),$AM$1006:$BM$1006,0)), HYPERLINK("#",""), HYPERLINK(CONCATENATE("#metadata!", ADDRESS(INDEX($AH$2:$AH$1001,MATCH(ROWS($AF$2:AF504),$AF$2:$AF$1001,0),0), INDEX($AM$1004:$BM$1004,1,MATCH(COLUMNS($AM$1006:AX1006),$AM$1006:$BM$1006,0)))),"Fix")))</f>
        <v xml:space="preserve"> </v>
      </c>
      <c r="N504" s="4" t="str">
        <f ca="1">IF(OR(INDEX($AG$2:$AG$1001,MATCH(ROWS($AF$2:AF504),$AF$2:$AF$1001,0),1)&gt;=100000,INDEX($AM$1005:$BM$1005,1,MATCH(COLUMNS($AM$1006:AY1006),$AM$1006:$BM$1006,0))&gt;=100000), " ",IF(INDEX($AM$2:$BM$1001,MATCH(ROWS($AF$2:AF504),$AF$2:$AF$1001,0),MATCH(COLUMNS($AM$1006:AY1006),$AM$1006:$BM$1006,0)), HYPERLINK("#",""), HYPERLINK(CONCATENATE("#metadata!", ADDRESS(INDEX($AH$2:$AH$1001,MATCH(ROWS($AF$2:AF504),$AF$2:$AF$1001,0),0), INDEX($AM$1004:$BM$1004,1,MATCH(COLUMNS($AM$1006:AY1006),$AM$1006:$BM$1006,0)))),"Fix")))</f>
        <v xml:space="preserve"> </v>
      </c>
      <c r="O504" s="4" t="str">
        <f ca="1">IF(OR(INDEX($AG$2:$AG$1001,MATCH(ROWS($AF$2:AF504),$AF$2:$AF$1001,0),1)&gt;=100000,INDEX($AM$1005:$BM$1005,1,MATCH(COLUMNS($AM$1006:AZ1006),$AM$1006:$BM$1006,0))&gt;=100000), " ",IF(INDEX($AM$2:$BM$1001,MATCH(ROWS($AF$2:AF504),$AF$2:$AF$1001,0),MATCH(COLUMNS($AM$1006:AZ1006),$AM$1006:$BM$1006,0)), HYPERLINK("#",""), HYPERLINK(CONCATENATE("#metadata!", ADDRESS(INDEX($AH$2:$AH$1001,MATCH(ROWS($AF$2:AF504),$AF$2:$AF$1001,0),0), INDEX($AM$1004:$BM$1004,1,MATCH(COLUMNS($AM$1006:AZ1006),$AM$1006:$BM$1006,0)))),"Fix")))</f>
        <v xml:space="preserve"> </v>
      </c>
      <c r="P504" s="4" t="str">
        <f ca="1">IF(OR(INDEX($AG$2:$AG$1001,MATCH(ROWS($AF$2:AF504),$AF$2:$AF$1001,0),1)&gt;=100000,INDEX($AM$1005:$BM$1005,1,MATCH(COLUMNS($AM$1006:BA1006),$AM$1006:$BM$1006,0))&gt;=100000), " ",IF(INDEX($AM$2:$BM$1001,MATCH(ROWS($AF$2:AF504),$AF$2:$AF$1001,0),MATCH(COLUMNS($AM$1006:BA1006),$AM$1006:$BM$1006,0)), HYPERLINK("#",""), HYPERLINK(CONCATENATE("#metadata!", ADDRESS(INDEX($AH$2:$AH$1001,MATCH(ROWS($AF$2:AF504),$AF$2:$AF$1001,0),0), INDEX($AM$1004:$BM$1004,1,MATCH(COLUMNS($AM$1006:BA1006),$AM$1006:$BM$1006,0)))),"Fix")))</f>
        <v xml:space="preserve"> </v>
      </c>
      <c r="Q504" s="4" t="str">
        <f ca="1">IF(OR(INDEX($AG$2:$AG$1001,MATCH(ROWS($AF$2:AF504),$AF$2:$AF$1001,0),1)&gt;=100000,INDEX($AM$1005:$BM$1005,1,MATCH(COLUMNS($AM$1006:BB1006),$AM$1006:$BM$1006,0))&gt;=100000), " ",IF(INDEX($AM$2:$BM$1001,MATCH(ROWS($AF$2:AF504),$AF$2:$AF$1001,0),MATCH(COLUMNS($AM$1006:BB1006),$AM$1006:$BM$1006,0)), HYPERLINK("#",""), HYPERLINK(CONCATENATE("#metadata!", ADDRESS(INDEX($AH$2:$AH$1001,MATCH(ROWS($AF$2:AF504),$AF$2:$AF$1001,0),0), INDEX($AM$1004:$BM$1004,1,MATCH(COLUMNS($AM$1006:BB1006),$AM$1006:$BM$1006,0)))),"Fix")))</f>
        <v xml:space="preserve"> </v>
      </c>
      <c r="R504" s="4" t="str">
        <f ca="1">IF(OR(INDEX($AG$2:$AG$1001,MATCH(ROWS($AF$2:AF504),$AF$2:$AF$1001,0),1)&gt;=100000,INDEX($AM$1005:$BM$1005,1,MATCH(COLUMNS($AM$1006:BC1006),$AM$1006:$BM$1006,0))&gt;=100000), " ",IF(INDEX($AM$2:$BM$1001,MATCH(ROWS($AF$2:AF504),$AF$2:$AF$1001,0),MATCH(COLUMNS($AM$1006:BC1006),$AM$1006:$BM$1006,0)), HYPERLINK("#",""), HYPERLINK(CONCATENATE("#metadata!", ADDRESS(INDEX($AH$2:$AH$1001,MATCH(ROWS($AF$2:AF504),$AF$2:$AF$1001,0),0), INDEX($AM$1004:$BM$1004,1,MATCH(COLUMNS($AM$1006:BC1006),$AM$1006:$BM$1006,0)))),"Fix")))</f>
        <v xml:space="preserve"> </v>
      </c>
      <c r="S504" s="4" t="str">
        <f ca="1">IF(OR(INDEX($AG$2:$AG$1001,MATCH(ROWS($AF$2:AF504),$AF$2:$AF$1001,0),1)&gt;=100000,INDEX($AM$1005:$BM$1005,1,MATCH(COLUMNS($AM$1006:BD1006),$AM$1006:$BM$1006,0))&gt;=100000), " ",IF(INDEX($AM$2:$BM$1001,MATCH(ROWS($AF$2:AF504),$AF$2:$AF$1001,0),MATCH(COLUMNS($AM$1006:BD1006),$AM$1006:$BM$1006,0)), HYPERLINK("#",""), HYPERLINK(CONCATENATE("#metadata!", ADDRESS(INDEX($AH$2:$AH$1001,MATCH(ROWS($AF$2:AF504),$AF$2:$AF$1001,0),0), INDEX($AM$1004:$BM$1004,1,MATCH(COLUMNS($AM$1006:BD1006),$AM$1006:$BM$1006,0)))),"Fix")))</f>
        <v xml:space="preserve"> </v>
      </c>
      <c r="T504" s="4" t="str">
        <f ca="1">IF(OR(INDEX($AG$2:$AG$1001,MATCH(ROWS($AF$2:AF504),$AF$2:$AF$1001,0),1)&gt;=100000,INDEX($AM$1005:$BM$1005,1,MATCH(COLUMNS($AM$1006:BE1006),$AM$1006:$BM$1006,0))&gt;=100000), " ",IF(INDEX($AM$2:$BM$1001,MATCH(ROWS($AF$2:AF504),$AF$2:$AF$1001,0),MATCH(COLUMNS($AM$1006:BE1006),$AM$1006:$BM$1006,0)), HYPERLINK("#",""), HYPERLINK(CONCATENATE("#metadata!", ADDRESS(INDEX($AH$2:$AH$1001,MATCH(ROWS($AF$2:AF504),$AF$2:$AF$1001,0),0), INDEX($AM$1004:$BM$1004,1,MATCH(COLUMNS($AM$1006:BE1006),$AM$1006:$BM$1006,0)))),"Fix")))</f>
        <v xml:space="preserve"> </v>
      </c>
      <c r="U504" s="4" t="str">
        <f ca="1">IF(OR(INDEX($AG$2:$AG$1001,MATCH(ROWS($AF$2:AF504),$AF$2:$AF$1001,0),1)&gt;=100000,INDEX($AM$1005:$BM$1005,1,MATCH(COLUMNS($AM$1006:BF1006),$AM$1006:$BM$1006,0))&gt;=100000), " ",IF(INDEX($AM$2:$BM$1001,MATCH(ROWS($AF$2:AF504),$AF$2:$AF$1001,0),MATCH(COLUMNS($AM$1006:BF1006),$AM$1006:$BM$1006,0)), HYPERLINK("#",""), HYPERLINK(CONCATENATE("#metadata!", ADDRESS(INDEX($AH$2:$AH$1001,MATCH(ROWS($AF$2:AF504),$AF$2:$AF$1001,0),0), INDEX($AM$1004:$BM$1004,1,MATCH(COLUMNS($AM$1006:BF1006),$AM$1006:$BM$1006,0)))),"Fix")))</f>
        <v xml:space="preserve"> </v>
      </c>
      <c r="V504" s="4" t="str">
        <f ca="1">IF(OR(INDEX($AG$2:$AG$1001,MATCH(ROWS($AF$2:AF504),$AF$2:$AF$1001,0),1)&gt;=100000,INDEX($AM$1005:$BM$1005,1,MATCH(COLUMNS($AM$1006:BG1006),$AM$1006:$BM$1006,0))&gt;=100000), " ",IF(INDEX($AM$2:$BM$1001,MATCH(ROWS($AF$2:AF504),$AF$2:$AF$1001,0),MATCH(COLUMNS($AM$1006:BG1006),$AM$1006:$BM$1006,0)), HYPERLINK("#",""), HYPERLINK(CONCATENATE("#metadata!", ADDRESS(INDEX($AH$2:$AH$1001,MATCH(ROWS($AF$2:AF504),$AF$2:$AF$1001,0),0), INDEX($AM$1004:$BM$1004,1,MATCH(COLUMNS($AM$1006:BG1006),$AM$1006:$BM$1006,0)))),"Fix")))</f>
        <v xml:space="preserve"> </v>
      </c>
      <c r="W504" s="4" t="str">
        <f ca="1">IF(OR(INDEX($AG$2:$AG$1001,MATCH(ROWS($AF$2:AF504),$AF$2:$AF$1001,0),1)&gt;=100000,INDEX($AM$1005:$BM$1005,1,MATCH(COLUMNS($AM$1006:BH1006),$AM$1006:$BM$1006,0))&gt;=100000), " ",IF(INDEX($AM$2:$BM$1001,MATCH(ROWS($AF$2:AF504),$AF$2:$AF$1001,0),MATCH(COLUMNS($AM$1006:BH1006),$AM$1006:$BM$1006,0)), HYPERLINK("#",""), HYPERLINK(CONCATENATE("#metadata!", ADDRESS(INDEX($AH$2:$AH$1001,MATCH(ROWS($AF$2:AF504),$AF$2:$AF$1001,0),0), INDEX($AM$1004:$BM$1004,1,MATCH(COLUMNS($AM$1006:BH1006),$AM$1006:$BM$1006,0)))),"Fix")))</f>
        <v xml:space="preserve"> </v>
      </c>
      <c r="X504" s="4" t="str">
        <f ca="1">IF(OR(INDEX($AG$2:$AG$1001,MATCH(ROWS($AF$2:AF504),$AF$2:$AF$1001,0),1)&gt;=100000,INDEX($AM$1005:$BM$1005,1,MATCH(COLUMNS($AM$1006:BI1006),$AM$1006:$BM$1006,0))&gt;=100000), " ",IF(INDEX($AM$2:$BM$1001,MATCH(ROWS($AF$2:AF504),$AF$2:$AF$1001,0),MATCH(COLUMNS($AM$1006:BI1006),$AM$1006:$BM$1006,0)), HYPERLINK("#",""), HYPERLINK(CONCATENATE("#metadata!", ADDRESS(INDEX($AH$2:$AH$1001,MATCH(ROWS($AF$2:AF504),$AF$2:$AF$1001,0),0), INDEX($AM$1004:$BM$1004,1,MATCH(COLUMNS($AM$1006:BI1006),$AM$1006:$BM$1006,0)))),"Fix")))</f>
        <v xml:space="preserve"> </v>
      </c>
      <c r="Y504" s="4" t="str">
        <f ca="1">IF(OR(INDEX($AG$2:$AG$1001,MATCH(ROWS($AF$2:AF504),$AF$2:$AF$1001,0),1)&gt;=100000,INDEX($AM$1005:$BM$1005,1,MATCH(COLUMNS($AM$1006:BJ1006),$AM$1006:$BM$1006,0))&gt;=100000), " ",IF(INDEX($AM$2:$BM$1001,MATCH(ROWS($AF$2:AF504),$AF$2:$AF$1001,0),MATCH(COLUMNS($AM$1006:BJ1006),$AM$1006:$BM$1006,0)), HYPERLINK("#",""), HYPERLINK(CONCATENATE("#metadata!", ADDRESS(INDEX($AH$2:$AH$1001,MATCH(ROWS($AF$2:AF504),$AF$2:$AF$1001,0),0), INDEX($AM$1004:$BM$1004,1,MATCH(COLUMNS($AM$1006:BJ1006),$AM$1006:$BM$1006,0)))),"Fix")))</f>
        <v xml:space="preserve"> </v>
      </c>
      <c r="Z504" s="4" t="str">
        <f ca="1">IF(OR(INDEX($AG$2:$AG$1001,MATCH(ROWS($AF$2:AF504),$AF$2:$AF$1001,0),1)&gt;=100000,INDEX($AM$1005:$BM$1005,1,MATCH(COLUMNS($AM$1006:BK1006),$AM$1006:$BM$1006,0))&gt;=100000), " ",IF(INDEX($AM$2:$BM$1001,MATCH(ROWS($AF$2:AF504),$AF$2:$AF$1001,0),MATCH(COLUMNS($AM$1006:BK1006),$AM$1006:$BM$1006,0)), HYPERLINK("#",""), HYPERLINK(CONCATENATE("#metadata!", ADDRESS(INDEX($AH$2:$AH$1001,MATCH(ROWS($AF$2:AF504),$AF$2:$AF$1001,0),0), INDEX($AM$1004:$BM$1004,1,MATCH(COLUMNS($AM$1006:BK1006),$AM$1006:$BM$1006,0)))),"Fix")))</f>
        <v xml:space="preserve"> </v>
      </c>
      <c r="AA504" s="4" t="str">
        <f ca="1">IF(OR(INDEX($AG$2:$AG$1001,MATCH(ROWS($AF$2:AF504),$AF$2:$AF$1001,0),1)&gt;=100000,INDEX($AM$1005:$BM$1005,1,MATCH(COLUMNS($AM$1006:BL1006),$AM$1006:$BM$1006,0))&gt;=100000), " ",IF(INDEX($AM$2:$BM$1001,MATCH(ROWS($AF$2:AF504),$AF$2:$AF$1001,0),MATCH(COLUMNS($AM$1006:BL1006),$AM$1006:$BM$1006,0)), HYPERLINK("#",""), HYPERLINK(CONCATENATE("#metadata!", ADDRESS(INDEX($AH$2:$AH$1001,MATCH(ROWS($AF$2:AF504),$AF$2:$AF$1001,0),0), INDEX($AM$1004:$BM$1004,1,MATCH(COLUMNS($AM$1006:BL1006),$AM$1006:$BM$1006,0)))),"Fix")))</f>
        <v xml:space="preserve"> </v>
      </c>
      <c r="AB504" s="4" t="str">
        <f ca="1">IF(OR(INDEX($AG$2:$AG$1001,MATCH(ROWS($AF$2:AF504),$AF$2:$AF$1001,0),1)&gt;=100000,INDEX($AM$1005:$BM$1005,1,MATCH(COLUMNS($AM$1006:BM1006),$AM$1006:$BM$1006,0))&gt;=100000), " ",IF(INDEX($AM$2:$BM$1001,MATCH(ROWS($AF$2:AF504),$AF$2:$AF$1001,0),MATCH(COLUMNS($AM$1006:BM1006),$AM$1006:$BM$1006,0)), HYPERLINK("#",""), HYPERLINK(CONCATENATE("#metadata!", ADDRESS(INDEX($AH$2:$AH$1001,MATCH(ROWS($AF$2:AF504),$AF$2:$AF$1001,0),0), INDEX($AM$1004:$BM$1004,1,MATCH(COLUMNS($AM$1006:BM1006),$AM$1006:$BM$1006,0)))),"Fix")))</f>
        <v xml:space="preserve"> </v>
      </c>
      <c r="AF504">
        <v>503</v>
      </c>
      <c r="AG504">
        <v>100504</v>
      </c>
      <c r="AH504">
        <v>504</v>
      </c>
      <c r="AI504" t="b">
        <f t="shared" si="7"/>
        <v>1</v>
      </c>
      <c r="AJ504" t="b">
        <f>COUNTBLANK(metadata!B504:AB504)=COLUMNS(metadata!B504:AB504)</f>
        <v>1</v>
      </c>
      <c r="AK504" t="str">
        <v/>
      </c>
      <c r="AM504" t="b">
        <f ca="1">AND(IF(metadata!B504="",FALSE,TRUE),COUNTIF(metadata!B:B, metadata!B504) = 1,NOT(ISERROR(SUMPRODUCT(SEARCH(MID(metadata!B504,ROW(INDIRECT("1:"&amp;LEN(metadata!B504))), 1),"0123456789abcdefghijklmnopqrstuvwxyzABCDEFGHIJKLMNOPQRSTUVWXYZ.")))))</f>
        <v>0</v>
      </c>
      <c r="AN504" t="b">
        <f ca="1">OR(AND(IF(metadata!C504="",FALSE,TRUE),OR(EXACT(metadata!C504,"missing: not collected"),EXACT(metadata!C504,"missing: not provided"),EXACT(metadata!C504,"missing: restricted access"))),AND(IF(metadata!C504="",FALSE,TRUE),AND(AND(IFERROR(INT(LEFT(metadata!C504,4))&gt;1900,FALSE),IFERROR(INT(LEFT(metadata!C504,4))&lt;=YEAR(NOW()),FALSE)), OR(MID(metadata!C504,5,1)="", AND(AND(MID(metadata!C504,5,1)="-",IFERROR(INT(MID(metadata!C504,6,1))&gt;=0,FALSE),IFERROR(INT(MID(metadata!C504,6,1))&lt;=1,FALSE),NOT(MID(metadata!C504,7,1)=""),IFERROR(INT(MID(metadata!C504,6,2))&gt;=1,FALSE),IFERROR(INT(MID(metadata!C504,6,2))&lt;=12,FALSE)), OR(MID(metadata!C504,8,1)="", AND(AND(MID(metadata!C504,8,1)="-",IFERROR(INT(MID(metadata!C504,9,1))&gt;=0,FALSE),IFERROR(INT(MID(metadata!C504,9,1))&lt;=3,FALSE),NOT(MID(metadata!C504,10,1)=""),IFERROR(INT(MID(metadata!C504,9,2))&gt;=1,FALSE),IFERROR(INT(MID(metadata!C504,9,2))&lt;=31,FALSE)), OR(MID(metadata!C504,11,1)="", AND(AND(MID(metadata!C504,11,1)=" ",IFERROR(INT(MID(metadata!C504,12,1))&gt;=0,FALSE),IFERROR(INT(MID(metadata!C504,12,1))&lt;=2,FALSE),NOT(MID(metadata!C504,13,1)=""),IFERROR(INT(MID(metadata!C504,12,2))&gt;=0,FALSE),IFERROR(INT(MID(metadata!C504,12,2))&lt;=23,FALSE)), OR(MID(metadata!C504,14,1)="", AND(AND(MID(metadata!C504,14,1)=":",IFERROR(INT(MID(metadata!C504,15,1))&gt;=0,FALSE),IFERROR(INT(MID(metadata!C504,15,1))&lt;=5,FALSE),NOT(MID(metadata!C504,16,1)=""),IFERROR(INT(MID(metadata!C504,15,2))&gt;=0,FALSE),IFERROR(INT(MID(metadata!C504,15,2))&lt;=59,FALSE)), OR(MID(metadata!C504,17,1)="", AND(AND(MID(metadata!C504,17,1)=":",IFERROR(INT(MID(metadata!C504,18,1))&gt;=0,FALSE),IFERROR(INT(MID(metadata!C504,18,1))&lt;=5,FALSE),NOT(MID(metadata!C504,19,1)=""),IFERROR(INT(MID(metadata!C504,18,2))&gt;=0,FALSE),IFERROR(INT(MID(metadata!C504,18,2))&lt;=59,FALSE)), LEN(metadata!C504)&lt;=19)))))))))))))</f>
        <v>0</v>
      </c>
      <c r="AO504" t="b">
        <f>AND(IF(metadata!D504="",FALSE,TRUE),EXACT(metadata!D504,"Not applicable"))</f>
        <v>0</v>
      </c>
      <c r="AP504" t="b">
        <f>IF(metadata!E504="",FALSE,TRUE)</f>
        <v>0</v>
      </c>
      <c r="AQ504" t="b">
        <f>OR(AND(IF(metadata!F504="",FALSE,TRUE),OR(EXACT(metadata!F504,"missing: not collected"),EXACT(metadata!F504,"missing: not provided"))),AND(IF(metadata!F504="",FALSE,TRUE),OR(EXACT(metadata!F504,"TRUE"),EXACT(metadata!F504,"FALSE"))))</f>
        <v>0</v>
      </c>
      <c r="AR504" t="b">
        <f>OR(AND(IF(metadata!G504="",FALSE,TRUE),OR(EXACT(metadata!G504,"missing: not collected"),EXACT(metadata!G504,"missing: not provided"),EXACT(metadata!G504,"missing: restricted access"))),AND(IF(metadata!G504="",FALSE,ISNUMBER(VALUE(metadata!G504))),metadata!G504&gt;=-413))</f>
        <v>0</v>
      </c>
      <c r="AS504" t="b">
        <f>AND(IF(metadata!H504="",FALSE,TRUE),EXACT(metadata!H504,"meters"))</f>
        <v>0</v>
      </c>
      <c r="AT504" t="b">
        <f>AND(IF(metadata!I504="",FALSE,TRUE),OR(EXACT(metadata!I504,"Host-associated"),EXACT(metadata!I504,"Free-living")))</f>
        <v>0</v>
      </c>
      <c r="AU504" t="b">
        <f>AND(IF(metadata!J504="",FALSE,TRUE),OR(EXACT(metadata!J504,"Animal"),EXACT(metadata!J504,"Fungus"),EXACT(metadata!J504,"Plant"),EXACT(metadata!J504,"Saline"),EXACT(metadata!J504,"Non-saline")))</f>
        <v>0</v>
      </c>
      <c r="AV504" t="b">
        <f>AND(IF(metadata!K504="",FALSE,TRUE),OR(EXACT(metadata!K504,"Plant secretion"),EXACT(metadata!K504,"Plant rhizosphere"),EXACT(metadata!K504,"Plant surface"),EXACT(metadata!K504,"Plant corpus"),EXACT(metadata!K504,"Fungus surface"),EXACT(metadata!K504,"Fungus corpus"),EXACT(metadata!K504,"Animal surface"),EXACT(metadata!K504,"Animal proximal gut"),EXACT(metadata!K504,"Animal corpus"),EXACT(metadata!K504,"Animal distal gut"),EXACT(metadata!K504,"Animal secretion"),EXACT(metadata!K504,"Sub-surface (non-saline)"),EXACT(metadata!K504,"Surface (non-saline)"),EXACT(metadata!K504,"Water (non-saline)"),EXACT(metadata!K504,"Soil (non-saline)"),EXACT(metadata!K504,"Aerosol (non-saline)"),EXACT(metadata!K504,"Sediment (non-saline)"),EXACT(metadata!K504,"Surface (saline)"),EXACT(metadata!K504,"Water (saline)"),EXACT(metadata!K504,"Hypersaline (saline)"),EXACT(metadata!K504,"Aerosol (saline)"),EXACT(metadata!K504,"Sediment (saline)")))</f>
        <v>0</v>
      </c>
      <c r="AW504" t="b">
        <f>IF(metadata!L504="",FALSE,TRUE)</f>
        <v>0</v>
      </c>
      <c r="AX504" t="b">
        <f>IF(metadata!M504="",FALSE,TRUE)</f>
        <v>0</v>
      </c>
      <c r="AY504" t="b">
        <f>IF(metadata!N504="",FALSE,TRUE)</f>
        <v>0</v>
      </c>
      <c r="AZ504" t="b">
        <f>OR(AND(IF(metadata!O504="",FALSE,TRUE),OR(EXACT(metadata!O504,"missing: not collected"),EXACT(metadata!O504,"missing: not provided"),EXACT(metadata!O504,"missing: restricted access"))),AND(IF(metadata!O504="",FALSE,TRUE),OR(EXACT(metadata!O504,"air"),EXACT(metadata!O504,"built environment"),EXACT(metadata!O504,"host-associated"),EXACT(metadata!O504,"human-associated"),EXACT(metadata!O504,"human-skin"),EXACT(metadata!O504,"human-oral"),EXACT(metadata!O504,"human-gut"),EXACT(metadata!O504,"human-vaginal"),EXACT(metadata!O504,"microbial mat/biofilm"),EXACT(metadata!O504,"misc environment"),EXACT(metadata!O504,"plant-associated"),EXACT(metadata!O504,"sediment"),EXACT(metadata!O504,"soil"),EXACT(metadata!O504,"wastewater/sludge"),EXACT(metadata!O504,"water"))))</f>
        <v>0</v>
      </c>
      <c r="BA504" t="b">
        <f>IF(metadata!P504="",FALSE,TRUE)</f>
        <v>0</v>
      </c>
      <c r="BB504" t="b">
        <f>IF(metadata!Q504="",FALSE,TRUE)</f>
        <v>0</v>
      </c>
      <c r="BC504" t="b">
        <f>OR(AND(IF(metadata!R504="",FALSE,TRUE),OR(EXACT(metadata!R504,"missing: not collected"),EXACT(metadata!R504,"missing: not provided"),EXACT(metadata!R504,"missing: restricted access"))),AND(IF(metadata!R504="",FALSE,ISNUMBER(VALUE(metadata!R504))),metadata!R504&gt;=-90,metadata!R504&lt;=90))</f>
        <v>0</v>
      </c>
      <c r="BD504" t="b">
        <f>AND(IF(metadata!S504="",FALSE,TRUE),EXACT(metadata!S504,"Decimal degrees"))</f>
        <v>0</v>
      </c>
      <c r="BE504" t="b">
        <f>OR(AND(IF(metadata!T504="",FALSE,TRUE),OR(EXACT(metadata!T504,"missing: not collected"),EXACT(metadata!T504,"missing: not provided"),EXACT(metadata!T504,"missing: restricted access"))),AND(IF(metadata!T504="",FALSE,ISNUMBER(VALUE(metadata!T504))),metadata!T504&gt;=-180,metadata!T504&lt;=180))</f>
        <v>0</v>
      </c>
      <c r="BF504" t="b">
        <f>AND(IF(metadata!U504="",FALSE,TRUE),EXACT(metadata!U504,"Decimal degrees"))</f>
        <v>0</v>
      </c>
      <c r="BG504" t="b">
        <f>IF(metadata!V504="",FALSE,TRUE)</f>
        <v>0</v>
      </c>
      <c r="BH504" t="b">
        <f>OR(AND(IF(metadata!W504="",FALSE,TRUE),OR(EXACT(metadata!W504,"missing: not collected"),EXACT(metadata!W504,"missing: not provided"),EXACT(metadata!W504,"missing: restricted access"))),AND(IF(metadata!W504="",FALSE,TRUE),OR(EXACT(metadata!W504,"TRUE"),EXACT(metadata!W504,"FALSE"))))</f>
        <v>0</v>
      </c>
      <c r="BI504" t="b">
        <f>AND(IF(metadata!X504="",FALSE,TRUE),EXACT(metadata!X504,"other"))</f>
        <v>0</v>
      </c>
      <c r="BJ504" t="b">
        <f>IF(metadata!Y504="",FALSE,TRUE)</f>
        <v>0</v>
      </c>
      <c r="BK504" t="b">
        <f>OR(AND(IF(metadata!Z504="",FALSE,TRUE),OR(EXACT(metadata!Z504,"missing: not collected"),EXACT(metadata!Z504,"missing: not provided"))),AND(IF(metadata!Z504="",FALSE,IF(ISERROR(INT(metadata!Z504)),FALSE,INT(metadata!Z504)=metadata!Z504)),metadata!Z504&gt;0))</f>
        <v>0</v>
      </c>
      <c r="BL504" t="b">
        <f>AND(IF(metadata!AA504="",FALSE,TRUE),EXACT(metadata!AA504,"Not applicable"))</f>
        <v>0</v>
      </c>
      <c r="BM504" t="b">
        <f>IF(metadata!AB504="",FALSE,TRUE)</f>
        <v>0</v>
      </c>
    </row>
    <row r="505" spans="1:65" x14ac:dyDescent="0.2">
      <c r="A505" s="5" t="str">
        <f ca="1">IF(B505=" "," ",HYPERLINK(CONCATENATE("#metadata!",ADDRESS(INDEX($AH$2:$AH$1001,MATCH(ROWS($AF$2:AF505),$AF$2:$AF$1001,0),0),1)),INDEX($AK$2:$AK$1001,MATCH(ROWS($AF$2:AF505),$AF$2:$AF$1001,0),0)))</f>
        <v xml:space="preserve"> </v>
      </c>
      <c r="B505" s="4" t="str">
        <f ca="1">IF(OR(INDEX($AG$2:$AG$1001,MATCH(ROWS($AF$2:AF505),$AF$2:$AF$1001,0),1)&gt;=100000,INDEX($AM$1005:$BM$1005,1,MATCH(COLUMNS($AM$1006:AM1006),$AM$1006:$BM$1006,0))&gt;=100000), " ",IF(INDEX($AM$2:$BM$1001,MATCH(ROWS($AF$2:AF505),$AF$2:$AF$1001,0),MATCH(COLUMNS($AM$1006:AM1006),$AM$1006:$BM$1006,0)), HYPERLINK("#",""), HYPERLINK(CONCATENATE("#metadata!", ADDRESS(INDEX($AH$2:$AH$1001,MATCH(ROWS($AF$2:AF505),$AF$2:$AF$1001,0),0), INDEX($AM$1004:$BM$1004,1,MATCH(COLUMNS($AM$1006:AM1006),$AM$1006:$BM$1006,0)))),"Fix")))</f>
        <v xml:space="preserve"> </v>
      </c>
      <c r="C505" s="4" t="str">
        <f ca="1">IF(OR(INDEX($AG$2:$AG$1001,MATCH(ROWS($AF$2:AF505),$AF$2:$AF$1001,0),1)&gt;=100000,INDEX($AM$1005:$BM$1005,1,MATCH(COLUMNS($AM$1006:AN1006),$AM$1006:$BM$1006,0))&gt;=100000), " ",IF(INDEX($AM$2:$BM$1001,MATCH(ROWS($AF$2:AF505),$AF$2:$AF$1001,0),MATCH(COLUMNS($AM$1006:AN1006),$AM$1006:$BM$1006,0)), HYPERLINK("#",""), HYPERLINK(CONCATENATE("#metadata!", ADDRESS(INDEX($AH$2:$AH$1001,MATCH(ROWS($AF$2:AF505),$AF$2:$AF$1001,0),0), INDEX($AM$1004:$BM$1004,1,MATCH(COLUMNS($AM$1006:AN1006),$AM$1006:$BM$1006,0)))),"Fix")))</f>
        <v xml:space="preserve"> </v>
      </c>
      <c r="D505" s="4" t="str">
        <f ca="1">IF(OR(INDEX($AG$2:$AG$1001,MATCH(ROWS($AF$2:AF505),$AF$2:$AF$1001,0),1)&gt;=100000,INDEX($AM$1005:$BM$1005,1,MATCH(COLUMNS($AM$1006:AO1006),$AM$1006:$BM$1006,0))&gt;=100000), " ",IF(INDEX($AM$2:$BM$1001,MATCH(ROWS($AF$2:AF505),$AF$2:$AF$1001,0),MATCH(COLUMNS($AM$1006:AO1006),$AM$1006:$BM$1006,0)), HYPERLINK("#",""), HYPERLINK(CONCATENATE("#metadata!", ADDRESS(INDEX($AH$2:$AH$1001,MATCH(ROWS($AF$2:AF505),$AF$2:$AF$1001,0),0), INDEX($AM$1004:$BM$1004,1,MATCH(COLUMNS($AM$1006:AO1006),$AM$1006:$BM$1006,0)))),"Fix")))</f>
        <v xml:space="preserve"> </v>
      </c>
      <c r="E505" s="4" t="str">
        <f ca="1">IF(OR(INDEX($AG$2:$AG$1001,MATCH(ROWS($AF$2:AF505),$AF$2:$AF$1001,0),1)&gt;=100000,INDEX($AM$1005:$BM$1005,1,MATCH(COLUMNS($AM$1006:AP1006),$AM$1006:$BM$1006,0))&gt;=100000), " ",IF(INDEX($AM$2:$BM$1001,MATCH(ROWS($AF$2:AF505),$AF$2:$AF$1001,0),MATCH(COLUMNS($AM$1006:AP1006),$AM$1006:$BM$1006,0)), HYPERLINK("#",""), HYPERLINK(CONCATENATE("#metadata!", ADDRESS(INDEX($AH$2:$AH$1001,MATCH(ROWS($AF$2:AF505),$AF$2:$AF$1001,0),0), INDEX($AM$1004:$BM$1004,1,MATCH(COLUMNS($AM$1006:AP1006),$AM$1006:$BM$1006,0)))),"Fix")))</f>
        <v xml:space="preserve"> </v>
      </c>
      <c r="F505" s="4" t="str">
        <f ca="1">IF(OR(INDEX($AG$2:$AG$1001,MATCH(ROWS($AF$2:AF505),$AF$2:$AF$1001,0),1)&gt;=100000,INDEX($AM$1005:$BM$1005,1,MATCH(COLUMNS($AM$1006:AQ1006),$AM$1006:$BM$1006,0))&gt;=100000), " ",IF(INDEX($AM$2:$BM$1001,MATCH(ROWS($AF$2:AF505),$AF$2:$AF$1001,0),MATCH(COLUMNS($AM$1006:AQ1006),$AM$1006:$BM$1006,0)), HYPERLINK("#",""), HYPERLINK(CONCATENATE("#metadata!", ADDRESS(INDEX($AH$2:$AH$1001,MATCH(ROWS($AF$2:AF505),$AF$2:$AF$1001,0),0), INDEX($AM$1004:$BM$1004,1,MATCH(COLUMNS($AM$1006:AQ1006),$AM$1006:$BM$1006,0)))),"Fix")))</f>
        <v xml:space="preserve"> </v>
      </c>
      <c r="G505" s="4" t="str">
        <f ca="1">IF(OR(INDEX($AG$2:$AG$1001,MATCH(ROWS($AF$2:AF505),$AF$2:$AF$1001,0),1)&gt;=100000,INDEX($AM$1005:$BM$1005,1,MATCH(COLUMNS($AM$1006:AR1006),$AM$1006:$BM$1006,0))&gt;=100000), " ",IF(INDEX($AM$2:$BM$1001,MATCH(ROWS($AF$2:AF505),$AF$2:$AF$1001,0),MATCH(COLUMNS($AM$1006:AR1006),$AM$1006:$BM$1006,0)), HYPERLINK("#",""), HYPERLINK(CONCATENATE("#metadata!", ADDRESS(INDEX($AH$2:$AH$1001,MATCH(ROWS($AF$2:AF505),$AF$2:$AF$1001,0),0), INDEX($AM$1004:$BM$1004,1,MATCH(COLUMNS($AM$1006:AR1006),$AM$1006:$BM$1006,0)))),"Fix")))</f>
        <v xml:space="preserve"> </v>
      </c>
      <c r="H505" s="4" t="str">
        <f ca="1">IF(OR(INDEX($AG$2:$AG$1001,MATCH(ROWS($AF$2:AF505),$AF$2:$AF$1001,0),1)&gt;=100000,INDEX($AM$1005:$BM$1005,1,MATCH(COLUMNS($AM$1006:AS1006),$AM$1006:$BM$1006,0))&gt;=100000), " ",IF(INDEX($AM$2:$BM$1001,MATCH(ROWS($AF$2:AF505),$AF$2:$AF$1001,0),MATCH(COLUMNS($AM$1006:AS1006),$AM$1006:$BM$1006,0)), HYPERLINK("#",""), HYPERLINK(CONCATENATE("#metadata!", ADDRESS(INDEX($AH$2:$AH$1001,MATCH(ROWS($AF$2:AF505),$AF$2:$AF$1001,0),0), INDEX($AM$1004:$BM$1004,1,MATCH(COLUMNS($AM$1006:AS1006),$AM$1006:$BM$1006,0)))),"Fix")))</f>
        <v xml:space="preserve"> </v>
      </c>
      <c r="I505" s="4" t="str">
        <f ca="1">IF(OR(INDEX($AG$2:$AG$1001,MATCH(ROWS($AF$2:AF505),$AF$2:$AF$1001,0),1)&gt;=100000,INDEX($AM$1005:$BM$1005,1,MATCH(COLUMNS($AM$1006:AT1006),$AM$1006:$BM$1006,0))&gt;=100000), " ",IF(INDEX($AM$2:$BM$1001,MATCH(ROWS($AF$2:AF505),$AF$2:$AF$1001,0),MATCH(COLUMNS($AM$1006:AT1006),$AM$1006:$BM$1006,0)), HYPERLINK("#",""), HYPERLINK(CONCATENATE("#metadata!", ADDRESS(INDEX($AH$2:$AH$1001,MATCH(ROWS($AF$2:AF505),$AF$2:$AF$1001,0),0), INDEX($AM$1004:$BM$1004,1,MATCH(COLUMNS($AM$1006:AT1006),$AM$1006:$BM$1006,0)))),"Fix")))</f>
        <v xml:space="preserve"> </v>
      </c>
      <c r="J505" s="4" t="str">
        <f ca="1">IF(OR(INDEX($AG$2:$AG$1001,MATCH(ROWS($AF$2:AF505),$AF$2:$AF$1001,0),1)&gt;=100000,INDEX($AM$1005:$BM$1005,1,MATCH(COLUMNS($AM$1006:AU1006),$AM$1006:$BM$1006,0))&gt;=100000), " ",IF(INDEX($AM$2:$BM$1001,MATCH(ROWS($AF$2:AF505),$AF$2:$AF$1001,0),MATCH(COLUMNS($AM$1006:AU1006),$AM$1006:$BM$1006,0)), HYPERLINK("#",""), HYPERLINK(CONCATENATE("#metadata!", ADDRESS(INDEX($AH$2:$AH$1001,MATCH(ROWS($AF$2:AF505),$AF$2:$AF$1001,0),0), INDEX($AM$1004:$BM$1004,1,MATCH(COLUMNS($AM$1006:AU1006),$AM$1006:$BM$1006,0)))),"Fix")))</f>
        <v xml:space="preserve"> </v>
      </c>
      <c r="K505" s="4" t="str">
        <f ca="1">IF(OR(INDEX($AG$2:$AG$1001,MATCH(ROWS($AF$2:AF505),$AF$2:$AF$1001,0),1)&gt;=100000,INDEX($AM$1005:$BM$1005,1,MATCH(COLUMNS($AM$1006:AV1006),$AM$1006:$BM$1006,0))&gt;=100000), " ",IF(INDEX($AM$2:$BM$1001,MATCH(ROWS($AF$2:AF505),$AF$2:$AF$1001,0),MATCH(COLUMNS($AM$1006:AV1006),$AM$1006:$BM$1006,0)), HYPERLINK("#",""), HYPERLINK(CONCATENATE("#metadata!", ADDRESS(INDEX($AH$2:$AH$1001,MATCH(ROWS($AF$2:AF505),$AF$2:$AF$1001,0),0), INDEX($AM$1004:$BM$1004,1,MATCH(COLUMNS($AM$1006:AV1006),$AM$1006:$BM$1006,0)))),"Fix")))</f>
        <v xml:space="preserve"> </v>
      </c>
      <c r="L505" s="4" t="str">
        <f ca="1">IF(OR(INDEX($AG$2:$AG$1001,MATCH(ROWS($AF$2:AF505),$AF$2:$AF$1001,0),1)&gt;=100000,INDEX($AM$1005:$BM$1005,1,MATCH(COLUMNS($AM$1006:AW1006),$AM$1006:$BM$1006,0))&gt;=100000), " ",IF(INDEX($AM$2:$BM$1001,MATCH(ROWS($AF$2:AF505),$AF$2:$AF$1001,0),MATCH(COLUMNS($AM$1006:AW1006),$AM$1006:$BM$1006,0)), HYPERLINK("#",""), HYPERLINK(CONCATENATE("#metadata!", ADDRESS(INDEX($AH$2:$AH$1001,MATCH(ROWS($AF$2:AF505),$AF$2:$AF$1001,0),0), INDEX($AM$1004:$BM$1004,1,MATCH(COLUMNS($AM$1006:AW1006),$AM$1006:$BM$1006,0)))),"Fix")))</f>
        <v xml:space="preserve"> </v>
      </c>
      <c r="M505" s="4" t="str">
        <f ca="1">IF(OR(INDEX($AG$2:$AG$1001,MATCH(ROWS($AF$2:AF505),$AF$2:$AF$1001,0),1)&gt;=100000,INDEX($AM$1005:$BM$1005,1,MATCH(COLUMNS($AM$1006:AX1006),$AM$1006:$BM$1006,0))&gt;=100000), " ",IF(INDEX($AM$2:$BM$1001,MATCH(ROWS($AF$2:AF505),$AF$2:$AF$1001,0),MATCH(COLUMNS($AM$1006:AX1006),$AM$1006:$BM$1006,0)), HYPERLINK("#",""), HYPERLINK(CONCATENATE("#metadata!", ADDRESS(INDEX($AH$2:$AH$1001,MATCH(ROWS($AF$2:AF505),$AF$2:$AF$1001,0),0), INDEX($AM$1004:$BM$1004,1,MATCH(COLUMNS($AM$1006:AX1006),$AM$1006:$BM$1006,0)))),"Fix")))</f>
        <v xml:space="preserve"> </v>
      </c>
      <c r="N505" s="4" t="str">
        <f ca="1">IF(OR(INDEX($AG$2:$AG$1001,MATCH(ROWS($AF$2:AF505),$AF$2:$AF$1001,0),1)&gt;=100000,INDEX($AM$1005:$BM$1005,1,MATCH(COLUMNS($AM$1006:AY1006),$AM$1006:$BM$1006,0))&gt;=100000), " ",IF(INDEX($AM$2:$BM$1001,MATCH(ROWS($AF$2:AF505),$AF$2:$AF$1001,0),MATCH(COLUMNS($AM$1006:AY1006),$AM$1006:$BM$1006,0)), HYPERLINK("#",""), HYPERLINK(CONCATENATE("#metadata!", ADDRESS(INDEX($AH$2:$AH$1001,MATCH(ROWS($AF$2:AF505),$AF$2:$AF$1001,0),0), INDEX($AM$1004:$BM$1004,1,MATCH(COLUMNS($AM$1006:AY1006),$AM$1006:$BM$1006,0)))),"Fix")))</f>
        <v xml:space="preserve"> </v>
      </c>
      <c r="O505" s="4" t="str">
        <f ca="1">IF(OR(INDEX($AG$2:$AG$1001,MATCH(ROWS($AF$2:AF505),$AF$2:$AF$1001,0),1)&gt;=100000,INDEX($AM$1005:$BM$1005,1,MATCH(COLUMNS($AM$1006:AZ1006),$AM$1006:$BM$1006,0))&gt;=100000), " ",IF(INDEX($AM$2:$BM$1001,MATCH(ROWS($AF$2:AF505),$AF$2:$AF$1001,0),MATCH(COLUMNS($AM$1006:AZ1006),$AM$1006:$BM$1006,0)), HYPERLINK("#",""), HYPERLINK(CONCATENATE("#metadata!", ADDRESS(INDEX($AH$2:$AH$1001,MATCH(ROWS($AF$2:AF505),$AF$2:$AF$1001,0),0), INDEX($AM$1004:$BM$1004,1,MATCH(COLUMNS($AM$1006:AZ1006),$AM$1006:$BM$1006,0)))),"Fix")))</f>
        <v xml:space="preserve"> </v>
      </c>
      <c r="P505" s="4" t="str">
        <f ca="1">IF(OR(INDEX($AG$2:$AG$1001,MATCH(ROWS($AF$2:AF505),$AF$2:$AF$1001,0),1)&gt;=100000,INDEX($AM$1005:$BM$1005,1,MATCH(COLUMNS($AM$1006:BA1006),$AM$1006:$BM$1006,0))&gt;=100000), " ",IF(INDEX($AM$2:$BM$1001,MATCH(ROWS($AF$2:AF505),$AF$2:$AF$1001,0),MATCH(COLUMNS($AM$1006:BA1006),$AM$1006:$BM$1006,0)), HYPERLINK("#",""), HYPERLINK(CONCATENATE("#metadata!", ADDRESS(INDEX($AH$2:$AH$1001,MATCH(ROWS($AF$2:AF505),$AF$2:$AF$1001,0),0), INDEX($AM$1004:$BM$1004,1,MATCH(COLUMNS($AM$1006:BA1006),$AM$1006:$BM$1006,0)))),"Fix")))</f>
        <v xml:space="preserve"> </v>
      </c>
      <c r="Q505" s="4" t="str">
        <f ca="1">IF(OR(INDEX($AG$2:$AG$1001,MATCH(ROWS($AF$2:AF505),$AF$2:$AF$1001,0),1)&gt;=100000,INDEX($AM$1005:$BM$1005,1,MATCH(COLUMNS($AM$1006:BB1006),$AM$1006:$BM$1006,0))&gt;=100000), " ",IF(INDEX($AM$2:$BM$1001,MATCH(ROWS($AF$2:AF505),$AF$2:$AF$1001,0),MATCH(COLUMNS($AM$1006:BB1006),$AM$1006:$BM$1006,0)), HYPERLINK("#",""), HYPERLINK(CONCATENATE("#metadata!", ADDRESS(INDEX($AH$2:$AH$1001,MATCH(ROWS($AF$2:AF505),$AF$2:$AF$1001,0),0), INDEX($AM$1004:$BM$1004,1,MATCH(COLUMNS($AM$1006:BB1006),$AM$1006:$BM$1006,0)))),"Fix")))</f>
        <v xml:space="preserve"> </v>
      </c>
      <c r="R505" s="4" t="str">
        <f ca="1">IF(OR(INDEX($AG$2:$AG$1001,MATCH(ROWS($AF$2:AF505),$AF$2:$AF$1001,0),1)&gt;=100000,INDEX($AM$1005:$BM$1005,1,MATCH(COLUMNS($AM$1006:BC1006),$AM$1006:$BM$1006,0))&gt;=100000), " ",IF(INDEX($AM$2:$BM$1001,MATCH(ROWS($AF$2:AF505),$AF$2:$AF$1001,0),MATCH(COLUMNS($AM$1006:BC1006),$AM$1006:$BM$1006,0)), HYPERLINK("#",""), HYPERLINK(CONCATENATE("#metadata!", ADDRESS(INDEX($AH$2:$AH$1001,MATCH(ROWS($AF$2:AF505),$AF$2:$AF$1001,0),0), INDEX($AM$1004:$BM$1004,1,MATCH(COLUMNS($AM$1006:BC1006),$AM$1006:$BM$1006,0)))),"Fix")))</f>
        <v xml:space="preserve"> </v>
      </c>
      <c r="S505" s="4" t="str">
        <f ca="1">IF(OR(INDEX($AG$2:$AG$1001,MATCH(ROWS($AF$2:AF505),$AF$2:$AF$1001,0),1)&gt;=100000,INDEX($AM$1005:$BM$1005,1,MATCH(COLUMNS($AM$1006:BD1006),$AM$1006:$BM$1006,0))&gt;=100000), " ",IF(INDEX($AM$2:$BM$1001,MATCH(ROWS($AF$2:AF505),$AF$2:$AF$1001,0),MATCH(COLUMNS($AM$1006:BD1006),$AM$1006:$BM$1006,0)), HYPERLINK("#",""), HYPERLINK(CONCATENATE("#metadata!", ADDRESS(INDEX($AH$2:$AH$1001,MATCH(ROWS($AF$2:AF505),$AF$2:$AF$1001,0),0), INDEX($AM$1004:$BM$1004,1,MATCH(COLUMNS($AM$1006:BD1006),$AM$1006:$BM$1006,0)))),"Fix")))</f>
        <v xml:space="preserve"> </v>
      </c>
      <c r="T505" s="4" t="str">
        <f ca="1">IF(OR(INDEX($AG$2:$AG$1001,MATCH(ROWS($AF$2:AF505),$AF$2:$AF$1001,0),1)&gt;=100000,INDEX($AM$1005:$BM$1005,1,MATCH(COLUMNS($AM$1006:BE1006),$AM$1006:$BM$1006,0))&gt;=100000), " ",IF(INDEX($AM$2:$BM$1001,MATCH(ROWS($AF$2:AF505),$AF$2:$AF$1001,0),MATCH(COLUMNS($AM$1006:BE1006),$AM$1006:$BM$1006,0)), HYPERLINK("#",""), HYPERLINK(CONCATENATE("#metadata!", ADDRESS(INDEX($AH$2:$AH$1001,MATCH(ROWS($AF$2:AF505),$AF$2:$AF$1001,0),0), INDEX($AM$1004:$BM$1004,1,MATCH(COLUMNS($AM$1006:BE1006),$AM$1006:$BM$1006,0)))),"Fix")))</f>
        <v xml:space="preserve"> </v>
      </c>
      <c r="U505" s="4" t="str">
        <f ca="1">IF(OR(INDEX($AG$2:$AG$1001,MATCH(ROWS($AF$2:AF505),$AF$2:$AF$1001,0),1)&gt;=100000,INDEX($AM$1005:$BM$1005,1,MATCH(COLUMNS($AM$1006:BF1006),$AM$1006:$BM$1006,0))&gt;=100000), " ",IF(INDEX($AM$2:$BM$1001,MATCH(ROWS($AF$2:AF505),$AF$2:$AF$1001,0),MATCH(COLUMNS($AM$1006:BF1006),$AM$1006:$BM$1006,0)), HYPERLINK("#",""), HYPERLINK(CONCATENATE("#metadata!", ADDRESS(INDEX($AH$2:$AH$1001,MATCH(ROWS($AF$2:AF505),$AF$2:$AF$1001,0),0), INDEX($AM$1004:$BM$1004,1,MATCH(COLUMNS($AM$1006:BF1006),$AM$1006:$BM$1006,0)))),"Fix")))</f>
        <v xml:space="preserve"> </v>
      </c>
      <c r="V505" s="4" t="str">
        <f ca="1">IF(OR(INDEX($AG$2:$AG$1001,MATCH(ROWS($AF$2:AF505),$AF$2:$AF$1001,0),1)&gt;=100000,INDEX($AM$1005:$BM$1005,1,MATCH(COLUMNS($AM$1006:BG1006),$AM$1006:$BM$1006,0))&gt;=100000), " ",IF(INDEX($AM$2:$BM$1001,MATCH(ROWS($AF$2:AF505),$AF$2:$AF$1001,0),MATCH(COLUMNS($AM$1006:BG1006),$AM$1006:$BM$1006,0)), HYPERLINK("#",""), HYPERLINK(CONCATENATE("#metadata!", ADDRESS(INDEX($AH$2:$AH$1001,MATCH(ROWS($AF$2:AF505),$AF$2:$AF$1001,0),0), INDEX($AM$1004:$BM$1004,1,MATCH(COLUMNS($AM$1006:BG1006),$AM$1006:$BM$1006,0)))),"Fix")))</f>
        <v xml:space="preserve"> </v>
      </c>
      <c r="W505" s="4" t="str">
        <f ca="1">IF(OR(INDEX($AG$2:$AG$1001,MATCH(ROWS($AF$2:AF505),$AF$2:$AF$1001,0),1)&gt;=100000,INDEX($AM$1005:$BM$1005,1,MATCH(COLUMNS($AM$1006:BH1006),$AM$1006:$BM$1006,0))&gt;=100000), " ",IF(INDEX($AM$2:$BM$1001,MATCH(ROWS($AF$2:AF505),$AF$2:$AF$1001,0),MATCH(COLUMNS($AM$1006:BH1006),$AM$1006:$BM$1006,0)), HYPERLINK("#",""), HYPERLINK(CONCATENATE("#metadata!", ADDRESS(INDEX($AH$2:$AH$1001,MATCH(ROWS($AF$2:AF505),$AF$2:$AF$1001,0),0), INDEX($AM$1004:$BM$1004,1,MATCH(COLUMNS($AM$1006:BH1006),$AM$1006:$BM$1006,0)))),"Fix")))</f>
        <v xml:space="preserve"> </v>
      </c>
      <c r="X505" s="4" t="str">
        <f ca="1">IF(OR(INDEX($AG$2:$AG$1001,MATCH(ROWS($AF$2:AF505),$AF$2:$AF$1001,0),1)&gt;=100000,INDEX($AM$1005:$BM$1005,1,MATCH(COLUMNS($AM$1006:BI1006),$AM$1006:$BM$1006,0))&gt;=100000), " ",IF(INDEX($AM$2:$BM$1001,MATCH(ROWS($AF$2:AF505),$AF$2:$AF$1001,0),MATCH(COLUMNS($AM$1006:BI1006),$AM$1006:$BM$1006,0)), HYPERLINK("#",""), HYPERLINK(CONCATENATE("#metadata!", ADDRESS(INDEX($AH$2:$AH$1001,MATCH(ROWS($AF$2:AF505),$AF$2:$AF$1001,0),0), INDEX($AM$1004:$BM$1004,1,MATCH(COLUMNS($AM$1006:BI1006),$AM$1006:$BM$1006,0)))),"Fix")))</f>
        <v xml:space="preserve"> </v>
      </c>
      <c r="Y505" s="4" t="str">
        <f ca="1">IF(OR(INDEX($AG$2:$AG$1001,MATCH(ROWS($AF$2:AF505),$AF$2:$AF$1001,0),1)&gt;=100000,INDEX($AM$1005:$BM$1005,1,MATCH(COLUMNS($AM$1006:BJ1006),$AM$1006:$BM$1006,0))&gt;=100000), " ",IF(INDEX($AM$2:$BM$1001,MATCH(ROWS($AF$2:AF505),$AF$2:$AF$1001,0),MATCH(COLUMNS($AM$1006:BJ1006),$AM$1006:$BM$1006,0)), HYPERLINK("#",""), HYPERLINK(CONCATENATE("#metadata!", ADDRESS(INDEX($AH$2:$AH$1001,MATCH(ROWS($AF$2:AF505),$AF$2:$AF$1001,0),0), INDEX($AM$1004:$BM$1004,1,MATCH(COLUMNS($AM$1006:BJ1006),$AM$1006:$BM$1006,0)))),"Fix")))</f>
        <v xml:space="preserve"> </v>
      </c>
      <c r="Z505" s="4" t="str">
        <f ca="1">IF(OR(INDEX($AG$2:$AG$1001,MATCH(ROWS($AF$2:AF505),$AF$2:$AF$1001,0),1)&gt;=100000,INDEX($AM$1005:$BM$1005,1,MATCH(COLUMNS($AM$1006:BK1006),$AM$1006:$BM$1006,0))&gt;=100000), " ",IF(INDEX($AM$2:$BM$1001,MATCH(ROWS($AF$2:AF505),$AF$2:$AF$1001,0),MATCH(COLUMNS($AM$1006:BK1006),$AM$1006:$BM$1006,0)), HYPERLINK("#",""), HYPERLINK(CONCATENATE("#metadata!", ADDRESS(INDEX($AH$2:$AH$1001,MATCH(ROWS($AF$2:AF505),$AF$2:$AF$1001,0),0), INDEX($AM$1004:$BM$1004,1,MATCH(COLUMNS($AM$1006:BK1006),$AM$1006:$BM$1006,0)))),"Fix")))</f>
        <v xml:space="preserve"> </v>
      </c>
      <c r="AA505" s="4" t="str">
        <f ca="1">IF(OR(INDEX($AG$2:$AG$1001,MATCH(ROWS($AF$2:AF505),$AF$2:$AF$1001,0),1)&gt;=100000,INDEX($AM$1005:$BM$1005,1,MATCH(COLUMNS($AM$1006:BL1006),$AM$1006:$BM$1006,0))&gt;=100000), " ",IF(INDEX($AM$2:$BM$1001,MATCH(ROWS($AF$2:AF505),$AF$2:$AF$1001,0),MATCH(COLUMNS($AM$1006:BL1006),$AM$1006:$BM$1006,0)), HYPERLINK("#",""), HYPERLINK(CONCATENATE("#metadata!", ADDRESS(INDEX($AH$2:$AH$1001,MATCH(ROWS($AF$2:AF505),$AF$2:$AF$1001,0),0), INDEX($AM$1004:$BM$1004,1,MATCH(COLUMNS($AM$1006:BL1006),$AM$1006:$BM$1006,0)))),"Fix")))</f>
        <v xml:space="preserve"> </v>
      </c>
      <c r="AB505" s="4" t="str">
        <f ca="1">IF(OR(INDEX($AG$2:$AG$1001,MATCH(ROWS($AF$2:AF505),$AF$2:$AF$1001,0),1)&gt;=100000,INDEX($AM$1005:$BM$1005,1,MATCH(COLUMNS($AM$1006:BM1006),$AM$1006:$BM$1006,0))&gt;=100000), " ",IF(INDEX($AM$2:$BM$1001,MATCH(ROWS($AF$2:AF505),$AF$2:$AF$1001,0),MATCH(COLUMNS($AM$1006:BM1006),$AM$1006:$BM$1006,0)), HYPERLINK("#",""), HYPERLINK(CONCATENATE("#metadata!", ADDRESS(INDEX($AH$2:$AH$1001,MATCH(ROWS($AF$2:AF505),$AF$2:$AF$1001,0),0), INDEX($AM$1004:$BM$1004,1,MATCH(COLUMNS($AM$1006:BM1006),$AM$1006:$BM$1006,0)))),"Fix")))</f>
        <v xml:space="preserve"> </v>
      </c>
      <c r="AF505">
        <v>504</v>
      </c>
      <c r="AG505">
        <v>100505</v>
      </c>
      <c r="AH505">
        <v>505</v>
      </c>
      <c r="AI505" t="b">
        <f t="shared" si="7"/>
        <v>1</v>
      </c>
      <c r="AJ505" t="b">
        <f>COUNTBLANK(metadata!B505:AB505)=COLUMNS(metadata!B505:AB505)</f>
        <v>1</v>
      </c>
      <c r="AK505" t="str">
        <v/>
      </c>
      <c r="AM505" t="b">
        <f ca="1">AND(IF(metadata!B505="",FALSE,TRUE),COUNTIF(metadata!B:B, metadata!B505) = 1,NOT(ISERROR(SUMPRODUCT(SEARCH(MID(metadata!B505,ROW(INDIRECT("1:"&amp;LEN(metadata!B505))), 1),"0123456789abcdefghijklmnopqrstuvwxyzABCDEFGHIJKLMNOPQRSTUVWXYZ.")))))</f>
        <v>0</v>
      </c>
      <c r="AN505" t="b">
        <f ca="1">OR(AND(IF(metadata!C505="",FALSE,TRUE),OR(EXACT(metadata!C505,"missing: not collected"),EXACT(metadata!C505,"missing: not provided"),EXACT(metadata!C505,"missing: restricted access"))),AND(IF(metadata!C505="",FALSE,TRUE),AND(AND(IFERROR(INT(LEFT(metadata!C505,4))&gt;1900,FALSE),IFERROR(INT(LEFT(metadata!C505,4))&lt;=YEAR(NOW()),FALSE)), OR(MID(metadata!C505,5,1)="", AND(AND(MID(metadata!C505,5,1)="-",IFERROR(INT(MID(metadata!C505,6,1))&gt;=0,FALSE),IFERROR(INT(MID(metadata!C505,6,1))&lt;=1,FALSE),NOT(MID(metadata!C505,7,1)=""),IFERROR(INT(MID(metadata!C505,6,2))&gt;=1,FALSE),IFERROR(INT(MID(metadata!C505,6,2))&lt;=12,FALSE)), OR(MID(metadata!C505,8,1)="", AND(AND(MID(metadata!C505,8,1)="-",IFERROR(INT(MID(metadata!C505,9,1))&gt;=0,FALSE),IFERROR(INT(MID(metadata!C505,9,1))&lt;=3,FALSE),NOT(MID(metadata!C505,10,1)=""),IFERROR(INT(MID(metadata!C505,9,2))&gt;=1,FALSE),IFERROR(INT(MID(metadata!C505,9,2))&lt;=31,FALSE)), OR(MID(metadata!C505,11,1)="", AND(AND(MID(metadata!C505,11,1)=" ",IFERROR(INT(MID(metadata!C505,12,1))&gt;=0,FALSE),IFERROR(INT(MID(metadata!C505,12,1))&lt;=2,FALSE),NOT(MID(metadata!C505,13,1)=""),IFERROR(INT(MID(metadata!C505,12,2))&gt;=0,FALSE),IFERROR(INT(MID(metadata!C505,12,2))&lt;=23,FALSE)), OR(MID(metadata!C505,14,1)="", AND(AND(MID(metadata!C505,14,1)=":",IFERROR(INT(MID(metadata!C505,15,1))&gt;=0,FALSE),IFERROR(INT(MID(metadata!C505,15,1))&lt;=5,FALSE),NOT(MID(metadata!C505,16,1)=""),IFERROR(INT(MID(metadata!C505,15,2))&gt;=0,FALSE),IFERROR(INT(MID(metadata!C505,15,2))&lt;=59,FALSE)), OR(MID(metadata!C505,17,1)="", AND(AND(MID(metadata!C505,17,1)=":",IFERROR(INT(MID(metadata!C505,18,1))&gt;=0,FALSE),IFERROR(INT(MID(metadata!C505,18,1))&lt;=5,FALSE),NOT(MID(metadata!C505,19,1)=""),IFERROR(INT(MID(metadata!C505,18,2))&gt;=0,FALSE),IFERROR(INT(MID(metadata!C505,18,2))&lt;=59,FALSE)), LEN(metadata!C505)&lt;=19)))))))))))))</f>
        <v>0</v>
      </c>
      <c r="AO505" t="b">
        <f>AND(IF(metadata!D505="",FALSE,TRUE),EXACT(metadata!D505,"Not applicable"))</f>
        <v>0</v>
      </c>
      <c r="AP505" t="b">
        <f>IF(metadata!E505="",FALSE,TRUE)</f>
        <v>0</v>
      </c>
      <c r="AQ505" t="b">
        <f>OR(AND(IF(metadata!F505="",FALSE,TRUE),OR(EXACT(metadata!F505,"missing: not collected"),EXACT(metadata!F505,"missing: not provided"))),AND(IF(metadata!F505="",FALSE,TRUE),OR(EXACT(metadata!F505,"TRUE"),EXACT(metadata!F505,"FALSE"))))</f>
        <v>0</v>
      </c>
      <c r="AR505" t="b">
        <f>OR(AND(IF(metadata!G505="",FALSE,TRUE),OR(EXACT(metadata!G505,"missing: not collected"),EXACT(metadata!G505,"missing: not provided"),EXACT(metadata!G505,"missing: restricted access"))),AND(IF(metadata!G505="",FALSE,ISNUMBER(VALUE(metadata!G505))),metadata!G505&gt;=-413))</f>
        <v>0</v>
      </c>
      <c r="AS505" t="b">
        <f>AND(IF(metadata!H505="",FALSE,TRUE),EXACT(metadata!H505,"meters"))</f>
        <v>0</v>
      </c>
      <c r="AT505" t="b">
        <f>AND(IF(metadata!I505="",FALSE,TRUE),OR(EXACT(metadata!I505,"Host-associated"),EXACT(metadata!I505,"Free-living")))</f>
        <v>0</v>
      </c>
      <c r="AU505" t="b">
        <f>AND(IF(metadata!J505="",FALSE,TRUE),OR(EXACT(metadata!J505,"Animal"),EXACT(metadata!J505,"Fungus"),EXACT(metadata!J505,"Plant"),EXACT(metadata!J505,"Saline"),EXACT(metadata!J505,"Non-saline")))</f>
        <v>0</v>
      </c>
      <c r="AV505" t="b">
        <f>AND(IF(metadata!K505="",FALSE,TRUE),OR(EXACT(metadata!K505,"Plant secretion"),EXACT(metadata!K505,"Plant rhizosphere"),EXACT(metadata!K505,"Plant surface"),EXACT(metadata!K505,"Plant corpus"),EXACT(metadata!K505,"Fungus surface"),EXACT(metadata!K505,"Fungus corpus"),EXACT(metadata!K505,"Animal surface"),EXACT(metadata!K505,"Animal proximal gut"),EXACT(metadata!K505,"Animal corpus"),EXACT(metadata!K505,"Animal distal gut"),EXACT(metadata!K505,"Animal secretion"),EXACT(metadata!K505,"Sub-surface (non-saline)"),EXACT(metadata!K505,"Surface (non-saline)"),EXACT(metadata!K505,"Water (non-saline)"),EXACT(metadata!K505,"Soil (non-saline)"),EXACT(metadata!K505,"Aerosol (non-saline)"),EXACT(metadata!K505,"Sediment (non-saline)"),EXACT(metadata!K505,"Surface (saline)"),EXACT(metadata!K505,"Water (saline)"),EXACT(metadata!K505,"Hypersaline (saline)"),EXACT(metadata!K505,"Aerosol (saline)"),EXACT(metadata!K505,"Sediment (saline)")))</f>
        <v>0</v>
      </c>
      <c r="AW505" t="b">
        <f>IF(metadata!L505="",FALSE,TRUE)</f>
        <v>0</v>
      </c>
      <c r="AX505" t="b">
        <f>IF(metadata!M505="",FALSE,TRUE)</f>
        <v>0</v>
      </c>
      <c r="AY505" t="b">
        <f>IF(metadata!N505="",FALSE,TRUE)</f>
        <v>0</v>
      </c>
      <c r="AZ505" t="b">
        <f>OR(AND(IF(metadata!O505="",FALSE,TRUE),OR(EXACT(metadata!O505,"missing: not collected"),EXACT(metadata!O505,"missing: not provided"),EXACT(metadata!O505,"missing: restricted access"))),AND(IF(metadata!O505="",FALSE,TRUE),OR(EXACT(metadata!O505,"air"),EXACT(metadata!O505,"built environment"),EXACT(metadata!O505,"host-associated"),EXACT(metadata!O505,"human-associated"),EXACT(metadata!O505,"human-skin"),EXACT(metadata!O505,"human-oral"),EXACT(metadata!O505,"human-gut"),EXACT(metadata!O505,"human-vaginal"),EXACT(metadata!O505,"microbial mat/biofilm"),EXACT(metadata!O505,"misc environment"),EXACT(metadata!O505,"plant-associated"),EXACT(metadata!O505,"sediment"),EXACT(metadata!O505,"soil"),EXACT(metadata!O505,"wastewater/sludge"),EXACT(metadata!O505,"water"))))</f>
        <v>0</v>
      </c>
      <c r="BA505" t="b">
        <f>IF(metadata!P505="",FALSE,TRUE)</f>
        <v>0</v>
      </c>
      <c r="BB505" t="b">
        <f>IF(metadata!Q505="",FALSE,TRUE)</f>
        <v>0</v>
      </c>
      <c r="BC505" t="b">
        <f>OR(AND(IF(metadata!R505="",FALSE,TRUE),OR(EXACT(metadata!R505,"missing: not collected"),EXACT(metadata!R505,"missing: not provided"),EXACT(metadata!R505,"missing: restricted access"))),AND(IF(metadata!R505="",FALSE,ISNUMBER(VALUE(metadata!R505))),metadata!R505&gt;=-90,metadata!R505&lt;=90))</f>
        <v>0</v>
      </c>
      <c r="BD505" t="b">
        <f>AND(IF(metadata!S505="",FALSE,TRUE),EXACT(metadata!S505,"Decimal degrees"))</f>
        <v>0</v>
      </c>
      <c r="BE505" t="b">
        <f>OR(AND(IF(metadata!T505="",FALSE,TRUE),OR(EXACT(metadata!T505,"missing: not collected"),EXACT(metadata!T505,"missing: not provided"),EXACT(metadata!T505,"missing: restricted access"))),AND(IF(metadata!T505="",FALSE,ISNUMBER(VALUE(metadata!T505))),metadata!T505&gt;=-180,metadata!T505&lt;=180))</f>
        <v>0</v>
      </c>
      <c r="BF505" t="b">
        <f>AND(IF(metadata!U505="",FALSE,TRUE),EXACT(metadata!U505,"Decimal degrees"))</f>
        <v>0</v>
      </c>
      <c r="BG505" t="b">
        <f>IF(metadata!V505="",FALSE,TRUE)</f>
        <v>0</v>
      </c>
      <c r="BH505" t="b">
        <f>OR(AND(IF(metadata!W505="",FALSE,TRUE),OR(EXACT(metadata!W505,"missing: not collected"),EXACT(metadata!W505,"missing: not provided"),EXACT(metadata!W505,"missing: restricted access"))),AND(IF(metadata!W505="",FALSE,TRUE),OR(EXACT(metadata!W505,"TRUE"),EXACT(metadata!W505,"FALSE"))))</f>
        <v>0</v>
      </c>
      <c r="BI505" t="b">
        <f>AND(IF(metadata!X505="",FALSE,TRUE),EXACT(metadata!X505,"other"))</f>
        <v>0</v>
      </c>
      <c r="BJ505" t="b">
        <f>IF(metadata!Y505="",FALSE,TRUE)</f>
        <v>0</v>
      </c>
      <c r="BK505" t="b">
        <f>OR(AND(IF(metadata!Z505="",FALSE,TRUE),OR(EXACT(metadata!Z505,"missing: not collected"),EXACT(metadata!Z505,"missing: not provided"))),AND(IF(metadata!Z505="",FALSE,IF(ISERROR(INT(metadata!Z505)),FALSE,INT(metadata!Z505)=metadata!Z505)),metadata!Z505&gt;0))</f>
        <v>0</v>
      </c>
      <c r="BL505" t="b">
        <f>AND(IF(metadata!AA505="",FALSE,TRUE),EXACT(metadata!AA505,"Not applicable"))</f>
        <v>0</v>
      </c>
      <c r="BM505" t="b">
        <f>IF(metadata!AB505="",FALSE,TRUE)</f>
        <v>0</v>
      </c>
    </row>
    <row r="506" spans="1:65" x14ac:dyDescent="0.2">
      <c r="A506" s="5" t="str">
        <f ca="1">IF(B506=" "," ",HYPERLINK(CONCATENATE("#metadata!",ADDRESS(INDEX($AH$2:$AH$1001,MATCH(ROWS($AF$2:AF506),$AF$2:$AF$1001,0),0),1)),INDEX($AK$2:$AK$1001,MATCH(ROWS($AF$2:AF506),$AF$2:$AF$1001,0),0)))</f>
        <v xml:space="preserve"> </v>
      </c>
      <c r="B506" s="4" t="str">
        <f ca="1">IF(OR(INDEX($AG$2:$AG$1001,MATCH(ROWS($AF$2:AF506),$AF$2:$AF$1001,0),1)&gt;=100000,INDEX($AM$1005:$BM$1005,1,MATCH(COLUMNS($AM$1006:AM1006),$AM$1006:$BM$1006,0))&gt;=100000), " ",IF(INDEX($AM$2:$BM$1001,MATCH(ROWS($AF$2:AF506),$AF$2:$AF$1001,0),MATCH(COLUMNS($AM$1006:AM1006),$AM$1006:$BM$1006,0)), HYPERLINK("#",""), HYPERLINK(CONCATENATE("#metadata!", ADDRESS(INDEX($AH$2:$AH$1001,MATCH(ROWS($AF$2:AF506),$AF$2:$AF$1001,0),0), INDEX($AM$1004:$BM$1004,1,MATCH(COLUMNS($AM$1006:AM1006),$AM$1006:$BM$1006,0)))),"Fix")))</f>
        <v xml:space="preserve"> </v>
      </c>
      <c r="C506" s="4" t="str">
        <f ca="1">IF(OR(INDEX($AG$2:$AG$1001,MATCH(ROWS($AF$2:AF506),$AF$2:$AF$1001,0),1)&gt;=100000,INDEX($AM$1005:$BM$1005,1,MATCH(COLUMNS($AM$1006:AN1006),$AM$1006:$BM$1006,0))&gt;=100000), " ",IF(INDEX($AM$2:$BM$1001,MATCH(ROWS($AF$2:AF506),$AF$2:$AF$1001,0),MATCH(COLUMNS($AM$1006:AN1006),$AM$1006:$BM$1006,0)), HYPERLINK("#",""), HYPERLINK(CONCATENATE("#metadata!", ADDRESS(INDEX($AH$2:$AH$1001,MATCH(ROWS($AF$2:AF506),$AF$2:$AF$1001,0),0), INDEX($AM$1004:$BM$1004,1,MATCH(COLUMNS($AM$1006:AN1006),$AM$1006:$BM$1006,0)))),"Fix")))</f>
        <v xml:space="preserve"> </v>
      </c>
      <c r="D506" s="4" t="str">
        <f ca="1">IF(OR(INDEX($AG$2:$AG$1001,MATCH(ROWS($AF$2:AF506),$AF$2:$AF$1001,0),1)&gt;=100000,INDEX($AM$1005:$BM$1005,1,MATCH(COLUMNS($AM$1006:AO1006),$AM$1006:$BM$1006,0))&gt;=100000), " ",IF(INDEX($AM$2:$BM$1001,MATCH(ROWS($AF$2:AF506),$AF$2:$AF$1001,0),MATCH(COLUMNS($AM$1006:AO1006),$AM$1006:$BM$1006,0)), HYPERLINK("#",""), HYPERLINK(CONCATENATE("#metadata!", ADDRESS(INDEX($AH$2:$AH$1001,MATCH(ROWS($AF$2:AF506),$AF$2:$AF$1001,0),0), INDEX($AM$1004:$BM$1004,1,MATCH(COLUMNS($AM$1006:AO1006),$AM$1006:$BM$1006,0)))),"Fix")))</f>
        <v xml:space="preserve"> </v>
      </c>
      <c r="E506" s="4" t="str">
        <f ca="1">IF(OR(INDEX($AG$2:$AG$1001,MATCH(ROWS($AF$2:AF506),$AF$2:$AF$1001,0),1)&gt;=100000,INDEX($AM$1005:$BM$1005,1,MATCH(COLUMNS($AM$1006:AP1006),$AM$1006:$BM$1006,0))&gt;=100000), " ",IF(INDEX($AM$2:$BM$1001,MATCH(ROWS($AF$2:AF506),$AF$2:$AF$1001,0),MATCH(COLUMNS($AM$1006:AP1006),$AM$1006:$BM$1006,0)), HYPERLINK("#",""), HYPERLINK(CONCATENATE("#metadata!", ADDRESS(INDEX($AH$2:$AH$1001,MATCH(ROWS($AF$2:AF506),$AF$2:$AF$1001,0),0), INDEX($AM$1004:$BM$1004,1,MATCH(COLUMNS($AM$1006:AP1006),$AM$1006:$BM$1006,0)))),"Fix")))</f>
        <v xml:space="preserve"> </v>
      </c>
      <c r="F506" s="4" t="str">
        <f ca="1">IF(OR(INDEX($AG$2:$AG$1001,MATCH(ROWS($AF$2:AF506),$AF$2:$AF$1001,0),1)&gt;=100000,INDEX($AM$1005:$BM$1005,1,MATCH(COLUMNS($AM$1006:AQ1006),$AM$1006:$BM$1006,0))&gt;=100000), " ",IF(INDEX($AM$2:$BM$1001,MATCH(ROWS($AF$2:AF506),$AF$2:$AF$1001,0),MATCH(COLUMNS($AM$1006:AQ1006),$AM$1006:$BM$1006,0)), HYPERLINK("#",""), HYPERLINK(CONCATENATE("#metadata!", ADDRESS(INDEX($AH$2:$AH$1001,MATCH(ROWS($AF$2:AF506),$AF$2:$AF$1001,0),0), INDEX($AM$1004:$BM$1004,1,MATCH(COLUMNS($AM$1006:AQ1006),$AM$1006:$BM$1006,0)))),"Fix")))</f>
        <v xml:space="preserve"> </v>
      </c>
      <c r="G506" s="4" t="str">
        <f ca="1">IF(OR(INDEX($AG$2:$AG$1001,MATCH(ROWS($AF$2:AF506),$AF$2:$AF$1001,0),1)&gt;=100000,INDEX($AM$1005:$BM$1005,1,MATCH(COLUMNS($AM$1006:AR1006),$AM$1006:$BM$1006,0))&gt;=100000), " ",IF(INDEX($AM$2:$BM$1001,MATCH(ROWS($AF$2:AF506),$AF$2:$AF$1001,0),MATCH(COLUMNS($AM$1006:AR1006),$AM$1006:$BM$1006,0)), HYPERLINK("#",""), HYPERLINK(CONCATENATE("#metadata!", ADDRESS(INDEX($AH$2:$AH$1001,MATCH(ROWS($AF$2:AF506),$AF$2:$AF$1001,0),0), INDEX($AM$1004:$BM$1004,1,MATCH(COLUMNS($AM$1006:AR1006),$AM$1006:$BM$1006,0)))),"Fix")))</f>
        <v xml:space="preserve"> </v>
      </c>
      <c r="H506" s="4" t="str">
        <f ca="1">IF(OR(INDEX($AG$2:$AG$1001,MATCH(ROWS($AF$2:AF506),$AF$2:$AF$1001,0),1)&gt;=100000,INDEX($AM$1005:$BM$1005,1,MATCH(COLUMNS($AM$1006:AS1006),$AM$1006:$BM$1006,0))&gt;=100000), " ",IF(INDEX($AM$2:$BM$1001,MATCH(ROWS($AF$2:AF506),$AF$2:$AF$1001,0),MATCH(COLUMNS($AM$1006:AS1006),$AM$1006:$BM$1006,0)), HYPERLINK("#",""), HYPERLINK(CONCATENATE("#metadata!", ADDRESS(INDEX($AH$2:$AH$1001,MATCH(ROWS($AF$2:AF506),$AF$2:$AF$1001,0),0), INDEX($AM$1004:$BM$1004,1,MATCH(COLUMNS($AM$1006:AS1006),$AM$1006:$BM$1006,0)))),"Fix")))</f>
        <v xml:space="preserve"> </v>
      </c>
      <c r="I506" s="4" t="str">
        <f ca="1">IF(OR(INDEX($AG$2:$AG$1001,MATCH(ROWS($AF$2:AF506),$AF$2:$AF$1001,0),1)&gt;=100000,INDEX($AM$1005:$BM$1005,1,MATCH(COLUMNS($AM$1006:AT1006),$AM$1006:$BM$1006,0))&gt;=100000), " ",IF(INDEX($AM$2:$BM$1001,MATCH(ROWS($AF$2:AF506),$AF$2:$AF$1001,0),MATCH(COLUMNS($AM$1006:AT1006),$AM$1006:$BM$1006,0)), HYPERLINK("#",""), HYPERLINK(CONCATENATE("#metadata!", ADDRESS(INDEX($AH$2:$AH$1001,MATCH(ROWS($AF$2:AF506),$AF$2:$AF$1001,0),0), INDEX($AM$1004:$BM$1004,1,MATCH(COLUMNS($AM$1006:AT1006),$AM$1006:$BM$1006,0)))),"Fix")))</f>
        <v xml:space="preserve"> </v>
      </c>
      <c r="J506" s="4" t="str">
        <f ca="1">IF(OR(INDEX($AG$2:$AG$1001,MATCH(ROWS($AF$2:AF506),$AF$2:$AF$1001,0),1)&gt;=100000,INDEX($AM$1005:$BM$1005,1,MATCH(COLUMNS($AM$1006:AU1006),$AM$1006:$BM$1006,0))&gt;=100000), " ",IF(INDEX($AM$2:$BM$1001,MATCH(ROWS($AF$2:AF506),$AF$2:$AF$1001,0),MATCH(COLUMNS($AM$1006:AU1006),$AM$1006:$BM$1006,0)), HYPERLINK("#",""), HYPERLINK(CONCATENATE("#metadata!", ADDRESS(INDEX($AH$2:$AH$1001,MATCH(ROWS($AF$2:AF506),$AF$2:$AF$1001,0),0), INDEX($AM$1004:$BM$1004,1,MATCH(COLUMNS($AM$1006:AU1006),$AM$1006:$BM$1006,0)))),"Fix")))</f>
        <v xml:space="preserve"> </v>
      </c>
      <c r="K506" s="4" t="str">
        <f ca="1">IF(OR(INDEX($AG$2:$AG$1001,MATCH(ROWS($AF$2:AF506),$AF$2:$AF$1001,0),1)&gt;=100000,INDEX($AM$1005:$BM$1005,1,MATCH(COLUMNS($AM$1006:AV1006),$AM$1006:$BM$1006,0))&gt;=100000), " ",IF(INDEX($AM$2:$BM$1001,MATCH(ROWS($AF$2:AF506),$AF$2:$AF$1001,0),MATCH(COLUMNS($AM$1006:AV1006),$AM$1006:$BM$1006,0)), HYPERLINK("#",""), HYPERLINK(CONCATENATE("#metadata!", ADDRESS(INDEX($AH$2:$AH$1001,MATCH(ROWS($AF$2:AF506),$AF$2:$AF$1001,0),0), INDEX($AM$1004:$BM$1004,1,MATCH(COLUMNS($AM$1006:AV1006),$AM$1006:$BM$1006,0)))),"Fix")))</f>
        <v xml:space="preserve"> </v>
      </c>
      <c r="L506" s="4" t="str">
        <f ca="1">IF(OR(INDEX($AG$2:$AG$1001,MATCH(ROWS($AF$2:AF506),$AF$2:$AF$1001,0),1)&gt;=100000,INDEX($AM$1005:$BM$1005,1,MATCH(COLUMNS($AM$1006:AW1006),$AM$1006:$BM$1006,0))&gt;=100000), " ",IF(INDEX($AM$2:$BM$1001,MATCH(ROWS($AF$2:AF506),$AF$2:$AF$1001,0),MATCH(COLUMNS($AM$1006:AW1006),$AM$1006:$BM$1006,0)), HYPERLINK("#",""), HYPERLINK(CONCATENATE("#metadata!", ADDRESS(INDEX($AH$2:$AH$1001,MATCH(ROWS($AF$2:AF506),$AF$2:$AF$1001,0),0), INDEX($AM$1004:$BM$1004,1,MATCH(COLUMNS($AM$1006:AW1006),$AM$1006:$BM$1006,0)))),"Fix")))</f>
        <v xml:space="preserve"> </v>
      </c>
      <c r="M506" s="4" t="str">
        <f ca="1">IF(OR(INDEX($AG$2:$AG$1001,MATCH(ROWS($AF$2:AF506),$AF$2:$AF$1001,0),1)&gt;=100000,INDEX($AM$1005:$BM$1005,1,MATCH(COLUMNS($AM$1006:AX1006),$AM$1006:$BM$1006,0))&gt;=100000), " ",IF(INDEX($AM$2:$BM$1001,MATCH(ROWS($AF$2:AF506),$AF$2:$AF$1001,0),MATCH(COLUMNS($AM$1006:AX1006),$AM$1006:$BM$1006,0)), HYPERLINK("#",""), HYPERLINK(CONCATENATE("#metadata!", ADDRESS(INDEX($AH$2:$AH$1001,MATCH(ROWS($AF$2:AF506),$AF$2:$AF$1001,0),0), INDEX($AM$1004:$BM$1004,1,MATCH(COLUMNS($AM$1006:AX1006),$AM$1006:$BM$1006,0)))),"Fix")))</f>
        <v xml:space="preserve"> </v>
      </c>
      <c r="N506" s="4" t="str">
        <f ca="1">IF(OR(INDEX($AG$2:$AG$1001,MATCH(ROWS($AF$2:AF506),$AF$2:$AF$1001,0),1)&gt;=100000,INDEX($AM$1005:$BM$1005,1,MATCH(COLUMNS($AM$1006:AY1006),$AM$1006:$BM$1006,0))&gt;=100000), " ",IF(INDEX($AM$2:$BM$1001,MATCH(ROWS($AF$2:AF506),$AF$2:$AF$1001,0),MATCH(COLUMNS($AM$1006:AY1006),$AM$1006:$BM$1006,0)), HYPERLINK("#",""), HYPERLINK(CONCATENATE("#metadata!", ADDRESS(INDEX($AH$2:$AH$1001,MATCH(ROWS($AF$2:AF506),$AF$2:$AF$1001,0),0), INDEX($AM$1004:$BM$1004,1,MATCH(COLUMNS($AM$1006:AY1006),$AM$1006:$BM$1006,0)))),"Fix")))</f>
        <v xml:space="preserve"> </v>
      </c>
      <c r="O506" s="4" t="str">
        <f ca="1">IF(OR(INDEX($AG$2:$AG$1001,MATCH(ROWS($AF$2:AF506),$AF$2:$AF$1001,0),1)&gt;=100000,INDEX($AM$1005:$BM$1005,1,MATCH(COLUMNS($AM$1006:AZ1006),$AM$1006:$BM$1006,0))&gt;=100000), " ",IF(INDEX($AM$2:$BM$1001,MATCH(ROWS($AF$2:AF506),$AF$2:$AF$1001,0),MATCH(COLUMNS($AM$1006:AZ1006),$AM$1006:$BM$1006,0)), HYPERLINK("#",""), HYPERLINK(CONCATENATE("#metadata!", ADDRESS(INDEX($AH$2:$AH$1001,MATCH(ROWS($AF$2:AF506),$AF$2:$AF$1001,0),0), INDEX($AM$1004:$BM$1004,1,MATCH(COLUMNS($AM$1006:AZ1006),$AM$1006:$BM$1006,0)))),"Fix")))</f>
        <v xml:space="preserve"> </v>
      </c>
      <c r="P506" s="4" t="str">
        <f ca="1">IF(OR(INDEX($AG$2:$AG$1001,MATCH(ROWS($AF$2:AF506),$AF$2:$AF$1001,0),1)&gt;=100000,INDEX($AM$1005:$BM$1005,1,MATCH(COLUMNS($AM$1006:BA1006),$AM$1006:$BM$1006,0))&gt;=100000), " ",IF(INDEX($AM$2:$BM$1001,MATCH(ROWS($AF$2:AF506),$AF$2:$AF$1001,0),MATCH(COLUMNS($AM$1006:BA1006),$AM$1006:$BM$1006,0)), HYPERLINK("#",""), HYPERLINK(CONCATENATE("#metadata!", ADDRESS(INDEX($AH$2:$AH$1001,MATCH(ROWS($AF$2:AF506),$AF$2:$AF$1001,0),0), INDEX($AM$1004:$BM$1004,1,MATCH(COLUMNS($AM$1006:BA1006),$AM$1006:$BM$1006,0)))),"Fix")))</f>
        <v xml:space="preserve"> </v>
      </c>
      <c r="Q506" s="4" t="str">
        <f ca="1">IF(OR(INDEX($AG$2:$AG$1001,MATCH(ROWS($AF$2:AF506),$AF$2:$AF$1001,0),1)&gt;=100000,INDEX($AM$1005:$BM$1005,1,MATCH(COLUMNS($AM$1006:BB1006),$AM$1006:$BM$1006,0))&gt;=100000), " ",IF(INDEX($AM$2:$BM$1001,MATCH(ROWS($AF$2:AF506),$AF$2:$AF$1001,0),MATCH(COLUMNS($AM$1006:BB1006),$AM$1006:$BM$1006,0)), HYPERLINK("#",""), HYPERLINK(CONCATENATE("#metadata!", ADDRESS(INDEX($AH$2:$AH$1001,MATCH(ROWS($AF$2:AF506),$AF$2:$AF$1001,0),0), INDEX($AM$1004:$BM$1004,1,MATCH(COLUMNS($AM$1006:BB1006),$AM$1006:$BM$1006,0)))),"Fix")))</f>
        <v xml:space="preserve"> </v>
      </c>
      <c r="R506" s="4" t="str">
        <f ca="1">IF(OR(INDEX($AG$2:$AG$1001,MATCH(ROWS($AF$2:AF506),$AF$2:$AF$1001,0),1)&gt;=100000,INDEX($AM$1005:$BM$1005,1,MATCH(COLUMNS($AM$1006:BC1006),$AM$1006:$BM$1006,0))&gt;=100000), " ",IF(INDEX($AM$2:$BM$1001,MATCH(ROWS($AF$2:AF506),$AF$2:$AF$1001,0),MATCH(COLUMNS($AM$1006:BC1006),$AM$1006:$BM$1006,0)), HYPERLINK("#",""), HYPERLINK(CONCATENATE("#metadata!", ADDRESS(INDEX($AH$2:$AH$1001,MATCH(ROWS($AF$2:AF506),$AF$2:$AF$1001,0),0), INDEX($AM$1004:$BM$1004,1,MATCH(COLUMNS($AM$1006:BC1006),$AM$1006:$BM$1006,0)))),"Fix")))</f>
        <v xml:space="preserve"> </v>
      </c>
      <c r="S506" s="4" t="str">
        <f ca="1">IF(OR(INDEX($AG$2:$AG$1001,MATCH(ROWS($AF$2:AF506),$AF$2:$AF$1001,0),1)&gt;=100000,INDEX($AM$1005:$BM$1005,1,MATCH(COLUMNS($AM$1006:BD1006),$AM$1006:$BM$1006,0))&gt;=100000), " ",IF(INDEX($AM$2:$BM$1001,MATCH(ROWS($AF$2:AF506),$AF$2:$AF$1001,0),MATCH(COLUMNS($AM$1006:BD1006),$AM$1006:$BM$1006,0)), HYPERLINK("#",""), HYPERLINK(CONCATENATE("#metadata!", ADDRESS(INDEX($AH$2:$AH$1001,MATCH(ROWS($AF$2:AF506),$AF$2:$AF$1001,0),0), INDEX($AM$1004:$BM$1004,1,MATCH(COLUMNS($AM$1006:BD1006),$AM$1006:$BM$1006,0)))),"Fix")))</f>
        <v xml:space="preserve"> </v>
      </c>
      <c r="T506" s="4" t="str">
        <f ca="1">IF(OR(INDEX($AG$2:$AG$1001,MATCH(ROWS($AF$2:AF506),$AF$2:$AF$1001,0),1)&gt;=100000,INDEX($AM$1005:$BM$1005,1,MATCH(COLUMNS($AM$1006:BE1006),$AM$1006:$BM$1006,0))&gt;=100000), " ",IF(INDEX($AM$2:$BM$1001,MATCH(ROWS($AF$2:AF506),$AF$2:$AF$1001,0),MATCH(COLUMNS($AM$1006:BE1006),$AM$1006:$BM$1006,0)), HYPERLINK("#",""), HYPERLINK(CONCATENATE("#metadata!", ADDRESS(INDEX($AH$2:$AH$1001,MATCH(ROWS($AF$2:AF506),$AF$2:$AF$1001,0),0), INDEX($AM$1004:$BM$1004,1,MATCH(COLUMNS($AM$1006:BE1006),$AM$1006:$BM$1006,0)))),"Fix")))</f>
        <v xml:space="preserve"> </v>
      </c>
      <c r="U506" s="4" t="str">
        <f ca="1">IF(OR(INDEX($AG$2:$AG$1001,MATCH(ROWS($AF$2:AF506),$AF$2:$AF$1001,0),1)&gt;=100000,INDEX($AM$1005:$BM$1005,1,MATCH(COLUMNS($AM$1006:BF1006),$AM$1006:$BM$1006,0))&gt;=100000), " ",IF(INDEX($AM$2:$BM$1001,MATCH(ROWS($AF$2:AF506),$AF$2:$AF$1001,0),MATCH(COLUMNS($AM$1006:BF1006),$AM$1006:$BM$1006,0)), HYPERLINK("#",""), HYPERLINK(CONCATENATE("#metadata!", ADDRESS(INDEX($AH$2:$AH$1001,MATCH(ROWS($AF$2:AF506),$AF$2:$AF$1001,0),0), INDEX($AM$1004:$BM$1004,1,MATCH(COLUMNS($AM$1006:BF1006),$AM$1006:$BM$1006,0)))),"Fix")))</f>
        <v xml:space="preserve"> </v>
      </c>
      <c r="V506" s="4" t="str">
        <f ca="1">IF(OR(INDEX($AG$2:$AG$1001,MATCH(ROWS($AF$2:AF506),$AF$2:$AF$1001,0),1)&gt;=100000,INDEX($AM$1005:$BM$1005,1,MATCH(COLUMNS($AM$1006:BG1006),$AM$1006:$BM$1006,0))&gt;=100000), " ",IF(INDEX($AM$2:$BM$1001,MATCH(ROWS($AF$2:AF506),$AF$2:$AF$1001,0),MATCH(COLUMNS($AM$1006:BG1006),$AM$1006:$BM$1006,0)), HYPERLINK("#",""), HYPERLINK(CONCATENATE("#metadata!", ADDRESS(INDEX($AH$2:$AH$1001,MATCH(ROWS($AF$2:AF506),$AF$2:$AF$1001,0),0), INDEX($AM$1004:$BM$1004,1,MATCH(COLUMNS($AM$1006:BG1006),$AM$1006:$BM$1006,0)))),"Fix")))</f>
        <v xml:space="preserve"> </v>
      </c>
      <c r="W506" s="4" t="str">
        <f ca="1">IF(OR(INDEX($AG$2:$AG$1001,MATCH(ROWS($AF$2:AF506),$AF$2:$AF$1001,0),1)&gt;=100000,INDEX($AM$1005:$BM$1005,1,MATCH(COLUMNS($AM$1006:BH1006),$AM$1006:$BM$1006,0))&gt;=100000), " ",IF(INDEX($AM$2:$BM$1001,MATCH(ROWS($AF$2:AF506),$AF$2:$AF$1001,0),MATCH(COLUMNS($AM$1006:BH1006),$AM$1006:$BM$1006,0)), HYPERLINK("#",""), HYPERLINK(CONCATENATE("#metadata!", ADDRESS(INDEX($AH$2:$AH$1001,MATCH(ROWS($AF$2:AF506),$AF$2:$AF$1001,0),0), INDEX($AM$1004:$BM$1004,1,MATCH(COLUMNS($AM$1006:BH1006),$AM$1006:$BM$1006,0)))),"Fix")))</f>
        <v xml:space="preserve"> </v>
      </c>
      <c r="X506" s="4" t="str">
        <f ca="1">IF(OR(INDEX($AG$2:$AG$1001,MATCH(ROWS($AF$2:AF506),$AF$2:$AF$1001,0),1)&gt;=100000,INDEX($AM$1005:$BM$1005,1,MATCH(COLUMNS($AM$1006:BI1006),$AM$1006:$BM$1006,0))&gt;=100000), " ",IF(INDEX($AM$2:$BM$1001,MATCH(ROWS($AF$2:AF506),$AF$2:$AF$1001,0),MATCH(COLUMNS($AM$1006:BI1006),$AM$1006:$BM$1006,0)), HYPERLINK("#",""), HYPERLINK(CONCATENATE("#metadata!", ADDRESS(INDEX($AH$2:$AH$1001,MATCH(ROWS($AF$2:AF506),$AF$2:$AF$1001,0),0), INDEX($AM$1004:$BM$1004,1,MATCH(COLUMNS($AM$1006:BI1006),$AM$1006:$BM$1006,0)))),"Fix")))</f>
        <v xml:space="preserve"> </v>
      </c>
      <c r="Y506" s="4" t="str">
        <f ca="1">IF(OR(INDEX($AG$2:$AG$1001,MATCH(ROWS($AF$2:AF506),$AF$2:$AF$1001,0),1)&gt;=100000,INDEX($AM$1005:$BM$1005,1,MATCH(COLUMNS($AM$1006:BJ1006),$AM$1006:$BM$1006,0))&gt;=100000), " ",IF(INDEX($AM$2:$BM$1001,MATCH(ROWS($AF$2:AF506),$AF$2:$AF$1001,0),MATCH(COLUMNS($AM$1006:BJ1006),$AM$1006:$BM$1006,0)), HYPERLINK("#",""), HYPERLINK(CONCATENATE("#metadata!", ADDRESS(INDEX($AH$2:$AH$1001,MATCH(ROWS($AF$2:AF506),$AF$2:$AF$1001,0),0), INDEX($AM$1004:$BM$1004,1,MATCH(COLUMNS($AM$1006:BJ1006),$AM$1006:$BM$1006,0)))),"Fix")))</f>
        <v xml:space="preserve"> </v>
      </c>
      <c r="Z506" s="4" t="str">
        <f ca="1">IF(OR(INDEX($AG$2:$AG$1001,MATCH(ROWS($AF$2:AF506),$AF$2:$AF$1001,0),1)&gt;=100000,INDEX($AM$1005:$BM$1005,1,MATCH(COLUMNS($AM$1006:BK1006),$AM$1006:$BM$1006,0))&gt;=100000), " ",IF(INDEX($AM$2:$BM$1001,MATCH(ROWS($AF$2:AF506),$AF$2:$AF$1001,0),MATCH(COLUMNS($AM$1006:BK1006),$AM$1006:$BM$1006,0)), HYPERLINK("#",""), HYPERLINK(CONCATENATE("#metadata!", ADDRESS(INDEX($AH$2:$AH$1001,MATCH(ROWS($AF$2:AF506),$AF$2:$AF$1001,0),0), INDEX($AM$1004:$BM$1004,1,MATCH(COLUMNS($AM$1006:BK1006),$AM$1006:$BM$1006,0)))),"Fix")))</f>
        <v xml:space="preserve"> </v>
      </c>
      <c r="AA506" s="4" t="str">
        <f ca="1">IF(OR(INDEX($AG$2:$AG$1001,MATCH(ROWS($AF$2:AF506),$AF$2:$AF$1001,0),1)&gt;=100000,INDEX($AM$1005:$BM$1005,1,MATCH(COLUMNS($AM$1006:BL1006),$AM$1006:$BM$1006,0))&gt;=100000), " ",IF(INDEX($AM$2:$BM$1001,MATCH(ROWS($AF$2:AF506),$AF$2:$AF$1001,0),MATCH(COLUMNS($AM$1006:BL1006),$AM$1006:$BM$1006,0)), HYPERLINK("#",""), HYPERLINK(CONCATENATE("#metadata!", ADDRESS(INDEX($AH$2:$AH$1001,MATCH(ROWS($AF$2:AF506),$AF$2:$AF$1001,0),0), INDEX($AM$1004:$BM$1004,1,MATCH(COLUMNS($AM$1006:BL1006),$AM$1006:$BM$1006,0)))),"Fix")))</f>
        <v xml:space="preserve"> </v>
      </c>
      <c r="AB506" s="4" t="str">
        <f ca="1">IF(OR(INDEX($AG$2:$AG$1001,MATCH(ROWS($AF$2:AF506),$AF$2:$AF$1001,0),1)&gt;=100000,INDEX($AM$1005:$BM$1005,1,MATCH(COLUMNS($AM$1006:BM1006),$AM$1006:$BM$1006,0))&gt;=100000), " ",IF(INDEX($AM$2:$BM$1001,MATCH(ROWS($AF$2:AF506),$AF$2:$AF$1001,0),MATCH(COLUMNS($AM$1006:BM1006),$AM$1006:$BM$1006,0)), HYPERLINK("#",""), HYPERLINK(CONCATENATE("#metadata!", ADDRESS(INDEX($AH$2:$AH$1001,MATCH(ROWS($AF$2:AF506),$AF$2:$AF$1001,0),0), INDEX($AM$1004:$BM$1004,1,MATCH(COLUMNS($AM$1006:BM1006),$AM$1006:$BM$1006,0)))),"Fix")))</f>
        <v xml:space="preserve"> </v>
      </c>
      <c r="AF506">
        <v>505</v>
      </c>
      <c r="AG506">
        <v>100506</v>
      </c>
      <c r="AH506">
        <v>506</v>
      </c>
      <c r="AI506" t="b">
        <f t="shared" si="7"/>
        <v>1</v>
      </c>
      <c r="AJ506" t="b">
        <f>COUNTBLANK(metadata!B506:AB506)=COLUMNS(metadata!B506:AB506)</f>
        <v>1</v>
      </c>
      <c r="AK506" t="str">
        <v/>
      </c>
      <c r="AM506" t="b">
        <f ca="1">AND(IF(metadata!B506="",FALSE,TRUE),COUNTIF(metadata!B:B, metadata!B506) = 1,NOT(ISERROR(SUMPRODUCT(SEARCH(MID(metadata!B506,ROW(INDIRECT("1:"&amp;LEN(metadata!B506))), 1),"0123456789abcdefghijklmnopqrstuvwxyzABCDEFGHIJKLMNOPQRSTUVWXYZ.")))))</f>
        <v>0</v>
      </c>
      <c r="AN506" t="b">
        <f ca="1">OR(AND(IF(metadata!C506="",FALSE,TRUE),OR(EXACT(metadata!C506,"missing: not collected"),EXACT(metadata!C506,"missing: not provided"),EXACT(metadata!C506,"missing: restricted access"))),AND(IF(metadata!C506="",FALSE,TRUE),AND(AND(IFERROR(INT(LEFT(metadata!C506,4))&gt;1900,FALSE),IFERROR(INT(LEFT(metadata!C506,4))&lt;=YEAR(NOW()),FALSE)), OR(MID(metadata!C506,5,1)="", AND(AND(MID(metadata!C506,5,1)="-",IFERROR(INT(MID(metadata!C506,6,1))&gt;=0,FALSE),IFERROR(INT(MID(metadata!C506,6,1))&lt;=1,FALSE),NOT(MID(metadata!C506,7,1)=""),IFERROR(INT(MID(metadata!C506,6,2))&gt;=1,FALSE),IFERROR(INT(MID(metadata!C506,6,2))&lt;=12,FALSE)), OR(MID(metadata!C506,8,1)="", AND(AND(MID(metadata!C506,8,1)="-",IFERROR(INT(MID(metadata!C506,9,1))&gt;=0,FALSE),IFERROR(INT(MID(metadata!C506,9,1))&lt;=3,FALSE),NOT(MID(metadata!C506,10,1)=""),IFERROR(INT(MID(metadata!C506,9,2))&gt;=1,FALSE),IFERROR(INT(MID(metadata!C506,9,2))&lt;=31,FALSE)), OR(MID(metadata!C506,11,1)="", AND(AND(MID(metadata!C506,11,1)=" ",IFERROR(INT(MID(metadata!C506,12,1))&gt;=0,FALSE),IFERROR(INT(MID(metadata!C506,12,1))&lt;=2,FALSE),NOT(MID(metadata!C506,13,1)=""),IFERROR(INT(MID(metadata!C506,12,2))&gt;=0,FALSE),IFERROR(INT(MID(metadata!C506,12,2))&lt;=23,FALSE)), OR(MID(metadata!C506,14,1)="", AND(AND(MID(metadata!C506,14,1)=":",IFERROR(INT(MID(metadata!C506,15,1))&gt;=0,FALSE),IFERROR(INT(MID(metadata!C506,15,1))&lt;=5,FALSE),NOT(MID(metadata!C506,16,1)=""),IFERROR(INT(MID(metadata!C506,15,2))&gt;=0,FALSE),IFERROR(INT(MID(metadata!C506,15,2))&lt;=59,FALSE)), OR(MID(metadata!C506,17,1)="", AND(AND(MID(metadata!C506,17,1)=":",IFERROR(INT(MID(metadata!C506,18,1))&gt;=0,FALSE),IFERROR(INT(MID(metadata!C506,18,1))&lt;=5,FALSE),NOT(MID(metadata!C506,19,1)=""),IFERROR(INT(MID(metadata!C506,18,2))&gt;=0,FALSE),IFERROR(INT(MID(metadata!C506,18,2))&lt;=59,FALSE)), LEN(metadata!C506)&lt;=19)))))))))))))</f>
        <v>0</v>
      </c>
      <c r="AO506" t="b">
        <f>AND(IF(metadata!D506="",FALSE,TRUE),EXACT(metadata!D506,"Not applicable"))</f>
        <v>0</v>
      </c>
      <c r="AP506" t="b">
        <f>IF(metadata!E506="",FALSE,TRUE)</f>
        <v>0</v>
      </c>
      <c r="AQ506" t="b">
        <f>OR(AND(IF(metadata!F506="",FALSE,TRUE),OR(EXACT(metadata!F506,"missing: not collected"),EXACT(metadata!F506,"missing: not provided"))),AND(IF(metadata!F506="",FALSE,TRUE),OR(EXACT(metadata!F506,"TRUE"),EXACT(metadata!F506,"FALSE"))))</f>
        <v>0</v>
      </c>
      <c r="AR506" t="b">
        <f>OR(AND(IF(metadata!G506="",FALSE,TRUE),OR(EXACT(metadata!G506,"missing: not collected"),EXACT(metadata!G506,"missing: not provided"),EXACT(metadata!G506,"missing: restricted access"))),AND(IF(metadata!G506="",FALSE,ISNUMBER(VALUE(metadata!G506))),metadata!G506&gt;=-413))</f>
        <v>0</v>
      </c>
      <c r="AS506" t="b">
        <f>AND(IF(metadata!H506="",FALSE,TRUE),EXACT(metadata!H506,"meters"))</f>
        <v>0</v>
      </c>
      <c r="AT506" t="b">
        <f>AND(IF(metadata!I506="",FALSE,TRUE),OR(EXACT(metadata!I506,"Host-associated"),EXACT(metadata!I506,"Free-living")))</f>
        <v>0</v>
      </c>
      <c r="AU506" t="b">
        <f>AND(IF(metadata!J506="",FALSE,TRUE),OR(EXACT(metadata!J506,"Animal"),EXACT(metadata!J506,"Fungus"),EXACT(metadata!J506,"Plant"),EXACT(metadata!J506,"Saline"),EXACT(metadata!J506,"Non-saline")))</f>
        <v>0</v>
      </c>
      <c r="AV506" t="b">
        <f>AND(IF(metadata!K506="",FALSE,TRUE),OR(EXACT(metadata!K506,"Plant secretion"),EXACT(metadata!K506,"Plant rhizosphere"),EXACT(metadata!K506,"Plant surface"),EXACT(metadata!K506,"Plant corpus"),EXACT(metadata!K506,"Fungus surface"),EXACT(metadata!K506,"Fungus corpus"),EXACT(metadata!K506,"Animal surface"),EXACT(metadata!K506,"Animal proximal gut"),EXACT(metadata!K506,"Animal corpus"),EXACT(metadata!K506,"Animal distal gut"),EXACT(metadata!K506,"Animal secretion"),EXACT(metadata!K506,"Sub-surface (non-saline)"),EXACT(metadata!K506,"Surface (non-saline)"),EXACT(metadata!K506,"Water (non-saline)"),EXACT(metadata!K506,"Soil (non-saline)"),EXACT(metadata!K506,"Aerosol (non-saline)"),EXACT(metadata!K506,"Sediment (non-saline)"),EXACT(metadata!K506,"Surface (saline)"),EXACT(metadata!K506,"Water (saline)"),EXACT(metadata!K506,"Hypersaline (saline)"),EXACT(metadata!K506,"Aerosol (saline)"),EXACT(metadata!K506,"Sediment (saline)")))</f>
        <v>0</v>
      </c>
      <c r="AW506" t="b">
        <f>IF(metadata!L506="",FALSE,TRUE)</f>
        <v>0</v>
      </c>
      <c r="AX506" t="b">
        <f>IF(metadata!M506="",FALSE,TRUE)</f>
        <v>0</v>
      </c>
      <c r="AY506" t="b">
        <f>IF(metadata!N506="",FALSE,TRUE)</f>
        <v>0</v>
      </c>
      <c r="AZ506" t="b">
        <f>OR(AND(IF(metadata!O506="",FALSE,TRUE),OR(EXACT(metadata!O506,"missing: not collected"),EXACT(metadata!O506,"missing: not provided"),EXACT(metadata!O506,"missing: restricted access"))),AND(IF(metadata!O506="",FALSE,TRUE),OR(EXACT(metadata!O506,"air"),EXACT(metadata!O506,"built environment"),EXACT(metadata!O506,"host-associated"),EXACT(metadata!O506,"human-associated"),EXACT(metadata!O506,"human-skin"),EXACT(metadata!O506,"human-oral"),EXACT(metadata!O506,"human-gut"),EXACT(metadata!O506,"human-vaginal"),EXACT(metadata!O506,"microbial mat/biofilm"),EXACT(metadata!O506,"misc environment"),EXACT(metadata!O506,"plant-associated"),EXACT(metadata!O506,"sediment"),EXACT(metadata!O506,"soil"),EXACT(metadata!O506,"wastewater/sludge"),EXACT(metadata!O506,"water"))))</f>
        <v>0</v>
      </c>
      <c r="BA506" t="b">
        <f>IF(metadata!P506="",FALSE,TRUE)</f>
        <v>0</v>
      </c>
      <c r="BB506" t="b">
        <f>IF(metadata!Q506="",FALSE,TRUE)</f>
        <v>0</v>
      </c>
      <c r="BC506" t="b">
        <f>OR(AND(IF(metadata!R506="",FALSE,TRUE),OR(EXACT(metadata!R506,"missing: not collected"),EXACT(metadata!R506,"missing: not provided"),EXACT(metadata!R506,"missing: restricted access"))),AND(IF(metadata!R506="",FALSE,ISNUMBER(VALUE(metadata!R506))),metadata!R506&gt;=-90,metadata!R506&lt;=90))</f>
        <v>0</v>
      </c>
      <c r="BD506" t="b">
        <f>AND(IF(metadata!S506="",FALSE,TRUE),EXACT(metadata!S506,"Decimal degrees"))</f>
        <v>0</v>
      </c>
      <c r="BE506" t="b">
        <f>OR(AND(IF(metadata!T506="",FALSE,TRUE),OR(EXACT(metadata!T506,"missing: not collected"),EXACT(metadata!T506,"missing: not provided"),EXACT(metadata!T506,"missing: restricted access"))),AND(IF(metadata!T506="",FALSE,ISNUMBER(VALUE(metadata!T506))),metadata!T506&gt;=-180,metadata!T506&lt;=180))</f>
        <v>0</v>
      </c>
      <c r="BF506" t="b">
        <f>AND(IF(metadata!U506="",FALSE,TRUE),EXACT(metadata!U506,"Decimal degrees"))</f>
        <v>0</v>
      </c>
      <c r="BG506" t="b">
        <f>IF(metadata!V506="",FALSE,TRUE)</f>
        <v>0</v>
      </c>
      <c r="BH506" t="b">
        <f>OR(AND(IF(metadata!W506="",FALSE,TRUE),OR(EXACT(metadata!W506,"missing: not collected"),EXACT(metadata!W506,"missing: not provided"),EXACT(metadata!W506,"missing: restricted access"))),AND(IF(metadata!W506="",FALSE,TRUE),OR(EXACT(metadata!W506,"TRUE"),EXACT(metadata!W506,"FALSE"))))</f>
        <v>0</v>
      </c>
      <c r="BI506" t="b">
        <f>AND(IF(metadata!X506="",FALSE,TRUE),EXACT(metadata!X506,"other"))</f>
        <v>0</v>
      </c>
      <c r="BJ506" t="b">
        <f>IF(metadata!Y506="",FALSE,TRUE)</f>
        <v>0</v>
      </c>
      <c r="BK506" t="b">
        <f>OR(AND(IF(metadata!Z506="",FALSE,TRUE),OR(EXACT(metadata!Z506,"missing: not collected"),EXACT(metadata!Z506,"missing: not provided"))),AND(IF(metadata!Z506="",FALSE,IF(ISERROR(INT(metadata!Z506)),FALSE,INT(metadata!Z506)=metadata!Z506)),metadata!Z506&gt;0))</f>
        <v>0</v>
      </c>
      <c r="BL506" t="b">
        <f>AND(IF(metadata!AA506="",FALSE,TRUE),EXACT(metadata!AA506,"Not applicable"))</f>
        <v>0</v>
      </c>
      <c r="BM506" t="b">
        <f>IF(metadata!AB506="",FALSE,TRUE)</f>
        <v>0</v>
      </c>
    </row>
    <row r="507" spans="1:65" x14ac:dyDescent="0.2">
      <c r="A507" s="5" t="str">
        <f ca="1">IF(B507=" "," ",HYPERLINK(CONCATENATE("#metadata!",ADDRESS(INDEX($AH$2:$AH$1001,MATCH(ROWS($AF$2:AF507),$AF$2:$AF$1001,0),0),1)),INDEX($AK$2:$AK$1001,MATCH(ROWS($AF$2:AF507),$AF$2:$AF$1001,0),0)))</f>
        <v xml:space="preserve"> </v>
      </c>
      <c r="B507" s="4" t="str">
        <f ca="1">IF(OR(INDEX($AG$2:$AG$1001,MATCH(ROWS($AF$2:AF507),$AF$2:$AF$1001,0),1)&gt;=100000,INDEX($AM$1005:$BM$1005,1,MATCH(COLUMNS($AM$1006:AM1006),$AM$1006:$BM$1006,0))&gt;=100000), " ",IF(INDEX($AM$2:$BM$1001,MATCH(ROWS($AF$2:AF507),$AF$2:$AF$1001,0),MATCH(COLUMNS($AM$1006:AM1006),$AM$1006:$BM$1006,0)), HYPERLINK("#",""), HYPERLINK(CONCATENATE("#metadata!", ADDRESS(INDEX($AH$2:$AH$1001,MATCH(ROWS($AF$2:AF507),$AF$2:$AF$1001,0),0), INDEX($AM$1004:$BM$1004,1,MATCH(COLUMNS($AM$1006:AM1006),$AM$1006:$BM$1006,0)))),"Fix")))</f>
        <v xml:space="preserve"> </v>
      </c>
      <c r="C507" s="4" t="str">
        <f ca="1">IF(OR(INDEX($AG$2:$AG$1001,MATCH(ROWS($AF$2:AF507),$AF$2:$AF$1001,0),1)&gt;=100000,INDEX($AM$1005:$BM$1005,1,MATCH(COLUMNS($AM$1006:AN1006),$AM$1006:$BM$1006,0))&gt;=100000), " ",IF(INDEX($AM$2:$BM$1001,MATCH(ROWS($AF$2:AF507),$AF$2:$AF$1001,0),MATCH(COLUMNS($AM$1006:AN1006),$AM$1006:$BM$1006,0)), HYPERLINK("#",""), HYPERLINK(CONCATENATE("#metadata!", ADDRESS(INDEX($AH$2:$AH$1001,MATCH(ROWS($AF$2:AF507),$AF$2:$AF$1001,0),0), INDEX($AM$1004:$BM$1004,1,MATCH(COLUMNS($AM$1006:AN1006),$AM$1006:$BM$1006,0)))),"Fix")))</f>
        <v xml:space="preserve"> </v>
      </c>
      <c r="D507" s="4" t="str">
        <f ca="1">IF(OR(INDEX($AG$2:$AG$1001,MATCH(ROWS($AF$2:AF507),$AF$2:$AF$1001,0),1)&gt;=100000,INDEX($AM$1005:$BM$1005,1,MATCH(COLUMNS($AM$1006:AO1006),$AM$1006:$BM$1006,0))&gt;=100000), " ",IF(INDEX($AM$2:$BM$1001,MATCH(ROWS($AF$2:AF507),$AF$2:$AF$1001,0),MATCH(COLUMNS($AM$1006:AO1006),$AM$1006:$BM$1006,0)), HYPERLINK("#",""), HYPERLINK(CONCATENATE("#metadata!", ADDRESS(INDEX($AH$2:$AH$1001,MATCH(ROWS($AF$2:AF507),$AF$2:$AF$1001,0),0), INDEX($AM$1004:$BM$1004,1,MATCH(COLUMNS($AM$1006:AO1006),$AM$1006:$BM$1006,0)))),"Fix")))</f>
        <v xml:space="preserve"> </v>
      </c>
      <c r="E507" s="4" t="str">
        <f ca="1">IF(OR(INDEX($AG$2:$AG$1001,MATCH(ROWS($AF$2:AF507),$AF$2:$AF$1001,0),1)&gt;=100000,INDEX($AM$1005:$BM$1005,1,MATCH(COLUMNS($AM$1006:AP1006),$AM$1006:$BM$1006,0))&gt;=100000), " ",IF(INDEX($AM$2:$BM$1001,MATCH(ROWS($AF$2:AF507),$AF$2:$AF$1001,0),MATCH(COLUMNS($AM$1006:AP1006),$AM$1006:$BM$1006,0)), HYPERLINK("#",""), HYPERLINK(CONCATENATE("#metadata!", ADDRESS(INDEX($AH$2:$AH$1001,MATCH(ROWS($AF$2:AF507),$AF$2:$AF$1001,0),0), INDEX($AM$1004:$BM$1004,1,MATCH(COLUMNS($AM$1006:AP1006),$AM$1006:$BM$1006,0)))),"Fix")))</f>
        <v xml:space="preserve"> </v>
      </c>
      <c r="F507" s="4" t="str">
        <f ca="1">IF(OR(INDEX($AG$2:$AG$1001,MATCH(ROWS($AF$2:AF507),$AF$2:$AF$1001,0),1)&gt;=100000,INDEX($AM$1005:$BM$1005,1,MATCH(COLUMNS($AM$1006:AQ1006),$AM$1006:$BM$1006,0))&gt;=100000), " ",IF(INDEX($AM$2:$BM$1001,MATCH(ROWS($AF$2:AF507),$AF$2:$AF$1001,0),MATCH(COLUMNS($AM$1006:AQ1006),$AM$1006:$BM$1006,0)), HYPERLINK("#",""), HYPERLINK(CONCATENATE("#metadata!", ADDRESS(INDEX($AH$2:$AH$1001,MATCH(ROWS($AF$2:AF507),$AF$2:$AF$1001,0),0), INDEX($AM$1004:$BM$1004,1,MATCH(COLUMNS($AM$1006:AQ1006),$AM$1006:$BM$1006,0)))),"Fix")))</f>
        <v xml:space="preserve"> </v>
      </c>
      <c r="G507" s="4" t="str">
        <f ca="1">IF(OR(INDEX($AG$2:$AG$1001,MATCH(ROWS($AF$2:AF507),$AF$2:$AF$1001,0),1)&gt;=100000,INDEX($AM$1005:$BM$1005,1,MATCH(COLUMNS($AM$1006:AR1006),$AM$1006:$BM$1006,0))&gt;=100000), " ",IF(INDEX($AM$2:$BM$1001,MATCH(ROWS($AF$2:AF507),$AF$2:$AF$1001,0),MATCH(COLUMNS($AM$1006:AR1006),$AM$1006:$BM$1006,0)), HYPERLINK("#",""), HYPERLINK(CONCATENATE("#metadata!", ADDRESS(INDEX($AH$2:$AH$1001,MATCH(ROWS($AF$2:AF507),$AF$2:$AF$1001,0),0), INDEX($AM$1004:$BM$1004,1,MATCH(COLUMNS($AM$1006:AR1006),$AM$1006:$BM$1006,0)))),"Fix")))</f>
        <v xml:space="preserve"> </v>
      </c>
      <c r="H507" s="4" t="str">
        <f ca="1">IF(OR(INDEX($AG$2:$AG$1001,MATCH(ROWS($AF$2:AF507),$AF$2:$AF$1001,0),1)&gt;=100000,INDEX($AM$1005:$BM$1005,1,MATCH(COLUMNS($AM$1006:AS1006),$AM$1006:$BM$1006,0))&gt;=100000), " ",IF(INDEX($AM$2:$BM$1001,MATCH(ROWS($AF$2:AF507),$AF$2:$AF$1001,0),MATCH(COLUMNS($AM$1006:AS1006),$AM$1006:$BM$1006,0)), HYPERLINK("#",""), HYPERLINK(CONCATENATE("#metadata!", ADDRESS(INDEX($AH$2:$AH$1001,MATCH(ROWS($AF$2:AF507),$AF$2:$AF$1001,0),0), INDEX($AM$1004:$BM$1004,1,MATCH(COLUMNS($AM$1006:AS1006),$AM$1006:$BM$1006,0)))),"Fix")))</f>
        <v xml:space="preserve"> </v>
      </c>
      <c r="I507" s="4" t="str">
        <f ca="1">IF(OR(INDEX($AG$2:$AG$1001,MATCH(ROWS($AF$2:AF507),$AF$2:$AF$1001,0),1)&gt;=100000,INDEX($AM$1005:$BM$1005,1,MATCH(COLUMNS($AM$1006:AT1006),$AM$1006:$BM$1006,0))&gt;=100000), " ",IF(INDEX($AM$2:$BM$1001,MATCH(ROWS($AF$2:AF507),$AF$2:$AF$1001,0),MATCH(COLUMNS($AM$1006:AT1006),$AM$1006:$BM$1006,0)), HYPERLINK("#",""), HYPERLINK(CONCATENATE("#metadata!", ADDRESS(INDEX($AH$2:$AH$1001,MATCH(ROWS($AF$2:AF507),$AF$2:$AF$1001,0),0), INDEX($AM$1004:$BM$1004,1,MATCH(COLUMNS($AM$1006:AT1006),$AM$1006:$BM$1006,0)))),"Fix")))</f>
        <v xml:space="preserve"> </v>
      </c>
      <c r="J507" s="4" t="str">
        <f ca="1">IF(OR(INDEX($AG$2:$AG$1001,MATCH(ROWS($AF$2:AF507),$AF$2:$AF$1001,0),1)&gt;=100000,INDEX($AM$1005:$BM$1005,1,MATCH(COLUMNS($AM$1006:AU1006),$AM$1006:$BM$1006,0))&gt;=100000), " ",IF(INDEX($AM$2:$BM$1001,MATCH(ROWS($AF$2:AF507),$AF$2:$AF$1001,0),MATCH(COLUMNS($AM$1006:AU1006),$AM$1006:$BM$1006,0)), HYPERLINK("#",""), HYPERLINK(CONCATENATE("#metadata!", ADDRESS(INDEX($AH$2:$AH$1001,MATCH(ROWS($AF$2:AF507),$AF$2:$AF$1001,0),0), INDEX($AM$1004:$BM$1004,1,MATCH(COLUMNS($AM$1006:AU1006),$AM$1006:$BM$1006,0)))),"Fix")))</f>
        <v xml:space="preserve"> </v>
      </c>
      <c r="K507" s="4" t="str">
        <f ca="1">IF(OR(INDEX($AG$2:$AG$1001,MATCH(ROWS($AF$2:AF507),$AF$2:$AF$1001,0),1)&gt;=100000,INDEX($AM$1005:$BM$1005,1,MATCH(COLUMNS($AM$1006:AV1006),$AM$1006:$BM$1006,0))&gt;=100000), " ",IF(INDEX($AM$2:$BM$1001,MATCH(ROWS($AF$2:AF507),$AF$2:$AF$1001,0),MATCH(COLUMNS($AM$1006:AV1006),$AM$1006:$BM$1006,0)), HYPERLINK("#",""), HYPERLINK(CONCATENATE("#metadata!", ADDRESS(INDEX($AH$2:$AH$1001,MATCH(ROWS($AF$2:AF507),$AF$2:$AF$1001,0),0), INDEX($AM$1004:$BM$1004,1,MATCH(COLUMNS($AM$1006:AV1006),$AM$1006:$BM$1006,0)))),"Fix")))</f>
        <v xml:space="preserve"> </v>
      </c>
      <c r="L507" s="4" t="str">
        <f ca="1">IF(OR(INDEX($AG$2:$AG$1001,MATCH(ROWS($AF$2:AF507),$AF$2:$AF$1001,0),1)&gt;=100000,INDEX($AM$1005:$BM$1005,1,MATCH(COLUMNS($AM$1006:AW1006),$AM$1006:$BM$1006,0))&gt;=100000), " ",IF(INDEX($AM$2:$BM$1001,MATCH(ROWS($AF$2:AF507),$AF$2:$AF$1001,0),MATCH(COLUMNS($AM$1006:AW1006),$AM$1006:$BM$1006,0)), HYPERLINK("#",""), HYPERLINK(CONCATENATE("#metadata!", ADDRESS(INDEX($AH$2:$AH$1001,MATCH(ROWS($AF$2:AF507),$AF$2:$AF$1001,0),0), INDEX($AM$1004:$BM$1004,1,MATCH(COLUMNS($AM$1006:AW1006),$AM$1006:$BM$1006,0)))),"Fix")))</f>
        <v xml:space="preserve"> </v>
      </c>
      <c r="M507" s="4" t="str">
        <f ca="1">IF(OR(INDEX($AG$2:$AG$1001,MATCH(ROWS($AF$2:AF507),$AF$2:$AF$1001,0),1)&gt;=100000,INDEX($AM$1005:$BM$1005,1,MATCH(COLUMNS($AM$1006:AX1006),$AM$1006:$BM$1006,0))&gt;=100000), " ",IF(INDEX($AM$2:$BM$1001,MATCH(ROWS($AF$2:AF507),$AF$2:$AF$1001,0),MATCH(COLUMNS($AM$1006:AX1006),$AM$1006:$BM$1006,0)), HYPERLINK("#",""), HYPERLINK(CONCATENATE("#metadata!", ADDRESS(INDEX($AH$2:$AH$1001,MATCH(ROWS($AF$2:AF507),$AF$2:$AF$1001,0),0), INDEX($AM$1004:$BM$1004,1,MATCH(COLUMNS($AM$1006:AX1006),$AM$1006:$BM$1006,0)))),"Fix")))</f>
        <v xml:space="preserve"> </v>
      </c>
      <c r="N507" s="4" t="str">
        <f ca="1">IF(OR(INDEX($AG$2:$AG$1001,MATCH(ROWS($AF$2:AF507),$AF$2:$AF$1001,0),1)&gt;=100000,INDEX($AM$1005:$BM$1005,1,MATCH(COLUMNS($AM$1006:AY1006),$AM$1006:$BM$1006,0))&gt;=100000), " ",IF(INDEX($AM$2:$BM$1001,MATCH(ROWS($AF$2:AF507),$AF$2:$AF$1001,0),MATCH(COLUMNS($AM$1006:AY1006),$AM$1006:$BM$1006,0)), HYPERLINK("#",""), HYPERLINK(CONCATENATE("#metadata!", ADDRESS(INDEX($AH$2:$AH$1001,MATCH(ROWS($AF$2:AF507),$AF$2:$AF$1001,0),0), INDEX($AM$1004:$BM$1004,1,MATCH(COLUMNS($AM$1006:AY1006),$AM$1006:$BM$1006,0)))),"Fix")))</f>
        <v xml:space="preserve"> </v>
      </c>
      <c r="O507" s="4" t="str">
        <f ca="1">IF(OR(INDEX($AG$2:$AG$1001,MATCH(ROWS($AF$2:AF507),$AF$2:$AF$1001,0),1)&gt;=100000,INDEX($AM$1005:$BM$1005,1,MATCH(COLUMNS($AM$1006:AZ1006),$AM$1006:$BM$1006,0))&gt;=100000), " ",IF(INDEX($AM$2:$BM$1001,MATCH(ROWS($AF$2:AF507),$AF$2:$AF$1001,0),MATCH(COLUMNS($AM$1006:AZ1006),$AM$1006:$BM$1006,0)), HYPERLINK("#",""), HYPERLINK(CONCATENATE("#metadata!", ADDRESS(INDEX($AH$2:$AH$1001,MATCH(ROWS($AF$2:AF507),$AF$2:$AF$1001,0),0), INDEX($AM$1004:$BM$1004,1,MATCH(COLUMNS($AM$1006:AZ1006),$AM$1006:$BM$1006,0)))),"Fix")))</f>
        <v xml:space="preserve"> </v>
      </c>
      <c r="P507" s="4" t="str">
        <f ca="1">IF(OR(INDEX($AG$2:$AG$1001,MATCH(ROWS($AF$2:AF507),$AF$2:$AF$1001,0),1)&gt;=100000,INDEX($AM$1005:$BM$1005,1,MATCH(COLUMNS($AM$1006:BA1006),$AM$1006:$BM$1006,0))&gt;=100000), " ",IF(INDEX($AM$2:$BM$1001,MATCH(ROWS($AF$2:AF507),$AF$2:$AF$1001,0),MATCH(COLUMNS($AM$1006:BA1006),$AM$1006:$BM$1006,0)), HYPERLINK("#",""), HYPERLINK(CONCATENATE("#metadata!", ADDRESS(INDEX($AH$2:$AH$1001,MATCH(ROWS($AF$2:AF507),$AF$2:$AF$1001,0),0), INDEX($AM$1004:$BM$1004,1,MATCH(COLUMNS($AM$1006:BA1006),$AM$1006:$BM$1006,0)))),"Fix")))</f>
        <v xml:space="preserve"> </v>
      </c>
      <c r="Q507" s="4" t="str">
        <f ca="1">IF(OR(INDEX($AG$2:$AG$1001,MATCH(ROWS($AF$2:AF507),$AF$2:$AF$1001,0),1)&gt;=100000,INDEX($AM$1005:$BM$1005,1,MATCH(COLUMNS($AM$1006:BB1006),$AM$1006:$BM$1006,0))&gt;=100000), " ",IF(INDEX($AM$2:$BM$1001,MATCH(ROWS($AF$2:AF507),$AF$2:$AF$1001,0),MATCH(COLUMNS($AM$1006:BB1006),$AM$1006:$BM$1006,0)), HYPERLINK("#",""), HYPERLINK(CONCATENATE("#metadata!", ADDRESS(INDEX($AH$2:$AH$1001,MATCH(ROWS($AF$2:AF507),$AF$2:$AF$1001,0),0), INDEX($AM$1004:$BM$1004,1,MATCH(COLUMNS($AM$1006:BB1006),$AM$1006:$BM$1006,0)))),"Fix")))</f>
        <v xml:space="preserve"> </v>
      </c>
      <c r="R507" s="4" t="str">
        <f ca="1">IF(OR(INDEX($AG$2:$AG$1001,MATCH(ROWS($AF$2:AF507),$AF$2:$AF$1001,0),1)&gt;=100000,INDEX($AM$1005:$BM$1005,1,MATCH(COLUMNS($AM$1006:BC1006),$AM$1006:$BM$1006,0))&gt;=100000), " ",IF(INDEX($AM$2:$BM$1001,MATCH(ROWS($AF$2:AF507),$AF$2:$AF$1001,0),MATCH(COLUMNS($AM$1006:BC1006),$AM$1006:$BM$1006,0)), HYPERLINK("#",""), HYPERLINK(CONCATENATE("#metadata!", ADDRESS(INDEX($AH$2:$AH$1001,MATCH(ROWS($AF$2:AF507),$AF$2:$AF$1001,0),0), INDEX($AM$1004:$BM$1004,1,MATCH(COLUMNS($AM$1006:BC1006),$AM$1006:$BM$1006,0)))),"Fix")))</f>
        <v xml:space="preserve"> </v>
      </c>
      <c r="S507" s="4" t="str">
        <f ca="1">IF(OR(INDEX($AG$2:$AG$1001,MATCH(ROWS($AF$2:AF507),$AF$2:$AF$1001,0),1)&gt;=100000,INDEX($AM$1005:$BM$1005,1,MATCH(COLUMNS($AM$1006:BD1006),$AM$1006:$BM$1006,0))&gt;=100000), " ",IF(INDEX($AM$2:$BM$1001,MATCH(ROWS($AF$2:AF507),$AF$2:$AF$1001,0),MATCH(COLUMNS($AM$1006:BD1006),$AM$1006:$BM$1006,0)), HYPERLINK("#",""), HYPERLINK(CONCATENATE("#metadata!", ADDRESS(INDEX($AH$2:$AH$1001,MATCH(ROWS($AF$2:AF507),$AF$2:$AF$1001,0),0), INDEX($AM$1004:$BM$1004,1,MATCH(COLUMNS($AM$1006:BD1006),$AM$1006:$BM$1006,0)))),"Fix")))</f>
        <v xml:space="preserve"> </v>
      </c>
      <c r="T507" s="4" t="str">
        <f ca="1">IF(OR(INDEX($AG$2:$AG$1001,MATCH(ROWS($AF$2:AF507),$AF$2:$AF$1001,0),1)&gt;=100000,INDEX($AM$1005:$BM$1005,1,MATCH(COLUMNS($AM$1006:BE1006),$AM$1006:$BM$1006,0))&gt;=100000), " ",IF(INDEX($AM$2:$BM$1001,MATCH(ROWS($AF$2:AF507),$AF$2:$AF$1001,0),MATCH(COLUMNS($AM$1006:BE1006),$AM$1006:$BM$1006,0)), HYPERLINK("#",""), HYPERLINK(CONCATENATE("#metadata!", ADDRESS(INDEX($AH$2:$AH$1001,MATCH(ROWS($AF$2:AF507),$AF$2:$AF$1001,0),0), INDEX($AM$1004:$BM$1004,1,MATCH(COLUMNS($AM$1006:BE1006),$AM$1006:$BM$1006,0)))),"Fix")))</f>
        <v xml:space="preserve"> </v>
      </c>
      <c r="U507" s="4" t="str">
        <f ca="1">IF(OR(INDEX($AG$2:$AG$1001,MATCH(ROWS($AF$2:AF507),$AF$2:$AF$1001,0),1)&gt;=100000,INDEX($AM$1005:$BM$1005,1,MATCH(COLUMNS($AM$1006:BF1006),$AM$1006:$BM$1006,0))&gt;=100000), " ",IF(INDEX($AM$2:$BM$1001,MATCH(ROWS($AF$2:AF507),$AF$2:$AF$1001,0),MATCH(COLUMNS($AM$1006:BF1006),$AM$1006:$BM$1006,0)), HYPERLINK("#",""), HYPERLINK(CONCATENATE("#metadata!", ADDRESS(INDEX($AH$2:$AH$1001,MATCH(ROWS($AF$2:AF507),$AF$2:$AF$1001,0),0), INDEX($AM$1004:$BM$1004,1,MATCH(COLUMNS($AM$1006:BF1006),$AM$1006:$BM$1006,0)))),"Fix")))</f>
        <v xml:space="preserve"> </v>
      </c>
      <c r="V507" s="4" t="str">
        <f ca="1">IF(OR(INDEX($AG$2:$AG$1001,MATCH(ROWS($AF$2:AF507),$AF$2:$AF$1001,0),1)&gt;=100000,INDEX($AM$1005:$BM$1005,1,MATCH(COLUMNS($AM$1006:BG1006),$AM$1006:$BM$1006,0))&gt;=100000), " ",IF(INDEX($AM$2:$BM$1001,MATCH(ROWS($AF$2:AF507),$AF$2:$AF$1001,0),MATCH(COLUMNS($AM$1006:BG1006),$AM$1006:$BM$1006,0)), HYPERLINK("#",""), HYPERLINK(CONCATENATE("#metadata!", ADDRESS(INDEX($AH$2:$AH$1001,MATCH(ROWS($AF$2:AF507),$AF$2:$AF$1001,0),0), INDEX($AM$1004:$BM$1004,1,MATCH(COLUMNS($AM$1006:BG1006),$AM$1006:$BM$1006,0)))),"Fix")))</f>
        <v xml:space="preserve"> </v>
      </c>
      <c r="W507" s="4" t="str">
        <f ca="1">IF(OR(INDEX($AG$2:$AG$1001,MATCH(ROWS($AF$2:AF507),$AF$2:$AF$1001,0),1)&gt;=100000,INDEX($AM$1005:$BM$1005,1,MATCH(COLUMNS($AM$1006:BH1006),$AM$1006:$BM$1006,0))&gt;=100000), " ",IF(INDEX($AM$2:$BM$1001,MATCH(ROWS($AF$2:AF507),$AF$2:$AF$1001,0),MATCH(COLUMNS($AM$1006:BH1006),$AM$1006:$BM$1006,0)), HYPERLINK("#",""), HYPERLINK(CONCATENATE("#metadata!", ADDRESS(INDEX($AH$2:$AH$1001,MATCH(ROWS($AF$2:AF507),$AF$2:$AF$1001,0),0), INDEX($AM$1004:$BM$1004,1,MATCH(COLUMNS($AM$1006:BH1006),$AM$1006:$BM$1006,0)))),"Fix")))</f>
        <v xml:space="preserve"> </v>
      </c>
      <c r="X507" s="4" t="str">
        <f ca="1">IF(OR(INDEX($AG$2:$AG$1001,MATCH(ROWS($AF$2:AF507),$AF$2:$AF$1001,0),1)&gt;=100000,INDEX($AM$1005:$BM$1005,1,MATCH(COLUMNS($AM$1006:BI1006),$AM$1006:$BM$1006,0))&gt;=100000), " ",IF(INDEX($AM$2:$BM$1001,MATCH(ROWS($AF$2:AF507),$AF$2:$AF$1001,0),MATCH(COLUMNS($AM$1006:BI1006),$AM$1006:$BM$1006,0)), HYPERLINK("#",""), HYPERLINK(CONCATENATE("#metadata!", ADDRESS(INDEX($AH$2:$AH$1001,MATCH(ROWS($AF$2:AF507),$AF$2:$AF$1001,0),0), INDEX($AM$1004:$BM$1004,1,MATCH(COLUMNS($AM$1006:BI1006),$AM$1006:$BM$1006,0)))),"Fix")))</f>
        <v xml:space="preserve"> </v>
      </c>
      <c r="Y507" s="4" t="str">
        <f ca="1">IF(OR(INDEX($AG$2:$AG$1001,MATCH(ROWS($AF$2:AF507),$AF$2:$AF$1001,0),1)&gt;=100000,INDEX($AM$1005:$BM$1005,1,MATCH(COLUMNS($AM$1006:BJ1006),$AM$1006:$BM$1006,0))&gt;=100000), " ",IF(INDEX($AM$2:$BM$1001,MATCH(ROWS($AF$2:AF507),$AF$2:$AF$1001,0),MATCH(COLUMNS($AM$1006:BJ1006),$AM$1006:$BM$1006,0)), HYPERLINK("#",""), HYPERLINK(CONCATENATE("#metadata!", ADDRESS(INDEX($AH$2:$AH$1001,MATCH(ROWS($AF$2:AF507),$AF$2:$AF$1001,0),0), INDEX($AM$1004:$BM$1004,1,MATCH(COLUMNS($AM$1006:BJ1006),$AM$1006:$BM$1006,0)))),"Fix")))</f>
        <v xml:space="preserve"> </v>
      </c>
      <c r="Z507" s="4" t="str">
        <f ca="1">IF(OR(INDEX($AG$2:$AG$1001,MATCH(ROWS($AF$2:AF507),$AF$2:$AF$1001,0),1)&gt;=100000,INDEX($AM$1005:$BM$1005,1,MATCH(COLUMNS($AM$1006:BK1006),$AM$1006:$BM$1006,0))&gt;=100000), " ",IF(INDEX($AM$2:$BM$1001,MATCH(ROWS($AF$2:AF507),$AF$2:$AF$1001,0),MATCH(COLUMNS($AM$1006:BK1006),$AM$1006:$BM$1006,0)), HYPERLINK("#",""), HYPERLINK(CONCATENATE("#metadata!", ADDRESS(INDEX($AH$2:$AH$1001,MATCH(ROWS($AF$2:AF507),$AF$2:$AF$1001,0),0), INDEX($AM$1004:$BM$1004,1,MATCH(COLUMNS($AM$1006:BK1006),$AM$1006:$BM$1006,0)))),"Fix")))</f>
        <v xml:space="preserve"> </v>
      </c>
      <c r="AA507" s="4" t="str">
        <f ca="1">IF(OR(INDEX($AG$2:$AG$1001,MATCH(ROWS($AF$2:AF507),$AF$2:$AF$1001,0),1)&gt;=100000,INDEX($AM$1005:$BM$1005,1,MATCH(COLUMNS($AM$1006:BL1006),$AM$1006:$BM$1006,0))&gt;=100000), " ",IF(INDEX($AM$2:$BM$1001,MATCH(ROWS($AF$2:AF507),$AF$2:$AF$1001,0),MATCH(COLUMNS($AM$1006:BL1006),$AM$1006:$BM$1006,0)), HYPERLINK("#",""), HYPERLINK(CONCATENATE("#metadata!", ADDRESS(INDEX($AH$2:$AH$1001,MATCH(ROWS($AF$2:AF507),$AF$2:$AF$1001,0),0), INDEX($AM$1004:$BM$1004,1,MATCH(COLUMNS($AM$1006:BL1006),$AM$1006:$BM$1006,0)))),"Fix")))</f>
        <v xml:space="preserve"> </v>
      </c>
      <c r="AB507" s="4" t="str">
        <f ca="1">IF(OR(INDEX($AG$2:$AG$1001,MATCH(ROWS($AF$2:AF507),$AF$2:$AF$1001,0),1)&gt;=100000,INDEX($AM$1005:$BM$1005,1,MATCH(COLUMNS($AM$1006:BM1006),$AM$1006:$BM$1006,0))&gt;=100000), " ",IF(INDEX($AM$2:$BM$1001,MATCH(ROWS($AF$2:AF507),$AF$2:$AF$1001,0),MATCH(COLUMNS($AM$1006:BM1006),$AM$1006:$BM$1006,0)), HYPERLINK("#",""), HYPERLINK(CONCATENATE("#metadata!", ADDRESS(INDEX($AH$2:$AH$1001,MATCH(ROWS($AF$2:AF507),$AF$2:$AF$1001,0),0), INDEX($AM$1004:$BM$1004,1,MATCH(COLUMNS($AM$1006:BM1006),$AM$1006:$BM$1006,0)))),"Fix")))</f>
        <v xml:space="preserve"> </v>
      </c>
      <c r="AF507">
        <v>506</v>
      </c>
      <c r="AG507">
        <v>100507</v>
      </c>
      <c r="AH507">
        <v>507</v>
      </c>
      <c r="AI507" t="b">
        <f t="shared" si="7"/>
        <v>1</v>
      </c>
      <c r="AJ507" t="b">
        <f>COUNTBLANK(metadata!B507:AB507)=COLUMNS(metadata!B507:AB507)</f>
        <v>1</v>
      </c>
      <c r="AK507" t="str">
        <v/>
      </c>
      <c r="AM507" t="b">
        <f ca="1">AND(IF(metadata!B507="",FALSE,TRUE),COUNTIF(metadata!B:B, metadata!B507) = 1,NOT(ISERROR(SUMPRODUCT(SEARCH(MID(metadata!B507,ROW(INDIRECT("1:"&amp;LEN(metadata!B507))), 1),"0123456789abcdefghijklmnopqrstuvwxyzABCDEFGHIJKLMNOPQRSTUVWXYZ.")))))</f>
        <v>0</v>
      </c>
      <c r="AN507" t="b">
        <f ca="1">OR(AND(IF(metadata!C507="",FALSE,TRUE),OR(EXACT(metadata!C507,"missing: not collected"),EXACT(metadata!C507,"missing: not provided"),EXACT(metadata!C507,"missing: restricted access"))),AND(IF(metadata!C507="",FALSE,TRUE),AND(AND(IFERROR(INT(LEFT(metadata!C507,4))&gt;1900,FALSE),IFERROR(INT(LEFT(metadata!C507,4))&lt;=YEAR(NOW()),FALSE)), OR(MID(metadata!C507,5,1)="", AND(AND(MID(metadata!C507,5,1)="-",IFERROR(INT(MID(metadata!C507,6,1))&gt;=0,FALSE),IFERROR(INT(MID(metadata!C507,6,1))&lt;=1,FALSE),NOT(MID(metadata!C507,7,1)=""),IFERROR(INT(MID(metadata!C507,6,2))&gt;=1,FALSE),IFERROR(INT(MID(metadata!C507,6,2))&lt;=12,FALSE)), OR(MID(metadata!C507,8,1)="", AND(AND(MID(metadata!C507,8,1)="-",IFERROR(INT(MID(metadata!C507,9,1))&gt;=0,FALSE),IFERROR(INT(MID(metadata!C507,9,1))&lt;=3,FALSE),NOT(MID(metadata!C507,10,1)=""),IFERROR(INT(MID(metadata!C507,9,2))&gt;=1,FALSE),IFERROR(INT(MID(metadata!C507,9,2))&lt;=31,FALSE)), OR(MID(metadata!C507,11,1)="", AND(AND(MID(metadata!C507,11,1)=" ",IFERROR(INT(MID(metadata!C507,12,1))&gt;=0,FALSE),IFERROR(INT(MID(metadata!C507,12,1))&lt;=2,FALSE),NOT(MID(metadata!C507,13,1)=""),IFERROR(INT(MID(metadata!C507,12,2))&gt;=0,FALSE),IFERROR(INT(MID(metadata!C507,12,2))&lt;=23,FALSE)), OR(MID(metadata!C507,14,1)="", AND(AND(MID(metadata!C507,14,1)=":",IFERROR(INT(MID(metadata!C507,15,1))&gt;=0,FALSE),IFERROR(INT(MID(metadata!C507,15,1))&lt;=5,FALSE),NOT(MID(metadata!C507,16,1)=""),IFERROR(INT(MID(metadata!C507,15,2))&gt;=0,FALSE),IFERROR(INT(MID(metadata!C507,15,2))&lt;=59,FALSE)), OR(MID(metadata!C507,17,1)="", AND(AND(MID(metadata!C507,17,1)=":",IFERROR(INT(MID(metadata!C507,18,1))&gt;=0,FALSE),IFERROR(INT(MID(metadata!C507,18,1))&lt;=5,FALSE),NOT(MID(metadata!C507,19,1)=""),IFERROR(INT(MID(metadata!C507,18,2))&gt;=0,FALSE),IFERROR(INT(MID(metadata!C507,18,2))&lt;=59,FALSE)), LEN(metadata!C507)&lt;=19)))))))))))))</f>
        <v>0</v>
      </c>
      <c r="AO507" t="b">
        <f>AND(IF(metadata!D507="",FALSE,TRUE),EXACT(metadata!D507,"Not applicable"))</f>
        <v>0</v>
      </c>
      <c r="AP507" t="b">
        <f>IF(metadata!E507="",FALSE,TRUE)</f>
        <v>0</v>
      </c>
      <c r="AQ507" t="b">
        <f>OR(AND(IF(metadata!F507="",FALSE,TRUE),OR(EXACT(metadata!F507,"missing: not collected"),EXACT(metadata!F507,"missing: not provided"))),AND(IF(metadata!F507="",FALSE,TRUE),OR(EXACT(metadata!F507,"TRUE"),EXACT(metadata!F507,"FALSE"))))</f>
        <v>0</v>
      </c>
      <c r="AR507" t="b">
        <f>OR(AND(IF(metadata!G507="",FALSE,TRUE),OR(EXACT(metadata!G507,"missing: not collected"),EXACT(metadata!G507,"missing: not provided"),EXACT(metadata!G507,"missing: restricted access"))),AND(IF(metadata!G507="",FALSE,ISNUMBER(VALUE(metadata!G507))),metadata!G507&gt;=-413))</f>
        <v>0</v>
      </c>
      <c r="AS507" t="b">
        <f>AND(IF(metadata!H507="",FALSE,TRUE),EXACT(metadata!H507,"meters"))</f>
        <v>0</v>
      </c>
      <c r="AT507" t="b">
        <f>AND(IF(metadata!I507="",FALSE,TRUE),OR(EXACT(metadata!I507,"Host-associated"),EXACT(metadata!I507,"Free-living")))</f>
        <v>0</v>
      </c>
      <c r="AU507" t="b">
        <f>AND(IF(metadata!J507="",FALSE,TRUE),OR(EXACT(metadata!J507,"Animal"),EXACT(metadata!J507,"Fungus"),EXACT(metadata!J507,"Plant"),EXACT(metadata!J507,"Saline"),EXACT(metadata!J507,"Non-saline")))</f>
        <v>0</v>
      </c>
      <c r="AV507" t="b">
        <f>AND(IF(metadata!K507="",FALSE,TRUE),OR(EXACT(metadata!K507,"Plant secretion"),EXACT(metadata!K507,"Plant rhizosphere"),EXACT(metadata!K507,"Plant surface"),EXACT(metadata!K507,"Plant corpus"),EXACT(metadata!K507,"Fungus surface"),EXACT(metadata!K507,"Fungus corpus"),EXACT(metadata!K507,"Animal surface"),EXACT(metadata!K507,"Animal proximal gut"),EXACT(metadata!K507,"Animal corpus"),EXACT(metadata!K507,"Animal distal gut"),EXACT(metadata!K507,"Animal secretion"),EXACT(metadata!K507,"Sub-surface (non-saline)"),EXACT(metadata!K507,"Surface (non-saline)"),EXACT(metadata!K507,"Water (non-saline)"),EXACT(metadata!K507,"Soil (non-saline)"),EXACT(metadata!K507,"Aerosol (non-saline)"),EXACT(metadata!K507,"Sediment (non-saline)"),EXACT(metadata!K507,"Surface (saline)"),EXACT(metadata!K507,"Water (saline)"),EXACT(metadata!K507,"Hypersaline (saline)"),EXACT(metadata!K507,"Aerosol (saline)"),EXACT(metadata!K507,"Sediment (saline)")))</f>
        <v>0</v>
      </c>
      <c r="AW507" t="b">
        <f>IF(metadata!L507="",FALSE,TRUE)</f>
        <v>0</v>
      </c>
      <c r="AX507" t="b">
        <f>IF(metadata!M507="",FALSE,TRUE)</f>
        <v>0</v>
      </c>
      <c r="AY507" t="b">
        <f>IF(metadata!N507="",FALSE,TRUE)</f>
        <v>0</v>
      </c>
      <c r="AZ507" t="b">
        <f>OR(AND(IF(metadata!O507="",FALSE,TRUE),OR(EXACT(metadata!O507,"missing: not collected"),EXACT(metadata!O507,"missing: not provided"),EXACT(metadata!O507,"missing: restricted access"))),AND(IF(metadata!O507="",FALSE,TRUE),OR(EXACT(metadata!O507,"air"),EXACT(metadata!O507,"built environment"),EXACT(metadata!O507,"host-associated"),EXACT(metadata!O507,"human-associated"),EXACT(metadata!O507,"human-skin"),EXACT(metadata!O507,"human-oral"),EXACT(metadata!O507,"human-gut"),EXACT(metadata!O507,"human-vaginal"),EXACT(metadata!O507,"microbial mat/biofilm"),EXACT(metadata!O507,"misc environment"),EXACT(metadata!O507,"plant-associated"),EXACT(metadata!O507,"sediment"),EXACT(metadata!O507,"soil"),EXACT(metadata!O507,"wastewater/sludge"),EXACT(metadata!O507,"water"))))</f>
        <v>0</v>
      </c>
      <c r="BA507" t="b">
        <f>IF(metadata!P507="",FALSE,TRUE)</f>
        <v>0</v>
      </c>
      <c r="BB507" t="b">
        <f>IF(metadata!Q507="",FALSE,TRUE)</f>
        <v>0</v>
      </c>
      <c r="BC507" t="b">
        <f>OR(AND(IF(metadata!R507="",FALSE,TRUE),OR(EXACT(metadata!R507,"missing: not collected"),EXACT(metadata!R507,"missing: not provided"),EXACT(metadata!R507,"missing: restricted access"))),AND(IF(metadata!R507="",FALSE,ISNUMBER(VALUE(metadata!R507))),metadata!R507&gt;=-90,metadata!R507&lt;=90))</f>
        <v>0</v>
      </c>
      <c r="BD507" t="b">
        <f>AND(IF(metadata!S507="",FALSE,TRUE),EXACT(metadata!S507,"Decimal degrees"))</f>
        <v>0</v>
      </c>
      <c r="BE507" t="b">
        <f>OR(AND(IF(metadata!T507="",FALSE,TRUE),OR(EXACT(metadata!T507,"missing: not collected"),EXACT(metadata!T507,"missing: not provided"),EXACT(metadata!T507,"missing: restricted access"))),AND(IF(metadata!T507="",FALSE,ISNUMBER(VALUE(metadata!T507))),metadata!T507&gt;=-180,metadata!T507&lt;=180))</f>
        <v>0</v>
      </c>
      <c r="BF507" t="b">
        <f>AND(IF(metadata!U507="",FALSE,TRUE),EXACT(metadata!U507,"Decimal degrees"))</f>
        <v>0</v>
      </c>
      <c r="BG507" t="b">
        <f>IF(metadata!V507="",FALSE,TRUE)</f>
        <v>0</v>
      </c>
      <c r="BH507" t="b">
        <f>OR(AND(IF(metadata!W507="",FALSE,TRUE),OR(EXACT(metadata!W507,"missing: not collected"),EXACT(metadata!W507,"missing: not provided"),EXACT(metadata!W507,"missing: restricted access"))),AND(IF(metadata!W507="",FALSE,TRUE),OR(EXACT(metadata!W507,"TRUE"),EXACT(metadata!W507,"FALSE"))))</f>
        <v>0</v>
      </c>
      <c r="BI507" t="b">
        <f>AND(IF(metadata!X507="",FALSE,TRUE),EXACT(metadata!X507,"other"))</f>
        <v>0</v>
      </c>
      <c r="BJ507" t="b">
        <f>IF(metadata!Y507="",FALSE,TRUE)</f>
        <v>0</v>
      </c>
      <c r="BK507" t="b">
        <f>OR(AND(IF(metadata!Z507="",FALSE,TRUE),OR(EXACT(metadata!Z507,"missing: not collected"),EXACT(metadata!Z507,"missing: not provided"))),AND(IF(metadata!Z507="",FALSE,IF(ISERROR(INT(metadata!Z507)),FALSE,INT(metadata!Z507)=metadata!Z507)),metadata!Z507&gt;0))</f>
        <v>0</v>
      </c>
      <c r="BL507" t="b">
        <f>AND(IF(metadata!AA507="",FALSE,TRUE),EXACT(metadata!AA507,"Not applicable"))</f>
        <v>0</v>
      </c>
      <c r="BM507" t="b">
        <f>IF(metadata!AB507="",FALSE,TRUE)</f>
        <v>0</v>
      </c>
    </row>
    <row r="508" spans="1:65" x14ac:dyDescent="0.2">
      <c r="A508" s="5" t="str">
        <f ca="1">IF(B508=" "," ",HYPERLINK(CONCATENATE("#metadata!",ADDRESS(INDEX($AH$2:$AH$1001,MATCH(ROWS($AF$2:AF508),$AF$2:$AF$1001,0),0),1)),INDEX($AK$2:$AK$1001,MATCH(ROWS($AF$2:AF508),$AF$2:$AF$1001,0),0)))</f>
        <v xml:space="preserve"> </v>
      </c>
      <c r="B508" s="4" t="str">
        <f ca="1">IF(OR(INDEX($AG$2:$AG$1001,MATCH(ROWS($AF$2:AF508),$AF$2:$AF$1001,0),1)&gt;=100000,INDEX($AM$1005:$BM$1005,1,MATCH(COLUMNS($AM$1006:AM1006),$AM$1006:$BM$1006,0))&gt;=100000), " ",IF(INDEX($AM$2:$BM$1001,MATCH(ROWS($AF$2:AF508),$AF$2:$AF$1001,0),MATCH(COLUMNS($AM$1006:AM1006),$AM$1006:$BM$1006,0)), HYPERLINK("#",""), HYPERLINK(CONCATENATE("#metadata!", ADDRESS(INDEX($AH$2:$AH$1001,MATCH(ROWS($AF$2:AF508),$AF$2:$AF$1001,0),0), INDEX($AM$1004:$BM$1004,1,MATCH(COLUMNS($AM$1006:AM1006),$AM$1006:$BM$1006,0)))),"Fix")))</f>
        <v xml:space="preserve"> </v>
      </c>
      <c r="C508" s="4" t="str">
        <f ca="1">IF(OR(INDEX($AG$2:$AG$1001,MATCH(ROWS($AF$2:AF508),$AF$2:$AF$1001,0),1)&gt;=100000,INDEX($AM$1005:$BM$1005,1,MATCH(COLUMNS($AM$1006:AN1006),$AM$1006:$BM$1006,0))&gt;=100000), " ",IF(INDEX($AM$2:$BM$1001,MATCH(ROWS($AF$2:AF508),$AF$2:$AF$1001,0),MATCH(COLUMNS($AM$1006:AN1006),$AM$1006:$BM$1006,0)), HYPERLINK("#",""), HYPERLINK(CONCATENATE("#metadata!", ADDRESS(INDEX($AH$2:$AH$1001,MATCH(ROWS($AF$2:AF508),$AF$2:$AF$1001,0),0), INDEX($AM$1004:$BM$1004,1,MATCH(COLUMNS($AM$1006:AN1006),$AM$1006:$BM$1006,0)))),"Fix")))</f>
        <v xml:space="preserve"> </v>
      </c>
      <c r="D508" s="4" t="str">
        <f ca="1">IF(OR(INDEX($AG$2:$AG$1001,MATCH(ROWS($AF$2:AF508),$AF$2:$AF$1001,0),1)&gt;=100000,INDEX($AM$1005:$BM$1005,1,MATCH(COLUMNS($AM$1006:AO1006),$AM$1006:$BM$1006,0))&gt;=100000), " ",IF(INDEX($AM$2:$BM$1001,MATCH(ROWS($AF$2:AF508),$AF$2:$AF$1001,0),MATCH(COLUMNS($AM$1006:AO1006),$AM$1006:$BM$1006,0)), HYPERLINK("#",""), HYPERLINK(CONCATENATE("#metadata!", ADDRESS(INDEX($AH$2:$AH$1001,MATCH(ROWS($AF$2:AF508),$AF$2:$AF$1001,0),0), INDEX($AM$1004:$BM$1004,1,MATCH(COLUMNS($AM$1006:AO1006),$AM$1006:$BM$1006,0)))),"Fix")))</f>
        <v xml:space="preserve"> </v>
      </c>
      <c r="E508" s="4" t="str">
        <f ca="1">IF(OR(INDEX($AG$2:$AG$1001,MATCH(ROWS($AF$2:AF508),$AF$2:$AF$1001,0),1)&gt;=100000,INDEX($AM$1005:$BM$1005,1,MATCH(COLUMNS($AM$1006:AP1006),$AM$1006:$BM$1006,0))&gt;=100000), " ",IF(INDEX($AM$2:$BM$1001,MATCH(ROWS($AF$2:AF508),$AF$2:$AF$1001,0),MATCH(COLUMNS($AM$1006:AP1006),$AM$1006:$BM$1006,0)), HYPERLINK("#",""), HYPERLINK(CONCATENATE("#metadata!", ADDRESS(INDEX($AH$2:$AH$1001,MATCH(ROWS($AF$2:AF508),$AF$2:$AF$1001,0),0), INDEX($AM$1004:$BM$1004,1,MATCH(COLUMNS($AM$1006:AP1006),$AM$1006:$BM$1006,0)))),"Fix")))</f>
        <v xml:space="preserve"> </v>
      </c>
      <c r="F508" s="4" t="str">
        <f ca="1">IF(OR(INDEX($AG$2:$AG$1001,MATCH(ROWS($AF$2:AF508),$AF$2:$AF$1001,0),1)&gt;=100000,INDEX($AM$1005:$BM$1005,1,MATCH(COLUMNS($AM$1006:AQ1006),$AM$1006:$BM$1006,0))&gt;=100000), " ",IF(INDEX($AM$2:$BM$1001,MATCH(ROWS($AF$2:AF508),$AF$2:$AF$1001,0),MATCH(COLUMNS($AM$1006:AQ1006),$AM$1006:$BM$1006,0)), HYPERLINK("#",""), HYPERLINK(CONCATENATE("#metadata!", ADDRESS(INDEX($AH$2:$AH$1001,MATCH(ROWS($AF$2:AF508),$AF$2:$AF$1001,0),0), INDEX($AM$1004:$BM$1004,1,MATCH(COLUMNS($AM$1006:AQ1006),$AM$1006:$BM$1006,0)))),"Fix")))</f>
        <v xml:space="preserve"> </v>
      </c>
      <c r="G508" s="4" t="str">
        <f ca="1">IF(OR(INDEX($AG$2:$AG$1001,MATCH(ROWS($AF$2:AF508),$AF$2:$AF$1001,0),1)&gt;=100000,INDEX($AM$1005:$BM$1005,1,MATCH(COLUMNS($AM$1006:AR1006),$AM$1006:$BM$1006,0))&gt;=100000), " ",IF(INDEX($AM$2:$BM$1001,MATCH(ROWS($AF$2:AF508),$AF$2:$AF$1001,0),MATCH(COLUMNS($AM$1006:AR1006),$AM$1006:$BM$1006,0)), HYPERLINK("#",""), HYPERLINK(CONCATENATE("#metadata!", ADDRESS(INDEX($AH$2:$AH$1001,MATCH(ROWS($AF$2:AF508),$AF$2:$AF$1001,0),0), INDEX($AM$1004:$BM$1004,1,MATCH(COLUMNS($AM$1006:AR1006),$AM$1006:$BM$1006,0)))),"Fix")))</f>
        <v xml:space="preserve"> </v>
      </c>
      <c r="H508" s="4" t="str">
        <f ca="1">IF(OR(INDEX($AG$2:$AG$1001,MATCH(ROWS($AF$2:AF508),$AF$2:$AF$1001,0),1)&gt;=100000,INDEX($AM$1005:$BM$1005,1,MATCH(COLUMNS($AM$1006:AS1006),$AM$1006:$BM$1006,0))&gt;=100000), " ",IF(INDEX($AM$2:$BM$1001,MATCH(ROWS($AF$2:AF508),$AF$2:$AF$1001,0),MATCH(COLUMNS($AM$1006:AS1006),$AM$1006:$BM$1006,0)), HYPERLINK("#",""), HYPERLINK(CONCATENATE("#metadata!", ADDRESS(INDEX($AH$2:$AH$1001,MATCH(ROWS($AF$2:AF508),$AF$2:$AF$1001,0),0), INDEX($AM$1004:$BM$1004,1,MATCH(COLUMNS($AM$1006:AS1006),$AM$1006:$BM$1006,0)))),"Fix")))</f>
        <v xml:space="preserve"> </v>
      </c>
      <c r="I508" s="4" t="str">
        <f ca="1">IF(OR(INDEX($AG$2:$AG$1001,MATCH(ROWS($AF$2:AF508),$AF$2:$AF$1001,0),1)&gt;=100000,INDEX($AM$1005:$BM$1005,1,MATCH(COLUMNS($AM$1006:AT1006),$AM$1006:$BM$1006,0))&gt;=100000), " ",IF(INDEX($AM$2:$BM$1001,MATCH(ROWS($AF$2:AF508),$AF$2:$AF$1001,0),MATCH(COLUMNS($AM$1006:AT1006),$AM$1006:$BM$1006,0)), HYPERLINK("#",""), HYPERLINK(CONCATENATE("#metadata!", ADDRESS(INDEX($AH$2:$AH$1001,MATCH(ROWS($AF$2:AF508),$AF$2:$AF$1001,0),0), INDEX($AM$1004:$BM$1004,1,MATCH(COLUMNS($AM$1006:AT1006),$AM$1006:$BM$1006,0)))),"Fix")))</f>
        <v xml:space="preserve"> </v>
      </c>
      <c r="J508" s="4" t="str">
        <f ca="1">IF(OR(INDEX($AG$2:$AG$1001,MATCH(ROWS($AF$2:AF508),$AF$2:$AF$1001,0),1)&gt;=100000,INDEX($AM$1005:$BM$1005,1,MATCH(COLUMNS($AM$1006:AU1006),$AM$1006:$BM$1006,0))&gt;=100000), " ",IF(INDEX($AM$2:$BM$1001,MATCH(ROWS($AF$2:AF508),$AF$2:$AF$1001,0),MATCH(COLUMNS($AM$1006:AU1006),$AM$1006:$BM$1006,0)), HYPERLINK("#",""), HYPERLINK(CONCATENATE("#metadata!", ADDRESS(INDEX($AH$2:$AH$1001,MATCH(ROWS($AF$2:AF508),$AF$2:$AF$1001,0),0), INDEX($AM$1004:$BM$1004,1,MATCH(COLUMNS($AM$1006:AU1006),$AM$1006:$BM$1006,0)))),"Fix")))</f>
        <v xml:space="preserve"> </v>
      </c>
      <c r="K508" s="4" t="str">
        <f ca="1">IF(OR(INDEX($AG$2:$AG$1001,MATCH(ROWS($AF$2:AF508),$AF$2:$AF$1001,0),1)&gt;=100000,INDEX($AM$1005:$BM$1005,1,MATCH(COLUMNS($AM$1006:AV1006),$AM$1006:$BM$1006,0))&gt;=100000), " ",IF(INDEX($AM$2:$BM$1001,MATCH(ROWS($AF$2:AF508),$AF$2:$AF$1001,0),MATCH(COLUMNS($AM$1006:AV1006),$AM$1006:$BM$1006,0)), HYPERLINK("#",""), HYPERLINK(CONCATENATE("#metadata!", ADDRESS(INDEX($AH$2:$AH$1001,MATCH(ROWS($AF$2:AF508),$AF$2:$AF$1001,0),0), INDEX($AM$1004:$BM$1004,1,MATCH(COLUMNS($AM$1006:AV1006),$AM$1006:$BM$1006,0)))),"Fix")))</f>
        <v xml:space="preserve"> </v>
      </c>
      <c r="L508" s="4" t="str">
        <f ca="1">IF(OR(INDEX($AG$2:$AG$1001,MATCH(ROWS($AF$2:AF508),$AF$2:$AF$1001,0),1)&gt;=100000,INDEX($AM$1005:$BM$1005,1,MATCH(COLUMNS($AM$1006:AW1006),$AM$1006:$BM$1006,0))&gt;=100000), " ",IF(INDEX($AM$2:$BM$1001,MATCH(ROWS($AF$2:AF508),$AF$2:$AF$1001,0),MATCH(COLUMNS($AM$1006:AW1006),$AM$1006:$BM$1006,0)), HYPERLINK("#",""), HYPERLINK(CONCATENATE("#metadata!", ADDRESS(INDEX($AH$2:$AH$1001,MATCH(ROWS($AF$2:AF508),$AF$2:$AF$1001,0),0), INDEX($AM$1004:$BM$1004,1,MATCH(COLUMNS($AM$1006:AW1006),$AM$1006:$BM$1006,0)))),"Fix")))</f>
        <v xml:space="preserve"> </v>
      </c>
      <c r="M508" s="4" t="str">
        <f ca="1">IF(OR(INDEX($AG$2:$AG$1001,MATCH(ROWS($AF$2:AF508),$AF$2:$AF$1001,0),1)&gt;=100000,INDEX($AM$1005:$BM$1005,1,MATCH(COLUMNS($AM$1006:AX1006),$AM$1006:$BM$1006,0))&gt;=100000), " ",IF(INDEX($AM$2:$BM$1001,MATCH(ROWS($AF$2:AF508),$AF$2:$AF$1001,0),MATCH(COLUMNS($AM$1006:AX1006),$AM$1006:$BM$1006,0)), HYPERLINK("#",""), HYPERLINK(CONCATENATE("#metadata!", ADDRESS(INDEX($AH$2:$AH$1001,MATCH(ROWS($AF$2:AF508),$AF$2:$AF$1001,0),0), INDEX($AM$1004:$BM$1004,1,MATCH(COLUMNS($AM$1006:AX1006),$AM$1006:$BM$1006,0)))),"Fix")))</f>
        <v xml:space="preserve"> </v>
      </c>
      <c r="N508" s="4" t="str">
        <f ca="1">IF(OR(INDEX($AG$2:$AG$1001,MATCH(ROWS($AF$2:AF508),$AF$2:$AF$1001,0),1)&gt;=100000,INDEX($AM$1005:$BM$1005,1,MATCH(COLUMNS($AM$1006:AY1006),$AM$1006:$BM$1006,0))&gt;=100000), " ",IF(INDEX($AM$2:$BM$1001,MATCH(ROWS($AF$2:AF508),$AF$2:$AF$1001,0),MATCH(COLUMNS($AM$1006:AY1006),$AM$1006:$BM$1006,0)), HYPERLINK("#",""), HYPERLINK(CONCATENATE("#metadata!", ADDRESS(INDEX($AH$2:$AH$1001,MATCH(ROWS($AF$2:AF508),$AF$2:$AF$1001,0),0), INDEX($AM$1004:$BM$1004,1,MATCH(COLUMNS($AM$1006:AY1006),$AM$1006:$BM$1006,0)))),"Fix")))</f>
        <v xml:space="preserve"> </v>
      </c>
      <c r="O508" s="4" t="str">
        <f ca="1">IF(OR(INDEX($AG$2:$AG$1001,MATCH(ROWS($AF$2:AF508),$AF$2:$AF$1001,0),1)&gt;=100000,INDEX($AM$1005:$BM$1005,1,MATCH(COLUMNS($AM$1006:AZ1006),$AM$1006:$BM$1006,0))&gt;=100000), " ",IF(INDEX($AM$2:$BM$1001,MATCH(ROWS($AF$2:AF508),$AF$2:$AF$1001,0),MATCH(COLUMNS($AM$1006:AZ1006),$AM$1006:$BM$1006,0)), HYPERLINK("#",""), HYPERLINK(CONCATENATE("#metadata!", ADDRESS(INDEX($AH$2:$AH$1001,MATCH(ROWS($AF$2:AF508),$AF$2:$AF$1001,0),0), INDEX($AM$1004:$BM$1004,1,MATCH(COLUMNS($AM$1006:AZ1006),$AM$1006:$BM$1006,0)))),"Fix")))</f>
        <v xml:space="preserve"> </v>
      </c>
      <c r="P508" s="4" t="str">
        <f ca="1">IF(OR(INDEX($AG$2:$AG$1001,MATCH(ROWS($AF$2:AF508),$AF$2:$AF$1001,0),1)&gt;=100000,INDEX($AM$1005:$BM$1005,1,MATCH(COLUMNS($AM$1006:BA1006),$AM$1006:$BM$1006,0))&gt;=100000), " ",IF(INDEX($AM$2:$BM$1001,MATCH(ROWS($AF$2:AF508),$AF$2:$AF$1001,0),MATCH(COLUMNS($AM$1006:BA1006),$AM$1006:$BM$1006,0)), HYPERLINK("#",""), HYPERLINK(CONCATENATE("#metadata!", ADDRESS(INDEX($AH$2:$AH$1001,MATCH(ROWS($AF$2:AF508),$AF$2:$AF$1001,0),0), INDEX($AM$1004:$BM$1004,1,MATCH(COLUMNS($AM$1006:BA1006),$AM$1006:$BM$1006,0)))),"Fix")))</f>
        <v xml:space="preserve"> </v>
      </c>
      <c r="Q508" s="4" t="str">
        <f ca="1">IF(OR(INDEX($AG$2:$AG$1001,MATCH(ROWS($AF$2:AF508),$AF$2:$AF$1001,0),1)&gt;=100000,INDEX($AM$1005:$BM$1005,1,MATCH(COLUMNS($AM$1006:BB1006),$AM$1006:$BM$1006,0))&gt;=100000), " ",IF(INDEX($AM$2:$BM$1001,MATCH(ROWS($AF$2:AF508),$AF$2:$AF$1001,0),MATCH(COLUMNS($AM$1006:BB1006),$AM$1006:$BM$1006,0)), HYPERLINK("#",""), HYPERLINK(CONCATENATE("#metadata!", ADDRESS(INDEX($AH$2:$AH$1001,MATCH(ROWS($AF$2:AF508),$AF$2:$AF$1001,0),0), INDEX($AM$1004:$BM$1004,1,MATCH(COLUMNS($AM$1006:BB1006),$AM$1006:$BM$1006,0)))),"Fix")))</f>
        <v xml:space="preserve"> </v>
      </c>
      <c r="R508" s="4" t="str">
        <f ca="1">IF(OR(INDEX($AG$2:$AG$1001,MATCH(ROWS($AF$2:AF508),$AF$2:$AF$1001,0),1)&gt;=100000,INDEX($AM$1005:$BM$1005,1,MATCH(COLUMNS($AM$1006:BC1006),$AM$1006:$BM$1006,0))&gt;=100000), " ",IF(INDEX($AM$2:$BM$1001,MATCH(ROWS($AF$2:AF508),$AF$2:$AF$1001,0),MATCH(COLUMNS($AM$1006:BC1006),$AM$1006:$BM$1006,0)), HYPERLINK("#",""), HYPERLINK(CONCATENATE("#metadata!", ADDRESS(INDEX($AH$2:$AH$1001,MATCH(ROWS($AF$2:AF508),$AF$2:$AF$1001,0),0), INDEX($AM$1004:$BM$1004,1,MATCH(COLUMNS($AM$1006:BC1006),$AM$1006:$BM$1006,0)))),"Fix")))</f>
        <v xml:space="preserve"> </v>
      </c>
      <c r="S508" s="4" t="str">
        <f ca="1">IF(OR(INDEX($AG$2:$AG$1001,MATCH(ROWS($AF$2:AF508),$AF$2:$AF$1001,0),1)&gt;=100000,INDEX($AM$1005:$BM$1005,1,MATCH(COLUMNS($AM$1006:BD1006),$AM$1006:$BM$1006,0))&gt;=100000), " ",IF(INDEX($AM$2:$BM$1001,MATCH(ROWS($AF$2:AF508),$AF$2:$AF$1001,0),MATCH(COLUMNS($AM$1006:BD1006),$AM$1006:$BM$1006,0)), HYPERLINK("#",""), HYPERLINK(CONCATENATE("#metadata!", ADDRESS(INDEX($AH$2:$AH$1001,MATCH(ROWS($AF$2:AF508),$AF$2:$AF$1001,0),0), INDEX($AM$1004:$BM$1004,1,MATCH(COLUMNS($AM$1006:BD1006),$AM$1006:$BM$1006,0)))),"Fix")))</f>
        <v xml:space="preserve"> </v>
      </c>
      <c r="T508" s="4" t="str">
        <f ca="1">IF(OR(INDEX($AG$2:$AG$1001,MATCH(ROWS($AF$2:AF508),$AF$2:$AF$1001,0),1)&gt;=100000,INDEX($AM$1005:$BM$1005,1,MATCH(COLUMNS($AM$1006:BE1006),$AM$1006:$BM$1006,0))&gt;=100000), " ",IF(INDEX($AM$2:$BM$1001,MATCH(ROWS($AF$2:AF508),$AF$2:$AF$1001,0),MATCH(COLUMNS($AM$1006:BE1006),$AM$1006:$BM$1006,0)), HYPERLINK("#",""), HYPERLINK(CONCATENATE("#metadata!", ADDRESS(INDEX($AH$2:$AH$1001,MATCH(ROWS($AF$2:AF508),$AF$2:$AF$1001,0),0), INDEX($AM$1004:$BM$1004,1,MATCH(COLUMNS($AM$1006:BE1006),$AM$1006:$BM$1006,0)))),"Fix")))</f>
        <v xml:space="preserve"> </v>
      </c>
      <c r="U508" s="4" t="str">
        <f ca="1">IF(OR(INDEX($AG$2:$AG$1001,MATCH(ROWS($AF$2:AF508),$AF$2:$AF$1001,0),1)&gt;=100000,INDEX($AM$1005:$BM$1005,1,MATCH(COLUMNS($AM$1006:BF1006),$AM$1006:$BM$1006,0))&gt;=100000), " ",IF(INDEX($AM$2:$BM$1001,MATCH(ROWS($AF$2:AF508),$AF$2:$AF$1001,0),MATCH(COLUMNS($AM$1006:BF1006),$AM$1006:$BM$1006,0)), HYPERLINK("#",""), HYPERLINK(CONCATENATE("#metadata!", ADDRESS(INDEX($AH$2:$AH$1001,MATCH(ROWS($AF$2:AF508),$AF$2:$AF$1001,0),0), INDEX($AM$1004:$BM$1004,1,MATCH(COLUMNS($AM$1006:BF1006),$AM$1006:$BM$1006,0)))),"Fix")))</f>
        <v xml:space="preserve"> </v>
      </c>
      <c r="V508" s="4" t="str">
        <f ca="1">IF(OR(INDEX($AG$2:$AG$1001,MATCH(ROWS($AF$2:AF508),$AF$2:$AF$1001,0),1)&gt;=100000,INDEX($AM$1005:$BM$1005,1,MATCH(COLUMNS($AM$1006:BG1006),$AM$1006:$BM$1006,0))&gt;=100000), " ",IF(INDEX($AM$2:$BM$1001,MATCH(ROWS($AF$2:AF508),$AF$2:$AF$1001,0),MATCH(COLUMNS($AM$1006:BG1006),$AM$1006:$BM$1006,0)), HYPERLINK("#",""), HYPERLINK(CONCATENATE("#metadata!", ADDRESS(INDEX($AH$2:$AH$1001,MATCH(ROWS($AF$2:AF508),$AF$2:$AF$1001,0),0), INDEX($AM$1004:$BM$1004,1,MATCH(COLUMNS($AM$1006:BG1006),$AM$1006:$BM$1006,0)))),"Fix")))</f>
        <v xml:space="preserve"> </v>
      </c>
      <c r="W508" s="4" t="str">
        <f ca="1">IF(OR(INDEX($AG$2:$AG$1001,MATCH(ROWS($AF$2:AF508),$AF$2:$AF$1001,0),1)&gt;=100000,INDEX($AM$1005:$BM$1005,1,MATCH(COLUMNS($AM$1006:BH1006),$AM$1006:$BM$1006,0))&gt;=100000), " ",IF(INDEX($AM$2:$BM$1001,MATCH(ROWS($AF$2:AF508),$AF$2:$AF$1001,0),MATCH(COLUMNS($AM$1006:BH1006),$AM$1006:$BM$1006,0)), HYPERLINK("#",""), HYPERLINK(CONCATENATE("#metadata!", ADDRESS(INDEX($AH$2:$AH$1001,MATCH(ROWS($AF$2:AF508),$AF$2:$AF$1001,0),0), INDEX($AM$1004:$BM$1004,1,MATCH(COLUMNS($AM$1006:BH1006),$AM$1006:$BM$1006,0)))),"Fix")))</f>
        <v xml:space="preserve"> </v>
      </c>
      <c r="X508" s="4" t="str">
        <f ca="1">IF(OR(INDEX($AG$2:$AG$1001,MATCH(ROWS($AF$2:AF508),$AF$2:$AF$1001,0),1)&gt;=100000,INDEX($AM$1005:$BM$1005,1,MATCH(COLUMNS($AM$1006:BI1006),$AM$1006:$BM$1006,0))&gt;=100000), " ",IF(INDEX($AM$2:$BM$1001,MATCH(ROWS($AF$2:AF508),$AF$2:$AF$1001,0),MATCH(COLUMNS($AM$1006:BI1006),$AM$1006:$BM$1006,0)), HYPERLINK("#",""), HYPERLINK(CONCATENATE("#metadata!", ADDRESS(INDEX($AH$2:$AH$1001,MATCH(ROWS($AF$2:AF508),$AF$2:$AF$1001,0),0), INDEX($AM$1004:$BM$1004,1,MATCH(COLUMNS($AM$1006:BI1006),$AM$1006:$BM$1006,0)))),"Fix")))</f>
        <v xml:space="preserve"> </v>
      </c>
      <c r="Y508" s="4" t="str">
        <f ca="1">IF(OR(INDEX($AG$2:$AG$1001,MATCH(ROWS($AF$2:AF508),$AF$2:$AF$1001,0),1)&gt;=100000,INDEX($AM$1005:$BM$1005,1,MATCH(COLUMNS($AM$1006:BJ1006),$AM$1006:$BM$1006,0))&gt;=100000), " ",IF(INDEX($AM$2:$BM$1001,MATCH(ROWS($AF$2:AF508),$AF$2:$AF$1001,0),MATCH(COLUMNS($AM$1006:BJ1006),$AM$1006:$BM$1006,0)), HYPERLINK("#",""), HYPERLINK(CONCATENATE("#metadata!", ADDRESS(INDEX($AH$2:$AH$1001,MATCH(ROWS($AF$2:AF508),$AF$2:$AF$1001,0),0), INDEX($AM$1004:$BM$1004,1,MATCH(COLUMNS($AM$1006:BJ1006),$AM$1006:$BM$1006,0)))),"Fix")))</f>
        <v xml:space="preserve"> </v>
      </c>
      <c r="Z508" s="4" t="str">
        <f ca="1">IF(OR(INDEX($AG$2:$AG$1001,MATCH(ROWS($AF$2:AF508),$AF$2:$AF$1001,0),1)&gt;=100000,INDEX($AM$1005:$BM$1005,1,MATCH(COLUMNS($AM$1006:BK1006),$AM$1006:$BM$1006,0))&gt;=100000), " ",IF(INDEX($AM$2:$BM$1001,MATCH(ROWS($AF$2:AF508),$AF$2:$AF$1001,0),MATCH(COLUMNS($AM$1006:BK1006),$AM$1006:$BM$1006,0)), HYPERLINK("#",""), HYPERLINK(CONCATENATE("#metadata!", ADDRESS(INDEX($AH$2:$AH$1001,MATCH(ROWS($AF$2:AF508),$AF$2:$AF$1001,0),0), INDEX($AM$1004:$BM$1004,1,MATCH(COLUMNS($AM$1006:BK1006),$AM$1006:$BM$1006,0)))),"Fix")))</f>
        <v xml:space="preserve"> </v>
      </c>
      <c r="AA508" s="4" t="str">
        <f ca="1">IF(OR(INDEX($AG$2:$AG$1001,MATCH(ROWS($AF$2:AF508),$AF$2:$AF$1001,0),1)&gt;=100000,INDEX($AM$1005:$BM$1005,1,MATCH(COLUMNS($AM$1006:BL1006),$AM$1006:$BM$1006,0))&gt;=100000), " ",IF(INDEX($AM$2:$BM$1001,MATCH(ROWS($AF$2:AF508),$AF$2:$AF$1001,0),MATCH(COLUMNS($AM$1006:BL1006),$AM$1006:$BM$1006,0)), HYPERLINK("#",""), HYPERLINK(CONCATENATE("#metadata!", ADDRESS(INDEX($AH$2:$AH$1001,MATCH(ROWS($AF$2:AF508),$AF$2:$AF$1001,0),0), INDEX($AM$1004:$BM$1004,1,MATCH(COLUMNS($AM$1006:BL1006),$AM$1006:$BM$1006,0)))),"Fix")))</f>
        <v xml:space="preserve"> </v>
      </c>
      <c r="AB508" s="4" t="str">
        <f ca="1">IF(OR(INDEX($AG$2:$AG$1001,MATCH(ROWS($AF$2:AF508),$AF$2:$AF$1001,0),1)&gt;=100000,INDEX($AM$1005:$BM$1005,1,MATCH(COLUMNS($AM$1006:BM1006),$AM$1006:$BM$1006,0))&gt;=100000), " ",IF(INDEX($AM$2:$BM$1001,MATCH(ROWS($AF$2:AF508),$AF$2:$AF$1001,0),MATCH(COLUMNS($AM$1006:BM1006),$AM$1006:$BM$1006,0)), HYPERLINK("#",""), HYPERLINK(CONCATENATE("#metadata!", ADDRESS(INDEX($AH$2:$AH$1001,MATCH(ROWS($AF$2:AF508),$AF$2:$AF$1001,0),0), INDEX($AM$1004:$BM$1004,1,MATCH(COLUMNS($AM$1006:BM1006),$AM$1006:$BM$1006,0)))),"Fix")))</f>
        <v xml:space="preserve"> </v>
      </c>
      <c r="AF508">
        <v>507</v>
      </c>
      <c r="AG508">
        <v>100508</v>
      </c>
      <c r="AH508">
        <v>508</v>
      </c>
      <c r="AI508" t="b">
        <f t="shared" si="7"/>
        <v>1</v>
      </c>
      <c r="AJ508" t="b">
        <f>COUNTBLANK(metadata!B508:AB508)=COLUMNS(metadata!B508:AB508)</f>
        <v>1</v>
      </c>
      <c r="AK508" t="str">
        <v/>
      </c>
      <c r="AM508" t="b">
        <f ca="1">AND(IF(metadata!B508="",FALSE,TRUE),COUNTIF(metadata!B:B, metadata!B508) = 1,NOT(ISERROR(SUMPRODUCT(SEARCH(MID(metadata!B508,ROW(INDIRECT("1:"&amp;LEN(metadata!B508))), 1),"0123456789abcdefghijklmnopqrstuvwxyzABCDEFGHIJKLMNOPQRSTUVWXYZ.")))))</f>
        <v>0</v>
      </c>
      <c r="AN508" t="b">
        <f ca="1">OR(AND(IF(metadata!C508="",FALSE,TRUE),OR(EXACT(metadata!C508,"missing: not collected"),EXACT(metadata!C508,"missing: not provided"),EXACT(metadata!C508,"missing: restricted access"))),AND(IF(metadata!C508="",FALSE,TRUE),AND(AND(IFERROR(INT(LEFT(metadata!C508,4))&gt;1900,FALSE),IFERROR(INT(LEFT(metadata!C508,4))&lt;=YEAR(NOW()),FALSE)), OR(MID(metadata!C508,5,1)="", AND(AND(MID(metadata!C508,5,1)="-",IFERROR(INT(MID(metadata!C508,6,1))&gt;=0,FALSE),IFERROR(INT(MID(metadata!C508,6,1))&lt;=1,FALSE),NOT(MID(metadata!C508,7,1)=""),IFERROR(INT(MID(metadata!C508,6,2))&gt;=1,FALSE),IFERROR(INT(MID(metadata!C508,6,2))&lt;=12,FALSE)), OR(MID(metadata!C508,8,1)="", AND(AND(MID(metadata!C508,8,1)="-",IFERROR(INT(MID(metadata!C508,9,1))&gt;=0,FALSE),IFERROR(INT(MID(metadata!C508,9,1))&lt;=3,FALSE),NOT(MID(metadata!C508,10,1)=""),IFERROR(INT(MID(metadata!C508,9,2))&gt;=1,FALSE),IFERROR(INT(MID(metadata!C508,9,2))&lt;=31,FALSE)), OR(MID(metadata!C508,11,1)="", AND(AND(MID(metadata!C508,11,1)=" ",IFERROR(INT(MID(metadata!C508,12,1))&gt;=0,FALSE),IFERROR(INT(MID(metadata!C508,12,1))&lt;=2,FALSE),NOT(MID(metadata!C508,13,1)=""),IFERROR(INT(MID(metadata!C508,12,2))&gt;=0,FALSE),IFERROR(INT(MID(metadata!C508,12,2))&lt;=23,FALSE)), OR(MID(metadata!C508,14,1)="", AND(AND(MID(metadata!C508,14,1)=":",IFERROR(INT(MID(metadata!C508,15,1))&gt;=0,FALSE),IFERROR(INT(MID(metadata!C508,15,1))&lt;=5,FALSE),NOT(MID(metadata!C508,16,1)=""),IFERROR(INT(MID(metadata!C508,15,2))&gt;=0,FALSE),IFERROR(INT(MID(metadata!C508,15,2))&lt;=59,FALSE)), OR(MID(metadata!C508,17,1)="", AND(AND(MID(metadata!C508,17,1)=":",IFERROR(INT(MID(metadata!C508,18,1))&gt;=0,FALSE),IFERROR(INT(MID(metadata!C508,18,1))&lt;=5,FALSE),NOT(MID(metadata!C508,19,1)=""),IFERROR(INT(MID(metadata!C508,18,2))&gt;=0,FALSE),IFERROR(INT(MID(metadata!C508,18,2))&lt;=59,FALSE)), LEN(metadata!C508)&lt;=19)))))))))))))</f>
        <v>0</v>
      </c>
      <c r="AO508" t="b">
        <f>AND(IF(metadata!D508="",FALSE,TRUE),EXACT(metadata!D508,"Not applicable"))</f>
        <v>0</v>
      </c>
      <c r="AP508" t="b">
        <f>IF(metadata!E508="",FALSE,TRUE)</f>
        <v>0</v>
      </c>
      <c r="AQ508" t="b">
        <f>OR(AND(IF(metadata!F508="",FALSE,TRUE),OR(EXACT(metadata!F508,"missing: not collected"),EXACT(metadata!F508,"missing: not provided"))),AND(IF(metadata!F508="",FALSE,TRUE),OR(EXACT(metadata!F508,"TRUE"),EXACT(metadata!F508,"FALSE"))))</f>
        <v>0</v>
      </c>
      <c r="AR508" t="b">
        <f>OR(AND(IF(metadata!G508="",FALSE,TRUE),OR(EXACT(metadata!G508,"missing: not collected"),EXACT(metadata!G508,"missing: not provided"),EXACT(metadata!G508,"missing: restricted access"))),AND(IF(metadata!G508="",FALSE,ISNUMBER(VALUE(metadata!G508))),metadata!G508&gt;=-413))</f>
        <v>0</v>
      </c>
      <c r="AS508" t="b">
        <f>AND(IF(metadata!H508="",FALSE,TRUE),EXACT(metadata!H508,"meters"))</f>
        <v>0</v>
      </c>
      <c r="AT508" t="b">
        <f>AND(IF(metadata!I508="",FALSE,TRUE),OR(EXACT(metadata!I508,"Host-associated"),EXACT(metadata!I508,"Free-living")))</f>
        <v>0</v>
      </c>
      <c r="AU508" t="b">
        <f>AND(IF(metadata!J508="",FALSE,TRUE),OR(EXACT(metadata!J508,"Animal"),EXACT(metadata!J508,"Fungus"),EXACT(metadata!J508,"Plant"),EXACT(metadata!J508,"Saline"),EXACT(metadata!J508,"Non-saline")))</f>
        <v>0</v>
      </c>
      <c r="AV508" t="b">
        <f>AND(IF(metadata!K508="",FALSE,TRUE),OR(EXACT(metadata!K508,"Plant secretion"),EXACT(metadata!K508,"Plant rhizosphere"),EXACT(metadata!K508,"Plant surface"),EXACT(metadata!K508,"Plant corpus"),EXACT(metadata!K508,"Fungus surface"),EXACT(metadata!K508,"Fungus corpus"),EXACT(metadata!K508,"Animal surface"),EXACT(metadata!K508,"Animal proximal gut"),EXACT(metadata!K508,"Animal corpus"),EXACT(metadata!K508,"Animal distal gut"),EXACT(metadata!K508,"Animal secretion"),EXACT(metadata!K508,"Sub-surface (non-saline)"),EXACT(metadata!K508,"Surface (non-saline)"),EXACT(metadata!K508,"Water (non-saline)"),EXACT(metadata!K508,"Soil (non-saline)"),EXACT(metadata!K508,"Aerosol (non-saline)"),EXACT(metadata!K508,"Sediment (non-saline)"),EXACT(metadata!K508,"Surface (saline)"),EXACT(metadata!K508,"Water (saline)"),EXACT(metadata!K508,"Hypersaline (saline)"),EXACT(metadata!K508,"Aerosol (saline)"),EXACT(metadata!K508,"Sediment (saline)")))</f>
        <v>0</v>
      </c>
      <c r="AW508" t="b">
        <f>IF(metadata!L508="",FALSE,TRUE)</f>
        <v>0</v>
      </c>
      <c r="AX508" t="b">
        <f>IF(metadata!M508="",FALSE,TRUE)</f>
        <v>0</v>
      </c>
      <c r="AY508" t="b">
        <f>IF(metadata!N508="",FALSE,TRUE)</f>
        <v>0</v>
      </c>
      <c r="AZ508" t="b">
        <f>OR(AND(IF(metadata!O508="",FALSE,TRUE),OR(EXACT(metadata!O508,"missing: not collected"),EXACT(metadata!O508,"missing: not provided"),EXACT(metadata!O508,"missing: restricted access"))),AND(IF(metadata!O508="",FALSE,TRUE),OR(EXACT(metadata!O508,"air"),EXACT(metadata!O508,"built environment"),EXACT(metadata!O508,"host-associated"),EXACT(metadata!O508,"human-associated"),EXACT(metadata!O508,"human-skin"),EXACT(metadata!O508,"human-oral"),EXACT(metadata!O508,"human-gut"),EXACT(metadata!O508,"human-vaginal"),EXACT(metadata!O508,"microbial mat/biofilm"),EXACT(metadata!O508,"misc environment"),EXACT(metadata!O508,"plant-associated"),EXACT(metadata!O508,"sediment"),EXACT(metadata!O508,"soil"),EXACT(metadata!O508,"wastewater/sludge"),EXACT(metadata!O508,"water"))))</f>
        <v>0</v>
      </c>
      <c r="BA508" t="b">
        <f>IF(metadata!P508="",FALSE,TRUE)</f>
        <v>0</v>
      </c>
      <c r="BB508" t="b">
        <f>IF(metadata!Q508="",FALSE,TRUE)</f>
        <v>0</v>
      </c>
      <c r="BC508" t="b">
        <f>OR(AND(IF(metadata!R508="",FALSE,TRUE),OR(EXACT(metadata!R508,"missing: not collected"),EXACT(metadata!R508,"missing: not provided"),EXACT(metadata!R508,"missing: restricted access"))),AND(IF(metadata!R508="",FALSE,ISNUMBER(VALUE(metadata!R508))),metadata!R508&gt;=-90,metadata!R508&lt;=90))</f>
        <v>0</v>
      </c>
      <c r="BD508" t="b">
        <f>AND(IF(metadata!S508="",FALSE,TRUE),EXACT(metadata!S508,"Decimal degrees"))</f>
        <v>0</v>
      </c>
      <c r="BE508" t="b">
        <f>OR(AND(IF(metadata!T508="",FALSE,TRUE),OR(EXACT(metadata!T508,"missing: not collected"),EXACT(metadata!T508,"missing: not provided"),EXACT(metadata!T508,"missing: restricted access"))),AND(IF(metadata!T508="",FALSE,ISNUMBER(VALUE(metadata!T508))),metadata!T508&gt;=-180,metadata!T508&lt;=180))</f>
        <v>0</v>
      </c>
      <c r="BF508" t="b">
        <f>AND(IF(metadata!U508="",FALSE,TRUE),EXACT(metadata!U508,"Decimal degrees"))</f>
        <v>0</v>
      </c>
      <c r="BG508" t="b">
        <f>IF(metadata!V508="",FALSE,TRUE)</f>
        <v>0</v>
      </c>
      <c r="BH508" t="b">
        <f>OR(AND(IF(metadata!W508="",FALSE,TRUE),OR(EXACT(metadata!W508,"missing: not collected"),EXACT(metadata!W508,"missing: not provided"),EXACT(metadata!W508,"missing: restricted access"))),AND(IF(metadata!W508="",FALSE,TRUE),OR(EXACT(metadata!W508,"TRUE"),EXACT(metadata!W508,"FALSE"))))</f>
        <v>0</v>
      </c>
      <c r="BI508" t="b">
        <f>AND(IF(metadata!X508="",FALSE,TRUE),EXACT(metadata!X508,"other"))</f>
        <v>0</v>
      </c>
      <c r="BJ508" t="b">
        <f>IF(metadata!Y508="",FALSE,TRUE)</f>
        <v>0</v>
      </c>
      <c r="BK508" t="b">
        <f>OR(AND(IF(metadata!Z508="",FALSE,TRUE),OR(EXACT(metadata!Z508,"missing: not collected"),EXACT(metadata!Z508,"missing: not provided"))),AND(IF(metadata!Z508="",FALSE,IF(ISERROR(INT(metadata!Z508)),FALSE,INT(metadata!Z508)=metadata!Z508)),metadata!Z508&gt;0))</f>
        <v>0</v>
      </c>
      <c r="BL508" t="b">
        <f>AND(IF(metadata!AA508="",FALSE,TRUE),EXACT(metadata!AA508,"Not applicable"))</f>
        <v>0</v>
      </c>
      <c r="BM508" t="b">
        <f>IF(metadata!AB508="",FALSE,TRUE)</f>
        <v>0</v>
      </c>
    </row>
    <row r="509" spans="1:65" x14ac:dyDescent="0.2">
      <c r="A509" s="5" t="str">
        <f ca="1">IF(B509=" "," ",HYPERLINK(CONCATENATE("#metadata!",ADDRESS(INDEX($AH$2:$AH$1001,MATCH(ROWS($AF$2:AF509),$AF$2:$AF$1001,0),0),1)),INDEX($AK$2:$AK$1001,MATCH(ROWS($AF$2:AF509),$AF$2:$AF$1001,0),0)))</f>
        <v xml:space="preserve"> </v>
      </c>
      <c r="B509" s="4" t="str">
        <f ca="1">IF(OR(INDEX($AG$2:$AG$1001,MATCH(ROWS($AF$2:AF509),$AF$2:$AF$1001,0),1)&gt;=100000,INDEX($AM$1005:$BM$1005,1,MATCH(COLUMNS($AM$1006:AM1006),$AM$1006:$BM$1006,0))&gt;=100000), " ",IF(INDEX($AM$2:$BM$1001,MATCH(ROWS($AF$2:AF509),$AF$2:$AF$1001,0),MATCH(COLUMNS($AM$1006:AM1006),$AM$1006:$BM$1006,0)), HYPERLINK("#",""), HYPERLINK(CONCATENATE("#metadata!", ADDRESS(INDEX($AH$2:$AH$1001,MATCH(ROWS($AF$2:AF509),$AF$2:$AF$1001,0),0), INDEX($AM$1004:$BM$1004,1,MATCH(COLUMNS($AM$1006:AM1006),$AM$1006:$BM$1006,0)))),"Fix")))</f>
        <v xml:space="preserve"> </v>
      </c>
      <c r="C509" s="4" t="str">
        <f ca="1">IF(OR(INDEX($AG$2:$AG$1001,MATCH(ROWS($AF$2:AF509),$AF$2:$AF$1001,0),1)&gt;=100000,INDEX($AM$1005:$BM$1005,1,MATCH(COLUMNS($AM$1006:AN1006),$AM$1006:$BM$1006,0))&gt;=100000), " ",IF(INDEX($AM$2:$BM$1001,MATCH(ROWS($AF$2:AF509),$AF$2:$AF$1001,0),MATCH(COLUMNS($AM$1006:AN1006),$AM$1006:$BM$1006,0)), HYPERLINK("#",""), HYPERLINK(CONCATENATE("#metadata!", ADDRESS(INDEX($AH$2:$AH$1001,MATCH(ROWS($AF$2:AF509),$AF$2:$AF$1001,0),0), INDEX($AM$1004:$BM$1004,1,MATCH(COLUMNS($AM$1006:AN1006),$AM$1006:$BM$1006,0)))),"Fix")))</f>
        <v xml:space="preserve"> </v>
      </c>
      <c r="D509" s="4" t="str">
        <f ca="1">IF(OR(INDEX($AG$2:$AG$1001,MATCH(ROWS($AF$2:AF509),$AF$2:$AF$1001,0),1)&gt;=100000,INDEX($AM$1005:$BM$1005,1,MATCH(COLUMNS($AM$1006:AO1006),$AM$1006:$BM$1006,0))&gt;=100000), " ",IF(INDEX($AM$2:$BM$1001,MATCH(ROWS($AF$2:AF509),$AF$2:$AF$1001,0),MATCH(COLUMNS($AM$1006:AO1006),$AM$1006:$BM$1006,0)), HYPERLINK("#",""), HYPERLINK(CONCATENATE("#metadata!", ADDRESS(INDEX($AH$2:$AH$1001,MATCH(ROWS($AF$2:AF509),$AF$2:$AF$1001,0),0), INDEX($AM$1004:$BM$1004,1,MATCH(COLUMNS($AM$1006:AO1006),$AM$1006:$BM$1006,0)))),"Fix")))</f>
        <v xml:space="preserve"> </v>
      </c>
      <c r="E509" s="4" t="str">
        <f ca="1">IF(OR(INDEX($AG$2:$AG$1001,MATCH(ROWS($AF$2:AF509),$AF$2:$AF$1001,0),1)&gt;=100000,INDEX($AM$1005:$BM$1005,1,MATCH(COLUMNS($AM$1006:AP1006),$AM$1006:$BM$1006,0))&gt;=100000), " ",IF(INDEX($AM$2:$BM$1001,MATCH(ROWS($AF$2:AF509),$AF$2:$AF$1001,0),MATCH(COLUMNS($AM$1006:AP1006),$AM$1006:$BM$1006,0)), HYPERLINK("#",""), HYPERLINK(CONCATENATE("#metadata!", ADDRESS(INDEX($AH$2:$AH$1001,MATCH(ROWS($AF$2:AF509),$AF$2:$AF$1001,0),0), INDEX($AM$1004:$BM$1004,1,MATCH(COLUMNS($AM$1006:AP1006),$AM$1006:$BM$1006,0)))),"Fix")))</f>
        <v xml:space="preserve"> </v>
      </c>
      <c r="F509" s="4" t="str">
        <f ca="1">IF(OR(INDEX($AG$2:$AG$1001,MATCH(ROWS($AF$2:AF509),$AF$2:$AF$1001,0),1)&gt;=100000,INDEX($AM$1005:$BM$1005,1,MATCH(COLUMNS($AM$1006:AQ1006),$AM$1006:$BM$1006,0))&gt;=100000), " ",IF(INDEX($AM$2:$BM$1001,MATCH(ROWS($AF$2:AF509),$AF$2:$AF$1001,0),MATCH(COLUMNS($AM$1006:AQ1006),$AM$1006:$BM$1006,0)), HYPERLINK("#",""), HYPERLINK(CONCATENATE("#metadata!", ADDRESS(INDEX($AH$2:$AH$1001,MATCH(ROWS($AF$2:AF509),$AF$2:$AF$1001,0),0), INDEX($AM$1004:$BM$1004,1,MATCH(COLUMNS($AM$1006:AQ1006),$AM$1006:$BM$1006,0)))),"Fix")))</f>
        <v xml:space="preserve"> </v>
      </c>
      <c r="G509" s="4" t="str">
        <f ca="1">IF(OR(INDEX($AG$2:$AG$1001,MATCH(ROWS($AF$2:AF509),$AF$2:$AF$1001,0),1)&gt;=100000,INDEX($AM$1005:$BM$1005,1,MATCH(COLUMNS($AM$1006:AR1006),$AM$1006:$BM$1006,0))&gt;=100000), " ",IF(INDEX($AM$2:$BM$1001,MATCH(ROWS($AF$2:AF509),$AF$2:$AF$1001,0),MATCH(COLUMNS($AM$1006:AR1006),$AM$1006:$BM$1006,0)), HYPERLINK("#",""), HYPERLINK(CONCATENATE("#metadata!", ADDRESS(INDEX($AH$2:$AH$1001,MATCH(ROWS($AF$2:AF509),$AF$2:$AF$1001,0),0), INDEX($AM$1004:$BM$1004,1,MATCH(COLUMNS($AM$1006:AR1006),$AM$1006:$BM$1006,0)))),"Fix")))</f>
        <v xml:space="preserve"> </v>
      </c>
      <c r="H509" s="4" t="str">
        <f ca="1">IF(OR(INDEX($AG$2:$AG$1001,MATCH(ROWS($AF$2:AF509),$AF$2:$AF$1001,0),1)&gt;=100000,INDEX($AM$1005:$BM$1005,1,MATCH(COLUMNS($AM$1006:AS1006),$AM$1006:$BM$1006,0))&gt;=100000), " ",IF(INDEX($AM$2:$BM$1001,MATCH(ROWS($AF$2:AF509),$AF$2:$AF$1001,0),MATCH(COLUMNS($AM$1006:AS1006),$AM$1006:$BM$1006,0)), HYPERLINK("#",""), HYPERLINK(CONCATENATE("#metadata!", ADDRESS(INDEX($AH$2:$AH$1001,MATCH(ROWS($AF$2:AF509),$AF$2:$AF$1001,0),0), INDEX($AM$1004:$BM$1004,1,MATCH(COLUMNS($AM$1006:AS1006),$AM$1006:$BM$1006,0)))),"Fix")))</f>
        <v xml:space="preserve"> </v>
      </c>
      <c r="I509" s="4" t="str">
        <f ca="1">IF(OR(INDEX($AG$2:$AG$1001,MATCH(ROWS($AF$2:AF509),$AF$2:$AF$1001,0),1)&gt;=100000,INDEX($AM$1005:$BM$1005,1,MATCH(COLUMNS($AM$1006:AT1006),$AM$1006:$BM$1006,0))&gt;=100000), " ",IF(INDEX($AM$2:$BM$1001,MATCH(ROWS($AF$2:AF509),$AF$2:$AF$1001,0),MATCH(COLUMNS($AM$1006:AT1006),$AM$1006:$BM$1006,0)), HYPERLINK("#",""), HYPERLINK(CONCATENATE("#metadata!", ADDRESS(INDEX($AH$2:$AH$1001,MATCH(ROWS($AF$2:AF509),$AF$2:$AF$1001,0),0), INDEX($AM$1004:$BM$1004,1,MATCH(COLUMNS($AM$1006:AT1006),$AM$1006:$BM$1006,0)))),"Fix")))</f>
        <v xml:space="preserve"> </v>
      </c>
      <c r="J509" s="4" t="str">
        <f ca="1">IF(OR(INDEX($AG$2:$AG$1001,MATCH(ROWS($AF$2:AF509),$AF$2:$AF$1001,0),1)&gt;=100000,INDEX($AM$1005:$BM$1005,1,MATCH(COLUMNS($AM$1006:AU1006),$AM$1006:$BM$1006,0))&gt;=100000), " ",IF(INDEX($AM$2:$BM$1001,MATCH(ROWS($AF$2:AF509),$AF$2:$AF$1001,0),MATCH(COLUMNS($AM$1006:AU1006),$AM$1006:$BM$1006,0)), HYPERLINK("#",""), HYPERLINK(CONCATENATE("#metadata!", ADDRESS(INDEX($AH$2:$AH$1001,MATCH(ROWS($AF$2:AF509),$AF$2:$AF$1001,0),0), INDEX($AM$1004:$BM$1004,1,MATCH(COLUMNS($AM$1006:AU1006),$AM$1006:$BM$1006,0)))),"Fix")))</f>
        <v xml:space="preserve"> </v>
      </c>
      <c r="K509" s="4" t="str">
        <f ca="1">IF(OR(INDEX($AG$2:$AG$1001,MATCH(ROWS($AF$2:AF509),$AF$2:$AF$1001,0),1)&gt;=100000,INDEX($AM$1005:$BM$1005,1,MATCH(COLUMNS($AM$1006:AV1006),$AM$1006:$BM$1006,0))&gt;=100000), " ",IF(INDEX($AM$2:$BM$1001,MATCH(ROWS($AF$2:AF509),$AF$2:$AF$1001,0),MATCH(COLUMNS($AM$1006:AV1006),$AM$1006:$BM$1006,0)), HYPERLINK("#",""), HYPERLINK(CONCATENATE("#metadata!", ADDRESS(INDEX($AH$2:$AH$1001,MATCH(ROWS($AF$2:AF509),$AF$2:$AF$1001,0),0), INDEX($AM$1004:$BM$1004,1,MATCH(COLUMNS($AM$1006:AV1006),$AM$1006:$BM$1006,0)))),"Fix")))</f>
        <v xml:space="preserve"> </v>
      </c>
      <c r="L509" s="4" t="str">
        <f ca="1">IF(OR(INDEX($AG$2:$AG$1001,MATCH(ROWS($AF$2:AF509),$AF$2:$AF$1001,0),1)&gt;=100000,INDEX($AM$1005:$BM$1005,1,MATCH(COLUMNS($AM$1006:AW1006),$AM$1006:$BM$1006,0))&gt;=100000), " ",IF(INDEX($AM$2:$BM$1001,MATCH(ROWS($AF$2:AF509),$AF$2:$AF$1001,0),MATCH(COLUMNS($AM$1006:AW1006),$AM$1006:$BM$1006,0)), HYPERLINK("#",""), HYPERLINK(CONCATENATE("#metadata!", ADDRESS(INDEX($AH$2:$AH$1001,MATCH(ROWS($AF$2:AF509),$AF$2:$AF$1001,0),0), INDEX($AM$1004:$BM$1004,1,MATCH(COLUMNS($AM$1006:AW1006),$AM$1006:$BM$1006,0)))),"Fix")))</f>
        <v xml:space="preserve"> </v>
      </c>
      <c r="M509" s="4" t="str">
        <f ca="1">IF(OR(INDEX($AG$2:$AG$1001,MATCH(ROWS($AF$2:AF509),$AF$2:$AF$1001,0),1)&gt;=100000,INDEX($AM$1005:$BM$1005,1,MATCH(COLUMNS($AM$1006:AX1006),$AM$1006:$BM$1006,0))&gt;=100000), " ",IF(INDEX($AM$2:$BM$1001,MATCH(ROWS($AF$2:AF509),$AF$2:$AF$1001,0),MATCH(COLUMNS($AM$1006:AX1006),$AM$1006:$BM$1006,0)), HYPERLINK("#",""), HYPERLINK(CONCATENATE("#metadata!", ADDRESS(INDEX($AH$2:$AH$1001,MATCH(ROWS($AF$2:AF509),$AF$2:$AF$1001,0),0), INDEX($AM$1004:$BM$1004,1,MATCH(COLUMNS($AM$1006:AX1006),$AM$1006:$BM$1006,0)))),"Fix")))</f>
        <v xml:space="preserve"> </v>
      </c>
      <c r="N509" s="4" t="str">
        <f ca="1">IF(OR(INDEX($AG$2:$AG$1001,MATCH(ROWS($AF$2:AF509),$AF$2:$AF$1001,0),1)&gt;=100000,INDEX($AM$1005:$BM$1005,1,MATCH(COLUMNS($AM$1006:AY1006),$AM$1006:$BM$1006,0))&gt;=100000), " ",IF(INDEX($AM$2:$BM$1001,MATCH(ROWS($AF$2:AF509),$AF$2:$AF$1001,0),MATCH(COLUMNS($AM$1006:AY1006),$AM$1006:$BM$1006,0)), HYPERLINK("#",""), HYPERLINK(CONCATENATE("#metadata!", ADDRESS(INDEX($AH$2:$AH$1001,MATCH(ROWS($AF$2:AF509),$AF$2:$AF$1001,0),0), INDEX($AM$1004:$BM$1004,1,MATCH(COLUMNS($AM$1006:AY1006),$AM$1006:$BM$1006,0)))),"Fix")))</f>
        <v xml:space="preserve"> </v>
      </c>
      <c r="O509" s="4" t="str">
        <f ca="1">IF(OR(INDEX($AG$2:$AG$1001,MATCH(ROWS($AF$2:AF509),$AF$2:$AF$1001,0),1)&gt;=100000,INDEX($AM$1005:$BM$1005,1,MATCH(COLUMNS($AM$1006:AZ1006),$AM$1006:$BM$1006,0))&gt;=100000), " ",IF(INDEX($AM$2:$BM$1001,MATCH(ROWS($AF$2:AF509),$AF$2:$AF$1001,0),MATCH(COLUMNS($AM$1006:AZ1006),$AM$1006:$BM$1006,0)), HYPERLINK("#",""), HYPERLINK(CONCATENATE("#metadata!", ADDRESS(INDEX($AH$2:$AH$1001,MATCH(ROWS($AF$2:AF509),$AF$2:$AF$1001,0),0), INDEX($AM$1004:$BM$1004,1,MATCH(COLUMNS($AM$1006:AZ1006),$AM$1006:$BM$1006,0)))),"Fix")))</f>
        <v xml:space="preserve"> </v>
      </c>
      <c r="P509" s="4" t="str">
        <f ca="1">IF(OR(INDEX($AG$2:$AG$1001,MATCH(ROWS($AF$2:AF509),$AF$2:$AF$1001,0),1)&gt;=100000,INDEX($AM$1005:$BM$1005,1,MATCH(COLUMNS($AM$1006:BA1006),$AM$1006:$BM$1006,0))&gt;=100000), " ",IF(INDEX($AM$2:$BM$1001,MATCH(ROWS($AF$2:AF509),$AF$2:$AF$1001,0),MATCH(COLUMNS($AM$1006:BA1006),$AM$1006:$BM$1006,0)), HYPERLINK("#",""), HYPERLINK(CONCATENATE("#metadata!", ADDRESS(INDEX($AH$2:$AH$1001,MATCH(ROWS($AF$2:AF509),$AF$2:$AF$1001,0),0), INDEX($AM$1004:$BM$1004,1,MATCH(COLUMNS($AM$1006:BA1006),$AM$1006:$BM$1006,0)))),"Fix")))</f>
        <v xml:space="preserve"> </v>
      </c>
      <c r="Q509" s="4" t="str">
        <f ca="1">IF(OR(INDEX($AG$2:$AG$1001,MATCH(ROWS($AF$2:AF509),$AF$2:$AF$1001,0),1)&gt;=100000,INDEX($AM$1005:$BM$1005,1,MATCH(COLUMNS($AM$1006:BB1006),$AM$1006:$BM$1006,0))&gt;=100000), " ",IF(INDEX($AM$2:$BM$1001,MATCH(ROWS($AF$2:AF509),$AF$2:$AF$1001,0),MATCH(COLUMNS($AM$1006:BB1006),$AM$1006:$BM$1006,0)), HYPERLINK("#",""), HYPERLINK(CONCATENATE("#metadata!", ADDRESS(INDEX($AH$2:$AH$1001,MATCH(ROWS($AF$2:AF509),$AF$2:$AF$1001,0),0), INDEX($AM$1004:$BM$1004,1,MATCH(COLUMNS($AM$1006:BB1006),$AM$1006:$BM$1006,0)))),"Fix")))</f>
        <v xml:space="preserve"> </v>
      </c>
      <c r="R509" s="4" t="str">
        <f ca="1">IF(OR(INDEX($AG$2:$AG$1001,MATCH(ROWS($AF$2:AF509),$AF$2:$AF$1001,0),1)&gt;=100000,INDEX($AM$1005:$BM$1005,1,MATCH(COLUMNS($AM$1006:BC1006),$AM$1006:$BM$1006,0))&gt;=100000), " ",IF(INDEX($AM$2:$BM$1001,MATCH(ROWS($AF$2:AF509),$AF$2:$AF$1001,0),MATCH(COLUMNS($AM$1006:BC1006),$AM$1006:$BM$1006,0)), HYPERLINK("#",""), HYPERLINK(CONCATENATE("#metadata!", ADDRESS(INDEX($AH$2:$AH$1001,MATCH(ROWS($AF$2:AF509),$AF$2:$AF$1001,0),0), INDEX($AM$1004:$BM$1004,1,MATCH(COLUMNS($AM$1006:BC1006),$AM$1006:$BM$1006,0)))),"Fix")))</f>
        <v xml:space="preserve"> </v>
      </c>
      <c r="S509" s="4" t="str">
        <f ca="1">IF(OR(INDEX($AG$2:$AG$1001,MATCH(ROWS($AF$2:AF509),$AF$2:$AF$1001,0),1)&gt;=100000,INDEX($AM$1005:$BM$1005,1,MATCH(COLUMNS($AM$1006:BD1006),$AM$1006:$BM$1006,0))&gt;=100000), " ",IF(INDEX($AM$2:$BM$1001,MATCH(ROWS($AF$2:AF509),$AF$2:$AF$1001,0),MATCH(COLUMNS($AM$1006:BD1006),$AM$1006:$BM$1006,0)), HYPERLINK("#",""), HYPERLINK(CONCATENATE("#metadata!", ADDRESS(INDEX($AH$2:$AH$1001,MATCH(ROWS($AF$2:AF509),$AF$2:$AF$1001,0),0), INDEX($AM$1004:$BM$1004,1,MATCH(COLUMNS($AM$1006:BD1006),$AM$1006:$BM$1006,0)))),"Fix")))</f>
        <v xml:space="preserve"> </v>
      </c>
      <c r="T509" s="4" t="str">
        <f ca="1">IF(OR(INDEX($AG$2:$AG$1001,MATCH(ROWS($AF$2:AF509),$AF$2:$AF$1001,0),1)&gt;=100000,INDEX($AM$1005:$BM$1005,1,MATCH(COLUMNS($AM$1006:BE1006),$AM$1006:$BM$1006,0))&gt;=100000), " ",IF(INDEX($AM$2:$BM$1001,MATCH(ROWS($AF$2:AF509),$AF$2:$AF$1001,0),MATCH(COLUMNS($AM$1006:BE1006),$AM$1006:$BM$1006,0)), HYPERLINK("#",""), HYPERLINK(CONCATENATE("#metadata!", ADDRESS(INDEX($AH$2:$AH$1001,MATCH(ROWS($AF$2:AF509),$AF$2:$AF$1001,0),0), INDEX($AM$1004:$BM$1004,1,MATCH(COLUMNS($AM$1006:BE1006),$AM$1006:$BM$1006,0)))),"Fix")))</f>
        <v xml:space="preserve"> </v>
      </c>
      <c r="U509" s="4" t="str">
        <f ca="1">IF(OR(INDEX($AG$2:$AG$1001,MATCH(ROWS($AF$2:AF509),$AF$2:$AF$1001,0),1)&gt;=100000,INDEX($AM$1005:$BM$1005,1,MATCH(COLUMNS($AM$1006:BF1006),$AM$1006:$BM$1006,0))&gt;=100000), " ",IF(INDEX($AM$2:$BM$1001,MATCH(ROWS($AF$2:AF509),$AF$2:$AF$1001,0),MATCH(COLUMNS($AM$1006:BF1006),$AM$1006:$BM$1006,0)), HYPERLINK("#",""), HYPERLINK(CONCATENATE("#metadata!", ADDRESS(INDEX($AH$2:$AH$1001,MATCH(ROWS($AF$2:AF509),$AF$2:$AF$1001,0),0), INDEX($AM$1004:$BM$1004,1,MATCH(COLUMNS($AM$1006:BF1006),$AM$1006:$BM$1006,0)))),"Fix")))</f>
        <v xml:space="preserve"> </v>
      </c>
      <c r="V509" s="4" t="str">
        <f ca="1">IF(OR(INDEX($AG$2:$AG$1001,MATCH(ROWS($AF$2:AF509),$AF$2:$AF$1001,0),1)&gt;=100000,INDEX($AM$1005:$BM$1005,1,MATCH(COLUMNS($AM$1006:BG1006),$AM$1006:$BM$1006,0))&gt;=100000), " ",IF(INDEX($AM$2:$BM$1001,MATCH(ROWS($AF$2:AF509),$AF$2:$AF$1001,0),MATCH(COLUMNS($AM$1006:BG1006),$AM$1006:$BM$1006,0)), HYPERLINK("#",""), HYPERLINK(CONCATENATE("#metadata!", ADDRESS(INDEX($AH$2:$AH$1001,MATCH(ROWS($AF$2:AF509),$AF$2:$AF$1001,0),0), INDEX($AM$1004:$BM$1004,1,MATCH(COLUMNS($AM$1006:BG1006),$AM$1006:$BM$1006,0)))),"Fix")))</f>
        <v xml:space="preserve"> </v>
      </c>
      <c r="W509" s="4" t="str">
        <f ca="1">IF(OR(INDEX($AG$2:$AG$1001,MATCH(ROWS($AF$2:AF509),$AF$2:$AF$1001,0),1)&gt;=100000,INDEX($AM$1005:$BM$1005,1,MATCH(COLUMNS($AM$1006:BH1006),$AM$1006:$BM$1006,0))&gt;=100000), " ",IF(INDEX($AM$2:$BM$1001,MATCH(ROWS($AF$2:AF509),$AF$2:$AF$1001,0),MATCH(COLUMNS($AM$1006:BH1006),$AM$1006:$BM$1006,0)), HYPERLINK("#",""), HYPERLINK(CONCATENATE("#metadata!", ADDRESS(INDEX($AH$2:$AH$1001,MATCH(ROWS($AF$2:AF509),$AF$2:$AF$1001,0),0), INDEX($AM$1004:$BM$1004,1,MATCH(COLUMNS($AM$1006:BH1006),$AM$1006:$BM$1006,0)))),"Fix")))</f>
        <v xml:space="preserve"> </v>
      </c>
      <c r="X509" s="4" t="str">
        <f ca="1">IF(OR(INDEX($AG$2:$AG$1001,MATCH(ROWS($AF$2:AF509),$AF$2:$AF$1001,0),1)&gt;=100000,INDEX($AM$1005:$BM$1005,1,MATCH(COLUMNS($AM$1006:BI1006),$AM$1006:$BM$1006,0))&gt;=100000), " ",IF(INDEX($AM$2:$BM$1001,MATCH(ROWS($AF$2:AF509),$AF$2:$AF$1001,0),MATCH(COLUMNS($AM$1006:BI1006),$AM$1006:$BM$1006,0)), HYPERLINK("#",""), HYPERLINK(CONCATENATE("#metadata!", ADDRESS(INDEX($AH$2:$AH$1001,MATCH(ROWS($AF$2:AF509),$AF$2:$AF$1001,0),0), INDEX($AM$1004:$BM$1004,1,MATCH(COLUMNS($AM$1006:BI1006),$AM$1006:$BM$1006,0)))),"Fix")))</f>
        <v xml:space="preserve"> </v>
      </c>
      <c r="Y509" s="4" t="str">
        <f ca="1">IF(OR(INDEX($AG$2:$AG$1001,MATCH(ROWS($AF$2:AF509),$AF$2:$AF$1001,0),1)&gt;=100000,INDEX($AM$1005:$BM$1005,1,MATCH(COLUMNS($AM$1006:BJ1006),$AM$1006:$BM$1006,0))&gt;=100000), " ",IF(INDEX($AM$2:$BM$1001,MATCH(ROWS($AF$2:AF509),$AF$2:$AF$1001,0),MATCH(COLUMNS($AM$1006:BJ1006),$AM$1006:$BM$1006,0)), HYPERLINK("#",""), HYPERLINK(CONCATENATE("#metadata!", ADDRESS(INDEX($AH$2:$AH$1001,MATCH(ROWS($AF$2:AF509),$AF$2:$AF$1001,0),0), INDEX($AM$1004:$BM$1004,1,MATCH(COLUMNS($AM$1006:BJ1006),$AM$1006:$BM$1006,0)))),"Fix")))</f>
        <v xml:space="preserve"> </v>
      </c>
      <c r="Z509" s="4" t="str">
        <f ca="1">IF(OR(INDEX($AG$2:$AG$1001,MATCH(ROWS($AF$2:AF509),$AF$2:$AF$1001,0),1)&gt;=100000,INDEX($AM$1005:$BM$1005,1,MATCH(COLUMNS($AM$1006:BK1006),$AM$1006:$BM$1006,0))&gt;=100000), " ",IF(INDEX($AM$2:$BM$1001,MATCH(ROWS($AF$2:AF509),$AF$2:$AF$1001,0),MATCH(COLUMNS($AM$1006:BK1006),$AM$1006:$BM$1006,0)), HYPERLINK("#",""), HYPERLINK(CONCATENATE("#metadata!", ADDRESS(INDEX($AH$2:$AH$1001,MATCH(ROWS($AF$2:AF509),$AF$2:$AF$1001,0),0), INDEX($AM$1004:$BM$1004,1,MATCH(COLUMNS($AM$1006:BK1006),$AM$1006:$BM$1006,0)))),"Fix")))</f>
        <v xml:space="preserve"> </v>
      </c>
      <c r="AA509" s="4" t="str">
        <f ca="1">IF(OR(INDEX($AG$2:$AG$1001,MATCH(ROWS($AF$2:AF509),$AF$2:$AF$1001,0),1)&gt;=100000,INDEX($AM$1005:$BM$1005,1,MATCH(COLUMNS($AM$1006:BL1006),$AM$1006:$BM$1006,0))&gt;=100000), " ",IF(INDEX($AM$2:$BM$1001,MATCH(ROWS($AF$2:AF509),$AF$2:$AF$1001,0),MATCH(COLUMNS($AM$1006:BL1006),$AM$1006:$BM$1006,0)), HYPERLINK("#",""), HYPERLINK(CONCATENATE("#metadata!", ADDRESS(INDEX($AH$2:$AH$1001,MATCH(ROWS($AF$2:AF509),$AF$2:$AF$1001,0),0), INDEX($AM$1004:$BM$1004,1,MATCH(COLUMNS($AM$1006:BL1006),$AM$1006:$BM$1006,0)))),"Fix")))</f>
        <v xml:space="preserve"> </v>
      </c>
      <c r="AB509" s="4" t="str">
        <f ca="1">IF(OR(INDEX($AG$2:$AG$1001,MATCH(ROWS($AF$2:AF509),$AF$2:$AF$1001,0),1)&gt;=100000,INDEX($AM$1005:$BM$1005,1,MATCH(COLUMNS($AM$1006:BM1006),$AM$1006:$BM$1006,0))&gt;=100000), " ",IF(INDEX($AM$2:$BM$1001,MATCH(ROWS($AF$2:AF509),$AF$2:$AF$1001,0),MATCH(COLUMNS($AM$1006:BM1006),$AM$1006:$BM$1006,0)), HYPERLINK("#",""), HYPERLINK(CONCATENATE("#metadata!", ADDRESS(INDEX($AH$2:$AH$1001,MATCH(ROWS($AF$2:AF509),$AF$2:$AF$1001,0),0), INDEX($AM$1004:$BM$1004,1,MATCH(COLUMNS($AM$1006:BM1006),$AM$1006:$BM$1006,0)))),"Fix")))</f>
        <v xml:space="preserve"> </v>
      </c>
      <c r="AF509">
        <v>508</v>
      </c>
      <c r="AG509">
        <v>100509</v>
      </c>
      <c r="AH509">
        <v>509</v>
      </c>
      <c r="AI509" t="b">
        <f t="shared" si="7"/>
        <v>1</v>
      </c>
      <c r="AJ509" t="b">
        <f>COUNTBLANK(metadata!B509:AB509)=COLUMNS(metadata!B509:AB509)</f>
        <v>1</v>
      </c>
      <c r="AK509" t="str">
        <v/>
      </c>
      <c r="AM509" t="b">
        <f ca="1">AND(IF(metadata!B509="",FALSE,TRUE),COUNTIF(metadata!B:B, metadata!B509) = 1,NOT(ISERROR(SUMPRODUCT(SEARCH(MID(metadata!B509,ROW(INDIRECT("1:"&amp;LEN(metadata!B509))), 1),"0123456789abcdefghijklmnopqrstuvwxyzABCDEFGHIJKLMNOPQRSTUVWXYZ.")))))</f>
        <v>0</v>
      </c>
      <c r="AN509" t="b">
        <f ca="1">OR(AND(IF(metadata!C509="",FALSE,TRUE),OR(EXACT(metadata!C509,"missing: not collected"),EXACT(metadata!C509,"missing: not provided"),EXACT(metadata!C509,"missing: restricted access"))),AND(IF(metadata!C509="",FALSE,TRUE),AND(AND(IFERROR(INT(LEFT(metadata!C509,4))&gt;1900,FALSE),IFERROR(INT(LEFT(metadata!C509,4))&lt;=YEAR(NOW()),FALSE)), OR(MID(metadata!C509,5,1)="", AND(AND(MID(metadata!C509,5,1)="-",IFERROR(INT(MID(metadata!C509,6,1))&gt;=0,FALSE),IFERROR(INT(MID(metadata!C509,6,1))&lt;=1,FALSE),NOT(MID(metadata!C509,7,1)=""),IFERROR(INT(MID(metadata!C509,6,2))&gt;=1,FALSE),IFERROR(INT(MID(metadata!C509,6,2))&lt;=12,FALSE)), OR(MID(metadata!C509,8,1)="", AND(AND(MID(metadata!C509,8,1)="-",IFERROR(INT(MID(metadata!C509,9,1))&gt;=0,FALSE),IFERROR(INT(MID(metadata!C509,9,1))&lt;=3,FALSE),NOT(MID(metadata!C509,10,1)=""),IFERROR(INT(MID(metadata!C509,9,2))&gt;=1,FALSE),IFERROR(INT(MID(metadata!C509,9,2))&lt;=31,FALSE)), OR(MID(metadata!C509,11,1)="", AND(AND(MID(metadata!C509,11,1)=" ",IFERROR(INT(MID(metadata!C509,12,1))&gt;=0,FALSE),IFERROR(INT(MID(metadata!C509,12,1))&lt;=2,FALSE),NOT(MID(metadata!C509,13,1)=""),IFERROR(INT(MID(metadata!C509,12,2))&gt;=0,FALSE),IFERROR(INT(MID(metadata!C509,12,2))&lt;=23,FALSE)), OR(MID(metadata!C509,14,1)="", AND(AND(MID(metadata!C509,14,1)=":",IFERROR(INT(MID(metadata!C509,15,1))&gt;=0,FALSE),IFERROR(INT(MID(metadata!C509,15,1))&lt;=5,FALSE),NOT(MID(metadata!C509,16,1)=""),IFERROR(INT(MID(metadata!C509,15,2))&gt;=0,FALSE),IFERROR(INT(MID(metadata!C509,15,2))&lt;=59,FALSE)), OR(MID(metadata!C509,17,1)="", AND(AND(MID(metadata!C509,17,1)=":",IFERROR(INT(MID(metadata!C509,18,1))&gt;=0,FALSE),IFERROR(INT(MID(metadata!C509,18,1))&lt;=5,FALSE),NOT(MID(metadata!C509,19,1)=""),IFERROR(INT(MID(metadata!C509,18,2))&gt;=0,FALSE),IFERROR(INT(MID(metadata!C509,18,2))&lt;=59,FALSE)), LEN(metadata!C509)&lt;=19)))))))))))))</f>
        <v>0</v>
      </c>
      <c r="AO509" t="b">
        <f>AND(IF(metadata!D509="",FALSE,TRUE),EXACT(metadata!D509,"Not applicable"))</f>
        <v>0</v>
      </c>
      <c r="AP509" t="b">
        <f>IF(metadata!E509="",FALSE,TRUE)</f>
        <v>0</v>
      </c>
      <c r="AQ509" t="b">
        <f>OR(AND(IF(metadata!F509="",FALSE,TRUE),OR(EXACT(metadata!F509,"missing: not collected"),EXACT(metadata!F509,"missing: not provided"))),AND(IF(metadata!F509="",FALSE,TRUE),OR(EXACT(metadata!F509,"TRUE"),EXACT(metadata!F509,"FALSE"))))</f>
        <v>0</v>
      </c>
      <c r="AR509" t="b">
        <f>OR(AND(IF(metadata!G509="",FALSE,TRUE),OR(EXACT(metadata!G509,"missing: not collected"),EXACT(metadata!G509,"missing: not provided"),EXACT(metadata!G509,"missing: restricted access"))),AND(IF(metadata!G509="",FALSE,ISNUMBER(VALUE(metadata!G509))),metadata!G509&gt;=-413))</f>
        <v>0</v>
      </c>
      <c r="AS509" t="b">
        <f>AND(IF(metadata!H509="",FALSE,TRUE),EXACT(metadata!H509,"meters"))</f>
        <v>0</v>
      </c>
      <c r="AT509" t="b">
        <f>AND(IF(metadata!I509="",FALSE,TRUE),OR(EXACT(metadata!I509,"Host-associated"),EXACT(metadata!I509,"Free-living")))</f>
        <v>0</v>
      </c>
      <c r="AU509" t="b">
        <f>AND(IF(metadata!J509="",FALSE,TRUE),OR(EXACT(metadata!J509,"Animal"),EXACT(metadata!J509,"Fungus"),EXACT(metadata!J509,"Plant"),EXACT(metadata!J509,"Saline"),EXACT(metadata!J509,"Non-saline")))</f>
        <v>0</v>
      </c>
      <c r="AV509" t="b">
        <f>AND(IF(metadata!K509="",FALSE,TRUE),OR(EXACT(metadata!K509,"Plant secretion"),EXACT(metadata!K509,"Plant rhizosphere"),EXACT(metadata!K509,"Plant surface"),EXACT(metadata!K509,"Plant corpus"),EXACT(metadata!K509,"Fungus surface"),EXACT(metadata!K509,"Fungus corpus"),EXACT(metadata!K509,"Animal surface"),EXACT(metadata!K509,"Animal proximal gut"),EXACT(metadata!K509,"Animal corpus"),EXACT(metadata!K509,"Animal distal gut"),EXACT(metadata!K509,"Animal secretion"),EXACT(metadata!K509,"Sub-surface (non-saline)"),EXACT(metadata!K509,"Surface (non-saline)"),EXACT(metadata!K509,"Water (non-saline)"),EXACT(metadata!K509,"Soil (non-saline)"),EXACT(metadata!K509,"Aerosol (non-saline)"),EXACT(metadata!K509,"Sediment (non-saline)"),EXACT(metadata!K509,"Surface (saline)"),EXACT(metadata!K509,"Water (saline)"),EXACT(metadata!K509,"Hypersaline (saline)"),EXACT(metadata!K509,"Aerosol (saline)"),EXACT(metadata!K509,"Sediment (saline)")))</f>
        <v>0</v>
      </c>
      <c r="AW509" t="b">
        <f>IF(metadata!L509="",FALSE,TRUE)</f>
        <v>0</v>
      </c>
      <c r="AX509" t="b">
        <f>IF(metadata!M509="",FALSE,TRUE)</f>
        <v>0</v>
      </c>
      <c r="AY509" t="b">
        <f>IF(metadata!N509="",FALSE,TRUE)</f>
        <v>0</v>
      </c>
      <c r="AZ509" t="b">
        <f>OR(AND(IF(metadata!O509="",FALSE,TRUE),OR(EXACT(metadata!O509,"missing: not collected"),EXACT(metadata!O509,"missing: not provided"),EXACT(metadata!O509,"missing: restricted access"))),AND(IF(metadata!O509="",FALSE,TRUE),OR(EXACT(metadata!O509,"air"),EXACT(metadata!O509,"built environment"),EXACT(metadata!O509,"host-associated"),EXACT(metadata!O509,"human-associated"),EXACT(metadata!O509,"human-skin"),EXACT(metadata!O509,"human-oral"),EXACT(metadata!O509,"human-gut"),EXACT(metadata!O509,"human-vaginal"),EXACT(metadata!O509,"microbial mat/biofilm"),EXACT(metadata!O509,"misc environment"),EXACT(metadata!O509,"plant-associated"),EXACT(metadata!O509,"sediment"),EXACT(metadata!O509,"soil"),EXACT(metadata!O509,"wastewater/sludge"),EXACT(metadata!O509,"water"))))</f>
        <v>0</v>
      </c>
      <c r="BA509" t="b">
        <f>IF(metadata!P509="",FALSE,TRUE)</f>
        <v>0</v>
      </c>
      <c r="BB509" t="b">
        <f>IF(metadata!Q509="",FALSE,TRUE)</f>
        <v>0</v>
      </c>
      <c r="BC509" t="b">
        <f>OR(AND(IF(metadata!R509="",FALSE,TRUE),OR(EXACT(metadata!R509,"missing: not collected"),EXACT(metadata!R509,"missing: not provided"),EXACT(metadata!R509,"missing: restricted access"))),AND(IF(metadata!R509="",FALSE,ISNUMBER(VALUE(metadata!R509))),metadata!R509&gt;=-90,metadata!R509&lt;=90))</f>
        <v>0</v>
      </c>
      <c r="BD509" t="b">
        <f>AND(IF(metadata!S509="",FALSE,TRUE),EXACT(metadata!S509,"Decimal degrees"))</f>
        <v>0</v>
      </c>
      <c r="BE509" t="b">
        <f>OR(AND(IF(metadata!T509="",FALSE,TRUE),OR(EXACT(metadata!T509,"missing: not collected"),EXACT(metadata!T509,"missing: not provided"),EXACT(metadata!T509,"missing: restricted access"))),AND(IF(metadata!T509="",FALSE,ISNUMBER(VALUE(metadata!T509))),metadata!T509&gt;=-180,metadata!T509&lt;=180))</f>
        <v>0</v>
      </c>
      <c r="BF509" t="b">
        <f>AND(IF(metadata!U509="",FALSE,TRUE),EXACT(metadata!U509,"Decimal degrees"))</f>
        <v>0</v>
      </c>
      <c r="BG509" t="b">
        <f>IF(metadata!V509="",FALSE,TRUE)</f>
        <v>0</v>
      </c>
      <c r="BH509" t="b">
        <f>OR(AND(IF(metadata!W509="",FALSE,TRUE),OR(EXACT(metadata!W509,"missing: not collected"),EXACT(metadata!W509,"missing: not provided"),EXACT(metadata!W509,"missing: restricted access"))),AND(IF(metadata!W509="",FALSE,TRUE),OR(EXACT(metadata!W509,"TRUE"),EXACT(metadata!W509,"FALSE"))))</f>
        <v>0</v>
      </c>
      <c r="BI509" t="b">
        <f>AND(IF(metadata!X509="",FALSE,TRUE),EXACT(metadata!X509,"other"))</f>
        <v>0</v>
      </c>
      <c r="BJ509" t="b">
        <f>IF(metadata!Y509="",FALSE,TRUE)</f>
        <v>0</v>
      </c>
      <c r="BK509" t="b">
        <f>OR(AND(IF(metadata!Z509="",FALSE,TRUE),OR(EXACT(metadata!Z509,"missing: not collected"),EXACT(metadata!Z509,"missing: not provided"))),AND(IF(metadata!Z509="",FALSE,IF(ISERROR(INT(metadata!Z509)),FALSE,INT(metadata!Z509)=metadata!Z509)),metadata!Z509&gt;0))</f>
        <v>0</v>
      </c>
      <c r="BL509" t="b">
        <f>AND(IF(metadata!AA509="",FALSE,TRUE),EXACT(metadata!AA509,"Not applicable"))</f>
        <v>0</v>
      </c>
      <c r="BM509" t="b">
        <f>IF(metadata!AB509="",FALSE,TRUE)</f>
        <v>0</v>
      </c>
    </row>
    <row r="510" spans="1:65" x14ac:dyDescent="0.2">
      <c r="A510" s="5" t="str">
        <f ca="1">IF(B510=" "," ",HYPERLINK(CONCATENATE("#metadata!",ADDRESS(INDEX($AH$2:$AH$1001,MATCH(ROWS($AF$2:AF510),$AF$2:$AF$1001,0),0),1)),INDEX($AK$2:$AK$1001,MATCH(ROWS($AF$2:AF510),$AF$2:$AF$1001,0),0)))</f>
        <v xml:space="preserve"> </v>
      </c>
      <c r="B510" s="4" t="str">
        <f ca="1">IF(OR(INDEX($AG$2:$AG$1001,MATCH(ROWS($AF$2:AF510),$AF$2:$AF$1001,0),1)&gt;=100000,INDEX($AM$1005:$BM$1005,1,MATCH(COLUMNS($AM$1006:AM1006),$AM$1006:$BM$1006,0))&gt;=100000), " ",IF(INDEX($AM$2:$BM$1001,MATCH(ROWS($AF$2:AF510),$AF$2:$AF$1001,0),MATCH(COLUMNS($AM$1006:AM1006),$AM$1006:$BM$1006,0)), HYPERLINK("#",""), HYPERLINK(CONCATENATE("#metadata!", ADDRESS(INDEX($AH$2:$AH$1001,MATCH(ROWS($AF$2:AF510),$AF$2:$AF$1001,0),0), INDEX($AM$1004:$BM$1004,1,MATCH(COLUMNS($AM$1006:AM1006),$AM$1006:$BM$1006,0)))),"Fix")))</f>
        <v xml:space="preserve"> </v>
      </c>
      <c r="C510" s="4" t="str">
        <f ca="1">IF(OR(INDEX($AG$2:$AG$1001,MATCH(ROWS($AF$2:AF510),$AF$2:$AF$1001,0),1)&gt;=100000,INDEX($AM$1005:$BM$1005,1,MATCH(COLUMNS($AM$1006:AN1006),$AM$1006:$BM$1006,0))&gt;=100000), " ",IF(INDEX($AM$2:$BM$1001,MATCH(ROWS($AF$2:AF510),$AF$2:$AF$1001,0),MATCH(COLUMNS($AM$1006:AN1006),$AM$1006:$BM$1006,0)), HYPERLINK("#",""), HYPERLINK(CONCATENATE("#metadata!", ADDRESS(INDEX($AH$2:$AH$1001,MATCH(ROWS($AF$2:AF510),$AF$2:$AF$1001,0),0), INDEX($AM$1004:$BM$1004,1,MATCH(COLUMNS($AM$1006:AN1006),$AM$1006:$BM$1006,0)))),"Fix")))</f>
        <v xml:space="preserve"> </v>
      </c>
      <c r="D510" s="4" t="str">
        <f ca="1">IF(OR(INDEX($AG$2:$AG$1001,MATCH(ROWS($AF$2:AF510),$AF$2:$AF$1001,0),1)&gt;=100000,INDEX($AM$1005:$BM$1005,1,MATCH(COLUMNS($AM$1006:AO1006),$AM$1006:$BM$1006,0))&gt;=100000), " ",IF(INDEX($AM$2:$BM$1001,MATCH(ROWS($AF$2:AF510),$AF$2:$AF$1001,0),MATCH(COLUMNS($AM$1006:AO1006),$AM$1006:$BM$1006,0)), HYPERLINK("#",""), HYPERLINK(CONCATENATE("#metadata!", ADDRESS(INDEX($AH$2:$AH$1001,MATCH(ROWS($AF$2:AF510),$AF$2:$AF$1001,0),0), INDEX($AM$1004:$BM$1004,1,MATCH(COLUMNS($AM$1006:AO1006),$AM$1006:$BM$1006,0)))),"Fix")))</f>
        <v xml:space="preserve"> </v>
      </c>
      <c r="E510" s="4" t="str">
        <f ca="1">IF(OR(INDEX($AG$2:$AG$1001,MATCH(ROWS($AF$2:AF510),$AF$2:$AF$1001,0),1)&gt;=100000,INDEX($AM$1005:$BM$1005,1,MATCH(COLUMNS($AM$1006:AP1006),$AM$1006:$BM$1006,0))&gt;=100000), " ",IF(INDEX($AM$2:$BM$1001,MATCH(ROWS($AF$2:AF510),$AF$2:$AF$1001,0),MATCH(COLUMNS($AM$1006:AP1006),$AM$1006:$BM$1006,0)), HYPERLINK("#",""), HYPERLINK(CONCATENATE("#metadata!", ADDRESS(INDEX($AH$2:$AH$1001,MATCH(ROWS($AF$2:AF510),$AF$2:$AF$1001,0),0), INDEX($AM$1004:$BM$1004,1,MATCH(COLUMNS($AM$1006:AP1006),$AM$1006:$BM$1006,0)))),"Fix")))</f>
        <v xml:space="preserve"> </v>
      </c>
      <c r="F510" s="4" t="str">
        <f ca="1">IF(OR(INDEX($AG$2:$AG$1001,MATCH(ROWS($AF$2:AF510),$AF$2:$AF$1001,0),1)&gt;=100000,INDEX($AM$1005:$BM$1005,1,MATCH(COLUMNS($AM$1006:AQ1006),$AM$1006:$BM$1006,0))&gt;=100000), " ",IF(INDEX($AM$2:$BM$1001,MATCH(ROWS($AF$2:AF510),$AF$2:$AF$1001,0),MATCH(COLUMNS($AM$1006:AQ1006),$AM$1006:$BM$1006,0)), HYPERLINK("#",""), HYPERLINK(CONCATENATE("#metadata!", ADDRESS(INDEX($AH$2:$AH$1001,MATCH(ROWS($AF$2:AF510),$AF$2:$AF$1001,0),0), INDEX($AM$1004:$BM$1004,1,MATCH(COLUMNS($AM$1006:AQ1006),$AM$1006:$BM$1006,0)))),"Fix")))</f>
        <v xml:space="preserve"> </v>
      </c>
      <c r="G510" s="4" t="str">
        <f ca="1">IF(OR(INDEX($AG$2:$AG$1001,MATCH(ROWS($AF$2:AF510),$AF$2:$AF$1001,0),1)&gt;=100000,INDEX($AM$1005:$BM$1005,1,MATCH(COLUMNS($AM$1006:AR1006),$AM$1006:$BM$1006,0))&gt;=100000), " ",IF(INDEX($AM$2:$BM$1001,MATCH(ROWS($AF$2:AF510),$AF$2:$AF$1001,0),MATCH(COLUMNS($AM$1006:AR1006),$AM$1006:$BM$1006,0)), HYPERLINK("#",""), HYPERLINK(CONCATENATE("#metadata!", ADDRESS(INDEX($AH$2:$AH$1001,MATCH(ROWS($AF$2:AF510),$AF$2:$AF$1001,0),0), INDEX($AM$1004:$BM$1004,1,MATCH(COLUMNS($AM$1006:AR1006),$AM$1006:$BM$1006,0)))),"Fix")))</f>
        <v xml:space="preserve"> </v>
      </c>
      <c r="H510" s="4" t="str">
        <f ca="1">IF(OR(INDEX($AG$2:$AG$1001,MATCH(ROWS($AF$2:AF510),$AF$2:$AF$1001,0),1)&gt;=100000,INDEX($AM$1005:$BM$1005,1,MATCH(COLUMNS($AM$1006:AS1006),$AM$1006:$BM$1006,0))&gt;=100000), " ",IF(INDEX($AM$2:$BM$1001,MATCH(ROWS($AF$2:AF510),$AF$2:$AF$1001,0),MATCH(COLUMNS($AM$1006:AS1006),$AM$1006:$BM$1006,0)), HYPERLINK("#",""), HYPERLINK(CONCATENATE("#metadata!", ADDRESS(INDEX($AH$2:$AH$1001,MATCH(ROWS($AF$2:AF510),$AF$2:$AF$1001,0),0), INDEX($AM$1004:$BM$1004,1,MATCH(COLUMNS($AM$1006:AS1006),$AM$1006:$BM$1006,0)))),"Fix")))</f>
        <v xml:space="preserve"> </v>
      </c>
      <c r="I510" s="4" t="str">
        <f ca="1">IF(OR(INDEX($AG$2:$AG$1001,MATCH(ROWS($AF$2:AF510),$AF$2:$AF$1001,0),1)&gt;=100000,INDEX($AM$1005:$BM$1005,1,MATCH(COLUMNS($AM$1006:AT1006),$AM$1006:$BM$1006,0))&gt;=100000), " ",IF(INDEX($AM$2:$BM$1001,MATCH(ROWS($AF$2:AF510),$AF$2:$AF$1001,0),MATCH(COLUMNS($AM$1006:AT1006),$AM$1006:$BM$1006,0)), HYPERLINK("#",""), HYPERLINK(CONCATENATE("#metadata!", ADDRESS(INDEX($AH$2:$AH$1001,MATCH(ROWS($AF$2:AF510),$AF$2:$AF$1001,0),0), INDEX($AM$1004:$BM$1004,1,MATCH(COLUMNS($AM$1006:AT1006),$AM$1006:$BM$1006,0)))),"Fix")))</f>
        <v xml:space="preserve"> </v>
      </c>
      <c r="J510" s="4" t="str">
        <f ca="1">IF(OR(INDEX($AG$2:$AG$1001,MATCH(ROWS($AF$2:AF510),$AF$2:$AF$1001,0),1)&gt;=100000,INDEX($AM$1005:$BM$1005,1,MATCH(COLUMNS($AM$1006:AU1006),$AM$1006:$BM$1006,0))&gt;=100000), " ",IF(INDEX($AM$2:$BM$1001,MATCH(ROWS($AF$2:AF510),$AF$2:$AF$1001,0),MATCH(COLUMNS($AM$1006:AU1006),$AM$1006:$BM$1006,0)), HYPERLINK("#",""), HYPERLINK(CONCATENATE("#metadata!", ADDRESS(INDEX($AH$2:$AH$1001,MATCH(ROWS($AF$2:AF510),$AF$2:$AF$1001,0),0), INDEX($AM$1004:$BM$1004,1,MATCH(COLUMNS($AM$1006:AU1006),$AM$1006:$BM$1006,0)))),"Fix")))</f>
        <v xml:space="preserve"> </v>
      </c>
      <c r="K510" s="4" t="str">
        <f ca="1">IF(OR(INDEX($AG$2:$AG$1001,MATCH(ROWS($AF$2:AF510),$AF$2:$AF$1001,0),1)&gt;=100000,INDEX($AM$1005:$BM$1005,1,MATCH(COLUMNS($AM$1006:AV1006),$AM$1006:$BM$1006,0))&gt;=100000), " ",IF(INDEX($AM$2:$BM$1001,MATCH(ROWS($AF$2:AF510),$AF$2:$AF$1001,0),MATCH(COLUMNS($AM$1006:AV1006),$AM$1006:$BM$1006,0)), HYPERLINK("#",""), HYPERLINK(CONCATENATE("#metadata!", ADDRESS(INDEX($AH$2:$AH$1001,MATCH(ROWS($AF$2:AF510),$AF$2:$AF$1001,0),0), INDEX($AM$1004:$BM$1004,1,MATCH(COLUMNS($AM$1006:AV1006),$AM$1006:$BM$1006,0)))),"Fix")))</f>
        <v xml:space="preserve"> </v>
      </c>
      <c r="L510" s="4" t="str">
        <f ca="1">IF(OR(INDEX($AG$2:$AG$1001,MATCH(ROWS($AF$2:AF510),$AF$2:$AF$1001,0),1)&gt;=100000,INDEX($AM$1005:$BM$1005,1,MATCH(COLUMNS($AM$1006:AW1006),$AM$1006:$BM$1006,0))&gt;=100000), " ",IF(INDEX($AM$2:$BM$1001,MATCH(ROWS($AF$2:AF510),$AF$2:$AF$1001,0),MATCH(COLUMNS($AM$1006:AW1006),$AM$1006:$BM$1006,0)), HYPERLINK("#",""), HYPERLINK(CONCATENATE("#metadata!", ADDRESS(INDEX($AH$2:$AH$1001,MATCH(ROWS($AF$2:AF510),$AF$2:$AF$1001,0),0), INDEX($AM$1004:$BM$1004,1,MATCH(COLUMNS($AM$1006:AW1006),$AM$1006:$BM$1006,0)))),"Fix")))</f>
        <v xml:space="preserve"> </v>
      </c>
      <c r="M510" s="4" t="str">
        <f ca="1">IF(OR(INDEX($AG$2:$AG$1001,MATCH(ROWS($AF$2:AF510),$AF$2:$AF$1001,0),1)&gt;=100000,INDEX($AM$1005:$BM$1005,1,MATCH(COLUMNS($AM$1006:AX1006),$AM$1006:$BM$1006,0))&gt;=100000), " ",IF(INDEX($AM$2:$BM$1001,MATCH(ROWS($AF$2:AF510),$AF$2:$AF$1001,0),MATCH(COLUMNS($AM$1006:AX1006),$AM$1006:$BM$1006,0)), HYPERLINK("#",""), HYPERLINK(CONCATENATE("#metadata!", ADDRESS(INDEX($AH$2:$AH$1001,MATCH(ROWS($AF$2:AF510),$AF$2:$AF$1001,0),0), INDEX($AM$1004:$BM$1004,1,MATCH(COLUMNS($AM$1006:AX1006),$AM$1006:$BM$1006,0)))),"Fix")))</f>
        <v xml:space="preserve"> </v>
      </c>
      <c r="N510" s="4" t="str">
        <f ca="1">IF(OR(INDEX($AG$2:$AG$1001,MATCH(ROWS($AF$2:AF510),$AF$2:$AF$1001,0),1)&gt;=100000,INDEX($AM$1005:$BM$1005,1,MATCH(COLUMNS($AM$1006:AY1006),$AM$1006:$BM$1006,0))&gt;=100000), " ",IF(INDEX($AM$2:$BM$1001,MATCH(ROWS($AF$2:AF510),$AF$2:$AF$1001,0),MATCH(COLUMNS($AM$1006:AY1006),$AM$1006:$BM$1006,0)), HYPERLINK("#",""), HYPERLINK(CONCATENATE("#metadata!", ADDRESS(INDEX($AH$2:$AH$1001,MATCH(ROWS($AF$2:AF510),$AF$2:$AF$1001,0),0), INDEX($AM$1004:$BM$1004,1,MATCH(COLUMNS($AM$1006:AY1006),$AM$1006:$BM$1006,0)))),"Fix")))</f>
        <v xml:space="preserve"> </v>
      </c>
      <c r="O510" s="4" t="str">
        <f ca="1">IF(OR(INDEX($AG$2:$AG$1001,MATCH(ROWS($AF$2:AF510),$AF$2:$AF$1001,0),1)&gt;=100000,INDEX($AM$1005:$BM$1005,1,MATCH(COLUMNS($AM$1006:AZ1006),$AM$1006:$BM$1006,0))&gt;=100000), " ",IF(INDEX($AM$2:$BM$1001,MATCH(ROWS($AF$2:AF510),$AF$2:$AF$1001,0),MATCH(COLUMNS($AM$1006:AZ1006),$AM$1006:$BM$1006,0)), HYPERLINK("#",""), HYPERLINK(CONCATENATE("#metadata!", ADDRESS(INDEX($AH$2:$AH$1001,MATCH(ROWS($AF$2:AF510),$AF$2:$AF$1001,0),0), INDEX($AM$1004:$BM$1004,1,MATCH(COLUMNS($AM$1006:AZ1006),$AM$1006:$BM$1006,0)))),"Fix")))</f>
        <v xml:space="preserve"> </v>
      </c>
      <c r="P510" s="4" t="str">
        <f ca="1">IF(OR(INDEX($AG$2:$AG$1001,MATCH(ROWS($AF$2:AF510),$AF$2:$AF$1001,0),1)&gt;=100000,INDEX($AM$1005:$BM$1005,1,MATCH(COLUMNS($AM$1006:BA1006),$AM$1006:$BM$1006,0))&gt;=100000), " ",IF(INDEX($AM$2:$BM$1001,MATCH(ROWS($AF$2:AF510),$AF$2:$AF$1001,0),MATCH(COLUMNS($AM$1006:BA1006),$AM$1006:$BM$1006,0)), HYPERLINK("#",""), HYPERLINK(CONCATENATE("#metadata!", ADDRESS(INDEX($AH$2:$AH$1001,MATCH(ROWS($AF$2:AF510),$AF$2:$AF$1001,0),0), INDEX($AM$1004:$BM$1004,1,MATCH(COLUMNS($AM$1006:BA1006),$AM$1006:$BM$1006,0)))),"Fix")))</f>
        <v xml:space="preserve"> </v>
      </c>
      <c r="Q510" s="4" t="str">
        <f ca="1">IF(OR(INDEX($AG$2:$AG$1001,MATCH(ROWS($AF$2:AF510),$AF$2:$AF$1001,0),1)&gt;=100000,INDEX($AM$1005:$BM$1005,1,MATCH(COLUMNS($AM$1006:BB1006),$AM$1006:$BM$1006,0))&gt;=100000), " ",IF(INDEX($AM$2:$BM$1001,MATCH(ROWS($AF$2:AF510),$AF$2:$AF$1001,0),MATCH(COLUMNS($AM$1006:BB1006),$AM$1006:$BM$1006,0)), HYPERLINK("#",""), HYPERLINK(CONCATENATE("#metadata!", ADDRESS(INDEX($AH$2:$AH$1001,MATCH(ROWS($AF$2:AF510),$AF$2:$AF$1001,0),0), INDEX($AM$1004:$BM$1004,1,MATCH(COLUMNS($AM$1006:BB1006),$AM$1006:$BM$1006,0)))),"Fix")))</f>
        <v xml:space="preserve"> </v>
      </c>
      <c r="R510" s="4" t="str">
        <f ca="1">IF(OR(INDEX($AG$2:$AG$1001,MATCH(ROWS($AF$2:AF510),$AF$2:$AF$1001,0),1)&gt;=100000,INDEX($AM$1005:$BM$1005,1,MATCH(COLUMNS($AM$1006:BC1006),$AM$1006:$BM$1006,0))&gt;=100000), " ",IF(INDEX($AM$2:$BM$1001,MATCH(ROWS($AF$2:AF510),$AF$2:$AF$1001,0),MATCH(COLUMNS($AM$1006:BC1006),$AM$1006:$BM$1006,0)), HYPERLINK("#",""), HYPERLINK(CONCATENATE("#metadata!", ADDRESS(INDEX($AH$2:$AH$1001,MATCH(ROWS($AF$2:AF510),$AF$2:$AF$1001,0),0), INDEX($AM$1004:$BM$1004,1,MATCH(COLUMNS($AM$1006:BC1006),$AM$1006:$BM$1006,0)))),"Fix")))</f>
        <v xml:space="preserve"> </v>
      </c>
      <c r="S510" s="4" t="str">
        <f ca="1">IF(OR(INDEX($AG$2:$AG$1001,MATCH(ROWS($AF$2:AF510),$AF$2:$AF$1001,0),1)&gt;=100000,INDEX($AM$1005:$BM$1005,1,MATCH(COLUMNS($AM$1006:BD1006),$AM$1006:$BM$1006,0))&gt;=100000), " ",IF(INDEX($AM$2:$BM$1001,MATCH(ROWS($AF$2:AF510),$AF$2:$AF$1001,0),MATCH(COLUMNS($AM$1006:BD1006),$AM$1006:$BM$1006,0)), HYPERLINK("#",""), HYPERLINK(CONCATENATE("#metadata!", ADDRESS(INDEX($AH$2:$AH$1001,MATCH(ROWS($AF$2:AF510),$AF$2:$AF$1001,0),0), INDEX($AM$1004:$BM$1004,1,MATCH(COLUMNS($AM$1006:BD1006),$AM$1006:$BM$1006,0)))),"Fix")))</f>
        <v xml:space="preserve"> </v>
      </c>
      <c r="T510" s="4" t="str">
        <f ca="1">IF(OR(INDEX($AG$2:$AG$1001,MATCH(ROWS($AF$2:AF510),$AF$2:$AF$1001,0),1)&gt;=100000,INDEX($AM$1005:$BM$1005,1,MATCH(COLUMNS($AM$1006:BE1006),$AM$1006:$BM$1006,0))&gt;=100000), " ",IF(INDEX($AM$2:$BM$1001,MATCH(ROWS($AF$2:AF510),$AF$2:$AF$1001,0),MATCH(COLUMNS($AM$1006:BE1006),$AM$1006:$BM$1006,0)), HYPERLINK("#",""), HYPERLINK(CONCATENATE("#metadata!", ADDRESS(INDEX($AH$2:$AH$1001,MATCH(ROWS($AF$2:AF510),$AF$2:$AF$1001,0),0), INDEX($AM$1004:$BM$1004,1,MATCH(COLUMNS($AM$1006:BE1006),$AM$1006:$BM$1006,0)))),"Fix")))</f>
        <v xml:space="preserve"> </v>
      </c>
      <c r="U510" s="4" t="str">
        <f ca="1">IF(OR(INDEX($AG$2:$AG$1001,MATCH(ROWS($AF$2:AF510),$AF$2:$AF$1001,0),1)&gt;=100000,INDEX($AM$1005:$BM$1005,1,MATCH(COLUMNS($AM$1006:BF1006),$AM$1006:$BM$1006,0))&gt;=100000), " ",IF(INDEX($AM$2:$BM$1001,MATCH(ROWS($AF$2:AF510),$AF$2:$AF$1001,0),MATCH(COLUMNS($AM$1006:BF1006),$AM$1006:$BM$1006,0)), HYPERLINK("#",""), HYPERLINK(CONCATENATE("#metadata!", ADDRESS(INDEX($AH$2:$AH$1001,MATCH(ROWS($AF$2:AF510),$AF$2:$AF$1001,0),0), INDEX($AM$1004:$BM$1004,1,MATCH(COLUMNS($AM$1006:BF1006),$AM$1006:$BM$1006,0)))),"Fix")))</f>
        <v xml:space="preserve"> </v>
      </c>
      <c r="V510" s="4" t="str">
        <f ca="1">IF(OR(INDEX($AG$2:$AG$1001,MATCH(ROWS($AF$2:AF510),$AF$2:$AF$1001,0),1)&gt;=100000,INDEX($AM$1005:$BM$1005,1,MATCH(COLUMNS($AM$1006:BG1006),$AM$1006:$BM$1006,0))&gt;=100000), " ",IF(INDEX($AM$2:$BM$1001,MATCH(ROWS($AF$2:AF510),$AF$2:$AF$1001,0),MATCH(COLUMNS($AM$1006:BG1006),$AM$1006:$BM$1006,0)), HYPERLINK("#",""), HYPERLINK(CONCATENATE("#metadata!", ADDRESS(INDEX($AH$2:$AH$1001,MATCH(ROWS($AF$2:AF510),$AF$2:$AF$1001,0),0), INDEX($AM$1004:$BM$1004,1,MATCH(COLUMNS($AM$1006:BG1006),$AM$1006:$BM$1006,0)))),"Fix")))</f>
        <v xml:space="preserve"> </v>
      </c>
      <c r="W510" s="4" t="str">
        <f ca="1">IF(OR(INDEX($AG$2:$AG$1001,MATCH(ROWS($AF$2:AF510),$AF$2:$AF$1001,0),1)&gt;=100000,INDEX($AM$1005:$BM$1005,1,MATCH(COLUMNS($AM$1006:BH1006),$AM$1006:$BM$1006,0))&gt;=100000), " ",IF(INDEX($AM$2:$BM$1001,MATCH(ROWS($AF$2:AF510),$AF$2:$AF$1001,0),MATCH(COLUMNS($AM$1006:BH1006),$AM$1006:$BM$1006,0)), HYPERLINK("#",""), HYPERLINK(CONCATENATE("#metadata!", ADDRESS(INDEX($AH$2:$AH$1001,MATCH(ROWS($AF$2:AF510),$AF$2:$AF$1001,0),0), INDEX($AM$1004:$BM$1004,1,MATCH(COLUMNS($AM$1006:BH1006),$AM$1006:$BM$1006,0)))),"Fix")))</f>
        <v xml:space="preserve"> </v>
      </c>
      <c r="X510" s="4" t="str">
        <f ca="1">IF(OR(INDEX($AG$2:$AG$1001,MATCH(ROWS($AF$2:AF510),$AF$2:$AF$1001,0),1)&gt;=100000,INDEX($AM$1005:$BM$1005,1,MATCH(COLUMNS($AM$1006:BI1006),$AM$1006:$BM$1006,0))&gt;=100000), " ",IF(INDEX($AM$2:$BM$1001,MATCH(ROWS($AF$2:AF510),$AF$2:$AF$1001,0),MATCH(COLUMNS($AM$1006:BI1006),$AM$1006:$BM$1006,0)), HYPERLINK("#",""), HYPERLINK(CONCATENATE("#metadata!", ADDRESS(INDEX($AH$2:$AH$1001,MATCH(ROWS($AF$2:AF510),$AF$2:$AF$1001,0),0), INDEX($AM$1004:$BM$1004,1,MATCH(COLUMNS($AM$1006:BI1006),$AM$1006:$BM$1006,0)))),"Fix")))</f>
        <v xml:space="preserve"> </v>
      </c>
      <c r="Y510" s="4" t="str">
        <f ca="1">IF(OR(INDEX($AG$2:$AG$1001,MATCH(ROWS($AF$2:AF510),$AF$2:$AF$1001,0),1)&gt;=100000,INDEX($AM$1005:$BM$1005,1,MATCH(COLUMNS($AM$1006:BJ1006),$AM$1006:$BM$1006,0))&gt;=100000), " ",IF(INDEX($AM$2:$BM$1001,MATCH(ROWS($AF$2:AF510),$AF$2:$AF$1001,0),MATCH(COLUMNS($AM$1006:BJ1006),$AM$1006:$BM$1006,0)), HYPERLINK("#",""), HYPERLINK(CONCATENATE("#metadata!", ADDRESS(INDEX($AH$2:$AH$1001,MATCH(ROWS($AF$2:AF510),$AF$2:$AF$1001,0),0), INDEX($AM$1004:$BM$1004,1,MATCH(COLUMNS($AM$1006:BJ1006),$AM$1006:$BM$1006,0)))),"Fix")))</f>
        <v xml:space="preserve"> </v>
      </c>
      <c r="Z510" s="4" t="str">
        <f ca="1">IF(OR(INDEX($AG$2:$AG$1001,MATCH(ROWS($AF$2:AF510),$AF$2:$AF$1001,0),1)&gt;=100000,INDEX($AM$1005:$BM$1005,1,MATCH(COLUMNS($AM$1006:BK1006),$AM$1006:$BM$1006,0))&gt;=100000), " ",IF(INDEX($AM$2:$BM$1001,MATCH(ROWS($AF$2:AF510),$AF$2:$AF$1001,0),MATCH(COLUMNS($AM$1006:BK1006),$AM$1006:$BM$1006,0)), HYPERLINK("#",""), HYPERLINK(CONCATENATE("#metadata!", ADDRESS(INDEX($AH$2:$AH$1001,MATCH(ROWS($AF$2:AF510),$AF$2:$AF$1001,0),0), INDEX($AM$1004:$BM$1004,1,MATCH(COLUMNS($AM$1006:BK1006),$AM$1006:$BM$1006,0)))),"Fix")))</f>
        <v xml:space="preserve"> </v>
      </c>
      <c r="AA510" s="4" t="str">
        <f ca="1">IF(OR(INDEX($AG$2:$AG$1001,MATCH(ROWS($AF$2:AF510),$AF$2:$AF$1001,0),1)&gt;=100000,INDEX($AM$1005:$BM$1005,1,MATCH(COLUMNS($AM$1006:BL1006),$AM$1006:$BM$1006,0))&gt;=100000), " ",IF(INDEX($AM$2:$BM$1001,MATCH(ROWS($AF$2:AF510),$AF$2:$AF$1001,0),MATCH(COLUMNS($AM$1006:BL1006),$AM$1006:$BM$1006,0)), HYPERLINK("#",""), HYPERLINK(CONCATENATE("#metadata!", ADDRESS(INDEX($AH$2:$AH$1001,MATCH(ROWS($AF$2:AF510),$AF$2:$AF$1001,0),0), INDEX($AM$1004:$BM$1004,1,MATCH(COLUMNS($AM$1006:BL1006),$AM$1006:$BM$1006,0)))),"Fix")))</f>
        <v xml:space="preserve"> </v>
      </c>
      <c r="AB510" s="4" t="str">
        <f ca="1">IF(OR(INDEX($AG$2:$AG$1001,MATCH(ROWS($AF$2:AF510),$AF$2:$AF$1001,0),1)&gt;=100000,INDEX($AM$1005:$BM$1005,1,MATCH(COLUMNS($AM$1006:BM1006),$AM$1006:$BM$1006,0))&gt;=100000), " ",IF(INDEX($AM$2:$BM$1001,MATCH(ROWS($AF$2:AF510),$AF$2:$AF$1001,0),MATCH(COLUMNS($AM$1006:BM1006),$AM$1006:$BM$1006,0)), HYPERLINK("#",""), HYPERLINK(CONCATENATE("#metadata!", ADDRESS(INDEX($AH$2:$AH$1001,MATCH(ROWS($AF$2:AF510),$AF$2:$AF$1001,0),0), INDEX($AM$1004:$BM$1004,1,MATCH(COLUMNS($AM$1006:BM1006),$AM$1006:$BM$1006,0)))),"Fix")))</f>
        <v xml:space="preserve"> </v>
      </c>
      <c r="AF510">
        <v>509</v>
      </c>
      <c r="AG510">
        <v>100510</v>
      </c>
      <c r="AH510">
        <v>510</v>
      </c>
      <c r="AI510" t="b">
        <f t="shared" si="7"/>
        <v>1</v>
      </c>
      <c r="AJ510" t="b">
        <f>COUNTBLANK(metadata!B510:AB510)=COLUMNS(metadata!B510:AB510)</f>
        <v>1</v>
      </c>
      <c r="AK510" t="str">
        <v/>
      </c>
      <c r="AM510" t="b">
        <f ca="1">AND(IF(metadata!B510="",FALSE,TRUE),COUNTIF(metadata!B:B, metadata!B510) = 1,NOT(ISERROR(SUMPRODUCT(SEARCH(MID(metadata!B510,ROW(INDIRECT("1:"&amp;LEN(metadata!B510))), 1),"0123456789abcdefghijklmnopqrstuvwxyzABCDEFGHIJKLMNOPQRSTUVWXYZ.")))))</f>
        <v>0</v>
      </c>
      <c r="AN510" t="b">
        <f ca="1">OR(AND(IF(metadata!C510="",FALSE,TRUE),OR(EXACT(metadata!C510,"missing: not collected"),EXACT(metadata!C510,"missing: not provided"),EXACT(metadata!C510,"missing: restricted access"))),AND(IF(metadata!C510="",FALSE,TRUE),AND(AND(IFERROR(INT(LEFT(metadata!C510,4))&gt;1900,FALSE),IFERROR(INT(LEFT(metadata!C510,4))&lt;=YEAR(NOW()),FALSE)), OR(MID(metadata!C510,5,1)="", AND(AND(MID(metadata!C510,5,1)="-",IFERROR(INT(MID(metadata!C510,6,1))&gt;=0,FALSE),IFERROR(INT(MID(metadata!C510,6,1))&lt;=1,FALSE),NOT(MID(metadata!C510,7,1)=""),IFERROR(INT(MID(metadata!C510,6,2))&gt;=1,FALSE),IFERROR(INT(MID(metadata!C510,6,2))&lt;=12,FALSE)), OR(MID(metadata!C510,8,1)="", AND(AND(MID(metadata!C510,8,1)="-",IFERROR(INT(MID(metadata!C510,9,1))&gt;=0,FALSE),IFERROR(INT(MID(metadata!C510,9,1))&lt;=3,FALSE),NOT(MID(metadata!C510,10,1)=""),IFERROR(INT(MID(metadata!C510,9,2))&gt;=1,FALSE),IFERROR(INT(MID(metadata!C510,9,2))&lt;=31,FALSE)), OR(MID(metadata!C510,11,1)="", AND(AND(MID(metadata!C510,11,1)=" ",IFERROR(INT(MID(metadata!C510,12,1))&gt;=0,FALSE),IFERROR(INT(MID(metadata!C510,12,1))&lt;=2,FALSE),NOT(MID(metadata!C510,13,1)=""),IFERROR(INT(MID(metadata!C510,12,2))&gt;=0,FALSE),IFERROR(INT(MID(metadata!C510,12,2))&lt;=23,FALSE)), OR(MID(metadata!C510,14,1)="", AND(AND(MID(metadata!C510,14,1)=":",IFERROR(INT(MID(metadata!C510,15,1))&gt;=0,FALSE),IFERROR(INT(MID(metadata!C510,15,1))&lt;=5,FALSE),NOT(MID(metadata!C510,16,1)=""),IFERROR(INT(MID(metadata!C510,15,2))&gt;=0,FALSE),IFERROR(INT(MID(metadata!C510,15,2))&lt;=59,FALSE)), OR(MID(metadata!C510,17,1)="", AND(AND(MID(metadata!C510,17,1)=":",IFERROR(INT(MID(metadata!C510,18,1))&gt;=0,FALSE),IFERROR(INT(MID(metadata!C510,18,1))&lt;=5,FALSE),NOT(MID(metadata!C510,19,1)=""),IFERROR(INT(MID(metadata!C510,18,2))&gt;=0,FALSE),IFERROR(INT(MID(metadata!C510,18,2))&lt;=59,FALSE)), LEN(metadata!C510)&lt;=19)))))))))))))</f>
        <v>0</v>
      </c>
      <c r="AO510" t="b">
        <f>AND(IF(metadata!D510="",FALSE,TRUE),EXACT(metadata!D510,"Not applicable"))</f>
        <v>0</v>
      </c>
      <c r="AP510" t="b">
        <f>IF(metadata!E510="",FALSE,TRUE)</f>
        <v>0</v>
      </c>
      <c r="AQ510" t="b">
        <f>OR(AND(IF(metadata!F510="",FALSE,TRUE),OR(EXACT(metadata!F510,"missing: not collected"),EXACT(metadata!F510,"missing: not provided"))),AND(IF(metadata!F510="",FALSE,TRUE),OR(EXACT(metadata!F510,"TRUE"),EXACT(metadata!F510,"FALSE"))))</f>
        <v>0</v>
      </c>
      <c r="AR510" t="b">
        <f>OR(AND(IF(metadata!G510="",FALSE,TRUE),OR(EXACT(metadata!G510,"missing: not collected"),EXACT(metadata!G510,"missing: not provided"),EXACT(metadata!G510,"missing: restricted access"))),AND(IF(metadata!G510="",FALSE,ISNUMBER(VALUE(metadata!G510))),metadata!G510&gt;=-413))</f>
        <v>0</v>
      </c>
      <c r="AS510" t="b">
        <f>AND(IF(metadata!H510="",FALSE,TRUE),EXACT(metadata!H510,"meters"))</f>
        <v>0</v>
      </c>
      <c r="AT510" t="b">
        <f>AND(IF(metadata!I510="",FALSE,TRUE),OR(EXACT(metadata!I510,"Host-associated"),EXACT(metadata!I510,"Free-living")))</f>
        <v>0</v>
      </c>
      <c r="AU510" t="b">
        <f>AND(IF(metadata!J510="",FALSE,TRUE),OR(EXACT(metadata!J510,"Animal"),EXACT(metadata!J510,"Fungus"),EXACT(metadata!J510,"Plant"),EXACT(metadata!J510,"Saline"),EXACT(metadata!J510,"Non-saline")))</f>
        <v>0</v>
      </c>
      <c r="AV510" t="b">
        <f>AND(IF(metadata!K510="",FALSE,TRUE),OR(EXACT(metadata!K510,"Plant secretion"),EXACT(metadata!K510,"Plant rhizosphere"),EXACT(metadata!K510,"Plant surface"),EXACT(metadata!K510,"Plant corpus"),EXACT(metadata!K510,"Fungus surface"),EXACT(metadata!K510,"Fungus corpus"),EXACT(metadata!K510,"Animal surface"),EXACT(metadata!K510,"Animal proximal gut"),EXACT(metadata!K510,"Animal corpus"),EXACT(metadata!K510,"Animal distal gut"),EXACT(metadata!K510,"Animal secretion"),EXACT(metadata!K510,"Sub-surface (non-saline)"),EXACT(metadata!K510,"Surface (non-saline)"),EXACT(metadata!K510,"Water (non-saline)"),EXACT(metadata!K510,"Soil (non-saline)"),EXACT(metadata!K510,"Aerosol (non-saline)"),EXACT(metadata!K510,"Sediment (non-saline)"),EXACT(metadata!K510,"Surface (saline)"),EXACT(metadata!K510,"Water (saline)"),EXACT(metadata!K510,"Hypersaline (saline)"),EXACT(metadata!K510,"Aerosol (saline)"),EXACT(metadata!K510,"Sediment (saline)")))</f>
        <v>0</v>
      </c>
      <c r="AW510" t="b">
        <f>IF(metadata!L510="",FALSE,TRUE)</f>
        <v>0</v>
      </c>
      <c r="AX510" t="b">
        <f>IF(metadata!M510="",FALSE,TRUE)</f>
        <v>0</v>
      </c>
      <c r="AY510" t="b">
        <f>IF(metadata!N510="",FALSE,TRUE)</f>
        <v>0</v>
      </c>
      <c r="AZ510" t="b">
        <f>OR(AND(IF(metadata!O510="",FALSE,TRUE),OR(EXACT(metadata!O510,"missing: not collected"),EXACT(metadata!O510,"missing: not provided"),EXACT(metadata!O510,"missing: restricted access"))),AND(IF(metadata!O510="",FALSE,TRUE),OR(EXACT(metadata!O510,"air"),EXACT(metadata!O510,"built environment"),EXACT(metadata!O510,"host-associated"),EXACT(metadata!O510,"human-associated"),EXACT(metadata!O510,"human-skin"),EXACT(metadata!O510,"human-oral"),EXACT(metadata!O510,"human-gut"),EXACT(metadata!O510,"human-vaginal"),EXACT(metadata!O510,"microbial mat/biofilm"),EXACT(metadata!O510,"misc environment"),EXACT(metadata!O510,"plant-associated"),EXACT(metadata!O510,"sediment"),EXACT(metadata!O510,"soil"),EXACT(metadata!O510,"wastewater/sludge"),EXACT(metadata!O510,"water"))))</f>
        <v>0</v>
      </c>
      <c r="BA510" t="b">
        <f>IF(metadata!P510="",FALSE,TRUE)</f>
        <v>0</v>
      </c>
      <c r="BB510" t="b">
        <f>IF(metadata!Q510="",FALSE,TRUE)</f>
        <v>0</v>
      </c>
      <c r="BC510" t="b">
        <f>OR(AND(IF(metadata!R510="",FALSE,TRUE),OR(EXACT(metadata!R510,"missing: not collected"),EXACT(metadata!R510,"missing: not provided"),EXACT(metadata!R510,"missing: restricted access"))),AND(IF(metadata!R510="",FALSE,ISNUMBER(VALUE(metadata!R510))),metadata!R510&gt;=-90,metadata!R510&lt;=90))</f>
        <v>0</v>
      </c>
      <c r="BD510" t="b">
        <f>AND(IF(metadata!S510="",FALSE,TRUE),EXACT(metadata!S510,"Decimal degrees"))</f>
        <v>0</v>
      </c>
      <c r="BE510" t="b">
        <f>OR(AND(IF(metadata!T510="",FALSE,TRUE),OR(EXACT(metadata!T510,"missing: not collected"),EXACT(metadata!T510,"missing: not provided"),EXACT(metadata!T510,"missing: restricted access"))),AND(IF(metadata!T510="",FALSE,ISNUMBER(VALUE(metadata!T510))),metadata!T510&gt;=-180,metadata!T510&lt;=180))</f>
        <v>0</v>
      </c>
      <c r="BF510" t="b">
        <f>AND(IF(metadata!U510="",FALSE,TRUE),EXACT(metadata!U510,"Decimal degrees"))</f>
        <v>0</v>
      </c>
      <c r="BG510" t="b">
        <f>IF(metadata!V510="",FALSE,TRUE)</f>
        <v>0</v>
      </c>
      <c r="BH510" t="b">
        <f>OR(AND(IF(metadata!W510="",FALSE,TRUE),OR(EXACT(metadata!W510,"missing: not collected"),EXACT(metadata!W510,"missing: not provided"),EXACT(metadata!W510,"missing: restricted access"))),AND(IF(metadata!W510="",FALSE,TRUE),OR(EXACT(metadata!W510,"TRUE"),EXACT(metadata!W510,"FALSE"))))</f>
        <v>0</v>
      </c>
      <c r="BI510" t="b">
        <f>AND(IF(metadata!X510="",FALSE,TRUE),EXACT(metadata!X510,"other"))</f>
        <v>0</v>
      </c>
      <c r="BJ510" t="b">
        <f>IF(metadata!Y510="",FALSE,TRUE)</f>
        <v>0</v>
      </c>
      <c r="BK510" t="b">
        <f>OR(AND(IF(metadata!Z510="",FALSE,TRUE),OR(EXACT(metadata!Z510,"missing: not collected"),EXACT(metadata!Z510,"missing: not provided"))),AND(IF(metadata!Z510="",FALSE,IF(ISERROR(INT(metadata!Z510)),FALSE,INT(metadata!Z510)=metadata!Z510)),metadata!Z510&gt;0))</f>
        <v>0</v>
      </c>
      <c r="BL510" t="b">
        <f>AND(IF(metadata!AA510="",FALSE,TRUE),EXACT(metadata!AA510,"Not applicable"))</f>
        <v>0</v>
      </c>
      <c r="BM510" t="b">
        <f>IF(metadata!AB510="",FALSE,TRUE)</f>
        <v>0</v>
      </c>
    </row>
    <row r="511" spans="1:65" x14ac:dyDescent="0.2">
      <c r="A511" s="5" t="str">
        <f ca="1">IF(B511=" "," ",HYPERLINK(CONCATENATE("#metadata!",ADDRESS(INDEX($AH$2:$AH$1001,MATCH(ROWS($AF$2:AF511),$AF$2:$AF$1001,0),0),1)),INDEX($AK$2:$AK$1001,MATCH(ROWS($AF$2:AF511),$AF$2:$AF$1001,0),0)))</f>
        <v xml:space="preserve"> </v>
      </c>
      <c r="B511" s="4" t="str">
        <f ca="1">IF(OR(INDEX($AG$2:$AG$1001,MATCH(ROWS($AF$2:AF511),$AF$2:$AF$1001,0),1)&gt;=100000,INDEX($AM$1005:$BM$1005,1,MATCH(COLUMNS($AM$1006:AM1006),$AM$1006:$BM$1006,0))&gt;=100000), " ",IF(INDEX($AM$2:$BM$1001,MATCH(ROWS($AF$2:AF511),$AF$2:$AF$1001,0),MATCH(COLUMNS($AM$1006:AM1006),$AM$1006:$BM$1006,0)), HYPERLINK("#",""), HYPERLINK(CONCATENATE("#metadata!", ADDRESS(INDEX($AH$2:$AH$1001,MATCH(ROWS($AF$2:AF511),$AF$2:$AF$1001,0),0), INDEX($AM$1004:$BM$1004,1,MATCH(COLUMNS($AM$1006:AM1006),$AM$1006:$BM$1006,0)))),"Fix")))</f>
        <v xml:space="preserve"> </v>
      </c>
      <c r="C511" s="4" t="str">
        <f ca="1">IF(OR(INDEX($AG$2:$AG$1001,MATCH(ROWS($AF$2:AF511),$AF$2:$AF$1001,0),1)&gt;=100000,INDEX($AM$1005:$BM$1005,1,MATCH(COLUMNS($AM$1006:AN1006),$AM$1006:$BM$1006,0))&gt;=100000), " ",IF(INDEX($AM$2:$BM$1001,MATCH(ROWS($AF$2:AF511),$AF$2:$AF$1001,0),MATCH(COLUMNS($AM$1006:AN1006),$AM$1006:$BM$1006,0)), HYPERLINK("#",""), HYPERLINK(CONCATENATE("#metadata!", ADDRESS(INDEX($AH$2:$AH$1001,MATCH(ROWS($AF$2:AF511),$AF$2:$AF$1001,0),0), INDEX($AM$1004:$BM$1004,1,MATCH(COLUMNS($AM$1006:AN1006),$AM$1006:$BM$1006,0)))),"Fix")))</f>
        <v xml:space="preserve"> </v>
      </c>
      <c r="D511" s="4" t="str">
        <f ca="1">IF(OR(INDEX($AG$2:$AG$1001,MATCH(ROWS($AF$2:AF511),$AF$2:$AF$1001,0),1)&gt;=100000,INDEX($AM$1005:$BM$1005,1,MATCH(COLUMNS($AM$1006:AO1006),$AM$1006:$BM$1006,0))&gt;=100000), " ",IF(INDEX($AM$2:$BM$1001,MATCH(ROWS($AF$2:AF511),$AF$2:$AF$1001,0),MATCH(COLUMNS($AM$1006:AO1006),$AM$1006:$BM$1006,0)), HYPERLINK("#",""), HYPERLINK(CONCATENATE("#metadata!", ADDRESS(INDEX($AH$2:$AH$1001,MATCH(ROWS($AF$2:AF511),$AF$2:$AF$1001,0),0), INDEX($AM$1004:$BM$1004,1,MATCH(COLUMNS($AM$1006:AO1006),$AM$1006:$BM$1006,0)))),"Fix")))</f>
        <v xml:space="preserve"> </v>
      </c>
      <c r="E511" s="4" t="str">
        <f ca="1">IF(OR(INDEX($AG$2:$AG$1001,MATCH(ROWS($AF$2:AF511),$AF$2:$AF$1001,0),1)&gt;=100000,INDEX($AM$1005:$BM$1005,1,MATCH(COLUMNS($AM$1006:AP1006),$AM$1006:$BM$1006,0))&gt;=100000), " ",IF(INDEX($AM$2:$BM$1001,MATCH(ROWS($AF$2:AF511),$AF$2:$AF$1001,0),MATCH(COLUMNS($AM$1006:AP1006),$AM$1006:$BM$1006,0)), HYPERLINK("#",""), HYPERLINK(CONCATENATE("#metadata!", ADDRESS(INDEX($AH$2:$AH$1001,MATCH(ROWS($AF$2:AF511),$AF$2:$AF$1001,0),0), INDEX($AM$1004:$BM$1004,1,MATCH(COLUMNS($AM$1006:AP1006),$AM$1006:$BM$1006,0)))),"Fix")))</f>
        <v xml:space="preserve"> </v>
      </c>
      <c r="F511" s="4" t="str">
        <f ca="1">IF(OR(INDEX($AG$2:$AG$1001,MATCH(ROWS($AF$2:AF511),$AF$2:$AF$1001,0),1)&gt;=100000,INDEX($AM$1005:$BM$1005,1,MATCH(COLUMNS($AM$1006:AQ1006),$AM$1006:$BM$1006,0))&gt;=100000), " ",IF(INDEX($AM$2:$BM$1001,MATCH(ROWS($AF$2:AF511),$AF$2:$AF$1001,0),MATCH(COLUMNS($AM$1006:AQ1006),$AM$1006:$BM$1006,0)), HYPERLINK("#",""), HYPERLINK(CONCATENATE("#metadata!", ADDRESS(INDEX($AH$2:$AH$1001,MATCH(ROWS($AF$2:AF511),$AF$2:$AF$1001,0),0), INDEX($AM$1004:$BM$1004,1,MATCH(COLUMNS($AM$1006:AQ1006),$AM$1006:$BM$1006,0)))),"Fix")))</f>
        <v xml:space="preserve"> </v>
      </c>
      <c r="G511" s="4" t="str">
        <f ca="1">IF(OR(INDEX($AG$2:$AG$1001,MATCH(ROWS($AF$2:AF511),$AF$2:$AF$1001,0),1)&gt;=100000,INDEX($AM$1005:$BM$1005,1,MATCH(COLUMNS($AM$1006:AR1006),$AM$1006:$BM$1006,0))&gt;=100000), " ",IF(INDEX($AM$2:$BM$1001,MATCH(ROWS($AF$2:AF511),$AF$2:$AF$1001,0),MATCH(COLUMNS($AM$1006:AR1006),$AM$1006:$BM$1006,0)), HYPERLINK("#",""), HYPERLINK(CONCATENATE("#metadata!", ADDRESS(INDEX($AH$2:$AH$1001,MATCH(ROWS($AF$2:AF511),$AF$2:$AF$1001,0),0), INDEX($AM$1004:$BM$1004,1,MATCH(COLUMNS($AM$1006:AR1006),$AM$1006:$BM$1006,0)))),"Fix")))</f>
        <v xml:space="preserve"> </v>
      </c>
      <c r="H511" s="4" t="str">
        <f ca="1">IF(OR(INDEX($AG$2:$AG$1001,MATCH(ROWS($AF$2:AF511),$AF$2:$AF$1001,0),1)&gt;=100000,INDEX($AM$1005:$BM$1005,1,MATCH(COLUMNS($AM$1006:AS1006),$AM$1006:$BM$1006,0))&gt;=100000), " ",IF(INDEX($AM$2:$BM$1001,MATCH(ROWS($AF$2:AF511),$AF$2:$AF$1001,0),MATCH(COLUMNS($AM$1006:AS1006),$AM$1006:$BM$1006,0)), HYPERLINK("#",""), HYPERLINK(CONCATENATE("#metadata!", ADDRESS(INDEX($AH$2:$AH$1001,MATCH(ROWS($AF$2:AF511),$AF$2:$AF$1001,0),0), INDEX($AM$1004:$BM$1004,1,MATCH(COLUMNS($AM$1006:AS1006),$AM$1006:$BM$1006,0)))),"Fix")))</f>
        <v xml:space="preserve"> </v>
      </c>
      <c r="I511" s="4" t="str">
        <f ca="1">IF(OR(INDEX($AG$2:$AG$1001,MATCH(ROWS($AF$2:AF511),$AF$2:$AF$1001,0),1)&gt;=100000,INDEX($AM$1005:$BM$1005,1,MATCH(COLUMNS($AM$1006:AT1006),$AM$1006:$BM$1006,0))&gt;=100000), " ",IF(INDEX($AM$2:$BM$1001,MATCH(ROWS($AF$2:AF511),$AF$2:$AF$1001,0),MATCH(COLUMNS($AM$1006:AT1006),$AM$1006:$BM$1006,0)), HYPERLINK("#",""), HYPERLINK(CONCATENATE("#metadata!", ADDRESS(INDEX($AH$2:$AH$1001,MATCH(ROWS($AF$2:AF511),$AF$2:$AF$1001,0),0), INDEX($AM$1004:$BM$1004,1,MATCH(COLUMNS($AM$1006:AT1006),$AM$1006:$BM$1006,0)))),"Fix")))</f>
        <v xml:space="preserve"> </v>
      </c>
      <c r="J511" s="4" t="str">
        <f ca="1">IF(OR(INDEX($AG$2:$AG$1001,MATCH(ROWS($AF$2:AF511),$AF$2:$AF$1001,0),1)&gt;=100000,INDEX($AM$1005:$BM$1005,1,MATCH(COLUMNS($AM$1006:AU1006),$AM$1006:$BM$1006,0))&gt;=100000), " ",IF(INDEX($AM$2:$BM$1001,MATCH(ROWS($AF$2:AF511),$AF$2:$AF$1001,0),MATCH(COLUMNS($AM$1006:AU1006),$AM$1006:$BM$1006,0)), HYPERLINK("#",""), HYPERLINK(CONCATENATE("#metadata!", ADDRESS(INDEX($AH$2:$AH$1001,MATCH(ROWS($AF$2:AF511),$AF$2:$AF$1001,0),0), INDEX($AM$1004:$BM$1004,1,MATCH(COLUMNS($AM$1006:AU1006),$AM$1006:$BM$1006,0)))),"Fix")))</f>
        <v xml:space="preserve"> </v>
      </c>
      <c r="K511" s="4" t="str">
        <f ca="1">IF(OR(INDEX($AG$2:$AG$1001,MATCH(ROWS($AF$2:AF511),$AF$2:$AF$1001,0),1)&gt;=100000,INDEX($AM$1005:$BM$1005,1,MATCH(COLUMNS($AM$1006:AV1006),$AM$1006:$BM$1006,0))&gt;=100000), " ",IF(INDEX($AM$2:$BM$1001,MATCH(ROWS($AF$2:AF511),$AF$2:$AF$1001,0),MATCH(COLUMNS($AM$1006:AV1006),$AM$1006:$BM$1006,0)), HYPERLINK("#",""), HYPERLINK(CONCATENATE("#metadata!", ADDRESS(INDEX($AH$2:$AH$1001,MATCH(ROWS($AF$2:AF511),$AF$2:$AF$1001,0),0), INDEX($AM$1004:$BM$1004,1,MATCH(COLUMNS($AM$1006:AV1006),$AM$1006:$BM$1006,0)))),"Fix")))</f>
        <v xml:space="preserve"> </v>
      </c>
      <c r="L511" s="4" t="str">
        <f ca="1">IF(OR(INDEX($AG$2:$AG$1001,MATCH(ROWS($AF$2:AF511),$AF$2:$AF$1001,0),1)&gt;=100000,INDEX($AM$1005:$BM$1005,1,MATCH(COLUMNS($AM$1006:AW1006),$AM$1006:$BM$1006,0))&gt;=100000), " ",IF(INDEX($AM$2:$BM$1001,MATCH(ROWS($AF$2:AF511),$AF$2:$AF$1001,0),MATCH(COLUMNS($AM$1006:AW1006),$AM$1006:$BM$1006,0)), HYPERLINK("#",""), HYPERLINK(CONCATENATE("#metadata!", ADDRESS(INDEX($AH$2:$AH$1001,MATCH(ROWS($AF$2:AF511),$AF$2:$AF$1001,0),0), INDEX($AM$1004:$BM$1004,1,MATCH(COLUMNS($AM$1006:AW1006),$AM$1006:$BM$1006,0)))),"Fix")))</f>
        <v xml:space="preserve"> </v>
      </c>
      <c r="M511" s="4" t="str">
        <f ca="1">IF(OR(INDEX($AG$2:$AG$1001,MATCH(ROWS($AF$2:AF511),$AF$2:$AF$1001,0),1)&gt;=100000,INDEX($AM$1005:$BM$1005,1,MATCH(COLUMNS($AM$1006:AX1006),$AM$1006:$BM$1006,0))&gt;=100000), " ",IF(INDEX($AM$2:$BM$1001,MATCH(ROWS($AF$2:AF511),$AF$2:$AF$1001,0),MATCH(COLUMNS($AM$1006:AX1006),$AM$1006:$BM$1006,0)), HYPERLINK("#",""), HYPERLINK(CONCATENATE("#metadata!", ADDRESS(INDEX($AH$2:$AH$1001,MATCH(ROWS($AF$2:AF511),$AF$2:$AF$1001,0),0), INDEX($AM$1004:$BM$1004,1,MATCH(COLUMNS($AM$1006:AX1006),$AM$1006:$BM$1006,0)))),"Fix")))</f>
        <v xml:space="preserve"> </v>
      </c>
      <c r="N511" s="4" t="str">
        <f ca="1">IF(OR(INDEX($AG$2:$AG$1001,MATCH(ROWS($AF$2:AF511),$AF$2:$AF$1001,0),1)&gt;=100000,INDEX($AM$1005:$BM$1005,1,MATCH(COLUMNS($AM$1006:AY1006),$AM$1006:$BM$1006,0))&gt;=100000), " ",IF(INDEX($AM$2:$BM$1001,MATCH(ROWS($AF$2:AF511),$AF$2:$AF$1001,0),MATCH(COLUMNS($AM$1006:AY1006),$AM$1006:$BM$1006,0)), HYPERLINK("#",""), HYPERLINK(CONCATENATE("#metadata!", ADDRESS(INDEX($AH$2:$AH$1001,MATCH(ROWS($AF$2:AF511),$AF$2:$AF$1001,0),0), INDEX($AM$1004:$BM$1004,1,MATCH(COLUMNS($AM$1006:AY1006),$AM$1006:$BM$1006,0)))),"Fix")))</f>
        <v xml:space="preserve"> </v>
      </c>
      <c r="O511" s="4" t="str">
        <f ca="1">IF(OR(INDEX($AG$2:$AG$1001,MATCH(ROWS($AF$2:AF511),$AF$2:$AF$1001,0),1)&gt;=100000,INDEX($AM$1005:$BM$1005,1,MATCH(COLUMNS($AM$1006:AZ1006),$AM$1006:$BM$1006,0))&gt;=100000), " ",IF(INDEX($AM$2:$BM$1001,MATCH(ROWS($AF$2:AF511),$AF$2:$AF$1001,0),MATCH(COLUMNS($AM$1006:AZ1006),$AM$1006:$BM$1006,0)), HYPERLINK("#",""), HYPERLINK(CONCATENATE("#metadata!", ADDRESS(INDEX($AH$2:$AH$1001,MATCH(ROWS($AF$2:AF511),$AF$2:$AF$1001,0),0), INDEX($AM$1004:$BM$1004,1,MATCH(COLUMNS($AM$1006:AZ1006),$AM$1006:$BM$1006,0)))),"Fix")))</f>
        <v xml:space="preserve"> </v>
      </c>
      <c r="P511" s="4" t="str">
        <f ca="1">IF(OR(INDEX($AG$2:$AG$1001,MATCH(ROWS($AF$2:AF511),$AF$2:$AF$1001,0),1)&gt;=100000,INDEX($AM$1005:$BM$1005,1,MATCH(COLUMNS($AM$1006:BA1006),$AM$1006:$BM$1006,0))&gt;=100000), " ",IF(INDEX($AM$2:$BM$1001,MATCH(ROWS($AF$2:AF511),$AF$2:$AF$1001,0),MATCH(COLUMNS($AM$1006:BA1006),$AM$1006:$BM$1006,0)), HYPERLINK("#",""), HYPERLINK(CONCATENATE("#metadata!", ADDRESS(INDEX($AH$2:$AH$1001,MATCH(ROWS($AF$2:AF511),$AF$2:$AF$1001,0),0), INDEX($AM$1004:$BM$1004,1,MATCH(COLUMNS($AM$1006:BA1006),$AM$1006:$BM$1006,0)))),"Fix")))</f>
        <v xml:space="preserve"> </v>
      </c>
      <c r="Q511" s="4" t="str">
        <f ca="1">IF(OR(INDEX($AG$2:$AG$1001,MATCH(ROWS($AF$2:AF511),$AF$2:$AF$1001,0),1)&gt;=100000,INDEX($AM$1005:$BM$1005,1,MATCH(COLUMNS($AM$1006:BB1006),$AM$1006:$BM$1006,0))&gt;=100000), " ",IF(INDEX($AM$2:$BM$1001,MATCH(ROWS($AF$2:AF511),$AF$2:$AF$1001,0),MATCH(COLUMNS($AM$1006:BB1006),$AM$1006:$BM$1006,0)), HYPERLINK("#",""), HYPERLINK(CONCATENATE("#metadata!", ADDRESS(INDEX($AH$2:$AH$1001,MATCH(ROWS($AF$2:AF511),$AF$2:$AF$1001,0),0), INDEX($AM$1004:$BM$1004,1,MATCH(COLUMNS($AM$1006:BB1006),$AM$1006:$BM$1006,0)))),"Fix")))</f>
        <v xml:space="preserve"> </v>
      </c>
      <c r="R511" s="4" t="str">
        <f ca="1">IF(OR(INDEX($AG$2:$AG$1001,MATCH(ROWS($AF$2:AF511),$AF$2:$AF$1001,0),1)&gt;=100000,INDEX($AM$1005:$BM$1005,1,MATCH(COLUMNS($AM$1006:BC1006),$AM$1006:$BM$1006,0))&gt;=100000), " ",IF(INDEX($AM$2:$BM$1001,MATCH(ROWS($AF$2:AF511),$AF$2:$AF$1001,0),MATCH(COLUMNS($AM$1006:BC1006),$AM$1006:$BM$1006,0)), HYPERLINK("#",""), HYPERLINK(CONCATENATE("#metadata!", ADDRESS(INDEX($AH$2:$AH$1001,MATCH(ROWS($AF$2:AF511),$AF$2:$AF$1001,0),0), INDEX($AM$1004:$BM$1004,1,MATCH(COLUMNS($AM$1006:BC1006),$AM$1006:$BM$1006,0)))),"Fix")))</f>
        <v xml:space="preserve"> </v>
      </c>
      <c r="S511" s="4" t="str">
        <f ca="1">IF(OR(INDEX($AG$2:$AG$1001,MATCH(ROWS($AF$2:AF511),$AF$2:$AF$1001,0),1)&gt;=100000,INDEX($AM$1005:$BM$1005,1,MATCH(COLUMNS($AM$1006:BD1006),$AM$1006:$BM$1006,0))&gt;=100000), " ",IF(INDEX($AM$2:$BM$1001,MATCH(ROWS($AF$2:AF511),$AF$2:$AF$1001,0),MATCH(COLUMNS($AM$1006:BD1006),$AM$1006:$BM$1006,0)), HYPERLINK("#",""), HYPERLINK(CONCATENATE("#metadata!", ADDRESS(INDEX($AH$2:$AH$1001,MATCH(ROWS($AF$2:AF511),$AF$2:$AF$1001,0),0), INDEX($AM$1004:$BM$1004,1,MATCH(COLUMNS($AM$1006:BD1006),$AM$1006:$BM$1006,0)))),"Fix")))</f>
        <v xml:space="preserve"> </v>
      </c>
      <c r="T511" s="4" t="str">
        <f ca="1">IF(OR(INDEX($AG$2:$AG$1001,MATCH(ROWS($AF$2:AF511),$AF$2:$AF$1001,0),1)&gt;=100000,INDEX($AM$1005:$BM$1005,1,MATCH(COLUMNS($AM$1006:BE1006),$AM$1006:$BM$1006,0))&gt;=100000), " ",IF(INDEX($AM$2:$BM$1001,MATCH(ROWS($AF$2:AF511),$AF$2:$AF$1001,0),MATCH(COLUMNS($AM$1006:BE1006),$AM$1006:$BM$1006,0)), HYPERLINK("#",""), HYPERLINK(CONCATENATE("#metadata!", ADDRESS(INDEX($AH$2:$AH$1001,MATCH(ROWS($AF$2:AF511),$AF$2:$AF$1001,0),0), INDEX($AM$1004:$BM$1004,1,MATCH(COLUMNS($AM$1006:BE1006),$AM$1006:$BM$1006,0)))),"Fix")))</f>
        <v xml:space="preserve"> </v>
      </c>
      <c r="U511" s="4" t="str">
        <f ca="1">IF(OR(INDEX($AG$2:$AG$1001,MATCH(ROWS($AF$2:AF511),$AF$2:$AF$1001,0),1)&gt;=100000,INDEX($AM$1005:$BM$1005,1,MATCH(COLUMNS($AM$1006:BF1006),$AM$1006:$BM$1006,0))&gt;=100000), " ",IF(INDEX($AM$2:$BM$1001,MATCH(ROWS($AF$2:AF511),$AF$2:$AF$1001,0),MATCH(COLUMNS($AM$1006:BF1006),$AM$1006:$BM$1006,0)), HYPERLINK("#",""), HYPERLINK(CONCATENATE("#metadata!", ADDRESS(INDEX($AH$2:$AH$1001,MATCH(ROWS($AF$2:AF511),$AF$2:$AF$1001,0),0), INDEX($AM$1004:$BM$1004,1,MATCH(COLUMNS($AM$1006:BF1006),$AM$1006:$BM$1006,0)))),"Fix")))</f>
        <v xml:space="preserve"> </v>
      </c>
      <c r="V511" s="4" t="str">
        <f ca="1">IF(OR(INDEX($AG$2:$AG$1001,MATCH(ROWS($AF$2:AF511),$AF$2:$AF$1001,0),1)&gt;=100000,INDEX($AM$1005:$BM$1005,1,MATCH(COLUMNS($AM$1006:BG1006),$AM$1006:$BM$1006,0))&gt;=100000), " ",IF(INDEX($AM$2:$BM$1001,MATCH(ROWS($AF$2:AF511),$AF$2:$AF$1001,0),MATCH(COLUMNS($AM$1006:BG1006),$AM$1006:$BM$1006,0)), HYPERLINK("#",""), HYPERLINK(CONCATENATE("#metadata!", ADDRESS(INDEX($AH$2:$AH$1001,MATCH(ROWS($AF$2:AF511),$AF$2:$AF$1001,0),0), INDEX($AM$1004:$BM$1004,1,MATCH(COLUMNS($AM$1006:BG1006),$AM$1006:$BM$1006,0)))),"Fix")))</f>
        <v xml:space="preserve"> </v>
      </c>
      <c r="W511" s="4" t="str">
        <f ca="1">IF(OR(INDEX($AG$2:$AG$1001,MATCH(ROWS($AF$2:AF511),$AF$2:$AF$1001,0),1)&gt;=100000,INDEX($AM$1005:$BM$1005,1,MATCH(COLUMNS($AM$1006:BH1006),$AM$1006:$BM$1006,0))&gt;=100000), " ",IF(INDEX($AM$2:$BM$1001,MATCH(ROWS($AF$2:AF511),$AF$2:$AF$1001,0),MATCH(COLUMNS($AM$1006:BH1006),$AM$1006:$BM$1006,0)), HYPERLINK("#",""), HYPERLINK(CONCATENATE("#metadata!", ADDRESS(INDEX($AH$2:$AH$1001,MATCH(ROWS($AF$2:AF511),$AF$2:$AF$1001,0),0), INDEX($AM$1004:$BM$1004,1,MATCH(COLUMNS($AM$1006:BH1006),$AM$1006:$BM$1006,0)))),"Fix")))</f>
        <v xml:space="preserve"> </v>
      </c>
      <c r="X511" s="4" t="str">
        <f ca="1">IF(OR(INDEX($AG$2:$AG$1001,MATCH(ROWS($AF$2:AF511),$AF$2:$AF$1001,0),1)&gt;=100000,INDEX($AM$1005:$BM$1005,1,MATCH(COLUMNS($AM$1006:BI1006),$AM$1006:$BM$1006,0))&gt;=100000), " ",IF(INDEX($AM$2:$BM$1001,MATCH(ROWS($AF$2:AF511),$AF$2:$AF$1001,0),MATCH(COLUMNS($AM$1006:BI1006),$AM$1006:$BM$1006,0)), HYPERLINK("#",""), HYPERLINK(CONCATENATE("#metadata!", ADDRESS(INDEX($AH$2:$AH$1001,MATCH(ROWS($AF$2:AF511),$AF$2:$AF$1001,0),0), INDEX($AM$1004:$BM$1004,1,MATCH(COLUMNS($AM$1006:BI1006),$AM$1006:$BM$1006,0)))),"Fix")))</f>
        <v xml:space="preserve"> </v>
      </c>
      <c r="Y511" s="4" t="str">
        <f ca="1">IF(OR(INDEX($AG$2:$AG$1001,MATCH(ROWS($AF$2:AF511),$AF$2:$AF$1001,0),1)&gt;=100000,INDEX($AM$1005:$BM$1005,1,MATCH(COLUMNS($AM$1006:BJ1006),$AM$1006:$BM$1006,0))&gt;=100000), " ",IF(INDEX($AM$2:$BM$1001,MATCH(ROWS($AF$2:AF511),$AF$2:$AF$1001,0),MATCH(COLUMNS($AM$1006:BJ1006),$AM$1006:$BM$1006,0)), HYPERLINK("#",""), HYPERLINK(CONCATENATE("#metadata!", ADDRESS(INDEX($AH$2:$AH$1001,MATCH(ROWS($AF$2:AF511),$AF$2:$AF$1001,0),0), INDEX($AM$1004:$BM$1004,1,MATCH(COLUMNS($AM$1006:BJ1006),$AM$1006:$BM$1006,0)))),"Fix")))</f>
        <v xml:space="preserve"> </v>
      </c>
      <c r="Z511" s="4" t="str">
        <f ca="1">IF(OR(INDEX($AG$2:$AG$1001,MATCH(ROWS($AF$2:AF511),$AF$2:$AF$1001,0),1)&gt;=100000,INDEX($AM$1005:$BM$1005,1,MATCH(COLUMNS($AM$1006:BK1006),$AM$1006:$BM$1006,0))&gt;=100000), " ",IF(INDEX($AM$2:$BM$1001,MATCH(ROWS($AF$2:AF511),$AF$2:$AF$1001,0),MATCH(COLUMNS($AM$1006:BK1006),$AM$1006:$BM$1006,0)), HYPERLINK("#",""), HYPERLINK(CONCATENATE("#metadata!", ADDRESS(INDEX($AH$2:$AH$1001,MATCH(ROWS($AF$2:AF511),$AF$2:$AF$1001,0),0), INDEX($AM$1004:$BM$1004,1,MATCH(COLUMNS($AM$1006:BK1006),$AM$1006:$BM$1006,0)))),"Fix")))</f>
        <v xml:space="preserve"> </v>
      </c>
      <c r="AA511" s="4" t="str">
        <f ca="1">IF(OR(INDEX($AG$2:$AG$1001,MATCH(ROWS($AF$2:AF511),$AF$2:$AF$1001,0),1)&gt;=100000,INDEX($AM$1005:$BM$1005,1,MATCH(COLUMNS($AM$1006:BL1006),$AM$1006:$BM$1006,0))&gt;=100000), " ",IF(INDEX($AM$2:$BM$1001,MATCH(ROWS($AF$2:AF511),$AF$2:$AF$1001,0),MATCH(COLUMNS($AM$1006:BL1006),$AM$1006:$BM$1006,0)), HYPERLINK("#",""), HYPERLINK(CONCATENATE("#metadata!", ADDRESS(INDEX($AH$2:$AH$1001,MATCH(ROWS($AF$2:AF511),$AF$2:$AF$1001,0),0), INDEX($AM$1004:$BM$1004,1,MATCH(COLUMNS($AM$1006:BL1006),$AM$1006:$BM$1006,0)))),"Fix")))</f>
        <v xml:space="preserve"> </v>
      </c>
      <c r="AB511" s="4" t="str">
        <f ca="1">IF(OR(INDEX($AG$2:$AG$1001,MATCH(ROWS($AF$2:AF511),$AF$2:$AF$1001,0),1)&gt;=100000,INDEX($AM$1005:$BM$1005,1,MATCH(COLUMNS($AM$1006:BM1006),$AM$1006:$BM$1006,0))&gt;=100000), " ",IF(INDEX($AM$2:$BM$1001,MATCH(ROWS($AF$2:AF511),$AF$2:$AF$1001,0),MATCH(COLUMNS($AM$1006:BM1006),$AM$1006:$BM$1006,0)), HYPERLINK("#",""), HYPERLINK(CONCATENATE("#metadata!", ADDRESS(INDEX($AH$2:$AH$1001,MATCH(ROWS($AF$2:AF511),$AF$2:$AF$1001,0),0), INDEX($AM$1004:$BM$1004,1,MATCH(COLUMNS($AM$1006:BM1006),$AM$1006:$BM$1006,0)))),"Fix")))</f>
        <v xml:space="preserve"> </v>
      </c>
      <c r="AF511">
        <v>510</v>
      </c>
      <c r="AG511">
        <v>100511</v>
      </c>
      <c r="AH511">
        <v>511</v>
      </c>
      <c r="AI511" t="b">
        <f t="shared" si="7"/>
        <v>1</v>
      </c>
      <c r="AJ511" t="b">
        <f>COUNTBLANK(metadata!B511:AB511)=COLUMNS(metadata!B511:AB511)</f>
        <v>1</v>
      </c>
      <c r="AK511" t="str">
        <v/>
      </c>
      <c r="AM511" t="b">
        <f ca="1">AND(IF(metadata!B511="",FALSE,TRUE),COUNTIF(metadata!B:B, metadata!B511) = 1,NOT(ISERROR(SUMPRODUCT(SEARCH(MID(metadata!B511,ROW(INDIRECT("1:"&amp;LEN(metadata!B511))), 1),"0123456789abcdefghijklmnopqrstuvwxyzABCDEFGHIJKLMNOPQRSTUVWXYZ.")))))</f>
        <v>0</v>
      </c>
      <c r="AN511" t="b">
        <f ca="1">OR(AND(IF(metadata!C511="",FALSE,TRUE),OR(EXACT(metadata!C511,"missing: not collected"),EXACT(metadata!C511,"missing: not provided"),EXACT(metadata!C511,"missing: restricted access"))),AND(IF(metadata!C511="",FALSE,TRUE),AND(AND(IFERROR(INT(LEFT(metadata!C511,4))&gt;1900,FALSE),IFERROR(INT(LEFT(metadata!C511,4))&lt;=YEAR(NOW()),FALSE)), OR(MID(metadata!C511,5,1)="", AND(AND(MID(metadata!C511,5,1)="-",IFERROR(INT(MID(metadata!C511,6,1))&gt;=0,FALSE),IFERROR(INT(MID(metadata!C511,6,1))&lt;=1,FALSE),NOT(MID(metadata!C511,7,1)=""),IFERROR(INT(MID(metadata!C511,6,2))&gt;=1,FALSE),IFERROR(INT(MID(metadata!C511,6,2))&lt;=12,FALSE)), OR(MID(metadata!C511,8,1)="", AND(AND(MID(metadata!C511,8,1)="-",IFERROR(INT(MID(metadata!C511,9,1))&gt;=0,FALSE),IFERROR(INT(MID(metadata!C511,9,1))&lt;=3,FALSE),NOT(MID(metadata!C511,10,1)=""),IFERROR(INT(MID(metadata!C511,9,2))&gt;=1,FALSE),IFERROR(INT(MID(metadata!C511,9,2))&lt;=31,FALSE)), OR(MID(metadata!C511,11,1)="", AND(AND(MID(metadata!C511,11,1)=" ",IFERROR(INT(MID(metadata!C511,12,1))&gt;=0,FALSE),IFERROR(INT(MID(metadata!C511,12,1))&lt;=2,FALSE),NOT(MID(metadata!C511,13,1)=""),IFERROR(INT(MID(metadata!C511,12,2))&gt;=0,FALSE),IFERROR(INT(MID(metadata!C511,12,2))&lt;=23,FALSE)), OR(MID(metadata!C511,14,1)="", AND(AND(MID(metadata!C511,14,1)=":",IFERROR(INT(MID(metadata!C511,15,1))&gt;=0,FALSE),IFERROR(INT(MID(metadata!C511,15,1))&lt;=5,FALSE),NOT(MID(metadata!C511,16,1)=""),IFERROR(INT(MID(metadata!C511,15,2))&gt;=0,FALSE),IFERROR(INT(MID(metadata!C511,15,2))&lt;=59,FALSE)), OR(MID(metadata!C511,17,1)="", AND(AND(MID(metadata!C511,17,1)=":",IFERROR(INT(MID(metadata!C511,18,1))&gt;=0,FALSE),IFERROR(INT(MID(metadata!C511,18,1))&lt;=5,FALSE),NOT(MID(metadata!C511,19,1)=""),IFERROR(INT(MID(metadata!C511,18,2))&gt;=0,FALSE),IFERROR(INT(MID(metadata!C511,18,2))&lt;=59,FALSE)), LEN(metadata!C511)&lt;=19)))))))))))))</f>
        <v>0</v>
      </c>
      <c r="AO511" t="b">
        <f>AND(IF(metadata!D511="",FALSE,TRUE),EXACT(metadata!D511,"Not applicable"))</f>
        <v>0</v>
      </c>
      <c r="AP511" t="b">
        <f>IF(metadata!E511="",FALSE,TRUE)</f>
        <v>0</v>
      </c>
      <c r="AQ511" t="b">
        <f>OR(AND(IF(metadata!F511="",FALSE,TRUE),OR(EXACT(metadata!F511,"missing: not collected"),EXACT(metadata!F511,"missing: not provided"))),AND(IF(metadata!F511="",FALSE,TRUE),OR(EXACT(metadata!F511,"TRUE"),EXACT(metadata!F511,"FALSE"))))</f>
        <v>0</v>
      </c>
      <c r="AR511" t="b">
        <f>OR(AND(IF(metadata!G511="",FALSE,TRUE),OR(EXACT(metadata!G511,"missing: not collected"),EXACT(metadata!G511,"missing: not provided"),EXACT(metadata!G511,"missing: restricted access"))),AND(IF(metadata!G511="",FALSE,ISNUMBER(VALUE(metadata!G511))),metadata!G511&gt;=-413))</f>
        <v>0</v>
      </c>
      <c r="AS511" t="b">
        <f>AND(IF(metadata!H511="",FALSE,TRUE),EXACT(metadata!H511,"meters"))</f>
        <v>0</v>
      </c>
      <c r="AT511" t="b">
        <f>AND(IF(metadata!I511="",FALSE,TRUE),OR(EXACT(metadata!I511,"Host-associated"),EXACT(metadata!I511,"Free-living")))</f>
        <v>0</v>
      </c>
      <c r="AU511" t="b">
        <f>AND(IF(metadata!J511="",FALSE,TRUE),OR(EXACT(metadata!J511,"Animal"),EXACT(metadata!J511,"Fungus"),EXACT(metadata!J511,"Plant"),EXACT(metadata!J511,"Saline"),EXACT(metadata!J511,"Non-saline")))</f>
        <v>0</v>
      </c>
      <c r="AV511" t="b">
        <f>AND(IF(metadata!K511="",FALSE,TRUE),OR(EXACT(metadata!K511,"Plant secretion"),EXACT(metadata!K511,"Plant rhizosphere"),EXACT(metadata!K511,"Plant surface"),EXACT(metadata!K511,"Plant corpus"),EXACT(metadata!K511,"Fungus surface"),EXACT(metadata!K511,"Fungus corpus"),EXACT(metadata!K511,"Animal surface"),EXACT(metadata!K511,"Animal proximal gut"),EXACT(metadata!K511,"Animal corpus"),EXACT(metadata!K511,"Animal distal gut"),EXACT(metadata!K511,"Animal secretion"),EXACT(metadata!K511,"Sub-surface (non-saline)"),EXACT(metadata!K511,"Surface (non-saline)"),EXACT(metadata!K511,"Water (non-saline)"),EXACT(metadata!K511,"Soil (non-saline)"),EXACT(metadata!K511,"Aerosol (non-saline)"),EXACT(metadata!K511,"Sediment (non-saline)"),EXACT(metadata!K511,"Surface (saline)"),EXACT(metadata!K511,"Water (saline)"),EXACT(metadata!K511,"Hypersaline (saline)"),EXACT(metadata!K511,"Aerosol (saline)"),EXACT(metadata!K511,"Sediment (saline)")))</f>
        <v>0</v>
      </c>
      <c r="AW511" t="b">
        <f>IF(metadata!L511="",FALSE,TRUE)</f>
        <v>0</v>
      </c>
      <c r="AX511" t="b">
        <f>IF(metadata!M511="",FALSE,TRUE)</f>
        <v>0</v>
      </c>
      <c r="AY511" t="b">
        <f>IF(metadata!N511="",FALSE,TRUE)</f>
        <v>0</v>
      </c>
      <c r="AZ511" t="b">
        <f>OR(AND(IF(metadata!O511="",FALSE,TRUE),OR(EXACT(metadata!O511,"missing: not collected"),EXACT(metadata!O511,"missing: not provided"),EXACT(metadata!O511,"missing: restricted access"))),AND(IF(metadata!O511="",FALSE,TRUE),OR(EXACT(metadata!O511,"air"),EXACT(metadata!O511,"built environment"),EXACT(metadata!O511,"host-associated"),EXACT(metadata!O511,"human-associated"),EXACT(metadata!O511,"human-skin"),EXACT(metadata!O511,"human-oral"),EXACT(metadata!O511,"human-gut"),EXACT(metadata!O511,"human-vaginal"),EXACT(metadata!O511,"microbial mat/biofilm"),EXACT(metadata!O511,"misc environment"),EXACT(metadata!O511,"plant-associated"),EXACT(metadata!O511,"sediment"),EXACT(metadata!O511,"soil"),EXACT(metadata!O511,"wastewater/sludge"),EXACT(metadata!O511,"water"))))</f>
        <v>0</v>
      </c>
      <c r="BA511" t="b">
        <f>IF(metadata!P511="",FALSE,TRUE)</f>
        <v>0</v>
      </c>
      <c r="BB511" t="b">
        <f>IF(metadata!Q511="",FALSE,TRUE)</f>
        <v>0</v>
      </c>
      <c r="BC511" t="b">
        <f>OR(AND(IF(metadata!R511="",FALSE,TRUE),OR(EXACT(metadata!R511,"missing: not collected"),EXACT(metadata!R511,"missing: not provided"),EXACT(metadata!R511,"missing: restricted access"))),AND(IF(metadata!R511="",FALSE,ISNUMBER(VALUE(metadata!R511))),metadata!R511&gt;=-90,metadata!R511&lt;=90))</f>
        <v>0</v>
      </c>
      <c r="BD511" t="b">
        <f>AND(IF(metadata!S511="",FALSE,TRUE),EXACT(metadata!S511,"Decimal degrees"))</f>
        <v>0</v>
      </c>
      <c r="BE511" t="b">
        <f>OR(AND(IF(metadata!T511="",FALSE,TRUE),OR(EXACT(metadata!T511,"missing: not collected"),EXACT(metadata!T511,"missing: not provided"),EXACT(metadata!T511,"missing: restricted access"))),AND(IF(metadata!T511="",FALSE,ISNUMBER(VALUE(metadata!T511))),metadata!T511&gt;=-180,metadata!T511&lt;=180))</f>
        <v>0</v>
      </c>
      <c r="BF511" t="b">
        <f>AND(IF(metadata!U511="",FALSE,TRUE),EXACT(metadata!U511,"Decimal degrees"))</f>
        <v>0</v>
      </c>
      <c r="BG511" t="b">
        <f>IF(metadata!V511="",FALSE,TRUE)</f>
        <v>0</v>
      </c>
      <c r="BH511" t="b">
        <f>OR(AND(IF(metadata!W511="",FALSE,TRUE),OR(EXACT(metadata!W511,"missing: not collected"),EXACT(metadata!W511,"missing: not provided"),EXACT(metadata!W511,"missing: restricted access"))),AND(IF(metadata!W511="",FALSE,TRUE),OR(EXACT(metadata!W511,"TRUE"),EXACT(metadata!W511,"FALSE"))))</f>
        <v>0</v>
      </c>
      <c r="BI511" t="b">
        <f>AND(IF(metadata!X511="",FALSE,TRUE),EXACT(metadata!X511,"other"))</f>
        <v>0</v>
      </c>
      <c r="BJ511" t="b">
        <f>IF(metadata!Y511="",FALSE,TRUE)</f>
        <v>0</v>
      </c>
      <c r="BK511" t="b">
        <f>OR(AND(IF(metadata!Z511="",FALSE,TRUE),OR(EXACT(metadata!Z511,"missing: not collected"),EXACT(metadata!Z511,"missing: not provided"))),AND(IF(metadata!Z511="",FALSE,IF(ISERROR(INT(metadata!Z511)),FALSE,INT(metadata!Z511)=metadata!Z511)),metadata!Z511&gt;0))</f>
        <v>0</v>
      </c>
      <c r="BL511" t="b">
        <f>AND(IF(metadata!AA511="",FALSE,TRUE),EXACT(metadata!AA511,"Not applicable"))</f>
        <v>0</v>
      </c>
      <c r="BM511" t="b">
        <f>IF(metadata!AB511="",FALSE,TRUE)</f>
        <v>0</v>
      </c>
    </row>
    <row r="512" spans="1:65" x14ac:dyDescent="0.2">
      <c r="A512" s="5" t="str">
        <f ca="1">IF(B512=" "," ",HYPERLINK(CONCATENATE("#metadata!",ADDRESS(INDEX($AH$2:$AH$1001,MATCH(ROWS($AF$2:AF512),$AF$2:$AF$1001,0),0),1)),INDEX($AK$2:$AK$1001,MATCH(ROWS($AF$2:AF512),$AF$2:$AF$1001,0),0)))</f>
        <v xml:space="preserve"> </v>
      </c>
      <c r="B512" s="4" t="str">
        <f ca="1">IF(OR(INDEX($AG$2:$AG$1001,MATCH(ROWS($AF$2:AF512),$AF$2:$AF$1001,0),1)&gt;=100000,INDEX($AM$1005:$BM$1005,1,MATCH(COLUMNS($AM$1006:AM1006),$AM$1006:$BM$1006,0))&gt;=100000), " ",IF(INDEX($AM$2:$BM$1001,MATCH(ROWS($AF$2:AF512),$AF$2:$AF$1001,0),MATCH(COLUMNS($AM$1006:AM1006),$AM$1006:$BM$1006,0)), HYPERLINK("#",""), HYPERLINK(CONCATENATE("#metadata!", ADDRESS(INDEX($AH$2:$AH$1001,MATCH(ROWS($AF$2:AF512),$AF$2:$AF$1001,0),0), INDEX($AM$1004:$BM$1004,1,MATCH(COLUMNS($AM$1006:AM1006),$AM$1006:$BM$1006,0)))),"Fix")))</f>
        <v xml:space="preserve"> </v>
      </c>
      <c r="C512" s="4" t="str">
        <f ca="1">IF(OR(INDEX($AG$2:$AG$1001,MATCH(ROWS($AF$2:AF512),$AF$2:$AF$1001,0),1)&gt;=100000,INDEX($AM$1005:$BM$1005,1,MATCH(COLUMNS($AM$1006:AN1006),$AM$1006:$BM$1006,0))&gt;=100000), " ",IF(INDEX($AM$2:$BM$1001,MATCH(ROWS($AF$2:AF512),$AF$2:$AF$1001,0),MATCH(COLUMNS($AM$1006:AN1006),$AM$1006:$BM$1006,0)), HYPERLINK("#",""), HYPERLINK(CONCATENATE("#metadata!", ADDRESS(INDEX($AH$2:$AH$1001,MATCH(ROWS($AF$2:AF512),$AF$2:$AF$1001,0),0), INDEX($AM$1004:$BM$1004,1,MATCH(COLUMNS($AM$1006:AN1006),$AM$1006:$BM$1006,0)))),"Fix")))</f>
        <v xml:space="preserve"> </v>
      </c>
      <c r="D512" s="4" t="str">
        <f ca="1">IF(OR(INDEX($AG$2:$AG$1001,MATCH(ROWS($AF$2:AF512),$AF$2:$AF$1001,0),1)&gt;=100000,INDEX($AM$1005:$BM$1005,1,MATCH(COLUMNS($AM$1006:AO1006),$AM$1006:$BM$1006,0))&gt;=100000), " ",IF(INDEX($AM$2:$BM$1001,MATCH(ROWS($AF$2:AF512),$AF$2:$AF$1001,0),MATCH(COLUMNS($AM$1006:AO1006),$AM$1006:$BM$1006,0)), HYPERLINK("#",""), HYPERLINK(CONCATENATE("#metadata!", ADDRESS(INDEX($AH$2:$AH$1001,MATCH(ROWS($AF$2:AF512),$AF$2:$AF$1001,0),0), INDEX($AM$1004:$BM$1004,1,MATCH(COLUMNS($AM$1006:AO1006),$AM$1006:$BM$1006,0)))),"Fix")))</f>
        <v xml:space="preserve"> </v>
      </c>
      <c r="E512" s="4" t="str">
        <f ca="1">IF(OR(INDEX($AG$2:$AG$1001,MATCH(ROWS($AF$2:AF512),$AF$2:$AF$1001,0),1)&gt;=100000,INDEX($AM$1005:$BM$1005,1,MATCH(COLUMNS($AM$1006:AP1006),$AM$1006:$BM$1006,0))&gt;=100000), " ",IF(INDEX($AM$2:$BM$1001,MATCH(ROWS($AF$2:AF512),$AF$2:$AF$1001,0),MATCH(COLUMNS($AM$1006:AP1006),$AM$1006:$BM$1006,0)), HYPERLINK("#",""), HYPERLINK(CONCATENATE("#metadata!", ADDRESS(INDEX($AH$2:$AH$1001,MATCH(ROWS($AF$2:AF512),$AF$2:$AF$1001,0),0), INDEX($AM$1004:$BM$1004,1,MATCH(COLUMNS($AM$1006:AP1006),$AM$1006:$BM$1006,0)))),"Fix")))</f>
        <v xml:space="preserve"> </v>
      </c>
      <c r="F512" s="4" t="str">
        <f ca="1">IF(OR(INDEX($AG$2:$AG$1001,MATCH(ROWS($AF$2:AF512),$AF$2:$AF$1001,0),1)&gt;=100000,INDEX($AM$1005:$BM$1005,1,MATCH(COLUMNS($AM$1006:AQ1006),$AM$1006:$BM$1006,0))&gt;=100000), " ",IF(INDEX($AM$2:$BM$1001,MATCH(ROWS($AF$2:AF512),$AF$2:$AF$1001,0),MATCH(COLUMNS($AM$1006:AQ1006),$AM$1006:$BM$1006,0)), HYPERLINK("#",""), HYPERLINK(CONCATENATE("#metadata!", ADDRESS(INDEX($AH$2:$AH$1001,MATCH(ROWS($AF$2:AF512),$AF$2:$AF$1001,0),0), INDEX($AM$1004:$BM$1004,1,MATCH(COLUMNS($AM$1006:AQ1006),$AM$1006:$BM$1006,0)))),"Fix")))</f>
        <v xml:space="preserve"> </v>
      </c>
      <c r="G512" s="4" t="str">
        <f ca="1">IF(OR(INDEX($AG$2:$AG$1001,MATCH(ROWS($AF$2:AF512),$AF$2:$AF$1001,0),1)&gt;=100000,INDEX($AM$1005:$BM$1005,1,MATCH(COLUMNS($AM$1006:AR1006),$AM$1006:$BM$1006,0))&gt;=100000), " ",IF(INDEX($AM$2:$BM$1001,MATCH(ROWS($AF$2:AF512),$AF$2:$AF$1001,0),MATCH(COLUMNS($AM$1006:AR1006),$AM$1006:$BM$1006,0)), HYPERLINK("#",""), HYPERLINK(CONCATENATE("#metadata!", ADDRESS(INDEX($AH$2:$AH$1001,MATCH(ROWS($AF$2:AF512),$AF$2:$AF$1001,0),0), INDEX($AM$1004:$BM$1004,1,MATCH(COLUMNS($AM$1006:AR1006),$AM$1006:$BM$1006,0)))),"Fix")))</f>
        <v xml:space="preserve"> </v>
      </c>
      <c r="H512" s="4" t="str">
        <f ca="1">IF(OR(INDEX($AG$2:$AG$1001,MATCH(ROWS($AF$2:AF512),$AF$2:$AF$1001,0),1)&gt;=100000,INDEX($AM$1005:$BM$1005,1,MATCH(COLUMNS($AM$1006:AS1006),$AM$1006:$BM$1006,0))&gt;=100000), " ",IF(INDEX($AM$2:$BM$1001,MATCH(ROWS($AF$2:AF512),$AF$2:$AF$1001,0),MATCH(COLUMNS($AM$1006:AS1006),$AM$1006:$BM$1006,0)), HYPERLINK("#",""), HYPERLINK(CONCATENATE("#metadata!", ADDRESS(INDEX($AH$2:$AH$1001,MATCH(ROWS($AF$2:AF512),$AF$2:$AF$1001,0),0), INDEX($AM$1004:$BM$1004,1,MATCH(COLUMNS($AM$1006:AS1006),$AM$1006:$BM$1006,0)))),"Fix")))</f>
        <v xml:space="preserve"> </v>
      </c>
      <c r="I512" s="4" t="str">
        <f ca="1">IF(OR(INDEX($AG$2:$AG$1001,MATCH(ROWS($AF$2:AF512),$AF$2:$AF$1001,0),1)&gt;=100000,INDEX($AM$1005:$BM$1005,1,MATCH(COLUMNS($AM$1006:AT1006),$AM$1006:$BM$1006,0))&gt;=100000), " ",IF(INDEX($AM$2:$BM$1001,MATCH(ROWS($AF$2:AF512),$AF$2:$AF$1001,0),MATCH(COLUMNS($AM$1006:AT1006),$AM$1006:$BM$1006,0)), HYPERLINK("#",""), HYPERLINK(CONCATENATE("#metadata!", ADDRESS(INDEX($AH$2:$AH$1001,MATCH(ROWS($AF$2:AF512),$AF$2:$AF$1001,0),0), INDEX($AM$1004:$BM$1004,1,MATCH(COLUMNS($AM$1006:AT1006),$AM$1006:$BM$1006,0)))),"Fix")))</f>
        <v xml:space="preserve"> </v>
      </c>
      <c r="J512" s="4" t="str">
        <f ca="1">IF(OR(INDEX($AG$2:$AG$1001,MATCH(ROWS($AF$2:AF512),$AF$2:$AF$1001,0),1)&gt;=100000,INDEX($AM$1005:$BM$1005,1,MATCH(COLUMNS($AM$1006:AU1006),$AM$1006:$BM$1006,0))&gt;=100000), " ",IF(INDEX($AM$2:$BM$1001,MATCH(ROWS($AF$2:AF512),$AF$2:$AF$1001,0),MATCH(COLUMNS($AM$1006:AU1006),$AM$1006:$BM$1006,0)), HYPERLINK("#",""), HYPERLINK(CONCATENATE("#metadata!", ADDRESS(INDEX($AH$2:$AH$1001,MATCH(ROWS($AF$2:AF512),$AF$2:$AF$1001,0),0), INDEX($AM$1004:$BM$1004,1,MATCH(COLUMNS($AM$1006:AU1006),$AM$1006:$BM$1006,0)))),"Fix")))</f>
        <v xml:space="preserve"> </v>
      </c>
      <c r="K512" s="4" t="str">
        <f ca="1">IF(OR(INDEX($AG$2:$AG$1001,MATCH(ROWS($AF$2:AF512),$AF$2:$AF$1001,0),1)&gt;=100000,INDEX($AM$1005:$BM$1005,1,MATCH(COLUMNS($AM$1006:AV1006),$AM$1006:$BM$1006,0))&gt;=100000), " ",IF(INDEX($AM$2:$BM$1001,MATCH(ROWS($AF$2:AF512),$AF$2:$AF$1001,0),MATCH(COLUMNS($AM$1006:AV1006),$AM$1006:$BM$1006,0)), HYPERLINK("#",""), HYPERLINK(CONCATENATE("#metadata!", ADDRESS(INDEX($AH$2:$AH$1001,MATCH(ROWS($AF$2:AF512),$AF$2:$AF$1001,0),0), INDEX($AM$1004:$BM$1004,1,MATCH(COLUMNS($AM$1006:AV1006),$AM$1006:$BM$1006,0)))),"Fix")))</f>
        <v xml:space="preserve"> </v>
      </c>
      <c r="L512" s="4" t="str">
        <f ca="1">IF(OR(INDEX($AG$2:$AG$1001,MATCH(ROWS($AF$2:AF512),$AF$2:$AF$1001,0),1)&gt;=100000,INDEX($AM$1005:$BM$1005,1,MATCH(COLUMNS($AM$1006:AW1006),$AM$1006:$BM$1006,0))&gt;=100000), " ",IF(INDEX($AM$2:$BM$1001,MATCH(ROWS($AF$2:AF512),$AF$2:$AF$1001,0),MATCH(COLUMNS($AM$1006:AW1006),$AM$1006:$BM$1006,0)), HYPERLINK("#",""), HYPERLINK(CONCATENATE("#metadata!", ADDRESS(INDEX($AH$2:$AH$1001,MATCH(ROWS($AF$2:AF512),$AF$2:$AF$1001,0),0), INDEX($AM$1004:$BM$1004,1,MATCH(COLUMNS($AM$1006:AW1006),$AM$1006:$BM$1006,0)))),"Fix")))</f>
        <v xml:space="preserve"> </v>
      </c>
      <c r="M512" s="4" t="str">
        <f ca="1">IF(OR(INDEX($AG$2:$AG$1001,MATCH(ROWS($AF$2:AF512),$AF$2:$AF$1001,0),1)&gt;=100000,INDEX($AM$1005:$BM$1005,1,MATCH(COLUMNS($AM$1006:AX1006),$AM$1006:$BM$1006,0))&gt;=100000), " ",IF(INDEX($AM$2:$BM$1001,MATCH(ROWS($AF$2:AF512),$AF$2:$AF$1001,0),MATCH(COLUMNS($AM$1006:AX1006),$AM$1006:$BM$1006,0)), HYPERLINK("#",""), HYPERLINK(CONCATENATE("#metadata!", ADDRESS(INDEX($AH$2:$AH$1001,MATCH(ROWS($AF$2:AF512),$AF$2:$AF$1001,0),0), INDEX($AM$1004:$BM$1004,1,MATCH(COLUMNS($AM$1006:AX1006),$AM$1006:$BM$1006,0)))),"Fix")))</f>
        <v xml:space="preserve"> </v>
      </c>
      <c r="N512" s="4" t="str">
        <f ca="1">IF(OR(INDEX($AG$2:$AG$1001,MATCH(ROWS($AF$2:AF512),$AF$2:$AF$1001,0),1)&gt;=100000,INDEX($AM$1005:$BM$1005,1,MATCH(COLUMNS($AM$1006:AY1006),$AM$1006:$BM$1006,0))&gt;=100000), " ",IF(INDEX($AM$2:$BM$1001,MATCH(ROWS($AF$2:AF512),$AF$2:$AF$1001,0),MATCH(COLUMNS($AM$1006:AY1006),$AM$1006:$BM$1006,0)), HYPERLINK("#",""), HYPERLINK(CONCATENATE("#metadata!", ADDRESS(INDEX($AH$2:$AH$1001,MATCH(ROWS($AF$2:AF512),$AF$2:$AF$1001,0),0), INDEX($AM$1004:$BM$1004,1,MATCH(COLUMNS($AM$1006:AY1006),$AM$1006:$BM$1006,0)))),"Fix")))</f>
        <v xml:space="preserve"> </v>
      </c>
      <c r="O512" s="4" t="str">
        <f ca="1">IF(OR(INDEX($AG$2:$AG$1001,MATCH(ROWS($AF$2:AF512),$AF$2:$AF$1001,0),1)&gt;=100000,INDEX($AM$1005:$BM$1005,1,MATCH(COLUMNS($AM$1006:AZ1006),$AM$1006:$BM$1006,0))&gt;=100000), " ",IF(INDEX($AM$2:$BM$1001,MATCH(ROWS($AF$2:AF512),$AF$2:$AF$1001,0),MATCH(COLUMNS($AM$1006:AZ1006),$AM$1006:$BM$1006,0)), HYPERLINK("#",""), HYPERLINK(CONCATENATE("#metadata!", ADDRESS(INDEX($AH$2:$AH$1001,MATCH(ROWS($AF$2:AF512),$AF$2:$AF$1001,0),0), INDEX($AM$1004:$BM$1004,1,MATCH(COLUMNS($AM$1006:AZ1006),$AM$1006:$BM$1006,0)))),"Fix")))</f>
        <v xml:space="preserve"> </v>
      </c>
      <c r="P512" s="4" t="str">
        <f ca="1">IF(OR(INDEX($AG$2:$AG$1001,MATCH(ROWS($AF$2:AF512),$AF$2:$AF$1001,0),1)&gt;=100000,INDEX($AM$1005:$BM$1005,1,MATCH(COLUMNS($AM$1006:BA1006),$AM$1006:$BM$1006,0))&gt;=100000), " ",IF(INDEX($AM$2:$BM$1001,MATCH(ROWS($AF$2:AF512),$AF$2:$AF$1001,0),MATCH(COLUMNS($AM$1006:BA1006),$AM$1006:$BM$1006,0)), HYPERLINK("#",""), HYPERLINK(CONCATENATE("#metadata!", ADDRESS(INDEX($AH$2:$AH$1001,MATCH(ROWS($AF$2:AF512),$AF$2:$AF$1001,0),0), INDEX($AM$1004:$BM$1004,1,MATCH(COLUMNS($AM$1006:BA1006),$AM$1006:$BM$1006,0)))),"Fix")))</f>
        <v xml:space="preserve"> </v>
      </c>
      <c r="Q512" s="4" t="str">
        <f ca="1">IF(OR(INDEX($AG$2:$AG$1001,MATCH(ROWS($AF$2:AF512),$AF$2:$AF$1001,0),1)&gt;=100000,INDEX($AM$1005:$BM$1005,1,MATCH(COLUMNS($AM$1006:BB1006),$AM$1006:$BM$1006,0))&gt;=100000), " ",IF(INDEX($AM$2:$BM$1001,MATCH(ROWS($AF$2:AF512),$AF$2:$AF$1001,0),MATCH(COLUMNS($AM$1006:BB1006),$AM$1006:$BM$1006,0)), HYPERLINK("#",""), HYPERLINK(CONCATENATE("#metadata!", ADDRESS(INDEX($AH$2:$AH$1001,MATCH(ROWS($AF$2:AF512),$AF$2:$AF$1001,0),0), INDEX($AM$1004:$BM$1004,1,MATCH(COLUMNS($AM$1006:BB1006),$AM$1006:$BM$1006,0)))),"Fix")))</f>
        <v xml:space="preserve"> </v>
      </c>
      <c r="R512" s="4" t="str">
        <f ca="1">IF(OR(INDEX($AG$2:$AG$1001,MATCH(ROWS($AF$2:AF512),$AF$2:$AF$1001,0),1)&gt;=100000,INDEX($AM$1005:$BM$1005,1,MATCH(COLUMNS($AM$1006:BC1006),$AM$1006:$BM$1006,0))&gt;=100000), " ",IF(INDEX($AM$2:$BM$1001,MATCH(ROWS($AF$2:AF512),$AF$2:$AF$1001,0),MATCH(COLUMNS($AM$1006:BC1006),$AM$1006:$BM$1006,0)), HYPERLINK("#",""), HYPERLINK(CONCATENATE("#metadata!", ADDRESS(INDEX($AH$2:$AH$1001,MATCH(ROWS($AF$2:AF512),$AF$2:$AF$1001,0),0), INDEX($AM$1004:$BM$1004,1,MATCH(COLUMNS($AM$1006:BC1006),$AM$1006:$BM$1006,0)))),"Fix")))</f>
        <v xml:space="preserve"> </v>
      </c>
      <c r="S512" s="4" t="str">
        <f ca="1">IF(OR(INDEX($AG$2:$AG$1001,MATCH(ROWS($AF$2:AF512),$AF$2:$AF$1001,0),1)&gt;=100000,INDEX($AM$1005:$BM$1005,1,MATCH(COLUMNS($AM$1006:BD1006),$AM$1006:$BM$1006,0))&gt;=100000), " ",IF(INDEX($AM$2:$BM$1001,MATCH(ROWS($AF$2:AF512),$AF$2:$AF$1001,0),MATCH(COLUMNS($AM$1006:BD1006),$AM$1006:$BM$1006,0)), HYPERLINK("#",""), HYPERLINK(CONCATENATE("#metadata!", ADDRESS(INDEX($AH$2:$AH$1001,MATCH(ROWS($AF$2:AF512),$AF$2:$AF$1001,0),0), INDEX($AM$1004:$BM$1004,1,MATCH(COLUMNS($AM$1006:BD1006),$AM$1006:$BM$1006,0)))),"Fix")))</f>
        <v xml:space="preserve"> </v>
      </c>
      <c r="T512" s="4" t="str">
        <f ca="1">IF(OR(INDEX($AG$2:$AG$1001,MATCH(ROWS($AF$2:AF512),$AF$2:$AF$1001,0),1)&gt;=100000,INDEX($AM$1005:$BM$1005,1,MATCH(COLUMNS($AM$1006:BE1006),$AM$1006:$BM$1006,0))&gt;=100000), " ",IF(INDEX($AM$2:$BM$1001,MATCH(ROWS($AF$2:AF512),$AF$2:$AF$1001,0),MATCH(COLUMNS($AM$1006:BE1006),$AM$1006:$BM$1006,0)), HYPERLINK("#",""), HYPERLINK(CONCATENATE("#metadata!", ADDRESS(INDEX($AH$2:$AH$1001,MATCH(ROWS($AF$2:AF512),$AF$2:$AF$1001,0),0), INDEX($AM$1004:$BM$1004,1,MATCH(COLUMNS($AM$1006:BE1006),$AM$1006:$BM$1006,0)))),"Fix")))</f>
        <v xml:space="preserve"> </v>
      </c>
      <c r="U512" s="4" t="str">
        <f ca="1">IF(OR(INDEX($AG$2:$AG$1001,MATCH(ROWS($AF$2:AF512),$AF$2:$AF$1001,0),1)&gt;=100000,INDEX($AM$1005:$BM$1005,1,MATCH(COLUMNS($AM$1006:BF1006),$AM$1006:$BM$1006,0))&gt;=100000), " ",IF(INDEX($AM$2:$BM$1001,MATCH(ROWS($AF$2:AF512),$AF$2:$AF$1001,0),MATCH(COLUMNS($AM$1006:BF1006),$AM$1006:$BM$1006,0)), HYPERLINK("#",""), HYPERLINK(CONCATENATE("#metadata!", ADDRESS(INDEX($AH$2:$AH$1001,MATCH(ROWS($AF$2:AF512),$AF$2:$AF$1001,0),0), INDEX($AM$1004:$BM$1004,1,MATCH(COLUMNS($AM$1006:BF1006),$AM$1006:$BM$1006,0)))),"Fix")))</f>
        <v xml:space="preserve"> </v>
      </c>
      <c r="V512" s="4" t="str">
        <f ca="1">IF(OR(INDEX($AG$2:$AG$1001,MATCH(ROWS($AF$2:AF512),$AF$2:$AF$1001,0),1)&gt;=100000,INDEX($AM$1005:$BM$1005,1,MATCH(COLUMNS($AM$1006:BG1006),$AM$1006:$BM$1006,0))&gt;=100000), " ",IF(INDEX($AM$2:$BM$1001,MATCH(ROWS($AF$2:AF512),$AF$2:$AF$1001,0),MATCH(COLUMNS($AM$1006:BG1006),$AM$1006:$BM$1006,0)), HYPERLINK("#",""), HYPERLINK(CONCATENATE("#metadata!", ADDRESS(INDEX($AH$2:$AH$1001,MATCH(ROWS($AF$2:AF512),$AF$2:$AF$1001,0),0), INDEX($AM$1004:$BM$1004,1,MATCH(COLUMNS($AM$1006:BG1006),$AM$1006:$BM$1006,0)))),"Fix")))</f>
        <v xml:space="preserve"> </v>
      </c>
      <c r="W512" s="4" t="str">
        <f ca="1">IF(OR(INDEX($AG$2:$AG$1001,MATCH(ROWS($AF$2:AF512),$AF$2:$AF$1001,0),1)&gt;=100000,INDEX($AM$1005:$BM$1005,1,MATCH(COLUMNS($AM$1006:BH1006),$AM$1006:$BM$1006,0))&gt;=100000), " ",IF(INDEX($AM$2:$BM$1001,MATCH(ROWS($AF$2:AF512),$AF$2:$AF$1001,0),MATCH(COLUMNS($AM$1006:BH1006),$AM$1006:$BM$1006,0)), HYPERLINK("#",""), HYPERLINK(CONCATENATE("#metadata!", ADDRESS(INDEX($AH$2:$AH$1001,MATCH(ROWS($AF$2:AF512),$AF$2:$AF$1001,0),0), INDEX($AM$1004:$BM$1004,1,MATCH(COLUMNS($AM$1006:BH1006),$AM$1006:$BM$1006,0)))),"Fix")))</f>
        <v xml:space="preserve"> </v>
      </c>
      <c r="X512" s="4" t="str">
        <f ca="1">IF(OR(INDEX($AG$2:$AG$1001,MATCH(ROWS($AF$2:AF512),$AF$2:$AF$1001,0),1)&gt;=100000,INDEX($AM$1005:$BM$1005,1,MATCH(COLUMNS($AM$1006:BI1006),$AM$1006:$BM$1006,0))&gt;=100000), " ",IF(INDEX($AM$2:$BM$1001,MATCH(ROWS($AF$2:AF512),$AF$2:$AF$1001,0),MATCH(COLUMNS($AM$1006:BI1006),$AM$1006:$BM$1006,0)), HYPERLINK("#",""), HYPERLINK(CONCATENATE("#metadata!", ADDRESS(INDEX($AH$2:$AH$1001,MATCH(ROWS($AF$2:AF512),$AF$2:$AF$1001,0),0), INDEX($AM$1004:$BM$1004,1,MATCH(COLUMNS($AM$1006:BI1006),$AM$1006:$BM$1006,0)))),"Fix")))</f>
        <v xml:space="preserve"> </v>
      </c>
      <c r="Y512" s="4" t="str">
        <f ca="1">IF(OR(INDEX($AG$2:$AG$1001,MATCH(ROWS($AF$2:AF512),$AF$2:$AF$1001,0),1)&gt;=100000,INDEX($AM$1005:$BM$1005,1,MATCH(COLUMNS($AM$1006:BJ1006),$AM$1006:$BM$1006,0))&gt;=100000), " ",IF(INDEX($AM$2:$BM$1001,MATCH(ROWS($AF$2:AF512),$AF$2:$AF$1001,0),MATCH(COLUMNS($AM$1006:BJ1006),$AM$1006:$BM$1006,0)), HYPERLINK("#",""), HYPERLINK(CONCATENATE("#metadata!", ADDRESS(INDEX($AH$2:$AH$1001,MATCH(ROWS($AF$2:AF512),$AF$2:$AF$1001,0),0), INDEX($AM$1004:$BM$1004,1,MATCH(COLUMNS($AM$1006:BJ1006),$AM$1006:$BM$1006,0)))),"Fix")))</f>
        <v xml:space="preserve"> </v>
      </c>
      <c r="Z512" s="4" t="str">
        <f ca="1">IF(OR(INDEX($AG$2:$AG$1001,MATCH(ROWS($AF$2:AF512),$AF$2:$AF$1001,0),1)&gt;=100000,INDEX($AM$1005:$BM$1005,1,MATCH(COLUMNS($AM$1006:BK1006),$AM$1006:$BM$1006,0))&gt;=100000), " ",IF(INDEX($AM$2:$BM$1001,MATCH(ROWS($AF$2:AF512),$AF$2:$AF$1001,0),MATCH(COLUMNS($AM$1006:BK1006),$AM$1006:$BM$1006,0)), HYPERLINK("#",""), HYPERLINK(CONCATENATE("#metadata!", ADDRESS(INDEX($AH$2:$AH$1001,MATCH(ROWS($AF$2:AF512),$AF$2:$AF$1001,0),0), INDEX($AM$1004:$BM$1004,1,MATCH(COLUMNS($AM$1006:BK1006),$AM$1006:$BM$1006,0)))),"Fix")))</f>
        <v xml:space="preserve"> </v>
      </c>
      <c r="AA512" s="4" t="str">
        <f ca="1">IF(OR(INDEX($AG$2:$AG$1001,MATCH(ROWS($AF$2:AF512),$AF$2:$AF$1001,0),1)&gt;=100000,INDEX($AM$1005:$BM$1005,1,MATCH(COLUMNS($AM$1006:BL1006),$AM$1006:$BM$1006,0))&gt;=100000), " ",IF(INDEX($AM$2:$BM$1001,MATCH(ROWS($AF$2:AF512),$AF$2:$AF$1001,0),MATCH(COLUMNS($AM$1006:BL1006),$AM$1006:$BM$1006,0)), HYPERLINK("#",""), HYPERLINK(CONCATENATE("#metadata!", ADDRESS(INDEX($AH$2:$AH$1001,MATCH(ROWS($AF$2:AF512),$AF$2:$AF$1001,0),0), INDEX($AM$1004:$BM$1004,1,MATCH(COLUMNS($AM$1006:BL1006),$AM$1006:$BM$1006,0)))),"Fix")))</f>
        <v xml:space="preserve"> </v>
      </c>
      <c r="AB512" s="4" t="str">
        <f ca="1">IF(OR(INDEX($AG$2:$AG$1001,MATCH(ROWS($AF$2:AF512),$AF$2:$AF$1001,0),1)&gt;=100000,INDEX($AM$1005:$BM$1005,1,MATCH(COLUMNS($AM$1006:BM1006),$AM$1006:$BM$1006,0))&gt;=100000), " ",IF(INDEX($AM$2:$BM$1001,MATCH(ROWS($AF$2:AF512),$AF$2:$AF$1001,0),MATCH(COLUMNS($AM$1006:BM1006),$AM$1006:$BM$1006,0)), HYPERLINK("#",""), HYPERLINK(CONCATENATE("#metadata!", ADDRESS(INDEX($AH$2:$AH$1001,MATCH(ROWS($AF$2:AF512),$AF$2:$AF$1001,0),0), INDEX($AM$1004:$BM$1004,1,MATCH(COLUMNS($AM$1006:BM1006),$AM$1006:$BM$1006,0)))),"Fix")))</f>
        <v xml:space="preserve"> </v>
      </c>
      <c r="AF512">
        <v>511</v>
      </c>
      <c r="AG512">
        <v>100512</v>
      </c>
      <c r="AH512">
        <v>512</v>
      </c>
      <c r="AI512" t="b">
        <f t="shared" si="7"/>
        <v>1</v>
      </c>
      <c r="AJ512" t="b">
        <f>COUNTBLANK(metadata!B512:AB512)=COLUMNS(metadata!B512:AB512)</f>
        <v>1</v>
      </c>
      <c r="AK512" t="str">
        <v/>
      </c>
      <c r="AM512" t="b">
        <f ca="1">AND(IF(metadata!B512="",FALSE,TRUE),COUNTIF(metadata!B:B, metadata!B512) = 1,NOT(ISERROR(SUMPRODUCT(SEARCH(MID(metadata!B512,ROW(INDIRECT("1:"&amp;LEN(metadata!B512))), 1),"0123456789abcdefghijklmnopqrstuvwxyzABCDEFGHIJKLMNOPQRSTUVWXYZ.")))))</f>
        <v>0</v>
      </c>
      <c r="AN512" t="b">
        <f ca="1">OR(AND(IF(metadata!C512="",FALSE,TRUE),OR(EXACT(metadata!C512,"missing: not collected"),EXACT(metadata!C512,"missing: not provided"),EXACT(metadata!C512,"missing: restricted access"))),AND(IF(metadata!C512="",FALSE,TRUE),AND(AND(IFERROR(INT(LEFT(metadata!C512,4))&gt;1900,FALSE),IFERROR(INT(LEFT(metadata!C512,4))&lt;=YEAR(NOW()),FALSE)), OR(MID(metadata!C512,5,1)="", AND(AND(MID(metadata!C512,5,1)="-",IFERROR(INT(MID(metadata!C512,6,1))&gt;=0,FALSE),IFERROR(INT(MID(metadata!C512,6,1))&lt;=1,FALSE),NOT(MID(metadata!C512,7,1)=""),IFERROR(INT(MID(metadata!C512,6,2))&gt;=1,FALSE),IFERROR(INT(MID(metadata!C512,6,2))&lt;=12,FALSE)), OR(MID(metadata!C512,8,1)="", AND(AND(MID(metadata!C512,8,1)="-",IFERROR(INT(MID(metadata!C512,9,1))&gt;=0,FALSE),IFERROR(INT(MID(metadata!C512,9,1))&lt;=3,FALSE),NOT(MID(metadata!C512,10,1)=""),IFERROR(INT(MID(metadata!C512,9,2))&gt;=1,FALSE),IFERROR(INT(MID(metadata!C512,9,2))&lt;=31,FALSE)), OR(MID(metadata!C512,11,1)="", AND(AND(MID(metadata!C512,11,1)=" ",IFERROR(INT(MID(metadata!C512,12,1))&gt;=0,FALSE),IFERROR(INT(MID(metadata!C512,12,1))&lt;=2,FALSE),NOT(MID(metadata!C512,13,1)=""),IFERROR(INT(MID(metadata!C512,12,2))&gt;=0,FALSE),IFERROR(INT(MID(metadata!C512,12,2))&lt;=23,FALSE)), OR(MID(metadata!C512,14,1)="", AND(AND(MID(metadata!C512,14,1)=":",IFERROR(INT(MID(metadata!C512,15,1))&gt;=0,FALSE),IFERROR(INT(MID(metadata!C512,15,1))&lt;=5,FALSE),NOT(MID(metadata!C512,16,1)=""),IFERROR(INT(MID(metadata!C512,15,2))&gt;=0,FALSE),IFERROR(INT(MID(metadata!C512,15,2))&lt;=59,FALSE)), OR(MID(metadata!C512,17,1)="", AND(AND(MID(metadata!C512,17,1)=":",IFERROR(INT(MID(metadata!C512,18,1))&gt;=0,FALSE),IFERROR(INT(MID(metadata!C512,18,1))&lt;=5,FALSE),NOT(MID(metadata!C512,19,1)=""),IFERROR(INT(MID(metadata!C512,18,2))&gt;=0,FALSE),IFERROR(INT(MID(metadata!C512,18,2))&lt;=59,FALSE)), LEN(metadata!C512)&lt;=19)))))))))))))</f>
        <v>0</v>
      </c>
      <c r="AO512" t="b">
        <f>AND(IF(metadata!D512="",FALSE,TRUE),EXACT(metadata!D512,"Not applicable"))</f>
        <v>0</v>
      </c>
      <c r="AP512" t="b">
        <f>IF(metadata!E512="",FALSE,TRUE)</f>
        <v>0</v>
      </c>
      <c r="AQ512" t="b">
        <f>OR(AND(IF(metadata!F512="",FALSE,TRUE),OR(EXACT(metadata!F512,"missing: not collected"),EXACT(metadata!F512,"missing: not provided"))),AND(IF(metadata!F512="",FALSE,TRUE),OR(EXACT(metadata!F512,"TRUE"),EXACT(metadata!F512,"FALSE"))))</f>
        <v>0</v>
      </c>
      <c r="AR512" t="b">
        <f>OR(AND(IF(metadata!G512="",FALSE,TRUE),OR(EXACT(metadata!G512,"missing: not collected"),EXACT(metadata!G512,"missing: not provided"),EXACT(metadata!G512,"missing: restricted access"))),AND(IF(metadata!G512="",FALSE,ISNUMBER(VALUE(metadata!G512))),metadata!G512&gt;=-413))</f>
        <v>0</v>
      </c>
      <c r="AS512" t="b">
        <f>AND(IF(metadata!H512="",FALSE,TRUE),EXACT(metadata!H512,"meters"))</f>
        <v>0</v>
      </c>
      <c r="AT512" t="b">
        <f>AND(IF(metadata!I512="",FALSE,TRUE),OR(EXACT(metadata!I512,"Host-associated"),EXACT(metadata!I512,"Free-living")))</f>
        <v>0</v>
      </c>
      <c r="AU512" t="b">
        <f>AND(IF(metadata!J512="",FALSE,TRUE),OR(EXACT(metadata!J512,"Animal"),EXACT(metadata!J512,"Fungus"),EXACT(metadata!J512,"Plant"),EXACT(metadata!J512,"Saline"),EXACT(metadata!J512,"Non-saline")))</f>
        <v>0</v>
      </c>
      <c r="AV512" t="b">
        <f>AND(IF(metadata!K512="",FALSE,TRUE),OR(EXACT(metadata!K512,"Plant secretion"),EXACT(metadata!K512,"Plant rhizosphere"),EXACT(metadata!K512,"Plant surface"),EXACT(metadata!K512,"Plant corpus"),EXACT(metadata!K512,"Fungus surface"),EXACT(metadata!K512,"Fungus corpus"),EXACT(metadata!K512,"Animal surface"),EXACT(metadata!K512,"Animal proximal gut"),EXACT(metadata!K512,"Animal corpus"),EXACT(metadata!K512,"Animal distal gut"),EXACT(metadata!K512,"Animal secretion"),EXACT(metadata!K512,"Sub-surface (non-saline)"),EXACT(metadata!K512,"Surface (non-saline)"),EXACT(metadata!K512,"Water (non-saline)"),EXACT(metadata!K512,"Soil (non-saline)"),EXACT(metadata!K512,"Aerosol (non-saline)"),EXACT(metadata!K512,"Sediment (non-saline)"),EXACT(metadata!K512,"Surface (saline)"),EXACT(metadata!K512,"Water (saline)"),EXACT(metadata!K512,"Hypersaline (saline)"),EXACT(metadata!K512,"Aerosol (saline)"),EXACT(metadata!K512,"Sediment (saline)")))</f>
        <v>0</v>
      </c>
      <c r="AW512" t="b">
        <f>IF(metadata!L512="",FALSE,TRUE)</f>
        <v>0</v>
      </c>
      <c r="AX512" t="b">
        <f>IF(metadata!M512="",FALSE,TRUE)</f>
        <v>0</v>
      </c>
      <c r="AY512" t="b">
        <f>IF(metadata!N512="",FALSE,TRUE)</f>
        <v>0</v>
      </c>
      <c r="AZ512" t="b">
        <f>OR(AND(IF(metadata!O512="",FALSE,TRUE),OR(EXACT(metadata!O512,"missing: not collected"),EXACT(metadata!O512,"missing: not provided"),EXACT(metadata!O512,"missing: restricted access"))),AND(IF(metadata!O512="",FALSE,TRUE),OR(EXACT(metadata!O512,"air"),EXACT(metadata!O512,"built environment"),EXACT(metadata!O512,"host-associated"),EXACT(metadata!O512,"human-associated"),EXACT(metadata!O512,"human-skin"),EXACT(metadata!O512,"human-oral"),EXACT(metadata!O512,"human-gut"),EXACT(metadata!O512,"human-vaginal"),EXACT(metadata!O512,"microbial mat/biofilm"),EXACT(metadata!O512,"misc environment"),EXACT(metadata!O512,"plant-associated"),EXACT(metadata!O512,"sediment"),EXACT(metadata!O512,"soil"),EXACT(metadata!O512,"wastewater/sludge"),EXACT(metadata!O512,"water"))))</f>
        <v>0</v>
      </c>
      <c r="BA512" t="b">
        <f>IF(metadata!P512="",FALSE,TRUE)</f>
        <v>0</v>
      </c>
      <c r="BB512" t="b">
        <f>IF(metadata!Q512="",FALSE,TRUE)</f>
        <v>0</v>
      </c>
      <c r="BC512" t="b">
        <f>OR(AND(IF(metadata!R512="",FALSE,TRUE),OR(EXACT(metadata!R512,"missing: not collected"),EXACT(metadata!R512,"missing: not provided"),EXACT(metadata!R512,"missing: restricted access"))),AND(IF(metadata!R512="",FALSE,ISNUMBER(VALUE(metadata!R512))),metadata!R512&gt;=-90,metadata!R512&lt;=90))</f>
        <v>0</v>
      </c>
      <c r="BD512" t="b">
        <f>AND(IF(metadata!S512="",FALSE,TRUE),EXACT(metadata!S512,"Decimal degrees"))</f>
        <v>0</v>
      </c>
      <c r="BE512" t="b">
        <f>OR(AND(IF(metadata!T512="",FALSE,TRUE),OR(EXACT(metadata!T512,"missing: not collected"),EXACT(metadata!T512,"missing: not provided"),EXACT(metadata!T512,"missing: restricted access"))),AND(IF(metadata!T512="",FALSE,ISNUMBER(VALUE(metadata!T512))),metadata!T512&gt;=-180,metadata!T512&lt;=180))</f>
        <v>0</v>
      </c>
      <c r="BF512" t="b">
        <f>AND(IF(metadata!U512="",FALSE,TRUE),EXACT(metadata!U512,"Decimal degrees"))</f>
        <v>0</v>
      </c>
      <c r="BG512" t="b">
        <f>IF(metadata!V512="",FALSE,TRUE)</f>
        <v>0</v>
      </c>
      <c r="BH512" t="b">
        <f>OR(AND(IF(metadata!W512="",FALSE,TRUE),OR(EXACT(metadata!W512,"missing: not collected"),EXACT(metadata!W512,"missing: not provided"),EXACT(metadata!W512,"missing: restricted access"))),AND(IF(metadata!W512="",FALSE,TRUE),OR(EXACT(metadata!W512,"TRUE"),EXACT(metadata!W512,"FALSE"))))</f>
        <v>0</v>
      </c>
      <c r="BI512" t="b">
        <f>AND(IF(metadata!X512="",FALSE,TRUE),EXACT(metadata!X512,"other"))</f>
        <v>0</v>
      </c>
      <c r="BJ512" t="b">
        <f>IF(metadata!Y512="",FALSE,TRUE)</f>
        <v>0</v>
      </c>
      <c r="BK512" t="b">
        <f>OR(AND(IF(metadata!Z512="",FALSE,TRUE),OR(EXACT(metadata!Z512,"missing: not collected"),EXACT(metadata!Z512,"missing: not provided"))),AND(IF(metadata!Z512="",FALSE,IF(ISERROR(INT(metadata!Z512)),FALSE,INT(metadata!Z512)=metadata!Z512)),metadata!Z512&gt;0))</f>
        <v>0</v>
      </c>
      <c r="BL512" t="b">
        <f>AND(IF(metadata!AA512="",FALSE,TRUE),EXACT(metadata!AA512,"Not applicable"))</f>
        <v>0</v>
      </c>
      <c r="BM512" t="b">
        <f>IF(metadata!AB512="",FALSE,TRUE)</f>
        <v>0</v>
      </c>
    </row>
    <row r="513" spans="1:65" x14ac:dyDescent="0.2">
      <c r="A513" s="5" t="str">
        <f ca="1">IF(B513=" "," ",HYPERLINK(CONCATENATE("#metadata!",ADDRESS(INDEX($AH$2:$AH$1001,MATCH(ROWS($AF$2:AF513),$AF$2:$AF$1001,0),0),1)),INDEX($AK$2:$AK$1001,MATCH(ROWS($AF$2:AF513),$AF$2:$AF$1001,0),0)))</f>
        <v xml:space="preserve"> </v>
      </c>
      <c r="B513" s="4" t="str">
        <f ca="1">IF(OR(INDEX($AG$2:$AG$1001,MATCH(ROWS($AF$2:AF513),$AF$2:$AF$1001,0),1)&gt;=100000,INDEX($AM$1005:$BM$1005,1,MATCH(COLUMNS($AM$1006:AM1006),$AM$1006:$BM$1006,0))&gt;=100000), " ",IF(INDEX($AM$2:$BM$1001,MATCH(ROWS($AF$2:AF513),$AF$2:$AF$1001,0),MATCH(COLUMNS($AM$1006:AM1006),$AM$1006:$BM$1006,0)), HYPERLINK("#",""), HYPERLINK(CONCATENATE("#metadata!", ADDRESS(INDEX($AH$2:$AH$1001,MATCH(ROWS($AF$2:AF513),$AF$2:$AF$1001,0),0), INDEX($AM$1004:$BM$1004,1,MATCH(COLUMNS($AM$1006:AM1006),$AM$1006:$BM$1006,0)))),"Fix")))</f>
        <v xml:space="preserve"> </v>
      </c>
      <c r="C513" s="4" t="str">
        <f ca="1">IF(OR(INDEX($AG$2:$AG$1001,MATCH(ROWS($AF$2:AF513),$AF$2:$AF$1001,0),1)&gt;=100000,INDEX($AM$1005:$BM$1005,1,MATCH(COLUMNS($AM$1006:AN1006),$AM$1006:$BM$1006,0))&gt;=100000), " ",IF(INDEX($AM$2:$BM$1001,MATCH(ROWS($AF$2:AF513),$AF$2:$AF$1001,0),MATCH(COLUMNS($AM$1006:AN1006),$AM$1006:$BM$1006,0)), HYPERLINK("#",""), HYPERLINK(CONCATENATE("#metadata!", ADDRESS(INDEX($AH$2:$AH$1001,MATCH(ROWS($AF$2:AF513),$AF$2:$AF$1001,0),0), INDEX($AM$1004:$BM$1004,1,MATCH(COLUMNS($AM$1006:AN1006),$AM$1006:$BM$1006,0)))),"Fix")))</f>
        <v xml:space="preserve"> </v>
      </c>
      <c r="D513" s="4" t="str">
        <f ca="1">IF(OR(INDEX($AG$2:$AG$1001,MATCH(ROWS($AF$2:AF513),$AF$2:$AF$1001,0),1)&gt;=100000,INDEX($AM$1005:$BM$1005,1,MATCH(COLUMNS($AM$1006:AO1006),$AM$1006:$BM$1006,0))&gt;=100000), " ",IF(INDEX($AM$2:$BM$1001,MATCH(ROWS($AF$2:AF513),$AF$2:$AF$1001,0),MATCH(COLUMNS($AM$1006:AO1006),$AM$1006:$BM$1006,0)), HYPERLINK("#",""), HYPERLINK(CONCATENATE("#metadata!", ADDRESS(INDEX($AH$2:$AH$1001,MATCH(ROWS($AF$2:AF513),$AF$2:$AF$1001,0),0), INDEX($AM$1004:$BM$1004,1,MATCH(COLUMNS($AM$1006:AO1006),$AM$1006:$BM$1006,0)))),"Fix")))</f>
        <v xml:space="preserve"> </v>
      </c>
      <c r="E513" s="4" t="str">
        <f ca="1">IF(OR(INDEX($AG$2:$AG$1001,MATCH(ROWS($AF$2:AF513),$AF$2:$AF$1001,0),1)&gt;=100000,INDEX($AM$1005:$BM$1005,1,MATCH(COLUMNS($AM$1006:AP1006),$AM$1006:$BM$1006,0))&gt;=100000), " ",IF(INDEX($AM$2:$BM$1001,MATCH(ROWS($AF$2:AF513),$AF$2:$AF$1001,0),MATCH(COLUMNS($AM$1006:AP1006),$AM$1006:$BM$1006,0)), HYPERLINK("#",""), HYPERLINK(CONCATENATE("#metadata!", ADDRESS(INDEX($AH$2:$AH$1001,MATCH(ROWS($AF$2:AF513),$AF$2:$AF$1001,0),0), INDEX($AM$1004:$BM$1004,1,MATCH(COLUMNS($AM$1006:AP1006),$AM$1006:$BM$1006,0)))),"Fix")))</f>
        <v xml:space="preserve"> </v>
      </c>
      <c r="F513" s="4" t="str">
        <f ca="1">IF(OR(INDEX($AG$2:$AG$1001,MATCH(ROWS($AF$2:AF513),$AF$2:$AF$1001,0),1)&gt;=100000,INDEX($AM$1005:$BM$1005,1,MATCH(COLUMNS($AM$1006:AQ1006),$AM$1006:$BM$1006,0))&gt;=100000), " ",IF(INDEX($AM$2:$BM$1001,MATCH(ROWS($AF$2:AF513),$AF$2:$AF$1001,0),MATCH(COLUMNS($AM$1006:AQ1006),$AM$1006:$BM$1006,0)), HYPERLINK("#",""), HYPERLINK(CONCATENATE("#metadata!", ADDRESS(INDEX($AH$2:$AH$1001,MATCH(ROWS($AF$2:AF513),$AF$2:$AF$1001,0),0), INDEX($AM$1004:$BM$1004,1,MATCH(COLUMNS($AM$1006:AQ1006),$AM$1006:$BM$1006,0)))),"Fix")))</f>
        <v xml:space="preserve"> </v>
      </c>
      <c r="G513" s="4" t="str">
        <f ca="1">IF(OR(INDEX($AG$2:$AG$1001,MATCH(ROWS($AF$2:AF513),$AF$2:$AF$1001,0),1)&gt;=100000,INDEX($AM$1005:$BM$1005,1,MATCH(COLUMNS($AM$1006:AR1006),$AM$1006:$BM$1006,0))&gt;=100000), " ",IF(INDEX($AM$2:$BM$1001,MATCH(ROWS($AF$2:AF513),$AF$2:$AF$1001,0),MATCH(COLUMNS($AM$1006:AR1006),$AM$1006:$BM$1006,0)), HYPERLINK("#",""), HYPERLINK(CONCATENATE("#metadata!", ADDRESS(INDEX($AH$2:$AH$1001,MATCH(ROWS($AF$2:AF513),$AF$2:$AF$1001,0),0), INDEX($AM$1004:$BM$1004,1,MATCH(COLUMNS($AM$1006:AR1006),$AM$1006:$BM$1006,0)))),"Fix")))</f>
        <v xml:space="preserve"> </v>
      </c>
      <c r="H513" s="4" t="str">
        <f ca="1">IF(OR(INDEX($AG$2:$AG$1001,MATCH(ROWS($AF$2:AF513),$AF$2:$AF$1001,0),1)&gt;=100000,INDEX($AM$1005:$BM$1005,1,MATCH(COLUMNS($AM$1006:AS1006),$AM$1006:$BM$1006,0))&gt;=100000), " ",IF(INDEX($AM$2:$BM$1001,MATCH(ROWS($AF$2:AF513),$AF$2:$AF$1001,0),MATCH(COLUMNS($AM$1006:AS1006),$AM$1006:$BM$1006,0)), HYPERLINK("#",""), HYPERLINK(CONCATENATE("#metadata!", ADDRESS(INDEX($AH$2:$AH$1001,MATCH(ROWS($AF$2:AF513),$AF$2:$AF$1001,0),0), INDEX($AM$1004:$BM$1004,1,MATCH(COLUMNS($AM$1006:AS1006),$AM$1006:$BM$1006,0)))),"Fix")))</f>
        <v xml:space="preserve"> </v>
      </c>
      <c r="I513" s="4" t="str">
        <f ca="1">IF(OR(INDEX($AG$2:$AG$1001,MATCH(ROWS($AF$2:AF513),$AF$2:$AF$1001,0),1)&gt;=100000,INDEX($AM$1005:$BM$1005,1,MATCH(COLUMNS($AM$1006:AT1006),$AM$1006:$BM$1006,0))&gt;=100000), " ",IF(INDEX($AM$2:$BM$1001,MATCH(ROWS($AF$2:AF513),$AF$2:$AF$1001,0),MATCH(COLUMNS($AM$1006:AT1006),$AM$1006:$BM$1006,0)), HYPERLINK("#",""), HYPERLINK(CONCATENATE("#metadata!", ADDRESS(INDEX($AH$2:$AH$1001,MATCH(ROWS($AF$2:AF513),$AF$2:$AF$1001,0),0), INDEX($AM$1004:$BM$1004,1,MATCH(COLUMNS($AM$1006:AT1006),$AM$1006:$BM$1006,0)))),"Fix")))</f>
        <v xml:space="preserve"> </v>
      </c>
      <c r="J513" s="4" t="str">
        <f ca="1">IF(OR(INDEX($AG$2:$AG$1001,MATCH(ROWS($AF$2:AF513),$AF$2:$AF$1001,0),1)&gt;=100000,INDEX($AM$1005:$BM$1005,1,MATCH(COLUMNS($AM$1006:AU1006),$AM$1006:$BM$1006,0))&gt;=100000), " ",IF(INDEX($AM$2:$BM$1001,MATCH(ROWS($AF$2:AF513),$AF$2:$AF$1001,0),MATCH(COLUMNS($AM$1006:AU1006),$AM$1006:$BM$1006,0)), HYPERLINK("#",""), HYPERLINK(CONCATENATE("#metadata!", ADDRESS(INDEX($AH$2:$AH$1001,MATCH(ROWS($AF$2:AF513),$AF$2:$AF$1001,0),0), INDEX($AM$1004:$BM$1004,1,MATCH(COLUMNS($AM$1006:AU1006),$AM$1006:$BM$1006,0)))),"Fix")))</f>
        <v xml:space="preserve"> </v>
      </c>
      <c r="K513" s="4" t="str">
        <f ca="1">IF(OR(INDEX($AG$2:$AG$1001,MATCH(ROWS($AF$2:AF513),$AF$2:$AF$1001,0),1)&gt;=100000,INDEX($AM$1005:$BM$1005,1,MATCH(COLUMNS($AM$1006:AV1006),$AM$1006:$BM$1006,0))&gt;=100000), " ",IF(INDEX($AM$2:$BM$1001,MATCH(ROWS($AF$2:AF513),$AF$2:$AF$1001,0),MATCH(COLUMNS($AM$1006:AV1006),$AM$1006:$BM$1006,0)), HYPERLINK("#",""), HYPERLINK(CONCATENATE("#metadata!", ADDRESS(INDEX($AH$2:$AH$1001,MATCH(ROWS($AF$2:AF513),$AF$2:$AF$1001,0),0), INDEX($AM$1004:$BM$1004,1,MATCH(COLUMNS($AM$1006:AV1006),$AM$1006:$BM$1006,0)))),"Fix")))</f>
        <v xml:space="preserve"> </v>
      </c>
      <c r="L513" s="4" t="str">
        <f ca="1">IF(OR(INDEX($AG$2:$AG$1001,MATCH(ROWS($AF$2:AF513),$AF$2:$AF$1001,0),1)&gt;=100000,INDEX($AM$1005:$BM$1005,1,MATCH(COLUMNS($AM$1006:AW1006),$AM$1006:$BM$1006,0))&gt;=100000), " ",IF(INDEX($AM$2:$BM$1001,MATCH(ROWS($AF$2:AF513),$AF$2:$AF$1001,0),MATCH(COLUMNS($AM$1006:AW1006),$AM$1006:$BM$1006,0)), HYPERLINK("#",""), HYPERLINK(CONCATENATE("#metadata!", ADDRESS(INDEX($AH$2:$AH$1001,MATCH(ROWS($AF$2:AF513),$AF$2:$AF$1001,0),0), INDEX($AM$1004:$BM$1004,1,MATCH(COLUMNS($AM$1006:AW1006),$AM$1006:$BM$1006,0)))),"Fix")))</f>
        <v xml:space="preserve"> </v>
      </c>
      <c r="M513" s="4" t="str">
        <f ca="1">IF(OR(INDEX($AG$2:$AG$1001,MATCH(ROWS($AF$2:AF513),$AF$2:$AF$1001,0),1)&gt;=100000,INDEX($AM$1005:$BM$1005,1,MATCH(COLUMNS($AM$1006:AX1006),$AM$1006:$BM$1006,0))&gt;=100000), " ",IF(INDEX($AM$2:$BM$1001,MATCH(ROWS($AF$2:AF513),$AF$2:$AF$1001,0),MATCH(COLUMNS($AM$1006:AX1006),$AM$1006:$BM$1006,0)), HYPERLINK("#",""), HYPERLINK(CONCATENATE("#metadata!", ADDRESS(INDEX($AH$2:$AH$1001,MATCH(ROWS($AF$2:AF513),$AF$2:$AF$1001,0),0), INDEX($AM$1004:$BM$1004,1,MATCH(COLUMNS($AM$1006:AX1006),$AM$1006:$BM$1006,0)))),"Fix")))</f>
        <v xml:space="preserve"> </v>
      </c>
      <c r="N513" s="4" t="str">
        <f ca="1">IF(OR(INDEX($AG$2:$AG$1001,MATCH(ROWS($AF$2:AF513),$AF$2:$AF$1001,0),1)&gt;=100000,INDEX($AM$1005:$BM$1005,1,MATCH(COLUMNS($AM$1006:AY1006),$AM$1006:$BM$1006,0))&gt;=100000), " ",IF(INDEX($AM$2:$BM$1001,MATCH(ROWS($AF$2:AF513),$AF$2:$AF$1001,0),MATCH(COLUMNS($AM$1006:AY1006),$AM$1006:$BM$1006,0)), HYPERLINK("#",""), HYPERLINK(CONCATENATE("#metadata!", ADDRESS(INDEX($AH$2:$AH$1001,MATCH(ROWS($AF$2:AF513),$AF$2:$AF$1001,0),0), INDEX($AM$1004:$BM$1004,1,MATCH(COLUMNS($AM$1006:AY1006),$AM$1006:$BM$1006,0)))),"Fix")))</f>
        <v xml:space="preserve"> </v>
      </c>
      <c r="O513" s="4" t="str">
        <f ca="1">IF(OR(INDEX($AG$2:$AG$1001,MATCH(ROWS($AF$2:AF513),$AF$2:$AF$1001,0),1)&gt;=100000,INDEX($AM$1005:$BM$1005,1,MATCH(COLUMNS($AM$1006:AZ1006),$AM$1006:$BM$1006,0))&gt;=100000), " ",IF(INDEX($AM$2:$BM$1001,MATCH(ROWS($AF$2:AF513),$AF$2:$AF$1001,0),MATCH(COLUMNS($AM$1006:AZ1006),$AM$1006:$BM$1006,0)), HYPERLINK("#",""), HYPERLINK(CONCATENATE("#metadata!", ADDRESS(INDEX($AH$2:$AH$1001,MATCH(ROWS($AF$2:AF513),$AF$2:$AF$1001,0),0), INDEX($AM$1004:$BM$1004,1,MATCH(COLUMNS($AM$1006:AZ1006),$AM$1006:$BM$1006,0)))),"Fix")))</f>
        <v xml:space="preserve"> </v>
      </c>
      <c r="P513" s="4" t="str">
        <f ca="1">IF(OR(INDEX($AG$2:$AG$1001,MATCH(ROWS($AF$2:AF513),$AF$2:$AF$1001,0),1)&gt;=100000,INDEX($AM$1005:$BM$1005,1,MATCH(COLUMNS($AM$1006:BA1006),$AM$1006:$BM$1006,0))&gt;=100000), " ",IF(INDEX($AM$2:$BM$1001,MATCH(ROWS($AF$2:AF513),$AF$2:$AF$1001,0),MATCH(COLUMNS($AM$1006:BA1006),$AM$1006:$BM$1006,0)), HYPERLINK("#",""), HYPERLINK(CONCATENATE("#metadata!", ADDRESS(INDEX($AH$2:$AH$1001,MATCH(ROWS($AF$2:AF513),$AF$2:$AF$1001,0),0), INDEX($AM$1004:$BM$1004,1,MATCH(COLUMNS($AM$1006:BA1006),$AM$1006:$BM$1006,0)))),"Fix")))</f>
        <v xml:space="preserve"> </v>
      </c>
      <c r="Q513" s="4" t="str">
        <f ca="1">IF(OR(INDEX($AG$2:$AG$1001,MATCH(ROWS($AF$2:AF513),$AF$2:$AF$1001,0),1)&gt;=100000,INDEX($AM$1005:$BM$1005,1,MATCH(COLUMNS($AM$1006:BB1006),$AM$1006:$BM$1006,0))&gt;=100000), " ",IF(INDEX($AM$2:$BM$1001,MATCH(ROWS($AF$2:AF513),$AF$2:$AF$1001,0),MATCH(COLUMNS($AM$1006:BB1006),$AM$1006:$BM$1006,0)), HYPERLINK("#",""), HYPERLINK(CONCATENATE("#metadata!", ADDRESS(INDEX($AH$2:$AH$1001,MATCH(ROWS($AF$2:AF513),$AF$2:$AF$1001,0),0), INDEX($AM$1004:$BM$1004,1,MATCH(COLUMNS($AM$1006:BB1006),$AM$1006:$BM$1006,0)))),"Fix")))</f>
        <v xml:space="preserve"> </v>
      </c>
      <c r="R513" s="4" t="str">
        <f ca="1">IF(OR(INDEX($AG$2:$AG$1001,MATCH(ROWS($AF$2:AF513),$AF$2:$AF$1001,0),1)&gt;=100000,INDEX($AM$1005:$BM$1005,1,MATCH(COLUMNS($AM$1006:BC1006),$AM$1006:$BM$1006,0))&gt;=100000), " ",IF(INDEX($AM$2:$BM$1001,MATCH(ROWS($AF$2:AF513),$AF$2:$AF$1001,0),MATCH(COLUMNS($AM$1006:BC1006),$AM$1006:$BM$1006,0)), HYPERLINK("#",""), HYPERLINK(CONCATENATE("#metadata!", ADDRESS(INDEX($AH$2:$AH$1001,MATCH(ROWS($AF$2:AF513),$AF$2:$AF$1001,0),0), INDEX($AM$1004:$BM$1004,1,MATCH(COLUMNS($AM$1006:BC1006),$AM$1006:$BM$1006,0)))),"Fix")))</f>
        <v xml:space="preserve"> </v>
      </c>
      <c r="S513" s="4" t="str">
        <f ca="1">IF(OR(INDEX($AG$2:$AG$1001,MATCH(ROWS($AF$2:AF513),$AF$2:$AF$1001,0),1)&gt;=100000,INDEX($AM$1005:$BM$1005,1,MATCH(COLUMNS($AM$1006:BD1006),$AM$1006:$BM$1006,0))&gt;=100000), " ",IF(INDEX($AM$2:$BM$1001,MATCH(ROWS($AF$2:AF513),$AF$2:$AF$1001,0),MATCH(COLUMNS($AM$1006:BD1006),$AM$1006:$BM$1006,0)), HYPERLINK("#",""), HYPERLINK(CONCATENATE("#metadata!", ADDRESS(INDEX($AH$2:$AH$1001,MATCH(ROWS($AF$2:AF513),$AF$2:$AF$1001,0),0), INDEX($AM$1004:$BM$1004,1,MATCH(COLUMNS($AM$1006:BD1006),$AM$1006:$BM$1006,0)))),"Fix")))</f>
        <v xml:space="preserve"> </v>
      </c>
      <c r="T513" s="4" t="str">
        <f ca="1">IF(OR(INDEX($AG$2:$AG$1001,MATCH(ROWS($AF$2:AF513),$AF$2:$AF$1001,0),1)&gt;=100000,INDEX($AM$1005:$BM$1005,1,MATCH(COLUMNS($AM$1006:BE1006),$AM$1006:$BM$1006,0))&gt;=100000), " ",IF(INDEX($AM$2:$BM$1001,MATCH(ROWS($AF$2:AF513),$AF$2:$AF$1001,0),MATCH(COLUMNS($AM$1006:BE1006),$AM$1006:$BM$1006,0)), HYPERLINK("#",""), HYPERLINK(CONCATENATE("#metadata!", ADDRESS(INDEX($AH$2:$AH$1001,MATCH(ROWS($AF$2:AF513),$AF$2:$AF$1001,0),0), INDEX($AM$1004:$BM$1004,1,MATCH(COLUMNS($AM$1006:BE1006),$AM$1006:$BM$1006,0)))),"Fix")))</f>
        <v xml:space="preserve"> </v>
      </c>
      <c r="U513" s="4" t="str">
        <f ca="1">IF(OR(INDEX($AG$2:$AG$1001,MATCH(ROWS($AF$2:AF513),$AF$2:$AF$1001,0),1)&gt;=100000,INDEX($AM$1005:$BM$1005,1,MATCH(COLUMNS($AM$1006:BF1006),$AM$1006:$BM$1006,0))&gt;=100000), " ",IF(INDEX($AM$2:$BM$1001,MATCH(ROWS($AF$2:AF513),$AF$2:$AF$1001,0),MATCH(COLUMNS($AM$1006:BF1006),$AM$1006:$BM$1006,0)), HYPERLINK("#",""), HYPERLINK(CONCATENATE("#metadata!", ADDRESS(INDEX($AH$2:$AH$1001,MATCH(ROWS($AF$2:AF513),$AF$2:$AF$1001,0),0), INDEX($AM$1004:$BM$1004,1,MATCH(COLUMNS($AM$1006:BF1006),$AM$1006:$BM$1006,0)))),"Fix")))</f>
        <v xml:space="preserve"> </v>
      </c>
      <c r="V513" s="4" t="str">
        <f ca="1">IF(OR(INDEX($AG$2:$AG$1001,MATCH(ROWS($AF$2:AF513),$AF$2:$AF$1001,0),1)&gt;=100000,INDEX($AM$1005:$BM$1005,1,MATCH(COLUMNS($AM$1006:BG1006),$AM$1006:$BM$1006,0))&gt;=100000), " ",IF(INDEX($AM$2:$BM$1001,MATCH(ROWS($AF$2:AF513),$AF$2:$AF$1001,0),MATCH(COLUMNS($AM$1006:BG1006),$AM$1006:$BM$1006,0)), HYPERLINK("#",""), HYPERLINK(CONCATENATE("#metadata!", ADDRESS(INDEX($AH$2:$AH$1001,MATCH(ROWS($AF$2:AF513),$AF$2:$AF$1001,0),0), INDEX($AM$1004:$BM$1004,1,MATCH(COLUMNS($AM$1006:BG1006),$AM$1006:$BM$1006,0)))),"Fix")))</f>
        <v xml:space="preserve"> </v>
      </c>
      <c r="W513" s="4" t="str">
        <f ca="1">IF(OR(INDEX($AG$2:$AG$1001,MATCH(ROWS($AF$2:AF513),$AF$2:$AF$1001,0),1)&gt;=100000,INDEX($AM$1005:$BM$1005,1,MATCH(COLUMNS($AM$1006:BH1006),$AM$1006:$BM$1006,0))&gt;=100000), " ",IF(INDEX($AM$2:$BM$1001,MATCH(ROWS($AF$2:AF513),$AF$2:$AF$1001,0),MATCH(COLUMNS($AM$1006:BH1006),$AM$1006:$BM$1006,0)), HYPERLINK("#",""), HYPERLINK(CONCATENATE("#metadata!", ADDRESS(INDEX($AH$2:$AH$1001,MATCH(ROWS($AF$2:AF513),$AF$2:$AF$1001,0),0), INDEX($AM$1004:$BM$1004,1,MATCH(COLUMNS($AM$1006:BH1006),$AM$1006:$BM$1006,0)))),"Fix")))</f>
        <v xml:space="preserve"> </v>
      </c>
      <c r="X513" s="4" t="str">
        <f ca="1">IF(OR(INDEX($AG$2:$AG$1001,MATCH(ROWS($AF$2:AF513),$AF$2:$AF$1001,0),1)&gt;=100000,INDEX($AM$1005:$BM$1005,1,MATCH(COLUMNS($AM$1006:BI1006),$AM$1006:$BM$1006,0))&gt;=100000), " ",IF(INDEX($AM$2:$BM$1001,MATCH(ROWS($AF$2:AF513),$AF$2:$AF$1001,0),MATCH(COLUMNS($AM$1006:BI1006),$AM$1006:$BM$1006,0)), HYPERLINK("#",""), HYPERLINK(CONCATENATE("#metadata!", ADDRESS(INDEX($AH$2:$AH$1001,MATCH(ROWS($AF$2:AF513),$AF$2:$AF$1001,0),0), INDEX($AM$1004:$BM$1004,1,MATCH(COLUMNS($AM$1006:BI1006),$AM$1006:$BM$1006,0)))),"Fix")))</f>
        <v xml:space="preserve"> </v>
      </c>
      <c r="Y513" s="4" t="str">
        <f ca="1">IF(OR(INDEX($AG$2:$AG$1001,MATCH(ROWS($AF$2:AF513),$AF$2:$AF$1001,0),1)&gt;=100000,INDEX($AM$1005:$BM$1005,1,MATCH(COLUMNS($AM$1006:BJ1006),$AM$1006:$BM$1006,0))&gt;=100000), " ",IF(INDEX($AM$2:$BM$1001,MATCH(ROWS($AF$2:AF513),$AF$2:$AF$1001,0),MATCH(COLUMNS($AM$1006:BJ1006),$AM$1006:$BM$1006,0)), HYPERLINK("#",""), HYPERLINK(CONCATENATE("#metadata!", ADDRESS(INDEX($AH$2:$AH$1001,MATCH(ROWS($AF$2:AF513),$AF$2:$AF$1001,0),0), INDEX($AM$1004:$BM$1004,1,MATCH(COLUMNS($AM$1006:BJ1006),$AM$1006:$BM$1006,0)))),"Fix")))</f>
        <v xml:space="preserve"> </v>
      </c>
      <c r="Z513" s="4" t="str">
        <f ca="1">IF(OR(INDEX($AG$2:$AG$1001,MATCH(ROWS($AF$2:AF513),$AF$2:$AF$1001,0),1)&gt;=100000,INDEX($AM$1005:$BM$1005,1,MATCH(COLUMNS($AM$1006:BK1006),$AM$1006:$BM$1006,0))&gt;=100000), " ",IF(INDEX($AM$2:$BM$1001,MATCH(ROWS($AF$2:AF513),$AF$2:$AF$1001,0),MATCH(COLUMNS($AM$1006:BK1006),$AM$1006:$BM$1006,0)), HYPERLINK("#",""), HYPERLINK(CONCATENATE("#metadata!", ADDRESS(INDEX($AH$2:$AH$1001,MATCH(ROWS($AF$2:AF513),$AF$2:$AF$1001,0),0), INDEX($AM$1004:$BM$1004,1,MATCH(COLUMNS($AM$1006:BK1006),$AM$1006:$BM$1006,0)))),"Fix")))</f>
        <v xml:space="preserve"> </v>
      </c>
      <c r="AA513" s="4" t="str">
        <f ca="1">IF(OR(INDEX($AG$2:$AG$1001,MATCH(ROWS($AF$2:AF513),$AF$2:$AF$1001,0),1)&gt;=100000,INDEX($AM$1005:$BM$1005,1,MATCH(COLUMNS($AM$1006:BL1006),$AM$1006:$BM$1006,0))&gt;=100000), " ",IF(INDEX($AM$2:$BM$1001,MATCH(ROWS($AF$2:AF513),$AF$2:$AF$1001,0),MATCH(COLUMNS($AM$1006:BL1006),$AM$1006:$BM$1006,0)), HYPERLINK("#",""), HYPERLINK(CONCATENATE("#metadata!", ADDRESS(INDEX($AH$2:$AH$1001,MATCH(ROWS($AF$2:AF513),$AF$2:$AF$1001,0),0), INDEX($AM$1004:$BM$1004,1,MATCH(COLUMNS($AM$1006:BL1006),$AM$1006:$BM$1006,0)))),"Fix")))</f>
        <v xml:space="preserve"> </v>
      </c>
      <c r="AB513" s="4" t="str">
        <f ca="1">IF(OR(INDEX($AG$2:$AG$1001,MATCH(ROWS($AF$2:AF513),$AF$2:$AF$1001,0),1)&gt;=100000,INDEX($AM$1005:$BM$1005,1,MATCH(COLUMNS($AM$1006:BM1006),$AM$1006:$BM$1006,0))&gt;=100000), " ",IF(INDEX($AM$2:$BM$1001,MATCH(ROWS($AF$2:AF513),$AF$2:$AF$1001,0),MATCH(COLUMNS($AM$1006:BM1006),$AM$1006:$BM$1006,0)), HYPERLINK("#",""), HYPERLINK(CONCATENATE("#metadata!", ADDRESS(INDEX($AH$2:$AH$1001,MATCH(ROWS($AF$2:AF513),$AF$2:$AF$1001,0),0), INDEX($AM$1004:$BM$1004,1,MATCH(COLUMNS($AM$1006:BM1006),$AM$1006:$BM$1006,0)))),"Fix")))</f>
        <v xml:space="preserve"> </v>
      </c>
      <c r="AF513">
        <v>512</v>
      </c>
      <c r="AG513">
        <v>100513</v>
      </c>
      <c r="AH513">
        <v>513</v>
      </c>
      <c r="AI513" t="b">
        <f t="shared" si="7"/>
        <v>1</v>
      </c>
      <c r="AJ513" t="b">
        <f>COUNTBLANK(metadata!B513:AB513)=COLUMNS(metadata!B513:AB513)</f>
        <v>1</v>
      </c>
      <c r="AK513" t="str">
        <v/>
      </c>
      <c r="AM513" t="b">
        <f ca="1">AND(IF(metadata!B513="",FALSE,TRUE),COUNTIF(metadata!B:B, metadata!B513) = 1,NOT(ISERROR(SUMPRODUCT(SEARCH(MID(metadata!B513,ROW(INDIRECT("1:"&amp;LEN(metadata!B513))), 1),"0123456789abcdefghijklmnopqrstuvwxyzABCDEFGHIJKLMNOPQRSTUVWXYZ.")))))</f>
        <v>0</v>
      </c>
      <c r="AN513" t="b">
        <f ca="1">OR(AND(IF(metadata!C513="",FALSE,TRUE),OR(EXACT(metadata!C513,"missing: not collected"),EXACT(metadata!C513,"missing: not provided"),EXACT(metadata!C513,"missing: restricted access"))),AND(IF(metadata!C513="",FALSE,TRUE),AND(AND(IFERROR(INT(LEFT(metadata!C513,4))&gt;1900,FALSE),IFERROR(INT(LEFT(metadata!C513,4))&lt;=YEAR(NOW()),FALSE)), OR(MID(metadata!C513,5,1)="", AND(AND(MID(metadata!C513,5,1)="-",IFERROR(INT(MID(metadata!C513,6,1))&gt;=0,FALSE),IFERROR(INT(MID(metadata!C513,6,1))&lt;=1,FALSE),NOT(MID(metadata!C513,7,1)=""),IFERROR(INT(MID(metadata!C513,6,2))&gt;=1,FALSE),IFERROR(INT(MID(metadata!C513,6,2))&lt;=12,FALSE)), OR(MID(metadata!C513,8,1)="", AND(AND(MID(metadata!C513,8,1)="-",IFERROR(INT(MID(metadata!C513,9,1))&gt;=0,FALSE),IFERROR(INT(MID(metadata!C513,9,1))&lt;=3,FALSE),NOT(MID(metadata!C513,10,1)=""),IFERROR(INT(MID(metadata!C513,9,2))&gt;=1,FALSE),IFERROR(INT(MID(metadata!C513,9,2))&lt;=31,FALSE)), OR(MID(metadata!C513,11,1)="", AND(AND(MID(metadata!C513,11,1)=" ",IFERROR(INT(MID(metadata!C513,12,1))&gt;=0,FALSE),IFERROR(INT(MID(metadata!C513,12,1))&lt;=2,FALSE),NOT(MID(metadata!C513,13,1)=""),IFERROR(INT(MID(metadata!C513,12,2))&gt;=0,FALSE),IFERROR(INT(MID(metadata!C513,12,2))&lt;=23,FALSE)), OR(MID(metadata!C513,14,1)="", AND(AND(MID(metadata!C513,14,1)=":",IFERROR(INT(MID(metadata!C513,15,1))&gt;=0,FALSE),IFERROR(INT(MID(metadata!C513,15,1))&lt;=5,FALSE),NOT(MID(metadata!C513,16,1)=""),IFERROR(INT(MID(metadata!C513,15,2))&gt;=0,FALSE),IFERROR(INT(MID(metadata!C513,15,2))&lt;=59,FALSE)), OR(MID(metadata!C513,17,1)="", AND(AND(MID(metadata!C513,17,1)=":",IFERROR(INT(MID(metadata!C513,18,1))&gt;=0,FALSE),IFERROR(INT(MID(metadata!C513,18,1))&lt;=5,FALSE),NOT(MID(metadata!C513,19,1)=""),IFERROR(INT(MID(metadata!C513,18,2))&gt;=0,FALSE),IFERROR(INT(MID(metadata!C513,18,2))&lt;=59,FALSE)), LEN(metadata!C513)&lt;=19)))))))))))))</f>
        <v>0</v>
      </c>
      <c r="AO513" t="b">
        <f>AND(IF(metadata!D513="",FALSE,TRUE),EXACT(metadata!D513,"Not applicable"))</f>
        <v>0</v>
      </c>
      <c r="AP513" t="b">
        <f>IF(metadata!E513="",FALSE,TRUE)</f>
        <v>0</v>
      </c>
      <c r="AQ513" t="b">
        <f>OR(AND(IF(metadata!F513="",FALSE,TRUE),OR(EXACT(metadata!F513,"missing: not collected"),EXACT(metadata!F513,"missing: not provided"))),AND(IF(metadata!F513="",FALSE,TRUE),OR(EXACT(metadata!F513,"TRUE"),EXACT(metadata!F513,"FALSE"))))</f>
        <v>0</v>
      </c>
      <c r="AR513" t="b">
        <f>OR(AND(IF(metadata!G513="",FALSE,TRUE),OR(EXACT(metadata!G513,"missing: not collected"),EXACT(metadata!G513,"missing: not provided"),EXACT(metadata!G513,"missing: restricted access"))),AND(IF(metadata!G513="",FALSE,ISNUMBER(VALUE(metadata!G513))),metadata!G513&gt;=-413))</f>
        <v>0</v>
      </c>
      <c r="AS513" t="b">
        <f>AND(IF(metadata!H513="",FALSE,TRUE),EXACT(metadata!H513,"meters"))</f>
        <v>0</v>
      </c>
      <c r="AT513" t="b">
        <f>AND(IF(metadata!I513="",FALSE,TRUE),OR(EXACT(metadata!I513,"Host-associated"),EXACT(metadata!I513,"Free-living")))</f>
        <v>0</v>
      </c>
      <c r="AU513" t="b">
        <f>AND(IF(metadata!J513="",FALSE,TRUE),OR(EXACT(metadata!J513,"Animal"),EXACT(metadata!J513,"Fungus"),EXACT(metadata!J513,"Plant"),EXACT(metadata!J513,"Saline"),EXACT(metadata!J513,"Non-saline")))</f>
        <v>0</v>
      </c>
      <c r="AV513" t="b">
        <f>AND(IF(metadata!K513="",FALSE,TRUE),OR(EXACT(metadata!K513,"Plant secretion"),EXACT(metadata!K513,"Plant rhizosphere"),EXACT(metadata!K513,"Plant surface"),EXACT(metadata!K513,"Plant corpus"),EXACT(metadata!K513,"Fungus surface"),EXACT(metadata!K513,"Fungus corpus"),EXACT(metadata!K513,"Animal surface"),EXACT(metadata!K513,"Animal proximal gut"),EXACT(metadata!K513,"Animal corpus"),EXACT(metadata!K513,"Animal distal gut"),EXACT(metadata!K513,"Animal secretion"),EXACT(metadata!K513,"Sub-surface (non-saline)"),EXACT(metadata!K513,"Surface (non-saline)"),EXACT(metadata!K513,"Water (non-saline)"),EXACT(metadata!K513,"Soil (non-saline)"),EXACT(metadata!K513,"Aerosol (non-saline)"),EXACT(metadata!K513,"Sediment (non-saline)"),EXACT(metadata!K513,"Surface (saline)"),EXACT(metadata!K513,"Water (saline)"),EXACT(metadata!K513,"Hypersaline (saline)"),EXACT(metadata!K513,"Aerosol (saline)"),EXACT(metadata!K513,"Sediment (saline)")))</f>
        <v>0</v>
      </c>
      <c r="AW513" t="b">
        <f>IF(metadata!L513="",FALSE,TRUE)</f>
        <v>0</v>
      </c>
      <c r="AX513" t="b">
        <f>IF(metadata!M513="",FALSE,TRUE)</f>
        <v>0</v>
      </c>
      <c r="AY513" t="b">
        <f>IF(metadata!N513="",FALSE,TRUE)</f>
        <v>0</v>
      </c>
      <c r="AZ513" t="b">
        <f>OR(AND(IF(metadata!O513="",FALSE,TRUE),OR(EXACT(metadata!O513,"missing: not collected"),EXACT(metadata!O513,"missing: not provided"),EXACT(metadata!O513,"missing: restricted access"))),AND(IF(metadata!O513="",FALSE,TRUE),OR(EXACT(metadata!O513,"air"),EXACT(metadata!O513,"built environment"),EXACT(metadata!O513,"host-associated"),EXACT(metadata!O513,"human-associated"),EXACT(metadata!O513,"human-skin"),EXACT(metadata!O513,"human-oral"),EXACT(metadata!O513,"human-gut"),EXACT(metadata!O513,"human-vaginal"),EXACT(metadata!O513,"microbial mat/biofilm"),EXACT(metadata!O513,"misc environment"),EXACT(metadata!O513,"plant-associated"),EXACT(metadata!O513,"sediment"),EXACT(metadata!O513,"soil"),EXACT(metadata!O513,"wastewater/sludge"),EXACT(metadata!O513,"water"))))</f>
        <v>0</v>
      </c>
      <c r="BA513" t="b">
        <f>IF(metadata!P513="",FALSE,TRUE)</f>
        <v>0</v>
      </c>
      <c r="BB513" t="b">
        <f>IF(metadata!Q513="",FALSE,TRUE)</f>
        <v>0</v>
      </c>
      <c r="BC513" t="b">
        <f>OR(AND(IF(metadata!R513="",FALSE,TRUE),OR(EXACT(metadata!R513,"missing: not collected"),EXACT(metadata!R513,"missing: not provided"),EXACT(metadata!R513,"missing: restricted access"))),AND(IF(metadata!R513="",FALSE,ISNUMBER(VALUE(metadata!R513))),metadata!R513&gt;=-90,metadata!R513&lt;=90))</f>
        <v>0</v>
      </c>
      <c r="BD513" t="b">
        <f>AND(IF(metadata!S513="",FALSE,TRUE),EXACT(metadata!S513,"Decimal degrees"))</f>
        <v>0</v>
      </c>
      <c r="BE513" t="b">
        <f>OR(AND(IF(metadata!T513="",FALSE,TRUE),OR(EXACT(metadata!T513,"missing: not collected"),EXACT(metadata!T513,"missing: not provided"),EXACT(metadata!T513,"missing: restricted access"))),AND(IF(metadata!T513="",FALSE,ISNUMBER(VALUE(metadata!T513))),metadata!T513&gt;=-180,metadata!T513&lt;=180))</f>
        <v>0</v>
      </c>
      <c r="BF513" t="b">
        <f>AND(IF(metadata!U513="",FALSE,TRUE),EXACT(metadata!U513,"Decimal degrees"))</f>
        <v>0</v>
      </c>
      <c r="BG513" t="b">
        <f>IF(metadata!V513="",FALSE,TRUE)</f>
        <v>0</v>
      </c>
      <c r="BH513" t="b">
        <f>OR(AND(IF(metadata!W513="",FALSE,TRUE),OR(EXACT(metadata!W513,"missing: not collected"),EXACT(metadata!W513,"missing: not provided"),EXACT(metadata!W513,"missing: restricted access"))),AND(IF(metadata!W513="",FALSE,TRUE),OR(EXACT(metadata!W513,"TRUE"),EXACT(metadata!W513,"FALSE"))))</f>
        <v>0</v>
      </c>
      <c r="BI513" t="b">
        <f>AND(IF(metadata!X513="",FALSE,TRUE),EXACT(metadata!X513,"other"))</f>
        <v>0</v>
      </c>
      <c r="BJ513" t="b">
        <f>IF(metadata!Y513="",FALSE,TRUE)</f>
        <v>0</v>
      </c>
      <c r="BK513" t="b">
        <f>OR(AND(IF(metadata!Z513="",FALSE,TRUE),OR(EXACT(metadata!Z513,"missing: not collected"),EXACT(metadata!Z513,"missing: not provided"))),AND(IF(metadata!Z513="",FALSE,IF(ISERROR(INT(metadata!Z513)),FALSE,INT(metadata!Z513)=metadata!Z513)),metadata!Z513&gt;0))</f>
        <v>0</v>
      </c>
      <c r="BL513" t="b">
        <f>AND(IF(metadata!AA513="",FALSE,TRUE),EXACT(metadata!AA513,"Not applicable"))</f>
        <v>0</v>
      </c>
      <c r="BM513" t="b">
        <f>IF(metadata!AB513="",FALSE,TRUE)</f>
        <v>0</v>
      </c>
    </row>
    <row r="514" spans="1:65" x14ac:dyDescent="0.2">
      <c r="A514" s="5" t="str">
        <f ca="1">IF(B514=" "," ",HYPERLINK(CONCATENATE("#metadata!",ADDRESS(INDEX($AH$2:$AH$1001,MATCH(ROWS($AF$2:AF514),$AF$2:$AF$1001,0),0),1)),INDEX($AK$2:$AK$1001,MATCH(ROWS($AF$2:AF514),$AF$2:$AF$1001,0),0)))</f>
        <v xml:space="preserve"> </v>
      </c>
      <c r="B514" s="4" t="str">
        <f ca="1">IF(OR(INDEX($AG$2:$AG$1001,MATCH(ROWS($AF$2:AF514),$AF$2:$AF$1001,0),1)&gt;=100000,INDEX($AM$1005:$BM$1005,1,MATCH(COLUMNS($AM$1006:AM1006),$AM$1006:$BM$1006,0))&gt;=100000), " ",IF(INDEX($AM$2:$BM$1001,MATCH(ROWS($AF$2:AF514),$AF$2:$AF$1001,0),MATCH(COLUMNS($AM$1006:AM1006),$AM$1006:$BM$1006,0)), HYPERLINK("#",""), HYPERLINK(CONCATENATE("#metadata!", ADDRESS(INDEX($AH$2:$AH$1001,MATCH(ROWS($AF$2:AF514),$AF$2:$AF$1001,0),0), INDEX($AM$1004:$BM$1004,1,MATCH(COLUMNS($AM$1006:AM1006),$AM$1006:$BM$1006,0)))),"Fix")))</f>
        <v xml:space="preserve"> </v>
      </c>
      <c r="C514" s="4" t="str">
        <f ca="1">IF(OR(INDEX($AG$2:$AG$1001,MATCH(ROWS($AF$2:AF514),$AF$2:$AF$1001,0),1)&gt;=100000,INDEX($AM$1005:$BM$1005,1,MATCH(COLUMNS($AM$1006:AN1006),$AM$1006:$BM$1006,0))&gt;=100000), " ",IF(INDEX($AM$2:$BM$1001,MATCH(ROWS($AF$2:AF514),$AF$2:$AF$1001,0),MATCH(COLUMNS($AM$1006:AN1006),$AM$1006:$BM$1006,0)), HYPERLINK("#",""), HYPERLINK(CONCATENATE("#metadata!", ADDRESS(INDEX($AH$2:$AH$1001,MATCH(ROWS($AF$2:AF514),$AF$2:$AF$1001,0),0), INDEX($AM$1004:$BM$1004,1,MATCH(COLUMNS($AM$1006:AN1006),$AM$1006:$BM$1006,0)))),"Fix")))</f>
        <v xml:space="preserve"> </v>
      </c>
      <c r="D514" s="4" t="str">
        <f ca="1">IF(OR(INDEX($AG$2:$AG$1001,MATCH(ROWS($AF$2:AF514),$AF$2:$AF$1001,0),1)&gt;=100000,INDEX($AM$1005:$BM$1005,1,MATCH(COLUMNS($AM$1006:AO1006),$AM$1006:$BM$1006,0))&gt;=100000), " ",IF(INDEX($AM$2:$BM$1001,MATCH(ROWS($AF$2:AF514),$AF$2:$AF$1001,0),MATCH(COLUMNS($AM$1006:AO1006),$AM$1006:$BM$1006,0)), HYPERLINK("#",""), HYPERLINK(CONCATENATE("#metadata!", ADDRESS(INDEX($AH$2:$AH$1001,MATCH(ROWS($AF$2:AF514),$AF$2:$AF$1001,0),0), INDEX($AM$1004:$BM$1004,1,MATCH(COLUMNS($AM$1006:AO1006),$AM$1006:$BM$1006,0)))),"Fix")))</f>
        <v xml:space="preserve"> </v>
      </c>
      <c r="E514" s="4" t="str">
        <f ca="1">IF(OR(INDEX($AG$2:$AG$1001,MATCH(ROWS($AF$2:AF514),$AF$2:$AF$1001,0),1)&gt;=100000,INDEX($AM$1005:$BM$1005,1,MATCH(COLUMNS($AM$1006:AP1006),$AM$1006:$BM$1006,0))&gt;=100000), " ",IF(INDEX($AM$2:$BM$1001,MATCH(ROWS($AF$2:AF514),$AF$2:$AF$1001,0),MATCH(COLUMNS($AM$1006:AP1006),$AM$1006:$BM$1006,0)), HYPERLINK("#",""), HYPERLINK(CONCATENATE("#metadata!", ADDRESS(INDEX($AH$2:$AH$1001,MATCH(ROWS($AF$2:AF514),$AF$2:$AF$1001,0),0), INDEX($AM$1004:$BM$1004,1,MATCH(COLUMNS($AM$1006:AP1006),$AM$1006:$BM$1006,0)))),"Fix")))</f>
        <v xml:space="preserve"> </v>
      </c>
      <c r="F514" s="4" t="str">
        <f ca="1">IF(OR(INDEX($AG$2:$AG$1001,MATCH(ROWS($AF$2:AF514),$AF$2:$AF$1001,0),1)&gt;=100000,INDEX($AM$1005:$BM$1005,1,MATCH(COLUMNS($AM$1006:AQ1006),$AM$1006:$BM$1006,0))&gt;=100000), " ",IF(INDEX($AM$2:$BM$1001,MATCH(ROWS($AF$2:AF514),$AF$2:$AF$1001,0),MATCH(COLUMNS($AM$1006:AQ1006),$AM$1006:$BM$1006,0)), HYPERLINK("#",""), HYPERLINK(CONCATENATE("#metadata!", ADDRESS(INDEX($AH$2:$AH$1001,MATCH(ROWS($AF$2:AF514),$AF$2:$AF$1001,0),0), INDEX($AM$1004:$BM$1004,1,MATCH(COLUMNS($AM$1006:AQ1006),$AM$1006:$BM$1006,0)))),"Fix")))</f>
        <v xml:space="preserve"> </v>
      </c>
      <c r="G514" s="4" t="str">
        <f ca="1">IF(OR(INDEX($AG$2:$AG$1001,MATCH(ROWS($AF$2:AF514),$AF$2:$AF$1001,0),1)&gt;=100000,INDEX($AM$1005:$BM$1005,1,MATCH(COLUMNS($AM$1006:AR1006),$AM$1006:$BM$1006,0))&gt;=100000), " ",IF(INDEX($AM$2:$BM$1001,MATCH(ROWS($AF$2:AF514),$AF$2:$AF$1001,0),MATCH(COLUMNS($AM$1006:AR1006),$AM$1006:$BM$1006,0)), HYPERLINK("#",""), HYPERLINK(CONCATENATE("#metadata!", ADDRESS(INDEX($AH$2:$AH$1001,MATCH(ROWS($AF$2:AF514),$AF$2:$AF$1001,0),0), INDEX($AM$1004:$BM$1004,1,MATCH(COLUMNS($AM$1006:AR1006),$AM$1006:$BM$1006,0)))),"Fix")))</f>
        <v xml:space="preserve"> </v>
      </c>
      <c r="H514" s="4" t="str">
        <f ca="1">IF(OR(INDEX($AG$2:$AG$1001,MATCH(ROWS($AF$2:AF514),$AF$2:$AF$1001,0),1)&gt;=100000,INDEX($AM$1005:$BM$1005,1,MATCH(COLUMNS($AM$1006:AS1006),$AM$1006:$BM$1006,0))&gt;=100000), " ",IF(INDEX($AM$2:$BM$1001,MATCH(ROWS($AF$2:AF514),$AF$2:$AF$1001,0),MATCH(COLUMNS($AM$1006:AS1006),$AM$1006:$BM$1006,0)), HYPERLINK("#",""), HYPERLINK(CONCATENATE("#metadata!", ADDRESS(INDEX($AH$2:$AH$1001,MATCH(ROWS($AF$2:AF514),$AF$2:$AF$1001,0),0), INDEX($AM$1004:$BM$1004,1,MATCH(COLUMNS($AM$1006:AS1006),$AM$1006:$BM$1006,0)))),"Fix")))</f>
        <v xml:space="preserve"> </v>
      </c>
      <c r="I514" s="4" t="str">
        <f ca="1">IF(OR(INDEX($AG$2:$AG$1001,MATCH(ROWS($AF$2:AF514),$AF$2:$AF$1001,0),1)&gt;=100000,INDEX($AM$1005:$BM$1005,1,MATCH(COLUMNS($AM$1006:AT1006),$AM$1006:$BM$1006,0))&gt;=100000), " ",IF(INDEX($AM$2:$BM$1001,MATCH(ROWS($AF$2:AF514),$AF$2:$AF$1001,0),MATCH(COLUMNS($AM$1006:AT1006),$AM$1006:$BM$1006,0)), HYPERLINK("#",""), HYPERLINK(CONCATENATE("#metadata!", ADDRESS(INDEX($AH$2:$AH$1001,MATCH(ROWS($AF$2:AF514),$AF$2:$AF$1001,0),0), INDEX($AM$1004:$BM$1004,1,MATCH(COLUMNS($AM$1006:AT1006),$AM$1006:$BM$1006,0)))),"Fix")))</f>
        <v xml:space="preserve"> </v>
      </c>
      <c r="J514" s="4" t="str">
        <f ca="1">IF(OR(INDEX($AG$2:$AG$1001,MATCH(ROWS($AF$2:AF514),$AF$2:$AF$1001,0),1)&gt;=100000,INDEX($AM$1005:$BM$1005,1,MATCH(COLUMNS($AM$1006:AU1006),$AM$1006:$BM$1006,0))&gt;=100000), " ",IF(INDEX($AM$2:$BM$1001,MATCH(ROWS($AF$2:AF514),$AF$2:$AF$1001,0),MATCH(COLUMNS($AM$1006:AU1006),$AM$1006:$BM$1006,0)), HYPERLINK("#",""), HYPERLINK(CONCATENATE("#metadata!", ADDRESS(INDEX($AH$2:$AH$1001,MATCH(ROWS($AF$2:AF514),$AF$2:$AF$1001,0),0), INDEX($AM$1004:$BM$1004,1,MATCH(COLUMNS($AM$1006:AU1006),$AM$1006:$BM$1006,0)))),"Fix")))</f>
        <v xml:space="preserve"> </v>
      </c>
      <c r="K514" s="4" t="str">
        <f ca="1">IF(OR(INDEX($AG$2:$AG$1001,MATCH(ROWS($AF$2:AF514),$AF$2:$AF$1001,0),1)&gt;=100000,INDEX($AM$1005:$BM$1005,1,MATCH(COLUMNS($AM$1006:AV1006),$AM$1006:$BM$1006,0))&gt;=100000), " ",IF(INDEX($AM$2:$BM$1001,MATCH(ROWS($AF$2:AF514),$AF$2:$AF$1001,0),MATCH(COLUMNS($AM$1006:AV1006),$AM$1006:$BM$1006,0)), HYPERLINK("#",""), HYPERLINK(CONCATENATE("#metadata!", ADDRESS(INDEX($AH$2:$AH$1001,MATCH(ROWS($AF$2:AF514),$AF$2:$AF$1001,0),0), INDEX($AM$1004:$BM$1004,1,MATCH(COLUMNS($AM$1006:AV1006),$AM$1006:$BM$1006,0)))),"Fix")))</f>
        <v xml:space="preserve"> </v>
      </c>
      <c r="L514" s="4" t="str">
        <f ca="1">IF(OR(INDEX($AG$2:$AG$1001,MATCH(ROWS($AF$2:AF514),$AF$2:$AF$1001,0),1)&gt;=100000,INDEX($AM$1005:$BM$1005,1,MATCH(COLUMNS($AM$1006:AW1006),$AM$1006:$BM$1006,0))&gt;=100000), " ",IF(INDEX($AM$2:$BM$1001,MATCH(ROWS($AF$2:AF514),$AF$2:$AF$1001,0),MATCH(COLUMNS($AM$1006:AW1006),$AM$1006:$BM$1006,0)), HYPERLINK("#",""), HYPERLINK(CONCATENATE("#metadata!", ADDRESS(INDEX($AH$2:$AH$1001,MATCH(ROWS($AF$2:AF514),$AF$2:$AF$1001,0),0), INDEX($AM$1004:$BM$1004,1,MATCH(COLUMNS($AM$1006:AW1006),$AM$1006:$BM$1006,0)))),"Fix")))</f>
        <v xml:space="preserve"> </v>
      </c>
      <c r="M514" s="4" t="str">
        <f ca="1">IF(OR(INDEX($AG$2:$AG$1001,MATCH(ROWS($AF$2:AF514),$AF$2:$AF$1001,0),1)&gt;=100000,INDEX($AM$1005:$BM$1005,1,MATCH(COLUMNS($AM$1006:AX1006),$AM$1006:$BM$1006,0))&gt;=100000), " ",IF(INDEX($AM$2:$BM$1001,MATCH(ROWS($AF$2:AF514),$AF$2:$AF$1001,0),MATCH(COLUMNS($AM$1006:AX1006),$AM$1006:$BM$1006,0)), HYPERLINK("#",""), HYPERLINK(CONCATENATE("#metadata!", ADDRESS(INDEX($AH$2:$AH$1001,MATCH(ROWS($AF$2:AF514),$AF$2:$AF$1001,0),0), INDEX($AM$1004:$BM$1004,1,MATCH(COLUMNS($AM$1006:AX1006),$AM$1006:$BM$1006,0)))),"Fix")))</f>
        <v xml:space="preserve"> </v>
      </c>
      <c r="N514" s="4" t="str">
        <f ca="1">IF(OR(INDEX($AG$2:$AG$1001,MATCH(ROWS($AF$2:AF514),$AF$2:$AF$1001,0),1)&gt;=100000,INDEX($AM$1005:$BM$1005,1,MATCH(COLUMNS($AM$1006:AY1006),$AM$1006:$BM$1006,0))&gt;=100000), " ",IF(INDEX($AM$2:$BM$1001,MATCH(ROWS($AF$2:AF514),$AF$2:$AF$1001,0),MATCH(COLUMNS($AM$1006:AY1006),$AM$1006:$BM$1006,0)), HYPERLINK("#",""), HYPERLINK(CONCATENATE("#metadata!", ADDRESS(INDEX($AH$2:$AH$1001,MATCH(ROWS($AF$2:AF514),$AF$2:$AF$1001,0),0), INDEX($AM$1004:$BM$1004,1,MATCH(COLUMNS($AM$1006:AY1006),$AM$1006:$BM$1006,0)))),"Fix")))</f>
        <v xml:space="preserve"> </v>
      </c>
      <c r="O514" s="4" t="str">
        <f ca="1">IF(OR(INDEX($AG$2:$AG$1001,MATCH(ROWS($AF$2:AF514),$AF$2:$AF$1001,0),1)&gt;=100000,INDEX($AM$1005:$BM$1005,1,MATCH(COLUMNS($AM$1006:AZ1006),$AM$1006:$BM$1006,0))&gt;=100000), " ",IF(INDEX($AM$2:$BM$1001,MATCH(ROWS($AF$2:AF514),$AF$2:$AF$1001,0),MATCH(COLUMNS($AM$1006:AZ1006),$AM$1006:$BM$1006,0)), HYPERLINK("#",""), HYPERLINK(CONCATENATE("#metadata!", ADDRESS(INDEX($AH$2:$AH$1001,MATCH(ROWS($AF$2:AF514),$AF$2:$AF$1001,0),0), INDEX($AM$1004:$BM$1004,1,MATCH(COLUMNS($AM$1006:AZ1006),$AM$1006:$BM$1006,0)))),"Fix")))</f>
        <v xml:space="preserve"> </v>
      </c>
      <c r="P514" s="4" t="str">
        <f ca="1">IF(OR(INDEX($AG$2:$AG$1001,MATCH(ROWS($AF$2:AF514),$AF$2:$AF$1001,0),1)&gt;=100000,INDEX($AM$1005:$BM$1005,1,MATCH(COLUMNS($AM$1006:BA1006),$AM$1006:$BM$1006,0))&gt;=100000), " ",IF(INDEX($AM$2:$BM$1001,MATCH(ROWS($AF$2:AF514),$AF$2:$AF$1001,0),MATCH(COLUMNS($AM$1006:BA1006),$AM$1006:$BM$1006,0)), HYPERLINK("#",""), HYPERLINK(CONCATENATE("#metadata!", ADDRESS(INDEX($AH$2:$AH$1001,MATCH(ROWS($AF$2:AF514),$AF$2:$AF$1001,0),0), INDEX($AM$1004:$BM$1004,1,MATCH(COLUMNS($AM$1006:BA1006),$AM$1006:$BM$1006,0)))),"Fix")))</f>
        <v xml:space="preserve"> </v>
      </c>
      <c r="Q514" s="4" t="str">
        <f ca="1">IF(OR(INDEX($AG$2:$AG$1001,MATCH(ROWS($AF$2:AF514),$AF$2:$AF$1001,0),1)&gt;=100000,INDEX($AM$1005:$BM$1005,1,MATCH(COLUMNS($AM$1006:BB1006),$AM$1006:$BM$1006,0))&gt;=100000), " ",IF(INDEX($AM$2:$BM$1001,MATCH(ROWS($AF$2:AF514),$AF$2:$AF$1001,0),MATCH(COLUMNS($AM$1006:BB1006),$AM$1006:$BM$1006,0)), HYPERLINK("#",""), HYPERLINK(CONCATENATE("#metadata!", ADDRESS(INDEX($AH$2:$AH$1001,MATCH(ROWS($AF$2:AF514),$AF$2:$AF$1001,0),0), INDEX($AM$1004:$BM$1004,1,MATCH(COLUMNS($AM$1006:BB1006),$AM$1006:$BM$1006,0)))),"Fix")))</f>
        <v xml:space="preserve"> </v>
      </c>
      <c r="R514" s="4" t="str">
        <f ca="1">IF(OR(INDEX($AG$2:$AG$1001,MATCH(ROWS($AF$2:AF514),$AF$2:$AF$1001,0),1)&gt;=100000,INDEX($AM$1005:$BM$1005,1,MATCH(COLUMNS($AM$1006:BC1006),$AM$1006:$BM$1006,0))&gt;=100000), " ",IF(INDEX($AM$2:$BM$1001,MATCH(ROWS($AF$2:AF514),$AF$2:$AF$1001,0),MATCH(COLUMNS($AM$1006:BC1006),$AM$1006:$BM$1006,0)), HYPERLINK("#",""), HYPERLINK(CONCATENATE("#metadata!", ADDRESS(INDEX($AH$2:$AH$1001,MATCH(ROWS($AF$2:AF514),$AF$2:$AF$1001,0),0), INDEX($AM$1004:$BM$1004,1,MATCH(COLUMNS($AM$1006:BC1006),$AM$1006:$BM$1006,0)))),"Fix")))</f>
        <v xml:space="preserve"> </v>
      </c>
      <c r="S514" s="4" t="str">
        <f ca="1">IF(OR(INDEX($AG$2:$AG$1001,MATCH(ROWS($AF$2:AF514),$AF$2:$AF$1001,0),1)&gt;=100000,INDEX($AM$1005:$BM$1005,1,MATCH(COLUMNS($AM$1006:BD1006),$AM$1006:$BM$1006,0))&gt;=100000), " ",IF(INDEX($AM$2:$BM$1001,MATCH(ROWS($AF$2:AF514),$AF$2:$AF$1001,0),MATCH(COLUMNS($AM$1006:BD1006),$AM$1006:$BM$1006,0)), HYPERLINK("#",""), HYPERLINK(CONCATENATE("#metadata!", ADDRESS(INDEX($AH$2:$AH$1001,MATCH(ROWS($AF$2:AF514),$AF$2:$AF$1001,0),0), INDEX($AM$1004:$BM$1004,1,MATCH(COLUMNS($AM$1006:BD1006),$AM$1006:$BM$1006,0)))),"Fix")))</f>
        <v xml:space="preserve"> </v>
      </c>
      <c r="T514" s="4" t="str">
        <f ca="1">IF(OR(INDEX($AG$2:$AG$1001,MATCH(ROWS($AF$2:AF514),$AF$2:$AF$1001,0),1)&gt;=100000,INDEX($AM$1005:$BM$1005,1,MATCH(COLUMNS($AM$1006:BE1006),$AM$1006:$BM$1006,0))&gt;=100000), " ",IF(INDEX($AM$2:$BM$1001,MATCH(ROWS($AF$2:AF514),$AF$2:$AF$1001,0),MATCH(COLUMNS($AM$1006:BE1006),$AM$1006:$BM$1006,0)), HYPERLINK("#",""), HYPERLINK(CONCATENATE("#metadata!", ADDRESS(INDEX($AH$2:$AH$1001,MATCH(ROWS($AF$2:AF514),$AF$2:$AF$1001,0),0), INDEX($AM$1004:$BM$1004,1,MATCH(COLUMNS($AM$1006:BE1006),$AM$1006:$BM$1006,0)))),"Fix")))</f>
        <v xml:space="preserve"> </v>
      </c>
      <c r="U514" s="4" t="str">
        <f ca="1">IF(OR(INDEX($AG$2:$AG$1001,MATCH(ROWS($AF$2:AF514),$AF$2:$AF$1001,0),1)&gt;=100000,INDEX($AM$1005:$BM$1005,1,MATCH(COLUMNS($AM$1006:BF1006),$AM$1006:$BM$1006,0))&gt;=100000), " ",IF(INDEX($AM$2:$BM$1001,MATCH(ROWS($AF$2:AF514),$AF$2:$AF$1001,0),MATCH(COLUMNS($AM$1006:BF1006),$AM$1006:$BM$1006,0)), HYPERLINK("#",""), HYPERLINK(CONCATENATE("#metadata!", ADDRESS(INDEX($AH$2:$AH$1001,MATCH(ROWS($AF$2:AF514),$AF$2:$AF$1001,0),0), INDEX($AM$1004:$BM$1004,1,MATCH(COLUMNS($AM$1006:BF1006),$AM$1006:$BM$1006,0)))),"Fix")))</f>
        <v xml:space="preserve"> </v>
      </c>
      <c r="V514" s="4" t="str">
        <f ca="1">IF(OR(INDEX($AG$2:$AG$1001,MATCH(ROWS($AF$2:AF514),$AF$2:$AF$1001,0),1)&gt;=100000,INDEX($AM$1005:$BM$1005,1,MATCH(COLUMNS($AM$1006:BG1006),$AM$1006:$BM$1006,0))&gt;=100000), " ",IF(INDEX($AM$2:$BM$1001,MATCH(ROWS($AF$2:AF514),$AF$2:$AF$1001,0),MATCH(COLUMNS($AM$1006:BG1006),$AM$1006:$BM$1006,0)), HYPERLINK("#",""), HYPERLINK(CONCATENATE("#metadata!", ADDRESS(INDEX($AH$2:$AH$1001,MATCH(ROWS($AF$2:AF514),$AF$2:$AF$1001,0),0), INDEX($AM$1004:$BM$1004,1,MATCH(COLUMNS($AM$1006:BG1006),$AM$1006:$BM$1006,0)))),"Fix")))</f>
        <v xml:space="preserve"> </v>
      </c>
      <c r="W514" s="4" t="str">
        <f ca="1">IF(OR(INDEX($AG$2:$AG$1001,MATCH(ROWS($AF$2:AF514),$AF$2:$AF$1001,0),1)&gt;=100000,INDEX($AM$1005:$BM$1005,1,MATCH(COLUMNS($AM$1006:BH1006),$AM$1006:$BM$1006,0))&gt;=100000), " ",IF(INDEX($AM$2:$BM$1001,MATCH(ROWS($AF$2:AF514),$AF$2:$AF$1001,0),MATCH(COLUMNS($AM$1006:BH1006),$AM$1006:$BM$1006,0)), HYPERLINK("#",""), HYPERLINK(CONCATENATE("#metadata!", ADDRESS(INDEX($AH$2:$AH$1001,MATCH(ROWS($AF$2:AF514),$AF$2:$AF$1001,0),0), INDEX($AM$1004:$BM$1004,1,MATCH(COLUMNS($AM$1006:BH1006),$AM$1006:$BM$1006,0)))),"Fix")))</f>
        <v xml:space="preserve"> </v>
      </c>
      <c r="X514" s="4" t="str">
        <f ca="1">IF(OR(INDEX($AG$2:$AG$1001,MATCH(ROWS($AF$2:AF514),$AF$2:$AF$1001,0),1)&gt;=100000,INDEX($AM$1005:$BM$1005,1,MATCH(COLUMNS($AM$1006:BI1006),$AM$1006:$BM$1006,0))&gt;=100000), " ",IF(INDEX($AM$2:$BM$1001,MATCH(ROWS($AF$2:AF514),$AF$2:$AF$1001,0),MATCH(COLUMNS($AM$1006:BI1006),$AM$1006:$BM$1006,0)), HYPERLINK("#",""), HYPERLINK(CONCATENATE("#metadata!", ADDRESS(INDEX($AH$2:$AH$1001,MATCH(ROWS($AF$2:AF514),$AF$2:$AF$1001,0),0), INDEX($AM$1004:$BM$1004,1,MATCH(COLUMNS($AM$1006:BI1006),$AM$1006:$BM$1006,0)))),"Fix")))</f>
        <v xml:space="preserve"> </v>
      </c>
      <c r="Y514" s="4" t="str">
        <f ca="1">IF(OR(INDEX($AG$2:$AG$1001,MATCH(ROWS($AF$2:AF514),$AF$2:$AF$1001,0),1)&gt;=100000,INDEX($AM$1005:$BM$1005,1,MATCH(COLUMNS($AM$1006:BJ1006),$AM$1006:$BM$1006,0))&gt;=100000), " ",IF(INDEX($AM$2:$BM$1001,MATCH(ROWS($AF$2:AF514),$AF$2:$AF$1001,0),MATCH(COLUMNS($AM$1006:BJ1006),$AM$1006:$BM$1006,0)), HYPERLINK("#",""), HYPERLINK(CONCATENATE("#metadata!", ADDRESS(INDEX($AH$2:$AH$1001,MATCH(ROWS($AF$2:AF514),$AF$2:$AF$1001,0),0), INDEX($AM$1004:$BM$1004,1,MATCH(COLUMNS($AM$1006:BJ1006),$AM$1006:$BM$1006,0)))),"Fix")))</f>
        <v xml:space="preserve"> </v>
      </c>
      <c r="Z514" s="4" t="str">
        <f ca="1">IF(OR(INDEX($AG$2:$AG$1001,MATCH(ROWS($AF$2:AF514),$AF$2:$AF$1001,0),1)&gt;=100000,INDEX($AM$1005:$BM$1005,1,MATCH(COLUMNS($AM$1006:BK1006),$AM$1006:$BM$1006,0))&gt;=100000), " ",IF(INDEX($AM$2:$BM$1001,MATCH(ROWS($AF$2:AF514),$AF$2:$AF$1001,0),MATCH(COLUMNS($AM$1006:BK1006),$AM$1006:$BM$1006,0)), HYPERLINK("#",""), HYPERLINK(CONCATENATE("#metadata!", ADDRESS(INDEX($AH$2:$AH$1001,MATCH(ROWS($AF$2:AF514),$AF$2:$AF$1001,0),0), INDEX($AM$1004:$BM$1004,1,MATCH(COLUMNS($AM$1006:BK1006),$AM$1006:$BM$1006,0)))),"Fix")))</f>
        <v xml:space="preserve"> </v>
      </c>
      <c r="AA514" s="4" t="str">
        <f ca="1">IF(OR(INDEX($AG$2:$AG$1001,MATCH(ROWS($AF$2:AF514),$AF$2:$AF$1001,0),1)&gt;=100000,INDEX($AM$1005:$BM$1005,1,MATCH(COLUMNS($AM$1006:BL1006),$AM$1006:$BM$1006,0))&gt;=100000), " ",IF(INDEX($AM$2:$BM$1001,MATCH(ROWS($AF$2:AF514),$AF$2:$AF$1001,0),MATCH(COLUMNS($AM$1006:BL1006),$AM$1006:$BM$1006,0)), HYPERLINK("#",""), HYPERLINK(CONCATENATE("#metadata!", ADDRESS(INDEX($AH$2:$AH$1001,MATCH(ROWS($AF$2:AF514),$AF$2:$AF$1001,0),0), INDEX($AM$1004:$BM$1004,1,MATCH(COLUMNS($AM$1006:BL1006),$AM$1006:$BM$1006,0)))),"Fix")))</f>
        <v xml:space="preserve"> </v>
      </c>
      <c r="AB514" s="4" t="str">
        <f ca="1">IF(OR(INDEX($AG$2:$AG$1001,MATCH(ROWS($AF$2:AF514),$AF$2:$AF$1001,0),1)&gt;=100000,INDEX($AM$1005:$BM$1005,1,MATCH(COLUMNS($AM$1006:BM1006),$AM$1006:$BM$1006,0))&gt;=100000), " ",IF(INDEX($AM$2:$BM$1001,MATCH(ROWS($AF$2:AF514),$AF$2:$AF$1001,0),MATCH(COLUMNS($AM$1006:BM1006),$AM$1006:$BM$1006,0)), HYPERLINK("#",""), HYPERLINK(CONCATENATE("#metadata!", ADDRESS(INDEX($AH$2:$AH$1001,MATCH(ROWS($AF$2:AF514),$AF$2:$AF$1001,0),0), INDEX($AM$1004:$BM$1004,1,MATCH(COLUMNS($AM$1006:BM1006),$AM$1006:$BM$1006,0)))),"Fix")))</f>
        <v xml:space="preserve"> </v>
      </c>
      <c r="AF514">
        <v>513</v>
      </c>
      <c r="AG514">
        <v>100514</v>
      </c>
      <c r="AH514">
        <v>514</v>
      </c>
      <c r="AI514" t="b">
        <f t="shared" ref="AI514:AI577" si="8">IF(AJ514,TRUE,AND(AM514:BM514))</f>
        <v>1</v>
      </c>
      <c r="AJ514" t="b">
        <f>COUNTBLANK(metadata!B514:AB514)=COLUMNS(metadata!B514:AB514)</f>
        <v>1</v>
      </c>
      <c r="AK514" t="str">
        <v/>
      </c>
      <c r="AM514" t="b">
        <f ca="1">AND(IF(metadata!B514="",FALSE,TRUE),COUNTIF(metadata!B:B, metadata!B514) = 1,NOT(ISERROR(SUMPRODUCT(SEARCH(MID(metadata!B514,ROW(INDIRECT("1:"&amp;LEN(metadata!B514))), 1),"0123456789abcdefghijklmnopqrstuvwxyzABCDEFGHIJKLMNOPQRSTUVWXYZ.")))))</f>
        <v>0</v>
      </c>
      <c r="AN514" t="b">
        <f ca="1">OR(AND(IF(metadata!C514="",FALSE,TRUE),OR(EXACT(metadata!C514,"missing: not collected"),EXACT(metadata!C514,"missing: not provided"),EXACT(metadata!C514,"missing: restricted access"))),AND(IF(metadata!C514="",FALSE,TRUE),AND(AND(IFERROR(INT(LEFT(metadata!C514,4))&gt;1900,FALSE),IFERROR(INT(LEFT(metadata!C514,4))&lt;=YEAR(NOW()),FALSE)), OR(MID(metadata!C514,5,1)="", AND(AND(MID(metadata!C514,5,1)="-",IFERROR(INT(MID(metadata!C514,6,1))&gt;=0,FALSE),IFERROR(INT(MID(metadata!C514,6,1))&lt;=1,FALSE),NOT(MID(metadata!C514,7,1)=""),IFERROR(INT(MID(metadata!C514,6,2))&gt;=1,FALSE),IFERROR(INT(MID(metadata!C514,6,2))&lt;=12,FALSE)), OR(MID(metadata!C514,8,1)="", AND(AND(MID(metadata!C514,8,1)="-",IFERROR(INT(MID(metadata!C514,9,1))&gt;=0,FALSE),IFERROR(INT(MID(metadata!C514,9,1))&lt;=3,FALSE),NOT(MID(metadata!C514,10,1)=""),IFERROR(INT(MID(metadata!C514,9,2))&gt;=1,FALSE),IFERROR(INT(MID(metadata!C514,9,2))&lt;=31,FALSE)), OR(MID(metadata!C514,11,1)="", AND(AND(MID(metadata!C514,11,1)=" ",IFERROR(INT(MID(metadata!C514,12,1))&gt;=0,FALSE),IFERROR(INT(MID(metadata!C514,12,1))&lt;=2,FALSE),NOT(MID(metadata!C514,13,1)=""),IFERROR(INT(MID(metadata!C514,12,2))&gt;=0,FALSE),IFERROR(INT(MID(metadata!C514,12,2))&lt;=23,FALSE)), OR(MID(metadata!C514,14,1)="", AND(AND(MID(metadata!C514,14,1)=":",IFERROR(INT(MID(metadata!C514,15,1))&gt;=0,FALSE),IFERROR(INT(MID(metadata!C514,15,1))&lt;=5,FALSE),NOT(MID(metadata!C514,16,1)=""),IFERROR(INT(MID(metadata!C514,15,2))&gt;=0,FALSE),IFERROR(INT(MID(metadata!C514,15,2))&lt;=59,FALSE)), OR(MID(metadata!C514,17,1)="", AND(AND(MID(metadata!C514,17,1)=":",IFERROR(INT(MID(metadata!C514,18,1))&gt;=0,FALSE),IFERROR(INT(MID(metadata!C514,18,1))&lt;=5,FALSE),NOT(MID(metadata!C514,19,1)=""),IFERROR(INT(MID(metadata!C514,18,2))&gt;=0,FALSE),IFERROR(INT(MID(metadata!C514,18,2))&lt;=59,FALSE)), LEN(metadata!C514)&lt;=19)))))))))))))</f>
        <v>0</v>
      </c>
      <c r="AO514" t="b">
        <f>AND(IF(metadata!D514="",FALSE,TRUE),EXACT(metadata!D514,"Not applicable"))</f>
        <v>0</v>
      </c>
      <c r="AP514" t="b">
        <f>IF(metadata!E514="",FALSE,TRUE)</f>
        <v>0</v>
      </c>
      <c r="AQ514" t="b">
        <f>OR(AND(IF(metadata!F514="",FALSE,TRUE),OR(EXACT(metadata!F514,"missing: not collected"),EXACT(metadata!F514,"missing: not provided"))),AND(IF(metadata!F514="",FALSE,TRUE),OR(EXACT(metadata!F514,"TRUE"),EXACT(metadata!F514,"FALSE"))))</f>
        <v>0</v>
      </c>
      <c r="AR514" t="b">
        <f>OR(AND(IF(metadata!G514="",FALSE,TRUE),OR(EXACT(metadata!G514,"missing: not collected"),EXACT(metadata!G514,"missing: not provided"),EXACT(metadata!G514,"missing: restricted access"))),AND(IF(metadata!G514="",FALSE,ISNUMBER(VALUE(metadata!G514))),metadata!G514&gt;=-413))</f>
        <v>0</v>
      </c>
      <c r="AS514" t="b">
        <f>AND(IF(metadata!H514="",FALSE,TRUE),EXACT(metadata!H514,"meters"))</f>
        <v>0</v>
      </c>
      <c r="AT514" t="b">
        <f>AND(IF(metadata!I514="",FALSE,TRUE),OR(EXACT(metadata!I514,"Host-associated"),EXACT(metadata!I514,"Free-living")))</f>
        <v>0</v>
      </c>
      <c r="AU514" t="b">
        <f>AND(IF(metadata!J514="",FALSE,TRUE),OR(EXACT(metadata!J514,"Animal"),EXACT(metadata!J514,"Fungus"),EXACT(metadata!J514,"Plant"),EXACT(metadata!J514,"Saline"),EXACT(metadata!J514,"Non-saline")))</f>
        <v>0</v>
      </c>
      <c r="AV514" t="b">
        <f>AND(IF(metadata!K514="",FALSE,TRUE),OR(EXACT(metadata!K514,"Plant secretion"),EXACT(metadata!K514,"Plant rhizosphere"),EXACT(metadata!K514,"Plant surface"),EXACT(metadata!K514,"Plant corpus"),EXACT(metadata!K514,"Fungus surface"),EXACT(metadata!K514,"Fungus corpus"),EXACT(metadata!K514,"Animal surface"),EXACT(metadata!K514,"Animal proximal gut"),EXACT(metadata!K514,"Animal corpus"),EXACT(metadata!K514,"Animal distal gut"),EXACT(metadata!K514,"Animal secretion"),EXACT(metadata!K514,"Sub-surface (non-saline)"),EXACT(metadata!K514,"Surface (non-saline)"),EXACT(metadata!K514,"Water (non-saline)"),EXACT(metadata!K514,"Soil (non-saline)"),EXACT(metadata!K514,"Aerosol (non-saline)"),EXACT(metadata!K514,"Sediment (non-saline)"),EXACT(metadata!K514,"Surface (saline)"),EXACT(metadata!K514,"Water (saline)"),EXACT(metadata!K514,"Hypersaline (saline)"),EXACT(metadata!K514,"Aerosol (saline)"),EXACT(metadata!K514,"Sediment (saline)")))</f>
        <v>0</v>
      </c>
      <c r="AW514" t="b">
        <f>IF(metadata!L514="",FALSE,TRUE)</f>
        <v>0</v>
      </c>
      <c r="AX514" t="b">
        <f>IF(metadata!M514="",FALSE,TRUE)</f>
        <v>0</v>
      </c>
      <c r="AY514" t="b">
        <f>IF(metadata!N514="",FALSE,TRUE)</f>
        <v>0</v>
      </c>
      <c r="AZ514" t="b">
        <f>OR(AND(IF(metadata!O514="",FALSE,TRUE),OR(EXACT(metadata!O514,"missing: not collected"),EXACT(metadata!O514,"missing: not provided"),EXACT(metadata!O514,"missing: restricted access"))),AND(IF(metadata!O514="",FALSE,TRUE),OR(EXACT(metadata!O514,"air"),EXACT(metadata!O514,"built environment"),EXACT(metadata!O514,"host-associated"),EXACT(metadata!O514,"human-associated"),EXACT(metadata!O514,"human-skin"),EXACT(metadata!O514,"human-oral"),EXACT(metadata!O514,"human-gut"),EXACT(metadata!O514,"human-vaginal"),EXACT(metadata!O514,"microbial mat/biofilm"),EXACT(metadata!O514,"misc environment"),EXACT(metadata!O514,"plant-associated"),EXACT(metadata!O514,"sediment"),EXACT(metadata!O514,"soil"),EXACT(metadata!O514,"wastewater/sludge"),EXACT(metadata!O514,"water"))))</f>
        <v>0</v>
      </c>
      <c r="BA514" t="b">
        <f>IF(metadata!P514="",FALSE,TRUE)</f>
        <v>0</v>
      </c>
      <c r="BB514" t="b">
        <f>IF(metadata!Q514="",FALSE,TRUE)</f>
        <v>0</v>
      </c>
      <c r="BC514" t="b">
        <f>OR(AND(IF(metadata!R514="",FALSE,TRUE),OR(EXACT(metadata!R514,"missing: not collected"),EXACT(metadata!R514,"missing: not provided"),EXACT(metadata!R514,"missing: restricted access"))),AND(IF(metadata!R514="",FALSE,ISNUMBER(VALUE(metadata!R514))),metadata!R514&gt;=-90,metadata!R514&lt;=90))</f>
        <v>0</v>
      </c>
      <c r="BD514" t="b">
        <f>AND(IF(metadata!S514="",FALSE,TRUE),EXACT(metadata!S514,"Decimal degrees"))</f>
        <v>0</v>
      </c>
      <c r="BE514" t="b">
        <f>OR(AND(IF(metadata!T514="",FALSE,TRUE),OR(EXACT(metadata!T514,"missing: not collected"),EXACT(metadata!T514,"missing: not provided"),EXACT(metadata!T514,"missing: restricted access"))),AND(IF(metadata!T514="",FALSE,ISNUMBER(VALUE(metadata!T514))),metadata!T514&gt;=-180,metadata!T514&lt;=180))</f>
        <v>0</v>
      </c>
      <c r="BF514" t="b">
        <f>AND(IF(metadata!U514="",FALSE,TRUE),EXACT(metadata!U514,"Decimal degrees"))</f>
        <v>0</v>
      </c>
      <c r="BG514" t="b">
        <f>IF(metadata!V514="",FALSE,TRUE)</f>
        <v>0</v>
      </c>
      <c r="BH514" t="b">
        <f>OR(AND(IF(metadata!W514="",FALSE,TRUE),OR(EXACT(metadata!W514,"missing: not collected"),EXACT(metadata!W514,"missing: not provided"),EXACT(metadata!W514,"missing: restricted access"))),AND(IF(metadata!W514="",FALSE,TRUE),OR(EXACT(metadata!W514,"TRUE"),EXACT(metadata!W514,"FALSE"))))</f>
        <v>0</v>
      </c>
      <c r="BI514" t="b">
        <f>AND(IF(metadata!X514="",FALSE,TRUE),EXACT(metadata!X514,"other"))</f>
        <v>0</v>
      </c>
      <c r="BJ514" t="b">
        <f>IF(metadata!Y514="",FALSE,TRUE)</f>
        <v>0</v>
      </c>
      <c r="BK514" t="b">
        <f>OR(AND(IF(metadata!Z514="",FALSE,TRUE),OR(EXACT(metadata!Z514,"missing: not collected"),EXACT(metadata!Z514,"missing: not provided"))),AND(IF(metadata!Z514="",FALSE,IF(ISERROR(INT(metadata!Z514)),FALSE,INT(metadata!Z514)=metadata!Z514)),metadata!Z514&gt;0))</f>
        <v>0</v>
      </c>
      <c r="BL514" t="b">
        <f>AND(IF(metadata!AA514="",FALSE,TRUE),EXACT(metadata!AA514,"Not applicable"))</f>
        <v>0</v>
      </c>
      <c r="BM514" t="b">
        <f>IF(metadata!AB514="",FALSE,TRUE)</f>
        <v>0</v>
      </c>
    </row>
    <row r="515" spans="1:65" x14ac:dyDescent="0.2">
      <c r="A515" s="5" t="str">
        <f ca="1">IF(B515=" "," ",HYPERLINK(CONCATENATE("#metadata!",ADDRESS(INDEX($AH$2:$AH$1001,MATCH(ROWS($AF$2:AF515),$AF$2:$AF$1001,0),0),1)),INDEX($AK$2:$AK$1001,MATCH(ROWS($AF$2:AF515),$AF$2:$AF$1001,0),0)))</f>
        <v xml:space="preserve"> </v>
      </c>
      <c r="B515" s="4" t="str">
        <f ca="1">IF(OR(INDEX($AG$2:$AG$1001,MATCH(ROWS($AF$2:AF515),$AF$2:$AF$1001,0),1)&gt;=100000,INDEX($AM$1005:$BM$1005,1,MATCH(COLUMNS($AM$1006:AM1006),$AM$1006:$BM$1006,0))&gt;=100000), " ",IF(INDEX($AM$2:$BM$1001,MATCH(ROWS($AF$2:AF515),$AF$2:$AF$1001,0),MATCH(COLUMNS($AM$1006:AM1006),$AM$1006:$BM$1006,0)), HYPERLINK("#",""), HYPERLINK(CONCATENATE("#metadata!", ADDRESS(INDEX($AH$2:$AH$1001,MATCH(ROWS($AF$2:AF515),$AF$2:$AF$1001,0),0), INDEX($AM$1004:$BM$1004,1,MATCH(COLUMNS($AM$1006:AM1006),$AM$1006:$BM$1006,0)))),"Fix")))</f>
        <v xml:space="preserve"> </v>
      </c>
      <c r="C515" s="4" t="str">
        <f ca="1">IF(OR(INDEX($AG$2:$AG$1001,MATCH(ROWS($AF$2:AF515),$AF$2:$AF$1001,0),1)&gt;=100000,INDEX($AM$1005:$BM$1005,1,MATCH(COLUMNS($AM$1006:AN1006),$AM$1006:$BM$1006,0))&gt;=100000), " ",IF(INDEX($AM$2:$BM$1001,MATCH(ROWS($AF$2:AF515),$AF$2:$AF$1001,0),MATCH(COLUMNS($AM$1006:AN1006),$AM$1006:$BM$1006,0)), HYPERLINK("#",""), HYPERLINK(CONCATENATE("#metadata!", ADDRESS(INDEX($AH$2:$AH$1001,MATCH(ROWS($AF$2:AF515),$AF$2:$AF$1001,0),0), INDEX($AM$1004:$BM$1004,1,MATCH(COLUMNS($AM$1006:AN1006),$AM$1006:$BM$1006,0)))),"Fix")))</f>
        <v xml:space="preserve"> </v>
      </c>
      <c r="D515" s="4" t="str">
        <f ca="1">IF(OR(INDEX($AG$2:$AG$1001,MATCH(ROWS($AF$2:AF515),$AF$2:$AF$1001,0),1)&gt;=100000,INDEX($AM$1005:$BM$1005,1,MATCH(COLUMNS($AM$1006:AO1006),$AM$1006:$BM$1006,0))&gt;=100000), " ",IF(INDEX($AM$2:$BM$1001,MATCH(ROWS($AF$2:AF515),$AF$2:$AF$1001,0),MATCH(COLUMNS($AM$1006:AO1006),$AM$1006:$BM$1006,0)), HYPERLINK("#",""), HYPERLINK(CONCATENATE("#metadata!", ADDRESS(INDEX($AH$2:$AH$1001,MATCH(ROWS($AF$2:AF515),$AF$2:$AF$1001,0),0), INDEX($AM$1004:$BM$1004,1,MATCH(COLUMNS($AM$1006:AO1006),$AM$1006:$BM$1006,0)))),"Fix")))</f>
        <v xml:space="preserve"> </v>
      </c>
      <c r="E515" s="4" t="str">
        <f ca="1">IF(OR(INDEX($AG$2:$AG$1001,MATCH(ROWS($AF$2:AF515),$AF$2:$AF$1001,0),1)&gt;=100000,INDEX($AM$1005:$BM$1005,1,MATCH(COLUMNS($AM$1006:AP1006),$AM$1006:$BM$1006,0))&gt;=100000), " ",IF(INDEX($AM$2:$BM$1001,MATCH(ROWS($AF$2:AF515),$AF$2:$AF$1001,0),MATCH(COLUMNS($AM$1006:AP1006),$AM$1006:$BM$1006,0)), HYPERLINK("#",""), HYPERLINK(CONCATENATE("#metadata!", ADDRESS(INDEX($AH$2:$AH$1001,MATCH(ROWS($AF$2:AF515),$AF$2:$AF$1001,0),0), INDEX($AM$1004:$BM$1004,1,MATCH(COLUMNS($AM$1006:AP1006),$AM$1006:$BM$1006,0)))),"Fix")))</f>
        <v xml:space="preserve"> </v>
      </c>
      <c r="F515" s="4" t="str">
        <f ca="1">IF(OR(INDEX($AG$2:$AG$1001,MATCH(ROWS($AF$2:AF515),$AF$2:$AF$1001,0),1)&gt;=100000,INDEX($AM$1005:$BM$1005,1,MATCH(COLUMNS($AM$1006:AQ1006),$AM$1006:$BM$1006,0))&gt;=100000), " ",IF(INDEX($AM$2:$BM$1001,MATCH(ROWS($AF$2:AF515),$AF$2:$AF$1001,0),MATCH(COLUMNS($AM$1006:AQ1006),$AM$1006:$BM$1006,0)), HYPERLINK("#",""), HYPERLINK(CONCATENATE("#metadata!", ADDRESS(INDEX($AH$2:$AH$1001,MATCH(ROWS($AF$2:AF515),$AF$2:$AF$1001,0),0), INDEX($AM$1004:$BM$1004,1,MATCH(COLUMNS($AM$1006:AQ1006),$AM$1006:$BM$1006,0)))),"Fix")))</f>
        <v xml:space="preserve"> </v>
      </c>
      <c r="G515" s="4" t="str">
        <f ca="1">IF(OR(INDEX($AG$2:$AG$1001,MATCH(ROWS($AF$2:AF515),$AF$2:$AF$1001,0),1)&gt;=100000,INDEX($AM$1005:$BM$1005,1,MATCH(COLUMNS($AM$1006:AR1006),$AM$1006:$BM$1006,0))&gt;=100000), " ",IF(INDEX($AM$2:$BM$1001,MATCH(ROWS($AF$2:AF515),$AF$2:$AF$1001,0),MATCH(COLUMNS($AM$1006:AR1006),$AM$1006:$BM$1006,0)), HYPERLINK("#",""), HYPERLINK(CONCATENATE("#metadata!", ADDRESS(INDEX($AH$2:$AH$1001,MATCH(ROWS($AF$2:AF515),$AF$2:$AF$1001,0),0), INDEX($AM$1004:$BM$1004,1,MATCH(COLUMNS($AM$1006:AR1006),$AM$1006:$BM$1006,0)))),"Fix")))</f>
        <v xml:space="preserve"> </v>
      </c>
      <c r="H515" s="4" t="str">
        <f ca="1">IF(OR(INDEX($AG$2:$AG$1001,MATCH(ROWS($AF$2:AF515),$AF$2:$AF$1001,0),1)&gt;=100000,INDEX($AM$1005:$BM$1005,1,MATCH(COLUMNS($AM$1006:AS1006),$AM$1006:$BM$1006,0))&gt;=100000), " ",IF(INDEX($AM$2:$BM$1001,MATCH(ROWS($AF$2:AF515),$AF$2:$AF$1001,0),MATCH(COLUMNS($AM$1006:AS1006),$AM$1006:$BM$1006,0)), HYPERLINK("#",""), HYPERLINK(CONCATENATE("#metadata!", ADDRESS(INDEX($AH$2:$AH$1001,MATCH(ROWS($AF$2:AF515),$AF$2:$AF$1001,0),0), INDEX($AM$1004:$BM$1004,1,MATCH(COLUMNS($AM$1006:AS1006),$AM$1006:$BM$1006,0)))),"Fix")))</f>
        <v xml:space="preserve"> </v>
      </c>
      <c r="I515" s="4" t="str">
        <f ca="1">IF(OR(INDEX($AG$2:$AG$1001,MATCH(ROWS($AF$2:AF515),$AF$2:$AF$1001,0),1)&gt;=100000,INDEX($AM$1005:$BM$1005,1,MATCH(COLUMNS($AM$1006:AT1006),$AM$1006:$BM$1006,0))&gt;=100000), " ",IF(INDEX($AM$2:$BM$1001,MATCH(ROWS($AF$2:AF515),$AF$2:$AF$1001,0),MATCH(COLUMNS($AM$1006:AT1006),$AM$1006:$BM$1006,0)), HYPERLINK("#",""), HYPERLINK(CONCATENATE("#metadata!", ADDRESS(INDEX($AH$2:$AH$1001,MATCH(ROWS($AF$2:AF515),$AF$2:$AF$1001,0),0), INDEX($AM$1004:$BM$1004,1,MATCH(COLUMNS($AM$1006:AT1006),$AM$1006:$BM$1006,0)))),"Fix")))</f>
        <v xml:space="preserve"> </v>
      </c>
      <c r="J515" s="4" t="str">
        <f ca="1">IF(OR(INDEX($AG$2:$AG$1001,MATCH(ROWS($AF$2:AF515),$AF$2:$AF$1001,0),1)&gt;=100000,INDEX($AM$1005:$BM$1005,1,MATCH(COLUMNS($AM$1006:AU1006),$AM$1006:$BM$1006,0))&gt;=100000), " ",IF(INDEX($AM$2:$BM$1001,MATCH(ROWS($AF$2:AF515),$AF$2:$AF$1001,0),MATCH(COLUMNS($AM$1006:AU1006),$AM$1006:$BM$1006,0)), HYPERLINK("#",""), HYPERLINK(CONCATENATE("#metadata!", ADDRESS(INDEX($AH$2:$AH$1001,MATCH(ROWS($AF$2:AF515),$AF$2:$AF$1001,0),0), INDEX($AM$1004:$BM$1004,1,MATCH(COLUMNS($AM$1006:AU1006),$AM$1006:$BM$1006,0)))),"Fix")))</f>
        <v xml:space="preserve"> </v>
      </c>
      <c r="K515" s="4" t="str">
        <f ca="1">IF(OR(INDEX($AG$2:$AG$1001,MATCH(ROWS($AF$2:AF515),$AF$2:$AF$1001,0),1)&gt;=100000,INDEX($AM$1005:$BM$1005,1,MATCH(COLUMNS($AM$1006:AV1006),$AM$1006:$BM$1006,0))&gt;=100000), " ",IF(INDEX($AM$2:$BM$1001,MATCH(ROWS($AF$2:AF515),$AF$2:$AF$1001,0),MATCH(COLUMNS($AM$1006:AV1006),$AM$1006:$BM$1006,0)), HYPERLINK("#",""), HYPERLINK(CONCATENATE("#metadata!", ADDRESS(INDEX($AH$2:$AH$1001,MATCH(ROWS($AF$2:AF515),$AF$2:$AF$1001,0),0), INDEX($AM$1004:$BM$1004,1,MATCH(COLUMNS($AM$1006:AV1006),$AM$1006:$BM$1006,0)))),"Fix")))</f>
        <v xml:space="preserve"> </v>
      </c>
      <c r="L515" s="4" t="str">
        <f ca="1">IF(OR(INDEX($AG$2:$AG$1001,MATCH(ROWS($AF$2:AF515),$AF$2:$AF$1001,0),1)&gt;=100000,INDEX($AM$1005:$BM$1005,1,MATCH(COLUMNS($AM$1006:AW1006),$AM$1006:$BM$1006,0))&gt;=100000), " ",IF(INDEX($AM$2:$BM$1001,MATCH(ROWS($AF$2:AF515),$AF$2:$AF$1001,0),MATCH(COLUMNS($AM$1006:AW1006),$AM$1006:$BM$1006,0)), HYPERLINK("#",""), HYPERLINK(CONCATENATE("#metadata!", ADDRESS(INDEX($AH$2:$AH$1001,MATCH(ROWS($AF$2:AF515),$AF$2:$AF$1001,0),0), INDEX($AM$1004:$BM$1004,1,MATCH(COLUMNS($AM$1006:AW1006),$AM$1006:$BM$1006,0)))),"Fix")))</f>
        <v xml:space="preserve"> </v>
      </c>
      <c r="M515" s="4" t="str">
        <f ca="1">IF(OR(INDEX($AG$2:$AG$1001,MATCH(ROWS($AF$2:AF515),$AF$2:$AF$1001,0),1)&gt;=100000,INDEX($AM$1005:$BM$1005,1,MATCH(COLUMNS($AM$1006:AX1006),$AM$1006:$BM$1006,0))&gt;=100000), " ",IF(INDEX($AM$2:$BM$1001,MATCH(ROWS($AF$2:AF515),$AF$2:$AF$1001,0),MATCH(COLUMNS($AM$1006:AX1006),$AM$1006:$BM$1006,0)), HYPERLINK("#",""), HYPERLINK(CONCATENATE("#metadata!", ADDRESS(INDEX($AH$2:$AH$1001,MATCH(ROWS($AF$2:AF515),$AF$2:$AF$1001,0),0), INDEX($AM$1004:$BM$1004,1,MATCH(COLUMNS($AM$1006:AX1006),$AM$1006:$BM$1006,0)))),"Fix")))</f>
        <v xml:space="preserve"> </v>
      </c>
      <c r="N515" s="4" t="str">
        <f ca="1">IF(OR(INDEX($AG$2:$AG$1001,MATCH(ROWS($AF$2:AF515),$AF$2:$AF$1001,0),1)&gt;=100000,INDEX($AM$1005:$BM$1005,1,MATCH(COLUMNS($AM$1006:AY1006),$AM$1006:$BM$1006,0))&gt;=100000), " ",IF(INDEX($AM$2:$BM$1001,MATCH(ROWS($AF$2:AF515),$AF$2:$AF$1001,0),MATCH(COLUMNS($AM$1006:AY1006),$AM$1006:$BM$1006,0)), HYPERLINK("#",""), HYPERLINK(CONCATENATE("#metadata!", ADDRESS(INDEX($AH$2:$AH$1001,MATCH(ROWS($AF$2:AF515),$AF$2:$AF$1001,0),0), INDEX($AM$1004:$BM$1004,1,MATCH(COLUMNS($AM$1006:AY1006),$AM$1006:$BM$1006,0)))),"Fix")))</f>
        <v xml:space="preserve"> </v>
      </c>
      <c r="O515" s="4" t="str">
        <f ca="1">IF(OR(INDEX($AG$2:$AG$1001,MATCH(ROWS($AF$2:AF515),$AF$2:$AF$1001,0),1)&gt;=100000,INDEX($AM$1005:$BM$1005,1,MATCH(COLUMNS($AM$1006:AZ1006),$AM$1006:$BM$1006,0))&gt;=100000), " ",IF(INDEX($AM$2:$BM$1001,MATCH(ROWS($AF$2:AF515),$AF$2:$AF$1001,0),MATCH(COLUMNS($AM$1006:AZ1006),$AM$1006:$BM$1006,0)), HYPERLINK("#",""), HYPERLINK(CONCATENATE("#metadata!", ADDRESS(INDEX($AH$2:$AH$1001,MATCH(ROWS($AF$2:AF515),$AF$2:$AF$1001,0),0), INDEX($AM$1004:$BM$1004,1,MATCH(COLUMNS($AM$1006:AZ1006),$AM$1006:$BM$1006,0)))),"Fix")))</f>
        <v xml:space="preserve"> </v>
      </c>
      <c r="P515" s="4" t="str">
        <f ca="1">IF(OR(INDEX($AG$2:$AG$1001,MATCH(ROWS($AF$2:AF515),$AF$2:$AF$1001,0),1)&gt;=100000,INDEX($AM$1005:$BM$1005,1,MATCH(COLUMNS($AM$1006:BA1006),$AM$1006:$BM$1006,0))&gt;=100000), " ",IF(INDEX($AM$2:$BM$1001,MATCH(ROWS($AF$2:AF515),$AF$2:$AF$1001,0),MATCH(COLUMNS($AM$1006:BA1006),$AM$1006:$BM$1006,0)), HYPERLINK("#",""), HYPERLINK(CONCATENATE("#metadata!", ADDRESS(INDEX($AH$2:$AH$1001,MATCH(ROWS($AF$2:AF515),$AF$2:$AF$1001,0),0), INDEX($AM$1004:$BM$1004,1,MATCH(COLUMNS($AM$1006:BA1006),$AM$1006:$BM$1006,0)))),"Fix")))</f>
        <v xml:space="preserve"> </v>
      </c>
      <c r="Q515" s="4" t="str">
        <f ca="1">IF(OR(INDEX($AG$2:$AG$1001,MATCH(ROWS($AF$2:AF515),$AF$2:$AF$1001,0),1)&gt;=100000,INDEX($AM$1005:$BM$1005,1,MATCH(COLUMNS($AM$1006:BB1006),$AM$1006:$BM$1006,0))&gt;=100000), " ",IF(INDEX($AM$2:$BM$1001,MATCH(ROWS($AF$2:AF515),$AF$2:$AF$1001,0),MATCH(COLUMNS($AM$1006:BB1006),$AM$1006:$BM$1006,0)), HYPERLINK("#",""), HYPERLINK(CONCATENATE("#metadata!", ADDRESS(INDEX($AH$2:$AH$1001,MATCH(ROWS($AF$2:AF515),$AF$2:$AF$1001,0),0), INDEX($AM$1004:$BM$1004,1,MATCH(COLUMNS($AM$1006:BB1006),$AM$1006:$BM$1006,0)))),"Fix")))</f>
        <v xml:space="preserve"> </v>
      </c>
      <c r="R515" s="4" t="str">
        <f ca="1">IF(OR(INDEX($AG$2:$AG$1001,MATCH(ROWS($AF$2:AF515),$AF$2:$AF$1001,0),1)&gt;=100000,INDEX($AM$1005:$BM$1005,1,MATCH(COLUMNS($AM$1006:BC1006),$AM$1006:$BM$1006,0))&gt;=100000), " ",IF(INDEX($AM$2:$BM$1001,MATCH(ROWS($AF$2:AF515),$AF$2:$AF$1001,0),MATCH(COLUMNS($AM$1006:BC1006),$AM$1006:$BM$1006,0)), HYPERLINK("#",""), HYPERLINK(CONCATENATE("#metadata!", ADDRESS(INDEX($AH$2:$AH$1001,MATCH(ROWS($AF$2:AF515),$AF$2:$AF$1001,0),0), INDEX($AM$1004:$BM$1004,1,MATCH(COLUMNS($AM$1006:BC1006),$AM$1006:$BM$1006,0)))),"Fix")))</f>
        <v xml:space="preserve"> </v>
      </c>
      <c r="S515" s="4" t="str">
        <f ca="1">IF(OR(INDEX($AG$2:$AG$1001,MATCH(ROWS($AF$2:AF515),$AF$2:$AF$1001,0),1)&gt;=100000,INDEX($AM$1005:$BM$1005,1,MATCH(COLUMNS($AM$1006:BD1006),$AM$1006:$BM$1006,0))&gt;=100000), " ",IF(INDEX($AM$2:$BM$1001,MATCH(ROWS($AF$2:AF515),$AF$2:$AF$1001,0),MATCH(COLUMNS($AM$1006:BD1006),$AM$1006:$BM$1006,0)), HYPERLINK("#",""), HYPERLINK(CONCATENATE("#metadata!", ADDRESS(INDEX($AH$2:$AH$1001,MATCH(ROWS($AF$2:AF515),$AF$2:$AF$1001,0),0), INDEX($AM$1004:$BM$1004,1,MATCH(COLUMNS($AM$1006:BD1006),$AM$1006:$BM$1006,0)))),"Fix")))</f>
        <v xml:space="preserve"> </v>
      </c>
      <c r="T515" s="4" t="str">
        <f ca="1">IF(OR(INDEX($AG$2:$AG$1001,MATCH(ROWS($AF$2:AF515),$AF$2:$AF$1001,0),1)&gt;=100000,INDEX($AM$1005:$BM$1005,1,MATCH(COLUMNS($AM$1006:BE1006),$AM$1006:$BM$1006,0))&gt;=100000), " ",IF(INDEX($AM$2:$BM$1001,MATCH(ROWS($AF$2:AF515),$AF$2:$AF$1001,0),MATCH(COLUMNS($AM$1006:BE1006),$AM$1006:$BM$1006,0)), HYPERLINK("#",""), HYPERLINK(CONCATENATE("#metadata!", ADDRESS(INDEX($AH$2:$AH$1001,MATCH(ROWS($AF$2:AF515),$AF$2:$AF$1001,0),0), INDEX($AM$1004:$BM$1004,1,MATCH(COLUMNS($AM$1006:BE1006),$AM$1006:$BM$1006,0)))),"Fix")))</f>
        <v xml:space="preserve"> </v>
      </c>
      <c r="U515" s="4" t="str">
        <f ca="1">IF(OR(INDEX($AG$2:$AG$1001,MATCH(ROWS($AF$2:AF515),$AF$2:$AF$1001,0),1)&gt;=100000,INDEX($AM$1005:$BM$1005,1,MATCH(COLUMNS($AM$1006:BF1006),$AM$1006:$BM$1006,0))&gt;=100000), " ",IF(INDEX($AM$2:$BM$1001,MATCH(ROWS($AF$2:AF515),$AF$2:$AF$1001,0),MATCH(COLUMNS($AM$1006:BF1006),$AM$1006:$BM$1006,0)), HYPERLINK("#",""), HYPERLINK(CONCATENATE("#metadata!", ADDRESS(INDEX($AH$2:$AH$1001,MATCH(ROWS($AF$2:AF515),$AF$2:$AF$1001,0),0), INDEX($AM$1004:$BM$1004,1,MATCH(COLUMNS($AM$1006:BF1006),$AM$1006:$BM$1006,0)))),"Fix")))</f>
        <v xml:space="preserve"> </v>
      </c>
      <c r="V515" s="4" t="str">
        <f ca="1">IF(OR(INDEX($AG$2:$AG$1001,MATCH(ROWS($AF$2:AF515),$AF$2:$AF$1001,0),1)&gt;=100000,INDEX($AM$1005:$BM$1005,1,MATCH(COLUMNS($AM$1006:BG1006),$AM$1006:$BM$1006,0))&gt;=100000), " ",IF(INDEX($AM$2:$BM$1001,MATCH(ROWS($AF$2:AF515),$AF$2:$AF$1001,0),MATCH(COLUMNS($AM$1006:BG1006),$AM$1006:$BM$1006,0)), HYPERLINK("#",""), HYPERLINK(CONCATENATE("#metadata!", ADDRESS(INDEX($AH$2:$AH$1001,MATCH(ROWS($AF$2:AF515),$AF$2:$AF$1001,0),0), INDEX($AM$1004:$BM$1004,1,MATCH(COLUMNS($AM$1006:BG1006),$AM$1006:$BM$1006,0)))),"Fix")))</f>
        <v xml:space="preserve"> </v>
      </c>
      <c r="W515" s="4" t="str">
        <f ca="1">IF(OR(INDEX($AG$2:$AG$1001,MATCH(ROWS($AF$2:AF515),$AF$2:$AF$1001,0),1)&gt;=100000,INDEX($AM$1005:$BM$1005,1,MATCH(COLUMNS($AM$1006:BH1006),$AM$1006:$BM$1006,0))&gt;=100000), " ",IF(INDEX($AM$2:$BM$1001,MATCH(ROWS($AF$2:AF515),$AF$2:$AF$1001,0),MATCH(COLUMNS($AM$1006:BH1006),$AM$1006:$BM$1006,0)), HYPERLINK("#",""), HYPERLINK(CONCATENATE("#metadata!", ADDRESS(INDEX($AH$2:$AH$1001,MATCH(ROWS($AF$2:AF515),$AF$2:$AF$1001,0),0), INDEX($AM$1004:$BM$1004,1,MATCH(COLUMNS($AM$1006:BH1006),$AM$1006:$BM$1006,0)))),"Fix")))</f>
        <v xml:space="preserve"> </v>
      </c>
      <c r="X515" s="4" t="str">
        <f ca="1">IF(OR(INDEX($AG$2:$AG$1001,MATCH(ROWS($AF$2:AF515),$AF$2:$AF$1001,0),1)&gt;=100000,INDEX($AM$1005:$BM$1005,1,MATCH(COLUMNS($AM$1006:BI1006),$AM$1006:$BM$1006,0))&gt;=100000), " ",IF(INDEX($AM$2:$BM$1001,MATCH(ROWS($AF$2:AF515),$AF$2:$AF$1001,0),MATCH(COLUMNS($AM$1006:BI1006),$AM$1006:$BM$1006,0)), HYPERLINK("#",""), HYPERLINK(CONCATENATE("#metadata!", ADDRESS(INDEX($AH$2:$AH$1001,MATCH(ROWS($AF$2:AF515),$AF$2:$AF$1001,0),0), INDEX($AM$1004:$BM$1004,1,MATCH(COLUMNS($AM$1006:BI1006),$AM$1006:$BM$1006,0)))),"Fix")))</f>
        <v xml:space="preserve"> </v>
      </c>
      <c r="Y515" s="4" t="str">
        <f ca="1">IF(OR(INDEX($AG$2:$AG$1001,MATCH(ROWS($AF$2:AF515),$AF$2:$AF$1001,0),1)&gt;=100000,INDEX($AM$1005:$BM$1005,1,MATCH(COLUMNS($AM$1006:BJ1006),$AM$1006:$BM$1006,0))&gt;=100000), " ",IF(INDEX($AM$2:$BM$1001,MATCH(ROWS($AF$2:AF515),$AF$2:$AF$1001,0),MATCH(COLUMNS($AM$1006:BJ1006),$AM$1006:$BM$1006,0)), HYPERLINK("#",""), HYPERLINK(CONCATENATE("#metadata!", ADDRESS(INDEX($AH$2:$AH$1001,MATCH(ROWS($AF$2:AF515),$AF$2:$AF$1001,0),0), INDEX($AM$1004:$BM$1004,1,MATCH(COLUMNS($AM$1006:BJ1006),$AM$1006:$BM$1006,0)))),"Fix")))</f>
        <v xml:space="preserve"> </v>
      </c>
      <c r="Z515" s="4" t="str">
        <f ca="1">IF(OR(INDEX($AG$2:$AG$1001,MATCH(ROWS($AF$2:AF515),$AF$2:$AF$1001,0),1)&gt;=100000,INDEX($AM$1005:$BM$1005,1,MATCH(COLUMNS($AM$1006:BK1006),$AM$1006:$BM$1006,0))&gt;=100000), " ",IF(INDEX($AM$2:$BM$1001,MATCH(ROWS($AF$2:AF515),$AF$2:$AF$1001,0),MATCH(COLUMNS($AM$1006:BK1006),$AM$1006:$BM$1006,0)), HYPERLINK("#",""), HYPERLINK(CONCATENATE("#metadata!", ADDRESS(INDEX($AH$2:$AH$1001,MATCH(ROWS($AF$2:AF515),$AF$2:$AF$1001,0),0), INDEX($AM$1004:$BM$1004,1,MATCH(COLUMNS($AM$1006:BK1006),$AM$1006:$BM$1006,0)))),"Fix")))</f>
        <v xml:space="preserve"> </v>
      </c>
      <c r="AA515" s="4" t="str">
        <f ca="1">IF(OR(INDEX($AG$2:$AG$1001,MATCH(ROWS($AF$2:AF515),$AF$2:$AF$1001,0),1)&gt;=100000,INDEX($AM$1005:$BM$1005,1,MATCH(COLUMNS($AM$1006:BL1006),$AM$1006:$BM$1006,0))&gt;=100000), " ",IF(INDEX($AM$2:$BM$1001,MATCH(ROWS($AF$2:AF515),$AF$2:$AF$1001,0),MATCH(COLUMNS($AM$1006:BL1006),$AM$1006:$BM$1006,0)), HYPERLINK("#",""), HYPERLINK(CONCATENATE("#metadata!", ADDRESS(INDEX($AH$2:$AH$1001,MATCH(ROWS($AF$2:AF515),$AF$2:$AF$1001,0),0), INDEX($AM$1004:$BM$1004,1,MATCH(COLUMNS($AM$1006:BL1006),$AM$1006:$BM$1006,0)))),"Fix")))</f>
        <v xml:space="preserve"> </v>
      </c>
      <c r="AB515" s="4" t="str">
        <f ca="1">IF(OR(INDEX($AG$2:$AG$1001,MATCH(ROWS($AF$2:AF515),$AF$2:$AF$1001,0),1)&gt;=100000,INDEX($AM$1005:$BM$1005,1,MATCH(COLUMNS($AM$1006:BM1006),$AM$1006:$BM$1006,0))&gt;=100000), " ",IF(INDEX($AM$2:$BM$1001,MATCH(ROWS($AF$2:AF515),$AF$2:$AF$1001,0),MATCH(COLUMNS($AM$1006:BM1006),$AM$1006:$BM$1006,0)), HYPERLINK("#",""), HYPERLINK(CONCATENATE("#metadata!", ADDRESS(INDEX($AH$2:$AH$1001,MATCH(ROWS($AF$2:AF515),$AF$2:$AF$1001,0),0), INDEX($AM$1004:$BM$1004,1,MATCH(COLUMNS($AM$1006:BM1006),$AM$1006:$BM$1006,0)))),"Fix")))</f>
        <v xml:space="preserve"> </v>
      </c>
      <c r="AF515">
        <v>514</v>
      </c>
      <c r="AG515">
        <v>100515</v>
      </c>
      <c r="AH515">
        <v>515</v>
      </c>
      <c r="AI515" t="b">
        <f t="shared" si="8"/>
        <v>1</v>
      </c>
      <c r="AJ515" t="b">
        <f>COUNTBLANK(metadata!B515:AB515)=COLUMNS(metadata!B515:AB515)</f>
        <v>1</v>
      </c>
      <c r="AK515" t="str">
        <v/>
      </c>
      <c r="AM515" t="b">
        <f ca="1">AND(IF(metadata!B515="",FALSE,TRUE),COUNTIF(metadata!B:B, metadata!B515) = 1,NOT(ISERROR(SUMPRODUCT(SEARCH(MID(metadata!B515,ROW(INDIRECT("1:"&amp;LEN(metadata!B515))), 1),"0123456789abcdefghijklmnopqrstuvwxyzABCDEFGHIJKLMNOPQRSTUVWXYZ.")))))</f>
        <v>0</v>
      </c>
      <c r="AN515" t="b">
        <f ca="1">OR(AND(IF(metadata!C515="",FALSE,TRUE),OR(EXACT(metadata!C515,"missing: not collected"),EXACT(metadata!C515,"missing: not provided"),EXACT(metadata!C515,"missing: restricted access"))),AND(IF(metadata!C515="",FALSE,TRUE),AND(AND(IFERROR(INT(LEFT(metadata!C515,4))&gt;1900,FALSE),IFERROR(INT(LEFT(metadata!C515,4))&lt;=YEAR(NOW()),FALSE)), OR(MID(metadata!C515,5,1)="", AND(AND(MID(metadata!C515,5,1)="-",IFERROR(INT(MID(metadata!C515,6,1))&gt;=0,FALSE),IFERROR(INT(MID(metadata!C515,6,1))&lt;=1,FALSE),NOT(MID(metadata!C515,7,1)=""),IFERROR(INT(MID(metadata!C515,6,2))&gt;=1,FALSE),IFERROR(INT(MID(metadata!C515,6,2))&lt;=12,FALSE)), OR(MID(metadata!C515,8,1)="", AND(AND(MID(metadata!C515,8,1)="-",IFERROR(INT(MID(metadata!C515,9,1))&gt;=0,FALSE),IFERROR(INT(MID(metadata!C515,9,1))&lt;=3,FALSE),NOT(MID(metadata!C515,10,1)=""),IFERROR(INT(MID(metadata!C515,9,2))&gt;=1,FALSE),IFERROR(INT(MID(metadata!C515,9,2))&lt;=31,FALSE)), OR(MID(metadata!C515,11,1)="", AND(AND(MID(metadata!C515,11,1)=" ",IFERROR(INT(MID(metadata!C515,12,1))&gt;=0,FALSE),IFERROR(INT(MID(metadata!C515,12,1))&lt;=2,FALSE),NOT(MID(metadata!C515,13,1)=""),IFERROR(INT(MID(metadata!C515,12,2))&gt;=0,FALSE),IFERROR(INT(MID(metadata!C515,12,2))&lt;=23,FALSE)), OR(MID(metadata!C515,14,1)="", AND(AND(MID(metadata!C515,14,1)=":",IFERROR(INT(MID(metadata!C515,15,1))&gt;=0,FALSE),IFERROR(INT(MID(metadata!C515,15,1))&lt;=5,FALSE),NOT(MID(metadata!C515,16,1)=""),IFERROR(INT(MID(metadata!C515,15,2))&gt;=0,FALSE),IFERROR(INT(MID(metadata!C515,15,2))&lt;=59,FALSE)), OR(MID(metadata!C515,17,1)="", AND(AND(MID(metadata!C515,17,1)=":",IFERROR(INT(MID(metadata!C515,18,1))&gt;=0,FALSE),IFERROR(INT(MID(metadata!C515,18,1))&lt;=5,FALSE),NOT(MID(metadata!C515,19,1)=""),IFERROR(INT(MID(metadata!C515,18,2))&gt;=0,FALSE),IFERROR(INT(MID(metadata!C515,18,2))&lt;=59,FALSE)), LEN(metadata!C515)&lt;=19)))))))))))))</f>
        <v>0</v>
      </c>
      <c r="AO515" t="b">
        <f>AND(IF(metadata!D515="",FALSE,TRUE),EXACT(metadata!D515,"Not applicable"))</f>
        <v>0</v>
      </c>
      <c r="AP515" t="b">
        <f>IF(metadata!E515="",FALSE,TRUE)</f>
        <v>0</v>
      </c>
      <c r="AQ515" t="b">
        <f>OR(AND(IF(metadata!F515="",FALSE,TRUE),OR(EXACT(metadata!F515,"missing: not collected"),EXACT(metadata!F515,"missing: not provided"))),AND(IF(metadata!F515="",FALSE,TRUE),OR(EXACT(metadata!F515,"TRUE"),EXACT(metadata!F515,"FALSE"))))</f>
        <v>0</v>
      </c>
      <c r="AR515" t="b">
        <f>OR(AND(IF(metadata!G515="",FALSE,TRUE),OR(EXACT(metadata!G515,"missing: not collected"),EXACT(metadata!G515,"missing: not provided"),EXACT(metadata!G515,"missing: restricted access"))),AND(IF(metadata!G515="",FALSE,ISNUMBER(VALUE(metadata!G515))),metadata!G515&gt;=-413))</f>
        <v>0</v>
      </c>
      <c r="AS515" t="b">
        <f>AND(IF(metadata!H515="",FALSE,TRUE),EXACT(metadata!H515,"meters"))</f>
        <v>0</v>
      </c>
      <c r="AT515" t="b">
        <f>AND(IF(metadata!I515="",FALSE,TRUE),OR(EXACT(metadata!I515,"Host-associated"),EXACT(metadata!I515,"Free-living")))</f>
        <v>0</v>
      </c>
      <c r="AU515" t="b">
        <f>AND(IF(metadata!J515="",FALSE,TRUE),OR(EXACT(metadata!J515,"Animal"),EXACT(metadata!J515,"Fungus"),EXACT(metadata!J515,"Plant"),EXACT(metadata!J515,"Saline"),EXACT(metadata!J515,"Non-saline")))</f>
        <v>0</v>
      </c>
      <c r="AV515" t="b">
        <f>AND(IF(metadata!K515="",FALSE,TRUE),OR(EXACT(metadata!K515,"Plant secretion"),EXACT(metadata!K515,"Plant rhizosphere"),EXACT(metadata!K515,"Plant surface"),EXACT(metadata!K515,"Plant corpus"),EXACT(metadata!K515,"Fungus surface"),EXACT(metadata!K515,"Fungus corpus"),EXACT(metadata!K515,"Animal surface"),EXACT(metadata!K515,"Animal proximal gut"),EXACT(metadata!K515,"Animal corpus"),EXACT(metadata!K515,"Animal distal gut"),EXACT(metadata!K515,"Animal secretion"),EXACT(metadata!K515,"Sub-surface (non-saline)"),EXACT(metadata!K515,"Surface (non-saline)"),EXACT(metadata!K515,"Water (non-saline)"),EXACT(metadata!K515,"Soil (non-saline)"),EXACT(metadata!K515,"Aerosol (non-saline)"),EXACT(metadata!K515,"Sediment (non-saline)"),EXACT(metadata!K515,"Surface (saline)"),EXACT(metadata!K515,"Water (saline)"),EXACT(metadata!K515,"Hypersaline (saline)"),EXACT(metadata!K515,"Aerosol (saline)"),EXACT(metadata!K515,"Sediment (saline)")))</f>
        <v>0</v>
      </c>
      <c r="AW515" t="b">
        <f>IF(metadata!L515="",FALSE,TRUE)</f>
        <v>0</v>
      </c>
      <c r="AX515" t="b">
        <f>IF(metadata!M515="",FALSE,TRUE)</f>
        <v>0</v>
      </c>
      <c r="AY515" t="b">
        <f>IF(metadata!N515="",FALSE,TRUE)</f>
        <v>0</v>
      </c>
      <c r="AZ515" t="b">
        <f>OR(AND(IF(metadata!O515="",FALSE,TRUE),OR(EXACT(metadata!O515,"missing: not collected"),EXACT(metadata!O515,"missing: not provided"),EXACT(metadata!O515,"missing: restricted access"))),AND(IF(metadata!O515="",FALSE,TRUE),OR(EXACT(metadata!O515,"air"),EXACT(metadata!O515,"built environment"),EXACT(metadata!O515,"host-associated"),EXACT(metadata!O515,"human-associated"),EXACT(metadata!O515,"human-skin"),EXACT(metadata!O515,"human-oral"),EXACT(metadata!O515,"human-gut"),EXACT(metadata!O515,"human-vaginal"),EXACT(metadata!O515,"microbial mat/biofilm"),EXACT(metadata!O515,"misc environment"),EXACT(metadata!O515,"plant-associated"),EXACT(metadata!O515,"sediment"),EXACT(metadata!O515,"soil"),EXACT(metadata!O515,"wastewater/sludge"),EXACT(metadata!O515,"water"))))</f>
        <v>0</v>
      </c>
      <c r="BA515" t="b">
        <f>IF(metadata!P515="",FALSE,TRUE)</f>
        <v>0</v>
      </c>
      <c r="BB515" t="b">
        <f>IF(metadata!Q515="",FALSE,TRUE)</f>
        <v>0</v>
      </c>
      <c r="BC515" t="b">
        <f>OR(AND(IF(metadata!R515="",FALSE,TRUE),OR(EXACT(metadata!R515,"missing: not collected"),EXACT(metadata!R515,"missing: not provided"),EXACT(metadata!R515,"missing: restricted access"))),AND(IF(metadata!R515="",FALSE,ISNUMBER(VALUE(metadata!R515))),metadata!R515&gt;=-90,metadata!R515&lt;=90))</f>
        <v>0</v>
      </c>
      <c r="BD515" t="b">
        <f>AND(IF(metadata!S515="",FALSE,TRUE),EXACT(metadata!S515,"Decimal degrees"))</f>
        <v>0</v>
      </c>
      <c r="BE515" t="b">
        <f>OR(AND(IF(metadata!T515="",FALSE,TRUE),OR(EXACT(metadata!T515,"missing: not collected"),EXACT(metadata!T515,"missing: not provided"),EXACT(metadata!T515,"missing: restricted access"))),AND(IF(metadata!T515="",FALSE,ISNUMBER(VALUE(metadata!T515))),metadata!T515&gt;=-180,metadata!T515&lt;=180))</f>
        <v>0</v>
      </c>
      <c r="BF515" t="b">
        <f>AND(IF(metadata!U515="",FALSE,TRUE),EXACT(metadata!U515,"Decimal degrees"))</f>
        <v>0</v>
      </c>
      <c r="BG515" t="b">
        <f>IF(metadata!V515="",FALSE,TRUE)</f>
        <v>0</v>
      </c>
      <c r="BH515" t="b">
        <f>OR(AND(IF(metadata!W515="",FALSE,TRUE),OR(EXACT(metadata!W515,"missing: not collected"),EXACT(metadata!W515,"missing: not provided"),EXACT(metadata!W515,"missing: restricted access"))),AND(IF(metadata!W515="",FALSE,TRUE),OR(EXACT(metadata!W515,"TRUE"),EXACT(metadata!W515,"FALSE"))))</f>
        <v>0</v>
      </c>
      <c r="BI515" t="b">
        <f>AND(IF(metadata!X515="",FALSE,TRUE),EXACT(metadata!X515,"other"))</f>
        <v>0</v>
      </c>
      <c r="BJ515" t="b">
        <f>IF(metadata!Y515="",FALSE,TRUE)</f>
        <v>0</v>
      </c>
      <c r="BK515" t="b">
        <f>OR(AND(IF(metadata!Z515="",FALSE,TRUE),OR(EXACT(metadata!Z515,"missing: not collected"),EXACT(metadata!Z515,"missing: not provided"))),AND(IF(metadata!Z515="",FALSE,IF(ISERROR(INT(metadata!Z515)),FALSE,INT(metadata!Z515)=metadata!Z515)),metadata!Z515&gt;0))</f>
        <v>0</v>
      </c>
      <c r="BL515" t="b">
        <f>AND(IF(metadata!AA515="",FALSE,TRUE),EXACT(metadata!AA515,"Not applicable"))</f>
        <v>0</v>
      </c>
      <c r="BM515" t="b">
        <f>IF(metadata!AB515="",FALSE,TRUE)</f>
        <v>0</v>
      </c>
    </row>
    <row r="516" spans="1:65" x14ac:dyDescent="0.2">
      <c r="A516" s="5" t="str">
        <f ca="1">IF(B516=" "," ",HYPERLINK(CONCATENATE("#metadata!",ADDRESS(INDEX($AH$2:$AH$1001,MATCH(ROWS($AF$2:AF516),$AF$2:$AF$1001,0),0),1)),INDEX($AK$2:$AK$1001,MATCH(ROWS($AF$2:AF516),$AF$2:$AF$1001,0),0)))</f>
        <v xml:space="preserve"> </v>
      </c>
      <c r="B516" s="4" t="str">
        <f ca="1">IF(OR(INDEX($AG$2:$AG$1001,MATCH(ROWS($AF$2:AF516),$AF$2:$AF$1001,0),1)&gt;=100000,INDEX($AM$1005:$BM$1005,1,MATCH(COLUMNS($AM$1006:AM1006),$AM$1006:$BM$1006,0))&gt;=100000), " ",IF(INDEX($AM$2:$BM$1001,MATCH(ROWS($AF$2:AF516),$AF$2:$AF$1001,0),MATCH(COLUMNS($AM$1006:AM1006),$AM$1006:$BM$1006,0)), HYPERLINK("#",""), HYPERLINK(CONCATENATE("#metadata!", ADDRESS(INDEX($AH$2:$AH$1001,MATCH(ROWS($AF$2:AF516),$AF$2:$AF$1001,0),0), INDEX($AM$1004:$BM$1004,1,MATCH(COLUMNS($AM$1006:AM1006),$AM$1006:$BM$1006,0)))),"Fix")))</f>
        <v xml:space="preserve"> </v>
      </c>
      <c r="C516" s="4" t="str">
        <f ca="1">IF(OR(INDEX($AG$2:$AG$1001,MATCH(ROWS($AF$2:AF516),$AF$2:$AF$1001,0),1)&gt;=100000,INDEX($AM$1005:$BM$1005,1,MATCH(COLUMNS($AM$1006:AN1006),$AM$1006:$BM$1006,0))&gt;=100000), " ",IF(INDEX($AM$2:$BM$1001,MATCH(ROWS($AF$2:AF516),$AF$2:$AF$1001,0),MATCH(COLUMNS($AM$1006:AN1006),$AM$1006:$BM$1006,0)), HYPERLINK("#",""), HYPERLINK(CONCATENATE("#metadata!", ADDRESS(INDEX($AH$2:$AH$1001,MATCH(ROWS($AF$2:AF516),$AF$2:$AF$1001,0),0), INDEX($AM$1004:$BM$1004,1,MATCH(COLUMNS($AM$1006:AN1006),$AM$1006:$BM$1006,0)))),"Fix")))</f>
        <v xml:space="preserve"> </v>
      </c>
      <c r="D516" s="4" t="str">
        <f ca="1">IF(OR(INDEX($AG$2:$AG$1001,MATCH(ROWS($AF$2:AF516),$AF$2:$AF$1001,0),1)&gt;=100000,INDEX($AM$1005:$BM$1005,1,MATCH(COLUMNS($AM$1006:AO1006),$AM$1006:$BM$1006,0))&gt;=100000), " ",IF(INDEX($AM$2:$BM$1001,MATCH(ROWS($AF$2:AF516),$AF$2:$AF$1001,0),MATCH(COLUMNS($AM$1006:AO1006),$AM$1006:$BM$1006,0)), HYPERLINK("#",""), HYPERLINK(CONCATENATE("#metadata!", ADDRESS(INDEX($AH$2:$AH$1001,MATCH(ROWS($AF$2:AF516),$AF$2:$AF$1001,0),0), INDEX($AM$1004:$BM$1004,1,MATCH(COLUMNS($AM$1006:AO1006),$AM$1006:$BM$1006,0)))),"Fix")))</f>
        <v xml:space="preserve"> </v>
      </c>
      <c r="E516" s="4" t="str">
        <f ca="1">IF(OR(INDEX($AG$2:$AG$1001,MATCH(ROWS($AF$2:AF516),$AF$2:$AF$1001,0),1)&gt;=100000,INDEX($AM$1005:$BM$1005,1,MATCH(COLUMNS($AM$1006:AP1006),$AM$1006:$BM$1006,0))&gt;=100000), " ",IF(INDEX($AM$2:$BM$1001,MATCH(ROWS($AF$2:AF516),$AF$2:$AF$1001,0),MATCH(COLUMNS($AM$1006:AP1006),$AM$1006:$BM$1006,0)), HYPERLINK("#",""), HYPERLINK(CONCATENATE("#metadata!", ADDRESS(INDEX($AH$2:$AH$1001,MATCH(ROWS($AF$2:AF516),$AF$2:$AF$1001,0),0), INDEX($AM$1004:$BM$1004,1,MATCH(COLUMNS($AM$1006:AP1006),$AM$1006:$BM$1006,0)))),"Fix")))</f>
        <v xml:space="preserve"> </v>
      </c>
      <c r="F516" s="4" t="str">
        <f ca="1">IF(OR(INDEX($AG$2:$AG$1001,MATCH(ROWS($AF$2:AF516),$AF$2:$AF$1001,0),1)&gt;=100000,INDEX($AM$1005:$BM$1005,1,MATCH(COLUMNS($AM$1006:AQ1006),$AM$1006:$BM$1006,0))&gt;=100000), " ",IF(INDEX($AM$2:$BM$1001,MATCH(ROWS($AF$2:AF516),$AF$2:$AF$1001,0),MATCH(COLUMNS($AM$1006:AQ1006),$AM$1006:$BM$1006,0)), HYPERLINK("#",""), HYPERLINK(CONCATENATE("#metadata!", ADDRESS(INDEX($AH$2:$AH$1001,MATCH(ROWS($AF$2:AF516),$AF$2:$AF$1001,0),0), INDEX($AM$1004:$BM$1004,1,MATCH(COLUMNS($AM$1006:AQ1006),$AM$1006:$BM$1006,0)))),"Fix")))</f>
        <v xml:space="preserve"> </v>
      </c>
      <c r="G516" s="4" t="str">
        <f ca="1">IF(OR(INDEX($AG$2:$AG$1001,MATCH(ROWS($AF$2:AF516),$AF$2:$AF$1001,0),1)&gt;=100000,INDEX($AM$1005:$BM$1005,1,MATCH(COLUMNS($AM$1006:AR1006),$AM$1006:$BM$1006,0))&gt;=100000), " ",IF(INDEX($AM$2:$BM$1001,MATCH(ROWS($AF$2:AF516),$AF$2:$AF$1001,0),MATCH(COLUMNS($AM$1006:AR1006),$AM$1006:$BM$1006,0)), HYPERLINK("#",""), HYPERLINK(CONCATENATE("#metadata!", ADDRESS(INDEX($AH$2:$AH$1001,MATCH(ROWS($AF$2:AF516),$AF$2:$AF$1001,0),0), INDEX($AM$1004:$BM$1004,1,MATCH(COLUMNS($AM$1006:AR1006),$AM$1006:$BM$1006,0)))),"Fix")))</f>
        <v xml:space="preserve"> </v>
      </c>
      <c r="H516" s="4" t="str">
        <f ca="1">IF(OR(INDEX($AG$2:$AG$1001,MATCH(ROWS($AF$2:AF516),$AF$2:$AF$1001,0),1)&gt;=100000,INDEX($AM$1005:$BM$1005,1,MATCH(COLUMNS($AM$1006:AS1006),$AM$1006:$BM$1006,0))&gt;=100000), " ",IF(INDEX($AM$2:$BM$1001,MATCH(ROWS($AF$2:AF516),$AF$2:$AF$1001,0),MATCH(COLUMNS($AM$1006:AS1006),$AM$1006:$BM$1006,0)), HYPERLINK("#",""), HYPERLINK(CONCATENATE("#metadata!", ADDRESS(INDEX($AH$2:$AH$1001,MATCH(ROWS($AF$2:AF516),$AF$2:$AF$1001,0),0), INDEX($AM$1004:$BM$1004,1,MATCH(COLUMNS($AM$1006:AS1006),$AM$1006:$BM$1006,0)))),"Fix")))</f>
        <v xml:space="preserve"> </v>
      </c>
      <c r="I516" s="4" t="str">
        <f ca="1">IF(OR(INDEX($AG$2:$AG$1001,MATCH(ROWS($AF$2:AF516),$AF$2:$AF$1001,0),1)&gt;=100000,INDEX($AM$1005:$BM$1005,1,MATCH(COLUMNS($AM$1006:AT1006),$AM$1006:$BM$1006,0))&gt;=100000), " ",IF(INDEX($AM$2:$BM$1001,MATCH(ROWS($AF$2:AF516),$AF$2:$AF$1001,0),MATCH(COLUMNS($AM$1006:AT1006),$AM$1006:$BM$1006,0)), HYPERLINK("#",""), HYPERLINK(CONCATENATE("#metadata!", ADDRESS(INDEX($AH$2:$AH$1001,MATCH(ROWS($AF$2:AF516),$AF$2:$AF$1001,0),0), INDEX($AM$1004:$BM$1004,1,MATCH(COLUMNS($AM$1006:AT1006),$AM$1006:$BM$1006,0)))),"Fix")))</f>
        <v xml:space="preserve"> </v>
      </c>
      <c r="J516" s="4" t="str">
        <f ca="1">IF(OR(INDEX($AG$2:$AG$1001,MATCH(ROWS($AF$2:AF516),$AF$2:$AF$1001,0),1)&gt;=100000,INDEX($AM$1005:$BM$1005,1,MATCH(COLUMNS($AM$1006:AU1006),$AM$1006:$BM$1006,0))&gt;=100000), " ",IF(INDEX($AM$2:$BM$1001,MATCH(ROWS($AF$2:AF516),$AF$2:$AF$1001,0),MATCH(COLUMNS($AM$1006:AU1006),$AM$1006:$BM$1006,0)), HYPERLINK("#",""), HYPERLINK(CONCATENATE("#metadata!", ADDRESS(INDEX($AH$2:$AH$1001,MATCH(ROWS($AF$2:AF516),$AF$2:$AF$1001,0),0), INDEX($AM$1004:$BM$1004,1,MATCH(COLUMNS($AM$1006:AU1006),$AM$1006:$BM$1006,0)))),"Fix")))</f>
        <v xml:space="preserve"> </v>
      </c>
      <c r="K516" s="4" t="str">
        <f ca="1">IF(OR(INDEX($AG$2:$AG$1001,MATCH(ROWS($AF$2:AF516),$AF$2:$AF$1001,0),1)&gt;=100000,INDEX($AM$1005:$BM$1005,1,MATCH(COLUMNS($AM$1006:AV1006),$AM$1006:$BM$1006,0))&gt;=100000), " ",IF(INDEX($AM$2:$BM$1001,MATCH(ROWS($AF$2:AF516),$AF$2:$AF$1001,0),MATCH(COLUMNS($AM$1006:AV1006),$AM$1006:$BM$1006,0)), HYPERLINK("#",""), HYPERLINK(CONCATENATE("#metadata!", ADDRESS(INDEX($AH$2:$AH$1001,MATCH(ROWS($AF$2:AF516),$AF$2:$AF$1001,0),0), INDEX($AM$1004:$BM$1004,1,MATCH(COLUMNS($AM$1006:AV1006),$AM$1006:$BM$1006,0)))),"Fix")))</f>
        <v xml:space="preserve"> </v>
      </c>
      <c r="L516" s="4" t="str">
        <f ca="1">IF(OR(INDEX($AG$2:$AG$1001,MATCH(ROWS($AF$2:AF516),$AF$2:$AF$1001,0),1)&gt;=100000,INDEX($AM$1005:$BM$1005,1,MATCH(COLUMNS($AM$1006:AW1006),$AM$1006:$BM$1006,0))&gt;=100000), " ",IF(INDEX($AM$2:$BM$1001,MATCH(ROWS($AF$2:AF516),$AF$2:$AF$1001,0),MATCH(COLUMNS($AM$1006:AW1006),$AM$1006:$BM$1006,0)), HYPERLINK("#",""), HYPERLINK(CONCATENATE("#metadata!", ADDRESS(INDEX($AH$2:$AH$1001,MATCH(ROWS($AF$2:AF516),$AF$2:$AF$1001,0),0), INDEX($AM$1004:$BM$1004,1,MATCH(COLUMNS($AM$1006:AW1006),$AM$1006:$BM$1006,0)))),"Fix")))</f>
        <v xml:space="preserve"> </v>
      </c>
      <c r="M516" s="4" t="str">
        <f ca="1">IF(OR(INDEX($AG$2:$AG$1001,MATCH(ROWS($AF$2:AF516),$AF$2:$AF$1001,0),1)&gt;=100000,INDEX($AM$1005:$BM$1005,1,MATCH(COLUMNS($AM$1006:AX1006),$AM$1006:$BM$1006,0))&gt;=100000), " ",IF(INDEX($AM$2:$BM$1001,MATCH(ROWS($AF$2:AF516),$AF$2:$AF$1001,0),MATCH(COLUMNS($AM$1006:AX1006),$AM$1006:$BM$1006,0)), HYPERLINK("#",""), HYPERLINK(CONCATENATE("#metadata!", ADDRESS(INDEX($AH$2:$AH$1001,MATCH(ROWS($AF$2:AF516),$AF$2:$AF$1001,0),0), INDEX($AM$1004:$BM$1004,1,MATCH(COLUMNS($AM$1006:AX1006),$AM$1006:$BM$1006,0)))),"Fix")))</f>
        <v xml:space="preserve"> </v>
      </c>
      <c r="N516" s="4" t="str">
        <f ca="1">IF(OR(INDEX($AG$2:$AG$1001,MATCH(ROWS($AF$2:AF516),$AF$2:$AF$1001,0),1)&gt;=100000,INDEX($AM$1005:$BM$1005,1,MATCH(COLUMNS($AM$1006:AY1006),$AM$1006:$BM$1006,0))&gt;=100000), " ",IF(INDEX($AM$2:$BM$1001,MATCH(ROWS($AF$2:AF516),$AF$2:$AF$1001,0),MATCH(COLUMNS($AM$1006:AY1006),$AM$1006:$BM$1006,0)), HYPERLINK("#",""), HYPERLINK(CONCATENATE("#metadata!", ADDRESS(INDEX($AH$2:$AH$1001,MATCH(ROWS($AF$2:AF516),$AF$2:$AF$1001,0),0), INDEX($AM$1004:$BM$1004,1,MATCH(COLUMNS($AM$1006:AY1006),$AM$1006:$BM$1006,0)))),"Fix")))</f>
        <v xml:space="preserve"> </v>
      </c>
      <c r="O516" s="4" t="str">
        <f ca="1">IF(OR(INDEX($AG$2:$AG$1001,MATCH(ROWS($AF$2:AF516),$AF$2:$AF$1001,0),1)&gt;=100000,INDEX($AM$1005:$BM$1005,1,MATCH(COLUMNS($AM$1006:AZ1006),$AM$1006:$BM$1006,0))&gt;=100000), " ",IF(INDEX($AM$2:$BM$1001,MATCH(ROWS($AF$2:AF516),$AF$2:$AF$1001,0),MATCH(COLUMNS($AM$1006:AZ1006),$AM$1006:$BM$1006,0)), HYPERLINK("#",""), HYPERLINK(CONCATENATE("#metadata!", ADDRESS(INDEX($AH$2:$AH$1001,MATCH(ROWS($AF$2:AF516),$AF$2:$AF$1001,0),0), INDEX($AM$1004:$BM$1004,1,MATCH(COLUMNS($AM$1006:AZ1006),$AM$1006:$BM$1006,0)))),"Fix")))</f>
        <v xml:space="preserve"> </v>
      </c>
      <c r="P516" s="4" t="str">
        <f ca="1">IF(OR(INDEX($AG$2:$AG$1001,MATCH(ROWS($AF$2:AF516),$AF$2:$AF$1001,0),1)&gt;=100000,INDEX($AM$1005:$BM$1005,1,MATCH(COLUMNS($AM$1006:BA1006),$AM$1006:$BM$1006,0))&gt;=100000), " ",IF(INDEX($AM$2:$BM$1001,MATCH(ROWS($AF$2:AF516),$AF$2:$AF$1001,0),MATCH(COLUMNS($AM$1006:BA1006),$AM$1006:$BM$1006,0)), HYPERLINK("#",""), HYPERLINK(CONCATENATE("#metadata!", ADDRESS(INDEX($AH$2:$AH$1001,MATCH(ROWS($AF$2:AF516),$AF$2:$AF$1001,0),0), INDEX($AM$1004:$BM$1004,1,MATCH(COLUMNS($AM$1006:BA1006),$AM$1006:$BM$1006,0)))),"Fix")))</f>
        <v xml:space="preserve"> </v>
      </c>
      <c r="Q516" s="4" t="str">
        <f ca="1">IF(OR(INDEX($AG$2:$AG$1001,MATCH(ROWS($AF$2:AF516),$AF$2:$AF$1001,0),1)&gt;=100000,INDEX($AM$1005:$BM$1005,1,MATCH(COLUMNS($AM$1006:BB1006),$AM$1006:$BM$1006,0))&gt;=100000), " ",IF(INDEX($AM$2:$BM$1001,MATCH(ROWS($AF$2:AF516),$AF$2:$AF$1001,0),MATCH(COLUMNS($AM$1006:BB1006),$AM$1006:$BM$1006,0)), HYPERLINK("#",""), HYPERLINK(CONCATENATE("#metadata!", ADDRESS(INDEX($AH$2:$AH$1001,MATCH(ROWS($AF$2:AF516),$AF$2:$AF$1001,0),0), INDEX($AM$1004:$BM$1004,1,MATCH(COLUMNS($AM$1006:BB1006),$AM$1006:$BM$1006,0)))),"Fix")))</f>
        <v xml:space="preserve"> </v>
      </c>
      <c r="R516" s="4" t="str">
        <f ca="1">IF(OR(INDEX($AG$2:$AG$1001,MATCH(ROWS($AF$2:AF516),$AF$2:$AF$1001,0),1)&gt;=100000,INDEX($AM$1005:$BM$1005,1,MATCH(COLUMNS($AM$1006:BC1006),$AM$1006:$BM$1006,0))&gt;=100000), " ",IF(INDEX($AM$2:$BM$1001,MATCH(ROWS($AF$2:AF516),$AF$2:$AF$1001,0),MATCH(COLUMNS($AM$1006:BC1006),$AM$1006:$BM$1006,0)), HYPERLINK("#",""), HYPERLINK(CONCATENATE("#metadata!", ADDRESS(INDEX($AH$2:$AH$1001,MATCH(ROWS($AF$2:AF516),$AF$2:$AF$1001,0),0), INDEX($AM$1004:$BM$1004,1,MATCH(COLUMNS($AM$1006:BC1006),$AM$1006:$BM$1006,0)))),"Fix")))</f>
        <v xml:space="preserve"> </v>
      </c>
      <c r="S516" s="4" t="str">
        <f ca="1">IF(OR(INDEX($AG$2:$AG$1001,MATCH(ROWS($AF$2:AF516),$AF$2:$AF$1001,0),1)&gt;=100000,INDEX($AM$1005:$BM$1005,1,MATCH(COLUMNS($AM$1006:BD1006),$AM$1006:$BM$1006,0))&gt;=100000), " ",IF(INDEX($AM$2:$BM$1001,MATCH(ROWS($AF$2:AF516),$AF$2:$AF$1001,0),MATCH(COLUMNS($AM$1006:BD1006),$AM$1006:$BM$1006,0)), HYPERLINK("#",""), HYPERLINK(CONCATENATE("#metadata!", ADDRESS(INDEX($AH$2:$AH$1001,MATCH(ROWS($AF$2:AF516),$AF$2:$AF$1001,0),0), INDEX($AM$1004:$BM$1004,1,MATCH(COLUMNS($AM$1006:BD1006),$AM$1006:$BM$1006,0)))),"Fix")))</f>
        <v xml:space="preserve"> </v>
      </c>
      <c r="T516" s="4" t="str">
        <f ca="1">IF(OR(INDEX($AG$2:$AG$1001,MATCH(ROWS($AF$2:AF516),$AF$2:$AF$1001,0),1)&gt;=100000,INDEX($AM$1005:$BM$1005,1,MATCH(COLUMNS($AM$1006:BE1006),$AM$1006:$BM$1006,0))&gt;=100000), " ",IF(INDEX($AM$2:$BM$1001,MATCH(ROWS($AF$2:AF516),$AF$2:$AF$1001,0),MATCH(COLUMNS($AM$1006:BE1006),$AM$1006:$BM$1006,0)), HYPERLINK("#",""), HYPERLINK(CONCATENATE("#metadata!", ADDRESS(INDEX($AH$2:$AH$1001,MATCH(ROWS($AF$2:AF516),$AF$2:$AF$1001,0),0), INDEX($AM$1004:$BM$1004,1,MATCH(COLUMNS($AM$1006:BE1006),$AM$1006:$BM$1006,0)))),"Fix")))</f>
        <v xml:space="preserve"> </v>
      </c>
      <c r="U516" s="4" t="str">
        <f ca="1">IF(OR(INDEX($AG$2:$AG$1001,MATCH(ROWS($AF$2:AF516),$AF$2:$AF$1001,0),1)&gt;=100000,INDEX($AM$1005:$BM$1005,1,MATCH(COLUMNS($AM$1006:BF1006),$AM$1006:$BM$1006,0))&gt;=100000), " ",IF(INDEX($AM$2:$BM$1001,MATCH(ROWS($AF$2:AF516),$AF$2:$AF$1001,0),MATCH(COLUMNS($AM$1006:BF1006),$AM$1006:$BM$1006,0)), HYPERLINK("#",""), HYPERLINK(CONCATENATE("#metadata!", ADDRESS(INDEX($AH$2:$AH$1001,MATCH(ROWS($AF$2:AF516),$AF$2:$AF$1001,0),0), INDEX($AM$1004:$BM$1004,1,MATCH(COLUMNS($AM$1006:BF1006),$AM$1006:$BM$1006,0)))),"Fix")))</f>
        <v xml:space="preserve"> </v>
      </c>
      <c r="V516" s="4" t="str">
        <f ca="1">IF(OR(INDEX($AG$2:$AG$1001,MATCH(ROWS($AF$2:AF516),$AF$2:$AF$1001,0),1)&gt;=100000,INDEX($AM$1005:$BM$1005,1,MATCH(COLUMNS($AM$1006:BG1006),$AM$1006:$BM$1006,0))&gt;=100000), " ",IF(INDEX($AM$2:$BM$1001,MATCH(ROWS($AF$2:AF516),$AF$2:$AF$1001,0),MATCH(COLUMNS($AM$1006:BG1006),$AM$1006:$BM$1006,0)), HYPERLINK("#",""), HYPERLINK(CONCATENATE("#metadata!", ADDRESS(INDEX($AH$2:$AH$1001,MATCH(ROWS($AF$2:AF516),$AF$2:$AF$1001,0),0), INDEX($AM$1004:$BM$1004,1,MATCH(COLUMNS($AM$1006:BG1006),$AM$1006:$BM$1006,0)))),"Fix")))</f>
        <v xml:space="preserve"> </v>
      </c>
      <c r="W516" s="4" t="str">
        <f ca="1">IF(OR(INDEX($AG$2:$AG$1001,MATCH(ROWS($AF$2:AF516),$AF$2:$AF$1001,0),1)&gt;=100000,INDEX($AM$1005:$BM$1005,1,MATCH(COLUMNS($AM$1006:BH1006),$AM$1006:$BM$1006,0))&gt;=100000), " ",IF(INDEX($AM$2:$BM$1001,MATCH(ROWS($AF$2:AF516),$AF$2:$AF$1001,0),MATCH(COLUMNS($AM$1006:BH1006),$AM$1006:$BM$1006,0)), HYPERLINK("#",""), HYPERLINK(CONCATENATE("#metadata!", ADDRESS(INDEX($AH$2:$AH$1001,MATCH(ROWS($AF$2:AF516),$AF$2:$AF$1001,0),0), INDEX($AM$1004:$BM$1004,1,MATCH(COLUMNS($AM$1006:BH1006),$AM$1006:$BM$1006,0)))),"Fix")))</f>
        <v xml:space="preserve"> </v>
      </c>
      <c r="X516" s="4" t="str">
        <f ca="1">IF(OR(INDEX($AG$2:$AG$1001,MATCH(ROWS($AF$2:AF516),$AF$2:$AF$1001,0),1)&gt;=100000,INDEX($AM$1005:$BM$1005,1,MATCH(COLUMNS($AM$1006:BI1006),$AM$1006:$BM$1006,0))&gt;=100000), " ",IF(INDEX($AM$2:$BM$1001,MATCH(ROWS($AF$2:AF516),$AF$2:$AF$1001,0),MATCH(COLUMNS($AM$1006:BI1006),$AM$1006:$BM$1006,0)), HYPERLINK("#",""), HYPERLINK(CONCATENATE("#metadata!", ADDRESS(INDEX($AH$2:$AH$1001,MATCH(ROWS($AF$2:AF516),$AF$2:$AF$1001,0),0), INDEX($AM$1004:$BM$1004,1,MATCH(COLUMNS($AM$1006:BI1006),$AM$1006:$BM$1006,0)))),"Fix")))</f>
        <v xml:space="preserve"> </v>
      </c>
      <c r="Y516" s="4" t="str">
        <f ca="1">IF(OR(INDEX($AG$2:$AG$1001,MATCH(ROWS($AF$2:AF516),$AF$2:$AF$1001,0),1)&gt;=100000,INDEX($AM$1005:$BM$1005,1,MATCH(COLUMNS($AM$1006:BJ1006),$AM$1006:$BM$1006,0))&gt;=100000), " ",IF(INDEX($AM$2:$BM$1001,MATCH(ROWS($AF$2:AF516),$AF$2:$AF$1001,0),MATCH(COLUMNS($AM$1006:BJ1006),$AM$1006:$BM$1006,0)), HYPERLINK("#",""), HYPERLINK(CONCATENATE("#metadata!", ADDRESS(INDEX($AH$2:$AH$1001,MATCH(ROWS($AF$2:AF516),$AF$2:$AF$1001,0),0), INDEX($AM$1004:$BM$1004,1,MATCH(COLUMNS($AM$1006:BJ1006),$AM$1006:$BM$1006,0)))),"Fix")))</f>
        <v xml:space="preserve"> </v>
      </c>
      <c r="Z516" s="4" t="str">
        <f ca="1">IF(OR(INDEX($AG$2:$AG$1001,MATCH(ROWS($AF$2:AF516),$AF$2:$AF$1001,0),1)&gt;=100000,INDEX($AM$1005:$BM$1005,1,MATCH(COLUMNS($AM$1006:BK1006),$AM$1006:$BM$1006,0))&gt;=100000), " ",IF(INDEX($AM$2:$BM$1001,MATCH(ROWS($AF$2:AF516),$AF$2:$AF$1001,0),MATCH(COLUMNS($AM$1006:BK1006),$AM$1006:$BM$1006,0)), HYPERLINK("#",""), HYPERLINK(CONCATENATE("#metadata!", ADDRESS(INDEX($AH$2:$AH$1001,MATCH(ROWS($AF$2:AF516),$AF$2:$AF$1001,0),0), INDEX($AM$1004:$BM$1004,1,MATCH(COLUMNS($AM$1006:BK1006),$AM$1006:$BM$1006,0)))),"Fix")))</f>
        <v xml:space="preserve"> </v>
      </c>
      <c r="AA516" s="4" t="str">
        <f ca="1">IF(OR(INDEX($AG$2:$AG$1001,MATCH(ROWS($AF$2:AF516),$AF$2:$AF$1001,0),1)&gt;=100000,INDEX($AM$1005:$BM$1005,1,MATCH(COLUMNS($AM$1006:BL1006),$AM$1006:$BM$1006,0))&gt;=100000), " ",IF(INDEX($AM$2:$BM$1001,MATCH(ROWS($AF$2:AF516),$AF$2:$AF$1001,0),MATCH(COLUMNS($AM$1006:BL1006),$AM$1006:$BM$1006,0)), HYPERLINK("#",""), HYPERLINK(CONCATENATE("#metadata!", ADDRESS(INDEX($AH$2:$AH$1001,MATCH(ROWS($AF$2:AF516),$AF$2:$AF$1001,0),0), INDEX($AM$1004:$BM$1004,1,MATCH(COLUMNS($AM$1006:BL1006),$AM$1006:$BM$1006,0)))),"Fix")))</f>
        <v xml:space="preserve"> </v>
      </c>
      <c r="AB516" s="4" t="str">
        <f ca="1">IF(OR(INDEX($AG$2:$AG$1001,MATCH(ROWS($AF$2:AF516),$AF$2:$AF$1001,0),1)&gt;=100000,INDEX($AM$1005:$BM$1005,1,MATCH(COLUMNS($AM$1006:BM1006),$AM$1006:$BM$1006,0))&gt;=100000), " ",IF(INDEX($AM$2:$BM$1001,MATCH(ROWS($AF$2:AF516),$AF$2:$AF$1001,0),MATCH(COLUMNS($AM$1006:BM1006),$AM$1006:$BM$1006,0)), HYPERLINK("#",""), HYPERLINK(CONCATENATE("#metadata!", ADDRESS(INDEX($AH$2:$AH$1001,MATCH(ROWS($AF$2:AF516),$AF$2:$AF$1001,0),0), INDEX($AM$1004:$BM$1004,1,MATCH(COLUMNS($AM$1006:BM1006),$AM$1006:$BM$1006,0)))),"Fix")))</f>
        <v xml:space="preserve"> </v>
      </c>
      <c r="AF516">
        <v>515</v>
      </c>
      <c r="AG516">
        <v>100516</v>
      </c>
      <c r="AH516">
        <v>516</v>
      </c>
      <c r="AI516" t="b">
        <f t="shared" si="8"/>
        <v>1</v>
      </c>
      <c r="AJ516" t="b">
        <f>COUNTBLANK(metadata!B516:AB516)=COLUMNS(metadata!B516:AB516)</f>
        <v>1</v>
      </c>
      <c r="AK516" t="str">
        <v/>
      </c>
      <c r="AM516" t="b">
        <f ca="1">AND(IF(metadata!B516="",FALSE,TRUE),COUNTIF(metadata!B:B, metadata!B516) = 1,NOT(ISERROR(SUMPRODUCT(SEARCH(MID(metadata!B516,ROW(INDIRECT("1:"&amp;LEN(metadata!B516))), 1),"0123456789abcdefghijklmnopqrstuvwxyzABCDEFGHIJKLMNOPQRSTUVWXYZ.")))))</f>
        <v>0</v>
      </c>
      <c r="AN516" t="b">
        <f ca="1">OR(AND(IF(metadata!C516="",FALSE,TRUE),OR(EXACT(metadata!C516,"missing: not collected"),EXACT(metadata!C516,"missing: not provided"),EXACT(metadata!C516,"missing: restricted access"))),AND(IF(metadata!C516="",FALSE,TRUE),AND(AND(IFERROR(INT(LEFT(metadata!C516,4))&gt;1900,FALSE),IFERROR(INT(LEFT(metadata!C516,4))&lt;=YEAR(NOW()),FALSE)), OR(MID(metadata!C516,5,1)="", AND(AND(MID(metadata!C516,5,1)="-",IFERROR(INT(MID(metadata!C516,6,1))&gt;=0,FALSE),IFERROR(INT(MID(metadata!C516,6,1))&lt;=1,FALSE),NOT(MID(metadata!C516,7,1)=""),IFERROR(INT(MID(metadata!C516,6,2))&gt;=1,FALSE),IFERROR(INT(MID(metadata!C516,6,2))&lt;=12,FALSE)), OR(MID(metadata!C516,8,1)="", AND(AND(MID(metadata!C516,8,1)="-",IFERROR(INT(MID(metadata!C516,9,1))&gt;=0,FALSE),IFERROR(INT(MID(metadata!C516,9,1))&lt;=3,FALSE),NOT(MID(metadata!C516,10,1)=""),IFERROR(INT(MID(metadata!C516,9,2))&gt;=1,FALSE),IFERROR(INT(MID(metadata!C516,9,2))&lt;=31,FALSE)), OR(MID(metadata!C516,11,1)="", AND(AND(MID(metadata!C516,11,1)=" ",IFERROR(INT(MID(metadata!C516,12,1))&gt;=0,FALSE),IFERROR(INT(MID(metadata!C516,12,1))&lt;=2,FALSE),NOT(MID(metadata!C516,13,1)=""),IFERROR(INT(MID(metadata!C516,12,2))&gt;=0,FALSE),IFERROR(INT(MID(metadata!C516,12,2))&lt;=23,FALSE)), OR(MID(metadata!C516,14,1)="", AND(AND(MID(metadata!C516,14,1)=":",IFERROR(INT(MID(metadata!C516,15,1))&gt;=0,FALSE),IFERROR(INT(MID(metadata!C516,15,1))&lt;=5,FALSE),NOT(MID(metadata!C516,16,1)=""),IFERROR(INT(MID(metadata!C516,15,2))&gt;=0,FALSE),IFERROR(INT(MID(metadata!C516,15,2))&lt;=59,FALSE)), OR(MID(metadata!C516,17,1)="", AND(AND(MID(metadata!C516,17,1)=":",IFERROR(INT(MID(metadata!C516,18,1))&gt;=0,FALSE),IFERROR(INT(MID(metadata!C516,18,1))&lt;=5,FALSE),NOT(MID(metadata!C516,19,1)=""),IFERROR(INT(MID(metadata!C516,18,2))&gt;=0,FALSE),IFERROR(INT(MID(metadata!C516,18,2))&lt;=59,FALSE)), LEN(metadata!C516)&lt;=19)))))))))))))</f>
        <v>0</v>
      </c>
      <c r="AO516" t="b">
        <f>AND(IF(metadata!D516="",FALSE,TRUE),EXACT(metadata!D516,"Not applicable"))</f>
        <v>0</v>
      </c>
      <c r="AP516" t="b">
        <f>IF(metadata!E516="",FALSE,TRUE)</f>
        <v>0</v>
      </c>
      <c r="AQ516" t="b">
        <f>OR(AND(IF(metadata!F516="",FALSE,TRUE),OR(EXACT(metadata!F516,"missing: not collected"),EXACT(metadata!F516,"missing: not provided"))),AND(IF(metadata!F516="",FALSE,TRUE),OR(EXACT(metadata!F516,"TRUE"),EXACT(metadata!F516,"FALSE"))))</f>
        <v>0</v>
      </c>
      <c r="AR516" t="b">
        <f>OR(AND(IF(metadata!G516="",FALSE,TRUE),OR(EXACT(metadata!G516,"missing: not collected"),EXACT(metadata!G516,"missing: not provided"),EXACT(metadata!G516,"missing: restricted access"))),AND(IF(metadata!G516="",FALSE,ISNUMBER(VALUE(metadata!G516))),metadata!G516&gt;=-413))</f>
        <v>0</v>
      </c>
      <c r="AS516" t="b">
        <f>AND(IF(metadata!H516="",FALSE,TRUE),EXACT(metadata!H516,"meters"))</f>
        <v>0</v>
      </c>
      <c r="AT516" t="b">
        <f>AND(IF(metadata!I516="",FALSE,TRUE),OR(EXACT(metadata!I516,"Host-associated"),EXACT(metadata!I516,"Free-living")))</f>
        <v>0</v>
      </c>
      <c r="AU516" t="b">
        <f>AND(IF(metadata!J516="",FALSE,TRUE),OR(EXACT(metadata!J516,"Animal"),EXACT(metadata!J516,"Fungus"),EXACT(metadata!J516,"Plant"),EXACT(metadata!J516,"Saline"),EXACT(metadata!J516,"Non-saline")))</f>
        <v>0</v>
      </c>
      <c r="AV516" t="b">
        <f>AND(IF(metadata!K516="",FALSE,TRUE),OR(EXACT(metadata!K516,"Plant secretion"),EXACT(metadata!K516,"Plant rhizosphere"),EXACT(metadata!K516,"Plant surface"),EXACT(metadata!K516,"Plant corpus"),EXACT(metadata!K516,"Fungus surface"),EXACT(metadata!K516,"Fungus corpus"),EXACT(metadata!K516,"Animal surface"),EXACT(metadata!K516,"Animal proximal gut"),EXACT(metadata!K516,"Animal corpus"),EXACT(metadata!K516,"Animal distal gut"),EXACT(metadata!K516,"Animal secretion"),EXACT(metadata!K516,"Sub-surface (non-saline)"),EXACT(metadata!K516,"Surface (non-saline)"),EXACT(metadata!K516,"Water (non-saline)"),EXACT(metadata!K516,"Soil (non-saline)"),EXACT(metadata!K516,"Aerosol (non-saline)"),EXACT(metadata!K516,"Sediment (non-saline)"),EXACT(metadata!K516,"Surface (saline)"),EXACT(metadata!K516,"Water (saline)"),EXACT(metadata!K516,"Hypersaline (saline)"),EXACT(metadata!K516,"Aerosol (saline)"),EXACT(metadata!K516,"Sediment (saline)")))</f>
        <v>0</v>
      </c>
      <c r="AW516" t="b">
        <f>IF(metadata!L516="",FALSE,TRUE)</f>
        <v>0</v>
      </c>
      <c r="AX516" t="b">
        <f>IF(metadata!M516="",FALSE,TRUE)</f>
        <v>0</v>
      </c>
      <c r="AY516" t="b">
        <f>IF(metadata!N516="",FALSE,TRUE)</f>
        <v>0</v>
      </c>
      <c r="AZ516" t="b">
        <f>OR(AND(IF(metadata!O516="",FALSE,TRUE),OR(EXACT(metadata!O516,"missing: not collected"),EXACT(metadata!O516,"missing: not provided"),EXACT(metadata!O516,"missing: restricted access"))),AND(IF(metadata!O516="",FALSE,TRUE),OR(EXACT(metadata!O516,"air"),EXACT(metadata!O516,"built environment"),EXACT(metadata!O516,"host-associated"),EXACT(metadata!O516,"human-associated"),EXACT(metadata!O516,"human-skin"),EXACT(metadata!O516,"human-oral"),EXACT(metadata!O516,"human-gut"),EXACT(metadata!O516,"human-vaginal"),EXACT(metadata!O516,"microbial mat/biofilm"),EXACT(metadata!O516,"misc environment"),EXACT(metadata!O516,"plant-associated"),EXACT(metadata!O516,"sediment"),EXACT(metadata!O516,"soil"),EXACT(metadata!O516,"wastewater/sludge"),EXACT(metadata!O516,"water"))))</f>
        <v>0</v>
      </c>
      <c r="BA516" t="b">
        <f>IF(metadata!P516="",FALSE,TRUE)</f>
        <v>0</v>
      </c>
      <c r="BB516" t="b">
        <f>IF(metadata!Q516="",FALSE,TRUE)</f>
        <v>0</v>
      </c>
      <c r="BC516" t="b">
        <f>OR(AND(IF(metadata!R516="",FALSE,TRUE),OR(EXACT(metadata!R516,"missing: not collected"),EXACT(metadata!R516,"missing: not provided"),EXACT(metadata!R516,"missing: restricted access"))),AND(IF(metadata!R516="",FALSE,ISNUMBER(VALUE(metadata!R516))),metadata!R516&gt;=-90,metadata!R516&lt;=90))</f>
        <v>0</v>
      </c>
      <c r="BD516" t="b">
        <f>AND(IF(metadata!S516="",FALSE,TRUE),EXACT(metadata!S516,"Decimal degrees"))</f>
        <v>0</v>
      </c>
      <c r="BE516" t="b">
        <f>OR(AND(IF(metadata!T516="",FALSE,TRUE),OR(EXACT(metadata!T516,"missing: not collected"),EXACT(metadata!T516,"missing: not provided"),EXACT(metadata!T516,"missing: restricted access"))),AND(IF(metadata!T516="",FALSE,ISNUMBER(VALUE(metadata!T516))),metadata!T516&gt;=-180,metadata!T516&lt;=180))</f>
        <v>0</v>
      </c>
      <c r="BF516" t="b">
        <f>AND(IF(metadata!U516="",FALSE,TRUE),EXACT(metadata!U516,"Decimal degrees"))</f>
        <v>0</v>
      </c>
      <c r="BG516" t="b">
        <f>IF(metadata!V516="",FALSE,TRUE)</f>
        <v>0</v>
      </c>
      <c r="BH516" t="b">
        <f>OR(AND(IF(metadata!W516="",FALSE,TRUE),OR(EXACT(metadata!W516,"missing: not collected"),EXACT(metadata!W516,"missing: not provided"),EXACT(metadata!W516,"missing: restricted access"))),AND(IF(metadata!W516="",FALSE,TRUE),OR(EXACT(metadata!W516,"TRUE"),EXACT(metadata!W516,"FALSE"))))</f>
        <v>0</v>
      </c>
      <c r="BI516" t="b">
        <f>AND(IF(metadata!X516="",FALSE,TRUE),EXACT(metadata!X516,"other"))</f>
        <v>0</v>
      </c>
      <c r="BJ516" t="b">
        <f>IF(metadata!Y516="",FALSE,TRUE)</f>
        <v>0</v>
      </c>
      <c r="BK516" t="b">
        <f>OR(AND(IF(metadata!Z516="",FALSE,TRUE),OR(EXACT(metadata!Z516,"missing: not collected"),EXACT(metadata!Z516,"missing: not provided"))),AND(IF(metadata!Z516="",FALSE,IF(ISERROR(INT(metadata!Z516)),FALSE,INT(metadata!Z516)=metadata!Z516)),metadata!Z516&gt;0))</f>
        <v>0</v>
      </c>
      <c r="BL516" t="b">
        <f>AND(IF(metadata!AA516="",FALSE,TRUE),EXACT(metadata!AA516,"Not applicable"))</f>
        <v>0</v>
      </c>
      <c r="BM516" t="b">
        <f>IF(metadata!AB516="",FALSE,TRUE)</f>
        <v>0</v>
      </c>
    </row>
    <row r="517" spans="1:65" x14ac:dyDescent="0.2">
      <c r="A517" s="5" t="str">
        <f ca="1">IF(B517=" "," ",HYPERLINK(CONCATENATE("#metadata!",ADDRESS(INDEX($AH$2:$AH$1001,MATCH(ROWS($AF$2:AF517),$AF$2:$AF$1001,0),0),1)),INDEX($AK$2:$AK$1001,MATCH(ROWS($AF$2:AF517),$AF$2:$AF$1001,0),0)))</f>
        <v xml:space="preserve"> </v>
      </c>
      <c r="B517" s="4" t="str">
        <f ca="1">IF(OR(INDEX($AG$2:$AG$1001,MATCH(ROWS($AF$2:AF517),$AF$2:$AF$1001,0),1)&gt;=100000,INDEX($AM$1005:$BM$1005,1,MATCH(COLUMNS($AM$1006:AM1006),$AM$1006:$BM$1006,0))&gt;=100000), " ",IF(INDEX($AM$2:$BM$1001,MATCH(ROWS($AF$2:AF517),$AF$2:$AF$1001,0),MATCH(COLUMNS($AM$1006:AM1006),$AM$1006:$BM$1006,0)), HYPERLINK("#",""), HYPERLINK(CONCATENATE("#metadata!", ADDRESS(INDEX($AH$2:$AH$1001,MATCH(ROWS($AF$2:AF517),$AF$2:$AF$1001,0),0), INDEX($AM$1004:$BM$1004,1,MATCH(COLUMNS($AM$1006:AM1006),$AM$1006:$BM$1006,0)))),"Fix")))</f>
        <v xml:space="preserve"> </v>
      </c>
      <c r="C517" s="4" t="str">
        <f ca="1">IF(OR(INDEX($AG$2:$AG$1001,MATCH(ROWS($AF$2:AF517),$AF$2:$AF$1001,0),1)&gt;=100000,INDEX($AM$1005:$BM$1005,1,MATCH(COLUMNS($AM$1006:AN1006),$AM$1006:$BM$1006,0))&gt;=100000), " ",IF(INDEX($AM$2:$BM$1001,MATCH(ROWS($AF$2:AF517),$AF$2:$AF$1001,0),MATCH(COLUMNS($AM$1006:AN1006),$AM$1006:$BM$1006,0)), HYPERLINK("#",""), HYPERLINK(CONCATENATE("#metadata!", ADDRESS(INDEX($AH$2:$AH$1001,MATCH(ROWS($AF$2:AF517),$AF$2:$AF$1001,0),0), INDEX($AM$1004:$BM$1004,1,MATCH(COLUMNS($AM$1006:AN1006),$AM$1006:$BM$1006,0)))),"Fix")))</f>
        <v xml:space="preserve"> </v>
      </c>
      <c r="D517" s="4" t="str">
        <f ca="1">IF(OR(INDEX($AG$2:$AG$1001,MATCH(ROWS($AF$2:AF517),$AF$2:$AF$1001,0),1)&gt;=100000,INDEX($AM$1005:$BM$1005,1,MATCH(COLUMNS($AM$1006:AO1006),$AM$1006:$BM$1006,0))&gt;=100000), " ",IF(INDEX($AM$2:$BM$1001,MATCH(ROWS($AF$2:AF517),$AF$2:$AF$1001,0),MATCH(COLUMNS($AM$1006:AO1006),$AM$1006:$BM$1006,0)), HYPERLINK("#",""), HYPERLINK(CONCATENATE("#metadata!", ADDRESS(INDEX($AH$2:$AH$1001,MATCH(ROWS($AF$2:AF517),$AF$2:$AF$1001,0),0), INDEX($AM$1004:$BM$1004,1,MATCH(COLUMNS($AM$1006:AO1006),$AM$1006:$BM$1006,0)))),"Fix")))</f>
        <v xml:space="preserve"> </v>
      </c>
      <c r="E517" s="4" t="str">
        <f ca="1">IF(OR(INDEX($AG$2:$AG$1001,MATCH(ROWS($AF$2:AF517),$AF$2:$AF$1001,0),1)&gt;=100000,INDEX($AM$1005:$BM$1005,1,MATCH(COLUMNS($AM$1006:AP1006),$AM$1006:$BM$1006,0))&gt;=100000), " ",IF(INDEX($AM$2:$BM$1001,MATCH(ROWS($AF$2:AF517),$AF$2:$AF$1001,0),MATCH(COLUMNS($AM$1006:AP1006),$AM$1006:$BM$1006,0)), HYPERLINK("#",""), HYPERLINK(CONCATENATE("#metadata!", ADDRESS(INDEX($AH$2:$AH$1001,MATCH(ROWS($AF$2:AF517),$AF$2:$AF$1001,0),0), INDEX($AM$1004:$BM$1004,1,MATCH(COLUMNS($AM$1006:AP1006),$AM$1006:$BM$1006,0)))),"Fix")))</f>
        <v xml:space="preserve"> </v>
      </c>
      <c r="F517" s="4" t="str">
        <f ca="1">IF(OR(INDEX($AG$2:$AG$1001,MATCH(ROWS($AF$2:AF517),$AF$2:$AF$1001,0),1)&gt;=100000,INDEX($AM$1005:$BM$1005,1,MATCH(COLUMNS($AM$1006:AQ1006),$AM$1006:$BM$1006,0))&gt;=100000), " ",IF(INDEX($AM$2:$BM$1001,MATCH(ROWS($AF$2:AF517),$AF$2:$AF$1001,0),MATCH(COLUMNS($AM$1006:AQ1006),$AM$1006:$BM$1006,0)), HYPERLINK("#",""), HYPERLINK(CONCATENATE("#metadata!", ADDRESS(INDEX($AH$2:$AH$1001,MATCH(ROWS($AF$2:AF517),$AF$2:$AF$1001,0),0), INDEX($AM$1004:$BM$1004,1,MATCH(COLUMNS($AM$1006:AQ1006),$AM$1006:$BM$1006,0)))),"Fix")))</f>
        <v xml:space="preserve"> </v>
      </c>
      <c r="G517" s="4" t="str">
        <f ca="1">IF(OR(INDEX($AG$2:$AG$1001,MATCH(ROWS($AF$2:AF517),$AF$2:$AF$1001,0),1)&gt;=100000,INDEX($AM$1005:$BM$1005,1,MATCH(COLUMNS($AM$1006:AR1006),$AM$1006:$BM$1006,0))&gt;=100000), " ",IF(INDEX($AM$2:$BM$1001,MATCH(ROWS($AF$2:AF517),$AF$2:$AF$1001,0),MATCH(COLUMNS($AM$1006:AR1006),$AM$1006:$BM$1006,0)), HYPERLINK("#",""), HYPERLINK(CONCATENATE("#metadata!", ADDRESS(INDEX($AH$2:$AH$1001,MATCH(ROWS($AF$2:AF517),$AF$2:$AF$1001,0),0), INDEX($AM$1004:$BM$1004,1,MATCH(COLUMNS($AM$1006:AR1006),$AM$1006:$BM$1006,0)))),"Fix")))</f>
        <v xml:space="preserve"> </v>
      </c>
      <c r="H517" s="4" t="str">
        <f ca="1">IF(OR(INDEX($AG$2:$AG$1001,MATCH(ROWS($AF$2:AF517),$AF$2:$AF$1001,0),1)&gt;=100000,INDEX($AM$1005:$BM$1005,1,MATCH(COLUMNS($AM$1006:AS1006),$AM$1006:$BM$1006,0))&gt;=100000), " ",IF(INDEX($AM$2:$BM$1001,MATCH(ROWS($AF$2:AF517),$AF$2:$AF$1001,0),MATCH(COLUMNS($AM$1006:AS1006),$AM$1006:$BM$1006,0)), HYPERLINK("#",""), HYPERLINK(CONCATENATE("#metadata!", ADDRESS(INDEX($AH$2:$AH$1001,MATCH(ROWS($AF$2:AF517),$AF$2:$AF$1001,0),0), INDEX($AM$1004:$BM$1004,1,MATCH(COLUMNS($AM$1006:AS1006),$AM$1006:$BM$1006,0)))),"Fix")))</f>
        <v xml:space="preserve"> </v>
      </c>
      <c r="I517" s="4" t="str">
        <f ca="1">IF(OR(INDEX($AG$2:$AG$1001,MATCH(ROWS($AF$2:AF517),$AF$2:$AF$1001,0),1)&gt;=100000,INDEX($AM$1005:$BM$1005,1,MATCH(COLUMNS($AM$1006:AT1006),$AM$1006:$BM$1006,0))&gt;=100000), " ",IF(INDEX($AM$2:$BM$1001,MATCH(ROWS($AF$2:AF517),$AF$2:$AF$1001,0),MATCH(COLUMNS($AM$1006:AT1006),$AM$1006:$BM$1006,0)), HYPERLINK("#",""), HYPERLINK(CONCATENATE("#metadata!", ADDRESS(INDEX($AH$2:$AH$1001,MATCH(ROWS($AF$2:AF517),$AF$2:$AF$1001,0),0), INDEX($AM$1004:$BM$1004,1,MATCH(COLUMNS($AM$1006:AT1006),$AM$1006:$BM$1006,0)))),"Fix")))</f>
        <v xml:space="preserve"> </v>
      </c>
      <c r="J517" s="4" t="str">
        <f ca="1">IF(OR(INDEX($AG$2:$AG$1001,MATCH(ROWS($AF$2:AF517),$AF$2:$AF$1001,0),1)&gt;=100000,INDEX($AM$1005:$BM$1005,1,MATCH(COLUMNS($AM$1006:AU1006),$AM$1006:$BM$1006,0))&gt;=100000), " ",IF(INDEX($AM$2:$BM$1001,MATCH(ROWS($AF$2:AF517),$AF$2:$AF$1001,0),MATCH(COLUMNS($AM$1006:AU1006),$AM$1006:$BM$1006,0)), HYPERLINK("#",""), HYPERLINK(CONCATENATE("#metadata!", ADDRESS(INDEX($AH$2:$AH$1001,MATCH(ROWS($AF$2:AF517),$AF$2:$AF$1001,0),0), INDEX($AM$1004:$BM$1004,1,MATCH(COLUMNS($AM$1006:AU1006),$AM$1006:$BM$1006,0)))),"Fix")))</f>
        <v xml:space="preserve"> </v>
      </c>
      <c r="K517" s="4" t="str">
        <f ca="1">IF(OR(INDEX($AG$2:$AG$1001,MATCH(ROWS($AF$2:AF517),$AF$2:$AF$1001,0),1)&gt;=100000,INDEX($AM$1005:$BM$1005,1,MATCH(COLUMNS($AM$1006:AV1006),$AM$1006:$BM$1006,0))&gt;=100000), " ",IF(INDEX($AM$2:$BM$1001,MATCH(ROWS($AF$2:AF517),$AF$2:$AF$1001,0),MATCH(COLUMNS($AM$1006:AV1006),$AM$1006:$BM$1006,0)), HYPERLINK("#",""), HYPERLINK(CONCATENATE("#metadata!", ADDRESS(INDEX($AH$2:$AH$1001,MATCH(ROWS($AF$2:AF517),$AF$2:$AF$1001,0),0), INDEX($AM$1004:$BM$1004,1,MATCH(COLUMNS($AM$1006:AV1006),$AM$1006:$BM$1006,0)))),"Fix")))</f>
        <v xml:space="preserve"> </v>
      </c>
      <c r="L517" s="4" t="str">
        <f ca="1">IF(OR(INDEX($AG$2:$AG$1001,MATCH(ROWS($AF$2:AF517),$AF$2:$AF$1001,0),1)&gt;=100000,INDEX($AM$1005:$BM$1005,1,MATCH(COLUMNS($AM$1006:AW1006),$AM$1006:$BM$1006,0))&gt;=100000), " ",IF(INDEX($AM$2:$BM$1001,MATCH(ROWS($AF$2:AF517),$AF$2:$AF$1001,0),MATCH(COLUMNS($AM$1006:AW1006),$AM$1006:$BM$1006,0)), HYPERLINK("#",""), HYPERLINK(CONCATENATE("#metadata!", ADDRESS(INDEX($AH$2:$AH$1001,MATCH(ROWS($AF$2:AF517),$AF$2:$AF$1001,0),0), INDEX($AM$1004:$BM$1004,1,MATCH(COLUMNS($AM$1006:AW1006),$AM$1006:$BM$1006,0)))),"Fix")))</f>
        <v xml:space="preserve"> </v>
      </c>
      <c r="M517" s="4" t="str">
        <f ca="1">IF(OR(INDEX($AG$2:$AG$1001,MATCH(ROWS($AF$2:AF517),$AF$2:$AF$1001,0),1)&gt;=100000,INDEX($AM$1005:$BM$1005,1,MATCH(COLUMNS($AM$1006:AX1006),$AM$1006:$BM$1006,0))&gt;=100000), " ",IF(INDEX($AM$2:$BM$1001,MATCH(ROWS($AF$2:AF517),$AF$2:$AF$1001,0),MATCH(COLUMNS($AM$1006:AX1006),$AM$1006:$BM$1006,0)), HYPERLINK("#",""), HYPERLINK(CONCATENATE("#metadata!", ADDRESS(INDEX($AH$2:$AH$1001,MATCH(ROWS($AF$2:AF517),$AF$2:$AF$1001,0),0), INDEX($AM$1004:$BM$1004,1,MATCH(COLUMNS($AM$1006:AX1006),$AM$1006:$BM$1006,0)))),"Fix")))</f>
        <v xml:space="preserve"> </v>
      </c>
      <c r="N517" s="4" t="str">
        <f ca="1">IF(OR(INDEX($AG$2:$AG$1001,MATCH(ROWS($AF$2:AF517),$AF$2:$AF$1001,0),1)&gt;=100000,INDEX($AM$1005:$BM$1005,1,MATCH(COLUMNS($AM$1006:AY1006),$AM$1006:$BM$1006,0))&gt;=100000), " ",IF(INDEX($AM$2:$BM$1001,MATCH(ROWS($AF$2:AF517),$AF$2:$AF$1001,0),MATCH(COLUMNS($AM$1006:AY1006),$AM$1006:$BM$1006,0)), HYPERLINK("#",""), HYPERLINK(CONCATENATE("#metadata!", ADDRESS(INDEX($AH$2:$AH$1001,MATCH(ROWS($AF$2:AF517),$AF$2:$AF$1001,0),0), INDEX($AM$1004:$BM$1004,1,MATCH(COLUMNS($AM$1006:AY1006),$AM$1006:$BM$1006,0)))),"Fix")))</f>
        <v xml:space="preserve"> </v>
      </c>
      <c r="O517" s="4" t="str">
        <f ca="1">IF(OR(INDEX($AG$2:$AG$1001,MATCH(ROWS($AF$2:AF517),$AF$2:$AF$1001,0),1)&gt;=100000,INDEX($AM$1005:$BM$1005,1,MATCH(COLUMNS($AM$1006:AZ1006),$AM$1006:$BM$1006,0))&gt;=100000), " ",IF(INDEX($AM$2:$BM$1001,MATCH(ROWS($AF$2:AF517),$AF$2:$AF$1001,0),MATCH(COLUMNS($AM$1006:AZ1006),$AM$1006:$BM$1006,0)), HYPERLINK("#",""), HYPERLINK(CONCATENATE("#metadata!", ADDRESS(INDEX($AH$2:$AH$1001,MATCH(ROWS($AF$2:AF517),$AF$2:$AF$1001,0),0), INDEX($AM$1004:$BM$1004,1,MATCH(COLUMNS($AM$1006:AZ1006),$AM$1006:$BM$1006,0)))),"Fix")))</f>
        <v xml:space="preserve"> </v>
      </c>
      <c r="P517" s="4" t="str">
        <f ca="1">IF(OR(INDEX($AG$2:$AG$1001,MATCH(ROWS($AF$2:AF517),$AF$2:$AF$1001,0),1)&gt;=100000,INDEX($AM$1005:$BM$1005,1,MATCH(COLUMNS($AM$1006:BA1006),$AM$1006:$BM$1006,0))&gt;=100000), " ",IF(INDEX($AM$2:$BM$1001,MATCH(ROWS($AF$2:AF517),$AF$2:$AF$1001,0),MATCH(COLUMNS($AM$1006:BA1006),$AM$1006:$BM$1006,0)), HYPERLINK("#",""), HYPERLINK(CONCATENATE("#metadata!", ADDRESS(INDEX($AH$2:$AH$1001,MATCH(ROWS($AF$2:AF517),$AF$2:$AF$1001,0),0), INDEX($AM$1004:$BM$1004,1,MATCH(COLUMNS($AM$1006:BA1006),$AM$1006:$BM$1006,0)))),"Fix")))</f>
        <v xml:space="preserve"> </v>
      </c>
      <c r="Q517" s="4" t="str">
        <f ca="1">IF(OR(INDEX($AG$2:$AG$1001,MATCH(ROWS($AF$2:AF517),$AF$2:$AF$1001,0),1)&gt;=100000,INDEX($AM$1005:$BM$1005,1,MATCH(COLUMNS($AM$1006:BB1006),$AM$1006:$BM$1006,0))&gt;=100000), " ",IF(INDEX($AM$2:$BM$1001,MATCH(ROWS($AF$2:AF517),$AF$2:$AF$1001,0),MATCH(COLUMNS($AM$1006:BB1006),$AM$1006:$BM$1006,0)), HYPERLINK("#",""), HYPERLINK(CONCATENATE("#metadata!", ADDRESS(INDEX($AH$2:$AH$1001,MATCH(ROWS($AF$2:AF517),$AF$2:$AF$1001,0),0), INDEX($AM$1004:$BM$1004,1,MATCH(COLUMNS($AM$1006:BB1006),$AM$1006:$BM$1006,0)))),"Fix")))</f>
        <v xml:space="preserve"> </v>
      </c>
      <c r="R517" s="4" t="str">
        <f ca="1">IF(OR(INDEX($AG$2:$AG$1001,MATCH(ROWS($AF$2:AF517),$AF$2:$AF$1001,0),1)&gt;=100000,INDEX($AM$1005:$BM$1005,1,MATCH(COLUMNS($AM$1006:BC1006),$AM$1006:$BM$1006,0))&gt;=100000), " ",IF(INDEX($AM$2:$BM$1001,MATCH(ROWS($AF$2:AF517),$AF$2:$AF$1001,0),MATCH(COLUMNS($AM$1006:BC1006),$AM$1006:$BM$1006,0)), HYPERLINK("#",""), HYPERLINK(CONCATENATE("#metadata!", ADDRESS(INDEX($AH$2:$AH$1001,MATCH(ROWS($AF$2:AF517),$AF$2:$AF$1001,0),0), INDEX($AM$1004:$BM$1004,1,MATCH(COLUMNS($AM$1006:BC1006),$AM$1006:$BM$1006,0)))),"Fix")))</f>
        <v xml:space="preserve"> </v>
      </c>
      <c r="S517" s="4" t="str">
        <f ca="1">IF(OR(INDEX($AG$2:$AG$1001,MATCH(ROWS($AF$2:AF517),$AF$2:$AF$1001,0),1)&gt;=100000,INDEX($AM$1005:$BM$1005,1,MATCH(COLUMNS($AM$1006:BD1006),$AM$1006:$BM$1006,0))&gt;=100000), " ",IF(INDEX($AM$2:$BM$1001,MATCH(ROWS($AF$2:AF517),$AF$2:$AF$1001,0),MATCH(COLUMNS($AM$1006:BD1006),$AM$1006:$BM$1006,0)), HYPERLINK("#",""), HYPERLINK(CONCATENATE("#metadata!", ADDRESS(INDEX($AH$2:$AH$1001,MATCH(ROWS($AF$2:AF517),$AF$2:$AF$1001,0),0), INDEX($AM$1004:$BM$1004,1,MATCH(COLUMNS($AM$1006:BD1006),$AM$1006:$BM$1006,0)))),"Fix")))</f>
        <v xml:space="preserve"> </v>
      </c>
      <c r="T517" s="4" t="str">
        <f ca="1">IF(OR(INDEX($AG$2:$AG$1001,MATCH(ROWS($AF$2:AF517),$AF$2:$AF$1001,0),1)&gt;=100000,INDEX($AM$1005:$BM$1005,1,MATCH(COLUMNS($AM$1006:BE1006),$AM$1006:$BM$1006,0))&gt;=100000), " ",IF(INDEX($AM$2:$BM$1001,MATCH(ROWS($AF$2:AF517),$AF$2:$AF$1001,0),MATCH(COLUMNS($AM$1006:BE1006),$AM$1006:$BM$1006,0)), HYPERLINK("#",""), HYPERLINK(CONCATENATE("#metadata!", ADDRESS(INDEX($AH$2:$AH$1001,MATCH(ROWS($AF$2:AF517),$AF$2:$AF$1001,0),0), INDEX($AM$1004:$BM$1004,1,MATCH(COLUMNS($AM$1006:BE1006),$AM$1006:$BM$1006,0)))),"Fix")))</f>
        <v xml:space="preserve"> </v>
      </c>
      <c r="U517" s="4" t="str">
        <f ca="1">IF(OR(INDEX($AG$2:$AG$1001,MATCH(ROWS($AF$2:AF517),$AF$2:$AF$1001,0),1)&gt;=100000,INDEX($AM$1005:$BM$1005,1,MATCH(COLUMNS($AM$1006:BF1006),$AM$1006:$BM$1006,0))&gt;=100000), " ",IF(INDEX($AM$2:$BM$1001,MATCH(ROWS($AF$2:AF517),$AF$2:$AF$1001,0),MATCH(COLUMNS($AM$1006:BF1006),$AM$1006:$BM$1006,0)), HYPERLINK("#",""), HYPERLINK(CONCATENATE("#metadata!", ADDRESS(INDEX($AH$2:$AH$1001,MATCH(ROWS($AF$2:AF517),$AF$2:$AF$1001,0),0), INDEX($AM$1004:$BM$1004,1,MATCH(COLUMNS($AM$1006:BF1006),$AM$1006:$BM$1006,0)))),"Fix")))</f>
        <v xml:space="preserve"> </v>
      </c>
      <c r="V517" s="4" t="str">
        <f ca="1">IF(OR(INDEX($AG$2:$AG$1001,MATCH(ROWS($AF$2:AF517),$AF$2:$AF$1001,0),1)&gt;=100000,INDEX($AM$1005:$BM$1005,1,MATCH(COLUMNS($AM$1006:BG1006),$AM$1006:$BM$1006,0))&gt;=100000), " ",IF(INDEX($AM$2:$BM$1001,MATCH(ROWS($AF$2:AF517),$AF$2:$AF$1001,0),MATCH(COLUMNS($AM$1006:BG1006),$AM$1006:$BM$1006,0)), HYPERLINK("#",""), HYPERLINK(CONCATENATE("#metadata!", ADDRESS(INDEX($AH$2:$AH$1001,MATCH(ROWS($AF$2:AF517),$AF$2:$AF$1001,0),0), INDEX($AM$1004:$BM$1004,1,MATCH(COLUMNS($AM$1006:BG1006),$AM$1006:$BM$1006,0)))),"Fix")))</f>
        <v xml:space="preserve"> </v>
      </c>
      <c r="W517" s="4" t="str">
        <f ca="1">IF(OR(INDEX($AG$2:$AG$1001,MATCH(ROWS($AF$2:AF517),$AF$2:$AF$1001,0),1)&gt;=100000,INDEX($AM$1005:$BM$1005,1,MATCH(COLUMNS($AM$1006:BH1006),$AM$1006:$BM$1006,0))&gt;=100000), " ",IF(INDEX($AM$2:$BM$1001,MATCH(ROWS($AF$2:AF517),$AF$2:$AF$1001,0),MATCH(COLUMNS($AM$1006:BH1006),$AM$1006:$BM$1006,0)), HYPERLINK("#",""), HYPERLINK(CONCATENATE("#metadata!", ADDRESS(INDEX($AH$2:$AH$1001,MATCH(ROWS($AF$2:AF517),$AF$2:$AF$1001,0),0), INDEX($AM$1004:$BM$1004,1,MATCH(COLUMNS($AM$1006:BH1006),$AM$1006:$BM$1006,0)))),"Fix")))</f>
        <v xml:space="preserve"> </v>
      </c>
      <c r="X517" s="4" t="str">
        <f ca="1">IF(OR(INDEX($AG$2:$AG$1001,MATCH(ROWS($AF$2:AF517),$AF$2:$AF$1001,0),1)&gt;=100000,INDEX($AM$1005:$BM$1005,1,MATCH(COLUMNS($AM$1006:BI1006),$AM$1006:$BM$1006,0))&gt;=100000), " ",IF(INDEX($AM$2:$BM$1001,MATCH(ROWS($AF$2:AF517),$AF$2:$AF$1001,0),MATCH(COLUMNS($AM$1006:BI1006),$AM$1006:$BM$1006,0)), HYPERLINK("#",""), HYPERLINK(CONCATENATE("#metadata!", ADDRESS(INDEX($AH$2:$AH$1001,MATCH(ROWS($AF$2:AF517),$AF$2:$AF$1001,0),0), INDEX($AM$1004:$BM$1004,1,MATCH(COLUMNS($AM$1006:BI1006),$AM$1006:$BM$1006,0)))),"Fix")))</f>
        <v xml:space="preserve"> </v>
      </c>
      <c r="Y517" s="4" t="str">
        <f ca="1">IF(OR(INDEX($AG$2:$AG$1001,MATCH(ROWS($AF$2:AF517),$AF$2:$AF$1001,0),1)&gt;=100000,INDEX($AM$1005:$BM$1005,1,MATCH(COLUMNS($AM$1006:BJ1006),$AM$1006:$BM$1006,0))&gt;=100000), " ",IF(INDEX($AM$2:$BM$1001,MATCH(ROWS($AF$2:AF517),$AF$2:$AF$1001,0),MATCH(COLUMNS($AM$1006:BJ1006),$AM$1006:$BM$1006,0)), HYPERLINK("#",""), HYPERLINK(CONCATENATE("#metadata!", ADDRESS(INDEX($AH$2:$AH$1001,MATCH(ROWS($AF$2:AF517),$AF$2:$AF$1001,0),0), INDEX($AM$1004:$BM$1004,1,MATCH(COLUMNS($AM$1006:BJ1006),$AM$1006:$BM$1006,0)))),"Fix")))</f>
        <v xml:space="preserve"> </v>
      </c>
      <c r="Z517" s="4" t="str">
        <f ca="1">IF(OR(INDEX($AG$2:$AG$1001,MATCH(ROWS($AF$2:AF517),$AF$2:$AF$1001,0),1)&gt;=100000,INDEX($AM$1005:$BM$1005,1,MATCH(COLUMNS($AM$1006:BK1006),$AM$1006:$BM$1006,0))&gt;=100000), " ",IF(INDEX($AM$2:$BM$1001,MATCH(ROWS($AF$2:AF517),$AF$2:$AF$1001,0),MATCH(COLUMNS($AM$1006:BK1006),$AM$1006:$BM$1006,0)), HYPERLINK("#",""), HYPERLINK(CONCATENATE("#metadata!", ADDRESS(INDEX($AH$2:$AH$1001,MATCH(ROWS($AF$2:AF517),$AF$2:$AF$1001,0),0), INDEX($AM$1004:$BM$1004,1,MATCH(COLUMNS($AM$1006:BK1006),$AM$1006:$BM$1006,0)))),"Fix")))</f>
        <v xml:space="preserve"> </v>
      </c>
      <c r="AA517" s="4" t="str">
        <f ca="1">IF(OR(INDEX($AG$2:$AG$1001,MATCH(ROWS($AF$2:AF517),$AF$2:$AF$1001,0),1)&gt;=100000,INDEX($AM$1005:$BM$1005,1,MATCH(COLUMNS($AM$1006:BL1006),$AM$1006:$BM$1006,0))&gt;=100000), " ",IF(INDEX($AM$2:$BM$1001,MATCH(ROWS($AF$2:AF517),$AF$2:$AF$1001,0),MATCH(COLUMNS($AM$1006:BL1006),$AM$1006:$BM$1006,0)), HYPERLINK("#",""), HYPERLINK(CONCATENATE("#metadata!", ADDRESS(INDEX($AH$2:$AH$1001,MATCH(ROWS($AF$2:AF517),$AF$2:$AF$1001,0),0), INDEX($AM$1004:$BM$1004,1,MATCH(COLUMNS($AM$1006:BL1006),$AM$1006:$BM$1006,0)))),"Fix")))</f>
        <v xml:space="preserve"> </v>
      </c>
      <c r="AB517" s="4" t="str">
        <f ca="1">IF(OR(INDEX($AG$2:$AG$1001,MATCH(ROWS($AF$2:AF517),$AF$2:$AF$1001,0),1)&gt;=100000,INDEX($AM$1005:$BM$1005,1,MATCH(COLUMNS($AM$1006:BM1006),$AM$1006:$BM$1006,0))&gt;=100000), " ",IF(INDEX($AM$2:$BM$1001,MATCH(ROWS($AF$2:AF517),$AF$2:$AF$1001,0),MATCH(COLUMNS($AM$1006:BM1006),$AM$1006:$BM$1006,0)), HYPERLINK("#",""), HYPERLINK(CONCATENATE("#metadata!", ADDRESS(INDEX($AH$2:$AH$1001,MATCH(ROWS($AF$2:AF517),$AF$2:$AF$1001,0),0), INDEX($AM$1004:$BM$1004,1,MATCH(COLUMNS($AM$1006:BM1006),$AM$1006:$BM$1006,0)))),"Fix")))</f>
        <v xml:space="preserve"> </v>
      </c>
      <c r="AF517">
        <v>516</v>
      </c>
      <c r="AG517">
        <v>100517</v>
      </c>
      <c r="AH517">
        <v>517</v>
      </c>
      <c r="AI517" t="b">
        <f t="shared" si="8"/>
        <v>1</v>
      </c>
      <c r="AJ517" t="b">
        <f>COUNTBLANK(metadata!B517:AB517)=COLUMNS(metadata!B517:AB517)</f>
        <v>1</v>
      </c>
      <c r="AK517" t="str">
        <v/>
      </c>
      <c r="AM517" t="b">
        <f ca="1">AND(IF(metadata!B517="",FALSE,TRUE),COUNTIF(metadata!B:B, metadata!B517) = 1,NOT(ISERROR(SUMPRODUCT(SEARCH(MID(metadata!B517,ROW(INDIRECT("1:"&amp;LEN(metadata!B517))), 1),"0123456789abcdefghijklmnopqrstuvwxyzABCDEFGHIJKLMNOPQRSTUVWXYZ.")))))</f>
        <v>0</v>
      </c>
      <c r="AN517" t="b">
        <f ca="1">OR(AND(IF(metadata!C517="",FALSE,TRUE),OR(EXACT(metadata!C517,"missing: not collected"),EXACT(metadata!C517,"missing: not provided"),EXACT(metadata!C517,"missing: restricted access"))),AND(IF(metadata!C517="",FALSE,TRUE),AND(AND(IFERROR(INT(LEFT(metadata!C517,4))&gt;1900,FALSE),IFERROR(INT(LEFT(metadata!C517,4))&lt;=YEAR(NOW()),FALSE)), OR(MID(metadata!C517,5,1)="", AND(AND(MID(metadata!C517,5,1)="-",IFERROR(INT(MID(metadata!C517,6,1))&gt;=0,FALSE),IFERROR(INT(MID(metadata!C517,6,1))&lt;=1,FALSE),NOT(MID(metadata!C517,7,1)=""),IFERROR(INT(MID(metadata!C517,6,2))&gt;=1,FALSE),IFERROR(INT(MID(metadata!C517,6,2))&lt;=12,FALSE)), OR(MID(metadata!C517,8,1)="", AND(AND(MID(metadata!C517,8,1)="-",IFERROR(INT(MID(metadata!C517,9,1))&gt;=0,FALSE),IFERROR(INT(MID(metadata!C517,9,1))&lt;=3,FALSE),NOT(MID(metadata!C517,10,1)=""),IFERROR(INT(MID(metadata!C517,9,2))&gt;=1,FALSE),IFERROR(INT(MID(metadata!C517,9,2))&lt;=31,FALSE)), OR(MID(metadata!C517,11,1)="", AND(AND(MID(metadata!C517,11,1)=" ",IFERROR(INT(MID(metadata!C517,12,1))&gt;=0,FALSE),IFERROR(INT(MID(metadata!C517,12,1))&lt;=2,FALSE),NOT(MID(metadata!C517,13,1)=""),IFERROR(INT(MID(metadata!C517,12,2))&gt;=0,FALSE),IFERROR(INT(MID(metadata!C517,12,2))&lt;=23,FALSE)), OR(MID(metadata!C517,14,1)="", AND(AND(MID(metadata!C517,14,1)=":",IFERROR(INT(MID(metadata!C517,15,1))&gt;=0,FALSE),IFERROR(INT(MID(metadata!C517,15,1))&lt;=5,FALSE),NOT(MID(metadata!C517,16,1)=""),IFERROR(INT(MID(metadata!C517,15,2))&gt;=0,FALSE),IFERROR(INT(MID(metadata!C517,15,2))&lt;=59,FALSE)), OR(MID(metadata!C517,17,1)="", AND(AND(MID(metadata!C517,17,1)=":",IFERROR(INT(MID(metadata!C517,18,1))&gt;=0,FALSE),IFERROR(INT(MID(metadata!C517,18,1))&lt;=5,FALSE),NOT(MID(metadata!C517,19,1)=""),IFERROR(INT(MID(metadata!C517,18,2))&gt;=0,FALSE),IFERROR(INT(MID(metadata!C517,18,2))&lt;=59,FALSE)), LEN(metadata!C517)&lt;=19)))))))))))))</f>
        <v>0</v>
      </c>
      <c r="AO517" t="b">
        <f>AND(IF(metadata!D517="",FALSE,TRUE),EXACT(metadata!D517,"Not applicable"))</f>
        <v>0</v>
      </c>
      <c r="AP517" t="b">
        <f>IF(metadata!E517="",FALSE,TRUE)</f>
        <v>0</v>
      </c>
      <c r="AQ517" t="b">
        <f>OR(AND(IF(metadata!F517="",FALSE,TRUE),OR(EXACT(metadata!F517,"missing: not collected"),EXACT(metadata!F517,"missing: not provided"))),AND(IF(metadata!F517="",FALSE,TRUE),OR(EXACT(metadata!F517,"TRUE"),EXACT(metadata!F517,"FALSE"))))</f>
        <v>0</v>
      </c>
      <c r="AR517" t="b">
        <f>OR(AND(IF(metadata!G517="",FALSE,TRUE),OR(EXACT(metadata!G517,"missing: not collected"),EXACT(metadata!G517,"missing: not provided"),EXACT(metadata!G517,"missing: restricted access"))),AND(IF(metadata!G517="",FALSE,ISNUMBER(VALUE(metadata!G517))),metadata!G517&gt;=-413))</f>
        <v>0</v>
      </c>
      <c r="AS517" t="b">
        <f>AND(IF(metadata!H517="",FALSE,TRUE),EXACT(metadata!H517,"meters"))</f>
        <v>0</v>
      </c>
      <c r="AT517" t="b">
        <f>AND(IF(metadata!I517="",FALSE,TRUE),OR(EXACT(metadata!I517,"Host-associated"),EXACT(metadata!I517,"Free-living")))</f>
        <v>0</v>
      </c>
      <c r="AU517" t="b">
        <f>AND(IF(metadata!J517="",FALSE,TRUE),OR(EXACT(metadata!J517,"Animal"),EXACT(metadata!J517,"Fungus"),EXACT(metadata!J517,"Plant"),EXACT(metadata!J517,"Saline"),EXACT(metadata!J517,"Non-saline")))</f>
        <v>0</v>
      </c>
      <c r="AV517" t="b">
        <f>AND(IF(metadata!K517="",FALSE,TRUE),OR(EXACT(metadata!K517,"Plant secretion"),EXACT(metadata!K517,"Plant rhizosphere"),EXACT(metadata!K517,"Plant surface"),EXACT(metadata!K517,"Plant corpus"),EXACT(metadata!K517,"Fungus surface"),EXACT(metadata!K517,"Fungus corpus"),EXACT(metadata!K517,"Animal surface"),EXACT(metadata!K517,"Animal proximal gut"),EXACT(metadata!K517,"Animal corpus"),EXACT(metadata!K517,"Animal distal gut"),EXACT(metadata!K517,"Animal secretion"),EXACT(metadata!K517,"Sub-surface (non-saline)"),EXACT(metadata!K517,"Surface (non-saline)"),EXACT(metadata!K517,"Water (non-saline)"),EXACT(metadata!K517,"Soil (non-saline)"),EXACT(metadata!K517,"Aerosol (non-saline)"),EXACT(metadata!K517,"Sediment (non-saline)"),EXACT(metadata!K517,"Surface (saline)"),EXACT(metadata!K517,"Water (saline)"),EXACT(metadata!K517,"Hypersaline (saline)"),EXACT(metadata!K517,"Aerosol (saline)"),EXACT(metadata!K517,"Sediment (saline)")))</f>
        <v>0</v>
      </c>
      <c r="AW517" t="b">
        <f>IF(metadata!L517="",FALSE,TRUE)</f>
        <v>0</v>
      </c>
      <c r="AX517" t="b">
        <f>IF(metadata!M517="",FALSE,TRUE)</f>
        <v>0</v>
      </c>
      <c r="AY517" t="b">
        <f>IF(metadata!N517="",FALSE,TRUE)</f>
        <v>0</v>
      </c>
      <c r="AZ517" t="b">
        <f>OR(AND(IF(metadata!O517="",FALSE,TRUE),OR(EXACT(metadata!O517,"missing: not collected"),EXACT(metadata!O517,"missing: not provided"),EXACT(metadata!O517,"missing: restricted access"))),AND(IF(metadata!O517="",FALSE,TRUE),OR(EXACT(metadata!O517,"air"),EXACT(metadata!O517,"built environment"),EXACT(metadata!O517,"host-associated"),EXACT(metadata!O517,"human-associated"),EXACT(metadata!O517,"human-skin"),EXACT(metadata!O517,"human-oral"),EXACT(metadata!O517,"human-gut"),EXACT(metadata!O517,"human-vaginal"),EXACT(metadata!O517,"microbial mat/biofilm"),EXACT(metadata!O517,"misc environment"),EXACT(metadata!O517,"plant-associated"),EXACT(metadata!O517,"sediment"),EXACT(metadata!O517,"soil"),EXACT(metadata!O517,"wastewater/sludge"),EXACT(metadata!O517,"water"))))</f>
        <v>0</v>
      </c>
      <c r="BA517" t="b">
        <f>IF(metadata!P517="",FALSE,TRUE)</f>
        <v>0</v>
      </c>
      <c r="BB517" t="b">
        <f>IF(metadata!Q517="",FALSE,TRUE)</f>
        <v>0</v>
      </c>
      <c r="BC517" t="b">
        <f>OR(AND(IF(metadata!R517="",FALSE,TRUE),OR(EXACT(metadata!R517,"missing: not collected"),EXACT(metadata!R517,"missing: not provided"),EXACT(metadata!R517,"missing: restricted access"))),AND(IF(metadata!R517="",FALSE,ISNUMBER(VALUE(metadata!R517))),metadata!R517&gt;=-90,metadata!R517&lt;=90))</f>
        <v>0</v>
      </c>
      <c r="BD517" t="b">
        <f>AND(IF(metadata!S517="",FALSE,TRUE),EXACT(metadata!S517,"Decimal degrees"))</f>
        <v>0</v>
      </c>
      <c r="BE517" t="b">
        <f>OR(AND(IF(metadata!T517="",FALSE,TRUE),OR(EXACT(metadata!T517,"missing: not collected"),EXACT(metadata!T517,"missing: not provided"),EXACT(metadata!T517,"missing: restricted access"))),AND(IF(metadata!T517="",FALSE,ISNUMBER(VALUE(metadata!T517))),metadata!T517&gt;=-180,metadata!T517&lt;=180))</f>
        <v>0</v>
      </c>
      <c r="BF517" t="b">
        <f>AND(IF(metadata!U517="",FALSE,TRUE),EXACT(metadata!U517,"Decimal degrees"))</f>
        <v>0</v>
      </c>
      <c r="BG517" t="b">
        <f>IF(metadata!V517="",FALSE,TRUE)</f>
        <v>0</v>
      </c>
      <c r="BH517" t="b">
        <f>OR(AND(IF(metadata!W517="",FALSE,TRUE),OR(EXACT(metadata!W517,"missing: not collected"),EXACT(metadata!W517,"missing: not provided"),EXACT(metadata!W517,"missing: restricted access"))),AND(IF(metadata!W517="",FALSE,TRUE),OR(EXACT(metadata!W517,"TRUE"),EXACT(metadata!W517,"FALSE"))))</f>
        <v>0</v>
      </c>
      <c r="BI517" t="b">
        <f>AND(IF(metadata!X517="",FALSE,TRUE),EXACT(metadata!X517,"other"))</f>
        <v>0</v>
      </c>
      <c r="BJ517" t="b">
        <f>IF(metadata!Y517="",FALSE,TRUE)</f>
        <v>0</v>
      </c>
      <c r="BK517" t="b">
        <f>OR(AND(IF(metadata!Z517="",FALSE,TRUE),OR(EXACT(metadata!Z517,"missing: not collected"),EXACT(metadata!Z517,"missing: not provided"))),AND(IF(metadata!Z517="",FALSE,IF(ISERROR(INT(metadata!Z517)),FALSE,INT(metadata!Z517)=metadata!Z517)),metadata!Z517&gt;0))</f>
        <v>0</v>
      </c>
      <c r="BL517" t="b">
        <f>AND(IF(metadata!AA517="",FALSE,TRUE),EXACT(metadata!AA517,"Not applicable"))</f>
        <v>0</v>
      </c>
      <c r="BM517" t="b">
        <f>IF(metadata!AB517="",FALSE,TRUE)</f>
        <v>0</v>
      </c>
    </row>
    <row r="518" spans="1:65" x14ac:dyDescent="0.2">
      <c r="A518" s="5" t="str">
        <f ca="1">IF(B518=" "," ",HYPERLINK(CONCATENATE("#metadata!",ADDRESS(INDEX($AH$2:$AH$1001,MATCH(ROWS($AF$2:AF518),$AF$2:$AF$1001,0),0),1)),INDEX($AK$2:$AK$1001,MATCH(ROWS($AF$2:AF518),$AF$2:$AF$1001,0),0)))</f>
        <v xml:space="preserve"> </v>
      </c>
      <c r="B518" s="4" t="str">
        <f ca="1">IF(OR(INDEX($AG$2:$AG$1001,MATCH(ROWS($AF$2:AF518),$AF$2:$AF$1001,0),1)&gt;=100000,INDEX($AM$1005:$BM$1005,1,MATCH(COLUMNS($AM$1006:AM1006),$AM$1006:$BM$1006,0))&gt;=100000), " ",IF(INDEX($AM$2:$BM$1001,MATCH(ROWS($AF$2:AF518),$AF$2:$AF$1001,0),MATCH(COLUMNS($AM$1006:AM1006),$AM$1006:$BM$1006,0)), HYPERLINK("#",""), HYPERLINK(CONCATENATE("#metadata!", ADDRESS(INDEX($AH$2:$AH$1001,MATCH(ROWS($AF$2:AF518),$AF$2:$AF$1001,0),0), INDEX($AM$1004:$BM$1004,1,MATCH(COLUMNS($AM$1006:AM1006),$AM$1006:$BM$1006,0)))),"Fix")))</f>
        <v xml:space="preserve"> </v>
      </c>
      <c r="C518" s="4" t="str">
        <f ca="1">IF(OR(INDEX($AG$2:$AG$1001,MATCH(ROWS($AF$2:AF518),$AF$2:$AF$1001,0),1)&gt;=100000,INDEX($AM$1005:$BM$1005,1,MATCH(COLUMNS($AM$1006:AN1006),$AM$1006:$BM$1006,0))&gt;=100000), " ",IF(INDEX($AM$2:$BM$1001,MATCH(ROWS($AF$2:AF518),$AF$2:$AF$1001,0),MATCH(COLUMNS($AM$1006:AN1006),$AM$1006:$BM$1006,0)), HYPERLINK("#",""), HYPERLINK(CONCATENATE("#metadata!", ADDRESS(INDEX($AH$2:$AH$1001,MATCH(ROWS($AF$2:AF518),$AF$2:$AF$1001,0),0), INDEX($AM$1004:$BM$1004,1,MATCH(COLUMNS($AM$1006:AN1006),$AM$1006:$BM$1006,0)))),"Fix")))</f>
        <v xml:space="preserve"> </v>
      </c>
      <c r="D518" s="4" t="str">
        <f ca="1">IF(OR(INDEX($AG$2:$AG$1001,MATCH(ROWS($AF$2:AF518),$AF$2:$AF$1001,0),1)&gt;=100000,INDEX($AM$1005:$BM$1005,1,MATCH(COLUMNS($AM$1006:AO1006),$AM$1006:$BM$1006,0))&gt;=100000), " ",IF(INDEX($AM$2:$BM$1001,MATCH(ROWS($AF$2:AF518),$AF$2:$AF$1001,0),MATCH(COLUMNS($AM$1006:AO1006),$AM$1006:$BM$1006,0)), HYPERLINK("#",""), HYPERLINK(CONCATENATE("#metadata!", ADDRESS(INDEX($AH$2:$AH$1001,MATCH(ROWS($AF$2:AF518),$AF$2:$AF$1001,0),0), INDEX($AM$1004:$BM$1004,1,MATCH(COLUMNS($AM$1006:AO1006),$AM$1006:$BM$1006,0)))),"Fix")))</f>
        <v xml:space="preserve"> </v>
      </c>
      <c r="E518" s="4" t="str">
        <f ca="1">IF(OR(INDEX($AG$2:$AG$1001,MATCH(ROWS($AF$2:AF518),$AF$2:$AF$1001,0),1)&gt;=100000,INDEX($AM$1005:$BM$1005,1,MATCH(COLUMNS($AM$1006:AP1006),$AM$1006:$BM$1006,0))&gt;=100000), " ",IF(INDEX($AM$2:$BM$1001,MATCH(ROWS($AF$2:AF518),$AF$2:$AF$1001,0),MATCH(COLUMNS($AM$1006:AP1006),$AM$1006:$BM$1006,0)), HYPERLINK("#",""), HYPERLINK(CONCATENATE("#metadata!", ADDRESS(INDEX($AH$2:$AH$1001,MATCH(ROWS($AF$2:AF518),$AF$2:$AF$1001,0),0), INDEX($AM$1004:$BM$1004,1,MATCH(COLUMNS($AM$1006:AP1006),$AM$1006:$BM$1006,0)))),"Fix")))</f>
        <v xml:space="preserve"> </v>
      </c>
      <c r="F518" s="4" t="str">
        <f ca="1">IF(OR(INDEX($AG$2:$AG$1001,MATCH(ROWS($AF$2:AF518),$AF$2:$AF$1001,0),1)&gt;=100000,INDEX($AM$1005:$BM$1005,1,MATCH(COLUMNS($AM$1006:AQ1006),$AM$1006:$BM$1006,0))&gt;=100000), " ",IF(INDEX($AM$2:$BM$1001,MATCH(ROWS($AF$2:AF518),$AF$2:$AF$1001,0),MATCH(COLUMNS($AM$1006:AQ1006),$AM$1006:$BM$1006,0)), HYPERLINK("#",""), HYPERLINK(CONCATENATE("#metadata!", ADDRESS(INDEX($AH$2:$AH$1001,MATCH(ROWS($AF$2:AF518),$AF$2:$AF$1001,0),0), INDEX($AM$1004:$BM$1004,1,MATCH(COLUMNS($AM$1006:AQ1006),$AM$1006:$BM$1006,0)))),"Fix")))</f>
        <v xml:space="preserve"> </v>
      </c>
      <c r="G518" s="4" t="str">
        <f ca="1">IF(OR(INDEX($AG$2:$AG$1001,MATCH(ROWS($AF$2:AF518),$AF$2:$AF$1001,0),1)&gt;=100000,INDEX($AM$1005:$BM$1005,1,MATCH(COLUMNS($AM$1006:AR1006),$AM$1006:$BM$1006,0))&gt;=100000), " ",IF(INDEX($AM$2:$BM$1001,MATCH(ROWS($AF$2:AF518),$AF$2:$AF$1001,0),MATCH(COLUMNS($AM$1006:AR1006),$AM$1006:$BM$1006,0)), HYPERLINK("#",""), HYPERLINK(CONCATENATE("#metadata!", ADDRESS(INDEX($AH$2:$AH$1001,MATCH(ROWS($AF$2:AF518),$AF$2:$AF$1001,0),0), INDEX($AM$1004:$BM$1004,1,MATCH(COLUMNS($AM$1006:AR1006),$AM$1006:$BM$1006,0)))),"Fix")))</f>
        <v xml:space="preserve"> </v>
      </c>
      <c r="H518" s="4" t="str">
        <f ca="1">IF(OR(INDEX($AG$2:$AG$1001,MATCH(ROWS($AF$2:AF518),$AF$2:$AF$1001,0),1)&gt;=100000,INDEX($AM$1005:$BM$1005,1,MATCH(COLUMNS($AM$1006:AS1006),$AM$1006:$BM$1006,0))&gt;=100000), " ",IF(INDEX($AM$2:$BM$1001,MATCH(ROWS($AF$2:AF518),$AF$2:$AF$1001,0),MATCH(COLUMNS($AM$1006:AS1006),$AM$1006:$BM$1006,0)), HYPERLINK("#",""), HYPERLINK(CONCATENATE("#metadata!", ADDRESS(INDEX($AH$2:$AH$1001,MATCH(ROWS($AF$2:AF518),$AF$2:$AF$1001,0),0), INDEX($AM$1004:$BM$1004,1,MATCH(COLUMNS($AM$1006:AS1006),$AM$1006:$BM$1006,0)))),"Fix")))</f>
        <v xml:space="preserve"> </v>
      </c>
      <c r="I518" s="4" t="str">
        <f ca="1">IF(OR(INDEX($AG$2:$AG$1001,MATCH(ROWS($AF$2:AF518),$AF$2:$AF$1001,0),1)&gt;=100000,INDEX($AM$1005:$BM$1005,1,MATCH(COLUMNS($AM$1006:AT1006),$AM$1006:$BM$1006,0))&gt;=100000), " ",IF(INDEX($AM$2:$BM$1001,MATCH(ROWS($AF$2:AF518),$AF$2:$AF$1001,0),MATCH(COLUMNS($AM$1006:AT1006),$AM$1006:$BM$1006,0)), HYPERLINK("#",""), HYPERLINK(CONCATENATE("#metadata!", ADDRESS(INDEX($AH$2:$AH$1001,MATCH(ROWS($AF$2:AF518),$AF$2:$AF$1001,0),0), INDEX($AM$1004:$BM$1004,1,MATCH(COLUMNS($AM$1006:AT1006),$AM$1006:$BM$1006,0)))),"Fix")))</f>
        <v xml:space="preserve"> </v>
      </c>
      <c r="J518" s="4" t="str">
        <f ca="1">IF(OR(INDEX($AG$2:$AG$1001,MATCH(ROWS($AF$2:AF518),$AF$2:$AF$1001,0),1)&gt;=100000,INDEX($AM$1005:$BM$1005,1,MATCH(COLUMNS($AM$1006:AU1006),$AM$1006:$BM$1006,0))&gt;=100000), " ",IF(INDEX($AM$2:$BM$1001,MATCH(ROWS($AF$2:AF518),$AF$2:$AF$1001,0),MATCH(COLUMNS($AM$1006:AU1006),$AM$1006:$BM$1006,0)), HYPERLINK("#",""), HYPERLINK(CONCATENATE("#metadata!", ADDRESS(INDEX($AH$2:$AH$1001,MATCH(ROWS($AF$2:AF518),$AF$2:$AF$1001,0),0), INDEX($AM$1004:$BM$1004,1,MATCH(COLUMNS($AM$1006:AU1006),$AM$1006:$BM$1006,0)))),"Fix")))</f>
        <v xml:space="preserve"> </v>
      </c>
      <c r="K518" s="4" t="str">
        <f ca="1">IF(OR(INDEX($AG$2:$AG$1001,MATCH(ROWS($AF$2:AF518),$AF$2:$AF$1001,0),1)&gt;=100000,INDEX($AM$1005:$BM$1005,1,MATCH(COLUMNS($AM$1006:AV1006),$AM$1006:$BM$1006,0))&gt;=100000), " ",IF(INDEX($AM$2:$BM$1001,MATCH(ROWS($AF$2:AF518),$AF$2:$AF$1001,0),MATCH(COLUMNS($AM$1006:AV1006),$AM$1006:$BM$1006,0)), HYPERLINK("#",""), HYPERLINK(CONCATENATE("#metadata!", ADDRESS(INDEX($AH$2:$AH$1001,MATCH(ROWS($AF$2:AF518),$AF$2:$AF$1001,0),0), INDEX($AM$1004:$BM$1004,1,MATCH(COLUMNS($AM$1006:AV1006),$AM$1006:$BM$1006,0)))),"Fix")))</f>
        <v xml:space="preserve"> </v>
      </c>
      <c r="L518" s="4" t="str">
        <f ca="1">IF(OR(INDEX($AG$2:$AG$1001,MATCH(ROWS($AF$2:AF518),$AF$2:$AF$1001,0),1)&gt;=100000,INDEX($AM$1005:$BM$1005,1,MATCH(COLUMNS($AM$1006:AW1006),$AM$1006:$BM$1006,0))&gt;=100000), " ",IF(INDEX($AM$2:$BM$1001,MATCH(ROWS($AF$2:AF518),$AF$2:$AF$1001,0),MATCH(COLUMNS($AM$1006:AW1006),$AM$1006:$BM$1006,0)), HYPERLINK("#",""), HYPERLINK(CONCATENATE("#metadata!", ADDRESS(INDEX($AH$2:$AH$1001,MATCH(ROWS($AF$2:AF518),$AF$2:$AF$1001,0),0), INDEX($AM$1004:$BM$1004,1,MATCH(COLUMNS($AM$1006:AW1006),$AM$1006:$BM$1006,0)))),"Fix")))</f>
        <v xml:space="preserve"> </v>
      </c>
      <c r="M518" s="4" t="str">
        <f ca="1">IF(OR(INDEX($AG$2:$AG$1001,MATCH(ROWS($AF$2:AF518),$AF$2:$AF$1001,0),1)&gt;=100000,INDEX($AM$1005:$BM$1005,1,MATCH(COLUMNS($AM$1006:AX1006),$AM$1006:$BM$1006,0))&gt;=100000), " ",IF(INDEX($AM$2:$BM$1001,MATCH(ROWS($AF$2:AF518),$AF$2:$AF$1001,0),MATCH(COLUMNS($AM$1006:AX1006),$AM$1006:$BM$1006,0)), HYPERLINK("#",""), HYPERLINK(CONCATENATE("#metadata!", ADDRESS(INDEX($AH$2:$AH$1001,MATCH(ROWS($AF$2:AF518),$AF$2:$AF$1001,0),0), INDEX($AM$1004:$BM$1004,1,MATCH(COLUMNS($AM$1006:AX1006),$AM$1006:$BM$1006,0)))),"Fix")))</f>
        <v xml:space="preserve"> </v>
      </c>
      <c r="N518" s="4" t="str">
        <f ca="1">IF(OR(INDEX($AG$2:$AG$1001,MATCH(ROWS($AF$2:AF518),$AF$2:$AF$1001,0),1)&gt;=100000,INDEX($AM$1005:$BM$1005,1,MATCH(COLUMNS($AM$1006:AY1006),$AM$1006:$BM$1006,0))&gt;=100000), " ",IF(INDEX($AM$2:$BM$1001,MATCH(ROWS($AF$2:AF518),$AF$2:$AF$1001,0),MATCH(COLUMNS($AM$1006:AY1006),$AM$1006:$BM$1006,0)), HYPERLINK("#",""), HYPERLINK(CONCATENATE("#metadata!", ADDRESS(INDEX($AH$2:$AH$1001,MATCH(ROWS($AF$2:AF518),$AF$2:$AF$1001,0),0), INDEX($AM$1004:$BM$1004,1,MATCH(COLUMNS($AM$1006:AY1006),$AM$1006:$BM$1006,0)))),"Fix")))</f>
        <v xml:space="preserve"> </v>
      </c>
      <c r="O518" s="4" t="str">
        <f ca="1">IF(OR(INDEX($AG$2:$AG$1001,MATCH(ROWS($AF$2:AF518),$AF$2:$AF$1001,0),1)&gt;=100000,INDEX($AM$1005:$BM$1005,1,MATCH(COLUMNS($AM$1006:AZ1006),$AM$1006:$BM$1006,0))&gt;=100000), " ",IF(INDEX($AM$2:$BM$1001,MATCH(ROWS($AF$2:AF518),$AF$2:$AF$1001,0),MATCH(COLUMNS($AM$1006:AZ1006),$AM$1006:$BM$1006,0)), HYPERLINK("#",""), HYPERLINK(CONCATENATE("#metadata!", ADDRESS(INDEX($AH$2:$AH$1001,MATCH(ROWS($AF$2:AF518),$AF$2:$AF$1001,0),0), INDEX($AM$1004:$BM$1004,1,MATCH(COLUMNS($AM$1006:AZ1006),$AM$1006:$BM$1006,0)))),"Fix")))</f>
        <v xml:space="preserve"> </v>
      </c>
      <c r="P518" s="4" t="str">
        <f ca="1">IF(OR(INDEX($AG$2:$AG$1001,MATCH(ROWS($AF$2:AF518),$AF$2:$AF$1001,0),1)&gt;=100000,INDEX($AM$1005:$BM$1005,1,MATCH(COLUMNS($AM$1006:BA1006),$AM$1006:$BM$1006,0))&gt;=100000), " ",IF(INDEX($AM$2:$BM$1001,MATCH(ROWS($AF$2:AF518),$AF$2:$AF$1001,0),MATCH(COLUMNS($AM$1006:BA1006),$AM$1006:$BM$1006,0)), HYPERLINK("#",""), HYPERLINK(CONCATENATE("#metadata!", ADDRESS(INDEX($AH$2:$AH$1001,MATCH(ROWS($AF$2:AF518),$AF$2:$AF$1001,0),0), INDEX($AM$1004:$BM$1004,1,MATCH(COLUMNS($AM$1006:BA1006),$AM$1006:$BM$1006,0)))),"Fix")))</f>
        <v xml:space="preserve"> </v>
      </c>
      <c r="Q518" s="4" t="str">
        <f ca="1">IF(OR(INDEX($AG$2:$AG$1001,MATCH(ROWS($AF$2:AF518),$AF$2:$AF$1001,0),1)&gt;=100000,INDEX($AM$1005:$BM$1005,1,MATCH(COLUMNS($AM$1006:BB1006),$AM$1006:$BM$1006,0))&gt;=100000), " ",IF(INDEX($AM$2:$BM$1001,MATCH(ROWS($AF$2:AF518),$AF$2:$AF$1001,0),MATCH(COLUMNS($AM$1006:BB1006),$AM$1006:$BM$1006,0)), HYPERLINK("#",""), HYPERLINK(CONCATENATE("#metadata!", ADDRESS(INDEX($AH$2:$AH$1001,MATCH(ROWS($AF$2:AF518),$AF$2:$AF$1001,0),0), INDEX($AM$1004:$BM$1004,1,MATCH(COLUMNS($AM$1006:BB1006),$AM$1006:$BM$1006,0)))),"Fix")))</f>
        <v xml:space="preserve"> </v>
      </c>
      <c r="R518" s="4" t="str">
        <f ca="1">IF(OR(INDEX($AG$2:$AG$1001,MATCH(ROWS($AF$2:AF518),$AF$2:$AF$1001,0),1)&gt;=100000,INDEX($AM$1005:$BM$1005,1,MATCH(COLUMNS($AM$1006:BC1006),$AM$1006:$BM$1006,0))&gt;=100000), " ",IF(INDEX($AM$2:$BM$1001,MATCH(ROWS($AF$2:AF518),$AF$2:$AF$1001,0),MATCH(COLUMNS($AM$1006:BC1006),$AM$1006:$BM$1006,0)), HYPERLINK("#",""), HYPERLINK(CONCATENATE("#metadata!", ADDRESS(INDEX($AH$2:$AH$1001,MATCH(ROWS($AF$2:AF518),$AF$2:$AF$1001,0),0), INDEX($AM$1004:$BM$1004,1,MATCH(COLUMNS($AM$1006:BC1006),$AM$1006:$BM$1006,0)))),"Fix")))</f>
        <v xml:space="preserve"> </v>
      </c>
      <c r="S518" s="4" t="str">
        <f ca="1">IF(OR(INDEX($AG$2:$AG$1001,MATCH(ROWS($AF$2:AF518),$AF$2:$AF$1001,0),1)&gt;=100000,INDEX($AM$1005:$BM$1005,1,MATCH(COLUMNS($AM$1006:BD1006),$AM$1006:$BM$1006,0))&gt;=100000), " ",IF(INDEX($AM$2:$BM$1001,MATCH(ROWS($AF$2:AF518),$AF$2:$AF$1001,0),MATCH(COLUMNS($AM$1006:BD1006),$AM$1006:$BM$1006,0)), HYPERLINK("#",""), HYPERLINK(CONCATENATE("#metadata!", ADDRESS(INDEX($AH$2:$AH$1001,MATCH(ROWS($AF$2:AF518),$AF$2:$AF$1001,0),0), INDEX($AM$1004:$BM$1004,1,MATCH(COLUMNS($AM$1006:BD1006),$AM$1006:$BM$1006,0)))),"Fix")))</f>
        <v xml:space="preserve"> </v>
      </c>
      <c r="T518" s="4" t="str">
        <f ca="1">IF(OR(INDEX($AG$2:$AG$1001,MATCH(ROWS($AF$2:AF518),$AF$2:$AF$1001,0),1)&gt;=100000,INDEX($AM$1005:$BM$1005,1,MATCH(COLUMNS($AM$1006:BE1006),$AM$1006:$BM$1006,0))&gt;=100000), " ",IF(INDEX($AM$2:$BM$1001,MATCH(ROWS($AF$2:AF518),$AF$2:$AF$1001,0),MATCH(COLUMNS($AM$1006:BE1006),$AM$1006:$BM$1006,0)), HYPERLINK("#",""), HYPERLINK(CONCATENATE("#metadata!", ADDRESS(INDEX($AH$2:$AH$1001,MATCH(ROWS($AF$2:AF518),$AF$2:$AF$1001,0),0), INDEX($AM$1004:$BM$1004,1,MATCH(COLUMNS($AM$1006:BE1006),$AM$1006:$BM$1006,0)))),"Fix")))</f>
        <v xml:space="preserve"> </v>
      </c>
      <c r="U518" s="4" t="str">
        <f ca="1">IF(OR(INDEX($AG$2:$AG$1001,MATCH(ROWS($AF$2:AF518),$AF$2:$AF$1001,0),1)&gt;=100000,INDEX($AM$1005:$BM$1005,1,MATCH(COLUMNS($AM$1006:BF1006),$AM$1006:$BM$1006,0))&gt;=100000), " ",IF(INDEX($AM$2:$BM$1001,MATCH(ROWS($AF$2:AF518),$AF$2:$AF$1001,0),MATCH(COLUMNS($AM$1006:BF1006),$AM$1006:$BM$1006,0)), HYPERLINK("#",""), HYPERLINK(CONCATENATE("#metadata!", ADDRESS(INDEX($AH$2:$AH$1001,MATCH(ROWS($AF$2:AF518),$AF$2:$AF$1001,0),0), INDEX($AM$1004:$BM$1004,1,MATCH(COLUMNS($AM$1006:BF1006),$AM$1006:$BM$1006,0)))),"Fix")))</f>
        <v xml:space="preserve"> </v>
      </c>
      <c r="V518" s="4" t="str">
        <f ca="1">IF(OR(INDEX($AG$2:$AG$1001,MATCH(ROWS($AF$2:AF518),$AF$2:$AF$1001,0),1)&gt;=100000,INDEX($AM$1005:$BM$1005,1,MATCH(COLUMNS($AM$1006:BG1006),$AM$1006:$BM$1006,0))&gt;=100000), " ",IF(INDEX($AM$2:$BM$1001,MATCH(ROWS($AF$2:AF518),$AF$2:$AF$1001,0),MATCH(COLUMNS($AM$1006:BG1006),$AM$1006:$BM$1006,0)), HYPERLINK("#",""), HYPERLINK(CONCATENATE("#metadata!", ADDRESS(INDEX($AH$2:$AH$1001,MATCH(ROWS($AF$2:AF518),$AF$2:$AF$1001,0),0), INDEX($AM$1004:$BM$1004,1,MATCH(COLUMNS($AM$1006:BG1006),$AM$1006:$BM$1006,0)))),"Fix")))</f>
        <v xml:space="preserve"> </v>
      </c>
      <c r="W518" s="4" t="str">
        <f ca="1">IF(OR(INDEX($AG$2:$AG$1001,MATCH(ROWS($AF$2:AF518),$AF$2:$AF$1001,0),1)&gt;=100000,INDEX($AM$1005:$BM$1005,1,MATCH(COLUMNS($AM$1006:BH1006),$AM$1006:$BM$1006,0))&gt;=100000), " ",IF(INDEX($AM$2:$BM$1001,MATCH(ROWS($AF$2:AF518),$AF$2:$AF$1001,0),MATCH(COLUMNS($AM$1006:BH1006),$AM$1006:$BM$1006,0)), HYPERLINK("#",""), HYPERLINK(CONCATENATE("#metadata!", ADDRESS(INDEX($AH$2:$AH$1001,MATCH(ROWS($AF$2:AF518),$AF$2:$AF$1001,0),0), INDEX($AM$1004:$BM$1004,1,MATCH(COLUMNS($AM$1006:BH1006),$AM$1006:$BM$1006,0)))),"Fix")))</f>
        <v xml:space="preserve"> </v>
      </c>
      <c r="X518" s="4" t="str">
        <f ca="1">IF(OR(INDEX($AG$2:$AG$1001,MATCH(ROWS($AF$2:AF518),$AF$2:$AF$1001,0),1)&gt;=100000,INDEX($AM$1005:$BM$1005,1,MATCH(COLUMNS($AM$1006:BI1006),$AM$1006:$BM$1006,0))&gt;=100000), " ",IF(INDEX($AM$2:$BM$1001,MATCH(ROWS($AF$2:AF518),$AF$2:$AF$1001,0),MATCH(COLUMNS($AM$1006:BI1006),$AM$1006:$BM$1006,0)), HYPERLINK("#",""), HYPERLINK(CONCATENATE("#metadata!", ADDRESS(INDEX($AH$2:$AH$1001,MATCH(ROWS($AF$2:AF518),$AF$2:$AF$1001,0),0), INDEX($AM$1004:$BM$1004,1,MATCH(COLUMNS($AM$1006:BI1006),$AM$1006:$BM$1006,0)))),"Fix")))</f>
        <v xml:space="preserve"> </v>
      </c>
      <c r="Y518" s="4" t="str">
        <f ca="1">IF(OR(INDEX($AG$2:$AG$1001,MATCH(ROWS($AF$2:AF518),$AF$2:$AF$1001,0),1)&gt;=100000,INDEX($AM$1005:$BM$1005,1,MATCH(COLUMNS($AM$1006:BJ1006),$AM$1006:$BM$1006,0))&gt;=100000), " ",IF(INDEX($AM$2:$BM$1001,MATCH(ROWS($AF$2:AF518),$AF$2:$AF$1001,0),MATCH(COLUMNS($AM$1006:BJ1006),$AM$1006:$BM$1006,0)), HYPERLINK("#",""), HYPERLINK(CONCATENATE("#metadata!", ADDRESS(INDEX($AH$2:$AH$1001,MATCH(ROWS($AF$2:AF518),$AF$2:$AF$1001,0),0), INDEX($AM$1004:$BM$1004,1,MATCH(COLUMNS($AM$1006:BJ1006),$AM$1006:$BM$1006,0)))),"Fix")))</f>
        <v xml:space="preserve"> </v>
      </c>
      <c r="Z518" s="4" t="str">
        <f ca="1">IF(OR(INDEX($AG$2:$AG$1001,MATCH(ROWS($AF$2:AF518),$AF$2:$AF$1001,0),1)&gt;=100000,INDEX($AM$1005:$BM$1005,1,MATCH(COLUMNS($AM$1006:BK1006),$AM$1006:$BM$1006,0))&gt;=100000), " ",IF(INDEX($AM$2:$BM$1001,MATCH(ROWS($AF$2:AF518),$AF$2:$AF$1001,0),MATCH(COLUMNS($AM$1006:BK1006),$AM$1006:$BM$1006,0)), HYPERLINK("#",""), HYPERLINK(CONCATENATE("#metadata!", ADDRESS(INDEX($AH$2:$AH$1001,MATCH(ROWS($AF$2:AF518),$AF$2:$AF$1001,0),0), INDEX($AM$1004:$BM$1004,1,MATCH(COLUMNS($AM$1006:BK1006),$AM$1006:$BM$1006,0)))),"Fix")))</f>
        <v xml:space="preserve"> </v>
      </c>
      <c r="AA518" s="4" t="str">
        <f ca="1">IF(OR(INDEX($AG$2:$AG$1001,MATCH(ROWS($AF$2:AF518),$AF$2:$AF$1001,0),1)&gt;=100000,INDEX($AM$1005:$BM$1005,1,MATCH(COLUMNS($AM$1006:BL1006),$AM$1006:$BM$1006,0))&gt;=100000), " ",IF(INDEX($AM$2:$BM$1001,MATCH(ROWS($AF$2:AF518),$AF$2:$AF$1001,0),MATCH(COLUMNS($AM$1006:BL1006),$AM$1006:$BM$1006,0)), HYPERLINK("#",""), HYPERLINK(CONCATENATE("#metadata!", ADDRESS(INDEX($AH$2:$AH$1001,MATCH(ROWS($AF$2:AF518),$AF$2:$AF$1001,0),0), INDEX($AM$1004:$BM$1004,1,MATCH(COLUMNS($AM$1006:BL1006),$AM$1006:$BM$1006,0)))),"Fix")))</f>
        <v xml:space="preserve"> </v>
      </c>
      <c r="AB518" s="4" t="str">
        <f ca="1">IF(OR(INDEX($AG$2:$AG$1001,MATCH(ROWS($AF$2:AF518),$AF$2:$AF$1001,0),1)&gt;=100000,INDEX($AM$1005:$BM$1005,1,MATCH(COLUMNS($AM$1006:BM1006),$AM$1006:$BM$1006,0))&gt;=100000), " ",IF(INDEX($AM$2:$BM$1001,MATCH(ROWS($AF$2:AF518),$AF$2:$AF$1001,0),MATCH(COLUMNS($AM$1006:BM1006),$AM$1006:$BM$1006,0)), HYPERLINK("#",""), HYPERLINK(CONCATENATE("#metadata!", ADDRESS(INDEX($AH$2:$AH$1001,MATCH(ROWS($AF$2:AF518),$AF$2:$AF$1001,0),0), INDEX($AM$1004:$BM$1004,1,MATCH(COLUMNS($AM$1006:BM1006),$AM$1006:$BM$1006,0)))),"Fix")))</f>
        <v xml:space="preserve"> </v>
      </c>
      <c r="AF518">
        <v>517</v>
      </c>
      <c r="AG518">
        <v>100518</v>
      </c>
      <c r="AH518">
        <v>518</v>
      </c>
      <c r="AI518" t="b">
        <f t="shared" si="8"/>
        <v>1</v>
      </c>
      <c r="AJ518" t="b">
        <f>COUNTBLANK(metadata!B518:AB518)=COLUMNS(metadata!B518:AB518)</f>
        <v>1</v>
      </c>
      <c r="AK518" t="str">
        <v/>
      </c>
      <c r="AM518" t="b">
        <f ca="1">AND(IF(metadata!B518="",FALSE,TRUE),COUNTIF(metadata!B:B, metadata!B518) = 1,NOT(ISERROR(SUMPRODUCT(SEARCH(MID(metadata!B518,ROW(INDIRECT("1:"&amp;LEN(metadata!B518))), 1),"0123456789abcdefghijklmnopqrstuvwxyzABCDEFGHIJKLMNOPQRSTUVWXYZ.")))))</f>
        <v>0</v>
      </c>
      <c r="AN518" t="b">
        <f ca="1">OR(AND(IF(metadata!C518="",FALSE,TRUE),OR(EXACT(metadata!C518,"missing: not collected"),EXACT(metadata!C518,"missing: not provided"),EXACT(metadata!C518,"missing: restricted access"))),AND(IF(metadata!C518="",FALSE,TRUE),AND(AND(IFERROR(INT(LEFT(metadata!C518,4))&gt;1900,FALSE),IFERROR(INT(LEFT(metadata!C518,4))&lt;=YEAR(NOW()),FALSE)), OR(MID(metadata!C518,5,1)="", AND(AND(MID(metadata!C518,5,1)="-",IFERROR(INT(MID(metadata!C518,6,1))&gt;=0,FALSE),IFERROR(INT(MID(metadata!C518,6,1))&lt;=1,FALSE),NOT(MID(metadata!C518,7,1)=""),IFERROR(INT(MID(metadata!C518,6,2))&gt;=1,FALSE),IFERROR(INT(MID(metadata!C518,6,2))&lt;=12,FALSE)), OR(MID(metadata!C518,8,1)="", AND(AND(MID(metadata!C518,8,1)="-",IFERROR(INT(MID(metadata!C518,9,1))&gt;=0,FALSE),IFERROR(INT(MID(metadata!C518,9,1))&lt;=3,FALSE),NOT(MID(metadata!C518,10,1)=""),IFERROR(INT(MID(metadata!C518,9,2))&gt;=1,FALSE),IFERROR(INT(MID(metadata!C518,9,2))&lt;=31,FALSE)), OR(MID(metadata!C518,11,1)="", AND(AND(MID(metadata!C518,11,1)=" ",IFERROR(INT(MID(metadata!C518,12,1))&gt;=0,FALSE),IFERROR(INT(MID(metadata!C518,12,1))&lt;=2,FALSE),NOT(MID(metadata!C518,13,1)=""),IFERROR(INT(MID(metadata!C518,12,2))&gt;=0,FALSE),IFERROR(INT(MID(metadata!C518,12,2))&lt;=23,FALSE)), OR(MID(metadata!C518,14,1)="", AND(AND(MID(metadata!C518,14,1)=":",IFERROR(INT(MID(metadata!C518,15,1))&gt;=0,FALSE),IFERROR(INT(MID(metadata!C518,15,1))&lt;=5,FALSE),NOT(MID(metadata!C518,16,1)=""),IFERROR(INT(MID(metadata!C518,15,2))&gt;=0,FALSE),IFERROR(INT(MID(metadata!C518,15,2))&lt;=59,FALSE)), OR(MID(metadata!C518,17,1)="", AND(AND(MID(metadata!C518,17,1)=":",IFERROR(INT(MID(metadata!C518,18,1))&gt;=0,FALSE),IFERROR(INT(MID(metadata!C518,18,1))&lt;=5,FALSE),NOT(MID(metadata!C518,19,1)=""),IFERROR(INT(MID(metadata!C518,18,2))&gt;=0,FALSE),IFERROR(INT(MID(metadata!C518,18,2))&lt;=59,FALSE)), LEN(metadata!C518)&lt;=19)))))))))))))</f>
        <v>0</v>
      </c>
      <c r="AO518" t="b">
        <f>AND(IF(metadata!D518="",FALSE,TRUE),EXACT(metadata!D518,"Not applicable"))</f>
        <v>0</v>
      </c>
      <c r="AP518" t="b">
        <f>IF(metadata!E518="",FALSE,TRUE)</f>
        <v>0</v>
      </c>
      <c r="AQ518" t="b">
        <f>OR(AND(IF(metadata!F518="",FALSE,TRUE),OR(EXACT(metadata!F518,"missing: not collected"),EXACT(metadata!F518,"missing: not provided"))),AND(IF(metadata!F518="",FALSE,TRUE),OR(EXACT(metadata!F518,"TRUE"),EXACT(metadata!F518,"FALSE"))))</f>
        <v>0</v>
      </c>
      <c r="AR518" t="b">
        <f>OR(AND(IF(metadata!G518="",FALSE,TRUE),OR(EXACT(metadata!G518,"missing: not collected"),EXACT(metadata!G518,"missing: not provided"),EXACT(metadata!G518,"missing: restricted access"))),AND(IF(metadata!G518="",FALSE,ISNUMBER(VALUE(metadata!G518))),metadata!G518&gt;=-413))</f>
        <v>0</v>
      </c>
      <c r="AS518" t="b">
        <f>AND(IF(metadata!H518="",FALSE,TRUE),EXACT(metadata!H518,"meters"))</f>
        <v>0</v>
      </c>
      <c r="AT518" t="b">
        <f>AND(IF(metadata!I518="",FALSE,TRUE),OR(EXACT(metadata!I518,"Host-associated"),EXACT(metadata!I518,"Free-living")))</f>
        <v>0</v>
      </c>
      <c r="AU518" t="b">
        <f>AND(IF(metadata!J518="",FALSE,TRUE),OR(EXACT(metadata!J518,"Animal"),EXACT(metadata!J518,"Fungus"),EXACT(metadata!J518,"Plant"),EXACT(metadata!J518,"Saline"),EXACT(metadata!J518,"Non-saline")))</f>
        <v>0</v>
      </c>
      <c r="AV518" t="b">
        <f>AND(IF(metadata!K518="",FALSE,TRUE),OR(EXACT(metadata!K518,"Plant secretion"),EXACT(metadata!K518,"Plant rhizosphere"),EXACT(metadata!K518,"Plant surface"),EXACT(metadata!K518,"Plant corpus"),EXACT(metadata!K518,"Fungus surface"),EXACT(metadata!K518,"Fungus corpus"),EXACT(metadata!K518,"Animal surface"),EXACT(metadata!K518,"Animal proximal gut"),EXACT(metadata!K518,"Animal corpus"),EXACT(metadata!K518,"Animal distal gut"),EXACT(metadata!K518,"Animal secretion"),EXACT(metadata!K518,"Sub-surface (non-saline)"),EXACT(metadata!K518,"Surface (non-saline)"),EXACT(metadata!K518,"Water (non-saline)"),EXACT(metadata!K518,"Soil (non-saline)"),EXACT(metadata!K518,"Aerosol (non-saline)"),EXACT(metadata!K518,"Sediment (non-saline)"),EXACT(metadata!K518,"Surface (saline)"),EXACT(metadata!K518,"Water (saline)"),EXACT(metadata!K518,"Hypersaline (saline)"),EXACT(metadata!K518,"Aerosol (saline)"),EXACT(metadata!K518,"Sediment (saline)")))</f>
        <v>0</v>
      </c>
      <c r="AW518" t="b">
        <f>IF(metadata!L518="",FALSE,TRUE)</f>
        <v>0</v>
      </c>
      <c r="AX518" t="b">
        <f>IF(metadata!M518="",FALSE,TRUE)</f>
        <v>0</v>
      </c>
      <c r="AY518" t="b">
        <f>IF(metadata!N518="",FALSE,TRUE)</f>
        <v>0</v>
      </c>
      <c r="AZ518" t="b">
        <f>OR(AND(IF(metadata!O518="",FALSE,TRUE),OR(EXACT(metadata!O518,"missing: not collected"),EXACT(metadata!O518,"missing: not provided"),EXACT(metadata!O518,"missing: restricted access"))),AND(IF(metadata!O518="",FALSE,TRUE),OR(EXACT(metadata!O518,"air"),EXACT(metadata!O518,"built environment"),EXACT(metadata!O518,"host-associated"),EXACT(metadata!O518,"human-associated"),EXACT(metadata!O518,"human-skin"),EXACT(metadata!O518,"human-oral"),EXACT(metadata!O518,"human-gut"),EXACT(metadata!O518,"human-vaginal"),EXACT(metadata!O518,"microbial mat/biofilm"),EXACT(metadata!O518,"misc environment"),EXACT(metadata!O518,"plant-associated"),EXACT(metadata!O518,"sediment"),EXACT(metadata!O518,"soil"),EXACT(metadata!O518,"wastewater/sludge"),EXACT(metadata!O518,"water"))))</f>
        <v>0</v>
      </c>
      <c r="BA518" t="b">
        <f>IF(metadata!P518="",FALSE,TRUE)</f>
        <v>0</v>
      </c>
      <c r="BB518" t="b">
        <f>IF(metadata!Q518="",FALSE,TRUE)</f>
        <v>0</v>
      </c>
      <c r="BC518" t="b">
        <f>OR(AND(IF(metadata!R518="",FALSE,TRUE),OR(EXACT(metadata!R518,"missing: not collected"),EXACT(metadata!R518,"missing: not provided"),EXACT(metadata!R518,"missing: restricted access"))),AND(IF(metadata!R518="",FALSE,ISNUMBER(VALUE(metadata!R518))),metadata!R518&gt;=-90,metadata!R518&lt;=90))</f>
        <v>0</v>
      </c>
      <c r="BD518" t="b">
        <f>AND(IF(metadata!S518="",FALSE,TRUE),EXACT(metadata!S518,"Decimal degrees"))</f>
        <v>0</v>
      </c>
      <c r="BE518" t="b">
        <f>OR(AND(IF(metadata!T518="",FALSE,TRUE),OR(EXACT(metadata!T518,"missing: not collected"),EXACT(metadata!T518,"missing: not provided"),EXACT(metadata!T518,"missing: restricted access"))),AND(IF(metadata!T518="",FALSE,ISNUMBER(VALUE(metadata!T518))),metadata!T518&gt;=-180,metadata!T518&lt;=180))</f>
        <v>0</v>
      </c>
      <c r="BF518" t="b">
        <f>AND(IF(metadata!U518="",FALSE,TRUE),EXACT(metadata!U518,"Decimal degrees"))</f>
        <v>0</v>
      </c>
      <c r="BG518" t="b">
        <f>IF(metadata!V518="",FALSE,TRUE)</f>
        <v>0</v>
      </c>
      <c r="BH518" t="b">
        <f>OR(AND(IF(metadata!W518="",FALSE,TRUE),OR(EXACT(metadata!W518,"missing: not collected"),EXACT(metadata!W518,"missing: not provided"),EXACT(metadata!W518,"missing: restricted access"))),AND(IF(metadata!W518="",FALSE,TRUE),OR(EXACT(metadata!W518,"TRUE"),EXACT(metadata!W518,"FALSE"))))</f>
        <v>0</v>
      </c>
      <c r="BI518" t="b">
        <f>AND(IF(metadata!X518="",FALSE,TRUE),EXACT(metadata!X518,"other"))</f>
        <v>0</v>
      </c>
      <c r="BJ518" t="b">
        <f>IF(metadata!Y518="",FALSE,TRUE)</f>
        <v>0</v>
      </c>
      <c r="BK518" t="b">
        <f>OR(AND(IF(metadata!Z518="",FALSE,TRUE),OR(EXACT(metadata!Z518,"missing: not collected"),EXACT(metadata!Z518,"missing: not provided"))),AND(IF(metadata!Z518="",FALSE,IF(ISERROR(INT(metadata!Z518)),FALSE,INT(metadata!Z518)=metadata!Z518)),metadata!Z518&gt;0))</f>
        <v>0</v>
      </c>
      <c r="BL518" t="b">
        <f>AND(IF(metadata!AA518="",FALSE,TRUE),EXACT(metadata!AA518,"Not applicable"))</f>
        <v>0</v>
      </c>
      <c r="BM518" t="b">
        <f>IF(metadata!AB518="",FALSE,TRUE)</f>
        <v>0</v>
      </c>
    </row>
    <row r="519" spans="1:65" x14ac:dyDescent="0.2">
      <c r="A519" s="5" t="str">
        <f ca="1">IF(B519=" "," ",HYPERLINK(CONCATENATE("#metadata!",ADDRESS(INDEX($AH$2:$AH$1001,MATCH(ROWS($AF$2:AF519),$AF$2:$AF$1001,0),0),1)),INDEX($AK$2:$AK$1001,MATCH(ROWS($AF$2:AF519),$AF$2:$AF$1001,0),0)))</f>
        <v xml:space="preserve"> </v>
      </c>
      <c r="B519" s="4" t="str">
        <f ca="1">IF(OR(INDEX($AG$2:$AG$1001,MATCH(ROWS($AF$2:AF519),$AF$2:$AF$1001,0),1)&gt;=100000,INDEX($AM$1005:$BM$1005,1,MATCH(COLUMNS($AM$1006:AM1006),$AM$1006:$BM$1006,0))&gt;=100000), " ",IF(INDEX($AM$2:$BM$1001,MATCH(ROWS($AF$2:AF519),$AF$2:$AF$1001,0),MATCH(COLUMNS($AM$1006:AM1006),$AM$1006:$BM$1006,0)), HYPERLINK("#",""), HYPERLINK(CONCATENATE("#metadata!", ADDRESS(INDEX($AH$2:$AH$1001,MATCH(ROWS($AF$2:AF519),$AF$2:$AF$1001,0),0), INDEX($AM$1004:$BM$1004,1,MATCH(COLUMNS($AM$1006:AM1006),$AM$1006:$BM$1006,0)))),"Fix")))</f>
        <v xml:space="preserve"> </v>
      </c>
      <c r="C519" s="4" t="str">
        <f ca="1">IF(OR(INDEX($AG$2:$AG$1001,MATCH(ROWS($AF$2:AF519),$AF$2:$AF$1001,0),1)&gt;=100000,INDEX($AM$1005:$BM$1005,1,MATCH(COLUMNS($AM$1006:AN1006),$AM$1006:$BM$1006,0))&gt;=100000), " ",IF(INDEX($AM$2:$BM$1001,MATCH(ROWS($AF$2:AF519),$AF$2:$AF$1001,0),MATCH(COLUMNS($AM$1006:AN1006),$AM$1006:$BM$1006,0)), HYPERLINK("#",""), HYPERLINK(CONCATENATE("#metadata!", ADDRESS(INDEX($AH$2:$AH$1001,MATCH(ROWS($AF$2:AF519),$AF$2:$AF$1001,0),0), INDEX($AM$1004:$BM$1004,1,MATCH(COLUMNS($AM$1006:AN1006),$AM$1006:$BM$1006,0)))),"Fix")))</f>
        <v xml:space="preserve"> </v>
      </c>
      <c r="D519" s="4" t="str">
        <f ca="1">IF(OR(INDEX($AG$2:$AG$1001,MATCH(ROWS($AF$2:AF519),$AF$2:$AF$1001,0),1)&gt;=100000,INDEX($AM$1005:$BM$1005,1,MATCH(COLUMNS($AM$1006:AO1006),$AM$1006:$BM$1006,0))&gt;=100000), " ",IF(INDEX($AM$2:$BM$1001,MATCH(ROWS($AF$2:AF519),$AF$2:$AF$1001,0),MATCH(COLUMNS($AM$1006:AO1006),$AM$1006:$BM$1006,0)), HYPERLINK("#",""), HYPERLINK(CONCATENATE("#metadata!", ADDRESS(INDEX($AH$2:$AH$1001,MATCH(ROWS($AF$2:AF519),$AF$2:$AF$1001,0),0), INDEX($AM$1004:$BM$1004,1,MATCH(COLUMNS($AM$1006:AO1006),$AM$1006:$BM$1006,0)))),"Fix")))</f>
        <v xml:space="preserve"> </v>
      </c>
      <c r="E519" s="4" t="str">
        <f ca="1">IF(OR(INDEX($AG$2:$AG$1001,MATCH(ROWS($AF$2:AF519),$AF$2:$AF$1001,0),1)&gt;=100000,INDEX($AM$1005:$BM$1005,1,MATCH(COLUMNS($AM$1006:AP1006),$AM$1006:$BM$1006,0))&gt;=100000), " ",IF(INDEX($AM$2:$BM$1001,MATCH(ROWS($AF$2:AF519),$AF$2:$AF$1001,0),MATCH(COLUMNS($AM$1006:AP1006),$AM$1006:$BM$1006,0)), HYPERLINK("#",""), HYPERLINK(CONCATENATE("#metadata!", ADDRESS(INDEX($AH$2:$AH$1001,MATCH(ROWS($AF$2:AF519),$AF$2:$AF$1001,0),0), INDEX($AM$1004:$BM$1004,1,MATCH(COLUMNS($AM$1006:AP1006),$AM$1006:$BM$1006,0)))),"Fix")))</f>
        <v xml:space="preserve"> </v>
      </c>
      <c r="F519" s="4" t="str">
        <f ca="1">IF(OR(INDEX($AG$2:$AG$1001,MATCH(ROWS($AF$2:AF519),$AF$2:$AF$1001,0),1)&gt;=100000,INDEX($AM$1005:$BM$1005,1,MATCH(COLUMNS($AM$1006:AQ1006),$AM$1006:$BM$1006,0))&gt;=100000), " ",IF(INDEX($AM$2:$BM$1001,MATCH(ROWS($AF$2:AF519),$AF$2:$AF$1001,0),MATCH(COLUMNS($AM$1006:AQ1006),$AM$1006:$BM$1006,0)), HYPERLINK("#",""), HYPERLINK(CONCATENATE("#metadata!", ADDRESS(INDEX($AH$2:$AH$1001,MATCH(ROWS($AF$2:AF519),$AF$2:$AF$1001,0),0), INDEX($AM$1004:$BM$1004,1,MATCH(COLUMNS($AM$1006:AQ1006),$AM$1006:$BM$1006,0)))),"Fix")))</f>
        <v xml:space="preserve"> </v>
      </c>
      <c r="G519" s="4" t="str">
        <f ca="1">IF(OR(INDEX($AG$2:$AG$1001,MATCH(ROWS($AF$2:AF519),$AF$2:$AF$1001,0),1)&gt;=100000,INDEX($AM$1005:$BM$1005,1,MATCH(COLUMNS($AM$1006:AR1006),$AM$1006:$BM$1006,0))&gt;=100000), " ",IF(INDEX($AM$2:$BM$1001,MATCH(ROWS($AF$2:AF519),$AF$2:$AF$1001,0),MATCH(COLUMNS($AM$1006:AR1006),$AM$1006:$BM$1006,0)), HYPERLINK("#",""), HYPERLINK(CONCATENATE("#metadata!", ADDRESS(INDEX($AH$2:$AH$1001,MATCH(ROWS($AF$2:AF519),$AF$2:$AF$1001,0),0), INDEX($AM$1004:$BM$1004,1,MATCH(COLUMNS($AM$1006:AR1006),$AM$1006:$BM$1006,0)))),"Fix")))</f>
        <v xml:space="preserve"> </v>
      </c>
      <c r="H519" s="4" t="str">
        <f ca="1">IF(OR(INDEX($AG$2:$AG$1001,MATCH(ROWS($AF$2:AF519),$AF$2:$AF$1001,0),1)&gt;=100000,INDEX($AM$1005:$BM$1005,1,MATCH(COLUMNS($AM$1006:AS1006),$AM$1006:$BM$1006,0))&gt;=100000), " ",IF(INDEX($AM$2:$BM$1001,MATCH(ROWS($AF$2:AF519),$AF$2:$AF$1001,0),MATCH(COLUMNS($AM$1006:AS1006),$AM$1006:$BM$1006,0)), HYPERLINK("#",""), HYPERLINK(CONCATENATE("#metadata!", ADDRESS(INDEX($AH$2:$AH$1001,MATCH(ROWS($AF$2:AF519),$AF$2:$AF$1001,0),0), INDEX($AM$1004:$BM$1004,1,MATCH(COLUMNS($AM$1006:AS1006),$AM$1006:$BM$1006,0)))),"Fix")))</f>
        <v xml:space="preserve"> </v>
      </c>
      <c r="I519" s="4" t="str">
        <f ca="1">IF(OR(INDEX($AG$2:$AG$1001,MATCH(ROWS($AF$2:AF519),$AF$2:$AF$1001,0),1)&gt;=100000,INDEX($AM$1005:$BM$1005,1,MATCH(COLUMNS($AM$1006:AT1006),$AM$1006:$BM$1006,0))&gt;=100000), " ",IF(INDEX($AM$2:$BM$1001,MATCH(ROWS($AF$2:AF519),$AF$2:$AF$1001,0),MATCH(COLUMNS($AM$1006:AT1006),$AM$1006:$BM$1006,0)), HYPERLINK("#",""), HYPERLINK(CONCATENATE("#metadata!", ADDRESS(INDEX($AH$2:$AH$1001,MATCH(ROWS($AF$2:AF519),$AF$2:$AF$1001,0),0), INDEX($AM$1004:$BM$1004,1,MATCH(COLUMNS($AM$1006:AT1006),$AM$1006:$BM$1006,0)))),"Fix")))</f>
        <v xml:space="preserve"> </v>
      </c>
      <c r="J519" s="4" t="str">
        <f ca="1">IF(OR(INDEX($AG$2:$AG$1001,MATCH(ROWS($AF$2:AF519),$AF$2:$AF$1001,0),1)&gt;=100000,INDEX($AM$1005:$BM$1005,1,MATCH(COLUMNS($AM$1006:AU1006),$AM$1006:$BM$1006,0))&gt;=100000), " ",IF(INDEX($AM$2:$BM$1001,MATCH(ROWS($AF$2:AF519),$AF$2:$AF$1001,0),MATCH(COLUMNS($AM$1006:AU1006),$AM$1006:$BM$1006,0)), HYPERLINK("#",""), HYPERLINK(CONCATENATE("#metadata!", ADDRESS(INDEX($AH$2:$AH$1001,MATCH(ROWS($AF$2:AF519),$AF$2:$AF$1001,0),0), INDEX($AM$1004:$BM$1004,1,MATCH(COLUMNS($AM$1006:AU1006),$AM$1006:$BM$1006,0)))),"Fix")))</f>
        <v xml:space="preserve"> </v>
      </c>
      <c r="K519" s="4" t="str">
        <f ca="1">IF(OR(INDEX($AG$2:$AG$1001,MATCH(ROWS($AF$2:AF519),$AF$2:$AF$1001,0),1)&gt;=100000,INDEX($AM$1005:$BM$1005,1,MATCH(COLUMNS($AM$1006:AV1006),$AM$1006:$BM$1006,0))&gt;=100000), " ",IF(INDEX($AM$2:$BM$1001,MATCH(ROWS($AF$2:AF519),$AF$2:$AF$1001,0),MATCH(COLUMNS($AM$1006:AV1006),$AM$1006:$BM$1006,0)), HYPERLINK("#",""), HYPERLINK(CONCATENATE("#metadata!", ADDRESS(INDEX($AH$2:$AH$1001,MATCH(ROWS($AF$2:AF519),$AF$2:$AF$1001,0),0), INDEX($AM$1004:$BM$1004,1,MATCH(COLUMNS($AM$1006:AV1006),$AM$1006:$BM$1006,0)))),"Fix")))</f>
        <v xml:space="preserve"> </v>
      </c>
      <c r="L519" s="4" t="str">
        <f ca="1">IF(OR(INDEX($AG$2:$AG$1001,MATCH(ROWS($AF$2:AF519),$AF$2:$AF$1001,0),1)&gt;=100000,INDEX($AM$1005:$BM$1005,1,MATCH(COLUMNS($AM$1006:AW1006),$AM$1006:$BM$1006,0))&gt;=100000), " ",IF(INDEX($AM$2:$BM$1001,MATCH(ROWS($AF$2:AF519),$AF$2:$AF$1001,0),MATCH(COLUMNS($AM$1006:AW1006),$AM$1006:$BM$1006,0)), HYPERLINK("#",""), HYPERLINK(CONCATENATE("#metadata!", ADDRESS(INDEX($AH$2:$AH$1001,MATCH(ROWS($AF$2:AF519),$AF$2:$AF$1001,0),0), INDEX($AM$1004:$BM$1004,1,MATCH(COLUMNS($AM$1006:AW1006),$AM$1006:$BM$1006,0)))),"Fix")))</f>
        <v xml:space="preserve"> </v>
      </c>
      <c r="M519" s="4" t="str">
        <f ca="1">IF(OR(INDEX($AG$2:$AG$1001,MATCH(ROWS($AF$2:AF519),$AF$2:$AF$1001,0),1)&gt;=100000,INDEX($AM$1005:$BM$1005,1,MATCH(COLUMNS($AM$1006:AX1006),$AM$1006:$BM$1006,0))&gt;=100000), " ",IF(INDEX($AM$2:$BM$1001,MATCH(ROWS($AF$2:AF519),$AF$2:$AF$1001,0),MATCH(COLUMNS($AM$1006:AX1006),$AM$1006:$BM$1006,0)), HYPERLINK("#",""), HYPERLINK(CONCATENATE("#metadata!", ADDRESS(INDEX($AH$2:$AH$1001,MATCH(ROWS($AF$2:AF519),$AF$2:$AF$1001,0),0), INDEX($AM$1004:$BM$1004,1,MATCH(COLUMNS($AM$1006:AX1006),$AM$1006:$BM$1006,0)))),"Fix")))</f>
        <v xml:space="preserve"> </v>
      </c>
      <c r="N519" s="4" t="str">
        <f ca="1">IF(OR(INDEX($AG$2:$AG$1001,MATCH(ROWS($AF$2:AF519),$AF$2:$AF$1001,0),1)&gt;=100000,INDEX($AM$1005:$BM$1005,1,MATCH(COLUMNS($AM$1006:AY1006),$AM$1006:$BM$1006,0))&gt;=100000), " ",IF(INDEX($AM$2:$BM$1001,MATCH(ROWS($AF$2:AF519),$AF$2:$AF$1001,0),MATCH(COLUMNS($AM$1006:AY1006),$AM$1006:$BM$1006,0)), HYPERLINK("#",""), HYPERLINK(CONCATENATE("#metadata!", ADDRESS(INDEX($AH$2:$AH$1001,MATCH(ROWS($AF$2:AF519),$AF$2:$AF$1001,0),0), INDEX($AM$1004:$BM$1004,1,MATCH(COLUMNS($AM$1006:AY1006),$AM$1006:$BM$1006,0)))),"Fix")))</f>
        <v xml:space="preserve"> </v>
      </c>
      <c r="O519" s="4" t="str">
        <f ca="1">IF(OR(INDEX($AG$2:$AG$1001,MATCH(ROWS($AF$2:AF519),$AF$2:$AF$1001,0),1)&gt;=100000,INDEX($AM$1005:$BM$1005,1,MATCH(COLUMNS($AM$1006:AZ1006),$AM$1006:$BM$1006,0))&gt;=100000), " ",IF(INDEX($AM$2:$BM$1001,MATCH(ROWS($AF$2:AF519),$AF$2:$AF$1001,0),MATCH(COLUMNS($AM$1006:AZ1006),$AM$1006:$BM$1006,0)), HYPERLINK("#",""), HYPERLINK(CONCATENATE("#metadata!", ADDRESS(INDEX($AH$2:$AH$1001,MATCH(ROWS($AF$2:AF519),$AF$2:$AF$1001,0),0), INDEX($AM$1004:$BM$1004,1,MATCH(COLUMNS($AM$1006:AZ1006),$AM$1006:$BM$1006,0)))),"Fix")))</f>
        <v xml:space="preserve"> </v>
      </c>
      <c r="P519" s="4" t="str">
        <f ca="1">IF(OR(INDEX($AG$2:$AG$1001,MATCH(ROWS($AF$2:AF519),$AF$2:$AF$1001,0),1)&gt;=100000,INDEX($AM$1005:$BM$1005,1,MATCH(COLUMNS($AM$1006:BA1006),$AM$1006:$BM$1006,0))&gt;=100000), " ",IF(INDEX($AM$2:$BM$1001,MATCH(ROWS($AF$2:AF519),$AF$2:$AF$1001,0),MATCH(COLUMNS($AM$1006:BA1006),$AM$1006:$BM$1006,0)), HYPERLINK("#",""), HYPERLINK(CONCATENATE("#metadata!", ADDRESS(INDEX($AH$2:$AH$1001,MATCH(ROWS($AF$2:AF519),$AF$2:$AF$1001,0),0), INDEX($AM$1004:$BM$1004,1,MATCH(COLUMNS($AM$1006:BA1006),$AM$1006:$BM$1006,0)))),"Fix")))</f>
        <v xml:space="preserve"> </v>
      </c>
      <c r="Q519" s="4" t="str">
        <f ca="1">IF(OR(INDEX($AG$2:$AG$1001,MATCH(ROWS($AF$2:AF519),$AF$2:$AF$1001,0),1)&gt;=100000,INDEX($AM$1005:$BM$1005,1,MATCH(COLUMNS($AM$1006:BB1006),$AM$1006:$BM$1006,0))&gt;=100000), " ",IF(INDEX($AM$2:$BM$1001,MATCH(ROWS($AF$2:AF519),$AF$2:$AF$1001,0),MATCH(COLUMNS($AM$1006:BB1006),$AM$1006:$BM$1006,0)), HYPERLINK("#",""), HYPERLINK(CONCATENATE("#metadata!", ADDRESS(INDEX($AH$2:$AH$1001,MATCH(ROWS($AF$2:AF519),$AF$2:$AF$1001,0),0), INDEX($AM$1004:$BM$1004,1,MATCH(COLUMNS($AM$1006:BB1006),$AM$1006:$BM$1006,0)))),"Fix")))</f>
        <v xml:space="preserve"> </v>
      </c>
      <c r="R519" s="4" t="str">
        <f ca="1">IF(OR(INDEX($AG$2:$AG$1001,MATCH(ROWS($AF$2:AF519),$AF$2:$AF$1001,0),1)&gt;=100000,INDEX($AM$1005:$BM$1005,1,MATCH(COLUMNS($AM$1006:BC1006),$AM$1006:$BM$1006,0))&gt;=100000), " ",IF(INDEX($AM$2:$BM$1001,MATCH(ROWS($AF$2:AF519),$AF$2:$AF$1001,0),MATCH(COLUMNS($AM$1006:BC1006),$AM$1006:$BM$1006,0)), HYPERLINK("#",""), HYPERLINK(CONCATENATE("#metadata!", ADDRESS(INDEX($AH$2:$AH$1001,MATCH(ROWS($AF$2:AF519),$AF$2:$AF$1001,0),0), INDEX($AM$1004:$BM$1004,1,MATCH(COLUMNS($AM$1006:BC1006),$AM$1006:$BM$1006,0)))),"Fix")))</f>
        <v xml:space="preserve"> </v>
      </c>
      <c r="S519" s="4" t="str">
        <f ca="1">IF(OR(INDEX($AG$2:$AG$1001,MATCH(ROWS($AF$2:AF519),$AF$2:$AF$1001,0),1)&gt;=100000,INDEX($AM$1005:$BM$1005,1,MATCH(COLUMNS($AM$1006:BD1006),$AM$1006:$BM$1006,0))&gt;=100000), " ",IF(INDEX($AM$2:$BM$1001,MATCH(ROWS($AF$2:AF519),$AF$2:$AF$1001,0),MATCH(COLUMNS($AM$1006:BD1006),$AM$1006:$BM$1006,0)), HYPERLINK("#",""), HYPERLINK(CONCATENATE("#metadata!", ADDRESS(INDEX($AH$2:$AH$1001,MATCH(ROWS($AF$2:AF519),$AF$2:$AF$1001,0),0), INDEX($AM$1004:$BM$1004,1,MATCH(COLUMNS($AM$1006:BD1006),$AM$1006:$BM$1006,0)))),"Fix")))</f>
        <v xml:space="preserve"> </v>
      </c>
      <c r="T519" s="4" t="str">
        <f ca="1">IF(OR(INDEX($AG$2:$AG$1001,MATCH(ROWS($AF$2:AF519),$AF$2:$AF$1001,0),1)&gt;=100000,INDEX($AM$1005:$BM$1005,1,MATCH(COLUMNS($AM$1006:BE1006),$AM$1006:$BM$1006,0))&gt;=100000), " ",IF(INDEX($AM$2:$BM$1001,MATCH(ROWS($AF$2:AF519),$AF$2:$AF$1001,0),MATCH(COLUMNS($AM$1006:BE1006),$AM$1006:$BM$1006,0)), HYPERLINK("#",""), HYPERLINK(CONCATENATE("#metadata!", ADDRESS(INDEX($AH$2:$AH$1001,MATCH(ROWS($AF$2:AF519),$AF$2:$AF$1001,0),0), INDEX($AM$1004:$BM$1004,1,MATCH(COLUMNS($AM$1006:BE1006),$AM$1006:$BM$1006,0)))),"Fix")))</f>
        <v xml:space="preserve"> </v>
      </c>
      <c r="U519" s="4" t="str">
        <f ca="1">IF(OR(INDEX($AG$2:$AG$1001,MATCH(ROWS($AF$2:AF519),$AF$2:$AF$1001,0),1)&gt;=100000,INDEX($AM$1005:$BM$1005,1,MATCH(COLUMNS($AM$1006:BF1006),$AM$1006:$BM$1006,0))&gt;=100000), " ",IF(INDEX($AM$2:$BM$1001,MATCH(ROWS($AF$2:AF519),$AF$2:$AF$1001,0),MATCH(COLUMNS($AM$1006:BF1006),$AM$1006:$BM$1006,0)), HYPERLINK("#",""), HYPERLINK(CONCATENATE("#metadata!", ADDRESS(INDEX($AH$2:$AH$1001,MATCH(ROWS($AF$2:AF519),$AF$2:$AF$1001,0),0), INDEX($AM$1004:$BM$1004,1,MATCH(COLUMNS($AM$1006:BF1006),$AM$1006:$BM$1006,0)))),"Fix")))</f>
        <v xml:space="preserve"> </v>
      </c>
      <c r="V519" s="4" t="str">
        <f ca="1">IF(OR(INDEX($AG$2:$AG$1001,MATCH(ROWS($AF$2:AF519),$AF$2:$AF$1001,0),1)&gt;=100000,INDEX($AM$1005:$BM$1005,1,MATCH(COLUMNS($AM$1006:BG1006),$AM$1006:$BM$1006,0))&gt;=100000), " ",IF(INDEX($AM$2:$BM$1001,MATCH(ROWS($AF$2:AF519),$AF$2:$AF$1001,0),MATCH(COLUMNS($AM$1006:BG1006),$AM$1006:$BM$1006,0)), HYPERLINK("#",""), HYPERLINK(CONCATENATE("#metadata!", ADDRESS(INDEX($AH$2:$AH$1001,MATCH(ROWS($AF$2:AF519),$AF$2:$AF$1001,0),0), INDEX($AM$1004:$BM$1004,1,MATCH(COLUMNS($AM$1006:BG1006),$AM$1006:$BM$1006,0)))),"Fix")))</f>
        <v xml:space="preserve"> </v>
      </c>
      <c r="W519" s="4" t="str">
        <f ca="1">IF(OR(INDEX($AG$2:$AG$1001,MATCH(ROWS($AF$2:AF519),$AF$2:$AF$1001,0),1)&gt;=100000,INDEX($AM$1005:$BM$1005,1,MATCH(COLUMNS($AM$1006:BH1006),$AM$1006:$BM$1006,0))&gt;=100000), " ",IF(INDEX($AM$2:$BM$1001,MATCH(ROWS($AF$2:AF519),$AF$2:$AF$1001,0),MATCH(COLUMNS($AM$1006:BH1006),$AM$1006:$BM$1006,0)), HYPERLINK("#",""), HYPERLINK(CONCATENATE("#metadata!", ADDRESS(INDEX($AH$2:$AH$1001,MATCH(ROWS($AF$2:AF519),$AF$2:$AF$1001,0),0), INDEX($AM$1004:$BM$1004,1,MATCH(COLUMNS($AM$1006:BH1006),$AM$1006:$BM$1006,0)))),"Fix")))</f>
        <v xml:space="preserve"> </v>
      </c>
      <c r="X519" s="4" t="str">
        <f ca="1">IF(OR(INDEX($AG$2:$AG$1001,MATCH(ROWS($AF$2:AF519),$AF$2:$AF$1001,0),1)&gt;=100000,INDEX($AM$1005:$BM$1005,1,MATCH(COLUMNS($AM$1006:BI1006),$AM$1006:$BM$1006,0))&gt;=100000), " ",IF(INDEX($AM$2:$BM$1001,MATCH(ROWS($AF$2:AF519),$AF$2:$AF$1001,0),MATCH(COLUMNS($AM$1006:BI1006),$AM$1006:$BM$1006,0)), HYPERLINK("#",""), HYPERLINK(CONCATENATE("#metadata!", ADDRESS(INDEX($AH$2:$AH$1001,MATCH(ROWS($AF$2:AF519),$AF$2:$AF$1001,0),0), INDEX($AM$1004:$BM$1004,1,MATCH(COLUMNS($AM$1006:BI1006),$AM$1006:$BM$1006,0)))),"Fix")))</f>
        <v xml:space="preserve"> </v>
      </c>
      <c r="Y519" s="4" t="str">
        <f ca="1">IF(OR(INDEX($AG$2:$AG$1001,MATCH(ROWS($AF$2:AF519),$AF$2:$AF$1001,0),1)&gt;=100000,INDEX($AM$1005:$BM$1005,1,MATCH(COLUMNS($AM$1006:BJ1006),$AM$1006:$BM$1006,0))&gt;=100000), " ",IF(INDEX($AM$2:$BM$1001,MATCH(ROWS($AF$2:AF519),$AF$2:$AF$1001,0),MATCH(COLUMNS($AM$1006:BJ1006),$AM$1006:$BM$1006,0)), HYPERLINK("#",""), HYPERLINK(CONCATENATE("#metadata!", ADDRESS(INDEX($AH$2:$AH$1001,MATCH(ROWS($AF$2:AF519),$AF$2:$AF$1001,0),0), INDEX($AM$1004:$BM$1004,1,MATCH(COLUMNS($AM$1006:BJ1006),$AM$1006:$BM$1006,0)))),"Fix")))</f>
        <v xml:space="preserve"> </v>
      </c>
      <c r="Z519" s="4" t="str">
        <f ca="1">IF(OR(INDEX($AG$2:$AG$1001,MATCH(ROWS($AF$2:AF519),$AF$2:$AF$1001,0),1)&gt;=100000,INDEX($AM$1005:$BM$1005,1,MATCH(COLUMNS($AM$1006:BK1006),$AM$1006:$BM$1006,0))&gt;=100000), " ",IF(INDEX($AM$2:$BM$1001,MATCH(ROWS($AF$2:AF519),$AF$2:$AF$1001,0),MATCH(COLUMNS($AM$1006:BK1006),$AM$1006:$BM$1006,0)), HYPERLINK("#",""), HYPERLINK(CONCATENATE("#metadata!", ADDRESS(INDEX($AH$2:$AH$1001,MATCH(ROWS($AF$2:AF519),$AF$2:$AF$1001,0),0), INDEX($AM$1004:$BM$1004,1,MATCH(COLUMNS($AM$1006:BK1006),$AM$1006:$BM$1006,0)))),"Fix")))</f>
        <v xml:space="preserve"> </v>
      </c>
      <c r="AA519" s="4" t="str">
        <f ca="1">IF(OR(INDEX($AG$2:$AG$1001,MATCH(ROWS($AF$2:AF519),$AF$2:$AF$1001,0),1)&gt;=100000,INDEX($AM$1005:$BM$1005,1,MATCH(COLUMNS($AM$1006:BL1006),$AM$1006:$BM$1006,0))&gt;=100000), " ",IF(INDEX($AM$2:$BM$1001,MATCH(ROWS($AF$2:AF519),$AF$2:$AF$1001,0),MATCH(COLUMNS($AM$1006:BL1006),$AM$1006:$BM$1006,0)), HYPERLINK("#",""), HYPERLINK(CONCATENATE("#metadata!", ADDRESS(INDEX($AH$2:$AH$1001,MATCH(ROWS($AF$2:AF519),$AF$2:$AF$1001,0),0), INDEX($AM$1004:$BM$1004,1,MATCH(COLUMNS($AM$1006:BL1006),$AM$1006:$BM$1006,0)))),"Fix")))</f>
        <v xml:space="preserve"> </v>
      </c>
      <c r="AB519" s="4" t="str">
        <f ca="1">IF(OR(INDEX($AG$2:$AG$1001,MATCH(ROWS($AF$2:AF519),$AF$2:$AF$1001,0),1)&gt;=100000,INDEX($AM$1005:$BM$1005,1,MATCH(COLUMNS($AM$1006:BM1006),$AM$1006:$BM$1006,0))&gt;=100000), " ",IF(INDEX($AM$2:$BM$1001,MATCH(ROWS($AF$2:AF519),$AF$2:$AF$1001,0),MATCH(COLUMNS($AM$1006:BM1006),$AM$1006:$BM$1006,0)), HYPERLINK("#",""), HYPERLINK(CONCATENATE("#metadata!", ADDRESS(INDEX($AH$2:$AH$1001,MATCH(ROWS($AF$2:AF519),$AF$2:$AF$1001,0),0), INDEX($AM$1004:$BM$1004,1,MATCH(COLUMNS($AM$1006:BM1006),$AM$1006:$BM$1006,0)))),"Fix")))</f>
        <v xml:space="preserve"> </v>
      </c>
      <c r="AF519">
        <v>518</v>
      </c>
      <c r="AG519">
        <v>100519</v>
      </c>
      <c r="AH519">
        <v>519</v>
      </c>
      <c r="AI519" t="b">
        <f t="shared" si="8"/>
        <v>1</v>
      </c>
      <c r="AJ519" t="b">
        <f>COUNTBLANK(metadata!B519:AB519)=COLUMNS(metadata!B519:AB519)</f>
        <v>1</v>
      </c>
      <c r="AK519" t="str">
        <v/>
      </c>
      <c r="AM519" t="b">
        <f ca="1">AND(IF(metadata!B519="",FALSE,TRUE),COUNTIF(metadata!B:B, metadata!B519) = 1,NOT(ISERROR(SUMPRODUCT(SEARCH(MID(metadata!B519,ROW(INDIRECT("1:"&amp;LEN(metadata!B519))), 1),"0123456789abcdefghijklmnopqrstuvwxyzABCDEFGHIJKLMNOPQRSTUVWXYZ.")))))</f>
        <v>0</v>
      </c>
      <c r="AN519" t="b">
        <f ca="1">OR(AND(IF(metadata!C519="",FALSE,TRUE),OR(EXACT(metadata!C519,"missing: not collected"),EXACT(metadata!C519,"missing: not provided"),EXACT(metadata!C519,"missing: restricted access"))),AND(IF(metadata!C519="",FALSE,TRUE),AND(AND(IFERROR(INT(LEFT(metadata!C519,4))&gt;1900,FALSE),IFERROR(INT(LEFT(metadata!C519,4))&lt;=YEAR(NOW()),FALSE)), OR(MID(metadata!C519,5,1)="", AND(AND(MID(metadata!C519,5,1)="-",IFERROR(INT(MID(metadata!C519,6,1))&gt;=0,FALSE),IFERROR(INT(MID(metadata!C519,6,1))&lt;=1,FALSE),NOT(MID(metadata!C519,7,1)=""),IFERROR(INT(MID(metadata!C519,6,2))&gt;=1,FALSE),IFERROR(INT(MID(metadata!C519,6,2))&lt;=12,FALSE)), OR(MID(metadata!C519,8,1)="", AND(AND(MID(metadata!C519,8,1)="-",IFERROR(INT(MID(metadata!C519,9,1))&gt;=0,FALSE),IFERROR(INT(MID(metadata!C519,9,1))&lt;=3,FALSE),NOT(MID(metadata!C519,10,1)=""),IFERROR(INT(MID(metadata!C519,9,2))&gt;=1,FALSE),IFERROR(INT(MID(metadata!C519,9,2))&lt;=31,FALSE)), OR(MID(metadata!C519,11,1)="", AND(AND(MID(metadata!C519,11,1)=" ",IFERROR(INT(MID(metadata!C519,12,1))&gt;=0,FALSE),IFERROR(INT(MID(metadata!C519,12,1))&lt;=2,FALSE),NOT(MID(metadata!C519,13,1)=""),IFERROR(INT(MID(metadata!C519,12,2))&gt;=0,FALSE),IFERROR(INT(MID(metadata!C519,12,2))&lt;=23,FALSE)), OR(MID(metadata!C519,14,1)="", AND(AND(MID(metadata!C519,14,1)=":",IFERROR(INT(MID(metadata!C519,15,1))&gt;=0,FALSE),IFERROR(INT(MID(metadata!C519,15,1))&lt;=5,FALSE),NOT(MID(metadata!C519,16,1)=""),IFERROR(INT(MID(metadata!C519,15,2))&gt;=0,FALSE),IFERROR(INT(MID(metadata!C519,15,2))&lt;=59,FALSE)), OR(MID(metadata!C519,17,1)="", AND(AND(MID(metadata!C519,17,1)=":",IFERROR(INT(MID(metadata!C519,18,1))&gt;=0,FALSE),IFERROR(INT(MID(metadata!C519,18,1))&lt;=5,FALSE),NOT(MID(metadata!C519,19,1)=""),IFERROR(INT(MID(metadata!C519,18,2))&gt;=0,FALSE),IFERROR(INT(MID(metadata!C519,18,2))&lt;=59,FALSE)), LEN(metadata!C519)&lt;=19)))))))))))))</f>
        <v>0</v>
      </c>
      <c r="AO519" t="b">
        <f>AND(IF(metadata!D519="",FALSE,TRUE),EXACT(metadata!D519,"Not applicable"))</f>
        <v>0</v>
      </c>
      <c r="AP519" t="b">
        <f>IF(metadata!E519="",FALSE,TRUE)</f>
        <v>0</v>
      </c>
      <c r="AQ519" t="b">
        <f>OR(AND(IF(metadata!F519="",FALSE,TRUE),OR(EXACT(metadata!F519,"missing: not collected"),EXACT(metadata!F519,"missing: not provided"))),AND(IF(metadata!F519="",FALSE,TRUE),OR(EXACT(metadata!F519,"TRUE"),EXACT(metadata!F519,"FALSE"))))</f>
        <v>0</v>
      </c>
      <c r="AR519" t="b">
        <f>OR(AND(IF(metadata!G519="",FALSE,TRUE),OR(EXACT(metadata!G519,"missing: not collected"),EXACT(metadata!G519,"missing: not provided"),EXACT(metadata!G519,"missing: restricted access"))),AND(IF(metadata!G519="",FALSE,ISNUMBER(VALUE(metadata!G519))),metadata!G519&gt;=-413))</f>
        <v>0</v>
      </c>
      <c r="AS519" t="b">
        <f>AND(IF(metadata!H519="",FALSE,TRUE),EXACT(metadata!H519,"meters"))</f>
        <v>0</v>
      </c>
      <c r="AT519" t="b">
        <f>AND(IF(metadata!I519="",FALSE,TRUE),OR(EXACT(metadata!I519,"Host-associated"),EXACT(metadata!I519,"Free-living")))</f>
        <v>0</v>
      </c>
      <c r="AU519" t="b">
        <f>AND(IF(metadata!J519="",FALSE,TRUE),OR(EXACT(metadata!J519,"Animal"),EXACT(metadata!J519,"Fungus"),EXACT(metadata!J519,"Plant"),EXACT(metadata!J519,"Saline"),EXACT(metadata!J519,"Non-saline")))</f>
        <v>0</v>
      </c>
      <c r="AV519" t="b">
        <f>AND(IF(metadata!K519="",FALSE,TRUE),OR(EXACT(metadata!K519,"Plant secretion"),EXACT(metadata!K519,"Plant rhizosphere"),EXACT(metadata!K519,"Plant surface"),EXACT(metadata!K519,"Plant corpus"),EXACT(metadata!K519,"Fungus surface"),EXACT(metadata!K519,"Fungus corpus"),EXACT(metadata!K519,"Animal surface"),EXACT(metadata!K519,"Animal proximal gut"),EXACT(metadata!K519,"Animal corpus"),EXACT(metadata!K519,"Animal distal gut"),EXACT(metadata!K519,"Animal secretion"),EXACT(metadata!K519,"Sub-surface (non-saline)"),EXACT(metadata!K519,"Surface (non-saline)"),EXACT(metadata!K519,"Water (non-saline)"),EXACT(metadata!K519,"Soil (non-saline)"),EXACT(metadata!K519,"Aerosol (non-saline)"),EXACT(metadata!K519,"Sediment (non-saline)"),EXACT(metadata!K519,"Surface (saline)"),EXACT(metadata!K519,"Water (saline)"),EXACT(metadata!K519,"Hypersaline (saline)"),EXACT(metadata!K519,"Aerosol (saline)"),EXACT(metadata!K519,"Sediment (saline)")))</f>
        <v>0</v>
      </c>
      <c r="AW519" t="b">
        <f>IF(metadata!L519="",FALSE,TRUE)</f>
        <v>0</v>
      </c>
      <c r="AX519" t="b">
        <f>IF(metadata!M519="",FALSE,TRUE)</f>
        <v>0</v>
      </c>
      <c r="AY519" t="b">
        <f>IF(metadata!N519="",FALSE,TRUE)</f>
        <v>0</v>
      </c>
      <c r="AZ519" t="b">
        <f>OR(AND(IF(metadata!O519="",FALSE,TRUE),OR(EXACT(metadata!O519,"missing: not collected"),EXACT(metadata!O519,"missing: not provided"),EXACT(metadata!O519,"missing: restricted access"))),AND(IF(metadata!O519="",FALSE,TRUE),OR(EXACT(metadata!O519,"air"),EXACT(metadata!O519,"built environment"),EXACT(metadata!O519,"host-associated"),EXACT(metadata!O519,"human-associated"),EXACT(metadata!O519,"human-skin"),EXACT(metadata!O519,"human-oral"),EXACT(metadata!O519,"human-gut"),EXACT(metadata!O519,"human-vaginal"),EXACT(metadata!O519,"microbial mat/biofilm"),EXACT(metadata!O519,"misc environment"),EXACT(metadata!O519,"plant-associated"),EXACT(metadata!O519,"sediment"),EXACT(metadata!O519,"soil"),EXACT(metadata!O519,"wastewater/sludge"),EXACT(metadata!O519,"water"))))</f>
        <v>0</v>
      </c>
      <c r="BA519" t="b">
        <f>IF(metadata!P519="",FALSE,TRUE)</f>
        <v>0</v>
      </c>
      <c r="BB519" t="b">
        <f>IF(metadata!Q519="",FALSE,TRUE)</f>
        <v>0</v>
      </c>
      <c r="BC519" t="b">
        <f>OR(AND(IF(metadata!R519="",FALSE,TRUE),OR(EXACT(metadata!R519,"missing: not collected"),EXACT(metadata!R519,"missing: not provided"),EXACT(metadata!R519,"missing: restricted access"))),AND(IF(metadata!R519="",FALSE,ISNUMBER(VALUE(metadata!R519))),metadata!R519&gt;=-90,metadata!R519&lt;=90))</f>
        <v>0</v>
      </c>
      <c r="BD519" t="b">
        <f>AND(IF(metadata!S519="",FALSE,TRUE),EXACT(metadata!S519,"Decimal degrees"))</f>
        <v>0</v>
      </c>
      <c r="BE519" t="b">
        <f>OR(AND(IF(metadata!T519="",FALSE,TRUE),OR(EXACT(metadata!T519,"missing: not collected"),EXACT(metadata!T519,"missing: not provided"),EXACT(metadata!T519,"missing: restricted access"))),AND(IF(metadata!T519="",FALSE,ISNUMBER(VALUE(metadata!T519))),metadata!T519&gt;=-180,metadata!T519&lt;=180))</f>
        <v>0</v>
      </c>
      <c r="BF519" t="b">
        <f>AND(IF(metadata!U519="",FALSE,TRUE),EXACT(metadata!U519,"Decimal degrees"))</f>
        <v>0</v>
      </c>
      <c r="BG519" t="b">
        <f>IF(metadata!V519="",FALSE,TRUE)</f>
        <v>0</v>
      </c>
      <c r="BH519" t="b">
        <f>OR(AND(IF(metadata!W519="",FALSE,TRUE),OR(EXACT(metadata!W519,"missing: not collected"),EXACT(metadata!W519,"missing: not provided"),EXACT(metadata!W519,"missing: restricted access"))),AND(IF(metadata!W519="",FALSE,TRUE),OR(EXACT(metadata!W519,"TRUE"),EXACT(metadata!W519,"FALSE"))))</f>
        <v>0</v>
      </c>
      <c r="BI519" t="b">
        <f>AND(IF(metadata!X519="",FALSE,TRUE),EXACT(metadata!X519,"other"))</f>
        <v>0</v>
      </c>
      <c r="BJ519" t="b">
        <f>IF(metadata!Y519="",FALSE,TRUE)</f>
        <v>0</v>
      </c>
      <c r="BK519" t="b">
        <f>OR(AND(IF(metadata!Z519="",FALSE,TRUE),OR(EXACT(metadata!Z519,"missing: not collected"),EXACT(metadata!Z519,"missing: not provided"))),AND(IF(metadata!Z519="",FALSE,IF(ISERROR(INT(metadata!Z519)),FALSE,INT(metadata!Z519)=metadata!Z519)),metadata!Z519&gt;0))</f>
        <v>0</v>
      </c>
      <c r="BL519" t="b">
        <f>AND(IF(metadata!AA519="",FALSE,TRUE),EXACT(metadata!AA519,"Not applicable"))</f>
        <v>0</v>
      </c>
      <c r="BM519" t="b">
        <f>IF(metadata!AB519="",FALSE,TRUE)</f>
        <v>0</v>
      </c>
    </row>
    <row r="520" spans="1:65" x14ac:dyDescent="0.2">
      <c r="A520" s="5" t="str">
        <f ca="1">IF(B520=" "," ",HYPERLINK(CONCATENATE("#metadata!",ADDRESS(INDEX($AH$2:$AH$1001,MATCH(ROWS($AF$2:AF520),$AF$2:$AF$1001,0),0),1)),INDEX($AK$2:$AK$1001,MATCH(ROWS($AF$2:AF520),$AF$2:$AF$1001,0),0)))</f>
        <v xml:space="preserve"> </v>
      </c>
      <c r="B520" s="4" t="str">
        <f ca="1">IF(OR(INDEX($AG$2:$AG$1001,MATCH(ROWS($AF$2:AF520),$AF$2:$AF$1001,0),1)&gt;=100000,INDEX($AM$1005:$BM$1005,1,MATCH(COLUMNS($AM$1006:AM1006),$AM$1006:$BM$1006,0))&gt;=100000), " ",IF(INDEX($AM$2:$BM$1001,MATCH(ROWS($AF$2:AF520),$AF$2:$AF$1001,0),MATCH(COLUMNS($AM$1006:AM1006),$AM$1006:$BM$1006,0)), HYPERLINK("#",""), HYPERLINK(CONCATENATE("#metadata!", ADDRESS(INDEX($AH$2:$AH$1001,MATCH(ROWS($AF$2:AF520),$AF$2:$AF$1001,0),0), INDEX($AM$1004:$BM$1004,1,MATCH(COLUMNS($AM$1006:AM1006),$AM$1006:$BM$1006,0)))),"Fix")))</f>
        <v xml:space="preserve"> </v>
      </c>
      <c r="C520" s="4" t="str">
        <f ca="1">IF(OR(INDEX($AG$2:$AG$1001,MATCH(ROWS($AF$2:AF520),$AF$2:$AF$1001,0),1)&gt;=100000,INDEX($AM$1005:$BM$1005,1,MATCH(COLUMNS($AM$1006:AN1006),$AM$1006:$BM$1006,0))&gt;=100000), " ",IF(INDEX($AM$2:$BM$1001,MATCH(ROWS($AF$2:AF520),$AF$2:$AF$1001,0),MATCH(COLUMNS($AM$1006:AN1006),$AM$1006:$BM$1006,0)), HYPERLINK("#",""), HYPERLINK(CONCATENATE("#metadata!", ADDRESS(INDEX($AH$2:$AH$1001,MATCH(ROWS($AF$2:AF520),$AF$2:$AF$1001,0),0), INDEX($AM$1004:$BM$1004,1,MATCH(COLUMNS($AM$1006:AN1006),$AM$1006:$BM$1006,0)))),"Fix")))</f>
        <v xml:space="preserve"> </v>
      </c>
      <c r="D520" s="4" t="str">
        <f ca="1">IF(OR(INDEX($AG$2:$AG$1001,MATCH(ROWS($AF$2:AF520),$AF$2:$AF$1001,0),1)&gt;=100000,INDEX($AM$1005:$BM$1005,1,MATCH(COLUMNS($AM$1006:AO1006),$AM$1006:$BM$1006,0))&gt;=100000), " ",IF(INDEX($AM$2:$BM$1001,MATCH(ROWS($AF$2:AF520),$AF$2:$AF$1001,0),MATCH(COLUMNS($AM$1006:AO1006),$AM$1006:$BM$1006,0)), HYPERLINK("#",""), HYPERLINK(CONCATENATE("#metadata!", ADDRESS(INDEX($AH$2:$AH$1001,MATCH(ROWS($AF$2:AF520),$AF$2:$AF$1001,0),0), INDEX($AM$1004:$BM$1004,1,MATCH(COLUMNS($AM$1006:AO1006),$AM$1006:$BM$1006,0)))),"Fix")))</f>
        <v xml:space="preserve"> </v>
      </c>
      <c r="E520" s="4" t="str">
        <f ca="1">IF(OR(INDEX($AG$2:$AG$1001,MATCH(ROWS($AF$2:AF520),$AF$2:$AF$1001,0),1)&gt;=100000,INDEX($AM$1005:$BM$1005,1,MATCH(COLUMNS($AM$1006:AP1006),$AM$1006:$BM$1006,0))&gt;=100000), " ",IF(INDEX($AM$2:$BM$1001,MATCH(ROWS($AF$2:AF520),$AF$2:$AF$1001,0),MATCH(COLUMNS($AM$1006:AP1006),$AM$1006:$BM$1006,0)), HYPERLINK("#",""), HYPERLINK(CONCATENATE("#metadata!", ADDRESS(INDEX($AH$2:$AH$1001,MATCH(ROWS($AF$2:AF520),$AF$2:$AF$1001,0),0), INDEX($AM$1004:$BM$1004,1,MATCH(COLUMNS($AM$1006:AP1006),$AM$1006:$BM$1006,0)))),"Fix")))</f>
        <v xml:space="preserve"> </v>
      </c>
      <c r="F520" s="4" t="str">
        <f ca="1">IF(OR(INDEX($AG$2:$AG$1001,MATCH(ROWS($AF$2:AF520),$AF$2:$AF$1001,0),1)&gt;=100000,INDEX($AM$1005:$BM$1005,1,MATCH(COLUMNS($AM$1006:AQ1006),$AM$1006:$BM$1006,0))&gt;=100000), " ",IF(INDEX($AM$2:$BM$1001,MATCH(ROWS($AF$2:AF520),$AF$2:$AF$1001,0),MATCH(COLUMNS($AM$1006:AQ1006),$AM$1006:$BM$1006,0)), HYPERLINK("#",""), HYPERLINK(CONCATENATE("#metadata!", ADDRESS(INDEX($AH$2:$AH$1001,MATCH(ROWS($AF$2:AF520),$AF$2:$AF$1001,0),0), INDEX($AM$1004:$BM$1004,1,MATCH(COLUMNS($AM$1006:AQ1006),$AM$1006:$BM$1006,0)))),"Fix")))</f>
        <v xml:space="preserve"> </v>
      </c>
      <c r="G520" s="4" t="str">
        <f ca="1">IF(OR(INDEX($AG$2:$AG$1001,MATCH(ROWS($AF$2:AF520),$AF$2:$AF$1001,0),1)&gt;=100000,INDEX($AM$1005:$BM$1005,1,MATCH(COLUMNS($AM$1006:AR1006),$AM$1006:$BM$1006,0))&gt;=100000), " ",IF(INDEX($AM$2:$BM$1001,MATCH(ROWS($AF$2:AF520),$AF$2:$AF$1001,0),MATCH(COLUMNS($AM$1006:AR1006),$AM$1006:$BM$1006,0)), HYPERLINK("#",""), HYPERLINK(CONCATENATE("#metadata!", ADDRESS(INDEX($AH$2:$AH$1001,MATCH(ROWS($AF$2:AF520),$AF$2:$AF$1001,0),0), INDEX($AM$1004:$BM$1004,1,MATCH(COLUMNS($AM$1006:AR1006),$AM$1006:$BM$1006,0)))),"Fix")))</f>
        <v xml:space="preserve"> </v>
      </c>
      <c r="H520" s="4" t="str">
        <f ca="1">IF(OR(INDEX($AG$2:$AG$1001,MATCH(ROWS($AF$2:AF520),$AF$2:$AF$1001,0),1)&gt;=100000,INDEX($AM$1005:$BM$1005,1,MATCH(COLUMNS($AM$1006:AS1006),$AM$1006:$BM$1006,0))&gt;=100000), " ",IF(INDEX($AM$2:$BM$1001,MATCH(ROWS($AF$2:AF520),$AF$2:$AF$1001,0),MATCH(COLUMNS($AM$1006:AS1006),$AM$1006:$BM$1006,0)), HYPERLINK("#",""), HYPERLINK(CONCATENATE("#metadata!", ADDRESS(INDEX($AH$2:$AH$1001,MATCH(ROWS($AF$2:AF520),$AF$2:$AF$1001,0),0), INDEX($AM$1004:$BM$1004,1,MATCH(COLUMNS($AM$1006:AS1006),$AM$1006:$BM$1006,0)))),"Fix")))</f>
        <v xml:space="preserve"> </v>
      </c>
      <c r="I520" s="4" t="str">
        <f ca="1">IF(OR(INDEX($AG$2:$AG$1001,MATCH(ROWS($AF$2:AF520),$AF$2:$AF$1001,0),1)&gt;=100000,INDEX($AM$1005:$BM$1005,1,MATCH(COLUMNS($AM$1006:AT1006),$AM$1006:$BM$1006,0))&gt;=100000), " ",IF(INDEX($AM$2:$BM$1001,MATCH(ROWS($AF$2:AF520),$AF$2:$AF$1001,0),MATCH(COLUMNS($AM$1006:AT1006),$AM$1006:$BM$1006,0)), HYPERLINK("#",""), HYPERLINK(CONCATENATE("#metadata!", ADDRESS(INDEX($AH$2:$AH$1001,MATCH(ROWS($AF$2:AF520),$AF$2:$AF$1001,0),0), INDEX($AM$1004:$BM$1004,1,MATCH(COLUMNS($AM$1006:AT1006),$AM$1006:$BM$1006,0)))),"Fix")))</f>
        <v xml:space="preserve"> </v>
      </c>
      <c r="J520" s="4" t="str">
        <f ca="1">IF(OR(INDEX($AG$2:$AG$1001,MATCH(ROWS($AF$2:AF520),$AF$2:$AF$1001,0),1)&gt;=100000,INDEX($AM$1005:$BM$1005,1,MATCH(COLUMNS($AM$1006:AU1006),$AM$1006:$BM$1006,0))&gt;=100000), " ",IF(INDEX($AM$2:$BM$1001,MATCH(ROWS($AF$2:AF520),$AF$2:$AF$1001,0),MATCH(COLUMNS($AM$1006:AU1006),$AM$1006:$BM$1006,0)), HYPERLINK("#",""), HYPERLINK(CONCATENATE("#metadata!", ADDRESS(INDEX($AH$2:$AH$1001,MATCH(ROWS($AF$2:AF520),$AF$2:$AF$1001,0),0), INDEX($AM$1004:$BM$1004,1,MATCH(COLUMNS($AM$1006:AU1006),$AM$1006:$BM$1006,0)))),"Fix")))</f>
        <v xml:space="preserve"> </v>
      </c>
      <c r="K520" s="4" t="str">
        <f ca="1">IF(OR(INDEX($AG$2:$AG$1001,MATCH(ROWS($AF$2:AF520),$AF$2:$AF$1001,0),1)&gt;=100000,INDEX($AM$1005:$BM$1005,1,MATCH(COLUMNS($AM$1006:AV1006),$AM$1006:$BM$1006,0))&gt;=100000), " ",IF(INDEX($AM$2:$BM$1001,MATCH(ROWS($AF$2:AF520),$AF$2:$AF$1001,0),MATCH(COLUMNS($AM$1006:AV1006),$AM$1006:$BM$1006,0)), HYPERLINK("#",""), HYPERLINK(CONCATENATE("#metadata!", ADDRESS(INDEX($AH$2:$AH$1001,MATCH(ROWS($AF$2:AF520),$AF$2:$AF$1001,0),0), INDEX($AM$1004:$BM$1004,1,MATCH(COLUMNS($AM$1006:AV1006),$AM$1006:$BM$1006,0)))),"Fix")))</f>
        <v xml:space="preserve"> </v>
      </c>
      <c r="L520" s="4" t="str">
        <f ca="1">IF(OR(INDEX($AG$2:$AG$1001,MATCH(ROWS($AF$2:AF520),$AF$2:$AF$1001,0),1)&gt;=100000,INDEX($AM$1005:$BM$1005,1,MATCH(COLUMNS($AM$1006:AW1006),$AM$1006:$BM$1006,0))&gt;=100000), " ",IF(INDEX($AM$2:$BM$1001,MATCH(ROWS($AF$2:AF520),$AF$2:$AF$1001,0),MATCH(COLUMNS($AM$1006:AW1006),$AM$1006:$BM$1006,0)), HYPERLINK("#",""), HYPERLINK(CONCATENATE("#metadata!", ADDRESS(INDEX($AH$2:$AH$1001,MATCH(ROWS($AF$2:AF520),$AF$2:$AF$1001,0),0), INDEX($AM$1004:$BM$1004,1,MATCH(COLUMNS($AM$1006:AW1006),$AM$1006:$BM$1006,0)))),"Fix")))</f>
        <v xml:space="preserve"> </v>
      </c>
      <c r="M520" s="4" t="str">
        <f ca="1">IF(OR(INDEX($AG$2:$AG$1001,MATCH(ROWS($AF$2:AF520),$AF$2:$AF$1001,0),1)&gt;=100000,INDEX($AM$1005:$BM$1005,1,MATCH(COLUMNS($AM$1006:AX1006),$AM$1006:$BM$1006,0))&gt;=100000), " ",IF(INDEX($AM$2:$BM$1001,MATCH(ROWS($AF$2:AF520),$AF$2:$AF$1001,0),MATCH(COLUMNS($AM$1006:AX1006),$AM$1006:$BM$1006,0)), HYPERLINK("#",""), HYPERLINK(CONCATENATE("#metadata!", ADDRESS(INDEX($AH$2:$AH$1001,MATCH(ROWS($AF$2:AF520),$AF$2:$AF$1001,0),0), INDEX($AM$1004:$BM$1004,1,MATCH(COLUMNS($AM$1006:AX1006),$AM$1006:$BM$1006,0)))),"Fix")))</f>
        <v xml:space="preserve"> </v>
      </c>
      <c r="N520" s="4" t="str">
        <f ca="1">IF(OR(INDEX($AG$2:$AG$1001,MATCH(ROWS($AF$2:AF520),$AF$2:$AF$1001,0),1)&gt;=100000,INDEX($AM$1005:$BM$1005,1,MATCH(COLUMNS($AM$1006:AY1006),$AM$1006:$BM$1006,0))&gt;=100000), " ",IF(INDEX($AM$2:$BM$1001,MATCH(ROWS($AF$2:AF520),$AF$2:$AF$1001,0),MATCH(COLUMNS($AM$1006:AY1006),$AM$1006:$BM$1006,0)), HYPERLINK("#",""), HYPERLINK(CONCATENATE("#metadata!", ADDRESS(INDEX($AH$2:$AH$1001,MATCH(ROWS($AF$2:AF520),$AF$2:$AF$1001,0),0), INDEX($AM$1004:$BM$1004,1,MATCH(COLUMNS($AM$1006:AY1006),$AM$1006:$BM$1006,0)))),"Fix")))</f>
        <v xml:space="preserve"> </v>
      </c>
      <c r="O520" s="4" t="str">
        <f ca="1">IF(OR(INDEX($AG$2:$AG$1001,MATCH(ROWS($AF$2:AF520),$AF$2:$AF$1001,0),1)&gt;=100000,INDEX($AM$1005:$BM$1005,1,MATCH(COLUMNS($AM$1006:AZ1006),$AM$1006:$BM$1006,0))&gt;=100000), " ",IF(INDEX($AM$2:$BM$1001,MATCH(ROWS($AF$2:AF520),$AF$2:$AF$1001,0),MATCH(COLUMNS($AM$1006:AZ1006),$AM$1006:$BM$1006,0)), HYPERLINK("#",""), HYPERLINK(CONCATENATE("#metadata!", ADDRESS(INDEX($AH$2:$AH$1001,MATCH(ROWS($AF$2:AF520),$AF$2:$AF$1001,0),0), INDEX($AM$1004:$BM$1004,1,MATCH(COLUMNS($AM$1006:AZ1006),$AM$1006:$BM$1006,0)))),"Fix")))</f>
        <v xml:space="preserve"> </v>
      </c>
      <c r="P520" s="4" t="str">
        <f ca="1">IF(OR(INDEX($AG$2:$AG$1001,MATCH(ROWS($AF$2:AF520),$AF$2:$AF$1001,0),1)&gt;=100000,INDEX($AM$1005:$BM$1005,1,MATCH(COLUMNS($AM$1006:BA1006),$AM$1006:$BM$1006,0))&gt;=100000), " ",IF(INDEX($AM$2:$BM$1001,MATCH(ROWS($AF$2:AF520),$AF$2:$AF$1001,0),MATCH(COLUMNS($AM$1006:BA1006),$AM$1006:$BM$1006,0)), HYPERLINK("#",""), HYPERLINK(CONCATENATE("#metadata!", ADDRESS(INDEX($AH$2:$AH$1001,MATCH(ROWS($AF$2:AF520),$AF$2:$AF$1001,0),0), INDEX($AM$1004:$BM$1004,1,MATCH(COLUMNS($AM$1006:BA1006),$AM$1006:$BM$1006,0)))),"Fix")))</f>
        <v xml:space="preserve"> </v>
      </c>
      <c r="Q520" s="4" t="str">
        <f ca="1">IF(OR(INDEX($AG$2:$AG$1001,MATCH(ROWS($AF$2:AF520),$AF$2:$AF$1001,0),1)&gt;=100000,INDEX($AM$1005:$BM$1005,1,MATCH(COLUMNS($AM$1006:BB1006),$AM$1006:$BM$1006,0))&gt;=100000), " ",IF(INDEX($AM$2:$BM$1001,MATCH(ROWS($AF$2:AF520),$AF$2:$AF$1001,0),MATCH(COLUMNS($AM$1006:BB1006),$AM$1006:$BM$1006,0)), HYPERLINK("#",""), HYPERLINK(CONCATENATE("#metadata!", ADDRESS(INDEX($AH$2:$AH$1001,MATCH(ROWS($AF$2:AF520),$AF$2:$AF$1001,0),0), INDEX($AM$1004:$BM$1004,1,MATCH(COLUMNS($AM$1006:BB1006),$AM$1006:$BM$1006,0)))),"Fix")))</f>
        <v xml:space="preserve"> </v>
      </c>
      <c r="R520" s="4" t="str">
        <f ca="1">IF(OR(INDEX($AG$2:$AG$1001,MATCH(ROWS($AF$2:AF520),$AF$2:$AF$1001,0),1)&gt;=100000,INDEX($AM$1005:$BM$1005,1,MATCH(COLUMNS($AM$1006:BC1006),$AM$1006:$BM$1006,0))&gt;=100000), " ",IF(INDEX($AM$2:$BM$1001,MATCH(ROWS($AF$2:AF520),$AF$2:$AF$1001,0),MATCH(COLUMNS($AM$1006:BC1006),$AM$1006:$BM$1006,0)), HYPERLINK("#",""), HYPERLINK(CONCATENATE("#metadata!", ADDRESS(INDEX($AH$2:$AH$1001,MATCH(ROWS($AF$2:AF520),$AF$2:$AF$1001,0),0), INDEX($AM$1004:$BM$1004,1,MATCH(COLUMNS($AM$1006:BC1006),$AM$1006:$BM$1006,0)))),"Fix")))</f>
        <v xml:space="preserve"> </v>
      </c>
      <c r="S520" s="4" t="str">
        <f ca="1">IF(OR(INDEX($AG$2:$AG$1001,MATCH(ROWS($AF$2:AF520),$AF$2:$AF$1001,0),1)&gt;=100000,INDEX($AM$1005:$BM$1005,1,MATCH(COLUMNS($AM$1006:BD1006),$AM$1006:$BM$1006,0))&gt;=100000), " ",IF(INDEX($AM$2:$BM$1001,MATCH(ROWS($AF$2:AF520),$AF$2:$AF$1001,0),MATCH(COLUMNS($AM$1006:BD1006),$AM$1006:$BM$1006,0)), HYPERLINK("#",""), HYPERLINK(CONCATENATE("#metadata!", ADDRESS(INDEX($AH$2:$AH$1001,MATCH(ROWS($AF$2:AF520),$AF$2:$AF$1001,0),0), INDEX($AM$1004:$BM$1004,1,MATCH(COLUMNS($AM$1006:BD1006),$AM$1006:$BM$1006,0)))),"Fix")))</f>
        <v xml:space="preserve"> </v>
      </c>
      <c r="T520" s="4" t="str">
        <f ca="1">IF(OR(INDEX($AG$2:$AG$1001,MATCH(ROWS($AF$2:AF520),$AF$2:$AF$1001,0),1)&gt;=100000,INDEX($AM$1005:$BM$1005,1,MATCH(COLUMNS($AM$1006:BE1006),$AM$1006:$BM$1006,0))&gt;=100000), " ",IF(INDEX($AM$2:$BM$1001,MATCH(ROWS($AF$2:AF520),$AF$2:$AF$1001,0),MATCH(COLUMNS($AM$1006:BE1006),$AM$1006:$BM$1006,0)), HYPERLINK("#",""), HYPERLINK(CONCATENATE("#metadata!", ADDRESS(INDEX($AH$2:$AH$1001,MATCH(ROWS($AF$2:AF520),$AF$2:$AF$1001,0),0), INDEX($AM$1004:$BM$1004,1,MATCH(COLUMNS($AM$1006:BE1006),$AM$1006:$BM$1006,0)))),"Fix")))</f>
        <v xml:space="preserve"> </v>
      </c>
      <c r="U520" s="4" t="str">
        <f ca="1">IF(OR(INDEX($AG$2:$AG$1001,MATCH(ROWS($AF$2:AF520),$AF$2:$AF$1001,0),1)&gt;=100000,INDEX($AM$1005:$BM$1005,1,MATCH(COLUMNS($AM$1006:BF1006),$AM$1006:$BM$1006,0))&gt;=100000), " ",IF(INDEX($AM$2:$BM$1001,MATCH(ROWS($AF$2:AF520),$AF$2:$AF$1001,0),MATCH(COLUMNS($AM$1006:BF1006),$AM$1006:$BM$1006,0)), HYPERLINK("#",""), HYPERLINK(CONCATENATE("#metadata!", ADDRESS(INDEX($AH$2:$AH$1001,MATCH(ROWS($AF$2:AF520),$AF$2:$AF$1001,0),0), INDEX($AM$1004:$BM$1004,1,MATCH(COLUMNS($AM$1006:BF1006),$AM$1006:$BM$1006,0)))),"Fix")))</f>
        <v xml:space="preserve"> </v>
      </c>
      <c r="V520" s="4" t="str">
        <f ca="1">IF(OR(INDEX($AG$2:$AG$1001,MATCH(ROWS($AF$2:AF520),$AF$2:$AF$1001,0),1)&gt;=100000,INDEX($AM$1005:$BM$1005,1,MATCH(COLUMNS($AM$1006:BG1006),$AM$1006:$BM$1006,0))&gt;=100000), " ",IF(INDEX($AM$2:$BM$1001,MATCH(ROWS($AF$2:AF520),$AF$2:$AF$1001,0),MATCH(COLUMNS($AM$1006:BG1006),$AM$1006:$BM$1006,0)), HYPERLINK("#",""), HYPERLINK(CONCATENATE("#metadata!", ADDRESS(INDEX($AH$2:$AH$1001,MATCH(ROWS($AF$2:AF520),$AF$2:$AF$1001,0),0), INDEX($AM$1004:$BM$1004,1,MATCH(COLUMNS($AM$1006:BG1006),$AM$1006:$BM$1006,0)))),"Fix")))</f>
        <v xml:space="preserve"> </v>
      </c>
      <c r="W520" s="4" t="str">
        <f ca="1">IF(OR(INDEX($AG$2:$AG$1001,MATCH(ROWS($AF$2:AF520),$AF$2:$AF$1001,0),1)&gt;=100000,INDEX($AM$1005:$BM$1005,1,MATCH(COLUMNS($AM$1006:BH1006),$AM$1006:$BM$1006,0))&gt;=100000), " ",IF(INDEX($AM$2:$BM$1001,MATCH(ROWS($AF$2:AF520),$AF$2:$AF$1001,0),MATCH(COLUMNS($AM$1006:BH1006),$AM$1006:$BM$1006,0)), HYPERLINK("#",""), HYPERLINK(CONCATENATE("#metadata!", ADDRESS(INDEX($AH$2:$AH$1001,MATCH(ROWS($AF$2:AF520),$AF$2:$AF$1001,0),0), INDEX($AM$1004:$BM$1004,1,MATCH(COLUMNS($AM$1006:BH1006),$AM$1006:$BM$1006,0)))),"Fix")))</f>
        <v xml:space="preserve"> </v>
      </c>
      <c r="X520" s="4" t="str">
        <f ca="1">IF(OR(INDEX($AG$2:$AG$1001,MATCH(ROWS($AF$2:AF520),$AF$2:$AF$1001,0),1)&gt;=100000,INDEX($AM$1005:$BM$1005,1,MATCH(COLUMNS($AM$1006:BI1006),$AM$1006:$BM$1006,0))&gt;=100000), " ",IF(INDEX($AM$2:$BM$1001,MATCH(ROWS($AF$2:AF520),$AF$2:$AF$1001,0),MATCH(COLUMNS($AM$1006:BI1006),$AM$1006:$BM$1006,0)), HYPERLINK("#",""), HYPERLINK(CONCATENATE("#metadata!", ADDRESS(INDEX($AH$2:$AH$1001,MATCH(ROWS($AF$2:AF520),$AF$2:$AF$1001,0),0), INDEX($AM$1004:$BM$1004,1,MATCH(COLUMNS($AM$1006:BI1006),$AM$1006:$BM$1006,0)))),"Fix")))</f>
        <v xml:space="preserve"> </v>
      </c>
      <c r="Y520" s="4" t="str">
        <f ca="1">IF(OR(INDEX($AG$2:$AG$1001,MATCH(ROWS($AF$2:AF520),$AF$2:$AF$1001,0),1)&gt;=100000,INDEX($AM$1005:$BM$1005,1,MATCH(COLUMNS($AM$1006:BJ1006),$AM$1006:$BM$1006,0))&gt;=100000), " ",IF(INDEX($AM$2:$BM$1001,MATCH(ROWS($AF$2:AF520),$AF$2:$AF$1001,0),MATCH(COLUMNS($AM$1006:BJ1006),$AM$1006:$BM$1006,0)), HYPERLINK("#",""), HYPERLINK(CONCATENATE("#metadata!", ADDRESS(INDEX($AH$2:$AH$1001,MATCH(ROWS($AF$2:AF520),$AF$2:$AF$1001,0),0), INDEX($AM$1004:$BM$1004,1,MATCH(COLUMNS($AM$1006:BJ1006),$AM$1006:$BM$1006,0)))),"Fix")))</f>
        <v xml:space="preserve"> </v>
      </c>
      <c r="Z520" s="4" t="str">
        <f ca="1">IF(OR(INDEX($AG$2:$AG$1001,MATCH(ROWS($AF$2:AF520),$AF$2:$AF$1001,0),1)&gt;=100000,INDEX($AM$1005:$BM$1005,1,MATCH(COLUMNS($AM$1006:BK1006),$AM$1006:$BM$1006,0))&gt;=100000), " ",IF(INDEX($AM$2:$BM$1001,MATCH(ROWS($AF$2:AF520),$AF$2:$AF$1001,0),MATCH(COLUMNS($AM$1006:BK1006),$AM$1006:$BM$1006,0)), HYPERLINK("#",""), HYPERLINK(CONCATENATE("#metadata!", ADDRESS(INDEX($AH$2:$AH$1001,MATCH(ROWS($AF$2:AF520),$AF$2:$AF$1001,0),0), INDEX($AM$1004:$BM$1004,1,MATCH(COLUMNS($AM$1006:BK1006),$AM$1006:$BM$1006,0)))),"Fix")))</f>
        <v xml:space="preserve"> </v>
      </c>
      <c r="AA520" s="4" t="str">
        <f ca="1">IF(OR(INDEX($AG$2:$AG$1001,MATCH(ROWS($AF$2:AF520),$AF$2:$AF$1001,0),1)&gt;=100000,INDEX($AM$1005:$BM$1005,1,MATCH(COLUMNS($AM$1006:BL1006),$AM$1006:$BM$1006,0))&gt;=100000), " ",IF(INDEX($AM$2:$BM$1001,MATCH(ROWS($AF$2:AF520),$AF$2:$AF$1001,0),MATCH(COLUMNS($AM$1006:BL1006),$AM$1006:$BM$1006,0)), HYPERLINK("#",""), HYPERLINK(CONCATENATE("#metadata!", ADDRESS(INDEX($AH$2:$AH$1001,MATCH(ROWS($AF$2:AF520),$AF$2:$AF$1001,0),0), INDEX($AM$1004:$BM$1004,1,MATCH(COLUMNS($AM$1006:BL1006),$AM$1006:$BM$1006,0)))),"Fix")))</f>
        <v xml:space="preserve"> </v>
      </c>
      <c r="AB520" s="4" t="str">
        <f ca="1">IF(OR(INDEX($AG$2:$AG$1001,MATCH(ROWS($AF$2:AF520),$AF$2:$AF$1001,0),1)&gt;=100000,INDEX($AM$1005:$BM$1005,1,MATCH(COLUMNS($AM$1006:BM1006),$AM$1006:$BM$1006,0))&gt;=100000), " ",IF(INDEX($AM$2:$BM$1001,MATCH(ROWS($AF$2:AF520),$AF$2:$AF$1001,0),MATCH(COLUMNS($AM$1006:BM1006),$AM$1006:$BM$1006,0)), HYPERLINK("#",""), HYPERLINK(CONCATENATE("#metadata!", ADDRESS(INDEX($AH$2:$AH$1001,MATCH(ROWS($AF$2:AF520),$AF$2:$AF$1001,0),0), INDEX($AM$1004:$BM$1004,1,MATCH(COLUMNS($AM$1006:BM1006),$AM$1006:$BM$1006,0)))),"Fix")))</f>
        <v xml:space="preserve"> </v>
      </c>
      <c r="AF520">
        <v>519</v>
      </c>
      <c r="AG520">
        <v>100520</v>
      </c>
      <c r="AH520">
        <v>520</v>
      </c>
      <c r="AI520" t="b">
        <f t="shared" si="8"/>
        <v>1</v>
      </c>
      <c r="AJ520" t="b">
        <f>COUNTBLANK(metadata!B520:AB520)=COLUMNS(metadata!B520:AB520)</f>
        <v>1</v>
      </c>
      <c r="AK520" t="str">
        <v/>
      </c>
      <c r="AM520" t="b">
        <f ca="1">AND(IF(metadata!B520="",FALSE,TRUE),COUNTIF(metadata!B:B, metadata!B520) = 1,NOT(ISERROR(SUMPRODUCT(SEARCH(MID(metadata!B520,ROW(INDIRECT("1:"&amp;LEN(metadata!B520))), 1),"0123456789abcdefghijklmnopqrstuvwxyzABCDEFGHIJKLMNOPQRSTUVWXYZ.")))))</f>
        <v>0</v>
      </c>
      <c r="AN520" t="b">
        <f ca="1">OR(AND(IF(metadata!C520="",FALSE,TRUE),OR(EXACT(metadata!C520,"missing: not collected"),EXACT(metadata!C520,"missing: not provided"),EXACT(metadata!C520,"missing: restricted access"))),AND(IF(metadata!C520="",FALSE,TRUE),AND(AND(IFERROR(INT(LEFT(metadata!C520,4))&gt;1900,FALSE),IFERROR(INT(LEFT(metadata!C520,4))&lt;=YEAR(NOW()),FALSE)), OR(MID(metadata!C520,5,1)="", AND(AND(MID(metadata!C520,5,1)="-",IFERROR(INT(MID(metadata!C520,6,1))&gt;=0,FALSE),IFERROR(INT(MID(metadata!C520,6,1))&lt;=1,FALSE),NOT(MID(metadata!C520,7,1)=""),IFERROR(INT(MID(metadata!C520,6,2))&gt;=1,FALSE),IFERROR(INT(MID(metadata!C520,6,2))&lt;=12,FALSE)), OR(MID(metadata!C520,8,1)="", AND(AND(MID(metadata!C520,8,1)="-",IFERROR(INT(MID(metadata!C520,9,1))&gt;=0,FALSE),IFERROR(INT(MID(metadata!C520,9,1))&lt;=3,FALSE),NOT(MID(metadata!C520,10,1)=""),IFERROR(INT(MID(metadata!C520,9,2))&gt;=1,FALSE),IFERROR(INT(MID(metadata!C520,9,2))&lt;=31,FALSE)), OR(MID(metadata!C520,11,1)="", AND(AND(MID(metadata!C520,11,1)=" ",IFERROR(INT(MID(metadata!C520,12,1))&gt;=0,FALSE),IFERROR(INT(MID(metadata!C520,12,1))&lt;=2,FALSE),NOT(MID(metadata!C520,13,1)=""),IFERROR(INT(MID(metadata!C520,12,2))&gt;=0,FALSE),IFERROR(INT(MID(metadata!C520,12,2))&lt;=23,FALSE)), OR(MID(metadata!C520,14,1)="", AND(AND(MID(metadata!C520,14,1)=":",IFERROR(INT(MID(metadata!C520,15,1))&gt;=0,FALSE),IFERROR(INT(MID(metadata!C520,15,1))&lt;=5,FALSE),NOT(MID(metadata!C520,16,1)=""),IFERROR(INT(MID(metadata!C520,15,2))&gt;=0,FALSE),IFERROR(INT(MID(metadata!C520,15,2))&lt;=59,FALSE)), OR(MID(metadata!C520,17,1)="", AND(AND(MID(metadata!C520,17,1)=":",IFERROR(INT(MID(metadata!C520,18,1))&gt;=0,FALSE),IFERROR(INT(MID(metadata!C520,18,1))&lt;=5,FALSE),NOT(MID(metadata!C520,19,1)=""),IFERROR(INT(MID(metadata!C520,18,2))&gt;=0,FALSE),IFERROR(INT(MID(metadata!C520,18,2))&lt;=59,FALSE)), LEN(metadata!C520)&lt;=19)))))))))))))</f>
        <v>0</v>
      </c>
      <c r="AO520" t="b">
        <f>AND(IF(metadata!D520="",FALSE,TRUE),EXACT(metadata!D520,"Not applicable"))</f>
        <v>0</v>
      </c>
      <c r="AP520" t="b">
        <f>IF(metadata!E520="",FALSE,TRUE)</f>
        <v>0</v>
      </c>
      <c r="AQ520" t="b">
        <f>OR(AND(IF(metadata!F520="",FALSE,TRUE),OR(EXACT(metadata!F520,"missing: not collected"),EXACT(metadata!F520,"missing: not provided"))),AND(IF(metadata!F520="",FALSE,TRUE),OR(EXACT(metadata!F520,"TRUE"),EXACT(metadata!F520,"FALSE"))))</f>
        <v>0</v>
      </c>
      <c r="AR520" t="b">
        <f>OR(AND(IF(metadata!G520="",FALSE,TRUE),OR(EXACT(metadata!G520,"missing: not collected"),EXACT(metadata!G520,"missing: not provided"),EXACT(metadata!G520,"missing: restricted access"))),AND(IF(metadata!G520="",FALSE,ISNUMBER(VALUE(metadata!G520))),metadata!G520&gt;=-413))</f>
        <v>0</v>
      </c>
      <c r="AS520" t="b">
        <f>AND(IF(metadata!H520="",FALSE,TRUE),EXACT(metadata!H520,"meters"))</f>
        <v>0</v>
      </c>
      <c r="AT520" t="b">
        <f>AND(IF(metadata!I520="",FALSE,TRUE),OR(EXACT(metadata!I520,"Host-associated"),EXACT(metadata!I520,"Free-living")))</f>
        <v>0</v>
      </c>
      <c r="AU520" t="b">
        <f>AND(IF(metadata!J520="",FALSE,TRUE),OR(EXACT(metadata!J520,"Animal"),EXACT(metadata!J520,"Fungus"),EXACT(metadata!J520,"Plant"),EXACT(metadata!J520,"Saline"),EXACT(metadata!J520,"Non-saline")))</f>
        <v>0</v>
      </c>
      <c r="AV520" t="b">
        <f>AND(IF(metadata!K520="",FALSE,TRUE),OR(EXACT(metadata!K520,"Plant secretion"),EXACT(metadata!K520,"Plant rhizosphere"),EXACT(metadata!K520,"Plant surface"),EXACT(metadata!K520,"Plant corpus"),EXACT(metadata!K520,"Fungus surface"),EXACT(metadata!K520,"Fungus corpus"),EXACT(metadata!K520,"Animal surface"),EXACT(metadata!K520,"Animal proximal gut"),EXACT(metadata!K520,"Animal corpus"),EXACT(metadata!K520,"Animal distal gut"),EXACT(metadata!K520,"Animal secretion"),EXACT(metadata!K520,"Sub-surface (non-saline)"),EXACT(metadata!K520,"Surface (non-saline)"),EXACT(metadata!K520,"Water (non-saline)"),EXACT(metadata!K520,"Soil (non-saline)"),EXACT(metadata!K520,"Aerosol (non-saline)"),EXACT(metadata!K520,"Sediment (non-saline)"),EXACT(metadata!K520,"Surface (saline)"),EXACT(metadata!K520,"Water (saline)"),EXACT(metadata!K520,"Hypersaline (saline)"),EXACT(metadata!K520,"Aerosol (saline)"),EXACT(metadata!K520,"Sediment (saline)")))</f>
        <v>0</v>
      </c>
      <c r="AW520" t="b">
        <f>IF(metadata!L520="",FALSE,TRUE)</f>
        <v>0</v>
      </c>
      <c r="AX520" t="b">
        <f>IF(metadata!M520="",FALSE,TRUE)</f>
        <v>0</v>
      </c>
      <c r="AY520" t="b">
        <f>IF(metadata!N520="",FALSE,TRUE)</f>
        <v>0</v>
      </c>
      <c r="AZ520" t="b">
        <f>OR(AND(IF(metadata!O520="",FALSE,TRUE),OR(EXACT(metadata!O520,"missing: not collected"),EXACT(metadata!O520,"missing: not provided"),EXACT(metadata!O520,"missing: restricted access"))),AND(IF(metadata!O520="",FALSE,TRUE),OR(EXACT(metadata!O520,"air"),EXACT(metadata!O520,"built environment"),EXACT(metadata!O520,"host-associated"),EXACT(metadata!O520,"human-associated"),EXACT(metadata!O520,"human-skin"),EXACT(metadata!O520,"human-oral"),EXACT(metadata!O520,"human-gut"),EXACT(metadata!O520,"human-vaginal"),EXACT(metadata!O520,"microbial mat/biofilm"),EXACT(metadata!O520,"misc environment"),EXACT(metadata!O520,"plant-associated"),EXACT(metadata!O520,"sediment"),EXACT(metadata!O520,"soil"),EXACT(metadata!O520,"wastewater/sludge"),EXACT(metadata!O520,"water"))))</f>
        <v>0</v>
      </c>
      <c r="BA520" t="b">
        <f>IF(metadata!P520="",FALSE,TRUE)</f>
        <v>0</v>
      </c>
      <c r="BB520" t="b">
        <f>IF(metadata!Q520="",FALSE,TRUE)</f>
        <v>0</v>
      </c>
      <c r="BC520" t="b">
        <f>OR(AND(IF(metadata!R520="",FALSE,TRUE),OR(EXACT(metadata!R520,"missing: not collected"),EXACT(metadata!R520,"missing: not provided"),EXACT(metadata!R520,"missing: restricted access"))),AND(IF(metadata!R520="",FALSE,ISNUMBER(VALUE(metadata!R520))),metadata!R520&gt;=-90,metadata!R520&lt;=90))</f>
        <v>0</v>
      </c>
      <c r="BD520" t="b">
        <f>AND(IF(metadata!S520="",FALSE,TRUE),EXACT(metadata!S520,"Decimal degrees"))</f>
        <v>0</v>
      </c>
      <c r="BE520" t="b">
        <f>OR(AND(IF(metadata!T520="",FALSE,TRUE),OR(EXACT(metadata!T520,"missing: not collected"),EXACT(metadata!T520,"missing: not provided"),EXACT(metadata!T520,"missing: restricted access"))),AND(IF(metadata!T520="",FALSE,ISNUMBER(VALUE(metadata!T520))),metadata!T520&gt;=-180,metadata!T520&lt;=180))</f>
        <v>0</v>
      </c>
      <c r="BF520" t="b">
        <f>AND(IF(metadata!U520="",FALSE,TRUE),EXACT(metadata!U520,"Decimal degrees"))</f>
        <v>0</v>
      </c>
      <c r="BG520" t="b">
        <f>IF(metadata!V520="",FALSE,TRUE)</f>
        <v>0</v>
      </c>
      <c r="BH520" t="b">
        <f>OR(AND(IF(metadata!W520="",FALSE,TRUE),OR(EXACT(metadata!W520,"missing: not collected"),EXACT(metadata!W520,"missing: not provided"),EXACT(metadata!W520,"missing: restricted access"))),AND(IF(metadata!W520="",FALSE,TRUE),OR(EXACT(metadata!W520,"TRUE"),EXACT(metadata!W520,"FALSE"))))</f>
        <v>0</v>
      </c>
      <c r="BI520" t="b">
        <f>AND(IF(metadata!X520="",FALSE,TRUE),EXACT(metadata!X520,"other"))</f>
        <v>0</v>
      </c>
      <c r="BJ520" t="b">
        <f>IF(metadata!Y520="",FALSE,TRUE)</f>
        <v>0</v>
      </c>
      <c r="BK520" t="b">
        <f>OR(AND(IF(metadata!Z520="",FALSE,TRUE),OR(EXACT(metadata!Z520,"missing: not collected"),EXACT(metadata!Z520,"missing: not provided"))),AND(IF(metadata!Z520="",FALSE,IF(ISERROR(INT(metadata!Z520)),FALSE,INT(metadata!Z520)=metadata!Z520)),metadata!Z520&gt;0))</f>
        <v>0</v>
      </c>
      <c r="BL520" t="b">
        <f>AND(IF(metadata!AA520="",FALSE,TRUE),EXACT(metadata!AA520,"Not applicable"))</f>
        <v>0</v>
      </c>
      <c r="BM520" t="b">
        <f>IF(metadata!AB520="",FALSE,TRUE)</f>
        <v>0</v>
      </c>
    </row>
    <row r="521" spans="1:65" x14ac:dyDescent="0.2">
      <c r="A521" s="5" t="str">
        <f ca="1">IF(B521=" "," ",HYPERLINK(CONCATENATE("#metadata!",ADDRESS(INDEX($AH$2:$AH$1001,MATCH(ROWS($AF$2:AF521),$AF$2:$AF$1001,0),0),1)),INDEX($AK$2:$AK$1001,MATCH(ROWS($AF$2:AF521),$AF$2:$AF$1001,0),0)))</f>
        <v xml:space="preserve"> </v>
      </c>
      <c r="B521" s="4" t="str">
        <f ca="1">IF(OR(INDEX($AG$2:$AG$1001,MATCH(ROWS($AF$2:AF521),$AF$2:$AF$1001,0),1)&gt;=100000,INDEX($AM$1005:$BM$1005,1,MATCH(COLUMNS($AM$1006:AM1006),$AM$1006:$BM$1006,0))&gt;=100000), " ",IF(INDEX($AM$2:$BM$1001,MATCH(ROWS($AF$2:AF521),$AF$2:$AF$1001,0),MATCH(COLUMNS($AM$1006:AM1006),$AM$1006:$BM$1006,0)), HYPERLINK("#",""), HYPERLINK(CONCATENATE("#metadata!", ADDRESS(INDEX($AH$2:$AH$1001,MATCH(ROWS($AF$2:AF521),$AF$2:$AF$1001,0),0), INDEX($AM$1004:$BM$1004,1,MATCH(COLUMNS($AM$1006:AM1006),$AM$1006:$BM$1006,0)))),"Fix")))</f>
        <v xml:space="preserve"> </v>
      </c>
      <c r="C521" s="4" t="str">
        <f ca="1">IF(OR(INDEX($AG$2:$AG$1001,MATCH(ROWS($AF$2:AF521),$AF$2:$AF$1001,0),1)&gt;=100000,INDEX($AM$1005:$BM$1005,1,MATCH(COLUMNS($AM$1006:AN1006),$AM$1006:$BM$1006,0))&gt;=100000), " ",IF(INDEX($AM$2:$BM$1001,MATCH(ROWS($AF$2:AF521),$AF$2:$AF$1001,0),MATCH(COLUMNS($AM$1006:AN1006),$AM$1006:$BM$1006,0)), HYPERLINK("#",""), HYPERLINK(CONCATENATE("#metadata!", ADDRESS(INDEX($AH$2:$AH$1001,MATCH(ROWS($AF$2:AF521),$AF$2:$AF$1001,0),0), INDEX($AM$1004:$BM$1004,1,MATCH(COLUMNS($AM$1006:AN1006),$AM$1006:$BM$1006,0)))),"Fix")))</f>
        <v xml:space="preserve"> </v>
      </c>
      <c r="D521" s="4" t="str">
        <f ca="1">IF(OR(INDEX($AG$2:$AG$1001,MATCH(ROWS($AF$2:AF521),$AF$2:$AF$1001,0),1)&gt;=100000,INDEX($AM$1005:$BM$1005,1,MATCH(COLUMNS($AM$1006:AO1006),$AM$1006:$BM$1006,0))&gt;=100000), " ",IF(INDEX($AM$2:$BM$1001,MATCH(ROWS($AF$2:AF521),$AF$2:$AF$1001,0),MATCH(COLUMNS($AM$1006:AO1006),$AM$1006:$BM$1006,0)), HYPERLINK("#",""), HYPERLINK(CONCATENATE("#metadata!", ADDRESS(INDEX($AH$2:$AH$1001,MATCH(ROWS($AF$2:AF521),$AF$2:$AF$1001,0),0), INDEX($AM$1004:$BM$1004,1,MATCH(COLUMNS($AM$1006:AO1006),$AM$1006:$BM$1006,0)))),"Fix")))</f>
        <v xml:space="preserve"> </v>
      </c>
      <c r="E521" s="4" t="str">
        <f ca="1">IF(OR(INDEX($AG$2:$AG$1001,MATCH(ROWS($AF$2:AF521),$AF$2:$AF$1001,0),1)&gt;=100000,INDEX($AM$1005:$BM$1005,1,MATCH(COLUMNS($AM$1006:AP1006),$AM$1006:$BM$1006,0))&gt;=100000), " ",IF(INDEX($AM$2:$BM$1001,MATCH(ROWS($AF$2:AF521),$AF$2:$AF$1001,0),MATCH(COLUMNS($AM$1006:AP1006),$AM$1006:$BM$1006,0)), HYPERLINK("#",""), HYPERLINK(CONCATENATE("#metadata!", ADDRESS(INDEX($AH$2:$AH$1001,MATCH(ROWS($AF$2:AF521),$AF$2:$AF$1001,0),0), INDEX($AM$1004:$BM$1004,1,MATCH(COLUMNS($AM$1006:AP1006),$AM$1006:$BM$1006,0)))),"Fix")))</f>
        <v xml:space="preserve"> </v>
      </c>
      <c r="F521" s="4" t="str">
        <f ca="1">IF(OR(INDEX($AG$2:$AG$1001,MATCH(ROWS($AF$2:AF521),$AF$2:$AF$1001,0),1)&gt;=100000,INDEX($AM$1005:$BM$1005,1,MATCH(COLUMNS($AM$1006:AQ1006),$AM$1006:$BM$1006,0))&gt;=100000), " ",IF(INDEX($AM$2:$BM$1001,MATCH(ROWS($AF$2:AF521),$AF$2:$AF$1001,0),MATCH(COLUMNS($AM$1006:AQ1006),$AM$1006:$BM$1006,0)), HYPERLINK("#",""), HYPERLINK(CONCATENATE("#metadata!", ADDRESS(INDEX($AH$2:$AH$1001,MATCH(ROWS($AF$2:AF521),$AF$2:$AF$1001,0),0), INDEX($AM$1004:$BM$1004,1,MATCH(COLUMNS($AM$1006:AQ1006),$AM$1006:$BM$1006,0)))),"Fix")))</f>
        <v xml:space="preserve"> </v>
      </c>
      <c r="G521" s="4" t="str">
        <f ca="1">IF(OR(INDEX($AG$2:$AG$1001,MATCH(ROWS($AF$2:AF521),$AF$2:$AF$1001,0),1)&gt;=100000,INDEX($AM$1005:$BM$1005,1,MATCH(COLUMNS($AM$1006:AR1006),$AM$1006:$BM$1006,0))&gt;=100000), " ",IF(INDEX($AM$2:$BM$1001,MATCH(ROWS($AF$2:AF521),$AF$2:$AF$1001,0),MATCH(COLUMNS($AM$1006:AR1006),$AM$1006:$BM$1006,0)), HYPERLINK("#",""), HYPERLINK(CONCATENATE("#metadata!", ADDRESS(INDEX($AH$2:$AH$1001,MATCH(ROWS($AF$2:AF521),$AF$2:$AF$1001,0),0), INDEX($AM$1004:$BM$1004,1,MATCH(COLUMNS($AM$1006:AR1006),$AM$1006:$BM$1006,0)))),"Fix")))</f>
        <v xml:space="preserve"> </v>
      </c>
      <c r="H521" s="4" t="str">
        <f ca="1">IF(OR(INDEX($AG$2:$AG$1001,MATCH(ROWS($AF$2:AF521),$AF$2:$AF$1001,0),1)&gt;=100000,INDEX($AM$1005:$BM$1005,1,MATCH(COLUMNS($AM$1006:AS1006),$AM$1006:$BM$1006,0))&gt;=100000), " ",IF(INDEX($AM$2:$BM$1001,MATCH(ROWS($AF$2:AF521),$AF$2:$AF$1001,0),MATCH(COLUMNS($AM$1006:AS1006),$AM$1006:$BM$1006,0)), HYPERLINK("#",""), HYPERLINK(CONCATENATE("#metadata!", ADDRESS(INDEX($AH$2:$AH$1001,MATCH(ROWS($AF$2:AF521),$AF$2:$AF$1001,0),0), INDEX($AM$1004:$BM$1004,1,MATCH(COLUMNS($AM$1006:AS1006),$AM$1006:$BM$1006,0)))),"Fix")))</f>
        <v xml:space="preserve"> </v>
      </c>
      <c r="I521" s="4" t="str">
        <f ca="1">IF(OR(INDEX($AG$2:$AG$1001,MATCH(ROWS($AF$2:AF521),$AF$2:$AF$1001,0),1)&gt;=100000,INDEX($AM$1005:$BM$1005,1,MATCH(COLUMNS($AM$1006:AT1006),$AM$1006:$BM$1006,0))&gt;=100000), " ",IF(INDEX($AM$2:$BM$1001,MATCH(ROWS($AF$2:AF521),$AF$2:$AF$1001,0),MATCH(COLUMNS($AM$1006:AT1006),$AM$1006:$BM$1006,0)), HYPERLINK("#",""), HYPERLINK(CONCATENATE("#metadata!", ADDRESS(INDEX($AH$2:$AH$1001,MATCH(ROWS($AF$2:AF521),$AF$2:$AF$1001,0),0), INDEX($AM$1004:$BM$1004,1,MATCH(COLUMNS($AM$1006:AT1006),$AM$1006:$BM$1006,0)))),"Fix")))</f>
        <v xml:space="preserve"> </v>
      </c>
      <c r="J521" s="4" t="str">
        <f ca="1">IF(OR(INDEX($AG$2:$AG$1001,MATCH(ROWS($AF$2:AF521),$AF$2:$AF$1001,0),1)&gt;=100000,INDEX($AM$1005:$BM$1005,1,MATCH(COLUMNS($AM$1006:AU1006),$AM$1006:$BM$1006,0))&gt;=100000), " ",IF(INDEX($AM$2:$BM$1001,MATCH(ROWS($AF$2:AF521),$AF$2:$AF$1001,0),MATCH(COLUMNS($AM$1006:AU1006),$AM$1006:$BM$1006,0)), HYPERLINK("#",""), HYPERLINK(CONCATENATE("#metadata!", ADDRESS(INDEX($AH$2:$AH$1001,MATCH(ROWS($AF$2:AF521),$AF$2:$AF$1001,0),0), INDEX($AM$1004:$BM$1004,1,MATCH(COLUMNS($AM$1006:AU1006),$AM$1006:$BM$1006,0)))),"Fix")))</f>
        <v xml:space="preserve"> </v>
      </c>
      <c r="K521" s="4" t="str">
        <f ca="1">IF(OR(INDEX($AG$2:$AG$1001,MATCH(ROWS($AF$2:AF521),$AF$2:$AF$1001,0),1)&gt;=100000,INDEX($AM$1005:$BM$1005,1,MATCH(COLUMNS($AM$1006:AV1006),$AM$1006:$BM$1006,0))&gt;=100000), " ",IF(INDEX($AM$2:$BM$1001,MATCH(ROWS($AF$2:AF521),$AF$2:$AF$1001,0),MATCH(COLUMNS($AM$1006:AV1006),$AM$1006:$BM$1006,0)), HYPERLINK("#",""), HYPERLINK(CONCATENATE("#metadata!", ADDRESS(INDEX($AH$2:$AH$1001,MATCH(ROWS($AF$2:AF521),$AF$2:$AF$1001,0),0), INDEX($AM$1004:$BM$1004,1,MATCH(COLUMNS($AM$1006:AV1006),$AM$1006:$BM$1006,0)))),"Fix")))</f>
        <v xml:space="preserve"> </v>
      </c>
      <c r="L521" s="4" t="str">
        <f ca="1">IF(OR(INDEX($AG$2:$AG$1001,MATCH(ROWS($AF$2:AF521),$AF$2:$AF$1001,0),1)&gt;=100000,INDEX($AM$1005:$BM$1005,1,MATCH(COLUMNS($AM$1006:AW1006),$AM$1006:$BM$1006,0))&gt;=100000), " ",IF(INDEX($AM$2:$BM$1001,MATCH(ROWS($AF$2:AF521),$AF$2:$AF$1001,0),MATCH(COLUMNS($AM$1006:AW1006),$AM$1006:$BM$1006,0)), HYPERLINK("#",""), HYPERLINK(CONCATENATE("#metadata!", ADDRESS(INDEX($AH$2:$AH$1001,MATCH(ROWS($AF$2:AF521),$AF$2:$AF$1001,0),0), INDEX($AM$1004:$BM$1004,1,MATCH(COLUMNS($AM$1006:AW1006),$AM$1006:$BM$1006,0)))),"Fix")))</f>
        <v xml:space="preserve"> </v>
      </c>
      <c r="M521" s="4" t="str">
        <f ca="1">IF(OR(INDEX($AG$2:$AG$1001,MATCH(ROWS($AF$2:AF521),$AF$2:$AF$1001,0),1)&gt;=100000,INDEX($AM$1005:$BM$1005,1,MATCH(COLUMNS($AM$1006:AX1006),$AM$1006:$BM$1006,0))&gt;=100000), " ",IF(INDEX($AM$2:$BM$1001,MATCH(ROWS($AF$2:AF521),$AF$2:$AF$1001,0),MATCH(COLUMNS($AM$1006:AX1006),$AM$1006:$BM$1006,0)), HYPERLINK("#",""), HYPERLINK(CONCATENATE("#metadata!", ADDRESS(INDEX($AH$2:$AH$1001,MATCH(ROWS($AF$2:AF521),$AF$2:$AF$1001,0),0), INDEX($AM$1004:$BM$1004,1,MATCH(COLUMNS($AM$1006:AX1006),$AM$1006:$BM$1006,0)))),"Fix")))</f>
        <v xml:space="preserve"> </v>
      </c>
      <c r="N521" s="4" t="str">
        <f ca="1">IF(OR(INDEX($AG$2:$AG$1001,MATCH(ROWS($AF$2:AF521),$AF$2:$AF$1001,0),1)&gt;=100000,INDEX($AM$1005:$BM$1005,1,MATCH(COLUMNS($AM$1006:AY1006),$AM$1006:$BM$1006,0))&gt;=100000), " ",IF(INDEX($AM$2:$BM$1001,MATCH(ROWS($AF$2:AF521),$AF$2:$AF$1001,0),MATCH(COLUMNS($AM$1006:AY1006),$AM$1006:$BM$1006,0)), HYPERLINK("#",""), HYPERLINK(CONCATENATE("#metadata!", ADDRESS(INDEX($AH$2:$AH$1001,MATCH(ROWS($AF$2:AF521),$AF$2:$AF$1001,0),0), INDEX($AM$1004:$BM$1004,1,MATCH(COLUMNS($AM$1006:AY1006),$AM$1006:$BM$1006,0)))),"Fix")))</f>
        <v xml:space="preserve"> </v>
      </c>
      <c r="O521" s="4" t="str">
        <f ca="1">IF(OR(INDEX($AG$2:$AG$1001,MATCH(ROWS($AF$2:AF521),$AF$2:$AF$1001,0),1)&gt;=100000,INDEX($AM$1005:$BM$1005,1,MATCH(COLUMNS($AM$1006:AZ1006),$AM$1006:$BM$1006,0))&gt;=100000), " ",IF(INDEX($AM$2:$BM$1001,MATCH(ROWS($AF$2:AF521),$AF$2:$AF$1001,0),MATCH(COLUMNS($AM$1006:AZ1006),$AM$1006:$BM$1006,0)), HYPERLINK("#",""), HYPERLINK(CONCATENATE("#metadata!", ADDRESS(INDEX($AH$2:$AH$1001,MATCH(ROWS($AF$2:AF521),$AF$2:$AF$1001,0),0), INDEX($AM$1004:$BM$1004,1,MATCH(COLUMNS($AM$1006:AZ1006),$AM$1006:$BM$1006,0)))),"Fix")))</f>
        <v xml:space="preserve"> </v>
      </c>
      <c r="P521" s="4" t="str">
        <f ca="1">IF(OR(INDEX($AG$2:$AG$1001,MATCH(ROWS($AF$2:AF521),$AF$2:$AF$1001,0),1)&gt;=100000,INDEX($AM$1005:$BM$1005,1,MATCH(COLUMNS($AM$1006:BA1006),$AM$1006:$BM$1006,0))&gt;=100000), " ",IF(INDEX($AM$2:$BM$1001,MATCH(ROWS($AF$2:AF521),$AF$2:$AF$1001,0),MATCH(COLUMNS($AM$1006:BA1006),$AM$1006:$BM$1006,0)), HYPERLINK("#",""), HYPERLINK(CONCATENATE("#metadata!", ADDRESS(INDEX($AH$2:$AH$1001,MATCH(ROWS($AF$2:AF521),$AF$2:$AF$1001,0),0), INDEX($AM$1004:$BM$1004,1,MATCH(COLUMNS($AM$1006:BA1006),$AM$1006:$BM$1006,0)))),"Fix")))</f>
        <v xml:space="preserve"> </v>
      </c>
      <c r="Q521" s="4" t="str">
        <f ca="1">IF(OR(INDEX($AG$2:$AG$1001,MATCH(ROWS($AF$2:AF521),$AF$2:$AF$1001,0),1)&gt;=100000,INDEX($AM$1005:$BM$1005,1,MATCH(COLUMNS($AM$1006:BB1006),$AM$1006:$BM$1006,0))&gt;=100000), " ",IF(INDEX($AM$2:$BM$1001,MATCH(ROWS($AF$2:AF521),$AF$2:$AF$1001,0),MATCH(COLUMNS($AM$1006:BB1006),$AM$1006:$BM$1006,0)), HYPERLINK("#",""), HYPERLINK(CONCATENATE("#metadata!", ADDRESS(INDEX($AH$2:$AH$1001,MATCH(ROWS($AF$2:AF521),$AF$2:$AF$1001,0),0), INDEX($AM$1004:$BM$1004,1,MATCH(COLUMNS($AM$1006:BB1006),$AM$1006:$BM$1006,0)))),"Fix")))</f>
        <v xml:space="preserve"> </v>
      </c>
      <c r="R521" s="4" t="str">
        <f ca="1">IF(OR(INDEX($AG$2:$AG$1001,MATCH(ROWS($AF$2:AF521),$AF$2:$AF$1001,0),1)&gt;=100000,INDEX($AM$1005:$BM$1005,1,MATCH(COLUMNS($AM$1006:BC1006),$AM$1006:$BM$1006,0))&gt;=100000), " ",IF(INDEX($AM$2:$BM$1001,MATCH(ROWS($AF$2:AF521),$AF$2:$AF$1001,0),MATCH(COLUMNS($AM$1006:BC1006),$AM$1006:$BM$1006,0)), HYPERLINK("#",""), HYPERLINK(CONCATENATE("#metadata!", ADDRESS(INDEX($AH$2:$AH$1001,MATCH(ROWS($AF$2:AF521),$AF$2:$AF$1001,0),0), INDEX($AM$1004:$BM$1004,1,MATCH(COLUMNS($AM$1006:BC1006),$AM$1006:$BM$1006,0)))),"Fix")))</f>
        <v xml:space="preserve"> </v>
      </c>
      <c r="S521" s="4" t="str">
        <f ca="1">IF(OR(INDEX($AG$2:$AG$1001,MATCH(ROWS($AF$2:AF521),$AF$2:$AF$1001,0),1)&gt;=100000,INDEX($AM$1005:$BM$1005,1,MATCH(COLUMNS($AM$1006:BD1006),$AM$1006:$BM$1006,0))&gt;=100000), " ",IF(INDEX($AM$2:$BM$1001,MATCH(ROWS($AF$2:AF521),$AF$2:$AF$1001,0),MATCH(COLUMNS($AM$1006:BD1006),$AM$1006:$BM$1006,0)), HYPERLINK("#",""), HYPERLINK(CONCATENATE("#metadata!", ADDRESS(INDEX($AH$2:$AH$1001,MATCH(ROWS($AF$2:AF521),$AF$2:$AF$1001,0),0), INDEX($AM$1004:$BM$1004,1,MATCH(COLUMNS($AM$1006:BD1006),$AM$1006:$BM$1006,0)))),"Fix")))</f>
        <v xml:space="preserve"> </v>
      </c>
      <c r="T521" s="4" t="str">
        <f ca="1">IF(OR(INDEX($AG$2:$AG$1001,MATCH(ROWS($AF$2:AF521),$AF$2:$AF$1001,0),1)&gt;=100000,INDEX($AM$1005:$BM$1005,1,MATCH(COLUMNS($AM$1006:BE1006),$AM$1006:$BM$1006,0))&gt;=100000), " ",IF(INDEX($AM$2:$BM$1001,MATCH(ROWS($AF$2:AF521),$AF$2:$AF$1001,0),MATCH(COLUMNS($AM$1006:BE1006),$AM$1006:$BM$1006,0)), HYPERLINK("#",""), HYPERLINK(CONCATENATE("#metadata!", ADDRESS(INDEX($AH$2:$AH$1001,MATCH(ROWS($AF$2:AF521),$AF$2:$AF$1001,0),0), INDEX($AM$1004:$BM$1004,1,MATCH(COLUMNS($AM$1006:BE1006),$AM$1006:$BM$1006,0)))),"Fix")))</f>
        <v xml:space="preserve"> </v>
      </c>
      <c r="U521" s="4" t="str">
        <f ca="1">IF(OR(INDEX($AG$2:$AG$1001,MATCH(ROWS($AF$2:AF521),$AF$2:$AF$1001,0),1)&gt;=100000,INDEX($AM$1005:$BM$1005,1,MATCH(COLUMNS($AM$1006:BF1006),$AM$1006:$BM$1006,0))&gt;=100000), " ",IF(INDEX($AM$2:$BM$1001,MATCH(ROWS($AF$2:AF521),$AF$2:$AF$1001,0),MATCH(COLUMNS($AM$1006:BF1006),$AM$1006:$BM$1006,0)), HYPERLINK("#",""), HYPERLINK(CONCATENATE("#metadata!", ADDRESS(INDEX($AH$2:$AH$1001,MATCH(ROWS($AF$2:AF521),$AF$2:$AF$1001,0),0), INDEX($AM$1004:$BM$1004,1,MATCH(COLUMNS($AM$1006:BF1006),$AM$1006:$BM$1006,0)))),"Fix")))</f>
        <v xml:space="preserve"> </v>
      </c>
      <c r="V521" s="4" t="str">
        <f ca="1">IF(OR(INDEX($AG$2:$AG$1001,MATCH(ROWS($AF$2:AF521),$AF$2:$AF$1001,0),1)&gt;=100000,INDEX($AM$1005:$BM$1005,1,MATCH(COLUMNS($AM$1006:BG1006),$AM$1006:$BM$1006,0))&gt;=100000), " ",IF(INDEX($AM$2:$BM$1001,MATCH(ROWS($AF$2:AF521),$AF$2:$AF$1001,0),MATCH(COLUMNS($AM$1006:BG1006),$AM$1006:$BM$1006,0)), HYPERLINK("#",""), HYPERLINK(CONCATENATE("#metadata!", ADDRESS(INDEX($AH$2:$AH$1001,MATCH(ROWS($AF$2:AF521),$AF$2:$AF$1001,0),0), INDEX($AM$1004:$BM$1004,1,MATCH(COLUMNS($AM$1006:BG1006),$AM$1006:$BM$1006,0)))),"Fix")))</f>
        <v xml:space="preserve"> </v>
      </c>
      <c r="W521" s="4" t="str">
        <f ca="1">IF(OR(INDEX($AG$2:$AG$1001,MATCH(ROWS($AF$2:AF521),$AF$2:$AF$1001,0),1)&gt;=100000,INDEX($AM$1005:$BM$1005,1,MATCH(COLUMNS($AM$1006:BH1006),$AM$1006:$BM$1006,0))&gt;=100000), " ",IF(INDEX($AM$2:$BM$1001,MATCH(ROWS($AF$2:AF521),$AF$2:$AF$1001,0),MATCH(COLUMNS($AM$1006:BH1006),$AM$1006:$BM$1006,0)), HYPERLINK("#",""), HYPERLINK(CONCATENATE("#metadata!", ADDRESS(INDEX($AH$2:$AH$1001,MATCH(ROWS($AF$2:AF521),$AF$2:$AF$1001,0),0), INDEX($AM$1004:$BM$1004,1,MATCH(COLUMNS($AM$1006:BH1006),$AM$1006:$BM$1006,0)))),"Fix")))</f>
        <v xml:space="preserve"> </v>
      </c>
      <c r="X521" s="4" t="str">
        <f ca="1">IF(OR(INDEX($AG$2:$AG$1001,MATCH(ROWS($AF$2:AF521),$AF$2:$AF$1001,0),1)&gt;=100000,INDEX($AM$1005:$BM$1005,1,MATCH(COLUMNS($AM$1006:BI1006),$AM$1006:$BM$1006,0))&gt;=100000), " ",IF(INDEX($AM$2:$BM$1001,MATCH(ROWS($AF$2:AF521),$AF$2:$AF$1001,0),MATCH(COLUMNS($AM$1006:BI1006),$AM$1006:$BM$1006,0)), HYPERLINK("#",""), HYPERLINK(CONCATENATE("#metadata!", ADDRESS(INDEX($AH$2:$AH$1001,MATCH(ROWS($AF$2:AF521),$AF$2:$AF$1001,0),0), INDEX($AM$1004:$BM$1004,1,MATCH(COLUMNS($AM$1006:BI1006),$AM$1006:$BM$1006,0)))),"Fix")))</f>
        <v xml:space="preserve"> </v>
      </c>
      <c r="Y521" s="4" t="str">
        <f ca="1">IF(OR(INDEX($AG$2:$AG$1001,MATCH(ROWS($AF$2:AF521),$AF$2:$AF$1001,0),1)&gt;=100000,INDEX($AM$1005:$BM$1005,1,MATCH(COLUMNS($AM$1006:BJ1006),$AM$1006:$BM$1006,0))&gt;=100000), " ",IF(INDEX($AM$2:$BM$1001,MATCH(ROWS($AF$2:AF521),$AF$2:$AF$1001,0),MATCH(COLUMNS($AM$1006:BJ1006),$AM$1006:$BM$1006,0)), HYPERLINK("#",""), HYPERLINK(CONCATENATE("#metadata!", ADDRESS(INDEX($AH$2:$AH$1001,MATCH(ROWS($AF$2:AF521),$AF$2:$AF$1001,0),0), INDEX($AM$1004:$BM$1004,1,MATCH(COLUMNS($AM$1006:BJ1006),$AM$1006:$BM$1006,0)))),"Fix")))</f>
        <v xml:space="preserve"> </v>
      </c>
      <c r="Z521" s="4" t="str">
        <f ca="1">IF(OR(INDEX($AG$2:$AG$1001,MATCH(ROWS($AF$2:AF521),$AF$2:$AF$1001,0),1)&gt;=100000,INDEX($AM$1005:$BM$1005,1,MATCH(COLUMNS($AM$1006:BK1006),$AM$1006:$BM$1006,0))&gt;=100000), " ",IF(INDEX($AM$2:$BM$1001,MATCH(ROWS($AF$2:AF521),$AF$2:$AF$1001,0),MATCH(COLUMNS($AM$1006:BK1006),$AM$1006:$BM$1006,0)), HYPERLINK("#",""), HYPERLINK(CONCATENATE("#metadata!", ADDRESS(INDEX($AH$2:$AH$1001,MATCH(ROWS($AF$2:AF521),$AF$2:$AF$1001,0),0), INDEX($AM$1004:$BM$1004,1,MATCH(COLUMNS($AM$1006:BK1006),$AM$1006:$BM$1006,0)))),"Fix")))</f>
        <v xml:space="preserve"> </v>
      </c>
      <c r="AA521" s="4" t="str">
        <f ca="1">IF(OR(INDEX($AG$2:$AG$1001,MATCH(ROWS($AF$2:AF521),$AF$2:$AF$1001,0),1)&gt;=100000,INDEX($AM$1005:$BM$1005,1,MATCH(COLUMNS($AM$1006:BL1006),$AM$1006:$BM$1006,0))&gt;=100000), " ",IF(INDEX($AM$2:$BM$1001,MATCH(ROWS($AF$2:AF521),$AF$2:$AF$1001,0),MATCH(COLUMNS($AM$1006:BL1006),$AM$1006:$BM$1006,0)), HYPERLINK("#",""), HYPERLINK(CONCATENATE("#metadata!", ADDRESS(INDEX($AH$2:$AH$1001,MATCH(ROWS($AF$2:AF521),$AF$2:$AF$1001,0),0), INDEX($AM$1004:$BM$1004,1,MATCH(COLUMNS($AM$1006:BL1006),$AM$1006:$BM$1006,0)))),"Fix")))</f>
        <v xml:space="preserve"> </v>
      </c>
      <c r="AB521" s="4" t="str">
        <f ca="1">IF(OR(INDEX($AG$2:$AG$1001,MATCH(ROWS($AF$2:AF521),$AF$2:$AF$1001,0),1)&gt;=100000,INDEX($AM$1005:$BM$1005,1,MATCH(COLUMNS($AM$1006:BM1006),$AM$1006:$BM$1006,0))&gt;=100000), " ",IF(INDEX($AM$2:$BM$1001,MATCH(ROWS($AF$2:AF521),$AF$2:$AF$1001,0),MATCH(COLUMNS($AM$1006:BM1006),$AM$1006:$BM$1006,0)), HYPERLINK("#",""), HYPERLINK(CONCATENATE("#metadata!", ADDRESS(INDEX($AH$2:$AH$1001,MATCH(ROWS($AF$2:AF521),$AF$2:$AF$1001,0),0), INDEX($AM$1004:$BM$1004,1,MATCH(COLUMNS($AM$1006:BM1006),$AM$1006:$BM$1006,0)))),"Fix")))</f>
        <v xml:space="preserve"> </v>
      </c>
      <c r="AF521">
        <v>520</v>
      </c>
      <c r="AG521">
        <v>100521</v>
      </c>
      <c r="AH521">
        <v>521</v>
      </c>
      <c r="AI521" t="b">
        <f t="shared" si="8"/>
        <v>1</v>
      </c>
      <c r="AJ521" t="b">
        <f>COUNTBLANK(metadata!B521:AB521)=COLUMNS(metadata!B521:AB521)</f>
        <v>1</v>
      </c>
      <c r="AK521" t="str">
        <v/>
      </c>
      <c r="AM521" t="b">
        <f ca="1">AND(IF(metadata!B521="",FALSE,TRUE),COUNTIF(metadata!B:B, metadata!B521) = 1,NOT(ISERROR(SUMPRODUCT(SEARCH(MID(metadata!B521,ROW(INDIRECT("1:"&amp;LEN(metadata!B521))), 1),"0123456789abcdefghijklmnopqrstuvwxyzABCDEFGHIJKLMNOPQRSTUVWXYZ.")))))</f>
        <v>0</v>
      </c>
      <c r="AN521" t="b">
        <f ca="1">OR(AND(IF(metadata!C521="",FALSE,TRUE),OR(EXACT(metadata!C521,"missing: not collected"),EXACT(metadata!C521,"missing: not provided"),EXACT(metadata!C521,"missing: restricted access"))),AND(IF(metadata!C521="",FALSE,TRUE),AND(AND(IFERROR(INT(LEFT(metadata!C521,4))&gt;1900,FALSE),IFERROR(INT(LEFT(metadata!C521,4))&lt;=YEAR(NOW()),FALSE)), OR(MID(metadata!C521,5,1)="", AND(AND(MID(metadata!C521,5,1)="-",IFERROR(INT(MID(metadata!C521,6,1))&gt;=0,FALSE),IFERROR(INT(MID(metadata!C521,6,1))&lt;=1,FALSE),NOT(MID(metadata!C521,7,1)=""),IFERROR(INT(MID(metadata!C521,6,2))&gt;=1,FALSE),IFERROR(INT(MID(metadata!C521,6,2))&lt;=12,FALSE)), OR(MID(metadata!C521,8,1)="", AND(AND(MID(metadata!C521,8,1)="-",IFERROR(INT(MID(metadata!C521,9,1))&gt;=0,FALSE),IFERROR(INT(MID(metadata!C521,9,1))&lt;=3,FALSE),NOT(MID(metadata!C521,10,1)=""),IFERROR(INT(MID(metadata!C521,9,2))&gt;=1,FALSE),IFERROR(INT(MID(metadata!C521,9,2))&lt;=31,FALSE)), OR(MID(metadata!C521,11,1)="", AND(AND(MID(metadata!C521,11,1)=" ",IFERROR(INT(MID(metadata!C521,12,1))&gt;=0,FALSE),IFERROR(INT(MID(metadata!C521,12,1))&lt;=2,FALSE),NOT(MID(metadata!C521,13,1)=""),IFERROR(INT(MID(metadata!C521,12,2))&gt;=0,FALSE),IFERROR(INT(MID(metadata!C521,12,2))&lt;=23,FALSE)), OR(MID(metadata!C521,14,1)="", AND(AND(MID(metadata!C521,14,1)=":",IFERROR(INT(MID(metadata!C521,15,1))&gt;=0,FALSE),IFERROR(INT(MID(metadata!C521,15,1))&lt;=5,FALSE),NOT(MID(metadata!C521,16,1)=""),IFERROR(INT(MID(metadata!C521,15,2))&gt;=0,FALSE),IFERROR(INT(MID(metadata!C521,15,2))&lt;=59,FALSE)), OR(MID(metadata!C521,17,1)="", AND(AND(MID(metadata!C521,17,1)=":",IFERROR(INT(MID(metadata!C521,18,1))&gt;=0,FALSE),IFERROR(INT(MID(metadata!C521,18,1))&lt;=5,FALSE),NOT(MID(metadata!C521,19,1)=""),IFERROR(INT(MID(metadata!C521,18,2))&gt;=0,FALSE),IFERROR(INT(MID(metadata!C521,18,2))&lt;=59,FALSE)), LEN(metadata!C521)&lt;=19)))))))))))))</f>
        <v>0</v>
      </c>
      <c r="AO521" t="b">
        <f>AND(IF(metadata!D521="",FALSE,TRUE),EXACT(metadata!D521,"Not applicable"))</f>
        <v>0</v>
      </c>
      <c r="AP521" t="b">
        <f>IF(metadata!E521="",FALSE,TRUE)</f>
        <v>0</v>
      </c>
      <c r="AQ521" t="b">
        <f>OR(AND(IF(metadata!F521="",FALSE,TRUE),OR(EXACT(metadata!F521,"missing: not collected"),EXACT(metadata!F521,"missing: not provided"))),AND(IF(metadata!F521="",FALSE,TRUE),OR(EXACT(metadata!F521,"TRUE"),EXACT(metadata!F521,"FALSE"))))</f>
        <v>0</v>
      </c>
      <c r="AR521" t="b">
        <f>OR(AND(IF(metadata!G521="",FALSE,TRUE),OR(EXACT(metadata!G521,"missing: not collected"),EXACT(metadata!G521,"missing: not provided"),EXACT(metadata!G521,"missing: restricted access"))),AND(IF(metadata!G521="",FALSE,ISNUMBER(VALUE(metadata!G521))),metadata!G521&gt;=-413))</f>
        <v>0</v>
      </c>
      <c r="AS521" t="b">
        <f>AND(IF(metadata!H521="",FALSE,TRUE),EXACT(metadata!H521,"meters"))</f>
        <v>0</v>
      </c>
      <c r="AT521" t="b">
        <f>AND(IF(metadata!I521="",FALSE,TRUE),OR(EXACT(metadata!I521,"Host-associated"),EXACT(metadata!I521,"Free-living")))</f>
        <v>0</v>
      </c>
      <c r="AU521" t="b">
        <f>AND(IF(metadata!J521="",FALSE,TRUE),OR(EXACT(metadata!J521,"Animal"),EXACT(metadata!J521,"Fungus"),EXACT(metadata!J521,"Plant"),EXACT(metadata!J521,"Saline"),EXACT(metadata!J521,"Non-saline")))</f>
        <v>0</v>
      </c>
      <c r="AV521" t="b">
        <f>AND(IF(metadata!K521="",FALSE,TRUE),OR(EXACT(metadata!K521,"Plant secretion"),EXACT(metadata!K521,"Plant rhizosphere"),EXACT(metadata!K521,"Plant surface"),EXACT(metadata!K521,"Plant corpus"),EXACT(metadata!K521,"Fungus surface"),EXACT(metadata!K521,"Fungus corpus"),EXACT(metadata!K521,"Animal surface"),EXACT(metadata!K521,"Animal proximal gut"),EXACT(metadata!K521,"Animal corpus"),EXACT(metadata!K521,"Animal distal gut"),EXACT(metadata!K521,"Animal secretion"),EXACT(metadata!K521,"Sub-surface (non-saline)"),EXACT(metadata!K521,"Surface (non-saline)"),EXACT(metadata!K521,"Water (non-saline)"),EXACT(metadata!K521,"Soil (non-saline)"),EXACT(metadata!K521,"Aerosol (non-saline)"),EXACT(metadata!K521,"Sediment (non-saline)"),EXACT(metadata!K521,"Surface (saline)"),EXACT(metadata!K521,"Water (saline)"),EXACT(metadata!K521,"Hypersaline (saline)"),EXACT(metadata!K521,"Aerosol (saline)"),EXACT(metadata!K521,"Sediment (saline)")))</f>
        <v>0</v>
      </c>
      <c r="AW521" t="b">
        <f>IF(metadata!L521="",FALSE,TRUE)</f>
        <v>0</v>
      </c>
      <c r="AX521" t="b">
        <f>IF(metadata!M521="",FALSE,TRUE)</f>
        <v>0</v>
      </c>
      <c r="AY521" t="b">
        <f>IF(metadata!N521="",FALSE,TRUE)</f>
        <v>0</v>
      </c>
      <c r="AZ521" t="b">
        <f>OR(AND(IF(metadata!O521="",FALSE,TRUE),OR(EXACT(metadata!O521,"missing: not collected"),EXACT(metadata!O521,"missing: not provided"),EXACT(metadata!O521,"missing: restricted access"))),AND(IF(metadata!O521="",FALSE,TRUE),OR(EXACT(metadata!O521,"air"),EXACT(metadata!O521,"built environment"),EXACT(metadata!O521,"host-associated"),EXACT(metadata!O521,"human-associated"),EXACT(metadata!O521,"human-skin"),EXACT(metadata!O521,"human-oral"),EXACT(metadata!O521,"human-gut"),EXACT(metadata!O521,"human-vaginal"),EXACT(metadata!O521,"microbial mat/biofilm"),EXACT(metadata!O521,"misc environment"),EXACT(metadata!O521,"plant-associated"),EXACT(metadata!O521,"sediment"),EXACT(metadata!O521,"soil"),EXACT(metadata!O521,"wastewater/sludge"),EXACT(metadata!O521,"water"))))</f>
        <v>0</v>
      </c>
      <c r="BA521" t="b">
        <f>IF(metadata!P521="",FALSE,TRUE)</f>
        <v>0</v>
      </c>
      <c r="BB521" t="b">
        <f>IF(metadata!Q521="",FALSE,TRUE)</f>
        <v>0</v>
      </c>
      <c r="BC521" t="b">
        <f>OR(AND(IF(metadata!R521="",FALSE,TRUE),OR(EXACT(metadata!R521,"missing: not collected"),EXACT(metadata!R521,"missing: not provided"),EXACT(metadata!R521,"missing: restricted access"))),AND(IF(metadata!R521="",FALSE,ISNUMBER(VALUE(metadata!R521))),metadata!R521&gt;=-90,metadata!R521&lt;=90))</f>
        <v>0</v>
      </c>
      <c r="BD521" t="b">
        <f>AND(IF(metadata!S521="",FALSE,TRUE),EXACT(metadata!S521,"Decimal degrees"))</f>
        <v>0</v>
      </c>
      <c r="BE521" t="b">
        <f>OR(AND(IF(metadata!T521="",FALSE,TRUE),OR(EXACT(metadata!T521,"missing: not collected"),EXACT(metadata!T521,"missing: not provided"),EXACT(metadata!T521,"missing: restricted access"))),AND(IF(metadata!T521="",FALSE,ISNUMBER(VALUE(metadata!T521))),metadata!T521&gt;=-180,metadata!T521&lt;=180))</f>
        <v>0</v>
      </c>
      <c r="BF521" t="b">
        <f>AND(IF(metadata!U521="",FALSE,TRUE),EXACT(metadata!U521,"Decimal degrees"))</f>
        <v>0</v>
      </c>
      <c r="BG521" t="b">
        <f>IF(metadata!V521="",FALSE,TRUE)</f>
        <v>0</v>
      </c>
      <c r="BH521" t="b">
        <f>OR(AND(IF(metadata!W521="",FALSE,TRUE),OR(EXACT(metadata!W521,"missing: not collected"),EXACT(metadata!W521,"missing: not provided"),EXACT(metadata!W521,"missing: restricted access"))),AND(IF(metadata!W521="",FALSE,TRUE),OR(EXACT(metadata!W521,"TRUE"),EXACT(metadata!W521,"FALSE"))))</f>
        <v>0</v>
      </c>
      <c r="BI521" t="b">
        <f>AND(IF(metadata!X521="",FALSE,TRUE),EXACT(metadata!X521,"other"))</f>
        <v>0</v>
      </c>
      <c r="BJ521" t="b">
        <f>IF(metadata!Y521="",FALSE,TRUE)</f>
        <v>0</v>
      </c>
      <c r="BK521" t="b">
        <f>OR(AND(IF(metadata!Z521="",FALSE,TRUE),OR(EXACT(metadata!Z521,"missing: not collected"),EXACT(metadata!Z521,"missing: not provided"))),AND(IF(metadata!Z521="",FALSE,IF(ISERROR(INT(metadata!Z521)),FALSE,INT(metadata!Z521)=metadata!Z521)),metadata!Z521&gt;0))</f>
        <v>0</v>
      </c>
      <c r="BL521" t="b">
        <f>AND(IF(metadata!AA521="",FALSE,TRUE),EXACT(metadata!AA521,"Not applicable"))</f>
        <v>0</v>
      </c>
      <c r="BM521" t="b">
        <f>IF(metadata!AB521="",FALSE,TRUE)</f>
        <v>0</v>
      </c>
    </row>
    <row r="522" spans="1:65" x14ac:dyDescent="0.2">
      <c r="A522" s="5" t="str">
        <f ca="1">IF(B522=" "," ",HYPERLINK(CONCATENATE("#metadata!",ADDRESS(INDEX($AH$2:$AH$1001,MATCH(ROWS($AF$2:AF522),$AF$2:$AF$1001,0),0),1)),INDEX($AK$2:$AK$1001,MATCH(ROWS($AF$2:AF522),$AF$2:$AF$1001,0),0)))</f>
        <v xml:space="preserve"> </v>
      </c>
      <c r="B522" s="4" t="str">
        <f ca="1">IF(OR(INDEX($AG$2:$AG$1001,MATCH(ROWS($AF$2:AF522),$AF$2:$AF$1001,0),1)&gt;=100000,INDEX($AM$1005:$BM$1005,1,MATCH(COLUMNS($AM$1006:AM1006),$AM$1006:$BM$1006,0))&gt;=100000), " ",IF(INDEX($AM$2:$BM$1001,MATCH(ROWS($AF$2:AF522),$AF$2:$AF$1001,0),MATCH(COLUMNS($AM$1006:AM1006),$AM$1006:$BM$1006,0)), HYPERLINK("#",""), HYPERLINK(CONCATENATE("#metadata!", ADDRESS(INDEX($AH$2:$AH$1001,MATCH(ROWS($AF$2:AF522),$AF$2:$AF$1001,0),0), INDEX($AM$1004:$BM$1004,1,MATCH(COLUMNS($AM$1006:AM1006),$AM$1006:$BM$1006,0)))),"Fix")))</f>
        <v xml:space="preserve"> </v>
      </c>
      <c r="C522" s="4" t="str">
        <f ca="1">IF(OR(INDEX($AG$2:$AG$1001,MATCH(ROWS($AF$2:AF522),$AF$2:$AF$1001,0),1)&gt;=100000,INDEX($AM$1005:$BM$1005,1,MATCH(COLUMNS($AM$1006:AN1006),$AM$1006:$BM$1006,0))&gt;=100000), " ",IF(INDEX($AM$2:$BM$1001,MATCH(ROWS($AF$2:AF522),$AF$2:$AF$1001,0),MATCH(COLUMNS($AM$1006:AN1006),$AM$1006:$BM$1006,0)), HYPERLINK("#",""), HYPERLINK(CONCATENATE("#metadata!", ADDRESS(INDEX($AH$2:$AH$1001,MATCH(ROWS($AF$2:AF522),$AF$2:$AF$1001,0),0), INDEX($AM$1004:$BM$1004,1,MATCH(COLUMNS($AM$1006:AN1006),$AM$1006:$BM$1006,0)))),"Fix")))</f>
        <v xml:space="preserve"> </v>
      </c>
      <c r="D522" s="4" t="str">
        <f ca="1">IF(OR(INDEX($AG$2:$AG$1001,MATCH(ROWS($AF$2:AF522),$AF$2:$AF$1001,0),1)&gt;=100000,INDEX($AM$1005:$BM$1005,1,MATCH(COLUMNS($AM$1006:AO1006),$AM$1006:$BM$1006,0))&gt;=100000), " ",IF(INDEX($AM$2:$BM$1001,MATCH(ROWS($AF$2:AF522),$AF$2:$AF$1001,0),MATCH(COLUMNS($AM$1006:AO1006),$AM$1006:$BM$1006,0)), HYPERLINK("#",""), HYPERLINK(CONCATENATE("#metadata!", ADDRESS(INDEX($AH$2:$AH$1001,MATCH(ROWS($AF$2:AF522),$AF$2:$AF$1001,0),0), INDEX($AM$1004:$BM$1004,1,MATCH(COLUMNS($AM$1006:AO1006),$AM$1006:$BM$1006,0)))),"Fix")))</f>
        <v xml:space="preserve"> </v>
      </c>
      <c r="E522" s="4" t="str">
        <f ca="1">IF(OR(INDEX($AG$2:$AG$1001,MATCH(ROWS($AF$2:AF522),$AF$2:$AF$1001,0),1)&gt;=100000,INDEX($AM$1005:$BM$1005,1,MATCH(COLUMNS($AM$1006:AP1006),$AM$1006:$BM$1006,0))&gt;=100000), " ",IF(INDEX($AM$2:$BM$1001,MATCH(ROWS($AF$2:AF522),$AF$2:$AF$1001,0),MATCH(COLUMNS($AM$1006:AP1006),$AM$1006:$BM$1006,0)), HYPERLINK("#",""), HYPERLINK(CONCATENATE("#metadata!", ADDRESS(INDEX($AH$2:$AH$1001,MATCH(ROWS($AF$2:AF522),$AF$2:$AF$1001,0),0), INDEX($AM$1004:$BM$1004,1,MATCH(COLUMNS($AM$1006:AP1006),$AM$1006:$BM$1006,0)))),"Fix")))</f>
        <v xml:space="preserve"> </v>
      </c>
      <c r="F522" s="4" t="str">
        <f ca="1">IF(OR(INDEX($AG$2:$AG$1001,MATCH(ROWS($AF$2:AF522),$AF$2:$AF$1001,0),1)&gt;=100000,INDEX($AM$1005:$BM$1005,1,MATCH(COLUMNS($AM$1006:AQ1006),$AM$1006:$BM$1006,0))&gt;=100000), " ",IF(INDEX($AM$2:$BM$1001,MATCH(ROWS($AF$2:AF522),$AF$2:$AF$1001,0),MATCH(COLUMNS($AM$1006:AQ1006),$AM$1006:$BM$1006,0)), HYPERLINK("#",""), HYPERLINK(CONCATENATE("#metadata!", ADDRESS(INDEX($AH$2:$AH$1001,MATCH(ROWS($AF$2:AF522),$AF$2:$AF$1001,0),0), INDEX($AM$1004:$BM$1004,1,MATCH(COLUMNS($AM$1006:AQ1006),$AM$1006:$BM$1006,0)))),"Fix")))</f>
        <v xml:space="preserve"> </v>
      </c>
      <c r="G522" s="4" t="str">
        <f ca="1">IF(OR(INDEX($AG$2:$AG$1001,MATCH(ROWS($AF$2:AF522),$AF$2:$AF$1001,0),1)&gt;=100000,INDEX($AM$1005:$BM$1005,1,MATCH(COLUMNS($AM$1006:AR1006),$AM$1006:$BM$1006,0))&gt;=100000), " ",IF(INDEX($AM$2:$BM$1001,MATCH(ROWS($AF$2:AF522),$AF$2:$AF$1001,0),MATCH(COLUMNS($AM$1006:AR1006),$AM$1006:$BM$1006,0)), HYPERLINK("#",""), HYPERLINK(CONCATENATE("#metadata!", ADDRESS(INDEX($AH$2:$AH$1001,MATCH(ROWS($AF$2:AF522),$AF$2:$AF$1001,0),0), INDEX($AM$1004:$BM$1004,1,MATCH(COLUMNS($AM$1006:AR1006),$AM$1006:$BM$1006,0)))),"Fix")))</f>
        <v xml:space="preserve"> </v>
      </c>
      <c r="H522" s="4" t="str">
        <f ca="1">IF(OR(INDEX($AG$2:$AG$1001,MATCH(ROWS($AF$2:AF522),$AF$2:$AF$1001,0),1)&gt;=100000,INDEX($AM$1005:$BM$1005,1,MATCH(COLUMNS($AM$1006:AS1006),$AM$1006:$BM$1006,0))&gt;=100000), " ",IF(INDEX($AM$2:$BM$1001,MATCH(ROWS($AF$2:AF522),$AF$2:$AF$1001,0),MATCH(COLUMNS($AM$1006:AS1006),$AM$1006:$BM$1006,0)), HYPERLINK("#",""), HYPERLINK(CONCATENATE("#metadata!", ADDRESS(INDEX($AH$2:$AH$1001,MATCH(ROWS($AF$2:AF522),$AF$2:$AF$1001,0),0), INDEX($AM$1004:$BM$1004,1,MATCH(COLUMNS($AM$1006:AS1006),$AM$1006:$BM$1006,0)))),"Fix")))</f>
        <v xml:space="preserve"> </v>
      </c>
      <c r="I522" s="4" t="str">
        <f ca="1">IF(OR(INDEX($AG$2:$AG$1001,MATCH(ROWS($AF$2:AF522),$AF$2:$AF$1001,0),1)&gt;=100000,INDEX($AM$1005:$BM$1005,1,MATCH(COLUMNS($AM$1006:AT1006),$AM$1006:$BM$1006,0))&gt;=100000), " ",IF(INDEX($AM$2:$BM$1001,MATCH(ROWS($AF$2:AF522),$AF$2:$AF$1001,0),MATCH(COLUMNS($AM$1006:AT1006),$AM$1006:$BM$1006,0)), HYPERLINK("#",""), HYPERLINK(CONCATENATE("#metadata!", ADDRESS(INDEX($AH$2:$AH$1001,MATCH(ROWS($AF$2:AF522),$AF$2:$AF$1001,0),0), INDEX($AM$1004:$BM$1004,1,MATCH(COLUMNS($AM$1006:AT1006),$AM$1006:$BM$1006,0)))),"Fix")))</f>
        <v xml:space="preserve"> </v>
      </c>
      <c r="J522" s="4" t="str">
        <f ca="1">IF(OR(INDEX($AG$2:$AG$1001,MATCH(ROWS($AF$2:AF522),$AF$2:$AF$1001,0),1)&gt;=100000,INDEX($AM$1005:$BM$1005,1,MATCH(COLUMNS($AM$1006:AU1006),$AM$1006:$BM$1006,0))&gt;=100000), " ",IF(INDEX($AM$2:$BM$1001,MATCH(ROWS($AF$2:AF522),$AF$2:$AF$1001,0),MATCH(COLUMNS($AM$1006:AU1006),$AM$1006:$BM$1006,0)), HYPERLINK("#",""), HYPERLINK(CONCATENATE("#metadata!", ADDRESS(INDEX($AH$2:$AH$1001,MATCH(ROWS($AF$2:AF522),$AF$2:$AF$1001,0),0), INDEX($AM$1004:$BM$1004,1,MATCH(COLUMNS($AM$1006:AU1006),$AM$1006:$BM$1006,0)))),"Fix")))</f>
        <v xml:space="preserve"> </v>
      </c>
      <c r="K522" s="4" t="str">
        <f ca="1">IF(OR(INDEX($AG$2:$AG$1001,MATCH(ROWS($AF$2:AF522),$AF$2:$AF$1001,0),1)&gt;=100000,INDEX($AM$1005:$BM$1005,1,MATCH(COLUMNS($AM$1006:AV1006),$AM$1006:$BM$1006,0))&gt;=100000), " ",IF(INDEX($AM$2:$BM$1001,MATCH(ROWS($AF$2:AF522),$AF$2:$AF$1001,0),MATCH(COLUMNS($AM$1006:AV1006),$AM$1006:$BM$1006,0)), HYPERLINK("#",""), HYPERLINK(CONCATENATE("#metadata!", ADDRESS(INDEX($AH$2:$AH$1001,MATCH(ROWS($AF$2:AF522),$AF$2:$AF$1001,0),0), INDEX($AM$1004:$BM$1004,1,MATCH(COLUMNS($AM$1006:AV1006),$AM$1006:$BM$1006,0)))),"Fix")))</f>
        <v xml:space="preserve"> </v>
      </c>
      <c r="L522" s="4" t="str">
        <f ca="1">IF(OR(INDEX($AG$2:$AG$1001,MATCH(ROWS($AF$2:AF522),$AF$2:$AF$1001,0),1)&gt;=100000,INDEX($AM$1005:$BM$1005,1,MATCH(COLUMNS($AM$1006:AW1006),$AM$1006:$BM$1006,0))&gt;=100000), " ",IF(INDEX($AM$2:$BM$1001,MATCH(ROWS($AF$2:AF522),$AF$2:$AF$1001,0),MATCH(COLUMNS($AM$1006:AW1006),$AM$1006:$BM$1006,0)), HYPERLINK("#",""), HYPERLINK(CONCATENATE("#metadata!", ADDRESS(INDEX($AH$2:$AH$1001,MATCH(ROWS($AF$2:AF522),$AF$2:$AF$1001,0),0), INDEX($AM$1004:$BM$1004,1,MATCH(COLUMNS($AM$1006:AW1006),$AM$1006:$BM$1006,0)))),"Fix")))</f>
        <v xml:space="preserve"> </v>
      </c>
      <c r="M522" s="4" t="str">
        <f ca="1">IF(OR(INDEX($AG$2:$AG$1001,MATCH(ROWS($AF$2:AF522),$AF$2:$AF$1001,0),1)&gt;=100000,INDEX($AM$1005:$BM$1005,1,MATCH(COLUMNS($AM$1006:AX1006),$AM$1006:$BM$1006,0))&gt;=100000), " ",IF(INDEX($AM$2:$BM$1001,MATCH(ROWS($AF$2:AF522),$AF$2:$AF$1001,0),MATCH(COLUMNS($AM$1006:AX1006),$AM$1006:$BM$1006,0)), HYPERLINK("#",""), HYPERLINK(CONCATENATE("#metadata!", ADDRESS(INDEX($AH$2:$AH$1001,MATCH(ROWS($AF$2:AF522),$AF$2:$AF$1001,0),0), INDEX($AM$1004:$BM$1004,1,MATCH(COLUMNS($AM$1006:AX1006),$AM$1006:$BM$1006,0)))),"Fix")))</f>
        <v xml:space="preserve"> </v>
      </c>
      <c r="N522" s="4" t="str">
        <f ca="1">IF(OR(INDEX($AG$2:$AG$1001,MATCH(ROWS($AF$2:AF522),$AF$2:$AF$1001,0),1)&gt;=100000,INDEX($AM$1005:$BM$1005,1,MATCH(COLUMNS($AM$1006:AY1006),$AM$1006:$BM$1006,0))&gt;=100000), " ",IF(INDEX($AM$2:$BM$1001,MATCH(ROWS($AF$2:AF522),$AF$2:$AF$1001,0),MATCH(COLUMNS($AM$1006:AY1006),$AM$1006:$BM$1006,0)), HYPERLINK("#",""), HYPERLINK(CONCATENATE("#metadata!", ADDRESS(INDEX($AH$2:$AH$1001,MATCH(ROWS($AF$2:AF522),$AF$2:$AF$1001,0),0), INDEX($AM$1004:$BM$1004,1,MATCH(COLUMNS($AM$1006:AY1006),$AM$1006:$BM$1006,0)))),"Fix")))</f>
        <v xml:space="preserve"> </v>
      </c>
      <c r="O522" s="4" t="str">
        <f ca="1">IF(OR(INDEX($AG$2:$AG$1001,MATCH(ROWS($AF$2:AF522),$AF$2:$AF$1001,0),1)&gt;=100000,INDEX($AM$1005:$BM$1005,1,MATCH(COLUMNS($AM$1006:AZ1006),$AM$1006:$BM$1006,0))&gt;=100000), " ",IF(INDEX($AM$2:$BM$1001,MATCH(ROWS($AF$2:AF522),$AF$2:$AF$1001,0),MATCH(COLUMNS($AM$1006:AZ1006),$AM$1006:$BM$1006,0)), HYPERLINK("#",""), HYPERLINK(CONCATENATE("#metadata!", ADDRESS(INDEX($AH$2:$AH$1001,MATCH(ROWS($AF$2:AF522),$AF$2:$AF$1001,0),0), INDEX($AM$1004:$BM$1004,1,MATCH(COLUMNS($AM$1006:AZ1006),$AM$1006:$BM$1006,0)))),"Fix")))</f>
        <v xml:space="preserve"> </v>
      </c>
      <c r="P522" s="4" t="str">
        <f ca="1">IF(OR(INDEX($AG$2:$AG$1001,MATCH(ROWS($AF$2:AF522),$AF$2:$AF$1001,0),1)&gt;=100000,INDEX($AM$1005:$BM$1005,1,MATCH(COLUMNS($AM$1006:BA1006),$AM$1006:$BM$1006,0))&gt;=100000), " ",IF(INDEX($AM$2:$BM$1001,MATCH(ROWS($AF$2:AF522),$AF$2:$AF$1001,0),MATCH(COLUMNS($AM$1006:BA1006),$AM$1006:$BM$1006,0)), HYPERLINK("#",""), HYPERLINK(CONCATENATE("#metadata!", ADDRESS(INDEX($AH$2:$AH$1001,MATCH(ROWS($AF$2:AF522),$AF$2:$AF$1001,0),0), INDEX($AM$1004:$BM$1004,1,MATCH(COLUMNS($AM$1006:BA1006),$AM$1006:$BM$1006,0)))),"Fix")))</f>
        <v xml:space="preserve"> </v>
      </c>
      <c r="Q522" s="4" t="str">
        <f ca="1">IF(OR(INDEX($AG$2:$AG$1001,MATCH(ROWS($AF$2:AF522),$AF$2:$AF$1001,0),1)&gt;=100000,INDEX($AM$1005:$BM$1005,1,MATCH(COLUMNS($AM$1006:BB1006),$AM$1006:$BM$1006,0))&gt;=100000), " ",IF(INDEX($AM$2:$BM$1001,MATCH(ROWS($AF$2:AF522),$AF$2:$AF$1001,0),MATCH(COLUMNS($AM$1006:BB1006),$AM$1006:$BM$1006,0)), HYPERLINK("#",""), HYPERLINK(CONCATENATE("#metadata!", ADDRESS(INDEX($AH$2:$AH$1001,MATCH(ROWS($AF$2:AF522),$AF$2:$AF$1001,0),0), INDEX($AM$1004:$BM$1004,1,MATCH(COLUMNS($AM$1006:BB1006),$AM$1006:$BM$1006,0)))),"Fix")))</f>
        <v xml:space="preserve"> </v>
      </c>
      <c r="R522" s="4" t="str">
        <f ca="1">IF(OR(INDEX($AG$2:$AG$1001,MATCH(ROWS($AF$2:AF522),$AF$2:$AF$1001,0),1)&gt;=100000,INDEX($AM$1005:$BM$1005,1,MATCH(COLUMNS($AM$1006:BC1006),$AM$1006:$BM$1006,0))&gt;=100000), " ",IF(INDEX($AM$2:$BM$1001,MATCH(ROWS($AF$2:AF522),$AF$2:$AF$1001,0),MATCH(COLUMNS($AM$1006:BC1006),$AM$1006:$BM$1006,0)), HYPERLINK("#",""), HYPERLINK(CONCATENATE("#metadata!", ADDRESS(INDEX($AH$2:$AH$1001,MATCH(ROWS($AF$2:AF522),$AF$2:$AF$1001,0),0), INDEX($AM$1004:$BM$1004,1,MATCH(COLUMNS($AM$1006:BC1006),$AM$1006:$BM$1006,0)))),"Fix")))</f>
        <v xml:space="preserve"> </v>
      </c>
      <c r="S522" s="4" t="str">
        <f ca="1">IF(OR(INDEX($AG$2:$AG$1001,MATCH(ROWS($AF$2:AF522),$AF$2:$AF$1001,0),1)&gt;=100000,INDEX($AM$1005:$BM$1005,1,MATCH(COLUMNS($AM$1006:BD1006),$AM$1006:$BM$1006,0))&gt;=100000), " ",IF(INDEX($AM$2:$BM$1001,MATCH(ROWS($AF$2:AF522),$AF$2:$AF$1001,0),MATCH(COLUMNS($AM$1006:BD1006),$AM$1006:$BM$1006,0)), HYPERLINK("#",""), HYPERLINK(CONCATENATE("#metadata!", ADDRESS(INDEX($AH$2:$AH$1001,MATCH(ROWS($AF$2:AF522),$AF$2:$AF$1001,0),0), INDEX($AM$1004:$BM$1004,1,MATCH(COLUMNS($AM$1006:BD1006),$AM$1006:$BM$1006,0)))),"Fix")))</f>
        <v xml:space="preserve"> </v>
      </c>
      <c r="T522" s="4" t="str">
        <f ca="1">IF(OR(INDEX($AG$2:$AG$1001,MATCH(ROWS($AF$2:AF522),$AF$2:$AF$1001,0),1)&gt;=100000,INDEX($AM$1005:$BM$1005,1,MATCH(COLUMNS($AM$1006:BE1006),$AM$1006:$BM$1006,0))&gt;=100000), " ",IF(INDEX($AM$2:$BM$1001,MATCH(ROWS($AF$2:AF522),$AF$2:$AF$1001,0),MATCH(COLUMNS($AM$1006:BE1006),$AM$1006:$BM$1006,0)), HYPERLINK("#",""), HYPERLINK(CONCATENATE("#metadata!", ADDRESS(INDEX($AH$2:$AH$1001,MATCH(ROWS($AF$2:AF522),$AF$2:$AF$1001,0),0), INDEX($AM$1004:$BM$1004,1,MATCH(COLUMNS($AM$1006:BE1006),$AM$1006:$BM$1006,0)))),"Fix")))</f>
        <v xml:space="preserve"> </v>
      </c>
      <c r="U522" s="4" t="str">
        <f ca="1">IF(OR(INDEX($AG$2:$AG$1001,MATCH(ROWS($AF$2:AF522),$AF$2:$AF$1001,0),1)&gt;=100000,INDEX($AM$1005:$BM$1005,1,MATCH(COLUMNS($AM$1006:BF1006),$AM$1006:$BM$1006,0))&gt;=100000), " ",IF(INDEX($AM$2:$BM$1001,MATCH(ROWS($AF$2:AF522),$AF$2:$AF$1001,0),MATCH(COLUMNS($AM$1006:BF1006),$AM$1006:$BM$1006,0)), HYPERLINK("#",""), HYPERLINK(CONCATENATE("#metadata!", ADDRESS(INDEX($AH$2:$AH$1001,MATCH(ROWS($AF$2:AF522),$AF$2:$AF$1001,0),0), INDEX($AM$1004:$BM$1004,1,MATCH(COLUMNS($AM$1006:BF1006),$AM$1006:$BM$1006,0)))),"Fix")))</f>
        <v xml:space="preserve"> </v>
      </c>
      <c r="V522" s="4" t="str">
        <f ca="1">IF(OR(INDEX($AG$2:$AG$1001,MATCH(ROWS($AF$2:AF522),$AF$2:$AF$1001,0),1)&gt;=100000,INDEX($AM$1005:$BM$1005,1,MATCH(COLUMNS($AM$1006:BG1006),$AM$1006:$BM$1006,0))&gt;=100000), " ",IF(INDEX($AM$2:$BM$1001,MATCH(ROWS($AF$2:AF522),$AF$2:$AF$1001,0),MATCH(COLUMNS($AM$1006:BG1006),$AM$1006:$BM$1006,0)), HYPERLINK("#",""), HYPERLINK(CONCATENATE("#metadata!", ADDRESS(INDEX($AH$2:$AH$1001,MATCH(ROWS($AF$2:AF522),$AF$2:$AF$1001,0),0), INDEX($AM$1004:$BM$1004,1,MATCH(COLUMNS($AM$1006:BG1006),$AM$1006:$BM$1006,0)))),"Fix")))</f>
        <v xml:space="preserve"> </v>
      </c>
      <c r="W522" s="4" t="str">
        <f ca="1">IF(OR(INDEX($AG$2:$AG$1001,MATCH(ROWS($AF$2:AF522),$AF$2:$AF$1001,0),1)&gt;=100000,INDEX($AM$1005:$BM$1005,1,MATCH(COLUMNS($AM$1006:BH1006),$AM$1006:$BM$1006,0))&gt;=100000), " ",IF(INDEX($AM$2:$BM$1001,MATCH(ROWS($AF$2:AF522),$AF$2:$AF$1001,0),MATCH(COLUMNS($AM$1006:BH1006),$AM$1006:$BM$1006,0)), HYPERLINK("#",""), HYPERLINK(CONCATENATE("#metadata!", ADDRESS(INDEX($AH$2:$AH$1001,MATCH(ROWS($AF$2:AF522),$AF$2:$AF$1001,0),0), INDEX($AM$1004:$BM$1004,1,MATCH(COLUMNS($AM$1006:BH1006),$AM$1006:$BM$1006,0)))),"Fix")))</f>
        <v xml:space="preserve"> </v>
      </c>
      <c r="X522" s="4" t="str">
        <f ca="1">IF(OR(INDEX($AG$2:$AG$1001,MATCH(ROWS($AF$2:AF522),$AF$2:$AF$1001,0),1)&gt;=100000,INDEX($AM$1005:$BM$1005,1,MATCH(COLUMNS($AM$1006:BI1006),$AM$1006:$BM$1006,0))&gt;=100000), " ",IF(INDEX($AM$2:$BM$1001,MATCH(ROWS($AF$2:AF522),$AF$2:$AF$1001,0),MATCH(COLUMNS($AM$1006:BI1006),$AM$1006:$BM$1006,0)), HYPERLINK("#",""), HYPERLINK(CONCATENATE("#metadata!", ADDRESS(INDEX($AH$2:$AH$1001,MATCH(ROWS($AF$2:AF522),$AF$2:$AF$1001,0),0), INDEX($AM$1004:$BM$1004,1,MATCH(COLUMNS($AM$1006:BI1006),$AM$1006:$BM$1006,0)))),"Fix")))</f>
        <v xml:space="preserve"> </v>
      </c>
      <c r="Y522" s="4" t="str">
        <f ca="1">IF(OR(INDEX($AG$2:$AG$1001,MATCH(ROWS($AF$2:AF522),$AF$2:$AF$1001,0),1)&gt;=100000,INDEX($AM$1005:$BM$1005,1,MATCH(COLUMNS($AM$1006:BJ1006),$AM$1006:$BM$1006,0))&gt;=100000), " ",IF(INDEX($AM$2:$BM$1001,MATCH(ROWS($AF$2:AF522),$AF$2:$AF$1001,0),MATCH(COLUMNS($AM$1006:BJ1006),$AM$1006:$BM$1006,0)), HYPERLINK("#",""), HYPERLINK(CONCATENATE("#metadata!", ADDRESS(INDEX($AH$2:$AH$1001,MATCH(ROWS($AF$2:AF522),$AF$2:$AF$1001,0),0), INDEX($AM$1004:$BM$1004,1,MATCH(COLUMNS($AM$1006:BJ1006),$AM$1006:$BM$1006,0)))),"Fix")))</f>
        <v xml:space="preserve"> </v>
      </c>
      <c r="Z522" s="4" t="str">
        <f ca="1">IF(OR(INDEX($AG$2:$AG$1001,MATCH(ROWS($AF$2:AF522),$AF$2:$AF$1001,0),1)&gt;=100000,INDEX($AM$1005:$BM$1005,1,MATCH(COLUMNS($AM$1006:BK1006),$AM$1006:$BM$1006,0))&gt;=100000), " ",IF(INDEX($AM$2:$BM$1001,MATCH(ROWS($AF$2:AF522),$AF$2:$AF$1001,0),MATCH(COLUMNS($AM$1006:BK1006),$AM$1006:$BM$1006,0)), HYPERLINK("#",""), HYPERLINK(CONCATENATE("#metadata!", ADDRESS(INDEX($AH$2:$AH$1001,MATCH(ROWS($AF$2:AF522),$AF$2:$AF$1001,0),0), INDEX($AM$1004:$BM$1004,1,MATCH(COLUMNS($AM$1006:BK1006),$AM$1006:$BM$1006,0)))),"Fix")))</f>
        <v xml:space="preserve"> </v>
      </c>
      <c r="AA522" s="4" t="str">
        <f ca="1">IF(OR(INDEX($AG$2:$AG$1001,MATCH(ROWS($AF$2:AF522),$AF$2:$AF$1001,0),1)&gt;=100000,INDEX($AM$1005:$BM$1005,1,MATCH(COLUMNS($AM$1006:BL1006),$AM$1006:$BM$1006,0))&gt;=100000), " ",IF(INDEX($AM$2:$BM$1001,MATCH(ROWS($AF$2:AF522),$AF$2:$AF$1001,0),MATCH(COLUMNS($AM$1006:BL1006),$AM$1006:$BM$1006,0)), HYPERLINK("#",""), HYPERLINK(CONCATENATE("#metadata!", ADDRESS(INDEX($AH$2:$AH$1001,MATCH(ROWS($AF$2:AF522),$AF$2:$AF$1001,0),0), INDEX($AM$1004:$BM$1004,1,MATCH(COLUMNS($AM$1006:BL1006),$AM$1006:$BM$1006,0)))),"Fix")))</f>
        <v xml:space="preserve"> </v>
      </c>
      <c r="AB522" s="4" t="str">
        <f ca="1">IF(OR(INDEX($AG$2:$AG$1001,MATCH(ROWS($AF$2:AF522),$AF$2:$AF$1001,0),1)&gt;=100000,INDEX($AM$1005:$BM$1005,1,MATCH(COLUMNS($AM$1006:BM1006),$AM$1006:$BM$1006,0))&gt;=100000), " ",IF(INDEX($AM$2:$BM$1001,MATCH(ROWS($AF$2:AF522),$AF$2:$AF$1001,0),MATCH(COLUMNS($AM$1006:BM1006),$AM$1006:$BM$1006,0)), HYPERLINK("#",""), HYPERLINK(CONCATENATE("#metadata!", ADDRESS(INDEX($AH$2:$AH$1001,MATCH(ROWS($AF$2:AF522),$AF$2:$AF$1001,0),0), INDEX($AM$1004:$BM$1004,1,MATCH(COLUMNS($AM$1006:BM1006),$AM$1006:$BM$1006,0)))),"Fix")))</f>
        <v xml:space="preserve"> </v>
      </c>
      <c r="AF522">
        <v>521</v>
      </c>
      <c r="AG522">
        <v>100522</v>
      </c>
      <c r="AH522">
        <v>522</v>
      </c>
      <c r="AI522" t="b">
        <f t="shared" si="8"/>
        <v>1</v>
      </c>
      <c r="AJ522" t="b">
        <f>COUNTBLANK(metadata!B522:AB522)=COLUMNS(metadata!B522:AB522)</f>
        <v>1</v>
      </c>
      <c r="AK522" t="str">
        <v/>
      </c>
      <c r="AM522" t="b">
        <f ca="1">AND(IF(metadata!B522="",FALSE,TRUE),COUNTIF(metadata!B:B, metadata!B522) = 1,NOT(ISERROR(SUMPRODUCT(SEARCH(MID(metadata!B522,ROW(INDIRECT("1:"&amp;LEN(metadata!B522))), 1),"0123456789abcdefghijklmnopqrstuvwxyzABCDEFGHIJKLMNOPQRSTUVWXYZ.")))))</f>
        <v>0</v>
      </c>
      <c r="AN522" t="b">
        <f ca="1">OR(AND(IF(metadata!C522="",FALSE,TRUE),OR(EXACT(metadata!C522,"missing: not collected"),EXACT(metadata!C522,"missing: not provided"),EXACT(metadata!C522,"missing: restricted access"))),AND(IF(metadata!C522="",FALSE,TRUE),AND(AND(IFERROR(INT(LEFT(metadata!C522,4))&gt;1900,FALSE),IFERROR(INT(LEFT(metadata!C522,4))&lt;=YEAR(NOW()),FALSE)), OR(MID(metadata!C522,5,1)="", AND(AND(MID(metadata!C522,5,1)="-",IFERROR(INT(MID(metadata!C522,6,1))&gt;=0,FALSE),IFERROR(INT(MID(metadata!C522,6,1))&lt;=1,FALSE),NOT(MID(metadata!C522,7,1)=""),IFERROR(INT(MID(metadata!C522,6,2))&gt;=1,FALSE),IFERROR(INT(MID(metadata!C522,6,2))&lt;=12,FALSE)), OR(MID(metadata!C522,8,1)="", AND(AND(MID(metadata!C522,8,1)="-",IFERROR(INT(MID(metadata!C522,9,1))&gt;=0,FALSE),IFERROR(INT(MID(metadata!C522,9,1))&lt;=3,FALSE),NOT(MID(metadata!C522,10,1)=""),IFERROR(INT(MID(metadata!C522,9,2))&gt;=1,FALSE),IFERROR(INT(MID(metadata!C522,9,2))&lt;=31,FALSE)), OR(MID(metadata!C522,11,1)="", AND(AND(MID(metadata!C522,11,1)=" ",IFERROR(INT(MID(metadata!C522,12,1))&gt;=0,FALSE),IFERROR(INT(MID(metadata!C522,12,1))&lt;=2,FALSE),NOT(MID(metadata!C522,13,1)=""),IFERROR(INT(MID(metadata!C522,12,2))&gt;=0,FALSE),IFERROR(INT(MID(metadata!C522,12,2))&lt;=23,FALSE)), OR(MID(metadata!C522,14,1)="", AND(AND(MID(metadata!C522,14,1)=":",IFERROR(INT(MID(metadata!C522,15,1))&gt;=0,FALSE),IFERROR(INT(MID(metadata!C522,15,1))&lt;=5,FALSE),NOT(MID(metadata!C522,16,1)=""),IFERROR(INT(MID(metadata!C522,15,2))&gt;=0,FALSE),IFERROR(INT(MID(metadata!C522,15,2))&lt;=59,FALSE)), OR(MID(metadata!C522,17,1)="", AND(AND(MID(metadata!C522,17,1)=":",IFERROR(INT(MID(metadata!C522,18,1))&gt;=0,FALSE),IFERROR(INT(MID(metadata!C522,18,1))&lt;=5,FALSE),NOT(MID(metadata!C522,19,1)=""),IFERROR(INT(MID(metadata!C522,18,2))&gt;=0,FALSE),IFERROR(INT(MID(metadata!C522,18,2))&lt;=59,FALSE)), LEN(metadata!C522)&lt;=19)))))))))))))</f>
        <v>0</v>
      </c>
      <c r="AO522" t="b">
        <f>AND(IF(metadata!D522="",FALSE,TRUE),EXACT(metadata!D522,"Not applicable"))</f>
        <v>0</v>
      </c>
      <c r="AP522" t="b">
        <f>IF(metadata!E522="",FALSE,TRUE)</f>
        <v>0</v>
      </c>
      <c r="AQ522" t="b">
        <f>OR(AND(IF(metadata!F522="",FALSE,TRUE),OR(EXACT(metadata!F522,"missing: not collected"),EXACT(metadata!F522,"missing: not provided"))),AND(IF(metadata!F522="",FALSE,TRUE),OR(EXACT(metadata!F522,"TRUE"),EXACT(metadata!F522,"FALSE"))))</f>
        <v>0</v>
      </c>
      <c r="AR522" t="b">
        <f>OR(AND(IF(metadata!G522="",FALSE,TRUE),OR(EXACT(metadata!G522,"missing: not collected"),EXACT(metadata!G522,"missing: not provided"),EXACT(metadata!G522,"missing: restricted access"))),AND(IF(metadata!G522="",FALSE,ISNUMBER(VALUE(metadata!G522))),metadata!G522&gt;=-413))</f>
        <v>0</v>
      </c>
      <c r="AS522" t="b">
        <f>AND(IF(metadata!H522="",FALSE,TRUE),EXACT(metadata!H522,"meters"))</f>
        <v>0</v>
      </c>
      <c r="AT522" t="b">
        <f>AND(IF(metadata!I522="",FALSE,TRUE),OR(EXACT(metadata!I522,"Host-associated"),EXACT(metadata!I522,"Free-living")))</f>
        <v>0</v>
      </c>
      <c r="AU522" t="b">
        <f>AND(IF(metadata!J522="",FALSE,TRUE),OR(EXACT(metadata!J522,"Animal"),EXACT(metadata!J522,"Fungus"),EXACT(metadata!J522,"Plant"),EXACT(metadata!J522,"Saline"),EXACT(metadata!J522,"Non-saline")))</f>
        <v>0</v>
      </c>
      <c r="AV522" t="b">
        <f>AND(IF(metadata!K522="",FALSE,TRUE),OR(EXACT(metadata!K522,"Plant secretion"),EXACT(metadata!K522,"Plant rhizosphere"),EXACT(metadata!K522,"Plant surface"),EXACT(metadata!K522,"Plant corpus"),EXACT(metadata!K522,"Fungus surface"),EXACT(metadata!K522,"Fungus corpus"),EXACT(metadata!K522,"Animal surface"),EXACT(metadata!K522,"Animal proximal gut"),EXACT(metadata!K522,"Animal corpus"),EXACT(metadata!K522,"Animal distal gut"),EXACT(metadata!K522,"Animal secretion"),EXACT(metadata!K522,"Sub-surface (non-saline)"),EXACT(metadata!K522,"Surface (non-saline)"),EXACT(metadata!K522,"Water (non-saline)"),EXACT(metadata!K522,"Soil (non-saline)"),EXACT(metadata!K522,"Aerosol (non-saline)"),EXACT(metadata!K522,"Sediment (non-saline)"),EXACT(metadata!K522,"Surface (saline)"),EXACT(metadata!K522,"Water (saline)"),EXACT(metadata!K522,"Hypersaline (saline)"),EXACT(metadata!K522,"Aerosol (saline)"),EXACT(metadata!K522,"Sediment (saline)")))</f>
        <v>0</v>
      </c>
      <c r="AW522" t="b">
        <f>IF(metadata!L522="",FALSE,TRUE)</f>
        <v>0</v>
      </c>
      <c r="AX522" t="b">
        <f>IF(metadata!M522="",FALSE,TRUE)</f>
        <v>0</v>
      </c>
      <c r="AY522" t="b">
        <f>IF(metadata!N522="",FALSE,TRUE)</f>
        <v>0</v>
      </c>
      <c r="AZ522" t="b">
        <f>OR(AND(IF(metadata!O522="",FALSE,TRUE),OR(EXACT(metadata!O522,"missing: not collected"),EXACT(metadata!O522,"missing: not provided"),EXACT(metadata!O522,"missing: restricted access"))),AND(IF(metadata!O522="",FALSE,TRUE),OR(EXACT(metadata!O522,"air"),EXACT(metadata!O522,"built environment"),EXACT(metadata!O522,"host-associated"),EXACT(metadata!O522,"human-associated"),EXACT(metadata!O522,"human-skin"),EXACT(metadata!O522,"human-oral"),EXACT(metadata!O522,"human-gut"),EXACT(metadata!O522,"human-vaginal"),EXACT(metadata!O522,"microbial mat/biofilm"),EXACT(metadata!O522,"misc environment"),EXACT(metadata!O522,"plant-associated"),EXACT(metadata!O522,"sediment"),EXACT(metadata!O522,"soil"),EXACT(metadata!O522,"wastewater/sludge"),EXACT(metadata!O522,"water"))))</f>
        <v>0</v>
      </c>
      <c r="BA522" t="b">
        <f>IF(metadata!P522="",FALSE,TRUE)</f>
        <v>0</v>
      </c>
      <c r="BB522" t="b">
        <f>IF(metadata!Q522="",FALSE,TRUE)</f>
        <v>0</v>
      </c>
      <c r="BC522" t="b">
        <f>OR(AND(IF(metadata!R522="",FALSE,TRUE),OR(EXACT(metadata!R522,"missing: not collected"),EXACT(metadata!R522,"missing: not provided"),EXACT(metadata!R522,"missing: restricted access"))),AND(IF(metadata!R522="",FALSE,ISNUMBER(VALUE(metadata!R522))),metadata!R522&gt;=-90,metadata!R522&lt;=90))</f>
        <v>0</v>
      </c>
      <c r="BD522" t="b">
        <f>AND(IF(metadata!S522="",FALSE,TRUE),EXACT(metadata!S522,"Decimal degrees"))</f>
        <v>0</v>
      </c>
      <c r="BE522" t="b">
        <f>OR(AND(IF(metadata!T522="",FALSE,TRUE),OR(EXACT(metadata!T522,"missing: not collected"),EXACT(metadata!T522,"missing: not provided"),EXACT(metadata!T522,"missing: restricted access"))),AND(IF(metadata!T522="",FALSE,ISNUMBER(VALUE(metadata!T522))),metadata!T522&gt;=-180,metadata!T522&lt;=180))</f>
        <v>0</v>
      </c>
      <c r="BF522" t="b">
        <f>AND(IF(metadata!U522="",FALSE,TRUE),EXACT(metadata!U522,"Decimal degrees"))</f>
        <v>0</v>
      </c>
      <c r="BG522" t="b">
        <f>IF(metadata!V522="",FALSE,TRUE)</f>
        <v>0</v>
      </c>
      <c r="BH522" t="b">
        <f>OR(AND(IF(metadata!W522="",FALSE,TRUE),OR(EXACT(metadata!W522,"missing: not collected"),EXACT(metadata!W522,"missing: not provided"),EXACT(metadata!W522,"missing: restricted access"))),AND(IF(metadata!W522="",FALSE,TRUE),OR(EXACT(metadata!W522,"TRUE"),EXACT(metadata!W522,"FALSE"))))</f>
        <v>0</v>
      </c>
      <c r="BI522" t="b">
        <f>AND(IF(metadata!X522="",FALSE,TRUE),EXACT(metadata!X522,"other"))</f>
        <v>0</v>
      </c>
      <c r="BJ522" t="b">
        <f>IF(metadata!Y522="",FALSE,TRUE)</f>
        <v>0</v>
      </c>
      <c r="BK522" t="b">
        <f>OR(AND(IF(metadata!Z522="",FALSE,TRUE),OR(EXACT(metadata!Z522,"missing: not collected"),EXACT(metadata!Z522,"missing: not provided"))),AND(IF(metadata!Z522="",FALSE,IF(ISERROR(INT(metadata!Z522)),FALSE,INT(metadata!Z522)=metadata!Z522)),metadata!Z522&gt;0))</f>
        <v>0</v>
      </c>
      <c r="BL522" t="b">
        <f>AND(IF(metadata!AA522="",FALSE,TRUE),EXACT(metadata!AA522,"Not applicable"))</f>
        <v>0</v>
      </c>
      <c r="BM522" t="b">
        <f>IF(metadata!AB522="",FALSE,TRUE)</f>
        <v>0</v>
      </c>
    </row>
    <row r="523" spans="1:65" x14ac:dyDescent="0.2">
      <c r="A523" s="5" t="str">
        <f ca="1">IF(B523=" "," ",HYPERLINK(CONCATENATE("#metadata!",ADDRESS(INDEX($AH$2:$AH$1001,MATCH(ROWS($AF$2:AF523),$AF$2:$AF$1001,0),0),1)),INDEX($AK$2:$AK$1001,MATCH(ROWS($AF$2:AF523),$AF$2:$AF$1001,0),0)))</f>
        <v xml:space="preserve"> </v>
      </c>
      <c r="B523" s="4" t="str">
        <f ca="1">IF(OR(INDEX($AG$2:$AG$1001,MATCH(ROWS($AF$2:AF523),$AF$2:$AF$1001,0),1)&gt;=100000,INDEX($AM$1005:$BM$1005,1,MATCH(COLUMNS($AM$1006:AM1006),$AM$1006:$BM$1006,0))&gt;=100000), " ",IF(INDEX($AM$2:$BM$1001,MATCH(ROWS($AF$2:AF523),$AF$2:$AF$1001,0),MATCH(COLUMNS($AM$1006:AM1006),$AM$1006:$BM$1006,0)), HYPERLINK("#",""), HYPERLINK(CONCATENATE("#metadata!", ADDRESS(INDEX($AH$2:$AH$1001,MATCH(ROWS($AF$2:AF523),$AF$2:$AF$1001,0),0), INDEX($AM$1004:$BM$1004,1,MATCH(COLUMNS($AM$1006:AM1006),$AM$1006:$BM$1006,0)))),"Fix")))</f>
        <v xml:space="preserve"> </v>
      </c>
      <c r="C523" s="4" t="str">
        <f ca="1">IF(OR(INDEX($AG$2:$AG$1001,MATCH(ROWS($AF$2:AF523),$AF$2:$AF$1001,0),1)&gt;=100000,INDEX($AM$1005:$BM$1005,1,MATCH(COLUMNS($AM$1006:AN1006),$AM$1006:$BM$1006,0))&gt;=100000), " ",IF(INDEX($AM$2:$BM$1001,MATCH(ROWS($AF$2:AF523),$AF$2:$AF$1001,0),MATCH(COLUMNS($AM$1006:AN1006),$AM$1006:$BM$1006,0)), HYPERLINK("#",""), HYPERLINK(CONCATENATE("#metadata!", ADDRESS(INDEX($AH$2:$AH$1001,MATCH(ROWS($AF$2:AF523),$AF$2:$AF$1001,0),0), INDEX($AM$1004:$BM$1004,1,MATCH(COLUMNS($AM$1006:AN1006),$AM$1006:$BM$1006,0)))),"Fix")))</f>
        <v xml:space="preserve"> </v>
      </c>
      <c r="D523" s="4" t="str">
        <f ca="1">IF(OR(INDEX($AG$2:$AG$1001,MATCH(ROWS($AF$2:AF523),$AF$2:$AF$1001,0),1)&gt;=100000,INDEX($AM$1005:$BM$1005,1,MATCH(COLUMNS($AM$1006:AO1006),$AM$1006:$BM$1006,0))&gt;=100000), " ",IF(INDEX($AM$2:$BM$1001,MATCH(ROWS($AF$2:AF523),$AF$2:$AF$1001,0),MATCH(COLUMNS($AM$1006:AO1006),$AM$1006:$BM$1006,0)), HYPERLINK("#",""), HYPERLINK(CONCATENATE("#metadata!", ADDRESS(INDEX($AH$2:$AH$1001,MATCH(ROWS($AF$2:AF523),$AF$2:$AF$1001,0),0), INDEX($AM$1004:$BM$1004,1,MATCH(COLUMNS($AM$1006:AO1006),$AM$1006:$BM$1006,0)))),"Fix")))</f>
        <v xml:space="preserve"> </v>
      </c>
      <c r="E523" s="4" t="str">
        <f ca="1">IF(OR(INDEX($AG$2:$AG$1001,MATCH(ROWS($AF$2:AF523),$AF$2:$AF$1001,0),1)&gt;=100000,INDEX($AM$1005:$BM$1005,1,MATCH(COLUMNS($AM$1006:AP1006),$AM$1006:$BM$1006,0))&gt;=100000), " ",IF(INDEX($AM$2:$BM$1001,MATCH(ROWS($AF$2:AF523),$AF$2:$AF$1001,0),MATCH(COLUMNS($AM$1006:AP1006),$AM$1006:$BM$1006,0)), HYPERLINK("#",""), HYPERLINK(CONCATENATE("#metadata!", ADDRESS(INDEX($AH$2:$AH$1001,MATCH(ROWS($AF$2:AF523),$AF$2:$AF$1001,0),0), INDEX($AM$1004:$BM$1004,1,MATCH(COLUMNS($AM$1006:AP1006),$AM$1006:$BM$1006,0)))),"Fix")))</f>
        <v xml:space="preserve"> </v>
      </c>
      <c r="F523" s="4" t="str">
        <f ca="1">IF(OR(INDEX($AG$2:$AG$1001,MATCH(ROWS($AF$2:AF523),$AF$2:$AF$1001,0),1)&gt;=100000,INDEX($AM$1005:$BM$1005,1,MATCH(COLUMNS($AM$1006:AQ1006),$AM$1006:$BM$1006,0))&gt;=100000), " ",IF(INDEX($AM$2:$BM$1001,MATCH(ROWS($AF$2:AF523),$AF$2:$AF$1001,0),MATCH(COLUMNS($AM$1006:AQ1006),$AM$1006:$BM$1006,0)), HYPERLINK("#",""), HYPERLINK(CONCATENATE("#metadata!", ADDRESS(INDEX($AH$2:$AH$1001,MATCH(ROWS($AF$2:AF523),$AF$2:$AF$1001,0),0), INDEX($AM$1004:$BM$1004,1,MATCH(COLUMNS($AM$1006:AQ1006),$AM$1006:$BM$1006,0)))),"Fix")))</f>
        <v xml:space="preserve"> </v>
      </c>
      <c r="G523" s="4" t="str">
        <f ca="1">IF(OR(INDEX($AG$2:$AG$1001,MATCH(ROWS($AF$2:AF523),$AF$2:$AF$1001,0),1)&gt;=100000,INDEX($AM$1005:$BM$1005,1,MATCH(COLUMNS($AM$1006:AR1006),$AM$1006:$BM$1006,0))&gt;=100000), " ",IF(INDEX($AM$2:$BM$1001,MATCH(ROWS($AF$2:AF523),$AF$2:$AF$1001,0),MATCH(COLUMNS($AM$1006:AR1006),$AM$1006:$BM$1006,0)), HYPERLINK("#",""), HYPERLINK(CONCATENATE("#metadata!", ADDRESS(INDEX($AH$2:$AH$1001,MATCH(ROWS($AF$2:AF523),$AF$2:$AF$1001,0),0), INDEX($AM$1004:$BM$1004,1,MATCH(COLUMNS($AM$1006:AR1006),$AM$1006:$BM$1006,0)))),"Fix")))</f>
        <v xml:space="preserve"> </v>
      </c>
      <c r="H523" s="4" t="str">
        <f ca="1">IF(OR(INDEX($AG$2:$AG$1001,MATCH(ROWS($AF$2:AF523),$AF$2:$AF$1001,0),1)&gt;=100000,INDEX($AM$1005:$BM$1005,1,MATCH(COLUMNS($AM$1006:AS1006),$AM$1006:$BM$1006,0))&gt;=100000), " ",IF(INDEX($AM$2:$BM$1001,MATCH(ROWS($AF$2:AF523),$AF$2:$AF$1001,0),MATCH(COLUMNS($AM$1006:AS1006),$AM$1006:$BM$1006,0)), HYPERLINK("#",""), HYPERLINK(CONCATENATE("#metadata!", ADDRESS(INDEX($AH$2:$AH$1001,MATCH(ROWS($AF$2:AF523),$AF$2:$AF$1001,0),0), INDEX($AM$1004:$BM$1004,1,MATCH(COLUMNS($AM$1006:AS1006),$AM$1006:$BM$1006,0)))),"Fix")))</f>
        <v xml:space="preserve"> </v>
      </c>
      <c r="I523" s="4" t="str">
        <f ca="1">IF(OR(INDEX($AG$2:$AG$1001,MATCH(ROWS($AF$2:AF523),$AF$2:$AF$1001,0),1)&gt;=100000,INDEX($AM$1005:$BM$1005,1,MATCH(COLUMNS($AM$1006:AT1006),$AM$1006:$BM$1006,0))&gt;=100000), " ",IF(INDEX($AM$2:$BM$1001,MATCH(ROWS($AF$2:AF523),$AF$2:$AF$1001,0),MATCH(COLUMNS($AM$1006:AT1006),$AM$1006:$BM$1006,0)), HYPERLINK("#",""), HYPERLINK(CONCATENATE("#metadata!", ADDRESS(INDEX($AH$2:$AH$1001,MATCH(ROWS($AF$2:AF523),$AF$2:$AF$1001,0),0), INDEX($AM$1004:$BM$1004,1,MATCH(COLUMNS($AM$1006:AT1006),$AM$1006:$BM$1006,0)))),"Fix")))</f>
        <v xml:space="preserve"> </v>
      </c>
      <c r="J523" s="4" t="str">
        <f ca="1">IF(OR(INDEX($AG$2:$AG$1001,MATCH(ROWS($AF$2:AF523),$AF$2:$AF$1001,0),1)&gt;=100000,INDEX($AM$1005:$BM$1005,1,MATCH(COLUMNS($AM$1006:AU1006),$AM$1006:$BM$1006,0))&gt;=100000), " ",IF(INDEX($AM$2:$BM$1001,MATCH(ROWS($AF$2:AF523),$AF$2:$AF$1001,0),MATCH(COLUMNS($AM$1006:AU1006),$AM$1006:$BM$1006,0)), HYPERLINK("#",""), HYPERLINK(CONCATENATE("#metadata!", ADDRESS(INDEX($AH$2:$AH$1001,MATCH(ROWS($AF$2:AF523),$AF$2:$AF$1001,0),0), INDEX($AM$1004:$BM$1004,1,MATCH(COLUMNS($AM$1006:AU1006),$AM$1006:$BM$1006,0)))),"Fix")))</f>
        <v xml:space="preserve"> </v>
      </c>
      <c r="K523" s="4" t="str">
        <f ca="1">IF(OR(INDEX($AG$2:$AG$1001,MATCH(ROWS($AF$2:AF523),$AF$2:$AF$1001,0),1)&gt;=100000,INDEX($AM$1005:$BM$1005,1,MATCH(COLUMNS($AM$1006:AV1006),$AM$1006:$BM$1006,0))&gt;=100000), " ",IF(INDEX($AM$2:$BM$1001,MATCH(ROWS($AF$2:AF523),$AF$2:$AF$1001,0),MATCH(COLUMNS($AM$1006:AV1006),$AM$1006:$BM$1006,0)), HYPERLINK("#",""), HYPERLINK(CONCATENATE("#metadata!", ADDRESS(INDEX($AH$2:$AH$1001,MATCH(ROWS($AF$2:AF523),$AF$2:$AF$1001,0),0), INDEX($AM$1004:$BM$1004,1,MATCH(COLUMNS($AM$1006:AV1006),$AM$1006:$BM$1006,0)))),"Fix")))</f>
        <v xml:space="preserve"> </v>
      </c>
      <c r="L523" s="4" t="str">
        <f ca="1">IF(OR(INDEX($AG$2:$AG$1001,MATCH(ROWS($AF$2:AF523),$AF$2:$AF$1001,0),1)&gt;=100000,INDEX($AM$1005:$BM$1005,1,MATCH(COLUMNS($AM$1006:AW1006),$AM$1006:$BM$1006,0))&gt;=100000), " ",IF(INDEX($AM$2:$BM$1001,MATCH(ROWS($AF$2:AF523),$AF$2:$AF$1001,0),MATCH(COLUMNS($AM$1006:AW1006),$AM$1006:$BM$1006,0)), HYPERLINK("#",""), HYPERLINK(CONCATENATE("#metadata!", ADDRESS(INDEX($AH$2:$AH$1001,MATCH(ROWS($AF$2:AF523),$AF$2:$AF$1001,0),0), INDEX($AM$1004:$BM$1004,1,MATCH(COLUMNS($AM$1006:AW1006),$AM$1006:$BM$1006,0)))),"Fix")))</f>
        <v xml:space="preserve"> </v>
      </c>
      <c r="M523" s="4" t="str">
        <f ca="1">IF(OR(INDEX($AG$2:$AG$1001,MATCH(ROWS($AF$2:AF523),$AF$2:$AF$1001,0),1)&gt;=100000,INDEX($AM$1005:$BM$1005,1,MATCH(COLUMNS($AM$1006:AX1006),$AM$1006:$BM$1006,0))&gt;=100000), " ",IF(INDEX($AM$2:$BM$1001,MATCH(ROWS($AF$2:AF523),$AF$2:$AF$1001,0),MATCH(COLUMNS($AM$1006:AX1006),$AM$1006:$BM$1006,0)), HYPERLINK("#",""), HYPERLINK(CONCATENATE("#metadata!", ADDRESS(INDEX($AH$2:$AH$1001,MATCH(ROWS($AF$2:AF523),$AF$2:$AF$1001,0),0), INDEX($AM$1004:$BM$1004,1,MATCH(COLUMNS($AM$1006:AX1006),$AM$1006:$BM$1006,0)))),"Fix")))</f>
        <v xml:space="preserve"> </v>
      </c>
      <c r="N523" s="4" t="str">
        <f ca="1">IF(OR(INDEX($AG$2:$AG$1001,MATCH(ROWS($AF$2:AF523),$AF$2:$AF$1001,0),1)&gt;=100000,INDEX($AM$1005:$BM$1005,1,MATCH(COLUMNS($AM$1006:AY1006),$AM$1006:$BM$1006,0))&gt;=100000), " ",IF(INDEX($AM$2:$BM$1001,MATCH(ROWS($AF$2:AF523),$AF$2:$AF$1001,0),MATCH(COLUMNS($AM$1006:AY1006),$AM$1006:$BM$1006,0)), HYPERLINK("#",""), HYPERLINK(CONCATENATE("#metadata!", ADDRESS(INDEX($AH$2:$AH$1001,MATCH(ROWS($AF$2:AF523),$AF$2:$AF$1001,0),0), INDEX($AM$1004:$BM$1004,1,MATCH(COLUMNS($AM$1006:AY1006),$AM$1006:$BM$1006,0)))),"Fix")))</f>
        <v xml:space="preserve"> </v>
      </c>
      <c r="O523" s="4" t="str">
        <f ca="1">IF(OR(INDEX($AG$2:$AG$1001,MATCH(ROWS($AF$2:AF523),$AF$2:$AF$1001,0),1)&gt;=100000,INDEX($AM$1005:$BM$1005,1,MATCH(COLUMNS($AM$1006:AZ1006),$AM$1006:$BM$1006,0))&gt;=100000), " ",IF(INDEX($AM$2:$BM$1001,MATCH(ROWS($AF$2:AF523),$AF$2:$AF$1001,0),MATCH(COLUMNS($AM$1006:AZ1006),$AM$1006:$BM$1006,0)), HYPERLINK("#",""), HYPERLINK(CONCATENATE("#metadata!", ADDRESS(INDEX($AH$2:$AH$1001,MATCH(ROWS($AF$2:AF523),$AF$2:$AF$1001,0),0), INDEX($AM$1004:$BM$1004,1,MATCH(COLUMNS($AM$1006:AZ1006),$AM$1006:$BM$1006,0)))),"Fix")))</f>
        <v xml:space="preserve"> </v>
      </c>
      <c r="P523" s="4" t="str">
        <f ca="1">IF(OR(INDEX($AG$2:$AG$1001,MATCH(ROWS($AF$2:AF523),$AF$2:$AF$1001,0),1)&gt;=100000,INDEX($AM$1005:$BM$1005,1,MATCH(COLUMNS($AM$1006:BA1006),$AM$1006:$BM$1006,0))&gt;=100000), " ",IF(INDEX($AM$2:$BM$1001,MATCH(ROWS($AF$2:AF523),$AF$2:$AF$1001,0),MATCH(COLUMNS($AM$1006:BA1006),$AM$1006:$BM$1006,0)), HYPERLINK("#",""), HYPERLINK(CONCATENATE("#metadata!", ADDRESS(INDEX($AH$2:$AH$1001,MATCH(ROWS($AF$2:AF523),$AF$2:$AF$1001,0),0), INDEX($AM$1004:$BM$1004,1,MATCH(COLUMNS($AM$1006:BA1006),$AM$1006:$BM$1006,0)))),"Fix")))</f>
        <v xml:space="preserve"> </v>
      </c>
      <c r="Q523" s="4" t="str">
        <f ca="1">IF(OR(INDEX($AG$2:$AG$1001,MATCH(ROWS($AF$2:AF523),$AF$2:$AF$1001,0),1)&gt;=100000,INDEX($AM$1005:$BM$1005,1,MATCH(COLUMNS($AM$1006:BB1006),$AM$1006:$BM$1006,0))&gt;=100000), " ",IF(INDEX($AM$2:$BM$1001,MATCH(ROWS($AF$2:AF523),$AF$2:$AF$1001,0),MATCH(COLUMNS($AM$1006:BB1006),$AM$1006:$BM$1006,0)), HYPERLINK("#",""), HYPERLINK(CONCATENATE("#metadata!", ADDRESS(INDEX($AH$2:$AH$1001,MATCH(ROWS($AF$2:AF523),$AF$2:$AF$1001,0),0), INDEX($AM$1004:$BM$1004,1,MATCH(COLUMNS($AM$1006:BB1006),$AM$1006:$BM$1006,0)))),"Fix")))</f>
        <v xml:space="preserve"> </v>
      </c>
      <c r="R523" s="4" t="str">
        <f ca="1">IF(OR(INDEX($AG$2:$AG$1001,MATCH(ROWS($AF$2:AF523),$AF$2:$AF$1001,0),1)&gt;=100000,INDEX($AM$1005:$BM$1005,1,MATCH(COLUMNS($AM$1006:BC1006),$AM$1006:$BM$1006,0))&gt;=100000), " ",IF(INDEX($AM$2:$BM$1001,MATCH(ROWS($AF$2:AF523),$AF$2:$AF$1001,0),MATCH(COLUMNS($AM$1006:BC1006),$AM$1006:$BM$1006,0)), HYPERLINK("#",""), HYPERLINK(CONCATENATE("#metadata!", ADDRESS(INDEX($AH$2:$AH$1001,MATCH(ROWS($AF$2:AF523),$AF$2:$AF$1001,0),0), INDEX($AM$1004:$BM$1004,1,MATCH(COLUMNS($AM$1006:BC1006),$AM$1006:$BM$1006,0)))),"Fix")))</f>
        <v xml:space="preserve"> </v>
      </c>
      <c r="S523" s="4" t="str">
        <f ca="1">IF(OR(INDEX($AG$2:$AG$1001,MATCH(ROWS($AF$2:AF523),$AF$2:$AF$1001,0),1)&gt;=100000,INDEX($AM$1005:$BM$1005,1,MATCH(COLUMNS($AM$1006:BD1006),$AM$1006:$BM$1006,0))&gt;=100000), " ",IF(INDEX($AM$2:$BM$1001,MATCH(ROWS($AF$2:AF523),$AF$2:$AF$1001,0),MATCH(COLUMNS($AM$1006:BD1006),$AM$1006:$BM$1006,0)), HYPERLINK("#",""), HYPERLINK(CONCATENATE("#metadata!", ADDRESS(INDEX($AH$2:$AH$1001,MATCH(ROWS($AF$2:AF523),$AF$2:$AF$1001,0),0), INDEX($AM$1004:$BM$1004,1,MATCH(COLUMNS($AM$1006:BD1006),$AM$1006:$BM$1006,0)))),"Fix")))</f>
        <v xml:space="preserve"> </v>
      </c>
      <c r="T523" s="4" t="str">
        <f ca="1">IF(OR(INDEX($AG$2:$AG$1001,MATCH(ROWS($AF$2:AF523),$AF$2:$AF$1001,0),1)&gt;=100000,INDEX($AM$1005:$BM$1005,1,MATCH(COLUMNS($AM$1006:BE1006),$AM$1006:$BM$1006,0))&gt;=100000), " ",IF(INDEX($AM$2:$BM$1001,MATCH(ROWS($AF$2:AF523),$AF$2:$AF$1001,0),MATCH(COLUMNS($AM$1006:BE1006),$AM$1006:$BM$1006,0)), HYPERLINK("#",""), HYPERLINK(CONCATENATE("#metadata!", ADDRESS(INDEX($AH$2:$AH$1001,MATCH(ROWS($AF$2:AF523),$AF$2:$AF$1001,0),0), INDEX($AM$1004:$BM$1004,1,MATCH(COLUMNS($AM$1006:BE1006),$AM$1006:$BM$1006,0)))),"Fix")))</f>
        <v xml:space="preserve"> </v>
      </c>
      <c r="U523" s="4" t="str">
        <f ca="1">IF(OR(INDEX($AG$2:$AG$1001,MATCH(ROWS($AF$2:AF523),$AF$2:$AF$1001,0),1)&gt;=100000,INDEX($AM$1005:$BM$1005,1,MATCH(COLUMNS($AM$1006:BF1006),$AM$1006:$BM$1006,0))&gt;=100000), " ",IF(INDEX($AM$2:$BM$1001,MATCH(ROWS($AF$2:AF523),$AF$2:$AF$1001,0),MATCH(COLUMNS($AM$1006:BF1006),$AM$1006:$BM$1006,0)), HYPERLINK("#",""), HYPERLINK(CONCATENATE("#metadata!", ADDRESS(INDEX($AH$2:$AH$1001,MATCH(ROWS($AF$2:AF523),$AF$2:$AF$1001,0),0), INDEX($AM$1004:$BM$1004,1,MATCH(COLUMNS($AM$1006:BF1006),$AM$1006:$BM$1006,0)))),"Fix")))</f>
        <v xml:space="preserve"> </v>
      </c>
      <c r="V523" s="4" t="str">
        <f ca="1">IF(OR(INDEX($AG$2:$AG$1001,MATCH(ROWS($AF$2:AF523),$AF$2:$AF$1001,0),1)&gt;=100000,INDEX($AM$1005:$BM$1005,1,MATCH(COLUMNS($AM$1006:BG1006),$AM$1006:$BM$1006,0))&gt;=100000), " ",IF(INDEX($AM$2:$BM$1001,MATCH(ROWS($AF$2:AF523),$AF$2:$AF$1001,0),MATCH(COLUMNS($AM$1006:BG1006),$AM$1006:$BM$1006,0)), HYPERLINK("#",""), HYPERLINK(CONCATENATE("#metadata!", ADDRESS(INDEX($AH$2:$AH$1001,MATCH(ROWS($AF$2:AF523),$AF$2:$AF$1001,0),0), INDEX($AM$1004:$BM$1004,1,MATCH(COLUMNS($AM$1006:BG1006),$AM$1006:$BM$1006,0)))),"Fix")))</f>
        <v xml:space="preserve"> </v>
      </c>
      <c r="W523" s="4" t="str">
        <f ca="1">IF(OR(INDEX($AG$2:$AG$1001,MATCH(ROWS($AF$2:AF523),$AF$2:$AF$1001,0),1)&gt;=100000,INDEX($AM$1005:$BM$1005,1,MATCH(COLUMNS($AM$1006:BH1006),$AM$1006:$BM$1006,0))&gt;=100000), " ",IF(INDEX($AM$2:$BM$1001,MATCH(ROWS($AF$2:AF523),$AF$2:$AF$1001,0),MATCH(COLUMNS($AM$1006:BH1006),$AM$1006:$BM$1006,0)), HYPERLINK("#",""), HYPERLINK(CONCATENATE("#metadata!", ADDRESS(INDEX($AH$2:$AH$1001,MATCH(ROWS($AF$2:AF523),$AF$2:$AF$1001,0),0), INDEX($AM$1004:$BM$1004,1,MATCH(COLUMNS($AM$1006:BH1006),$AM$1006:$BM$1006,0)))),"Fix")))</f>
        <v xml:space="preserve"> </v>
      </c>
      <c r="X523" s="4" t="str">
        <f ca="1">IF(OR(INDEX($AG$2:$AG$1001,MATCH(ROWS($AF$2:AF523),$AF$2:$AF$1001,0),1)&gt;=100000,INDEX($AM$1005:$BM$1005,1,MATCH(COLUMNS($AM$1006:BI1006),$AM$1006:$BM$1006,0))&gt;=100000), " ",IF(INDEX($AM$2:$BM$1001,MATCH(ROWS($AF$2:AF523),$AF$2:$AF$1001,0),MATCH(COLUMNS($AM$1006:BI1006),$AM$1006:$BM$1006,0)), HYPERLINK("#",""), HYPERLINK(CONCATENATE("#metadata!", ADDRESS(INDEX($AH$2:$AH$1001,MATCH(ROWS($AF$2:AF523),$AF$2:$AF$1001,0),0), INDEX($AM$1004:$BM$1004,1,MATCH(COLUMNS($AM$1006:BI1006),$AM$1006:$BM$1006,0)))),"Fix")))</f>
        <v xml:space="preserve"> </v>
      </c>
      <c r="Y523" s="4" t="str">
        <f ca="1">IF(OR(INDEX($AG$2:$AG$1001,MATCH(ROWS($AF$2:AF523),$AF$2:$AF$1001,0),1)&gt;=100000,INDEX($AM$1005:$BM$1005,1,MATCH(COLUMNS($AM$1006:BJ1006),$AM$1006:$BM$1006,0))&gt;=100000), " ",IF(INDEX($AM$2:$BM$1001,MATCH(ROWS($AF$2:AF523),$AF$2:$AF$1001,0),MATCH(COLUMNS($AM$1006:BJ1006),$AM$1006:$BM$1006,0)), HYPERLINK("#",""), HYPERLINK(CONCATENATE("#metadata!", ADDRESS(INDEX($AH$2:$AH$1001,MATCH(ROWS($AF$2:AF523),$AF$2:$AF$1001,0),0), INDEX($AM$1004:$BM$1004,1,MATCH(COLUMNS($AM$1006:BJ1006),$AM$1006:$BM$1006,0)))),"Fix")))</f>
        <v xml:space="preserve"> </v>
      </c>
      <c r="Z523" s="4" t="str">
        <f ca="1">IF(OR(INDEX($AG$2:$AG$1001,MATCH(ROWS($AF$2:AF523),$AF$2:$AF$1001,0),1)&gt;=100000,INDEX($AM$1005:$BM$1005,1,MATCH(COLUMNS($AM$1006:BK1006),$AM$1006:$BM$1006,0))&gt;=100000), " ",IF(INDEX($AM$2:$BM$1001,MATCH(ROWS($AF$2:AF523),$AF$2:$AF$1001,0),MATCH(COLUMNS($AM$1006:BK1006),$AM$1006:$BM$1006,0)), HYPERLINK("#",""), HYPERLINK(CONCATENATE("#metadata!", ADDRESS(INDEX($AH$2:$AH$1001,MATCH(ROWS($AF$2:AF523),$AF$2:$AF$1001,0),0), INDEX($AM$1004:$BM$1004,1,MATCH(COLUMNS($AM$1006:BK1006),$AM$1006:$BM$1006,0)))),"Fix")))</f>
        <v xml:space="preserve"> </v>
      </c>
      <c r="AA523" s="4" t="str">
        <f ca="1">IF(OR(INDEX($AG$2:$AG$1001,MATCH(ROWS($AF$2:AF523),$AF$2:$AF$1001,0),1)&gt;=100000,INDEX($AM$1005:$BM$1005,1,MATCH(COLUMNS($AM$1006:BL1006),$AM$1006:$BM$1006,0))&gt;=100000), " ",IF(INDEX($AM$2:$BM$1001,MATCH(ROWS($AF$2:AF523),$AF$2:$AF$1001,0),MATCH(COLUMNS($AM$1006:BL1006),$AM$1006:$BM$1006,0)), HYPERLINK("#",""), HYPERLINK(CONCATENATE("#metadata!", ADDRESS(INDEX($AH$2:$AH$1001,MATCH(ROWS($AF$2:AF523),$AF$2:$AF$1001,0),0), INDEX($AM$1004:$BM$1004,1,MATCH(COLUMNS($AM$1006:BL1006),$AM$1006:$BM$1006,0)))),"Fix")))</f>
        <v xml:space="preserve"> </v>
      </c>
      <c r="AB523" s="4" t="str">
        <f ca="1">IF(OR(INDEX($AG$2:$AG$1001,MATCH(ROWS($AF$2:AF523),$AF$2:$AF$1001,0),1)&gt;=100000,INDEX($AM$1005:$BM$1005,1,MATCH(COLUMNS($AM$1006:BM1006),$AM$1006:$BM$1006,0))&gt;=100000), " ",IF(INDEX($AM$2:$BM$1001,MATCH(ROWS($AF$2:AF523),$AF$2:$AF$1001,0),MATCH(COLUMNS($AM$1006:BM1006),$AM$1006:$BM$1006,0)), HYPERLINK("#",""), HYPERLINK(CONCATENATE("#metadata!", ADDRESS(INDEX($AH$2:$AH$1001,MATCH(ROWS($AF$2:AF523),$AF$2:$AF$1001,0),0), INDEX($AM$1004:$BM$1004,1,MATCH(COLUMNS($AM$1006:BM1006),$AM$1006:$BM$1006,0)))),"Fix")))</f>
        <v xml:space="preserve"> </v>
      </c>
      <c r="AF523">
        <v>522</v>
      </c>
      <c r="AG523">
        <v>100523</v>
      </c>
      <c r="AH523">
        <v>523</v>
      </c>
      <c r="AI523" t="b">
        <f t="shared" si="8"/>
        <v>1</v>
      </c>
      <c r="AJ523" t="b">
        <f>COUNTBLANK(metadata!B523:AB523)=COLUMNS(metadata!B523:AB523)</f>
        <v>1</v>
      </c>
      <c r="AK523" t="str">
        <v/>
      </c>
      <c r="AM523" t="b">
        <f ca="1">AND(IF(metadata!B523="",FALSE,TRUE),COUNTIF(metadata!B:B, metadata!B523) = 1,NOT(ISERROR(SUMPRODUCT(SEARCH(MID(metadata!B523,ROW(INDIRECT("1:"&amp;LEN(metadata!B523))), 1),"0123456789abcdefghijklmnopqrstuvwxyzABCDEFGHIJKLMNOPQRSTUVWXYZ.")))))</f>
        <v>0</v>
      </c>
      <c r="AN523" t="b">
        <f ca="1">OR(AND(IF(metadata!C523="",FALSE,TRUE),OR(EXACT(metadata!C523,"missing: not collected"),EXACT(metadata!C523,"missing: not provided"),EXACT(metadata!C523,"missing: restricted access"))),AND(IF(metadata!C523="",FALSE,TRUE),AND(AND(IFERROR(INT(LEFT(metadata!C523,4))&gt;1900,FALSE),IFERROR(INT(LEFT(metadata!C523,4))&lt;=YEAR(NOW()),FALSE)), OR(MID(metadata!C523,5,1)="", AND(AND(MID(metadata!C523,5,1)="-",IFERROR(INT(MID(metadata!C523,6,1))&gt;=0,FALSE),IFERROR(INT(MID(metadata!C523,6,1))&lt;=1,FALSE),NOT(MID(metadata!C523,7,1)=""),IFERROR(INT(MID(metadata!C523,6,2))&gt;=1,FALSE),IFERROR(INT(MID(metadata!C523,6,2))&lt;=12,FALSE)), OR(MID(metadata!C523,8,1)="", AND(AND(MID(metadata!C523,8,1)="-",IFERROR(INT(MID(metadata!C523,9,1))&gt;=0,FALSE),IFERROR(INT(MID(metadata!C523,9,1))&lt;=3,FALSE),NOT(MID(metadata!C523,10,1)=""),IFERROR(INT(MID(metadata!C523,9,2))&gt;=1,FALSE),IFERROR(INT(MID(metadata!C523,9,2))&lt;=31,FALSE)), OR(MID(metadata!C523,11,1)="", AND(AND(MID(metadata!C523,11,1)=" ",IFERROR(INT(MID(metadata!C523,12,1))&gt;=0,FALSE),IFERROR(INT(MID(metadata!C523,12,1))&lt;=2,FALSE),NOT(MID(metadata!C523,13,1)=""),IFERROR(INT(MID(metadata!C523,12,2))&gt;=0,FALSE),IFERROR(INT(MID(metadata!C523,12,2))&lt;=23,FALSE)), OR(MID(metadata!C523,14,1)="", AND(AND(MID(metadata!C523,14,1)=":",IFERROR(INT(MID(metadata!C523,15,1))&gt;=0,FALSE),IFERROR(INT(MID(metadata!C523,15,1))&lt;=5,FALSE),NOT(MID(metadata!C523,16,1)=""),IFERROR(INT(MID(metadata!C523,15,2))&gt;=0,FALSE),IFERROR(INT(MID(metadata!C523,15,2))&lt;=59,FALSE)), OR(MID(metadata!C523,17,1)="", AND(AND(MID(metadata!C523,17,1)=":",IFERROR(INT(MID(metadata!C523,18,1))&gt;=0,FALSE),IFERROR(INT(MID(metadata!C523,18,1))&lt;=5,FALSE),NOT(MID(metadata!C523,19,1)=""),IFERROR(INT(MID(metadata!C523,18,2))&gt;=0,FALSE),IFERROR(INT(MID(metadata!C523,18,2))&lt;=59,FALSE)), LEN(metadata!C523)&lt;=19)))))))))))))</f>
        <v>0</v>
      </c>
      <c r="AO523" t="b">
        <f>AND(IF(metadata!D523="",FALSE,TRUE),EXACT(metadata!D523,"Not applicable"))</f>
        <v>0</v>
      </c>
      <c r="AP523" t="b">
        <f>IF(metadata!E523="",FALSE,TRUE)</f>
        <v>0</v>
      </c>
      <c r="AQ523" t="b">
        <f>OR(AND(IF(metadata!F523="",FALSE,TRUE),OR(EXACT(metadata!F523,"missing: not collected"),EXACT(metadata!F523,"missing: not provided"))),AND(IF(metadata!F523="",FALSE,TRUE),OR(EXACT(metadata!F523,"TRUE"),EXACT(metadata!F523,"FALSE"))))</f>
        <v>0</v>
      </c>
      <c r="AR523" t="b">
        <f>OR(AND(IF(metadata!G523="",FALSE,TRUE),OR(EXACT(metadata!G523,"missing: not collected"),EXACT(metadata!G523,"missing: not provided"),EXACT(metadata!G523,"missing: restricted access"))),AND(IF(metadata!G523="",FALSE,ISNUMBER(VALUE(metadata!G523))),metadata!G523&gt;=-413))</f>
        <v>0</v>
      </c>
      <c r="AS523" t="b">
        <f>AND(IF(metadata!H523="",FALSE,TRUE),EXACT(metadata!H523,"meters"))</f>
        <v>0</v>
      </c>
      <c r="AT523" t="b">
        <f>AND(IF(metadata!I523="",FALSE,TRUE),OR(EXACT(metadata!I523,"Host-associated"),EXACT(metadata!I523,"Free-living")))</f>
        <v>0</v>
      </c>
      <c r="AU523" t="b">
        <f>AND(IF(metadata!J523="",FALSE,TRUE),OR(EXACT(metadata!J523,"Animal"),EXACT(metadata!J523,"Fungus"),EXACT(metadata!J523,"Plant"),EXACT(metadata!J523,"Saline"),EXACT(metadata!J523,"Non-saline")))</f>
        <v>0</v>
      </c>
      <c r="AV523" t="b">
        <f>AND(IF(metadata!K523="",FALSE,TRUE),OR(EXACT(metadata!K523,"Plant secretion"),EXACT(metadata!K523,"Plant rhizosphere"),EXACT(metadata!K523,"Plant surface"),EXACT(metadata!K523,"Plant corpus"),EXACT(metadata!K523,"Fungus surface"),EXACT(metadata!K523,"Fungus corpus"),EXACT(metadata!K523,"Animal surface"),EXACT(metadata!K523,"Animal proximal gut"),EXACT(metadata!K523,"Animal corpus"),EXACT(metadata!K523,"Animal distal gut"),EXACT(metadata!K523,"Animal secretion"),EXACT(metadata!K523,"Sub-surface (non-saline)"),EXACT(metadata!K523,"Surface (non-saline)"),EXACT(metadata!K523,"Water (non-saline)"),EXACT(metadata!K523,"Soil (non-saline)"),EXACT(metadata!K523,"Aerosol (non-saline)"),EXACT(metadata!K523,"Sediment (non-saline)"),EXACT(metadata!K523,"Surface (saline)"),EXACT(metadata!K523,"Water (saline)"),EXACT(metadata!K523,"Hypersaline (saline)"),EXACT(metadata!K523,"Aerosol (saline)"),EXACT(metadata!K523,"Sediment (saline)")))</f>
        <v>0</v>
      </c>
      <c r="AW523" t="b">
        <f>IF(metadata!L523="",FALSE,TRUE)</f>
        <v>0</v>
      </c>
      <c r="AX523" t="b">
        <f>IF(metadata!M523="",FALSE,TRUE)</f>
        <v>0</v>
      </c>
      <c r="AY523" t="b">
        <f>IF(metadata!N523="",FALSE,TRUE)</f>
        <v>0</v>
      </c>
      <c r="AZ523" t="b">
        <f>OR(AND(IF(metadata!O523="",FALSE,TRUE),OR(EXACT(metadata!O523,"missing: not collected"),EXACT(metadata!O523,"missing: not provided"),EXACT(metadata!O523,"missing: restricted access"))),AND(IF(metadata!O523="",FALSE,TRUE),OR(EXACT(metadata!O523,"air"),EXACT(metadata!O523,"built environment"),EXACT(metadata!O523,"host-associated"),EXACT(metadata!O523,"human-associated"),EXACT(metadata!O523,"human-skin"),EXACT(metadata!O523,"human-oral"),EXACT(metadata!O523,"human-gut"),EXACT(metadata!O523,"human-vaginal"),EXACT(metadata!O523,"microbial mat/biofilm"),EXACT(metadata!O523,"misc environment"),EXACT(metadata!O523,"plant-associated"),EXACT(metadata!O523,"sediment"),EXACT(metadata!O523,"soil"),EXACT(metadata!O523,"wastewater/sludge"),EXACT(metadata!O523,"water"))))</f>
        <v>0</v>
      </c>
      <c r="BA523" t="b">
        <f>IF(metadata!P523="",FALSE,TRUE)</f>
        <v>0</v>
      </c>
      <c r="BB523" t="b">
        <f>IF(metadata!Q523="",FALSE,TRUE)</f>
        <v>0</v>
      </c>
      <c r="BC523" t="b">
        <f>OR(AND(IF(metadata!R523="",FALSE,TRUE),OR(EXACT(metadata!R523,"missing: not collected"),EXACT(metadata!R523,"missing: not provided"),EXACT(metadata!R523,"missing: restricted access"))),AND(IF(metadata!R523="",FALSE,ISNUMBER(VALUE(metadata!R523))),metadata!R523&gt;=-90,metadata!R523&lt;=90))</f>
        <v>0</v>
      </c>
      <c r="BD523" t="b">
        <f>AND(IF(metadata!S523="",FALSE,TRUE),EXACT(metadata!S523,"Decimal degrees"))</f>
        <v>0</v>
      </c>
      <c r="BE523" t="b">
        <f>OR(AND(IF(metadata!T523="",FALSE,TRUE),OR(EXACT(metadata!T523,"missing: not collected"),EXACT(metadata!T523,"missing: not provided"),EXACT(metadata!T523,"missing: restricted access"))),AND(IF(metadata!T523="",FALSE,ISNUMBER(VALUE(metadata!T523))),metadata!T523&gt;=-180,metadata!T523&lt;=180))</f>
        <v>0</v>
      </c>
      <c r="BF523" t="b">
        <f>AND(IF(metadata!U523="",FALSE,TRUE),EXACT(metadata!U523,"Decimal degrees"))</f>
        <v>0</v>
      </c>
      <c r="BG523" t="b">
        <f>IF(metadata!V523="",FALSE,TRUE)</f>
        <v>0</v>
      </c>
      <c r="BH523" t="b">
        <f>OR(AND(IF(metadata!W523="",FALSE,TRUE),OR(EXACT(metadata!W523,"missing: not collected"),EXACT(metadata!W523,"missing: not provided"),EXACT(metadata!W523,"missing: restricted access"))),AND(IF(metadata!W523="",FALSE,TRUE),OR(EXACT(metadata!W523,"TRUE"),EXACT(metadata!W523,"FALSE"))))</f>
        <v>0</v>
      </c>
      <c r="BI523" t="b">
        <f>AND(IF(metadata!X523="",FALSE,TRUE),EXACT(metadata!X523,"other"))</f>
        <v>0</v>
      </c>
      <c r="BJ523" t="b">
        <f>IF(metadata!Y523="",FALSE,TRUE)</f>
        <v>0</v>
      </c>
      <c r="BK523" t="b">
        <f>OR(AND(IF(metadata!Z523="",FALSE,TRUE),OR(EXACT(metadata!Z523,"missing: not collected"),EXACT(metadata!Z523,"missing: not provided"))),AND(IF(metadata!Z523="",FALSE,IF(ISERROR(INT(metadata!Z523)),FALSE,INT(metadata!Z523)=metadata!Z523)),metadata!Z523&gt;0))</f>
        <v>0</v>
      </c>
      <c r="BL523" t="b">
        <f>AND(IF(metadata!AA523="",FALSE,TRUE),EXACT(metadata!AA523,"Not applicable"))</f>
        <v>0</v>
      </c>
      <c r="BM523" t="b">
        <f>IF(metadata!AB523="",FALSE,TRUE)</f>
        <v>0</v>
      </c>
    </row>
    <row r="524" spans="1:65" x14ac:dyDescent="0.2">
      <c r="A524" s="5" t="str">
        <f ca="1">IF(B524=" "," ",HYPERLINK(CONCATENATE("#metadata!",ADDRESS(INDEX($AH$2:$AH$1001,MATCH(ROWS($AF$2:AF524),$AF$2:$AF$1001,0),0),1)),INDEX($AK$2:$AK$1001,MATCH(ROWS($AF$2:AF524),$AF$2:$AF$1001,0),0)))</f>
        <v xml:space="preserve"> </v>
      </c>
      <c r="B524" s="4" t="str">
        <f ca="1">IF(OR(INDEX($AG$2:$AG$1001,MATCH(ROWS($AF$2:AF524),$AF$2:$AF$1001,0),1)&gt;=100000,INDEX($AM$1005:$BM$1005,1,MATCH(COLUMNS($AM$1006:AM1006),$AM$1006:$BM$1006,0))&gt;=100000), " ",IF(INDEX($AM$2:$BM$1001,MATCH(ROWS($AF$2:AF524),$AF$2:$AF$1001,0),MATCH(COLUMNS($AM$1006:AM1006),$AM$1006:$BM$1006,0)), HYPERLINK("#",""), HYPERLINK(CONCATENATE("#metadata!", ADDRESS(INDEX($AH$2:$AH$1001,MATCH(ROWS($AF$2:AF524),$AF$2:$AF$1001,0),0), INDEX($AM$1004:$BM$1004,1,MATCH(COLUMNS($AM$1006:AM1006),$AM$1006:$BM$1006,0)))),"Fix")))</f>
        <v xml:space="preserve"> </v>
      </c>
      <c r="C524" s="4" t="str">
        <f ca="1">IF(OR(INDEX($AG$2:$AG$1001,MATCH(ROWS($AF$2:AF524),$AF$2:$AF$1001,0),1)&gt;=100000,INDEX($AM$1005:$BM$1005,1,MATCH(COLUMNS($AM$1006:AN1006),$AM$1006:$BM$1006,0))&gt;=100000), " ",IF(INDEX($AM$2:$BM$1001,MATCH(ROWS($AF$2:AF524),$AF$2:$AF$1001,0),MATCH(COLUMNS($AM$1006:AN1006),$AM$1006:$BM$1006,0)), HYPERLINK("#",""), HYPERLINK(CONCATENATE("#metadata!", ADDRESS(INDEX($AH$2:$AH$1001,MATCH(ROWS($AF$2:AF524),$AF$2:$AF$1001,0),0), INDEX($AM$1004:$BM$1004,1,MATCH(COLUMNS($AM$1006:AN1006),$AM$1006:$BM$1006,0)))),"Fix")))</f>
        <v xml:space="preserve"> </v>
      </c>
      <c r="D524" s="4" t="str">
        <f ca="1">IF(OR(INDEX($AG$2:$AG$1001,MATCH(ROWS($AF$2:AF524),$AF$2:$AF$1001,0),1)&gt;=100000,INDEX($AM$1005:$BM$1005,1,MATCH(COLUMNS($AM$1006:AO1006),$AM$1006:$BM$1006,0))&gt;=100000), " ",IF(INDEX($AM$2:$BM$1001,MATCH(ROWS($AF$2:AF524),$AF$2:$AF$1001,0),MATCH(COLUMNS($AM$1006:AO1006),$AM$1006:$BM$1006,0)), HYPERLINK("#",""), HYPERLINK(CONCATENATE("#metadata!", ADDRESS(INDEX($AH$2:$AH$1001,MATCH(ROWS($AF$2:AF524),$AF$2:$AF$1001,0),0), INDEX($AM$1004:$BM$1004,1,MATCH(COLUMNS($AM$1006:AO1006),$AM$1006:$BM$1006,0)))),"Fix")))</f>
        <v xml:space="preserve"> </v>
      </c>
      <c r="E524" s="4" t="str">
        <f ca="1">IF(OR(INDEX($AG$2:$AG$1001,MATCH(ROWS($AF$2:AF524),$AF$2:$AF$1001,0),1)&gt;=100000,INDEX($AM$1005:$BM$1005,1,MATCH(COLUMNS($AM$1006:AP1006),$AM$1006:$BM$1006,0))&gt;=100000), " ",IF(INDEX($AM$2:$BM$1001,MATCH(ROWS($AF$2:AF524),$AF$2:$AF$1001,0),MATCH(COLUMNS($AM$1006:AP1006),$AM$1006:$BM$1006,0)), HYPERLINK("#",""), HYPERLINK(CONCATENATE("#metadata!", ADDRESS(INDEX($AH$2:$AH$1001,MATCH(ROWS($AF$2:AF524),$AF$2:$AF$1001,0),0), INDEX($AM$1004:$BM$1004,1,MATCH(COLUMNS($AM$1006:AP1006),$AM$1006:$BM$1006,0)))),"Fix")))</f>
        <v xml:space="preserve"> </v>
      </c>
      <c r="F524" s="4" t="str">
        <f ca="1">IF(OR(INDEX($AG$2:$AG$1001,MATCH(ROWS($AF$2:AF524),$AF$2:$AF$1001,0),1)&gt;=100000,INDEX($AM$1005:$BM$1005,1,MATCH(COLUMNS($AM$1006:AQ1006),$AM$1006:$BM$1006,0))&gt;=100000), " ",IF(INDEX($AM$2:$BM$1001,MATCH(ROWS($AF$2:AF524),$AF$2:$AF$1001,0),MATCH(COLUMNS($AM$1006:AQ1006),$AM$1006:$BM$1006,0)), HYPERLINK("#",""), HYPERLINK(CONCATENATE("#metadata!", ADDRESS(INDEX($AH$2:$AH$1001,MATCH(ROWS($AF$2:AF524),$AF$2:$AF$1001,0),0), INDEX($AM$1004:$BM$1004,1,MATCH(COLUMNS($AM$1006:AQ1006),$AM$1006:$BM$1006,0)))),"Fix")))</f>
        <v xml:space="preserve"> </v>
      </c>
      <c r="G524" s="4" t="str">
        <f ca="1">IF(OR(INDEX($AG$2:$AG$1001,MATCH(ROWS($AF$2:AF524),$AF$2:$AF$1001,0),1)&gt;=100000,INDEX($AM$1005:$BM$1005,1,MATCH(COLUMNS($AM$1006:AR1006),$AM$1006:$BM$1006,0))&gt;=100000), " ",IF(INDEX($AM$2:$BM$1001,MATCH(ROWS($AF$2:AF524),$AF$2:$AF$1001,0),MATCH(COLUMNS($AM$1006:AR1006),$AM$1006:$BM$1006,0)), HYPERLINK("#",""), HYPERLINK(CONCATENATE("#metadata!", ADDRESS(INDEX($AH$2:$AH$1001,MATCH(ROWS($AF$2:AF524),$AF$2:$AF$1001,0),0), INDEX($AM$1004:$BM$1004,1,MATCH(COLUMNS($AM$1006:AR1006),$AM$1006:$BM$1006,0)))),"Fix")))</f>
        <v xml:space="preserve"> </v>
      </c>
      <c r="H524" s="4" t="str">
        <f ca="1">IF(OR(INDEX($AG$2:$AG$1001,MATCH(ROWS($AF$2:AF524),$AF$2:$AF$1001,0),1)&gt;=100000,INDEX($AM$1005:$BM$1005,1,MATCH(COLUMNS($AM$1006:AS1006),$AM$1006:$BM$1006,0))&gt;=100000), " ",IF(INDEX($AM$2:$BM$1001,MATCH(ROWS($AF$2:AF524),$AF$2:$AF$1001,0),MATCH(COLUMNS($AM$1006:AS1006),$AM$1006:$BM$1006,0)), HYPERLINK("#",""), HYPERLINK(CONCATENATE("#metadata!", ADDRESS(INDEX($AH$2:$AH$1001,MATCH(ROWS($AF$2:AF524),$AF$2:$AF$1001,0),0), INDEX($AM$1004:$BM$1004,1,MATCH(COLUMNS($AM$1006:AS1006),$AM$1006:$BM$1006,0)))),"Fix")))</f>
        <v xml:space="preserve"> </v>
      </c>
      <c r="I524" s="4" t="str">
        <f ca="1">IF(OR(INDEX($AG$2:$AG$1001,MATCH(ROWS($AF$2:AF524),$AF$2:$AF$1001,0),1)&gt;=100000,INDEX($AM$1005:$BM$1005,1,MATCH(COLUMNS($AM$1006:AT1006),$AM$1006:$BM$1006,0))&gt;=100000), " ",IF(INDEX($AM$2:$BM$1001,MATCH(ROWS($AF$2:AF524),$AF$2:$AF$1001,0),MATCH(COLUMNS($AM$1006:AT1006),$AM$1006:$BM$1006,0)), HYPERLINK("#",""), HYPERLINK(CONCATENATE("#metadata!", ADDRESS(INDEX($AH$2:$AH$1001,MATCH(ROWS($AF$2:AF524),$AF$2:$AF$1001,0),0), INDEX($AM$1004:$BM$1004,1,MATCH(COLUMNS($AM$1006:AT1006),$AM$1006:$BM$1006,0)))),"Fix")))</f>
        <v xml:space="preserve"> </v>
      </c>
      <c r="J524" s="4" t="str">
        <f ca="1">IF(OR(INDEX($AG$2:$AG$1001,MATCH(ROWS($AF$2:AF524),$AF$2:$AF$1001,0),1)&gt;=100000,INDEX($AM$1005:$BM$1005,1,MATCH(COLUMNS($AM$1006:AU1006),$AM$1006:$BM$1006,0))&gt;=100000), " ",IF(INDEX($AM$2:$BM$1001,MATCH(ROWS($AF$2:AF524),$AF$2:$AF$1001,0),MATCH(COLUMNS($AM$1006:AU1006),$AM$1006:$BM$1006,0)), HYPERLINK("#",""), HYPERLINK(CONCATENATE("#metadata!", ADDRESS(INDEX($AH$2:$AH$1001,MATCH(ROWS($AF$2:AF524),$AF$2:$AF$1001,0),0), INDEX($AM$1004:$BM$1004,1,MATCH(COLUMNS($AM$1006:AU1006),$AM$1006:$BM$1006,0)))),"Fix")))</f>
        <v xml:space="preserve"> </v>
      </c>
      <c r="K524" s="4" t="str">
        <f ca="1">IF(OR(INDEX($AG$2:$AG$1001,MATCH(ROWS($AF$2:AF524),$AF$2:$AF$1001,0),1)&gt;=100000,INDEX($AM$1005:$BM$1005,1,MATCH(COLUMNS($AM$1006:AV1006),$AM$1006:$BM$1006,0))&gt;=100000), " ",IF(INDEX($AM$2:$BM$1001,MATCH(ROWS($AF$2:AF524),$AF$2:$AF$1001,0),MATCH(COLUMNS($AM$1006:AV1006),$AM$1006:$BM$1006,0)), HYPERLINK("#",""), HYPERLINK(CONCATENATE("#metadata!", ADDRESS(INDEX($AH$2:$AH$1001,MATCH(ROWS($AF$2:AF524),$AF$2:$AF$1001,0),0), INDEX($AM$1004:$BM$1004,1,MATCH(COLUMNS($AM$1006:AV1006),$AM$1006:$BM$1006,0)))),"Fix")))</f>
        <v xml:space="preserve"> </v>
      </c>
      <c r="L524" s="4" t="str">
        <f ca="1">IF(OR(INDEX($AG$2:$AG$1001,MATCH(ROWS($AF$2:AF524),$AF$2:$AF$1001,0),1)&gt;=100000,INDEX($AM$1005:$BM$1005,1,MATCH(COLUMNS($AM$1006:AW1006),$AM$1006:$BM$1006,0))&gt;=100000), " ",IF(INDEX($AM$2:$BM$1001,MATCH(ROWS($AF$2:AF524),$AF$2:$AF$1001,0),MATCH(COLUMNS($AM$1006:AW1006),$AM$1006:$BM$1006,0)), HYPERLINK("#",""), HYPERLINK(CONCATENATE("#metadata!", ADDRESS(INDEX($AH$2:$AH$1001,MATCH(ROWS($AF$2:AF524),$AF$2:$AF$1001,0),0), INDEX($AM$1004:$BM$1004,1,MATCH(COLUMNS($AM$1006:AW1006),$AM$1006:$BM$1006,0)))),"Fix")))</f>
        <v xml:space="preserve"> </v>
      </c>
      <c r="M524" s="4" t="str">
        <f ca="1">IF(OR(INDEX($AG$2:$AG$1001,MATCH(ROWS($AF$2:AF524),$AF$2:$AF$1001,0),1)&gt;=100000,INDEX($AM$1005:$BM$1005,1,MATCH(COLUMNS($AM$1006:AX1006),$AM$1006:$BM$1006,0))&gt;=100000), " ",IF(INDEX($AM$2:$BM$1001,MATCH(ROWS($AF$2:AF524),$AF$2:$AF$1001,0),MATCH(COLUMNS($AM$1006:AX1006),$AM$1006:$BM$1006,0)), HYPERLINK("#",""), HYPERLINK(CONCATENATE("#metadata!", ADDRESS(INDEX($AH$2:$AH$1001,MATCH(ROWS($AF$2:AF524),$AF$2:$AF$1001,0),0), INDEX($AM$1004:$BM$1004,1,MATCH(COLUMNS($AM$1006:AX1006),$AM$1006:$BM$1006,0)))),"Fix")))</f>
        <v xml:space="preserve"> </v>
      </c>
      <c r="N524" s="4" t="str">
        <f ca="1">IF(OR(INDEX($AG$2:$AG$1001,MATCH(ROWS($AF$2:AF524),$AF$2:$AF$1001,0),1)&gt;=100000,INDEX($AM$1005:$BM$1005,1,MATCH(COLUMNS($AM$1006:AY1006),$AM$1006:$BM$1006,0))&gt;=100000), " ",IF(INDEX($AM$2:$BM$1001,MATCH(ROWS($AF$2:AF524),$AF$2:$AF$1001,0),MATCH(COLUMNS($AM$1006:AY1006),$AM$1006:$BM$1006,0)), HYPERLINK("#",""), HYPERLINK(CONCATENATE("#metadata!", ADDRESS(INDEX($AH$2:$AH$1001,MATCH(ROWS($AF$2:AF524),$AF$2:$AF$1001,0),0), INDEX($AM$1004:$BM$1004,1,MATCH(COLUMNS($AM$1006:AY1006),$AM$1006:$BM$1006,0)))),"Fix")))</f>
        <v xml:space="preserve"> </v>
      </c>
      <c r="O524" s="4" t="str">
        <f ca="1">IF(OR(INDEX($AG$2:$AG$1001,MATCH(ROWS($AF$2:AF524),$AF$2:$AF$1001,0),1)&gt;=100000,INDEX($AM$1005:$BM$1005,1,MATCH(COLUMNS($AM$1006:AZ1006),$AM$1006:$BM$1006,0))&gt;=100000), " ",IF(INDEX($AM$2:$BM$1001,MATCH(ROWS($AF$2:AF524),$AF$2:$AF$1001,0),MATCH(COLUMNS($AM$1006:AZ1006),$AM$1006:$BM$1006,0)), HYPERLINK("#",""), HYPERLINK(CONCATENATE("#metadata!", ADDRESS(INDEX($AH$2:$AH$1001,MATCH(ROWS($AF$2:AF524),$AF$2:$AF$1001,0),0), INDEX($AM$1004:$BM$1004,1,MATCH(COLUMNS($AM$1006:AZ1006),$AM$1006:$BM$1006,0)))),"Fix")))</f>
        <v xml:space="preserve"> </v>
      </c>
      <c r="P524" s="4" t="str">
        <f ca="1">IF(OR(INDEX($AG$2:$AG$1001,MATCH(ROWS($AF$2:AF524),$AF$2:$AF$1001,0),1)&gt;=100000,INDEX($AM$1005:$BM$1005,1,MATCH(COLUMNS($AM$1006:BA1006),$AM$1006:$BM$1006,0))&gt;=100000), " ",IF(INDEX($AM$2:$BM$1001,MATCH(ROWS($AF$2:AF524),$AF$2:$AF$1001,0),MATCH(COLUMNS($AM$1006:BA1006),$AM$1006:$BM$1006,0)), HYPERLINK("#",""), HYPERLINK(CONCATENATE("#metadata!", ADDRESS(INDEX($AH$2:$AH$1001,MATCH(ROWS($AF$2:AF524),$AF$2:$AF$1001,0),0), INDEX($AM$1004:$BM$1004,1,MATCH(COLUMNS($AM$1006:BA1006),$AM$1006:$BM$1006,0)))),"Fix")))</f>
        <v xml:space="preserve"> </v>
      </c>
      <c r="Q524" s="4" t="str">
        <f ca="1">IF(OR(INDEX($AG$2:$AG$1001,MATCH(ROWS($AF$2:AF524),$AF$2:$AF$1001,0),1)&gt;=100000,INDEX($AM$1005:$BM$1005,1,MATCH(COLUMNS($AM$1006:BB1006),$AM$1006:$BM$1006,0))&gt;=100000), " ",IF(INDEX($AM$2:$BM$1001,MATCH(ROWS($AF$2:AF524),$AF$2:$AF$1001,0),MATCH(COLUMNS($AM$1006:BB1006),$AM$1006:$BM$1006,0)), HYPERLINK("#",""), HYPERLINK(CONCATENATE("#metadata!", ADDRESS(INDEX($AH$2:$AH$1001,MATCH(ROWS($AF$2:AF524),$AF$2:$AF$1001,0),0), INDEX($AM$1004:$BM$1004,1,MATCH(COLUMNS($AM$1006:BB1006),$AM$1006:$BM$1006,0)))),"Fix")))</f>
        <v xml:space="preserve"> </v>
      </c>
      <c r="R524" s="4" t="str">
        <f ca="1">IF(OR(INDEX($AG$2:$AG$1001,MATCH(ROWS($AF$2:AF524),$AF$2:$AF$1001,0),1)&gt;=100000,INDEX($AM$1005:$BM$1005,1,MATCH(COLUMNS($AM$1006:BC1006),$AM$1006:$BM$1006,0))&gt;=100000), " ",IF(INDEX($AM$2:$BM$1001,MATCH(ROWS($AF$2:AF524),$AF$2:$AF$1001,0),MATCH(COLUMNS($AM$1006:BC1006),$AM$1006:$BM$1006,0)), HYPERLINK("#",""), HYPERLINK(CONCATENATE("#metadata!", ADDRESS(INDEX($AH$2:$AH$1001,MATCH(ROWS($AF$2:AF524),$AF$2:$AF$1001,0),0), INDEX($AM$1004:$BM$1004,1,MATCH(COLUMNS($AM$1006:BC1006),$AM$1006:$BM$1006,0)))),"Fix")))</f>
        <v xml:space="preserve"> </v>
      </c>
      <c r="S524" s="4" t="str">
        <f ca="1">IF(OR(INDEX($AG$2:$AG$1001,MATCH(ROWS($AF$2:AF524),$AF$2:$AF$1001,0),1)&gt;=100000,INDEX($AM$1005:$BM$1005,1,MATCH(COLUMNS($AM$1006:BD1006),$AM$1006:$BM$1006,0))&gt;=100000), " ",IF(INDEX($AM$2:$BM$1001,MATCH(ROWS($AF$2:AF524),$AF$2:$AF$1001,0),MATCH(COLUMNS($AM$1006:BD1006),$AM$1006:$BM$1006,0)), HYPERLINK("#",""), HYPERLINK(CONCATENATE("#metadata!", ADDRESS(INDEX($AH$2:$AH$1001,MATCH(ROWS($AF$2:AF524),$AF$2:$AF$1001,0),0), INDEX($AM$1004:$BM$1004,1,MATCH(COLUMNS($AM$1006:BD1006),$AM$1006:$BM$1006,0)))),"Fix")))</f>
        <v xml:space="preserve"> </v>
      </c>
      <c r="T524" s="4" t="str">
        <f ca="1">IF(OR(INDEX($AG$2:$AG$1001,MATCH(ROWS($AF$2:AF524),$AF$2:$AF$1001,0),1)&gt;=100000,INDEX($AM$1005:$BM$1005,1,MATCH(COLUMNS($AM$1006:BE1006),$AM$1006:$BM$1006,0))&gt;=100000), " ",IF(INDEX($AM$2:$BM$1001,MATCH(ROWS($AF$2:AF524),$AF$2:$AF$1001,0),MATCH(COLUMNS($AM$1006:BE1006),$AM$1006:$BM$1006,0)), HYPERLINK("#",""), HYPERLINK(CONCATENATE("#metadata!", ADDRESS(INDEX($AH$2:$AH$1001,MATCH(ROWS($AF$2:AF524),$AF$2:$AF$1001,0),0), INDEX($AM$1004:$BM$1004,1,MATCH(COLUMNS($AM$1006:BE1006),$AM$1006:$BM$1006,0)))),"Fix")))</f>
        <v xml:space="preserve"> </v>
      </c>
      <c r="U524" s="4" t="str">
        <f ca="1">IF(OR(INDEX($AG$2:$AG$1001,MATCH(ROWS($AF$2:AF524),$AF$2:$AF$1001,0),1)&gt;=100000,INDEX($AM$1005:$BM$1005,1,MATCH(COLUMNS($AM$1006:BF1006),$AM$1006:$BM$1006,0))&gt;=100000), " ",IF(INDEX($AM$2:$BM$1001,MATCH(ROWS($AF$2:AF524),$AF$2:$AF$1001,0),MATCH(COLUMNS($AM$1006:BF1006),$AM$1006:$BM$1006,0)), HYPERLINK("#",""), HYPERLINK(CONCATENATE("#metadata!", ADDRESS(INDEX($AH$2:$AH$1001,MATCH(ROWS($AF$2:AF524),$AF$2:$AF$1001,0),0), INDEX($AM$1004:$BM$1004,1,MATCH(COLUMNS($AM$1006:BF1006),$AM$1006:$BM$1006,0)))),"Fix")))</f>
        <v xml:space="preserve"> </v>
      </c>
      <c r="V524" s="4" t="str">
        <f ca="1">IF(OR(INDEX($AG$2:$AG$1001,MATCH(ROWS($AF$2:AF524),$AF$2:$AF$1001,0),1)&gt;=100000,INDEX($AM$1005:$BM$1005,1,MATCH(COLUMNS($AM$1006:BG1006),$AM$1006:$BM$1006,0))&gt;=100000), " ",IF(INDEX($AM$2:$BM$1001,MATCH(ROWS($AF$2:AF524),$AF$2:$AF$1001,0),MATCH(COLUMNS($AM$1006:BG1006),$AM$1006:$BM$1006,0)), HYPERLINK("#",""), HYPERLINK(CONCATENATE("#metadata!", ADDRESS(INDEX($AH$2:$AH$1001,MATCH(ROWS($AF$2:AF524),$AF$2:$AF$1001,0),0), INDEX($AM$1004:$BM$1004,1,MATCH(COLUMNS($AM$1006:BG1006),$AM$1006:$BM$1006,0)))),"Fix")))</f>
        <v xml:space="preserve"> </v>
      </c>
      <c r="W524" s="4" t="str">
        <f ca="1">IF(OR(INDEX($AG$2:$AG$1001,MATCH(ROWS($AF$2:AF524),$AF$2:$AF$1001,0),1)&gt;=100000,INDEX($AM$1005:$BM$1005,1,MATCH(COLUMNS($AM$1006:BH1006),$AM$1006:$BM$1006,0))&gt;=100000), " ",IF(INDEX($AM$2:$BM$1001,MATCH(ROWS($AF$2:AF524),$AF$2:$AF$1001,0),MATCH(COLUMNS($AM$1006:BH1006),$AM$1006:$BM$1006,0)), HYPERLINK("#",""), HYPERLINK(CONCATENATE("#metadata!", ADDRESS(INDEX($AH$2:$AH$1001,MATCH(ROWS($AF$2:AF524),$AF$2:$AF$1001,0),0), INDEX($AM$1004:$BM$1004,1,MATCH(COLUMNS($AM$1006:BH1006),$AM$1006:$BM$1006,0)))),"Fix")))</f>
        <v xml:space="preserve"> </v>
      </c>
      <c r="X524" s="4" t="str">
        <f ca="1">IF(OR(INDEX($AG$2:$AG$1001,MATCH(ROWS($AF$2:AF524),$AF$2:$AF$1001,0),1)&gt;=100000,INDEX($AM$1005:$BM$1005,1,MATCH(COLUMNS($AM$1006:BI1006),$AM$1006:$BM$1006,0))&gt;=100000), " ",IF(INDEX($AM$2:$BM$1001,MATCH(ROWS($AF$2:AF524),$AF$2:$AF$1001,0),MATCH(COLUMNS($AM$1006:BI1006),$AM$1006:$BM$1006,0)), HYPERLINK("#",""), HYPERLINK(CONCATENATE("#metadata!", ADDRESS(INDEX($AH$2:$AH$1001,MATCH(ROWS($AF$2:AF524),$AF$2:$AF$1001,0),0), INDEX($AM$1004:$BM$1004,1,MATCH(COLUMNS($AM$1006:BI1006),$AM$1006:$BM$1006,0)))),"Fix")))</f>
        <v xml:space="preserve"> </v>
      </c>
      <c r="Y524" s="4" t="str">
        <f ca="1">IF(OR(INDEX($AG$2:$AG$1001,MATCH(ROWS($AF$2:AF524),$AF$2:$AF$1001,0),1)&gt;=100000,INDEX($AM$1005:$BM$1005,1,MATCH(COLUMNS($AM$1006:BJ1006),$AM$1006:$BM$1006,0))&gt;=100000), " ",IF(INDEX($AM$2:$BM$1001,MATCH(ROWS($AF$2:AF524),$AF$2:$AF$1001,0),MATCH(COLUMNS($AM$1006:BJ1006),$AM$1006:$BM$1006,0)), HYPERLINK("#",""), HYPERLINK(CONCATENATE("#metadata!", ADDRESS(INDEX($AH$2:$AH$1001,MATCH(ROWS($AF$2:AF524),$AF$2:$AF$1001,0),0), INDEX($AM$1004:$BM$1004,1,MATCH(COLUMNS($AM$1006:BJ1006),$AM$1006:$BM$1006,0)))),"Fix")))</f>
        <v xml:space="preserve"> </v>
      </c>
      <c r="Z524" s="4" t="str">
        <f ca="1">IF(OR(INDEX($AG$2:$AG$1001,MATCH(ROWS($AF$2:AF524),$AF$2:$AF$1001,0),1)&gt;=100000,INDEX($AM$1005:$BM$1005,1,MATCH(COLUMNS($AM$1006:BK1006),$AM$1006:$BM$1006,0))&gt;=100000), " ",IF(INDEX($AM$2:$BM$1001,MATCH(ROWS($AF$2:AF524),$AF$2:$AF$1001,0),MATCH(COLUMNS($AM$1006:BK1006),$AM$1006:$BM$1006,0)), HYPERLINK("#",""), HYPERLINK(CONCATENATE("#metadata!", ADDRESS(INDEX($AH$2:$AH$1001,MATCH(ROWS($AF$2:AF524),$AF$2:$AF$1001,0),0), INDEX($AM$1004:$BM$1004,1,MATCH(COLUMNS($AM$1006:BK1006),$AM$1006:$BM$1006,0)))),"Fix")))</f>
        <v xml:space="preserve"> </v>
      </c>
      <c r="AA524" s="4" t="str">
        <f ca="1">IF(OR(INDEX($AG$2:$AG$1001,MATCH(ROWS($AF$2:AF524),$AF$2:$AF$1001,0),1)&gt;=100000,INDEX($AM$1005:$BM$1005,1,MATCH(COLUMNS($AM$1006:BL1006),$AM$1006:$BM$1006,0))&gt;=100000), " ",IF(INDEX($AM$2:$BM$1001,MATCH(ROWS($AF$2:AF524),$AF$2:$AF$1001,0),MATCH(COLUMNS($AM$1006:BL1006),$AM$1006:$BM$1006,0)), HYPERLINK("#",""), HYPERLINK(CONCATENATE("#metadata!", ADDRESS(INDEX($AH$2:$AH$1001,MATCH(ROWS($AF$2:AF524),$AF$2:$AF$1001,0),0), INDEX($AM$1004:$BM$1004,1,MATCH(COLUMNS($AM$1006:BL1006),$AM$1006:$BM$1006,0)))),"Fix")))</f>
        <v xml:space="preserve"> </v>
      </c>
      <c r="AB524" s="4" t="str">
        <f ca="1">IF(OR(INDEX($AG$2:$AG$1001,MATCH(ROWS($AF$2:AF524),$AF$2:$AF$1001,0),1)&gt;=100000,INDEX($AM$1005:$BM$1005,1,MATCH(COLUMNS($AM$1006:BM1006),$AM$1006:$BM$1006,0))&gt;=100000), " ",IF(INDEX($AM$2:$BM$1001,MATCH(ROWS($AF$2:AF524),$AF$2:$AF$1001,0),MATCH(COLUMNS($AM$1006:BM1006),$AM$1006:$BM$1006,0)), HYPERLINK("#",""), HYPERLINK(CONCATENATE("#metadata!", ADDRESS(INDEX($AH$2:$AH$1001,MATCH(ROWS($AF$2:AF524),$AF$2:$AF$1001,0),0), INDEX($AM$1004:$BM$1004,1,MATCH(COLUMNS($AM$1006:BM1006),$AM$1006:$BM$1006,0)))),"Fix")))</f>
        <v xml:space="preserve"> </v>
      </c>
      <c r="AF524">
        <v>523</v>
      </c>
      <c r="AG524">
        <v>100524</v>
      </c>
      <c r="AH524">
        <v>524</v>
      </c>
      <c r="AI524" t="b">
        <f t="shared" si="8"/>
        <v>1</v>
      </c>
      <c r="AJ524" t="b">
        <f>COUNTBLANK(metadata!B524:AB524)=COLUMNS(metadata!B524:AB524)</f>
        <v>1</v>
      </c>
      <c r="AK524" t="str">
        <v/>
      </c>
      <c r="AM524" t="b">
        <f ca="1">AND(IF(metadata!B524="",FALSE,TRUE),COUNTIF(metadata!B:B, metadata!B524) = 1,NOT(ISERROR(SUMPRODUCT(SEARCH(MID(metadata!B524,ROW(INDIRECT("1:"&amp;LEN(metadata!B524))), 1),"0123456789abcdefghijklmnopqrstuvwxyzABCDEFGHIJKLMNOPQRSTUVWXYZ.")))))</f>
        <v>0</v>
      </c>
      <c r="AN524" t="b">
        <f ca="1">OR(AND(IF(metadata!C524="",FALSE,TRUE),OR(EXACT(metadata!C524,"missing: not collected"),EXACT(metadata!C524,"missing: not provided"),EXACT(metadata!C524,"missing: restricted access"))),AND(IF(metadata!C524="",FALSE,TRUE),AND(AND(IFERROR(INT(LEFT(metadata!C524,4))&gt;1900,FALSE),IFERROR(INT(LEFT(metadata!C524,4))&lt;=YEAR(NOW()),FALSE)), OR(MID(metadata!C524,5,1)="", AND(AND(MID(metadata!C524,5,1)="-",IFERROR(INT(MID(metadata!C524,6,1))&gt;=0,FALSE),IFERROR(INT(MID(metadata!C524,6,1))&lt;=1,FALSE),NOT(MID(metadata!C524,7,1)=""),IFERROR(INT(MID(metadata!C524,6,2))&gt;=1,FALSE),IFERROR(INT(MID(metadata!C524,6,2))&lt;=12,FALSE)), OR(MID(metadata!C524,8,1)="", AND(AND(MID(metadata!C524,8,1)="-",IFERROR(INT(MID(metadata!C524,9,1))&gt;=0,FALSE),IFERROR(INT(MID(metadata!C524,9,1))&lt;=3,FALSE),NOT(MID(metadata!C524,10,1)=""),IFERROR(INT(MID(metadata!C524,9,2))&gt;=1,FALSE),IFERROR(INT(MID(metadata!C524,9,2))&lt;=31,FALSE)), OR(MID(metadata!C524,11,1)="", AND(AND(MID(metadata!C524,11,1)=" ",IFERROR(INT(MID(metadata!C524,12,1))&gt;=0,FALSE),IFERROR(INT(MID(metadata!C524,12,1))&lt;=2,FALSE),NOT(MID(metadata!C524,13,1)=""),IFERROR(INT(MID(metadata!C524,12,2))&gt;=0,FALSE),IFERROR(INT(MID(metadata!C524,12,2))&lt;=23,FALSE)), OR(MID(metadata!C524,14,1)="", AND(AND(MID(metadata!C524,14,1)=":",IFERROR(INT(MID(metadata!C524,15,1))&gt;=0,FALSE),IFERROR(INT(MID(metadata!C524,15,1))&lt;=5,FALSE),NOT(MID(metadata!C524,16,1)=""),IFERROR(INT(MID(metadata!C524,15,2))&gt;=0,FALSE),IFERROR(INT(MID(metadata!C524,15,2))&lt;=59,FALSE)), OR(MID(metadata!C524,17,1)="", AND(AND(MID(metadata!C524,17,1)=":",IFERROR(INT(MID(metadata!C524,18,1))&gt;=0,FALSE),IFERROR(INT(MID(metadata!C524,18,1))&lt;=5,FALSE),NOT(MID(metadata!C524,19,1)=""),IFERROR(INT(MID(metadata!C524,18,2))&gt;=0,FALSE),IFERROR(INT(MID(metadata!C524,18,2))&lt;=59,FALSE)), LEN(metadata!C524)&lt;=19)))))))))))))</f>
        <v>0</v>
      </c>
      <c r="AO524" t="b">
        <f>AND(IF(metadata!D524="",FALSE,TRUE),EXACT(metadata!D524,"Not applicable"))</f>
        <v>0</v>
      </c>
      <c r="AP524" t="b">
        <f>IF(metadata!E524="",FALSE,TRUE)</f>
        <v>0</v>
      </c>
      <c r="AQ524" t="b">
        <f>OR(AND(IF(metadata!F524="",FALSE,TRUE),OR(EXACT(metadata!F524,"missing: not collected"),EXACT(metadata!F524,"missing: not provided"))),AND(IF(metadata!F524="",FALSE,TRUE),OR(EXACT(metadata!F524,"TRUE"),EXACT(metadata!F524,"FALSE"))))</f>
        <v>0</v>
      </c>
      <c r="AR524" t="b">
        <f>OR(AND(IF(metadata!G524="",FALSE,TRUE),OR(EXACT(metadata!G524,"missing: not collected"),EXACT(metadata!G524,"missing: not provided"),EXACT(metadata!G524,"missing: restricted access"))),AND(IF(metadata!G524="",FALSE,ISNUMBER(VALUE(metadata!G524))),metadata!G524&gt;=-413))</f>
        <v>0</v>
      </c>
      <c r="AS524" t="b">
        <f>AND(IF(metadata!H524="",FALSE,TRUE),EXACT(metadata!H524,"meters"))</f>
        <v>0</v>
      </c>
      <c r="AT524" t="b">
        <f>AND(IF(metadata!I524="",FALSE,TRUE),OR(EXACT(metadata!I524,"Host-associated"),EXACT(metadata!I524,"Free-living")))</f>
        <v>0</v>
      </c>
      <c r="AU524" t="b">
        <f>AND(IF(metadata!J524="",FALSE,TRUE),OR(EXACT(metadata!J524,"Animal"),EXACT(metadata!J524,"Fungus"),EXACT(metadata!J524,"Plant"),EXACT(metadata!J524,"Saline"),EXACT(metadata!J524,"Non-saline")))</f>
        <v>0</v>
      </c>
      <c r="AV524" t="b">
        <f>AND(IF(metadata!K524="",FALSE,TRUE),OR(EXACT(metadata!K524,"Plant secretion"),EXACT(metadata!K524,"Plant rhizosphere"),EXACT(metadata!K524,"Plant surface"),EXACT(metadata!K524,"Plant corpus"),EXACT(metadata!K524,"Fungus surface"),EXACT(metadata!K524,"Fungus corpus"),EXACT(metadata!K524,"Animal surface"),EXACT(metadata!K524,"Animal proximal gut"),EXACT(metadata!K524,"Animal corpus"),EXACT(metadata!K524,"Animal distal gut"),EXACT(metadata!K524,"Animal secretion"),EXACT(metadata!K524,"Sub-surface (non-saline)"),EXACT(metadata!K524,"Surface (non-saline)"),EXACT(metadata!K524,"Water (non-saline)"),EXACT(metadata!K524,"Soil (non-saline)"),EXACT(metadata!K524,"Aerosol (non-saline)"),EXACT(metadata!K524,"Sediment (non-saline)"),EXACT(metadata!K524,"Surface (saline)"),EXACT(metadata!K524,"Water (saline)"),EXACT(metadata!K524,"Hypersaline (saline)"),EXACT(metadata!K524,"Aerosol (saline)"),EXACT(metadata!K524,"Sediment (saline)")))</f>
        <v>0</v>
      </c>
      <c r="AW524" t="b">
        <f>IF(metadata!L524="",FALSE,TRUE)</f>
        <v>0</v>
      </c>
      <c r="AX524" t="b">
        <f>IF(metadata!M524="",FALSE,TRUE)</f>
        <v>0</v>
      </c>
      <c r="AY524" t="b">
        <f>IF(metadata!N524="",FALSE,TRUE)</f>
        <v>0</v>
      </c>
      <c r="AZ524" t="b">
        <f>OR(AND(IF(metadata!O524="",FALSE,TRUE),OR(EXACT(metadata!O524,"missing: not collected"),EXACT(metadata!O524,"missing: not provided"),EXACT(metadata!O524,"missing: restricted access"))),AND(IF(metadata!O524="",FALSE,TRUE),OR(EXACT(metadata!O524,"air"),EXACT(metadata!O524,"built environment"),EXACT(metadata!O524,"host-associated"),EXACT(metadata!O524,"human-associated"),EXACT(metadata!O524,"human-skin"),EXACT(metadata!O524,"human-oral"),EXACT(metadata!O524,"human-gut"),EXACT(metadata!O524,"human-vaginal"),EXACT(metadata!O524,"microbial mat/biofilm"),EXACT(metadata!O524,"misc environment"),EXACT(metadata!O524,"plant-associated"),EXACT(metadata!O524,"sediment"),EXACT(metadata!O524,"soil"),EXACT(metadata!O524,"wastewater/sludge"),EXACT(metadata!O524,"water"))))</f>
        <v>0</v>
      </c>
      <c r="BA524" t="b">
        <f>IF(metadata!P524="",FALSE,TRUE)</f>
        <v>0</v>
      </c>
      <c r="BB524" t="b">
        <f>IF(metadata!Q524="",FALSE,TRUE)</f>
        <v>0</v>
      </c>
      <c r="BC524" t="b">
        <f>OR(AND(IF(metadata!R524="",FALSE,TRUE),OR(EXACT(metadata!R524,"missing: not collected"),EXACT(metadata!R524,"missing: not provided"),EXACT(metadata!R524,"missing: restricted access"))),AND(IF(metadata!R524="",FALSE,ISNUMBER(VALUE(metadata!R524))),metadata!R524&gt;=-90,metadata!R524&lt;=90))</f>
        <v>0</v>
      </c>
      <c r="BD524" t="b">
        <f>AND(IF(metadata!S524="",FALSE,TRUE),EXACT(metadata!S524,"Decimal degrees"))</f>
        <v>0</v>
      </c>
      <c r="BE524" t="b">
        <f>OR(AND(IF(metadata!T524="",FALSE,TRUE),OR(EXACT(metadata!T524,"missing: not collected"),EXACT(metadata!T524,"missing: not provided"),EXACT(metadata!T524,"missing: restricted access"))),AND(IF(metadata!T524="",FALSE,ISNUMBER(VALUE(metadata!T524))),metadata!T524&gt;=-180,metadata!T524&lt;=180))</f>
        <v>0</v>
      </c>
      <c r="BF524" t="b">
        <f>AND(IF(metadata!U524="",FALSE,TRUE),EXACT(metadata!U524,"Decimal degrees"))</f>
        <v>0</v>
      </c>
      <c r="BG524" t="b">
        <f>IF(metadata!V524="",FALSE,TRUE)</f>
        <v>0</v>
      </c>
      <c r="BH524" t="b">
        <f>OR(AND(IF(metadata!W524="",FALSE,TRUE),OR(EXACT(metadata!W524,"missing: not collected"),EXACT(metadata!W524,"missing: not provided"),EXACT(metadata!W524,"missing: restricted access"))),AND(IF(metadata!W524="",FALSE,TRUE),OR(EXACT(metadata!W524,"TRUE"),EXACT(metadata!W524,"FALSE"))))</f>
        <v>0</v>
      </c>
      <c r="BI524" t="b">
        <f>AND(IF(metadata!X524="",FALSE,TRUE),EXACT(metadata!X524,"other"))</f>
        <v>0</v>
      </c>
      <c r="BJ524" t="b">
        <f>IF(metadata!Y524="",FALSE,TRUE)</f>
        <v>0</v>
      </c>
      <c r="BK524" t="b">
        <f>OR(AND(IF(metadata!Z524="",FALSE,TRUE),OR(EXACT(metadata!Z524,"missing: not collected"),EXACT(metadata!Z524,"missing: not provided"))),AND(IF(metadata!Z524="",FALSE,IF(ISERROR(INT(metadata!Z524)),FALSE,INT(metadata!Z524)=metadata!Z524)),metadata!Z524&gt;0))</f>
        <v>0</v>
      </c>
      <c r="BL524" t="b">
        <f>AND(IF(metadata!AA524="",FALSE,TRUE),EXACT(metadata!AA524,"Not applicable"))</f>
        <v>0</v>
      </c>
      <c r="BM524" t="b">
        <f>IF(metadata!AB524="",FALSE,TRUE)</f>
        <v>0</v>
      </c>
    </row>
    <row r="525" spans="1:65" x14ac:dyDescent="0.2">
      <c r="A525" s="5" t="str">
        <f ca="1">IF(B525=" "," ",HYPERLINK(CONCATENATE("#metadata!",ADDRESS(INDEX($AH$2:$AH$1001,MATCH(ROWS($AF$2:AF525),$AF$2:$AF$1001,0),0),1)),INDEX($AK$2:$AK$1001,MATCH(ROWS($AF$2:AF525),$AF$2:$AF$1001,0),0)))</f>
        <v xml:space="preserve"> </v>
      </c>
      <c r="B525" s="4" t="str">
        <f ca="1">IF(OR(INDEX($AG$2:$AG$1001,MATCH(ROWS($AF$2:AF525),$AF$2:$AF$1001,0),1)&gt;=100000,INDEX($AM$1005:$BM$1005,1,MATCH(COLUMNS($AM$1006:AM1006),$AM$1006:$BM$1006,0))&gt;=100000), " ",IF(INDEX($AM$2:$BM$1001,MATCH(ROWS($AF$2:AF525),$AF$2:$AF$1001,0),MATCH(COLUMNS($AM$1006:AM1006),$AM$1006:$BM$1006,0)), HYPERLINK("#",""), HYPERLINK(CONCATENATE("#metadata!", ADDRESS(INDEX($AH$2:$AH$1001,MATCH(ROWS($AF$2:AF525),$AF$2:$AF$1001,0),0), INDEX($AM$1004:$BM$1004,1,MATCH(COLUMNS($AM$1006:AM1006),$AM$1006:$BM$1006,0)))),"Fix")))</f>
        <v xml:space="preserve"> </v>
      </c>
      <c r="C525" s="4" t="str">
        <f ca="1">IF(OR(INDEX($AG$2:$AG$1001,MATCH(ROWS($AF$2:AF525),$AF$2:$AF$1001,0),1)&gt;=100000,INDEX($AM$1005:$BM$1005,1,MATCH(COLUMNS($AM$1006:AN1006),$AM$1006:$BM$1006,0))&gt;=100000), " ",IF(INDEX($AM$2:$BM$1001,MATCH(ROWS($AF$2:AF525),$AF$2:$AF$1001,0),MATCH(COLUMNS($AM$1006:AN1006),$AM$1006:$BM$1006,0)), HYPERLINK("#",""), HYPERLINK(CONCATENATE("#metadata!", ADDRESS(INDEX($AH$2:$AH$1001,MATCH(ROWS($AF$2:AF525),$AF$2:$AF$1001,0),0), INDEX($AM$1004:$BM$1004,1,MATCH(COLUMNS($AM$1006:AN1006),$AM$1006:$BM$1006,0)))),"Fix")))</f>
        <v xml:space="preserve"> </v>
      </c>
      <c r="D525" s="4" t="str">
        <f ca="1">IF(OR(INDEX($AG$2:$AG$1001,MATCH(ROWS($AF$2:AF525),$AF$2:$AF$1001,0),1)&gt;=100000,INDEX($AM$1005:$BM$1005,1,MATCH(COLUMNS($AM$1006:AO1006),$AM$1006:$BM$1006,0))&gt;=100000), " ",IF(INDEX($AM$2:$BM$1001,MATCH(ROWS($AF$2:AF525),$AF$2:$AF$1001,0),MATCH(COLUMNS($AM$1006:AO1006),$AM$1006:$BM$1006,0)), HYPERLINK("#",""), HYPERLINK(CONCATENATE("#metadata!", ADDRESS(INDEX($AH$2:$AH$1001,MATCH(ROWS($AF$2:AF525),$AF$2:$AF$1001,0),0), INDEX($AM$1004:$BM$1004,1,MATCH(COLUMNS($AM$1006:AO1006),$AM$1006:$BM$1006,0)))),"Fix")))</f>
        <v xml:space="preserve"> </v>
      </c>
      <c r="E525" s="4" t="str">
        <f ca="1">IF(OR(INDEX($AG$2:$AG$1001,MATCH(ROWS($AF$2:AF525),$AF$2:$AF$1001,0),1)&gt;=100000,INDEX($AM$1005:$BM$1005,1,MATCH(COLUMNS($AM$1006:AP1006),$AM$1006:$BM$1006,0))&gt;=100000), " ",IF(INDEX($AM$2:$BM$1001,MATCH(ROWS($AF$2:AF525),$AF$2:$AF$1001,0),MATCH(COLUMNS($AM$1006:AP1006),$AM$1006:$BM$1006,0)), HYPERLINK("#",""), HYPERLINK(CONCATENATE("#metadata!", ADDRESS(INDEX($AH$2:$AH$1001,MATCH(ROWS($AF$2:AF525),$AF$2:$AF$1001,0),0), INDEX($AM$1004:$BM$1004,1,MATCH(COLUMNS($AM$1006:AP1006),$AM$1006:$BM$1006,0)))),"Fix")))</f>
        <v xml:space="preserve"> </v>
      </c>
      <c r="F525" s="4" t="str">
        <f ca="1">IF(OR(INDEX($AG$2:$AG$1001,MATCH(ROWS($AF$2:AF525),$AF$2:$AF$1001,0),1)&gt;=100000,INDEX($AM$1005:$BM$1005,1,MATCH(COLUMNS($AM$1006:AQ1006),$AM$1006:$BM$1006,0))&gt;=100000), " ",IF(INDEX($AM$2:$BM$1001,MATCH(ROWS($AF$2:AF525),$AF$2:$AF$1001,0),MATCH(COLUMNS($AM$1006:AQ1006),$AM$1006:$BM$1006,0)), HYPERLINK("#",""), HYPERLINK(CONCATENATE("#metadata!", ADDRESS(INDEX($AH$2:$AH$1001,MATCH(ROWS($AF$2:AF525),$AF$2:$AF$1001,0),0), INDEX($AM$1004:$BM$1004,1,MATCH(COLUMNS($AM$1006:AQ1006),$AM$1006:$BM$1006,0)))),"Fix")))</f>
        <v xml:space="preserve"> </v>
      </c>
      <c r="G525" s="4" t="str">
        <f ca="1">IF(OR(INDEX($AG$2:$AG$1001,MATCH(ROWS($AF$2:AF525),$AF$2:$AF$1001,0),1)&gt;=100000,INDEX($AM$1005:$BM$1005,1,MATCH(COLUMNS($AM$1006:AR1006),$AM$1006:$BM$1006,0))&gt;=100000), " ",IF(INDEX($AM$2:$BM$1001,MATCH(ROWS($AF$2:AF525),$AF$2:$AF$1001,0),MATCH(COLUMNS($AM$1006:AR1006),$AM$1006:$BM$1006,0)), HYPERLINK("#",""), HYPERLINK(CONCATENATE("#metadata!", ADDRESS(INDEX($AH$2:$AH$1001,MATCH(ROWS($AF$2:AF525),$AF$2:$AF$1001,0),0), INDEX($AM$1004:$BM$1004,1,MATCH(COLUMNS($AM$1006:AR1006),$AM$1006:$BM$1006,0)))),"Fix")))</f>
        <v xml:space="preserve"> </v>
      </c>
      <c r="H525" s="4" t="str">
        <f ca="1">IF(OR(INDEX($AG$2:$AG$1001,MATCH(ROWS($AF$2:AF525),$AF$2:$AF$1001,0),1)&gt;=100000,INDEX($AM$1005:$BM$1005,1,MATCH(COLUMNS($AM$1006:AS1006),$AM$1006:$BM$1006,0))&gt;=100000), " ",IF(INDEX($AM$2:$BM$1001,MATCH(ROWS($AF$2:AF525),$AF$2:$AF$1001,0),MATCH(COLUMNS($AM$1006:AS1006),$AM$1006:$BM$1006,0)), HYPERLINK("#",""), HYPERLINK(CONCATENATE("#metadata!", ADDRESS(INDEX($AH$2:$AH$1001,MATCH(ROWS($AF$2:AF525),$AF$2:$AF$1001,0),0), INDEX($AM$1004:$BM$1004,1,MATCH(COLUMNS($AM$1006:AS1006),$AM$1006:$BM$1006,0)))),"Fix")))</f>
        <v xml:space="preserve"> </v>
      </c>
      <c r="I525" s="4" t="str">
        <f ca="1">IF(OR(INDEX($AG$2:$AG$1001,MATCH(ROWS($AF$2:AF525),$AF$2:$AF$1001,0),1)&gt;=100000,INDEX($AM$1005:$BM$1005,1,MATCH(COLUMNS($AM$1006:AT1006),$AM$1006:$BM$1006,0))&gt;=100000), " ",IF(INDEX($AM$2:$BM$1001,MATCH(ROWS($AF$2:AF525),$AF$2:$AF$1001,0),MATCH(COLUMNS($AM$1006:AT1006),$AM$1006:$BM$1006,0)), HYPERLINK("#",""), HYPERLINK(CONCATENATE("#metadata!", ADDRESS(INDEX($AH$2:$AH$1001,MATCH(ROWS($AF$2:AF525),$AF$2:$AF$1001,0),0), INDEX($AM$1004:$BM$1004,1,MATCH(COLUMNS($AM$1006:AT1006),$AM$1006:$BM$1006,0)))),"Fix")))</f>
        <v xml:space="preserve"> </v>
      </c>
      <c r="J525" s="4" t="str">
        <f ca="1">IF(OR(INDEX($AG$2:$AG$1001,MATCH(ROWS($AF$2:AF525),$AF$2:$AF$1001,0),1)&gt;=100000,INDEX($AM$1005:$BM$1005,1,MATCH(COLUMNS($AM$1006:AU1006),$AM$1006:$BM$1006,0))&gt;=100000), " ",IF(INDEX($AM$2:$BM$1001,MATCH(ROWS($AF$2:AF525),$AF$2:$AF$1001,0),MATCH(COLUMNS($AM$1006:AU1006),$AM$1006:$BM$1006,0)), HYPERLINK("#",""), HYPERLINK(CONCATENATE("#metadata!", ADDRESS(INDEX($AH$2:$AH$1001,MATCH(ROWS($AF$2:AF525),$AF$2:$AF$1001,0),0), INDEX($AM$1004:$BM$1004,1,MATCH(COLUMNS($AM$1006:AU1006),$AM$1006:$BM$1006,0)))),"Fix")))</f>
        <v xml:space="preserve"> </v>
      </c>
      <c r="K525" s="4" t="str">
        <f ca="1">IF(OR(INDEX($AG$2:$AG$1001,MATCH(ROWS($AF$2:AF525),$AF$2:$AF$1001,0),1)&gt;=100000,INDEX($AM$1005:$BM$1005,1,MATCH(COLUMNS($AM$1006:AV1006),$AM$1006:$BM$1006,0))&gt;=100000), " ",IF(INDEX($AM$2:$BM$1001,MATCH(ROWS($AF$2:AF525),$AF$2:$AF$1001,0),MATCH(COLUMNS($AM$1006:AV1006),$AM$1006:$BM$1006,0)), HYPERLINK("#",""), HYPERLINK(CONCATENATE("#metadata!", ADDRESS(INDEX($AH$2:$AH$1001,MATCH(ROWS($AF$2:AF525),$AF$2:$AF$1001,0),0), INDEX($AM$1004:$BM$1004,1,MATCH(COLUMNS($AM$1006:AV1006),$AM$1006:$BM$1006,0)))),"Fix")))</f>
        <v xml:space="preserve"> </v>
      </c>
      <c r="L525" s="4" t="str">
        <f ca="1">IF(OR(INDEX($AG$2:$AG$1001,MATCH(ROWS($AF$2:AF525),$AF$2:$AF$1001,0),1)&gt;=100000,INDEX($AM$1005:$BM$1005,1,MATCH(COLUMNS($AM$1006:AW1006),$AM$1006:$BM$1006,0))&gt;=100000), " ",IF(INDEX($AM$2:$BM$1001,MATCH(ROWS($AF$2:AF525),$AF$2:$AF$1001,0),MATCH(COLUMNS($AM$1006:AW1006),$AM$1006:$BM$1006,0)), HYPERLINK("#",""), HYPERLINK(CONCATENATE("#metadata!", ADDRESS(INDEX($AH$2:$AH$1001,MATCH(ROWS($AF$2:AF525),$AF$2:$AF$1001,0),0), INDEX($AM$1004:$BM$1004,1,MATCH(COLUMNS($AM$1006:AW1006),$AM$1006:$BM$1006,0)))),"Fix")))</f>
        <v xml:space="preserve"> </v>
      </c>
      <c r="M525" s="4" t="str">
        <f ca="1">IF(OR(INDEX($AG$2:$AG$1001,MATCH(ROWS($AF$2:AF525),$AF$2:$AF$1001,0),1)&gt;=100000,INDEX($AM$1005:$BM$1005,1,MATCH(COLUMNS($AM$1006:AX1006),$AM$1006:$BM$1006,0))&gt;=100000), " ",IF(INDEX($AM$2:$BM$1001,MATCH(ROWS($AF$2:AF525),$AF$2:$AF$1001,0),MATCH(COLUMNS($AM$1006:AX1006),$AM$1006:$BM$1006,0)), HYPERLINK("#",""), HYPERLINK(CONCATENATE("#metadata!", ADDRESS(INDEX($AH$2:$AH$1001,MATCH(ROWS($AF$2:AF525),$AF$2:$AF$1001,0),0), INDEX($AM$1004:$BM$1004,1,MATCH(COLUMNS($AM$1006:AX1006),$AM$1006:$BM$1006,0)))),"Fix")))</f>
        <v xml:space="preserve"> </v>
      </c>
      <c r="N525" s="4" t="str">
        <f ca="1">IF(OR(INDEX($AG$2:$AG$1001,MATCH(ROWS($AF$2:AF525),$AF$2:$AF$1001,0),1)&gt;=100000,INDEX($AM$1005:$BM$1005,1,MATCH(COLUMNS($AM$1006:AY1006),$AM$1006:$BM$1006,0))&gt;=100000), " ",IF(INDEX($AM$2:$BM$1001,MATCH(ROWS($AF$2:AF525),$AF$2:$AF$1001,0),MATCH(COLUMNS($AM$1006:AY1006),$AM$1006:$BM$1006,0)), HYPERLINK("#",""), HYPERLINK(CONCATENATE("#metadata!", ADDRESS(INDEX($AH$2:$AH$1001,MATCH(ROWS($AF$2:AF525),$AF$2:$AF$1001,0),0), INDEX($AM$1004:$BM$1004,1,MATCH(COLUMNS($AM$1006:AY1006),$AM$1006:$BM$1006,0)))),"Fix")))</f>
        <v xml:space="preserve"> </v>
      </c>
      <c r="O525" s="4" t="str">
        <f ca="1">IF(OR(INDEX($AG$2:$AG$1001,MATCH(ROWS($AF$2:AF525),$AF$2:$AF$1001,0),1)&gt;=100000,INDEX($AM$1005:$BM$1005,1,MATCH(COLUMNS($AM$1006:AZ1006),$AM$1006:$BM$1006,0))&gt;=100000), " ",IF(INDEX($AM$2:$BM$1001,MATCH(ROWS($AF$2:AF525),$AF$2:$AF$1001,0),MATCH(COLUMNS($AM$1006:AZ1006),$AM$1006:$BM$1006,0)), HYPERLINK("#",""), HYPERLINK(CONCATENATE("#metadata!", ADDRESS(INDEX($AH$2:$AH$1001,MATCH(ROWS($AF$2:AF525),$AF$2:$AF$1001,0),0), INDEX($AM$1004:$BM$1004,1,MATCH(COLUMNS($AM$1006:AZ1006),$AM$1006:$BM$1006,0)))),"Fix")))</f>
        <v xml:space="preserve"> </v>
      </c>
      <c r="P525" s="4" t="str">
        <f ca="1">IF(OR(INDEX($AG$2:$AG$1001,MATCH(ROWS($AF$2:AF525),$AF$2:$AF$1001,0),1)&gt;=100000,INDEX($AM$1005:$BM$1005,1,MATCH(COLUMNS($AM$1006:BA1006),$AM$1006:$BM$1006,0))&gt;=100000), " ",IF(INDEX($AM$2:$BM$1001,MATCH(ROWS($AF$2:AF525),$AF$2:$AF$1001,0),MATCH(COLUMNS($AM$1006:BA1006),$AM$1006:$BM$1006,0)), HYPERLINK("#",""), HYPERLINK(CONCATENATE("#metadata!", ADDRESS(INDEX($AH$2:$AH$1001,MATCH(ROWS($AF$2:AF525),$AF$2:$AF$1001,0),0), INDEX($AM$1004:$BM$1004,1,MATCH(COLUMNS($AM$1006:BA1006),$AM$1006:$BM$1006,0)))),"Fix")))</f>
        <v xml:space="preserve"> </v>
      </c>
      <c r="Q525" s="4" t="str">
        <f ca="1">IF(OR(INDEX($AG$2:$AG$1001,MATCH(ROWS($AF$2:AF525),$AF$2:$AF$1001,0),1)&gt;=100000,INDEX($AM$1005:$BM$1005,1,MATCH(COLUMNS($AM$1006:BB1006),$AM$1006:$BM$1006,0))&gt;=100000), " ",IF(INDEX($AM$2:$BM$1001,MATCH(ROWS($AF$2:AF525),$AF$2:$AF$1001,0),MATCH(COLUMNS($AM$1006:BB1006),$AM$1006:$BM$1006,0)), HYPERLINK("#",""), HYPERLINK(CONCATENATE("#metadata!", ADDRESS(INDEX($AH$2:$AH$1001,MATCH(ROWS($AF$2:AF525),$AF$2:$AF$1001,0),0), INDEX($AM$1004:$BM$1004,1,MATCH(COLUMNS($AM$1006:BB1006),$AM$1006:$BM$1006,0)))),"Fix")))</f>
        <v xml:space="preserve"> </v>
      </c>
      <c r="R525" s="4" t="str">
        <f ca="1">IF(OR(INDEX($AG$2:$AG$1001,MATCH(ROWS($AF$2:AF525),$AF$2:$AF$1001,0),1)&gt;=100000,INDEX($AM$1005:$BM$1005,1,MATCH(COLUMNS($AM$1006:BC1006),$AM$1006:$BM$1006,0))&gt;=100000), " ",IF(INDEX($AM$2:$BM$1001,MATCH(ROWS($AF$2:AF525),$AF$2:$AF$1001,0),MATCH(COLUMNS($AM$1006:BC1006),$AM$1006:$BM$1006,0)), HYPERLINK("#",""), HYPERLINK(CONCATENATE("#metadata!", ADDRESS(INDEX($AH$2:$AH$1001,MATCH(ROWS($AF$2:AF525),$AF$2:$AF$1001,0),0), INDEX($AM$1004:$BM$1004,1,MATCH(COLUMNS($AM$1006:BC1006),$AM$1006:$BM$1006,0)))),"Fix")))</f>
        <v xml:space="preserve"> </v>
      </c>
      <c r="S525" s="4" t="str">
        <f ca="1">IF(OR(INDEX($AG$2:$AG$1001,MATCH(ROWS($AF$2:AF525),$AF$2:$AF$1001,0),1)&gt;=100000,INDEX($AM$1005:$BM$1005,1,MATCH(COLUMNS($AM$1006:BD1006),$AM$1006:$BM$1006,0))&gt;=100000), " ",IF(INDEX($AM$2:$BM$1001,MATCH(ROWS($AF$2:AF525),$AF$2:$AF$1001,0),MATCH(COLUMNS($AM$1006:BD1006),$AM$1006:$BM$1006,0)), HYPERLINK("#",""), HYPERLINK(CONCATENATE("#metadata!", ADDRESS(INDEX($AH$2:$AH$1001,MATCH(ROWS($AF$2:AF525),$AF$2:$AF$1001,0),0), INDEX($AM$1004:$BM$1004,1,MATCH(COLUMNS($AM$1006:BD1006),$AM$1006:$BM$1006,0)))),"Fix")))</f>
        <v xml:space="preserve"> </v>
      </c>
      <c r="T525" s="4" t="str">
        <f ca="1">IF(OR(INDEX($AG$2:$AG$1001,MATCH(ROWS($AF$2:AF525),$AF$2:$AF$1001,0),1)&gt;=100000,INDEX($AM$1005:$BM$1005,1,MATCH(COLUMNS($AM$1006:BE1006),$AM$1006:$BM$1006,0))&gt;=100000), " ",IF(INDEX($AM$2:$BM$1001,MATCH(ROWS($AF$2:AF525),$AF$2:$AF$1001,0),MATCH(COLUMNS($AM$1006:BE1006),$AM$1006:$BM$1006,0)), HYPERLINK("#",""), HYPERLINK(CONCATENATE("#metadata!", ADDRESS(INDEX($AH$2:$AH$1001,MATCH(ROWS($AF$2:AF525),$AF$2:$AF$1001,0),0), INDEX($AM$1004:$BM$1004,1,MATCH(COLUMNS($AM$1006:BE1006),$AM$1006:$BM$1006,0)))),"Fix")))</f>
        <v xml:space="preserve"> </v>
      </c>
      <c r="U525" s="4" t="str">
        <f ca="1">IF(OR(INDEX($AG$2:$AG$1001,MATCH(ROWS($AF$2:AF525),$AF$2:$AF$1001,0),1)&gt;=100000,INDEX($AM$1005:$BM$1005,1,MATCH(COLUMNS($AM$1006:BF1006),$AM$1006:$BM$1006,0))&gt;=100000), " ",IF(INDEX($AM$2:$BM$1001,MATCH(ROWS($AF$2:AF525),$AF$2:$AF$1001,0),MATCH(COLUMNS($AM$1006:BF1006),$AM$1006:$BM$1006,0)), HYPERLINK("#",""), HYPERLINK(CONCATENATE("#metadata!", ADDRESS(INDEX($AH$2:$AH$1001,MATCH(ROWS($AF$2:AF525),$AF$2:$AF$1001,0),0), INDEX($AM$1004:$BM$1004,1,MATCH(COLUMNS($AM$1006:BF1006),$AM$1006:$BM$1006,0)))),"Fix")))</f>
        <v xml:space="preserve"> </v>
      </c>
      <c r="V525" s="4" t="str">
        <f ca="1">IF(OR(INDEX($AG$2:$AG$1001,MATCH(ROWS($AF$2:AF525),$AF$2:$AF$1001,0),1)&gt;=100000,INDEX($AM$1005:$BM$1005,1,MATCH(COLUMNS($AM$1006:BG1006),$AM$1006:$BM$1006,0))&gt;=100000), " ",IF(INDEX($AM$2:$BM$1001,MATCH(ROWS($AF$2:AF525),$AF$2:$AF$1001,0),MATCH(COLUMNS($AM$1006:BG1006),$AM$1006:$BM$1006,0)), HYPERLINK("#",""), HYPERLINK(CONCATENATE("#metadata!", ADDRESS(INDEX($AH$2:$AH$1001,MATCH(ROWS($AF$2:AF525),$AF$2:$AF$1001,0),0), INDEX($AM$1004:$BM$1004,1,MATCH(COLUMNS($AM$1006:BG1006),$AM$1006:$BM$1006,0)))),"Fix")))</f>
        <v xml:space="preserve"> </v>
      </c>
      <c r="W525" s="4" t="str">
        <f ca="1">IF(OR(INDEX($AG$2:$AG$1001,MATCH(ROWS($AF$2:AF525),$AF$2:$AF$1001,0),1)&gt;=100000,INDEX($AM$1005:$BM$1005,1,MATCH(COLUMNS($AM$1006:BH1006),$AM$1006:$BM$1006,0))&gt;=100000), " ",IF(INDEX($AM$2:$BM$1001,MATCH(ROWS($AF$2:AF525),$AF$2:$AF$1001,0),MATCH(COLUMNS($AM$1006:BH1006),$AM$1006:$BM$1006,0)), HYPERLINK("#",""), HYPERLINK(CONCATENATE("#metadata!", ADDRESS(INDEX($AH$2:$AH$1001,MATCH(ROWS($AF$2:AF525),$AF$2:$AF$1001,0),0), INDEX($AM$1004:$BM$1004,1,MATCH(COLUMNS($AM$1006:BH1006),$AM$1006:$BM$1006,0)))),"Fix")))</f>
        <v xml:space="preserve"> </v>
      </c>
      <c r="X525" s="4" t="str">
        <f ca="1">IF(OR(INDEX($AG$2:$AG$1001,MATCH(ROWS($AF$2:AF525),$AF$2:$AF$1001,0),1)&gt;=100000,INDEX($AM$1005:$BM$1005,1,MATCH(COLUMNS($AM$1006:BI1006),$AM$1006:$BM$1006,0))&gt;=100000), " ",IF(INDEX($AM$2:$BM$1001,MATCH(ROWS($AF$2:AF525),$AF$2:$AF$1001,0),MATCH(COLUMNS($AM$1006:BI1006),$AM$1006:$BM$1006,0)), HYPERLINK("#",""), HYPERLINK(CONCATENATE("#metadata!", ADDRESS(INDEX($AH$2:$AH$1001,MATCH(ROWS($AF$2:AF525),$AF$2:$AF$1001,0),0), INDEX($AM$1004:$BM$1004,1,MATCH(COLUMNS($AM$1006:BI1006),$AM$1006:$BM$1006,0)))),"Fix")))</f>
        <v xml:space="preserve"> </v>
      </c>
      <c r="Y525" s="4" t="str">
        <f ca="1">IF(OR(INDEX($AG$2:$AG$1001,MATCH(ROWS($AF$2:AF525),$AF$2:$AF$1001,0),1)&gt;=100000,INDEX($AM$1005:$BM$1005,1,MATCH(COLUMNS($AM$1006:BJ1006),$AM$1006:$BM$1006,0))&gt;=100000), " ",IF(INDEX($AM$2:$BM$1001,MATCH(ROWS($AF$2:AF525),$AF$2:$AF$1001,0),MATCH(COLUMNS($AM$1006:BJ1006),$AM$1006:$BM$1006,0)), HYPERLINK("#",""), HYPERLINK(CONCATENATE("#metadata!", ADDRESS(INDEX($AH$2:$AH$1001,MATCH(ROWS($AF$2:AF525),$AF$2:$AF$1001,0),0), INDEX($AM$1004:$BM$1004,1,MATCH(COLUMNS($AM$1006:BJ1006),$AM$1006:$BM$1006,0)))),"Fix")))</f>
        <v xml:space="preserve"> </v>
      </c>
      <c r="Z525" s="4" t="str">
        <f ca="1">IF(OR(INDEX($AG$2:$AG$1001,MATCH(ROWS($AF$2:AF525),$AF$2:$AF$1001,0),1)&gt;=100000,INDEX($AM$1005:$BM$1005,1,MATCH(COLUMNS($AM$1006:BK1006),$AM$1006:$BM$1006,0))&gt;=100000), " ",IF(INDEX($AM$2:$BM$1001,MATCH(ROWS($AF$2:AF525),$AF$2:$AF$1001,0),MATCH(COLUMNS($AM$1006:BK1006),$AM$1006:$BM$1006,0)), HYPERLINK("#",""), HYPERLINK(CONCATENATE("#metadata!", ADDRESS(INDEX($AH$2:$AH$1001,MATCH(ROWS($AF$2:AF525),$AF$2:$AF$1001,0),0), INDEX($AM$1004:$BM$1004,1,MATCH(COLUMNS($AM$1006:BK1006),$AM$1006:$BM$1006,0)))),"Fix")))</f>
        <v xml:space="preserve"> </v>
      </c>
      <c r="AA525" s="4" t="str">
        <f ca="1">IF(OR(INDEX($AG$2:$AG$1001,MATCH(ROWS($AF$2:AF525),$AF$2:$AF$1001,0),1)&gt;=100000,INDEX($AM$1005:$BM$1005,1,MATCH(COLUMNS($AM$1006:BL1006),$AM$1006:$BM$1006,0))&gt;=100000), " ",IF(INDEX($AM$2:$BM$1001,MATCH(ROWS($AF$2:AF525),$AF$2:$AF$1001,0),MATCH(COLUMNS($AM$1006:BL1006),$AM$1006:$BM$1006,0)), HYPERLINK("#",""), HYPERLINK(CONCATENATE("#metadata!", ADDRESS(INDEX($AH$2:$AH$1001,MATCH(ROWS($AF$2:AF525),$AF$2:$AF$1001,0),0), INDEX($AM$1004:$BM$1004,1,MATCH(COLUMNS($AM$1006:BL1006),$AM$1006:$BM$1006,0)))),"Fix")))</f>
        <v xml:space="preserve"> </v>
      </c>
      <c r="AB525" s="4" t="str">
        <f ca="1">IF(OR(INDEX($AG$2:$AG$1001,MATCH(ROWS($AF$2:AF525),$AF$2:$AF$1001,0),1)&gt;=100000,INDEX($AM$1005:$BM$1005,1,MATCH(COLUMNS($AM$1006:BM1006),$AM$1006:$BM$1006,0))&gt;=100000), " ",IF(INDEX($AM$2:$BM$1001,MATCH(ROWS($AF$2:AF525),$AF$2:$AF$1001,0),MATCH(COLUMNS($AM$1006:BM1006),$AM$1006:$BM$1006,0)), HYPERLINK("#",""), HYPERLINK(CONCATENATE("#metadata!", ADDRESS(INDEX($AH$2:$AH$1001,MATCH(ROWS($AF$2:AF525),$AF$2:$AF$1001,0),0), INDEX($AM$1004:$BM$1004,1,MATCH(COLUMNS($AM$1006:BM1006),$AM$1006:$BM$1006,0)))),"Fix")))</f>
        <v xml:space="preserve"> </v>
      </c>
      <c r="AF525">
        <v>524</v>
      </c>
      <c r="AG525">
        <v>100525</v>
      </c>
      <c r="AH525">
        <v>525</v>
      </c>
      <c r="AI525" t="b">
        <f t="shared" si="8"/>
        <v>1</v>
      </c>
      <c r="AJ525" t="b">
        <f>COUNTBLANK(metadata!B525:AB525)=COLUMNS(metadata!B525:AB525)</f>
        <v>1</v>
      </c>
      <c r="AK525" t="str">
        <v/>
      </c>
      <c r="AM525" t="b">
        <f ca="1">AND(IF(metadata!B525="",FALSE,TRUE),COUNTIF(metadata!B:B, metadata!B525) = 1,NOT(ISERROR(SUMPRODUCT(SEARCH(MID(metadata!B525,ROW(INDIRECT("1:"&amp;LEN(metadata!B525))), 1),"0123456789abcdefghijklmnopqrstuvwxyzABCDEFGHIJKLMNOPQRSTUVWXYZ.")))))</f>
        <v>0</v>
      </c>
      <c r="AN525" t="b">
        <f ca="1">OR(AND(IF(metadata!C525="",FALSE,TRUE),OR(EXACT(metadata!C525,"missing: not collected"),EXACT(metadata!C525,"missing: not provided"),EXACT(metadata!C525,"missing: restricted access"))),AND(IF(metadata!C525="",FALSE,TRUE),AND(AND(IFERROR(INT(LEFT(metadata!C525,4))&gt;1900,FALSE),IFERROR(INT(LEFT(metadata!C525,4))&lt;=YEAR(NOW()),FALSE)), OR(MID(metadata!C525,5,1)="", AND(AND(MID(metadata!C525,5,1)="-",IFERROR(INT(MID(metadata!C525,6,1))&gt;=0,FALSE),IFERROR(INT(MID(metadata!C525,6,1))&lt;=1,FALSE),NOT(MID(metadata!C525,7,1)=""),IFERROR(INT(MID(metadata!C525,6,2))&gt;=1,FALSE),IFERROR(INT(MID(metadata!C525,6,2))&lt;=12,FALSE)), OR(MID(metadata!C525,8,1)="", AND(AND(MID(metadata!C525,8,1)="-",IFERROR(INT(MID(metadata!C525,9,1))&gt;=0,FALSE),IFERROR(INT(MID(metadata!C525,9,1))&lt;=3,FALSE),NOT(MID(metadata!C525,10,1)=""),IFERROR(INT(MID(metadata!C525,9,2))&gt;=1,FALSE),IFERROR(INT(MID(metadata!C525,9,2))&lt;=31,FALSE)), OR(MID(metadata!C525,11,1)="", AND(AND(MID(metadata!C525,11,1)=" ",IFERROR(INT(MID(metadata!C525,12,1))&gt;=0,FALSE),IFERROR(INT(MID(metadata!C525,12,1))&lt;=2,FALSE),NOT(MID(metadata!C525,13,1)=""),IFERROR(INT(MID(metadata!C525,12,2))&gt;=0,FALSE),IFERROR(INT(MID(metadata!C525,12,2))&lt;=23,FALSE)), OR(MID(metadata!C525,14,1)="", AND(AND(MID(metadata!C525,14,1)=":",IFERROR(INT(MID(metadata!C525,15,1))&gt;=0,FALSE),IFERROR(INT(MID(metadata!C525,15,1))&lt;=5,FALSE),NOT(MID(metadata!C525,16,1)=""),IFERROR(INT(MID(metadata!C525,15,2))&gt;=0,FALSE),IFERROR(INT(MID(metadata!C525,15,2))&lt;=59,FALSE)), OR(MID(metadata!C525,17,1)="", AND(AND(MID(metadata!C525,17,1)=":",IFERROR(INT(MID(metadata!C525,18,1))&gt;=0,FALSE),IFERROR(INT(MID(metadata!C525,18,1))&lt;=5,FALSE),NOT(MID(metadata!C525,19,1)=""),IFERROR(INT(MID(metadata!C525,18,2))&gt;=0,FALSE),IFERROR(INT(MID(metadata!C525,18,2))&lt;=59,FALSE)), LEN(metadata!C525)&lt;=19)))))))))))))</f>
        <v>0</v>
      </c>
      <c r="AO525" t="b">
        <f>AND(IF(metadata!D525="",FALSE,TRUE),EXACT(metadata!D525,"Not applicable"))</f>
        <v>0</v>
      </c>
      <c r="AP525" t="b">
        <f>IF(metadata!E525="",FALSE,TRUE)</f>
        <v>0</v>
      </c>
      <c r="AQ525" t="b">
        <f>OR(AND(IF(metadata!F525="",FALSE,TRUE),OR(EXACT(metadata!F525,"missing: not collected"),EXACT(metadata!F525,"missing: not provided"))),AND(IF(metadata!F525="",FALSE,TRUE),OR(EXACT(metadata!F525,"TRUE"),EXACT(metadata!F525,"FALSE"))))</f>
        <v>0</v>
      </c>
      <c r="AR525" t="b">
        <f>OR(AND(IF(metadata!G525="",FALSE,TRUE),OR(EXACT(metadata!G525,"missing: not collected"),EXACT(metadata!G525,"missing: not provided"),EXACT(metadata!G525,"missing: restricted access"))),AND(IF(metadata!G525="",FALSE,ISNUMBER(VALUE(metadata!G525))),metadata!G525&gt;=-413))</f>
        <v>0</v>
      </c>
      <c r="AS525" t="b">
        <f>AND(IF(metadata!H525="",FALSE,TRUE),EXACT(metadata!H525,"meters"))</f>
        <v>0</v>
      </c>
      <c r="AT525" t="b">
        <f>AND(IF(metadata!I525="",FALSE,TRUE),OR(EXACT(metadata!I525,"Host-associated"),EXACT(metadata!I525,"Free-living")))</f>
        <v>0</v>
      </c>
      <c r="AU525" t="b">
        <f>AND(IF(metadata!J525="",FALSE,TRUE),OR(EXACT(metadata!J525,"Animal"),EXACT(metadata!J525,"Fungus"),EXACT(metadata!J525,"Plant"),EXACT(metadata!J525,"Saline"),EXACT(metadata!J525,"Non-saline")))</f>
        <v>0</v>
      </c>
      <c r="AV525" t="b">
        <f>AND(IF(metadata!K525="",FALSE,TRUE),OR(EXACT(metadata!K525,"Plant secretion"),EXACT(metadata!K525,"Plant rhizosphere"),EXACT(metadata!K525,"Plant surface"),EXACT(metadata!K525,"Plant corpus"),EXACT(metadata!K525,"Fungus surface"),EXACT(metadata!K525,"Fungus corpus"),EXACT(metadata!K525,"Animal surface"),EXACT(metadata!K525,"Animal proximal gut"),EXACT(metadata!K525,"Animal corpus"),EXACT(metadata!K525,"Animal distal gut"),EXACT(metadata!K525,"Animal secretion"),EXACT(metadata!K525,"Sub-surface (non-saline)"),EXACT(metadata!K525,"Surface (non-saline)"),EXACT(metadata!K525,"Water (non-saline)"),EXACT(metadata!K525,"Soil (non-saline)"),EXACT(metadata!K525,"Aerosol (non-saline)"),EXACT(metadata!K525,"Sediment (non-saline)"),EXACT(metadata!K525,"Surface (saline)"),EXACT(metadata!K525,"Water (saline)"),EXACT(metadata!K525,"Hypersaline (saline)"),EXACT(metadata!K525,"Aerosol (saline)"),EXACT(metadata!K525,"Sediment (saline)")))</f>
        <v>0</v>
      </c>
      <c r="AW525" t="b">
        <f>IF(metadata!L525="",FALSE,TRUE)</f>
        <v>0</v>
      </c>
      <c r="AX525" t="b">
        <f>IF(metadata!M525="",FALSE,TRUE)</f>
        <v>0</v>
      </c>
      <c r="AY525" t="b">
        <f>IF(metadata!N525="",FALSE,TRUE)</f>
        <v>0</v>
      </c>
      <c r="AZ525" t="b">
        <f>OR(AND(IF(metadata!O525="",FALSE,TRUE),OR(EXACT(metadata!O525,"missing: not collected"),EXACT(metadata!O525,"missing: not provided"),EXACT(metadata!O525,"missing: restricted access"))),AND(IF(metadata!O525="",FALSE,TRUE),OR(EXACT(metadata!O525,"air"),EXACT(metadata!O525,"built environment"),EXACT(metadata!O525,"host-associated"),EXACT(metadata!O525,"human-associated"),EXACT(metadata!O525,"human-skin"),EXACT(metadata!O525,"human-oral"),EXACT(metadata!O525,"human-gut"),EXACT(metadata!O525,"human-vaginal"),EXACT(metadata!O525,"microbial mat/biofilm"),EXACT(metadata!O525,"misc environment"),EXACT(metadata!O525,"plant-associated"),EXACT(metadata!O525,"sediment"),EXACT(metadata!O525,"soil"),EXACT(metadata!O525,"wastewater/sludge"),EXACT(metadata!O525,"water"))))</f>
        <v>0</v>
      </c>
      <c r="BA525" t="b">
        <f>IF(metadata!P525="",FALSE,TRUE)</f>
        <v>0</v>
      </c>
      <c r="BB525" t="b">
        <f>IF(metadata!Q525="",FALSE,TRUE)</f>
        <v>0</v>
      </c>
      <c r="BC525" t="b">
        <f>OR(AND(IF(metadata!R525="",FALSE,TRUE),OR(EXACT(metadata!R525,"missing: not collected"),EXACT(metadata!R525,"missing: not provided"),EXACT(metadata!R525,"missing: restricted access"))),AND(IF(metadata!R525="",FALSE,ISNUMBER(VALUE(metadata!R525))),metadata!R525&gt;=-90,metadata!R525&lt;=90))</f>
        <v>0</v>
      </c>
      <c r="BD525" t="b">
        <f>AND(IF(metadata!S525="",FALSE,TRUE),EXACT(metadata!S525,"Decimal degrees"))</f>
        <v>0</v>
      </c>
      <c r="BE525" t="b">
        <f>OR(AND(IF(metadata!T525="",FALSE,TRUE),OR(EXACT(metadata!T525,"missing: not collected"),EXACT(metadata!T525,"missing: not provided"),EXACT(metadata!T525,"missing: restricted access"))),AND(IF(metadata!T525="",FALSE,ISNUMBER(VALUE(metadata!T525))),metadata!T525&gt;=-180,metadata!T525&lt;=180))</f>
        <v>0</v>
      </c>
      <c r="BF525" t="b">
        <f>AND(IF(metadata!U525="",FALSE,TRUE),EXACT(metadata!U525,"Decimal degrees"))</f>
        <v>0</v>
      </c>
      <c r="BG525" t="b">
        <f>IF(metadata!V525="",FALSE,TRUE)</f>
        <v>0</v>
      </c>
      <c r="BH525" t="b">
        <f>OR(AND(IF(metadata!W525="",FALSE,TRUE),OR(EXACT(metadata!W525,"missing: not collected"),EXACT(metadata!W525,"missing: not provided"),EXACT(metadata!W525,"missing: restricted access"))),AND(IF(metadata!W525="",FALSE,TRUE),OR(EXACT(metadata!W525,"TRUE"),EXACT(metadata!W525,"FALSE"))))</f>
        <v>0</v>
      </c>
      <c r="BI525" t="b">
        <f>AND(IF(metadata!X525="",FALSE,TRUE),EXACT(metadata!X525,"other"))</f>
        <v>0</v>
      </c>
      <c r="BJ525" t="b">
        <f>IF(metadata!Y525="",FALSE,TRUE)</f>
        <v>0</v>
      </c>
      <c r="BK525" t="b">
        <f>OR(AND(IF(metadata!Z525="",FALSE,TRUE),OR(EXACT(metadata!Z525,"missing: not collected"),EXACT(metadata!Z525,"missing: not provided"))),AND(IF(metadata!Z525="",FALSE,IF(ISERROR(INT(metadata!Z525)),FALSE,INT(metadata!Z525)=metadata!Z525)),metadata!Z525&gt;0))</f>
        <v>0</v>
      </c>
      <c r="BL525" t="b">
        <f>AND(IF(metadata!AA525="",FALSE,TRUE),EXACT(metadata!AA525,"Not applicable"))</f>
        <v>0</v>
      </c>
      <c r="BM525" t="b">
        <f>IF(metadata!AB525="",FALSE,TRUE)</f>
        <v>0</v>
      </c>
    </row>
    <row r="526" spans="1:65" x14ac:dyDescent="0.2">
      <c r="A526" s="5" t="str">
        <f ca="1">IF(B526=" "," ",HYPERLINK(CONCATENATE("#metadata!",ADDRESS(INDEX($AH$2:$AH$1001,MATCH(ROWS($AF$2:AF526),$AF$2:$AF$1001,0),0),1)),INDEX($AK$2:$AK$1001,MATCH(ROWS($AF$2:AF526),$AF$2:$AF$1001,0),0)))</f>
        <v xml:space="preserve"> </v>
      </c>
      <c r="B526" s="4" t="str">
        <f ca="1">IF(OR(INDEX($AG$2:$AG$1001,MATCH(ROWS($AF$2:AF526),$AF$2:$AF$1001,0),1)&gt;=100000,INDEX($AM$1005:$BM$1005,1,MATCH(COLUMNS($AM$1006:AM1006),$AM$1006:$BM$1006,0))&gt;=100000), " ",IF(INDEX($AM$2:$BM$1001,MATCH(ROWS($AF$2:AF526),$AF$2:$AF$1001,0),MATCH(COLUMNS($AM$1006:AM1006),$AM$1006:$BM$1006,0)), HYPERLINK("#",""), HYPERLINK(CONCATENATE("#metadata!", ADDRESS(INDEX($AH$2:$AH$1001,MATCH(ROWS($AF$2:AF526),$AF$2:$AF$1001,0),0), INDEX($AM$1004:$BM$1004,1,MATCH(COLUMNS($AM$1006:AM1006),$AM$1006:$BM$1006,0)))),"Fix")))</f>
        <v xml:space="preserve"> </v>
      </c>
      <c r="C526" s="4" t="str">
        <f ca="1">IF(OR(INDEX($AG$2:$AG$1001,MATCH(ROWS($AF$2:AF526),$AF$2:$AF$1001,0),1)&gt;=100000,INDEX($AM$1005:$BM$1005,1,MATCH(COLUMNS($AM$1006:AN1006),$AM$1006:$BM$1006,0))&gt;=100000), " ",IF(INDEX($AM$2:$BM$1001,MATCH(ROWS($AF$2:AF526),$AF$2:$AF$1001,0),MATCH(COLUMNS($AM$1006:AN1006),$AM$1006:$BM$1006,0)), HYPERLINK("#",""), HYPERLINK(CONCATENATE("#metadata!", ADDRESS(INDEX($AH$2:$AH$1001,MATCH(ROWS($AF$2:AF526),$AF$2:$AF$1001,0),0), INDEX($AM$1004:$BM$1004,1,MATCH(COLUMNS($AM$1006:AN1006),$AM$1006:$BM$1006,0)))),"Fix")))</f>
        <v xml:space="preserve"> </v>
      </c>
      <c r="D526" s="4" t="str">
        <f ca="1">IF(OR(INDEX($AG$2:$AG$1001,MATCH(ROWS($AF$2:AF526),$AF$2:$AF$1001,0),1)&gt;=100000,INDEX($AM$1005:$BM$1005,1,MATCH(COLUMNS($AM$1006:AO1006),$AM$1006:$BM$1006,0))&gt;=100000), " ",IF(INDEX($AM$2:$BM$1001,MATCH(ROWS($AF$2:AF526),$AF$2:$AF$1001,0),MATCH(COLUMNS($AM$1006:AO1006),$AM$1006:$BM$1006,0)), HYPERLINK("#",""), HYPERLINK(CONCATENATE("#metadata!", ADDRESS(INDEX($AH$2:$AH$1001,MATCH(ROWS($AF$2:AF526),$AF$2:$AF$1001,0),0), INDEX($AM$1004:$BM$1004,1,MATCH(COLUMNS($AM$1006:AO1006),$AM$1006:$BM$1006,0)))),"Fix")))</f>
        <v xml:space="preserve"> </v>
      </c>
      <c r="E526" s="4" t="str">
        <f ca="1">IF(OR(INDEX($AG$2:$AG$1001,MATCH(ROWS($AF$2:AF526),$AF$2:$AF$1001,0),1)&gt;=100000,INDEX($AM$1005:$BM$1005,1,MATCH(COLUMNS($AM$1006:AP1006),$AM$1006:$BM$1006,0))&gt;=100000), " ",IF(INDEX($AM$2:$BM$1001,MATCH(ROWS($AF$2:AF526),$AF$2:$AF$1001,0),MATCH(COLUMNS($AM$1006:AP1006),$AM$1006:$BM$1006,0)), HYPERLINK("#",""), HYPERLINK(CONCATENATE("#metadata!", ADDRESS(INDEX($AH$2:$AH$1001,MATCH(ROWS($AF$2:AF526),$AF$2:$AF$1001,0),0), INDEX($AM$1004:$BM$1004,1,MATCH(COLUMNS($AM$1006:AP1006),$AM$1006:$BM$1006,0)))),"Fix")))</f>
        <v xml:space="preserve"> </v>
      </c>
      <c r="F526" s="4" t="str">
        <f ca="1">IF(OR(INDEX($AG$2:$AG$1001,MATCH(ROWS($AF$2:AF526),$AF$2:$AF$1001,0),1)&gt;=100000,INDEX($AM$1005:$BM$1005,1,MATCH(COLUMNS($AM$1006:AQ1006),$AM$1006:$BM$1006,0))&gt;=100000), " ",IF(INDEX($AM$2:$BM$1001,MATCH(ROWS($AF$2:AF526),$AF$2:$AF$1001,0),MATCH(COLUMNS($AM$1006:AQ1006),$AM$1006:$BM$1006,0)), HYPERLINK("#",""), HYPERLINK(CONCATENATE("#metadata!", ADDRESS(INDEX($AH$2:$AH$1001,MATCH(ROWS($AF$2:AF526),$AF$2:$AF$1001,0),0), INDEX($AM$1004:$BM$1004,1,MATCH(COLUMNS($AM$1006:AQ1006),$AM$1006:$BM$1006,0)))),"Fix")))</f>
        <v xml:space="preserve"> </v>
      </c>
      <c r="G526" s="4" t="str">
        <f ca="1">IF(OR(INDEX($AG$2:$AG$1001,MATCH(ROWS($AF$2:AF526),$AF$2:$AF$1001,0),1)&gt;=100000,INDEX($AM$1005:$BM$1005,1,MATCH(COLUMNS($AM$1006:AR1006),$AM$1006:$BM$1006,0))&gt;=100000), " ",IF(INDEX($AM$2:$BM$1001,MATCH(ROWS($AF$2:AF526),$AF$2:$AF$1001,0),MATCH(COLUMNS($AM$1006:AR1006),$AM$1006:$BM$1006,0)), HYPERLINK("#",""), HYPERLINK(CONCATENATE("#metadata!", ADDRESS(INDEX($AH$2:$AH$1001,MATCH(ROWS($AF$2:AF526),$AF$2:$AF$1001,0),0), INDEX($AM$1004:$BM$1004,1,MATCH(COLUMNS($AM$1006:AR1006),$AM$1006:$BM$1006,0)))),"Fix")))</f>
        <v xml:space="preserve"> </v>
      </c>
      <c r="H526" s="4" t="str">
        <f ca="1">IF(OR(INDEX($AG$2:$AG$1001,MATCH(ROWS($AF$2:AF526),$AF$2:$AF$1001,0),1)&gt;=100000,INDEX($AM$1005:$BM$1005,1,MATCH(COLUMNS($AM$1006:AS1006),$AM$1006:$BM$1006,0))&gt;=100000), " ",IF(INDEX($AM$2:$BM$1001,MATCH(ROWS($AF$2:AF526),$AF$2:$AF$1001,0),MATCH(COLUMNS($AM$1006:AS1006),$AM$1006:$BM$1006,0)), HYPERLINK("#",""), HYPERLINK(CONCATENATE("#metadata!", ADDRESS(INDEX($AH$2:$AH$1001,MATCH(ROWS($AF$2:AF526),$AF$2:$AF$1001,0),0), INDEX($AM$1004:$BM$1004,1,MATCH(COLUMNS($AM$1006:AS1006),$AM$1006:$BM$1006,0)))),"Fix")))</f>
        <v xml:space="preserve"> </v>
      </c>
      <c r="I526" s="4" t="str">
        <f ca="1">IF(OR(INDEX($AG$2:$AG$1001,MATCH(ROWS($AF$2:AF526),$AF$2:$AF$1001,0),1)&gt;=100000,INDEX($AM$1005:$BM$1005,1,MATCH(COLUMNS($AM$1006:AT1006),$AM$1006:$BM$1006,0))&gt;=100000), " ",IF(INDEX($AM$2:$BM$1001,MATCH(ROWS($AF$2:AF526),$AF$2:$AF$1001,0),MATCH(COLUMNS($AM$1006:AT1006),$AM$1006:$BM$1006,0)), HYPERLINK("#",""), HYPERLINK(CONCATENATE("#metadata!", ADDRESS(INDEX($AH$2:$AH$1001,MATCH(ROWS($AF$2:AF526),$AF$2:$AF$1001,0),0), INDEX($AM$1004:$BM$1004,1,MATCH(COLUMNS($AM$1006:AT1006),$AM$1006:$BM$1006,0)))),"Fix")))</f>
        <v xml:space="preserve"> </v>
      </c>
      <c r="J526" s="4" t="str">
        <f ca="1">IF(OR(INDEX($AG$2:$AG$1001,MATCH(ROWS($AF$2:AF526),$AF$2:$AF$1001,0),1)&gt;=100000,INDEX($AM$1005:$BM$1005,1,MATCH(COLUMNS($AM$1006:AU1006),$AM$1006:$BM$1006,0))&gt;=100000), " ",IF(INDEX($AM$2:$BM$1001,MATCH(ROWS($AF$2:AF526),$AF$2:$AF$1001,0),MATCH(COLUMNS($AM$1006:AU1006),$AM$1006:$BM$1006,0)), HYPERLINK("#",""), HYPERLINK(CONCATENATE("#metadata!", ADDRESS(INDEX($AH$2:$AH$1001,MATCH(ROWS($AF$2:AF526),$AF$2:$AF$1001,0),0), INDEX($AM$1004:$BM$1004,1,MATCH(COLUMNS($AM$1006:AU1006),$AM$1006:$BM$1006,0)))),"Fix")))</f>
        <v xml:space="preserve"> </v>
      </c>
      <c r="K526" s="4" t="str">
        <f ca="1">IF(OR(INDEX($AG$2:$AG$1001,MATCH(ROWS($AF$2:AF526),$AF$2:$AF$1001,0),1)&gt;=100000,INDEX($AM$1005:$BM$1005,1,MATCH(COLUMNS($AM$1006:AV1006),$AM$1006:$BM$1006,0))&gt;=100000), " ",IF(INDEX($AM$2:$BM$1001,MATCH(ROWS($AF$2:AF526),$AF$2:$AF$1001,0),MATCH(COLUMNS($AM$1006:AV1006),$AM$1006:$BM$1006,0)), HYPERLINK("#",""), HYPERLINK(CONCATENATE("#metadata!", ADDRESS(INDEX($AH$2:$AH$1001,MATCH(ROWS($AF$2:AF526),$AF$2:$AF$1001,0),0), INDEX($AM$1004:$BM$1004,1,MATCH(COLUMNS($AM$1006:AV1006),$AM$1006:$BM$1006,0)))),"Fix")))</f>
        <v xml:space="preserve"> </v>
      </c>
      <c r="L526" s="4" t="str">
        <f ca="1">IF(OR(INDEX($AG$2:$AG$1001,MATCH(ROWS($AF$2:AF526),$AF$2:$AF$1001,0),1)&gt;=100000,INDEX($AM$1005:$BM$1005,1,MATCH(COLUMNS($AM$1006:AW1006),$AM$1006:$BM$1006,0))&gt;=100000), " ",IF(INDEX($AM$2:$BM$1001,MATCH(ROWS($AF$2:AF526),$AF$2:$AF$1001,0),MATCH(COLUMNS($AM$1006:AW1006),$AM$1006:$BM$1006,0)), HYPERLINK("#",""), HYPERLINK(CONCATENATE("#metadata!", ADDRESS(INDEX($AH$2:$AH$1001,MATCH(ROWS($AF$2:AF526),$AF$2:$AF$1001,0),0), INDEX($AM$1004:$BM$1004,1,MATCH(COLUMNS($AM$1006:AW1006),$AM$1006:$BM$1006,0)))),"Fix")))</f>
        <v xml:space="preserve"> </v>
      </c>
      <c r="M526" s="4" t="str">
        <f ca="1">IF(OR(INDEX($AG$2:$AG$1001,MATCH(ROWS($AF$2:AF526),$AF$2:$AF$1001,0),1)&gt;=100000,INDEX($AM$1005:$BM$1005,1,MATCH(COLUMNS($AM$1006:AX1006),$AM$1006:$BM$1006,0))&gt;=100000), " ",IF(INDEX($AM$2:$BM$1001,MATCH(ROWS($AF$2:AF526),$AF$2:$AF$1001,0),MATCH(COLUMNS($AM$1006:AX1006),$AM$1006:$BM$1006,0)), HYPERLINK("#",""), HYPERLINK(CONCATENATE("#metadata!", ADDRESS(INDEX($AH$2:$AH$1001,MATCH(ROWS($AF$2:AF526),$AF$2:$AF$1001,0),0), INDEX($AM$1004:$BM$1004,1,MATCH(COLUMNS($AM$1006:AX1006),$AM$1006:$BM$1006,0)))),"Fix")))</f>
        <v xml:space="preserve"> </v>
      </c>
      <c r="N526" s="4" t="str">
        <f ca="1">IF(OR(INDEX($AG$2:$AG$1001,MATCH(ROWS($AF$2:AF526),$AF$2:$AF$1001,0),1)&gt;=100000,INDEX($AM$1005:$BM$1005,1,MATCH(COLUMNS($AM$1006:AY1006),$AM$1006:$BM$1006,0))&gt;=100000), " ",IF(INDEX($AM$2:$BM$1001,MATCH(ROWS($AF$2:AF526),$AF$2:$AF$1001,0),MATCH(COLUMNS($AM$1006:AY1006),$AM$1006:$BM$1006,0)), HYPERLINK("#",""), HYPERLINK(CONCATENATE("#metadata!", ADDRESS(INDEX($AH$2:$AH$1001,MATCH(ROWS($AF$2:AF526),$AF$2:$AF$1001,0),0), INDEX($AM$1004:$BM$1004,1,MATCH(COLUMNS($AM$1006:AY1006),$AM$1006:$BM$1006,0)))),"Fix")))</f>
        <v xml:space="preserve"> </v>
      </c>
      <c r="O526" s="4" t="str">
        <f ca="1">IF(OR(INDEX($AG$2:$AG$1001,MATCH(ROWS($AF$2:AF526),$AF$2:$AF$1001,0),1)&gt;=100000,INDEX($AM$1005:$BM$1005,1,MATCH(COLUMNS($AM$1006:AZ1006),$AM$1006:$BM$1006,0))&gt;=100000), " ",IF(INDEX($AM$2:$BM$1001,MATCH(ROWS($AF$2:AF526),$AF$2:$AF$1001,0),MATCH(COLUMNS($AM$1006:AZ1006),$AM$1006:$BM$1006,0)), HYPERLINK("#",""), HYPERLINK(CONCATENATE("#metadata!", ADDRESS(INDEX($AH$2:$AH$1001,MATCH(ROWS($AF$2:AF526),$AF$2:$AF$1001,0),0), INDEX($AM$1004:$BM$1004,1,MATCH(COLUMNS($AM$1006:AZ1006),$AM$1006:$BM$1006,0)))),"Fix")))</f>
        <v xml:space="preserve"> </v>
      </c>
      <c r="P526" s="4" t="str">
        <f ca="1">IF(OR(INDEX($AG$2:$AG$1001,MATCH(ROWS($AF$2:AF526),$AF$2:$AF$1001,0),1)&gt;=100000,INDEX($AM$1005:$BM$1005,1,MATCH(COLUMNS($AM$1006:BA1006),$AM$1006:$BM$1006,0))&gt;=100000), " ",IF(INDEX($AM$2:$BM$1001,MATCH(ROWS($AF$2:AF526),$AF$2:$AF$1001,0),MATCH(COLUMNS($AM$1006:BA1006),$AM$1006:$BM$1006,0)), HYPERLINK("#",""), HYPERLINK(CONCATENATE("#metadata!", ADDRESS(INDEX($AH$2:$AH$1001,MATCH(ROWS($AF$2:AF526),$AF$2:$AF$1001,0),0), INDEX($AM$1004:$BM$1004,1,MATCH(COLUMNS($AM$1006:BA1006),$AM$1006:$BM$1006,0)))),"Fix")))</f>
        <v xml:space="preserve"> </v>
      </c>
      <c r="Q526" s="4" t="str">
        <f ca="1">IF(OR(INDEX($AG$2:$AG$1001,MATCH(ROWS($AF$2:AF526),$AF$2:$AF$1001,0),1)&gt;=100000,INDEX($AM$1005:$BM$1005,1,MATCH(COLUMNS($AM$1006:BB1006),$AM$1006:$BM$1006,0))&gt;=100000), " ",IF(INDEX($AM$2:$BM$1001,MATCH(ROWS($AF$2:AF526),$AF$2:$AF$1001,0),MATCH(COLUMNS($AM$1006:BB1006),$AM$1006:$BM$1006,0)), HYPERLINK("#",""), HYPERLINK(CONCATENATE("#metadata!", ADDRESS(INDEX($AH$2:$AH$1001,MATCH(ROWS($AF$2:AF526),$AF$2:$AF$1001,0),0), INDEX($AM$1004:$BM$1004,1,MATCH(COLUMNS($AM$1006:BB1006),$AM$1006:$BM$1006,0)))),"Fix")))</f>
        <v xml:space="preserve"> </v>
      </c>
      <c r="R526" s="4" t="str">
        <f ca="1">IF(OR(INDEX($AG$2:$AG$1001,MATCH(ROWS($AF$2:AF526),$AF$2:$AF$1001,0),1)&gt;=100000,INDEX($AM$1005:$BM$1005,1,MATCH(COLUMNS($AM$1006:BC1006),$AM$1006:$BM$1006,0))&gt;=100000), " ",IF(INDEX($AM$2:$BM$1001,MATCH(ROWS($AF$2:AF526),$AF$2:$AF$1001,0),MATCH(COLUMNS($AM$1006:BC1006),$AM$1006:$BM$1006,0)), HYPERLINK("#",""), HYPERLINK(CONCATENATE("#metadata!", ADDRESS(INDEX($AH$2:$AH$1001,MATCH(ROWS($AF$2:AF526),$AF$2:$AF$1001,0),0), INDEX($AM$1004:$BM$1004,1,MATCH(COLUMNS($AM$1006:BC1006),$AM$1006:$BM$1006,0)))),"Fix")))</f>
        <v xml:space="preserve"> </v>
      </c>
      <c r="S526" s="4" t="str">
        <f ca="1">IF(OR(INDEX($AG$2:$AG$1001,MATCH(ROWS($AF$2:AF526),$AF$2:$AF$1001,0),1)&gt;=100000,INDEX($AM$1005:$BM$1005,1,MATCH(COLUMNS($AM$1006:BD1006),$AM$1006:$BM$1006,0))&gt;=100000), " ",IF(INDEX($AM$2:$BM$1001,MATCH(ROWS($AF$2:AF526),$AF$2:$AF$1001,0),MATCH(COLUMNS($AM$1006:BD1006),$AM$1006:$BM$1006,0)), HYPERLINK("#",""), HYPERLINK(CONCATENATE("#metadata!", ADDRESS(INDEX($AH$2:$AH$1001,MATCH(ROWS($AF$2:AF526),$AF$2:$AF$1001,0),0), INDEX($AM$1004:$BM$1004,1,MATCH(COLUMNS($AM$1006:BD1006),$AM$1006:$BM$1006,0)))),"Fix")))</f>
        <v xml:space="preserve"> </v>
      </c>
      <c r="T526" s="4" t="str">
        <f ca="1">IF(OR(INDEX($AG$2:$AG$1001,MATCH(ROWS($AF$2:AF526),$AF$2:$AF$1001,0),1)&gt;=100000,INDEX($AM$1005:$BM$1005,1,MATCH(COLUMNS($AM$1006:BE1006),$AM$1006:$BM$1006,0))&gt;=100000), " ",IF(INDEX($AM$2:$BM$1001,MATCH(ROWS($AF$2:AF526),$AF$2:$AF$1001,0),MATCH(COLUMNS($AM$1006:BE1006),$AM$1006:$BM$1006,0)), HYPERLINK("#",""), HYPERLINK(CONCATENATE("#metadata!", ADDRESS(INDEX($AH$2:$AH$1001,MATCH(ROWS($AF$2:AF526),$AF$2:$AF$1001,0),0), INDEX($AM$1004:$BM$1004,1,MATCH(COLUMNS($AM$1006:BE1006),$AM$1006:$BM$1006,0)))),"Fix")))</f>
        <v xml:space="preserve"> </v>
      </c>
      <c r="U526" s="4" t="str">
        <f ca="1">IF(OR(INDEX($AG$2:$AG$1001,MATCH(ROWS($AF$2:AF526),$AF$2:$AF$1001,0),1)&gt;=100000,INDEX($AM$1005:$BM$1005,1,MATCH(COLUMNS($AM$1006:BF1006),$AM$1006:$BM$1006,0))&gt;=100000), " ",IF(INDEX($AM$2:$BM$1001,MATCH(ROWS($AF$2:AF526),$AF$2:$AF$1001,0),MATCH(COLUMNS($AM$1006:BF1006),$AM$1006:$BM$1006,0)), HYPERLINK("#",""), HYPERLINK(CONCATENATE("#metadata!", ADDRESS(INDEX($AH$2:$AH$1001,MATCH(ROWS($AF$2:AF526),$AF$2:$AF$1001,0),0), INDEX($AM$1004:$BM$1004,1,MATCH(COLUMNS($AM$1006:BF1006),$AM$1006:$BM$1006,0)))),"Fix")))</f>
        <v xml:space="preserve"> </v>
      </c>
      <c r="V526" s="4" t="str">
        <f ca="1">IF(OR(INDEX($AG$2:$AG$1001,MATCH(ROWS($AF$2:AF526),$AF$2:$AF$1001,0),1)&gt;=100000,INDEX($AM$1005:$BM$1005,1,MATCH(COLUMNS($AM$1006:BG1006),$AM$1006:$BM$1006,0))&gt;=100000), " ",IF(INDEX($AM$2:$BM$1001,MATCH(ROWS($AF$2:AF526),$AF$2:$AF$1001,0),MATCH(COLUMNS($AM$1006:BG1006),$AM$1006:$BM$1006,0)), HYPERLINK("#",""), HYPERLINK(CONCATENATE("#metadata!", ADDRESS(INDEX($AH$2:$AH$1001,MATCH(ROWS($AF$2:AF526),$AF$2:$AF$1001,0),0), INDEX($AM$1004:$BM$1004,1,MATCH(COLUMNS($AM$1006:BG1006),$AM$1006:$BM$1006,0)))),"Fix")))</f>
        <v xml:space="preserve"> </v>
      </c>
      <c r="W526" s="4" t="str">
        <f ca="1">IF(OR(INDEX($AG$2:$AG$1001,MATCH(ROWS($AF$2:AF526),$AF$2:$AF$1001,0),1)&gt;=100000,INDEX($AM$1005:$BM$1005,1,MATCH(COLUMNS($AM$1006:BH1006),$AM$1006:$BM$1006,0))&gt;=100000), " ",IF(INDEX($AM$2:$BM$1001,MATCH(ROWS($AF$2:AF526),$AF$2:$AF$1001,0),MATCH(COLUMNS($AM$1006:BH1006),$AM$1006:$BM$1006,0)), HYPERLINK("#",""), HYPERLINK(CONCATENATE("#metadata!", ADDRESS(INDEX($AH$2:$AH$1001,MATCH(ROWS($AF$2:AF526),$AF$2:$AF$1001,0),0), INDEX($AM$1004:$BM$1004,1,MATCH(COLUMNS($AM$1006:BH1006),$AM$1006:$BM$1006,0)))),"Fix")))</f>
        <v xml:space="preserve"> </v>
      </c>
      <c r="X526" s="4" t="str">
        <f ca="1">IF(OR(INDEX($AG$2:$AG$1001,MATCH(ROWS($AF$2:AF526),$AF$2:$AF$1001,0),1)&gt;=100000,INDEX($AM$1005:$BM$1005,1,MATCH(COLUMNS($AM$1006:BI1006),$AM$1006:$BM$1006,0))&gt;=100000), " ",IF(INDEX($AM$2:$BM$1001,MATCH(ROWS($AF$2:AF526),$AF$2:$AF$1001,0),MATCH(COLUMNS($AM$1006:BI1006),$AM$1006:$BM$1006,0)), HYPERLINK("#",""), HYPERLINK(CONCATENATE("#metadata!", ADDRESS(INDEX($AH$2:$AH$1001,MATCH(ROWS($AF$2:AF526),$AF$2:$AF$1001,0),0), INDEX($AM$1004:$BM$1004,1,MATCH(COLUMNS($AM$1006:BI1006),$AM$1006:$BM$1006,0)))),"Fix")))</f>
        <v xml:space="preserve"> </v>
      </c>
      <c r="Y526" s="4" t="str">
        <f ca="1">IF(OR(INDEX($AG$2:$AG$1001,MATCH(ROWS($AF$2:AF526),$AF$2:$AF$1001,0),1)&gt;=100000,INDEX($AM$1005:$BM$1005,1,MATCH(COLUMNS($AM$1006:BJ1006),$AM$1006:$BM$1006,0))&gt;=100000), " ",IF(INDEX($AM$2:$BM$1001,MATCH(ROWS($AF$2:AF526),$AF$2:$AF$1001,0),MATCH(COLUMNS($AM$1006:BJ1006),$AM$1006:$BM$1006,0)), HYPERLINK("#",""), HYPERLINK(CONCATENATE("#metadata!", ADDRESS(INDEX($AH$2:$AH$1001,MATCH(ROWS($AF$2:AF526),$AF$2:$AF$1001,0),0), INDEX($AM$1004:$BM$1004,1,MATCH(COLUMNS($AM$1006:BJ1006),$AM$1006:$BM$1006,0)))),"Fix")))</f>
        <v xml:space="preserve"> </v>
      </c>
      <c r="Z526" s="4" t="str">
        <f ca="1">IF(OR(INDEX($AG$2:$AG$1001,MATCH(ROWS($AF$2:AF526),$AF$2:$AF$1001,0),1)&gt;=100000,INDEX($AM$1005:$BM$1005,1,MATCH(COLUMNS($AM$1006:BK1006),$AM$1006:$BM$1006,0))&gt;=100000), " ",IF(INDEX($AM$2:$BM$1001,MATCH(ROWS($AF$2:AF526),$AF$2:$AF$1001,0),MATCH(COLUMNS($AM$1006:BK1006),$AM$1006:$BM$1006,0)), HYPERLINK("#",""), HYPERLINK(CONCATENATE("#metadata!", ADDRESS(INDEX($AH$2:$AH$1001,MATCH(ROWS($AF$2:AF526),$AF$2:$AF$1001,0),0), INDEX($AM$1004:$BM$1004,1,MATCH(COLUMNS($AM$1006:BK1006),$AM$1006:$BM$1006,0)))),"Fix")))</f>
        <v xml:space="preserve"> </v>
      </c>
      <c r="AA526" s="4" t="str">
        <f ca="1">IF(OR(INDEX($AG$2:$AG$1001,MATCH(ROWS($AF$2:AF526),$AF$2:$AF$1001,0),1)&gt;=100000,INDEX($AM$1005:$BM$1005,1,MATCH(COLUMNS($AM$1006:BL1006),$AM$1006:$BM$1006,0))&gt;=100000), " ",IF(INDEX($AM$2:$BM$1001,MATCH(ROWS($AF$2:AF526),$AF$2:$AF$1001,0),MATCH(COLUMNS($AM$1006:BL1006),$AM$1006:$BM$1006,0)), HYPERLINK("#",""), HYPERLINK(CONCATENATE("#metadata!", ADDRESS(INDEX($AH$2:$AH$1001,MATCH(ROWS($AF$2:AF526),$AF$2:$AF$1001,0),0), INDEX($AM$1004:$BM$1004,1,MATCH(COLUMNS($AM$1006:BL1006),$AM$1006:$BM$1006,0)))),"Fix")))</f>
        <v xml:space="preserve"> </v>
      </c>
      <c r="AB526" s="4" t="str">
        <f ca="1">IF(OR(INDEX($AG$2:$AG$1001,MATCH(ROWS($AF$2:AF526),$AF$2:$AF$1001,0),1)&gt;=100000,INDEX($AM$1005:$BM$1005,1,MATCH(COLUMNS($AM$1006:BM1006),$AM$1006:$BM$1006,0))&gt;=100000), " ",IF(INDEX($AM$2:$BM$1001,MATCH(ROWS($AF$2:AF526),$AF$2:$AF$1001,0),MATCH(COLUMNS($AM$1006:BM1006),$AM$1006:$BM$1006,0)), HYPERLINK("#",""), HYPERLINK(CONCATENATE("#metadata!", ADDRESS(INDEX($AH$2:$AH$1001,MATCH(ROWS($AF$2:AF526),$AF$2:$AF$1001,0),0), INDEX($AM$1004:$BM$1004,1,MATCH(COLUMNS($AM$1006:BM1006),$AM$1006:$BM$1006,0)))),"Fix")))</f>
        <v xml:space="preserve"> </v>
      </c>
      <c r="AF526">
        <v>525</v>
      </c>
      <c r="AG526">
        <v>100526</v>
      </c>
      <c r="AH526">
        <v>526</v>
      </c>
      <c r="AI526" t="b">
        <f t="shared" si="8"/>
        <v>1</v>
      </c>
      <c r="AJ526" t="b">
        <f>COUNTBLANK(metadata!B526:AB526)=COLUMNS(metadata!B526:AB526)</f>
        <v>1</v>
      </c>
      <c r="AK526" t="str">
        <v/>
      </c>
      <c r="AM526" t="b">
        <f ca="1">AND(IF(metadata!B526="",FALSE,TRUE),COUNTIF(metadata!B:B, metadata!B526) = 1,NOT(ISERROR(SUMPRODUCT(SEARCH(MID(metadata!B526,ROW(INDIRECT("1:"&amp;LEN(metadata!B526))), 1),"0123456789abcdefghijklmnopqrstuvwxyzABCDEFGHIJKLMNOPQRSTUVWXYZ.")))))</f>
        <v>0</v>
      </c>
      <c r="AN526" t="b">
        <f ca="1">OR(AND(IF(metadata!C526="",FALSE,TRUE),OR(EXACT(metadata!C526,"missing: not collected"),EXACT(metadata!C526,"missing: not provided"),EXACT(metadata!C526,"missing: restricted access"))),AND(IF(metadata!C526="",FALSE,TRUE),AND(AND(IFERROR(INT(LEFT(metadata!C526,4))&gt;1900,FALSE),IFERROR(INT(LEFT(metadata!C526,4))&lt;=YEAR(NOW()),FALSE)), OR(MID(metadata!C526,5,1)="", AND(AND(MID(metadata!C526,5,1)="-",IFERROR(INT(MID(metadata!C526,6,1))&gt;=0,FALSE),IFERROR(INT(MID(metadata!C526,6,1))&lt;=1,FALSE),NOT(MID(metadata!C526,7,1)=""),IFERROR(INT(MID(metadata!C526,6,2))&gt;=1,FALSE),IFERROR(INT(MID(metadata!C526,6,2))&lt;=12,FALSE)), OR(MID(metadata!C526,8,1)="", AND(AND(MID(metadata!C526,8,1)="-",IFERROR(INT(MID(metadata!C526,9,1))&gt;=0,FALSE),IFERROR(INT(MID(metadata!C526,9,1))&lt;=3,FALSE),NOT(MID(metadata!C526,10,1)=""),IFERROR(INT(MID(metadata!C526,9,2))&gt;=1,FALSE),IFERROR(INT(MID(metadata!C526,9,2))&lt;=31,FALSE)), OR(MID(metadata!C526,11,1)="", AND(AND(MID(metadata!C526,11,1)=" ",IFERROR(INT(MID(metadata!C526,12,1))&gt;=0,FALSE),IFERROR(INT(MID(metadata!C526,12,1))&lt;=2,FALSE),NOT(MID(metadata!C526,13,1)=""),IFERROR(INT(MID(metadata!C526,12,2))&gt;=0,FALSE),IFERROR(INT(MID(metadata!C526,12,2))&lt;=23,FALSE)), OR(MID(metadata!C526,14,1)="", AND(AND(MID(metadata!C526,14,1)=":",IFERROR(INT(MID(metadata!C526,15,1))&gt;=0,FALSE),IFERROR(INT(MID(metadata!C526,15,1))&lt;=5,FALSE),NOT(MID(metadata!C526,16,1)=""),IFERROR(INT(MID(metadata!C526,15,2))&gt;=0,FALSE),IFERROR(INT(MID(metadata!C526,15,2))&lt;=59,FALSE)), OR(MID(metadata!C526,17,1)="", AND(AND(MID(metadata!C526,17,1)=":",IFERROR(INT(MID(metadata!C526,18,1))&gt;=0,FALSE),IFERROR(INT(MID(metadata!C526,18,1))&lt;=5,FALSE),NOT(MID(metadata!C526,19,1)=""),IFERROR(INT(MID(metadata!C526,18,2))&gt;=0,FALSE),IFERROR(INT(MID(metadata!C526,18,2))&lt;=59,FALSE)), LEN(metadata!C526)&lt;=19)))))))))))))</f>
        <v>0</v>
      </c>
      <c r="AO526" t="b">
        <f>AND(IF(metadata!D526="",FALSE,TRUE),EXACT(metadata!D526,"Not applicable"))</f>
        <v>0</v>
      </c>
      <c r="AP526" t="b">
        <f>IF(metadata!E526="",FALSE,TRUE)</f>
        <v>0</v>
      </c>
      <c r="AQ526" t="b">
        <f>OR(AND(IF(metadata!F526="",FALSE,TRUE),OR(EXACT(metadata!F526,"missing: not collected"),EXACT(metadata!F526,"missing: not provided"))),AND(IF(metadata!F526="",FALSE,TRUE),OR(EXACT(metadata!F526,"TRUE"),EXACT(metadata!F526,"FALSE"))))</f>
        <v>0</v>
      </c>
      <c r="AR526" t="b">
        <f>OR(AND(IF(metadata!G526="",FALSE,TRUE),OR(EXACT(metadata!G526,"missing: not collected"),EXACT(metadata!G526,"missing: not provided"),EXACT(metadata!G526,"missing: restricted access"))),AND(IF(metadata!G526="",FALSE,ISNUMBER(VALUE(metadata!G526))),metadata!G526&gt;=-413))</f>
        <v>0</v>
      </c>
      <c r="AS526" t="b">
        <f>AND(IF(metadata!H526="",FALSE,TRUE),EXACT(metadata!H526,"meters"))</f>
        <v>0</v>
      </c>
      <c r="AT526" t="b">
        <f>AND(IF(metadata!I526="",FALSE,TRUE),OR(EXACT(metadata!I526,"Host-associated"),EXACT(metadata!I526,"Free-living")))</f>
        <v>0</v>
      </c>
      <c r="AU526" t="b">
        <f>AND(IF(metadata!J526="",FALSE,TRUE),OR(EXACT(metadata!J526,"Animal"),EXACT(metadata!J526,"Fungus"),EXACT(metadata!J526,"Plant"),EXACT(metadata!J526,"Saline"),EXACT(metadata!J526,"Non-saline")))</f>
        <v>0</v>
      </c>
      <c r="AV526" t="b">
        <f>AND(IF(metadata!K526="",FALSE,TRUE),OR(EXACT(metadata!K526,"Plant secretion"),EXACT(metadata!K526,"Plant rhizosphere"),EXACT(metadata!K526,"Plant surface"),EXACT(metadata!K526,"Plant corpus"),EXACT(metadata!K526,"Fungus surface"),EXACT(metadata!K526,"Fungus corpus"),EXACT(metadata!K526,"Animal surface"),EXACT(metadata!K526,"Animal proximal gut"),EXACT(metadata!K526,"Animal corpus"),EXACT(metadata!K526,"Animal distal gut"),EXACT(metadata!K526,"Animal secretion"),EXACT(metadata!K526,"Sub-surface (non-saline)"),EXACT(metadata!K526,"Surface (non-saline)"),EXACT(metadata!K526,"Water (non-saline)"),EXACT(metadata!K526,"Soil (non-saline)"),EXACT(metadata!K526,"Aerosol (non-saline)"),EXACT(metadata!K526,"Sediment (non-saline)"),EXACT(metadata!K526,"Surface (saline)"),EXACT(metadata!K526,"Water (saline)"),EXACT(metadata!K526,"Hypersaline (saline)"),EXACT(metadata!K526,"Aerosol (saline)"),EXACT(metadata!K526,"Sediment (saline)")))</f>
        <v>0</v>
      </c>
      <c r="AW526" t="b">
        <f>IF(metadata!L526="",FALSE,TRUE)</f>
        <v>0</v>
      </c>
      <c r="AX526" t="b">
        <f>IF(metadata!M526="",FALSE,TRUE)</f>
        <v>0</v>
      </c>
      <c r="AY526" t="b">
        <f>IF(metadata!N526="",FALSE,TRUE)</f>
        <v>0</v>
      </c>
      <c r="AZ526" t="b">
        <f>OR(AND(IF(metadata!O526="",FALSE,TRUE),OR(EXACT(metadata!O526,"missing: not collected"),EXACT(metadata!O526,"missing: not provided"),EXACT(metadata!O526,"missing: restricted access"))),AND(IF(metadata!O526="",FALSE,TRUE),OR(EXACT(metadata!O526,"air"),EXACT(metadata!O526,"built environment"),EXACT(metadata!O526,"host-associated"),EXACT(metadata!O526,"human-associated"),EXACT(metadata!O526,"human-skin"),EXACT(metadata!O526,"human-oral"),EXACT(metadata!O526,"human-gut"),EXACT(metadata!O526,"human-vaginal"),EXACT(metadata!O526,"microbial mat/biofilm"),EXACT(metadata!O526,"misc environment"),EXACT(metadata!O526,"plant-associated"),EXACT(metadata!O526,"sediment"),EXACT(metadata!O526,"soil"),EXACT(metadata!O526,"wastewater/sludge"),EXACT(metadata!O526,"water"))))</f>
        <v>0</v>
      </c>
      <c r="BA526" t="b">
        <f>IF(metadata!P526="",FALSE,TRUE)</f>
        <v>0</v>
      </c>
      <c r="BB526" t="b">
        <f>IF(metadata!Q526="",FALSE,TRUE)</f>
        <v>0</v>
      </c>
      <c r="BC526" t="b">
        <f>OR(AND(IF(metadata!R526="",FALSE,TRUE),OR(EXACT(metadata!R526,"missing: not collected"),EXACT(metadata!R526,"missing: not provided"),EXACT(metadata!R526,"missing: restricted access"))),AND(IF(metadata!R526="",FALSE,ISNUMBER(VALUE(metadata!R526))),metadata!R526&gt;=-90,metadata!R526&lt;=90))</f>
        <v>0</v>
      </c>
      <c r="BD526" t="b">
        <f>AND(IF(metadata!S526="",FALSE,TRUE),EXACT(metadata!S526,"Decimal degrees"))</f>
        <v>0</v>
      </c>
      <c r="BE526" t="b">
        <f>OR(AND(IF(metadata!T526="",FALSE,TRUE),OR(EXACT(metadata!T526,"missing: not collected"),EXACT(metadata!T526,"missing: not provided"),EXACT(metadata!T526,"missing: restricted access"))),AND(IF(metadata!T526="",FALSE,ISNUMBER(VALUE(metadata!T526))),metadata!T526&gt;=-180,metadata!T526&lt;=180))</f>
        <v>0</v>
      </c>
      <c r="BF526" t="b">
        <f>AND(IF(metadata!U526="",FALSE,TRUE),EXACT(metadata!U526,"Decimal degrees"))</f>
        <v>0</v>
      </c>
      <c r="BG526" t="b">
        <f>IF(metadata!V526="",FALSE,TRUE)</f>
        <v>0</v>
      </c>
      <c r="BH526" t="b">
        <f>OR(AND(IF(metadata!W526="",FALSE,TRUE),OR(EXACT(metadata!W526,"missing: not collected"),EXACT(metadata!W526,"missing: not provided"),EXACT(metadata!W526,"missing: restricted access"))),AND(IF(metadata!W526="",FALSE,TRUE),OR(EXACT(metadata!W526,"TRUE"),EXACT(metadata!W526,"FALSE"))))</f>
        <v>0</v>
      </c>
      <c r="BI526" t="b">
        <f>AND(IF(metadata!X526="",FALSE,TRUE),EXACT(metadata!X526,"other"))</f>
        <v>0</v>
      </c>
      <c r="BJ526" t="b">
        <f>IF(metadata!Y526="",FALSE,TRUE)</f>
        <v>0</v>
      </c>
      <c r="BK526" t="b">
        <f>OR(AND(IF(metadata!Z526="",FALSE,TRUE),OR(EXACT(metadata!Z526,"missing: not collected"),EXACT(metadata!Z526,"missing: not provided"))),AND(IF(metadata!Z526="",FALSE,IF(ISERROR(INT(metadata!Z526)),FALSE,INT(metadata!Z526)=metadata!Z526)),metadata!Z526&gt;0))</f>
        <v>0</v>
      </c>
      <c r="BL526" t="b">
        <f>AND(IF(metadata!AA526="",FALSE,TRUE),EXACT(metadata!AA526,"Not applicable"))</f>
        <v>0</v>
      </c>
      <c r="BM526" t="b">
        <f>IF(metadata!AB526="",FALSE,TRUE)</f>
        <v>0</v>
      </c>
    </row>
    <row r="527" spans="1:65" x14ac:dyDescent="0.2">
      <c r="A527" s="5" t="str">
        <f ca="1">IF(B527=" "," ",HYPERLINK(CONCATENATE("#metadata!",ADDRESS(INDEX($AH$2:$AH$1001,MATCH(ROWS($AF$2:AF527),$AF$2:$AF$1001,0),0),1)),INDEX($AK$2:$AK$1001,MATCH(ROWS($AF$2:AF527),$AF$2:$AF$1001,0),0)))</f>
        <v xml:space="preserve"> </v>
      </c>
      <c r="B527" s="4" t="str">
        <f ca="1">IF(OR(INDEX($AG$2:$AG$1001,MATCH(ROWS($AF$2:AF527),$AF$2:$AF$1001,0),1)&gt;=100000,INDEX($AM$1005:$BM$1005,1,MATCH(COLUMNS($AM$1006:AM1006),$AM$1006:$BM$1006,0))&gt;=100000), " ",IF(INDEX($AM$2:$BM$1001,MATCH(ROWS($AF$2:AF527),$AF$2:$AF$1001,0),MATCH(COLUMNS($AM$1006:AM1006),$AM$1006:$BM$1006,0)), HYPERLINK("#",""), HYPERLINK(CONCATENATE("#metadata!", ADDRESS(INDEX($AH$2:$AH$1001,MATCH(ROWS($AF$2:AF527),$AF$2:$AF$1001,0),0), INDEX($AM$1004:$BM$1004,1,MATCH(COLUMNS($AM$1006:AM1006),$AM$1006:$BM$1006,0)))),"Fix")))</f>
        <v xml:space="preserve"> </v>
      </c>
      <c r="C527" s="4" t="str">
        <f ca="1">IF(OR(INDEX($AG$2:$AG$1001,MATCH(ROWS($AF$2:AF527),$AF$2:$AF$1001,0),1)&gt;=100000,INDEX($AM$1005:$BM$1005,1,MATCH(COLUMNS($AM$1006:AN1006),$AM$1006:$BM$1006,0))&gt;=100000), " ",IF(INDEX($AM$2:$BM$1001,MATCH(ROWS($AF$2:AF527),$AF$2:$AF$1001,0),MATCH(COLUMNS($AM$1006:AN1006),$AM$1006:$BM$1006,0)), HYPERLINK("#",""), HYPERLINK(CONCATENATE("#metadata!", ADDRESS(INDEX($AH$2:$AH$1001,MATCH(ROWS($AF$2:AF527),$AF$2:$AF$1001,0),0), INDEX($AM$1004:$BM$1004,1,MATCH(COLUMNS($AM$1006:AN1006),$AM$1006:$BM$1006,0)))),"Fix")))</f>
        <v xml:space="preserve"> </v>
      </c>
      <c r="D527" s="4" t="str">
        <f ca="1">IF(OR(INDEX($AG$2:$AG$1001,MATCH(ROWS($AF$2:AF527),$AF$2:$AF$1001,0),1)&gt;=100000,INDEX($AM$1005:$BM$1005,1,MATCH(COLUMNS($AM$1006:AO1006),$AM$1006:$BM$1006,0))&gt;=100000), " ",IF(INDEX($AM$2:$BM$1001,MATCH(ROWS($AF$2:AF527),$AF$2:$AF$1001,0),MATCH(COLUMNS($AM$1006:AO1006),$AM$1006:$BM$1006,0)), HYPERLINK("#",""), HYPERLINK(CONCATENATE("#metadata!", ADDRESS(INDEX($AH$2:$AH$1001,MATCH(ROWS($AF$2:AF527),$AF$2:$AF$1001,0),0), INDEX($AM$1004:$BM$1004,1,MATCH(COLUMNS($AM$1006:AO1006),$AM$1006:$BM$1006,0)))),"Fix")))</f>
        <v xml:space="preserve"> </v>
      </c>
      <c r="E527" s="4" t="str">
        <f ca="1">IF(OR(INDEX($AG$2:$AG$1001,MATCH(ROWS($AF$2:AF527),$AF$2:$AF$1001,0),1)&gt;=100000,INDEX($AM$1005:$BM$1005,1,MATCH(COLUMNS($AM$1006:AP1006),$AM$1006:$BM$1006,0))&gt;=100000), " ",IF(INDEX($AM$2:$BM$1001,MATCH(ROWS($AF$2:AF527),$AF$2:$AF$1001,0),MATCH(COLUMNS($AM$1006:AP1006),$AM$1006:$BM$1006,0)), HYPERLINK("#",""), HYPERLINK(CONCATENATE("#metadata!", ADDRESS(INDEX($AH$2:$AH$1001,MATCH(ROWS($AF$2:AF527),$AF$2:$AF$1001,0),0), INDEX($AM$1004:$BM$1004,1,MATCH(COLUMNS($AM$1006:AP1006),$AM$1006:$BM$1006,0)))),"Fix")))</f>
        <v xml:space="preserve"> </v>
      </c>
      <c r="F527" s="4" t="str">
        <f ca="1">IF(OR(INDEX($AG$2:$AG$1001,MATCH(ROWS($AF$2:AF527),$AF$2:$AF$1001,0),1)&gt;=100000,INDEX($AM$1005:$BM$1005,1,MATCH(COLUMNS($AM$1006:AQ1006),$AM$1006:$BM$1006,0))&gt;=100000), " ",IF(INDEX($AM$2:$BM$1001,MATCH(ROWS($AF$2:AF527),$AF$2:$AF$1001,0),MATCH(COLUMNS($AM$1006:AQ1006),$AM$1006:$BM$1006,0)), HYPERLINK("#",""), HYPERLINK(CONCATENATE("#metadata!", ADDRESS(INDEX($AH$2:$AH$1001,MATCH(ROWS($AF$2:AF527),$AF$2:$AF$1001,0),0), INDEX($AM$1004:$BM$1004,1,MATCH(COLUMNS($AM$1006:AQ1006),$AM$1006:$BM$1006,0)))),"Fix")))</f>
        <v xml:space="preserve"> </v>
      </c>
      <c r="G527" s="4" t="str">
        <f ca="1">IF(OR(INDEX($AG$2:$AG$1001,MATCH(ROWS($AF$2:AF527),$AF$2:$AF$1001,0),1)&gt;=100000,INDEX($AM$1005:$BM$1005,1,MATCH(COLUMNS($AM$1006:AR1006),$AM$1006:$BM$1006,0))&gt;=100000), " ",IF(INDEX($AM$2:$BM$1001,MATCH(ROWS($AF$2:AF527),$AF$2:$AF$1001,0),MATCH(COLUMNS($AM$1006:AR1006),$AM$1006:$BM$1006,0)), HYPERLINK("#",""), HYPERLINK(CONCATENATE("#metadata!", ADDRESS(INDEX($AH$2:$AH$1001,MATCH(ROWS($AF$2:AF527),$AF$2:$AF$1001,0),0), INDEX($AM$1004:$BM$1004,1,MATCH(COLUMNS($AM$1006:AR1006),$AM$1006:$BM$1006,0)))),"Fix")))</f>
        <v xml:space="preserve"> </v>
      </c>
      <c r="H527" s="4" t="str">
        <f ca="1">IF(OR(INDEX($AG$2:$AG$1001,MATCH(ROWS($AF$2:AF527),$AF$2:$AF$1001,0),1)&gt;=100000,INDEX($AM$1005:$BM$1005,1,MATCH(COLUMNS($AM$1006:AS1006),$AM$1006:$BM$1006,0))&gt;=100000), " ",IF(INDEX($AM$2:$BM$1001,MATCH(ROWS($AF$2:AF527),$AF$2:$AF$1001,0),MATCH(COLUMNS($AM$1006:AS1006),$AM$1006:$BM$1006,0)), HYPERLINK("#",""), HYPERLINK(CONCATENATE("#metadata!", ADDRESS(INDEX($AH$2:$AH$1001,MATCH(ROWS($AF$2:AF527),$AF$2:$AF$1001,0),0), INDEX($AM$1004:$BM$1004,1,MATCH(COLUMNS($AM$1006:AS1006),$AM$1006:$BM$1006,0)))),"Fix")))</f>
        <v xml:space="preserve"> </v>
      </c>
      <c r="I527" s="4" t="str">
        <f ca="1">IF(OR(INDEX($AG$2:$AG$1001,MATCH(ROWS($AF$2:AF527),$AF$2:$AF$1001,0),1)&gt;=100000,INDEX($AM$1005:$BM$1005,1,MATCH(COLUMNS($AM$1006:AT1006),$AM$1006:$BM$1006,0))&gt;=100000), " ",IF(INDEX($AM$2:$BM$1001,MATCH(ROWS($AF$2:AF527),$AF$2:$AF$1001,0),MATCH(COLUMNS($AM$1006:AT1006),$AM$1006:$BM$1006,0)), HYPERLINK("#",""), HYPERLINK(CONCATENATE("#metadata!", ADDRESS(INDEX($AH$2:$AH$1001,MATCH(ROWS($AF$2:AF527),$AF$2:$AF$1001,0),0), INDEX($AM$1004:$BM$1004,1,MATCH(COLUMNS($AM$1006:AT1006),$AM$1006:$BM$1006,0)))),"Fix")))</f>
        <v xml:space="preserve"> </v>
      </c>
      <c r="J527" s="4" t="str">
        <f ca="1">IF(OR(INDEX($AG$2:$AG$1001,MATCH(ROWS($AF$2:AF527),$AF$2:$AF$1001,0),1)&gt;=100000,INDEX($AM$1005:$BM$1005,1,MATCH(COLUMNS($AM$1006:AU1006),$AM$1006:$BM$1006,0))&gt;=100000), " ",IF(INDEX($AM$2:$BM$1001,MATCH(ROWS($AF$2:AF527),$AF$2:$AF$1001,0),MATCH(COLUMNS($AM$1006:AU1006),$AM$1006:$BM$1006,0)), HYPERLINK("#",""), HYPERLINK(CONCATENATE("#metadata!", ADDRESS(INDEX($AH$2:$AH$1001,MATCH(ROWS($AF$2:AF527),$AF$2:$AF$1001,0),0), INDEX($AM$1004:$BM$1004,1,MATCH(COLUMNS($AM$1006:AU1006),$AM$1006:$BM$1006,0)))),"Fix")))</f>
        <v xml:space="preserve"> </v>
      </c>
      <c r="K527" s="4" t="str">
        <f ca="1">IF(OR(INDEX($AG$2:$AG$1001,MATCH(ROWS($AF$2:AF527),$AF$2:$AF$1001,0),1)&gt;=100000,INDEX($AM$1005:$BM$1005,1,MATCH(COLUMNS($AM$1006:AV1006),$AM$1006:$BM$1006,0))&gt;=100000), " ",IF(INDEX($AM$2:$BM$1001,MATCH(ROWS($AF$2:AF527),$AF$2:$AF$1001,0),MATCH(COLUMNS($AM$1006:AV1006),$AM$1006:$BM$1006,0)), HYPERLINK("#",""), HYPERLINK(CONCATENATE("#metadata!", ADDRESS(INDEX($AH$2:$AH$1001,MATCH(ROWS($AF$2:AF527),$AF$2:$AF$1001,0),0), INDEX($AM$1004:$BM$1004,1,MATCH(COLUMNS($AM$1006:AV1006),$AM$1006:$BM$1006,0)))),"Fix")))</f>
        <v xml:space="preserve"> </v>
      </c>
      <c r="L527" s="4" t="str">
        <f ca="1">IF(OR(INDEX($AG$2:$AG$1001,MATCH(ROWS($AF$2:AF527),$AF$2:$AF$1001,0),1)&gt;=100000,INDEX($AM$1005:$BM$1005,1,MATCH(COLUMNS($AM$1006:AW1006),$AM$1006:$BM$1006,0))&gt;=100000), " ",IF(INDEX($AM$2:$BM$1001,MATCH(ROWS($AF$2:AF527),$AF$2:$AF$1001,0),MATCH(COLUMNS($AM$1006:AW1006),$AM$1006:$BM$1006,0)), HYPERLINK("#",""), HYPERLINK(CONCATENATE("#metadata!", ADDRESS(INDEX($AH$2:$AH$1001,MATCH(ROWS($AF$2:AF527),$AF$2:$AF$1001,0),0), INDEX($AM$1004:$BM$1004,1,MATCH(COLUMNS($AM$1006:AW1006),$AM$1006:$BM$1006,0)))),"Fix")))</f>
        <v xml:space="preserve"> </v>
      </c>
      <c r="M527" s="4" t="str">
        <f ca="1">IF(OR(INDEX($AG$2:$AG$1001,MATCH(ROWS($AF$2:AF527),$AF$2:$AF$1001,0),1)&gt;=100000,INDEX($AM$1005:$BM$1005,1,MATCH(COLUMNS($AM$1006:AX1006),$AM$1006:$BM$1006,0))&gt;=100000), " ",IF(INDEX($AM$2:$BM$1001,MATCH(ROWS($AF$2:AF527),$AF$2:$AF$1001,0),MATCH(COLUMNS($AM$1006:AX1006),$AM$1006:$BM$1006,0)), HYPERLINK("#",""), HYPERLINK(CONCATENATE("#metadata!", ADDRESS(INDEX($AH$2:$AH$1001,MATCH(ROWS($AF$2:AF527),$AF$2:$AF$1001,0),0), INDEX($AM$1004:$BM$1004,1,MATCH(COLUMNS($AM$1006:AX1006),$AM$1006:$BM$1006,0)))),"Fix")))</f>
        <v xml:space="preserve"> </v>
      </c>
      <c r="N527" s="4" t="str">
        <f ca="1">IF(OR(INDEX($AG$2:$AG$1001,MATCH(ROWS($AF$2:AF527),$AF$2:$AF$1001,0),1)&gt;=100000,INDEX($AM$1005:$BM$1005,1,MATCH(COLUMNS($AM$1006:AY1006),$AM$1006:$BM$1006,0))&gt;=100000), " ",IF(INDEX($AM$2:$BM$1001,MATCH(ROWS($AF$2:AF527),$AF$2:$AF$1001,0),MATCH(COLUMNS($AM$1006:AY1006),$AM$1006:$BM$1006,0)), HYPERLINK("#",""), HYPERLINK(CONCATENATE("#metadata!", ADDRESS(INDEX($AH$2:$AH$1001,MATCH(ROWS($AF$2:AF527),$AF$2:$AF$1001,0),0), INDEX($AM$1004:$BM$1004,1,MATCH(COLUMNS($AM$1006:AY1006),$AM$1006:$BM$1006,0)))),"Fix")))</f>
        <v xml:space="preserve"> </v>
      </c>
      <c r="O527" s="4" t="str">
        <f ca="1">IF(OR(INDEX($AG$2:$AG$1001,MATCH(ROWS($AF$2:AF527),$AF$2:$AF$1001,0),1)&gt;=100000,INDEX($AM$1005:$BM$1005,1,MATCH(COLUMNS($AM$1006:AZ1006),$AM$1006:$BM$1006,0))&gt;=100000), " ",IF(INDEX($AM$2:$BM$1001,MATCH(ROWS($AF$2:AF527),$AF$2:$AF$1001,0),MATCH(COLUMNS($AM$1006:AZ1006),$AM$1006:$BM$1006,0)), HYPERLINK("#",""), HYPERLINK(CONCATENATE("#metadata!", ADDRESS(INDEX($AH$2:$AH$1001,MATCH(ROWS($AF$2:AF527),$AF$2:$AF$1001,0),0), INDEX($AM$1004:$BM$1004,1,MATCH(COLUMNS($AM$1006:AZ1006),$AM$1006:$BM$1006,0)))),"Fix")))</f>
        <v xml:space="preserve"> </v>
      </c>
      <c r="P527" s="4" t="str">
        <f ca="1">IF(OR(INDEX($AG$2:$AG$1001,MATCH(ROWS($AF$2:AF527),$AF$2:$AF$1001,0),1)&gt;=100000,INDEX($AM$1005:$BM$1005,1,MATCH(COLUMNS($AM$1006:BA1006),$AM$1006:$BM$1006,0))&gt;=100000), " ",IF(INDEX($AM$2:$BM$1001,MATCH(ROWS($AF$2:AF527),$AF$2:$AF$1001,0),MATCH(COLUMNS($AM$1006:BA1006),$AM$1006:$BM$1006,0)), HYPERLINK("#",""), HYPERLINK(CONCATENATE("#metadata!", ADDRESS(INDEX($AH$2:$AH$1001,MATCH(ROWS($AF$2:AF527),$AF$2:$AF$1001,0),0), INDEX($AM$1004:$BM$1004,1,MATCH(COLUMNS($AM$1006:BA1006),$AM$1006:$BM$1006,0)))),"Fix")))</f>
        <v xml:space="preserve"> </v>
      </c>
      <c r="Q527" s="4" t="str">
        <f ca="1">IF(OR(INDEX($AG$2:$AG$1001,MATCH(ROWS($AF$2:AF527),$AF$2:$AF$1001,0),1)&gt;=100000,INDEX($AM$1005:$BM$1005,1,MATCH(COLUMNS($AM$1006:BB1006),$AM$1006:$BM$1006,0))&gt;=100000), " ",IF(INDEX($AM$2:$BM$1001,MATCH(ROWS($AF$2:AF527),$AF$2:$AF$1001,0),MATCH(COLUMNS($AM$1006:BB1006),$AM$1006:$BM$1006,0)), HYPERLINK("#",""), HYPERLINK(CONCATENATE("#metadata!", ADDRESS(INDEX($AH$2:$AH$1001,MATCH(ROWS($AF$2:AF527),$AF$2:$AF$1001,0),0), INDEX($AM$1004:$BM$1004,1,MATCH(COLUMNS($AM$1006:BB1006),$AM$1006:$BM$1006,0)))),"Fix")))</f>
        <v xml:space="preserve"> </v>
      </c>
      <c r="R527" s="4" t="str">
        <f ca="1">IF(OR(INDEX($AG$2:$AG$1001,MATCH(ROWS($AF$2:AF527),$AF$2:$AF$1001,0),1)&gt;=100000,INDEX($AM$1005:$BM$1005,1,MATCH(COLUMNS($AM$1006:BC1006),$AM$1006:$BM$1006,0))&gt;=100000), " ",IF(INDEX($AM$2:$BM$1001,MATCH(ROWS($AF$2:AF527),$AF$2:$AF$1001,0),MATCH(COLUMNS($AM$1006:BC1006),$AM$1006:$BM$1006,0)), HYPERLINK("#",""), HYPERLINK(CONCATENATE("#metadata!", ADDRESS(INDEX($AH$2:$AH$1001,MATCH(ROWS($AF$2:AF527),$AF$2:$AF$1001,0),0), INDEX($AM$1004:$BM$1004,1,MATCH(COLUMNS($AM$1006:BC1006),$AM$1006:$BM$1006,0)))),"Fix")))</f>
        <v xml:space="preserve"> </v>
      </c>
      <c r="S527" s="4" t="str">
        <f ca="1">IF(OR(INDEX($AG$2:$AG$1001,MATCH(ROWS($AF$2:AF527),$AF$2:$AF$1001,0),1)&gt;=100000,INDEX($AM$1005:$BM$1005,1,MATCH(COLUMNS($AM$1006:BD1006),$AM$1006:$BM$1006,0))&gt;=100000), " ",IF(INDEX($AM$2:$BM$1001,MATCH(ROWS($AF$2:AF527),$AF$2:$AF$1001,0),MATCH(COLUMNS($AM$1006:BD1006),$AM$1006:$BM$1006,0)), HYPERLINK("#",""), HYPERLINK(CONCATENATE("#metadata!", ADDRESS(INDEX($AH$2:$AH$1001,MATCH(ROWS($AF$2:AF527),$AF$2:$AF$1001,0),0), INDEX($AM$1004:$BM$1004,1,MATCH(COLUMNS($AM$1006:BD1006),$AM$1006:$BM$1006,0)))),"Fix")))</f>
        <v xml:space="preserve"> </v>
      </c>
      <c r="T527" s="4" t="str">
        <f ca="1">IF(OR(INDEX($AG$2:$AG$1001,MATCH(ROWS($AF$2:AF527),$AF$2:$AF$1001,0),1)&gt;=100000,INDEX($AM$1005:$BM$1005,1,MATCH(COLUMNS($AM$1006:BE1006),$AM$1006:$BM$1006,0))&gt;=100000), " ",IF(INDEX($AM$2:$BM$1001,MATCH(ROWS($AF$2:AF527),$AF$2:$AF$1001,0),MATCH(COLUMNS($AM$1006:BE1006),$AM$1006:$BM$1006,0)), HYPERLINK("#",""), HYPERLINK(CONCATENATE("#metadata!", ADDRESS(INDEX($AH$2:$AH$1001,MATCH(ROWS($AF$2:AF527),$AF$2:$AF$1001,0),0), INDEX($AM$1004:$BM$1004,1,MATCH(COLUMNS($AM$1006:BE1006),$AM$1006:$BM$1006,0)))),"Fix")))</f>
        <v xml:space="preserve"> </v>
      </c>
      <c r="U527" s="4" t="str">
        <f ca="1">IF(OR(INDEX($AG$2:$AG$1001,MATCH(ROWS($AF$2:AF527),$AF$2:$AF$1001,0),1)&gt;=100000,INDEX($AM$1005:$BM$1005,1,MATCH(COLUMNS($AM$1006:BF1006),$AM$1006:$BM$1006,0))&gt;=100000), " ",IF(INDEX($AM$2:$BM$1001,MATCH(ROWS($AF$2:AF527),$AF$2:$AF$1001,0),MATCH(COLUMNS($AM$1006:BF1006),$AM$1006:$BM$1006,0)), HYPERLINK("#",""), HYPERLINK(CONCATENATE("#metadata!", ADDRESS(INDEX($AH$2:$AH$1001,MATCH(ROWS($AF$2:AF527),$AF$2:$AF$1001,0),0), INDEX($AM$1004:$BM$1004,1,MATCH(COLUMNS($AM$1006:BF1006),$AM$1006:$BM$1006,0)))),"Fix")))</f>
        <v xml:space="preserve"> </v>
      </c>
      <c r="V527" s="4" t="str">
        <f ca="1">IF(OR(INDEX($AG$2:$AG$1001,MATCH(ROWS($AF$2:AF527),$AF$2:$AF$1001,0),1)&gt;=100000,INDEX($AM$1005:$BM$1005,1,MATCH(COLUMNS($AM$1006:BG1006),$AM$1006:$BM$1006,0))&gt;=100000), " ",IF(INDEX($AM$2:$BM$1001,MATCH(ROWS($AF$2:AF527),$AF$2:$AF$1001,0),MATCH(COLUMNS($AM$1006:BG1006),$AM$1006:$BM$1006,0)), HYPERLINK("#",""), HYPERLINK(CONCATENATE("#metadata!", ADDRESS(INDEX($AH$2:$AH$1001,MATCH(ROWS($AF$2:AF527),$AF$2:$AF$1001,0),0), INDEX($AM$1004:$BM$1004,1,MATCH(COLUMNS($AM$1006:BG1006),$AM$1006:$BM$1006,0)))),"Fix")))</f>
        <v xml:space="preserve"> </v>
      </c>
      <c r="W527" s="4" t="str">
        <f ca="1">IF(OR(INDEX($AG$2:$AG$1001,MATCH(ROWS($AF$2:AF527),$AF$2:$AF$1001,0),1)&gt;=100000,INDEX($AM$1005:$BM$1005,1,MATCH(COLUMNS($AM$1006:BH1006),$AM$1006:$BM$1006,0))&gt;=100000), " ",IF(INDEX($AM$2:$BM$1001,MATCH(ROWS($AF$2:AF527),$AF$2:$AF$1001,0),MATCH(COLUMNS($AM$1006:BH1006),$AM$1006:$BM$1006,0)), HYPERLINK("#",""), HYPERLINK(CONCATENATE("#metadata!", ADDRESS(INDEX($AH$2:$AH$1001,MATCH(ROWS($AF$2:AF527),$AF$2:$AF$1001,0),0), INDEX($AM$1004:$BM$1004,1,MATCH(COLUMNS($AM$1006:BH1006),$AM$1006:$BM$1006,0)))),"Fix")))</f>
        <v xml:space="preserve"> </v>
      </c>
      <c r="X527" s="4" t="str">
        <f ca="1">IF(OR(INDEX($AG$2:$AG$1001,MATCH(ROWS($AF$2:AF527),$AF$2:$AF$1001,0),1)&gt;=100000,INDEX($AM$1005:$BM$1005,1,MATCH(COLUMNS($AM$1006:BI1006),$AM$1006:$BM$1006,0))&gt;=100000), " ",IF(INDEX($AM$2:$BM$1001,MATCH(ROWS($AF$2:AF527),$AF$2:$AF$1001,0),MATCH(COLUMNS($AM$1006:BI1006),$AM$1006:$BM$1006,0)), HYPERLINK("#",""), HYPERLINK(CONCATENATE("#metadata!", ADDRESS(INDEX($AH$2:$AH$1001,MATCH(ROWS($AF$2:AF527),$AF$2:$AF$1001,0),0), INDEX($AM$1004:$BM$1004,1,MATCH(COLUMNS($AM$1006:BI1006),$AM$1006:$BM$1006,0)))),"Fix")))</f>
        <v xml:space="preserve"> </v>
      </c>
      <c r="Y527" s="4" t="str">
        <f ca="1">IF(OR(INDEX($AG$2:$AG$1001,MATCH(ROWS($AF$2:AF527),$AF$2:$AF$1001,0),1)&gt;=100000,INDEX($AM$1005:$BM$1005,1,MATCH(COLUMNS($AM$1006:BJ1006),$AM$1006:$BM$1006,0))&gt;=100000), " ",IF(INDEX($AM$2:$BM$1001,MATCH(ROWS($AF$2:AF527),$AF$2:$AF$1001,0),MATCH(COLUMNS($AM$1006:BJ1006),$AM$1006:$BM$1006,0)), HYPERLINK("#",""), HYPERLINK(CONCATENATE("#metadata!", ADDRESS(INDEX($AH$2:$AH$1001,MATCH(ROWS($AF$2:AF527),$AF$2:$AF$1001,0),0), INDEX($AM$1004:$BM$1004,1,MATCH(COLUMNS($AM$1006:BJ1006),$AM$1006:$BM$1006,0)))),"Fix")))</f>
        <v xml:space="preserve"> </v>
      </c>
      <c r="Z527" s="4" t="str">
        <f ca="1">IF(OR(INDEX($AG$2:$AG$1001,MATCH(ROWS($AF$2:AF527),$AF$2:$AF$1001,0),1)&gt;=100000,INDEX($AM$1005:$BM$1005,1,MATCH(COLUMNS($AM$1006:BK1006),$AM$1006:$BM$1006,0))&gt;=100000), " ",IF(INDEX($AM$2:$BM$1001,MATCH(ROWS($AF$2:AF527),$AF$2:$AF$1001,0),MATCH(COLUMNS($AM$1006:BK1006),$AM$1006:$BM$1006,0)), HYPERLINK("#",""), HYPERLINK(CONCATENATE("#metadata!", ADDRESS(INDEX($AH$2:$AH$1001,MATCH(ROWS($AF$2:AF527),$AF$2:$AF$1001,0),0), INDEX($AM$1004:$BM$1004,1,MATCH(COLUMNS($AM$1006:BK1006),$AM$1006:$BM$1006,0)))),"Fix")))</f>
        <v xml:space="preserve"> </v>
      </c>
      <c r="AA527" s="4" t="str">
        <f ca="1">IF(OR(INDEX($AG$2:$AG$1001,MATCH(ROWS($AF$2:AF527),$AF$2:$AF$1001,0),1)&gt;=100000,INDEX($AM$1005:$BM$1005,1,MATCH(COLUMNS($AM$1006:BL1006),$AM$1006:$BM$1006,0))&gt;=100000), " ",IF(INDEX($AM$2:$BM$1001,MATCH(ROWS($AF$2:AF527),$AF$2:$AF$1001,0),MATCH(COLUMNS($AM$1006:BL1006),$AM$1006:$BM$1006,0)), HYPERLINK("#",""), HYPERLINK(CONCATENATE("#metadata!", ADDRESS(INDEX($AH$2:$AH$1001,MATCH(ROWS($AF$2:AF527),$AF$2:$AF$1001,0),0), INDEX($AM$1004:$BM$1004,1,MATCH(COLUMNS($AM$1006:BL1006),$AM$1006:$BM$1006,0)))),"Fix")))</f>
        <v xml:space="preserve"> </v>
      </c>
      <c r="AB527" s="4" t="str">
        <f ca="1">IF(OR(INDEX($AG$2:$AG$1001,MATCH(ROWS($AF$2:AF527),$AF$2:$AF$1001,0),1)&gt;=100000,INDEX($AM$1005:$BM$1005,1,MATCH(COLUMNS($AM$1006:BM1006),$AM$1006:$BM$1006,0))&gt;=100000), " ",IF(INDEX($AM$2:$BM$1001,MATCH(ROWS($AF$2:AF527),$AF$2:$AF$1001,0),MATCH(COLUMNS($AM$1006:BM1006),$AM$1006:$BM$1006,0)), HYPERLINK("#",""), HYPERLINK(CONCATENATE("#metadata!", ADDRESS(INDEX($AH$2:$AH$1001,MATCH(ROWS($AF$2:AF527),$AF$2:$AF$1001,0),0), INDEX($AM$1004:$BM$1004,1,MATCH(COLUMNS($AM$1006:BM1006),$AM$1006:$BM$1006,0)))),"Fix")))</f>
        <v xml:space="preserve"> </v>
      </c>
      <c r="AF527">
        <v>526</v>
      </c>
      <c r="AG527">
        <v>100527</v>
      </c>
      <c r="AH527">
        <v>527</v>
      </c>
      <c r="AI527" t="b">
        <f t="shared" si="8"/>
        <v>1</v>
      </c>
      <c r="AJ527" t="b">
        <f>COUNTBLANK(metadata!B527:AB527)=COLUMNS(metadata!B527:AB527)</f>
        <v>1</v>
      </c>
      <c r="AK527" t="str">
        <v/>
      </c>
      <c r="AM527" t="b">
        <f ca="1">AND(IF(metadata!B527="",FALSE,TRUE),COUNTIF(metadata!B:B, metadata!B527) = 1,NOT(ISERROR(SUMPRODUCT(SEARCH(MID(metadata!B527,ROW(INDIRECT("1:"&amp;LEN(metadata!B527))), 1),"0123456789abcdefghijklmnopqrstuvwxyzABCDEFGHIJKLMNOPQRSTUVWXYZ.")))))</f>
        <v>0</v>
      </c>
      <c r="AN527" t="b">
        <f ca="1">OR(AND(IF(metadata!C527="",FALSE,TRUE),OR(EXACT(metadata!C527,"missing: not collected"),EXACT(metadata!C527,"missing: not provided"),EXACT(metadata!C527,"missing: restricted access"))),AND(IF(metadata!C527="",FALSE,TRUE),AND(AND(IFERROR(INT(LEFT(metadata!C527,4))&gt;1900,FALSE),IFERROR(INT(LEFT(metadata!C527,4))&lt;=YEAR(NOW()),FALSE)), OR(MID(metadata!C527,5,1)="", AND(AND(MID(metadata!C527,5,1)="-",IFERROR(INT(MID(metadata!C527,6,1))&gt;=0,FALSE),IFERROR(INT(MID(metadata!C527,6,1))&lt;=1,FALSE),NOT(MID(metadata!C527,7,1)=""),IFERROR(INT(MID(metadata!C527,6,2))&gt;=1,FALSE),IFERROR(INT(MID(metadata!C527,6,2))&lt;=12,FALSE)), OR(MID(metadata!C527,8,1)="", AND(AND(MID(metadata!C527,8,1)="-",IFERROR(INT(MID(metadata!C527,9,1))&gt;=0,FALSE),IFERROR(INT(MID(metadata!C527,9,1))&lt;=3,FALSE),NOT(MID(metadata!C527,10,1)=""),IFERROR(INT(MID(metadata!C527,9,2))&gt;=1,FALSE),IFERROR(INT(MID(metadata!C527,9,2))&lt;=31,FALSE)), OR(MID(metadata!C527,11,1)="", AND(AND(MID(metadata!C527,11,1)=" ",IFERROR(INT(MID(metadata!C527,12,1))&gt;=0,FALSE),IFERROR(INT(MID(metadata!C527,12,1))&lt;=2,FALSE),NOT(MID(metadata!C527,13,1)=""),IFERROR(INT(MID(metadata!C527,12,2))&gt;=0,FALSE),IFERROR(INT(MID(metadata!C527,12,2))&lt;=23,FALSE)), OR(MID(metadata!C527,14,1)="", AND(AND(MID(metadata!C527,14,1)=":",IFERROR(INT(MID(metadata!C527,15,1))&gt;=0,FALSE),IFERROR(INT(MID(metadata!C527,15,1))&lt;=5,FALSE),NOT(MID(metadata!C527,16,1)=""),IFERROR(INT(MID(metadata!C527,15,2))&gt;=0,FALSE),IFERROR(INT(MID(metadata!C527,15,2))&lt;=59,FALSE)), OR(MID(metadata!C527,17,1)="", AND(AND(MID(metadata!C527,17,1)=":",IFERROR(INT(MID(metadata!C527,18,1))&gt;=0,FALSE),IFERROR(INT(MID(metadata!C527,18,1))&lt;=5,FALSE),NOT(MID(metadata!C527,19,1)=""),IFERROR(INT(MID(metadata!C527,18,2))&gt;=0,FALSE),IFERROR(INT(MID(metadata!C527,18,2))&lt;=59,FALSE)), LEN(metadata!C527)&lt;=19)))))))))))))</f>
        <v>0</v>
      </c>
      <c r="AO527" t="b">
        <f>AND(IF(metadata!D527="",FALSE,TRUE),EXACT(metadata!D527,"Not applicable"))</f>
        <v>0</v>
      </c>
      <c r="AP527" t="b">
        <f>IF(metadata!E527="",FALSE,TRUE)</f>
        <v>0</v>
      </c>
      <c r="AQ527" t="b">
        <f>OR(AND(IF(metadata!F527="",FALSE,TRUE),OR(EXACT(metadata!F527,"missing: not collected"),EXACT(metadata!F527,"missing: not provided"))),AND(IF(metadata!F527="",FALSE,TRUE),OR(EXACT(metadata!F527,"TRUE"),EXACT(metadata!F527,"FALSE"))))</f>
        <v>0</v>
      </c>
      <c r="AR527" t="b">
        <f>OR(AND(IF(metadata!G527="",FALSE,TRUE),OR(EXACT(metadata!G527,"missing: not collected"),EXACT(metadata!G527,"missing: not provided"),EXACT(metadata!G527,"missing: restricted access"))),AND(IF(metadata!G527="",FALSE,ISNUMBER(VALUE(metadata!G527))),metadata!G527&gt;=-413))</f>
        <v>0</v>
      </c>
      <c r="AS527" t="b">
        <f>AND(IF(metadata!H527="",FALSE,TRUE),EXACT(metadata!H527,"meters"))</f>
        <v>0</v>
      </c>
      <c r="AT527" t="b">
        <f>AND(IF(metadata!I527="",FALSE,TRUE),OR(EXACT(metadata!I527,"Host-associated"),EXACT(metadata!I527,"Free-living")))</f>
        <v>0</v>
      </c>
      <c r="AU527" t="b">
        <f>AND(IF(metadata!J527="",FALSE,TRUE),OR(EXACT(metadata!J527,"Animal"),EXACT(metadata!J527,"Fungus"),EXACT(metadata!J527,"Plant"),EXACT(metadata!J527,"Saline"),EXACT(metadata!J527,"Non-saline")))</f>
        <v>0</v>
      </c>
      <c r="AV527" t="b">
        <f>AND(IF(metadata!K527="",FALSE,TRUE),OR(EXACT(metadata!K527,"Plant secretion"),EXACT(metadata!K527,"Plant rhizosphere"),EXACT(metadata!K527,"Plant surface"),EXACT(metadata!K527,"Plant corpus"),EXACT(metadata!K527,"Fungus surface"),EXACT(metadata!K527,"Fungus corpus"),EXACT(metadata!K527,"Animal surface"),EXACT(metadata!K527,"Animal proximal gut"),EXACT(metadata!K527,"Animal corpus"),EXACT(metadata!K527,"Animal distal gut"),EXACT(metadata!K527,"Animal secretion"),EXACT(metadata!K527,"Sub-surface (non-saline)"),EXACT(metadata!K527,"Surface (non-saline)"),EXACT(metadata!K527,"Water (non-saline)"),EXACT(metadata!K527,"Soil (non-saline)"),EXACT(metadata!K527,"Aerosol (non-saline)"),EXACT(metadata!K527,"Sediment (non-saline)"),EXACT(metadata!K527,"Surface (saline)"),EXACT(metadata!K527,"Water (saline)"),EXACT(metadata!K527,"Hypersaline (saline)"),EXACT(metadata!K527,"Aerosol (saline)"),EXACT(metadata!K527,"Sediment (saline)")))</f>
        <v>0</v>
      </c>
      <c r="AW527" t="b">
        <f>IF(metadata!L527="",FALSE,TRUE)</f>
        <v>0</v>
      </c>
      <c r="AX527" t="b">
        <f>IF(metadata!M527="",FALSE,TRUE)</f>
        <v>0</v>
      </c>
      <c r="AY527" t="b">
        <f>IF(metadata!N527="",FALSE,TRUE)</f>
        <v>0</v>
      </c>
      <c r="AZ527" t="b">
        <f>OR(AND(IF(metadata!O527="",FALSE,TRUE),OR(EXACT(metadata!O527,"missing: not collected"),EXACT(metadata!O527,"missing: not provided"),EXACT(metadata!O527,"missing: restricted access"))),AND(IF(metadata!O527="",FALSE,TRUE),OR(EXACT(metadata!O527,"air"),EXACT(metadata!O527,"built environment"),EXACT(metadata!O527,"host-associated"),EXACT(metadata!O527,"human-associated"),EXACT(metadata!O527,"human-skin"),EXACT(metadata!O527,"human-oral"),EXACT(metadata!O527,"human-gut"),EXACT(metadata!O527,"human-vaginal"),EXACT(metadata!O527,"microbial mat/biofilm"),EXACT(metadata!O527,"misc environment"),EXACT(metadata!O527,"plant-associated"),EXACT(metadata!O527,"sediment"),EXACT(metadata!O527,"soil"),EXACT(metadata!O527,"wastewater/sludge"),EXACT(metadata!O527,"water"))))</f>
        <v>0</v>
      </c>
      <c r="BA527" t="b">
        <f>IF(metadata!P527="",FALSE,TRUE)</f>
        <v>0</v>
      </c>
      <c r="BB527" t="b">
        <f>IF(metadata!Q527="",FALSE,TRUE)</f>
        <v>0</v>
      </c>
      <c r="BC527" t="b">
        <f>OR(AND(IF(metadata!R527="",FALSE,TRUE),OR(EXACT(metadata!R527,"missing: not collected"),EXACT(metadata!R527,"missing: not provided"),EXACT(metadata!R527,"missing: restricted access"))),AND(IF(metadata!R527="",FALSE,ISNUMBER(VALUE(metadata!R527))),metadata!R527&gt;=-90,metadata!R527&lt;=90))</f>
        <v>0</v>
      </c>
      <c r="BD527" t="b">
        <f>AND(IF(metadata!S527="",FALSE,TRUE),EXACT(metadata!S527,"Decimal degrees"))</f>
        <v>0</v>
      </c>
      <c r="BE527" t="b">
        <f>OR(AND(IF(metadata!T527="",FALSE,TRUE),OR(EXACT(metadata!T527,"missing: not collected"),EXACT(metadata!T527,"missing: not provided"),EXACT(metadata!T527,"missing: restricted access"))),AND(IF(metadata!T527="",FALSE,ISNUMBER(VALUE(metadata!T527))),metadata!T527&gt;=-180,metadata!T527&lt;=180))</f>
        <v>0</v>
      </c>
      <c r="BF527" t="b">
        <f>AND(IF(metadata!U527="",FALSE,TRUE),EXACT(metadata!U527,"Decimal degrees"))</f>
        <v>0</v>
      </c>
      <c r="BG527" t="b">
        <f>IF(metadata!V527="",FALSE,TRUE)</f>
        <v>0</v>
      </c>
      <c r="BH527" t="b">
        <f>OR(AND(IF(metadata!W527="",FALSE,TRUE),OR(EXACT(metadata!W527,"missing: not collected"),EXACT(metadata!W527,"missing: not provided"),EXACT(metadata!W527,"missing: restricted access"))),AND(IF(metadata!W527="",FALSE,TRUE),OR(EXACT(metadata!W527,"TRUE"),EXACT(metadata!W527,"FALSE"))))</f>
        <v>0</v>
      </c>
      <c r="BI527" t="b">
        <f>AND(IF(metadata!X527="",FALSE,TRUE),EXACT(metadata!X527,"other"))</f>
        <v>0</v>
      </c>
      <c r="BJ527" t="b">
        <f>IF(metadata!Y527="",FALSE,TRUE)</f>
        <v>0</v>
      </c>
      <c r="BK527" t="b">
        <f>OR(AND(IF(metadata!Z527="",FALSE,TRUE),OR(EXACT(metadata!Z527,"missing: not collected"),EXACT(metadata!Z527,"missing: not provided"))),AND(IF(metadata!Z527="",FALSE,IF(ISERROR(INT(metadata!Z527)),FALSE,INT(metadata!Z527)=metadata!Z527)),metadata!Z527&gt;0))</f>
        <v>0</v>
      </c>
      <c r="BL527" t="b">
        <f>AND(IF(metadata!AA527="",FALSE,TRUE),EXACT(metadata!AA527,"Not applicable"))</f>
        <v>0</v>
      </c>
      <c r="BM527" t="b">
        <f>IF(metadata!AB527="",FALSE,TRUE)</f>
        <v>0</v>
      </c>
    </row>
    <row r="528" spans="1:65" x14ac:dyDescent="0.2">
      <c r="A528" s="5" t="str">
        <f ca="1">IF(B528=" "," ",HYPERLINK(CONCATENATE("#metadata!",ADDRESS(INDEX($AH$2:$AH$1001,MATCH(ROWS($AF$2:AF528),$AF$2:$AF$1001,0),0),1)),INDEX($AK$2:$AK$1001,MATCH(ROWS($AF$2:AF528),$AF$2:$AF$1001,0),0)))</f>
        <v xml:space="preserve"> </v>
      </c>
      <c r="B528" s="4" t="str">
        <f ca="1">IF(OR(INDEX($AG$2:$AG$1001,MATCH(ROWS($AF$2:AF528),$AF$2:$AF$1001,0),1)&gt;=100000,INDEX($AM$1005:$BM$1005,1,MATCH(COLUMNS($AM$1006:AM1006),$AM$1006:$BM$1006,0))&gt;=100000), " ",IF(INDEX($AM$2:$BM$1001,MATCH(ROWS($AF$2:AF528),$AF$2:$AF$1001,0),MATCH(COLUMNS($AM$1006:AM1006),$AM$1006:$BM$1006,0)), HYPERLINK("#",""), HYPERLINK(CONCATENATE("#metadata!", ADDRESS(INDEX($AH$2:$AH$1001,MATCH(ROWS($AF$2:AF528),$AF$2:$AF$1001,0),0), INDEX($AM$1004:$BM$1004,1,MATCH(COLUMNS($AM$1006:AM1006),$AM$1006:$BM$1006,0)))),"Fix")))</f>
        <v xml:space="preserve"> </v>
      </c>
      <c r="C528" s="4" t="str">
        <f ca="1">IF(OR(INDEX($AG$2:$AG$1001,MATCH(ROWS($AF$2:AF528),$AF$2:$AF$1001,0),1)&gt;=100000,INDEX($AM$1005:$BM$1005,1,MATCH(COLUMNS($AM$1006:AN1006),$AM$1006:$BM$1006,0))&gt;=100000), " ",IF(INDEX($AM$2:$BM$1001,MATCH(ROWS($AF$2:AF528),$AF$2:$AF$1001,0),MATCH(COLUMNS($AM$1006:AN1006),$AM$1006:$BM$1006,0)), HYPERLINK("#",""), HYPERLINK(CONCATENATE("#metadata!", ADDRESS(INDEX($AH$2:$AH$1001,MATCH(ROWS($AF$2:AF528),$AF$2:$AF$1001,0),0), INDEX($AM$1004:$BM$1004,1,MATCH(COLUMNS($AM$1006:AN1006),$AM$1006:$BM$1006,0)))),"Fix")))</f>
        <v xml:space="preserve"> </v>
      </c>
      <c r="D528" s="4" t="str">
        <f ca="1">IF(OR(INDEX($AG$2:$AG$1001,MATCH(ROWS($AF$2:AF528),$AF$2:$AF$1001,0),1)&gt;=100000,INDEX($AM$1005:$BM$1005,1,MATCH(COLUMNS($AM$1006:AO1006),$AM$1006:$BM$1006,0))&gt;=100000), " ",IF(INDEX($AM$2:$BM$1001,MATCH(ROWS($AF$2:AF528),$AF$2:$AF$1001,0),MATCH(COLUMNS($AM$1006:AO1006),$AM$1006:$BM$1006,0)), HYPERLINK("#",""), HYPERLINK(CONCATENATE("#metadata!", ADDRESS(INDEX($AH$2:$AH$1001,MATCH(ROWS($AF$2:AF528),$AF$2:$AF$1001,0),0), INDEX($AM$1004:$BM$1004,1,MATCH(COLUMNS($AM$1006:AO1006),$AM$1006:$BM$1006,0)))),"Fix")))</f>
        <v xml:space="preserve"> </v>
      </c>
      <c r="E528" s="4" t="str">
        <f ca="1">IF(OR(INDEX($AG$2:$AG$1001,MATCH(ROWS($AF$2:AF528),$AF$2:$AF$1001,0),1)&gt;=100000,INDEX($AM$1005:$BM$1005,1,MATCH(COLUMNS($AM$1006:AP1006),$AM$1006:$BM$1006,0))&gt;=100000), " ",IF(INDEX($AM$2:$BM$1001,MATCH(ROWS($AF$2:AF528),$AF$2:$AF$1001,0),MATCH(COLUMNS($AM$1006:AP1006),$AM$1006:$BM$1006,0)), HYPERLINK("#",""), HYPERLINK(CONCATENATE("#metadata!", ADDRESS(INDEX($AH$2:$AH$1001,MATCH(ROWS($AF$2:AF528),$AF$2:$AF$1001,0),0), INDEX($AM$1004:$BM$1004,1,MATCH(COLUMNS($AM$1006:AP1006),$AM$1006:$BM$1006,0)))),"Fix")))</f>
        <v xml:space="preserve"> </v>
      </c>
      <c r="F528" s="4" t="str">
        <f ca="1">IF(OR(INDEX($AG$2:$AG$1001,MATCH(ROWS($AF$2:AF528),$AF$2:$AF$1001,0),1)&gt;=100000,INDEX($AM$1005:$BM$1005,1,MATCH(COLUMNS($AM$1006:AQ1006),$AM$1006:$BM$1006,0))&gt;=100000), " ",IF(INDEX($AM$2:$BM$1001,MATCH(ROWS($AF$2:AF528),$AF$2:$AF$1001,0),MATCH(COLUMNS($AM$1006:AQ1006),$AM$1006:$BM$1006,0)), HYPERLINK("#",""), HYPERLINK(CONCATENATE("#metadata!", ADDRESS(INDEX($AH$2:$AH$1001,MATCH(ROWS($AF$2:AF528),$AF$2:$AF$1001,0),0), INDEX($AM$1004:$BM$1004,1,MATCH(COLUMNS($AM$1006:AQ1006),$AM$1006:$BM$1006,0)))),"Fix")))</f>
        <v xml:space="preserve"> </v>
      </c>
      <c r="G528" s="4" t="str">
        <f ca="1">IF(OR(INDEX($AG$2:$AG$1001,MATCH(ROWS($AF$2:AF528),$AF$2:$AF$1001,0),1)&gt;=100000,INDEX($AM$1005:$BM$1005,1,MATCH(COLUMNS($AM$1006:AR1006),$AM$1006:$BM$1006,0))&gt;=100000), " ",IF(INDEX($AM$2:$BM$1001,MATCH(ROWS($AF$2:AF528),$AF$2:$AF$1001,0),MATCH(COLUMNS($AM$1006:AR1006),$AM$1006:$BM$1006,0)), HYPERLINK("#",""), HYPERLINK(CONCATENATE("#metadata!", ADDRESS(INDEX($AH$2:$AH$1001,MATCH(ROWS($AF$2:AF528),$AF$2:$AF$1001,0),0), INDEX($AM$1004:$BM$1004,1,MATCH(COLUMNS($AM$1006:AR1006),$AM$1006:$BM$1006,0)))),"Fix")))</f>
        <v xml:space="preserve"> </v>
      </c>
      <c r="H528" s="4" t="str">
        <f ca="1">IF(OR(INDEX($AG$2:$AG$1001,MATCH(ROWS($AF$2:AF528),$AF$2:$AF$1001,0),1)&gt;=100000,INDEX($AM$1005:$BM$1005,1,MATCH(COLUMNS($AM$1006:AS1006),$AM$1006:$BM$1006,0))&gt;=100000), " ",IF(INDEX($AM$2:$BM$1001,MATCH(ROWS($AF$2:AF528),$AF$2:$AF$1001,0),MATCH(COLUMNS($AM$1006:AS1006),$AM$1006:$BM$1006,0)), HYPERLINK("#",""), HYPERLINK(CONCATENATE("#metadata!", ADDRESS(INDEX($AH$2:$AH$1001,MATCH(ROWS($AF$2:AF528),$AF$2:$AF$1001,0),0), INDEX($AM$1004:$BM$1004,1,MATCH(COLUMNS($AM$1006:AS1006),$AM$1006:$BM$1006,0)))),"Fix")))</f>
        <v xml:space="preserve"> </v>
      </c>
      <c r="I528" s="4" t="str">
        <f ca="1">IF(OR(INDEX($AG$2:$AG$1001,MATCH(ROWS($AF$2:AF528),$AF$2:$AF$1001,0),1)&gt;=100000,INDEX($AM$1005:$BM$1005,1,MATCH(COLUMNS($AM$1006:AT1006),$AM$1006:$BM$1006,0))&gt;=100000), " ",IF(INDEX($AM$2:$BM$1001,MATCH(ROWS($AF$2:AF528),$AF$2:$AF$1001,0),MATCH(COLUMNS($AM$1006:AT1006),$AM$1006:$BM$1006,0)), HYPERLINK("#",""), HYPERLINK(CONCATENATE("#metadata!", ADDRESS(INDEX($AH$2:$AH$1001,MATCH(ROWS($AF$2:AF528),$AF$2:$AF$1001,0),0), INDEX($AM$1004:$BM$1004,1,MATCH(COLUMNS($AM$1006:AT1006),$AM$1006:$BM$1006,0)))),"Fix")))</f>
        <v xml:space="preserve"> </v>
      </c>
      <c r="J528" s="4" t="str">
        <f ca="1">IF(OR(INDEX($AG$2:$AG$1001,MATCH(ROWS($AF$2:AF528),$AF$2:$AF$1001,0),1)&gt;=100000,INDEX($AM$1005:$BM$1005,1,MATCH(COLUMNS($AM$1006:AU1006),$AM$1006:$BM$1006,0))&gt;=100000), " ",IF(INDEX($AM$2:$BM$1001,MATCH(ROWS($AF$2:AF528),$AF$2:$AF$1001,0),MATCH(COLUMNS($AM$1006:AU1006),$AM$1006:$BM$1006,0)), HYPERLINK("#",""), HYPERLINK(CONCATENATE("#metadata!", ADDRESS(INDEX($AH$2:$AH$1001,MATCH(ROWS($AF$2:AF528),$AF$2:$AF$1001,0),0), INDEX($AM$1004:$BM$1004,1,MATCH(COLUMNS($AM$1006:AU1006),$AM$1006:$BM$1006,0)))),"Fix")))</f>
        <v xml:space="preserve"> </v>
      </c>
      <c r="K528" s="4" t="str">
        <f ca="1">IF(OR(INDEX($AG$2:$AG$1001,MATCH(ROWS($AF$2:AF528),$AF$2:$AF$1001,0),1)&gt;=100000,INDEX($AM$1005:$BM$1005,1,MATCH(COLUMNS($AM$1006:AV1006),$AM$1006:$BM$1006,0))&gt;=100000), " ",IF(INDEX($AM$2:$BM$1001,MATCH(ROWS($AF$2:AF528),$AF$2:$AF$1001,0),MATCH(COLUMNS($AM$1006:AV1006),$AM$1006:$BM$1006,0)), HYPERLINK("#",""), HYPERLINK(CONCATENATE("#metadata!", ADDRESS(INDEX($AH$2:$AH$1001,MATCH(ROWS($AF$2:AF528),$AF$2:$AF$1001,0),0), INDEX($AM$1004:$BM$1004,1,MATCH(COLUMNS($AM$1006:AV1006),$AM$1006:$BM$1006,0)))),"Fix")))</f>
        <v xml:space="preserve"> </v>
      </c>
      <c r="L528" s="4" t="str">
        <f ca="1">IF(OR(INDEX($AG$2:$AG$1001,MATCH(ROWS($AF$2:AF528),$AF$2:$AF$1001,0),1)&gt;=100000,INDEX($AM$1005:$BM$1005,1,MATCH(COLUMNS($AM$1006:AW1006),$AM$1006:$BM$1006,0))&gt;=100000), " ",IF(INDEX($AM$2:$BM$1001,MATCH(ROWS($AF$2:AF528),$AF$2:$AF$1001,0),MATCH(COLUMNS($AM$1006:AW1006),$AM$1006:$BM$1006,0)), HYPERLINK("#",""), HYPERLINK(CONCATENATE("#metadata!", ADDRESS(INDEX($AH$2:$AH$1001,MATCH(ROWS($AF$2:AF528),$AF$2:$AF$1001,0),0), INDEX($AM$1004:$BM$1004,1,MATCH(COLUMNS($AM$1006:AW1006),$AM$1006:$BM$1006,0)))),"Fix")))</f>
        <v xml:space="preserve"> </v>
      </c>
      <c r="M528" s="4" t="str">
        <f ca="1">IF(OR(INDEX($AG$2:$AG$1001,MATCH(ROWS($AF$2:AF528),$AF$2:$AF$1001,0),1)&gt;=100000,INDEX($AM$1005:$BM$1005,1,MATCH(COLUMNS($AM$1006:AX1006),$AM$1006:$BM$1006,0))&gt;=100000), " ",IF(INDEX($AM$2:$BM$1001,MATCH(ROWS($AF$2:AF528),$AF$2:$AF$1001,0),MATCH(COLUMNS($AM$1006:AX1006),$AM$1006:$BM$1006,0)), HYPERLINK("#",""), HYPERLINK(CONCATENATE("#metadata!", ADDRESS(INDEX($AH$2:$AH$1001,MATCH(ROWS($AF$2:AF528),$AF$2:$AF$1001,0),0), INDEX($AM$1004:$BM$1004,1,MATCH(COLUMNS($AM$1006:AX1006),$AM$1006:$BM$1006,0)))),"Fix")))</f>
        <v xml:space="preserve"> </v>
      </c>
      <c r="N528" s="4" t="str">
        <f ca="1">IF(OR(INDEX($AG$2:$AG$1001,MATCH(ROWS($AF$2:AF528),$AF$2:$AF$1001,0),1)&gt;=100000,INDEX($AM$1005:$BM$1005,1,MATCH(COLUMNS($AM$1006:AY1006),$AM$1006:$BM$1006,0))&gt;=100000), " ",IF(INDEX($AM$2:$BM$1001,MATCH(ROWS($AF$2:AF528),$AF$2:$AF$1001,0),MATCH(COLUMNS($AM$1006:AY1006),$AM$1006:$BM$1006,0)), HYPERLINK("#",""), HYPERLINK(CONCATENATE("#metadata!", ADDRESS(INDEX($AH$2:$AH$1001,MATCH(ROWS($AF$2:AF528),$AF$2:$AF$1001,0),0), INDEX($AM$1004:$BM$1004,1,MATCH(COLUMNS($AM$1006:AY1006),$AM$1006:$BM$1006,0)))),"Fix")))</f>
        <v xml:space="preserve"> </v>
      </c>
      <c r="O528" s="4" t="str">
        <f ca="1">IF(OR(INDEX($AG$2:$AG$1001,MATCH(ROWS($AF$2:AF528),$AF$2:$AF$1001,0),1)&gt;=100000,INDEX($AM$1005:$BM$1005,1,MATCH(COLUMNS($AM$1006:AZ1006),$AM$1006:$BM$1006,0))&gt;=100000), " ",IF(INDEX($AM$2:$BM$1001,MATCH(ROWS($AF$2:AF528),$AF$2:$AF$1001,0),MATCH(COLUMNS($AM$1006:AZ1006),$AM$1006:$BM$1006,0)), HYPERLINK("#",""), HYPERLINK(CONCATENATE("#metadata!", ADDRESS(INDEX($AH$2:$AH$1001,MATCH(ROWS($AF$2:AF528),$AF$2:$AF$1001,0),0), INDEX($AM$1004:$BM$1004,1,MATCH(COLUMNS($AM$1006:AZ1006),$AM$1006:$BM$1006,0)))),"Fix")))</f>
        <v xml:space="preserve"> </v>
      </c>
      <c r="P528" s="4" t="str">
        <f ca="1">IF(OR(INDEX($AG$2:$AG$1001,MATCH(ROWS($AF$2:AF528),$AF$2:$AF$1001,0),1)&gt;=100000,INDEX($AM$1005:$BM$1005,1,MATCH(COLUMNS($AM$1006:BA1006),$AM$1006:$BM$1006,0))&gt;=100000), " ",IF(INDEX($AM$2:$BM$1001,MATCH(ROWS($AF$2:AF528),$AF$2:$AF$1001,0),MATCH(COLUMNS($AM$1006:BA1006),$AM$1006:$BM$1006,0)), HYPERLINK("#",""), HYPERLINK(CONCATENATE("#metadata!", ADDRESS(INDEX($AH$2:$AH$1001,MATCH(ROWS($AF$2:AF528),$AF$2:$AF$1001,0),0), INDEX($AM$1004:$BM$1004,1,MATCH(COLUMNS($AM$1006:BA1006),$AM$1006:$BM$1006,0)))),"Fix")))</f>
        <v xml:space="preserve"> </v>
      </c>
      <c r="Q528" s="4" t="str">
        <f ca="1">IF(OR(INDEX($AG$2:$AG$1001,MATCH(ROWS($AF$2:AF528),$AF$2:$AF$1001,0),1)&gt;=100000,INDEX($AM$1005:$BM$1005,1,MATCH(COLUMNS($AM$1006:BB1006),$AM$1006:$BM$1006,0))&gt;=100000), " ",IF(INDEX($AM$2:$BM$1001,MATCH(ROWS($AF$2:AF528),$AF$2:$AF$1001,0),MATCH(COLUMNS($AM$1006:BB1006),$AM$1006:$BM$1006,0)), HYPERLINK("#",""), HYPERLINK(CONCATENATE("#metadata!", ADDRESS(INDEX($AH$2:$AH$1001,MATCH(ROWS($AF$2:AF528),$AF$2:$AF$1001,0),0), INDEX($AM$1004:$BM$1004,1,MATCH(COLUMNS($AM$1006:BB1006),$AM$1006:$BM$1006,0)))),"Fix")))</f>
        <v xml:space="preserve"> </v>
      </c>
      <c r="R528" s="4" t="str">
        <f ca="1">IF(OR(INDEX($AG$2:$AG$1001,MATCH(ROWS($AF$2:AF528),$AF$2:$AF$1001,0),1)&gt;=100000,INDEX($AM$1005:$BM$1005,1,MATCH(COLUMNS($AM$1006:BC1006),$AM$1006:$BM$1006,0))&gt;=100000), " ",IF(INDEX($AM$2:$BM$1001,MATCH(ROWS($AF$2:AF528),$AF$2:$AF$1001,0),MATCH(COLUMNS($AM$1006:BC1006),$AM$1006:$BM$1006,0)), HYPERLINK("#",""), HYPERLINK(CONCATENATE("#metadata!", ADDRESS(INDEX($AH$2:$AH$1001,MATCH(ROWS($AF$2:AF528),$AF$2:$AF$1001,0),0), INDEX($AM$1004:$BM$1004,1,MATCH(COLUMNS($AM$1006:BC1006),$AM$1006:$BM$1006,0)))),"Fix")))</f>
        <v xml:space="preserve"> </v>
      </c>
      <c r="S528" s="4" t="str">
        <f ca="1">IF(OR(INDEX($AG$2:$AG$1001,MATCH(ROWS($AF$2:AF528),$AF$2:$AF$1001,0),1)&gt;=100000,INDEX($AM$1005:$BM$1005,1,MATCH(COLUMNS($AM$1006:BD1006),$AM$1006:$BM$1006,0))&gt;=100000), " ",IF(INDEX($AM$2:$BM$1001,MATCH(ROWS($AF$2:AF528),$AF$2:$AF$1001,0),MATCH(COLUMNS($AM$1006:BD1006),$AM$1006:$BM$1006,0)), HYPERLINK("#",""), HYPERLINK(CONCATENATE("#metadata!", ADDRESS(INDEX($AH$2:$AH$1001,MATCH(ROWS($AF$2:AF528),$AF$2:$AF$1001,0),0), INDEX($AM$1004:$BM$1004,1,MATCH(COLUMNS($AM$1006:BD1006),$AM$1006:$BM$1006,0)))),"Fix")))</f>
        <v xml:space="preserve"> </v>
      </c>
      <c r="T528" s="4" t="str">
        <f ca="1">IF(OR(INDEX($AG$2:$AG$1001,MATCH(ROWS($AF$2:AF528),$AF$2:$AF$1001,0),1)&gt;=100000,INDEX($AM$1005:$BM$1005,1,MATCH(COLUMNS($AM$1006:BE1006),$AM$1006:$BM$1006,0))&gt;=100000), " ",IF(INDEX($AM$2:$BM$1001,MATCH(ROWS($AF$2:AF528),$AF$2:$AF$1001,0),MATCH(COLUMNS($AM$1006:BE1006),$AM$1006:$BM$1006,0)), HYPERLINK("#",""), HYPERLINK(CONCATENATE("#metadata!", ADDRESS(INDEX($AH$2:$AH$1001,MATCH(ROWS($AF$2:AF528),$AF$2:$AF$1001,0),0), INDEX($AM$1004:$BM$1004,1,MATCH(COLUMNS($AM$1006:BE1006),$AM$1006:$BM$1006,0)))),"Fix")))</f>
        <v xml:space="preserve"> </v>
      </c>
      <c r="U528" s="4" t="str">
        <f ca="1">IF(OR(INDEX($AG$2:$AG$1001,MATCH(ROWS($AF$2:AF528),$AF$2:$AF$1001,0),1)&gt;=100000,INDEX($AM$1005:$BM$1005,1,MATCH(COLUMNS($AM$1006:BF1006),$AM$1006:$BM$1006,0))&gt;=100000), " ",IF(INDEX($AM$2:$BM$1001,MATCH(ROWS($AF$2:AF528),$AF$2:$AF$1001,0),MATCH(COLUMNS($AM$1006:BF1006),$AM$1006:$BM$1006,0)), HYPERLINK("#",""), HYPERLINK(CONCATENATE("#metadata!", ADDRESS(INDEX($AH$2:$AH$1001,MATCH(ROWS($AF$2:AF528),$AF$2:$AF$1001,0),0), INDEX($AM$1004:$BM$1004,1,MATCH(COLUMNS($AM$1006:BF1006),$AM$1006:$BM$1006,0)))),"Fix")))</f>
        <v xml:space="preserve"> </v>
      </c>
      <c r="V528" s="4" t="str">
        <f ca="1">IF(OR(INDEX($AG$2:$AG$1001,MATCH(ROWS($AF$2:AF528),$AF$2:$AF$1001,0),1)&gt;=100000,INDEX($AM$1005:$BM$1005,1,MATCH(COLUMNS($AM$1006:BG1006),$AM$1006:$BM$1006,0))&gt;=100000), " ",IF(INDEX($AM$2:$BM$1001,MATCH(ROWS($AF$2:AF528),$AF$2:$AF$1001,0),MATCH(COLUMNS($AM$1006:BG1006),$AM$1006:$BM$1006,0)), HYPERLINK("#",""), HYPERLINK(CONCATENATE("#metadata!", ADDRESS(INDEX($AH$2:$AH$1001,MATCH(ROWS($AF$2:AF528),$AF$2:$AF$1001,0),0), INDEX($AM$1004:$BM$1004,1,MATCH(COLUMNS($AM$1006:BG1006),$AM$1006:$BM$1006,0)))),"Fix")))</f>
        <v xml:space="preserve"> </v>
      </c>
      <c r="W528" s="4" t="str">
        <f ca="1">IF(OR(INDEX($AG$2:$AG$1001,MATCH(ROWS($AF$2:AF528),$AF$2:$AF$1001,0),1)&gt;=100000,INDEX($AM$1005:$BM$1005,1,MATCH(COLUMNS($AM$1006:BH1006),$AM$1006:$BM$1006,0))&gt;=100000), " ",IF(INDEX($AM$2:$BM$1001,MATCH(ROWS($AF$2:AF528),$AF$2:$AF$1001,0),MATCH(COLUMNS($AM$1006:BH1006),$AM$1006:$BM$1006,0)), HYPERLINK("#",""), HYPERLINK(CONCATENATE("#metadata!", ADDRESS(INDEX($AH$2:$AH$1001,MATCH(ROWS($AF$2:AF528),$AF$2:$AF$1001,0),0), INDEX($AM$1004:$BM$1004,1,MATCH(COLUMNS($AM$1006:BH1006),$AM$1006:$BM$1006,0)))),"Fix")))</f>
        <v xml:space="preserve"> </v>
      </c>
      <c r="X528" s="4" t="str">
        <f ca="1">IF(OR(INDEX($AG$2:$AG$1001,MATCH(ROWS($AF$2:AF528),$AF$2:$AF$1001,0),1)&gt;=100000,INDEX($AM$1005:$BM$1005,1,MATCH(COLUMNS($AM$1006:BI1006),$AM$1006:$BM$1006,0))&gt;=100000), " ",IF(INDEX($AM$2:$BM$1001,MATCH(ROWS($AF$2:AF528),$AF$2:$AF$1001,0),MATCH(COLUMNS($AM$1006:BI1006),$AM$1006:$BM$1006,0)), HYPERLINK("#",""), HYPERLINK(CONCATENATE("#metadata!", ADDRESS(INDEX($AH$2:$AH$1001,MATCH(ROWS($AF$2:AF528),$AF$2:$AF$1001,0),0), INDEX($AM$1004:$BM$1004,1,MATCH(COLUMNS($AM$1006:BI1006),$AM$1006:$BM$1006,0)))),"Fix")))</f>
        <v xml:space="preserve"> </v>
      </c>
      <c r="Y528" s="4" t="str">
        <f ca="1">IF(OR(INDEX($AG$2:$AG$1001,MATCH(ROWS($AF$2:AF528),$AF$2:$AF$1001,0),1)&gt;=100000,INDEX($AM$1005:$BM$1005,1,MATCH(COLUMNS($AM$1006:BJ1006),$AM$1006:$BM$1006,0))&gt;=100000), " ",IF(INDEX($AM$2:$BM$1001,MATCH(ROWS($AF$2:AF528),$AF$2:$AF$1001,0),MATCH(COLUMNS($AM$1006:BJ1006),$AM$1006:$BM$1006,0)), HYPERLINK("#",""), HYPERLINK(CONCATENATE("#metadata!", ADDRESS(INDEX($AH$2:$AH$1001,MATCH(ROWS($AF$2:AF528),$AF$2:$AF$1001,0),0), INDEX($AM$1004:$BM$1004,1,MATCH(COLUMNS($AM$1006:BJ1006),$AM$1006:$BM$1006,0)))),"Fix")))</f>
        <v xml:space="preserve"> </v>
      </c>
      <c r="Z528" s="4" t="str">
        <f ca="1">IF(OR(INDEX($AG$2:$AG$1001,MATCH(ROWS($AF$2:AF528),$AF$2:$AF$1001,0),1)&gt;=100000,INDEX($AM$1005:$BM$1005,1,MATCH(COLUMNS($AM$1006:BK1006),$AM$1006:$BM$1006,0))&gt;=100000), " ",IF(INDEX($AM$2:$BM$1001,MATCH(ROWS($AF$2:AF528),$AF$2:$AF$1001,0),MATCH(COLUMNS($AM$1006:BK1006),$AM$1006:$BM$1006,0)), HYPERLINK("#",""), HYPERLINK(CONCATENATE("#metadata!", ADDRESS(INDEX($AH$2:$AH$1001,MATCH(ROWS($AF$2:AF528),$AF$2:$AF$1001,0),0), INDEX($AM$1004:$BM$1004,1,MATCH(COLUMNS($AM$1006:BK1006),$AM$1006:$BM$1006,0)))),"Fix")))</f>
        <v xml:space="preserve"> </v>
      </c>
      <c r="AA528" s="4" t="str">
        <f ca="1">IF(OR(INDEX($AG$2:$AG$1001,MATCH(ROWS($AF$2:AF528),$AF$2:$AF$1001,0),1)&gt;=100000,INDEX($AM$1005:$BM$1005,1,MATCH(COLUMNS($AM$1006:BL1006),$AM$1006:$BM$1006,0))&gt;=100000), " ",IF(INDEX($AM$2:$BM$1001,MATCH(ROWS($AF$2:AF528),$AF$2:$AF$1001,0),MATCH(COLUMNS($AM$1006:BL1006),$AM$1006:$BM$1006,0)), HYPERLINK("#",""), HYPERLINK(CONCATENATE("#metadata!", ADDRESS(INDEX($AH$2:$AH$1001,MATCH(ROWS($AF$2:AF528),$AF$2:$AF$1001,0),0), INDEX($AM$1004:$BM$1004,1,MATCH(COLUMNS($AM$1006:BL1006),$AM$1006:$BM$1006,0)))),"Fix")))</f>
        <v xml:space="preserve"> </v>
      </c>
      <c r="AB528" s="4" t="str">
        <f ca="1">IF(OR(INDEX($AG$2:$AG$1001,MATCH(ROWS($AF$2:AF528),$AF$2:$AF$1001,0),1)&gt;=100000,INDEX($AM$1005:$BM$1005,1,MATCH(COLUMNS($AM$1006:BM1006),$AM$1006:$BM$1006,0))&gt;=100000), " ",IF(INDEX($AM$2:$BM$1001,MATCH(ROWS($AF$2:AF528),$AF$2:$AF$1001,0),MATCH(COLUMNS($AM$1006:BM1006),$AM$1006:$BM$1006,0)), HYPERLINK("#",""), HYPERLINK(CONCATENATE("#metadata!", ADDRESS(INDEX($AH$2:$AH$1001,MATCH(ROWS($AF$2:AF528),$AF$2:$AF$1001,0),0), INDEX($AM$1004:$BM$1004,1,MATCH(COLUMNS($AM$1006:BM1006),$AM$1006:$BM$1006,0)))),"Fix")))</f>
        <v xml:space="preserve"> </v>
      </c>
      <c r="AF528">
        <v>527</v>
      </c>
      <c r="AG528">
        <v>100528</v>
      </c>
      <c r="AH528">
        <v>528</v>
      </c>
      <c r="AI528" t="b">
        <f t="shared" si="8"/>
        <v>1</v>
      </c>
      <c r="AJ528" t="b">
        <f>COUNTBLANK(metadata!B528:AB528)=COLUMNS(metadata!B528:AB528)</f>
        <v>1</v>
      </c>
      <c r="AK528" t="str">
        <v/>
      </c>
      <c r="AM528" t="b">
        <f ca="1">AND(IF(metadata!B528="",FALSE,TRUE),COUNTIF(metadata!B:B, metadata!B528) = 1,NOT(ISERROR(SUMPRODUCT(SEARCH(MID(metadata!B528,ROW(INDIRECT("1:"&amp;LEN(metadata!B528))), 1),"0123456789abcdefghijklmnopqrstuvwxyzABCDEFGHIJKLMNOPQRSTUVWXYZ.")))))</f>
        <v>0</v>
      </c>
      <c r="AN528" t="b">
        <f ca="1">OR(AND(IF(metadata!C528="",FALSE,TRUE),OR(EXACT(metadata!C528,"missing: not collected"),EXACT(metadata!C528,"missing: not provided"),EXACT(metadata!C528,"missing: restricted access"))),AND(IF(metadata!C528="",FALSE,TRUE),AND(AND(IFERROR(INT(LEFT(metadata!C528,4))&gt;1900,FALSE),IFERROR(INT(LEFT(metadata!C528,4))&lt;=YEAR(NOW()),FALSE)), OR(MID(metadata!C528,5,1)="", AND(AND(MID(metadata!C528,5,1)="-",IFERROR(INT(MID(metadata!C528,6,1))&gt;=0,FALSE),IFERROR(INT(MID(metadata!C528,6,1))&lt;=1,FALSE),NOT(MID(metadata!C528,7,1)=""),IFERROR(INT(MID(metadata!C528,6,2))&gt;=1,FALSE),IFERROR(INT(MID(metadata!C528,6,2))&lt;=12,FALSE)), OR(MID(metadata!C528,8,1)="", AND(AND(MID(metadata!C528,8,1)="-",IFERROR(INT(MID(metadata!C528,9,1))&gt;=0,FALSE),IFERROR(INT(MID(metadata!C528,9,1))&lt;=3,FALSE),NOT(MID(metadata!C528,10,1)=""),IFERROR(INT(MID(metadata!C528,9,2))&gt;=1,FALSE),IFERROR(INT(MID(metadata!C528,9,2))&lt;=31,FALSE)), OR(MID(metadata!C528,11,1)="", AND(AND(MID(metadata!C528,11,1)=" ",IFERROR(INT(MID(metadata!C528,12,1))&gt;=0,FALSE),IFERROR(INT(MID(metadata!C528,12,1))&lt;=2,FALSE),NOT(MID(metadata!C528,13,1)=""),IFERROR(INT(MID(metadata!C528,12,2))&gt;=0,FALSE),IFERROR(INT(MID(metadata!C528,12,2))&lt;=23,FALSE)), OR(MID(metadata!C528,14,1)="", AND(AND(MID(metadata!C528,14,1)=":",IFERROR(INT(MID(metadata!C528,15,1))&gt;=0,FALSE),IFERROR(INT(MID(metadata!C528,15,1))&lt;=5,FALSE),NOT(MID(metadata!C528,16,1)=""),IFERROR(INT(MID(metadata!C528,15,2))&gt;=0,FALSE),IFERROR(INT(MID(metadata!C528,15,2))&lt;=59,FALSE)), OR(MID(metadata!C528,17,1)="", AND(AND(MID(metadata!C528,17,1)=":",IFERROR(INT(MID(metadata!C528,18,1))&gt;=0,FALSE),IFERROR(INT(MID(metadata!C528,18,1))&lt;=5,FALSE),NOT(MID(metadata!C528,19,1)=""),IFERROR(INT(MID(metadata!C528,18,2))&gt;=0,FALSE),IFERROR(INT(MID(metadata!C528,18,2))&lt;=59,FALSE)), LEN(metadata!C528)&lt;=19)))))))))))))</f>
        <v>0</v>
      </c>
      <c r="AO528" t="b">
        <f>AND(IF(metadata!D528="",FALSE,TRUE),EXACT(metadata!D528,"Not applicable"))</f>
        <v>0</v>
      </c>
      <c r="AP528" t="b">
        <f>IF(metadata!E528="",FALSE,TRUE)</f>
        <v>0</v>
      </c>
      <c r="AQ528" t="b">
        <f>OR(AND(IF(metadata!F528="",FALSE,TRUE),OR(EXACT(metadata!F528,"missing: not collected"),EXACT(metadata!F528,"missing: not provided"))),AND(IF(metadata!F528="",FALSE,TRUE),OR(EXACT(metadata!F528,"TRUE"),EXACT(metadata!F528,"FALSE"))))</f>
        <v>0</v>
      </c>
      <c r="AR528" t="b">
        <f>OR(AND(IF(metadata!G528="",FALSE,TRUE),OR(EXACT(metadata!G528,"missing: not collected"),EXACT(metadata!G528,"missing: not provided"),EXACT(metadata!G528,"missing: restricted access"))),AND(IF(metadata!G528="",FALSE,ISNUMBER(VALUE(metadata!G528))),metadata!G528&gt;=-413))</f>
        <v>0</v>
      </c>
      <c r="AS528" t="b">
        <f>AND(IF(metadata!H528="",FALSE,TRUE),EXACT(metadata!H528,"meters"))</f>
        <v>0</v>
      </c>
      <c r="AT528" t="b">
        <f>AND(IF(metadata!I528="",FALSE,TRUE),OR(EXACT(metadata!I528,"Host-associated"),EXACT(metadata!I528,"Free-living")))</f>
        <v>0</v>
      </c>
      <c r="AU528" t="b">
        <f>AND(IF(metadata!J528="",FALSE,TRUE),OR(EXACT(metadata!J528,"Animal"),EXACT(metadata!J528,"Fungus"),EXACT(metadata!J528,"Plant"),EXACT(metadata!J528,"Saline"),EXACT(metadata!J528,"Non-saline")))</f>
        <v>0</v>
      </c>
      <c r="AV528" t="b">
        <f>AND(IF(metadata!K528="",FALSE,TRUE),OR(EXACT(metadata!K528,"Plant secretion"),EXACT(metadata!K528,"Plant rhizosphere"),EXACT(metadata!K528,"Plant surface"),EXACT(metadata!K528,"Plant corpus"),EXACT(metadata!K528,"Fungus surface"),EXACT(metadata!K528,"Fungus corpus"),EXACT(metadata!K528,"Animal surface"),EXACT(metadata!K528,"Animal proximal gut"),EXACT(metadata!K528,"Animal corpus"),EXACT(metadata!K528,"Animal distal gut"),EXACT(metadata!K528,"Animal secretion"),EXACT(metadata!K528,"Sub-surface (non-saline)"),EXACT(metadata!K528,"Surface (non-saline)"),EXACT(metadata!K528,"Water (non-saline)"),EXACT(metadata!K528,"Soil (non-saline)"),EXACT(metadata!K528,"Aerosol (non-saline)"),EXACT(metadata!K528,"Sediment (non-saline)"),EXACT(metadata!K528,"Surface (saline)"),EXACT(metadata!K528,"Water (saline)"),EXACT(metadata!K528,"Hypersaline (saline)"),EXACT(metadata!K528,"Aerosol (saline)"),EXACT(metadata!K528,"Sediment (saline)")))</f>
        <v>0</v>
      </c>
      <c r="AW528" t="b">
        <f>IF(metadata!L528="",FALSE,TRUE)</f>
        <v>0</v>
      </c>
      <c r="AX528" t="b">
        <f>IF(metadata!M528="",FALSE,TRUE)</f>
        <v>0</v>
      </c>
      <c r="AY528" t="b">
        <f>IF(metadata!N528="",FALSE,TRUE)</f>
        <v>0</v>
      </c>
      <c r="AZ528" t="b">
        <f>OR(AND(IF(metadata!O528="",FALSE,TRUE),OR(EXACT(metadata!O528,"missing: not collected"),EXACT(metadata!O528,"missing: not provided"),EXACT(metadata!O528,"missing: restricted access"))),AND(IF(metadata!O528="",FALSE,TRUE),OR(EXACT(metadata!O528,"air"),EXACT(metadata!O528,"built environment"),EXACT(metadata!O528,"host-associated"),EXACT(metadata!O528,"human-associated"),EXACT(metadata!O528,"human-skin"),EXACT(metadata!O528,"human-oral"),EXACT(metadata!O528,"human-gut"),EXACT(metadata!O528,"human-vaginal"),EXACT(metadata!O528,"microbial mat/biofilm"),EXACT(metadata!O528,"misc environment"),EXACT(metadata!O528,"plant-associated"),EXACT(metadata!O528,"sediment"),EXACT(metadata!O528,"soil"),EXACT(metadata!O528,"wastewater/sludge"),EXACT(metadata!O528,"water"))))</f>
        <v>0</v>
      </c>
      <c r="BA528" t="b">
        <f>IF(metadata!P528="",FALSE,TRUE)</f>
        <v>0</v>
      </c>
      <c r="BB528" t="b">
        <f>IF(metadata!Q528="",FALSE,TRUE)</f>
        <v>0</v>
      </c>
      <c r="BC528" t="b">
        <f>OR(AND(IF(metadata!R528="",FALSE,TRUE),OR(EXACT(metadata!R528,"missing: not collected"),EXACT(metadata!R528,"missing: not provided"),EXACT(metadata!R528,"missing: restricted access"))),AND(IF(metadata!R528="",FALSE,ISNUMBER(VALUE(metadata!R528))),metadata!R528&gt;=-90,metadata!R528&lt;=90))</f>
        <v>0</v>
      </c>
      <c r="BD528" t="b">
        <f>AND(IF(metadata!S528="",FALSE,TRUE),EXACT(metadata!S528,"Decimal degrees"))</f>
        <v>0</v>
      </c>
      <c r="BE528" t="b">
        <f>OR(AND(IF(metadata!T528="",FALSE,TRUE),OR(EXACT(metadata!T528,"missing: not collected"),EXACT(metadata!T528,"missing: not provided"),EXACT(metadata!T528,"missing: restricted access"))),AND(IF(metadata!T528="",FALSE,ISNUMBER(VALUE(metadata!T528))),metadata!T528&gt;=-180,metadata!T528&lt;=180))</f>
        <v>0</v>
      </c>
      <c r="BF528" t="b">
        <f>AND(IF(metadata!U528="",FALSE,TRUE),EXACT(metadata!U528,"Decimal degrees"))</f>
        <v>0</v>
      </c>
      <c r="BG528" t="b">
        <f>IF(metadata!V528="",FALSE,TRUE)</f>
        <v>0</v>
      </c>
      <c r="BH528" t="b">
        <f>OR(AND(IF(metadata!W528="",FALSE,TRUE),OR(EXACT(metadata!W528,"missing: not collected"),EXACT(metadata!W528,"missing: not provided"),EXACT(metadata!W528,"missing: restricted access"))),AND(IF(metadata!W528="",FALSE,TRUE),OR(EXACT(metadata!W528,"TRUE"),EXACT(metadata!W528,"FALSE"))))</f>
        <v>0</v>
      </c>
      <c r="BI528" t="b">
        <f>AND(IF(metadata!X528="",FALSE,TRUE),EXACT(metadata!X528,"other"))</f>
        <v>0</v>
      </c>
      <c r="BJ528" t="b">
        <f>IF(metadata!Y528="",FALSE,TRUE)</f>
        <v>0</v>
      </c>
      <c r="BK528" t="b">
        <f>OR(AND(IF(metadata!Z528="",FALSE,TRUE),OR(EXACT(metadata!Z528,"missing: not collected"),EXACT(metadata!Z528,"missing: not provided"))),AND(IF(metadata!Z528="",FALSE,IF(ISERROR(INT(metadata!Z528)),FALSE,INT(metadata!Z528)=metadata!Z528)),metadata!Z528&gt;0))</f>
        <v>0</v>
      </c>
      <c r="BL528" t="b">
        <f>AND(IF(metadata!AA528="",FALSE,TRUE),EXACT(metadata!AA528,"Not applicable"))</f>
        <v>0</v>
      </c>
      <c r="BM528" t="b">
        <f>IF(metadata!AB528="",FALSE,TRUE)</f>
        <v>0</v>
      </c>
    </row>
    <row r="529" spans="1:65" x14ac:dyDescent="0.2">
      <c r="A529" s="5" t="str">
        <f ca="1">IF(B529=" "," ",HYPERLINK(CONCATENATE("#metadata!",ADDRESS(INDEX($AH$2:$AH$1001,MATCH(ROWS($AF$2:AF529),$AF$2:$AF$1001,0),0),1)),INDEX($AK$2:$AK$1001,MATCH(ROWS($AF$2:AF529),$AF$2:$AF$1001,0),0)))</f>
        <v xml:space="preserve"> </v>
      </c>
      <c r="B529" s="4" t="str">
        <f ca="1">IF(OR(INDEX($AG$2:$AG$1001,MATCH(ROWS($AF$2:AF529),$AF$2:$AF$1001,0),1)&gt;=100000,INDEX($AM$1005:$BM$1005,1,MATCH(COLUMNS($AM$1006:AM1006),$AM$1006:$BM$1006,0))&gt;=100000), " ",IF(INDEX($AM$2:$BM$1001,MATCH(ROWS($AF$2:AF529),$AF$2:$AF$1001,0),MATCH(COLUMNS($AM$1006:AM1006),$AM$1006:$BM$1006,0)), HYPERLINK("#",""), HYPERLINK(CONCATENATE("#metadata!", ADDRESS(INDEX($AH$2:$AH$1001,MATCH(ROWS($AF$2:AF529),$AF$2:$AF$1001,0),0), INDEX($AM$1004:$BM$1004,1,MATCH(COLUMNS($AM$1006:AM1006),$AM$1006:$BM$1006,0)))),"Fix")))</f>
        <v xml:space="preserve"> </v>
      </c>
      <c r="C529" s="4" t="str">
        <f ca="1">IF(OR(INDEX($AG$2:$AG$1001,MATCH(ROWS($AF$2:AF529),$AF$2:$AF$1001,0),1)&gt;=100000,INDEX($AM$1005:$BM$1005,1,MATCH(COLUMNS($AM$1006:AN1006),$AM$1006:$BM$1006,0))&gt;=100000), " ",IF(INDEX($AM$2:$BM$1001,MATCH(ROWS($AF$2:AF529),$AF$2:$AF$1001,0),MATCH(COLUMNS($AM$1006:AN1006),$AM$1006:$BM$1006,0)), HYPERLINK("#",""), HYPERLINK(CONCATENATE("#metadata!", ADDRESS(INDEX($AH$2:$AH$1001,MATCH(ROWS($AF$2:AF529),$AF$2:$AF$1001,0),0), INDEX($AM$1004:$BM$1004,1,MATCH(COLUMNS($AM$1006:AN1006),$AM$1006:$BM$1006,0)))),"Fix")))</f>
        <v xml:space="preserve"> </v>
      </c>
      <c r="D529" s="4" t="str">
        <f ca="1">IF(OR(INDEX($AG$2:$AG$1001,MATCH(ROWS($AF$2:AF529),$AF$2:$AF$1001,0),1)&gt;=100000,INDEX($AM$1005:$BM$1005,1,MATCH(COLUMNS($AM$1006:AO1006),$AM$1006:$BM$1006,0))&gt;=100000), " ",IF(INDEX($AM$2:$BM$1001,MATCH(ROWS($AF$2:AF529),$AF$2:$AF$1001,0),MATCH(COLUMNS($AM$1006:AO1006),$AM$1006:$BM$1006,0)), HYPERLINK("#",""), HYPERLINK(CONCATENATE("#metadata!", ADDRESS(INDEX($AH$2:$AH$1001,MATCH(ROWS($AF$2:AF529),$AF$2:$AF$1001,0),0), INDEX($AM$1004:$BM$1004,1,MATCH(COLUMNS($AM$1006:AO1006),$AM$1006:$BM$1006,0)))),"Fix")))</f>
        <v xml:space="preserve"> </v>
      </c>
      <c r="E529" s="4" t="str">
        <f ca="1">IF(OR(INDEX($AG$2:$AG$1001,MATCH(ROWS($AF$2:AF529),$AF$2:$AF$1001,0),1)&gt;=100000,INDEX($AM$1005:$BM$1005,1,MATCH(COLUMNS($AM$1006:AP1006),$AM$1006:$BM$1006,0))&gt;=100000), " ",IF(INDEX($AM$2:$BM$1001,MATCH(ROWS($AF$2:AF529),$AF$2:$AF$1001,0),MATCH(COLUMNS($AM$1006:AP1006),$AM$1006:$BM$1006,0)), HYPERLINK("#",""), HYPERLINK(CONCATENATE("#metadata!", ADDRESS(INDEX($AH$2:$AH$1001,MATCH(ROWS($AF$2:AF529),$AF$2:$AF$1001,0),0), INDEX($AM$1004:$BM$1004,1,MATCH(COLUMNS($AM$1006:AP1006),$AM$1006:$BM$1006,0)))),"Fix")))</f>
        <v xml:space="preserve"> </v>
      </c>
      <c r="F529" s="4" t="str">
        <f ca="1">IF(OR(INDEX($AG$2:$AG$1001,MATCH(ROWS($AF$2:AF529),$AF$2:$AF$1001,0),1)&gt;=100000,INDEX($AM$1005:$BM$1005,1,MATCH(COLUMNS($AM$1006:AQ1006),$AM$1006:$BM$1006,0))&gt;=100000), " ",IF(INDEX($AM$2:$BM$1001,MATCH(ROWS($AF$2:AF529),$AF$2:$AF$1001,0),MATCH(COLUMNS($AM$1006:AQ1006),$AM$1006:$BM$1006,0)), HYPERLINK("#",""), HYPERLINK(CONCATENATE("#metadata!", ADDRESS(INDEX($AH$2:$AH$1001,MATCH(ROWS($AF$2:AF529),$AF$2:$AF$1001,0),0), INDEX($AM$1004:$BM$1004,1,MATCH(COLUMNS($AM$1006:AQ1006),$AM$1006:$BM$1006,0)))),"Fix")))</f>
        <v xml:space="preserve"> </v>
      </c>
      <c r="G529" s="4" t="str">
        <f ca="1">IF(OR(INDEX($AG$2:$AG$1001,MATCH(ROWS($AF$2:AF529),$AF$2:$AF$1001,0),1)&gt;=100000,INDEX($AM$1005:$BM$1005,1,MATCH(COLUMNS($AM$1006:AR1006),$AM$1006:$BM$1006,0))&gt;=100000), " ",IF(INDEX($AM$2:$BM$1001,MATCH(ROWS($AF$2:AF529),$AF$2:$AF$1001,0),MATCH(COLUMNS($AM$1006:AR1006),$AM$1006:$BM$1006,0)), HYPERLINK("#",""), HYPERLINK(CONCATENATE("#metadata!", ADDRESS(INDEX($AH$2:$AH$1001,MATCH(ROWS($AF$2:AF529),$AF$2:$AF$1001,0),0), INDEX($AM$1004:$BM$1004,1,MATCH(COLUMNS($AM$1006:AR1006),$AM$1006:$BM$1006,0)))),"Fix")))</f>
        <v xml:space="preserve"> </v>
      </c>
      <c r="H529" s="4" t="str">
        <f ca="1">IF(OR(INDEX($AG$2:$AG$1001,MATCH(ROWS($AF$2:AF529),$AF$2:$AF$1001,0),1)&gt;=100000,INDEX($AM$1005:$BM$1005,1,MATCH(COLUMNS($AM$1006:AS1006),$AM$1006:$BM$1006,0))&gt;=100000), " ",IF(INDEX($AM$2:$BM$1001,MATCH(ROWS($AF$2:AF529),$AF$2:$AF$1001,0),MATCH(COLUMNS($AM$1006:AS1006),$AM$1006:$BM$1006,0)), HYPERLINK("#",""), HYPERLINK(CONCATENATE("#metadata!", ADDRESS(INDEX($AH$2:$AH$1001,MATCH(ROWS($AF$2:AF529),$AF$2:$AF$1001,0),0), INDEX($AM$1004:$BM$1004,1,MATCH(COLUMNS($AM$1006:AS1006),$AM$1006:$BM$1006,0)))),"Fix")))</f>
        <v xml:space="preserve"> </v>
      </c>
      <c r="I529" s="4" t="str">
        <f ca="1">IF(OR(INDEX($AG$2:$AG$1001,MATCH(ROWS($AF$2:AF529),$AF$2:$AF$1001,0),1)&gt;=100000,INDEX($AM$1005:$BM$1005,1,MATCH(COLUMNS($AM$1006:AT1006),$AM$1006:$BM$1006,0))&gt;=100000), " ",IF(INDEX($AM$2:$BM$1001,MATCH(ROWS($AF$2:AF529),$AF$2:$AF$1001,0),MATCH(COLUMNS($AM$1006:AT1006),$AM$1006:$BM$1006,0)), HYPERLINK("#",""), HYPERLINK(CONCATENATE("#metadata!", ADDRESS(INDEX($AH$2:$AH$1001,MATCH(ROWS($AF$2:AF529),$AF$2:$AF$1001,0),0), INDEX($AM$1004:$BM$1004,1,MATCH(COLUMNS($AM$1006:AT1006),$AM$1006:$BM$1006,0)))),"Fix")))</f>
        <v xml:space="preserve"> </v>
      </c>
      <c r="J529" s="4" t="str">
        <f ca="1">IF(OR(INDEX($AG$2:$AG$1001,MATCH(ROWS($AF$2:AF529),$AF$2:$AF$1001,0),1)&gt;=100000,INDEX($AM$1005:$BM$1005,1,MATCH(COLUMNS($AM$1006:AU1006),$AM$1006:$BM$1006,0))&gt;=100000), " ",IF(INDEX($AM$2:$BM$1001,MATCH(ROWS($AF$2:AF529),$AF$2:$AF$1001,0),MATCH(COLUMNS($AM$1006:AU1006),$AM$1006:$BM$1006,0)), HYPERLINK("#",""), HYPERLINK(CONCATENATE("#metadata!", ADDRESS(INDEX($AH$2:$AH$1001,MATCH(ROWS($AF$2:AF529),$AF$2:$AF$1001,0),0), INDEX($AM$1004:$BM$1004,1,MATCH(COLUMNS($AM$1006:AU1006),$AM$1006:$BM$1006,0)))),"Fix")))</f>
        <v xml:space="preserve"> </v>
      </c>
      <c r="K529" s="4" t="str">
        <f ca="1">IF(OR(INDEX($AG$2:$AG$1001,MATCH(ROWS($AF$2:AF529),$AF$2:$AF$1001,0),1)&gt;=100000,INDEX($AM$1005:$BM$1005,1,MATCH(COLUMNS($AM$1006:AV1006),$AM$1006:$BM$1006,0))&gt;=100000), " ",IF(INDEX($AM$2:$BM$1001,MATCH(ROWS($AF$2:AF529),$AF$2:$AF$1001,0),MATCH(COLUMNS($AM$1006:AV1006),$AM$1006:$BM$1006,0)), HYPERLINK("#",""), HYPERLINK(CONCATENATE("#metadata!", ADDRESS(INDEX($AH$2:$AH$1001,MATCH(ROWS($AF$2:AF529),$AF$2:$AF$1001,0),0), INDEX($AM$1004:$BM$1004,1,MATCH(COLUMNS($AM$1006:AV1006),$AM$1006:$BM$1006,0)))),"Fix")))</f>
        <v xml:space="preserve"> </v>
      </c>
      <c r="L529" s="4" t="str">
        <f ca="1">IF(OR(INDEX($AG$2:$AG$1001,MATCH(ROWS($AF$2:AF529),$AF$2:$AF$1001,0),1)&gt;=100000,INDEX($AM$1005:$BM$1005,1,MATCH(COLUMNS($AM$1006:AW1006),$AM$1006:$BM$1006,0))&gt;=100000), " ",IF(INDEX($AM$2:$BM$1001,MATCH(ROWS($AF$2:AF529),$AF$2:$AF$1001,0),MATCH(COLUMNS($AM$1006:AW1006),$AM$1006:$BM$1006,0)), HYPERLINK("#",""), HYPERLINK(CONCATENATE("#metadata!", ADDRESS(INDEX($AH$2:$AH$1001,MATCH(ROWS($AF$2:AF529),$AF$2:$AF$1001,0),0), INDEX($AM$1004:$BM$1004,1,MATCH(COLUMNS($AM$1006:AW1006),$AM$1006:$BM$1006,0)))),"Fix")))</f>
        <v xml:space="preserve"> </v>
      </c>
      <c r="M529" s="4" t="str">
        <f ca="1">IF(OR(INDEX($AG$2:$AG$1001,MATCH(ROWS($AF$2:AF529),$AF$2:$AF$1001,0),1)&gt;=100000,INDEX($AM$1005:$BM$1005,1,MATCH(COLUMNS($AM$1006:AX1006),$AM$1006:$BM$1006,0))&gt;=100000), " ",IF(INDEX($AM$2:$BM$1001,MATCH(ROWS($AF$2:AF529),$AF$2:$AF$1001,0),MATCH(COLUMNS($AM$1006:AX1006),$AM$1006:$BM$1006,0)), HYPERLINK("#",""), HYPERLINK(CONCATENATE("#metadata!", ADDRESS(INDEX($AH$2:$AH$1001,MATCH(ROWS($AF$2:AF529),$AF$2:$AF$1001,0),0), INDEX($AM$1004:$BM$1004,1,MATCH(COLUMNS($AM$1006:AX1006),$AM$1006:$BM$1006,0)))),"Fix")))</f>
        <v xml:space="preserve"> </v>
      </c>
      <c r="N529" s="4" t="str">
        <f ca="1">IF(OR(INDEX($AG$2:$AG$1001,MATCH(ROWS($AF$2:AF529),$AF$2:$AF$1001,0),1)&gt;=100000,INDEX($AM$1005:$BM$1005,1,MATCH(COLUMNS($AM$1006:AY1006),$AM$1006:$BM$1006,0))&gt;=100000), " ",IF(INDEX($AM$2:$BM$1001,MATCH(ROWS($AF$2:AF529),$AF$2:$AF$1001,0),MATCH(COLUMNS($AM$1006:AY1006),$AM$1006:$BM$1006,0)), HYPERLINK("#",""), HYPERLINK(CONCATENATE("#metadata!", ADDRESS(INDEX($AH$2:$AH$1001,MATCH(ROWS($AF$2:AF529),$AF$2:$AF$1001,0),0), INDEX($AM$1004:$BM$1004,1,MATCH(COLUMNS($AM$1006:AY1006),$AM$1006:$BM$1006,0)))),"Fix")))</f>
        <v xml:space="preserve"> </v>
      </c>
      <c r="O529" s="4" t="str">
        <f ca="1">IF(OR(INDEX($AG$2:$AG$1001,MATCH(ROWS($AF$2:AF529),$AF$2:$AF$1001,0),1)&gt;=100000,INDEX($AM$1005:$BM$1005,1,MATCH(COLUMNS($AM$1006:AZ1006),$AM$1006:$BM$1006,0))&gt;=100000), " ",IF(INDEX($AM$2:$BM$1001,MATCH(ROWS($AF$2:AF529),$AF$2:$AF$1001,0),MATCH(COLUMNS($AM$1006:AZ1006),$AM$1006:$BM$1006,0)), HYPERLINK("#",""), HYPERLINK(CONCATENATE("#metadata!", ADDRESS(INDEX($AH$2:$AH$1001,MATCH(ROWS($AF$2:AF529),$AF$2:$AF$1001,0),0), INDEX($AM$1004:$BM$1004,1,MATCH(COLUMNS($AM$1006:AZ1006),$AM$1006:$BM$1006,0)))),"Fix")))</f>
        <v xml:space="preserve"> </v>
      </c>
      <c r="P529" s="4" t="str">
        <f ca="1">IF(OR(INDEX($AG$2:$AG$1001,MATCH(ROWS($AF$2:AF529),$AF$2:$AF$1001,0),1)&gt;=100000,INDEX($AM$1005:$BM$1005,1,MATCH(COLUMNS($AM$1006:BA1006),$AM$1006:$BM$1006,0))&gt;=100000), " ",IF(INDEX($AM$2:$BM$1001,MATCH(ROWS($AF$2:AF529),$AF$2:$AF$1001,0),MATCH(COLUMNS($AM$1006:BA1006),$AM$1006:$BM$1006,0)), HYPERLINK("#",""), HYPERLINK(CONCATENATE("#metadata!", ADDRESS(INDEX($AH$2:$AH$1001,MATCH(ROWS($AF$2:AF529),$AF$2:$AF$1001,0),0), INDEX($AM$1004:$BM$1004,1,MATCH(COLUMNS($AM$1006:BA1006),$AM$1006:$BM$1006,0)))),"Fix")))</f>
        <v xml:space="preserve"> </v>
      </c>
      <c r="Q529" s="4" t="str">
        <f ca="1">IF(OR(INDEX($AG$2:$AG$1001,MATCH(ROWS($AF$2:AF529),$AF$2:$AF$1001,0),1)&gt;=100000,INDEX($AM$1005:$BM$1005,1,MATCH(COLUMNS($AM$1006:BB1006),$AM$1006:$BM$1006,0))&gt;=100000), " ",IF(INDEX($AM$2:$BM$1001,MATCH(ROWS($AF$2:AF529),$AF$2:$AF$1001,0),MATCH(COLUMNS($AM$1006:BB1006),$AM$1006:$BM$1006,0)), HYPERLINK("#",""), HYPERLINK(CONCATENATE("#metadata!", ADDRESS(INDEX($AH$2:$AH$1001,MATCH(ROWS($AF$2:AF529),$AF$2:$AF$1001,0),0), INDEX($AM$1004:$BM$1004,1,MATCH(COLUMNS($AM$1006:BB1006),$AM$1006:$BM$1006,0)))),"Fix")))</f>
        <v xml:space="preserve"> </v>
      </c>
      <c r="R529" s="4" t="str">
        <f ca="1">IF(OR(INDEX($AG$2:$AG$1001,MATCH(ROWS($AF$2:AF529),$AF$2:$AF$1001,0),1)&gt;=100000,INDEX($AM$1005:$BM$1005,1,MATCH(COLUMNS($AM$1006:BC1006),$AM$1006:$BM$1006,0))&gt;=100000), " ",IF(INDEX($AM$2:$BM$1001,MATCH(ROWS($AF$2:AF529),$AF$2:$AF$1001,0),MATCH(COLUMNS($AM$1006:BC1006),$AM$1006:$BM$1006,0)), HYPERLINK("#",""), HYPERLINK(CONCATENATE("#metadata!", ADDRESS(INDEX($AH$2:$AH$1001,MATCH(ROWS($AF$2:AF529),$AF$2:$AF$1001,0),0), INDEX($AM$1004:$BM$1004,1,MATCH(COLUMNS($AM$1006:BC1006),$AM$1006:$BM$1006,0)))),"Fix")))</f>
        <v xml:space="preserve"> </v>
      </c>
      <c r="S529" s="4" t="str">
        <f ca="1">IF(OR(INDEX($AG$2:$AG$1001,MATCH(ROWS($AF$2:AF529),$AF$2:$AF$1001,0),1)&gt;=100000,INDEX($AM$1005:$BM$1005,1,MATCH(COLUMNS($AM$1006:BD1006),$AM$1006:$BM$1006,0))&gt;=100000), " ",IF(INDEX($AM$2:$BM$1001,MATCH(ROWS($AF$2:AF529),$AF$2:$AF$1001,0),MATCH(COLUMNS($AM$1006:BD1006),$AM$1006:$BM$1006,0)), HYPERLINK("#",""), HYPERLINK(CONCATENATE("#metadata!", ADDRESS(INDEX($AH$2:$AH$1001,MATCH(ROWS($AF$2:AF529),$AF$2:$AF$1001,0),0), INDEX($AM$1004:$BM$1004,1,MATCH(COLUMNS($AM$1006:BD1006),$AM$1006:$BM$1006,0)))),"Fix")))</f>
        <v xml:space="preserve"> </v>
      </c>
      <c r="T529" s="4" t="str">
        <f ca="1">IF(OR(INDEX($AG$2:$AG$1001,MATCH(ROWS($AF$2:AF529),$AF$2:$AF$1001,0),1)&gt;=100000,INDEX($AM$1005:$BM$1005,1,MATCH(COLUMNS($AM$1006:BE1006),$AM$1006:$BM$1006,0))&gt;=100000), " ",IF(INDEX($AM$2:$BM$1001,MATCH(ROWS($AF$2:AF529),$AF$2:$AF$1001,0),MATCH(COLUMNS($AM$1006:BE1006),$AM$1006:$BM$1006,0)), HYPERLINK("#",""), HYPERLINK(CONCATENATE("#metadata!", ADDRESS(INDEX($AH$2:$AH$1001,MATCH(ROWS($AF$2:AF529),$AF$2:$AF$1001,0),0), INDEX($AM$1004:$BM$1004,1,MATCH(COLUMNS($AM$1006:BE1006),$AM$1006:$BM$1006,0)))),"Fix")))</f>
        <v xml:space="preserve"> </v>
      </c>
      <c r="U529" s="4" t="str">
        <f ca="1">IF(OR(INDEX($AG$2:$AG$1001,MATCH(ROWS($AF$2:AF529),$AF$2:$AF$1001,0),1)&gt;=100000,INDEX($AM$1005:$BM$1005,1,MATCH(COLUMNS($AM$1006:BF1006),$AM$1006:$BM$1006,0))&gt;=100000), " ",IF(INDEX($AM$2:$BM$1001,MATCH(ROWS($AF$2:AF529),$AF$2:$AF$1001,0),MATCH(COLUMNS($AM$1006:BF1006),$AM$1006:$BM$1006,0)), HYPERLINK("#",""), HYPERLINK(CONCATENATE("#metadata!", ADDRESS(INDEX($AH$2:$AH$1001,MATCH(ROWS($AF$2:AF529),$AF$2:$AF$1001,0),0), INDEX($AM$1004:$BM$1004,1,MATCH(COLUMNS($AM$1006:BF1006),$AM$1006:$BM$1006,0)))),"Fix")))</f>
        <v xml:space="preserve"> </v>
      </c>
      <c r="V529" s="4" t="str">
        <f ca="1">IF(OR(INDEX($AG$2:$AG$1001,MATCH(ROWS($AF$2:AF529),$AF$2:$AF$1001,0),1)&gt;=100000,INDEX($AM$1005:$BM$1005,1,MATCH(COLUMNS($AM$1006:BG1006),$AM$1006:$BM$1006,0))&gt;=100000), " ",IF(INDEX($AM$2:$BM$1001,MATCH(ROWS($AF$2:AF529),$AF$2:$AF$1001,0),MATCH(COLUMNS($AM$1006:BG1006),$AM$1006:$BM$1006,0)), HYPERLINK("#",""), HYPERLINK(CONCATENATE("#metadata!", ADDRESS(INDEX($AH$2:$AH$1001,MATCH(ROWS($AF$2:AF529),$AF$2:$AF$1001,0),0), INDEX($AM$1004:$BM$1004,1,MATCH(COLUMNS($AM$1006:BG1006),$AM$1006:$BM$1006,0)))),"Fix")))</f>
        <v xml:space="preserve"> </v>
      </c>
      <c r="W529" s="4" t="str">
        <f ca="1">IF(OR(INDEX($AG$2:$AG$1001,MATCH(ROWS($AF$2:AF529),$AF$2:$AF$1001,0),1)&gt;=100000,INDEX($AM$1005:$BM$1005,1,MATCH(COLUMNS($AM$1006:BH1006),$AM$1006:$BM$1006,0))&gt;=100000), " ",IF(INDEX($AM$2:$BM$1001,MATCH(ROWS($AF$2:AF529),$AF$2:$AF$1001,0),MATCH(COLUMNS($AM$1006:BH1006),$AM$1006:$BM$1006,0)), HYPERLINK("#",""), HYPERLINK(CONCATENATE("#metadata!", ADDRESS(INDEX($AH$2:$AH$1001,MATCH(ROWS($AF$2:AF529),$AF$2:$AF$1001,0),0), INDEX($AM$1004:$BM$1004,1,MATCH(COLUMNS($AM$1006:BH1006),$AM$1006:$BM$1006,0)))),"Fix")))</f>
        <v xml:space="preserve"> </v>
      </c>
      <c r="X529" s="4" t="str">
        <f ca="1">IF(OR(INDEX($AG$2:$AG$1001,MATCH(ROWS($AF$2:AF529),$AF$2:$AF$1001,0),1)&gt;=100000,INDEX($AM$1005:$BM$1005,1,MATCH(COLUMNS($AM$1006:BI1006),$AM$1006:$BM$1006,0))&gt;=100000), " ",IF(INDEX($AM$2:$BM$1001,MATCH(ROWS($AF$2:AF529),$AF$2:$AF$1001,0),MATCH(COLUMNS($AM$1006:BI1006),$AM$1006:$BM$1006,0)), HYPERLINK("#",""), HYPERLINK(CONCATENATE("#metadata!", ADDRESS(INDEX($AH$2:$AH$1001,MATCH(ROWS($AF$2:AF529),$AF$2:$AF$1001,0),0), INDEX($AM$1004:$BM$1004,1,MATCH(COLUMNS($AM$1006:BI1006),$AM$1006:$BM$1006,0)))),"Fix")))</f>
        <v xml:space="preserve"> </v>
      </c>
      <c r="Y529" s="4" t="str">
        <f ca="1">IF(OR(INDEX($AG$2:$AG$1001,MATCH(ROWS($AF$2:AF529),$AF$2:$AF$1001,0),1)&gt;=100000,INDEX($AM$1005:$BM$1005,1,MATCH(COLUMNS($AM$1006:BJ1006),$AM$1006:$BM$1006,0))&gt;=100000), " ",IF(INDEX($AM$2:$BM$1001,MATCH(ROWS($AF$2:AF529),$AF$2:$AF$1001,0),MATCH(COLUMNS($AM$1006:BJ1006),$AM$1006:$BM$1006,0)), HYPERLINK("#",""), HYPERLINK(CONCATENATE("#metadata!", ADDRESS(INDEX($AH$2:$AH$1001,MATCH(ROWS($AF$2:AF529),$AF$2:$AF$1001,0),0), INDEX($AM$1004:$BM$1004,1,MATCH(COLUMNS($AM$1006:BJ1006),$AM$1006:$BM$1006,0)))),"Fix")))</f>
        <v xml:space="preserve"> </v>
      </c>
      <c r="Z529" s="4" t="str">
        <f ca="1">IF(OR(INDEX($AG$2:$AG$1001,MATCH(ROWS($AF$2:AF529),$AF$2:$AF$1001,0),1)&gt;=100000,INDEX($AM$1005:$BM$1005,1,MATCH(COLUMNS($AM$1006:BK1006),$AM$1006:$BM$1006,0))&gt;=100000), " ",IF(INDEX($AM$2:$BM$1001,MATCH(ROWS($AF$2:AF529),$AF$2:$AF$1001,0),MATCH(COLUMNS($AM$1006:BK1006),$AM$1006:$BM$1006,0)), HYPERLINK("#",""), HYPERLINK(CONCATENATE("#metadata!", ADDRESS(INDEX($AH$2:$AH$1001,MATCH(ROWS($AF$2:AF529),$AF$2:$AF$1001,0),0), INDEX($AM$1004:$BM$1004,1,MATCH(COLUMNS($AM$1006:BK1006),$AM$1006:$BM$1006,0)))),"Fix")))</f>
        <v xml:space="preserve"> </v>
      </c>
      <c r="AA529" s="4" t="str">
        <f ca="1">IF(OR(INDEX($AG$2:$AG$1001,MATCH(ROWS($AF$2:AF529),$AF$2:$AF$1001,0),1)&gt;=100000,INDEX($AM$1005:$BM$1005,1,MATCH(COLUMNS($AM$1006:BL1006),$AM$1006:$BM$1006,0))&gt;=100000), " ",IF(INDEX($AM$2:$BM$1001,MATCH(ROWS($AF$2:AF529),$AF$2:$AF$1001,0),MATCH(COLUMNS($AM$1006:BL1006),$AM$1006:$BM$1006,0)), HYPERLINK("#",""), HYPERLINK(CONCATENATE("#metadata!", ADDRESS(INDEX($AH$2:$AH$1001,MATCH(ROWS($AF$2:AF529),$AF$2:$AF$1001,0),0), INDEX($AM$1004:$BM$1004,1,MATCH(COLUMNS($AM$1006:BL1006),$AM$1006:$BM$1006,0)))),"Fix")))</f>
        <v xml:space="preserve"> </v>
      </c>
      <c r="AB529" s="4" t="str">
        <f ca="1">IF(OR(INDEX($AG$2:$AG$1001,MATCH(ROWS($AF$2:AF529),$AF$2:$AF$1001,0),1)&gt;=100000,INDEX($AM$1005:$BM$1005,1,MATCH(COLUMNS($AM$1006:BM1006),$AM$1006:$BM$1006,0))&gt;=100000), " ",IF(INDEX($AM$2:$BM$1001,MATCH(ROWS($AF$2:AF529),$AF$2:$AF$1001,0),MATCH(COLUMNS($AM$1006:BM1006),$AM$1006:$BM$1006,0)), HYPERLINK("#",""), HYPERLINK(CONCATENATE("#metadata!", ADDRESS(INDEX($AH$2:$AH$1001,MATCH(ROWS($AF$2:AF529),$AF$2:$AF$1001,0),0), INDEX($AM$1004:$BM$1004,1,MATCH(COLUMNS($AM$1006:BM1006),$AM$1006:$BM$1006,0)))),"Fix")))</f>
        <v xml:space="preserve"> </v>
      </c>
      <c r="AF529">
        <v>528</v>
      </c>
      <c r="AG529">
        <v>100529</v>
      </c>
      <c r="AH529">
        <v>529</v>
      </c>
      <c r="AI529" t="b">
        <f t="shared" si="8"/>
        <v>1</v>
      </c>
      <c r="AJ529" t="b">
        <f>COUNTBLANK(metadata!B529:AB529)=COLUMNS(metadata!B529:AB529)</f>
        <v>1</v>
      </c>
      <c r="AK529" t="str">
        <v/>
      </c>
      <c r="AM529" t="b">
        <f ca="1">AND(IF(metadata!B529="",FALSE,TRUE),COUNTIF(metadata!B:B, metadata!B529) = 1,NOT(ISERROR(SUMPRODUCT(SEARCH(MID(metadata!B529,ROW(INDIRECT("1:"&amp;LEN(metadata!B529))), 1),"0123456789abcdefghijklmnopqrstuvwxyzABCDEFGHIJKLMNOPQRSTUVWXYZ.")))))</f>
        <v>0</v>
      </c>
      <c r="AN529" t="b">
        <f ca="1">OR(AND(IF(metadata!C529="",FALSE,TRUE),OR(EXACT(metadata!C529,"missing: not collected"),EXACT(metadata!C529,"missing: not provided"),EXACT(metadata!C529,"missing: restricted access"))),AND(IF(metadata!C529="",FALSE,TRUE),AND(AND(IFERROR(INT(LEFT(metadata!C529,4))&gt;1900,FALSE),IFERROR(INT(LEFT(metadata!C529,4))&lt;=YEAR(NOW()),FALSE)), OR(MID(metadata!C529,5,1)="", AND(AND(MID(metadata!C529,5,1)="-",IFERROR(INT(MID(metadata!C529,6,1))&gt;=0,FALSE),IFERROR(INT(MID(metadata!C529,6,1))&lt;=1,FALSE),NOT(MID(metadata!C529,7,1)=""),IFERROR(INT(MID(metadata!C529,6,2))&gt;=1,FALSE),IFERROR(INT(MID(metadata!C529,6,2))&lt;=12,FALSE)), OR(MID(metadata!C529,8,1)="", AND(AND(MID(metadata!C529,8,1)="-",IFERROR(INT(MID(metadata!C529,9,1))&gt;=0,FALSE),IFERROR(INT(MID(metadata!C529,9,1))&lt;=3,FALSE),NOT(MID(metadata!C529,10,1)=""),IFERROR(INT(MID(metadata!C529,9,2))&gt;=1,FALSE),IFERROR(INT(MID(metadata!C529,9,2))&lt;=31,FALSE)), OR(MID(metadata!C529,11,1)="", AND(AND(MID(metadata!C529,11,1)=" ",IFERROR(INT(MID(metadata!C529,12,1))&gt;=0,FALSE),IFERROR(INT(MID(metadata!C529,12,1))&lt;=2,FALSE),NOT(MID(metadata!C529,13,1)=""),IFERROR(INT(MID(metadata!C529,12,2))&gt;=0,FALSE),IFERROR(INT(MID(metadata!C529,12,2))&lt;=23,FALSE)), OR(MID(metadata!C529,14,1)="", AND(AND(MID(metadata!C529,14,1)=":",IFERROR(INT(MID(metadata!C529,15,1))&gt;=0,FALSE),IFERROR(INT(MID(metadata!C529,15,1))&lt;=5,FALSE),NOT(MID(metadata!C529,16,1)=""),IFERROR(INT(MID(metadata!C529,15,2))&gt;=0,FALSE),IFERROR(INT(MID(metadata!C529,15,2))&lt;=59,FALSE)), OR(MID(metadata!C529,17,1)="", AND(AND(MID(metadata!C529,17,1)=":",IFERROR(INT(MID(metadata!C529,18,1))&gt;=0,FALSE),IFERROR(INT(MID(metadata!C529,18,1))&lt;=5,FALSE),NOT(MID(metadata!C529,19,1)=""),IFERROR(INT(MID(metadata!C529,18,2))&gt;=0,FALSE),IFERROR(INT(MID(metadata!C529,18,2))&lt;=59,FALSE)), LEN(metadata!C529)&lt;=19)))))))))))))</f>
        <v>0</v>
      </c>
      <c r="AO529" t="b">
        <f>AND(IF(metadata!D529="",FALSE,TRUE),EXACT(metadata!D529,"Not applicable"))</f>
        <v>0</v>
      </c>
      <c r="AP529" t="b">
        <f>IF(metadata!E529="",FALSE,TRUE)</f>
        <v>0</v>
      </c>
      <c r="AQ529" t="b">
        <f>OR(AND(IF(metadata!F529="",FALSE,TRUE),OR(EXACT(metadata!F529,"missing: not collected"),EXACT(metadata!F529,"missing: not provided"))),AND(IF(metadata!F529="",FALSE,TRUE),OR(EXACT(metadata!F529,"TRUE"),EXACT(metadata!F529,"FALSE"))))</f>
        <v>0</v>
      </c>
      <c r="AR529" t="b">
        <f>OR(AND(IF(metadata!G529="",FALSE,TRUE),OR(EXACT(metadata!G529,"missing: not collected"),EXACT(metadata!G529,"missing: not provided"),EXACT(metadata!G529,"missing: restricted access"))),AND(IF(metadata!G529="",FALSE,ISNUMBER(VALUE(metadata!G529))),metadata!G529&gt;=-413))</f>
        <v>0</v>
      </c>
      <c r="AS529" t="b">
        <f>AND(IF(metadata!H529="",FALSE,TRUE),EXACT(metadata!H529,"meters"))</f>
        <v>0</v>
      </c>
      <c r="AT529" t="b">
        <f>AND(IF(metadata!I529="",FALSE,TRUE),OR(EXACT(metadata!I529,"Host-associated"),EXACT(metadata!I529,"Free-living")))</f>
        <v>0</v>
      </c>
      <c r="AU529" t="b">
        <f>AND(IF(metadata!J529="",FALSE,TRUE),OR(EXACT(metadata!J529,"Animal"),EXACT(metadata!J529,"Fungus"),EXACT(metadata!J529,"Plant"),EXACT(metadata!J529,"Saline"),EXACT(metadata!J529,"Non-saline")))</f>
        <v>0</v>
      </c>
      <c r="AV529" t="b">
        <f>AND(IF(metadata!K529="",FALSE,TRUE),OR(EXACT(metadata!K529,"Plant secretion"),EXACT(metadata!K529,"Plant rhizosphere"),EXACT(metadata!K529,"Plant surface"),EXACT(metadata!K529,"Plant corpus"),EXACT(metadata!K529,"Fungus surface"),EXACT(metadata!K529,"Fungus corpus"),EXACT(metadata!K529,"Animal surface"),EXACT(metadata!K529,"Animal proximal gut"),EXACT(metadata!K529,"Animal corpus"),EXACT(metadata!K529,"Animal distal gut"),EXACT(metadata!K529,"Animal secretion"),EXACT(metadata!K529,"Sub-surface (non-saline)"),EXACT(metadata!K529,"Surface (non-saline)"),EXACT(metadata!K529,"Water (non-saline)"),EXACT(metadata!K529,"Soil (non-saline)"),EXACT(metadata!K529,"Aerosol (non-saline)"),EXACT(metadata!K529,"Sediment (non-saline)"),EXACT(metadata!K529,"Surface (saline)"),EXACT(metadata!K529,"Water (saline)"),EXACT(metadata!K529,"Hypersaline (saline)"),EXACT(metadata!K529,"Aerosol (saline)"),EXACT(metadata!K529,"Sediment (saline)")))</f>
        <v>0</v>
      </c>
      <c r="AW529" t="b">
        <f>IF(metadata!L529="",FALSE,TRUE)</f>
        <v>0</v>
      </c>
      <c r="AX529" t="b">
        <f>IF(metadata!M529="",FALSE,TRUE)</f>
        <v>0</v>
      </c>
      <c r="AY529" t="b">
        <f>IF(metadata!N529="",FALSE,TRUE)</f>
        <v>0</v>
      </c>
      <c r="AZ529" t="b">
        <f>OR(AND(IF(metadata!O529="",FALSE,TRUE),OR(EXACT(metadata!O529,"missing: not collected"),EXACT(metadata!O529,"missing: not provided"),EXACT(metadata!O529,"missing: restricted access"))),AND(IF(metadata!O529="",FALSE,TRUE),OR(EXACT(metadata!O529,"air"),EXACT(metadata!O529,"built environment"),EXACT(metadata!O529,"host-associated"),EXACT(metadata!O529,"human-associated"),EXACT(metadata!O529,"human-skin"),EXACT(metadata!O529,"human-oral"),EXACT(metadata!O529,"human-gut"),EXACT(metadata!O529,"human-vaginal"),EXACT(metadata!O529,"microbial mat/biofilm"),EXACT(metadata!O529,"misc environment"),EXACT(metadata!O529,"plant-associated"),EXACT(metadata!O529,"sediment"),EXACT(metadata!O529,"soil"),EXACT(metadata!O529,"wastewater/sludge"),EXACT(metadata!O529,"water"))))</f>
        <v>0</v>
      </c>
      <c r="BA529" t="b">
        <f>IF(metadata!P529="",FALSE,TRUE)</f>
        <v>0</v>
      </c>
      <c r="BB529" t="b">
        <f>IF(metadata!Q529="",FALSE,TRUE)</f>
        <v>0</v>
      </c>
      <c r="BC529" t="b">
        <f>OR(AND(IF(metadata!R529="",FALSE,TRUE),OR(EXACT(metadata!R529,"missing: not collected"),EXACT(metadata!R529,"missing: not provided"),EXACT(metadata!R529,"missing: restricted access"))),AND(IF(metadata!R529="",FALSE,ISNUMBER(VALUE(metadata!R529))),metadata!R529&gt;=-90,metadata!R529&lt;=90))</f>
        <v>0</v>
      </c>
      <c r="BD529" t="b">
        <f>AND(IF(metadata!S529="",FALSE,TRUE),EXACT(metadata!S529,"Decimal degrees"))</f>
        <v>0</v>
      </c>
      <c r="BE529" t="b">
        <f>OR(AND(IF(metadata!T529="",FALSE,TRUE),OR(EXACT(metadata!T529,"missing: not collected"),EXACT(metadata!T529,"missing: not provided"),EXACT(metadata!T529,"missing: restricted access"))),AND(IF(metadata!T529="",FALSE,ISNUMBER(VALUE(metadata!T529))),metadata!T529&gt;=-180,metadata!T529&lt;=180))</f>
        <v>0</v>
      </c>
      <c r="BF529" t="b">
        <f>AND(IF(metadata!U529="",FALSE,TRUE),EXACT(metadata!U529,"Decimal degrees"))</f>
        <v>0</v>
      </c>
      <c r="BG529" t="b">
        <f>IF(metadata!V529="",FALSE,TRUE)</f>
        <v>0</v>
      </c>
      <c r="BH529" t="b">
        <f>OR(AND(IF(metadata!W529="",FALSE,TRUE),OR(EXACT(metadata!W529,"missing: not collected"),EXACT(metadata!W529,"missing: not provided"),EXACT(metadata!W529,"missing: restricted access"))),AND(IF(metadata!W529="",FALSE,TRUE),OR(EXACT(metadata!W529,"TRUE"),EXACT(metadata!W529,"FALSE"))))</f>
        <v>0</v>
      </c>
      <c r="BI529" t="b">
        <f>AND(IF(metadata!X529="",FALSE,TRUE),EXACT(metadata!X529,"other"))</f>
        <v>0</v>
      </c>
      <c r="BJ529" t="b">
        <f>IF(metadata!Y529="",FALSE,TRUE)</f>
        <v>0</v>
      </c>
      <c r="BK529" t="b">
        <f>OR(AND(IF(metadata!Z529="",FALSE,TRUE),OR(EXACT(metadata!Z529,"missing: not collected"),EXACT(metadata!Z529,"missing: not provided"))),AND(IF(metadata!Z529="",FALSE,IF(ISERROR(INT(metadata!Z529)),FALSE,INT(metadata!Z529)=metadata!Z529)),metadata!Z529&gt;0))</f>
        <v>0</v>
      </c>
      <c r="BL529" t="b">
        <f>AND(IF(metadata!AA529="",FALSE,TRUE),EXACT(metadata!AA529,"Not applicable"))</f>
        <v>0</v>
      </c>
      <c r="BM529" t="b">
        <f>IF(metadata!AB529="",FALSE,TRUE)</f>
        <v>0</v>
      </c>
    </row>
    <row r="530" spans="1:65" x14ac:dyDescent="0.2">
      <c r="A530" s="5" t="str">
        <f ca="1">IF(B530=" "," ",HYPERLINK(CONCATENATE("#metadata!",ADDRESS(INDEX($AH$2:$AH$1001,MATCH(ROWS($AF$2:AF530),$AF$2:$AF$1001,0),0),1)),INDEX($AK$2:$AK$1001,MATCH(ROWS($AF$2:AF530),$AF$2:$AF$1001,0),0)))</f>
        <v xml:space="preserve"> </v>
      </c>
      <c r="B530" s="4" t="str">
        <f ca="1">IF(OR(INDEX($AG$2:$AG$1001,MATCH(ROWS($AF$2:AF530),$AF$2:$AF$1001,0),1)&gt;=100000,INDEX($AM$1005:$BM$1005,1,MATCH(COLUMNS($AM$1006:AM1006),$AM$1006:$BM$1006,0))&gt;=100000), " ",IF(INDEX($AM$2:$BM$1001,MATCH(ROWS($AF$2:AF530),$AF$2:$AF$1001,0),MATCH(COLUMNS($AM$1006:AM1006),$AM$1006:$BM$1006,0)), HYPERLINK("#",""), HYPERLINK(CONCATENATE("#metadata!", ADDRESS(INDEX($AH$2:$AH$1001,MATCH(ROWS($AF$2:AF530),$AF$2:$AF$1001,0),0), INDEX($AM$1004:$BM$1004,1,MATCH(COLUMNS($AM$1006:AM1006),$AM$1006:$BM$1006,0)))),"Fix")))</f>
        <v xml:space="preserve"> </v>
      </c>
      <c r="C530" s="4" t="str">
        <f ca="1">IF(OR(INDEX($AG$2:$AG$1001,MATCH(ROWS($AF$2:AF530),$AF$2:$AF$1001,0),1)&gt;=100000,INDEX($AM$1005:$BM$1005,1,MATCH(COLUMNS($AM$1006:AN1006),$AM$1006:$BM$1006,0))&gt;=100000), " ",IF(INDEX($AM$2:$BM$1001,MATCH(ROWS($AF$2:AF530),$AF$2:$AF$1001,0),MATCH(COLUMNS($AM$1006:AN1006),$AM$1006:$BM$1006,0)), HYPERLINK("#",""), HYPERLINK(CONCATENATE("#metadata!", ADDRESS(INDEX($AH$2:$AH$1001,MATCH(ROWS($AF$2:AF530),$AF$2:$AF$1001,0),0), INDEX($AM$1004:$BM$1004,1,MATCH(COLUMNS($AM$1006:AN1006),$AM$1006:$BM$1006,0)))),"Fix")))</f>
        <v xml:space="preserve"> </v>
      </c>
      <c r="D530" s="4" t="str">
        <f ca="1">IF(OR(INDEX($AG$2:$AG$1001,MATCH(ROWS($AF$2:AF530),$AF$2:$AF$1001,0),1)&gt;=100000,INDEX($AM$1005:$BM$1005,1,MATCH(COLUMNS($AM$1006:AO1006),$AM$1006:$BM$1006,0))&gt;=100000), " ",IF(INDEX($AM$2:$BM$1001,MATCH(ROWS($AF$2:AF530),$AF$2:$AF$1001,0),MATCH(COLUMNS($AM$1006:AO1006),$AM$1006:$BM$1006,0)), HYPERLINK("#",""), HYPERLINK(CONCATENATE("#metadata!", ADDRESS(INDEX($AH$2:$AH$1001,MATCH(ROWS($AF$2:AF530),$AF$2:$AF$1001,0),0), INDEX($AM$1004:$BM$1004,1,MATCH(COLUMNS($AM$1006:AO1006),$AM$1006:$BM$1006,0)))),"Fix")))</f>
        <v xml:space="preserve"> </v>
      </c>
      <c r="E530" s="4" t="str">
        <f ca="1">IF(OR(INDEX($AG$2:$AG$1001,MATCH(ROWS($AF$2:AF530),$AF$2:$AF$1001,0),1)&gt;=100000,INDEX($AM$1005:$BM$1005,1,MATCH(COLUMNS($AM$1006:AP1006),$AM$1006:$BM$1006,0))&gt;=100000), " ",IF(INDEX($AM$2:$BM$1001,MATCH(ROWS($AF$2:AF530),$AF$2:$AF$1001,0),MATCH(COLUMNS($AM$1006:AP1006),$AM$1006:$BM$1006,0)), HYPERLINK("#",""), HYPERLINK(CONCATENATE("#metadata!", ADDRESS(INDEX($AH$2:$AH$1001,MATCH(ROWS($AF$2:AF530),$AF$2:$AF$1001,0),0), INDEX($AM$1004:$BM$1004,1,MATCH(COLUMNS($AM$1006:AP1006),$AM$1006:$BM$1006,0)))),"Fix")))</f>
        <v xml:space="preserve"> </v>
      </c>
      <c r="F530" s="4" t="str">
        <f ca="1">IF(OR(INDEX($AG$2:$AG$1001,MATCH(ROWS($AF$2:AF530),$AF$2:$AF$1001,0),1)&gt;=100000,INDEX($AM$1005:$BM$1005,1,MATCH(COLUMNS($AM$1006:AQ1006),$AM$1006:$BM$1006,0))&gt;=100000), " ",IF(INDEX($AM$2:$BM$1001,MATCH(ROWS($AF$2:AF530),$AF$2:$AF$1001,0),MATCH(COLUMNS($AM$1006:AQ1006),$AM$1006:$BM$1006,0)), HYPERLINK("#",""), HYPERLINK(CONCATENATE("#metadata!", ADDRESS(INDEX($AH$2:$AH$1001,MATCH(ROWS($AF$2:AF530),$AF$2:$AF$1001,0),0), INDEX($AM$1004:$BM$1004,1,MATCH(COLUMNS($AM$1006:AQ1006),$AM$1006:$BM$1006,0)))),"Fix")))</f>
        <v xml:space="preserve"> </v>
      </c>
      <c r="G530" s="4" t="str">
        <f ca="1">IF(OR(INDEX($AG$2:$AG$1001,MATCH(ROWS($AF$2:AF530),$AF$2:$AF$1001,0),1)&gt;=100000,INDEX($AM$1005:$BM$1005,1,MATCH(COLUMNS($AM$1006:AR1006),$AM$1006:$BM$1006,0))&gt;=100000), " ",IF(INDEX($AM$2:$BM$1001,MATCH(ROWS($AF$2:AF530),$AF$2:$AF$1001,0),MATCH(COLUMNS($AM$1006:AR1006),$AM$1006:$BM$1006,0)), HYPERLINK("#",""), HYPERLINK(CONCATENATE("#metadata!", ADDRESS(INDEX($AH$2:$AH$1001,MATCH(ROWS($AF$2:AF530),$AF$2:$AF$1001,0),0), INDEX($AM$1004:$BM$1004,1,MATCH(COLUMNS($AM$1006:AR1006),$AM$1006:$BM$1006,0)))),"Fix")))</f>
        <v xml:space="preserve"> </v>
      </c>
      <c r="H530" s="4" t="str">
        <f ca="1">IF(OR(INDEX($AG$2:$AG$1001,MATCH(ROWS($AF$2:AF530),$AF$2:$AF$1001,0),1)&gt;=100000,INDEX($AM$1005:$BM$1005,1,MATCH(COLUMNS($AM$1006:AS1006),$AM$1006:$BM$1006,0))&gt;=100000), " ",IF(INDEX($AM$2:$BM$1001,MATCH(ROWS($AF$2:AF530),$AF$2:$AF$1001,0),MATCH(COLUMNS($AM$1006:AS1006),$AM$1006:$BM$1006,0)), HYPERLINK("#",""), HYPERLINK(CONCATENATE("#metadata!", ADDRESS(INDEX($AH$2:$AH$1001,MATCH(ROWS($AF$2:AF530),$AF$2:$AF$1001,0),0), INDEX($AM$1004:$BM$1004,1,MATCH(COLUMNS($AM$1006:AS1006),$AM$1006:$BM$1006,0)))),"Fix")))</f>
        <v xml:space="preserve"> </v>
      </c>
      <c r="I530" s="4" t="str">
        <f ca="1">IF(OR(INDEX($AG$2:$AG$1001,MATCH(ROWS($AF$2:AF530),$AF$2:$AF$1001,0),1)&gt;=100000,INDEX($AM$1005:$BM$1005,1,MATCH(COLUMNS($AM$1006:AT1006),$AM$1006:$BM$1006,0))&gt;=100000), " ",IF(INDEX($AM$2:$BM$1001,MATCH(ROWS($AF$2:AF530),$AF$2:$AF$1001,0),MATCH(COLUMNS($AM$1006:AT1006),$AM$1006:$BM$1006,0)), HYPERLINK("#",""), HYPERLINK(CONCATENATE("#metadata!", ADDRESS(INDEX($AH$2:$AH$1001,MATCH(ROWS($AF$2:AF530),$AF$2:$AF$1001,0),0), INDEX($AM$1004:$BM$1004,1,MATCH(COLUMNS($AM$1006:AT1006),$AM$1006:$BM$1006,0)))),"Fix")))</f>
        <v xml:space="preserve"> </v>
      </c>
      <c r="J530" s="4" t="str">
        <f ca="1">IF(OR(INDEX($AG$2:$AG$1001,MATCH(ROWS($AF$2:AF530),$AF$2:$AF$1001,0),1)&gt;=100000,INDEX($AM$1005:$BM$1005,1,MATCH(COLUMNS($AM$1006:AU1006),$AM$1006:$BM$1006,0))&gt;=100000), " ",IF(INDEX($AM$2:$BM$1001,MATCH(ROWS($AF$2:AF530),$AF$2:$AF$1001,0),MATCH(COLUMNS($AM$1006:AU1006),$AM$1006:$BM$1006,0)), HYPERLINK("#",""), HYPERLINK(CONCATENATE("#metadata!", ADDRESS(INDEX($AH$2:$AH$1001,MATCH(ROWS($AF$2:AF530),$AF$2:$AF$1001,0),0), INDEX($AM$1004:$BM$1004,1,MATCH(COLUMNS($AM$1006:AU1006),$AM$1006:$BM$1006,0)))),"Fix")))</f>
        <v xml:space="preserve"> </v>
      </c>
      <c r="K530" s="4" t="str">
        <f ca="1">IF(OR(INDEX($AG$2:$AG$1001,MATCH(ROWS($AF$2:AF530),$AF$2:$AF$1001,0),1)&gt;=100000,INDEX($AM$1005:$BM$1005,1,MATCH(COLUMNS($AM$1006:AV1006),$AM$1006:$BM$1006,0))&gt;=100000), " ",IF(INDEX($AM$2:$BM$1001,MATCH(ROWS($AF$2:AF530),$AF$2:$AF$1001,0),MATCH(COLUMNS($AM$1006:AV1006),$AM$1006:$BM$1006,0)), HYPERLINK("#",""), HYPERLINK(CONCATENATE("#metadata!", ADDRESS(INDEX($AH$2:$AH$1001,MATCH(ROWS($AF$2:AF530),$AF$2:$AF$1001,0),0), INDEX($AM$1004:$BM$1004,1,MATCH(COLUMNS($AM$1006:AV1006),$AM$1006:$BM$1006,0)))),"Fix")))</f>
        <v xml:space="preserve"> </v>
      </c>
      <c r="L530" s="4" t="str">
        <f ca="1">IF(OR(INDEX($AG$2:$AG$1001,MATCH(ROWS($AF$2:AF530),$AF$2:$AF$1001,0),1)&gt;=100000,INDEX($AM$1005:$BM$1005,1,MATCH(COLUMNS($AM$1006:AW1006),$AM$1006:$BM$1006,0))&gt;=100000), " ",IF(INDEX($AM$2:$BM$1001,MATCH(ROWS($AF$2:AF530),$AF$2:$AF$1001,0),MATCH(COLUMNS($AM$1006:AW1006),$AM$1006:$BM$1006,0)), HYPERLINK("#",""), HYPERLINK(CONCATENATE("#metadata!", ADDRESS(INDEX($AH$2:$AH$1001,MATCH(ROWS($AF$2:AF530),$AF$2:$AF$1001,0),0), INDEX($AM$1004:$BM$1004,1,MATCH(COLUMNS($AM$1006:AW1006),$AM$1006:$BM$1006,0)))),"Fix")))</f>
        <v xml:space="preserve"> </v>
      </c>
      <c r="M530" s="4" t="str">
        <f ca="1">IF(OR(INDEX($AG$2:$AG$1001,MATCH(ROWS($AF$2:AF530),$AF$2:$AF$1001,0),1)&gt;=100000,INDEX($AM$1005:$BM$1005,1,MATCH(COLUMNS($AM$1006:AX1006),$AM$1006:$BM$1006,0))&gt;=100000), " ",IF(INDEX($AM$2:$BM$1001,MATCH(ROWS($AF$2:AF530),$AF$2:$AF$1001,0),MATCH(COLUMNS($AM$1006:AX1006),$AM$1006:$BM$1006,0)), HYPERLINK("#",""), HYPERLINK(CONCATENATE("#metadata!", ADDRESS(INDEX($AH$2:$AH$1001,MATCH(ROWS($AF$2:AF530),$AF$2:$AF$1001,0),0), INDEX($AM$1004:$BM$1004,1,MATCH(COLUMNS($AM$1006:AX1006),$AM$1006:$BM$1006,0)))),"Fix")))</f>
        <v xml:space="preserve"> </v>
      </c>
      <c r="N530" s="4" t="str">
        <f ca="1">IF(OR(INDEX($AG$2:$AG$1001,MATCH(ROWS($AF$2:AF530),$AF$2:$AF$1001,0),1)&gt;=100000,INDEX($AM$1005:$BM$1005,1,MATCH(COLUMNS($AM$1006:AY1006),$AM$1006:$BM$1006,0))&gt;=100000), " ",IF(INDEX($AM$2:$BM$1001,MATCH(ROWS($AF$2:AF530),$AF$2:$AF$1001,0),MATCH(COLUMNS($AM$1006:AY1006),$AM$1006:$BM$1006,0)), HYPERLINK("#",""), HYPERLINK(CONCATENATE("#metadata!", ADDRESS(INDEX($AH$2:$AH$1001,MATCH(ROWS($AF$2:AF530),$AF$2:$AF$1001,0),0), INDEX($AM$1004:$BM$1004,1,MATCH(COLUMNS($AM$1006:AY1006),$AM$1006:$BM$1006,0)))),"Fix")))</f>
        <v xml:space="preserve"> </v>
      </c>
      <c r="O530" s="4" t="str">
        <f ca="1">IF(OR(INDEX($AG$2:$AG$1001,MATCH(ROWS($AF$2:AF530),$AF$2:$AF$1001,0),1)&gt;=100000,INDEX($AM$1005:$BM$1005,1,MATCH(COLUMNS($AM$1006:AZ1006),$AM$1006:$BM$1006,0))&gt;=100000), " ",IF(INDEX($AM$2:$BM$1001,MATCH(ROWS($AF$2:AF530),$AF$2:$AF$1001,0),MATCH(COLUMNS($AM$1006:AZ1006),$AM$1006:$BM$1006,0)), HYPERLINK("#",""), HYPERLINK(CONCATENATE("#metadata!", ADDRESS(INDEX($AH$2:$AH$1001,MATCH(ROWS($AF$2:AF530),$AF$2:$AF$1001,0),0), INDEX($AM$1004:$BM$1004,1,MATCH(COLUMNS($AM$1006:AZ1006),$AM$1006:$BM$1006,0)))),"Fix")))</f>
        <v xml:space="preserve"> </v>
      </c>
      <c r="P530" s="4" t="str">
        <f ca="1">IF(OR(INDEX($AG$2:$AG$1001,MATCH(ROWS($AF$2:AF530),$AF$2:$AF$1001,0),1)&gt;=100000,INDEX($AM$1005:$BM$1005,1,MATCH(COLUMNS($AM$1006:BA1006),$AM$1006:$BM$1006,0))&gt;=100000), " ",IF(INDEX($AM$2:$BM$1001,MATCH(ROWS($AF$2:AF530),$AF$2:$AF$1001,0),MATCH(COLUMNS($AM$1006:BA1006),$AM$1006:$BM$1006,0)), HYPERLINK("#",""), HYPERLINK(CONCATENATE("#metadata!", ADDRESS(INDEX($AH$2:$AH$1001,MATCH(ROWS($AF$2:AF530),$AF$2:$AF$1001,0),0), INDEX($AM$1004:$BM$1004,1,MATCH(COLUMNS($AM$1006:BA1006),$AM$1006:$BM$1006,0)))),"Fix")))</f>
        <v xml:space="preserve"> </v>
      </c>
      <c r="Q530" s="4" t="str">
        <f ca="1">IF(OR(INDEX($AG$2:$AG$1001,MATCH(ROWS($AF$2:AF530),$AF$2:$AF$1001,0),1)&gt;=100000,INDEX($AM$1005:$BM$1005,1,MATCH(COLUMNS($AM$1006:BB1006),$AM$1006:$BM$1006,0))&gt;=100000), " ",IF(INDEX($AM$2:$BM$1001,MATCH(ROWS($AF$2:AF530),$AF$2:$AF$1001,0),MATCH(COLUMNS($AM$1006:BB1006),$AM$1006:$BM$1006,0)), HYPERLINK("#",""), HYPERLINK(CONCATENATE("#metadata!", ADDRESS(INDEX($AH$2:$AH$1001,MATCH(ROWS($AF$2:AF530),$AF$2:$AF$1001,0),0), INDEX($AM$1004:$BM$1004,1,MATCH(COLUMNS($AM$1006:BB1006),$AM$1006:$BM$1006,0)))),"Fix")))</f>
        <v xml:space="preserve"> </v>
      </c>
      <c r="R530" s="4" t="str">
        <f ca="1">IF(OR(INDEX($AG$2:$AG$1001,MATCH(ROWS($AF$2:AF530),$AF$2:$AF$1001,0),1)&gt;=100000,INDEX($AM$1005:$BM$1005,1,MATCH(COLUMNS($AM$1006:BC1006),$AM$1006:$BM$1006,0))&gt;=100000), " ",IF(INDEX($AM$2:$BM$1001,MATCH(ROWS($AF$2:AF530),$AF$2:$AF$1001,0),MATCH(COLUMNS($AM$1006:BC1006),$AM$1006:$BM$1006,0)), HYPERLINK("#",""), HYPERLINK(CONCATENATE("#metadata!", ADDRESS(INDEX($AH$2:$AH$1001,MATCH(ROWS($AF$2:AF530),$AF$2:$AF$1001,0),0), INDEX($AM$1004:$BM$1004,1,MATCH(COLUMNS($AM$1006:BC1006),$AM$1006:$BM$1006,0)))),"Fix")))</f>
        <v xml:space="preserve"> </v>
      </c>
      <c r="S530" s="4" t="str">
        <f ca="1">IF(OR(INDEX($AG$2:$AG$1001,MATCH(ROWS($AF$2:AF530),$AF$2:$AF$1001,0),1)&gt;=100000,INDEX($AM$1005:$BM$1005,1,MATCH(COLUMNS($AM$1006:BD1006),$AM$1006:$BM$1006,0))&gt;=100000), " ",IF(INDEX($AM$2:$BM$1001,MATCH(ROWS($AF$2:AF530),$AF$2:$AF$1001,0),MATCH(COLUMNS($AM$1006:BD1006),$AM$1006:$BM$1006,0)), HYPERLINK("#",""), HYPERLINK(CONCATENATE("#metadata!", ADDRESS(INDEX($AH$2:$AH$1001,MATCH(ROWS($AF$2:AF530),$AF$2:$AF$1001,0),0), INDEX($AM$1004:$BM$1004,1,MATCH(COLUMNS($AM$1006:BD1006),$AM$1006:$BM$1006,0)))),"Fix")))</f>
        <v xml:space="preserve"> </v>
      </c>
      <c r="T530" s="4" t="str">
        <f ca="1">IF(OR(INDEX($AG$2:$AG$1001,MATCH(ROWS($AF$2:AF530),$AF$2:$AF$1001,0),1)&gt;=100000,INDEX($AM$1005:$BM$1005,1,MATCH(COLUMNS($AM$1006:BE1006),$AM$1006:$BM$1006,0))&gt;=100000), " ",IF(INDEX($AM$2:$BM$1001,MATCH(ROWS($AF$2:AF530),$AF$2:$AF$1001,0),MATCH(COLUMNS($AM$1006:BE1006),$AM$1006:$BM$1006,0)), HYPERLINK("#",""), HYPERLINK(CONCATENATE("#metadata!", ADDRESS(INDEX($AH$2:$AH$1001,MATCH(ROWS($AF$2:AF530),$AF$2:$AF$1001,0),0), INDEX($AM$1004:$BM$1004,1,MATCH(COLUMNS($AM$1006:BE1006),$AM$1006:$BM$1006,0)))),"Fix")))</f>
        <v xml:space="preserve"> </v>
      </c>
      <c r="U530" s="4" t="str">
        <f ca="1">IF(OR(INDEX($AG$2:$AG$1001,MATCH(ROWS($AF$2:AF530),$AF$2:$AF$1001,0),1)&gt;=100000,INDEX($AM$1005:$BM$1005,1,MATCH(COLUMNS($AM$1006:BF1006),$AM$1006:$BM$1006,0))&gt;=100000), " ",IF(INDEX($AM$2:$BM$1001,MATCH(ROWS($AF$2:AF530),$AF$2:$AF$1001,0),MATCH(COLUMNS($AM$1006:BF1006),$AM$1006:$BM$1006,0)), HYPERLINK("#",""), HYPERLINK(CONCATENATE("#metadata!", ADDRESS(INDEX($AH$2:$AH$1001,MATCH(ROWS($AF$2:AF530),$AF$2:$AF$1001,0),0), INDEX($AM$1004:$BM$1004,1,MATCH(COLUMNS($AM$1006:BF1006),$AM$1006:$BM$1006,0)))),"Fix")))</f>
        <v xml:space="preserve"> </v>
      </c>
      <c r="V530" s="4" t="str">
        <f ca="1">IF(OR(INDEX($AG$2:$AG$1001,MATCH(ROWS($AF$2:AF530),$AF$2:$AF$1001,0),1)&gt;=100000,INDEX($AM$1005:$BM$1005,1,MATCH(COLUMNS($AM$1006:BG1006),$AM$1006:$BM$1006,0))&gt;=100000), " ",IF(INDEX($AM$2:$BM$1001,MATCH(ROWS($AF$2:AF530),$AF$2:$AF$1001,0),MATCH(COLUMNS($AM$1006:BG1006),$AM$1006:$BM$1006,0)), HYPERLINK("#",""), HYPERLINK(CONCATENATE("#metadata!", ADDRESS(INDEX($AH$2:$AH$1001,MATCH(ROWS($AF$2:AF530),$AF$2:$AF$1001,0),0), INDEX($AM$1004:$BM$1004,1,MATCH(COLUMNS($AM$1006:BG1006),$AM$1006:$BM$1006,0)))),"Fix")))</f>
        <v xml:space="preserve"> </v>
      </c>
      <c r="W530" s="4" t="str">
        <f ca="1">IF(OR(INDEX($AG$2:$AG$1001,MATCH(ROWS($AF$2:AF530),$AF$2:$AF$1001,0),1)&gt;=100000,INDEX($AM$1005:$BM$1005,1,MATCH(COLUMNS($AM$1006:BH1006),$AM$1006:$BM$1006,0))&gt;=100000), " ",IF(INDEX($AM$2:$BM$1001,MATCH(ROWS($AF$2:AF530),$AF$2:$AF$1001,0),MATCH(COLUMNS($AM$1006:BH1006),$AM$1006:$BM$1006,0)), HYPERLINK("#",""), HYPERLINK(CONCATENATE("#metadata!", ADDRESS(INDEX($AH$2:$AH$1001,MATCH(ROWS($AF$2:AF530),$AF$2:$AF$1001,0),0), INDEX($AM$1004:$BM$1004,1,MATCH(COLUMNS($AM$1006:BH1006),$AM$1006:$BM$1006,0)))),"Fix")))</f>
        <v xml:space="preserve"> </v>
      </c>
      <c r="X530" s="4" t="str">
        <f ca="1">IF(OR(INDEX($AG$2:$AG$1001,MATCH(ROWS($AF$2:AF530),$AF$2:$AF$1001,0),1)&gt;=100000,INDEX($AM$1005:$BM$1005,1,MATCH(COLUMNS($AM$1006:BI1006),$AM$1006:$BM$1006,0))&gt;=100000), " ",IF(INDEX($AM$2:$BM$1001,MATCH(ROWS($AF$2:AF530),$AF$2:$AF$1001,0),MATCH(COLUMNS($AM$1006:BI1006),$AM$1006:$BM$1006,0)), HYPERLINK("#",""), HYPERLINK(CONCATENATE("#metadata!", ADDRESS(INDEX($AH$2:$AH$1001,MATCH(ROWS($AF$2:AF530),$AF$2:$AF$1001,0),0), INDEX($AM$1004:$BM$1004,1,MATCH(COLUMNS($AM$1006:BI1006),$AM$1006:$BM$1006,0)))),"Fix")))</f>
        <v xml:space="preserve"> </v>
      </c>
      <c r="Y530" s="4" t="str">
        <f ca="1">IF(OR(INDEX($AG$2:$AG$1001,MATCH(ROWS($AF$2:AF530),$AF$2:$AF$1001,0),1)&gt;=100000,INDEX($AM$1005:$BM$1005,1,MATCH(COLUMNS($AM$1006:BJ1006),$AM$1006:$BM$1006,0))&gt;=100000), " ",IF(INDEX($AM$2:$BM$1001,MATCH(ROWS($AF$2:AF530),$AF$2:$AF$1001,0),MATCH(COLUMNS($AM$1006:BJ1006),$AM$1006:$BM$1006,0)), HYPERLINK("#",""), HYPERLINK(CONCATENATE("#metadata!", ADDRESS(INDEX($AH$2:$AH$1001,MATCH(ROWS($AF$2:AF530),$AF$2:$AF$1001,0),0), INDEX($AM$1004:$BM$1004,1,MATCH(COLUMNS($AM$1006:BJ1006),$AM$1006:$BM$1006,0)))),"Fix")))</f>
        <v xml:space="preserve"> </v>
      </c>
      <c r="Z530" s="4" t="str">
        <f ca="1">IF(OR(INDEX($AG$2:$AG$1001,MATCH(ROWS($AF$2:AF530),$AF$2:$AF$1001,0),1)&gt;=100000,INDEX($AM$1005:$BM$1005,1,MATCH(COLUMNS($AM$1006:BK1006),$AM$1006:$BM$1006,0))&gt;=100000), " ",IF(INDEX($AM$2:$BM$1001,MATCH(ROWS($AF$2:AF530),$AF$2:$AF$1001,0),MATCH(COLUMNS($AM$1006:BK1006),$AM$1006:$BM$1006,0)), HYPERLINK("#",""), HYPERLINK(CONCATENATE("#metadata!", ADDRESS(INDEX($AH$2:$AH$1001,MATCH(ROWS($AF$2:AF530),$AF$2:$AF$1001,0),0), INDEX($AM$1004:$BM$1004,1,MATCH(COLUMNS($AM$1006:BK1006),$AM$1006:$BM$1006,0)))),"Fix")))</f>
        <v xml:space="preserve"> </v>
      </c>
      <c r="AA530" s="4" t="str">
        <f ca="1">IF(OR(INDEX($AG$2:$AG$1001,MATCH(ROWS($AF$2:AF530),$AF$2:$AF$1001,0),1)&gt;=100000,INDEX($AM$1005:$BM$1005,1,MATCH(COLUMNS($AM$1006:BL1006),$AM$1006:$BM$1006,0))&gt;=100000), " ",IF(INDEX($AM$2:$BM$1001,MATCH(ROWS($AF$2:AF530),$AF$2:$AF$1001,0),MATCH(COLUMNS($AM$1006:BL1006),$AM$1006:$BM$1006,0)), HYPERLINK("#",""), HYPERLINK(CONCATENATE("#metadata!", ADDRESS(INDEX($AH$2:$AH$1001,MATCH(ROWS($AF$2:AF530),$AF$2:$AF$1001,0),0), INDEX($AM$1004:$BM$1004,1,MATCH(COLUMNS($AM$1006:BL1006),$AM$1006:$BM$1006,0)))),"Fix")))</f>
        <v xml:space="preserve"> </v>
      </c>
      <c r="AB530" s="4" t="str">
        <f ca="1">IF(OR(INDEX($AG$2:$AG$1001,MATCH(ROWS($AF$2:AF530),$AF$2:$AF$1001,0),1)&gt;=100000,INDEX($AM$1005:$BM$1005,1,MATCH(COLUMNS($AM$1006:BM1006),$AM$1006:$BM$1006,0))&gt;=100000), " ",IF(INDEX($AM$2:$BM$1001,MATCH(ROWS($AF$2:AF530),$AF$2:$AF$1001,0),MATCH(COLUMNS($AM$1006:BM1006),$AM$1006:$BM$1006,0)), HYPERLINK("#",""), HYPERLINK(CONCATENATE("#metadata!", ADDRESS(INDEX($AH$2:$AH$1001,MATCH(ROWS($AF$2:AF530),$AF$2:$AF$1001,0),0), INDEX($AM$1004:$BM$1004,1,MATCH(COLUMNS($AM$1006:BM1006),$AM$1006:$BM$1006,0)))),"Fix")))</f>
        <v xml:space="preserve"> </v>
      </c>
      <c r="AF530">
        <v>529</v>
      </c>
      <c r="AG530">
        <v>100530</v>
      </c>
      <c r="AH530">
        <v>530</v>
      </c>
      <c r="AI530" t="b">
        <f t="shared" si="8"/>
        <v>1</v>
      </c>
      <c r="AJ530" t="b">
        <f>COUNTBLANK(metadata!B530:AB530)=COLUMNS(metadata!B530:AB530)</f>
        <v>1</v>
      </c>
      <c r="AK530" t="str">
        <v/>
      </c>
      <c r="AM530" t="b">
        <f ca="1">AND(IF(metadata!B530="",FALSE,TRUE),COUNTIF(metadata!B:B, metadata!B530) = 1,NOT(ISERROR(SUMPRODUCT(SEARCH(MID(metadata!B530,ROW(INDIRECT("1:"&amp;LEN(metadata!B530))), 1),"0123456789abcdefghijklmnopqrstuvwxyzABCDEFGHIJKLMNOPQRSTUVWXYZ.")))))</f>
        <v>0</v>
      </c>
      <c r="AN530" t="b">
        <f ca="1">OR(AND(IF(metadata!C530="",FALSE,TRUE),OR(EXACT(metadata!C530,"missing: not collected"),EXACT(metadata!C530,"missing: not provided"),EXACT(metadata!C530,"missing: restricted access"))),AND(IF(metadata!C530="",FALSE,TRUE),AND(AND(IFERROR(INT(LEFT(metadata!C530,4))&gt;1900,FALSE),IFERROR(INT(LEFT(metadata!C530,4))&lt;=YEAR(NOW()),FALSE)), OR(MID(metadata!C530,5,1)="", AND(AND(MID(metadata!C530,5,1)="-",IFERROR(INT(MID(metadata!C530,6,1))&gt;=0,FALSE),IFERROR(INT(MID(metadata!C530,6,1))&lt;=1,FALSE),NOT(MID(metadata!C530,7,1)=""),IFERROR(INT(MID(metadata!C530,6,2))&gt;=1,FALSE),IFERROR(INT(MID(metadata!C530,6,2))&lt;=12,FALSE)), OR(MID(metadata!C530,8,1)="", AND(AND(MID(metadata!C530,8,1)="-",IFERROR(INT(MID(metadata!C530,9,1))&gt;=0,FALSE),IFERROR(INT(MID(metadata!C530,9,1))&lt;=3,FALSE),NOT(MID(metadata!C530,10,1)=""),IFERROR(INT(MID(metadata!C530,9,2))&gt;=1,FALSE),IFERROR(INT(MID(metadata!C530,9,2))&lt;=31,FALSE)), OR(MID(metadata!C530,11,1)="", AND(AND(MID(metadata!C530,11,1)=" ",IFERROR(INT(MID(metadata!C530,12,1))&gt;=0,FALSE),IFERROR(INT(MID(metadata!C530,12,1))&lt;=2,FALSE),NOT(MID(metadata!C530,13,1)=""),IFERROR(INT(MID(metadata!C530,12,2))&gt;=0,FALSE),IFERROR(INT(MID(metadata!C530,12,2))&lt;=23,FALSE)), OR(MID(metadata!C530,14,1)="", AND(AND(MID(metadata!C530,14,1)=":",IFERROR(INT(MID(metadata!C530,15,1))&gt;=0,FALSE),IFERROR(INT(MID(metadata!C530,15,1))&lt;=5,FALSE),NOT(MID(metadata!C530,16,1)=""),IFERROR(INT(MID(metadata!C530,15,2))&gt;=0,FALSE),IFERROR(INT(MID(metadata!C530,15,2))&lt;=59,FALSE)), OR(MID(metadata!C530,17,1)="", AND(AND(MID(metadata!C530,17,1)=":",IFERROR(INT(MID(metadata!C530,18,1))&gt;=0,FALSE),IFERROR(INT(MID(metadata!C530,18,1))&lt;=5,FALSE),NOT(MID(metadata!C530,19,1)=""),IFERROR(INT(MID(metadata!C530,18,2))&gt;=0,FALSE),IFERROR(INT(MID(metadata!C530,18,2))&lt;=59,FALSE)), LEN(metadata!C530)&lt;=19)))))))))))))</f>
        <v>0</v>
      </c>
      <c r="AO530" t="b">
        <f>AND(IF(metadata!D530="",FALSE,TRUE),EXACT(metadata!D530,"Not applicable"))</f>
        <v>0</v>
      </c>
      <c r="AP530" t="b">
        <f>IF(metadata!E530="",FALSE,TRUE)</f>
        <v>0</v>
      </c>
      <c r="AQ530" t="b">
        <f>OR(AND(IF(metadata!F530="",FALSE,TRUE),OR(EXACT(metadata!F530,"missing: not collected"),EXACT(metadata!F530,"missing: not provided"))),AND(IF(metadata!F530="",FALSE,TRUE),OR(EXACT(metadata!F530,"TRUE"),EXACT(metadata!F530,"FALSE"))))</f>
        <v>0</v>
      </c>
      <c r="AR530" t="b">
        <f>OR(AND(IF(metadata!G530="",FALSE,TRUE),OR(EXACT(metadata!G530,"missing: not collected"),EXACT(metadata!G530,"missing: not provided"),EXACT(metadata!G530,"missing: restricted access"))),AND(IF(metadata!G530="",FALSE,ISNUMBER(VALUE(metadata!G530))),metadata!G530&gt;=-413))</f>
        <v>0</v>
      </c>
      <c r="AS530" t="b">
        <f>AND(IF(metadata!H530="",FALSE,TRUE),EXACT(metadata!H530,"meters"))</f>
        <v>0</v>
      </c>
      <c r="AT530" t="b">
        <f>AND(IF(metadata!I530="",FALSE,TRUE),OR(EXACT(metadata!I530,"Host-associated"),EXACT(metadata!I530,"Free-living")))</f>
        <v>0</v>
      </c>
      <c r="AU530" t="b">
        <f>AND(IF(metadata!J530="",FALSE,TRUE),OR(EXACT(metadata!J530,"Animal"),EXACT(metadata!J530,"Fungus"),EXACT(metadata!J530,"Plant"),EXACT(metadata!J530,"Saline"),EXACT(metadata!J530,"Non-saline")))</f>
        <v>0</v>
      </c>
      <c r="AV530" t="b">
        <f>AND(IF(metadata!K530="",FALSE,TRUE),OR(EXACT(metadata!K530,"Plant secretion"),EXACT(metadata!K530,"Plant rhizosphere"),EXACT(metadata!K530,"Plant surface"),EXACT(metadata!K530,"Plant corpus"),EXACT(metadata!K530,"Fungus surface"),EXACT(metadata!K530,"Fungus corpus"),EXACT(metadata!K530,"Animal surface"),EXACT(metadata!K530,"Animal proximal gut"),EXACT(metadata!K530,"Animal corpus"),EXACT(metadata!K530,"Animal distal gut"),EXACT(metadata!K530,"Animal secretion"),EXACT(metadata!K530,"Sub-surface (non-saline)"),EXACT(metadata!K530,"Surface (non-saline)"),EXACT(metadata!K530,"Water (non-saline)"),EXACT(metadata!K530,"Soil (non-saline)"),EXACT(metadata!K530,"Aerosol (non-saline)"),EXACT(metadata!K530,"Sediment (non-saline)"),EXACT(metadata!K530,"Surface (saline)"),EXACT(metadata!K530,"Water (saline)"),EXACT(metadata!K530,"Hypersaline (saline)"),EXACT(metadata!K530,"Aerosol (saline)"),EXACT(metadata!K530,"Sediment (saline)")))</f>
        <v>0</v>
      </c>
      <c r="AW530" t="b">
        <f>IF(metadata!L530="",FALSE,TRUE)</f>
        <v>0</v>
      </c>
      <c r="AX530" t="b">
        <f>IF(metadata!M530="",FALSE,TRUE)</f>
        <v>0</v>
      </c>
      <c r="AY530" t="b">
        <f>IF(metadata!N530="",FALSE,TRUE)</f>
        <v>0</v>
      </c>
      <c r="AZ530" t="b">
        <f>OR(AND(IF(metadata!O530="",FALSE,TRUE),OR(EXACT(metadata!O530,"missing: not collected"),EXACT(metadata!O530,"missing: not provided"),EXACT(metadata!O530,"missing: restricted access"))),AND(IF(metadata!O530="",FALSE,TRUE),OR(EXACT(metadata!O530,"air"),EXACT(metadata!O530,"built environment"),EXACT(metadata!O530,"host-associated"),EXACT(metadata!O530,"human-associated"),EXACT(metadata!O530,"human-skin"),EXACT(metadata!O530,"human-oral"),EXACT(metadata!O530,"human-gut"),EXACT(metadata!O530,"human-vaginal"),EXACT(metadata!O530,"microbial mat/biofilm"),EXACT(metadata!O530,"misc environment"),EXACT(metadata!O530,"plant-associated"),EXACT(metadata!O530,"sediment"),EXACT(metadata!O530,"soil"),EXACT(metadata!O530,"wastewater/sludge"),EXACT(metadata!O530,"water"))))</f>
        <v>0</v>
      </c>
      <c r="BA530" t="b">
        <f>IF(metadata!P530="",FALSE,TRUE)</f>
        <v>0</v>
      </c>
      <c r="BB530" t="b">
        <f>IF(metadata!Q530="",FALSE,TRUE)</f>
        <v>0</v>
      </c>
      <c r="BC530" t="b">
        <f>OR(AND(IF(metadata!R530="",FALSE,TRUE),OR(EXACT(metadata!R530,"missing: not collected"),EXACT(metadata!R530,"missing: not provided"),EXACT(metadata!R530,"missing: restricted access"))),AND(IF(metadata!R530="",FALSE,ISNUMBER(VALUE(metadata!R530))),metadata!R530&gt;=-90,metadata!R530&lt;=90))</f>
        <v>0</v>
      </c>
      <c r="BD530" t="b">
        <f>AND(IF(metadata!S530="",FALSE,TRUE),EXACT(metadata!S530,"Decimal degrees"))</f>
        <v>0</v>
      </c>
      <c r="BE530" t="b">
        <f>OR(AND(IF(metadata!T530="",FALSE,TRUE),OR(EXACT(metadata!T530,"missing: not collected"),EXACT(metadata!T530,"missing: not provided"),EXACT(metadata!T530,"missing: restricted access"))),AND(IF(metadata!T530="",FALSE,ISNUMBER(VALUE(metadata!T530))),metadata!T530&gt;=-180,metadata!T530&lt;=180))</f>
        <v>0</v>
      </c>
      <c r="BF530" t="b">
        <f>AND(IF(metadata!U530="",FALSE,TRUE),EXACT(metadata!U530,"Decimal degrees"))</f>
        <v>0</v>
      </c>
      <c r="BG530" t="b">
        <f>IF(metadata!V530="",FALSE,TRUE)</f>
        <v>0</v>
      </c>
      <c r="BH530" t="b">
        <f>OR(AND(IF(metadata!W530="",FALSE,TRUE),OR(EXACT(metadata!W530,"missing: not collected"),EXACT(metadata!W530,"missing: not provided"),EXACT(metadata!W530,"missing: restricted access"))),AND(IF(metadata!W530="",FALSE,TRUE),OR(EXACT(metadata!W530,"TRUE"),EXACT(metadata!W530,"FALSE"))))</f>
        <v>0</v>
      </c>
      <c r="BI530" t="b">
        <f>AND(IF(metadata!X530="",FALSE,TRUE),EXACT(metadata!X530,"other"))</f>
        <v>0</v>
      </c>
      <c r="BJ530" t="b">
        <f>IF(metadata!Y530="",FALSE,TRUE)</f>
        <v>0</v>
      </c>
      <c r="BK530" t="b">
        <f>OR(AND(IF(metadata!Z530="",FALSE,TRUE),OR(EXACT(metadata!Z530,"missing: not collected"),EXACT(metadata!Z530,"missing: not provided"))),AND(IF(metadata!Z530="",FALSE,IF(ISERROR(INT(metadata!Z530)),FALSE,INT(metadata!Z530)=metadata!Z530)),metadata!Z530&gt;0))</f>
        <v>0</v>
      </c>
      <c r="BL530" t="b">
        <f>AND(IF(metadata!AA530="",FALSE,TRUE),EXACT(metadata!AA530,"Not applicable"))</f>
        <v>0</v>
      </c>
      <c r="BM530" t="b">
        <f>IF(metadata!AB530="",FALSE,TRUE)</f>
        <v>0</v>
      </c>
    </row>
    <row r="531" spans="1:65" x14ac:dyDescent="0.2">
      <c r="A531" s="5" t="str">
        <f ca="1">IF(B531=" "," ",HYPERLINK(CONCATENATE("#metadata!",ADDRESS(INDEX($AH$2:$AH$1001,MATCH(ROWS($AF$2:AF531),$AF$2:$AF$1001,0),0),1)),INDEX($AK$2:$AK$1001,MATCH(ROWS($AF$2:AF531),$AF$2:$AF$1001,0),0)))</f>
        <v xml:space="preserve"> </v>
      </c>
      <c r="B531" s="4" t="str">
        <f ca="1">IF(OR(INDEX($AG$2:$AG$1001,MATCH(ROWS($AF$2:AF531),$AF$2:$AF$1001,0),1)&gt;=100000,INDEX($AM$1005:$BM$1005,1,MATCH(COLUMNS($AM$1006:AM1006),$AM$1006:$BM$1006,0))&gt;=100000), " ",IF(INDEX($AM$2:$BM$1001,MATCH(ROWS($AF$2:AF531),$AF$2:$AF$1001,0),MATCH(COLUMNS($AM$1006:AM1006),$AM$1006:$BM$1006,0)), HYPERLINK("#",""), HYPERLINK(CONCATENATE("#metadata!", ADDRESS(INDEX($AH$2:$AH$1001,MATCH(ROWS($AF$2:AF531),$AF$2:$AF$1001,0),0), INDEX($AM$1004:$BM$1004,1,MATCH(COLUMNS($AM$1006:AM1006),$AM$1006:$BM$1006,0)))),"Fix")))</f>
        <v xml:space="preserve"> </v>
      </c>
      <c r="C531" s="4" t="str">
        <f ca="1">IF(OR(INDEX($AG$2:$AG$1001,MATCH(ROWS($AF$2:AF531),$AF$2:$AF$1001,0),1)&gt;=100000,INDEX($AM$1005:$BM$1005,1,MATCH(COLUMNS($AM$1006:AN1006),$AM$1006:$BM$1006,0))&gt;=100000), " ",IF(INDEX($AM$2:$BM$1001,MATCH(ROWS($AF$2:AF531),$AF$2:$AF$1001,0),MATCH(COLUMNS($AM$1006:AN1006),$AM$1006:$BM$1006,0)), HYPERLINK("#",""), HYPERLINK(CONCATENATE("#metadata!", ADDRESS(INDEX($AH$2:$AH$1001,MATCH(ROWS($AF$2:AF531),$AF$2:$AF$1001,0),0), INDEX($AM$1004:$BM$1004,1,MATCH(COLUMNS($AM$1006:AN1006),$AM$1006:$BM$1006,0)))),"Fix")))</f>
        <v xml:space="preserve"> </v>
      </c>
      <c r="D531" s="4" t="str">
        <f ca="1">IF(OR(INDEX($AG$2:$AG$1001,MATCH(ROWS($AF$2:AF531),$AF$2:$AF$1001,0),1)&gt;=100000,INDEX($AM$1005:$BM$1005,1,MATCH(COLUMNS($AM$1006:AO1006),$AM$1006:$BM$1006,0))&gt;=100000), " ",IF(INDEX($AM$2:$BM$1001,MATCH(ROWS($AF$2:AF531),$AF$2:$AF$1001,0),MATCH(COLUMNS($AM$1006:AO1006),$AM$1006:$BM$1006,0)), HYPERLINK("#",""), HYPERLINK(CONCATENATE("#metadata!", ADDRESS(INDEX($AH$2:$AH$1001,MATCH(ROWS($AF$2:AF531),$AF$2:$AF$1001,0),0), INDEX($AM$1004:$BM$1004,1,MATCH(COLUMNS($AM$1006:AO1006),$AM$1006:$BM$1006,0)))),"Fix")))</f>
        <v xml:space="preserve"> </v>
      </c>
      <c r="E531" s="4" t="str">
        <f ca="1">IF(OR(INDEX($AG$2:$AG$1001,MATCH(ROWS($AF$2:AF531),$AF$2:$AF$1001,0),1)&gt;=100000,INDEX($AM$1005:$BM$1005,1,MATCH(COLUMNS($AM$1006:AP1006),$AM$1006:$BM$1006,0))&gt;=100000), " ",IF(INDEX($AM$2:$BM$1001,MATCH(ROWS($AF$2:AF531),$AF$2:$AF$1001,0),MATCH(COLUMNS($AM$1006:AP1006),$AM$1006:$BM$1006,0)), HYPERLINK("#",""), HYPERLINK(CONCATENATE("#metadata!", ADDRESS(INDEX($AH$2:$AH$1001,MATCH(ROWS($AF$2:AF531),$AF$2:$AF$1001,0),0), INDEX($AM$1004:$BM$1004,1,MATCH(COLUMNS($AM$1006:AP1006),$AM$1006:$BM$1006,0)))),"Fix")))</f>
        <v xml:space="preserve"> </v>
      </c>
      <c r="F531" s="4" t="str">
        <f ca="1">IF(OR(INDEX($AG$2:$AG$1001,MATCH(ROWS($AF$2:AF531),$AF$2:$AF$1001,0),1)&gt;=100000,INDEX($AM$1005:$BM$1005,1,MATCH(COLUMNS($AM$1006:AQ1006),$AM$1006:$BM$1006,0))&gt;=100000), " ",IF(INDEX($AM$2:$BM$1001,MATCH(ROWS($AF$2:AF531),$AF$2:$AF$1001,0),MATCH(COLUMNS($AM$1006:AQ1006),$AM$1006:$BM$1006,0)), HYPERLINK("#",""), HYPERLINK(CONCATENATE("#metadata!", ADDRESS(INDEX($AH$2:$AH$1001,MATCH(ROWS($AF$2:AF531),$AF$2:$AF$1001,0),0), INDEX($AM$1004:$BM$1004,1,MATCH(COLUMNS($AM$1006:AQ1006),$AM$1006:$BM$1006,0)))),"Fix")))</f>
        <v xml:space="preserve"> </v>
      </c>
      <c r="G531" s="4" t="str">
        <f ca="1">IF(OR(INDEX($AG$2:$AG$1001,MATCH(ROWS($AF$2:AF531),$AF$2:$AF$1001,0),1)&gt;=100000,INDEX($AM$1005:$BM$1005,1,MATCH(COLUMNS($AM$1006:AR1006),$AM$1006:$BM$1006,0))&gt;=100000), " ",IF(INDEX($AM$2:$BM$1001,MATCH(ROWS($AF$2:AF531),$AF$2:$AF$1001,0),MATCH(COLUMNS($AM$1006:AR1006),$AM$1006:$BM$1006,0)), HYPERLINK("#",""), HYPERLINK(CONCATENATE("#metadata!", ADDRESS(INDEX($AH$2:$AH$1001,MATCH(ROWS($AF$2:AF531),$AF$2:$AF$1001,0),0), INDEX($AM$1004:$BM$1004,1,MATCH(COLUMNS($AM$1006:AR1006),$AM$1006:$BM$1006,0)))),"Fix")))</f>
        <v xml:space="preserve"> </v>
      </c>
      <c r="H531" s="4" t="str">
        <f ca="1">IF(OR(INDEX($AG$2:$AG$1001,MATCH(ROWS($AF$2:AF531),$AF$2:$AF$1001,0),1)&gt;=100000,INDEX($AM$1005:$BM$1005,1,MATCH(COLUMNS($AM$1006:AS1006),$AM$1006:$BM$1006,0))&gt;=100000), " ",IF(INDEX($AM$2:$BM$1001,MATCH(ROWS($AF$2:AF531),$AF$2:$AF$1001,0),MATCH(COLUMNS($AM$1006:AS1006),$AM$1006:$BM$1006,0)), HYPERLINK("#",""), HYPERLINK(CONCATENATE("#metadata!", ADDRESS(INDEX($AH$2:$AH$1001,MATCH(ROWS($AF$2:AF531),$AF$2:$AF$1001,0),0), INDEX($AM$1004:$BM$1004,1,MATCH(COLUMNS($AM$1006:AS1006),$AM$1006:$BM$1006,0)))),"Fix")))</f>
        <v xml:space="preserve"> </v>
      </c>
      <c r="I531" s="4" t="str">
        <f ca="1">IF(OR(INDEX($AG$2:$AG$1001,MATCH(ROWS($AF$2:AF531),$AF$2:$AF$1001,0),1)&gt;=100000,INDEX($AM$1005:$BM$1005,1,MATCH(COLUMNS($AM$1006:AT1006),$AM$1006:$BM$1006,0))&gt;=100000), " ",IF(INDEX($AM$2:$BM$1001,MATCH(ROWS($AF$2:AF531),$AF$2:$AF$1001,0),MATCH(COLUMNS($AM$1006:AT1006),$AM$1006:$BM$1006,0)), HYPERLINK("#",""), HYPERLINK(CONCATENATE("#metadata!", ADDRESS(INDEX($AH$2:$AH$1001,MATCH(ROWS($AF$2:AF531),$AF$2:$AF$1001,0),0), INDEX($AM$1004:$BM$1004,1,MATCH(COLUMNS($AM$1006:AT1006),$AM$1006:$BM$1006,0)))),"Fix")))</f>
        <v xml:space="preserve"> </v>
      </c>
      <c r="J531" s="4" t="str">
        <f ca="1">IF(OR(INDEX($AG$2:$AG$1001,MATCH(ROWS($AF$2:AF531),$AF$2:$AF$1001,0),1)&gt;=100000,INDEX($AM$1005:$BM$1005,1,MATCH(COLUMNS($AM$1006:AU1006),$AM$1006:$BM$1006,0))&gt;=100000), " ",IF(INDEX($AM$2:$BM$1001,MATCH(ROWS($AF$2:AF531),$AF$2:$AF$1001,0),MATCH(COLUMNS($AM$1006:AU1006),$AM$1006:$BM$1006,0)), HYPERLINK("#",""), HYPERLINK(CONCATENATE("#metadata!", ADDRESS(INDEX($AH$2:$AH$1001,MATCH(ROWS($AF$2:AF531),$AF$2:$AF$1001,0),0), INDEX($AM$1004:$BM$1004,1,MATCH(COLUMNS($AM$1006:AU1006),$AM$1006:$BM$1006,0)))),"Fix")))</f>
        <v xml:space="preserve"> </v>
      </c>
      <c r="K531" s="4" t="str">
        <f ca="1">IF(OR(INDEX($AG$2:$AG$1001,MATCH(ROWS($AF$2:AF531),$AF$2:$AF$1001,0),1)&gt;=100000,INDEX($AM$1005:$BM$1005,1,MATCH(COLUMNS($AM$1006:AV1006),$AM$1006:$BM$1006,0))&gt;=100000), " ",IF(INDEX($AM$2:$BM$1001,MATCH(ROWS($AF$2:AF531),$AF$2:$AF$1001,0),MATCH(COLUMNS($AM$1006:AV1006),$AM$1006:$BM$1006,0)), HYPERLINK("#",""), HYPERLINK(CONCATENATE("#metadata!", ADDRESS(INDEX($AH$2:$AH$1001,MATCH(ROWS($AF$2:AF531),$AF$2:$AF$1001,0),0), INDEX($AM$1004:$BM$1004,1,MATCH(COLUMNS($AM$1006:AV1006),$AM$1006:$BM$1006,0)))),"Fix")))</f>
        <v xml:space="preserve"> </v>
      </c>
      <c r="L531" s="4" t="str">
        <f ca="1">IF(OR(INDEX($AG$2:$AG$1001,MATCH(ROWS($AF$2:AF531),$AF$2:$AF$1001,0),1)&gt;=100000,INDEX($AM$1005:$BM$1005,1,MATCH(COLUMNS($AM$1006:AW1006),$AM$1006:$BM$1006,0))&gt;=100000), " ",IF(INDEX($AM$2:$BM$1001,MATCH(ROWS($AF$2:AF531),$AF$2:$AF$1001,0),MATCH(COLUMNS($AM$1006:AW1006),$AM$1006:$BM$1006,0)), HYPERLINK("#",""), HYPERLINK(CONCATENATE("#metadata!", ADDRESS(INDEX($AH$2:$AH$1001,MATCH(ROWS($AF$2:AF531),$AF$2:$AF$1001,0),0), INDEX($AM$1004:$BM$1004,1,MATCH(COLUMNS($AM$1006:AW1006),$AM$1006:$BM$1006,0)))),"Fix")))</f>
        <v xml:space="preserve"> </v>
      </c>
      <c r="M531" s="4" t="str">
        <f ca="1">IF(OR(INDEX($AG$2:$AG$1001,MATCH(ROWS($AF$2:AF531),$AF$2:$AF$1001,0),1)&gt;=100000,INDEX($AM$1005:$BM$1005,1,MATCH(COLUMNS($AM$1006:AX1006),$AM$1006:$BM$1006,0))&gt;=100000), " ",IF(INDEX($AM$2:$BM$1001,MATCH(ROWS($AF$2:AF531),$AF$2:$AF$1001,0),MATCH(COLUMNS($AM$1006:AX1006),$AM$1006:$BM$1006,0)), HYPERLINK("#",""), HYPERLINK(CONCATENATE("#metadata!", ADDRESS(INDEX($AH$2:$AH$1001,MATCH(ROWS($AF$2:AF531),$AF$2:$AF$1001,0),0), INDEX($AM$1004:$BM$1004,1,MATCH(COLUMNS($AM$1006:AX1006),$AM$1006:$BM$1006,0)))),"Fix")))</f>
        <v xml:space="preserve"> </v>
      </c>
      <c r="N531" s="4" t="str">
        <f ca="1">IF(OR(INDEX($AG$2:$AG$1001,MATCH(ROWS($AF$2:AF531),$AF$2:$AF$1001,0),1)&gt;=100000,INDEX($AM$1005:$BM$1005,1,MATCH(COLUMNS($AM$1006:AY1006),$AM$1006:$BM$1006,0))&gt;=100000), " ",IF(INDEX($AM$2:$BM$1001,MATCH(ROWS($AF$2:AF531),$AF$2:$AF$1001,0),MATCH(COLUMNS($AM$1006:AY1006),$AM$1006:$BM$1006,0)), HYPERLINK("#",""), HYPERLINK(CONCATENATE("#metadata!", ADDRESS(INDEX($AH$2:$AH$1001,MATCH(ROWS($AF$2:AF531),$AF$2:$AF$1001,0),0), INDEX($AM$1004:$BM$1004,1,MATCH(COLUMNS($AM$1006:AY1006),$AM$1006:$BM$1006,0)))),"Fix")))</f>
        <v xml:space="preserve"> </v>
      </c>
      <c r="O531" s="4" t="str">
        <f ca="1">IF(OR(INDEX($AG$2:$AG$1001,MATCH(ROWS($AF$2:AF531),$AF$2:$AF$1001,0),1)&gt;=100000,INDEX($AM$1005:$BM$1005,1,MATCH(COLUMNS($AM$1006:AZ1006),$AM$1006:$BM$1006,0))&gt;=100000), " ",IF(INDEX($AM$2:$BM$1001,MATCH(ROWS($AF$2:AF531),$AF$2:$AF$1001,0),MATCH(COLUMNS($AM$1006:AZ1006),$AM$1006:$BM$1006,0)), HYPERLINK("#",""), HYPERLINK(CONCATENATE("#metadata!", ADDRESS(INDEX($AH$2:$AH$1001,MATCH(ROWS($AF$2:AF531),$AF$2:$AF$1001,0),0), INDEX($AM$1004:$BM$1004,1,MATCH(COLUMNS($AM$1006:AZ1006),$AM$1006:$BM$1006,0)))),"Fix")))</f>
        <v xml:space="preserve"> </v>
      </c>
      <c r="P531" s="4" t="str">
        <f ca="1">IF(OR(INDEX($AG$2:$AG$1001,MATCH(ROWS($AF$2:AF531),$AF$2:$AF$1001,0),1)&gt;=100000,INDEX($AM$1005:$BM$1005,1,MATCH(COLUMNS($AM$1006:BA1006),$AM$1006:$BM$1006,0))&gt;=100000), " ",IF(INDEX($AM$2:$BM$1001,MATCH(ROWS($AF$2:AF531),$AF$2:$AF$1001,0),MATCH(COLUMNS($AM$1006:BA1006),$AM$1006:$BM$1006,0)), HYPERLINK("#",""), HYPERLINK(CONCATENATE("#metadata!", ADDRESS(INDEX($AH$2:$AH$1001,MATCH(ROWS($AF$2:AF531),$AF$2:$AF$1001,0),0), INDEX($AM$1004:$BM$1004,1,MATCH(COLUMNS($AM$1006:BA1006),$AM$1006:$BM$1006,0)))),"Fix")))</f>
        <v xml:space="preserve"> </v>
      </c>
      <c r="Q531" s="4" t="str">
        <f ca="1">IF(OR(INDEX($AG$2:$AG$1001,MATCH(ROWS($AF$2:AF531),$AF$2:$AF$1001,0),1)&gt;=100000,INDEX($AM$1005:$BM$1005,1,MATCH(COLUMNS($AM$1006:BB1006),$AM$1006:$BM$1006,0))&gt;=100000), " ",IF(INDEX($AM$2:$BM$1001,MATCH(ROWS($AF$2:AF531),$AF$2:$AF$1001,0),MATCH(COLUMNS($AM$1006:BB1006),$AM$1006:$BM$1006,0)), HYPERLINK("#",""), HYPERLINK(CONCATENATE("#metadata!", ADDRESS(INDEX($AH$2:$AH$1001,MATCH(ROWS($AF$2:AF531),$AF$2:$AF$1001,0),0), INDEX($AM$1004:$BM$1004,1,MATCH(COLUMNS($AM$1006:BB1006),$AM$1006:$BM$1006,0)))),"Fix")))</f>
        <v xml:space="preserve"> </v>
      </c>
      <c r="R531" s="4" t="str">
        <f ca="1">IF(OR(INDEX($AG$2:$AG$1001,MATCH(ROWS($AF$2:AF531),$AF$2:$AF$1001,0),1)&gt;=100000,INDEX($AM$1005:$BM$1005,1,MATCH(COLUMNS($AM$1006:BC1006),$AM$1006:$BM$1006,0))&gt;=100000), " ",IF(INDEX($AM$2:$BM$1001,MATCH(ROWS($AF$2:AF531),$AF$2:$AF$1001,0),MATCH(COLUMNS($AM$1006:BC1006),$AM$1006:$BM$1006,0)), HYPERLINK("#",""), HYPERLINK(CONCATENATE("#metadata!", ADDRESS(INDEX($AH$2:$AH$1001,MATCH(ROWS($AF$2:AF531),$AF$2:$AF$1001,0),0), INDEX($AM$1004:$BM$1004,1,MATCH(COLUMNS($AM$1006:BC1006),$AM$1006:$BM$1006,0)))),"Fix")))</f>
        <v xml:space="preserve"> </v>
      </c>
      <c r="S531" s="4" t="str">
        <f ca="1">IF(OR(INDEX($AG$2:$AG$1001,MATCH(ROWS($AF$2:AF531),$AF$2:$AF$1001,0),1)&gt;=100000,INDEX($AM$1005:$BM$1005,1,MATCH(COLUMNS($AM$1006:BD1006),$AM$1006:$BM$1006,0))&gt;=100000), " ",IF(INDEX($AM$2:$BM$1001,MATCH(ROWS($AF$2:AF531),$AF$2:$AF$1001,0),MATCH(COLUMNS($AM$1006:BD1006),$AM$1006:$BM$1006,0)), HYPERLINK("#",""), HYPERLINK(CONCATENATE("#metadata!", ADDRESS(INDEX($AH$2:$AH$1001,MATCH(ROWS($AF$2:AF531),$AF$2:$AF$1001,0),0), INDEX($AM$1004:$BM$1004,1,MATCH(COLUMNS($AM$1006:BD1006),$AM$1006:$BM$1006,0)))),"Fix")))</f>
        <v xml:space="preserve"> </v>
      </c>
      <c r="T531" s="4" t="str">
        <f ca="1">IF(OR(INDEX($AG$2:$AG$1001,MATCH(ROWS($AF$2:AF531),$AF$2:$AF$1001,0),1)&gt;=100000,INDEX($AM$1005:$BM$1005,1,MATCH(COLUMNS($AM$1006:BE1006),$AM$1006:$BM$1006,0))&gt;=100000), " ",IF(INDEX($AM$2:$BM$1001,MATCH(ROWS($AF$2:AF531),$AF$2:$AF$1001,0),MATCH(COLUMNS($AM$1006:BE1006),$AM$1006:$BM$1006,0)), HYPERLINK("#",""), HYPERLINK(CONCATENATE("#metadata!", ADDRESS(INDEX($AH$2:$AH$1001,MATCH(ROWS($AF$2:AF531),$AF$2:$AF$1001,0),0), INDEX($AM$1004:$BM$1004,1,MATCH(COLUMNS($AM$1006:BE1006),$AM$1006:$BM$1006,0)))),"Fix")))</f>
        <v xml:space="preserve"> </v>
      </c>
      <c r="U531" s="4" t="str">
        <f ca="1">IF(OR(INDEX($AG$2:$AG$1001,MATCH(ROWS($AF$2:AF531),$AF$2:$AF$1001,0),1)&gt;=100000,INDEX($AM$1005:$BM$1005,1,MATCH(COLUMNS($AM$1006:BF1006),$AM$1006:$BM$1006,0))&gt;=100000), " ",IF(INDEX($AM$2:$BM$1001,MATCH(ROWS($AF$2:AF531),$AF$2:$AF$1001,0),MATCH(COLUMNS($AM$1006:BF1006),$AM$1006:$BM$1006,0)), HYPERLINK("#",""), HYPERLINK(CONCATENATE("#metadata!", ADDRESS(INDEX($AH$2:$AH$1001,MATCH(ROWS($AF$2:AF531),$AF$2:$AF$1001,0),0), INDEX($AM$1004:$BM$1004,1,MATCH(COLUMNS($AM$1006:BF1006),$AM$1006:$BM$1006,0)))),"Fix")))</f>
        <v xml:space="preserve"> </v>
      </c>
      <c r="V531" s="4" t="str">
        <f ca="1">IF(OR(INDEX($AG$2:$AG$1001,MATCH(ROWS($AF$2:AF531),$AF$2:$AF$1001,0),1)&gt;=100000,INDEX($AM$1005:$BM$1005,1,MATCH(COLUMNS($AM$1006:BG1006),$AM$1006:$BM$1006,0))&gt;=100000), " ",IF(INDEX($AM$2:$BM$1001,MATCH(ROWS($AF$2:AF531),$AF$2:$AF$1001,0),MATCH(COLUMNS($AM$1006:BG1006),$AM$1006:$BM$1006,0)), HYPERLINK("#",""), HYPERLINK(CONCATENATE("#metadata!", ADDRESS(INDEX($AH$2:$AH$1001,MATCH(ROWS($AF$2:AF531),$AF$2:$AF$1001,0),0), INDEX($AM$1004:$BM$1004,1,MATCH(COLUMNS($AM$1006:BG1006),$AM$1006:$BM$1006,0)))),"Fix")))</f>
        <v xml:space="preserve"> </v>
      </c>
      <c r="W531" s="4" t="str">
        <f ca="1">IF(OR(INDEX($AG$2:$AG$1001,MATCH(ROWS($AF$2:AF531),$AF$2:$AF$1001,0),1)&gt;=100000,INDEX($AM$1005:$BM$1005,1,MATCH(COLUMNS($AM$1006:BH1006),$AM$1006:$BM$1006,0))&gt;=100000), " ",IF(INDEX($AM$2:$BM$1001,MATCH(ROWS($AF$2:AF531),$AF$2:$AF$1001,0),MATCH(COLUMNS($AM$1006:BH1006),$AM$1006:$BM$1006,0)), HYPERLINK("#",""), HYPERLINK(CONCATENATE("#metadata!", ADDRESS(INDEX($AH$2:$AH$1001,MATCH(ROWS($AF$2:AF531),$AF$2:$AF$1001,0),0), INDEX($AM$1004:$BM$1004,1,MATCH(COLUMNS($AM$1006:BH1006),$AM$1006:$BM$1006,0)))),"Fix")))</f>
        <v xml:space="preserve"> </v>
      </c>
      <c r="X531" s="4" t="str">
        <f ca="1">IF(OR(INDEX($AG$2:$AG$1001,MATCH(ROWS($AF$2:AF531),$AF$2:$AF$1001,0),1)&gt;=100000,INDEX($AM$1005:$BM$1005,1,MATCH(COLUMNS($AM$1006:BI1006),$AM$1006:$BM$1006,0))&gt;=100000), " ",IF(INDEX($AM$2:$BM$1001,MATCH(ROWS($AF$2:AF531),$AF$2:$AF$1001,0),MATCH(COLUMNS($AM$1006:BI1006),$AM$1006:$BM$1006,0)), HYPERLINK("#",""), HYPERLINK(CONCATENATE("#metadata!", ADDRESS(INDEX($AH$2:$AH$1001,MATCH(ROWS($AF$2:AF531),$AF$2:$AF$1001,0),0), INDEX($AM$1004:$BM$1004,1,MATCH(COLUMNS($AM$1006:BI1006),$AM$1006:$BM$1006,0)))),"Fix")))</f>
        <v xml:space="preserve"> </v>
      </c>
      <c r="Y531" s="4" t="str">
        <f ca="1">IF(OR(INDEX($AG$2:$AG$1001,MATCH(ROWS($AF$2:AF531),$AF$2:$AF$1001,0),1)&gt;=100000,INDEX($AM$1005:$BM$1005,1,MATCH(COLUMNS($AM$1006:BJ1006),$AM$1006:$BM$1006,0))&gt;=100000), " ",IF(INDEX($AM$2:$BM$1001,MATCH(ROWS($AF$2:AF531),$AF$2:$AF$1001,0),MATCH(COLUMNS($AM$1006:BJ1006),$AM$1006:$BM$1006,0)), HYPERLINK("#",""), HYPERLINK(CONCATENATE("#metadata!", ADDRESS(INDEX($AH$2:$AH$1001,MATCH(ROWS($AF$2:AF531),$AF$2:$AF$1001,0),0), INDEX($AM$1004:$BM$1004,1,MATCH(COLUMNS($AM$1006:BJ1006),$AM$1006:$BM$1006,0)))),"Fix")))</f>
        <v xml:space="preserve"> </v>
      </c>
      <c r="Z531" s="4" t="str">
        <f ca="1">IF(OR(INDEX($AG$2:$AG$1001,MATCH(ROWS($AF$2:AF531),$AF$2:$AF$1001,0),1)&gt;=100000,INDEX($AM$1005:$BM$1005,1,MATCH(COLUMNS($AM$1006:BK1006),$AM$1006:$BM$1006,0))&gt;=100000), " ",IF(INDEX($AM$2:$BM$1001,MATCH(ROWS($AF$2:AF531),$AF$2:$AF$1001,0),MATCH(COLUMNS($AM$1006:BK1006),$AM$1006:$BM$1006,0)), HYPERLINK("#",""), HYPERLINK(CONCATENATE("#metadata!", ADDRESS(INDEX($AH$2:$AH$1001,MATCH(ROWS($AF$2:AF531),$AF$2:$AF$1001,0),0), INDEX($AM$1004:$BM$1004,1,MATCH(COLUMNS($AM$1006:BK1006),$AM$1006:$BM$1006,0)))),"Fix")))</f>
        <v xml:space="preserve"> </v>
      </c>
      <c r="AA531" s="4" t="str">
        <f ca="1">IF(OR(INDEX($AG$2:$AG$1001,MATCH(ROWS($AF$2:AF531),$AF$2:$AF$1001,0),1)&gt;=100000,INDEX($AM$1005:$BM$1005,1,MATCH(COLUMNS($AM$1006:BL1006),$AM$1006:$BM$1006,0))&gt;=100000), " ",IF(INDEX($AM$2:$BM$1001,MATCH(ROWS($AF$2:AF531),$AF$2:$AF$1001,0),MATCH(COLUMNS($AM$1006:BL1006),$AM$1006:$BM$1006,0)), HYPERLINK("#",""), HYPERLINK(CONCATENATE("#metadata!", ADDRESS(INDEX($AH$2:$AH$1001,MATCH(ROWS($AF$2:AF531),$AF$2:$AF$1001,0),0), INDEX($AM$1004:$BM$1004,1,MATCH(COLUMNS($AM$1006:BL1006),$AM$1006:$BM$1006,0)))),"Fix")))</f>
        <v xml:space="preserve"> </v>
      </c>
      <c r="AB531" s="4" t="str">
        <f ca="1">IF(OR(INDEX($AG$2:$AG$1001,MATCH(ROWS($AF$2:AF531),$AF$2:$AF$1001,0),1)&gt;=100000,INDEX($AM$1005:$BM$1005,1,MATCH(COLUMNS($AM$1006:BM1006),$AM$1006:$BM$1006,0))&gt;=100000), " ",IF(INDEX($AM$2:$BM$1001,MATCH(ROWS($AF$2:AF531),$AF$2:$AF$1001,0),MATCH(COLUMNS($AM$1006:BM1006),$AM$1006:$BM$1006,0)), HYPERLINK("#",""), HYPERLINK(CONCATENATE("#metadata!", ADDRESS(INDEX($AH$2:$AH$1001,MATCH(ROWS($AF$2:AF531),$AF$2:$AF$1001,0),0), INDEX($AM$1004:$BM$1004,1,MATCH(COLUMNS($AM$1006:BM1006),$AM$1006:$BM$1006,0)))),"Fix")))</f>
        <v xml:space="preserve"> </v>
      </c>
      <c r="AF531">
        <v>530</v>
      </c>
      <c r="AG531">
        <v>100531</v>
      </c>
      <c r="AH531">
        <v>531</v>
      </c>
      <c r="AI531" t="b">
        <f t="shared" si="8"/>
        <v>1</v>
      </c>
      <c r="AJ531" t="b">
        <f>COUNTBLANK(metadata!B531:AB531)=COLUMNS(metadata!B531:AB531)</f>
        <v>1</v>
      </c>
      <c r="AK531" t="str">
        <v/>
      </c>
      <c r="AM531" t="b">
        <f ca="1">AND(IF(metadata!B531="",FALSE,TRUE),COUNTIF(metadata!B:B, metadata!B531) = 1,NOT(ISERROR(SUMPRODUCT(SEARCH(MID(metadata!B531,ROW(INDIRECT("1:"&amp;LEN(metadata!B531))), 1),"0123456789abcdefghijklmnopqrstuvwxyzABCDEFGHIJKLMNOPQRSTUVWXYZ.")))))</f>
        <v>0</v>
      </c>
      <c r="AN531" t="b">
        <f ca="1">OR(AND(IF(metadata!C531="",FALSE,TRUE),OR(EXACT(metadata!C531,"missing: not collected"),EXACT(metadata!C531,"missing: not provided"),EXACT(metadata!C531,"missing: restricted access"))),AND(IF(metadata!C531="",FALSE,TRUE),AND(AND(IFERROR(INT(LEFT(metadata!C531,4))&gt;1900,FALSE),IFERROR(INT(LEFT(metadata!C531,4))&lt;=YEAR(NOW()),FALSE)), OR(MID(metadata!C531,5,1)="", AND(AND(MID(metadata!C531,5,1)="-",IFERROR(INT(MID(metadata!C531,6,1))&gt;=0,FALSE),IFERROR(INT(MID(metadata!C531,6,1))&lt;=1,FALSE),NOT(MID(metadata!C531,7,1)=""),IFERROR(INT(MID(metadata!C531,6,2))&gt;=1,FALSE),IFERROR(INT(MID(metadata!C531,6,2))&lt;=12,FALSE)), OR(MID(metadata!C531,8,1)="", AND(AND(MID(metadata!C531,8,1)="-",IFERROR(INT(MID(metadata!C531,9,1))&gt;=0,FALSE),IFERROR(INT(MID(metadata!C531,9,1))&lt;=3,FALSE),NOT(MID(metadata!C531,10,1)=""),IFERROR(INT(MID(metadata!C531,9,2))&gt;=1,FALSE),IFERROR(INT(MID(metadata!C531,9,2))&lt;=31,FALSE)), OR(MID(metadata!C531,11,1)="", AND(AND(MID(metadata!C531,11,1)=" ",IFERROR(INT(MID(metadata!C531,12,1))&gt;=0,FALSE),IFERROR(INT(MID(metadata!C531,12,1))&lt;=2,FALSE),NOT(MID(metadata!C531,13,1)=""),IFERROR(INT(MID(metadata!C531,12,2))&gt;=0,FALSE),IFERROR(INT(MID(metadata!C531,12,2))&lt;=23,FALSE)), OR(MID(metadata!C531,14,1)="", AND(AND(MID(metadata!C531,14,1)=":",IFERROR(INT(MID(metadata!C531,15,1))&gt;=0,FALSE),IFERROR(INT(MID(metadata!C531,15,1))&lt;=5,FALSE),NOT(MID(metadata!C531,16,1)=""),IFERROR(INT(MID(metadata!C531,15,2))&gt;=0,FALSE),IFERROR(INT(MID(metadata!C531,15,2))&lt;=59,FALSE)), OR(MID(metadata!C531,17,1)="", AND(AND(MID(metadata!C531,17,1)=":",IFERROR(INT(MID(metadata!C531,18,1))&gt;=0,FALSE),IFERROR(INT(MID(metadata!C531,18,1))&lt;=5,FALSE),NOT(MID(metadata!C531,19,1)=""),IFERROR(INT(MID(metadata!C531,18,2))&gt;=0,FALSE),IFERROR(INT(MID(metadata!C531,18,2))&lt;=59,FALSE)), LEN(metadata!C531)&lt;=19)))))))))))))</f>
        <v>0</v>
      </c>
      <c r="AO531" t="b">
        <f>AND(IF(metadata!D531="",FALSE,TRUE),EXACT(metadata!D531,"Not applicable"))</f>
        <v>0</v>
      </c>
      <c r="AP531" t="b">
        <f>IF(metadata!E531="",FALSE,TRUE)</f>
        <v>0</v>
      </c>
      <c r="AQ531" t="b">
        <f>OR(AND(IF(metadata!F531="",FALSE,TRUE),OR(EXACT(metadata!F531,"missing: not collected"),EXACT(metadata!F531,"missing: not provided"))),AND(IF(metadata!F531="",FALSE,TRUE),OR(EXACT(metadata!F531,"TRUE"),EXACT(metadata!F531,"FALSE"))))</f>
        <v>0</v>
      </c>
      <c r="AR531" t="b">
        <f>OR(AND(IF(metadata!G531="",FALSE,TRUE),OR(EXACT(metadata!G531,"missing: not collected"),EXACT(metadata!G531,"missing: not provided"),EXACT(metadata!G531,"missing: restricted access"))),AND(IF(metadata!G531="",FALSE,ISNUMBER(VALUE(metadata!G531))),metadata!G531&gt;=-413))</f>
        <v>0</v>
      </c>
      <c r="AS531" t="b">
        <f>AND(IF(metadata!H531="",FALSE,TRUE),EXACT(metadata!H531,"meters"))</f>
        <v>0</v>
      </c>
      <c r="AT531" t="b">
        <f>AND(IF(metadata!I531="",FALSE,TRUE),OR(EXACT(metadata!I531,"Host-associated"),EXACT(metadata!I531,"Free-living")))</f>
        <v>0</v>
      </c>
      <c r="AU531" t="b">
        <f>AND(IF(metadata!J531="",FALSE,TRUE),OR(EXACT(metadata!J531,"Animal"),EXACT(metadata!J531,"Fungus"),EXACT(metadata!J531,"Plant"),EXACT(metadata!J531,"Saline"),EXACT(metadata!J531,"Non-saline")))</f>
        <v>0</v>
      </c>
      <c r="AV531" t="b">
        <f>AND(IF(metadata!K531="",FALSE,TRUE),OR(EXACT(metadata!K531,"Plant secretion"),EXACT(metadata!K531,"Plant rhizosphere"),EXACT(metadata!K531,"Plant surface"),EXACT(metadata!K531,"Plant corpus"),EXACT(metadata!K531,"Fungus surface"),EXACT(metadata!K531,"Fungus corpus"),EXACT(metadata!K531,"Animal surface"),EXACT(metadata!K531,"Animal proximal gut"),EXACT(metadata!K531,"Animal corpus"),EXACT(metadata!K531,"Animal distal gut"),EXACT(metadata!K531,"Animal secretion"),EXACT(metadata!K531,"Sub-surface (non-saline)"),EXACT(metadata!K531,"Surface (non-saline)"),EXACT(metadata!K531,"Water (non-saline)"),EXACT(metadata!K531,"Soil (non-saline)"),EXACT(metadata!K531,"Aerosol (non-saline)"),EXACT(metadata!K531,"Sediment (non-saline)"),EXACT(metadata!K531,"Surface (saline)"),EXACT(metadata!K531,"Water (saline)"),EXACT(metadata!K531,"Hypersaline (saline)"),EXACT(metadata!K531,"Aerosol (saline)"),EXACT(metadata!K531,"Sediment (saline)")))</f>
        <v>0</v>
      </c>
      <c r="AW531" t="b">
        <f>IF(metadata!L531="",FALSE,TRUE)</f>
        <v>0</v>
      </c>
      <c r="AX531" t="b">
        <f>IF(metadata!M531="",FALSE,TRUE)</f>
        <v>0</v>
      </c>
      <c r="AY531" t="b">
        <f>IF(metadata!N531="",FALSE,TRUE)</f>
        <v>0</v>
      </c>
      <c r="AZ531" t="b">
        <f>OR(AND(IF(metadata!O531="",FALSE,TRUE),OR(EXACT(metadata!O531,"missing: not collected"),EXACT(metadata!O531,"missing: not provided"),EXACT(metadata!O531,"missing: restricted access"))),AND(IF(metadata!O531="",FALSE,TRUE),OR(EXACT(metadata!O531,"air"),EXACT(metadata!O531,"built environment"),EXACT(metadata!O531,"host-associated"),EXACT(metadata!O531,"human-associated"),EXACT(metadata!O531,"human-skin"),EXACT(metadata!O531,"human-oral"),EXACT(metadata!O531,"human-gut"),EXACT(metadata!O531,"human-vaginal"),EXACT(metadata!O531,"microbial mat/biofilm"),EXACT(metadata!O531,"misc environment"),EXACT(metadata!O531,"plant-associated"),EXACT(metadata!O531,"sediment"),EXACT(metadata!O531,"soil"),EXACT(metadata!O531,"wastewater/sludge"),EXACT(metadata!O531,"water"))))</f>
        <v>0</v>
      </c>
      <c r="BA531" t="b">
        <f>IF(metadata!P531="",FALSE,TRUE)</f>
        <v>0</v>
      </c>
      <c r="BB531" t="b">
        <f>IF(metadata!Q531="",FALSE,TRUE)</f>
        <v>0</v>
      </c>
      <c r="BC531" t="b">
        <f>OR(AND(IF(metadata!R531="",FALSE,TRUE),OR(EXACT(metadata!R531,"missing: not collected"),EXACT(metadata!R531,"missing: not provided"),EXACT(metadata!R531,"missing: restricted access"))),AND(IF(metadata!R531="",FALSE,ISNUMBER(VALUE(metadata!R531))),metadata!R531&gt;=-90,metadata!R531&lt;=90))</f>
        <v>0</v>
      </c>
      <c r="BD531" t="b">
        <f>AND(IF(metadata!S531="",FALSE,TRUE),EXACT(metadata!S531,"Decimal degrees"))</f>
        <v>0</v>
      </c>
      <c r="BE531" t="b">
        <f>OR(AND(IF(metadata!T531="",FALSE,TRUE),OR(EXACT(metadata!T531,"missing: not collected"),EXACT(metadata!T531,"missing: not provided"),EXACT(metadata!T531,"missing: restricted access"))),AND(IF(metadata!T531="",FALSE,ISNUMBER(VALUE(metadata!T531))),metadata!T531&gt;=-180,metadata!T531&lt;=180))</f>
        <v>0</v>
      </c>
      <c r="BF531" t="b">
        <f>AND(IF(metadata!U531="",FALSE,TRUE),EXACT(metadata!U531,"Decimal degrees"))</f>
        <v>0</v>
      </c>
      <c r="BG531" t="b">
        <f>IF(metadata!V531="",FALSE,TRUE)</f>
        <v>0</v>
      </c>
      <c r="BH531" t="b">
        <f>OR(AND(IF(metadata!W531="",FALSE,TRUE),OR(EXACT(metadata!W531,"missing: not collected"),EXACT(metadata!W531,"missing: not provided"),EXACT(metadata!W531,"missing: restricted access"))),AND(IF(metadata!W531="",FALSE,TRUE),OR(EXACT(metadata!W531,"TRUE"),EXACT(metadata!W531,"FALSE"))))</f>
        <v>0</v>
      </c>
      <c r="BI531" t="b">
        <f>AND(IF(metadata!X531="",FALSE,TRUE),EXACT(metadata!X531,"other"))</f>
        <v>0</v>
      </c>
      <c r="BJ531" t="b">
        <f>IF(metadata!Y531="",FALSE,TRUE)</f>
        <v>0</v>
      </c>
      <c r="BK531" t="b">
        <f>OR(AND(IF(metadata!Z531="",FALSE,TRUE),OR(EXACT(metadata!Z531,"missing: not collected"),EXACT(metadata!Z531,"missing: not provided"))),AND(IF(metadata!Z531="",FALSE,IF(ISERROR(INT(metadata!Z531)),FALSE,INT(metadata!Z531)=metadata!Z531)),metadata!Z531&gt;0))</f>
        <v>0</v>
      </c>
      <c r="BL531" t="b">
        <f>AND(IF(metadata!AA531="",FALSE,TRUE),EXACT(metadata!AA531,"Not applicable"))</f>
        <v>0</v>
      </c>
      <c r="BM531" t="b">
        <f>IF(metadata!AB531="",FALSE,TRUE)</f>
        <v>0</v>
      </c>
    </row>
    <row r="532" spans="1:65" x14ac:dyDescent="0.2">
      <c r="A532" s="5" t="str">
        <f ca="1">IF(B532=" "," ",HYPERLINK(CONCATENATE("#metadata!",ADDRESS(INDEX($AH$2:$AH$1001,MATCH(ROWS($AF$2:AF532),$AF$2:$AF$1001,0),0),1)),INDEX($AK$2:$AK$1001,MATCH(ROWS($AF$2:AF532),$AF$2:$AF$1001,0),0)))</f>
        <v xml:space="preserve"> </v>
      </c>
      <c r="B532" s="4" t="str">
        <f ca="1">IF(OR(INDEX($AG$2:$AG$1001,MATCH(ROWS($AF$2:AF532),$AF$2:$AF$1001,0),1)&gt;=100000,INDEX($AM$1005:$BM$1005,1,MATCH(COLUMNS($AM$1006:AM1006),$AM$1006:$BM$1006,0))&gt;=100000), " ",IF(INDEX($AM$2:$BM$1001,MATCH(ROWS($AF$2:AF532),$AF$2:$AF$1001,0),MATCH(COLUMNS($AM$1006:AM1006),$AM$1006:$BM$1006,0)), HYPERLINK("#",""), HYPERLINK(CONCATENATE("#metadata!", ADDRESS(INDEX($AH$2:$AH$1001,MATCH(ROWS($AF$2:AF532),$AF$2:$AF$1001,0),0), INDEX($AM$1004:$BM$1004,1,MATCH(COLUMNS($AM$1006:AM1006),$AM$1006:$BM$1006,0)))),"Fix")))</f>
        <v xml:space="preserve"> </v>
      </c>
      <c r="C532" s="4" t="str">
        <f ca="1">IF(OR(INDEX($AG$2:$AG$1001,MATCH(ROWS($AF$2:AF532),$AF$2:$AF$1001,0),1)&gt;=100000,INDEX($AM$1005:$BM$1005,1,MATCH(COLUMNS($AM$1006:AN1006),$AM$1006:$BM$1006,0))&gt;=100000), " ",IF(INDEX($AM$2:$BM$1001,MATCH(ROWS($AF$2:AF532),$AF$2:$AF$1001,0),MATCH(COLUMNS($AM$1006:AN1006),$AM$1006:$BM$1006,0)), HYPERLINK("#",""), HYPERLINK(CONCATENATE("#metadata!", ADDRESS(INDEX($AH$2:$AH$1001,MATCH(ROWS($AF$2:AF532),$AF$2:$AF$1001,0),0), INDEX($AM$1004:$BM$1004,1,MATCH(COLUMNS($AM$1006:AN1006),$AM$1006:$BM$1006,0)))),"Fix")))</f>
        <v xml:space="preserve"> </v>
      </c>
      <c r="D532" s="4" t="str">
        <f ca="1">IF(OR(INDEX($AG$2:$AG$1001,MATCH(ROWS($AF$2:AF532),$AF$2:$AF$1001,0),1)&gt;=100000,INDEX($AM$1005:$BM$1005,1,MATCH(COLUMNS($AM$1006:AO1006),$AM$1006:$BM$1006,0))&gt;=100000), " ",IF(INDEX($AM$2:$BM$1001,MATCH(ROWS($AF$2:AF532),$AF$2:$AF$1001,0),MATCH(COLUMNS($AM$1006:AO1006),$AM$1006:$BM$1006,0)), HYPERLINK("#",""), HYPERLINK(CONCATENATE("#metadata!", ADDRESS(INDEX($AH$2:$AH$1001,MATCH(ROWS($AF$2:AF532),$AF$2:$AF$1001,0),0), INDEX($AM$1004:$BM$1004,1,MATCH(COLUMNS($AM$1006:AO1006),$AM$1006:$BM$1006,0)))),"Fix")))</f>
        <v xml:space="preserve"> </v>
      </c>
      <c r="E532" s="4" t="str">
        <f ca="1">IF(OR(INDEX($AG$2:$AG$1001,MATCH(ROWS($AF$2:AF532),$AF$2:$AF$1001,0),1)&gt;=100000,INDEX($AM$1005:$BM$1005,1,MATCH(COLUMNS($AM$1006:AP1006),$AM$1006:$BM$1006,0))&gt;=100000), " ",IF(INDEX($AM$2:$BM$1001,MATCH(ROWS($AF$2:AF532),$AF$2:$AF$1001,0),MATCH(COLUMNS($AM$1006:AP1006),$AM$1006:$BM$1006,0)), HYPERLINK("#",""), HYPERLINK(CONCATENATE("#metadata!", ADDRESS(INDEX($AH$2:$AH$1001,MATCH(ROWS($AF$2:AF532),$AF$2:$AF$1001,0),0), INDEX($AM$1004:$BM$1004,1,MATCH(COLUMNS($AM$1006:AP1006),$AM$1006:$BM$1006,0)))),"Fix")))</f>
        <v xml:space="preserve"> </v>
      </c>
      <c r="F532" s="4" t="str">
        <f ca="1">IF(OR(INDEX($AG$2:$AG$1001,MATCH(ROWS($AF$2:AF532),$AF$2:$AF$1001,0),1)&gt;=100000,INDEX($AM$1005:$BM$1005,1,MATCH(COLUMNS($AM$1006:AQ1006),$AM$1006:$BM$1006,0))&gt;=100000), " ",IF(INDEX($AM$2:$BM$1001,MATCH(ROWS($AF$2:AF532),$AF$2:$AF$1001,0),MATCH(COLUMNS($AM$1006:AQ1006),$AM$1006:$BM$1006,0)), HYPERLINK("#",""), HYPERLINK(CONCATENATE("#metadata!", ADDRESS(INDEX($AH$2:$AH$1001,MATCH(ROWS($AF$2:AF532),$AF$2:$AF$1001,0),0), INDEX($AM$1004:$BM$1004,1,MATCH(COLUMNS($AM$1006:AQ1006),$AM$1006:$BM$1006,0)))),"Fix")))</f>
        <v xml:space="preserve"> </v>
      </c>
      <c r="G532" s="4" t="str">
        <f ca="1">IF(OR(INDEX($AG$2:$AG$1001,MATCH(ROWS($AF$2:AF532),$AF$2:$AF$1001,0),1)&gt;=100000,INDEX($AM$1005:$BM$1005,1,MATCH(COLUMNS($AM$1006:AR1006),$AM$1006:$BM$1006,0))&gt;=100000), " ",IF(INDEX($AM$2:$BM$1001,MATCH(ROWS($AF$2:AF532),$AF$2:$AF$1001,0),MATCH(COLUMNS($AM$1006:AR1006),$AM$1006:$BM$1006,0)), HYPERLINK("#",""), HYPERLINK(CONCATENATE("#metadata!", ADDRESS(INDEX($AH$2:$AH$1001,MATCH(ROWS($AF$2:AF532),$AF$2:$AF$1001,0),0), INDEX($AM$1004:$BM$1004,1,MATCH(COLUMNS($AM$1006:AR1006),$AM$1006:$BM$1006,0)))),"Fix")))</f>
        <v xml:space="preserve"> </v>
      </c>
      <c r="H532" s="4" t="str">
        <f ca="1">IF(OR(INDEX($AG$2:$AG$1001,MATCH(ROWS($AF$2:AF532),$AF$2:$AF$1001,0),1)&gt;=100000,INDEX($AM$1005:$BM$1005,1,MATCH(COLUMNS($AM$1006:AS1006),$AM$1006:$BM$1006,0))&gt;=100000), " ",IF(INDEX($AM$2:$BM$1001,MATCH(ROWS($AF$2:AF532),$AF$2:$AF$1001,0),MATCH(COLUMNS($AM$1006:AS1006),$AM$1006:$BM$1006,0)), HYPERLINK("#",""), HYPERLINK(CONCATENATE("#metadata!", ADDRESS(INDEX($AH$2:$AH$1001,MATCH(ROWS($AF$2:AF532),$AF$2:$AF$1001,0),0), INDEX($AM$1004:$BM$1004,1,MATCH(COLUMNS($AM$1006:AS1006),$AM$1006:$BM$1006,0)))),"Fix")))</f>
        <v xml:space="preserve"> </v>
      </c>
      <c r="I532" s="4" t="str">
        <f ca="1">IF(OR(INDEX($AG$2:$AG$1001,MATCH(ROWS($AF$2:AF532),$AF$2:$AF$1001,0),1)&gt;=100000,INDEX($AM$1005:$BM$1005,1,MATCH(COLUMNS($AM$1006:AT1006),$AM$1006:$BM$1006,0))&gt;=100000), " ",IF(INDEX($AM$2:$BM$1001,MATCH(ROWS($AF$2:AF532),$AF$2:$AF$1001,0),MATCH(COLUMNS($AM$1006:AT1006),$AM$1006:$BM$1006,0)), HYPERLINK("#",""), HYPERLINK(CONCATENATE("#metadata!", ADDRESS(INDEX($AH$2:$AH$1001,MATCH(ROWS($AF$2:AF532),$AF$2:$AF$1001,0),0), INDEX($AM$1004:$BM$1004,1,MATCH(COLUMNS($AM$1006:AT1006),$AM$1006:$BM$1006,0)))),"Fix")))</f>
        <v xml:space="preserve"> </v>
      </c>
      <c r="J532" s="4" t="str">
        <f ca="1">IF(OR(INDEX($AG$2:$AG$1001,MATCH(ROWS($AF$2:AF532),$AF$2:$AF$1001,0),1)&gt;=100000,INDEX($AM$1005:$BM$1005,1,MATCH(COLUMNS($AM$1006:AU1006),$AM$1006:$BM$1006,0))&gt;=100000), " ",IF(INDEX($AM$2:$BM$1001,MATCH(ROWS($AF$2:AF532),$AF$2:$AF$1001,0),MATCH(COLUMNS($AM$1006:AU1006),$AM$1006:$BM$1006,0)), HYPERLINK("#",""), HYPERLINK(CONCATENATE("#metadata!", ADDRESS(INDEX($AH$2:$AH$1001,MATCH(ROWS($AF$2:AF532),$AF$2:$AF$1001,0),0), INDEX($AM$1004:$BM$1004,1,MATCH(COLUMNS($AM$1006:AU1006),$AM$1006:$BM$1006,0)))),"Fix")))</f>
        <v xml:space="preserve"> </v>
      </c>
      <c r="K532" s="4" t="str">
        <f ca="1">IF(OR(INDEX($AG$2:$AG$1001,MATCH(ROWS($AF$2:AF532),$AF$2:$AF$1001,0),1)&gt;=100000,INDEX($AM$1005:$BM$1005,1,MATCH(COLUMNS($AM$1006:AV1006),$AM$1006:$BM$1006,0))&gt;=100000), " ",IF(INDEX($AM$2:$BM$1001,MATCH(ROWS($AF$2:AF532),$AF$2:$AF$1001,0),MATCH(COLUMNS($AM$1006:AV1006),$AM$1006:$BM$1006,0)), HYPERLINK("#",""), HYPERLINK(CONCATENATE("#metadata!", ADDRESS(INDEX($AH$2:$AH$1001,MATCH(ROWS($AF$2:AF532),$AF$2:$AF$1001,0),0), INDEX($AM$1004:$BM$1004,1,MATCH(COLUMNS($AM$1006:AV1006),$AM$1006:$BM$1006,0)))),"Fix")))</f>
        <v xml:space="preserve"> </v>
      </c>
      <c r="L532" s="4" t="str">
        <f ca="1">IF(OR(INDEX($AG$2:$AG$1001,MATCH(ROWS($AF$2:AF532),$AF$2:$AF$1001,0),1)&gt;=100000,INDEX($AM$1005:$BM$1005,1,MATCH(COLUMNS($AM$1006:AW1006),$AM$1006:$BM$1006,0))&gt;=100000), " ",IF(INDEX($AM$2:$BM$1001,MATCH(ROWS($AF$2:AF532),$AF$2:$AF$1001,0),MATCH(COLUMNS($AM$1006:AW1006),$AM$1006:$BM$1006,0)), HYPERLINK("#",""), HYPERLINK(CONCATENATE("#metadata!", ADDRESS(INDEX($AH$2:$AH$1001,MATCH(ROWS($AF$2:AF532),$AF$2:$AF$1001,0),0), INDEX($AM$1004:$BM$1004,1,MATCH(COLUMNS($AM$1006:AW1006),$AM$1006:$BM$1006,0)))),"Fix")))</f>
        <v xml:space="preserve"> </v>
      </c>
      <c r="M532" s="4" t="str">
        <f ca="1">IF(OR(INDEX($AG$2:$AG$1001,MATCH(ROWS($AF$2:AF532),$AF$2:$AF$1001,0),1)&gt;=100000,INDEX($AM$1005:$BM$1005,1,MATCH(COLUMNS($AM$1006:AX1006),$AM$1006:$BM$1006,0))&gt;=100000), " ",IF(INDEX($AM$2:$BM$1001,MATCH(ROWS($AF$2:AF532),$AF$2:$AF$1001,0),MATCH(COLUMNS($AM$1006:AX1006),$AM$1006:$BM$1006,0)), HYPERLINK("#",""), HYPERLINK(CONCATENATE("#metadata!", ADDRESS(INDEX($AH$2:$AH$1001,MATCH(ROWS($AF$2:AF532),$AF$2:$AF$1001,0),0), INDEX($AM$1004:$BM$1004,1,MATCH(COLUMNS($AM$1006:AX1006),$AM$1006:$BM$1006,0)))),"Fix")))</f>
        <v xml:space="preserve"> </v>
      </c>
      <c r="N532" s="4" t="str">
        <f ca="1">IF(OR(INDEX($AG$2:$AG$1001,MATCH(ROWS($AF$2:AF532),$AF$2:$AF$1001,0),1)&gt;=100000,INDEX($AM$1005:$BM$1005,1,MATCH(COLUMNS($AM$1006:AY1006),$AM$1006:$BM$1006,0))&gt;=100000), " ",IF(INDEX($AM$2:$BM$1001,MATCH(ROWS($AF$2:AF532),$AF$2:$AF$1001,0),MATCH(COLUMNS($AM$1006:AY1006),$AM$1006:$BM$1006,0)), HYPERLINK("#",""), HYPERLINK(CONCATENATE("#metadata!", ADDRESS(INDEX($AH$2:$AH$1001,MATCH(ROWS($AF$2:AF532),$AF$2:$AF$1001,0),0), INDEX($AM$1004:$BM$1004,1,MATCH(COLUMNS($AM$1006:AY1006),$AM$1006:$BM$1006,0)))),"Fix")))</f>
        <v xml:space="preserve"> </v>
      </c>
      <c r="O532" s="4" t="str">
        <f ca="1">IF(OR(INDEX($AG$2:$AG$1001,MATCH(ROWS($AF$2:AF532),$AF$2:$AF$1001,0),1)&gt;=100000,INDEX($AM$1005:$BM$1005,1,MATCH(COLUMNS($AM$1006:AZ1006),$AM$1006:$BM$1006,0))&gt;=100000), " ",IF(INDEX($AM$2:$BM$1001,MATCH(ROWS($AF$2:AF532),$AF$2:$AF$1001,0),MATCH(COLUMNS($AM$1006:AZ1006),$AM$1006:$BM$1006,0)), HYPERLINK("#",""), HYPERLINK(CONCATENATE("#metadata!", ADDRESS(INDEX($AH$2:$AH$1001,MATCH(ROWS($AF$2:AF532),$AF$2:$AF$1001,0),0), INDEX($AM$1004:$BM$1004,1,MATCH(COLUMNS($AM$1006:AZ1006),$AM$1006:$BM$1006,0)))),"Fix")))</f>
        <v xml:space="preserve"> </v>
      </c>
      <c r="P532" s="4" t="str">
        <f ca="1">IF(OR(INDEX($AG$2:$AG$1001,MATCH(ROWS($AF$2:AF532),$AF$2:$AF$1001,0),1)&gt;=100000,INDEX($AM$1005:$BM$1005,1,MATCH(COLUMNS($AM$1006:BA1006),$AM$1006:$BM$1006,0))&gt;=100000), " ",IF(INDEX($AM$2:$BM$1001,MATCH(ROWS($AF$2:AF532),$AF$2:$AF$1001,0),MATCH(COLUMNS($AM$1006:BA1006),$AM$1006:$BM$1006,0)), HYPERLINK("#",""), HYPERLINK(CONCATENATE("#metadata!", ADDRESS(INDEX($AH$2:$AH$1001,MATCH(ROWS($AF$2:AF532),$AF$2:$AF$1001,0),0), INDEX($AM$1004:$BM$1004,1,MATCH(COLUMNS($AM$1006:BA1006),$AM$1006:$BM$1006,0)))),"Fix")))</f>
        <v xml:space="preserve"> </v>
      </c>
      <c r="Q532" s="4" t="str">
        <f ca="1">IF(OR(INDEX($AG$2:$AG$1001,MATCH(ROWS($AF$2:AF532),$AF$2:$AF$1001,0),1)&gt;=100000,INDEX($AM$1005:$BM$1005,1,MATCH(COLUMNS($AM$1006:BB1006),$AM$1006:$BM$1006,0))&gt;=100000), " ",IF(INDEX($AM$2:$BM$1001,MATCH(ROWS($AF$2:AF532),$AF$2:$AF$1001,0),MATCH(COLUMNS($AM$1006:BB1006),$AM$1006:$BM$1006,0)), HYPERLINK("#",""), HYPERLINK(CONCATENATE("#metadata!", ADDRESS(INDEX($AH$2:$AH$1001,MATCH(ROWS($AF$2:AF532),$AF$2:$AF$1001,0),0), INDEX($AM$1004:$BM$1004,1,MATCH(COLUMNS($AM$1006:BB1006),$AM$1006:$BM$1006,0)))),"Fix")))</f>
        <v xml:space="preserve"> </v>
      </c>
      <c r="R532" s="4" t="str">
        <f ca="1">IF(OR(INDEX($AG$2:$AG$1001,MATCH(ROWS($AF$2:AF532),$AF$2:$AF$1001,0),1)&gt;=100000,INDEX($AM$1005:$BM$1005,1,MATCH(COLUMNS($AM$1006:BC1006),$AM$1006:$BM$1006,0))&gt;=100000), " ",IF(INDEX($AM$2:$BM$1001,MATCH(ROWS($AF$2:AF532),$AF$2:$AF$1001,0),MATCH(COLUMNS($AM$1006:BC1006),$AM$1006:$BM$1006,0)), HYPERLINK("#",""), HYPERLINK(CONCATENATE("#metadata!", ADDRESS(INDEX($AH$2:$AH$1001,MATCH(ROWS($AF$2:AF532),$AF$2:$AF$1001,0),0), INDEX($AM$1004:$BM$1004,1,MATCH(COLUMNS($AM$1006:BC1006),$AM$1006:$BM$1006,0)))),"Fix")))</f>
        <v xml:space="preserve"> </v>
      </c>
      <c r="S532" s="4" t="str">
        <f ca="1">IF(OR(INDEX($AG$2:$AG$1001,MATCH(ROWS($AF$2:AF532),$AF$2:$AF$1001,0),1)&gt;=100000,INDEX($AM$1005:$BM$1005,1,MATCH(COLUMNS($AM$1006:BD1006),$AM$1006:$BM$1006,0))&gt;=100000), " ",IF(INDEX($AM$2:$BM$1001,MATCH(ROWS($AF$2:AF532),$AF$2:$AF$1001,0),MATCH(COLUMNS($AM$1006:BD1006),$AM$1006:$BM$1006,0)), HYPERLINK("#",""), HYPERLINK(CONCATENATE("#metadata!", ADDRESS(INDEX($AH$2:$AH$1001,MATCH(ROWS($AF$2:AF532),$AF$2:$AF$1001,0),0), INDEX($AM$1004:$BM$1004,1,MATCH(COLUMNS($AM$1006:BD1006),$AM$1006:$BM$1006,0)))),"Fix")))</f>
        <v xml:space="preserve"> </v>
      </c>
      <c r="T532" s="4" t="str">
        <f ca="1">IF(OR(INDEX($AG$2:$AG$1001,MATCH(ROWS($AF$2:AF532),$AF$2:$AF$1001,0),1)&gt;=100000,INDEX($AM$1005:$BM$1005,1,MATCH(COLUMNS($AM$1006:BE1006),$AM$1006:$BM$1006,0))&gt;=100000), " ",IF(INDEX($AM$2:$BM$1001,MATCH(ROWS($AF$2:AF532),$AF$2:$AF$1001,0),MATCH(COLUMNS($AM$1006:BE1006),$AM$1006:$BM$1006,0)), HYPERLINK("#",""), HYPERLINK(CONCATENATE("#metadata!", ADDRESS(INDEX($AH$2:$AH$1001,MATCH(ROWS($AF$2:AF532),$AF$2:$AF$1001,0),0), INDEX($AM$1004:$BM$1004,1,MATCH(COLUMNS($AM$1006:BE1006),$AM$1006:$BM$1006,0)))),"Fix")))</f>
        <v xml:space="preserve"> </v>
      </c>
      <c r="U532" s="4" t="str">
        <f ca="1">IF(OR(INDEX($AG$2:$AG$1001,MATCH(ROWS($AF$2:AF532),$AF$2:$AF$1001,0),1)&gt;=100000,INDEX($AM$1005:$BM$1005,1,MATCH(COLUMNS($AM$1006:BF1006),$AM$1006:$BM$1006,0))&gt;=100000), " ",IF(INDEX($AM$2:$BM$1001,MATCH(ROWS($AF$2:AF532),$AF$2:$AF$1001,0),MATCH(COLUMNS($AM$1006:BF1006),$AM$1006:$BM$1006,0)), HYPERLINK("#",""), HYPERLINK(CONCATENATE("#metadata!", ADDRESS(INDEX($AH$2:$AH$1001,MATCH(ROWS($AF$2:AF532),$AF$2:$AF$1001,0),0), INDEX($AM$1004:$BM$1004,1,MATCH(COLUMNS($AM$1006:BF1006),$AM$1006:$BM$1006,0)))),"Fix")))</f>
        <v xml:space="preserve"> </v>
      </c>
      <c r="V532" s="4" t="str">
        <f ca="1">IF(OR(INDEX($AG$2:$AG$1001,MATCH(ROWS($AF$2:AF532),$AF$2:$AF$1001,0),1)&gt;=100000,INDEX($AM$1005:$BM$1005,1,MATCH(COLUMNS($AM$1006:BG1006),$AM$1006:$BM$1006,0))&gt;=100000), " ",IF(INDEX($AM$2:$BM$1001,MATCH(ROWS($AF$2:AF532),$AF$2:$AF$1001,0),MATCH(COLUMNS($AM$1006:BG1006),$AM$1006:$BM$1006,0)), HYPERLINK("#",""), HYPERLINK(CONCATENATE("#metadata!", ADDRESS(INDEX($AH$2:$AH$1001,MATCH(ROWS($AF$2:AF532),$AF$2:$AF$1001,0),0), INDEX($AM$1004:$BM$1004,1,MATCH(COLUMNS($AM$1006:BG1006),$AM$1006:$BM$1006,0)))),"Fix")))</f>
        <v xml:space="preserve"> </v>
      </c>
      <c r="W532" s="4" t="str">
        <f ca="1">IF(OR(INDEX($AG$2:$AG$1001,MATCH(ROWS($AF$2:AF532),$AF$2:$AF$1001,0),1)&gt;=100000,INDEX($AM$1005:$BM$1005,1,MATCH(COLUMNS($AM$1006:BH1006),$AM$1006:$BM$1006,0))&gt;=100000), " ",IF(INDEX($AM$2:$BM$1001,MATCH(ROWS($AF$2:AF532),$AF$2:$AF$1001,0),MATCH(COLUMNS($AM$1006:BH1006),$AM$1006:$BM$1006,0)), HYPERLINK("#",""), HYPERLINK(CONCATENATE("#metadata!", ADDRESS(INDEX($AH$2:$AH$1001,MATCH(ROWS($AF$2:AF532),$AF$2:$AF$1001,0),0), INDEX($AM$1004:$BM$1004,1,MATCH(COLUMNS($AM$1006:BH1006),$AM$1006:$BM$1006,0)))),"Fix")))</f>
        <v xml:space="preserve"> </v>
      </c>
      <c r="X532" s="4" t="str">
        <f ca="1">IF(OR(INDEX($AG$2:$AG$1001,MATCH(ROWS($AF$2:AF532),$AF$2:$AF$1001,0),1)&gt;=100000,INDEX($AM$1005:$BM$1005,1,MATCH(COLUMNS($AM$1006:BI1006),$AM$1006:$BM$1006,0))&gt;=100000), " ",IF(INDEX($AM$2:$BM$1001,MATCH(ROWS($AF$2:AF532),$AF$2:$AF$1001,0),MATCH(COLUMNS($AM$1006:BI1006),$AM$1006:$BM$1006,0)), HYPERLINK("#",""), HYPERLINK(CONCATENATE("#metadata!", ADDRESS(INDEX($AH$2:$AH$1001,MATCH(ROWS($AF$2:AF532),$AF$2:$AF$1001,0),0), INDEX($AM$1004:$BM$1004,1,MATCH(COLUMNS($AM$1006:BI1006),$AM$1006:$BM$1006,0)))),"Fix")))</f>
        <v xml:space="preserve"> </v>
      </c>
      <c r="Y532" s="4" t="str">
        <f ca="1">IF(OR(INDEX($AG$2:$AG$1001,MATCH(ROWS($AF$2:AF532),$AF$2:$AF$1001,0),1)&gt;=100000,INDEX($AM$1005:$BM$1005,1,MATCH(COLUMNS($AM$1006:BJ1006),$AM$1006:$BM$1006,0))&gt;=100000), " ",IF(INDEX($AM$2:$BM$1001,MATCH(ROWS($AF$2:AF532),$AF$2:$AF$1001,0),MATCH(COLUMNS($AM$1006:BJ1006),$AM$1006:$BM$1006,0)), HYPERLINK("#",""), HYPERLINK(CONCATENATE("#metadata!", ADDRESS(INDEX($AH$2:$AH$1001,MATCH(ROWS($AF$2:AF532),$AF$2:$AF$1001,0),0), INDEX($AM$1004:$BM$1004,1,MATCH(COLUMNS($AM$1006:BJ1006),$AM$1006:$BM$1006,0)))),"Fix")))</f>
        <v xml:space="preserve"> </v>
      </c>
      <c r="Z532" s="4" t="str">
        <f ca="1">IF(OR(INDEX($AG$2:$AG$1001,MATCH(ROWS($AF$2:AF532),$AF$2:$AF$1001,0),1)&gt;=100000,INDEX($AM$1005:$BM$1005,1,MATCH(COLUMNS($AM$1006:BK1006),$AM$1006:$BM$1006,0))&gt;=100000), " ",IF(INDEX($AM$2:$BM$1001,MATCH(ROWS($AF$2:AF532),$AF$2:$AF$1001,0),MATCH(COLUMNS($AM$1006:BK1006),$AM$1006:$BM$1006,0)), HYPERLINK("#",""), HYPERLINK(CONCATENATE("#metadata!", ADDRESS(INDEX($AH$2:$AH$1001,MATCH(ROWS($AF$2:AF532),$AF$2:$AF$1001,0),0), INDEX($AM$1004:$BM$1004,1,MATCH(COLUMNS($AM$1006:BK1006),$AM$1006:$BM$1006,0)))),"Fix")))</f>
        <v xml:space="preserve"> </v>
      </c>
      <c r="AA532" s="4" t="str">
        <f ca="1">IF(OR(INDEX($AG$2:$AG$1001,MATCH(ROWS($AF$2:AF532),$AF$2:$AF$1001,0),1)&gt;=100000,INDEX($AM$1005:$BM$1005,1,MATCH(COLUMNS($AM$1006:BL1006),$AM$1006:$BM$1006,0))&gt;=100000), " ",IF(INDEX($AM$2:$BM$1001,MATCH(ROWS($AF$2:AF532),$AF$2:$AF$1001,0),MATCH(COLUMNS($AM$1006:BL1006),$AM$1006:$BM$1006,0)), HYPERLINK("#",""), HYPERLINK(CONCATENATE("#metadata!", ADDRESS(INDEX($AH$2:$AH$1001,MATCH(ROWS($AF$2:AF532),$AF$2:$AF$1001,0),0), INDEX($AM$1004:$BM$1004,1,MATCH(COLUMNS($AM$1006:BL1006),$AM$1006:$BM$1006,0)))),"Fix")))</f>
        <v xml:space="preserve"> </v>
      </c>
      <c r="AB532" s="4" t="str">
        <f ca="1">IF(OR(INDEX($AG$2:$AG$1001,MATCH(ROWS($AF$2:AF532),$AF$2:$AF$1001,0),1)&gt;=100000,INDEX($AM$1005:$BM$1005,1,MATCH(COLUMNS($AM$1006:BM1006),$AM$1006:$BM$1006,0))&gt;=100000), " ",IF(INDEX($AM$2:$BM$1001,MATCH(ROWS($AF$2:AF532),$AF$2:$AF$1001,0),MATCH(COLUMNS($AM$1006:BM1006),$AM$1006:$BM$1006,0)), HYPERLINK("#",""), HYPERLINK(CONCATENATE("#metadata!", ADDRESS(INDEX($AH$2:$AH$1001,MATCH(ROWS($AF$2:AF532),$AF$2:$AF$1001,0),0), INDEX($AM$1004:$BM$1004,1,MATCH(COLUMNS($AM$1006:BM1006),$AM$1006:$BM$1006,0)))),"Fix")))</f>
        <v xml:space="preserve"> </v>
      </c>
      <c r="AF532">
        <v>531</v>
      </c>
      <c r="AG532">
        <v>100532</v>
      </c>
      <c r="AH532">
        <v>532</v>
      </c>
      <c r="AI532" t="b">
        <f t="shared" si="8"/>
        <v>1</v>
      </c>
      <c r="AJ532" t="b">
        <f>COUNTBLANK(metadata!B532:AB532)=COLUMNS(metadata!B532:AB532)</f>
        <v>1</v>
      </c>
      <c r="AK532" t="str">
        <v/>
      </c>
      <c r="AM532" t="b">
        <f ca="1">AND(IF(metadata!B532="",FALSE,TRUE),COUNTIF(metadata!B:B, metadata!B532) = 1,NOT(ISERROR(SUMPRODUCT(SEARCH(MID(metadata!B532,ROW(INDIRECT("1:"&amp;LEN(metadata!B532))), 1),"0123456789abcdefghijklmnopqrstuvwxyzABCDEFGHIJKLMNOPQRSTUVWXYZ.")))))</f>
        <v>0</v>
      </c>
      <c r="AN532" t="b">
        <f ca="1">OR(AND(IF(metadata!C532="",FALSE,TRUE),OR(EXACT(metadata!C532,"missing: not collected"),EXACT(metadata!C532,"missing: not provided"),EXACT(metadata!C532,"missing: restricted access"))),AND(IF(metadata!C532="",FALSE,TRUE),AND(AND(IFERROR(INT(LEFT(metadata!C532,4))&gt;1900,FALSE),IFERROR(INT(LEFT(metadata!C532,4))&lt;=YEAR(NOW()),FALSE)), OR(MID(metadata!C532,5,1)="", AND(AND(MID(metadata!C532,5,1)="-",IFERROR(INT(MID(metadata!C532,6,1))&gt;=0,FALSE),IFERROR(INT(MID(metadata!C532,6,1))&lt;=1,FALSE),NOT(MID(metadata!C532,7,1)=""),IFERROR(INT(MID(metadata!C532,6,2))&gt;=1,FALSE),IFERROR(INT(MID(metadata!C532,6,2))&lt;=12,FALSE)), OR(MID(metadata!C532,8,1)="", AND(AND(MID(metadata!C532,8,1)="-",IFERROR(INT(MID(metadata!C532,9,1))&gt;=0,FALSE),IFERROR(INT(MID(metadata!C532,9,1))&lt;=3,FALSE),NOT(MID(metadata!C532,10,1)=""),IFERROR(INT(MID(metadata!C532,9,2))&gt;=1,FALSE),IFERROR(INT(MID(metadata!C532,9,2))&lt;=31,FALSE)), OR(MID(metadata!C532,11,1)="", AND(AND(MID(metadata!C532,11,1)=" ",IFERROR(INT(MID(metadata!C532,12,1))&gt;=0,FALSE),IFERROR(INT(MID(metadata!C532,12,1))&lt;=2,FALSE),NOT(MID(metadata!C532,13,1)=""),IFERROR(INT(MID(metadata!C532,12,2))&gt;=0,FALSE),IFERROR(INT(MID(metadata!C532,12,2))&lt;=23,FALSE)), OR(MID(metadata!C532,14,1)="", AND(AND(MID(metadata!C532,14,1)=":",IFERROR(INT(MID(metadata!C532,15,1))&gt;=0,FALSE),IFERROR(INT(MID(metadata!C532,15,1))&lt;=5,FALSE),NOT(MID(metadata!C532,16,1)=""),IFERROR(INT(MID(metadata!C532,15,2))&gt;=0,FALSE),IFERROR(INT(MID(metadata!C532,15,2))&lt;=59,FALSE)), OR(MID(metadata!C532,17,1)="", AND(AND(MID(metadata!C532,17,1)=":",IFERROR(INT(MID(metadata!C532,18,1))&gt;=0,FALSE),IFERROR(INT(MID(metadata!C532,18,1))&lt;=5,FALSE),NOT(MID(metadata!C532,19,1)=""),IFERROR(INT(MID(metadata!C532,18,2))&gt;=0,FALSE),IFERROR(INT(MID(metadata!C532,18,2))&lt;=59,FALSE)), LEN(metadata!C532)&lt;=19)))))))))))))</f>
        <v>0</v>
      </c>
      <c r="AO532" t="b">
        <f>AND(IF(metadata!D532="",FALSE,TRUE),EXACT(metadata!D532,"Not applicable"))</f>
        <v>0</v>
      </c>
      <c r="AP532" t="b">
        <f>IF(metadata!E532="",FALSE,TRUE)</f>
        <v>0</v>
      </c>
      <c r="AQ532" t="b">
        <f>OR(AND(IF(metadata!F532="",FALSE,TRUE),OR(EXACT(metadata!F532,"missing: not collected"),EXACT(metadata!F532,"missing: not provided"))),AND(IF(metadata!F532="",FALSE,TRUE),OR(EXACT(metadata!F532,"TRUE"),EXACT(metadata!F532,"FALSE"))))</f>
        <v>0</v>
      </c>
      <c r="AR532" t="b">
        <f>OR(AND(IF(metadata!G532="",FALSE,TRUE),OR(EXACT(metadata!G532,"missing: not collected"),EXACT(metadata!G532,"missing: not provided"),EXACT(metadata!G532,"missing: restricted access"))),AND(IF(metadata!G532="",FALSE,ISNUMBER(VALUE(metadata!G532))),metadata!G532&gt;=-413))</f>
        <v>0</v>
      </c>
      <c r="AS532" t="b">
        <f>AND(IF(metadata!H532="",FALSE,TRUE),EXACT(metadata!H532,"meters"))</f>
        <v>0</v>
      </c>
      <c r="AT532" t="b">
        <f>AND(IF(metadata!I532="",FALSE,TRUE),OR(EXACT(metadata!I532,"Host-associated"),EXACT(metadata!I532,"Free-living")))</f>
        <v>0</v>
      </c>
      <c r="AU532" t="b">
        <f>AND(IF(metadata!J532="",FALSE,TRUE),OR(EXACT(metadata!J532,"Animal"),EXACT(metadata!J532,"Fungus"),EXACT(metadata!J532,"Plant"),EXACT(metadata!J532,"Saline"),EXACT(metadata!J532,"Non-saline")))</f>
        <v>0</v>
      </c>
      <c r="AV532" t="b">
        <f>AND(IF(metadata!K532="",FALSE,TRUE),OR(EXACT(metadata!K532,"Plant secretion"),EXACT(metadata!K532,"Plant rhizosphere"),EXACT(metadata!K532,"Plant surface"),EXACT(metadata!K532,"Plant corpus"),EXACT(metadata!K532,"Fungus surface"),EXACT(metadata!K532,"Fungus corpus"),EXACT(metadata!K532,"Animal surface"),EXACT(metadata!K532,"Animal proximal gut"),EXACT(metadata!K532,"Animal corpus"),EXACT(metadata!K532,"Animal distal gut"),EXACT(metadata!K532,"Animal secretion"),EXACT(metadata!K532,"Sub-surface (non-saline)"),EXACT(metadata!K532,"Surface (non-saline)"),EXACT(metadata!K532,"Water (non-saline)"),EXACT(metadata!K532,"Soil (non-saline)"),EXACT(metadata!K532,"Aerosol (non-saline)"),EXACT(metadata!K532,"Sediment (non-saline)"),EXACT(metadata!K532,"Surface (saline)"),EXACT(metadata!K532,"Water (saline)"),EXACT(metadata!K532,"Hypersaline (saline)"),EXACT(metadata!K532,"Aerosol (saline)"),EXACT(metadata!K532,"Sediment (saline)")))</f>
        <v>0</v>
      </c>
      <c r="AW532" t="b">
        <f>IF(metadata!L532="",FALSE,TRUE)</f>
        <v>0</v>
      </c>
      <c r="AX532" t="b">
        <f>IF(metadata!M532="",FALSE,TRUE)</f>
        <v>0</v>
      </c>
      <c r="AY532" t="b">
        <f>IF(metadata!N532="",FALSE,TRUE)</f>
        <v>0</v>
      </c>
      <c r="AZ532" t="b">
        <f>OR(AND(IF(metadata!O532="",FALSE,TRUE),OR(EXACT(metadata!O532,"missing: not collected"),EXACT(metadata!O532,"missing: not provided"),EXACT(metadata!O532,"missing: restricted access"))),AND(IF(metadata!O532="",FALSE,TRUE),OR(EXACT(metadata!O532,"air"),EXACT(metadata!O532,"built environment"),EXACT(metadata!O532,"host-associated"),EXACT(metadata!O532,"human-associated"),EXACT(metadata!O532,"human-skin"),EXACT(metadata!O532,"human-oral"),EXACT(metadata!O532,"human-gut"),EXACT(metadata!O532,"human-vaginal"),EXACT(metadata!O532,"microbial mat/biofilm"),EXACT(metadata!O532,"misc environment"),EXACT(metadata!O532,"plant-associated"),EXACT(metadata!O532,"sediment"),EXACT(metadata!O532,"soil"),EXACT(metadata!O532,"wastewater/sludge"),EXACT(metadata!O532,"water"))))</f>
        <v>0</v>
      </c>
      <c r="BA532" t="b">
        <f>IF(metadata!P532="",FALSE,TRUE)</f>
        <v>0</v>
      </c>
      <c r="BB532" t="b">
        <f>IF(metadata!Q532="",FALSE,TRUE)</f>
        <v>0</v>
      </c>
      <c r="BC532" t="b">
        <f>OR(AND(IF(metadata!R532="",FALSE,TRUE),OR(EXACT(metadata!R532,"missing: not collected"),EXACT(metadata!R532,"missing: not provided"),EXACT(metadata!R532,"missing: restricted access"))),AND(IF(metadata!R532="",FALSE,ISNUMBER(VALUE(metadata!R532))),metadata!R532&gt;=-90,metadata!R532&lt;=90))</f>
        <v>0</v>
      </c>
      <c r="BD532" t="b">
        <f>AND(IF(metadata!S532="",FALSE,TRUE),EXACT(metadata!S532,"Decimal degrees"))</f>
        <v>0</v>
      </c>
      <c r="BE532" t="b">
        <f>OR(AND(IF(metadata!T532="",FALSE,TRUE),OR(EXACT(metadata!T532,"missing: not collected"),EXACT(metadata!T532,"missing: not provided"),EXACT(metadata!T532,"missing: restricted access"))),AND(IF(metadata!T532="",FALSE,ISNUMBER(VALUE(metadata!T532))),metadata!T532&gt;=-180,metadata!T532&lt;=180))</f>
        <v>0</v>
      </c>
      <c r="BF532" t="b">
        <f>AND(IF(metadata!U532="",FALSE,TRUE),EXACT(metadata!U532,"Decimal degrees"))</f>
        <v>0</v>
      </c>
      <c r="BG532" t="b">
        <f>IF(metadata!V532="",FALSE,TRUE)</f>
        <v>0</v>
      </c>
      <c r="BH532" t="b">
        <f>OR(AND(IF(metadata!W532="",FALSE,TRUE),OR(EXACT(metadata!W532,"missing: not collected"),EXACT(metadata!W532,"missing: not provided"),EXACT(metadata!W532,"missing: restricted access"))),AND(IF(metadata!W532="",FALSE,TRUE),OR(EXACT(metadata!W532,"TRUE"),EXACT(metadata!W532,"FALSE"))))</f>
        <v>0</v>
      </c>
      <c r="BI532" t="b">
        <f>AND(IF(metadata!X532="",FALSE,TRUE),EXACT(metadata!X532,"other"))</f>
        <v>0</v>
      </c>
      <c r="BJ532" t="b">
        <f>IF(metadata!Y532="",FALSE,TRUE)</f>
        <v>0</v>
      </c>
      <c r="BK532" t="b">
        <f>OR(AND(IF(metadata!Z532="",FALSE,TRUE),OR(EXACT(metadata!Z532,"missing: not collected"),EXACT(metadata!Z532,"missing: not provided"))),AND(IF(metadata!Z532="",FALSE,IF(ISERROR(INT(metadata!Z532)),FALSE,INT(metadata!Z532)=metadata!Z532)),metadata!Z532&gt;0))</f>
        <v>0</v>
      </c>
      <c r="BL532" t="b">
        <f>AND(IF(metadata!AA532="",FALSE,TRUE),EXACT(metadata!AA532,"Not applicable"))</f>
        <v>0</v>
      </c>
      <c r="BM532" t="b">
        <f>IF(metadata!AB532="",FALSE,TRUE)</f>
        <v>0</v>
      </c>
    </row>
    <row r="533" spans="1:65" x14ac:dyDescent="0.2">
      <c r="A533" s="5" t="str">
        <f ca="1">IF(B533=" "," ",HYPERLINK(CONCATENATE("#metadata!",ADDRESS(INDEX($AH$2:$AH$1001,MATCH(ROWS($AF$2:AF533),$AF$2:$AF$1001,0),0),1)),INDEX($AK$2:$AK$1001,MATCH(ROWS($AF$2:AF533),$AF$2:$AF$1001,0),0)))</f>
        <v xml:space="preserve"> </v>
      </c>
      <c r="B533" s="4" t="str">
        <f ca="1">IF(OR(INDEX($AG$2:$AG$1001,MATCH(ROWS($AF$2:AF533),$AF$2:$AF$1001,0),1)&gt;=100000,INDEX($AM$1005:$BM$1005,1,MATCH(COLUMNS($AM$1006:AM1006),$AM$1006:$BM$1006,0))&gt;=100000), " ",IF(INDEX($AM$2:$BM$1001,MATCH(ROWS($AF$2:AF533),$AF$2:$AF$1001,0),MATCH(COLUMNS($AM$1006:AM1006),$AM$1006:$BM$1006,0)), HYPERLINK("#",""), HYPERLINK(CONCATENATE("#metadata!", ADDRESS(INDEX($AH$2:$AH$1001,MATCH(ROWS($AF$2:AF533),$AF$2:$AF$1001,0),0), INDEX($AM$1004:$BM$1004,1,MATCH(COLUMNS($AM$1006:AM1006),$AM$1006:$BM$1006,0)))),"Fix")))</f>
        <v xml:space="preserve"> </v>
      </c>
      <c r="C533" s="4" t="str">
        <f ca="1">IF(OR(INDEX($AG$2:$AG$1001,MATCH(ROWS($AF$2:AF533),$AF$2:$AF$1001,0),1)&gt;=100000,INDEX($AM$1005:$BM$1005,1,MATCH(COLUMNS($AM$1006:AN1006),$AM$1006:$BM$1006,0))&gt;=100000), " ",IF(INDEX($AM$2:$BM$1001,MATCH(ROWS($AF$2:AF533),$AF$2:$AF$1001,0),MATCH(COLUMNS($AM$1006:AN1006),$AM$1006:$BM$1006,0)), HYPERLINK("#",""), HYPERLINK(CONCATENATE("#metadata!", ADDRESS(INDEX($AH$2:$AH$1001,MATCH(ROWS($AF$2:AF533),$AF$2:$AF$1001,0),0), INDEX($AM$1004:$BM$1004,1,MATCH(COLUMNS($AM$1006:AN1006),$AM$1006:$BM$1006,0)))),"Fix")))</f>
        <v xml:space="preserve"> </v>
      </c>
      <c r="D533" s="4" t="str">
        <f ca="1">IF(OR(INDEX($AG$2:$AG$1001,MATCH(ROWS($AF$2:AF533),$AF$2:$AF$1001,0),1)&gt;=100000,INDEX($AM$1005:$BM$1005,1,MATCH(COLUMNS($AM$1006:AO1006),$AM$1006:$BM$1006,0))&gt;=100000), " ",IF(INDEX($AM$2:$BM$1001,MATCH(ROWS($AF$2:AF533),$AF$2:$AF$1001,0),MATCH(COLUMNS($AM$1006:AO1006),$AM$1006:$BM$1006,0)), HYPERLINK("#",""), HYPERLINK(CONCATENATE("#metadata!", ADDRESS(INDEX($AH$2:$AH$1001,MATCH(ROWS($AF$2:AF533),$AF$2:$AF$1001,0),0), INDEX($AM$1004:$BM$1004,1,MATCH(COLUMNS($AM$1006:AO1006),$AM$1006:$BM$1006,0)))),"Fix")))</f>
        <v xml:space="preserve"> </v>
      </c>
      <c r="E533" s="4" t="str">
        <f ca="1">IF(OR(INDEX($AG$2:$AG$1001,MATCH(ROWS($AF$2:AF533),$AF$2:$AF$1001,0),1)&gt;=100000,INDEX($AM$1005:$BM$1005,1,MATCH(COLUMNS($AM$1006:AP1006),$AM$1006:$BM$1006,0))&gt;=100000), " ",IF(INDEX($AM$2:$BM$1001,MATCH(ROWS($AF$2:AF533),$AF$2:$AF$1001,0),MATCH(COLUMNS($AM$1006:AP1006),$AM$1006:$BM$1006,0)), HYPERLINK("#",""), HYPERLINK(CONCATENATE("#metadata!", ADDRESS(INDEX($AH$2:$AH$1001,MATCH(ROWS($AF$2:AF533),$AF$2:$AF$1001,0),0), INDEX($AM$1004:$BM$1004,1,MATCH(COLUMNS($AM$1006:AP1006),$AM$1006:$BM$1006,0)))),"Fix")))</f>
        <v xml:space="preserve"> </v>
      </c>
      <c r="F533" s="4" t="str">
        <f ca="1">IF(OR(INDEX($AG$2:$AG$1001,MATCH(ROWS($AF$2:AF533),$AF$2:$AF$1001,0),1)&gt;=100000,INDEX($AM$1005:$BM$1005,1,MATCH(COLUMNS($AM$1006:AQ1006),$AM$1006:$BM$1006,0))&gt;=100000), " ",IF(INDEX($AM$2:$BM$1001,MATCH(ROWS($AF$2:AF533),$AF$2:$AF$1001,0),MATCH(COLUMNS($AM$1006:AQ1006),$AM$1006:$BM$1006,0)), HYPERLINK("#",""), HYPERLINK(CONCATENATE("#metadata!", ADDRESS(INDEX($AH$2:$AH$1001,MATCH(ROWS($AF$2:AF533),$AF$2:$AF$1001,0),0), INDEX($AM$1004:$BM$1004,1,MATCH(COLUMNS($AM$1006:AQ1006),$AM$1006:$BM$1006,0)))),"Fix")))</f>
        <v xml:space="preserve"> </v>
      </c>
      <c r="G533" s="4" t="str">
        <f ca="1">IF(OR(INDEX($AG$2:$AG$1001,MATCH(ROWS($AF$2:AF533),$AF$2:$AF$1001,0),1)&gt;=100000,INDEX($AM$1005:$BM$1005,1,MATCH(COLUMNS($AM$1006:AR1006),$AM$1006:$BM$1006,0))&gt;=100000), " ",IF(INDEX($AM$2:$BM$1001,MATCH(ROWS($AF$2:AF533),$AF$2:$AF$1001,0),MATCH(COLUMNS($AM$1006:AR1006),$AM$1006:$BM$1006,0)), HYPERLINK("#",""), HYPERLINK(CONCATENATE("#metadata!", ADDRESS(INDEX($AH$2:$AH$1001,MATCH(ROWS($AF$2:AF533),$AF$2:$AF$1001,0),0), INDEX($AM$1004:$BM$1004,1,MATCH(COLUMNS($AM$1006:AR1006),$AM$1006:$BM$1006,0)))),"Fix")))</f>
        <v xml:space="preserve"> </v>
      </c>
      <c r="H533" s="4" t="str">
        <f ca="1">IF(OR(INDEX($AG$2:$AG$1001,MATCH(ROWS($AF$2:AF533),$AF$2:$AF$1001,0),1)&gt;=100000,INDEX($AM$1005:$BM$1005,1,MATCH(COLUMNS($AM$1006:AS1006),$AM$1006:$BM$1006,0))&gt;=100000), " ",IF(INDEX($AM$2:$BM$1001,MATCH(ROWS($AF$2:AF533),$AF$2:$AF$1001,0),MATCH(COLUMNS($AM$1006:AS1006),$AM$1006:$BM$1006,0)), HYPERLINK("#",""), HYPERLINK(CONCATENATE("#metadata!", ADDRESS(INDEX($AH$2:$AH$1001,MATCH(ROWS($AF$2:AF533),$AF$2:$AF$1001,0),0), INDEX($AM$1004:$BM$1004,1,MATCH(COLUMNS($AM$1006:AS1006),$AM$1006:$BM$1006,0)))),"Fix")))</f>
        <v xml:space="preserve"> </v>
      </c>
      <c r="I533" s="4" t="str">
        <f ca="1">IF(OR(INDEX($AG$2:$AG$1001,MATCH(ROWS($AF$2:AF533),$AF$2:$AF$1001,0),1)&gt;=100000,INDEX($AM$1005:$BM$1005,1,MATCH(COLUMNS($AM$1006:AT1006),$AM$1006:$BM$1006,0))&gt;=100000), " ",IF(INDEX($AM$2:$BM$1001,MATCH(ROWS($AF$2:AF533),$AF$2:$AF$1001,0),MATCH(COLUMNS($AM$1006:AT1006),$AM$1006:$BM$1006,0)), HYPERLINK("#",""), HYPERLINK(CONCATENATE("#metadata!", ADDRESS(INDEX($AH$2:$AH$1001,MATCH(ROWS($AF$2:AF533),$AF$2:$AF$1001,0),0), INDEX($AM$1004:$BM$1004,1,MATCH(COLUMNS($AM$1006:AT1006),$AM$1006:$BM$1006,0)))),"Fix")))</f>
        <v xml:space="preserve"> </v>
      </c>
      <c r="J533" s="4" t="str">
        <f ca="1">IF(OR(INDEX($AG$2:$AG$1001,MATCH(ROWS($AF$2:AF533),$AF$2:$AF$1001,0),1)&gt;=100000,INDEX($AM$1005:$BM$1005,1,MATCH(COLUMNS($AM$1006:AU1006),$AM$1006:$BM$1006,0))&gt;=100000), " ",IF(INDEX($AM$2:$BM$1001,MATCH(ROWS($AF$2:AF533),$AF$2:$AF$1001,0),MATCH(COLUMNS($AM$1006:AU1006),$AM$1006:$BM$1006,0)), HYPERLINK("#",""), HYPERLINK(CONCATENATE("#metadata!", ADDRESS(INDEX($AH$2:$AH$1001,MATCH(ROWS($AF$2:AF533),$AF$2:$AF$1001,0),0), INDEX($AM$1004:$BM$1004,1,MATCH(COLUMNS($AM$1006:AU1006),$AM$1006:$BM$1006,0)))),"Fix")))</f>
        <v xml:space="preserve"> </v>
      </c>
      <c r="K533" s="4" t="str">
        <f ca="1">IF(OR(INDEX($AG$2:$AG$1001,MATCH(ROWS($AF$2:AF533),$AF$2:$AF$1001,0),1)&gt;=100000,INDEX($AM$1005:$BM$1005,1,MATCH(COLUMNS($AM$1006:AV1006),$AM$1006:$BM$1006,0))&gt;=100000), " ",IF(INDEX($AM$2:$BM$1001,MATCH(ROWS($AF$2:AF533),$AF$2:$AF$1001,0),MATCH(COLUMNS($AM$1006:AV1006),$AM$1006:$BM$1006,0)), HYPERLINK("#",""), HYPERLINK(CONCATENATE("#metadata!", ADDRESS(INDEX($AH$2:$AH$1001,MATCH(ROWS($AF$2:AF533),$AF$2:$AF$1001,0),0), INDEX($AM$1004:$BM$1004,1,MATCH(COLUMNS($AM$1006:AV1006),$AM$1006:$BM$1006,0)))),"Fix")))</f>
        <v xml:space="preserve"> </v>
      </c>
      <c r="L533" s="4" t="str">
        <f ca="1">IF(OR(INDEX($AG$2:$AG$1001,MATCH(ROWS($AF$2:AF533),$AF$2:$AF$1001,0),1)&gt;=100000,INDEX($AM$1005:$BM$1005,1,MATCH(COLUMNS($AM$1006:AW1006),$AM$1006:$BM$1006,0))&gt;=100000), " ",IF(INDEX($AM$2:$BM$1001,MATCH(ROWS($AF$2:AF533),$AF$2:$AF$1001,0),MATCH(COLUMNS($AM$1006:AW1006),$AM$1006:$BM$1006,0)), HYPERLINK("#",""), HYPERLINK(CONCATENATE("#metadata!", ADDRESS(INDEX($AH$2:$AH$1001,MATCH(ROWS($AF$2:AF533),$AF$2:$AF$1001,0),0), INDEX($AM$1004:$BM$1004,1,MATCH(COLUMNS($AM$1006:AW1006),$AM$1006:$BM$1006,0)))),"Fix")))</f>
        <v xml:space="preserve"> </v>
      </c>
      <c r="M533" s="4" t="str">
        <f ca="1">IF(OR(INDEX($AG$2:$AG$1001,MATCH(ROWS($AF$2:AF533),$AF$2:$AF$1001,0),1)&gt;=100000,INDEX($AM$1005:$BM$1005,1,MATCH(COLUMNS($AM$1006:AX1006),$AM$1006:$BM$1006,0))&gt;=100000), " ",IF(INDEX($AM$2:$BM$1001,MATCH(ROWS($AF$2:AF533),$AF$2:$AF$1001,0),MATCH(COLUMNS($AM$1006:AX1006),$AM$1006:$BM$1006,0)), HYPERLINK("#",""), HYPERLINK(CONCATENATE("#metadata!", ADDRESS(INDEX($AH$2:$AH$1001,MATCH(ROWS($AF$2:AF533),$AF$2:$AF$1001,0),0), INDEX($AM$1004:$BM$1004,1,MATCH(COLUMNS($AM$1006:AX1006),$AM$1006:$BM$1006,0)))),"Fix")))</f>
        <v xml:space="preserve"> </v>
      </c>
      <c r="N533" s="4" t="str">
        <f ca="1">IF(OR(INDEX($AG$2:$AG$1001,MATCH(ROWS($AF$2:AF533),$AF$2:$AF$1001,0),1)&gt;=100000,INDEX($AM$1005:$BM$1005,1,MATCH(COLUMNS($AM$1006:AY1006),$AM$1006:$BM$1006,0))&gt;=100000), " ",IF(INDEX($AM$2:$BM$1001,MATCH(ROWS($AF$2:AF533),$AF$2:$AF$1001,0),MATCH(COLUMNS($AM$1006:AY1006),$AM$1006:$BM$1006,0)), HYPERLINK("#",""), HYPERLINK(CONCATENATE("#metadata!", ADDRESS(INDEX($AH$2:$AH$1001,MATCH(ROWS($AF$2:AF533),$AF$2:$AF$1001,0),0), INDEX($AM$1004:$BM$1004,1,MATCH(COLUMNS($AM$1006:AY1006),$AM$1006:$BM$1006,0)))),"Fix")))</f>
        <v xml:space="preserve"> </v>
      </c>
      <c r="O533" s="4" t="str">
        <f ca="1">IF(OR(INDEX($AG$2:$AG$1001,MATCH(ROWS($AF$2:AF533),$AF$2:$AF$1001,0),1)&gt;=100000,INDEX($AM$1005:$BM$1005,1,MATCH(COLUMNS($AM$1006:AZ1006),$AM$1006:$BM$1006,0))&gt;=100000), " ",IF(INDEX($AM$2:$BM$1001,MATCH(ROWS($AF$2:AF533),$AF$2:$AF$1001,0),MATCH(COLUMNS($AM$1006:AZ1006),$AM$1006:$BM$1006,0)), HYPERLINK("#",""), HYPERLINK(CONCATENATE("#metadata!", ADDRESS(INDEX($AH$2:$AH$1001,MATCH(ROWS($AF$2:AF533),$AF$2:$AF$1001,0),0), INDEX($AM$1004:$BM$1004,1,MATCH(COLUMNS($AM$1006:AZ1006),$AM$1006:$BM$1006,0)))),"Fix")))</f>
        <v xml:space="preserve"> </v>
      </c>
      <c r="P533" s="4" t="str">
        <f ca="1">IF(OR(INDEX($AG$2:$AG$1001,MATCH(ROWS($AF$2:AF533),$AF$2:$AF$1001,0),1)&gt;=100000,INDEX($AM$1005:$BM$1005,1,MATCH(COLUMNS($AM$1006:BA1006),$AM$1006:$BM$1006,0))&gt;=100000), " ",IF(INDEX($AM$2:$BM$1001,MATCH(ROWS($AF$2:AF533),$AF$2:$AF$1001,0),MATCH(COLUMNS($AM$1006:BA1006),$AM$1006:$BM$1006,0)), HYPERLINK("#",""), HYPERLINK(CONCATENATE("#metadata!", ADDRESS(INDEX($AH$2:$AH$1001,MATCH(ROWS($AF$2:AF533),$AF$2:$AF$1001,0),0), INDEX($AM$1004:$BM$1004,1,MATCH(COLUMNS($AM$1006:BA1006),$AM$1006:$BM$1006,0)))),"Fix")))</f>
        <v xml:space="preserve"> </v>
      </c>
      <c r="Q533" s="4" t="str">
        <f ca="1">IF(OR(INDEX($AG$2:$AG$1001,MATCH(ROWS($AF$2:AF533),$AF$2:$AF$1001,0),1)&gt;=100000,INDEX($AM$1005:$BM$1005,1,MATCH(COLUMNS($AM$1006:BB1006),$AM$1006:$BM$1006,0))&gt;=100000), " ",IF(INDEX($AM$2:$BM$1001,MATCH(ROWS($AF$2:AF533),$AF$2:$AF$1001,0),MATCH(COLUMNS($AM$1006:BB1006),$AM$1006:$BM$1006,0)), HYPERLINK("#",""), HYPERLINK(CONCATENATE("#metadata!", ADDRESS(INDEX($AH$2:$AH$1001,MATCH(ROWS($AF$2:AF533),$AF$2:$AF$1001,0),0), INDEX($AM$1004:$BM$1004,1,MATCH(COLUMNS($AM$1006:BB1006),$AM$1006:$BM$1006,0)))),"Fix")))</f>
        <v xml:space="preserve"> </v>
      </c>
      <c r="R533" s="4" t="str">
        <f ca="1">IF(OR(INDEX($AG$2:$AG$1001,MATCH(ROWS($AF$2:AF533),$AF$2:$AF$1001,0),1)&gt;=100000,INDEX($AM$1005:$BM$1005,1,MATCH(COLUMNS($AM$1006:BC1006),$AM$1006:$BM$1006,0))&gt;=100000), " ",IF(INDEX($AM$2:$BM$1001,MATCH(ROWS($AF$2:AF533),$AF$2:$AF$1001,0),MATCH(COLUMNS($AM$1006:BC1006),$AM$1006:$BM$1006,0)), HYPERLINK("#",""), HYPERLINK(CONCATENATE("#metadata!", ADDRESS(INDEX($AH$2:$AH$1001,MATCH(ROWS($AF$2:AF533),$AF$2:$AF$1001,0),0), INDEX($AM$1004:$BM$1004,1,MATCH(COLUMNS($AM$1006:BC1006),$AM$1006:$BM$1006,0)))),"Fix")))</f>
        <v xml:space="preserve"> </v>
      </c>
      <c r="S533" s="4" t="str">
        <f ca="1">IF(OR(INDEX($AG$2:$AG$1001,MATCH(ROWS($AF$2:AF533),$AF$2:$AF$1001,0),1)&gt;=100000,INDEX($AM$1005:$BM$1005,1,MATCH(COLUMNS($AM$1006:BD1006),$AM$1006:$BM$1006,0))&gt;=100000), " ",IF(INDEX($AM$2:$BM$1001,MATCH(ROWS($AF$2:AF533),$AF$2:$AF$1001,0),MATCH(COLUMNS($AM$1006:BD1006),$AM$1006:$BM$1006,0)), HYPERLINK("#",""), HYPERLINK(CONCATENATE("#metadata!", ADDRESS(INDEX($AH$2:$AH$1001,MATCH(ROWS($AF$2:AF533),$AF$2:$AF$1001,0),0), INDEX($AM$1004:$BM$1004,1,MATCH(COLUMNS($AM$1006:BD1006),$AM$1006:$BM$1006,0)))),"Fix")))</f>
        <v xml:space="preserve"> </v>
      </c>
      <c r="T533" s="4" t="str">
        <f ca="1">IF(OR(INDEX($AG$2:$AG$1001,MATCH(ROWS($AF$2:AF533),$AF$2:$AF$1001,0),1)&gt;=100000,INDEX($AM$1005:$BM$1005,1,MATCH(COLUMNS($AM$1006:BE1006),$AM$1006:$BM$1006,0))&gt;=100000), " ",IF(INDEX($AM$2:$BM$1001,MATCH(ROWS($AF$2:AF533),$AF$2:$AF$1001,0),MATCH(COLUMNS($AM$1006:BE1006),$AM$1006:$BM$1006,0)), HYPERLINK("#",""), HYPERLINK(CONCATENATE("#metadata!", ADDRESS(INDEX($AH$2:$AH$1001,MATCH(ROWS($AF$2:AF533),$AF$2:$AF$1001,0),0), INDEX($AM$1004:$BM$1004,1,MATCH(COLUMNS($AM$1006:BE1006),$AM$1006:$BM$1006,0)))),"Fix")))</f>
        <v xml:space="preserve"> </v>
      </c>
      <c r="U533" s="4" t="str">
        <f ca="1">IF(OR(INDEX($AG$2:$AG$1001,MATCH(ROWS($AF$2:AF533),$AF$2:$AF$1001,0),1)&gt;=100000,INDEX($AM$1005:$BM$1005,1,MATCH(COLUMNS($AM$1006:BF1006),$AM$1006:$BM$1006,0))&gt;=100000), " ",IF(INDEX($AM$2:$BM$1001,MATCH(ROWS($AF$2:AF533),$AF$2:$AF$1001,0),MATCH(COLUMNS($AM$1006:BF1006),$AM$1006:$BM$1006,0)), HYPERLINK("#",""), HYPERLINK(CONCATENATE("#metadata!", ADDRESS(INDEX($AH$2:$AH$1001,MATCH(ROWS($AF$2:AF533),$AF$2:$AF$1001,0),0), INDEX($AM$1004:$BM$1004,1,MATCH(COLUMNS($AM$1006:BF1006),$AM$1006:$BM$1006,0)))),"Fix")))</f>
        <v xml:space="preserve"> </v>
      </c>
      <c r="V533" s="4" t="str">
        <f ca="1">IF(OR(INDEX($AG$2:$AG$1001,MATCH(ROWS($AF$2:AF533),$AF$2:$AF$1001,0),1)&gt;=100000,INDEX($AM$1005:$BM$1005,1,MATCH(COLUMNS($AM$1006:BG1006),$AM$1006:$BM$1006,0))&gt;=100000), " ",IF(INDEX($AM$2:$BM$1001,MATCH(ROWS($AF$2:AF533),$AF$2:$AF$1001,0),MATCH(COLUMNS($AM$1006:BG1006),$AM$1006:$BM$1006,0)), HYPERLINK("#",""), HYPERLINK(CONCATENATE("#metadata!", ADDRESS(INDEX($AH$2:$AH$1001,MATCH(ROWS($AF$2:AF533),$AF$2:$AF$1001,0),0), INDEX($AM$1004:$BM$1004,1,MATCH(COLUMNS($AM$1006:BG1006),$AM$1006:$BM$1006,0)))),"Fix")))</f>
        <v xml:space="preserve"> </v>
      </c>
      <c r="W533" s="4" t="str">
        <f ca="1">IF(OR(INDEX($AG$2:$AG$1001,MATCH(ROWS($AF$2:AF533),$AF$2:$AF$1001,0),1)&gt;=100000,INDEX($AM$1005:$BM$1005,1,MATCH(COLUMNS($AM$1006:BH1006),$AM$1006:$BM$1006,0))&gt;=100000), " ",IF(INDEX($AM$2:$BM$1001,MATCH(ROWS($AF$2:AF533),$AF$2:$AF$1001,0),MATCH(COLUMNS($AM$1006:BH1006),$AM$1006:$BM$1006,0)), HYPERLINK("#",""), HYPERLINK(CONCATENATE("#metadata!", ADDRESS(INDEX($AH$2:$AH$1001,MATCH(ROWS($AF$2:AF533),$AF$2:$AF$1001,0),0), INDEX($AM$1004:$BM$1004,1,MATCH(COLUMNS($AM$1006:BH1006),$AM$1006:$BM$1006,0)))),"Fix")))</f>
        <v xml:space="preserve"> </v>
      </c>
      <c r="X533" s="4" t="str">
        <f ca="1">IF(OR(INDEX($AG$2:$AG$1001,MATCH(ROWS($AF$2:AF533),$AF$2:$AF$1001,0),1)&gt;=100000,INDEX($AM$1005:$BM$1005,1,MATCH(COLUMNS($AM$1006:BI1006),$AM$1006:$BM$1006,0))&gt;=100000), " ",IF(INDEX($AM$2:$BM$1001,MATCH(ROWS($AF$2:AF533),$AF$2:$AF$1001,0),MATCH(COLUMNS($AM$1006:BI1006),$AM$1006:$BM$1006,0)), HYPERLINK("#",""), HYPERLINK(CONCATENATE("#metadata!", ADDRESS(INDEX($AH$2:$AH$1001,MATCH(ROWS($AF$2:AF533),$AF$2:$AF$1001,0),0), INDEX($AM$1004:$BM$1004,1,MATCH(COLUMNS($AM$1006:BI1006),$AM$1006:$BM$1006,0)))),"Fix")))</f>
        <v xml:space="preserve"> </v>
      </c>
      <c r="Y533" s="4" t="str">
        <f ca="1">IF(OR(INDEX($AG$2:$AG$1001,MATCH(ROWS($AF$2:AF533),$AF$2:$AF$1001,0),1)&gt;=100000,INDEX($AM$1005:$BM$1005,1,MATCH(COLUMNS($AM$1006:BJ1006),$AM$1006:$BM$1006,0))&gt;=100000), " ",IF(INDEX($AM$2:$BM$1001,MATCH(ROWS($AF$2:AF533),$AF$2:$AF$1001,0),MATCH(COLUMNS($AM$1006:BJ1006),$AM$1006:$BM$1006,0)), HYPERLINK("#",""), HYPERLINK(CONCATENATE("#metadata!", ADDRESS(INDEX($AH$2:$AH$1001,MATCH(ROWS($AF$2:AF533),$AF$2:$AF$1001,0),0), INDEX($AM$1004:$BM$1004,1,MATCH(COLUMNS($AM$1006:BJ1006),$AM$1006:$BM$1006,0)))),"Fix")))</f>
        <v xml:space="preserve"> </v>
      </c>
      <c r="Z533" s="4" t="str">
        <f ca="1">IF(OR(INDEX($AG$2:$AG$1001,MATCH(ROWS($AF$2:AF533),$AF$2:$AF$1001,0),1)&gt;=100000,INDEX($AM$1005:$BM$1005,1,MATCH(COLUMNS($AM$1006:BK1006),$AM$1006:$BM$1006,0))&gt;=100000), " ",IF(INDEX($AM$2:$BM$1001,MATCH(ROWS($AF$2:AF533),$AF$2:$AF$1001,0),MATCH(COLUMNS($AM$1006:BK1006),$AM$1006:$BM$1006,0)), HYPERLINK("#",""), HYPERLINK(CONCATENATE("#metadata!", ADDRESS(INDEX($AH$2:$AH$1001,MATCH(ROWS($AF$2:AF533),$AF$2:$AF$1001,0),0), INDEX($AM$1004:$BM$1004,1,MATCH(COLUMNS($AM$1006:BK1006),$AM$1006:$BM$1006,0)))),"Fix")))</f>
        <v xml:space="preserve"> </v>
      </c>
      <c r="AA533" s="4" t="str">
        <f ca="1">IF(OR(INDEX($AG$2:$AG$1001,MATCH(ROWS($AF$2:AF533),$AF$2:$AF$1001,0),1)&gt;=100000,INDEX($AM$1005:$BM$1005,1,MATCH(COLUMNS($AM$1006:BL1006),$AM$1006:$BM$1006,0))&gt;=100000), " ",IF(INDEX($AM$2:$BM$1001,MATCH(ROWS($AF$2:AF533),$AF$2:$AF$1001,0),MATCH(COLUMNS($AM$1006:BL1006),$AM$1006:$BM$1006,0)), HYPERLINK("#",""), HYPERLINK(CONCATENATE("#metadata!", ADDRESS(INDEX($AH$2:$AH$1001,MATCH(ROWS($AF$2:AF533),$AF$2:$AF$1001,0),0), INDEX($AM$1004:$BM$1004,1,MATCH(COLUMNS($AM$1006:BL1006),$AM$1006:$BM$1006,0)))),"Fix")))</f>
        <v xml:space="preserve"> </v>
      </c>
      <c r="AB533" s="4" t="str">
        <f ca="1">IF(OR(INDEX($AG$2:$AG$1001,MATCH(ROWS($AF$2:AF533),$AF$2:$AF$1001,0),1)&gt;=100000,INDEX($AM$1005:$BM$1005,1,MATCH(COLUMNS($AM$1006:BM1006),$AM$1006:$BM$1006,0))&gt;=100000), " ",IF(INDEX($AM$2:$BM$1001,MATCH(ROWS($AF$2:AF533),$AF$2:$AF$1001,0),MATCH(COLUMNS($AM$1006:BM1006),$AM$1006:$BM$1006,0)), HYPERLINK("#",""), HYPERLINK(CONCATENATE("#metadata!", ADDRESS(INDEX($AH$2:$AH$1001,MATCH(ROWS($AF$2:AF533),$AF$2:$AF$1001,0),0), INDEX($AM$1004:$BM$1004,1,MATCH(COLUMNS($AM$1006:BM1006),$AM$1006:$BM$1006,0)))),"Fix")))</f>
        <v xml:space="preserve"> </v>
      </c>
      <c r="AF533">
        <v>532</v>
      </c>
      <c r="AG533">
        <v>100533</v>
      </c>
      <c r="AH533">
        <v>533</v>
      </c>
      <c r="AI533" t="b">
        <f t="shared" si="8"/>
        <v>1</v>
      </c>
      <c r="AJ533" t="b">
        <f>COUNTBLANK(metadata!B533:AB533)=COLUMNS(metadata!B533:AB533)</f>
        <v>1</v>
      </c>
      <c r="AK533" t="str">
        <v/>
      </c>
      <c r="AM533" t="b">
        <f ca="1">AND(IF(metadata!B533="",FALSE,TRUE),COUNTIF(metadata!B:B, metadata!B533) = 1,NOT(ISERROR(SUMPRODUCT(SEARCH(MID(metadata!B533,ROW(INDIRECT("1:"&amp;LEN(metadata!B533))), 1),"0123456789abcdefghijklmnopqrstuvwxyzABCDEFGHIJKLMNOPQRSTUVWXYZ.")))))</f>
        <v>0</v>
      </c>
      <c r="AN533" t="b">
        <f ca="1">OR(AND(IF(metadata!C533="",FALSE,TRUE),OR(EXACT(metadata!C533,"missing: not collected"),EXACT(metadata!C533,"missing: not provided"),EXACT(metadata!C533,"missing: restricted access"))),AND(IF(metadata!C533="",FALSE,TRUE),AND(AND(IFERROR(INT(LEFT(metadata!C533,4))&gt;1900,FALSE),IFERROR(INT(LEFT(metadata!C533,4))&lt;=YEAR(NOW()),FALSE)), OR(MID(metadata!C533,5,1)="", AND(AND(MID(metadata!C533,5,1)="-",IFERROR(INT(MID(metadata!C533,6,1))&gt;=0,FALSE),IFERROR(INT(MID(metadata!C533,6,1))&lt;=1,FALSE),NOT(MID(metadata!C533,7,1)=""),IFERROR(INT(MID(metadata!C533,6,2))&gt;=1,FALSE),IFERROR(INT(MID(metadata!C533,6,2))&lt;=12,FALSE)), OR(MID(metadata!C533,8,1)="", AND(AND(MID(metadata!C533,8,1)="-",IFERROR(INT(MID(metadata!C533,9,1))&gt;=0,FALSE),IFERROR(INT(MID(metadata!C533,9,1))&lt;=3,FALSE),NOT(MID(metadata!C533,10,1)=""),IFERROR(INT(MID(metadata!C533,9,2))&gt;=1,FALSE),IFERROR(INT(MID(metadata!C533,9,2))&lt;=31,FALSE)), OR(MID(metadata!C533,11,1)="", AND(AND(MID(metadata!C533,11,1)=" ",IFERROR(INT(MID(metadata!C533,12,1))&gt;=0,FALSE),IFERROR(INT(MID(metadata!C533,12,1))&lt;=2,FALSE),NOT(MID(metadata!C533,13,1)=""),IFERROR(INT(MID(metadata!C533,12,2))&gt;=0,FALSE),IFERROR(INT(MID(metadata!C533,12,2))&lt;=23,FALSE)), OR(MID(metadata!C533,14,1)="", AND(AND(MID(metadata!C533,14,1)=":",IFERROR(INT(MID(metadata!C533,15,1))&gt;=0,FALSE),IFERROR(INT(MID(metadata!C533,15,1))&lt;=5,FALSE),NOT(MID(metadata!C533,16,1)=""),IFERROR(INT(MID(metadata!C533,15,2))&gt;=0,FALSE),IFERROR(INT(MID(metadata!C533,15,2))&lt;=59,FALSE)), OR(MID(metadata!C533,17,1)="", AND(AND(MID(metadata!C533,17,1)=":",IFERROR(INT(MID(metadata!C533,18,1))&gt;=0,FALSE),IFERROR(INT(MID(metadata!C533,18,1))&lt;=5,FALSE),NOT(MID(metadata!C533,19,1)=""),IFERROR(INT(MID(metadata!C533,18,2))&gt;=0,FALSE),IFERROR(INT(MID(metadata!C533,18,2))&lt;=59,FALSE)), LEN(metadata!C533)&lt;=19)))))))))))))</f>
        <v>0</v>
      </c>
      <c r="AO533" t="b">
        <f>AND(IF(metadata!D533="",FALSE,TRUE),EXACT(metadata!D533,"Not applicable"))</f>
        <v>0</v>
      </c>
      <c r="AP533" t="b">
        <f>IF(metadata!E533="",FALSE,TRUE)</f>
        <v>0</v>
      </c>
      <c r="AQ533" t="b">
        <f>OR(AND(IF(metadata!F533="",FALSE,TRUE),OR(EXACT(metadata!F533,"missing: not collected"),EXACT(metadata!F533,"missing: not provided"))),AND(IF(metadata!F533="",FALSE,TRUE),OR(EXACT(metadata!F533,"TRUE"),EXACT(metadata!F533,"FALSE"))))</f>
        <v>0</v>
      </c>
      <c r="AR533" t="b">
        <f>OR(AND(IF(metadata!G533="",FALSE,TRUE),OR(EXACT(metadata!G533,"missing: not collected"),EXACT(metadata!G533,"missing: not provided"),EXACT(metadata!G533,"missing: restricted access"))),AND(IF(metadata!G533="",FALSE,ISNUMBER(VALUE(metadata!G533))),metadata!G533&gt;=-413))</f>
        <v>0</v>
      </c>
      <c r="AS533" t="b">
        <f>AND(IF(metadata!H533="",FALSE,TRUE),EXACT(metadata!H533,"meters"))</f>
        <v>0</v>
      </c>
      <c r="AT533" t="b">
        <f>AND(IF(metadata!I533="",FALSE,TRUE),OR(EXACT(metadata!I533,"Host-associated"),EXACT(metadata!I533,"Free-living")))</f>
        <v>0</v>
      </c>
      <c r="AU533" t="b">
        <f>AND(IF(metadata!J533="",FALSE,TRUE),OR(EXACT(metadata!J533,"Animal"),EXACT(metadata!J533,"Fungus"),EXACT(metadata!J533,"Plant"),EXACT(metadata!J533,"Saline"),EXACT(metadata!J533,"Non-saline")))</f>
        <v>0</v>
      </c>
      <c r="AV533" t="b">
        <f>AND(IF(metadata!K533="",FALSE,TRUE),OR(EXACT(metadata!K533,"Plant secretion"),EXACT(metadata!K533,"Plant rhizosphere"),EXACT(metadata!K533,"Plant surface"),EXACT(metadata!K533,"Plant corpus"),EXACT(metadata!K533,"Fungus surface"),EXACT(metadata!K533,"Fungus corpus"),EXACT(metadata!K533,"Animal surface"),EXACT(metadata!K533,"Animal proximal gut"),EXACT(metadata!K533,"Animal corpus"),EXACT(metadata!K533,"Animal distal gut"),EXACT(metadata!K533,"Animal secretion"),EXACT(metadata!K533,"Sub-surface (non-saline)"),EXACT(metadata!K533,"Surface (non-saline)"),EXACT(metadata!K533,"Water (non-saline)"),EXACT(metadata!K533,"Soil (non-saline)"),EXACT(metadata!K533,"Aerosol (non-saline)"),EXACT(metadata!K533,"Sediment (non-saline)"),EXACT(metadata!K533,"Surface (saline)"),EXACT(metadata!K533,"Water (saline)"),EXACT(metadata!K533,"Hypersaline (saline)"),EXACT(metadata!K533,"Aerosol (saline)"),EXACT(metadata!K533,"Sediment (saline)")))</f>
        <v>0</v>
      </c>
      <c r="AW533" t="b">
        <f>IF(metadata!L533="",FALSE,TRUE)</f>
        <v>0</v>
      </c>
      <c r="AX533" t="b">
        <f>IF(metadata!M533="",FALSE,TRUE)</f>
        <v>0</v>
      </c>
      <c r="AY533" t="b">
        <f>IF(metadata!N533="",FALSE,TRUE)</f>
        <v>0</v>
      </c>
      <c r="AZ533" t="b">
        <f>OR(AND(IF(metadata!O533="",FALSE,TRUE),OR(EXACT(metadata!O533,"missing: not collected"),EXACT(metadata!O533,"missing: not provided"),EXACT(metadata!O533,"missing: restricted access"))),AND(IF(metadata!O533="",FALSE,TRUE),OR(EXACT(metadata!O533,"air"),EXACT(metadata!O533,"built environment"),EXACT(metadata!O533,"host-associated"),EXACT(metadata!O533,"human-associated"),EXACT(metadata!O533,"human-skin"),EXACT(metadata!O533,"human-oral"),EXACT(metadata!O533,"human-gut"),EXACT(metadata!O533,"human-vaginal"),EXACT(metadata!O533,"microbial mat/biofilm"),EXACT(metadata!O533,"misc environment"),EXACT(metadata!O533,"plant-associated"),EXACT(metadata!O533,"sediment"),EXACT(metadata!O533,"soil"),EXACT(metadata!O533,"wastewater/sludge"),EXACT(metadata!O533,"water"))))</f>
        <v>0</v>
      </c>
      <c r="BA533" t="b">
        <f>IF(metadata!P533="",FALSE,TRUE)</f>
        <v>0</v>
      </c>
      <c r="BB533" t="b">
        <f>IF(metadata!Q533="",FALSE,TRUE)</f>
        <v>0</v>
      </c>
      <c r="BC533" t="b">
        <f>OR(AND(IF(metadata!R533="",FALSE,TRUE),OR(EXACT(metadata!R533,"missing: not collected"),EXACT(metadata!R533,"missing: not provided"),EXACT(metadata!R533,"missing: restricted access"))),AND(IF(metadata!R533="",FALSE,ISNUMBER(VALUE(metadata!R533))),metadata!R533&gt;=-90,metadata!R533&lt;=90))</f>
        <v>0</v>
      </c>
      <c r="BD533" t="b">
        <f>AND(IF(metadata!S533="",FALSE,TRUE),EXACT(metadata!S533,"Decimal degrees"))</f>
        <v>0</v>
      </c>
      <c r="BE533" t="b">
        <f>OR(AND(IF(metadata!T533="",FALSE,TRUE),OR(EXACT(metadata!T533,"missing: not collected"),EXACT(metadata!T533,"missing: not provided"),EXACT(metadata!T533,"missing: restricted access"))),AND(IF(metadata!T533="",FALSE,ISNUMBER(VALUE(metadata!T533))),metadata!T533&gt;=-180,metadata!T533&lt;=180))</f>
        <v>0</v>
      </c>
      <c r="BF533" t="b">
        <f>AND(IF(metadata!U533="",FALSE,TRUE),EXACT(metadata!U533,"Decimal degrees"))</f>
        <v>0</v>
      </c>
      <c r="BG533" t="b">
        <f>IF(metadata!V533="",FALSE,TRUE)</f>
        <v>0</v>
      </c>
      <c r="BH533" t="b">
        <f>OR(AND(IF(metadata!W533="",FALSE,TRUE),OR(EXACT(metadata!W533,"missing: not collected"),EXACT(metadata!W533,"missing: not provided"),EXACT(metadata!W533,"missing: restricted access"))),AND(IF(metadata!W533="",FALSE,TRUE),OR(EXACT(metadata!W533,"TRUE"),EXACT(metadata!W533,"FALSE"))))</f>
        <v>0</v>
      </c>
      <c r="BI533" t="b">
        <f>AND(IF(metadata!X533="",FALSE,TRUE),EXACT(metadata!X533,"other"))</f>
        <v>0</v>
      </c>
      <c r="BJ533" t="b">
        <f>IF(metadata!Y533="",FALSE,TRUE)</f>
        <v>0</v>
      </c>
      <c r="BK533" t="b">
        <f>OR(AND(IF(metadata!Z533="",FALSE,TRUE),OR(EXACT(metadata!Z533,"missing: not collected"),EXACT(metadata!Z533,"missing: not provided"))),AND(IF(metadata!Z533="",FALSE,IF(ISERROR(INT(metadata!Z533)),FALSE,INT(metadata!Z533)=metadata!Z533)),metadata!Z533&gt;0))</f>
        <v>0</v>
      </c>
      <c r="BL533" t="b">
        <f>AND(IF(metadata!AA533="",FALSE,TRUE),EXACT(metadata!AA533,"Not applicable"))</f>
        <v>0</v>
      </c>
      <c r="BM533" t="b">
        <f>IF(metadata!AB533="",FALSE,TRUE)</f>
        <v>0</v>
      </c>
    </row>
    <row r="534" spans="1:65" x14ac:dyDescent="0.2">
      <c r="A534" s="5" t="str">
        <f ca="1">IF(B534=" "," ",HYPERLINK(CONCATENATE("#metadata!",ADDRESS(INDEX($AH$2:$AH$1001,MATCH(ROWS($AF$2:AF534),$AF$2:$AF$1001,0),0),1)),INDEX($AK$2:$AK$1001,MATCH(ROWS($AF$2:AF534),$AF$2:$AF$1001,0),0)))</f>
        <v xml:space="preserve"> </v>
      </c>
      <c r="B534" s="4" t="str">
        <f ca="1">IF(OR(INDEX($AG$2:$AG$1001,MATCH(ROWS($AF$2:AF534),$AF$2:$AF$1001,0),1)&gt;=100000,INDEX($AM$1005:$BM$1005,1,MATCH(COLUMNS($AM$1006:AM1006),$AM$1006:$BM$1006,0))&gt;=100000), " ",IF(INDEX($AM$2:$BM$1001,MATCH(ROWS($AF$2:AF534),$AF$2:$AF$1001,0),MATCH(COLUMNS($AM$1006:AM1006),$AM$1006:$BM$1006,0)), HYPERLINK("#",""), HYPERLINK(CONCATENATE("#metadata!", ADDRESS(INDEX($AH$2:$AH$1001,MATCH(ROWS($AF$2:AF534),$AF$2:$AF$1001,0),0), INDEX($AM$1004:$BM$1004,1,MATCH(COLUMNS($AM$1006:AM1006),$AM$1006:$BM$1006,0)))),"Fix")))</f>
        <v xml:space="preserve"> </v>
      </c>
      <c r="C534" s="4" t="str">
        <f ca="1">IF(OR(INDEX($AG$2:$AG$1001,MATCH(ROWS($AF$2:AF534),$AF$2:$AF$1001,0),1)&gt;=100000,INDEX($AM$1005:$BM$1005,1,MATCH(COLUMNS($AM$1006:AN1006),$AM$1006:$BM$1006,0))&gt;=100000), " ",IF(INDEX($AM$2:$BM$1001,MATCH(ROWS($AF$2:AF534),$AF$2:$AF$1001,0),MATCH(COLUMNS($AM$1006:AN1006),$AM$1006:$BM$1006,0)), HYPERLINK("#",""), HYPERLINK(CONCATENATE("#metadata!", ADDRESS(INDEX($AH$2:$AH$1001,MATCH(ROWS($AF$2:AF534),$AF$2:$AF$1001,0),0), INDEX($AM$1004:$BM$1004,1,MATCH(COLUMNS($AM$1006:AN1006),$AM$1006:$BM$1006,0)))),"Fix")))</f>
        <v xml:space="preserve"> </v>
      </c>
      <c r="D534" s="4" t="str">
        <f ca="1">IF(OR(INDEX($AG$2:$AG$1001,MATCH(ROWS($AF$2:AF534),$AF$2:$AF$1001,0),1)&gt;=100000,INDEX($AM$1005:$BM$1005,1,MATCH(COLUMNS($AM$1006:AO1006),$AM$1006:$BM$1006,0))&gt;=100000), " ",IF(INDEX($AM$2:$BM$1001,MATCH(ROWS($AF$2:AF534),$AF$2:$AF$1001,0),MATCH(COLUMNS($AM$1006:AO1006),$AM$1006:$BM$1006,0)), HYPERLINK("#",""), HYPERLINK(CONCATENATE("#metadata!", ADDRESS(INDEX($AH$2:$AH$1001,MATCH(ROWS($AF$2:AF534),$AF$2:$AF$1001,0),0), INDEX($AM$1004:$BM$1004,1,MATCH(COLUMNS($AM$1006:AO1006),$AM$1006:$BM$1006,0)))),"Fix")))</f>
        <v xml:space="preserve"> </v>
      </c>
      <c r="E534" s="4" t="str">
        <f ca="1">IF(OR(INDEX($AG$2:$AG$1001,MATCH(ROWS($AF$2:AF534),$AF$2:$AF$1001,0),1)&gt;=100000,INDEX($AM$1005:$BM$1005,1,MATCH(COLUMNS($AM$1006:AP1006),$AM$1006:$BM$1006,0))&gt;=100000), " ",IF(INDEX($AM$2:$BM$1001,MATCH(ROWS($AF$2:AF534),$AF$2:$AF$1001,0),MATCH(COLUMNS($AM$1006:AP1006),$AM$1006:$BM$1006,0)), HYPERLINK("#",""), HYPERLINK(CONCATENATE("#metadata!", ADDRESS(INDEX($AH$2:$AH$1001,MATCH(ROWS($AF$2:AF534),$AF$2:$AF$1001,0),0), INDEX($AM$1004:$BM$1004,1,MATCH(COLUMNS($AM$1006:AP1006),$AM$1006:$BM$1006,0)))),"Fix")))</f>
        <v xml:space="preserve"> </v>
      </c>
      <c r="F534" s="4" t="str">
        <f ca="1">IF(OR(INDEX($AG$2:$AG$1001,MATCH(ROWS($AF$2:AF534),$AF$2:$AF$1001,0),1)&gt;=100000,INDEX($AM$1005:$BM$1005,1,MATCH(COLUMNS($AM$1006:AQ1006),$AM$1006:$BM$1006,0))&gt;=100000), " ",IF(INDEX($AM$2:$BM$1001,MATCH(ROWS($AF$2:AF534),$AF$2:$AF$1001,0),MATCH(COLUMNS($AM$1006:AQ1006),$AM$1006:$BM$1006,0)), HYPERLINK("#",""), HYPERLINK(CONCATENATE("#metadata!", ADDRESS(INDEX($AH$2:$AH$1001,MATCH(ROWS($AF$2:AF534),$AF$2:$AF$1001,0),0), INDEX($AM$1004:$BM$1004,1,MATCH(COLUMNS($AM$1006:AQ1006),$AM$1006:$BM$1006,0)))),"Fix")))</f>
        <v xml:space="preserve"> </v>
      </c>
      <c r="G534" s="4" t="str">
        <f ca="1">IF(OR(INDEX($AG$2:$AG$1001,MATCH(ROWS($AF$2:AF534),$AF$2:$AF$1001,0),1)&gt;=100000,INDEX($AM$1005:$BM$1005,1,MATCH(COLUMNS($AM$1006:AR1006),$AM$1006:$BM$1006,0))&gt;=100000), " ",IF(INDEX($AM$2:$BM$1001,MATCH(ROWS($AF$2:AF534),$AF$2:$AF$1001,0),MATCH(COLUMNS($AM$1006:AR1006),$AM$1006:$BM$1006,0)), HYPERLINK("#",""), HYPERLINK(CONCATENATE("#metadata!", ADDRESS(INDEX($AH$2:$AH$1001,MATCH(ROWS($AF$2:AF534),$AF$2:$AF$1001,0),0), INDEX($AM$1004:$BM$1004,1,MATCH(COLUMNS($AM$1006:AR1006),$AM$1006:$BM$1006,0)))),"Fix")))</f>
        <v xml:space="preserve"> </v>
      </c>
      <c r="H534" s="4" t="str">
        <f ca="1">IF(OR(INDEX($AG$2:$AG$1001,MATCH(ROWS($AF$2:AF534),$AF$2:$AF$1001,0),1)&gt;=100000,INDEX($AM$1005:$BM$1005,1,MATCH(COLUMNS($AM$1006:AS1006),$AM$1006:$BM$1006,0))&gt;=100000), " ",IF(INDEX($AM$2:$BM$1001,MATCH(ROWS($AF$2:AF534),$AF$2:$AF$1001,0),MATCH(COLUMNS($AM$1006:AS1006),$AM$1006:$BM$1006,0)), HYPERLINK("#",""), HYPERLINK(CONCATENATE("#metadata!", ADDRESS(INDEX($AH$2:$AH$1001,MATCH(ROWS($AF$2:AF534),$AF$2:$AF$1001,0),0), INDEX($AM$1004:$BM$1004,1,MATCH(COLUMNS($AM$1006:AS1006),$AM$1006:$BM$1006,0)))),"Fix")))</f>
        <v xml:space="preserve"> </v>
      </c>
      <c r="I534" s="4" t="str">
        <f ca="1">IF(OR(INDEX($AG$2:$AG$1001,MATCH(ROWS($AF$2:AF534),$AF$2:$AF$1001,0),1)&gt;=100000,INDEX($AM$1005:$BM$1005,1,MATCH(COLUMNS($AM$1006:AT1006),$AM$1006:$BM$1006,0))&gt;=100000), " ",IF(INDEX($AM$2:$BM$1001,MATCH(ROWS($AF$2:AF534),$AF$2:$AF$1001,0),MATCH(COLUMNS($AM$1006:AT1006),$AM$1006:$BM$1006,0)), HYPERLINK("#",""), HYPERLINK(CONCATENATE("#metadata!", ADDRESS(INDEX($AH$2:$AH$1001,MATCH(ROWS($AF$2:AF534),$AF$2:$AF$1001,0),0), INDEX($AM$1004:$BM$1004,1,MATCH(COLUMNS($AM$1006:AT1006),$AM$1006:$BM$1006,0)))),"Fix")))</f>
        <v xml:space="preserve"> </v>
      </c>
      <c r="J534" s="4" t="str">
        <f ca="1">IF(OR(INDEX($AG$2:$AG$1001,MATCH(ROWS($AF$2:AF534),$AF$2:$AF$1001,0),1)&gt;=100000,INDEX($AM$1005:$BM$1005,1,MATCH(COLUMNS($AM$1006:AU1006),$AM$1006:$BM$1006,0))&gt;=100000), " ",IF(INDEX($AM$2:$BM$1001,MATCH(ROWS($AF$2:AF534),$AF$2:$AF$1001,0),MATCH(COLUMNS($AM$1006:AU1006),$AM$1006:$BM$1006,0)), HYPERLINK("#",""), HYPERLINK(CONCATENATE("#metadata!", ADDRESS(INDEX($AH$2:$AH$1001,MATCH(ROWS($AF$2:AF534),$AF$2:$AF$1001,0),0), INDEX($AM$1004:$BM$1004,1,MATCH(COLUMNS($AM$1006:AU1006),$AM$1006:$BM$1006,0)))),"Fix")))</f>
        <v xml:space="preserve"> </v>
      </c>
      <c r="K534" s="4" t="str">
        <f ca="1">IF(OR(INDEX($AG$2:$AG$1001,MATCH(ROWS($AF$2:AF534),$AF$2:$AF$1001,0),1)&gt;=100000,INDEX($AM$1005:$BM$1005,1,MATCH(COLUMNS($AM$1006:AV1006),$AM$1006:$BM$1006,0))&gt;=100000), " ",IF(INDEX($AM$2:$BM$1001,MATCH(ROWS($AF$2:AF534),$AF$2:$AF$1001,0),MATCH(COLUMNS($AM$1006:AV1006),$AM$1006:$BM$1006,0)), HYPERLINK("#",""), HYPERLINK(CONCATENATE("#metadata!", ADDRESS(INDEX($AH$2:$AH$1001,MATCH(ROWS($AF$2:AF534),$AF$2:$AF$1001,0),0), INDEX($AM$1004:$BM$1004,1,MATCH(COLUMNS($AM$1006:AV1006),$AM$1006:$BM$1006,0)))),"Fix")))</f>
        <v xml:space="preserve"> </v>
      </c>
      <c r="L534" s="4" t="str">
        <f ca="1">IF(OR(INDEX($AG$2:$AG$1001,MATCH(ROWS($AF$2:AF534),$AF$2:$AF$1001,0),1)&gt;=100000,INDEX($AM$1005:$BM$1005,1,MATCH(COLUMNS($AM$1006:AW1006),$AM$1006:$BM$1006,0))&gt;=100000), " ",IF(INDEX($AM$2:$BM$1001,MATCH(ROWS($AF$2:AF534),$AF$2:$AF$1001,0),MATCH(COLUMNS($AM$1006:AW1006),$AM$1006:$BM$1006,0)), HYPERLINK("#",""), HYPERLINK(CONCATENATE("#metadata!", ADDRESS(INDEX($AH$2:$AH$1001,MATCH(ROWS($AF$2:AF534),$AF$2:$AF$1001,0),0), INDEX($AM$1004:$BM$1004,1,MATCH(COLUMNS($AM$1006:AW1006),$AM$1006:$BM$1006,0)))),"Fix")))</f>
        <v xml:space="preserve"> </v>
      </c>
      <c r="M534" s="4" t="str">
        <f ca="1">IF(OR(INDEX($AG$2:$AG$1001,MATCH(ROWS($AF$2:AF534),$AF$2:$AF$1001,0),1)&gt;=100000,INDEX($AM$1005:$BM$1005,1,MATCH(COLUMNS($AM$1006:AX1006),$AM$1006:$BM$1006,0))&gt;=100000), " ",IF(INDEX($AM$2:$BM$1001,MATCH(ROWS($AF$2:AF534),$AF$2:$AF$1001,0),MATCH(COLUMNS($AM$1006:AX1006),$AM$1006:$BM$1006,0)), HYPERLINK("#",""), HYPERLINK(CONCATENATE("#metadata!", ADDRESS(INDEX($AH$2:$AH$1001,MATCH(ROWS($AF$2:AF534),$AF$2:$AF$1001,0),0), INDEX($AM$1004:$BM$1004,1,MATCH(COLUMNS($AM$1006:AX1006),$AM$1006:$BM$1006,0)))),"Fix")))</f>
        <v xml:space="preserve"> </v>
      </c>
      <c r="N534" s="4" t="str">
        <f ca="1">IF(OR(INDEX($AG$2:$AG$1001,MATCH(ROWS($AF$2:AF534),$AF$2:$AF$1001,0),1)&gt;=100000,INDEX($AM$1005:$BM$1005,1,MATCH(COLUMNS($AM$1006:AY1006),$AM$1006:$BM$1006,0))&gt;=100000), " ",IF(INDEX($AM$2:$BM$1001,MATCH(ROWS($AF$2:AF534),$AF$2:$AF$1001,0),MATCH(COLUMNS($AM$1006:AY1006),$AM$1006:$BM$1006,0)), HYPERLINK("#",""), HYPERLINK(CONCATENATE("#metadata!", ADDRESS(INDEX($AH$2:$AH$1001,MATCH(ROWS($AF$2:AF534),$AF$2:$AF$1001,0),0), INDEX($AM$1004:$BM$1004,1,MATCH(COLUMNS($AM$1006:AY1006),$AM$1006:$BM$1006,0)))),"Fix")))</f>
        <v xml:space="preserve"> </v>
      </c>
      <c r="O534" s="4" t="str">
        <f ca="1">IF(OR(INDEX($AG$2:$AG$1001,MATCH(ROWS($AF$2:AF534),$AF$2:$AF$1001,0),1)&gt;=100000,INDEX($AM$1005:$BM$1005,1,MATCH(COLUMNS($AM$1006:AZ1006),$AM$1006:$BM$1006,0))&gt;=100000), " ",IF(INDEX($AM$2:$BM$1001,MATCH(ROWS($AF$2:AF534),$AF$2:$AF$1001,0),MATCH(COLUMNS($AM$1006:AZ1006),$AM$1006:$BM$1006,0)), HYPERLINK("#",""), HYPERLINK(CONCATENATE("#metadata!", ADDRESS(INDEX($AH$2:$AH$1001,MATCH(ROWS($AF$2:AF534),$AF$2:$AF$1001,0),0), INDEX($AM$1004:$BM$1004,1,MATCH(COLUMNS($AM$1006:AZ1006),$AM$1006:$BM$1006,0)))),"Fix")))</f>
        <v xml:space="preserve"> </v>
      </c>
      <c r="P534" s="4" t="str">
        <f ca="1">IF(OR(INDEX($AG$2:$AG$1001,MATCH(ROWS($AF$2:AF534),$AF$2:$AF$1001,0),1)&gt;=100000,INDEX($AM$1005:$BM$1005,1,MATCH(COLUMNS($AM$1006:BA1006),$AM$1006:$BM$1006,0))&gt;=100000), " ",IF(INDEX($AM$2:$BM$1001,MATCH(ROWS($AF$2:AF534),$AF$2:$AF$1001,0),MATCH(COLUMNS($AM$1006:BA1006),$AM$1006:$BM$1006,0)), HYPERLINK("#",""), HYPERLINK(CONCATENATE("#metadata!", ADDRESS(INDEX($AH$2:$AH$1001,MATCH(ROWS($AF$2:AF534),$AF$2:$AF$1001,0),0), INDEX($AM$1004:$BM$1004,1,MATCH(COLUMNS($AM$1006:BA1006),$AM$1006:$BM$1006,0)))),"Fix")))</f>
        <v xml:space="preserve"> </v>
      </c>
      <c r="Q534" s="4" t="str">
        <f ca="1">IF(OR(INDEX($AG$2:$AG$1001,MATCH(ROWS($AF$2:AF534),$AF$2:$AF$1001,0),1)&gt;=100000,INDEX($AM$1005:$BM$1005,1,MATCH(COLUMNS($AM$1006:BB1006),$AM$1006:$BM$1006,0))&gt;=100000), " ",IF(INDEX($AM$2:$BM$1001,MATCH(ROWS($AF$2:AF534),$AF$2:$AF$1001,0),MATCH(COLUMNS($AM$1006:BB1006),$AM$1006:$BM$1006,0)), HYPERLINK("#",""), HYPERLINK(CONCATENATE("#metadata!", ADDRESS(INDEX($AH$2:$AH$1001,MATCH(ROWS($AF$2:AF534),$AF$2:$AF$1001,0),0), INDEX($AM$1004:$BM$1004,1,MATCH(COLUMNS($AM$1006:BB1006),$AM$1006:$BM$1006,0)))),"Fix")))</f>
        <v xml:space="preserve"> </v>
      </c>
      <c r="R534" s="4" t="str">
        <f ca="1">IF(OR(INDEX($AG$2:$AG$1001,MATCH(ROWS($AF$2:AF534),$AF$2:$AF$1001,0),1)&gt;=100000,INDEX($AM$1005:$BM$1005,1,MATCH(COLUMNS($AM$1006:BC1006),$AM$1006:$BM$1006,0))&gt;=100000), " ",IF(INDEX($AM$2:$BM$1001,MATCH(ROWS($AF$2:AF534),$AF$2:$AF$1001,0),MATCH(COLUMNS($AM$1006:BC1006),$AM$1006:$BM$1006,0)), HYPERLINK("#",""), HYPERLINK(CONCATENATE("#metadata!", ADDRESS(INDEX($AH$2:$AH$1001,MATCH(ROWS($AF$2:AF534),$AF$2:$AF$1001,0),0), INDEX($AM$1004:$BM$1004,1,MATCH(COLUMNS($AM$1006:BC1006),$AM$1006:$BM$1006,0)))),"Fix")))</f>
        <v xml:space="preserve"> </v>
      </c>
      <c r="S534" s="4" t="str">
        <f ca="1">IF(OR(INDEX($AG$2:$AG$1001,MATCH(ROWS($AF$2:AF534),$AF$2:$AF$1001,0),1)&gt;=100000,INDEX($AM$1005:$BM$1005,1,MATCH(COLUMNS($AM$1006:BD1006),$AM$1006:$BM$1006,0))&gt;=100000), " ",IF(INDEX($AM$2:$BM$1001,MATCH(ROWS($AF$2:AF534),$AF$2:$AF$1001,0),MATCH(COLUMNS($AM$1006:BD1006),$AM$1006:$BM$1006,0)), HYPERLINK("#",""), HYPERLINK(CONCATENATE("#metadata!", ADDRESS(INDEX($AH$2:$AH$1001,MATCH(ROWS($AF$2:AF534),$AF$2:$AF$1001,0),0), INDEX($AM$1004:$BM$1004,1,MATCH(COLUMNS($AM$1006:BD1006),$AM$1006:$BM$1006,0)))),"Fix")))</f>
        <v xml:space="preserve"> </v>
      </c>
      <c r="T534" s="4" t="str">
        <f ca="1">IF(OR(INDEX($AG$2:$AG$1001,MATCH(ROWS($AF$2:AF534),$AF$2:$AF$1001,0),1)&gt;=100000,INDEX($AM$1005:$BM$1005,1,MATCH(COLUMNS($AM$1006:BE1006),$AM$1006:$BM$1006,0))&gt;=100000), " ",IF(INDEX($AM$2:$BM$1001,MATCH(ROWS($AF$2:AF534),$AF$2:$AF$1001,0),MATCH(COLUMNS($AM$1006:BE1006),$AM$1006:$BM$1006,0)), HYPERLINK("#",""), HYPERLINK(CONCATENATE("#metadata!", ADDRESS(INDEX($AH$2:$AH$1001,MATCH(ROWS($AF$2:AF534),$AF$2:$AF$1001,0),0), INDEX($AM$1004:$BM$1004,1,MATCH(COLUMNS($AM$1006:BE1006),$AM$1006:$BM$1006,0)))),"Fix")))</f>
        <v xml:space="preserve"> </v>
      </c>
      <c r="U534" s="4" t="str">
        <f ca="1">IF(OR(INDEX($AG$2:$AG$1001,MATCH(ROWS($AF$2:AF534),$AF$2:$AF$1001,0),1)&gt;=100000,INDEX($AM$1005:$BM$1005,1,MATCH(COLUMNS($AM$1006:BF1006),$AM$1006:$BM$1006,0))&gt;=100000), " ",IF(INDEX($AM$2:$BM$1001,MATCH(ROWS($AF$2:AF534),$AF$2:$AF$1001,0),MATCH(COLUMNS($AM$1006:BF1006),$AM$1006:$BM$1006,0)), HYPERLINK("#",""), HYPERLINK(CONCATENATE("#metadata!", ADDRESS(INDEX($AH$2:$AH$1001,MATCH(ROWS($AF$2:AF534),$AF$2:$AF$1001,0),0), INDEX($AM$1004:$BM$1004,1,MATCH(COLUMNS($AM$1006:BF1006),$AM$1006:$BM$1006,0)))),"Fix")))</f>
        <v xml:space="preserve"> </v>
      </c>
      <c r="V534" s="4" t="str">
        <f ca="1">IF(OR(INDEX($AG$2:$AG$1001,MATCH(ROWS($AF$2:AF534),$AF$2:$AF$1001,0),1)&gt;=100000,INDEX($AM$1005:$BM$1005,1,MATCH(COLUMNS($AM$1006:BG1006),$AM$1006:$BM$1006,0))&gt;=100000), " ",IF(INDEX($AM$2:$BM$1001,MATCH(ROWS($AF$2:AF534),$AF$2:$AF$1001,0),MATCH(COLUMNS($AM$1006:BG1006),$AM$1006:$BM$1006,0)), HYPERLINK("#",""), HYPERLINK(CONCATENATE("#metadata!", ADDRESS(INDEX($AH$2:$AH$1001,MATCH(ROWS($AF$2:AF534),$AF$2:$AF$1001,0),0), INDEX($AM$1004:$BM$1004,1,MATCH(COLUMNS($AM$1006:BG1006),$AM$1006:$BM$1006,0)))),"Fix")))</f>
        <v xml:space="preserve"> </v>
      </c>
      <c r="W534" s="4" t="str">
        <f ca="1">IF(OR(INDEX($AG$2:$AG$1001,MATCH(ROWS($AF$2:AF534),$AF$2:$AF$1001,0),1)&gt;=100000,INDEX($AM$1005:$BM$1005,1,MATCH(COLUMNS($AM$1006:BH1006),$AM$1006:$BM$1006,0))&gt;=100000), " ",IF(INDEX($AM$2:$BM$1001,MATCH(ROWS($AF$2:AF534),$AF$2:$AF$1001,0),MATCH(COLUMNS($AM$1006:BH1006),$AM$1006:$BM$1006,0)), HYPERLINK("#",""), HYPERLINK(CONCATENATE("#metadata!", ADDRESS(INDEX($AH$2:$AH$1001,MATCH(ROWS($AF$2:AF534),$AF$2:$AF$1001,0),0), INDEX($AM$1004:$BM$1004,1,MATCH(COLUMNS($AM$1006:BH1006),$AM$1006:$BM$1006,0)))),"Fix")))</f>
        <v xml:space="preserve"> </v>
      </c>
      <c r="X534" s="4" t="str">
        <f ca="1">IF(OR(INDEX($AG$2:$AG$1001,MATCH(ROWS($AF$2:AF534),$AF$2:$AF$1001,0),1)&gt;=100000,INDEX($AM$1005:$BM$1005,1,MATCH(COLUMNS($AM$1006:BI1006),$AM$1006:$BM$1006,0))&gt;=100000), " ",IF(INDEX($AM$2:$BM$1001,MATCH(ROWS($AF$2:AF534),$AF$2:$AF$1001,0),MATCH(COLUMNS($AM$1006:BI1006),$AM$1006:$BM$1006,0)), HYPERLINK("#",""), HYPERLINK(CONCATENATE("#metadata!", ADDRESS(INDEX($AH$2:$AH$1001,MATCH(ROWS($AF$2:AF534),$AF$2:$AF$1001,0),0), INDEX($AM$1004:$BM$1004,1,MATCH(COLUMNS($AM$1006:BI1006),$AM$1006:$BM$1006,0)))),"Fix")))</f>
        <v xml:space="preserve"> </v>
      </c>
      <c r="Y534" s="4" t="str">
        <f ca="1">IF(OR(INDEX($AG$2:$AG$1001,MATCH(ROWS($AF$2:AF534),$AF$2:$AF$1001,0),1)&gt;=100000,INDEX($AM$1005:$BM$1005,1,MATCH(COLUMNS($AM$1006:BJ1006),$AM$1006:$BM$1006,0))&gt;=100000), " ",IF(INDEX($AM$2:$BM$1001,MATCH(ROWS($AF$2:AF534),$AF$2:$AF$1001,0),MATCH(COLUMNS($AM$1006:BJ1006),$AM$1006:$BM$1006,0)), HYPERLINK("#",""), HYPERLINK(CONCATENATE("#metadata!", ADDRESS(INDEX($AH$2:$AH$1001,MATCH(ROWS($AF$2:AF534),$AF$2:$AF$1001,0),0), INDEX($AM$1004:$BM$1004,1,MATCH(COLUMNS($AM$1006:BJ1006),$AM$1006:$BM$1006,0)))),"Fix")))</f>
        <v xml:space="preserve"> </v>
      </c>
      <c r="Z534" s="4" t="str">
        <f ca="1">IF(OR(INDEX($AG$2:$AG$1001,MATCH(ROWS($AF$2:AF534),$AF$2:$AF$1001,0),1)&gt;=100000,INDEX($AM$1005:$BM$1005,1,MATCH(COLUMNS($AM$1006:BK1006),$AM$1006:$BM$1006,0))&gt;=100000), " ",IF(INDEX($AM$2:$BM$1001,MATCH(ROWS($AF$2:AF534),$AF$2:$AF$1001,0),MATCH(COLUMNS($AM$1006:BK1006),$AM$1006:$BM$1006,0)), HYPERLINK("#",""), HYPERLINK(CONCATENATE("#metadata!", ADDRESS(INDEX($AH$2:$AH$1001,MATCH(ROWS($AF$2:AF534),$AF$2:$AF$1001,0),0), INDEX($AM$1004:$BM$1004,1,MATCH(COLUMNS($AM$1006:BK1006),$AM$1006:$BM$1006,0)))),"Fix")))</f>
        <v xml:space="preserve"> </v>
      </c>
      <c r="AA534" s="4" t="str">
        <f ca="1">IF(OR(INDEX($AG$2:$AG$1001,MATCH(ROWS($AF$2:AF534),$AF$2:$AF$1001,0),1)&gt;=100000,INDEX($AM$1005:$BM$1005,1,MATCH(COLUMNS($AM$1006:BL1006),$AM$1006:$BM$1006,0))&gt;=100000), " ",IF(INDEX($AM$2:$BM$1001,MATCH(ROWS($AF$2:AF534),$AF$2:$AF$1001,0),MATCH(COLUMNS($AM$1006:BL1006),$AM$1006:$BM$1006,0)), HYPERLINK("#",""), HYPERLINK(CONCATENATE("#metadata!", ADDRESS(INDEX($AH$2:$AH$1001,MATCH(ROWS($AF$2:AF534),$AF$2:$AF$1001,0),0), INDEX($AM$1004:$BM$1004,1,MATCH(COLUMNS($AM$1006:BL1006),$AM$1006:$BM$1006,0)))),"Fix")))</f>
        <v xml:space="preserve"> </v>
      </c>
      <c r="AB534" s="4" t="str">
        <f ca="1">IF(OR(INDEX($AG$2:$AG$1001,MATCH(ROWS($AF$2:AF534),$AF$2:$AF$1001,0),1)&gt;=100000,INDEX($AM$1005:$BM$1005,1,MATCH(COLUMNS($AM$1006:BM1006),$AM$1006:$BM$1006,0))&gt;=100000), " ",IF(INDEX($AM$2:$BM$1001,MATCH(ROWS($AF$2:AF534),$AF$2:$AF$1001,0),MATCH(COLUMNS($AM$1006:BM1006),$AM$1006:$BM$1006,0)), HYPERLINK("#",""), HYPERLINK(CONCATENATE("#metadata!", ADDRESS(INDEX($AH$2:$AH$1001,MATCH(ROWS($AF$2:AF534),$AF$2:$AF$1001,0),0), INDEX($AM$1004:$BM$1004,1,MATCH(COLUMNS($AM$1006:BM1006),$AM$1006:$BM$1006,0)))),"Fix")))</f>
        <v xml:space="preserve"> </v>
      </c>
      <c r="AF534">
        <v>533</v>
      </c>
      <c r="AG534">
        <v>100534</v>
      </c>
      <c r="AH534">
        <v>534</v>
      </c>
      <c r="AI534" t="b">
        <f t="shared" si="8"/>
        <v>1</v>
      </c>
      <c r="AJ534" t="b">
        <f>COUNTBLANK(metadata!B534:AB534)=COLUMNS(metadata!B534:AB534)</f>
        <v>1</v>
      </c>
      <c r="AK534" t="str">
        <v/>
      </c>
      <c r="AM534" t="b">
        <f ca="1">AND(IF(metadata!B534="",FALSE,TRUE),COUNTIF(metadata!B:B, metadata!B534) = 1,NOT(ISERROR(SUMPRODUCT(SEARCH(MID(metadata!B534,ROW(INDIRECT("1:"&amp;LEN(metadata!B534))), 1),"0123456789abcdefghijklmnopqrstuvwxyzABCDEFGHIJKLMNOPQRSTUVWXYZ.")))))</f>
        <v>0</v>
      </c>
      <c r="AN534" t="b">
        <f ca="1">OR(AND(IF(metadata!C534="",FALSE,TRUE),OR(EXACT(metadata!C534,"missing: not collected"),EXACT(metadata!C534,"missing: not provided"),EXACT(metadata!C534,"missing: restricted access"))),AND(IF(metadata!C534="",FALSE,TRUE),AND(AND(IFERROR(INT(LEFT(metadata!C534,4))&gt;1900,FALSE),IFERROR(INT(LEFT(metadata!C534,4))&lt;=YEAR(NOW()),FALSE)), OR(MID(metadata!C534,5,1)="", AND(AND(MID(metadata!C534,5,1)="-",IFERROR(INT(MID(metadata!C534,6,1))&gt;=0,FALSE),IFERROR(INT(MID(metadata!C534,6,1))&lt;=1,FALSE),NOT(MID(metadata!C534,7,1)=""),IFERROR(INT(MID(metadata!C534,6,2))&gt;=1,FALSE),IFERROR(INT(MID(metadata!C534,6,2))&lt;=12,FALSE)), OR(MID(metadata!C534,8,1)="", AND(AND(MID(metadata!C534,8,1)="-",IFERROR(INT(MID(metadata!C534,9,1))&gt;=0,FALSE),IFERROR(INT(MID(metadata!C534,9,1))&lt;=3,FALSE),NOT(MID(metadata!C534,10,1)=""),IFERROR(INT(MID(metadata!C534,9,2))&gt;=1,FALSE),IFERROR(INT(MID(metadata!C534,9,2))&lt;=31,FALSE)), OR(MID(metadata!C534,11,1)="", AND(AND(MID(metadata!C534,11,1)=" ",IFERROR(INT(MID(metadata!C534,12,1))&gt;=0,FALSE),IFERROR(INT(MID(metadata!C534,12,1))&lt;=2,FALSE),NOT(MID(metadata!C534,13,1)=""),IFERROR(INT(MID(metadata!C534,12,2))&gt;=0,FALSE),IFERROR(INT(MID(metadata!C534,12,2))&lt;=23,FALSE)), OR(MID(metadata!C534,14,1)="", AND(AND(MID(metadata!C534,14,1)=":",IFERROR(INT(MID(metadata!C534,15,1))&gt;=0,FALSE),IFERROR(INT(MID(metadata!C534,15,1))&lt;=5,FALSE),NOT(MID(metadata!C534,16,1)=""),IFERROR(INT(MID(metadata!C534,15,2))&gt;=0,FALSE),IFERROR(INT(MID(metadata!C534,15,2))&lt;=59,FALSE)), OR(MID(metadata!C534,17,1)="", AND(AND(MID(metadata!C534,17,1)=":",IFERROR(INT(MID(metadata!C534,18,1))&gt;=0,FALSE),IFERROR(INT(MID(metadata!C534,18,1))&lt;=5,FALSE),NOT(MID(metadata!C534,19,1)=""),IFERROR(INT(MID(metadata!C534,18,2))&gt;=0,FALSE),IFERROR(INT(MID(metadata!C534,18,2))&lt;=59,FALSE)), LEN(metadata!C534)&lt;=19)))))))))))))</f>
        <v>0</v>
      </c>
      <c r="AO534" t="b">
        <f>AND(IF(metadata!D534="",FALSE,TRUE),EXACT(metadata!D534,"Not applicable"))</f>
        <v>0</v>
      </c>
      <c r="AP534" t="b">
        <f>IF(metadata!E534="",FALSE,TRUE)</f>
        <v>0</v>
      </c>
      <c r="AQ534" t="b">
        <f>OR(AND(IF(metadata!F534="",FALSE,TRUE),OR(EXACT(metadata!F534,"missing: not collected"),EXACT(metadata!F534,"missing: not provided"))),AND(IF(metadata!F534="",FALSE,TRUE),OR(EXACT(metadata!F534,"TRUE"),EXACT(metadata!F534,"FALSE"))))</f>
        <v>0</v>
      </c>
      <c r="AR534" t="b">
        <f>OR(AND(IF(metadata!G534="",FALSE,TRUE),OR(EXACT(metadata!G534,"missing: not collected"),EXACT(metadata!G534,"missing: not provided"),EXACT(metadata!G534,"missing: restricted access"))),AND(IF(metadata!G534="",FALSE,ISNUMBER(VALUE(metadata!G534))),metadata!G534&gt;=-413))</f>
        <v>0</v>
      </c>
      <c r="AS534" t="b">
        <f>AND(IF(metadata!H534="",FALSE,TRUE),EXACT(metadata!H534,"meters"))</f>
        <v>0</v>
      </c>
      <c r="AT534" t="b">
        <f>AND(IF(metadata!I534="",FALSE,TRUE),OR(EXACT(metadata!I534,"Host-associated"),EXACT(metadata!I534,"Free-living")))</f>
        <v>0</v>
      </c>
      <c r="AU534" t="b">
        <f>AND(IF(metadata!J534="",FALSE,TRUE),OR(EXACT(metadata!J534,"Animal"),EXACT(metadata!J534,"Fungus"),EXACT(metadata!J534,"Plant"),EXACT(metadata!J534,"Saline"),EXACT(metadata!J534,"Non-saline")))</f>
        <v>0</v>
      </c>
      <c r="AV534" t="b">
        <f>AND(IF(metadata!K534="",FALSE,TRUE),OR(EXACT(metadata!K534,"Plant secretion"),EXACT(metadata!K534,"Plant rhizosphere"),EXACT(metadata!K534,"Plant surface"),EXACT(metadata!K534,"Plant corpus"),EXACT(metadata!K534,"Fungus surface"),EXACT(metadata!K534,"Fungus corpus"),EXACT(metadata!K534,"Animal surface"),EXACT(metadata!K534,"Animal proximal gut"),EXACT(metadata!K534,"Animal corpus"),EXACT(metadata!K534,"Animal distal gut"),EXACT(metadata!K534,"Animal secretion"),EXACT(metadata!K534,"Sub-surface (non-saline)"),EXACT(metadata!K534,"Surface (non-saline)"),EXACT(metadata!K534,"Water (non-saline)"),EXACT(metadata!K534,"Soil (non-saline)"),EXACT(metadata!K534,"Aerosol (non-saline)"),EXACT(metadata!K534,"Sediment (non-saline)"),EXACT(metadata!K534,"Surface (saline)"),EXACT(metadata!K534,"Water (saline)"),EXACT(metadata!K534,"Hypersaline (saline)"),EXACT(metadata!K534,"Aerosol (saline)"),EXACT(metadata!K534,"Sediment (saline)")))</f>
        <v>0</v>
      </c>
      <c r="AW534" t="b">
        <f>IF(metadata!L534="",FALSE,TRUE)</f>
        <v>0</v>
      </c>
      <c r="AX534" t="b">
        <f>IF(metadata!M534="",FALSE,TRUE)</f>
        <v>0</v>
      </c>
      <c r="AY534" t="b">
        <f>IF(metadata!N534="",FALSE,TRUE)</f>
        <v>0</v>
      </c>
      <c r="AZ534" t="b">
        <f>OR(AND(IF(metadata!O534="",FALSE,TRUE),OR(EXACT(metadata!O534,"missing: not collected"),EXACT(metadata!O534,"missing: not provided"),EXACT(metadata!O534,"missing: restricted access"))),AND(IF(metadata!O534="",FALSE,TRUE),OR(EXACT(metadata!O534,"air"),EXACT(metadata!O534,"built environment"),EXACT(metadata!O534,"host-associated"),EXACT(metadata!O534,"human-associated"),EXACT(metadata!O534,"human-skin"),EXACT(metadata!O534,"human-oral"),EXACT(metadata!O534,"human-gut"),EXACT(metadata!O534,"human-vaginal"),EXACT(metadata!O534,"microbial mat/biofilm"),EXACT(metadata!O534,"misc environment"),EXACT(metadata!O534,"plant-associated"),EXACT(metadata!O534,"sediment"),EXACT(metadata!O534,"soil"),EXACT(metadata!O534,"wastewater/sludge"),EXACT(metadata!O534,"water"))))</f>
        <v>0</v>
      </c>
      <c r="BA534" t="b">
        <f>IF(metadata!P534="",FALSE,TRUE)</f>
        <v>0</v>
      </c>
      <c r="BB534" t="b">
        <f>IF(metadata!Q534="",FALSE,TRUE)</f>
        <v>0</v>
      </c>
      <c r="BC534" t="b">
        <f>OR(AND(IF(metadata!R534="",FALSE,TRUE),OR(EXACT(metadata!R534,"missing: not collected"),EXACT(metadata!R534,"missing: not provided"),EXACT(metadata!R534,"missing: restricted access"))),AND(IF(metadata!R534="",FALSE,ISNUMBER(VALUE(metadata!R534))),metadata!R534&gt;=-90,metadata!R534&lt;=90))</f>
        <v>0</v>
      </c>
      <c r="BD534" t="b">
        <f>AND(IF(metadata!S534="",FALSE,TRUE),EXACT(metadata!S534,"Decimal degrees"))</f>
        <v>0</v>
      </c>
      <c r="BE534" t="b">
        <f>OR(AND(IF(metadata!T534="",FALSE,TRUE),OR(EXACT(metadata!T534,"missing: not collected"),EXACT(metadata!T534,"missing: not provided"),EXACT(metadata!T534,"missing: restricted access"))),AND(IF(metadata!T534="",FALSE,ISNUMBER(VALUE(metadata!T534))),metadata!T534&gt;=-180,metadata!T534&lt;=180))</f>
        <v>0</v>
      </c>
      <c r="BF534" t="b">
        <f>AND(IF(metadata!U534="",FALSE,TRUE),EXACT(metadata!U534,"Decimal degrees"))</f>
        <v>0</v>
      </c>
      <c r="BG534" t="b">
        <f>IF(metadata!V534="",FALSE,TRUE)</f>
        <v>0</v>
      </c>
      <c r="BH534" t="b">
        <f>OR(AND(IF(metadata!W534="",FALSE,TRUE),OR(EXACT(metadata!W534,"missing: not collected"),EXACT(metadata!W534,"missing: not provided"),EXACT(metadata!W534,"missing: restricted access"))),AND(IF(metadata!W534="",FALSE,TRUE),OR(EXACT(metadata!W534,"TRUE"),EXACT(metadata!W534,"FALSE"))))</f>
        <v>0</v>
      </c>
      <c r="BI534" t="b">
        <f>AND(IF(metadata!X534="",FALSE,TRUE),EXACT(metadata!X534,"other"))</f>
        <v>0</v>
      </c>
      <c r="BJ534" t="b">
        <f>IF(metadata!Y534="",FALSE,TRUE)</f>
        <v>0</v>
      </c>
      <c r="BK534" t="b">
        <f>OR(AND(IF(metadata!Z534="",FALSE,TRUE),OR(EXACT(metadata!Z534,"missing: not collected"),EXACT(metadata!Z534,"missing: not provided"))),AND(IF(metadata!Z534="",FALSE,IF(ISERROR(INT(metadata!Z534)),FALSE,INT(metadata!Z534)=metadata!Z534)),metadata!Z534&gt;0))</f>
        <v>0</v>
      </c>
      <c r="BL534" t="b">
        <f>AND(IF(metadata!AA534="",FALSE,TRUE),EXACT(metadata!AA534,"Not applicable"))</f>
        <v>0</v>
      </c>
      <c r="BM534" t="b">
        <f>IF(metadata!AB534="",FALSE,TRUE)</f>
        <v>0</v>
      </c>
    </row>
    <row r="535" spans="1:65" x14ac:dyDescent="0.2">
      <c r="A535" s="5" t="str">
        <f ca="1">IF(B535=" "," ",HYPERLINK(CONCATENATE("#metadata!",ADDRESS(INDEX($AH$2:$AH$1001,MATCH(ROWS($AF$2:AF535),$AF$2:$AF$1001,0),0),1)),INDEX($AK$2:$AK$1001,MATCH(ROWS($AF$2:AF535),$AF$2:$AF$1001,0),0)))</f>
        <v xml:space="preserve"> </v>
      </c>
      <c r="B535" s="4" t="str">
        <f ca="1">IF(OR(INDEX($AG$2:$AG$1001,MATCH(ROWS($AF$2:AF535),$AF$2:$AF$1001,0),1)&gt;=100000,INDEX($AM$1005:$BM$1005,1,MATCH(COLUMNS($AM$1006:AM1006),$AM$1006:$BM$1006,0))&gt;=100000), " ",IF(INDEX($AM$2:$BM$1001,MATCH(ROWS($AF$2:AF535),$AF$2:$AF$1001,0),MATCH(COLUMNS($AM$1006:AM1006),$AM$1006:$BM$1006,0)), HYPERLINK("#",""), HYPERLINK(CONCATENATE("#metadata!", ADDRESS(INDEX($AH$2:$AH$1001,MATCH(ROWS($AF$2:AF535),$AF$2:$AF$1001,0),0), INDEX($AM$1004:$BM$1004,1,MATCH(COLUMNS($AM$1006:AM1006),$AM$1006:$BM$1006,0)))),"Fix")))</f>
        <v xml:space="preserve"> </v>
      </c>
      <c r="C535" s="4" t="str">
        <f ca="1">IF(OR(INDEX($AG$2:$AG$1001,MATCH(ROWS($AF$2:AF535),$AF$2:$AF$1001,0),1)&gt;=100000,INDEX($AM$1005:$BM$1005,1,MATCH(COLUMNS($AM$1006:AN1006),$AM$1006:$BM$1006,0))&gt;=100000), " ",IF(INDEX($AM$2:$BM$1001,MATCH(ROWS($AF$2:AF535),$AF$2:$AF$1001,0),MATCH(COLUMNS($AM$1006:AN1006),$AM$1006:$BM$1006,0)), HYPERLINK("#",""), HYPERLINK(CONCATENATE("#metadata!", ADDRESS(INDEX($AH$2:$AH$1001,MATCH(ROWS($AF$2:AF535),$AF$2:$AF$1001,0),0), INDEX($AM$1004:$BM$1004,1,MATCH(COLUMNS($AM$1006:AN1006),$AM$1006:$BM$1006,0)))),"Fix")))</f>
        <v xml:space="preserve"> </v>
      </c>
      <c r="D535" s="4" t="str">
        <f ca="1">IF(OR(INDEX($AG$2:$AG$1001,MATCH(ROWS($AF$2:AF535),$AF$2:$AF$1001,0),1)&gt;=100000,INDEX($AM$1005:$BM$1005,1,MATCH(COLUMNS($AM$1006:AO1006),$AM$1006:$BM$1006,0))&gt;=100000), " ",IF(INDEX($AM$2:$BM$1001,MATCH(ROWS($AF$2:AF535),$AF$2:$AF$1001,0),MATCH(COLUMNS($AM$1006:AO1006),$AM$1006:$BM$1006,0)), HYPERLINK("#",""), HYPERLINK(CONCATENATE("#metadata!", ADDRESS(INDEX($AH$2:$AH$1001,MATCH(ROWS($AF$2:AF535),$AF$2:$AF$1001,0),0), INDEX($AM$1004:$BM$1004,1,MATCH(COLUMNS($AM$1006:AO1006),$AM$1006:$BM$1006,0)))),"Fix")))</f>
        <v xml:space="preserve"> </v>
      </c>
      <c r="E535" s="4" t="str">
        <f ca="1">IF(OR(INDEX($AG$2:$AG$1001,MATCH(ROWS($AF$2:AF535),$AF$2:$AF$1001,0),1)&gt;=100000,INDEX($AM$1005:$BM$1005,1,MATCH(COLUMNS($AM$1006:AP1006),$AM$1006:$BM$1006,0))&gt;=100000), " ",IF(INDEX($AM$2:$BM$1001,MATCH(ROWS($AF$2:AF535),$AF$2:$AF$1001,0),MATCH(COLUMNS($AM$1006:AP1006),$AM$1006:$BM$1006,0)), HYPERLINK("#",""), HYPERLINK(CONCATENATE("#metadata!", ADDRESS(INDEX($AH$2:$AH$1001,MATCH(ROWS($AF$2:AF535),$AF$2:$AF$1001,0),0), INDEX($AM$1004:$BM$1004,1,MATCH(COLUMNS($AM$1006:AP1006),$AM$1006:$BM$1006,0)))),"Fix")))</f>
        <v xml:space="preserve"> </v>
      </c>
      <c r="F535" s="4" t="str">
        <f ca="1">IF(OR(INDEX($AG$2:$AG$1001,MATCH(ROWS($AF$2:AF535),$AF$2:$AF$1001,0),1)&gt;=100000,INDEX($AM$1005:$BM$1005,1,MATCH(COLUMNS($AM$1006:AQ1006),$AM$1006:$BM$1006,0))&gt;=100000), " ",IF(INDEX($AM$2:$BM$1001,MATCH(ROWS($AF$2:AF535),$AF$2:$AF$1001,0),MATCH(COLUMNS($AM$1006:AQ1006),$AM$1006:$BM$1006,0)), HYPERLINK("#",""), HYPERLINK(CONCATENATE("#metadata!", ADDRESS(INDEX($AH$2:$AH$1001,MATCH(ROWS($AF$2:AF535),$AF$2:$AF$1001,0),0), INDEX($AM$1004:$BM$1004,1,MATCH(COLUMNS($AM$1006:AQ1006),$AM$1006:$BM$1006,0)))),"Fix")))</f>
        <v xml:space="preserve"> </v>
      </c>
      <c r="G535" s="4" t="str">
        <f ca="1">IF(OR(INDEX($AG$2:$AG$1001,MATCH(ROWS($AF$2:AF535),$AF$2:$AF$1001,0),1)&gt;=100000,INDEX($AM$1005:$BM$1005,1,MATCH(COLUMNS($AM$1006:AR1006),$AM$1006:$BM$1006,0))&gt;=100000), " ",IF(INDEX($AM$2:$BM$1001,MATCH(ROWS($AF$2:AF535),$AF$2:$AF$1001,0),MATCH(COLUMNS($AM$1006:AR1006),$AM$1006:$BM$1006,0)), HYPERLINK("#",""), HYPERLINK(CONCATENATE("#metadata!", ADDRESS(INDEX($AH$2:$AH$1001,MATCH(ROWS($AF$2:AF535),$AF$2:$AF$1001,0),0), INDEX($AM$1004:$BM$1004,1,MATCH(COLUMNS($AM$1006:AR1006),$AM$1006:$BM$1006,0)))),"Fix")))</f>
        <v xml:space="preserve"> </v>
      </c>
      <c r="H535" s="4" t="str">
        <f ca="1">IF(OR(INDEX($AG$2:$AG$1001,MATCH(ROWS($AF$2:AF535),$AF$2:$AF$1001,0),1)&gt;=100000,INDEX($AM$1005:$BM$1005,1,MATCH(COLUMNS($AM$1006:AS1006),$AM$1006:$BM$1006,0))&gt;=100000), " ",IF(INDEX($AM$2:$BM$1001,MATCH(ROWS($AF$2:AF535),$AF$2:$AF$1001,0),MATCH(COLUMNS($AM$1006:AS1006),$AM$1006:$BM$1006,0)), HYPERLINK("#",""), HYPERLINK(CONCATENATE("#metadata!", ADDRESS(INDEX($AH$2:$AH$1001,MATCH(ROWS($AF$2:AF535),$AF$2:$AF$1001,0),0), INDEX($AM$1004:$BM$1004,1,MATCH(COLUMNS($AM$1006:AS1006),$AM$1006:$BM$1006,0)))),"Fix")))</f>
        <v xml:space="preserve"> </v>
      </c>
      <c r="I535" s="4" t="str">
        <f ca="1">IF(OR(INDEX($AG$2:$AG$1001,MATCH(ROWS($AF$2:AF535),$AF$2:$AF$1001,0),1)&gt;=100000,INDEX($AM$1005:$BM$1005,1,MATCH(COLUMNS($AM$1006:AT1006),$AM$1006:$BM$1006,0))&gt;=100000), " ",IF(INDEX($AM$2:$BM$1001,MATCH(ROWS($AF$2:AF535),$AF$2:$AF$1001,0),MATCH(COLUMNS($AM$1006:AT1006),$AM$1006:$BM$1006,0)), HYPERLINK("#",""), HYPERLINK(CONCATENATE("#metadata!", ADDRESS(INDEX($AH$2:$AH$1001,MATCH(ROWS($AF$2:AF535),$AF$2:$AF$1001,0),0), INDEX($AM$1004:$BM$1004,1,MATCH(COLUMNS($AM$1006:AT1006),$AM$1006:$BM$1006,0)))),"Fix")))</f>
        <v xml:space="preserve"> </v>
      </c>
      <c r="J535" s="4" t="str">
        <f ca="1">IF(OR(INDEX($AG$2:$AG$1001,MATCH(ROWS($AF$2:AF535),$AF$2:$AF$1001,0),1)&gt;=100000,INDEX($AM$1005:$BM$1005,1,MATCH(COLUMNS($AM$1006:AU1006),$AM$1006:$BM$1006,0))&gt;=100000), " ",IF(INDEX($AM$2:$BM$1001,MATCH(ROWS($AF$2:AF535),$AF$2:$AF$1001,0),MATCH(COLUMNS($AM$1006:AU1006),$AM$1006:$BM$1006,0)), HYPERLINK("#",""), HYPERLINK(CONCATENATE("#metadata!", ADDRESS(INDEX($AH$2:$AH$1001,MATCH(ROWS($AF$2:AF535),$AF$2:$AF$1001,0),0), INDEX($AM$1004:$BM$1004,1,MATCH(COLUMNS($AM$1006:AU1006),$AM$1006:$BM$1006,0)))),"Fix")))</f>
        <v xml:space="preserve"> </v>
      </c>
      <c r="K535" s="4" t="str">
        <f ca="1">IF(OR(INDEX($AG$2:$AG$1001,MATCH(ROWS($AF$2:AF535),$AF$2:$AF$1001,0),1)&gt;=100000,INDEX($AM$1005:$BM$1005,1,MATCH(COLUMNS($AM$1006:AV1006),$AM$1006:$BM$1006,0))&gt;=100000), " ",IF(INDEX($AM$2:$BM$1001,MATCH(ROWS($AF$2:AF535),$AF$2:$AF$1001,0),MATCH(COLUMNS($AM$1006:AV1006),$AM$1006:$BM$1006,0)), HYPERLINK("#",""), HYPERLINK(CONCATENATE("#metadata!", ADDRESS(INDEX($AH$2:$AH$1001,MATCH(ROWS($AF$2:AF535),$AF$2:$AF$1001,0),0), INDEX($AM$1004:$BM$1004,1,MATCH(COLUMNS($AM$1006:AV1006),$AM$1006:$BM$1006,0)))),"Fix")))</f>
        <v xml:space="preserve"> </v>
      </c>
      <c r="L535" s="4" t="str">
        <f ca="1">IF(OR(INDEX($AG$2:$AG$1001,MATCH(ROWS($AF$2:AF535),$AF$2:$AF$1001,0),1)&gt;=100000,INDEX($AM$1005:$BM$1005,1,MATCH(COLUMNS($AM$1006:AW1006),$AM$1006:$BM$1006,0))&gt;=100000), " ",IF(INDEX($AM$2:$BM$1001,MATCH(ROWS($AF$2:AF535),$AF$2:$AF$1001,0),MATCH(COLUMNS($AM$1006:AW1006),$AM$1006:$BM$1006,0)), HYPERLINK("#",""), HYPERLINK(CONCATENATE("#metadata!", ADDRESS(INDEX($AH$2:$AH$1001,MATCH(ROWS($AF$2:AF535),$AF$2:$AF$1001,0),0), INDEX($AM$1004:$BM$1004,1,MATCH(COLUMNS($AM$1006:AW1006),$AM$1006:$BM$1006,0)))),"Fix")))</f>
        <v xml:space="preserve"> </v>
      </c>
      <c r="M535" s="4" t="str">
        <f ca="1">IF(OR(INDEX($AG$2:$AG$1001,MATCH(ROWS($AF$2:AF535),$AF$2:$AF$1001,0),1)&gt;=100000,INDEX($AM$1005:$BM$1005,1,MATCH(COLUMNS($AM$1006:AX1006),$AM$1006:$BM$1006,0))&gt;=100000), " ",IF(INDEX($AM$2:$BM$1001,MATCH(ROWS($AF$2:AF535),$AF$2:$AF$1001,0),MATCH(COLUMNS($AM$1006:AX1006),$AM$1006:$BM$1006,0)), HYPERLINK("#",""), HYPERLINK(CONCATENATE("#metadata!", ADDRESS(INDEX($AH$2:$AH$1001,MATCH(ROWS($AF$2:AF535),$AF$2:$AF$1001,0),0), INDEX($AM$1004:$BM$1004,1,MATCH(COLUMNS($AM$1006:AX1006),$AM$1006:$BM$1006,0)))),"Fix")))</f>
        <v xml:space="preserve"> </v>
      </c>
      <c r="N535" s="4" t="str">
        <f ca="1">IF(OR(INDEX($AG$2:$AG$1001,MATCH(ROWS($AF$2:AF535),$AF$2:$AF$1001,0),1)&gt;=100000,INDEX($AM$1005:$BM$1005,1,MATCH(COLUMNS($AM$1006:AY1006),$AM$1006:$BM$1006,0))&gt;=100000), " ",IF(INDEX($AM$2:$BM$1001,MATCH(ROWS($AF$2:AF535),$AF$2:$AF$1001,0),MATCH(COLUMNS($AM$1006:AY1006),$AM$1006:$BM$1006,0)), HYPERLINK("#",""), HYPERLINK(CONCATENATE("#metadata!", ADDRESS(INDEX($AH$2:$AH$1001,MATCH(ROWS($AF$2:AF535),$AF$2:$AF$1001,0),0), INDEX($AM$1004:$BM$1004,1,MATCH(COLUMNS($AM$1006:AY1006),$AM$1006:$BM$1006,0)))),"Fix")))</f>
        <v xml:space="preserve"> </v>
      </c>
      <c r="O535" s="4" t="str">
        <f ca="1">IF(OR(INDEX($AG$2:$AG$1001,MATCH(ROWS($AF$2:AF535),$AF$2:$AF$1001,0),1)&gt;=100000,INDEX($AM$1005:$BM$1005,1,MATCH(COLUMNS($AM$1006:AZ1006),$AM$1006:$BM$1006,0))&gt;=100000), " ",IF(INDEX($AM$2:$BM$1001,MATCH(ROWS($AF$2:AF535),$AF$2:$AF$1001,0),MATCH(COLUMNS($AM$1006:AZ1006),$AM$1006:$BM$1006,0)), HYPERLINK("#",""), HYPERLINK(CONCATENATE("#metadata!", ADDRESS(INDEX($AH$2:$AH$1001,MATCH(ROWS($AF$2:AF535),$AF$2:$AF$1001,0),0), INDEX($AM$1004:$BM$1004,1,MATCH(COLUMNS($AM$1006:AZ1006),$AM$1006:$BM$1006,0)))),"Fix")))</f>
        <v xml:space="preserve"> </v>
      </c>
      <c r="P535" s="4" t="str">
        <f ca="1">IF(OR(INDEX($AG$2:$AG$1001,MATCH(ROWS($AF$2:AF535),$AF$2:$AF$1001,0),1)&gt;=100000,INDEX($AM$1005:$BM$1005,1,MATCH(COLUMNS($AM$1006:BA1006),$AM$1006:$BM$1006,0))&gt;=100000), " ",IF(INDEX($AM$2:$BM$1001,MATCH(ROWS($AF$2:AF535),$AF$2:$AF$1001,0),MATCH(COLUMNS($AM$1006:BA1006),$AM$1006:$BM$1006,0)), HYPERLINK("#",""), HYPERLINK(CONCATENATE("#metadata!", ADDRESS(INDEX($AH$2:$AH$1001,MATCH(ROWS($AF$2:AF535),$AF$2:$AF$1001,0),0), INDEX($AM$1004:$BM$1004,1,MATCH(COLUMNS($AM$1006:BA1006),$AM$1006:$BM$1006,0)))),"Fix")))</f>
        <v xml:space="preserve"> </v>
      </c>
      <c r="Q535" s="4" t="str">
        <f ca="1">IF(OR(INDEX($AG$2:$AG$1001,MATCH(ROWS($AF$2:AF535),$AF$2:$AF$1001,0),1)&gt;=100000,INDEX($AM$1005:$BM$1005,1,MATCH(COLUMNS($AM$1006:BB1006),$AM$1006:$BM$1006,0))&gt;=100000), " ",IF(INDEX($AM$2:$BM$1001,MATCH(ROWS($AF$2:AF535),$AF$2:$AF$1001,0),MATCH(COLUMNS($AM$1006:BB1006),$AM$1006:$BM$1006,0)), HYPERLINK("#",""), HYPERLINK(CONCATENATE("#metadata!", ADDRESS(INDEX($AH$2:$AH$1001,MATCH(ROWS($AF$2:AF535),$AF$2:$AF$1001,0),0), INDEX($AM$1004:$BM$1004,1,MATCH(COLUMNS($AM$1006:BB1006),$AM$1006:$BM$1006,0)))),"Fix")))</f>
        <v xml:space="preserve"> </v>
      </c>
      <c r="R535" s="4" t="str">
        <f ca="1">IF(OR(INDEX($AG$2:$AG$1001,MATCH(ROWS($AF$2:AF535),$AF$2:$AF$1001,0),1)&gt;=100000,INDEX($AM$1005:$BM$1005,1,MATCH(COLUMNS($AM$1006:BC1006),$AM$1006:$BM$1006,0))&gt;=100000), " ",IF(INDEX($AM$2:$BM$1001,MATCH(ROWS($AF$2:AF535),$AF$2:$AF$1001,0),MATCH(COLUMNS($AM$1006:BC1006),$AM$1006:$BM$1006,0)), HYPERLINK("#",""), HYPERLINK(CONCATENATE("#metadata!", ADDRESS(INDEX($AH$2:$AH$1001,MATCH(ROWS($AF$2:AF535),$AF$2:$AF$1001,0),0), INDEX($AM$1004:$BM$1004,1,MATCH(COLUMNS($AM$1006:BC1006),$AM$1006:$BM$1006,0)))),"Fix")))</f>
        <v xml:space="preserve"> </v>
      </c>
      <c r="S535" s="4" t="str">
        <f ca="1">IF(OR(INDEX($AG$2:$AG$1001,MATCH(ROWS($AF$2:AF535),$AF$2:$AF$1001,0),1)&gt;=100000,INDEX($AM$1005:$BM$1005,1,MATCH(COLUMNS($AM$1006:BD1006),$AM$1006:$BM$1006,0))&gt;=100000), " ",IF(INDEX($AM$2:$BM$1001,MATCH(ROWS($AF$2:AF535),$AF$2:$AF$1001,0),MATCH(COLUMNS($AM$1006:BD1006),$AM$1006:$BM$1006,0)), HYPERLINK("#",""), HYPERLINK(CONCATENATE("#metadata!", ADDRESS(INDEX($AH$2:$AH$1001,MATCH(ROWS($AF$2:AF535),$AF$2:$AF$1001,0),0), INDEX($AM$1004:$BM$1004,1,MATCH(COLUMNS($AM$1006:BD1006),$AM$1006:$BM$1006,0)))),"Fix")))</f>
        <v xml:space="preserve"> </v>
      </c>
      <c r="T535" s="4" t="str">
        <f ca="1">IF(OR(INDEX($AG$2:$AG$1001,MATCH(ROWS($AF$2:AF535),$AF$2:$AF$1001,0),1)&gt;=100000,INDEX($AM$1005:$BM$1005,1,MATCH(COLUMNS($AM$1006:BE1006),$AM$1006:$BM$1006,0))&gt;=100000), " ",IF(INDEX($AM$2:$BM$1001,MATCH(ROWS($AF$2:AF535),$AF$2:$AF$1001,0),MATCH(COLUMNS($AM$1006:BE1006),$AM$1006:$BM$1006,0)), HYPERLINK("#",""), HYPERLINK(CONCATENATE("#metadata!", ADDRESS(INDEX($AH$2:$AH$1001,MATCH(ROWS($AF$2:AF535),$AF$2:$AF$1001,0),0), INDEX($AM$1004:$BM$1004,1,MATCH(COLUMNS($AM$1006:BE1006),$AM$1006:$BM$1006,0)))),"Fix")))</f>
        <v xml:space="preserve"> </v>
      </c>
      <c r="U535" s="4" t="str">
        <f ca="1">IF(OR(INDEX($AG$2:$AG$1001,MATCH(ROWS($AF$2:AF535),$AF$2:$AF$1001,0),1)&gt;=100000,INDEX($AM$1005:$BM$1005,1,MATCH(COLUMNS($AM$1006:BF1006),$AM$1006:$BM$1006,0))&gt;=100000), " ",IF(INDEX($AM$2:$BM$1001,MATCH(ROWS($AF$2:AF535),$AF$2:$AF$1001,0),MATCH(COLUMNS($AM$1006:BF1006),$AM$1006:$BM$1006,0)), HYPERLINK("#",""), HYPERLINK(CONCATENATE("#metadata!", ADDRESS(INDEX($AH$2:$AH$1001,MATCH(ROWS($AF$2:AF535),$AF$2:$AF$1001,0),0), INDEX($AM$1004:$BM$1004,1,MATCH(COLUMNS($AM$1006:BF1006),$AM$1006:$BM$1006,0)))),"Fix")))</f>
        <v xml:space="preserve"> </v>
      </c>
      <c r="V535" s="4" t="str">
        <f ca="1">IF(OR(INDEX($AG$2:$AG$1001,MATCH(ROWS($AF$2:AF535),$AF$2:$AF$1001,0),1)&gt;=100000,INDEX($AM$1005:$BM$1005,1,MATCH(COLUMNS($AM$1006:BG1006),$AM$1006:$BM$1006,0))&gt;=100000), " ",IF(INDEX($AM$2:$BM$1001,MATCH(ROWS($AF$2:AF535),$AF$2:$AF$1001,0),MATCH(COLUMNS($AM$1006:BG1006),$AM$1006:$BM$1006,0)), HYPERLINK("#",""), HYPERLINK(CONCATENATE("#metadata!", ADDRESS(INDEX($AH$2:$AH$1001,MATCH(ROWS($AF$2:AF535),$AF$2:$AF$1001,0),0), INDEX($AM$1004:$BM$1004,1,MATCH(COLUMNS($AM$1006:BG1006),$AM$1006:$BM$1006,0)))),"Fix")))</f>
        <v xml:space="preserve"> </v>
      </c>
      <c r="W535" s="4" t="str">
        <f ca="1">IF(OR(INDEX($AG$2:$AG$1001,MATCH(ROWS($AF$2:AF535),$AF$2:$AF$1001,0),1)&gt;=100000,INDEX($AM$1005:$BM$1005,1,MATCH(COLUMNS($AM$1006:BH1006),$AM$1006:$BM$1006,0))&gt;=100000), " ",IF(INDEX($AM$2:$BM$1001,MATCH(ROWS($AF$2:AF535),$AF$2:$AF$1001,0),MATCH(COLUMNS($AM$1006:BH1006),$AM$1006:$BM$1006,0)), HYPERLINK("#",""), HYPERLINK(CONCATENATE("#metadata!", ADDRESS(INDEX($AH$2:$AH$1001,MATCH(ROWS($AF$2:AF535),$AF$2:$AF$1001,0),0), INDEX($AM$1004:$BM$1004,1,MATCH(COLUMNS($AM$1006:BH1006),$AM$1006:$BM$1006,0)))),"Fix")))</f>
        <v xml:space="preserve"> </v>
      </c>
      <c r="X535" s="4" t="str">
        <f ca="1">IF(OR(INDEX($AG$2:$AG$1001,MATCH(ROWS($AF$2:AF535),$AF$2:$AF$1001,0),1)&gt;=100000,INDEX($AM$1005:$BM$1005,1,MATCH(COLUMNS($AM$1006:BI1006),$AM$1006:$BM$1006,0))&gt;=100000), " ",IF(INDEX($AM$2:$BM$1001,MATCH(ROWS($AF$2:AF535),$AF$2:$AF$1001,0),MATCH(COLUMNS($AM$1006:BI1006),$AM$1006:$BM$1006,0)), HYPERLINK("#",""), HYPERLINK(CONCATENATE("#metadata!", ADDRESS(INDEX($AH$2:$AH$1001,MATCH(ROWS($AF$2:AF535),$AF$2:$AF$1001,0),0), INDEX($AM$1004:$BM$1004,1,MATCH(COLUMNS($AM$1006:BI1006),$AM$1006:$BM$1006,0)))),"Fix")))</f>
        <v xml:space="preserve"> </v>
      </c>
      <c r="Y535" s="4" t="str">
        <f ca="1">IF(OR(INDEX($AG$2:$AG$1001,MATCH(ROWS($AF$2:AF535),$AF$2:$AF$1001,0),1)&gt;=100000,INDEX($AM$1005:$BM$1005,1,MATCH(COLUMNS($AM$1006:BJ1006),$AM$1006:$BM$1006,0))&gt;=100000), " ",IF(INDEX($AM$2:$BM$1001,MATCH(ROWS($AF$2:AF535),$AF$2:$AF$1001,0),MATCH(COLUMNS($AM$1006:BJ1006),$AM$1006:$BM$1006,0)), HYPERLINK("#",""), HYPERLINK(CONCATENATE("#metadata!", ADDRESS(INDEX($AH$2:$AH$1001,MATCH(ROWS($AF$2:AF535),$AF$2:$AF$1001,0),0), INDEX($AM$1004:$BM$1004,1,MATCH(COLUMNS($AM$1006:BJ1006),$AM$1006:$BM$1006,0)))),"Fix")))</f>
        <v xml:space="preserve"> </v>
      </c>
      <c r="Z535" s="4" t="str">
        <f ca="1">IF(OR(INDEX($AG$2:$AG$1001,MATCH(ROWS($AF$2:AF535),$AF$2:$AF$1001,0),1)&gt;=100000,INDEX($AM$1005:$BM$1005,1,MATCH(COLUMNS($AM$1006:BK1006),$AM$1006:$BM$1006,0))&gt;=100000), " ",IF(INDEX($AM$2:$BM$1001,MATCH(ROWS($AF$2:AF535),$AF$2:$AF$1001,0),MATCH(COLUMNS($AM$1006:BK1006),$AM$1006:$BM$1006,0)), HYPERLINK("#",""), HYPERLINK(CONCATENATE("#metadata!", ADDRESS(INDEX($AH$2:$AH$1001,MATCH(ROWS($AF$2:AF535),$AF$2:$AF$1001,0),0), INDEX($AM$1004:$BM$1004,1,MATCH(COLUMNS($AM$1006:BK1006),$AM$1006:$BM$1006,0)))),"Fix")))</f>
        <v xml:space="preserve"> </v>
      </c>
      <c r="AA535" s="4" t="str">
        <f ca="1">IF(OR(INDEX($AG$2:$AG$1001,MATCH(ROWS($AF$2:AF535),$AF$2:$AF$1001,0),1)&gt;=100000,INDEX($AM$1005:$BM$1005,1,MATCH(COLUMNS($AM$1006:BL1006),$AM$1006:$BM$1006,0))&gt;=100000), " ",IF(INDEX($AM$2:$BM$1001,MATCH(ROWS($AF$2:AF535),$AF$2:$AF$1001,0),MATCH(COLUMNS($AM$1006:BL1006),$AM$1006:$BM$1006,0)), HYPERLINK("#",""), HYPERLINK(CONCATENATE("#metadata!", ADDRESS(INDEX($AH$2:$AH$1001,MATCH(ROWS($AF$2:AF535),$AF$2:$AF$1001,0),0), INDEX($AM$1004:$BM$1004,1,MATCH(COLUMNS($AM$1006:BL1006),$AM$1006:$BM$1006,0)))),"Fix")))</f>
        <v xml:space="preserve"> </v>
      </c>
      <c r="AB535" s="4" t="str">
        <f ca="1">IF(OR(INDEX($AG$2:$AG$1001,MATCH(ROWS($AF$2:AF535),$AF$2:$AF$1001,0),1)&gt;=100000,INDEX($AM$1005:$BM$1005,1,MATCH(COLUMNS($AM$1006:BM1006),$AM$1006:$BM$1006,0))&gt;=100000), " ",IF(INDEX($AM$2:$BM$1001,MATCH(ROWS($AF$2:AF535),$AF$2:$AF$1001,0),MATCH(COLUMNS($AM$1006:BM1006),$AM$1006:$BM$1006,0)), HYPERLINK("#",""), HYPERLINK(CONCATENATE("#metadata!", ADDRESS(INDEX($AH$2:$AH$1001,MATCH(ROWS($AF$2:AF535),$AF$2:$AF$1001,0),0), INDEX($AM$1004:$BM$1004,1,MATCH(COLUMNS($AM$1006:BM1006),$AM$1006:$BM$1006,0)))),"Fix")))</f>
        <v xml:space="preserve"> </v>
      </c>
      <c r="AF535">
        <v>534</v>
      </c>
      <c r="AG535">
        <v>100535</v>
      </c>
      <c r="AH535">
        <v>535</v>
      </c>
      <c r="AI535" t="b">
        <f t="shared" si="8"/>
        <v>1</v>
      </c>
      <c r="AJ535" t="b">
        <f>COUNTBLANK(metadata!B535:AB535)=COLUMNS(metadata!B535:AB535)</f>
        <v>1</v>
      </c>
      <c r="AK535" t="str">
        <v/>
      </c>
      <c r="AM535" t="b">
        <f ca="1">AND(IF(metadata!B535="",FALSE,TRUE),COUNTIF(metadata!B:B, metadata!B535) = 1,NOT(ISERROR(SUMPRODUCT(SEARCH(MID(metadata!B535,ROW(INDIRECT("1:"&amp;LEN(metadata!B535))), 1),"0123456789abcdefghijklmnopqrstuvwxyzABCDEFGHIJKLMNOPQRSTUVWXYZ.")))))</f>
        <v>0</v>
      </c>
      <c r="AN535" t="b">
        <f ca="1">OR(AND(IF(metadata!C535="",FALSE,TRUE),OR(EXACT(metadata!C535,"missing: not collected"),EXACT(metadata!C535,"missing: not provided"),EXACT(metadata!C535,"missing: restricted access"))),AND(IF(metadata!C535="",FALSE,TRUE),AND(AND(IFERROR(INT(LEFT(metadata!C535,4))&gt;1900,FALSE),IFERROR(INT(LEFT(metadata!C535,4))&lt;=YEAR(NOW()),FALSE)), OR(MID(metadata!C535,5,1)="", AND(AND(MID(metadata!C535,5,1)="-",IFERROR(INT(MID(metadata!C535,6,1))&gt;=0,FALSE),IFERROR(INT(MID(metadata!C535,6,1))&lt;=1,FALSE),NOT(MID(metadata!C535,7,1)=""),IFERROR(INT(MID(metadata!C535,6,2))&gt;=1,FALSE),IFERROR(INT(MID(metadata!C535,6,2))&lt;=12,FALSE)), OR(MID(metadata!C535,8,1)="", AND(AND(MID(metadata!C535,8,1)="-",IFERROR(INT(MID(metadata!C535,9,1))&gt;=0,FALSE),IFERROR(INT(MID(metadata!C535,9,1))&lt;=3,FALSE),NOT(MID(metadata!C535,10,1)=""),IFERROR(INT(MID(metadata!C535,9,2))&gt;=1,FALSE),IFERROR(INT(MID(metadata!C535,9,2))&lt;=31,FALSE)), OR(MID(metadata!C535,11,1)="", AND(AND(MID(metadata!C535,11,1)=" ",IFERROR(INT(MID(metadata!C535,12,1))&gt;=0,FALSE),IFERROR(INT(MID(metadata!C535,12,1))&lt;=2,FALSE),NOT(MID(metadata!C535,13,1)=""),IFERROR(INT(MID(metadata!C535,12,2))&gt;=0,FALSE),IFERROR(INT(MID(metadata!C535,12,2))&lt;=23,FALSE)), OR(MID(metadata!C535,14,1)="", AND(AND(MID(metadata!C535,14,1)=":",IFERROR(INT(MID(metadata!C535,15,1))&gt;=0,FALSE),IFERROR(INT(MID(metadata!C535,15,1))&lt;=5,FALSE),NOT(MID(metadata!C535,16,1)=""),IFERROR(INT(MID(metadata!C535,15,2))&gt;=0,FALSE),IFERROR(INT(MID(metadata!C535,15,2))&lt;=59,FALSE)), OR(MID(metadata!C535,17,1)="", AND(AND(MID(metadata!C535,17,1)=":",IFERROR(INT(MID(metadata!C535,18,1))&gt;=0,FALSE),IFERROR(INT(MID(metadata!C535,18,1))&lt;=5,FALSE),NOT(MID(metadata!C535,19,1)=""),IFERROR(INT(MID(metadata!C535,18,2))&gt;=0,FALSE),IFERROR(INT(MID(metadata!C535,18,2))&lt;=59,FALSE)), LEN(metadata!C535)&lt;=19)))))))))))))</f>
        <v>0</v>
      </c>
      <c r="AO535" t="b">
        <f>AND(IF(metadata!D535="",FALSE,TRUE),EXACT(metadata!D535,"Not applicable"))</f>
        <v>0</v>
      </c>
      <c r="AP535" t="b">
        <f>IF(metadata!E535="",FALSE,TRUE)</f>
        <v>0</v>
      </c>
      <c r="AQ535" t="b">
        <f>OR(AND(IF(metadata!F535="",FALSE,TRUE),OR(EXACT(metadata!F535,"missing: not collected"),EXACT(metadata!F535,"missing: not provided"))),AND(IF(metadata!F535="",FALSE,TRUE),OR(EXACT(metadata!F535,"TRUE"),EXACT(metadata!F535,"FALSE"))))</f>
        <v>0</v>
      </c>
      <c r="AR535" t="b">
        <f>OR(AND(IF(metadata!G535="",FALSE,TRUE),OR(EXACT(metadata!G535,"missing: not collected"),EXACT(metadata!G535,"missing: not provided"),EXACT(metadata!G535,"missing: restricted access"))),AND(IF(metadata!G535="",FALSE,ISNUMBER(VALUE(metadata!G535))),metadata!G535&gt;=-413))</f>
        <v>0</v>
      </c>
      <c r="AS535" t="b">
        <f>AND(IF(metadata!H535="",FALSE,TRUE),EXACT(metadata!H535,"meters"))</f>
        <v>0</v>
      </c>
      <c r="AT535" t="b">
        <f>AND(IF(metadata!I535="",FALSE,TRUE),OR(EXACT(metadata!I535,"Host-associated"),EXACT(metadata!I535,"Free-living")))</f>
        <v>0</v>
      </c>
      <c r="AU535" t="b">
        <f>AND(IF(metadata!J535="",FALSE,TRUE),OR(EXACT(metadata!J535,"Animal"),EXACT(metadata!J535,"Fungus"),EXACT(metadata!J535,"Plant"),EXACT(metadata!J535,"Saline"),EXACT(metadata!J535,"Non-saline")))</f>
        <v>0</v>
      </c>
      <c r="AV535" t="b">
        <f>AND(IF(metadata!K535="",FALSE,TRUE),OR(EXACT(metadata!K535,"Plant secretion"),EXACT(metadata!K535,"Plant rhizosphere"),EXACT(metadata!K535,"Plant surface"),EXACT(metadata!K535,"Plant corpus"),EXACT(metadata!K535,"Fungus surface"),EXACT(metadata!K535,"Fungus corpus"),EXACT(metadata!K535,"Animal surface"),EXACT(metadata!K535,"Animal proximal gut"),EXACT(metadata!K535,"Animal corpus"),EXACT(metadata!K535,"Animal distal gut"),EXACT(metadata!K535,"Animal secretion"),EXACT(metadata!K535,"Sub-surface (non-saline)"),EXACT(metadata!K535,"Surface (non-saline)"),EXACT(metadata!K535,"Water (non-saline)"),EXACT(metadata!K535,"Soil (non-saline)"),EXACT(metadata!K535,"Aerosol (non-saline)"),EXACT(metadata!K535,"Sediment (non-saline)"),EXACT(metadata!K535,"Surface (saline)"),EXACT(metadata!K535,"Water (saline)"),EXACT(metadata!K535,"Hypersaline (saline)"),EXACT(metadata!K535,"Aerosol (saline)"),EXACT(metadata!K535,"Sediment (saline)")))</f>
        <v>0</v>
      </c>
      <c r="AW535" t="b">
        <f>IF(metadata!L535="",FALSE,TRUE)</f>
        <v>0</v>
      </c>
      <c r="AX535" t="b">
        <f>IF(metadata!M535="",FALSE,TRUE)</f>
        <v>0</v>
      </c>
      <c r="AY535" t="b">
        <f>IF(metadata!N535="",FALSE,TRUE)</f>
        <v>0</v>
      </c>
      <c r="AZ535" t="b">
        <f>OR(AND(IF(metadata!O535="",FALSE,TRUE),OR(EXACT(metadata!O535,"missing: not collected"),EXACT(metadata!O535,"missing: not provided"),EXACT(metadata!O535,"missing: restricted access"))),AND(IF(metadata!O535="",FALSE,TRUE),OR(EXACT(metadata!O535,"air"),EXACT(metadata!O535,"built environment"),EXACT(metadata!O535,"host-associated"),EXACT(metadata!O535,"human-associated"),EXACT(metadata!O535,"human-skin"),EXACT(metadata!O535,"human-oral"),EXACT(metadata!O535,"human-gut"),EXACT(metadata!O535,"human-vaginal"),EXACT(metadata!O535,"microbial mat/biofilm"),EXACT(metadata!O535,"misc environment"),EXACT(metadata!O535,"plant-associated"),EXACT(metadata!O535,"sediment"),EXACT(metadata!O535,"soil"),EXACT(metadata!O535,"wastewater/sludge"),EXACT(metadata!O535,"water"))))</f>
        <v>0</v>
      </c>
      <c r="BA535" t="b">
        <f>IF(metadata!P535="",FALSE,TRUE)</f>
        <v>0</v>
      </c>
      <c r="BB535" t="b">
        <f>IF(metadata!Q535="",FALSE,TRUE)</f>
        <v>0</v>
      </c>
      <c r="BC535" t="b">
        <f>OR(AND(IF(metadata!R535="",FALSE,TRUE),OR(EXACT(metadata!R535,"missing: not collected"),EXACT(metadata!R535,"missing: not provided"),EXACT(metadata!R535,"missing: restricted access"))),AND(IF(metadata!R535="",FALSE,ISNUMBER(VALUE(metadata!R535))),metadata!R535&gt;=-90,metadata!R535&lt;=90))</f>
        <v>0</v>
      </c>
      <c r="BD535" t="b">
        <f>AND(IF(metadata!S535="",FALSE,TRUE),EXACT(metadata!S535,"Decimal degrees"))</f>
        <v>0</v>
      </c>
      <c r="BE535" t="b">
        <f>OR(AND(IF(metadata!T535="",FALSE,TRUE),OR(EXACT(metadata!T535,"missing: not collected"),EXACT(metadata!T535,"missing: not provided"),EXACT(metadata!T535,"missing: restricted access"))),AND(IF(metadata!T535="",FALSE,ISNUMBER(VALUE(metadata!T535))),metadata!T535&gt;=-180,metadata!T535&lt;=180))</f>
        <v>0</v>
      </c>
      <c r="BF535" t="b">
        <f>AND(IF(metadata!U535="",FALSE,TRUE),EXACT(metadata!U535,"Decimal degrees"))</f>
        <v>0</v>
      </c>
      <c r="BG535" t="b">
        <f>IF(metadata!V535="",FALSE,TRUE)</f>
        <v>0</v>
      </c>
      <c r="BH535" t="b">
        <f>OR(AND(IF(metadata!W535="",FALSE,TRUE),OR(EXACT(metadata!W535,"missing: not collected"),EXACT(metadata!W535,"missing: not provided"),EXACT(metadata!W535,"missing: restricted access"))),AND(IF(metadata!W535="",FALSE,TRUE),OR(EXACT(metadata!W535,"TRUE"),EXACT(metadata!W535,"FALSE"))))</f>
        <v>0</v>
      </c>
      <c r="BI535" t="b">
        <f>AND(IF(metadata!X535="",FALSE,TRUE),EXACT(metadata!X535,"other"))</f>
        <v>0</v>
      </c>
      <c r="BJ535" t="b">
        <f>IF(metadata!Y535="",FALSE,TRUE)</f>
        <v>0</v>
      </c>
      <c r="BK535" t="b">
        <f>OR(AND(IF(metadata!Z535="",FALSE,TRUE),OR(EXACT(metadata!Z535,"missing: not collected"),EXACT(metadata!Z535,"missing: not provided"))),AND(IF(metadata!Z535="",FALSE,IF(ISERROR(INT(metadata!Z535)),FALSE,INT(metadata!Z535)=metadata!Z535)),metadata!Z535&gt;0))</f>
        <v>0</v>
      </c>
      <c r="BL535" t="b">
        <f>AND(IF(metadata!AA535="",FALSE,TRUE),EXACT(metadata!AA535,"Not applicable"))</f>
        <v>0</v>
      </c>
      <c r="BM535" t="b">
        <f>IF(metadata!AB535="",FALSE,TRUE)</f>
        <v>0</v>
      </c>
    </row>
    <row r="536" spans="1:65" x14ac:dyDescent="0.2">
      <c r="A536" s="5" t="str">
        <f ca="1">IF(B536=" "," ",HYPERLINK(CONCATENATE("#metadata!",ADDRESS(INDEX($AH$2:$AH$1001,MATCH(ROWS($AF$2:AF536),$AF$2:$AF$1001,0),0),1)),INDEX($AK$2:$AK$1001,MATCH(ROWS($AF$2:AF536),$AF$2:$AF$1001,0),0)))</f>
        <v xml:space="preserve"> </v>
      </c>
      <c r="B536" s="4" t="str">
        <f ca="1">IF(OR(INDEX($AG$2:$AG$1001,MATCH(ROWS($AF$2:AF536),$AF$2:$AF$1001,0),1)&gt;=100000,INDEX($AM$1005:$BM$1005,1,MATCH(COLUMNS($AM$1006:AM1006),$AM$1006:$BM$1006,0))&gt;=100000), " ",IF(INDEX($AM$2:$BM$1001,MATCH(ROWS($AF$2:AF536),$AF$2:$AF$1001,0),MATCH(COLUMNS($AM$1006:AM1006),$AM$1006:$BM$1006,0)), HYPERLINK("#",""), HYPERLINK(CONCATENATE("#metadata!", ADDRESS(INDEX($AH$2:$AH$1001,MATCH(ROWS($AF$2:AF536),$AF$2:$AF$1001,0),0), INDEX($AM$1004:$BM$1004,1,MATCH(COLUMNS($AM$1006:AM1006),$AM$1006:$BM$1006,0)))),"Fix")))</f>
        <v xml:space="preserve"> </v>
      </c>
      <c r="C536" s="4" t="str">
        <f ca="1">IF(OR(INDEX($AG$2:$AG$1001,MATCH(ROWS($AF$2:AF536),$AF$2:$AF$1001,0),1)&gt;=100000,INDEX($AM$1005:$BM$1005,1,MATCH(COLUMNS($AM$1006:AN1006),$AM$1006:$BM$1006,0))&gt;=100000), " ",IF(INDEX($AM$2:$BM$1001,MATCH(ROWS($AF$2:AF536),$AF$2:$AF$1001,0),MATCH(COLUMNS($AM$1006:AN1006),$AM$1006:$BM$1006,0)), HYPERLINK("#",""), HYPERLINK(CONCATENATE("#metadata!", ADDRESS(INDEX($AH$2:$AH$1001,MATCH(ROWS($AF$2:AF536),$AF$2:$AF$1001,0),0), INDEX($AM$1004:$BM$1004,1,MATCH(COLUMNS($AM$1006:AN1006),$AM$1006:$BM$1006,0)))),"Fix")))</f>
        <v xml:space="preserve"> </v>
      </c>
      <c r="D536" s="4" t="str">
        <f ca="1">IF(OR(INDEX($AG$2:$AG$1001,MATCH(ROWS($AF$2:AF536),$AF$2:$AF$1001,0),1)&gt;=100000,INDEX($AM$1005:$BM$1005,1,MATCH(COLUMNS($AM$1006:AO1006),$AM$1006:$BM$1006,0))&gt;=100000), " ",IF(INDEX($AM$2:$BM$1001,MATCH(ROWS($AF$2:AF536),$AF$2:$AF$1001,0),MATCH(COLUMNS($AM$1006:AO1006),$AM$1006:$BM$1006,0)), HYPERLINK("#",""), HYPERLINK(CONCATENATE("#metadata!", ADDRESS(INDEX($AH$2:$AH$1001,MATCH(ROWS($AF$2:AF536),$AF$2:$AF$1001,0),0), INDEX($AM$1004:$BM$1004,1,MATCH(COLUMNS($AM$1006:AO1006),$AM$1006:$BM$1006,0)))),"Fix")))</f>
        <v xml:space="preserve"> </v>
      </c>
      <c r="E536" s="4" t="str">
        <f ca="1">IF(OR(INDEX($AG$2:$AG$1001,MATCH(ROWS($AF$2:AF536),$AF$2:$AF$1001,0),1)&gt;=100000,INDEX($AM$1005:$BM$1005,1,MATCH(COLUMNS($AM$1006:AP1006),$AM$1006:$BM$1006,0))&gt;=100000), " ",IF(INDEX($AM$2:$BM$1001,MATCH(ROWS($AF$2:AF536),$AF$2:$AF$1001,0),MATCH(COLUMNS($AM$1006:AP1006),$AM$1006:$BM$1006,0)), HYPERLINK("#",""), HYPERLINK(CONCATENATE("#metadata!", ADDRESS(INDEX($AH$2:$AH$1001,MATCH(ROWS($AF$2:AF536),$AF$2:$AF$1001,0),0), INDEX($AM$1004:$BM$1004,1,MATCH(COLUMNS($AM$1006:AP1006),$AM$1006:$BM$1006,0)))),"Fix")))</f>
        <v xml:space="preserve"> </v>
      </c>
      <c r="F536" s="4" t="str">
        <f ca="1">IF(OR(INDEX($AG$2:$AG$1001,MATCH(ROWS($AF$2:AF536),$AF$2:$AF$1001,0),1)&gt;=100000,INDEX($AM$1005:$BM$1005,1,MATCH(COLUMNS($AM$1006:AQ1006),$AM$1006:$BM$1006,0))&gt;=100000), " ",IF(INDEX($AM$2:$BM$1001,MATCH(ROWS($AF$2:AF536),$AF$2:$AF$1001,0),MATCH(COLUMNS($AM$1006:AQ1006),$AM$1006:$BM$1006,0)), HYPERLINK("#",""), HYPERLINK(CONCATENATE("#metadata!", ADDRESS(INDEX($AH$2:$AH$1001,MATCH(ROWS($AF$2:AF536),$AF$2:$AF$1001,0),0), INDEX($AM$1004:$BM$1004,1,MATCH(COLUMNS($AM$1006:AQ1006),$AM$1006:$BM$1006,0)))),"Fix")))</f>
        <v xml:space="preserve"> </v>
      </c>
      <c r="G536" s="4" t="str">
        <f ca="1">IF(OR(INDEX($AG$2:$AG$1001,MATCH(ROWS($AF$2:AF536),$AF$2:$AF$1001,0),1)&gt;=100000,INDEX($AM$1005:$BM$1005,1,MATCH(COLUMNS($AM$1006:AR1006),$AM$1006:$BM$1006,0))&gt;=100000), " ",IF(INDEX($AM$2:$BM$1001,MATCH(ROWS($AF$2:AF536),$AF$2:$AF$1001,0),MATCH(COLUMNS($AM$1006:AR1006),$AM$1006:$BM$1006,0)), HYPERLINK("#",""), HYPERLINK(CONCATENATE("#metadata!", ADDRESS(INDEX($AH$2:$AH$1001,MATCH(ROWS($AF$2:AF536),$AF$2:$AF$1001,0),0), INDEX($AM$1004:$BM$1004,1,MATCH(COLUMNS($AM$1006:AR1006),$AM$1006:$BM$1006,0)))),"Fix")))</f>
        <v xml:space="preserve"> </v>
      </c>
      <c r="H536" s="4" t="str">
        <f ca="1">IF(OR(INDEX($AG$2:$AG$1001,MATCH(ROWS($AF$2:AF536),$AF$2:$AF$1001,0),1)&gt;=100000,INDEX($AM$1005:$BM$1005,1,MATCH(COLUMNS($AM$1006:AS1006),$AM$1006:$BM$1006,0))&gt;=100000), " ",IF(INDEX($AM$2:$BM$1001,MATCH(ROWS($AF$2:AF536),$AF$2:$AF$1001,0),MATCH(COLUMNS($AM$1006:AS1006),$AM$1006:$BM$1006,0)), HYPERLINK("#",""), HYPERLINK(CONCATENATE("#metadata!", ADDRESS(INDEX($AH$2:$AH$1001,MATCH(ROWS($AF$2:AF536),$AF$2:$AF$1001,0),0), INDEX($AM$1004:$BM$1004,1,MATCH(COLUMNS($AM$1006:AS1006),$AM$1006:$BM$1006,0)))),"Fix")))</f>
        <v xml:space="preserve"> </v>
      </c>
      <c r="I536" s="4" t="str">
        <f ca="1">IF(OR(INDEX($AG$2:$AG$1001,MATCH(ROWS($AF$2:AF536),$AF$2:$AF$1001,0),1)&gt;=100000,INDEX($AM$1005:$BM$1005,1,MATCH(COLUMNS($AM$1006:AT1006),$AM$1006:$BM$1006,0))&gt;=100000), " ",IF(INDEX($AM$2:$BM$1001,MATCH(ROWS($AF$2:AF536),$AF$2:$AF$1001,0),MATCH(COLUMNS($AM$1006:AT1006),$AM$1006:$BM$1006,0)), HYPERLINK("#",""), HYPERLINK(CONCATENATE("#metadata!", ADDRESS(INDEX($AH$2:$AH$1001,MATCH(ROWS($AF$2:AF536),$AF$2:$AF$1001,0),0), INDEX($AM$1004:$BM$1004,1,MATCH(COLUMNS($AM$1006:AT1006),$AM$1006:$BM$1006,0)))),"Fix")))</f>
        <v xml:space="preserve"> </v>
      </c>
      <c r="J536" s="4" t="str">
        <f ca="1">IF(OR(INDEX($AG$2:$AG$1001,MATCH(ROWS($AF$2:AF536),$AF$2:$AF$1001,0),1)&gt;=100000,INDEX($AM$1005:$BM$1005,1,MATCH(COLUMNS($AM$1006:AU1006),$AM$1006:$BM$1006,0))&gt;=100000), " ",IF(INDEX($AM$2:$BM$1001,MATCH(ROWS($AF$2:AF536),$AF$2:$AF$1001,0),MATCH(COLUMNS($AM$1006:AU1006),$AM$1006:$BM$1006,0)), HYPERLINK("#",""), HYPERLINK(CONCATENATE("#metadata!", ADDRESS(INDEX($AH$2:$AH$1001,MATCH(ROWS($AF$2:AF536),$AF$2:$AF$1001,0),0), INDEX($AM$1004:$BM$1004,1,MATCH(COLUMNS($AM$1006:AU1006),$AM$1006:$BM$1006,0)))),"Fix")))</f>
        <v xml:space="preserve"> </v>
      </c>
      <c r="K536" s="4" t="str">
        <f ca="1">IF(OR(INDEX($AG$2:$AG$1001,MATCH(ROWS($AF$2:AF536),$AF$2:$AF$1001,0),1)&gt;=100000,INDEX($AM$1005:$BM$1005,1,MATCH(COLUMNS($AM$1006:AV1006),$AM$1006:$BM$1006,0))&gt;=100000), " ",IF(INDEX($AM$2:$BM$1001,MATCH(ROWS($AF$2:AF536),$AF$2:$AF$1001,0),MATCH(COLUMNS($AM$1006:AV1006),$AM$1006:$BM$1006,0)), HYPERLINK("#",""), HYPERLINK(CONCATENATE("#metadata!", ADDRESS(INDEX($AH$2:$AH$1001,MATCH(ROWS($AF$2:AF536),$AF$2:$AF$1001,0),0), INDEX($AM$1004:$BM$1004,1,MATCH(COLUMNS($AM$1006:AV1006),$AM$1006:$BM$1006,0)))),"Fix")))</f>
        <v xml:space="preserve"> </v>
      </c>
      <c r="L536" s="4" t="str">
        <f ca="1">IF(OR(INDEX($AG$2:$AG$1001,MATCH(ROWS($AF$2:AF536),$AF$2:$AF$1001,0),1)&gt;=100000,INDEX($AM$1005:$BM$1005,1,MATCH(COLUMNS($AM$1006:AW1006),$AM$1006:$BM$1006,0))&gt;=100000), " ",IF(INDEX($AM$2:$BM$1001,MATCH(ROWS($AF$2:AF536),$AF$2:$AF$1001,0),MATCH(COLUMNS($AM$1006:AW1006),$AM$1006:$BM$1006,0)), HYPERLINK("#",""), HYPERLINK(CONCATENATE("#metadata!", ADDRESS(INDEX($AH$2:$AH$1001,MATCH(ROWS($AF$2:AF536),$AF$2:$AF$1001,0),0), INDEX($AM$1004:$BM$1004,1,MATCH(COLUMNS($AM$1006:AW1006),$AM$1006:$BM$1006,0)))),"Fix")))</f>
        <v xml:space="preserve"> </v>
      </c>
      <c r="M536" s="4" t="str">
        <f ca="1">IF(OR(INDEX($AG$2:$AG$1001,MATCH(ROWS($AF$2:AF536),$AF$2:$AF$1001,0),1)&gt;=100000,INDEX($AM$1005:$BM$1005,1,MATCH(COLUMNS($AM$1006:AX1006),$AM$1006:$BM$1006,0))&gt;=100000), " ",IF(INDEX($AM$2:$BM$1001,MATCH(ROWS($AF$2:AF536),$AF$2:$AF$1001,0),MATCH(COLUMNS($AM$1006:AX1006),$AM$1006:$BM$1006,0)), HYPERLINK("#",""), HYPERLINK(CONCATENATE("#metadata!", ADDRESS(INDEX($AH$2:$AH$1001,MATCH(ROWS($AF$2:AF536),$AF$2:$AF$1001,0),0), INDEX($AM$1004:$BM$1004,1,MATCH(COLUMNS($AM$1006:AX1006),$AM$1006:$BM$1006,0)))),"Fix")))</f>
        <v xml:space="preserve"> </v>
      </c>
      <c r="N536" s="4" t="str">
        <f ca="1">IF(OR(INDEX($AG$2:$AG$1001,MATCH(ROWS($AF$2:AF536),$AF$2:$AF$1001,0),1)&gt;=100000,INDEX($AM$1005:$BM$1005,1,MATCH(COLUMNS($AM$1006:AY1006),$AM$1006:$BM$1006,0))&gt;=100000), " ",IF(INDEX($AM$2:$BM$1001,MATCH(ROWS($AF$2:AF536),$AF$2:$AF$1001,0),MATCH(COLUMNS($AM$1006:AY1006),$AM$1006:$BM$1006,0)), HYPERLINK("#",""), HYPERLINK(CONCATENATE("#metadata!", ADDRESS(INDEX($AH$2:$AH$1001,MATCH(ROWS($AF$2:AF536),$AF$2:$AF$1001,0),0), INDEX($AM$1004:$BM$1004,1,MATCH(COLUMNS($AM$1006:AY1006),$AM$1006:$BM$1006,0)))),"Fix")))</f>
        <v xml:space="preserve"> </v>
      </c>
      <c r="O536" s="4" t="str">
        <f ca="1">IF(OR(INDEX($AG$2:$AG$1001,MATCH(ROWS($AF$2:AF536),$AF$2:$AF$1001,0),1)&gt;=100000,INDEX($AM$1005:$BM$1005,1,MATCH(COLUMNS($AM$1006:AZ1006),$AM$1006:$BM$1006,0))&gt;=100000), " ",IF(INDEX($AM$2:$BM$1001,MATCH(ROWS($AF$2:AF536),$AF$2:$AF$1001,0),MATCH(COLUMNS($AM$1006:AZ1006),$AM$1006:$BM$1006,0)), HYPERLINK("#",""), HYPERLINK(CONCATENATE("#metadata!", ADDRESS(INDEX($AH$2:$AH$1001,MATCH(ROWS($AF$2:AF536),$AF$2:$AF$1001,0),0), INDEX($AM$1004:$BM$1004,1,MATCH(COLUMNS($AM$1006:AZ1006),$AM$1006:$BM$1006,0)))),"Fix")))</f>
        <v xml:space="preserve"> </v>
      </c>
      <c r="P536" s="4" t="str">
        <f ca="1">IF(OR(INDEX($AG$2:$AG$1001,MATCH(ROWS($AF$2:AF536),$AF$2:$AF$1001,0),1)&gt;=100000,INDEX($AM$1005:$BM$1005,1,MATCH(COLUMNS($AM$1006:BA1006),$AM$1006:$BM$1006,0))&gt;=100000), " ",IF(INDEX($AM$2:$BM$1001,MATCH(ROWS($AF$2:AF536),$AF$2:$AF$1001,0),MATCH(COLUMNS($AM$1006:BA1006),$AM$1006:$BM$1006,0)), HYPERLINK("#",""), HYPERLINK(CONCATENATE("#metadata!", ADDRESS(INDEX($AH$2:$AH$1001,MATCH(ROWS($AF$2:AF536),$AF$2:$AF$1001,0),0), INDEX($AM$1004:$BM$1004,1,MATCH(COLUMNS($AM$1006:BA1006),$AM$1006:$BM$1006,0)))),"Fix")))</f>
        <v xml:space="preserve"> </v>
      </c>
      <c r="Q536" s="4" t="str">
        <f ca="1">IF(OR(INDEX($AG$2:$AG$1001,MATCH(ROWS($AF$2:AF536),$AF$2:$AF$1001,0),1)&gt;=100000,INDEX($AM$1005:$BM$1005,1,MATCH(COLUMNS($AM$1006:BB1006),$AM$1006:$BM$1006,0))&gt;=100000), " ",IF(INDEX($AM$2:$BM$1001,MATCH(ROWS($AF$2:AF536),$AF$2:$AF$1001,0),MATCH(COLUMNS($AM$1006:BB1006),$AM$1006:$BM$1006,0)), HYPERLINK("#",""), HYPERLINK(CONCATENATE("#metadata!", ADDRESS(INDEX($AH$2:$AH$1001,MATCH(ROWS($AF$2:AF536),$AF$2:$AF$1001,0),0), INDEX($AM$1004:$BM$1004,1,MATCH(COLUMNS($AM$1006:BB1006),$AM$1006:$BM$1006,0)))),"Fix")))</f>
        <v xml:space="preserve"> </v>
      </c>
      <c r="R536" s="4" t="str">
        <f ca="1">IF(OR(INDEX($AG$2:$AG$1001,MATCH(ROWS($AF$2:AF536),$AF$2:$AF$1001,0),1)&gt;=100000,INDEX($AM$1005:$BM$1005,1,MATCH(COLUMNS($AM$1006:BC1006),$AM$1006:$BM$1006,0))&gt;=100000), " ",IF(INDEX($AM$2:$BM$1001,MATCH(ROWS($AF$2:AF536),$AF$2:$AF$1001,0),MATCH(COLUMNS($AM$1006:BC1006),$AM$1006:$BM$1006,0)), HYPERLINK("#",""), HYPERLINK(CONCATENATE("#metadata!", ADDRESS(INDEX($AH$2:$AH$1001,MATCH(ROWS($AF$2:AF536),$AF$2:$AF$1001,0),0), INDEX($AM$1004:$BM$1004,1,MATCH(COLUMNS($AM$1006:BC1006),$AM$1006:$BM$1006,0)))),"Fix")))</f>
        <v xml:space="preserve"> </v>
      </c>
      <c r="S536" s="4" t="str">
        <f ca="1">IF(OR(INDEX($AG$2:$AG$1001,MATCH(ROWS($AF$2:AF536),$AF$2:$AF$1001,0),1)&gt;=100000,INDEX($AM$1005:$BM$1005,1,MATCH(COLUMNS($AM$1006:BD1006),$AM$1006:$BM$1006,0))&gt;=100000), " ",IF(INDEX($AM$2:$BM$1001,MATCH(ROWS($AF$2:AF536),$AF$2:$AF$1001,0),MATCH(COLUMNS($AM$1006:BD1006),$AM$1006:$BM$1006,0)), HYPERLINK("#",""), HYPERLINK(CONCATENATE("#metadata!", ADDRESS(INDEX($AH$2:$AH$1001,MATCH(ROWS($AF$2:AF536),$AF$2:$AF$1001,0),0), INDEX($AM$1004:$BM$1004,1,MATCH(COLUMNS($AM$1006:BD1006),$AM$1006:$BM$1006,0)))),"Fix")))</f>
        <v xml:space="preserve"> </v>
      </c>
      <c r="T536" s="4" t="str">
        <f ca="1">IF(OR(INDEX($AG$2:$AG$1001,MATCH(ROWS($AF$2:AF536),$AF$2:$AF$1001,0),1)&gt;=100000,INDEX($AM$1005:$BM$1005,1,MATCH(COLUMNS($AM$1006:BE1006),$AM$1006:$BM$1006,0))&gt;=100000), " ",IF(INDEX($AM$2:$BM$1001,MATCH(ROWS($AF$2:AF536),$AF$2:$AF$1001,0),MATCH(COLUMNS($AM$1006:BE1006),$AM$1006:$BM$1006,0)), HYPERLINK("#",""), HYPERLINK(CONCATENATE("#metadata!", ADDRESS(INDEX($AH$2:$AH$1001,MATCH(ROWS($AF$2:AF536),$AF$2:$AF$1001,0),0), INDEX($AM$1004:$BM$1004,1,MATCH(COLUMNS($AM$1006:BE1006),$AM$1006:$BM$1006,0)))),"Fix")))</f>
        <v xml:space="preserve"> </v>
      </c>
      <c r="U536" s="4" t="str">
        <f ca="1">IF(OR(INDEX($AG$2:$AG$1001,MATCH(ROWS($AF$2:AF536),$AF$2:$AF$1001,0),1)&gt;=100000,INDEX($AM$1005:$BM$1005,1,MATCH(COLUMNS($AM$1006:BF1006),$AM$1006:$BM$1006,0))&gt;=100000), " ",IF(INDEX($AM$2:$BM$1001,MATCH(ROWS($AF$2:AF536),$AF$2:$AF$1001,0),MATCH(COLUMNS($AM$1006:BF1006),$AM$1006:$BM$1006,0)), HYPERLINK("#",""), HYPERLINK(CONCATENATE("#metadata!", ADDRESS(INDEX($AH$2:$AH$1001,MATCH(ROWS($AF$2:AF536),$AF$2:$AF$1001,0),0), INDEX($AM$1004:$BM$1004,1,MATCH(COLUMNS($AM$1006:BF1006),$AM$1006:$BM$1006,0)))),"Fix")))</f>
        <v xml:space="preserve"> </v>
      </c>
      <c r="V536" s="4" t="str">
        <f ca="1">IF(OR(INDEX($AG$2:$AG$1001,MATCH(ROWS($AF$2:AF536),$AF$2:$AF$1001,0),1)&gt;=100000,INDEX($AM$1005:$BM$1005,1,MATCH(COLUMNS($AM$1006:BG1006),$AM$1006:$BM$1006,0))&gt;=100000), " ",IF(INDEX($AM$2:$BM$1001,MATCH(ROWS($AF$2:AF536),$AF$2:$AF$1001,0),MATCH(COLUMNS($AM$1006:BG1006),$AM$1006:$BM$1006,0)), HYPERLINK("#",""), HYPERLINK(CONCATENATE("#metadata!", ADDRESS(INDEX($AH$2:$AH$1001,MATCH(ROWS($AF$2:AF536),$AF$2:$AF$1001,0),0), INDEX($AM$1004:$BM$1004,1,MATCH(COLUMNS($AM$1006:BG1006),$AM$1006:$BM$1006,0)))),"Fix")))</f>
        <v xml:space="preserve"> </v>
      </c>
      <c r="W536" s="4" t="str">
        <f ca="1">IF(OR(INDEX($AG$2:$AG$1001,MATCH(ROWS($AF$2:AF536),$AF$2:$AF$1001,0),1)&gt;=100000,INDEX($AM$1005:$BM$1005,1,MATCH(COLUMNS($AM$1006:BH1006),$AM$1006:$BM$1006,0))&gt;=100000), " ",IF(INDEX($AM$2:$BM$1001,MATCH(ROWS($AF$2:AF536),$AF$2:$AF$1001,0),MATCH(COLUMNS($AM$1006:BH1006),$AM$1006:$BM$1006,0)), HYPERLINK("#",""), HYPERLINK(CONCATENATE("#metadata!", ADDRESS(INDEX($AH$2:$AH$1001,MATCH(ROWS($AF$2:AF536),$AF$2:$AF$1001,0),0), INDEX($AM$1004:$BM$1004,1,MATCH(COLUMNS($AM$1006:BH1006),$AM$1006:$BM$1006,0)))),"Fix")))</f>
        <v xml:space="preserve"> </v>
      </c>
      <c r="X536" s="4" t="str">
        <f ca="1">IF(OR(INDEX($AG$2:$AG$1001,MATCH(ROWS($AF$2:AF536),$AF$2:$AF$1001,0),1)&gt;=100000,INDEX($AM$1005:$BM$1005,1,MATCH(COLUMNS($AM$1006:BI1006),$AM$1006:$BM$1006,0))&gt;=100000), " ",IF(INDEX($AM$2:$BM$1001,MATCH(ROWS($AF$2:AF536),$AF$2:$AF$1001,0),MATCH(COLUMNS($AM$1006:BI1006),$AM$1006:$BM$1006,0)), HYPERLINK("#",""), HYPERLINK(CONCATENATE("#metadata!", ADDRESS(INDEX($AH$2:$AH$1001,MATCH(ROWS($AF$2:AF536),$AF$2:$AF$1001,0),0), INDEX($AM$1004:$BM$1004,1,MATCH(COLUMNS($AM$1006:BI1006),$AM$1006:$BM$1006,0)))),"Fix")))</f>
        <v xml:space="preserve"> </v>
      </c>
      <c r="Y536" s="4" t="str">
        <f ca="1">IF(OR(INDEX($AG$2:$AG$1001,MATCH(ROWS($AF$2:AF536),$AF$2:$AF$1001,0),1)&gt;=100000,INDEX($AM$1005:$BM$1005,1,MATCH(COLUMNS($AM$1006:BJ1006),$AM$1006:$BM$1006,0))&gt;=100000), " ",IF(INDEX($AM$2:$BM$1001,MATCH(ROWS($AF$2:AF536),$AF$2:$AF$1001,0),MATCH(COLUMNS($AM$1006:BJ1006),$AM$1006:$BM$1006,0)), HYPERLINK("#",""), HYPERLINK(CONCATENATE("#metadata!", ADDRESS(INDEX($AH$2:$AH$1001,MATCH(ROWS($AF$2:AF536),$AF$2:$AF$1001,0),0), INDEX($AM$1004:$BM$1004,1,MATCH(COLUMNS($AM$1006:BJ1006),$AM$1006:$BM$1006,0)))),"Fix")))</f>
        <v xml:space="preserve"> </v>
      </c>
      <c r="Z536" s="4" t="str">
        <f ca="1">IF(OR(INDEX($AG$2:$AG$1001,MATCH(ROWS($AF$2:AF536),$AF$2:$AF$1001,0),1)&gt;=100000,INDEX($AM$1005:$BM$1005,1,MATCH(COLUMNS($AM$1006:BK1006),$AM$1006:$BM$1006,0))&gt;=100000), " ",IF(INDEX($AM$2:$BM$1001,MATCH(ROWS($AF$2:AF536),$AF$2:$AF$1001,0),MATCH(COLUMNS($AM$1006:BK1006),$AM$1006:$BM$1006,0)), HYPERLINK("#",""), HYPERLINK(CONCATENATE("#metadata!", ADDRESS(INDEX($AH$2:$AH$1001,MATCH(ROWS($AF$2:AF536),$AF$2:$AF$1001,0),0), INDEX($AM$1004:$BM$1004,1,MATCH(COLUMNS($AM$1006:BK1006),$AM$1006:$BM$1006,0)))),"Fix")))</f>
        <v xml:space="preserve"> </v>
      </c>
      <c r="AA536" s="4" t="str">
        <f ca="1">IF(OR(INDEX($AG$2:$AG$1001,MATCH(ROWS($AF$2:AF536),$AF$2:$AF$1001,0),1)&gt;=100000,INDEX($AM$1005:$BM$1005,1,MATCH(COLUMNS($AM$1006:BL1006),$AM$1006:$BM$1006,0))&gt;=100000), " ",IF(INDEX($AM$2:$BM$1001,MATCH(ROWS($AF$2:AF536),$AF$2:$AF$1001,0),MATCH(COLUMNS($AM$1006:BL1006),$AM$1006:$BM$1006,0)), HYPERLINK("#",""), HYPERLINK(CONCATENATE("#metadata!", ADDRESS(INDEX($AH$2:$AH$1001,MATCH(ROWS($AF$2:AF536),$AF$2:$AF$1001,0),0), INDEX($AM$1004:$BM$1004,1,MATCH(COLUMNS($AM$1006:BL1006),$AM$1006:$BM$1006,0)))),"Fix")))</f>
        <v xml:space="preserve"> </v>
      </c>
      <c r="AB536" s="4" t="str">
        <f ca="1">IF(OR(INDEX($AG$2:$AG$1001,MATCH(ROWS($AF$2:AF536),$AF$2:$AF$1001,0),1)&gt;=100000,INDEX($AM$1005:$BM$1005,1,MATCH(COLUMNS($AM$1006:BM1006),$AM$1006:$BM$1006,0))&gt;=100000), " ",IF(INDEX($AM$2:$BM$1001,MATCH(ROWS($AF$2:AF536),$AF$2:$AF$1001,0),MATCH(COLUMNS($AM$1006:BM1006),$AM$1006:$BM$1006,0)), HYPERLINK("#",""), HYPERLINK(CONCATENATE("#metadata!", ADDRESS(INDEX($AH$2:$AH$1001,MATCH(ROWS($AF$2:AF536),$AF$2:$AF$1001,0),0), INDEX($AM$1004:$BM$1004,1,MATCH(COLUMNS($AM$1006:BM1006),$AM$1006:$BM$1006,0)))),"Fix")))</f>
        <v xml:space="preserve"> </v>
      </c>
      <c r="AF536">
        <v>535</v>
      </c>
      <c r="AG536">
        <v>100536</v>
      </c>
      <c r="AH536">
        <v>536</v>
      </c>
      <c r="AI536" t="b">
        <f t="shared" si="8"/>
        <v>1</v>
      </c>
      <c r="AJ536" t="b">
        <f>COUNTBLANK(metadata!B536:AB536)=COLUMNS(metadata!B536:AB536)</f>
        <v>1</v>
      </c>
      <c r="AK536" t="str">
        <v/>
      </c>
      <c r="AM536" t="b">
        <f ca="1">AND(IF(metadata!B536="",FALSE,TRUE),COUNTIF(metadata!B:B, metadata!B536) = 1,NOT(ISERROR(SUMPRODUCT(SEARCH(MID(metadata!B536,ROW(INDIRECT("1:"&amp;LEN(metadata!B536))), 1),"0123456789abcdefghijklmnopqrstuvwxyzABCDEFGHIJKLMNOPQRSTUVWXYZ.")))))</f>
        <v>0</v>
      </c>
      <c r="AN536" t="b">
        <f ca="1">OR(AND(IF(metadata!C536="",FALSE,TRUE),OR(EXACT(metadata!C536,"missing: not collected"),EXACT(metadata!C536,"missing: not provided"),EXACT(metadata!C536,"missing: restricted access"))),AND(IF(metadata!C536="",FALSE,TRUE),AND(AND(IFERROR(INT(LEFT(metadata!C536,4))&gt;1900,FALSE),IFERROR(INT(LEFT(metadata!C536,4))&lt;=YEAR(NOW()),FALSE)), OR(MID(metadata!C536,5,1)="", AND(AND(MID(metadata!C536,5,1)="-",IFERROR(INT(MID(metadata!C536,6,1))&gt;=0,FALSE),IFERROR(INT(MID(metadata!C536,6,1))&lt;=1,FALSE),NOT(MID(metadata!C536,7,1)=""),IFERROR(INT(MID(metadata!C536,6,2))&gt;=1,FALSE),IFERROR(INT(MID(metadata!C536,6,2))&lt;=12,FALSE)), OR(MID(metadata!C536,8,1)="", AND(AND(MID(metadata!C536,8,1)="-",IFERROR(INT(MID(metadata!C536,9,1))&gt;=0,FALSE),IFERROR(INT(MID(metadata!C536,9,1))&lt;=3,FALSE),NOT(MID(metadata!C536,10,1)=""),IFERROR(INT(MID(metadata!C536,9,2))&gt;=1,FALSE),IFERROR(INT(MID(metadata!C536,9,2))&lt;=31,FALSE)), OR(MID(metadata!C536,11,1)="", AND(AND(MID(metadata!C536,11,1)=" ",IFERROR(INT(MID(metadata!C536,12,1))&gt;=0,FALSE),IFERROR(INT(MID(metadata!C536,12,1))&lt;=2,FALSE),NOT(MID(metadata!C536,13,1)=""),IFERROR(INT(MID(metadata!C536,12,2))&gt;=0,FALSE),IFERROR(INT(MID(metadata!C536,12,2))&lt;=23,FALSE)), OR(MID(metadata!C536,14,1)="", AND(AND(MID(metadata!C536,14,1)=":",IFERROR(INT(MID(metadata!C536,15,1))&gt;=0,FALSE),IFERROR(INT(MID(metadata!C536,15,1))&lt;=5,FALSE),NOT(MID(metadata!C536,16,1)=""),IFERROR(INT(MID(metadata!C536,15,2))&gt;=0,FALSE),IFERROR(INT(MID(metadata!C536,15,2))&lt;=59,FALSE)), OR(MID(metadata!C536,17,1)="", AND(AND(MID(metadata!C536,17,1)=":",IFERROR(INT(MID(metadata!C536,18,1))&gt;=0,FALSE),IFERROR(INT(MID(metadata!C536,18,1))&lt;=5,FALSE),NOT(MID(metadata!C536,19,1)=""),IFERROR(INT(MID(metadata!C536,18,2))&gt;=0,FALSE),IFERROR(INT(MID(metadata!C536,18,2))&lt;=59,FALSE)), LEN(metadata!C536)&lt;=19)))))))))))))</f>
        <v>0</v>
      </c>
      <c r="AO536" t="b">
        <f>AND(IF(metadata!D536="",FALSE,TRUE),EXACT(metadata!D536,"Not applicable"))</f>
        <v>0</v>
      </c>
      <c r="AP536" t="b">
        <f>IF(metadata!E536="",FALSE,TRUE)</f>
        <v>0</v>
      </c>
      <c r="AQ536" t="b">
        <f>OR(AND(IF(metadata!F536="",FALSE,TRUE),OR(EXACT(metadata!F536,"missing: not collected"),EXACT(metadata!F536,"missing: not provided"))),AND(IF(metadata!F536="",FALSE,TRUE),OR(EXACT(metadata!F536,"TRUE"),EXACT(metadata!F536,"FALSE"))))</f>
        <v>0</v>
      </c>
      <c r="AR536" t="b">
        <f>OR(AND(IF(metadata!G536="",FALSE,TRUE),OR(EXACT(metadata!G536,"missing: not collected"),EXACT(metadata!G536,"missing: not provided"),EXACT(metadata!G536,"missing: restricted access"))),AND(IF(metadata!G536="",FALSE,ISNUMBER(VALUE(metadata!G536))),metadata!G536&gt;=-413))</f>
        <v>0</v>
      </c>
      <c r="AS536" t="b">
        <f>AND(IF(metadata!H536="",FALSE,TRUE),EXACT(metadata!H536,"meters"))</f>
        <v>0</v>
      </c>
      <c r="AT536" t="b">
        <f>AND(IF(metadata!I536="",FALSE,TRUE),OR(EXACT(metadata!I536,"Host-associated"),EXACT(metadata!I536,"Free-living")))</f>
        <v>0</v>
      </c>
      <c r="AU536" t="b">
        <f>AND(IF(metadata!J536="",FALSE,TRUE),OR(EXACT(metadata!J536,"Animal"),EXACT(metadata!J536,"Fungus"),EXACT(metadata!J536,"Plant"),EXACT(metadata!J536,"Saline"),EXACT(metadata!J536,"Non-saline")))</f>
        <v>0</v>
      </c>
      <c r="AV536" t="b">
        <f>AND(IF(metadata!K536="",FALSE,TRUE),OR(EXACT(metadata!K536,"Plant secretion"),EXACT(metadata!K536,"Plant rhizosphere"),EXACT(metadata!K536,"Plant surface"),EXACT(metadata!K536,"Plant corpus"),EXACT(metadata!K536,"Fungus surface"),EXACT(metadata!K536,"Fungus corpus"),EXACT(metadata!K536,"Animal surface"),EXACT(metadata!K536,"Animal proximal gut"),EXACT(metadata!K536,"Animal corpus"),EXACT(metadata!K536,"Animal distal gut"),EXACT(metadata!K536,"Animal secretion"),EXACT(metadata!K536,"Sub-surface (non-saline)"),EXACT(metadata!K536,"Surface (non-saline)"),EXACT(metadata!K536,"Water (non-saline)"),EXACT(metadata!K536,"Soil (non-saline)"),EXACT(metadata!K536,"Aerosol (non-saline)"),EXACT(metadata!K536,"Sediment (non-saline)"),EXACT(metadata!K536,"Surface (saline)"),EXACT(metadata!K536,"Water (saline)"),EXACT(metadata!K536,"Hypersaline (saline)"),EXACT(metadata!K536,"Aerosol (saline)"),EXACT(metadata!K536,"Sediment (saline)")))</f>
        <v>0</v>
      </c>
      <c r="AW536" t="b">
        <f>IF(metadata!L536="",FALSE,TRUE)</f>
        <v>0</v>
      </c>
      <c r="AX536" t="b">
        <f>IF(metadata!M536="",FALSE,TRUE)</f>
        <v>0</v>
      </c>
      <c r="AY536" t="b">
        <f>IF(metadata!N536="",FALSE,TRUE)</f>
        <v>0</v>
      </c>
      <c r="AZ536" t="b">
        <f>OR(AND(IF(metadata!O536="",FALSE,TRUE),OR(EXACT(metadata!O536,"missing: not collected"),EXACT(metadata!O536,"missing: not provided"),EXACT(metadata!O536,"missing: restricted access"))),AND(IF(metadata!O536="",FALSE,TRUE),OR(EXACT(metadata!O536,"air"),EXACT(metadata!O536,"built environment"),EXACT(metadata!O536,"host-associated"),EXACT(metadata!O536,"human-associated"),EXACT(metadata!O536,"human-skin"),EXACT(metadata!O536,"human-oral"),EXACT(metadata!O536,"human-gut"),EXACT(metadata!O536,"human-vaginal"),EXACT(metadata!O536,"microbial mat/biofilm"),EXACT(metadata!O536,"misc environment"),EXACT(metadata!O536,"plant-associated"),EXACT(metadata!O536,"sediment"),EXACT(metadata!O536,"soil"),EXACT(metadata!O536,"wastewater/sludge"),EXACT(metadata!O536,"water"))))</f>
        <v>0</v>
      </c>
      <c r="BA536" t="b">
        <f>IF(metadata!P536="",FALSE,TRUE)</f>
        <v>0</v>
      </c>
      <c r="BB536" t="b">
        <f>IF(metadata!Q536="",FALSE,TRUE)</f>
        <v>0</v>
      </c>
      <c r="BC536" t="b">
        <f>OR(AND(IF(metadata!R536="",FALSE,TRUE),OR(EXACT(metadata!R536,"missing: not collected"),EXACT(metadata!R536,"missing: not provided"),EXACT(metadata!R536,"missing: restricted access"))),AND(IF(metadata!R536="",FALSE,ISNUMBER(VALUE(metadata!R536))),metadata!R536&gt;=-90,metadata!R536&lt;=90))</f>
        <v>0</v>
      </c>
      <c r="BD536" t="b">
        <f>AND(IF(metadata!S536="",FALSE,TRUE),EXACT(metadata!S536,"Decimal degrees"))</f>
        <v>0</v>
      </c>
      <c r="BE536" t="b">
        <f>OR(AND(IF(metadata!T536="",FALSE,TRUE),OR(EXACT(metadata!T536,"missing: not collected"),EXACT(metadata!T536,"missing: not provided"),EXACT(metadata!T536,"missing: restricted access"))),AND(IF(metadata!T536="",FALSE,ISNUMBER(VALUE(metadata!T536))),metadata!T536&gt;=-180,metadata!T536&lt;=180))</f>
        <v>0</v>
      </c>
      <c r="BF536" t="b">
        <f>AND(IF(metadata!U536="",FALSE,TRUE),EXACT(metadata!U536,"Decimal degrees"))</f>
        <v>0</v>
      </c>
      <c r="BG536" t="b">
        <f>IF(metadata!V536="",FALSE,TRUE)</f>
        <v>0</v>
      </c>
      <c r="BH536" t="b">
        <f>OR(AND(IF(metadata!W536="",FALSE,TRUE),OR(EXACT(metadata!W536,"missing: not collected"),EXACT(metadata!W536,"missing: not provided"),EXACT(metadata!W536,"missing: restricted access"))),AND(IF(metadata!W536="",FALSE,TRUE),OR(EXACT(metadata!W536,"TRUE"),EXACT(metadata!W536,"FALSE"))))</f>
        <v>0</v>
      </c>
      <c r="BI536" t="b">
        <f>AND(IF(metadata!X536="",FALSE,TRUE),EXACT(metadata!X536,"other"))</f>
        <v>0</v>
      </c>
      <c r="BJ536" t="b">
        <f>IF(metadata!Y536="",FALSE,TRUE)</f>
        <v>0</v>
      </c>
      <c r="BK536" t="b">
        <f>OR(AND(IF(metadata!Z536="",FALSE,TRUE),OR(EXACT(metadata!Z536,"missing: not collected"),EXACT(metadata!Z536,"missing: not provided"))),AND(IF(metadata!Z536="",FALSE,IF(ISERROR(INT(metadata!Z536)),FALSE,INT(metadata!Z536)=metadata!Z536)),metadata!Z536&gt;0))</f>
        <v>0</v>
      </c>
      <c r="BL536" t="b">
        <f>AND(IF(metadata!AA536="",FALSE,TRUE),EXACT(metadata!AA536,"Not applicable"))</f>
        <v>0</v>
      </c>
      <c r="BM536" t="b">
        <f>IF(metadata!AB536="",FALSE,TRUE)</f>
        <v>0</v>
      </c>
    </row>
    <row r="537" spans="1:65" x14ac:dyDescent="0.2">
      <c r="A537" s="5" t="str">
        <f ca="1">IF(B537=" "," ",HYPERLINK(CONCATENATE("#metadata!",ADDRESS(INDEX($AH$2:$AH$1001,MATCH(ROWS($AF$2:AF537),$AF$2:$AF$1001,0),0),1)),INDEX($AK$2:$AK$1001,MATCH(ROWS($AF$2:AF537),$AF$2:$AF$1001,0),0)))</f>
        <v xml:space="preserve"> </v>
      </c>
      <c r="B537" s="4" t="str">
        <f ca="1">IF(OR(INDEX($AG$2:$AG$1001,MATCH(ROWS($AF$2:AF537),$AF$2:$AF$1001,0),1)&gt;=100000,INDEX($AM$1005:$BM$1005,1,MATCH(COLUMNS($AM$1006:AM1006),$AM$1006:$BM$1006,0))&gt;=100000), " ",IF(INDEX($AM$2:$BM$1001,MATCH(ROWS($AF$2:AF537),$AF$2:$AF$1001,0),MATCH(COLUMNS($AM$1006:AM1006),$AM$1006:$BM$1006,0)), HYPERLINK("#",""), HYPERLINK(CONCATENATE("#metadata!", ADDRESS(INDEX($AH$2:$AH$1001,MATCH(ROWS($AF$2:AF537),$AF$2:$AF$1001,0),0), INDEX($AM$1004:$BM$1004,1,MATCH(COLUMNS($AM$1006:AM1006),$AM$1006:$BM$1006,0)))),"Fix")))</f>
        <v xml:space="preserve"> </v>
      </c>
      <c r="C537" s="4" t="str">
        <f ca="1">IF(OR(INDEX($AG$2:$AG$1001,MATCH(ROWS($AF$2:AF537),$AF$2:$AF$1001,0),1)&gt;=100000,INDEX($AM$1005:$BM$1005,1,MATCH(COLUMNS($AM$1006:AN1006),$AM$1006:$BM$1006,0))&gt;=100000), " ",IF(INDEX($AM$2:$BM$1001,MATCH(ROWS($AF$2:AF537),$AF$2:$AF$1001,0),MATCH(COLUMNS($AM$1006:AN1006),$AM$1006:$BM$1006,0)), HYPERLINK("#",""), HYPERLINK(CONCATENATE("#metadata!", ADDRESS(INDEX($AH$2:$AH$1001,MATCH(ROWS($AF$2:AF537),$AF$2:$AF$1001,0),0), INDEX($AM$1004:$BM$1004,1,MATCH(COLUMNS($AM$1006:AN1006),$AM$1006:$BM$1006,0)))),"Fix")))</f>
        <v xml:space="preserve"> </v>
      </c>
      <c r="D537" s="4" t="str">
        <f ca="1">IF(OR(INDEX($AG$2:$AG$1001,MATCH(ROWS($AF$2:AF537),$AF$2:$AF$1001,0),1)&gt;=100000,INDEX($AM$1005:$BM$1005,1,MATCH(COLUMNS($AM$1006:AO1006),$AM$1006:$BM$1006,0))&gt;=100000), " ",IF(INDEX($AM$2:$BM$1001,MATCH(ROWS($AF$2:AF537),$AF$2:$AF$1001,0),MATCH(COLUMNS($AM$1006:AO1006),$AM$1006:$BM$1006,0)), HYPERLINK("#",""), HYPERLINK(CONCATENATE("#metadata!", ADDRESS(INDEX($AH$2:$AH$1001,MATCH(ROWS($AF$2:AF537),$AF$2:$AF$1001,0),0), INDEX($AM$1004:$BM$1004,1,MATCH(COLUMNS($AM$1006:AO1006),$AM$1006:$BM$1006,0)))),"Fix")))</f>
        <v xml:space="preserve"> </v>
      </c>
      <c r="E537" s="4" t="str">
        <f ca="1">IF(OR(INDEX($AG$2:$AG$1001,MATCH(ROWS($AF$2:AF537),$AF$2:$AF$1001,0),1)&gt;=100000,INDEX($AM$1005:$BM$1005,1,MATCH(COLUMNS($AM$1006:AP1006),$AM$1006:$BM$1006,0))&gt;=100000), " ",IF(INDEX($AM$2:$BM$1001,MATCH(ROWS($AF$2:AF537),$AF$2:$AF$1001,0),MATCH(COLUMNS($AM$1006:AP1006),$AM$1006:$BM$1006,0)), HYPERLINK("#",""), HYPERLINK(CONCATENATE("#metadata!", ADDRESS(INDEX($AH$2:$AH$1001,MATCH(ROWS($AF$2:AF537),$AF$2:$AF$1001,0),0), INDEX($AM$1004:$BM$1004,1,MATCH(COLUMNS($AM$1006:AP1006),$AM$1006:$BM$1006,0)))),"Fix")))</f>
        <v xml:space="preserve"> </v>
      </c>
      <c r="F537" s="4" t="str">
        <f ca="1">IF(OR(INDEX($AG$2:$AG$1001,MATCH(ROWS($AF$2:AF537),$AF$2:$AF$1001,0),1)&gt;=100000,INDEX($AM$1005:$BM$1005,1,MATCH(COLUMNS($AM$1006:AQ1006),$AM$1006:$BM$1006,0))&gt;=100000), " ",IF(INDEX($AM$2:$BM$1001,MATCH(ROWS($AF$2:AF537),$AF$2:$AF$1001,0),MATCH(COLUMNS($AM$1006:AQ1006),$AM$1006:$BM$1006,0)), HYPERLINK("#",""), HYPERLINK(CONCATENATE("#metadata!", ADDRESS(INDEX($AH$2:$AH$1001,MATCH(ROWS($AF$2:AF537),$AF$2:$AF$1001,0),0), INDEX($AM$1004:$BM$1004,1,MATCH(COLUMNS($AM$1006:AQ1006),$AM$1006:$BM$1006,0)))),"Fix")))</f>
        <v xml:space="preserve"> </v>
      </c>
      <c r="G537" s="4" t="str">
        <f ca="1">IF(OR(INDEX($AG$2:$AG$1001,MATCH(ROWS($AF$2:AF537),$AF$2:$AF$1001,0),1)&gt;=100000,INDEX($AM$1005:$BM$1005,1,MATCH(COLUMNS($AM$1006:AR1006),$AM$1006:$BM$1006,0))&gt;=100000), " ",IF(INDEX($AM$2:$BM$1001,MATCH(ROWS($AF$2:AF537),$AF$2:$AF$1001,0),MATCH(COLUMNS($AM$1006:AR1006),$AM$1006:$BM$1006,0)), HYPERLINK("#",""), HYPERLINK(CONCATENATE("#metadata!", ADDRESS(INDEX($AH$2:$AH$1001,MATCH(ROWS($AF$2:AF537),$AF$2:$AF$1001,0),0), INDEX($AM$1004:$BM$1004,1,MATCH(COLUMNS($AM$1006:AR1006),$AM$1006:$BM$1006,0)))),"Fix")))</f>
        <v xml:space="preserve"> </v>
      </c>
      <c r="H537" s="4" t="str">
        <f ca="1">IF(OR(INDEX($AG$2:$AG$1001,MATCH(ROWS($AF$2:AF537),$AF$2:$AF$1001,0),1)&gt;=100000,INDEX($AM$1005:$BM$1005,1,MATCH(COLUMNS($AM$1006:AS1006),$AM$1006:$BM$1006,0))&gt;=100000), " ",IF(INDEX($AM$2:$BM$1001,MATCH(ROWS($AF$2:AF537),$AF$2:$AF$1001,0),MATCH(COLUMNS($AM$1006:AS1006),$AM$1006:$BM$1006,0)), HYPERLINK("#",""), HYPERLINK(CONCATENATE("#metadata!", ADDRESS(INDEX($AH$2:$AH$1001,MATCH(ROWS($AF$2:AF537),$AF$2:$AF$1001,0),0), INDEX($AM$1004:$BM$1004,1,MATCH(COLUMNS($AM$1006:AS1006),$AM$1006:$BM$1006,0)))),"Fix")))</f>
        <v xml:space="preserve"> </v>
      </c>
      <c r="I537" s="4" t="str">
        <f ca="1">IF(OR(INDEX($AG$2:$AG$1001,MATCH(ROWS($AF$2:AF537),$AF$2:$AF$1001,0),1)&gt;=100000,INDEX($AM$1005:$BM$1005,1,MATCH(COLUMNS($AM$1006:AT1006),$AM$1006:$BM$1006,0))&gt;=100000), " ",IF(INDEX($AM$2:$BM$1001,MATCH(ROWS($AF$2:AF537),$AF$2:$AF$1001,0),MATCH(COLUMNS($AM$1006:AT1006),$AM$1006:$BM$1006,0)), HYPERLINK("#",""), HYPERLINK(CONCATENATE("#metadata!", ADDRESS(INDEX($AH$2:$AH$1001,MATCH(ROWS($AF$2:AF537),$AF$2:$AF$1001,0),0), INDEX($AM$1004:$BM$1004,1,MATCH(COLUMNS($AM$1006:AT1006),$AM$1006:$BM$1006,0)))),"Fix")))</f>
        <v xml:space="preserve"> </v>
      </c>
      <c r="J537" s="4" t="str">
        <f ca="1">IF(OR(INDEX($AG$2:$AG$1001,MATCH(ROWS($AF$2:AF537),$AF$2:$AF$1001,0),1)&gt;=100000,INDEX($AM$1005:$BM$1005,1,MATCH(COLUMNS($AM$1006:AU1006),$AM$1006:$BM$1006,0))&gt;=100000), " ",IF(INDEX($AM$2:$BM$1001,MATCH(ROWS($AF$2:AF537),$AF$2:$AF$1001,0),MATCH(COLUMNS($AM$1006:AU1006),$AM$1006:$BM$1006,0)), HYPERLINK("#",""), HYPERLINK(CONCATENATE("#metadata!", ADDRESS(INDEX($AH$2:$AH$1001,MATCH(ROWS($AF$2:AF537),$AF$2:$AF$1001,0),0), INDEX($AM$1004:$BM$1004,1,MATCH(COLUMNS($AM$1006:AU1006),$AM$1006:$BM$1006,0)))),"Fix")))</f>
        <v xml:space="preserve"> </v>
      </c>
      <c r="K537" s="4" t="str">
        <f ca="1">IF(OR(INDEX($AG$2:$AG$1001,MATCH(ROWS($AF$2:AF537),$AF$2:$AF$1001,0),1)&gt;=100000,INDEX($AM$1005:$BM$1005,1,MATCH(COLUMNS($AM$1006:AV1006),$AM$1006:$BM$1006,0))&gt;=100000), " ",IF(INDEX($AM$2:$BM$1001,MATCH(ROWS($AF$2:AF537),$AF$2:$AF$1001,0),MATCH(COLUMNS($AM$1006:AV1006),$AM$1006:$BM$1006,0)), HYPERLINK("#",""), HYPERLINK(CONCATENATE("#metadata!", ADDRESS(INDEX($AH$2:$AH$1001,MATCH(ROWS($AF$2:AF537),$AF$2:$AF$1001,0),0), INDEX($AM$1004:$BM$1004,1,MATCH(COLUMNS($AM$1006:AV1006),$AM$1006:$BM$1006,0)))),"Fix")))</f>
        <v xml:space="preserve"> </v>
      </c>
      <c r="L537" s="4" t="str">
        <f ca="1">IF(OR(INDEX($AG$2:$AG$1001,MATCH(ROWS($AF$2:AF537),$AF$2:$AF$1001,0),1)&gt;=100000,INDEX($AM$1005:$BM$1005,1,MATCH(COLUMNS($AM$1006:AW1006),$AM$1006:$BM$1006,0))&gt;=100000), " ",IF(INDEX($AM$2:$BM$1001,MATCH(ROWS($AF$2:AF537),$AF$2:$AF$1001,0),MATCH(COLUMNS($AM$1006:AW1006),$AM$1006:$BM$1006,0)), HYPERLINK("#",""), HYPERLINK(CONCATENATE("#metadata!", ADDRESS(INDEX($AH$2:$AH$1001,MATCH(ROWS($AF$2:AF537),$AF$2:$AF$1001,0),0), INDEX($AM$1004:$BM$1004,1,MATCH(COLUMNS($AM$1006:AW1006),$AM$1006:$BM$1006,0)))),"Fix")))</f>
        <v xml:space="preserve"> </v>
      </c>
      <c r="M537" s="4" t="str">
        <f ca="1">IF(OR(INDEX($AG$2:$AG$1001,MATCH(ROWS($AF$2:AF537),$AF$2:$AF$1001,0),1)&gt;=100000,INDEX($AM$1005:$BM$1005,1,MATCH(COLUMNS($AM$1006:AX1006),$AM$1006:$BM$1006,0))&gt;=100000), " ",IF(INDEX($AM$2:$BM$1001,MATCH(ROWS($AF$2:AF537),$AF$2:$AF$1001,0),MATCH(COLUMNS($AM$1006:AX1006),$AM$1006:$BM$1006,0)), HYPERLINK("#",""), HYPERLINK(CONCATENATE("#metadata!", ADDRESS(INDEX($AH$2:$AH$1001,MATCH(ROWS($AF$2:AF537),$AF$2:$AF$1001,0),0), INDEX($AM$1004:$BM$1004,1,MATCH(COLUMNS($AM$1006:AX1006),$AM$1006:$BM$1006,0)))),"Fix")))</f>
        <v xml:space="preserve"> </v>
      </c>
      <c r="N537" s="4" t="str">
        <f ca="1">IF(OR(INDEX($AG$2:$AG$1001,MATCH(ROWS($AF$2:AF537),$AF$2:$AF$1001,0),1)&gt;=100000,INDEX($AM$1005:$BM$1005,1,MATCH(COLUMNS($AM$1006:AY1006),$AM$1006:$BM$1006,0))&gt;=100000), " ",IF(INDEX($AM$2:$BM$1001,MATCH(ROWS($AF$2:AF537),$AF$2:$AF$1001,0),MATCH(COLUMNS($AM$1006:AY1006),$AM$1006:$BM$1006,0)), HYPERLINK("#",""), HYPERLINK(CONCATENATE("#metadata!", ADDRESS(INDEX($AH$2:$AH$1001,MATCH(ROWS($AF$2:AF537),$AF$2:$AF$1001,0),0), INDEX($AM$1004:$BM$1004,1,MATCH(COLUMNS($AM$1006:AY1006),$AM$1006:$BM$1006,0)))),"Fix")))</f>
        <v xml:space="preserve"> </v>
      </c>
      <c r="O537" s="4" t="str">
        <f ca="1">IF(OR(INDEX($AG$2:$AG$1001,MATCH(ROWS($AF$2:AF537),$AF$2:$AF$1001,0),1)&gt;=100000,INDEX($AM$1005:$BM$1005,1,MATCH(COLUMNS($AM$1006:AZ1006),$AM$1006:$BM$1006,0))&gt;=100000), " ",IF(INDEX($AM$2:$BM$1001,MATCH(ROWS($AF$2:AF537),$AF$2:$AF$1001,0),MATCH(COLUMNS($AM$1006:AZ1006),$AM$1006:$BM$1006,0)), HYPERLINK("#",""), HYPERLINK(CONCATENATE("#metadata!", ADDRESS(INDEX($AH$2:$AH$1001,MATCH(ROWS($AF$2:AF537),$AF$2:$AF$1001,0),0), INDEX($AM$1004:$BM$1004,1,MATCH(COLUMNS($AM$1006:AZ1006),$AM$1006:$BM$1006,0)))),"Fix")))</f>
        <v xml:space="preserve"> </v>
      </c>
      <c r="P537" s="4" t="str">
        <f ca="1">IF(OR(INDEX($AG$2:$AG$1001,MATCH(ROWS($AF$2:AF537),$AF$2:$AF$1001,0),1)&gt;=100000,INDEX($AM$1005:$BM$1005,1,MATCH(COLUMNS($AM$1006:BA1006),$AM$1006:$BM$1006,0))&gt;=100000), " ",IF(INDEX($AM$2:$BM$1001,MATCH(ROWS($AF$2:AF537),$AF$2:$AF$1001,0),MATCH(COLUMNS($AM$1006:BA1006),$AM$1006:$BM$1006,0)), HYPERLINK("#",""), HYPERLINK(CONCATENATE("#metadata!", ADDRESS(INDEX($AH$2:$AH$1001,MATCH(ROWS($AF$2:AF537),$AF$2:$AF$1001,0),0), INDEX($AM$1004:$BM$1004,1,MATCH(COLUMNS($AM$1006:BA1006),$AM$1006:$BM$1006,0)))),"Fix")))</f>
        <v xml:space="preserve"> </v>
      </c>
      <c r="Q537" s="4" t="str">
        <f ca="1">IF(OR(INDEX($AG$2:$AG$1001,MATCH(ROWS($AF$2:AF537),$AF$2:$AF$1001,0),1)&gt;=100000,INDEX($AM$1005:$BM$1005,1,MATCH(COLUMNS($AM$1006:BB1006),$AM$1006:$BM$1006,0))&gt;=100000), " ",IF(INDEX($AM$2:$BM$1001,MATCH(ROWS($AF$2:AF537),$AF$2:$AF$1001,0),MATCH(COLUMNS($AM$1006:BB1006),$AM$1006:$BM$1006,0)), HYPERLINK("#",""), HYPERLINK(CONCATENATE("#metadata!", ADDRESS(INDEX($AH$2:$AH$1001,MATCH(ROWS($AF$2:AF537),$AF$2:$AF$1001,0),0), INDEX($AM$1004:$BM$1004,1,MATCH(COLUMNS($AM$1006:BB1006),$AM$1006:$BM$1006,0)))),"Fix")))</f>
        <v xml:space="preserve"> </v>
      </c>
      <c r="R537" s="4" t="str">
        <f ca="1">IF(OR(INDEX($AG$2:$AG$1001,MATCH(ROWS($AF$2:AF537),$AF$2:$AF$1001,0),1)&gt;=100000,INDEX($AM$1005:$BM$1005,1,MATCH(COLUMNS($AM$1006:BC1006),$AM$1006:$BM$1006,0))&gt;=100000), " ",IF(INDEX($AM$2:$BM$1001,MATCH(ROWS($AF$2:AF537),$AF$2:$AF$1001,0),MATCH(COLUMNS($AM$1006:BC1006),$AM$1006:$BM$1006,0)), HYPERLINK("#",""), HYPERLINK(CONCATENATE("#metadata!", ADDRESS(INDEX($AH$2:$AH$1001,MATCH(ROWS($AF$2:AF537),$AF$2:$AF$1001,0),0), INDEX($AM$1004:$BM$1004,1,MATCH(COLUMNS($AM$1006:BC1006),$AM$1006:$BM$1006,0)))),"Fix")))</f>
        <v xml:space="preserve"> </v>
      </c>
      <c r="S537" s="4" t="str">
        <f ca="1">IF(OR(INDEX($AG$2:$AG$1001,MATCH(ROWS($AF$2:AF537),$AF$2:$AF$1001,0),1)&gt;=100000,INDEX($AM$1005:$BM$1005,1,MATCH(COLUMNS($AM$1006:BD1006),$AM$1006:$BM$1006,0))&gt;=100000), " ",IF(INDEX($AM$2:$BM$1001,MATCH(ROWS($AF$2:AF537),$AF$2:$AF$1001,0),MATCH(COLUMNS($AM$1006:BD1006),$AM$1006:$BM$1006,0)), HYPERLINK("#",""), HYPERLINK(CONCATENATE("#metadata!", ADDRESS(INDEX($AH$2:$AH$1001,MATCH(ROWS($AF$2:AF537),$AF$2:$AF$1001,0),0), INDEX($AM$1004:$BM$1004,1,MATCH(COLUMNS($AM$1006:BD1006),$AM$1006:$BM$1006,0)))),"Fix")))</f>
        <v xml:space="preserve"> </v>
      </c>
      <c r="T537" s="4" t="str">
        <f ca="1">IF(OR(INDEX($AG$2:$AG$1001,MATCH(ROWS($AF$2:AF537),$AF$2:$AF$1001,0),1)&gt;=100000,INDEX($AM$1005:$BM$1005,1,MATCH(COLUMNS($AM$1006:BE1006),$AM$1006:$BM$1006,0))&gt;=100000), " ",IF(INDEX($AM$2:$BM$1001,MATCH(ROWS($AF$2:AF537),$AF$2:$AF$1001,0),MATCH(COLUMNS($AM$1006:BE1006),$AM$1006:$BM$1006,0)), HYPERLINK("#",""), HYPERLINK(CONCATENATE("#metadata!", ADDRESS(INDEX($AH$2:$AH$1001,MATCH(ROWS($AF$2:AF537),$AF$2:$AF$1001,0),0), INDEX($AM$1004:$BM$1004,1,MATCH(COLUMNS($AM$1006:BE1006),$AM$1006:$BM$1006,0)))),"Fix")))</f>
        <v xml:space="preserve"> </v>
      </c>
      <c r="U537" s="4" t="str">
        <f ca="1">IF(OR(INDEX($AG$2:$AG$1001,MATCH(ROWS($AF$2:AF537),$AF$2:$AF$1001,0),1)&gt;=100000,INDEX($AM$1005:$BM$1005,1,MATCH(COLUMNS($AM$1006:BF1006),$AM$1006:$BM$1006,0))&gt;=100000), " ",IF(INDEX($AM$2:$BM$1001,MATCH(ROWS($AF$2:AF537),$AF$2:$AF$1001,0),MATCH(COLUMNS($AM$1006:BF1006),$AM$1006:$BM$1006,0)), HYPERLINK("#",""), HYPERLINK(CONCATENATE("#metadata!", ADDRESS(INDEX($AH$2:$AH$1001,MATCH(ROWS($AF$2:AF537),$AF$2:$AF$1001,0),0), INDEX($AM$1004:$BM$1004,1,MATCH(COLUMNS($AM$1006:BF1006),$AM$1006:$BM$1006,0)))),"Fix")))</f>
        <v xml:space="preserve"> </v>
      </c>
      <c r="V537" s="4" t="str">
        <f ca="1">IF(OR(INDEX($AG$2:$AG$1001,MATCH(ROWS($AF$2:AF537),$AF$2:$AF$1001,0),1)&gt;=100000,INDEX($AM$1005:$BM$1005,1,MATCH(COLUMNS($AM$1006:BG1006),$AM$1006:$BM$1006,0))&gt;=100000), " ",IF(INDEX($AM$2:$BM$1001,MATCH(ROWS($AF$2:AF537),$AF$2:$AF$1001,0),MATCH(COLUMNS($AM$1006:BG1006),$AM$1006:$BM$1006,0)), HYPERLINK("#",""), HYPERLINK(CONCATENATE("#metadata!", ADDRESS(INDEX($AH$2:$AH$1001,MATCH(ROWS($AF$2:AF537),$AF$2:$AF$1001,0),0), INDEX($AM$1004:$BM$1004,1,MATCH(COLUMNS($AM$1006:BG1006),$AM$1006:$BM$1006,0)))),"Fix")))</f>
        <v xml:space="preserve"> </v>
      </c>
      <c r="W537" s="4" t="str">
        <f ca="1">IF(OR(INDEX($AG$2:$AG$1001,MATCH(ROWS($AF$2:AF537),$AF$2:$AF$1001,0),1)&gt;=100000,INDEX($AM$1005:$BM$1005,1,MATCH(COLUMNS($AM$1006:BH1006),$AM$1006:$BM$1006,0))&gt;=100000), " ",IF(INDEX($AM$2:$BM$1001,MATCH(ROWS($AF$2:AF537),$AF$2:$AF$1001,0),MATCH(COLUMNS($AM$1006:BH1006),$AM$1006:$BM$1006,0)), HYPERLINK("#",""), HYPERLINK(CONCATENATE("#metadata!", ADDRESS(INDEX($AH$2:$AH$1001,MATCH(ROWS($AF$2:AF537),$AF$2:$AF$1001,0),0), INDEX($AM$1004:$BM$1004,1,MATCH(COLUMNS($AM$1006:BH1006),$AM$1006:$BM$1006,0)))),"Fix")))</f>
        <v xml:space="preserve"> </v>
      </c>
      <c r="X537" s="4" t="str">
        <f ca="1">IF(OR(INDEX($AG$2:$AG$1001,MATCH(ROWS($AF$2:AF537),$AF$2:$AF$1001,0),1)&gt;=100000,INDEX($AM$1005:$BM$1005,1,MATCH(COLUMNS($AM$1006:BI1006),$AM$1006:$BM$1006,0))&gt;=100000), " ",IF(INDEX($AM$2:$BM$1001,MATCH(ROWS($AF$2:AF537),$AF$2:$AF$1001,0),MATCH(COLUMNS($AM$1006:BI1006),$AM$1006:$BM$1006,0)), HYPERLINK("#",""), HYPERLINK(CONCATENATE("#metadata!", ADDRESS(INDEX($AH$2:$AH$1001,MATCH(ROWS($AF$2:AF537),$AF$2:$AF$1001,0),0), INDEX($AM$1004:$BM$1004,1,MATCH(COLUMNS($AM$1006:BI1006),$AM$1006:$BM$1006,0)))),"Fix")))</f>
        <v xml:space="preserve"> </v>
      </c>
      <c r="Y537" s="4" t="str">
        <f ca="1">IF(OR(INDEX($AG$2:$AG$1001,MATCH(ROWS($AF$2:AF537),$AF$2:$AF$1001,0),1)&gt;=100000,INDEX($AM$1005:$BM$1005,1,MATCH(COLUMNS($AM$1006:BJ1006),$AM$1006:$BM$1006,0))&gt;=100000), " ",IF(INDEX($AM$2:$BM$1001,MATCH(ROWS($AF$2:AF537),$AF$2:$AF$1001,0),MATCH(COLUMNS($AM$1006:BJ1006),$AM$1006:$BM$1006,0)), HYPERLINK("#",""), HYPERLINK(CONCATENATE("#metadata!", ADDRESS(INDEX($AH$2:$AH$1001,MATCH(ROWS($AF$2:AF537),$AF$2:$AF$1001,0),0), INDEX($AM$1004:$BM$1004,1,MATCH(COLUMNS($AM$1006:BJ1006),$AM$1006:$BM$1006,0)))),"Fix")))</f>
        <v xml:space="preserve"> </v>
      </c>
      <c r="Z537" s="4" t="str">
        <f ca="1">IF(OR(INDEX($AG$2:$AG$1001,MATCH(ROWS($AF$2:AF537),$AF$2:$AF$1001,0),1)&gt;=100000,INDEX($AM$1005:$BM$1005,1,MATCH(COLUMNS($AM$1006:BK1006),$AM$1006:$BM$1006,0))&gt;=100000), " ",IF(INDEX($AM$2:$BM$1001,MATCH(ROWS($AF$2:AF537),$AF$2:$AF$1001,0),MATCH(COLUMNS($AM$1006:BK1006),$AM$1006:$BM$1006,0)), HYPERLINK("#",""), HYPERLINK(CONCATENATE("#metadata!", ADDRESS(INDEX($AH$2:$AH$1001,MATCH(ROWS($AF$2:AF537),$AF$2:$AF$1001,0),0), INDEX($AM$1004:$BM$1004,1,MATCH(COLUMNS($AM$1006:BK1006),$AM$1006:$BM$1006,0)))),"Fix")))</f>
        <v xml:space="preserve"> </v>
      </c>
      <c r="AA537" s="4" t="str">
        <f ca="1">IF(OR(INDEX($AG$2:$AG$1001,MATCH(ROWS($AF$2:AF537),$AF$2:$AF$1001,0),1)&gt;=100000,INDEX($AM$1005:$BM$1005,1,MATCH(COLUMNS($AM$1006:BL1006),$AM$1006:$BM$1006,0))&gt;=100000), " ",IF(INDEX($AM$2:$BM$1001,MATCH(ROWS($AF$2:AF537),$AF$2:$AF$1001,0),MATCH(COLUMNS($AM$1006:BL1006),$AM$1006:$BM$1006,0)), HYPERLINK("#",""), HYPERLINK(CONCATENATE("#metadata!", ADDRESS(INDEX($AH$2:$AH$1001,MATCH(ROWS($AF$2:AF537),$AF$2:$AF$1001,0),0), INDEX($AM$1004:$BM$1004,1,MATCH(COLUMNS($AM$1006:BL1006),$AM$1006:$BM$1006,0)))),"Fix")))</f>
        <v xml:space="preserve"> </v>
      </c>
      <c r="AB537" s="4" t="str">
        <f ca="1">IF(OR(INDEX($AG$2:$AG$1001,MATCH(ROWS($AF$2:AF537),$AF$2:$AF$1001,0),1)&gt;=100000,INDEX($AM$1005:$BM$1005,1,MATCH(COLUMNS($AM$1006:BM1006),$AM$1006:$BM$1006,0))&gt;=100000), " ",IF(INDEX($AM$2:$BM$1001,MATCH(ROWS($AF$2:AF537),$AF$2:$AF$1001,0),MATCH(COLUMNS($AM$1006:BM1006),$AM$1006:$BM$1006,0)), HYPERLINK("#",""), HYPERLINK(CONCATENATE("#metadata!", ADDRESS(INDEX($AH$2:$AH$1001,MATCH(ROWS($AF$2:AF537),$AF$2:$AF$1001,0),0), INDEX($AM$1004:$BM$1004,1,MATCH(COLUMNS($AM$1006:BM1006),$AM$1006:$BM$1006,0)))),"Fix")))</f>
        <v xml:space="preserve"> </v>
      </c>
      <c r="AF537">
        <v>536</v>
      </c>
      <c r="AG537">
        <v>100537</v>
      </c>
      <c r="AH537">
        <v>537</v>
      </c>
      <c r="AI537" t="b">
        <f t="shared" si="8"/>
        <v>1</v>
      </c>
      <c r="AJ537" t="b">
        <f>COUNTBLANK(metadata!B537:AB537)=COLUMNS(metadata!B537:AB537)</f>
        <v>1</v>
      </c>
      <c r="AK537" t="str">
        <v/>
      </c>
      <c r="AM537" t="b">
        <f ca="1">AND(IF(metadata!B537="",FALSE,TRUE),COUNTIF(metadata!B:B, metadata!B537) = 1,NOT(ISERROR(SUMPRODUCT(SEARCH(MID(metadata!B537,ROW(INDIRECT("1:"&amp;LEN(metadata!B537))), 1),"0123456789abcdefghijklmnopqrstuvwxyzABCDEFGHIJKLMNOPQRSTUVWXYZ.")))))</f>
        <v>0</v>
      </c>
      <c r="AN537" t="b">
        <f ca="1">OR(AND(IF(metadata!C537="",FALSE,TRUE),OR(EXACT(metadata!C537,"missing: not collected"),EXACT(metadata!C537,"missing: not provided"),EXACT(metadata!C537,"missing: restricted access"))),AND(IF(metadata!C537="",FALSE,TRUE),AND(AND(IFERROR(INT(LEFT(metadata!C537,4))&gt;1900,FALSE),IFERROR(INT(LEFT(metadata!C537,4))&lt;=YEAR(NOW()),FALSE)), OR(MID(metadata!C537,5,1)="", AND(AND(MID(metadata!C537,5,1)="-",IFERROR(INT(MID(metadata!C537,6,1))&gt;=0,FALSE),IFERROR(INT(MID(metadata!C537,6,1))&lt;=1,FALSE),NOT(MID(metadata!C537,7,1)=""),IFERROR(INT(MID(metadata!C537,6,2))&gt;=1,FALSE),IFERROR(INT(MID(metadata!C537,6,2))&lt;=12,FALSE)), OR(MID(metadata!C537,8,1)="", AND(AND(MID(metadata!C537,8,1)="-",IFERROR(INT(MID(metadata!C537,9,1))&gt;=0,FALSE),IFERROR(INT(MID(metadata!C537,9,1))&lt;=3,FALSE),NOT(MID(metadata!C537,10,1)=""),IFERROR(INT(MID(metadata!C537,9,2))&gt;=1,FALSE),IFERROR(INT(MID(metadata!C537,9,2))&lt;=31,FALSE)), OR(MID(metadata!C537,11,1)="", AND(AND(MID(metadata!C537,11,1)=" ",IFERROR(INT(MID(metadata!C537,12,1))&gt;=0,FALSE),IFERROR(INT(MID(metadata!C537,12,1))&lt;=2,FALSE),NOT(MID(metadata!C537,13,1)=""),IFERROR(INT(MID(metadata!C537,12,2))&gt;=0,FALSE),IFERROR(INT(MID(metadata!C537,12,2))&lt;=23,FALSE)), OR(MID(metadata!C537,14,1)="", AND(AND(MID(metadata!C537,14,1)=":",IFERROR(INT(MID(metadata!C537,15,1))&gt;=0,FALSE),IFERROR(INT(MID(metadata!C537,15,1))&lt;=5,FALSE),NOT(MID(metadata!C537,16,1)=""),IFERROR(INT(MID(metadata!C537,15,2))&gt;=0,FALSE),IFERROR(INT(MID(metadata!C537,15,2))&lt;=59,FALSE)), OR(MID(metadata!C537,17,1)="", AND(AND(MID(metadata!C537,17,1)=":",IFERROR(INT(MID(metadata!C537,18,1))&gt;=0,FALSE),IFERROR(INT(MID(metadata!C537,18,1))&lt;=5,FALSE),NOT(MID(metadata!C537,19,1)=""),IFERROR(INT(MID(metadata!C537,18,2))&gt;=0,FALSE),IFERROR(INT(MID(metadata!C537,18,2))&lt;=59,FALSE)), LEN(metadata!C537)&lt;=19)))))))))))))</f>
        <v>0</v>
      </c>
      <c r="AO537" t="b">
        <f>AND(IF(metadata!D537="",FALSE,TRUE),EXACT(metadata!D537,"Not applicable"))</f>
        <v>0</v>
      </c>
      <c r="AP537" t="b">
        <f>IF(metadata!E537="",FALSE,TRUE)</f>
        <v>0</v>
      </c>
      <c r="AQ537" t="b">
        <f>OR(AND(IF(metadata!F537="",FALSE,TRUE),OR(EXACT(metadata!F537,"missing: not collected"),EXACT(metadata!F537,"missing: not provided"))),AND(IF(metadata!F537="",FALSE,TRUE),OR(EXACT(metadata!F537,"TRUE"),EXACT(metadata!F537,"FALSE"))))</f>
        <v>0</v>
      </c>
      <c r="AR537" t="b">
        <f>OR(AND(IF(metadata!G537="",FALSE,TRUE),OR(EXACT(metadata!G537,"missing: not collected"),EXACT(metadata!G537,"missing: not provided"),EXACT(metadata!G537,"missing: restricted access"))),AND(IF(metadata!G537="",FALSE,ISNUMBER(VALUE(metadata!G537))),metadata!G537&gt;=-413))</f>
        <v>0</v>
      </c>
      <c r="AS537" t="b">
        <f>AND(IF(metadata!H537="",FALSE,TRUE),EXACT(metadata!H537,"meters"))</f>
        <v>0</v>
      </c>
      <c r="AT537" t="b">
        <f>AND(IF(metadata!I537="",FALSE,TRUE),OR(EXACT(metadata!I537,"Host-associated"),EXACT(metadata!I537,"Free-living")))</f>
        <v>0</v>
      </c>
      <c r="AU537" t="b">
        <f>AND(IF(metadata!J537="",FALSE,TRUE),OR(EXACT(metadata!J537,"Animal"),EXACT(metadata!J537,"Fungus"),EXACT(metadata!J537,"Plant"),EXACT(metadata!J537,"Saline"),EXACT(metadata!J537,"Non-saline")))</f>
        <v>0</v>
      </c>
      <c r="AV537" t="b">
        <f>AND(IF(metadata!K537="",FALSE,TRUE),OR(EXACT(metadata!K537,"Plant secretion"),EXACT(metadata!K537,"Plant rhizosphere"),EXACT(metadata!K537,"Plant surface"),EXACT(metadata!K537,"Plant corpus"),EXACT(metadata!K537,"Fungus surface"),EXACT(metadata!K537,"Fungus corpus"),EXACT(metadata!K537,"Animal surface"),EXACT(metadata!K537,"Animal proximal gut"),EXACT(metadata!K537,"Animal corpus"),EXACT(metadata!K537,"Animal distal gut"),EXACT(metadata!K537,"Animal secretion"),EXACT(metadata!K537,"Sub-surface (non-saline)"),EXACT(metadata!K537,"Surface (non-saline)"),EXACT(metadata!K537,"Water (non-saline)"),EXACT(metadata!K537,"Soil (non-saline)"),EXACT(metadata!K537,"Aerosol (non-saline)"),EXACT(metadata!K537,"Sediment (non-saline)"),EXACT(metadata!K537,"Surface (saline)"),EXACT(metadata!K537,"Water (saline)"),EXACT(metadata!K537,"Hypersaline (saline)"),EXACT(metadata!K537,"Aerosol (saline)"),EXACT(metadata!K537,"Sediment (saline)")))</f>
        <v>0</v>
      </c>
      <c r="AW537" t="b">
        <f>IF(metadata!L537="",FALSE,TRUE)</f>
        <v>0</v>
      </c>
      <c r="AX537" t="b">
        <f>IF(metadata!M537="",FALSE,TRUE)</f>
        <v>0</v>
      </c>
      <c r="AY537" t="b">
        <f>IF(metadata!N537="",FALSE,TRUE)</f>
        <v>0</v>
      </c>
      <c r="AZ537" t="b">
        <f>OR(AND(IF(metadata!O537="",FALSE,TRUE),OR(EXACT(metadata!O537,"missing: not collected"),EXACT(metadata!O537,"missing: not provided"),EXACT(metadata!O537,"missing: restricted access"))),AND(IF(metadata!O537="",FALSE,TRUE),OR(EXACT(metadata!O537,"air"),EXACT(metadata!O537,"built environment"),EXACT(metadata!O537,"host-associated"),EXACT(metadata!O537,"human-associated"),EXACT(metadata!O537,"human-skin"),EXACT(metadata!O537,"human-oral"),EXACT(metadata!O537,"human-gut"),EXACT(metadata!O537,"human-vaginal"),EXACT(metadata!O537,"microbial mat/biofilm"),EXACT(metadata!O537,"misc environment"),EXACT(metadata!O537,"plant-associated"),EXACT(metadata!O537,"sediment"),EXACT(metadata!O537,"soil"),EXACT(metadata!O537,"wastewater/sludge"),EXACT(metadata!O537,"water"))))</f>
        <v>0</v>
      </c>
      <c r="BA537" t="b">
        <f>IF(metadata!P537="",FALSE,TRUE)</f>
        <v>0</v>
      </c>
      <c r="BB537" t="b">
        <f>IF(metadata!Q537="",FALSE,TRUE)</f>
        <v>0</v>
      </c>
      <c r="BC537" t="b">
        <f>OR(AND(IF(metadata!R537="",FALSE,TRUE),OR(EXACT(metadata!R537,"missing: not collected"),EXACT(metadata!R537,"missing: not provided"),EXACT(metadata!R537,"missing: restricted access"))),AND(IF(metadata!R537="",FALSE,ISNUMBER(VALUE(metadata!R537))),metadata!R537&gt;=-90,metadata!R537&lt;=90))</f>
        <v>0</v>
      </c>
      <c r="BD537" t="b">
        <f>AND(IF(metadata!S537="",FALSE,TRUE),EXACT(metadata!S537,"Decimal degrees"))</f>
        <v>0</v>
      </c>
      <c r="BE537" t="b">
        <f>OR(AND(IF(metadata!T537="",FALSE,TRUE),OR(EXACT(metadata!T537,"missing: not collected"),EXACT(metadata!T537,"missing: not provided"),EXACT(metadata!T537,"missing: restricted access"))),AND(IF(metadata!T537="",FALSE,ISNUMBER(VALUE(metadata!T537))),metadata!T537&gt;=-180,metadata!T537&lt;=180))</f>
        <v>0</v>
      </c>
      <c r="BF537" t="b">
        <f>AND(IF(metadata!U537="",FALSE,TRUE),EXACT(metadata!U537,"Decimal degrees"))</f>
        <v>0</v>
      </c>
      <c r="BG537" t="b">
        <f>IF(metadata!V537="",FALSE,TRUE)</f>
        <v>0</v>
      </c>
      <c r="BH537" t="b">
        <f>OR(AND(IF(metadata!W537="",FALSE,TRUE),OR(EXACT(metadata!W537,"missing: not collected"),EXACT(metadata!W537,"missing: not provided"),EXACT(metadata!W537,"missing: restricted access"))),AND(IF(metadata!W537="",FALSE,TRUE),OR(EXACT(metadata!W537,"TRUE"),EXACT(metadata!W537,"FALSE"))))</f>
        <v>0</v>
      </c>
      <c r="BI537" t="b">
        <f>AND(IF(metadata!X537="",FALSE,TRUE),EXACT(metadata!X537,"other"))</f>
        <v>0</v>
      </c>
      <c r="BJ537" t="b">
        <f>IF(metadata!Y537="",FALSE,TRUE)</f>
        <v>0</v>
      </c>
      <c r="BK537" t="b">
        <f>OR(AND(IF(metadata!Z537="",FALSE,TRUE),OR(EXACT(metadata!Z537,"missing: not collected"),EXACT(metadata!Z537,"missing: not provided"))),AND(IF(metadata!Z537="",FALSE,IF(ISERROR(INT(metadata!Z537)),FALSE,INT(metadata!Z537)=metadata!Z537)),metadata!Z537&gt;0))</f>
        <v>0</v>
      </c>
      <c r="BL537" t="b">
        <f>AND(IF(metadata!AA537="",FALSE,TRUE),EXACT(metadata!AA537,"Not applicable"))</f>
        <v>0</v>
      </c>
      <c r="BM537" t="b">
        <f>IF(metadata!AB537="",FALSE,TRUE)</f>
        <v>0</v>
      </c>
    </row>
    <row r="538" spans="1:65" x14ac:dyDescent="0.2">
      <c r="A538" s="5" t="str">
        <f ca="1">IF(B538=" "," ",HYPERLINK(CONCATENATE("#metadata!",ADDRESS(INDEX($AH$2:$AH$1001,MATCH(ROWS($AF$2:AF538),$AF$2:$AF$1001,0),0),1)),INDEX($AK$2:$AK$1001,MATCH(ROWS($AF$2:AF538),$AF$2:$AF$1001,0),0)))</f>
        <v xml:space="preserve"> </v>
      </c>
      <c r="B538" s="4" t="str">
        <f ca="1">IF(OR(INDEX($AG$2:$AG$1001,MATCH(ROWS($AF$2:AF538),$AF$2:$AF$1001,0),1)&gt;=100000,INDEX($AM$1005:$BM$1005,1,MATCH(COLUMNS($AM$1006:AM1006),$AM$1006:$BM$1006,0))&gt;=100000), " ",IF(INDEX($AM$2:$BM$1001,MATCH(ROWS($AF$2:AF538),$AF$2:$AF$1001,0),MATCH(COLUMNS($AM$1006:AM1006),$AM$1006:$BM$1006,0)), HYPERLINK("#",""), HYPERLINK(CONCATENATE("#metadata!", ADDRESS(INDEX($AH$2:$AH$1001,MATCH(ROWS($AF$2:AF538),$AF$2:$AF$1001,0),0), INDEX($AM$1004:$BM$1004,1,MATCH(COLUMNS($AM$1006:AM1006),$AM$1006:$BM$1006,0)))),"Fix")))</f>
        <v xml:space="preserve"> </v>
      </c>
      <c r="C538" s="4" t="str">
        <f ca="1">IF(OR(INDEX($AG$2:$AG$1001,MATCH(ROWS($AF$2:AF538),$AF$2:$AF$1001,0),1)&gt;=100000,INDEX($AM$1005:$BM$1005,1,MATCH(COLUMNS($AM$1006:AN1006),$AM$1006:$BM$1006,0))&gt;=100000), " ",IF(INDEX($AM$2:$BM$1001,MATCH(ROWS($AF$2:AF538),$AF$2:$AF$1001,0),MATCH(COLUMNS($AM$1006:AN1006),$AM$1006:$BM$1006,0)), HYPERLINK("#",""), HYPERLINK(CONCATENATE("#metadata!", ADDRESS(INDEX($AH$2:$AH$1001,MATCH(ROWS($AF$2:AF538),$AF$2:$AF$1001,0),0), INDEX($AM$1004:$BM$1004,1,MATCH(COLUMNS($AM$1006:AN1006),$AM$1006:$BM$1006,0)))),"Fix")))</f>
        <v xml:space="preserve"> </v>
      </c>
      <c r="D538" s="4" t="str">
        <f ca="1">IF(OR(INDEX($AG$2:$AG$1001,MATCH(ROWS($AF$2:AF538),$AF$2:$AF$1001,0),1)&gt;=100000,INDEX($AM$1005:$BM$1005,1,MATCH(COLUMNS($AM$1006:AO1006),$AM$1006:$BM$1006,0))&gt;=100000), " ",IF(INDEX($AM$2:$BM$1001,MATCH(ROWS($AF$2:AF538),$AF$2:$AF$1001,0),MATCH(COLUMNS($AM$1006:AO1006),$AM$1006:$BM$1006,0)), HYPERLINK("#",""), HYPERLINK(CONCATENATE("#metadata!", ADDRESS(INDEX($AH$2:$AH$1001,MATCH(ROWS($AF$2:AF538),$AF$2:$AF$1001,0),0), INDEX($AM$1004:$BM$1004,1,MATCH(COLUMNS($AM$1006:AO1006),$AM$1006:$BM$1006,0)))),"Fix")))</f>
        <v xml:space="preserve"> </v>
      </c>
      <c r="E538" s="4" t="str">
        <f ca="1">IF(OR(INDEX($AG$2:$AG$1001,MATCH(ROWS($AF$2:AF538),$AF$2:$AF$1001,0),1)&gt;=100000,INDEX($AM$1005:$BM$1005,1,MATCH(COLUMNS($AM$1006:AP1006),$AM$1006:$BM$1006,0))&gt;=100000), " ",IF(INDEX($AM$2:$BM$1001,MATCH(ROWS($AF$2:AF538),$AF$2:$AF$1001,0),MATCH(COLUMNS($AM$1006:AP1006),$AM$1006:$BM$1006,0)), HYPERLINK("#",""), HYPERLINK(CONCATENATE("#metadata!", ADDRESS(INDEX($AH$2:$AH$1001,MATCH(ROWS($AF$2:AF538),$AF$2:$AF$1001,0),0), INDEX($AM$1004:$BM$1004,1,MATCH(COLUMNS($AM$1006:AP1006),$AM$1006:$BM$1006,0)))),"Fix")))</f>
        <v xml:space="preserve"> </v>
      </c>
      <c r="F538" s="4" t="str">
        <f ca="1">IF(OR(INDEX($AG$2:$AG$1001,MATCH(ROWS($AF$2:AF538),$AF$2:$AF$1001,0),1)&gt;=100000,INDEX($AM$1005:$BM$1005,1,MATCH(COLUMNS($AM$1006:AQ1006),$AM$1006:$BM$1006,0))&gt;=100000), " ",IF(INDEX($AM$2:$BM$1001,MATCH(ROWS($AF$2:AF538),$AF$2:$AF$1001,0),MATCH(COLUMNS($AM$1006:AQ1006),$AM$1006:$BM$1006,0)), HYPERLINK("#",""), HYPERLINK(CONCATENATE("#metadata!", ADDRESS(INDEX($AH$2:$AH$1001,MATCH(ROWS($AF$2:AF538),$AF$2:$AF$1001,0),0), INDEX($AM$1004:$BM$1004,1,MATCH(COLUMNS($AM$1006:AQ1006),$AM$1006:$BM$1006,0)))),"Fix")))</f>
        <v xml:space="preserve"> </v>
      </c>
      <c r="G538" s="4" t="str">
        <f ca="1">IF(OR(INDEX($AG$2:$AG$1001,MATCH(ROWS($AF$2:AF538),$AF$2:$AF$1001,0),1)&gt;=100000,INDEX($AM$1005:$BM$1005,1,MATCH(COLUMNS($AM$1006:AR1006),$AM$1006:$BM$1006,0))&gt;=100000), " ",IF(INDEX($AM$2:$BM$1001,MATCH(ROWS($AF$2:AF538),$AF$2:$AF$1001,0),MATCH(COLUMNS($AM$1006:AR1006),$AM$1006:$BM$1006,0)), HYPERLINK("#",""), HYPERLINK(CONCATENATE("#metadata!", ADDRESS(INDEX($AH$2:$AH$1001,MATCH(ROWS($AF$2:AF538),$AF$2:$AF$1001,0),0), INDEX($AM$1004:$BM$1004,1,MATCH(COLUMNS($AM$1006:AR1006),$AM$1006:$BM$1006,0)))),"Fix")))</f>
        <v xml:space="preserve"> </v>
      </c>
      <c r="H538" s="4" t="str">
        <f ca="1">IF(OR(INDEX($AG$2:$AG$1001,MATCH(ROWS($AF$2:AF538),$AF$2:$AF$1001,0),1)&gt;=100000,INDEX($AM$1005:$BM$1005,1,MATCH(COLUMNS($AM$1006:AS1006),$AM$1006:$BM$1006,0))&gt;=100000), " ",IF(INDEX($AM$2:$BM$1001,MATCH(ROWS($AF$2:AF538),$AF$2:$AF$1001,0),MATCH(COLUMNS($AM$1006:AS1006),$AM$1006:$BM$1006,0)), HYPERLINK("#",""), HYPERLINK(CONCATENATE("#metadata!", ADDRESS(INDEX($AH$2:$AH$1001,MATCH(ROWS($AF$2:AF538),$AF$2:$AF$1001,0),0), INDEX($AM$1004:$BM$1004,1,MATCH(COLUMNS($AM$1006:AS1006),$AM$1006:$BM$1006,0)))),"Fix")))</f>
        <v xml:space="preserve"> </v>
      </c>
      <c r="I538" s="4" t="str">
        <f ca="1">IF(OR(INDEX($AG$2:$AG$1001,MATCH(ROWS($AF$2:AF538),$AF$2:$AF$1001,0),1)&gt;=100000,INDEX($AM$1005:$BM$1005,1,MATCH(COLUMNS($AM$1006:AT1006),$AM$1006:$BM$1006,0))&gt;=100000), " ",IF(INDEX($AM$2:$BM$1001,MATCH(ROWS($AF$2:AF538),$AF$2:$AF$1001,0),MATCH(COLUMNS($AM$1006:AT1006),$AM$1006:$BM$1006,0)), HYPERLINK("#",""), HYPERLINK(CONCATENATE("#metadata!", ADDRESS(INDEX($AH$2:$AH$1001,MATCH(ROWS($AF$2:AF538),$AF$2:$AF$1001,0),0), INDEX($AM$1004:$BM$1004,1,MATCH(COLUMNS($AM$1006:AT1006),$AM$1006:$BM$1006,0)))),"Fix")))</f>
        <v xml:space="preserve"> </v>
      </c>
      <c r="J538" s="4" t="str">
        <f ca="1">IF(OR(INDEX($AG$2:$AG$1001,MATCH(ROWS($AF$2:AF538),$AF$2:$AF$1001,0),1)&gt;=100000,INDEX($AM$1005:$BM$1005,1,MATCH(COLUMNS($AM$1006:AU1006),$AM$1006:$BM$1006,0))&gt;=100000), " ",IF(INDEX($AM$2:$BM$1001,MATCH(ROWS($AF$2:AF538),$AF$2:$AF$1001,0),MATCH(COLUMNS($AM$1006:AU1006),$AM$1006:$BM$1006,0)), HYPERLINK("#",""), HYPERLINK(CONCATENATE("#metadata!", ADDRESS(INDEX($AH$2:$AH$1001,MATCH(ROWS($AF$2:AF538),$AF$2:$AF$1001,0),0), INDEX($AM$1004:$BM$1004,1,MATCH(COLUMNS($AM$1006:AU1006),$AM$1006:$BM$1006,0)))),"Fix")))</f>
        <v xml:space="preserve"> </v>
      </c>
      <c r="K538" s="4" t="str">
        <f ca="1">IF(OR(INDEX($AG$2:$AG$1001,MATCH(ROWS($AF$2:AF538),$AF$2:$AF$1001,0),1)&gt;=100000,INDEX($AM$1005:$BM$1005,1,MATCH(COLUMNS($AM$1006:AV1006),$AM$1006:$BM$1006,0))&gt;=100000), " ",IF(INDEX($AM$2:$BM$1001,MATCH(ROWS($AF$2:AF538),$AF$2:$AF$1001,0),MATCH(COLUMNS($AM$1006:AV1006),$AM$1006:$BM$1006,0)), HYPERLINK("#",""), HYPERLINK(CONCATENATE("#metadata!", ADDRESS(INDEX($AH$2:$AH$1001,MATCH(ROWS($AF$2:AF538),$AF$2:$AF$1001,0),0), INDEX($AM$1004:$BM$1004,1,MATCH(COLUMNS($AM$1006:AV1006),$AM$1006:$BM$1006,0)))),"Fix")))</f>
        <v xml:space="preserve"> </v>
      </c>
      <c r="L538" s="4" t="str">
        <f ca="1">IF(OR(INDEX($AG$2:$AG$1001,MATCH(ROWS($AF$2:AF538),$AF$2:$AF$1001,0),1)&gt;=100000,INDEX($AM$1005:$BM$1005,1,MATCH(COLUMNS($AM$1006:AW1006),$AM$1006:$BM$1006,0))&gt;=100000), " ",IF(INDEX($AM$2:$BM$1001,MATCH(ROWS($AF$2:AF538),$AF$2:$AF$1001,0),MATCH(COLUMNS($AM$1006:AW1006),$AM$1006:$BM$1006,0)), HYPERLINK("#",""), HYPERLINK(CONCATENATE("#metadata!", ADDRESS(INDEX($AH$2:$AH$1001,MATCH(ROWS($AF$2:AF538),$AF$2:$AF$1001,0),0), INDEX($AM$1004:$BM$1004,1,MATCH(COLUMNS($AM$1006:AW1006),$AM$1006:$BM$1006,0)))),"Fix")))</f>
        <v xml:space="preserve"> </v>
      </c>
      <c r="M538" s="4" t="str">
        <f ca="1">IF(OR(INDEX($AG$2:$AG$1001,MATCH(ROWS($AF$2:AF538),$AF$2:$AF$1001,0),1)&gt;=100000,INDEX($AM$1005:$BM$1005,1,MATCH(COLUMNS($AM$1006:AX1006),$AM$1006:$BM$1006,0))&gt;=100000), " ",IF(INDEX($AM$2:$BM$1001,MATCH(ROWS($AF$2:AF538),$AF$2:$AF$1001,0),MATCH(COLUMNS($AM$1006:AX1006),$AM$1006:$BM$1006,0)), HYPERLINK("#",""), HYPERLINK(CONCATENATE("#metadata!", ADDRESS(INDEX($AH$2:$AH$1001,MATCH(ROWS($AF$2:AF538),$AF$2:$AF$1001,0),0), INDEX($AM$1004:$BM$1004,1,MATCH(COLUMNS($AM$1006:AX1006),$AM$1006:$BM$1006,0)))),"Fix")))</f>
        <v xml:space="preserve"> </v>
      </c>
      <c r="N538" s="4" t="str">
        <f ca="1">IF(OR(INDEX($AG$2:$AG$1001,MATCH(ROWS($AF$2:AF538),$AF$2:$AF$1001,0),1)&gt;=100000,INDEX($AM$1005:$BM$1005,1,MATCH(COLUMNS($AM$1006:AY1006),$AM$1006:$BM$1006,0))&gt;=100000), " ",IF(INDEX($AM$2:$BM$1001,MATCH(ROWS($AF$2:AF538),$AF$2:$AF$1001,0),MATCH(COLUMNS($AM$1006:AY1006),$AM$1006:$BM$1006,0)), HYPERLINK("#",""), HYPERLINK(CONCATENATE("#metadata!", ADDRESS(INDEX($AH$2:$AH$1001,MATCH(ROWS($AF$2:AF538),$AF$2:$AF$1001,0),0), INDEX($AM$1004:$BM$1004,1,MATCH(COLUMNS($AM$1006:AY1006),$AM$1006:$BM$1006,0)))),"Fix")))</f>
        <v xml:space="preserve"> </v>
      </c>
      <c r="O538" s="4" t="str">
        <f ca="1">IF(OR(INDEX($AG$2:$AG$1001,MATCH(ROWS($AF$2:AF538),$AF$2:$AF$1001,0),1)&gt;=100000,INDEX($AM$1005:$BM$1005,1,MATCH(COLUMNS($AM$1006:AZ1006),$AM$1006:$BM$1006,0))&gt;=100000), " ",IF(INDEX($AM$2:$BM$1001,MATCH(ROWS($AF$2:AF538),$AF$2:$AF$1001,0),MATCH(COLUMNS($AM$1006:AZ1006),$AM$1006:$BM$1006,0)), HYPERLINK("#",""), HYPERLINK(CONCATENATE("#metadata!", ADDRESS(INDEX($AH$2:$AH$1001,MATCH(ROWS($AF$2:AF538),$AF$2:$AF$1001,0),0), INDEX($AM$1004:$BM$1004,1,MATCH(COLUMNS($AM$1006:AZ1006),$AM$1006:$BM$1006,0)))),"Fix")))</f>
        <v xml:space="preserve"> </v>
      </c>
      <c r="P538" s="4" t="str">
        <f ca="1">IF(OR(INDEX($AG$2:$AG$1001,MATCH(ROWS($AF$2:AF538),$AF$2:$AF$1001,0),1)&gt;=100000,INDEX($AM$1005:$BM$1005,1,MATCH(COLUMNS($AM$1006:BA1006),$AM$1006:$BM$1006,0))&gt;=100000), " ",IF(INDEX($AM$2:$BM$1001,MATCH(ROWS($AF$2:AF538),$AF$2:$AF$1001,0),MATCH(COLUMNS($AM$1006:BA1006),$AM$1006:$BM$1006,0)), HYPERLINK("#",""), HYPERLINK(CONCATENATE("#metadata!", ADDRESS(INDEX($AH$2:$AH$1001,MATCH(ROWS($AF$2:AF538),$AF$2:$AF$1001,0),0), INDEX($AM$1004:$BM$1004,1,MATCH(COLUMNS($AM$1006:BA1006),$AM$1006:$BM$1006,0)))),"Fix")))</f>
        <v xml:space="preserve"> </v>
      </c>
      <c r="Q538" s="4" t="str">
        <f ca="1">IF(OR(INDEX($AG$2:$AG$1001,MATCH(ROWS($AF$2:AF538),$AF$2:$AF$1001,0),1)&gt;=100000,INDEX($AM$1005:$BM$1005,1,MATCH(COLUMNS($AM$1006:BB1006),$AM$1006:$BM$1006,0))&gt;=100000), " ",IF(INDEX($AM$2:$BM$1001,MATCH(ROWS($AF$2:AF538),$AF$2:$AF$1001,0),MATCH(COLUMNS($AM$1006:BB1006),$AM$1006:$BM$1006,0)), HYPERLINK("#",""), HYPERLINK(CONCATENATE("#metadata!", ADDRESS(INDEX($AH$2:$AH$1001,MATCH(ROWS($AF$2:AF538),$AF$2:$AF$1001,0),0), INDEX($AM$1004:$BM$1004,1,MATCH(COLUMNS($AM$1006:BB1006),$AM$1006:$BM$1006,0)))),"Fix")))</f>
        <v xml:space="preserve"> </v>
      </c>
      <c r="R538" s="4" t="str">
        <f ca="1">IF(OR(INDEX($AG$2:$AG$1001,MATCH(ROWS($AF$2:AF538),$AF$2:$AF$1001,0),1)&gt;=100000,INDEX($AM$1005:$BM$1005,1,MATCH(COLUMNS($AM$1006:BC1006),$AM$1006:$BM$1006,0))&gt;=100000), " ",IF(INDEX($AM$2:$BM$1001,MATCH(ROWS($AF$2:AF538),$AF$2:$AF$1001,0),MATCH(COLUMNS($AM$1006:BC1006),$AM$1006:$BM$1006,0)), HYPERLINK("#",""), HYPERLINK(CONCATENATE("#metadata!", ADDRESS(INDEX($AH$2:$AH$1001,MATCH(ROWS($AF$2:AF538),$AF$2:$AF$1001,0),0), INDEX($AM$1004:$BM$1004,1,MATCH(COLUMNS($AM$1006:BC1006),$AM$1006:$BM$1006,0)))),"Fix")))</f>
        <v xml:space="preserve"> </v>
      </c>
      <c r="S538" s="4" t="str">
        <f ca="1">IF(OR(INDEX($AG$2:$AG$1001,MATCH(ROWS($AF$2:AF538),$AF$2:$AF$1001,0),1)&gt;=100000,INDEX($AM$1005:$BM$1005,1,MATCH(COLUMNS($AM$1006:BD1006),$AM$1006:$BM$1006,0))&gt;=100000), " ",IF(INDEX($AM$2:$BM$1001,MATCH(ROWS($AF$2:AF538),$AF$2:$AF$1001,0),MATCH(COLUMNS($AM$1006:BD1006),$AM$1006:$BM$1006,0)), HYPERLINK("#",""), HYPERLINK(CONCATENATE("#metadata!", ADDRESS(INDEX($AH$2:$AH$1001,MATCH(ROWS($AF$2:AF538),$AF$2:$AF$1001,0),0), INDEX($AM$1004:$BM$1004,1,MATCH(COLUMNS($AM$1006:BD1006),$AM$1006:$BM$1006,0)))),"Fix")))</f>
        <v xml:space="preserve"> </v>
      </c>
      <c r="T538" s="4" t="str">
        <f ca="1">IF(OR(INDEX($AG$2:$AG$1001,MATCH(ROWS($AF$2:AF538),$AF$2:$AF$1001,0),1)&gt;=100000,INDEX($AM$1005:$BM$1005,1,MATCH(COLUMNS($AM$1006:BE1006),$AM$1006:$BM$1006,0))&gt;=100000), " ",IF(INDEX($AM$2:$BM$1001,MATCH(ROWS($AF$2:AF538),$AF$2:$AF$1001,0),MATCH(COLUMNS($AM$1006:BE1006),$AM$1006:$BM$1006,0)), HYPERLINK("#",""), HYPERLINK(CONCATENATE("#metadata!", ADDRESS(INDEX($AH$2:$AH$1001,MATCH(ROWS($AF$2:AF538),$AF$2:$AF$1001,0),0), INDEX($AM$1004:$BM$1004,1,MATCH(COLUMNS($AM$1006:BE1006),$AM$1006:$BM$1006,0)))),"Fix")))</f>
        <v xml:space="preserve"> </v>
      </c>
      <c r="U538" s="4" t="str">
        <f ca="1">IF(OR(INDEX($AG$2:$AG$1001,MATCH(ROWS($AF$2:AF538),$AF$2:$AF$1001,0),1)&gt;=100000,INDEX($AM$1005:$BM$1005,1,MATCH(COLUMNS($AM$1006:BF1006),$AM$1006:$BM$1006,0))&gt;=100000), " ",IF(INDEX($AM$2:$BM$1001,MATCH(ROWS($AF$2:AF538),$AF$2:$AF$1001,0),MATCH(COLUMNS($AM$1006:BF1006),$AM$1006:$BM$1006,0)), HYPERLINK("#",""), HYPERLINK(CONCATENATE("#metadata!", ADDRESS(INDEX($AH$2:$AH$1001,MATCH(ROWS($AF$2:AF538),$AF$2:$AF$1001,0),0), INDEX($AM$1004:$BM$1004,1,MATCH(COLUMNS($AM$1006:BF1006),$AM$1006:$BM$1006,0)))),"Fix")))</f>
        <v xml:space="preserve"> </v>
      </c>
      <c r="V538" s="4" t="str">
        <f ca="1">IF(OR(INDEX($AG$2:$AG$1001,MATCH(ROWS($AF$2:AF538),$AF$2:$AF$1001,0),1)&gt;=100000,INDEX($AM$1005:$BM$1005,1,MATCH(COLUMNS($AM$1006:BG1006),$AM$1006:$BM$1006,0))&gt;=100000), " ",IF(INDEX($AM$2:$BM$1001,MATCH(ROWS($AF$2:AF538),$AF$2:$AF$1001,0),MATCH(COLUMNS($AM$1006:BG1006),$AM$1006:$BM$1006,0)), HYPERLINK("#",""), HYPERLINK(CONCATENATE("#metadata!", ADDRESS(INDEX($AH$2:$AH$1001,MATCH(ROWS($AF$2:AF538),$AF$2:$AF$1001,0),0), INDEX($AM$1004:$BM$1004,1,MATCH(COLUMNS($AM$1006:BG1006),$AM$1006:$BM$1006,0)))),"Fix")))</f>
        <v xml:space="preserve"> </v>
      </c>
      <c r="W538" s="4" t="str">
        <f ca="1">IF(OR(INDEX($AG$2:$AG$1001,MATCH(ROWS($AF$2:AF538),$AF$2:$AF$1001,0),1)&gt;=100000,INDEX($AM$1005:$BM$1005,1,MATCH(COLUMNS($AM$1006:BH1006),$AM$1006:$BM$1006,0))&gt;=100000), " ",IF(INDEX($AM$2:$BM$1001,MATCH(ROWS($AF$2:AF538),$AF$2:$AF$1001,0),MATCH(COLUMNS($AM$1006:BH1006),$AM$1006:$BM$1006,0)), HYPERLINK("#",""), HYPERLINK(CONCATENATE("#metadata!", ADDRESS(INDEX($AH$2:$AH$1001,MATCH(ROWS($AF$2:AF538),$AF$2:$AF$1001,0),0), INDEX($AM$1004:$BM$1004,1,MATCH(COLUMNS($AM$1006:BH1006),$AM$1006:$BM$1006,0)))),"Fix")))</f>
        <v xml:space="preserve"> </v>
      </c>
      <c r="X538" s="4" t="str">
        <f ca="1">IF(OR(INDEX($AG$2:$AG$1001,MATCH(ROWS($AF$2:AF538),$AF$2:$AF$1001,0),1)&gt;=100000,INDEX($AM$1005:$BM$1005,1,MATCH(COLUMNS($AM$1006:BI1006),$AM$1006:$BM$1006,0))&gt;=100000), " ",IF(INDEX($AM$2:$BM$1001,MATCH(ROWS($AF$2:AF538),$AF$2:$AF$1001,0),MATCH(COLUMNS($AM$1006:BI1006),$AM$1006:$BM$1006,0)), HYPERLINK("#",""), HYPERLINK(CONCATENATE("#metadata!", ADDRESS(INDEX($AH$2:$AH$1001,MATCH(ROWS($AF$2:AF538),$AF$2:$AF$1001,0),0), INDEX($AM$1004:$BM$1004,1,MATCH(COLUMNS($AM$1006:BI1006),$AM$1006:$BM$1006,0)))),"Fix")))</f>
        <v xml:space="preserve"> </v>
      </c>
      <c r="Y538" s="4" t="str">
        <f ca="1">IF(OR(INDEX($AG$2:$AG$1001,MATCH(ROWS($AF$2:AF538),$AF$2:$AF$1001,0),1)&gt;=100000,INDEX($AM$1005:$BM$1005,1,MATCH(COLUMNS($AM$1006:BJ1006),$AM$1006:$BM$1006,0))&gt;=100000), " ",IF(INDEX($AM$2:$BM$1001,MATCH(ROWS($AF$2:AF538),$AF$2:$AF$1001,0),MATCH(COLUMNS($AM$1006:BJ1006),$AM$1006:$BM$1006,0)), HYPERLINK("#",""), HYPERLINK(CONCATENATE("#metadata!", ADDRESS(INDEX($AH$2:$AH$1001,MATCH(ROWS($AF$2:AF538),$AF$2:$AF$1001,0),0), INDEX($AM$1004:$BM$1004,1,MATCH(COLUMNS($AM$1006:BJ1006),$AM$1006:$BM$1006,0)))),"Fix")))</f>
        <v xml:space="preserve"> </v>
      </c>
      <c r="Z538" s="4" t="str">
        <f ca="1">IF(OR(INDEX($AG$2:$AG$1001,MATCH(ROWS($AF$2:AF538),$AF$2:$AF$1001,0),1)&gt;=100000,INDEX($AM$1005:$BM$1005,1,MATCH(COLUMNS($AM$1006:BK1006),$AM$1006:$BM$1006,0))&gt;=100000), " ",IF(INDEX($AM$2:$BM$1001,MATCH(ROWS($AF$2:AF538),$AF$2:$AF$1001,0),MATCH(COLUMNS($AM$1006:BK1006),$AM$1006:$BM$1006,0)), HYPERLINK("#",""), HYPERLINK(CONCATENATE("#metadata!", ADDRESS(INDEX($AH$2:$AH$1001,MATCH(ROWS($AF$2:AF538),$AF$2:$AF$1001,0),0), INDEX($AM$1004:$BM$1004,1,MATCH(COLUMNS($AM$1006:BK1006),$AM$1006:$BM$1006,0)))),"Fix")))</f>
        <v xml:space="preserve"> </v>
      </c>
      <c r="AA538" s="4" t="str">
        <f ca="1">IF(OR(INDEX($AG$2:$AG$1001,MATCH(ROWS($AF$2:AF538),$AF$2:$AF$1001,0),1)&gt;=100000,INDEX($AM$1005:$BM$1005,1,MATCH(COLUMNS($AM$1006:BL1006),$AM$1006:$BM$1006,0))&gt;=100000), " ",IF(INDEX($AM$2:$BM$1001,MATCH(ROWS($AF$2:AF538),$AF$2:$AF$1001,0),MATCH(COLUMNS($AM$1006:BL1006),$AM$1006:$BM$1006,0)), HYPERLINK("#",""), HYPERLINK(CONCATENATE("#metadata!", ADDRESS(INDEX($AH$2:$AH$1001,MATCH(ROWS($AF$2:AF538),$AF$2:$AF$1001,0),0), INDEX($AM$1004:$BM$1004,1,MATCH(COLUMNS($AM$1006:BL1006),$AM$1006:$BM$1006,0)))),"Fix")))</f>
        <v xml:space="preserve"> </v>
      </c>
      <c r="AB538" s="4" t="str">
        <f ca="1">IF(OR(INDEX($AG$2:$AG$1001,MATCH(ROWS($AF$2:AF538),$AF$2:$AF$1001,0),1)&gt;=100000,INDEX($AM$1005:$BM$1005,1,MATCH(COLUMNS($AM$1006:BM1006),$AM$1006:$BM$1006,0))&gt;=100000), " ",IF(INDEX($AM$2:$BM$1001,MATCH(ROWS($AF$2:AF538),$AF$2:$AF$1001,0),MATCH(COLUMNS($AM$1006:BM1006),$AM$1006:$BM$1006,0)), HYPERLINK("#",""), HYPERLINK(CONCATENATE("#metadata!", ADDRESS(INDEX($AH$2:$AH$1001,MATCH(ROWS($AF$2:AF538),$AF$2:$AF$1001,0),0), INDEX($AM$1004:$BM$1004,1,MATCH(COLUMNS($AM$1006:BM1006),$AM$1006:$BM$1006,0)))),"Fix")))</f>
        <v xml:space="preserve"> </v>
      </c>
      <c r="AF538">
        <v>537</v>
      </c>
      <c r="AG538">
        <v>100538</v>
      </c>
      <c r="AH538">
        <v>538</v>
      </c>
      <c r="AI538" t="b">
        <f t="shared" si="8"/>
        <v>1</v>
      </c>
      <c r="AJ538" t="b">
        <f>COUNTBLANK(metadata!B538:AB538)=COLUMNS(metadata!B538:AB538)</f>
        <v>1</v>
      </c>
      <c r="AK538" t="str">
        <v/>
      </c>
      <c r="AM538" t="b">
        <f ca="1">AND(IF(metadata!B538="",FALSE,TRUE),COUNTIF(metadata!B:B, metadata!B538) = 1,NOT(ISERROR(SUMPRODUCT(SEARCH(MID(metadata!B538,ROW(INDIRECT("1:"&amp;LEN(metadata!B538))), 1),"0123456789abcdefghijklmnopqrstuvwxyzABCDEFGHIJKLMNOPQRSTUVWXYZ.")))))</f>
        <v>0</v>
      </c>
      <c r="AN538" t="b">
        <f ca="1">OR(AND(IF(metadata!C538="",FALSE,TRUE),OR(EXACT(metadata!C538,"missing: not collected"),EXACT(metadata!C538,"missing: not provided"),EXACT(metadata!C538,"missing: restricted access"))),AND(IF(metadata!C538="",FALSE,TRUE),AND(AND(IFERROR(INT(LEFT(metadata!C538,4))&gt;1900,FALSE),IFERROR(INT(LEFT(metadata!C538,4))&lt;=YEAR(NOW()),FALSE)), OR(MID(metadata!C538,5,1)="", AND(AND(MID(metadata!C538,5,1)="-",IFERROR(INT(MID(metadata!C538,6,1))&gt;=0,FALSE),IFERROR(INT(MID(metadata!C538,6,1))&lt;=1,FALSE),NOT(MID(metadata!C538,7,1)=""),IFERROR(INT(MID(metadata!C538,6,2))&gt;=1,FALSE),IFERROR(INT(MID(metadata!C538,6,2))&lt;=12,FALSE)), OR(MID(metadata!C538,8,1)="", AND(AND(MID(metadata!C538,8,1)="-",IFERROR(INT(MID(metadata!C538,9,1))&gt;=0,FALSE),IFERROR(INT(MID(metadata!C538,9,1))&lt;=3,FALSE),NOT(MID(metadata!C538,10,1)=""),IFERROR(INT(MID(metadata!C538,9,2))&gt;=1,FALSE),IFERROR(INT(MID(metadata!C538,9,2))&lt;=31,FALSE)), OR(MID(metadata!C538,11,1)="", AND(AND(MID(metadata!C538,11,1)=" ",IFERROR(INT(MID(metadata!C538,12,1))&gt;=0,FALSE),IFERROR(INT(MID(metadata!C538,12,1))&lt;=2,FALSE),NOT(MID(metadata!C538,13,1)=""),IFERROR(INT(MID(metadata!C538,12,2))&gt;=0,FALSE),IFERROR(INT(MID(metadata!C538,12,2))&lt;=23,FALSE)), OR(MID(metadata!C538,14,1)="", AND(AND(MID(metadata!C538,14,1)=":",IFERROR(INT(MID(metadata!C538,15,1))&gt;=0,FALSE),IFERROR(INT(MID(metadata!C538,15,1))&lt;=5,FALSE),NOT(MID(metadata!C538,16,1)=""),IFERROR(INT(MID(metadata!C538,15,2))&gt;=0,FALSE),IFERROR(INT(MID(metadata!C538,15,2))&lt;=59,FALSE)), OR(MID(metadata!C538,17,1)="", AND(AND(MID(metadata!C538,17,1)=":",IFERROR(INT(MID(metadata!C538,18,1))&gt;=0,FALSE),IFERROR(INT(MID(metadata!C538,18,1))&lt;=5,FALSE),NOT(MID(metadata!C538,19,1)=""),IFERROR(INT(MID(metadata!C538,18,2))&gt;=0,FALSE),IFERROR(INT(MID(metadata!C538,18,2))&lt;=59,FALSE)), LEN(metadata!C538)&lt;=19)))))))))))))</f>
        <v>0</v>
      </c>
      <c r="AO538" t="b">
        <f>AND(IF(metadata!D538="",FALSE,TRUE),EXACT(metadata!D538,"Not applicable"))</f>
        <v>0</v>
      </c>
      <c r="AP538" t="b">
        <f>IF(metadata!E538="",FALSE,TRUE)</f>
        <v>0</v>
      </c>
      <c r="AQ538" t="b">
        <f>OR(AND(IF(metadata!F538="",FALSE,TRUE),OR(EXACT(metadata!F538,"missing: not collected"),EXACT(metadata!F538,"missing: not provided"))),AND(IF(metadata!F538="",FALSE,TRUE),OR(EXACT(metadata!F538,"TRUE"),EXACT(metadata!F538,"FALSE"))))</f>
        <v>0</v>
      </c>
      <c r="AR538" t="b">
        <f>OR(AND(IF(metadata!G538="",FALSE,TRUE),OR(EXACT(metadata!G538,"missing: not collected"),EXACT(metadata!G538,"missing: not provided"),EXACT(metadata!G538,"missing: restricted access"))),AND(IF(metadata!G538="",FALSE,ISNUMBER(VALUE(metadata!G538))),metadata!G538&gt;=-413))</f>
        <v>0</v>
      </c>
      <c r="AS538" t="b">
        <f>AND(IF(metadata!H538="",FALSE,TRUE),EXACT(metadata!H538,"meters"))</f>
        <v>0</v>
      </c>
      <c r="AT538" t="b">
        <f>AND(IF(metadata!I538="",FALSE,TRUE),OR(EXACT(metadata!I538,"Host-associated"),EXACT(metadata!I538,"Free-living")))</f>
        <v>0</v>
      </c>
      <c r="AU538" t="b">
        <f>AND(IF(metadata!J538="",FALSE,TRUE),OR(EXACT(metadata!J538,"Animal"),EXACT(metadata!J538,"Fungus"),EXACT(metadata!J538,"Plant"),EXACT(metadata!J538,"Saline"),EXACT(metadata!J538,"Non-saline")))</f>
        <v>0</v>
      </c>
      <c r="AV538" t="b">
        <f>AND(IF(metadata!K538="",FALSE,TRUE),OR(EXACT(metadata!K538,"Plant secretion"),EXACT(metadata!K538,"Plant rhizosphere"),EXACT(metadata!K538,"Plant surface"),EXACT(metadata!K538,"Plant corpus"),EXACT(metadata!K538,"Fungus surface"),EXACT(metadata!K538,"Fungus corpus"),EXACT(metadata!K538,"Animal surface"),EXACT(metadata!K538,"Animal proximal gut"),EXACT(metadata!K538,"Animal corpus"),EXACT(metadata!K538,"Animal distal gut"),EXACT(metadata!K538,"Animal secretion"),EXACT(metadata!K538,"Sub-surface (non-saline)"),EXACT(metadata!K538,"Surface (non-saline)"),EXACT(metadata!K538,"Water (non-saline)"),EXACT(metadata!K538,"Soil (non-saline)"),EXACT(metadata!K538,"Aerosol (non-saline)"),EXACT(metadata!K538,"Sediment (non-saline)"),EXACT(metadata!K538,"Surface (saline)"),EXACT(metadata!K538,"Water (saline)"),EXACT(metadata!K538,"Hypersaline (saline)"),EXACT(metadata!K538,"Aerosol (saline)"),EXACT(metadata!K538,"Sediment (saline)")))</f>
        <v>0</v>
      </c>
      <c r="AW538" t="b">
        <f>IF(metadata!L538="",FALSE,TRUE)</f>
        <v>0</v>
      </c>
      <c r="AX538" t="b">
        <f>IF(metadata!M538="",FALSE,TRUE)</f>
        <v>0</v>
      </c>
      <c r="AY538" t="b">
        <f>IF(metadata!N538="",FALSE,TRUE)</f>
        <v>0</v>
      </c>
      <c r="AZ538" t="b">
        <f>OR(AND(IF(metadata!O538="",FALSE,TRUE),OR(EXACT(metadata!O538,"missing: not collected"),EXACT(metadata!O538,"missing: not provided"),EXACT(metadata!O538,"missing: restricted access"))),AND(IF(metadata!O538="",FALSE,TRUE),OR(EXACT(metadata!O538,"air"),EXACT(metadata!O538,"built environment"),EXACT(metadata!O538,"host-associated"),EXACT(metadata!O538,"human-associated"),EXACT(metadata!O538,"human-skin"),EXACT(metadata!O538,"human-oral"),EXACT(metadata!O538,"human-gut"),EXACT(metadata!O538,"human-vaginal"),EXACT(metadata!O538,"microbial mat/biofilm"),EXACT(metadata!O538,"misc environment"),EXACT(metadata!O538,"plant-associated"),EXACT(metadata!O538,"sediment"),EXACT(metadata!O538,"soil"),EXACT(metadata!O538,"wastewater/sludge"),EXACT(metadata!O538,"water"))))</f>
        <v>0</v>
      </c>
      <c r="BA538" t="b">
        <f>IF(metadata!P538="",FALSE,TRUE)</f>
        <v>0</v>
      </c>
      <c r="BB538" t="b">
        <f>IF(metadata!Q538="",FALSE,TRUE)</f>
        <v>0</v>
      </c>
      <c r="BC538" t="b">
        <f>OR(AND(IF(metadata!R538="",FALSE,TRUE),OR(EXACT(metadata!R538,"missing: not collected"),EXACT(metadata!R538,"missing: not provided"),EXACT(metadata!R538,"missing: restricted access"))),AND(IF(metadata!R538="",FALSE,ISNUMBER(VALUE(metadata!R538))),metadata!R538&gt;=-90,metadata!R538&lt;=90))</f>
        <v>0</v>
      </c>
      <c r="BD538" t="b">
        <f>AND(IF(metadata!S538="",FALSE,TRUE),EXACT(metadata!S538,"Decimal degrees"))</f>
        <v>0</v>
      </c>
      <c r="BE538" t="b">
        <f>OR(AND(IF(metadata!T538="",FALSE,TRUE),OR(EXACT(metadata!T538,"missing: not collected"),EXACT(metadata!T538,"missing: not provided"),EXACT(metadata!T538,"missing: restricted access"))),AND(IF(metadata!T538="",FALSE,ISNUMBER(VALUE(metadata!T538))),metadata!T538&gt;=-180,metadata!T538&lt;=180))</f>
        <v>0</v>
      </c>
      <c r="BF538" t="b">
        <f>AND(IF(metadata!U538="",FALSE,TRUE),EXACT(metadata!U538,"Decimal degrees"))</f>
        <v>0</v>
      </c>
      <c r="BG538" t="b">
        <f>IF(metadata!V538="",FALSE,TRUE)</f>
        <v>0</v>
      </c>
      <c r="BH538" t="b">
        <f>OR(AND(IF(metadata!W538="",FALSE,TRUE),OR(EXACT(metadata!W538,"missing: not collected"),EXACT(metadata!W538,"missing: not provided"),EXACT(metadata!W538,"missing: restricted access"))),AND(IF(metadata!W538="",FALSE,TRUE),OR(EXACT(metadata!W538,"TRUE"),EXACT(metadata!W538,"FALSE"))))</f>
        <v>0</v>
      </c>
      <c r="BI538" t="b">
        <f>AND(IF(metadata!X538="",FALSE,TRUE),EXACT(metadata!X538,"other"))</f>
        <v>0</v>
      </c>
      <c r="BJ538" t="b">
        <f>IF(metadata!Y538="",FALSE,TRUE)</f>
        <v>0</v>
      </c>
      <c r="BK538" t="b">
        <f>OR(AND(IF(metadata!Z538="",FALSE,TRUE),OR(EXACT(metadata!Z538,"missing: not collected"),EXACT(metadata!Z538,"missing: not provided"))),AND(IF(metadata!Z538="",FALSE,IF(ISERROR(INT(metadata!Z538)),FALSE,INT(metadata!Z538)=metadata!Z538)),metadata!Z538&gt;0))</f>
        <v>0</v>
      </c>
      <c r="BL538" t="b">
        <f>AND(IF(metadata!AA538="",FALSE,TRUE),EXACT(metadata!AA538,"Not applicable"))</f>
        <v>0</v>
      </c>
      <c r="BM538" t="b">
        <f>IF(metadata!AB538="",FALSE,TRUE)</f>
        <v>0</v>
      </c>
    </row>
    <row r="539" spans="1:65" x14ac:dyDescent="0.2">
      <c r="A539" s="5" t="str">
        <f ca="1">IF(B539=" "," ",HYPERLINK(CONCATENATE("#metadata!",ADDRESS(INDEX($AH$2:$AH$1001,MATCH(ROWS($AF$2:AF539),$AF$2:$AF$1001,0),0),1)),INDEX($AK$2:$AK$1001,MATCH(ROWS($AF$2:AF539),$AF$2:$AF$1001,0),0)))</f>
        <v xml:space="preserve"> </v>
      </c>
      <c r="B539" s="4" t="str">
        <f ca="1">IF(OR(INDEX($AG$2:$AG$1001,MATCH(ROWS($AF$2:AF539),$AF$2:$AF$1001,0),1)&gt;=100000,INDEX($AM$1005:$BM$1005,1,MATCH(COLUMNS($AM$1006:AM1006),$AM$1006:$BM$1006,0))&gt;=100000), " ",IF(INDEX($AM$2:$BM$1001,MATCH(ROWS($AF$2:AF539),$AF$2:$AF$1001,0),MATCH(COLUMNS($AM$1006:AM1006),$AM$1006:$BM$1006,0)), HYPERLINK("#",""), HYPERLINK(CONCATENATE("#metadata!", ADDRESS(INDEX($AH$2:$AH$1001,MATCH(ROWS($AF$2:AF539),$AF$2:$AF$1001,0),0), INDEX($AM$1004:$BM$1004,1,MATCH(COLUMNS($AM$1006:AM1006),$AM$1006:$BM$1006,0)))),"Fix")))</f>
        <v xml:space="preserve"> </v>
      </c>
      <c r="C539" s="4" t="str">
        <f ca="1">IF(OR(INDEX($AG$2:$AG$1001,MATCH(ROWS($AF$2:AF539),$AF$2:$AF$1001,0),1)&gt;=100000,INDEX($AM$1005:$BM$1005,1,MATCH(COLUMNS($AM$1006:AN1006),$AM$1006:$BM$1006,0))&gt;=100000), " ",IF(INDEX($AM$2:$BM$1001,MATCH(ROWS($AF$2:AF539),$AF$2:$AF$1001,0),MATCH(COLUMNS($AM$1006:AN1006),$AM$1006:$BM$1006,0)), HYPERLINK("#",""), HYPERLINK(CONCATENATE("#metadata!", ADDRESS(INDEX($AH$2:$AH$1001,MATCH(ROWS($AF$2:AF539),$AF$2:$AF$1001,0),0), INDEX($AM$1004:$BM$1004,1,MATCH(COLUMNS($AM$1006:AN1006),$AM$1006:$BM$1006,0)))),"Fix")))</f>
        <v xml:space="preserve"> </v>
      </c>
      <c r="D539" s="4" t="str">
        <f ca="1">IF(OR(INDEX($AG$2:$AG$1001,MATCH(ROWS($AF$2:AF539),$AF$2:$AF$1001,0),1)&gt;=100000,INDEX($AM$1005:$BM$1005,1,MATCH(COLUMNS($AM$1006:AO1006),$AM$1006:$BM$1006,0))&gt;=100000), " ",IF(INDEX($AM$2:$BM$1001,MATCH(ROWS($AF$2:AF539),$AF$2:$AF$1001,0),MATCH(COLUMNS($AM$1006:AO1006),$AM$1006:$BM$1006,0)), HYPERLINK("#",""), HYPERLINK(CONCATENATE("#metadata!", ADDRESS(INDEX($AH$2:$AH$1001,MATCH(ROWS($AF$2:AF539),$AF$2:$AF$1001,0),0), INDEX($AM$1004:$BM$1004,1,MATCH(COLUMNS($AM$1006:AO1006),$AM$1006:$BM$1006,0)))),"Fix")))</f>
        <v xml:space="preserve"> </v>
      </c>
      <c r="E539" s="4" t="str">
        <f ca="1">IF(OR(INDEX($AG$2:$AG$1001,MATCH(ROWS($AF$2:AF539),$AF$2:$AF$1001,0),1)&gt;=100000,INDEX($AM$1005:$BM$1005,1,MATCH(COLUMNS($AM$1006:AP1006),$AM$1006:$BM$1006,0))&gt;=100000), " ",IF(INDEX($AM$2:$BM$1001,MATCH(ROWS($AF$2:AF539),$AF$2:$AF$1001,0),MATCH(COLUMNS($AM$1006:AP1006),$AM$1006:$BM$1006,0)), HYPERLINK("#",""), HYPERLINK(CONCATENATE("#metadata!", ADDRESS(INDEX($AH$2:$AH$1001,MATCH(ROWS($AF$2:AF539),$AF$2:$AF$1001,0),0), INDEX($AM$1004:$BM$1004,1,MATCH(COLUMNS($AM$1006:AP1006),$AM$1006:$BM$1006,0)))),"Fix")))</f>
        <v xml:space="preserve"> </v>
      </c>
      <c r="F539" s="4" t="str">
        <f ca="1">IF(OR(INDEX($AG$2:$AG$1001,MATCH(ROWS($AF$2:AF539),$AF$2:$AF$1001,0),1)&gt;=100000,INDEX($AM$1005:$BM$1005,1,MATCH(COLUMNS($AM$1006:AQ1006),$AM$1006:$BM$1006,0))&gt;=100000), " ",IF(INDEX($AM$2:$BM$1001,MATCH(ROWS($AF$2:AF539),$AF$2:$AF$1001,0),MATCH(COLUMNS($AM$1006:AQ1006),$AM$1006:$BM$1006,0)), HYPERLINK("#",""), HYPERLINK(CONCATENATE("#metadata!", ADDRESS(INDEX($AH$2:$AH$1001,MATCH(ROWS($AF$2:AF539),$AF$2:$AF$1001,0),0), INDEX($AM$1004:$BM$1004,1,MATCH(COLUMNS($AM$1006:AQ1006),$AM$1006:$BM$1006,0)))),"Fix")))</f>
        <v xml:space="preserve"> </v>
      </c>
      <c r="G539" s="4" t="str">
        <f ca="1">IF(OR(INDEX($AG$2:$AG$1001,MATCH(ROWS($AF$2:AF539),$AF$2:$AF$1001,0),1)&gt;=100000,INDEX($AM$1005:$BM$1005,1,MATCH(COLUMNS($AM$1006:AR1006),$AM$1006:$BM$1006,0))&gt;=100000), " ",IF(INDEX($AM$2:$BM$1001,MATCH(ROWS($AF$2:AF539),$AF$2:$AF$1001,0),MATCH(COLUMNS($AM$1006:AR1006),$AM$1006:$BM$1006,0)), HYPERLINK("#",""), HYPERLINK(CONCATENATE("#metadata!", ADDRESS(INDEX($AH$2:$AH$1001,MATCH(ROWS($AF$2:AF539),$AF$2:$AF$1001,0),0), INDEX($AM$1004:$BM$1004,1,MATCH(COLUMNS($AM$1006:AR1006),$AM$1006:$BM$1006,0)))),"Fix")))</f>
        <v xml:space="preserve"> </v>
      </c>
      <c r="H539" s="4" t="str">
        <f ca="1">IF(OR(INDEX($AG$2:$AG$1001,MATCH(ROWS($AF$2:AF539),$AF$2:$AF$1001,0),1)&gt;=100000,INDEX($AM$1005:$BM$1005,1,MATCH(COLUMNS($AM$1006:AS1006),$AM$1006:$BM$1006,0))&gt;=100000), " ",IF(INDEX($AM$2:$BM$1001,MATCH(ROWS($AF$2:AF539),$AF$2:$AF$1001,0),MATCH(COLUMNS($AM$1006:AS1006),$AM$1006:$BM$1006,0)), HYPERLINK("#",""), HYPERLINK(CONCATENATE("#metadata!", ADDRESS(INDEX($AH$2:$AH$1001,MATCH(ROWS($AF$2:AF539),$AF$2:$AF$1001,0),0), INDEX($AM$1004:$BM$1004,1,MATCH(COLUMNS($AM$1006:AS1006),$AM$1006:$BM$1006,0)))),"Fix")))</f>
        <v xml:space="preserve"> </v>
      </c>
      <c r="I539" s="4" t="str">
        <f ca="1">IF(OR(INDEX($AG$2:$AG$1001,MATCH(ROWS($AF$2:AF539),$AF$2:$AF$1001,0),1)&gt;=100000,INDEX($AM$1005:$BM$1005,1,MATCH(COLUMNS($AM$1006:AT1006),$AM$1006:$BM$1006,0))&gt;=100000), " ",IF(INDEX($AM$2:$BM$1001,MATCH(ROWS($AF$2:AF539),$AF$2:$AF$1001,0),MATCH(COLUMNS($AM$1006:AT1006),$AM$1006:$BM$1006,0)), HYPERLINK("#",""), HYPERLINK(CONCATENATE("#metadata!", ADDRESS(INDEX($AH$2:$AH$1001,MATCH(ROWS($AF$2:AF539),$AF$2:$AF$1001,0),0), INDEX($AM$1004:$BM$1004,1,MATCH(COLUMNS($AM$1006:AT1006),$AM$1006:$BM$1006,0)))),"Fix")))</f>
        <v xml:space="preserve"> </v>
      </c>
      <c r="J539" s="4" t="str">
        <f ca="1">IF(OR(INDEX($AG$2:$AG$1001,MATCH(ROWS($AF$2:AF539),$AF$2:$AF$1001,0),1)&gt;=100000,INDEX($AM$1005:$BM$1005,1,MATCH(COLUMNS($AM$1006:AU1006),$AM$1006:$BM$1006,0))&gt;=100000), " ",IF(INDEX($AM$2:$BM$1001,MATCH(ROWS($AF$2:AF539),$AF$2:$AF$1001,0),MATCH(COLUMNS($AM$1006:AU1006),$AM$1006:$BM$1006,0)), HYPERLINK("#",""), HYPERLINK(CONCATENATE("#metadata!", ADDRESS(INDEX($AH$2:$AH$1001,MATCH(ROWS($AF$2:AF539),$AF$2:$AF$1001,0),0), INDEX($AM$1004:$BM$1004,1,MATCH(COLUMNS($AM$1006:AU1006),$AM$1006:$BM$1006,0)))),"Fix")))</f>
        <v xml:space="preserve"> </v>
      </c>
      <c r="K539" s="4" t="str">
        <f ca="1">IF(OR(INDEX($AG$2:$AG$1001,MATCH(ROWS($AF$2:AF539),$AF$2:$AF$1001,0),1)&gt;=100000,INDEX($AM$1005:$BM$1005,1,MATCH(COLUMNS($AM$1006:AV1006),$AM$1006:$BM$1006,0))&gt;=100000), " ",IF(INDEX($AM$2:$BM$1001,MATCH(ROWS($AF$2:AF539),$AF$2:$AF$1001,0),MATCH(COLUMNS($AM$1006:AV1006),$AM$1006:$BM$1006,0)), HYPERLINK("#",""), HYPERLINK(CONCATENATE("#metadata!", ADDRESS(INDEX($AH$2:$AH$1001,MATCH(ROWS($AF$2:AF539),$AF$2:$AF$1001,0),0), INDEX($AM$1004:$BM$1004,1,MATCH(COLUMNS($AM$1006:AV1006),$AM$1006:$BM$1006,0)))),"Fix")))</f>
        <v xml:space="preserve"> </v>
      </c>
      <c r="L539" s="4" t="str">
        <f ca="1">IF(OR(INDEX($AG$2:$AG$1001,MATCH(ROWS($AF$2:AF539),$AF$2:$AF$1001,0),1)&gt;=100000,INDEX($AM$1005:$BM$1005,1,MATCH(COLUMNS($AM$1006:AW1006),$AM$1006:$BM$1006,0))&gt;=100000), " ",IF(INDEX($AM$2:$BM$1001,MATCH(ROWS($AF$2:AF539),$AF$2:$AF$1001,0),MATCH(COLUMNS($AM$1006:AW1006),$AM$1006:$BM$1006,0)), HYPERLINK("#",""), HYPERLINK(CONCATENATE("#metadata!", ADDRESS(INDEX($AH$2:$AH$1001,MATCH(ROWS($AF$2:AF539),$AF$2:$AF$1001,0),0), INDEX($AM$1004:$BM$1004,1,MATCH(COLUMNS($AM$1006:AW1006),$AM$1006:$BM$1006,0)))),"Fix")))</f>
        <v xml:space="preserve"> </v>
      </c>
      <c r="M539" s="4" t="str">
        <f ca="1">IF(OR(INDEX($AG$2:$AG$1001,MATCH(ROWS($AF$2:AF539),$AF$2:$AF$1001,0),1)&gt;=100000,INDEX($AM$1005:$BM$1005,1,MATCH(COLUMNS($AM$1006:AX1006),$AM$1006:$BM$1006,0))&gt;=100000), " ",IF(INDEX($AM$2:$BM$1001,MATCH(ROWS($AF$2:AF539),$AF$2:$AF$1001,0),MATCH(COLUMNS($AM$1006:AX1006),$AM$1006:$BM$1006,0)), HYPERLINK("#",""), HYPERLINK(CONCATENATE("#metadata!", ADDRESS(INDEX($AH$2:$AH$1001,MATCH(ROWS($AF$2:AF539),$AF$2:$AF$1001,0),0), INDEX($AM$1004:$BM$1004,1,MATCH(COLUMNS($AM$1006:AX1006),$AM$1006:$BM$1006,0)))),"Fix")))</f>
        <v xml:space="preserve"> </v>
      </c>
      <c r="N539" s="4" t="str">
        <f ca="1">IF(OR(INDEX($AG$2:$AG$1001,MATCH(ROWS($AF$2:AF539),$AF$2:$AF$1001,0),1)&gt;=100000,INDEX($AM$1005:$BM$1005,1,MATCH(COLUMNS($AM$1006:AY1006),$AM$1006:$BM$1006,0))&gt;=100000), " ",IF(INDEX($AM$2:$BM$1001,MATCH(ROWS($AF$2:AF539),$AF$2:$AF$1001,0),MATCH(COLUMNS($AM$1006:AY1006),$AM$1006:$BM$1006,0)), HYPERLINK("#",""), HYPERLINK(CONCATENATE("#metadata!", ADDRESS(INDEX($AH$2:$AH$1001,MATCH(ROWS($AF$2:AF539),$AF$2:$AF$1001,0),0), INDEX($AM$1004:$BM$1004,1,MATCH(COLUMNS($AM$1006:AY1006),$AM$1006:$BM$1006,0)))),"Fix")))</f>
        <v xml:space="preserve"> </v>
      </c>
      <c r="O539" s="4" t="str">
        <f ca="1">IF(OR(INDEX($AG$2:$AG$1001,MATCH(ROWS($AF$2:AF539),$AF$2:$AF$1001,0),1)&gt;=100000,INDEX($AM$1005:$BM$1005,1,MATCH(COLUMNS($AM$1006:AZ1006),$AM$1006:$BM$1006,0))&gt;=100000), " ",IF(INDEX($AM$2:$BM$1001,MATCH(ROWS($AF$2:AF539),$AF$2:$AF$1001,0),MATCH(COLUMNS($AM$1006:AZ1006),$AM$1006:$BM$1006,0)), HYPERLINK("#",""), HYPERLINK(CONCATENATE("#metadata!", ADDRESS(INDEX($AH$2:$AH$1001,MATCH(ROWS($AF$2:AF539),$AF$2:$AF$1001,0),0), INDEX($AM$1004:$BM$1004,1,MATCH(COLUMNS($AM$1006:AZ1006),$AM$1006:$BM$1006,0)))),"Fix")))</f>
        <v xml:space="preserve"> </v>
      </c>
      <c r="P539" s="4" t="str">
        <f ca="1">IF(OR(INDEX($AG$2:$AG$1001,MATCH(ROWS($AF$2:AF539),$AF$2:$AF$1001,0),1)&gt;=100000,INDEX($AM$1005:$BM$1005,1,MATCH(COLUMNS($AM$1006:BA1006),$AM$1006:$BM$1006,0))&gt;=100000), " ",IF(INDEX($AM$2:$BM$1001,MATCH(ROWS($AF$2:AF539),$AF$2:$AF$1001,0),MATCH(COLUMNS($AM$1006:BA1006),$AM$1006:$BM$1006,0)), HYPERLINK("#",""), HYPERLINK(CONCATENATE("#metadata!", ADDRESS(INDEX($AH$2:$AH$1001,MATCH(ROWS($AF$2:AF539),$AF$2:$AF$1001,0),0), INDEX($AM$1004:$BM$1004,1,MATCH(COLUMNS($AM$1006:BA1006),$AM$1006:$BM$1006,0)))),"Fix")))</f>
        <v xml:space="preserve"> </v>
      </c>
      <c r="Q539" s="4" t="str">
        <f ca="1">IF(OR(INDEX($AG$2:$AG$1001,MATCH(ROWS($AF$2:AF539),$AF$2:$AF$1001,0),1)&gt;=100000,INDEX($AM$1005:$BM$1005,1,MATCH(COLUMNS($AM$1006:BB1006),$AM$1006:$BM$1006,0))&gt;=100000), " ",IF(INDEX($AM$2:$BM$1001,MATCH(ROWS($AF$2:AF539),$AF$2:$AF$1001,0),MATCH(COLUMNS($AM$1006:BB1006),$AM$1006:$BM$1006,0)), HYPERLINK("#",""), HYPERLINK(CONCATENATE("#metadata!", ADDRESS(INDEX($AH$2:$AH$1001,MATCH(ROWS($AF$2:AF539),$AF$2:$AF$1001,0),0), INDEX($AM$1004:$BM$1004,1,MATCH(COLUMNS($AM$1006:BB1006),$AM$1006:$BM$1006,0)))),"Fix")))</f>
        <v xml:space="preserve"> </v>
      </c>
      <c r="R539" s="4" t="str">
        <f ca="1">IF(OR(INDEX($AG$2:$AG$1001,MATCH(ROWS($AF$2:AF539),$AF$2:$AF$1001,0),1)&gt;=100000,INDEX($AM$1005:$BM$1005,1,MATCH(COLUMNS($AM$1006:BC1006),$AM$1006:$BM$1006,0))&gt;=100000), " ",IF(INDEX($AM$2:$BM$1001,MATCH(ROWS($AF$2:AF539),$AF$2:$AF$1001,0),MATCH(COLUMNS($AM$1006:BC1006),$AM$1006:$BM$1006,0)), HYPERLINK("#",""), HYPERLINK(CONCATENATE("#metadata!", ADDRESS(INDEX($AH$2:$AH$1001,MATCH(ROWS($AF$2:AF539),$AF$2:$AF$1001,0),0), INDEX($AM$1004:$BM$1004,1,MATCH(COLUMNS($AM$1006:BC1006),$AM$1006:$BM$1006,0)))),"Fix")))</f>
        <v xml:space="preserve"> </v>
      </c>
      <c r="S539" s="4" t="str">
        <f ca="1">IF(OR(INDEX($AG$2:$AG$1001,MATCH(ROWS($AF$2:AF539),$AF$2:$AF$1001,0),1)&gt;=100000,INDEX($AM$1005:$BM$1005,1,MATCH(COLUMNS($AM$1006:BD1006),$AM$1006:$BM$1006,0))&gt;=100000), " ",IF(INDEX($AM$2:$BM$1001,MATCH(ROWS($AF$2:AF539),$AF$2:$AF$1001,0),MATCH(COLUMNS($AM$1006:BD1006),$AM$1006:$BM$1006,0)), HYPERLINK("#",""), HYPERLINK(CONCATENATE("#metadata!", ADDRESS(INDEX($AH$2:$AH$1001,MATCH(ROWS($AF$2:AF539),$AF$2:$AF$1001,0),0), INDEX($AM$1004:$BM$1004,1,MATCH(COLUMNS($AM$1006:BD1006),$AM$1006:$BM$1006,0)))),"Fix")))</f>
        <v xml:space="preserve"> </v>
      </c>
      <c r="T539" s="4" t="str">
        <f ca="1">IF(OR(INDEX($AG$2:$AG$1001,MATCH(ROWS($AF$2:AF539),$AF$2:$AF$1001,0),1)&gt;=100000,INDEX($AM$1005:$BM$1005,1,MATCH(COLUMNS($AM$1006:BE1006),$AM$1006:$BM$1006,0))&gt;=100000), " ",IF(INDEX($AM$2:$BM$1001,MATCH(ROWS($AF$2:AF539),$AF$2:$AF$1001,0),MATCH(COLUMNS($AM$1006:BE1006),$AM$1006:$BM$1006,0)), HYPERLINK("#",""), HYPERLINK(CONCATENATE("#metadata!", ADDRESS(INDEX($AH$2:$AH$1001,MATCH(ROWS($AF$2:AF539),$AF$2:$AF$1001,0),0), INDEX($AM$1004:$BM$1004,1,MATCH(COLUMNS($AM$1006:BE1006),$AM$1006:$BM$1006,0)))),"Fix")))</f>
        <v xml:space="preserve"> </v>
      </c>
      <c r="U539" s="4" t="str">
        <f ca="1">IF(OR(INDEX($AG$2:$AG$1001,MATCH(ROWS($AF$2:AF539),$AF$2:$AF$1001,0),1)&gt;=100000,INDEX($AM$1005:$BM$1005,1,MATCH(COLUMNS($AM$1006:BF1006),$AM$1006:$BM$1006,0))&gt;=100000), " ",IF(INDEX($AM$2:$BM$1001,MATCH(ROWS($AF$2:AF539),$AF$2:$AF$1001,0),MATCH(COLUMNS($AM$1006:BF1006),$AM$1006:$BM$1006,0)), HYPERLINK("#",""), HYPERLINK(CONCATENATE("#metadata!", ADDRESS(INDEX($AH$2:$AH$1001,MATCH(ROWS($AF$2:AF539),$AF$2:$AF$1001,0),0), INDEX($AM$1004:$BM$1004,1,MATCH(COLUMNS($AM$1006:BF1006),$AM$1006:$BM$1006,0)))),"Fix")))</f>
        <v xml:space="preserve"> </v>
      </c>
      <c r="V539" s="4" t="str">
        <f ca="1">IF(OR(INDEX($AG$2:$AG$1001,MATCH(ROWS($AF$2:AF539),$AF$2:$AF$1001,0),1)&gt;=100000,INDEX($AM$1005:$BM$1005,1,MATCH(COLUMNS($AM$1006:BG1006),$AM$1006:$BM$1006,0))&gt;=100000), " ",IF(INDEX($AM$2:$BM$1001,MATCH(ROWS($AF$2:AF539),$AF$2:$AF$1001,0),MATCH(COLUMNS($AM$1006:BG1006),$AM$1006:$BM$1006,0)), HYPERLINK("#",""), HYPERLINK(CONCATENATE("#metadata!", ADDRESS(INDEX($AH$2:$AH$1001,MATCH(ROWS($AF$2:AF539),$AF$2:$AF$1001,0),0), INDEX($AM$1004:$BM$1004,1,MATCH(COLUMNS($AM$1006:BG1006),$AM$1006:$BM$1006,0)))),"Fix")))</f>
        <v xml:space="preserve"> </v>
      </c>
      <c r="W539" s="4" t="str">
        <f ca="1">IF(OR(INDEX($AG$2:$AG$1001,MATCH(ROWS($AF$2:AF539),$AF$2:$AF$1001,0),1)&gt;=100000,INDEX($AM$1005:$BM$1005,1,MATCH(COLUMNS($AM$1006:BH1006),$AM$1006:$BM$1006,0))&gt;=100000), " ",IF(INDEX($AM$2:$BM$1001,MATCH(ROWS($AF$2:AF539),$AF$2:$AF$1001,0),MATCH(COLUMNS($AM$1006:BH1006),$AM$1006:$BM$1006,0)), HYPERLINK("#",""), HYPERLINK(CONCATENATE("#metadata!", ADDRESS(INDEX($AH$2:$AH$1001,MATCH(ROWS($AF$2:AF539),$AF$2:$AF$1001,0),0), INDEX($AM$1004:$BM$1004,1,MATCH(COLUMNS($AM$1006:BH1006),$AM$1006:$BM$1006,0)))),"Fix")))</f>
        <v xml:space="preserve"> </v>
      </c>
      <c r="X539" s="4" t="str">
        <f ca="1">IF(OR(INDEX($AG$2:$AG$1001,MATCH(ROWS($AF$2:AF539),$AF$2:$AF$1001,0),1)&gt;=100000,INDEX($AM$1005:$BM$1005,1,MATCH(COLUMNS($AM$1006:BI1006),$AM$1006:$BM$1006,0))&gt;=100000), " ",IF(INDEX($AM$2:$BM$1001,MATCH(ROWS($AF$2:AF539),$AF$2:$AF$1001,0),MATCH(COLUMNS($AM$1006:BI1006),$AM$1006:$BM$1006,0)), HYPERLINK("#",""), HYPERLINK(CONCATENATE("#metadata!", ADDRESS(INDEX($AH$2:$AH$1001,MATCH(ROWS($AF$2:AF539),$AF$2:$AF$1001,0),0), INDEX($AM$1004:$BM$1004,1,MATCH(COLUMNS($AM$1006:BI1006),$AM$1006:$BM$1006,0)))),"Fix")))</f>
        <v xml:space="preserve"> </v>
      </c>
      <c r="Y539" s="4" t="str">
        <f ca="1">IF(OR(INDEX($AG$2:$AG$1001,MATCH(ROWS($AF$2:AF539),$AF$2:$AF$1001,0),1)&gt;=100000,INDEX($AM$1005:$BM$1005,1,MATCH(COLUMNS($AM$1006:BJ1006),$AM$1006:$BM$1006,0))&gt;=100000), " ",IF(INDEX($AM$2:$BM$1001,MATCH(ROWS($AF$2:AF539),$AF$2:$AF$1001,0),MATCH(COLUMNS($AM$1006:BJ1006),$AM$1006:$BM$1006,0)), HYPERLINK("#",""), HYPERLINK(CONCATENATE("#metadata!", ADDRESS(INDEX($AH$2:$AH$1001,MATCH(ROWS($AF$2:AF539),$AF$2:$AF$1001,0),0), INDEX($AM$1004:$BM$1004,1,MATCH(COLUMNS($AM$1006:BJ1006),$AM$1006:$BM$1006,0)))),"Fix")))</f>
        <v xml:space="preserve"> </v>
      </c>
      <c r="Z539" s="4" t="str">
        <f ca="1">IF(OR(INDEX($AG$2:$AG$1001,MATCH(ROWS($AF$2:AF539),$AF$2:$AF$1001,0),1)&gt;=100000,INDEX($AM$1005:$BM$1005,1,MATCH(COLUMNS($AM$1006:BK1006),$AM$1006:$BM$1006,0))&gt;=100000), " ",IF(INDEX($AM$2:$BM$1001,MATCH(ROWS($AF$2:AF539),$AF$2:$AF$1001,0),MATCH(COLUMNS($AM$1006:BK1006),$AM$1006:$BM$1006,0)), HYPERLINK("#",""), HYPERLINK(CONCATENATE("#metadata!", ADDRESS(INDEX($AH$2:$AH$1001,MATCH(ROWS($AF$2:AF539),$AF$2:$AF$1001,0),0), INDEX($AM$1004:$BM$1004,1,MATCH(COLUMNS($AM$1006:BK1006),$AM$1006:$BM$1006,0)))),"Fix")))</f>
        <v xml:space="preserve"> </v>
      </c>
      <c r="AA539" s="4" t="str">
        <f ca="1">IF(OR(INDEX($AG$2:$AG$1001,MATCH(ROWS($AF$2:AF539),$AF$2:$AF$1001,0),1)&gt;=100000,INDEX($AM$1005:$BM$1005,1,MATCH(COLUMNS($AM$1006:BL1006),$AM$1006:$BM$1006,0))&gt;=100000), " ",IF(INDEX($AM$2:$BM$1001,MATCH(ROWS($AF$2:AF539),$AF$2:$AF$1001,0),MATCH(COLUMNS($AM$1006:BL1006),$AM$1006:$BM$1006,0)), HYPERLINK("#",""), HYPERLINK(CONCATENATE("#metadata!", ADDRESS(INDEX($AH$2:$AH$1001,MATCH(ROWS($AF$2:AF539),$AF$2:$AF$1001,0),0), INDEX($AM$1004:$BM$1004,1,MATCH(COLUMNS($AM$1006:BL1006),$AM$1006:$BM$1006,0)))),"Fix")))</f>
        <v xml:space="preserve"> </v>
      </c>
      <c r="AB539" s="4" t="str">
        <f ca="1">IF(OR(INDEX($AG$2:$AG$1001,MATCH(ROWS($AF$2:AF539),$AF$2:$AF$1001,0),1)&gt;=100000,INDEX($AM$1005:$BM$1005,1,MATCH(COLUMNS($AM$1006:BM1006),$AM$1006:$BM$1006,0))&gt;=100000), " ",IF(INDEX($AM$2:$BM$1001,MATCH(ROWS($AF$2:AF539),$AF$2:$AF$1001,0),MATCH(COLUMNS($AM$1006:BM1006),$AM$1006:$BM$1006,0)), HYPERLINK("#",""), HYPERLINK(CONCATENATE("#metadata!", ADDRESS(INDEX($AH$2:$AH$1001,MATCH(ROWS($AF$2:AF539),$AF$2:$AF$1001,0),0), INDEX($AM$1004:$BM$1004,1,MATCH(COLUMNS($AM$1006:BM1006),$AM$1006:$BM$1006,0)))),"Fix")))</f>
        <v xml:space="preserve"> </v>
      </c>
      <c r="AF539">
        <v>538</v>
      </c>
      <c r="AG539">
        <v>100539</v>
      </c>
      <c r="AH539">
        <v>539</v>
      </c>
      <c r="AI539" t="b">
        <f t="shared" si="8"/>
        <v>1</v>
      </c>
      <c r="AJ539" t="b">
        <f>COUNTBLANK(metadata!B539:AB539)=COLUMNS(metadata!B539:AB539)</f>
        <v>1</v>
      </c>
      <c r="AK539" t="str">
        <v/>
      </c>
      <c r="AM539" t="b">
        <f ca="1">AND(IF(metadata!B539="",FALSE,TRUE),COUNTIF(metadata!B:B, metadata!B539) = 1,NOT(ISERROR(SUMPRODUCT(SEARCH(MID(metadata!B539,ROW(INDIRECT("1:"&amp;LEN(metadata!B539))), 1),"0123456789abcdefghijklmnopqrstuvwxyzABCDEFGHIJKLMNOPQRSTUVWXYZ.")))))</f>
        <v>0</v>
      </c>
      <c r="AN539" t="b">
        <f ca="1">OR(AND(IF(metadata!C539="",FALSE,TRUE),OR(EXACT(metadata!C539,"missing: not collected"),EXACT(metadata!C539,"missing: not provided"),EXACT(metadata!C539,"missing: restricted access"))),AND(IF(metadata!C539="",FALSE,TRUE),AND(AND(IFERROR(INT(LEFT(metadata!C539,4))&gt;1900,FALSE),IFERROR(INT(LEFT(metadata!C539,4))&lt;=YEAR(NOW()),FALSE)), OR(MID(metadata!C539,5,1)="", AND(AND(MID(metadata!C539,5,1)="-",IFERROR(INT(MID(metadata!C539,6,1))&gt;=0,FALSE),IFERROR(INT(MID(metadata!C539,6,1))&lt;=1,FALSE),NOT(MID(metadata!C539,7,1)=""),IFERROR(INT(MID(metadata!C539,6,2))&gt;=1,FALSE),IFERROR(INT(MID(metadata!C539,6,2))&lt;=12,FALSE)), OR(MID(metadata!C539,8,1)="", AND(AND(MID(metadata!C539,8,1)="-",IFERROR(INT(MID(metadata!C539,9,1))&gt;=0,FALSE),IFERROR(INT(MID(metadata!C539,9,1))&lt;=3,FALSE),NOT(MID(metadata!C539,10,1)=""),IFERROR(INT(MID(metadata!C539,9,2))&gt;=1,FALSE),IFERROR(INT(MID(metadata!C539,9,2))&lt;=31,FALSE)), OR(MID(metadata!C539,11,1)="", AND(AND(MID(metadata!C539,11,1)=" ",IFERROR(INT(MID(metadata!C539,12,1))&gt;=0,FALSE),IFERROR(INT(MID(metadata!C539,12,1))&lt;=2,FALSE),NOT(MID(metadata!C539,13,1)=""),IFERROR(INT(MID(metadata!C539,12,2))&gt;=0,FALSE),IFERROR(INT(MID(metadata!C539,12,2))&lt;=23,FALSE)), OR(MID(metadata!C539,14,1)="", AND(AND(MID(metadata!C539,14,1)=":",IFERROR(INT(MID(metadata!C539,15,1))&gt;=0,FALSE),IFERROR(INT(MID(metadata!C539,15,1))&lt;=5,FALSE),NOT(MID(metadata!C539,16,1)=""),IFERROR(INT(MID(metadata!C539,15,2))&gt;=0,FALSE),IFERROR(INT(MID(metadata!C539,15,2))&lt;=59,FALSE)), OR(MID(metadata!C539,17,1)="", AND(AND(MID(metadata!C539,17,1)=":",IFERROR(INT(MID(metadata!C539,18,1))&gt;=0,FALSE),IFERROR(INT(MID(metadata!C539,18,1))&lt;=5,FALSE),NOT(MID(metadata!C539,19,1)=""),IFERROR(INT(MID(metadata!C539,18,2))&gt;=0,FALSE),IFERROR(INT(MID(metadata!C539,18,2))&lt;=59,FALSE)), LEN(metadata!C539)&lt;=19)))))))))))))</f>
        <v>0</v>
      </c>
      <c r="AO539" t="b">
        <f>AND(IF(metadata!D539="",FALSE,TRUE),EXACT(metadata!D539,"Not applicable"))</f>
        <v>0</v>
      </c>
      <c r="AP539" t="b">
        <f>IF(metadata!E539="",FALSE,TRUE)</f>
        <v>0</v>
      </c>
      <c r="AQ539" t="b">
        <f>OR(AND(IF(metadata!F539="",FALSE,TRUE),OR(EXACT(metadata!F539,"missing: not collected"),EXACT(metadata!F539,"missing: not provided"))),AND(IF(metadata!F539="",FALSE,TRUE),OR(EXACT(metadata!F539,"TRUE"),EXACT(metadata!F539,"FALSE"))))</f>
        <v>0</v>
      </c>
      <c r="AR539" t="b">
        <f>OR(AND(IF(metadata!G539="",FALSE,TRUE),OR(EXACT(metadata!G539,"missing: not collected"),EXACT(metadata!G539,"missing: not provided"),EXACT(metadata!G539,"missing: restricted access"))),AND(IF(metadata!G539="",FALSE,ISNUMBER(VALUE(metadata!G539))),metadata!G539&gt;=-413))</f>
        <v>0</v>
      </c>
      <c r="AS539" t="b">
        <f>AND(IF(metadata!H539="",FALSE,TRUE),EXACT(metadata!H539,"meters"))</f>
        <v>0</v>
      </c>
      <c r="AT539" t="b">
        <f>AND(IF(metadata!I539="",FALSE,TRUE),OR(EXACT(metadata!I539,"Host-associated"),EXACT(metadata!I539,"Free-living")))</f>
        <v>0</v>
      </c>
      <c r="AU539" t="b">
        <f>AND(IF(metadata!J539="",FALSE,TRUE),OR(EXACT(metadata!J539,"Animal"),EXACT(metadata!J539,"Fungus"),EXACT(metadata!J539,"Plant"),EXACT(metadata!J539,"Saline"),EXACT(metadata!J539,"Non-saline")))</f>
        <v>0</v>
      </c>
      <c r="AV539" t="b">
        <f>AND(IF(metadata!K539="",FALSE,TRUE),OR(EXACT(metadata!K539,"Plant secretion"),EXACT(metadata!K539,"Plant rhizosphere"),EXACT(metadata!K539,"Plant surface"),EXACT(metadata!K539,"Plant corpus"),EXACT(metadata!K539,"Fungus surface"),EXACT(metadata!K539,"Fungus corpus"),EXACT(metadata!K539,"Animal surface"),EXACT(metadata!K539,"Animal proximal gut"),EXACT(metadata!K539,"Animal corpus"),EXACT(metadata!K539,"Animal distal gut"),EXACT(metadata!K539,"Animal secretion"),EXACT(metadata!K539,"Sub-surface (non-saline)"),EXACT(metadata!K539,"Surface (non-saline)"),EXACT(metadata!K539,"Water (non-saline)"),EXACT(metadata!K539,"Soil (non-saline)"),EXACT(metadata!K539,"Aerosol (non-saline)"),EXACT(metadata!K539,"Sediment (non-saline)"),EXACT(metadata!K539,"Surface (saline)"),EXACT(metadata!K539,"Water (saline)"),EXACT(metadata!K539,"Hypersaline (saline)"),EXACT(metadata!K539,"Aerosol (saline)"),EXACT(metadata!K539,"Sediment (saline)")))</f>
        <v>0</v>
      </c>
      <c r="AW539" t="b">
        <f>IF(metadata!L539="",FALSE,TRUE)</f>
        <v>0</v>
      </c>
      <c r="AX539" t="b">
        <f>IF(metadata!M539="",FALSE,TRUE)</f>
        <v>0</v>
      </c>
      <c r="AY539" t="b">
        <f>IF(metadata!N539="",FALSE,TRUE)</f>
        <v>0</v>
      </c>
      <c r="AZ539" t="b">
        <f>OR(AND(IF(metadata!O539="",FALSE,TRUE),OR(EXACT(metadata!O539,"missing: not collected"),EXACT(metadata!O539,"missing: not provided"),EXACT(metadata!O539,"missing: restricted access"))),AND(IF(metadata!O539="",FALSE,TRUE),OR(EXACT(metadata!O539,"air"),EXACT(metadata!O539,"built environment"),EXACT(metadata!O539,"host-associated"),EXACT(metadata!O539,"human-associated"),EXACT(metadata!O539,"human-skin"),EXACT(metadata!O539,"human-oral"),EXACT(metadata!O539,"human-gut"),EXACT(metadata!O539,"human-vaginal"),EXACT(metadata!O539,"microbial mat/biofilm"),EXACT(metadata!O539,"misc environment"),EXACT(metadata!O539,"plant-associated"),EXACT(metadata!O539,"sediment"),EXACT(metadata!O539,"soil"),EXACT(metadata!O539,"wastewater/sludge"),EXACT(metadata!O539,"water"))))</f>
        <v>0</v>
      </c>
      <c r="BA539" t="b">
        <f>IF(metadata!P539="",FALSE,TRUE)</f>
        <v>0</v>
      </c>
      <c r="BB539" t="b">
        <f>IF(metadata!Q539="",FALSE,TRUE)</f>
        <v>0</v>
      </c>
      <c r="BC539" t="b">
        <f>OR(AND(IF(metadata!R539="",FALSE,TRUE),OR(EXACT(metadata!R539,"missing: not collected"),EXACT(metadata!R539,"missing: not provided"),EXACT(metadata!R539,"missing: restricted access"))),AND(IF(metadata!R539="",FALSE,ISNUMBER(VALUE(metadata!R539))),metadata!R539&gt;=-90,metadata!R539&lt;=90))</f>
        <v>0</v>
      </c>
      <c r="BD539" t="b">
        <f>AND(IF(metadata!S539="",FALSE,TRUE),EXACT(metadata!S539,"Decimal degrees"))</f>
        <v>0</v>
      </c>
      <c r="BE539" t="b">
        <f>OR(AND(IF(metadata!T539="",FALSE,TRUE),OR(EXACT(metadata!T539,"missing: not collected"),EXACT(metadata!T539,"missing: not provided"),EXACT(metadata!T539,"missing: restricted access"))),AND(IF(metadata!T539="",FALSE,ISNUMBER(VALUE(metadata!T539))),metadata!T539&gt;=-180,metadata!T539&lt;=180))</f>
        <v>0</v>
      </c>
      <c r="BF539" t="b">
        <f>AND(IF(metadata!U539="",FALSE,TRUE),EXACT(metadata!U539,"Decimal degrees"))</f>
        <v>0</v>
      </c>
      <c r="BG539" t="b">
        <f>IF(metadata!V539="",FALSE,TRUE)</f>
        <v>0</v>
      </c>
      <c r="BH539" t="b">
        <f>OR(AND(IF(metadata!W539="",FALSE,TRUE),OR(EXACT(metadata!W539,"missing: not collected"),EXACT(metadata!W539,"missing: not provided"),EXACT(metadata!W539,"missing: restricted access"))),AND(IF(metadata!W539="",FALSE,TRUE),OR(EXACT(metadata!W539,"TRUE"),EXACT(metadata!W539,"FALSE"))))</f>
        <v>0</v>
      </c>
      <c r="BI539" t="b">
        <f>AND(IF(metadata!X539="",FALSE,TRUE),EXACT(metadata!X539,"other"))</f>
        <v>0</v>
      </c>
      <c r="BJ539" t="b">
        <f>IF(metadata!Y539="",FALSE,TRUE)</f>
        <v>0</v>
      </c>
      <c r="BK539" t="b">
        <f>OR(AND(IF(metadata!Z539="",FALSE,TRUE),OR(EXACT(metadata!Z539,"missing: not collected"),EXACT(metadata!Z539,"missing: not provided"))),AND(IF(metadata!Z539="",FALSE,IF(ISERROR(INT(metadata!Z539)),FALSE,INT(metadata!Z539)=metadata!Z539)),metadata!Z539&gt;0))</f>
        <v>0</v>
      </c>
      <c r="BL539" t="b">
        <f>AND(IF(metadata!AA539="",FALSE,TRUE),EXACT(metadata!AA539,"Not applicable"))</f>
        <v>0</v>
      </c>
      <c r="BM539" t="b">
        <f>IF(metadata!AB539="",FALSE,TRUE)</f>
        <v>0</v>
      </c>
    </row>
    <row r="540" spans="1:65" x14ac:dyDescent="0.2">
      <c r="A540" s="5" t="str">
        <f ca="1">IF(B540=" "," ",HYPERLINK(CONCATENATE("#metadata!",ADDRESS(INDEX($AH$2:$AH$1001,MATCH(ROWS($AF$2:AF540),$AF$2:$AF$1001,0),0),1)),INDEX($AK$2:$AK$1001,MATCH(ROWS($AF$2:AF540),$AF$2:$AF$1001,0),0)))</f>
        <v xml:space="preserve"> </v>
      </c>
      <c r="B540" s="4" t="str">
        <f ca="1">IF(OR(INDEX($AG$2:$AG$1001,MATCH(ROWS($AF$2:AF540),$AF$2:$AF$1001,0),1)&gt;=100000,INDEX($AM$1005:$BM$1005,1,MATCH(COLUMNS($AM$1006:AM1006),$AM$1006:$BM$1006,0))&gt;=100000), " ",IF(INDEX($AM$2:$BM$1001,MATCH(ROWS($AF$2:AF540),$AF$2:$AF$1001,0),MATCH(COLUMNS($AM$1006:AM1006),$AM$1006:$BM$1006,0)), HYPERLINK("#",""), HYPERLINK(CONCATENATE("#metadata!", ADDRESS(INDEX($AH$2:$AH$1001,MATCH(ROWS($AF$2:AF540),$AF$2:$AF$1001,0),0), INDEX($AM$1004:$BM$1004,1,MATCH(COLUMNS($AM$1006:AM1006),$AM$1006:$BM$1006,0)))),"Fix")))</f>
        <v xml:space="preserve"> </v>
      </c>
      <c r="C540" s="4" t="str">
        <f ca="1">IF(OR(INDEX($AG$2:$AG$1001,MATCH(ROWS($AF$2:AF540),$AF$2:$AF$1001,0),1)&gt;=100000,INDEX($AM$1005:$BM$1005,1,MATCH(COLUMNS($AM$1006:AN1006),$AM$1006:$BM$1006,0))&gt;=100000), " ",IF(INDEX($AM$2:$BM$1001,MATCH(ROWS($AF$2:AF540),$AF$2:$AF$1001,0),MATCH(COLUMNS($AM$1006:AN1006),$AM$1006:$BM$1006,0)), HYPERLINK("#",""), HYPERLINK(CONCATENATE("#metadata!", ADDRESS(INDEX($AH$2:$AH$1001,MATCH(ROWS($AF$2:AF540),$AF$2:$AF$1001,0),0), INDEX($AM$1004:$BM$1004,1,MATCH(COLUMNS($AM$1006:AN1006),$AM$1006:$BM$1006,0)))),"Fix")))</f>
        <v xml:space="preserve"> </v>
      </c>
      <c r="D540" s="4" t="str">
        <f ca="1">IF(OR(INDEX($AG$2:$AG$1001,MATCH(ROWS($AF$2:AF540),$AF$2:$AF$1001,0),1)&gt;=100000,INDEX($AM$1005:$BM$1005,1,MATCH(COLUMNS($AM$1006:AO1006),$AM$1006:$BM$1006,0))&gt;=100000), " ",IF(INDEX($AM$2:$BM$1001,MATCH(ROWS($AF$2:AF540),$AF$2:$AF$1001,0),MATCH(COLUMNS($AM$1006:AO1006),$AM$1006:$BM$1006,0)), HYPERLINK("#",""), HYPERLINK(CONCATENATE("#metadata!", ADDRESS(INDEX($AH$2:$AH$1001,MATCH(ROWS($AF$2:AF540),$AF$2:$AF$1001,0),0), INDEX($AM$1004:$BM$1004,1,MATCH(COLUMNS($AM$1006:AO1006),$AM$1006:$BM$1006,0)))),"Fix")))</f>
        <v xml:space="preserve"> </v>
      </c>
      <c r="E540" s="4" t="str">
        <f ca="1">IF(OR(INDEX($AG$2:$AG$1001,MATCH(ROWS($AF$2:AF540),$AF$2:$AF$1001,0),1)&gt;=100000,INDEX($AM$1005:$BM$1005,1,MATCH(COLUMNS($AM$1006:AP1006),$AM$1006:$BM$1006,0))&gt;=100000), " ",IF(INDEX($AM$2:$BM$1001,MATCH(ROWS($AF$2:AF540),$AF$2:$AF$1001,0),MATCH(COLUMNS($AM$1006:AP1006),$AM$1006:$BM$1006,0)), HYPERLINK("#",""), HYPERLINK(CONCATENATE("#metadata!", ADDRESS(INDEX($AH$2:$AH$1001,MATCH(ROWS($AF$2:AF540),$AF$2:$AF$1001,0),0), INDEX($AM$1004:$BM$1004,1,MATCH(COLUMNS($AM$1006:AP1006),$AM$1006:$BM$1006,0)))),"Fix")))</f>
        <v xml:space="preserve"> </v>
      </c>
      <c r="F540" s="4" t="str">
        <f ca="1">IF(OR(INDEX($AG$2:$AG$1001,MATCH(ROWS($AF$2:AF540),$AF$2:$AF$1001,0),1)&gt;=100000,INDEX($AM$1005:$BM$1005,1,MATCH(COLUMNS($AM$1006:AQ1006),$AM$1006:$BM$1006,0))&gt;=100000), " ",IF(INDEX($AM$2:$BM$1001,MATCH(ROWS($AF$2:AF540),$AF$2:$AF$1001,0),MATCH(COLUMNS($AM$1006:AQ1006),$AM$1006:$BM$1006,0)), HYPERLINK("#",""), HYPERLINK(CONCATENATE("#metadata!", ADDRESS(INDEX($AH$2:$AH$1001,MATCH(ROWS($AF$2:AF540),$AF$2:$AF$1001,0),0), INDEX($AM$1004:$BM$1004,1,MATCH(COLUMNS($AM$1006:AQ1006),$AM$1006:$BM$1006,0)))),"Fix")))</f>
        <v xml:space="preserve"> </v>
      </c>
      <c r="G540" s="4" t="str">
        <f ca="1">IF(OR(INDEX($AG$2:$AG$1001,MATCH(ROWS($AF$2:AF540),$AF$2:$AF$1001,0),1)&gt;=100000,INDEX($AM$1005:$BM$1005,1,MATCH(COLUMNS($AM$1006:AR1006),$AM$1006:$BM$1006,0))&gt;=100000), " ",IF(INDEX($AM$2:$BM$1001,MATCH(ROWS($AF$2:AF540),$AF$2:$AF$1001,0),MATCH(COLUMNS($AM$1006:AR1006),$AM$1006:$BM$1006,0)), HYPERLINK("#",""), HYPERLINK(CONCATENATE("#metadata!", ADDRESS(INDEX($AH$2:$AH$1001,MATCH(ROWS($AF$2:AF540),$AF$2:$AF$1001,0),0), INDEX($AM$1004:$BM$1004,1,MATCH(COLUMNS($AM$1006:AR1006),$AM$1006:$BM$1006,0)))),"Fix")))</f>
        <v xml:space="preserve"> </v>
      </c>
      <c r="H540" s="4" t="str">
        <f ca="1">IF(OR(INDEX($AG$2:$AG$1001,MATCH(ROWS($AF$2:AF540),$AF$2:$AF$1001,0),1)&gt;=100000,INDEX($AM$1005:$BM$1005,1,MATCH(COLUMNS($AM$1006:AS1006),$AM$1006:$BM$1006,0))&gt;=100000), " ",IF(INDEX($AM$2:$BM$1001,MATCH(ROWS($AF$2:AF540),$AF$2:$AF$1001,0),MATCH(COLUMNS($AM$1006:AS1006),$AM$1006:$BM$1006,0)), HYPERLINK("#",""), HYPERLINK(CONCATENATE("#metadata!", ADDRESS(INDEX($AH$2:$AH$1001,MATCH(ROWS($AF$2:AF540),$AF$2:$AF$1001,0),0), INDEX($AM$1004:$BM$1004,1,MATCH(COLUMNS($AM$1006:AS1006),$AM$1006:$BM$1006,0)))),"Fix")))</f>
        <v xml:space="preserve"> </v>
      </c>
      <c r="I540" s="4" t="str">
        <f ca="1">IF(OR(INDEX($AG$2:$AG$1001,MATCH(ROWS($AF$2:AF540),$AF$2:$AF$1001,0),1)&gt;=100000,INDEX($AM$1005:$BM$1005,1,MATCH(COLUMNS($AM$1006:AT1006),$AM$1006:$BM$1006,0))&gt;=100000), " ",IF(INDEX($AM$2:$BM$1001,MATCH(ROWS($AF$2:AF540),$AF$2:$AF$1001,0),MATCH(COLUMNS($AM$1006:AT1006),$AM$1006:$BM$1006,0)), HYPERLINK("#",""), HYPERLINK(CONCATENATE("#metadata!", ADDRESS(INDEX($AH$2:$AH$1001,MATCH(ROWS($AF$2:AF540),$AF$2:$AF$1001,0),0), INDEX($AM$1004:$BM$1004,1,MATCH(COLUMNS($AM$1006:AT1006),$AM$1006:$BM$1006,0)))),"Fix")))</f>
        <v xml:space="preserve"> </v>
      </c>
      <c r="J540" s="4" t="str">
        <f ca="1">IF(OR(INDEX($AG$2:$AG$1001,MATCH(ROWS($AF$2:AF540),$AF$2:$AF$1001,0),1)&gt;=100000,INDEX($AM$1005:$BM$1005,1,MATCH(COLUMNS($AM$1006:AU1006),$AM$1006:$BM$1006,0))&gt;=100000), " ",IF(INDEX($AM$2:$BM$1001,MATCH(ROWS($AF$2:AF540),$AF$2:$AF$1001,0),MATCH(COLUMNS($AM$1006:AU1006),$AM$1006:$BM$1006,0)), HYPERLINK("#",""), HYPERLINK(CONCATENATE("#metadata!", ADDRESS(INDEX($AH$2:$AH$1001,MATCH(ROWS($AF$2:AF540),$AF$2:$AF$1001,0),0), INDEX($AM$1004:$BM$1004,1,MATCH(COLUMNS($AM$1006:AU1006),$AM$1006:$BM$1006,0)))),"Fix")))</f>
        <v xml:space="preserve"> </v>
      </c>
      <c r="K540" s="4" t="str">
        <f ca="1">IF(OR(INDEX($AG$2:$AG$1001,MATCH(ROWS($AF$2:AF540),$AF$2:$AF$1001,0),1)&gt;=100000,INDEX($AM$1005:$BM$1005,1,MATCH(COLUMNS($AM$1006:AV1006),$AM$1006:$BM$1006,0))&gt;=100000), " ",IF(INDEX($AM$2:$BM$1001,MATCH(ROWS($AF$2:AF540),$AF$2:$AF$1001,0),MATCH(COLUMNS($AM$1006:AV1006),$AM$1006:$BM$1006,0)), HYPERLINK("#",""), HYPERLINK(CONCATENATE("#metadata!", ADDRESS(INDEX($AH$2:$AH$1001,MATCH(ROWS($AF$2:AF540),$AF$2:$AF$1001,0),0), INDEX($AM$1004:$BM$1004,1,MATCH(COLUMNS($AM$1006:AV1006),$AM$1006:$BM$1006,0)))),"Fix")))</f>
        <v xml:space="preserve"> </v>
      </c>
      <c r="L540" s="4" t="str">
        <f ca="1">IF(OR(INDEX($AG$2:$AG$1001,MATCH(ROWS($AF$2:AF540),$AF$2:$AF$1001,0),1)&gt;=100000,INDEX($AM$1005:$BM$1005,1,MATCH(COLUMNS($AM$1006:AW1006),$AM$1006:$BM$1006,0))&gt;=100000), " ",IF(INDEX($AM$2:$BM$1001,MATCH(ROWS($AF$2:AF540),$AF$2:$AF$1001,0),MATCH(COLUMNS($AM$1006:AW1006),$AM$1006:$BM$1006,0)), HYPERLINK("#",""), HYPERLINK(CONCATENATE("#metadata!", ADDRESS(INDEX($AH$2:$AH$1001,MATCH(ROWS($AF$2:AF540),$AF$2:$AF$1001,0),0), INDEX($AM$1004:$BM$1004,1,MATCH(COLUMNS($AM$1006:AW1006),$AM$1006:$BM$1006,0)))),"Fix")))</f>
        <v xml:space="preserve"> </v>
      </c>
      <c r="M540" s="4" t="str">
        <f ca="1">IF(OR(INDEX($AG$2:$AG$1001,MATCH(ROWS($AF$2:AF540),$AF$2:$AF$1001,0),1)&gt;=100000,INDEX($AM$1005:$BM$1005,1,MATCH(COLUMNS($AM$1006:AX1006),$AM$1006:$BM$1006,0))&gt;=100000), " ",IF(INDEX($AM$2:$BM$1001,MATCH(ROWS($AF$2:AF540),$AF$2:$AF$1001,0),MATCH(COLUMNS($AM$1006:AX1006),$AM$1006:$BM$1006,0)), HYPERLINK("#",""), HYPERLINK(CONCATENATE("#metadata!", ADDRESS(INDEX($AH$2:$AH$1001,MATCH(ROWS($AF$2:AF540),$AF$2:$AF$1001,0),0), INDEX($AM$1004:$BM$1004,1,MATCH(COLUMNS($AM$1006:AX1006),$AM$1006:$BM$1006,0)))),"Fix")))</f>
        <v xml:space="preserve"> </v>
      </c>
      <c r="N540" s="4" t="str">
        <f ca="1">IF(OR(INDEX($AG$2:$AG$1001,MATCH(ROWS($AF$2:AF540),$AF$2:$AF$1001,0),1)&gt;=100000,INDEX($AM$1005:$BM$1005,1,MATCH(COLUMNS($AM$1006:AY1006),$AM$1006:$BM$1006,0))&gt;=100000), " ",IF(INDEX($AM$2:$BM$1001,MATCH(ROWS($AF$2:AF540),$AF$2:$AF$1001,0),MATCH(COLUMNS($AM$1006:AY1006),$AM$1006:$BM$1006,0)), HYPERLINK("#",""), HYPERLINK(CONCATENATE("#metadata!", ADDRESS(INDEX($AH$2:$AH$1001,MATCH(ROWS($AF$2:AF540),$AF$2:$AF$1001,0),0), INDEX($AM$1004:$BM$1004,1,MATCH(COLUMNS($AM$1006:AY1006),$AM$1006:$BM$1006,0)))),"Fix")))</f>
        <v xml:space="preserve"> </v>
      </c>
      <c r="O540" s="4" t="str">
        <f ca="1">IF(OR(INDEX($AG$2:$AG$1001,MATCH(ROWS($AF$2:AF540),$AF$2:$AF$1001,0),1)&gt;=100000,INDEX($AM$1005:$BM$1005,1,MATCH(COLUMNS($AM$1006:AZ1006),$AM$1006:$BM$1006,0))&gt;=100000), " ",IF(INDEX($AM$2:$BM$1001,MATCH(ROWS($AF$2:AF540),$AF$2:$AF$1001,0),MATCH(COLUMNS($AM$1006:AZ1006),$AM$1006:$BM$1006,0)), HYPERLINK("#",""), HYPERLINK(CONCATENATE("#metadata!", ADDRESS(INDEX($AH$2:$AH$1001,MATCH(ROWS($AF$2:AF540),$AF$2:$AF$1001,0),0), INDEX($AM$1004:$BM$1004,1,MATCH(COLUMNS($AM$1006:AZ1006),$AM$1006:$BM$1006,0)))),"Fix")))</f>
        <v xml:space="preserve"> </v>
      </c>
      <c r="P540" s="4" t="str">
        <f ca="1">IF(OR(INDEX($AG$2:$AG$1001,MATCH(ROWS($AF$2:AF540),$AF$2:$AF$1001,0),1)&gt;=100000,INDEX($AM$1005:$BM$1005,1,MATCH(COLUMNS($AM$1006:BA1006),$AM$1006:$BM$1006,0))&gt;=100000), " ",IF(INDEX($AM$2:$BM$1001,MATCH(ROWS($AF$2:AF540),$AF$2:$AF$1001,0),MATCH(COLUMNS($AM$1006:BA1006),$AM$1006:$BM$1006,0)), HYPERLINK("#",""), HYPERLINK(CONCATENATE("#metadata!", ADDRESS(INDEX($AH$2:$AH$1001,MATCH(ROWS($AF$2:AF540),$AF$2:$AF$1001,0),0), INDEX($AM$1004:$BM$1004,1,MATCH(COLUMNS($AM$1006:BA1006),$AM$1006:$BM$1006,0)))),"Fix")))</f>
        <v xml:space="preserve"> </v>
      </c>
      <c r="Q540" s="4" t="str">
        <f ca="1">IF(OR(INDEX($AG$2:$AG$1001,MATCH(ROWS($AF$2:AF540),$AF$2:$AF$1001,0),1)&gt;=100000,INDEX($AM$1005:$BM$1005,1,MATCH(COLUMNS($AM$1006:BB1006),$AM$1006:$BM$1006,0))&gt;=100000), " ",IF(INDEX($AM$2:$BM$1001,MATCH(ROWS($AF$2:AF540),$AF$2:$AF$1001,0),MATCH(COLUMNS($AM$1006:BB1006),$AM$1006:$BM$1006,0)), HYPERLINK("#",""), HYPERLINK(CONCATENATE("#metadata!", ADDRESS(INDEX($AH$2:$AH$1001,MATCH(ROWS($AF$2:AF540),$AF$2:$AF$1001,0),0), INDEX($AM$1004:$BM$1004,1,MATCH(COLUMNS($AM$1006:BB1006),$AM$1006:$BM$1006,0)))),"Fix")))</f>
        <v xml:space="preserve"> </v>
      </c>
      <c r="R540" s="4" t="str">
        <f ca="1">IF(OR(INDEX($AG$2:$AG$1001,MATCH(ROWS($AF$2:AF540),$AF$2:$AF$1001,0),1)&gt;=100000,INDEX($AM$1005:$BM$1005,1,MATCH(COLUMNS($AM$1006:BC1006),$AM$1006:$BM$1006,0))&gt;=100000), " ",IF(INDEX($AM$2:$BM$1001,MATCH(ROWS($AF$2:AF540),$AF$2:$AF$1001,0),MATCH(COLUMNS($AM$1006:BC1006),$AM$1006:$BM$1006,0)), HYPERLINK("#",""), HYPERLINK(CONCATENATE("#metadata!", ADDRESS(INDEX($AH$2:$AH$1001,MATCH(ROWS($AF$2:AF540),$AF$2:$AF$1001,0),0), INDEX($AM$1004:$BM$1004,1,MATCH(COLUMNS($AM$1006:BC1006),$AM$1006:$BM$1006,0)))),"Fix")))</f>
        <v xml:space="preserve"> </v>
      </c>
      <c r="S540" s="4" t="str">
        <f ca="1">IF(OR(INDEX($AG$2:$AG$1001,MATCH(ROWS($AF$2:AF540),$AF$2:$AF$1001,0),1)&gt;=100000,INDEX($AM$1005:$BM$1005,1,MATCH(COLUMNS($AM$1006:BD1006),$AM$1006:$BM$1006,0))&gt;=100000), " ",IF(INDEX($AM$2:$BM$1001,MATCH(ROWS($AF$2:AF540),$AF$2:$AF$1001,0),MATCH(COLUMNS($AM$1006:BD1006),$AM$1006:$BM$1006,0)), HYPERLINK("#",""), HYPERLINK(CONCATENATE("#metadata!", ADDRESS(INDEX($AH$2:$AH$1001,MATCH(ROWS($AF$2:AF540),$AF$2:$AF$1001,0),0), INDEX($AM$1004:$BM$1004,1,MATCH(COLUMNS($AM$1006:BD1006),$AM$1006:$BM$1006,0)))),"Fix")))</f>
        <v xml:space="preserve"> </v>
      </c>
      <c r="T540" s="4" t="str">
        <f ca="1">IF(OR(INDEX($AG$2:$AG$1001,MATCH(ROWS($AF$2:AF540),$AF$2:$AF$1001,0),1)&gt;=100000,INDEX($AM$1005:$BM$1005,1,MATCH(COLUMNS($AM$1006:BE1006),$AM$1006:$BM$1006,0))&gt;=100000), " ",IF(INDEX($AM$2:$BM$1001,MATCH(ROWS($AF$2:AF540),$AF$2:$AF$1001,0),MATCH(COLUMNS($AM$1006:BE1006),$AM$1006:$BM$1006,0)), HYPERLINK("#",""), HYPERLINK(CONCATENATE("#metadata!", ADDRESS(INDEX($AH$2:$AH$1001,MATCH(ROWS($AF$2:AF540),$AF$2:$AF$1001,0),0), INDEX($AM$1004:$BM$1004,1,MATCH(COLUMNS($AM$1006:BE1006),$AM$1006:$BM$1006,0)))),"Fix")))</f>
        <v xml:space="preserve"> </v>
      </c>
      <c r="U540" s="4" t="str">
        <f ca="1">IF(OR(INDEX($AG$2:$AG$1001,MATCH(ROWS($AF$2:AF540),$AF$2:$AF$1001,0),1)&gt;=100000,INDEX($AM$1005:$BM$1005,1,MATCH(COLUMNS($AM$1006:BF1006),$AM$1006:$BM$1006,0))&gt;=100000), " ",IF(INDEX($AM$2:$BM$1001,MATCH(ROWS($AF$2:AF540),$AF$2:$AF$1001,0),MATCH(COLUMNS($AM$1006:BF1006),$AM$1006:$BM$1006,0)), HYPERLINK("#",""), HYPERLINK(CONCATENATE("#metadata!", ADDRESS(INDEX($AH$2:$AH$1001,MATCH(ROWS($AF$2:AF540),$AF$2:$AF$1001,0),0), INDEX($AM$1004:$BM$1004,1,MATCH(COLUMNS($AM$1006:BF1006),$AM$1006:$BM$1006,0)))),"Fix")))</f>
        <v xml:space="preserve"> </v>
      </c>
      <c r="V540" s="4" t="str">
        <f ca="1">IF(OR(INDEX($AG$2:$AG$1001,MATCH(ROWS($AF$2:AF540),$AF$2:$AF$1001,0),1)&gt;=100000,INDEX($AM$1005:$BM$1005,1,MATCH(COLUMNS($AM$1006:BG1006),$AM$1006:$BM$1006,0))&gt;=100000), " ",IF(INDEX($AM$2:$BM$1001,MATCH(ROWS($AF$2:AF540),$AF$2:$AF$1001,0),MATCH(COLUMNS($AM$1006:BG1006),$AM$1006:$BM$1006,0)), HYPERLINK("#",""), HYPERLINK(CONCATENATE("#metadata!", ADDRESS(INDEX($AH$2:$AH$1001,MATCH(ROWS($AF$2:AF540),$AF$2:$AF$1001,0),0), INDEX($AM$1004:$BM$1004,1,MATCH(COLUMNS($AM$1006:BG1006),$AM$1006:$BM$1006,0)))),"Fix")))</f>
        <v xml:space="preserve"> </v>
      </c>
      <c r="W540" s="4" t="str">
        <f ca="1">IF(OR(INDEX($AG$2:$AG$1001,MATCH(ROWS($AF$2:AF540),$AF$2:$AF$1001,0),1)&gt;=100000,INDEX($AM$1005:$BM$1005,1,MATCH(COLUMNS($AM$1006:BH1006),$AM$1006:$BM$1006,0))&gt;=100000), " ",IF(INDEX($AM$2:$BM$1001,MATCH(ROWS($AF$2:AF540),$AF$2:$AF$1001,0),MATCH(COLUMNS($AM$1006:BH1006),$AM$1006:$BM$1006,0)), HYPERLINK("#",""), HYPERLINK(CONCATENATE("#metadata!", ADDRESS(INDEX($AH$2:$AH$1001,MATCH(ROWS($AF$2:AF540),$AF$2:$AF$1001,0),0), INDEX($AM$1004:$BM$1004,1,MATCH(COLUMNS($AM$1006:BH1006),$AM$1006:$BM$1006,0)))),"Fix")))</f>
        <v xml:space="preserve"> </v>
      </c>
      <c r="X540" s="4" t="str">
        <f ca="1">IF(OR(INDEX($AG$2:$AG$1001,MATCH(ROWS($AF$2:AF540),$AF$2:$AF$1001,0),1)&gt;=100000,INDEX($AM$1005:$BM$1005,1,MATCH(COLUMNS($AM$1006:BI1006),$AM$1006:$BM$1006,0))&gt;=100000), " ",IF(INDEX($AM$2:$BM$1001,MATCH(ROWS($AF$2:AF540),$AF$2:$AF$1001,0),MATCH(COLUMNS($AM$1006:BI1006),$AM$1006:$BM$1006,0)), HYPERLINK("#",""), HYPERLINK(CONCATENATE("#metadata!", ADDRESS(INDEX($AH$2:$AH$1001,MATCH(ROWS($AF$2:AF540),$AF$2:$AF$1001,0),0), INDEX($AM$1004:$BM$1004,1,MATCH(COLUMNS($AM$1006:BI1006),$AM$1006:$BM$1006,0)))),"Fix")))</f>
        <v xml:space="preserve"> </v>
      </c>
      <c r="Y540" s="4" t="str">
        <f ca="1">IF(OR(INDEX($AG$2:$AG$1001,MATCH(ROWS($AF$2:AF540),$AF$2:$AF$1001,0),1)&gt;=100000,INDEX($AM$1005:$BM$1005,1,MATCH(COLUMNS($AM$1006:BJ1006),$AM$1006:$BM$1006,0))&gt;=100000), " ",IF(INDEX($AM$2:$BM$1001,MATCH(ROWS($AF$2:AF540),$AF$2:$AF$1001,0),MATCH(COLUMNS($AM$1006:BJ1006),$AM$1006:$BM$1006,0)), HYPERLINK("#",""), HYPERLINK(CONCATENATE("#metadata!", ADDRESS(INDEX($AH$2:$AH$1001,MATCH(ROWS($AF$2:AF540),$AF$2:$AF$1001,0),0), INDEX($AM$1004:$BM$1004,1,MATCH(COLUMNS($AM$1006:BJ1006),$AM$1006:$BM$1006,0)))),"Fix")))</f>
        <v xml:space="preserve"> </v>
      </c>
      <c r="Z540" s="4" t="str">
        <f ca="1">IF(OR(INDEX($AG$2:$AG$1001,MATCH(ROWS($AF$2:AF540),$AF$2:$AF$1001,0),1)&gt;=100000,INDEX($AM$1005:$BM$1005,1,MATCH(COLUMNS($AM$1006:BK1006),$AM$1006:$BM$1006,0))&gt;=100000), " ",IF(INDEX($AM$2:$BM$1001,MATCH(ROWS($AF$2:AF540),$AF$2:$AF$1001,0),MATCH(COLUMNS($AM$1006:BK1006),$AM$1006:$BM$1006,0)), HYPERLINK("#",""), HYPERLINK(CONCATENATE("#metadata!", ADDRESS(INDEX($AH$2:$AH$1001,MATCH(ROWS($AF$2:AF540),$AF$2:$AF$1001,0),0), INDEX($AM$1004:$BM$1004,1,MATCH(COLUMNS($AM$1006:BK1006),$AM$1006:$BM$1006,0)))),"Fix")))</f>
        <v xml:space="preserve"> </v>
      </c>
      <c r="AA540" s="4" t="str">
        <f ca="1">IF(OR(INDEX($AG$2:$AG$1001,MATCH(ROWS($AF$2:AF540),$AF$2:$AF$1001,0),1)&gt;=100000,INDEX($AM$1005:$BM$1005,1,MATCH(COLUMNS($AM$1006:BL1006),$AM$1006:$BM$1006,0))&gt;=100000), " ",IF(INDEX($AM$2:$BM$1001,MATCH(ROWS($AF$2:AF540),$AF$2:$AF$1001,0),MATCH(COLUMNS($AM$1006:BL1006),$AM$1006:$BM$1006,0)), HYPERLINK("#",""), HYPERLINK(CONCATENATE("#metadata!", ADDRESS(INDEX($AH$2:$AH$1001,MATCH(ROWS($AF$2:AF540),$AF$2:$AF$1001,0),0), INDEX($AM$1004:$BM$1004,1,MATCH(COLUMNS($AM$1006:BL1006),$AM$1006:$BM$1006,0)))),"Fix")))</f>
        <v xml:space="preserve"> </v>
      </c>
      <c r="AB540" s="4" t="str">
        <f ca="1">IF(OR(INDEX($AG$2:$AG$1001,MATCH(ROWS($AF$2:AF540),$AF$2:$AF$1001,0),1)&gt;=100000,INDEX($AM$1005:$BM$1005,1,MATCH(COLUMNS($AM$1006:BM1006),$AM$1006:$BM$1006,0))&gt;=100000), " ",IF(INDEX($AM$2:$BM$1001,MATCH(ROWS($AF$2:AF540),$AF$2:$AF$1001,0),MATCH(COLUMNS($AM$1006:BM1006),$AM$1006:$BM$1006,0)), HYPERLINK("#",""), HYPERLINK(CONCATENATE("#metadata!", ADDRESS(INDEX($AH$2:$AH$1001,MATCH(ROWS($AF$2:AF540),$AF$2:$AF$1001,0),0), INDEX($AM$1004:$BM$1004,1,MATCH(COLUMNS($AM$1006:BM1006),$AM$1006:$BM$1006,0)))),"Fix")))</f>
        <v xml:space="preserve"> </v>
      </c>
      <c r="AF540">
        <v>539</v>
      </c>
      <c r="AG540">
        <v>100540</v>
      </c>
      <c r="AH540">
        <v>540</v>
      </c>
      <c r="AI540" t="b">
        <f t="shared" si="8"/>
        <v>1</v>
      </c>
      <c r="AJ540" t="b">
        <f>COUNTBLANK(metadata!B540:AB540)=COLUMNS(metadata!B540:AB540)</f>
        <v>1</v>
      </c>
      <c r="AK540" t="str">
        <v/>
      </c>
      <c r="AM540" t="b">
        <f ca="1">AND(IF(metadata!B540="",FALSE,TRUE),COUNTIF(metadata!B:B, metadata!B540) = 1,NOT(ISERROR(SUMPRODUCT(SEARCH(MID(metadata!B540,ROW(INDIRECT("1:"&amp;LEN(metadata!B540))), 1),"0123456789abcdefghijklmnopqrstuvwxyzABCDEFGHIJKLMNOPQRSTUVWXYZ.")))))</f>
        <v>0</v>
      </c>
      <c r="AN540" t="b">
        <f ca="1">OR(AND(IF(metadata!C540="",FALSE,TRUE),OR(EXACT(metadata!C540,"missing: not collected"),EXACT(metadata!C540,"missing: not provided"),EXACT(metadata!C540,"missing: restricted access"))),AND(IF(metadata!C540="",FALSE,TRUE),AND(AND(IFERROR(INT(LEFT(metadata!C540,4))&gt;1900,FALSE),IFERROR(INT(LEFT(metadata!C540,4))&lt;=YEAR(NOW()),FALSE)), OR(MID(metadata!C540,5,1)="", AND(AND(MID(metadata!C540,5,1)="-",IFERROR(INT(MID(metadata!C540,6,1))&gt;=0,FALSE),IFERROR(INT(MID(metadata!C540,6,1))&lt;=1,FALSE),NOT(MID(metadata!C540,7,1)=""),IFERROR(INT(MID(metadata!C540,6,2))&gt;=1,FALSE),IFERROR(INT(MID(metadata!C540,6,2))&lt;=12,FALSE)), OR(MID(metadata!C540,8,1)="", AND(AND(MID(metadata!C540,8,1)="-",IFERROR(INT(MID(metadata!C540,9,1))&gt;=0,FALSE),IFERROR(INT(MID(metadata!C540,9,1))&lt;=3,FALSE),NOT(MID(metadata!C540,10,1)=""),IFERROR(INT(MID(metadata!C540,9,2))&gt;=1,FALSE),IFERROR(INT(MID(metadata!C540,9,2))&lt;=31,FALSE)), OR(MID(metadata!C540,11,1)="", AND(AND(MID(metadata!C540,11,1)=" ",IFERROR(INT(MID(metadata!C540,12,1))&gt;=0,FALSE),IFERROR(INT(MID(metadata!C540,12,1))&lt;=2,FALSE),NOT(MID(metadata!C540,13,1)=""),IFERROR(INT(MID(metadata!C540,12,2))&gt;=0,FALSE),IFERROR(INT(MID(metadata!C540,12,2))&lt;=23,FALSE)), OR(MID(metadata!C540,14,1)="", AND(AND(MID(metadata!C540,14,1)=":",IFERROR(INT(MID(metadata!C540,15,1))&gt;=0,FALSE),IFERROR(INT(MID(metadata!C540,15,1))&lt;=5,FALSE),NOT(MID(metadata!C540,16,1)=""),IFERROR(INT(MID(metadata!C540,15,2))&gt;=0,FALSE),IFERROR(INT(MID(metadata!C540,15,2))&lt;=59,FALSE)), OR(MID(metadata!C540,17,1)="", AND(AND(MID(metadata!C540,17,1)=":",IFERROR(INT(MID(metadata!C540,18,1))&gt;=0,FALSE),IFERROR(INT(MID(metadata!C540,18,1))&lt;=5,FALSE),NOT(MID(metadata!C540,19,1)=""),IFERROR(INT(MID(metadata!C540,18,2))&gt;=0,FALSE),IFERROR(INT(MID(metadata!C540,18,2))&lt;=59,FALSE)), LEN(metadata!C540)&lt;=19)))))))))))))</f>
        <v>0</v>
      </c>
      <c r="AO540" t="b">
        <f>AND(IF(metadata!D540="",FALSE,TRUE),EXACT(metadata!D540,"Not applicable"))</f>
        <v>0</v>
      </c>
      <c r="AP540" t="b">
        <f>IF(metadata!E540="",FALSE,TRUE)</f>
        <v>0</v>
      </c>
      <c r="AQ540" t="b">
        <f>OR(AND(IF(metadata!F540="",FALSE,TRUE),OR(EXACT(metadata!F540,"missing: not collected"),EXACT(metadata!F540,"missing: not provided"))),AND(IF(metadata!F540="",FALSE,TRUE),OR(EXACT(metadata!F540,"TRUE"),EXACT(metadata!F540,"FALSE"))))</f>
        <v>0</v>
      </c>
      <c r="AR540" t="b">
        <f>OR(AND(IF(metadata!G540="",FALSE,TRUE),OR(EXACT(metadata!G540,"missing: not collected"),EXACT(metadata!G540,"missing: not provided"),EXACT(metadata!G540,"missing: restricted access"))),AND(IF(metadata!G540="",FALSE,ISNUMBER(VALUE(metadata!G540))),metadata!G540&gt;=-413))</f>
        <v>0</v>
      </c>
      <c r="AS540" t="b">
        <f>AND(IF(metadata!H540="",FALSE,TRUE),EXACT(metadata!H540,"meters"))</f>
        <v>0</v>
      </c>
      <c r="AT540" t="b">
        <f>AND(IF(metadata!I540="",FALSE,TRUE),OR(EXACT(metadata!I540,"Host-associated"),EXACT(metadata!I540,"Free-living")))</f>
        <v>0</v>
      </c>
      <c r="AU540" t="b">
        <f>AND(IF(metadata!J540="",FALSE,TRUE),OR(EXACT(metadata!J540,"Animal"),EXACT(metadata!J540,"Fungus"),EXACT(metadata!J540,"Plant"),EXACT(metadata!J540,"Saline"),EXACT(metadata!J540,"Non-saline")))</f>
        <v>0</v>
      </c>
      <c r="AV540" t="b">
        <f>AND(IF(metadata!K540="",FALSE,TRUE),OR(EXACT(metadata!K540,"Plant secretion"),EXACT(metadata!K540,"Plant rhizosphere"),EXACT(metadata!K540,"Plant surface"),EXACT(metadata!K540,"Plant corpus"),EXACT(metadata!K540,"Fungus surface"),EXACT(metadata!K540,"Fungus corpus"),EXACT(metadata!K540,"Animal surface"),EXACT(metadata!K540,"Animal proximal gut"),EXACT(metadata!K540,"Animal corpus"),EXACT(metadata!K540,"Animal distal gut"),EXACT(metadata!K540,"Animal secretion"),EXACT(metadata!K540,"Sub-surface (non-saline)"),EXACT(metadata!K540,"Surface (non-saline)"),EXACT(metadata!K540,"Water (non-saline)"),EXACT(metadata!K540,"Soil (non-saline)"),EXACT(metadata!K540,"Aerosol (non-saline)"),EXACT(metadata!K540,"Sediment (non-saline)"),EXACT(metadata!K540,"Surface (saline)"),EXACT(metadata!K540,"Water (saline)"),EXACT(metadata!K540,"Hypersaline (saline)"),EXACT(metadata!K540,"Aerosol (saline)"),EXACT(metadata!K540,"Sediment (saline)")))</f>
        <v>0</v>
      </c>
      <c r="AW540" t="b">
        <f>IF(metadata!L540="",FALSE,TRUE)</f>
        <v>0</v>
      </c>
      <c r="AX540" t="b">
        <f>IF(metadata!M540="",FALSE,TRUE)</f>
        <v>0</v>
      </c>
      <c r="AY540" t="b">
        <f>IF(metadata!N540="",FALSE,TRUE)</f>
        <v>0</v>
      </c>
      <c r="AZ540" t="b">
        <f>OR(AND(IF(metadata!O540="",FALSE,TRUE),OR(EXACT(metadata!O540,"missing: not collected"),EXACT(metadata!O540,"missing: not provided"),EXACT(metadata!O540,"missing: restricted access"))),AND(IF(metadata!O540="",FALSE,TRUE),OR(EXACT(metadata!O540,"air"),EXACT(metadata!O540,"built environment"),EXACT(metadata!O540,"host-associated"),EXACT(metadata!O540,"human-associated"),EXACT(metadata!O540,"human-skin"),EXACT(metadata!O540,"human-oral"),EXACT(metadata!O540,"human-gut"),EXACT(metadata!O540,"human-vaginal"),EXACT(metadata!O540,"microbial mat/biofilm"),EXACT(metadata!O540,"misc environment"),EXACT(metadata!O540,"plant-associated"),EXACT(metadata!O540,"sediment"),EXACT(metadata!O540,"soil"),EXACT(metadata!O540,"wastewater/sludge"),EXACT(metadata!O540,"water"))))</f>
        <v>0</v>
      </c>
      <c r="BA540" t="b">
        <f>IF(metadata!P540="",FALSE,TRUE)</f>
        <v>0</v>
      </c>
      <c r="BB540" t="b">
        <f>IF(metadata!Q540="",FALSE,TRUE)</f>
        <v>0</v>
      </c>
      <c r="BC540" t="b">
        <f>OR(AND(IF(metadata!R540="",FALSE,TRUE),OR(EXACT(metadata!R540,"missing: not collected"),EXACT(metadata!R540,"missing: not provided"),EXACT(metadata!R540,"missing: restricted access"))),AND(IF(metadata!R540="",FALSE,ISNUMBER(VALUE(metadata!R540))),metadata!R540&gt;=-90,metadata!R540&lt;=90))</f>
        <v>0</v>
      </c>
      <c r="BD540" t="b">
        <f>AND(IF(metadata!S540="",FALSE,TRUE),EXACT(metadata!S540,"Decimal degrees"))</f>
        <v>0</v>
      </c>
      <c r="BE540" t="b">
        <f>OR(AND(IF(metadata!T540="",FALSE,TRUE),OR(EXACT(metadata!T540,"missing: not collected"),EXACT(metadata!T540,"missing: not provided"),EXACT(metadata!T540,"missing: restricted access"))),AND(IF(metadata!T540="",FALSE,ISNUMBER(VALUE(metadata!T540))),metadata!T540&gt;=-180,metadata!T540&lt;=180))</f>
        <v>0</v>
      </c>
      <c r="BF540" t="b">
        <f>AND(IF(metadata!U540="",FALSE,TRUE),EXACT(metadata!U540,"Decimal degrees"))</f>
        <v>0</v>
      </c>
      <c r="BG540" t="b">
        <f>IF(metadata!V540="",FALSE,TRUE)</f>
        <v>0</v>
      </c>
      <c r="BH540" t="b">
        <f>OR(AND(IF(metadata!W540="",FALSE,TRUE),OR(EXACT(metadata!W540,"missing: not collected"),EXACT(metadata!W540,"missing: not provided"),EXACT(metadata!W540,"missing: restricted access"))),AND(IF(metadata!W540="",FALSE,TRUE),OR(EXACT(metadata!W540,"TRUE"),EXACT(metadata!W540,"FALSE"))))</f>
        <v>0</v>
      </c>
      <c r="BI540" t="b">
        <f>AND(IF(metadata!X540="",FALSE,TRUE),EXACT(metadata!X540,"other"))</f>
        <v>0</v>
      </c>
      <c r="BJ540" t="b">
        <f>IF(metadata!Y540="",FALSE,TRUE)</f>
        <v>0</v>
      </c>
      <c r="BK540" t="b">
        <f>OR(AND(IF(metadata!Z540="",FALSE,TRUE),OR(EXACT(metadata!Z540,"missing: not collected"),EXACT(metadata!Z540,"missing: not provided"))),AND(IF(metadata!Z540="",FALSE,IF(ISERROR(INT(metadata!Z540)),FALSE,INT(metadata!Z540)=metadata!Z540)),metadata!Z540&gt;0))</f>
        <v>0</v>
      </c>
      <c r="BL540" t="b">
        <f>AND(IF(metadata!AA540="",FALSE,TRUE),EXACT(metadata!AA540,"Not applicable"))</f>
        <v>0</v>
      </c>
      <c r="BM540" t="b">
        <f>IF(metadata!AB540="",FALSE,TRUE)</f>
        <v>0</v>
      </c>
    </row>
    <row r="541" spans="1:65" x14ac:dyDescent="0.2">
      <c r="A541" s="5" t="str">
        <f ca="1">IF(B541=" "," ",HYPERLINK(CONCATENATE("#metadata!",ADDRESS(INDEX($AH$2:$AH$1001,MATCH(ROWS($AF$2:AF541),$AF$2:$AF$1001,0),0),1)),INDEX($AK$2:$AK$1001,MATCH(ROWS($AF$2:AF541),$AF$2:$AF$1001,0),0)))</f>
        <v xml:space="preserve"> </v>
      </c>
      <c r="B541" s="4" t="str">
        <f ca="1">IF(OR(INDEX($AG$2:$AG$1001,MATCH(ROWS($AF$2:AF541),$AF$2:$AF$1001,0),1)&gt;=100000,INDEX($AM$1005:$BM$1005,1,MATCH(COLUMNS($AM$1006:AM1006),$AM$1006:$BM$1006,0))&gt;=100000), " ",IF(INDEX($AM$2:$BM$1001,MATCH(ROWS($AF$2:AF541),$AF$2:$AF$1001,0),MATCH(COLUMNS($AM$1006:AM1006),$AM$1006:$BM$1006,0)), HYPERLINK("#",""), HYPERLINK(CONCATENATE("#metadata!", ADDRESS(INDEX($AH$2:$AH$1001,MATCH(ROWS($AF$2:AF541),$AF$2:$AF$1001,0),0), INDEX($AM$1004:$BM$1004,1,MATCH(COLUMNS($AM$1006:AM1006),$AM$1006:$BM$1006,0)))),"Fix")))</f>
        <v xml:space="preserve"> </v>
      </c>
      <c r="C541" s="4" t="str">
        <f ca="1">IF(OR(INDEX($AG$2:$AG$1001,MATCH(ROWS($AF$2:AF541),$AF$2:$AF$1001,0),1)&gt;=100000,INDEX($AM$1005:$BM$1005,1,MATCH(COLUMNS($AM$1006:AN1006),$AM$1006:$BM$1006,0))&gt;=100000), " ",IF(INDEX($AM$2:$BM$1001,MATCH(ROWS($AF$2:AF541),$AF$2:$AF$1001,0),MATCH(COLUMNS($AM$1006:AN1006),$AM$1006:$BM$1006,0)), HYPERLINK("#",""), HYPERLINK(CONCATENATE("#metadata!", ADDRESS(INDEX($AH$2:$AH$1001,MATCH(ROWS($AF$2:AF541),$AF$2:$AF$1001,0),0), INDEX($AM$1004:$BM$1004,1,MATCH(COLUMNS($AM$1006:AN1006),$AM$1006:$BM$1006,0)))),"Fix")))</f>
        <v xml:space="preserve"> </v>
      </c>
      <c r="D541" s="4" t="str">
        <f ca="1">IF(OR(INDEX($AG$2:$AG$1001,MATCH(ROWS($AF$2:AF541),$AF$2:$AF$1001,0),1)&gt;=100000,INDEX($AM$1005:$BM$1005,1,MATCH(COLUMNS($AM$1006:AO1006),$AM$1006:$BM$1006,0))&gt;=100000), " ",IF(INDEX($AM$2:$BM$1001,MATCH(ROWS($AF$2:AF541),$AF$2:$AF$1001,0),MATCH(COLUMNS($AM$1006:AO1006),$AM$1006:$BM$1006,0)), HYPERLINK("#",""), HYPERLINK(CONCATENATE("#metadata!", ADDRESS(INDEX($AH$2:$AH$1001,MATCH(ROWS($AF$2:AF541),$AF$2:$AF$1001,0),0), INDEX($AM$1004:$BM$1004,1,MATCH(COLUMNS($AM$1006:AO1006),$AM$1006:$BM$1006,0)))),"Fix")))</f>
        <v xml:space="preserve"> </v>
      </c>
      <c r="E541" s="4" t="str">
        <f ca="1">IF(OR(INDEX($AG$2:$AG$1001,MATCH(ROWS($AF$2:AF541),$AF$2:$AF$1001,0),1)&gt;=100000,INDEX($AM$1005:$BM$1005,1,MATCH(COLUMNS($AM$1006:AP1006),$AM$1006:$BM$1006,0))&gt;=100000), " ",IF(INDEX($AM$2:$BM$1001,MATCH(ROWS($AF$2:AF541),$AF$2:$AF$1001,0),MATCH(COLUMNS($AM$1006:AP1006),$AM$1006:$BM$1006,0)), HYPERLINK("#",""), HYPERLINK(CONCATENATE("#metadata!", ADDRESS(INDEX($AH$2:$AH$1001,MATCH(ROWS($AF$2:AF541),$AF$2:$AF$1001,0),0), INDEX($AM$1004:$BM$1004,1,MATCH(COLUMNS($AM$1006:AP1006),$AM$1006:$BM$1006,0)))),"Fix")))</f>
        <v xml:space="preserve"> </v>
      </c>
      <c r="F541" s="4" t="str">
        <f ca="1">IF(OR(INDEX($AG$2:$AG$1001,MATCH(ROWS($AF$2:AF541),$AF$2:$AF$1001,0),1)&gt;=100000,INDEX($AM$1005:$BM$1005,1,MATCH(COLUMNS($AM$1006:AQ1006),$AM$1006:$BM$1006,0))&gt;=100000), " ",IF(INDEX($AM$2:$BM$1001,MATCH(ROWS($AF$2:AF541),$AF$2:$AF$1001,0),MATCH(COLUMNS($AM$1006:AQ1006),$AM$1006:$BM$1006,0)), HYPERLINK("#",""), HYPERLINK(CONCATENATE("#metadata!", ADDRESS(INDEX($AH$2:$AH$1001,MATCH(ROWS($AF$2:AF541),$AF$2:$AF$1001,0),0), INDEX($AM$1004:$BM$1004,1,MATCH(COLUMNS($AM$1006:AQ1006),$AM$1006:$BM$1006,0)))),"Fix")))</f>
        <v xml:space="preserve"> </v>
      </c>
      <c r="G541" s="4" t="str">
        <f ca="1">IF(OR(INDEX($AG$2:$AG$1001,MATCH(ROWS($AF$2:AF541),$AF$2:$AF$1001,0),1)&gt;=100000,INDEX($AM$1005:$BM$1005,1,MATCH(COLUMNS($AM$1006:AR1006),$AM$1006:$BM$1006,0))&gt;=100000), " ",IF(INDEX($AM$2:$BM$1001,MATCH(ROWS($AF$2:AF541),$AF$2:$AF$1001,0),MATCH(COLUMNS($AM$1006:AR1006),$AM$1006:$BM$1006,0)), HYPERLINK("#",""), HYPERLINK(CONCATENATE("#metadata!", ADDRESS(INDEX($AH$2:$AH$1001,MATCH(ROWS($AF$2:AF541),$AF$2:$AF$1001,0),0), INDEX($AM$1004:$BM$1004,1,MATCH(COLUMNS($AM$1006:AR1006),$AM$1006:$BM$1006,0)))),"Fix")))</f>
        <v xml:space="preserve"> </v>
      </c>
      <c r="H541" s="4" t="str">
        <f ca="1">IF(OR(INDEX($AG$2:$AG$1001,MATCH(ROWS($AF$2:AF541),$AF$2:$AF$1001,0),1)&gt;=100000,INDEX($AM$1005:$BM$1005,1,MATCH(COLUMNS($AM$1006:AS1006),$AM$1006:$BM$1006,0))&gt;=100000), " ",IF(INDEX($AM$2:$BM$1001,MATCH(ROWS($AF$2:AF541),$AF$2:$AF$1001,0),MATCH(COLUMNS($AM$1006:AS1006),$AM$1006:$BM$1006,0)), HYPERLINK("#",""), HYPERLINK(CONCATENATE("#metadata!", ADDRESS(INDEX($AH$2:$AH$1001,MATCH(ROWS($AF$2:AF541),$AF$2:$AF$1001,0),0), INDEX($AM$1004:$BM$1004,1,MATCH(COLUMNS($AM$1006:AS1006),$AM$1006:$BM$1006,0)))),"Fix")))</f>
        <v xml:space="preserve"> </v>
      </c>
      <c r="I541" s="4" t="str">
        <f ca="1">IF(OR(INDEX($AG$2:$AG$1001,MATCH(ROWS($AF$2:AF541),$AF$2:$AF$1001,0),1)&gt;=100000,INDEX($AM$1005:$BM$1005,1,MATCH(COLUMNS($AM$1006:AT1006),$AM$1006:$BM$1006,0))&gt;=100000), " ",IF(INDEX($AM$2:$BM$1001,MATCH(ROWS($AF$2:AF541),$AF$2:$AF$1001,0),MATCH(COLUMNS($AM$1006:AT1006),$AM$1006:$BM$1006,0)), HYPERLINK("#",""), HYPERLINK(CONCATENATE("#metadata!", ADDRESS(INDEX($AH$2:$AH$1001,MATCH(ROWS($AF$2:AF541),$AF$2:$AF$1001,0),0), INDEX($AM$1004:$BM$1004,1,MATCH(COLUMNS($AM$1006:AT1006),$AM$1006:$BM$1006,0)))),"Fix")))</f>
        <v xml:space="preserve"> </v>
      </c>
      <c r="J541" s="4" t="str">
        <f ca="1">IF(OR(INDEX($AG$2:$AG$1001,MATCH(ROWS($AF$2:AF541),$AF$2:$AF$1001,0),1)&gt;=100000,INDEX($AM$1005:$BM$1005,1,MATCH(COLUMNS($AM$1006:AU1006),$AM$1006:$BM$1006,0))&gt;=100000), " ",IF(INDEX($AM$2:$BM$1001,MATCH(ROWS($AF$2:AF541),$AF$2:$AF$1001,0),MATCH(COLUMNS($AM$1006:AU1006),$AM$1006:$BM$1006,0)), HYPERLINK("#",""), HYPERLINK(CONCATENATE("#metadata!", ADDRESS(INDEX($AH$2:$AH$1001,MATCH(ROWS($AF$2:AF541),$AF$2:$AF$1001,0),0), INDEX($AM$1004:$BM$1004,1,MATCH(COLUMNS($AM$1006:AU1006),$AM$1006:$BM$1006,0)))),"Fix")))</f>
        <v xml:space="preserve"> </v>
      </c>
      <c r="K541" s="4" t="str">
        <f ca="1">IF(OR(INDEX($AG$2:$AG$1001,MATCH(ROWS($AF$2:AF541),$AF$2:$AF$1001,0),1)&gt;=100000,INDEX($AM$1005:$BM$1005,1,MATCH(COLUMNS($AM$1006:AV1006),$AM$1006:$BM$1006,0))&gt;=100000), " ",IF(INDEX($AM$2:$BM$1001,MATCH(ROWS($AF$2:AF541),$AF$2:$AF$1001,0),MATCH(COLUMNS($AM$1006:AV1006),$AM$1006:$BM$1006,0)), HYPERLINK("#",""), HYPERLINK(CONCATENATE("#metadata!", ADDRESS(INDEX($AH$2:$AH$1001,MATCH(ROWS($AF$2:AF541),$AF$2:$AF$1001,0),0), INDEX($AM$1004:$BM$1004,1,MATCH(COLUMNS($AM$1006:AV1006),$AM$1006:$BM$1006,0)))),"Fix")))</f>
        <v xml:space="preserve"> </v>
      </c>
      <c r="L541" s="4" t="str">
        <f ca="1">IF(OR(INDEX($AG$2:$AG$1001,MATCH(ROWS($AF$2:AF541),$AF$2:$AF$1001,0),1)&gt;=100000,INDEX($AM$1005:$BM$1005,1,MATCH(COLUMNS($AM$1006:AW1006),$AM$1006:$BM$1006,0))&gt;=100000), " ",IF(INDEX($AM$2:$BM$1001,MATCH(ROWS($AF$2:AF541),$AF$2:$AF$1001,0),MATCH(COLUMNS($AM$1006:AW1006),$AM$1006:$BM$1006,0)), HYPERLINK("#",""), HYPERLINK(CONCATENATE("#metadata!", ADDRESS(INDEX($AH$2:$AH$1001,MATCH(ROWS($AF$2:AF541),$AF$2:$AF$1001,0),0), INDEX($AM$1004:$BM$1004,1,MATCH(COLUMNS($AM$1006:AW1006),$AM$1006:$BM$1006,0)))),"Fix")))</f>
        <v xml:space="preserve"> </v>
      </c>
      <c r="M541" s="4" t="str">
        <f ca="1">IF(OR(INDEX($AG$2:$AG$1001,MATCH(ROWS($AF$2:AF541),$AF$2:$AF$1001,0),1)&gt;=100000,INDEX($AM$1005:$BM$1005,1,MATCH(COLUMNS($AM$1006:AX1006),$AM$1006:$BM$1006,0))&gt;=100000), " ",IF(INDEX($AM$2:$BM$1001,MATCH(ROWS($AF$2:AF541),$AF$2:$AF$1001,0),MATCH(COLUMNS($AM$1006:AX1006),$AM$1006:$BM$1006,0)), HYPERLINK("#",""), HYPERLINK(CONCATENATE("#metadata!", ADDRESS(INDEX($AH$2:$AH$1001,MATCH(ROWS($AF$2:AF541),$AF$2:$AF$1001,0),0), INDEX($AM$1004:$BM$1004,1,MATCH(COLUMNS($AM$1006:AX1006),$AM$1006:$BM$1006,0)))),"Fix")))</f>
        <v xml:space="preserve"> </v>
      </c>
      <c r="N541" s="4" t="str">
        <f ca="1">IF(OR(INDEX($AG$2:$AG$1001,MATCH(ROWS($AF$2:AF541),$AF$2:$AF$1001,0),1)&gt;=100000,INDEX($AM$1005:$BM$1005,1,MATCH(COLUMNS($AM$1006:AY1006),$AM$1006:$BM$1006,0))&gt;=100000), " ",IF(INDEX($AM$2:$BM$1001,MATCH(ROWS($AF$2:AF541),$AF$2:$AF$1001,0),MATCH(COLUMNS($AM$1006:AY1006),$AM$1006:$BM$1006,0)), HYPERLINK("#",""), HYPERLINK(CONCATENATE("#metadata!", ADDRESS(INDEX($AH$2:$AH$1001,MATCH(ROWS($AF$2:AF541),$AF$2:$AF$1001,0),0), INDEX($AM$1004:$BM$1004,1,MATCH(COLUMNS($AM$1006:AY1006),$AM$1006:$BM$1006,0)))),"Fix")))</f>
        <v xml:space="preserve"> </v>
      </c>
      <c r="O541" s="4" t="str">
        <f ca="1">IF(OR(INDEX($AG$2:$AG$1001,MATCH(ROWS($AF$2:AF541),$AF$2:$AF$1001,0),1)&gt;=100000,INDEX($AM$1005:$BM$1005,1,MATCH(COLUMNS($AM$1006:AZ1006),$AM$1006:$BM$1006,0))&gt;=100000), " ",IF(INDEX($AM$2:$BM$1001,MATCH(ROWS($AF$2:AF541),$AF$2:$AF$1001,0),MATCH(COLUMNS($AM$1006:AZ1006),$AM$1006:$BM$1006,0)), HYPERLINK("#",""), HYPERLINK(CONCATENATE("#metadata!", ADDRESS(INDEX($AH$2:$AH$1001,MATCH(ROWS($AF$2:AF541),$AF$2:$AF$1001,0),0), INDEX($AM$1004:$BM$1004,1,MATCH(COLUMNS($AM$1006:AZ1006),$AM$1006:$BM$1006,0)))),"Fix")))</f>
        <v xml:space="preserve"> </v>
      </c>
      <c r="P541" s="4" t="str">
        <f ca="1">IF(OR(INDEX($AG$2:$AG$1001,MATCH(ROWS($AF$2:AF541),$AF$2:$AF$1001,0),1)&gt;=100000,INDEX($AM$1005:$BM$1005,1,MATCH(COLUMNS($AM$1006:BA1006),$AM$1006:$BM$1006,0))&gt;=100000), " ",IF(INDEX($AM$2:$BM$1001,MATCH(ROWS($AF$2:AF541),$AF$2:$AF$1001,0),MATCH(COLUMNS($AM$1006:BA1006),$AM$1006:$BM$1006,0)), HYPERLINK("#",""), HYPERLINK(CONCATENATE("#metadata!", ADDRESS(INDEX($AH$2:$AH$1001,MATCH(ROWS($AF$2:AF541),$AF$2:$AF$1001,0),0), INDEX($AM$1004:$BM$1004,1,MATCH(COLUMNS($AM$1006:BA1006),$AM$1006:$BM$1006,0)))),"Fix")))</f>
        <v xml:space="preserve"> </v>
      </c>
      <c r="Q541" s="4" t="str">
        <f ca="1">IF(OR(INDEX($AG$2:$AG$1001,MATCH(ROWS($AF$2:AF541),$AF$2:$AF$1001,0),1)&gt;=100000,INDEX($AM$1005:$BM$1005,1,MATCH(COLUMNS($AM$1006:BB1006),$AM$1006:$BM$1006,0))&gt;=100000), " ",IF(INDEX($AM$2:$BM$1001,MATCH(ROWS($AF$2:AF541),$AF$2:$AF$1001,0),MATCH(COLUMNS($AM$1006:BB1006),$AM$1006:$BM$1006,0)), HYPERLINK("#",""), HYPERLINK(CONCATENATE("#metadata!", ADDRESS(INDEX($AH$2:$AH$1001,MATCH(ROWS($AF$2:AF541),$AF$2:$AF$1001,0),0), INDEX($AM$1004:$BM$1004,1,MATCH(COLUMNS($AM$1006:BB1006),$AM$1006:$BM$1006,0)))),"Fix")))</f>
        <v xml:space="preserve"> </v>
      </c>
      <c r="R541" s="4" t="str">
        <f ca="1">IF(OR(INDEX($AG$2:$AG$1001,MATCH(ROWS($AF$2:AF541),$AF$2:$AF$1001,0),1)&gt;=100000,INDEX($AM$1005:$BM$1005,1,MATCH(COLUMNS($AM$1006:BC1006),$AM$1006:$BM$1006,0))&gt;=100000), " ",IF(INDEX($AM$2:$BM$1001,MATCH(ROWS($AF$2:AF541),$AF$2:$AF$1001,0),MATCH(COLUMNS($AM$1006:BC1006),$AM$1006:$BM$1006,0)), HYPERLINK("#",""), HYPERLINK(CONCATENATE("#metadata!", ADDRESS(INDEX($AH$2:$AH$1001,MATCH(ROWS($AF$2:AF541),$AF$2:$AF$1001,0),0), INDEX($AM$1004:$BM$1004,1,MATCH(COLUMNS($AM$1006:BC1006),$AM$1006:$BM$1006,0)))),"Fix")))</f>
        <v xml:space="preserve"> </v>
      </c>
      <c r="S541" s="4" t="str">
        <f ca="1">IF(OR(INDEX($AG$2:$AG$1001,MATCH(ROWS($AF$2:AF541),$AF$2:$AF$1001,0),1)&gt;=100000,INDEX($AM$1005:$BM$1005,1,MATCH(COLUMNS($AM$1006:BD1006),$AM$1006:$BM$1006,0))&gt;=100000), " ",IF(INDEX($AM$2:$BM$1001,MATCH(ROWS($AF$2:AF541),$AF$2:$AF$1001,0),MATCH(COLUMNS($AM$1006:BD1006),$AM$1006:$BM$1006,0)), HYPERLINK("#",""), HYPERLINK(CONCATENATE("#metadata!", ADDRESS(INDEX($AH$2:$AH$1001,MATCH(ROWS($AF$2:AF541),$AF$2:$AF$1001,0),0), INDEX($AM$1004:$BM$1004,1,MATCH(COLUMNS($AM$1006:BD1006),$AM$1006:$BM$1006,0)))),"Fix")))</f>
        <v xml:space="preserve"> </v>
      </c>
      <c r="T541" s="4" t="str">
        <f ca="1">IF(OR(INDEX($AG$2:$AG$1001,MATCH(ROWS($AF$2:AF541),$AF$2:$AF$1001,0),1)&gt;=100000,INDEX($AM$1005:$BM$1005,1,MATCH(COLUMNS($AM$1006:BE1006),$AM$1006:$BM$1006,0))&gt;=100000), " ",IF(INDEX($AM$2:$BM$1001,MATCH(ROWS($AF$2:AF541),$AF$2:$AF$1001,0),MATCH(COLUMNS($AM$1006:BE1006),$AM$1006:$BM$1006,0)), HYPERLINK("#",""), HYPERLINK(CONCATENATE("#metadata!", ADDRESS(INDEX($AH$2:$AH$1001,MATCH(ROWS($AF$2:AF541),$AF$2:$AF$1001,0),0), INDEX($AM$1004:$BM$1004,1,MATCH(COLUMNS($AM$1006:BE1006),$AM$1006:$BM$1006,0)))),"Fix")))</f>
        <v xml:space="preserve"> </v>
      </c>
      <c r="U541" s="4" t="str">
        <f ca="1">IF(OR(INDEX($AG$2:$AG$1001,MATCH(ROWS($AF$2:AF541),$AF$2:$AF$1001,0),1)&gt;=100000,INDEX($AM$1005:$BM$1005,1,MATCH(COLUMNS($AM$1006:BF1006),$AM$1006:$BM$1006,0))&gt;=100000), " ",IF(INDEX($AM$2:$BM$1001,MATCH(ROWS($AF$2:AF541),$AF$2:$AF$1001,0),MATCH(COLUMNS($AM$1006:BF1006),$AM$1006:$BM$1006,0)), HYPERLINK("#",""), HYPERLINK(CONCATENATE("#metadata!", ADDRESS(INDEX($AH$2:$AH$1001,MATCH(ROWS($AF$2:AF541),$AF$2:$AF$1001,0),0), INDEX($AM$1004:$BM$1004,1,MATCH(COLUMNS($AM$1006:BF1006),$AM$1006:$BM$1006,0)))),"Fix")))</f>
        <v xml:space="preserve"> </v>
      </c>
      <c r="V541" s="4" t="str">
        <f ca="1">IF(OR(INDEX($AG$2:$AG$1001,MATCH(ROWS($AF$2:AF541),$AF$2:$AF$1001,0),1)&gt;=100000,INDEX($AM$1005:$BM$1005,1,MATCH(COLUMNS($AM$1006:BG1006),$AM$1006:$BM$1006,0))&gt;=100000), " ",IF(INDEX($AM$2:$BM$1001,MATCH(ROWS($AF$2:AF541),$AF$2:$AF$1001,0),MATCH(COLUMNS($AM$1006:BG1006),$AM$1006:$BM$1006,0)), HYPERLINK("#",""), HYPERLINK(CONCATENATE("#metadata!", ADDRESS(INDEX($AH$2:$AH$1001,MATCH(ROWS($AF$2:AF541),$AF$2:$AF$1001,0),0), INDEX($AM$1004:$BM$1004,1,MATCH(COLUMNS($AM$1006:BG1006),$AM$1006:$BM$1006,0)))),"Fix")))</f>
        <v xml:space="preserve"> </v>
      </c>
      <c r="W541" s="4" t="str">
        <f ca="1">IF(OR(INDEX($AG$2:$AG$1001,MATCH(ROWS($AF$2:AF541),$AF$2:$AF$1001,0),1)&gt;=100000,INDEX($AM$1005:$BM$1005,1,MATCH(COLUMNS($AM$1006:BH1006),$AM$1006:$BM$1006,0))&gt;=100000), " ",IF(INDEX($AM$2:$BM$1001,MATCH(ROWS($AF$2:AF541),$AF$2:$AF$1001,0),MATCH(COLUMNS($AM$1006:BH1006),$AM$1006:$BM$1006,0)), HYPERLINK("#",""), HYPERLINK(CONCATENATE("#metadata!", ADDRESS(INDEX($AH$2:$AH$1001,MATCH(ROWS($AF$2:AF541),$AF$2:$AF$1001,0),0), INDEX($AM$1004:$BM$1004,1,MATCH(COLUMNS($AM$1006:BH1006),$AM$1006:$BM$1006,0)))),"Fix")))</f>
        <v xml:space="preserve"> </v>
      </c>
      <c r="X541" s="4" t="str">
        <f ca="1">IF(OR(INDEX($AG$2:$AG$1001,MATCH(ROWS($AF$2:AF541),$AF$2:$AF$1001,0),1)&gt;=100000,INDEX($AM$1005:$BM$1005,1,MATCH(COLUMNS($AM$1006:BI1006),$AM$1006:$BM$1006,0))&gt;=100000), " ",IF(INDEX($AM$2:$BM$1001,MATCH(ROWS($AF$2:AF541),$AF$2:$AF$1001,0),MATCH(COLUMNS($AM$1006:BI1006),$AM$1006:$BM$1006,0)), HYPERLINK("#",""), HYPERLINK(CONCATENATE("#metadata!", ADDRESS(INDEX($AH$2:$AH$1001,MATCH(ROWS($AF$2:AF541),$AF$2:$AF$1001,0),0), INDEX($AM$1004:$BM$1004,1,MATCH(COLUMNS($AM$1006:BI1006),$AM$1006:$BM$1006,0)))),"Fix")))</f>
        <v xml:space="preserve"> </v>
      </c>
      <c r="Y541" s="4" t="str">
        <f ca="1">IF(OR(INDEX($AG$2:$AG$1001,MATCH(ROWS($AF$2:AF541),$AF$2:$AF$1001,0),1)&gt;=100000,INDEX($AM$1005:$BM$1005,1,MATCH(COLUMNS($AM$1006:BJ1006),$AM$1006:$BM$1006,0))&gt;=100000), " ",IF(INDEX($AM$2:$BM$1001,MATCH(ROWS($AF$2:AF541),$AF$2:$AF$1001,0),MATCH(COLUMNS($AM$1006:BJ1006),$AM$1006:$BM$1006,0)), HYPERLINK("#",""), HYPERLINK(CONCATENATE("#metadata!", ADDRESS(INDEX($AH$2:$AH$1001,MATCH(ROWS($AF$2:AF541),$AF$2:$AF$1001,0),0), INDEX($AM$1004:$BM$1004,1,MATCH(COLUMNS($AM$1006:BJ1006),$AM$1006:$BM$1006,0)))),"Fix")))</f>
        <v xml:space="preserve"> </v>
      </c>
      <c r="Z541" s="4" t="str">
        <f ca="1">IF(OR(INDEX($AG$2:$AG$1001,MATCH(ROWS($AF$2:AF541),$AF$2:$AF$1001,0),1)&gt;=100000,INDEX($AM$1005:$BM$1005,1,MATCH(COLUMNS($AM$1006:BK1006),$AM$1006:$BM$1006,0))&gt;=100000), " ",IF(INDEX($AM$2:$BM$1001,MATCH(ROWS($AF$2:AF541),$AF$2:$AF$1001,0),MATCH(COLUMNS($AM$1006:BK1006),$AM$1006:$BM$1006,0)), HYPERLINK("#",""), HYPERLINK(CONCATENATE("#metadata!", ADDRESS(INDEX($AH$2:$AH$1001,MATCH(ROWS($AF$2:AF541),$AF$2:$AF$1001,0),0), INDEX($AM$1004:$BM$1004,1,MATCH(COLUMNS($AM$1006:BK1006),$AM$1006:$BM$1006,0)))),"Fix")))</f>
        <v xml:space="preserve"> </v>
      </c>
      <c r="AA541" s="4" t="str">
        <f ca="1">IF(OR(INDEX($AG$2:$AG$1001,MATCH(ROWS($AF$2:AF541),$AF$2:$AF$1001,0),1)&gt;=100000,INDEX($AM$1005:$BM$1005,1,MATCH(COLUMNS($AM$1006:BL1006),$AM$1006:$BM$1006,0))&gt;=100000), " ",IF(INDEX($AM$2:$BM$1001,MATCH(ROWS($AF$2:AF541),$AF$2:$AF$1001,0),MATCH(COLUMNS($AM$1006:BL1006),$AM$1006:$BM$1006,0)), HYPERLINK("#",""), HYPERLINK(CONCATENATE("#metadata!", ADDRESS(INDEX($AH$2:$AH$1001,MATCH(ROWS($AF$2:AF541),$AF$2:$AF$1001,0),0), INDEX($AM$1004:$BM$1004,1,MATCH(COLUMNS($AM$1006:BL1006),$AM$1006:$BM$1006,0)))),"Fix")))</f>
        <v xml:space="preserve"> </v>
      </c>
      <c r="AB541" s="4" t="str">
        <f ca="1">IF(OR(INDEX($AG$2:$AG$1001,MATCH(ROWS($AF$2:AF541),$AF$2:$AF$1001,0),1)&gt;=100000,INDEX($AM$1005:$BM$1005,1,MATCH(COLUMNS($AM$1006:BM1006),$AM$1006:$BM$1006,0))&gt;=100000), " ",IF(INDEX($AM$2:$BM$1001,MATCH(ROWS($AF$2:AF541),$AF$2:$AF$1001,0),MATCH(COLUMNS($AM$1006:BM1006),$AM$1006:$BM$1006,0)), HYPERLINK("#",""), HYPERLINK(CONCATENATE("#metadata!", ADDRESS(INDEX($AH$2:$AH$1001,MATCH(ROWS($AF$2:AF541),$AF$2:$AF$1001,0),0), INDEX($AM$1004:$BM$1004,1,MATCH(COLUMNS($AM$1006:BM1006),$AM$1006:$BM$1006,0)))),"Fix")))</f>
        <v xml:space="preserve"> </v>
      </c>
      <c r="AF541">
        <v>540</v>
      </c>
      <c r="AG541">
        <v>100541</v>
      </c>
      <c r="AH541">
        <v>541</v>
      </c>
      <c r="AI541" t="b">
        <f t="shared" si="8"/>
        <v>1</v>
      </c>
      <c r="AJ541" t="b">
        <f>COUNTBLANK(metadata!B541:AB541)=COLUMNS(metadata!B541:AB541)</f>
        <v>1</v>
      </c>
      <c r="AK541" t="str">
        <v/>
      </c>
      <c r="AM541" t="b">
        <f ca="1">AND(IF(metadata!B541="",FALSE,TRUE),COUNTIF(metadata!B:B, metadata!B541) = 1,NOT(ISERROR(SUMPRODUCT(SEARCH(MID(metadata!B541,ROW(INDIRECT("1:"&amp;LEN(metadata!B541))), 1),"0123456789abcdefghijklmnopqrstuvwxyzABCDEFGHIJKLMNOPQRSTUVWXYZ.")))))</f>
        <v>0</v>
      </c>
      <c r="AN541" t="b">
        <f ca="1">OR(AND(IF(metadata!C541="",FALSE,TRUE),OR(EXACT(metadata!C541,"missing: not collected"),EXACT(metadata!C541,"missing: not provided"),EXACT(metadata!C541,"missing: restricted access"))),AND(IF(metadata!C541="",FALSE,TRUE),AND(AND(IFERROR(INT(LEFT(metadata!C541,4))&gt;1900,FALSE),IFERROR(INT(LEFT(metadata!C541,4))&lt;=YEAR(NOW()),FALSE)), OR(MID(metadata!C541,5,1)="", AND(AND(MID(metadata!C541,5,1)="-",IFERROR(INT(MID(metadata!C541,6,1))&gt;=0,FALSE),IFERROR(INT(MID(metadata!C541,6,1))&lt;=1,FALSE),NOT(MID(metadata!C541,7,1)=""),IFERROR(INT(MID(metadata!C541,6,2))&gt;=1,FALSE),IFERROR(INT(MID(metadata!C541,6,2))&lt;=12,FALSE)), OR(MID(metadata!C541,8,1)="", AND(AND(MID(metadata!C541,8,1)="-",IFERROR(INT(MID(metadata!C541,9,1))&gt;=0,FALSE),IFERROR(INT(MID(metadata!C541,9,1))&lt;=3,FALSE),NOT(MID(metadata!C541,10,1)=""),IFERROR(INT(MID(metadata!C541,9,2))&gt;=1,FALSE),IFERROR(INT(MID(metadata!C541,9,2))&lt;=31,FALSE)), OR(MID(metadata!C541,11,1)="", AND(AND(MID(metadata!C541,11,1)=" ",IFERROR(INT(MID(metadata!C541,12,1))&gt;=0,FALSE),IFERROR(INT(MID(metadata!C541,12,1))&lt;=2,FALSE),NOT(MID(metadata!C541,13,1)=""),IFERROR(INT(MID(metadata!C541,12,2))&gt;=0,FALSE),IFERROR(INT(MID(metadata!C541,12,2))&lt;=23,FALSE)), OR(MID(metadata!C541,14,1)="", AND(AND(MID(metadata!C541,14,1)=":",IFERROR(INT(MID(metadata!C541,15,1))&gt;=0,FALSE),IFERROR(INT(MID(metadata!C541,15,1))&lt;=5,FALSE),NOT(MID(metadata!C541,16,1)=""),IFERROR(INT(MID(metadata!C541,15,2))&gt;=0,FALSE),IFERROR(INT(MID(metadata!C541,15,2))&lt;=59,FALSE)), OR(MID(metadata!C541,17,1)="", AND(AND(MID(metadata!C541,17,1)=":",IFERROR(INT(MID(metadata!C541,18,1))&gt;=0,FALSE),IFERROR(INT(MID(metadata!C541,18,1))&lt;=5,FALSE),NOT(MID(metadata!C541,19,1)=""),IFERROR(INT(MID(metadata!C541,18,2))&gt;=0,FALSE),IFERROR(INT(MID(metadata!C541,18,2))&lt;=59,FALSE)), LEN(metadata!C541)&lt;=19)))))))))))))</f>
        <v>0</v>
      </c>
      <c r="AO541" t="b">
        <f>AND(IF(metadata!D541="",FALSE,TRUE),EXACT(metadata!D541,"Not applicable"))</f>
        <v>0</v>
      </c>
      <c r="AP541" t="b">
        <f>IF(metadata!E541="",FALSE,TRUE)</f>
        <v>0</v>
      </c>
      <c r="AQ541" t="b">
        <f>OR(AND(IF(metadata!F541="",FALSE,TRUE),OR(EXACT(metadata!F541,"missing: not collected"),EXACT(metadata!F541,"missing: not provided"))),AND(IF(metadata!F541="",FALSE,TRUE),OR(EXACT(metadata!F541,"TRUE"),EXACT(metadata!F541,"FALSE"))))</f>
        <v>0</v>
      </c>
      <c r="AR541" t="b">
        <f>OR(AND(IF(metadata!G541="",FALSE,TRUE),OR(EXACT(metadata!G541,"missing: not collected"),EXACT(metadata!G541,"missing: not provided"),EXACT(metadata!G541,"missing: restricted access"))),AND(IF(metadata!G541="",FALSE,ISNUMBER(VALUE(metadata!G541))),metadata!G541&gt;=-413))</f>
        <v>0</v>
      </c>
      <c r="AS541" t="b">
        <f>AND(IF(metadata!H541="",FALSE,TRUE),EXACT(metadata!H541,"meters"))</f>
        <v>0</v>
      </c>
      <c r="AT541" t="b">
        <f>AND(IF(metadata!I541="",FALSE,TRUE),OR(EXACT(metadata!I541,"Host-associated"),EXACT(metadata!I541,"Free-living")))</f>
        <v>0</v>
      </c>
      <c r="AU541" t="b">
        <f>AND(IF(metadata!J541="",FALSE,TRUE),OR(EXACT(metadata!J541,"Animal"),EXACT(metadata!J541,"Fungus"),EXACT(metadata!J541,"Plant"),EXACT(metadata!J541,"Saline"),EXACT(metadata!J541,"Non-saline")))</f>
        <v>0</v>
      </c>
      <c r="AV541" t="b">
        <f>AND(IF(metadata!K541="",FALSE,TRUE),OR(EXACT(metadata!K541,"Plant secretion"),EXACT(metadata!K541,"Plant rhizosphere"),EXACT(metadata!K541,"Plant surface"),EXACT(metadata!K541,"Plant corpus"),EXACT(metadata!K541,"Fungus surface"),EXACT(metadata!K541,"Fungus corpus"),EXACT(metadata!K541,"Animal surface"),EXACT(metadata!K541,"Animal proximal gut"),EXACT(metadata!K541,"Animal corpus"),EXACT(metadata!K541,"Animal distal gut"),EXACT(metadata!K541,"Animal secretion"),EXACT(metadata!K541,"Sub-surface (non-saline)"),EXACT(metadata!K541,"Surface (non-saline)"),EXACT(metadata!K541,"Water (non-saline)"),EXACT(metadata!K541,"Soil (non-saline)"),EXACT(metadata!K541,"Aerosol (non-saline)"),EXACT(metadata!K541,"Sediment (non-saline)"),EXACT(metadata!K541,"Surface (saline)"),EXACT(metadata!K541,"Water (saline)"),EXACT(metadata!K541,"Hypersaline (saline)"),EXACT(metadata!K541,"Aerosol (saline)"),EXACT(metadata!K541,"Sediment (saline)")))</f>
        <v>0</v>
      </c>
      <c r="AW541" t="b">
        <f>IF(metadata!L541="",FALSE,TRUE)</f>
        <v>0</v>
      </c>
      <c r="AX541" t="b">
        <f>IF(metadata!M541="",FALSE,TRUE)</f>
        <v>0</v>
      </c>
      <c r="AY541" t="b">
        <f>IF(metadata!N541="",FALSE,TRUE)</f>
        <v>0</v>
      </c>
      <c r="AZ541" t="b">
        <f>OR(AND(IF(metadata!O541="",FALSE,TRUE),OR(EXACT(metadata!O541,"missing: not collected"),EXACT(metadata!O541,"missing: not provided"),EXACT(metadata!O541,"missing: restricted access"))),AND(IF(metadata!O541="",FALSE,TRUE),OR(EXACT(metadata!O541,"air"),EXACT(metadata!O541,"built environment"),EXACT(metadata!O541,"host-associated"),EXACT(metadata!O541,"human-associated"),EXACT(metadata!O541,"human-skin"),EXACT(metadata!O541,"human-oral"),EXACT(metadata!O541,"human-gut"),EXACT(metadata!O541,"human-vaginal"),EXACT(metadata!O541,"microbial mat/biofilm"),EXACT(metadata!O541,"misc environment"),EXACT(metadata!O541,"plant-associated"),EXACT(metadata!O541,"sediment"),EXACT(metadata!O541,"soil"),EXACT(metadata!O541,"wastewater/sludge"),EXACT(metadata!O541,"water"))))</f>
        <v>0</v>
      </c>
      <c r="BA541" t="b">
        <f>IF(metadata!P541="",FALSE,TRUE)</f>
        <v>0</v>
      </c>
      <c r="BB541" t="b">
        <f>IF(metadata!Q541="",FALSE,TRUE)</f>
        <v>0</v>
      </c>
      <c r="BC541" t="b">
        <f>OR(AND(IF(metadata!R541="",FALSE,TRUE),OR(EXACT(metadata!R541,"missing: not collected"),EXACT(metadata!R541,"missing: not provided"),EXACT(metadata!R541,"missing: restricted access"))),AND(IF(metadata!R541="",FALSE,ISNUMBER(VALUE(metadata!R541))),metadata!R541&gt;=-90,metadata!R541&lt;=90))</f>
        <v>0</v>
      </c>
      <c r="BD541" t="b">
        <f>AND(IF(metadata!S541="",FALSE,TRUE),EXACT(metadata!S541,"Decimal degrees"))</f>
        <v>0</v>
      </c>
      <c r="BE541" t="b">
        <f>OR(AND(IF(metadata!T541="",FALSE,TRUE),OR(EXACT(metadata!T541,"missing: not collected"),EXACT(metadata!T541,"missing: not provided"),EXACT(metadata!T541,"missing: restricted access"))),AND(IF(metadata!T541="",FALSE,ISNUMBER(VALUE(metadata!T541))),metadata!T541&gt;=-180,metadata!T541&lt;=180))</f>
        <v>0</v>
      </c>
      <c r="BF541" t="b">
        <f>AND(IF(metadata!U541="",FALSE,TRUE),EXACT(metadata!U541,"Decimal degrees"))</f>
        <v>0</v>
      </c>
      <c r="BG541" t="b">
        <f>IF(metadata!V541="",FALSE,TRUE)</f>
        <v>0</v>
      </c>
      <c r="BH541" t="b">
        <f>OR(AND(IF(metadata!W541="",FALSE,TRUE),OR(EXACT(metadata!W541,"missing: not collected"),EXACT(metadata!W541,"missing: not provided"),EXACT(metadata!W541,"missing: restricted access"))),AND(IF(metadata!W541="",FALSE,TRUE),OR(EXACT(metadata!W541,"TRUE"),EXACT(metadata!W541,"FALSE"))))</f>
        <v>0</v>
      </c>
      <c r="BI541" t="b">
        <f>AND(IF(metadata!X541="",FALSE,TRUE),EXACT(metadata!X541,"other"))</f>
        <v>0</v>
      </c>
      <c r="BJ541" t="b">
        <f>IF(metadata!Y541="",FALSE,TRUE)</f>
        <v>0</v>
      </c>
      <c r="BK541" t="b">
        <f>OR(AND(IF(metadata!Z541="",FALSE,TRUE),OR(EXACT(metadata!Z541,"missing: not collected"),EXACT(metadata!Z541,"missing: not provided"))),AND(IF(metadata!Z541="",FALSE,IF(ISERROR(INT(metadata!Z541)),FALSE,INT(metadata!Z541)=metadata!Z541)),metadata!Z541&gt;0))</f>
        <v>0</v>
      </c>
      <c r="BL541" t="b">
        <f>AND(IF(metadata!AA541="",FALSE,TRUE),EXACT(metadata!AA541,"Not applicable"))</f>
        <v>0</v>
      </c>
      <c r="BM541" t="b">
        <f>IF(metadata!AB541="",FALSE,TRUE)</f>
        <v>0</v>
      </c>
    </row>
    <row r="542" spans="1:65" x14ac:dyDescent="0.2">
      <c r="A542" s="5" t="str">
        <f ca="1">IF(B542=" "," ",HYPERLINK(CONCATENATE("#metadata!",ADDRESS(INDEX($AH$2:$AH$1001,MATCH(ROWS($AF$2:AF542),$AF$2:$AF$1001,0),0),1)),INDEX($AK$2:$AK$1001,MATCH(ROWS($AF$2:AF542),$AF$2:$AF$1001,0),0)))</f>
        <v xml:space="preserve"> </v>
      </c>
      <c r="B542" s="4" t="str">
        <f ca="1">IF(OR(INDEX($AG$2:$AG$1001,MATCH(ROWS($AF$2:AF542),$AF$2:$AF$1001,0),1)&gt;=100000,INDEX($AM$1005:$BM$1005,1,MATCH(COLUMNS($AM$1006:AM1006),$AM$1006:$BM$1006,0))&gt;=100000), " ",IF(INDEX($AM$2:$BM$1001,MATCH(ROWS($AF$2:AF542),$AF$2:$AF$1001,0),MATCH(COLUMNS($AM$1006:AM1006),$AM$1006:$BM$1006,0)), HYPERLINK("#",""), HYPERLINK(CONCATENATE("#metadata!", ADDRESS(INDEX($AH$2:$AH$1001,MATCH(ROWS($AF$2:AF542),$AF$2:$AF$1001,0),0), INDEX($AM$1004:$BM$1004,1,MATCH(COLUMNS($AM$1006:AM1006),$AM$1006:$BM$1006,0)))),"Fix")))</f>
        <v xml:space="preserve"> </v>
      </c>
      <c r="C542" s="4" t="str">
        <f ca="1">IF(OR(INDEX($AG$2:$AG$1001,MATCH(ROWS($AF$2:AF542),$AF$2:$AF$1001,0),1)&gt;=100000,INDEX($AM$1005:$BM$1005,1,MATCH(COLUMNS($AM$1006:AN1006),$AM$1006:$BM$1006,0))&gt;=100000), " ",IF(INDEX($AM$2:$BM$1001,MATCH(ROWS($AF$2:AF542),$AF$2:$AF$1001,0),MATCH(COLUMNS($AM$1006:AN1006),$AM$1006:$BM$1006,0)), HYPERLINK("#",""), HYPERLINK(CONCATENATE("#metadata!", ADDRESS(INDEX($AH$2:$AH$1001,MATCH(ROWS($AF$2:AF542),$AF$2:$AF$1001,0),0), INDEX($AM$1004:$BM$1004,1,MATCH(COLUMNS($AM$1006:AN1006),$AM$1006:$BM$1006,0)))),"Fix")))</f>
        <v xml:space="preserve"> </v>
      </c>
      <c r="D542" s="4" t="str">
        <f ca="1">IF(OR(INDEX($AG$2:$AG$1001,MATCH(ROWS($AF$2:AF542),$AF$2:$AF$1001,0),1)&gt;=100000,INDEX($AM$1005:$BM$1005,1,MATCH(COLUMNS($AM$1006:AO1006),$AM$1006:$BM$1006,0))&gt;=100000), " ",IF(INDEX($AM$2:$BM$1001,MATCH(ROWS($AF$2:AF542),$AF$2:$AF$1001,0),MATCH(COLUMNS($AM$1006:AO1006),$AM$1006:$BM$1006,0)), HYPERLINK("#",""), HYPERLINK(CONCATENATE("#metadata!", ADDRESS(INDEX($AH$2:$AH$1001,MATCH(ROWS($AF$2:AF542),$AF$2:$AF$1001,0),0), INDEX($AM$1004:$BM$1004,1,MATCH(COLUMNS($AM$1006:AO1006),$AM$1006:$BM$1006,0)))),"Fix")))</f>
        <v xml:space="preserve"> </v>
      </c>
      <c r="E542" s="4" t="str">
        <f ca="1">IF(OR(INDEX($AG$2:$AG$1001,MATCH(ROWS($AF$2:AF542),$AF$2:$AF$1001,0),1)&gt;=100000,INDEX($AM$1005:$BM$1005,1,MATCH(COLUMNS($AM$1006:AP1006),$AM$1006:$BM$1006,0))&gt;=100000), " ",IF(INDEX($AM$2:$BM$1001,MATCH(ROWS($AF$2:AF542),$AF$2:$AF$1001,0),MATCH(COLUMNS($AM$1006:AP1006),$AM$1006:$BM$1006,0)), HYPERLINK("#",""), HYPERLINK(CONCATENATE("#metadata!", ADDRESS(INDEX($AH$2:$AH$1001,MATCH(ROWS($AF$2:AF542),$AF$2:$AF$1001,0),0), INDEX($AM$1004:$BM$1004,1,MATCH(COLUMNS($AM$1006:AP1006),$AM$1006:$BM$1006,0)))),"Fix")))</f>
        <v xml:space="preserve"> </v>
      </c>
      <c r="F542" s="4" t="str">
        <f ca="1">IF(OR(INDEX($AG$2:$AG$1001,MATCH(ROWS($AF$2:AF542),$AF$2:$AF$1001,0),1)&gt;=100000,INDEX($AM$1005:$BM$1005,1,MATCH(COLUMNS($AM$1006:AQ1006),$AM$1006:$BM$1006,0))&gt;=100000), " ",IF(INDEX($AM$2:$BM$1001,MATCH(ROWS($AF$2:AF542),$AF$2:$AF$1001,0),MATCH(COLUMNS($AM$1006:AQ1006),$AM$1006:$BM$1006,0)), HYPERLINK("#",""), HYPERLINK(CONCATENATE("#metadata!", ADDRESS(INDEX($AH$2:$AH$1001,MATCH(ROWS($AF$2:AF542),$AF$2:$AF$1001,0),0), INDEX($AM$1004:$BM$1004,1,MATCH(COLUMNS($AM$1006:AQ1006),$AM$1006:$BM$1006,0)))),"Fix")))</f>
        <v xml:space="preserve"> </v>
      </c>
      <c r="G542" s="4" t="str">
        <f ca="1">IF(OR(INDEX($AG$2:$AG$1001,MATCH(ROWS($AF$2:AF542),$AF$2:$AF$1001,0),1)&gt;=100000,INDEX($AM$1005:$BM$1005,1,MATCH(COLUMNS($AM$1006:AR1006),$AM$1006:$BM$1006,0))&gt;=100000), " ",IF(INDEX($AM$2:$BM$1001,MATCH(ROWS($AF$2:AF542),$AF$2:$AF$1001,0),MATCH(COLUMNS($AM$1006:AR1006),$AM$1006:$BM$1006,0)), HYPERLINK("#",""), HYPERLINK(CONCATENATE("#metadata!", ADDRESS(INDEX($AH$2:$AH$1001,MATCH(ROWS($AF$2:AF542),$AF$2:$AF$1001,0),0), INDEX($AM$1004:$BM$1004,1,MATCH(COLUMNS($AM$1006:AR1006),$AM$1006:$BM$1006,0)))),"Fix")))</f>
        <v xml:space="preserve"> </v>
      </c>
      <c r="H542" s="4" t="str">
        <f ca="1">IF(OR(INDEX($AG$2:$AG$1001,MATCH(ROWS($AF$2:AF542),$AF$2:$AF$1001,0),1)&gt;=100000,INDEX($AM$1005:$BM$1005,1,MATCH(COLUMNS($AM$1006:AS1006),$AM$1006:$BM$1006,0))&gt;=100000), " ",IF(INDEX($AM$2:$BM$1001,MATCH(ROWS($AF$2:AF542),$AF$2:$AF$1001,0),MATCH(COLUMNS($AM$1006:AS1006),$AM$1006:$BM$1006,0)), HYPERLINK("#",""), HYPERLINK(CONCATENATE("#metadata!", ADDRESS(INDEX($AH$2:$AH$1001,MATCH(ROWS($AF$2:AF542),$AF$2:$AF$1001,0),0), INDEX($AM$1004:$BM$1004,1,MATCH(COLUMNS($AM$1006:AS1006),$AM$1006:$BM$1006,0)))),"Fix")))</f>
        <v xml:space="preserve"> </v>
      </c>
      <c r="I542" s="4" t="str">
        <f ca="1">IF(OR(INDEX($AG$2:$AG$1001,MATCH(ROWS($AF$2:AF542),$AF$2:$AF$1001,0),1)&gt;=100000,INDEX($AM$1005:$BM$1005,1,MATCH(COLUMNS($AM$1006:AT1006),$AM$1006:$BM$1006,0))&gt;=100000), " ",IF(INDEX($AM$2:$BM$1001,MATCH(ROWS($AF$2:AF542),$AF$2:$AF$1001,0),MATCH(COLUMNS($AM$1006:AT1006),$AM$1006:$BM$1006,0)), HYPERLINK("#",""), HYPERLINK(CONCATENATE("#metadata!", ADDRESS(INDEX($AH$2:$AH$1001,MATCH(ROWS($AF$2:AF542),$AF$2:$AF$1001,0),0), INDEX($AM$1004:$BM$1004,1,MATCH(COLUMNS($AM$1006:AT1006),$AM$1006:$BM$1006,0)))),"Fix")))</f>
        <v xml:space="preserve"> </v>
      </c>
      <c r="J542" s="4" t="str">
        <f ca="1">IF(OR(INDEX($AG$2:$AG$1001,MATCH(ROWS($AF$2:AF542),$AF$2:$AF$1001,0),1)&gt;=100000,INDEX($AM$1005:$BM$1005,1,MATCH(COLUMNS($AM$1006:AU1006),$AM$1006:$BM$1006,0))&gt;=100000), " ",IF(INDEX($AM$2:$BM$1001,MATCH(ROWS($AF$2:AF542),$AF$2:$AF$1001,0),MATCH(COLUMNS($AM$1006:AU1006),$AM$1006:$BM$1006,0)), HYPERLINK("#",""), HYPERLINK(CONCATENATE("#metadata!", ADDRESS(INDEX($AH$2:$AH$1001,MATCH(ROWS($AF$2:AF542),$AF$2:$AF$1001,0),0), INDEX($AM$1004:$BM$1004,1,MATCH(COLUMNS($AM$1006:AU1006),$AM$1006:$BM$1006,0)))),"Fix")))</f>
        <v xml:space="preserve"> </v>
      </c>
      <c r="K542" s="4" t="str">
        <f ca="1">IF(OR(INDEX($AG$2:$AG$1001,MATCH(ROWS($AF$2:AF542),$AF$2:$AF$1001,0),1)&gt;=100000,INDEX($AM$1005:$BM$1005,1,MATCH(COLUMNS($AM$1006:AV1006),$AM$1006:$BM$1006,0))&gt;=100000), " ",IF(INDEX($AM$2:$BM$1001,MATCH(ROWS($AF$2:AF542),$AF$2:$AF$1001,0),MATCH(COLUMNS($AM$1006:AV1006),$AM$1006:$BM$1006,0)), HYPERLINK("#",""), HYPERLINK(CONCATENATE("#metadata!", ADDRESS(INDEX($AH$2:$AH$1001,MATCH(ROWS($AF$2:AF542),$AF$2:$AF$1001,0),0), INDEX($AM$1004:$BM$1004,1,MATCH(COLUMNS($AM$1006:AV1006),$AM$1006:$BM$1006,0)))),"Fix")))</f>
        <v xml:space="preserve"> </v>
      </c>
      <c r="L542" s="4" t="str">
        <f ca="1">IF(OR(INDEX($AG$2:$AG$1001,MATCH(ROWS($AF$2:AF542),$AF$2:$AF$1001,0),1)&gt;=100000,INDEX($AM$1005:$BM$1005,1,MATCH(COLUMNS($AM$1006:AW1006),$AM$1006:$BM$1006,0))&gt;=100000), " ",IF(INDEX($AM$2:$BM$1001,MATCH(ROWS($AF$2:AF542),$AF$2:$AF$1001,0),MATCH(COLUMNS($AM$1006:AW1006),$AM$1006:$BM$1006,0)), HYPERLINK("#",""), HYPERLINK(CONCATENATE("#metadata!", ADDRESS(INDEX($AH$2:$AH$1001,MATCH(ROWS($AF$2:AF542),$AF$2:$AF$1001,0),0), INDEX($AM$1004:$BM$1004,1,MATCH(COLUMNS($AM$1006:AW1006),$AM$1006:$BM$1006,0)))),"Fix")))</f>
        <v xml:space="preserve"> </v>
      </c>
      <c r="M542" s="4" t="str">
        <f ca="1">IF(OR(INDEX($AG$2:$AG$1001,MATCH(ROWS($AF$2:AF542),$AF$2:$AF$1001,0),1)&gt;=100000,INDEX($AM$1005:$BM$1005,1,MATCH(COLUMNS($AM$1006:AX1006),$AM$1006:$BM$1006,0))&gt;=100000), " ",IF(INDEX($AM$2:$BM$1001,MATCH(ROWS($AF$2:AF542),$AF$2:$AF$1001,0),MATCH(COLUMNS($AM$1006:AX1006),$AM$1006:$BM$1006,0)), HYPERLINK("#",""), HYPERLINK(CONCATENATE("#metadata!", ADDRESS(INDEX($AH$2:$AH$1001,MATCH(ROWS($AF$2:AF542),$AF$2:$AF$1001,0),0), INDEX($AM$1004:$BM$1004,1,MATCH(COLUMNS($AM$1006:AX1006),$AM$1006:$BM$1006,0)))),"Fix")))</f>
        <v xml:space="preserve"> </v>
      </c>
      <c r="N542" s="4" t="str">
        <f ca="1">IF(OR(INDEX($AG$2:$AG$1001,MATCH(ROWS($AF$2:AF542),$AF$2:$AF$1001,0),1)&gt;=100000,INDEX($AM$1005:$BM$1005,1,MATCH(COLUMNS($AM$1006:AY1006),$AM$1006:$BM$1006,0))&gt;=100000), " ",IF(INDEX($AM$2:$BM$1001,MATCH(ROWS($AF$2:AF542),$AF$2:$AF$1001,0),MATCH(COLUMNS($AM$1006:AY1006),$AM$1006:$BM$1006,0)), HYPERLINK("#",""), HYPERLINK(CONCATENATE("#metadata!", ADDRESS(INDEX($AH$2:$AH$1001,MATCH(ROWS($AF$2:AF542),$AF$2:$AF$1001,0),0), INDEX($AM$1004:$BM$1004,1,MATCH(COLUMNS($AM$1006:AY1006),$AM$1006:$BM$1006,0)))),"Fix")))</f>
        <v xml:space="preserve"> </v>
      </c>
      <c r="O542" s="4" t="str">
        <f ca="1">IF(OR(INDEX($AG$2:$AG$1001,MATCH(ROWS($AF$2:AF542),$AF$2:$AF$1001,0),1)&gt;=100000,INDEX($AM$1005:$BM$1005,1,MATCH(COLUMNS($AM$1006:AZ1006),$AM$1006:$BM$1006,0))&gt;=100000), " ",IF(INDEX($AM$2:$BM$1001,MATCH(ROWS($AF$2:AF542),$AF$2:$AF$1001,0),MATCH(COLUMNS($AM$1006:AZ1006),$AM$1006:$BM$1006,0)), HYPERLINK("#",""), HYPERLINK(CONCATENATE("#metadata!", ADDRESS(INDEX($AH$2:$AH$1001,MATCH(ROWS($AF$2:AF542),$AF$2:$AF$1001,0),0), INDEX($AM$1004:$BM$1004,1,MATCH(COLUMNS($AM$1006:AZ1006),$AM$1006:$BM$1006,0)))),"Fix")))</f>
        <v xml:space="preserve"> </v>
      </c>
      <c r="P542" s="4" t="str">
        <f ca="1">IF(OR(INDEX($AG$2:$AG$1001,MATCH(ROWS($AF$2:AF542),$AF$2:$AF$1001,0),1)&gt;=100000,INDEX($AM$1005:$BM$1005,1,MATCH(COLUMNS($AM$1006:BA1006),$AM$1006:$BM$1006,0))&gt;=100000), " ",IF(INDEX($AM$2:$BM$1001,MATCH(ROWS($AF$2:AF542),$AF$2:$AF$1001,0),MATCH(COLUMNS($AM$1006:BA1006),$AM$1006:$BM$1006,0)), HYPERLINK("#",""), HYPERLINK(CONCATENATE("#metadata!", ADDRESS(INDEX($AH$2:$AH$1001,MATCH(ROWS($AF$2:AF542),$AF$2:$AF$1001,0),0), INDEX($AM$1004:$BM$1004,1,MATCH(COLUMNS($AM$1006:BA1006),$AM$1006:$BM$1006,0)))),"Fix")))</f>
        <v xml:space="preserve"> </v>
      </c>
      <c r="Q542" s="4" t="str">
        <f ca="1">IF(OR(INDEX($AG$2:$AG$1001,MATCH(ROWS($AF$2:AF542),$AF$2:$AF$1001,0),1)&gt;=100000,INDEX($AM$1005:$BM$1005,1,MATCH(COLUMNS($AM$1006:BB1006),$AM$1006:$BM$1006,0))&gt;=100000), " ",IF(INDEX($AM$2:$BM$1001,MATCH(ROWS($AF$2:AF542),$AF$2:$AF$1001,0),MATCH(COLUMNS($AM$1006:BB1006),$AM$1006:$BM$1006,0)), HYPERLINK("#",""), HYPERLINK(CONCATENATE("#metadata!", ADDRESS(INDEX($AH$2:$AH$1001,MATCH(ROWS($AF$2:AF542),$AF$2:$AF$1001,0),0), INDEX($AM$1004:$BM$1004,1,MATCH(COLUMNS($AM$1006:BB1006),$AM$1006:$BM$1006,0)))),"Fix")))</f>
        <v xml:space="preserve"> </v>
      </c>
      <c r="R542" s="4" t="str">
        <f ca="1">IF(OR(INDEX($AG$2:$AG$1001,MATCH(ROWS($AF$2:AF542),$AF$2:$AF$1001,0),1)&gt;=100000,INDEX($AM$1005:$BM$1005,1,MATCH(COLUMNS($AM$1006:BC1006),$AM$1006:$BM$1006,0))&gt;=100000), " ",IF(INDEX($AM$2:$BM$1001,MATCH(ROWS($AF$2:AF542),$AF$2:$AF$1001,0),MATCH(COLUMNS($AM$1006:BC1006),$AM$1006:$BM$1006,0)), HYPERLINK("#",""), HYPERLINK(CONCATENATE("#metadata!", ADDRESS(INDEX($AH$2:$AH$1001,MATCH(ROWS($AF$2:AF542),$AF$2:$AF$1001,0),0), INDEX($AM$1004:$BM$1004,1,MATCH(COLUMNS($AM$1006:BC1006),$AM$1006:$BM$1006,0)))),"Fix")))</f>
        <v xml:space="preserve"> </v>
      </c>
      <c r="S542" s="4" t="str">
        <f ca="1">IF(OR(INDEX($AG$2:$AG$1001,MATCH(ROWS($AF$2:AF542),$AF$2:$AF$1001,0),1)&gt;=100000,INDEX($AM$1005:$BM$1005,1,MATCH(COLUMNS($AM$1006:BD1006),$AM$1006:$BM$1006,0))&gt;=100000), " ",IF(INDEX($AM$2:$BM$1001,MATCH(ROWS($AF$2:AF542),$AF$2:$AF$1001,0),MATCH(COLUMNS($AM$1006:BD1006),$AM$1006:$BM$1006,0)), HYPERLINK("#",""), HYPERLINK(CONCATENATE("#metadata!", ADDRESS(INDEX($AH$2:$AH$1001,MATCH(ROWS($AF$2:AF542),$AF$2:$AF$1001,0),0), INDEX($AM$1004:$BM$1004,1,MATCH(COLUMNS($AM$1006:BD1006),$AM$1006:$BM$1006,0)))),"Fix")))</f>
        <v xml:space="preserve"> </v>
      </c>
      <c r="T542" s="4" t="str">
        <f ca="1">IF(OR(INDEX($AG$2:$AG$1001,MATCH(ROWS($AF$2:AF542),$AF$2:$AF$1001,0),1)&gt;=100000,INDEX($AM$1005:$BM$1005,1,MATCH(COLUMNS($AM$1006:BE1006),$AM$1006:$BM$1006,0))&gt;=100000), " ",IF(INDEX($AM$2:$BM$1001,MATCH(ROWS($AF$2:AF542),$AF$2:$AF$1001,0),MATCH(COLUMNS($AM$1006:BE1006),$AM$1006:$BM$1006,0)), HYPERLINK("#",""), HYPERLINK(CONCATENATE("#metadata!", ADDRESS(INDEX($AH$2:$AH$1001,MATCH(ROWS($AF$2:AF542),$AF$2:$AF$1001,0),0), INDEX($AM$1004:$BM$1004,1,MATCH(COLUMNS($AM$1006:BE1006),$AM$1006:$BM$1006,0)))),"Fix")))</f>
        <v xml:space="preserve"> </v>
      </c>
      <c r="U542" s="4" t="str">
        <f ca="1">IF(OR(INDEX($AG$2:$AG$1001,MATCH(ROWS($AF$2:AF542),$AF$2:$AF$1001,0),1)&gt;=100000,INDEX($AM$1005:$BM$1005,1,MATCH(COLUMNS($AM$1006:BF1006),$AM$1006:$BM$1006,0))&gt;=100000), " ",IF(INDEX($AM$2:$BM$1001,MATCH(ROWS($AF$2:AF542),$AF$2:$AF$1001,0),MATCH(COLUMNS($AM$1006:BF1006),$AM$1006:$BM$1006,0)), HYPERLINK("#",""), HYPERLINK(CONCATENATE("#metadata!", ADDRESS(INDEX($AH$2:$AH$1001,MATCH(ROWS($AF$2:AF542),$AF$2:$AF$1001,0),0), INDEX($AM$1004:$BM$1004,1,MATCH(COLUMNS($AM$1006:BF1006),$AM$1006:$BM$1006,0)))),"Fix")))</f>
        <v xml:space="preserve"> </v>
      </c>
      <c r="V542" s="4" t="str">
        <f ca="1">IF(OR(INDEX($AG$2:$AG$1001,MATCH(ROWS($AF$2:AF542),$AF$2:$AF$1001,0),1)&gt;=100000,INDEX($AM$1005:$BM$1005,1,MATCH(COLUMNS($AM$1006:BG1006),$AM$1006:$BM$1006,0))&gt;=100000), " ",IF(INDEX($AM$2:$BM$1001,MATCH(ROWS($AF$2:AF542),$AF$2:$AF$1001,0),MATCH(COLUMNS($AM$1006:BG1006),$AM$1006:$BM$1006,0)), HYPERLINK("#",""), HYPERLINK(CONCATENATE("#metadata!", ADDRESS(INDEX($AH$2:$AH$1001,MATCH(ROWS($AF$2:AF542),$AF$2:$AF$1001,0),0), INDEX($AM$1004:$BM$1004,1,MATCH(COLUMNS($AM$1006:BG1006),$AM$1006:$BM$1006,0)))),"Fix")))</f>
        <v xml:space="preserve"> </v>
      </c>
      <c r="W542" s="4" t="str">
        <f ca="1">IF(OR(INDEX($AG$2:$AG$1001,MATCH(ROWS($AF$2:AF542),$AF$2:$AF$1001,0),1)&gt;=100000,INDEX($AM$1005:$BM$1005,1,MATCH(COLUMNS($AM$1006:BH1006),$AM$1006:$BM$1006,0))&gt;=100000), " ",IF(INDEX($AM$2:$BM$1001,MATCH(ROWS($AF$2:AF542),$AF$2:$AF$1001,0),MATCH(COLUMNS($AM$1006:BH1006),$AM$1006:$BM$1006,0)), HYPERLINK("#",""), HYPERLINK(CONCATENATE("#metadata!", ADDRESS(INDEX($AH$2:$AH$1001,MATCH(ROWS($AF$2:AF542),$AF$2:$AF$1001,0),0), INDEX($AM$1004:$BM$1004,1,MATCH(COLUMNS($AM$1006:BH1006),$AM$1006:$BM$1006,0)))),"Fix")))</f>
        <v xml:space="preserve"> </v>
      </c>
      <c r="X542" s="4" t="str">
        <f ca="1">IF(OR(INDEX($AG$2:$AG$1001,MATCH(ROWS($AF$2:AF542),$AF$2:$AF$1001,0),1)&gt;=100000,INDEX($AM$1005:$BM$1005,1,MATCH(COLUMNS($AM$1006:BI1006),$AM$1006:$BM$1006,0))&gt;=100000), " ",IF(INDEX($AM$2:$BM$1001,MATCH(ROWS($AF$2:AF542),$AF$2:$AF$1001,0),MATCH(COLUMNS($AM$1006:BI1006),$AM$1006:$BM$1006,0)), HYPERLINK("#",""), HYPERLINK(CONCATENATE("#metadata!", ADDRESS(INDEX($AH$2:$AH$1001,MATCH(ROWS($AF$2:AF542),$AF$2:$AF$1001,0),0), INDEX($AM$1004:$BM$1004,1,MATCH(COLUMNS($AM$1006:BI1006),$AM$1006:$BM$1006,0)))),"Fix")))</f>
        <v xml:space="preserve"> </v>
      </c>
      <c r="Y542" s="4" t="str">
        <f ca="1">IF(OR(INDEX($AG$2:$AG$1001,MATCH(ROWS($AF$2:AF542),$AF$2:$AF$1001,0),1)&gt;=100000,INDEX($AM$1005:$BM$1005,1,MATCH(COLUMNS($AM$1006:BJ1006),$AM$1006:$BM$1006,0))&gt;=100000), " ",IF(INDEX($AM$2:$BM$1001,MATCH(ROWS($AF$2:AF542),$AF$2:$AF$1001,0),MATCH(COLUMNS($AM$1006:BJ1006),$AM$1006:$BM$1006,0)), HYPERLINK("#",""), HYPERLINK(CONCATENATE("#metadata!", ADDRESS(INDEX($AH$2:$AH$1001,MATCH(ROWS($AF$2:AF542),$AF$2:$AF$1001,0),0), INDEX($AM$1004:$BM$1004,1,MATCH(COLUMNS($AM$1006:BJ1006),$AM$1006:$BM$1006,0)))),"Fix")))</f>
        <v xml:space="preserve"> </v>
      </c>
      <c r="Z542" s="4" t="str">
        <f ca="1">IF(OR(INDEX($AG$2:$AG$1001,MATCH(ROWS($AF$2:AF542),$AF$2:$AF$1001,0),1)&gt;=100000,INDEX($AM$1005:$BM$1005,1,MATCH(COLUMNS($AM$1006:BK1006),$AM$1006:$BM$1006,0))&gt;=100000), " ",IF(INDEX($AM$2:$BM$1001,MATCH(ROWS($AF$2:AF542),$AF$2:$AF$1001,0),MATCH(COLUMNS($AM$1006:BK1006),$AM$1006:$BM$1006,0)), HYPERLINK("#",""), HYPERLINK(CONCATENATE("#metadata!", ADDRESS(INDEX($AH$2:$AH$1001,MATCH(ROWS($AF$2:AF542),$AF$2:$AF$1001,0),0), INDEX($AM$1004:$BM$1004,1,MATCH(COLUMNS($AM$1006:BK1006),$AM$1006:$BM$1006,0)))),"Fix")))</f>
        <v xml:space="preserve"> </v>
      </c>
      <c r="AA542" s="4" t="str">
        <f ca="1">IF(OR(INDEX($AG$2:$AG$1001,MATCH(ROWS($AF$2:AF542),$AF$2:$AF$1001,0),1)&gt;=100000,INDEX($AM$1005:$BM$1005,1,MATCH(COLUMNS($AM$1006:BL1006),$AM$1006:$BM$1006,0))&gt;=100000), " ",IF(INDEX($AM$2:$BM$1001,MATCH(ROWS($AF$2:AF542),$AF$2:$AF$1001,0),MATCH(COLUMNS($AM$1006:BL1006),$AM$1006:$BM$1006,0)), HYPERLINK("#",""), HYPERLINK(CONCATENATE("#metadata!", ADDRESS(INDEX($AH$2:$AH$1001,MATCH(ROWS($AF$2:AF542),$AF$2:$AF$1001,0),0), INDEX($AM$1004:$BM$1004,1,MATCH(COLUMNS($AM$1006:BL1006),$AM$1006:$BM$1006,0)))),"Fix")))</f>
        <v xml:space="preserve"> </v>
      </c>
      <c r="AB542" s="4" t="str">
        <f ca="1">IF(OR(INDEX($AG$2:$AG$1001,MATCH(ROWS($AF$2:AF542),$AF$2:$AF$1001,0),1)&gt;=100000,INDEX($AM$1005:$BM$1005,1,MATCH(COLUMNS($AM$1006:BM1006),$AM$1006:$BM$1006,0))&gt;=100000), " ",IF(INDEX($AM$2:$BM$1001,MATCH(ROWS($AF$2:AF542),$AF$2:$AF$1001,0),MATCH(COLUMNS($AM$1006:BM1006),$AM$1006:$BM$1006,0)), HYPERLINK("#",""), HYPERLINK(CONCATENATE("#metadata!", ADDRESS(INDEX($AH$2:$AH$1001,MATCH(ROWS($AF$2:AF542),$AF$2:$AF$1001,0),0), INDEX($AM$1004:$BM$1004,1,MATCH(COLUMNS($AM$1006:BM1006),$AM$1006:$BM$1006,0)))),"Fix")))</f>
        <v xml:space="preserve"> </v>
      </c>
      <c r="AF542">
        <v>541</v>
      </c>
      <c r="AG542">
        <v>100542</v>
      </c>
      <c r="AH542">
        <v>542</v>
      </c>
      <c r="AI542" t="b">
        <f t="shared" si="8"/>
        <v>1</v>
      </c>
      <c r="AJ542" t="b">
        <f>COUNTBLANK(metadata!B542:AB542)=COLUMNS(metadata!B542:AB542)</f>
        <v>1</v>
      </c>
      <c r="AK542" t="str">
        <v/>
      </c>
      <c r="AM542" t="b">
        <f ca="1">AND(IF(metadata!B542="",FALSE,TRUE),COUNTIF(metadata!B:B, metadata!B542) = 1,NOT(ISERROR(SUMPRODUCT(SEARCH(MID(metadata!B542,ROW(INDIRECT("1:"&amp;LEN(metadata!B542))), 1),"0123456789abcdefghijklmnopqrstuvwxyzABCDEFGHIJKLMNOPQRSTUVWXYZ.")))))</f>
        <v>0</v>
      </c>
      <c r="AN542" t="b">
        <f ca="1">OR(AND(IF(metadata!C542="",FALSE,TRUE),OR(EXACT(metadata!C542,"missing: not collected"),EXACT(metadata!C542,"missing: not provided"),EXACT(metadata!C542,"missing: restricted access"))),AND(IF(metadata!C542="",FALSE,TRUE),AND(AND(IFERROR(INT(LEFT(metadata!C542,4))&gt;1900,FALSE),IFERROR(INT(LEFT(metadata!C542,4))&lt;=YEAR(NOW()),FALSE)), OR(MID(metadata!C542,5,1)="", AND(AND(MID(metadata!C542,5,1)="-",IFERROR(INT(MID(metadata!C542,6,1))&gt;=0,FALSE),IFERROR(INT(MID(metadata!C542,6,1))&lt;=1,FALSE),NOT(MID(metadata!C542,7,1)=""),IFERROR(INT(MID(metadata!C542,6,2))&gt;=1,FALSE),IFERROR(INT(MID(metadata!C542,6,2))&lt;=12,FALSE)), OR(MID(metadata!C542,8,1)="", AND(AND(MID(metadata!C542,8,1)="-",IFERROR(INT(MID(metadata!C542,9,1))&gt;=0,FALSE),IFERROR(INT(MID(metadata!C542,9,1))&lt;=3,FALSE),NOT(MID(metadata!C542,10,1)=""),IFERROR(INT(MID(metadata!C542,9,2))&gt;=1,FALSE),IFERROR(INT(MID(metadata!C542,9,2))&lt;=31,FALSE)), OR(MID(metadata!C542,11,1)="", AND(AND(MID(metadata!C542,11,1)=" ",IFERROR(INT(MID(metadata!C542,12,1))&gt;=0,FALSE),IFERROR(INT(MID(metadata!C542,12,1))&lt;=2,FALSE),NOT(MID(metadata!C542,13,1)=""),IFERROR(INT(MID(metadata!C542,12,2))&gt;=0,FALSE),IFERROR(INT(MID(metadata!C542,12,2))&lt;=23,FALSE)), OR(MID(metadata!C542,14,1)="", AND(AND(MID(metadata!C542,14,1)=":",IFERROR(INT(MID(metadata!C542,15,1))&gt;=0,FALSE),IFERROR(INT(MID(metadata!C542,15,1))&lt;=5,FALSE),NOT(MID(metadata!C542,16,1)=""),IFERROR(INT(MID(metadata!C542,15,2))&gt;=0,FALSE),IFERROR(INT(MID(metadata!C542,15,2))&lt;=59,FALSE)), OR(MID(metadata!C542,17,1)="", AND(AND(MID(metadata!C542,17,1)=":",IFERROR(INT(MID(metadata!C542,18,1))&gt;=0,FALSE),IFERROR(INT(MID(metadata!C542,18,1))&lt;=5,FALSE),NOT(MID(metadata!C542,19,1)=""),IFERROR(INT(MID(metadata!C542,18,2))&gt;=0,FALSE),IFERROR(INT(MID(metadata!C542,18,2))&lt;=59,FALSE)), LEN(metadata!C542)&lt;=19)))))))))))))</f>
        <v>0</v>
      </c>
      <c r="AO542" t="b">
        <f>AND(IF(metadata!D542="",FALSE,TRUE),EXACT(metadata!D542,"Not applicable"))</f>
        <v>0</v>
      </c>
      <c r="AP542" t="b">
        <f>IF(metadata!E542="",FALSE,TRUE)</f>
        <v>0</v>
      </c>
      <c r="AQ542" t="b">
        <f>OR(AND(IF(metadata!F542="",FALSE,TRUE),OR(EXACT(metadata!F542,"missing: not collected"),EXACT(metadata!F542,"missing: not provided"))),AND(IF(metadata!F542="",FALSE,TRUE),OR(EXACT(metadata!F542,"TRUE"),EXACT(metadata!F542,"FALSE"))))</f>
        <v>0</v>
      </c>
      <c r="AR542" t="b">
        <f>OR(AND(IF(metadata!G542="",FALSE,TRUE),OR(EXACT(metadata!G542,"missing: not collected"),EXACT(metadata!G542,"missing: not provided"),EXACT(metadata!G542,"missing: restricted access"))),AND(IF(metadata!G542="",FALSE,ISNUMBER(VALUE(metadata!G542))),metadata!G542&gt;=-413))</f>
        <v>0</v>
      </c>
      <c r="AS542" t="b">
        <f>AND(IF(metadata!H542="",FALSE,TRUE),EXACT(metadata!H542,"meters"))</f>
        <v>0</v>
      </c>
      <c r="AT542" t="b">
        <f>AND(IF(metadata!I542="",FALSE,TRUE),OR(EXACT(metadata!I542,"Host-associated"),EXACT(metadata!I542,"Free-living")))</f>
        <v>0</v>
      </c>
      <c r="AU542" t="b">
        <f>AND(IF(metadata!J542="",FALSE,TRUE),OR(EXACT(metadata!J542,"Animal"),EXACT(metadata!J542,"Fungus"),EXACT(metadata!J542,"Plant"),EXACT(metadata!J542,"Saline"),EXACT(metadata!J542,"Non-saline")))</f>
        <v>0</v>
      </c>
      <c r="AV542" t="b">
        <f>AND(IF(metadata!K542="",FALSE,TRUE),OR(EXACT(metadata!K542,"Plant secretion"),EXACT(metadata!K542,"Plant rhizosphere"),EXACT(metadata!K542,"Plant surface"),EXACT(metadata!K542,"Plant corpus"),EXACT(metadata!K542,"Fungus surface"),EXACT(metadata!K542,"Fungus corpus"),EXACT(metadata!K542,"Animal surface"),EXACT(metadata!K542,"Animal proximal gut"),EXACT(metadata!K542,"Animal corpus"),EXACT(metadata!K542,"Animal distal gut"),EXACT(metadata!K542,"Animal secretion"),EXACT(metadata!K542,"Sub-surface (non-saline)"),EXACT(metadata!K542,"Surface (non-saline)"),EXACT(metadata!K542,"Water (non-saline)"),EXACT(metadata!K542,"Soil (non-saline)"),EXACT(metadata!K542,"Aerosol (non-saline)"),EXACT(metadata!K542,"Sediment (non-saline)"),EXACT(metadata!K542,"Surface (saline)"),EXACT(metadata!K542,"Water (saline)"),EXACT(metadata!K542,"Hypersaline (saline)"),EXACT(metadata!K542,"Aerosol (saline)"),EXACT(metadata!K542,"Sediment (saline)")))</f>
        <v>0</v>
      </c>
      <c r="AW542" t="b">
        <f>IF(metadata!L542="",FALSE,TRUE)</f>
        <v>0</v>
      </c>
      <c r="AX542" t="b">
        <f>IF(metadata!M542="",FALSE,TRUE)</f>
        <v>0</v>
      </c>
      <c r="AY542" t="b">
        <f>IF(metadata!N542="",FALSE,TRUE)</f>
        <v>0</v>
      </c>
      <c r="AZ542" t="b">
        <f>OR(AND(IF(metadata!O542="",FALSE,TRUE),OR(EXACT(metadata!O542,"missing: not collected"),EXACT(metadata!O542,"missing: not provided"),EXACT(metadata!O542,"missing: restricted access"))),AND(IF(metadata!O542="",FALSE,TRUE),OR(EXACT(metadata!O542,"air"),EXACT(metadata!O542,"built environment"),EXACT(metadata!O542,"host-associated"),EXACT(metadata!O542,"human-associated"),EXACT(metadata!O542,"human-skin"),EXACT(metadata!O542,"human-oral"),EXACT(metadata!O542,"human-gut"),EXACT(metadata!O542,"human-vaginal"),EXACT(metadata!O542,"microbial mat/biofilm"),EXACT(metadata!O542,"misc environment"),EXACT(metadata!O542,"plant-associated"),EXACT(metadata!O542,"sediment"),EXACT(metadata!O542,"soil"),EXACT(metadata!O542,"wastewater/sludge"),EXACT(metadata!O542,"water"))))</f>
        <v>0</v>
      </c>
      <c r="BA542" t="b">
        <f>IF(metadata!P542="",FALSE,TRUE)</f>
        <v>0</v>
      </c>
      <c r="BB542" t="b">
        <f>IF(metadata!Q542="",FALSE,TRUE)</f>
        <v>0</v>
      </c>
      <c r="BC542" t="b">
        <f>OR(AND(IF(metadata!R542="",FALSE,TRUE),OR(EXACT(metadata!R542,"missing: not collected"),EXACT(metadata!R542,"missing: not provided"),EXACT(metadata!R542,"missing: restricted access"))),AND(IF(metadata!R542="",FALSE,ISNUMBER(VALUE(metadata!R542))),metadata!R542&gt;=-90,metadata!R542&lt;=90))</f>
        <v>0</v>
      </c>
      <c r="BD542" t="b">
        <f>AND(IF(metadata!S542="",FALSE,TRUE),EXACT(metadata!S542,"Decimal degrees"))</f>
        <v>0</v>
      </c>
      <c r="BE542" t="b">
        <f>OR(AND(IF(metadata!T542="",FALSE,TRUE),OR(EXACT(metadata!T542,"missing: not collected"),EXACT(metadata!T542,"missing: not provided"),EXACT(metadata!T542,"missing: restricted access"))),AND(IF(metadata!T542="",FALSE,ISNUMBER(VALUE(metadata!T542))),metadata!T542&gt;=-180,metadata!T542&lt;=180))</f>
        <v>0</v>
      </c>
      <c r="BF542" t="b">
        <f>AND(IF(metadata!U542="",FALSE,TRUE),EXACT(metadata!U542,"Decimal degrees"))</f>
        <v>0</v>
      </c>
      <c r="BG542" t="b">
        <f>IF(metadata!V542="",FALSE,TRUE)</f>
        <v>0</v>
      </c>
      <c r="BH542" t="b">
        <f>OR(AND(IF(metadata!W542="",FALSE,TRUE),OR(EXACT(metadata!W542,"missing: not collected"),EXACT(metadata!W542,"missing: not provided"),EXACT(metadata!W542,"missing: restricted access"))),AND(IF(metadata!W542="",FALSE,TRUE),OR(EXACT(metadata!W542,"TRUE"),EXACT(metadata!W542,"FALSE"))))</f>
        <v>0</v>
      </c>
      <c r="BI542" t="b">
        <f>AND(IF(metadata!X542="",FALSE,TRUE),EXACT(metadata!X542,"other"))</f>
        <v>0</v>
      </c>
      <c r="BJ542" t="b">
        <f>IF(metadata!Y542="",FALSE,TRUE)</f>
        <v>0</v>
      </c>
      <c r="BK542" t="b">
        <f>OR(AND(IF(metadata!Z542="",FALSE,TRUE),OR(EXACT(metadata!Z542,"missing: not collected"),EXACT(metadata!Z542,"missing: not provided"))),AND(IF(metadata!Z542="",FALSE,IF(ISERROR(INT(metadata!Z542)),FALSE,INT(metadata!Z542)=metadata!Z542)),metadata!Z542&gt;0))</f>
        <v>0</v>
      </c>
      <c r="BL542" t="b">
        <f>AND(IF(metadata!AA542="",FALSE,TRUE),EXACT(metadata!AA542,"Not applicable"))</f>
        <v>0</v>
      </c>
      <c r="BM542" t="b">
        <f>IF(metadata!AB542="",FALSE,TRUE)</f>
        <v>0</v>
      </c>
    </row>
    <row r="543" spans="1:65" x14ac:dyDescent="0.2">
      <c r="A543" s="5" t="str">
        <f ca="1">IF(B543=" "," ",HYPERLINK(CONCATENATE("#metadata!",ADDRESS(INDEX($AH$2:$AH$1001,MATCH(ROWS($AF$2:AF543),$AF$2:$AF$1001,0),0),1)),INDEX($AK$2:$AK$1001,MATCH(ROWS($AF$2:AF543),$AF$2:$AF$1001,0),0)))</f>
        <v xml:space="preserve"> </v>
      </c>
      <c r="B543" s="4" t="str">
        <f ca="1">IF(OR(INDEX($AG$2:$AG$1001,MATCH(ROWS($AF$2:AF543),$AF$2:$AF$1001,0),1)&gt;=100000,INDEX($AM$1005:$BM$1005,1,MATCH(COLUMNS($AM$1006:AM1006),$AM$1006:$BM$1006,0))&gt;=100000), " ",IF(INDEX($AM$2:$BM$1001,MATCH(ROWS($AF$2:AF543),$AF$2:$AF$1001,0),MATCH(COLUMNS($AM$1006:AM1006),$AM$1006:$BM$1006,0)), HYPERLINK("#",""), HYPERLINK(CONCATENATE("#metadata!", ADDRESS(INDEX($AH$2:$AH$1001,MATCH(ROWS($AF$2:AF543),$AF$2:$AF$1001,0),0), INDEX($AM$1004:$BM$1004,1,MATCH(COLUMNS($AM$1006:AM1006),$AM$1006:$BM$1006,0)))),"Fix")))</f>
        <v xml:space="preserve"> </v>
      </c>
      <c r="C543" s="4" t="str">
        <f ca="1">IF(OR(INDEX($AG$2:$AG$1001,MATCH(ROWS($AF$2:AF543),$AF$2:$AF$1001,0),1)&gt;=100000,INDEX($AM$1005:$BM$1005,1,MATCH(COLUMNS($AM$1006:AN1006),$AM$1006:$BM$1006,0))&gt;=100000), " ",IF(INDEX($AM$2:$BM$1001,MATCH(ROWS($AF$2:AF543),$AF$2:$AF$1001,0),MATCH(COLUMNS($AM$1006:AN1006),$AM$1006:$BM$1006,0)), HYPERLINK("#",""), HYPERLINK(CONCATENATE("#metadata!", ADDRESS(INDEX($AH$2:$AH$1001,MATCH(ROWS($AF$2:AF543),$AF$2:$AF$1001,0),0), INDEX($AM$1004:$BM$1004,1,MATCH(COLUMNS($AM$1006:AN1006),$AM$1006:$BM$1006,0)))),"Fix")))</f>
        <v xml:space="preserve"> </v>
      </c>
      <c r="D543" s="4" t="str">
        <f ca="1">IF(OR(INDEX($AG$2:$AG$1001,MATCH(ROWS($AF$2:AF543),$AF$2:$AF$1001,0),1)&gt;=100000,INDEX($AM$1005:$BM$1005,1,MATCH(COLUMNS($AM$1006:AO1006),$AM$1006:$BM$1006,0))&gt;=100000), " ",IF(INDEX($AM$2:$BM$1001,MATCH(ROWS($AF$2:AF543),$AF$2:$AF$1001,0),MATCH(COLUMNS($AM$1006:AO1006),$AM$1006:$BM$1006,0)), HYPERLINK("#",""), HYPERLINK(CONCATENATE("#metadata!", ADDRESS(INDEX($AH$2:$AH$1001,MATCH(ROWS($AF$2:AF543),$AF$2:$AF$1001,0),0), INDEX($AM$1004:$BM$1004,1,MATCH(COLUMNS($AM$1006:AO1006),$AM$1006:$BM$1006,0)))),"Fix")))</f>
        <v xml:space="preserve"> </v>
      </c>
      <c r="E543" s="4" t="str">
        <f ca="1">IF(OR(INDEX($AG$2:$AG$1001,MATCH(ROWS($AF$2:AF543),$AF$2:$AF$1001,0),1)&gt;=100000,INDEX($AM$1005:$BM$1005,1,MATCH(COLUMNS($AM$1006:AP1006),$AM$1006:$BM$1006,0))&gt;=100000), " ",IF(INDEX($AM$2:$BM$1001,MATCH(ROWS($AF$2:AF543),$AF$2:$AF$1001,0),MATCH(COLUMNS($AM$1006:AP1006),$AM$1006:$BM$1006,0)), HYPERLINK("#",""), HYPERLINK(CONCATENATE("#metadata!", ADDRESS(INDEX($AH$2:$AH$1001,MATCH(ROWS($AF$2:AF543),$AF$2:$AF$1001,0),0), INDEX($AM$1004:$BM$1004,1,MATCH(COLUMNS($AM$1006:AP1006),$AM$1006:$BM$1006,0)))),"Fix")))</f>
        <v xml:space="preserve"> </v>
      </c>
      <c r="F543" s="4" t="str">
        <f ca="1">IF(OR(INDEX($AG$2:$AG$1001,MATCH(ROWS($AF$2:AF543),$AF$2:$AF$1001,0),1)&gt;=100000,INDEX($AM$1005:$BM$1005,1,MATCH(COLUMNS($AM$1006:AQ1006),$AM$1006:$BM$1006,0))&gt;=100000), " ",IF(INDEX($AM$2:$BM$1001,MATCH(ROWS($AF$2:AF543),$AF$2:$AF$1001,0),MATCH(COLUMNS($AM$1006:AQ1006),$AM$1006:$BM$1006,0)), HYPERLINK("#",""), HYPERLINK(CONCATENATE("#metadata!", ADDRESS(INDEX($AH$2:$AH$1001,MATCH(ROWS($AF$2:AF543),$AF$2:$AF$1001,0),0), INDEX($AM$1004:$BM$1004,1,MATCH(COLUMNS($AM$1006:AQ1006),$AM$1006:$BM$1006,0)))),"Fix")))</f>
        <v xml:space="preserve"> </v>
      </c>
      <c r="G543" s="4" t="str">
        <f ca="1">IF(OR(INDEX($AG$2:$AG$1001,MATCH(ROWS($AF$2:AF543),$AF$2:$AF$1001,0),1)&gt;=100000,INDEX($AM$1005:$BM$1005,1,MATCH(COLUMNS($AM$1006:AR1006),$AM$1006:$BM$1006,0))&gt;=100000), " ",IF(INDEX($AM$2:$BM$1001,MATCH(ROWS($AF$2:AF543),$AF$2:$AF$1001,0),MATCH(COLUMNS($AM$1006:AR1006),$AM$1006:$BM$1006,0)), HYPERLINK("#",""), HYPERLINK(CONCATENATE("#metadata!", ADDRESS(INDEX($AH$2:$AH$1001,MATCH(ROWS($AF$2:AF543),$AF$2:$AF$1001,0),0), INDEX($AM$1004:$BM$1004,1,MATCH(COLUMNS($AM$1006:AR1006),$AM$1006:$BM$1006,0)))),"Fix")))</f>
        <v xml:space="preserve"> </v>
      </c>
      <c r="H543" s="4" t="str">
        <f ca="1">IF(OR(INDEX($AG$2:$AG$1001,MATCH(ROWS($AF$2:AF543),$AF$2:$AF$1001,0),1)&gt;=100000,INDEX($AM$1005:$BM$1005,1,MATCH(COLUMNS($AM$1006:AS1006),$AM$1006:$BM$1006,0))&gt;=100000), " ",IF(INDEX($AM$2:$BM$1001,MATCH(ROWS($AF$2:AF543),$AF$2:$AF$1001,0),MATCH(COLUMNS($AM$1006:AS1006),$AM$1006:$BM$1006,0)), HYPERLINK("#",""), HYPERLINK(CONCATENATE("#metadata!", ADDRESS(INDEX($AH$2:$AH$1001,MATCH(ROWS($AF$2:AF543),$AF$2:$AF$1001,0),0), INDEX($AM$1004:$BM$1004,1,MATCH(COLUMNS($AM$1006:AS1006),$AM$1006:$BM$1006,0)))),"Fix")))</f>
        <v xml:space="preserve"> </v>
      </c>
      <c r="I543" s="4" t="str">
        <f ca="1">IF(OR(INDEX($AG$2:$AG$1001,MATCH(ROWS($AF$2:AF543),$AF$2:$AF$1001,0),1)&gt;=100000,INDEX($AM$1005:$BM$1005,1,MATCH(COLUMNS($AM$1006:AT1006),$AM$1006:$BM$1006,0))&gt;=100000), " ",IF(INDEX($AM$2:$BM$1001,MATCH(ROWS($AF$2:AF543),$AF$2:$AF$1001,0),MATCH(COLUMNS($AM$1006:AT1006),$AM$1006:$BM$1006,0)), HYPERLINK("#",""), HYPERLINK(CONCATENATE("#metadata!", ADDRESS(INDEX($AH$2:$AH$1001,MATCH(ROWS($AF$2:AF543),$AF$2:$AF$1001,0),0), INDEX($AM$1004:$BM$1004,1,MATCH(COLUMNS($AM$1006:AT1006),$AM$1006:$BM$1006,0)))),"Fix")))</f>
        <v xml:space="preserve"> </v>
      </c>
      <c r="J543" s="4" t="str">
        <f ca="1">IF(OR(INDEX($AG$2:$AG$1001,MATCH(ROWS($AF$2:AF543),$AF$2:$AF$1001,0),1)&gt;=100000,INDEX($AM$1005:$BM$1005,1,MATCH(COLUMNS($AM$1006:AU1006),$AM$1006:$BM$1006,0))&gt;=100000), " ",IF(INDEX($AM$2:$BM$1001,MATCH(ROWS($AF$2:AF543),$AF$2:$AF$1001,0),MATCH(COLUMNS($AM$1006:AU1006),$AM$1006:$BM$1006,0)), HYPERLINK("#",""), HYPERLINK(CONCATENATE("#metadata!", ADDRESS(INDEX($AH$2:$AH$1001,MATCH(ROWS($AF$2:AF543),$AF$2:$AF$1001,0),0), INDEX($AM$1004:$BM$1004,1,MATCH(COLUMNS($AM$1006:AU1006),$AM$1006:$BM$1006,0)))),"Fix")))</f>
        <v xml:space="preserve"> </v>
      </c>
      <c r="K543" s="4" t="str">
        <f ca="1">IF(OR(INDEX($AG$2:$AG$1001,MATCH(ROWS($AF$2:AF543),$AF$2:$AF$1001,0),1)&gt;=100000,INDEX($AM$1005:$BM$1005,1,MATCH(COLUMNS($AM$1006:AV1006),$AM$1006:$BM$1006,0))&gt;=100000), " ",IF(INDEX($AM$2:$BM$1001,MATCH(ROWS($AF$2:AF543),$AF$2:$AF$1001,0),MATCH(COLUMNS($AM$1006:AV1006),$AM$1006:$BM$1006,0)), HYPERLINK("#",""), HYPERLINK(CONCATENATE("#metadata!", ADDRESS(INDEX($AH$2:$AH$1001,MATCH(ROWS($AF$2:AF543),$AF$2:$AF$1001,0),0), INDEX($AM$1004:$BM$1004,1,MATCH(COLUMNS($AM$1006:AV1006),$AM$1006:$BM$1006,0)))),"Fix")))</f>
        <v xml:space="preserve"> </v>
      </c>
      <c r="L543" s="4" t="str">
        <f ca="1">IF(OR(INDEX($AG$2:$AG$1001,MATCH(ROWS($AF$2:AF543),$AF$2:$AF$1001,0),1)&gt;=100000,INDEX($AM$1005:$BM$1005,1,MATCH(COLUMNS($AM$1006:AW1006),$AM$1006:$BM$1006,0))&gt;=100000), " ",IF(INDEX($AM$2:$BM$1001,MATCH(ROWS($AF$2:AF543),$AF$2:$AF$1001,0),MATCH(COLUMNS($AM$1006:AW1006),$AM$1006:$BM$1006,0)), HYPERLINK("#",""), HYPERLINK(CONCATENATE("#metadata!", ADDRESS(INDEX($AH$2:$AH$1001,MATCH(ROWS($AF$2:AF543),$AF$2:$AF$1001,0),0), INDEX($AM$1004:$BM$1004,1,MATCH(COLUMNS($AM$1006:AW1006),$AM$1006:$BM$1006,0)))),"Fix")))</f>
        <v xml:space="preserve"> </v>
      </c>
      <c r="M543" s="4" t="str">
        <f ca="1">IF(OR(INDEX($AG$2:$AG$1001,MATCH(ROWS($AF$2:AF543),$AF$2:$AF$1001,0),1)&gt;=100000,INDEX($AM$1005:$BM$1005,1,MATCH(COLUMNS($AM$1006:AX1006),$AM$1006:$BM$1006,0))&gt;=100000), " ",IF(INDEX($AM$2:$BM$1001,MATCH(ROWS($AF$2:AF543),$AF$2:$AF$1001,0),MATCH(COLUMNS($AM$1006:AX1006),$AM$1006:$BM$1006,0)), HYPERLINK("#",""), HYPERLINK(CONCATENATE("#metadata!", ADDRESS(INDEX($AH$2:$AH$1001,MATCH(ROWS($AF$2:AF543),$AF$2:$AF$1001,0),0), INDEX($AM$1004:$BM$1004,1,MATCH(COLUMNS($AM$1006:AX1006),$AM$1006:$BM$1006,0)))),"Fix")))</f>
        <v xml:space="preserve"> </v>
      </c>
      <c r="N543" s="4" t="str">
        <f ca="1">IF(OR(INDEX($AG$2:$AG$1001,MATCH(ROWS($AF$2:AF543),$AF$2:$AF$1001,0),1)&gt;=100000,INDEX($AM$1005:$BM$1005,1,MATCH(COLUMNS($AM$1006:AY1006),$AM$1006:$BM$1006,0))&gt;=100000), " ",IF(INDEX($AM$2:$BM$1001,MATCH(ROWS($AF$2:AF543),$AF$2:$AF$1001,0),MATCH(COLUMNS($AM$1006:AY1006),$AM$1006:$BM$1006,0)), HYPERLINK("#",""), HYPERLINK(CONCATENATE("#metadata!", ADDRESS(INDEX($AH$2:$AH$1001,MATCH(ROWS($AF$2:AF543),$AF$2:$AF$1001,0),0), INDEX($AM$1004:$BM$1004,1,MATCH(COLUMNS($AM$1006:AY1006),$AM$1006:$BM$1006,0)))),"Fix")))</f>
        <v xml:space="preserve"> </v>
      </c>
      <c r="O543" s="4" t="str">
        <f ca="1">IF(OR(INDEX($AG$2:$AG$1001,MATCH(ROWS($AF$2:AF543),$AF$2:$AF$1001,0),1)&gt;=100000,INDEX($AM$1005:$BM$1005,1,MATCH(COLUMNS($AM$1006:AZ1006),$AM$1006:$BM$1006,0))&gt;=100000), " ",IF(INDEX($AM$2:$BM$1001,MATCH(ROWS($AF$2:AF543),$AF$2:$AF$1001,0),MATCH(COLUMNS($AM$1006:AZ1006),$AM$1006:$BM$1006,0)), HYPERLINK("#",""), HYPERLINK(CONCATENATE("#metadata!", ADDRESS(INDEX($AH$2:$AH$1001,MATCH(ROWS($AF$2:AF543),$AF$2:$AF$1001,0),0), INDEX($AM$1004:$BM$1004,1,MATCH(COLUMNS($AM$1006:AZ1006),$AM$1006:$BM$1006,0)))),"Fix")))</f>
        <v xml:space="preserve"> </v>
      </c>
      <c r="P543" s="4" t="str">
        <f ca="1">IF(OR(INDEX($AG$2:$AG$1001,MATCH(ROWS($AF$2:AF543),$AF$2:$AF$1001,0),1)&gt;=100000,INDEX($AM$1005:$BM$1005,1,MATCH(COLUMNS($AM$1006:BA1006),$AM$1006:$BM$1006,0))&gt;=100000), " ",IF(INDEX($AM$2:$BM$1001,MATCH(ROWS($AF$2:AF543),$AF$2:$AF$1001,0),MATCH(COLUMNS($AM$1006:BA1006),$AM$1006:$BM$1006,0)), HYPERLINK("#",""), HYPERLINK(CONCATENATE("#metadata!", ADDRESS(INDEX($AH$2:$AH$1001,MATCH(ROWS($AF$2:AF543),$AF$2:$AF$1001,0),0), INDEX($AM$1004:$BM$1004,1,MATCH(COLUMNS($AM$1006:BA1006),$AM$1006:$BM$1006,0)))),"Fix")))</f>
        <v xml:space="preserve"> </v>
      </c>
      <c r="Q543" s="4" t="str">
        <f ca="1">IF(OR(INDEX($AG$2:$AG$1001,MATCH(ROWS($AF$2:AF543),$AF$2:$AF$1001,0),1)&gt;=100000,INDEX($AM$1005:$BM$1005,1,MATCH(COLUMNS($AM$1006:BB1006),$AM$1006:$BM$1006,0))&gt;=100000), " ",IF(INDEX($AM$2:$BM$1001,MATCH(ROWS($AF$2:AF543),$AF$2:$AF$1001,0),MATCH(COLUMNS($AM$1006:BB1006),$AM$1006:$BM$1006,0)), HYPERLINK("#",""), HYPERLINK(CONCATENATE("#metadata!", ADDRESS(INDEX($AH$2:$AH$1001,MATCH(ROWS($AF$2:AF543),$AF$2:$AF$1001,0),0), INDEX($AM$1004:$BM$1004,1,MATCH(COLUMNS($AM$1006:BB1006),$AM$1006:$BM$1006,0)))),"Fix")))</f>
        <v xml:space="preserve"> </v>
      </c>
      <c r="R543" s="4" t="str">
        <f ca="1">IF(OR(INDEX($AG$2:$AG$1001,MATCH(ROWS($AF$2:AF543),$AF$2:$AF$1001,0),1)&gt;=100000,INDEX($AM$1005:$BM$1005,1,MATCH(COLUMNS($AM$1006:BC1006),$AM$1006:$BM$1006,0))&gt;=100000), " ",IF(INDEX($AM$2:$BM$1001,MATCH(ROWS($AF$2:AF543),$AF$2:$AF$1001,0),MATCH(COLUMNS($AM$1006:BC1006),$AM$1006:$BM$1006,0)), HYPERLINK("#",""), HYPERLINK(CONCATENATE("#metadata!", ADDRESS(INDEX($AH$2:$AH$1001,MATCH(ROWS($AF$2:AF543),$AF$2:$AF$1001,0),0), INDEX($AM$1004:$BM$1004,1,MATCH(COLUMNS($AM$1006:BC1006),$AM$1006:$BM$1006,0)))),"Fix")))</f>
        <v xml:space="preserve"> </v>
      </c>
      <c r="S543" s="4" t="str">
        <f ca="1">IF(OR(INDEX($AG$2:$AG$1001,MATCH(ROWS($AF$2:AF543),$AF$2:$AF$1001,0),1)&gt;=100000,INDEX($AM$1005:$BM$1005,1,MATCH(COLUMNS($AM$1006:BD1006),$AM$1006:$BM$1006,0))&gt;=100000), " ",IF(INDEX($AM$2:$BM$1001,MATCH(ROWS($AF$2:AF543),$AF$2:$AF$1001,0),MATCH(COLUMNS($AM$1006:BD1006),$AM$1006:$BM$1006,0)), HYPERLINK("#",""), HYPERLINK(CONCATENATE("#metadata!", ADDRESS(INDEX($AH$2:$AH$1001,MATCH(ROWS($AF$2:AF543),$AF$2:$AF$1001,0),0), INDEX($AM$1004:$BM$1004,1,MATCH(COLUMNS($AM$1006:BD1006),$AM$1006:$BM$1006,0)))),"Fix")))</f>
        <v xml:space="preserve"> </v>
      </c>
      <c r="T543" s="4" t="str">
        <f ca="1">IF(OR(INDEX($AG$2:$AG$1001,MATCH(ROWS($AF$2:AF543),$AF$2:$AF$1001,0),1)&gt;=100000,INDEX($AM$1005:$BM$1005,1,MATCH(COLUMNS($AM$1006:BE1006),$AM$1006:$BM$1006,0))&gt;=100000), " ",IF(INDEX($AM$2:$BM$1001,MATCH(ROWS($AF$2:AF543),$AF$2:$AF$1001,0),MATCH(COLUMNS($AM$1006:BE1006),$AM$1006:$BM$1006,0)), HYPERLINK("#",""), HYPERLINK(CONCATENATE("#metadata!", ADDRESS(INDEX($AH$2:$AH$1001,MATCH(ROWS($AF$2:AF543),$AF$2:$AF$1001,0),0), INDEX($AM$1004:$BM$1004,1,MATCH(COLUMNS($AM$1006:BE1006),$AM$1006:$BM$1006,0)))),"Fix")))</f>
        <v xml:space="preserve"> </v>
      </c>
      <c r="U543" s="4" t="str">
        <f ca="1">IF(OR(INDEX($AG$2:$AG$1001,MATCH(ROWS($AF$2:AF543),$AF$2:$AF$1001,0),1)&gt;=100000,INDEX($AM$1005:$BM$1005,1,MATCH(COLUMNS($AM$1006:BF1006),$AM$1006:$BM$1006,0))&gt;=100000), " ",IF(INDEX($AM$2:$BM$1001,MATCH(ROWS($AF$2:AF543),$AF$2:$AF$1001,0),MATCH(COLUMNS($AM$1006:BF1006),$AM$1006:$BM$1006,0)), HYPERLINK("#",""), HYPERLINK(CONCATENATE("#metadata!", ADDRESS(INDEX($AH$2:$AH$1001,MATCH(ROWS($AF$2:AF543),$AF$2:$AF$1001,0),0), INDEX($AM$1004:$BM$1004,1,MATCH(COLUMNS($AM$1006:BF1006),$AM$1006:$BM$1006,0)))),"Fix")))</f>
        <v xml:space="preserve"> </v>
      </c>
      <c r="V543" s="4" t="str">
        <f ca="1">IF(OR(INDEX($AG$2:$AG$1001,MATCH(ROWS($AF$2:AF543),$AF$2:$AF$1001,0),1)&gt;=100000,INDEX($AM$1005:$BM$1005,1,MATCH(COLUMNS($AM$1006:BG1006),$AM$1006:$BM$1006,0))&gt;=100000), " ",IF(INDEX($AM$2:$BM$1001,MATCH(ROWS($AF$2:AF543),$AF$2:$AF$1001,0),MATCH(COLUMNS($AM$1006:BG1006),$AM$1006:$BM$1006,0)), HYPERLINK("#",""), HYPERLINK(CONCATENATE("#metadata!", ADDRESS(INDEX($AH$2:$AH$1001,MATCH(ROWS($AF$2:AF543),$AF$2:$AF$1001,0),0), INDEX($AM$1004:$BM$1004,1,MATCH(COLUMNS($AM$1006:BG1006),$AM$1006:$BM$1006,0)))),"Fix")))</f>
        <v xml:space="preserve"> </v>
      </c>
      <c r="W543" s="4" t="str">
        <f ca="1">IF(OR(INDEX($AG$2:$AG$1001,MATCH(ROWS($AF$2:AF543),$AF$2:$AF$1001,0),1)&gt;=100000,INDEX($AM$1005:$BM$1005,1,MATCH(COLUMNS($AM$1006:BH1006),$AM$1006:$BM$1006,0))&gt;=100000), " ",IF(INDEX($AM$2:$BM$1001,MATCH(ROWS($AF$2:AF543),$AF$2:$AF$1001,0),MATCH(COLUMNS($AM$1006:BH1006),$AM$1006:$BM$1006,0)), HYPERLINK("#",""), HYPERLINK(CONCATENATE("#metadata!", ADDRESS(INDEX($AH$2:$AH$1001,MATCH(ROWS($AF$2:AF543),$AF$2:$AF$1001,0),0), INDEX($AM$1004:$BM$1004,1,MATCH(COLUMNS($AM$1006:BH1006),$AM$1006:$BM$1006,0)))),"Fix")))</f>
        <v xml:space="preserve"> </v>
      </c>
      <c r="X543" s="4" t="str">
        <f ca="1">IF(OR(INDEX($AG$2:$AG$1001,MATCH(ROWS($AF$2:AF543),$AF$2:$AF$1001,0),1)&gt;=100000,INDEX($AM$1005:$BM$1005,1,MATCH(COLUMNS($AM$1006:BI1006),$AM$1006:$BM$1006,0))&gt;=100000), " ",IF(INDEX($AM$2:$BM$1001,MATCH(ROWS($AF$2:AF543),$AF$2:$AF$1001,0),MATCH(COLUMNS($AM$1006:BI1006),$AM$1006:$BM$1006,0)), HYPERLINK("#",""), HYPERLINK(CONCATENATE("#metadata!", ADDRESS(INDEX($AH$2:$AH$1001,MATCH(ROWS($AF$2:AF543),$AF$2:$AF$1001,0),0), INDEX($AM$1004:$BM$1004,1,MATCH(COLUMNS($AM$1006:BI1006),$AM$1006:$BM$1006,0)))),"Fix")))</f>
        <v xml:space="preserve"> </v>
      </c>
      <c r="Y543" s="4" t="str">
        <f ca="1">IF(OR(INDEX($AG$2:$AG$1001,MATCH(ROWS($AF$2:AF543),$AF$2:$AF$1001,0),1)&gt;=100000,INDEX($AM$1005:$BM$1005,1,MATCH(COLUMNS($AM$1006:BJ1006),$AM$1006:$BM$1006,0))&gt;=100000), " ",IF(INDEX($AM$2:$BM$1001,MATCH(ROWS($AF$2:AF543),$AF$2:$AF$1001,0),MATCH(COLUMNS($AM$1006:BJ1006),$AM$1006:$BM$1006,0)), HYPERLINK("#",""), HYPERLINK(CONCATENATE("#metadata!", ADDRESS(INDEX($AH$2:$AH$1001,MATCH(ROWS($AF$2:AF543),$AF$2:$AF$1001,0),0), INDEX($AM$1004:$BM$1004,1,MATCH(COLUMNS($AM$1006:BJ1006),$AM$1006:$BM$1006,0)))),"Fix")))</f>
        <v xml:space="preserve"> </v>
      </c>
      <c r="Z543" s="4" t="str">
        <f ca="1">IF(OR(INDEX($AG$2:$AG$1001,MATCH(ROWS($AF$2:AF543),$AF$2:$AF$1001,0),1)&gt;=100000,INDEX($AM$1005:$BM$1005,1,MATCH(COLUMNS($AM$1006:BK1006),$AM$1006:$BM$1006,0))&gt;=100000), " ",IF(INDEX($AM$2:$BM$1001,MATCH(ROWS($AF$2:AF543),$AF$2:$AF$1001,0),MATCH(COLUMNS($AM$1006:BK1006),$AM$1006:$BM$1006,0)), HYPERLINK("#",""), HYPERLINK(CONCATENATE("#metadata!", ADDRESS(INDEX($AH$2:$AH$1001,MATCH(ROWS($AF$2:AF543),$AF$2:$AF$1001,0),0), INDEX($AM$1004:$BM$1004,1,MATCH(COLUMNS($AM$1006:BK1006),$AM$1006:$BM$1006,0)))),"Fix")))</f>
        <v xml:space="preserve"> </v>
      </c>
      <c r="AA543" s="4" t="str">
        <f ca="1">IF(OR(INDEX($AG$2:$AG$1001,MATCH(ROWS($AF$2:AF543),$AF$2:$AF$1001,0),1)&gt;=100000,INDEX($AM$1005:$BM$1005,1,MATCH(COLUMNS($AM$1006:BL1006),$AM$1006:$BM$1006,0))&gt;=100000), " ",IF(INDEX($AM$2:$BM$1001,MATCH(ROWS($AF$2:AF543),$AF$2:$AF$1001,0),MATCH(COLUMNS($AM$1006:BL1006),$AM$1006:$BM$1006,0)), HYPERLINK("#",""), HYPERLINK(CONCATENATE("#metadata!", ADDRESS(INDEX($AH$2:$AH$1001,MATCH(ROWS($AF$2:AF543),$AF$2:$AF$1001,0),0), INDEX($AM$1004:$BM$1004,1,MATCH(COLUMNS($AM$1006:BL1006),$AM$1006:$BM$1006,0)))),"Fix")))</f>
        <v xml:space="preserve"> </v>
      </c>
      <c r="AB543" s="4" t="str">
        <f ca="1">IF(OR(INDEX($AG$2:$AG$1001,MATCH(ROWS($AF$2:AF543),$AF$2:$AF$1001,0),1)&gt;=100000,INDEX($AM$1005:$BM$1005,1,MATCH(COLUMNS($AM$1006:BM1006),$AM$1006:$BM$1006,0))&gt;=100000), " ",IF(INDEX($AM$2:$BM$1001,MATCH(ROWS($AF$2:AF543),$AF$2:$AF$1001,0),MATCH(COLUMNS($AM$1006:BM1006),$AM$1006:$BM$1006,0)), HYPERLINK("#",""), HYPERLINK(CONCATENATE("#metadata!", ADDRESS(INDEX($AH$2:$AH$1001,MATCH(ROWS($AF$2:AF543),$AF$2:$AF$1001,0),0), INDEX($AM$1004:$BM$1004,1,MATCH(COLUMNS($AM$1006:BM1006),$AM$1006:$BM$1006,0)))),"Fix")))</f>
        <v xml:space="preserve"> </v>
      </c>
      <c r="AF543">
        <v>542</v>
      </c>
      <c r="AG543">
        <v>100543</v>
      </c>
      <c r="AH543">
        <v>543</v>
      </c>
      <c r="AI543" t="b">
        <f t="shared" si="8"/>
        <v>1</v>
      </c>
      <c r="AJ543" t="b">
        <f>COUNTBLANK(metadata!B543:AB543)=COLUMNS(metadata!B543:AB543)</f>
        <v>1</v>
      </c>
      <c r="AK543" t="str">
        <v/>
      </c>
      <c r="AM543" t="b">
        <f ca="1">AND(IF(metadata!B543="",FALSE,TRUE),COUNTIF(metadata!B:B, metadata!B543) = 1,NOT(ISERROR(SUMPRODUCT(SEARCH(MID(metadata!B543,ROW(INDIRECT("1:"&amp;LEN(metadata!B543))), 1),"0123456789abcdefghijklmnopqrstuvwxyzABCDEFGHIJKLMNOPQRSTUVWXYZ.")))))</f>
        <v>0</v>
      </c>
      <c r="AN543" t="b">
        <f ca="1">OR(AND(IF(metadata!C543="",FALSE,TRUE),OR(EXACT(metadata!C543,"missing: not collected"),EXACT(metadata!C543,"missing: not provided"),EXACT(metadata!C543,"missing: restricted access"))),AND(IF(metadata!C543="",FALSE,TRUE),AND(AND(IFERROR(INT(LEFT(metadata!C543,4))&gt;1900,FALSE),IFERROR(INT(LEFT(metadata!C543,4))&lt;=YEAR(NOW()),FALSE)), OR(MID(metadata!C543,5,1)="", AND(AND(MID(metadata!C543,5,1)="-",IFERROR(INT(MID(metadata!C543,6,1))&gt;=0,FALSE),IFERROR(INT(MID(metadata!C543,6,1))&lt;=1,FALSE),NOT(MID(metadata!C543,7,1)=""),IFERROR(INT(MID(metadata!C543,6,2))&gt;=1,FALSE),IFERROR(INT(MID(metadata!C543,6,2))&lt;=12,FALSE)), OR(MID(metadata!C543,8,1)="", AND(AND(MID(metadata!C543,8,1)="-",IFERROR(INT(MID(metadata!C543,9,1))&gt;=0,FALSE),IFERROR(INT(MID(metadata!C543,9,1))&lt;=3,FALSE),NOT(MID(metadata!C543,10,1)=""),IFERROR(INT(MID(metadata!C543,9,2))&gt;=1,FALSE),IFERROR(INT(MID(metadata!C543,9,2))&lt;=31,FALSE)), OR(MID(metadata!C543,11,1)="", AND(AND(MID(metadata!C543,11,1)=" ",IFERROR(INT(MID(metadata!C543,12,1))&gt;=0,FALSE),IFERROR(INT(MID(metadata!C543,12,1))&lt;=2,FALSE),NOT(MID(metadata!C543,13,1)=""),IFERROR(INT(MID(metadata!C543,12,2))&gt;=0,FALSE),IFERROR(INT(MID(metadata!C543,12,2))&lt;=23,FALSE)), OR(MID(metadata!C543,14,1)="", AND(AND(MID(metadata!C543,14,1)=":",IFERROR(INT(MID(metadata!C543,15,1))&gt;=0,FALSE),IFERROR(INT(MID(metadata!C543,15,1))&lt;=5,FALSE),NOT(MID(metadata!C543,16,1)=""),IFERROR(INT(MID(metadata!C543,15,2))&gt;=0,FALSE),IFERROR(INT(MID(metadata!C543,15,2))&lt;=59,FALSE)), OR(MID(metadata!C543,17,1)="", AND(AND(MID(metadata!C543,17,1)=":",IFERROR(INT(MID(metadata!C543,18,1))&gt;=0,FALSE),IFERROR(INT(MID(metadata!C543,18,1))&lt;=5,FALSE),NOT(MID(metadata!C543,19,1)=""),IFERROR(INT(MID(metadata!C543,18,2))&gt;=0,FALSE),IFERROR(INT(MID(metadata!C543,18,2))&lt;=59,FALSE)), LEN(metadata!C543)&lt;=19)))))))))))))</f>
        <v>0</v>
      </c>
      <c r="AO543" t="b">
        <f>AND(IF(metadata!D543="",FALSE,TRUE),EXACT(metadata!D543,"Not applicable"))</f>
        <v>0</v>
      </c>
      <c r="AP543" t="b">
        <f>IF(metadata!E543="",FALSE,TRUE)</f>
        <v>0</v>
      </c>
      <c r="AQ543" t="b">
        <f>OR(AND(IF(metadata!F543="",FALSE,TRUE),OR(EXACT(metadata!F543,"missing: not collected"),EXACT(metadata!F543,"missing: not provided"))),AND(IF(metadata!F543="",FALSE,TRUE),OR(EXACT(metadata!F543,"TRUE"),EXACT(metadata!F543,"FALSE"))))</f>
        <v>0</v>
      </c>
      <c r="AR543" t="b">
        <f>OR(AND(IF(metadata!G543="",FALSE,TRUE),OR(EXACT(metadata!G543,"missing: not collected"),EXACT(metadata!G543,"missing: not provided"),EXACT(metadata!G543,"missing: restricted access"))),AND(IF(metadata!G543="",FALSE,ISNUMBER(VALUE(metadata!G543))),metadata!G543&gt;=-413))</f>
        <v>0</v>
      </c>
      <c r="AS543" t="b">
        <f>AND(IF(metadata!H543="",FALSE,TRUE),EXACT(metadata!H543,"meters"))</f>
        <v>0</v>
      </c>
      <c r="AT543" t="b">
        <f>AND(IF(metadata!I543="",FALSE,TRUE),OR(EXACT(metadata!I543,"Host-associated"),EXACT(metadata!I543,"Free-living")))</f>
        <v>0</v>
      </c>
      <c r="AU543" t="b">
        <f>AND(IF(metadata!J543="",FALSE,TRUE),OR(EXACT(metadata!J543,"Animal"),EXACT(metadata!J543,"Fungus"),EXACT(metadata!J543,"Plant"),EXACT(metadata!J543,"Saline"),EXACT(metadata!J543,"Non-saline")))</f>
        <v>0</v>
      </c>
      <c r="AV543" t="b">
        <f>AND(IF(metadata!K543="",FALSE,TRUE),OR(EXACT(metadata!K543,"Plant secretion"),EXACT(metadata!K543,"Plant rhizosphere"),EXACT(metadata!K543,"Plant surface"),EXACT(metadata!K543,"Plant corpus"),EXACT(metadata!K543,"Fungus surface"),EXACT(metadata!K543,"Fungus corpus"),EXACT(metadata!K543,"Animal surface"),EXACT(metadata!K543,"Animal proximal gut"),EXACT(metadata!K543,"Animal corpus"),EXACT(metadata!K543,"Animal distal gut"),EXACT(metadata!K543,"Animal secretion"),EXACT(metadata!K543,"Sub-surface (non-saline)"),EXACT(metadata!K543,"Surface (non-saline)"),EXACT(metadata!K543,"Water (non-saline)"),EXACT(metadata!K543,"Soil (non-saline)"),EXACT(metadata!K543,"Aerosol (non-saline)"),EXACT(metadata!K543,"Sediment (non-saline)"),EXACT(metadata!K543,"Surface (saline)"),EXACT(metadata!K543,"Water (saline)"),EXACT(metadata!K543,"Hypersaline (saline)"),EXACT(metadata!K543,"Aerosol (saline)"),EXACT(metadata!K543,"Sediment (saline)")))</f>
        <v>0</v>
      </c>
      <c r="AW543" t="b">
        <f>IF(metadata!L543="",FALSE,TRUE)</f>
        <v>0</v>
      </c>
      <c r="AX543" t="b">
        <f>IF(metadata!M543="",FALSE,TRUE)</f>
        <v>0</v>
      </c>
      <c r="AY543" t="b">
        <f>IF(metadata!N543="",FALSE,TRUE)</f>
        <v>0</v>
      </c>
      <c r="AZ543" t="b">
        <f>OR(AND(IF(metadata!O543="",FALSE,TRUE),OR(EXACT(metadata!O543,"missing: not collected"),EXACT(metadata!O543,"missing: not provided"),EXACT(metadata!O543,"missing: restricted access"))),AND(IF(metadata!O543="",FALSE,TRUE),OR(EXACT(metadata!O543,"air"),EXACT(metadata!O543,"built environment"),EXACT(metadata!O543,"host-associated"),EXACT(metadata!O543,"human-associated"),EXACT(metadata!O543,"human-skin"),EXACT(metadata!O543,"human-oral"),EXACT(metadata!O543,"human-gut"),EXACT(metadata!O543,"human-vaginal"),EXACT(metadata!O543,"microbial mat/biofilm"),EXACT(metadata!O543,"misc environment"),EXACT(metadata!O543,"plant-associated"),EXACT(metadata!O543,"sediment"),EXACT(metadata!O543,"soil"),EXACT(metadata!O543,"wastewater/sludge"),EXACT(metadata!O543,"water"))))</f>
        <v>0</v>
      </c>
      <c r="BA543" t="b">
        <f>IF(metadata!P543="",FALSE,TRUE)</f>
        <v>0</v>
      </c>
      <c r="BB543" t="b">
        <f>IF(metadata!Q543="",FALSE,TRUE)</f>
        <v>0</v>
      </c>
      <c r="BC543" t="b">
        <f>OR(AND(IF(metadata!R543="",FALSE,TRUE),OR(EXACT(metadata!R543,"missing: not collected"),EXACT(metadata!R543,"missing: not provided"),EXACT(metadata!R543,"missing: restricted access"))),AND(IF(metadata!R543="",FALSE,ISNUMBER(VALUE(metadata!R543))),metadata!R543&gt;=-90,metadata!R543&lt;=90))</f>
        <v>0</v>
      </c>
      <c r="BD543" t="b">
        <f>AND(IF(metadata!S543="",FALSE,TRUE),EXACT(metadata!S543,"Decimal degrees"))</f>
        <v>0</v>
      </c>
      <c r="BE543" t="b">
        <f>OR(AND(IF(metadata!T543="",FALSE,TRUE),OR(EXACT(metadata!T543,"missing: not collected"),EXACT(metadata!T543,"missing: not provided"),EXACT(metadata!T543,"missing: restricted access"))),AND(IF(metadata!T543="",FALSE,ISNUMBER(VALUE(metadata!T543))),metadata!T543&gt;=-180,metadata!T543&lt;=180))</f>
        <v>0</v>
      </c>
      <c r="BF543" t="b">
        <f>AND(IF(metadata!U543="",FALSE,TRUE),EXACT(metadata!U543,"Decimal degrees"))</f>
        <v>0</v>
      </c>
      <c r="BG543" t="b">
        <f>IF(metadata!V543="",FALSE,TRUE)</f>
        <v>0</v>
      </c>
      <c r="BH543" t="b">
        <f>OR(AND(IF(metadata!W543="",FALSE,TRUE),OR(EXACT(metadata!W543,"missing: not collected"),EXACT(metadata!W543,"missing: not provided"),EXACT(metadata!W543,"missing: restricted access"))),AND(IF(metadata!W543="",FALSE,TRUE),OR(EXACT(metadata!W543,"TRUE"),EXACT(metadata!W543,"FALSE"))))</f>
        <v>0</v>
      </c>
      <c r="BI543" t="b">
        <f>AND(IF(metadata!X543="",FALSE,TRUE),EXACT(metadata!X543,"other"))</f>
        <v>0</v>
      </c>
      <c r="BJ543" t="b">
        <f>IF(metadata!Y543="",FALSE,TRUE)</f>
        <v>0</v>
      </c>
      <c r="BK543" t="b">
        <f>OR(AND(IF(metadata!Z543="",FALSE,TRUE),OR(EXACT(metadata!Z543,"missing: not collected"),EXACT(metadata!Z543,"missing: not provided"))),AND(IF(metadata!Z543="",FALSE,IF(ISERROR(INT(metadata!Z543)),FALSE,INT(metadata!Z543)=metadata!Z543)),metadata!Z543&gt;0))</f>
        <v>0</v>
      </c>
      <c r="BL543" t="b">
        <f>AND(IF(metadata!AA543="",FALSE,TRUE),EXACT(metadata!AA543,"Not applicable"))</f>
        <v>0</v>
      </c>
      <c r="BM543" t="b">
        <f>IF(metadata!AB543="",FALSE,TRUE)</f>
        <v>0</v>
      </c>
    </row>
    <row r="544" spans="1:65" x14ac:dyDescent="0.2">
      <c r="A544" s="5" t="str">
        <f ca="1">IF(B544=" "," ",HYPERLINK(CONCATENATE("#metadata!",ADDRESS(INDEX($AH$2:$AH$1001,MATCH(ROWS($AF$2:AF544),$AF$2:$AF$1001,0),0),1)),INDEX($AK$2:$AK$1001,MATCH(ROWS($AF$2:AF544),$AF$2:$AF$1001,0),0)))</f>
        <v xml:space="preserve"> </v>
      </c>
      <c r="B544" s="4" t="str">
        <f ca="1">IF(OR(INDEX($AG$2:$AG$1001,MATCH(ROWS($AF$2:AF544),$AF$2:$AF$1001,0),1)&gt;=100000,INDEX($AM$1005:$BM$1005,1,MATCH(COLUMNS($AM$1006:AM1006),$AM$1006:$BM$1006,0))&gt;=100000), " ",IF(INDEX($AM$2:$BM$1001,MATCH(ROWS($AF$2:AF544),$AF$2:$AF$1001,0),MATCH(COLUMNS($AM$1006:AM1006),$AM$1006:$BM$1006,0)), HYPERLINK("#",""), HYPERLINK(CONCATENATE("#metadata!", ADDRESS(INDEX($AH$2:$AH$1001,MATCH(ROWS($AF$2:AF544),$AF$2:$AF$1001,0),0), INDEX($AM$1004:$BM$1004,1,MATCH(COLUMNS($AM$1006:AM1006),$AM$1006:$BM$1006,0)))),"Fix")))</f>
        <v xml:space="preserve"> </v>
      </c>
      <c r="C544" s="4" t="str">
        <f ca="1">IF(OR(INDEX($AG$2:$AG$1001,MATCH(ROWS($AF$2:AF544),$AF$2:$AF$1001,0),1)&gt;=100000,INDEX($AM$1005:$BM$1005,1,MATCH(COLUMNS($AM$1006:AN1006),$AM$1006:$BM$1006,0))&gt;=100000), " ",IF(INDEX($AM$2:$BM$1001,MATCH(ROWS($AF$2:AF544),$AF$2:$AF$1001,0),MATCH(COLUMNS($AM$1006:AN1006),$AM$1006:$BM$1006,0)), HYPERLINK("#",""), HYPERLINK(CONCATENATE("#metadata!", ADDRESS(INDEX($AH$2:$AH$1001,MATCH(ROWS($AF$2:AF544),$AF$2:$AF$1001,0),0), INDEX($AM$1004:$BM$1004,1,MATCH(COLUMNS($AM$1006:AN1006),$AM$1006:$BM$1006,0)))),"Fix")))</f>
        <v xml:space="preserve"> </v>
      </c>
      <c r="D544" s="4" t="str">
        <f ca="1">IF(OR(INDEX($AG$2:$AG$1001,MATCH(ROWS($AF$2:AF544),$AF$2:$AF$1001,0),1)&gt;=100000,INDEX($AM$1005:$BM$1005,1,MATCH(COLUMNS($AM$1006:AO1006),$AM$1006:$BM$1006,0))&gt;=100000), " ",IF(INDEX($AM$2:$BM$1001,MATCH(ROWS($AF$2:AF544),$AF$2:$AF$1001,0),MATCH(COLUMNS($AM$1006:AO1006),$AM$1006:$BM$1006,0)), HYPERLINK("#",""), HYPERLINK(CONCATENATE("#metadata!", ADDRESS(INDEX($AH$2:$AH$1001,MATCH(ROWS($AF$2:AF544),$AF$2:$AF$1001,0),0), INDEX($AM$1004:$BM$1004,1,MATCH(COLUMNS($AM$1006:AO1006),$AM$1006:$BM$1006,0)))),"Fix")))</f>
        <v xml:space="preserve"> </v>
      </c>
      <c r="E544" s="4" t="str">
        <f ca="1">IF(OR(INDEX($AG$2:$AG$1001,MATCH(ROWS($AF$2:AF544),$AF$2:$AF$1001,0),1)&gt;=100000,INDEX($AM$1005:$BM$1005,1,MATCH(COLUMNS($AM$1006:AP1006),$AM$1006:$BM$1006,0))&gt;=100000), " ",IF(INDEX($AM$2:$BM$1001,MATCH(ROWS($AF$2:AF544),$AF$2:$AF$1001,0),MATCH(COLUMNS($AM$1006:AP1006),$AM$1006:$BM$1006,0)), HYPERLINK("#",""), HYPERLINK(CONCATENATE("#metadata!", ADDRESS(INDEX($AH$2:$AH$1001,MATCH(ROWS($AF$2:AF544),$AF$2:$AF$1001,0),0), INDEX($AM$1004:$BM$1004,1,MATCH(COLUMNS($AM$1006:AP1006),$AM$1006:$BM$1006,0)))),"Fix")))</f>
        <v xml:space="preserve"> </v>
      </c>
      <c r="F544" s="4" t="str">
        <f ca="1">IF(OR(INDEX($AG$2:$AG$1001,MATCH(ROWS($AF$2:AF544),$AF$2:$AF$1001,0),1)&gt;=100000,INDEX($AM$1005:$BM$1005,1,MATCH(COLUMNS($AM$1006:AQ1006),$AM$1006:$BM$1006,0))&gt;=100000), " ",IF(INDEX($AM$2:$BM$1001,MATCH(ROWS($AF$2:AF544),$AF$2:$AF$1001,0),MATCH(COLUMNS($AM$1006:AQ1006),$AM$1006:$BM$1006,0)), HYPERLINK("#",""), HYPERLINK(CONCATENATE("#metadata!", ADDRESS(INDEX($AH$2:$AH$1001,MATCH(ROWS($AF$2:AF544),$AF$2:$AF$1001,0),0), INDEX($AM$1004:$BM$1004,1,MATCH(COLUMNS($AM$1006:AQ1006),$AM$1006:$BM$1006,0)))),"Fix")))</f>
        <v xml:space="preserve"> </v>
      </c>
      <c r="G544" s="4" t="str">
        <f ca="1">IF(OR(INDEX($AG$2:$AG$1001,MATCH(ROWS($AF$2:AF544),$AF$2:$AF$1001,0),1)&gt;=100000,INDEX($AM$1005:$BM$1005,1,MATCH(COLUMNS($AM$1006:AR1006),$AM$1006:$BM$1006,0))&gt;=100000), " ",IF(INDEX($AM$2:$BM$1001,MATCH(ROWS($AF$2:AF544),$AF$2:$AF$1001,0),MATCH(COLUMNS($AM$1006:AR1006),$AM$1006:$BM$1006,0)), HYPERLINK("#",""), HYPERLINK(CONCATENATE("#metadata!", ADDRESS(INDEX($AH$2:$AH$1001,MATCH(ROWS($AF$2:AF544),$AF$2:$AF$1001,0),0), INDEX($AM$1004:$BM$1004,1,MATCH(COLUMNS($AM$1006:AR1006),$AM$1006:$BM$1006,0)))),"Fix")))</f>
        <v xml:space="preserve"> </v>
      </c>
      <c r="H544" s="4" t="str">
        <f ca="1">IF(OR(INDEX($AG$2:$AG$1001,MATCH(ROWS($AF$2:AF544),$AF$2:$AF$1001,0),1)&gt;=100000,INDEX($AM$1005:$BM$1005,1,MATCH(COLUMNS($AM$1006:AS1006),$AM$1006:$BM$1006,0))&gt;=100000), " ",IF(INDEX($AM$2:$BM$1001,MATCH(ROWS($AF$2:AF544),$AF$2:$AF$1001,0),MATCH(COLUMNS($AM$1006:AS1006),$AM$1006:$BM$1006,0)), HYPERLINK("#",""), HYPERLINK(CONCATENATE("#metadata!", ADDRESS(INDEX($AH$2:$AH$1001,MATCH(ROWS($AF$2:AF544),$AF$2:$AF$1001,0),0), INDEX($AM$1004:$BM$1004,1,MATCH(COLUMNS($AM$1006:AS1006),$AM$1006:$BM$1006,0)))),"Fix")))</f>
        <v xml:space="preserve"> </v>
      </c>
      <c r="I544" s="4" t="str">
        <f ca="1">IF(OR(INDEX($AG$2:$AG$1001,MATCH(ROWS($AF$2:AF544),$AF$2:$AF$1001,0),1)&gt;=100000,INDEX($AM$1005:$BM$1005,1,MATCH(COLUMNS($AM$1006:AT1006),$AM$1006:$BM$1006,0))&gt;=100000), " ",IF(INDEX($AM$2:$BM$1001,MATCH(ROWS($AF$2:AF544),$AF$2:$AF$1001,0),MATCH(COLUMNS($AM$1006:AT1006),$AM$1006:$BM$1006,0)), HYPERLINK("#",""), HYPERLINK(CONCATENATE("#metadata!", ADDRESS(INDEX($AH$2:$AH$1001,MATCH(ROWS($AF$2:AF544),$AF$2:$AF$1001,0),0), INDEX($AM$1004:$BM$1004,1,MATCH(COLUMNS($AM$1006:AT1006),$AM$1006:$BM$1006,0)))),"Fix")))</f>
        <v xml:space="preserve"> </v>
      </c>
      <c r="J544" s="4" t="str">
        <f ca="1">IF(OR(INDEX($AG$2:$AG$1001,MATCH(ROWS($AF$2:AF544),$AF$2:$AF$1001,0),1)&gt;=100000,INDEX($AM$1005:$BM$1005,1,MATCH(COLUMNS($AM$1006:AU1006),$AM$1006:$BM$1006,0))&gt;=100000), " ",IF(INDEX($AM$2:$BM$1001,MATCH(ROWS($AF$2:AF544),$AF$2:$AF$1001,0),MATCH(COLUMNS($AM$1006:AU1006),$AM$1006:$BM$1006,0)), HYPERLINK("#",""), HYPERLINK(CONCATENATE("#metadata!", ADDRESS(INDEX($AH$2:$AH$1001,MATCH(ROWS($AF$2:AF544),$AF$2:$AF$1001,0),0), INDEX($AM$1004:$BM$1004,1,MATCH(COLUMNS($AM$1006:AU1006),$AM$1006:$BM$1006,0)))),"Fix")))</f>
        <v xml:space="preserve"> </v>
      </c>
      <c r="K544" s="4" t="str">
        <f ca="1">IF(OR(INDEX($AG$2:$AG$1001,MATCH(ROWS($AF$2:AF544),$AF$2:$AF$1001,0),1)&gt;=100000,INDEX($AM$1005:$BM$1005,1,MATCH(COLUMNS($AM$1006:AV1006),$AM$1006:$BM$1006,0))&gt;=100000), " ",IF(INDEX($AM$2:$BM$1001,MATCH(ROWS($AF$2:AF544),$AF$2:$AF$1001,0),MATCH(COLUMNS($AM$1006:AV1006),$AM$1006:$BM$1006,0)), HYPERLINK("#",""), HYPERLINK(CONCATENATE("#metadata!", ADDRESS(INDEX($AH$2:$AH$1001,MATCH(ROWS($AF$2:AF544),$AF$2:$AF$1001,0),0), INDEX($AM$1004:$BM$1004,1,MATCH(COLUMNS($AM$1006:AV1006),$AM$1006:$BM$1006,0)))),"Fix")))</f>
        <v xml:space="preserve"> </v>
      </c>
      <c r="L544" s="4" t="str">
        <f ca="1">IF(OR(INDEX($AG$2:$AG$1001,MATCH(ROWS($AF$2:AF544),$AF$2:$AF$1001,0),1)&gt;=100000,INDEX($AM$1005:$BM$1005,1,MATCH(COLUMNS($AM$1006:AW1006),$AM$1006:$BM$1006,0))&gt;=100000), " ",IF(INDEX($AM$2:$BM$1001,MATCH(ROWS($AF$2:AF544),$AF$2:$AF$1001,0),MATCH(COLUMNS($AM$1006:AW1006),$AM$1006:$BM$1006,0)), HYPERLINK("#",""), HYPERLINK(CONCATENATE("#metadata!", ADDRESS(INDEX($AH$2:$AH$1001,MATCH(ROWS($AF$2:AF544),$AF$2:$AF$1001,0),0), INDEX($AM$1004:$BM$1004,1,MATCH(COLUMNS($AM$1006:AW1006),$AM$1006:$BM$1006,0)))),"Fix")))</f>
        <v xml:space="preserve"> </v>
      </c>
      <c r="M544" s="4" t="str">
        <f ca="1">IF(OR(INDEX($AG$2:$AG$1001,MATCH(ROWS($AF$2:AF544),$AF$2:$AF$1001,0),1)&gt;=100000,INDEX($AM$1005:$BM$1005,1,MATCH(COLUMNS($AM$1006:AX1006),$AM$1006:$BM$1006,0))&gt;=100000), " ",IF(INDEX($AM$2:$BM$1001,MATCH(ROWS($AF$2:AF544),$AF$2:$AF$1001,0),MATCH(COLUMNS($AM$1006:AX1006),$AM$1006:$BM$1006,0)), HYPERLINK("#",""), HYPERLINK(CONCATENATE("#metadata!", ADDRESS(INDEX($AH$2:$AH$1001,MATCH(ROWS($AF$2:AF544),$AF$2:$AF$1001,0),0), INDEX($AM$1004:$BM$1004,1,MATCH(COLUMNS($AM$1006:AX1006),$AM$1006:$BM$1006,0)))),"Fix")))</f>
        <v xml:space="preserve"> </v>
      </c>
      <c r="N544" s="4" t="str">
        <f ca="1">IF(OR(INDEX($AG$2:$AG$1001,MATCH(ROWS($AF$2:AF544),$AF$2:$AF$1001,0),1)&gt;=100000,INDEX($AM$1005:$BM$1005,1,MATCH(COLUMNS($AM$1006:AY1006),$AM$1006:$BM$1006,0))&gt;=100000), " ",IF(INDEX($AM$2:$BM$1001,MATCH(ROWS($AF$2:AF544),$AF$2:$AF$1001,0),MATCH(COLUMNS($AM$1006:AY1006),$AM$1006:$BM$1006,0)), HYPERLINK("#",""), HYPERLINK(CONCATENATE("#metadata!", ADDRESS(INDEX($AH$2:$AH$1001,MATCH(ROWS($AF$2:AF544),$AF$2:$AF$1001,0),0), INDEX($AM$1004:$BM$1004,1,MATCH(COLUMNS($AM$1006:AY1006),$AM$1006:$BM$1006,0)))),"Fix")))</f>
        <v xml:space="preserve"> </v>
      </c>
      <c r="O544" s="4" t="str">
        <f ca="1">IF(OR(INDEX($AG$2:$AG$1001,MATCH(ROWS($AF$2:AF544),$AF$2:$AF$1001,0),1)&gt;=100000,INDEX($AM$1005:$BM$1005,1,MATCH(COLUMNS($AM$1006:AZ1006),$AM$1006:$BM$1006,0))&gt;=100000), " ",IF(INDEX($AM$2:$BM$1001,MATCH(ROWS($AF$2:AF544),$AF$2:$AF$1001,0),MATCH(COLUMNS($AM$1006:AZ1006),$AM$1006:$BM$1006,0)), HYPERLINK("#",""), HYPERLINK(CONCATENATE("#metadata!", ADDRESS(INDEX($AH$2:$AH$1001,MATCH(ROWS($AF$2:AF544),$AF$2:$AF$1001,0),0), INDEX($AM$1004:$BM$1004,1,MATCH(COLUMNS($AM$1006:AZ1006),$AM$1006:$BM$1006,0)))),"Fix")))</f>
        <v xml:space="preserve"> </v>
      </c>
      <c r="P544" s="4" t="str">
        <f ca="1">IF(OR(INDEX($AG$2:$AG$1001,MATCH(ROWS($AF$2:AF544),$AF$2:$AF$1001,0),1)&gt;=100000,INDEX($AM$1005:$BM$1005,1,MATCH(COLUMNS($AM$1006:BA1006),$AM$1006:$BM$1006,0))&gt;=100000), " ",IF(INDEX($AM$2:$BM$1001,MATCH(ROWS($AF$2:AF544),$AF$2:$AF$1001,0),MATCH(COLUMNS($AM$1006:BA1006),$AM$1006:$BM$1006,0)), HYPERLINK("#",""), HYPERLINK(CONCATENATE("#metadata!", ADDRESS(INDEX($AH$2:$AH$1001,MATCH(ROWS($AF$2:AF544),$AF$2:$AF$1001,0),0), INDEX($AM$1004:$BM$1004,1,MATCH(COLUMNS($AM$1006:BA1006),$AM$1006:$BM$1006,0)))),"Fix")))</f>
        <v xml:space="preserve"> </v>
      </c>
      <c r="Q544" s="4" t="str">
        <f ca="1">IF(OR(INDEX($AG$2:$AG$1001,MATCH(ROWS($AF$2:AF544),$AF$2:$AF$1001,0),1)&gt;=100000,INDEX($AM$1005:$BM$1005,1,MATCH(COLUMNS($AM$1006:BB1006),$AM$1006:$BM$1006,0))&gt;=100000), " ",IF(INDEX($AM$2:$BM$1001,MATCH(ROWS($AF$2:AF544),$AF$2:$AF$1001,0),MATCH(COLUMNS($AM$1006:BB1006),$AM$1006:$BM$1006,0)), HYPERLINK("#",""), HYPERLINK(CONCATENATE("#metadata!", ADDRESS(INDEX($AH$2:$AH$1001,MATCH(ROWS($AF$2:AF544),$AF$2:$AF$1001,0),0), INDEX($AM$1004:$BM$1004,1,MATCH(COLUMNS($AM$1006:BB1006),$AM$1006:$BM$1006,0)))),"Fix")))</f>
        <v xml:space="preserve"> </v>
      </c>
      <c r="R544" s="4" t="str">
        <f ca="1">IF(OR(INDEX($AG$2:$AG$1001,MATCH(ROWS($AF$2:AF544),$AF$2:$AF$1001,0),1)&gt;=100000,INDEX($AM$1005:$BM$1005,1,MATCH(COLUMNS($AM$1006:BC1006),$AM$1006:$BM$1006,0))&gt;=100000), " ",IF(INDEX($AM$2:$BM$1001,MATCH(ROWS($AF$2:AF544),$AF$2:$AF$1001,0),MATCH(COLUMNS($AM$1006:BC1006),$AM$1006:$BM$1006,0)), HYPERLINK("#",""), HYPERLINK(CONCATENATE("#metadata!", ADDRESS(INDEX($AH$2:$AH$1001,MATCH(ROWS($AF$2:AF544),$AF$2:$AF$1001,0),0), INDEX($AM$1004:$BM$1004,1,MATCH(COLUMNS($AM$1006:BC1006),$AM$1006:$BM$1006,0)))),"Fix")))</f>
        <v xml:space="preserve"> </v>
      </c>
      <c r="S544" s="4" t="str">
        <f ca="1">IF(OR(INDEX($AG$2:$AG$1001,MATCH(ROWS($AF$2:AF544),$AF$2:$AF$1001,0),1)&gt;=100000,INDEX($AM$1005:$BM$1005,1,MATCH(COLUMNS($AM$1006:BD1006),$AM$1006:$BM$1006,0))&gt;=100000), " ",IF(INDEX($AM$2:$BM$1001,MATCH(ROWS($AF$2:AF544),$AF$2:$AF$1001,0),MATCH(COLUMNS($AM$1006:BD1006),$AM$1006:$BM$1006,0)), HYPERLINK("#",""), HYPERLINK(CONCATENATE("#metadata!", ADDRESS(INDEX($AH$2:$AH$1001,MATCH(ROWS($AF$2:AF544),$AF$2:$AF$1001,0),0), INDEX($AM$1004:$BM$1004,1,MATCH(COLUMNS($AM$1006:BD1006),$AM$1006:$BM$1006,0)))),"Fix")))</f>
        <v xml:space="preserve"> </v>
      </c>
      <c r="T544" s="4" t="str">
        <f ca="1">IF(OR(INDEX($AG$2:$AG$1001,MATCH(ROWS($AF$2:AF544),$AF$2:$AF$1001,0),1)&gt;=100000,INDEX($AM$1005:$BM$1005,1,MATCH(COLUMNS($AM$1006:BE1006),$AM$1006:$BM$1006,0))&gt;=100000), " ",IF(INDEX($AM$2:$BM$1001,MATCH(ROWS($AF$2:AF544),$AF$2:$AF$1001,0),MATCH(COLUMNS($AM$1006:BE1006),$AM$1006:$BM$1006,0)), HYPERLINK("#",""), HYPERLINK(CONCATENATE("#metadata!", ADDRESS(INDEX($AH$2:$AH$1001,MATCH(ROWS($AF$2:AF544),$AF$2:$AF$1001,0),0), INDEX($AM$1004:$BM$1004,1,MATCH(COLUMNS($AM$1006:BE1006),$AM$1006:$BM$1006,0)))),"Fix")))</f>
        <v xml:space="preserve"> </v>
      </c>
      <c r="U544" s="4" t="str">
        <f ca="1">IF(OR(INDEX($AG$2:$AG$1001,MATCH(ROWS($AF$2:AF544),$AF$2:$AF$1001,0),1)&gt;=100000,INDEX($AM$1005:$BM$1005,1,MATCH(COLUMNS($AM$1006:BF1006),$AM$1006:$BM$1006,0))&gt;=100000), " ",IF(INDEX($AM$2:$BM$1001,MATCH(ROWS($AF$2:AF544),$AF$2:$AF$1001,0),MATCH(COLUMNS($AM$1006:BF1006),$AM$1006:$BM$1006,0)), HYPERLINK("#",""), HYPERLINK(CONCATENATE("#metadata!", ADDRESS(INDEX($AH$2:$AH$1001,MATCH(ROWS($AF$2:AF544),$AF$2:$AF$1001,0),0), INDEX($AM$1004:$BM$1004,1,MATCH(COLUMNS($AM$1006:BF1006),$AM$1006:$BM$1006,0)))),"Fix")))</f>
        <v xml:space="preserve"> </v>
      </c>
      <c r="V544" s="4" t="str">
        <f ca="1">IF(OR(INDEX($AG$2:$AG$1001,MATCH(ROWS($AF$2:AF544),$AF$2:$AF$1001,0),1)&gt;=100000,INDEX($AM$1005:$BM$1005,1,MATCH(COLUMNS($AM$1006:BG1006),$AM$1006:$BM$1006,0))&gt;=100000), " ",IF(INDEX($AM$2:$BM$1001,MATCH(ROWS($AF$2:AF544),$AF$2:$AF$1001,0),MATCH(COLUMNS($AM$1006:BG1006),$AM$1006:$BM$1006,0)), HYPERLINK("#",""), HYPERLINK(CONCATENATE("#metadata!", ADDRESS(INDEX($AH$2:$AH$1001,MATCH(ROWS($AF$2:AF544),$AF$2:$AF$1001,0),0), INDEX($AM$1004:$BM$1004,1,MATCH(COLUMNS($AM$1006:BG1006),$AM$1006:$BM$1006,0)))),"Fix")))</f>
        <v xml:space="preserve"> </v>
      </c>
      <c r="W544" s="4" t="str">
        <f ca="1">IF(OR(INDEX($AG$2:$AG$1001,MATCH(ROWS($AF$2:AF544),$AF$2:$AF$1001,0),1)&gt;=100000,INDEX($AM$1005:$BM$1005,1,MATCH(COLUMNS($AM$1006:BH1006),$AM$1006:$BM$1006,0))&gt;=100000), " ",IF(INDEX($AM$2:$BM$1001,MATCH(ROWS($AF$2:AF544),$AF$2:$AF$1001,0),MATCH(COLUMNS($AM$1006:BH1006),$AM$1006:$BM$1006,0)), HYPERLINK("#",""), HYPERLINK(CONCATENATE("#metadata!", ADDRESS(INDEX($AH$2:$AH$1001,MATCH(ROWS($AF$2:AF544),$AF$2:$AF$1001,0),0), INDEX($AM$1004:$BM$1004,1,MATCH(COLUMNS($AM$1006:BH1006),$AM$1006:$BM$1006,0)))),"Fix")))</f>
        <v xml:space="preserve"> </v>
      </c>
      <c r="X544" s="4" t="str">
        <f ca="1">IF(OR(INDEX($AG$2:$AG$1001,MATCH(ROWS($AF$2:AF544),$AF$2:$AF$1001,0),1)&gt;=100000,INDEX($AM$1005:$BM$1005,1,MATCH(COLUMNS($AM$1006:BI1006),$AM$1006:$BM$1006,0))&gt;=100000), " ",IF(INDEX($AM$2:$BM$1001,MATCH(ROWS($AF$2:AF544),$AF$2:$AF$1001,0),MATCH(COLUMNS($AM$1006:BI1006),$AM$1006:$BM$1006,0)), HYPERLINK("#",""), HYPERLINK(CONCATENATE("#metadata!", ADDRESS(INDEX($AH$2:$AH$1001,MATCH(ROWS($AF$2:AF544),$AF$2:$AF$1001,0),0), INDEX($AM$1004:$BM$1004,1,MATCH(COLUMNS($AM$1006:BI1006),$AM$1006:$BM$1006,0)))),"Fix")))</f>
        <v xml:space="preserve"> </v>
      </c>
      <c r="Y544" s="4" t="str">
        <f ca="1">IF(OR(INDEX($AG$2:$AG$1001,MATCH(ROWS($AF$2:AF544),$AF$2:$AF$1001,0),1)&gt;=100000,INDEX($AM$1005:$BM$1005,1,MATCH(COLUMNS($AM$1006:BJ1006),$AM$1006:$BM$1006,0))&gt;=100000), " ",IF(INDEX($AM$2:$BM$1001,MATCH(ROWS($AF$2:AF544),$AF$2:$AF$1001,0),MATCH(COLUMNS($AM$1006:BJ1006),$AM$1006:$BM$1006,0)), HYPERLINK("#",""), HYPERLINK(CONCATENATE("#metadata!", ADDRESS(INDEX($AH$2:$AH$1001,MATCH(ROWS($AF$2:AF544),$AF$2:$AF$1001,0),0), INDEX($AM$1004:$BM$1004,1,MATCH(COLUMNS($AM$1006:BJ1006),$AM$1006:$BM$1006,0)))),"Fix")))</f>
        <v xml:space="preserve"> </v>
      </c>
      <c r="Z544" s="4" t="str">
        <f ca="1">IF(OR(INDEX($AG$2:$AG$1001,MATCH(ROWS($AF$2:AF544),$AF$2:$AF$1001,0),1)&gt;=100000,INDEX($AM$1005:$BM$1005,1,MATCH(COLUMNS($AM$1006:BK1006),$AM$1006:$BM$1006,0))&gt;=100000), " ",IF(INDEX($AM$2:$BM$1001,MATCH(ROWS($AF$2:AF544),$AF$2:$AF$1001,0),MATCH(COLUMNS($AM$1006:BK1006),$AM$1006:$BM$1006,0)), HYPERLINK("#",""), HYPERLINK(CONCATENATE("#metadata!", ADDRESS(INDEX($AH$2:$AH$1001,MATCH(ROWS($AF$2:AF544),$AF$2:$AF$1001,0),0), INDEX($AM$1004:$BM$1004,1,MATCH(COLUMNS($AM$1006:BK1006),$AM$1006:$BM$1006,0)))),"Fix")))</f>
        <v xml:space="preserve"> </v>
      </c>
      <c r="AA544" s="4" t="str">
        <f ca="1">IF(OR(INDEX($AG$2:$AG$1001,MATCH(ROWS($AF$2:AF544),$AF$2:$AF$1001,0),1)&gt;=100000,INDEX($AM$1005:$BM$1005,1,MATCH(COLUMNS($AM$1006:BL1006),$AM$1006:$BM$1006,0))&gt;=100000), " ",IF(INDEX($AM$2:$BM$1001,MATCH(ROWS($AF$2:AF544),$AF$2:$AF$1001,0),MATCH(COLUMNS($AM$1006:BL1006),$AM$1006:$BM$1006,0)), HYPERLINK("#",""), HYPERLINK(CONCATENATE("#metadata!", ADDRESS(INDEX($AH$2:$AH$1001,MATCH(ROWS($AF$2:AF544),$AF$2:$AF$1001,0),0), INDEX($AM$1004:$BM$1004,1,MATCH(COLUMNS($AM$1006:BL1006),$AM$1006:$BM$1006,0)))),"Fix")))</f>
        <v xml:space="preserve"> </v>
      </c>
      <c r="AB544" s="4" t="str">
        <f ca="1">IF(OR(INDEX($AG$2:$AG$1001,MATCH(ROWS($AF$2:AF544),$AF$2:$AF$1001,0),1)&gt;=100000,INDEX($AM$1005:$BM$1005,1,MATCH(COLUMNS($AM$1006:BM1006),$AM$1006:$BM$1006,0))&gt;=100000), " ",IF(INDEX($AM$2:$BM$1001,MATCH(ROWS($AF$2:AF544),$AF$2:$AF$1001,0),MATCH(COLUMNS($AM$1006:BM1006),$AM$1006:$BM$1006,0)), HYPERLINK("#",""), HYPERLINK(CONCATENATE("#metadata!", ADDRESS(INDEX($AH$2:$AH$1001,MATCH(ROWS($AF$2:AF544),$AF$2:$AF$1001,0),0), INDEX($AM$1004:$BM$1004,1,MATCH(COLUMNS($AM$1006:BM1006),$AM$1006:$BM$1006,0)))),"Fix")))</f>
        <v xml:space="preserve"> </v>
      </c>
      <c r="AF544">
        <v>543</v>
      </c>
      <c r="AG544">
        <v>100544</v>
      </c>
      <c r="AH544">
        <v>544</v>
      </c>
      <c r="AI544" t="b">
        <f t="shared" si="8"/>
        <v>1</v>
      </c>
      <c r="AJ544" t="b">
        <f>COUNTBLANK(metadata!B544:AB544)=COLUMNS(metadata!B544:AB544)</f>
        <v>1</v>
      </c>
      <c r="AK544" t="str">
        <v/>
      </c>
      <c r="AM544" t="b">
        <f ca="1">AND(IF(metadata!B544="",FALSE,TRUE),COUNTIF(metadata!B:B, metadata!B544) = 1,NOT(ISERROR(SUMPRODUCT(SEARCH(MID(metadata!B544,ROW(INDIRECT("1:"&amp;LEN(metadata!B544))), 1),"0123456789abcdefghijklmnopqrstuvwxyzABCDEFGHIJKLMNOPQRSTUVWXYZ.")))))</f>
        <v>0</v>
      </c>
      <c r="AN544" t="b">
        <f ca="1">OR(AND(IF(metadata!C544="",FALSE,TRUE),OR(EXACT(metadata!C544,"missing: not collected"),EXACT(metadata!C544,"missing: not provided"),EXACT(metadata!C544,"missing: restricted access"))),AND(IF(metadata!C544="",FALSE,TRUE),AND(AND(IFERROR(INT(LEFT(metadata!C544,4))&gt;1900,FALSE),IFERROR(INT(LEFT(metadata!C544,4))&lt;=YEAR(NOW()),FALSE)), OR(MID(metadata!C544,5,1)="", AND(AND(MID(metadata!C544,5,1)="-",IFERROR(INT(MID(metadata!C544,6,1))&gt;=0,FALSE),IFERROR(INT(MID(metadata!C544,6,1))&lt;=1,FALSE),NOT(MID(metadata!C544,7,1)=""),IFERROR(INT(MID(metadata!C544,6,2))&gt;=1,FALSE),IFERROR(INT(MID(metadata!C544,6,2))&lt;=12,FALSE)), OR(MID(metadata!C544,8,1)="", AND(AND(MID(metadata!C544,8,1)="-",IFERROR(INT(MID(metadata!C544,9,1))&gt;=0,FALSE),IFERROR(INT(MID(metadata!C544,9,1))&lt;=3,FALSE),NOT(MID(metadata!C544,10,1)=""),IFERROR(INT(MID(metadata!C544,9,2))&gt;=1,FALSE),IFERROR(INT(MID(metadata!C544,9,2))&lt;=31,FALSE)), OR(MID(metadata!C544,11,1)="", AND(AND(MID(metadata!C544,11,1)=" ",IFERROR(INT(MID(metadata!C544,12,1))&gt;=0,FALSE),IFERROR(INT(MID(metadata!C544,12,1))&lt;=2,FALSE),NOT(MID(metadata!C544,13,1)=""),IFERROR(INT(MID(metadata!C544,12,2))&gt;=0,FALSE),IFERROR(INT(MID(metadata!C544,12,2))&lt;=23,FALSE)), OR(MID(metadata!C544,14,1)="", AND(AND(MID(metadata!C544,14,1)=":",IFERROR(INT(MID(metadata!C544,15,1))&gt;=0,FALSE),IFERROR(INT(MID(metadata!C544,15,1))&lt;=5,FALSE),NOT(MID(metadata!C544,16,1)=""),IFERROR(INT(MID(metadata!C544,15,2))&gt;=0,FALSE),IFERROR(INT(MID(metadata!C544,15,2))&lt;=59,FALSE)), OR(MID(metadata!C544,17,1)="", AND(AND(MID(metadata!C544,17,1)=":",IFERROR(INT(MID(metadata!C544,18,1))&gt;=0,FALSE),IFERROR(INT(MID(metadata!C544,18,1))&lt;=5,FALSE),NOT(MID(metadata!C544,19,1)=""),IFERROR(INT(MID(metadata!C544,18,2))&gt;=0,FALSE),IFERROR(INT(MID(metadata!C544,18,2))&lt;=59,FALSE)), LEN(metadata!C544)&lt;=19)))))))))))))</f>
        <v>0</v>
      </c>
      <c r="AO544" t="b">
        <f>AND(IF(metadata!D544="",FALSE,TRUE),EXACT(metadata!D544,"Not applicable"))</f>
        <v>0</v>
      </c>
      <c r="AP544" t="b">
        <f>IF(metadata!E544="",FALSE,TRUE)</f>
        <v>0</v>
      </c>
      <c r="AQ544" t="b">
        <f>OR(AND(IF(metadata!F544="",FALSE,TRUE),OR(EXACT(metadata!F544,"missing: not collected"),EXACT(metadata!F544,"missing: not provided"))),AND(IF(metadata!F544="",FALSE,TRUE),OR(EXACT(metadata!F544,"TRUE"),EXACT(metadata!F544,"FALSE"))))</f>
        <v>0</v>
      </c>
      <c r="AR544" t="b">
        <f>OR(AND(IF(metadata!G544="",FALSE,TRUE),OR(EXACT(metadata!G544,"missing: not collected"),EXACT(metadata!G544,"missing: not provided"),EXACT(metadata!G544,"missing: restricted access"))),AND(IF(metadata!G544="",FALSE,ISNUMBER(VALUE(metadata!G544))),metadata!G544&gt;=-413))</f>
        <v>0</v>
      </c>
      <c r="AS544" t="b">
        <f>AND(IF(metadata!H544="",FALSE,TRUE),EXACT(metadata!H544,"meters"))</f>
        <v>0</v>
      </c>
      <c r="AT544" t="b">
        <f>AND(IF(metadata!I544="",FALSE,TRUE),OR(EXACT(metadata!I544,"Host-associated"),EXACT(metadata!I544,"Free-living")))</f>
        <v>0</v>
      </c>
      <c r="AU544" t="b">
        <f>AND(IF(metadata!J544="",FALSE,TRUE),OR(EXACT(metadata!J544,"Animal"),EXACT(metadata!J544,"Fungus"),EXACT(metadata!J544,"Plant"),EXACT(metadata!J544,"Saline"),EXACT(metadata!J544,"Non-saline")))</f>
        <v>0</v>
      </c>
      <c r="AV544" t="b">
        <f>AND(IF(metadata!K544="",FALSE,TRUE),OR(EXACT(metadata!K544,"Plant secretion"),EXACT(metadata!K544,"Plant rhizosphere"),EXACT(metadata!K544,"Plant surface"),EXACT(metadata!K544,"Plant corpus"),EXACT(metadata!K544,"Fungus surface"),EXACT(metadata!K544,"Fungus corpus"),EXACT(metadata!K544,"Animal surface"),EXACT(metadata!K544,"Animal proximal gut"),EXACT(metadata!K544,"Animal corpus"),EXACT(metadata!K544,"Animal distal gut"),EXACT(metadata!K544,"Animal secretion"),EXACT(metadata!K544,"Sub-surface (non-saline)"),EXACT(metadata!K544,"Surface (non-saline)"),EXACT(metadata!K544,"Water (non-saline)"),EXACT(metadata!K544,"Soil (non-saline)"),EXACT(metadata!K544,"Aerosol (non-saline)"),EXACT(metadata!K544,"Sediment (non-saline)"),EXACT(metadata!K544,"Surface (saline)"),EXACT(metadata!K544,"Water (saline)"),EXACT(metadata!K544,"Hypersaline (saline)"),EXACT(metadata!K544,"Aerosol (saline)"),EXACT(metadata!K544,"Sediment (saline)")))</f>
        <v>0</v>
      </c>
      <c r="AW544" t="b">
        <f>IF(metadata!L544="",FALSE,TRUE)</f>
        <v>0</v>
      </c>
      <c r="AX544" t="b">
        <f>IF(metadata!M544="",FALSE,TRUE)</f>
        <v>0</v>
      </c>
      <c r="AY544" t="b">
        <f>IF(metadata!N544="",FALSE,TRUE)</f>
        <v>0</v>
      </c>
      <c r="AZ544" t="b">
        <f>OR(AND(IF(metadata!O544="",FALSE,TRUE),OR(EXACT(metadata!O544,"missing: not collected"),EXACT(metadata!O544,"missing: not provided"),EXACT(metadata!O544,"missing: restricted access"))),AND(IF(metadata!O544="",FALSE,TRUE),OR(EXACT(metadata!O544,"air"),EXACT(metadata!O544,"built environment"),EXACT(metadata!O544,"host-associated"),EXACT(metadata!O544,"human-associated"),EXACT(metadata!O544,"human-skin"),EXACT(metadata!O544,"human-oral"),EXACT(metadata!O544,"human-gut"),EXACT(metadata!O544,"human-vaginal"),EXACT(metadata!O544,"microbial mat/biofilm"),EXACT(metadata!O544,"misc environment"),EXACT(metadata!O544,"plant-associated"),EXACT(metadata!O544,"sediment"),EXACT(metadata!O544,"soil"),EXACT(metadata!O544,"wastewater/sludge"),EXACT(metadata!O544,"water"))))</f>
        <v>0</v>
      </c>
      <c r="BA544" t="b">
        <f>IF(metadata!P544="",FALSE,TRUE)</f>
        <v>0</v>
      </c>
      <c r="BB544" t="b">
        <f>IF(metadata!Q544="",FALSE,TRUE)</f>
        <v>0</v>
      </c>
      <c r="BC544" t="b">
        <f>OR(AND(IF(metadata!R544="",FALSE,TRUE),OR(EXACT(metadata!R544,"missing: not collected"),EXACT(metadata!R544,"missing: not provided"),EXACT(metadata!R544,"missing: restricted access"))),AND(IF(metadata!R544="",FALSE,ISNUMBER(VALUE(metadata!R544))),metadata!R544&gt;=-90,metadata!R544&lt;=90))</f>
        <v>0</v>
      </c>
      <c r="BD544" t="b">
        <f>AND(IF(metadata!S544="",FALSE,TRUE),EXACT(metadata!S544,"Decimal degrees"))</f>
        <v>0</v>
      </c>
      <c r="BE544" t="b">
        <f>OR(AND(IF(metadata!T544="",FALSE,TRUE),OR(EXACT(metadata!T544,"missing: not collected"),EXACT(metadata!T544,"missing: not provided"),EXACT(metadata!T544,"missing: restricted access"))),AND(IF(metadata!T544="",FALSE,ISNUMBER(VALUE(metadata!T544))),metadata!T544&gt;=-180,metadata!T544&lt;=180))</f>
        <v>0</v>
      </c>
      <c r="BF544" t="b">
        <f>AND(IF(metadata!U544="",FALSE,TRUE),EXACT(metadata!U544,"Decimal degrees"))</f>
        <v>0</v>
      </c>
      <c r="BG544" t="b">
        <f>IF(metadata!V544="",FALSE,TRUE)</f>
        <v>0</v>
      </c>
      <c r="BH544" t="b">
        <f>OR(AND(IF(metadata!W544="",FALSE,TRUE),OR(EXACT(metadata!W544,"missing: not collected"),EXACT(metadata!W544,"missing: not provided"),EXACT(metadata!W544,"missing: restricted access"))),AND(IF(metadata!W544="",FALSE,TRUE),OR(EXACT(metadata!W544,"TRUE"),EXACT(metadata!W544,"FALSE"))))</f>
        <v>0</v>
      </c>
      <c r="BI544" t="b">
        <f>AND(IF(metadata!X544="",FALSE,TRUE),EXACT(metadata!X544,"other"))</f>
        <v>0</v>
      </c>
      <c r="BJ544" t="b">
        <f>IF(metadata!Y544="",FALSE,TRUE)</f>
        <v>0</v>
      </c>
      <c r="BK544" t="b">
        <f>OR(AND(IF(metadata!Z544="",FALSE,TRUE),OR(EXACT(metadata!Z544,"missing: not collected"),EXACT(metadata!Z544,"missing: not provided"))),AND(IF(metadata!Z544="",FALSE,IF(ISERROR(INT(metadata!Z544)),FALSE,INT(metadata!Z544)=metadata!Z544)),metadata!Z544&gt;0))</f>
        <v>0</v>
      </c>
      <c r="BL544" t="b">
        <f>AND(IF(metadata!AA544="",FALSE,TRUE),EXACT(metadata!AA544,"Not applicable"))</f>
        <v>0</v>
      </c>
      <c r="BM544" t="b">
        <f>IF(metadata!AB544="",FALSE,TRUE)</f>
        <v>0</v>
      </c>
    </row>
    <row r="545" spans="1:65" x14ac:dyDescent="0.2">
      <c r="A545" s="5" t="str">
        <f ca="1">IF(B545=" "," ",HYPERLINK(CONCATENATE("#metadata!",ADDRESS(INDEX($AH$2:$AH$1001,MATCH(ROWS($AF$2:AF545),$AF$2:$AF$1001,0),0),1)),INDEX($AK$2:$AK$1001,MATCH(ROWS($AF$2:AF545),$AF$2:$AF$1001,0),0)))</f>
        <v xml:space="preserve"> </v>
      </c>
      <c r="B545" s="4" t="str">
        <f ca="1">IF(OR(INDEX($AG$2:$AG$1001,MATCH(ROWS($AF$2:AF545),$AF$2:$AF$1001,0),1)&gt;=100000,INDEX($AM$1005:$BM$1005,1,MATCH(COLUMNS($AM$1006:AM1006),$AM$1006:$BM$1006,0))&gt;=100000), " ",IF(INDEX($AM$2:$BM$1001,MATCH(ROWS($AF$2:AF545),$AF$2:$AF$1001,0),MATCH(COLUMNS($AM$1006:AM1006),$AM$1006:$BM$1006,0)), HYPERLINK("#",""), HYPERLINK(CONCATENATE("#metadata!", ADDRESS(INDEX($AH$2:$AH$1001,MATCH(ROWS($AF$2:AF545),$AF$2:$AF$1001,0),0), INDEX($AM$1004:$BM$1004,1,MATCH(COLUMNS($AM$1006:AM1006),$AM$1006:$BM$1006,0)))),"Fix")))</f>
        <v xml:space="preserve"> </v>
      </c>
      <c r="C545" s="4" t="str">
        <f ca="1">IF(OR(INDEX($AG$2:$AG$1001,MATCH(ROWS($AF$2:AF545),$AF$2:$AF$1001,0),1)&gt;=100000,INDEX($AM$1005:$BM$1005,1,MATCH(COLUMNS($AM$1006:AN1006),$AM$1006:$BM$1006,0))&gt;=100000), " ",IF(INDEX($AM$2:$BM$1001,MATCH(ROWS($AF$2:AF545),$AF$2:$AF$1001,0),MATCH(COLUMNS($AM$1006:AN1006),$AM$1006:$BM$1006,0)), HYPERLINK("#",""), HYPERLINK(CONCATENATE("#metadata!", ADDRESS(INDEX($AH$2:$AH$1001,MATCH(ROWS($AF$2:AF545),$AF$2:$AF$1001,0),0), INDEX($AM$1004:$BM$1004,1,MATCH(COLUMNS($AM$1006:AN1006),$AM$1006:$BM$1006,0)))),"Fix")))</f>
        <v xml:space="preserve"> </v>
      </c>
      <c r="D545" s="4" t="str">
        <f ca="1">IF(OR(INDEX($AG$2:$AG$1001,MATCH(ROWS($AF$2:AF545),$AF$2:$AF$1001,0),1)&gt;=100000,INDEX($AM$1005:$BM$1005,1,MATCH(COLUMNS($AM$1006:AO1006),$AM$1006:$BM$1006,0))&gt;=100000), " ",IF(INDEX($AM$2:$BM$1001,MATCH(ROWS($AF$2:AF545),$AF$2:$AF$1001,0),MATCH(COLUMNS($AM$1006:AO1006),$AM$1006:$BM$1006,0)), HYPERLINK("#",""), HYPERLINK(CONCATENATE("#metadata!", ADDRESS(INDEX($AH$2:$AH$1001,MATCH(ROWS($AF$2:AF545),$AF$2:$AF$1001,0),0), INDEX($AM$1004:$BM$1004,1,MATCH(COLUMNS($AM$1006:AO1006),$AM$1006:$BM$1006,0)))),"Fix")))</f>
        <v xml:space="preserve"> </v>
      </c>
      <c r="E545" s="4" t="str">
        <f ca="1">IF(OR(INDEX($AG$2:$AG$1001,MATCH(ROWS($AF$2:AF545),$AF$2:$AF$1001,0),1)&gt;=100000,INDEX($AM$1005:$BM$1005,1,MATCH(COLUMNS($AM$1006:AP1006),$AM$1006:$BM$1006,0))&gt;=100000), " ",IF(INDEX($AM$2:$BM$1001,MATCH(ROWS($AF$2:AF545),$AF$2:$AF$1001,0),MATCH(COLUMNS($AM$1006:AP1006),$AM$1006:$BM$1006,0)), HYPERLINK("#",""), HYPERLINK(CONCATENATE("#metadata!", ADDRESS(INDEX($AH$2:$AH$1001,MATCH(ROWS($AF$2:AF545),$AF$2:$AF$1001,0),0), INDEX($AM$1004:$BM$1004,1,MATCH(COLUMNS($AM$1006:AP1006),$AM$1006:$BM$1006,0)))),"Fix")))</f>
        <v xml:space="preserve"> </v>
      </c>
      <c r="F545" s="4" t="str">
        <f ca="1">IF(OR(INDEX($AG$2:$AG$1001,MATCH(ROWS($AF$2:AF545),$AF$2:$AF$1001,0),1)&gt;=100000,INDEX($AM$1005:$BM$1005,1,MATCH(COLUMNS($AM$1006:AQ1006),$AM$1006:$BM$1006,0))&gt;=100000), " ",IF(INDEX($AM$2:$BM$1001,MATCH(ROWS($AF$2:AF545),$AF$2:$AF$1001,0),MATCH(COLUMNS($AM$1006:AQ1006),$AM$1006:$BM$1006,0)), HYPERLINK("#",""), HYPERLINK(CONCATENATE("#metadata!", ADDRESS(INDEX($AH$2:$AH$1001,MATCH(ROWS($AF$2:AF545),$AF$2:$AF$1001,0),0), INDEX($AM$1004:$BM$1004,1,MATCH(COLUMNS($AM$1006:AQ1006),$AM$1006:$BM$1006,0)))),"Fix")))</f>
        <v xml:space="preserve"> </v>
      </c>
      <c r="G545" s="4" t="str">
        <f ca="1">IF(OR(INDEX($AG$2:$AG$1001,MATCH(ROWS($AF$2:AF545),$AF$2:$AF$1001,0),1)&gt;=100000,INDEX($AM$1005:$BM$1005,1,MATCH(COLUMNS($AM$1006:AR1006),$AM$1006:$BM$1006,0))&gt;=100000), " ",IF(INDEX($AM$2:$BM$1001,MATCH(ROWS($AF$2:AF545),$AF$2:$AF$1001,0),MATCH(COLUMNS($AM$1006:AR1006),$AM$1006:$BM$1006,0)), HYPERLINK("#",""), HYPERLINK(CONCATENATE("#metadata!", ADDRESS(INDEX($AH$2:$AH$1001,MATCH(ROWS($AF$2:AF545),$AF$2:$AF$1001,0),0), INDEX($AM$1004:$BM$1004,1,MATCH(COLUMNS($AM$1006:AR1006),$AM$1006:$BM$1006,0)))),"Fix")))</f>
        <v xml:space="preserve"> </v>
      </c>
      <c r="H545" s="4" t="str">
        <f ca="1">IF(OR(INDEX($AG$2:$AG$1001,MATCH(ROWS($AF$2:AF545),$AF$2:$AF$1001,0),1)&gt;=100000,INDEX($AM$1005:$BM$1005,1,MATCH(COLUMNS($AM$1006:AS1006),$AM$1006:$BM$1006,0))&gt;=100000), " ",IF(INDEX($AM$2:$BM$1001,MATCH(ROWS($AF$2:AF545),$AF$2:$AF$1001,0),MATCH(COLUMNS($AM$1006:AS1006),$AM$1006:$BM$1006,0)), HYPERLINK("#",""), HYPERLINK(CONCATENATE("#metadata!", ADDRESS(INDEX($AH$2:$AH$1001,MATCH(ROWS($AF$2:AF545),$AF$2:$AF$1001,0),0), INDEX($AM$1004:$BM$1004,1,MATCH(COLUMNS($AM$1006:AS1006),$AM$1006:$BM$1006,0)))),"Fix")))</f>
        <v xml:space="preserve"> </v>
      </c>
      <c r="I545" s="4" t="str">
        <f ca="1">IF(OR(INDEX($AG$2:$AG$1001,MATCH(ROWS($AF$2:AF545),$AF$2:$AF$1001,0),1)&gt;=100000,INDEX($AM$1005:$BM$1005,1,MATCH(COLUMNS($AM$1006:AT1006),$AM$1006:$BM$1006,0))&gt;=100000), " ",IF(INDEX($AM$2:$BM$1001,MATCH(ROWS($AF$2:AF545),$AF$2:$AF$1001,0),MATCH(COLUMNS($AM$1006:AT1006),$AM$1006:$BM$1006,0)), HYPERLINK("#",""), HYPERLINK(CONCATENATE("#metadata!", ADDRESS(INDEX($AH$2:$AH$1001,MATCH(ROWS($AF$2:AF545),$AF$2:$AF$1001,0),0), INDEX($AM$1004:$BM$1004,1,MATCH(COLUMNS($AM$1006:AT1006),$AM$1006:$BM$1006,0)))),"Fix")))</f>
        <v xml:space="preserve"> </v>
      </c>
      <c r="J545" s="4" t="str">
        <f ca="1">IF(OR(INDEX($AG$2:$AG$1001,MATCH(ROWS($AF$2:AF545),$AF$2:$AF$1001,0),1)&gt;=100000,INDEX($AM$1005:$BM$1005,1,MATCH(COLUMNS($AM$1006:AU1006),$AM$1006:$BM$1006,0))&gt;=100000), " ",IF(INDEX($AM$2:$BM$1001,MATCH(ROWS($AF$2:AF545),$AF$2:$AF$1001,0),MATCH(COLUMNS($AM$1006:AU1006),$AM$1006:$BM$1006,0)), HYPERLINK("#",""), HYPERLINK(CONCATENATE("#metadata!", ADDRESS(INDEX($AH$2:$AH$1001,MATCH(ROWS($AF$2:AF545),$AF$2:$AF$1001,0),0), INDEX($AM$1004:$BM$1004,1,MATCH(COLUMNS($AM$1006:AU1006),$AM$1006:$BM$1006,0)))),"Fix")))</f>
        <v xml:space="preserve"> </v>
      </c>
      <c r="K545" s="4" t="str">
        <f ca="1">IF(OR(INDEX($AG$2:$AG$1001,MATCH(ROWS($AF$2:AF545),$AF$2:$AF$1001,0),1)&gt;=100000,INDEX($AM$1005:$BM$1005,1,MATCH(COLUMNS($AM$1006:AV1006),$AM$1006:$BM$1006,0))&gt;=100000), " ",IF(INDEX($AM$2:$BM$1001,MATCH(ROWS($AF$2:AF545),$AF$2:$AF$1001,0),MATCH(COLUMNS($AM$1006:AV1006),$AM$1006:$BM$1006,0)), HYPERLINK("#",""), HYPERLINK(CONCATENATE("#metadata!", ADDRESS(INDEX($AH$2:$AH$1001,MATCH(ROWS($AF$2:AF545),$AF$2:$AF$1001,0),0), INDEX($AM$1004:$BM$1004,1,MATCH(COLUMNS($AM$1006:AV1006),$AM$1006:$BM$1006,0)))),"Fix")))</f>
        <v xml:space="preserve"> </v>
      </c>
      <c r="L545" s="4" t="str">
        <f ca="1">IF(OR(INDEX($AG$2:$AG$1001,MATCH(ROWS($AF$2:AF545),$AF$2:$AF$1001,0),1)&gt;=100000,INDEX($AM$1005:$BM$1005,1,MATCH(COLUMNS($AM$1006:AW1006),$AM$1006:$BM$1006,0))&gt;=100000), " ",IF(INDEX($AM$2:$BM$1001,MATCH(ROWS($AF$2:AF545),$AF$2:$AF$1001,0),MATCH(COLUMNS($AM$1006:AW1006),$AM$1006:$BM$1006,0)), HYPERLINK("#",""), HYPERLINK(CONCATENATE("#metadata!", ADDRESS(INDEX($AH$2:$AH$1001,MATCH(ROWS($AF$2:AF545),$AF$2:$AF$1001,0),0), INDEX($AM$1004:$BM$1004,1,MATCH(COLUMNS($AM$1006:AW1006),$AM$1006:$BM$1006,0)))),"Fix")))</f>
        <v xml:space="preserve"> </v>
      </c>
      <c r="M545" s="4" t="str">
        <f ca="1">IF(OR(INDEX($AG$2:$AG$1001,MATCH(ROWS($AF$2:AF545),$AF$2:$AF$1001,0),1)&gt;=100000,INDEX($AM$1005:$BM$1005,1,MATCH(COLUMNS($AM$1006:AX1006),$AM$1006:$BM$1006,0))&gt;=100000), " ",IF(INDEX($AM$2:$BM$1001,MATCH(ROWS($AF$2:AF545),$AF$2:$AF$1001,0),MATCH(COLUMNS($AM$1006:AX1006),$AM$1006:$BM$1006,0)), HYPERLINK("#",""), HYPERLINK(CONCATENATE("#metadata!", ADDRESS(INDEX($AH$2:$AH$1001,MATCH(ROWS($AF$2:AF545),$AF$2:$AF$1001,0),0), INDEX($AM$1004:$BM$1004,1,MATCH(COLUMNS($AM$1006:AX1006),$AM$1006:$BM$1006,0)))),"Fix")))</f>
        <v xml:space="preserve"> </v>
      </c>
      <c r="N545" s="4" t="str">
        <f ca="1">IF(OR(INDEX($AG$2:$AG$1001,MATCH(ROWS($AF$2:AF545),$AF$2:$AF$1001,0),1)&gt;=100000,INDEX($AM$1005:$BM$1005,1,MATCH(COLUMNS($AM$1006:AY1006),$AM$1006:$BM$1006,0))&gt;=100000), " ",IF(INDEX($AM$2:$BM$1001,MATCH(ROWS($AF$2:AF545),$AF$2:$AF$1001,0),MATCH(COLUMNS($AM$1006:AY1006),$AM$1006:$BM$1006,0)), HYPERLINK("#",""), HYPERLINK(CONCATENATE("#metadata!", ADDRESS(INDEX($AH$2:$AH$1001,MATCH(ROWS($AF$2:AF545),$AF$2:$AF$1001,0),0), INDEX($AM$1004:$BM$1004,1,MATCH(COLUMNS($AM$1006:AY1006),$AM$1006:$BM$1006,0)))),"Fix")))</f>
        <v xml:space="preserve"> </v>
      </c>
      <c r="O545" s="4" t="str">
        <f ca="1">IF(OR(INDEX($AG$2:$AG$1001,MATCH(ROWS($AF$2:AF545),$AF$2:$AF$1001,0),1)&gt;=100000,INDEX($AM$1005:$BM$1005,1,MATCH(COLUMNS($AM$1006:AZ1006),$AM$1006:$BM$1006,0))&gt;=100000), " ",IF(INDEX($AM$2:$BM$1001,MATCH(ROWS($AF$2:AF545),$AF$2:$AF$1001,0),MATCH(COLUMNS($AM$1006:AZ1006),$AM$1006:$BM$1006,0)), HYPERLINK("#",""), HYPERLINK(CONCATENATE("#metadata!", ADDRESS(INDEX($AH$2:$AH$1001,MATCH(ROWS($AF$2:AF545),$AF$2:$AF$1001,0),0), INDEX($AM$1004:$BM$1004,1,MATCH(COLUMNS($AM$1006:AZ1006),$AM$1006:$BM$1006,0)))),"Fix")))</f>
        <v xml:space="preserve"> </v>
      </c>
      <c r="P545" s="4" t="str">
        <f ca="1">IF(OR(INDEX($AG$2:$AG$1001,MATCH(ROWS($AF$2:AF545),$AF$2:$AF$1001,0),1)&gt;=100000,INDEX($AM$1005:$BM$1005,1,MATCH(COLUMNS($AM$1006:BA1006),$AM$1006:$BM$1006,0))&gt;=100000), " ",IF(INDEX($AM$2:$BM$1001,MATCH(ROWS($AF$2:AF545),$AF$2:$AF$1001,0),MATCH(COLUMNS($AM$1006:BA1006),$AM$1006:$BM$1006,0)), HYPERLINK("#",""), HYPERLINK(CONCATENATE("#metadata!", ADDRESS(INDEX($AH$2:$AH$1001,MATCH(ROWS($AF$2:AF545),$AF$2:$AF$1001,0),0), INDEX($AM$1004:$BM$1004,1,MATCH(COLUMNS($AM$1006:BA1006),$AM$1006:$BM$1006,0)))),"Fix")))</f>
        <v xml:space="preserve"> </v>
      </c>
      <c r="Q545" s="4" t="str">
        <f ca="1">IF(OR(INDEX($AG$2:$AG$1001,MATCH(ROWS($AF$2:AF545),$AF$2:$AF$1001,0),1)&gt;=100000,INDEX($AM$1005:$BM$1005,1,MATCH(COLUMNS($AM$1006:BB1006),$AM$1006:$BM$1006,0))&gt;=100000), " ",IF(INDEX($AM$2:$BM$1001,MATCH(ROWS($AF$2:AF545),$AF$2:$AF$1001,0),MATCH(COLUMNS($AM$1006:BB1006),$AM$1006:$BM$1006,0)), HYPERLINK("#",""), HYPERLINK(CONCATENATE("#metadata!", ADDRESS(INDEX($AH$2:$AH$1001,MATCH(ROWS($AF$2:AF545),$AF$2:$AF$1001,0),0), INDEX($AM$1004:$BM$1004,1,MATCH(COLUMNS($AM$1006:BB1006),$AM$1006:$BM$1006,0)))),"Fix")))</f>
        <v xml:space="preserve"> </v>
      </c>
      <c r="R545" s="4" t="str">
        <f ca="1">IF(OR(INDEX($AG$2:$AG$1001,MATCH(ROWS($AF$2:AF545),$AF$2:$AF$1001,0),1)&gt;=100000,INDEX($AM$1005:$BM$1005,1,MATCH(COLUMNS($AM$1006:BC1006),$AM$1006:$BM$1006,0))&gt;=100000), " ",IF(INDEX($AM$2:$BM$1001,MATCH(ROWS($AF$2:AF545),$AF$2:$AF$1001,0),MATCH(COLUMNS($AM$1006:BC1006),$AM$1006:$BM$1006,0)), HYPERLINK("#",""), HYPERLINK(CONCATENATE("#metadata!", ADDRESS(INDEX($AH$2:$AH$1001,MATCH(ROWS($AF$2:AF545),$AF$2:$AF$1001,0),0), INDEX($AM$1004:$BM$1004,1,MATCH(COLUMNS($AM$1006:BC1006),$AM$1006:$BM$1006,0)))),"Fix")))</f>
        <v xml:space="preserve"> </v>
      </c>
      <c r="S545" s="4" t="str">
        <f ca="1">IF(OR(INDEX($AG$2:$AG$1001,MATCH(ROWS($AF$2:AF545),$AF$2:$AF$1001,0),1)&gt;=100000,INDEX($AM$1005:$BM$1005,1,MATCH(COLUMNS($AM$1006:BD1006),$AM$1006:$BM$1006,0))&gt;=100000), " ",IF(INDEX($AM$2:$BM$1001,MATCH(ROWS($AF$2:AF545),$AF$2:$AF$1001,0),MATCH(COLUMNS($AM$1006:BD1006),$AM$1006:$BM$1006,0)), HYPERLINK("#",""), HYPERLINK(CONCATENATE("#metadata!", ADDRESS(INDEX($AH$2:$AH$1001,MATCH(ROWS($AF$2:AF545),$AF$2:$AF$1001,0),0), INDEX($AM$1004:$BM$1004,1,MATCH(COLUMNS($AM$1006:BD1006),$AM$1006:$BM$1006,0)))),"Fix")))</f>
        <v xml:space="preserve"> </v>
      </c>
      <c r="T545" s="4" t="str">
        <f ca="1">IF(OR(INDEX($AG$2:$AG$1001,MATCH(ROWS($AF$2:AF545),$AF$2:$AF$1001,0),1)&gt;=100000,INDEX($AM$1005:$BM$1005,1,MATCH(COLUMNS($AM$1006:BE1006),$AM$1006:$BM$1006,0))&gt;=100000), " ",IF(INDEX($AM$2:$BM$1001,MATCH(ROWS($AF$2:AF545),$AF$2:$AF$1001,0),MATCH(COLUMNS($AM$1006:BE1006),$AM$1006:$BM$1006,0)), HYPERLINK("#",""), HYPERLINK(CONCATENATE("#metadata!", ADDRESS(INDEX($AH$2:$AH$1001,MATCH(ROWS($AF$2:AF545),$AF$2:$AF$1001,0),0), INDEX($AM$1004:$BM$1004,1,MATCH(COLUMNS($AM$1006:BE1006),$AM$1006:$BM$1006,0)))),"Fix")))</f>
        <v xml:space="preserve"> </v>
      </c>
      <c r="U545" s="4" t="str">
        <f ca="1">IF(OR(INDEX($AG$2:$AG$1001,MATCH(ROWS($AF$2:AF545),$AF$2:$AF$1001,0),1)&gt;=100000,INDEX($AM$1005:$BM$1005,1,MATCH(COLUMNS($AM$1006:BF1006),$AM$1006:$BM$1006,0))&gt;=100000), " ",IF(INDEX($AM$2:$BM$1001,MATCH(ROWS($AF$2:AF545),$AF$2:$AF$1001,0),MATCH(COLUMNS($AM$1006:BF1006),$AM$1006:$BM$1006,0)), HYPERLINK("#",""), HYPERLINK(CONCATENATE("#metadata!", ADDRESS(INDEX($AH$2:$AH$1001,MATCH(ROWS($AF$2:AF545),$AF$2:$AF$1001,0),0), INDEX($AM$1004:$BM$1004,1,MATCH(COLUMNS($AM$1006:BF1006),$AM$1006:$BM$1006,0)))),"Fix")))</f>
        <v xml:space="preserve"> </v>
      </c>
      <c r="V545" s="4" t="str">
        <f ca="1">IF(OR(INDEX($AG$2:$AG$1001,MATCH(ROWS($AF$2:AF545),$AF$2:$AF$1001,0),1)&gt;=100000,INDEX($AM$1005:$BM$1005,1,MATCH(COLUMNS($AM$1006:BG1006),$AM$1006:$BM$1006,0))&gt;=100000), " ",IF(INDEX($AM$2:$BM$1001,MATCH(ROWS($AF$2:AF545),$AF$2:$AF$1001,0),MATCH(COLUMNS($AM$1006:BG1006),$AM$1006:$BM$1006,0)), HYPERLINK("#",""), HYPERLINK(CONCATENATE("#metadata!", ADDRESS(INDEX($AH$2:$AH$1001,MATCH(ROWS($AF$2:AF545),$AF$2:$AF$1001,0),0), INDEX($AM$1004:$BM$1004,1,MATCH(COLUMNS($AM$1006:BG1006),$AM$1006:$BM$1006,0)))),"Fix")))</f>
        <v xml:space="preserve"> </v>
      </c>
      <c r="W545" s="4" t="str">
        <f ca="1">IF(OR(INDEX($AG$2:$AG$1001,MATCH(ROWS($AF$2:AF545),$AF$2:$AF$1001,0),1)&gt;=100000,INDEX($AM$1005:$BM$1005,1,MATCH(COLUMNS($AM$1006:BH1006),$AM$1006:$BM$1006,0))&gt;=100000), " ",IF(INDEX($AM$2:$BM$1001,MATCH(ROWS($AF$2:AF545),$AF$2:$AF$1001,0),MATCH(COLUMNS($AM$1006:BH1006),$AM$1006:$BM$1006,0)), HYPERLINK("#",""), HYPERLINK(CONCATENATE("#metadata!", ADDRESS(INDEX($AH$2:$AH$1001,MATCH(ROWS($AF$2:AF545),$AF$2:$AF$1001,0),0), INDEX($AM$1004:$BM$1004,1,MATCH(COLUMNS($AM$1006:BH1006),$AM$1006:$BM$1006,0)))),"Fix")))</f>
        <v xml:space="preserve"> </v>
      </c>
      <c r="X545" s="4" t="str">
        <f ca="1">IF(OR(INDEX($AG$2:$AG$1001,MATCH(ROWS($AF$2:AF545),$AF$2:$AF$1001,0),1)&gt;=100000,INDEX($AM$1005:$BM$1005,1,MATCH(COLUMNS($AM$1006:BI1006),$AM$1006:$BM$1006,0))&gt;=100000), " ",IF(INDEX($AM$2:$BM$1001,MATCH(ROWS($AF$2:AF545),$AF$2:$AF$1001,0),MATCH(COLUMNS($AM$1006:BI1006),$AM$1006:$BM$1006,0)), HYPERLINK("#",""), HYPERLINK(CONCATENATE("#metadata!", ADDRESS(INDEX($AH$2:$AH$1001,MATCH(ROWS($AF$2:AF545),$AF$2:$AF$1001,0),0), INDEX($AM$1004:$BM$1004,1,MATCH(COLUMNS($AM$1006:BI1006),$AM$1006:$BM$1006,0)))),"Fix")))</f>
        <v xml:space="preserve"> </v>
      </c>
      <c r="Y545" s="4" t="str">
        <f ca="1">IF(OR(INDEX($AG$2:$AG$1001,MATCH(ROWS($AF$2:AF545),$AF$2:$AF$1001,0),1)&gt;=100000,INDEX($AM$1005:$BM$1005,1,MATCH(COLUMNS($AM$1006:BJ1006),$AM$1006:$BM$1006,0))&gt;=100000), " ",IF(INDEX($AM$2:$BM$1001,MATCH(ROWS($AF$2:AF545),$AF$2:$AF$1001,0),MATCH(COLUMNS($AM$1006:BJ1006),$AM$1006:$BM$1006,0)), HYPERLINK("#",""), HYPERLINK(CONCATENATE("#metadata!", ADDRESS(INDEX($AH$2:$AH$1001,MATCH(ROWS($AF$2:AF545),$AF$2:$AF$1001,0),0), INDEX($AM$1004:$BM$1004,1,MATCH(COLUMNS($AM$1006:BJ1006),$AM$1006:$BM$1006,0)))),"Fix")))</f>
        <v xml:space="preserve"> </v>
      </c>
      <c r="Z545" s="4" t="str">
        <f ca="1">IF(OR(INDEX($AG$2:$AG$1001,MATCH(ROWS($AF$2:AF545),$AF$2:$AF$1001,0),1)&gt;=100000,INDEX($AM$1005:$BM$1005,1,MATCH(COLUMNS($AM$1006:BK1006),$AM$1006:$BM$1006,0))&gt;=100000), " ",IF(INDEX($AM$2:$BM$1001,MATCH(ROWS($AF$2:AF545),$AF$2:$AF$1001,0),MATCH(COLUMNS($AM$1006:BK1006),$AM$1006:$BM$1006,0)), HYPERLINK("#",""), HYPERLINK(CONCATENATE("#metadata!", ADDRESS(INDEX($AH$2:$AH$1001,MATCH(ROWS($AF$2:AF545),$AF$2:$AF$1001,0),0), INDEX($AM$1004:$BM$1004,1,MATCH(COLUMNS($AM$1006:BK1006),$AM$1006:$BM$1006,0)))),"Fix")))</f>
        <v xml:space="preserve"> </v>
      </c>
      <c r="AA545" s="4" t="str">
        <f ca="1">IF(OR(INDEX($AG$2:$AG$1001,MATCH(ROWS($AF$2:AF545),$AF$2:$AF$1001,0),1)&gt;=100000,INDEX($AM$1005:$BM$1005,1,MATCH(COLUMNS($AM$1006:BL1006),$AM$1006:$BM$1006,0))&gt;=100000), " ",IF(INDEX($AM$2:$BM$1001,MATCH(ROWS($AF$2:AF545),$AF$2:$AF$1001,0),MATCH(COLUMNS($AM$1006:BL1006),$AM$1006:$BM$1006,0)), HYPERLINK("#",""), HYPERLINK(CONCATENATE("#metadata!", ADDRESS(INDEX($AH$2:$AH$1001,MATCH(ROWS($AF$2:AF545),$AF$2:$AF$1001,0),0), INDEX($AM$1004:$BM$1004,1,MATCH(COLUMNS($AM$1006:BL1006),$AM$1006:$BM$1006,0)))),"Fix")))</f>
        <v xml:space="preserve"> </v>
      </c>
      <c r="AB545" s="4" t="str">
        <f ca="1">IF(OR(INDEX($AG$2:$AG$1001,MATCH(ROWS($AF$2:AF545),$AF$2:$AF$1001,0),1)&gt;=100000,INDEX($AM$1005:$BM$1005,1,MATCH(COLUMNS($AM$1006:BM1006),$AM$1006:$BM$1006,0))&gt;=100000), " ",IF(INDEX($AM$2:$BM$1001,MATCH(ROWS($AF$2:AF545),$AF$2:$AF$1001,0),MATCH(COLUMNS($AM$1006:BM1006),$AM$1006:$BM$1006,0)), HYPERLINK("#",""), HYPERLINK(CONCATENATE("#metadata!", ADDRESS(INDEX($AH$2:$AH$1001,MATCH(ROWS($AF$2:AF545),$AF$2:$AF$1001,0),0), INDEX($AM$1004:$BM$1004,1,MATCH(COLUMNS($AM$1006:BM1006),$AM$1006:$BM$1006,0)))),"Fix")))</f>
        <v xml:space="preserve"> </v>
      </c>
      <c r="AF545">
        <v>544</v>
      </c>
      <c r="AG545">
        <v>100545</v>
      </c>
      <c r="AH545">
        <v>545</v>
      </c>
      <c r="AI545" t="b">
        <f t="shared" si="8"/>
        <v>1</v>
      </c>
      <c r="AJ545" t="b">
        <f>COUNTBLANK(metadata!B545:AB545)=COLUMNS(metadata!B545:AB545)</f>
        <v>1</v>
      </c>
      <c r="AK545" t="str">
        <v/>
      </c>
      <c r="AM545" t="b">
        <f ca="1">AND(IF(metadata!B545="",FALSE,TRUE),COUNTIF(metadata!B:B, metadata!B545) = 1,NOT(ISERROR(SUMPRODUCT(SEARCH(MID(metadata!B545,ROW(INDIRECT("1:"&amp;LEN(metadata!B545))), 1),"0123456789abcdefghijklmnopqrstuvwxyzABCDEFGHIJKLMNOPQRSTUVWXYZ.")))))</f>
        <v>0</v>
      </c>
      <c r="AN545" t="b">
        <f ca="1">OR(AND(IF(metadata!C545="",FALSE,TRUE),OR(EXACT(metadata!C545,"missing: not collected"),EXACT(metadata!C545,"missing: not provided"),EXACT(metadata!C545,"missing: restricted access"))),AND(IF(metadata!C545="",FALSE,TRUE),AND(AND(IFERROR(INT(LEFT(metadata!C545,4))&gt;1900,FALSE),IFERROR(INT(LEFT(metadata!C545,4))&lt;=YEAR(NOW()),FALSE)), OR(MID(metadata!C545,5,1)="", AND(AND(MID(metadata!C545,5,1)="-",IFERROR(INT(MID(metadata!C545,6,1))&gt;=0,FALSE),IFERROR(INT(MID(metadata!C545,6,1))&lt;=1,FALSE),NOT(MID(metadata!C545,7,1)=""),IFERROR(INT(MID(metadata!C545,6,2))&gt;=1,FALSE),IFERROR(INT(MID(metadata!C545,6,2))&lt;=12,FALSE)), OR(MID(metadata!C545,8,1)="", AND(AND(MID(metadata!C545,8,1)="-",IFERROR(INT(MID(metadata!C545,9,1))&gt;=0,FALSE),IFERROR(INT(MID(metadata!C545,9,1))&lt;=3,FALSE),NOT(MID(metadata!C545,10,1)=""),IFERROR(INT(MID(metadata!C545,9,2))&gt;=1,FALSE),IFERROR(INT(MID(metadata!C545,9,2))&lt;=31,FALSE)), OR(MID(metadata!C545,11,1)="", AND(AND(MID(metadata!C545,11,1)=" ",IFERROR(INT(MID(metadata!C545,12,1))&gt;=0,FALSE),IFERROR(INT(MID(metadata!C545,12,1))&lt;=2,FALSE),NOT(MID(metadata!C545,13,1)=""),IFERROR(INT(MID(metadata!C545,12,2))&gt;=0,FALSE),IFERROR(INT(MID(metadata!C545,12,2))&lt;=23,FALSE)), OR(MID(metadata!C545,14,1)="", AND(AND(MID(metadata!C545,14,1)=":",IFERROR(INT(MID(metadata!C545,15,1))&gt;=0,FALSE),IFERROR(INT(MID(metadata!C545,15,1))&lt;=5,FALSE),NOT(MID(metadata!C545,16,1)=""),IFERROR(INT(MID(metadata!C545,15,2))&gt;=0,FALSE),IFERROR(INT(MID(metadata!C545,15,2))&lt;=59,FALSE)), OR(MID(metadata!C545,17,1)="", AND(AND(MID(metadata!C545,17,1)=":",IFERROR(INT(MID(metadata!C545,18,1))&gt;=0,FALSE),IFERROR(INT(MID(metadata!C545,18,1))&lt;=5,FALSE),NOT(MID(metadata!C545,19,1)=""),IFERROR(INT(MID(metadata!C545,18,2))&gt;=0,FALSE),IFERROR(INT(MID(metadata!C545,18,2))&lt;=59,FALSE)), LEN(metadata!C545)&lt;=19)))))))))))))</f>
        <v>0</v>
      </c>
      <c r="AO545" t="b">
        <f>AND(IF(metadata!D545="",FALSE,TRUE),EXACT(metadata!D545,"Not applicable"))</f>
        <v>0</v>
      </c>
      <c r="AP545" t="b">
        <f>IF(metadata!E545="",FALSE,TRUE)</f>
        <v>0</v>
      </c>
      <c r="AQ545" t="b">
        <f>OR(AND(IF(metadata!F545="",FALSE,TRUE),OR(EXACT(metadata!F545,"missing: not collected"),EXACT(metadata!F545,"missing: not provided"))),AND(IF(metadata!F545="",FALSE,TRUE),OR(EXACT(metadata!F545,"TRUE"),EXACT(metadata!F545,"FALSE"))))</f>
        <v>0</v>
      </c>
      <c r="AR545" t="b">
        <f>OR(AND(IF(metadata!G545="",FALSE,TRUE),OR(EXACT(metadata!G545,"missing: not collected"),EXACT(metadata!G545,"missing: not provided"),EXACT(metadata!G545,"missing: restricted access"))),AND(IF(metadata!G545="",FALSE,ISNUMBER(VALUE(metadata!G545))),metadata!G545&gt;=-413))</f>
        <v>0</v>
      </c>
      <c r="AS545" t="b">
        <f>AND(IF(metadata!H545="",FALSE,TRUE),EXACT(metadata!H545,"meters"))</f>
        <v>0</v>
      </c>
      <c r="AT545" t="b">
        <f>AND(IF(metadata!I545="",FALSE,TRUE),OR(EXACT(metadata!I545,"Host-associated"),EXACT(metadata!I545,"Free-living")))</f>
        <v>0</v>
      </c>
      <c r="AU545" t="b">
        <f>AND(IF(metadata!J545="",FALSE,TRUE),OR(EXACT(metadata!J545,"Animal"),EXACT(metadata!J545,"Fungus"),EXACT(metadata!J545,"Plant"),EXACT(metadata!J545,"Saline"),EXACT(metadata!J545,"Non-saline")))</f>
        <v>0</v>
      </c>
      <c r="AV545" t="b">
        <f>AND(IF(metadata!K545="",FALSE,TRUE),OR(EXACT(metadata!K545,"Plant secretion"),EXACT(metadata!K545,"Plant rhizosphere"),EXACT(metadata!K545,"Plant surface"),EXACT(metadata!K545,"Plant corpus"),EXACT(metadata!K545,"Fungus surface"),EXACT(metadata!K545,"Fungus corpus"),EXACT(metadata!K545,"Animal surface"),EXACT(metadata!K545,"Animal proximal gut"),EXACT(metadata!K545,"Animal corpus"),EXACT(metadata!K545,"Animal distal gut"),EXACT(metadata!K545,"Animal secretion"),EXACT(metadata!K545,"Sub-surface (non-saline)"),EXACT(metadata!K545,"Surface (non-saline)"),EXACT(metadata!K545,"Water (non-saline)"),EXACT(metadata!K545,"Soil (non-saline)"),EXACT(metadata!K545,"Aerosol (non-saline)"),EXACT(metadata!K545,"Sediment (non-saline)"),EXACT(metadata!K545,"Surface (saline)"),EXACT(metadata!K545,"Water (saline)"),EXACT(metadata!K545,"Hypersaline (saline)"),EXACT(metadata!K545,"Aerosol (saline)"),EXACT(metadata!K545,"Sediment (saline)")))</f>
        <v>0</v>
      </c>
      <c r="AW545" t="b">
        <f>IF(metadata!L545="",FALSE,TRUE)</f>
        <v>0</v>
      </c>
      <c r="AX545" t="b">
        <f>IF(metadata!M545="",FALSE,TRUE)</f>
        <v>0</v>
      </c>
      <c r="AY545" t="b">
        <f>IF(metadata!N545="",FALSE,TRUE)</f>
        <v>0</v>
      </c>
      <c r="AZ545" t="b">
        <f>OR(AND(IF(metadata!O545="",FALSE,TRUE),OR(EXACT(metadata!O545,"missing: not collected"),EXACT(metadata!O545,"missing: not provided"),EXACT(metadata!O545,"missing: restricted access"))),AND(IF(metadata!O545="",FALSE,TRUE),OR(EXACT(metadata!O545,"air"),EXACT(metadata!O545,"built environment"),EXACT(metadata!O545,"host-associated"),EXACT(metadata!O545,"human-associated"),EXACT(metadata!O545,"human-skin"),EXACT(metadata!O545,"human-oral"),EXACT(metadata!O545,"human-gut"),EXACT(metadata!O545,"human-vaginal"),EXACT(metadata!O545,"microbial mat/biofilm"),EXACT(metadata!O545,"misc environment"),EXACT(metadata!O545,"plant-associated"),EXACT(metadata!O545,"sediment"),EXACT(metadata!O545,"soil"),EXACT(metadata!O545,"wastewater/sludge"),EXACT(metadata!O545,"water"))))</f>
        <v>0</v>
      </c>
      <c r="BA545" t="b">
        <f>IF(metadata!P545="",FALSE,TRUE)</f>
        <v>0</v>
      </c>
      <c r="BB545" t="b">
        <f>IF(metadata!Q545="",FALSE,TRUE)</f>
        <v>0</v>
      </c>
      <c r="BC545" t="b">
        <f>OR(AND(IF(metadata!R545="",FALSE,TRUE),OR(EXACT(metadata!R545,"missing: not collected"),EXACT(metadata!R545,"missing: not provided"),EXACT(metadata!R545,"missing: restricted access"))),AND(IF(metadata!R545="",FALSE,ISNUMBER(VALUE(metadata!R545))),metadata!R545&gt;=-90,metadata!R545&lt;=90))</f>
        <v>0</v>
      </c>
      <c r="BD545" t="b">
        <f>AND(IF(metadata!S545="",FALSE,TRUE),EXACT(metadata!S545,"Decimal degrees"))</f>
        <v>0</v>
      </c>
      <c r="BE545" t="b">
        <f>OR(AND(IF(metadata!T545="",FALSE,TRUE),OR(EXACT(metadata!T545,"missing: not collected"),EXACT(metadata!T545,"missing: not provided"),EXACT(metadata!T545,"missing: restricted access"))),AND(IF(metadata!T545="",FALSE,ISNUMBER(VALUE(metadata!T545))),metadata!T545&gt;=-180,metadata!T545&lt;=180))</f>
        <v>0</v>
      </c>
      <c r="BF545" t="b">
        <f>AND(IF(metadata!U545="",FALSE,TRUE),EXACT(metadata!U545,"Decimal degrees"))</f>
        <v>0</v>
      </c>
      <c r="BG545" t="b">
        <f>IF(metadata!V545="",FALSE,TRUE)</f>
        <v>0</v>
      </c>
      <c r="BH545" t="b">
        <f>OR(AND(IF(metadata!W545="",FALSE,TRUE),OR(EXACT(metadata!W545,"missing: not collected"),EXACT(metadata!W545,"missing: not provided"),EXACT(metadata!W545,"missing: restricted access"))),AND(IF(metadata!W545="",FALSE,TRUE),OR(EXACT(metadata!W545,"TRUE"),EXACT(metadata!W545,"FALSE"))))</f>
        <v>0</v>
      </c>
      <c r="BI545" t="b">
        <f>AND(IF(metadata!X545="",FALSE,TRUE),EXACT(metadata!X545,"other"))</f>
        <v>0</v>
      </c>
      <c r="BJ545" t="b">
        <f>IF(metadata!Y545="",FALSE,TRUE)</f>
        <v>0</v>
      </c>
      <c r="BK545" t="b">
        <f>OR(AND(IF(metadata!Z545="",FALSE,TRUE),OR(EXACT(metadata!Z545,"missing: not collected"),EXACT(metadata!Z545,"missing: not provided"))),AND(IF(metadata!Z545="",FALSE,IF(ISERROR(INT(metadata!Z545)),FALSE,INT(metadata!Z545)=metadata!Z545)),metadata!Z545&gt;0))</f>
        <v>0</v>
      </c>
      <c r="BL545" t="b">
        <f>AND(IF(metadata!AA545="",FALSE,TRUE),EXACT(metadata!AA545,"Not applicable"))</f>
        <v>0</v>
      </c>
      <c r="BM545" t="b">
        <f>IF(metadata!AB545="",FALSE,TRUE)</f>
        <v>0</v>
      </c>
    </row>
    <row r="546" spans="1:65" x14ac:dyDescent="0.2">
      <c r="A546" s="5" t="str">
        <f ca="1">IF(B546=" "," ",HYPERLINK(CONCATENATE("#metadata!",ADDRESS(INDEX($AH$2:$AH$1001,MATCH(ROWS($AF$2:AF546),$AF$2:$AF$1001,0),0),1)),INDEX($AK$2:$AK$1001,MATCH(ROWS($AF$2:AF546),$AF$2:$AF$1001,0),0)))</f>
        <v xml:space="preserve"> </v>
      </c>
      <c r="B546" s="4" t="str">
        <f ca="1">IF(OR(INDEX($AG$2:$AG$1001,MATCH(ROWS($AF$2:AF546),$AF$2:$AF$1001,0),1)&gt;=100000,INDEX($AM$1005:$BM$1005,1,MATCH(COLUMNS($AM$1006:AM1006),$AM$1006:$BM$1006,0))&gt;=100000), " ",IF(INDEX($AM$2:$BM$1001,MATCH(ROWS($AF$2:AF546),$AF$2:$AF$1001,0),MATCH(COLUMNS($AM$1006:AM1006),$AM$1006:$BM$1006,0)), HYPERLINK("#",""), HYPERLINK(CONCATENATE("#metadata!", ADDRESS(INDEX($AH$2:$AH$1001,MATCH(ROWS($AF$2:AF546),$AF$2:$AF$1001,0),0), INDEX($AM$1004:$BM$1004,1,MATCH(COLUMNS($AM$1006:AM1006),$AM$1006:$BM$1006,0)))),"Fix")))</f>
        <v xml:space="preserve"> </v>
      </c>
      <c r="C546" s="4" t="str">
        <f ca="1">IF(OR(INDEX($AG$2:$AG$1001,MATCH(ROWS($AF$2:AF546),$AF$2:$AF$1001,0),1)&gt;=100000,INDEX($AM$1005:$BM$1005,1,MATCH(COLUMNS($AM$1006:AN1006),$AM$1006:$BM$1006,0))&gt;=100000), " ",IF(INDEX($AM$2:$BM$1001,MATCH(ROWS($AF$2:AF546),$AF$2:$AF$1001,0),MATCH(COLUMNS($AM$1006:AN1006),$AM$1006:$BM$1006,0)), HYPERLINK("#",""), HYPERLINK(CONCATENATE("#metadata!", ADDRESS(INDEX($AH$2:$AH$1001,MATCH(ROWS($AF$2:AF546),$AF$2:$AF$1001,0),0), INDEX($AM$1004:$BM$1004,1,MATCH(COLUMNS($AM$1006:AN1006),$AM$1006:$BM$1006,0)))),"Fix")))</f>
        <v xml:space="preserve"> </v>
      </c>
      <c r="D546" s="4" t="str">
        <f ca="1">IF(OR(INDEX($AG$2:$AG$1001,MATCH(ROWS($AF$2:AF546),$AF$2:$AF$1001,0),1)&gt;=100000,INDEX($AM$1005:$BM$1005,1,MATCH(COLUMNS($AM$1006:AO1006),$AM$1006:$BM$1006,0))&gt;=100000), " ",IF(INDEX($AM$2:$BM$1001,MATCH(ROWS($AF$2:AF546),$AF$2:$AF$1001,0),MATCH(COLUMNS($AM$1006:AO1006),$AM$1006:$BM$1006,0)), HYPERLINK("#",""), HYPERLINK(CONCATENATE("#metadata!", ADDRESS(INDEX($AH$2:$AH$1001,MATCH(ROWS($AF$2:AF546),$AF$2:$AF$1001,0),0), INDEX($AM$1004:$BM$1004,1,MATCH(COLUMNS($AM$1006:AO1006),$AM$1006:$BM$1006,0)))),"Fix")))</f>
        <v xml:space="preserve"> </v>
      </c>
      <c r="E546" s="4" t="str">
        <f ca="1">IF(OR(INDEX($AG$2:$AG$1001,MATCH(ROWS($AF$2:AF546),$AF$2:$AF$1001,0),1)&gt;=100000,INDEX($AM$1005:$BM$1005,1,MATCH(COLUMNS($AM$1006:AP1006),$AM$1006:$BM$1006,0))&gt;=100000), " ",IF(INDEX($AM$2:$BM$1001,MATCH(ROWS($AF$2:AF546),$AF$2:$AF$1001,0),MATCH(COLUMNS($AM$1006:AP1006),$AM$1006:$BM$1006,0)), HYPERLINK("#",""), HYPERLINK(CONCATENATE("#metadata!", ADDRESS(INDEX($AH$2:$AH$1001,MATCH(ROWS($AF$2:AF546),$AF$2:$AF$1001,0),0), INDEX($AM$1004:$BM$1004,1,MATCH(COLUMNS($AM$1006:AP1006),$AM$1006:$BM$1006,0)))),"Fix")))</f>
        <v xml:space="preserve"> </v>
      </c>
      <c r="F546" s="4" t="str">
        <f ca="1">IF(OR(INDEX($AG$2:$AG$1001,MATCH(ROWS($AF$2:AF546),$AF$2:$AF$1001,0),1)&gt;=100000,INDEX($AM$1005:$BM$1005,1,MATCH(COLUMNS($AM$1006:AQ1006),$AM$1006:$BM$1006,0))&gt;=100000), " ",IF(INDEX($AM$2:$BM$1001,MATCH(ROWS($AF$2:AF546),$AF$2:$AF$1001,0),MATCH(COLUMNS($AM$1006:AQ1006),$AM$1006:$BM$1006,0)), HYPERLINK("#",""), HYPERLINK(CONCATENATE("#metadata!", ADDRESS(INDEX($AH$2:$AH$1001,MATCH(ROWS($AF$2:AF546),$AF$2:$AF$1001,0),0), INDEX($AM$1004:$BM$1004,1,MATCH(COLUMNS($AM$1006:AQ1006),$AM$1006:$BM$1006,0)))),"Fix")))</f>
        <v xml:space="preserve"> </v>
      </c>
      <c r="G546" s="4" t="str">
        <f ca="1">IF(OR(INDEX($AG$2:$AG$1001,MATCH(ROWS($AF$2:AF546),$AF$2:$AF$1001,0),1)&gt;=100000,INDEX($AM$1005:$BM$1005,1,MATCH(COLUMNS($AM$1006:AR1006),$AM$1006:$BM$1006,0))&gt;=100000), " ",IF(INDEX($AM$2:$BM$1001,MATCH(ROWS($AF$2:AF546),$AF$2:$AF$1001,0),MATCH(COLUMNS($AM$1006:AR1006),$AM$1006:$BM$1006,0)), HYPERLINK("#",""), HYPERLINK(CONCATENATE("#metadata!", ADDRESS(INDEX($AH$2:$AH$1001,MATCH(ROWS($AF$2:AF546),$AF$2:$AF$1001,0),0), INDEX($AM$1004:$BM$1004,1,MATCH(COLUMNS($AM$1006:AR1006),$AM$1006:$BM$1006,0)))),"Fix")))</f>
        <v xml:space="preserve"> </v>
      </c>
      <c r="H546" s="4" t="str">
        <f ca="1">IF(OR(INDEX($AG$2:$AG$1001,MATCH(ROWS($AF$2:AF546),$AF$2:$AF$1001,0),1)&gt;=100000,INDEX($AM$1005:$BM$1005,1,MATCH(COLUMNS($AM$1006:AS1006),$AM$1006:$BM$1006,0))&gt;=100000), " ",IF(INDEX($AM$2:$BM$1001,MATCH(ROWS($AF$2:AF546),$AF$2:$AF$1001,0),MATCH(COLUMNS($AM$1006:AS1006),$AM$1006:$BM$1006,0)), HYPERLINK("#",""), HYPERLINK(CONCATENATE("#metadata!", ADDRESS(INDEX($AH$2:$AH$1001,MATCH(ROWS($AF$2:AF546),$AF$2:$AF$1001,0),0), INDEX($AM$1004:$BM$1004,1,MATCH(COLUMNS($AM$1006:AS1006),$AM$1006:$BM$1006,0)))),"Fix")))</f>
        <v xml:space="preserve"> </v>
      </c>
      <c r="I546" s="4" t="str">
        <f ca="1">IF(OR(INDEX($AG$2:$AG$1001,MATCH(ROWS($AF$2:AF546),$AF$2:$AF$1001,0),1)&gt;=100000,INDEX($AM$1005:$BM$1005,1,MATCH(COLUMNS($AM$1006:AT1006),$AM$1006:$BM$1006,0))&gt;=100000), " ",IF(INDEX($AM$2:$BM$1001,MATCH(ROWS($AF$2:AF546),$AF$2:$AF$1001,0),MATCH(COLUMNS($AM$1006:AT1006),$AM$1006:$BM$1006,0)), HYPERLINK("#",""), HYPERLINK(CONCATENATE("#metadata!", ADDRESS(INDEX($AH$2:$AH$1001,MATCH(ROWS($AF$2:AF546),$AF$2:$AF$1001,0),0), INDEX($AM$1004:$BM$1004,1,MATCH(COLUMNS($AM$1006:AT1006),$AM$1006:$BM$1006,0)))),"Fix")))</f>
        <v xml:space="preserve"> </v>
      </c>
      <c r="J546" s="4" t="str">
        <f ca="1">IF(OR(INDEX($AG$2:$AG$1001,MATCH(ROWS($AF$2:AF546),$AF$2:$AF$1001,0),1)&gt;=100000,INDEX($AM$1005:$BM$1005,1,MATCH(COLUMNS($AM$1006:AU1006),$AM$1006:$BM$1006,0))&gt;=100000), " ",IF(INDEX($AM$2:$BM$1001,MATCH(ROWS($AF$2:AF546),$AF$2:$AF$1001,0),MATCH(COLUMNS($AM$1006:AU1006),$AM$1006:$BM$1006,0)), HYPERLINK("#",""), HYPERLINK(CONCATENATE("#metadata!", ADDRESS(INDEX($AH$2:$AH$1001,MATCH(ROWS($AF$2:AF546),$AF$2:$AF$1001,0),0), INDEX($AM$1004:$BM$1004,1,MATCH(COLUMNS($AM$1006:AU1006),$AM$1006:$BM$1006,0)))),"Fix")))</f>
        <v xml:space="preserve"> </v>
      </c>
      <c r="K546" s="4" t="str">
        <f ca="1">IF(OR(INDEX($AG$2:$AG$1001,MATCH(ROWS($AF$2:AF546),$AF$2:$AF$1001,0),1)&gt;=100000,INDEX($AM$1005:$BM$1005,1,MATCH(COLUMNS($AM$1006:AV1006),$AM$1006:$BM$1006,0))&gt;=100000), " ",IF(INDEX($AM$2:$BM$1001,MATCH(ROWS($AF$2:AF546),$AF$2:$AF$1001,0),MATCH(COLUMNS($AM$1006:AV1006),$AM$1006:$BM$1006,0)), HYPERLINK("#",""), HYPERLINK(CONCATENATE("#metadata!", ADDRESS(INDEX($AH$2:$AH$1001,MATCH(ROWS($AF$2:AF546),$AF$2:$AF$1001,0),0), INDEX($AM$1004:$BM$1004,1,MATCH(COLUMNS($AM$1006:AV1006),$AM$1006:$BM$1006,0)))),"Fix")))</f>
        <v xml:space="preserve"> </v>
      </c>
      <c r="L546" s="4" t="str">
        <f ca="1">IF(OR(INDEX($AG$2:$AG$1001,MATCH(ROWS($AF$2:AF546),$AF$2:$AF$1001,0),1)&gt;=100000,INDEX($AM$1005:$BM$1005,1,MATCH(COLUMNS($AM$1006:AW1006),$AM$1006:$BM$1006,0))&gt;=100000), " ",IF(INDEX($AM$2:$BM$1001,MATCH(ROWS($AF$2:AF546),$AF$2:$AF$1001,0),MATCH(COLUMNS($AM$1006:AW1006),$AM$1006:$BM$1006,0)), HYPERLINK("#",""), HYPERLINK(CONCATENATE("#metadata!", ADDRESS(INDEX($AH$2:$AH$1001,MATCH(ROWS($AF$2:AF546),$AF$2:$AF$1001,0),0), INDEX($AM$1004:$BM$1004,1,MATCH(COLUMNS($AM$1006:AW1006),$AM$1006:$BM$1006,0)))),"Fix")))</f>
        <v xml:space="preserve"> </v>
      </c>
      <c r="M546" s="4" t="str">
        <f ca="1">IF(OR(INDEX($AG$2:$AG$1001,MATCH(ROWS($AF$2:AF546),$AF$2:$AF$1001,0),1)&gt;=100000,INDEX($AM$1005:$BM$1005,1,MATCH(COLUMNS($AM$1006:AX1006),$AM$1006:$BM$1006,0))&gt;=100000), " ",IF(INDEX($AM$2:$BM$1001,MATCH(ROWS($AF$2:AF546),$AF$2:$AF$1001,0),MATCH(COLUMNS($AM$1006:AX1006),$AM$1006:$BM$1006,0)), HYPERLINK("#",""), HYPERLINK(CONCATENATE("#metadata!", ADDRESS(INDEX($AH$2:$AH$1001,MATCH(ROWS($AF$2:AF546),$AF$2:$AF$1001,0),0), INDEX($AM$1004:$BM$1004,1,MATCH(COLUMNS($AM$1006:AX1006),$AM$1006:$BM$1006,0)))),"Fix")))</f>
        <v xml:space="preserve"> </v>
      </c>
      <c r="N546" s="4" t="str">
        <f ca="1">IF(OR(INDEX($AG$2:$AG$1001,MATCH(ROWS($AF$2:AF546),$AF$2:$AF$1001,0),1)&gt;=100000,INDEX($AM$1005:$BM$1005,1,MATCH(COLUMNS($AM$1006:AY1006),$AM$1006:$BM$1006,0))&gt;=100000), " ",IF(INDEX($AM$2:$BM$1001,MATCH(ROWS($AF$2:AF546),$AF$2:$AF$1001,0),MATCH(COLUMNS($AM$1006:AY1006),$AM$1006:$BM$1006,0)), HYPERLINK("#",""), HYPERLINK(CONCATENATE("#metadata!", ADDRESS(INDEX($AH$2:$AH$1001,MATCH(ROWS($AF$2:AF546),$AF$2:$AF$1001,0),0), INDEX($AM$1004:$BM$1004,1,MATCH(COLUMNS($AM$1006:AY1006),$AM$1006:$BM$1006,0)))),"Fix")))</f>
        <v xml:space="preserve"> </v>
      </c>
      <c r="O546" s="4" t="str">
        <f ca="1">IF(OR(INDEX($AG$2:$AG$1001,MATCH(ROWS($AF$2:AF546),$AF$2:$AF$1001,0),1)&gt;=100000,INDEX($AM$1005:$BM$1005,1,MATCH(COLUMNS($AM$1006:AZ1006),$AM$1006:$BM$1006,0))&gt;=100000), " ",IF(INDEX($AM$2:$BM$1001,MATCH(ROWS($AF$2:AF546),$AF$2:$AF$1001,0),MATCH(COLUMNS($AM$1006:AZ1006),$AM$1006:$BM$1006,0)), HYPERLINK("#",""), HYPERLINK(CONCATENATE("#metadata!", ADDRESS(INDEX($AH$2:$AH$1001,MATCH(ROWS($AF$2:AF546),$AF$2:$AF$1001,0),0), INDEX($AM$1004:$BM$1004,1,MATCH(COLUMNS($AM$1006:AZ1006),$AM$1006:$BM$1006,0)))),"Fix")))</f>
        <v xml:space="preserve"> </v>
      </c>
      <c r="P546" s="4" t="str">
        <f ca="1">IF(OR(INDEX($AG$2:$AG$1001,MATCH(ROWS($AF$2:AF546),$AF$2:$AF$1001,0),1)&gt;=100000,INDEX($AM$1005:$BM$1005,1,MATCH(COLUMNS($AM$1006:BA1006),$AM$1006:$BM$1006,0))&gt;=100000), " ",IF(INDEX($AM$2:$BM$1001,MATCH(ROWS($AF$2:AF546),$AF$2:$AF$1001,0),MATCH(COLUMNS($AM$1006:BA1006),$AM$1006:$BM$1006,0)), HYPERLINK("#",""), HYPERLINK(CONCATENATE("#metadata!", ADDRESS(INDEX($AH$2:$AH$1001,MATCH(ROWS($AF$2:AF546),$AF$2:$AF$1001,0),0), INDEX($AM$1004:$BM$1004,1,MATCH(COLUMNS($AM$1006:BA1006),$AM$1006:$BM$1006,0)))),"Fix")))</f>
        <v xml:space="preserve"> </v>
      </c>
      <c r="Q546" s="4" t="str">
        <f ca="1">IF(OR(INDEX($AG$2:$AG$1001,MATCH(ROWS($AF$2:AF546),$AF$2:$AF$1001,0),1)&gt;=100000,INDEX($AM$1005:$BM$1005,1,MATCH(COLUMNS($AM$1006:BB1006),$AM$1006:$BM$1006,0))&gt;=100000), " ",IF(INDEX($AM$2:$BM$1001,MATCH(ROWS($AF$2:AF546),$AF$2:$AF$1001,0),MATCH(COLUMNS($AM$1006:BB1006),$AM$1006:$BM$1006,0)), HYPERLINK("#",""), HYPERLINK(CONCATENATE("#metadata!", ADDRESS(INDEX($AH$2:$AH$1001,MATCH(ROWS($AF$2:AF546),$AF$2:$AF$1001,0),0), INDEX($AM$1004:$BM$1004,1,MATCH(COLUMNS($AM$1006:BB1006),$AM$1006:$BM$1006,0)))),"Fix")))</f>
        <v xml:space="preserve"> </v>
      </c>
      <c r="R546" s="4" t="str">
        <f ca="1">IF(OR(INDEX($AG$2:$AG$1001,MATCH(ROWS($AF$2:AF546),$AF$2:$AF$1001,0),1)&gt;=100000,INDEX($AM$1005:$BM$1005,1,MATCH(COLUMNS($AM$1006:BC1006),$AM$1006:$BM$1006,0))&gt;=100000), " ",IF(INDEX($AM$2:$BM$1001,MATCH(ROWS($AF$2:AF546),$AF$2:$AF$1001,0),MATCH(COLUMNS($AM$1006:BC1006),$AM$1006:$BM$1006,0)), HYPERLINK("#",""), HYPERLINK(CONCATENATE("#metadata!", ADDRESS(INDEX($AH$2:$AH$1001,MATCH(ROWS($AF$2:AF546),$AF$2:$AF$1001,0),0), INDEX($AM$1004:$BM$1004,1,MATCH(COLUMNS($AM$1006:BC1006),$AM$1006:$BM$1006,0)))),"Fix")))</f>
        <v xml:space="preserve"> </v>
      </c>
      <c r="S546" s="4" t="str">
        <f ca="1">IF(OR(INDEX($AG$2:$AG$1001,MATCH(ROWS($AF$2:AF546),$AF$2:$AF$1001,0),1)&gt;=100000,INDEX($AM$1005:$BM$1005,1,MATCH(COLUMNS($AM$1006:BD1006),$AM$1006:$BM$1006,0))&gt;=100000), " ",IF(INDEX($AM$2:$BM$1001,MATCH(ROWS($AF$2:AF546),$AF$2:$AF$1001,0),MATCH(COLUMNS($AM$1006:BD1006),$AM$1006:$BM$1006,0)), HYPERLINK("#",""), HYPERLINK(CONCATENATE("#metadata!", ADDRESS(INDEX($AH$2:$AH$1001,MATCH(ROWS($AF$2:AF546),$AF$2:$AF$1001,0),0), INDEX($AM$1004:$BM$1004,1,MATCH(COLUMNS($AM$1006:BD1006),$AM$1006:$BM$1006,0)))),"Fix")))</f>
        <v xml:space="preserve"> </v>
      </c>
      <c r="T546" s="4" t="str">
        <f ca="1">IF(OR(INDEX($AG$2:$AG$1001,MATCH(ROWS($AF$2:AF546),$AF$2:$AF$1001,0),1)&gt;=100000,INDEX($AM$1005:$BM$1005,1,MATCH(COLUMNS($AM$1006:BE1006),$AM$1006:$BM$1006,0))&gt;=100000), " ",IF(INDEX($AM$2:$BM$1001,MATCH(ROWS($AF$2:AF546),$AF$2:$AF$1001,0),MATCH(COLUMNS($AM$1006:BE1006),$AM$1006:$BM$1006,0)), HYPERLINK("#",""), HYPERLINK(CONCATENATE("#metadata!", ADDRESS(INDEX($AH$2:$AH$1001,MATCH(ROWS($AF$2:AF546),$AF$2:$AF$1001,0),0), INDEX($AM$1004:$BM$1004,1,MATCH(COLUMNS($AM$1006:BE1006),$AM$1006:$BM$1006,0)))),"Fix")))</f>
        <v xml:space="preserve"> </v>
      </c>
      <c r="U546" s="4" t="str">
        <f ca="1">IF(OR(INDEX($AG$2:$AG$1001,MATCH(ROWS($AF$2:AF546),$AF$2:$AF$1001,0),1)&gt;=100000,INDEX($AM$1005:$BM$1005,1,MATCH(COLUMNS($AM$1006:BF1006),$AM$1006:$BM$1006,0))&gt;=100000), " ",IF(INDEX($AM$2:$BM$1001,MATCH(ROWS($AF$2:AF546),$AF$2:$AF$1001,0),MATCH(COLUMNS($AM$1006:BF1006),$AM$1006:$BM$1006,0)), HYPERLINK("#",""), HYPERLINK(CONCATENATE("#metadata!", ADDRESS(INDEX($AH$2:$AH$1001,MATCH(ROWS($AF$2:AF546),$AF$2:$AF$1001,0),0), INDEX($AM$1004:$BM$1004,1,MATCH(COLUMNS($AM$1006:BF1006),$AM$1006:$BM$1006,0)))),"Fix")))</f>
        <v xml:space="preserve"> </v>
      </c>
      <c r="V546" s="4" t="str">
        <f ca="1">IF(OR(INDEX($AG$2:$AG$1001,MATCH(ROWS($AF$2:AF546),$AF$2:$AF$1001,0),1)&gt;=100000,INDEX($AM$1005:$BM$1005,1,MATCH(COLUMNS($AM$1006:BG1006),$AM$1006:$BM$1006,0))&gt;=100000), " ",IF(INDEX($AM$2:$BM$1001,MATCH(ROWS($AF$2:AF546),$AF$2:$AF$1001,0),MATCH(COLUMNS($AM$1006:BG1006),$AM$1006:$BM$1006,0)), HYPERLINK("#",""), HYPERLINK(CONCATENATE("#metadata!", ADDRESS(INDEX($AH$2:$AH$1001,MATCH(ROWS($AF$2:AF546),$AF$2:$AF$1001,0),0), INDEX($AM$1004:$BM$1004,1,MATCH(COLUMNS($AM$1006:BG1006),$AM$1006:$BM$1006,0)))),"Fix")))</f>
        <v xml:space="preserve"> </v>
      </c>
      <c r="W546" s="4" t="str">
        <f ca="1">IF(OR(INDEX($AG$2:$AG$1001,MATCH(ROWS($AF$2:AF546),$AF$2:$AF$1001,0),1)&gt;=100000,INDEX($AM$1005:$BM$1005,1,MATCH(COLUMNS($AM$1006:BH1006),$AM$1006:$BM$1006,0))&gt;=100000), " ",IF(INDEX($AM$2:$BM$1001,MATCH(ROWS($AF$2:AF546),$AF$2:$AF$1001,0),MATCH(COLUMNS($AM$1006:BH1006),$AM$1006:$BM$1006,0)), HYPERLINK("#",""), HYPERLINK(CONCATENATE("#metadata!", ADDRESS(INDEX($AH$2:$AH$1001,MATCH(ROWS($AF$2:AF546),$AF$2:$AF$1001,0),0), INDEX($AM$1004:$BM$1004,1,MATCH(COLUMNS($AM$1006:BH1006),$AM$1006:$BM$1006,0)))),"Fix")))</f>
        <v xml:space="preserve"> </v>
      </c>
      <c r="X546" s="4" t="str">
        <f ca="1">IF(OR(INDEX($AG$2:$AG$1001,MATCH(ROWS($AF$2:AF546),$AF$2:$AF$1001,0),1)&gt;=100000,INDEX($AM$1005:$BM$1005,1,MATCH(COLUMNS($AM$1006:BI1006),$AM$1006:$BM$1006,0))&gt;=100000), " ",IF(INDEX($AM$2:$BM$1001,MATCH(ROWS($AF$2:AF546),$AF$2:$AF$1001,0),MATCH(COLUMNS($AM$1006:BI1006),$AM$1006:$BM$1006,0)), HYPERLINK("#",""), HYPERLINK(CONCATENATE("#metadata!", ADDRESS(INDEX($AH$2:$AH$1001,MATCH(ROWS($AF$2:AF546),$AF$2:$AF$1001,0),0), INDEX($AM$1004:$BM$1004,1,MATCH(COLUMNS($AM$1006:BI1006),$AM$1006:$BM$1006,0)))),"Fix")))</f>
        <v xml:space="preserve"> </v>
      </c>
      <c r="Y546" s="4" t="str">
        <f ca="1">IF(OR(INDEX($AG$2:$AG$1001,MATCH(ROWS($AF$2:AF546),$AF$2:$AF$1001,0),1)&gt;=100000,INDEX($AM$1005:$BM$1005,1,MATCH(COLUMNS($AM$1006:BJ1006),$AM$1006:$BM$1006,0))&gt;=100000), " ",IF(INDEX($AM$2:$BM$1001,MATCH(ROWS($AF$2:AF546),$AF$2:$AF$1001,0),MATCH(COLUMNS($AM$1006:BJ1006),$AM$1006:$BM$1006,0)), HYPERLINK("#",""), HYPERLINK(CONCATENATE("#metadata!", ADDRESS(INDEX($AH$2:$AH$1001,MATCH(ROWS($AF$2:AF546),$AF$2:$AF$1001,0),0), INDEX($AM$1004:$BM$1004,1,MATCH(COLUMNS($AM$1006:BJ1006),$AM$1006:$BM$1006,0)))),"Fix")))</f>
        <v xml:space="preserve"> </v>
      </c>
      <c r="Z546" s="4" t="str">
        <f ca="1">IF(OR(INDEX($AG$2:$AG$1001,MATCH(ROWS($AF$2:AF546),$AF$2:$AF$1001,0),1)&gt;=100000,INDEX($AM$1005:$BM$1005,1,MATCH(COLUMNS($AM$1006:BK1006),$AM$1006:$BM$1006,0))&gt;=100000), " ",IF(INDEX($AM$2:$BM$1001,MATCH(ROWS($AF$2:AF546),$AF$2:$AF$1001,0),MATCH(COLUMNS($AM$1006:BK1006),$AM$1006:$BM$1006,0)), HYPERLINK("#",""), HYPERLINK(CONCATENATE("#metadata!", ADDRESS(INDEX($AH$2:$AH$1001,MATCH(ROWS($AF$2:AF546),$AF$2:$AF$1001,0),0), INDEX($AM$1004:$BM$1004,1,MATCH(COLUMNS($AM$1006:BK1006),$AM$1006:$BM$1006,0)))),"Fix")))</f>
        <v xml:space="preserve"> </v>
      </c>
      <c r="AA546" s="4" t="str">
        <f ca="1">IF(OR(INDEX($AG$2:$AG$1001,MATCH(ROWS($AF$2:AF546),$AF$2:$AF$1001,0),1)&gt;=100000,INDEX($AM$1005:$BM$1005,1,MATCH(COLUMNS($AM$1006:BL1006),$AM$1006:$BM$1006,0))&gt;=100000), " ",IF(INDEX($AM$2:$BM$1001,MATCH(ROWS($AF$2:AF546),$AF$2:$AF$1001,0),MATCH(COLUMNS($AM$1006:BL1006),$AM$1006:$BM$1006,0)), HYPERLINK("#",""), HYPERLINK(CONCATENATE("#metadata!", ADDRESS(INDEX($AH$2:$AH$1001,MATCH(ROWS($AF$2:AF546),$AF$2:$AF$1001,0),0), INDEX($AM$1004:$BM$1004,1,MATCH(COLUMNS($AM$1006:BL1006),$AM$1006:$BM$1006,0)))),"Fix")))</f>
        <v xml:space="preserve"> </v>
      </c>
      <c r="AB546" s="4" t="str">
        <f ca="1">IF(OR(INDEX($AG$2:$AG$1001,MATCH(ROWS($AF$2:AF546),$AF$2:$AF$1001,0),1)&gt;=100000,INDEX($AM$1005:$BM$1005,1,MATCH(COLUMNS($AM$1006:BM1006),$AM$1006:$BM$1006,0))&gt;=100000), " ",IF(INDEX($AM$2:$BM$1001,MATCH(ROWS($AF$2:AF546),$AF$2:$AF$1001,0),MATCH(COLUMNS($AM$1006:BM1006),$AM$1006:$BM$1006,0)), HYPERLINK("#",""), HYPERLINK(CONCATENATE("#metadata!", ADDRESS(INDEX($AH$2:$AH$1001,MATCH(ROWS($AF$2:AF546),$AF$2:$AF$1001,0),0), INDEX($AM$1004:$BM$1004,1,MATCH(COLUMNS($AM$1006:BM1006),$AM$1006:$BM$1006,0)))),"Fix")))</f>
        <v xml:space="preserve"> </v>
      </c>
      <c r="AF546">
        <v>545</v>
      </c>
      <c r="AG546">
        <v>100546</v>
      </c>
      <c r="AH546">
        <v>546</v>
      </c>
      <c r="AI546" t="b">
        <f t="shared" si="8"/>
        <v>1</v>
      </c>
      <c r="AJ546" t="b">
        <f>COUNTBLANK(metadata!B546:AB546)=COLUMNS(metadata!B546:AB546)</f>
        <v>1</v>
      </c>
      <c r="AK546" t="str">
        <v/>
      </c>
      <c r="AM546" t="b">
        <f ca="1">AND(IF(metadata!B546="",FALSE,TRUE),COUNTIF(metadata!B:B, metadata!B546) = 1,NOT(ISERROR(SUMPRODUCT(SEARCH(MID(metadata!B546,ROW(INDIRECT("1:"&amp;LEN(metadata!B546))), 1),"0123456789abcdefghijklmnopqrstuvwxyzABCDEFGHIJKLMNOPQRSTUVWXYZ.")))))</f>
        <v>0</v>
      </c>
      <c r="AN546" t="b">
        <f ca="1">OR(AND(IF(metadata!C546="",FALSE,TRUE),OR(EXACT(metadata!C546,"missing: not collected"),EXACT(metadata!C546,"missing: not provided"),EXACT(metadata!C546,"missing: restricted access"))),AND(IF(metadata!C546="",FALSE,TRUE),AND(AND(IFERROR(INT(LEFT(metadata!C546,4))&gt;1900,FALSE),IFERROR(INT(LEFT(metadata!C546,4))&lt;=YEAR(NOW()),FALSE)), OR(MID(metadata!C546,5,1)="", AND(AND(MID(metadata!C546,5,1)="-",IFERROR(INT(MID(metadata!C546,6,1))&gt;=0,FALSE),IFERROR(INT(MID(metadata!C546,6,1))&lt;=1,FALSE),NOT(MID(metadata!C546,7,1)=""),IFERROR(INT(MID(metadata!C546,6,2))&gt;=1,FALSE),IFERROR(INT(MID(metadata!C546,6,2))&lt;=12,FALSE)), OR(MID(metadata!C546,8,1)="", AND(AND(MID(metadata!C546,8,1)="-",IFERROR(INT(MID(metadata!C546,9,1))&gt;=0,FALSE),IFERROR(INT(MID(metadata!C546,9,1))&lt;=3,FALSE),NOT(MID(metadata!C546,10,1)=""),IFERROR(INT(MID(metadata!C546,9,2))&gt;=1,FALSE),IFERROR(INT(MID(metadata!C546,9,2))&lt;=31,FALSE)), OR(MID(metadata!C546,11,1)="", AND(AND(MID(metadata!C546,11,1)=" ",IFERROR(INT(MID(metadata!C546,12,1))&gt;=0,FALSE),IFERROR(INT(MID(metadata!C546,12,1))&lt;=2,FALSE),NOT(MID(metadata!C546,13,1)=""),IFERROR(INT(MID(metadata!C546,12,2))&gt;=0,FALSE),IFERROR(INT(MID(metadata!C546,12,2))&lt;=23,FALSE)), OR(MID(metadata!C546,14,1)="", AND(AND(MID(metadata!C546,14,1)=":",IFERROR(INT(MID(metadata!C546,15,1))&gt;=0,FALSE),IFERROR(INT(MID(metadata!C546,15,1))&lt;=5,FALSE),NOT(MID(metadata!C546,16,1)=""),IFERROR(INT(MID(metadata!C546,15,2))&gt;=0,FALSE),IFERROR(INT(MID(metadata!C546,15,2))&lt;=59,FALSE)), OR(MID(metadata!C546,17,1)="", AND(AND(MID(metadata!C546,17,1)=":",IFERROR(INT(MID(metadata!C546,18,1))&gt;=0,FALSE),IFERROR(INT(MID(metadata!C546,18,1))&lt;=5,FALSE),NOT(MID(metadata!C546,19,1)=""),IFERROR(INT(MID(metadata!C546,18,2))&gt;=0,FALSE),IFERROR(INT(MID(metadata!C546,18,2))&lt;=59,FALSE)), LEN(metadata!C546)&lt;=19)))))))))))))</f>
        <v>0</v>
      </c>
      <c r="AO546" t="b">
        <f>AND(IF(metadata!D546="",FALSE,TRUE),EXACT(metadata!D546,"Not applicable"))</f>
        <v>0</v>
      </c>
      <c r="AP546" t="b">
        <f>IF(metadata!E546="",FALSE,TRUE)</f>
        <v>0</v>
      </c>
      <c r="AQ546" t="b">
        <f>OR(AND(IF(metadata!F546="",FALSE,TRUE),OR(EXACT(metadata!F546,"missing: not collected"),EXACT(metadata!F546,"missing: not provided"))),AND(IF(metadata!F546="",FALSE,TRUE),OR(EXACT(metadata!F546,"TRUE"),EXACT(metadata!F546,"FALSE"))))</f>
        <v>0</v>
      </c>
      <c r="AR546" t="b">
        <f>OR(AND(IF(metadata!G546="",FALSE,TRUE),OR(EXACT(metadata!G546,"missing: not collected"),EXACT(metadata!G546,"missing: not provided"),EXACT(metadata!G546,"missing: restricted access"))),AND(IF(metadata!G546="",FALSE,ISNUMBER(VALUE(metadata!G546))),metadata!G546&gt;=-413))</f>
        <v>0</v>
      </c>
      <c r="AS546" t="b">
        <f>AND(IF(metadata!H546="",FALSE,TRUE),EXACT(metadata!H546,"meters"))</f>
        <v>0</v>
      </c>
      <c r="AT546" t="b">
        <f>AND(IF(metadata!I546="",FALSE,TRUE),OR(EXACT(metadata!I546,"Host-associated"),EXACT(metadata!I546,"Free-living")))</f>
        <v>0</v>
      </c>
      <c r="AU546" t="b">
        <f>AND(IF(metadata!J546="",FALSE,TRUE),OR(EXACT(metadata!J546,"Animal"),EXACT(metadata!J546,"Fungus"),EXACT(metadata!J546,"Plant"),EXACT(metadata!J546,"Saline"),EXACT(metadata!J546,"Non-saline")))</f>
        <v>0</v>
      </c>
      <c r="AV546" t="b">
        <f>AND(IF(metadata!K546="",FALSE,TRUE),OR(EXACT(metadata!K546,"Plant secretion"),EXACT(metadata!K546,"Plant rhizosphere"),EXACT(metadata!K546,"Plant surface"),EXACT(metadata!K546,"Plant corpus"),EXACT(metadata!K546,"Fungus surface"),EXACT(metadata!K546,"Fungus corpus"),EXACT(metadata!K546,"Animal surface"),EXACT(metadata!K546,"Animal proximal gut"),EXACT(metadata!K546,"Animal corpus"),EXACT(metadata!K546,"Animal distal gut"),EXACT(metadata!K546,"Animal secretion"),EXACT(metadata!K546,"Sub-surface (non-saline)"),EXACT(metadata!K546,"Surface (non-saline)"),EXACT(metadata!K546,"Water (non-saline)"),EXACT(metadata!K546,"Soil (non-saline)"),EXACT(metadata!K546,"Aerosol (non-saline)"),EXACT(metadata!K546,"Sediment (non-saline)"),EXACT(metadata!K546,"Surface (saline)"),EXACT(metadata!K546,"Water (saline)"),EXACT(metadata!K546,"Hypersaline (saline)"),EXACT(metadata!K546,"Aerosol (saline)"),EXACT(metadata!K546,"Sediment (saline)")))</f>
        <v>0</v>
      </c>
      <c r="AW546" t="b">
        <f>IF(metadata!L546="",FALSE,TRUE)</f>
        <v>0</v>
      </c>
      <c r="AX546" t="b">
        <f>IF(metadata!M546="",FALSE,TRUE)</f>
        <v>0</v>
      </c>
      <c r="AY546" t="b">
        <f>IF(metadata!N546="",FALSE,TRUE)</f>
        <v>0</v>
      </c>
      <c r="AZ546" t="b">
        <f>OR(AND(IF(metadata!O546="",FALSE,TRUE),OR(EXACT(metadata!O546,"missing: not collected"),EXACT(metadata!O546,"missing: not provided"),EXACT(metadata!O546,"missing: restricted access"))),AND(IF(metadata!O546="",FALSE,TRUE),OR(EXACT(metadata!O546,"air"),EXACT(metadata!O546,"built environment"),EXACT(metadata!O546,"host-associated"),EXACT(metadata!O546,"human-associated"),EXACT(metadata!O546,"human-skin"),EXACT(metadata!O546,"human-oral"),EXACT(metadata!O546,"human-gut"),EXACT(metadata!O546,"human-vaginal"),EXACT(metadata!O546,"microbial mat/biofilm"),EXACT(metadata!O546,"misc environment"),EXACT(metadata!O546,"plant-associated"),EXACT(metadata!O546,"sediment"),EXACT(metadata!O546,"soil"),EXACT(metadata!O546,"wastewater/sludge"),EXACT(metadata!O546,"water"))))</f>
        <v>0</v>
      </c>
      <c r="BA546" t="b">
        <f>IF(metadata!P546="",FALSE,TRUE)</f>
        <v>0</v>
      </c>
      <c r="BB546" t="b">
        <f>IF(metadata!Q546="",FALSE,TRUE)</f>
        <v>0</v>
      </c>
      <c r="BC546" t="b">
        <f>OR(AND(IF(metadata!R546="",FALSE,TRUE),OR(EXACT(metadata!R546,"missing: not collected"),EXACT(metadata!R546,"missing: not provided"),EXACT(metadata!R546,"missing: restricted access"))),AND(IF(metadata!R546="",FALSE,ISNUMBER(VALUE(metadata!R546))),metadata!R546&gt;=-90,metadata!R546&lt;=90))</f>
        <v>0</v>
      </c>
      <c r="BD546" t="b">
        <f>AND(IF(metadata!S546="",FALSE,TRUE),EXACT(metadata!S546,"Decimal degrees"))</f>
        <v>0</v>
      </c>
      <c r="BE546" t="b">
        <f>OR(AND(IF(metadata!T546="",FALSE,TRUE),OR(EXACT(metadata!T546,"missing: not collected"),EXACT(metadata!T546,"missing: not provided"),EXACT(metadata!T546,"missing: restricted access"))),AND(IF(metadata!T546="",FALSE,ISNUMBER(VALUE(metadata!T546))),metadata!T546&gt;=-180,metadata!T546&lt;=180))</f>
        <v>0</v>
      </c>
      <c r="BF546" t="b">
        <f>AND(IF(metadata!U546="",FALSE,TRUE),EXACT(metadata!U546,"Decimal degrees"))</f>
        <v>0</v>
      </c>
      <c r="BG546" t="b">
        <f>IF(metadata!V546="",FALSE,TRUE)</f>
        <v>0</v>
      </c>
      <c r="BH546" t="b">
        <f>OR(AND(IF(metadata!W546="",FALSE,TRUE),OR(EXACT(metadata!W546,"missing: not collected"),EXACT(metadata!W546,"missing: not provided"),EXACT(metadata!W546,"missing: restricted access"))),AND(IF(metadata!W546="",FALSE,TRUE),OR(EXACT(metadata!W546,"TRUE"),EXACT(metadata!W546,"FALSE"))))</f>
        <v>0</v>
      </c>
      <c r="BI546" t="b">
        <f>AND(IF(metadata!X546="",FALSE,TRUE),EXACT(metadata!X546,"other"))</f>
        <v>0</v>
      </c>
      <c r="BJ546" t="b">
        <f>IF(metadata!Y546="",FALSE,TRUE)</f>
        <v>0</v>
      </c>
      <c r="BK546" t="b">
        <f>OR(AND(IF(metadata!Z546="",FALSE,TRUE),OR(EXACT(metadata!Z546,"missing: not collected"),EXACT(metadata!Z546,"missing: not provided"))),AND(IF(metadata!Z546="",FALSE,IF(ISERROR(INT(metadata!Z546)),FALSE,INT(metadata!Z546)=metadata!Z546)),metadata!Z546&gt;0))</f>
        <v>0</v>
      </c>
      <c r="BL546" t="b">
        <f>AND(IF(metadata!AA546="",FALSE,TRUE),EXACT(metadata!AA546,"Not applicable"))</f>
        <v>0</v>
      </c>
      <c r="BM546" t="b">
        <f>IF(metadata!AB546="",FALSE,TRUE)</f>
        <v>0</v>
      </c>
    </row>
    <row r="547" spans="1:65" x14ac:dyDescent="0.2">
      <c r="A547" s="5" t="str">
        <f ca="1">IF(B547=" "," ",HYPERLINK(CONCATENATE("#metadata!",ADDRESS(INDEX($AH$2:$AH$1001,MATCH(ROWS($AF$2:AF547),$AF$2:$AF$1001,0),0),1)),INDEX($AK$2:$AK$1001,MATCH(ROWS($AF$2:AF547),$AF$2:$AF$1001,0),0)))</f>
        <v xml:space="preserve"> </v>
      </c>
      <c r="B547" s="4" t="str">
        <f ca="1">IF(OR(INDEX($AG$2:$AG$1001,MATCH(ROWS($AF$2:AF547),$AF$2:$AF$1001,0),1)&gt;=100000,INDEX($AM$1005:$BM$1005,1,MATCH(COLUMNS($AM$1006:AM1006),$AM$1006:$BM$1006,0))&gt;=100000), " ",IF(INDEX($AM$2:$BM$1001,MATCH(ROWS($AF$2:AF547),$AF$2:$AF$1001,0),MATCH(COLUMNS($AM$1006:AM1006),$AM$1006:$BM$1006,0)), HYPERLINK("#",""), HYPERLINK(CONCATENATE("#metadata!", ADDRESS(INDEX($AH$2:$AH$1001,MATCH(ROWS($AF$2:AF547),$AF$2:$AF$1001,0),0), INDEX($AM$1004:$BM$1004,1,MATCH(COLUMNS($AM$1006:AM1006),$AM$1006:$BM$1006,0)))),"Fix")))</f>
        <v xml:space="preserve"> </v>
      </c>
      <c r="C547" s="4" t="str">
        <f ca="1">IF(OR(INDEX($AG$2:$AG$1001,MATCH(ROWS($AF$2:AF547),$AF$2:$AF$1001,0),1)&gt;=100000,INDEX($AM$1005:$BM$1005,1,MATCH(COLUMNS($AM$1006:AN1006),$AM$1006:$BM$1006,0))&gt;=100000), " ",IF(INDEX($AM$2:$BM$1001,MATCH(ROWS($AF$2:AF547),$AF$2:$AF$1001,0),MATCH(COLUMNS($AM$1006:AN1006),$AM$1006:$BM$1006,0)), HYPERLINK("#",""), HYPERLINK(CONCATENATE("#metadata!", ADDRESS(INDEX($AH$2:$AH$1001,MATCH(ROWS($AF$2:AF547),$AF$2:$AF$1001,0),0), INDEX($AM$1004:$BM$1004,1,MATCH(COLUMNS($AM$1006:AN1006),$AM$1006:$BM$1006,0)))),"Fix")))</f>
        <v xml:space="preserve"> </v>
      </c>
      <c r="D547" s="4" t="str">
        <f ca="1">IF(OR(INDEX($AG$2:$AG$1001,MATCH(ROWS($AF$2:AF547),$AF$2:$AF$1001,0),1)&gt;=100000,INDEX($AM$1005:$BM$1005,1,MATCH(COLUMNS($AM$1006:AO1006),$AM$1006:$BM$1006,0))&gt;=100000), " ",IF(INDEX($AM$2:$BM$1001,MATCH(ROWS($AF$2:AF547),$AF$2:$AF$1001,0),MATCH(COLUMNS($AM$1006:AO1006),$AM$1006:$BM$1006,0)), HYPERLINK("#",""), HYPERLINK(CONCATENATE("#metadata!", ADDRESS(INDEX($AH$2:$AH$1001,MATCH(ROWS($AF$2:AF547),$AF$2:$AF$1001,0),0), INDEX($AM$1004:$BM$1004,1,MATCH(COLUMNS($AM$1006:AO1006),$AM$1006:$BM$1006,0)))),"Fix")))</f>
        <v xml:space="preserve"> </v>
      </c>
      <c r="E547" s="4" t="str">
        <f ca="1">IF(OR(INDEX($AG$2:$AG$1001,MATCH(ROWS($AF$2:AF547),$AF$2:$AF$1001,0),1)&gt;=100000,INDEX($AM$1005:$BM$1005,1,MATCH(COLUMNS($AM$1006:AP1006),$AM$1006:$BM$1006,0))&gt;=100000), " ",IF(INDEX($AM$2:$BM$1001,MATCH(ROWS($AF$2:AF547),$AF$2:$AF$1001,0),MATCH(COLUMNS($AM$1006:AP1006),$AM$1006:$BM$1006,0)), HYPERLINK("#",""), HYPERLINK(CONCATENATE("#metadata!", ADDRESS(INDEX($AH$2:$AH$1001,MATCH(ROWS($AF$2:AF547),$AF$2:$AF$1001,0),0), INDEX($AM$1004:$BM$1004,1,MATCH(COLUMNS($AM$1006:AP1006),$AM$1006:$BM$1006,0)))),"Fix")))</f>
        <v xml:space="preserve"> </v>
      </c>
      <c r="F547" s="4" t="str">
        <f ca="1">IF(OR(INDEX($AG$2:$AG$1001,MATCH(ROWS($AF$2:AF547),$AF$2:$AF$1001,0),1)&gt;=100000,INDEX($AM$1005:$BM$1005,1,MATCH(COLUMNS($AM$1006:AQ1006),$AM$1006:$BM$1006,0))&gt;=100000), " ",IF(INDEX($AM$2:$BM$1001,MATCH(ROWS($AF$2:AF547),$AF$2:$AF$1001,0),MATCH(COLUMNS($AM$1006:AQ1006),$AM$1006:$BM$1006,0)), HYPERLINK("#",""), HYPERLINK(CONCATENATE("#metadata!", ADDRESS(INDEX($AH$2:$AH$1001,MATCH(ROWS($AF$2:AF547),$AF$2:$AF$1001,0),0), INDEX($AM$1004:$BM$1004,1,MATCH(COLUMNS($AM$1006:AQ1006),$AM$1006:$BM$1006,0)))),"Fix")))</f>
        <v xml:space="preserve"> </v>
      </c>
      <c r="G547" s="4" t="str">
        <f ca="1">IF(OR(INDEX($AG$2:$AG$1001,MATCH(ROWS($AF$2:AF547),$AF$2:$AF$1001,0),1)&gt;=100000,INDEX($AM$1005:$BM$1005,1,MATCH(COLUMNS($AM$1006:AR1006),$AM$1006:$BM$1006,0))&gt;=100000), " ",IF(INDEX($AM$2:$BM$1001,MATCH(ROWS($AF$2:AF547),$AF$2:$AF$1001,0),MATCH(COLUMNS($AM$1006:AR1006),$AM$1006:$BM$1006,0)), HYPERLINK("#",""), HYPERLINK(CONCATENATE("#metadata!", ADDRESS(INDEX($AH$2:$AH$1001,MATCH(ROWS($AF$2:AF547),$AF$2:$AF$1001,0),0), INDEX($AM$1004:$BM$1004,1,MATCH(COLUMNS($AM$1006:AR1006),$AM$1006:$BM$1006,0)))),"Fix")))</f>
        <v xml:space="preserve"> </v>
      </c>
      <c r="H547" s="4" t="str">
        <f ca="1">IF(OR(INDEX($AG$2:$AG$1001,MATCH(ROWS($AF$2:AF547),$AF$2:$AF$1001,0),1)&gt;=100000,INDEX($AM$1005:$BM$1005,1,MATCH(COLUMNS($AM$1006:AS1006),$AM$1006:$BM$1006,0))&gt;=100000), " ",IF(INDEX($AM$2:$BM$1001,MATCH(ROWS($AF$2:AF547),$AF$2:$AF$1001,0),MATCH(COLUMNS($AM$1006:AS1006),$AM$1006:$BM$1006,0)), HYPERLINK("#",""), HYPERLINK(CONCATENATE("#metadata!", ADDRESS(INDEX($AH$2:$AH$1001,MATCH(ROWS($AF$2:AF547),$AF$2:$AF$1001,0),0), INDEX($AM$1004:$BM$1004,1,MATCH(COLUMNS($AM$1006:AS1006),$AM$1006:$BM$1006,0)))),"Fix")))</f>
        <v xml:space="preserve"> </v>
      </c>
      <c r="I547" s="4" t="str">
        <f ca="1">IF(OR(INDEX($AG$2:$AG$1001,MATCH(ROWS($AF$2:AF547),$AF$2:$AF$1001,0),1)&gt;=100000,INDEX($AM$1005:$BM$1005,1,MATCH(COLUMNS($AM$1006:AT1006),$AM$1006:$BM$1006,0))&gt;=100000), " ",IF(INDEX($AM$2:$BM$1001,MATCH(ROWS($AF$2:AF547),$AF$2:$AF$1001,0),MATCH(COLUMNS($AM$1006:AT1006),$AM$1006:$BM$1006,0)), HYPERLINK("#",""), HYPERLINK(CONCATENATE("#metadata!", ADDRESS(INDEX($AH$2:$AH$1001,MATCH(ROWS($AF$2:AF547),$AF$2:$AF$1001,0),0), INDEX($AM$1004:$BM$1004,1,MATCH(COLUMNS($AM$1006:AT1006),$AM$1006:$BM$1006,0)))),"Fix")))</f>
        <v xml:space="preserve"> </v>
      </c>
      <c r="J547" s="4" t="str">
        <f ca="1">IF(OR(INDEX($AG$2:$AG$1001,MATCH(ROWS($AF$2:AF547),$AF$2:$AF$1001,0),1)&gt;=100000,INDEX($AM$1005:$BM$1005,1,MATCH(COLUMNS($AM$1006:AU1006),$AM$1006:$BM$1006,0))&gt;=100000), " ",IF(INDEX($AM$2:$BM$1001,MATCH(ROWS($AF$2:AF547),$AF$2:$AF$1001,0),MATCH(COLUMNS($AM$1006:AU1006),$AM$1006:$BM$1006,0)), HYPERLINK("#",""), HYPERLINK(CONCATENATE("#metadata!", ADDRESS(INDEX($AH$2:$AH$1001,MATCH(ROWS($AF$2:AF547),$AF$2:$AF$1001,0),0), INDEX($AM$1004:$BM$1004,1,MATCH(COLUMNS($AM$1006:AU1006),$AM$1006:$BM$1006,0)))),"Fix")))</f>
        <v xml:space="preserve"> </v>
      </c>
      <c r="K547" s="4" t="str">
        <f ca="1">IF(OR(INDEX($AG$2:$AG$1001,MATCH(ROWS($AF$2:AF547),$AF$2:$AF$1001,0),1)&gt;=100000,INDEX($AM$1005:$BM$1005,1,MATCH(COLUMNS($AM$1006:AV1006),$AM$1006:$BM$1006,0))&gt;=100000), " ",IF(INDEX($AM$2:$BM$1001,MATCH(ROWS($AF$2:AF547),$AF$2:$AF$1001,0),MATCH(COLUMNS($AM$1006:AV1006),$AM$1006:$BM$1006,0)), HYPERLINK("#",""), HYPERLINK(CONCATENATE("#metadata!", ADDRESS(INDEX($AH$2:$AH$1001,MATCH(ROWS($AF$2:AF547),$AF$2:$AF$1001,0),0), INDEX($AM$1004:$BM$1004,1,MATCH(COLUMNS($AM$1006:AV1006),$AM$1006:$BM$1006,0)))),"Fix")))</f>
        <v xml:space="preserve"> </v>
      </c>
      <c r="L547" s="4" t="str">
        <f ca="1">IF(OR(INDEX($AG$2:$AG$1001,MATCH(ROWS($AF$2:AF547),$AF$2:$AF$1001,0),1)&gt;=100000,INDEX($AM$1005:$BM$1005,1,MATCH(COLUMNS($AM$1006:AW1006),$AM$1006:$BM$1006,0))&gt;=100000), " ",IF(INDEX($AM$2:$BM$1001,MATCH(ROWS($AF$2:AF547),$AF$2:$AF$1001,0),MATCH(COLUMNS($AM$1006:AW1006),$AM$1006:$BM$1006,0)), HYPERLINK("#",""), HYPERLINK(CONCATENATE("#metadata!", ADDRESS(INDEX($AH$2:$AH$1001,MATCH(ROWS($AF$2:AF547),$AF$2:$AF$1001,0),0), INDEX($AM$1004:$BM$1004,1,MATCH(COLUMNS($AM$1006:AW1006),$AM$1006:$BM$1006,0)))),"Fix")))</f>
        <v xml:space="preserve"> </v>
      </c>
      <c r="M547" s="4" t="str">
        <f ca="1">IF(OR(INDEX($AG$2:$AG$1001,MATCH(ROWS($AF$2:AF547),$AF$2:$AF$1001,0),1)&gt;=100000,INDEX($AM$1005:$BM$1005,1,MATCH(COLUMNS($AM$1006:AX1006),$AM$1006:$BM$1006,0))&gt;=100000), " ",IF(INDEX($AM$2:$BM$1001,MATCH(ROWS($AF$2:AF547),$AF$2:$AF$1001,0),MATCH(COLUMNS($AM$1006:AX1006),$AM$1006:$BM$1006,0)), HYPERLINK("#",""), HYPERLINK(CONCATENATE("#metadata!", ADDRESS(INDEX($AH$2:$AH$1001,MATCH(ROWS($AF$2:AF547),$AF$2:$AF$1001,0),0), INDEX($AM$1004:$BM$1004,1,MATCH(COLUMNS($AM$1006:AX1006),$AM$1006:$BM$1006,0)))),"Fix")))</f>
        <v xml:space="preserve"> </v>
      </c>
      <c r="N547" s="4" t="str">
        <f ca="1">IF(OR(INDEX($AG$2:$AG$1001,MATCH(ROWS($AF$2:AF547),$AF$2:$AF$1001,0),1)&gt;=100000,INDEX($AM$1005:$BM$1005,1,MATCH(COLUMNS($AM$1006:AY1006),$AM$1006:$BM$1006,0))&gt;=100000), " ",IF(INDEX($AM$2:$BM$1001,MATCH(ROWS($AF$2:AF547),$AF$2:$AF$1001,0),MATCH(COLUMNS($AM$1006:AY1006),$AM$1006:$BM$1006,0)), HYPERLINK("#",""), HYPERLINK(CONCATENATE("#metadata!", ADDRESS(INDEX($AH$2:$AH$1001,MATCH(ROWS($AF$2:AF547),$AF$2:$AF$1001,0),0), INDEX($AM$1004:$BM$1004,1,MATCH(COLUMNS($AM$1006:AY1006),$AM$1006:$BM$1006,0)))),"Fix")))</f>
        <v xml:space="preserve"> </v>
      </c>
      <c r="O547" s="4" t="str">
        <f ca="1">IF(OR(INDEX($AG$2:$AG$1001,MATCH(ROWS($AF$2:AF547),$AF$2:$AF$1001,0),1)&gt;=100000,INDEX($AM$1005:$BM$1005,1,MATCH(COLUMNS($AM$1006:AZ1006),$AM$1006:$BM$1006,0))&gt;=100000), " ",IF(INDEX($AM$2:$BM$1001,MATCH(ROWS($AF$2:AF547),$AF$2:$AF$1001,0),MATCH(COLUMNS($AM$1006:AZ1006),$AM$1006:$BM$1006,0)), HYPERLINK("#",""), HYPERLINK(CONCATENATE("#metadata!", ADDRESS(INDEX($AH$2:$AH$1001,MATCH(ROWS($AF$2:AF547),$AF$2:$AF$1001,0),0), INDEX($AM$1004:$BM$1004,1,MATCH(COLUMNS($AM$1006:AZ1006),$AM$1006:$BM$1006,0)))),"Fix")))</f>
        <v xml:space="preserve"> </v>
      </c>
      <c r="P547" s="4" t="str">
        <f ca="1">IF(OR(INDEX($AG$2:$AG$1001,MATCH(ROWS($AF$2:AF547),$AF$2:$AF$1001,0),1)&gt;=100000,INDEX($AM$1005:$BM$1005,1,MATCH(COLUMNS($AM$1006:BA1006),$AM$1006:$BM$1006,0))&gt;=100000), " ",IF(INDEX($AM$2:$BM$1001,MATCH(ROWS($AF$2:AF547),$AF$2:$AF$1001,0),MATCH(COLUMNS($AM$1006:BA1006),$AM$1006:$BM$1006,0)), HYPERLINK("#",""), HYPERLINK(CONCATENATE("#metadata!", ADDRESS(INDEX($AH$2:$AH$1001,MATCH(ROWS($AF$2:AF547),$AF$2:$AF$1001,0),0), INDEX($AM$1004:$BM$1004,1,MATCH(COLUMNS($AM$1006:BA1006),$AM$1006:$BM$1006,0)))),"Fix")))</f>
        <v xml:space="preserve"> </v>
      </c>
      <c r="Q547" s="4" t="str">
        <f ca="1">IF(OR(INDEX($AG$2:$AG$1001,MATCH(ROWS($AF$2:AF547),$AF$2:$AF$1001,0),1)&gt;=100000,INDEX($AM$1005:$BM$1005,1,MATCH(COLUMNS($AM$1006:BB1006),$AM$1006:$BM$1006,0))&gt;=100000), " ",IF(INDEX($AM$2:$BM$1001,MATCH(ROWS($AF$2:AF547),$AF$2:$AF$1001,0),MATCH(COLUMNS($AM$1006:BB1006),$AM$1006:$BM$1006,0)), HYPERLINK("#",""), HYPERLINK(CONCATENATE("#metadata!", ADDRESS(INDEX($AH$2:$AH$1001,MATCH(ROWS($AF$2:AF547),$AF$2:$AF$1001,0),0), INDEX($AM$1004:$BM$1004,1,MATCH(COLUMNS($AM$1006:BB1006),$AM$1006:$BM$1006,0)))),"Fix")))</f>
        <v xml:space="preserve"> </v>
      </c>
      <c r="R547" s="4" t="str">
        <f ca="1">IF(OR(INDEX($AG$2:$AG$1001,MATCH(ROWS($AF$2:AF547),$AF$2:$AF$1001,0),1)&gt;=100000,INDEX($AM$1005:$BM$1005,1,MATCH(COLUMNS($AM$1006:BC1006),$AM$1006:$BM$1006,0))&gt;=100000), " ",IF(INDEX($AM$2:$BM$1001,MATCH(ROWS($AF$2:AF547),$AF$2:$AF$1001,0),MATCH(COLUMNS($AM$1006:BC1006),$AM$1006:$BM$1006,0)), HYPERLINK("#",""), HYPERLINK(CONCATENATE("#metadata!", ADDRESS(INDEX($AH$2:$AH$1001,MATCH(ROWS($AF$2:AF547),$AF$2:$AF$1001,0),0), INDEX($AM$1004:$BM$1004,1,MATCH(COLUMNS($AM$1006:BC1006),$AM$1006:$BM$1006,0)))),"Fix")))</f>
        <v xml:space="preserve"> </v>
      </c>
      <c r="S547" s="4" t="str">
        <f ca="1">IF(OR(INDEX($AG$2:$AG$1001,MATCH(ROWS($AF$2:AF547),$AF$2:$AF$1001,0),1)&gt;=100000,INDEX($AM$1005:$BM$1005,1,MATCH(COLUMNS($AM$1006:BD1006),$AM$1006:$BM$1006,0))&gt;=100000), " ",IF(INDEX($AM$2:$BM$1001,MATCH(ROWS($AF$2:AF547),$AF$2:$AF$1001,0),MATCH(COLUMNS($AM$1006:BD1006),$AM$1006:$BM$1006,0)), HYPERLINK("#",""), HYPERLINK(CONCATENATE("#metadata!", ADDRESS(INDEX($AH$2:$AH$1001,MATCH(ROWS($AF$2:AF547),$AF$2:$AF$1001,0),0), INDEX($AM$1004:$BM$1004,1,MATCH(COLUMNS($AM$1006:BD1006),$AM$1006:$BM$1006,0)))),"Fix")))</f>
        <v xml:space="preserve"> </v>
      </c>
      <c r="T547" s="4" t="str">
        <f ca="1">IF(OR(INDEX($AG$2:$AG$1001,MATCH(ROWS($AF$2:AF547),$AF$2:$AF$1001,0),1)&gt;=100000,INDEX($AM$1005:$BM$1005,1,MATCH(COLUMNS($AM$1006:BE1006),$AM$1006:$BM$1006,0))&gt;=100000), " ",IF(INDEX($AM$2:$BM$1001,MATCH(ROWS($AF$2:AF547),$AF$2:$AF$1001,0),MATCH(COLUMNS($AM$1006:BE1006),$AM$1006:$BM$1006,0)), HYPERLINK("#",""), HYPERLINK(CONCATENATE("#metadata!", ADDRESS(INDEX($AH$2:$AH$1001,MATCH(ROWS($AF$2:AF547),$AF$2:$AF$1001,0),0), INDEX($AM$1004:$BM$1004,1,MATCH(COLUMNS($AM$1006:BE1006),$AM$1006:$BM$1006,0)))),"Fix")))</f>
        <v xml:space="preserve"> </v>
      </c>
      <c r="U547" s="4" t="str">
        <f ca="1">IF(OR(INDEX($AG$2:$AG$1001,MATCH(ROWS($AF$2:AF547),$AF$2:$AF$1001,0),1)&gt;=100000,INDEX($AM$1005:$BM$1005,1,MATCH(COLUMNS($AM$1006:BF1006),$AM$1006:$BM$1006,0))&gt;=100000), " ",IF(INDEX($AM$2:$BM$1001,MATCH(ROWS($AF$2:AF547),$AF$2:$AF$1001,0),MATCH(COLUMNS($AM$1006:BF1006),$AM$1006:$BM$1006,0)), HYPERLINK("#",""), HYPERLINK(CONCATENATE("#metadata!", ADDRESS(INDEX($AH$2:$AH$1001,MATCH(ROWS($AF$2:AF547),$AF$2:$AF$1001,0),0), INDEX($AM$1004:$BM$1004,1,MATCH(COLUMNS($AM$1006:BF1006),$AM$1006:$BM$1006,0)))),"Fix")))</f>
        <v xml:space="preserve"> </v>
      </c>
      <c r="V547" s="4" t="str">
        <f ca="1">IF(OR(INDEX($AG$2:$AG$1001,MATCH(ROWS($AF$2:AF547),$AF$2:$AF$1001,0),1)&gt;=100000,INDEX($AM$1005:$BM$1005,1,MATCH(COLUMNS($AM$1006:BG1006),$AM$1006:$BM$1006,0))&gt;=100000), " ",IF(INDEX($AM$2:$BM$1001,MATCH(ROWS($AF$2:AF547),$AF$2:$AF$1001,0),MATCH(COLUMNS($AM$1006:BG1006),$AM$1006:$BM$1006,0)), HYPERLINK("#",""), HYPERLINK(CONCATENATE("#metadata!", ADDRESS(INDEX($AH$2:$AH$1001,MATCH(ROWS($AF$2:AF547),$AF$2:$AF$1001,0),0), INDEX($AM$1004:$BM$1004,1,MATCH(COLUMNS($AM$1006:BG1006),$AM$1006:$BM$1006,0)))),"Fix")))</f>
        <v xml:space="preserve"> </v>
      </c>
      <c r="W547" s="4" t="str">
        <f ca="1">IF(OR(INDEX($AG$2:$AG$1001,MATCH(ROWS($AF$2:AF547),$AF$2:$AF$1001,0),1)&gt;=100000,INDEX($AM$1005:$BM$1005,1,MATCH(COLUMNS($AM$1006:BH1006),$AM$1006:$BM$1006,0))&gt;=100000), " ",IF(INDEX($AM$2:$BM$1001,MATCH(ROWS($AF$2:AF547),$AF$2:$AF$1001,0),MATCH(COLUMNS($AM$1006:BH1006),$AM$1006:$BM$1006,0)), HYPERLINK("#",""), HYPERLINK(CONCATENATE("#metadata!", ADDRESS(INDEX($AH$2:$AH$1001,MATCH(ROWS($AF$2:AF547),$AF$2:$AF$1001,0),0), INDEX($AM$1004:$BM$1004,1,MATCH(COLUMNS($AM$1006:BH1006),$AM$1006:$BM$1006,0)))),"Fix")))</f>
        <v xml:space="preserve"> </v>
      </c>
      <c r="X547" s="4" t="str">
        <f ca="1">IF(OR(INDEX($AG$2:$AG$1001,MATCH(ROWS($AF$2:AF547),$AF$2:$AF$1001,0),1)&gt;=100000,INDEX($AM$1005:$BM$1005,1,MATCH(COLUMNS($AM$1006:BI1006),$AM$1006:$BM$1006,0))&gt;=100000), " ",IF(INDEX($AM$2:$BM$1001,MATCH(ROWS($AF$2:AF547),$AF$2:$AF$1001,0),MATCH(COLUMNS($AM$1006:BI1006),$AM$1006:$BM$1006,0)), HYPERLINK("#",""), HYPERLINK(CONCATENATE("#metadata!", ADDRESS(INDEX($AH$2:$AH$1001,MATCH(ROWS($AF$2:AF547),$AF$2:$AF$1001,0),0), INDEX($AM$1004:$BM$1004,1,MATCH(COLUMNS($AM$1006:BI1006),$AM$1006:$BM$1006,0)))),"Fix")))</f>
        <v xml:space="preserve"> </v>
      </c>
      <c r="Y547" s="4" t="str">
        <f ca="1">IF(OR(INDEX($AG$2:$AG$1001,MATCH(ROWS($AF$2:AF547),$AF$2:$AF$1001,0),1)&gt;=100000,INDEX($AM$1005:$BM$1005,1,MATCH(COLUMNS($AM$1006:BJ1006),$AM$1006:$BM$1006,0))&gt;=100000), " ",IF(INDEX($AM$2:$BM$1001,MATCH(ROWS($AF$2:AF547),$AF$2:$AF$1001,0),MATCH(COLUMNS($AM$1006:BJ1006),$AM$1006:$BM$1006,0)), HYPERLINK("#",""), HYPERLINK(CONCATENATE("#metadata!", ADDRESS(INDEX($AH$2:$AH$1001,MATCH(ROWS($AF$2:AF547),$AF$2:$AF$1001,0),0), INDEX($AM$1004:$BM$1004,1,MATCH(COLUMNS($AM$1006:BJ1006),$AM$1006:$BM$1006,0)))),"Fix")))</f>
        <v xml:space="preserve"> </v>
      </c>
      <c r="Z547" s="4" t="str">
        <f ca="1">IF(OR(INDEX($AG$2:$AG$1001,MATCH(ROWS($AF$2:AF547),$AF$2:$AF$1001,0),1)&gt;=100000,INDEX($AM$1005:$BM$1005,1,MATCH(COLUMNS($AM$1006:BK1006),$AM$1006:$BM$1006,0))&gt;=100000), " ",IF(INDEX($AM$2:$BM$1001,MATCH(ROWS($AF$2:AF547),$AF$2:$AF$1001,0),MATCH(COLUMNS($AM$1006:BK1006),$AM$1006:$BM$1006,0)), HYPERLINK("#",""), HYPERLINK(CONCATENATE("#metadata!", ADDRESS(INDEX($AH$2:$AH$1001,MATCH(ROWS($AF$2:AF547),$AF$2:$AF$1001,0),0), INDEX($AM$1004:$BM$1004,1,MATCH(COLUMNS($AM$1006:BK1006),$AM$1006:$BM$1006,0)))),"Fix")))</f>
        <v xml:space="preserve"> </v>
      </c>
      <c r="AA547" s="4" t="str">
        <f ca="1">IF(OR(INDEX($AG$2:$AG$1001,MATCH(ROWS($AF$2:AF547),$AF$2:$AF$1001,0),1)&gt;=100000,INDEX($AM$1005:$BM$1005,1,MATCH(COLUMNS($AM$1006:BL1006),$AM$1006:$BM$1006,0))&gt;=100000), " ",IF(INDEX($AM$2:$BM$1001,MATCH(ROWS($AF$2:AF547),$AF$2:$AF$1001,0),MATCH(COLUMNS($AM$1006:BL1006),$AM$1006:$BM$1006,0)), HYPERLINK("#",""), HYPERLINK(CONCATENATE("#metadata!", ADDRESS(INDEX($AH$2:$AH$1001,MATCH(ROWS($AF$2:AF547),$AF$2:$AF$1001,0),0), INDEX($AM$1004:$BM$1004,1,MATCH(COLUMNS($AM$1006:BL1006),$AM$1006:$BM$1006,0)))),"Fix")))</f>
        <v xml:space="preserve"> </v>
      </c>
      <c r="AB547" s="4" t="str">
        <f ca="1">IF(OR(INDEX($AG$2:$AG$1001,MATCH(ROWS($AF$2:AF547),$AF$2:$AF$1001,0),1)&gt;=100000,INDEX($AM$1005:$BM$1005,1,MATCH(COLUMNS($AM$1006:BM1006),$AM$1006:$BM$1006,0))&gt;=100000), " ",IF(INDEX($AM$2:$BM$1001,MATCH(ROWS($AF$2:AF547),$AF$2:$AF$1001,0),MATCH(COLUMNS($AM$1006:BM1006),$AM$1006:$BM$1006,0)), HYPERLINK("#",""), HYPERLINK(CONCATENATE("#metadata!", ADDRESS(INDEX($AH$2:$AH$1001,MATCH(ROWS($AF$2:AF547),$AF$2:$AF$1001,0),0), INDEX($AM$1004:$BM$1004,1,MATCH(COLUMNS($AM$1006:BM1006),$AM$1006:$BM$1006,0)))),"Fix")))</f>
        <v xml:space="preserve"> </v>
      </c>
      <c r="AF547">
        <v>546</v>
      </c>
      <c r="AG547">
        <v>100547</v>
      </c>
      <c r="AH547">
        <v>547</v>
      </c>
      <c r="AI547" t="b">
        <f t="shared" si="8"/>
        <v>1</v>
      </c>
      <c r="AJ547" t="b">
        <f>COUNTBLANK(metadata!B547:AB547)=COLUMNS(metadata!B547:AB547)</f>
        <v>1</v>
      </c>
      <c r="AK547" t="str">
        <v/>
      </c>
      <c r="AM547" t="b">
        <f ca="1">AND(IF(metadata!B547="",FALSE,TRUE),COUNTIF(metadata!B:B, metadata!B547) = 1,NOT(ISERROR(SUMPRODUCT(SEARCH(MID(metadata!B547,ROW(INDIRECT("1:"&amp;LEN(metadata!B547))), 1),"0123456789abcdefghijklmnopqrstuvwxyzABCDEFGHIJKLMNOPQRSTUVWXYZ.")))))</f>
        <v>0</v>
      </c>
      <c r="AN547" t="b">
        <f ca="1">OR(AND(IF(metadata!C547="",FALSE,TRUE),OR(EXACT(metadata!C547,"missing: not collected"),EXACT(metadata!C547,"missing: not provided"),EXACT(metadata!C547,"missing: restricted access"))),AND(IF(metadata!C547="",FALSE,TRUE),AND(AND(IFERROR(INT(LEFT(metadata!C547,4))&gt;1900,FALSE),IFERROR(INT(LEFT(metadata!C547,4))&lt;=YEAR(NOW()),FALSE)), OR(MID(metadata!C547,5,1)="", AND(AND(MID(metadata!C547,5,1)="-",IFERROR(INT(MID(metadata!C547,6,1))&gt;=0,FALSE),IFERROR(INT(MID(metadata!C547,6,1))&lt;=1,FALSE),NOT(MID(metadata!C547,7,1)=""),IFERROR(INT(MID(metadata!C547,6,2))&gt;=1,FALSE),IFERROR(INT(MID(metadata!C547,6,2))&lt;=12,FALSE)), OR(MID(metadata!C547,8,1)="", AND(AND(MID(metadata!C547,8,1)="-",IFERROR(INT(MID(metadata!C547,9,1))&gt;=0,FALSE),IFERROR(INT(MID(metadata!C547,9,1))&lt;=3,FALSE),NOT(MID(metadata!C547,10,1)=""),IFERROR(INT(MID(metadata!C547,9,2))&gt;=1,FALSE),IFERROR(INT(MID(metadata!C547,9,2))&lt;=31,FALSE)), OR(MID(metadata!C547,11,1)="", AND(AND(MID(metadata!C547,11,1)=" ",IFERROR(INT(MID(metadata!C547,12,1))&gt;=0,FALSE),IFERROR(INT(MID(metadata!C547,12,1))&lt;=2,FALSE),NOT(MID(metadata!C547,13,1)=""),IFERROR(INT(MID(metadata!C547,12,2))&gt;=0,FALSE),IFERROR(INT(MID(metadata!C547,12,2))&lt;=23,FALSE)), OR(MID(metadata!C547,14,1)="", AND(AND(MID(metadata!C547,14,1)=":",IFERROR(INT(MID(metadata!C547,15,1))&gt;=0,FALSE),IFERROR(INT(MID(metadata!C547,15,1))&lt;=5,FALSE),NOT(MID(metadata!C547,16,1)=""),IFERROR(INT(MID(metadata!C547,15,2))&gt;=0,FALSE),IFERROR(INT(MID(metadata!C547,15,2))&lt;=59,FALSE)), OR(MID(metadata!C547,17,1)="", AND(AND(MID(metadata!C547,17,1)=":",IFERROR(INT(MID(metadata!C547,18,1))&gt;=0,FALSE),IFERROR(INT(MID(metadata!C547,18,1))&lt;=5,FALSE),NOT(MID(metadata!C547,19,1)=""),IFERROR(INT(MID(metadata!C547,18,2))&gt;=0,FALSE),IFERROR(INT(MID(metadata!C547,18,2))&lt;=59,FALSE)), LEN(metadata!C547)&lt;=19)))))))))))))</f>
        <v>0</v>
      </c>
      <c r="AO547" t="b">
        <f>AND(IF(metadata!D547="",FALSE,TRUE),EXACT(metadata!D547,"Not applicable"))</f>
        <v>0</v>
      </c>
      <c r="AP547" t="b">
        <f>IF(metadata!E547="",FALSE,TRUE)</f>
        <v>0</v>
      </c>
      <c r="AQ547" t="b">
        <f>OR(AND(IF(metadata!F547="",FALSE,TRUE),OR(EXACT(metadata!F547,"missing: not collected"),EXACT(metadata!F547,"missing: not provided"))),AND(IF(metadata!F547="",FALSE,TRUE),OR(EXACT(metadata!F547,"TRUE"),EXACT(metadata!F547,"FALSE"))))</f>
        <v>0</v>
      </c>
      <c r="AR547" t="b">
        <f>OR(AND(IF(metadata!G547="",FALSE,TRUE),OR(EXACT(metadata!G547,"missing: not collected"),EXACT(metadata!G547,"missing: not provided"),EXACT(metadata!G547,"missing: restricted access"))),AND(IF(metadata!G547="",FALSE,ISNUMBER(VALUE(metadata!G547))),metadata!G547&gt;=-413))</f>
        <v>0</v>
      </c>
      <c r="AS547" t="b">
        <f>AND(IF(metadata!H547="",FALSE,TRUE),EXACT(metadata!H547,"meters"))</f>
        <v>0</v>
      </c>
      <c r="AT547" t="b">
        <f>AND(IF(metadata!I547="",FALSE,TRUE),OR(EXACT(metadata!I547,"Host-associated"),EXACT(metadata!I547,"Free-living")))</f>
        <v>0</v>
      </c>
      <c r="AU547" t="b">
        <f>AND(IF(metadata!J547="",FALSE,TRUE),OR(EXACT(metadata!J547,"Animal"),EXACT(metadata!J547,"Fungus"),EXACT(metadata!J547,"Plant"),EXACT(metadata!J547,"Saline"),EXACT(metadata!J547,"Non-saline")))</f>
        <v>0</v>
      </c>
      <c r="AV547" t="b">
        <f>AND(IF(metadata!K547="",FALSE,TRUE),OR(EXACT(metadata!K547,"Plant secretion"),EXACT(metadata!K547,"Plant rhizosphere"),EXACT(metadata!K547,"Plant surface"),EXACT(metadata!K547,"Plant corpus"),EXACT(metadata!K547,"Fungus surface"),EXACT(metadata!K547,"Fungus corpus"),EXACT(metadata!K547,"Animal surface"),EXACT(metadata!K547,"Animal proximal gut"),EXACT(metadata!K547,"Animal corpus"),EXACT(metadata!K547,"Animal distal gut"),EXACT(metadata!K547,"Animal secretion"),EXACT(metadata!K547,"Sub-surface (non-saline)"),EXACT(metadata!K547,"Surface (non-saline)"),EXACT(metadata!K547,"Water (non-saline)"),EXACT(metadata!K547,"Soil (non-saline)"),EXACT(metadata!K547,"Aerosol (non-saline)"),EXACT(metadata!K547,"Sediment (non-saline)"),EXACT(metadata!K547,"Surface (saline)"),EXACT(metadata!K547,"Water (saline)"),EXACT(metadata!K547,"Hypersaline (saline)"),EXACT(metadata!K547,"Aerosol (saline)"),EXACT(metadata!K547,"Sediment (saline)")))</f>
        <v>0</v>
      </c>
      <c r="AW547" t="b">
        <f>IF(metadata!L547="",FALSE,TRUE)</f>
        <v>0</v>
      </c>
      <c r="AX547" t="b">
        <f>IF(metadata!M547="",FALSE,TRUE)</f>
        <v>0</v>
      </c>
      <c r="AY547" t="b">
        <f>IF(metadata!N547="",FALSE,TRUE)</f>
        <v>0</v>
      </c>
      <c r="AZ547" t="b">
        <f>OR(AND(IF(metadata!O547="",FALSE,TRUE),OR(EXACT(metadata!O547,"missing: not collected"),EXACT(metadata!O547,"missing: not provided"),EXACT(metadata!O547,"missing: restricted access"))),AND(IF(metadata!O547="",FALSE,TRUE),OR(EXACT(metadata!O547,"air"),EXACT(metadata!O547,"built environment"),EXACT(metadata!O547,"host-associated"),EXACT(metadata!O547,"human-associated"),EXACT(metadata!O547,"human-skin"),EXACT(metadata!O547,"human-oral"),EXACT(metadata!O547,"human-gut"),EXACT(metadata!O547,"human-vaginal"),EXACT(metadata!O547,"microbial mat/biofilm"),EXACT(metadata!O547,"misc environment"),EXACT(metadata!O547,"plant-associated"),EXACT(metadata!O547,"sediment"),EXACT(metadata!O547,"soil"),EXACT(metadata!O547,"wastewater/sludge"),EXACT(metadata!O547,"water"))))</f>
        <v>0</v>
      </c>
      <c r="BA547" t="b">
        <f>IF(metadata!P547="",FALSE,TRUE)</f>
        <v>0</v>
      </c>
      <c r="BB547" t="b">
        <f>IF(metadata!Q547="",FALSE,TRUE)</f>
        <v>0</v>
      </c>
      <c r="BC547" t="b">
        <f>OR(AND(IF(metadata!R547="",FALSE,TRUE),OR(EXACT(metadata!R547,"missing: not collected"),EXACT(metadata!R547,"missing: not provided"),EXACT(metadata!R547,"missing: restricted access"))),AND(IF(metadata!R547="",FALSE,ISNUMBER(VALUE(metadata!R547))),metadata!R547&gt;=-90,metadata!R547&lt;=90))</f>
        <v>0</v>
      </c>
      <c r="BD547" t="b">
        <f>AND(IF(metadata!S547="",FALSE,TRUE),EXACT(metadata!S547,"Decimal degrees"))</f>
        <v>0</v>
      </c>
      <c r="BE547" t="b">
        <f>OR(AND(IF(metadata!T547="",FALSE,TRUE),OR(EXACT(metadata!T547,"missing: not collected"),EXACT(metadata!T547,"missing: not provided"),EXACT(metadata!T547,"missing: restricted access"))),AND(IF(metadata!T547="",FALSE,ISNUMBER(VALUE(metadata!T547))),metadata!T547&gt;=-180,metadata!T547&lt;=180))</f>
        <v>0</v>
      </c>
      <c r="BF547" t="b">
        <f>AND(IF(metadata!U547="",FALSE,TRUE),EXACT(metadata!U547,"Decimal degrees"))</f>
        <v>0</v>
      </c>
      <c r="BG547" t="b">
        <f>IF(metadata!V547="",FALSE,TRUE)</f>
        <v>0</v>
      </c>
      <c r="BH547" t="b">
        <f>OR(AND(IF(metadata!W547="",FALSE,TRUE),OR(EXACT(metadata!W547,"missing: not collected"),EXACT(metadata!W547,"missing: not provided"),EXACT(metadata!W547,"missing: restricted access"))),AND(IF(metadata!W547="",FALSE,TRUE),OR(EXACT(metadata!W547,"TRUE"),EXACT(metadata!W547,"FALSE"))))</f>
        <v>0</v>
      </c>
      <c r="BI547" t="b">
        <f>AND(IF(metadata!X547="",FALSE,TRUE),EXACT(metadata!X547,"other"))</f>
        <v>0</v>
      </c>
      <c r="BJ547" t="b">
        <f>IF(metadata!Y547="",FALSE,TRUE)</f>
        <v>0</v>
      </c>
      <c r="BK547" t="b">
        <f>OR(AND(IF(metadata!Z547="",FALSE,TRUE),OR(EXACT(metadata!Z547,"missing: not collected"),EXACT(metadata!Z547,"missing: not provided"))),AND(IF(metadata!Z547="",FALSE,IF(ISERROR(INT(metadata!Z547)),FALSE,INT(metadata!Z547)=metadata!Z547)),metadata!Z547&gt;0))</f>
        <v>0</v>
      </c>
      <c r="BL547" t="b">
        <f>AND(IF(metadata!AA547="",FALSE,TRUE),EXACT(metadata!AA547,"Not applicable"))</f>
        <v>0</v>
      </c>
      <c r="BM547" t="b">
        <f>IF(metadata!AB547="",FALSE,TRUE)</f>
        <v>0</v>
      </c>
    </row>
    <row r="548" spans="1:65" x14ac:dyDescent="0.2">
      <c r="A548" s="5" t="str">
        <f ca="1">IF(B548=" "," ",HYPERLINK(CONCATENATE("#metadata!",ADDRESS(INDEX($AH$2:$AH$1001,MATCH(ROWS($AF$2:AF548),$AF$2:$AF$1001,0),0),1)),INDEX($AK$2:$AK$1001,MATCH(ROWS($AF$2:AF548),$AF$2:$AF$1001,0),0)))</f>
        <v xml:space="preserve"> </v>
      </c>
      <c r="B548" s="4" t="str">
        <f ca="1">IF(OR(INDEX($AG$2:$AG$1001,MATCH(ROWS($AF$2:AF548),$AF$2:$AF$1001,0),1)&gt;=100000,INDEX($AM$1005:$BM$1005,1,MATCH(COLUMNS($AM$1006:AM1006),$AM$1006:$BM$1006,0))&gt;=100000), " ",IF(INDEX($AM$2:$BM$1001,MATCH(ROWS($AF$2:AF548),$AF$2:$AF$1001,0),MATCH(COLUMNS($AM$1006:AM1006),$AM$1006:$BM$1006,0)), HYPERLINK("#",""), HYPERLINK(CONCATENATE("#metadata!", ADDRESS(INDEX($AH$2:$AH$1001,MATCH(ROWS($AF$2:AF548),$AF$2:$AF$1001,0),0), INDEX($AM$1004:$BM$1004,1,MATCH(COLUMNS($AM$1006:AM1006),$AM$1006:$BM$1006,0)))),"Fix")))</f>
        <v xml:space="preserve"> </v>
      </c>
      <c r="C548" s="4" t="str">
        <f ca="1">IF(OR(INDEX($AG$2:$AG$1001,MATCH(ROWS($AF$2:AF548),$AF$2:$AF$1001,0),1)&gt;=100000,INDEX($AM$1005:$BM$1005,1,MATCH(COLUMNS($AM$1006:AN1006),$AM$1006:$BM$1006,0))&gt;=100000), " ",IF(INDEX($AM$2:$BM$1001,MATCH(ROWS($AF$2:AF548),$AF$2:$AF$1001,0),MATCH(COLUMNS($AM$1006:AN1006),$AM$1006:$BM$1006,0)), HYPERLINK("#",""), HYPERLINK(CONCATENATE("#metadata!", ADDRESS(INDEX($AH$2:$AH$1001,MATCH(ROWS($AF$2:AF548),$AF$2:$AF$1001,0),0), INDEX($AM$1004:$BM$1004,1,MATCH(COLUMNS($AM$1006:AN1006),$AM$1006:$BM$1006,0)))),"Fix")))</f>
        <v xml:space="preserve"> </v>
      </c>
      <c r="D548" s="4" t="str">
        <f ca="1">IF(OR(INDEX($AG$2:$AG$1001,MATCH(ROWS($AF$2:AF548),$AF$2:$AF$1001,0),1)&gt;=100000,INDEX($AM$1005:$BM$1005,1,MATCH(COLUMNS($AM$1006:AO1006),$AM$1006:$BM$1006,0))&gt;=100000), " ",IF(INDEX($AM$2:$BM$1001,MATCH(ROWS($AF$2:AF548),$AF$2:$AF$1001,0),MATCH(COLUMNS($AM$1006:AO1006),$AM$1006:$BM$1006,0)), HYPERLINK("#",""), HYPERLINK(CONCATENATE("#metadata!", ADDRESS(INDEX($AH$2:$AH$1001,MATCH(ROWS($AF$2:AF548),$AF$2:$AF$1001,0),0), INDEX($AM$1004:$BM$1004,1,MATCH(COLUMNS($AM$1006:AO1006),$AM$1006:$BM$1006,0)))),"Fix")))</f>
        <v xml:space="preserve"> </v>
      </c>
      <c r="E548" s="4" t="str">
        <f ca="1">IF(OR(INDEX($AG$2:$AG$1001,MATCH(ROWS($AF$2:AF548),$AF$2:$AF$1001,0),1)&gt;=100000,INDEX($AM$1005:$BM$1005,1,MATCH(COLUMNS($AM$1006:AP1006),$AM$1006:$BM$1006,0))&gt;=100000), " ",IF(INDEX($AM$2:$BM$1001,MATCH(ROWS($AF$2:AF548),$AF$2:$AF$1001,0),MATCH(COLUMNS($AM$1006:AP1006),$AM$1006:$BM$1006,0)), HYPERLINK("#",""), HYPERLINK(CONCATENATE("#metadata!", ADDRESS(INDEX($AH$2:$AH$1001,MATCH(ROWS($AF$2:AF548),$AF$2:$AF$1001,0),0), INDEX($AM$1004:$BM$1004,1,MATCH(COLUMNS($AM$1006:AP1006),$AM$1006:$BM$1006,0)))),"Fix")))</f>
        <v xml:space="preserve"> </v>
      </c>
      <c r="F548" s="4" t="str">
        <f ca="1">IF(OR(INDEX($AG$2:$AG$1001,MATCH(ROWS($AF$2:AF548),$AF$2:$AF$1001,0),1)&gt;=100000,INDEX($AM$1005:$BM$1005,1,MATCH(COLUMNS($AM$1006:AQ1006),$AM$1006:$BM$1006,0))&gt;=100000), " ",IF(INDEX($AM$2:$BM$1001,MATCH(ROWS($AF$2:AF548),$AF$2:$AF$1001,0),MATCH(COLUMNS($AM$1006:AQ1006),$AM$1006:$BM$1006,0)), HYPERLINK("#",""), HYPERLINK(CONCATENATE("#metadata!", ADDRESS(INDEX($AH$2:$AH$1001,MATCH(ROWS($AF$2:AF548),$AF$2:$AF$1001,0),0), INDEX($AM$1004:$BM$1004,1,MATCH(COLUMNS($AM$1006:AQ1006),$AM$1006:$BM$1006,0)))),"Fix")))</f>
        <v xml:space="preserve"> </v>
      </c>
      <c r="G548" s="4" t="str">
        <f ca="1">IF(OR(INDEX($AG$2:$AG$1001,MATCH(ROWS($AF$2:AF548),$AF$2:$AF$1001,0),1)&gt;=100000,INDEX($AM$1005:$BM$1005,1,MATCH(COLUMNS($AM$1006:AR1006),$AM$1006:$BM$1006,0))&gt;=100000), " ",IF(INDEX($AM$2:$BM$1001,MATCH(ROWS($AF$2:AF548),$AF$2:$AF$1001,0),MATCH(COLUMNS($AM$1006:AR1006),$AM$1006:$BM$1006,0)), HYPERLINK("#",""), HYPERLINK(CONCATENATE("#metadata!", ADDRESS(INDEX($AH$2:$AH$1001,MATCH(ROWS($AF$2:AF548),$AF$2:$AF$1001,0),0), INDEX($AM$1004:$BM$1004,1,MATCH(COLUMNS($AM$1006:AR1006),$AM$1006:$BM$1006,0)))),"Fix")))</f>
        <v xml:space="preserve"> </v>
      </c>
      <c r="H548" s="4" t="str">
        <f ca="1">IF(OR(INDEX($AG$2:$AG$1001,MATCH(ROWS($AF$2:AF548),$AF$2:$AF$1001,0),1)&gt;=100000,INDEX($AM$1005:$BM$1005,1,MATCH(COLUMNS($AM$1006:AS1006),$AM$1006:$BM$1006,0))&gt;=100000), " ",IF(INDEX($AM$2:$BM$1001,MATCH(ROWS($AF$2:AF548),$AF$2:$AF$1001,0),MATCH(COLUMNS($AM$1006:AS1006),$AM$1006:$BM$1006,0)), HYPERLINK("#",""), HYPERLINK(CONCATENATE("#metadata!", ADDRESS(INDEX($AH$2:$AH$1001,MATCH(ROWS($AF$2:AF548),$AF$2:$AF$1001,0),0), INDEX($AM$1004:$BM$1004,1,MATCH(COLUMNS($AM$1006:AS1006),$AM$1006:$BM$1006,0)))),"Fix")))</f>
        <v xml:space="preserve"> </v>
      </c>
      <c r="I548" s="4" t="str">
        <f ca="1">IF(OR(INDEX($AG$2:$AG$1001,MATCH(ROWS($AF$2:AF548),$AF$2:$AF$1001,0),1)&gt;=100000,INDEX($AM$1005:$BM$1005,1,MATCH(COLUMNS($AM$1006:AT1006),$AM$1006:$BM$1006,0))&gt;=100000), " ",IF(INDEX($AM$2:$BM$1001,MATCH(ROWS($AF$2:AF548),$AF$2:$AF$1001,0),MATCH(COLUMNS($AM$1006:AT1006),$AM$1006:$BM$1006,0)), HYPERLINK("#",""), HYPERLINK(CONCATENATE("#metadata!", ADDRESS(INDEX($AH$2:$AH$1001,MATCH(ROWS($AF$2:AF548),$AF$2:$AF$1001,0),0), INDEX($AM$1004:$BM$1004,1,MATCH(COLUMNS($AM$1006:AT1006),$AM$1006:$BM$1006,0)))),"Fix")))</f>
        <v xml:space="preserve"> </v>
      </c>
      <c r="J548" s="4" t="str">
        <f ca="1">IF(OR(INDEX($AG$2:$AG$1001,MATCH(ROWS($AF$2:AF548),$AF$2:$AF$1001,0),1)&gt;=100000,INDEX($AM$1005:$BM$1005,1,MATCH(COLUMNS($AM$1006:AU1006),$AM$1006:$BM$1006,0))&gt;=100000), " ",IF(INDEX($AM$2:$BM$1001,MATCH(ROWS($AF$2:AF548),$AF$2:$AF$1001,0),MATCH(COLUMNS($AM$1006:AU1006),$AM$1006:$BM$1006,0)), HYPERLINK("#",""), HYPERLINK(CONCATENATE("#metadata!", ADDRESS(INDEX($AH$2:$AH$1001,MATCH(ROWS($AF$2:AF548),$AF$2:$AF$1001,0),0), INDEX($AM$1004:$BM$1004,1,MATCH(COLUMNS($AM$1006:AU1006),$AM$1006:$BM$1006,0)))),"Fix")))</f>
        <v xml:space="preserve"> </v>
      </c>
      <c r="K548" s="4" t="str">
        <f ca="1">IF(OR(INDEX($AG$2:$AG$1001,MATCH(ROWS($AF$2:AF548),$AF$2:$AF$1001,0),1)&gt;=100000,INDEX($AM$1005:$BM$1005,1,MATCH(COLUMNS($AM$1006:AV1006),$AM$1006:$BM$1006,0))&gt;=100000), " ",IF(INDEX($AM$2:$BM$1001,MATCH(ROWS($AF$2:AF548),$AF$2:$AF$1001,0),MATCH(COLUMNS($AM$1006:AV1006),$AM$1006:$BM$1006,0)), HYPERLINK("#",""), HYPERLINK(CONCATENATE("#metadata!", ADDRESS(INDEX($AH$2:$AH$1001,MATCH(ROWS($AF$2:AF548),$AF$2:$AF$1001,0),0), INDEX($AM$1004:$BM$1004,1,MATCH(COLUMNS($AM$1006:AV1006),$AM$1006:$BM$1006,0)))),"Fix")))</f>
        <v xml:space="preserve"> </v>
      </c>
      <c r="L548" s="4" t="str">
        <f ca="1">IF(OR(INDEX($AG$2:$AG$1001,MATCH(ROWS($AF$2:AF548),$AF$2:$AF$1001,0),1)&gt;=100000,INDEX($AM$1005:$BM$1005,1,MATCH(COLUMNS($AM$1006:AW1006),$AM$1006:$BM$1006,0))&gt;=100000), " ",IF(INDEX($AM$2:$BM$1001,MATCH(ROWS($AF$2:AF548),$AF$2:$AF$1001,0),MATCH(COLUMNS($AM$1006:AW1006),$AM$1006:$BM$1006,0)), HYPERLINK("#",""), HYPERLINK(CONCATENATE("#metadata!", ADDRESS(INDEX($AH$2:$AH$1001,MATCH(ROWS($AF$2:AF548),$AF$2:$AF$1001,0),0), INDEX($AM$1004:$BM$1004,1,MATCH(COLUMNS($AM$1006:AW1006),$AM$1006:$BM$1006,0)))),"Fix")))</f>
        <v xml:space="preserve"> </v>
      </c>
      <c r="M548" s="4" t="str">
        <f ca="1">IF(OR(INDEX($AG$2:$AG$1001,MATCH(ROWS($AF$2:AF548),$AF$2:$AF$1001,0),1)&gt;=100000,INDEX($AM$1005:$BM$1005,1,MATCH(COLUMNS($AM$1006:AX1006),$AM$1006:$BM$1006,0))&gt;=100000), " ",IF(INDEX($AM$2:$BM$1001,MATCH(ROWS($AF$2:AF548),$AF$2:$AF$1001,0),MATCH(COLUMNS($AM$1006:AX1006),$AM$1006:$BM$1006,0)), HYPERLINK("#",""), HYPERLINK(CONCATENATE("#metadata!", ADDRESS(INDEX($AH$2:$AH$1001,MATCH(ROWS($AF$2:AF548),$AF$2:$AF$1001,0),0), INDEX($AM$1004:$BM$1004,1,MATCH(COLUMNS($AM$1006:AX1006),$AM$1006:$BM$1006,0)))),"Fix")))</f>
        <v xml:space="preserve"> </v>
      </c>
      <c r="N548" s="4" t="str">
        <f ca="1">IF(OR(INDEX($AG$2:$AG$1001,MATCH(ROWS($AF$2:AF548),$AF$2:$AF$1001,0),1)&gt;=100000,INDEX($AM$1005:$BM$1005,1,MATCH(COLUMNS($AM$1006:AY1006),$AM$1006:$BM$1006,0))&gt;=100000), " ",IF(INDEX($AM$2:$BM$1001,MATCH(ROWS($AF$2:AF548),$AF$2:$AF$1001,0),MATCH(COLUMNS($AM$1006:AY1006),$AM$1006:$BM$1006,0)), HYPERLINK("#",""), HYPERLINK(CONCATENATE("#metadata!", ADDRESS(INDEX($AH$2:$AH$1001,MATCH(ROWS($AF$2:AF548),$AF$2:$AF$1001,0),0), INDEX($AM$1004:$BM$1004,1,MATCH(COLUMNS($AM$1006:AY1006),$AM$1006:$BM$1006,0)))),"Fix")))</f>
        <v xml:space="preserve"> </v>
      </c>
      <c r="O548" s="4" t="str">
        <f ca="1">IF(OR(INDEX($AG$2:$AG$1001,MATCH(ROWS($AF$2:AF548),$AF$2:$AF$1001,0),1)&gt;=100000,INDEX($AM$1005:$BM$1005,1,MATCH(COLUMNS($AM$1006:AZ1006),$AM$1006:$BM$1006,0))&gt;=100000), " ",IF(INDEX($AM$2:$BM$1001,MATCH(ROWS($AF$2:AF548),$AF$2:$AF$1001,0),MATCH(COLUMNS($AM$1006:AZ1006),$AM$1006:$BM$1006,0)), HYPERLINK("#",""), HYPERLINK(CONCATENATE("#metadata!", ADDRESS(INDEX($AH$2:$AH$1001,MATCH(ROWS($AF$2:AF548),$AF$2:$AF$1001,0),0), INDEX($AM$1004:$BM$1004,1,MATCH(COLUMNS($AM$1006:AZ1006),$AM$1006:$BM$1006,0)))),"Fix")))</f>
        <v xml:space="preserve"> </v>
      </c>
      <c r="P548" s="4" t="str">
        <f ca="1">IF(OR(INDEX($AG$2:$AG$1001,MATCH(ROWS($AF$2:AF548),$AF$2:$AF$1001,0),1)&gt;=100000,INDEX($AM$1005:$BM$1005,1,MATCH(COLUMNS($AM$1006:BA1006),$AM$1006:$BM$1006,0))&gt;=100000), " ",IF(INDEX($AM$2:$BM$1001,MATCH(ROWS($AF$2:AF548),$AF$2:$AF$1001,0),MATCH(COLUMNS($AM$1006:BA1006),$AM$1006:$BM$1006,0)), HYPERLINK("#",""), HYPERLINK(CONCATENATE("#metadata!", ADDRESS(INDEX($AH$2:$AH$1001,MATCH(ROWS($AF$2:AF548),$AF$2:$AF$1001,0),0), INDEX($AM$1004:$BM$1004,1,MATCH(COLUMNS($AM$1006:BA1006),$AM$1006:$BM$1006,0)))),"Fix")))</f>
        <v xml:space="preserve"> </v>
      </c>
      <c r="Q548" s="4" t="str">
        <f ca="1">IF(OR(INDEX($AG$2:$AG$1001,MATCH(ROWS($AF$2:AF548),$AF$2:$AF$1001,0),1)&gt;=100000,INDEX($AM$1005:$BM$1005,1,MATCH(COLUMNS($AM$1006:BB1006),$AM$1006:$BM$1006,0))&gt;=100000), " ",IF(INDEX($AM$2:$BM$1001,MATCH(ROWS($AF$2:AF548),$AF$2:$AF$1001,0),MATCH(COLUMNS($AM$1006:BB1006),$AM$1006:$BM$1006,0)), HYPERLINK("#",""), HYPERLINK(CONCATENATE("#metadata!", ADDRESS(INDEX($AH$2:$AH$1001,MATCH(ROWS($AF$2:AF548),$AF$2:$AF$1001,0),0), INDEX($AM$1004:$BM$1004,1,MATCH(COLUMNS($AM$1006:BB1006),$AM$1006:$BM$1006,0)))),"Fix")))</f>
        <v xml:space="preserve"> </v>
      </c>
      <c r="R548" s="4" t="str">
        <f ca="1">IF(OR(INDEX($AG$2:$AG$1001,MATCH(ROWS($AF$2:AF548),$AF$2:$AF$1001,0),1)&gt;=100000,INDEX($AM$1005:$BM$1005,1,MATCH(COLUMNS($AM$1006:BC1006),$AM$1006:$BM$1006,0))&gt;=100000), " ",IF(INDEX($AM$2:$BM$1001,MATCH(ROWS($AF$2:AF548),$AF$2:$AF$1001,0),MATCH(COLUMNS($AM$1006:BC1006),$AM$1006:$BM$1006,0)), HYPERLINK("#",""), HYPERLINK(CONCATENATE("#metadata!", ADDRESS(INDEX($AH$2:$AH$1001,MATCH(ROWS($AF$2:AF548),$AF$2:$AF$1001,0),0), INDEX($AM$1004:$BM$1004,1,MATCH(COLUMNS($AM$1006:BC1006),$AM$1006:$BM$1006,0)))),"Fix")))</f>
        <v xml:space="preserve"> </v>
      </c>
      <c r="S548" s="4" t="str">
        <f ca="1">IF(OR(INDEX($AG$2:$AG$1001,MATCH(ROWS($AF$2:AF548),$AF$2:$AF$1001,0),1)&gt;=100000,INDEX($AM$1005:$BM$1005,1,MATCH(COLUMNS($AM$1006:BD1006),$AM$1006:$BM$1006,0))&gt;=100000), " ",IF(INDEX($AM$2:$BM$1001,MATCH(ROWS($AF$2:AF548),$AF$2:$AF$1001,0),MATCH(COLUMNS($AM$1006:BD1006),$AM$1006:$BM$1006,0)), HYPERLINK("#",""), HYPERLINK(CONCATENATE("#metadata!", ADDRESS(INDEX($AH$2:$AH$1001,MATCH(ROWS($AF$2:AF548),$AF$2:$AF$1001,0),0), INDEX($AM$1004:$BM$1004,1,MATCH(COLUMNS($AM$1006:BD1006),$AM$1006:$BM$1006,0)))),"Fix")))</f>
        <v xml:space="preserve"> </v>
      </c>
      <c r="T548" s="4" t="str">
        <f ca="1">IF(OR(INDEX($AG$2:$AG$1001,MATCH(ROWS($AF$2:AF548),$AF$2:$AF$1001,0),1)&gt;=100000,INDEX($AM$1005:$BM$1005,1,MATCH(COLUMNS($AM$1006:BE1006),$AM$1006:$BM$1006,0))&gt;=100000), " ",IF(INDEX($AM$2:$BM$1001,MATCH(ROWS($AF$2:AF548),$AF$2:$AF$1001,0),MATCH(COLUMNS($AM$1006:BE1006),$AM$1006:$BM$1006,0)), HYPERLINK("#",""), HYPERLINK(CONCATENATE("#metadata!", ADDRESS(INDEX($AH$2:$AH$1001,MATCH(ROWS($AF$2:AF548),$AF$2:$AF$1001,0),0), INDEX($AM$1004:$BM$1004,1,MATCH(COLUMNS($AM$1006:BE1006),$AM$1006:$BM$1006,0)))),"Fix")))</f>
        <v xml:space="preserve"> </v>
      </c>
      <c r="U548" s="4" t="str">
        <f ca="1">IF(OR(INDEX($AG$2:$AG$1001,MATCH(ROWS($AF$2:AF548),$AF$2:$AF$1001,0),1)&gt;=100000,INDEX($AM$1005:$BM$1005,1,MATCH(COLUMNS($AM$1006:BF1006),$AM$1006:$BM$1006,0))&gt;=100000), " ",IF(INDEX($AM$2:$BM$1001,MATCH(ROWS($AF$2:AF548),$AF$2:$AF$1001,0),MATCH(COLUMNS($AM$1006:BF1006),$AM$1006:$BM$1006,0)), HYPERLINK("#",""), HYPERLINK(CONCATENATE("#metadata!", ADDRESS(INDEX($AH$2:$AH$1001,MATCH(ROWS($AF$2:AF548),$AF$2:$AF$1001,0),0), INDEX($AM$1004:$BM$1004,1,MATCH(COLUMNS($AM$1006:BF1006),$AM$1006:$BM$1006,0)))),"Fix")))</f>
        <v xml:space="preserve"> </v>
      </c>
      <c r="V548" s="4" t="str">
        <f ca="1">IF(OR(INDEX($AG$2:$AG$1001,MATCH(ROWS($AF$2:AF548),$AF$2:$AF$1001,0),1)&gt;=100000,INDEX($AM$1005:$BM$1005,1,MATCH(COLUMNS($AM$1006:BG1006),$AM$1006:$BM$1006,0))&gt;=100000), " ",IF(INDEX($AM$2:$BM$1001,MATCH(ROWS($AF$2:AF548),$AF$2:$AF$1001,0),MATCH(COLUMNS($AM$1006:BG1006),$AM$1006:$BM$1006,0)), HYPERLINK("#",""), HYPERLINK(CONCATENATE("#metadata!", ADDRESS(INDEX($AH$2:$AH$1001,MATCH(ROWS($AF$2:AF548),$AF$2:$AF$1001,0),0), INDEX($AM$1004:$BM$1004,1,MATCH(COLUMNS($AM$1006:BG1006),$AM$1006:$BM$1006,0)))),"Fix")))</f>
        <v xml:space="preserve"> </v>
      </c>
      <c r="W548" s="4" t="str">
        <f ca="1">IF(OR(INDEX($AG$2:$AG$1001,MATCH(ROWS($AF$2:AF548),$AF$2:$AF$1001,0),1)&gt;=100000,INDEX($AM$1005:$BM$1005,1,MATCH(COLUMNS($AM$1006:BH1006),$AM$1006:$BM$1006,0))&gt;=100000), " ",IF(INDEX($AM$2:$BM$1001,MATCH(ROWS($AF$2:AF548),$AF$2:$AF$1001,0),MATCH(COLUMNS($AM$1006:BH1006),$AM$1006:$BM$1006,0)), HYPERLINK("#",""), HYPERLINK(CONCATENATE("#metadata!", ADDRESS(INDEX($AH$2:$AH$1001,MATCH(ROWS($AF$2:AF548),$AF$2:$AF$1001,0),0), INDEX($AM$1004:$BM$1004,1,MATCH(COLUMNS($AM$1006:BH1006),$AM$1006:$BM$1006,0)))),"Fix")))</f>
        <v xml:space="preserve"> </v>
      </c>
      <c r="X548" s="4" t="str">
        <f ca="1">IF(OR(INDEX($AG$2:$AG$1001,MATCH(ROWS($AF$2:AF548),$AF$2:$AF$1001,0),1)&gt;=100000,INDEX($AM$1005:$BM$1005,1,MATCH(COLUMNS($AM$1006:BI1006),$AM$1006:$BM$1006,0))&gt;=100000), " ",IF(INDEX($AM$2:$BM$1001,MATCH(ROWS($AF$2:AF548),$AF$2:$AF$1001,0),MATCH(COLUMNS($AM$1006:BI1006),$AM$1006:$BM$1006,0)), HYPERLINK("#",""), HYPERLINK(CONCATENATE("#metadata!", ADDRESS(INDEX($AH$2:$AH$1001,MATCH(ROWS($AF$2:AF548),$AF$2:$AF$1001,0),0), INDEX($AM$1004:$BM$1004,1,MATCH(COLUMNS($AM$1006:BI1006),$AM$1006:$BM$1006,0)))),"Fix")))</f>
        <v xml:space="preserve"> </v>
      </c>
      <c r="Y548" s="4" t="str">
        <f ca="1">IF(OR(INDEX($AG$2:$AG$1001,MATCH(ROWS($AF$2:AF548),$AF$2:$AF$1001,0),1)&gt;=100000,INDEX($AM$1005:$BM$1005,1,MATCH(COLUMNS($AM$1006:BJ1006),$AM$1006:$BM$1006,0))&gt;=100000), " ",IF(INDEX($AM$2:$BM$1001,MATCH(ROWS($AF$2:AF548),$AF$2:$AF$1001,0),MATCH(COLUMNS($AM$1006:BJ1006),$AM$1006:$BM$1006,0)), HYPERLINK("#",""), HYPERLINK(CONCATENATE("#metadata!", ADDRESS(INDEX($AH$2:$AH$1001,MATCH(ROWS($AF$2:AF548),$AF$2:$AF$1001,0),0), INDEX($AM$1004:$BM$1004,1,MATCH(COLUMNS($AM$1006:BJ1006),$AM$1006:$BM$1006,0)))),"Fix")))</f>
        <v xml:space="preserve"> </v>
      </c>
      <c r="Z548" s="4" t="str">
        <f ca="1">IF(OR(INDEX($AG$2:$AG$1001,MATCH(ROWS($AF$2:AF548),$AF$2:$AF$1001,0),1)&gt;=100000,INDEX($AM$1005:$BM$1005,1,MATCH(COLUMNS($AM$1006:BK1006),$AM$1006:$BM$1006,0))&gt;=100000), " ",IF(INDEX($AM$2:$BM$1001,MATCH(ROWS($AF$2:AF548),$AF$2:$AF$1001,0),MATCH(COLUMNS($AM$1006:BK1006),$AM$1006:$BM$1006,0)), HYPERLINK("#",""), HYPERLINK(CONCATENATE("#metadata!", ADDRESS(INDEX($AH$2:$AH$1001,MATCH(ROWS($AF$2:AF548),$AF$2:$AF$1001,0),0), INDEX($AM$1004:$BM$1004,1,MATCH(COLUMNS($AM$1006:BK1006),$AM$1006:$BM$1006,0)))),"Fix")))</f>
        <v xml:space="preserve"> </v>
      </c>
      <c r="AA548" s="4" t="str">
        <f ca="1">IF(OR(INDEX($AG$2:$AG$1001,MATCH(ROWS($AF$2:AF548),$AF$2:$AF$1001,0),1)&gt;=100000,INDEX($AM$1005:$BM$1005,1,MATCH(COLUMNS($AM$1006:BL1006),$AM$1006:$BM$1006,0))&gt;=100000), " ",IF(INDEX($AM$2:$BM$1001,MATCH(ROWS($AF$2:AF548),$AF$2:$AF$1001,0),MATCH(COLUMNS($AM$1006:BL1006),$AM$1006:$BM$1006,0)), HYPERLINK("#",""), HYPERLINK(CONCATENATE("#metadata!", ADDRESS(INDEX($AH$2:$AH$1001,MATCH(ROWS($AF$2:AF548),$AF$2:$AF$1001,0),0), INDEX($AM$1004:$BM$1004,1,MATCH(COLUMNS($AM$1006:BL1006),$AM$1006:$BM$1006,0)))),"Fix")))</f>
        <v xml:space="preserve"> </v>
      </c>
      <c r="AB548" s="4" t="str">
        <f ca="1">IF(OR(INDEX($AG$2:$AG$1001,MATCH(ROWS($AF$2:AF548),$AF$2:$AF$1001,0),1)&gt;=100000,INDEX($AM$1005:$BM$1005,1,MATCH(COLUMNS($AM$1006:BM1006),$AM$1006:$BM$1006,0))&gt;=100000), " ",IF(INDEX($AM$2:$BM$1001,MATCH(ROWS($AF$2:AF548),$AF$2:$AF$1001,0),MATCH(COLUMNS($AM$1006:BM1006),$AM$1006:$BM$1006,0)), HYPERLINK("#",""), HYPERLINK(CONCATENATE("#metadata!", ADDRESS(INDEX($AH$2:$AH$1001,MATCH(ROWS($AF$2:AF548),$AF$2:$AF$1001,0),0), INDEX($AM$1004:$BM$1004,1,MATCH(COLUMNS($AM$1006:BM1006),$AM$1006:$BM$1006,0)))),"Fix")))</f>
        <v xml:space="preserve"> </v>
      </c>
      <c r="AF548">
        <v>547</v>
      </c>
      <c r="AG548">
        <v>100548</v>
      </c>
      <c r="AH548">
        <v>548</v>
      </c>
      <c r="AI548" t="b">
        <f t="shared" si="8"/>
        <v>1</v>
      </c>
      <c r="AJ548" t="b">
        <f>COUNTBLANK(metadata!B548:AB548)=COLUMNS(metadata!B548:AB548)</f>
        <v>1</v>
      </c>
      <c r="AK548" t="str">
        <v/>
      </c>
      <c r="AM548" t="b">
        <f ca="1">AND(IF(metadata!B548="",FALSE,TRUE),COUNTIF(metadata!B:B, metadata!B548) = 1,NOT(ISERROR(SUMPRODUCT(SEARCH(MID(metadata!B548,ROW(INDIRECT("1:"&amp;LEN(metadata!B548))), 1),"0123456789abcdefghijklmnopqrstuvwxyzABCDEFGHIJKLMNOPQRSTUVWXYZ.")))))</f>
        <v>0</v>
      </c>
      <c r="AN548" t="b">
        <f ca="1">OR(AND(IF(metadata!C548="",FALSE,TRUE),OR(EXACT(metadata!C548,"missing: not collected"),EXACT(metadata!C548,"missing: not provided"),EXACT(metadata!C548,"missing: restricted access"))),AND(IF(metadata!C548="",FALSE,TRUE),AND(AND(IFERROR(INT(LEFT(metadata!C548,4))&gt;1900,FALSE),IFERROR(INT(LEFT(metadata!C548,4))&lt;=YEAR(NOW()),FALSE)), OR(MID(metadata!C548,5,1)="", AND(AND(MID(metadata!C548,5,1)="-",IFERROR(INT(MID(metadata!C548,6,1))&gt;=0,FALSE),IFERROR(INT(MID(metadata!C548,6,1))&lt;=1,FALSE),NOT(MID(metadata!C548,7,1)=""),IFERROR(INT(MID(metadata!C548,6,2))&gt;=1,FALSE),IFERROR(INT(MID(metadata!C548,6,2))&lt;=12,FALSE)), OR(MID(metadata!C548,8,1)="", AND(AND(MID(metadata!C548,8,1)="-",IFERROR(INT(MID(metadata!C548,9,1))&gt;=0,FALSE),IFERROR(INT(MID(metadata!C548,9,1))&lt;=3,FALSE),NOT(MID(metadata!C548,10,1)=""),IFERROR(INT(MID(metadata!C548,9,2))&gt;=1,FALSE),IFERROR(INT(MID(metadata!C548,9,2))&lt;=31,FALSE)), OR(MID(metadata!C548,11,1)="", AND(AND(MID(metadata!C548,11,1)=" ",IFERROR(INT(MID(metadata!C548,12,1))&gt;=0,FALSE),IFERROR(INT(MID(metadata!C548,12,1))&lt;=2,FALSE),NOT(MID(metadata!C548,13,1)=""),IFERROR(INT(MID(metadata!C548,12,2))&gt;=0,FALSE),IFERROR(INT(MID(metadata!C548,12,2))&lt;=23,FALSE)), OR(MID(metadata!C548,14,1)="", AND(AND(MID(metadata!C548,14,1)=":",IFERROR(INT(MID(metadata!C548,15,1))&gt;=0,FALSE),IFERROR(INT(MID(metadata!C548,15,1))&lt;=5,FALSE),NOT(MID(metadata!C548,16,1)=""),IFERROR(INT(MID(metadata!C548,15,2))&gt;=0,FALSE),IFERROR(INT(MID(metadata!C548,15,2))&lt;=59,FALSE)), OR(MID(metadata!C548,17,1)="", AND(AND(MID(metadata!C548,17,1)=":",IFERROR(INT(MID(metadata!C548,18,1))&gt;=0,FALSE),IFERROR(INT(MID(metadata!C548,18,1))&lt;=5,FALSE),NOT(MID(metadata!C548,19,1)=""),IFERROR(INT(MID(metadata!C548,18,2))&gt;=0,FALSE),IFERROR(INT(MID(metadata!C548,18,2))&lt;=59,FALSE)), LEN(metadata!C548)&lt;=19)))))))))))))</f>
        <v>0</v>
      </c>
      <c r="AO548" t="b">
        <f>AND(IF(metadata!D548="",FALSE,TRUE),EXACT(metadata!D548,"Not applicable"))</f>
        <v>0</v>
      </c>
      <c r="AP548" t="b">
        <f>IF(metadata!E548="",FALSE,TRUE)</f>
        <v>0</v>
      </c>
      <c r="AQ548" t="b">
        <f>OR(AND(IF(metadata!F548="",FALSE,TRUE),OR(EXACT(metadata!F548,"missing: not collected"),EXACT(metadata!F548,"missing: not provided"))),AND(IF(metadata!F548="",FALSE,TRUE),OR(EXACT(metadata!F548,"TRUE"),EXACT(metadata!F548,"FALSE"))))</f>
        <v>0</v>
      </c>
      <c r="AR548" t="b">
        <f>OR(AND(IF(metadata!G548="",FALSE,TRUE),OR(EXACT(metadata!G548,"missing: not collected"),EXACT(metadata!G548,"missing: not provided"),EXACT(metadata!G548,"missing: restricted access"))),AND(IF(metadata!G548="",FALSE,ISNUMBER(VALUE(metadata!G548))),metadata!G548&gt;=-413))</f>
        <v>0</v>
      </c>
      <c r="AS548" t="b">
        <f>AND(IF(metadata!H548="",FALSE,TRUE),EXACT(metadata!H548,"meters"))</f>
        <v>0</v>
      </c>
      <c r="AT548" t="b">
        <f>AND(IF(metadata!I548="",FALSE,TRUE),OR(EXACT(metadata!I548,"Host-associated"),EXACT(metadata!I548,"Free-living")))</f>
        <v>0</v>
      </c>
      <c r="AU548" t="b">
        <f>AND(IF(metadata!J548="",FALSE,TRUE),OR(EXACT(metadata!J548,"Animal"),EXACT(metadata!J548,"Fungus"),EXACT(metadata!J548,"Plant"),EXACT(metadata!J548,"Saline"),EXACT(metadata!J548,"Non-saline")))</f>
        <v>0</v>
      </c>
      <c r="AV548" t="b">
        <f>AND(IF(metadata!K548="",FALSE,TRUE),OR(EXACT(metadata!K548,"Plant secretion"),EXACT(metadata!K548,"Plant rhizosphere"),EXACT(metadata!K548,"Plant surface"),EXACT(metadata!K548,"Plant corpus"),EXACT(metadata!K548,"Fungus surface"),EXACT(metadata!K548,"Fungus corpus"),EXACT(metadata!K548,"Animal surface"),EXACT(metadata!K548,"Animal proximal gut"),EXACT(metadata!K548,"Animal corpus"),EXACT(metadata!K548,"Animal distal gut"),EXACT(metadata!K548,"Animal secretion"),EXACT(metadata!K548,"Sub-surface (non-saline)"),EXACT(metadata!K548,"Surface (non-saline)"),EXACT(metadata!K548,"Water (non-saline)"),EXACT(metadata!K548,"Soil (non-saline)"),EXACT(metadata!K548,"Aerosol (non-saline)"),EXACT(metadata!K548,"Sediment (non-saline)"),EXACT(metadata!K548,"Surface (saline)"),EXACT(metadata!K548,"Water (saline)"),EXACT(metadata!K548,"Hypersaline (saline)"),EXACT(metadata!K548,"Aerosol (saline)"),EXACT(metadata!K548,"Sediment (saline)")))</f>
        <v>0</v>
      </c>
      <c r="AW548" t="b">
        <f>IF(metadata!L548="",FALSE,TRUE)</f>
        <v>0</v>
      </c>
      <c r="AX548" t="b">
        <f>IF(metadata!M548="",FALSE,TRUE)</f>
        <v>0</v>
      </c>
      <c r="AY548" t="b">
        <f>IF(metadata!N548="",FALSE,TRUE)</f>
        <v>0</v>
      </c>
      <c r="AZ548" t="b">
        <f>OR(AND(IF(metadata!O548="",FALSE,TRUE),OR(EXACT(metadata!O548,"missing: not collected"),EXACT(metadata!O548,"missing: not provided"),EXACT(metadata!O548,"missing: restricted access"))),AND(IF(metadata!O548="",FALSE,TRUE),OR(EXACT(metadata!O548,"air"),EXACT(metadata!O548,"built environment"),EXACT(metadata!O548,"host-associated"),EXACT(metadata!O548,"human-associated"),EXACT(metadata!O548,"human-skin"),EXACT(metadata!O548,"human-oral"),EXACT(metadata!O548,"human-gut"),EXACT(metadata!O548,"human-vaginal"),EXACT(metadata!O548,"microbial mat/biofilm"),EXACT(metadata!O548,"misc environment"),EXACT(metadata!O548,"plant-associated"),EXACT(metadata!O548,"sediment"),EXACT(metadata!O548,"soil"),EXACT(metadata!O548,"wastewater/sludge"),EXACT(metadata!O548,"water"))))</f>
        <v>0</v>
      </c>
      <c r="BA548" t="b">
        <f>IF(metadata!P548="",FALSE,TRUE)</f>
        <v>0</v>
      </c>
      <c r="BB548" t="b">
        <f>IF(metadata!Q548="",FALSE,TRUE)</f>
        <v>0</v>
      </c>
      <c r="BC548" t="b">
        <f>OR(AND(IF(metadata!R548="",FALSE,TRUE),OR(EXACT(metadata!R548,"missing: not collected"),EXACT(metadata!R548,"missing: not provided"),EXACT(metadata!R548,"missing: restricted access"))),AND(IF(metadata!R548="",FALSE,ISNUMBER(VALUE(metadata!R548))),metadata!R548&gt;=-90,metadata!R548&lt;=90))</f>
        <v>0</v>
      </c>
      <c r="BD548" t="b">
        <f>AND(IF(metadata!S548="",FALSE,TRUE),EXACT(metadata!S548,"Decimal degrees"))</f>
        <v>0</v>
      </c>
      <c r="BE548" t="b">
        <f>OR(AND(IF(metadata!T548="",FALSE,TRUE),OR(EXACT(metadata!T548,"missing: not collected"),EXACT(metadata!T548,"missing: not provided"),EXACT(metadata!T548,"missing: restricted access"))),AND(IF(metadata!T548="",FALSE,ISNUMBER(VALUE(metadata!T548))),metadata!T548&gt;=-180,metadata!T548&lt;=180))</f>
        <v>0</v>
      </c>
      <c r="BF548" t="b">
        <f>AND(IF(metadata!U548="",FALSE,TRUE),EXACT(metadata!U548,"Decimal degrees"))</f>
        <v>0</v>
      </c>
      <c r="BG548" t="b">
        <f>IF(metadata!V548="",FALSE,TRUE)</f>
        <v>0</v>
      </c>
      <c r="BH548" t="b">
        <f>OR(AND(IF(metadata!W548="",FALSE,TRUE),OR(EXACT(metadata!W548,"missing: not collected"),EXACT(metadata!W548,"missing: not provided"),EXACT(metadata!W548,"missing: restricted access"))),AND(IF(metadata!W548="",FALSE,TRUE),OR(EXACT(metadata!W548,"TRUE"),EXACT(metadata!W548,"FALSE"))))</f>
        <v>0</v>
      </c>
      <c r="BI548" t="b">
        <f>AND(IF(metadata!X548="",FALSE,TRUE),EXACT(metadata!X548,"other"))</f>
        <v>0</v>
      </c>
      <c r="BJ548" t="b">
        <f>IF(metadata!Y548="",FALSE,TRUE)</f>
        <v>0</v>
      </c>
      <c r="BK548" t="b">
        <f>OR(AND(IF(metadata!Z548="",FALSE,TRUE),OR(EXACT(metadata!Z548,"missing: not collected"),EXACT(metadata!Z548,"missing: not provided"))),AND(IF(metadata!Z548="",FALSE,IF(ISERROR(INT(metadata!Z548)),FALSE,INT(metadata!Z548)=metadata!Z548)),metadata!Z548&gt;0))</f>
        <v>0</v>
      </c>
      <c r="BL548" t="b">
        <f>AND(IF(metadata!AA548="",FALSE,TRUE),EXACT(metadata!AA548,"Not applicable"))</f>
        <v>0</v>
      </c>
      <c r="BM548" t="b">
        <f>IF(metadata!AB548="",FALSE,TRUE)</f>
        <v>0</v>
      </c>
    </row>
    <row r="549" spans="1:65" x14ac:dyDescent="0.2">
      <c r="A549" s="5" t="str">
        <f ca="1">IF(B549=" "," ",HYPERLINK(CONCATENATE("#metadata!",ADDRESS(INDEX($AH$2:$AH$1001,MATCH(ROWS($AF$2:AF549),$AF$2:$AF$1001,0),0),1)),INDEX($AK$2:$AK$1001,MATCH(ROWS($AF$2:AF549),$AF$2:$AF$1001,0),0)))</f>
        <v xml:space="preserve"> </v>
      </c>
      <c r="B549" s="4" t="str">
        <f ca="1">IF(OR(INDEX($AG$2:$AG$1001,MATCH(ROWS($AF$2:AF549),$AF$2:$AF$1001,0),1)&gt;=100000,INDEX($AM$1005:$BM$1005,1,MATCH(COLUMNS($AM$1006:AM1006),$AM$1006:$BM$1006,0))&gt;=100000), " ",IF(INDEX($AM$2:$BM$1001,MATCH(ROWS($AF$2:AF549),$AF$2:$AF$1001,0),MATCH(COLUMNS($AM$1006:AM1006),$AM$1006:$BM$1006,0)), HYPERLINK("#",""), HYPERLINK(CONCATENATE("#metadata!", ADDRESS(INDEX($AH$2:$AH$1001,MATCH(ROWS($AF$2:AF549),$AF$2:$AF$1001,0),0), INDEX($AM$1004:$BM$1004,1,MATCH(COLUMNS($AM$1006:AM1006),$AM$1006:$BM$1006,0)))),"Fix")))</f>
        <v xml:space="preserve"> </v>
      </c>
      <c r="C549" s="4" t="str">
        <f ca="1">IF(OR(INDEX($AG$2:$AG$1001,MATCH(ROWS($AF$2:AF549),$AF$2:$AF$1001,0),1)&gt;=100000,INDEX($AM$1005:$BM$1005,1,MATCH(COLUMNS($AM$1006:AN1006),$AM$1006:$BM$1006,0))&gt;=100000), " ",IF(INDEX($AM$2:$BM$1001,MATCH(ROWS($AF$2:AF549),$AF$2:$AF$1001,0),MATCH(COLUMNS($AM$1006:AN1006),$AM$1006:$BM$1006,0)), HYPERLINK("#",""), HYPERLINK(CONCATENATE("#metadata!", ADDRESS(INDEX($AH$2:$AH$1001,MATCH(ROWS($AF$2:AF549),$AF$2:$AF$1001,0),0), INDEX($AM$1004:$BM$1004,1,MATCH(COLUMNS($AM$1006:AN1006),$AM$1006:$BM$1006,0)))),"Fix")))</f>
        <v xml:space="preserve"> </v>
      </c>
      <c r="D549" s="4" t="str">
        <f ca="1">IF(OR(INDEX($AG$2:$AG$1001,MATCH(ROWS($AF$2:AF549),$AF$2:$AF$1001,0),1)&gt;=100000,INDEX($AM$1005:$BM$1005,1,MATCH(COLUMNS($AM$1006:AO1006),$AM$1006:$BM$1006,0))&gt;=100000), " ",IF(INDEX($AM$2:$BM$1001,MATCH(ROWS($AF$2:AF549),$AF$2:$AF$1001,0),MATCH(COLUMNS($AM$1006:AO1006),$AM$1006:$BM$1006,0)), HYPERLINK("#",""), HYPERLINK(CONCATENATE("#metadata!", ADDRESS(INDEX($AH$2:$AH$1001,MATCH(ROWS($AF$2:AF549),$AF$2:$AF$1001,0),0), INDEX($AM$1004:$BM$1004,1,MATCH(COLUMNS($AM$1006:AO1006),$AM$1006:$BM$1006,0)))),"Fix")))</f>
        <v xml:space="preserve"> </v>
      </c>
      <c r="E549" s="4" t="str">
        <f ca="1">IF(OR(INDEX($AG$2:$AG$1001,MATCH(ROWS($AF$2:AF549),$AF$2:$AF$1001,0),1)&gt;=100000,INDEX($AM$1005:$BM$1005,1,MATCH(COLUMNS($AM$1006:AP1006),$AM$1006:$BM$1006,0))&gt;=100000), " ",IF(INDEX($AM$2:$BM$1001,MATCH(ROWS($AF$2:AF549),$AF$2:$AF$1001,0),MATCH(COLUMNS($AM$1006:AP1006),$AM$1006:$BM$1006,0)), HYPERLINK("#",""), HYPERLINK(CONCATENATE("#metadata!", ADDRESS(INDEX($AH$2:$AH$1001,MATCH(ROWS($AF$2:AF549),$AF$2:$AF$1001,0),0), INDEX($AM$1004:$BM$1004,1,MATCH(COLUMNS($AM$1006:AP1006),$AM$1006:$BM$1006,0)))),"Fix")))</f>
        <v xml:space="preserve"> </v>
      </c>
      <c r="F549" s="4" t="str">
        <f ca="1">IF(OR(INDEX($AG$2:$AG$1001,MATCH(ROWS($AF$2:AF549),$AF$2:$AF$1001,0),1)&gt;=100000,INDEX($AM$1005:$BM$1005,1,MATCH(COLUMNS($AM$1006:AQ1006),$AM$1006:$BM$1006,0))&gt;=100000), " ",IF(INDEX($AM$2:$BM$1001,MATCH(ROWS($AF$2:AF549),$AF$2:$AF$1001,0),MATCH(COLUMNS($AM$1006:AQ1006),$AM$1006:$BM$1006,0)), HYPERLINK("#",""), HYPERLINK(CONCATENATE("#metadata!", ADDRESS(INDEX($AH$2:$AH$1001,MATCH(ROWS($AF$2:AF549),$AF$2:$AF$1001,0),0), INDEX($AM$1004:$BM$1004,1,MATCH(COLUMNS($AM$1006:AQ1006),$AM$1006:$BM$1006,0)))),"Fix")))</f>
        <v xml:space="preserve"> </v>
      </c>
      <c r="G549" s="4" t="str">
        <f ca="1">IF(OR(INDEX($AG$2:$AG$1001,MATCH(ROWS($AF$2:AF549),$AF$2:$AF$1001,0),1)&gt;=100000,INDEX($AM$1005:$BM$1005,1,MATCH(COLUMNS($AM$1006:AR1006),$AM$1006:$BM$1006,0))&gt;=100000), " ",IF(INDEX($AM$2:$BM$1001,MATCH(ROWS($AF$2:AF549),$AF$2:$AF$1001,0),MATCH(COLUMNS($AM$1006:AR1006),$AM$1006:$BM$1006,0)), HYPERLINK("#",""), HYPERLINK(CONCATENATE("#metadata!", ADDRESS(INDEX($AH$2:$AH$1001,MATCH(ROWS($AF$2:AF549),$AF$2:$AF$1001,0),0), INDEX($AM$1004:$BM$1004,1,MATCH(COLUMNS($AM$1006:AR1006),$AM$1006:$BM$1006,0)))),"Fix")))</f>
        <v xml:space="preserve"> </v>
      </c>
      <c r="H549" s="4" t="str">
        <f ca="1">IF(OR(INDEX($AG$2:$AG$1001,MATCH(ROWS($AF$2:AF549),$AF$2:$AF$1001,0),1)&gt;=100000,INDEX($AM$1005:$BM$1005,1,MATCH(COLUMNS($AM$1006:AS1006),$AM$1006:$BM$1006,0))&gt;=100000), " ",IF(INDEX($AM$2:$BM$1001,MATCH(ROWS($AF$2:AF549),$AF$2:$AF$1001,0),MATCH(COLUMNS($AM$1006:AS1006),$AM$1006:$BM$1006,0)), HYPERLINK("#",""), HYPERLINK(CONCATENATE("#metadata!", ADDRESS(INDEX($AH$2:$AH$1001,MATCH(ROWS($AF$2:AF549),$AF$2:$AF$1001,0),0), INDEX($AM$1004:$BM$1004,1,MATCH(COLUMNS($AM$1006:AS1006),$AM$1006:$BM$1006,0)))),"Fix")))</f>
        <v xml:space="preserve"> </v>
      </c>
      <c r="I549" s="4" t="str">
        <f ca="1">IF(OR(INDEX($AG$2:$AG$1001,MATCH(ROWS($AF$2:AF549),$AF$2:$AF$1001,0),1)&gt;=100000,INDEX($AM$1005:$BM$1005,1,MATCH(COLUMNS($AM$1006:AT1006),$AM$1006:$BM$1006,0))&gt;=100000), " ",IF(INDEX($AM$2:$BM$1001,MATCH(ROWS($AF$2:AF549),$AF$2:$AF$1001,0),MATCH(COLUMNS($AM$1006:AT1006),$AM$1006:$BM$1006,0)), HYPERLINK("#",""), HYPERLINK(CONCATENATE("#metadata!", ADDRESS(INDEX($AH$2:$AH$1001,MATCH(ROWS($AF$2:AF549),$AF$2:$AF$1001,0),0), INDEX($AM$1004:$BM$1004,1,MATCH(COLUMNS($AM$1006:AT1006),$AM$1006:$BM$1006,0)))),"Fix")))</f>
        <v xml:space="preserve"> </v>
      </c>
      <c r="J549" s="4" t="str">
        <f ca="1">IF(OR(INDEX($AG$2:$AG$1001,MATCH(ROWS($AF$2:AF549),$AF$2:$AF$1001,0),1)&gt;=100000,INDEX($AM$1005:$BM$1005,1,MATCH(COLUMNS($AM$1006:AU1006),$AM$1006:$BM$1006,0))&gt;=100000), " ",IF(INDEX($AM$2:$BM$1001,MATCH(ROWS($AF$2:AF549),$AF$2:$AF$1001,0),MATCH(COLUMNS($AM$1006:AU1006),$AM$1006:$BM$1006,0)), HYPERLINK("#",""), HYPERLINK(CONCATENATE("#metadata!", ADDRESS(INDEX($AH$2:$AH$1001,MATCH(ROWS($AF$2:AF549),$AF$2:$AF$1001,0),0), INDEX($AM$1004:$BM$1004,1,MATCH(COLUMNS($AM$1006:AU1006),$AM$1006:$BM$1006,0)))),"Fix")))</f>
        <v xml:space="preserve"> </v>
      </c>
      <c r="K549" s="4" t="str">
        <f ca="1">IF(OR(INDEX($AG$2:$AG$1001,MATCH(ROWS($AF$2:AF549),$AF$2:$AF$1001,0),1)&gt;=100000,INDEX($AM$1005:$BM$1005,1,MATCH(COLUMNS($AM$1006:AV1006),$AM$1006:$BM$1006,0))&gt;=100000), " ",IF(INDEX($AM$2:$BM$1001,MATCH(ROWS($AF$2:AF549),$AF$2:$AF$1001,0),MATCH(COLUMNS($AM$1006:AV1006),$AM$1006:$BM$1006,0)), HYPERLINK("#",""), HYPERLINK(CONCATENATE("#metadata!", ADDRESS(INDEX($AH$2:$AH$1001,MATCH(ROWS($AF$2:AF549),$AF$2:$AF$1001,0),0), INDEX($AM$1004:$BM$1004,1,MATCH(COLUMNS($AM$1006:AV1006),$AM$1006:$BM$1006,0)))),"Fix")))</f>
        <v xml:space="preserve"> </v>
      </c>
      <c r="L549" s="4" t="str">
        <f ca="1">IF(OR(INDEX($AG$2:$AG$1001,MATCH(ROWS($AF$2:AF549),$AF$2:$AF$1001,0),1)&gt;=100000,INDEX($AM$1005:$BM$1005,1,MATCH(COLUMNS($AM$1006:AW1006),$AM$1006:$BM$1006,0))&gt;=100000), " ",IF(INDEX($AM$2:$BM$1001,MATCH(ROWS($AF$2:AF549),$AF$2:$AF$1001,0),MATCH(COLUMNS($AM$1006:AW1006),$AM$1006:$BM$1006,0)), HYPERLINK("#",""), HYPERLINK(CONCATENATE("#metadata!", ADDRESS(INDEX($AH$2:$AH$1001,MATCH(ROWS($AF$2:AF549),$AF$2:$AF$1001,0),0), INDEX($AM$1004:$BM$1004,1,MATCH(COLUMNS($AM$1006:AW1006),$AM$1006:$BM$1006,0)))),"Fix")))</f>
        <v xml:space="preserve"> </v>
      </c>
      <c r="M549" s="4" t="str">
        <f ca="1">IF(OR(INDEX($AG$2:$AG$1001,MATCH(ROWS($AF$2:AF549),$AF$2:$AF$1001,0),1)&gt;=100000,INDEX($AM$1005:$BM$1005,1,MATCH(COLUMNS($AM$1006:AX1006),$AM$1006:$BM$1006,0))&gt;=100000), " ",IF(INDEX($AM$2:$BM$1001,MATCH(ROWS($AF$2:AF549),$AF$2:$AF$1001,0),MATCH(COLUMNS($AM$1006:AX1006),$AM$1006:$BM$1006,0)), HYPERLINK("#",""), HYPERLINK(CONCATENATE("#metadata!", ADDRESS(INDEX($AH$2:$AH$1001,MATCH(ROWS($AF$2:AF549),$AF$2:$AF$1001,0),0), INDEX($AM$1004:$BM$1004,1,MATCH(COLUMNS($AM$1006:AX1006),$AM$1006:$BM$1006,0)))),"Fix")))</f>
        <v xml:space="preserve"> </v>
      </c>
      <c r="N549" s="4" t="str">
        <f ca="1">IF(OR(INDEX($AG$2:$AG$1001,MATCH(ROWS($AF$2:AF549),$AF$2:$AF$1001,0),1)&gt;=100000,INDEX($AM$1005:$BM$1005,1,MATCH(COLUMNS($AM$1006:AY1006),$AM$1006:$BM$1006,0))&gt;=100000), " ",IF(INDEX($AM$2:$BM$1001,MATCH(ROWS($AF$2:AF549),$AF$2:$AF$1001,0),MATCH(COLUMNS($AM$1006:AY1006),$AM$1006:$BM$1006,0)), HYPERLINK("#",""), HYPERLINK(CONCATENATE("#metadata!", ADDRESS(INDEX($AH$2:$AH$1001,MATCH(ROWS($AF$2:AF549),$AF$2:$AF$1001,0),0), INDEX($AM$1004:$BM$1004,1,MATCH(COLUMNS($AM$1006:AY1006),$AM$1006:$BM$1006,0)))),"Fix")))</f>
        <v xml:space="preserve"> </v>
      </c>
      <c r="O549" s="4" t="str">
        <f ca="1">IF(OR(INDEX($AG$2:$AG$1001,MATCH(ROWS($AF$2:AF549),$AF$2:$AF$1001,0),1)&gt;=100000,INDEX($AM$1005:$BM$1005,1,MATCH(COLUMNS($AM$1006:AZ1006),$AM$1006:$BM$1006,0))&gt;=100000), " ",IF(INDEX($AM$2:$BM$1001,MATCH(ROWS($AF$2:AF549),$AF$2:$AF$1001,0),MATCH(COLUMNS($AM$1006:AZ1006),$AM$1006:$BM$1006,0)), HYPERLINK("#",""), HYPERLINK(CONCATENATE("#metadata!", ADDRESS(INDEX($AH$2:$AH$1001,MATCH(ROWS($AF$2:AF549),$AF$2:$AF$1001,0),0), INDEX($AM$1004:$BM$1004,1,MATCH(COLUMNS($AM$1006:AZ1006),$AM$1006:$BM$1006,0)))),"Fix")))</f>
        <v xml:space="preserve"> </v>
      </c>
      <c r="P549" s="4" t="str">
        <f ca="1">IF(OR(INDEX($AG$2:$AG$1001,MATCH(ROWS($AF$2:AF549),$AF$2:$AF$1001,0),1)&gt;=100000,INDEX($AM$1005:$BM$1005,1,MATCH(COLUMNS($AM$1006:BA1006),$AM$1006:$BM$1006,0))&gt;=100000), " ",IF(INDEX($AM$2:$BM$1001,MATCH(ROWS($AF$2:AF549),$AF$2:$AF$1001,0),MATCH(COLUMNS($AM$1006:BA1006),$AM$1006:$BM$1006,0)), HYPERLINK("#",""), HYPERLINK(CONCATENATE("#metadata!", ADDRESS(INDEX($AH$2:$AH$1001,MATCH(ROWS($AF$2:AF549),$AF$2:$AF$1001,0),0), INDEX($AM$1004:$BM$1004,1,MATCH(COLUMNS($AM$1006:BA1006),$AM$1006:$BM$1006,0)))),"Fix")))</f>
        <v xml:space="preserve"> </v>
      </c>
      <c r="Q549" s="4" t="str">
        <f ca="1">IF(OR(INDEX($AG$2:$AG$1001,MATCH(ROWS($AF$2:AF549),$AF$2:$AF$1001,0),1)&gt;=100000,INDEX($AM$1005:$BM$1005,1,MATCH(COLUMNS($AM$1006:BB1006),$AM$1006:$BM$1006,0))&gt;=100000), " ",IF(INDEX($AM$2:$BM$1001,MATCH(ROWS($AF$2:AF549),$AF$2:$AF$1001,0),MATCH(COLUMNS($AM$1006:BB1006),$AM$1006:$BM$1006,0)), HYPERLINK("#",""), HYPERLINK(CONCATENATE("#metadata!", ADDRESS(INDEX($AH$2:$AH$1001,MATCH(ROWS($AF$2:AF549),$AF$2:$AF$1001,0),0), INDEX($AM$1004:$BM$1004,1,MATCH(COLUMNS($AM$1006:BB1006),$AM$1006:$BM$1006,0)))),"Fix")))</f>
        <v xml:space="preserve"> </v>
      </c>
      <c r="R549" s="4" t="str">
        <f ca="1">IF(OR(INDEX($AG$2:$AG$1001,MATCH(ROWS($AF$2:AF549),$AF$2:$AF$1001,0),1)&gt;=100000,INDEX($AM$1005:$BM$1005,1,MATCH(COLUMNS($AM$1006:BC1006),$AM$1006:$BM$1006,0))&gt;=100000), " ",IF(INDEX($AM$2:$BM$1001,MATCH(ROWS($AF$2:AF549),$AF$2:$AF$1001,0),MATCH(COLUMNS($AM$1006:BC1006),$AM$1006:$BM$1006,0)), HYPERLINK("#",""), HYPERLINK(CONCATENATE("#metadata!", ADDRESS(INDEX($AH$2:$AH$1001,MATCH(ROWS($AF$2:AF549),$AF$2:$AF$1001,0),0), INDEX($AM$1004:$BM$1004,1,MATCH(COLUMNS($AM$1006:BC1006),$AM$1006:$BM$1006,0)))),"Fix")))</f>
        <v xml:space="preserve"> </v>
      </c>
      <c r="S549" s="4" t="str">
        <f ca="1">IF(OR(INDEX($AG$2:$AG$1001,MATCH(ROWS($AF$2:AF549),$AF$2:$AF$1001,0),1)&gt;=100000,INDEX($AM$1005:$BM$1005,1,MATCH(COLUMNS($AM$1006:BD1006),$AM$1006:$BM$1006,0))&gt;=100000), " ",IF(INDEX($AM$2:$BM$1001,MATCH(ROWS($AF$2:AF549),$AF$2:$AF$1001,0),MATCH(COLUMNS($AM$1006:BD1006),$AM$1006:$BM$1006,0)), HYPERLINK("#",""), HYPERLINK(CONCATENATE("#metadata!", ADDRESS(INDEX($AH$2:$AH$1001,MATCH(ROWS($AF$2:AF549),$AF$2:$AF$1001,0),0), INDEX($AM$1004:$BM$1004,1,MATCH(COLUMNS($AM$1006:BD1006),$AM$1006:$BM$1006,0)))),"Fix")))</f>
        <v xml:space="preserve"> </v>
      </c>
      <c r="T549" s="4" t="str">
        <f ca="1">IF(OR(INDEX($AG$2:$AG$1001,MATCH(ROWS($AF$2:AF549),$AF$2:$AF$1001,0),1)&gt;=100000,INDEX($AM$1005:$BM$1005,1,MATCH(COLUMNS($AM$1006:BE1006),$AM$1006:$BM$1006,0))&gt;=100000), " ",IF(INDEX($AM$2:$BM$1001,MATCH(ROWS($AF$2:AF549),$AF$2:$AF$1001,0),MATCH(COLUMNS($AM$1006:BE1006),$AM$1006:$BM$1006,0)), HYPERLINK("#",""), HYPERLINK(CONCATENATE("#metadata!", ADDRESS(INDEX($AH$2:$AH$1001,MATCH(ROWS($AF$2:AF549),$AF$2:$AF$1001,0),0), INDEX($AM$1004:$BM$1004,1,MATCH(COLUMNS($AM$1006:BE1006),$AM$1006:$BM$1006,0)))),"Fix")))</f>
        <v xml:space="preserve"> </v>
      </c>
      <c r="U549" s="4" t="str">
        <f ca="1">IF(OR(INDEX($AG$2:$AG$1001,MATCH(ROWS($AF$2:AF549),$AF$2:$AF$1001,0),1)&gt;=100000,INDEX($AM$1005:$BM$1005,1,MATCH(COLUMNS($AM$1006:BF1006),$AM$1006:$BM$1006,0))&gt;=100000), " ",IF(INDEX($AM$2:$BM$1001,MATCH(ROWS($AF$2:AF549),$AF$2:$AF$1001,0),MATCH(COLUMNS($AM$1006:BF1006),$AM$1006:$BM$1006,0)), HYPERLINK("#",""), HYPERLINK(CONCATENATE("#metadata!", ADDRESS(INDEX($AH$2:$AH$1001,MATCH(ROWS($AF$2:AF549),$AF$2:$AF$1001,0),0), INDEX($AM$1004:$BM$1004,1,MATCH(COLUMNS($AM$1006:BF1006),$AM$1006:$BM$1006,0)))),"Fix")))</f>
        <v xml:space="preserve"> </v>
      </c>
      <c r="V549" s="4" t="str">
        <f ca="1">IF(OR(INDEX($AG$2:$AG$1001,MATCH(ROWS($AF$2:AF549),$AF$2:$AF$1001,0),1)&gt;=100000,INDEX($AM$1005:$BM$1005,1,MATCH(COLUMNS($AM$1006:BG1006),$AM$1006:$BM$1006,0))&gt;=100000), " ",IF(INDEX($AM$2:$BM$1001,MATCH(ROWS($AF$2:AF549),$AF$2:$AF$1001,0),MATCH(COLUMNS($AM$1006:BG1006),$AM$1006:$BM$1006,0)), HYPERLINK("#",""), HYPERLINK(CONCATENATE("#metadata!", ADDRESS(INDEX($AH$2:$AH$1001,MATCH(ROWS($AF$2:AF549),$AF$2:$AF$1001,0),0), INDEX($AM$1004:$BM$1004,1,MATCH(COLUMNS($AM$1006:BG1006),$AM$1006:$BM$1006,0)))),"Fix")))</f>
        <v xml:space="preserve"> </v>
      </c>
      <c r="W549" s="4" t="str">
        <f ca="1">IF(OR(INDEX($AG$2:$AG$1001,MATCH(ROWS($AF$2:AF549),$AF$2:$AF$1001,0),1)&gt;=100000,INDEX($AM$1005:$BM$1005,1,MATCH(COLUMNS($AM$1006:BH1006),$AM$1006:$BM$1006,0))&gt;=100000), " ",IF(INDEX($AM$2:$BM$1001,MATCH(ROWS($AF$2:AF549),$AF$2:$AF$1001,0),MATCH(COLUMNS($AM$1006:BH1006),$AM$1006:$BM$1006,0)), HYPERLINK("#",""), HYPERLINK(CONCATENATE("#metadata!", ADDRESS(INDEX($AH$2:$AH$1001,MATCH(ROWS($AF$2:AF549),$AF$2:$AF$1001,0),0), INDEX($AM$1004:$BM$1004,1,MATCH(COLUMNS($AM$1006:BH1006),$AM$1006:$BM$1006,0)))),"Fix")))</f>
        <v xml:space="preserve"> </v>
      </c>
      <c r="X549" s="4" t="str">
        <f ca="1">IF(OR(INDEX($AG$2:$AG$1001,MATCH(ROWS($AF$2:AF549),$AF$2:$AF$1001,0),1)&gt;=100000,INDEX($AM$1005:$BM$1005,1,MATCH(COLUMNS($AM$1006:BI1006),$AM$1006:$BM$1006,0))&gt;=100000), " ",IF(INDEX($AM$2:$BM$1001,MATCH(ROWS($AF$2:AF549),$AF$2:$AF$1001,0),MATCH(COLUMNS($AM$1006:BI1006),$AM$1006:$BM$1006,0)), HYPERLINK("#",""), HYPERLINK(CONCATENATE("#metadata!", ADDRESS(INDEX($AH$2:$AH$1001,MATCH(ROWS($AF$2:AF549),$AF$2:$AF$1001,0),0), INDEX($AM$1004:$BM$1004,1,MATCH(COLUMNS($AM$1006:BI1006),$AM$1006:$BM$1006,0)))),"Fix")))</f>
        <v xml:space="preserve"> </v>
      </c>
      <c r="Y549" s="4" t="str">
        <f ca="1">IF(OR(INDEX($AG$2:$AG$1001,MATCH(ROWS($AF$2:AF549),$AF$2:$AF$1001,0),1)&gt;=100000,INDEX($AM$1005:$BM$1005,1,MATCH(COLUMNS($AM$1006:BJ1006),$AM$1006:$BM$1006,0))&gt;=100000), " ",IF(INDEX($AM$2:$BM$1001,MATCH(ROWS($AF$2:AF549),$AF$2:$AF$1001,0),MATCH(COLUMNS($AM$1006:BJ1006),$AM$1006:$BM$1006,0)), HYPERLINK("#",""), HYPERLINK(CONCATENATE("#metadata!", ADDRESS(INDEX($AH$2:$AH$1001,MATCH(ROWS($AF$2:AF549),$AF$2:$AF$1001,0),0), INDEX($AM$1004:$BM$1004,1,MATCH(COLUMNS($AM$1006:BJ1006),$AM$1006:$BM$1006,0)))),"Fix")))</f>
        <v xml:space="preserve"> </v>
      </c>
      <c r="Z549" s="4" t="str">
        <f ca="1">IF(OR(INDEX($AG$2:$AG$1001,MATCH(ROWS($AF$2:AF549),$AF$2:$AF$1001,0),1)&gt;=100000,INDEX($AM$1005:$BM$1005,1,MATCH(COLUMNS($AM$1006:BK1006),$AM$1006:$BM$1006,0))&gt;=100000), " ",IF(INDEX($AM$2:$BM$1001,MATCH(ROWS($AF$2:AF549),$AF$2:$AF$1001,0),MATCH(COLUMNS($AM$1006:BK1006),$AM$1006:$BM$1006,0)), HYPERLINK("#",""), HYPERLINK(CONCATENATE("#metadata!", ADDRESS(INDEX($AH$2:$AH$1001,MATCH(ROWS($AF$2:AF549),$AF$2:$AF$1001,0),0), INDEX($AM$1004:$BM$1004,1,MATCH(COLUMNS($AM$1006:BK1006),$AM$1006:$BM$1006,0)))),"Fix")))</f>
        <v xml:space="preserve"> </v>
      </c>
      <c r="AA549" s="4" t="str">
        <f ca="1">IF(OR(INDEX($AG$2:$AG$1001,MATCH(ROWS($AF$2:AF549),$AF$2:$AF$1001,0),1)&gt;=100000,INDEX($AM$1005:$BM$1005,1,MATCH(COLUMNS($AM$1006:BL1006),$AM$1006:$BM$1006,0))&gt;=100000), " ",IF(INDEX($AM$2:$BM$1001,MATCH(ROWS($AF$2:AF549),$AF$2:$AF$1001,0),MATCH(COLUMNS($AM$1006:BL1006),$AM$1006:$BM$1006,0)), HYPERLINK("#",""), HYPERLINK(CONCATENATE("#metadata!", ADDRESS(INDEX($AH$2:$AH$1001,MATCH(ROWS($AF$2:AF549),$AF$2:$AF$1001,0),0), INDEX($AM$1004:$BM$1004,1,MATCH(COLUMNS($AM$1006:BL1006),$AM$1006:$BM$1006,0)))),"Fix")))</f>
        <v xml:space="preserve"> </v>
      </c>
      <c r="AB549" s="4" t="str">
        <f ca="1">IF(OR(INDEX($AG$2:$AG$1001,MATCH(ROWS($AF$2:AF549),$AF$2:$AF$1001,0),1)&gt;=100000,INDEX($AM$1005:$BM$1005,1,MATCH(COLUMNS($AM$1006:BM1006),$AM$1006:$BM$1006,0))&gt;=100000), " ",IF(INDEX($AM$2:$BM$1001,MATCH(ROWS($AF$2:AF549),$AF$2:$AF$1001,0),MATCH(COLUMNS($AM$1006:BM1006),$AM$1006:$BM$1006,0)), HYPERLINK("#",""), HYPERLINK(CONCATENATE("#metadata!", ADDRESS(INDEX($AH$2:$AH$1001,MATCH(ROWS($AF$2:AF549),$AF$2:$AF$1001,0),0), INDEX($AM$1004:$BM$1004,1,MATCH(COLUMNS($AM$1006:BM1006),$AM$1006:$BM$1006,0)))),"Fix")))</f>
        <v xml:space="preserve"> </v>
      </c>
      <c r="AF549">
        <v>548</v>
      </c>
      <c r="AG549">
        <v>100549</v>
      </c>
      <c r="AH549">
        <v>549</v>
      </c>
      <c r="AI549" t="b">
        <f t="shared" si="8"/>
        <v>1</v>
      </c>
      <c r="AJ549" t="b">
        <f>COUNTBLANK(metadata!B549:AB549)=COLUMNS(metadata!B549:AB549)</f>
        <v>1</v>
      </c>
      <c r="AK549" t="str">
        <v/>
      </c>
      <c r="AM549" t="b">
        <f ca="1">AND(IF(metadata!B549="",FALSE,TRUE),COUNTIF(metadata!B:B, metadata!B549) = 1,NOT(ISERROR(SUMPRODUCT(SEARCH(MID(metadata!B549,ROW(INDIRECT("1:"&amp;LEN(metadata!B549))), 1),"0123456789abcdefghijklmnopqrstuvwxyzABCDEFGHIJKLMNOPQRSTUVWXYZ.")))))</f>
        <v>0</v>
      </c>
      <c r="AN549" t="b">
        <f ca="1">OR(AND(IF(metadata!C549="",FALSE,TRUE),OR(EXACT(metadata!C549,"missing: not collected"),EXACT(metadata!C549,"missing: not provided"),EXACT(metadata!C549,"missing: restricted access"))),AND(IF(metadata!C549="",FALSE,TRUE),AND(AND(IFERROR(INT(LEFT(metadata!C549,4))&gt;1900,FALSE),IFERROR(INT(LEFT(metadata!C549,4))&lt;=YEAR(NOW()),FALSE)), OR(MID(metadata!C549,5,1)="", AND(AND(MID(metadata!C549,5,1)="-",IFERROR(INT(MID(metadata!C549,6,1))&gt;=0,FALSE),IFERROR(INT(MID(metadata!C549,6,1))&lt;=1,FALSE),NOT(MID(metadata!C549,7,1)=""),IFERROR(INT(MID(metadata!C549,6,2))&gt;=1,FALSE),IFERROR(INT(MID(metadata!C549,6,2))&lt;=12,FALSE)), OR(MID(metadata!C549,8,1)="", AND(AND(MID(metadata!C549,8,1)="-",IFERROR(INT(MID(metadata!C549,9,1))&gt;=0,FALSE),IFERROR(INT(MID(metadata!C549,9,1))&lt;=3,FALSE),NOT(MID(metadata!C549,10,1)=""),IFERROR(INT(MID(metadata!C549,9,2))&gt;=1,FALSE),IFERROR(INT(MID(metadata!C549,9,2))&lt;=31,FALSE)), OR(MID(metadata!C549,11,1)="", AND(AND(MID(metadata!C549,11,1)=" ",IFERROR(INT(MID(metadata!C549,12,1))&gt;=0,FALSE),IFERROR(INT(MID(metadata!C549,12,1))&lt;=2,FALSE),NOT(MID(metadata!C549,13,1)=""),IFERROR(INT(MID(metadata!C549,12,2))&gt;=0,FALSE),IFERROR(INT(MID(metadata!C549,12,2))&lt;=23,FALSE)), OR(MID(metadata!C549,14,1)="", AND(AND(MID(metadata!C549,14,1)=":",IFERROR(INT(MID(metadata!C549,15,1))&gt;=0,FALSE),IFERROR(INT(MID(metadata!C549,15,1))&lt;=5,FALSE),NOT(MID(metadata!C549,16,1)=""),IFERROR(INT(MID(metadata!C549,15,2))&gt;=0,FALSE),IFERROR(INT(MID(metadata!C549,15,2))&lt;=59,FALSE)), OR(MID(metadata!C549,17,1)="", AND(AND(MID(metadata!C549,17,1)=":",IFERROR(INT(MID(metadata!C549,18,1))&gt;=0,FALSE),IFERROR(INT(MID(metadata!C549,18,1))&lt;=5,FALSE),NOT(MID(metadata!C549,19,1)=""),IFERROR(INT(MID(metadata!C549,18,2))&gt;=0,FALSE),IFERROR(INT(MID(metadata!C549,18,2))&lt;=59,FALSE)), LEN(metadata!C549)&lt;=19)))))))))))))</f>
        <v>0</v>
      </c>
      <c r="AO549" t="b">
        <f>AND(IF(metadata!D549="",FALSE,TRUE),EXACT(metadata!D549,"Not applicable"))</f>
        <v>0</v>
      </c>
      <c r="AP549" t="b">
        <f>IF(metadata!E549="",FALSE,TRUE)</f>
        <v>0</v>
      </c>
      <c r="AQ549" t="b">
        <f>OR(AND(IF(metadata!F549="",FALSE,TRUE),OR(EXACT(metadata!F549,"missing: not collected"),EXACT(metadata!F549,"missing: not provided"))),AND(IF(metadata!F549="",FALSE,TRUE),OR(EXACT(metadata!F549,"TRUE"),EXACT(metadata!F549,"FALSE"))))</f>
        <v>0</v>
      </c>
      <c r="AR549" t="b">
        <f>OR(AND(IF(metadata!G549="",FALSE,TRUE),OR(EXACT(metadata!G549,"missing: not collected"),EXACT(metadata!G549,"missing: not provided"),EXACT(metadata!G549,"missing: restricted access"))),AND(IF(metadata!G549="",FALSE,ISNUMBER(VALUE(metadata!G549))),metadata!G549&gt;=-413))</f>
        <v>0</v>
      </c>
      <c r="AS549" t="b">
        <f>AND(IF(metadata!H549="",FALSE,TRUE),EXACT(metadata!H549,"meters"))</f>
        <v>0</v>
      </c>
      <c r="AT549" t="b">
        <f>AND(IF(metadata!I549="",FALSE,TRUE),OR(EXACT(metadata!I549,"Host-associated"),EXACT(metadata!I549,"Free-living")))</f>
        <v>0</v>
      </c>
      <c r="AU549" t="b">
        <f>AND(IF(metadata!J549="",FALSE,TRUE),OR(EXACT(metadata!J549,"Animal"),EXACT(metadata!J549,"Fungus"),EXACT(metadata!J549,"Plant"),EXACT(metadata!J549,"Saline"),EXACT(metadata!J549,"Non-saline")))</f>
        <v>0</v>
      </c>
      <c r="AV549" t="b">
        <f>AND(IF(metadata!K549="",FALSE,TRUE),OR(EXACT(metadata!K549,"Plant secretion"),EXACT(metadata!K549,"Plant rhizosphere"),EXACT(metadata!K549,"Plant surface"),EXACT(metadata!K549,"Plant corpus"),EXACT(metadata!K549,"Fungus surface"),EXACT(metadata!K549,"Fungus corpus"),EXACT(metadata!K549,"Animal surface"),EXACT(metadata!K549,"Animal proximal gut"),EXACT(metadata!K549,"Animal corpus"),EXACT(metadata!K549,"Animal distal gut"),EXACT(metadata!K549,"Animal secretion"),EXACT(metadata!K549,"Sub-surface (non-saline)"),EXACT(metadata!K549,"Surface (non-saline)"),EXACT(metadata!K549,"Water (non-saline)"),EXACT(metadata!K549,"Soil (non-saline)"),EXACT(metadata!K549,"Aerosol (non-saline)"),EXACT(metadata!K549,"Sediment (non-saline)"),EXACT(metadata!K549,"Surface (saline)"),EXACT(metadata!K549,"Water (saline)"),EXACT(metadata!K549,"Hypersaline (saline)"),EXACT(metadata!K549,"Aerosol (saline)"),EXACT(metadata!K549,"Sediment (saline)")))</f>
        <v>0</v>
      </c>
      <c r="AW549" t="b">
        <f>IF(metadata!L549="",FALSE,TRUE)</f>
        <v>0</v>
      </c>
      <c r="AX549" t="b">
        <f>IF(metadata!M549="",FALSE,TRUE)</f>
        <v>0</v>
      </c>
      <c r="AY549" t="b">
        <f>IF(metadata!N549="",FALSE,TRUE)</f>
        <v>0</v>
      </c>
      <c r="AZ549" t="b">
        <f>OR(AND(IF(metadata!O549="",FALSE,TRUE),OR(EXACT(metadata!O549,"missing: not collected"),EXACT(metadata!O549,"missing: not provided"),EXACT(metadata!O549,"missing: restricted access"))),AND(IF(metadata!O549="",FALSE,TRUE),OR(EXACT(metadata!O549,"air"),EXACT(metadata!O549,"built environment"),EXACT(metadata!O549,"host-associated"),EXACT(metadata!O549,"human-associated"),EXACT(metadata!O549,"human-skin"),EXACT(metadata!O549,"human-oral"),EXACT(metadata!O549,"human-gut"),EXACT(metadata!O549,"human-vaginal"),EXACT(metadata!O549,"microbial mat/biofilm"),EXACT(metadata!O549,"misc environment"),EXACT(metadata!O549,"plant-associated"),EXACT(metadata!O549,"sediment"),EXACT(metadata!O549,"soil"),EXACT(metadata!O549,"wastewater/sludge"),EXACT(metadata!O549,"water"))))</f>
        <v>0</v>
      </c>
      <c r="BA549" t="b">
        <f>IF(metadata!P549="",FALSE,TRUE)</f>
        <v>0</v>
      </c>
      <c r="BB549" t="b">
        <f>IF(metadata!Q549="",FALSE,TRUE)</f>
        <v>0</v>
      </c>
      <c r="BC549" t="b">
        <f>OR(AND(IF(metadata!R549="",FALSE,TRUE),OR(EXACT(metadata!R549,"missing: not collected"),EXACT(metadata!R549,"missing: not provided"),EXACT(metadata!R549,"missing: restricted access"))),AND(IF(metadata!R549="",FALSE,ISNUMBER(VALUE(metadata!R549))),metadata!R549&gt;=-90,metadata!R549&lt;=90))</f>
        <v>0</v>
      </c>
      <c r="BD549" t="b">
        <f>AND(IF(metadata!S549="",FALSE,TRUE),EXACT(metadata!S549,"Decimal degrees"))</f>
        <v>0</v>
      </c>
      <c r="BE549" t="b">
        <f>OR(AND(IF(metadata!T549="",FALSE,TRUE),OR(EXACT(metadata!T549,"missing: not collected"),EXACT(metadata!T549,"missing: not provided"),EXACT(metadata!T549,"missing: restricted access"))),AND(IF(metadata!T549="",FALSE,ISNUMBER(VALUE(metadata!T549))),metadata!T549&gt;=-180,metadata!T549&lt;=180))</f>
        <v>0</v>
      </c>
      <c r="BF549" t="b">
        <f>AND(IF(metadata!U549="",FALSE,TRUE),EXACT(metadata!U549,"Decimal degrees"))</f>
        <v>0</v>
      </c>
      <c r="BG549" t="b">
        <f>IF(metadata!V549="",FALSE,TRUE)</f>
        <v>0</v>
      </c>
      <c r="BH549" t="b">
        <f>OR(AND(IF(metadata!W549="",FALSE,TRUE),OR(EXACT(metadata!W549,"missing: not collected"),EXACT(metadata!W549,"missing: not provided"),EXACT(metadata!W549,"missing: restricted access"))),AND(IF(metadata!W549="",FALSE,TRUE),OR(EXACT(metadata!W549,"TRUE"),EXACT(metadata!W549,"FALSE"))))</f>
        <v>0</v>
      </c>
      <c r="BI549" t="b">
        <f>AND(IF(metadata!X549="",FALSE,TRUE),EXACT(metadata!X549,"other"))</f>
        <v>0</v>
      </c>
      <c r="BJ549" t="b">
        <f>IF(metadata!Y549="",FALSE,TRUE)</f>
        <v>0</v>
      </c>
      <c r="BK549" t="b">
        <f>OR(AND(IF(metadata!Z549="",FALSE,TRUE),OR(EXACT(metadata!Z549,"missing: not collected"),EXACT(metadata!Z549,"missing: not provided"))),AND(IF(metadata!Z549="",FALSE,IF(ISERROR(INT(metadata!Z549)),FALSE,INT(metadata!Z549)=metadata!Z549)),metadata!Z549&gt;0))</f>
        <v>0</v>
      </c>
      <c r="BL549" t="b">
        <f>AND(IF(metadata!AA549="",FALSE,TRUE),EXACT(metadata!AA549,"Not applicable"))</f>
        <v>0</v>
      </c>
      <c r="BM549" t="b">
        <f>IF(metadata!AB549="",FALSE,TRUE)</f>
        <v>0</v>
      </c>
    </row>
    <row r="550" spans="1:65" x14ac:dyDescent="0.2">
      <c r="A550" s="5" t="str">
        <f ca="1">IF(B550=" "," ",HYPERLINK(CONCATENATE("#metadata!",ADDRESS(INDEX($AH$2:$AH$1001,MATCH(ROWS($AF$2:AF550),$AF$2:$AF$1001,0),0),1)),INDEX($AK$2:$AK$1001,MATCH(ROWS($AF$2:AF550),$AF$2:$AF$1001,0),0)))</f>
        <v xml:space="preserve"> </v>
      </c>
      <c r="B550" s="4" t="str">
        <f ca="1">IF(OR(INDEX($AG$2:$AG$1001,MATCH(ROWS($AF$2:AF550),$AF$2:$AF$1001,0),1)&gt;=100000,INDEX($AM$1005:$BM$1005,1,MATCH(COLUMNS($AM$1006:AM1006),$AM$1006:$BM$1006,0))&gt;=100000), " ",IF(INDEX($AM$2:$BM$1001,MATCH(ROWS($AF$2:AF550),$AF$2:$AF$1001,0),MATCH(COLUMNS($AM$1006:AM1006),$AM$1006:$BM$1006,0)), HYPERLINK("#",""), HYPERLINK(CONCATENATE("#metadata!", ADDRESS(INDEX($AH$2:$AH$1001,MATCH(ROWS($AF$2:AF550),$AF$2:$AF$1001,0),0), INDEX($AM$1004:$BM$1004,1,MATCH(COLUMNS($AM$1006:AM1006),$AM$1006:$BM$1006,0)))),"Fix")))</f>
        <v xml:space="preserve"> </v>
      </c>
      <c r="C550" s="4" t="str">
        <f ca="1">IF(OR(INDEX($AG$2:$AG$1001,MATCH(ROWS($AF$2:AF550),$AF$2:$AF$1001,0),1)&gt;=100000,INDEX($AM$1005:$BM$1005,1,MATCH(COLUMNS($AM$1006:AN1006),$AM$1006:$BM$1006,0))&gt;=100000), " ",IF(INDEX($AM$2:$BM$1001,MATCH(ROWS($AF$2:AF550),$AF$2:$AF$1001,0),MATCH(COLUMNS($AM$1006:AN1006),$AM$1006:$BM$1006,0)), HYPERLINK("#",""), HYPERLINK(CONCATENATE("#metadata!", ADDRESS(INDEX($AH$2:$AH$1001,MATCH(ROWS($AF$2:AF550),$AF$2:$AF$1001,0),0), INDEX($AM$1004:$BM$1004,1,MATCH(COLUMNS($AM$1006:AN1006),$AM$1006:$BM$1006,0)))),"Fix")))</f>
        <v xml:space="preserve"> </v>
      </c>
      <c r="D550" s="4" t="str">
        <f ca="1">IF(OR(INDEX($AG$2:$AG$1001,MATCH(ROWS($AF$2:AF550),$AF$2:$AF$1001,0),1)&gt;=100000,INDEX($AM$1005:$BM$1005,1,MATCH(COLUMNS($AM$1006:AO1006),$AM$1006:$BM$1006,0))&gt;=100000), " ",IF(INDEX($AM$2:$BM$1001,MATCH(ROWS($AF$2:AF550),$AF$2:$AF$1001,0),MATCH(COLUMNS($AM$1006:AO1006),$AM$1006:$BM$1006,0)), HYPERLINK("#",""), HYPERLINK(CONCATENATE("#metadata!", ADDRESS(INDEX($AH$2:$AH$1001,MATCH(ROWS($AF$2:AF550),$AF$2:$AF$1001,0),0), INDEX($AM$1004:$BM$1004,1,MATCH(COLUMNS($AM$1006:AO1006),$AM$1006:$BM$1006,0)))),"Fix")))</f>
        <v xml:space="preserve"> </v>
      </c>
      <c r="E550" s="4" t="str">
        <f ca="1">IF(OR(INDEX($AG$2:$AG$1001,MATCH(ROWS($AF$2:AF550),$AF$2:$AF$1001,0),1)&gt;=100000,INDEX($AM$1005:$BM$1005,1,MATCH(COLUMNS($AM$1006:AP1006),$AM$1006:$BM$1006,0))&gt;=100000), " ",IF(INDEX($AM$2:$BM$1001,MATCH(ROWS($AF$2:AF550),$AF$2:$AF$1001,0),MATCH(COLUMNS($AM$1006:AP1006),$AM$1006:$BM$1006,0)), HYPERLINK("#",""), HYPERLINK(CONCATENATE("#metadata!", ADDRESS(INDEX($AH$2:$AH$1001,MATCH(ROWS($AF$2:AF550),$AF$2:$AF$1001,0),0), INDEX($AM$1004:$BM$1004,1,MATCH(COLUMNS($AM$1006:AP1006),$AM$1006:$BM$1006,0)))),"Fix")))</f>
        <v xml:space="preserve"> </v>
      </c>
      <c r="F550" s="4" t="str">
        <f ca="1">IF(OR(INDEX($AG$2:$AG$1001,MATCH(ROWS($AF$2:AF550),$AF$2:$AF$1001,0),1)&gt;=100000,INDEX($AM$1005:$BM$1005,1,MATCH(COLUMNS($AM$1006:AQ1006),$AM$1006:$BM$1006,0))&gt;=100000), " ",IF(INDEX($AM$2:$BM$1001,MATCH(ROWS($AF$2:AF550),$AF$2:$AF$1001,0),MATCH(COLUMNS($AM$1006:AQ1006),$AM$1006:$BM$1006,0)), HYPERLINK("#",""), HYPERLINK(CONCATENATE("#metadata!", ADDRESS(INDEX($AH$2:$AH$1001,MATCH(ROWS($AF$2:AF550),$AF$2:$AF$1001,0),0), INDEX($AM$1004:$BM$1004,1,MATCH(COLUMNS($AM$1006:AQ1006),$AM$1006:$BM$1006,0)))),"Fix")))</f>
        <v xml:space="preserve"> </v>
      </c>
      <c r="G550" s="4" t="str">
        <f ca="1">IF(OR(INDEX($AG$2:$AG$1001,MATCH(ROWS($AF$2:AF550),$AF$2:$AF$1001,0),1)&gt;=100000,INDEX($AM$1005:$BM$1005,1,MATCH(COLUMNS($AM$1006:AR1006),$AM$1006:$BM$1006,0))&gt;=100000), " ",IF(INDEX($AM$2:$BM$1001,MATCH(ROWS($AF$2:AF550),$AF$2:$AF$1001,0),MATCH(COLUMNS($AM$1006:AR1006),$AM$1006:$BM$1006,0)), HYPERLINK("#",""), HYPERLINK(CONCATENATE("#metadata!", ADDRESS(INDEX($AH$2:$AH$1001,MATCH(ROWS($AF$2:AF550),$AF$2:$AF$1001,0),0), INDEX($AM$1004:$BM$1004,1,MATCH(COLUMNS($AM$1006:AR1006),$AM$1006:$BM$1006,0)))),"Fix")))</f>
        <v xml:space="preserve"> </v>
      </c>
      <c r="H550" s="4" t="str">
        <f ca="1">IF(OR(INDEX($AG$2:$AG$1001,MATCH(ROWS($AF$2:AF550),$AF$2:$AF$1001,0),1)&gt;=100000,INDEX($AM$1005:$BM$1005,1,MATCH(COLUMNS($AM$1006:AS1006),$AM$1006:$BM$1006,0))&gt;=100000), " ",IF(INDEX($AM$2:$BM$1001,MATCH(ROWS($AF$2:AF550),$AF$2:$AF$1001,0),MATCH(COLUMNS($AM$1006:AS1006),$AM$1006:$BM$1006,0)), HYPERLINK("#",""), HYPERLINK(CONCATENATE("#metadata!", ADDRESS(INDEX($AH$2:$AH$1001,MATCH(ROWS($AF$2:AF550),$AF$2:$AF$1001,0),0), INDEX($AM$1004:$BM$1004,1,MATCH(COLUMNS($AM$1006:AS1006),$AM$1006:$BM$1006,0)))),"Fix")))</f>
        <v xml:space="preserve"> </v>
      </c>
      <c r="I550" s="4" t="str">
        <f ca="1">IF(OR(INDEX($AG$2:$AG$1001,MATCH(ROWS($AF$2:AF550),$AF$2:$AF$1001,0),1)&gt;=100000,INDEX($AM$1005:$BM$1005,1,MATCH(COLUMNS($AM$1006:AT1006),$AM$1006:$BM$1006,0))&gt;=100000), " ",IF(INDEX($AM$2:$BM$1001,MATCH(ROWS($AF$2:AF550),$AF$2:$AF$1001,0),MATCH(COLUMNS($AM$1006:AT1006),$AM$1006:$BM$1006,0)), HYPERLINK("#",""), HYPERLINK(CONCATENATE("#metadata!", ADDRESS(INDEX($AH$2:$AH$1001,MATCH(ROWS($AF$2:AF550),$AF$2:$AF$1001,0),0), INDEX($AM$1004:$BM$1004,1,MATCH(COLUMNS($AM$1006:AT1006),$AM$1006:$BM$1006,0)))),"Fix")))</f>
        <v xml:space="preserve"> </v>
      </c>
      <c r="J550" s="4" t="str">
        <f ca="1">IF(OR(INDEX($AG$2:$AG$1001,MATCH(ROWS($AF$2:AF550),$AF$2:$AF$1001,0),1)&gt;=100000,INDEX($AM$1005:$BM$1005,1,MATCH(COLUMNS($AM$1006:AU1006),$AM$1006:$BM$1006,0))&gt;=100000), " ",IF(INDEX($AM$2:$BM$1001,MATCH(ROWS($AF$2:AF550),$AF$2:$AF$1001,0),MATCH(COLUMNS($AM$1006:AU1006),$AM$1006:$BM$1006,0)), HYPERLINK("#",""), HYPERLINK(CONCATENATE("#metadata!", ADDRESS(INDEX($AH$2:$AH$1001,MATCH(ROWS($AF$2:AF550),$AF$2:$AF$1001,0),0), INDEX($AM$1004:$BM$1004,1,MATCH(COLUMNS($AM$1006:AU1006),$AM$1006:$BM$1006,0)))),"Fix")))</f>
        <v xml:space="preserve"> </v>
      </c>
      <c r="K550" s="4" t="str">
        <f ca="1">IF(OR(INDEX($AG$2:$AG$1001,MATCH(ROWS($AF$2:AF550),$AF$2:$AF$1001,0),1)&gt;=100000,INDEX($AM$1005:$BM$1005,1,MATCH(COLUMNS($AM$1006:AV1006),$AM$1006:$BM$1006,0))&gt;=100000), " ",IF(INDEX($AM$2:$BM$1001,MATCH(ROWS($AF$2:AF550),$AF$2:$AF$1001,0),MATCH(COLUMNS($AM$1006:AV1006),$AM$1006:$BM$1006,0)), HYPERLINK("#",""), HYPERLINK(CONCATENATE("#metadata!", ADDRESS(INDEX($AH$2:$AH$1001,MATCH(ROWS($AF$2:AF550),$AF$2:$AF$1001,0),0), INDEX($AM$1004:$BM$1004,1,MATCH(COLUMNS($AM$1006:AV1006),$AM$1006:$BM$1006,0)))),"Fix")))</f>
        <v xml:space="preserve"> </v>
      </c>
      <c r="L550" s="4" t="str">
        <f ca="1">IF(OR(INDEX($AG$2:$AG$1001,MATCH(ROWS($AF$2:AF550),$AF$2:$AF$1001,0),1)&gt;=100000,INDEX($AM$1005:$BM$1005,1,MATCH(COLUMNS($AM$1006:AW1006),$AM$1006:$BM$1006,0))&gt;=100000), " ",IF(INDEX($AM$2:$BM$1001,MATCH(ROWS($AF$2:AF550),$AF$2:$AF$1001,0),MATCH(COLUMNS($AM$1006:AW1006),$AM$1006:$BM$1006,0)), HYPERLINK("#",""), HYPERLINK(CONCATENATE("#metadata!", ADDRESS(INDEX($AH$2:$AH$1001,MATCH(ROWS($AF$2:AF550),$AF$2:$AF$1001,0),0), INDEX($AM$1004:$BM$1004,1,MATCH(COLUMNS($AM$1006:AW1006),$AM$1006:$BM$1006,0)))),"Fix")))</f>
        <v xml:space="preserve"> </v>
      </c>
      <c r="M550" s="4" t="str">
        <f ca="1">IF(OR(INDEX($AG$2:$AG$1001,MATCH(ROWS($AF$2:AF550),$AF$2:$AF$1001,0),1)&gt;=100000,INDEX($AM$1005:$BM$1005,1,MATCH(COLUMNS($AM$1006:AX1006),$AM$1006:$BM$1006,0))&gt;=100000), " ",IF(INDEX($AM$2:$BM$1001,MATCH(ROWS($AF$2:AF550),$AF$2:$AF$1001,0),MATCH(COLUMNS($AM$1006:AX1006),$AM$1006:$BM$1006,0)), HYPERLINK("#",""), HYPERLINK(CONCATENATE("#metadata!", ADDRESS(INDEX($AH$2:$AH$1001,MATCH(ROWS($AF$2:AF550),$AF$2:$AF$1001,0),0), INDEX($AM$1004:$BM$1004,1,MATCH(COLUMNS($AM$1006:AX1006),$AM$1006:$BM$1006,0)))),"Fix")))</f>
        <v xml:space="preserve"> </v>
      </c>
      <c r="N550" s="4" t="str">
        <f ca="1">IF(OR(INDEX($AG$2:$AG$1001,MATCH(ROWS($AF$2:AF550),$AF$2:$AF$1001,0),1)&gt;=100000,INDEX($AM$1005:$BM$1005,1,MATCH(COLUMNS($AM$1006:AY1006),$AM$1006:$BM$1006,0))&gt;=100000), " ",IF(INDEX($AM$2:$BM$1001,MATCH(ROWS($AF$2:AF550),$AF$2:$AF$1001,0),MATCH(COLUMNS($AM$1006:AY1006),$AM$1006:$BM$1006,0)), HYPERLINK("#",""), HYPERLINK(CONCATENATE("#metadata!", ADDRESS(INDEX($AH$2:$AH$1001,MATCH(ROWS($AF$2:AF550),$AF$2:$AF$1001,0),0), INDEX($AM$1004:$BM$1004,1,MATCH(COLUMNS($AM$1006:AY1006),$AM$1006:$BM$1006,0)))),"Fix")))</f>
        <v xml:space="preserve"> </v>
      </c>
      <c r="O550" s="4" t="str">
        <f ca="1">IF(OR(INDEX($AG$2:$AG$1001,MATCH(ROWS($AF$2:AF550),$AF$2:$AF$1001,0),1)&gt;=100000,INDEX($AM$1005:$BM$1005,1,MATCH(COLUMNS($AM$1006:AZ1006),$AM$1006:$BM$1006,0))&gt;=100000), " ",IF(INDEX($AM$2:$BM$1001,MATCH(ROWS($AF$2:AF550),$AF$2:$AF$1001,0),MATCH(COLUMNS($AM$1006:AZ1006),$AM$1006:$BM$1006,0)), HYPERLINK("#",""), HYPERLINK(CONCATENATE("#metadata!", ADDRESS(INDEX($AH$2:$AH$1001,MATCH(ROWS($AF$2:AF550),$AF$2:$AF$1001,0),0), INDEX($AM$1004:$BM$1004,1,MATCH(COLUMNS($AM$1006:AZ1006),$AM$1006:$BM$1006,0)))),"Fix")))</f>
        <v xml:space="preserve"> </v>
      </c>
      <c r="P550" s="4" t="str">
        <f ca="1">IF(OR(INDEX($AG$2:$AG$1001,MATCH(ROWS($AF$2:AF550),$AF$2:$AF$1001,0),1)&gt;=100000,INDEX($AM$1005:$BM$1005,1,MATCH(COLUMNS($AM$1006:BA1006),$AM$1006:$BM$1006,0))&gt;=100000), " ",IF(INDEX($AM$2:$BM$1001,MATCH(ROWS($AF$2:AF550),$AF$2:$AF$1001,0),MATCH(COLUMNS($AM$1006:BA1006),$AM$1006:$BM$1006,0)), HYPERLINK("#",""), HYPERLINK(CONCATENATE("#metadata!", ADDRESS(INDEX($AH$2:$AH$1001,MATCH(ROWS($AF$2:AF550),$AF$2:$AF$1001,0),0), INDEX($AM$1004:$BM$1004,1,MATCH(COLUMNS($AM$1006:BA1006),$AM$1006:$BM$1006,0)))),"Fix")))</f>
        <v xml:space="preserve"> </v>
      </c>
      <c r="Q550" s="4" t="str">
        <f ca="1">IF(OR(INDEX($AG$2:$AG$1001,MATCH(ROWS($AF$2:AF550),$AF$2:$AF$1001,0),1)&gt;=100000,INDEX($AM$1005:$BM$1005,1,MATCH(COLUMNS($AM$1006:BB1006),$AM$1006:$BM$1006,0))&gt;=100000), " ",IF(INDEX($AM$2:$BM$1001,MATCH(ROWS($AF$2:AF550),$AF$2:$AF$1001,0),MATCH(COLUMNS($AM$1006:BB1006),$AM$1006:$BM$1006,0)), HYPERLINK("#",""), HYPERLINK(CONCATENATE("#metadata!", ADDRESS(INDEX($AH$2:$AH$1001,MATCH(ROWS($AF$2:AF550),$AF$2:$AF$1001,0),0), INDEX($AM$1004:$BM$1004,1,MATCH(COLUMNS($AM$1006:BB1006),$AM$1006:$BM$1006,0)))),"Fix")))</f>
        <v xml:space="preserve"> </v>
      </c>
      <c r="R550" s="4" t="str">
        <f ca="1">IF(OR(INDEX($AG$2:$AG$1001,MATCH(ROWS($AF$2:AF550),$AF$2:$AF$1001,0),1)&gt;=100000,INDEX($AM$1005:$BM$1005,1,MATCH(COLUMNS($AM$1006:BC1006),$AM$1006:$BM$1006,0))&gt;=100000), " ",IF(INDEX($AM$2:$BM$1001,MATCH(ROWS($AF$2:AF550),$AF$2:$AF$1001,0),MATCH(COLUMNS($AM$1006:BC1006),$AM$1006:$BM$1006,0)), HYPERLINK("#",""), HYPERLINK(CONCATENATE("#metadata!", ADDRESS(INDEX($AH$2:$AH$1001,MATCH(ROWS($AF$2:AF550),$AF$2:$AF$1001,0),0), INDEX($AM$1004:$BM$1004,1,MATCH(COLUMNS($AM$1006:BC1006),$AM$1006:$BM$1006,0)))),"Fix")))</f>
        <v xml:space="preserve"> </v>
      </c>
      <c r="S550" s="4" t="str">
        <f ca="1">IF(OR(INDEX($AG$2:$AG$1001,MATCH(ROWS($AF$2:AF550),$AF$2:$AF$1001,0),1)&gt;=100000,INDEX($AM$1005:$BM$1005,1,MATCH(COLUMNS($AM$1006:BD1006),$AM$1006:$BM$1006,0))&gt;=100000), " ",IF(INDEX($AM$2:$BM$1001,MATCH(ROWS($AF$2:AF550),$AF$2:$AF$1001,0),MATCH(COLUMNS($AM$1006:BD1006),$AM$1006:$BM$1006,0)), HYPERLINK("#",""), HYPERLINK(CONCATENATE("#metadata!", ADDRESS(INDEX($AH$2:$AH$1001,MATCH(ROWS($AF$2:AF550),$AF$2:$AF$1001,0),0), INDEX($AM$1004:$BM$1004,1,MATCH(COLUMNS($AM$1006:BD1006),$AM$1006:$BM$1006,0)))),"Fix")))</f>
        <v xml:space="preserve"> </v>
      </c>
      <c r="T550" s="4" t="str">
        <f ca="1">IF(OR(INDEX($AG$2:$AG$1001,MATCH(ROWS($AF$2:AF550),$AF$2:$AF$1001,0),1)&gt;=100000,INDEX($AM$1005:$BM$1005,1,MATCH(COLUMNS($AM$1006:BE1006),$AM$1006:$BM$1006,0))&gt;=100000), " ",IF(INDEX($AM$2:$BM$1001,MATCH(ROWS($AF$2:AF550),$AF$2:$AF$1001,0),MATCH(COLUMNS($AM$1006:BE1006),$AM$1006:$BM$1006,0)), HYPERLINK("#",""), HYPERLINK(CONCATENATE("#metadata!", ADDRESS(INDEX($AH$2:$AH$1001,MATCH(ROWS($AF$2:AF550),$AF$2:$AF$1001,0),0), INDEX($AM$1004:$BM$1004,1,MATCH(COLUMNS($AM$1006:BE1006),$AM$1006:$BM$1006,0)))),"Fix")))</f>
        <v xml:space="preserve"> </v>
      </c>
      <c r="U550" s="4" t="str">
        <f ca="1">IF(OR(INDEX($AG$2:$AG$1001,MATCH(ROWS($AF$2:AF550),$AF$2:$AF$1001,0),1)&gt;=100000,INDEX($AM$1005:$BM$1005,1,MATCH(COLUMNS($AM$1006:BF1006),$AM$1006:$BM$1006,0))&gt;=100000), " ",IF(INDEX($AM$2:$BM$1001,MATCH(ROWS($AF$2:AF550),$AF$2:$AF$1001,0),MATCH(COLUMNS($AM$1006:BF1006),$AM$1006:$BM$1006,0)), HYPERLINK("#",""), HYPERLINK(CONCATENATE("#metadata!", ADDRESS(INDEX($AH$2:$AH$1001,MATCH(ROWS($AF$2:AF550),$AF$2:$AF$1001,0),0), INDEX($AM$1004:$BM$1004,1,MATCH(COLUMNS($AM$1006:BF1006),$AM$1006:$BM$1006,0)))),"Fix")))</f>
        <v xml:space="preserve"> </v>
      </c>
      <c r="V550" s="4" t="str">
        <f ca="1">IF(OR(INDEX($AG$2:$AG$1001,MATCH(ROWS($AF$2:AF550),$AF$2:$AF$1001,0),1)&gt;=100000,INDEX($AM$1005:$BM$1005,1,MATCH(COLUMNS($AM$1006:BG1006),$AM$1006:$BM$1006,0))&gt;=100000), " ",IF(INDEX($AM$2:$BM$1001,MATCH(ROWS($AF$2:AF550),$AF$2:$AF$1001,0),MATCH(COLUMNS($AM$1006:BG1006),$AM$1006:$BM$1006,0)), HYPERLINK("#",""), HYPERLINK(CONCATENATE("#metadata!", ADDRESS(INDEX($AH$2:$AH$1001,MATCH(ROWS($AF$2:AF550),$AF$2:$AF$1001,0),0), INDEX($AM$1004:$BM$1004,1,MATCH(COLUMNS($AM$1006:BG1006),$AM$1006:$BM$1006,0)))),"Fix")))</f>
        <v xml:space="preserve"> </v>
      </c>
      <c r="W550" s="4" t="str">
        <f ca="1">IF(OR(INDEX($AG$2:$AG$1001,MATCH(ROWS($AF$2:AF550),$AF$2:$AF$1001,0),1)&gt;=100000,INDEX($AM$1005:$BM$1005,1,MATCH(COLUMNS($AM$1006:BH1006),$AM$1006:$BM$1006,0))&gt;=100000), " ",IF(INDEX($AM$2:$BM$1001,MATCH(ROWS($AF$2:AF550),$AF$2:$AF$1001,0),MATCH(COLUMNS($AM$1006:BH1006),$AM$1006:$BM$1006,0)), HYPERLINK("#",""), HYPERLINK(CONCATENATE("#metadata!", ADDRESS(INDEX($AH$2:$AH$1001,MATCH(ROWS($AF$2:AF550),$AF$2:$AF$1001,0),0), INDEX($AM$1004:$BM$1004,1,MATCH(COLUMNS($AM$1006:BH1006),$AM$1006:$BM$1006,0)))),"Fix")))</f>
        <v xml:space="preserve"> </v>
      </c>
      <c r="X550" s="4" t="str">
        <f ca="1">IF(OR(INDEX($AG$2:$AG$1001,MATCH(ROWS($AF$2:AF550),$AF$2:$AF$1001,0),1)&gt;=100000,INDEX($AM$1005:$BM$1005,1,MATCH(COLUMNS($AM$1006:BI1006),$AM$1006:$BM$1006,0))&gt;=100000), " ",IF(INDEX($AM$2:$BM$1001,MATCH(ROWS($AF$2:AF550),$AF$2:$AF$1001,0),MATCH(COLUMNS($AM$1006:BI1006),$AM$1006:$BM$1006,0)), HYPERLINK("#",""), HYPERLINK(CONCATENATE("#metadata!", ADDRESS(INDEX($AH$2:$AH$1001,MATCH(ROWS($AF$2:AF550),$AF$2:$AF$1001,0),0), INDEX($AM$1004:$BM$1004,1,MATCH(COLUMNS($AM$1006:BI1006),$AM$1006:$BM$1006,0)))),"Fix")))</f>
        <v xml:space="preserve"> </v>
      </c>
      <c r="Y550" s="4" t="str">
        <f ca="1">IF(OR(INDEX($AG$2:$AG$1001,MATCH(ROWS($AF$2:AF550),$AF$2:$AF$1001,0),1)&gt;=100000,INDEX($AM$1005:$BM$1005,1,MATCH(COLUMNS($AM$1006:BJ1006),$AM$1006:$BM$1006,0))&gt;=100000), " ",IF(INDEX($AM$2:$BM$1001,MATCH(ROWS($AF$2:AF550),$AF$2:$AF$1001,0),MATCH(COLUMNS($AM$1006:BJ1006),$AM$1006:$BM$1006,0)), HYPERLINK("#",""), HYPERLINK(CONCATENATE("#metadata!", ADDRESS(INDEX($AH$2:$AH$1001,MATCH(ROWS($AF$2:AF550),$AF$2:$AF$1001,0),0), INDEX($AM$1004:$BM$1004,1,MATCH(COLUMNS($AM$1006:BJ1006),$AM$1006:$BM$1006,0)))),"Fix")))</f>
        <v xml:space="preserve"> </v>
      </c>
      <c r="Z550" s="4" t="str">
        <f ca="1">IF(OR(INDEX($AG$2:$AG$1001,MATCH(ROWS($AF$2:AF550),$AF$2:$AF$1001,0),1)&gt;=100000,INDEX($AM$1005:$BM$1005,1,MATCH(COLUMNS($AM$1006:BK1006),$AM$1006:$BM$1006,0))&gt;=100000), " ",IF(INDEX($AM$2:$BM$1001,MATCH(ROWS($AF$2:AF550),$AF$2:$AF$1001,0),MATCH(COLUMNS($AM$1006:BK1006),$AM$1006:$BM$1006,0)), HYPERLINK("#",""), HYPERLINK(CONCATENATE("#metadata!", ADDRESS(INDEX($AH$2:$AH$1001,MATCH(ROWS($AF$2:AF550),$AF$2:$AF$1001,0),0), INDEX($AM$1004:$BM$1004,1,MATCH(COLUMNS($AM$1006:BK1006),$AM$1006:$BM$1006,0)))),"Fix")))</f>
        <v xml:space="preserve"> </v>
      </c>
      <c r="AA550" s="4" t="str">
        <f ca="1">IF(OR(INDEX($AG$2:$AG$1001,MATCH(ROWS($AF$2:AF550),$AF$2:$AF$1001,0),1)&gt;=100000,INDEX($AM$1005:$BM$1005,1,MATCH(COLUMNS($AM$1006:BL1006),$AM$1006:$BM$1006,0))&gt;=100000), " ",IF(INDEX($AM$2:$BM$1001,MATCH(ROWS($AF$2:AF550),$AF$2:$AF$1001,0),MATCH(COLUMNS($AM$1006:BL1006),$AM$1006:$BM$1006,0)), HYPERLINK("#",""), HYPERLINK(CONCATENATE("#metadata!", ADDRESS(INDEX($AH$2:$AH$1001,MATCH(ROWS($AF$2:AF550),$AF$2:$AF$1001,0),0), INDEX($AM$1004:$BM$1004,1,MATCH(COLUMNS($AM$1006:BL1006),$AM$1006:$BM$1006,0)))),"Fix")))</f>
        <v xml:space="preserve"> </v>
      </c>
      <c r="AB550" s="4" t="str">
        <f ca="1">IF(OR(INDEX($AG$2:$AG$1001,MATCH(ROWS($AF$2:AF550),$AF$2:$AF$1001,0),1)&gt;=100000,INDEX($AM$1005:$BM$1005,1,MATCH(COLUMNS($AM$1006:BM1006),$AM$1006:$BM$1006,0))&gt;=100000), " ",IF(INDEX($AM$2:$BM$1001,MATCH(ROWS($AF$2:AF550),$AF$2:$AF$1001,0),MATCH(COLUMNS($AM$1006:BM1006),$AM$1006:$BM$1006,0)), HYPERLINK("#",""), HYPERLINK(CONCATENATE("#metadata!", ADDRESS(INDEX($AH$2:$AH$1001,MATCH(ROWS($AF$2:AF550),$AF$2:$AF$1001,0),0), INDEX($AM$1004:$BM$1004,1,MATCH(COLUMNS($AM$1006:BM1006),$AM$1006:$BM$1006,0)))),"Fix")))</f>
        <v xml:space="preserve"> </v>
      </c>
      <c r="AF550">
        <v>549</v>
      </c>
      <c r="AG550">
        <v>100550</v>
      </c>
      <c r="AH550">
        <v>550</v>
      </c>
      <c r="AI550" t="b">
        <f t="shared" si="8"/>
        <v>1</v>
      </c>
      <c r="AJ550" t="b">
        <f>COUNTBLANK(metadata!B550:AB550)=COLUMNS(metadata!B550:AB550)</f>
        <v>1</v>
      </c>
      <c r="AK550" t="str">
        <v/>
      </c>
      <c r="AM550" t="b">
        <f ca="1">AND(IF(metadata!B550="",FALSE,TRUE),COUNTIF(metadata!B:B, metadata!B550) = 1,NOT(ISERROR(SUMPRODUCT(SEARCH(MID(metadata!B550,ROW(INDIRECT("1:"&amp;LEN(metadata!B550))), 1),"0123456789abcdefghijklmnopqrstuvwxyzABCDEFGHIJKLMNOPQRSTUVWXYZ.")))))</f>
        <v>0</v>
      </c>
      <c r="AN550" t="b">
        <f ca="1">OR(AND(IF(metadata!C550="",FALSE,TRUE),OR(EXACT(metadata!C550,"missing: not collected"),EXACT(metadata!C550,"missing: not provided"),EXACT(metadata!C550,"missing: restricted access"))),AND(IF(metadata!C550="",FALSE,TRUE),AND(AND(IFERROR(INT(LEFT(metadata!C550,4))&gt;1900,FALSE),IFERROR(INT(LEFT(metadata!C550,4))&lt;=YEAR(NOW()),FALSE)), OR(MID(metadata!C550,5,1)="", AND(AND(MID(metadata!C550,5,1)="-",IFERROR(INT(MID(metadata!C550,6,1))&gt;=0,FALSE),IFERROR(INT(MID(metadata!C550,6,1))&lt;=1,FALSE),NOT(MID(metadata!C550,7,1)=""),IFERROR(INT(MID(metadata!C550,6,2))&gt;=1,FALSE),IFERROR(INT(MID(metadata!C550,6,2))&lt;=12,FALSE)), OR(MID(metadata!C550,8,1)="", AND(AND(MID(metadata!C550,8,1)="-",IFERROR(INT(MID(metadata!C550,9,1))&gt;=0,FALSE),IFERROR(INT(MID(metadata!C550,9,1))&lt;=3,FALSE),NOT(MID(metadata!C550,10,1)=""),IFERROR(INT(MID(metadata!C550,9,2))&gt;=1,FALSE),IFERROR(INT(MID(metadata!C550,9,2))&lt;=31,FALSE)), OR(MID(metadata!C550,11,1)="", AND(AND(MID(metadata!C550,11,1)=" ",IFERROR(INT(MID(metadata!C550,12,1))&gt;=0,FALSE),IFERROR(INT(MID(metadata!C550,12,1))&lt;=2,FALSE),NOT(MID(metadata!C550,13,1)=""),IFERROR(INT(MID(metadata!C550,12,2))&gt;=0,FALSE),IFERROR(INT(MID(metadata!C550,12,2))&lt;=23,FALSE)), OR(MID(metadata!C550,14,1)="", AND(AND(MID(metadata!C550,14,1)=":",IFERROR(INT(MID(metadata!C550,15,1))&gt;=0,FALSE),IFERROR(INT(MID(metadata!C550,15,1))&lt;=5,FALSE),NOT(MID(metadata!C550,16,1)=""),IFERROR(INT(MID(metadata!C550,15,2))&gt;=0,FALSE),IFERROR(INT(MID(metadata!C550,15,2))&lt;=59,FALSE)), OR(MID(metadata!C550,17,1)="", AND(AND(MID(metadata!C550,17,1)=":",IFERROR(INT(MID(metadata!C550,18,1))&gt;=0,FALSE),IFERROR(INT(MID(metadata!C550,18,1))&lt;=5,FALSE),NOT(MID(metadata!C550,19,1)=""),IFERROR(INT(MID(metadata!C550,18,2))&gt;=0,FALSE),IFERROR(INT(MID(metadata!C550,18,2))&lt;=59,FALSE)), LEN(metadata!C550)&lt;=19)))))))))))))</f>
        <v>0</v>
      </c>
      <c r="AO550" t="b">
        <f>AND(IF(metadata!D550="",FALSE,TRUE),EXACT(metadata!D550,"Not applicable"))</f>
        <v>0</v>
      </c>
      <c r="AP550" t="b">
        <f>IF(metadata!E550="",FALSE,TRUE)</f>
        <v>0</v>
      </c>
      <c r="AQ550" t="b">
        <f>OR(AND(IF(metadata!F550="",FALSE,TRUE),OR(EXACT(metadata!F550,"missing: not collected"),EXACT(metadata!F550,"missing: not provided"))),AND(IF(metadata!F550="",FALSE,TRUE),OR(EXACT(metadata!F550,"TRUE"),EXACT(metadata!F550,"FALSE"))))</f>
        <v>0</v>
      </c>
      <c r="AR550" t="b">
        <f>OR(AND(IF(metadata!G550="",FALSE,TRUE),OR(EXACT(metadata!G550,"missing: not collected"),EXACT(metadata!G550,"missing: not provided"),EXACT(metadata!G550,"missing: restricted access"))),AND(IF(metadata!G550="",FALSE,ISNUMBER(VALUE(metadata!G550))),metadata!G550&gt;=-413))</f>
        <v>0</v>
      </c>
      <c r="AS550" t="b">
        <f>AND(IF(metadata!H550="",FALSE,TRUE),EXACT(metadata!H550,"meters"))</f>
        <v>0</v>
      </c>
      <c r="AT550" t="b">
        <f>AND(IF(metadata!I550="",FALSE,TRUE),OR(EXACT(metadata!I550,"Host-associated"),EXACT(metadata!I550,"Free-living")))</f>
        <v>0</v>
      </c>
      <c r="AU550" t="b">
        <f>AND(IF(metadata!J550="",FALSE,TRUE),OR(EXACT(metadata!J550,"Animal"),EXACT(metadata!J550,"Fungus"),EXACT(metadata!J550,"Plant"),EXACT(metadata!J550,"Saline"),EXACT(metadata!J550,"Non-saline")))</f>
        <v>0</v>
      </c>
      <c r="AV550" t="b">
        <f>AND(IF(metadata!K550="",FALSE,TRUE),OR(EXACT(metadata!K550,"Plant secretion"),EXACT(metadata!K550,"Plant rhizosphere"),EXACT(metadata!K550,"Plant surface"),EXACT(metadata!K550,"Plant corpus"),EXACT(metadata!K550,"Fungus surface"),EXACT(metadata!K550,"Fungus corpus"),EXACT(metadata!K550,"Animal surface"),EXACT(metadata!K550,"Animal proximal gut"),EXACT(metadata!K550,"Animal corpus"),EXACT(metadata!K550,"Animal distal gut"),EXACT(metadata!K550,"Animal secretion"),EXACT(metadata!K550,"Sub-surface (non-saline)"),EXACT(metadata!K550,"Surface (non-saline)"),EXACT(metadata!K550,"Water (non-saline)"),EXACT(metadata!K550,"Soil (non-saline)"),EXACT(metadata!K550,"Aerosol (non-saline)"),EXACT(metadata!K550,"Sediment (non-saline)"),EXACT(metadata!K550,"Surface (saline)"),EXACT(metadata!K550,"Water (saline)"),EXACT(metadata!K550,"Hypersaline (saline)"),EXACT(metadata!K550,"Aerosol (saline)"),EXACT(metadata!K550,"Sediment (saline)")))</f>
        <v>0</v>
      </c>
      <c r="AW550" t="b">
        <f>IF(metadata!L550="",FALSE,TRUE)</f>
        <v>0</v>
      </c>
      <c r="AX550" t="b">
        <f>IF(metadata!M550="",FALSE,TRUE)</f>
        <v>0</v>
      </c>
      <c r="AY550" t="b">
        <f>IF(metadata!N550="",FALSE,TRUE)</f>
        <v>0</v>
      </c>
      <c r="AZ550" t="b">
        <f>OR(AND(IF(metadata!O550="",FALSE,TRUE),OR(EXACT(metadata!O550,"missing: not collected"),EXACT(metadata!O550,"missing: not provided"),EXACT(metadata!O550,"missing: restricted access"))),AND(IF(metadata!O550="",FALSE,TRUE),OR(EXACT(metadata!O550,"air"),EXACT(metadata!O550,"built environment"),EXACT(metadata!O550,"host-associated"),EXACT(metadata!O550,"human-associated"),EXACT(metadata!O550,"human-skin"),EXACT(metadata!O550,"human-oral"),EXACT(metadata!O550,"human-gut"),EXACT(metadata!O550,"human-vaginal"),EXACT(metadata!O550,"microbial mat/biofilm"),EXACT(metadata!O550,"misc environment"),EXACT(metadata!O550,"plant-associated"),EXACT(metadata!O550,"sediment"),EXACT(metadata!O550,"soil"),EXACT(metadata!O550,"wastewater/sludge"),EXACT(metadata!O550,"water"))))</f>
        <v>0</v>
      </c>
      <c r="BA550" t="b">
        <f>IF(metadata!P550="",FALSE,TRUE)</f>
        <v>0</v>
      </c>
      <c r="BB550" t="b">
        <f>IF(metadata!Q550="",FALSE,TRUE)</f>
        <v>0</v>
      </c>
      <c r="BC550" t="b">
        <f>OR(AND(IF(metadata!R550="",FALSE,TRUE),OR(EXACT(metadata!R550,"missing: not collected"),EXACT(metadata!R550,"missing: not provided"),EXACT(metadata!R550,"missing: restricted access"))),AND(IF(metadata!R550="",FALSE,ISNUMBER(VALUE(metadata!R550))),metadata!R550&gt;=-90,metadata!R550&lt;=90))</f>
        <v>0</v>
      </c>
      <c r="BD550" t="b">
        <f>AND(IF(metadata!S550="",FALSE,TRUE),EXACT(metadata!S550,"Decimal degrees"))</f>
        <v>0</v>
      </c>
      <c r="BE550" t="b">
        <f>OR(AND(IF(metadata!T550="",FALSE,TRUE),OR(EXACT(metadata!T550,"missing: not collected"),EXACT(metadata!T550,"missing: not provided"),EXACT(metadata!T550,"missing: restricted access"))),AND(IF(metadata!T550="",FALSE,ISNUMBER(VALUE(metadata!T550))),metadata!T550&gt;=-180,metadata!T550&lt;=180))</f>
        <v>0</v>
      </c>
      <c r="BF550" t="b">
        <f>AND(IF(metadata!U550="",FALSE,TRUE),EXACT(metadata!U550,"Decimal degrees"))</f>
        <v>0</v>
      </c>
      <c r="BG550" t="b">
        <f>IF(metadata!V550="",FALSE,TRUE)</f>
        <v>0</v>
      </c>
      <c r="BH550" t="b">
        <f>OR(AND(IF(metadata!W550="",FALSE,TRUE),OR(EXACT(metadata!W550,"missing: not collected"),EXACT(metadata!W550,"missing: not provided"),EXACT(metadata!W550,"missing: restricted access"))),AND(IF(metadata!W550="",FALSE,TRUE),OR(EXACT(metadata!W550,"TRUE"),EXACT(metadata!W550,"FALSE"))))</f>
        <v>0</v>
      </c>
      <c r="BI550" t="b">
        <f>AND(IF(metadata!X550="",FALSE,TRUE),EXACT(metadata!X550,"other"))</f>
        <v>0</v>
      </c>
      <c r="BJ550" t="b">
        <f>IF(metadata!Y550="",FALSE,TRUE)</f>
        <v>0</v>
      </c>
      <c r="BK550" t="b">
        <f>OR(AND(IF(metadata!Z550="",FALSE,TRUE),OR(EXACT(metadata!Z550,"missing: not collected"),EXACT(metadata!Z550,"missing: not provided"))),AND(IF(metadata!Z550="",FALSE,IF(ISERROR(INT(metadata!Z550)),FALSE,INT(metadata!Z550)=metadata!Z550)),metadata!Z550&gt;0))</f>
        <v>0</v>
      </c>
      <c r="BL550" t="b">
        <f>AND(IF(metadata!AA550="",FALSE,TRUE),EXACT(metadata!AA550,"Not applicable"))</f>
        <v>0</v>
      </c>
      <c r="BM550" t="b">
        <f>IF(metadata!AB550="",FALSE,TRUE)</f>
        <v>0</v>
      </c>
    </row>
    <row r="551" spans="1:65" x14ac:dyDescent="0.2">
      <c r="A551" s="5" t="str">
        <f ca="1">IF(B551=" "," ",HYPERLINK(CONCATENATE("#metadata!",ADDRESS(INDEX($AH$2:$AH$1001,MATCH(ROWS($AF$2:AF551),$AF$2:$AF$1001,0),0),1)),INDEX($AK$2:$AK$1001,MATCH(ROWS($AF$2:AF551),$AF$2:$AF$1001,0),0)))</f>
        <v xml:space="preserve"> </v>
      </c>
      <c r="B551" s="4" t="str">
        <f ca="1">IF(OR(INDEX($AG$2:$AG$1001,MATCH(ROWS($AF$2:AF551),$AF$2:$AF$1001,0),1)&gt;=100000,INDEX($AM$1005:$BM$1005,1,MATCH(COLUMNS($AM$1006:AM1006),$AM$1006:$BM$1006,0))&gt;=100000), " ",IF(INDEX($AM$2:$BM$1001,MATCH(ROWS($AF$2:AF551),$AF$2:$AF$1001,0),MATCH(COLUMNS($AM$1006:AM1006),$AM$1006:$BM$1006,0)), HYPERLINK("#",""), HYPERLINK(CONCATENATE("#metadata!", ADDRESS(INDEX($AH$2:$AH$1001,MATCH(ROWS($AF$2:AF551),$AF$2:$AF$1001,0),0), INDEX($AM$1004:$BM$1004,1,MATCH(COLUMNS($AM$1006:AM1006),$AM$1006:$BM$1006,0)))),"Fix")))</f>
        <v xml:space="preserve"> </v>
      </c>
      <c r="C551" s="4" t="str">
        <f ca="1">IF(OR(INDEX($AG$2:$AG$1001,MATCH(ROWS($AF$2:AF551),$AF$2:$AF$1001,0),1)&gt;=100000,INDEX($AM$1005:$BM$1005,1,MATCH(COLUMNS($AM$1006:AN1006),$AM$1006:$BM$1006,0))&gt;=100000), " ",IF(INDEX($AM$2:$BM$1001,MATCH(ROWS($AF$2:AF551),$AF$2:$AF$1001,0),MATCH(COLUMNS($AM$1006:AN1006),$AM$1006:$BM$1006,0)), HYPERLINK("#",""), HYPERLINK(CONCATENATE("#metadata!", ADDRESS(INDEX($AH$2:$AH$1001,MATCH(ROWS($AF$2:AF551),$AF$2:$AF$1001,0),0), INDEX($AM$1004:$BM$1004,1,MATCH(COLUMNS($AM$1006:AN1006),$AM$1006:$BM$1006,0)))),"Fix")))</f>
        <v xml:space="preserve"> </v>
      </c>
      <c r="D551" s="4" t="str">
        <f ca="1">IF(OR(INDEX($AG$2:$AG$1001,MATCH(ROWS($AF$2:AF551),$AF$2:$AF$1001,0),1)&gt;=100000,INDEX($AM$1005:$BM$1005,1,MATCH(COLUMNS($AM$1006:AO1006),$AM$1006:$BM$1006,0))&gt;=100000), " ",IF(INDEX($AM$2:$BM$1001,MATCH(ROWS($AF$2:AF551),$AF$2:$AF$1001,0),MATCH(COLUMNS($AM$1006:AO1006),$AM$1006:$BM$1006,0)), HYPERLINK("#",""), HYPERLINK(CONCATENATE("#metadata!", ADDRESS(INDEX($AH$2:$AH$1001,MATCH(ROWS($AF$2:AF551),$AF$2:$AF$1001,0),0), INDEX($AM$1004:$BM$1004,1,MATCH(COLUMNS($AM$1006:AO1006),$AM$1006:$BM$1006,0)))),"Fix")))</f>
        <v xml:space="preserve"> </v>
      </c>
      <c r="E551" s="4" t="str">
        <f ca="1">IF(OR(INDEX($AG$2:$AG$1001,MATCH(ROWS($AF$2:AF551),$AF$2:$AF$1001,0),1)&gt;=100000,INDEX($AM$1005:$BM$1005,1,MATCH(COLUMNS($AM$1006:AP1006),$AM$1006:$BM$1006,0))&gt;=100000), " ",IF(INDEX($AM$2:$BM$1001,MATCH(ROWS($AF$2:AF551),$AF$2:$AF$1001,0),MATCH(COLUMNS($AM$1006:AP1006),$AM$1006:$BM$1006,0)), HYPERLINK("#",""), HYPERLINK(CONCATENATE("#metadata!", ADDRESS(INDEX($AH$2:$AH$1001,MATCH(ROWS($AF$2:AF551),$AF$2:$AF$1001,0),0), INDEX($AM$1004:$BM$1004,1,MATCH(COLUMNS($AM$1006:AP1006),$AM$1006:$BM$1006,0)))),"Fix")))</f>
        <v xml:space="preserve"> </v>
      </c>
      <c r="F551" s="4" t="str">
        <f ca="1">IF(OR(INDEX($AG$2:$AG$1001,MATCH(ROWS($AF$2:AF551),$AF$2:$AF$1001,0),1)&gt;=100000,INDEX($AM$1005:$BM$1005,1,MATCH(COLUMNS($AM$1006:AQ1006),$AM$1006:$BM$1006,0))&gt;=100000), " ",IF(INDEX($AM$2:$BM$1001,MATCH(ROWS($AF$2:AF551),$AF$2:$AF$1001,0),MATCH(COLUMNS($AM$1006:AQ1006),$AM$1006:$BM$1006,0)), HYPERLINK("#",""), HYPERLINK(CONCATENATE("#metadata!", ADDRESS(INDEX($AH$2:$AH$1001,MATCH(ROWS($AF$2:AF551),$AF$2:$AF$1001,0),0), INDEX($AM$1004:$BM$1004,1,MATCH(COLUMNS($AM$1006:AQ1006),$AM$1006:$BM$1006,0)))),"Fix")))</f>
        <v xml:space="preserve"> </v>
      </c>
      <c r="G551" s="4" t="str">
        <f ca="1">IF(OR(INDEX($AG$2:$AG$1001,MATCH(ROWS($AF$2:AF551),$AF$2:$AF$1001,0),1)&gt;=100000,INDEX($AM$1005:$BM$1005,1,MATCH(COLUMNS($AM$1006:AR1006),$AM$1006:$BM$1006,0))&gt;=100000), " ",IF(INDEX($AM$2:$BM$1001,MATCH(ROWS($AF$2:AF551),$AF$2:$AF$1001,0),MATCH(COLUMNS($AM$1006:AR1006),$AM$1006:$BM$1006,0)), HYPERLINK("#",""), HYPERLINK(CONCATENATE("#metadata!", ADDRESS(INDEX($AH$2:$AH$1001,MATCH(ROWS($AF$2:AF551),$AF$2:$AF$1001,0),0), INDEX($AM$1004:$BM$1004,1,MATCH(COLUMNS($AM$1006:AR1006),$AM$1006:$BM$1006,0)))),"Fix")))</f>
        <v xml:space="preserve"> </v>
      </c>
      <c r="H551" s="4" t="str">
        <f ca="1">IF(OR(INDEX($AG$2:$AG$1001,MATCH(ROWS($AF$2:AF551),$AF$2:$AF$1001,0),1)&gt;=100000,INDEX($AM$1005:$BM$1005,1,MATCH(COLUMNS($AM$1006:AS1006),$AM$1006:$BM$1006,0))&gt;=100000), " ",IF(INDEX($AM$2:$BM$1001,MATCH(ROWS($AF$2:AF551),$AF$2:$AF$1001,0),MATCH(COLUMNS($AM$1006:AS1006),$AM$1006:$BM$1006,0)), HYPERLINK("#",""), HYPERLINK(CONCATENATE("#metadata!", ADDRESS(INDEX($AH$2:$AH$1001,MATCH(ROWS($AF$2:AF551),$AF$2:$AF$1001,0),0), INDEX($AM$1004:$BM$1004,1,MATCH(COLUMNS($AM$1006:AS1006),$AM$1006:$BM$1006,0)))),"Fix")))</f>
        <v xml:space="preserve"> </v>
      </c>
      <c r="I551" s="4" t="str">
        <f ca="1">IF(OR(INDEX($AG$2:$AG$1001,MATCH(ROWS($AF$2:AF551),$AF$2:$AF$1001,0),1)&gt;=100000,INDEX($AM$1005:$BM$1005,1,MATCH(COLUMNS($AM$1006:AT1006),$AM$1006:$BM$1006,0))&gt;=100000), " ",IF(INDEX($AM$2:$BM$1001,MATCH(ROWS($AF$2:AF551),$AF$2:$AF$1001,0),MATCH(COLUMNS($AM$1006:AT1006),$AM$1006:$BM$1006,0)), HYPERLINK("#",""), HYPERLINK(CONCATENATE("#metadata!", ADDRESS(INDEX($AH$2:$AH$1001,MATCH(ROWS($AF$2:AF551),$AF$2:$AF$1001,0),0), INDEX($AM$1004:$BM$1004,1,MATCH(COLUMNS($AM$1006:AT1006),$AM$1006:$BM$1006,0)))),"Fix")))</f>
        <v xml:space="preserve"> </v>
      </c>
      <c r="J551" s="4" t="str">
        <f ca="1">IF(OR(INDEX($AG$2:$AG$1001,MATCH(ROWS($AF$2:AF551),$AF$2:$AF$1001,0),1)&gt;=100000,INDEX($AM$1005:$BM$1005,1,MATCH(COLUMNS($AM$1006:AU1006),$AM$1006:$BM$1006,0))&gt;=100000), " ",IF(INDEX($AM$2:$BM$1001,MATCH(ROWS($AF$2:AF551),$AF$2:$AF$1001,0),MATCH(COLUMNS($AM$1006:AU1006),$AM$1006:$BM$1006,0)), HYPERLINK("#",""), HYPERLINK(CONCATENATE("#metadata!", ADDRESS(INDEX($AH$2:$AH$1001,MATCH(ROWS($AF$2:AF551),$AF$2:$AF$1001,0),0), INDEX($AM$1004:$BM$1004,1,MATCH(COLUMNS($AM$1006:AU1006),$AM$1006:$BM$1006,0)))),"Fix")))</f>
        <v xml:space="preserve"> </v>
      </c>
      <c r="K551" s="4" t="str">
        <f ca="1">IF(OR(INDEX($AG$2:$AG$1001,MATCH(ROWS($AF$2:AF551),$AF$2:$AF$1001,0),1)&gt;=100000,INDEX($AM$1005:$BM$1005,1,MATCH(COLUMNS($AM$1006:AV1006),$AM$1006:$BM$1006,0))&gt;=100000), " ",IF(INDEX($AM$2:$BM$1001,MATCH(ROWS($AF$2:AF551),$AF$2:$AF$1001,0),MATCH(COLUMNS($AM$1006:AV1006),$AM$1006:$BM$1006,0)), HYPERLINK("#",""), HYPERLINK(CONCATENATE("#metadata!", ADDRESS(INDEX($AH$2:$AH$1001,MATCH(ROWS($AF$2:AF551),$AF$2:$AF$1001,0),0), INDEX($AM$1004:$BM$1004,1,MATCH(COLUMNS($AM$1006:AV1006),$AM$1006:$BM$1006,0)))),"Fix")))</f>
        <v xml:space="preserve"> </v>
      </c>
      <c r="L551" s="4" t="str">
        <f ca="1">IF(OR(INDEX($AG$2:$AG$1001,MATCH(ROWS($AF$2:AF551),$AF$2:$AF$1001,0),1)&gt;=100000,INDEX($AM$1005:$BM$1005,1,MATCH(COLUMNS($AM$1006:AW1006),$AM$1006:$BM$1006,0))&gt;=100000), " ",IF(INDEX($AM$2:$BM$1001,MATCH(ROWS($AF$2:AF551),$AF$2:$AF$1001,0),MATCH(COLUMNS($AM$1006:AW1006),$AM$1006:$BM$1006,0)), HYPERLINK("#",""), HYPERLINK(CONCATENATE("#metadata!", ADDRESS(INDEX($AH$2:$AH$1001,MATCH(ROWS($AF$2:AF551),$AF$2:$AF$1001,0),0), INDEX($AM$1004:$BM$1004,1,MATCH(COLUMNS($AM$1006:AW1006),$AM$1006:$BM$1006,0)))),"Fix")))</f>
        <v xml:space="preserve"> </v>
      </c>
      <c r="M551" s="4" t="str">
        <f ca="1">IF(OR(INDEX($AG$2:$AG$1001,MATCH(ROWS($AF$2:AF551),$AF$2:$AF$1001,0),1)&gt;=100000,INDEX($AM$1005:$BM$1005,1,MATCH(COLUMNS($AM$1006:AX1006),$AM$1006:$BM$1006,0))&gt;=100000), " ",IF(INDEX($AM$2:$BM$1001,MATCH(ROWS($AF$2:AF551),$AF$2:$AF$1001,0),MATCH(COLUMNS($AM$1006:AX1006),$AM$1006:$BM$1006,0)), HYPERLINK("#",""), HYPERLINK(CONCATENATE("#metadata!", ADDRESS(INDEX($AH$2:$AH$1001,MATCH(ROWS($AF$2:AF551),$AF$2:$AF$1001,0),0), INDEX($AM$1004:$BM$1004,1,MATCH(COLUMNS($AM$1006:AX1006),$AM$1006:$BM$1006,0)))),"Fix")))</f>
        <v xml:space="preserve"> </v>
      </c>
      <c r="N551" s="4" t="str">
        <f ca="1">IF(OR(INDEX($AG$2:$AG$1001,MATCH(ROWS($AF$2:AF551),$AF$2:$AF$1001,0),1)&gt;=100000,INDEX($AM$1005:$BM$1005,1,MATCH(COLUMNS($AM$1006:AY1006),$AM$1006:$BM$1006,0))&gt;=100000), " ",IF(INDEX($AM$2:$BM$1001,MATCH(ROWS($AF$2:AF551),$AF$2:$AF$1001,0),MATCH(COLUMNS($AM$1006:AY1006),$AM$1006:$BM$1006,0)), HYPERLINK("#",""), HYPERLINK(CONCATENATE("#metadata!", ADDRESS(INDEX($AH$2:$AH$1001,MATCH(ROWS($AF$2:AF551),$AF$2:$AF$1001,0),0), INDEX($AM$1004:$BM$1004,1,MATCH(COLUMNS($AM$1006:AY1006),$AM$1006:$BM$1006,0)))),"Fix")))</f>
        <v xml:space="preserve"> </v>
      </c>
      <c r="O551" s="4" t="str">
        <f ca="1">IF(OR(INDEX($AG$2:$AG$1001,MATCH(ROWS($AF$2:AF551),$AF$2:$AF$1001,0),1)&gt;=100000,INDEX($AM$1005:$BM$1005,1,MATCH(COLUMNS($AM$1006:AZ1006),$AM$1006:$BM$1006,0))&gt;=100000), " ",IF(INDEX($AM$2:$BM$1001,MATCH(ROWS($AF$2:AF551),$AF$2:$AF$1001,0),MATCH(COLUMNS($AM$1006:AZ1006),$AM$1006:$BM$1006,0)), HYPERLINK("#",""), HYPERLINK(CONCATENATE("#metadata!", ADDRESS(INDEX($AH$2:$AH$1001,MATCH(ROWS($AF$2:AF551),$AF$2:$AF$1001,0),0), INDEX($AM$1004:$BM$1004,1,MATCH(COLUMNS($AM$1006:AZ1006),$AM$1006:$BM$1006,0)))),"Fix")))</f>
        <v xml:space="preserve"> </v>
      </c>
      <c r="P551" s="4" t="str">
        <f ca="1">IF(OR(INDEX($AG$2:$AG$1001,MATCH(ROWS($AF$2:AF551),$AF$2:$AF$1001,0),1)&gt;=100000,INDEX($AM$1005:$BM$1005,1,MATCH(COLUMNS($AM$1006:BA1006),$AM$1006:$BM$1006,0))&gt;=100000), " ",IF(INDEX($AM$2:$BM$1001,MATCH(ROWS($AF$2:AF551),$AF$2:$AF$1001,0),MATCH(COLUMNS($AM$1006:BA1006),$AM$1006:$BM$1006,0)), HYPERLINK("#",""), HYPERLINK(CONCATENATE("#metadata!", ADDRESS(INDEX($AH$2:$AH$1001,MATCH(ROWS($AF$2:AF551),$AF$2:$AF$1001,0),0), INDEX($AM$1004:$BM$1004,1,MATCH(COLUMNS($AM$1006:BA1006),$AM$1006:$BM$1006,0)))),"Fix")))</f>
        <v xml:space="preserve"> </v>
      </c>
      <c r="Q551" s="4" t="str">
        <f ca="1">IF(OR(INDEX($AG$2:$AG$1001,MATCH(ROWS($AF$2:AF551),$AF$2:$AF$1001,0),1)&gt;=100000,INDEX($AM$1005:$BM$1005,1,MATCH(COLUMNS($AM$1006:BB1006),$AM$1006:$BM$1006,0))&gt;=100000), " ",IF(INDEX($AM$2:$BM$1001,MATCH(ROWS($AF$2:AF551),$AF$2:$AF$1001,0),MATCH(COLUMNS($AM$1006:BB1006),$AM$1006:$BM$1006,0)), HYPERLINK("#",""), HYPERLINK(CONCATENATE("#metadata!", ADDRESS(INDEX($AH$2:$AH$1001,MATCH(ROWS($AF$2:AF551),$AF$2:$AF$1001,0),0), INDEX($AM$1004:$BM$1004,1,MATCH(COLUMNS($AM$1006:BB1006),$AM$1006:$BM$1006,0)))),"Fix")))</f>
        <v xml:space="preserve"> </v>
      </c>
      <c r="R551" s="4" t="str">
        <f ca="1">IF(OR(INDEX($AG$2:$AG$1001,MATCH(ROWS($AF$2:AF551),$AF$2:$AF$1001,0),1)&gt;=100000,INDEX($AM$1005:$BM$1005,1,MATCH(COLUMNS($AM$1006:BC1006),$AM$1006:$BM$1006,0))&gt;=100000), " ",IF(INDEX($AM$2:$BM$1001,MATCH(ROWS($AF$2:AF551),$AF$2:$AF$1001,0),MATCH(COLUMNS($AM$1006:BC1006),$AM$1006:$BM$1006,0)), HYPERLINK("#",""), HYPERLINK(CONCATENATE("#metadata!", ADDRESS(INDEX($AH$2:$AH$1001,MATCH(ROWS($AF$2:AF551),$AF$2:$AF$1001,0),0), INDEX($AM$1004:$BM$1004,1,MATCH(COLUMNS($AM$1006:BC1006),$AM$1006:$BM$1006,0)))),"Fix")))</f>
        <v xml:space="preserve"> </v>
      </c>
      <c r="S551" s="4" t="str">
        <f ca="1">IF(OR(INDEX($AG$2:$AG$1001,MATCH(ROWS($AF$2:AF551),$AF$2:$AF$1001,0),1)&gt;=100000,INDEX($AM$1005:$BM$1005,1,MATCH(COLUMNS($AM$1006:BD1006),$AM$1006:$BM$1006,0))&gt;=100000), " ",IF(INDEX($AM$2:$BM$1001,MATCH(ROWS($AF$2:AF551),$AF$2:$AF$1001,0),MATCH(COLUMNS($AM$1006:BD1006),$AM$1006:$BM$1006,0)), HYPERLINK("#",""), HYPERLINK(CONCATENATE("#metadata!", ADDRESS(INDEX($AH$2:$AH$1001,MATCH(ROWS($AF$2:AF551),$AF$2:$AF$1001,0),0), INDEX($AM$1004:$BM$1004,1,MATCH(COLUMNS($AM$1006:BD1006),$AM$1006:$BM$1006,0)))),"Fix")))</f>
        <v xml:space="preserve"> </v>
      </c>
      <c r="T551" s="4" t="str">
        <f ca="1">IF(OR(INDEX($AG$2:$AG$1001,MATCH(ROWS($AF$2:AF551),$AF$2:$AF$1001,0),1)&gt;=100000,INDEX($AM$1005:$BM$1005,1,MATCH(COLUMNS($AM$1006:BE1006),$AM$1006:$BM$1006,0))&gt;=100000), " ",IF(INDEX($AM$2:$BM$1001,MATCH(ROWS($AF$2:AF551),$AF$2:$AF$1001,0),MATCH(COLUMNS($AM$1006:BE1006),$AM$1006:$BM$1006,0)), HYPERLINK("#",""), HYPERLINK(CONCATENATE("#metadata!", ADDRESS(INDEX($AH$2:$AH$1001,MATCH(ROWS($AF$2:AF551),$AF$2:$AF$1001,0),0), INDEX($AM$1004:$BM$1004,1,MATCH(COLUMNS($AM$1006:BE1006),$AM$1006:$BM$1006,0)))),"Fix")))</f>
        <v xml:space="preserve"> </v>
      </c>
      <c r="U551" s="4" t="str">
        <f ca="1">IF(OR(INDEX($AG$2:$AG$1001,MATCH(ROWS($AF$2:AF551),$AF$2:$AF$1001,0),1)&gt;=100000,INDEX($AM$1005:$BM$1005,1,MATCH(COLUMNS($AM$1006:BF1006),$AM$1006:$BM$1006,0))&gt;=100000), " ",IF(INDEX($AM$2:$BM$1001,MATCH(ROWS($AF$2:AF551),$AF$2:$AF$1001,0),MATCH(COLUMNS($AM$1006:BF1006),$AM$1006:$BM$1006,0)), HYPERLINK("#",""), HYPERLINK(CONCATENATE("#metadata!", ADDRESS(INDEX($AH$2:$AH$1001,MATCH(ROWS($AF$2:AF551),$AF$2:$AF$1001,0),0), INDEX($AM$1004:$BM$1004,1,MATCH(COLUMNS($AM$1006:BF1006),$AM$1006:$BM$1006,0)))),"Fix")))</f>
        <v xml:space="preserve"> </v>
      </c>
      <c r="V551" s="4" t="str">
        <f ca="1">IF(OR(INDEX($AG$2:$AG$1001,MATCH(ROWS($AF$2:AF551),$AF$2:$AF$1001,0),1)&gt;=100000,INDEX($AM$1005:$BM$1005,1,MATCH(COLUMNS($AM$1006:BG1006),$AM$1006:$BM$1006,0))&gt;=100000), " ",IF(INDEX($AM$2:$BM$1001,MATCH(ROWS($AF$2:AF551),$AF$2:$AF$1001,0),MATCH(COLUMNS($AM$1006:BG1006),$AM$1006:$BM$1006,0)), HYPERLINK("#",""), HYPERLINK(CONCATENATE("#metadata!", ADDRESS(INDEX($AH$2:$AH$1001,MATCH(ROWS($AF$2:AF551),$AF$2:$AF$1001,0),0), INDEX($AM$1004:$BM$1004,1,MATCH(COLUMNS($AM$1006:BG1006),$AM$1006:$BM$1006,0)))),"Fix")))</f>
        <v xml:space="preserve"> </v>
      </c>
      <c r="W551" s="4" t="str">
        <f ca="1">IF(OR(INDEX($AG$2:$AG$1001,MATCH(ROWS($AF$2:AF551),$AF$2:$AF$1001,0),1)&gt;=100000,INDEX($AM$1005:$BM$1005,1,MATCH(COLUMNS($AM$1006:BH1006),$AM$1006:$BM$1006,0))&gt;=100000), " ",IF(INDEX($AM$2:$BM$1001,MATCH(ROWS($AF$2:AF551),$AF$2:$AF$1001,0),MATCH(COLUMNS($AM$1006:BH1006),$AM$1006:$BM$1006,0)), HYPERLINK("#",""), HYPERLINK(CONCATENATE("#metadata!", ADDRESS(INDEX($AH$2:$AH$1001,MATCH(ROWS($AF$2:AF551),$AF$2:$AF$1001,0),0), INDEX($AM$1004:$BM$1004,1,MATCH(COLUMNS($AM$1006:BH1006),$AM$1006:$BM$1006,0)))),"Fix")))</f>
        <v xml:space="preserve"> </v>
      </c>
      <c r="X551" s="4" t="str">
        <f ca="1">IF(OR(INDEX($AG$2:$AG$1001,MATCH(ROWS($AF$2:AF551),$AF$2:$AF$1001,0),1)&gt;=100000,INDEX($AM$1005:$BM$1005,1,MATCH(COLUMNS($AM$1006:BI1006),$AM$1006:$BM$1006,0))&gt;=100000), " ",IF(INDEX($AM$2:$BM$1001,MATCH(ROWS($AF$2:AF551),$AF$2:$AF$1001,0),MATCH(COLUMNS($AM$1006:BI1006),$AM$1006:$BM$1006,0)), HYPERLINK("#",""), HYPERLINK(CONCATENATE("#metadata!", ADDRESS(INDEX($AH$2:$AH$1001,MATCH(ROWS($AF$2:AF551),$AF$2:$AF$1001,0),0), INDEX($AM$1004:$BM$1004,1,MATCH(COLUMNS($AM$1006:BI1006),$AM$1006:$BM$1006,0)))),"Fix")))</f>
        <v xml:space="preserve"> </v>
      </c>
      <c r="Y551" s="4" t="str">
        <f ca="1">IF(OR(INDEX($AG$2:$AG$1001,MATCH(ROWS($AF$2:AF551),$AF$2:$AF$1001,0),1)&gt;=100000,INDEX($AM$1005:$BM$1005,1,MATCH(COLUMNS($AM$1006:BJ1006),$AM$1006:$BM$1006,0))&gt;=100000), " ",IF(INDEX($AM$2:$BM$1001,MATCH(ROWS($AF$2:AF551),$AF$2:$AF$1001,0),MATCH(COLUMNS($AM$1006:BJ1006),$AM$1006:$BM$1006,0)), HYPERLINK("#",""), HYPERLINK(CONCATENATE("#metadata!", ADDRESS(INDEX($AH$2:$AH$1001,MATCH(ROWS($AF$2:AF551),$AF$2:$AF$1001,0),0), INDEX($AM$1004:$BM$1004,1,MATCH(COLUMNS($AM$1006:BJ1006),$AM$1006:$BM$1006,0)))),"Fix")))</f>
        <v xml:space="preserve"> </v>
      </c>
      <c r="Z551" s="4" t="str">
        <f ca="1">IF(OR(INDEX($AG$2:$AG$1001,MATCH(ROWS($AF$2:AF551),$AF$2:$AF$1001,0),1)&gt;=100000,INDEX($AM$1005:$BM$1005,1,MATCH(COLUMNS($AM$1006:BK1006),$AM$1006:$BM$1006,0))&gt;=100000), " ",IF(INDEX($AM$2:$BM$1001,MATCH(ROWS($AF$2:AF551),$AF$2:$AF$1001,0),MATCH(COLUMNS($AM$1006:BK1006),$AM$1006:$BM$1006,0)), HYPERLINK("#",""), HYPERLINK(CONCATENATE("#metadata!", ADDRESS(INDEX($AH$2:$AH$1001,MATCH(ROWS($AF$2:AF551),$AF$2:$AF$1001,0),0), INDEX($AM$1004:$BM$1004,1,MATCH(COLUMNS($AM$1006:BK1006),$AM$1006:$BM$1006,0)))),"Fix")))</f>
        <v xml:space="preserve"> </v>
      </c>
      <c r="AA551" s="4" t="str">
        <f ca="1">IF(OR(INDEX($AG$2:$AG$1001,MATCH(ROWS($AF$2:AF551),$AF$2:$AF$1001,0),1)&gt;=100000,INDEX($AM$1005:$BM$1005,1,MATCH(COLUMNS($AM$1006:BL1006),$AM$1006:$BM$1006,0))&gt;=100000), " ",IF(INDEX($AM$2:$BM$1001,MATCH(ROWS($AF$2:AF551),$AF$2:$AF$1001,0),MATCH(COLUMNS($AM$1006:BL1006),$AM$1006:$BM$1006,0)), HYPERLINK("#",""), HYPERLINK(CONCATENATE("#metadata!", ADDRESS(INDEX($AH$2:$AH$1001,MATCH(ROWS($AF$2:AF551),$AF$2:$AF$1001,0),0), INDEX($AM$1004:$BM$1004,1,MATCH(COLUMNS($AM$1006:BL1006),$AM$1006:$BM$1006,0)))),"Fix")))</f>
        <v xml:space="preserve"> </v>
      </c>
      <c r="AB551" s="4" t="str">
        <f ca="1">IF(OR(INDEX($AG$2:$AG$1001,MATCH(ROWS($AF$2:AF551),$AF$2:$AF$1001,0),1)&gt;=100000,INDEX($AM$1005:$BM$1005,1,MATCH(COLUMNS($AM$1006:BM1006),$AM$1006:$BM$1006,0))&gt;=100000), " ",IF(INDEX($AM$2:$BM$1001,MATCH(ROWS($AF$2:AF551),$AF$2:$AF$1001,0),MATCH(COLUMNS($AM$1006:BM1006),$AM$1006:$BM$1006,0)), HYPERLINK("#",""), HYPERLINK(CONCATENATE("#metadata!", ADDRESS(INDEX($AH$2:$AH$1001,MATCH(ROWS($AF$2:AF551),$AF$2:$AF$1001,0),0), INDEX($AM$1004:$BM$1004,1,MATCH(COLUMNS($AM$1006:BM1006),$AM$1006:$BM$1006,0)))),"Fix")))</f>
        <v xml:space="preserve"> </v>
      </c>
      <c r="AF551">
        <v>550</v>
      </c>
      <c r="AG551">
        <v>100551</v>
      </c>
      <c r="AH551">
        <v>551</v>
      </c>
      <c r="AI551" t="b">
        <f t="shared" si="8"/>
        <v>1</v>
      </c>
      <c r="AJ551" t="b">
        <f>COUNTBLANK(metadata!B551:AB551)=COLUMNS(metadata!B551:AB551)</f>
        <v>1</v>
      </c>
      <c r="AK551" t="str">
        <v/>
      </c>
      <c r="AM551" t="b">
        <f ca="1">AND(IF(metadata!B551="",FALSE,TRUE),COUNTIF(metadata!B:B, metadata!B551) = 1,NOT(ISERROR(SUMPRODUCT(SEARCH(MID(metadata!B551,ROW(INDIRECT("1:"&amp;LEN(metadata!B551))), 1),"0123456789abcdefghijklmnopqrstuvwxyzABCDEFGHIJKLMNOPQRSTUVWXYZ.")))))</f>
        <v>0</v>
      </c>
      <c r="AN551" t="b">
        <f ca="1">OR(AND(IF(metadata!C551="",FALSE,TRUE),OR(EXACT(metadata!C551,"missing: not collected"),EXACT(metadata!C551,"missing: not provided"),EXACT(metadata!C551,"missing: restricted access"))),AND(IF(metadata!C551="",FALSE,TRUE),AND(AND(IFERROR(INT(LEFT(metadata!C551,4))&gt;1900,FALSE),IFERROR(INT(LEFT(metadata!C551,4))&lt;=YEAR(NOW()),FALSE)), OR(MID(metadata!C551,5,1)="", AND(AND(MID(metadata!C551,5,1)="-",IFERROR(INT(MID(metadata!C551,6,1))&gt;=0,FALSE),IFERROR(INT(MID(metadata!C551,6,1))&lt;=1,FALSE),NOT(MID(metadata!C551,7,1)=""),IFERROR(INT(MID(metadata!C551,6,2))&gt;=1,FALSE),IFERROR(INT(MID(metadata!C551,6,2))&lt;=12,FALSE)), OR(MID(metadata!C551,8,1)="", AND(AND(MID(metadata!C551,8,1)="-",IFERROR(INT(MID(metadata!C551,9,1))&gt;=0,FALSE),IFERROR(INT(MID(metadata!C551,9,1))&lt;=3,FALSE),NOT(MID(metadata!C551,10,1)=""),IFERROR(INT(MID(metadata!C551,9,2))&gt;=1,FALSE),IFERROR(INT(MID(metadata!C551,9,2))&lt;=31,FALSE)), OR(MID(metadata!C551,11,1)="", AND(AND(MID(metadata!C551,11,1)=" ",IFERROR(INT(MID(metadata!C551,12,1))&gt;=0,FALSE),IFERROR(INT(MID(metadata!C551,12,1))&lt;=2,FALSE),NOT(MID(metadata!C551,13,1)=""),IFERROR(INT(MID(metadata!C551,12,2))&gt;=0,FALSE),IFERROR(INT(MID(metadata!C551,12,2))&lt;=23,FALSE)), OR(MID(metadata!C551,14,1)="", AND(AND(MID(metadata!C551,14,1)=":",IFERROR(INT(MID(metadata!C551,15,1))&gt;=0,FALSE),IFERROR(INT(MID(metadata!C551,15,1))&lt;=5,FALSE),NOT(MID(metadata!C551,16,1)=""),IFERROR(INT(MID(metadata!C551,15,2))&gt;=0,FALSE),IFERROR(INT(MID(metadata!C551,15,2))&lt;=59,FALSE)), OR(MID(metadata!C551,17,1)="", AND(AND(MID(metadata!C551,17,1)=":",IFERROR(INT(MID(metadata!C551,18,1))&gt;=0,FALSE),IFERROR(INT(MID(metadata!C551,18,1))&lt;=5,FALSE),NOT(MID(metadata!C551,19,1)=""),IFERROR(INT(MID(metadata!C551,18,2))&gt;=0,FALSE),IFERROR(INT(MID(metadata!C551,18,2))&lt;=59,FALSE)), LEN(metadata!C551)&lt;=19)))))))))))))</f>
        <v>0</v>
      </c>
      <c r="AO551" t="b">
        <f>AND(IF(metadata!D551="",FALSE,TRUE),EXACT(metadata!D551,"Not applicable"))</f>
        <v>0</v>
      </c>
      <c r="AP551" t="b">
        <f>IF(metadata!E551="",FALSE,TRUE)</f>
        <v>0</v>
      </c>
      <c r="AQ551" t="b">
        <f>OR(AND(IF(metadata!F551="",FALSE,TRUE),OR(EXACT(metadata!F551,"missing: not collected"),EXACT(metadata!F551,"missing: not provided"))),AND(IF(metadata!F551="",FALSE,TRUE),OR(EXACT(metadata!F551,"TRUE"),EXACT(metadata!F551,"FALSE"))))</f>
        <v>0</v>
      </c>
      <c r="AR551" t="b">
        <f>OR(AND(IF(metadata!G551="",FALSE,TRUE),OR(EXACT(metadata!G551,"missing: not collected"),EXACT(metadata!G551,"missing: not provided"),EXACT(metadata!G551,"missing: restricted access"))),AND(IF(metadata!G551="",FALSE,ISNUMBER(VALUE(metadata!G551))),metadata!G551&gt;=-413))</f>
        <v>0</v>
      </c>
      <c r="AS551" t="b">
        <f>AND(IF(metadata!H551="",FALSE,TRUE),EXACT(metadata!H551,"meters"))</f>
        <v>0</v>
      </c>
      <c r="AT551" t="b">
        <f>AND(IF(metadata!I551="",FALSE,TRUE),OR(EXACT(metadata!I551,"Host-associated"),EXACT(metadata!I551,"Free-living")))</f>
        <v>0</v>
      </c>
      <c r="AU551" t="b">
        <f>AND(IF(metadata!J551="",FALSE,TRUE),OR(EXACT(metadata!J551,"Animal"),EXACT(metadata!J551,"Fungus"),EXACT(metadata!J551,"Plant"),EXACT(metadata!J551,"Saline"),EXACT(metadata!J551,"Non-saline")))</f>
        <v>0</v>
      </c>
      <c r="AV551" t="b">
        <f>AND(IF(metadata!K551="",FALSE,TRUE),OR(EXACT(metadata!K551,"Plant secretion"),EXACT(metadata!K551,"Plant rhizosphere"),EXACT(metadata!K551,"Plant surface"),EXACT(metadata!K551,"Plant corpus"),EXACT(metadata!K551,"Fungus surface"),EXACT(metadata!K551,"Fungus corpus"),EXACT(metadata!K551,"Animal surface"),EXACT(metadata!K551,"Animal proximal gut"),EXACT(metadata!K551,"Animal corpus"),EXACT(metadata!K551,"Animal distal gut"),EXACT(metadata!K551,"Animal secretion"),EXACT(metadata!K551,"Sub-surface (non-saline)"),EXACT(metadata!K551,"Surface (non-saline)"),EXACT(metadata!K551,"Water (non-saline)"),EXACT(metadata!K551,"Soil (non-saline)"),EXACT(metadata!K551,"Aerosol (non-saline)"),EXACT(metadata!K551,"Sediment (non-saline)"),EXACT(metadata!K551,"Surface (saline)"),EXACT(metadata!K551,"Water (saline)"),EXACT(metadata!K551,"Hypersaline (saline)"),EXACT(metadata!K551,"Aerosol (saline)"),EXACT(metadata!K551,"Sediment (saline)")))</f>
        <v>0</v>
      </c>
      <c r="AW551" t="b">
        <f>IF(metadata!L551="",FALSE,TRUE)</f>
        <v>0</v>
      </c>
      <c r="AX551" t="b">
        <f>IF(metadata!M551="",FALSE,TRUE)</f>
        <v>0</v>
      </c>
      <c r="AY551" t="b">
        <f>IF(metadata!N551="",FALSE,TRUE)</f>
        <v>0</v>
      </c>
      <c r="AZ551" t="b">
        <f>OR(AND(IF(metadata!O551="",FALSE,TRUE),OR(EXACT(metadata!O551,"missing: not collected"),EXACT(metadata!O551,"missing: not provided"),EXACT(metadata!O551,"missing: restricted access"))),AND(IF(metadata!O551="",FALSE,TRUE),OR(EXACT(metadata!O551,"air"),EXACT(metadata!O551,"built environment"),EXACT(metadata!O551,"host-associated"),EXACT(metadata!O551,"human-associated"),EXACT(metadata!O551,"human-skin"),EXACT(metadata!O551,"human-oral"),EXACT(metadata!O551,"human-gut"),EXACT(metadata!O551,"human-vaginal"),EXACT(metadata!O551,"microbial mat/biofilm"),EXACT(metadata!O551,"misc environment"),EXACT(metadata!O551,"plant-associated"),EXACT(metadata!O551,"sediment"),EXACT(metadata!O551,"soil"),EXACT(metadata!O551,"wastewater/sludge"),EXACT(metadata!O551,"water"))))</f>
        <v>0</v>
      </c>
      <c r="BA551" t="b">
        <f>IF(metadata!P551="",FALSE,TRUE)</f>
        <v>0</v>
      </c>
      <c r="BB551" t="b">
        <f>IF(metadata!Q551="",FALSE,TRUE)</f>
        <v>0</v>
      </c>
      <c r="BC551" t="b">
        <f>OR(AND(IF(metadata!R551="",FALSE,TRUE),OR(EXACT(metadata!R551,"missing: not collected"),EXACT(metadata!R551,"missing: not provided"),EXACT(metadata!R551,"missing: restricted access"))),AND(IF(metadata!R551="",FALSE,ISNUMBER(VALUE(metadata!R551))),metadata!R551&gt;=-90,metadata!R551&lt;=90))</f>
        <v>0</v>
      </c>
      <c r="BD551" t="b">
        <f>AND(IF(metadata!S551="",FALSE,TRUE),EXACT(metadata!S551,"Decimal degrees"))</f>
        <v>0</v>
      </c>
      <c r="BE551" t="b">
        <f>OR(AND(IF(metadata!T551="",FALSE,TRUE),OR(EXACT(metadata!T551,"missing: not collected"),EXACT(metadata!T551,"missing: not provided"),EXACT(metadata!T551,"missing: restricted access"))),AND(IF(metadata!T551="",FALSE,ISNUMBER(VALUE(metadata!T551))),metadata!T551&gt;=-180,metadata!T551&lt;=180))</f>
        <v>0</v>
      </c>
      <c r="BF551" t="b">
        <f>AND(IF(metadata!U551="",FALSE,TRUE),EXACT(metadata!U551,"Decimal degrees"))</f>
        <v>0</v>
      </c>
      <c r="BG551" t="b">
        <f>IF(metadata!V551="",FALSE,TRUE)</f>
        <v>0</v>
      </c>
      <c r="BH551" t="b">
        <f>OR(AND(IF(metadata!W551="",FALSE,TRUE),OR(EXACT(metadata!W551,"missing: not collected"),EXACT(metadata!W551,"missing: not provided"),EXACT(metadata!W551,"missing: restricted access"))),AND(IF(metadata!W551="",FALSE,TRUE),OR(EXACT(metadata!W551,"TRUE"),EXACT(metadata!W551,"FALSE"))))</f>
        <v>0</v>
      </c>
      <c r="BI551" t="b">
        <f>AND(IF(metadata!X551="",FALSE,TRUE),EXACT(metadata!X551,"other"))</f>
        <v>0</v>
      </c>
      <c r="BJ551" t="b">
        <f>IF(metadata!Y551="",FALSE,TRUE)</f>
        <v>0</v>
      </c>
      <c r="BK551" t="b">
        <f>OR(AND(IF(metadata!Z551="",FALSE,TRUE),OR(EXACT(metadata!Z551,"missing: not collected"),EXACT(metadata!Z551,"missing: not provided"))),AND(IF(metadata!Z551="",FALSE,IF(ISERROR(INT(metadata!Z551)),FALSE,INT(metadata!Z551)=metadata!Z551)),metadata!Z551&gt;0))</f>
        <v>0</v>
      </c>
      <c r="BL551" t="b">
        <f>AND(IF(metadata!AA551="",FALSE,TRUE),EXACT(metadata!AA551,"Not applicable"))</f>
        <v>0</v>
      </c>
      <c r="BM551" t="b">
        <f>IF(metadata!AB551="",FALSE,TRUE)</f>
        <v>0</v>
      </c>
    </row>
    <row r="552" spans="1:65" x14ac:dyDescent="0.2">
      <c r="A552" s="5" t="str">
        <f ca="1">IF(B552=" "," ",HYPERLINK(CONCATENATE("#metadata!",ADDRESS(INDEX($AH$2:$AH$1001,MATCH(ROWS($AF$2:AF552),$AF$2:$AF$1001,0),0),1)),INDEX($AK$2:$AK$1001,MATCH(ROWS($AF$2:AF552),$AF$2:$AF$1001,0),0)))</f>
        <v xml:space="preserve"> </v>
      </c>
      <c r="B552" s="4" t="str">
        <f ca="1">IF(OR(INDEX($AG$2:$AG$1001,MATCH(ROWS($AF$2:AF552),$AF$2:$AF$1001,0),1)&gt;=100000,INDEX($AM$1005:$BM$1005,1,MATCH(COLUMNS($AM$1006:AM1006),$AM$1006:$BM$1006,0))&gt;=100000), " ",IF(INDEX($AM$2:$BM$1001,MATCH(ROWS($AF$2:AF552),$AF$2:$AF$1001,0),MATCH(COLUMNS($AM$1006:AM1006),$AM$1006:$BM$1006,0)), HYPERLINK("#",""), HYPERLINK(CONCATENATE("#metadata!", ADDRESS(INDEX($AH$2:$AH$1001,MATCH(ROWS($AF$2:AF552),$AF$2:$AF$1001,0),0), INDEX($AM$1004:$BM$1004,1,MATCH(COLUMNS($AM$1006:AM1006),$AM$1006:$BM$1006,0)))),"Fix")))</f>
        <v xml:space="preserve"> </v>
      </c>
      <c r="C552" s="4" t="str">
        <f ca="1">IF(OR(INDEX($AG$2:$AG$1001,MATCH(ROWS($AF$2:AF552),$AF$2:$AF$1001,0),1)&gt;=100000,INDEX($AM$1005:$BM$1005,1,MATCH(COLUMNS($AM$1006:AN1006),$AM$1006:$BM$1006,0))&gt;=100000), " ",IF(INDEX($AM$2:$BM$1001,MATCH(ROWS($AF$2:AF552),$AF$2:$AF$1001,0),MATCH(COLUMNS($AM$1006:AN1006),$AM$1006:$BM$1006,0)), HYPERLINK("#",""), HYPERLINK(CONCATENATE("#metadata!", ADDRESS(INDEX($AH$2:$AH$1001,MATCH(ROWS($AF$2:AF552),$AF$2:$AF$1001,0),0), INDEX($AM$1004:$BM$1004,1,MATCH(COLUMNS($AM$1006:AN1006),$AM$1006:$BM$1006,0)))),"Fix")))</f>
        <v xml:space="preserve"> </v>
      </c>
      <c r="D552" s="4" t="str">
        <f ca="1">IF(OR(INDEX($AG$2:$AG$1001,MATCH(ROWS($AF$2:AF552),$AF$2:$AF$1001,0),1)&gt;=100000,INDEX($AM$1005:$BM$1005,1,MATCH(COLUMNS($AM$1006:AO1006),$AM$1006:$BM$1006,0))&gt;=100000), " ",IF(INDEX($AM$2:$BM$1001,MATCH(ROWS($AF$2:AF552),$AF$2:$AF$1001,0),MATCH(COLUMNS($AM$1006:AO1006),$AM$1006:$BM$1006,0)), HYPERLINK("#",""), HYPERLINK(CONCATENATE("#metadata!", ADDRESS(INDEX($AH$2:$AH$1001,MATCH(ROWS($AF$2:AF552),$AF$2:$AF$1001,0),0), INDEX($AM$1004:$BM$1004,1,MATCH(COLUMNS($AM$1006:AO1006),$AM$1006:$BM$1006,0)))),"Fix")))</f>
        <v xml:space="preserve"> </v>
      </c>
      <c r="E552" s="4" t="str">
        <f ca="1">IF(OR(INDEX($AG$2:$AG$1001,MATCH(ROWS($AF$2:AF552),$AF$2:$AF$1001,0),1)&gt;=100000,INDEX($AM$1005:$BM$1005,1,MATCH(COLUMNS($AM$1006:AP1006),$AM$1006:$BM$1006,0))&gt;=100000), " ",IF(INDEX($AM$2:$BM$1001,MATCH(ROWS($AF$2:AF552),$AF$2:$AF$1001,0),MATCH(COLUMNS($AM$1006:AP1006),$AM$1006:$BM$1006,0)), HYPERLINK("#",""), HYPERLINK(CONCATENATE("#metadata!", ADDRESS(INDEX($AH$2:$AH$1001,MATCH(ROWS($AF$2:AF552),$AF$2:$AF$1001,0),0), INDEX($AM$1004:$BM$1004,1,MATCH(COLUMNS($AM$1006:AP1006),$AM$1006:$BM$1006,0)))),"Fix")))</f>
        <v xml:space="preserve"> </v>
      </c>
      <c r="F552" s="4" t="str">
        <f ca="1">IF(OR(INDEX($AG$2:$AG$1001,MATCH(ROWS($AF$2:AF552),$AF$2:$AF$1001,0),1)&gt;=100000,INDEX($AM$1005:$BM$1005,1,MATCH(COLUMNS($AM$1006:AQ1006),$AM$1006:$BM$1006,0))&gt;=100000), " ",IF(INDEX($AM$2:$BM$1001,MATCH(ROWS($AF$2:AF552),$AF$2:$AF$1001,0),MATCH(COLUMNS($AM$1006:AQ1006),$AM$1006:$BM$1006,0)), HYPERLINK("#",""), HYPERLINK(CONCATENATE("#metadata!", ADDRESS(INDEX($AH$2:$AH$1001,MATCH(ROWS($AF$2:AF552),$AF$2:$AF$1001,0),0), INDEX($AM$1004:$BM$1004,1,MATCH(COLUMNS($AM$1006:AQ1006),$AM$1006:$BM$1006,0)))),"Fix")))</f>
        <v xml:space="preserve"> </v>
      </c>
      <c r="G552" s="4" t="str">
        <f ca="1">IF(OR(INDEX($AG$2:$AG$1001,MATCH(ROWS($AF$2:AF552),$AF$2:$AF$1001,0),1)&gt;=100000,INDEX($AM$1005:$BM$1005,1,MATCH(COLUMNS($AM$1006:AR1006),$AM$1006:$BM$1006,0))&gt;=100000), " ",IF(INDEX($AM$2:$BM$1001,MATCH(ROWS($AF$2:AF552),$AF$2:$AF$1001,0),MATCH(COLUMNS($AM$1006:AR1006),$AM$1006:$BM$1006,0)), HYPERLINK("#",""), HYPERLINK(CONCATENATE("#metadata!", ADDRESS(INDEX($AH$2:$AH$1001,MATCH(ROWS($AF$2:AF552),$AF$2:$AF$1001,0),0), INDEX($AM$1004:$BM$1004,1,MATCH(COLUMNS($AM$1006:AR1006),$AM$1006:$BM$1006,0)))),"Fix")))</f>
        <v xml:space="preserve"> </v>
      </c>
      <c r="H552" s="4" t="str">
        <f ca="1">IF(OR(INDEX($AG$2:$AG$1001,MATCH(ROWS($AF$2:AF552),$AF$2:$AF$1001,0),1)&gt;=100000,INDEX($AM$1005:$BM$1005,1,MATCH(COLUMNS($AM$1006:AS1006),$AM$1006:$BM$1006,0))&gt;=100000), " ",IF(INDEX($AM$2:$BM$1001,MATCH(ROWS($AF$2:AF552),$AF$2:$AF$1001,0),MATCH(COLUMNS($AM$1006:AS1006),$AM$1006:$BM$1006,0)), HYPERLINK("#",""), HYPERLINK(CONCATENATE("#metadata!", ADDRESS(INDEX($AH$2:$AH$1001,MATCH(ROWS($AF$2:AF552),$AF$2:$AF$1001,0),0), INDEX($AM$1004:$BM$1004,1,MATCH(COLUMNS($AM$1006:AS1006),$AM$1006:$BM$1006,0)))),"Fix")))</f>
        <v xml:space="preserve"> </v>
      </c>
      <c r="I552" s="4" t="str">
        <f ca="1">IF(OR(INDEX($AG$2:$AG$1001,MATCH(ROWS($AF$2:AF552),$AF$2:$AF$1001,0),1)&gt;=100000,INDEX($AM$1005:$BM$1005,1,MATCH(COLUMNS($AM$1006:AT1006),$AM$1006:$BM$1006,0))&gt;=100000), " ",IF(INDEX($AM$2:$BM$1001,MATCH(ROWS($AF$2:AF552),$AF$2:$AF$1001,0),MATCH(COLUMNS($AM$1006:AT1006),$AM$1006:$BM$1006,0)), HYPERLINK("#",""), HYPERLINK(CONCATENATE("#metadata!", ADDRESS(INDEX($AH$2:$AH$1001,MATCH(ROWS($AF$2:AF552),$AF$2:$AF$1001,0),0), INDEX($AM$1004:$BM$1004,1,MATCH(COLUMNS($AM$1006:AT1006),$AM$1006:$BM$1006,0)))),"Fix")))</f>
        <v xml:space="preserve"> </v>
      </c>
      <c r="J552" s="4" t="str">
        <f ca="1">IF(OR(INDEX($AG$2:$AG$1001,MATCH(ROWS($AF$2:AF552),$AF$2:$AF$1001,0),1)&gt;=100000,INDEX($AM$1005:$BM$1005,1,MATCH(COLUMNS($AM$1006:AU1006),$AM$1006:$BM$1006,0))&gt;=100000), " ",IF(INDEX($AM$2:$BM$1001,MATCH(ROWS($AF$2:AF552),$AF$2:$AF$1001,0),MATCH(COLUMNS($AM$1006:AU1006),$AM$1006:$BM$1006,0)), HYPERLINK("#",""), HYPERLINK(CONCATENATE("#metadata!", ADDRESS(INDEX($AH$2:$AH$1001,MATCH(ROWS($AF$2:AF552),$AF$2:$AF$1001,0),0), INDEX($AM$1004:$BM$1004,1,MATCH(COLUMNS($AM$1006:AU1006),$AM$1006:$BM$1006,0)))),"Fix")))</f>
        <v xml:space="preserve"> </v>
      </c>
      <c r="K552" s="4" t="str">
        <f ca="1">IF(OR(INDEX($AG$2:$AG$1001,MATCH(ROWS($AF$2:AF552),$AF$2:$AF$1001,0),1)&gt;=100000,INDEX($AM$1005:$BM$1005,1,MATCH(COLUMNS($AM$1006:AV1006),$AM$1006:$BM$1006,0))&gt;=100000), " ",IF(INDEX($AM$2:$BM$1001,MATCH(ROWS($AF$2:AF552),$AF$2:$AF$1001,0),MATCH(COLUMNS($AM$1006:AV1006),$AM$1006:$BM$1006,0)), HYPERLINK("#",""), HYPERLINK(CONCATENATE("#metadata!", ADDRESS(INDEX($AH$2:$AH$1001,MATCH(ROWS($AF$2:AF552),$AF$2:$AF$1001,0),0), INDEX($AM$1004:$BM$1004,1,MATCH(COLUMNS($AM$1006:AV1006),$AM$1006:$BM$1006,0)))),"Fix")))</f>
        <v xml:space="preserve"> </v>
      </c>
      <c r="L552" s="4" t="str">
        <f ca="1">IF(OR(INDEX($AG$2:$AG$1001,MATCH(ROWS($AF$2:AF552),$AF$2:$AF$1001,0),1)&gt;=100000,INDEX($AM$1005:$BM$1005,1,MATCH(COLUMNS($AM$1006:AW1006),$AM$1006:$BM$1006,0))&gt;=100000), " ",IF(INDEX($AM$2:$BM$1001,MATCH(ROWS($AF$2:AF552),$AF$2:$AF$1001,0),MATCH(COLUMNS($AM$1006:AW1006),$AM$1006:$BM$1006,0)), HYPERLINK("#",""), HYPERLINK(CONCATENATE("#metadata!", ADDRESS(INDEX($AH$2:$AH$1001,MATCH(ROWS($AF$2:AF552),$AF$2:$AF$1001,0),0), INDEX($AM$1004:$BM$1004,1,MATCH(COLUMNS($AM$1006:AW1006),$AM$1006:$BM$1006,0)))),"Fix")))</f>
        <v xml:space="preserve"> </v>
      </c>
      <c r="M552" s="4" t="str">
        <f ca="1">IF(OR(INDEX($AG$2:$AG$1001,MATCH(ROWS($AF$2:AF552),$AF$2:$AF$1001,0),1)&gt;=100000,INDEX($AM$1005:$BM$1005,1,MATCH(COLUMNS($AM$1006:AX1006),$AM$1006:$BM$1006,0))&gt;=100000), " ",IF(INDEX($AM$2:$BM$1001,MATCH(ROWS($AF$2:AF552),$AF$2:$AF$1001,0),MATCH(COLUMNS($AM$1006:AX1006),$AM$1006:$BM$1006,0)), HYPERLINK("#",""), HYPERLINK(CONCATENATE("#metadata!", ADDRESS(INDEX($AH$2:$AH$1001,MATCH(ROWS($AF$2:AF552),$AF$2:$AF$1001,0),0), INDEX($AM$1004:$BM$1004,1,MATCH(COLUMNS($AM$1006:AX1006),$AM$1006:$BM$1006,0)))),"Fix")))</f>
        <v xml:space="preserve"> </v>
      </c>
      <c r="N552" s="4" t="str">
        <f ca="1">IF(OR(INDEX($AG$2:$AG$1001,MATCH(ROWS($AF$2:AF552),$AF$2:$AF$1001,0),1)&gt;=100000,INDEX($AM$1005:$BM$1005,1,MATCH(COLUMNS($AM$1006:AY1006),$AM$1006:$BM$1006,0))&gt;=100000), " ",IF(INDEX($AM$2:$BM$1001,MATCH(ROWS($AF$2:AF552),$AF$2:$AF$1001,0),MATCH(COLUMNS($AM$1006:AY1006),$AM$1006:$BM$1006,0)), HYPERLINK("#",""), HYPERLINK(CONCATENATE("#metadata!", ADDRESS(INDEX($AH$2:$AH$1001,MATCH(ROWS($AF$2:AF552),$AF$2:$AF$1001,0),0), INDEX($AM$1004:$BM$1004,1,MATCH(COLUMNS($AM$1006:AY1006),$AM$1006:$BM$1006,0)))),"Fix")))</f>
        <v xml:space="preserve"> </v>
      </c>
      <c r="O552" s="4" t="str">
        <f ca="1">IF(OR(INDEX($AG$2:$AG$1001,MATCH(ROWS($AF$2:AF552),$AF$2:$AF$1001,0),1)&gt;=100000,INDEX($AM$1005:$BM$1005,1,MATCH(COLUMNS($AM$1006:AZ1006),$AM$1006:$BM$1006,0))&gt;=100000), " ",IF(INDEX($AM$2:$BM$1001,MATCH(ROWS($AF$2:AF552),$AF$2:$AF$1001,0),MATCH(COLUMNS($AM$1006:AZ1006),$AM$1006:$BM$1006,0)), HYPERLINK("#",""), HYPERLINK(CONCATENATE("#metadata!", ADDRESS(INDEX($AH$2:$AH$1001,MATCH(ROWS($AF$2:AF552),$AF$2:$AF$1001,0),0), INDEX($AM$1004:$BM$1004,1,MATCH(COLUMNS($AM$1006:AZ1006),$AM$1006:$BM$1006,0)))),"Fix")))</f>
        <v xml:space="preserve"> </v>
      </c>
      <c r="P552" s="4" t="str">
        <f ca="1">IF(OR(INDEX($AG$2:$AG$1001,MATCH(ROWS($AF$2:AF552),$AF$2:$AF$1001,0),1)&gt;=100000,INDEX($AM$1005:$BM$1005,1,MATCH(COLUMNS($AM$1006:BA1006),$AM$1006:$BM$1006,0))&gt;=100000), " ",IF(INDEX($AM$2:$BM$1001,MATCH(ROWS($AF$2:AF552),$AF$2:$AF$1001,0),MATCH(COLUMNS($AM$1006:BA1006),$AM$1006:$BM$1006,0)), HYPERLINK("#",""), HYPERLINK(CONCATENATE("#metadata!", ADDRESS(INDEX($AH$2:$AH$1001,MATCH(ROWS($AF$2:AF552),$AF$2:$AF$1001,0),0), INDEX($AM$1004:$BM$1004,1,MATCH(COLUMNS($AM$1006:BA1006),$AM$1006:$BM$1006,0)))),"Fix")))</f>
        <v xml:space="preserve"> </v>
      </c>
      <c r="Q552" s="4" t="str">
        <f ca="1">IF(OR(INDEX($AG$2:$AG$1001,MATCH(ROWS($AF$2:AF552),$AF$2:$AF$1001,0),1)&gt;=100000,INDEX($AM$1005:$BM$1005,1,MATCH(COLUMNS($AM$1006:BB1006),$AM$1006:$BM$1006,0))&gt;=100000), " ",IF(INDEX($AM$2:$BM$1001,MATCH(ROWS($AF$2:AF552),$AF$2:$AF$1001,0),MATCH(COLUMNS($AM$1006:BB1006),$AM$1006:$BM$1006,0)), HYPERLINK("#",""), HYPERLINK(CONCATENATE("#metadata!", ADDRESS(INDEX($AH$2:$AH$1001,MATCH(ROWS($AF$2:AF552),$AF$2:$AF$1001,0),0), INDEX($AM$1004:$BM$1004,1,MATCH(COLUMNS($AM$1006:BB1006),$AM$1006:$BM$1006,0)))),"Fix")))</f>
        <v xml:space="preserve"> </v>
      </c>
      <c r="R552" s="4" t="str">
        <f ca="1">IF(OR(INDEX($AG$2:$AG$1001,MATCH(ROWS($AF$2:AF552),$AF$2:$AF$1001,0),1)&gt;=100000,INDEX($AM$1005:$BM$1005,1,MATCH(COLUMNS($AM$1006:BC1006),$AM$1006:$BM$1006,0))&gt;=100000), " ",IF(INDEX($AM$2:$BM$1001,MATCH(ROWS($AF$2:AF552),$AF$2:$AF$1001,0),MATCH(COLUMNS($AM$1006:BC1006),$AM$1006:$BM$1006,0)), HYPERLINK("#",""), HYPERLINK(CONCATENATE("#metadata!", ADDRESS(INDEX($AH$2:$AH$1001,MATCH(ROWS($AF$2:AF552),$AF$2:$AF$1001,0),0), INDEX($AM$1004:$BM$1004,1,MATCH(COLUMNS($AM$1006:BC1006),$AM$1006:$BM$1006,0)))),"Fix")))</f>
        <v xml:space="preserve"> </v>
      </c>
      <c r="S552" s="4" t="str">
        <f ca="1">IF(OR(INDEX($AG$2:$AG$1001,MATCH(ROWS($AF$2:AF552),$AF$2:$AF$1001,0),1)&gt;=100000,INDEX($AM$1005:$BM$1005,1,MATCH(COLUMNS($AM$1006:BD1006),$AM$1006:$BM$1006,0))&gt;=100000), " ",IF(INDEX($AM$2:$BM$1001,MATCH(ROWS($AF$2:AF552),$AF$2:$AF$1001,0),MATCH(COLUMNS($AM$1006:BD1006),$AM$1006:$BM$1006,0)), HYPERLINK("#",""), HYPERLINK(CONCATENATE("#metadata!", ADDRESS(INDEX($AH$2:$AH$1001,MATCH(ROWS($AF$2:AF552),$AF$2:$AF$1001,0),0), INDEX($AM$1004:$BM$1004,1,MATCH(COLUMNS($AM$1006:BD1006),$AM$1006:$BM$1006,0)))),"Fix")))</f>
        <v xml:space="preserve"> </v>
      </c>
      <c r="T552" s="4" t="str">
        <f ca="1">IF(OR(INDEX($AG$2:$AG$1001,MATCH(ROWS($AF$2:AF552),$AF$2:$AF$1001,0),1)&gt;=100000,INDEX($AM$1005:$BM$1005,1,MATCH(COLUMNS($AM$1006:BE1006),$AM$1006:$BM$1006,0))&gt;=100000), " ",IF(INDEX($AM$2:$BM$1001,MATCH(ROWS($AF$2:AF552),$AF$2:$AF$1001,0),MATCH(COLUMNS($AM$1006:BE1006),$AM$1006:$BM$1006,0)), HYPERLINK("#",""), HYPERLINK(CONCATENATE("#metadata!", ADDRESS(INDEX($AH$2:$AH$1001,MATCH(ROWS($AF$2:AF552),$AF$2:$AF$1001,0),0), INDEX($AM$1004:$BM$1004,1,MATCH(COLUMNS($AM$1006:BE1006),$AM$1006:$BM$1006,0)))),"Fix")))</f>
        <v xml:space="preserve"> </v>
      </c>
      <c r="U552" s="4" t="str">
        <f ca="1">IF(OR(INDEX($AG$2:$AG$1001,MATCH(ROWS($AF$2:AF552),$AF$2:$AF$1001,0),1)&gt;=100000,INDEX($AM$1005:$BM$1005,1,MATCH(COLUMNS($AM$1006:BF1006),$AM$1006:$BM$1006,0))&gt;=100000), " ",IF(INDEX($AM$2:$BM$1001,MATCH(ROWS($AF$2:AF552),$AF$2:$AF$1001,0),MATCH(COLUMNS($AM$1006:BF1006),$AM$1006:$BM$1006,0)), HYPERLINK("#",""), HYPERLINK(CONCATENATE("#metadata!", ADDRESS(INDEX($AH$2:$AH$1001,MATCH(ROWS($AF$2:AF552),$AF$2:$AF$1001,0),0), INDEX($AM$1004:$BM$1004,1,MATCH(COLUMNS($AM$1006:BF1006),$AM$1006:$BM$1006,0)))),"Fix")))</f>
        <v xml:space="preserve"> </v>
      </c>
      <c r="V552" s="4" t="str">
        <f ca="1">IF(OR(INDEX($AG$2:$AG$1001,MATCH(ROWS($AF$2:AF552),$AF$2:$AF$1001,0),1)&gt;=100000,INDEX($AM$1005:$BM$1005,1,MATCH(COLUMNS($AM$1006:BG1006),$AM$1006:$BM$1006,0))&gt;=100000), " ",IF(INDEX($AM$2:$BM$1001,MATCH(ROWS($AF$2:AF552),$AF$2:$AF$1001,0),MATCH(COLUMNS($AM$1006:BG1006),$AM$1006:$BM$1006,0)), HYPERLINK("#",""), HYPERLINK(CONCATENATE("#metadata!", ADDRESS(INDEX($AH$2:$AH$1001,MATCH(ROWS($AF$2:AF552),$AF$2:$AF$1001,0),0), INDEX($AM$1004:$BM$1004,1,MATCH(COLUMNS($AM$1006:BG1006),$AM$1006:$BM$1006,0)))),"Fix")))</f>
        <v xml:space="preserve"> </v>
      </c>
      <c r="W552" s="4" t="str">
        <f ca="1">IF(OR(INDEX($AG$2:$AG$1001,MATCH(ROWS($AF$2:AF552),$AF$2:$AF$1001,0),1)&gt;=100000,INDEX($AM$1005:$BM$1005,1,MATCH(COLUMNS($AM$1006:BH1006),$AM$1006:$BM$1006,0))&gt;=100000), " ",IF(INDEX($AM$2:$BM$1001,MATCH(ROWS($AF$2:AF552),$AF$2:$AF$1001,0),MATCH(COLUMNS($AM$1006:BH1006),$AM$1006:$BM$1006,0)), HYPERLINK("#",""), HYPERLINK(CONCATENATE("#metadata!", ADDRESS(INDEX($AH$2:$AH$1001,MATCH(ROWS($AF$2:AF552),$AF$2:$AF$1001,0),0), INDEX($AM$1004:$BM$1004,1,MATCH(COLUMNS($AM$1006:BH1006),$AM$1006:$BM$1006,0)))),"Fix")))</f>
        <v xml:space="preserve"> </v>
      </c>
      <c r="X552" s="4" t="str">
        <f ca="1">IF(OR(INDEX($AG$2:$AG$1001,MATCH(ROWS($AF$2:AF552),$AF$2:$AF$1001,0),1)&gt;=100000,INDEX($AM$1005:$BM$1005,1,MATCH(COLUMNS($AM$1006:BI1006),$AM$1006:$BM$1006,0))&gt;=100000), " ",IF(INDEX($AM$2:$BM$1001,MATCH(ROWS($AF$2:AF552),$AF$2:$AF$1001,0),MATCH(COLUMNS($AM$1006:BI1006),$AM$1006:$BM$1006,0)), HYPERLINK("#",""), HYPERLINK(CONCATENATE("#metadata!", ADDRESS(INDEX($AH$2:$AH$1001,MATCH(ROWS($AF$2:AF552),$AF$2:$AF$1001,0),0), INDEX($AM$1004:$BM$1004,1,MATCH(COLUMNS($AM$1006:BI1006),$AM$1006:$BM$1006,0)))),"Fix")))</f>
        <v xml:space="preserve"> </v>
      </c>
      <c r="Y552" s="4" t="str">
        <f ca="1">IF(OR(INDEX($AG$2:$AG$1001,MATCH(ROWS($AF$2:AF552),$AF$2:$AF$1001,0),1)&gt;=100000,INDEX($AM$1005:$BM$1005,1,MATCH(COLUMNS($AM$1006:BJ1006),$AM$1006:$BM$1006,0))&gt;=100000), " ",IF(INDEX($AM$2:$BM$1001,MATCH(ROWS($AF$2:AF552),$AF$2:$AF$1001,0),MATCH(COLUMNS($AM$1006:BJ1006),$AM$1006:$BM$1006,0)), HYPERLINK("#",""), HYPERLINK(CONCATENATE("#metadata!", ADDRESS(INDEX($AH$2:$AH$1001,MATCH(ROWS($AF$2:AF552),$AF$2:$AF$1001,0),0), INDEX($AM$1004:$BM$1004,1,MATCH(COLUMNS($AM$1006:BJ1006),$AM$1006:$BM$1006,0)))),"Fix")))</f>
        <v xml:space="preserve"> </v>
      </c>
      <c r="Z552" s="4" t="str">
        <f ca="1">IF(OR(INDEX($AG$2:$AG$1001,MATCH(ROWS($AF$2:AF552),$AF$2:$AF$1001,0),1)&gt;=100000,INDEX($AM$1005:$BM$1005,1,MATCH(COLUMNS($AM$1006:BK1006),$AM$1006:$BM$1006,0))&gt;=100000), " ",IF(INDEX($AM$2:$BM$1001,MATCH(ROWS($AF$2:AF552),$AF$2:$AF$1001,0),MATCH(COLUMNS($AM$1006:BK1006),$AM$1006:$BM$1006,0)), HYPERLINK("#",""), HYPERLINK(CONCATENATE("#metadata!", ADDRESS(INDEX($AH$2:$AH$1001,MATCH(ROWS($AF$2:AF552),$AF$2:$AF$1001,0),0), INDEX($AM$1004:$BM$1004,1,MATCH(COLUMNS($AM$1006:BK1006),$AM$1006:$BM$1006,0)))),"Fix")))</f>
        <v xml:space="preserve"> </v>
      </c>
      <c r="AA552" s="4" t="str">
        <f ca="1">IF(OR(INDEX($AG$2:$AG$1001,MATCH(ROWS($AF$2:AF552),$AF$2:$AF$1001,0),1)&gt;=100000,INDEX($AM$1005:$BM$1005,1,MATCH(COLUMNS($AM$1006:BL1006),$AM$1006:$BM$1006,0))&gt;=100000), " ",IF(INDEX($AM$2:$BM$1001,MATCH(ROWS($AF$2:AF552),$AF$2:$AF$1001,0),MATCH(COLUMNS($AM$1006:BL1006),$AM$1006:$BM$1006,0)), HYPERLINK("#",""), HYPERLINK(CONCATENATE("#metadata!", ADDRESS(INDEX($AH$2:$AH$1001,MATCH(ROWS($AF$2:AF552),$AF$2:$AF$1001,0),0), INDEX($AM$1004:$BM$1004,1,MATCH(COLUMNS($AM$1006:BL1006),$AM$1006:$BM$1006,0)))),"Fix")))</f>
        <v xml:space="preserve"> </v>
      </c>
      <c r="AB552" s="4" t="str">
        <f ca="1">IF(OR(INDEX($AG$2:$AG$1001,MATCH(ROWS($AF$2:AF552),$AF$2:$AF$1001,0),1)&gt;=100000,INDEX($AM$1005:$BM$1005,1,MATCH(COLUMNS($AM$1006:BM1006),$AM$1006:$BM$1006,0))&gt;=100000), " ",IF(INDEX($AM$2:$BM$1001,MATCH(ROWS($AF$2:AF552),$AF$2:$AF$1001,0),MATCH(COLUMNS($AM$1006:BM1006),$AM$1006:$BM$1006,0)), HYPERLINK("#",""), HYPERLINK(CONCATENATE("#metadata!", ADDRESS(INDEX($AH$2:$AH$1001,MATCH(ROWS($AF$2:AF552),$AF$2:$AF$1001,0),0), INDEX($AM$1004:$BM$1004,1,MATCH(COLUMNS($AM$1006:BM1006),$AM$1006:$BM$1006,0)))),"Fix")))</f>
        <v xml:space="preserve"> </v>
      </c>
      <c r="AF552">
        <v>551</v>
      </c>
      <c r="AG552">
        <v>100552</v>
      </c>
      <c r="AH552">
        <v>552</v>
      </c>
      <c r="AI552" t="b">
        <f t="shared" si="8"/>
        <v>1</v>
      </c>
      <c r="AJ552" t="b">
        <f>COUNTBLANK(metadata!B552:AB552)=COLUMNS(metadata!B552:AB552)</f>
        <v>1</v>
      </c>
      <c r="AK552" t="str">
        <v/>
      </c>
      <c r="AM552" t="b">
        <f ca="1">AND(IF(metadata!B552="",FALSE,TRUE),COUNTIF(metadata!B:B, metadata!B552) = 1,NOT(ISERROR(SUMPRODUCT(SEARCH(MID(metadata!B552,ROW(INDIRECT("1:"&amp;LEN(metadata!B552))), 1),"0123456789abcdefghijklmnopqrstuvwxyzABCDEFGHIJKLMNOPQRSTUVWXYZ.")))))</f>
        <v>0</v>
      </c>
      <c r="AN552" t="b">
        <f ca="1">OR(AND(IF(metadata!C552="",FALSE,TRUE),OR(EXACT(metadata!C552,"missing: not collected"),EXACT(metadata!C552,"missing: not provided"),EXACT(metadata!C552,"missing: restricted access"))),AND(IF(metadata!C552="",FALSE,TRUE),AND(AND(IFERROR(INT(LEFT(metadata!C552,4))&gt;1900,FALSE),IFERROR(INT(LEFT(metadata!C552,4))&lt;=YEAR(NOW()),FALSE)), OR(MID(metadata!C552,5,1)="", AND(AND(MID(metadata!C552,5,1)="-",IFERROR(INT(MID(metadata!C552,6,1))&gt;=0,FALSE),IFERROR(INT(MID(metadata!C552,6,1))&lt;=1,FALSE),NOT(MID(metadata!C552,7,1)=""),IFERROR(INT(MID(metadata!C552,6,2))&gt;=1,FALSE),IFERROR(INT(MID(metadata!C552,6,2))&lt;=12,FALSE)), OR(MID(metadata!C552,8,1)="", AND(AND(MID(metadata!C552,8,1)="-",IFERROR(INT(MID(metadata!C552,9,1))&gt;=0,FALSE),IFERROR(INT(MID(metadata!C552,9,1))&lt;=3,FALSE),NOT(MID(metadata!C552,10,1)=""),IFERROR(INT(MID(metadata!C552,9,2))&gt;=1,FALSE),IFERROR(INT(MID(metadata!C552,9,2))&lt;=31,FALSE)), OR(MID(metadata!C552,11,1)="", AND(AND(MID(metadata!C552,11,1)=" ",IFERROR(INT(MID(metadata!C552,12,1))&gt;=0,FALSE),IFERROR(INT(MID(metadata!C552,12,1))&lt;=2,FALSE),NOT(MID(metadata!C552,13,1)=""),IFERROR(INT(MID(metadata!C552,12,2))&gt;=0,FALSE),IFERROR(INT(MID(metadata!C552,12,2))&lt;=23,FALSE)), OR(MID(metadata!C552,14,1)="", AND(AND(MID(metadata!C552,14,1)=":",IFERROR(INT(MID(metadata!C552,15,1))&gt;=0,FALSE),IFERROR(INT(MID(metadata!C552,15,1))&lt;=5,FALSE),NOT(MID(metadata!C552,16,1)=""),IFERROR(INT(MID(metadata!C552,15,2))&gt;=0,FALSE),IFERROR(INT(MID(metadata!C552,15,2))&lt;=59,FALSE)), OR(MID(metadata!C552,17,1)="", AND(AND(MID(metadata!C552,17,1)=":",IFERROR(INT(MID(metadata!C552,18,1))&gt;=0,FALSE),IFERROR(INT(MID(metadata!C552,18,1))&lt;=5,FALSE),NOT(MID(metadata!C552,19,1)=""),IFERROR(INT(MID(metadata!C552,18,2))&gt;=0,FALSE),IFERROR(INT(MID(metadata!C552,18,2))&lt;=59,FALSE)), LEN(metadata!C552)&lt;=19)))))))))))))</f>
        <v>0</v>
      </c>
      <c r="AO552" t="b">
        <f>AND(IF(metadata!D552="",FALSE,TRUE),EXACT(metadata!D552,"Not applicable"))</f>
        <v>0</v>
      </c>
      <c r="AP552" t="b">
        <f>IF(metadata!E552="",FALSE,TRUE)</f>
        <v>0</v>
      </c>
      <c r="AQ552" t="b">
        <f>OR(AND(IF(metadata!F552="",FALSE,TRUE),OR(EXACT(metadata!F552,"missing: not collected"),EXACT(metadata!F552,"missing: not provided"))),AND(IF(metadata!F552="",FALSE,TRUE),OR(EXACT(metadata!F552,"TRUE"),EXACT(metadata!F552,"FALSE"))))</f>
        <v>0</v>
      </c>
      <c r="AR552" t="b">
        <f>OR(AND(IF(metadata!G552="",FALSE,TRUE),OR(EXACT(metadata!G552,"missing: not collected"),EXACT(metadata!G552,"missing: not provided"),EXACT(metadata!G552,"missing: restricted access"))),AND(IF(metadata!G552="",FALSE,ISNUMBER(VALUE(metadata!G552))),metadata!G552&gt;=-413))</f>
        <v>0</v>
      </c>
      <c r="AS552" t="b">
        <f>AND(IF(metadata!H552="",FALSE,TRUE),EXACT(metadata!H552,"meters"))</f>
        <v>0</v>
      </c>
      <c r="AT552" t="b">
        <f>AND(IF(metadata!I552="",FALSE,TRUE),OR(EXACT(metadata!I552,"Host-associated"),EXACT(metadata!I552,"Free-living")))</f>
        <v>0</v>
      </c>
      <c r="AU552" t="b">
        <f>AND(IF(metadata!J552="",FALSE,TRUE),OR(EXACT(metadata!J552,"Animal"),EXACT(metadata!J552,"Fungus"),EXACT(metadata!J552,"Plant"),EXACT(metadata!J552,"Saline"),EXACT(metadata!J552,"Non-saline")))</f>
        <v>0</v>
      </c>
      <c r="AV552" t="b">
        <f>AND(IF(metadata!K552="",FALSE,TRUE),OR(EXACT(metadata!K552,"Plant secretion"),EXACT(metadata!K552,"Plant rhizosphere"),EXACT(metadata!K552,"Plant surface"),EXACT(metadata!K552,"Plant corpus"),EXACT(metadata!K552,"Fungus surface"),EXACT(metadata!K552,"Fungus corpus"),EXACT(metadata!K552,"Animal surface"),EXACT(metadata!K552,"Animal proximal gut"),EXACT(metadata!K552,"Animal corpus"),EXACT(metadata!K552,"Animal distal gut"),EXACT(metadata!K552,"Animal secretion"),EXACT(metadata!K552,"Sub-surface (non-saline)"),EXACT(metadata!K552,"Surface (non-saline)"),EXACT(metadata!K552,"Water (non-saline)"),EXACT(metadata!K552,"Soil (non-saline)"),EXACT(metadata!K552,"Aerosol (non-saline)"),EXACT(metadata!K552,"Sediment (non-saline)"),EXACT(metadata!K552,"Surface (saline)"),EXACT(metadata!K552,"Water (saline)"),EXACT(metadata!K552,"Hypersaline (saline)"),EXACT(metadata!K552,"Aerosol (saline)"),EXACT(metadata!K552,"Sediment (saline)")))</f>
        <v>0</v>
      </c>
      <c r="AW552" t="b">
        <f>IF(metadata!L552="",FALSE,TRUE)</f>
        <v>0</v>
      </c>
      <c r="AX552" t="b">
        <f>IF(metadata!M552="",FALSE,TRUE)</f>
        <v>0</v>
      </c>
      <c r="AY552" t="b">
        <f>IF(metadata!N552="",FALSE,TRUE)</f>
        <v>0</v>
      </c>
      <c r="AZ552" t="b">
        <f>OR(AND(IF(metadata!O552="",FALSE,TRUE),OR(EXACT(metadata!O552,"missing: not collected"),EXACT(metadata!O552,"missing: not provided"),EXACT(metadata!O552,"missing: restricted access"))),AND(IF(metadata!O552="",FALSE,TRUE),OR(EXACT(metadata!O552,"air"),EXACT(metadata!O552,"built environment"),EXACT(metadata!O552,"host-associated"),EXACT(metadata!O552,"human-associated"),EXACT(metadata!O552,"human-skin"),EXACT(metadata!O552,"human-oral"),EXACT(metadata!O552,"human-gut"),EXACT(metadata!O552,"human-vaginal"),EXACT(metadata!O552,"microbial mat/biofilm"),EXACT(metadata!O552,"misc environment"),EXACT(metadata!O552,"plant-associated"),EXACT(metadata!O552,"sediment"),EXACT(metadata!O552,"soil"),EXACT(metadata!O552,"wastewater/sludge"),EXACT(metadata!O552,"water"))))</f>
        <v>0</v>
      </c>
      <c r="BA552" t="b">
        <f>IF(metadata!P552="",FALSE,TRUE)</f>
        <v>0</v>
      </c>
      <c r="BB552" t="b">
        <f>IF(metadata!Q552="",FALSE,TRUE)</f>
        <v>0</v>
      </c>
      <c r="BC552" t="b">
        <f>OR(AND(IF(metadata!R552="",FALSE,TRUE),OR(EXACT(metadata!R552,"missing: not collected"),EXACT(metadata!R552,"missing: not provided"),EXACT(metadata!R552,"missing: restricted access"))),AND(IF(metadata!R552="",FALSE,ISNUMBER(VALUE(metadata!R552))),metadata!R552&gt;=-90,metadata!R552&lt;=90))</f>
        <v>0</v>
      </c>
      <c r="BD552" t="b">
        <f>AND(IF(metadata!S552="",FALSE,TRUE),EXACT(metadata!S552,"Decimal degrees"))</f>
        <v>0</v>
      </c>
      <c r="BE552" t="b">
        <f>OR(AND(IF(metadata!T552="",FALSE,TRUE),OR(EXACT(metadata!T552,"missing: not collected"),EXACT(metadata!T552,"missing: not provided"),EXACT(metadata!T552,"missing: restricted access"))),AND(IF(metadata!T552="",FALSE,ISNUMBER(VALUE(metadata!T552))),metadata!T552&gt;=-180,metadata!T552&lt;=180))</f>
        <v>0</v>
      </c>
      <c r="BF552" t="b">
        <f>AND(IF(metadata!U552="",FALSE,TRUE),EXACT(metadata!U552,"Decimal degrees"))</f>
        <v>0</v>
      </c>
      <c r="BG552" t="b">
        <f>IF(metadata!V552="",FALSE,TRUE)</f>
        <v>0</v>
      </c>
      <c r="BH552" t="b">
        <f>OR(AND(IF(metadata!W552="",FALSE,TRUE),OR(EXACT(metadata!W552,"missing: not collected"),EXACT(metadata!W552,"missing: not provided"),EXACT(metadata!W552,"missing: restricted access"))),AND(IF(metadata!W552="",FALSE,TRUE),OR(EXACT(metadata!W552,"TRUE"),EXACT(metadata!W552,"FALSE"))))</f>
        <v>0</v>
      </c>
      <c r="BI552" t="b">
        <f>AND(IF(metadata!X552="",FALSE,TRUE),EXACT(metadata!X552,"other"))</f>
        <v>0</v>
      </c>
      <c r="BJ552" t="b">
        <f>IF(metadata!Y552="",FALSE,TRUE)</f>
        <v>0</v>
      </c>
      <c r="BK552" t="b">
        <f>OR(AND(IF(metadata!Z552="",FALSE,TRUE),OR(EXACT(metadata!Z552,"missing: not collected"),EXACT(metadata!Z552,"missing: not provided"))),AND(IF(metadata!Z552="",FALSE,IF(ISERROR(INT(metadata!Z552)),FALSE,INT(metadata!Z552)=metadata!Z552)),metadata!Z552&gt;0))</f>
        <v>0</v>
      </c>
      <c r="BL552" t="b">
        <f>AND(IF(metadata!AA552="",FALSE,TRUE),EXACT(metadata!AA552,"Not applicable"))</f>
        <v>0</v>
      </c>
      <c r="BM552" t="b">
        <f>IF(metadata!AB552="",FALSE,TRUE)</f>
        <v>0</v>
      </c>
    </row>
    <row r="553" spans="1:65" x14ac:dyDescent="0.2">
      <c r="A553" s="5" t="str">
        <f ca="1">IF(B553=" "," ",HYPERLINK(CONCATENATE("#metadata!",ADDRESS(INDEX($AH$2:$AH$1001,MATCH(ROWS($AF$2:AF553),$AF$2:$AF$1001,0),0),1)),INDEX($AK$2:$AK$1001,MATCH(ROWS($AF$2:AF553),$AF$2:$AF$1001,0),0)))</f>
        <v xml:space="preserve"> </v>
      </c>
      <c r="B553" s="4" t="str">
        <f ca="1">IF(OR(INDEX($AG$2:$AG$1001,MATCH(ROWS($AF$2:AF553),$AF$2:$AF$1001,0),1)&gt;=100000,INDEX($AM$1005:$BM$1005,1,MATCH(COLUMNS($AM$1006:AM1006),$AM$1006:$BM$1006,0))&gt;=100000), " ",IF(INDEX($AM$2:$BM$1001,MATCH(ROWS($AF$2:AF553),$AF$2:$AF$1001,0),MATCH(COLUMNS($AM$1006:AM1006),$AM$1006:$BM$1006,0)), HYPERLINK("#",""), HYPERLINK(CONCATENATE("#metadata!", ADDRESS(INDEX($AH$2:$AH$1001,MATCH(ROWS($AF$2:AF553),$AF$2:$AF$1001,0),0), INDEX($AM$1004:$BM$1004,1,MATCH(COLUMNS($AM$1006:AM1006),$AM$1006:$BM$1006,0)))),"Fix")))</f>
        <v xml:space="preserve"> </v>
      </c>
      <c r="C553" s="4" t="str">
        <f ca="1">IF(OR(INDEX($AG$2:$AG$1001,MATCH(ROWS($AF$2:AF553),$AF$2:$AF$1001,0),1)&gt;=100000,INDEX($AM$1005:$BM$1005,1,MATCH(COLUMNS($AM$1006:AN1006),$AM$1006:$BM$1006,0))&gt;=100000), " ",IF(INDEX($AM$2:$BM$1001,MATCH(ROWS($AF$2:AF553),$AF$2:$AF$1001,0),MATCH(COLUMNS($AM$1006:AN1006),$AM$1006:$BM$1006,0)), HYPERLINK("#",""), HYPERLINK(CONCATENATE("#metadata!", ADDRESS(INDEX($AH$2:$AH$1001,MATCH(ROWS($AF$2:AF553),$AF$2:$AF$1001,0),0), INDEX($AM$1004:$BM$1004,1,MATCH(COLUMNS($AM$1006:AN1006),$AM$1006:$BM$1006,0)))),"Fix")))</f>
        <v xml:space="preserve"> </v>
      </c>
      <c r="D553" s="4" t="str">
        <f ca="1">IF(OR(INDEX($AG$2:$AG$1001,MATCH(ROWS($AF$2:AF553),$AF$2:$AF$1001,0),1)&gt;=100000,INDEX($AM$1005:$BM$1005,1,MATCH(COLUMNS($AM$1006:AO1006),$AM$1006:$BM$1006,0))&gt;=100000), " ",IF(INDEX($AM$2:$BM$1001,MATCH(ROWS($AF$2:AF553),$AF$2:$AF$1001,0),MATCH(COLUMNS($AM$1006:AO1006),$AM$1006:$BM$1006,0)), HYPERLINK("#",""), HYPERLINK(CONCATENATE("#metadata!", ADDRESS(INDEX($AH$2:$AH$1001,MATCH(ROWS($AF$2:AF553),$AF$2:$AF$1001,0),0), INDEX($AM$1004:$BM$1004,1,MATCH(COLUMNS($AM$1006:AO1006),$AM$1006:$BM$1006,0)))),"Fix")))</f>
        <v xml:space="preserve"> </v>
      </c>
      <c r="E553" s="4" t="str">
        <f ca="1">IF(OR(INDEX($AG$2:$AG$1001,MATCH(ROWS($AF$2:AF553),$AF$2:$AF$1001,0),1)&gt;=100000,INDEX($AM$1005:$BM$1005,1,MATCH(COLUMNS($AM$1006:AP1006),$AM$1006:$BM$1006,0))&gt;=100000), " ",IF(INDEX($AM$2:$BM$1001,MATCH(ROWS($AF$2:AF553),$AF$2:$AF$1001,0),MATCH(COLUMNS($AM$1006:AP1006),$AM$1006:$BM$1006,0)), HYPERLINK("#",""), HYPERLINK(CONCATENATE("#metadata!", ADDRESS(INDEX($AH$2:$AH$1001,MATCH(ROWS($AF$2:AF553),$AF$2:$AF$1001,0),0), INDEX($AM$1004:$BM$1004,1,MATCH(COLUMNS($AM$1006:AP1006),$AM$1006:$BM$1006,0)))),"Fix")))</f>
        <v xml:space="preserve"> </v>
      </c>
      <c r="F553" s="4" t="str">
        <f ca="1">IF(OR(INDEX($AG$2:$AG$1001,MATCH(ROWS($AF$2:AF553),$AF$2:$AF$1001,0),1)&gt;=100000,INDEX($AM$1005:$BM$1005,1,MATCH(COLUMNS($AM$1006:AQ1006),$AM$1006:$BM$1006,0))&gt;=100000), " ",IF(INDEX($AM$2:$BM$1001,MATCH(ROWS($AF$2:AF553),$AF$2:$AF$1001,0),MATCH(COLUMNS($AM$1006:AQ1006),$AM$1006:$BM$1006,0)), HYPERLINK("#",""), HYPERLINK(CONCATENATE("#metadata!", ADDRESS(INDEX($AH$2:$AH$1001,MATCH(ROWS($AF$2:AF553),$AF$2:$AF$1001,0),0), INDEX($AM$1004:$BM$1004,1,MATCH(COLUMNS($AM$1006:AQ1006),$AM$1006:$BM$1006,0)))),"Fix")))</f>
        <v xml:space="preserve"> </v>
      </c>
      <c r="G553" s="4" t="str">
        <f ca="1">IF(OR(INDEX($AG$2:$AG$1001,MATCH(ROWS($AF$2:AF553),$AF$2:$AF$1001,0),1)&gt;=100000,INDEX($AM$1005:$BM$1005,1,MATCH(COLUMNS($AM$1006:AR1006),$AM$1006:$BM$1006,0))&gt;=100000), " ",IF(INDEX($AM$2:$BM$1001,MATCH(ROWS($AF$2:AF553),$AF$2:$AF$1001,0),MATCH(COLUMNS($AM$1006:AR1006),$AM$1006:$BM$1006,0)), HYPERLINK("#",""), HYPERLINK(CONCATENATE("#metadata!", ADDRESS(INDEX($AH$2:$AH$1001,MATCH(ROWS($AF$2:AF553),$AF$2:$AF$1001,0),0), INDEX($AM$1004:$BM$1004,1,MATCH(COLUMNS($AM$1006:AR1006),$AM$1006:$BM$1006,0)))),"Fix")))</f>
        <v xml:space="preserve"> </v>
      </c>
      <c r="H553" s="4" t="str">
        <f ca="1">IF(OR(INDEX($AG$2:$AG$1001,MATCH(ROWS($AF$2:AF553),$AF$2:$AF$1001,0),1)&gt;=100000,INDEX($AM$1005:$BM$1005,1,MATCH(COLUMNS($AM$1006:AS1006),$AM$1006:$BM$1006,0))&gt;=100000), " ",IF(INDEX($AM$2:$BM$1001,MATCH(ROWS($AF$2:AF553),$AF$2:$AF$1001,0),MATCH(COLUMNS($AM$1006:AS1006),$AM$1006:$BM$1006,0)), HYPERLINK("#",""), HYPERLINK(CONCATENATE("#metadata!", ADDRESS(INDEX($AH$2:$AH$1001,MATCH(ROWS($AF$2:AF553),$AF$2:$AF$1001,0),0), INDEX($AM$1004:$BM$1004,1,MATCH(COLUMNS($AM$1006:AS1006),$AM$1006:$BM$1006,0)))),"Fix")))</f>
        <v xml:space="preserve"> </v>
      </c>
      <c r="I553" s="4" t="str">
        <f ca="1">IF(OR(INDEX($AG$2:$AG$1001,MATCH(ROWS($AF$2:AF553),$AF$2:$AF$1001,0),1)&gt;=100000,INDEX($AM$1005:$BM$1005,1,MATCH(COLUMNS($AM$1006:AT1006),$AM$1006:$BM$1006,0))&gt;=100000), " ",IF(INDEX($AM$2:$BM$1001,MATCH(ROWS($AF$2:AF553),$AF$2:$AF$1001,0),MATCH(COLUMNS($AM$1006:AT1006),$AM$1006:$BM$1006,0)), HYPERLINK("#",""), HYPERLINK(CONCATENATE("#metadata!", ADDRESS(INDEX($AH$2:$AH$1001,MATCH(ROWS($AF$2:AF553),$AF$2:$AF$1001,0),0), INDEX($AM$1004:$BM$1004,1,MATCH(COLUMNS($AM$1006:AT1006),$AM$1006:$BM$1006,0)))),"Fix")))</f>
        <v xml:space="preserve"> </v>
      </c>
      <c r="J553" s="4" t="str">
        <f ca="1">IF(OR(INDEX($AG$2:$AG$1001,MATCH(ROWS($AF$2:AF553),$AF$2:$AF$1001,0),1)&gt;=100000,INDEX($AM$1005:$BM$1005,1,MATCH(COLUMNS($AM$1006:AU1006),$AM$1006:$BM$1006,0))&gt;=100000), " ",IF(INDEX($AM$2:$BM$1001,MATCH(ROWS($AF$2:AF553),$AF$2:$AF$1001,0),MATCH(COLUMNS($AM$1006:AU1006),$AM$1006:$BM$1006,0)), HYPERLINK("#",""), HYPERLINK(CONCATENATE("#metadata!", ADDRESS(INDEX($AH$2:$AH$1001,MATCH(ROWS($AF$2:AF553),$AF$2:$AF$1001,0),0), INDEX($AM$1004:$BM$1004,1,MATCH(COLUMNS($AM$1006:AU1006),$AM$1006:$BM$1006,0)))),"Fix")))</f>
        <v xml:space="preserve"> </v>
      </c>
      <c r="K553" s="4" t="str">
        <f ca="1">IF(OR(INDEX($AG$2:$AG$1001,MATCH(ROWS($AF$2:AF553),$AF$2:$AF$1001,0),1)&gt;=100000,INDEX($AM$1005:$BM$1005,1,MATCH(COLUMNS($AM$1006:AV1006),$AM$1006:$BM$1006,0))&gt;=100000), " ",IF(INDEX($AM$2:$BM$1001,MATCH(ROWS($AF$2:AF553),$AF$2:$AF$1001,0),MATCH(COLUMNS($AM$1006:AV1006),$AM$1006:$BM$1006,0)), HYPERLINK("#",""), HYPERLINK(CONCATENATE("#metadata!", ADDRESS(INDEX($AH$2:$AH$1001,MATCH(ROWS($AF$2:AF553),$AF$2:$AF$1001,0),0), INDEX($AM$1004:$BM$1004,1,MATCH(COLUMNS($AM$1006:AV1006),$AM$1006:$BM$1006,0)))),"Fix")))</f>
        <v xml:space="preserve"> </v>
      </c>
      <c r="L553" s="4" t="str">
        <f ca="1">IF(OR(INDEX($AG$2:$AG$1001,MATCH(ROWS($AF$2:AF553),$AF$2:$AF$1001,0),1)&gt;=100000,INDEX($AM$1005:$BM$1005,1,MATCH(COLUMNS($AM$1006:AW1006),$AM$1006:$BM$1006,0))&gt;=100000), " ",IF(INDEX($AM$2:$BM$1001,MATCH(ROWS($AF$2:AF553),$AF$2:$AF$1001,0),MATCH(COLUMNS($AM$1006:AW1006),$AM$1006:$BM$1006,0)), HYPERLINK("#",""), HYPERLINK(CONCATENATE("#metadata!", ADDRESS(INDEX($AH$2:$AH$1001,MATCH(ROWS($AF$2:AF553),$AF$2:$AF$1001,0),0), INDEX($AM$1004:$BM$1004,1,MATCH(COLUMNS($AM$1006:AW1006),$AM$1006:$BM$1006,0)))),"Fix")))</f>
        <v xml:space="preserve"> </v>
      </c>
      <c r="M553" s="4" t="str">
        <f ca="1">IF(OR(INDEX($AG$2:$AG$1001,MATCH(ROWS($AF$2:AF553),$AF$2:$AF$1001,0),1)&gt;=100000,INDEX($AM$1005:$BM$1005,1,MATCH(COLUMNS($AM$1006:AX1006),$AM$1006:$BM$1006,0))&gt;=100000), " ",IF(INDEX($AM$2:$BM$1001,MATCH(ROWS($AF$2:AF553),$AF$2:$AF$1001,0),MATCH(COLUMNS($AM$1006:AX1006),$AM$1006:$BM$1006,0)), HYPERLINK("#",""), HYPERLINK(CONCATENATE("#metadata!", ADDRESS(INDEX($AH$2:$AH$1001,MATCH(ROWS($AF$2:AF553),$AF$2:$AF$1001,0),0), INDEX($AM$1004:$BM$1004,1,MATCH(COLUMNS($AM$1006:AX1006),$AM$1006:$BM$1006,0)))),"Fix")))</f>
        <v xml:space="preserve"> </v>
      </c>
      <c r="N553" s="4" t="str">
        <f ca="1">IF(OR(INDEX($AG$2:$AG$1001,MATCH(ROWS($AF$2:AF553),$AF$2:$AF$1001,0),1)&gt;=100000,INDEX($AM$1005:$BM$1005,1,MATCH(COLUMNS($AM$1006:AY1006),$AM$1006:$BM$1006,0))&gt;=100000), " ",IF(INDEX($AM$2:$BM$1001,MATCH(ROWS($AF$2:AF553),$AF$2:$AF$1001,0),MATCH(COLUMNS($AM$1006:AY1006),$AM$1006:$BM$1006,0)), HYPERLINK("#",""), HYPERLINK(CONCATENATE("#metadata!", ADDRESS(INDEX($AH$2:$AH$1001,MATCH(ROWS($AF$2:AF553),$AF$2:$AF$1001,0),0), INDEX($AM$1004:$BM$1004,1,MATCH(COLUMNS($AM$1006:AY1006),$AM$1006:$BM$1006,0)))),"Fix")))</f>
        <v xml:space="preserve"> </v>
      </c>
      <c r="O553" s="4" t="str">
        <f ca="1">IF(OR(INDEX($AG$2:$AG$1001,MATCH(ROWS($AF$2:AF553),$AF$2:$AF$1001,0),1)&gt;=100000,INDEX($AM$1005:$BM$1005,1,MATCH(COLUMNS($AM$1006:AZ1006),$AM$1006:$BM$1006,0))&gt;=100000), " ",IF(INDEX($AM$2:$BM$1001,MATCH(ROWS($AF$2:AF553),$AF$2:$AF$1001,0),MATCH(COLUMNS($AM$1006:AZ1006),$AM$1006:$BM$1006,0)), HYPERLINK("#",""), HYPERLINK(CONCATENATE("#metadata!", ADDRESS(INDEX($AH$2:$AH$1001,MATCH(ROWS($AF$2:AF553),$AF$2:$AF$1001,0),0), INDEX($AM$1004:$BM$1004,1,MATCH(COLUMNS($AM$1006:AZ1006),$AM$1006:$BM$1006,0)))),"Fix")))</f>
        <v xml:space="preserve"> </v>
      </c>
      <c r="P553" s="4" t="str">
        <f ca="1">IF(OR(INDEX($AG$2:$AG$1001,MATCH(ROWS($AF$2:AF553),$AF$2:$AF$1001,0),1)&gt;=100000,INDEX($AM$1005:$BM$1005,1,MATCH(COLUMNS($AM$1006:BA1006),$AM$1006:$BM$1006,0))&gt;=100000), " ",IF(INDEX($AM$2:$BM$1001,MATCH(ROWS($AF$2:AF553),$AF$2:$AF$1001,0),MATCH(COLUMNS($AM$1006:BA1006),$AM$1006:$BM$1006,0)), HYPERLINK("#",""), HYPERLINK(CONCATENATE("#metadata!", ADDRESS(INDEX($AH$2:$AH$1001,MATCH(ROWS($AF$2:AF553),$AF$2:$AF$1001,0),0), INDEX($AM$1004:$BM$1004,1,MATCH(COLUMNS($AM$1006:BA1006),$AM$1006:$BM$1006,0)))),"Fix")))</f>
        <v xml:space="preserve"> </v>
      </c>
      <c r="Q553" s="4" t="str">
        <f ca="1">IF(OR(INDEX($AG$2:$AG$1001,MATCH(ROWS($AF$2:AF553),$AF$2:$AF$1001,0),1)&gt;=100000,INDEX($AM$1005:$BM$1005,1,MATCH(COLUMNS($AM$1006:BB1006),$AM$1006:$BM$1006,0))&gt;=100000), " ",IF(INDEX($AM$2:$BM$1001,MATCH(ROWS($AF$2:AF553),$AF$2:$AF$1001,0),MATCH(COLUMNS($AM$1006:BB1006),$AM$1006:$BM$1006,0)), HYPERLINK("#",""), HYPERLINK(CONCATENATE("#metadata!", ADDRESS(INDEX($AH$2:$AH$1001,MATCH(ROWS($AF$2:AF553),$AF$2:$AF$1001,0),0), INDEX($AM$1004:$BM$1004,1,MATCH(COLUMNS($AM$1006:BB1006),$AM$1006:$BM$1006,0)))),"Fix")))</f>
        <v xml:space="preserve"> </v>
      </c>
      <c r="R553" s="4" t="str">
        <f ca="1">IF(OR(INDEX($AG$2:$AG$1001,MATCH(ROWS($AF$2:AF553),$AF$2:$AF$1001,0),1)&gt;=100000,INDEX($AM$1005:$BM$1005,1,MATCH(COLUMNS($AM$1006:BC1006),$AM$1006:$BM$1006,0))&gt;=100000), " ",IF(INDEX($AM$2:$BM$1001,MATCH(ROWS($AF$2:AF553),$AF$2:$AF$1001,0),MATCH(COLUMNS($AM$1006:BC1006),$AM$1006:$BM$1006,0)), HYPERLINK("#",""), HYPERLINK(CONCATENATE("#metadata!", ADDRESS(INDEX($AH$2:$AH$1001,MATCH(ROWS($AF$2:AF553),$AF$2:$AF$1001,0),0), INDEX($AM$1004:$BM$1004,1,MATCH(COLUMNS($AM$1006:BC1006),$AM$1006:$BM$1006,0)))),"Fix")))</f>
        <v xml:space="preserve"> </v>
      </c>
      <c r="S553" s="4" t="str">
        <f ca="1">IF(OR(INDEX($AG$2:$AG$1001,MATCH(ROWS($AF$2:AF553),$AF$2:$AF$1001,0),1)&gt;=100000,INDEX($AM$1005:$BM$1005,1,MATCH(COLUMNS($AM$1006:BD1006),$AM$1006:$BM$1006,0))&gt;=100000), " ",IF(INDEX($AM$2:$BM$1001,MATCH(ROWS($AF$2:AF553),$AF$2:$AF$1001,0),MATCH(COLUMNS($AM$1006:BD1006),$AM$1006:$BM$1006,0)), HYPERLINK("#",""), HYPERLINK(CONCATENATE("#metadata!", ADDRESS(INDEX($AH$2:$AH$1001,MATCH(ROWS($AF$2:AF553),$AF$2:$AF$1001,0),0), INDEX($AM$1004:$BM$1004,1,MATCH(COLUMNS($AM$1006:BD1006),$AM$1006:$BM$1006,0)))),"Fix")))</f>
        <v xml:space="preserve"> </v>
      </c>
      <c r="T553" s="4" t="str">
        <f ca="1">IF(OR(INDEX($AG$2:$AG$1001,MATCH(ROWS($AF$2:AF553),$AF$2:$AF$1001,0),1)&gt;=100000,INDEX($AM$1005:$BM$1005,1,MATCH(COLUMNS($AM$1006:BE1006),$AM$1006:$BM$1006,0))&gt;=100000), " ",IF(INDEX($AM$2:$BM$1001,MATCH(ROWS($AF$2:AF553),$AF$2:$AF$1001,0),MATCH(COLUMNS($AM$1006:BE1006),$AM$1006:$BM$1006,0)), HYPERLINK("#",""), HYPERLINK(CONCATENATE("#metadata!", ADDRESS(INDEX($AH$2:$AH$1001,MATCH(ROWS($AF$2:AF553),$AF$2:$AF$1001,0),0), INDEX($AM$1004:$BM$1004,1,MATCH(COLUMNS($AM$1006:BE1006),$AM$1006:$BM$1006,0)))),"Fix")))</f>
        <v xml:space="preserve"> </v>
      </c>
      <c r="U553" s="4" t="str">
        <f ca="1">IF(OR(INDEX($AG$2:$AG$1001,MATCH(ROWS($AF$2:AF553),$AF$2:$AF$1001,0),1)&gt;=100000,INDEX($AM$1005:$BM$1005,1,MATCH(COLUMNS($AM$1006:BF1006),$AM$1006:$BM$1006,0))&gt;=100000), " ",IF(INDEX($AM$2:$BM$1001,MATCH(ROWS($AF$2:AF553),$AF$2:$AF$1001,0),MATCH(COLUMNS($AM$1006:BF1006),$AM$1006:$BM$1006,0)), HYPERLINK("#",""), HYPERLINK(CONCATENATE("#metadata!", ADDRESS(INDEX($AH$2:$AH$1001,MATCH(ROWS($AF$2:AF553),$AF$2:$AF$1001,0),0), INDEX($AM$1004:$BM$1004,1,MATCH(COLUMNS($AM$1006:BF1006),$AM$1006:$BM$1006,0)))),"Fix")))</f>
        <v xml:space="preserve"> </v>
      </c>
      <c r="V553" s="4" t="str">
        <f ca="1">IF(OR(INDEX($AG$2:$AG$1001,MATCH(ROWS($AF$2:AF553),$AF$2:$AF$1001,0),1)&gt;=100000,INDEX($AM$1005:$BM$1005,1,MATCH(COLUMNS($AM$1006:BG1006),$AM$1006:$BM$1006,0))&gt;=100000), " ",IF(INDEX($AM$2:$BM$1001,MATCH(ROWS($AF$2:AF553),$AF$2:$AF$1001,0),MATCH(COLUMNS($AM$1006:BG1006),$AM$1006:$BM$1006,0)), HYPERLINK("#",""), HYPERLINK(CONCATENATE("#metadata!", ADDRESS(INDEX($AH$2:$AH$1001,MATCH(ROWS($AF$2:AF553),$AF$2:$AF$1001,0),0), INDEX($AM$1004:$BM$1004,1,MATCH(COLUMNS($AM$1006:BG1006),$AM$1006:$BM$1006,0)))),"Fix")))</f>
        <v xml:space="preserve"> </v>
      </c>
      <c r="W553" s="4" t="str">
        <f ca="1">IF(OR(INDEX($AG$2:$AG$1001,MATCH(ROWS($AF$2:AF553),$AF$2:$AF$1001,0),1)&gt;=100000,INDEX($AM$1005:$BM$1005,1,MATCH(COLUMNS($AM$1006:BH1006),$AM$1006:$BM$1006,0))&gt;=100000), " ",IF(INDEX($AM$2:$BM$1001,MATCH(ROWS($AF$2:AF553),$AF$2:$AF$1001,0),MATCH(COLUMNS($AM$1006:BH1006),$AM$1006:$BM$1006,0)), HYPERLINK("#",""), HYPERLINK(CONCATENATE("#metadata!", ADDRESS(INDEX($AH$2:$AH$1001,MATCH(ROWS($AF$2:AF553),$AF$2:$AF$1001,0),0), INDEX($AM$1004:$BM$1004,1,MATCH(COLUMNS($AM$1006:BH1006),$AM$1006:$BM$1006,0)))),"Fix")))</f>
        <v xml:space="preserve"> </v>
      </c>
      <c r="X553" s="4" t="str">
        <f ca="1">IF(OR(INDEX($AG$2:$AG$1001,MATCH(ROWS($AF$2:AF553),$AF$2:$AF$1001,0),1)&gt;=100000,INDEX($AM$1005:$BM$1005,1,MATCH(COLUMNS($AM$1006:BI1006),$AM$1006:$BM$1006,0))&gt;=100000), " ",IF(INDEX($AM$2:$BM$1001,MATCH(ROWS($AF$2:AF553),$AF$2:$AF$1001,0),MATCH(COLUMNS($AM$1006:BI1006),$AM$1006:$BM$1006,0)), HYPERLINK("#",""), HYPERLINK(CONCATENATE("#metadata!", ADDRESS(INDEX($AH$2:$AH$1001,MATCH(ROWS($AF$2:AF553),$AF$2:$AF$1001,0),0), INDEX($AM$1004:$BM$1004,1,MATCH(COLUMNS($AM$1006:BI1006),$AM$1006:$BM$1006,0)))),"Fix")))</f>
        <v xml:space="preserve"> </v>
      </c>
      <c r="Y553" s="4" t="str">
        <f ca="1">IF(OR(INDEX($AG$2:$AG$1001,MATCH(ROWS($AF$2:AF553),$AF$2:$AF$1001,0),1)&gt;=100000,INDEX($AM$1005:$BM$1005,1,MATCH(COLUMNS($AM$1006:BJ1006),$AM$1006:$BM$1006,0))&gt;=100000), " ",IF(INDEX($AM$2:$BM$1001,MATCH(ROWS($AF$2:AF553),$AF$2:$AF$1001,0),MATCH(COLUMNS($AM$1006:BJ1006),$AM$1006:$BM$1006,0)), HYPERLINK("#",""), HYPERLINK(CONCATENATE("#metadata!", ADDRESS(INDEX($AH$2:$AH$1001,MATCH(ROWS($AF$2:AF553),$AF$2:$AF$1001,0),0), INDEX($AM$1004:$BM$1004,1,MATCH(COLUMNS($AM$1006:BJ1006),$AM$1006:$BM$1006,0)))),"Fix")))</f>
        <v xml:space="preserve"> </v>
      </c>
      <c r="Z553" s="4" t="str">
        <f ca="1">IF(OR(INDEX($AG$2:$AG$1001,MATCH(ROWS($AF$2:AF553),$AF$2:$AF$1001,0),1)&gt;=100000,INDEX($AM$1005:$BM$1005,1,MATCH(COLUMNS($AM$1006:BK1006),$AM$1006:$BM$1006,0))&gt;=100000), " ",IF(INDEX($AM$2:$BM$1001,MATCH(ROWS($AF$2:AF553),$AF$2:$AF$1001,0),MATCH(COLUMNS($AM$1006:BK1006),$AM$1006:$BM$1006,0)), HYPERLINK("#",""), HYPERLINK(CONCATENATE("#metadata!", ADDRESS(INDEX($AH$2:$AH$1001,MATCH(ROWS($AF$2:AF553),$AF$2:$AF$1001,0),0), INDEX($AM$1004:$BM$1004,1,MATCH(COLUMNS($AM$1006:BK1006),$AM$1006:$BM$1006,0)))),"Fix")))</f>
        <v xml:space="preserve"> </v>
      </c>
      <c r="AA553" s="4" t="str">
        <f ca="1">IF(OR(INDEX($AG$2:$AG$1001,MATCH(ROWS($AF$2:AF553),$AF$2:$AF$1001,0),1)&gt;=100000,INDEX($AM$1005:$BM$1005,1,MATCH(COLUMNS($AM$1006:BL1006),$AM$1006:$BM$1006,0))&gt;=100000), " ",IF(INDEX($AM$2:$BM$1001,MATCH(ROWS($AF$2:AF553),$AF$2:$AF$1001,0),MATCH(COLUMNS($AM$1006:BL1006),$AM$1006:$BM$1006,0)), HYPERLINK("#",""), HYPERLINK(CONCATENATE("#metadata!", ADDRESS(INDEX($AH$2:$AH$1001,MATCH(ROWS($AF$2:AF553),$AF$2:$AF$1001,0),0), INDEX($AM$1004:$BM$1004,1,MATCH(COLUMNS($AM$1006:BL1006),$AM$1006:$BM$1006,0)))),"Fix")))</f>
        <v xml:space="preserve"> </v>
      </c>
      <c r="AB553" s="4" t="str">
        <f ca="1">IF(OR(INDEX($AG$2:$AG$1001,MATCH(ROWS($AF$2:AF553),$AF$2:$AF$1001,0),1)&gt;=100000,INDEX($AM$1005:$BM$1005,1,MATCH(COLUMNS($AM$1006:BM1006),$AM$1006:$BM$1006,0))&gt;=100000), " ",IF(INDEX($AM$2:$BM$1001,MATCH(ROWS($AF$2:AF553),$AF$2:$AF$1001,0),MATCH(COLUMNS($AM$1006:BM1006),$AM$1006:$BM$1006,0)), HYPERLINK("#",""), HYPERLINK(CONCATENATE("#metadata!", ADDRESS(INDEX($AH$2:$AH$1001,MATCH(ROWS($AF$2:AF553),$AF$2:$AF$1001,0),0), INDEX($AM$1004:$BM$1004,1,MATCH(COLUMNS($AM$1006:BM1006),$AM$1006:$BM$1006,0)))),"Fix")))</f>
        <v xml:space="preserve"> </v>
      </c>
      <c r="AF553">
        <v>552</v>
      </c>
      <c r="AG553">
        <v>100553</v>
      </c>
      <c r="AH553">
        <v>553</v>
      </c>
      <c r="AI553" t="b">
        <f t="shared" si="8"/>
        <v>1</v>
      </c>
      <c r="AJ553" t="b">
        <f>COUNTBLANK(metadata!B553:AB553)=COLUMNS(metadata!B553:AB553)</f>
        <v>1</v>
      </c>
      <c r="AK553" t="str">
        <v/>
      </c>
      <c r="AM553" t="b">
        <f ca="1">AND(IF(metadata!B553="",FALSE,TRUE),COUNTIF(metadata!B:B, metadata!B553) = 1,NOT(ISERROR(SUMPRODUCT(SEARCH(MID(metadata!B553,ROW(INDIRECT("1:"&amp;LEN(metadata!B553))), 1),"0123456789abcdefghijklmnopqrstuvwxyzABCDEFGHIJKLMNOPQRSTUVWXYZ.")))))</f>
        <v>0</v>
      </c>
      <c r="AN553" t="b">
        <f ca="1">OR(AND(IF(metadata!C553="",FALSE,TRUE),OR(EXACT(metadata!C553,"missing: not collected"),EXACT(metadata!C553,"missing: not provided"),EXACT(metadata!C553,"missing: restricted access"))),AND(IF(metadata!C553="",FALSE,TRUE),AND(AND(IFERROR(INT(LEFT(metadata!C553,4))&gt;1900,FALSE),IFERROR(INT(LEFT(metadata!C553,4))&lt;=YEAR(NOW()),FALSE)), OR(MID(metadata!C553,5,1)="", AND(AND(MID(metadata!C553,5,1)="-",IFERROR(INT(MID(metadata!C553,6,1))&gt;=0,FALSE),IFERROR(INT(MID(metadata!C553,6,1))&lt;=1,FALSE),NOT(MID(metadata!C553,7,1)=""),IFERROR(INT(MID(metadata!C553,6,2))&gt;=1,FALSE),IFERROR(INT(MID(metadata!C553,6,2))&lt;=12,FALSE)), OR(MID(metadata!C553,8,1)="", AND(AND(MID(metadata!C553,8,1)="-",IFERROR(INT(MID(metadata!C553,9,1))&gt;=0,FALSE),IFERROR(INT(MID(metadata!C553,9,1))&lt;=3,FALSE),NOT(MID(metadata!C553,10,1)=""),IFERROR(INT(MID(metadata!C553,9,2))&gt;=1,FALSE),IFERROR(INT(MID(metadata!C553,9,2))&lt;=31,FALSE)), OR(MID(metadata!C553,11,1)="", AND(AND(MID(metadata!C553,11,1)=" ",IFERROR(INT(MID(metadata!C553,12,1))&gt;=0,FALSE),IFERROR(INT(MID(metadata!C553,12,1))&lt;=2,FALSE),NOT(MID(metadata!C553,13,1)=""),IFERROR(INT(MID(metadata!C553,12,2))&gt;=0,FALSE),IFERROR(INT(MID(metadata!C553,12,2))&lt;=23,FALSE)), OR(MID(metadata!C553,14,1)="", AND(AND(MID(metadata!C553,14,1)=":",IFERROR(INT(MID(metadata!C553,15,1))&gt;=0,FALSE),IFERROR(INT(MID(metadata!C553,15,1))&lt;=5,FALSE),NOT(MID(metadata!C553,16,1)=""),IFERROR(INT(MID(metadata!C553,15,2))&gt;=0,FALSE),IFERROR(INT(MID(metadata!C553,15,2))&lt;=59,FALSE)), OR(MID(metadata!C553,17,1)="", AND(AND(MID(metadata!C553,17,1)=":",IFERROR(INT(MID(metadata!C553,18,1))&gt;=0,FALSE),IFERROR(INT(MID(metadata!C553,18,1))&lt;=5,FALSE),NOT(MID(metadata!C553,19,1)=""),IFERROR(INT(MID(metadata!C553,18,2))&gt;=0,FALSE),IFERROR(INT(MID(metadata!C553,18,2))&lt;=59,FALSE)), LEN(metadata!C553)&lt;=19)))))))))))))</f>
        <v>0</v>
      </c>
      <c r="AO553" t="b">
        <f>AND(IF(metadata!D553="",FALSE,TRUE),EXACT(metadata!D553,"Not applicable"))</f>
        <v>0</v>
      </c>
      <c r="AP553" t="b">
        <f>IF(metadata!E553="",FALSE,TRUE)</f>
        <v>0</v>
      </c>
      <c r="AQ553" t="b">
        <f>OR(AND(IF(metadata!F553="",FALSE,TRUE),OR(EXACT(metadata!F553,"missing: not collected"),EXACT(metadata!F553,"missing: not provided"))),AND(IF(metadata!F553="",FALSE,TRUE),OR(EXACT(metadata!F553,"TRUE"),EXACT(metadata!F553,"FALSE"))))</f>
        <v>0</v>
      </c>
      <c r="AR553" t="b">
        <f>OR(AND(IF(metadata!G553="",FALSE,TRUE),OR(EXACT(metadata!G553,"missing: not collected"),EXACT(metadata!G553,"missing: not provided"),EXACT(metadata!G553,"missing: restricted access"))),AND(IF(metadata!G553="",FALSE,ISNUMBER(VALUE(metadata!G553))),metadata!G553&gt;=-413))</f>
        <v>0</v>
      </c>
      <c r="AS553" t="b">
        <f>AND(IF(metadata!H553="",FALSE,TRUE),EXACT(metadata!H553,"meters"))</f>
        <v>0</v>
      </c>
      <c r="AT553" t="b">
        <f>AND(IF(metadata!I553="",FALSE,TRUE),OR(EXACT(metadata!I553,"Host-associated"),EXACT(metadata!I553,"Free-living")))</f>
        <v>0</v>
      </c>
      <c r="AU553" t="b">
        <f>AND(IF(metadata!J553="",FALSE,TRUE),OR(EXACT(metadata!J553,"Animal"),EXACT(metadata!J553,"Fungus"),EXACT(metadata!J553,"Plant"),EXACT(metadata!J553,"Saline"),EXACT(metadata!J553,"Non-saline")))</f>
        <v>0</v>
      </c>
      <c r="AV553" t="b">
        <f>AND(IF(metadata!K553="",FALSE,TRUE),OR(EXACT(metadata!K553,"Plant secretion"),EXACT(metadata!K553,"Plant rhizosphere"),EXACT(metadata!K553,"Plant surface"),EXACT(metadata!K553,"Plant corpus"),EXACT(metadata!K553,"Fungus surface"),EXACT(metadata!K553,"Fungus corpus"),EXACT(metadata!K553,"Animal surface"),EXACT(metadata!K553,"Animal proximal gut"),EXACT(metadata!K553,"Animal corpus"),EXACT(metadata!K553,"Animal distal gut"),EXACT(metadata!K553,"Animal secretion"),EXACT(metadata!K553,"Sub-surface (non-saline)"),EXACT(metadata!K553,"Surface (non-saline)"),EXACT(metadata!K553,"Water (non-saline)"),EXACT(metadata!K553,"Soil (non-saline)"),EXACT(metadata!K553,"Aerosol (non-saline)"),EXACT(metadata!K553,"Sediment (non-saline)"),EXACT(metadata!K553,"Surface (saline)"),EXACT(metadata!K553,"Water (saline)"),EXACT(metadata!K553,"Hypersaline (saline)"),EXACT(metadata!K553,"Aerosol (saline)"),EXACT(metadata!K553,"Sediment (saline)")))</f>
        <v>0</v>
      </c>
      <c r="AW553" t="b">
        <f>IF(metadata!L553="",FALSE,TRUE)</f>
        <v>0</v>
      </c>
      <c r="AX553" t="b">
        <f>IF(metadata!M553="",FALSE,TRUE)</f>
        <v>0</v>
      </c>
      <c r="AY553" t="b">
        <f>IF(metadata!N553="",FALSE,TRUE)</f>
        <v>0</v>
      </c>
      <c r="AZ553" t="b">
        <f>OR(AND(IF(metadata!O553="",FALSE,TRUE),OR(EXACT(metadata!O553,"missing: not collected"),EXACT(metadata!O553,"missing: not provided"),EXACT(metadata!O553,"missing: restricted access"))),AND(IF(metadata!O553="",FALSE,TRUE),OR(EXACT(metadata!O553,"air"),EXACT(metadata!O553,"built environment"),EXACT(metadata!O553,"host-associated"),EXACT(metadata!O553,"human-associated"),EXACT(metadata!O553,"human-skin"),EXACT(metadata!O553,"human-oral"),EXACT(metadata!O553,"human-gut"),EXACT(metadata!O553,"human-vaginal"),EXACT(metadata!O553,"microbial mat/biofilm"),EXACT(metadata!O553,"misc environment"),EXACT(metadata!O553,"plant-associated"),EXACT(metadata!O553,"sediment"),EXACT(metadata!O553,"soil"),EXACT(metadata!O553,"wastewater/sludge"),EXACT(metadata!O553,"water"))))</f>
        <v>0</v>
      </c>
      <c r="BA553" t="b">
        <f>IF(metadata!P553="",FALSE,TRUE)</f>
        <v>0</v>
      </c>
      <c r="BB553" t="b">
        <f>IF(metadata!Q553="",FALSE,TRUE)</f>
        <v>0</v>
      </c>
      <c r="BC553" t="b">
        <f>OR(AND(IF(metadata!R553="",FALSE,TRUE),OR(EXACT(metadata!R553,"missing: not collected"),EXACT(metadata!R553,"missing: not provided"),EXACT(metadata!R553,"missing: restricted access"))),AND(IF(metadata!R553="",FALSE,ISNUMBER(VALUE(metadata!R553))),metadata!R553&gt;=-90,metadata!R553&lt;=90))</f>
        <v>0</v>
      </c>
      <c r="BD553" t="b">
        <f>AND(IF(metadata!S553="",FALSE,TRUE),EXACT(metadata!S553,"Decimal degrees"))</f>
        <v>0</v>
      </c>
      <c r="BE553" t="b">
        <f>OR(AND(IF(metadata!T553="",FALSE,TRUE),OR(EXACT(metadata!T553,"missing: not collected"),EXACT(metadata!T553,"missing: not provided"),EXACT(metadata!T553,"missing: restricted access"))),AND(IF(metadata!T553="",FALSE,ISNUMBER(VALUE(metadata!T553))),metadata!T553&gt;=-180,metadata!T553&lt;=180))</f>
        <v>0</v>
      </c>
      <c r="BF553" t="b">
        <f>AND(IF(metadata!U553="",FALSE,TRUE),EXACT(metadata!U553,"Decimal degrees"))</f>
        <v>0</v>
      </c>
      <c r="BG553" t="b">
        <f>IF(metadata!V553="",FALSE,TRUE)</f>
        <v>0</v>
      </c>
      <c r="BH553" t="b">
        <f>OR(AND(IF(metadata!W553="",FALSE,TRUE),OR(EXACT(metadata!W553,"missing: not collected"),EXACT(metadata!W553,"missing: not provided"),EXACT(metadata!W553,"missing: restricted access"))),AND(IF(metadata!W553="",FALSE,TRUE),OR(EXACT(metadata!W553,"TRUE"),EXACT(metadata!W553,"FALSE"))))</f>
        <v>0</v>
      </c>
      <c r="BI553" t="b">
        <f>AND(IF(metadata!X553="",FALSE,TRUE),EXACT(metadata!X553,"other"))</f>
        <v>0</v>
      </c>
      <c r="BJ553" t="b">
        <f>IF(metadata!Y553="",FALSE,TRUE)</f>
        <v>0</v>
      </c>
      <c r="BK553" t="b">
        <f>OR(AND(IF(metadata!Z553="",FALSE,TRUE),OR(EXACT(metadata!Z553,"missing: not collected"),EXACT(metadata!Z553,"missing: not provided"))),AND(IF(metadata!Z553="",FALSE,IF(ISERROR(INT(metadata!Z553)),FALSE,INT(metadata!Z553)=metadata!Z553)),metadata!Z553&gt;0))</f>
        <v>0</v>
      </c>
      <c r="BL553" t="b">
        <f>AND(IF(metadata!AA553="",FALSE,TRUE),EXACT(metadata!AA553,"Not applicable"))</f>
        <v>0</v>
      </c>
      <c r="BM553" t="b">
        <f>IF(metadata!AB553="",FALSE,TRUE)</f>
        <v>0</v>
      </c>
    </row>
    <row r="554" spans="1:65" x14ac:dyDescent="0.2">
      <c r="A554" s="5" t="str">
        <f ca="1">IF(B554=" "," ",HYPERLINK(CONCATENATE("#metadata!",ADDRESS(INDEX($AH$2:$AH$1001,MATCH(ROWS($AF$2:AF554),$AF$2:$AF$1001,0),0),1)),INDEX($AK$2:$AK$1001,MATCH(ROWS($AF$2:AF554),$AF$2:$AF$1001,0),0)))</f>
        <v xml:space="preserve"> </v>
      </c>
      <c r="B554" s="4" t="str">
        <f ca="1">IF(OR(INDEX($AG$2:$AG$1001,MATCH(ROWS($AF$2:AF554),$AF$2:$AF$1001,0),1)&gt;=100000,INDEX($AM$1005:$BM$1005,1,MATCH(COLUMNS($AM$1006:AM1006),$AM$1006:$BM$1006,0))&gt;=100000), " ",IF(INDEX($AM$2:$BM$1001,MATCH(ROWS($AF$2:AF554),$AF$2:$AF$1001,0),MATCH(COLUMNS($AM$1006:AM1006),$AM$1006:$BM$1006,0)), HYPERLINK("#",""), HYPERLINK(CONCATENATE("#metadata!", ADDRESS(INDEX($AH$2:$AH$1001,MATCH(ROWS($AF$2:AF554),$AF$2:$AF$1001,0),0), INDEX($AM$1004:$BM$1004,1,MATCH(COLUMNS($AM$1006:AM1006),$AM$1006:$BM$1006,0)))),"Fix")))</f>
        <v xml:space="preserve"> </v>
      </c>
      <c r="C554" s="4" t="str">
        <f ca="1">IF(OR(INDEX($AG$2:$AG$1001,MATCH(ROWS($AF$2:AF554),$AF$2:$AF$1001,0),1)&gt;=100000,INDEX($AM$1005:$BM$1005,1,MATCH(COLUMNS($AM$1006:AN1006),$AM$1006:$BM$1006,0))&gt;=100000), " ",IF(INDEX($AM$2:$BM$1001,MATCH(ROWS($AF$2:AF554),$AF$2:$AF$1001,0),MATCH(COLUMNS($AM$1006:AN1006),$AM$1006:$BM$1006,0)), HYPERLINK("#",""), HYPERLINK(CONCATENATE("#metadata!", ADDRESS(INDEX($AH$2:$AH$1001,MATCH(ROWS($AF$2:AF554),$AF$2:$AF$1001,0),0), INDEX($AM$1004:$BM$1004,1,MATCH(COLUMNS($AM$1006:AN1006),$AM$1006:$BM$1006,0)))),"Fix")))</f>
        <v xml:space="preserve"> </v>
      </c>
      <c r="D554" s="4" t="str">
        <f ca="1">IF(OR(INDEX($AG$2:$AG$1001,MATCH(ROWS($AF$2:AF554),$AF$2:$AF$1001,0),1)&gt;=100000,INDEX($AM$1005:$BM$1005,1,MATCH(COLUMNS($AM$1006:AO1006),$AM$1006:$BM$1006,0))&gt;=100000), " ",IF(INDEX($AM$2:$BM$1001,MATCH(ROWS($AF$2:AF554),$AF$2:$AF$1001,0),MATCH(COLUMNS($AM$1006:AO1006),$AM$1006:$BM$1006,0)), HYPERLINK("#",""), HYPERLINK(CONCATENATE("#metadata!", ADDRESS(INDEX($AH$2:$AH$1001,MATCH(ROWS($AF$2:AF554),$AF$2:$AF$1001,0),0), INDEX($AM$1004:$BM$1004,1,MATCH(COLUMNS($AM$1006:AO1006),$AM$1006:$BM$1006,0)))),"Fix")))</f>
        <v xml:space="preserve"> </v>
      </c>
      <c r="E554" s="4" t="str">
        <f ca="1">IF(OR(INDEX($AG$2:$AG$1001,MATCH(ROWS($AF$2:AF554),$AF$2:$AF$1001,0),1)&gt;=100000,INDEX($AM$1005:$BM$1005,1,MATCH(COLUMNS($AM$1006:AP1006),$AM$1006:$BM$1006,0))&gt;=100000), " ",IF(INDEX($AM$2:$BM$1001,MATCH(ROWS($AF$2:AF554),$AF$2:$AF$1001,0),MATCH(COLUMNS($AM$1006:AP1006),$AM$1006:$BM$1006,0)), HYPERLINK("#",""), HYPERLINK(CONCATENATE("#metadata!", ADDRESS(INDEX($AH$2:$AH$1001,MATCH(ROWS($AF$2:AF554),$AF$2:$AF$1001,0),0), INDEX($AM$1004:$BM$1004,1,MATCH(COLUMNS($AM$1006:AP1006),$AM$1006:$BM$1006,0)))),"Fix")))</f>
        <v xml:space="preserve"> </v>
      </c>
      <c r="F554" s="4" t="str">
        <f ca="1">IF(OR(INDEX($AG$2:$AG$1001,MATCH(ROWS($AF$2:AF554),$AF$2:$AF$1001,0),1)&gt;=100000,INDEX($AM$1005:$BM$1005,1,MATCH(COLUMNS($AM$1006:AQ1006),$AM$1006:$BM$1006,0))&gt;=100000), " ",IF(INDEX($AM$2:$BM$1001,MATCH(ROWS($AF$2:AF554),$AF$2:$AF$1001,0),MATCH(COLUMNS($AM$1006:AQ1006),$AM$1006:$BM$1006,0)), HYPERLINK("#",""), HYPERLINK(CONCATENATE("#metadata!", ADDRESS(INDEX($AH$2:$AH$1001,MATCH(ROWS($AF$2:AF554),$AF$2:$AF$1001,0),0), INDEX($AM$1004:$BM$1004,1,MATCH(COLUMNS($AM$1006:AQ1006),$AM$1006:$BM$1006,0)))),"Fix")))</f>
        <v xml:space="preserve"> </v>
      </c>
      <c r="G554" s="4" t="str">
        <f ca="1">IF(OR(INDEX($AG$2:$AG$1001,MATCH(ROWS($AF$2:AF554),$AF$2:$AF$1001,0),1)&gt;=100000,INDEX($AM$1005:$BM$1005,1,MATCH(COLUMNS($AM$1006:AR1006),$AM$1006:$BM$1006,0))&gt;=100000), " ",IF(INDEX($AM$2:$BM$1001,MATCH(ROWS($AF$2:AF554),$AF$2:$AF$1001,0),MATCH(COLUMNS($AM$1006:AR1006),$AM$1006:$BM$1006,0)), HYPERLINK("#",""), HYPERLINK(CONCATENATE("#metadata!", ADDRESS(INDEX($AH$2:$AH$1001,MATCH(ROWS($AF$2:AF554),$AF$2:$AF$1001,0),0), INDEX($AM$1004:$BM$1004,1,MATCH(COLUMNS($AM$1006:AR1006),$AM$1006:$BM$1006,0)))),"Fix")))</f>
        <v xml:space="preserve"> </v>
      </c>
      <c r="H554" s="4" t="str">
        <f ca="1">IF(OR(INDEX($AG$2:$AG$1001,MATCH(ROWS($AF$2:AF554),$AF$2:$AF$1001,0),1)&gt;=100000,INDEX($AM$1005:$BM$1005,1,MATCH(COLUMNS($AM$1006:AS1006),$AM$1006:$BM$1006,0))&gt;=100000), " ",IF(INDEX($AM$2:$BM$1001,MATCH(ROWS($AF$2:AF554),$AF$2:$AF$1001,0),MATCH(COLUMNS($AM$1006:AS1006),$AM$1006:$BM$1006,0)), HYPERLINK("#",""), HYPERLINK(CONCATENATE("#metadata!", ADDRESS(INDEX($AH$2:$AH$1001,MATCH(ROWS($AF$2:AF554),$AF$2:$AF$1001,0),0), INDEX($AM$1004:$BM$1004,1,MATCH(COLUMNS($AM$1006:AS1006),$AM$1006:$BM$1006,0)))),"Fix")))</f>
        <v xml:space="preserve"> </v>
      </c>
      <c r="I554" s="4" t="str">
        <f ca="1">IF(OR(INDEX($AG$2:$AG$1001,MATCH(ROWS($AF$2:AF554),$AF$2:$AF$1001,0),1)&gt;=100000,INDEX($AM$1005:$BM$1005,1,MATCH(COLUMNS($AM$1006:AT1006),$AM$1006:$BM$1006,0))&gt;=100000), " ",IF(INDEX($AM$2:$BM$1001,MATCH(ROWS($AF$2:AF554),$AF$2:$AF$1001,0),MATCH(COLUMNS($AM$1006:AT1006),$AM$1006:$BM$1006,0)), HYPERLINK("#",""), HYPERLINK(CONCATENATE("#metadata!", ADDRESS(INDEX($AH$2:$AH$1001,MATCH(ROWS($AF$2:AF554),$AF$2:$AF$1001,0),0), INDEX($AM$1004:$BM$1004,1,MATCH(COLUMNS($AM$1006:AT1006),$AM$1006:$BM$1006,0)))),"Fix")))</f>
        <v xml:space="preserve"> </v>
      </c>
      <c r="J554" s="4" t="str">
        <f ca="1">IF(OR(INDEX($AG$2:$AG$1001,MATCH(ROWS($AF$2:AF554),$AF$2:$AF$1001,0),1)&gt;=100000,INDEX($AM$1005:$BM$1005,1,MATCH(COLUMNS($AM$1006:AU1006),$AM$1006:$BM$1006,0))&gt;=100000), " ",IF(INDEX($AM$2:$BM$1001,MATCH(ROWS($AF$2:AF554),$AF$2:$AF$1001,0),MATCH(COLUMNS($AM$1006:AU1006),$AM$1006:$BM$1006,0)), HYPERLINK("#",""), HYPERLINK(CONCATENATE("#metadata!", ADDRESS(INDEX($AH$2:$AH$1001,MATCH(ROWS($AF$2:AF554),$AF$2:$AF$1001,0),0), INDEX($AM$1004:$BM$1004,1,MATCH(COLUMNS($AM$1006:AU1006),$AM$1006:$BM$1006,0)))),"Fix")))</f>
        <v xml:space="preserve"> </v>
      </c>
      <c r="K554" s="4" t="str">
        <f ca="1">IF(OR(INDEX($AG$2:$AG$1001,MATCH(ROWS($AF$2:AF554),$AF$2:$AF$1001,0),1)&gt;=100000,INDEX($AM$1005:$BM$1005,1,MATCH(COLUMNS($AM$1006:AV1006),$AM$1006:$BM$1006,0))&gt;=100000), " ",IF(INDEX($AM$2:$BM$1001,MATCH(ROWS($AF$2:AF554),$AF$2:$AF$1001,0),MATCH(COLUMNS($AM$1006:AV1006),$AM$1006:$BM$1006,0)), HYPERLINK("#",""), HYPERLINK(CONCATENATE("#metadata!", ADDRESS(INDEX($AH$2:$AH$1001,MATCH(ROWS($AF$2:AF554),$AF$2:$AF$1001,0),0), INDEX($AM$1004:$BM$1004,1,MATCH(COLUMNS($AM$1006:AV1006),$AM$1006:$BM$1006,0)))),"Fix")))</f>
        <v xml:space="preserve"> </v>
      </c>
      <c r="L554" s="4" t="str">
        <f ca="1">IF(OR(INDEX($AG$2:$AG$1001,MATCH(ROWS($AF$2:AF554),$AF$2:$AF$1001,0),1)&gt;=100000,INDEX($AM$1005:$BM$1005,1,MATCH(COLUMNS($AM$1006:AW1006),$AM$1006:$BM$1006,0))&gt;=100000), " ",IF(INDEX($AM$2:$BM$1001,MATCH(ROWS($AF$2:AF554),$AF$2:$AF$1001,0),MATCH(COLUMNS($AM$1006:AW1006),$AM$1006:$BM$1006,0)), HYPERLINK("#",""), HYPERLINK(CONCATENATE("#metadata!", ADDRESS(INDEX($AH$2:$AH$1001,MATCH(ROWS($AF$2:AF554),$AF$2:$AF$1001,0),0), INDEX($AM$1004:$BM$1004,1,MATCH(COLUMNS($AM$1006:AW1006),$AM$1006:$BM$1006,0)))),"Fix")))</f>
        <v xml:space="preserve"> </v>
      </c>
      <c r="M554" s="4" t="str">
        <f ca="1">IF(OR(INDEX($AG$2:$AG$1001,MATCH(ROWS($AF$2:AF554),$AF$2:$AF$1001,0),1)&gt;=100000,INDEX($AM$1005:$BM$1005,1,MATCH(COLUMNS($AM$1006:AX1006),$AM$1006:$BM$1006,0))&gt;=100000), " ",IF(INDEX($AM$2:$BM$1001,MATCH(ROWS($AF$2:AF554),$AF$2:$AF$1001,0),MATCH(COLUMNS($AM$1006:AX1006),$AM$1006:$BM$1006,0)), HYPERLINK("#",""), HYPERLINK(CONCATENATE("#metadata!", ADDRESS(INDEX($AH$2:$AH$1001,MATCH(ROWS($AF$2:AF554),$AF$2:$AF$1001,0),0), INDEX($AM$1004:$BM$1004,1,MATCH(COLUMNS($AM$1006:AX1006),$AM$1006:$BM$1006,0)))),"Fix")))</f>
        <v xml:space="preserve"> </v>
      </c>
      <c r="N554" s="4" t="str">
        <f ca="1">IF(OR(INDEX($AG$2:$AG$1001,MATCH(ROWS($AF$2:AF554),$AF$2:$AF$1001,0),1)&gt;=100000,INDEX($AM$1005:$BM$1005,1,MATCH(COLUMNS($AM$1006:AY1006),$AM$1006:$BM$1006,0))&gt;=100000), " ",IF(INDEX($AM$2:$BM$1001,MATCH(ROWS($AF$2:AF554),$AF$2:$AF$1001,0),MATCH(COLUMNS($AM$1006:AY1006),$AM$1006:$BM$1006,0)), HYPERLINK("#",""), HYPERLINK(CONCATENATE("#metadata!", ADDRESS(INDEX($AH$2:$AH$1001,MATCH(ROWS($AF$2:AF554),$AF$2:$AF$1001,0),0), INDEX($AM$1004:$BM$1004,1,MATCH(COLUMNS($AM$1006:AY1006),$AM$1006:$BM$1006,0)))),"Fix")))</f>
        <v xml:space="preserve"> </v>
      </c>
      <c r="O554" s="4" t="str">
        <f ca="1">IF(OR(INDEX($AG$2:$AG$1001,MATCH(ROWS($AF$2:AF554),$AF$2:$AF$1001,0),1)&gt;=100000,INDEX($AM$1005:$BM$1005,1,MATCH(COLUMNS($AM$1006:AZ1006),$AM$1006:$BM$1006,0))&gt;=100000), " ",IF(INDEX($AM$2:$BM$1001,MATCH(ROWS($AF$2:AF554),$AF$2:$AF$1001,0),MATCH(COLUMNS($AM$1006:AZ1006),$AM$1006:$BM$1006,0)), HYPERLINK("#",""), HYPERLINK(CONCATENATE("#metadata!", ADDRESS(INDEX($AH$2:$AH$1001,MATCH(ROWS($AF$2:AF554),$AF$2:$AF$1001,0),0), INDEX($AM$1004:$BM$1004,1,MATCH(COLUMNS($AM$1006:AZ1006),$AM$1006:$BM$1006,0)))),"Fix")))</f>
        <v xml:space="preserve"> </v>
      </c>
      <c r="P554" s="4" t="str">
        <f ca="1">IF(OR(INDEX($AG$2:$AG$1001,MATCH(ROWS($AF$2:AF554),$AF$2:$AF$1001,0),1)&gt;=100000,INDEX($AM$1005:$BM$1005,1,MATCH(COLUMNS($AM$1006:BA1006),$AM$1006:$BM$1006,0))&gt;=100000), " ",IF(INDEX($AM$2:$BM$1001,MATCH(ROWS($AF$2:AF554),$AF$2:$AF$1001,0),MATCH(COLUMNS($AM$1006:BA1006),$AM$1006:$BM$1006,0)), HYPERLINK("#",""), HYPERLINK(CONCATENATE("#metadata!", ADDRESS(INDEX($AH$2:$AH$1001,MATCH(ROWS($AF$2:AF554),$AF$2:$AF$1001,0),0), INDEX($AM$1004:$BM$1004,1,MATCH(COLUMNS($AM$1006:BA1006),$AM$1006:$BM$1006,0)))),"Fix")))</f>
        <v xml:space="preserve"> </v>
      </c>
      <c r="Q554" s="4" t="str">
        <f ca="1">IF(OR(INDEX($AG$2:$AG$1001,MATCH(ROWS($AF$2:AF554),$AF$2:$AF$1001,0),1)&gt;=100000,INDEX($AM$1005:$BM$1005,1,MATCH(COLUMNS($AM$1006:BB1006),$AM$1006:$BM$1006,0))&gt;=100000), " ",IF(INDEX($AM$2:$BM$1001,MATCH(ROWS($AF$2:AF554),$AF$2:$AF$1001,0),MATCH(COLUMNS($AM$1006:BB1006),$AM$1006:$BM$1006,0)), HYPERLINK("#",""), HYPERLINK(CONCATENATE("#metadata!", ADDRESS(INDEX($AH$2:$AH$1001,MATCH(ROWS($AF$2:AF554),$AF$2:$AF$1001,0),0), INDEX($AM$1004:$BM$1004,1,MATCH(COLUMNS($AM$1006:BB1006),$AM$1006:$BM$1006,0)))),"Fix")))</f>
        <v xml:space="preserve"> </v>
      </c>
      <c r="R554" s="4" t="str">
        <f ca="1">IF(OR(INDEX($AG$2:$AG$1001,MATCH(ROWS($AF$2:AF554),$AF$2:$AF$1001,0),1)&gt;=100000,INDEX($AM$1005:$BM$1005,1,MATCH(COLUMNS($AM$1006:BC1006),$AM$1006:$BM$1006,0))&gt;=100000), " ",IF(INDEX($AM$2:$BM$1001,MATCH(ROWS($AF$2:AF554),$AF$2:$AF$1001,0),MATCH(COLUMNS($AM$1006:BC1006),$AM$1006:$BM$1006,0)), HYPERLINK("#",""), HYPERLINK(CONCATENATE("#metadata!", ADDRESS(INDEX($AH$2:$AH$1001,MATCH(ROWS($AF$2:AF554),$AF$2:$AF$1001,0),0), INDEX($AM$1004:$BM$1004,1,MATCH(COLUMNS($AM$1006:BC1006),$AM$1006:$BM$1006,0)))),"Fix")))</f>
        <v xml:space="preserve"> </v>
      </c>
      <c r="S554" s="4" t="str">
        <f ca="1">IF(OR(INDEX($AG$2:$AG$1001,MATCH(ROWS($AF$2:AF554),$AF$2:$AF$1001,0),1)&gt;=100000,INDEX($AM$1005:$BM$1005,1,MATCH(COLUMNS($AM$1006:BD1006),$AM$1006:$BM$1006,0))&gt;=100000), " ",IF(INDEX($AM$2:$BM$1001,MATCH(ROWS($AF$2:AF554),$AF$2:$AF$1001,0),MATCH(COLUMNS($AM$1006:BD1006),$AM$1006:$BM$1006,0)), HYPERLINK("#",""), HYPERLINK(CONCATENATE("#metadata!", ADDRESS(INDEX($AH$2:$AH$1001,MATCH(ROWS($AF$2:AF554),$AF$2:$AF$1001,0),0), INDEX($AM$1004:$BM$1004,1,MATCH(COLUMNS($AM$1006:BD1006),$AM$1006:$BM$1006,0)))),"Fix")))</f>
        <v xml:space="preserve"> </v>
      </c>
      <c r="T554" s="4" t="str">
        <f ca="1">IF(OR(INDEX($AG$2:$AG$1001,MATCH(ROWS($AF$2:AF554),$AF$2:$AF$1001,0),1)&gt;=100000,INDEX($AM$1005:$BM$1005,1,MATCH(COLUMNS($AM$1006:BE1006),$AM$1006:$BM$1006,0))&gt;=100000), " ",IF(INDEX($AM$2:$BM$1001,MATCH(ROWS($AF$2:AF554),$AF$2:$AF$1001,0),MATCH(COLUMNS($AM$1006:BE1006),$AM$1006:$BM$1006,0)), HYPERLINK("#",""), HYPERLINK(CONCATENATE("#metadata!", ADDRESS(INDEX($AH$2:$AH$1001,MATCH(ROWS($AF$2:AF554),$AF$2:$AF$1001,0),0), INDEX($AM$1004:$BM$1004,1,MATCH(COLUMNS($AM$1006:BE1006),$AM$1006:$BM$1006,0)))),"Fix")))</f>
        <v xml:space="preserve"> </v>
      </c>
      <c r="U554" s="4" t="str">
        <f ca="1">IF(OR(INDEX($AG$2:$AG$1001,MATCH(ROWS($AF$2:AF554),$AF$2:$AF$1001,0),1)&gt;=100000,INDEX($AM$1005:$BM$1005,1,MATCH(COLUMNS($AM$1006:BF1006),$AM$1006:$BM$1006,0))&gt;=100000), " ",IF(INDEX($AM$2:$BM$1001,MATCH(ROWS($AF$2:AF554),$AF$2:$AF$1001,0),MATCH(COLUMNS($AM$1006:BF1006),$AM$1006:$BM$1006,0)), HYPERLINK("#",""), HYPERLINK(CONCATENATE("#metadata!", ADDRESS(INDEX($AH$2:$AH$1001,MATCH(ROWS($AF$2:AF554),$AF$2:$AF$1001,0),0), INDEX($AM$1004:$BM$1004,1,MATCH(COLUMNS($AM$1006:BF1006),$AM$1006:$BM$1006,0)))),"Fix")))</f>
        <v xml:space="preserve"> </v>
      </c>
      <c r="V554" s="4" t="str">
        <f ca="1">IF(OR(INDEX($AG$2:$AG$1001,MATCH(ROWS($AF$2:AF554),$AF$2:$AF$1001,0),1)&gt;=100000,INDEX($AM$1005:$BM$1005,1,MATCH(COLUMNS($AM$1006:BG1006),$AM$1006:$BM$1006,0))&gt;=100000), " ",IF(INDEX($AM$2:$BM$1001,MATCH(ROWS($AF$2:AF554),$AF$2:$AF$1001,0),MATCH(COLUMNS($AM$1006:BG1006),$AM$1006:$BM$1006,0)), HYPERLINK("#",""), HYPERLINK(CONCATENATE("#metadata!", ADDRESS(INDEX($AH$2:$AH$1001,MATCH(ROWS($AF$2:AF554),$AF$2:$AF$1001,0),0), INDEX($AM$1004:$BM$1004,1,MATCH(COLUMNS($AM$1006:BG1006),$AM$1006:$BM$1006,0)))),"Fix")))</f>
        <v xml:space="preserve"> </v>
      </c>
      <c r="W554" s="4" t="str">
        <f ca="1">IF(OR(INDEX($AG$2:$AG$1001,MATCH(ROWS($AF$2:AF554),$AF$2:$AF$1001,0),1)&gt;=100000,INDEX($AM$1005:$BM$1005,1,MATCH(COLUMNS($AM$1006:BH1006),$AM$1006:$BM$1006,0))&gt;=100000), " ",IF(INDEX($AM$2:$BM$1001,MATCH(ROWS($AF$2:AF554),$AF$2:$AF$1001,0),MATCH(COLUMNS($AM$1006:BH1006),$AM$1006:$BM$1006,0)), HYPERLINK("#",""), HYPERLINK(CONCATENATE("#metadata!", ADDRESS(INDEX($AH$2:$AH$1001,MATCH(ROWS($AF$2:AF554),$AF$2:$AF$1001,0),0), INDEX($AM$1004:$BM$1004,1,MATCH(COLUMNS($AM$1006:BH1006),$AM$1006:$BM$1006,0)))),"Fix")))</f>
        <v xml:space="preserve"> </v>
      </c>
      <c r="X554" s="4" t="str">
        <f ca="1">IF(OR(INDEX($AG$2:$AG$1001,MATCH(ROWS($AF$2:AF554),$AF$2:$AF$1001,0),1)&gt;=100000,INDEX($AM$1005:$BM$1005,1,MATCH(COLUMNS($AM$1006:BI1006),$AM$1006:$BM$1006,0))&gt;=100000), " ",IF(INDEX($AM$2:$BM$1001,MATCH(ROWS($AF$2:AF554),$AF$2:$AF$1001,0),MATCH(COLUMNS($AM$1006:BI1006),$AM$1006:$BM$1006,0)), HYPERLINK("#",""), HYPERLINK(CONCATENATE("#metadata!", ADDRESS(INDEX($AH$2:$AH$1001,MATCH(ROWS($AF$2:AF554),$AF$2:$AF$1001,0),0), INDEX($AM$1004:$BM$1004,1,MATCH(COLUMNS($AM$1006:BI1006),$AM$1006:$BM$1006,0)))),"Fix")))</f>
        <v xml:space="preserve"> </v>
      </c>
      <c r="Y554" s="4" t="str">
        <f ca="1">IF(OR(INDEX($AG$2:$AG$1001,MATCH(ROWS($AF$2:AF554),$AF$2:$AF$1001,0),1)&gt;=100000,INDEX($AM$1005:$BM$1005,1,MATCH(COLUMNS($AM$1006:BJ1006),$AM$1006:$BM$1006,0))&gt;=100000), " ",IF(INDEX($AM$2:$BM$1001,MATCH(ROWS($AF$2:AF554),$AF$2:$AF$1001,0),MATCH(COLUMNS($AM$1006:BJ1006),$AM$1006:$BM$1006,0)), HYPERLINK("#",""), HYPERLINK(CONCATENATE("#metadata!", ADDRESS(INDEX($AH$2:$AH$1001,MATCH(ROWS($AF$2:AF554),$AF$2:$AF$1001,0),0), INDEX($AM$1004:$BM$1004,1,MATCH(COLUMNS($AM$1006:BJ1006),$AM$1006:$BM$1006,0)))),"Fix")))</f>
        <v xml:space="preserve"> </v>
      </c>
      <c r="Z554" s="4" t="str">
        <f ca="1">IF(OR(INDEX($AG$2:$AG$1001,MATCH(ROWS($AF$2:AF554),$AF$2:$AF$1001,0),1)&gt;=100000,INDEX($AM$1005:$BM$1005,1,MATCH(COLUMNS($AM$1006:BK1006),$AM$1006:$BM$1006,0))&gt;=100000), " ",IF(INDEX($AM$2:$BM$1001,MATCH(ROWS($AF$2:AF554),$AF$2:$AF$1001,0),MATCH(COLUMNS($AM$1006:BK1006),$AM$1006:$BM$1006,0)), HYPERLINK("#",""), HYPERLINK(CONCATENATE("#metadata!", ADDRESS(INDEX($AH$2:$AH$1001,MATCH(ROWS($AF$2:AF554),$AF$2:$AF$1001,0),0), INDEX($AM$1004:$BM$1004,1,MATCH(COLUMNS($AM$1006:BK1006),$AM$1006:$BM$1006,0)))),"Fix")))</f>
        <v xml:space="preserve"> </v>
      </c>
      <c r="AA554" s="4" t="str">
        <f ca="1">IF(OR(INDEX($AG$2:$AG$1001,MATCH(ROWS($AF$2:AF554),$AF$2:$AF$1001,0),1)&gt;=100000,INDEX($AM$1005:$BM$1005,1,MATCH(COLUMNS($AM$1006:BL1006),$AM$1006:$BM$1006,0))&gt;=100000), " ",IF(INDEX($AM$2:$BM$1001,MATCH(ROWS($AF$2:AF554),$AF$2:$AF$1001,0),MATCH(COLUMNS($AM$1006:BL1006),$AM$1006:$BM$1006,0)), HYPERLINK("#",""), HYPERLINK(CONCATENATE("#metadata!", ADDRESS(INDEX($AH$2:$AH$1001,MATCH(ROWS($AF$2:AF554),$AF$2:$AF$1001,0),0), INDEX($AM$1004:$BM$1004,1,MATCH(COLUMNS($AM$1006:BL1006),$AM$1006:$BM$1006,0)))),"Fix")))</f>
        <v xml:space="preserve"> </v>
      </c>
      <c r="AB554" s="4" t="str">
        <f ca="1">IF(OR(INDEX($AG$2:$AG$1001,MATCH(ROWS($AF$2:AF554),$AF$2:$AF$1001,0),1)&gt;=100000,INDEX($AM$1005:$BM$1005,1,MATCH(COLUMNS($AM$1006:BM1006),$AM$1006:$BM$1006,0))&gt;=100000), " ",IF(INDEX($AM$2:$BM$1001,MATCH(ROWS($AF$2:AF554),$AF$2:$AF$1001,0),MATCH(COLUMNS($AM$1006:BM1006),$AM$1006:$BM$1006,0)), HYPERLINK("#",""), HYPERLINK(CONCATENATE("#metadata!", ADDRESS(INDEX($AH$2:$AH$1001,MATCH(ROWS($AF$2:AF554),$AF$2:$AF$1001,0),0), INDEX($AM$1004:$BM$1004,1,MATCH(COLUMNS($AM$1006:BM1006),$AM$1006:$BM$1006,0)))),"Fix")))</f>
        <v xml:space="preserve"> </v>
      </c>
      <c r="AF554">
        <v>553</v>
      </c>
      <c r="AG554">
        <v>100554</v>
      </c>
      <c r="AH554">
        <v>554</v>
      </c>
      <c r="AI554" t="b">
        <f t="shared" si="8"/>
        <v>1</v>
      </c>
      <c r="AJ554" t="b">
        <f>COUNTBLANK(metadata!B554:AB554)=COLUMNS(metadata!B554:AB554)</f>
        <v>1</v>
      </c>
      <c r="AK554" t="str">
        <v/>
      </c>
      <c r="AM554" t="b">
        <f ca="1">AND(IF(metadata!B554="",FALSE,TRUE),COUNTIF(metadata!B:B, metadata!B554) = 1,NOT(ISERROR(SUMPRODUCT(SEARCH(MID(metadata!B554,ROW(INDIRECT("1:"&amp;LEN(metadata!B554))), 1),"0123456789abcdefghijklmnopqrstuvwxyzABCDEFGHIJKLMNOPQRSTUVWXYZ.")))))</f>
        <v>0</v>
      </c>
      <c r="AN554" t="b">
        <f ca="1">OR(AND(IF(metadata!C554="",FALSE,TRUE),OR(EXACT(metadata!C554,"missing: not collected"),EXACT(metadata!C554,"missing: not provided"),EXACT(metadata!C554,"missing: restricted access"))),AND(IF(metadata!C554="",FALSE,TRUE),AND(AND(IFERROR(INT(LEFT(metadata!C554,4))&gt;1900,FALSE),IFERROR(INT(LEFT(metadata!C554,4))&lt;=YEAR(NOW()),FALSE)), OR(MID(metadata!C554,5,1)="", AND(AND(MID(metadata!C554,5,1)="-",IFERROR(INT(MID(metadata!C554,6,1))&gt;=0,FALSE),IFERROR(INT(MID(metadata!C554,6,1))&lt;=1,FALSE),NOT(MID(metadata!C554,7,1)=""),IFERROR(INT(MID(metadata!C554,6,2))&gt;=1,FALSE),IFERROR(INT(MID(metadata!C554,6,2))&lt;=12,FALSE)), OR(MID(metadata!C554,8,1)="", AND(AND(MID(metadata!C554,8,1)="-",IFERROR(INT(MID(metadata!C554,9,1))&gt;=0,FALSE),IFERROR(INT(MID(metadata!C554,9,1))&lt;=3,FALSE),NOT(MID(metadata!C554,10,1)=""),IFERROR(INT(MID(metadata!C554,9,2))&gt;=1,FALSE),IFERROR(INT(MID(metadata!C554,9,2))&lt;=31,FALSE)), OR(MID(metadata!C554,11,1)="", AND(AND(MID(metadata!C554,11,1)=" ",IFERROR(INT(MID(metadata!C554,12,1))&gt;=0,FALSE),IFERROR(INT(MID(metadata!C554,12,1))&lt;=2,FALSE),NOT(MID(metadata!C554,13,1)=""),IFERROR(INT(MID(metadata!C554,12,2))&gt;=0,FALSE),IFERROR(INT(MID(metadata!C554,12,2))&lt;=23,FALSE)), OR(MID(metadata!C554,14,1)="", AND(AND(MID(metadata!C554,14,1)=":",IFERROR(INT(MID(metadata!C554,15,1))&gt;=0,FALSE),IFERROR(INT(MID(metadata!C554,15,1))&lt;=5,FALSE),NOT(MID(metadata!C554,16,1)=""),IFERROR(INT(MID(metadata!C554,15,2))&gt;=0,FALSE),IFERROR(INT(MID(metadata!C554,15,2))&lt;=59,FALSE)), OR(MID(metadata!C554,17,1)="", AND(AND(MID(metadata!C554,17,1)=":",IFERROR(INT(MID(metadata!C554,18,1))&gt;=0,FALSE),IFERROR(INT(MID(metadata!C554,18,1))&lt;=5,FALSE),NOT(MID(metadata!C554,19,1)=""),IFERROR(INT(MID(metadata!C554,18,2))&gt;=0,FALSE),IFERROR(INT(MID(metadata!C554,18,2))&lt;=59,FALSE)), LEN(metadata!C554)&lt;=19)))))))))))))</f>
        <v>0</v>
      </c>
      <c r="AO554" t="b">
        <f>AND(IF(metadata!D554="",FALSE,TRUE),EXACT(metadata!D554,"Not applicable"))</f>
        <v>0</v>
      </c>
      <c r="AP554" t="b">
        <f>IF(metadata!E554="",FALSE,TRUE)</f>
        <v>0</v>
      </c>
      <c r="AQ554" t="b">
        <f>OR(AND(IF(metadata!F554="",FALSE,TRUE),OR(EXACT(metadata!F554,"missing: not collected"),EXACT(metadata!F554,"missing: not provided"))),AND(IF(metadata!F554="",FALSE,TRUE),OR(EXACT(metadata!F554,"TRUE"),EXACT(metadata!F554,"FALSE"))))</f>
        <v>0</v>
      </c>
      <c r="AR554" t="b">
        <f>OR(AND(IF(metadata!G554="",FALSE,TRUE),OR(EXACT(metadata!G554,"missing: not collected"),EXACT(metadata!G554,"missing: not provided"),EXACT(metadata!G554,"missing: restricted access"))),AND(IF(metadata!G554="",FALSE,ISNUMBER(VALUE(metadata!G554))),metadata!G554&gt;=-413))</f>
        <v>0</v>
      </c>
      <c r="AS554" t="b">
        <f>AND(IF(metadata!H554="",FALSE,TRUE),EXACT(metadata!H554,"meters"))</f>
        <v>0</v>
      </c>
      <c r="AT554" t="b">
        <f>AND(IF(metadata!I554="",FALSE,TRUE),OR(EXACT(metadata!I554,"Host-associated"),EXACT(metadata!I554,"Free-living")))</f>
        <v>0</v>
      </c>
      <c r="AU554" t="b">
        <f>AND(IF(metadata!J554="",FALSE,TRUE),OR(EXACT(metadata!J554,"Animal"),EXACT(metadata!J554,"Fungus"),EXACT(metadata!J554,"Plant"),EXACT(metadata!J554,"Saline"),EXACT(metadata!J554,"Non-saline")))</f>
        <v>0</v>
      </c>
      <c r="AV554" t="b">
        <f>AND(IF(metadata!K554="",FALSE,TRUE),OR(EXACT(metadata!K554,"Plant secretion"),EXACT(metadata!K554,"Plant rhizosphere"),EXACT(metadata!K554,"Plant surface"),EXACT(metadata!K554,"Plant corpus"),EXACT(metadata!K554,"Fungus surface"),EXACT(metadata!K554,"Fungus corpus"),EXACT(metadata!K554,"Animal surface"),EXACT(metadata!K554,"Animal proximal gut"),EXACT(metadata!K554,"Animal corpus"),EXACT(metadata!K554,"Animal distal gut"),EXACT(metadata!K554,"Animal secretion"),EXACT(metadata!K554,"Sub-surface (non-saline)"),EXACT(metadata!K554,"Surface (non-saline)"),EXACT(metadata!K554,"Water (non-saline)"),EXACT(metadata!K554,"Soil (non-saline)"),EXACT(metadata!K554,"Aerosol (non-saline)"),EXACT(metadata!K554,"Sediment (non-saline)"),EXACT(metadata!K554,"Surface (saline)"),EXACT(metadata!K554,"Water (saline)"),EXACT(metadata!K554,"Hypersaline (saline)"),EXACT(metadata!K554,"Aerosol (saline)"),EXACT(metadata!K554,"Sediment (saline)")))</f>
        <v>0</v>
      </c>
      <c r="AW554" t="b">
        <f>IF(metadata!L554="",FALSE,TRUE)</f>
        <v>0</v>
      </c>
      <c r="AX554" t="b">
        <f>IF(metadata!M554="",FALSE,TRUE)</f>
        <v>0</v>
      </c>
      <c r="AY554" t="b">
        <f>IF(metadata!N554="",FALSE,TRUE)</f>
        <v>0</v>
      </c>
      <c r="AZ554" t="b">
        <f>OR(AND(IF(metadata!O554="",FALSE,TRUE),OR(EXACT(metadata!O554,"missing: not collected"),EXACT(metadata!O554,"missing: not provided"),EXACT(metadata!O554,"missing: restricted access"))),AND(IF(metadata!O554="",FALSE,TRUE),OR(EXACT(metadata!O554,"air"),EXACT(metadata!O554,"built environment"),EXACT(metadata!O554,"host-associated"),EXACT(metadata!O554,"human-associated"),EXACT(metadata!O554,"human-skin"),EXACT(metadata!O554,"human-oral"),EXACT(metadata!O554,"human-gut"),EXACT(metadata!O554,"human-vaginal"),EXACT(metadata!O554,"microbial mat/biofilm"),EXACT(metadata!O554,"misc environment"),EXACT(metadata!O554,"plant-associated"),EXACT(metadata!O554,"sediment"),EXACT(metadata!O554,"soil"),EXACT(metadata!O554,"wastewater/sludge"),EXACT(metadata!O554,"water"))))</f>
        <v>0</v>
      </c>
      <c r="BA554" t="b">
        <f>IF(metadata!P554="",FALSE,TRUE)</f>
        <v>0</v>
      </c>
      <c r="BB554" t="b">
        <f>IF(metadata!Q554="",FALSE,TRUE)</f>
        <v>0</v>
      </c>
      <c r="BC554" t="b">
        <f>OR(AND(IF(metadata!R554="",FALSE,TRUE),OR(EXACT(metadata!R554,"missing: not collected"),EXACT(metadata!R554,"missing: not provided"),EXACT(metadata!R554,"missing: restricted access"))),AND(IF(metadata!R554="",FALSE,ISNUMBER(VALUE(metadata!R554))),metadata!R554&gt;=-90,metadata!R554&lt;=90))</f>
        <v>0</v>
      </c>
      <c r="BD554" t="b">
        <f>AND(IF(metadata!S554="",FALSE,TRUE),EXACT(metadata!S554,"Decimal degrees"))</f>
        <v>0</v>
      </c>
      <c r="BE554" t="b">
        <f>OR(AND(IF(metadata!T554="",FALSE,TRUE),OR(EXACT(metadata!T554,"missing: not collected"),EXACT(metadata!T554,"missing: not provided"),EXACT(metadata!T554,"missing: restricted access"))),AND(IF(metadata!T554="",FALSE,ISNUMBER(VALUE(metadata!T554))),metadata!T554&gt;=-180,metadata!T554&lt;=180))</f>
        <v>0</v>
      </c>
      <c r="BF554" t="b">
        <f>AND(IF(metadata!U554="",FALSE,TRUE),EXACT(metadata!U554,"Decimal degrees"))</f>
        <v>0</v>
      </c>
      <c r="BG554" t="b">
        <f>IF(metadata!V554="",FALSE,TRUE)</f>
        <v>0</v>
      </c>
      <c r="BH554" t="b">
        <f>OR(AND(IF(metadata!W554="",FALSE,TRUE),OR(EXACT(metadata!W554,"missing: not collected"),EXACT(metadata!W554,"missing: not provided"),EXACT(metadata!W554,"missing: restricted access"))),AND(IF(metadata!W554="",FALSE,TRUE),OR(EXACT(metadata!W554,"TRUE"),EXACT(metadata!W554,"FALSE"))))</f>
        <v>0</v>
      </c>
      <c r="BI554" t="b">
        <f>AND(IF(metadata!X554="",FALSE,TRUE),EXACT(metadata!X554,"other"))</f>
        <v>0</v>
      </c>
      <c r="BJ554" t="b">
        <f>IF(metadata!Y554="",FALSE,TRUE)</f>
        <v>0</v>
      </c>
      <c r="BK554" t="b">
        <f>OR(AND(IF(metadata!Z554="",FALSE,TRUE),OR(EXACT(metadata!Z554,"missing: not collected"),EXACT(metadata!Z554,"missing: not provided"))),AND(IF(metadata!Z554="",FALSE,IF(ISERROR(INT(metadata!Z554)),FALSE,INT(metadata!Z554)=metadata!Z554)),metadata!Z554&gt;0))</f>
        <v>0</v>
      </c>
      <c r="BL554" t="b">
        <f>AND(IF(metadata!AA554="",FALSE,TRUE),EXACT(metadata!AA554,"Not applicable"))</f>
        <v>0</v>
      </c>
      <c r="BM554" t="b">
        <f>IF(metadata!AB554="",FALSE,TRUE)</f>
        <v>0</v>
      </c>
    </row>
    <row r="555" spans="1:65" x14ac:dyDescent="0.2">
      <c r="A555" s="5" t="str">
        <f ca="1">IF(B555=" "," ",HYPERLINK(CONCATENATE("#metadata!",ADDRESS(INDEX($AH$2:$AH$1001,MATCH(ROWS($AF$2:AF555),$AF$2:$AF$1001,0),0),1)),INDEX($AK$2:$AK$1001,MATCH(ROWS($AF$2:AF555),$AF$2:$AF$1001,0),0)))</f>
        <v xml:space="preserve"> </v>
      </c>
      <c r="B555" s="4" t="str">
        <f ca="1">IF(OR(INDEX($AG$2:$AG$1001,MATCH(ROWS($AF$2:AF555),$AF$2:$AF$1001,0),1)&gt;=100000,INDEX($AM$1005:$BM$1005,1,MATCH(COLUMNS($AM$1006:AM1006),$AM$1006:$BM$1006,0))&gt;=100000), " ",IF(INDEX($AM$2:$BM$1001,MATCH(ROWS($AF$2:AF555),$AF$2:$AF$1001,0),MATCH(COLUMNS($AM$1006:AM1006),$AM$1006:$BM$1006,0)), HYPERLINK("#",""), HYPERLINK(CONCATENATE("#metadata!", ADDRESS(INDEX($AH$2:$AH$1001,MATCH(ROWS($AF$2:AF555),$AF$2:$AF$1001,0),0), INDEX($AM$1004:$BM$1004,1,MATCH(COLUMNS($AM$1006:AM1006),$AM$1006:$BM$1006,0)))),"Fix")))</f>
        <v xml:space="preserve"> </v>
      </c>
      <c r="C555" s="4" t="str">
        <f ca="1">IF(OR(INDEX($AG$2:$AG$1001,MATCH(ROWS($AF$2:AF555),$AF$2:$AF$1001,0),1)&gt;=100000,INDEX($AM$1005:$BM$1005,1,MATCH(COLUMNS($AM$1006:AN1006),$AM$1006:$BM$1006,0))&gt;=100000), " ",IF(INDEX($AM$2:$BM$1001,MATCH(ROWS($AF$2:AF555),$AF$2:$AF$1001,0),MATCH(COLUMNS($AM$1006:AN1006),$AM$1006:$BM$1006,0)), HYPERLINK("#",""), HYPERLINK(CONCATENATE("#metadata!", ADDRESS(INDEX($AH$2:$AH$1001,MATCH(ROWS($AF$2:AF555),$AF$2:$AF$1001,0),0), INDEX($AM$1004:$BM$1004,1,MATCH(COLUMNS($AM$1006:AN1006),$AM$1006:$BM$1006,0)))),"Fix")))</f>
        <v xml:space="preserve"> </v>
      </c>
      <c r="D555" s="4" t="str">
        <f ca="1">IF(OR(INDEX($AG$2:$AG$1001,MATCH(ROWS($AF$2:AF555),$AF$2:$AF$1001,0),1)&gt;=100000,INDEX($AM$1005:$BM$1005,1,MATCH(COLUMNS($AM$1006:AO1006),$AM$1006:$BM$1006,0))&gt;=100000), " ",IF(INDEX($AM$2:$BM$1001,MATCH(ROWS($AF$2:AF555),$AF$2:$AF$1001,0),MATCH(COLUMNS($AM$1006:AO1006),$AM$1006:$BM$1006,0)), HYPERLINK("#",""), HYPERLINK(CONCATENATE("#metadata!", ADDRESS(INDEX($AH$2:$AH$1001,MATCH(ROWS($AF$2:AF555),$AF$2:$AF$1001,0),0), INDEX($AM$1004:$BM$1004,1,MATCH(COLUMNS($AM$1006:AO1006),$AM$1006:$BM$1006,0)))),"Fix")))</f>
        <v xml:space="preserve"> </v>
      </c>
      <c r="E555" s="4" t="str">
        <f ca="1">IF(OR(INDEX($AG$2:$AG$1001,MATCH(ROWS($AF$2:AF555),$AF$2:$AF$1001,0),1)&gt;=100000,INDEX($AM$1005:$BM$1005,1,MATCH(COLUMNS($AM$1006:AP1006),$AM$1006:$BM$1006,0))&gt;=100000), " ",IF(INDEX($AM$2:$BM$1001,MATCH(ROWS($AF$2:AF555),$AF$2:$AF$1001,0),MATCH(COLUMNS($AM$1006:AP1006),$AM$1006:$BM$1006,0)), HYPERLINK("#",""), HYPERLINK(CONCATENATE("#metadata!", ADDRESS(INDEX($AH$2:$AH$1001,MATCH(ROWS($AF$2:AF555),$AF$2:$AF$1001,0),0), INDEX($AM$1004:$BM$1004,1,MATCH(COLUMNS($AM$1006:AP1006),$AM$1006:$BM$1006,0)))),"Fix")))</f>
        <v xml:space="preserve"> </v>
      </c>
      <c r="F555" s="4" t="str">
        <f ca="1">IF(OR(INDEX($AG$2:$AG$1001,MATCH(ROWS($AF$2:AF555),$AF$2:$AF$1001,0),1)&gt;=100000,INDEX($AM$1005:$BM$1005,1,MATCH(COLUMNS($AM$1006:AQ1006),$AM$1006:$BM$1006,0))&gt;=100000), " ",IF(INDEX($AM$2:$BM$1001,MATCH(ROWS($AF$2:AF555),$AF$2:$AF$1001,0),MATCH(COLUMNS($AM$1006:AQ1006),$AM$1006:$BM$1006,0)), HYPERLINK("#",""), HYPERLINK(CONCATENATE("#metadata!", ADDRESS(INDEX($AH$2:$AH$1001,MATCH(ROWS($AF$2:AF555),$AF$2:$AF$1001,0),0), INDEX($AM$1004:$BM$1004,1,MATCH(COLUMNS($AM$1006:AQ1006),$AM$1006:$BM$1006,0)))),"Fix")))</f>
        <v xml:space="preserve"> </v>
      </c>
      <c r="G555" s="4" t="str">
        <f ca="1">IF(OR(INDEX($AG$2:$AG$1001,MATCH(ROWS($AF$2:AF555),$AF$2:$AF$1001,0),1)&gt;=100000,INDEX($AM$1005:$BM$1005,1,MATCH(COLUMNS($AM$1006:AR1006),$AM$1006:$BM$1006,0))&gt;=100000), " ",IF(INDEX($AM$2:$BM$1001,MATCH(ROWS($AF$2:AF555),$AF$2:$AF$1001,0),MATCH(COLUMNS($AM$1006:AR1006),$AM$1006:$BM$1006,0)), HYPERLINK("#",""), HYPERLINK(CONCATENATE("#metadata!", ADDRESS(INDEX($AH$2:$AH$1001,MATCH(ROWS($AF$2:AF555),$AF$2:$AF$1001,0),0), INDEX($AM$1004:$BM$1004,1,MATCH(COLUMNS($AM$1006:AR1006),$AM$1006:$BM$1006,0)))),"Fix")))</f>
        <v xml:space="preserve"> </v>
      </c>
      <c r="H555" s="4" t="str">
        <f ca="1">IF(OR(INDEX($AG$2:$AG$1001,MATCH(ROWS($AF$2:AF555),$AF$2:$AF$1001,0),1)&gt;=100000,INDEX($AM$1005:$BM$1005,1,MATCH(COLUMNS($AM$1006:AS1006),$AM$1006:$BM$1006,0))&gt;=100000), " ",IF(INDEX($AM$2:$BM$1001,MATCH(ROWS($AF$2:AF555),$AF$2:$AF$1001,0),MATCH(COLUMNS($AM$1006:AS1006),$AM$1006:$BM$1006,0)), HYPERLINK("#",""), HYPERLINK(CONCATENATE("#metadata!", ADDRESS(INDEX($AH$2:$AH$1001,MATCH(ROWS($AF$2:AF555),$AF$2:$AF$1001,0),0), INDEX($AM$1004:$BM$1004,1,MATCH(COLUMNS($AM$1006:AS1006),$AM$1006:$BM$1006,0)))),"Fix")))</f>
        <v xml:space="preserve"> </v>
      </c>
      <c r="I555" s="4" t="str">
        <f ca="1">IF(OR(INDEX($AG$2:$AG$1001,MATCH(ROWS($AF$2:AF555),$AF$2:$AF$1001,0),1)&gt;=100000,INDEX($AM$1005:$BM$1005,1,MATCH(COLUMNS($AM$1006:AT1006),$AM$1006:$BM$1006,0))&gt;=100000), " ",IF(INDEX($AM$2:$BM$1001,MATCH(ROWS($AF$2:AF555),$AF$2:$AF$1001,0),MATCH(COLUMNS($AM$1006:AT1006),$AM$1006:$BM$1006,0)), HYPERLINK("#",""), HYPERLINK(CONCATENATE("#metadata!", ADDRESS(INDEX($AH$2:$AH$1001,MATCH(ROWS($AF$2:AF555),$AF$2:$AF$1001,0),0), INDEX($AM$1004:$BM$1004,1,MATCH(COLUMNS($AM$1006:AT1006),$AM$1006:$BM$1006,0)))),"Fix")))</f>
        <v xml:space="preserve"> </v>
      </c>
      <c r="J555" s="4" t="str">
        <f ca="1">IF(OR(INDEX($AG$2:$AG$1001,MATCH(ROWS($AF$2:AF555),$AF$2:$AF$1001,0),1)&gt;=100000,INDEX($AM$1005:$BM$1005,1,MATCH(COLUMNS($AM$1006:AU1006),$AM$1006:$BM$1006,0))&gt;=100000), " ",IF(INDEX($AM$2:$BM$1001,MATCH(ROWS($AF$2:AF555),$AF$2:$AF$1001,0),MATCH(COLUMNS($AM$1006:AU1006),$AM$1006:$BM$1006,0)), HYPERLINK("#",""), HYPERLINK(CONCATENATE("#metadata!", ADDRESS(INDEX($AH$2:$AH$1001,MATCH(ROWS($AF$2:AF555),$AF$2:$AF$1001,0),0), INDEX($AM$1004:$BM$1004,1,MATCH(COLUMNS($AM$1006:AU1006),$AM$1006:$BM$1006,0)))),"Fix")))</f>
        <v xml:space="preserve"> </v>
      </c>
      <c r="K555" s="4" t="str">
        <f ca="1">IF(OR(INDEX($AG$2:$AG$1001,MATCH(ROWS($AF$2:AF555),$AF$2:$AF$1001,0),1)&gt;=100000,INDEX($AM$1005:$BM$1005,1,MATCH(COLUMNS($AM$1006:AV1006),$AM$1006:$BM$1006,0))&gt;=100000), " ",IF(INDEX($AM$2:$BM$1001,MATCH(ROWS($AF$2:AF555),$AF$2:$AF$1001,0),MATCH(COLUMNS($AM$1006:AV1006),$AM$1006:$BM$1006,0)), HYPERLINK("#",""), HYPERLINK(CONCATENATE("#metadata!", ADDRESS(INDEX($AH$2:$AH$1001,MATCH(ROWS($AF$2:AF555),$AF$2:$AF$1001,0),0), INDEX($AM$1004:$BM$1004,1,MATCH(COLUMNS($AM$1006:AV1006),$AM$1006:$BM$1006,0)))),"Fix")))</f>
        <v xml:space="preserve"> </v>
      </c>
      <c r="L555" s="4" t="str">
        <f ca="1">IF(OR(INDEX($AG$2:$AG$1001,MATCH(ROWS($AF$2:AF555),$AF$2:$AF$1001,0),1)&gt;=100000,INDEX($AM$1005:$BM$1005,1,MATCH(COLUMNS($AM$1006:AW1006),$AM$1006:$BM$1006,0))&gt;=100000), " ",IF(INDEX($AM$2:$BM$1001,MATCH(ROWS($AF$2:AF555),$AF$2:$AF$1001,0),MATCH(COLUMNS($AM$1006:AW1006),$AM$1006:$BM$1006,0)), HYPERLINK("#",""), HYPERLINK(CONCATENATE("#metadata!", ADDRESS(INDEX($AH$2:$AH$1001,MATCH(ROWS($AF$2:AF555),$AF$2:$AF$1001,0),0), INDEX($AM$1004:$BM$1004,1,MATCH(COLUMNS($AM$1006:AW1006),$AM$1006:$BM$1006,0)))),"Fix")))</f>
        <v xml:space="preserve"> </v>
      </c>
      <c r="M555" s="4" t="str">
        <f ca="1">IF(OR(INDEX($AG$2:$AG$1001,MATCH(ROWS($AF$2:AF555),$AF$2:$AF$1001,0),1)&gt;=100000,INDEX($AM$1005:$BM$1005,1,MATCH(COLUMNS($AM$1006:AX1006),$AM$1006:$BM$1006,0))&gt;=100000), " ",IF(INDEX($AM$2:$BM$1001,MATCH(ROWS($AF$2:AF555),$AF$2:$AF$1001,0),MATCH(COLUMNS($AM$1006:AX1006),$AM$1006:$BM$1006,0)), HYPERLINK("#",""), HYPERLINK(CONCATENATE("#metadata!", ADDRESS(INDEX($AH$2:$AH$1001,MATCH(ROWS($AF$2:AF555),$AF$2:$AF$1001,0),0), INDEX($AM$1004:$BM$1004,1,MATCH(COLUMNS($AM$1006:AX1006),$AM$1006:$BM$1006,0)))),"Fix")))</f>
        <v xml:space="preserve"> </v>
      </c>
      <c r="N555" s="4" t="str">
        <f ca="1">IF(OR(INDEX($AG$2:$AG$1001,MATCH(ROWS($AF$2:AF555),$AF$2:$AF$1001,0),1)&gt;=100000,INDEX($AM$1005:$BM$1005,1,MATCH(COLUMNS($AM$1006:AY1006),$AM$1006:$BM$1006,0))&gt;=100000), " ",IF(INDEX($AM$2:$BM$1001,MATCH(ROWS($AF$2:AF555),$AF$2:$AF$1001,0),MATCH(COLUMNS($AM$1006:AY1006),$AM$1006:$BM$1006,0)), HYPERLINK("#",""), HYPERLINK(CONCATENATE("#metadata!", ADDRESS(INDEX($AH$2:$AH$1001,MATCH(ROWS($AF$2:AF555),$AF$2:$AF$1001,0),0), INDEX($AM$1004:$BM$1004,1,MATCH(COLUMNS($AM$1006:AY1006),$AM$1006:$BM$1006,0)))),"Fix")))</f>
        <v xml:space="preserve"> </v>
      </c>
      <c r="O555" s="4" t="str">
        <f ca="1">IF(OR(INDEX($AG$2:$AG$1001,MATCH(ROWS($AF$2:AF555),$AF$2:$AF$1001,0),1)&gt;=100000,INDEX($AM$1005:$BM$1005,1,MATCH(COLUMNS($AM$1006:AZ1006),$AM$1006:$BM$1006,0))&gt;=100000), " ",IF(INDEX($AM$2:$BM$1001,MATCH(ROWS($AF$2:AF555),$AF$2:$AF$1001,0),MATCH(COLUMNS($AM$1006:AZ1006),$AM$1006:$BM$1006,0)), HYPERLINK("#",""), HYPERLINK(CONCATENATE("#metadata!", ADDRESS(INDEX($AH$2:$AH$1001,MATCH(ROWS($AF$2:AF555),$AF$2:$AF$1001,0),0), INDEX($AM$1004:$BM$1004,1,MATCH(COLUMNS($AM$1006:AZ1006),$AM$1006:$BM$1006,0)))),"Fix")))</f>
        <v xml:space="preserve"> </v>
      </c>
      <c r="P555" s="4" t="str">
        <f ca="1">IF(OR(INDEX($AG$2:$AG$1001,MATCH(ROWS($AF$2:AF555),$AF$2:$AF$1001,0),1)&gt;=100000,INDEX($AM$1005:$BM$1005,1,MATCH(COLUMNS($AM$1006:BA1006),$AM$1006:$BM$1006,0))&gt;=100000), " ",IF(INDEX($AM$2:$BM$1001,MATCH(ROWS($AF$2:AF555),$AF$2:$AF$1001,0),MATCH(COLUMNS($AM$1006:BA1006),$AM$1006:$BM$1006,0)), HYPERLINK("#",""), HYPERLINK(CONCATENATE("#metadata!", ADDRESS(INDEX($AH$2:$AH$1001,MATCH(ROWS($AF$2:AF555),$AF$2:$AF$1001,0),0), INDEX($AM$1004:$BM$1004,1,MATCH(COLUMNS($AM$1006:BA1006),$AM$1006:$BM$1006,0)))),"Fix")))</f>
        <v xml:space="preserve"> </v>
      </c>
      <c r="Q555" s="4" t="str">
        <f ca="1">IF(OR(INDEX($AG$2:$AG$1001,MATCH(ROWS($AF$2:AF555),$AF$2:$AF$1001,0),1)&gt;=100000,INDEX($AM$1005:$BM$1005,1,MATCH(COLUMNS($AM$1006:BB1006),$AM$1006:$BM$1006,0))&gt;=100000), " ",IF(INDEX($AM$2:$BM$1001,MATCH(ROWS($AF$2:AF555),$AF$2:$AF$1001,0),MATCH(COLUMNS($AM$1006:BB1006),$AM$1006:$BM$1006,0)), HYPERLINK("#",""), HYPERLINK(CONCATENATE("#metadata!", ADDRESS(INDEX($AH$2:$AH$1001,MATCH(ROWS($AF$2:AF555),$AF$2:$AF$1001,0),0), INDEX($AM$1004:$BM$1004,1,MATCH(COLUMNS($AM$1006:BB1006),$AM$1006:$BM$1006,0)))),"Fix")))</f>
        <v xml:space="preserve"> </v>
      </c>
      <c r="R555" s="4" t="str">
        <f ca="1">IF(OR(INDEX($AG$2:$AG$1001,MATCH(ROWS($AF$2:AF555),$AF$2:$AF$1001,0),1)&gt;=100000,INDEX($AM$1005:$BM$1005,1,MATCH(COLUMNS($AM$1006:BC1006),$AM$1006:$BM$1006,0))&gt;=100000), " ",IF(INDEX($AM$2:$BM$1001,MATCH(ROWS($AF$2:AF555),$AF$2:$AF$1001,0),MATCH(COLUMNS($AM$1006:BC1006),$AM$1006:$BM$1006,0)), HYPERLINK("#",""), HYPERLINK(CONCATENATE("#metadata!", ADDRESS(INDEX($AH$2:$AH$1001,MATCH(ROWS($AF$2:AF555),$AF$2:$AF$1001,0),0), INDEX($AM$1004:$BM$1004,1,MATCH(COLUMNS($AM$1006:BC1006),$AM$1006:$BM$1006,0)))),"Fix")))</f>
        <v xml:space="preserve"> </v>
      </c>
      <c r="S555" s="4" t="str">
        <f ca="1">IF(OR(INDEX($AG$2:$AG$1001,MATCH(ROWS($AF$2:AF555),$AF$2:$AF$1001,0),1)&gt;=100000,INDEX($AM$1005:$BM$1005,1,MATCH(COLUMNS($AM$1006:BD1006),$AM$1006:$BM$1006,0))&gt;=100000), " ",IF(INDEX($AM$2:$BM$1001,MATCH(ROWS($AF$2:AF555),$AF$2:$AF$1001,0),MATCH(COLUMNS($AM$1006:BD1006),$AM$1006:$BM$1006,0)), HYPERLINK("#",""), HYPERLINK(CONCATENATE("#metadata!", ADDRESS(INDEX($AH$2:$AH$1001,MATCH(ROWS($AF$2:AF555),$AF$2:$AF$1001,0),0), INDEX($AM$1004:$BM$1004,1,MATCH(COLUMNS($AM$1006:BD1006),$AM$1006:$BM$1006,0)))),"Fix")))</f>
        <v xml:space="preserve"> </v>
      </c>
      <c r="T555" s="4" t="str">
        <f ca="1">IF(OR(INDEX($AG$2:$AG$1001,MATCH(ROWS($AF$2:AF555),$AF$2:$AF$1001,0),1)&gt;=100000,INDEX($AM$1005:$BM$1005,1,MATCH(COLUMNS($AM$1006:BE1006),$AM$1006:$BM$1006,0))&gt;=100000), " ",IF(INDEX($AM$2:$BM$1001,MATCH(ROWS($AF$2:AF555),$AF$2:$AF$1001,0),MATCH(COLUMNS($AM$1006:BE1006),$AM$1006:$BM$1006,0)), HYPERLINK("#",""), HYPERLINK(CONCATENATE("#metadata!", ADDRESS(INDEX($AH$2:$AH$1001,MATCH(ROWS($AF$2:AF555),$AF$2:$AF$1001,0),0), INDEX($AM$1004:$BM$1004,1,MATCH(COLUMNS($AM$1006:BE1006),$AM$1006:$BM$1006,0)))),"Fix")))</f>
        <v xml:space="preserve"> </v>
      </c>
      <c r="U555" s="4" t="str">
        <f ca="1">IF(OR(INDEX($AG$2:$AG$1001,MATCH(ROWS($AF$2:AF555),$AF$2:$AF$1001,0),1)&gt;=100000,INDEX($AM$1005:$BM$1005,1,MATCH(COLUMNS($AM$1006:BF1006),$AM$1006:$BM$1006,0))&gt;=100000), " ",IF(INDEX($AM$2:$BM$1001,MATCH(ROWS($AF$2:AF555),$AF$2:$AF$1001,0),MATCH(COLUMNS($AM$1006:BF1006),$AM$1006:$BM$1006,0)), HYPERLINK("#",""), HYPERLINK(CONCATENATE("#metadata!", ADDRESS(INDEX($AH$2:$AH$1001,MATCH(ROWS($AF$2:AF555),$AF$2:$AF$1001,0),0), INDEX($AM$1004:$BM$1004,1,MATCH(COLUMNS($AM$1006:BF1006),$AM$1006:$BM$1006,0)))),"Fix")))</f>
        <v xml:space="preserve"> </v>
      </c>
      <c r="V555" s="4" t="str">
        <f ca="1">IF(OR(INDEX($AG$2:$AG$1001,MATCH(ROWS($AF$2:AF555),$AF$2:$AF$1001,0),1)&gt;=100000,INDEX($AM$1005:$BM$1005,1,MATCH(COLUMNS($AM$1006:BG1006),$AM$1006:$BM$1006,0))&gt;=100000), " ",IF(INDEX($AM$2:$BM$1001,MATCH(ROWS($AF$2:AF555),$AF$2:$AF$1001,0),MATCH(COLUMNS($AM$1006:BG1006),$AM$1006:$BM$1006,0)), HYPERLINK("#",""), HYPERLINK(CONCATENATE("#metadata!", ADDRESS(INDEX($AH$2:$AH$1001,MATCH(ROWS($AF$2:AF555),$AF$2:$AF$1001,0),0), INDEX($AM$1004:$BM$1004,1,MATCH(COLUMNS($AM$1006:BG1006),$AM$1006:$BM$1006,0)))),"Fix")))</f>
        <v xml:space="preserve"> </v>
      </c>
      <c r="W555" s="4" t="str">
        <f ca="1">IF(OR(INDEX($AG$2:$AG$1001,MATCH(ROWS($AF$2:AF555),$AF$2:$AF$1001,0),1)&gt;=100000,INDEX($AM$1005:$BM$1005,1,MATCH(COLUMNS($AM$1006:BH1006),$AM$1006:$BM$1006,0))&gt;=100000), " ",IF(INDEX($AM$2:$BM$1001,MATCH(ROWS($AF$2:AF555),$AF$2:$AF$1001,0),MATCH(COLUMNS($AM$1006:BH1006),$AM$1006:$BM$1006,0)), HYPERLINK("#",""), HYPERLINK(CONCATENATE("#metadata!", ADDRESS(INDEX($AH$2:$AH$1001,MATCH(ROWS($AF$2:AF555),$AF$2:$AF$1001,0),0), INDEX($AM$1004:$BM$1004,1,MATCH(COLUMNS($AM$1006:BH1006),$AM$1006:$BM$1006,0)))),"Fix")))</f>
        <v xml:space="preserve"> </v>
      </c>
      <c r="X555" s="4" t="str">
        <f ca="1">IF(OR(INDEX($AG$2:$AG$1001,MATCH(ROWS($AF$2:AF555),$AF$2:$AF$1001,0),1)&gt;=100000,INDEX($AM$1005:$BM$1005,1,MATCH(COLUMNS($AM$1006:BI1006),$AM$1006:$BM$1006,0))&gt;=100000), " ",IF(INDEX($AM$2:$BM$1001,MATCH(ROWS($AF$2:AF555),$AF$2:$AF$1001,0),MATCH(COLUMNS($AM$1006:BI1006),$AM$1006:$BM$1006,0)), HYPERLINK("#",""), HYPERLINK(CONCATENATE("#metadata!", ADDRESS(INDEX($AH$2:$AH$1001,MATCH(ROWS($AF$2:AF555),$AF$2:$AF$1001,0),0), INDEX($AM$1004:$BM$1004,1,MATCH(COLUMNS($AM$1006:BI1006),$AM$1006:$BM$1006,0)))),"Fix")))</f>
        <v xml:space="preserve"> </v>
      </c>
      <c r="Y555" s="4" t="str">
        <f ca="1">IF(OR(INDEX($AG$2:$AG$1001,MATCH(ROWS($AF$2:AF555),$AF$2:$AF$1001,0),1)&gt;=100000,INDEX($AM$1005:$BM$1005,1,MATCH(COLUMNS($AM$1006:BJ1006),$AM$1006:$BM$1006,0))&gt;=100000), " ",IF(INDEX($AM$2:$BM$1001,MATCH(ROWS($AF$2:AF555),$AF$2:$AF$1001,0),MATCH(COLUMNS($AM$1006:BJ1006),$AM$1006:$BM$1006,0)), HYPERLINK("#",""), HYPERLINK(CONCATENATE("#metadata!", ADDRESS(INDEX($AH$2:$AH$1001,MATCH(ROWS($AF$2:AF555),$AF$2:$AF$1001,0),0), INDEX($AM$1004:$BM$1004,1,MATCH(COLUMNS($AM$1006:BJ1006),$AM$1006:$BM$1006,0)))),"Fix")))</f>
        <v xml:space="preserve"> </v>
      </c>
      <c r="Z555" s="4" t="str">
        <f ca="1">IF(OR(INDEX($AG$2:$AG$1001,MATCH(ROWS($AF$2:AF555),$AF$2:$AF$1001,0),1)&gt;=100000,INDEX($AM$1005:$BM$1005,1,MATCH(COLUMNS($AM$1006:BK1006),$AM$1006:$BM$1006,0))&gt;=100000), " ",IF(INDEX($AM$2:$BM$1001,MATCH(ROWS($AF$2:AF555),$AF$2:$AF$1001,0),MATCH(COLUMNS($AM$1006:BK1006),$AM$1006:$BM$1006,0)), HYPERLINK("#",""), HYPERLINK(CONCATENATE("#metadata!", ADDRESS(INDEX($AH$2:$AH$1001,MATCH(ROWS($AF$2:AF555),$AF$2:$AF$1001,0),0), INDEX($AM$1004:$BM$1004,1,MATCH(COLUMNS($AM$1006:BK1006),$AM$1006:$BM$1006,0)))),"Fix")))</f>
        <v xml:space="preserve"> </v>
      </c>
      <c r="AA555" s="4" t="str">
        <f ca="1">IF(OR(INDEX($AG$2:$AG$1001,MATCH(ROWS($AF$2:AF555),$AF$2:$AF$1001,0),1)&gt;=100000,INDEX($AM$1005:$BM$1005,1,MATCH(COLUMNS($AM$1006:BL1006),$AM$1006:$BM$1006,0))&gt;=100000), " ",IF(INDEX($AM$2:$BM$1001,MATCH(ROWS($AF$2:AF555),$AF$2:$AF$1001,0),MATCH(COLUMNS($AM$1006:BL1006),$AM$1006:$BM$1006,0)), HYPERLINK("#",""), HYPERLINK(CONCATENATE("#metadata!", ADDRESS(INDEX($AH$2:$AH$1001,MATCH(ROWS($AF$2:AF555),$AF$2:$AF$1001,0),0), INDEX($AM$1004:$BM$1004,1,MATCH(COLUMNS($AM$1006:BL1006),$AM$1006:$BM$1006,0)))),"Fix")))</f>
        <v xml:space="preserve"> </v>
      </c>
      <c r="AB555" s="4" t="str">
        <f ca="1">IF(OR(INDEX($AG$2:$AG$1001,MATCH(ROWS($AF$2:AF555),$AF$2:$AF$1001,0),1)&gt;=100000,INDEX($AM$1005:$BM$1005,1,MATCH(COLUMNS($AM$1006:BM1006),$AM$1006:$BM$1006,0))&gt;=100000), " ",IF(INDEX($AM$2:$BM$1001,MATCH(ROWS($AF$2:AF555),$AF$2:$AF$1001,0),MATCH(COLUMNS($AM$1006:BM1006),$AM$1006:$BM$1006,0)), HYPERLINK("#",""), HYPERLINK(CONCATENATE("#metadata!", ADDRESS(INDEX($AH$2:$AH$1001,MATCH(ROWS($AF$2:AF555),$AF$2:$AF$1001,0),0), INDEX($AM$1004:$BM$1004,1,MATCH(COLUMNS($AM$1006:BM1006),$AM$1006:$BM$1006,0)))),"Fix")))</f>
        <v xml:space="preserve"> </v>
      </c>
      <c r="AF555">
        <v>554</v>
      </c>
      <c r="AG555">
        <v>100555</v>
      </c>
      <c r="AH555">
        <v>555</v>
      </c>
      <c r="AI555" t="b">
        <f t="shared" si="8"/>
        <v>1</v>
      </c>
      <c r="AJ555" t="b">
        <f>COUNTBLANK(metadata!B555:AB555)=COLUMNS(metadata!B555:AB555)</f>
        <v>1</v>
      </c>
      <c r="AK555" t="str">
        <v/>
      </c>
      <c r="AM555" t="b">
        <f ca="1">AND(IF(metadata!B555="",FALSE,TRUE),COUNTIF(metadata!B:B, metadata!B555) = 1,NOT(ISERROR(SUMPRODUCT(SEARCH(MID(metadata!B555,ROW(INDIRECT("1:"&amp;LEN(metadata!B555))), 1),"0123456789abcdefghijklmnopqrstuvwxyzABCDEFGHIJKLMNOPQRSTUVWXYZ.")))))</f>
        <v>0</v>
      </c>
      <c r="AN555" t="b">
        <f ca="1">OR(AND(IF(metadata!C555="",FALSE,TRUE),OR(EXACT(metadata!C555,"missing: not collected"),EXACT(metadata!C555,"missing: not provided"),EXACT(metadata!C555,"missing: restricted access"))),AND(IF(metadata!C555="",FALSE,TRUE),AND(AND(IFERROR(INT(LEFT(metadata!C555,4))&gt;1900,FALSE),IFERROR(INT(LEFT(metadata!C555,4))&lt;=YEAR(NOW()),FALSE)), OR(MID(metadata!C555,5,1)="", AND(AND(MID(metadata!C555,5,1)="-",IFERROR(INT(MID(metadata!C555,6,1))&gt;=0,FALSE),IFERROR(INT(MID(metadata!C555,6,1))&lt;=1,FALSE),NOT(MID(metadata!C555,7,1)=""),IFERROR(INT(MID(metadata!C555,6,2))&gt;=1,FALSE),IFERROR(INT(MID(metadata!C555,6,2))&lt;=12,FALSE)), OR(MID(metadata!C555,8,1)="", AND(AND(MID(metadata!C555,8,1)="-",IFERROR(INT(MID(metadata!C555,9,1))&gt;=0,FALSE),IFERROR(INT(MID(metadata!C555,9,1))&lt;=3,FALSE),NOT(MID(metadata!C555,10,1)=""),IFERROR(INT(MID(metadata!C555,9,2))&gt;=1,FALSE),IFERROR(INT(MID(metadata!C555,9,2))&lt;=31,FALSE)), OR(MID(metadata!C555,11,1)="", AND(AND(MID(metadata!C555,11,1)=" ",IFERROR(INT(MID(metadata!C555,12,1))&gt;=0,FALSE),IFERROR(INT(MID(metadata!C555,12,1))&lt;=2,FALSE),NOT(MID(metadata!C555,13,1)=""),IFERROR(INT(MID(metadata!C555,12,2))&gt;=0,FALSE),IFERROR(INT(MID(metadata!C555,12,2))&lt;=23,FALSE)), OR(MID(metadata!C555,14,1)="", AND(AND(MID(metadata!C555,14,1)=":",IFERROR(INT(MID(metadata!C555,15,1))&gt;=0,FALSE),IFERROR(INT(MID(metadata!C555,15,1))&lt;=5,FALSE),NOT(MID(metadata!C555,16,1)=""),IFERROR(INT(MID(metadata!C555,15,2))&gt;=0,FALSE),IFERROR(INT(MID(metadata!C555,15,2))&lt;=59,FALSE)), OR(MID(metadata!C555,17,1)="", AND(AND(MID(metadata!C555,17,1)=":",IFERROR(INT(MID(metadata!C555,18,1))&gt;=0,FALSE),IFERROR(INT(MID(metadata!C555,18,1))&lt;=5,FALSE),NOT(MID(metadata!C555,19,1)=""),IFERROR(INT(MID(metadata!C555,18,2))&gt;=0,FALSE),IFERROR(INT(MID(metadata!C555,18,2))&lt;=59,FALSE)), LEN(metadata!C555)&lt;=19)))))))))))))</f>
        <v>0</v>
      </c>
      <c r="AO555" t="b">
        <f>AND(IF(metadata!D555="",FALSE,TRUE),EXACT(metadata!D555,"Not applicable"))</f>
        <v>0</v>
      </c>
      <c r="AP555" t="b">
        <f>IF(metadata!E555="",FALSE,TRUE)</f>
        <v>0</v>
      </c>
      <c r="AQ555" t="b">
        <f>OR(AND(IF(metadata!F555="",FALSE,TRUE),OR(EXACT(metadata!F555,"missing: not collected"),EXACT(metadata!F555,"missing: not provided"))),AND(IF(metadata!F555="",FALSE,TRUE),OR(EXACT(metadata!F555,"TRUE"),EXACT(metadata!F555,"FALSE"))))</f>
        <v>0</v>
      </c>
      <c r="AR555" t="b">
        <f>OR(AND(IF(metadata!G555="",FALSE,TRUE),OR(EXACT(metadata!G555,"missing: not collected"),EXACT(metadata!G555,"missing: not provided"),EXACT(metadata!G555,"missing: restricted access"))),AND(IF(metadata!G555="",FALSE,ISNUMBER(VALUE(metadata!G555))),metadata!G555&gt;=-413))</f>
        <v>0</v>
      </c>
      <c r="AS555" t="b">
        <f>AND(IF(metadata!H555="",FALSE,TRUE),EXACT(metadata!H555,"meters"))</f>
        <v>0</v>
      </c>
      <c r="AT555" t="b">
        <f>AND(IF(metadata!I555="",FALSE,TRUE),OR(EXACT(metadata!I555,"Host-associated"),EXACT(metadata!I555,"Free-living")))</f>
        <v>0</v>
      </c>
      <c r="AU555" t="b">
        <f>AND(IF(metadata!J555="",FALSE,TRUE),OR(EXACT(metadata!J555,"Animal"),EXACT(metadata!J555,"Fungus"),EXACT(metadata!J555,"Plant"),EXACT(metadata!J555,"Saline"),EXACT(metadata!J555,"Non-saline")))</f>
        <v>0</v>
      </c>
      <c r="AV555" t="b">
        <f>AND(IF(metadata!K555="",FALSE,TRUE),OR(EXACT(metadata!K555,"Plant secretion"),EXACT(metadata!K555,"Plant rhizosphere"),EXACT(metadata!K555,"Plant surface"),EXACT(metadata!K555,"Plant corpus"),EXACT(metadata!K555,"Fungus surface"),EXACT(metadata!K555,"Fungus corpus"),EXACT(metadata!K555,"Animal surface"),EXACT(metadata!K555,"Animal proximal gut"),EXACT(metadata!K555,"Animal corpus"),EXACT(metadata!K555,"Animal distal gut"),EXACT(metadata!K555,"Animal secretion"),EXACT(metadata!K555,"Sub-surface (non-saline)"),EXACT(metadata!K555,"Surface (non-saline)"),EXACT(metadata!K555,"Water (non-saline)"),EXACT(metadata!K555,"Soil (non-saline)"),EXACT(metadata!K555,"Aerosol (non-saline)"),EXACT(metadata!K555,"Sediment (non-saline)"),EXACT(metadata!K555,"Surface (saline)"),EXACT(metadata!K555,"Water (saline)"),EXACT(metadata!K555,"Hypersaline (saline)"),EXACT(metadata!K555,"Aerosol (saline)"),EXACT(metadata!K555,"Sediment (saline)")))</f>
        <v>0</v>
      </c>
      <c r="AW555" t="b">
        <f>IF(metadata!L555="",FALSE,TRUE)</f>
        <v>0</v>
      </c>
      <c r="AX555" t="b">
        <f>IF(metadata!M555="",FALSE,TRUE)</f>
        <v>0</v>
      </c>
      <c r="AY555" t="b">
        <f>IF(metadata!N555="",FALSE,TRUE)</f>
        <v>0</v>
      </c>
      <c r="AZ555" t="b">
        <f>OR(AND(IF(metadata!O555="",FALSE,TRUE),OR(EXACT(metadata!O555,"missing: not collected"),EXACT(metadata!O555,"missing: not provided"),EXACT(metadata!O555,"missing: restricted access"))),AND(IF(metadata!O555="",FALSE,TRUE),OR(EXACT(metadata!O555,"air"),EXACT(metadata!O555,"built environment"),EXACT(metadata!O555,"host-associated"),EXACT(metadata!O555,"human-associated"),EXACT(metadata!O555,"human-skin"),EXACT(metadata!O555,"human-oral"),EXACT(metadata!O555,"human-gut"),EXACT(metadata!O555,"human-vaginal"),EXACT(metadata!O555,"microbial mat/biofilm"),EXACT(metadata!O555,"misc environment"),EXACT(metadata!O555,"plant-associated"),EXACT(metadata!O555,"sediment"),EXACT(metadata!O555,"soil"),EXACT(metadata!O555,"wastewater/sludge"),EXACT(metadata!O555,"water"))))</f>
        <v>0</v>
      </c>
      <c r="BA555" t="b">
        <f>IF(metadata!P555="",FALSE,TRUE)</f>
        <v>0</v>
      </c>
      <c r="BB555" t="b">
        <f>IF(metadata!Q555="",FALSE,TRUE)</f>
        <v>0</v>
      </c>
      <c r="BC555" t="b">
        <f>OR(AND(IF(metadata!R555="",FALSE,TRUE),OR(EXACT(metadata!R555,"missing: not collected"),EXACT(metadata!R555,"missing: not provided"),EXACT(metadata!R555,"missing: restricted access"))),AND(IF(metadata!R555="",FALSE,ISNUMBER(VALUE(metadata!R555))),metadata!R555&gt;=-90,metadata!R555&lt;=90))</f>
        <v>0</v>
      </c>
      <c r="BD555" t="b">
        <f>AND(IF(metadata!S555="",FALSE,TRUE),EXACT(metadata!S555,"Decimal degrees"))</f>
        <v>0</v>
      </c>
      <c r="BE555" t="b">
        <f>OR(AND(IF(metadata!T555="",FALSE,TRUE),OR(EXACT(metadata!T555,"missing: not collected"),EXACT(metadata!T555,"missing: not provided"),EXACT(metadata!T555,"missing: restricted access"))),AND(IF(metadata!T555="",FALSE,ISNUMBER(VALUE(metadata!T555))),metadata!T555&gt;=-180,metadata!T555&lt;=180))</f>
        <v>0</v>
      </c>
      <c r="BF555" t="b">
        <f>AND(IF(metadata!U555="",FALSE,TRUE),EXACT(metadata!U555,"Decimal degrees"))</f>
        <v>0</v>
      </c>
      <c r="BG555" t="b">
        <f>IF(metadata!V555="",FALSE,TRUE)</f>
        <v>0</v>
      </c>
      <c r="BH555" t="b">
        <f>OR(AND(IF(metadata!W555="",FALSE,TRUE),OR(EXACT(metadata!W555,"missing: not collected"),EXACT(metadata!W555,"missing: not provided"),EXACT(metadata!W555,"missing: restricted access"))),AND(IF(metadata!W555="",FALSE,TRUE),OR(EXACT(metadata!W555,"TRUE"),EXACT(metadata!W555,"FALSE"))))</f>
        <v>0</v>
      </c>
      <c r="BI555" t="b">
        <f>AND(IF(metadata!X555="",FALSE,TRUE),EXACT(metadata!X555,"other"))</f>
        <v>0</v>
      </c>
      <c r="BJ555" t="b">
        <f>IF(metadata!Y555="",FALSE,TRUE)</f>
        <v>0</v>
      </c>
      <c r="BK555" t="b">
        <f>OR(AND(IF(metadata!Z555="",FALSE,TRUE),OR(EXACT(metadata!Z555,"missing: not collected"),EXACT(metadata!Z555,"missing: not provided"))),AND(IF(metadata!Z555="",FALSE,IF(ISERROR(INT(metadata!Z555)),FALSE,INT(metadata!Z555)=metadata!Z555)),metadata!Z555&gt;0))</f>
        <v>0</v>
      </c>
      <c r="BL555" t="b">
        <f>AND(IF(metadata!AA555="",FALSE,TRUE),EXACT(metadata!AA555,"Not applicable"))</f>
        <v>0</v>
      </c>
      <c r="BM555" t="b">
        <f>IF(metadata!AB555="",FALSE,TRUE)</f>
        <v>0</v>
      </c>
    </row>
    <row r="556" spans="1:65" x14ac:dyDescent="0.2">
      <c r="A556" s="5" t="str">
        <f ca="1">IF(B556=" "," ",HYPERLINK(CONCATENATE("#metadata!",ADDRESS(INDEX($AH$2:$AH$1001,MATCH(ROWS($AF$2:AF556),$AF$2:$AF$1001,0),0),1)),INDEX($AK$2:$AK$1001,MATCH(ROWS($AF$2:AF556),$AF$2:$AF$1001,0),0)))</f>
        <v xml:space="preserve"> </v>
      </c>
      <c r="B556" s="4" t="str">
        <f ca="1">IF(OR(INDEX($AG$2:$AG$1001,MATCH(ROWS($AF$2:AF556),$AF$2:$AF$1001,0),1)&gt;=100000,INDEX($AM$1005:$BM$1005,1,MATCH(COLUMNS($AM$1006:AM1006),$AM$1006:$BM$1006,0))&gt;=100000), " ",IF(INDEX($AM$2:$BM$1001,MATCH(ROWS($AF$2:AF556),$AF$2:$AF$1001,0),MATCH(COLUMNS($AM$1006:AM1006),$AM$1006:$BM$1006,0)), HYPERLINK("#",""), HYPERLINK(CONCATENATE("#metadata!", ADDRESS(INDEX($AH$2:$AH$1001,MATCH(ROWS($AF$2:AF556),$AF$2:$AF$1001,0),0), INDEX($AM$1004:$BM$1004,1,MATCH(COLUMNS($AM$1006:AM1006),$AM$1006:$BM$1006,0)))),"Fix")))</f>
        <v xml:space="preserve"> </v>
      </c>
      <c r="C556" s="4" t="str">
        <f ca="1">IF(OR(INDEX($AG$2:$AG$1001,MATCH(ROWS($AF$2:AF556),$AF$2:$AF$1001,0),1)&gt;=100000,INDEX($AM$1005:$BM$1005,1,MATCH(COLUMNS($AM$1006:AN1006),$AM$1006:$BM$1006,0))&gt;=100000), " ",IF(INDEX($AM$2:$BM$1001,MATCH(ROWS($AF$2:AF556),$AF$2:$AF$1001,0),MATCH(COLUMNS($AM$1006:AN1006),$AM$1006:$BM$1006,0)), HYPERLINK("#",""), HYPERLINK(CONCATENATE("#metadata!", ADDRESS(INDEX($AH$2:$AH$1001,MATCH(ROWS($AF$2:AF556),$AF$2:$AF$1001,0),0), INDEX($AM$1004:$BM$1004,1,MATCH(COLUMNS($AM$1006:AN1006),$AM$1006:$BM$1006,0)))),"Fix")))</f>
        <v xml:space="preserve"> </v>
      </c>
      <c r="D556" s="4" t="str">
        <f ca="1">IF(OR(INDEX($AG$2:$AG$1001,MATCH(ROWS($AF$2:AF556),$AF$2:$AF$1001,0),1)&gt;=100000,INDEX($AM$1005:$BM$1005,1,MATCH(COLUMNS($AM$1006:AO1006),$AM$1006:$BM$1006,0))&gt;=100000), " ",IF(INDEX($AM$2:$BM$1001,MATCH(ROWS($AF$2:AF556),$AF$2:$AF$1001,0),MATCH(COLUMNS($AM$1006:AO1006),$AM$1006:$BM$1006,0)), HYPERLINK("#",""), HYPERLINK(CONCATENATE("#metadata!", ADDRESS(INDEX($AH$2:$AH$1001,MATCH(ROWS($AF$2:AF556),$AF$2:$AF$1001,0),0), INDEX($AM$1004:$BM$1004,1,MATCH(COLUMNS($AM$1006:AO1006),$AM$1006:$BM$1006,0)))),"Fix")))</f>
        <v xml:space="preserve"> </v>
      </c>
      <c r="E556" s="4" t="str">
        <f ca="1">IF(OR(INDEX($AG$2:$AG$1001,MATCH(ROWS($AF$2:AF556),$AF$2:$AF$1001,0),1)&gt;=100000,INDEX($AM$1005:$BM$1005,1,MATCH(COLUMNS($AM$1006:AP1006),$AM$1006:$BM$1006,0))&gt;=100000), " ",IF(INDEX($AM$2:$BM$1001,MATCH(ROWS($AF$2:AF556),$AF$2:$AF$1001,0),MATCH(COLUMNS($AM$1006:AP1006),$AM$1006:$BM$1006,0)), HYPERLINK("#",""), HYPERLINK(CONCATENATE("#metadata!", ADDRESS(INDEX($AH$2:$AH$1001,MATCH(ROWS($AF$2:AF556),$AF$2:$AF$1001,0),0), INDEX($AM$1004:$BM$1004,1,MATCH(COLUMNS($AM$1006:AP1006),$AM$1006:$BM$1006,0)))),"Fix")))</f>
        <v xml:space="preserve"> </v>
      </c>
      <c r="F556" s="4" t="str">
        <f ca="1">IF(OR(INDEX($AG$2:$AG$1001,MATCH(ROWS($AF$2:AF556),$AF$2:$AF$1001,0),1)&gt;=100000,INDEX($AM$1005:$BM$1005,1,MATCH(COLUMNS($AM$1006:AQ1006),$AM$1006:$BM$1006,0))&gt;=100000), " ",IF(INDEX($AM$2:$BM$1001,MATCH(ROWS($AF$2:AF556),$AF$2:$AF$1001,0),MATCH(COLUMNS($AM$1006:AQ1006),$AM$1006:$BM$1006,0)), HYPERLINK("#",""), HYPERLINK(CONCATENATE("#metadata!", ADDRESS(INDEX($AH$2:$AH$1001,MATCH(ROWS($AF$2:AF556),$AF$2:$AF$1001,0),0), INDEX($AM$1004:$BM$1004,1,MATCH(COLUMNS($AM$1006:AQ1006),$AM$1006:$BM$1006,0)))),"Fix")))</f>
        <v xml:space="preserve"> </v>
      </c>
      <c r="G556" s="4" t="str">
        <f ca="1">IF(OR(INDEX($AG$2:$AG$1001,MATCH(ROWS($AF$2:AF556),$AF$2:$AF$1001,0),1)&gt;=100000,INDEX($AM$1005:$BM$1005,1,MATCH(COLUMNS($AM$1006:AR1006),$AM$1006:$BM$1006,0))&gt;=100000), " ",IF(INDEX($AM$2:$BM$1001,MATCH(ROWS($AF$2:AF556),$AF$2:$AF$1001,0),MATCH(COLUMNS($AM$1006:AR1006),$AM$1006:$BM$1006,0)), HYPERLINK("#",""), HYPERLINK(CONCATENATE("#metadata!", ADDRESS(INDEX($AH$2:$AH$1001,MATCH(ROWS($AF$2:AF556),$AF$2:$AF$1001,0),0), INDEX($AM$1004:$BM$1004,1,MATCH(COLUMNS($AM$1006:AR1006),$AM$1006:$BM$1006,0)))),"Fix")))</f>
        <v xml:space="preserve"> </v>
      </c>
      <c r="H556" s="4" t="str">
        <f ca="1">IF(OR(INDEX($AG$2:$AG$1001,MATCH(ROWS($AF$2:AF556),$AF$2:$AF$1001,0),1)&gt;=100000,INDEX($AM$1005:$BM$1005,1,MATCH(COLUMNS($AM$1006:AS1006),$AM$1006:$BM$1006,0))&gt;=100000), " ",IF(INDEX($AM$2:$BM$1001,MATCH(ROWS($AF$2:AF556),$AF$2:$AF$1001,0),MATCH(COLUMNS($AM$1006:AS1006),$AM$1006:$BM$1006,0)), HYPERLINK("#",""), HYPERLINK(CONCATENATE("#metadata!", ADDRESS(INDEX($AH$2:$AH$1001,MATCH(ROWS($AF$2:AF556),$AF$2:$AF$1001,0),0), INDEX($AM$1004:$BM$1004,1,MATCH(COLUMNS($AM$1006:AS1006),$AM$1006:$BM$1006,0)))),"Fix")))</f>
        <v xml:space="preserve"> </v>
      </c>
      <c r="I556" s="4" t="str">
        <f ca="1">IF(OR(INDEX($AG$2:$AG$1001,MATCH(ROWS($AF$2:AF556),$AF$2:$AF$1001,0),1)&gt;=100000,INDEX($AM$1005:$BM$1005,1,MATCH(COLUMNS($AM$1006:AT1006),$AM$1006:$BM$1006,0))&gt;=100000), " ",IF(INDEX($AM$2:$BM$1001,MATCH(ROWS($AF$2:AF556),$AF$2:$AF$1001,0),MATCH(COLUMNS($AM$1006:AT1006),$AM$1006:$BM$1006,0)), HYPERLINK("#",""), HYPERLINK(CONCATENATE("#metadata!", ADDRESS(INDEX($AH$2:$AH$1001,MATCH(ROWS($AF$2:AF556),$AF$2:$AF$1001,0),0), INDEX($AM$1004:$BM$1004,1,MATCH(COLUMNS($AM$1006:AT1006),$AM$1006:$BM$1006,0)))),"Fix")))</f>
        <v xml:space="preserve"> </v>
      </c>
      <c r="J556" s="4" t="str">
        <f ca="1">IF(OR(INDEX($AG$2:$AG$1001,MATCH(ROWS($AF$2:AF556),$AF$2:$AF$1001,0),1)&gt;=100000,INDEX($AM$1005:$BM$1005,1,MATCH(COLUMNS($AM$1006:AU1006),$AM$1006:$BM$1006,0))&gt;=100000), " ",IF(INDEX($AM$2:$BM$1001,MATCH(ROWS($AF$2:AF556),$AF$2:$AF$1001,0),MATCH(COLUMNS($AM$1006:AU1006),$AM$1006:$BM$1006,0)), HYPERLINK("#",""), HYPERLINK(CONCATENATE("#metadata!", ADDRESS(INDEX($AH$2:$AH$1001,MATCH(ROWS($AF$2:AF556),$AF$2:$AF$1001,0),0), INDEX($AM$1004:$BM$1004,1,MATCH(COLUMNS($AM$1006:AU1006),$AM$1006:$BM$1006,0)))),"Fix")))</f>
        <v xml:space="preserve"> </v>
      </c>
      <c r="K556" s="4" t="str">
        <f ca="1">IF(OR(INDEX($AG$2:$AG$1001,MATCH(ROWS($AF$2:AF556),$AF$2:$AF$1001,0),1)&gt;=100000,INDEX($AM$1005:$BM$1005,1,MATCH(COLUMNS($AM$1006:AV1006),$AM$1006:$BM$1006,0))&gt;=100000), " ",IF(INDEX($AM$2:$BM$1001,MATCH(ROWS($AF$2:AF556),$AF$2:$AF$1001,0),MATCH(COLUMNS($AM$1006:AV1006),$AM$1006:$BM$1006,0)), HYPERLINK("#",""), HYPERLINK(CONCATENATE("#metadata!", ADDRESS(INDEX($AH$2:$AH$1001,MATCH(ROWS($AF$2:AF556),$AF$2:$AF$1001,0),0), INDEX($AM$1004:$BM$1004,1,MATCH(COLUMNS($AM$1006:AV1006),$AM$1006:$BM$1006,0)))),"Fix")))</f>
        <v xml:space="preserve"> </v>
      </c>
      <c r="L556" s="4" t="str">
        <f ca="1">IF(OR(INDEX($AG$2:$AG$1001,MATCH(ROWS($AF$2:AF556),$AF$2:$AF$1001,0),1)&gt;=100000,INDEX($AM$1005:$BM$1005,1,MATCH(COLUMNS($AM$1006:AW1006),$AM$1006:$BM$1006,0))&gt;=100000), " ",IF(INDEX($AM$2:$BM$1001,MATCH(ROWS($AF$2:AF556),$AF$2:$AF$1001,0),MATCH(COLUMNS($AM$1006:AW1006),$AM$1006:$BM$1006,0)), HYPERLINK("#",""), HYPERLINK(CONCATENATE("#metadata!", ADDRESS(INDEX($AH$2:$AH$1001,MATCH(ROWS($AF$2:AF556),$AF$2:$AF$1001,0),0), INDEX($AM$1004:$BM$1004,1,MATCH(COLUMNS($AM$1006:AW1006),$AM$1006:$BM$1006,0)))),"Fix")))</f>
        <v xml:space="preserve"> </v>
      </c>
      <c r="M556" s="4" t="str">
        <f ca="1">IF(OR(INDEX($AG$2:$AG$1001,MATCH(ROWS($AF$2:AF556),$AF$2:$AF$1001,0),1)&gt;=100000,INDEX($AM$1005:$BM$1005,1,MATCH(COLUMNS($AM$1006:AX1006),$AM$1006:$BM$1006,0))&gt;=100000), " ",IF(INDEX($AM$2:$BM$1001,MATCH(ROWS($AF$2:AF556),$AF$2:$AF$1001,0),MATCH(COLUMNS($AM$1006:AX1006),$AM$1006:$BM$1006,0)), HYPERLINK("#",""), HYPERLINK(CONCATENATE("#metadata!", ADDRESS(INDEX($AH$2:$AH$1001,MATCH(ROWS($AF$2:AF556),$AF$2:$AF$1001,0),0), INDEX($AM$1004:$BM$1004,1,MATCH(COLUMNS($AM$1006:AX1006),$AM$1006:$BM$1006,0)))),"Fix")))</f>
        <v xml:space="preserve"> </v>
      </c>
      <c r="N556" s="4" t="str">
        <f ca="1">IF(OR(INDEX($AG$2:$AG$1001,MATCH(ROWS($AF$2:AF556),$AF$2:$AF$1001,0),1)&gt;=100000,INDEX($AM$1005:$BM$1005,1,MATCH(COLUMNS($AM$1006:AY1006),$AM$1006:$BM$1006,0))&gt;=100000), " ",IF(INDEX($AM$2:$BM$1001,MATCH(ROWS($AF$2:AF556),$AF$2:$AF$1001,0),MATCH(COLUMNS($AM$1006:AY1006),$AM$1006:$BM$1006,0)), HYPERLINK("#",""), HYPERLINK(CONCATENATE("#metadata!", ADDRESS(INDEX($AH$2:$AH$1001,MATCH(ROWS($AF$2:AF556),$AF$2:$AF$1001,0),0), INDEX($AM$1004:$BM$1004,1,MATCH(COLUMNS($AM$1006:AY1006),$AM$1006:$BM$1006,0)))),"Fix")))</f>
        <v xml:space="preserve"> </v>
      </c>
      <c r="O556" s="4" t="str">
        <f ca="1">IF(OR(INDEX($AG$2:$AG$1001,MATCH(ROWS($AF$2:AF556),$AF$2:$AF$1001,0),1)&gt;=100000,INDEX($AM$1005:$BM$1005,1,MATCH(COLUMNS($AM$1006:AZ1006),$AM$1006:$BM$1006,0))&gt;=100000), " ",IF(INDEX($AM$2:$BM$1001,MATCH(ROWS($AF$2:AF556),$AF$2:$AF$1001,0),MATCH(COLUMNS($AM$1006:AZ1006),$AM$1006:$BM$1006,0)), HYPERLINK("#",""), HYPERLINK(CONCATENATE("#metadata!", ADDRESS(INDEX($AH$2:$AH$1001,MATCH(ROWS($AF$2:AF556),$AF$2:$AF$1001,0),0), INDEX($AM$1004:$BM$1004,1,MATCH(COLUMNS($AM$1006:AZ1006),$AM$1006:$BM$1006,0)))),"Fix")))</f>
        <v xml:space="preserve"> </v>
      </c>
      <c r="P556" s="4" t="str">
        <f ca="1">IF(OR(INDEX($AG$2:$AG$1001,MATCH(ROWS($AF$2:AF556),$AF$2:$AF$1001,0),1)&gt;=100000,INDEX($AM$1005:$BM$1005,1,MATCH(COLUMNS($AM$1006:BA1006),$AM$1006:$BM$1006,0))&gt;=100000), " ",IF(INDEX($AM$2:$BM$1001,MATCH(ROWS($AF$2:AF556),$AF$2:$AF$1001,0),MATCH(COLUMNS($AM$1006:BA1006),$AM$1006:$BM$1006,0)), HYPERLINK("#",""), HYPERLINK(CONCATENATE("#metadata!", ADDRESS(INDEX($AH$2:$AH$1001,MATCH(ROWS($AF$2:AF556),$AF$2:$AF$1001,0),0), INDEX($AM$1004:$BM$1004,1,MATCH(COLUMNS($AM$1006:BA1006),$AM$1006:$BM$1006,0)))),"Fix")))</f>
        <v xml:space="preserve"> </v>
      </c>
      <c r="Q556" s="4" t="str">
        <f ca="1">IF(OR(INDEX($AG$2:$AG$1001,MATCH(ROWS($AF$2:AF556),$AF$2:$AF$1001,0),1)&gt;=100000,INDEX($AM$1005:$BM$1005,1,MATCH(COLUMNS($AM$1006:BB1006),$AM$1006:$BM$1006,0))&gt;=100000), " ",IF(INDEX($AM$2:$BM$1001,MATCH(ROWS($AF$2:AF556),$AF$2:$AF$1001,0),MATCH(COLUMNS($AM$1006:BB1006),$AM$1006:$BM$1006,0)), HYPERLINK("#",""), HYPERLINK(CONCATENATE("#metadata!", ADDRESS(INDEX($AH$2:$AH$1001,MATCH(ROWS($AF$2:AF556),$AF$2:$AF$1001,0),0), INDEX($AM$1004:$BM$1004,1,MATCH(COLUMNS($AM$1006:BB1006),$AM$1006:$BM$1006,0)))),"Fix")))</f>
        <v xml:space="preserve"> </v>
      </c>
      <c r="R556" s="4" t="str">
        <f ca="1">IF(OR(INDEX($AG$2:$AG$1001,MATCH(ROWS($AF$2:AF556),$AF$2:$AF$1001,0),1)&gt;=100000,INDEX($AM$1005:$BM$1005,1,MATCH(COLUMNS($AM$1006:BC1006),$AM$1006:$BM$1006,0))&gt;=100000), " ",IF(INDEX($AM$2:$BM$1001,MATCH(ROWS($AF$2:AF556),$AF$2:$AF$1001,0),MATCH(COLUMNS($AM$1006:BC1006),$AM$1006:$BM$1006,0)), HYPERLINK("#",""), HYPERLINK(CONCATENATE("#metadata!", ADDRESS(INDEX($AH$2:$AH$1001,MATCH(ROWS($AF$2:AF556),$AF$2:$AF$1001,0),0), INDEX($AM$1004:$BM$1004,1,MATCH(COLUMNS($AM$1006:BC1006),$AM$1006:$BM$1006,0)))),"Fix")))</f>
        <v xml:space="preserve"> </v>
      </c>
      <c r="S556" s="4" t="str">
        <f ca="1">IF(OR(INDEX($AG$2:$AG$1001,MATCH(ROWS($AF$2:AF556),$AF$2:$AF$1001,0),1)&gt;=100000,INDEX($AM$1005:$BM$1005,1,MATCH(COLUMNS($AM$1006:BD1006),$AM$1006:$BM$1006,0))&gt;=100000), " ",IF(INDEX($AM$2:$BM$1001,MATCH(ROWS($AF$2:AF556),$AF$2:$AF$1001,0),MATCH(COLUMNS($AM$1006:BD1006),$AM$1006:$BM$1006,0)), HYPERLINK("#",""), HYPERLINK(CONCATENATE("#metadata!", ADDRESS(INDEX($AH$2:$AH$1001,MATCH(ROWS($AF$2:AF556),$AF$2:$AF$1001,0),0), INDEX($AM$1004:$BM$1004,1,MATCH(COLUMNS($AM$1006:BD1006),$AM$1006:$BM$1006,0)))),"Fix")))</f>
        <v xml:space="preserve"> </v>
      </c>
      <c r="T556" s="4" t="str">
        <f ca="1">IF(OR(INDEX($AG$2:$AG$1001,MATCH(ROWS($AF$2:AF556),$AF$2:$AF$1001,0),1)&gt;=100000,INDEX($AM$1005:$BM$1005,1,MATCH(COLUMNS($AM$1006:BE1006),$AM$1006:$BM$1006,0))&gt;=100000), " ",IF(INDEX($AM$2:$BM$1001,MATCH(ROWS($AF$2:AF556),$AF$2:$AF$1001,0),MATCH(COLUMNS($AM$1006:BE1006),$AM$1006:$BM$1006,0)), HYPERLINK("#",""), HYPERLINK(CONCATENATE("#metadata!", ADDRESS(INDEX($AH$2:$AH$1001,MATCH(ROWS($AF$2:AF556),$AF$2:$AF$1001,0),0), INDEX($AM$1004:$BM$1004,1,MATCH(COLUMNS($AM$1006:BE1006),$AM$1006:$BM$1006,0)))),"Fix")))</f>
        <v xml:space="preserve"> </v>
      </c>
      <c r="U556" s="4" t="str">
        <f ca="1">IF(OR(INDEX($AG$2:$AG$1001,MATCH(ROWS($AF$2:AF556),$AF$2:$AF$1001,0),1)&gt;=100000,INDEX($AM$1005:$BM$1005,1,MATCH(COLUMNS($AM$1006:BF1006),$AM$1006:$BM$1006,0))&gt;=100000), " ",IF(INDEX($AM$2:$BM$1001,MATCH(ROWS($AF$2:AF556),$AF$2:$AF$1001,0),MATCH(COLUMNS($AM$1006:BF1006),$AM$1006:$BM$1006,0)), HYPERLINK("#",""), HYPERLINK(CONCATENATE("#metadata!", ADDRESS(INDEX($AH$2:$AH$1001,MATCH(ROWS($AF$2:AF556),$AF$2:$AF$1001,0),0), INDEX($AM$1004:$BM$1004,1,MATCH(COLUMNS($AM$1006:BF1006),$AM$1006:$BM$1006,0)))),"Fix")))</f>
        <v xml:space="preserve"> </v>
      </c>
      <c r="V556" s="4" t="str">
        <f ca="1">IF(OR(INDEX($AG$2:$AG$1001,MATCH(ROWS($AF$2:AF556),$AF$2:$AF$1001,0),1)&gt;=100000,INDEX($AM$1005:$BM$1005,1,MATCH(COLUMNS($AM$1006:BG1006),$AM$1006:$BM$1006,0))&gt;=100000), " ",IF(INDEX($AM$2:$BM$1001,MATCH(ROWS($AF$2:AF556),$AF$2:$AF$1001,0),MATCH(COLUMNS($AM$1006:BG1006),$AM$1006:$BM$1006,0)), HYPERLINK("#",""), HYPERLINK(CONCATENATE("#metadata!", ADDRESS(INDEX($AH$2:$AH$1001,MATCH(ROWS($AF$2:AF556),$AF$2:$AF$1001,0),0), INDEX($AM$1004:$BM$1004,1,MATCH(COLUMNS($AM$1006:BG1006),$AM$1006:$BM$1006,0)))),"Fix")))</f>
        <v xml:space="preserve"> </v>
      </c>
      <c r="W556" s="4" t="str">
        <f ca="1">IF(OR(INDEX($AG$2:$AG$1001,MATCH(ROWS($AF$2:AF556),$AF$2:$AF$1001,0),1)&gt;=100000,INDEX($AM$1005:$BM$1005,1,MATCH(COLUMNS($AM$1006:BH1006),$AM$1006:$BM$1006,0))&gt;=100000), " ",IF(INDEX($AM$2:$BM$1001,MATCH(ROWS($AF$2:AF556),$AF$2:$AF$1001,0),MATCH(COLUMNS($AM$1006:BH1006),$AM$1006:$BM$1006,0)), HYPERLINK("#",""), HYPERLINK(CONCATENATE("#metadata!", ADDRESS(INDEX($AH$2:$AH$1001,MATCH(ROWS($AF$2:AF556),$AF$2:$AF$1001,0),0), INDEX($AM$1004:$BM$1004,1,MATCH(COLUMNS($AM$1006:BH1006),$AM$1006:$BM$1006,0)))),"Fix")))</f>
        <v xml:space="preserve"> </v>
      </c>
      <c r="X556" s="4" t="str">
        <f ca="1">IF(OR(INDEX($AG$2:$AG$1001,MATCH(ROWS($AF$2:AF556),$AF$2:$AF$1001,0),1)&gt;=100000,INDEX($AM$1005:$BM$1005,1,MATCH(COLUMNS($AM$1006:BI1006),$AM$1006:$BM$1006,0))&gt;=100000), " ",IF(INDEX($AM$2:$BM$1001,MATCH(ROWS($AF$2:AF556),$AF$2:$AF$1001,0),MATCH(COLUMNS($AM$1006:BI1006),$AM$1006:$BM$1006,0)), HYPERLINK("#",""), HYPERLINK(CONCATENATE("#metadata!", ADDRESS(INDEX($AH$2:$AH$1001,MATCH(ROWS($AF$2:AF556),$AF$2:$AF$1001,0),0), INDEX($AM$1004:$BM$1004,1,MATCH(COLUMNS($AM$1006:BI1006),$AM$1006:$BM$1006,0)))),"Fix")))</f>
        <v xml:space="preserve"> </v>
      </c>
      <c r="Y556" s="4" t="str">
        <f ca="1">IF(OR(INDEX($AG$2:$AG$1001,MATCH(ROWS($AF$2:AF556),$AF$2:$AF$1001,0),1)&gt;=100000,INDEX($AM$1005:$BM$1005,1,MATCH(COLUMNS($AM$1006:BJ1006),$AM$1006:$BM$1006,0))&gt;=100000), " ",IF(INDEX($AM$2:$BM$1001,MATCH(ROWS($AF$2:AF556),$AF$2:$AF$1001,0),MATCH(COLUMNS($AM$1006:BJ1006),$AM$1006:$BM$1006,0)), HYPERLINK("#",""), HYPERLINK(CONCATENATE("#metadata!", ADDRESS(INDEX($AH$2:$AH$1001,MATCH(ROWS($AF$2:AF556),$AF$2:$AF$1001,0),0), INDEX($AM$1004:$BM$1004,1,MATCH(COLUMNS($AM$1006:BJ1006),$AM$1006:$BM$1006,0)))),"Fix")))</f>
        <v xml:space="preserve"> </v>
      </c>
      <c r="Z556" s="4" t="str">
        <f ca="1">IF(OR(INDEX($AG$2:$AG$1001,MATCH(ROWS($AF$2:AF556),$AF$2:$AF$1001,0),1)&gt;=100000,INDEX($AM$1005:$BM$1005,1,MATCH(COLUMNS($AM$1006:BK1006),$AM$1006:$BM$1006,0))&gt;=100000), " ",IF(INDEX($AM$2:$BM$1001,MATCH(ROWS($AF$2:AF556),$AF$2:$AF$1001,0),MATCH(COLUMNS($AM$1006:BK1006),$AM$1006:$BM$1006,0)), HYPERLINK("#",""), HYPERLINK(CONCATENATE("#metadata!", ADDRESS(INDEX($AH$2:$AH$1001,MATCH(ROWS($AF$2:AF556),$AF$2:$AF$1001,0),0), INDEX($AM$1004:$BM$1004,1,MATCH(COLUMNS($AM$1006:BK1006),$AM$1006:$BM$1006,0)))),"Fix")))</f>
        <v xml:space="preserve"> </v>
      </c>
      <c r="AA556" s="4" t="str">
        <f ca="1">IF(OR(INDEX($AG$2:$AG$1001,MATCH(ROWS($AF$2:AF556),$AF$2:$AF$1001,0),1)&gt;=100000,INDEX($AM$1005:$BM$1005,1,MATCH(COLUMNS($AM$1006:BL1006),$AM$1006:$BM$1006,0))&gt;=100000), " ",IF(INDEX($AM$2:$BM$1001,MATCH(ROWS($AF$2:AF556),$AF$2:$AF$1001,0),MATCH(COLUMNS($AM$1006:BL1006),$AM$1006:$BM$1006,0)), HYPERLINK("#",""), HYPERLINK(CONCATENATE("#metadata!", ADDRESS(INDEX($AH$2:$AH$1001,MATCH(ROWS($AF$2:AF556),$AF$2:$AF$1001,0),0), INDEX($AM$1004:$BM$1004,1,MATCH(COLUMNS($AM$1006:BL1006),$AM$1006:$BM$1006,0)))),"Fix")))</f>
        <v xml:space="preserve"> </v>
      </c>
      <c r="AB556" s="4" t="str">
        <f ca="1">IF(OR(INDEX($AG$2:$AG$1001,MATCH(ROWS($AF$2:AF556),$AF$2:$AF$1001,0),1)&gt;=100000,INDEX($AM$1005:$BM$1005,1,MATCH(COLUMNS($AM$1006:BM1006),$AM$1006:$BM$1006,0))&gt;=100000), " ",IF(INDEX($AM$2:$BM$1001,MATCH(ROWS($AF$2:AF556),$AF$2:$AF$1001,0),MATCH(COLUMNS($AM$1006:BM1006),$AM$1006:$BM$1006,0)), HYPERLINK("#",""), HYPERLINK(CONCATENATE("#metadata!", ADDRESS(INDEX($AH$2:$AH$1001,MATCH(ROWS($AF$2:AF556),$AF$2:$AF$1001,0),0), INDEX($AM$1004:$BM$1004,1,MATCH(COLUMNS($AM$1006:BM1006),$AM$1006:$BM$1006,0)))),"Fix")))</f>
        <v xml:space="preserve"> </v>
      </c>
      <c r="AF556">
        <v>555</v>
      </c>
      <c r="AG556">
        <v>100556</v>
      </c>
      <c r="AH556">
        <v>556</v>
      </c>
      <c r="AI556" t="b">
        <f t="shared" si="8"/>
        <v>1</v>
      </c>
      <c r="AJ556" t="b">
        <f>COUNTBLANK(metadata!B556:AB556)=COLUMNS(metadata!B556:AB556)</f>
        <v>1</v>
      </c>
      <c r="AK556" t="str">
        <v/>
      </c>
      <c r="AM556" t="b">
        <f ca="1">AND(IF(metadata!B556="",FALSE,TRUE),COUNTIF(metadata!B:B, metadata!B556) = 1,NOT(ISERROR(SUMPRODUCT(SEARCH(MID(metadata!B556,ROW(INDIRECT("1:"&amp;LEN(metadata!B556))), 1),"0123456789abcdefghijklmnopqrstuvwxyzABCDEFGHIJKLMNOPQRSTUVWXYZ.")))))</f>
        <v>0</v>
      </c>
      <c r="AN556" t="b">
        <f ca="1">OR(AND(IF(metadata!C556="",FALSE,TRUE),OR(EXACT(metadata!C556,"missing: not collected"),EXACT(metadata!C556,"missing: not provided"),EXACT(metadata!C556,"missing: restricted access"))),AND(IF(metadata!C556="",FALSE,TRUE),AND(AND(IFERROR(INT(LEFT(metadata!C556,4))&gt;1900,FALSE),IFERROR(INT(LEFT(metadata!C556,4))&lt;=YEAR(NOW()),FALSE)), OR(MID(metadata!C556,5,1)="", AND(AND(MID(metadata!C556,5,1)="-",IFERROR(INT(MID(metadata!C556,6,1))&gt;=0,FALSE),IFERROR(INT(MID(metadata!C556,6,1))&lt;=1,FALSE),NOT(MID(metadata!C556,7,1)=""),IFERROR(INT(MID(metadata!C556,6,2))&gt;=1,FALSE),IFERROR(INT(MID(metadata!C556,6,2))&lt;=12,FALSE)), OR(MID(metadata!C556,8,1)="", AND(AND(MID(metadata!C556,8,1)="-",IFERROR(INT(MID(metadata!C556,9,1))&gt;=0,FALSE),IFERROR(INT(MID(metadata!C556,9,1))&lt;=3,FALSE),NOT(MID(metadata!C556,10,1)=""),IFERROR(INT(MID(metadata!C556,9,2))&gt;=1,FALSE),IFERROR(INT(MID(metadata!C556,9,2))&lt;=31,FALSE)), OR(MID(metadata!C556,11,1)="", AND(AND(MID(metadata!C556,11,1)=" ",IFERROR(INT(MID(metadata!C556,12,1))&gt;=0,FALSE),IFERROR(INT(MID(metadata!C556,12,1))&lt;=2,FALSE),NOT(MID(metadata!C556,13,1)=""),IFERROR(INT(MID(metadata!C556,12,2))&gt;=0,FALSE),IFERROR(INT(MID(metadata!C556,12,2))&lt;=23,FALSE)), OR(MID(metadata!C556,14,1)="", AND(AND(MID(metadata!C556,14,1)=":",IFERROR(INT(MID(metadata!C556,15,1))&gt;=0,FALSE),IFERROR(INT(MID(metadata!C556,15,1))&lt;=5,FALSE),NOT(MID(metadata!C556,16,1)=""),IFERROR(INT(MID(metadata!C556,15,2))&gt;=0,FALSE),IFERROR(INT(MID(metadata!C556,15,2))&lt;=59,FALSE)), OR(MID(metadata!C556,17,1)="", AND(AND(MID(metadata!C556,17,1)=":",IFERROR(INT(MID(metadata!C556,18,1))&gt;=0,FALSE),IFERROR(INT(MID(metadata!C556,18,1))&lt;=5,FALSE),NOT(MID(metadata!C556,19,1)=""),IFERROR(INT(MID(metadata!C556,18,2))&gt;=0,FALSE),IFERROR(INT(MID(metadata!C556,18,2))&lt;=59,FALSE)), LEN(metadata!C556)&lt;=19)))))))))))))</f>
        <v>0</v>
      </c>
      <c r="AO556" t="b">
        <f>AND(IF(metadata!D556="",FALSE,TRUE),EXACT(metadata!D556,"Not applicable"))</f>
        <v>0</v>
      </c>
      <c r="AP556" t="b">
        <f>IF(metadata!E556="",FALSE,TRUE)</f>
        <v>0</v>
      </c>
      <c r="AQ556" t="b">
        <f>OR(AND(IF(metadata!F556="",FALSE,TRUE),OR(EXACT(metadata!F556,"missing: not collected"),EXACT(metadata!F556,"missing: not provided"))),AND(IF(metadata!F556="",FALSE,TRUE),OR(EXACT(metadata!F556,"TRUE"),EXACT(metadata!F556,"FALSE"))))</f>
        <v>0</v>
      </c>
      <c r="AR556" t="b">
        <f>OR(AND(IF(metadata!G556="",FALSE,TRUE),OR(EXACT(metadata!G556,"missing: not collected"),EXACT(metadata!G556,"missing: not provided"),EXACT(metadata!G556,"missing: restricted access"))),AND(IF(metadata!G556="",FALSE,ISNUMBER(VALUE(metadata!G556))),metadata!G556&gt;=-413))</f>
        <v>0</v>
      </c>
      <c r="AS556" t="b">
        <f>AND(IF(metadata!H556="",FALSE,TRUE),EXACT(metadata!H556,"meters"))</f>
        <v>0</v>
      </c>
      <c r="AT556" t="b">
        <f>AND(IF(metadata!I556="",FALSE,TRUE),OR(EXACT(metadata!I556,"Host-associated"),EXACT(metadata!I556,"Free-living")))</f>
        <v>0</v>
      </c>
      <c r="AU556" t="b">
        <f>AND(IF(metadata!J556="",FALSE,TRUE),OR(EXACT(metadata!J556,"Animal"),EXACT(metadata!J556,"Fungus"),EXACT(metadata!J556,"Plant"),EXACT(metadata!J556,"Saline"),EXACT(metadata!J556,"Non-saline")))</f>
        <v>0</v>
      </c>
      <c r="AV556" t="b">
        <f>AND(IF(metadata!K556="",FALSE,TRUE),OR(EXACT(metadata!K556,"Plant secretion"),EXACT(metadata!K556,"Plant rhizosphere"),EXACT(metadata!K556,"Plant surface"),EXACT(metadata!K556,"Plant corpus"),EXACT(metadata!K556,"Fungus surface"),EXACT(metadata!K556,"Fungus corpus"),EXACT(metadata!K556,"Animal surface"),EXACT(metadata!K556,"Animal proximal gut"),EXACT(metadata!K556,"Animal corpus"),EXACT(metadata!K556,"Animal distal gut"),EXACT(metadata!K556,"Animal secretion"),EXACT(metadata!K556,"Sub-surface (non-saline)"),EXACT(metadata!K556,"Surface (non-saline)"),EXACT(metadata!K556,"Water (non-saline)"),EXACT(metadata!K556,"Soil (non-saline)"),EXACT(metadata!K556,"Aerosol (non-saline)"),EXACT(metadata!K556,"Sediment (non-saline)"),EXACT(metadata!K556,"Surface (saline)"),EXACT(metadata!K556,"Water (saline)"),EXACT(metadata!K556,"Hypersaline (saline)"),EXACT(metadata!K556,"Aerosol (saline)"),EXACT(metadata!K556,"Sediment (saline)")))</f>
        <v>0</v>
      </c>
      <c r="AW556" t="b">
        <f>IF(metadata!L556="",FALSE,TRUE)</f>
        <v>0</v>
      </c>
      <c r="AX556" t="b">
        <f>IF(metadata!M556="",FALSE,TRUE)</f>
        <v>0</v>
      </c>
      <c r="AY556" t="b">
        <f>IF(metadata!N556="",FALSE,TRUE)</f>
        <v>0</v>
      </c>
      <c r="AZ556" t="b">
        <f>OR(AND(IF(metadata!O556="",FALSE,TRUE),OR(EXACT(metadata!O556,"missing: not collected"),EXACT(metadata!O556,"missing: not provided"),EXACT(metadata!O556,"missing: restricted access"))),AND(IF(metadata!O556="",FALSE,TRUE),OR(EXACT(metadata!O556,"air"),EXACT(metadata!O556,"built environment"),EXACT(metadata!O556,"host-associated"),EXACT(metadata!O556,"human-associated"),EXACT(metadata!O556,"human-skin"),EXACT(metadata!O556,"human-oral"),EXACT(metadata!O556,"human-gut"),EXACT(metadata!O556,"human-vaginal"),EXACT(metadata!O556,"microbial mat/biofilm"),EXACT(metadata!O556,"misc environment"),EXACT(metadata!O556,"plant-associated"),EXACT(metadata!O556,"sediment"),EXACT(metadata!O556,"soil"),EXACT(metadata!O556,"wastewater/sludge"),EXACT(metadata!O556,"water"))))</f>
        <v>0</v>
      </c>
      <c r="BA556" t="b">
        <f>IF(metadata!P556="",FALSE,TRUE)</f>
        <v>0</v>
      </c>
      <c r="BB556" t="b">
        <f>IF(metadata!Q556="",FALSE,TRUE)</f>
        <v>0</v>
      </c>
      <c r="BC556" t="b">
        <f>OR(AND(IF(metadata!R556="",FALSE,TRUE),OR(EXACT(metadata!R556,"missing: not collected"),EXACT(metadata!R556,"missing: not provided"),EXACT(metadata!R556,"missing: restricted access"))),AND(IF(metadata!R556="",FALSE,ISNUMBER(VALUE(metadata!R556))),metadata!R556&gt;=-90,metadata!R556&lt;=90))</f>
        <v>0</v>
      </c>
      <c r="BD556" t="b">
        <f>AND(IF(metadata!S556="",FALSE,TRUE),EXACT(metadata!S556,"Decimal degrees"))</f>
        <v>0</v>
      </c>
      <c r="BE556" t="b">
        <f>OR(AND(IF(metadata!T556="",FALSE,TRUE),OR(EXACT(metadata!T556,"missing: not collected"),EXACT(metadata!T556,"missing: not provided"),EXACT(metadata!T556,"missing: restricted access"))),AND(IF(metadata!T556="",FALSE,ISNUMBER(VALUE(metadata!T556))),metadata!T556&gt;=-180,metadata!T556&lt;=180))</f>
        <v>0</v>
      </c>
      <c r="BF556" t="b">
        <f>AND(IF(metadata!U556="",FALSE,TRUE),EXACT(metadata!U556,"Decimal degrees"))</f>
        <v>0</v>
      </c>
      <c r="BG556" t="b">
        <f>IF(metadata!V556="",FALSE,TRUE)</f>
        <v>0</v>
      </c>
      <c r="BH556" t="b">
        <f>OR(AND(IF(metadata!W556="",FALSE,TRUE),OR(EXACT(metadata!W556,"missing: not collected"),EXACT(metadata!W556,"missing: not provided"),EXACT(metadata!W556,"missing: restricted access"))),AND(IF(metadata!W556="",FALSE,TRUE),OR(EXACT(metadata!W556,"TRUE"),EXACT(metadata!W556,"FALSE"))))</f>
        <v>0</v>
      </c>
      <c r="BI556" t="b">
        <f>AND(IF(metadata!X556="",FALSE,TRUE),EXACT(metadata!X556,"other"))</f>
        <v>0</v>
      </c>
      <c r="BJ556" t="b">
        <f>IF(metadata!Y556="",FALSE,TRUE)</f>
        <v>0</v>
      </c>
      <c r="BK556" t="b">
        <f>OR(AND(IF(metadata!Z556="",FALSE,TRUE),OR(EXACT(metadata!Z556,"missing: not collected"),EXACT(metadata!Z556,"missing: not provided"))),AND(IF(metadata!Z556="",FALSE,IF(ISERROR(INT(metadata!Z556)),FALSE,INT(metadata!Z556)=metadata!Z556)),metadata!Z556&gt;0))</f>
        <v>0</v>
      </c>
      <c r="BL556" t="b">
        <f>AND(IF(metadata!AA556="",FALSE,TRUE),EXACT(metadata!AA556,"Not applicable"))</f>
        <v>0</v>
      </c>
      <c r="BM556" t="b">
        <f>IF(metadata!AB556="",FALSE,TRUE)</f>
        <v>0</v>
      </c>
    </row>
    <row r="557" spans="1:65" x14ac:dyDescent="0.2">
      <c r="A557" s="5" t="str">
        <f ca="1">IF(B557=" "," ",HYPERLINK(CONCATENATE("#metadata!",ADDRESS(INDEX($AH$2:$AH$1001,MATCH(ROWS($AF$2:AF557),$AF$2:$AF$1001,0),0),1)),INDEX($AK$2:$AK$1001,MATCH(ROWS($AF$2:AF557),$AF$2:$AF$1001,0),0)))</f>
        <v xml:space="preserve"> </v>
      </c>
      <c r="B557" s="4" t="str">
        <f ca="1">IF(OR(INDEX($AG$2:$AG$1001,MATCH(ROWS($AF$2:AF557),$AF$2:$AF$1001,0),1)&gt;=100000,INDEX($AM$1005:$BM$1005,1,MATCH(COLUMNS($AM$1006:AM1006),$AM$1006:$BM$1006,0))&gt;=100000), " ",IF(INDEX($AM$2:$BM$1001,MATCH(ROWS($AF$2:AF557),$AF$2:$AF$1001,0),MATCH(COLUMNS($AM$1006:AM1006),$AM$1006:$BM$1006,0)), HYPERLINK("#",""), HYPERLINK(CONCATENATE("#metadata!", ADDRESS(INDEX($AH$2:$AH$1001,MATCH(ROWS($AF$2:AF557),$AF$2:$AF$1001,0),0), INDEX($AM$1004:$BM$1004,1,MATCH(COLUMNS($AM$1006:AM1006),$AM$1006:$BM$1006,0)))),"Fix")))</f>
        <v xml:space="preserve"> </v>
      </c>
      <c r="C557" s="4" t="str">
        <f ca="1">IF(OR(INDEX($AG$2:$AG$1001,MATCH(ROWS($AF$2:AF557),$AF$2:$AF$1001,0),1)&gt;=100000,INDEX($AM$1005:$BM$1005,1,MATCH(COLUMNS($AM$1006:AN1006),$AM$1006:$BM$1006,0))&gt;=100000), " ",IF(INDEX($AM$2:$BM$1001,MATCH(ROWS($AF$2:AF557),$AF$2:$AF$1001,0),MATCH(COLUMNS($AM$1006:AN1006),$AM$1006:$BM$1006,0)), HYPERLINK("#",""), HYPERLINK(CONCATENATE("#metadata!", ADDRESS(INDEX($AH$2:$AH$1001,MATCH(ROWS($AF$2:AF557),$AF$2:$AF$1001,0),0), INDEX($AM$1004:$BM$1004,1,MATCH(COLUMNS($AM$1006:AN1006),$AM$1006:$BM$1006,0)))),"Fix")))</f>
        <v xml:space="preserve"> </v>
      </c>
      <c r="D557" s="4" t="str">
        <f ca="1">IF(OR(INDEX($AG$2:$AG$1001,MATCH(ROWS($AF$2:AF557),$AF$2:$AF$1001,0),1)&gt;=100000,INDEX($AM$1005:$BM$1005,1,MATCH(COLUMNS($AM$1006:AO1006),$AM$1006:$BM$1006,0))&gt;=100000), " ",IF(INDEX($AM$2:$BM$1001,MATCH(ROWS($AF$2:AF557),$AF$2:$AF$1001,0),MATCH(COLUMNS($AM$1006:AO1006),$AM$1006:$BM$1006,0)), HYPERLINK("#",""), HYPERLINK(CONCATENATE("#metadata!", ADDRESS(INDEX($AH$2:$AH$1001,MATCH(ROWS($AF$2:AF557),$AF$2:$AF$1001,0),0), INDEX($AM$1004:$BM$1004,1,MATCH(COLUMNS($AM$1006:AO1006),$AM$1006:$BM$1006,0)))),"Fix")))</f>
        <v xml:space="preserve"> </v>
      </c>
      <c r="E557" s="4" t="str">
        <f ca="1">IF(OR(INDEX($AG$2:$AG$1001,MATCH(ROWS($AF$2:AF557),$AF$2:$AF$1001,0),1)&gt;=100000,INDEX($AM$1005:$BM$1005,1,MATCH(COLUMNS($AM$1006:AP1006),$AM$1006:$BM$1006,0))&gt;=100000), " ",IF(INDEX($AM$2:$BM$1001,MATCH(ROWS($AF$2:AF557),$AF$2:$AF$1001,0),MATCH(COLUMNS($AM$1006:AP1006),$AM$1006:$BM$1006,0)), HYPERLINK("#",""), HYPERLINK(CONCATENATE("#metadata!", ADDRESS(INDEX($AH$2:$AH$1001,MATCH(ROWS($AF$2:AF557),$AF$2:$AF$1001,0),0), INDEX($AM$1004:$BM$1004,1,MATCH(COLUMNS($AM$1006:AP1006),$AM$1006:$BM$1006,0)))),"Fix")))</f>
        <v xml:space="preserve"> </v>
      </c>
      <c r="F557" s="4" t="str">
        <f ca="1">IF(OR(INDEX($AG$2:$AG$1001,MATCH(ROWS($AF$2:AF557),$AF$2:$AF$1001,0),1)&gt;=100000,INDEX($AM$1005:$BM$1005,1,MATCH(COLUMNS($AM$1006:AQ1006),$AM$1006:$BM$1006,0))&gt;=100000), " ",IF(INDEX($AM$2:$BM$1001,MATCH(ROWS($AF$2:AF557),$AF$2:$AF$1001,0),MATCH(COLUMNS($AM$1006:AQ1006),$AM$1006:$BM$1006,0)), HYPERLINK("#",""), HYPERLINK(CONCATENATE("#metadata!", ADDRESS(INDEX($AH$2:$AH$1001,MATCH(ROWS($AF$2:AF557),$AF$2:$AF$1001,0),0), INDEX($AM$1004:$BM$1004,1,MATCH(COLUMNS($AM$1006:AQ1006),$AM$1006:$BM$1006,0)))),"Fix")))</f>
        <v xml:space="preserve"> </v>
      </c>
      <c r="G557" s="4" t="str">
        <f ca="1">IF(OR(INDEX($AG$2:$AG$1001,MATCH(ROWS($AF$2:AF557),$AF$2:$AF$1001,0),1)&gt;=100000,INDEX($AM$1005:$BM$1005,1,MATCH(COLUMNS($AM$1006:AR1006),$AM$1006:$BM$1006,0))&gt;=100000), " ",IF(INDEX($AM$2:$BM$1001,MATCH(ROWS($AF$2:AF557),$AF$2:$AF$1001,0),MATCH(COLUMNS($AM$1006:AR1006),$AM$1006:$BM$1006,0)), HYPERLINK("#",""), HYPERLINK(CONCATENATE("#metadata!", ADDRESS(INDEX($AH$2:$AH$1001,MATCH(ROWS($AF$2:AF557),$AF$2:$AF$1001,0),0), INDEX($AM$1004:$BM$1004,1,MATCH(COLUMNS($AM$1006:AR1006),$AM$1006:$BM$1006,0)))),"Fix")))</f>
        <v xml:space="preserve"> </v>
      </c>
      <c r="H557" s="4" t="str">
        <f ca="1">IF(OR(INDEX($AG$2:$AG$1001,MATCH(ROWS($AF$2:AF557),$AF$2:$AF$1001,0),1)&gt;=100000,INDEX($AM$1005:$BM$1005,1,MATCH(COLUMNS($AM$1006:AS1006),$AM$1006:$BM$1006,0))&gt;=100000), " ",IF(INDEX($AM$2:$BM$1001,MATCH(ROWS($AF$2:AF557),$AF$2:$AF$1001,0),MATCH(COLUMNS($AM$1006:AS1006),$AM$1006:$BM$1006,0)), HYPERLINK("#",""), HYPERLINK(CONCATENATE("#metadata!", ADDRESS(INDEX($AH$2:$AH$1001,MATCH(ROWS($AF$2:AF557),$AF$2:$AF$1001,0),0), INDEX($AM$1004:$BM$1004,1,MATCH(COLUMNS($AM$1006:AS1006),$AM$1006:$BM$1006,0)))),"Fix")))</f>
        <v xml:space="preserve"> </v>
      </c>
      <c r="I557" s="4" t="str">
        <f ca="1">IF(OR(INDEX($AG$2:$AG$1001,MATCH(ROWS($AF$2:AF557),$AF$2:$AF$1001,0),1)&gt;=100000,INDEX($AM$1005:$BM$1005,1,MATCH(COLUMNS($AM$1006:AT1006),$AM$1006:$BM$1006,0))&gt;=100000), " ",IF(INDEX($AM$2:$BM$1001,MATCH(ROWS($AF$2:AF557),$AF$2:$AF$1001,0),MATCH(COLUMNS($AM$1006:AT1006),$AM$1006:$BM$1006,0)), HYPERLINK("#",""), HYPERLINK(CONCATENATE("#metadata!", ADDRESS(INDEX($AH$2:$AH$1001,MATCH(ROWS($AF$2:AF557),$AF$2:$AF$1001,0),0), INDEX($AM$1004:$BM$1004,1,MATCH(COLUMNS($AM$1006:AT1006),$AM$1006:$BM$1006,0)))),"Fix")))</f>
        <v xml:space="preserve"> </v>
      </c>
      <c r="J557" s="4" t="str">
        <f ca="1">IF(OR(INDEX($AG$2:$AG$1001,MATCH(ROWS($AF$2:AF557),$AF$2:$AF$1001,0),1)&gt;=100000,INDEX($AM$1005:$BM$1005,1,MATCH(COLUMNS($AM$1006:AU1006),$AM$1006:$BM$1006,0))&gt;=100000), " ",IF(INDEX($AM$2:$BM$1001,MATCH(ROWS($AF$2:AF557),$AF$2:$AF$1001,0),MATCH(COLUMNS($AM$1006:AU1006),$AM$1006:$BM$1006,0)), HYPERLINK("#",""), HYPERLINK(CONCATENATE("#metadata!", ADDRESS(INDEX($AH$2:$AH$1001,MATCH(ROWS($AF$2:AF557),$AF$2:$AF$1001,0),0), INDEX($AM$1004:$BM$1004,1,MATCH(COLUMNS($AM$1006:AU1006),$AM$1006:$BM$1006,0)))),"Fix")))</f>
        <v xml:space="preserve"> </v>
      </c>
      <c r="K557" s="4" t="str">
        <f ca="1">IF(OR(INDEX($AG$2:$AG$1001,MATCH(ROWS($AF$2:AF557),$AF$2:$AF$1001,0),1)&gt;=100000,INDEX($AM$1005:$BM$1005,1,MATCH(COLUMNS($AM$1006:AV1006),$AM$1006:$BM$1006,0))&gt;=100000), " ",IF(INDEX($AM$2:$BM$1001,MATCH(ROWS($AF$2:AF557),$AF$2:$AF$1001,0),MATCH(COLUMNS($AM$1006:AV1006),$AM$1006:$BM$1006,0)), HYPERLINK("#",""), HYPERLINK(CONCATENATE("#metadata!", ADDRESS(INDEX($AH$2:$AH$1001,MATCH(ROWS($AF$2:AF557),$AF$2:$AF$1001,0),0), INDEX($AM$1004:$BM$1004,1,MATCH(COLUMNS($AM$1006:AV1006),$AM$1006:$BM$1006,0)))),"Fix")))</f>
        <v xml:space="preserve"> </v>
      </c>
      <c r="L557" s="4" t="str">
        <f ca="1">IF(OR(INDEX($AG$2:$AG$1001,MATCH(ROWS($AF$2:AF557),$AF$2:$AF$1001,0),1)&gt;=100000,INDEX($AM$1005:$BM$1005,1,MATCH(COLUMNS($AM$1006:AW1006),$AM$1006:$BM$1006,0))&gt;=100000), " ",IF(INDEX($AM$2:$BM$1001,MATCH(ROWS($AF$2:AF557),$AF$2:$AF$1001,0),MATCH(COLUMNS($AM$1006:AW1006),$AM$1006:$BM$1006,0)), HYPERLINK("#",""), HYPERLINK(CONCATENATE("#metadata!", ADDRESS(INDEX($AH$2:$AH$1001,MATCH(ROWS($AF$2:AF557),$AF$2:$AF$1001,0),0), INDEX($AM$1004:$BM$1004,1,MATCH(COLUMNS($AM$1006:AW1006),$AM$1006:$BM$1006,0)))),"Fix")))</f>
        <v xml:space="preserve"> </v>
      </c>
      <c r="M557" s="4" t="str">
        <f ca="1">IF(OR(INDEX($AG$2:$AG$1001,MATCH(ROWS($AF$2:AF557),$AF$2:$AF$1001,0),1)&gt;=100000,INDEX($AM$1005:$BM$1005,1,MATCH(COLUMNS($AM$1006:AX1006),$AM$1006:$BM$1006,0))&gt;=100000), " ",IF(INDEX($AM$2:$BM$1001,MATCH(ROWS($AF$2:AF557),$AF$2:$AF$1001,0),MATCH(COLUMNS($AM$1006:AX1006),$AM$1006:$BM$1006,0)), HYPERLINK("#",""), HYPERLINK(CONCATENATE("#metadata!", ADDRESS(INDEX($AH$2:$AH$1001,MATCH(ROWS($AF$2:AF557),$AF$2:$AF$1001,0),0), INDEX($AM$1004:$BM$1004,1,MATCH(COLUMNS($AM$1006:AX1006),$AM$1006:$BM$1006,0)))),"Fix")))</f>
        <v xml:space="preserve"> </v>
      </c>
      <c r="N557" s="4" t="str">
        <f ca="1">IF(OR(INDEX($AG$2:$AG$1001,MATCH(ROWS($AF$2:AF557),$AF$2:$AF$1001,0),1)&gt;=100000,INDEX($AM$1005:$BM$1005,1,MATCH(COLUMNS($AM$1006:AY1006),$AM$1006:$BM$1006,0))&gt;=100000), " ",IF(INDEX($AM$2:$BM$1001,MATCH(ROWS($AF$2:AF557),$AF$2:$AF$1001,0),MATCH(COLUMNS($AM$1006:AY1006),$AM$1006:$BM$1006,0)), HYPERLINK("#",""), HYPERLINK(CONCATENATE("#metadata!", ADDRESS(INDEX($AH$2:$AH$1001,MATCH(ROWS($AF$2:AF557),$AF$2:$AF$1001,0),0), INDEX($AM$1004:$BM$1004,1,MATCH(COLUMNS($AM$1006:AY1006),$AM$1006:$BM$1006,0)))),"Fix")))</f>
        <v xml:space="preserve"> </v>
      </c>
      <c r="O557" s="4" t="str">
        <f ca="1">IF(OR(INDEX($AG$2:$AG$1001,MATCH(ROWS($AF$2:AF557),$AF$2:$AF$1001,0),1)&gt;=100000,INDEX($AM$1005:$BM$1005,1,MATCH(COLUMNS($AM$1006:AZ1006),$AM$1006:$BM$1006,0))&gt;=100000), " ",IF(INDEX($AM$2:$BM$1001,MATCH(ROWS($AF$2:AF557),$AF$2:$AF$1001,0),MATCH(COLUMNS($AM$1006:AZ1006),$AM$1006:$BM$1006,0)), HYPERLINK("#",""), HYPERLINK(CONCATENATE("#metadata!", ADDRESS(INDEX($AH$2:$AH$1001,MATCH(ROWS($AF$2:AF557),$AF$2:$AF$1001,0),0), INDEX($AM$1004:$BM$1004,1,MATCH(COLUMNS($AM$1006:AZ1006),$AM$1006:$BM$1006,0)))),"Fix")))</f>
        <v xml:space="preserve"> </v>
      </c>
      <c r="P557" s="4" t="str">
        <f ca="1">IF(OR(INDEX($AG$2:$AG$1001,MATCH(ROWS($AF$2:AF557),$AF$2:$AF$1001,0),1)&gt;=100000,INDEX($AM$1005:$BM$1005,1,MATCH(COLUMNS($AM$1006:BA1006),$AM$1006:$BM$1006,0))&gt;=100000), " ",IF(INDEX($AM$2:$BM$1001,MATCH(ROWS($AF$2:AF557),$AF$2:$AF$1001,0),MATCH(COLUMNS($AM$1006:BA1006),$AM$1006:$BM$1006,0)), HYPERLINK("#",""), HYPERLINK(CONCATENATE("#metadata!", ADDRESS(INDEX($AH$2:$AH$1001,MATCH(ROWS($AF$2:AF557),$AF$2:$AF$1001,0),0), INDEX($AM$1004:$BM$1004,1,MATCH(COLUMNS($AM$1006:BA1006),$AM$1006:$BM$1006,0)))),"Fix")))</f>
        <v xml:space="preserve"> </v>
      </c>
      <c r="Q557" s="4" t="str">
        <f ca="1">IF(OR(INDEX($AG$2:$AG$1001,MATCH(ROWS($AF$2:AF557),$AF$2:$AF$1001,0),1)&gt;=100000,INDEX($AM$1005:$BM$1005,1,MATCH(COLUMNS($AM$1006:BB1006),$AM$1006:$BM$1006,0))&gt;=100000), " ",IF(INDEX($AM$2:$BM$1001,MATCH(ROWS($AF$2:AF557),$AF$2:$AF$1001,0),MATCH(COLUMNS($AM$1006:BB1006),$AM$1006:$BM$1006,0)), HYPERLINK("#",""), HYPERLINK(CONCATENATE("#metadata!", ADDRESS(INDEX($AH$2:$AH$1001,MATCH(ROWS($AF$2:AF557),$AF$2:$AF$1001,0),0), INDEX($AM$1004:$BM$1004,1,MATCH(COLUMNS($AM$1006:BB1006),$AM$1006:$BM$1006,0)))),"Fix")))</f>
        <v xml:space="preserve"> </v>
      </c>
      <c r="R557" s="4" t="str">
        <f ca="1">IF(OR(INDEX($AG$2:$AG$1001,MATCH(ROWS($AF$2:AF557),$AF$2:$AF$1001,0),1)&gt;=100000,INDEX($AM$1005:$BM$1005,1,MATCH(COLUMNS($AM$1006:BC1006),$AM$1006:$BM$1006,0))&gt;=100000), " ",IF(INDEX($AM$2:$BM$1001,MATCH(ROWS($AF$2:AF557),$AF$2:$AF$1001,0),MATCH(COLUMNS($AM$1006:BC1006),$AM$1006:$BM$1006,0)), HYPERLINK("#",""), HYPERLINK(CONCATENATE("#metadata!", ADDRESS(INDEX($AH$2:$AH$1001,MATCH(ROWS($AF$2:AF557),$AF$2:$AF$1001,0),0), INDEX($AM$1004:$BM$1004,1,MATCH(COLUMNS($AM$1006:BC1006),$AM$1006:$BM$1006,0)))),"Fix")))</f>
        <v xml:space="preserve"> </v>
      </c>
      <c r="S557" s="4" t="str">
        <f ca="1">IF(OR(INDEX($AG$2:$AG$1001,MATCH(ROWS($AF$2:AF557),$AF$2:$AF$1001,0),1)&gt;=100000,INDEX($AM$1005:$BM$1005,1,MATCH(COLUMNS($AM$1006:BD1006),$AM$1006:$BM$1006,0))&gt;=100000), " ",IF(INDEX($AM$2:$BM$1001,MATCH(ROWS($AF$2:AF557),$AF$2:$AF$1001,0),MATCH(COLUMNS($AM$1006:BD1006),$AM$1006:$BM$1006,0)), HYPERLINK("#",""), HYPERLINK(CONCATENATE("#metadata!", ADDRESS(INDEX($AH$2:$AH$1001,MATCH(ROWS($AF$2:AF557),$AF$2:$AF$1001,0),0), INDEX($AM$1004:$BM$1004,1,MATCH(COLUMNS($AM$1006:BD1006),$AM$1006:$BM$1006,0)))),"Fix")))</f>
        <v xml:space="preserve"> </v>
      </c>
      <c r="T557" s="4" t="str">
        <f ca="1">IF(OR(INDEX($AG$2:$AG$1001,MATCH(ROWS($AF$2:AF557),$AF$2:$AF$1001,0),1)&gt;=100000,INDEX($AM$1005:$BM$1005,1,MATCH(COLUMNS($AM$1006:BE1006),$AM$1006:$BM$1006,0))&gt;=100000), " ",IF(INDEX($AM$2:$BM$1001,MATCH(ROWS($AF$2:AF557),$AF$2:$AF$1001,0),MATCH(COLUMNS($AM$1006:BE1006),$AM$1006:$BM$1006,0)), HYPERLINK("#",""), HYPERLINK(CONCATENATE("#metadata!", ADDRESS(INDEX($AH$2:$AH$1001,MATCH(ROWS($AF$2:AF557),$AF$2:$AF$1001,0),0), INDEX($AM$1004:$BM$1004,1,MATCH(COLUMNS($AM$1006:BE1006),$AM$1006:$BM$1006,0)))),"Fix")))</f>
        <v xml:space="preserve"> </v>
      </c>
      <c r="U557" s="4" t="str">
        <f ca="1">IF(OR(INDEX($AG$2:$AG$1001,MATCH(ROWS($AF$2:AF557),$AF$2:$AF$1001,0),1)&gt;=100000,INDEX($AM$1005:$BM$1005,1,MATCH(COLUMNS($AM$1006:BF1006),$AM$1006:$BM$1006,0))&gt;=100000), " ",IF(INDEX($AM$2:$BM$1001,MATCH(ROWS($AF$2:AF557),$AF$2:$AF$1001,0),MATCH(COLUMNS($AM$1006:BF1006),$AM$1006:$BM$1006,0)), HYPERLINK("#",""), HYPERLINK(CONCATENATE("#metadata!", ADDRESS(INDEX($AH$2:$AH$1001,MATCH(ROWS($AF$2:AF557),$AF$2:$AF$1001,0),0), INDEX($AM$1004:$BM$1004,1,MATCH(COLUMNS($AM$1006:BF1006),$AM$1006:$BM$1006,0)))),"Fix")))</f>
        <v xml:space="preserve"> </v>
      </c>
      <c r="V557" s="4" t="str">
        <f ca="1">IF(OR(INDEX($AG$2:$AG$1001,MATCH(ROWS($AF$2:AF557),$AF$2:$AF$1001,0),1)&gt;=100000,INDEX($AM$1005:$BM$1005,1,MATCH(COLUMNS($AM$1006:BG1006),$AM$1006:$BM$1006,0))&gt;=100000), " ",IF(INDEX($AM$2:$BM$1001,MATCH(ROWS($AF$2:AF557),$AF$2:$AF$1001,0),MATCH(COLUMNS($AM$1006:BG1006),$AM$1006:$BM$1006,0)), HYPERLINK("#",""), HYPERLINK(CONCATENATE("#metadata!", ADDRESS(INDEX($AH$2:$AH$1001,MATCH(ROWS($AF$2:AF557),$AF$2:$AF$1001,0),0), INDEX($AM$1004:$BM$1004,1,MATCH(COLUMNS($AM$1006:BG1006),$AM$1006:$BM$1006,0)))),"Fix")))</f>
        <v xml:space="preserve"> </v>
      </c>
      <c r="W557" s="4" t="str">
        <f ca="1">IF(OR(INDEX($AG$2:$AG$1001,MATCH(ROWS($AF$2:AF557),$AF$2:$AF$1001,0),1)&gt;=100000,INDEX($AM$1005:$BM$1005,1,MATCH(COLUMNS($AM$1006:BH1006),$AM$1006:$BM$1006,0))&gt;=100000), " ",IF(INDEX($AM$2:$BM$1001,MATCH(ROWS($AF$2:AF557),$AF$2:$AF$1001,0),MATCH(COLUMNS($AM$1006:BH1006),$AM$1006:$BM$1006,0)), HYPERLINK("#",""), HYPERLINK(CONCATENATE("#metadata!", ADDRESS(INDEX($AH$2:$AH$1001,MATCH(ROWS($AF$2:AF557),$AF$2:$AF$1001,0),0), INDEX($AM$1004:$BM$1004,1,MATCH(COLUMNS($AM$1006:BH1006),$AM$1006:$BM$1006,0)))),"Fix")))</f>
        <v xml:space="preserve"> </v>
      </c>
      <c r="X557" s="4" t="str">
        <f ca="1">IF(OR(INDEX($AG$2:$AG$1001,MATCH(ROWS($AF$2:AF557),$AF$2:$AF$1001,0),1)&gt;=100000,INDEX($AM$1005:$BM$1005,1,MATCH(COLUMNS($AM$1006:BI1006),$AM$1006:$BM$1006,0))&gt;=100000), " ",IF(INDEX($AM$2:$BM$1001,MATCH(ROWS($AF$2:AF557),$AF$2:$AF$1001,0),MATCH(COLUMNS($AM$1006:BI1006),$AM$1006:$BM$1006,0)), HYPERLINK("#",""), HYPERLINK(CONCATENATE("#metadata!", ADDRESS(INDEX($AH$2:$AH$1001,MATCH(ROWS($AF$2:AF557),$AF$2:$AF$1001,0),0), INDEX($AM$1004:$BM$1004,1,MATCH(COLUMNS($AM$1006:BI1006),$AM$1006:$BM$1006,0)))),"Fix")))</f>
        <v xml:space="preserve"> </v>
      </c>
      <c r="Y557" s="4" t="str">
        <f ca="1">IF(OR(INDEX($AG$2:$AG$1001,MATCH(ROWS($AF$2:AF557),$AF$2:$AF$1001,0),1)&gt;=100000,INDEX($AM$1005:$BM$1005,1,MATCH(COLUMNS($AM$1006:BJ1006),$AM$1006:$BM$1006,0))&gt;=100000), " ",IF(INDEX($AM$2:$BM$1001,MATCH(ROWS($AF$2:AF557),$AF$2:$AF$1001,0),MATCH(COLUMNS($AM$1006:BJ1006),$AM$1006:$BM$1006,0)), HYPERLINK("#",""), HYPERLINK(CONCATENATE("#metadata!", ADDRESS(INDEX($AH$2:$AH$1001,MATCH(ROWS($AF$2:AF557),$AF$2:$AF$1001,0),0), INDEX($AM$1004:$BM$1004,1,MATCH(COLUMNS($AM$1006:BJ1006),$AM$1006:$BM$1006,0)))),"Fix")))</f>
        <v xml:space="preserve"> </v>
      </c>
      <c r="Z557" s="4" t="str">
        <f ca="1">IF(OR(INDEX($AG$2:$AG$1001,MATCH(ROWS($AF$2:AF557),$AF$2:$AF$1001,0),1)&gt;=100000,INDEX($AM$1005:$BM$1005,1,MATCH(COLUMNS($AM$1006:BK1006),$AM$1006:$BM$1006,0))&gt;=100000), " ",IF(INDEX($AM$2:$BM$1001,MATCH(ROWS($AF$2:AF557),$AF$2:$AF$1001,0),MATCH(COLUMNS($AM$1006:BK1006),$AM$1006:$BM$1006,0)), HYPERLINK("#",""), HYPERLINK(CONCATENATE("#metadata!", ADDRESS(INDEX($AH$2:$AH$1001,MATCH(ROWS($AF$2:AF557),$AF$2:$AF$1001,0),0), INDEX($AM$1004:$BM$1004,1,MATCH(COLUMNS($AM$1006:BK1006),$AM$1006:$BM$1006,0)))),"Fix")))</f>
        <v xml:space="preserve"> </v>
      </c>
      <c r="AA557" s="4" t="str">
        <f ca="1">IF(OR(INDEX($AG$2:$AG$1001,MATCH(ROWS($AF$2:AF557),$AF$2:$AF$1001,0),1)&gt;=100000,INDEX($AM$1005:$BM$1005,1,MATCH(COLUMNS($AM$1006:BL1006),$AM$1006:$BM$1006,0))&gt;=100000), " ",IF(INDEX($AM$2:$BM$1001,MATCH(ROWS($AF$2:AF557),$AF$2:$AF$1001,0),MATCH(COLUMNS($AM$1006:BL1006),$AM$1006:$BM$1006,0)), HYPERLINK("#",""), HYPERLINK(CONCATENATE("#metadata!", ADDRESS(INDEX($AH$2:$AH$1001,MATCH(ROWS($AF$2:AF557),$AF$2:$AF$1001,0),0), INDEX($AM$1004:$BM$1004,1,MATCH(COLUMNS($AM$1006:BL1006),$AM$1006:$BM$1006,0)))),"Fix")))</f>
        <v xml:space="preserve"> </v>
      </c>
      <c r="AB557" s="4" t="str">
        <f ca="1">IF(OR(INDEX($AG$2:$AG$1001,MATCH(ROWS($AF$2:AF557),$AF$2:$AF$1001,0),1)&gt;=100000,INDEX($AM$1005:$BM$1005,1,MATCH(COLUMNS($AM$1006:BM1006),$AM$1006:$BM$1006,0))&gt;=100000), " ",IF(INDEX($AM$2:$BM$1001,MATCH(ROWS($AF$2:AF557),$AF$2:$AF$1001,0),MATCH(COLUMNS($AM$1006:BM1006),$AM$1006:$BM$1006,0)), HYPERLINK("#",""), HYPERLINK(CONCATENATE("#metadata!", ADDRESS(INDEX($AH$2:$AH$1001,MATCH(ROWS($AF$2:AF557),$AF$2:$AF$1001,0),0), INDEX($AM$1004:$BM$1004,1,MATCH(COLUMNS($AM$1006:BM1006),$AM$1006:$BM$1006,0)))),"Fix")))</f>
        <v xml:space="preserve"> </v>
      </c>
      <c r="AF557">
        <v>556</v>
      </c>
      <c r="AG557">
        <v>100557</v>
      </c>
      <c r="AH557">
        <v>557</v>
      </c>
      <c r="AI557" t="b">
        <f t="shared" si="8"/>
        <v>1</v>
      </c>
      <c r="AJ557" t="b">
        <f>COUNTBLANK(metadata!B557:AB557)=COLUMNS(metadata!B557:AB557)</f>
        <v>1</v>
      </c>
      <c r="AK557" t="str">
        <v/>
      </c>
      <c r="AM557" t="b">
        <f ca="1">AND(IF(metadata!B557="",FALSE,TRUE),COUNTIF(metadata!B:B, metadata!B557) = 1,NOT(ISERROR(SUMPRODUCT(SEARCH(MID(metadata!B557,ROW(INDIRECT("1:"&amp;LEN(metadata!B557))), 1),"0123456789abcdefghijklmnopqrstuvwxyzABCDEFGHIJKLMNOPQRSTUVWXYZ.")))))</f>
        <v>0</v>
      </c>
      <c r="AN557" t="b">
        <f ca="1">OR(AND(IF(metadata!C557="",FALSE,TRUE),OR(EXACT(metadata!C557,"missing: not collected"),EXACT(metadata!C557,"missing: not provided"),EXACT(metadata!C557,"missing: restricted access"))),AND(IF(metadata!C557="",FALSE,TRUE),AND(AND(IFERROR(INT(LEFT(metadata!C557,4))&gt;1900,FALSE),IFERROR(INT(LEFT(metadata!C557,4))&lt;=YEAR(NOW()),FALSE)), OR(MID(metadata!C557,5,1)="", AND(AND(MID(metadata!C557,5,1)="-",IFERROR(INT(MID(metadata!C557,6,1))&gt;=0,FALSE),IFERROR(INT(MID(metadata!C557,6,1))&lt;=1,FALSE),NOT(MID(metadata!C557,7,1)=""),IFERROR(INT(MID(metadata!C557,6,2))&gt;=1,FALSE),IFERROR(INT(MID(metadata!C557,6,2))&lt;=12,FALSE)), OR(MID(metadata!C557,8,1)="", AND(AND(MID(metadata!C557,8,1)="-",IFERROR(INT(MID(metadata!C557,9,1))&gt;=0,FALSE),IFERROR(INT(MID(metadata!C557,9,1))&lt;=3,FALSE),NOT(MID(metadata!C557,10,1)=""),IFERROR(INT(MID(metadata!C557,9,2))&gt;=1,FALSE),IFERROR(INT(MID(metadata!C557,9,2))&lt;=31,FALSE)), OR(MID(metadata!C557,11,1)="", AND(AND(MID(metadata!C557,11,1)=" ",IFERROR(INT(MID(metadata!C557,12,1))&gt;=0,FALSE),IFERROR(INT(MID(metadata!C557,12,1))&lt;=2,FALSE),NOT(MID(metadata!C557,13,1)=""),IFERROR(INT(MID(metadata!C557,12,2))&gt;=0,FALSE),IFERROR(INT(MID(metadata!C557,12,2))&lt;=23,FALSE)), OR(MID(metadata!C557,14,1)="", AND(AND(MID(metadata!C557,14,1)=":",IFERROR(INT(MID(metadata!C557,15,1))&gt;=0,FALSE),IFERROR(INT(MID(metadata!C557,15,1))&lt;=5,FALSE),NOT(MID(metadata!C557,16,1)=""),IFERROR(INT(MID(metadata!C557,15,2))&gt;=0,FALSE),IFERROR(INT(MID(metadata!C557,15,2))&lt;=59,FALSE)), OR(MID(metadata!C557,17,1)="", AND(AND(MID(metadata!C557,17,1)=":",IFERROR(INT(MID(metadata!C557,18,1))&gt;=0,FALSE),IFERROR(INT(MID(metadata!C557,18,1))&lt;=5,FALSE),NOT(MID(metadata!C557,19,1)=""),IFERROR(INT(MID(metadata!C557,18,2))&gt;=0,FALSE),IFERROR(INT(MID(metadata!C557,18,2))&lt;=59,FALSE)), LEN(metadata!C557)&lt;=19)))))))))))))</f>
        <v>0</v>
      </c>
      <c r="AO557" t="b">
        <f>AND(IF(metadata!D557="",FALSE,TRUE),EXACT(metadata!D557,"Not applicable"))</f>
        <v>0</v>
      </c>
      <c r="AP557" t="b">
        <f>IF(metadata!E557="",FALSE,TRUE)</f>
        <v>0</v>
      </c>
      <c r="AQ557" t="b">
        <f>OR(AND(IF(metadata!F557="",FALSE,TRUE),OR(EXACT(metadata!F557,"missing: not collected"),EXACT(metadata!F557,"missing: not provided"))),AND(IF(metadata!F557="",FALSE,TRUE),OR(EXACT(metadata!F557,"TRUE"),EXACT(metadata!F557,"FALSE"))))</f>
        <v>0</v>
      </c>
      <c r="AR557" t="b">
        <f>OR(AND(IF(metadata!G557="",FALSE,TRUE),OR(EXACT(metadata!G557,"missing: not collected"),EXACT(metadata!G557,"missing: not provided"),EXACT(metadata!G557,"missing: restricted access"))),AND(IF(metadata!G557="",FALSE,ISNUMBER(VALUE(metadata!G557))),metadata!G557&gt;=-413))</f>
        <v>0</v>
      </c>
      <c r="AS557" t="b">
        <f>AND(IF(metadata!H557="",FALSE,TRUE),EXACT(metadata!H557,"meters"))</f>
        <v>0</v>
      </c>
      <c r="AT557" t="b">
        <f>AND(IF(metadata!I557="",FALSE,TRUE),OR(EXACT(metadata!I557,"Host-associated"),EXACT(metadata!I557,"Free-living")))</f>
        <v>0</v>
      </c>
      <c r="AU557" t="b">
        <f>AND(IF(metadata!J557="",FALSE,TRUE),OR(EXACT(metadata!J557,"Animal"),EXACT(metadata!J557,"Fungus"),EXACT(metadata!J557,"Plant"),EXACT(metadata!J557,"Saline"),EXACT(metadata!J557,"Non-saline")))</f>
        <v>0</v>
      </c>
      <c r="AV557" t="b">
        <f>AND(IF(metadata!K557="",FALSE,TRUE),OR(EXACT(metadata!K557,"Plant secretion"),EXACT(metadata!K557,"Plant rhizosphere"),EXACT(metadata!K557,"Plant surface"),EXACT(metadata!K557,"Plant corpus"),EXACT(metadata!K557,"Fungus surface"),EXACT(metadata!K557,"Fungus corpus"),EXACT(metadata!K557,"Animal surface"),EXACT(metadata!K557,"Animal proximal gut"),EXACT(metadata!K557,"Animal corpus"),EXACT(metadata!K557,"Animal distal gut"),EXACT(metadata!K557,"Animal secretion"),EXACT(metadata!K557,"Sub-surface (non-saline)"),EXACT(metadata!K557,"Surface (non-saline)"),EXACT(metadata!K557,"Water (non-saline)"),EXACT(metadata!K557,"Soil (non-saline)"),EXACT(metadata!K557,"Aerosol (non-saline)"),EXACT(metadata!K557,"Sediment (non-saline)"),EXACT(metadata!K557,"Surface (saline)"),EXACT(metadata!K557,"Water (saline)"),EXACT(metadata!K557,"Hypersaline (saline)"),EXACT(metadata!K557,"Aerosol (saline)"),EXACT(metadata!K557,"Sediment (saline)")))</f>
        <v>0</v>
      </c>
      <c r="AW557" t="b">
        <f>IF(metadata!L557="",FALSE,TRUE)</f>
        <v>0</v>
      </c>
      <c r="AX557" t="b">
        <f>IF(metadata!M557="",FALSE,TRUE)</f>
        <v>0</v>
      </c>
      <c r="AY557" t="b">
        <f>IF(metadata!N557="",FALSE,TRUE)</f>
        <v>0</v>
      </c>
      <c r="AZ557" t="b">
        <f>OR(AND(IF(metadata!O557="",FALSE,TRUE),OR(EXACT(metadata!O557,"missing: not collected"),EXACT(metadata!O557,"missing: not provided"),EXACT(metadata!O557,"missing: restricted access"))),AND(IF(metadata!O557="",FALSE,TRUE),OR(EXACT(metadata!O557,"air"),EXACT(metadata!O557,"built environment"),EXACT(metadata!O557,"host-associated"),EXACT(metadata!O557,"human-associated"),EXACT(metadata!O557,"human-skin"),EXACT(metadata!O557,"human-oral"),EXACT(metadata!O557,"human-gut"),EXACT(metadata!O557,"human-vaginal"),EXACT(metadata!O557,"microbial mat/biofilm"),EXACT(metadata!O557,"misc environment"),EXACT(metadata!O557,"plant-associated"),EXACT(metadata!O557,"sediment"),EXACT(metadata!O557,"soil"),EXACT(metadata!O557,"wastewater/sludge"),EXACT(metadata!O557,"water"))))</f>
        <v>0</v>
      </c>
      <c r="BA557" t="b">
        <f>IF(metadata!P557="",FALSE,TRUE)</f>
        <v>0</v>
      </c>
      <c r="BB557" t="b">
        <f>IF(metadata!Q557="",FALSE,TRUE)</f>
        <v>0</v>
      </c>
      <c r="BC557" t="b">
        <f>OR(AND(IF(metadata!R557="",FALSE,TRUE),OR(EXACT(metadata!R557,"missing: not collected"),EXACT(metadata!R557,"missing: not provided"),EXACT(metadata!R557,"missing: restricted access"))),AND(IF(metadata!R557="",FALSE,ISNUMBER(VALUE(metadata!R557))),metadata!R557&gt;=-90,metadata!R557&lt;=90))</f>
        <v>0</v>
      </c>
      <c r="BD557" t="b">
        <f>AND(IF(metadata!S557="",FALSE,TRUE),EXACT(metadata!S557,"Decimal degrees"))</f>
        <v>0</v>
      </c>
      <c r="BE557" t="b">
        <f>OR(AND(IF(metadata!T557="",FALSE,TRUE),OR(EXACT(metadata!T557,"missing: not collected"),EXACT(metadata!T557,"missing: not provided"),EXACT(metadata!T557,"missing: restricted access"))),AND(IF(metadata!T557="",FALSE,ISNUMBER(VALUE(metadata!T557))),metadata!T557&gt;=-180,metadata!T557&lt;=180))</f>
        <v>0</v>
      </c>
      <c r="BF557" t="b">
        <f>AND(IF(metadata!U557="",FALSE,TRUE),EXACT(metadata!U557,"Decimal degrees"))</f>
        <v>0</v>
      </c>
      <c r="BG557" t="b">
        <f>IF(metadata!V557="",FALSE,TRUE)</f>
        <v>0</v>
      </c>
      <c r="BH557" t="b">
        <f>OR(AND(IF(metadata!W557="",FALSE,TRUE),OR(EXACT(metadata!W557,"missing: not collected"),EXACT(metadata!W557,"missing: not provided"),EXACT(metadata!W557,"missing: restricted access"))),AND(IF(metadata!W557="",FALSE,TRUE),OR(EXACT(metadata!W557,"TRUE"),EXACT(metadata!W557,"FALSE"))))</f>
        <v>0</v>
      </c>
      <c r="BI557" t="b">
        <f>AND(IF(metadata!X557="",FALSE,TRUE),EXACT(metadata!X557,"other"))</f>
        <v>0</v>
      </c>
      <c r="BJ557" t="b">
        <f>IF(metadata!Y557="",FALSE,TRUE)</f>
        <v>0</v>
      </c>
      <c r="BK557" t="b">
        <f>OR(AND(IF(metadata!Z557="",FALSE,TRUE),OR(EXACT(metadata!Z557,"missing: not collected"),EXACT(metadata!Z557,"missing: not provided"))),AND(IF(metadata!Z557="",FALSE,IF(ISERROR(INT(metadata!Z557)),FALSE,INT(metadata!Z557)=metadata!Z557)),metadata!Z557&gt;0))</f>
        <v>0</v>
      </c>
      <c r="BL557" t="b">
        <f>AND(IF(metadata!AA557="",FALSE,TRUE),EXACT(metadata!AA557,"Not applicable"))</f>
        <v>0</v>
      </c>
      <c r="BM557" t="b">
        <f>IF(metadata!AB557="",FALSE,TRUE)</f>
        <v>0</v>
      </c>
    </row>
    <row r="558" spans="1:65" x14ac:dyDescent="0.2">
      <c r="A558" s="5" t="str">
        <f ca="1">IF(B558=" "," ",HYPERLINK(CONCATENATE("#metadata!",ADDRESS(INDEX($AH$2:$AH$1001,MATCH(ROWS($AF$2:AF558),$AF$2:$AF$1001,0),0),1)),INDEX($AK$2:$AK$1001,MATCH(ROWS($AF$2:AF558),$AF$2:$AF$1001,0),0)))</f>
        <v xml:space="preserve"> </v>
      </c>
      <c r="B558" s="4" t="str">
        <f ca="1">IF(OR(INDEX($AG$2:$AG$1001,MATCH(ROWS($AF$2:AF558),$AF$2:$AF$1001,0),1)&gt;=100000,INDEX($AM$1005:$BM$1005,1,MATCH(COLUMNS($AM$1006:AM1006),$AM$1006:$BM$1006,0))&gt;=100000), " ",IF(INDEX($AM$2:$BM$1001,MATCH(ROWS($AF$2:AF558),$AF$2:$AF$1001,0),MATCH(COLUMNS($AM$1006:AM1006),$AM$1006:$BM$1006,0)), HYPERLINK("#",""), HYPERLINK(CONCATENATE("#metadata!", ADDRESS(INDEX($AH$2:$AH$1001,MATCH(ROWS($AF$2:AF558),$AF$2:$AF$1001,0),0), INDEX($AM$1004:$BM$1004,1,MATCH(COLUMNS($AM$1006:AM1006),$AM$1006:$BM$1006,0)))),"Fix")))</f>
        <v xml:space="preserve"> </v>
      </c>
      <c r="C558" s="4" t="str">
        <f ca="1">IF(OR(INDEX($AG$2:$AG$1001,MATCH(ROWS($AF$2:AF558),$AF$2:$AF$1001,0),1)&gt;=100000,INDEX($AM$1005:$BM$1005,1,MATCH(COLUMNS($AM$1006:AN1006),$AM$1006:$BM$1006,0))&gt;=100000), " ",IF(INDEX($AM$2:$BM$1001,MATCH(ROWS($AF$2:AF558),$AF$2:$AF$1001,0),MATCH(COLUMNS($AM$1006:AN1006),$AM$1006:$BM$1006,0)), HYPERLINK("#",""), HYPERLINK(CONCATENATE("#metadata!", ADDRESS(INDEX($AH$2:$AH$1001,MATCH(ROWS($AF$2:AF558),$AF$2:$AF$1001,0),0), INDEX($AM$1004:$BM$1004,1,MATCH(COLUMNS($AM$1006:AN1006),$AM$1006:$BM$1006,0)))),"Fix")))</f>
        <v xml:space="preserve"> </v>
      </c>
      <c r="D558" s="4" t="str">
        <f ca="1">IF(OR(INDEX($AG$2:$AG$1001,MATCH(ROWS($AF$2:AF558),$AF$2:$AF$1001,0),1)&gt;=100000,INDEX($AM$1005:$BM$1005,1,MATCH(COLUMNS($AM$1006:AO1006),$AM$1006:$BM$1006,0))&gt;=100000), " ",IF(INDEX($AM$2:$BM$1001,MATCH(ROWS($AF$2:AF558),$AF$2:$AF$1001,0),MATCH(COLUMNS($AM$1006:AO1006),$AM$1006:$BM$1006,0)), HYPERLINK("#",""), HYPERLINK(CONCATENATE("#metadata!", ADDRESS(INDEX($AH$2:$AH$1001,MATCH(ROWS($AF$2:AF558),$AF$2:$AF$1001,0),0), INDEX($AM$1004:$BM$1004,1,MATCH(COLUMNS($AM$1006:AO1006),$AM$1006:$BM$1006,0)))),"Fix")))</f>
        <v xml:space="preserve"> </v>
      </c>
      <c r="E558" s="4" t="str">
        <f ca="1">IF(OR(INDEX($AG$2:$AG$1001,MATCH(ROWS($AF$2:AF558),$AF$2:$AF$1001,0),1)&gt;=100000,INDEX($AM$1005:$BM$1005,1,MATCH(COLUMNS($AM$1006:AP1006),$AM$1006:$BM$1006,0))&gt;=100000), " ",IF(INDEX($AM$2:$BM$1001,MATCH(ROWS($AF$2:AF558),$AF$2:$AF$1001,0),MATCH(COLUMNS($AM$1006:AP1006),$AM$1006:$BM$1006,0)), HYPERLINK("#",""), HYPERLINK(CONCATENATE("#metadata!", ADDRESS(INDEX($AH$2:$AH$1001,MATCH(ROWS($AF$2:AF558),$AF$2:$AF$1001,0),0), INDEX($AM$1004:$BM$1004,1,MATCH(COLUMNS($AM$1006:AP1006),$AM$1006:$BM$1006,0)))),"Fix")))</f>
        <v xml:space="preserve"> </v>
      </c>
      <c r="F558" s="4" t="str">
        <f ca="1">IF(OR(INDEX($AG$2:$AG$1001,MATCH(ROWS($AF$2:AF558),$AF$2:$AF$1001,0),1)&gt;=100000,INDEX($AM$1005:$BM$1005,1,MATCH(COLUMNS($AM$1006:AQ1006),$AM$1006:$BM$1006,0))&gt;=100000), " ",IF(INDEX($AM$2:$BM$1001,MATCH(ROWS($AF$2:AF558),$AF$2:$AF$1001,0),MATCH(COLUMNS($AM$1006:AQ1006),$AM$1006:$BM$1006,0)), HYPERLINK("#",""), HYPERLINK(CONCATENATE("#metadata!", ADDRESS(INDEX($AH$2:$AH$1001,MATCH(ROWS($AF$2:AF558),$AF$2:$AF$1001,0),0), INDEX($AM$1004:$BM$1004,1,MATCH(COLUMNS($AM$1006:AQ1006),$AM$1006:$BM$1006,0)))),"Fix")))</f>
        <v xml:space="preserve"> </v>
      </c>
      <c r="G558" s="4" t="str">
        <f ca="1">IF(OR(INDEX($AG$2:$AG$1001,MATCH(ROWS($AF$2:AF558),$AF$2:$AF$1001,0),1)&gt;=100000,INDEX($AM$1005:$BM$1005,1,MATCH(COLUMNS($AM$1006:AR1006),$AM$1006:$BM$1006,0))&gt;=100000), " ",IF(INDEX($AM$2:$BM$1001,MATCH(ROWS($AF$2:AF558),$AF$2:$AF$1001,0),MATCH(COLUMNS($AM$1006:AR1006),$AM$1006:$BM$1006,0)), HYPERLINK("#",""), HYPERLINK(CONCATENATE("#metadata!", ADDRESS(INDEX($AH$2:$AH$1001,MATCH(ROWS($AF$2:AF558),$AF$2:$AF$1001,0),0), INDEX($AM$1004:$BM$1004,1,MATCH(COLUMNS($AM$1006:AR1006),$AM$1006:$BM$1006,0)))),"Fix")))</f>
        <v xml:space="preserve"> </v>
      </c>
      <c r="H558" s="4" t="str">
        <f ca="1">IF(OR(INDEX($AG$2:$AG$1001,MATCH(ROWS($AF$2:AF558),$AF$2:$AF$1001,0),1)&gt;=100000,INDEX($AM$1005:$BM$1005,1,MATCH(COLUMNS($AM$1006:AS1006),$AM$1006:$BM$1006,0))&gt;=100000), " ",IF(INDEX($AM$2:$BM$1001,MATCH(ROWS($AF$2:AF558),$AF$2:$AF$1001,0),MATCH(COLUMNS($AM$1006:AS1006),$AM$1006:$BM$1006,0)), HYPERLINK("#",""), HYPERLINK(CONCATENATE("#metadata!", ADDRESS(INDEX($AH$2:$AH$1001,MATCH(ROWS($AF$2:AF558),$AF$2:$AF$1001,0),0), INDEX($AM$1004:$BM$1004,1,MATCH(COLUMNS($AM$1006:AS1006),$AM$1006:$BM$1006,0)))),"Fix")))</f>
        <v xml:space="preserve"> </v>
      </c>
      <c r="I558" s="4" t="str">
        <f ca="1">IF(OR(INDEX($AG$2:$AG$1001,MATCH(ROWS($AF$2:AF558),$AF$2:$AF$1001,0),1)&gt;=100000,INDEX($AM$1005:$BM$1005,1,MATCH(COLUMNS($AM$1006:AT1006),$AM$1006:$BM$1006,0))&gt;=100000), " ",IF(INDEX($AM$2:$BM$1001,MATCH(ROWS($AF$2:AF558),$AF$2:$AF$1001,0),MATCH(COLUMNS($AM$1006:AT1006),$AM$1006:$BM$1006,0)), HYPERLINK("#",""), HYPERLINK(CONCATENATE("#metadata!", ADDRESS(INDEX($AH$2:$AH$1001,MATCH(ROWS($AF$2:AF558),$AF$2:$AF$1001,0),0), INDEX($AM$1004:$BM$1004,1,MATCH(COLUMNS($AM$1006:AT1006),$AM$1006:$BM$1006,0)))),"Fix")))</f>
        <v xml:space="preserve"> </v>
      </c>
      <c r="J558" s="4" t="str">
        <f ca="1">IF(OR(INDEX($AG$2:$AG$1001,MATCH(ROWS($AF$2:AF558),$AF$2:$AF$1001,0),1)&gt;=100000,INDEX($AM$1005:$BM$1005,1,MATCH(COLUMNS($AM$1006:AU1006),$AM$1006:$BM$1006,0))&gt;=100000), " ",IF(INDEX($AM$2:$BM$1001,MATCH(ROWS($AF$2:AF558),$AF$2:$AF$1001,0),MATCH(COLUMNS($AM$1006:AU1006),$AM$1006:$BM$1006,0)), HYPERLINK("#",""), HYPERLINK(CONCATENATE("#metadata!", ADDRESS(INDEX($AH$2:$AH$1001,MATCH(ROWS($AF$2:AF558),$AF$2:$AF$1001,0),0), INDEX($AM$1004:$BM$1004,1,MATCH(COLUMNS($AM$1006:AU1006),$AM$1006:$BM$1006,0)))),"Fix")))</f>
        <v xml:space="preserve"> </v>
      </c>
      <c r="K558" s="4" t="str">
        <f ca="1">IF(OR(INDEX($AG$2:$AG$1001,MATCH(ROWS($AF$2:AF558),$AF$2:$AF$1001,0),1)&gt;=100000,INDEX($AM$1005:$BM$1005,1,MATCH(COLUMNS($AM$1006:AV1006),$AM$1006:$BM$1006,0))&gt;=100000), " ",IF(INDEX($AM$2:$BM$1001,MATCH(ROWS($AF$2:AF558),$AF$2:$AF$1001,0),MATCH(COLUMNS($AM$1006:AV1006),$AM$1006:$BM$1006,0)), HYPERLINK("#",""), HYPERLINK(CONCATENATE("#metadata!", ADDRESS(INDEX($AH$2:$AH$1001,MATCH(ROWS($AF$2:AF558),$AF$2:$AF$1001,0),0), INDEX($AM$1004:$BM$1004,1,MATCH(COLUMNS($AM$1006:AV1006),$AM$1006:$BM$1006,0)))),"Fix")))</f>
        <v xml:space="preserve"> </v>
      </c>
      <c r="L558" s="4" t="str">
        <f ca="1">IF(OR(INDEX($AG$2:$AG$1001,MATCH(ROWS($AF$2:AF558),$AF$2:$AF$1001,0),1)&gt;=100000,INDEX($AM$1005:$BM$1005,1,MATCH(COLUMNS($AM$1006:AW1006),$AM$1006:$BM$1006,0))&gt;=100000), " ",IF(INDEX($AM$2:$BM$1001,MATCH(ROWS($AF$2:AF558),$AF$2:$AF$1001,0),MATCH(COLUMNS($AM$1006:AW1006),$AM$1006:$BM$1006,0)), HYPERLINK("#",""), HYPERLINK(CONCATENATE("#metadata!", ADDRESS(INDEX($AH$2:$AH$1001,MATCH(ROWS($AF$2:AF558),$AF$2:$AF$1001,0),0), INDEX($AM$1004:$BM$1004,1,MATCH(COLUMNS($AM$1006:AW1006),$AM$1006:$BM$1006,0)))),"Fix")))</f>
        <v xml:space="preserve"> </v>
      </c>
      <c r="M558" s="4" t="str">
        <f ca="1">IF(OR(INDEX($AG$2:$AG$1001,MATCH(ROWS($AF$2:AF558),$AF$2:$AF$1001,0),1)&gt;=100000,INDEX($AM$1005:$BM$1005,1,MATCH(COLUMNS($AM$1006:AX1006),$AM$1006:$BM$1006,0))&gt;=100000), " ",IF(INDEX($AM$2:$BM$1001,MATCH(ROWS($AF$2:AF558),$AF$2:$AF$1001,0),MATCH(COLUMNS($AM$1006:AX1006),$AM$1006:$BM$1006,0)), HYPERLINK("#",""), HYPERLINK(CONCATENATE("#metadata!", ADDRESS(INDEX($AH$2:$AH$1001,MATCH(ROWS($AF$2:AF558),$AF$2:$AF$1001,0),0), INDEX($AM$1004:$BM$1004,1,MATCH(COLUMNS($AM$1006:AX1006),$AM$1006:$BM$1006,0)))),"Fix")))</f>
        <v xml:space="preserve"> </v>
      </c>
      <c r="N558" s="4" t="str">
        <f ca="1">IF(OR(INDEX($AG$2:$AG$1001,MATCH(ROWS($AF$2:AF558),$AF$2:$AF$1001,0),1)&gt;=100000,INDEX($AM$1005:$BM$1005,1,MATCH(COLUMNS($AM$1006:AY1006),$AM$1006:$BM$1006,0))&gt;=100000), " ",IF(INDEX($AM$2:$BM$1001,MATCH(ROWS($AF$2:AF558),$AF$2:$AF$1001,0),MATCH(COLUMNS($AM$1006:AY1006),$AM$1006:$BM$1006,0)), HYPERLINK("#",""), HYPERLINK(CONCATENATE("#metadata!", ADDRESS(INDEX($AH$2:$AH$1001,MATCH(ROWS($AF$2:AF558),$AF$2:$AF$1001,0),0), INDEX($AM$1004:$BM$1004,1,MATCH(COLUMNS($AM$1006:AY1006),$AM$1006:$BM$1006,0)))),"Fix")))</f>
        <v xml:space="preserve"> </v>
      </c>
      <c r="O558" s="4" t="str">
        <f ca="1">IF(OR(INDEX($AG$2:$AG$1001,MATCH(ROWS($AF$2:AF558),$AF$2:$AF$1001,0),1)&gt;=100000,INDEX($AM$1005:$BM$1005,1,MATCH(COLUMNS($AM$1006:AZ1006),$AM$1006:$BM$1006,0))&gt;=100000), " ",IF(INDEX($AM$2:$BM$1001,MATCH(ROWS($AF$2:AF558),$AF$2:$AF$1001,0),MATCH(COLUMNS($AM$1006:AZ1006),$AM$1006:$BM$1006,0)), HYPERLINK("#",""), HYPERLINK(CONCATENATE("#metadata!", ADDRESS(INDEX($AH$2:$AH$1001,MATCH(ROWS($AF$2:AF558),$AF$2:$AF$1001,0),0), INDEX($AM$1004:$BM$1004,1,MATCH(COLUMNS($AM$1006:AZ1006),$AM$1006:$BM$1006,0)))),"Fix")))</f>
        <v xml:space="preserve"> </v>
      </c>
      <c r="P558" s="4" t="str">
        <f ca="1">IF(OR(INDEX($AG$2:$AG$1001,MATCH(ROWS($AF$2:AF558),$AF$2:$AF$1001,0),1)&gt;=100000,INDEX($AM$1005:$BM$1005,1,MATCH(COLUMNS($AM$1006:BA1006),$AM$1006:$BM$1006,0))&gt;=100000), " ",IF(INDEX($AM$2:$BM$1001,MATCH(ROWS($AF$2:AF558),$AF$2:$AF$1001,0),MATCH(COLUMNS($AM$1006:BA1006),$AM$1006:$BM$1006,0)), HYPERLINK("#",""), HYPERLINK(CONCATENATE("#metadata!", ADDRESS(INDEX($AH$2:$AH$1001,MATCH(ROWS($AF$2:AF558),$AF$2:$AF$1001,0),0), INDEX($AM$1004:$BM$1004,1,MATCH(COLUMNS($AM$1006:BA1006),$AM$1006:$BM$1006,0)))),"Fix")))</f>
        <v xml:space="preserve"> </v>
      </c>
      <c r="Q558" s="4" t="str">
        <f ca="1">IF(OR(INDEX($AG$2:$AG$1001,MATCH(ROWS($AF$2:AF558),$AF$2:$AF$1001,0),1)&gt;=100000,INDEX($AM$1005:$BM$1005,1,MATCH(COLUMNS($AM$1006:BB1006),$AM$1006:$BM$1006,0))&gt;=100000), " ",IF(INDEX($AM$2:$BM$1001,MATCH(ROWS($AF$2:AF558),$AF$2:$AF$1001,0),MATCH(COLUMNS($AM$1006:BB1006),$AM$1006:$BM$1006,0)), HYPERLINK("#",""), HYPERLINK(CONCATENATE("#metadata!", ADDRESS(INDEX($AH$2:$AH$1001,MATCH(ROWS($AF$2:AF558),$AF$2:$AF$1001,0),0), INDEX($AM$1004:$BM$1004,1,MATCH(COLUMNS($AM$1006:BB1006),$AM$1006:$BM$1006,0)))),"Fix")))</f>
        <v xml:space="preserve"> </v>
      </c>
      <c r="R558" s="4" t="str">
        <f ca="1">IF(OR(INDEX($AG$2:$AG$1001,MATCH(ROWS($AF$2:AF558),$AF$2:$AF$1001,0),1)&gt;=100000,INDEX($AM$1005:$BM$1005,1,MATCH(COLUMNS($AM$1006:BC1006),$AM$1006:$BM$1006,0))&gt;=100000), " ",IF(INDEX($AM$2:$BM$1001,MATCH(ROWS($AF$2:AF558),$AF$2:$AF$1001,0),MATCH(COLUMNS($AM$1006:BC1006),$AM$1006:$BM$1006,0)), HYPERLINK("#",""), HYPERLINK(CONCATENATE("#metadata!", ADDRESS(INDEX($AH$2:$AH$1001,MATCH(ROWS($AF$2:AF558),$AF$2:$AF$1001,0),0), INDEX($AM$1004:$BM$1004,1,MATCH(COLUMNS($AM$1006:BC1006),$AM$1006:$BM$1006,0)))),"Fix")))</f>
        <v xml:space="preserve"> </v>
      </c>
      <c r="S558" s="4" t="str">
        <f ca="1">IF(OR(INDEX($AG$2:$AG$1001,MATCH(ROWS($AF$2:AF558),$AF$2:$AF$1001,0),1)&gt;=100000,INDEX($AM$1005:$BM$1005,1,MATCH(COLUMNS($AM$1006:BD1006),$AM$1006:$BM$1006,0))&gt;=100000), " ",IF(INDEX($AM$2:$BM$1001,MATCH(ROWS($AF$2:AF558),$AF$2:$AF$1001,0),MATCH(COLUMNS($AM$1006:BD1006),$AM$1006:$BM$1006,0)), HYPERLINK("#",""), HYPERLINK(CONCATENATE("#metadata!", ADDRESS(INDEX($AH$2:$AH$1001,MATCH(ROWS($AF$2:AF558),$AF$2:$AF$1001,0),0), INDEX($AM$1004:$BM$1004,1,MATCH(COLUMNS($AM$1006:BD1006),$AM$1006:$BM$1006,0)))),"Fix")))</f>
        <v xml:space="preserve"> </v>
      </c>
      <c r="T558" s="4" t="str">
        <f ca="1">IF(OR(INDEX($AG$2:$AG$1001,MATCH(ROWS($AF$2:AF558),$AF$2:$AF$1001,0),1)&gt;=100000,INDEX($AM$1005:$BM$1005,1,MATCH(COLUMNS($AM$1006:BE1006),$AM$1006:$BM$1006,0))&gt;=100000), " ",IF(INDEX($AM$2:$BM$1001,MATCH(ROWS($AF$2:AF558),$AF$2:$AF$1001,0),MATCH(COLUMNS($AM$1006:BE1006),$AM$1006:$BM$1006,0)), HYPERLINK("#",""), HYPERLINK(CONCATENATE("#metadata!", ADDRESS(INDEX($AH$2:$AH$1001,MATCH(ROWS($AF$2:AF558),$AF$2:$AF$1001,0),0), INDEX($AM$1004:$BM$1004,1,MATCH(COLUMNS($AM$1006:BE1006),$AM$1006:$BM$1006,0)))),"Fix")))</f>
        <v xml:space="preserve"> </v>
      </c>
      <c r="U558" s="4" t="str">
        <f ca="1">IF(OR(INDEX($AG$2:$AG$1001,MATCH(ROWS($AF$2:AF558),$AF$2:$AF$1001,0),1)&gt;=100000,INDEX($AM$1005:$BM$1005,1,MATCH(COLUMNS($AM$1006:BF1006),$AM$1006:$BM$1006,0))&gt;=100000), " ",IF(INDEX($AM$2:$BM$1001,MATCH(ROWS($AF$2:AF558),$AF$2:$AF$1001,0),MATCH(COLUMNS($AM$1006:BF1006),$AM$1006:$BM$1006,0)), HYPERLINK("#",""), HYPERLINK(CONCATENATE("#metadata!", ADDRESS(INDEX($AH$2:$AH$1001,MATCH(ROWS($AF$2:AF558),$AF$2:$AF$1001,0),0), INDEX($AM$1004:$BM$1004,1,MATCH(COLUMNS($AM$1006:BF1006),$AM$1006:$BM$1006,0)))),"Fix")))</f>
        <v xml:space="preserve"> </v>
      </c>
      <c r="V558" s="4" t="str">
        <f ca="1">IF(OR(INDEX($AG$2:$AG$1001,MATCH(ROWS($AF$2:AF558),$AF$2:$AF$1001,0),1)&gt;=100000,INDEX($AM$1005:$BM$1005,1,MATCH(COLUMNS($AM$1006:BG1006),$AM$1006:$BM$1006,0))&gt;=100000), " ",IF(INDEX($AM$2:$BM$1001,MATCH(ROWS($AF$2:AF558),$AF$2:$AF$1001,0),MATCH(COLUMNS($AM$1006:BG1006),$AM$1006:$BM$1006,0)), HYPERLINK("#",""), HYPERLINK(CONCATENATE("#metadata!", ADDRESS(INDEX($AH$2:$AH$1001,MATCH(ROWS($AF$2:AF558),$AF$2:$AF$1001,0),0), INDEX($AM$1004:$BM$1004,1,MATCH(COLUMNS($AM$1006:BG1006),$AM$1006:$BM$1006,0)))),"Fix")))</f>
        <v xml:space="preserve"> </v>
      </c>
      <c r="W558" s="4" t="str">
        <f ca="1">IF(OR(INDEX($AG$2:$AG$1001,MATCH(ROWS($AF$2:AF558),$AF$2:$AF$1001,0),1)&gt;=100000,INDEX($AM$1005:$BM$1005,1,MATCH(COLUMNS($AM$1006:BH1006),$AM$1006:$BM$1006,0))&gt;=100000), " ",IF(INDEX($AM$2:$BM$1001,MATCH(ROWS($AF$2:AF558),$AF$2:$AF$1001,0),MATCH(COLUMNS($AM$1006:BH1006),$AM$1006:$BM$1006,0)), HYPERLINK("#",""), HYPERLINK(CONCATENATE("#metadata!", ADDRESS(INDEX($AH$2:$AH$1001,MATCH(ROWS($AF$2:AF558),$AF$2:$AF$1001,0),0), INDEX($AM$1004:$BM$1004,1,MATCH(COLUMNS($AM$1006:BH1006),$AM$1006:$BM$1006,0)))),"Fix")))</f>
        <v xml:space="preserve"> </v>
      </c>
      <c r="X558" s="4" t="str">
        <f ca="1">IF(OR(INDEX($AG$2:$AG$1001,MATCH(ROWS($AF$2:AF558),$AF$2:$AF$1001,0),1)&gt;=100000,INDEX($AM$1005:$BM$1005,1,MATCH(COLUMNS($AM$1006:BI1006),$AM$1006:$BM$1006,0))&gt;=100000), " ",IF(INDEX($AM$2:$BM$1001,MATCH(ROWS($AF$2:AF558),$AF$2:$AF$1001,0),MATCH(COLUMNS($AM$1006:BI1006),$AM$1006:$BM$1006,0)), HYPERLINK("#",""), HYPERLINK(CONCATENATE("#metadata!", ADDRESS(INDEX($AH$2:$AH$1001,MATCH(ROWS($AF$2:AF558),$AF$2:$AF$1001,0),0), INDEX($AM$1004:$BM$1004,1,MATCH(COLUMNS($AM$1006:BI1006),$AM$1006:$BM$1006,0)))),"Fix")))</f>
        <v xml:space="preserve"> </v>
      </c>
      <c r="Y558" s="4" t="str">
        <f ca="1">IF(OR(INDEX($AG$2:$AG$1001,MATCH(ROWS($AF$2:AF558),$AF$2:$AF$1001,0),1)&gt;=100000,INDEX($AM$1005:$BM$1005,1,MATCH(COLUMNS($AM$1006:BJ1006),$AM$1006:$BM$1006,0))&gt;=100000), " ",IF(INDEX($AM$2:$BM$1001,MATCH(ROWS($AF$2:AF558),$AF$2:$AF$1001,0),MATCH(COLUMNS($AM$1006:BJ1006),$AM$1006:$BM$1006,0)), HYPERLINK("#",""), HYPERLINK(CONCATENATE("#metadata!", ADDRESS(INDEX($AH$2:$AH$1001,MATCH(ROWS($AF$2:AF558),$AF$2:$AF$1001,0),0), INDEX($AM$1004:$BM$1004,1,MATCH(COLUMNS($AM$1006:BJ1006),$AM$1006:$BM$1006,0)))),"Fix")))</f>
        <v xml:space="preserve"> </v>
      </c>
      <c r="Z558" s="4" t="str">
        <f ca="1">IF(OR(INDEX($AG$2:$AG$1001,MATCH(ROWS($AF$2:AF558),$AF$2:$AF$1001,0),1)&gt;=100000,INDEX($AM$1005:$BM$1005,1,MATCH(COLUMNS($AM$1006:BK1006),$AM$1006:$BM$1006,0))&gt;=100000), " ",IF(INDEX($AM$2:$BM$1001,MATCH(ROWS($AF$2:AF558),$AF$2:$AF$1001,0),MATCH(COLUMNS($AM$1006:BK1006),$AM$1006:$BM$1006,0)), HYPERLINK("#",""), HYPERLINK(CONCATENATE("#metadata!", ADDRESS(INDEX($AH$2:$AH$1001,MATCH(ROWS($AF$2:AF558),$AF$2:$AF$1001,0),0), INDEX($AM$1004:$BM$1004,1,MATCH(COLUMNS($AM$1006:BK1006),$AM$1006:$BM$1006,0)))),"Fix")))</f>
        <v xml:space="preserve"> </v>
      </c>
      <c r="AA558" s="4" t="str">
        <f ca="1">IF(OR(INDEX($AG$2:$AG$1001,MATCH(ROWS($AF$2:AF558),$AF$2:$AF$1001,0),1)&gt;=100000,INDEX($AM$1005:$BM$1005,1,MATCH(COLUMNS($AM$1006:BL1006),$AM$1006:$BM$1006,0))&gt;=100000), " ",IF(INDEX($AM$2:$BM$1001,MATCH(ROWS($AF$2:AF558),$AF$2:$AF$1001,0),MATCH(COLUMNS($AM$1006:BL1006),$AM$1006:$BM$1006,0)), HYPERLINK("#",""), HYPERLINK(CONCATENATE("#metadata!", ADDRESS(INDEX($AH$2:$AH$1001,MATCH(ROWS($AF$2:AF558),$AF$2:$AF$1001,0),0), INDEX($AM$1004:$BM$1004,1,MATCH(COLUMNS($AM$1006:BL1006),$AM$1006:$BM$1006,0)))),"Fix")))</f>
        <v xml:space="preserve"> </v>
      </c>
      <c r="AB558" s="4" t="str">
        <f ca="1">IF(OR(INDEX($AG$2:$AG$1001,MATCH(ROWS($AF$2:AF558),$AF$2:$AF$1001,0),1)&gt;=100000,INDEX($AM$1005:$BM$1005,1,MATCH(COLUMNS($AM$1006:BM1006),$AM$1006:$BM$1006,0))&gt;=100000), " ",IF(INDEX($AM$2:$BM$1001,MATCH(ROWS($AF$2:AF558),$AF$2:$AF$1001,0),MATCH(COLUMNS($AM$1006:BM1006),$AM$1006:$BM$1006,0)), HYPERLINK("#",""), HYPERLINK(CONCATENATE("#metadata!", ADDRESS(INDEX($AH$2:$AH$1001,MATCH(ROWS($AF$2:AF558),$AF$2:$AF$1001,0),0), INDEX($AM$1004:$BM$1004,1,MATCH(COLUMNS($AM$1006:BM1006),$AM$1006:$BM$1006,0)))),"Fix")))</f>
        <v xml:space="preserve"> </v>
      </c>
      <c r="AF558">
        <v>557</v>
      </c>
      <c r="AG558">
        <v>100558</v>
      </c>
      <c r="AH558">
        <v>558</v>
      </c>
      <c r="AI558" t="b">
        <f t="shared" si="8"/>
        <v>1</v>
      </c>
      <c r="AJ558" t="b">
        <f>COUNTBLANK(metadata!B558:AB558)=COLUMNS(metadata!B558:AB558)</f>
        <v>1</v>
      </c>
      <c r="AK558" t="str">
        <v/>
      </c>
      <c r="AM558" t="b">
        <f ca="1">AND(IF(metadata!B558="",FALSE,TRUE),COUNTIF(metadata!B:B, metadata!B558) = 1,NOT(ISERROR(SUMPRODUCT(SEARCH(MID(metadata!B558,ROW(INDIRECT("1:"&amp;LEN(metadata!B558))), 1),"0123456789abcdefghijklmnopqrstuvwxyzABCDEFGHIJKLMNOPQRSTUVWXYZ.")))))</f>
        <v>0</v>
      </c>
      <c r="AN558" t="b">
        <f ca="1">OR(AND(IF(metadata!C558="",FALSE,TRUE),OR(EXACT(metadata!C558,"missing: not collected"),EXACT(metadata!C558,"missing: not provided"),EXACT(metadata!C558,"missing: restricted access"))),AND(IF(metadata!C558="",FALSE,TRUE),AND(AND(IFERROR(INT(LEFT(metadata!C558,4))&gt;1900,FALSE),IFERROR(INT(LEFT(metadata!C558,4))&lt;=YEAR(NOW()),FALSE)), OR(MID(metadata!C558,5,1)="", AND(AND(MID(metadata!C558,5,1)="-",IFERROR(INT(MID(metadata!C558,6,1))&gt;=0,FALSE),IFERROR(INT(MID(metadata!C558,6,1))&lt;=1,FALSE),NOT(MID(metadata!C558,7,1)=""),IFERROR(INT(MID(metadata!C558,6,2))&gt;=1,FALSE),IFERROR(INT(MID(metadata!C558,6,2))&lt;=12,FALSE)), OR(MID(metadata!C558,8,1)="", AND(AND(MID(metadata!C558,8,1)="-",IFERROR(INT(MID(metadata!C558,9,1))&gt;=0,FALSE),IFERROR(INT(MID(metadata!C558,9,1))&lt;=3,FALSE),NOT(MID(metadata!C558,10,1)=""),IFERROR(INT(MID(metadata!C558,9,2))&gt;=1,FALSE),IFERROR(INT(MID(metadata!C558,9,2))&lt;=31,FALSE)), OR(MID(metadata!C558,11,1)="", AND(AND(MID(metadata!C558,11,1)=" ",IFERROR(INT(MID(metadata!C558,12,1))&gt;=0,FALSE),IFERROR(INT(MID(metadata!C558,12,1))&lt;=2,FALSE),NOT(MID(metadata!C558,13,1)=""),IFERROR(INT(MID(metadata!C558,12,2))&gt;=0,FALSE),IFERROR(INT(MID(metadata!C558,12,2))&lt;=23,FALSE)), OR(MID(metadata!C558,14,1)="", AND(AND(MID(metadata!C558,14,1)=":",IFERROR(INT(MID(metadata!C558,15,1))&gt;=0,FALSE),IFERROR(INT(MID(metadata!C558,15,1))&lt;=5,FALSE),NOT(MID(metadata!C558,16,1)=""),IFERROR(INT(MID(metadata!C558,15,2))&gt;=0,FALSE),IFERROR(INT(MID(metadata!C558,15,2))&lt;=59,FALSE)), OR(MID(metadata!C558,17,1)="", AND(AND(MID(metadata!C558,17,1)=":",IFERROR(INT(MID(metadata!C558,18,1))&gt;=0,FALSE),IFERROR(INT(MID(metadata!C558,18,1))&lt;=5,FALSE),NOT(MID(metadata!C558,19,1)=""),IFERROR(INT(MID(metadata!C558,18,2))&gt;=0,FALSE),IFERROR(INT(MID(metadata!C558,18,2))&lt;=59,FALSE)), LEN(metadata!C558)&lt;=19)))))))))))))</f>
        <v>0</v>
      </c>
      <c r="AO558" t="b">
        <f>AND(IF(metadata!D558="",FALSE,TRUE),EXACT(metadata!D558,"Not applicable"))</f>
        <v>0</v>
      </c>
      <c r="AP558" t="b">
        <f>IF(metadata!E558="",FALSE,TRUE)</f>
        <v>0</v>
      </c>
      <c r="AQ558" t="b">
        <f>OR(AND(IF(metadata!F558="",FALSE,TRUE),OR(EXACT(metadata!F558,"missing: not collected"),EXACT(metadata!F558,"missing: not provided"))),AND(IF(metadata!F558="",FALSE,TRUE),OR(EXACT(metadata!F558,"TRUE"),EXACT(metadata!F558,"FALSE"))))</f>
        <v>0</v>
      </c>
      <c r="AR558" t="b">
        <f>OR(AND(IF(metadata!G558="",FALSE,TRUE),OR(EXACT(metadata!G558,"missing: not collected"),EXACT(metadata!G558,"missing: not provided"),EXACT(metadata!G558,"missing: restricted access"))),AND(IF(metadata!G558="",FALSE,ISNUMBER(VALUE(metadata!G558))),metadata!G558&gt;=-413))</f>
        <v>0</v>
      </c>
      <c r="AS558" t="b">
        <f>AND(IF(metadata!H558="",FALSE,TRUE),EXACT(metadata!H558,"meters"))</f>
        <v>0</v>
      </c>
      <c r="AT558" t="b">
        <f>AND(IF(metadata!I558="",FALSE,TRUE),OR(EXACT(metadata!I558,"Host-associated"),EXACT(metadata!I558,"Free-living")))</f>
        <v>0</v>
      </c>
      <c r="AU558" t="b">
        <f>AND(IF(metadata!J558="",FALSE,TRUE),OR(EXACT(metadata!J558,"Animal"),EXACT(metadata!J558,"Fungus"),EXACT(metadata!J558,"Plant"),EXACT(metadata!J558,"Saline"),EXACT(metadata!J558,"Non-saline")))</f>
        <v>0</v>
      </c>
      <c r="AV558" t="b">
        <f>AND(IF(metadata!K558="",FALSE,TRUE),OR(EXACT(metadata!K558,"Plant secretion"),EXACT(metadata!K558,"Plant rhizosphere"),EXACT(metadata!K558,"Plant surface"),EXACT(metadata!K558,"Plant corpus"),EXACT(metadata!K558,"Fungus surface"),EXACT(metadata!K558,"Fungus corpus"),EXACT(metadata!K558,"Animal surface"),EXACT(metadata!K558,"Animal proximal gut"),EXACT(metadata!K558,"Animal corpus"),EXACT(metadata!K558,"Animal distal gut"),EXACT(metadata!K558,"Animal secretion"),EXACT(metadata!K558,"Sub-surface (non-saline)"),EXACT(metadata!K558,"Surface (non-saline)"),EXACT(metadata!K558,"Water (non-saline)"),EXACT(metadata!K558,"Soil (non-saline)"),EXACT(metadata!K558,"Aerosol (non-saline)"),EXACT(metadata!K558,"Sediment (non-saline)"),EXACT(metadata!K558,"Surface (saline)"),EXACT(metadata!K558,"Water (saline)"),EXACT(metadata!K558,"Hypersaline (saline)"),EXACT(metadata!K558,"Aerosol (saline)"),EXACT(metadata!K558,"Sediment (saline)")))</f>
        <v>0</v>
      </c>
      <c r="AW558" t="b">
        <f>IF(metadata!L558="",FALSE,TRUE)</f>
        <v>0</v>
      </c>
      <c r="AX558" t="b">
        <f>IF(metadata!M558="",FALSE,TRUE)</f>
        <v>0</v>
      </c>
      <c r="AY558" t="b">
        <f>IF(metadata!N558="",FALSE,TRUE)</f>
        <v>0</v>
      </c>
      <c r="AZ558" t="b">
        <f>OR(AND(IF(metadata!O558="",FALSE,TRUE),OR(EXACT(metadata!O558,"missing: not collected"),EXACT(metadata!O558,"missing: not provided"),EXACT(metadata!O558,"missing: restricted access"))),AND(IF(metadata!O558="",FALSE,TRUE),OR(EXACT(metadata!O558,"air"),EXACT(metadata!O558,"built environment"),EXACT(metadata!O558,"host-associated"),EXACT(metadata!O558,"human-associated"),EXACT(metadata!O558,"human-skin"),EXACT(metadata!O558,"human-oral"),EXACT(metadata!O558,"human-gut"),EXACT(metadata!O558,"human-vaginal"),EXACT(metadata!O558,"microbial mat/biofilm"),EXACT(metadata!O558,"misc environment"),EXACT(metadata!O558,"plant-associated"),EXACT(metadata!O558,"sediment"),EXACT(metadata!O558,"soil"),EXACT(metadata!O558,"wastewater/sludge"),EXACT(metadata!O558,"water"))))</f>
        <v>0</v>
      </c>
      <c r="BA558" t="b">
        <f>IF(metadata!P558="",FALSE,TRUE)</f>
        <v>0</v>
      </c>
      <c r="BB558" t="b">
        <f>IF(metadata!Q558="",FALSE,TRUE)</f>
        <v>0</v>
      </c>
      <c r="BC558" t="b">
        <f>OR(AND(IF(metadata!R558="",FALSE,TRUE),OR(EXACT(metadata!R558,"missing: not collected"),EXACT(metadata!R558,"missing: not provided"),EXACT(metadata!R558,"missing: restricted access"))),AND(IF(metadata!R558="",FALSE,ISNUMBER(VALUE(metadata!R558))),metadata!R558&gt;=-90,metadata!R558&lt;=90))</f>
        <v>0</v>
      </c>
      <c r="BD558" t="b">
        <f>AND(IF(metadata!S558="",FALSE,TRUE),EXACT(metadata!S558,"Decimal degrees"))</f>
        <v>0</v>
      </c>
      <c r="BE558" t="b">
        <f>OR(AND(IF(metadata!T558="",FALSE,TRUE),OR(EXACT(metadata!T558,"missing: not collected"),EXACT(metadata!T558,"missing: not provided"),EXACT(metadata!T558,"missing: restricted access"))),AND(IF(metadata!T558="",FALSE,ISNUMBER(VALUE(metadata!T558))),metadata!T558&gt;=-180,metadata!T558&lt;=180))</f>
        <v>0</v>
      </c>
      <c r="BF558" t="b">
        <f>AND(IF(metadata!U558="",FALSE,TRUE),EXACT(metadata!U558,"Decimal degrees"))</f>
        <v>0</v>
      </c>
      <c r="BG558" t="b">
        <f>IF(metadata!V558="",FALSE,TRUE)</f>
        <v>0</v>
      </c>
      <c r="BH558" t="b">
        <f>OR(AND(IF(metadata!W558="",FALSE,TRUE),OR(EXACT(metadata!W558,"missing: not collected"),EXACT(metadata!W558,"missing: not provided"),EXACT(metadata!W558,"missing: restricted access"))),AND(IF(metadata!W558="",FALSE,TRUE),OR(EXACT(metadata!W558,"TRUE"),EXACT(metadata!W558,"FALSE"))))</f>
        <v>0</v>
      </c>
      <c r="BI558" t="b">
        <f>AND(IF(metadata!X558="",FALSE,TRUE),EXACT(metadata!X558,"other"))</f>
        <v>0</v>
      </c>
      <c r="BJ558" t="b">
        <f>IF(metadata!Y558="",FALSE,TRUE)</f>
        <v>0</v>
      </c>
      <c r="BK558" t="b">
        <f>OR(AND(IF(metadata!Z558="",FALSE,TRUE),OR(EXACT(metadata!Z558,"missing: not collected"),EXACT(metadata!Z558,"missing: not provided"))),AND(IF(metadata!Z558="",FALSE,IF(ISERROR(INT(metadata!Z558)),FALSE,INT(metadata!Z558)=metadata!Z558)),metadata!Z558&gt;0))</f>
        <v>0</v>
      </c>
      <c r="BL558" t="b">
        <f>AND(IF(metadata!AA558="",FALSE,TRUE),EXACT(metadata!AA558,"Not applicable"))</f>
        <v>0</v>
      </c>
      <c r="BM558" t="b">
        <f>IF(metadata!AB558="",FALSE,TRUE)</f>
        <v>0</v>
      </c>
    </row>
    <row r="559" spans="1:65" x14ac:dyDescent="0.2">
      <c r="A559" s="5" t="str">
        <f ca="1">IF(B559=" "," ",HYPERLINK(CONCATENATE("#metadata!",ADDRESS(INDEX($AH$2:$AH$1001,MATCH(ROWS($AF$2:AF559),$AF$2:$AF$1001,0),0),1)),INDEX($AK$2:$AK$1001,MATCH(ROWS($AF$2:AF559),$AF$2:$AF$1001,0),0)))</f>
        <v xml:space="preserve"> </v>
      </c>
      <c r="B559" s="4" t="str">
        <f ca="1">IF(OR(INDEX($AG$2:$AG$1001,MATCH(ROWS($AF$2:AF559),$AF$2:$AF$1001,0),1)&gt;=100000,INDEX($AM$1005:$BM$1005,1,MATCH(COLUMNS($AM$1006:AM1006),$AM$1006:$BM$1006,0))&gt;=100000), " ",IF(INDEX($AM$2:$BM$1001,MATCH(ROWS($AF$2:AF559),$AF$2:$AF$1001,0),MATCH(COLUMNS($AM$1006:AM1006),$AM$1006:$BM$1006,0)), HYPERLINK("#",""), HYPERLINK(CONCATENATE("#metadata!", ADDRESS(INDEX($AH$2:$AH$1001,MATCH(ROWS($AF$2:AF559),$AF$2:$AF$1001,0),0), INDEX($AM$1004:$BM$1004,1,MATCH(COLUMNS($AM$1006:AM1006),$AM$1006:$BM$1006,0)))),"Fix")))</f>
        <v xml:space="preserve"> </v>
      </c>
      <c r="C559" s="4" t="str">
        <f ca="1">IF(OR(INDEX($AG$2:$AG$1001,MATCH(ROWS($AF$2:AF559),$AF$2:$AF$1001,0),1)&gt;=100000,INDEX($AM$1005:$BM$1005,1,MATCH(COLUMNS($AM$1006:AN1006),$AM$1006:$BM$1006,0))&gt;=100000), " ",IF(INDEX($AM$2:$BM$1001,MATCH(ROWS($AF$2:AF559),$AF$2:$AF$1001,0),MATCH(COLUMNS($AM$1006:AN1006),$AM$1006:$BM$1006,0)), HYPERLINK("#",""), HYPERLINK(CONCATENATE("#metadata!", ADDRESS(INDEX($AH$2:$AH$1001,MATCH(ROWS($AF$2:AF559),$AF$2:$AF$1001,0),0), INDEX($AM$1004:$BM$1004,1,MATCH(COLUMNS($AM$1006:AN1006),$AM$1006:$BM$1006,0)))),"Fix")))</f>
        <v xml:space="preserve"> </v>
      </c>
      <c r="D559" s="4" t="str">
        <f ca="1">IF(OR(INDEX($AG$2:$AG$1001,MATCH(ROWS($AF$2:AF559),$AF$2:$AF$1001,0),1)&gt;=100000,INDEX($AM$1005:$BM$1005,1,MATCH(COLUMNS($AM$1006:AO1006),$AM$1006:$BM$1006,0))&gt;=100000), " ",IF(INDEX($AM$2:$BM$1001,MATCH(ROWS($AF$2:AF559),$AF$2:$AF$1001,0),MATCH(COLUMNS($AM$1006:AO1006),$AM$1006:$BM$1006,0)), HYPERLINK("#",""), HYPERLINK(CONCATENATE("#metadata!", ADDRESS(INDEX($AH$2:$AH$1001,MATCH(ROWS($AF$2:AF559),$AF$2:$AF$1001,0),0), INDEX($AM$1004:$BM$1004,1,MATCH(COLUMNS($AM$1006:AO1006),$AM$1006:$BM$1006,0)))),"Fix")))</f>
        <v xml:space="preserve"> </v>
      </c>
      <c r="E559" s="4" t="str">
        <f ca="1">IF(OR(INDEX($AG$2:$AG$1001,MATCH(ROWS($AF$2:AF559),$AF$2:$AF$1001,0),1)&gt;=100000,INDEX($AM$1005:$BM$1005,1,MATCH(COLUMNS($AM$1006:AP1006),$AM$1006:$BM$1006,0))&gt;=100000), " ",IF(INDEX($AM$2:$BM$1001,MATCH(ROWS($AF$2:AF559),$AF$2:$AF$1001,0),MATCH(COLUMNS($AM$1006:AP1006),$AM$1006:$BM$1006,0)), HYPERLINK("#",""), HYPERLINK(CONCATENATE("#metadata!", ADDRESS(INDEX($AH$2:$AH$1001,MATCH(ROWS($AF$2:AF559),$AF$2:$AF$1001,0),0), INDEX($AM$1004:$BM$1004,1,MATCH(COLUMNS($AM$1006:AP1006),$AM$1006:$BM$1006,0)))),"Fix")))</f>
        <v xml:space="preserve"> </v>
      </c>
      <c r="F559" s="4" t="str">
        <f ca="1">IF(OR(INDEX($AG$2:$AG$1001,MATCH(ROWS($AF$2:AF559),$AF$2:$AF$1001,0),1)&gt;=100000,INDEX($AM$1005:$BM$1005,1,MATCH(COLUMNS($AM$1006:AQ1006),$AM$1006:$BM$1006,0))&gt;=100000), " ",IF(INDEX($AM$2:$BM$1001,MATCH(ROWS($AF$2:AF559),$AF$2:$AF$1001,0),MATCH(COLUMNS($AM$1006:AQ1006),$AM$1006:$BM$1006,0)), HYPERLINK("#",""), HYPERLINK(CONCATENATE("#metadata!", ADDRESS(INDEX($AH$2:$AH$1001,MATCH(ROWS($AF$2:AF559),$AF$2:$AF$1001,0),0), INDEX($AM$1004:$BM$1004,1,MATCH(COLUMNS($AM$1006:AQ1006),$AM$1006:$BM$1006,0)))),"Fix")))</f>
        <v xml:space="preserve"> </v>
      </c>
      <c r="G559" s="4" t="str">
        <f ca="1">IF(OR(INDEX($AG$2:$AG$1001,MATCH(ROWS($AF$2:AF559),$AF$2:$AF$1001,0),1)&gt;=100000,INDEX($AM$1005:$BM$1005,1,MATCH(COLUMNS($AM$1006:AR1006),$AM$1006:$BM$1006,0))&gt;=100000), " ",IF(INDEX($AM$2:$BM$1001,MATCH(ROWS($AF$2:AF559),$AF$2:$AF$1001,0),MATCH(COLUMNS($AM$1006:AR1006),$AM$1006:$BM$1006,0)), HYPERLINK("#",""), HYPERLINK(CONCATENATE("#metadata!", ADDRESS(INDEX($AH$2:$AH$1001,MATCH(ROWS($AF$2:AF559),$AF$2:$AF$1001,0),0), INDEX($AM$1004:$BM$1004,1,MATCH(COLUMNS($AM$1006:AR1006),$AM$1006:$BM$1006,0)))),"Fix")))</f>
        <v xml:space="preserve"> </v>
      </c>
      <c r="H559" s="4" t="str">
        <f ca="1">IF(OR(INDEX($AG$2:$AG$1001,MATCH(ROWS($AF$2:AF559),$AF$2:$AF$1001,0),1)&gt;=100000,INDEX($AM$1005:$BM$1005,1,MATCH(COLUMNS($AM$1006:AS1006),$AM$1006:$BM$1006,0))&gt;=100000), " ",IF(INDEX($AM$2:$BM$1001,MATCH(ROWS($AF$2:AF559),$AF$2:$AF$1001,0),MATCH(COLUMNS($AM$1006:AS1006),$AM$1006:$BM$1006,0)), HYPERLINK("#",""), HYPERLINK(CONCATENATE("#metadata!", ADDRESS(INDEX($AH$2:$AH$1001,MATCH(ROWS($AF$2:AF559),$AF$2:$AF$1001,0),0), INDEX($AM$1004:$BM$1004,1,MATCH(COLUMNS($AM$1006:AS1006),$AM$1006:$BM$1006,0)))),"Fix")))</f>
        <v xml:space="preserve"> </v>
      </c>
      <c r="I559" s="4" t="str">
        <f ca="1">IF(OR(INDEX($AG$2:$AG$1001,MATCH(ROWS($AF$2:AF559),$AF$2:$AF$1001,0),1)&gt;=100000,INDEX($AM$1005:$BM$1005,1,MATCH(COLUMNS($AM$1006:AT1006),$AM$1006:$BM$1006,0))&gt;=100000), " ",IF(INDEX($AM$2:$BM$1001,MATCH(ROWS($AF$2:AF559),$AF$2:$AF$1001,0),MATCH(COLUMNS($AM$1006:AT1006),$AM$1006:$BM$1006,0)), HYPERLINK("#",""), HYPERLINK(CONCATENATE("#metadata!", ADDRESS(INDEX($AH$2:$AH$1001,MATCH(ROWS($AF$2:AF559),$AF$2:$AF$1001,0),0), INDEX($AM$1004:$BM$1004,1,MATCH(COLUMNS($AM$1006:AT1006),$AM$1006:$BM$1006,0)))),"Fix")))</f>
        <v xml:space="preserve"> </v>
      </c>
      <c r="J559" s="4" t="str">
        <f ca="1">IF(OR(INDEX($AG$2:$AG$1001,MATCH(ROWS($AF$2:AF559),$AF$2:$AF$1001,0),1)&gt;=100000,INDEX($AM$1005:$BM$1005,1,MATCH(COLUMNS($AM$1006:AU1006),$AM$1006:$BM$1006,0))&gt;=100000), " ",IF(INDEX($AM$2:$BM$1001,MATCH(ROWS($AF$2:AF559),$AF$2:$AF$1001,0),MATCH(COLUMNS($AM$1006:AU1006),$AM$1006:$BM$1006,0)), HYPERLINK("#",""), HYPERLINK(CONCATENATE("#metadata!", ADDRESS(INDEX($AH$2:$AH$1001,MATCH(ROWS($AF$2:AF559),$AF$2:$AF$1001,0),0), INDEX($AM$1004:$BM$1004,1,MATCH(COLUMNS($AM$1006:AU1006),$AM$1006:$BM$1006,0)))),"Fix")))</f>
        <v xml:space="preserve"> </v>
      </c>
      <c r="K559" s="4" t="str">
        <f ca="1">IF(OR(INDEX($AG$2:$AG$1001,MATCH(ROWS($AF$2:AF559),$AF$2:$AF$1001,0),1)&gt;=100000,INDEX($AM$1005:$BM$1005,1,MATCH(COLUMNS($AM$1006:AV1006),$AM$1006:$BM$1006,0))&gt;=100000), " ",IF(INDEX($AM$2:$BM$1001,MATCH(ROWS($AF$2:AF559),$AF$2:$AF$1001,0),MATCH(COLUMNS($AM$1006:AV1006),$AM$1006:$BM$1006,0)), HYPERLINK("#",""), HYPERLINK(CONCATENATE("#metadata!", ADDRESS(INDEX($AH$2:$AH$1001,MATCH(ROWS($AF$2:AF559),$AF$2:$AF$1001,0),0), INDEX($AM$1004:$BM$1004,1,MATCH(COLUMNS($AM$1006:AV1006),$AM$1006:$BM$1006,0)))),"Fix")))</f>
        <v xml:space="preserve"> </v>
      </c>
      <c r="L559" s="4" t="str">
        <f ca="1">IF(OR(INDEX($AG$2:$AG$1001,MATCH(ROWS($AF$2:AF559),$AF$2:$AF$1001,0),1)&gt;=100000,INDEX($AM$1005:$BM$1005,1,MATCH(COLUMNS($AM$1006:AW1006),$AM$1006:$BM$1006,0))&gt;=100000), " ",IF(INDEX($AM$2:$BM$1001,MATCH(ROWS($AF$2:AF559),$AF$2:$AF$1001,0),MATCH(COLUMNS($AM$1006:AW1006),$AM$1006:$BM$1006,0)), HYPERLINK("#",""), HYPERLINK(CONCATENATE("#metadata!", ADDRESS(INDEX($AH$2:$AH$1001,MATCH(ROWS($AF$2:AF559),$AF$2:$AF$1001,0),0), INDEX($AM$1004:$BM$1004,1,MATCH(COLUMNS($AM$1006:AW1006),$AM$1006:$BM$1006,0)))),"Fix")))</f>
        <v xml:space="preserve"> </v>
      </c>
      <c r="M559" s="4" t="str">
        <f ca="1">IF(OR(INDEX($AG$2:$AG$1001,MATCH(ROWS($AF$2:AF559),$AF$2:$AF$1001,0),1)&gt;=100000,INDEX($AM$1005:$BM$1005,1,MATCH(COLUMNS($AM$1006:AX1006),$AM$1006:$BM$1006,0))&gt;=100000), " ",IF(INDEX($AM$2:$BM$1001,MATCH(ROWS($AF$2:AF559),$AF$2:$AF$1001,0),MATCH(COLUMNS($AM$1006:AX1006),$AM$1006:$BM$1006,0)), HYPERLINK("#",""), HYPERLINK(CONCATENATE("#metadata!", ADDRESS(INDEX($AH$2:$AH$1001,MATCH(ROWS($AF$2:AF559),$AF$2:$AF$1001,0),0), INDEX($AM$1004:$BM$1004,1,MATCH(COLUMNS($AM$1006:AX1006),$AM$1006:$BM$1006,0)))),"Fix")))</f>
        <v xml:space="preserve"> </v>
      </c>
      <c r="N559" s="4" t="str">
        <f ca="1">IF(OR(INDEX($AG$2:$AG$1001,MATCH(ROWS($AF$2:AF559),$AF$2:$AF$1001,0),1)&gt;=100000,INDEX($AM$1005:$BM$1005,1,MATCH(COLUMNS($AM$1006:AY1006),$AM$1006:$BM$1006,0))&gt;=100000), " ",IF(INDEX($AM$2:$BM$1001,MATCH(ROWS($AF$2:AF559),$AF$2:$AF$1001,0),MATCH(COLUMNS($AM$1006:AY1006),$AM$1006:$BM$1006,0)), HYPERLINK("#",""), HYPERLINK(CONCATENATE("#metadata!", ADDRESS(INDEX($AH$2:$AH$1001,MATCH(ROWS($AF$2:AF559),$AF$2:$AF$1001,0),0), INDEX($AM$1004:$BM$1004,1,MATCH(COLUMNS($AM$1006:AY1006),$AM$1006:$BM$1006,0)))),"Fix")))</f>
        <v xml:space="preserve"> </v>
      </c>
      <c r="O559" s="4" t="str">
        <f ca="1">IF(OR(INDEX($AG$2:$AG$1001,MATCH(ROWS($AF$2:AF559),$AF$2:$AF$1001,0),1)&gt;=100000,INDEX($AM$1005:$BM$1005,1,MATCH(COLUMNS($AM$1006:AZ1006),$AM$1006:$BM$1006,0))&gt;=100000), " ",IF(INDEX($AM$2:$BM$1001,MATCH(ROWS($AF$2:AF559),$AF$2:$AF$1001,0),MATCH(COLUMNS($AM$1006:AZ1006),$AM$1006:$BM$1006,0)), HYPERLINK("#",""), HYPERLINK(CONCATENATE("#metadata!", ADDRESS(INDEX($AH$2:$AH$1001,MATCH(ROWS($AF$2:AF559),$AF$2:$AF$1001,0),0), INDEX($AM$1004:$BM$1004,1,MATCH(COLUMNS($AM$1006:AZ1006),$AM$1006:$BM$1006,0)))),"Fix")))</f>
        <v xml:space="preserve"> </v>
      </c>
      <c r="P559" s="4" t="str">
        <f ca="1">IF(OR(INDEX($AG$2:$AG$1001,MATCH(ROWS($AF$2:AF559),$AF$2:$AF$1001,0),1)&gt;=100000,INDEX($AM$1005:$BM$1005,1,MATCH(COLUMNS($AM$1006:BA1006),$AM$1006:$BM$1006,0))&gt;=100000), " ",IF(INDEX($AM$2:$BM$1001,MATCH(ROWS($AF$2:AF559),$AF$2:$AF$1001,0),MATCH(COLUMNS($AM$1006:BA1006),$AM$1006:$BM$1006,0)), HYPERLINK("#",""), HYPERLINK(CONCATENATE("#metadata!", ADDRESS(INDEX($AH$2:$AH$1001,MATCH(ROWS($AF$2:AF559),$AF$2:$AF$1001,0),0), INDEX($AM$1004:$BM$1004,1,MATCH(COLUMNS($AM$1006:BA1006),$AM$1006:$BM$1006,0)))),"Fix")))</f>
        <v xml:space="preserve"> </v>
      </c>
      <c r="Q559" s="4" t="str">
        <f ca="1">IF(OR(INDEX($AG$2:$AG$1001,MATCH(ROWS($AF$2:AF559),$AF$2:$AF$1001,0),1)&gt;=100000,INDEX($AM$1005:$BM$1005,1,MATCH(COLUMNS($AM$1006:BB1006),$AM$1006:$BM$1006,0))&gt;=100000), " ",IF(INDEX($AM$2:$BM$1001,MATCH(ROWS($AF$2:AF559),$AF$2:$AF$1001,0),MATCH(COLUMNS($AM$1006:BB1006),$AM$1006:$BM$1006,0)), HYPERLINK("#",""), HYPERLINK(CONCATENATE("#metadata!", ADDRESS(INDEX($AH$2:$AH$1001,MATCH(ROWS($AF$2:AF559),$AF$2:$AF$1001,0),0), INDEX($AM$1004:$BM$1004,1,MATCH(COLUMNS($AM$1006:BB1006),$AM$1006:$BM$1006,0)))),"Fix")))</f>
        <v xml:space="preserve"> </v>
      </c>
      <c r="R559" s="4" t="str">
        <f ca="1">IF(OR(INDEX($AG$2:$AG$1001,MATCH(ROWS($AF$2:AF559),$AF$2:$AF$1001,0),1)&gt;=100000,INDEX($AM$1005:$BM$1005,1,MATCH(COLUMNS($AM$1006:BC1006),$AM$1006:$BM$1006,0))&gt;=100000), " ",IF(INDEX($AM$2:$BM$1001,MATCH(ROWS($AF$2:AF559),$AF$2:$AF$1001,0),MATCH(COLUMNS($AM$1006:BC1006),$AM$1006:$BM$1006,0)), HYPERLINK("#",""), HYPERLINK(CONCATENATE("#metadata!", ADDRESS(INDEX($AH$2:$AH$1001,MATCH(ROWS($AF$2:AF559),$AF$2:$AF$1001,0),0), INDEX($AM$1004:$BM$1004,1,MATCH(COLUMNS($AM$1006:BC1006),$AM$1006:$BM$1006,0)))),"Fix")))</f>
        <v xml:space="preserve"> </v>
      </c>
      <c r="S559" s="4" t="str">
        <f ca="1">IF(OR(INDEX($AG$2:$AG$1001,MATCH(ROWS($AF$2:AF559),$AF$2:$AF$1001,0),1)&gt;=100000,INDEX($AM$1005:$BM$1005,1,MATCH(COLUMNS($AM$1006:BD1006),$AM$1006:$BM$1006,0))&gt;=100000), " ",IF(INDEX($AM$2:$BM$1001,MATCH(ROWS($AF$2:AF559),$AF$2:$AF$1001,0),MATCH(COLUMNS($AM$1006:BD1006),$AM$1006:$BM$1006,0)), HYPERLINK("#",""), HYPERLINK(CONCATENATE("#metadata!", ADDRESS(INDEX($AH$2:$AH$1001,MATCH(ROWS($AF$2:AF559),$AF$2:$AF$1001,0),0), INDEX($AM$1004:$BM$1004,1,MATCH(COLUMNS($AM$1006:BD1006),$AM$1006:$BM$1006,0)))),"Fix")))</f>
        <v xml:space="preserve"> </v>
      </c>
      <c r="T559" s="4" t="str">
        <f ca="1">IF(OR(INDEX($AG$2:$AG$1001,MATCH(ROWS($AF$2:AF559),$AF$2:$AF$1001,0),1)&gt;=100000,INDEX($AM$1005:$BM$1005,1,MATCH(COLUMNS($AM$1006:BE1006),$AM$1006:$BM$1006,0))&gt;=100000), " ",IF(INDEX($AM$2:$BM$1001,MATCH(ROWS($AF$2:AF559),$AF$2:$AF$1001,0),MATCH(COLUMNS($AM$1006:BE1006),$AM$1006:$BM$1006,0)), HYPERLINK("#",""), HYPERLINK(CONCATENATE("#metadata!", ADDRESS(INDEX($AH$2:$AH$1001,MATCH(ROWS($AF$2:AF559),$AF$2:$AF$1001,0),0), INDEX($AM$1004:$BM$1004,1,MATCH(COLUMNS($AM$1006:BE1006),$AM$1006:$BM$1006,0)))),"Fix")))</f>
        <v xml:space="preserve"> </v>
      </c>
      <c r="U559" s="4" t="str">
        <f ca="1">IF(OR(INDEX($AG$2:$AG$1001,MATCH(ROWS($AF$2:AF559),$AF$2:$AF$1001,0),1)&gt;=100000,INDEX($AM$1005:$BM$1005,1,MATCH(COLUMNS($AM$1006:BF1006),$AM$1006:$BM$1006,0))&gt;=100000), " ",IF(INDEX($AM$2:$BM$1001,MATCH(ROWS($AF$2:AF559),$AF$2:$AF$1001,0),MATCH(COLUMNS($AM$1006:BF1006),$AM$1006:$BM$1006,0)), HYPERLINK("#",""), HYPERLINK(CONCATENATE("#metadata!", ADDRESS(INDEX($AH$2:$AH$1001,MATCH(ROWS($AF$2:AF559),$AF$2:$AF$1001,0),0), INDEX($AM$1004:$BM$1004,1,MATCH(COLUMNS($AM$1006:BF1006),$AM$1006:$BM$1006,0)))),"Fix")))</f>
        <v xml:space="preserve"> </v>
      </c>
      <c r="V559" s="4" t="str">
        <f ca="1">IF(OR(INDEX($AG$2:$AG$1001,MATCH(ROWS($AF$2:AF559),$AF$2:$AF$1001,0),1)&gt;=100000,INDEX($AM$1005:$BM$1005,1,MATCH(COLUMNS($AM$1006:BG1006),$AM$1006:$BM$1006,0))&gt;=100000), " ",IF(INDEX($AM$2:$BM$1001,MATCH(ROWS($AF$2:AF559),$AF$2:$AF$1001,0),MATCH(COLUMNS($AM$1006:BG1006),$AM$1006:$BM$1006,0)), HYPERLINK("#",""), HYPERLINK(CONCATENATE("#metadata!", ADDRESS(INDEX($AH$2:$AH$1001,MATCH(ROWS($AF$2:AF559),$AF$2:$AF$1001,0),0), INDEX($AM$1004:$BM$1004,1,MATCH(COLUMNS($AM$1006:BG1006),$AM$1006:$BM$1006,0)))),"Fix")))</f>
        <v xml:space="preserve"> </v>
      </c>
      <c r="W559" s="4" t="str">
        <f ca="1">IF(OR(INDEX($AG$2:$AG$1001,MATCH(ROWS($AF$2:AF559),$AF$2:$AF$1001,0),1)&gt;=100000,INDEX($AM$1005:$BM$1005,1,MATCH(COLUMNS($AM$1006:BH1006),$AM$1006:$BM$1006,0))&gt;=100000), " ",IF(INDEX($AM$2:$BM$1001,MATCH(ROWS($AF$2:AF559),$AF$2:$AF$1001,0),MATCH(COLUMNS($AM$1006:BH1006),$AM$1006:$BM$1006,0)), HYPERLINK("#",""), HYPERLINK(CONCATENATE("#metadata!", ADDRESS(INDEX($AH$2:$AH$1001,MATCH(ROWS($AF$2:AF559),$AF$2:$AF$1001,0),0), INDEX($AM$1004:$BM$1004,1,MATCH(COLUMNS($AM$1006:BH1006),$AM$1006:$BM$1006,0)))),"Fix")))</f>
        <v xml:space="preserve"> </v>
      </c>
      <c r="X559" s="4" t="str">
        <f ca="1">IF(OR(INDEX($AG$2:$AG$1001,MATCH(ROWS($AF$2:AF559),$AF$2:$AF$1001,0),1)&gt;=100000,INDEX($AM$1005:$BM$1005,1,MATCH(COLUMNS($AM$1006:BI1006),$AM$1006:$BM$1006,0))&gt;=100000), " ",IF(INDEX($AM$2:$BM$1001,MATCH(ROWS($AF$2:AF559),$AF$2:$AF$1001,0),MATCH(COLUMNS($AM$1006:BI1006),$AM$1006:$BM$1006,0)), HYPERLINK("#",""), HYPERLINK(CONCATENATE("#metadata!", ADDRESS(INDEX($AH$2:$AH$1001,MATCH(ROWS($AF$2:AF559),$AF$2:$AF$1001,0),0), INDEX($AM$1004:$BM$1004,1,MATCH(COLUMNS($AM$1006:BI1006),$AM$1006:$BM$1006,0)))),"Fix")))</f>
        <v xml:space="preserve"> </v>
      </c>
      <c r="Y559" s="4" t="str">
        <f ca="1">IF(OR(INDEX($AG$2:$AG$1001,MATCH(ROWS($AF$2:AF559),$AF$2:$AF$1001,0),1)&gt;=100000,INDEX($AM$1005:$BM$1005,1,MATCH(COLUMNS($AM$1006:BJ1006),$AM$1006:$BM$1006,0))&gt;=100000), " ",IF(INDEX($AM$2:$BM$1001,MATCH(ROWS($AF$2:AF559),$AF$2:$AF$1001,0),MATCH(COLUMNS($AM$1006:BJ1006),$AM$1006:$BM$1006,0)), HYPERLINK("#",""), HYPERLINK(CONCATENATE("#metadata!", ADDRESS(INDEX($AH$2:$AH$1001,MATCH(ROWS($AF$2:AF559),$AF$2:$AF$1001,0),0), INDEX($AM$1004:$BM$1004,1,MATCH(COLUMNS($AM$1006:BJ1006),$AM$1006:$BM$1006,0)))),"Fix")))</f>
        <v xml:space="preserve"> </v>
      </c>
      <c r="Z559" s="4" t="str">
        <f ca="1">IF(OR(INDEX($AG$2:$AG$1001,MATCH(ROWS($AF$2:AF559),$AF$2:$AF$1001,0),1)&gt;=100000,INDEX($AM$1005:$BM$1005,1,MATCH(COLUMNS($AM$1006:BK1006),$AM$1006:$BM$1006,0))&gt;=100000), " ",IF(INDEX($AM$2:$BM$1001,MATCH(ROWS($AF$2:AF559),$AF$2:$AF$1001,0),MATCH(COLUMNS($AM$1006:BK1006),$AM$1006:$BM$1006,0)), HYPERLINK("#",""), HYPERLINK(CONCATENATE("#metadata!", ADDRESS(INDEX($AH$2:$AH$1001,MATCH(ROWS($AF$2:AF559),$AF$2:$AF$1001,0),0), INDEX($AM$1004:$BM$1004,1,MATCH(COLUMNS($AM$1006:BK1006),$AM$1006:$BM$1006,0)))),"Fix")))</f>
        <v xml:space="preserve"> </v>
      </c>
      <c r="AA559" s="4" t="str">
        <f ca="1">IF(OR(INDEX($AG$2:$AG$1001,MATCH(ROWS($AF$2:AF559),$AF$2:$AF$1001,0),1)&gt;=100000,INDEX($AM$1005:$BM$1005,1,MATCH(COLUMNS($AM$1006:BL1006),$AM$1006:$BM$1006,0))&gt;=100000), " ",IF(INDEX($AM$2:$BM$1001,MATCH(ROWS($AF$2:AF559),$AF$2:$AF$1001,0),MATCH(COLUMNS($AM$1006:BL1006),$AM$1006:$BM$1006,0)), HYPERLINK("#",""), HYPERLINK(CONCATENATE("#metadata!", ADDRESS(INDEX($AH$2:$AH$1001,MATCH(ROWS($AF$2:AF559),$AF$2:$AF$1001,0),0), INDEX($AM$1004:$BM$1004,1,MATCH(COLUMNS($AM$1006:BL1006),$AM$1006:$BM$1006,0)))),"Fix")))</f>
        <v xml:space="preserve"> </v>
      </c>
      <c r="AB559" s="4" t="str">
        <f ca="1">IF(OR(INDEX($AG$2:$AG$1001,MATCH(ROWS($AF$2:AF559),$AF$2:$AF$1001,0),1)&gt;=100000,INDEX($AM$1005:$BM$1005,1,MATCH(COLUMNS($AM$1006:BM1006),$AM$1006:$BM$1006,0))&gt;=100000), " ",IF(INDEX($AM$2:$BM$1001,MATCH(ROWS($AF$2:AF559),$AF$2:$AF$1001,0),MATCH(COLUMNS($AM$1006:BM1006),$AM$1006:$BM$1006,0)), HYPERLINK("#",""), HYPERLINK(CONCATENATE("#metadata!", ADDRESS(INDEX($AH$2:$AH$1001,MATCH(ROWS($AF$2:AF559),$AF$2:$AF$1001,0),0), INDEX($AM$1004:$BM$1004,1,MATCH(COLUMNS($AM$1006:BM1006),$AM$1006:$BM$1006,0)))),"Fix")))</f>
        <v xml:space="preserve"> </v>
      </c>
      <c r="AF559">
        <v>558</v>
      </c>
      <c r="AG559">
        <v>100559</v>
      </c>
      <c r="AH559">
        <v>559</v>
      </c>
      <c r="AI559" t="b">
        <f t="shared" si="8"/>
        <v>1</v>
      </c>
      <c r="AJ559" t="b">
        <f>COUNTBLANK(metadata!B559:AB559)=COLUMNS(metadata!B559:AB559)</f>
        <v>1</v>
      </c>
      <c r="AK559" t="str">
        <v/>
      </c>
      <c r="AM559" t="b">
        <f ca="1">AND(IF(metadata!B559="",FALSE,TRUE),COUNTIF(metadata!B:B, metadata!B559) = 1,NOT(ISERROR(SUMPRODUCT(SEARCH(MID(metadata!B559,ROW(INDIRECT("1:"&amp;LEN(metadata!B559))), 1),"0123456789abcdefghijklmnopqrstuvwxyzABCDEFGHIJKLMNOPQRSTUVWXYZ.")))))</f>
        <v>0</v>
      </c>
      <c r="AN559" t="b">
        <f ca="1">OR(AND(IF(metadata!C559="",FALSE,TRUE),OR(EXACT(metadata!C559,"missing: not collected"),EXACT(metadata!C559,"missing: not provided"),EXACT(metadata!C559,"missing: restricted access"))),AND(IF(metadata!C559="",FALSE,TRUE),AND(AND(IFERROR(INT(LEFT(metadata!C559,4))&gt;1900,FALSE),IFERROR(INT(LEFT(metadata!C559,4))&lt;=YEAR(NOW()),FALSE)), OR(MID(metadata!C559,5,1)="", AND(AND(MID(metadata!C559,5,1)="-",IFERROR(INT(MID(metadata!C559,6,1))&gt;=0,FALSE),IFERROR(INT(MID(metadata!C559,6,1))&lt;=1,FALSE),NOT(MID(metadata!C559,7,1)=""),IFERROR(INT(MID(metadata!C559,6,2))&gt;=1,FALSE),IFERROR(INT(MID(metadata!C559,6,2))&lt;=12,FALSE)), OR(MID(metadata!C559,8,1)="", AND(AND(MID(metadata!C559,8,1)="-",IFERROR(INT(MID(metadata!C559,9,1))&gt;=0,FALSE),IFERROR(INT(MID(metadata!C559,9,1))&lt;=3,FALSE),NOT(MID(metadata!C559,10,1)=""),IFERROR(INT(MID(metadata!C559,9,2))&gt;=1,FALSE),IFERROR(INT(MID(metadata!C559,9,2))&lt;=31,FALSE)), OR(MID(metadata!C559,11,1)="", AND(AND(MID(metadata!C559,11,1)=" ",IFERROR(INT(MID(metadata!C559,12,1))&gt;=0,FALSE),IFERROR(INT(MID(metadata!C559,12,1))&lt;=2,FALSE),NOT(MID(metadata!C559,13,1)=""),IFERROR(INT(MID(metadata!C559,12,2))&gt;=0,FALSE),IFERROR(INT(MID(metadata!C559,12,2))&lt;=23,FALSE)), OR(MID(metadata!C559,14,1)="", AND(AND(MID(metadata!C559,14,1)=":",IFERROR(INT(MID(metadata!C559,15,1))&gt;=0,FALSE),IFERROR(INT(MID(metadata!C559,15,1))&lt;=5,FALSE),NOT(MID(metadata!C559,16,1)=""),IFERROR(INT(MID(metadata!C559,15,2))&gt;=0,FALSE),IFERROR(INT(MID(metadata!C559,15,2))&lt;=59,FALSE)), OR(MID(metadata!C559,17,1)="", AND(AND(MID(metadata!C559,17,1)=":",IFERROR(INT(MID(metadata!C559,18,1))&gt;=0,FALSE),IFERROR(INT(MID(metadata!C559,18,1))&lt;=5,FALSE),NOT(MID(metadata!C559,19,1)=""),IFERROR(INT(MID(metadata!C559,18,2))&gt;=0,FALSE),IFERROR(INT(MID(metadata!C559,18,2))&lt;=59,FALSE)), LEN(metadata!C559)&lt;=19)))))))))))))</f>
        <v>0</v>
      </c>
      <c r="AO559" t="b">
        <f>AND(IF(metadata!D559="",FALSE,TRUE),EXACT(metadata!D559,"Not applicable"))</f>
        <v>0</v>
      </c>
      <c r="AP559" t="b">
        <f>IF(metadata!E559="",FALSE,TRUE)</f>
        <v>0</v>
      </c>
      <c r="AQ559" t="b">
        <f>OR(AND(IF(metadata!F559="",FALSE,TRUE),OR(EXACT(metadata!F559,"missing: not collected"),EXACT(metadata!F559,"missing: not provided"))),AND(IF(metadata!F559="",FALSE,TRUE),OR(EXACT(metadata!F559,"TRUE"),EXACT(metadata!F559,"FALSE"))))</f>
        <v>0</v>
      </c>
      <c r="AR559" t="b">
        <f>OR(AND(IF(metadata!G559="",FALSE,TRUE),OR(EXACT(metadata!G559,"missing: not collected"),EXACT(metadata!G559,"missing: not provided"),EXACT(metadata!G559,"missing: restricted access"))),AND(IF(metadata!G559="",FALSE,ISNUMBER(VALUE(metadata!G559))),metadata!G559&gt;=-413))</f>
        <v>0</v>
      </c>
      <c r="AS559" t="b">
        <f>AND(IF(metadata!H559="",FALSE,TRUE),EXACT(metadata!H559,"meters"))</f>
        <v>0</v>
      </c>
      <c r="AT559" t="b">
        <f>AND(IF(metadata!I559="",FALSE,TRUE),OR(EXACT(metadata!I559,"Host-associated"),EXACT(metadata!I559,"Free-living")))</f>
        <v>0</v>
      </c>
      <c r="AU559" t="b">
        <f>AND(IF(metadata!J559="",FALSE,TRUE),OR(EXACT(metadata!J559,"Animal"),EXACT(metadata!J559,"Fungus"),EXACT(metadata!J559,"Plant"),EXACT(metadata!J559,"Saline"),EXACT(metadata!J559,"Non-saline")))</f>
        <v>0</v>
      </c>
      <c r="AV559" t="b">
        <f>AND(IF(metadata!K559="",FALSE,TRUE),OR(EXACT(metadata!K559,"Plant secretion"),EXACT(metadata!K559,"Plant rhizosphere"),EXACT(metadata!K559,"Plant surface"),EXACT(metadata!K559,"Plant corpus"),EXACT(metadata!K559,"Fungus surface"),EXACT(metadata!K559,"Fungus corpus"),EXACT(metadata!K559,"Animal surface"),EXACT(metadata!K559,"Animal proximal gut"),EXACT(metadata!K559,"Animal corpus"),EXACT(metadata!K559,"Animal distal gut"),EXACT(metadata!K559,"Animal secretion"),EXACT(metadata!K559,"Sub-surface (non-saline)"),EXACT(metadata!K559,"Surface (non-saline)"),EXACT(metadata!K559,"Water (non-saline)"),EXACT(metadata!K559,"Soil (non-saline)"),EXACT(metadata!K559,"Aerosol (non-saline)"),EXACT(metadata!K559,"Sediment (non-saline)"),EXACT(metadata!K559,"Surface (saline)"),EXACT(metadata!K559,"Water (saline)"),EXACT(metadata!K559,"Hypersaline (saline)"),EXACT(metadata!K559,"Aerosol (saline)"),EXACT(metadata!K559,"Sediment (saline)")))</f>
        <v>0</v>
      </c>
      <c r="AW559" t="b">
        <f>IF(metadata!L559="",FALSE,TRUE)</f>
        <v>0</v>
      </c>
      <c r="AX559" t="b">
        <f>IF(metadata!M559="",FALSE,TRUE)</f>
        <v>0</v>
      </c>
      <c r="AY559" t="b">
        <f>IF(metadata!N559="",FALSE,TRUE)</f>
        <v>0</v>
      </c>
      <c r="AZ559" t="b">
        <f>OR(AND(IF(metadata!O559="",FALSE,TRUE),OR(EXACT(metadata!O559,"missing: not collected"),EXACT(metadata!O559,"missing: not provided"),EXACT(metadata!O559,"missing: restricted access"))),AND(IF(metadata!O559="",FALSE,TRUE),OR(EXACT(metadata!O559,"air"),EXACT(metadata!O559,"built environment"),EXACT(metadata!O559,"host-associated"),EXACT(metadata!O559,"human-associated"),EXACT(metadata!O559,"human-skin"),EXACT(metadata!O559,"human-oral"),EXACT(metadata!O559,"human-gut"),EXACT(metadata!O559,"human-vaginal"),EXACT(metadata!O559,"microbial mat/biofilm"),EXACT(metadata!O559,"misc environment"),EXACT(metadata!O559,"plant-associated"),EXACT(metadata!O559,"sediment"),EXACT(metadata!O559,"soil"),EXACT(metadata!O559,"wastewater/sludge"),EXACT(metadata!O559,"water"))))</f>
        <v>0</v>
      </c>
      <c r="BA559" t="b">
        <f>IF(metadata!P559="",FALSE,TRUE)</f>
        <v>0</v>
      </c>
      <c r="BB559" t="b">
        <f>IF(metadata!Q559="",FALSE,TRUE)</f>
        <v>0</v>
      </c>
      <c r="BC559" t="b">
        <f>OR(AND(IF(metadata!R559="",FALSE,TRUE),OR(EXACT(metadata!R559,"missing: not collected"),EXACT(metadata!R559,"missing: not provided"),EXACT(metadata!R559,"missing: restricted access"))),AND(IF(metadata!R559="",FALSE,ISNUMBER(VALUE(metadata!R559))),metadata!R559&gt;=-90,metadata!R559&lt;=90))</f>
        <v>0</v>
      </c>
      <c r="BD559" t="b">
        <f>AND(IF(metadata!S559="",FALSE,TRUE),EXACT(metadata!S559,"Decimal degrees"))</f>
        <v>0</v>
      </c>
      <c r="BE559" t="b">
        <f>OR(AND(IF(metadata!T559="",FALSE,TRUE),OR(EXACT(metadata!T559,"missing: not collected"),EXACT(metadata!T559,"missing: not provided"),EXACT(metadata!T559,"missing: restricted access"))),AND(IF(metadata!T559="",FALSE,ISNUMBER(VALUE(metadata!T559))),metadata!T559&gt;=-180,metadata!T559&lt;=180))</f>
        <v>0</v>
      </c>
      <c r="BF559" t="b">
        <f>AND(IF(metadata!U559="",FALSE,TRUE),EXACT(metadata!U559,"Decimal degrees"))</f>
        <v>0</v>
      </c>
      <c r="BG559" t="b">
        <f>IF(metadata!V559="",FALSE,TRUE)</f>
        <v>0</v>
      </c>
      <c r="BH559" t="b">
        <f>OR(AND(IF(metadata!W559="",FALSE,TRUE),OR(EXACT(metadata!W559,"missing: not collected"),EXACT(metadata!W559,"missing: not provided"),EXACT(metadata!W559,"missing: restricted access"))),AND(IF(metadata!W559="",FALSE,TRUE),OR(EXACT(metadata!W559,"TRUE"),EXACT(metadata!W559,"FALSE"))))</f>
        <v>0</v>
      </c>
      <c r="BI559" t="b">
        <f>AND(IF(metadata!X559="",FALSE,TRUE),EXACT(metadata!X559,"other"))</f>
        <v>0</v>
      </c>
      <c r="BJ559" t="b">
        <f>IF(metadata!Y559="",FALSE,TRUE)</f>
        <v>0</v>
      </c>
      <c r="BK559" t="b">
        <f>OR(AND(IF(metadata!Z559="",FALSE,TRUE),OR(EXACT(metadata!Z559,"missing: not collected"),EXACT(metadata!Z559,"missing: not provided"))),AND(IF(metadata!Z559="",FALSE,IF(ISERROR(INT(metadata!Z559)),FALSE,INT(metadata!Z559)=metadata!Z559)),metadata!Z559&gt;0))</f>
        <v>0</v>
      </c>
      <c r="BL559" t="b">
        <f>AND(IF(metadata!AA559="",FALSE,TRUE),EXACT(metadata!AA559,"Not applicable"))</f>
        <v>0</v>
      </c>
      <c r="BM559" t="b">
        <f>IF(metadata!AB559="",FALSE,TRUE)</f>
        <v>0</v>
      </c>
    </row>
    <row r="560" spans="1:65" x14ac:dyDescent="0.2">
      <c r="A560" s="5" t="str">
        <f ca="1">IF(B560=" "," ",HYPERLINK(CONCATENATE("#metadata!",ADDRESS(INDEX($AH$2:$AH$1001,MATCH(ROWS($AF$2:AF560),$AF$2:$AF$1001,0),0),1)),INDEX($AK$2:$AK$1001,MATCH(ROWS($AF$2:AF560),$AF$2:$AF$1001,0),0)))</f>
        <v xml:space="preserve"> </v>
      </c>
      <c r="B560" s="4" t="str">
        <f ca="1">IF(OR(INDEX($AG$2:$AG$1001,MATCH(ROWS($AF$2:AF560),$AF$2:$AF$1001,0),1)&gt;=100000,INDEX($AM$1005:$BM$1005,1,MATCH(COLUMNS($AM$1006:AM1006),$AM$1006:$BM$1006,0))&gt;=100000), " ",IF(INDEX($AM$2:$BM$1001,MATCH(ROWS($AF$2:AF560),$AF$2:$AF$1001,0),MATCH(COLUMNS($AM$1006:AM1006),$AM$1006:$BM$1006,0)), HYPERLINK("#",""), HYPERLINK(CONCATENATE("#metadata!", ADDRESS(INDEX($AH$2:$AH$1001,MATCH(ROWS($AF$2:AF560),$AF$2:$AF$1001,0),0), INDEX($AM$1004:$BM$1004,1,MATCH(COLUMNS($AM$1006:AM1006),$AM$1006:$BM$1006,0)))),"Fix")))</f>
        <v xml:space="preserve"> </v>
      </c>
      <c r="C560" s="4" t="str">
        <f ca="1">IF(OR(INDEX($AG$2:$AG$1001,MATCH(ROWS($AF$2:AF560),$AF$2:$AF$1001,0),1)&gt;=100000,INDEX($AM$1005:$BM$1005,1,MATCH(COLUMNS($AM$1006:AN1006),$AM$1006:$BM$1006,0))&gt;=100000), " ",IF(INDEX($AM$2:$BM$1001,MATCH(ROWS($AF$2:AF560),$AF$2:$AF$1001,0),MATCH(COLUMNS($AM$1006:AN1006),$AM$1006:$BM$1006,0)), HYPERLINK("#",""), HYPERLINK(CONCATENATE("#metadata!", ADDRESS(INDEX($AH$2:$AH$1001,MATCH(ROWS($AF$2:AF560),$AF$2:$AF$1001,0),0), INDEX($AM$1004:$BM$1004,1,MATCH(COLUMNS($AM$1006:AN1006),$AM$1006:$BM$1006,0)))),"Fix")))</f>
        <v xml:space="preserve"> </v>
      </c>
      <c r="D560" s="4" t="str">
        <f ca="1">IF(OR(INDEX($AG$2:$AG$1001,MATCH(ROWS($AF$2:AF560),$AF$2:$AF$1001,0),1)&gt;=100000,INDEX($AM$1005:$BM$1005,1,MATCH(COLUMNS($AM$1006:AO1006),$AM$1006:$BM$1006,0))&gt;=100000), " ",IF(INDEX($AM$2:$BM$1001,MATCH(ROWS($AF$2:AF560),$AF$2:$AF$1001,0),MATCH(COLUMNS($AM$1006:AO1006),$AM$1006:$BM$1006,0)), HYPERLINK("#",""), HYPERLINK(CONCATENATE("#metadata!", ADDRESS(INDEX($AH$2:$AH$1001,MATCH(ROWS($AF$2:AF560),$AF$2:$AF$1001,0),0), INDEX($AM$1004:$BM$1004,1,MATCH(COLUMNS($AM$1006:AO1006),$AM$1006:$BM$1006,0)))),"Fix")))</f>
        <v xml:space="preserve"> </v>
      </c>
      <c r="E560" s="4" t="str">
        <f ca="1">IF(OR(INDEX($AG$2:$AG$1001,MATCH(ROWS($AF$2:AF560),$AF$2:$AF$1001,0),1)&gt;=100000,INDEX($AM$1005:$BM$1005,1,MATCH(COLUMNS($AM$1006:AP1006),$AM$1006:$BM$1006,0))&gt;=100000), " ",IF(INDEX($AM$2:$BM$1001,MATCH(ROWS($AF$2:AF560),$AF$2:$AF$1001,0),MATCH(COLUMNS($AM$1006:AP1006),$AM$1006:$BM$1006,0)), HYPERLINK("#",""), HYPERLINK(CONCATENATE("#metadata!", ADDRESS(INDEX($AH$2:$AH$1001,MATCH(ROWS($AF$2:AF560),$AF$2:$AF$1001,0),0), INDEX($AM$1004:$BM$1004,1,MATCH(COLUMNS($AM$1006:AP1006),$AM$1006:$BM$1006,0)))),"Fix")))</f>
        <v xml:space="preserve"> </v>
      </c>
      <c r="F560" s="4" t="str">
        <f ca="1">IF(OR(INDEX($AG$2:$AG$1001,MATCH(ROWS($AF$2:AF560),$AF$2:$AF$1001,0),1)&gt;=100000,INDEX($AM$1005:$BM$1005,1,MATCH(COLUMNS($AM$1006:AQ1006),$AM$1006:$BM$1006,0))&gt;=100000), " ",IF(INDEX($AM$2:$BM$1001,MATCH(ROWS($AF$2:AF560),$AF$2:$AF$1001,0),MATCH(COLUMNS($AM$1006:AQ1006),$AM$1006:$BM$1006,0)), HYPERLINK("#",""), HYPERLINK(CONCATENATE("#metadata!", ADDRESS(INDEX($AH$2:$AH$1001,MATCH(ROWS($AF$2:AF560),$AF$2:$AF$1001,0),0), INDEX($AM$1004:$BM$1004,1,MATCH(COLUMNS($AM$1006:AQ1006),$AM$1006:$BM$1006,0)))),"Fix")))</f>
        <v xml:space="preserve"> </v>
      </c>
      <c r="G560" s="4" t="str">
        <f ca="1">IF(OR(INDEX($AG$2:$AG$1001,MATCH(ROWS($AF$2:AF560),$AF$2:$AF$1001,0),1)&gt;=100000,INDEX($AM$1005:$BM$1005,1,MATCH(COLUMNS($AM$1006:AR1006),$AM$1006:$BM$1006,0))&gt;=100000), " ",IF(INDEX($AM$2:$BM$1001,MATCH(ROWS($AF$2:AF560),$AF$2:$AF$1001,0),MATCH(COLUMNS($AM$1006:AR1006),$AM$1006:$BM$1006,0)), HYPERLINK("#",""), HYPERLINK(CONCATENATE("#metadata!", ADDRESS(INDEX($AH$2:$AH$1001,MATCH(ROWS($AF$2:AF560),$AF$2:$AF$1001,0),0), INDEX($AM$1004:$BM$1004,1,MATCH(COLUMNS($AM$1006:AR1006),$AM$1006:$BM$1006,0)))),"Fix")))</f>
        <v xml:space="preserve"> </v>
      </c>
      <c r="H560" s="4" t="str">
        <f ca="1">IF(OR(INDEX($AG$2:$AG$1001,MATCH(ROWS($AF$2:AF560),$AF$2:$AF$1001,0),1)&gt;=100000,INDEX($AM$1005:$BM$1005,1,MATCH(COLUMNS($AM$1006:AS1006),$AM$1006:$BM$1006,0))&gt;=100000), " ",IF(INDEX($AM$2:$BM$1001,MATCH(ROWS($AF$2:AF560),$AF$2:$AF$1001,0),MATCH(COLUMNS($AM$1006:AS1006),$AM$1006:$BM$1006,0)), HYPERLINK("#",""), HYPERLINK(CONCATENATE("#metadata!", ADDRESS(INDEX($AH$2:$AH$1001,MATCH(ROWS($AF$2:AF560),$AF$2:$AF$1001,0),0), INDEX($AM$1004:$BM$1004,1,MATCH(COLUMNS($AM$1006:AS1006),$AM$1006:$BM$1006,0)))),"Fix")))</f>
        <v xml:space="preserve"> </v>
      </c>
      <c r="I560" s="4" t="str">
        <f ca="1">IF(OR(INDEX($AG$2:$AG$1001,MATCH(ROWS($AF$2:AF560),$AF$2:$AF$1001,0),1)&gt;=100000,INDEX($AM$1005:$BM$1005,1,MATCH(COLUMNS($AM$1006:AT1006),$AM$1006:$BM$1006,0))&gt;=100000), " ",IF(INDEX($AM$2:$BM$1001,MATCH(ROWS($AF$2:AF560),$AF$2:$AF$1001,0),MATCH(COLUMNS($AM$1006:AT1006),$AM$1006:$BM$1006,0)), HYPERLINK("#",""), HYPERLINK(CONCATENATE("#metadata!", ADDRESS(INDEX($AH$2:$AH$1001,MATCH(ROWS($AF$2:AF560),$AF$2:$AF$1001,0),0), INDEX($AM$1004:$BM$1004,1,MATCH(COLUMNS($AM$1006:AT1006),$AM$1006:$BM$1006,0)))),"Fix")))</f>
        <v xml:space="preserve"> </v>
      </c>
      <c r="J560" s="4" t="str">
        <f ca="1">IF(OR(INDEX($AG$2:$AG$1001,MATCH(ROWS($AF$2:AF560),$AF$2:$AF$1001,0),1)&gt;=100000,INDEX($AM$1005:$BM$1005,1,MATCH(COLUMNS($AM$1006:AU1006),$AM$1006:$BM$1006,0))&gt;=100000), " ",IF(INDEX($AM$2:$BM$1001,MATCH(ROWS($AF$2:AF560),$AF$2:$AF$1001,0),MATCH(COLUMNS($AM$1006:AU1006),$AM$1006:$BM$1006,0)), HYPERLINK("#",""), HYPERLINK(CONCATENATE("#metadata!", ADDRESS(INDEX($AH$2:$AH$1001,MATCH(ROWS($AF$2:AF560),$AF$2:$AF$1001,0),0), INDEX($AM$1004:$BM$1004,1,MATCH(COLUMNS($AM$1006:AU1006),$AM$1006:$BM$1006,0)))),"Fix")))</f>
        <v xml:space="preserve"> </v>
      </c>
      <c r="K560" s="4" t="str">
        <f ca="1">IF(OR(INDEX($AG$2:$AG$1001,MATCH(ROWS($AF$2:AF560),$AF$2:$AF$1001,0),1)&gt;=100000,INDEX($AM$1005:$BM$1005,1,MATCH(COLUMNS($AM$1006:AV1006),$AM$1006:$BM$1006,0))&gt;=100000), " ",IF(INDEX($AM$2:$BM$1001,MATCH(ROWS($AF$2:AF560),$AF$2:$AF$1001,0),MATCH(COLUMNS($AM$1006:AV1006),$AM$1006:$BM$1006,0)), HYPERLINK("#",""), HYPERLINK(CONCATENATE("#metadata!", ADDRESS(INDEX($AH$2:$AH$1001,MATCH(ROWS($AF$2:AF560),$AF$2:$AF$1001,0),0), INDEX($AM$1004:$BM$1004,1,MATCH(COLUMNS($AM$1006:AV1006),$AM$1006:$BM$1006,0)))),"Fix")))</f>
        <v xml:space="preserve"> </v>
      </c>
      <c r="L560" s="4" t="str">
        <f ca="1">IF(OR(INDEX($AG$2:$AG$1001,MATCH(ROWS($AF$2:AF560),$AF$2:$AF$1001,0),1)&gt;=100000,INDEX($AM$1005:$BM$1005,1,MATCH(COLUMNS($AM$1006:AW1006),$AM$1006:$BM$1006,0))&gt;=100000), " ",IF(INDEX($AM$2:$BM$1001,MATCH(ROWS($AF$2:AF560),$AF$2:$AF$1001,0),MATCH(COLUMNS($AM$1006:AW1006),$AM$1006:$BM$1006,0)), HYPERLINK("#",""), HYPERLINK(CONCATENATE("#metadata!", ADDRESS(INDEX($AH$2:$AH$1001,MATCH(ROWS($AF$2:AF560),$AF$2:$AF$1001,0),0), INDEX($AM$1004:$BM$1004,1,MATCH(COLUMNS($AM$1006:AW1006),$AM$1006:$BM$1006,0)))),"Fix")))</f>
        <v xml:space="preserve"> </v>
      </c>
      <c r="M560" s="4" t="str">
        <f ca="1">IF(OR(INDEX($AG$2:$AG$1001,MATCH(ROWS($AF$2:AF560),$AF$2:$AF$1001,0),1)&gt;=100000,INDEX($AM$1005:$BM$1005,1,MATCH(COLUMNS($AM$1006:AX1006),$AM$1006:$BM$1006,0))&gt;=100000), " ",IF(INDEX($AM$2:$BM$1001,MATCH(ROWS($AF$2:AF560),$AF$2:$AF$1001,0),MATCH(COLUMNS($AM$1006:AX1006),$AM$1006:$BM$1006,0)), HYPERLINK("#",""), HYPERLINK(CONCATENATE("#metadata!", ADDRESS(INDEX($AH$2:$AH$1001,MATCH(ROWS($AF$2:AF560),$AF$2:$AF$1001,0),0), INDEX($AM$1004:$BM$1004,1,MATCH(COLUMNS($AM$1006:AX1006),$AM$1006:$BM$1006,0)))),"Fix")))</f>
        <v xml:space="preserve"> </v>
      </c>
      <c r="N560" s="4" t="str">
        <f ca="1">IF(OR(INDEX($AG$2:$AG$1001,MATCH(ROWS($AF$2:AF560),$AF$2:$AF$1001,0),1)&gt;=100000,INDEX($AM$1005:$BM$1005,1,MATCH(COLUMNS($AM$1006:AY1006),$AM$1006:$BM$1006,0))&gt;=100000), " ",IF(INDEX($AM$2:$BM$1001,MATCH(ROWS($AF$2:AF560),$AF$2:$AF$1001,0),MATCH(COLUMNS($AM$1006:AY1006),$AM$1006:$BM$1006,0)), HYPERLINK("#",""), HYPERLINK(CONCATENATE("#metadata!", ADDRESS(INDEX($AH$2:$AH$1001,MATCH(ROWS($AF$2:AF560),$AF$2:$AF$1001,0),0), INDEX($AM$1004:$BM$1004,1,MATCH(COLUMNS($AM$1006:AY1006),$AM$1006:$BM$1006,0)))),"Fix")))</f>
        <v xml:space="preserve"> </v>
      </c>
      <c r="O560" s="4" t="str">
        <f ca="1">IF(OR(INDEX($AG$2:$AG$1001,MATCH(ROWS($AF$2:AF560),$AF$2:$AF$1001,0),1)&gt;=100000,INDEX($AM$1005:$BM$1005,1,MATCH(COLUMNS($AM$1006:AZ1006),$AM$1006:$BM$1006,0))&gt;=100000), " ",IF(INDEX($AM$2:$BM$1001,MATCH(ROWS($AF$2:AF560),$AF$2:$AF$1001,0),MATCH(COLUMNS($AM$1006:AZ1006),$AM$1006:$BM$1006,0)), HYPERLINK("#",""), HYPERLINK(CONCATENATE("#metadata!", ADDRESS(INDEX($AH$2:$AH$1001,MATCH(ROWS($AF$2:AF560),$AF$2:$AF$1001,0),0), INDEX($AM$1004:$BM$1004,1,MATCH(COLUMNS($AM$1006:AZ1006),$AM$1006:$BM$1006,0)))),"Fix")))</f>
        <v xml:space="preserve"> </v>
      </c>
      <c r="P560" s="4" t="str">
        <f ca="1">IF(OR(INDEX($AG$2:$AG$1001,MATCH(ROWS($AF$2:AF560),$AF$2:$AF$1001,0),1)&gt;=100000,INDEX($AM$1005:$BM$1005,1,MATCH(COLUMNS($AM$1006:BA1006),$AM$1006:$BM$1006,0))&gt;=100000), " ",IF(INDEX($AM$2:$BM$1001,MATCH(ROWS($AF$2:AF560),$AF$2:$AF$1001,0),MATCH(COLUMNS($AM$1006:BA1006),$AM$1006:$BM$1006,0)), HYPERLINK("#",""), HYPERLINK(CONCATENATE("#metadata!", ADDRESS(INDEX($AH$2:$AH$1001,MATCH(ROWS($AF$2:AF560),$AF$2:$AF$1001,0),0), INDEX($AM$1004:$BM$1004,1,MATCH(COLUMNS($AM$1006:BA1006),$AM$1006:$BM$1006,0)))),"Fix")))</f>
        <v xml:space="preserve"> </v>
      </c>
      <c r="Q560" s="4" t="str">
        <f ca="1">IF(OR(INDEX($AG$2:$AG$1001,MATCH(ROWS($AF$2:AF560),$AF$2:$AF$1001,0),1)&gt;=100000,INDEX($AM$1005:$BM$1005,1,MATCH(COLUMNS($AM$1006:BB1006),$AM$1006:$BM$1006,0))&gt;=100000), " ",IF(INDEX($AM$2:$BM$1001,MATCH(ROWS($AF$2:AF560),$AF$2:$AF$1001,0),MATCH(COLUMNS($AM$1006:BB1006),$AM$1006:$BM$1006,0)), HYPERLINK("#",""), HYPERLINK(CONCATENATE("#metadata!", ADDRESS(INDEX($AH$2:$AH$1001,MATCH(ROWS($AF$2:AF560),$AF$2:$AF$1001,0),0), INDEX($AM$1004:$BM$1004,1,MATCH(COLUMNS($AM$1006:BB1006),$AM$1006:$BM$1006,0)))),"Fix")))</f>
        <v xml:space="preserve"> </v>
      </c>
      <c r="R560" s="4" t="str">
        <f ca="1">IF(OR(INDEX($AG$2:$AG$1001,MATCH(ROWS($AF$2:AF560),$AF$2:$AF$1001,0),1)&gt;=100000,INDEX($AM$1005:$BM$1005,1,MATCH(COLUMNS($AM$1006:BC1006),$AM$1006:$BM$1006,0))&gt;=100000), " ",IF(INDEX($AM$2:$BM$1001,MATCH(ROWS($AF$2:AF560),$AF$2:$AF$1001,0),MATCH(COLUMNS($AM$1006:BC1006),$AM$1006:$BM$1006,0)), HYPERLINK("#",""), HYPERLINK(CONCATENATE("#metadata!", ADDRESS(INDEX($AH$2:$AH$1001,MATCH(ROWS($AF$2:AF560),$AF$2:$AF$1001,0),0), INDEX($AM$1004:$BM$1004,1,MATCH(COLUMNS($AM$1006:BC1006),$AM$1006:$BM$1006,0)))),"Fix")))</f>
        <v xml:space="preserve"> </v>
      </c>
      <c r="S560" s="4" t="str">
        <f ca="1">IF(OR(INDEX($AG$2:$AG$1001,MATCH(ROWS($AF$2:AF560),$AF$2:$AF$1001,0),1)&gt;=100000,INDEX($AM$1005:$BM$1005,1,MATCH(COLUMNS($AM$1006:BD1006),$AM$1006:$BM$1006,0))&gt;=100000), " ",IF(INDEX($AM$2:$BM$1001,MATCH(ROWS($AF$2:AF560),$AF$2:$AF$1001,0),MATCH(COLUMNS($AM$1006:BD1006),$AM$1006:$BM$1006,0)), HYPERLINK("#",""), HYPERLINK(CONCATENATE("#metadata!", ADDRESS(INDEX($AH$2:$AH$1001,MATCH(ROWS($AF$2:AF560),$AF$2:$AF$1001,0),0), INDEX($AM$1004:$BM$1004,1,MATCH(COLUMNS($AM$1006:BD1006),$AM$1006:$BM$1006,0)))),"Fix")))</f>
        <v xml:space="preserve"> </v>
      </c>
      <c r="T560" s="4" t="str">
        <f ca="1">IF(OR(INDEX($AG$2:$AG$1001,MATCH(ROWS($AF$2:AF560),$AF$2:$AF$1001,0),1)&gt;=100000,INDEX($AM$1005:$BM$1005,1,MATCH(COLUMNS($AM$1006:BE1006),$AM$1006:$BM$1006,0))&gt;=100000), " ",IF(INDEX($AM$2:$BM$1001,MATCH(ROWS($AF$2:AF560),$AF$2:$AF$1001,0),MATCH(COLUMNS($AM$1006:BE1006),$AM$1006:$BM$1006,0)), HYPERLINK("#",""), HYPERLINK(CONCATENATE("#metadata!", ADDRESS(INDEX($AH$2:$AH$1001,MATCH(ROWS($AF$2:AF560),$AF$2:$AF$1001,0),0), INDEX($AM$1004:$BM$1004,1,MATCH(COLUMNS($AM$1006:BE1006),$AM$1006:$BM$1006,0)))),"Fix")))</f>
        <v xml:space="preserve"> </v>
      </c>
      <c r="U560" s="4" t="str">
        <f ca="1">IF(OR(INDEX($AG$2:$AG$1001,MATCH(ROWS($AF$2:AF560),$AF$2:$AF$1001,0),1)&gt;=100000,INDEX($AM$1005:$BM$1005,1,MATCH(COLUMNS($AM$1006:BF1006),$AM$1006:$BM$1006,0))&gt;=100000), " ",IF(INDEX($AM$2:$BM$1001,MATCH(ROWS($AF$2:AF560),$AF$2:$AF$1001,0),MATCH(COLUMNS($AM$1006:BF1006),$AM$1006:$BM$1006,0)), HYPERLINK("#",""), HYPERLINK(CONCATENATE("#metadata!", ADDRESS(INDEX($AH$2:$AH$1001,MATCH(ROWS($AF$2:AF560),$AF$2:$AF$1001,0),0), INDEX($AM$1004:$BM$1004,1,MATCH(COLUMNS($AM$1006:BF1006),$AM$1006:$BM$1006,0)))),"Fix")))</f>
        <v xml:space="preserve"> </v>
      </c>
      <c r="V560" s="4" t="str">
        <f ca="1">IF(OR(INDEX($AG$2:$AG$1001,MATCH(ROWS($AF$2:AF560),$AF$2:$AF$1001,0),1)&gt;=100000,INDEX($AM$1005:$BM$1005,1,MATCH(COLUMNS($AM$1006:BG1006),$AM$1006:$BM$1006,0))&gt;=100000), " ",IF(INDEX($AM$2:$BM$1001,MATCH(ROWS($AF$2:AF560),$AF$2:$AF$1001,0),MATCH(COLUMNS($AM$1006:BG1006),$AM$1006:$BM$1006,0)), HYPERLINK("#",""), HYPERLINK(CONCATENATE("#metadata!", ADDRESS(INDEX($AH$2:$AH$1001,MATCH(ROWS($AF$2:AF560),$AF$2:$AF$1001,0),0), INDEX($AM$1004:$BM$1004,1,MATCH(COLUMNS($AM$1006:BG1006),$AM$1006:$BM$1006,0)))),"Fix")))</f>
        <v xml:space="preserve"> </v>
      </c>
      <c r="W560" s="4" t="str">
        <f ca="1">IF(OR(INDEX($AG$2:$AG$1001,MATCH(ROWS($AF$2:AF560),$AF$2:$AF$1001,0),1)&gt;=100000,INDEX($AM$1005:$BM$1005,1,MATCH(COLUMNS($AM$1006:BH1006),$AM$1006:$BM$1006,0))&gt;=100000), " ",IF(INDEX($AM$2:$BM$1001,MATCH(ROWS($AF$2:AF560),$AF$2:$AF$1001,0),MATCH(COLUMNS($AM$1006:BH1006),$AM$1006:$BM$1006,0)), HYPERLINK("#",""), HYPERLINK(CONCATENATE("#metadata!", ADDRESS(INDEX($AH$2:$AH$1001,MATCH(ROWS($AF$2:AF560),$AF$2:$AF$1001,0),0), INDEX($AM$1004:$BM$1004,1,MATCH(COLUMNS($AM$1006:BH1006),$AM$1006:$BM$1006,0)))),"Fix")))</f>
        <v xml:space="preserve"> </v>
      </c>
      <c r="X560" s="4" t="str">
        <f ca="1">IF(OR(INDEX($AG$2:$AG$1001,MATCH(ROWS($AF$2:AF560),$AF$2:$AF$1001,0),1)&gt;=100000,INDEX($AM$1005:$BM$1005,1,MATCH(COLUMNS($AM$1006:BI1006),$AM$1006:$BM$1006,0))&gt;=100000), " ",IF(INDEX($AM$2:$BM$1001,MATCH(ROWS($AF$2:AF560),$AF$2:$AF$1001,0),MATCH(COLUMNS($AM$1006:BI1006),$AM$1006:$BM$1006,0)), HYPERLINK("#",""), HYPERLINK(CONCATENATE("#metadata!", ADDRESS(INDEX($AH$2:$AH$1001,MATCH(ROWS($AF$2:AF560),$AF$2:$AF$1001,0),0), INDEX($AM$1004:$BM$1004,1,MATCH(COLUMNS($AM$1006:BI1006),$AM$1006:$BM$1006,0)))),"Fix")))</f>
        <v xml:space="preserve"> </v>
      </c>
      <c r="Y560" s="4" t="str">
        <f ca="1">IF(OR(INDEX($AG$2:$AG$1001,MATCH(ROWS($AF$2:AF560),$AF$2:$AF$1001,0),1)&gt;=100000,INDEX($AM$1005:$BM$1005,1,MATCH(COLUMNS($AM$1006:BJ1006),$AM$1006:$BM$1006,0))&gt;=100000), " ",IF(INDEX($AM$2:$BM$1001,MATCH(ROWS($AF$2:AF560),$AF$2:$AF$1001,0),MATCH(COLUMNS($AM$1006:BJ1006),$AM$1006:$BM$1006,0)), HYPERLINK("#",""), HYPERLINK(CONCATENATE("#metadata!", ADDRESS(INDEX($AH$2:$AH$1001,MATCH(ROWS($AF$2:AF560),$AF$2:$AF$1001,0),0), INDEX($AM$1004:$BM$1004,1,MATCH(COLUMNS($AM$1006:BJ1006),$AM$1006:$BM$1006,0)))),"Fix")))</f>
        <v xml:space="preserve"> </v>
      </c>
      <c r="Z560" s="4" t="str">
        <f ca="1">IF(OR(INDEX($AG$2:$AG$1001,MATCH(ROWS($AF$2:AF560),$AF$2:$AF$1001,0),1)&gt;=100000,INDEX($AM$1005:$BM$1005,1,MATCH(COLUMNS($AM$1006:BK1006),$AM$1006:$BM$1006,0))&gt;=100000), " ",IF(INDEX($AM$2:$BM$1001,MATCH(ROWS($AF$2:AF560),$AF$2:$AF$1001,0),MATCH(COLUMNS($AM$1006:BK1006),$AM$1006:$BM$1006,0)), HYPERLINK("#",""), HYPERLINK(CONCATENATE("#metadata!", ADDRESS(INDEX($AH$2:$AH$1001,MATCH(ROWS($AF$2:AF560),$AF$2:$AF$1001,0),0), INDEX($AM$1004:$BM$1004,1,MATCH(COLUMNS($AM$1006:BK1006),$AM$1006:$BM$1006,0)))),"Fix")))</f>
        <v xml:space="preserve"> </v>
      </c>
      <c r="AA560" s="4" t="str">
        <f ca="1">IF(OR(INDEX($AG$2:$AG$1001,MATCH(ROWS($AF$2:AF560),$AF$2:$AF$1001,0),1)&gt;=100000,INDEX($AM$1005:$BM$1005,1,MATCH(COLUMNS($AM$1006:BL1006),$AM$1006:$BM$1006,0))&gt;=100000), " ",IF(INDEX($AM$2:$BM$1001,MATCH(ROWS($AF$2:AF560),$AF$2:$AF$1001,0),MATCH(COLUMNS($AM$1006:BL1006),$AM$1006:$BM$1006,0)), HYPERLINK("#",""), HYPERLINK(CONCATENATE("#metadata!", ADDRESS(INDEX($AH$2:$AH$1001,MATCH(ROWS($AF$2:AF560),$AF$2:$AF$1001,0),0), INDEX($AM$1004:$BM$1004,1,MATCH(COLUMNS($AM$1006:BL1006),$AM$1006:$BM$1006,0)))),"Fix")))</f>
        <v xml:space="preserve"> </v>
      </c>
      <c r="AB560" s="4" t="str">
        <f ca="1">IF(OR(INDEX($AG$2:$AG$1001,MATCH(ROWS($AF$2:AF560),$AF$2:$AF$1001,0),1)&gt;=100000,INDEX($AM$1005:$BM$1005,1,MATCH(COLUMNS($AM$1006:BM1006),$AM$1006:$BM$1006,0))&gt;=100000), " ",IF(INDEX($AM$2:$BM$1001,MATCH(ROWS($AF$2:AF560),$AF$2:$AF$1001,0),MATCH(COLUMNS($AM$1006:BM1006),$AM$1006:$BM$1006,0)), HYPERLINK("#",""), HYPERLINK(CONCATENATE("#metadata!", ADDRESS(INDEX($AH$2:$AH$1001,MATCH(ROWS($AF$2:AF560),$AF$2:$AF$1001,0),0), INDEX($AM$1004:$BM$1004,1,MATCH(COLUMNS($AM$1006:BM1006),$AM$1006:$BM$1006,0)))),"Fix")))</f>
        <v xml:space="preserve"> </v>
      </c>
      <c r="AF560">
        <v>559</v>
      </c>
      <c r="AG560">
        <v>100560</v>
      </c>
      <c r="AH560">
        <v>560</v>
      </c>
      <c r="AI560" t="b">
        <f t="shared" si="8"/>
        <v>1</v>
      </c>
      <c r="AJ560" t="b">
        <f>COUNTBLANK(metadata!B560:AB560)=COLUMNS(metadata!B560:AB560)</f>
        <v>1</v>
      </c>
      <c r="AK560" t="str">
        <v/>
      </c>
      <c r="AM560" t="b">
        <f ca="1">AND(IF(metadata!B560="",FALSE,TRUE),COUNTIF(metadata!B:B, metadata!B560) = 1,NOT(ISERROR(SUMPRODUCT(SEARCH(MID(metadata!B560,ROW(INDIRECT("1:"&amp;LEN(metadata!B560))), 1),"0123456789abcdefghijklmnopqrstuvwxyzABCDEFGHIJKLMNOPQRSTUVWXYZ.")))))</f>
        <v>0</v>
      </c>
      <c r="AN560" t="b">
        <f ca="1">OR(AND(IF(metadata!C560="",FALSE,TRUE),OR(EXACT(metadata!C560,"missing: not collected"),EXACT(metadata!C560,"missing: not provided"),EXACT(metadata!C560,"missing: restricted access"))),AND(IF(metadata!C560="",FALSE,TRUE),AND(AND(IFERROR(INT(LEFT(metadata!C560,4))&gt;1900,FALSE),IFERROR(INT(LEFT(metadata!C560,4))&lt;=YEAR(NOW()),FALSE)), OR(MID(metadata!C560,5,1)="", AND(AND(MID(metadata!C560,5,1)="-",IFERROR(INT(MID(metadata!C560,6,1))&gt;=0,FALSE),IFERROR(INT(MID(metadata!C560,6,1))&lt;=1,FALSE),NOT(MID(metadata!C560,7,1)=""),IFERROR(INT(MID(metadata!C560,6,2))&gt;=1,FALSE),IFERROR(INT(MID(metadata!C560,6,2))&lt;=12,FALSE)), OR(MID(metadata!C560,8,1)="", AND(AND(MID(metadata!C560,8,1)="-",IFERROR(INT(MID(metadata!C560,9,1))&gt;=0,FALSE),IFERROR(INT(MID(metadata!C560,9,1))&lt;=3,FALSE),NOT(MID(metadata!C560,10,1)=""),IFERROR(INT(MID(metadata!C560,9,2))&gt;=1,FALSE),IFERROR(INT(MID(metadata!C560,9,2))&lt;=31,FALSE)), OR(MID(metadata!C560,11,1)="", AND(AND(MID(metadata!C560,11,1)=" ",IFERROR(INT(MID(metadata!C560,12,1))&gt;=0,FALSE),IFERROR(INT(MID(metadata!C560,12,1))&lt;=2,FALSE),NOT(MID(metadata!C560,13,1)=""),IFERROR(INT(MID(metadata!C560,12,2))&gt;=0,FALSE),IFERROR(INT(MID(metadata!C560,12,2))&lt;=23,FALSE)), OR(MID(metadata!C560,14,1)="", AND(AND(MID(metadata!C560,14,1)=":",IFERROR(INT(MID(metadata!C560,15,1))&gt;=0,FALSE),IFERROR(INT(MID(metadata!C560,15,1))&lt;=5,FALSE),NOT(MID(metadata!C560,16,1)=""),IFERROR(INT(MID(metadata!C560,15,2))&gt;=0,FALSE),IFERROR(INT(MID(metadata!C560,15,2))&lt;=59,FALSE)), OR(MID(metadata!C560,17,1)="", AND(AND(MID(metadata!C560,17,1)=":",IFERROR(INT(MID(metadata!C560,18,1))&gt;=0,FALSE),IFERROR(INT(MID(metadata!C560,18,1))&lt;=5,FALSE),NOT(MID(metadata!C560,19,1)=""),IFERROR(INT(MID(metadata!C560,18,2))&gt;=0,FALSE),IFERROR(INT(MID(metadata!C560,18,2))&lt;=59,FALSE)), LEN(metadata!C560)&lt;=19)))))))))))))</f>
        <v>0</v>
      </c>
      <c r="AO560" t="b">
        <f>AND(IF(metadata!D560="",FALSE,TRUE),EXACT(metadata!D560,"Not applicable"))</f>
        <v>0</v>
      </c>
      <c r="AP560" t="b">
        <f>IF(metadata!E560="",FALSE,TRUE)</f>
        <v>0</v>
      </c>
      <c r="AQ560" t="b">
        <f>OR(AND(IF(metadata!F560="",FALSE,TRUE),OR(EXACT(metadata!F560,"missing: not collected"),EXACT(metadata!F560,"missing: not provided"))),AND(IF(metadata!F560="",FALSE,TRUE),OR(EXACT(metadata!F560,"TRUE"),EXACT(metadata!F560,"FALSE"))))</f>
        <v>0</v>
      </c>
      <c r="AR560" t="b">
        <f>OR(AND(IF(metadata!G560="",FALSE,TRUE),OR(EXACT(metadata!G560,"missing: not collected"),EXACT(metadata!G560,"missing: not provided"),EXACT(metadata!G560,"missing: restricted access"))),AND(IF(metadata!G560="",FALSE,ISNUMBER(VALUE(metadata!G560))),metadata!G560&gt;=-413))</f>
        <v>0</v>
      </c>
      <c r="AS560" t="b">
        <f>AND(IF(metadata!H560="",FALSE,TRUE),EXACT(metadata!H560,"meters"))</f>
        <v>0</v>
      </c>
      <c r="AT560" t="b">
        <f>AND(IF(metadata!I560="",FALSE,TRUE),OR(EXACT(metadata!I560,"Host-associated"),EXACT(metadata!I560,"Free-living")))</f>
        <v>0</v>
      </c>
      <c r="AU560" t="b">
        <f>AND(IF(metadata!J560="",FALSE,TRUE),OR(EXACT(metadata!J560,"Animal"),EXACT(metadata!J560,"Fungus"),EXACT(metadata!J560,"Plant"),EXACT(metadata!J560,"Saline"),EXACT(metadata!J560,"Non-saline")))</f>
        <v>0</v>
      </c>
      <c r="AV560" t="b">
        <f>AND(IF(metadata!K560="",FALSE,TRUE),OR(EXACT(metadata!K560,"Plant secretion"),EXACT(metadata!K560,"Plant rhizosphere"),EXACT(metadata!K560,"Plant surface"),EXACT(metadata!K560,"Plant corpus"),EXACT(metadata!K560,"Fungus surface"),EXACT(metadata!K560,"Fungus corpus"),EXACT(metadata!K560,"Animal surface"),EXACT(metadata!K560,"Animal proximal gut"),EXACT(metadata!K560,"Animal corpus"),EXACT(metadata!K560,"Animal distal gut"),EXACT(metadata!K560,"Animal secretion"),EXACT(metadata!K560,"Sub-surface (non-saline)"),EXACT(metadata!K560,"Surface (non-saline)"),EXACT(metadata!K560,"Water (non-saline)"),EXACT(metadata!K560,"Soil (non-saline)"),EXACT(metadata!K560,"Aerosol (non-saline)"),EXACT(metadata!K560,"Sediment (non-saline)"),EXACT(metadata!K560,"Surface (saline)"),EXACT(metadata!K560,"Water (saline)"),EXACT(metadata!K560,"Hypersaline (saline)"),EXACT(metadata!K560,"Aerosol (saline)"),EXACT(metadata!K560,"Sediment (saline)")))</f>
        <v>0</v>
      </c>
      <c r="AW560" t="b">
        <f>IF(metadata!L560="",FALSE,TRUE)</f>
        <v>0</v>
      </c>
      <c r="AX560" t="b">
        <f>IF(metadata!M560="",FALSE,TRUE)</f>
        <v>0</v>
      </c>
      <c r="AY560" t="b">
        <f>IF(metadata!N560="",FALSE,TRUE)</f>
        <v>0</v>
      </c>
      <c r="AZ560" t="b">
        <f>OR(AND(IF(metadata!O560="",FALSE,TRUE),OR(EXACT(metadata!O560,"missing: not collected"),EXACT(metadata!O560,"missing: not provided"),EXACT(metadata!O560,"missing: restricted access"))),AND(IF(metadata!O560="",FALSE,TRUE),OR(EXACT(metadata!O560,"air"),EXACT(metadata!O560,"built environment"),EXACT(metadata!O560,"host-associated"),EXACT(metadata!O560,"human-associated"),EXACT(metadata!O560,"human-skin"),EXACT(metadata!O560,"human-oral"),EXACT(metadata!O560,"human-gut"),EXACT(metadata!O560,"human-vaginal"),EXACT(metadata!O560,"microbial mat/biofilm"),EXACT(metadata!O560,"misc environment"),EXACT(metadata!O560,"plant-associated"),EXACT(metadata!O560,"sediment"),EXACT(metadata!O560,"soil"),EXACT(metadata!O560,"wastewater/sludge"),EXACT(metadata!O560,"water"))))</f>
        <v>0</v>
      </c>
      <c r="BA560" t="b">
        <f>IF(metadata!P560="",FALSE,TRUE)</f>
        <v>0</v>
      </c>
      <c r="BB560" t="b">
        <f>IF(metadata!Q560="",FALSE,TRUE)</f>
        <v>0</v>
      </c>
      <c r="BC560" t="b">
        <f>OR(AND(IF(metadata!R560="",FALSE,TRUE),OR(EXACT(metadata!R560,"missing: not collected"),EXACT(metadata!R560,"missing: not provided"),EXACT(metadata!R560,"missing: restricted access"))),AND(IF(metadata!R560="",FALSE,ISNUMBER(VALUE(metadata!R560))),metadata!R560&gt;=-90,metadata!R560&lt;=90))</f>
        <v>0</v>
      </c>
      <c r="BD560" t="b">
        <f>AND(IF(metadata!S560="",FALSE,TRUE),EXACT(metadata!S560,"Decimal degrees"))</f>
        <v>0</v>
      </c>
      <c r="BE560" t="b">
        <f>OR(AND(IF(metadata!T560="",FALSE,TRUE),OR(EXACT(metadata!T560,"missing: not collected"),EXACT(metadata!T560,"missing: not provided"),EXACT(metadata!T560,"missing: restricted access"))),AND(IF(metadata!T560="",FALSE,ISNUMBER(VALUE(metadata!T560))),metadata!T560&gt;=-180,metadata!T560&lt;=180))</f>
        <v>0</v>
      </c>
      <c r="BF560" t="b">
        <f>AND(IF(metadata!U560="",FALSE,TRUE),EXACT(metadata!U560,"Decimal degrees"))</f>
        <v>0</v>
      </c>
      <c r="BG560" t="b">
        <f>IF(metadata!V560="",FALSE,TRUE)</f>
        <v>0</v>
      </c>
      <c r="BH560" t="b">
        <f>OR(AND(IF(metadata!W560="",FALSE,TRUE),OR(EXACT(metadata!W560,"missing: not collected"),EXACT(metadata!W560,"missing: not provided"),EXACT(metadata!W560,"missing: restricted access"))),AND(IF(metadata!W560="",FALSE,TRUE),OR(EXACT(metadata!W560,"TRUE"),EXACT(metadata!W560,"FALSE"))))</f>
        <v>0</v>
      </c>
      <c r="BI560" t="b">
        <f>AND(IF(metadata!X560="",FALSE,TRUE),EXACT(metadata!X560,"other"))</f>
        <v>0</v>
      </c>
      <c r="BJ560" t="b">
        <f>IF(metadata!Y560="",FALSE,TRUE)</f>
        <v>0</v>
      </c>
      <c r="BK560" t="b">
        <f>OR(AND(IF(metadata!Z560="",FALSE,TRUE),OR(EXACT(metadata!Z560,"missing: not collected"),EXACT(metadata!Z560,"missing: not provided"))),AND(IF(metadata!Z560="",FALSE,IF(ISERROR(INT(metadata!Z560)),FALSE,INT(metadata!Z560)=metadata!Z560)),metadata!Z560&gt;0))</f>
        <v>0</v>
      </c>
      <c r="BL560" t="b">
        <f>AND(IF(metadata!AA560="",FALSE,TRUE),EXACT(metadata!AA560,"Not applicable"))</f>
        <v>0</v>
      </c>
      <c r="BM560" t="b">
        <f>IF(metadata!AB560="",FALSE,TRUE)</f>
        <v>0</v>
      </c>
    </row>
    <row r="561" spans="1:65" x14ac:dyDescent="0.2">
      <c r="A561" s="5" t="str">
        <f ca="1">IF(B561=" "," ",HYPERLINK(CONCATENATE("#metadata!",ADDRESS(INDEX($AH$2:$AH$1001,MATCH(ROWS($AF$2:AF561),$AF$2:$AF$1001,0),0),1)),INDEX($AK$2:$AK$1001,MATCH(ROWS($AF$2:AF561),$AF$2:$AF$1001,0),0)))</f>
        <v xml:space="preserve"> </v>
      </c>
      <c r="B561" s="4" t="str">
        <f ca="1">IF(OR(INDEX($AG$2:$AG$1001,MATCH(ROWS($AF$2:AF561),$AF$2:$AF$1001,0),1)&gt;=100000,INDEX($AM$1005:$BM$1005,1,MATCH(COLUMNS($AM$1006:AM1006),$AM$1006:$BM$1006,0))&gt;=100000), " ",IF(INDEX($AM$2:$BM$1001,MATCH(ROWS($AF$2:AF561),$AF$2:$AF$1001,0),MATCH(COLUMNS($AM$1006:AM1006),$AM$1006:$BM$1006,0)), HYPERLINK("#",""), HYPERLINK(CONCATENATE("#metadata!", ADDRESS(INDEX($AH$2:$AH$1001,MATCH(ROWS($AF$2:AF561),$AF$2:$AF$1001,0),0), INDEX($AM$1004:$BM$1004,1,MATCH(COLUMNS($AM$1006:AM1006),$AM$1006:$BM$1006,0)))),"Fix")))</f>
        <v xml:space="preserve"> </v>
      </c>
      <c r="C561" s="4" t="str">
        <f ca="1">IF(OR(INDEX($AG$2:$AG$1001,MATCH(ROWS($AF$2:AF561),$AF$2:$AF$1001,0),1)&gt;=100000,INDEX($AM$1005:$BM$1005,1,MATCH(COLUMNS($AM$1006:AN1006),$AM$1006:$BM$1006,0))&gt;=100000), " ",IF(INDEX($AM$2:$BM$1001,MATCH(ROWS($AF$2:AF561),$AF$2:$AF$1001,0),MATCH(COLUMNS($AM$1006:AN1006),$AM$1006:$BM$1006,0)), HYPERLINK("#",""), HYPERLINK(CONCATENATE("#metadata!", ADDRESS(INDEX($AH$2:$AH$1001,MATCH(ROWS($AF$2:AF561),$AF$2:$AF$1001,0),0), INDEX($AM$1004:$BM$1004,1,MATCH(COLUMNS($AM$1006:AN1006),$AM$1006:$BM$1006,0)))),"Fix")))</f>
        <v xml:space="preserve"> </v>
      </c>
      <c r="D561" s="4" t="str">
        <f ca="1">IF(OR(INDEX($AG$2:$AG$1001,MATCH(ROWS($AF$2:AF561),$AF$2:$AF$1001,0),1)&gt;=100000,INDEX($AM$1005:$BM$1005,1,MATCH(COLUMNS($AM$1006:AO1006),$AM$1006:$BM$1006,0))&gt;=100000), " ",IF(INDEX($AM$2:$BM$1001,MATCH(ROWS($AF$2:AF561),$AF$2:$AF$1001,0),MATCH(COLUMNS($AM$1006:AO1006),$AM$1006:$BM$1006,0)), HYPERLINK("#",""), HYPERLINK(CONCATENATE("#metadata!", ADDRESS(INDEX($AH$2:$AH$1001,MATCH(ROWS($AF$2:AF561),$AF$2:$AF$1001,0),0), INDEX($AM$1004:$BM$1004,1,MATCH(COLUMNS($AM$1006:AO1006),$AM$1006:$BM$1006,0)))),"Fix")))</f>
        <v xml:space="preserve"> </v>
      </c>
      <c r="E561" s="4" t="str">
        <f ca="1">IF(OR(INDEX($AG$2:$AG$1001,MATCH(ROWS($AF$2:AF561),$AF$2:$AF$1001,0),1)&gt;=100000,INDEX($AM$1005:$BM$1005,1,MATCH(COLUMNS($AM$1006:AP1006),$AM$1006:$BM$1006,0))&gt;=100000), " ",IF(INDEX($AM$2:$BM$1001,MATCH(ROWS($AF$2:AF561),$AF$2:$AF$1001,0),MATCH(COLUMNS($AM$1006:AP1006),$AM$1006:$BM$1006,0)), HYPERLINK("#",""), HYPERLINK(CONCATENATE("#metadata!", ADDRESS(INDEX($AH$2:$AH$1001,MATCH(ROWS($AF$2:AF561),$AF$2:$AF$1001,0),0), INDEX($AM$1004:$BM$1004,1,MATCH(COLUMNS($AM$1006:AP1006),$AM$1006:$BM$1006,0)))),"Fix")))</f>
        <v xml:space="preserve"> </v>
      </c>
      <c r="F561" s="4" t="str">
        <f ca="1">IF(OR(INDEX($AG$2:$AG$1001,MATCH(ROWS($AF$2:AF561),$AF$2:$AF$1001,0),1)&gt;=100000,INDEX($AM$1005:$BM$1005,1,MATCH(COLUMNS($AM$1006:AQ1006),$AM$1006:$BM$1006,0))&gt;=100000), " ",IF(INDEX($AM$2:$BM$1001,MATCH(ROWS($AF$2:AF561),$AF$2:$AF$1001,0),MATCH(COLUMNS($AM$1006:AQ1006),$AM$1006:$BM$1006,0)), HYPERLINK("#",""), HYPERLINK(CONCATENATE("#metadata!", ADDRESS(INDEX($AH$2:$AH$1001,MATCH(ROWS($AF$2:AF561),$AF$2:$AF$1001,0),0), INDEX($AM$1004:$BM$1004,1,MATCH(COLUMNS($AM$1006:AQ1006),$AM$1006:$BM$1006,0)))),"Fix")))</f>
        <v xml:space="preserve"> </v>
      </c>
      <c r="G561" s="4" t="str">
        <f ca="1">IF(OR(INDEX($AG$2:$AG$1001,MATCH(ROWS($AF$2:AF561),$AF$2:$AF$1001,0),1)&gt;=100000,INDEX($AM$1005:$BM$1005,1,MATCH(COLUMNS($AM$1006:AR1006),$AM$1006:$BM$1006,0))&gt;=100000), " ",IF(INDEX($AM$2:$BM$1001,MATCH(ROWS($AF$2:AF561),$AF$2:$AF$1001,0),MATCH(COLUMNS($AM$1006:AR1006),$AM$1006:$BM$1006,0)), HYPERLINK("#",""), HYPERLINK(CONCATENATE("#metadata!", ADDRESS(INDEX($AH$2:$AH$1001,MATCH(ROWS($AF$2:AF561),$AF$2:$AF$1001,0),0), INDEX($AM$1004:$BM$1004,1,MATCH(COLUMNS($AM$1006:AR1006),$AM$1006:$BM$1006,0)))),"Fix")))</f>
        <v xml:space="preserve"> </v>
      </c>
      <c r="H561" s="4" t="str">
        <f ca="1">IF(OR(INDEX($AG$2:$AG$1001,MATCH(ROWS($AF$2:AF561),$AF$2:$AF$1001,0),1)&gt;=100000,INDEX($AM$1005:$BM$1005,1,MATCH(COLUMNS($AM$1006:AS1006),$AM$1006:$BM$1006,0))&gt;=100000), " ",IF(INDEX($AM$2:$BM$1001,MATCH(ROWS($AF$2:AF561),$AF$2:$AF$1001,0),MATCH(COLUMNS($AM$1006:AS1006),$AM$1006:$BM$1006,0)), HYPERLINK("#",""), HYPERLINK(CONCATENATE("#metadata!", ADDRESS(INDEX($AH$2:$AH$1001,MATCH(ROWS($AF$2:AF561),$AF$2:$AF$1001,0),0), INDEX($AM$1004:$BM$1004,1,MATCH(COLUMNS($AM$1006:AS1006),$AM$1006:$BM$1006,0)))),"Fix")))</f>
        <v xml:space="preserve"> </v>
      </c>
      <c r="I561" s="4" t="str">
        <f ca="1">IF(OR(INDEX($AG$2:$AG$1001,MATCH(ROWS($AF$2:AF561),$AF$2:$AF$1001,0),1)&gt;=100000,INDEX($AM$1005:$BM$1005,1,MATCH(COLUMNS($AM$1006:AT1006),$AM$1006:$BM$1006,0))&gt;=100000), " ",IF(INDEX($AM$2:$BM$1001,MATCH(ROWS($AF$2:AF561),$AF$2:$AF$1001,0),MATCH(COLUMNS($AM$1006:AT1006),$AM$1006:$BM$1006,0)), HYPERLINK("#",""), HYPERLINK(CONCATENATE("#metadata!", ADDRESS(INDEX($AH$2:$AH$1001,MATCH(ROWS($AF$2:AF561),$AF$2:$AF$1001,0),0), INDEX($AM$1004:$BM$1004,1,MATCH(COLUMNS($AM$1006:AT1006),$AM$1006:$BM$1006,0)))),"Fix")))</f>
        <v xml:space="preserve"> </v>
      </c>
      <c r="J561" s="4" t="str">
        <f ca="1">IF(OR(INDEX($AG$2:$AG$1001,MATCH(ROWS($AF$2:AF561),$AF$2:$AF$1001,0),1)&gt;=100000,INDEX($AM$1005:$BM$1005,1,MATCH(COLUMNS($AM$1006:AU1006),$AM$1006:$BM$1006,0))&gt;=100000), " ",IF(INDEX($AM$2:$BM$1001,MATCH(ROWS($AF$2:AF561),$AF$2:$AF$1001,0),MATCH(COLUMNS($AM$1006:AU1006),$AM$1006:$BM$1006,0)), HYPERLINK("#",""), HYPERLINK(CONCATENATE("#metadata!", ADDRESS(INDEX($AH$2:$AH$1001,MATCH(ROWS($AF$2:AF561),$AF$2:$AF$1001,0),0), INDEX($AM$1004:$BM$1004,1,MATCH(COLUMNS($AM$1006:AU1006),$AM$1006:$BM$1006,0)))),"Fix")))</f>
        <v xml:space="preserve"> </v>
      </c>
      <c r="K561" s="4" t="str">
        <f ca="1">IF(OR(INDEX($AG$2:$AG$1001,MATCH(ROWS($AF$2:AF561),$AF$2:$AF$1001,0),1)&gt;=100000,INDEX($AM$1005:$BM$1005,1,MATCH(COLUMNS($AM$1006:AV1006),$AM$1006:$BM$1006,0))&gt;=100000), " ",IF(INDEX($AM$2:$BM$1001,MATCH(ROWS($AF$2:AF561),$AF$2:$AF$1001,0),MATCH(COLUMNS($AM$1006:AV1006),$AM$1006:$BM$1006,0)), HYPERLINK("#",""), HYPERLINK(CONCATENATE("#metadata!", ADDRESS(INDEX($AH$2:$AH$1001,MATCH(ROWS($AF$2:AF561),$AF$2:$AF$1001,0),0), INDEX($AM$1004:$BM$1004,1,MATCH(COLUMNS($AM$1006:AV1006),$AM$1006:$BM$1006,0)))),"Fix")))</f>
        <v xml:space="preserve"> </v>
      </c>
      <c r="L561" s="4" t="str">
        <f ca="1">IF(OR(INDEX($AG$2:$AG$1001,MATCH(ROWS($AF$2:AF561),$AF$2:$AF$1001,0),1)&gt;=100000,INDEX($AM$1005:$BM$1005,1,MATCH(COLUMNS($AM$1006:AW1006),$AM$1006:$BM$1006,0))&gt;=100000), " ",IF(INDEX($AM$2:$BM$1001,MATCH(ROWS($AF$2:AF561),$AF$2:$AF$1001,0),MATCH(COLUMNS($AM$1006:AW1006),$AM$1006:$BM$1006,0)), HYPERLINK("#",""), HYPERLINK(CONCATENATE("#metadata!", ADDRESS(INDEX($AH$2:$AH$1001,MATCH(ROWS($AF$2:AF561),$AF$2:$AF$1001,0),0), INDEX($AM$1004:$BM$1004,1,MATCH(COLUMNS($AM$1006:AW1006),$AM$1006:$BM$1006,0)))),"Fix")))</f>
        <v xml:space="preserve"> </v>
      </c>
      <c r="M561" s="4" t="str">
        <f ca="1">IF(OR(INDEX($AG$2:$AG$1001,MATCH(ROWS($AF$2:AF561),$AF$2:$AF$1001,0),1)&gt;=100000,INDEX($AM$1005:$BM$1005,1,MATCH(COLUMNS($AM$1006:AX1006),$AM$1006:$BM$1006,0))&gt;=100000), " ",IF(INDEX($AM$2:$BM$1001,MATCH(ROWS($AF$2:AF561),$AF$2:$AF$1001,0),MATCH(COLUMNS($AM$1006:AX1006),$AM$1006:$BM$1006,0)), HYPERLINK("#",""), HYPERLINK(CONCATENATE("#metadata!", ADDRESS(INDEX($AH$2:$AH$1001,MATCH(ROWS($AF$2:AF561),$AF$2:$AF$1001,0),0), INDEX($AM$1004:$BM$1004,1,MATCH(COLUMNS($AM$1006:AX1006),$AM$1006:$BM$1006,0)))),"Fix")))</f>
        <v xml:space="preserve"> </v>
      </c>
      <c r="N561" s="4" t="str">
        <f ca="1">IF(OR(INDEX($AG$2:$AG$1001,MATCH(ROWS($AF$2:AF561),$AF$2:$AF$1001,0),1)&gt;=100000,INDEX($AM$1005:$BM$1005,1,MATCH(COLUMNS($AM$1006:AY1006),$AM$1006:$BM$1006,0))&gt;=100000), " ",IF(INDEX($AM$2:$BM$1001,MATCH(ROWS($AF$2:AF561),$AF$2:$AF$1001,0),MATCH(COLUMNS($AM$1006:AY1006),$AM$1006:$BM$1006,0)), HYPERLINK("#",""), HYPERLINK(CONCATENATE("#metadata!", ADDRESS(INDEX($AH$2:$AH$1001,MATCH(ROWS($AF$2:AF561),$AF$2:$AF$1001,0),0), INDEX($AM$1004:$BM$1004,1,MATCH(COLUMNS($AM$1006:AY1006),$AM$1006:$BM$1006,0)))),"Fix")))</f>
        <v xml:space="preserve"> </v>
      </c>
      <c r="O561" s="4" t="str">
        <f ca="1">IF(OR(INDEX($AG$2:$AG$1001,MATCH(ROWS($AF$2:AF561),$AF$2:$AF$1001,0),1)&gt;=100000,INDEX($AM$1005:$BM$1005,1,MATCH(COLUMNS($AM$1006:AZ1006),$AM$1006:$BM$1006,0))&gt;=100000), " ",IF(INDEX($AM$2:$BM$1001,MATCH(ROWS($AF$2:AF561),$AF$2:$AF$1001,0),MATCH(COLUMNS($AM$1006:AZ1006),$AM$1006:$BM$1006,0)), HYPERLINK("#",""), HYPERLINK(CONCATENATE("#metadata!", ADDRESS(INDEX($AH$2:$AH$1001,MATCH(ROWS($AF$2:AF561),$AF$2:$AF$1001,0),0), INDEX($AM$1004:$BM$1004,1,MATCH(COLUMNS($AM$1006:AZ1006),$AM$1006:$BM$1006,0)))),"Fix")))</f>
        <v xml:space="preserve"> </v>
      </c>
      <c r="P561" s="4" t="str">
        <f ca="1">IF(OR(INDEX($AG$2:$AG$1001,MATCH(ROWS($AF$2:AF561),$AF$2:$AF$1001,0),1)&gt;=100000,INDEX($AM$1005:$BM$1005,1,MATCH(COLUMNS($AM$1006:BA1006),$AM$1006:$BM$1006,0))&gt;=100000), " ",IF(INDEX($AM$2:$BM$1001,MATCH(ROWS($AF$2:AF561),$AF$2:$AF$1001,0),MATCH(COLUMNS($AM$1006:BA1006),$AM$1006:$BM$1006,0)), HYPERLINK("#",""), HYPERLINK(CONCATENATE("#metadata!", ADDRESS(INDEX($AH$2:$AH$1001,MATCH(ROWS($AF$2:AF561),$AF$2:$AF$1001,0),0), INDEX($AM$1004:$BM$1004,1,MATCH(COLUMNS($AM$1006:BA1006),$AM$1006:$BM$1006,0)))),"Fix")))</f>
        <v xml:space="preserve"> </v>
      </c>
      <c r="Q561" s="4" t="str">
        <f ca="1">IF(OR(INDEX($AG$2:$AG$1001,MATCH(ROWS($AF$2:AF561),$AF$2:$AF$1001,0),1)&gt;=100000,INDEX($AM$1005:$BM$1005,1,MATCH(COLUMNS($AM$1006:BB1006),$AM$1006:$BM$1006,0))&gt;=100000), " ",IF(INDEX($AM$2:$BM$1001,MATCH(ROWS($AF$2:AF561),$AF$2:$AF$1001,0),MATCH(COLUMNS($AM$1006:BB1006),$AM$1006:$BM$1006,0)), HYPERLINK("#",""), HYPERLINK(CONCATENATE("#metadata!", ADDRESS(INDEX($AH$2:$AH$1001,MATCH(ROWS($AF$2:AF561),$AF$2:$AF$1001,0),0), INDEX($AM$1004:$BM$1004,1,MATCH(COLUMNS($AM$1006:BB1006),$AM$1006:$BM$1006,0)))),"Fix")))</f>
        <v xml:space="preserve"> </v>
      </c>
      <c r="R561" s="4" t="str">
        <f ca="1">IF(OR(INDEX($AG$2:$AG$1001,MATCH(ROWS($AF$2:AF561),$AF$2:$AF$1001,0),1)&gt;=100000,INDEX($AM$1005:$BM$1005,1,MATCH(COLUMNS($AM$1006:BC1006),$AM$1006:$BM$1006,0))&gt;=100000), " ",IF(INDEX($AM$2:$BM$1001,MATCH(ROWS($AF$2:AF561),$AF$2:$AF$1001,0),MATCH(COLUMNS($AM$1006:BC1006),$AM$1006:$BM$1006,0)), HYPERLINK("#",""), HYPERLINK(CONCATENATE("#metadata!", ADDRESS(INDEX($AH$2:$AH$1001,MATCH(ROWS($AF$2:AF561),$AF$2:$AF$1001,0),0), INDEX($AM$1004:$BM$1004,1,MATCH(COLUMNS($AM$1006:BC1006),$AM$1006:$BM$1006,0)))),"Fix")))</f>
        <v xml:space="preserve"> </v>
      </c>
      <c r="S561" s="4" t="str">
        <f ca="1">IF(OR(INDEX($AG$2:$AG$1001,MATCH(ROWS($AF$2:AF561),$AF$2:$AF$1001,0),1)&gt;=100000,INDEX($AM$1005:$BM$1005,1,MATCH(COLUMNS($AM$1006:BD1006),$AM$1006:$BM$1006,0))&gt;=100000), " ",IF(INDEX($AM$2:$BM$1001,MATCH(ROWS($AF$2:AF561),$AF$2:$AF$1001,0),MATCH(COLUMNS($AM$1006:BD1006),$AM$1006:$BM$1006,0)), HYPERLINK("#",""), HYPERLINK(CONCATENATE("#metadata!", ADDRESS(INDEX($AH$2:$AH$1001,MATCH(ROWS($AF$2:AF561),$AF$2:$AF$1001,0),0), INDEX($AM$1004:$BM$1004,1,MATCH(COLUMNS($AM$1006:BD1006),$AM$1006:$BM$1006,0)))),"Fix")))</f>
        <v xml:space="preserve"> </v>
      </c>
      <c r="T561" s="4" t="str">
        <f ca="1">IF(OR(INDEX($AG$2:$AG$1001,MATCH(ROWS($AF$2:AF561),$AF$2:$AF$1001,0),1)&gt;=100000,INDEX($AM$1005:$BM$1005,1,MATCH(COLUMNS($AM$1006:BE1006),$AM$1006:$BM$1006,0))&gt;=100000), " ",IF(INDEX($AM$2:$BM$1001,MATCH(ROWS($AF$2:AF561),$AF$2:$AF$1001,0),MATCH(COLUMNS($AM$1006:BE1006),$AM$1006:$BM$1006,0)), HYPERLINK("#",""), HYPERLINK(CONCATENATE("#metadata!", ADDRESS(INDEX($AH$2:$AH$1001,MATCH(ROWS($AF$2:AF561),$AF$2:$AF$1001,0),0), INDEX($AM$1004:$BM$1004,1,MATCH(COLUMNS($AM$1006:BE1006),$AM$1006:$BM$1006,0)))),"Fix")))</f>
        <v xml:space="preserve"> </v>
      </c>
      <c r="U561" s="4" t="str">
        <f ca="1">IF(OR(INDEX($AG$2:$AG$1001,MATCH(ROWS($AF$2:AF561),$AF$2:$AF$1001,0),1)&gt;=100000,INDEX($AM$1005:$BM$1005,1,MATCH(COLUMNS($AM$1006:BF1006),$AM$1006:$BM$1006,0))&gt;=100000), " ",IF(INDEX($AM$2:$BM$1001,MATCH(ROWS($AF$2:AF561),$AF$2:$AF$1001,0),MATCH(COLUMNS($AM$1006:BF1006),$AM$1006:$BM$1006,0)), HYPERLINK("#",""), HYPERLINK(CONCATENATE("#metadata!", ADDRESS(INDEX($AH$2:$AH$1001,MATCH(ROWS($AF$2:AF561),$AF$2:$AF$1001,0),0), INDEX($AM$1004:$BM$1004,1,MATCH(COLUMNS($AM$1006:BF1006),$AM$1006:$BM$1006,0)))),"Fix")))</f>
        <v xml:space="preserve"> </v>
      </c>
      <c r="V561" s="4" t="str">
        <f ca="1">IF(OR(INDEX($AG$2:$AG$1001,MATCH(ROWS($AF$2:AF561),$AF$2:$AF$1001,0),1)&gt;=100000,INDEX($AM$1005:$BM$1005,1,MATCH(COLUMNS($AM$1006:BG1006),$AM$1006:$BM$1006,0))&gt;=100000), " ",IF(INDEX($AM$2:$BM$1001,MATCH(ROWS($AF$2:AF561),$AF$2:$AF$1001,0),MATCH(COLUMNS($AM$1006:BG1006),$AM$1006:$BM$1006,0)), HYPERLINK("#",""), HYPERLINK(CONCATENATE("#metadata!", ADDRESS(INDEX($AH$2:$AH$1001,MATCH(ROWS($AF$2:AF561),$AF$2:$AF$1001,0),0), INDEX($AM$1004:$BM$1004,1,MATCH(COLUMNS($AM$1006:BG1006),$AM$1006:$BM$1006,0)))),"Fix")))</f>
        <v xml:space="preserve"> </v>
      </c>
      <c r="W561" s="4" t="str">
        <f ca="1">IF(OR(INDEX($AG$2:$AG$1001,MATCH(ROWS($AF$2:AF561),$AF$2:$AF$1001,0),1)&gt;=100000,INDEX($AM$1005:$BM$1005,1,MATCH(COLUMNS($AM$1006:BH1006),$AM$1006:$BM$1006,0))&gt;=100000), " ",IF(INDEX($AM$2:$BM$1001,MATCH(ROWS($AF$2:AF561),$AF$2:$AF$1001,0),MATCH(COLUMNS($AM$1006:BH1006),$AM$1006:$BM$1006,0)), HYPERLINK("#",""), HYPERLINK(CONCATENATE("#metadata!", ADDRESS(INDEX($AH$2:$AH$1001,MATCH(ROWS($AF$2:AF561),$AF$2:$AF$1001,0),0), INDEX($AM$1004:$BM$1004,1,MATCH(COLUMNS($AM$1006:BH1006),$AM$1006:$BM$1006,0)))),"Fix")))</f>
        <v xml:space="preserve"> </v>
      </c>
      <c r="X561" s="4" t="str">
        <f ca="1">IF(OR(INDEX($AG$2:$AG$1001,MATCH(ROWS($AF$2:AF561),$AF$2:$AF$1001,0),1)&gt;=100000,INDEX($AM$1005:$BM$1005,1,MATCH(COLUMNS($AM$1006:BI1006),$AM$1006:$BM$1006,0))&gt;=100000), " ",IF(INDEX($AM$2:$BM$1001,MATCH(ROWS($AF$2:AF561),$AF$2:$AF$1001,0),MATCH(COLUMNS($AM$1006:BI1006),$AM$1006:$BM$1006,0)), HYPERLINK("#",""), HYPERLINK(CONCATENATE("#metadata!", ADDRESS(INDEX($AH$2:$AH$1001,MATCH(ROWS($AF$2:AF561),$AF$2:$AF$1001,0),0), INDEX($AM$1004:$BM$1004,1,MATCH(COLUMNS($AM$1006:BI1006),$AM$1006:$BM$1006,0)))),"Fix")))</f>
        <v xml:space="preserve"> </v>
      </c>
      <c r="Y561" s="4" t="str">
        <f ca="1">IF(OR(INDEX($AG$2:$AG$1001,MATCH(ROWS($AF$2:AF561),$AF$2:$AF$1001,0),1)&gt;=100000,INDEX($AM$1005:$BM$1005,1,MATCH(COLUMNS($AM$1006:BJ1006),$AM$1006:$BM$1006,0))&gt;=100000), " ",IF(INDEX($AM$2:$BM$1001,MATCH(ROWS($AF$2:AF561),$AF$2:$AF$1001,0),MATCH(COLUMNS($AM$1006:BJ1006),$AM$1006:$BM$1006,0)), HYPERLINK("#",""), HYPERLINK(CONCATENATE("#metadata!", ADDRESS(INDEX($AH$2:$AH$1001,MATCH(ROWS($AF$2:AF561),$AF$2:$AF$1001,0),0), INDEX($AM$1004:$BM$1004,1,MATCH(COLUMNS($AM$1006:BJ1006),$AM$1006:$BM$1006,0)))),"Fix")))</f>
        <v xml:space="preserve"> </v>
      </c>
      <c r="Z561" s="4" t="str">
        <f ca="1">IF(OR(INDEX($AG$2:$AG$1001,MATCH(ROWS($AF$2:AF561),$AF$2:$AF$1001,0),1)&gt;=100000,INDEX($AM$1005:$BM$1005,1,MATCH(COLUMNS($AM$1006:BK1006),$AM$1006:$BM$1006,0))&gt;=100000), " ",IF(INDEX($AM$2:$BM$1001,MATCH(ROWS($AF$2:AF561),$AF$2:$AF$1001,0),MATCH(COLUMNS($AM$1006:BK1006),$AM$1006:$BM$1006,0)), HYPERLINK("#",""), HYPERLINK(CONCATENATE("#metadata!", ADDRESS(INDEX($AH$2:$AH$1001,MATCH(ROWS($AF$2:AF561),$AF$2:$AF$1001,0),0), INDEX($AM$1004:$BM$1004,1,MATCH(COLUMNS($AM$1006:BK1006),$AM$1006:$BM$1006,0)))),"Fix")))</f>
        <v xml:space="preserve"> </v>
      </c>
      <c r="AA561" s="4" t="str">
        <f ca="1">IF(OR(INDEX($AG$2:$AG$1001,MATCH(ROWS($AF$2:AF561),$AF$2:$AF$1001,0),1)&gt;=100000,INDEX($AM$1005:$BM$1005,1,MATCH(COLUMNS($AM$1006:BL1006),$AM$1006:$BM$1006,0))&gt;=100000), " ",IF(INDEX($AM$2:$BM$1001,MATCH(ROWS($AF$2:AF561),$AF$2:$AF$1001,0),MATCH(COLUMNS($AM$1006:BL1006),$AM$1006:$BM$1006,0)), HYPERLINK("#",""), HYPERLINK(CONCATENATE("#metadata!", ADDRESS(INDEX($AH$2:$AH$1001,MATCH(ROWS($AF$2:AF561),$AF$2:$AF$1001,0),0), INDEX($AM$1004:$BM$1004,1,MATCH(COLUMNS($AM$1006:BL1006),$AM$1006:$BM$1006,0)))),"Fix")))</f>
        <v xml:space="preserve"> </v>
      </c>
      <c r="AB561" s="4" t="str">
        <f ca="1">IF(OR(INDEX($AG$2:$AG$1001,MATCH(ROWS($AF$2:AF561),$AF$2:$AF$1001,0),1)&gt;=100000,INDEX($AM$1005:$BM$1005,1,MATCH(COLUMNS($AM$1006:BM1006),$AM$1006:$BM$1006,0))&gt;=100000), " ",IF(INDEX($AM$2:$BM$1001,MATCH(ROWS($AF$2:AF561),$AF$2:$AF$1001,0),MATCH(COLUMNS($AM$1006:BM1006),$AM$1006:$BM$1006,0)), HYPERLINK("#",""), HYPERLINK(CONCATENATE("#metadata!", ADDRESS(INDEX($AH$2:$AH$1001,MATCH(ROWS($AF$2:AF561),$AF$2:$AF$1001,0),0), INDEX($AM$1004:$BM$1004,1,MATCH(COLUMNS($AM$1006:BM1006),$AM$1006:$BM$1006,0)))),"Fix")))</f>
        <v xml:space="preserve"> </v>
      </c>
      <c r="AF561">
        <v>560</v>
      </c>
      <c r="AG561">
        <v>100561</v>
      </c>
      <c r="AH561">
        <v>561</v>
      </c>
      <c r="AI561" t="b">
        <f t="shared" si="8"/>
        <v>1</v>
      </c>
      <c r="AJ561" t="b">
        <f>COUNTBLANK(metadata!B561:AB561)=COLUMNS(metadata!B561:AB561)</f>
        <v>1</v>
      </c>
      <c r="AK561" t="str">
        <v/>
      </c>
      <c r="AM561" t="b">
        <f ca="1">AND(IF(metadata!B561="",FALSE,TRUE),COUNTIF(metadata!B:B, metadata!B561) = 1,NOT(ISERROR(SUMPRODUCT(SEARCH(MID(metadata!B561,ROW(INDIRECT("1:"&amp;LEN(metadata!B561))), 1),"0123456789abcdefghijklmnopqrstuvwxyzABCDEFGHIJKLMNOPQRSTUVWXYZ.")))))</f>
        <v>0</v>
      </c>
      <c r="AN561" t="b">
        <f ca="1">OR(AND(IF(metadata!C561="",FALSE,TRUE),OR(EXACT(metadata!C561,"missing: not collected"),EXACT(metadata!C561,"missing: not provided"),EXACT(metadata!C561,"missing: restricted access"))),AND(IF(metadata!C561="",FALSE,TRUE),AND(AND(IFERROR(INT(LEFT(metadata!C561,4))&gt;1900,FALSE),IFERROR(INT(LEFT(metadata!C561,4))&lt;=YEAR(NOW()),FALSE)), OR(MID(metadata!C561,5,1)="", AND(AND(MID(metadata!C561,5,1)="-",IFERROR(INT(MID(metadata!C561,6,1))&gt;=0,FALSE),IFERROR(INT(MID(metadata!C561,6,1))&lt;=1,FALSE),NOT(MID(metadata!C561,7,1)=""),IFERROR(INT(MID(metadata!C561,6,2))&gt;=1,FALSE),IFERROR(INT(MID(metadata!C561,6,2))&lt;=12,FALSE)), OR(MID(metadata!C561,8,1)="", AND(AND(MID(metadata!C561,8,1)="-",IFERROR(INT(MID(metadata!C561,9,1))&gt;=0,FALSE),IFERROR(INT(MID(metadata!C561,9,1))&lt;=3,FALSE),NOT(MID(metadata!C561,10,1)=""),IFERROR(INT(MID(metadata!C561,9,2))&gt;=1,FALSE),IFERROR(INT(MID(metadata!C561,9,2))&lt;=31,FALSE)), OR(MID(metadata!C561,11,1)="", AND(AND(MID(metadata!C561,11,1)=" ",IFERROR(INT(MID(metadata!C561,12,1))&gt;=0,FALSE),IFERROR(INT(MID(metadata!C561,12,1))&lt;=2,FALSE),NOT(MID(metadata!C561,13,1)=""),IFERROR(INT(MID(metadata!C561,12,2))&gt;=0,FALSE),IFERROR(INT(MID(metadata!C561,12,2))&lt;=23,FALSE)), OR(MID(metadata!C561,14,1)="", AND(AND(MID(metadata!C561,14,1)=":",IFERROR(INT(MID(metadata!C561,15,1))&gt;=0,FALSE),IFERROR(INT(MID(metadata!C561,15,1))&lt;=5,FALSE),NOT(MID(metadata!C561,16,1)=""),IFERROR(INT(MID(metadata!C561,15,2))&gt;=0,FALSE),IFERROR(INT(MID(metadata!C561,15,2))&lt;=59,FALSE)), OR(MID(metadata!C561,17,1)="", AND(AND(MID(metadata!C561,17,1)=":",IFERROR(INT(MID(metadata!C561,18,1))&gt;=0,FALSE),IFERROR(INT(MID(metadata!C561,18,1))&lt;=5,FALSE),NOT(MID(metadata!C561,19,1)=""),IFERROR(INT(MID(metadata!C561,18,2))&gt;=0,FALSE),IFERROR(INT(MID(metadata!C561,18,2))&lt;=59,FALSE)), LEN(metadata!C561)&lt;=19)))))))))))))</f>
        <v>0</v>
      </c>
      <c r="AO561" t="b">
        <f>AND(IF(metadata!D561="",FALSE,TRUE),EXACT(metadata!D561,"Not applicable"))</f>
        <v>0</v>
      </c>
      <c r="AP561" t="b">
        <f>IF(metadata!E561="",FALSE,TRUE)</f>
        <v>0</v>
      </c>
      <c r="AQ561" t="b">
        <f>OR(AND(IF(metadata!F561="",FALSE,TRUE),OR(EXACT(metadata!F561,"missing: not collected"),EXACT(metadata!F561,"missing: not provided"))),AND(IF(metadata!F561="",FALSE,TRUE),OR(EXACT(metadata!F561,"TRUE"),EXACT(metadata!F561,"FALSE"))))</f>
        <v>0</v>
      </c>
      <c r="AR561" t="b">
        <f>OR(AND(IF(metadata!G561="",FALSE,TRUE),OR(EXACT(metadata!G561,"missing: not collected"),EXACT(metadata!G561,"missing: not provided"),EXACT(metadata!G561,"missing: restricted access"))),AND(IF(metadata!G561="",FALSE,ISNUMBER(VALUE(metadata!G561))),metadata!G561&gt;=-413))</f>
        <v>0</v>
      </c>
      <c r="AS561" t="b">
        <f>AND(IF(metadata!H561="",FALSE,TRUE),EXACT(metadata!H561,"meters"))</f>
        <v>0</v>
      </c>
      <c r="AT561" t="b">
        <f>AND(IF(metadata!I561="",FALSE,TRUE),OR(EXACT(metadata!I561,"Host-associated"),EXACT(metadata!I561,"Free-living")))</f>
        <v>0</v>
      </c>
      <c r="AU561" t="b">
        <f>AND(IF(metadata!J561="",FALSE,TRUE),OR(EXACT(metadata!J561,"Animal"),EXACT(metadata!J561,"Fungus"),EXACT(metadata!J561,"Plant"),EXACT(metadata!J561,"Saline"),EXACT(metadata!J561,"Non-saline")))</f>
        <v>0</v>
      </c>
      <c r="AV561" t="b">
        <f>AND(IF(metadata!K561="",FALSE,TRUE),OR(EXACT(metadata!K561,"Plant secretion"),EXACT(metadata!K561,"Plant rhizosphere"),EXACT(metadata!K561,"Plant surface"),EXACT(metadata!K561,"Plant corpus"),EXACT(metadata!K561,"Fungus surface"),EXACT(metadata!K561,"Fungus corpus"),EXACT(metadata!K561,"Animal surface"),EXACT(metadata!K561,"Animal proximal gut"),EXACT(metadata!K561,"Animal corpus"),EXACT(metadata!K561,"Animal distal gut"),EXACT(metadata!K561,"Animal secretion"),EXACT(metadata!K561,"Sub-surface (non-saline)"),EXACT(metadata!K561,"Surface (non-saline)"),EXACT(metadata!K561,"Water (non-saline)"),EXACT(metadata!K561,"Soil (non-saline)"),EXACT(metadata!K561,"Aerosol (non-saline)"),EXACT(metadata!K561,"Sediment (non-saline)"),EXACT(metadata!K561,"Surface (saline)"),EXACT(metadata!K561,"Water (saline)"),EXACT(metadata!K561,"Hypersaline (saline)"),EXACT(metadata!K561,"Aerosol (saline)"),EXACT(metadata!K561,"Sediment (saline)")))</f>
        <v>0</v>
      </c>
      <c r="AW561" t="b">
        <f>IF(metadata!L561="",FALSE,TRUE)</f>
        <v>0</v>
      </c>
      <c r="AX561" t="b">
        <f>IF(metadata!M561="",FALSE,TRUE)</f>
        <v>0</v>
      </c>
      <c r="AY561" t="b">
        <f>IF(metadata!N561="",FALSE,TRUE)</f>
        <v>0</v>
      </c>
      <c r="AZ561" t="b">
        <f>OR(AND(IF(metadata!O561="",FALSE,TRUE),OR(EXACT(metadata!O561,"missing: not collected"),EXACT(metadata!O561,"missing: not provided"),EXACT(metadata!O561,"missing: restricted access"))),AND(IF(metadata!O561="",FALSE,TRUE),OR(EXACT(metadata!O561,"air"),EXACT(metadata!O561,"built environment"),EXACT(metadata!O561,"host-associated"),EXACT(metadata!O561,"human-associated"),EXACT(metadata!O561,"human-skin"),EXACT(metadata!O561,"human-oral"),EXACT(metadata!O561,"human-gut"),EXACT(metadata!O561,"human-vaginal"),EXACT(metadata!O561,"microbial mat/biofilm"),EXACT(metadata!O561,"misc environment"),EXACT(metadata!O561,"plant-associated"),EXACT(metadata!O561,"sediment"),EXACT(metadata!O561,"soil"),EXACT(metadata!O561,"wastewater/sludge"),EXACT(metadata!O561,"water"))))</f>
        <v>0</v>
      </c>
      <c r="BA561" t="b">
        <f>IF(metadata!P561="",FALSE,TRUE)</f>
        <v>0</v>
      </c>
      <c r="BB561" t="b">
        <f>IF(metadata!Q561="",FALSE,TRUE)</f>
        <v>0</v>
      </c>
      <c r="BC561" t="b">
        <f>OR(AND(IF(metadata!R561="",FALSE,TRUE),OR(EXACT(metadata!R561,"missing: not collected"),EXACT(metadata!R561,"missing: not provided"),EXACT(metadata!R561,"missing: restricted access"))),AND(IF(metadata!R561="",FALSE,ISNUMBER(VALUE(metadata!R561))),metadata!R561&gt;=-90,metadata!R561&lt;=90))</f>
        <v>0</v>
      </c>
      <c r="BD561" t="b">
        <f>AND(IF(metadata!S561="",FALSE,TRUE),EXACT(metadata!S561,"Decimal degrees"))</f>
        <v>0</v>
      </c>
      <c r="BE561" t="b">
        <f>OR(AND(IF(metadata!T561="",FALSE,TRUE),OR(EXACT(metadata!T561,"missing: not collected"),EXACT(metadata!T561,"missing: not provided"),EXACT(metadata!T561,"missing: restricted access"))),AND(IF(metadata!T561="",FALSE,ISNUMBER(VALUE(metadata!T561))),metadata!T561&gt;=-180,metadata!T561&lt;=180))</f>
        <v>0</v>
      </c>
      <c r="BF561" t="b">
        <f>AND(IF(metadata!U561="",FALSE,TRUE),EXACT(metadata!U561,"Decimal degrees"))</f>
        <v>0</v>
      </c>
      <c r="BG561" t="b">
        <f>IF(metadata!V561="",FALSE,TRUE)</f>
        <v>0</v>
      </c>
      <c r="BH561" t="b">
        <f>OR(AND(IF(metadata!W561="",FALSE,TRUE),OR(EXACT(metadata!W561,"missing: not collected"),EXACT(metadata!W561,"missing: not provided"),EXACT(metadata!W561,"missing: restricted access"))),AND(IF(metadata!W561="",FALSE,TRUE),OR(EXACT(metadata!W561,"TRUE"),EXACT(metadata!W561,"FALSE"))))</f>
        <v>0</v>
      </c>
      <c r="BI561" t="b">
        <f>AND(IF(metadata!X561="",FALSE,TRUE),EXACT(metadata!X561,"other"))</f>
        <v>0</v>
      </c>
      <c r="BJ561" t="b">
        <f>IF(metadata!Y561="",FALSE,TRUE)</f>
        <v>0</v>
      </c>
      <c r="BK561" t="b">
        <f>OR(AND(IF(metadata!Z561="",FALSE,TRUE),OR(EXACT(metadata!Z561,"missing: not collected"),EXACT(metadata!Z561,"missing: not provided"))),AND(IF(metadata!Z561="",FALSE,IF(ISERROR(INT(metadata!Z561)),FALSE,INT(metadata!Z561)=metadata!Z561)),metadata!Z561&gt;0))</f>
        <v>0</v>
      </c>
      <c r="BL561" t="b">
        <f>AND(IF(metadata!AA561="",FALSE,TRUE),EXACT(metadata!AA561,"Not applicable"))</f>
        <v>0</v>
      </c>
      <c r="BM561" t="b">
        <f>IF(metadata!AB561="",FALSE,TRUE)</f>
        <v>0</v>
      </c>
    </row>
    <row r="562" spans="1:65" x14ac:dyDescent="0.2">
      <c r="A562" s="5" t="str">
        <f ca="1">IF(B562=" "," ",HYPERLINK(CONCATENATE("#metadata!",ADDRESS(INDEX($AH$2:$AH$1001,MATCH(ROWS($AF$2:AF562),$AF$2:$AF$1001,0),0),1)),INDEX($AK$2:$AK$1001,MATCH(ROWS($AF$2:AF562),$AF$2:$AF$1001,0),0)))</f>
        <v xml:space="preserve"> </v>
      </c>
      <c r="B562" s="4" t="str">
        <f ca="1">IF(OR(INDEX($AG$2:$AG$1001,MATCH(ROWS($AF$2:AF562),$AF$2:$AF$1001,0),1)&gt;=100000,INDEX($AM$1005:$BM$1005,1,MATCH(COLUMNS($AM$1006:AM1006),$AM$1006:$BM$1006,0))&gt;=100000), " ",IF(INDEX($AM$2:$BM$1001,MATCH(ROWS($AF$2:AF562),$AF$2:$AF$1001,0),MATCH(COLUMNS($AM$1006:AM1006),$AM$1006:$BM$1006,0)), HYPERLINK("#",""), HYPERLINK(CONCATENATE("#metadata!", ADDRESS(INDEX($AH$2:$AH$1001,MATCH(ROWS($AF$2:AF562),$AF$2:$AF$1001,0),0), INDEX($AM$1004:$BM$1004,1,MATCH(COLUMNS($AM$1006:AM1006),$AM$1006:$BM$1006,0)))),"Fix")))</f>
        <v xml:space="preserve"> </v>
      </c>
      <c r="C562" s="4" t="str">
        <f ca="1">IF(OR(INDEX($AG$2:$AG$1001,MATCH(ROWS($AF$2:AF562),$AF$2:$AF$1001,0),1)&gt;=100000,INDEX($AM$1005:$BM$1005,1,MATCH(COLUMNS($AM$1006:AN1006),$AM$1006:$BM$1006,0))&gt;=100000), " ",IF(INDEX($AM$2:$BM$1001,MATCH(ROWS($AF$2:AF562),$AF$2:$AF$1001,0),MATCH(COLUMNS($AM$1006:AN1006),$AM$1006:$BM$1006,0)), HYPERLINK("#",""), HYPERLINK(CONCATENATE("#metadata!", ADDRESS(INDEX($AH$2:$AH$1001,MATCH(ROWS($AF$2:AF562),$AF$2:$AF$1001,0),0), INDEX($AM$1004:$BM$1004,1,MATCH(COLUMNS($AM$1006:AN1006),$AM$1006:$BM$1006,0)))),"Fix")))</f>
        <v xml:space="preserve"> </v>
      </c>
      <c r="D562" s="4" t="str">
        <f ca="1">IF(OR(INDEX($AG$2:$AG$1001,MATCH(ROWS($AF$2:AF562),$AF$2:$AF$1001,0),1)&gt;=100000,INDEX($AM$1005:$BM$1005,1,MATCH(COLUMNS($AM$1006:AO1006),$AM$1006:$BM$1006,0))&gt;=100000), " ",IF(INDEX($AM$2:$BM$1001,MATCH(ROWS($AF$2:AF562),$AF$2:$AF$1001,0),MATCH(COLUMNS($AM$1006:AO1006),$AM$1006:$BM$1006,0)), HYPERLINK("#",""), HYPERLINK(CONCATENATE("#metadata!", ADDRESS(INDEX($AH$2:$AH$1001,MATCH(ROWS($AF$2:AF562),$AF$2:$AF$1001,0),0), INDEX($AM$1004:$BM$1004,1,MATCH(COLUMNS($AM$1006:AO1006),$AM$1006:$BM$1006,0)))),"Fix")))</f>
        <v xml:space="preserve"> </v>
      </c>
      <c r="E562" s="4" t="str">
        <f ca="1">IF(OR(INDEX($AG$2:$AG$1001,MATCH(ROWS($AF$2:AF562),$AF$2:$AF$1001,0),1)&gt;=100000,INDEX($AM$1005:$BM$1005,1,MATCH(COLUMNS($AM$1006:AP1006),$AM$1006:$BM$1006,0))&gt;=100000), " ",IF(INDEX($AM$2:$BM$1001,MATCH(ROWS($AF$2:AF562),$AF$2:$AF$1001,0),MATCH(COLUMNS($AM$1006:AP1006),$AM$1006:$BM$1006,0)), HYPERLINK("#",""), HYPERLINK(CONCATENATE("#metadata!", ADDRESS(INDEX($AH$2:$AH$1001,MATCH(ROWS($AF$2:AF562),$AF$2:$AF$1001,0),0), INDEX($AM$1004:$BM$1004,1,MATCH(COLUMNS($AM$1006:AP1006),$AM$1006:$BM$1006,0)))),"Fix")))</f>
        <v xml:space="preserve"> </v>
      </c>
      <c r="F562" s="4" t="str">
        <f ca="1">IF(OR(INDEX($AG$2:$AG$1001,MATCH(ROWS($AF$2:AF562),$AF$2:$AF$1001,0),1)&gt;=100000,INDEX($AM$1005:$BM$1005,1,MATCH(COLUMNS($AM$1006:AQ1006),$AM$1006:$BM$1006,0))&gt;=100000), " ",IF(INDEX($AM$2:$BM$1001,MATCH(ROWS($AF$2:AF562),$AF$2:$AF$1001,0),MATCH(COLUMNS($AM$1006:AQ1006),$AM$1006:$BM$1006,0)), HYPERLINK("#",""), HYPERLINK(CONCATENATE("#metadata!", ADDRESS(INDEX($AH$2:$AH$1001,MATCH(ROWS($AF$2:AF562),$AF$2:$AF$1001,0),0), INDEX($AM$1004:$BM$1004,1,MATCH(COLUMNS($AM$1006:AQ1006),$AM$1006:$BM$1006,0)))),"Fix")))</f>
        <v xml:space="preserve"> </v>
      </c>
      <c r="G562" s="4" t="str">
        <f ca="1">IF(OR(INDEX($AG$2:$AG$1001,MATCH(ROWS($AF$2:AF562),$AF$2:$AF$1001,0),1)&gt;=100000,INDEX($AM$1005:$BM$1005,1,MATCH(COLUMNS($AM$1006:AR1006),$AM$1006:$BM$1006,0))&gt;=100000), " ",IF(INDEX($AM$2:$BM$1001,MATCH(ROWS($AF$2:AF562),$AF$2:$AF$1001,0),MATCH(COLUMNS($AM$1006:AR1006),$AM$1006:$BM$1006,0)), HYPERLINK("#",""), HYPERLINK(CONCATENATE("#metadata!", ADDRESS(INDEX($AH$2:$AH$1001,MATCH(ROWS($AF$2:AF562),$AF$2:$AF$1001,0),0), INDEX($AM$1004:$BM$1004,1,MATCH(COLUMNS($AM$1006:AR1006),$AM$1006:$BM$1006,0)))),"Fix")))</f>
        <v xml:space="preserve"> </v>
      </c>
      <c r="H562" s="4" t="str">
        <f ca="1">IF(OR(INDEX($AG$2:$AG$1001,MATCH(ROWS($AF$2:AF562),$AF$2:$AF$1001,0),1)&gt;=100000,INDEX($AM$1005:$BM$1005,1,MATCH(COLUMNS($AM$1006:AS1006),$AM$1006:$BM$1006,0))&gt;=100000), " ",IF(INDEX($AM$2:$BM$1001,MATCH(ROWS($AF$2:AF562),$AF$2:$AF$1001,0),MATCH(COLUMNS($AM$1006:AS1006),$AM$1006:$BM$1006,0)), HYPERLINK("#",""), HYPERLINK(CONCATENATE("#metadata!", ADDRESS(INDEX($AH$2:$AH$1001,MATCH(ROWS($AF$2:AF562),$AF$2:$AF$1001,0),0), INDEX($AM$1004:$BM$1004,1,MATCH(COLUMNS($AM$1006:AS1006),$AM$1006:$BM$1006,0)))),"Fix")))</f>
        <v xml:space="preserve"> </v>
      </c>
      <c r="I562" s="4" t="str">
        <f ca="1">IF(OR(INDEX($AG$2:$AG$1001,MATCH(ROWS($AF$2:AF562),$AF$2:$AF$1001,0),1)&gt;=100000,INDEX($AM$1005:$BM$1005,1,MATCH(COLUMNS($AM$1006:AT1006),$AM$1006:$BM$1006,0))&gt;=100000), " ",IF(INDEX($AM$2:$BM$1001,MATCH(ROWS($AF$2:AF562),$AF$2:$AF$1001,0),MATCH(COLUMNS($AM$1006:AT1006),$AM$1006:$BM$1006,0)), HYPERLINK("#",""), HYPERLINK(CONCATENATE("#metadata!", ADDRESS(INDEX($AH$2:$AH$1001,MATCH(ROWS($AF$2:AF562),$AF$2:$AF$1001,0),0), INDEX($AM$1004:$BM$1004,1,MATCH(COLUMNS($AM$1006:AT1006),$AM$1006:$BM$1006,0)))),"Fix")))</f>
        <v xml:space="preserve"> </v>
      </c>
      <c r="J562" s="4" t="str">
        <f ca="1">IF(OR(INDEX($AG$2:$AG$1001,MATCH(ROWS($AF$2:AF562),$AF$2:$AF$1001,0),1)&gt;=100000,INDEX($AM$1005:$BM$1005,1,MATCH(COLUMNS($AM$1006:AU1006),$AM$1006:$BM$1006,0))&gt;=100000), " ",IF(INDEX($AM$2:$BM$1001,MATCH(ROWS($AF$2:AF562),$AF$2:$AF$1001,0),MATCH(COLUMNS($AM$1006:AU1006),$AM$1006:$BM$1006,0)), HYPERLINK("#",""), HYPERLINK(CONCATENATE("#metadata!", ADDRESS(INDEX($AH$2:$AH$1001,MATCH(ROWS($AF$2:AF562),$AF$2:$AF$1001,0),0), INDEX($AM$1004:$BM$1004,1,MATCH(COLUMNS($AM$1006:AU1006),$AM$1006:$BM$1006,0)))),"Fix")))</f>
        <v xml:space="preserve"> </v>
      </c>
      <c r="K562" s="4" t="str">
        <f ca="1">IF(OR(INDEX($AG$2:$AG$1001,MATCH(ROWS($AF$2:AF562),$AF$2:$AF$1001,0),1)&gt;=100000,INDEX($AM$1005:$BM$1005,1,MATCH(COLUMNS($AM$1006:AV1006),$AM$1006:$BM$1006,0))&gt;=100000), " ",IF(INDEX($AM$2:$BM$1001,MATCH(ROWS($AF$2:AF562),$AF$2:$AF$1001,0),MATCH(COLUMNS($AM$1006:AV1006),$AM$1006:$BM$1006,0)), HYPERLINK("#",""), HYPERLINK(CONCATENATE("#metadata!", ADDRESS(INDEX($AH$2:$AH$1001,MATCH(ROWS($AF$2:AF562),$AF$2:$AF$1001,0),0), INDEX($AM$1004:$BM$1004,1,MATCH(COLUMNS($AM$1006:AV1006),$AM$1006:$BM$1006,0)))),"Fix")))</f>
        <v xml:space="preserve"> </v>
      </c>
      <c r="L562" s="4" t="str">
        <f ca="1">IF(OR(INDEX($AG$2:$AG$1001,MATCH(ROWS($AF$2:AF562),$AF$2:$AF$1001,0),1)&gt;=100000,INDEX($AM$1005:$BM$1005,1,MATCH(COLUMNS($AM$1006:AW1006),$AM$1006:$BM$1006,0))&gt;=100000), " ",IF(INDEX($AM$2:$BM$1001,MATCH(ROWS($AF$2:AF562),$AF$2:$AF$1001,0),MATCH(COLUMNS($AM$1006:AW1006),$AM$1006:$BM$1006,0)), HYPERLINK("#",""), HYPERLINK(CONCATENATE("#metadata!", ADDRESS(INDEX($AH$2:$AH$1001,MATCH(ROWS($AF$2:AF562),$AF$2:$AF$1001,0),0), INDEX($AM$1004:$BM$1004,1,MATCH(COLUMNS($AM$1006:AW1006),$AM$1006:$BM$1006,0)))),"Fix")))</f>
        <v xml:space="preserve"> </v>
      </c>
      <c r="M562" s="4" t="str">
        <f ca="1">IF(OR(INDEX($AG$2:$AG$1001,MATCH(ROWS($AF$2:AF562),$AF$2:$AF$1001,0),1)&gt;=100000,INDEX($AM$1005:$BM$1005,1,MATCH(COLUMNS($AM$1006:AX1006),$AM$1006:$BM$1006,0))&gt;=100000), " ",IF(INDEX($AM$2:$BM$1001,MATCH(ROWS($AF$2:AF562),$AF$2:$AF$1001,0),MATCH(COLUMNS($AM$1006:AX1006),$AM$1006:$BM$1006,0)), HYPERLINK("#",""), HYPERLINK(CONCATENATE("#metadata!", ADDRESS(INDEX($AH$2:$AH$1001,MATCH(ROWS($AF$2:AF562),$AF$2:$AF$1001,0),0), INDEX($AM$1004:$BM$1004,1,MATCH(COLUMNS($AM$1006:AX1006),$AM$1006:$BM$1006,0)))),"Fix")))</f>
        <v xml:space="preserve"> </v>
      </c>
      <c r="N562" s="4" t="str">
        <f ca="1">IF(OR(INDEX($AG$2:$AG$1001,MATCH(ROWS($AF$2:AF562),$AF$2:$AF$1001,0),1)&gt;=100000,INDEX($AM$1005:$BM$1005,1,MATCH(COLUMNS($AM$1006:AY1006),$AM$1006:$BM$1006,0))&gt;=100000), " ",IF(INDEX($AM$2:$BM$1001,MATCH(ROWS($AF$2:AF562),$AF$2:$AF$1001,0),MATCH(COLUMNS($AM$1006:AY1006),$AM$1006:$BM$1006,0)), HYPERLINK("#",""), HYPERLINK(CONCATENATE("#metadata!", ADDRESS(INDEX($AH$2:$AH$1001,MATCH(ROWS($AF$2:AF562),$AF$2:$AF$1001,0),0), INDEX($AM$1004:$BM$1004,1,MATCH(COLUMNS($AM$1006:AY1006),$AM$1006:$BM$1006,0)))),"Fix")))</f>
        <v xml:space="preserve"> </v>
      </c>
      <c r="O562" s="4" t="str">
        <f ca="1">IF(OR(INDEX($AG$2:$AG$1001,MATCH(ROWS($AF$2:AF562),$AF$2:$AF$1001,0),1)&gt;=100000,INDEX($AM$1005:$BM$1005,1,MATCH(COLUMNS($AM$1006:AZ1006),$AM$1006:$BM$1006,0))&gt;=100000), " ",IF(INDEX($AM$2:$BM$1001,MATCH(ROWS($AF$2:AF562),$AF$2:$AF$1001,0),MATCH(COLUMNS($AM$1006:AZ1006),$AM$1006:$BM$1006,0)), HYPERLINK("#",""), HYPERLINK(CONCATENATE("#metadata!", ADDRESS(INDEX($AH$2:$AH$1001,MATCH(ROWS($AF$2:AF562),$AF$2:$AF$1001,0),0), INDEX($AM$1004:$BM$1004,1,MATCH(COLUMNS($AM$1006:AZ1006),$AM$1006:$BM$1006,0)))),"Fix")))</f>
        <v xml:space="preserve"> </v>
      </c>
      <c r="P562" s="4" t="str">
        <f ca="1">IF(OR(INDEX($AG$2:$AG$1001,MATCH(ROWS($AF$2:AF562),$AF$2:$AF$1001,0),1)&gt;=100000,INDEX($AM$1005:$BM$1005,1,MATCH(COLUMNS($AM$1006:BA1006),$AM$1006:$BM$1006,0))&gt;=100000), " ",IF(INDEX($AM$2:$BM$1001,MATCH(ROWS($AF$2:AF562),$AF$2:$AF$1001,0),MATCH(COLUMNS($AM$1006:BA1006),$AM$1006:$BM$1006,0)), HYPERLINK("#",""), HYPERLINK(CONCATENATE("#metadata!", ADDRESS(INDEX($AH$2:$AH$1001,MATCH(ROWS($AF$2:AF562),$AF$2:$AF$1001,0),0), INDEX($AM$1004:$BM$1004,1,MATCH(COLUMNS($AM$1006:BA1006),$AM$1006:$BM$1006,0)))),"Fix")))</f>
        <v xml:space="preserve"> </v>
      </c>
      <c r="Q562" s="4" t="str">
        <f ca="1">IF(OR(INDEX($AG$2:$AG$1001,MATCH(ROWS($AF$2:AF562),$AF$2:$AF$1001,0),1)&gt;=100000,INDEX($AM$1005:$BM$1005,1,MATCH(COLUMNS($AM$1006:BB1006),$AM$1006:$BM$1006,0))&gt;=100000), " ",IF(INDEX($AM$2:$BM$1001,MATCH(ROWS($AF$2:AF562),$AF$2:$AF$1001,0),MATCH(COLUMNS($AM$1006:BB1006),$AM$1006:$BM$1006,0)), HYPERLINK("#",""), HYPERLINK(CONCATENATE("#metadata!", ADDRESS(INDEX($AH$2:$AH$1001,MATCH(ROWS($AF$2:AF562),$AF$2:$AF$1001,0),0), INDEX($AM$1004:$BM$1004,1,MATCH(COLUMNS($AM$1006:BB1006),$AM$1006:$BM$1006,0)))),"Fix")))</f>
        <v xml:space="preserve"> </v>
      </c>
      <c r="R562" s="4" t="str">
        <f ca="1">IF(OR(INDEX($AG$2:$AG$1001,MATCH(ROWS($AF$2:AF562),$AF$2:$AF$1001,0),1)&gt;=100000,INDEX($AM$1005:$BM$1005,1,MATCH(COLUMNS($AM$1006:BC1006),$AM$1006:$BM$1006,0))&gt;=100000), " ",IF(INDEX($AM$2:$BM$1001,MATCH(ROWS($AF$2:AF562),$AF$2:$AF$1001,0),MATCH(COLUMNS($AM$1006:BC1006),$AM$1006:$BM$1006,0)), HYPERLINK("#",""), HYPERLINK(CONCATENATE("#metadata!", ADDRESS(INDEX($AH$2:$AH$1001,MATCH(ROWS($AF$2:AF562),$AF$2:$AF$1001,0),0), INDEX($AM$1004:$BM$1004,1,MATCH(COLUMNS($AM$1006:BC1006),$AM$1006:$BM$1006,0)))),"Fix")))</f>
        <v xml:space="preserve"> </v>
      </c>
      <c r="S562" s="4" t="str">
        <f ca="1">IF(OR(INDEX($AG$2:$AG$1001,MATCH(ROWS($AF$2:AF562),$AF$2:$AF$1001,0),1)&gt;=100000,INDEX($AM$1005:$BM$1005,1,MATCH(COLUMNS($AM$1006:BD1006),$AM$1006:$BM$1006,0))&gt;=100000), " ",IF(INDEX($AM$2:$BM$1001,MATCH(ROWS($AF$2:AF562),$AF$2:$AF$1001,0),MATCH(COLUMNS($AM$1006:BD1006),$AM$1006:$BM$1006,0)), HYPERLINK("#",""), HYPERLINK(CONCATENATE("#metadata!", ADDRESS(INDEX($AH$2:$AH$1001,MATCH(ROWS($AF$2:AF562),$AF$2:$AF$1001,0),0), INDEX($AM$1004:$BM$1004,1,MATCH(COLUMNS($AM$1006:BD1006),$AM$1006:$BM$1006,0)))),"Fix")))</f>
        <v xml:space="preserve"> </v>
      </c>
      <c r="T562" s="4" t="str">
        <f ca="1">IF(OR(INDEX($AG$2:$AG$1001,MATCH(ROWS($AF$2:AF562),$AF$2:$AF$1001,0),1)&gt;=100000,INDEX($AM$1005:$BM$1005,1,MATCH(COLUMNS($AM$1006:BE1006),$AM$1006:$BM$1006,0))&gt;=100000), " ",IF(INDEX($AM$2:$BM$1001,MATCH(ROWS($AF$2:AF562),$AF$2:$AF$1001,0),MATCH(COLUMNS($AM$1006:BE1006),$AM$1006:$BM$1006,0)), HYPERLINK("#",""), HYPERLINK(CONCATENATE("#metadata!", ADDRESS(INDEX($AH$2:$AH$1001,MATCH(ROWS($AF$2:AF562),$AF$2:$AF$1001,0),0), INDEX($AM$1004:$BM$1004,1,MATCH(COLUMNS($AM$1006:BE1006),$AM$1006:$BM$1006,0)))),"Fix")))</f>
        <v xml:space="preserve"> </v>
      </c>
      <c r="U562" s="4" t="str">
        <f ca="1">IF(OR(INDEX($AG$2:$AG$1001,MATCH(ROWS($AF$2:AF562),$AF$2:$AF$1001,0),1)&gt;=100000,INDEX($AM$1005:$BM$1005,1,MATCH(COLUMNS($AM$1006:BF1006),$AM$1006:$BM$1006,0))&gt;=100000), " ",IF(INDEX($AM$2:$BM$1001,MATCH(ROWS($AF$2:AF562),$AF$2:$AF$1001,0),MATCH(COLUMNS($AM$1006:BF1006),$AM$1006:$BM$1006,0)), HYPERLINK("#",""), HYPERLINK(CONCATENATE("#metadata!", ADDRESS(INDEX($AH$2:$AH$1001,MATCH(ROWS($AF$2:AF562),$AF$2:$AF$1001,0),0), INDEX($AM$1004:$BM$1004,1,MATCH(COLUMNS($AM$1006:BF1006),$AM$1006:$BM$1006,0)))),"Fix")))</f>
        <v xml:space="preserve"> </v>
      </c>
      <c r="V562" s="4" t="str">
        <f ca="1">IF(OR(INDEX($AG$2:$AG$1001,MATCH(ROWS($AF$2:AF562),$AF$2:$AF$1001,0),1)&gt;=100000,INDEX($AM$1005:$BM$1005,1,MATCH(COLUMNS($AM$1006:BG1006),$AM$1006:$BM$1006,0))&gt;=100000), " ",IF(INDEX($AM$2:$BM$1001,MATCH(ROWS($AF$2:AF562),$AF$2:$AF$1001,0),MATCH(COLUMNS($AM$1006:BG1006),$AM$1006:$BM$1006,0)), HYPERLINK("#",""), HYPERLINK(CONCATENATE("#metadata!", ADDRESS(INDEX($AH$2:$AH$1001,MATCH(ROWS($AF$2:AF562),$AF$2:$AF$1001,0),0), INDEX($AM$1004:$BM$1004,1,MATCH(COLUMNS($AM$1006:BG1006),$AM$1006:$BM$1006,0)))),"Fix")))</f>
        <v xml:space="preserve"> </v>
      </c>
      <c r="W562" s="4" t="str">
        <f ca="1">IF(OR(INDEX($AG$2:$AG$1001,MATCH(ROWS($AF$2:AF562),$AF$2:$AF$1001,0),1)&gt;=100000,INDEX($AM$1005:$BM$1005,1,MATCH(COLUMNS($AM$1006:BH1006),$AM$1006:$BM$1006,0))&gt;=100000), " ",IF(INDEX($AM$2:$BM$1001,MATCH(ROWS($AF$2:AF562),$AF$2:$AF$1001,0),MATCH(COLUMNS($AM$1006:BH1006),$AM$1006:$BM$1006,0)), HYPERLINK("#",""), HYPERLINK(CONCATENATE("#metadata!", ADDRESS(INDEX($AH$2:$AH$1001,MATCH(ROWS($AF$2:AF562),$AF$2:$AF$1001,0),0), INDEX($AM$1004:$BM$1004,1,MATCH(COLUMNS($AM$1006:BH1006),$AM$1006:$BM$1006,0)))),"Fix")))</f>
        <v xml:space="preserve"> </v>
      </c>
      <c r="X562" s="4" t="str">
        <f ca="1">IF(OR(INDEX($AG$2:$AG$1001,MATCH(ROWS($AF$2:AF562),$AF$2:$AF$1001,0),1)&gt;=100000,INDEX($AM$1005:$BM$1005,1,MATCH(COLUMNS($AM$1006:BI1006),$AM$1006:$BM$1006,0))&gt;=100000), " ",IF(INDEX($AM$2:$BM$1001,MATCH(ROWS($AF$2:AF562),$AF$2:$AF$1001,0),MATCH(COLUMNS($AM$1006:BI1006),$AM$1006:$BM$1006,0)), HYPERLINK("#",""), HYPERLINK(CONCATENATE("#metadata!", ADDRESS(INDEX($AH$2:$AH$1001,MATCH(ROWS($AF$2:AF562),$AF$2:$AF$1001,0),0), INDEX($AM$1004:$BM$1004,1,MATCH(COLUMNS($AM$1006:BI1006),$AM$1006:$BM$1006,0)))),"Fix")))</f>
        <v xml:space="preserve"> </v>
      </c>
      <c r="Y562" s="4" t="str">
        <f ca="1">IF(OR(INDEX($AG$2:$AG$1001,MATCH(ROWS($AF$2:AF562),$AF$2:$AF$1001,0),1)&gt;=100000,INDEX($AM$1005:$BM$1005,1,MATCH(COLUMNS($AM$1006:BJ1006),$AM$1006:$BM$1006,0))&gt;=100000), " ",IF(INDEX($AM$2:$BM$1001,MATCH(ROWS($AF$2:AF562),$AF$2:$AF$1001,0),MATCH(COLUMNS($AM$1006:BJ1006),$AM$1006:$BM$1006,0)), HYPERLINK("#",""), HYPERLINK(CONCATENATE("#metadata!", ADDRESS(INDEX($AH$2:$AH$1001,MATCH(ROWS($AF$2:AF562),$AF$2:$AF$1001,0),0), INDEX($AM$1004:$BM$1004,1,MATCH(COLUMNS($AM$1006:BJ1006),$AM$1006:$BM$1006,0)))),"Fix")))</f>
        <v xml:space="preserve"> </v>
      </c>
      <c r="Z562" s="4" t="str">
        <f ca="1">IF(OR(INDEX($AG$2:$AG$1001,MATCH(ROWS($AF$2:AF562),$AF$2:$AF$1001,0),1)&gt;=100000,INDEX($AM$1005:$BM$1005,1,MATCH(COLUMNS($AM$1006:BK1006),$AM$1006:$BM$1006,0))&gt;=100000), " ",IF(INDEX($AM$2:$BM$1001,MATCH(ROWS($AF$2:AF562),$AF$2:$AF$1001,0),MATCH(COLUMNS($AM$1006:BK1006),$AM$1006:$BM$1006,0)), HYPERLINK("#",""), HYPERLINK(CONCATENATE("#metadata!", ADDRESS(INDEX($AH$2:$AH$1001,MATCH(ROWS($AF$2:AF562),$AF$2:$AF$1001,0),0), INDEX($AM$1004:$BM$1004,1,MATCH(COLUMNS($AM$1006:BK1006),$AM$1006:$BM$1006,0)))),"Fix")))</f>
        <v xml:space="preserve"> </v>
      </c>
      <c r="AA562" s="4" t="str">
        <f ca="1">IF(OR(INDEX($AG$2:$AG$1001,MATCH(ROWS($AF$2:AF562),$AF$2:$AF$1001,0),1)&gt;=100000,INDEX($AM$1005:$BM$1005,1,MATCH(COLUMNS($AM$1006:BL1006),$AM$1006:$BM$1006,0))&gt;=100000), " ",IF(INDEX($AM$2:$BM$1001,MATCH(ROWS($AF$2:AF562),$AF$2:$AF$1001,0),MATCH(COLUMNS($AM$1006:BL1006),$AM$1006:$BM$1006,0)), HYPERLINK("#",""), HYPERLINK(CONCATENATE("#metadata!", ADDRESS(INDEX($AH$2:$AH$1001,MATCH(ROWS($AF$2:AF562),$AF$2:$AF$1001,0),0), INDEX($AM$1004:$BM$1004,1,MATCH(COLUMNS($AM$1006:BL1006),$AM$1006:$BM$1006,0)))),"Fix")))</f>
        <v xml:space="preserve"> </v>
      </c>
      <c r="AB562" s="4" t="str">
        <f ca="1">IF(OR(INDEX($AG$2:$AG$1001,MATCH(ROWS($AF$2:AF562),$AF$2:$AF$1001,0),1)&gt;=100000,INDEX($AM$1005:$BM$1005,1,MATCH(COLUMNS($AM$1006:BM1006),$AM$1006:$BM$1006,0))&gt;=100000), " ",IF(INDEX($AM$2:$BM$1001,MATCH(ROWS($AF$2:AF562),$AF$2:$AF$1001,0),MATCH(COLUMNS($AM$1006:BM1006),$AM$1006:$BM$1006,0)), HYPERLINK("#",""), HYPERLINK(CONCATENATE("#metadata!", ADDRESS(INDEX($AH$2:$AH$1001,MATCH(ROWS($AF$2:AF562),$AF$2:$AF$1001,0),0), INDEX($AM$1004:$BM$1004,1,MATCH(COLUMNS($AM$1006:BM1006),$AM$1006:$BM$1006,0)))),"Fix")))</f>
        <v xml:space="preserve"> </v>
      </c>
      <c r="AF562">
        <v>561</v>
      </c>
      <c r="AG562">
        <v>100562</v>
      </c>
      <c r="AH562">
        <v>562</v>
      </c>
      <c r="AI562" t="b">
        <f t="shared" si="8"/>
        <v>1</v>
      </c>
      <c r="AJ562" t="b">
        <f>COUNTBLANK(metadata!B562:AB562)=COLUMNS(metadata!B562:AB562)</f>
        <v>1</v>
      </c>
      <c r="AK562" t="str">
        <v/>
      </c>
      <c r="AM562" t="b">
        <f ca="1">AND(IF(metadata!B562="",FALSE,TRUE),COUNTIF(metadata!B:B, metadata!B562) = 1,NOT(ISERROR(SUMPRODUCT(SEARCH(MID(metadata!B562,ROW(INDIRECT("1:"&amp;LEN(metadata!B562))), 1),"0123456789abcdefghijklmnopqrstuvwxyzABCDEFGHIJKLMNOPQRSTUVWXYZ.")))))</f>
        <v>0</v>
      </c>
      <c r="AN562" t="b">
        <f ca="1">OR(AND(IF(metadata!C562="",FALSE,TRUE),OR(EXACT(metadata!C562,"missing: not collected"),EXACT(metadata!C562,"missing: not provided"),EXACT(metadata!C562,"missing: restricted access"))),AND(IF(metadata!C562="",FALSE,TRUE),AND(AND(IFERROR(INT(LEFT(metadata!C562,4))&gt;1900,FALSE),IFERROR(INT(LEFT(metadata!C562,4))&lt;=YEAR(NOW()),FALSE)), OR(MID(metadata!C562,5,1)="", AND(AND(MID(metadata!C562,5,1)="-",IFERROR(INT(MID(metadata!C562,6,1))&gt;=0,FALSE),IFERROR(INT(MID(metadata!C562,6,1))&lt;=1,FALSE),NOT(MID(metadata!C562,7,1)=""),IFERROR(INT(MID(metadata!C562,6,2))&gt;=1,FALSE),IFERROR(INT(MID(metadata!C562,6,2))&lt;=12,FALSE)), OR(MID(metadata!C562,8,1)="", AND(AND(MID(metadata!C562,8,1)="-",IFERROR(INT(MID(metadata!C562,9,1))&gt;=0,FALSE),IFERROR(INT(MID(metadata!C562,9,1))&lt;=3,FALSE),NOT(MID(metadata!C562,10,1)=""),IFERROR(INT(MID(metadata!C562,9,2))&gt;=1,FALSE),IFERROR(INT(MID(metadata!C562,9,2))&lt;=31,FALSE)), OR(MID(metadata!C562,11,1)="", AND(AND(MID(metadata!C562,11,1)=" ",IFERROR(INT(MID(metadata!C562,12,1))&gt;=0,FALSE),IFERROR(INT(MID(metadata!C562,12,1))&lt;=2,FALSE),NOT(MID(metadata!C562,13,1)=""),IFERROR(INT(MID(metadata!C562,12,2))&gt;=0,FALSE),IFERROR(INT(MID(metadata!C562,12,2))&lt;=23,FALSE)), OR(MID(metadata!C562,14,1)="", AND(AND(MID(metadata!C562,14,1)=":",IFERROR(INT(MID(metadata!C562,15,1))&gt;=0,FALSE),IFERROR(INT(MID(metadata!C562,15,1))&lt;=5,FALSE),NOT(MID(metadata!C562,16,1)=""),IFERROR(INT(MID(metadata!C562,15,2))&gt;=0,FALSE),IFERROR(INT(MID(metadata!C562,15,2))&lt;=59,FALSE)), OR(MID(metadata!C562,17,1)="", AND(AND(MID(metadata!C562,17,1)=":",IFERROR(INT(MID(metadata!C562,18,1))&gt;=0,FALSE),IFERROR(INT(MID(metadata!C562,18,1))&lt;=5,FALSE),NOT(MID(metadata!C562,19,1)=""),IFERROR(INT(MID(metadata!C562,18,2))&gt;=0,FALSE),IFERROR(INT(MID(metadata!C562,18,2))&lt;=59,FALSE)), LEN(metadata!C562)&lt;=19)))))))))))))</f>
        <v>0</v>
      </c>
      <c r="AO562" t="b">
        <f>AND(IF(metadata!D562="",FALSE,TRUE),EXACT(metadata!D562,"Not applicable"))</f>
        <v>0</v>
      </c>
      <c r="AP562" t="b">
        <f>IF(metadata!E562="",FALSE,TRUE)</f>
        <v>0</v>
      </c>
      <c r="AQ562" t="b">
        <f>OR(AND(IF(metadata!F562="",FALSE,TRUE),OR(EXACT(metadata!F562,"missing: not collected"),EXACT(metadata!F562,"missing: not provided"))),AND(IF(metadata!F562="",FALSE,TRUE),OR(EXACT(metadata!F562,"TRUE"),EXACT(metadata!F562,"FALSE"))))</f>
        <v>0</v>
      </c>
      <c r="AR562" t="b">
        <f>OR(AND(IF(metadata!G562="",FALSE,TRUE),OR(EXACT(metadata!G562,"missing: not collected"),EXACT(metadata!G562,"missing: not provided"),EXACT(metadata!G562,"missing: restricted access"))),AND(IF(metadata!G562="",FALSE,ISNUMBER(VALUE(metadata!G562))),metadata!G562&gt;=-413))</f>
        <v>0</v>
      </c>
      <c r="AS562" t="b">
        <f>AND(IF(metadata!H562="",FALSE,TRUE),EXACT(metadata!H562,"meters"))</f>
        <v>0</v>
      </c>
      <c r="AT562" t="b">
        <f>AND(IF(metadata!I562="",FALSE,TRUE),OR(EXACT(metadata!I562,"Host-associated"),EXACT(metadata!I562,"Free-living")))</f>
        <v>0</v>
      </c>
      <c r="AU562" t="b">
        <f>AND(IF(metadata!J562="",FALSE,TRUE),OR(EXACT(metadata!J562,"Animal"),EXACT(metadata!J562,"Fungus"),EXACT(metadata!J562,"Plant"),EXACT(metadata!J562,"Saline"),EXACT(metadata!J562,"Non-saline")))</f>
        <v>0</v>
      </c>
      <c r="AV562" t="b">
        <f>AND(IF(metadata!K562="",FALSE,TRUE),OR(EXACT(metadata!K562,"Plant secretion"),EXACT(metadata!K562,"Plant rhizosphere"),EXACT(metadata!K562,"Plant surface"),EXACT(metadata!K562,"Plant corpus"),EXACT(metadata!K562,"Fungus surface"),EXACT(metadata!K562,"Fungus corpus"),EXACT(metadata!K562,"Animal surface"),EXACT(metadata!K562,"Animal proximal gut"),EXACT(metadata!K562,"Animal corpus"),EXACT(metadata!K562,"Animal distal gut"),EXACT(metadata!K562,"Animal secretion"),EXACT(metadata!K562,"Sub-surface (non-saline)"),EXACT(metadata!K562,"Surface (non-saline)"),EXACT(metadata!K562,"Water (non-saline)"),EXACT(metadata!K562,"Soil (non-saline)"),EXACT(metadata!K562,"Aerosol (non-saline)"),EXACT(metadata!K562,"Sediment (non-saline)"),EXACT(metadata!K562,"Surface (saline)"),EXACT(metadata!K562,"Water (saline)"),EXACT(metadata!K562,"Hypersaline (saline)"),EXACT(metadata!K562,"Aerosol (saline)"),EXACT(metadata!K562,"Sediment (saline)")))</f>
        <v>0</v>
      </c>
      <c r="AW562" t="b">
        <f>IF(metadata!L562="",FALSE,TRUE)</f>
        <v>0</v>
      </c>
      <c r="AX562" t="b">
        <f>IF(metadata!M562="",FALSE,TRUE)</f>
        <v>0</v>
      </c>
      <c r="AY562" t="b">
        <f>IF(metadata!N562="",FALSE,TRUE)</f>
        <v>0</v>
      </c>
      <c r="AZ562" t="b">
        <f>OR(AND(IF(metadata!O562="",FALSE,TRUE),OR(EXACT(metadata!O562,"missing: not collected"),EXACT(metadata!O562,"missing: not provided"),EXACT(metadata!O562,"missing: restricted access"))),AND(IF(metadata!O562="",FALSE,TRUE),OR(EXACT(metadata!O562,"air"),EXACT(metadata!O562,"built environment"),EXACT(metadata!O562,"host-associated"),EXACT(metadata!O562,"human-associated"),EXACT(metadata!O562,"human-skin"),EXACT(metadata!O562,"human-oral"),EXACT(metadata!O562,"human-gut"),EXACT(metadata!O562,"human-vaginal"),EXACT(metadata!O562,"microbial mat/biofilm"),EXACT(metadata!O562,"misc environment"),EXACT(metadata!O562,"plant-associated"),EXACT(metadata!O562,"sediment"),EXACT(metadata!O562,"soil"),EXACT(metadata!O562,"wastewater/sludge"),EXACT(metadata!O562,"water"))))</f>
        <v>0</v>
      </c>
      <c r="BA562" t="b">
        <f>IF(metadata!P562="",FALSE,TRUE)</f>
        <v>0</v>
      </c>
      <c r="BB562" t="b">
        <f>IF(metadata!Q562="",FALSE,TRUE)</f>
        <v>0</v>
      </c>
      <c r="BC562" t="b">
        <f>OR(AND(IF(metadata!R562="",FALSE,TRUE),OR(EXACT(metadata!R562,"missing: not collected"),EXACT(metadata!R562,"missing: not provided"),EXACT(metadata!R562,"missing: restricted access"))),AND(IF(metadata!R562="",FALSE,ISNUMBER(VALUE(metadata!R562))),metadata!R562&gt;=-90,metadata!R562&lt;=90))</f>
        <v>0</v>
      </c>
      <c r="BD562" t="b">
        <f>AND(IF(metadata!S562="",FALSE,TRUE),EXACT(metadata!S562,"Decimal degrees"))</f>
        <v>0</v>
      </c>
      <c r="BE562" t="b">
        <f>OR(AND(IF(metadata!T562="",FALSE,TRUE),OR(EXACT(metadata!T562,"missing: not collected"),EXACT(metadata!T562,"missing: not provided"),EXACT(metadata!T562,"missing: restricted access"))),AND(IF(metadata!T562="",FALSE,ISNUMBER(VALUE(metadata!T562))),metadata!T562&gt;=-180,metadata!T562&lt;=180))</f>
        <v>0</v>
      </c>
      <c r="BF562" t="b">
        <f>AND(IF(metadata!U562="",FALSE,TRUE),EXACT(metadata!U562,"Decimal degrees"))</f>
        <v>0</v>
      </c>
      <c r="BG562" t="b">
        <f>IF(metadata!V562="",FALSE,TRUE)</f>
        <v>0</v>
      </c>
      <c r="BH562" t="b">
        <f>OR(AND(IF(metadata!W562="",FALSE,TRUE),OR(EXACT(metadata!W562,"missing: not collected"),EXACT(metadata!W562,"missing: not provided"),EXACT(metadata!W562,"missing: restricted access"))),AND(IF(metadata!W562="",FALSE,TRUE),OR(EXACT(metadata!W562,"TRUE"),EXACT(metadata!W562,"FALSE"))))</f>
        <v>0</v>
      </c>
      <c r="BI562" t="b">
        <f>AND(IF(metadata!X562="",FALSE,TRUE),EXACT(metadata!X562,"other"))</f>
        <v>0</v>
      </c>
      <c r="BJ562" t="b">
        <f>IF(metadata!Y562="",FALSE,TRUE)</f>
        <v>0</v>
      </c>
      <c r="BK562" t="b">
        <f>OR(AND(IF(metadata!Z562="",FALSE,TRUE),OR(EXACT(metadata!Z562,"missing: not collected"),EXACT(metadata!Z562,"missing: not provided"))),AND(IF(metadata!Z562="",FALSE,IF(ISERROR(INT(metadata!Z562)),FALSE,INT(metadata!Z562)=metadata!Z562)),metadata!Z562&gt;0))</f>
        <v>0</v>
      </c>
      <c r="BL562" t="b">
        <f>AND(IF(metadata!AA562="",FALSE,TRUE),EXACT(metadata!AA562,"Not applicable"))</f>
        <v>0</v>
      </c>
      <c r="BM562" t="b">
        <f>IF(metadata!AB562="",FALSE,TRUE)</f>
        <v>0</v>
      </c>
    </row>
    <row r="563" spans="1:65" x14ac:dyDescent="0.2">
      <c r="A563" s="5" t="str">
        <f ca="1">IF(B563=" "," ",HYPERLINK(CONCATENATE("#metadata!",ADDRESS(INDEX($AH$2:$AH$1001,MATCH(ROWS($AF$2:AF563),$AF$2:$AF$1001,0),0),1)),INDEX($AK$2:$AK$1001,MATCH(ROWS($AF$2:AF563),$AF$2:$AF$1001,0),0)))</f>
        <v xml:space="preserve"> </v>
      </c>
      <c r="B563" s="4" t="str">
        <f ca="1">IF(OR(INDEX($AG$2:$AG$1001,MATCH(ROWS($AF$2:AF563),$AF$2:$AF$1001,0),1)&gt;=100000,INDEX($AM$1005:$BM$1005,1,MATCH(COLUMNS($AM$1006:AM1006),$AM$1006:$BM$1006,0))&gt;=100000), " ",IF(INDEX($AM$2:$BM$1001,MATCH(ROWS($AF$2:AF563),$AF$2:$AF$1001,0),MATCH(COLUMNS($AM$1006:AM1006),$AM$1006:$BM$1006,0)), HYPERLINK("#",""), HYPERLINK(CONCATENATE("#metadata!", ADDRESS(INDEX($AH$2:$AH$1001,MATCH(ROWS($AF$2:AF563),$AF$2:$AF$1001,0),0), INDEX($AM$1004:$BM$1004,1,MATCH(COLUMNS($AM$1006:AM1006),$AM$1006:$BM$1006,0)))),"Fix")))</f>
        <v xml:space="preserve"> </v>
      </c>
      <c r="C563" s="4" t="str">
        <f ca="1">IF(OR(INDEX($AG$2:$AG$1001,MATCH(ROWS($AF$2:AF563),$AF$2:$AF$1001,0),1)&gt;=100000,INDEX($AM$1005:$BM$1005,1,MATCH(COLUMNS($AM$1006:AN1006),$AM$1006:$BM$1006,0))&gt;=100000), " ",IF(INDEX($AM$2:$BM$1001,MATCH(ROWS($AF$2:AF563),$AF$2:$AF$1001,0),MATCH(COLUMNS($AM$1006:AN1006),$AM$1006:$BM$1006,0)), HYPERLINK("#",""), HYPERLINK(CONCATENATE("#metadata!", ADDRESS(INDEX($AH$2:$AH$1001,MATCH(ROWS($AF$2:AF563),$AF$2:$AF$1001,0),0), INDEX($AM$1004:$BM$1004,1,MATCH(COLUMNS($AM$1006:AN1006),$AM$1006:$BM$1006,0)))),"Fix")))</f>
        <v xml:space="preserve"> </v>
      </c>
      <c r="D563" s="4" t="str">
        <f ca="1">IF(OR(INDEX($AG$2:$AG$1001,MATCH(ROWS($AF$2:AF563),$AF$2:$AF$1001,0),1)&gt;=100000,INDEX($AM$1005:$BM$1005,1,MATCH(COLUMNS($AM$1006:AO1006),$AM$1006:$BM$1006,0))&gt;=100000), " ",IF(INDEX($AM$2:$BM$1001,MATCH(ROWS($AF$2:AF563),$AF$2:$AF$1001,0),MATCH(COLUMNS($AM$1006:AO1006),$AM$1006:$BM$1006,0)), HYPERLINK("#",""), HYPERLINK(CONCATENATE("#metadata!", ADDRESS(INDEX($AH$2:$AH$1001,MATCH(ROWS($AF$2:AF563),$AF$2:$AF$1001,0),0), INDEX($AM$1004:$BM$1004,1,MATCH(COLUMNS($AM$1006:AO1006),$AM$1006:$BM$1006,0)))),"Fix")))</f>
        <v xml:space="preserve"> </v>
      </c>
      <c r="E563" s="4" t="str">
        <f ca="1">IF(OR(INDEX($AG$2:$AG$1001,MATCH(ROWS($AF$2:AF563),$AF$2:$AF$1001,0),1)&gt;=100000,INDEX($AM$1005:$BM$1005,1,MATCH(COLUMNS($AM$1006:AP1006),$AM$1006:$BM$1006,0))&gt;=100000), " ",IF(INDEX($AM$2:$BM$1001,MATCH(ROWS($AF$2:AF563),$AF$2:$AF$1001,0),MATCH(COLUMNS($AM$1006:AP1006),$AM$1006:$BM$1006,0)), HYPERLINK("#",""), HYPERLINK(CONCATENATE("#metadata!", ADDRESS(INDEX($AH$2:$AH$1001,MATCH(ROWS($AF$2:AF563),$AF$2:$AF$1001,0),0), INDEX($AM$1004:$BM$1004,1,MATCH(COLUMNS($AM$1006:AP1006),$AM$1006:$BM$1006,0)))),"Fix")))</f>
        <v xml:space="preserve"> </v>
      </c>
      <c r="F563" s="4" t="str">
        <f ca="1">IF(OR(INDEX($AG$2:$AG$1001,MATCH(ROWS($AF$2:AF563),$AF$2:$AF$1001,0),1)&gt;=100000,INDEX($AM$1005:$BM$1005,1,MATCH(COLUMNS($AM$1006:AQ1006),$AM$1006:$BM$1006,0))&gt;=100000), " ",IF(INDEX($AM$2:$BM$1001,MATCH(ROWS($AF$2:AF563),$AF$2:$AF$1001,0),MATCH(COLUMNS($AM$1006:AQ1006),$AM$1006:$BM$1006,0)), HYPERLINK("#",""), HYPERLINK(CONCATENATE("#metadata!", ADDRESS(INDEX($AH$2:$AH$1001,MATCH(ROWS($AF$2:AF563),$AF$2:$AF$1001,0),0), INDEX($AM$1004:$BM$1004,1,MATCH(COLUMNS($AM$1006:AQ1006),$AM$1006:$BM$1006,0)))),"Fix")))</f>
        <v xml:space="preserve"> </v>
      </c>
      <c r="G563" s="4" t="str">
        <f ca="1">IF(OR(INDEX($AG$2:$AG$1001,MATCH(ROWS($AF$2:AF563),$AF$2:$AF$1001,0),1)&gt;=100000,INDEX($AM$1005:$BM$1005,1,MATCH(COLUMNS($AM$1006:AR1006),$AM$1006:$BM$1006,0))&gt;=100000), " ",IF(INDEX($AM$2:$BM$1001,MATCH(ROWS($AF$2:AF563),$AF$2:$AF$1001,0),MATCH(COLUMNS($AM$1006:AR1006),$AM$1006:$BM$1006,0)), HYPERLINK("#",""), HYPERLINK(CONCATENATE("#metadata!", ADDRESS(INDEX($AH$2:$AH$1001,MATCH(ROWS($AF$2:AF563),$AF$2:$AF$1001,0),0), INDEX($AM$1004:$BM$1004,1,MATCH(COLUMNS($AM$1006:AR1006),$AM$1006:$BM$1006,0)))),"Fix")))</f>
        <v xml:space="preserve"> </v>
      </c>
      <c r="H563" s="4" t="str">
        <f ca="1">IF(OR(INDEX($AG$2:$AG$1001,MATCH(ROWS($AF$2:AF563),$AF$2:$AF$1001,0),1)&gt;=100000,INDEX($AM$1005:$BM$1005,1,MATCH(COLUMNS($AM$1006:AS1006),$AM$1006:$BM$1006,0))&gt;=100000), " ",IF(INDEX($AM$2:$BM$1001,MATCH(ROWS($AF$2:AF563),$AF$2:$AF$1001,0),MATCH(COLUMNS($AM$1006:AS1006),$AM$1006:$BM$1006,0)), HYPERLINK("#",""), HYPERLINK(CONCATENATE("#metadata!", ADDRESS(INDEX($AH$2:$AH$1001,MATCH(ROWS($AF$2:AF563),$AF$2:$AF$1001,0),0), INDEX($AM$1004:$BM$1004,1,MATCH(COLUMNS($AM$1006:AS1006),$AM$1006:$BM$1006,0)))),"Fix")))</f>
        <v xml:space="preserve"> </v>
      </c>
      <c r="I563" s="4" t="str">
        <f ca="1">IF(OR(INDEX($AG$2:$AG$1001,MATCH(ROWS($AF$2:AF563),$AF$2:$AF$1001,0),1)&gt;=100000,INDEX($AM$1005:$BM$1005,1,MATCH(COLUMNS($AM$1006:AT1006),$AM$1006:$BM$1006,0))&gt;=100000), " ",IF(INDEX($AM$2:$BM$1001,MATCH(ROWS($AF$2:AF563),$AF$2:$AF$1001,0),MATCH(COLUMNS($AM$1006:AT1006),$AM$1006:$BM$1006,0)), HYPERLINK("#",""), HYPERLINK(CONCATENATE("#metadata!", ADDRESS(INDEX($AH$2:$AH$1001,MATCH(ROWS($AF$2:AF563),$AF$2:$AF$1001,0),0), INDEX($AM$1004:$BM$1004,1,MATCH(COLUMNS($AM$1006:AT1006),$AM$1006:$BM$1006,0)))),"Fix")))</f>
        <v xml:space="preserve"> </v>
      </c>
      <c r="J563" s="4" t="str">
        <f ca="1">IF(OR(INDEX($AG$2:$AG$1001,MATCH(ROWS($AF$2:AF563),$AF$2:$AF$1001,0),1)&gt;=100000,INDEX($AM$1005:$BM$1005,1,MATCH(COLUMNS($AM$1006:AU1006),$AM$1006:$BM$1006,0))&gt;=100000), " ",IF(INDEX($AM$2:$BM$1001,MATCH(ROWS($AF$2:AF563),$AF$2:$AF$1001,0),MATCH(COLUMNS($AM$1006:AU1006),$AM$1006:$BM$1006,0)), HYPERLINK("#",""), HYPERLINK(CONCATENATE("#metadata!", ADDRESS(INDEX($AH$2:$AH$1001,MATCH(ROWS($AF$2:AF563),$AF$2:$AF$1001,0),0), INDEX($AM$1004:$BM$1004,1,MATCH(COLUMNS($AM$1006:AU1006),$AM$1006:$BM$1006,0)))),"Fix")))</f>
        <v xml:space="preserve"> </v>
      </c>
      <c r="K563" s="4" t="str">
        <f ca="1">IF(OR(INDEX($AG$2:$AG$1001,MATCH(ROWS($AF$2:AF563),$AF$2:$AF$1001,0),1)&gt;=100000,INDEX($AM$1005:$BM$1005,1,MATCH(COLUMNS($AM$1006:AV1006),$AM$1006:$BM$1006,0))&gt;=100000), " ",IF(INDEX($AM$2:$BM$1001,MATCH(ROWS($AF$2:AF563),$AF$2:$AF$1001,0),MATCH(COLUMNS($AM$1006:AV1006),$AM$1006:$BM$1006,0)), HYPERLINK("#",""), HYPERLINK(CONCATENATE("#metadata!", ADDRESS(INDEX($AH$2:$AH$1001,MATCH(ROWS($AF$2:AF563),$AF$2:$AF$1001,0),0), INDEX($AM$1004:$BM$1004,1,MATCH(COLUMNS($AM$1006:AV1006),$AM$1006:$BM$1006,0)))),"Fix")))</f>
        <v xml:space="preserve"> </v>
      </c>
      <c r="L563" s="4" t="str">
        <f ca="1">IF(OR(INDEX($AG$2:$AG$1001,MATCH(ROWS($AF$2:AF563),$AF$2:$AF$1001,0),1)&gt;=100000,INDEX($AM$1005:$BM$1005,1,MATCH(COLUMNS($AM$1006:AW1006),$AM$1006:$BM$1006,0))&gt;=100000), " ",IF(INDEX($AM$2:$BM$1001,MATCH(ROWS($AF$2:AF563),$AF$2:$AF$1001,0),MATCH(COLUMNS($AM$1006:AW1006),$AM$1006:$BM$1006,0)), HYPERLINK("#",""), HYPERLINK(CONCATENATE("#metadata!", ADDRESS(INDEX($AH$2:$AH$1001,MATCH(ROWS($AF$2:AF563),$AF$2:$AF$1001,0),0), INDEX($AM$1004:$BM$1004,1,MATCH(COLUMNS($AM$1006:AW1006),$AM$1006:$BM$1006,0)))),"Fix")))</f>
        <v xml:space="preserve"> </v>
      </c>
      <c r="M563" s="4" t="str">
        <f ca="1">IF(OR(INDEX($AG$2:$AG$1001,MATCH(ROWS($AF$2:AF563),$AF$2:$AF$1001,0),1)&gt;=100000,INDEX($AM$1005:$BM$1005,1,MATCH(COLUMNS($AM$1006:AX1006),$AM$1006:$BM$1006,0))&gt;=100000), " ",IF(INDEX($AM$2:$BM$1001,MATCH(ROWS($AF$2:AF563),$AF$2:$AF$1001,0),MATCH(COLUMNS($AM$1006:AX1006),$AM$1006:$BM$1006,0)), HYPERLINK("#",""), HYPERLINK(CONCATENATE("#metadata!", ADDRESS(INDEX($AH$2:$AH$1001,MATCH(ROWS($AF$2:AF563),$AF$2:$AF$1001,0),0), INDEX($AM$1004:$BM$1004,1,MATCH(COLUMNS($AM$1006:AX1006),$AM$1006:$BM$1006,0)))),"Fix")))</f>
        <v xml:space="preserve"> </v>
      </c>
      <c r="N563" s="4" t="str">
        <f ca="1">IF(OR(INDEX($AG$2:$AG$1001,MATCH(ROWS($AF$2:AF563),$AF$2:$AF$1001,0),1)&gt;=100000,INDEX($AM$1005:$BM$1005,1,MATCH(COLUMNS($AM$1006:AY1006),$AM$1006:$BM$1006,0))&gt;=100000), " ",IF(INDEX($AM$2:$BM$1001,MATCH(ROWS($AF$2:AF563),$AF$2:$AF$1001,0),MATCH(COLUMNS($AM$1006:AY1006),$AM$1006:$BM$1006,0)), HYPERLINK("#",""), HYPERLINK(CONCATENATE("#metadata!", ADDRESS(INDEX($AH$2:$AH$1001,MATCH(ROWS($AF$2:AF563),$AF$2:$AF$1001,0),0), INDEX($AM$1004:$BM$1004,1,MATCH(COLUMNS($AM$1006:AY1006),$AM$1006:$BM$1006,0)))),"Fix")))</f>
        <v xml:space="preserve"> </v>
      </c>
      <c r="O563" s="4" t="str">
        <f ca="1">IF(OR(INDEX($AG$2:$AG$1001,MATCH(ROWS($AF$2:AF563),$AF$2:$AF$1001,0),1)&gt;=100000,INDEX($AM$1005:$BM$1005,1,MATCH(COLUMNS($AM$1006:AZ1006),$AM$1006:$BM$1006,0))&gt;=100000), " ",IF(INDEX($AM$2:$BM$1001,MATCH(ROWS($AF$2:AF563),$AF$2:$AF$1001,0),MATCH(COLUMNS($AM$1006:AZ1006),$AM$1006:$BM$1006,0)), HYPERLINK("#",""), HYPERLINK(CONCATENATE("#metadata!", ADDRESS(INDEX($AH$2:$AH$1001,MATCH(ROWS($AF$2:AF563),$AF$2:$AF$1001,0),0), INDEX($AM$1004:$BM$1004,1,MATCH(COLUMNS($AM$1006:AZ1006),$AM$1006:$BM$1006,0)))),"Fix")))</f>
        <v xml:space="preserve"> </v>
      </c>
      <c r="P563" s="4" t="str">
        <f ca="1">IF(OR(INDEX($AG$2:$AG$1001,MATCH(ROWS($AF$2:AF563),$AF$2:$AF$1001,0),1)&gt;=100000,INDEX($AM$1005:$BM$1005,1,MATCH(COLUMNS($AM$1006:BA1006),$AM$1006:$BM$1006,0))&gt;=100000), " ",IF(INDEX($AM$2:$BM$1001,MATCH(ROWS($AF$2:AF563),$AF$2:$AF$1001,0),MATCH(COLUMNS($AM$1006:BA1006),$AM$1006:$BM$1006,0)), HYPERLINK("#",""), HYPERLINK(CONCATENATE("#metadata!", ADDRESS(INDEX($AH$2:$AH$1001,MATCH(ROWS($AF$2:AF563),$AF$2:$AF$1001,0),0), INDEX($AM$1004:$BM$1004,1,MATCH(COLUMNS($AM$1006:BA1006),$AM$1006:$BM$1006,0)))),"Fix")))</f>
        <v xml:space="preserve"> </v>
      </c>
      <c r="Q563" s="4" t="str">
        <f ca="1">IF(OR(INDEX($AG$2:$AG$1001,MATCH(ROWS($AF$2:AF563),$AF$2:$AF$1001,0),1)&gt;=100000,INDEX($AM$1005:$BM$1005,1,MATCH(COLUMNS($AM$1006:BB1006),$AM$1006:$BM$1006,0))&gt;=100000), " ",IF(INDEX($AM$2:$BM$1001,MATCH(ROWS($AF$2:AF563),$AF$2:$AF$1001,0),MATCH(COLUMNS($AM$1006:BB1006),$AM$1006:$BM$1006,0)), HYPERLINK("#",""), HYPERLINK(CONCATENATE("#metadata!", ADDRESS(INDEX($AH$2:$AH$1001,MATCH(ROWS($AF$2:AF563),$AF$2:$AF$1001,0),0), INDEX($AM$1004:$BM$1004,1,MATCH(COLUMNS($AM$1006:BB1006),$AM$1006:$BM$1006,0)))),"Fix")))</f>
        <v xml:space="preserve"> </v>
      </c>
      <c r="R563" s="4" t="str">
        <f ca="1">IF(OR(INDEX($AG$2:$AG$1001,MATCH(ROWS($AF$2:AF563),$AF$2:$AF$1001,0),1)&gt;=100000,INDEX($AM$1005:$BM$1005,1,MATCH(COLUMNS($AM$1006:BC1006),$AM$1006:$BM$1006,0))&gt;=100000), " ",IF(INDEX($AM$2:$BM$1001,MATCH(ROWS($AF$2:AF563),$AF$2:$AF$1001,0),MATCH(COLUMNS($AM$1006:BC1006),$AM$1006:$BM$1006,0)), HYPERLINK("#",""), HYPERLINK(CONCATENATE("#metadata!", ADDRESS(INDEX($AH$2:$AH$1001,MATCH(ROWS($AF$2:AF563),$AF$2:$AF$1001,0),0), INDEX($AM$1004:$BM$1004,1,MATCH(COLUMNS($AM$1006:BC1006),$AM$1006:$BM$1006,0)))),"Fix")))</f>
        <v xml:space="preserve"> </v>
      </c>
      <c r="S563" s="4" t="str">
        <f ca="1">IF(OR(INDEX($AG$2:$AG$1001,MATCH(ROWS($AF$2:AF563),$AF$2:$AF$1001,0),1)&gt;=100000,INDEX($AM$1005:$BM$1005,1,MATCH(COLUMNS($AM$1006:BD1006),$AM$1006:$BM$1006,0))&gt;=100000), " ",IF(INDEX($AM$2:$BM$1001,MATCH(ROWS($AF$2:AF563),$AF$2:$AF$1001,0),MATCH(COLUMNS($AM$1006:BD1006),$AM$1006:$BM$1006,0)), HYPERLINK("#",""), HYPERLINK(CONCATENATE("#metadata!", ADDRESS(INDEX($AH$2:$AH$1001,MATCH(ROWS($AF$2:AF563),$AF$2:$AF$1001,0),0), INDEX($AM$1004:$BM$1004,1,MATCH(COLUMNS($AM$1006:BD1006),$AM$1006:$BM$1006,0)))),"Fix")))</f>
        <v xml:space="preserve"> </v>
      </c>
      <c r="T563" s="4" t="str">
        <f ca="1">IF(OR(INDEX($AG$2:$AG$1001,MATCH(ROWS($AF$2:AF563),$AF$2:$AF$1001,0),1)&gt;=100000,INDEX($AM$1005:$BM$1005,1,MATCH(COLUMNS($AM$1006:BE1006),$AM$1006:$BM$1006,0))&gt;=100000), " ",IF(INDEX($AM$2:$BM$1001,MATCH(ROWS($AF$2:AF563),$AF$2:$AF$1001,0),MATCH(COLUMNS($AM$1006:BE1006),$AM$1006:$BM$1006,0)), HYPERLINK("#",""), HYPERLINK(CONCATENATE("#metadata!", ADDRESS(INDEX($AH$2:$AH$1001,MATCH(ROWS($AF$2:AF563),$AF$2:$AF$1001,0),0), INDEX($AM$1004:$BM$1004,1,MATCH(COLUMNS($AM$1006:BE1006),$AM$1006:$BM$1006,0)))),"Fix")))</f>
        <v xml:space="preserve"> </v>
      </c>
      <c r="U563" s="4" t="str">
        <f ca="1">IF(OR(INDEX($AG$2:$AG$1001,MATCH(ROWS($AF$2:AF563),$AF$2:$AF$1001,0),1)&gt;=100000,INDEX($AM$1005:$BM$1005,1,MATCH(COLUMNS($AM$1006:BF1006),$AM$1006:$BM$1006,0))&gt;=100000), " ",IF(INDEX($AM$2:$BM$1001,MATCH(ROWS($AF$2:AF563),$AF$2:$AF$1001,0),MATCH(COLUMNS($AM$1006:BF1006),$AM$1006:$BM$1006,0)), HYPERLINK("#",""), HYPERLINK(CONCATENATE("#metadata!", ADDRESS(INDEX($AH$2:$AH$1001,MATCH(ROWS($AF$2:AF563),$AF$2:$AF$1001,0),0), INDEX($AM$1004:$BM$1004,1,MATCH(COLUMNS($AM$1006:BF1006),$AM$1006:$BM$1006,0)))),"Fix")))</f>
        <v xml:space="preserve"> </v>
      </c>
      <c r="V563" s="4" t="str">
        <f ca="1">IF(OR(INDEX($AG$2:$AG$1001,MATCH(ROWS($AF$2:AF563),$AF$2:$AF$1001,0),1)&gt;=100000,INDEX($AM$1005:$BM$1005,1,MATCH(COLUMNS($AM$1006:BG1006),$AM$1006:$BM$1006,0))&gt;=100000), " ",IF(INDEX($AM$2:$BM$1001,MATCH(ROWS($AF$2:AF563),$AF$2:$AF$1001,0),MATCH(COLUMNS($AM$1006:BG1006),$AM$1006:$BM$1006,0)), HYPERLINK("#",""), HYPERLINK(CONCATENATE("#metadata!", ADDRESS(INDEX($AH$2:$AH$1001,MATCH(ROWS($AF$2:AF563),$AF$2:$AF$1001,0),0), INDEX($AM$1004:$BM$1004,1,MATCH(COLUMNS($AM$1006:BG1006),$AM$1006:$BM$1006,0)))),"Fix")))</f>
        <v xml:space="preserve"> </v>
      </c>
      <c r="W563" s="4" t="str">
        <f ca="1">IF(OR(INDEX($AG$2:$AG$1001,MATCH(ROWS($AF$2:AF563),$AF$2:$AF$1001,0),1)&gt;=100000,INDEX($AM$1005:$BM$1005,1,MATCH(COLUMNS($AM$1006:BH1006),$AM$1006:$BM$1006,0))&gt;=100000), " ",IF(INDEX($AM$2:$BM$1001,MATCH(ROWS($AF$2:AF563),$AF$2:$AF$1001,0),MATCH(COLUMNS($AM$1006:BH1006),$AM$1006:$BM$1006,0)), HYPERLINK("#",""), HYPERLINK(CONCATENATE("#metadata!", ADDRESS(INDEX($AH$2:$AH$1001,MATCH(ROWS($AF$2:AF563),$AF$2:$AF$1001,0),0), INDEX($AM$1004:$BM$1004,1,MATCH(COLUMNS($AM$1006:BH1006),$AM$1006:$BM$1006,0)))),"Fix")))</f>
        <v xml:space="preserve"> </v>
      </c>
      <c r="X563" s="4" t="str">
        <f ca="1">IF(OR(INDEX($AG$2:$AG$1001,MATCH(ROWS($AF$2:AF563),$AF$2:$AF$1001,0),1)&gt;=100000,INDEX($AM$1005:$BM$1005,1,MATCH(COLUMNS($AM$1006:BI1006),$AM$1006:$BM$1006,0))&gt;=100000), " ",IF(INDEX($AM$2:$BM$1001,MATCH(ROWS($AF$2:AF563),$AF$2:$AF$1001,0),MATCH(COLUMNS($AM$1006:BI1006),$AM$1006:$BM$1006,0)), HYPERLINK("#",""), HYPERLINK(CONCATENATE("#metadata!", ADDRESS(INDEX($AH$2:$AH$1001,MATCH(ROWS($AF$2:AF563),$AF$2:$AF$1001,0),0), INDEX($AM$1004:$BM$1004,1,MATCH(COLUMNS($AM$1006:BI1006),$AM$1006:$BM$1006,0)))),"Fix")))</f>
        <v xml:space="preserve"> </v>
      </c>
      <c r="Y563" s="4" t="str">
        <f ca="1">IF(OR(INDEX($AG$2:$AG$1001,MATCH(ROWS($AF$2:AF563),$AF$2:$AF$1001,0),1)&gt;=100000,INDEX($AM$1005:$BM$1005,1,MATCH(COLUMNS($AM$1006:BJ1006),$AM$1006:$BM$1006,0))&gt;=100000), " ",IF(INDEX($AM$2:$BM$1001,MATCH(ROWS($AF$2:AF563),$AF$2:$AF$1001,0),MATCH(COLUMNS($AM$1006:BJ1006),$AM$1006:$BM$1006,0)), HYPERLINK("#",""), HYPERLINK(CONCATENATE("#metadata!", ADDRESS(INDEX($AH$2:$AH$1001,MATCH(ROWS($AF$2:AF563),$AF$2:$AF$1001,0),0), INDEX($AM$1004:$BM$1004,1,MATCH(COLUMNS($AM$1006:BJ1006),$AM$1006:$BM$1006,0)))),"Fix")))</f>
        <v xml:space="preserve"> </v>
      </c>
      <c r="Z563" s="4" t="str">
        <f ca="1">IF(OR(INDEX($AG$2:$AG$1001,MATCH(ROWS($AF$2:AF563),$AF$2:$AF$1001,0),1)&gt;=100000,INDEX($AM$1005:$BM$1005,1,MATCH(COLUMNS($AM$1006:BK1006),$AM$1006:$BM$1006,0))&gt;=100000), " ",IF(INDEX($AM$2:$BM$1001,MATCH(ROWS($AF$2:AF563),$AF$2:$AF$1001,0),MATCH(COLUMNS($AM$1006:BK1006),$AM$1006:$BM$1006,0)), HYPERLINK("#",""), HYPERLINK(CONCATENATE("#metadata!", ADDRESS(INDEX($AH$2:$AH$1001,MATCH(ROWS($AF$2:AF563),$AF$2:$AF$1001,0),0), INDEX($AM$1004:$BM$1004,1,MATCH(COLUMNS($AM$1006:BK1006),$AM$1006:$BM$1006,0)))),"Fix")))</f>
        <v xml:space="preserve"> </v>
      </c>
      <c r="AA563" s="4" t="str">
        <f ca="1">IF(OR(INDEX($AG$2:$AG$1001,MATCH(ROWS($AF$2:AF563),$AF$2:$AF$1001,0),1)&gt;=100000,INDEX($AM$1005:$BM$1005,1,MATCH(COLUMNS($AM$1006:BL1006),$AM$1006:$BM$1006,0))&gt;=100000), " ",IF(INDEX($AM$2:$BM$1001,MATCH(ROWS($AF$2:AF563),$AF$2:$AF$1001,0),MATCH(COLUMNS($AM$1006:BL1006),$AM$1006:$BM$1006,0)), HYPERLINK("#",""), HYPERLINK(CONCATENATE("#metadata!", ADDRESS(INDEX($AH$2:$AH$1001,MATCH(ROWS($AF$2:AF563),$AF$2:$AF$1001,0),0), INDEX($AM$1004:$BM$1004,1,MATCH(COLUMNS($AM$1006:BL1006),$AM$1006:$BM$1006,0)))),"Fix")))</f>
        <v xml:space="preserve"> </v>
      </c>
      <c r="AB563" s="4" t="str">
        <f ca="1">IF(OR(INDEX($AG$2:$AG$1001,MATCH(ROWS($AF$2:AF563),$AF$2:$AF$1001,0),1)&gt;=100000,INDEX($AM$1005:$BM$1005,1,MATCH(COLUMNS($AM$1006:BM1006),$AM$1006:$BM$1006,0))&gt;=100000), " ",IF(INDEX($AM$2:$BM$1001,MATCH(ROWS($AF$2:AF563),$AF$2:$AF$1001,0),MATCH(COLUMNS($AM$1006:BM1006),$AM$1006:$BM$1006,0)), HYPERLINK("#",""), HYPERLINK(CONCATENATE("#metadata!", ADDRESS(INDEX($AH$2:$AH$1001,MATCH(ROWS($AF$2:AF563),$AF$2:$AF$1001,0),0), INDEX($AM$1004:$BM$1004,1,MATCH(COLUMNS($AM$1006:BM1006),$AM$1006:$BM$1006,0)))),"Fix")))</f>
        <v xml:space="preserve"> </v>
      </c>
      <c r="AF563">
        <v>562</v>
      </c>
      <c r="AG563">
        <v>100563</v>
      </c>
      <c r="AH563">
        <v>563</v>
      </c>
      <c r="AI563" t="b">
        <f t="shared" si="8"/>
        <v>1</v>
      </c>
      <c r="AJ563" t="b">
        <f>COUNTBLANK(metadata!B563:AB563)=COLUMNS(metadata!B563:AB563)</f>
        <v>1</v>
      </c>
      <c r="AK563" t="str">
        <v/>
      </c>
      <c r="AM563" t="b">
        <f ca="1">AND(IF(metadata!B563="",FALSE,TRUE),COUNTIF(metadata!B:B, metadata!B563) = 1,NOT(ISERROR(SUMPRODUCT(SEARCH(MID(metadata!B563,ROW(INDIRECT("1:"&amp;LEN(metadata!B563))), 1),"0123456789abcdefghijklmnopqrstuvwxyzABCDEFGHIJKLMNOPQRSTUVWXYZ.")))))</f>
        <v>0</v>
      </c>
      <c r="AN563" t="b">
        <f ca="1">OR(AND(IF(metadata!C563="",FALSE,TRUE),OR(EXACT(metadata!C563,"missing: not collected"),EXACT(metadata!C563,"missing: not provided"),EXACT(metadata!C563,"missing: restricted access"))),AND(IF(metadata!C563="",FALSE,TRUE),AND(AND(IFERROR(INT(LEFT(metadata!C563,4))&gt;1900,FALSE),IFERROR(INT(LEFT(metadata!C563,4))&lt;=YEAR(NOW()),FALSE)), OR(MID(metadata!C563,5,1)="", AND(AND(MID(metadata!C563,5,1)="-",IFERROR(INT(MID(metadata!C563,6,1))&gt;=0,FALSE),IFERROR(INT(MID(metadata!C563,6,1))&lt;=1,FALSE),NOT(MID(metadata!C563,7,1)=""),IFERROR(INT(MID(metadata!C563,6,2))&gt;=1,FALSE),IFERROR(INT(MID(metadata!C563,6,2))&lt;=12,FALSE)), OR(MID(metadata!C563,8,1)="", AND(AND(MID(metadata!C563,8,1)="-",IFERROR(INT(MID(metadata!C563,9,1))&gt;=0,FALSE),IFERROR(INT(MID(metadata!C563,9,1))&lt;=3,FALSE),NOT(MID(metadata!C563,10,1)=""),IFERROR(INT(MID(metadata!C563,9,2))&gt;=1,FALSE),IFERROR(INT(MID(metadata!C563,9,2))&lt;=31,FALSE)), OR(MID(metadata!C563,11,1)="", AND(AND(MID(metadata!C563,11,1)=" ",IFERROR(INT(MID(metadata!C563,12,1))&gt;=0,FALSE),IFERROR(INT(MID(metadata!C563,12,1))&lt;=2,FALSE),NOT(MID(metadata!C563,13,1)=""),IFERROR(INT(MID(metadata!C563,12,2))&gt;=0,FALSE),IFERROR(INT(MID(metadata!C563,12,2))&lt;=23,FALSE)), OR(MID(metadata!C563,14,1)="", AND(AND(MID(metadata!C563,14,1)=":",IFERROR(INT(MID(metadata!C563,15,1))&gt;=0,FALSE),IFERROR(INT(MID(metadata!C563,15,1))&lt;=5,FALSE),NOT(MID(metadata!C563,16,1)=""),IFERROR(INT(MID(metadata!C563,15,2))&gt;=0,FALSE),IFERROR(INT(MID(metadata!C563,15,2))&lt;=59,FALSE)), OR(MID(metadata!C563,17,1)="", AND(AND(MID(metadata!C563,17,1)=":",IFERROR(INT(MID(metadata!C563,18,1))&gt;=0,FALSE),IFERROR(INT(MID(metadata!C563,18,1))&lt;=5,FALSE),NOT(MID(metadata!C563,19,1)=""),IFERROR(INT(MID(metadata!C563,18,2))&gt;=0,FALSE),IFERROR(INT(MID(metadata!C563,18,2))&lt;=59,FALSE)), LEN(metadata!C563)&lt;=19)))))))))))))</f>
        <v>0</v>
      </c>
      <c r="AO563" t="b">
        <f>AND(IF(metadata!D563="",FALSE,TRUE),EXACT(metadata!D563,"Not applicable"))</f>
        <v>0</v>
      </c>
      <c r="AP563" t="b">
        <f>IF(metadata!E563="",FALSE,TRUE)</f>
        <v>0</v>
      </c>
      <c r="AQ563" t="b">
        <f>OR(AND(IF(metadata!F563="",FALSE,TRUE),OR(EXACT(metadata!F563,"missing: not collected"),EXACT(metadata!F563,"missing: not provided"))),AND(IF(metadata!F563="",FALSE,TRUE),OR(EXACT(metadata!F563,"TRUE"),EXACT(metadata!F563,"FALSE"))))</f>
        <v>0</v>
      </c>
      <c r="AR563" t="b">
        <f>OR(AND(IF(metadata!G563="",FALSE,TRUE),OR(EXACT(metadata!G563,"missing: not collected"),EXACT(metadata!G563,"missing: not provided"),EXACT(metadata!G563,"missing: restricted access"))),AND(IF(metadata!G563="",FALSE,ISNUMBER(VALUE(metadata!G563))),metadata!G563&gt;=-413))</f>
        <v>0</v>
      </c>
      <c r="AS563" t="b">
        <f>AND(IF(metadata!H563="",FALSE,TRUE),EXACT(metadata!H563,"meters"))</f>
        <v>0</v>
      </c>
      <c r="AT563" t="b">
        <f>AND(IF(metadata!I563="",FALSE,TRUE),OR(EXACT(metadata!I563,"Host-associated"),EXACT(metadata!I563,"Free-living")))</f>
        <v>0</v>
      </c>
      <c r="AU563" t="b">
        <f>AND(IF(metadata!J563="",FALSE,TRUE),OR(EXACT(metadata!J563,"Animal"),EXACT(metadata!J563,"Fungus"),EXACT(metadata!J563,"Plant"),EXACT(metadata!J563,"Saline"),EXACT(metadata!J563,"Non-saline")))</f>
        <v>0</v>
      </c>
      <c r="AV563" t="b">
        <f>AND(IF(metadata!K563="",FALSE,TRUE),OR(EXACT(metadata!K563,"Plant secretion"),EXACT(metadata!K563,"Plant rhizosphere"),EXACT(metadata!K563,"Plant surface"),EXACT(metadata!K563,"Plant corpus"),EXACT(metadata!K563,"Fungus surface"),EXACT(metadata!K563,"Fungus corpus"),EXACT(metadata!K563,"Animal surface"),EXACT(metadata!K563,"Animal proximal gut"),EXACT(metadata!K563,"Animal corpus"),EXACT(metadata!K563,"Animal distal gut"),EXACT(metadata!K563,"Animal secretion"),EXACT(metadata!K563,"Sub-surface (non-saline)"),EXACT(metadata!K563,"Surface (non-saline)"),EXACT(metadata!K563,"Water (non-saline)"),EXACT(metadata!K563,"Soil (non-saline)"),EXACT(metadata!K563,"Aerosol (non-saline)"),EXACT(metadata!K563,"Sediment (non-saline)"),EXACT(metadata!K563,"Surface (saline)"),EXACT(metadata!K563,"Water (saline)"),EXACT(metadata!K563,"Hypersaline (saline)"),EXACT(metadata!K563,"Aerosol (saline)"),EXACT(metadata!K563,"Sediment (saline)")))</f>
        <v>0</v>
      </c>
      <c r="AW563" t="b">
        <f>IF(metadata!L563="",FALSE,TRUE)</f>
        <v>0</v>
      </c>
      <c r="AX563" t="b">
        <f>IF(metadata!M563="",FALSE,TRUE)</f>
        <v>0</v>
      </c>
      <c r="AY563" t="b">
        <f>IF(metadata!N563="",FALSE,TRUE)</f>
        <v>0</v>
      </c>
      <c r="AZ563" t="b">
        <f>OR(AND(IF(metadata!O563="",FALSE,TRUE),OR(EXACT(metadata!O563,"missing: not collected"),EXACT(metadata!O563,"missing: not provided"),EXACT(metadata!O563,"missing: restricted access"))),AND(IF(metadata!O563="",FALSE,TRUE),OR(EXACT(metadata!O563,"air"),EXACT(metadata!O563,"built environment"),EXACT(metadata!O563,"host-associated"),EXACT(metadata!O563,"human-associated"),EXACT(metadata!O563,"human-skin"),EXACT(metadata!O563,"human-oral"),EXACT(metadata!O563,"human-gut"),EXACT(metadata!O563,"human-vaginal"),EXACT(metadata!O563,"microbial mat/biofilm"),EXACT(metadata!O563,"misc environment"),EXACT(metadata!O563,"plant-associated"),EXACT(metadata!O563,"sediment"),EXACT(metadata!O563,"soil"),EXACT(metadata!O563,"wastewater/sludge"),EXACT(metadata!O563,"water"))))</f>
        <v>0</v>
      </c>
      <c r="BA563" t="b">
        <f>IF(metadata!P563="",FALSE,TRUE)</f>
        <v>0</v>
      </c>
      <c r="BB563" t="b">
        <f>IF(metadata!Q563="",FALSE,TRUE)</f>
        <v>0</v>
      </c>
      <c r="BC563" t="b">
        <f>OR(AND(IF(metadata!R563="",FALSE,TRUE),OR(EXACT(metadata!R563,"missing: not collected"),EXACT(metadata!R563,"missing: not provided"),EXACT(metadata!R563,"missing: restricted access"))),AND(IF(metadata!R563="",FALSE,ISNUMBER(VALUE(metadata!R563))),metadata!R563&gt;=-90,metadata!R563&lt;=90))</f>
        <v>0</v>
      </c>
      <c r="BD563" t="b">
        <f>AND(IF(metadata!S563="",FALSE,TRUE),EXACT(metadata!S563,"Decimal degrees"))</f>
        <v>0</v>
      </c>
      <c r="BE563" t="b">
        <f>OR(AND(IF(metadata!T563="",FALSE,TRUE),OR(EXACT(metadata!T563,"missing: not collected"),EXACT(metadata!T563,"missing: not provided"),EXACT(metadata!T563,"missing: restricted access"))),AND(IF(metadata!T563="",FALSE,ISNUMBER(VALUE(metadata!T563))),metadata!T563&gt;=-180,metadata!T563&lt;=180))</f>
        <v>0</v>
      </c>
      <c r="BF563" t="b">
        <f>AND(IF(metadata!U563="",FALSE,TRUE),EXACT(metadata!U563,"Decimal degrees"))</f>
        <v>0</v>
      </c>
      <c r="BG563" t="b">
        <f>IF(metadata!V563="",FALSE,TRUE)</f>
        <v>0</v>
      </c>
      <c r="BH563" t="b">
        <f>OR(AND(IF(metadata!W563="",FALSE,TRUE),OR(EXACT(metadata!W563,"missing: not collected"),EXACT(metadata!W563,"missing: not provided"),EXACT(metadata!W563,"missing: restricted access"))),AND(IF(metadata!W563="",FALSE,TRUE),OR(EXACT(metadata!W563,"TRUE"),EXACT(metadata!W563,"FALSE"))))</f>
        <v>0</v>
      </c>
      <c r="BI563" t="b">
        <f>AND(IF(metadata!X563="",FALSE,TRUE),EXACT(metadata!X563,"other"))</f>
        <v>0</v>
      </c>
      <c r="BJ563" t="b">
        <f>IF(metadata!Y563="",FALSE,TRUE)</f>
        <v>0</v>
      </c>
      <c r="BK563" t="b">
        <f>OR(AND(IF(metadata!Z563="",FALSE,TRUE),OR(EXACT(metadata!Z563,"missing: not collected"),EXACT(metadata!Z563,"missing: not provided"))),AND(IF(metadata!Z563="",FALSE,IF(ISERROR(INT(metadata!Z563)),FALSE,INT(metadata!Z563)=metadata!Z563)),metadata!Z563&gt;0))</f>
        <v>0</v>
      </c>
      <c r="BL563" t="b">
        <f>AND(IF(metadata!AA563="",FALSE,TRUE),EXACT(metadata!AA563,"Not applicable"))</f>
        <v>0</v>
      </c>
      <c r="BM563" t="b">
        <f>IF(metadata!AB563="",FALSE,TRUE)</f>
        <v>0</v>
      </c>
    </row>
    <row r="564" spans="1:65" x14ac:dyDescent="0.2">
      <c r="A564" s="5" t="str">
        <f ca="1">IF(B564=" "," ",HYPERLINK(CONCATENATE("#metadata!",ADDRESS(INDEX($AH$2:$AH$1001,MATCH(ROWS($AF$2:AF564),$AF$2:$AF$1001,0),0),1)),INDEX($AK$2:$AK$1001,MATCH(ROWS($AF$2:AF564),$AF$2:$AF$1001,0),0)))</f>
        <v xml:space="preserve"> </v>
      </c>
      <c r="B564" s="4" t="str">
        <f ca="1">IF(OR(INDEX($AG$2:$AG$1001,MATCH(ROWS($AF$2:AF564),$AF$2:$AF$1001,0),1)&gt;=100000,INDEX($AM$1005:$BM$1005,1,MATCH(COLUMNS($AM$1006:AM1006),$AM$1006:$BM$1006,0))&gt;=100000), " ",IF(INDEX($AM$2:$BM$1001,MATCH(ROWS($AF$2:AF564),$AF$2:$AF$1001,0),MATCH(COLUMNS($AM$1006:AM1006),$AM$1006:$BM$1006,0)), HYPERLINK("#",""), HYPERLINK(CONCATENATE("#metadata!", ADDRESS(INDEX($AH$2:$AH$1001,MATCH(ROWS($AF$2:AF564),$AF$2:$AF$1001,0),0), INDEX($AM$1004:$BM$1004,1,MATCH(COLUMNS($AM$1006:AM1006),$AM$1006:$BM$1006,0)))),"Fix")))</f>
        <v xml:space="preserve"> </v>
      </c>
      <c r="C564" s="4" t="str">
        <f ca="1">IF(OR(INDEX($AG$2:$AG$1001,MATCH(ROWS($AF$2:AF564),$AF$2:$AF$1001,0),1)&gt;=100000,INDEX($AM$1005:$BM$1005,1,MATCH(COLUMNS($AM$1006:AN1006),$AM$1006:$BM$1006,0))&gt;=100000), " ",IF(INDEX($AM$2:$BM$1001,MATCH(ROWS($AF$2:AF564),$AF$2:$AF$1001,0),MATCH(COLUMNS($AM$1006:AN1006),$AM$1006:$BM$1006,0)), HYPERLINK("#",""), HYPERLINK(CONCATENATE("#metadata!", ADDRESS(INDEX($AH$2:$AH$1001,MATCH(ROWS($AF$2:AF564),$AF$2:$AF$1001,0),0), INDEX($AM$1004:$BM$1004,1,MATCH(COLUMNS($AM$1006:AN1006),$AM$1006:$BM$1006,0)))),"Fix")))</f>
        <v xml:space="preserve"> </v>
      </c>
      <c r="D564" s="4" t="str">
        <f ca="1">IF(OR(INDEX($AG$2:$AG$1001,MATCH(ROWS($AF$2:AF564),$AF$2:$AF$1001,0),1)&gt;=100000,INDEX($AM$1005:$BM$1005,1,MATCH(COLUMNS($AM$1006:AO1006),$AM$1006:$BM$1006,0))&gt;=100000), " ",IF(INDEX($AM$2:$BM$1001,MATCH(ROWS($AF$2:AF564),$AF$2:$AF$1001,0),MATCH(COLUMNS($AM$1006:AO1006),$AM$1006:$BM$1006,0)), HYPERLINK("#",""), HYPERLINK(CONCATENATE("#metadata!", ADDRESS(INDEX($AH$2:$AH$1001,MATCH(ROWS($AF$2:AF564),$AF$2:$AF$1001,0),0), INDEX($AM$1004:$BM$1004,1,MATCH(COLUMNS($AM$1006:AO1006),$AM$1006:$BM$1006,0)))),"Fix")))</f>
        <v xml:space="preserve"> </v>
      </c>
      <c r="E564" s="4" t="str">
        <f ca="1">IF(OR(INDEX($AG$2:$AG$1001,MATCH(ROWS($AF$2:AF564),$AF$2:$AF$1001,0),1)&gt;=100000,INDEX($AM$1005:$BM$1005,1,MATCH(COLUMNS($AM$1006:AP1006),$AM$1006:$BM$1006,0))&gt;=100000), " ",IF(INDEX($AM$2:$BM$1001,MATCH(ROWS($AF$2:AF564),$AF$2:$AF$1001,0),MATCH(COLUMNS($AM$1006:AP1006),$AM$1006:$BM$1006,0)), HYPERLINK("#",""), HYPERLINK(CONCATENATE("#metadata!", ADDRESS(INDEX($AH$2:$AH$1001,MATCH(ROWS($AF$2:AF564),$AF$2:$AF$1001,0),0), INDEX($AM$1004:$BM$1004,1,MATCH(COLUMNS($AM$1006:AP1006),$AM$1006:$BM$1006,0)))),"Fix")))</f>
        <v xml:space="preserve"> </v>
      </c>
      <c r="F564" s="4" t="str">
        <f ca="1">IF(OR(INDEX($AG$2:$AG$1001,MATCH(ROWS($AF$2:AF564),$AF$2:$AF$1001,0),1)&gt;=100000,INDEX($AM$1005:$BM$1005,1,MATCH(COLUMNS($AM$1006:AQ1006),$AM$1006:$BM$1006,0))&gt;=100000), " ",IF(INDEX($AM$2:$BM$1001,MATCH(ROWS($AF$2:AF564),$AF$2:$AF$1001,0),MATCH(COLUMNS($AM$1006:AQ1006),$AM$1006:$BM$1006,0)), HYPERLINK("#",""), HYPERLINK(CONCATENATE("#metadata!", ADDRESS(INDEX($AH$2:$AH$1001,MATCH(ROWS($AF$2:AF564),$AF$2:$AF$1001,0),0), INDEX($AM$1004:$BM$1004,1,MATCH(COLUMNS($AM$1006:AQ1006),$AM$1006:$BM$1006,0)))),"Fix")))</f>
        <v xml:space="preserve"> </v>
      </c>
      <c r="G564" s="4" t="str">
        <f ca="1">IF(OR(INDEX($AG$2:$AG$1001,MATCH(ROWS($AF$2:AF564),$AF$2:$AF$1001,0),1)&gt;=100000,INDEX($AM$1005:$BM$1005,1,MATCH(COLUMNS($AM$1006:AR1006),$AM$1006:$BM$1006,0))&gt;=100000), " ",IF(INDEX($AM$2:$BM$1001,MATCH(ROWS($AF$2:AF564),$AF$2:$AF$1001,0),MATCH(COLUMNS($AM$1006:AR1006),$AM$1006:$BM$1006,0)), HYPERLINK("#",""), HYPERLINK(CONCATENATE("#metadata!", ADDRESS(INDEX($AH$2:$AH$1001,MATCH(ROWS($AF$2:AF564),$AF$2:$AF$1001,0),0), INDEX($AM$1004:$BM$1004,1,MATCH(COLUMNS($AM$1006:AR1006),$AM$1006:$BM$1006,0)))),"Fix")))</f>
        <v xml:space="preserve"> </v>
      </c>
      <c r="H564" s="4" t="str">
        <f ca="1">IF(OR(INDEX($AG$2:$AG$1001,MATCH(ROWS($AF$2:AF564),$AF$2:$AF$1001,0),1)&gt;=100000,INDEX($AM$1005:$BM$1005,1,MATCH(COLUMNS($AM$1006:AS1006),$AM$1006:$BM$1006,0))&gt;=100000), " ",IF(INDEX($AM$2:$BM$1001,MATCH(ROWS($AF$2:AF564),$AF$2:$AF$1001,0),MATCH(COLUMNS($AM$1006:AS1006),$AM$1006:$BM$1006,0)), HYPERLINK("#",""), HYPERLINK(CONCATENATE("#metadata!", ADDRESS(INDEX($AH$2:$AH$1001,MATCH(ROWS($AF$2:AF564),$AF$2:$AF$1001,0),0), INDEX($AM$1004:$BM$1004,1,MATCH(COLUMNS($AM$1006:AS1006),$AM$1006:$BM$1006,0)))),"Fix")))</f>
        <v xml:space="preserve"> </v>
      </c>
      <c r="I564" s="4" t="str">
        <f ca="1">IF(OR(INDEX($AG$2:$AG$1001,MATCH(ROWS($AF$2:AF564),$AF$2:$AF$1001,0),1)&gt;=100000,INDEX($AM$1005:$BM$1005,1,MATCH(COLUMNS($AM$1006:AT1006),$AM$1006:$BM$1006,0))&gt;=100000), " ",IF(INDEX($AM$2:$BM$1001,MATCH(ROWS($AF$2:AF564),$AF$2:$AF$1001,0),MATCH(COLUMNS($AM$1006:AT1006),$AM$1006:$BM$1006,0)), HYPERLINK("#",""), HYPERLINK(CONCATENATE("#metadata!", ADDRESS(INDEX($AH$2:$AH$1001,MATCH(ROWS($AF$2:AF564),$AF$2:$AF$1001,0),0), INDEX($AM$1004:$BM$1004,1,MATCH(COLUMNS($AM$1006:AT1006),$AM$1006:$BM$1006,0)))),"Fix")))</f>
        <v xml:space="preserve"> </v>
      </c>
      <c r="J564" s="4" t="str">
        <f ca="1">IF(OR(INDEX($AG$2:$AG$1001,MATCH(ROWS($AF$2:AF564),$AF$2:$AF$1001,0),1)&gt;=100000,INDEX($AM$1005:$BM$1005,1,MATCH(COLUMNS($AM$1006:AU1006),$AM$1006:$BM$1006,0))&gt;=100000), " ",IF(INDEX($AM$2:$BM$1001,MATCH(ROWS($AF$2:AF564),$AF$2:$AF$1001,0),MATCH(COLUMNS($AM$1006:AU1006),$AM$1006:$BM$1006,0)), HYPERLINK("#",""), HYPERLINK(CONCATENATE("#metadata!", ADDRESS(INDEX($AH$2:$AH$1001,MATCH(ROWS($AF$2:AF564),$AF$2:$AF$1001,0),0), INDEX($AM$1004:$BM$1004,1,MATCH(COLUMNS($AM$1006:AU1006),$AM$1006:$BM$1006,0)))),"Fix")))</f>
        <v xml:space="preserve"> </v>
      </c>
      <c r="K564" s="4" t="str">
        <f ca="1">IF(OR(INDEX($AG$2:$AG$1001,MATCH(ROWS($AF$2:AF564),$AF$2:$AF$1001,0),1)&gt;=100000,INDEX($AM$1005:$BM$1005,1,MATCH(COLUMNS($AM$1006:AV1006),$AM$1006:$BM$1006,0))&gt;=100000), " ",IF(INDEX($AM$2:$BM$1001,MATCH(ROWS($AF$2:AF564),$AF$2:$AF$1001,0),MATCH(COLUMNS($AM$1006:AV1006),$AM$1006:$BM$1006,0)), HYPERLINK("#",""), HYPERLINK(CONCATENATE("#metadata!", ADDRESS(INDEX($AH$2:$AH$1001,MATCH(ROWS($AF$2:AF564),$AF$2:$AF$1001,0),0), INDEX($AM$1004:$BM$1004,1,MATCH(COLUMNS($AM$1006:AV1006),$AM$1006:$BM$1006,0)))),"Fix")))</f>
        <v xml:space="preserve"> </v>
      </c>
      <c r="L564" s="4" t="str">
        <f ca="1">IF(OR(INDEX($AG$2:$AG$1001,MATCH(ROWS($AF$2:AF564),$AF$2:$AF$1001,0),1)&gt;=100000,INDEX($AM$1005:$BM$1005,1,MATCH(COLUMNS($AM$1006:AW1006),$AM$1006:$BM$1006,0))&gt;=100000), " ",IF(INDEX($AM$2:$BM$1001,MATCH(ROWS($AF$2:AF564),$AF$2:$AF$1001,0),MATCH(COLUMNS($AM$1006:AW1006),$AM$1006:$BM$1006,0)), HYPERLINK("#",""), HYPERLINK(CONCATENATE("#metadata!", ADDRESS(INDEX($AH$2:$AH$1001,MATCH(ROWS($AF$2:AF564),$AF$2:$AF$1001,0),0), INDEX($AM$1004:$BM$1004,1,MATCH(COLUMNS($AM$1006:AW1006),$AM$1006:$BM$1006,0)))),"Fix")))</f>
        <v xml:space="preserve"> </v>
      </c>
      <c r="M564" s="4" t="str">
        <f ca="1">IF(OR(INDEX($AG$2:$AG$1001,MATCH(ROWS($AF$2:AF564),$AF$2:$AF$1001,0),1)&gt;=100000,INDEX($AM$1005:$BM$1005,1,MATCH(COLUMNS($AM$1006:AX1006),$AM$1006:$BM$1006,0))&gt;=100000), " ",IF(INDEX($AM$2:$BM$1001,MATCH(ROWS($AF$2:AF564),$AF$2:$AF$1001,0),MATCH(COLUMNS($AM$1006:AX1006),$AM$1006:$BM$1006,0)), HYPERLINK("#",""), HYPERLINK(CONCATENATE("#metadata!", ADDRESS(INDEX($AH$2:$AH$1001,MATCH(ROWS($AF$2:AF564),$AF$2:$AF$1001,0),0), INDEX($AM$1004:$BM$1004,1,MATCH(COLUMNS($AM$1006:AX1006),$AM$1006:$BM$1006,0)))),"Fix")))</f>
        <v xml:space="preserve"> </v>
      </c>
      <c r="N564" s="4" t="str">
        <f ca="1">IF(OR(INDEX($AG$2:$AG$1001,MATCH(ROWS($AF$2:AF564),$AF$2:$AF$1001,0),1)&gt;=100000,INDEX($AM$1005:$BM$1005,1,MATCH(COLUMNS($AM$1006:AY1006),$AM$1006:$BM$1006,0))&gt;=100000), " ",IF(INDEX($AM$2:$BM$1001,MATCH(ROWS($AF$2:AF564),$AF$2:$AF$1001,0),MATCH(COLUMNS($AM$1006:AY1006),$AM$1006:$BM$1006,0)), HYPERLINK("#",""), HYPERLINK(CONCATENATE("#metadata!", ADDRESS(INDEX($AH$2:$AH$1001,MATCH(ROWS($AF$2:AF564),$AF$2:$AF$1001,0),0), INDEX($AM$1004:$BM$1004,1,MATCH(COLUMNS($AM$1006:AY1006),$AM$1006:$BM$1006,0)))),"Fix")))</f>
        <v xml:space="preserve"> </v>
      </c>
      <c r="O564" s="4" t="str">
        <f ca="1">IF(OR(INDEX($AG$2:$AG$1001,MATCH(ROWS($AF$2:AF564),$AF$2:$AF$1001,0),1)&gt;=100000,INDEX($AM$1005:$BM$1005,1,MATCH(COLUMNS($AM$1006:AZ1006),$AM$1006:$BM$1006,0))&gt;=100000), " ",IF(INDEX($AM$2:$BM$1001,MATCH(ROWS($AF$2:AF564),$AF$2:$AF$1001,0),MATCH(COLUMNS($AM$1006:AZ1006),$AM$1006:$BM$1006,0)), HYPERLINK("#",""), HYPERLINK(CONCATENATE("#metadata!", ADDRESS(INDEX($AH$2:$AH$1001,MATCH(ROWS($AF$2:AF564),$AF$2:$AF$1001,0),0), INDEX($AM$1004:$BM$1004,1,MATCH(COLUMNS($AM$1006:AZ1006),$AM$1006:$BM$1006,0)))),"Fix")))</f>
        <v xml:space="preserve"> </v>
      </c>
      <c r="P564" s="4" t="str">
        <f ca="1">IF(OR(INDEX($AG$2:$AG$1001,MATCH(ROWS($AF$2:AF564),$AF$2:$AF$1001,0),1)&gt;=100000,INDEX($AM$1005:$BM$1005,1,MATCH(COLUMNS($AM$1006:BA1006),$AM$1006:$BM$1006,0))&gt;=100000), " ",IF(INDEX($AM$2:$BM$1001,MATCH(ROWS($AF$2:AF564),$AF$2:$AF$1001,0),MATCH(COLUMNS($AM$1006:BA1006),$AM$1006:$BM$1006,0)), HYPERLINK("#",""), HYPERLINK(CONCATENATE("#metadata!", ADDRESS(INDEX($AH$2:$AH$1001,MATCH(ROWS($AF$2:AF564),$AF$2:$AF$1001,0),0), INDEX($AM$1004:$BM$1004,1,MATCH(COLUMNS($AM$1006:BA1006),$AM$1006:$BM$1006,0)))),"Fix")))</f>
        <v xml:space="preserve"> </v>
      </c>
      <c r="Q564" s="4" t="str">
        <f ca="1">IF(OR(INDEX($AG$2:$AG$1001,MATCH(ROWS($AF$2:AF564),$AF$2:$AF$1001,0),1)&gt;=100000,INDEX($AM$1005:$BM$1005,1,MATCH(COLUMNS($AM$1006:BB1006),$AM$1006:$BM$1006,0))&gt;=100000), " ",IF(INDEX($AM$2:$BM$1001,MATCH(ROWS($AF$2:AF564),$AF$2:$AF$1001,0),MATCH(COLUMNS($AM$1006:BB1006),$AM$1006:$BM$1006,0)), HYPERLINK("#",""), HYPERLINK(CONCATENATE("#metadata!", ADDRESS(INDEX($AH$2:$AH$1001,MATCH(ROWS($AF$2:AF564),$AF$2:$AF$1001,0),0), INDEX($AM$1004:$BM$1004,1,MATCH(COLUMNS($AM$1006:BB1006),$AM$1006:$BM$1006,0)))),"Fix")))</f>
        <v xml:space="preserve"> </v>
      </c>
      <c r="R564" s="4" t="str">
        <f ca="1">IF(OR(INDEX($AG$2:$AG$1001,MATCH(ROWS($AF$2:AF564),$AF$2:$AF$1001,0),1)&gt;=100000,INDEX($AM$1005:$BM$1005,1,MATCH(COLUMNS($AM$1006:BC1006),$AM$1006:$BM$1006,0))&gt;=100000), " ",IF(INDEX($AM$2:$BM$1001,MATCH(ROWS($AF$2:AF564),$AF$2:$AF$1001,0),MATCH(COLUMNS($AM$1006:BC1006),$AM$1006:$BM$1006,0)), HYPERLINK("#",""), HYPERLINK(CONCATENATE("#metadata!", ADDRESS(INDEX($AH$2:$AH$1001,MATCH(ROWS($AF$2:AF564),$AF$2:$AF$1001,0),0), INDEX($AM$1004:$BM$1004,1,MATCH(COLUMNS($AM$1006:BC1006),$AM$1006:$BM$1006,0)))),"Fix")))</f>
        <v xml:space="preserve"> </v>
      </c>
      <c r="S564" s="4" t="str">
        <f ca="1">IF(OR(INDEX($AG$2:$AG$1001,MATCH(ROWS($AF$2:AF564),$AF$2:$AF$1001,0),1)&gt;=100000,INDEX($AM$1005:$BM$1005,1,MATCH(COLUMNS($AM$1006:BD1006),$AM$1006:$BM$1006,0))&gt;=100000), " ",IF(INDEX($AM$2:$BM$1001,MATCH(ROWS($AF$2:AF564),$AF$2:$AF$1001,0),MATCH(COLUMNS($AM$1006:BD1006),$AM$1006:$BM$1006,0)), HYPERLINK("#",""), HYPERLINK(CONCATENATE("#metadata!", ADDRESS(INDEX($AH$2:$AH$1001,MATCH(ROWS($AF$2:AF564),$AF$2:$AF$1001,0),0), INDEX($AM$1004:$BM$1004,1,MATCH(COLUMNS($AM$1006:BD1006),$AM$1006:$BM$1006,0)))),"Fix")))</f>
        <v xml:space="preserve"> </v>
      </c>
      <c r="T564" s="4" t="str">
        <f ca="1">IF(OR(INDEX($AG$2:$AG$1001,MATCH(ROWS($AF$2:AF564),$AF$2:$AF$1001,0),1)&gt;=100000,INDEX($AM$1005:$BM$1005,1,MATCH(COLUMNS($AM$1006:BE1006),$AM$1006:$BM$1006,0))&gt;=100000), " ",IF(INDEX($AM$2:$BM$1001,MATCH(ROWS($AF$2:AF564),$AF$2:$AF$1001,0),MATCH(COLUMNS($AM$1006:BE1006),$AM$1006:$BM$1006,0)), HYPERLINK("#",""), HYPERLINK(CONCATENATE("#metadata!", ADDRESS(INDEX($AH$2:$AH$1001,MATCH(ROWS($AF$2:AF564),$AF$2:$AF$1001,0),0), INDEX($AM$1004:$BM$1004,1,MATCH(COLUMNS($AM$1006:BE1006),$AM$1006:$BM$1006,0)))),"Fix")))</f>
        <v xml:space="preserve"> </v>
      </c>
      <c r="U564" s="4" t="str">
        <f ca="1">IF(OR(INDEX($AG$2:$AG$1001,MATCH(ROWS($AF$2:AF564),$AF$2:$AF$1001,0),1)&gt;=100000,INDEX($AM$1005:$BM$1005,1,MATCH(COLUMNS($AM$1006:BF1006),$AM$1006:$BM$1006,0))&gt;=100000), " ",IF(INDEX($AM$2:$BM$1001,MATCH(ROWS($AF$2:AF564),$AF$2:$AF$1001,0),MATCH(COLUMNS($AM$1006:BF1006),$AM$1006:$BM$1006,0)), HYPERLINK("#",""), HYPERLINK(CONCATENATE("#metadata!", ADDRESS(INDEX($AH$2:$AH$1001,MATCH(ROWS($AF$2:AF564),$AF$2:$AF$1001,0),0), INDEX($AM$1004:$BM$1004,1,MATCH(COLUMNS($AM$1006:BF1006),$AM$1006:$BM$1006,0)))),"Fix")))</f>
        <v xml:space="preserve"> </v>
      </c>
      <c r="V564" s="4" t="str">
        <f ca="1">IF(OR(INDEX($AG$2:$AG$1001,MATCH(ROWS($AF$2:AF564),$AF$2:$AF$1001,0),1)&gt;=100000,INDEX($AM$1005:$BM$1005,1,MATCH(COLUMNS($AM$1006:BG1006),$AM$1006:$BM$1006,0))&gt;=100000), " ",IF(INDEX($AM$2:$BM$1001,MATCH(ROWS($AF$2:AF564),$AF$2:$AF$1001,0),MATCH(COLUMNS($AM$1006:BG1006),$AM$1006:$BM$1006,0)), HYPERLINK("#",""), HYPERLINK(CONCATENATE("#metadata!", ADDRESS(INDEX($AH$2:$AH$1001,MATCH(ROWS($AF$2:AF564),$AF$2:$AF$1001,0),0), INDEX($AM$1004:$BM$1004,1,MATCH(COLUMNS($AM$1006:BG1006),$AM$1006:$BM$1006,0)))),"Fix")))</f>
        <v xml:space="preserve"> </v>
      </c>
      <c r="W564" s="4" t="str">
        <f ca="1">IF(OR(INDEX($AG$2:$AG$1001,MATCH(ROWS($AF$2:AF564),$AF$2:$AF$1001,0),1)&gt;=100000,INDEX($AM$1005:$BM$1005,1,MATCH(COLUMNS($AM$1006:BH1006),$AM$1006:$BM$1006,0))&gt;=100000), " ",IF(INDEX($AM$2:$BM$1001,MATCH(ROWS($AF$2:AF564),$AF$2:$AF$1001,0),MATCH(COLUMNS($AM$1006:BH1006),$AM$1006:$BM$1006,0)), HYPERLINK("#",""), HYPERLINK(CONCATENATE("#metadata!", ADDRESS(INDEX($AH$2:$AH$1001,MATCH(ROWS($AF$2:AF564),$AF$2:$AF$1001,0),0), INDEX($AM$1004:$BM$1004,1,MATCH(COLUMNS($AM$1006:BH1006),$AM$1006:$BM$1006,0)))),"Fix")))</f>
        <v xml:space="preserve"> </v>
      </c>
      <c r="X564" s="4" t="str">
        <f ca="1">IF(OR(INDEX($AG$2:$AG$1001,MATCH(ROWS($AF$2:AF564),$AF$2:$AF$1001,0),1)&gt;=100000,INDEX($AM$1005:$BM$1005,1,MATCH(COLUMNS($AM$1006:BI1006),$AM$1006:$BM$1006,0))&gt;=100000), " ",IF(INDEX($AM$2:$BM$1001,MATCH(ROWS($AF$2:AF564),$AF$2:$AF$1001,0),MATCH(COLUMNS($AM$1006:BI1006),$AM$1006:$BM$1006,0)), HYPERLINK("#",""), HYPERLINK(CONCATENATE("#metadata!", ADDRESS(INDEX($AH$2:$AH$1001,MATCH(ROWS($AF$2:AF564),$AF$2:$AF$1001,0),0), INDEX($AM$1004:$BM$1004,1,MATCH(COLUMNS($AM$1006:BI1006),$AM$1006:$BM$1006,0)))),"Fix")))</f>
        <v xml:space="preserve"> </v>
      </c>
      <c r="Y564" s="4" t="str">
        <f ca="1">IF(OR(INDEX($AG$2:$AG$1001,MATCH(ROWS($AF$2:AF564),$AF$2:$AF$1001,0),1)&gt;=100000,INDEX($AM$1005:$BM$1005,1,MATCH(COLUMNS($AM$1006:BJ1006),$AM$1006:$BM$1006,0))&gt;=100000), " ",IF(INDEX($AM$2:$BM$1001,MATCH(ROWS($AF$2:AF564),$AF$2:$AF$1001,0),MATCH(COLUMNS($AM$1006:BJ1006),$AM$1006:$BM$1006,0)), HYPERLINK("#",""), HYPERLINK(CONCATENATE("#metadata!", ADDRESS(INDEX($AH$2:$AH$1001,MATCH(ROWS($AF$2:AF564),$AF$2:$AF$1001,0),0), INDEX($AM$1004:$BM$1004,1,MATCH(COLUMNS($AM$1006:BJ1006),$AM$1006:$BM$1006,0)))),"Fix")))</f>
        <v xml:space="preserve"> </v>
      </c>
      <c r="Z564" s="4" t="str">
        <f ca="1">IF(OR(INDEX($AG$2:$AG$1001,MATCH(ROWS($AF$2:AF564),$AF$2:$AF$1001,0),1)&gt;=100000,INDEX($AM$1005:$BM$1005,1,MATCH(COLUMNS($AM$1006:BK1006),$AM$1006:$BM$1006,0))&gt;=100000), " ",IF(INDEX($AM$2:$BM$1001,MATCH(ROWS($AF$2:AF564),$AF$2:$AF$1001,0),MATCH(COLUMNS($AM$1006:BK1006),$AM$1006:$BM$1006,0)), HYPERLINK("#",""), HYPERLINK(CONCATENATE("#metadata!", ADDRESS(INDEX($AH$2:$AH$1001,MATCH(ROWS($AF$2:AF564),$AF$2:$AF$1001,0),0), INDEX($AM$1004:$BM$1004,1,MATCH(COLUMNS($AM$1006:BK1006),$AM$1006:$BM$1006,0)))),"Fix")))</f>
        <v xml:space="preserve"> </v>
      </c>
      <c r="AA564" s="4" t="str">
        <f ca="1">IF(OR(INDEX($AG$2:$AG$1001,MATCH(ROWS($AF$2:AF564),$AF$2:$AF$1001,0),1)&gt;=100000,INDEX($AM$1005:$BM$1005,1,MATCH(COLUMNS($AM$1006:BL1006),$AM$1006:$BM$1006,0))&gt;=100000), " ",IF(INDEX($AM$2:$BM$1001,MATCH(ROWS($AF$2:AF564),$AF$2:$AF$1001,0),MATCH(COLUMNS($AM$1006:BL1006),$AM$1006:$BM$1006,0)), HYPERLINK("#",""), HYPERLINK(CONCATENATE("#metadata!", ADDRESS(INDEX($AH$2:$AH$1001,MATCH(ROWS($AF$2:AF564),$AF$2:$AF$1001,0),0), INDEX($AM$1004:$BM$1004,1,MATCH(COLUMNS($AM$1006:BL1006),$AM$1006:$BM$1006,0)))),"Fix")))</f>
        <v xml:space="preserve"> </v>
      </c>
      <c r="AB564" s="4" t="str">
        <f ca="1">IF(OR(INDEX($AG$2:$AG$1001,MATCH(ROWS($AF$2:AF564),$AF$2:$AF$1001,0),1)&gt;=100000,INDEX($AM$1005:$BM$1005,1,MATCH(COLUMNS($AM$1006:BM1006),$AM$1006:$BM$1006,0))&gt;=100000), " ",IF(INDEX($AM$2:$BM$1001,MATCH(ROWS($AF$2:AF564),$AF$2:$AF$1001,0),MATCH(COLUMNS($AM$1006:BM1006),$AM$1006:$BM$1006,0)), HYPERLINK("#",""), HYPERLINK(CONCATENATE("#metadata!", ADDRESS(INDEX($AH$2:$AH$1001,MATCH(ROWS($AF$2:AF564),$AF$2:$AF$1001,0),0), INDEX($AM$1004:$BM$1004,1,MATCH(COLUMNS($AM$1006:BM1006),$AM$1006:$BM$1006,0)))),"Fix")))</f>
        <v xml:space="preserve"> </v>
      </c>
      <c r="AF564">
        <v>563</v>
      </c>
      <c r="AG564">
        <v>100564</v>
      </c>
      <c r="AH564">
        <v>564</v>
      </c>
      <c r="AI564" t="b">
        <f t="shared" si="8"/>
        <v>1</v>
      </c>
      <c r="AJ564" t="b">
        <f>COUNTBLANK(metadata!B564:AB564)=COLUMNS(metadata!B564:AB564)</f>
        <v>1</v>
      </c>
      <c r="AK564" t="str">
        <v/>
      </c>
      <c r="AM564" t="b">
        <f ca="1">AND(IF(metadata!B564="",FALSE,TRUE),COUNTIF(metadata!B:B, metadata!B564) = 1,NOT(ISERROR(SUMPRODUCT(SEARCH(MID(metadata!B564,ROW(INDIRECT("1:"&amp;LEN(metadata!B564))), 1),"0123456789abcdefghijklmnopqrstuvwxyzABCDEFGHIJKLMNOPQRSTUVWXYZ.")))))</f>
        <v>0</v>
      </c>
      <c r="AN564" t="b">
        <f ca="1">OR(AND(IF(metadata!C564="",FALSE,TRUE),OR(EXACT(metadata!C564,"missing: not collected"),EXACT(metadata!C564,"missing: not provided"),EXACT(metadata!C564,"missing: restricted access"))),AND(IF(metadata!C564="",FALSE,TRUE),AND(AND(IFERROR(INT(LEFT(metadata!C564,4))&gt;1900,FALSE),IFERROR(INT(LEFT(metadata!C564,4))&lt;=YEAR(NOW()),FALSE)), OR(MID(metadata!C564,5,1)="", AND(AND(MID(metadata!C564,5,1)="-",IFERROR(INT(MID(metadata!C564,6,1))&gt;=0,FALSE),IFERROR(INT(MID(metadata!C564,6,1))&lt;=1,FALSE),NOT(MID(metadata!C564,7,1)=""),IFERROR(INT(MID(metadata!C564,6,2))&gt;=1,FALSE),IFERROR(INT(MID(metadata!C564,6,2))&lt;=12,FALSE)), OR(MID(metadata!C564,8,1)="", AND(AND(MID(metadata!C564,8,1)="-",IFERROR(INT(MID(metadata!C564,9,1))&gt;=0,FALSE),IFERROR(INT(MID(metadata!C564,9,1))&lt;=3,FALSE),NOT(MID(metadata!C564,10,1)=""),IFERROR(INT(MID(metadata!C564,9,2))&gt;=1,FALSE),IFERROR(INT(MID(metadata!C564,9,2))&lt;=31,FALSE)), OR(MID(metadata!C564,11,1)="", AND(AND(MID(metadata!C564,11,1)=" ",IFERROR(INT(MID(metadata!C564,12,1))&gt;=0,FALSE),IFERROR(INT(MID(metadata!C564,12,1))&lt;=2,FALSE),NOT(MID(metadata!C564,13,1)=""),IFERROR(INT(MID(metadata!C564,12,2))&gt;=0,FALSE),IFERROR(INT(MID(metadata!C564,12,2))&lt;=23,FALSE)), OR(MID(metadata!C564,14,1)="", AND(AND(MID(metadata!C564,14,1)=":",IFERROR(INT(MID(metadata!C564,15,1))&gt;=0,FALSE),IFERROR(INT(MID(metadata!C564,15,1))&lt;=5,FALSE),NOT(MID(metadata!C564,16,1)=""),IFERROR(INT(MID(metadata!C564,15,2))&gt;=0,FALSE),IFERROR(INT(MID(metadata!C564,15,2))&lt;=59,FALSE)), OR(MID(metadata!C564,17,1)="", AND(AND(MID(metadata!C564,17,1)=":",IFERROR(INT(MID(metadata!C564,18,1))&gt;=0,FALSE),IFERROR(INT(MID(metadata!C564,18,1))&lt;=5,FALSE),NOT(MID(metadata!C564,19,1)=""),IFERROR(INT(MID(metadata!C564,18,2))&gt;=0,FALSE),IFERROR(INT(MID(metadata!C564,18,2))&lt;=59,FALSE)), LEN(metadata!C564)&lt;=19)))))))))))))</f>
        <v>0</v>
      </c>
      <c r="AO564" t="b">
        <f>AND(IF(metadata!D564="",FALSE,TRUE),EXACT(metadata!D564,"Not applicable"))</f>
        <v>0</v>
      </c>
      <c r="AP564" t="b">
        <f>IF(metadata!E564="",FALSE,TRUE)</f>
        <v>0</v>
      </c>
      <c r="AQ564" t="b">
        <f>OR(AND(IF(metadata!F564="",FALSE,TRUE),OR(EXACT(metadata!F564,"missing: not collected"),EXACT(metadata!F564,"missing: not provided"))),AND(IF(metadata!F564="",FALSE,TRUE),OR(EXACT(metadata!F564,"TRUE"),EXACT(metadata!F564,"FALSE"))))</f>
        <v>0</v>
      </c>
      <c r="AR564" t="b">
        <f>OR(AND(IF(metadata!G564="",FALSE,TRUE),OR(EXACT(metadata!G564,"missing: not collected"),EXACT(metadata!G564,"missing: not provided"),EXACT(metadata!G564,"missing: restricted access"))),AND(IF(metadata!G564="",FALSE,ISNUMBER(VALUE(metadata!G564))),metadata!G564&gt;=-413))</f>
        <v>0</v>
      </c>
      <c r="AS564" t="b">
        <f>AND(IF(metadata!H564="",FALSE,TRUE),EXACT(metadata!H564,"meters"))</f>
        <v>0</v>
      </c>
      <c r="AT564" t="b">
        <f>AND(IF(metadata!I564="",FALSE,TRUE),OR(EXACT(metadata!I564,"Host-associated"),EXACT(metadata!I564,"Free-living")))</f>
        <v>0</v>
      </c>
      <c r="AU564" t="b">
        <f>AND(IF(metadata!J564="",FALSE,TRUE),OR(EXACT(metadata!J564,"Animal"),EXACT(metadata!J564,"Fungus"),EXACT(metadata!J564,"Plant"),EXACT(metadata!J564,"Saline"),EXACT(metadata!J564,"Non-saline")))</f>
        <v>0</v>
      </c>
      <c r="AV564" t="b">
        <f>AND(IF(metadata!K564="",FALSE,TRUE),OR(EXACT(metadata!K564,"Plant secretion"),EXACT(metadata!K564,"Plant rhizosphere"),EXACT(metadata!K564,"Plant surface"),EXACT(metadata!K564,"Plant corpus"),EXACT(metadata!K564,"Fungus surface"),EXACT(metadata!K564,"Fungus corpus"),EXACT(metadata!K564,"Animal surface"),EXACT(metadata!K564,"Animal proximal gut"),EXACT(metadata!K564,"Animal corpus"),EXACT(metadata!K564,"Animal distal gut"),EXACT(metadata!K564,"Animal secretion"),EXACT(metadata!K564,"Sub-surface (non-saline)"),EXACT(metadata!K564,"Surface (non-saline)"),EXACT(metadata!K564,"Water (non-saline)"),EXACT(metadata!K564,"Soil (non-saline)"),EXACT(metadata!K564,"Aerosol (non-saline)"),EXACT(metadata!K564,"Sediment (non-saline)"),EXACT(metadata!K564,"Surface (saline)"),EXACT(metadata!K564,"Water (saline)"),EXACT(metadata!K564,"Hypersaline (saline)"),EXACT(metadata!K564,"Aerosol (saline)"),EXACT(metadata!K564,"Sediment (saline)")))</f>
        <v>0</v>
      </c>
      <c r="AW564" t="b">
        <f>IF(metadata!L564="",FALSE,TRUE)</f>
        <v>0</v>
      </c>
      <c r="AX564" t="b">
        <f>IF(metadata!M564="",FALSE,TRUE)</f>
        <v>0</v>
      </c>
      <c r="AY564" t="b">
        <f>IF(metadata!N564="",FALSE,TRUE)</f>
        <v>0</v>
      </c>
      <c r="AZ564" t="b">
        <f>OR(AND(IF(metadata!O564="",FALSE,TRUE),OR(EXACT(metadata!O564,"missing: not collected"),EXACT(metadata!O564,"missing: not provided"),EXACT(metadata!O564,"missing: restricted access"))),AND(IF(metadata!O564="",FALSE,TRUE),OR(EXACT(metadata!O564,"air"),EXACT(metadata!O564,"built environment"),EXACT(metadata!O564,"host-associated"),EXACT(metadata!O564,"human-associated"),EXACT(metadata!O564,"human-skin"),EXACT(metadata!O564,"human-oral"),EXACT(metadata!O564,"human-gut"),EXACT(metadata!O564,"human-vaginal"),EXACT(metadata!O564,"microbial mat/biofilm"),EXACT(metadata!O564,"misc environment"),EXACT(metadata!O564,"plant-associated"),EXACT(metadata!O564,"sediment"),EXACT(metadata!O564,"soil"),EXACT(metadata!O564,"wastewater/sludge"),EXACT(metadata!O564,"water"))))</f>
        <v>0</v>
      </c>
      <c r="BA564" t="b">
        <f>IF(metadata!P564="",FALSE,TRUE)</f>
        <v>0</v>
      </c>
      <c r="BB564" t="b">
        <f>IF(metadata!Q564="",FALSE,TRUE)</f>
        <v>0</v>
      </c>
      <c r="BC564" t="b">
        <f>OR(AND(IF(metadata!R564="",FALSE,TRUE),OR(EXACT(metadata!R564,"missing: not collected"),EXACT(metadata!R564,"missing: not provided"),EXACT(metadata!R564,"missing: restricted access"))),AND(IF(metadata!R564="",FALSE,ISNUMBER(VALUE(metadata!R564))),metadata!R564&gt;=-90,metadata!R564&lt;=90))</f>
        <v>0</v>
      </c>
      <c r="BD564" t="b">
        <f>AND(IF(metadata!S564="",FALSE,TRUE),EXACT(metadata!S564,"Decimal degrees"))</f>
        <v>0</v>
      </c>
      <c r="BE564" t="b">
        <f>OR(AND(IF(metadata!T564="",FALSE,TRUE),OR(EXACT(metadata!T564,"missing: not collected"),EXACT(metadata!T564,"missing: not provided"),EXACT(metadata!T564,"missing: restricted access"))),AND(IF(metadata!T564="",FALSE,ISNUMBER(VALUE(metadata!T564))),metadata!T564&gt;=-180,metadata!T564&lt;=180))</f>
        <v>0</v>
      </c>
      <c r="BF564" t="b">
        <f>AND(IF(metadata!U564="",FALSE,TRUE),EXACT(metadata!U564,"Decimal degrees"))</f>
        <v>0</v>
      </c>
      <c r="BG564" t="b">
        <f>IF(metadata!V564="",FALSE,TRUE)</f>
        <v>0</v>
      </c>
      <c r="BH564" t="b">
        <f>OR(AND(IF(metadata!W564="",FALSE,TRUE),OR(EXACT(metadata!W564,"missing: not collected"),EXACT(metadata!W564,"missing: not provided"),EXACT(metadata!W564,"missing: restricted access"))),AND(IF(metadata!W564="",FALSE,TRUE),OR(EXACT(metadata!W564,"TRUE"),EXACT(metadata!W564,"FALSE"))))</f>
        <v>0</v>
      </c>
      <c r="BI564" t="b">
        <f>AND(IF(metadata!X564="",FALSE,TRUE),EXACT(metadata!X564,"other"))</f>
        <v>0</v>
      </c>
      <c r="BJ564" t="b">
        <f>IF(metadata!Y564="",FALSE,TRUE)</f>
        <v>0</v>
      </c>
      <c r="BK564" t="b">
        <f>OR(AND(IF(metadata!Z564="",FALSE,TRUE),OR(EXACT(metadata!Z564,"missing: not collected"),EXACT(metadata!Z564,"missing: not provided"))),AND(IF(metadata!Z564="",FALSE,IF(ISERROR(INT(metadata!Z564)),FALSE,INT(metadata!Z564)=metadata!Z564)),metadata!Z564&gt;0))</f>
        <v>0</v>
      </c>
      <c r="BL564" t="b">
        <f>AND(IF(metadata!AA564="",FALSE,TRUE),EXACT(metadata!AA564,"Not applicable"))</f>
        <v>0</v>
      </c>
      <c r="BM564" t="b">
        <f>IF(metadata!AB564="",FALSE,TRUE)</f>
        <v>0</v>
      </c>
    </row>
    <row r="565" spans="1:65" x14ac:dyDescent="0.2">
      <c r="A565" s="5" t="str">
        <f ca="1">IF(B565=" "," ",HYPERLINK(CONCATENATE("#metadata!",ADDRESS(INDEX($AH$2:$AH$1001,MATCH(ROWS($AF$2:AF565),$AF$2:$AF$1001,0),0),1)),INDEX($AK$2:$AK$1001,MATCH(ROWS($AF$2:AF565),$AF$2:$AF$1001,0),0)))</f>
        <v xml:space="preserve"> </v>
      </c>
      <c r="B565" s="4" t="str">
        <f ca="1">IF(OR(INDEX($AG$2:$AG$1001,MATCH(ROWS($AF$2:AF565),$AF$2:$AF$1001,0),1)&gt;=100000,INDEX($AM$1005:$BM$1005,1,MATCH(COLUMNS($AM$1006:AM1006),$AM$1006:$BM$1006,0))&gt;=100000), " ",IF(INDEX($AM$2:$BM$1001,MATCH(ROWS($AF$2:AF565),$AF$2:$AF$1001,0),MATCH(COLUMNS($AM$1006:AM1006),$AM$1006:$BM$1006,0)), HYPERLINK("#",""), HYPERLINK(CONCATENATE("#metadata!", ADDRESS(INDEX($AH$2:$AH$1001,MATCH(ROWS($AF$2:AF565),$AF$2:$AF$1001,0),0), INDEX($AM$1004:$BM$1004,1,MATCH(COLUMNS($AM$1006:AM1006),$AM$1006:$BM$1006,0)))),"Fix")))</f>
        <v xml:space="preserve"> </v>
      </c>
      <c r="C565" s="4" t="str">
        <f ca="1">IF(OR(INDEX($AG$2:$AG$1001,MATCH(ROWS($AF$2:AF565),$AF$2:$AF$1001,0),1)&gt;=100000,INDEX($AM$1005:$BM$1005,1,MATCH(COLUMNS($AM$1006:AN1006),$AM$1006:$BM$1006,0))&gt;=100000), " ",IF(INDEX($AM$2:$BM$1001,MATCH(ROWS($AF$2:AF565),$AF$2:$AF$1001,0),MATCH(COLUMNS($AM$1006:AN1006),$AM$1006:$BM$1006,0)), HYPERLINK("#",""), HYPERLINK(CONCATENATE("#metadata!", ADDRESS(INDEX($AH$2:$AH$1001,MATCH(ROWS($AF$2:AF565),$AF$2:$AF$1001,0),0), INDEX($AM$1004:$BM$1004,1,MATCH(COLUMNS($AM$1006:AN1006),$AM$1006:$BM$1006,0)))),"Fix")))</f>
        <v xml:space="preserve"> </v>
      </c>
      <c r="D565" s="4" t="str">
        <f ca="1">IF(OR(INDEX($AG$2:$AG$1001,MATCH(ROWS($AF$2:AF565),$AF$2:$AF$1001,0),1)&gt;=100000,INDEX($AM$1005:$BM$1005,1,MATCH(COLUMNS($AM$1006:AO1006),$AM$1006:$BM$1006,0))&gt;=100000), " ",IF(INDEX($AM$2:$BM$1001,MATCH(ROWS($AF$2:AF565),$AF$2:$AF$1001,0),MATCH(COLUMNS($AM$1006:AO1006),$AM$1006:$BM$1006,0)), HYPERLINK("#",""), HYPERLINK(CONCATENATE("#metadata!", ADDRESS(INDEX($AH$2:$AH$1001,MATCH(ROWS($AF$2:AF565),$AF$2:$AF$1001,0),0), INDEX($AM$1004:$BM$1004,1,MATCH(COLUMNS($AM$1006:AO1006),$AM$1006:$BM$1006,0)))),"Fix")))</f>
        <v xml:space="preserve"> </v>
      </c>
      <c r="E565" s="4" t="str">
        <f ca="1">IF(OR(INDEX($AG$2:$AG$1001,MATCH(ROWS($AF$2:AF565),$AF$2:$AF$1001,0),1)&gt;=100000,INDEX($AM$1005:$BM$1005,1,MATCH(COLUMNS($AM$1006:AP1006),$AM$1006:$BM$1006,0))&gt;=100000), " ",IF(INDEX($AM$2:$BM$1001,MATCH(ROWS($AF$2:AF565),$AF$2:$AF$1001,0),MATCH(COLUMNS($AM$1006:AP1006),$AM$1006:$BM$1006,0)), HYPERLINK("#",""), HYPERLINK(CONCATENATE("#metadata!", ADDRESS(INDEX($AH$2:$AH$1001,MATCH(ROWS($AF$2:AF565),$AF$2:$AF$1001,0),0), INDEX($AM$1004:$BM$1004,1,MATCH(COLUMNS($AM$1006:AP1006),$AM$1006:$BM$1006,0)))),"Fix")))</f>
        <v xml:space="preserve"> </v>
      </c>
      <c r="F565" s="4" t="str">
        <f ca="1">IF(OR(INDEX($AG$2:$AG$1001,MATCH(ROWS($AF$2:AF565),$AF$2:$AF$1001,0),1)&gt;=100000,INDEX($AM$1005:$BM$1005,1,MATCH(COLUMNS($AM$1006:AQ1006),$AM$1006:$BM$1006,0))&gt;=100000), " ",IF(INDEX($AM$2:$BM$1001,MATCH(ROWS($AF$2:AF565),$AF$2:$AF$1001,0),MATCH(COLUMNS($AM$1006:AQ1006),$AM$1006:$BM$1006,0)), HYPERLINK("#",""), HYPERLINK(CONCATENATE("#metadata!", ADDRESS(INDEX($AH$2:$AH$1001,MATCH(ROWS($AF$2:AF565),$AF$2:$AF$1001,0),0), INDEX($AM$1004:$BM$1004,1,MATCH(COLUMNS($AM$1006:AQ1006),$AM$1006:$BM$1006,0)))),"Fix")))</f>
        <v xml:space="preserve"> </v>
      </c>
      <c r="G565" s="4" t="str">
        <f ca="1">IF(OR(INDEX($AG$2:$AG$1001,MATCH(ROWS($AF$2:AF565),$AF$2:$AF$1001,0),1)&gt;=100000,INDEX($AM$1005:$BM$1005,1,MATCH(COLUMNS($AM$1006:AR1006),$AM$1006:$BM$1006,0))&gt;=100000), " ",IF(INDEX($AM$2:$BM$1001,MATCH(ROWS($AF$2:AF565),$AF$2:$AF$1001,0),MATCH(COLUMNS($AM$1006:AR1006),$AM$1006:$BM$1006,0)), HYPERLINK("#",""), HYPERLINK(CONCATENATE("#metadata!", ADDRESS(INDEX($AH$2:$AH$1001,MATCH(ROWS($AF$2:AF565),$AF$2:$AF$1001,0),0), INDEX($AM$1004:$BM$1004,1,MATCH(COLUMNS($AM$1006:AR1006),$AM$1006:$BM$1006,0)))),"Fix")))</f>
        <v xml:space="preserve"> </v>
      </c>
      <c r="H565" s="4" t="str">
        <f ca="1">IF(OR(INDEX($AG$2:$AG$1001,MATCH(ROWS($AF$2:AF565),$AF$2:$AF$1001,0),1)&gt;=100000,INDEX($AM$1005:$BM$1005,1,MATCH(COLUMNS($AM$1006:AS1006),$AM$1006:$BM$1006,0))&gt;=100000), " ",IF(INDEX($AM$2:$BM$1001,MATCH(ROWS($AF$2:AF565),$AF$2:$AF$1001,0),MATCH(COLUMNS($AM$1006:AS1006),$AM$1006:$BM$1006,0)), HYPERLINK("#",""), HYPERLINK(CONCATENATE("#metadata!", ADDRESS(INDEX($AH$2:$AH$1001,MATCH(ROWS($AF$2:AF565),$AF$2:$AF$1001,0),0), INDEX($AM$1004:$BM$1004,1,MATCH(COLUMNS($AM$1006:AS1006),$AM$1006:$BM$1006,0)))),"Fix")))</f>
        <v xml:space="preserve"> </v>
      </c>
      <c r="I565" s="4" t="str">
        <f ca="1">IF(OR(INDEX($AG$2:$AG$1001,MATCH(ROWS($AF$2:AF565),$AF$2:$AF$1001,0),1)&gt;=100000,INDEX($AM$1005:$BM$1005,1,MATCH(COLUMNS($AM$1006:AT1006),$AM$1006:$BM$1006,0))&gt;=100000), " ",IF(INDEX($AM$2:$BM$1001,MATCH(ROWS($AF$2:AF565),$AF$2:$AF$1001,0),MATCH(COLUMNS($AM$1006:AT1006),$AM$1006:$BM$1006,0)), HYPERLINK("#",""), HYPERLINK(CONCATENATE("#metadata!", ADDRESS(INDEX($AH$2:$AH$1001,MATCH(ROWS($AF$2:AF565),$AF$2:$AF$1001,0),0), INDEX($AM$1004:$BM$1004,1,MATCH(COLUMNS($AM$1006:AT1006),$AM$1006:$BM$1006,0)))),"Fix")))</f>
        <v xml:space="preserve"> </v>
      </c>
      <c r="J565" s="4" t="str">
        <f ca="1">IF(OR(INDEX($AG$2:$AG$1001,MATCH(ROWS($AF$2:AF565),$AF$2:$AF$1001,0),1)&gt;=100000,INDEX($AM$1005:$BM$1005,1,MATCH(COLUMNS($AM$1006:AU1006),$AM$1006:$BM$1006,0))&gt;=100000), " ",IF(INDEX($AM$2:$BM$1001,MATCH(ROWS($AF$2:AF565),$AF$2:$AF$1001,0),MATCH(COLUMNS($AM$1006:AU1006),$AM$1006:$BM$1006,0)), HYPERLINK("#",""), HYPERLINK(CONCATENATE("#metadata!", ADDRESS(INDEX($AH$2:$AH$1001,MATCH(ROWS($AF$2:AF565),$AF$2:$AF$1001,0),0), INDEX($AM$1004:$BM$1004,1,MATCH(COLUMNS($AM$1006:AU1006),$AM$1006:$BM$1006,0)))),"Fix")))</f>
        <v xml:space="preserve"> </v>
      </c>
      <c r="K565" s="4" t="str">
        <f ca="1">IF(OR(INDEX($AG$2:$AG$1001,MATCH(ROWS($AF$2:AF565),$AF$2:$AF$1001,0),1)&gt;=100000,INDEX($AM$1005:$BM$1005,1,MATCH(COLUMNS($AM$1006:AV1006),$AM$1006:$BM$1006,0))&gt;=100000), " ",IF(INDEX($AM$2:$BM$1001,MATCH(ROWS($AF$2:AF565),$AF$2:$AF$1001,0),MATCH(COLUMNS($AM$1006:AV1006),$AM$1006:$BM$1006,0)), HYPERLINK("#",""), HYPERLINK(CONCATENATE("#metadata!", ADDRESS(INDEX($AH$2:$AH$1001,MATCH(ROWS($AF$2:AF565),$AF$2:$AF$1001,0),0), INDEX($AM$1004:$BM$1004,1,MATCH(COLUMNS($AM$1006:AV1006),$AM$1006:$BM$1006,0)))),"Fix")))</f>
        <v xml:space="preserve"> </v>
      </c>
      <c r="L565" s="4" t="str">
        <f ca="1">IF(OR(INDEX($AG$2:$AG$1001,MATCH(ROWS($AF$2:AF565),$AF$2:$AF$1001,0),1)&gt;=100000,INDEX($AM$1005:$BM$1005,1,MATCH(COLUMNS($AM$1006:AW1006),$AM$1006:$BM$1006,0))&gt;=100000), " ",IF(INDEX($AM$2:$BM$1001,MATCH(ROWS($AF$2:AF565),$AF$2:$AF$1001,0),MATCH(COLUMNS($AM$1006:AW1006),$AM$1006:$BM$1006,0)), HYPERLINK("#",""), HYPERLINK(CONCATENATE("#metadata!", ADDRESS(INDEX($AH$2:$AH$1001,MATCH(ROWS($AF$2:AF565),$AF$2:$AF$1001,0),0), INDEX($AM$1004:$BM$1004,1,MATCH(COLUMNS($AM$1006:AW1006),$AM$1006:$BM$1006,0)))),"Fix")))</f>
        <v xml:space="preserve"> </v>
      </c>
      <c r="M565" s="4" t="str">
        <f ca="1">IF(OR(INDEX($AG$2:$AG$1001,MATCH(ROWS($AF$2:AF565),$AF$2:$AF$1001,0),1)&gt;=100000,INDEX($AM$1005:$BM$1005,1,MATCH(COLUMNS($AM$1006:AX1006),$AM$1006:$BM$1006,0))&gt;=100000), " ",IF(INDEX($AM$2:$BM$1001,MATCH(ROWS($AF$2:AF565),$AF$2:$AF$1001,0),MATCH(COLUMNS($AM$1006:AX1006),$AM$1006:$BM$1006,0)), HYPERLINK("#",""), HYPERLINK(CONCATENATE("#metadata!", ADDRESS(INDEX($AH$2:$AH$1001,MATCH(ROWS($AF$2:AF565),$AF$2:$AF$1001,0),0), INDEX($AM$1004:$BM$1004,1,MATCH(COLUMNS($AM$1006:AX1006),$AM$1006:$BM$1006,0)))),"Fix")))</f>
        <v xml:space="preserve"> </v>
      </c>
      <c r="N565" s="4" t="str">
        <f ca="1">IF(OR(INDEX($AG$2:$AG$1001,MATCH(ROWS($AF$2:AF565),$AF$2:$AF$1001,0),1)&gt;=100000,INDEX($AM$1005:$BM$1005,1,MATCH(COLUMNS($AM$1006:AY1006),$AM$1006:$BM$1006,0))&gt;=100000), " ",IF(INDEX($AM$2:$BM$1001,MATCH(ROWS($AF$2:AF565),$AF$2:$AF$1001,0),MATCH(COLUMNS($AM$1006:AY1006),$AM$1006:$BM$1006,0)), HYPERLINK("#",""), HYPERLINK(CONCATENATE("#metadata!", ADDRESS(INDEX($AH$2:$AH$1001,MATCH(ROWS($AF$2:AF565),$AF$2:$AF$1001,0),0), INDEX($AM$1004:$BM$1004,1,MATCH(COLUMNS($AM$1006:AY1006),$AM$1006:$BM$1006,0)))),"Fix")))</f>
        <v xml:space="preserve"> </v>
      </c>
      <c r="O565" s="4" t="str">
        <f ca="1">IF(OR(INDEX($AG$2:$AG$1001,MATCH(ROWS($AF$2:AF565),$AF$2:$AF$1001,0),1)&gt;=100000,INDEX($AM$1005:$BM$1005,1,MATCH(COLUMNS($AM$1006:AZ1006),$AM$1006:$BM$1006,0))&gt;=100000), " ",IF(INDEX($AM$2:$BM$1001,MATCH(ROWS($AF$2:AF565),$AF$2:$AF$1001,0),MATCH(COLUMNS($AM$1006:AZ1006),$AM$1006:$BM$1006,0)), HYPERLINK("#",""), HYPERLINK(CONCATENATE("#metadata!", ADDRESS(INDEX($AH$2:$AH$1001,MATCH(ROWS($AF$2:AF565),$AF$2:$AF$1001,0),0), INDEX($AM$1004:$BM$1004,1,MATCH(COLUMNS($AM$1006:AZ1006),$AM$1006:$BM$1006,0)))),"Fix")))</f>
        <v xml:space="preserve"> </v>
      </c>
      <c r="P565" s="4" t="str">
        <f ca="1">IF(OR(INDEX($AG$2:$AG$1001,MATCH(ROWS($AF$2:AF565),$AF$2:$AF$1001,0),1)&gt;=100000,INDEX($AM$1005:$BM$1005,1,MATCH(COLUMNS($AM$1006:BA1006),$AM$1006:$BM$1006,0))&gt;=100000), " ",IF(INDEX($AM$2:$BM$1001,MATCH(ROWS($AF$2:AF565),$AF$2:$AF$1001,0),MATCH(COLUMNS($AM$1006:BA1006),$AM$1006:$BM$1006,0)), HYPERLINK("#",""), HYPERLINK(CONCATENATE("#metadata!", ADDRESS(INDEX($AH$2:$AH$1001,MATCH(ROWS($AF$2:AF565),$AF$2:$AF$1001,0),0), INDEX($AM$1004:$BM$1004,1,MATCH(COLUMNS($AM$1006:BA1006),$AM$1006:$BM$1006,0)))),"Fix")))</f>
        <v xml:space="preserve"> </v>
      </c>
      <c r="Q565" s="4" t="str">
        <f ca="1">IF(OR(INDEX($AG$2:$AG$1001,MATCH(ROWS($AF$2:AF565),$AF$2:$AF$1001,0),1)&gt;=100000,INDEX($AM$1005:$BM$1005,1,MATCH(COLUMNS($AM$1006:BB1006),$AM$1006:$BM$1006,0))&gt;=100000), " ",IF(INDEX($AM$2:$BM$1001,MATCH(ROWS($AF$2:AF565),$AF$2:$AF$1001,0),MATCH(COLUMNS($AM$1006:BB1006),$AM$1006:$BM$1006,0)), HYPERLINK("#",""), HYPERLINK(CONCATENATE("#metadata!", ADDRESS(INDEX($AH$2:$AH$1001,MATCH(ROWS($AF$2:AF565),$AF$2:$AF$1001,0),0), INDEX($AM$1004:$BM$1004,1,MATCH(COLUMNS($AM$1006:BB1006),$AM$1006:$BM$1006,0)))),"Fix")))</f>
        <v xml:space="preserve"> </v>
      </c>
      <c r="R565" s="4" t="str">
        <f ca="1">IF(OR(INDEX($AG$2:$AG$1001,MATCH(ROWS($AF$2:AF565),$AF$2:$AF$1001,0),1)&gt;=100000,INDEX($AM$1005:$BM$1005,1,MATCH(COLUMNS($AM$1006:BC1006),$AM$1006:$BM$1006,0))&gt;=100000), " ",IF(INDEX($AM$2:$BM$1001,MATCH(ROWS($AF$2:AF565),$AF$2:$AF$1001,0),MATCH(COLUMNS($AM$1006:BC1006),$AM$1006:$BM$1006,0)), HYPERLINK("#",""), HYPERLINK(CONCATENATE("#metadata!", ADDRESS(INDEX($AH$2:$AH$1001,MATCH(ROWS($AF$2:AF565),$AF$2:$AF$1001,0),0), INDEX($AM$1004:$BM$1004,1,MATCH(COLUMNS($AM$1006:BC1006),$AM$1006:$BM$1006,0)))),"Fix")))</f>
        <v xml:space="preserve"> </v>
      </c>
      <c r="S565" s="4" t="str">
        <f ca="1">IF(OR(INDEX($AG$2:$AG$1001,MATCH(ROWS($AF$2:AF565),$AF$2:$AF$1001,0),1)&gt;=100000,INDEX($AM$1005:$BM$1005,1,MATCH(COLUMNS($AM$1006:BD1006),$AM$1006:$BM$1006,0))&gt;=100000), " ",IF(INDEX($AM$2:$BM$1001,MATCH(ROWS($AF$2:AF565),$AF$2:$AF$1001,0),MATCH(COLUMNS($AM$1006:BD1006),$AM$1006:$BM$1006,0)), HYPERLINK("#",""), HYPERLINK(CONCATENATE("#metadata!", ADDRESS(INDEX($AH$2:$AH$1001,MATCH(ROWS($AF$2:AF565),$AF$2:$AF$1001,0),0), INDEX($AM$1004:$BM$1004,1,MATCH(COLUMNS($AM$1006:BD1006),$AM$1006:$BM$1006,0)))),"Fix")))</f>
        <v xml:space="preserve"> </v>
      </c>
      <c r="T565" s="4" t="str">
        <f ca="1">IF(OR(INDEX($AG$2:$AG$1001,MATCH(ROWS($AF$2:AF565),$AF$2:$AF$1001,0),1)&gt;=100000,INDEX($AM$1005:$BM$1005,1,MATCH(COLUMNS($AM$1006:BE1006),$AM$1006:$BM$1006,0))&gt;=100000), " ",IF(INDEX($AM$2:$BM$1001,MATCH(ROWS($AF$2:AF565),$AF$2:$AF$1001,0),MATCH(COLUMNS($AM$1006:BE1006),$AM$1006:$BM$1006,0)), HYPERLINK("#",""), HYPERLINK(CONCATENATE("#metadata!", ADDRESS(INDEX($AH$2:$AH$1001,MATCH(ROWS($AF$2:AF565),$AF$2:$AF$1001,0),0), INDEX($AM$1004:$BM$1004,1,MATCH(COLUMNS($AM$1006:BE1006),$AM$1006:$BM$1006,0)))),"Fix")))</f>
        <v xml:space="preserve"> </v>
      </c>
      <c r="U565" s="4" t="str">
        <f ca="1">IF(OR(INDEX($AG$2:$AG$1001,MATCH(ROWS($AF$2:AF565),$AF$2:$AF$1001,0),1)&gt;=100000,INDEX($AM$1005:$BM$1005,1,MATCH(COLUMNS($AM$1006:BF1006),$AM$1006:$BM$1006,0))&gt;=100000), " ",IF(INDEX($AM$2:$BM$1001,MATCH(ROWS($AF$2:AF565),$AF$2:$AF$1001,0),MATCH(COLUMNS($AM$1006:BF1006),$AM$1006:$BM$1006,0)), HYPERLINK("#",""), HYPERLINK(CONCATENATE("#metadata!", ADDRESS(INDEX($AH$2:$AH$1001,MATCH(ROWS($AF$2:AF565),$AF$2:$AF$1001,0),0), INDEX($AM$1004:$BM$1004,1,MATCH(COLUMNS($AM$1006:BF1006),$AM$1006:$BM$1006,0)))),"Fix")))</f>
        <v xml:space="preserve"> </v>
      </c>
      <c r="V565" s="4" t="str">
        <f ca="1">IF(OR(INDEX($AG$2:$AG$1001,MATCH(ROWS($AF$2:AF565),$AF$2:$AF$1001,0),1)&gt;=100000,INDEX($AM$1005:$BM$1005,1,MATCH(COLUMNS($AM$1006:BG1006),$AM$1006:$BM$1006,0))&gt;=100000), " ",IF(INDEX($AM$2:$BM$1001,MATCH(ROWS($AF$2:AF565),$AF$2:$AF$1001,0),MATCH(COLUMNS($AM$1006:BG1006),$AM$1006:$BM$1006,0)), HYPERLINK("#",""), HYPERLINK(CONCATENATE("#metadata!", ADDRESS(INDEX($AH$2:$AH$1001,MATCH(ROWS($AF$2:AF565),$AF$2:$AF$1001,0),0), INDEX($AM$1004:$BM$1004,1,MATCH(COLUMNS($AM$1006:BG1006),$AM$1006:$BM$1006,0)))),"Fix")))</f>
        <v xml:space="preserve"> </v>
      </c>
      <c r="W565" s="4" t="str">
        <f ca="1">IF(OR(INDEX($AG$2:$AG$1001,MATCH(ROWS($AF$2:AF565),$AF$2:$AF$1001,0),1)&gt;=100000,INDEX($AM$1005:$BM$1005,1,MATCH(COLUMNS($AM$1006:BH1006),$AM$1006:$BM$1006,0))&gt;=100000), " ",IF(INDEX($AM$2:$BM$1001,MATCH(ROWS($AF$2:AF565),$AF$2:$AF$1001,0),MATCH(COLUMNS($AM$1006:BH1006),$AM$1006:$BM$1006,0)), HYPERLINK("#",""), HYPERLINK(CONCATENATE("#metadata!", ADDRESS(INDEX($AH$2:$AH$1001,MATCH(ROWS($AF$2:AF565),$AF$2:$AF$1001,0),0), INDEX($AM$1004:$BM$1004,1,MATCH(COLUMNS($AM$1006:BH1006),$AM$1006:$BM$1006,0)))),"Fix")))</f>
        <v xml:space="preserve"> </v>
      </c>
      <c r="X565" s="4" t="str">
        <f ca="1">IF(OR(INDEX($AG$2:$AG$1001,MATCH(ROWS($AF$2:AF565),$AF$2:$AF$1001,0),1)&gt;=100000,INDEX($AM$1005:$BM$1005,1,MATCH(COLUMNS($AM$1006:BI1006),$AM$1006:$BM$1006,0))&gt;=100000), " ",IF(INDEX($AM$2:$BM$1001,MATCH(ROWS($AF$2:AF565),$AF$2:$AF$1001,0),MATCH(COLUMNS($AM$1006:BI1006),$AM$1006:$BM$1006,0)), HYPERLINK("#",""), HYPERLINK(CONCATENATE("#metadata!", ADDRESS(INDEX($AH$2:$AH$1001,MATCH(ROWS($AF$2:AF565),$AF$2:$AF$1001,0),0), INDEX($AM$1004:$BM$1004,1,MATCH(COLUMNS($AM$1006:BI1006),$AM$1006:$BM$1006,0)))),"Fix")))</f>
        <v xml:space="preserve"> </v>
      </c>
      <c r="Y565" s="4" t="str">
        <f ca="1">IF(OR(INDEX($AG$2:$AG$1001,MATCH(ROWS($AF$2:AF565),$AF$2:$AF$1001,0),1)&gt;=100000,INDEX($AM$1005:$BM$1005,1,MATCH(COLUMNS($AM$1006:BJ1006),$AM$1006:$BM$1006,0))&gt;=100000), " ",IF(INDEX($AM$2:$BM$1001,MATCH(ROWS($AF$2:AF565),$AF$2:$AF$1001,0),MATCH(COLUMNS($AM$1006:BJ1006),$AM$1006:$BM$1006,0)), HYPERLINK("#",""), HYPERLINK(CONCATENATE("#metadata!", ADDRESS(INDEX($AH$2:$AH$1001,MATCH(ROWS($AF$2:AF565),$AF$2:$AF$1001,0),0), INDEX($AM$1004:$BM$1004,1,MATCH(COLUMNS($AM$1006:BJ1006),$AM$1006:$BM$1006,0)))),"Fix")))</f>
        <v xml:space="preserve"> </v>
      </c>
      <c r="Z565" s="4" t="str">
        <f ca="1">IF(OR(INDEX($AG$2:$AG$1001,MATCH(ROWS($AF$2:AF565),$AF$2:$AF$1001,0),1)&gt;=100000,INDEX($AM$1005:$BM$1005,1,MATCH(COLUMNS($AM$1006:BK1006),$AM$1006:$BM$1006,0))&gt;=100000), " ",IF(INDEX($AM$2:$BM$1001,MATCH(ROWS($AF$2:AF565),$AF$2:$AF$1001,0),MATCH(COLUMNS($AM$1006:BK1006),$AM$1006:$BM$1006,0)), HYPERLINK("#",""), HYPERLINK(CONCATENATE("#metadata!", ADDRESS(INDEX($AH$2:$AH$1001,MATCH(ROWS($AF$2:AF565),$AF$2:$AF$1001,0),0), INDEX($AM$1004:$BM$1004,1,MATCH(COLUMNS($AM$1006:BK1006),$AM$1006:$BM$1006,0)))),"Fix")))</f>
        <v xml:space="preserve"> </v>
      </c>
      <c r="AA565" s="4" t="str">
        <f ca="1">IF(OR(INDEX($AG$2:$AG$1001,MATCH(ROWS($AF$2:AF565),$AF$2:$AF$1001,0),1)&gt;=100000,INDEX($AM$1005:$BM$1005,1,MATCH(COLUMNS($AM$1006:BL1006),$AM$1006:$BM$1006,0))&gt;=100000), " ",IF(INDEX($AM$2:$BM$1001,MATCH(ROWS($AF$2:AF565),$AF$2:$AF$1001,0),MATCH(COLUMNS($AM$1006:BL1006),$AM$1006:$BM$1006,0)), HYPERLINK("#",""), HYPERLINK(CONCATENATE("#metadata!", ADDRESS(INDEX($AH$2:$AH$1001,MATCH(ROWS($AF$2:AF565),$AF$2:$AF$1001,0),0), INDEX($AM$1004:$BM$1004,1,MATCH(COLUMNS($AM$1006:BL1006),$AM$1006:$BM$1006,0)))),"Fix")))</f>
        <v xml:space="preserve"> </v>
      </c>
      <c r="AB565" s="4" t="str">
        <f ca="1">IF(OR(INDEX($AG$2:$AG$1001,MATCH(ROWS($AF$2:AF565),$AF$2:$AF$1001,0),1)&gt;=100000,INDEX($AM$1005:$BM$1005,1,MATCH(COLUMNS($AM$1006:BM1006),$AM$1006:$BM$1006,0))&gt;=100000), " ",IF(INDEX($AM$2:$BM$1001,MATCH(ROWS($AF$2:AF565),$AF$2:$AF$1001,0),MATCH(COLUMNS($AM$1006:BM1006),$AM$1006:$BM$1006,0)), HYPERLINK("#",""), HYPERLINK(CONCATENATE("#metadata!", ADDRESS(INDEX($AH$2:$AH$1001,MATCH(ROWS($AF$2:AF565),$AF$2:$AF$1001,0),0), INDEX($AM$1004:$BM$1004,1,MATCH(COLUMNS($AM$1006:BM1006),$AM$1006:$BM$1006,0)))),"Fix")))</f>
        <v xml:space="preserve"> </v>
      </c>
      <c r="AF565">
        <v>564</v>
      </c>
      <c r="AG565">
        <v>100565</v>
      </c>
      <c r="AH565">
        <v>565</v>
      </c>
      <c r="AI565" t="b">
        <f t="shared" si="8"/>
        <v>1</v>
      </c>
      <c r="AJ565" t="b">
        <f>COUNTBLANK(metadata!B565:AB565)=COLUMNS(metadata!B565:AB565)</f>
        <v>1</v>
      </c>
      <c r="AK565" t="str">
        <v/>
      </c>
      <c r="AM565" t="b">
        <f ca="1">AND(IF(metadata!B565="",FALSE,TRUE),COUNTIF(metadata!B:B, metadata!B565) = 1,NOT(ISERROR(SUMPRODUCT(SEARCH(MID(metadata!B565,ROW(INDIRECT("1:"&amp;LEN(metadata!B565))), 1),"0123456789abcdefghijklmnopqrstuvwxyzABCDEFGHIJKLMNOPQRSTUVWXYZ.")))))</f>
        <v>0</v>
      </c>
      <c r="AN565" t="b">
        <f ca="1">OR(AND(IF(metadata!C565="",FALSE,TRUE),OR(EXACT(metadata!C565,"missing: not collected"),EXACT(metadata!C565,"missing: not provided"),EXACT(metadata!C565,"missing: restricted access"))),AND(IF(metadata!C565="",FALSE,TRUE),AND(AND(IFERROR(INT(LEFT(metadata!C565,4))&gt;1900,FALSE),IFERROR(INT(LEFT(metadata!C565,4))&lt;=YEAR(NOW()),FALSE)), OR(MID(metadata!C565,5,1)="", AND(AND(MID(metadata!C565,5,1)="-",IFERROR(INT(MID(metadata!C565,6,1))&gt;=0,FALSE),IFERROR(INT(MID(metadata!C565,6,1))&lt;=1,FALSE),NOT(MID(metadata!C565,7,1)=""),IFERROR(INT(MID(metadata!C565,6,2))&gt;=1,FALSE),IFERROR(INT(MID(metadata!C565,6,2))&lt;=12,FALSE)), OR(MID(metadata!C565,8,1)="", AND(AND(MID(metadata!C565,8,1)="-",IFERROR(INT(MID(metadata!C565,9,1))&gt;=0,FALSE),IFERROR(INT(MID(metadata!C565,9,1))&lt;=3,FALSE),NOT(MID(metadata!C565,10,1)=""),IFERROR(INT(MID(metadata!C565,9,2))&gt;=1,FALSE),IFERROR(INT(MID(metadata!C565,9,2))&lt;=31,FALSE)), OR(MID(metadata!C565,11,1)="", AND(AND(MID(metadata!C565,11,1)=" ",IFERROR(INT(MID(metadata!C565,12,1))&gt;=0,FALSE),IFERROR(INT(MID(metadata!C565,12,1))&lt;=2,FALSE),NOT(MID(metadata!C565,13,1)=""),IFERROR(INT(MID(metadata!C565,12,2))&gt;=0,FALSE),IFERROR(INT(MID(metadata!C565,12,2))&lt;=23,FALSE)), OR(MID(metadata!C565,14,1)="", AND(AND(MID(metadata!C565,14,1)=":",IFERROR(INT(MID(metadata!C565,15,1))&gt;=0,FALSE),IFERROR(INT(MID(metadata!C565,15,1))&lt;=5,FALSE),NOT(MID(metadata!C565,16,1)=""),IFERROR(INT(MID(metadata!C565,15,2))&gt;=0,FALSE),IFERROR(INT(MID(metadata!C565,15,2))&lt;=59,FALSE)), OR(MID(metadata!C565,17,1)="", AND(AND(MID(metadata!C565,17,1)=":",IFERROR(INT(MID(metadata!C565,18,1))&gt;=0,FALSE),IFERROR(INT(MID(metadata!C565,18,1))&lt;=5,FALSE),NOT(MID(metadata!C565,19,1)=""),IFERROR(INT(MID(metadata!C565,18,2))&gt;=0,FALSE),IFERROR(INT(MID(metadata!C565,18,2))&lt;=59,FALSE)), LEN(metadata!C565)&lt;=19)))))))))))))</f>
        <v>0</v>
      </c>
      <c r="AO565" t="b">
        <f>AND(IF(metadata!D565="",FALSE,TRUE),EXACT(metadata!D565,"Not applicable"))</f>
        <v>0</v>
      </c>
      <c r="AP565" t="b">
        <f>IF(metadata!E565="",FALSE,TRUE)</f>
        <v>0</v>
      </c>
      <c r="AQ565" t="b">
        <f>OR(AND(IF(metadata!F565="",FALSE,TRUE),OR(EXACT(metadata!F565,"missing: not collected"),EXACT(metadata!F565,"missing: not provided"))),AND(IF(metadata!F565="",FALSE,TRUE),OR(EXACT(metadata!F565,"TRUE"),EXACT(metadata!F565,"FALSE"))))</f>
        <v>0</v>
      </c>
      <c r="AR565" t="b">
        <f>OR(AND(IF(metadata!G565="",FALSE,TRUE),OR(EXACT(metadata!G565,"missing: not collected"),EXACT(metadata!G565,"missing: not provided"),EXACT(metadata!G565,"missing: restricted access"))),AND(IF(metadata!G565="",FALSE,ISNUMBER(VALUE(metadata!G565))),metadata!G565&gt;=-413))</f>
        <v>0</v>
      </c>
      <c r="AS565" t="b">
        <f>AND(IF(metadata!H565="",FALSE,TRUE),EXACT(metadata!H565,"meters"))</f>
        <v>0</v>
      </c>
      <c r="AT565" t="b">
        <f>AND(IF(metadata!I565="",FALSE,TRUE),OR(EXACT(metadata!I565,"Host-associated"),EXACT(metadata!I565,"Free-living")))</f>
        <v>0</v>
      </c>
      <c r="AU565" t="b">
        <f>AND(IF(metadata!J565="",FALSE,TRUE),OR(EXACT(metadata!J565,"Animal"),EXACT(metadata!J565,"Fungus"),EXACT(metadata!J565,"Plant"),EXACT(metadata!J565,"Saline"),EXACT(metadata!J565,"Non-saline")))</f>
        <v>0</v>
      </c>
      <c r="AV565" t="b">
        <f>AND(IF(metadata!K565="",FALSE,TRUE),OR(EXACT(metadata!K565,"Plant secretion"),EXACT(metadata!K565,"Plant rhizosphere"),EXACT(metadata!K565,"Plant surface"),EXACT(metadata!K565,"Plant corpus"),EXACT(metadata!K565,"Fungus surface"),EXACT(metadata!K565,"Fungus corpus"),EXACT(metadata!K565,"Animal surface"),EXACT(metadata!K565,"Animal proximal gut"),EXACT(metadata!K565,"Animal corpus"),EXACT(metadata!K565,"Animal distal gut"),EXACT(metadata!K565,"Animal secretion"),EXACT(metadata!K565,"Sub-surface (non-saline)"),EXACT(metadata!K565,"Surface (non-saline)"),EXACT(metadata!K565,"Water (non-saline)"),EXACT(metadata!K565,"Soil (non-saline)"),EXACT(metadata!K565,"Aerosol (non-saline)"),EXACT(metadata!K565,"Sediment (non-saline)"),EXACT(metadata!K565,"Surface (saline)"),EXACT(metadata!K565,"Water (saline)"),EXACT(metadata!K565,"Hypersaline (saline)"),EXACT(metadata!K565,"Aerosol (saline)"),EXACT(metadata!K565,"Sediment (saline)")))</f>
        <v>0</v>
      </c>
      <c r="AW565" t="b">
        <f>IF(metadata!L565="",FALSE,TRUE)</f>
        <v>0</v>
      </c>
      <c r="AX565" t="b">
        <f>IF(metadata!M565="",FALSE,TRUE)</f>
        <v>0</v>
      </c>
      <c r="AY565" t="b">
        <f>IF(metadata!N565="",FALSE,TRUE)</f>
        <v>0</v>
      </c>
      <c r="AZ565" t="b">
        <f>OR(AND(IF(metadata!O565="",FALSE,TRUE),OR(EXACT(metadata!O565,"missing: not collected"),EXACT(metadata!O565,"missing: not provided"),EXACT(metadata!O565,"missing: restricted access"))),AND(IF(metadata!O565="",FALSE,TRUE),OR(EXACT(metadata!O565,"air"),EXACT(metadata!O565,"built environment"),EXACT(metadata!O565,"host-associated"),EXACT(metadata!O565,"human-associated"),EXACT(metadata!O565,"human-skin"),EXACT(metadata!O565,"human-oral"),EXACT(metadata!O565,"human-gut"),EXACT(metadata!O565,"human-vaginal"),EXACT(metadata!O565,"microbial mat/biofilm"),EXACT(metadata!O565,"misc environment"),EXACT(metadata!O565,"plant-associated"),EXACT(metadata!O565,"sediment"),EXACT(metadata!O565,"soil"),EXACT(metadata!O565,"wastewater/sludge"),EXACT(metadata!O565,"water"))))</f>
        <v>0</v>
      </c>
      <c r="BA565" t="b">
        <f>IF(metadata!P565="",FALSE,TRUE)</f>
        <v>0</v>
      </c>
      <c r="BB565" t="b">
        <f>IF(metadata!Q565="",FALSE,TRUE)</f>
        <v>0</v>
      </c>
      <c r="BC565" t="b">
        <f>OR(AND(IF(metadata!R565="",FALSE,TRUE),OR(EXACT(metadata!R565,"missing: not collected"),EXACT(metadata!R565,"missing: not provided"),EXACT(metadata!R565,"missing: restricted access"))),AND(IF(metadata!R565="",FALSE,ISNUMBER(VALUE(metadata!R565))),metadata!R565&gt;=-90,metadata!R565&lt;=90))</f>
        <v>0</v>
      </c>
      <c r="BD565" t="b">
        <f>AND(IF(metadata!S565="",FALSE,TRUE),EXACT(metadata!S565,"Decimal degrees"))</f>
        <v>0</v>
      </c>
      <c r="BE565" t="b">
        <f>OR(AND(IF(metadata!T565="",FALSE,TRUE),OR(EXACT(metadata!T565,"missing: not collected"),EXACT(metadata!T565,"missing: not provided"),EXACT(metadata!T565,"missing: restricted access"))),AND(IF(metadata!T565="",FALSE,ISNUMBER(VALUE(metadata!T565))),metadata!T565&gt;=-180,metadata!T565&lt;=180))</f>
        <v>0</v>
      </c>
      <c r="BF565" t="b">
        <f>AND(IF(metadata!U565="",FALSE,TRUE),EXACT(metadata!U565,"Decimal degrees"))</f>
        <v>0</v>
      </c>
      <c r="BG565" t="b">
        <f>IF(metadata!V565="",FALSE,TRUE)</f>
        <v>0</v>
      </c>
      <c r="BH565" t="b">
        <f>OR(AND(IF(metadata!W565="",FALSE,TRUE),OR(EXACT(metadata!W565,"missing: not collected"),EXACT(metadata!W565,"missing: not provided"),EXACT(metadata!W565,"missing: restricted access"))),AND(IF(metadata!W565="",FALSE,TRUE),OR(EXACT(metadata!W565,"TRUE"),EXACT(metadata!W565,"FALSE"))))</f>
        <v>0</v>
      </c>
      <c r="BI565" t="b">
        <f>AND(IF(metadata!X565="",FALSE,TRUE),EXACT(metadata!X565,"other"))</f>
        <v>0</v>
      </c>
      <c r="BJ565" t="b">
        <f>IF(metadata!Y565="",FALSE,TRUE)</f>
        <v>0</v>
      </c>
      <c r="BK565" t="b">
        <f>OR(AND(IF(metadata!Z565="",FALSE,TRUE),OR(EXACT(metadata!Z565,"missing: not collected"),EXACT(metadata!Z565,"missing: not provided"))),AND(IF(metadata!Z565="",FALSE,IF(ISERROR(INT(metadata!Z565)),FALSE,INT(metadata!Z565)=metadata!Z565)),metadata!Z565&gt;0))</f>
        <v>0</v>
      </c>
      <c r="BL565" t="b">
        <f>AND(IF(metadata!AA565="",FALSE,TRUE),EXACT(metadata!AA565,"Not applicable"))</f>
        <v>0</v>
      </c>
      <c r="BM565" t="b">
        <f>IF(metadata!AB565="",FALSE,TRUE)</f>
        <v>0</v>
      </c>
    </row>
    <row r="566" spans="1:65" x14ac:dyDescent="0.2">
      <c r="A566" s="5" t="str">
        <f ca="1">IF(B566=" "," ",HYPERLINK(CONCATENATE("#metadata!",ADDRESS(INDEX($AH$2:$AH$1001,MATCH(ROWS($AF$2:AF566),$AF$2:$AF$1001,0),0),1)),INDEX($AK$2:$AK$1001,MATCH(ROWS($AF$2:AF566),$AF$2:$AF$1001,0),0)))</f>
        <v xml:space="preserve"> </v>
      </c>
      <c r="B566" s="4" t="str">
        <f ca="1">IF(OR(INDEX($AG$2:$AG$1001,MATCH(ROWS($AF$2:AF566),$AF$2:$AF$1001,0),1)&gt;=100000,INDEX($AM$1005:$BM$1005,1,MATCH(COLUMNS($AM$1006:AM1006),$AM$1006:$BM$1006,0))&gt;=100000), " ",IF(INDEX($AM$2:$BM$1001,MATCH(ROWS($AF$2:AF566),$AF$2:$AF$1001,0),MATCH(COLUMNS($AM$1006:AM1006),$AM$1006:$BM$1006,0)), HYPERLINK("#",""), HYPERLINK(CONCATENATE("#metadata!", ADDRESS(INDEX($AH$2:$AH$1001,MATCH(ROWS($AF$2:AF566),$AF$2:$AF$1001,0),0), INDEX($AM$1004:$BM$1004,1,MATCH(COLUMNS($AM$1006:AM1006),$AM$1006:$BM$1006,0)))),"Fix")))</f>
        <v xml:space="preserve"> </v>
      </c>
      <c r="C566" s="4" t="str">
        <f ca="1">IF(OR(INDEX($AG$2:$AG$1001,MATCH(ROWS($AF$2:AF566),$AF$2:$AF$1001,0),1)&gt;=100000,INDEX($AM$1005:$BM$1005,1,MATCH(COLUMNS($AM$1006:AN1006),$AM$1006:$BM$1006,0))&gt;=100000), " ",IF(INDEX($AM$2:$BM$1001,MATCH(ROWS($AF$2:AF566),$AF$2:$AF$1001,0),MATCH(COLUMNS($AM$1006:AN1006),$AM$1006:$BM$1006,0)), HYPERLINK("#",""), HYPERLINK(CONCATENATE("#metadata!", ADDRESS(INDEX($AH$2:$AH$1001,MATCH(ROWS($AF$2:AF566),$AF$2:$AF$1001,0),0), INDEX($AM$1004:$BM$1004,1,MATCH(COLUMNS($AM$1006:AN1006),$AM$1006:$BM$1006,0)))),"Fix")))</f>
        <v xml:space="preserve"> </v>
      </c>
      <c r="D566" s="4" t="str">
        <f ca="1">IF(OR(INDEX($AG$2:$AG$1001,MATCH(ROWS($AF$2:AF566),$AF$2:$AF$1001,0),1)&gt;=100000,INDEX($AM$1005:$BM$1005,1,MATCH(COLUMNS($AM$1006:AO1006),$AM$1006:$BM$1006,0))&gt;=100000), " ",IF(INDEX($AM$2:$BM$1001,MATCH(ROWS($AF$2:AF566),$AF$2:$AF$1001,0),MATCH(COLUMNS($AM$1006:AO1006),$AM$1006:$BM$1006,0)), HYPERLINK("#",""), HYPERLINK(CONCATENATE("#metadata!", ADDRESS(INDEX($AH$2:$AH$1001,MATCH(ROWS($AF$2:AF566),$AF$2:$AF$1001,0),0), INDEX($AM$1004:$BM$1004,1,MATCH(COLUMNS($AM$1006:AO1006),$AM$1006:$BM$1006,0)))),"Fix")))</f>
        <v xml:space="preserve"> </v>
      </c>
      <c r="E566" s="4" t="str">
        <f ca="1">IF(OR(INDEX($AG$2:$AG$1001,MATCH(ROWS($AF$2:AF566),$AF$2:$AF$1001,0),1)&gt;=100000,INDEX($AM$1005:$BM$1005,1,MATCH(COLUMNS($AM$1006:AP1006),$AM$1006:$BM$1006,0))&gt;=100000), " ",IF(INDEX($AM$2:$BM$1001,MATCH(ROWS($AF$2:AF566),$AF$2:$AF$1001,0),MATCH(COLUMNS($AM$1006:AP1006),$AM$1006:$BM$1006,0)), HYPERLINK("#",""), HYPERLINK(CONCATENATE("#metadata!", ADDRESS(INDEX($AH$2:$AH$1001,MATCH(ROWS($AF$2:AF566),$AF$2:$AF$1001,0),0), INDEX($AM$1004:$BM$1004,1,MATCH(COLUMNS($AM$1006:AP1006),$AM$1006:$BM$1006,0)))),"Fix")))</f>
        <v xml:space="preserve"> </v>
      </c>
      <c r="F566" s="4" t="str">
        <f ca="1">IF(OR(INDEX($AG$2:$AG$1001,MATCH(ROWS($AF$2:AF566),$AF$2:$AF$1001,0),1)&gt;=100000,INDEX($AM$1005:$BM$1005,1,MATCH(COLUMNS($AM$1006:AQ1006),$AM$1006:$BM$1006,0))&gt;=100000), " ",IF(INDEX($AM$2:$BM$1001,MATCH(ROWS($AF$2:AF566),$AF$2:$AF$1001,0),MATCH(COLUMNS($AM$1006:AQ1006),$AM$1006:$BM$1006,0)), HYPERLINK("#",""), HYPERLINK(CONCATENATE("#metadata!", ADDRESS(INDEX($AH$2:$AH$1001,MATCH(ROWS($AF$2:AF566),$AF$2:$AF$1001,0),0), INDEX($AM$1004:$BM$1004,1,MATCH(COLUMNS($AM$1006:AQ1006),$AM$1006:$BM$1006,0)))),"Fix")))</f>
        <v xml:space="preserve"> </v>
      </c>
      <c r="G566" s="4" t="str">
        <f ca="1">IF(OR(INDEX($AG$2:$AG$1001,MATCH(ROWS($AF$2:AF566),$AF$2:$AF$1001,0),1)&gt;=100000,INDEX($AM$1005:$BM$1005,1,MATCH(COLUMNS($AM$1006:AR1006),$AM$1006:$BM$1006,0))&gt;=100000), " ",IF(INDEX($AM$2:$BM$1001,MATCH(ROWS($AF$2:AF566),$AF$2:$AF$1001,0),MATCH(COLUMNS($AM$1006:AR1006),$AM$1006:$BM$1006,0)), HYPERLINK("#",""), HYPERLINK(CONCATENATE("#metadata!", ADDRESS(INDEX($AH$2:$AH$1001,MATCH(ROWS($AF$2:AF566),$AF$2:$AF$1001,0),0), INDEX($AM$1004:$BM$1004,1,MATCH(COLUMNS($AM$1006:AR1006),$AM$1006:$BM$1006,0)))),"Fix")))</f>
        <v xml:space="preserve"> </v>
      </c>
      <c r="H566" s="4" t="str">
        <f ca="1">IF(OR(INDEX($AG$2:$AG$1001,MATCH(ROWS($AF$2:AF566),$AF$2:$AF$1001,0),1)&gt;=100000,INDEX($AM$1005:$BM$1005,1,MATCH(COLUMNS($AM$1006:AS1006),$AM$1006:$BM$1006,0))&gt;=100000), " ",IF(INDEX($AM$2:$BM$1001,MATCH(ROWS($AF$2:AF566),$AF$2:$AF$1001,0),MATCH(COLUMNS($AM$1006:AS1006),$AM$1006:$BM$1006,0)), HYPERLINK("#",""), HYPERLINK(CONCATENATE("#metadata!", ADDRESS(INDEX($AH$2:$AH$1001,MATCH(ROWS($AF$2:AF566),$AF$2:$AF$1001,0),0), INDEX($AM$1004:$BM$1004,1,MATCH(COLUMNS($AM$1006:AS1006),$AM$1006:$BM$1006,0)))),"Fix")))</f>
        <v xml:space="preserve"> </v>
      </c>
      <c r="I566" s="4" t="str">
        <f ca="1">IF(OR(INDEX($AG$2:$AG$1001,MATCH(ROWS($AF$2:AF566),$AF$2:$AF$1001,0),1)&gt;=100000,INDEX($AM$1005:$BM$1005,1,MATCH(COLUMNS($AM$1006:AT1006),$AM$1006:$BM$1006,0))&gt;=100000), " ",IF(INDEX($AM$2:$BM$1001,MATCH(ROWS($AF$2:AF566),$AF$2:$AF$1001,0),MATCH(COLUMNS($AM$1006:AT1006),$AM$1006:$BM$1006,0)), HYPERLINK("#",""), HYPERLINK(CONCATENATE("#metadata!", ADDRESS(INDEX($AH$2:$AH$1001,MATCH(ROWS($AF$2:AF566),$AF$2:$AF$1001,0),0), INDEX($AM$1004:$BM$1004,1,MATCH(COLUMNS($AM$1006:AT1006),$AM$1006:$BM$1006,0)))),"Fix")))</f>
        <v xml:space="preserve"> </v>
      </c>
      <c r="J566" s="4" t="str">
        <f ca="1">IF(OR(INDEX($AG$2:$AG$1001,MATCH(ROWS($AF$2:AF566),$AF$2:$AF$1001,0),1)&gt;=100000,INDEX($AM$1005:$BM$1005,1,MATCH(COLUMNS($AM$1006:AU1006),$AM$1006:$BM$1006,0))&gt;=100000), " ",IF(INDEX($AM$2:$BM$1001,MATCH(ROWS($AF$2:AF566),$AF$2:$AF$1001,0),MATCH(COLUMNS($AM$1006:AU1006),$AM$1006:$BM$1006,0)), HYPERLINK("#",""), HYPERLINK(CONCATENATE("#metadata!", ADDRESS(INDEX($AH$2:$AH$1001,MATCH(ROWS($AF$2:AF566),$AF$2:$AF$1001,0),0), INDEX($AM$1004:$BM$1004,1,MATCH(COLUMNS($AM$1006:AU1006),$AM$1006:$BM$1006,0)))),"Fix")))</f>
        <v xml:space="preserve"> </v>
      </c>
      <c r="K566" s="4" t="str">
        <f ca="1">IF(OR(INDEX($AG$2:$AG$1001,MATCH(ROWS($AF$2:AF566),$AF$2:$AF$1001,0),1)&gt;=100000,INDEX($AM$1005:$BM$1005,1,MATCH(COLUMNS($AM$1006:AV1006),$AM$1006:$BM$1006,0))&gt;=100000), " ",IF(INDEX($AM$2:$BM$1001,MATCH(ROWS($AF$2:AF566),$AF$2:$AF$1001,0),MATCH(COLUMNS($AM$1006:AV1006),$AM$1006:$BM$1006,0)), HYPERLINK("#",""), HYPERLINK(CONCATENATE("#metadata!", ADDRESS(INDEX($AH$2:$AH$1001,MATCH(ROWS($AF$2:AF566),$AF$2:$AF$1001,0),0), INDEX($AM$1004:$BM$1004,1,MATCH(COLUMNS($AM$1006:AV1006),$AM$1006:$BM$1006,0)))),"Fix")))</f>
        <v xml:space="preserve"> </v>
      </c>
      <c r="L566" s="4" t="str">
        <f ca="1">IF(OR(INDEX($AG$2:$AG$1001,MATCH(ROWS($AF$2:AF566),$AF$2:$AF$1001,0),1)&gt;=100000,INDEX($AM$1005:$BM$1005,1,MATCH(COLUMNS($AM$1006:AW1006),$AM$1006:$BM$1006,0))&gt;=100000), " ",IF(INDEX($AM$2:$BM$1001,MATCH(ROWS($AF$2:AF566),$AF$2:$AF$1001,0),MATCH(COLUMNS($AM$1006:AW1006),$AM$1006:$BM$1006,0)), HYPERLINK("#",""), HYPERLINK(CONCATENATE("#metadata!", ADDRESS(INDEX($AH$2:$AH$1001,MATCH(ROWS($AF$2:AF566),$AF$2:$AF$1001,0),0), INDEX($AM$1004:$BM$1004,1,MATCH(COLUMNS($AM$1006:AW1006),$AM$1006:$BM$1006,0)))),"Fix")))</f>
        <v xml:space="preserve"> </v>
      </c>
      <c r="M566" s="4" t="str">
        <f ca="1">IF(OR(INDEX($AG$2:$AG$1001,MATCH(ROWS($AF$2:AF566),$AF$2:$AF$1001,0),1)&gt;=100000,INDEX($AM$1005:$BM$1005,1,MATCH(COLUMNS($AM$1006:AX1006),$AM$1006:$BM$1006,0))&gt;=100000), " ",IF(INDEX($AM$2:$BM$1001,MATCH(ROWS($AF$2:AF566),$AF$2:$AF$1001,0),MATCH(COLUMNS($AM$1006:AX1006),$AM$1006:$BM$1006,0)), HYPERLINK("#",""), HYPERLINK(CONCATENATE("#metadata!", ADDRESS(INDEX($AH$2:$AH$1001,MATCH(ROWS($AF$2:AF566),$AF$2:$AF$1001,0),0), INDEX($AM$1004:$BM$1004,1,MATCH(COLUMNS($AM$1006:AX1006),$AM$1006:$BM$1006,0)))),"Fix")))</f>
        <v xml:space="preserve"> </v>
      </c>
      <c r="N566" s="4" t="str">
        <f ca="1">IF(OR(INDEX($AG$2:$AG$1001,MATCH(ROWS($AF$2:AF566),$AF$2:$AF$1001,0),1)&gt;=100000,INDEX($AM$1005:$BM$1005,1,MATCH(COLUMNS($AM$1006:AY1006),$AM$1006:$BM$1006,0))&gt;=100000), " ",IF(INDEX($AM$2:$BM$1001,MATCH(ROWS($AF$2:AF566),$AF$2:$AF$1001,0),MATCH(COLUMNS($AM$1006:AY1006),$AM$1006:$BM$1006,0)), HYPERLINK("#",""), HYPERLINK(CONCATENATE("#metadata!", ADDRESS(INDEX($AH$2:$AH$1001,MATCH(ROWS($AF$2:AF566),$AF$2:$AF$1001,0),0), INDEX($AM$1004:$BM$1004,1,MATCH(COLUMNS($AM$1006:AY1006),$AM$1006:$BM$1006,0)))),"Fix")))</f>
        <v xml:space="preserve"> </v>
      </c>
      <c r="O566" s="4" t="str">
        <f ca="1">IF(OR(INDEX($AG$2:$AG$1001,MATCH(ROWS($AF$2:AF566),$AF$2:$AF$1001,0),1)&gt;=100000,INDEX($AM$1005:$BM$1005,1,MATCH(COLUMNS($AM$1006:AZ1006),$AM$1006:$BM$1006,0))&gt;=100000), " ",IF(INDEX($AM$2:$BM$1001,MATCH(ROWS($AF$2:AF566),$AF$2:$AF$1001,0),MATCH(COLUMNS($AM$1006:AZ1006),$AM$1006:$BM$1006,0)), HYPERLINK("#",""), HYPERLINK(CONCATENATE("#metadata!", ADDRESS(INDEX($AH$2:$AH$1001,MATCH(ROWS($AF$2:AF566),$AF$2:$AF$1001,0),0), INDEX($AM$1004:$BM$1004,1,MATCH(COLUMNS($AM$1006:AZ1006),$AM$1006:$BM$1006,0)))),"Fix")))</f>
        <v xml:space="preserve"> </v>
      </c>
      <c r="P566" s="4" t="str">
        <f ca="1">IF(OR(INDEX($AG$2:$AG$1001,MATCH(ROWS($AF$2:AF566),$AF$2:$AF$1001,0),1)&gt;=100000,INDEX($AM$1005:$BM$1005,1,MATCH(COLUMNS($AM$1006:BA1006),$AM$1006:$BM$1006,0))&gt;=100000), " ",IF(INDEX($AM$2:$BM$1001,MATCH(ROWS($AF$2:AF566),$AF$2:$AF$1001,0),MATCH(COLUMNS($AM$1006:BA1006),$AM$1006:$BM$1006,0)), HYPERLINK("#",""), HYPERLINK(CONCATENATE("#metadata!", ADDRESS(INDEX($AH$2:$AH$1001,MATCH(ROWS($AF$2:AF566),$AF$2:$AF$1001,0),0), INDEX($AM$1004:$BM$1004,1,MATCH(COLUMNS($AM$1006:BA1006),$AM$1006:$BM$1006,0)))),"Fix")))</f>
        <v xml:space="preserve"> </v>
      </c>
      <c r="Q566" s="4" t="str">
        <f ca="1">IF(OR(INDEX($AG$2:$AG$1001,MATCH(ROWS($AF$2:AF566),$AF$2:$AF$1001,0),1)&gt;=100000,INDEX($AM$1005:$BM$1005,1,MATCH(COLUMNS($AM$1006:BB1006),$AM$1006:$BM$1006,0))&gt;=100000), " ",IF(INDEX($AM$2:$BM$1001,MATCH(ROWS($AF$2:AF566),$AF$2:$AF$1001,0),MATCH(COLUMNS($AM$1006:BB1006),$AM$1006:$BM$1006,0)), HYPERLINK("#",""), HYPERLINK(CONCATENATE("#metadata!", ADDRESS(INDEX($AH$2:$AH$1001,MATCH(ROWS($AF$2:AF566),$AF$2:$AF$1001,0),0), INDEX($AM$1004:$BM$1004,1,MATCH(COLUMNS($AM$1006:BB1006),$AM$1006:$BM$1006,0)))),"Fix")))</f>
        <v xml:space="preserve"> </v>
      </c>
      <c r="R566" s="4" t="str">
        <f ca="1">IF(OR(INDEX($AG$2:$AG$1001,MATCH(ROWS($AF$2:AF566),$AF$2:$AF$1001,0),1)&gt;=100000,INDEX($AM$1005:$BM$1005,1,MATCH(COLUMNS($AM$1006:BC1006),$AM$1006:$BM$1006,0))&gt;=100000), " ",IF(INDEX($AM$2:$BM$1001,MATCH(ROWS($AF$2:AF566),$AF$2:$AF$1001,0),MATCH(COLUMNS($AM$1006:BC1006),$AM$1006:$BM$1006,0)), HYPERLINK("#",""), HYPERLINK(CONCATENATE("#metadata!", ADDRESS(INDEX($AH$2:$AH$1001,MATCH(ROWS($AF$2:AF566),$AF$2:$AF$1001,0),0), INDEX($AM$1004:$BM$1004,1,MATCH(COLUMNS($AM$1006:BC1006),$AM$1006:$BM$1006,0)))),"Fix")))</f>
        <v xml:space="preserve"> </v>
      </c>
      <c r="S566" s="4" t="str">
        <f ca="1">IF(OR(INDEX($AG$2:$AG$1001,MATCH(ROWS($AF$2:AF566),$AF$2:$AF$1001,0),1)&gt;=100000,INDEX($AM$1005:$BM$1005,1,MATCH(COLUMNS($AM$1006:BD1006),$AM$1006:$BM$1006,0))&gt;=100000), " ",IF(INDEX($AM$2:$BM$1001,MATCH(ROWS($AF$2:AF566),$AF$2:$AF$1001,0),MATCH(COLUMNS($AM$1006:BD1006),$AM$1006:$BM$1006,0)), HYPERLINK("#",""), HYPERLINK(CONCATENATE("#metadata!", ADDRESS(INDEX($AH$2:$AH$1001,MATCH(ROWS($AF$2:AF566),$AF$2:$AF$1001,0),0), INDEX($AM$1004:$BM$1004,1,MATCH(COLUMNS($AM$1006:BD1006),$AM$1006:$BM$1006,0)))),"Fix")))</f>
        <v xml:space="preserve"> </v>
      </c>
      <c r="T566" s="4" t="str">
        <f ca="1">IF(OR(INDEX($AG$2:$AG$1001,MATCH(ROWS($AF$2:AF566),$AF$2:$AF$1001,0),1)&gt;=100000,INDEX($AM$1005:$BM$1005,1,MATCH(COLUMNS($AM$1006:BE1006),$AM$1006:$BM$1006,0))&gt;=100000), " ",IF(INDEX($AM$2:$BM$1001,MATCH(ROWS($AF$2:AF566),$AF$2:$AF$1001,0),MATCH(COLUMNS($AM$1006:BE1006),$AM$1006:$BM$1006,0)), HYPERLINK("#",""), HYPERLINK(CONCATENATE("#metadata!", ADDRESS(INDEX($AH$2:$AH$1001,MATCH(ROWS($AF$2:AF566),$AF$2:$AF$1001,0),0), INDEX($AM$1004:$BM$1004,1,MATCH(COLUMNS($AM$1006:BE1006),$AM$1006:$BM$1006,0)))),"Fix")))</f>
        <v xml:space="preserve"> </v>
      </c>
      <c r="U566" s="4" t="str">
        <f ca="1">IF(OR(INDEX($AG$2:$AG$1001,MATCH(ROWS($AF$2:AF566),$AF$2:$AF$1001,0),1)&gt;=100000,INDEX($AM$1005:$BM$1005,1,MATCH(COLUMNS($AM$1006:BF1006),$AM$1006:$BM$1006,0))&gt;=100000), " ",IF(INDEX($AM$2:$BM$1001,MATCH(ROWS($AF$2:AF566),$AF$2:$AF$1001,0),MATCH(COLUMNS($AM$1006:BF1006),$AM$1006:$BM$1006,0)), HYPERLINK("#",""), HYPERLINK(CONCATENATE("#metadata!", ADDRESS(INDEX($AH$2:$AH$1001,MATCH(ROWS($AF$2:AF566),$AF$2:$AF$1001,0),0), INDEX($AM$1004:$BM$1004,1,MATCH(COLUMNS($AM$1006:BF1006),$AM$1006:$BM$1006,0)))),"Fix")))</f>
        <v xml:space="preserve"> </v>
      </c>
      <c r="V566" s="4" t="str">
        <f ca="1">IF(OR(INDEX($AG$2:$AG$1001,MATCH(ROWS($AF$2:AF566),$AF$2:$AF$1001,0),1)&gt;=100000,INDEX($AM$1005:$BM$1005,1,MATCH(COLUMNS($AM$1006:BG1006),$AM$1006:$BM$1006,0))&gt;=100000), " ",IF(INDEX($AM$2:$BM$1001,MATCH(ROWS($AF$2:AF566),$AF$2:$AF$1001,0),MATCH(COLUMNS($AM$1006:BG1006),$AM$1006:$BM$1006,0)), HYPERLINK("#",""), HYPERLINK(CONCATENATE("#metadata!", ADDRESS(INDEX($AH$2:$AH$1001,MATCH(ROWS($AF$2:AF566),$AF$2:$AF$1001,0),0), INDEX($AM$1004:$BM$1004,1,MATCH(COLUMNS($AM$1006:BG1006),$AM$1006:$BM$1006,0)))),"Fix")))</f>
        <v xml:space="preserve"> </v>
      </c>
      <c r="W566" s="4" t="str">
        <f ca="1">IF(OR(INDEX($AG$2:$AG$1001,MATCH(ROWS($AF$2:AF566),$AF$2:$AF$1001,0),1)&gt;=100000,INDEX($AM$1005:$BM$1005,1,MATCH(COLUMNS($AM$1006:BH1006),$AM$1006:$BM$1006,0))&gt;=100000), " ",IF(INDEX($AM$2:$BM$1001,MATCH(ROWS($AF$2:AF566),$AF$2:$AF$1001,0),MATCH(COLUMNS($AM$1006:BH1006),$AM$1006:$BM$1006,0)), HYPERLINK("#",""), HYPERLINK(CONCATENATE("#metadata!", ADDRESS(INDEX($AH$2:$AH$1001,MATCH(ROWS($AF$2:AF566),$AF$2:$AF$1001,0),0), INDEX($AM$1004:$BM$1004,1,MATCH(COLUMNS($AM$1006:BH1006),$AM$1006:$BM$1006,0)))),"Fix")))</f>
        <v xml:space="preserve"> </v>
      </c>
      <c r="X566" s="4" t="str">
        <f ca="1">IF(OR(INDEX($AG$2:$AG$1001,MATCH(ROWS($AF$2:AF566),$AF$2:$AF$1001,0),1)&gt;=100000,INDEX($AM$1005:$BM$1005,1,MATCH(COLUMNS($AM$1006:BI1006),$AM$1006:$BM$1006,0))&gt;=100000), " ",IF(INDEX($AM$2:$BM$1001,MATCH(ROWS($AF$2:AF566),$AF$2:$AF$1001,0),MATCH(COLUMNS($AM$1006:BI1006),$AM$1006:$BM$1006,0)), HYPERLINK("#",""), HYPERLINK(CONCATENATE("#metadata!", ADDRESS(INDEX($AH$2:$AH$1001,MATCH(ROWS($AF$2:AF566),$AF$2:$AF$1001,0),0), INDEX($AM$1004:$BM$1004,1,MATCH(COLUMNS($AM$1006:BI1006),$AM$1006:$BM$1006,0)))),"Fix")))</f>
        <v xml:space="preserve"> </v>
      </c>
      <c r="Y566" s="4" t="str">
        <f ca="1">IF(OR(INDEX($AG$2:$AG$1001,MATCH(ROWS($AF$2:AF566),$AF$2:$AF$1001,0),1)&gt;=100000,INDEX($AM$1005:$BM$1005,1,MATCH(COLUMNS($AM$1006:BJ1006),$AM$1006:$BM$1006,0))&gt;=100000), " ",IF(INDEX($AM$2:$BM$1001,MATCH(ROWS($AF$2:AF566),$AF$2:$AF$1001,0),MATCH(COLUMNS($AM$1006:BJ1006),$AM$1006:$BM$1006,0)), HYPERLINK("#",""), HYPERLINK(CONCATENATE("#metadata!", ADDRESS(INDEX($AH$2:$AH$1001,MATCH(ROWS($AF$2:AF566),$AF$2:$AF$1001,0),0), INDEX($AM$1004:$BM$1004,1,MATCH(COLUMNS($AM$1006:BJ1006),$AM$1006:$BM$1006,0)))),"Fix")))</f>
        <v xml:space="preserve"> </v>
      </c>
      <c r="Z566" s="4" t="str">
        <f ca="1">IF(OR(INDEX($AG$2:$AG$1001,MATCH(ROWS($AF$2:AF566),$AF$2:$AF$1001,0),1)&gt;=100000,INDEX($AM$1005:$BM$1005,1,MATCH(COLUMNS($AM$1006:BK1006),$AM$1006:$BM$1006,0))&gt;=100000), " ",IF(INDEX($AM$2:$BM$1001,MATCH(ROWS($AF$2:AF566),$AF$2:$AF$1001,0),MATCH(COLUMNS($AM$1006:BK1006),$AM$1006:$BM$1006,0)), HYPERLINK("#",""), HYPERLINK(CONCATENATE("#metadata!", ADDRESS(INDEX($AH$2:$AH$1001,MATCH(ROWS($AF$2:AF566),$AF$2:$AF$1001,0),0), INDEX($AM$1004:$BM$1004,1,MATCH(COLUMNS($AM$1006:BK1006),$AM$1006:$BM$1006,0)))),"Fix")))</f>
        <v xml:space="preserve"> </v>
      </c>
      <c r="AA566" s="4" t="str">
        <f ca="1">IF(OR(INDEX($AG$2:$AG$1001,MATCH(ROWS($AF$2:AF566),$AF$2:$AF$1001,0),1)&gt;=100000,INDEX($AM$1005:$BM$1005,1,MATCH(COLUMNS($AM$1006:BL1006),$AM$1006:$BM$1006,0))&gt;=100000), " ",IF(INDEX($AM$2:$BM$1001,MATCH(ROWS($AF$2:AF566),$AF$2:$AF$1001,0),MATCH(COLUMNS($AM$1006:BL1006),$AM$1006:$BM$1006,0)), HYPERLINK("#",""), HYPERLINK(CONCATENATE("#metadata!", ADDRESS(INDEX($AH$2:$AH$1001,MATCH(ROWS($AF$2:AF566),$AF$2:$AF$1001,0),0), INDEX($AM$1004:$BM$1004,1,MATCH(COLUMNS($AM$1006:BL1006),$AM$1006:$BM$1006,0)))),"Fix")))</f>
        <v xml:space="preserve"> </v>
      </c>
      <c r="AB566" s="4" t="str">
        <f ca="1">IF(OR(INDEX($AG$2:$AG$1001,MATCH(ROWS($AF$2:AF566),$AF$2:$AF$1001,0),1)&gt;=100000,INDEX($AM$1005:$BM$1005,1,MATCH(COLUMNS($AM$1006:BM1006),$AM$1006:$BM$1006,0))&gt;=100000), " ",IF(INDEX($AM$2:$BM$1001,MATCH(ROWS($AF$2:AF566),$AF$2:$AF$1001,0),MATCH(COLUMNS($AM$1006:BM1006),$AM$1006:$BM$1006,0)), HYPERLINK("#",""), HYPERLINK(CONCATENATE("#metadata!", ADDRESS(INDEX($AH$2:$AH$1001,MATCH(ROWS($AF$2:AF566),$AF$2:$AF$1001,0),0), INDEX($AM$1004:$BM$1004,1,MATCH(COLUMNS($AM$1006:BM1006),$AM$1006:$BM$1006,0)))),"Fix")))</f>
        <v xml:space="preserve"> </v>
      </c>
      <c r="AF566">
        <v>565</v>
      </c>
      <c r="AG566">
        <v>100566</v>
      </c>
      <c r="AH566">
        <v>566</v>
      </c>
      <c r="AI566" t="b">
        <f t="shared" si="8"/>
        <v>1</v>
      </c>
      <c r="AJ566" t="b">
        <f>COUNTBLANK(metadata!B566:AB566)=COLUMNS(metadata!B566:AB566)</f>
        <v>1</v>
      </c>
      <c r="AK566" t="str">
        <v/>
      </c>
      <c r="AM566" t="b">
        <f ca="1">AND(IF(metadata!B566="",FALSE,TRUE),COUNTIF(metadata!B:B, metadata!B566) = 1,NOT(ISERROR(SUMPRODUCT(SEARCH(MID(metadata!B566,ROW(INDIRECT("1:"&amp;LEN(metadata!B566))), 1),"0123456789abcdefghijklmnopqrstuvwxyzABCDEFGHIJKLMNOPQRSTUVWXYZ.")))))</f>
        <v>0</v>
      </c>
      <c r="AN566" t="b">
        <f ca="1">OR(AND(IF(metadata!C566="",FALSE,TRUE),OR(EXACT(metadata!C566,"missing: not collected"),EXACT(metadata!C566,"missing: not provided"),EXACT(metadata!C566,"missing: restricted access"))),AND(IF(metadata!C566="",FALSE,TRUE),AND(AND(IFERROR(INT(LEFT(metadata!C566,4))&gt;1900,FALSE),IFERROR(INT(LEFT(metadata!C566,4))&lt;=YEAR(NOW()),FALSE)), OR(MID(metadata!C566,5,1)="", AND(AND(MID(metadata!C566,5,1)="-",IFERROR(INT(MID(metadata!C566,6,1))&gt;=0,FALSE),IFERROR(INT(MID(metadata!C566,6,1))&lt;=1,FALSE),NOT(MID(metadata!C566,7,1)=""),IFERROR(INT(MID(metadata!C566,6,2))&gt;=1,FALSE),IFERROR(INT(MID(metadata!C566,6,2))&lt;=12,FALSE)), OR(MID(metadata!C566,8,1)="", AND(AND(MID(metadata!C566,8,1)="-",IFERROR(INT(MID(metadata!C566,9,1))&gt;=0,FALSE),IFERROR(INT(MID(metadata!C566,9,1))&lt;=3,FALSE),NOT(MID(metadata!C566,10,1)=""),IFERROR(INT(MID(metadata!C566,9,2))&gt;=1,FALSE),IFERROR(INT(MID(metadata!C566,9,2))&lt;=31,FALSE)), OR(MID(metadata!C566,11,1)="", AND(AND(MID(metadata!C566,11,1)=" ",IFERROR(INT(MID(metadata!C566,12,1))&gt;=0,FALSE),IFERROR(INT(MID(metadata!C566,12,1))&lt;=2,FALSE),NOT(MID(metadata!C566,13,1)=""),IFERROR(INT(MID(metadata!C566,12,2))&gt;=0,FALSE),IFERROR(INT(MID(metadata!C566,12,2))&lt;=23,FALSE)), OR(MID(metadata!C566,14,1)="", AND(AND(MID(metadata!C566,14,1)=":",IFERROR(INT(MID(metadata!C566,15,1))&gt;=0,FALSE),IFERROR(INT(MID(metadata!C566,15,1))&lt;=5,FALSE),NOT(MID(metadata!C566,16,1)=""),IFERROR(INT(MID(metadata!C566,15,2))&gt;=0,FALSE),IFERROR(INT(MID(metadata!C566,15,2))&lt;=59,FALSE)), OR(MID(metadata!C566,17,1)="", AND(AND(MID(metadata!C566,17,1)=":",IFERROR(INT(MID(metadata!C566,18,1))&gt;=0,FALSE),IFERROR(INT(MID(metadata!C566,18,1))&lt;=5,FALSE),NOT(MID(metadata!C566,19,1)=""),IFERROR(INT(MID(metadata!C566,18,2))&gt;=0,FALSE),IFERROR(INT(MID(metadata!C566,18,2))&lt;=59,FALSE)), LEN(metadata!C566)&lt;=19)))))))))))))</f>
        <v>0</v>
      </c>
      <c r="AO566" t="b">
        <f>AND(IF(metadata!D566="",FALSE,TRUE),EXACT(metadata!D566,"Not applicable"))</f>
        <v>0</v>
      </c>
      <c r="AP566" t="b">
        <f>IF(metadata!E566="",FALSE,TRUE)</f>
        <v>0</v>
      </c>
      <c r="AQ566" t="b">
        <f>OR(AND(IF(metadata!F566="",FALSE,TRUE),OR(EXACT(metadata!F566,"missing: not collected"),EXACT(metadata!F566,"missing: not provided"))),AND(IF(metadata!F566="",FALSE,TRUE),OR(EXACT(metadata!F566,"TRUE"),EXACT(metadata!F566,"FALSE"))))</f>
        <v>0</v>
      </c>
      <c r="AR566" t="b">
        <f>OR(AND(IF(metadata!G566="",FALSE,TRUE),OR(EXACT(metadata!G566,"missing: not collected"),EXACT(metadata!G566,"missing: not provided"),EXACT(metadata!G566,"missing: restricted access"))),AND(IF(metadata!G566="",FALSE,ISNUMBER(VALUE(metadata!G566))),metadata!G566&gt;=-413))</f>
        <v>0</v>
      </c>
      <c r="AS566" t="b">
        <f>AND(IF(metadata!H566="",FALSE,TRUE),EXACT(metadata!H566,"meters"))</f>
        <v>0</v>
      </c>
      <c r="AT566" t="b">
        <f>AND(IF(metadata!I566="",FALSE,TRUE),OR(EXACT(metadata!I566,"Host-associated"),EXACT(metadata!I566,"Free-living")))</f>
        <v>0</v>
      </c>
      <c r="AU566" t="b">
        <f>AND(IF(metadata!J566="",FALSE,TRUE),OR(EXACT(metadata!J566,"Animal"),EXACT(metadata!J566,"Fungus"),EXACT(metadata!J566,"Plant"),EXACT(metadata!J566,"Saline"),EXACT(metadata!J566,"Non-saline")))</f>
        <v>0</v>
      </c>
      <c r="AV566" t="b">
        <f>AND(IF(metadata!K566="",FALSE,TRUE),OR(EXACT(metadata!K566,"Plant secretion"),EXACT(metadata!K566,"Plant rhizosphere"),EXACT(metadata!K566,"Plant surface"),EXACT(metadata!K566,"Plant corpus"),EXACT(metadata!K566,"Fungus surface"),EXACT(metadata!K566,"Fungus corpus"),EXACT(metadata!K566,"Animal surface"),EXACT(metadata!K566,"Animal proximal gut"),EXACT(metadata!K566,"Animal corpus"),EXACT(metadata!K566,"Animal distal gut"),EXACT(metadata!K566,"Animal secretion"),EXACT(metadata!K566,"Sub-surface (non-saline)"),EXACT(metadata!K566,"Surface (non-saline)"),EXACT(metadata!K566,"Water (non-saline)"),EXACT(metadata!K566,"Soil (non-saline)"),EXACT(metadata!K566,"Aerosol (non-saline)"),EXACT(metadata!K566,"Sediment (non-saline)"),EXACT(metadata!K566,"Surface (saline)"),EXACT(metadata!K566,"Water (saline)"),EXACT(metadata!K566,"Hypersaline (saline)"),EXACT(metadata!K566,"Aerosol (saline)"),EXACT(metadata!K566,"Sediment (saline)")))</f>
        <v>0</v>
      </c>
      <c r="AW566" t="b">
        <f>IF(metadata!L566="",FALSE,TRUE)</f>
        <v>0</v>
      </c>
      <c r="AX566" t="b">
        <f>IF(metadata!M566="",FALSE,TRUE)</f>
        <v>0</v>
      </c>
      <c r="AY566" t="b">
        <f>IF(metadata!N566="",FALSE,TRUE)</f>
        <v>0</v>
      </c>
      <c r="AZ566" t="b">
        <f>OR(AND(IF(metadata!O566="",FALSE,TRUE),OR(EXACT(metadata!O566,"missing: not collected"),EXACT(metadata!O566,"missing: not provided"),EXACT(metadata!O566,"missing: restricted access"))),AND(IF(metadata!O566="",FALSE,TRUE),OR(EXACT(metadata!O566,"air"),EXACT(metadata!O566,"built environment"),EXACT(metadata!O566,"host-associated"),EXACT(metadata!O566,"human-associated"),EXACT(metadata!O566,"human-skin"),EXACT(metadata!O566,"human-oral"),EXACT(metadata!O566,"human-gut"),EXACT(metadata!O566,"human-vaginal"),EXACT(metadata!O566,"microbial mat/biofilm"),EXACT(metadata!O566,"misc environment"),EXACT(metadata!O566,"plant-associated"),EXACT(metadata!O566,"sediment"),EXACT(metadata!O566,"soil"),EXACT(metadata!O566,"wastewater/sludge"),EXACT(metadata!O566,"water"))))</f>
        <v>0</v>
      </c>
      <c r="BA566" t="b">
        <f>IF(metadata!P566="",FALSE,TRUE)</f>
        <v>0</v>
      </c>
      <c r="BB566" t="b">
        <f>IF(metadata!Q566="",FALSE,TRUE)</f>
        <v>0</v>
      </c>
      <c r="BC566" t="b">
        <f>OR(AND(IF(metadata!R566="",FALSE,TRUE),OR(EXACT(metadata!R566,"missing: not collected"),EXACT(metadata!R566,"missing: not provided"),EXACT(metadata!R566,"missing: restricted access"))),AND(IF(metadata!R566="",FALSE,ISNUMBER(VALUE(metadata!R566))),metadata!R566&gt;=-90,metadata!R566&lt;=90))</f>
        <v>0</v>
      </c>
      <c r="BD566" t="b">
        <f>AND(IF(metadata!S566="",FALSE,TRUE),EXACT(metadata!S566,"Decimal degrees"))</f>
        <v>0</v>
      </c>
      <c r="BE566" t="b">
        <f>OR(AND(IF(metadata!T566="",FALSE,TRUE),OR(EXACT(metadata!T566,"missing: not collected"),EXACT(metadata!T566,"missing: not provided"),EXACT(metadata!T566,"missing: restricted access"))),AND(IF(metadata!T566="",FALSE,ISNUMBER(VALUE(metadata!T566))),metadata!T566&gt;=-180,metadata!T566&lt;=180))</f>
        <v>0</v>
      </c>
      <c r="BF566" t="b">
        <f>AND(IF(metadata!U566="",FALSE,TRUE),EXACT(metadata!U566,"Decimal degrees"))</f>
        <v>0</v>
      </c>
      <c r="BG566" t="b">
        <f>IF(metadata!V566="",FALSE,TRUE)</f>
        <v>0</v>
      </c>
      <c r="BH566" t="b">
        <f>OR(AND(IF(metadata!W566="",FALSE,TRUE),OR(EXACT(metadata!W566,"missing: not collected"),EXACT(metadata!W566,"missing: not provided"),EXACT(metadata!W566,"missing: restricted access"))),AND(IF(metadata!W566="",FALSE,TRUE),OR(EXACT(metadata!W566,"TRUE"),EXACT(metadata!W566,"FALSE"))))</f>
        <v>0</v>
      </c>
      <c r="BI566" t="b">
        <f>AND(IF(metadata!X566="",FALSE,TRUE),EXACT(metadata!X566,"other"))</f>
        <v>0</v>
      </c>
      <c r="BJ566" t="b">
        <f>IF(metadata!Y566="",FALSE,TRUE)</f>
        <v>0</v>
      </c>
      <c r="BK566" t="b">
        <f>OR(AND(IF(metadata!Z566="",FALSE,TRUE),OR(EXACT(metadata!Z566,"missing: not collected"),EXACT(metadata!Z566,"missing: not provided"))),AND(IF(metadata!Z566="",FALSE,IF(ISERROR(INT(metadata!Z566)),FALSE,INT(metadata!Z566)=metadata!Z566)),metadata!Z566&gt;0))</f>
        <v>0</v>
      </c>
      <c r="BL566" t="b">
        <f>AND(IF(metadata!AA566="",FALSE,TRUE),EXACT(metadata!AA566,"Not applicable"))</f>
        <v>0</v>
      </c>
      <c r="BM566" t="b">
        <f>IF(metadata!AB566="",FALSE,TRUE)</f>
        <v>0</v>
      </c>
    </row>
    <row r="567" spans="1:65" x14ac:dyDescent="0.2">
      <c r="A567" s="5" t="str">
        <f ca="1">IF(B567=" "," ",HYPERLINK(CONCATENATE("#metadata!",ADDRESS(INDEX($AH$2:$AH$1001,MATCH(ROWS($AF$2:AF567),$AF$2:$AF$1001,0),0),1)),INDEX($AK$2:$AK$1001,MATCH(ROWS($AF$2:AF567),$AF$2:$AF$1001,0),0)))</f>
        <v xml:space="preserve"> </v>
      </c>
      <c r="B567" s="4" t="str">
        <f ca="1">IF(OR(INDEX($AG$2:$AG$1001,MATCH(ROWS($AF$2:AF567),$AF$2:$AF$1001,0),1)&gt;=100000,INDEX($AM$1005:$BM$1005,1,MATCH(COLUMNS($AM$1006:AM1006),$AM$1006:$BM$1006,0))&gt;=100000), " ",IF(INDEX($AM$2:$BM$1001,MATCH(ROWS($AF$2:AF567),$AF$2:$AF$1001,0),MATCH(COLUMNS($AM$1006:AM1006),$AM$1006:$BM$1006,0)), HYPERLINK("#",""), HYPERLINK(CONCATENATE("#metadata!", ADDRESS(INDEX($AH$2:$AH$1001,MATCH(ROWS($AF$2:AF567),$AF$2:$AF$1001,0),0), INDEX($AM$1004:$BM$1004,1,MATCH(COLUMNS($AM$1006:AM1006),$AM$1006:$BM$1006,0)))),"Fix")))</f>
        <v xml:space="preserve"> </v>
      </c>
      <c r="C567" s="4" t="str">
        <f ca="1">IF(OR(INDEX($AG$2:$AG$1001,MATCH(ROWS($AF$2:AF567),$AF$2:$AF$1001,0),1)&gt;=100000,INDEX($AM$1005:$BM$1005,1,MATCH(COLUMNS($AM$1006:AN1006),$AM$1006:$BM$1006,0))&gt;=100000), " ",IF(INDEX($AM$2:$BM$1001,MATCH(ROWS($AF$2:AF567),$AF$2:$AF$1001,0),MATCH(COLUMNS($AM$1006:AN1006),$AM$1006:$BM$1006,0)), HYPERLINK("#",""), HYPERLINK(CONCATENATE("#metadata!", ADDRESS(INDEX($AH$2:$AH$1001,MATCH(ROWS($AF$2:AF567),$AF$2:$AF$1001,0),0), INDEX($AM$1004:$BM$1004,1,MATCH(COLUMNS($AM$1006:AN1006),$AM$1006:$BM$1006,0)))),"Fix")))</f>
        <v xml:space="preserve"> </v>
      </c>
      <c r="D567" s="4" t="str">
        <f ca="1">IF(OR(INDEX($AG$2:$AG$1001,MATCH(ROWS($AF$2:AF567),$AF$2:$AF$1001,0),1)&gt;=100000,INDEX($AM$1005:$BM$1005,1,MATCH(COLUMNS($AM$1006:AO1006),$AM$1006:$BM$1006,0))&gt;=100000), " ",IF(INDEX($AM$2:$BM$1001,MATCH(ROWS($AF$2:AF567),$AF$2:$AF$1001,0),MATCH(COLUMNS($AM$1006:AO1006),$AM$1006:$BM$1006,0)), HYPERLINK("#",""), HYPERLINK(CONCATENATE("#metadata!", ADDRESS(INDEX($AH$2:$AH$1001,MATCH(ROWS($AF$2:AF567),$AF$2:$AF$1001,0),0), INDEX($AM$1004:$BM$1004,1,MATCH(COLUMNS($AM$1006:AO1006),$AM$1006:$BM$1006,0)))),"Fix")))</f>
        <v xml:space="preserve"> </v>
      </c>
      <c r="E567" s="4" t="str">
        <f ca="1">IF(OR(INDEX($AG$2:$AG$1001,MATCH(ROWS($AF$2:AF567),$AF$2:$AF$1001,0),1)&gt;=100000,INDEX($AM$1005:$BM$1005,1,MATCH(COLUMNS($AM$1006:AP1006),$AM$1006:$BM$1006,0))&gt;=100000), " ",IF(INDEX($AM$2:$BM$1001,MATCH(ROWS($AF$2:AF567),$AF$2:$AF$1001,0),MATCH(COLUMNS($AM$1006:AP1006),$AM$1006:$BM$1006,0)), HYPERLINK("#",""), HYPERLINK(CONCATENATE("#metadata!", ADDRESS(INDEX($AH$2:$AH$1001,MATCH(ROWS($AF$2:AF567),$AF$2:$AF$1001,0),0), INDEX($AM$1004:$BM$1004,1,MATCH(COLUMNS($AM$1006:AP1006),$AM$1006:$BM$1006,0)))),"Fix")))</f>
        <v xml:space="preserve"> </v>
      </c>
      <c r="F567" s="4" t="str">
        <f ca="1">IF(OR(INDEX($AG$2:$AG$1001,MATCH(ROWS($AF$2:AF567),$AF$2:$AF$1001,0),1)&gt;=100000,INDEX($AM$1005:$BM$1005,1,MATCH(COLUMNS($AM$1006:AQ1006),$AM$1006:$BM$1006,0))&gt;=100000), " ",IF(INDEX($AM$2:$BM$1001,MATCH(ROWS($AF$2:AF567),$AF$2:$AF$1001,0),MATCH(COLUMNS($AM$1006:AQ1006),$AM$1006:$BM$1006,0)), HYPERLINK("#",""), HYPERLINK(CONCATENATE("#metadata!", ADDRESS(INDEX($AH$2:$AH$1001,MATCH(ROWS($AF$2:AF567),$AF$2:$AF$1001,0),0), INDEX($AM$1004:$BM$1004,1,MATCH(COLUMNS($AM$1006:AQ1006),$AM$1006:$BM$1006,0)))),"Fix")))</f>
        <v xml:space="preserve"> </v>
      </c>
      <c r="G567" s="4" t="str">
        <f ca="1">IF(OR(INDEX($AG$2:$AG$1001,MATCH(ROWS($AF$2:AF567),$AF$2:$AF$1001,0),1)&gt;=100000,INDEX($AM$1005:$BM$1005,1,MATCH(COLUMNS($AM$1006:AR1006),$AM$1006:$BM$1006,0))&gt;=100000), " ",IF(INDEX($AM$2:$BM$1001,MATCH(ROWS($AF$2:AF567),$AF$2:$AF$1001,0),MATCH(COLUMNS($AM$1006:AR1006),$AM$1006:$BM$1006,0)), HYPERLINK("#",""), HYPERLINK(CONCATENATE("#metadata!", ADDRESS(INDEX($AH$2:$AH$1001,MATCH(ROWS($AF$2:AF567),$AF$2:$AF$1001,0),0), INDEX($AM$1004:$BM$1004,1,MATCH(COLUMNS($AM$1006:AR1006),$AM$1006:$BM$1006,0)))),"Fix")))</f>
        <v xml:space="preserve"> </v>
      </c>
      <c r="H567" s="4" t="str">
        <f ca="1">IF(OR(INDEX($AG$2:$AG$1001,MATCH(ROWS($AF$2:AF567),$AF$2:$AF$1001,0),1)&gt;=100000,INDEX($AM$1005:$BM$1005,1,MATCH(COLUMNS($AM$1006:AS1006),$AM$1006:$BM$1006,0))&gt;=100000), " ",IF(INDEX($AM$2:$BM$1001,MATCH(ROWS($AF$2:AF567),$AF$2:$AF$1001,0),MATCH(COLUMNS($AM$1006:AS1006),$AM$1006:$BM$1006,0)), HYPERLINK("#",""), HYPERLINK(CONCATENATE("#metadata!", ADDRESS(INDEX($AH$2:$AH$1001,MATCH(ROWS($AF$2:AF567),$AF$2:$AF$1001,0),0), INDEX($AM$1004:$BM$1004,1,MATCH(COLUMNS($AM$1006:AS1006),$AM$1006:$BM$1006,0)))),"Fix")))</f>
        <v xml:space="preserve"> </v>
      </c>
      <c r="I567" s="4" t="str">
        <f ca="1">IF(OR(INDEX($AG$2:$AG$1001,MATCH(ROWS($AF$2:AF567),$AF$2:$AF$1001,0),1)&gt;=100000,INDEX($AM$1005:$BM$1005,1,MATCH(COLUMNS($AM$1006:AT1006),$AM$1006:$BM$1006,0))&gt;=100000), " ",IF(INDEX($AM$2:$BM$1001,MATCH(ROWS($AF$2:AF567),$AF$2:$AF$1001,0),MATCH(COLUMNS($AM$1006:AT1006),$AM$1006:$BM$1006,0)), HYPERLINK("#",""), HYPERLINK(CONCATENATE("#metadata!", ADDRESS(INDEX($AH$2:$AH$1001,MATCH(ROWS($AF$2:AF567),$AF$2:$AF$1001,0),0), INDEX($AM$1004:$BM$1004,1,MATCH(COLUMNS($AM$1006:AT1006),$AM$1006:$BM$1006,0)))),"Fix")))</f>
        <v xml:space="preserve"> </v>
      </c>
      <c r="J567" s="4" t="str">
        <f ca="1">IF(OR(INDEX($AG$2:$AG$1001,MATCH(ROWS($AF$2:AF567),$AF$2:$AF$1001,0),1)&gt;=100000,INDEX($AM$1005:$BM$1005,1,MATCH(COLUMNS($AM$1006:AU1006),$AM$1006:$BM$1006,0))&gt;=100000), " ",IF(INDEX($AM$2:$BM$1001,MATCH(ROWS($AF$2:AF567),$AF$2:$AF$1001,0),MATCH(COLUMNS($AM$1006:AU1006),$AM$1006:$BM$1006,0)), HYPERLINK("#",""), HYPERLINK(CONCATENATE("#metadata!", ADDRESS(INDEX($AH$2:$AH$1001,MATCH(ROWS($AF$2:AF567),$AF$2:$AF$1001,0),0), INDEX($AM$1004:$BM$1004,1,MATCH(COLUMNS($AM$1006:AU1006),$AM$1006:$BM$1006,0)))),"Fix")))</f>
        <v xml:space="preserve"> </v>
      </c>
      <c r="K567" s="4" t="str">
        <f ca="1">IF(OR(INDEX($AG$2:$AG$1001,MATCH(ROWS($AF$2:AF567),$AF$2:$AF$1001,0),1)&gt;=100000,INDEX($AM$1005:$BM$1005,1,MATCH(COLUMNS($AM$1006:AV1006),$AM$1006:$BM$1006,0))&gt;=100000), " ",IF(INDEX($AM$2:$BM$1001,MATCH(ROWS($AF$2:AF567),$AF$2:$AF$1001,0),MATCH(COLUMNS($AM$1006:AV1006),$AM$1006:$BM$1006,0)), HYPERLINK("#",""), HYPERLINK(CONCATENATE("#metadata!", ADDRESS(INDEX($AH$2:$AH$1001,MATCH(ROWS($AF$2:AF567),$AF$2:$AF$1001,0),0), INDEX($AM$1004:$BM$1004,1,MATCH(COLUMNS($AM$1006:AV1006),$AM$1006:$BM$1006,0)))),"Fix")))</f>
        <v xml:space="preserve"> </v>
      </c>
      <c r="L567" s="4" t="str">
        <f ca="1">IF(OR(INDEX($AG$2:$AG$1001,MATCH(ROWS($AF$2:AF567),$AF$2:$AF$1001,0),1)&gt;=100000,INDEX($AM$1005:$BM$1005,1,MATCH(COLUMNS($AM$1006:AW1006),$AM$1006:$BM$1006,0))&gt;=100000), " ",IF(INDEX($AM$2:$BM$1001,MATCH(ROWS($AF$2:AF567),$AF$2:$AF$1001,0),MATCH(COLUMNS($AM$1006:AW1006),$AM$1006:$BM$1006,0)), HYPERLINK("#",""), HYPERLINK(CONCATENATE("#metadata!", ADDRESS(INDEX($AH$2:$AH$1001,MATCH(ROWS($AF$2:AF567),$AF$2:$AF$1001,0),0), INDEX($AM$1004:$BM$1004,1,MATCH(COLUMNS($AM$1006:AW1006),$AM$1006:$BM$1006,0)))),"Fix")))</f>
        <v xml:space="preserve"> </v>
      </c>
      <c r="M567" s="4" t="str">
        <f ca="1">IF(OR(INDEX($AG$2:$AG$1001,MATCH(ROWS($AF$2:AF567),$AF$2:$AF$1001,0),1)&gt;=100000,INDEX($AM$1005:$BM$1005,1,MATCH(COLUMNS($AM$1006:AX1006),$AM$1006:$BM$1006,0))&gt;=100000), " ",IF(INDEX($AM$2:$BM$1001,MATCH(ROWS($AF$2:AF567),$AF$2:$AF$1001,0),MATCH(COLUMNS($AM$1006:AX1006),$AM$1006:$BM$1006,0)), HYPERLINK("#",""), HYPERLINK(CONCATENATE("#metadata!", ADDRESS(INDEX($AH$2:$AH$1001,MATCH(ROWS($AF$2:AF567),$AF$2:$AF$1001,0),0), INDEX($AM$1004:$BM$1004,1,MATCH(COLUMNS($AM$1006:AX1006),$AM$1006:$BM$1006,0)))),"Fix")))</f>
        <v xml:space="preserve"> </v>
      </c>
      <c r="N567" s="4" t="str">
        <f ca="1">IF(OR(INDEX($AG$2:$AG$1001,MATCH(ROWS($AF$2:AF567),$AF$2:$AF$1001,0),1)&gt;=100000,INDEX($AM$1005:$BM$1005,1,MATCH(COLUMNS($AM$1006:AY1006),$AM$1006:$BM$1006,0))&gt;=100000), " ",IF(INDEX($AM$2:$BM$1001,MATCH(ROWS($AF$2:AF567),$AF$2:$AF$1001,0),MATCH(COLUMNS($AM$1006:AY1006),$AM$1006:$BM$1006,0)), HYPERLINK("#",""), HYPERLINK(CONCATENATE("#metadata!", ADDRESS(INDEX($AH$2:$AH$1001,MATCH(ROWS($AF$2:AF567),$AF$2:$AF$1001,0),0), INDEX($AM$1004:$BM$1004,1,MATCH(COLUMNS($AM$1006:AY1006),$AM$1006:$BM$1006,0)))),"Fix")))</f>
        <v xml:space="preserve"> </v>
      </c>
      <c r="O567" s="4" t="str">
        <f ca="1">IF(OR(INDEX($AG$2:$AG$1001,MATCH(ROWS($AF$2:AF567),$AF$2:$AF$1001,0),1)&gt;=100000,INDEX($AM$1005:$BM$1005,1,MATCH(COLUMNS($AM$1006:AZ1006),$AM$1006:$BM$1006,0))&gt;=100000), " ",IF(INDEX($AM$2:$BM$1001,MATCH(ROWS($AF$2:AF567),$AF$2:$AF$1001,0),MATCH(COLUMNS($AM$1006:AZ1006),$AM$1006:$BM$1006,0)), HYPERLINK("#",""), HYPERLINK(CONCATENATE("#metadata!", ADDRESS(INDEX($AH$2:$AH$1001,MATCH(ROWS($AF$2:AF567),$AF$2:$AF$1001,0),0), INDEX($AM$1004:$BM$1004,1,MATCH(COLUMNS($AM$1006:AZ1006),$AM$1006:$BM$1006,0)))),"Fix")))</f>
        <v xml:space="preserve"> </v>
      </c>
      <c r="P567" s="4" t="str">
        <f ca="1">IF(OR(INDEX($AG$2:$AG$1001,MATCH(ROWS($AF$2:AF567),$AF$2:$AF$1001,0),1)&gt;=100000,INDEX($AM$1005:$BM$1005,1,MATCH(COLUMNS($AM$1006:BA1006),$AM$1006:$BM$1006,0))&gt;=100000), " ",IF(INDEX($AM$2:$BM$1001,MATCH(ROWS($AF$2:AF567),$AF$2:$AF$1001,0),MATCH(COLUMNS($AM$1006:BA1006),$AM$1006:$BM$1006,0)), HYPERLINK("#",""), HYPERLINK(CONCATENATE("#metadata!", ADDRESS(INDEX($AH$2:$AH$1001,MATCH(ROWS($AF$2:AF567),$AF$2:$AF$1001,0),0), INDEX($AM$1004:$BM$1004,1,MATCH(COLUMNS($AM$1006:BA1006),$AM$1006:$BM$1006,0)))),"Fix")))</f>
        <v xml:space="preserve"> </v>
      </c>
      <c r="Q567" s="4" t="str">
        <f ca="1">IF(OR(INDEX($AG$2:$AG$1001,MATCH(ROWS($AF$2:AF567),$AF$2:$AF$1001,0),1)&gt;=100000,INDEX($AM$1005:$BM$1005,1,MATCH(COLUMNS($AM$1006:BB1006),$AM$1006:$BM$1006,0))&gt;=100000), " ",IF(INDEX($AM$2:$BM$1001,MATCH(ROWS($AF$2:AF567),$AF$2:$AF$1001,0),MATCH(COLUMNS($AM$1006:BB1006),$AM$1006:$BM$1006,0)), HYPERLINK("#",""), HYPERLINK(CONCATENATE("#metadata!", ADDRESS(INDEX($AH$2:$AH$1001,MATCH(ROWS($AF$2:AF567),$AF$2:$AF$1001,0),0), INDEX($AM$1004:$BM$1004,1,MATCH(COLUMNS($AM$1006:BB1006),$AM$1006:$BM$1006,0)))),"Fix")))</f>
        <v xml:space="preserve"> </v>
      </c>
      <c r="R567" s="4" t="str">
        <f ca="1">IF(OR(INDEX($AG$2:$AG$1001,MATCH(ROWS($AF$2:AF567),$AF$2:$AF$1001,0),1)&gt;=100000,INDEX($AM$1005:$BM$1005,1,MATCH(COLUMNS($AM$1006:BC1006),$AM$1006:$BM$1006,0))&gt;=100000), " ",IF(INDEX($AM$2:$BM$1001,MATCH(ROWS($AF$2:AF567),$AF$2:$AF$1001,0),MATCH(COLUMNS($AM$1006:BC1006),$AM$1006:$BM$1006,0)), HYPERLINK("#",""), HYPERLINK(CONCATENATE("#metadata!", ADDRESS(INDEX($AH$2:$AH$1001,MATCH(ROWS($AF$2:AF567),$AF$2:$AF$1001,0),0), INDEX($AM$1004:$BM$1004,1,MATCH(COLUMNS($AM$1006:BC1006),$AM$1006:$BM$1006,0)))),"Fix")))</f>
        <v xml:space="preserve"> </v>
      </c>
      <c r="S567" s="4" t="str">
        <f ca="1">IF(OR(INDEX($AG$2:$AG$1001,MATCH(ROWS($AF$2:AF567),$AF$2:$AF$1001,0),1)&gt;=100000,INDEX($AM$1005:$BM$1005,1,MATCH(COLUMNS($AM$1006:BD1006),$AM$1006:$BM$1006,0))&gt;=100000), " ",IF(INDEX($AM$2:$BM$1001,MATCH(ROWS($AF$2:AF567),$AF$2:$AF$1001,0),MATCH(COLUMNS($AM$1006:BD1006),$AM$1006:$BM$1006,0)), HYPERLINK("#",""), HYPERLINK(CONCATENATE("#metadata!", ADDRESS(INDEX($AH$2:$AH$1001,MATCH(ROWS($AF$2:AF567),$AF$2:$AF$1001,0),0), INDEX($AM$1004:$BM$1004,1,MATCH(COLUMNS($AM$1006:BD1006),$AM$1006:$BM$1006,0)))),"Fix")))</f>
        <v xml:space="preserve"> </v>
      </c>
      <c r="T567" s="4" t="str">
        <f ca="1">IF(OR(INDEX($AG$2:$AG$1001,MATCH(ROWS($AF$2:AF567),$AF$2:$AF$1001,0),1)&gt;=100000,INDEX($AM$1005:$BM$1005,1,MATCH(COLUMNS($AM$1006:BE1006),$AM$1006:$BM$1006,0))&gt;=100000), " ",IF(INDEX($AM$2:$BM$1001,MATCH(ROWS($AF$2:AF567),$AF$2:$AF$1001,0),MATCH(COLUMNS($AM$1006:BE1006),$AM$1006:$BM$1006,0)), HYPERLINK("#",""), HYPERLINK(CONCATENATE("#metadata!", ADDRESS(INDEX($AH$2:$AH$1001,MATCH(ROWS($AF$2:AF567),$AF$2:$AF$1001,0),0), INDEX($AM$1004:$BM$1004,1,MATCH(COLUMNS($AM$1006:BE1006),$AM$1006:$BM$1006,0)))),"Fix")))</f>
        <v xml:space="preserve"> </v>
      </c>
      <c r="U567" s="4" t="str">
        <f ca="1">IF(OR(INDEX($AG$2:$AG$1001,MATCH(ROWS($AF$2:AF567),$AF$2:$AF$1001,0),1)&gt;=100000,INDEX($AM$1005:$BM$1005,1,MATCH(COLUMNS($AM$1006:BF1006),$AM$1006:$BM$1006,0))&gt;=100000), " ",IF(INDEX($AM$2:$BM$1001,MATCH(ROWS($AF$2:AF567),$AF$2:$AF$1001,0),MATCH(COLUMNS($AM$1006:BF1006),$AM$1006:$BM$1006,0)), HYPERLINK("#",""), HYPERLINK(CONCATENATE("#metadata!", ADDRESS(INDEX($AH$2:$AH$1001,MATCH(ROWS($AF$2:AF567),$AF$2:$AF$1001,0),0), INDEX($AM$1004:$BM$1004,1,MATCH(COLUMNS($AM$1006:BF1006),$AM$1006:$BM$1006,0)))),"Fix")))</f>
        <v xml:space="preserve"> </v>
      </c>
      <c r="V567" s="4" t="str">
        <f ca="1">IF(OR(INDEX($AG$2:$AG$1001,MATCH(ROWS($AF$2:AF567),$AF$2:$AF$1001,0),1)&gt;=100000,INDEX($AM$1005:$BM$1005,1,MATCH(COLUMNS($AM$1006:BG1006),$AM$1006:$BM$1006,0))&gt;=100000), " ",IF(INDEX($AM$2:$BM$1001,MATCH(ROWS($AF$2:AF567),$AF$2:$AF$1001,0),MATCH(COLUMNS($AM$1006:BG1006),$AM$1006:$BM$1006,0)), HYPERLINK("#",""), HYPERLINK(CONCATENATE("#metadata!", ADDRESS(INDEX($AH$2:$AH$1001,MATCH(ROWS($AF$2:AF567),$AF$2:$AF$1001,0),0), INDEX($AM$1004:$BM$1004,1,MATCH(COLUMNS($AM$1006:BG1006),$AM$1006:$BM$1006,0)))),"Fix")))</f>
        <v xml:space="preserve"> </v>
      </c>
      <c r="W567" s="4" t="str">
        <f ca="1">IF(OR(INDEX($AG$2:$AG$1001,MATCH(ROWS($AF$2:AF567),$AF$2:$AF$1001,0),1)&gt;=100000,INDEX($AM$1005:$BM$1005,1,MATCH(COLUMNS($AM$1006:BH1006),$AM$1006:$BM$1006,0))&gt;=100000), " ",IF(INDEX($AM$2:$BM$1001,MATCH(ROWS($AF$2:AF567),$AF$2:$AF$1001,0),MATCH(COLUMNS($AM$1006:BH1006),$AM$1006:$BM$1006,0)), HYPERLINK("#",""), HYPERLINK(CONCATENATE("#metadata!", ADDRESS(INDEX($AH$2:$AH$1001,MATCH(ROWS($AF$2:AF567),$AF$2:$AF$1001,0),0), INDEX($AM$1004:$BM$1004,1,MATCH(COLUMNS($AM$1006:BH1006),$AM$1006:$BM$1006,0)))),"Fix")))</f>
        <v xml:space="preserve"> </v>
      </c>
      <c r="X567" s="4" t="str">
        <f ca="1">IF(OR(INDEX($AG$2:$AG$1001,MATCH(ROWS($AF$2:AF567),$AF$2:$AF$1001,0),1)&gt;=100000,INDEX($AM$1005:$BM$1005,1,MATCH(COLUMNS($AM$1006:BI1006),$AM$1006:$BM$1006,0))&gt;=100000), " ",IF(INDEX($AM$2:$BM$1001,MATCH(ROWS($AF$2:AF567),$AF$2:$AF$1001,0),MATCH(COLUMNS($AM$1006:BI1006),$AM$1006:$BM$1006,0)), HYPERLINK("#",""), HYPERLINK(CONCATENATE("#metadata!", ADDRESS(INDEX($AH$2:$AH$1001,MATCH(ROWS($AF$2:AF567),$AF$2:$AF$1001,0),0), INDEX($AM$1004:$BM$1004,1,MATCH(COLUMNS($AM$1006:BI1006),$AM$1006:$BM$1006,0)))),"Fix")))</f>
        <v xml:space="preserve"> </v>
      </c>
      <c r="Y567" s="4" t="str">
        <f ca="1">IF(OR(INDEX($AG$2:$AG$1001,MATCH(ROWS($AF$2:AF567),$AF$2:$AF$1001,0),1)&gt;=100000,INDEX($AM$1005:$BM$1005,1,MATCH(COLUMNS($AM$1006:BJ1006),$AM$1006:$BM$1006,0))&gt;=100000), " ",IF(INDEX($AM$2:$BM$1001,MATCH(ROWS($AF$2:AF567),$AF$2:$AF$1001,0),MATCH(COLUMNS($AM$1006:BJ1006),$AM$1006:$BM$1006,0)), HYPERLINK("#",""), HYPERLINK(CONCATENATE("#metadata!", ADDRESS(INDEX($AH$2:$AH$1001,MATCH(ROWS($AF$2:AF567),$AF$2:$AF$1001,0),0), INDEX($AM$1004:$BM$1004,1,MATCH(COLUMNS($AM$1006:BJ1006),$AM$1006:$BM$1006,0)))),"Fix")))</f>
        <v xml:space="preserve"> </v>
      </c>
      <c r="Z567" s="4" t="str">
        <f ca="1">IF(OR(INDEX($AG$2:$AG$1001,MATCH(ROWS($AF$2:AF567),$AF$2:$AF$1001,0),1)&gt;=100000,INDEX($AM$1005:$BM$1005,1,MATCH(COLUMNS($AM$1006:BK1006),$AM$1006:$BM$1006,0))&gt;=100000), " ",IF(INDEX($AM$2:$BM$1001,MATCH(ROWS($AF$2:AF567),$AF$2:$AF$1001,0),MATCH(COLUMNS($AM$1006:BK1006),$AM$1006:$BM$1006,0)), HYPERLINK("#",""), HYPERLINK(CONCATENATE("#metadata!", ADDRESS(INDEX($AH$2:$AH$1001,MATCH(ROWS($AF$2:AF567),$AF$2:$AF$1001,0),0), INDEX($AM$1004:$BM$1004,1,MATCH(COLUMNS($AM$1006:BK1006),$AM$1006:$BM$1006,0)))),"Fix")))</f>
        <v xml:space="preserve"> </v>
      </c>
      <c r="AA567" s="4" t="str">
        <f ca="1">IF(OR(INDEX($AG$2:$AG$1001,MATCH(ROWS($AF$2:AF567),$AF$2:$AF$1001,0),1)&gt;=100000,INDEX($AM$1005:$BM$1005,1,MATCH(COLUMNS($AM$1006:BL1006),$AM$1006:$BM$1006,0))&gt;=100000), " ",IF(INDEX($AM$2:$BM$1001,MATCH(ROWS($AF$2:AF567),$AF$2:$AF$1001,0),MATCH(COLUMNS($AM$1006:BL1006),$AM$1006:$BM$1006,0)), HYPERLINK("#",""), HYPERLINK(CONCATENATE("#metadata!", ADDRESS(INDEX($AH$2:$AH$1001,MATCH(ROWS($AF$2:AF567),$AF$2:$AF$1001,0),0), INDEX($AM$1004:$BM$1004,1,MATCH(COLUMNS($AM$1006:BL1006),$AM$1006:$BM$1006,0)))),"Fix")))</f>
        <v xml:space="preserve"> </v>
      </c>
      <c r="AB567" s="4" t="str">
        <f ca="1">IF(OR(INDEX($AG$2:$AG$1001,MATCH(ROWS($AF$2:AF567),$AF$2:$AF$1001,0),1)&gt;=100000,INDEX($AM$1005:$BM$1005,1,MATCH(COLUMNS($AM$1006:BM1006),$AM$1006:$BM$1006,0))&gt;=100000), " ",IF(INDEX($AM$2:$BM$1001,MATCH(ROWS($AF$2:AF567),$AF$2:$AF$1001,0),MATCH(COLUMNS($AM$1006:BM1006),$AM$1006:$BM$1006,0)), HYPERLINK("#",""), HYPERLINK(CONCATENATE("#metadata!", ADDRESS(INDEX($AH$2:$AH$1001,MATCH(ROWS($AF$2:AF567),$AF$2:$AF$1001,0),0), INDEX($AM$1004:$BM$1004,1,MATCH(COLUMNS($AM$1006:BM1006),$AM$1006:$BM$1006,0)))),"Fix")))</f>
        <v xml:space="preserve"> </v>
      </c>
      <c r="AF567">
        <v>566</v>
      </c>
      <c r="AG567">
        <v>100567</v>
      </c>
      <c r="AH567">
        <v>567</v>
      </c>
      <c r="AI567" t="b">
        <f t="shared" si="8"/>
        <v>1</v>
      </c>
      <c r="AJ567" t="b">
        <f>COUNTBLANK(metadata!B567:AB567)=COLUMNS(metadata!B567:AB567)</f>
        <v>1</v>
      </c>
      <c r="AK567" t="str">
        <v/>
      </c>
      <c r="AM567" t="b">
        <f ca="1">AND(IF(metadata!B567="",FALSE,TRUE),COUNTIF(metadata!B:B, metadata!B567) = 1,NOT(ISERROR(SUMPRODUCT(SEARCH(MID(metadata!B567,ROW(INDIRECT("1:"&amp;LEN(metadata!B567))), 1),"0123456789abcdefghijklmnopqrstuvwxyzABCDEFGHIJKLMNOPQRSTUVWXYZ.")))))</f>
        <v>0</v>
      </c>
      <c r="AN567" t="b">
        <f ca="1">OR(AND(IF(metadata!C567="",FALSE,TRUE),OR(EXACT(metadata!C567,"missing: not collected"),EXACT(metadata!C567,"missing: not provided"),EXACT(metadata!C567,"missing: restricted access"))),AND(IF(metadata!C567="",FALSE,TRUE),AND(AND(IFERROR(INT(LEFT(metadata!C567,4))&gt;1900,FALSE),IFERROR(INT(LEFT(metadata!C567,4))&lt;=YEAR(NOW()),FALSE)), OR(MID(metadata!C567,5,1)="", AND(AND(MID(metadata!C567,5,1)="-",IFERROR(INT(MID(metadata!C567,6,1))&gt;=0,FALSE),IFERROR(INT(MID(metadata!C567,6,1))&lt;=1,FALSE),NOT(MID(metadata!C567,7,1)=""),IFERROR(INT(MID(metadata!C567,6,2))&gt;=1,FALSE),IFERROR(INT(MID(metadata!C567,6,2))&lt;=12,FALSE)), OR(MID(metadata!C567,8,1)="", AND(AND(MID(metadata!C567,8,1)="-",IFERROR(INT(MID(metadata!C567,9,1))&gt;=0,FALSE),IFERROR(INT(MID(metadata!C567,9,1))&lt;=3,FALSE),NOT(MID(metadata!C567,10,1)=""),IFERROR(INT(MID(metadata!C567,9,2))&gt;=1,FALSE),IFERROR(INT(MID(metadata!C567,9,2))&lt;=31,FALSE)), OR(MID(metadata!C567,11,1)="", AND(AND(MID(metadata!C567,11,1)=" ",IFERROR(INT(MID(metadata!C567,12,1))&gt;=0,FALSE),IFERROR(INT(MID(metadata!C567,12,1))&lt;=2,FALSE),NOT(MID(metadata!C567,13,1)=""),IFERROR(INT(MID(metadata!C567,12,2))&gt;=0,FALSE),IFERROR(INT(MID(metadata!C567,12,2))&lt;=23,FALSE)), OR(MID(metadata!C567,14,1)="", AND(AND(MID(metadata!C567,14,1)=":",IFERROR(INT(MID(metadata!C567,15,1))&gt;=0,FALSE),IFERROR(INT(MID(metadata!C567,15,1))&lt;=5,FALSE),NOT(MID(metadata!C567,16,1)=""),IFERROR(INT(MID(metadata!C567,15,2))&gt;=0,FALSE),IFERROR(INT(MID(metadata!C567,15,2))&lt;=59,FALSE)), OR(MID(metadata!C567,17,1)="", AND(AND(MID(metadata!C567,17,1)=":",IFERROR(INT(MID(metadata!C567,18,1))&gt;=0,FALSE),IFERROR(INT(MID(metadata!C567,18,1))&lt;=5,FALSE),NOT(MID(metadata!C567,19,1)=""),IFERROR(INT(MID(metadata!C567,18,2))&gt;=0,FALSE),IFERROR(INT(MID(metadata!C567,18,2))&lt;=59,FALSE)), LEN(metadata!C567)&lt;=19)))))))))))))</f>
        <v>0</v>
      </c>
      <c r="AO567" t="b">
        <f>AND(IF(metadata!D567="",FALSE,TRUE),EXACT(metadata!D567,"Not applicable"))</f>
        <v>0</v>
      </c>
      <c r="AP567" t="b">
        <f>IF(metadata!E567="",FALSE,TRUE)</f>
        <v>0</v>
      </c>
      <c r="AQ567" t="b">
        <f>OR(AND(IF(metadata!F567="",FALSE,TRUE),OR(EXACT(metadata!F567,"missing: not collected"),EXACT(metadata!F567,"missing: not provided"))),AND(IF(metadata!F567="",FALSE,TRUE),OR(EXACT(metadata!F567,"TRUE"),EXACT(metadata!F567,"FALSE"))))</f>
        <v>0</v>
      </c>
      <c r="AR567" t="b">
        <f>OR(AND(IF(metadata!G567="",FALSE,TRUE),OR(EXACT(metadata!G567,"missing: not collected"),EXACT(metadata!G567,"missing: not provided"),EXACT(metadata!G567,"missing: restricted access"))),AND(IF(metadata!G567="",FALSE,ISNUMBER(VALUE(metadata!G567))),metadata!G567&gt;=-413))</f>
        <v>0</v>
      </c>
      <c r="AS567" t="b">
        <f>AND(IF(metadata!H567="",FALSE,TRUE),EXACT(metadata!H567,"meters"))</f>
        <v>0</v>
      </c>
      <c r="AT567" t="b">
        <f>AND(IF(metadata!I567="",FALSE,TRUE),OR(EXACT(metadata!I567,"Host-associated"),EXACT(metadata!I567,"Free-living")))</f>
        <v>0</v>
      </c>
      <c r="AU567" t="b">
        <f>AND(IF(metadata!J567="",FALSE,TRUE),OR(EXACT(metadata!J567,"Animal"),EXACT(metadata!J567,"Fungus"),EXACT(metadata!J567,"Plant"),EXACT(metadata!J567,"Saline"),EXACT(metadata!J567,"Non-saline")))</f>
        <v>0</v>
      </c>
      <c r="AV567" t="b">
        <f>AND(IF(metadata!K567="",FALSE,TRUE),OR(EXACT(metadata!K567,"Plant secretion"),EXACT(metadata!K567,"Plant rhizosphere"),EXACT(metadata!K567,"Plant surface"),EXACT(metadata!K567,"Plant corpus"),EXACT(metadata!K567,"Fungus surface"),EXACT(metadata!K567,"Fungus corpus"),EXACT(metadata!K567,"Animal surface"),EXACT(metadata!K567,"Animal proximal gut"),EXACT(metadata!K567,"Animal corpus"),EXACT(metadata!K567,"Animal distal gut"),EXACT(metadata!K567,"Animal secretion"),EXACT(metadata!K567,"Sub-surface (non-saline)"),EXACT(metadata!K567,"Surface (non-saline)"),EXACT(metadata!K567,"Water (non-saline)"),EXACT(metadata!K567,"Soil (non-saline)"),EXACT(metadata!K567,"Aerosol (non-saline)"),EXACT(metadata!K567,"Sediment (non-saline)"),EXACT(metadata!K567,"Surface (saline)"),EXACT(metadata!K567,"Water (saline)"),EXACT(metadata!K567,"Hypersaline (saline)"),EXACT(metadata!K567,"Aerosol (saline)"),EXACT(metadata!K567,"Sediment (saline)")))</f>
        <v>0</v>
      </c>
      <c r="AW567" t="b">
        <f>IF(metadata!L567="",FALSE,TRUE)</f>
        <v>0</v>
      </c>
      <c r="AX567" t="b">
        <f>IF(metadata!M567="",FALSE,TRUE)</f>
        <v>0</v>
      </c>
      <c r="AY567" t="b">
        <f>IF(metadata!N567="",FALSE,TRUE)</f>
        <v>0</v>
      </c>
      <c r="AZ567" t="b">
        <f>OR(AND(IF(metadata!O567="",FALSE,TRUE),OR(EXACT(metadata!O567,"missing: not collected"),EXACT(metadata!O567,"missing: not provided"),EXACT(metadata!O567,"missing: restricted access"))),AND(IF(metadata!O567="",FALSE,TRUE),OR(EXACT(metadata!O567,"air"),EXACT(metadata!O567,"built environment"),EXACT(metadata!O567,"host-associated"),EXACT(metadata!O567,"human-associated"),EXACT(metadata!O567,"human-skin"),EXACT(metadata!O567,"human-oral"),EXACT(metadata!O567,"human-gut"),EXACT(metadata!O567,"human-vaginal"),EXACT(metadata!O567,"microbial mat/biofilm"),EXACT(metadata!O567,"misc environment"),EXACT(metadata!O567,"plant-associated"),EXACT(metadata!O567,"sediment"),EXACT(metadata!O567,"soil"),EXACT(metadata!O567,"wastewater/sludge"),EXACT(metadata!O567,"water"))))</f>
        <v>0</v>
      </c>
      <c r="BA567" t="b">
        <f>IF(metadata!P567="",FALSE,TRUE)</f>
        <v>0</v>
      </c>
      <c r="BB567" t="b">
        <f>IF(metadata!Q567="",FALSE,TRUE)</f>
        <v>0</v>
      </c>
      <c r="BC567" t="b">
        <f>OR(AND(IF(metadata!R567="",FALSE,TRUE),OR(EXACT(metadata!R567,"missing: not collected"),EXACT(metadata!R567,"missing: not provided"),EXACT(metadata!R567,"missing: restricted access"))),AND(IF(metadata!R567="",FALSE,ISNUMBER(VALUE(metadata!R567))),metadata!R567&gt;=-90,metadata!R567&lt;=90))</f>
        <v>0</v>
      </c>
      <c r="BD567" t="b">
        <f>AND(IF(metadata!S567="",FALSE,TRUE),EXACT(metadata!S567,"Decimal degrees"))</f>
        <v>0</v>
      </c>
      <c r="BE567" t="b">
        <f>OR(AND(IF(metadata!T567="",FALSE,TRUE),OR(EXACT(metadata!T567,"missing: not collected"),EXACT(metadata!T567,"missing: not provided"),EXACT(metadata!T567,"missing: restricted access"))),AND(IF(metadata!T567="",FALSE,ISNUMBER(VALUE(metadata!T567))),metadata!T567&gt;=-180,metadata!T567&lt;=180))</f>
        <v>0</v>
      </c>
      <c r="BF567" t="b">
        <f>AND(IF(metadata!U567="",FALSE,TRUE),EXACT(metadata!U567,"Decimal degrees"))</f>
        <v>0</v>
      </c>
      <c r="BG567" t="b">
        <f>IF(metadata!V567="",FALSE,TRUE)</f>
        <v>0</v>
      </c>
      <c r="BH567" t="b">
        <f>OR(AND(IF(metadata!W567="",FALSE,TRUE),OR(EXACT(metadata!W567,"missing: not collected"),EXACT(metadata!W567,"missing: not provided"),EXACT(metadata!W567,"missing: restricted access"))),AND(IF(metadata!W567="",FALSE,TRUE),OR(EXACT(metadata!W567,"TRUE"),EXACT(metadata!W567,"FALSE"))))</f>
        <v>0</v>
      </c>
      <c r="BI567" t="b">
        <f>AND(IF(metadata!X567="",FALSE,TRUE),EXACT(metadata!X567,"other"))</f>
        <v>0</v>
      </c>
      <c r="BJ567" t="b">
        <f>IF(metadata!Y567="",FALSE,TRUE)</f>
        <v>0</v>
      </c>
      <c r="BK567" t="b">
        <f>OR(AND(IF(metadata!Z567="",FALSE,TRUE),OR(EXACT(metadata!Z567,"missing: not collected"),EXACT(metadata!Z567,"missing: not provided"))),AND(IF(metadata!Z567="",FALSE,IF(ISERROR(INT(metadata!Z567)),FALSE,INT(metadata!Z567)=metadata!Z567)),metadata!Z567&gt;0))</f>
        <v>0</v>
      </c>
      <c r="BL567" t="b">
        <f>AND(IF(metadata!AA567="",FALSE,TRUE),EXACT(metadata!AA567,"Not applicable"))</f>
        <v>0</v>
      </c>
      <c r="BM567" t="b">
        <f>IF(metadata!AB567="",FALSE,TRUE)</f>
        <v>0</v>
      </c>
    </row>
    <row r="568" spans="1:65" x14ac:dyDescent="0.2">
      <c r="A568" s="5" t="str">
        <f ca="1">IF(B568=" "," ",HYPERLINK(CONCATENATE("#metadata!",ADDRESS(INDEX($AH$2:$AH$1001,MATCH(ROWS($AF$2:AF568),$AF$2:$AF$1001,0),0),1)),INDEX($AK$2:$AK$1001,MATCH(ROWS($AF$2:AF568),$AF$2:$AF$1001,0),0)))</f>
        <v xml:space="preserve"> </v>
      </c>
      <c r="B568" s="4" t="str">
        <f ca="1">IF(OR(INDEX($AG$2:$AG$1001,MATCH(ROWS($AF$2:AF568),$AF$2:$AF$1001,0),1)&gt;=100000,INDEX($AM$1005:$BM$1005,1,MATCH(COLUMNS($AM$1006:AM1006),$AM$1006:$BM$1006,0))&gt;=100000), " ",IF(INDEX($AM$2:$BM$1001,MATCH(ROWS($AF$2:AF568),$AF$2:$AF$1001,0),MATCH(COLUMNS($AM$1006:AM1006),$AM$1006:$BM$1006,0)), HYPERLINK("#",""), HYPERLINK(CONCATENATE("#metadata!", ADDRESS(INDEX($AH$2:$AH$1001,MATCH(ROWS($AF$2:AF568),$AF$2:$AF$1001,0),0), INDEX($AM$1004:$BM$1004,1,MATCH(COLUMNS($AM$1006:AM1006),$AM$1006:$BM$1006,0)))),"Fix")))</f>
        <v xml:space="preserve"> </v>
      </c>
      <c r="C568" s="4" t="str">
        <f ca="1">IF(OR(INDEX($AG$2:$AG$1001,MATCH(ROWS($AF$2:AF568),$AF$2:$AF$1001,0),1)&gt;=100000,INDEX($AM$1005:$BM$1005,1,MATCH(COLUMNS($AM$1006:AN1006),$AM$1006:$BM$1006,0))&gt;=100000), " ",IF(INDEX($AM$2:$BM$1001,MATCH(ROWS($AF$2:AF568),$AF$2:$AF$1001,0),MATCH(COLUMNS($AM$1006:AN1006),$AM$1006:$BM$1006,0)), HYPERLINK("#",""), HYPERLINK(CONCATENATE("#metadata!", ADDRESS(INDEX($AH$2:$AH$1001,MATCH(ROWS($AF$2:AF568),$AF$2:$AF$1001,0),0), INDEX($AM$1004:$BM$1004,1,MATCH(COLUMNS($AM$1006:AN1006),$AM$1006:$BM$1006,0)))),"Fix")))</f>
        <v xml:space="preserve"> </v>
      </c>
      <c r="D568" s="4" t="str">
        <f ca="1">IF(OR(INDEX($AG$2:$AG$1001,MATCH(ROWS($AF$2:AF568),$AF$2:$AF$1001,0),1)&gt;=100000,INDEX($AM$1005:$BM$1005,1,MATCH(COLUMNS($AM$1006:AO1006),$AM$1006:$BM$1006,0))&gt;=100000), " ",IF(INDEX($AM$2:$BM$1001,MATCH(ROWS($AF$2:AF568),$AF$2:$AF$1001,0),MATCH(COLUMNS($AM$1006:AO1006),$AM$1006:$BM$1006,0)), HYPERLINK("#",""), HYPERLINK(CONCATENATE("#metadata!", ADDRESS(INDEX($AH$2:$AH$1001,MATCH(ROWS($AF$2:AF568),$AF$2:$AF$1001,0),0), INDEX($AM$1004:$BM$1004,1,MATCH(COLUMNS($AM$1006:AO1006),$AM$1006:$BM$1006,0)))),"Fix")))</f>
        <v xml:space="preserve"> </v>
      </c>
      <c r="E568" s="4" t="str">
        <f ca="1">IF(OR(INDEX($AG$2:$AG$1001,MATCH(ROWS($AF$2:AF568),$AF$2:$AF$1001,0),1)&gt;=100000,INDEX($AM$1005:$BM$1005,1,MATCH(COLUMNS($AM$1006:AP1006),$AM$1006:$BM$1006,0))&gt;=100000), " ",IF(INDEX($AM$2:$BM$1001,MATCH(ROWS($AF$2:AF568),$AF$2:$AF$1001,0),MATCH(COLUMNS($AM$1006:AP1006),$AM$1006:$BM$1006,0)), HYPERLINK("#",""), HYPERLINK(CONCATENATE("#metadata!", ADDRESS(INDEX($AH$2:$AH$1001,MATCH(ROWS($AF$2:AF568),$AF$2:$AF$1001,0),0), INDEX($AM$1004:$BM$1004,1,MATCH(COLUMNS($AM$1006:AP1006),$AM$1006:$BM$1006,0)))),"Fix")))</f>
        <v xml:space="preserve"> </v>
      </c>
      <c r="F568" s="4" t="str">
        <f ca="1">IF(OR(INDEX($AG$2:$AG$1001,MATCH(ROWS($AF$2:AF568),$AF$2:$AF$1001,0),1)&gt;=100000,INDEX($AM$1005:$BM$1005,1,MATCH(COLUMNS($AM$1006:AQ1006),$AM$1006:$BM$1006,0))&gt;=100000), " ",IF(INDEX($AM$2:$BM$1001,MATCH(ROWS($AF$2:AF568),$AF$2:$AF$1001,0),MATCH(COLUMNS($AM$1006:AQ1006),$AM$1006:$BM$1006,0)), HYPERLINK("#",""), HYPERLINK(CONCATENATE("#metadata!", ADDRESS(INDEX($AH$2:$AH$1001,MATCH(ROWS($AF$2:AF568),$AF$2:$AF$1001,0),0), INDEX($AM$1004:$BM$1004,1,MATCH(COLUMNS($AM$1006:AQ1006),$AM$1006:$BM$1006,0)))),"Fix")))</f>
        <v xml:space="preserve"> </v>
      </c>
      <c r="G568" s="4" t="str">
        <f ca="1">IF(OR(INDEX($AG$2:$AG$1001,MATCH(ROWS($AF$2:AF568),$AF$2:$AF$1001,0),1)&gt;=100000,INDEX($AM$1005:$BM$1005,1,MATCH(COLUMNS($AM$1006:AR1006),$AM$1006:$BM$1006,0))&gt;=100000), " ",IF(INDEX($AM$2:$BM$1001,MATCH(ROWS($AF$2:AF568),$AF$2:$AF$1001,0),MATCH(COLUMNS($AM$1006:AR1006),$AM$1006:$BM$1006,0)), HYPERLINK("#",""), HYPERLINK(CONCATENATE("#metadata!", ADDRESS(INDEX($AH$2:$AH$1001,MATCH(ROWS($AF$2:AF568),$AF$2:$AF$1001,0),0), INDEX($AM$1004:$BM$1004,1,MATCH(COLUMNS($AM$1006:AR1006),$AM$1006:$BM$1006,0)))),"Fix")))</f>
        <v xml:space="preserve"> </v>
      </c>
      <c r="H568" s="4" t="str">
        <f ca="1">IF(OR(INDEX($AG$2:$AG$1001,MATCH(ROWS($AF$2:AF568),$AF$2:$AF$1001,0),1)&gt;=100000,INDEX($AM$1005:$BM$1005,1,MATCH(COLUMNS($AM$1006:AS1006),$AM$1006:$BM$1006,0))&gt;=100000), " ",IF(INDEX($AM$2:$BM$1001,MATCH(ROWS($AF$2:AF568),$AF$2:$AF$1001,0),MATCH(COLUMNS($AM$1006:AS1006),$AM$1006:$BM$1006,0)), HYPERLINK("#",""), HYPERLINK(CONCATENATE("#metadata!", ADDRESS(INDEX($AH$2:$AH$1001,MATCH(ROWS($AF$2:AF568),$AF$2:$AF$1001,0),0), INDEX($AM$1004:$BM$1004,1,MATCH(COLUMNS($AM$1006:AS1006),$AM$1006:$BM$1006,0)))),"Fix")))</f>
        <v xml:space="preserve"> </v>
      </c>
      <c r="I568" s="4" t="str">
        <f ca="1">IF(OR(INDEX($AG$2:$AG$1001,MATCH(ROWS($AF$2:AF568),$AF$2:$AF$1001,0),1)&gt;=100000,INDEX($AM$1005:$BM$1005,1,MATCH(COLUMNS($AM$1006:AT1006),$AM$1006:$BM$1006,0))&gt;=100000), " ",IF(INDEX($AM$2:$BM$1001,MATCH(ROWS($AF$2:AF568),$AF$2:$AF$1001,0),MATCH(COLUMNS($AM$1006:AT1006),$AM$1006:$BM$1006,0)), HYPERLINK("#",""), HYPERLINK(CONCATENATE("#metadata!", ADDRESS(INDEX($AH$2:$AH$1001,MATCH(ROWS($AF$2:AF568),$AF$2:$AF$1001,0),0), INDEX($AM$1004:$BM$1004,1,MATCH(COLUMNS($AM$1006:AT1006),$AM$1006:$BM$1006,0)))),"Fix")))</f>
        <v xml:space="preserve"> </v>
      </c>
      <c r="J568" s="4" t="str">
        <f ca="1">IF(OR(INDEX($AG$2:$AG$1001,MATCH(ROWS($AF$2:AF568),$AF$2:$AF$1001,0),1)&gt;=100000,INDEX($AM$1005:$BM$1005,1,MATCH(COLUMNS($AM$1006:AU1006),$AM$1006:$BM$1006,0))&gt;=100000), " ",IF(INDEX($AM$2:$BM$1001,MATCH(ROWS($AF$2:AF568),$AF$2:$AF$1001,0),MATCH(COLUMNS($AM$1006:AU1006),$AM$1006:$BM$1006,0)), HYPERLINK("#",""), HYPERLINK(CONCATENATE("#metadata!", ADDRESS(INDEX($AH$2:$AH$1001,MATCH(ROWS($AF$2:AF568),$AF$2:$AF$1001,0),0), INDEX($AM$1004:$BM$1004,1,MATCH(COLUMNS($AM$1006:AU1006),$AM$1006:$BM$1006,0)))),"Fix")))</f>
        <v xml:space="preserve"> </v>
      </c>
      <c r="K568" s="4" t="str">
        <f ca="1">IF(OR(INDEX($AG$2:$AG$1001,MATCH(ROWS($AF$2:AF568),$AF$2:$AF$1001,0),1)&gt;=100000,INDEX($AM$1005:$BM$1005,1,MATCH(COLUMNS($AM$1006:AV1006),$AM$1006:$BM$1006,0))&gt;=100000), " ",IF(INDEX($AM$2:$BM$1001,MATCH(ROWS($AF$2:AF568),$AF$2:$AF$1001,0),MATCH(COLUMNS($AM$1006:AV1006),$AM$1006:$BM$1006,0)), HYPERLINK("#",""), HYPERLINK(CONCATENATE("#metadata!", ADDRESS(INDEX($AH$2:$AH$1001,MATCH(ROWS($AF$2:AF568),$AF$2:$AF$1001,0),0), INDEX($AM$1004:$BM$1004,1,MATCH(COLUMNS($AM$1006:AV1006),$AM$1006:$BM$1006,0)))),"Fix")))</f>
        <v xml:space="preserve"> </v>
      </c>
      <c r="L568" s="4" t="str">
        <f ca="1">IF(OR(INDEX($AG$2:$AG$1001,MATCH(ROWS($AF$2:AF568),$AF$2:$AF$1001,0),1)&gt;=100000,INDEX($AM$1005:$BM$1005,1,MATCH(COLUMNS($AM$1006:AW1006),$AM$1006:$BM$1006,0))&gt;=100000), " ",IF(INDEX($AM$2:$BM$1001,MATCH(ROWS($AF$2:AF568),$AF$2:$AF$1001,0),MATCH(COLUMNS($AM$1006:AW1006),$AM$1006:$BM$1006,0)), HYPERLINK("#",""), HYPERLINK(CONCATENATE("#metadata!", ADDRESS(INDEX($AH$2:$AH$1001,MATCH(ROWS($AF$2:AF568),$AF$2:$AF$1001,0),0), INDEX($AM$1004:$BM$1004,1,MATCH(COLUMNS($AM$1006:AW1006),$AM$1006:$BM$1006,0)))),"Fix")))</f>
        <v xml:space="preserve"> </v>
      </c>
      <c r="M568" s="4" t="str">
        <f ca="1">IF(OR(INDEX($AG$2:$AG$1001,MATCH(ROWS($AF$2:AF568),$AF$2:$AF$1001,0),1)&gt;=100000,INDEX($AM$1005:$BM$1005,1,MATCH(COLUMNS($AM$1006:AX1006),$AM$1006:$BM$1006,0))&gt;=100000), " ",IF(INDEX($AM$2:$BM$1001,MATCH(ROWS($AF$2:AF568),$AF$2:$AF$1001,0),MATCH(COLUMNS($AM$1006:AX1006),$AM$1006:$BM$1006,0)), HYPERLINK("#",""), HYPERLINK(CONCATENATE("#metadata!", ADDRESS(INDEX($AH$2:$AH$1001,MATCH(ROWS($AF$2:AF568),$AF$2:$AF$1001,0),0), INDEX($AM$1004:$BM$1004,1,MATCH(COLUMNS($AM$1006:AX1006),$AM$1006:$BM$1006,0)))),"Fix")))</f>
        <v xml:space="preserve"> </v>
      </c>
      <c r="N568" s="4" t="str">
        <f ca="1">IF(OR(INDEX($AG$2:$AG$1001,MATCH(ROWS($AF$2:AF568),$AF$2:$AF$1001,0),1)&gt;=100000,INDEX($AM$1005:$BM$1005,1,MATCH(COLUMNS($AM$1006:AY1006),$AM$1006:$BM$1006,0))&gt;=100000), " ",IF(INDEX($AM$2:$BM$1001,MATCH(ROWS($AF$2:AF568),$AF$2:$AF$1001,0),MATCH(COLUMNS($AM$1006:AY1006),$AM$1006:$BM$1006,0)), HYPERLINK("#",""), HYPERLINK(CONCATENATE("#metadata!", ADDRESS(INDEX($AH$2:$AH$1001,MATCH(ROWS($AF$2:AF568),$AF$2:$AF$1001,0),0), INDEX($AM$1004:$BM$1004,1,MATCH(COLUMNS($AM$1006:AY1006),$AM$1006:$BM$1006,0)))),"Fix")))</f>
        <v xml:space="preserve"> </v>
      </c>
      <c r="O568" s="4" t="str">
        <f ca="1">IF(OR(INDEX($AG$2:$AG$1001,MATCH(ROWS($AF$2:AF568),$AF$2:$AF$1001,0),1)&gt;=100000,INDEX($AM$1005:$BM$1005,1,MATCH(COLUMNS($AM$1006:AZ1006),$AM$1006:$BM$1006,0))&gt;=100000), " ",IF(INDEX($AM$2:$BM$1001,MATCH(ROWS($AF$2:AF568),$AF$2:$AF$1001,0),MATCH(COLUMNS($AM$1006:AZ1006),$AM$1006:$BM$1006,0)), HYPERLINK("#",""), HYPERLINK(CONCATENATE("#metadata!", ADDRESS(INDEX($AH$2:$AH$1001,MATCH(ROWS($AF$2:AF568),$AF$2:$AF$1001,0),0), INDEX($AM$1004:$BM$1004,1,MATCH(COLUMNS($AM$1006:AZ1006),$AM$1006:$BM$1006,0)))),"Fix")))</f>
        <v xml:space="preserve"> </v>
      </c>
      <c r="P568" s="4" t="str">
        <f ca="1">IF(OR(INDEX($AG$2:$AG$1001,MATCH(ROWS($AF$2:AF568),$AF$2:$AF$1001,0),1)&gt;=100000,INDEX($AM$1005:$BM$1005,1,MATCH(COLUMNS($AM$1006:BA1006),$AM$1006:$BM$1006,0))&gt;=100000), " ",IF(INDEX($AM$2:$BM$1001,MATCH(ROWS($AF$2:AF568),$AF$2:$AF$1001,0),MATCH(COLUMNS($AM$1006:BA1006),$AM$1006:$BM$1006,0)), HYPERLINK("#",""), HYPERLINK(CONCATENATE("#metadata!", ADDRESS(INDEX($AH$2:$AH$1001,MATCH(ROWS($AF$2:AF568),$AF$2:$AF$1001,0),0), INDEX($AM$1004:$BM$1004,1,MATCH(COLUMNS($AM$1006:BA1006),$AM$1006:$BM$1006,0)))),"Fix")))</f>
        <v xml:space="preserve"> </v>
      </c>
      <c r="Q568" s="4" t="str">
        <f ca="1">IF(OR(INDEX($AG$2:$AG$1001,MATCH(ROWS($AF$2:AF568),$AF$2:$AF$1001,0),1)&gt;=100000,INDEX($AM$1005:$BM$1005,1,MATCH(COLUMNS($AM$1006:BB1006),$AM$1006:$BM$1006,0))&gt;=100000), " ",IF(INDEX($AM$2:$BM$1001,MATCH(ROWS($AF$2:AF568),$AF$2:$AF$1001,0),MATCH(COLUMNS($AM$1006:BB1006),$AM$1006:$BM$1006,0)), HYPERLINK("#",""), HYPERLINK(CONCATENATE("#metadata!", ADDRESS(INDEX($AH$2:$AH$1001,MATCH(ROWS($AF$2:AF568),$AF$2:$AF$1001,0),0), INDEX($AM$1004:$BM$1004,1,MATCH(COLUMNS($AM$1006:BB1006),$AM$1006:$BM$1006,0)))),"Fix")))</f>
        <v xml:space="preserve"> </v>
      </c>
      <c r="R568" s="4" t="str">
        <f ca="1">IF(OR(INDEX($AG$2:$AG$1001,MATCH(ROWS($AF$2:AF568),$AF$2:$AF$1001,0),1)&gt;=100000,INDEX($AM$1005:$BM$1005,1,MATCH(COLUMNS($AM$1006:BC1006),$AM$1006:$BM$1006,0))&gt;=100000), " ",IF(INDEX($AM$2:$BM$1001,MATCH(ROWS($AF$2:AF568),$AF$2:$AF$1001,0),MATCH(COLUMNS($AM$1006:BC1006),$AM$1006:$BM$1006,0)), HYPERLINK("#",""), HYPERLINK(CONCATENATE("#metadata!", ADDRESS(INDEX($AH$2:$AH$1001,MATCH(ROWS($AF$2:AF568),$AF$2:$AF$1001,0),0), INDEX($AM$1004:$BM$1004,1,MATCH(COLUMNS($AM$1006:BC1006),$AM$1006:$BM$1006,0)))),"Fix")))</f>
        <v xml:space="preserve"> </v>
      </c>
      <c r="S568" s="4" t="str">
        <f ca="1">IF(OR(INDEX($AG$2:$AG$1001,MATCH(ROWS($AF$2:AF568),$AF$2:$AF$1001,0),1)&gt;=100000,INDEX($AM$1005:$BM$1005,1,MATCH(COLUMNS($AM$1006:BD1006),$AM$1006:$BM$1006,0))&gt;=100000), " ",IF(INDEX($AM$2:$BM$1001,MATCH(ROWS($AF$2:AF568),$AF$2:$AF$1001,0),MATCH(COLUMNS($AM$1006:BD1006),$AM$1006:$BM$1006,0)), HYPERLINK("#",""), HYPERLINK(CONCATENATE("#metadata!", ADDRESS(INDEX($AH$2:$AH$1001,MATCH(ROWS($AF$2:AF568),$AF$2:$AF$1001,0),0), INDEX($AM$1004:$BM$1004,1,MATCH(COLUMNS($AM$1006:BD1006),$AM$1006:$BM$1006,0)))),"Fix")))</f>
        <v xml:space="preserve"> </v>
      </c>
      <c r="T568" s="4" t="str">
        <f ca="1">IF(OR(INDEX($AG$2:$AG$1001,MATCH(ROWS($AF$2:AF568),$AF$2:$AF$1001,0),1)&gt;=100000,INDEX($AM$1005:$BM$1005,1,MATCH(COLUMNS($AM$1006:BE1006),$AM$1006:$BM$1006,0))&gt;=100000), " ",IF(INDEX($AM$2:$BM$1001,MATCH(ROWS($AF$2:AF568),$AF$2:$AF$1001,0),MATCH(COLUMNS($AM$1006:BE1006),$AM$1006:$BM$1006,0)), HYPERLINK("#",""), HYPERLINK(CONCATENATE("#metadata!", ADDRESS(INDEX($AH$2:$AH$1001,MATCH(ROWS($AF$2:AF568),$AF$2:$AF$1001,0),0), INDEX($AM$1004:$BM$1004,1,MATCH(COLUMNS($AM$1006:BE1006),$AM$1006:$BM$1006,0)))),"Fix")))</f>
        <v xml:space="preserve"> </v>
      </c>
      <c r="U568" s="4" t="str">
        <f ca="1">IF(OR(INDEX($AG$2:$AG$1001,MATCH(ROWS($AF$2:AF568),$AF$2:$AF$1001,0),1)&gt;=100000,INDEX($AM$1005:$BM$1005,1,MATCH(COLUMNS($AM$1006:BF1006),$AM$1006:$BM$1006,0))&gt;=100000), " ",IF(INDEX($AM$2:$BM$1001,MATCH(ROWS($AF$2:AF568),$AF$2:$AF$1001,0),MATCH(COLUMNS($AM$1006:BF1006),$AM$1006:$BM$1006,0)), HYPERLINK("#",""), HYPERLINK(CONCATENATE("#metadata!", ADDRESS(INDEX($AH$2:$AH$1001,MATCH(ROWS($AF$2:AF568),$AF$2:$AF$1001,0),0), INDEX($AM$1004:$BM$1004,1,MATCH(COLUMNS($AM$1006:BF1006),$AM$1006:$BM$1006,0)))),"Fix")))</f>
        <v xml:space="preserve"> </v>
      </c>
      <c r="V568" s="4" t="str">
        <f ca="1">IF(OR(INDEX($AG$2:$AG$1001,MATCH(ROWS($AF$2:AF568),$AF$2:$AF$1001,0),1)&gt;=100000,INDEX($AM$1005:$BM$1005,1,MATCH(COLUMNS($AM$1006:BG1006),$AM$1006:$BM$1006,0))&gt;=100000), " ",IF(INDEX($AM$2:$BM$1001,MATCH(ROWS($AF$2:AF568),$AF$2:$AF$1001,0),MATCH(COLUMNS($AM$1006:BG1006),$AM$1006:$BM$1006,0)), HYPERLINK("#",""), HYPERLINK(CONCATENATE("#metadata!", ADDRESS(INDEX($AH$2:$AH$1001,MATCH(ROWS($AF$2:AF568),$AF$2:$AF$1001,0),0), INDEX($AM$1004:$BM$1004,1,MATCH(COLUMNS($AM$1006:BG1006),$AM$1006:$BM$1006,0)))),"Fix")))</f>
        <v xml:space="preserve"> </v>
      </c>
      <c r="W568" s="4" t="str">
        <f ca="1">IF(OR(INDEX($AG$2:$AG$1001,MATCH(ROWS($AF$2:AF568),$AF$2:$AF$1001,0),1)&gt;=100000,INDEX($AM$1005:$BM$1005,1,MATCH(COLUMNS($AM$1006:BH1006),$AM$1006:$BM$1006,0))&gt;=100000), " ",IF(INDEX($AM$2:$BM$1001,MATCH(ROWS($AF$2:AF568),$AF$2:$AF$1001,0),MATCH(COLUMNS($AM$1006:BH1006),$AM$1006:$BM$1006,0)), HYPERLINK("#",""), HYPERLINK(CONCATENATE("#metadata!", ADDRESS(INDEX($AH$2:$AH$1001,MATCH(ROWS($AF$2:AF568),$AF$2:$AF$1001,0),0), INDEX($AM$1004:$BM$1004,1,MATCH(COLUMNS($AM$1006:BH1006),$AM$1006:$BM$1006,0)))),"Fix")))</f>
        <v xml:space="preserve"> </v>
      </c>
      <c r="X568" s="4" t="str">
        <f ca="1">IF(OR(INDEX($AG$2:$AG$1001,MATCH(ROWS($AF$2:AF568),$AF$2:$AF$1001,0),1)&gt;=100000,INDEX($AM$1005:$BM$1005,1,MATCH(COLUMNS($AM$1006:BI1006),$AM$1006:$BM$1006,0))&gt;=100000), " ",IF(INDEX($AM$2:$BM$1001,MATCH(ROWS($AF$2:AF568),$AF$2:$AF$1001,0),MATCH(COLUMNS($AM$1006:BI1006),$AM$1006:$BM$1006,0)), HYPERLINK("#",""), HYPERLINK(CONCATENATE("#metadata!", ADDRESS(INDEX($AH$2:$AH$1001,MATCH(ROWS($AF$2:AF568),$AF$2:$AF$1001,0),0), INDEX($AM$1004:$BM$1004,1,MATCH(COLUMNS($AM$1006:BI1006),$AM$1006:$BM$1006,0)))),"Fix")))</f>
        <v xml:space="preserve"> </v>
      </c>
      <c r="Y568" s="4" t="str">
        <f ca="1">IF(OR(INDEX($AG$2:$AG$1001,MATCH(ROWS($AF$2:AF568),$AF$2:$AF$1001,0),1)&gt;=100000,INDEX($AM$1005:$BM$1005,1,MATCH(COLUMNS($AM$1006:BJ1006),$AM$1006:$BM$1006,0))&gt;=100000), " ",IF(INDEX($AM$2:$BM$1001,MATCH(ROWS($AF$2:AF568),$AF$2:$AF$1001,0),MATCH(COLUMNS($AM$1006:BJ1006),$AM$1006:$BM$1006,0)), HYPERLINK("#",""), HYPERLINK(CONCATENATE("#metadata!", ADDRESS(INDEX($AH$2:$AH$1001,MATCH(ROWS($AF$2:AF568),$AF$2:$AF$1001,0),0), INDEX($AM$1004:$BM$1004,1,MATCH(COLUMNS($AM$1006:BJ1006),$AM$1006:$BM$1006,0)))),"Fix")))</f>
        <v xml:space="preserve"> </v>
      </c>
      <c r="Z568" s="4" t="str">
        <f ca="1">IF(OR(INDEX($AG$2:$AG$1001,MATCH(ROWS($AF$2:AF568),$AF$2:$AF$1001,0),1)&gt;=100000,INDEX($AM$1005:$BM$1005,1,MATCH(COLUMNS($AM$1006:BK1006),$AM$1006:$BM$1006,0))&gt;=100000), " ",IF(INDEX($AM$2:$BM$1001,MATCH(ROWS($AF$2:AF568),$AF$2:$AF$1001,0),MATCH(COLUMNS($AM$1006:BK1006),$AM$1006:$BM$1006,0)), HYPERLINK("#",""), HYPERLINK(CONCATENATE("#metadata!", ADDRESS(INDEX($AH$2:$AH$1001,MATCH(ROWS($AF$2:AF568),$AF$2:$AF$1001,0),0), INDEX($AM$1004:$BM$1004,1,MATCH(COLUMNS($AM$1006:BK1006),$AM$1006:$BM$1006,0)))),"Fix")))</f>
        <v xml:space="preserve"> </v>
      </c>
      <c r="AA568" s="4" t="str">
        <f ca="1">IF(OR(INDEX($AG$2:$AG$1001,MATCH(ROWS($AF$2:AF568),$AF$2:$AF$1001,0),1)&gt;=100000,INDEX($AM$1005:$BM$1005,1,MATCH(COLUMNS($AM$1006:BL1006),$AM$1006:$BM$1006,0))&gt;=100000), " ",IF(INDEX($AM$2:$BM$1001,MATCH(ROWS($AF$2:AF568),$AF$2:$AF$1001,0),MATCH(COLUMNS($AM$1006:BL1006),$AM$1006:$BM$1006,0)), HYPERLINK("#",""), HYPERLINK(CONCATENATE("#metadata!", ADDRESS(INDEX($AH$2:$AH$1001,MATCH(ROWS($AF$2:AF568),$AF$2:$AF$1001,0),0), INDEX($AM$1004:$BM$1004,1,MATCH(COLUMNS($AM$1006:BL1006),$AM$1006:$BM$1006,0)))),"Fix")))</f>
        <v xml:space="preserve"> </v>
      </c>
      <c r="AB568" s="4" t="str">
        <f ca="1">IF(OR(INDEX($AG$2:$AG$1001,MATCH(ROWS($AF$2:AF568),$AF$2:$AF$1001,0),1)&gt;=100000,INDEX($AM$1005:$BM$1005,1,MATCH(COLUMNS($AM$1006:BM1006),$AM$1006:$BM$1006,0))&gt;=100000), " ",IF(INDEX($AM$2:$BM$1001,MATCH(ROWS($AF$2:AF568),$AF$2:$AF$1001,0),MATCH(COLUMNS($AM$1006:BM1006),$AM$1006:$BM$1006,0)), HYPERLINK("#",""), HYPERLINK(CONCATENATE("#metadata!", ADDRESS(INDEX($AH$2:$AH$1001,MATCH(ROWS($AF$2:AF568),$AF$2:$AF$1001,0),0), INDEX($AM$1004:$BM$1004,1,MATCH(COLUMNS($AM$1006:BM1006),$AM$1006:$BM$1006,0)))),"Fix")))</f>
        <v xml:space="preserve"> </v>
      </c>
      <c r="AF568">
        <v>567</v>
      </c>
      <c r="AG568">
        <v>100568</v>
      </c>
      <c r="AH568">
        <v>568</v>
      </c>
      <c r="AI568" t="b">
        <f t="shared" si="8"/>
        <v>1</v>
      </c>
      <c r="AJ568" t="b">
        <f>COUNTBLANK(metadata!B568:AB568)=COLUMNS(metadata!B568:AB568)</f>
        <v>1</v>
      </c>
      <c r="AK568" t="str">
        <v/>
      </c>
      <c r="AM568" t="b">
        <f ca="1">AND(IF(metadata!B568="",FALSE,TRUE),COUNTIF(metadata!B:B, metadata!B568) = 1,NOT(ISERROR(SUMPRODUCT(SEARCH(MID(metadata!B568,ROW(INDIRECT("1:"&amp;LEN(metadata!B568))), 1),"0123456789abcdefghijklmnopqrstuvwxyzABCDEFGHIJKLMNOPQRSTUVWXYZ.")))))</f>
        <v>0</v>
      </c>
      <c r="AN568" t="b">
        <f ca="1">OR(AND(IF(metadata!C568="",FALSE,TRUE),OR(EXACT(metadata!C568,"missing: not collected"),EXACT(metadata!C568,"missing: not provided"),EXACT(metadata!C568,"missing: restricted access"))),AND(IF(metadata!C568="",FALSE,TRUE),AND(AND(IFERROR(INT(LEFT(metadata!C568,4))&gt;1900,FALSE),IFERROR(INT(LEFT(metadata!C568,4))&lt;=YEAR(NOW()),FALSE)), OR(MID(metadata!C568,5,1)="", AND(AND(MID(metadata!C568,5,1)="-",IFERROR(INT(MID(metadata!C568,6,1))&gt;=0,FALSE),IFERROR(INT(MID(metadata!C568,6,1))&lt;=1,FALSE),NOT(MID(metadata!C568,7,1)=""),IFERROR(INT(MID(metadata!C568,6,2))&gt;=1,FALSE),IFERROR(INT(MID(metadata!C568,6,2))&lt;=12,FALSE)), OR(MID(metadata!C568,8,1)="", AND(AND(MID(metadata!C568,8,1)="-",IFERROR(INT(MID(metadata!C568,9,1))&gt;=0,FALSE),IFERROR(INT(MID(metadata!C568,9,1))&lt;=3,FALSE),NOT(MID(metadata!C568,10,1)=""),IFERROR(INT(MID(metadata!C568,9,2))&gt;=1,FALSE),IFERROR(INT(MID(metadata!C568,9,2))&lt;=31,FALSE)), OR(MID(metadata!C568,11,1)="", AND(AND(MID(metadata!C568,11,1)=" ",IFERROR(INT(MID(metadata!C568,12,1))&gt;=0,FALSE),IFERROR(INT(MID(metadata!C568,12,1))&lt;=2,FALSE),NOT(MID(metadata!C568,13,1)=""),IFERROR(INT(MID(metadata!C568,12,2))&gt;=0,FALSE),IFERROR(INT(MID(metadata!C568,12,2))&lt;=23,FALSE)), OR(MID(metadata!C568,14,1)="", AND(AND(MID(metadata!C568,14,1)=":",IFERROR(INT(MID(metadata!C568,15,1))&gt;=0,FALSE),IFERROR(INT(MID(metadata!C568,15,1))&lt;=5,FALSE),NOT(MID(metadata!C568,16,1)=""),IFERROR(INT(MID(metadata!C568,15,2))&gt;=0,FALSE),IFERROR(INT(MID(metadata!C568,15,2))&lt;=59,FALSE)), OR(MID(metadata!C568,17,1)="", AND(AND(MID(metadata!C568,17,1)=":",IFERROR(INT(MID(metadata!C568,18,1))&gt;=0,FALSE),IFERROR(INT(MID(metadata!C568,18,1))&lt;=5,FALSE),NOT(MID(metadata!C568,19,1)=""),IFERROR(INT(MID(metadata!C568,18,2))&gt;=0,FALSE),IFERROR(INT(MID(metadata!C568,18,2))&lt;=59,FALSE)), LEN(metadata!C568)&lt;=19)))))))))))))</f>
        <v>0</v>
      </c>
      <c r="AO568" t="b">
        <f>AND(IF(metadata!D568="",FALSE,TRUE),EXACT(metadata!D568,"Not applicable"))</f>
        <v>0</v>
      </c>
      <c r="AP568" t="b">
        <f>IF(metadata!E568="",FALSE,TRUE)</f>
        <v>0</v>
      </c>
      <c r="AQ568" t="b">
        <f>OR(AND(IF(metadata!F568="",FALSE,TRUE),OR(EXACT(metadata!F568,"missing: not collected"),EXACT(metadata!F568,"missing: not provided"))),AND(IF(metadata!F568="",FALSE,TRUE),OR(EXACT(metadata!F568,"TRUE"),EXACT(metadata!F568,"FALSE"))))</f>
        <v>0</v>
      </c>
      <c r="AR568" t="b">
        <f>OR(AND(IF(metadata!G568="",FALSE,TRUE),OR(EXACT(metadata!G568,"missing: not collected"),EXACT(metadata!G568,"missing: not provided"),EXACT(metadata!G568,"missing: restricted access"))),AND(IF(metadata!G568="",FALSE,ISNUMBER(VALUE(metadata!G568))),metadata!G568&gt;=-413))</f>
        <v>0</v>
      </c>
      <c r="AS568" t="b">
        <f>AND(IF(metadata!H568="",FALSE,TRUE),EXACT(metadata!H568,"meters"))</f>
        <v>0</v>
      </c>
      <c r="AT568" t="b">
        <f>AND(IF(metadata!I568="",FALSE,TRUE),OR(EXACT(metadata!I568,"Host-associated"),EXACT(metadata!I568,"Free-living")))</f>
        <v>0</v>
      </c>
      <c r="AU568" t="b">
        <f>AND(IF(metadata!J568="",FALSE,TRUE),OR(EXACT(metadata!J568,"Animal"),EXACT(metadata!J568,"Fungus"),EXACT(metadata!J568,"Plant"),EXACT(metadata!J568,"Saline"),EXACT(metadata!J568,"Non-saline")))</f>
        <v>0</v>
      </c>
      <c r="AV568" t="b">
        <f>AND(IF(metadata!K568="",FALSE,TRUE),OR(EXACT(metadata!K568,"Plant secretion"),EXACT(metadata!K568,"Plant rhizosphere"),EXACT(metadata!K568,"Plant surface"),EXACT(metadata!K568,"Plant corpus"),EXACT(metadata!K568,"Fungus surface"),EXACT(metadata!K568,"Fungus corpus"),EXACT(metadata!K568,"Animal surface"),EXACT(metadata!K568,"Animal proximal gut"),EXACT(metadata!K568,"Animal corpus"),EXACT(metadata!K568,"Animal distal gut"),EXACT(metadata!K568,"Animal secretion"),EXACT(metadata!K568,"Sub-surface (non-saline)"),EXACT(metadata!K568,"Surface (non-saline)"),EXACT(metadata!K568,"Water (non-saline)"),EXACT(metadata!K568,"Soil (non-saline)"),EXACT(metadata!K568,"Aerosol (non-saline)"),EXACT(metadata!K568,"Sediment (non-saline)"),EXACT(metadata!K568,"Surface (saline)"),EXACT(metadata!K568,"Water (saline)"),EXACT(metadata!K568,"Hypersaline (saline)"),EXACT(metadata!K568,"Aerosol (saline)"),EXACT(metadata!K568,"Sediment (saline)")))</f>
        <v>0</v>
      </c>
      <c r="AW568" t="b">
        <f>IF(metadata!L568="",FALSE,TRUE)</f>
        <v>0</v>
      </c>
      <c r="AX568" t="b">
        <f>IF(metadata!M568="",FALSE,TRUE)</f>
        <v>0</v>
      </c>
      <c r="AY568" t="b">
        <f>IF(metadata!N568="",FALSE,TRUE)</f>
        <v>0</v>
      </c>
      <c r="AZ568" t="b">
        <f>OR(AND(IF(metadata!O568="",FALSE,TRUE),OR(EXACT(metadata!O568,"missing: not collected"),EXACT(metadata!O568,"missing: not provided"),EXACT(metadata!O568,"missing: restricted access"))),AND(IF(metadata!O568="",FALSE,TRUE),OR(EXACT(metadata!O568,"air"),EXACT(metadata!O568,"built environment"),EXACT(metadata!O568,"host-associated"),EXACT(metadata!O568,"human-associated"),EXACT(metadata!O568,"human-skin"),EXACT(metadata!O568,"human-oral"),EXACT(metadata!O568,"human-gut"),EXACT(metadata!O568,"human-vaginal"),EXACT(metadata!O568,"microbial mat/biofilm"),EXACT(metadata!O568,"misc environment"),EXACT(metadata!O568,"plant-associated"),EXACT(metadata!O568,"sediment"),EXACT(metadata!O568,"soil"),EXACT(metadata!O568,"wastewater/sludge"),EXACT(metadata!O568,"water"))))</f>
        <v>0</v>
      </c>
      <c r="BA568" t="b">
        <f>IF(metadata!P568="",FALSE,TRUE)</f>
        <v>0</v>
      </c>
      <c r="BB568" t="b">
        <f>IF(metadata!Q568="",FALSE,TRUE)</f>
        <v>0</v>
      </c>
      <c r="BC568" t="b">
        <f>OR(AND(IF(metadata!R568="",FALSE,TRUE),OR(EXACT(metadata!R568,"missing: not collected"),EXACT(metadata!R568,"missing: not provided"),EXACT(metadata!R568,"missing: restricted access"))),AND(IF(metadata!R568="",FALSE,ISNUMBER(VALUE(metadata!R568))),metadata!R568&gt;=-90,metadata!R568&lt;=90))</f>
        <v>0</v>
      </c>
      <c r="BD568" t="b">
        <f>AND(IF(metadata!S568="",FALSE,TRUE),EXACT(metadata!S568,"Decimal degrees"))</f>
        <v>0</v>
      </c>
      <c r="BE568" t="b">
        <f>OR(AND(IF(metadata!T568="",FALSE,TRUE),OR(EXACT(metadata!T568,"missing: not collected"),EXACT(metadata!T568,"missing: not provided"),EXACT(metadata!T568,"missing: restricted access"))),AND(IF(metadata!T568="",FALSE,ISNUMBER(VALUE(metadata!T568))),metadata!T568&gt;=-180,metadata!T568&lt;=180))</f>
        <v>0</v>
      </c>
      <c r="BF568" t="b">
        <f>AND(IF(metadata!U568="",FALSE,TRUE),EXACT(metadata!U568,"Decimal degrees"))</f>
        <v>0</v>
      </c>
      <c r="BG568" t="b">
        <f>IF(metadata!V568="",FALSE,TRUE)</f>
        <v>0</v>
      </c>
      <c r="BH568" t="b">
        <f>OR(AND(IF(metadata!W568="",FALSE,TRUE),OR(EXACT(metadata!W568,"missing: not collected"),EXACT(metadata!W568,"missing: not provided"),EXACT(metadata!W568,"missing: restricted access"))),AND(IF(metadata!W568="",FALSE,TRUE),OR(EXACT(metadata!W568,"TRUE"),EXACT(metadata!W568,"FALSE"))))</f>
        <v>0</v>
      </c>
      <c r="BI568" t="b">
        <f>AND(IF(metadata!X568="",FALSE,TRUE),EXACT(metadata!X568,"other"))</f>
        <v>0</v>
      </c>
      <c r="BJ568" t="b">
        <f>IF(metadata!Y568="",FALSE,TRUE)</f>
        <v>0</v>
      </c>
      <c r="BK568" t="b">
        <f>OR(AND(IF(metadata!Z568="",FALSE,TRUE),OR(EXACT(metadata!Z568,"missing: not collected"),EXACT(metadata!Z568,"missing: not provided"))),AND(IF(metadata!Z568="",FALSE,IF(ISERROR(INT(metadata!Z568)),FALSE,INT(metadata!Z568)=metadata!Z568)),metadata!Z568&gt;0))</f>
        <v>0</v>
      </c>
      <c r="BL568" t="b">
        <f>AND(IF(metadata!AA568="",FALSE,TRUE),EXACT(metadata!AA568,"Not applicable"))</f>
        <v>0</v>
      </c>
      <c r="BM568" t="b">
        <f>IF(metadata!AB568="",FALSE,TRUE)</f>
        <v>0</v>
      </c>
    </row>
    <row r="569" spans="1:65" x14ac:dyDescent="0.2">
      <c r="A569" s="5" t="str">
        <f ca="1">IF(B569=" "," ",HYPERLINK(CONCATENATE("#metadata!",ADDRESS(INDEX($AH$2:$AH$1001,MATCH(ROWS($AF$2:AF569),$AF$2:$AF$1001,0),0),1)),INDEX($AK$2:$AK$1001,MATCH(ROWS($AF$2:AF569),$AF$2:$AF$1001,0),0)))</f>
        <v xml:space="preserve"> </v>
      </c>
      <c r="B569" s="4" t="str">
        <f ca="1">IF(OR(INDEX($AG$2:$AG$1001,MATCH(ROWS($AF$2:AF569),$AF$2:$AF$1001,0),1)&gt;=100000,INDEX($AM$1005:$BM$1005,1,MATCH(COLUMNS($AM$1006:AM1006),$AM$1006:$BM$1006,0))&gt;=100000), " ",IF(INDEX($AM$2:$BM$1001,MATCH(ROWS($AF$2:AF569),$AF$2:$AF$1001,0),MATCH(COLUMNS($AM$1006:AM1006),$AM$1006:$BM$1006,0)), HYPERLINK("#",""), HYPERLINK(CONCATENATE("#metadata!", ADDRESS(INDEX($AH$2:$AH$1001,MATCH(ROWS($AF$2:AF569),$AF$2:$AF$1001,0),0), INDEX($AM$1004:$BM$1004,1,MATCH(COLUMNS($AM$1006:AM1006),$AM$1006:$BM$1006,0)))),"Fix")))</f>
        <v xml:space="preserve"> </v>
      </c>
      <c r="C569" s="4" t="str">
        <f ca="1">IF(OR(INDEX($AG$2:$AG$1001,MATCH(ROWS($AF$2:AF569),$AF$2:$AF$1001,0),1)&gt;=100000,INDEX($AM$1005:$BM$1005,1,MATCH(COLUMNS($AM$1006:AN1006),$AM$1006:$BM$1006,0))&gt;=100000), " ",IF(INDEX($AM$2:$BM$1001,MATCH(ROWS($AF$2:AF569),$AF$2:$AF$1001,0),MATCH(COLUMNS($AM$1006:AN1006),$AM$1006:$BM$1006,0)), HYPERLINK("#",""), HYPERLINK(CONCATENATE("#metadata!", ADDRESS(INDEX($AH$2:$AH$1001,MATCH(ROWS($AF$2:AF569),$AF$2:$AF$1001,0),0), INDEX($AM$1004:$BM$1004,1,MATCH(COLUMNS($AM$1006:AN1006),$AM$1006:$BM$1006,0)))),"Fix")))</f>
        <v xml:space="preserve"> </v>
      </c>
      <c r="D569" s="4" t="str">
        <f ca="1">IF(OR(INDEX($AG$2:$AG$1001,MATCH(ROWS($AF$2:AF569),$AF$2:$AF$1001,0),1)&gt;=100000,INDEX($AM$1005:$BM$1005,1,MATCH(COLUMNS($AM$1006:AO1006),$AM$1006:$BM$1006,0))&gt;=100000), " ",IF(INDEX($AM$2:$BM$1001,MATCH(ROWS($AF$2:AF569),$AF$2:$AF$1001,0),MATCH(COLUMNS($AM$1006:AO1006),$AM$1006:$BM$1006,0)), HYPERLINK("#",""), HYPERLINK(CONCATENATE("#metadata!", ADDRESS(INDEX($AH$2:$AH$1001,MATCH(ROWS($AF$2:AF569),$AF$2:$AF$1001,0),0), INDEX($AM$1004:$BM$1004,1,MATCH(COLUMNS($AM$1006:AO1006),$AM$1006:$BM$1006,0)))),"Fix")))</f>
        <v xml:space="preserve"> </v>
      </c>
      <c r="E569" s="4" t="str">
        <f ca="1">IF(OR(INDEX($AG$2:$AG$1001,MATCH(ROWS($AF$2:AF569),$AF$2:$AF$1001,0),1)&gt;=100000,INDEX($AM$1005:$BM$1005,1,MATCH(COLUMNS($AM$1006:AP1006),$AM$1006:$BM$1006,0))&gt;=100000), " ",IF(INDEX($AM$2:$BM$1001,MATCH(ROWS($AF$2:AF569),$AF$2:$AF$1001,0),MATCH(COLUMNS($AM$1006:AP1006),$AM$1006:$BM$1006,0)), HYPERLINK("#",""), HYPERLINK(CONCATENATE("#metadata!", ADDRESS(INDEX($AH$2:$AH$1001,MATCH(ROWS($AF$2:AF569),$AF$2:$AF$1001,0),0), INDEX($AM$1004:$BM$1004,1,MATCH(COLUMNS($AM$1006:AP1006),$AM$1006:$BM$1006,0)))),"Fix")))</f>
        <v xml:space="preserve"> </v>
      </c>
      <c r="F569" s="4" t="str">
        <f ca="1">IF(OR(INDEX($AG$2:$AG$1001,MATCH(ROWS($AF$2:AF569),$AF$2:$AF$1001,0),1)&gt;=100000,INDEX($AM$1005:$BM$1005,1,MATCH(COLUMNS($AM$1006:AQ1006),$AM$1006:$BM$1006,0))&gt;=100000), " ",IF(INDEX($AM$2:$BM$1001,MATCH(ROWS($AF$2:AF569),$AF$2:$AF$1001,0),MATCH(COLUMNS($AM$1006:AQ1006),$AM$1006:$BM$1006,0)), HYPERLINK("#",""), HYPERLINK(CONCATENATE("#metadata!", ADDRESS(INDEX($AH$2:$AH$1001,MATCH(ROWS($AF$2:AF569),$AF$2:$AF$1001,0),0), INDEX($AM$1004:$BM$1004,1,MATCH(COLUMNS($AM$1006:AQ1006),$AM$1006:$BM$1006,0)))),"Fix")))</f>
        <v xml:space="preserve"> </v>
      </c>
      <c r="G569" s="4" t="str">
        <f ca="1">IF(OR(INDEX($AG$2:$AG$1001,MATCH(ROWS($AF$2:AF569),$AF$2:$AF$1001,0),1)&gt;=100000,INDEX($AM$1005:$BM$1005,1,MATCH(COLUMNS($AM$1006:AR1006),$AM$1006:$BM$1006,0))&gt;=100000), " ",IF(INDEX($AM$2:$BM$1001,MATCH(ROWS($AF$2:AF569),$AF$2:$AF$1001,0),MATCH(COLUMNS($AM$1006:AR1006),$AM$1006:$BM$1006,0)), HYPERLINK("#",""), HYPERLINK(CONCATENATE("#metadata!", ADDRESS(INDEX($AH$2:$AH$1001,MATCH(ROWS($AF$2:AF569),$AF$2:$AF$1001,0),0), INDEX($AM$1004:$BM$1004,1,MATCH(COLUMNS($AM$1006:AR1006),$AM$1006:$BM$1006,0)))),"Fix")))</f>
        <v xml:space="preserve"> </v>
      </c>
      <c r="H569" s="4" t="str">
        <f ca="1">IF(OR(INDEX($AG$2:$AG$1001,MATCH(ROWS($AF$2:AF569),$AF$2:$AF$1001,0),1)&gt;=100000,INDEX($AM$1005:$BM$1005,1,MATCH(COLUMNS($AM$1006:AS1006),$AM$1006:$BM$1006,0))&gt;=100000), " ",IF(INDEX($AM$2:$BM$1001,MATCH(ROWS($AF$2:AF569),$AF$2:$AF$1001,0),MATCH(COLUMNS($AM$1006:AS1006),$AM$1006:$BM$1006,0)), HYPERLINK("#",""), HYPERLINK(CONCATENATE("#metadata!", ADDRESS(INDEX($AH$2:$AH$1001,MATCH(ROWS($AF$2:AF569),$AF$2:$AF$1001,0),0), INDEX($AM$1004:$BM$1004,1,MATCH(COLUMNS($AM$1006:AS1006),$AM$1006:$BM$1006,0)))),"Fix")))</f>
        <v xml:space="preserve"> </v>
      </c>
      <c r="I569" s="4" t="str">
        <f ca="1">IF(OR(INDEX($AG$2:$AG$1001,MATCH(ROWS($AF$2:AF569),$AF$2:$AF$1001,0),1)&gt;=100000,INDEX($AM$1005:$BM$1005,1,MATCH(COLUMNS($AM$1006:AT1006),$AM$1006:$BM$1006,0))&gt;=100000), " ",IF(INDEX($AM$2:$BM$1001,MATCH(ROWS($AF$2:AF569),$AF$2:$AF$1001,0),MATCH(COLUMNS($AM$1006:AT1006),$AM$1006:$BM$1006,0)), HYPERLINK("#",""), HYPERLINK(CONCATENATE("#metadata!", ADDRESS(INDEX($AH$2:$AH$1001,MATCH(ROWS($AF$2:AF569),$AF$2:$AF$1001,0),0), INDEX($AM$1004:$BM$1004,1,MATCH(COLUMNS($AM$1006:AT1006),$AM$1006:$BM$1006,0)))),"Fix")))</f>
        <v xml:space="preserve"> </v>
      </c>
      <c r="J569" s="4" t="str">
        <f ca="1">IF(OR(INDEX($AG$2:$AG$1001,MATCH(ROWS($AF$2:AF569),$AF$2:$AF$1001,0),1)&gt;=100000,INDEX($AM$1005:$BM$1005,1,MATCH(COLUMNS($AM$1006:AU1006),$AM$1006:$BM$1006,0))&gt;=100000), " ",IF(INDEX($AM$2:$BM$1001,MATCH(ROWS($AF$2:AF569),$AF$2:$AF$1001,0),MATCH(COLUMNS($AM$1006:AU1006),$AM$1006:$BM$1006,0)), HYPERLINK("#",""), HYPERLINK(CONCATENATE("#metadata!", ADDRESS(INDEX($AH$2:$AH$1001,MATCH(ROWS($AF$2:AF569),$AF$2:$AF$1001,0),0), INDEX($AM$1004:$BM$1004,1,MATCH(COLUMNS($AM$1006:AU1006),$AM$1006:$BM$1006,0)))),"Fix")))</f>
        <v xml:space="preserve"> </v>
      </c>
      <c r="K569" s="4" t="str">
        <f ca="1">IF(OR(INDEX($AG$2:$AG$1001,MATCH(ROWS($AF$2:AF569),$AF$2:$AF$1001,0),1)&gt;=100000,INDEX($AM$1005:$BM$1005,1,MATCH(COLUMNS($AM$1006:AV1006),$AM$1006:$BM$1006,0))&gt;=100000), " ",IF(INDEX($AM$2:$BM$1001,MATCH(ROWS($AF$2:AF569),$AF$2:$AF$1001,0),MATCH(COLUMNS($AM$1006:AV1006),$AM$1006:$BM$1006,0)), HYPERLINK("#",""), HYPERLINK(CONCATENATE("#metadata!", ADDRESS(INDEX($AH$2:$AH$1001,MATCH(ROWS($AF$2:AF569),$AF$2:$AF$1001,0),0), INDEX($AM$1004:$BM$1004,1,MATCH(COLUMNS($AM$1006:AV1006),$AM$1006:$BM$1006,0)))),"Fix")))</f>
        <v xml:space="preserve"> </v>
      </c>
      <c r="L569" s="4" t="str">
        <f ca="1">IF(OR(INDEX($AG$2:$AG$1001,MATCH(ROWS($AF$2:AF569),$AF$2:$AF$1001,0),1)&gt;=100000,INDEX($AM$1005:$BM$1005,1,MATCH(COLUMNS($AM$1006:AW1006),$AM$1006:$BM$1006,0))&gt;=100000), " ",IF(INDEX($AM$2:$BM$1001,MATCH(ROWS($AF$2:AF569),$AF$2:$AF$1001,0),MATCH(COLUMNS($AM$1006:AW1006),$AM$1006:$BM$1006,0)), HYPERLINK("#",""), HYPERLINK(CONCATENATE("#metadata!", ADDRESS(INDEX($AH$2:$AH$1001,MATCH(ROWS($AF$2:AF569),$AF$2:$AF$1001,0),0), INDEX($AM$1004:$BM$1004,1,MATCH(COLUMNS($AM$1006:AW1006),$AM$1006:$BM$1006,0)))),"Fix")))</f>
        <v xml:space="preserve"> </v>
      </c>
      <c r="M569" s="4" t="str">
        <f ca="1">IF(OR(INDEX($AG$2:$AG$1001,MATCH(ROWS($AF$2:AF569),$AF$2:$AF$1001,0),1)&gt;=100000,INDEX($AM$1005:$BM$1005,1,MATCH(COLUMNS($AM$1006:AX1006),$AM$1006:$BM$1006,0))&gt;=100000), " ",IF(INDEX($AM$2:$BM$1001,MATCH(ROWS($AF$2:AF569),$AF$2:$AF$1001,0),MATCH(COLUMNS($AM$1006:AX1006),$AM$1006:$BM$1006,0)), HYPERLINK("#",""), HYPERLINK(CONCATENATE("#metadata!", ADDRESS(INDEX($AH$2:$AH$1001,MATCH(ROWS($AF$2:AF569),$AF$2:$AF$1001,0),0), INDEX($AM$1004:$BM$1004,1,MATCH(COLUMNS($AM$1006:AX1006),$AM$1006:$BM$1006,0)))),"Fix")))</f>
        <v xml:space="preserve"> </v>
      </c>
      <c r="N569" s="4" t="str">
        <f ca="1">IF(OR(INDEX($AG$2:$AG$1001,MATCH(ROWS($AF$2:AF569),$AF$2:$AF$1001,0),1)&gt;=100000,INDEX($AM$1005:$BM$1005,1,MATCH(COLUMNS($AM$1006:AY1006),$AM$1006:$BM$1006,0))&gt;=100000), " ",IF(INDEX($AM$2:$BM$1001,MATCH(ROWS($AF$2:AF569),$AF$2:$AF$1001,0),MATCH(COLUMNS($AM$1006:AY1006),$AM$1006:$BM$1006,0)), HYPERLINK("#",""), HYPERLINK(CONCATENATE("#metadata!", ADDRESS(INDEX($AH$2:$AH$1001,MATCH(ROWS($AF$2:AF569),$AF$2:$AF$1001,0),0), INDEX($AM$1004:$BM$1004,1,MATCH(COLUMNS($AM$1006:AY1006),$AM$1006:$BM$1006,0)))),"Fix")))</f>
        <v xml:space="preserve"> </v>
      </c>
      <c r="O569" s="4" t="str">
        <f ca="1">IF(OR(INDEX($AG$2:$AG$1001,MATCH(ROWS($AF$2:AF569),$AF$2:$AF$1001,0),1)&gt;=100000,INDEX($AM$1005:$BM$1005,1,MATCH(COLUMNS($AM$1006:AZ1006),$AM$1006:$BM$1006,0))&gt;=100000), " ",IF(INDEX($AM$2:$BM$1001,MATCH(ROWS($AF$2:AF569),$AF$2:$AF$1001,0),MATCH(COLUMNS($AM$1006:AZ1006),$AM$1006:$BM$1006,0)), HYPERLINK("#",""), HYPERLINK(CONCATENATE("#metadata!", ADDRESS(INDEX($AH$2:$AH$1001,MATCH(ROWS($AF$2:AF569),$AF$2:$AF$1001,0),0), INDEX($AM$1004:$BM$1004,1,MATCH(COLUMNS($AM$1006:AZ1006),$AM$1006:$BM$1006,0)))),"Fix")))</f>
        <v xml:space="preserve"> </v>
      </c>
      <c r="P569" s="4" t="str">
        <f ca="1">IF(OR(INDEX($AG$2:$AG$1001,MATCH(ROWS($AF$2:AF569),$AF$2:$AF$1001,0),1)&gt;=100000,INDEX($AM$1005:$BM$1005,1,MATCH(COLUMNS($AM$1006:BA1006),$AM$1006:$BM$1006,0))&gt;=100000), " ",IF(INDEX($AM$2:$BM$1001,MATCH(ROWS($AF$2:AF569),$AF$2:$AF$1001,0),MATCH(COLUMNS($AM$1006:BA1006),$AM$1006:$BM$1006,0)), HYPERLINK("#",""), HYPERLINK(CONCATENATE("#metadata!", ADDRESS(INDEX($AH$2:$AH$1001,MATCH(ROWS($AF$2:AF569),$AF$2:$AF$1001,0),0), INDEX($AM$1004:$BM$1004,1,MATCH(COLUMNS($AM$1006:BA1006),$AM$1006:$BM$1006,0)))),"Fix")))</f>
        <v xml:space="preserve"> </v>
      </c>
      <c r="Q569" s="4" t="str">
        <f ca="1">IF(OR(INDEX($AG$2:$AG$1001,MATCH(ROWS($AF$2:AF569),$AF$2:$AF$1001,0),1)&gt;=100000,INDEX($AM$1005:$BM$1005,1,MATCH(COLUMNS($AM$1006:BB1006),$AM$1006:$BM$1006,0))&gt;=100000), " ",IF(INDEX($AM$2:$BM$1001,MATCH(ROWS($AF$2:AF569),$AF$2:$AF$1001,0),MATCH(COLUMNS($AM$1006:BB1006),$AM$1006:$BM$1006,0)), HYPERLINK("#",""), HYPERLINK(CONCATENATE("#metadata!", ADDRESS(INDEX($AH$2:$AH$1001,MATCH(ROWS($AF$2:AF569),$AF$2:$AF$1001,0),0), INDEX($AM$1004:$BM$1004,1,MATCH(COLUMNS($AM$1006:BB1006),$AM$1006:$BM$1006,0)))),"Fix")))</f>
        <v xml:space="preserve"> </v>
      </c>
      <c r="R569" s="4" t="str">
        <f ca="1">IF(OR(INDEX($AG$2:$AG$1001,MATCH(ROWS($AF$2:AF569),$AF$2:$AF$1001,0),1)&gt;=100000,INDEX($AM$1005:$BM$1005,1,MATCH(COLUMNS($AM$1006:BC1006),$AM$1006:$BM$1006,0))&gt;=100000), " ",IF(INDEX($AM$2:$BM$1001,MATCH(ROWS($AF$2:AF569),$AF$2:$AF$1001,0),MATCH(COLUMNS($AM$1006:BC1006),$AM$1006:$BM$1006,0)), HYPERLINK("#",""), HYPERLINK(CONCATENATE("#metadata!", ADDRESS(INDEX($AH$2:$AH$1001,MATCH(ROWS($AF$2:AF569),$AF$2:$AF$1001,0),0), INDEX($AM$1004:$BM$1004,1,MATCH(COLUMNS($AM$1006:BC1006),$AM$1006:$BM$1006,0)))),"Fix")))</f>
        <v xml:space="preserve"> </v>
      </c>
      <c r="S569" s="4" t="str">
        <f ca="1">IF(OR(INDEX($AG$2:$AG$1001,MATCH(ROWS($AF$2:AF569),$AF$2:$AF$1001,0),1)&gt;=100000,INDEX($AM$1005:$BM$1005,1,MATCH(COLUMNS($AM$1006:BD1006),$AM$1006:$BM$1006,0))&gt;=100000), " ",IF(INDEX($AM$2:$BM$1001,MATCH(ROWS($AF$2:AF569),$AF$2:$AF$1001,0),MATCH(COLUMNS($AM$1006:BD1006),$AM$1006:$BM$1006,0)), HYPERLINK("#",""), HYPERLINK(CONCATENATE("#metadata!", ADDRESS(INDEX($AH$2:$AH$1001,MATCH(ROWS($AF$2:AF569),$AF$2:$AF$1001,0),0), INDEX($AM$1004:$BM$1004,1,MATCH(COLUMNS($AM$1006:BD1006),$AM$1006:$BM$1006,0)))),"Fix")))</f>
        <v xml:space="preserve"> </v>
      </c>
      <c r="T569" s="4" t="str">
        <f ca="1">IF(OR(INDEX($AG$2:$AG$1001,MATCH(ROWS($AF$2:AF569),$AF$2:$AF$1001,0),1)&gt;=100000,INDEX($AM$1005:$BM$1005,1,MATCH(COLUMNS($AM$1006:BE1006),$AM$1006:$BM$1006,0))&gt;=100000), " ",IF(INDEX($AM$2:$BM$1001,MATCH(ROWS($AF$2:AF569),$AF$2:$AF$1001,0),MATCH(COLUMNS($AM$1006:BE1006),$AM$1006:$BM$1006,0)), HYPERLINK("#",""), HYPERLINK(CONCATENATE("#metadata!", ADDRESS(INDEX($AH$2:$AH$1001,MATCH(ROWS($AF$2:AF569),$AF$2:$AF$1001,0),0), INDEX($AM$1004:$BM$1004,1,MATCH(COLUMNS($AM$1006:BE1006),$AM$1006:$BM$1006,0)))),"Fix")))</f>
        <v xml:space="preserve"> </v>
      </c>
      <c r="U569" s="4" t="str">
        <f ca="1">IF(OR(INDEX($AG$2:$AG$1001,MATCH(ROWS($AF$2:AF569),$AF$2:$AF$1001,0),1)&gt;=100000,INDEX($AM$1005:$BM$1005,1,MATCH(COLUMNS($AM$1006:BF1006),$AM$1006:$BM$1006,0))&gt;=100000), " ",IF(INDEX($AM$2:$BM$1001,MATCH(ROWS($AF$2:AF569),$AF$2:$AF$1001,0),MATCH(COLUMNS($AM$1006:BF1006),$AM$1006:$BM$1006,0)), HYPERLINK("#",""), HYPERLINK(CONCATENATE("#metadata!", ADDRESS(INDEX($AH$2:$AH$1001,MATCH(ROWS($AF$2:AF569),$AF$2:$AF$1001,0),0), INDEX($AM$1004:$BM$1004,1,MATCH(COLUMNS($AM$1006:BF1006),$AM$1006:$BM$1006,0)))),"Fix")))</f>
        <v xml:space="preserve"> </v>
      </c>
      <c r="V569" s="4" t="str">
        <f ca="1">IF(OR(INDEX($AG$2:$AG$1001,MATCH(ROWS($AF$2:AF569),$AF$2:$AF$1001,0),1)&gt;=100000,INDEX($AM$1005:$BM$1005,1,MATCH(COLUMNS($AM$1006:BG1006),$AM$1006:$BM$1006,0))&gt;=100000), " ",IF(INDEX($AM$2:$BM$1001,MATCH(ROWS($AF$2:AF569),$AF$2:$AF$1001,0),MATCH(COLUMNS($AM$1006:BG1006),$AM$1006:$BM$1006,0)), HYPERLINK("#",""), HYPERLINK(CONCATENATE("#metadata!", ADDRESS(INDEX($AH$2:$AH$1001,MATCH(ROWS($AF$2:AF569),$AF$2:$AF$1001,0),0), INDEX($AM$1004:$BM$1004,1,MATCH(COLUMNS($AM$1006:BG1006),$AM$1006:$BM$1006,0)))),"Fix")))</f>
        <v xml:space="preserve"> </v>
      </c>
      <c r="W569" s="4" t="str">
        <f ca="1">IF(OR(INDEX($AG$2:$AG$1001,MATCH(ROWS($AF$2:AF569),$AF$2:$AF$1001,0),1)&gt;=100000,INDEX($AM$1005:$BM$1005,1,MATCH(COLUMNS($AM$1006:BH1006),$AM$1006:$BM$1006,0))&gt;=100000), " ",IF(INDEX($AM$2:$BM$1001,MATCH(ROWS($AF$2:AF569),$AF$2:$AF$1001,0),MATCH(COLUMNS($AM$1006:BH1006),$AM$1006:$BM$1006,0)), HYPERLINK("#",""), HYPERLINK(CONCATENATE("#metadata!", ADDRESS(INDEX($AH$2:$AH$1001,MATCH(ROWS($AF$2:AF569),$AF$2:$AF$1001,0),0), INDEX($AM$1004:$BM$1004,1,MATCH(COLUMNS($AM$1006:BH1006),$AM$1006:$BM$1006,0)))),"Fix")))</f>
        <v xml:space="preserve"> </v>
      </c>
      <c r="X569" s="4" t="str">
        <f ca="1">IF(OR(INDEX($AG$2:$AG$1001,MATCH(ROWS($AF$2:AF569),$AF$2:$AF$1001,0),1)&gt;=100000,INDEX($AM$1005:$BM$1005,1,MATCH(COLUMNS($AM$1006:BI1006),$AM$1006:$BM$1006,0))&gt;=100000), " ",IF(INDEX($AM$2:$BM$1001,MATCH(ROWS($AF$2:AF569),$AF$2:$AF$1001,0),MATCH(COLUMNS($AM$1006:BI1006),$AM$1006:$BM$1006,0)), HYPERLINK("#",""), HYPERLINK(CONCATENATE("#metadata!", ADDRESS(INDEX($AH$2:$AH$1001,MATCH(ROWS($AF$2:AF569),$AF$2:$AF$1001,0),0), INDEX($AM$1004:$BM$1004,1,MATCH(COLUMNS($AM$1006:BI1006),$AM$1006:$BM$1006,0)))),"Fix")))</f>
        <v xml:space="preserve"> </v>
      </c>
      <c r="Y569" s="4" t="str">
        <f ca="1">IF(OR(INDEX($AG$2:$AG$1001,MATCH(ROWS($AF$2:AF569),$AF$2:$AF$1001,0),1)&gt;=100000,INDEX($AM$1005:$BM$1005,1,MATCH(COLUMNS($AM$1006:BJ1006),$AM$1006:$BM$1006,0))&gt;=100000), " ",IF(INDEX($AM$2:$BM$1001,MATCH(ROWS($AF$2:AF569),$AF$2:$AF$1001,0),MATCH(COLUMNS($AM$1006:BJ1006),$AM$1006:$BM$1006,0)), HYPERLINK("#",""), HYPERLINK(CONCATENATE("#metadata!", ADDRESS(INDEX($AH$2:$AH$1001,MATCH(ROWS($AF$2:AF569),$AF$2:$AF$1001,0),0), INDEX($AM$1004:$BM$1004,1,MATCH(COLUMNS($AM$1006:BJ1006),$AM$1006:$BM$1006,0)))),"Fix")))</f>
        <v xml:space="preserve"> </v>
      </c>
      <c r="Z569" s="4" t="str">
        <f ca="1">IF(OR(INDEX($AG$2:$AG$1001,MATCH(ROWS($AF$2:AF569),$AF$2:$AF$1001,0),1)&gt;=100000,INDEX($AM$1005:$BM$1005,1,MATCH(COLUMNS($AM$1006:BK1006),$AM$1006:$BM$1006,0))&gt;=100000), " ",IF(INDEX($AM$2:$BM$1001,MATCH(ROWS($AF$2:AF569),$AF$2:$AF$1001,0),MATCH(COLUMNS($AM$1006:BK1006),$AM$1006:$BM$1006,0)), HYPERLINK("#",""), HYPERLINK(CONCATENATE("#metadata!", ADDRESS(INDEX($AH$2:$AH$1001,MATCH(ROWS($AF$2:AF569),$AF$2:$AF$1001,0),0), INDEX($AM$1004:$BM$1004,1,MATCH(COLUMNS($AM$1006:BK1006),$AM$1006:$BM$1006,0)))),"Fix")))</f>
        <v xml:space="preserve"> </v>
      </c>
      <c r="AA569" s="4" t="str">
        <f ca="1">IF(OR(INDEX($AG$2:$AG$1001,MATCH(ROWS($AF$2:AF569),$AF$2:$AF$1001,0),1)&gt;=100000,INDEX($AM$1005:$BM$1005,1,MATCH(COLUMNS($AM$1006:BL1006),$AM$1006:$BM$1006,0))&gt;=100000), " ",IF(INDEX($AM$2:$BM$1001,MATCH(ROWS($AF$2:AF569),$AF$2:$AF$1001,0),MATCH(COLUMNS($AM$1006:BL1006),$AM$1006:$BM$1006,0)), HYPERLINK("#",""), HYPERLINK(CONCATENATE("#metadata!", ADDRESS(INDEX($AH$2:$AH$1001,MATCH(ROWS($AF$2:AF569),$AF$2:$AF$1001,0),0), INDEX($AM$1004:$BM$1004,1,MATCH(COLUMNS($AM$1006:BL1006),$AM$1006:$BM$1006,0)))),"Fix")))</f>
        <v xml:space="preserve"> </v>
      </c>
      <c r="AB569" s="4" t="str">
        <f ca="1">IF(OR(INDEX($AG$2:$AG$1001,MATCH(ROWS($AF$2:AF569),$AF$2:$AF$1001,0),1)&gt;=100000,INDEX($AM$1005:$BM$1005,1,MATCH(COLUMNS($AM$1006:BM1006),$AM$1006:$BM$1006,0))&gt;=100000), " ",IF(INDEX($AM$2:$BM$1001,MATCH(ROWS($AF$2:AF569),$AF$2:$AF$1001,0),MATCH(COLUMNS($AM$1006:BM1006),$AM$1006:$BM$1006,0)), HYPERLINK("#",""), HYPERLINK(CONCATENATE("#metadata!", ADDRESS(INDEX($AH$2:$AH$1001,MATCH(ROWS($AF$2:AF569),$AF$2:$AF$1001,0),0), INDEX($AM$1004:$BM$1004,1,MATCH(COLUMNS($AM$1006:BM1006),$AM$1006:$BM$1006,0)))),"Fix")))</f>
        <v xml:space="preserve"> </v>
      </c>
      <c r="AF569">
        <v>568</v>
      </c>
      <c r="AG569">
        <v>100569</v>
      </c>
      <c r="AH569">
        <v>569</v>
      </c>
      <c r="AI569" t="b">
        <f t="shared" si="8"/>
        <v>1</v>
      </c>
      <c r="AJ569" t="b">
        <f>COUNTBLANK(metadata!B569:AB569)=COLUMNS(metadata!B569:AB569)</f>
        <v>1</v>
      </c>
      <c r="AK569" t="str">
        <v/>
      </c>
      <c r="AM569" t="b">
        <f ca="1">AND(IF(metadata!B569="",FALSE,TRUE),COUNTIF(metadata!B:B, metadata!B569) = 1,NOT(ISERROR(SUMPRODUCT(SEARCH(MID(metadata!B569,ROW(INDIRECT("1:"&amp;LEN(metadata!B569))), 1),"0123456789abcdefghijklmnopqrstuvwxyzABCDEFGHIJKLMNOPQRSTUVWXYZ.")))))</f>
        <v>0</v>
      </c>
      <c r="AN569" t="b">
        <f ca="1">OR(AND(IF(metadata!C569="",FALSE,TRUE),OR(EXACT(metadata!C569,"missing: not collected"),EXACT(metadata!C569,"missing: not provided"),EXACT(metadata!C569,"missing: restricted access"))),AND(IF(metadata!C569="",FALSE,TRUE),AND(AND(IFERROR(INT(LEFT(metadata!C569,4))&gt;1900,FALSE),IFERROR(INT(LEFT(metadata!C569,4))&lt;=YEAR(NOW()),FALSE)), OR(MID(metadata!C569,5,1)="", AND(AND(MID(metadata!C569,5,1)="-",IFERROR(INT(MID(metadata!C569,6,1))&gt;=0,FALSE),IFERROR(INT(MID(metadata!C569,6,1))&lt;=1,FALSE),NOT(MID(metadata!C569,7,1)=""),IFERROR(INT(MID(metadata!C569,6,2))&gt;=1,FALSE),IFERROR(INT(MID(metadata!C569,6,2))&lt;=12,FALSE)), OR(MID(metadata!C569,8,1)="", AND(AND(MID(metadata!C569,8,1)="-",IFERROR(INT(MID(metadata!C569,9,1))&gt;=0,FALSE),IFERROR(INT(MID(metadata!C569,9,1))&lt;=3,FALSE),NOT(MID(metadata!C569,10,1)=""),IFERROR(INT(MID(metadata!C569,9,2))&gt;=1,FALSE),IFERROR(INT(MID(metadata!C569,9,2))&lt;=31,FALSE)), OR(MID(metadata!C569,11,1)="", AND(AND(MID(metadata!C569,11,1)=" ",IFERROR(INT(MID(metadata!C569,12,1))&gt;=0,FALSE),IFERROR(INT(MID(metadata!C569,12,1))&lt;=2,FALSE),NOT(MID(metadata!C569,13,1)=""),IFERROR(INT(MID(metadata!C569,12,2))&gt;=0,FALSE),IFERROR(INT(MID(metadata!C569,12,2))&lt;=23,FALSE)), OR(MID(metadata!C569,14,1)="", AND(AND(MID(metadata!C569,14,1)=":",IFERROR(INT(MID(metadata!C569,15,1))&gt;=0,FALSE),IFERROR(INT(MID(metadata!C569,15,1))&lt;=5,FALSE),NOT(MID(metadata!C569,16,1)=""),IFERROR(INT(MID(metadata!C569,15,2))&gt;=0,FALSE),IFERROR(INT(MID(metadata!C569,15,2))&lt;=59,FALSE)), OR(MID(metadata!C569,17,1)="", AND(AND(MID(metadata!C569,17,1)=":",IFERROR(INT(MID(metadata!C569,18,1))&gt;=0,FALSE),IFERROR(INT(MID(metadata!C569,18,1))&lt;=5,FALSE),NOT(MID(metadata!C569,19,1)=""),IFERROR(INT(MID(metadata!C569,18,2))&gt;=0,FALSE),IFERROR(INT(MID(metadata!C569,18,2))&lt;=59,FALSE)), LEN(metadata!C569)&lt;=19)))))))))))))</f>
        <v>0</v>
      </c>
      <c r="AO569" t="b">
        <f>AND(IF(metadata!D569="",FALSE,TRUE),EXACT(metadata!D569,"Not applicable"))</f>
        <v>0</v>
      </c>
      <c r="AP569" t="b">
        <f>IF(metadata!E569="",FALSE,TRUE)</f>
        <v>0</v>
      </c>
      <c r="AQ569" t="b">
        <f>OR(AND(IF(metadata!F569="",FALSE,TRUE),OR(EXACT(metadata!F569,"missing: not collected"),EXACT(metadata!F569,"missing: not provided"))),AND(IF(metadata!F569="",FALSE,TRUE),OR(EXACT(metadata!F569,"TRUE"),EXACT(metadata!F569,"FALSE"))))</f>
        <v>0</v>
      </c>
      <c r="AR569" t="b">
        <f>OR(AND(IF(metadata!G569="",FALSE,TRUE),OR(EXACT(metadata!G569,"missing: not collected"),EXACT(metadata!G569,"missing: not provided"),EXACT(metadata!G569,"missing: restricted access"))),AND(IF(metadata!G569="",FALSE,ISNUMBER(VALUE(metadata!G569))),metadata!G569&gt;=-413))</f>
        <v>0</v>
      </c>
      <c r="AS569" t="b">
        <f>AND(IF(metadata!H569="",FALSE,TRUE),EXACT(metadata!H569,"meters"))</f>
        <v>0</v>
      </c>
      <c r="AT569" t="b">
        <f>AND(IF(metadata!I569="",FALSE,TRUE),OR(EXACT(metadata!I569,"Host-associated"),EXACT(metadata!I569,"Free-living")))</f>
        <v>0</v>
      </c>
      <c r="AU569" t="b">
        <f>AND(IF(metadata!J569="",FALSE,TRUE),OR(EXACT(metadata!J569,"Animal"),EXACT(metadata!J569,"Fungus"),EXACT(metadata!J569,"Plant"),EXACT(metadata!J569,"Saline"),EXACT(metadata!J569,"Non-saline")))</f>
        <v>0</v>
      </c>
      <c r="AV569" t="b">
        <f>AND(IF(metadata!K569="",FALSE,TRUE),OR(EXACT(metadata!K569,"Plant secretion"),EXACT(metadata!K569,"Plant rhizosphere"),EXACT(metadata!K569,"Plant surface"),EXACT(metadata!K569,"Plant corpus"),EXACT(metadata!K569,"Fungus surface"),EXACT(metadata!K569,"Fungus corpus"),EXACT(metadata!K569,"Animal surface"),EXACT(metadata!K569,"Animal proximal gut"),EXACT(metadata!K569,"Animal corpus"),EXACT(metadata!K569,"Animal distal gut"),EXACT(metadata!K569,"Animal secretion"),EXACT(metadata!K569,"Sub-surface (non-saline)"),EXACT(metadata!K569,"Surface (non-saline)"),EXACT(metadata!K569,"Water (non-saline)"),EXACT(metadata!K569,"Soil (non-saline)"),EXACT(metadata!K569,"Aerosol (non-saline)"),EXACT(metadata!K569,"Sediment (non-saline)"),EXACT(metadata!K569,"Surface (saline)"),EXACT(metadata!K569,"Water (saline)"),EXACT(metadata!K569,"Hypersaline (saline)"),EXACT(metadata!K569,"Aerosol (saline)"),EXACT(metadata!K569,"Sediment (saline)")))</f>
        <v>0</v>
      </c>
      <c r="AW569" t="b">
        <f>IF(metadata!L569="",FALSE,TRUE)</f>
        <v>0</v>
      </c>
      <c r="AX569" t="b">
        <f>IF(metadata!M569="",FALSE,TRUE)</f>
        <v>0</v>
      </c>
      <c r="AY569" t="b">
        <f>IF(metadata!N569="",FALSE,TRUE)</f>
        <v>0</v>
      </c>
      <c r="AZ569" t="b">
        <f>OR(AND(IF(metadata!O569="",FALSE,TRUE),OR(EXACT(metadata!O569,"missing: not collected"),EXACT(metadata!O569,"missing: not provided"),EXACT(metadata!O569,"missing: restricted access"))),AND(IF(metadata!O569="",FALSE,TRUE),OR(EXACT(metadata!O569,"air"),EXACT(metadata!O569,"built environment"),EXACT(metadata!O569,"host-associated"),EXACT(metadata!O569,"human-associated"),EXACT(metadata!O569,"human-skin"),EXACT(metadata!O569,"human-oral"),EXACT(metadata!O569,"human-gut"),EXACT(metadata!O569,"human-vaginal"),EXACT(metadata!O569,"microbial mat/biofilm"),EXACT(metadata!O569,"misc environment"),EXACT(metadata!O569,"plant-associated"),EXACT(metadata!O569,"sediment"),EXACT(metadata!O569,"soil"),EXACT(metadata!O569,"wastewater/sludge"),EXACT(metadata!O569,"water"))))</f>
        <v>0</v>
      </c>
      <c r="BA569" t="b">
        <f>IF(metadata!P569="",FALSE,TRUE)</f>
        <v>0</v>
      </c>
      <c r="BB569" t="b">
        <f>IF(metadata!Q569="",FALSE,TRUE)</f>
        <v>0</v>
      </c>
      <c r="BC569" t="b">
        <f>OR(AND(IF(metadata!R569="",FALSE,TRUE),OR(EXACT(metadata!R569,"missing: not collected"),EXACT(metadata!R569,"missing: not provided"),EXACT(metadata!R569,"missing: restricted access"))),AND(IF(metadata!R569="",FALSE,ISNUMBER(VALUE(metadata!R569))),metadata!R569&gt;=-90,metadata!R569&lt;=90))</f>
        <v>0</v>
      </c>
      <c r="BD569" t="b">
        <f>AND(IF(metadata!S569="",FALSE,TRUE),EXACT(metadata!S569,"Decimal degrees"))</f>
        <v>0</v>
      </c>
      <c r="BE569" t="b">
        <f>OR(AND(IF(metadata!T569="",FALSE,TRUE),OR(EXACT(metadata!T569,"missing: not collected"),EXACT(metadata!T569,"missing: not provided"),EXACT(metadata!T569,"missing: restricted access"))),AND(IF(metadata!T569="",FALSE,ISNUMBER(VALUE(metadata!T569))),metadata!T569&gt;=-180,metadata!T569&lt;=180))</f>
        <v>0</v>
      </c>
      <c r="BF569" t="b">
        <f>AND(IF(metadata!U569="",FALSE,TRUE),EXACT(metadata!U569,"Decimal degrees"))</f>
        <v>0</v>
      </c>
      <c r="BG569" t="b">
        <f>IF(metadata!V569="",FALSE,TRUE)</f>
        <v>0</v>
      </c>
      <c r="BH569" t="b">
        <f>OR(AND(IF(metadata!W569="",FALSE,TRUE),OR(EXACT(metadata!W569,"missing: not collected"),EXACT(metadata!W569,"missing: not provided"),EXACT(metadata!W569,"missing: restricted access"))),AND(IF(metadata!W569="",FALSE,TRUE),OR(EXACT(metadata!W569,"TRUE"),EXACT(metadata!W569,"FALSE"))))</f>
        <v>0</v>
      </c>
      <c r="BI569" t="b">
        <f>AND(IF(metadata!X569="",FALSE,TRUE),EXACT(metadata!X569,"other"))</f>
        <v>0</v>
      </c>
      <c r="BJ569" t="b">
        <f>IF(metadata!Y569="",FALSE,TRUE)</f>
        <v>0</v>
      </c>
      <c r="BK569" t="b">
        <f>OR(AND(IF(metadata!Z569="",FALSE,TRUE),OR(EXACT(metadata!Z569,"missing: not collected"),EXACT(metadata!Z569,"missing: not provided"))),AND(IF(metadata!Z569="",FALSE,IF(ISERROR(INT(metadata!Z569)),FALSE,INT(metadata!Z569)=metadata!Z569)),metadata!Z569&gt;0))</f>
        <v>0</v>
      </c>
      <c r="BL569" t="b">
        <f>AND(IF(metadata!AA569="",FALSE,TRUE),EXACT(metadata!AA569,"Not applicable"))</f>
        <v>0</v>
      </c>
      <c r="BM569" t="b">
        <f>IF(metadata!AB569="",FALSE,TRUE)</f>
        <v>0</v>
      </c>
    </row>
    <row r="570" spans="1:65" x14ac:dyDescent="0.2">
      <c r="A570" s="5" t="str">
        <f ca="1">IF(B570=" "," ",HYPERLINK(CONCATENATE("#metadata!",ADDRESS(INDEX($AH$2:$AH$1001,MATCH(ROWS($AF$2:AF570),$AF$2:$AF$1001,0),0),1)),INDEX($AK$2:$AK$1001,MATCH(ROWS($AF$2:AF570),$AF$2:$AF$1001,0),0)))</f>
        <v xml:space="preserve"> </v>
      </c>
      <c r="B570" s="4" t="str">
        <f ca="1">IF(OR(INDEX($AG$2:$AG$1001,MATCH(ROWS($AF$2:AF570),$AF$2:$AF$1001,0),1)&gt;=100000,INDEX($AM$1005:$BM$1005,1,MATCH(COLUMNS($AM$1006:AM1006),$AM$1006:$BM$1006,0))&gt;=100000), " ",IF(INDEX($AM$2:$BM$1001,MATCH(ROWS($AF$2:AF570),$AF$2:$AF$1001,0),MATCH(COLUMNS($AM$1006:AM1006),$AM$1006:$BM$1006,0)), HYPERLINK("#",""), HYPERLINK(CONCATENATE("#metadata!", ADDRESS(INDEX($AH$2:$AH$1001,MATCH(ROWS($AF$2:AF570),$AF$2:$AF$1001,0),0), INDEX($AM$1004:$BM$1004,1,MATCH(COLUMNS($AM$1006:AM1006),$AM$1006:$BM$1006,0)))),"Fix")))</f>
        <v xml:space="preserve"> </v>
      </c>
      <c r="C570" s="4" t="str">
        <f ca="1">IF(OR(INDEX($AG$2:$AG$1001,MATCH(ROWS($AF$2:AF570),$AF$2:$AF$1001,0),1)&gt;=100000,INDEX($AM$1005:$BM$1005,1,MATCH(COLUMNS($AM$1006:AN1006),$AM$1006:$BM$1006,0))&gt;=100000), " ",IF(INDEX($AM$2:$BM$1001,MATCH(ROWS($AF$2:AF570),$AF$2:$AF$1001,0),MATCH(COLUMNS($AM$1006:AN1006),$AM$1006:$BM$1006,0)), HYPERLINK("#",""), HYPERLINK(CONCATENATE("#metadata!", ADDRESS(INDEX($AH$2:$AH$1001,MATCH(ROWS($AF$2:AF570),$AF$2:$AF$1001,0),0), INDEX($AM$1004:$BM$1004,1,MATCH(COLUMNS($AM$1006:AN1006),$AM$1006:$BM$1006,0)))),"Fix")))</f>
        <v xml:space="preserve"> </v>
      </c>
      <c r="D570" s="4" t="str">
        <f ca="1">IF(OR(INDEX($AG$2:$AG$1001,MATCH(ROWS($AF$2:AF570),$AF$2:$AF$1001,0),1)&gt;=100000,INDEX($AM$1005:$BM$1005,1,MATCH(COLUMNS($AM$1006:AO1006),$AM$1006:$BM$1006,0))&gt;=100000), " ",IF(INDEX($AM$2:$BM$1001,MATCH(ROWS($AF$2:AF570),$AF$2:$AF$1001,0),MATCH(COLUMNS($AM$1006:AO1006),$AM$1006:$BM$1006,0)), HYPERLINK("#",""), HYPERLINK(CONCATENATE("#metadata!", ADDRESS(INDEX($AH$2:$AH$1001,MATCH(ROWS($AF$2:AF570),$AF$2:$AF$1001,0),0), INDEX($AM$1004:$BM$1004,1,MATCH(COLUMNS($AM$1006:AO1006),$AM$1006:$BM$1006,0)))),"Fix")))</f>
        <v xml:space="preserve"> </v>
      </c>
      <c r="E570" s="4" t="str">
        <f ca="1">IF(OR(INDEX($AG$2:$AG$1001,MATCH(ROWS($AF$2:AF570),$AF$2:$AF$1001,0),1)&gt;=100000,INDEX($AM$1005:$BM$1005,1,MATCH(COLUMNS($AM$1006:AP1006),$AM$1006:$BM$1006,0))&gt;=100000), " ",IF(INDEX($AM$2:$BM$1001,MATCH(ROWS($AF$2:AF570),$AF$2:$AF$1001,0),MATCH(COLUMNS($AM$1006:AP1006),$AM$1006:$BM$1006,0)), HYPERLINK("#",""), HYPERLINK(CONCATENATE("#metadata!", ADDRESS(INDEX($AH$2:$AH$1001,MATCH(ROWS($AF$2:AF570),$AF$2:$AF$1001,0),0), INDEX($AM$1004:$BM$1004,1,MATCH(COLUMNS($AM$1006:AP1006),$AM$1006:$BM$1006,0)))),"Fix")))</f>
        <v xml:space="preserve"> </v>
      </c>
      <c r="F570" s="4" t="str">
        <f ca="1">IF(OR(INDEX($AG$2:$AG$1001,MATCH(ROWS($AF$2:AF570),$AF$2:$AF$1001,0),1)&gt;=100000,INDEX($AM$1005:$BM$1005,1,MATCH(COLUMNS($AM$1006:AQ1006),$AM$1006:$BM$1006,0))&gt;=100000), " ",IF(INDEX($AM$2:$BM$1001,MATCH(ROWS($AF$2:AF570),$AF$2:$AF$1001,0),MATCH(COLUMNS($AM$1006:AQ1006),$AM$1006:$BM$1006,0)), HYPERLINK("#",""), HYPERLINK(CONCATENATE("#metadata!", ADDRESS(INDEX($AH$2:$AH$1001,MATCH(ROWS($AF$2:AF570),$AF$2:$AF$1001,0),0), INDEX($AM$1004:$BM$1004,1,MATCH(COLUMNS($AM$1006:AQ1006),$AM$1006:$BM$1006,0)))),"Fix")))</f>
        <v xml:space="preserve"> </v>
      </c>
      <c r="G570" s="4" t="str">
        <f ca="1">IF(OR(INDEX($AG$2:$AG$1001,MATCH(ROWS($AF$2:AF570),$AF$2:$AF$1001,0),1)&gt;=100000,INDEX($AM$1005:$BM$1005,1,MATCH(COLUMNS($AM$1006:AR1006),$AM$1006:$BM$1006,0))&gt;=100000), " ",IF(INDEX($AM$2:$BM$1001,MATCH(ROWS($AF$2:AF570),$AF$2:$AF$1001,0),MATCH(COLUMNS($AM$1006:AR1006),$AM$1006:$BM$1006,0)), HYPERLINK("#",""), HYPERLINK(CONCATENATE("#metadata!", ADDRESS(INDEX($AH$2:$AH$1001,MATCH(ROWS($AF$2:AF570),$AF$2:$AF$1001,0),0), INDEX($AM$1004:$BM$1004,1,MATCH(COLUMNS($AM$1006:AR1006),$AM$1006:$BM$1006,0)))),"Fix")))</f>
        <v xml:space="preserve"> </v>
      </c>
      <c r="H570" s="4" t="str">
        <f ca="1">IF(OR(INDEX($AG$2:$AG$1001,MATCH(ROWS($AF$2:AF570),$AF$2:$AF$1001,0),1)&gt;=100000,INDEX($AM$1005:$BM$1005,1,MATCH(COLUMNS($AM$1006:AS1006),$AM$1006:$BM$1006,0))&gt;=100000), " ",IF(INDEX($AM$2:$BM$1001,MATCH(ROWS($AF$2:AF570),$AF$2:$AF$1001,0),MATCH(COLUMNS($AM$1006:AS1006),$AM$1006:$BM$1006,0)), HYPERLINK("#",""), HYPERLINK(CONCATENATE("#metadata!", ADDRESS(INDEX($AH$2:$AH$1001,MATCH(ROWS($AF$2:AF570),$AF$2:$AF$1001,0),0), INDEX($AM$1004:$BM$1004,1,MATCH(COLUMNS($AM$1006:AS1006),$AM$1006:$BM$1006,0)))),"Fix")))</f>
        <v xml:space="preserve"> </v>
      </c>
      <c r="I570" s="4" t="str">
        <f ca="1">IF(OR(INDEX($AG$2:$AG$1001,MATCH(ROWS($AF$2:AF570),$AF$2:$AF$1001,0),1)&gt;=100000,INDEX($AM$1005:$BM$1005,1,MATCH(COLUMNS($AM$1006:AT1006),$AM$1006:$BM$1006,0))&gt;=100000), " ",IF(INDEX($AM$2:$BM$1001,MATCH(ROWS($AF$2:AF570),$AF$2:$AF$1001,0),MATCH(COLUMNS($AM$1006:AT1006),$AM$1006:$BM$1006,0)), HYPERLINK("#",""), HYPERLINK(CONCATENATE("#metadata!", ADDRESS(INDEX($AH$2:$AH$1001,MATCH(ROWS($AF$2:AF570),$AF$2:$AF$1001,0),0), INDEX($AM$1004:$BM$1004,1,MATCH(COLUMNS($AM$1006:AT1006),$AM$1006:$BM$1006,0)))),"Fix")))</f>
        <v xml:space="preserve"> </v>
      </c>
      <c r="J570" s="4" t="str">
        <f ca="1">IF(OR(INDEX($AG$2:$AG$1001,MATCH(ROWS($AF$2:AF570),$AF$2:$AF$1001,0),1)&gt;=100000,INDEX($AM$1005:$BM$1005,1,MATCH(COLUMNS($AM$1006:AU1006),$AM$1006:$BM$1006,0))&gt;=100000), " ",IF(INDEX($AM$2:$BM$1001,MATCH(ROWS($AF$2:AF570),$AF$2:$AF$1001,0),MATCH(COLUMNS($AM$1006:AU1006),$AM$1006:$BM$1006,0)), HYPERLINK("#",""), HYPERLINK(CONCATENATE("#metadata!", ADDRESS(INDEX($AH$2:$AH$1001,MATCH(ROWS($AF$2:AF570),$AF$2:$AF$1001,0),0), INDEX($AM$1004:$BM$1004,1,MATCH(COLUMNS($AM$1006:AU1006),$AM$1006:$BM$1006,0)))),"Fix")))</f>
        <v xml:space="preserve"> </v>
      </c>
      <c r="K570" s="4" t="str">
        <f ca="1">IF(OR(INDEX($AG$2:$AG$1001,MATCH(ROWS($AF$2:AF570),$AF$2:$AF$1001,0),1)&gt;=100000,INDEX($AM$1005:$BM$1005,1,MATCH(COLUMNS($AM$1006:AV1006),$AM$1006:$BM$1006,0))&gt;=100000), " ",IF(INDEX($AM$2:$BM$1001,MATCH(ROWS($AF$2:AF570),$AF$2:$AF$1001,0),MATCH(COLUMNS($AM$1006:AV1006),$AM$1006:$BM$1006,0)), HYPERLINK("#",""), HYPERLINK(CONCATENATE("#metadata!", ADDRESS(INDEX($AH$2:$AH$1001,MATCH(ROWS($AF$2:AF570),$AF$2:$AF$1001,0),0), INDEX($AM$1004:$BM$1004,1,MATCH(COLUMNS($AM$1006:AV1006),$AM$1006:$BM$1006,0)))),"Fix")))</f>
        <v xml:space="preserve"> </v>
      </c>
      <c r="L570" s="4" t="str">
        <f ca="1">IF(OR(INDEX($AG$2:$AG$1001,MATCH(ROWS($AF$2:AF570),$AF$2:$AF$1001,0),1)&gt;=100000,INDEX($AM$1005:$BM$1005,1,MATCH(COLUMNS($AM$1006:AW1006),$AM$1006:$BM$1006,0))&gt;=100000), " ",IF(INDEX($AM$2:$BM$1001,MATCH(ROWS($AF$2:AF570),$AF$2:$AF$1001,0),MATCH(COLUMNS($AM$1006:AW1006),$AM$1006:$BM$1006,0)), HYPERLINK("#",""), HYPERLINK(CONCATENATE("#metadata!", ADDRESS(INDEX($AH$2:$AH$1001,MATCH(ROWS($AF$2:AF570),$AF$2:$AF$1001,0),0), INDEX($AM$1004:$BM$1004,1,MATCH(COLUMNS($AM$1006:AW1006),$AM$1006:$BM$1006,0)))),"Fix")))</f>
        <v xml:space="preserve"> </v>
      </c>
      <c r="M570" s="4" t="str">
        <f ca="1">IF(OR(INDEX($AG$2:$AG$1001,MATCH(ROWS($AF$2:AF570),$AF$2:$AF$1001,0),1)&gt;=100000,INDEX($AM$1005:$BM$1005,1,MATCH(COLUMNS($AM$1006:AX1006),$AM$1006:$BM$1006,0))&gt;=100000), " ",IF(INDEX($AM$2:$BM$1001,MATCH(ROWS($AF$2:AF570),$AF$2:$AF$1001,0),MATCH(COLUMNS($AM$1006:AX1006),$AM$1006:$BM$1006,0)), HYPERLINK("#",""), HYPERLINK(CONCATENATE("#metadata!", ADDRESS(INDEX($AH$2:$AH$1001,MATCH(ROWS($AF$2:AF570),$AF$2:$AF$1001,0),0), INDEX($AM$1004:$BM$1004,1,MATCH(COLUMNS($AM$1006:AX1006),$AM$1006:$BM$1006,0)))),"Fix")))</f>
        <v xml:space="preserve"> </v>
      </c>
      <c r="N570" s="4" t="str">
        <f ca="1">IF(OR(INDEX($AG$2:$AG$1001,MATCH(ROWS($AF$2:AF570),$AF$2:$AF$1001,0),1)&gt;=100000,INDEX($AM$1005:$BM$1005,1,MATCH(COLUMNS($AM$1006:AY1006),$AM$1006:$BM$1006,0))&gt;=100000), " ",IF(INDEX($AM$2:$BM$1001,MATCH(ROWS($AF$2:AF570),$AF$2:$AF$1001,0),MATCH(COLUMNS($AM$1006:AY1006),$AM$1006:$BM$1006,0)), HYPERLINK("#",""), HYPERLINK(CONCATENATE("#metadata!", ADDRESS(INDEX($AH$2:$AH$1001,MATCH(ROWS($AF$2:AF570),$AF$2:$AF$1001,0),0), INDEX($AM$1004:$BM$1004,1,MATCH(COLUMNS($AM$1006:AY1006),$AM$1006:$BM$1006,0)))),"Fix")))</f>
        <v xml:space="preserve"> </v>
      </c>
      <c r="O570" s="4" t="str">
        <f ca="1">IF(OR(INDEX($AG$2:$AG$1001,MATCH(ROWS($AF$2:AF570),$AF$2:$AF$1001,0),1)&gt;=100000,INDEX($AM$1005:$BM$1005,1,MATCH(COLUMNS($AM$1006:AZ1006),$AM$1006:$BM$1006,0))&gt;=100000), " ",IF(INDEX($AM$2:$BM$1001,MATCH(ROWS($AF$2:AF570),$AF$2:$AF$1001,0),MATCH(COLUMNS($AM$1006:AZ1006),$AM$1006:$BM$1006,0)), HYPERLINK("#",""), HYPERLINK(CONCATENATE("#metadata!", ADDRESS(INDEX($AH$2:$AH$1001,MATCH(ROWS($AF$2:AF570),$AF$2:$AF$1001,0),0), INDEX($AM$1004:$BM$1004,1,MATCH(COLUMNS($AM$1006:AZ1006),$AM$1006:$BM$1006,0)))),"Fix")))</f>
        <v xml:space="preserve"> </v>
      </c>
      <c r="P570" s="4" t="str">
        <f ca="1">IF(OR(INDEX($AG$2:$AG$1001,MATCH(ROWS($AF$2:AF570),$AF$2:$AF$1001,0),1)&gt;=100000,INDEX($AM$1005:$BM$1005,1,MATCH(COLUMNS($AM$1006:BA1006),$AM$1006:$BM$1006,0))&gt;=100000), " ",IF(INDEX($AM$2:$BM$1001,MATCH(ROWS($AF$2:AF570),$AF$2:$AF$1001,0),MATCH(COLUMNS($AM$1006:BA1006),$AM$1006:$BM$1006,0)), HYPERLINK("#",""), HYPERLINK(CONCATENATE("#metadata!", ADDRESS(INDEX($AH$2:$AH$1001,MATCH(ROWS($AF$2:AF570),$AF$2:$AF$1001,0),0), INDEX($AM$1004:$BM$1004,1,MATCH(COLUMNS($AM$1006:BA1006),$AM$1006:$BM$1006,0)))),"Fix")))</f>
        <v xml:space="preserve"> </v>
      </c>
      <c r="Q570" s="4" t="str">
        <f ca="1">IF(OR(INDEX($AG$2:$AG$1001,MATCH(ROWS($AF$2:AF570),$AF$2:$AF$1001,0),1)&gt;=100000,INDEX($AM$1005:$BM$1005,1,MATCH(COLUMNS($AM$1006:BB1006),$AM$1006:$BM$1006,0))&gt;=100000), " ",IF(INDEX($AM$2:$BM$1001,MATCH(ROWS($AF$2:AF570),$AF$2:$AF$1001,0),MATCH(COLUMNS($AM$1006:BB1006),$AM$1006:$BM$1006,0)), HYPERLINK("#",""), HYPERLINK(CONCATENATE("#metadata!", ADDRESS(INDEX($AH$2:$AH$1001,MATCH(ROWS($AF$2:AF570),$AF$2:$AF$1001,0),0), INDEX($AM$1004:$BM$1004,1,MATCH(COLUMNS($AM$1006:BB1006),$AM$1006:$BM$1006,0)))),"Fix")))</f>
        <v xml:space="preserve"> </v>
      </c>
      <c r="R570" s="4" t="str">
        <f ca="1">IF(OR(INDEX($AG$2:$AG$1001,MATCH(ROWS($AF$2:AF570),$AF$2:$AF$1001,0),1)&gt;=100000,INDEX($AM$1005:$BM$1005,1,MATCH(COLUMNS($AM$1006:BC1006),$AM$1006:$BM$1006,0))&gt;=100000), " ",IF(INDEX($AM$2:$BM$1001,MATCH(ROWS($AF$2:AF570),$AF$2:$AF$1001,0),MATCH(COLUMNS($AM$1006:BC1006),$AM$1006:$BM$1006,0)), HYPERLINK("#",""), HYPERLINK(CONCATENATE("#metadata!", ADDRESS(INDEX($AH$2:$AH$1001,MATCH(ROWS($AF$2:AF570),$AF$2:$AF$1001,0),0), INDEX($AM$1004:$BM$1004,1,MATCH(COLUMNS($AM$1006:BC1006),$AM$1006:$BM$1006,0)))),"Fix")))</f>
        <v xml:space="preserve"> </v>
      </c>
      <c r="S570" s="4" t="str">
        <f ca="1">IF(OR(INDEX($AG$2:$AG$1001,MATCH(ROWS($AF$2:AF570),$AF$2:$AF$1001,0),1)&gt;=100000,INDEX($AM$1005:$BM$1005,1,MATCH(COLUMNS($AM$1006:BD1006),$AM$1006:$BM$1006,0))&gt;=100000), " ",IF(INDEX($AM$2:$BM$1001,MATCH(ROWS($AF$2:AF570),$AF$2:$AF$1001,0),MATCH(COLUMNS($AM$1006:BD1006),$AM$1006:$BM$1006,0)), HYPERLINK("#",""), HYPERLINK(CONCATENATE("#metadata!", ADDRESS(INDEX($AH$2:$AH$1001,MATCH(ROWS($AF$2:AF570),$AF$2:$AF$1001,0),0), INDEX($AM$1004:$BM$1004,1,MATCH(COLUMNS($AM$1006:BD1006),$AM$1006:$BM$1006,0)))),"Fix")))</f>
        <v xml:space="preserve"> </v>
      </c>
      <c r="T570" s="4" t="str">
        <f ca="1">IF(OR(INDEX($AG$2:$AG$1001,MATCH(ROWS($AF$2:AF570),$AF$2:$AF$1001,0),1)&gt;=100000,INDEX($AM$1005:$BM$1005,1,MATCH(COLUMNS($AM$1006:BE1006),$AM$1006:$BM$1006,0))&gt;=100000), " ",IF(INDEX($AM$2:$BM$1001,MATCH(ROWS($AF$2:AF570),$AF$2:$AF$1001,0),MATCH(COLUMNS($AM$1006:BE1006),$AM$1006:$BM$1006,0)), HYPERLINK("#",""), HYPERLINK(CONCATENATE("#metadata!", ADDRESS(INDEX($AH$2:$AH$1001,MATCH(ROWS($AF$2:AF570),$AF$2:$AF$1001,0),0), INDEX($AM$1004:$BM$1004,1,MATCH(COLUMNS($AM$1006:BE1006),$AM$1006:$BM$1006,0)))),"Fix")))</f>
        <v xml:space="preserve"> </v>
      </c>
      <c r="U570" s="4" t="str">
        <f ca="1">IF(OR(INDEX($AG$2:$AG$1001,MATCH(ROWS($AF$2:AF570),$AF$2:$AF$1001,0),1)&gt;=100000,INDEX($AM$1005:$BM$1005,1,MATCH(COLUMNS($AM$1006:BF1006),$AM$1006:$BM$1006,0))&gt;=100000), " ",IF(INDEX($AM$2:$BM$1001,MATCH(ROWS($AF$2:AF570),$AF$2:$AF$1001,0),MATCH(COLUMNS($AM$1006:BF1006),$AM$1006:$BM$1006,0)), HYPERLINK("#",""), HYPERLINK(CONCATENATE("#metadata!", ADDRESS(INDEX($AH$2:$AH$1001,MATCH(ROWS($AF$2:AF570),$AF$2:$AF$1001,0),0), INDEX($AM$1004:$BM$1004,1,MATCH(COLUMNS($AM$1006:BF1006),$AM$1006:$BM$1006,0)))),"Fix")))</f>
        <v xml:space="preserve"> </v>
      </c>
      <c r="V570" s="4" t="str">
        <f ca="1">IF(OR(INDEX($AG$2:$AG$1001,MATCH(ROWS($AF$2:AF570),$AF$2:$AF$1001,0),1)&gt;=100000,INDEX($AM$1005:$BM$1005,1,MATCH(COLUMNS($AM$1006:BG1006),$AM$1006:$BM$1006,0))&gt;=100000), " ",IF(INDEX($AM$2:$BM$1001,MATCH(ROWS($AF$2:AF570),$AF$2:$AF$1001,0),MATCH(COLUMNS($AM$1006:BG1006),$AM$1006:$BM$1006,0)), HYPERLINK("#",""), HYPERLINK(CONCATENATE("#metadata!", ADDRESS(INDEX($AH$2:$AH$1001,MATCH(ROWS($AF$2:AF570),$AF$2:$AF$1001,0),0), INDEX($AM$1004:$BM$1004,1,MATCH(COLUMNS($AM$1006:BG1006),$AM$1006:$BM$1006,0)))),"Fix")))</f>
        <v xml:space="preserve"> </v>
      </c>
      <c r="W570" s="4" t="str">
        <f ca="1">IF(OR(INDEX($AG$2:$AG$1001,MATCH(ROWS($AF$2:AF570),$AF$2:$AF$1001,0),1)&gt;=100000,INDEX($AM$1005:$BM$1005,1,MATCH(COLUMNS($AM$1006:BH1006),$AM$1006:$BM$1006,0))&gt;=100000), " ",IF(INDEX($AM$2:$BM$1001,MATCH(ROWS($AF$2:AF570),$AF$2:$AF$1001,0),MATCH(COLUMNS($AM$1006:BH1006),$AM$1006:$BM$1006,0)), HYPERLINK("#",""), HYPERLINK(CONCATENATE("#metadata!", ADDRESS(INDEX($AH$2:$AH$1001,MATCH(ROWS($AF$2:AF570),$AF$2:$AF$1001,0),0), INDEX($AM$1004:$BM$1004,1,MATCH(COLUMNS($AM$1006:BH1006),$AM$1006:$BM$1006,0)))),"Fix")))</f>
        <v xml:space="preserve"> </v>
      </c>
      <c r="X570" s="4" t="str">
        <f ca="1">IF(OR(INDEX($AG$2:$AG$1001,MATCH(ROWS($AF$2:AF570),$AF$2:$AF$1001,0),1)&gt;=100000,INDEX($AM$1005:$BM$1005,1,MATCH(COLUMNS($AM$1006:BI1006),$AM$1006:$BM$1006,0))&gt;=100000), " ",IF(INDEX($AM$2:$BM$1001,MATCH(ROWS($AF$2:AF570),$AF$2:$AF$1001,0),MATCH(COLUMNS($AM$1006:BI1006),$AM$1006:$BM$1006,0)), HYPERLINK("#",""), HYPERLINK(CONCATENATE("#metadata!", ADDRESS(INDEX($AH$2:$AH$1001,MATCH(ROWS($AF$2:AF570),$AF$2:$AF$1001,0),0), INDEX($AM$1004:$BM$1004,1,MATCH(COLUMNS($AM$1006:BI1006),$AM$1006:$BM$1006,0)))),"Fix")))</f>
        <v xml:space="preserve"> </v>
      </c>
      <c r="Y570" s="4" t="str">
        <f ca="1">IF(OR(INDEX($AG$2:$AG$1001,MATCH(ROWS($AF$2:AF570),$AF$2:$AF$1001,0),1)&gt;=100000,INDEX($AM$1005:$BM$1005,1,MATCH(COLUMNS($AM$1006:BJ1006),$AM$1006:$BM$1006,0))&gt;=100000), " ",IF(INDEX($AM$2:$BM$1001,MATCH(ROWS($AF$2:AF570),$AF$2:$AF$1001,0),MATCH(COLUMNS($AM$1006:BJ1006),$AM$1006:$BM$1006,0)), HYPERLINK("#",""), HYPERLINK(CONCATENATE("#metadata!", ADDRESS(INDEX($AH$2:$AH$1001,MATCH(ROWS($AF$2:AF570),$AF$2:$AF$1001,0),0), INDEX($AM$1004:$BM$1004,1,MATCH(COLUMNS($AM$1006:BJ1006),$AM$1006:$BM$1006,0)))),"Fix")))</f>
        <v xml:space="preserve"> </v>
      </c>
      <c r="Z570" s="4" t="str">
        <f ca="1">IF(OR(INDEX($AG$2:$AG$1001,MATCH(ROWS($AF$2:AF570),$AF$2:$AF$1001,0),1)&gt;=100000,INDEX($AM$1005:$BM$1005,1,MATCH(COLUMNS($AM$1006:BK1006),$AM$1006:$BM$1006,0))&gt;=100000), " ",IF(INDEX($AM$2:$BM$1001,MATCH(ROWS($AF$2:AF570),$AF$2:$AF$1001,0),MATCH(COLUMNS($AM$1006:BK1006),$AM$1006:$BM$1006,0)), HYPERLINK("#",""), HYPERLINK(CONCATENATE("#metadata!", ADDRESS(INDEX($AH$2:$AH$1001,MATCH(ROWS($AF$2:AF570),$AF$2:$AF$1001,0),0), INDEX($AM$1004:$BM$1004,1,MATCH(COLUMNS($AM$1006:BK1006),$AM$1006:$BM$1006,0)))),"Fix")))</f>
        <v xml:space="preserve"> </v>
      </c>
      <c r="AA570" s="4" t="str">
        <f ca="1">IF(OR(INDEX($AG$2:$AG$1001,MATCH(ROWS($AF$2:AF570),$AF$2:$AF$1001,0),1)&gt;=100000,INDEX($AM$1005:$BM$1005,1,MATCH(COLUMNS($AM$1006:BL1006),$AM$1006:$BM$1006,0))&gt;=100000), " ",IF(INDEX($AM$2:$BM$1001,MATCH(ROWS($AF$2:AF570),$AF$2:$AF$1001,0),MATCH(COLUMNS($AM$1006:BL1006),$AM$1006:$BM$1006,0)), HYPERLINK("#",""), HYPERLINK(CONCATENATE("#metadata!", ADDRESS(INDEX($AH$2:$AH$1001,MATCH(ROWS($AF$2:AF570),$AF$2:$AF$1001,0),0), INDEX($AM$1004:$BM$1004,1,MATCH(COLUMNS($AM$1006:BL1006),$AM$1006:$BM$1006,0)))),"Fix")))</f>
        <v xml:space="preserve"> </v>
      </c>
      <c r="AB570" s="4" t="str">
        <f ca="1">IF(OR(INDEX($AG$2:$AG$1001,MATCH(ROWS($AF$2:AF570),$AF$2:$AF$1001,0),1)&gt;=100000,INDEX($AM$1005:$BM$1005,1,MATCH(COLUMNS($AM$1006:BM1006),$AM$1006:$BM$1006,0))&gt;=100000), " ",IF(INDEX($AM$2:$BM$1001,MATCH(ROWS($AF$2:AF570),$AF$2:$AF$1001,0),MATCH(COLUMNS($AM$1006:BM1006),$AM$1006:$BM$1006,0)), HYPERLINK("#",""), HYPERLINK(CONCATENATE("#metadata!", ADDRESS(INDEX($AH$2:$AH$1001,MATCH(ROWS($AF$2:AF570),$AF$2:$AF$1001,0),0), INDEX($AM$1004:$BM$1004,1,MATCH(COLUMNS($AM$1006:BM1006),$AM$1006:$BM$1006,0)))),"Fix")))</f>
        <v xml:space="preserve"> </v>
      </c>
      <c r="AF570">
        <v>569</v>
      </c>
      <c r="AG570">
        <v>100570</v>
      </c>
      <c r="AH570">
        <v>570</v>
      </c>
      <c r="AI570" t="b">
        <f t="shared" si="8"/>
        <v>1</v>
      </c>
      <c r="AJ570" t="b">
        <f>COUNTBLANK(metadata!B570:AB570)=COLUMNS(metadata!B570:AB570)</f>
        <v>1</v>
      </c>
      <c r="AK570" t="str">
        <v/>
      </c>
      <c r="AM570" t="b">
        <f ca="1">AND(IF(metadata!B570="",FALSE,TRUE),COUNTIF(metadata!B:B, metadata!B570) = 1,NOT(ISERROR(SUMPRODUCT(SEARCH(MID(metadata!B570,ROW(INDIRECT("1:"&amp;LEN(metadata!B570))), 1),"0123456789abcdefghijklmnopqrstuvwxyzABCDEFGHIJKLMNOPQRSTUVWXYZ.")))))</f>
        <v>0</v>
      </c>
      <c r="AN570" t="b">
        <f ca="1">OR(AND(IF(metadata!C570="",FALSE,TRUE),OR(EXACT(metadata!C570,"missing: not collected"),EXACT(metadata!C570,"missing: not provided"),EXACT(metadata!C570,"missing: restricted access"))),AND(IF(metadata!C570="",FALSE,TRUE),AND(AND(IFERROR(INT(LEFT(metadata!C570,4))&gt;1900,FALSE),IFERROR(INT(LEFT(metadata!C570,4))&lt;=YEAR(NOW()),FALSE)), OR(MID(metadata!C570,5,1)="", AND(AND(MID(metadata!C570,5,1)="-",IFERROR(INT(MID(metadata!C570,6,1))&gt;=0,FALSE),IFERROR(INT(MID(metadata!C570,6,1))&lt;=1,FALSE),NOT(MID(metadata!C570,7,1)=""),IFERROR(INT(MID(metadata!C570,6,2))&gt;=1,FALSE),IFERROR(INT(MID(metadata!C570,6,2))&lt;=12,FALSE)), OR(MID(metadata!C570,8,1)="", AND(AND(MID(metadata!C570,8,1)="-",IFERROR(INT(MID(metadata!C570,9,1))&gt;=0,FALSE),IFERROR(INT(MID(metadata!C570,9,1))&lt;=3,FALSE),NOT(MID(metadata!C570,10,1)=""),IFERROR(INT(MID(metadata!C570,9,2))&gt;=1,FALSE),IFERROR(INT(MID(metadata!C570,9,2))&lt;=31,FALSE)), OR(MID(metadata!C570,11,1)="", AND(AND(MID(metadata!C570,11,1)=" ",IFERROR(INT(MID(metadata!C570,12,1))&gt;=0,FALSE),IFERROR(INT(MID(metadata!C570,12,1))&lt;=2,FALSE),NOT(MID(metadata!C570,13,1)=""),IFERROR(INT(MID(metadata!C570,12,2))&gt;=0,FALSE),IFERROR(INT(MID(metadata!C570,12,2))&lt;=23,FALSE)), OR(MID(metadata!C570,14,1)="", AND(AND(MID(metadata!C570,14,1)=":",IFERROR(INT(MID(metadata!C570,15,1))&gt;=0,FALSE),IFERROR(INT(MID(metadata!C570,15,1))&lt;=5,FALSE),NOT(MID(metadata!C570,16,1)=""),IFERROR(INT(MID(metadata!C570,15,2))&gt;=0,FALSE),IFERROR(INT(MID(metadata!C570,15,2))&lt;=59,FALSE)), OR(MID(metadata!C570,17,1)="", AND(AND(MID(metadata!C570,17,1)=":",IFERROR(INT(MID(metadata!C570,18,1))&gt;=0,FALSE),IFERROR(INT(MID(metadata!C570,18,1))&lt;=5,FALSE),NOT(MID(metadata!C570,19,1)=""),IFERROR(INT(MID(metadata!C570,18,2))&gt;=0,FALSE),IFERROR(INT(MID(metadata!C570,18,2))&lt;=59,FALSE)), LEN(metadata!C570)&lt;=19)))))))))))))</f>
        <v>0</v>
      </c>
      <c r="AO570" t="b">
        <f>AND(IF(metadata!D570="",FALSE,TRUE),EXACT(metadata!D570,"Not applicable"))</f>
        <v>0</v>
      </c>
      <c r="AP570" t="b">
        <f>IF(metadata!E570="",FALSE,TRUE)</f>
        <v>0</v>
      </c>
      <c r="AQ570" t="b">
        <f>OR(AND(IF(metadata!F570="",FALSE,TRUE),OR(EXACT(metadata!F570,"missing: not collected"),EXACT(metadata!F570,"missing: not provided"))),AND(IF(metadata!F570="",FALSE,TRUE),OR(EXACT(metadata!F570,"TRUE"),EXACT(metadata!F570,"FALSE"))))</f>
        <v>0</v>
      </c>
      <c r="AR570" t="b">
        <f>OR(AND(IF(metadata!G570="",FALSE,TRUE),OR(EXACT(metadata!G570,"missing: not collected"),EXACT(metadata!G570,"missing: not provided"),EXACT(metadata!G570,"missing: restricted access"))),AND(IF(metadata!G570="",FALSE,ISNUMBER(VALUE(metadata!G570))),metadata!G570&gt;=-413))</f>
        <v>0</v>
      </c>
      <c r="AS570" t="b">
        <f>AND(IF(metadata!H570="",FALSE,TRUE),EXACT(metadata!H570,"meters"))</f>
        <v>0</v>
      </c>
      <c r="AT570" t="b">
        <f>AND(IF(metadata!I570="",FALSE,TRUE),OR(EXACT(metadata!I570,"Host-associated"),EXACT(metadata!I570,"Free-living")))</f>
        <v>0</v>
      </c>
      <c r="AU570" t="b">
        <f>AND(IF(metadata!J570="",FALSE,TRUE),OR(EXACT(metadata!J570,"Animal"),EXACT(metadata!J570,"Fungus"),EXACT(metadata!J570,"Plant"),EXACT(metadata!J570,"Saline"),EXACT(metadata!J570,"Non-saline")))</f>
        <v>0</v>
      </c>
      <c r="AV570" t="b">
        <f>AND(IF(metadata!K570="",FALSE,TRUE),OR(EXACT(metadata!K570,"Plant secretion"),EXACT(metadata!K570,"Plant rhizosphere"),EXACT(metadata!K570,"Plant surface"),EXACT(metadata!K570,"Plant corpus"),EXACT(metadata!K570,"Fungus surface"),EXACT(metadata!K570,"Fungus corpus"),EXACT(metadata!K570,"Animal surface"),EXACT(metadata!K570,"Animal proximal gut"),EXACT(metadata!K570,"Animal corpus"),EXACT(metadata!K570,"Animal distal gut"),EXACT(metadata!K570,"Animal secretion"),EXACT(metadata!K570,"Sub-surface (non-saline)"),EXACT(metadata!K570,"Surface (non-saline)"),EXACT(metadata!K570,"Water (non-saline)"),EXACT(metadata!K570,"Soil (non-saline)"),EXACT(metadata!K570,"Aerosol (non-saline)"),EXACT(metadata!K570,"Sediment (non-saline)"),EXACT(metadata!K570,"Surface (saline)"),EXACT(metadata!K570,"Water (saline)"),EXACT(metadata!K570,"Hypersaline (saline)"),EXACT(metadata!K570,"Aerosol (saline)"),EXACT(metadata!K570,"Sediment (saline)")))</f>
        <v>0</v>
      </c>
      <c r="AW570" t="b">
        <f>IF(metadata!L570="",FALSE,TRUE)</f>
        <v>0</v>
      </c>
      <c r="AX570" t="b">
        <f>IF(metadata!M570="",FALSE,TRUE)</f>
        <v>0</v>
      </c>
      <c r="AY570" t="b">
        <f>IF(metadata!N570="",FALSE,TRUE)</f>
        <v>0</v>
      </c>
      <c r="AZ570" t="b">
        <f>OR(AND(IF(metadata!O570="",FALSE,TRUE),OR(EXACT(metadata!O570,"missing: not collected"),EXACT(metadata!O570,"missing: not provided"),EXACT(metadata!O570,"missing: restricted access"))),AND(IF(metadata!O570="",FALSE,TRUE),OR(EXACT(metadata!O570,"air"),EXACT(metadata!O570,"built environment"),EXACT(metadata!O570,"host-associated"),EXACT(metadata!O570,"human-associated"),EXACT(metadata!O570,"human-skin"),EXACT(metadata!O570,"human-oral"),EXACT(metadata!O570,"human-gut"),EXACT(metadata!O570,"human-vaginal"),EXACT(metadata!O570,"microbial mat/biofilm"),EXACT(metadata!O570,"misc environment"),EXACT(metadata!O570,"plant-associated"),EXACT(metadata!O570,"sediment"),EXACT(metadata!O570,"soil"),EXACT(metadata!O570,"wastewater/sludge"),EXACT(metadata!O570,"water"))))</f>
        <v>0</v>
      </c>
      <c r="BA570" t="b">
        <f>IF(metadata!P570="",FALSE,TRUE)</f>
        <v>0</v>
      </c>
      <c r="BB570" t="b">
        <f>IF(metadata!Q570="",FALSE,TRUE)</f>
        <v>0</v>
      </c>
      <c r="BC570" t="b">
        <f>OR(AND(IF(metadata!R570="",FALSE,TRUE),OR(EXACT(metadata!R570,"missing: not collected"),EXACT(metadata!R570,"missing: not provided"),EXACT(metadata!R570,"missing: restricted access"))),AND(IF(metadata!R570="",FALSE,ISNUMBER(VALUE(metadata!R570))),metadata!R570&gt;=-90,metadata!R570&lt;=90))</f>
        <v>0</v>
      </c>
      <c r="BD570" t="b">
        <f>AND(IF(metadata!S570="",FALSE,TRUE),EXACT(metadata!S570,"Decimal degrees"))</f>
        <v>0</v>
      </c>
      <c r="BE570" t="b">
        <f>OR(AND(IF(metadata!T570="",FALSE,TRUE),OR(EXACT(metadata!T570,"missing: not collected"),EXACT(metadata!T570,"missing: not provided"),EXACT(metadata!T570,"missing: restricted access"))),AND(IF(metadata!T570="",FALSE,ISNUMBER(VALUE(metadata!T570))),metadata!T570&gt;=-180,metadata!T570&lt;=180))</f>
        <v>0</v>
      </c>
      <c r="BF570" t="b">
        <f>AND(IF(metadata!U570="",FALSE,TRUE),EXACT(metadata!U570,"Decimal degrees"))</f>
        <v>0</v>
      </c>
      <c r="BG570" t="b">
        <f>IF(metadata!V570="",FALSE,TRUE)</f>
        <v>0</v>
      </c>
      <c r="BH570" t="b">
        <f>OR(AND(IF(metadata!W570="",FALSE,TRUE),OR(EXACT(metadata!W570,"missing: not collected"),EXACT(metadata!W570,"missing: not provided"),EXACT(metadata!W570,"missing: restricted access"))),AND(IF(metadata!W570="",FALSE,TRUE),OR(EXACT(metadata!W570,"TRUE"),EXACT(metadata!W570,"FALSE"))))</f>
        <v>0</v>
      </c>
      <c r="BI570" t="b">
        <f>AND(IF(metadata!X570="",FALSE,TRUE),EXACT(metadata!X570,"other"))</f>
        <v>0</v>
      </c>
      <c r="BJ570" t="b">
        <f>IF(metadata!Y570="",FALSE,TRUE)</f>
        <v>0</v>
      </c>
      <c r="BK570" t="b">
        <f>OR(AND(IF(metadata!Z570="",FALSE,TRUE),OR(EXACT(metadata!Z570,"missing: not collected"),EXACT(metadata!Z570,"missing: not provided"))),AND(IF(metadata!Z570="",FALSE,IF(ISERROR(INT(metadata!Z570)),FALSE,INT(metadata!Z570)=metadata!Z570)),metadata!Z570&gt;0))</f>
        <v>0</v>
      </c>
      <c r="BL570" t="b">
        <f>AND(IF(metadata!AA570="",FALSE,TRUE),EXACT(metadata!AA570,"Not applicable"))</f>
        <v>0</v>
      </c>
      <c r="BM570" t="b">
        <f>IF(metadata!AB570="",FALSE,TRUE)</f>
        <v>0</v>
      </c>
    </row>
    <row r="571" spans="1:65" x14ac:dyDescent="0.2">
      <c r="A571" s="5" t="str">
        <f ca="1">IF(B571=" "," ",HYPERLINK(CONCATENATE("#metadata!",ADDRESS(INDEX($AH$2:$AH$1001,MATCH(ROWS($AF$2:AF571),$AF$2:$AF$1001,0),0),1)),INDEX($AK$2:$AK$1001,MATCH(ROWS($AF$2:AF571),$AF$2:$AF$1001,0),0)))</f>
        <v xml:space="preserve"> </v>
      </c>
      <c r="B571" s="4" t="str">
        <f ca="1">IF(OR(INDEX($AG$2:$AG$1001,MATCH(ROWS($AF$2:AF571),$AF$2:$AF$1001,0),1)&gt;=100000,INDEX($AM$1005:$BM$1005,1,MATCH(COLUMNS($AM$1006:AM1006),$AM$1006:$BM$1006,0))&gt;=100000), " ",IF(INDEX($AM$2:$BM$1001,MATCH(ROWS($AF$2:AF571),$AF$2:$AF$1001,0),MATCH(COLUMNS($AM$1006:AM1006),$AM$1006:$BM$1006,0)), HYPERLINK("#",""), HYPERLINK(CONCATENATE("#metadata!", ADDRESS(INDEX($AH$2:$AH$1001,MATCH(ROWS($AF$2:AF571),$AF$2:$AF$1001,0),0), INDEX($AM$1004:$BM$1004,1,MATCH(COLUMNS($AM$1006:AM1006),$AM$1006:$BM$1006,0)))),"Fix")))</f>
        <v xml:space="preserve"> </v>
      </c>
      <c r="C571" s="4" t="str">
        <f ca="1">IF(OR(INDEX($AG$2:$AG$1001,MATCH(ROWS($AF$2:AF571),$AF$2:$AF$1001,0),1)&gt;=100000,INDEX($AM$1005:$BM$1005,1,MATCH(COLUMNS($AM$1006:AN1006),$AM$1006:$BM$1006,0))&gt;=100000), " ",IF(INDEX($AM$2:$BM$1001,MATCH(ROWS($AF$2:AF571),$AF$2:$AF$1001,0),MATCH(COLUMNS($AM$1006:AN1006),$AM$1006:$BM$1006,0)), HYPERLINK("#",""), HYPERLINK(CONCATENATE("#metadata!", ADDRESS(INDEX($AH$2:$AH$1001,MATCH(ROWS($AF$2:AF571),$AF$2:$AF$1001,0),0), INDEX($AM$1004:$BM$1004,1,MATCH(COLUMNS($AM$1006:AN1006),$AM$1006:$BM$1006,0)))),"Fix")))</f>
        <v xml:space="preserve"> </v>
      </c>
      <c r="D571" s="4" t="str">
        <f ca="1">IF(OR(INDEX($AG$2:$AG$1001,MATCH(ROWS($AF$2:AF571),$AF$2:$AF$1001,0),1)&gt;=100000,INDEX($AM$1005:$BM$1005,1,MATCH(COLUMNS($AM$1006:AO1006),$AM$1006:$BM$1006,0))&gt;=100000), " ",IF(INDEX($AM$2:$BM$1001,MATCH(ROWS($AF$2:AF571),$AF$2:$AF$1001,0),MATCH(COLUMNS($AM$1006:AO1006),$AM$1006:$BM$1006,0)), HYPERLINK("#",""), HYPERLINK(CONCATENATE("#metadata!", ADDRESS(INDEX($AH$2:$AH$1001,MATCH(ROWS($AF$2:AF571),$AF$2:$AF$1001,0),0), INDEX($AM$1004:$BM$1004,1,MATCH(COLUMNS($AM$1006:AO1006),$AM$1006:$BM$1006,0)))),"Fix")))</f>
        <v xml:space="preserve"> </v>
      </c>
      <c r="E571" s="4" t="str">
        <f ca="1">IF(OR(INDEX($AG$2:$AG$1001,MATCH(ROWS($AF$2:AF571),$AF$2:$AF$1001,0),1)&gt;=100000,INDEX($AM$1005:$BM$1005,1,MATCH(COLUMNS($AM$1006:AP1006),$AM$1006:$BM$1006,0))&gt;=100000), " ",IF(INDEX($AM$2:$BM$1001,MATCH(ROWS($AF$2:AF571),$AF$2:$AF$1001,0),MATCH(COLUMNS($AM$1006:AP1006),$AM$1006:$BM$1006,0)), HYPERLINK("#",""), HYPERLINK(CONCATENATE("#metadata!", ADDRESS(INDEX($AH$2:$AH$1001,MATCH(ROWS($AF$2:AF571),$AF$2:$AF$1001,0),0), INDEX($AM$1004:$BM$1004,1,MATCH(COLUMNS($AM$1006:AP1006),$AM$1006:$BM$1006,0)))),"Fix")))</f>
        <v xml:space="preserve"> </v>
      </c>
      <c r="F571" s="4" t="str">
        <f ca="1">IF(OR(INDEX($AG$2:$AG$1001,MATCH(ROWS($AF$2:AF571),$AF$2:$AF$1001,0),1)&gt;=100000,INDEX($AM$1005:$BM$1005,1,MATCH(COLUMNS($AM$1006:AQ1006),$AM$1006:$BM$1006,0))&gt;=100000), " ",IF(INDEX($AM$2:$BM$1001,MATCH(ROWS($AF$2:AF571),$AF$2:$AF$1001,0),MATCH(COLUMNS($AM$1006:AQ1006),$AM$1006:$BM$1006,0)), HYPERLINK("#",""), HYPERLINK(CONCATENATE("#metadata!", ADDRESS(INDEX($AH$2:$AH$1001,MATCH(ROWS($AF$2:AF571),$AF$2:$AF$1001,0),0), INDEX($AM$1004:$BM$1004,1,MATCH(COLUMNS($AM$1006:AQ1006),$AM$1006:$BM$1006,0)))),"Fix")))</f>
        <v xml:space="preserve"> </v>
      </c>
      <c r="G571" s="4" t="str">
        <f ca="1">IF(OR(INDEX($AG$2:$AG$1001,MATCH(ROWS($AF$2:AF571),$AF$2:$AF$1001,0),1)&gt;=100000,INDEX($AM$1005:$BM$1005,1,MATCH(COLUMNS($AM$1006:AR1006),$AM$1006:$BM$1006,0))&gt;=100000), " ",IF(INDEX($AM$2:$BM$1001,MATCH(ROWS($AF$2:AF571),$AF$2:$AF$1001,0),MATCH(COLUMNS($AM$1006:AR1006),$AM$1006:$BM$1006,0)), HYPERLINK("#",""), HYPERLINK(CONCATENATE("#metadata!", ADDRESS(INDEX($AH$2:$AH$1001,MATCH(ROWS($AF$2:AF571),$AF$2:$AF$1001,0),0), INDEX($AM$1004:$BM$1004,1,MATCH(COLUMNS($AM$1006:AR1006),$AM$1006:$BM$1006,0)))),"Fix")))</f>
        <v xml:space="preserve"> </v>
      </c>
      <c r="H571" s="4" t="str">
        <f ca="1">IF(OR(INDEX($AG$2:$AG$1001,MATCH(ROWS($AF$2:AF571),$AF$2:$AF$1001,0),1)&gt;=100000,INDEX($AM$1005:$BM$1005,1,MATCH(COLUMNS($AM$1006:AS1006),$AM$1006:$BM$1006,0))&gt;=100000), " ",IF(INDEX($AM$2:$BM$1001,MATCH(ROWS($AF$2:AF571),$AF$2:$AF$1001,0),MATCH(COLUMNS($AM$1006:AS1006),$AM$1006:$BM$1006,0)), HYPERLINK("#",""), HYPERLINK(CONCATENATE("#metadata!", ADDRESS(INDEX($AH$2:$AH$1001,MATCH(ROWS($AF$2:AF571),$AF$2:$AF$1001,0),0), INDEX($AM$1004:$BM$1004,1,MATCH(COLUMNS($AM$1006:AS1006),$AM$1006:$BM$1006,0)))),"Fix")))</f>
        <v xml:space="preserve"> </v>
      </c>
      <c r="I571" s="4" t="str">
        <f ca="1">IF(OR(INDEX($AG$2:$AG$1001,MATCH(ROWS($AF$2:AF571),$AF$2:$AF$1001,0),1)&gt;=100000,INDEX($AM$1005:$BM$1005,1,MATCH(COLUMNS($AM$1006:AT1006),$AM$1006:$BM$1006,0))&gt;=100000), " ",IF(INDEX($AM$2:$BM$1001,MATCH(ROWS($AF$2:AF571),$AF$2:$AF$1001,0),MATCH(COLUMNS($AM$1006:AT1006),$AM$1006:$BM$1006,0)), HYPERLINK("#",""), HYPERLINK(CONCATENATE("#metadata!", ADDRESS(INDEX($AH$2:$AH$1001,MATCH(ROWS($AF$2:AF571),$AF$2:$AF$1001,0),0), INDEX($AM$1004:$BM$1004,1,MATCH(COLUMNS($AM$1006:AT1006),$AM$1006:$BM$1006,0)))),"Fix")))</f>
        <v xml:space="preserve"> </v>
      </c>
      <c r="J571" s="4" t="str">
        <f ca="1">IF(OR(INDEX($AG$2:$AG$1001,MATCH(ROWS($AF$2:AF571),$AF$2:$AF$1001,0),1)&gt;=100000,INDEX($AM$1005:$BM$1005,1,MATCH(COLUMNS($AM$1006:AU1006),$AM$1006:$BM$1006,0))&gt;=100000), " ",IF(INDEX($AM$2:$BM$1001,MATCH(ROWS($AF$2:AF571),$AF$2:$AF$1001,0),MATCH(COLUMNS($AM$1006:AU1006),$AM$1006:$BM$1006,0)), HYPERLINK("#",""), HYPERLINK(CONCATENATE("#metadata!", ADDRESS(INDEX($AH$2:$AH$1001,MATCH(ROWS($AF$2:AF571),$AF$2:$AF$1001,0),0), INDEX($AM$1004:$BM$1004,1,MATCH(COLUMNS($AM$1006:AU1006),$AM$1006:$BM$1006,0)))),"Fix")))</f>
        <v xml:space="preserve"> </v>
      </c>
      <c r="K571" s="4" t="str">
        <f ca="1">IF(OR(INDEX($AG$2:$AG$1001,MATCH(ROWS($AF$2:AF571),$AF$2:$AF$1001,0),1)&gt;=100000,INDEX($AM$1005:$BM$1005,1,MATCH(COLUMNS($AM$1006:AV1006),$AM$1006:$BM$1006,0))&gt;=100000), " ",IF(INDEX($AM$2:$BM$1001,MATCH(ROWS($AF$2:AF571),$AF$2:$AF$1001,0),MATCH(COLUMNS($AM$1006:AV1006),$AM$1006:$BM$1006,0)), HYPERLINK("#",""), HYPERLINK(CONCATENATE("#metadata!", ADDRESS(INDEX($AH$2:$AH$1001,MATCH(ROWS($AF$2:AF571),$AF$2:$AF$1001,0),0), INDEX($AM$1004:$BM$1004,1,MATCH(COLUMNS($AM$1006:AV1006),$AM$1006:$BM$1006,0)))),"Fix")))</f>
        <v xml:space="preserve"> </v>
      </c>
      <c r="L571" s="4" t="str">
        <f ca="1">IF(OR(INDEX($AG$2:$AG$1001,MATCH(ROWS($AF$2:AF571),$AF$2:$AF$1001,0),1)&gt;=100000,INDEX($AM$1005:$BM$1005,1,MATCH(COLUMNS($AM$1006:AW1006),$AM$1006:$BM$1006,0))&gt;=100000), " ",IF(INDEX($AM$2:$BM$1001,MATCH(ROWS($AF$2:AF571),$AF$2:$AF$1001,0),MATCH(COLUMNS($AM$1006:AW1006),$AM$1006:$BM$1006,0)), HYPERLINK("#",""), HYPERLINK(CONCATENATE("#metadata!", ADDRESS(INDEX($AH$2:$AH$1001,MATCH(ROWS($AF$2:AF571),$AF$2:$AF$1001,0),0), INDEX($AM$1004:$BM$1004,1,MATCH(COLUMNS($AM$1006:AW1006),$AM$1006:$BM$1006,0)))),"Fix")))</f>
        <v xml:space="preserve"> </v>
      </c>
      <c r="M571" s="4" t="str">
        <f ca="1">IF(OR(INDEX($AG$2:$AG$1001,MATCH(ROWS($AF$2:AF571),$AF$2:$AF$1001,0),1)&gt;=100000,INDEX($AM$1005:$BM$1005,1,MATCH(COLUMNS($AM$1006:AX1006),$AM$1006:$BM$1006,0))&gt;=100000), " ",IF(INDEX($AM$2:$BM$1001,MATCH(ROWS($AF$2:AF571),$AF$2:$AF$1001,0),MATCH(COLUMNS($AM$1006:AX1006),$AM$1006:$BM$1006,0)), HYPERLINK("#",""), HYPERLINK(CONCATENATE("#metadata!", ADDRESS(INDEX($AH$2:$AH$1001,MATCH(ROWS($AF$2:AF571),$AF$2:$AF$1001,0),0), INDEX($AM$1004:$BM$1004,1,MATCH(COLUMNS($AM$1006:AX1006),$AM$1006:$BM$1006,0)))),"Fix")))</f>
        <v xml:space="preserve"> </v>
      </c>
      <c r="N571" s="4" t="str">
        <f ca="1">IF(OR(INDEX($AG$2:$AG$1001,MATCH(ROWS($AF$2:AF571),$AF$2:$AF$1001,0),1)&gt;=100000,INDEX($AM$1005:$BM$1005,1,MATCH(COLUMNS($AM$1006:AY1006),$AM$1006:$BM$1006,0))&gt;=100000), " ",IF(INDEX($AM$2:$BM$1001,MATCH(ROWS($AF$2:AF571),$AF$2:$AF$1001,0),MATCH(COLUMNS($AM$1006:AY1006),$AM$1006:$BM$1006,0)), HYPERLINK("#",""), HYPERLINK(CONCATENATE("#metadata!", ADDRESS(INDEX($AH$2:$AH$1001,MATCH(ROWS($AF$2:AF571),$AF$2:$AF$1001,0),0), INDEX($AM$1004:$BM$1004,1,MATCH(COLUMNS($AM$1006:AY1006),$AM$1006:$BM$1006,0)))),"Fix")))</f>
        <v xml:space="preserve"> </v>
      </c>
      <c r="O571" s="4" t="str">
        <f ca="1">IF(OR(INDEX($AG$2:$AG$1001,MATCH(ROWS($AF$2:AF571),$AF$2:$AF$1001,0),1)&gt;=100000,INDEX($AM$1005:$BM$1005,1,MATCH(COLUMNS($AM$1006:AZ1006),$AM$1006:$BM$1006,0))&gt;=100000), " ",IF(INDEX($AM$2:$BM$1001,MATCH(ROWS($AF$2:AF571),$AF$2:$AF$1001,0),MATCH(COLUMNS($AM$1006:AZ1006),$AM$1006:$BM$1006,0)), HYPERLINK("#",""), HYPERLINK(CONCATENATE("#metadata!", ADDRESS(INDEX($AH$2:$AH$1001,MATCH(ROWS($AF$2:AF571),$AF$2:$AF$1001,0),0), INDEX($AM$1004:$BM$1004,1,MATCH(COLUMNS($AM$1006:AZ1006),$AM$1006:$BM$1006,0)))),"Fix")))</f>
        <v xml:space="preserve"> </v>
      </c>
      <c r="P571" s="4" t="str">
        <f ca="1">IF(OR(INDEX($AG$2:$AG$1001,MATCH(ROWS($AF$2:AF571),$AF$2:$AF$1001,0),1)&gt;=100000,INDEX($AM$1005:$BM$1005,1,MATCH(COLUMNS($AM$1006:BA1006),$AM$1006:$BM$1006,0))&gt;=100000), " ",IF(INDEX($AM$2:$BM$1001,MATCH(ROWS($AF$2:AF571),$AF$2:$AF$1001,0),MATCH(COLUMNS($AM$1006:BA1006),$AM$1006:$BM$1006,0)), HYPERLINK("#",""), HYPERLINK(CONCATENATE("#metadata!", ADDRESS(INDEX($AH$2:$AH$1001,MATCH(ROWS($AF$2:AF571),$AF$2:$AF$1001,0),0), INDEX($AM$1004:$BM$1004,1,MATCH(COLUMNS($AM$1006:BA1006),$AM$1006:$BM$1006,0)))),"Fix")))</f>
        <v xml:space="preserve"> </v>
      </c>
      <c r="Q571" s="4" t="str">
        <f ca="1">IF(OR(INDEX($AG$2:$AG$1001,MATCH(ROWS($AF$2:AF571),$AF$2:$AF$1001,0),1)&gt;=100000,INDEX($AM$1005:$BM$1005,1,MATCH(COLUMNS($AM$1006:BB1006),$AM$1006:$BM$1006,0))&gt;=100000), " ",IF(INDEX($AM$2:$BM$1001,MATCH(ROWS($AF$2:AF571),$AF$2:$AF$1001,0),MATCH(COLUMNS($AM$1006:BB1006),$AM$1006:$BM$1006,0)), HYPERLINK("#",""), HYPERLINK(CONCATENATE("#metadata!", ADDRESS(INDEX($AH$2:$AH$1001,MATCH(ROWS($AF$2:AF571),$AF$2:$AF$1001,0),0), INDEX($AM$1004:$BM$1004,1,MATCH(COLUMNS($AM$1006:BB1006),$AM$1006:$BM$1006,0)))),"Fix")))</f>
        <v xml:space="preserve"> </v>
      </c>
      <c r="R571" s="4" t="str">
        <f ca="1">IF(OR(INDEX($AG$2:$AG$1001,MATCH(ROWS($AF$2:AF571),$AF$2:$AF$1001,0),1)&gt;=100000,INDEX($AM$1005:$BM$1005,1,MATCH(COLUMNS($AM$1006:BC1006),$AM$1006:$BM$1006,0))&gt;=100000), " ",IF(INDEX($AM$2:$BM$1001,MATCH(ROWS($AF$2:AF571),$AF$2:$AF$1001,0),MATCH(COLUMNS($AM$1006:BC1006),$AM$1006:$BM$1006,0)), HYPERLINK("#",""), HYPERLINK(CONCATENATE("#metadata!", ADDRESS(INDEX($AH$2:$AH$1001,MATCH(ROWS($AF$2:AF571),$AF$2:$AF$1001,0),0), INDEX($AM$1004:$BM$1004,1,MATCH(COLUMNS($AM$1006:BC1006),$AM$1006:$BM$1006,0)))),"Fix")))</f>
        <v xml:space="preserve"> </v>
      </c>
      <c r="S571" s="4" t="str">
        <f ca="1">IF(OR(INDEX($AG$2:$AG$1001,MATCH(ROWS($AF$2:AF571),$AF$2:$AF$1001,0),1)&gt;=100000,INDEX($AM$1005:$BM$1005,1,MATCH(COLUMNS($AM$1006:BD1006),$AM$1006:$BM$1006,0))&gt;=100000), " ",IF(INDEX($AM$2:$BM$1001,MATCH(ROWS($AF$2:AF571),$AF$2:$AF$1001,0),MATCH(COLUMNS($AM$1006:BD1006),$AM$1006:$BM$1006,0)), HYPERLINK("#",""), HYPERLINK(CONCATENATE("#metadata!", ADDRESS(INDEX($AH$2:$AH$1001,MATCH(ROWS($AF$2:AF571),$AF$2:$AF$1001,0),0), INDEX($AM$1004:$BM$1004,1,MATCH(COLUMNS($AM$1006:BD1006),$AM$1006:$BM$1006,0)))),"Fix")))</f>
        <v xml:space="preserve"> </v>
      </c>
      <c r="T571" s="4" t="str">
        <f ca="1">IF(OR(INDEX($AG$2:$AG$1001,MATCH(ROWS($AF$2:AF571),$AF$2:$AF$1001,0),1)&gt;=100000,INDEX($AM$1005:$BM$1005,1,MATCH(COLUMNS($AM$1006:BE1006),$AM$1006:$BM$1006,0))&gt;=100000), " ",IF(INDEX($AM$2:$BM$1001,MATCH(ROWS($AF$2:AF571),$AF$2:$AF$1001,0),MATCH(COLUMNS($AM$1006:BE1006),$AM$1006:$BM$1006,0)), HYPERLINK("#",""), HYPERLINK(CONCATENATE("#metadata!", ADDRESS(INDEX($AH$2:$AH$1001,MATCH(ROWS($AF$2:AF571),$AF$2:$AF$1001,0),0), INDEX($AM$1004:$BM$1004,1,MATCH(COLUMNS($AM$1006:BE1006),$AM$1006:$BM$1006,0)))),"Fix")))</f>
        <v xml:space="preserve"> </v>
      </c>
      <c r="U571" s="4" t="str">
        <f ca="1">IF(OR(INDEX($AG$2:$AG$1001,MATCH(ROWS($AF$2:AF571),$AF$2:$AF$1001,0),1)&gt;=100000,INDEX($AM$1005:$BM$1005,1,MATCH(COLUMNS($AM$1006:BF1006),$AM$1006:$BM$1006,0))&gt;=100000), " ",IF(INDEX($AM$2:$BM$1001,MATCH(ROWS($AF$2:AF571),$AF$2:$AF$1001,0),MATCH(COLUMNS($AM$1006:BF1006),$AM$1006:$BM$1006,0)), HYPERLINK("#",""), HYPERLINK(CONCATENATE("#metadata!", ADDRESS(INDEX($AH$2:$AH$1001,MATCH(ROWS($AF$2:AF571),$AF$2:$AF$1001,0),0), INDEX($AM$1004:$BM$1004,1,MATCH(COLUMNS($AM$1006:BF1006),$AM$1006:$BM$1006,0)))),"Fix")))</f>
        <v xml:space="preserve"> </v>
      </c>
      <c r="V571" s="4" t="str">
        <f ca="1">IF(OR(INDEX($AG$2:$AG$1001,MATCH(ROWS($AF$2:AF571),$AF$2:$AF$1001,0),1)&gt;=100000,INDEX($AM$1005:$BM$1005,1,MATCH(COLUMNS($AM$1006:BG1006),$AM$1006:$BM$1006,0))&gt;=100000), " ",IF(INDEX($AM$2:$BM$1001,MATCH(ROWS($AF$2:AF571),$AF$2:$AF$1001,0),MATCH(COLUMNS($AM$1006:BG1006),$AM$1006:$BM$1006,0)), HYPERLINK("#",""), HYPERLINK(CONCATENATE("#metadata!", ADDRESS(INDEX($AH$2:$AH$1001,MATCH(ROWS($AF$2:AF571),$AF$2:$AF$1001,0),0), INDEX($AM$1004:$BM$1004,1,MATCH(COLUMNS($AM$1006:BG1006),$AM$1006:$BM$1006,0)))),"Fix")))</f>
        <v xml:space="preserve"> </v>
      </c>
      <c r="W571" s="4" t="str">
        <f ca="1">IF(OR(INDEX($AG$2:$AG$1001,MATCH(ROWS($AF$2:AF571),$AF$2:$AF$1001,0),1)&gt;=100000,INDEX($AM$1005:$BM$1005,1,MATCH(COLUMNS($AM$1006:BH1006),$AM$1006:$BM$1006,0))&gt;=100000), " ",IF(INDEX($AM$2:$BM$1001,MATCH(ROWS($AF$2:AF571),$AF$2:$AF$1001,0),MATCH(COLUMNS($AM$1006:BH1006),$AM$1006:$BM$1006,0)), HYPERLINK("#",""), HYPERLINK(CONCATENATE("#metadata!", ADDRESS(INDEX($AH$2:$AH$1001,MATCH(ROWS($AF$2:AF571),$AF$2:$AF$1001,0),0), INDEX($AM$1004:$BM$1004,1,MATCH(COLUMNS($AM$1006:BH1006),$AM$1006:$BM$1006,0)))),"Fix")))</f>
        <v xml:space="preserve"> </v>
      </c>
      <c r="X571" s="4" t="str">
        <f ca="1">IF(OR(INDEX($AG$2:$AG$1001,MATCH(ROWS($AF$2:AF571),$AF$2:$AF$1001,0),1)&gt;=100000,INDEX($AM$1005:$BM$1005,1,MATCH(COLUMNS($AM$1006:BI1006),$AM$1006:$BM$1006,0))&gt;=100000), " ",IF(INDEX($AM$2:$BM$1001,MATCH(ROWS($AF$2:AF571),$AF$2:$AF$1001,0),MATCH(COLUMNS($AM$1006:BI1006),$AM$1006:$BM$1006,0)), HYPERLINK("#",""), HYPERLINK(CONCATENATE("#metadata!", ADDRESS(INDEX($AH$2:$AH$1001,MATCH(ROWS($AF$2:AF571),$AF$2:$AF$1001,0),0), INDEX($AM$1004:$BM$1004,1,MATCH(COLUMNS($AM$1006:BI1006),$AM$1006:$BM$1006,0)))),"Fix")))</f>
        <v xml:space="preserve"> </v>
      </c>
      <c r="Y571" s="4" t="str">
        <f ca="1">IF(OR(INDEX($AG$2:$AG$1001,MATCH(ROWS($AF$2:AF571),$AF$2:$AF$1001,0),1)&gt;=100000,INDEX($AM$1005:$BM$1005,1,MATCH(COLUMNS($AM$1006:BJ1006),$AM$1006:$BM$1006,0))&gt;=100000), " ",IF(INDEX($AM$2:$BM$1001,MATCH(ROWS($AF$2:AF571),$AF$2:$AF$1001,0),MATCH(COLUMNS($AM$1006:BJ1006),$AM$1006:$BM$1006,0)), HYPERLINK("#",""), HYPERLINK(CONCATENATE("#metadata!", ADDRESS(INDEX($AH$2:$AH$1001,MATCH(ROWS($AF$2:AF571),$AF$2:$AF$1001,0),0), INDEX($AM$1004:$BM$1004,1,MATCH(COLUMNS($AM$1006:BJ1006),$AM$1006:$BM$1006,0)))),"Fix")))</f>
        <v xml:space="preserve"> </v>
      </c>
      <c r="Z571" s="4" t="str">
        <f ca="1">IF(OR(INDEX($AG$2:$AG$1001,MATCH(ROWS($AF$2:AF571),$AF$2:$AF$1001,0),1)&gt;=100000,INDEX($AM$1005:$BM$1005,1,MATCH(COLUMNS($AM$1006:BK1006),$AM$1006:$BM$1006,0))&gt;=100000), " ",IF(INDEX($AM$2:$BM$1001,MATCH(ROWS($AF$2:AF571),$AF$2:$AF$1001,0),MATCH(COLUMNS($AM$1006:BK1006),$AM$1006:$BM$1006,0)), HYPERLINK("#",""), HYPERLINK(CONCATENATE("#metadata!", ADDRESS(INDEX($AH$2:$AH$1001,MATCH(ROWS($AF$2:AF571),$AF$2:$AF$1001,0),0), INDEX($AM$1004:$BM$1004,1,MATCH(COLUMNS($AM$1006:BK1006),$AM$1006:$BM$1006,0)))),"Fix")))</f>
        <v xml:space="preserve"> </v>
      </c>
      <c r="AA571" s="4" t="str">
        <f ca="1">IF(OR(INDEX($AG$2:$AG$1001,MATCH(ROWS($AF$2:AF571),$AF$2:$AF$1001,0),1)&gt;=100000,INDEX($AM$1005:$BM$1005,1,MATCH(COLUMNS($AM$1006:BL1006),$AM$1006:$BM$1006,0))&gt;=100000), " ",IF(INDEX($AM$2:$BM$1001,MATCH(ROWS($AF$2:AF571),$AF$2:$AF$1001,0),MATCH(COLUMNS($AM$1006:BL1006),$AM$1006:$BM$1006,0)), HYPERLINK("#",""), HYPERLINK(CONCATENATE("#metadata!", ADDRESS(INDEX($AH$2:$AH$1001,MATCH(ROWS($AF$2:AF571),$AF$2:$AF$1001,0),0), INDEX($AM$1004:$BM$1004,1,MATCH(COLUMNS($AM$1006:BL1006),$AM$1006:$BM$1006,0)))),"Fix")))</f>
        <v xml:space="preserve"> </v>
      </c>
      <c r="AB571" s="4" t="str">
        <f ca="1">IF(OR(INDEX($AG$2:$AG$1001,MATCH(ROWS($AF$2:AF571),$AF$2:$AF$1001,0),1)&gt;=100000,INDEX($AM$1005:$BM$1005,1,MATCH(COLUMNS($AM$1006:BM1006),$AM$1006:$BM$1006,0))&gt;=100000), " ",IF(INDEX($AM$2:$BM$1001,MATCH(ROWS($AF$2:AF571),$AF$2:$AF$1001,0),MATCH(COLUMNS($AM$1006:BM1006),$AM$1006:$BM$1006,0)), HYPERLINK("#",""), HYPERLINK(CONCATENATE("#metadata!", ADDRESS(INDEX($AH$2:$AH$1001,MATCH(ROWS($AF$2:AF571),$AF$2:$AF$1001,0),0), INDEX($AM$1004:$BM$1004,1,MATCH(COLUMNS($AM$1006:BM1006),$AM$1006:$BM$1006,0)))),"Fix")))</f>
        <v xml:space="preserve"> </v>
      </c>
      <c r="AF571">
        <v>570</v>
      </c>
      <c r="AG571">
        <v>100571</v>
      </c>
      <c r="AH571">
        <v>571</v>
      </c>
      <c r="AI571" t="b">
        <f t="shared" si="8"/>
        <v>1</v>
      </c>
      <c r="AJ571" t="b">
        <f>COUNTBLANK(metadata!B571:AB571)=COLUMNS(metadata!B571:AB571)</f>
        <v>1</v>
      </c>
      <c r="AK571" t="str">
        <v/>
      </c>
      <c r="AM571" t="b">
        <f ca="1">AND(IF(metadata!B571="",FALSE,TRUE),COUNTIF(metadata!B:B, metadata!B571) = 1,NOT(ISERROR(SUMPRODUCT(SEARCH(MID(metadata!B571,ROW(INDIRECT("1:"&amp;LEN(metadata!B571))), 1),"0123456789abcdefghijklmnopqrstuvwxyzABCDEFGHIJKLMNOPQRSTUVWXYZ.")))))</f>
        <v>0</v>
      </c>
      <c r="AN571" t="b">
        <f ca="1">OR(AND(IF(metadata!C571="",FALSE,TRUE),OR(EXACT(metadata!C571,"missing: not collected"),EXACT(metadata!C571,"missing: not provided"),EXACT(metadata!C571,"missing: restricted access"))),AND(IF(metadata!C571="",FALSE,TRUE),AND(AND(IFERROR(INT(LEFT(metadata!C571,4))&gt;1900,FALSE),IFERROR(INT(LEFT(metadata!C571,4))&lt;=YEAR(NOW()),FALSE)), OR(MID(metadata!C571,5,1)="", AND(AND(MID(metadata!C571,5,1)="-",IFERROR(INT(MID(metadata!C571,6,1))&gt;=0,FALSE),IFERROR(INT(MID(metadata!C571,6,1))&lt;=1,FALSE),NOT(MID(metadata!C571,7,1)=""),IFERROR(INT(MID(metadata!C571,6,2))&gt;=1,FALSE),IFERROR(INT(MID(metadata!C571,6,2))&lt;=12,FALSE)), OR(MID(metadata!C571,8,1)="", AND(AND(MID(metadata!C571,8,1)="-",IFERROR(INT(MID(metadata!C571,9,1))&gt;=0,FALSE),IFERROR(INT(MID(metadata!C571,9,1))&lt;=3,FALSE),NOT(MID(metadata!C571,10,1)=""),IFERROR(INT(MID(metadata!C571,9,2))&gt;=1,FALSE),IFERROR(INT(MID(metadata!C571,9,2))&lt;=31,FALSE)), OR(MID(metadata!C571,11,1)="", AND(AND(MID(metadata!C571,11,1)=" ",IFERROR(INT(MID(metadata!C571,12,1))&gt;=0,FALSE),IFERROR(INT(MID(metadata!C571,12,1))&lt;=2,FALSE),NOT(MID(metadata!C571,13,1)=""),IFERROR(INT(MID(metadata!C571,12,2))&gt;=0,FALSE),IFERROR(INT(MID(metadata!C571,12,2))&lt;=23,FALSE)), OR(MID(metadata!C571,14,1)="", AND(AND(MID(metadata!C571,14,1)=":",IFERROR(INT(MID(metadata!C571,15,1))&gt;=0,FALSE),IFERROR(INT(MID(metadata!C571,15,1))&lt;=5,FALSE),NOT(MID(metadata!C571,16,1)=""),IFERROR(INT(MID(metadata!C571,15,2))&gt;=0,FALSE),IFERROR(INT(MID(metadata!C571,15,2))&lt;=59,FALSE)), OR(MID(metadata!C571,17,1)="", AND(AND(MID(metadata!C571,17,1)=":",IFERROR(INT(MID(metadata!C571,18,1))&gt;=0,FALSE),IFERROR(INT(MID(metadata!C571,18,1))&lt;=5,FALSE),NOT(MID(metadata!C571,19,1)=""),IFERROR(INT(MID(metadata!C571,18,2))&gt;=0,FALSE),IFERROR(INT(MID(metadata!C571,18,2))&lt;=59,FALSE)), LEN(metadata!C571)&lt;=19)))))))))))))</f>
        <v>0</v>
      </c>
      <c r="AO571" t="b">
        <f>AND(IF(metadata!D571="",FALSE,TRUE),EXACT(metadata!D571,"Not applicable"))</f>
        <v>0</v>
      </c>
      <c r="AP571" t="b">
        <f>IF(metadata!E571="",FALSE,TRUE)</f>
        <v>0</v>
      </c>
      <c r="AQ571" t="b">
        <f>OR(AND(IF(metadata!F571="",FALSE,TRUE),OR(EXACT(metadata!F571,"missing: not collected"),EXACT(metadata!F571,"missing: not provided"))),AND(IF(metadata!F571="",FALSE,TRUE),OR(EXACT(metadata!F571,"TRUE"),EXACT(metadata!F571,"FALSE"))))</f>
        <v>0</v>
      </c>
      <c r="AR571" t="b">
        <f>OR(AND(IF(metadata!G571="",FALSE,TRUE),OR(EXACT(metadata!G571,"missing: not collected"),EXACT(metadata!G571,"missing: not provided"),EXACT(metadata!G571,"missing: restricted access"))),AND(IF(metadata!G571="",FALSE,ISNUMBER(VALUE(metadata!G571))),metadata!G571&gt;=-413))</f>
        <v>0</v>
      </c>
      <c r="AS571" t="b">
        <f>AND(IF(metadata!H571="",FALSE,TRUE),EXACT(metadata!H571,"meters"))</f>
        <v>0</v>
      </c>
      <c r="AT571" t="b">
        <f>AND(IF(metadata!I571="",FALSE,TRUE),OR(EXACT(metadata!I571,"Host-associated"),EXACT(metadata!I571,"Free-living")))</f>
        <v>0</v>
      </c>
      <c r="AU571" t="b">
        <f>AND(IF(metadata!J571="",FALSE,TRUE),OR(EXACT(metadata!J571,"Animal"),EXACT(metadata!J571,"Fungus"),EXACT(metadata!J571,"Plant"),EXACT(metadata!J571,"Saline"),EXACT(metadata!J571,"Non-saline")))</f>
        <v>0</v>
      </c>
      <c r="AV571" t="b">
        <f>AND(IF(metadata!K571="",FALSE,TRUE),OR(EXACT(metadata!K571,"Plant secretion"),EXACT(metadata!K571,"Plant rhizosphere"),EXACT(metadata!K571,"Plant surface"),EXACT(metadata!K571,"Plant corpus"),EXACT(metadata!K571,"Fungus surface"),EXACT(metadata!K571,"Fungus corpus"),EXACT(metadata!K571,"Animal surface"),EXACT(metadata!K571,"Animal proximal gut"),EXACT(metadata!K571,"Animal corpus"),EXACT(metadata!K571,"Animal distal gut"),EXACT(metadata!K571,"Animal secretion"),EXACT(metadata!K571,"Sub-surface (non-saline)"),EXACT(metadata!K571,"Surface (non-saline)"),EXACT(metadata!K571,"Water (non-saline)"),EXACT(metadata!K571,"Soil (non-saline)"),EXACT(metadata!K571,"Aerosol (non-saline)"),EXACT(metadata!K571,"Sediment (non-saline)"),EXACT(metadata!K571,"Surface (saline)"),EXACT(metadata!K571,"Water (saline)"),EXACT(metadata!K571,"Hypersaline (saline)"),EXACT(metadata!K571,"Aerosol (saline)"),EXACT(metadata!K571,"Sediment (saline)")))</f>
        <v>0</v>
      </c>
      <c r="AW571" t="b">
        <f>IF(metadata!L571="",FALSE,TRUE)</f>
        <v>0</v>
      </c>
      <c r="AX571" t="b">
        <f>IF(metadata!M571="",FALSE,TRUE)</f>
        <v>0</v>
      </c>
      <c r="AY571" t="b">
        <f>IF(metadata!N571="",FALSE,TRUE)</f>
        <v>0</v>
      </c>
      <c r="AZ571" t="b">
        <f>OR(AND(IF(metadata!O571="",FALSE,TRUE),OR(EXACT(metadata!O571,"missing: not collected"),EXACT(metadata!O571,"missing: not provided"),EXACT(metadata!O571,"missing: restricted access"))),AND(IF(metadata!O571="",FALSE,TRUE),OR(EXACT(metadata!O571,"air"),EXACT(metadata!O571,"built environment"),EXACT(metadata!O571,"host-associated"),EXACT(metadata!O571,"human-associated"),EXACT(metadata!O571,"human-skin"),EXACT(metadata!O571,"human-oral"),EXACT(metadata!O571,"human-gut"),EXACT(metadata!O571,"human-vaginal"),EXACT(metadata!O571,"microbial mat/biofilm"),EXACT(metadata!O571,"misc environment"),EXACT(metadata!O571,"plant-associated"),EXACT(metadata!O571,"sediment"),EXACT(metadata!O571,"soil"),EXACT(metadata!O571,"wastewater/sludge"),EXACT(metadata!O571,"water"))))</f>
        <v>0</v>
      </c>
      <c r="BA571" t="b">
        <f>IF(metadata!P571="",FALSE,TRUE)</f>
        <v>0</v>
      </c>
      <c r="BB571" t="b">
        <f>IF(metadata!Q571="",FALSE,TRUE)</f>
        <v>0</v>
      </c>
      <c r="BC571" t="b">
        <f>OR(AND(IF(metadata!R571="",FALSE,TRUE),OR(EXACT(metadata!R571,"missing: not collected"),EXACT(metadata!R571,"missing: not provided"),EXACT(metadata!R571,"missing: restricted access"))),AND(IF(metadata!R571="",FALSE,ISNUMBER(VALUE(metadata!R571))),metadata!R571&gt;=-90,metadata!R571&lt;=90))</f>
        <v>0</v>
      </c>
      <c r="BD571" t="b">
        <f>AND(IF(metadata!S571="",FALSE,TRUE),EXACT(metadata!S571,"Decimal degrees"))</f>
        <v>0</v>
      </c>
      <c r="BE571" t="b">
        <f>OR(AND(IF(metadata!T571="",FALSE,TRUE),OR(EXACT(metadata!T571,"missing: not collected"),EXACT(metadata!T571,"missing: not provided"),EXACT(metadata!T571,"missing: restricted access"))),AND(IF(metadata!T571="",FALSE,ISNUMBER(VALUE(metadata!T571))),metadata!T571&gt;=-180,metadata!T571&lt;=180))</f>
        <v>0</v>
      </c>
      <c r="BF571" t="b">
        <f>AND(IF(metadata!U571="",FALSE,TRUE),EXACT(metadata!U571,"Decimal degrees"))</f>
        <v>0</v>
      </c>
      <c r="BG571" t="b">
        <f>IF(metadata!V571="",FALSE,TRUE)</f>
        <v>0</v>
      </c>
      <c r="BH571" t="b">
        <f>OR(AND(IF(metadata!W571="",FALSE,TRUE),OR(EXACT(metadata!W571,"missing: not collected"),EXACT(metadata!W571,"missing: not provided"),EXACT(metadata!W571,"missing: restricted access"))),AND(IF(metadata!W571="",FALSE,TRUE),OR(EXACT(metadata!W571,"TRUE"),EXACT(metadata!W571,"FALSE"))))</f>
        <v>0</v>
      </c>
      <c r="BI571" t="b">
        <f>AND(IF(metadata!X571="",FALSE,TRUE),EXACT(metadata!X571,"other"))</f>
        <v>0</v>
      </c>
      <c r="BJ571" t="b">
        <f>IF(metadata!Y571="",FALSE,TRUE)</f>
        <v>0</v>
      </c>
      <c r="BK571" t="b">
        <f>OR(AND(IF(metadata!Z571="",FALSE,TRUE),OR(EXACT(metadata!Z571,"missing: not collected"),EXACT(metadata!Z571,"missing: not provided"))),AND(IF(metadata!Z571="",FALSE,IF(ISERROR(INT(metadata!Z571)),FALSE,INT(metadata!Z571)=metadata!Z571)),metadata!Z571&gt;0))</f>
        <v>0</v>
      </c>
      <c r="BL571" t="b">
        <f>AND(IF(metadata!AA571="",FALSE,TRUE),EXACT(metadata!AA571,"Not applicable"))</f>
        <v>0</v>
      </c>
      <c r="BM571" t="b">
        <f>IF(metadata!AB571="",FALSE,TRUE)</f>
        <v>0</v>
      </c>
    </row>
    <row r="572" spans="1:65" x14ac:dyDescent="0.2">
      <c r="A572" s="5" t="str">
        <f ca="1">IF(B572=" "," ",HYPERLINK(CONCATENATE("#metadata!",ADDRESS(INDEX($AH$2:$AH$1001,MATCH(ROWS($AF$2:AF572),$AF$2:$AF$1001,0),0),1)),INDEX($AK$2:$AK$1001,MATCH(ROWS($AF$2:AF572),$AF$2:$AF$1001,0),0)))</f>
        <v xml:space="preserve"> </v>
      </c>
      <c r="B572" s="4" t="str">
        <f ca="1">IF(OR(INDEX($AG$2:$AG$1001,MATCH(ROWS($AF$2:AF572),$AF$2:$AF$1001,0),1)&gt;=100000,INDEX($AM$1005:$BM$1005,1,MATCH(COLUMNS($AM$1006:AM1006),$AM$1006:$BM$1006,0))&gt;=100000), " ",IF(INDEX($AM$2:$BM$1001,MATCH(ROWS($AF$2:AF572),$AF$2:$AF$1001,0),MATCH(COLUMNS($AM$1006:AM1006),$AM$1006:$BM$1006,0)), HYPERLINK("#",""), HYPERLINK(CONCATENATE("#metadata!", ADDRESS(INDEX($AH$2:$AH$1001,MATCH(ROWS($AF$2:AF572),$AF$2:$AF$1001,0),0), INDEX($AM$1004:$BM$1004,1,MATCH(COLUMNS($AM$1006:AM1006),$AM$1006:$BM$1006,0)))),"Fix")))</f>
        <v xml:space="preserve"> </v>
      </c>
      <c r="C572" s="4" t="str">
        <f ca="1">IF(OR(INDEX($AG$2:$AG$1001,MATCH(ROWS($AF$2:AF572),$AF$2:$AF$1001,0),1)&gt;=100000,INDEX($AM$1005:$BM$1005,1,MATCH(COLUMNS($AM$1006:AN1006),$AM$1006:$BM$1006,0))&gt;=100000), " ",IF(INDEX($AM$2:$BM$1001,MATCH(ROWS($AF$2:AF572),$AF$2:$AF$1001,0),MATCH(COLUMNS($AM$1006:AN1006),$AM$1006:$BM$1006,0)), HYPERLINK("#",""), HYPERLINK(CONCATENATE("#metadata!", ADDRESS(INDEX($AH$2:$AH$1001,MATCH(ROWS($AF$2:AF572),$AF$2:$AF$1001,0),0), INDEX($AM$1004:$BM$1004,1,MATCH(COLUMNS($AM$1006:AN1006),$AM$1006:$BM$1006,0)))),"Fix")))</f>
        <v xml:space="preserve"> </v>
      </c>
      <c r="D572" s="4" t="str">
        <f ca="1">IF(OR(INDEX($AG$2:$AG$1001,MATCH(ROWS($AF$2:AF572),$AF$2:$AF$1001,0),1)&gt;=100000,INDEX($AM$1005:$BM$1005,1,MATCH(COLUMNS($AM$1006:AO1006),$AM$1006:$BM$1006,0))&gt;=100000), " ",IF(INDEX($AM$2:$BM$1001,MATCH(ROWS($AF$2:AF572),$AF$2:$AF$1001,0),MATCH(COLUMNS($AM$1006:AO1006),$AM$1006:$BM$1006,0)), HYPERLINK("#",""), HYPERLINK(CONCATENATE("#metadata!", ADDRESS(INDEX($AH$2:$AH$1001,MATCH(ROWS($AF$2:AF572),$AF$2:$AF$1001,0),0), INDEX($AM$1004:$BM$1004,1,MATCH(COLUMNS($AM$1006:AO1006),$AM$1006:$BM$1006,0)))),"Fix")))</f>
        <v xml:space="preserve"> </v>
      </c>
      <c r="E572" s="4" t="str">
        <f ca="1">IF(OR(INDEX($AG$2:$AG$1001,MATCH(ROWS($AF$2:AF572),$AF$2:$AF$1001,0),1)&gt;=100000,INDEX($AM$1005:$BM$1005,1,MATCH(COLUMNS($AM$1006:AP1006),$AM$1006:$BM$1006,0))&gt;=100000), " ",IF(INDEX($AM$2:$BM$1001,MATCH(ROWS($AF$2:AF572),$AF$2:$AF$1001,0),MATCH(COLUMNS($AM$1006:AP1006),$AM$1006:$BM$1006,0)), HYPERLINK("#",""), HYPERLINK(CONCATENATE("#metadata!", ADDRESS(INDEX($AH$2:$AH$1001,MATCH(ROWS($AF$2:AF572),$AF$2:$AF$1001,0),0), INDEX($AM$1004:$BM$1004,1,MATCH(COLUMNS($AM$1006:AP1006),$AM$1006:$BM$1006,0)))),"Fix")))</f>
        <v xml:space="preserve"> </v>
      </c>
      <c r="F572" s="4" t="str">
        <f ca="1">IF(OR(INDEX($AG$2:$AG$1001,MATCH(ROWS($AF$2:AF572),$AF$2:$AF$1001,0),1)&gt;=100000,INDEX($AM$1005:$BM$1005,1,MATCH(COLUMNS($AM$1006:AQ1006),$AM$1006:$BM$1006,0))&gt;=100000), " ",IF(INDEX($AM$2:$BM$1001,MATCH(ROWS($AF$2:AF572),$AF$2:$AF$1001,0),MATCH(COLUMNS($AM$1006:AQ1006),$AM$1006:$BM$1006,0)), HYPERLINK("#",""), HYPERLINK(CONCATENATE("#metadata!", ADDRESS(INDEX($AH$2:$AH$1001,MATCH(ROWS($AF$2:AF572),$AF$2:$AF$1001,0),0), INDEX($AM$1004:$BM$1004,1,MATCH(COLUMNS($AM$1006:AQ1006),$AM$1006:$BM$1006,0)))),"Fix")))</f>
        <v xml:space="preserve"> </v>
      </c>
      <c r="G572" s="4" t="str">
        <f ca="1">IF(OR(INDEX($AG$2:$AG$1001,MATCH(ROWS($AF$2:AF572),$AF$2:$AF$1001,0),1)&gt;=100000,INDEX($AM$1005:$BM$1005,1,MATCH(COLUMNS($AM$1006:AR1006),$AM$1006:$BM$1006,0))&gt;=100000), " ",IF(INDEX($AM$2:$BM$1001,MATCH(ROWS($AF$2:AF572),$AF$2:$AF$1001,0),MATCH(COLUMNS($AM$1006:AR1006),$AM$1006:$BM$1006,0)), HYPERLINK("#",""), HYPERLINK(CONCATENATE("#metadata!", ADDRESS(INDEX($AH$2:$AH$1001,MATCH(ROWS($AF$2:AF572),$AF$2:$AF$1001,0),0), INDEX($AM$1004:$BM$1004,1,MATCH(COLUMNS($AM$1006:AR1006),$AM$1006:$BM$1006,0)))),"Fix")))</f>
        <v xml:space="preserve"> </v>
      </c>
      <c r="H572" s="4" t="str">
        <f ca="1">IF(OR(INDEX($AG$2:$AG$1001,MATCH(ROWS($AF$2:AF572),$AF$2:$AF$1001,0),1)&gt;=100000,INDEX($AM$1005:$BM$1005,1,MATCH(COLUMNS($AM$1006:AS1006),$AM$1006:$BM$1006,0))&gt;=100000), " ",IF(INDEX($AM$2:$BM$1001,MATCH(ROWS($AF$2:AF572),$AF$2:$AF$1001,0),MATCH(COLUMNS($AM$1006:AS1006),$AM$1006:$BM$1006,0)), HYPERLINK("#",""), HYPERLINK(CONCATENATE("#metadata!", ADDRESS(INDEX($AH$2:$AH$1001,MATCH(ROWS($AF$2:AF572),$AF$2:$AF$1001,0),0), INDEX($AM$1004:$BM$1004,1,MATCH(COLUMNS($AM$1006:AS1006),$AM$1006:$BM$1006,0)))),"Fix")))</f>
        <v xml:space="preserve"> </v>
      </c>
      <c r="I572" s="4" t="str">
        <f ca="1">IF(OR(INDEX($AG$2:$AG$1001,MATCH(ROWS($AF$2:AF572),$AF$2:$AF$1001,0),1)&gt;=100000,INDEX($AM$1005:$BM$1005,1,MATCH(COLUMNS($AM$1006:AT1006),$AM$1006:$BM$1006,0))&gt;=100000), " ",IF(INDEX($AM$2:$BM$1001,MATCH(ROWS($AF$2:AF572),$AF$2:$AF$1001,0),MATCH(COLUMNS($AM$1006:AT1006),$AM$1006:$BM$1006,0)), HYPERLINK("#",""), HYPERLINK(CONCATENATE("#metadata!", ADDRESS(INDEX($AH$2:$AH$1001,MATCH(ROWS($AF$2:AF572),$AF$2:$AF$1001,0),0), INDEX($AM$1004:$BM$1004,1,MATCH(COLUMNS($AM$1006:AT1006),$AM$1006:$BM$1006,0)))),"Fix")))</f>
        <v xml:space="preserve"> </v>
      </c>
      <c r="J572" s="4" t="str">
        <f ca="1">IF(OR(INDEX($AG$2:$AG$1001,MATCH(ROWS($AF$2:AF572),$AF$2:$AF$1001,0),1)&gt;=100000,INDEX($AM$1005:$BM$1005,1,MATCH(COLUMNS($AM$1006:AU1006),$AM$1006:$BM$1006,0))&gt;=100000), " ",IF(INDEX($AM$2:$BM$1001,MATCH(ROWS($AF$2:AF572),$AF$2:$AF$1001,0),MATCH(COLUMNS($AM$1006:AU1006),$AM$1006:$BM$1006,0)), HYPERLINK("#",""), HYPERLINK(CONCATENATE("#metadata!", ADDRESS(INDEX($AH$2:$AH$1001,MATCH(ROWS($AF$2:AF572),$AF$2:$AF$1001,0),0), INDEX($AM$1004:$BM$1004,1,MATCH(COLUMNS($AM$1006:AU1006),$AM$1006:$BM$1006,0)))),"Fix")))</f>
        <v xml:space="preserve"> </v>
      </c>
      <c r="K572" s="4" t="str">
        <f ca="1">IF(OR(INDEX($AG$2:$AG$1001,MATCH(ROWS($AF$2:AF572),$AF$2:$AF$1001,0),1)&gt;=100000,INDEX($AM$1005:$BM$1005,1,MATCH(COLUMNS($AM$1006:AV1006),$AM$1006:$BM$1006,0))&gt;=100000), " ",IF(INDEX($AM$2:$BM$1001,MATCH(ROWS($AF$2:AF572),$AF$2:$AF$1001,0),MATCH(COLUMNS($AM$1006:AV1006),$AM$1006:$BM$1006,0)), HYPERLINK("#",""), HYPERLINK(CONCATENATE("#metadata!", ADDRESS(INDEX($AH$2:$AH$1001,MATCH(ROWS($AF$2:AF572),$AF$2:$AF$1001,0),0), INDEX($AM$1004:$BM$1004,1,MATCH(COLUMNS($AM$1006:AV1006),$AM$1006:$BM$1006,0)))),"Fix")))</f>
        <v xml:space="preserve"> </v>
      </c>
      <c r="L572" s="4" t="str">
        <f ca="1">IF(OR(INDEX($AG$2:$AG$1001,MATCH(ROWS($AF$2:AF572),$AF$2:$AF$1001,0),1)&gt;=100000,INDEX($AM$1005:$BM$1005,1,MATCH(COLUMNS($AM$1006:AW1006),$AM$1006:$BM$1006,0))&gt;=100000), " ",IF(INDEX($AM$2:$BM$1001,MATCH(ROWS($AF$2:AF572),$AF$2:$AF$1001,0),MATCH(COLUMNS($AM$1006:AW1006),$AM$1006:$BM$1006,0)), HYPERLINK("#",""), HYPERLINK(CONCATENATE("#metadata!", ADDRESS(INDEX($AH$2:$AH$1001,MATCH(ROWS($AF$2:AF572),$AF$2:$AF$1001,0),0), INDEX($AM$1004:$BM$1004,1,MATCH(COLUMNS($AM$1006:AW1006),$AM$1006:$BM$1006,0)))),"Fix")))</f>
        <v xml:space="preserve"> </v>
      </c>
      <c r="M572" s="4" t="str">
        <f ca="1">IF(OR(INDEX($AG$2:$AG$1001,MATCH(ROWS($AF$2:AF572),$AF$2:$AF$1001,0),1)&gt;=100000,INDEX($AM$1005:$BM$1005,1,MATCH(COLUMNS($AM$1006:AX1006),$AM$1006:$BM$1006,0))&gt;=100000), " ",IF(INDEX($AM$2:$BM$1001,MATCH(ROWS($AF$2:AF572),$AF$2:$AF$1001,0),MATCH(COLUMNS($AM$1006:AX1006),$AM$1006:$BM$1006,0)), HYPERLINK("#",""), HYPERLINK(CONCATENATE("#metadata!", ADDRESS(INDEX($AH$2:$AH$1001,MATCH(ROWS($AF$2:AF572),$AF$2:$AF$1001,0),0), INDEX($AM$1004:$BM$1004,1,MATCH(COLUMNS($AM$1006:AX1006),$AM$1006:$BM$1006,0)))),"Fix")))</f>
        <v xml:space="preserve"> </v>
      </c>
      <c r="N572" s="4" t="str">
        <f ca="1">IF(OR(INDEX($AG$2:$AG$1001,MATCH(ROWS($AF$2:AF572),$AF$2:$AF$1001,0),1)&gt;=100000,INDEX($AM$1005:$BM$1005,1,MATCH(COLUMNS($AM$1006:AY1006),$AM$1006:$BM$1006,0))&gt;=100000), " ",IF(INDEX($AM$2:$BM$1001,MATCH(ROWS($AF$2:AF572),$AF$2:$AF$1001,0),MATCH(COLUMNS($AM$1006:AY1006),$AM$1006:$BM$1006,0)), HYPERLINK("#",""), HYPERLINK(CONCATENATE("#metadata!", ADDRESS(INDEX($AH$2:$AH$1001,MATCH(ROWS($AF$2:AF572),$AF$2:$AF$1001,0),0), INDEX($AM$1004:$BM$1004,1,MATCH(COLUMNS($AM$1006:AY1006),$AM$1006:$BM$1006,0)))),"Fix")))</f>
        <v xml:space="preserve"> </v>
      </c>
      <c r="O572" s="4" t="str">
        <f ca="1">IF(OR(INDEX($AG$2:$AG$1001,MATCH(ROWS($AF$2:AF572),$AF$2:$AF$1001,0),1)&gt;=100000,INDEX($AM$1005:$BM$1005,1,MATCH(COLUMNS($AM$1006:AZ1006),$AM$1006:$BM$1006,0))&gt;=100000), " ",IF(INDEX($AM$2:$BM$1001,MATCH(ROWS($AF$2:AF572),$AF$2:$AF$1001,0),MATCH(COLUMNS($AM$1006:AZ1006),$AM$1006:$BM$1006,0)), HYPERLINK("#",""), HYPERLINK(CONCATENATE("#metadata!", ADDRESS(INDEX($AH$2:$AH$1001,MATCH(ROWS($AF$2:AF572),$AF$2:$AF$1001,0),0), INDEX($AM$1004:$BM$1004,1,MATCH(COLUMNS($AM$1006:AZ1006),$AM$1006:$BM$1006,0)))),"Fix")))</f>
        <v xml:space="preserve"> </v>
      </c>
      <c r="P572" s="4" t="str">
        <f ca="1">IF(OR(INDEX($AG$2:$AG$1001,MATCH(ROWS($AF$2:AF572),$AF$2:$AF$1001,0),1)&gt;=100000,INDEX($AM$1005:$BM$1005,1,MATCH(COLUMNS($AM$1006:BA1006),$AM$1006:$BM$1006,0))&gt;=100000), " ",IF(INDEX($AM$2:$BM$1001,MATCH(ROWS($AF$2:AF572),$AF$2:$AF$1001,0),MATCH(COLUMNS($AM$1006:BA1006),$AM$1006:$BM$1006,0)), HYPERLINK("#",""), HYPERLINK(CONCATENATE("#metadata!", ADDRESS(INDEX($AH$2:$AH$1001,MATCH(ROWS($AF$2:AF572),$AF$2:$AF$1001,0),0), INDEX($AM$1004:$BM$1004,1,MATCH(COLUMNS($AM$1006:BA1006),$AM$1006:$BM$1006,0)))),"Fix")))</f>
        <v xml:space="preserve"> </v>
      </c>
      <c r="Q572" s="4" t="str">
        <f ca="1">IF(OR(INDEX($AG$2:$AG$1001,MATCH(ROWS($AF$2:AF572),$AF$2:$AF$1001,0),1)&gt;=100000,INDEX($AM$1005:$BM$1005,1,MATCH(COLUMNS($AM$1006:BB1006),$AM$1006:$BM$1006,0))&gt;=100000), " ",IF(INDEX($AM$2:$BM$1001,MATCH(ROWS($AF$2:AF572),$AF$2:$AF$1001,0),MATCH(COLUMNS($AM$1006:BB1006),$AM$1006:$BM$1006,0)), HYPERLINK("#",""), HYPERLINK(CONCATENATE("#metadata!", ADDRESS(INDEX($AH$2:$AH$1001,MATCH(ROWS($AF$2:AF572),$AF$2:$AF$1001,0),0), INDEX($AM$1004:$BM$1004,1,MATCH(COLUMNS($AM$1006:BB1006),$AM$1006:$BM$1006,0)))),"Fix")))</f>
        <v xml:space="preserve"> </v>
      </c>
      <c r="R572" s="4" t="str">
        <f ca="1">IF(OR(INDEX($AG$2:$AG$1001,MATCH(ROWS($AF$2:AF572),$AF$2:$AF$1001,0),1)&gt;=100000,INDEX($AM$1005:$BM$1005,1,MATCH(COLUMNS($AM$1006:BC1006),$AM$1006:$BM$1006,0))&gt;=100000), " ",IF(INDEX($AM$2:$BM$1001,MATCH(ROWS($AF$2:AF572),$AF$2:$AF$1001,0),MATCH(COLUMNS($AM$1006:BC1006),$AM$1006:$BM$1006,0)), HYPERLINK("#",""), HYPERLINK(CONCATENATE("#metadata!", ADDRESS(INDEX($AH$2:$AH$1001,MATCH(ROWS($AF$2:AF572),$AF$2:$AF$1001,0),0), INDEX($AM$1004:$BM$1004,1,MATCH(COLUMNS($AM$1006:BC1006),$AM$1006:$BM$1006,0)))),"Fix")))</f>
        <v xml:space="preserve"> </v>
      </c>
      <c r="S572" s="4" t="str">
        <f ca="1">IF(OR(INDEX($AG$2:$AG$1001,MATCH(ROWS($AF$2:AF572),$AF$2:$AF$1001,0),1)&gt;=100000,INDEX($AM$1005:$BM$1005,1,MATCH(COLUMNS($AM$1006:BD1006),$AM$1006:$BM$1006,0))&gt;=100000), " ",IF(INDEX($AM$2:$BM$1001,MATCH(ROWS($AF$2:AF572),$AF$2:$AF$1001,0),MATCH(COLUMNS($AM$1006:BD1006),$AM$1006:$BM$1006,0)), HYPERLINK("#",""), HYPERLINK(CONCATENATE("#metadata!", ADDRESS(INDEX($AH$2:$AH$1001,MATCH(ROWS($AF$2:AF572),$AF$2:$AF$1001,0),0), INDEX($AM$1004:$BM$1004,1,MATCH(COLUMNS($AM$1006:BD1006),$AM$1006:$BM$1006,0)))),"Fix")))</f>
        <v xml:space="preserve"> </v>
      </c>
      <c r="T572" s="4" t="str">
        <f ca="1">IF(OR(INDEX($AG$2:$AG$1001,MATCH(ROWS($AF$2:AF572),$AF$2:$AF$1001,0),1)&gt;=100000,INDEX($AM$1005:$BM$1005,1,MATCH(COLUMNS($AM$1006:BE1006),$AM$1006:$BM$1006,0))&gt;=100000), " ",IF(INDEX($AM$2:$BM$1001,MATCH(ROWS($AF$2:AF572),$AF$2:$AF$1001,0),MATCH(COLUMNS($AM$1006:BE1006),$AM$1006:$BM$1006,0)), HYPERLINK("#",""), HYPERLINK(CONCATENATE("#metadata!", ADDRESS(INDEX($AH$2:$AH$1001,MATCH(ROWS($AF$2:AF572),$AF$2:$AF$1001,0),0), INDEX($AM$1004:$BM$1004,1,MATCH(COLUMNS($AM$1006:BE1006),$AM$1006:$BM$1006,0)))),"Fix")))</f>
        <v xml:space="preserve"> </v>
      </c>
      <c r="U572" s="4" t="str">
        <f ca="1">IF(OR(INDEX($AG$2:$AG$1001,MATCH(ROWS($AF$2:AF572),$AF$2:$AF$1001,0),1)&gt;=100000,INDEX($AM$1005:$BM$1005,1,MATCH(COLUMNS($AM$1006:BF1006),$AM$1006:$BM$1006,0))&gt;=100000), " ",IF(INDEX($AM$2:$BM$1001,MATCH(ROWS($AF$2:AF572),$AF$2:$AF$1001,0),MATCH(COLUMNS($AM$1006:BF1006),$AM$1006:$BM$1006,0)), HYPERLINK("#",""), HYPERLINK(CONCATENATE("#metadata!", ADDRESS(INDEX($AH$2:$AH$1001,MATCH(ROWS($AF$2:AF572),$AF$2:$AF$1001,0),0), INDEX($AM$1004:$BM$1004,1,MATCH(COLUMNS($AM$1006:BF1006),$AM$1006:$BM$1006,0)))),"Fix")))</f>
        <v xml:space="preserve"> </v>
      </c>
      <c r="V572" s="4" t="str">
        <f ca="1">IF(OR(INDEX($AG$2:$AG$1001,MATCH(ROWS($AF$2:AF572),$AF$2:$AF$1001,0),1)&gt;=100000,INDEX($AM$1005:$BM$1005,1,MATCH(COLUMNS($AM$1006:BG1006),$AM$1006:$BM$1006,0))&gt;=100000), " ",IF(INDEX($AM$2:$BM$1001,MATCH(ROWS($AF$2:AF572),$AF$2:$AF$1001,0),MATCH(COLUMNS($AM$1006:BG1006),$AM$1006:$BM$1006,0)), HYPERLINK("#",""), HYPERLINK(CONCATENATE("#metadata!", ADDRESS(INDEX($AH$2:$AH$1001,MATCH(ROWS($AF$2:AF572),$AF$2:$AF$1001,0),0), INDEX($AM$1004:$BM$1004,1,MATCH(COLUMNS($AM$1006:BG1006),$AM$1006:$BM$1006,0)))),"Fix")))</f>
        <v xml:space="preserve"> </v>
      </c>
      <c r="W572" s="4" t="str">
        <f ca="1">IF(OR(INDEX($AG$2:$AG$1001,MATCH(ROWS($AF$2:AF572),$AF$2:$AF$1001,0),1)&gt;=100000,INDEX($AM$1005:$BM$1005,1,MATCH(COLUMNS($AM$1006:BH1006),$AM$1006:$BM$1006,0))&gt;=100000), " ",IF(INDEX($AM$2:$BM$1001,MATCH(ROWS($AF$2:AF572),$AF$2:$AF$1001,0),MATCH(COLUMNS($AM$1006:BH1006),$AM$1006:$BM$1006,0)), HYPERLINK("#",""), HYPERLINK(CONCATENATE("#metadata!", ADDRESS(INDEX($AH$2:$AH$1001,MATCH(ROWS($AF$2:AF572),$AF$2:$AF$1001,0),0), INDEX($AM$1004:$BM$1004,1,MATCH(COLUMNS($AM$1006:BH1006),$AM$1006:$BM$1006,0)))),"Fix")))</f>
        <v xml:space="preserve"> </v>
      </c>
      <c r="X572" s="4" t="str">
        <f ca="1">IF(OR(INDEX($AG$2:$AG$1001,MATCH(ROWS($AF$2:AF572),$AF$2:$AF$1001,0),1)&gt;=100000,INDEX($AM$1005:$BM$1005,1,MATCH(COLUMNS($AM$1006:BI1006),$AM$1006:$BM$1006,0))&gt;=100000), " ",IF(INDEX($AM$2:$BM$1001,MATCH(ROWS($AF$2:AF572),$AF$2:$AF$1001,0),MATCH(COLUMNS($AM$1006:BI1006),$AM$1006:$BM$1006,0)), HYPERLINK("#",""), HYPERLINK(CONCATENATE("#metadata!", ADDRESS(INDEX($AH$2:$AH$1001,MATCH(ROWS($AF$2:AF572),$AF$2:$AF$1001,0),0), INDEX($AM$1004:$BM$1004,1,MATCH(COLUMNS($AM$1006:BI1006),$AM$1006:$BM$1006,0)))),"Fix")))</f>
        <v xml:space="preserve"> </v>
      </c>
      <c r="Y572" s="4" t="str">
        <f ca="1">IF(OR(INDEX($AG$2:$AG$1001,MATCH(ROWS($AF$2:AF572),$AF$2:$AF$1001,0),1)&gt;=100000,INDEX($AM$1005:$BM$1005,1,MATCH(COLUMNS($AM$1006:BJ1006),$AM$1006:$BM$1006,0))&gt;=100000), " ",IF(INDEX($AM$2:$BM$1001,MATCH(ROWS($AF$2:AF572),$AF$2:$AF$1001,0),MATCH(COLUMNS($AM$1006:BJ1006),$AM$1006:$BM$1006,0)), HYPERLINK("#",""), HYPERLINK(CONCATENATE("#metadata!", ADDRESS(INDEX($AH$2:$AH$1001,MATCH(ROWS($AF$2:AF572),$AF$2:$AF$1001,0),0), INDEX($AM$1004:$BM$1004,1,MATCH(COLUMNS($AM$1006:BJ1006),$AM$1006:$BM$1006,0)))),"Fix")))</f>
        <v xml:space="preserve"> </v>
      </c>
      <c r="Z572" s="4" t="str">
        <f ca="1">IF(OR(INDEX($AG$2:$AG$1001,MATCH(ROWS($AF$2:AF572),$AF$2:$AF$1001,0),1)&gt;=100000,INDEX($AM$1005:$BM$1005,1,MATCH(COLUMNS($AM$1006:BK1006),$AM$1006:$BM$1006,0))&gt;=100000), " ",IF(INDEX($AM$2:$BM$1001,MATCH(ROWS($AF$2:AF572),$AF$2:$AF$1001,0),MATCH(COLUMNS($AM$1006:BK1006),$AM$1006:$BM$1006,0)), HYPERLINK("#",""), HYPERLINK(CONCATENATE("#metadata!", ADDRESS(INDEX($AH$2:$AH$1001,MATCH(ROWS($AF$2:AF572),$AF$2:$AF$1001,0),0), INDEX($AM$1004:$BM$1004,1,MATCH(COLUMNS($AM$1006:BK1006),$AM$1006:$BM$1006,0)))),"Fix")))</f>
        <v xml:space="preserve"> </v>
      </c>
      <c r="AA572" s="4" t="str">
        <f ca="1">IF(OR(INDEX($AG$2:$AG$1001,MATCH(ROWS($AF$2:AF572),$AF$2:$AF$1001,0),1)&gt;=100000,INDEX($AM$1005:$BM$1005,1,MATCH(COLUMNS($AM$1006:BL1006),$AM$1006:$BM$1006,0))&gt;=100000), " ",IF(INDEX($AM$2:$BM$1001,MATCH(ROWS($AF$2:AF572),$AF$2:$AF$1001,0),MATCH(COLUMNS($AM$1006:BL1006),$AM$1006:$BM$1006,0)), HYPERLINK("#",""), HYPERLINK(CONCATENATE("#metadata!", ADDRESS(INDEX($AH$2:$AH$1001,MATCH(ROWS($AF$2:AF572),$AF$2:$AF$1001,0),0), INDEX($AM$1004:$BM$1004,1,MATCH(COLUMNS($AM$1006:BL1006),$AM$1006:$BM$1006,0)))),"Fix")))</f>
        <v xml:space="preserve"> </v>
      </c>
      <c r="AB572" s="4" t="str">
        <f ca="1">IF(OR(INDEX($AG$2:$AG$1001,MATCH(ROWS($AF$2:AF572),$AF$2:$AF$1001,0),1)&gt;=100000,INDEX($AM$1005:$BM$1005,1,MATCH(COLUMNS($AM$1006:BM1006),$AM$1006:$BM$1006,0))&gt;=100000), " ",IF(INDEX($AM$2:$BM$1001,MATCH(ROWS($AF$2:AF572),$AF$2:$AF$1001,0),MATCH(COLUMNS($AM$1006:BM1006),$AM$1006:$BM$1006,0)), HYPERLINK("#",""), HYPERLINK(CONCATENATE("#metadata!", ADDRESS(INDEX($AH$2:$AH$1001,MATCH(ROWS($AF$2:AF572),$AF$2:$AF$1001,0),0), INDEX($AM$1004:$BM$1004,1,MATCH(COLUMNS($AM$1006:BM1006),$AM$1006:$BM$1006,0)))),"Fix")))</f>
        <v xml:space="preserve"> </v>
      </c>
      <c r="AF572">
        <v>571</v>
      </c>
      <c r="AG572">
        <v>100572</v>
      </c>
      <c r="AH572">
        <v>572</v>
      </c>
      <c r="AI572" t="b">
        <f t="shared" si="8"/>
        <v>1</v>
      </c>
      <c r="AJ572" t="b">
        <f>COUNTBLANK(metadata!B572:AB572)=COLUMNS(metadata!B572:AB572)</f>
        <v>1</v>
      </c>
      <c r="AK572" t="str">
        <v/>
      </c>
      <c r="AM572" t="b">
        <f ca="1">AND(IF(metadata!B572="",FALSE,TRUE),COUNTIF(metadata!B:B, metadata!B572) = 1,NOT(ISERROR(SUMPRODUCT(SEARCH(MID(metadata!B572,ROW(INDIRECT("1:"&amp;LEN(metadata!B572))), 1),"0123456789abcdefghijklmnopqrstuvwxyzABCDEFGHIJKLMNOPQRSTUVWXYZ.")))))</f>
        <v>0</v>
      </c>
      <c r="AN572" t="b">
        <f ca="1">OR(AND(IF(metadata!C572="",FALSE,TRUE),OR(EXACT(metadata!C572,"missing: not collected"),EXACT(metadata!C572,"missing: not provided"),EXACT(metadata!C572,"missing: restricted access"))),AND(IF(metadata!C572="",FALSE,TRUE),AND(AND(IFERROR(INT(LEFT(metadata!C572,4))&gt;1900,FALSE),IFERROR(INT(LEFT(metadata!C572,4))&lt;=YEAR(NOW()),FALSE)), OR(MID(metadata!C572,5,1)="", AND(AND(MID(metadata!C572,5,1)="-",IFERROR(INT(MID(metadata!C572,6,1))&gt;=0,FALSE),IFERROR(INT(MID(metadata!C572,6,1))&lt;=1,FALSE),NOT(MID(metadata!C572,7,1)=""),IFERROR(INT(MID(metadata!C572,6,2))&gt;=1,FALSE),IFERROR(INT(MID(metadata!C572,6,2))&lt;=12,FALSE)), OR(MID(metadata!C572,8,1)="", AND(AND(MID(metadata!C572,8,1)="-",IFERROR(INT(MID(metadata!C572,9,1))&gt;=0,FALSE),IFERROR(INT(MID(metadata!C572,9,1))&lt;=3,FALSE),NOT(MID(metadata!C572,10,1)=""),IFERROR(INT(MID(metadata!C572,9,2))&gt;=1,FALSE),IFERROR(INT(MID(metadata!C572,9,2))&lt;=31,FALSE)), OR(MID(metadata!C572,11,1)="", AND(AND(MID(metadata!C572,11,1)=" ",IFERROR(INT(MID(metadata!C572,12,1))&gt;=0,FALSE),IFERROR(INT(MID(metadata!C572,12,1))&lt;=2,FALSE),NOT(MID(metadata!C572,13,1)=""),IFERROR(INT(MID(metadata!C572,12,2))&gt;=0,FALSE),IFERROR(INT(MID(metadata!C572,12,2))&lt;=23,FALSE)), OR(MID(metadata!C572,14,1)="", AND(AND(MID(metadata!C572,14,1)=":",IFERROR(INT(MID(metadata!C572,15,1))&gt;=0,FALSE),IFERROR(INT(MID(metadata!C572,15,1))&lt;=5,FALSE),NOT(MID(metadata!C572,16,1)=""),IFERROR(INT(MID(metadata!C572,15,2))&gt;=0,FALSE),IFERROR(INT(MID(metadata!C572,15,2))&lt;=59,FALSE)), OR(MID(metadata!C572,17,1)="", AND(AND(MID(metadata!C572,17,1)=":",IFERROR(INT(MID(metadata!C572,18,1))&gt;=0,FALSE),IFERROR(INT(MID(metadata!C572,18,1))&lt;=5,FALSE),NOT(MID(metadata!C572,19,1)=""),IFERROR(INT(MID(metadata!C572,18,2))&gt;=0,FALSE),IFERROR(INT(MID(metadata!C572,18,2))&lt;=59,FALSE)), LEN(metadata!C572)&lt;=19)))))))))))))</f>
        <v>0</v>
      </c>
      <c r="AO572" t="b">
        <f>AND(IF(metadata!D572="",FALSE,TRUE),EXACT(metadata!D572,"Not applicable"))</f>
        <v>0</v>
      </c>
      <c r="AP572" t="b">
        <f>IF(metadata!E572="",FALSE,TRUE)</f>
        <v>0</v>
      </c>
      <c r="AQ572" t="b">
        <f>OR(AND(IF(metadata!F572="",FALSE,TRUE),OR(EXACT(metadata!F572,"missing: not collected"),EXACT(metadata!F572,"missing: not provided"))),AND(IF(metadata!F572="",FALSE,TRUE),OR(EXACT(metadata!F572,"TRUE"),EXACT(metadata!F572,"FALSE"))))</f>
        <v>0</v>
      </c>
      <c r="AR572" t="b">
        <f>OR(AND(IF(metadata!G572="",FALSE,TRUE),OR(EXACT(metadata!G572,"missing: not collected"),EXACT(metadata!G572,"missing: not provided"),EXACT(metadata!G572,"missing: restricted access"))),AND(IF(metadata!G572="",FALSE,ISNUMBER(VALUE(metadata!G572))),metadata!G572&gt;=-413))</f>
        <v>0</v>
      </c>
      <c r="AS572" t="b">
        <f>AND(IF(metadata!H572="",FALSE,TRUE),EXACT(metadata!H572,"meters"))</f>
        <v>0</v>
      </c>
      <c r="AT572" t="b">
        <f>AND(IF(metadata!I572="",FALSE,TRUE),OR(EXACT(metadata!I572,"Host-associated"),EXACT(metadata!I572,"Free-living")))</f>
        <v>0</v>
      </c>
      <c r="AU572" t="b">
        <f>AND(IF(metadata!J572="",FALSE,TRUE),OR(EXACT(metadata!J572,"Animal"),EXACT(metadata!J572,"Fungus"),EXACT(metadata!J572,"Plant"),EXACT(metadata!J572,"Saline"),EXACT(metadata!J572,"Non-saline")))</f>
        <v>0</v>
      </c>
      <c r="AV572" t="b">
        <f>AND(IF(metadata!K572="",FALSE,TRUE),OR(EXACT(metadata!K572,"Plant secretion"),EXACT(metadata!K572,"Plant rhizosphere"),EXACT(metadata!K572,"Plant surface"),EXACT(metadata!K572,"Plant corpus"),EXACT(metadata!K572,"Fungus surface"),EXACT(metadata!K572,"Fungus corpus"),EXACT(metadata!K572,"Animal surface"),EXACT(metadata!K572,"Animal proximal gut"),EXACT(metadata!K572,"Animal corpus"),EXACT(metadata!K572,"Animal distal gut"),EXACT(metadata!K572,"Animal secretion"),EXACT(metadata!K572,"Sub-surface (non-saline)"),EXACT(metadata!K572,"Surface (non-saline)"),EXACT(metadata!K572,"Water (non-saline)"),EXACT(metadata!K572,"Soil (non-saline)"),EXACT(metadata!K572,"Aerosol (non-saline)"),EXACT(metadata!K572,"Sediment (non-saline)"),EXACT(metadata!K572,"Surface (saline)"),EXACT(metadata!K572,"Water (saline)"),EXACT(metadata!K572,"Hypersaline (saline)"),EXACT(metadata!K572,"Aerosol (saline)"),EXACT(metadata!K572,"Sediment (saline)")))</f>
        <v>0</v>
      </c>
      <c r="AW572" t="b">
        <f>IF(metadata!L572="",FALSE,TRUE)</f>
        <v>0</v>
      </c>
      <c r="AX572" t="b">
        <f>IF(metadata!M572="",FALSE,TRUE)</f>
        <v>0</v>
      </c>
      <c r="AY572" t="b">
        <f>IF(metadata!N572="",FALSE,TRUE)</f>
        <v>0</v>
      </c>
      <c r="AZ572" t="b">
        <f>OR(AND(IF(metadata!O572="",FALSE,TRUE),OR(EXACT(metadata!O572,"missing: not collected"),EXACT(metadata!O572,"missing: not provided"),EXACT(metadata!O572,"missing: restricted access"))),AND(IF(metadata!O572="",FALSE,TRUE),OR(EXACT(metadata!O572,"air"),EXACT(metadata!O572,"built environment"),EXACT(metadata!O572,"host-associated"),EXACT(metadata!O572,"human-associated"),EXACT(metadata!O572,"human-skin"),EXACT(metadata!O572,"human-oral"),EXACT(metadata!O572,"human-gut"),EXACT(metadata!O572,"human-vaginal"),EXACT(metadata!O572,"microbial mat/biofilm"),EXACT(metadata!O572,"misc environment"),EXACT(metadata!O572,"plant-associated"),EXACT(metadata!O572,"sediment"),EXACT(metadata!O572,"soil"),EXACT(metadata!O572,"wastewater/sludge"),EXACT(metadata!O572,"water"))))</f>
        <v>0</v>
      </c>
      <c r="BA572" t="b">
        <f>IF(metadata!P572="",FALSE,TRUE)</f>
        <v>0</v>
      </c>
      <c r="BB572" t="b">
        <f>IF(metadata!Q572="",FALSE,TRUE)</f>
        <v>0</v>
      </c>
      <c r="BC572" t="b">
        <f>OR(AND(IF(metadata!R572="",FALSE,TRUE),OR(EXACT(metadata!R572,"missing: not collected"),EXACT(metadata!R572,"missing: not provided"),EXACT(metadata!R572,"missing: restricted access"))),AND(IF(metadata!R572="",FALSE,ISNUMBER(VALUE(metadata!R572))),metadata!R572&gt;=-90,metadata!R572&lt;=90))</f>
        <v>0</v>
      </c>
      <c r="BD572" t="b">
        <f>AND(IF(metadata!S572="",FALSE,TRUE),EXACT(metadata!S572,"Decimal degrees"))</f>
        <v>0</v>
      </c>
      <c r="BE572" t="b">
        <f>OR(AND(IF(metadata!T572="",FALSE,TRUE),OR(EXACT(metadata!T572,"missing: not collected"),EXACT(metadata!T572,"missing: not provided"),EXACT(metadata!T572,"missing: restricted access"))),AND(IF(metadata!T572="",FALSE,ISNUMBER(VALUE(metadata!T572))),metadata!T572&gt;=-180,metadata!T572&lt;=180))</f>
        <v>0</v>
      </c>
      <c r="BF572" t="b">
        <f>AND(IF(metadata!U572="",FALSE,TRUE),EXACT(metadata!U572,"Decimal degrees"))</f>
        <v>0</v>
      </c>
      <c r="BG572" t="b">
        <f>IF(metadata!V572="",FALSE,TRUE)</f>
        <v>0</v>
      </c>
      <c r="BH572" t="b">
        <f>OR(AND(IF(metadata!W572="",FALSE,TRUE),OR(EXACT(metadata!W572,"missing: not collected"),EXACT(metadata!W572,"missing: not provided"),EXACT(metadata!W572,"missing: restricted access"))),AND(IF(metadata!W572="",FALSE,TRUE),OR(EXACT(metadata!W572,"TRUE"),EXACT(metadata!W572,"FALSE"))))</f>
        <v>0</v>
      </c>
      <c r="BI572" t="b">
        <f>AND(IF(metadata!X572="",FALSE,TRUE),EXACT(metadata!X572,"other"))</f>
        <v>0</v>
      </c>
      <c r="BJ572" t="b">
        <f>IF(metadata!Y572="",FALSE,TRUE)</f>
        <v>0</v>
      </c>
      <c r="BK572" t="b">
        <f>OR(AND(IF(metadata!Z572="",FALSE,TRUE),OR(EXACT(metadata!Z572,"missing: not collected"),EXACT(metadata!Z572,"missing: not provided"))),AND(IF(metadata!Z572="",FALSE,IF(ISERROR(INT(metadata!Z572)),FALSE,INT(metadata!Z572)=metadata!Z572)),metadata!Z572&gt;0))</f>
        <v>0</v>
      </c>
      <c r="BL572" t="b">
        <f>AND(IF(metadata!AA572="",FALSE,TRUE),EXACT(metadata!AA572,"Not applicable"))</f>
        <v>0</v>
      </c>
      <c r="BM572" t="b">
        <f>IF(metadata!AB572="",FALSE,TRUE)</f>
        <v>0</v>
      </c>
    </row>
    <row r="573" spans="1:65" x14ac:dyDescent="0.2">
      <c r="A573" s="5" t="str">
        <f ca="1">IF(B573=" "," ",HYPERLINK(CONCATENATE("#metadata!",ADDRESS(INDEX($AH$2:$AH$1001,MATCH(ROWS($AF$2:AF573),$AF$2:$AF$1001,0),0),1)),INDEX($AK$2:$AK$1001,MATCH(ROWS($AF$2:AF573),$AF$2:$AF$1001,0),0)))</f>
        <v xml:space="preserve"> </v>
      </c>
      <c r="B573" s="4" t="str">
        <f ca="1">IF(OR(INDEX($AG$2:$AG$1001,MATCH(ROWS($AF$2:AF573),$AF$2:$AF$1001,0),1)&gt;=100000,INDEX($AM$1005:$BM$1005,1,MATCH(COLUMNS($AM$1006:AM1006),$AM$1006:$BM$1006,0))&gt;=100000), " ",IF(INDEX($AM$2:$BM$1001,MATCH(ROWS($AF$2:AF573),$AF$2:$AF$1001,0),MATCH(COLUMNS($AM$1006:AM1006),$AM$1006:$BM$1006,0)), HYPERLINK("#",""), HYPERLINK(CONCATENATE("#metadata!", ADDRESS(INDEX($AH$2:$AH$1001,MATCH(ROWS($AF$2:AF573),$AF$2:$AF$1001,0),0), INDEX($AM$1004:$BM$1004,1,MATCH(COLUMNS($AM$1006:AM1006),$AM$1006:$BM$1006,0)))),"Fix")))</f>
        <v xml:space="preserve"> </v>
      </c>
      <c r="C573" s="4" t="str">
        <f ca="1">IF(OR(INDEX($AG$2:$AG$1001,MATCH(ROWS($AF$2:AF573),$AF$2:$AF$1001,0),1)&gt;=100000,INDEX($AM$1005:$BM$1005,1,MATCH(COLUMNS($AM$1006:AN1006),$AM$1006:$BM$1006,0))&gt;=100000), " ",IF(INDEX($AM$2:$BM$1001,MATCH(ROWS($AF$2:AF573),$AF$2:$AF$1001,0),MATCH(COLUMNS($AM$1006:AN1006),$AM$1006:$BM$1006,0)), HYPERLINK("#",""), HYPERLINK(CONCATENATE("#metadata!", ADDRESS(INDEX($AH$2:$AH$1001,MATCH(ROWS($AF$2:AF573),$AF$2:$AF$1001,0),0), INDEX($AM$1004:$BM$1004,1,MATCH(COLUMNS($AM$1006:AN1006),$AM$1006:$BM$1006,0)))),"Fix")))</f>
        <v xml:space="preserve"> </v>
      </c>
      <c r="D573" s="4" t="str">
        <f ca="1">IF(OR(INDEX($AG$2:$AG$1001,MATCH(ROWS($AF$2:AF573),$AF$2:$AF$1001,0),1)&gt;=100000,INDEX($AM$1005:$BM$1005,1,MATCH(COLUMNS($AM$1006:AO1006),$AM$1006:$BM$1006,0))&gt;=100000), " ",IF(INDEX($AM$2:$BM$1001,MATCH(ROWS($AF$2:AF573),$AF$2:$AF$1001,0),MATCH(COLUMNS($AM$1006:AO1006),$AM$1006:$BM$1006,0)), HYPERLINK("#",""), HYPERLINK(CONCATENATE("#metadata!", ADDRESS(INDEX($AH$2:$AH$1001,MATCH(ROWS($AF$2:AF573),$AF$2:$AF$1001,0),0), INDEX($AM$1004:$BM$1004,1,MATCH(COLUMNS($AM$1006:AO1006),$AM$1006:$BM$1006,0)))),"Fix")))</f>
        <v xml:space="preserve"> </v>
      </c>
      <c r="E573" s="4" t="str">
        <f ca="1">IF(OR(INDEX($AG$2:$AG$1001,MATCH(ROWS($AF$2:AF573),$AF$2:$AF$1001,0),1)&gt;=100000,INDEX($AM$1005:$BM$1005,1,MATCH(COLUMNS($AM$1006:AP1006),$AM$1006:$BM$1006,0))&gt;=100000), " ",IF(INDEX($AM$2:$BM$1001,MATCH(ROWS($AF$2:AF573),$AF$2:$AF$1001,0),MATCH(COLUMNS($AM$1006:AP1006),$AM$1006:$BM$1006,0)), HYPERLINK("#",""), HYPERLINK(CONCATENATE("#metadata!", ADDRESS(INDEX($AH$2:$AH$1001,MATCH(ROWS($AF$2:AF573),$AF$2:$AF$1001,0),0), INDEX($AM$1004:$BM$1004,1,MATCH(COLUMNS($AM$1006:AP1006),$AM$1006:$BM$1006,0)))),"Fix")))</f>
        <v xml:space="preserve"> </v>
      </c>
      <c r="F573" s="4" t="str">
        <f ca="1">IF(OR(INDEX($AG$2:$AG$1001,MATCH(ROWS($AF$2:AF573),$AF$2:$AF$1001,0),1)&gt;=100000,INDEX($AM$1005:$BM$1005,1,MATCH(COLUMNS($AM$1006:AQ1006),$AM$1006:$BM$1006,0))&gt;=100000), " ",IF(INDEX($AM$2:$BM$1001,MATCH(ROWS($AF$2:AF573),$AF$2:$AF$1001,0),MATCH(COLUMNS($AM$1006:AQ1006),$AM$1006:$BM$1006,0)), HYPERLINK("#",""), HYPERLINK(CONCATENATE("#metadata!", ADDRESS(INDEX($AH$2:$AH$1001,MATCH(ROWS($AF$2:AF573),$AF$2:$AF$1001,0),0), INDEX($AM$1004:$BM$1004,1,MATCH(COLUMNS($AM$1006:AQ1006),$AM$1006:$BM$1006,0)))),"Fix")))</f>
        <v xml:space="preserve"> </v>
      </c>
      <c r="G573" s="4" t="str">
        <f ca="1">IF(OR(INDEX($AG$2:$AG$1001,MATCH(ROWS($AF$2:AF573),$AF$2:$AF$1001,0),1)&gt;=100000,INDEX($AM$1005:$BM$1005,1,MATCH(COLUMNS($AM$1006:AR1006),$AM$1006:$BM$1006,0))&gt;=100000), " ",IF(INDEX($AM$2:$BM$1001,MATCH(ROWS($AF$2:AF573),$AF$2:$AF$1001,0),MATCH(COLUMNS($AM$1006:AR1006),$AM$1006:$BM$1006,0)), HYPERLINK("#",""), HYPERLINK(CONCATENATE("#metadata!", ADDRESS(INDEX($AH$2:$AH$1001,MATCH(ROWS($AF$2:AF573),$AF$2:$AF$1001,0),0), INDEX($AM$1004:$BM$1004,1,MATCH(COLUMNS($AM$1006:AR1006),$AM$1006:$BM$1006,0)))),"Fix")))</f>
        <v xml:space="preserve"> </v>
      </c>
      <c r="H573" s="4" t="str">
        <f ca="1">IF(OR(INDEX($AG$2:$AG$1001,MATCH(ROWS($AF$2:AF573),$AF$2:$AF$1001,0),1)&gt;=100000,INDEX($AM$1005:$BM$1005,1,MATCH(COLUMNS($AM$1006:AS1006),$AM$1006:$BM$1006,0))&gt;=100000), " ",IF(INDEX($AM$2:$BM$1001,MATCH(ROWS($AF$2:AF573),$AF$2:$AF$1001,0),MATCH(COLUMNS($AM$1006:AS1006),$AM$1006:$BM$1006,0)), HYPERLINK("#",""), HYPERLINK(CONCATENATE("#metadata!", ADDRESS(INDEX($AH$2:$AH$1001,MATCH(ROWS($AF$2:AF573),$AF$2:$AF$1001,0),0), INDEX($AM$1004:$BM$1004,1,MATCH(COLUMNS($AM$1006:AS1006),$AM$1006:$BM$1006,0)))),"Fix")))</f>
        <v xml:space="preserve"> </v>
      </c>
      <c r="I573" s="4" t="str">
        <f ca="1">IF(OR(INDEX($AG$2:$AG$1001,MATCH(ROWS($AF$2:AF573),$AF$2:$AF$1001,0),1)&gt;=100000,INDEX($AM$1005:$BM$1005,1,MATCH(COLUMNS($AM$1006:AT1006),$AM$1006:$BM$1006,0))&gt;=100000), " ",IF(INDEX($AM$2:$BM$1001,MATCH(ROWS($AF$2:AF573),$AF$2:$AF$1001,0),MATCH(COLUMNS($AM$1006:AT1006),$AM$1006:$BM$1006,0)), HYPERLINK("#",""), HYPERLINK(CONCATENATE("#metadata!", ADDRESS(INDEX($AH$2:$AH$1001,MATCH(ROWS($AF$2:AF573),$AF$2:$AF$1001,0),0), INDEX($AM$1004:$BM$1004,1,MATCH(COLUMNS($AM$1006:AT1006),$AM$1006:$BM$1006,0)))),"Fix")))</f>
        <v xml:space="preserve"> </v>
      </c>
      <c r="J573" s="4" t="str">
        <f ca="1">IF(OR(INDEX($AG$2:$AG$1001,MATCH(ROWS($AF$2:AF573),$AF$2:$AF$1001,0),1)&gt;=100000,INDEX($AM$1005:$BM$1005,1,MATCH(COLUMNS($AM$1006:AU1006),$AM$1006:$BM$1006,0))&gt;=100000), " ",IF(INDEX($AM$2:$BM$1001,MATCH(ROWS($AF$2:AF573),$AF$2:$AF$1001,0),MATCH(COLUMNS($AM$1006:AU1006),$AM$1006:$BM$1006,0)), HYPERLINK("#",""), HYPERLINK(CONCATENATE("#metadata!", ADDRESS(INDEX($AH$2:$AH$1001,MATCH(ROWS($AF$2:AF573),$AF$2:$AF$1001,0),0), INDEX($AM$1004:$BM$1004,1,MATCH(COLUMNS($AM$1006:AU1006),$AM$1006:$BM$1006,0)))),"Fix")))</f>
        <v xml:space="preserve"> </v>
      </c>
      <c r="K573" s="4" t="str">
        <f ca="1">IF(OR(INDEX($AG$2:$AG$1001,MATCH(ROWS($AF$2:AF573),$AF$2:$AF$1001,0),1)&gt;=100000,INDEX($AM$1005:$BM$1005,1,MATCH(COLUMNS($AM$1006:AV1006),$AM$1006:$BM$1006,0))&gt;=100000), " ",IF(INDEX($AM$2:$BM$1001,MATCH(ROWS($AF$2:AF573),$AF$2:$AF$1001,0),MATCH(COLUMNS($AM$1006:AV1006),$AM$1006:$BM$1006,0)), HYPERLINK("#",""), HYPERLINK(CONCATENATE("#metadata!", ADDRESS(INDEX($AH$2:$AH$1001,MATCH(ROWS($AF$2:AF573),$AF$2:$AF$1001,0),0), INDEX($AM$1004:$BM$1004,1,MATCH(COLUMNS($AM$1006:AV1006),$AM$1006:$BM$1006,0)))),"Fix")))</f>
        <v xml:space="preserve"> </v>
      </c>
      <c r="L573" s="4" t="str">
        <f ca="1">IF(OR(INDEX($AG$2:$AG$1001,MATCH(ROWS($AF$2:AF573),$AF$2:$AF$1001,0),1)&gt;=100000,INDEX($AM$1005:$BM$1005,1,MATCH(COLUMNS($AM$1006:AW1006),$AM$1006:$BM$1006,0))&gt;=100000), " ",IF(INDEX($AM$2:$BM$1001,MATCH(ROWS($AF$2:AF573),$AF$2:$AF$1001,0),MATCH(COLUMNS($AM$1006:AW1006),$AM$1006:$BM$1006,0)), HYPERLINK("#",""), HYPERLINK(CONCATENATE("#metadata!", ADDRESS(INDEX($AH$2:$AH$1001,MATCH(ROWS($AF$2:AF573),$AF$2:$AF$1001,0),0), INDEX($AM$1004:$BM$1004,1,MATCH(COLUMNS($AM$1006:AW1006),$AM$1006:$BM$1006,0)))),"Fix")))</f>
        <v xml:space="preserve"> </v>
      </c>
      <c r="M573" s="4" t="str">
        <f ca="1">IF(OR(INDEX($AG$2:$AG$1001,MATCH(ROWS($AF$2:AF573),$AF$2:$AF$1001,0),1)&gt;=100000,INDEX($AM$1005:$BM$1005,1,MATCH(COLUMNS($AM$1006:AX1006),$AM$1006:$BM$1006,0))&gt;=100000), " ",IF(INDEX($AM$2:$BM$1001,MATCH(ROWS($AF$2:AF573),$AF$2:$AF$1001,0),MATCH(COLUMNS($AM$1006:AX1006),$AM$1006:$BM$1006,0)), HYPERLINK("#",""), HYPERLINK(CONCATENATE("#metadata!", ADDRESS(INDEX($AH$2:$AH$1001,MATCH(ROWS($AF$2:AF573),$AF$2:$AF$1001,0),0), INDEX($AM$1004:$BM$1004,1,MATCH(COLUMNS($AM$1006:AX1006),$AM$1006:$BM$1006,0)))),"Fix")))</f>
        <v xml:space="preserve"> </v>
      </c>
      <c r="N573" s="4" t="str">
        <f ca="1">IF(OR(INDEX($AG$2:$AG$1001,MATCH(ROWS($AF$2:AF573),$AF$2:$AF$1001,0),1)&gt;=100000,INDEX($AM$1005:$BM$1005,1,MATCH(COLUMNS($AM$1006:AY1006),$AM$1006:$BM$1006,0))&gt;=100000), " ",IF(INDEX($AM$2:$BM$1001,MATCH(ROWS($AF$2:AF573),$AF$2:$AF$1001,0),MATCH(COLUMNS($AM$1006:AY1006),$AM$1006:$BM$1006,0)), HYPERLINK("#",""), HYPERLINK(CONCATENATE("#metadata!", ADDRESS(INDEX($AH$2:$AH$1001,MATCH(ROWS($AF$2:AF573),$AF$2:$AF$1001,0),0), INDEX($AM$1004:$BM$1004,1,MATCH(COLUMNS($AM$1006:AY1006),$AM$1006:$BM$1006,0)))),"Fix")))</f>
        <v xml:space="preserve"> </v>
      </c>
      <c r="O573" s="4" t="str">
        <f ca="1">IF(OR(INDEX($AG$2:$AG$1001,MATCH(ROWS($AF$2:AF573),$AF$2:$AF$1001,0),1)&gt;=100000,INDEX($AM$1005:$BM$1005,1,MATCH(COLUMNS($AM$1006:AZ1006),$AM$1006:$BM$1006,0))&gt;=100000), " ",IF(INDEX($AM$2:$BM$1001,MATCH(ROWS($AF$2:AF573),$AF$2:$AF$1001,0),MATCH(COLUMNS($AM$1006:AZ1006),$AM$1006:$BM$1006,0)), HYPERLINK("#",""), HYPERLINK(CONCATENATE("#metadata!", ADDRESS(INDEX($AH$2:$AH$1001,MATCH(ROWS($AF$2:AF573),$AF$2:$AF$1001,0),0), INDEX($AM$1004:$BM$1004,1,MATCH(COLUMNS($AM$1006:AZ1006),$AM$1006:$BM$1006,0)))),"Fix")))</f>
        <v xml:space="preserve"> </v>
      </c>
      <c r="P573" s="4" t="str">
        <f ca="1">IF(OR(INDEX($AG$2:$AG$1001,MATCH(ROWS($AF$2:AF573),$AF$2:$AF$1001,0),1)&gt;=100000,INDEX($AM$1005:$BM$1005,1,MATCH(COLUMNS($AM$1006:BA1006),$AM$1006:$BM$1006,0))&gt;=100000), " ",IF(INDEX($AM$2:$BM$1001,MATCH(ROWS($AF$2:AF573),$AF$2:$AF$1001,0),MATCH(COLUMNS($AM$1006:BA1006),$AM$1006:$BM$1006,0)), HYPERLINK("#",""), HYPERLINK(CONCATENATE("#metadata!", ADDRESS(INDEX($AH$2:$AH$1001,MATCH(ROWS($AF$2:AF573),$AF$2:$AF$1001,0),0), INDEX($AM$1004:$BM$1004,1,MATCH(COLUMNS($AM$1006:BA1006),$AM$1006:$BM$1006,0)))),"Fix")))</f>
        <v xml:space="preserve"> </v>
      </c>
      <c r="Q573" s="4" t="str">
        <f ca="1">IF(OR(INDEX($AG$2:$AG$1001,MATCH(ROWS($AF$2:AF573),$AF$2:$AF$1001,0),1)&gt;=100000,INDEX($AM$1005:$BM$1005,1,MATCH(COLUMNS($AM$1006:BB1006),$AM$1006:$BM$1006,0))&gt;=100000), " ",IF(INDEX($AM$2:$BM$1001,MATCH(ROWS($AF$2:AF573),$AF$2:$AF$1001,0),MATCH(COLUMNS($AM$1006:BB1006),$AM$1006:$BM$1006,0)), HYPERLINK("#",""), HYPERLINK(CONCATENATE("#metadata!", ADDRESS(INDEX($AH$2:$AH$1001,MATCH(ROWS($AF$2:AF573),$AF$2:$AF$1001,0),0), INDEX($AM$1004:$BM$1004,1,MATCH(COLUMNS($AM$1006:BB1006),$AM$1006:$BM$1006,0)))),"Fix")))</f>
        <v xml:space="preserve"> </v>
      </c>
      <c r="R573" s="4" t="str">
        <f ca="1">IF(OR(INDEX($AG$2:$AG$1001,MATCH(ROWS($AF$2:AF573),$AF$2:$AF$1001,0),1)&gt;=100000,INDEX($AM$1005:$BM$1005,1,MATCH(COLUMNS($AM$1006:BC1006),$AM$1006:$BM$1006,0))&gt;=100000), " ",IF(INDEX($AM$2:$BM$1001,MATCH(ROWS($AF$2:AF573),$AF$2:$AF$1001,0),MATCH(COLUMNS($AM$1006:BC1006),$AM$1006:$BM$1006,0)), HYPERLINK("#",""), HYPERLINK(CONCATENATE("#metadata!", ADDRESS(INDEX($AH$2:$AH$1001,MATCH(ROWS($AF$2:AF573),$AF$2:$AF$1001,0),0), INDEX($AM$1004:$BM$1004,1,MATCH(COLUMNS($AM$1006:BC1006),$AM$1006:$BM$1006,0)))),"Fix")))</f>
        <v xml:space="preserve"> </v>
      </c>
      <c r="S573" s="4" t="str">
        <f ca="1">IF(OR(INDEX($AG$2:$AG$1001,MATCH(ROWS($AF$2:AF573),$AF$2:$AF$1001,0),1)&gt;=100000,INDEX($AM$1005:$BM$1005,1,MATCH(COLUMNS($AM$1006:BD1006),$AM$1006:$BM$1006,0))&gt;=100000), " ",IF(INDEX($AM$2:$BM$1001,MATCH(ROWS($AF$2:AF573),$AF$2:$AF$1001,0),MATCH(COLUMNS($AM$1006:BD1006),$AM$1006:$BM$1006,0)), HYPERLINK("#",""), HYPERLINK(CONCATENATE("#metadata!", ADDRESS(INDEX($AH$2:$AH$1001,MATCH(ROWS($AF$2:AF573),$AF$2:$AF$1001,0),0), INDEX($AM$1004:$BM$1004,1,MATCH(COLUMNS($AM$1006:BD1006),$AM$1006:$BM$1006,0)))),"Fix")))</f>
        <v xml:space="preserve"> </v>
      </c>
      <c r="T573" s="4" t="str">
        <f ca="1">IF(OR(INDEX($AG$2:$AG$1001,MATCH(ROWS($AF$2:AF573),$AF$2:$AF$1001,0),1)&gt;=100000,INDEX($AM$1005:$BM$1005,1,MATCH(COLUMNS($AM$1006:BE1006),$AM$1006:$BM$1006,0))&gt;=100000), " ",IF(INDEX($AM$2:$BM$1001,MATCH(ROWS($AF$2:AF573),$AF$2:$AF$1001,0),MATCH(COLUMNS($AM$1006:BE1006),$AM$1006:$BM$1006,0)), HYPERLINK("#",""), HYPERLINK(CONCATENATE("#metadata!", ADDRESS(INDEX($AH$2:$AH$1001,MATCH(ROWS($AF$2:AF573),$AF$2:$AF$1001,0),0), INDEX($AM$1004:$BM$1004,1,MATCH(COLUMNS($AM$1006:BE1006),$AM$1006:$BM$1006,0)))),"Fix")))</f>
        <v xml:space="preserve"> </v>
      </c>
      <c r="U573" s="4" t="str">
        <f ca="1">IF(OR(INDEX($AG$2:$AG$1001,MATCH(ROWS($AF$2:AF573),$AF$2:$AF$1001,0),1)&gt;=100000,INDEX($AM$1005:$BM$1005,1,MATCH(COLUMNS($AM$1006:BF1006),$AM$1006:$BM$1006,0))&gt;=100000), " ",IF(INDEX($AM$2:$BM$1001,MATCH(ROWS($AF$2:AF573),$AF$2:$AF$1001,0),MATCH(COLUMNS($AM$1006:BF1006),$AM$1006:$BM$1006,0)), HYPERLINK("#",""), HYPERLINK(CONCATENATE("#metadata!", ADDRESS(INDEX($AH$2:$AH$1001,MATCH(ROWS($AF$2:AF573),$AF$2:$AF$1001,0),0), INDEX($AM$1004:$BM$1004,1,MATCH(COLUMNS($AM$1006:BF1006),$AM$1006:$BM$1006,0)))),"Fix")))</f>
        <v xml:space="preserve"> </v>
      </c>
      <c r="V573" s="4" t="str">
        <f ca="1">IF(OR(INDEX($AG$2:$AG$1001,MATCH(ROWS($AF$2:AF573),$AF$2:$AF$1001,0),1)&gt;=100000,INDEX($AM$1005:$BM$1005,1,MATCH(COLUMNS($AM$1006:BG1006),$AM$1006:$BM$1006,0))&gt;=100000), " ",IF(INDEX($AM$2:$BM$1001,MATCH(ROWS($AF$2:AF573),$AF$2:$AF$1001,0),MATCH(COLUMNS($AM$1006:BG1006),$AM$1006:$BM$1006,0)), HYPERLINK("#",""), HYPERLINK(CONCATENATE("#metadata!", ADDRESS(INDEX($AH$2:$AH$1001,MATCH(ROWS($AF$2:AF573),$AF$2:$AF$1001,0),0), INDEX($AM$1004:$BM$1004,1,MATCH(COLUMNS($AM$1006:BG1006),$AM$1006:$BM$1006,0)))),"Fix")))</f>
        <v xml:space="preserve"> </v>
      </c>
      <c r="W573" s="4" t="str">
        <f ca="1">IF(OR(INDEX($AG$2:$AG$1001,MATCH(ROWS($AF$2:AF573),$AF$2:$AF$1001,0),1)&gt;=100000,INDEX($AM$1005:$BM$1005,1,MATCH(COLUMNS($AM$1006:BH1006),$AM$1006:$BM$1006,0))&gt;=100000), " ",IF(INDEX($AM$2:$BM$1001,MATCH(ROWS($AF$2:AF573),$AF$2:$AF$1001,0),MATCH(COLUMNS($AM$1006:BH1006),$AM$1006:$BM$1006,0)), HYPERLINK("#",""), HYPERLINK(CONCATENATE("#metadata!", ADDRESS(INDEX($AH$2:$AH$1001,MATCH(ROWS($AF$2:AF573),$AF$2:$AF$1001,0),0), INDEX($AM$1004:$BM$1004,1,MATCH(COLUMNS($AM$1006:BH1006),$AM$1006:$BM$1006,0)))),"Fix")))</f>
        <v xml:space="preserve"> </v>
      </c>
      <c r="X573" s="4" t="str">
        <f ca="1">IF(OR(INDEX($AG$2:$AG$1001,MATCH(ROWS($AF$2:AF573),$AF$2:$AF$1001,0),1)&gt;=100000,INDEX($AM$1005:$BM$1005,1,MATCH(COLUMNS($AM$1006:BI1006),$AM$1006:$BM$1006,0))&gt;=100000), " ",IF(INDEX($AM$2:$BM$1001,MATCH(ROWS($AF$2:AF573),$AF$2:$AF$1001,0),MATCH(COLUMNS($AM$1006:BI1006),$AM$1006:$BM$1006,0)), HYPERLINK("#",""), HYPERLINK(CONCATENATE("#metadata!", ADDRESS(INDEX($AH$2:$AH$1001,MATCH(ROWS($AF$2:AF573),$AF$2:$AF$1001,0),0), INDEX($AM$1004:$BM$1004,1,MATCH(COLUMNS($AM$1006:BI1006),$AM$1006:$BM$1006,0)))),"Fix")))</f>
        <v xml:space="preserve"> </v>
      </c>
      <c r="Y573" s="4" t="str">
        <f ca="1">IF(OR(INDEX($AG$2:$AG$1001,MATCH(ROWS($AF$2:AF573),$AF$2:$AF$1001,0),1)&gt;=100000,INDEX($AM$1005:$BM$1005,1,MATCH(COLUMNS($AM$1006:BJ1006),$AM$1006:$BM$1006,0))&gt;=100000), " ",IF(INDEX($AM$2:$BM$1001,MATCH(ROWS($AF$2:AF573),$AF$2:$AF$1001,0),MATCH(COLUMNS($AM$1006:BJ1006),$AM$1006:$BM$1006,0)), HYPERLINK("#",""), HYPERLINK(CONCATENATE("#metadata!", ADDRESS(INDEX($AH$2:$AH$1001,MATCH(ROWS($AF$2:AF573),$AF$2:$AF$1001,0),0), INDEX($AM$1004:$BM$1004,1,MATCH(COLUMNS($AM$1006:BJ1006),$AM$1006:$BM$1006,0)))),"Fix")))</f>
        <v xml:space="preserve"> </v>
      </c>
      <c r="Z573" s="4" t="str">
        <f ca="1">IF(OR(INDEX($AG$2:$AG$1001,MATCH(ROWS($AF$2:AF573),$AF$2:$AF$1001,0),1)&gt;=100000,INDEX($AM$1005:$BM$1005,1,MATCH(COLUMNS($AM$1006:BK1006),$AM$1006:$BM$1006,0))&gt;=100000), " ",IF(INDEX($AM$2:$BM$1001,MATCH(ROWS($AF$2:AF573),$AF$2:$AF$1001,0),MATCH(COLUMNS($AM$1006:BK1006),$AM$1006:$BM$1006,0)), HYPERLINK("#",""), HYPERLINK(CONCATENATE("#metadata!", ADDRESS(INDEX($AH$2:$AH$1001,MATCH(ROWS($AF$2:AF573),$AF$2:$AF$1001,0),0), INDEX($AM$1004:$BM$1004,1,MATCH(COLUMNS($AM$1006:BK1006),$AM$1006:$BM$1006,0)))),"Fix")))</f>
        <v xml:space="preserve"> </v>
      </c>
      <c r="AA573" s="4" t="str">
        <f ca="1">IF(OR(INDEX($AG$2:$AG$1001,MATCH(ROWS($AF$2:AF573),$AF$2:$AF$1001,0),1)&gt;=100000,INDEX($AM$1005:$BM$1005,1,MATCH(COLUMNS($AM$1006:BL1006),$AM$1006:$BM$1006,0))&gt;=100000), " ",IF(INDEX($AM$2:$BM$1001,MATCH(ROWS($AF$2:AF573),$AF$2:$AF$1001,0),MATCH(COLUMNS($AM$1006:BL1006),$AM$1006:$BM$1006,0)), HYPERLINK("#",""), HYPERLINK(CONCATENATE("#metadata!", ADDRESS(INDEX($AH$2:$AH$1001,MATCH(ROWS($AF$2:AF573),$AF$2:$AF$1001,0),0), INDEX($AM$1004:$BM$1004,1,MATCH(COLUMNS($AM$1006:BL1006),$AM$1006:$BM$1006,0)))),"Fix")))</f>
        <v xml:space="preserve"> </v>
      </c>
      <c r="AB573" s="4" t="str">
        <f ca="1">IF(OR(INDEX($AG$2:$AG$1001,MATCH(ROWS($AF$2:AF573),$AF$2:$AF$1001,0),1)&gt;=100000,INDEX($AM$1005:$BM$1005,1,MATCH(COLUMNS($AM$1006:BM1006),$AM$1006:$BM$1006,0))&gt;=100000), " ",IF(INDEX($AM$2:$BM$1001,MATCH(ROWS($AF$2:AF573),$AF$2:$AF$1001,0),MATCH(COLUMNS($AM$1006:BM1006),$AM$1006:$BM$1006,0)), HYPERLINK("#",""), HYPERLINK(CONCATENATE("#metadata!", ADDRESS(INDEX($AH$2:$AH$1001,MATCH(ROWS($AF$2:AF573),$AF$2:$AF$1001,0),0), INDEX($AM$1004:$BM$1004,1,MATCH(COLUMNS($AM$1006:BM1006),$AM$1006:$BM$1006,0)))),"Fix")))</f>
        <v xml:space="preserve"> </v>
      </c>
      <c r="AF573">
        <v>572</v>
      </c>
      <c r="AG573">
        <v>100573</v>
      </c>
      <c r="AH573">
        <v>573</v>
      </c>
      <c r="AI573" t="b">
        <f t="shared" si="8"/>
        <v>1</v>
      </c>
      <c r="AJ573" t="b">
        <f>COUNTBLANK(metadata!B573:AB573)=COLUMNS(metadata!B573:AB573)</f>
        <v>1</v>
      </c>
      <c r="AK573" t="str">
        <v/>
      </c>
      <c r="AM573" t="b">
        <f ca="1">AND(IF(metadata!B573="",FALSE,TRUE),COUNTIF(metadata!B:B, metadata!B573) = 1,NOT(ISERROR(SUMPRODUCT(SEARCH(MID(metadata!B573,ROW(INDIRECT("1:"&amp;LEN(metadata!B573))), 1),"0123456789abcdefghijklmnopqrstuvwxyzABCDEFGHIJKLMNOPQRSTUVWXYZ.")))))</f>
        <v>0</v>
      </c>
      <c r="AN573" t="b">
        <f ca="1">OR(AND(IF(metadata!C573="",FALSE,TRUE),OR(EXACT(metadata!C573,"missing: not collected"),EXACT(metadata!C573,"missing: not provided"),EXACT(metadata!C573,"missing: restricted access"))),AND(IF(metadata!C573="",FALSE,TRUE),AND(AND(IFERROR(INT(LEFT(metadata!C573,4))&gt;1900,FALSE),IFERROR(INT(LEFT(metadata!C573,4))&lt;=YEAR(NOW()),FALSE)), OR(MID(metadata!C573,5,1)="", AND(AND(MID(metadata!C573,5,1)="-",IFERROR(INT(MID(metadata!C573,6,1))&gt;=0,FALSE),IFERROR(INT(MID(metadata!C573,6,1))&lt;=1,FALSE),NOT(MID(metadata!C573,7,1)=""),IFERROR(INT(MID(metadata!C573,6,2))&gt;=1,FALSE),IFERROR(INT(MID(metadata!C573,6,2))&lt;=12,FALSE)), OR(MID(metadata!C573,8,1)="", AND(AND(MID(metadata!C573,8,1)="-",IFERROR(INT(MID(metadata!C573,9,1))&gt;=0,FALSE),IFERROR(INT(MID(metadata!C573,9,1))&lt;=3,FALSE),NOT(MID(metadata!C573,10,1)=""),IFERROR(INT(MID(metadata!C573,9,2))&gt;=1,FALSE),IFERROR(INT(MID(metadata!C573,9,2))&lt;=31,FALSE)), OR(MID(metadata!C573,11,1)="", AND(AND(MID(metadata!C573,11,1)=" ",IFERROR(INT(MID(metadata!C573,12,1))&gt;=0,FALSE),IFERROR(INT(MID(metadata!C573,12,1))&lt;=2,FALSE),NOT(MID(metadata!C573,13,1)=""),IFERROR(INT(MID(metadata!C573,12,2))&gt;=0,FALSE),IFERROR(INT(MID(metadata!C573,12,2))&lt;=23,FALSE)), OR(MID(metadata!C573,14,1)="", AND(AND(MID(metadata!C573,14,1)=":",IFERROR(INT(MID(metadata!C573,15,1))&gt;=0,FALSE),IFERROR(INT(MID(metadata!C573,15,1))&lt;=5,FALSE),NOT(MID(metadata!C573,16,1)=""),IFERROR(INT(MID(metadata!C573,15,2))&gt;=0,FALSE),IFERROR(INT(MID(metadata!C573,15,2))&lt;=59,FALSE)), OR(MID(metadata!C573,17,1)="", AND(AND(MID(metadata!C573,17,1)=":",IFERROR(INT(MID(metadata!C573,18,1))&gt;=0,FALSE),IFERROR(INT(MID(metadata!C573,18,1))&lt;=5,FALSE),NOT(MID(metadata!C573,19,1)=""),IFERROR(INT(MID(metadata!C573,18,2))&gt;=0,FALSE),IFERROR(INT(MID(metadata!C573,18,2))&lt;=59,FALSE)), LEN(metadata!C573)&lt;=19)))))))))))))</f>
        <v>0</v>
      </c>
      <c r="AO573" t="b">
        <f>AND(IF(metadata!D573="",FALSE,TRUE),EXACT(metadata!D573,"Not applicable"))</f>
        <v>0</v>
      </c>
      <c r="AP573" t="b">
        <f>IF(metadata!E573="",FALSE,TRUE)</f>
        <v>0</v>
      </c>
      <c r="AQ573" t="b">
        <f>OR(AND(IF(metadata!F573="",FALSE,TRUE),OR(EXACT(metadata!F573,"missing: not collected"),EXACT(metadata!F573,"missing: not provided"))),AND(IF(metadata!F573="",FALSE,TRUE),OR(EXACT(metadata!F573,"TRUE"),EXACT(metadata!F573,"FALSE"))))</f>
        <v>0</v>
      </c>
      <c r="AR573" t="b">
        <f>OR(AND(IF(metadata!G573="",FALSE,TRUE),OR(EXACT(metadata!G573,"missing: not collected"),EXACT(metadata!G573,"missing: not provided"),EXACT(metadata!G573,"missing: restricted access"))),AND(IF(metadata!G573="",FALSE,ISNUMBER(VALUE(metadata!G573))),metadata!G573&gt;=-413))</f>
        <v>0</v>
      </c>
      <c r="AS573" t="b">
        <f>AND(IF(metadata!H573="",FALSE,TRUE),EXACT(metadata!H573,"meters"))</f>
        <v>0</v>
      </c>
      <c r="AT573" t="b">
        <f>AND(IF(metadata!I573="",FALSE,TRUE),OR(EXACT(metadata!I573,"Host-associated"),EXACT(metadata!I573,"Free-living")))</f>
        <v>0</v>
      </c>
      <c r="AU573" t="b">
        <f>AND(IF(metadata!J573="",FALSE,TRUE),OR(EXACT(metadata!J573,"Animal"),EXACT(metadata!J573,"Fungus"),EXACT(metadata!J573,"Plant"),EXACT(metadata!J573,"Saline"),EXACT(metadata!J573,"Non-saline")))</f>
        <v>0</v>
      </c>
      <c r="AV573" t="b">
        <f>AND(IF(metadata!K573="",FALSE,TRUE),OR(EXACT(metadata!K573,"Plant secretion"),EXACT(metadata!K573,"Plant rhizosphere"),EXACT(metadata!K573,"Plant surface"),EXACT(metadata!K573,"Plant corpus"),EXACT(metadata!K573,"Fungus surface"),EXACT(metadata!K573,"Fungus corpus"),EXACT(metadata!K573,"Animal surface"),EXACT(metadata!K573,"Animal proximal gut"),EXACT(metadata!K573,"Animal corpus"),EXACT(metadata!K573,"Animal distal gut"),EXACT(metadata!K573,"Animal secretion"),EXACT(metadata!K573,"Sub-surface (non-saline)"),EXACT(metadata!K573,"Surface (non-saline)"),EXACT(metadata!K573,"Water (non-saline)"),EXACT(metadata!K573,"Soil (non-saline)"),EXACT(metadata!K573,"Aerosol (non-saline)"),EXACT(metadata!K573,"Sediment (non-saline)"),EXACT(metadata!K573,"Surface (saline)"),EXACT(metadata!K573,"Water (saline)"),EXACT(metadata!K573,"Hypersaline (saline)"),EXACT(metadata!K573,"Aerosol (saline)"),EXACT(metadata!K573,"Sediment (saline)")))</f>
        <v>0</v>
      </c>
      <c r="AW573" t="b">
        <f>IF(metadata!L573="",FALSE,TRUE)</f>
        <v>0</v>
      </c>
      <c r="AX573" t="b">
        <f>IF(metadata!M573="",FALSE,TRUE)</f>
        <v>0</v>
      </c>
      <c r="AY573" t="b">
        <f>IF(metadata!N573="",FALSE,TRUE)</f>
        <v>0</v>
      </c>
      <c r="AZ573" t="b">
        <f>OR(AND(IF(metadata!O573="",FALSE,TRUE),OR(EXACT(metadata!O573,"missing: not collected"),EXACT(metadata!O573,"missing: not provided"),EXACT(metadata!O573,"missing: restricted access"))),AND(IF(metadata!O573="",FALSE,TRUE),OR(EXACT(metadata!O573,"air"),EXACT(metadata!O573,"built environment"),EXACT(metadata!O573,"host-associated"),EXACT(metadata!O573,"human-associated"),EXACT(metadata!O573,"human-skin"),EXACT(metadata!O573,"human-oral"),EXACT(metadata!O573,"human-gut"),EXACT(metadata!O573,"human-vaginal"),EXACT(metadata!O573,"microbial mat/biofilm"),EXACT(metadata!O573,"misc environment"),EXACT(metadata!O573,"plant-associated"),EXACT(metadata!O573,"sediment"),EXACT(metadata!O573,"soil"),EXACT(metadata!O573,"wastewater/sludge"),EXACT(metadata!O573,"water"))))</f>
        <v>0</v>
      </c>
      <c r="BA573" t="b">
        <f>IF(metadata!P573="",FALSE,TRUE)</f>
        <v>0</v>
      </c>
      <c r="BB573" t="b">
        <f>IF(metadata!Q573="",FALSE,TRUE)</f>
        <v>0</v>
      </c>
      <c r="BC573" t="b">
        <f>OR(AND(IF(metadata!R573="",FALSE,TRUE),OR(EXACT(metadata!R573,"missing: not collected"),EXACT(metadata!R573,"missing: not provided"),EXACT(metadata!R573,"missing: restricted access"))),AND(IF(metadata!R573="",FALSE,ISNUMBER(VALUE(metadata!R573))),metadata!R573&gt;=-90,metadata!R573&lt;=90))</f>
        <v>0</v>
      </c>
      <c r="BD573" t="b">
        <f>AND(IF(metadata!S573="",FALSE,TRUE),EXACT(metadata!S573,"Decimal degrees"))</f>
        <v>0</v>
      </c>
      <c r="BE573" t="b">
        <f>OR(AND(IF(metadata!T573="",FALSE,TRUE),OR(EXACT(metadata!T573,"missing: not collected"),EXACT(metadata!T573,"missing: not provided"),EXACT(metadata!T573,"missing: restricted access"))),AND(IF(metadata!T573="",FALSE,ISNUMBER(VALUE(metadata!T573))),metadata!T573&gt;=-180,metadata!T573&lt;=180))</f>
        <v>0</v>
      </c>
      <c r="BF573" t="b">
        <f>AND(IF(metadata!U573="",FALSE,TRUE),EXACT(metadata!U573,"Decimal degrees"))</f>
        <v>0</v>
      </c>
      <c r="BG573" t="b">
        <f>IF(metadata!V573="",FALSE,TRUE)</f>
        <v>0</v>
      </c>
      <c r="BH573" t="b">
        <f>OR(AND(IF(metadata!W573="",FALSE,TRUE),OR(EXACT(metadata!W573,"missing: not collected"),EXACT(metadata!W573,"missing: not provided"),EXACT(metadata!W573,"missing: restricted access"))),AND(IF(metadata!W573="",FALSE,TRUE),OR(EXACT(metadata!W573,"TRUE"),EXACT(metadata!W573,"FALSE"))))</f>
        <v>0</v>
      </c>
      <c r="BI573" t="b">
        <f>AND(IF(metadata!X573="",FALSE,TRUE),EXACT(metadata!X573,"other"))</f>
        <v>0</v>
      </c>
      <c r="BJ573" t="b">
        <f>IF(metadata!Y573="",FALSE,TRUE)</f>
        <v>0</v>
      </c>
      <c r="BK573" t="b">
        <f>OR(AND(IF(metadata!Z573="",FALSE,TRUE),OR(EXACT(metadata!Z573,"missing: not collected"),EXACT(metadata!Z573,"missing: not provided"))),AND(IF(metadata!Z573="",FALSE,IF(ISERROR(INT(metadata!Z573)),FALSE,INT(metadata!Z573)=metadata!Z573)),metadata!Z573&gt;0))</f>
        <v>0</v>
      </c>
      <c r="BL573" t="b">
        <f>AND(IF(metadata!AA573="",FALSE,TRUE),EXACT(metadata!AA573,"Not applicable"))</f>
        <v>0</v>
      </c>
      <c r="BM573" t="b">
        <f>IF(metadata!AB573="",FALSE,TRUE)</f>
        <v>0</v>
      </c>
    </row>
    <row r="574" spans="1:65" x14ac:dyDescent="0.2">
      <c r="A574" s="5" t="str">
        <f ca="1">IF(B574=" "," ",HYPERLINK(CONCATENATE("#metadata!",ADDRESS(INDEX($AH$2:$AH$1001,MATCH(ROWS($AF$2:AF574),$AF$2:$AF$1001,0),0),1)),INDEX($AK$2:$AK$1001,MATCH(ROWS($AF$2:AF574),$AF$2:$AF$1001,0),0)))</f>
        <v xml:space="preserve"> </v>
      </c>
      <c r="B574" s="4" t="str">
        <f ca="1">IF(OR(INDEX($AG$2:$AG$1001,MATCH(ROWS($AF$2:AF574),$AF$2:$AF$1001,0),1)&gt;=100000,INDEX($AM$1005:$BM$1005,1,MATCH(COLUMNS($AM$1006:AM1006),$AM$1006:$BM$1006,0))&gt;=100000), " ",IF(INDEX($AM$2:$BM$1001,MATCH(ROWS($AF$2:AF574),$AF$2:$AF$1001,0),MATCH(COLUMNS($AM$1006:AM1006),$AM$1006:$BM$1006,0)), HYPERLINK("#",""), HYPERLINK(CONCATENATE("#metadata!", ADDRESS(INDEX($AH$2:$AH$1001,MATCH(ROWS($AF$2:AF574),$AF$2:$AF$1001,0),0), INDEX($AM$1004:$BM$1004,1,MATCH(COLUMNS($AM$1006:AM1006),$AM$1006:$BM$1006,0)))),"Fix")))</f>
        <v xml:space="preserve"> </v>
      </c>
      <c r="C574" s="4" t="str">
        <f ca="1">IF(OR(INDEX($AG$2:$AG$1001,MATCH(ROWS($AF$2:AF574),$AF$2:$AF$1001,0),1)&gt;=100000,INDEX($AM$1005:$BM$1005,1,MATCH(COLUMNS($AM$1006:AN1006),$AM$1006:$BM$1006,0))&gt;=100000), " ",IF(INDEX($AM$2:$BM$1001,MATCH(ROWS($AF$2:AF574),$AF$2:$AF$1001,0),MATCH(COLUMNS($AM$1006:AN1006),$AM$1006:$BM$1006,0)), HYPERLINK("#",""), HYPERLINK(CONCATENATE("#metadata!", ADDRESS(INDEX($AH$2:$AH$1001,MATCH(ROWS($AF$2:AF574),$AF$2:$AF$1001,0),0), INDEX($AM$1004:$BM$1004,1,MATCH(COLUMNS($AM$1006:AN1006),$AM$1006:$BM$1006,0)))),"Fix")))</f>
        <v xml:space="preserve"> </v>
      </c>
      <c r="D574" s="4" t="str">
        <f ca="1">IF(OR(INDEX($AG$2:$AG$1001,MATCH(ROWS($AF$2:AF574),$AF$2:$AF$1001,0),1)&gt;=100000,INDEX($AM$1005:$BM$1005,1,MATCH(COLUMNS($AM$1006:AO1006),$AM$1006:$BM$1006,0))&gt;=100000), " ",IF(INDEX($AM$2:$BM$1001,MATCH(ROWS($AF$2:AF574),$AF$2:$AF$1001,0),MATCH(COLUMNS($AM$1006:AO1006),$AM$1006:$BM$1006,0)), HYPERLINK("#",""), HYPERLINK(CONCATENATE("#metadata!", ADDRESS(INDEX($AH$2:$AH$1001,MATCH(ROWS($AF$2:AF574),$AF$2:$AF$1001,0),0), INDEX($AM$1004:$BM$1004,1,MATCH(COLUMNS($AM$1006:AO1006),$AM$1006:$BM$1006,0)))),"Fix")))</f>
        <v xml:space="preserve"> </v>
      </c>
      <c r="E574" s="4" t="str">
        <f ca="1">IF(OR(INDEX($AG$2:$AG$1001,MATCH(ROWS($AF$2:AF574),$AF$2:$AF$1001,0),1)&gt;=100000,INDEX($AM$1005:$BM$1005,1,MATCH(COLUMNS($AM$1006:AP1006),$AM$1006:$BM$1006,0))&gt;=100000), " ",IF(INDEX($AM$2:$BM$1001,MATCH(ROWS($AF$2:AF574),$AF$2:$AF$1001,0),MATCH(COLUMNS($AM$1006:AP1006),$AM$1006:$BM$1006,0)), HYPERLINK("#",""), HYPERLINK(CONCATENATE("#metadata!", ADDRESS(INDEX($AH$2:$AH$1001,MATCH(ROWS($AF$2:AF574),$AF$2:$AF$1001,0),0), INDEX($AM$1004:$BM$1004,1,MATCH(COLUMNS($AM$1006:AP1006),$AM$1006:$BM$1006,0)))),"Fix")))</f>
        <v xml:space="preserve"> </v>
      </c>
      <c r="F574" s="4" t="str">
        <f ca="1">IF(OR(INDEX($AG$2:$AG$1001,MATCH(ROWS($AF$2:AF574),$AF$2:$AF$1001,0),1)&gt;=100000,INDEX($AM$1005:$BM$1005,1,MATCH(COLUMNS($AM$1006:AQ1006),$AM$1006:$BM$1006,0))&gt;=100000), " ",IF(INDEX($AM$2:$BM$1001,MATCH(ROWS($AF$2:AF574),$AF$2:$AF$1001,0),MATCH(COLUMNS($AM$1006:AQ1006),$AM$1006:$BM$1006,0)), HYPERLINK("#",""), HYPERLINK(CONCATENATE("#metadata!", ADDRESS(INDEX($AH$2:$AH$1001,MATCH(ROWS($AF$2:AF574),$AF$2:$AF$1001,0),0), INDEX($AM$1004:$BM$1004,1,MATCH(COLUMNS($AM$1006:AQ1006),$AM$1006:$BM$1006,0)))),"Fix")))</f>
        <v xml:space="preserve"> </v>
      </c>
      <c r="G574" s="4" t="str">
        <f ca="1">IF(OR(INDEX($AG$2:$AG$1001,MATCH(ROWS($AF$2:AF574),$AF$2:$AF$1001,0),1)&gt;=100000,INDEX($AM$1005:$BM$1005,1,MATCH(COLUMNS($AM$1006:AR1006),$AM$1006:$BM$1006,0))&gt;=100000), " ",IF(INDEX($AM$2:$BM$1001,MATCH(ROWS($AF$2:AF574),$AF$2:$AF$1001,0),MATCH(COLUMNS($AM$1006:AR1006),$AM$1006:$BM$1006,0)), HYPERLINK("#",""), HYPERLINK(CONCATENATE("#metadata!", ADDRESS(INDEX($AH$2:$AH$1001,MATCH(ROWS($AF$2:AF574),$AF$2:$AF$1001,0),0), INDEX($AM$1004:$BM$1004,1,MATCH(COLUMNS($AM$1006:AR1006),$AM$1006:$BM$1006,0)))),"Fix")))</f>
        <v xml:space="preserve"> </v>
      </c>
      <c r="H574" s="4" t="str">
        <f ca="1">IF(OR(INDEX($AG$2:$AG$1001,MATCH(ROWS($AF$2:AF574),$AF$2:$AF$1001,0),1)&gt;=100000,INDEX($AM$1005:$BM$1005,1,MATCH(COLUMNS($AM$1006:AS1006),$AM$1006:$BM$1006,0))&gt;=100000), " ",IF(INDEX($AM$2:$BM$1001,MATCH(ROWS($AF$2:AF574),$AF$2:$AF$1001,0),MATCH(COLUMNS($AM$1006:AS1006),$AM$1006:$BM$1006,0)), HYPERLINK("#",""), HYPERLINK(CONCATENATE("#metadata!", ADDRESS(INDEX($AH$2:$AH$1001,MATCH(ROWS($AF$2:AF574),$AF$2:$AF$1001,0),0), INDEX($AM$1004:$BM$1004,1,MATCH(COLUMNS($AM$1006:AS1006),$AM$1006:$BM$1006,0)))),"Fix")))</f>
        <v xml:space="preserve"> </v>
      </c>
      <c r="I574" s="4" t="str">
        <f ca="1">IF(OR(INDEX($AG$2:$AG$1001,MATCH(ROWS($AF$2:AF574),$AF$2:$AF$1001,0),1)&gt;=100000,INDEX($AM$1005:$BM$1005,1,MATCH(COLUMNS($AM$1006:AT1006),$AM$1006:$BM$1006,0))&gt;=100000), " ",IF(INDEX($AM$2:$BM$1001,MATCH(ROWS($AF$2:AF574),$AF$2:$AF$1001,0),MATCH(COLUMNS($AM$1006:AT1006),$AM$1006:$BM$1006,0)), HYPERLINK("#",""), HYPERLINK(CONCATENATE("#metadata!", ADDRESS(INDEX($AH$2:$AH$1001,MATCH(ROWS($AF$2:AF574),$AF$2:$AF$1001,0),0), INDEX($AM$1004:$BM$1004,1,MATCH(COLUMNS($AM$1006:AT1006),$AM$1006:$BM$1006,0)))),"Fix")))</f>
        <v xml:space="preserve"> </v>
      </c>
      <c r="J574" s="4" t="str">
        <f ca="1">IF(OR(INDEX($AG$2:$AG$1001,MATCH(ROWS($AF$2:AF574),$AF$2:$AF$1001,0),1)&gt;=100000,INDEX($AM$1005:$BM$1005,1,MATCH(COLUMNS($AM$1006:AU1006),$AM$1006:$BM$1006,0))&gt;=100000), " ",IF(INDEX($AM$2:$BM$1001,MATCH(ROWS($AF$2:AF574),$AF$2:$AF$1001,0),MATCH(COLUMNS($AM$1006:AU1006),$AM$1006:$BM$1006,0)), HYPERLINK("#",""), HYPERLINK(CONCATENATE("#metadata!", ADDRESS(INDEX($AH$2:$AH$1001,MATCH(ROWS($AF$2:AF574),$AF$2:$AF$1001,0),0), INDEX($AM$1004:$BM$1004,1,MATCH(COLUMNS($AM$1006:AU1006),$AM$1006:$BM$1006,0)))),"Fix")))</f>
        <v xml:space="preserve"> </v>
      </c>
      <c r="K574" s="4" t="str">
        <f ca="1">IF(OR(INDEX($AG$2:$AG$1001,MATCH(ROWS($AF$2:AF574),$AF$2:$AF$1001,0),1)&gt;=100000,INDEX($AM$1005:$BM$1005,1,MATCH(COLUMNS($AM$1006:AV1006),$AM$1006:$BM$1006,0))&gt;=100000), " ",IF(INDEX($AM$2:$BM$1001,MATCH(ROWS($AF$2:AF574),$AF$2:$AF$1001,0),MATCH(COLUMNS($AM$1006:AV1006),$AM$1006:$BM$1006,0)), HYPERLINK("#",""), HYPERLINK(CONCATENATE("#metadata!", ADDRESS(INDEX($AH$2:$AH$1001,MATCH(ROWS($AF$2:AF574),$AF$2:$AF$1001,0),0), INDEX($AM$1004:$BM$1004,1,MATCH(COLUMNS($AM$1006:AV1006),$AM$1006:$BM$1006,0)))),"Fix")))</f>
        <v xml:space="preserve"> </v>
      </c>
      <c r="L574" s="4" t="str">
        <f ca="1">IF(OR(INDEX($AG$2:$AG$1001,MATCH(ROWS($AF$2:AF574),$AF$2:$AF$1001,0),1)&gt;=100000,INDEX($AM$1005:$BM$1005,1,MATCH(COLUMNS($AM$1006:AW1006),$AM$1006:$BM$1006,0))&gt;=100000), " ",IF(INDEX($AM$2:$BM$1001,MATCH(ROWS($AF$2:AF574),$AF$2:$AF$1001,0),MATCH(COLUMNS($AM$1006:AW1006),$AM$1006:$BM$1006,0)), HYPERLINK("#",""), HYPERLINK(CONCATENATE("#metadata!", ADDRESS(INDEX($AH$2:$AH$1001,MATCH(ROWS($AF$2:AF574),$AF$2:$AF$1001,0),0), INDEX($AM$1004:$BM$1004,1,MATCH(COLUMNS($AM$1006:AW1006),$AM$1006:$BM$1006,0)))),"Fix")))</f>
        <v xml:space="preserve"> </v>
      </c>
      <c r="M574" s="4" t="str">
        <f ca="1">IF(OR(INDEX($AG$2:$AG$1001,MATCH(ROWS($AF$2:AF574),$AF$2:$AF$1001,0),1)&gt;=100000,INDEX($AM$1005:$BM$1005,1,MATCH(COLUMNS($AM$1006:AX1006),$AM$1006:$BM$1006,0))&gt;=100000), " ",IF(INDEX($AM$2:$BM$1001,MATCH(ROWS($AF$2:AF574),$AF$2:$AF$1001,0),MATCH(COLUMNS($AM$1006:AX1006),$AM$1006:$BM$1006,0)), HYPERLINK("#",""), HYPERLINK(CONCATENATE("#metadata!", ADDRESS(INDEX($AH$2:$AH$1001,MATCH(ROWS($AF$2:AF574),$AF$2:$AF$1001,0),0), INDEX($AM$1004:$BM$1004,1,MATCH(COLUMNS($AM$1006:AX1006),$AM$1006:$BM$1006,0)))),"Fix")))</f>
        <v xml:space="preserve"> </v>
      </c>
      <c r="N574" s="4" t="str">
        <f ca="1">IF(OR(INDEX($AG$2:$AG$1001,MATCH(ROWS($AF$2:AF574),$AF$2:$AF$1001,0),1)&gt;=100000,INDEX($AM$1005:$BM$1005,1,MATCH(COLUMNS($AM$1006:AY1006),$AM$1006:$BM$1006,0))&gt;=100000), " ",IF(INDEX($AM$2:$BM$1001,MATCH(ROWS($AF$2:AF574),$AF$2:$AF$1001,0),MATCH(COLUMNS($AM$1006:AY1006),$AM$1006:$BM$1006,0)), HYPERLINK("#",""), HYPERLINK(CONCATENATE("#metadata!", ADDRESS(INDEX($AH$2:$AH$1001,MATCH(ROWS($AF$2:AF574),$AF$2:$AF$1001,0),0), INDEX($AM$1004:$BM$1004,1,MATCH(COLUMNS($AM$1006:AY1006),$AM$1006:$BM$1006,0)))),"Fix")))</f>
        <v xml:space="preserve"> </v>
      </c>
      <c r="O574" s="4" t="str">
        <f ca="1">IF(OR(INDEX($AG$2:$AG$1001,MATCH(ROWS($AF$2:AF574),$AF$2:$AF$1001,0),1)&gt;=100000,INDEX($AM$1005:$BM$1005,1,MATCH(COLUMNS($AM$1006:AZ1006),$AM$1006:$BM$1006,0))&gt;=100000), " ",IF(INDEX($AM$2:$BM$1001,MATCH(ROWS($AF$2:AF574),$AF$2:$AF$1001,0),MATCH(COLUMNS($AM$1006:AZ1006),$AM$1006:$BM$1006,0)), HYPERLINK("#",""), HYPERLINK(CONCATENATE("#metadata!", ADDRESS(INDEX($AH$2:$AH$1001,MATCH(ROWS($AF$2:AF574),$AF$2:$AF$1001,0),0), INDEX($AM$1004:$BM$1004,1,MATCH(COLUMNS($AM$1006:AZ1006),$AM$1006:$BM$1006,0)))),"Fix")))</f>
        <v xml:space="preserve"> </v>
      </c>
      <c r="P574" s="4" t="str">
        <f ca="1">IF(OR(INDEX($AG$2:$AG$1001,MATCH(ROWS($AF$2:AF574),$AF$2:$AF$1001,0),1)&gt;=100000,INDEX($AM$1005:$BM$1005,1,MATCH(COLUMNS($AM$1006:BA1006),$AM$1006:$BM$1006,0))&gt;=100000), " ",IF(INDEX($AM$2:$BM$1001,MATCH(ROWS($AF$2:AF574),$AF$2:$AF$1001,0),MATCH(COLUMNS($AM$1006:BA1006),$AM$1006:$BM$1006,0)), HYPERLINK("#",""), HYPERLINK(CONCATENATE("#metadata!", ADDRESS(INDEX($AH$2:$AH$1001,MATCH(ROWS($AF$2:AF574),$AF$2:$AF$1001,0),0), INDEX($AM$1004:$BM$1004,1,MATCH(COLUMNS($AM$1006:BA1006),$AM$1006:$BM$1006,0)))),"Fix")))</f>
        <v xml:space="preserve"> </v>
      </c>
      <c r="Q574" s="4" t="str">
        <f ca="1">IF(OR(INDEX($AG$2:$AG$1001,MATCH(ROWS($AF$2:AF574),$AF$2:$AF$1001,0),1)&gt;=100000,INDEX($AM$1005:$BM$1005,1,MATCH(COLUMNS($AM$1006:BB1006),$AM$1006:$BM$1006,0))&gt;=100000), " ",IF(INDEX($AM$2:$BM$1001,MATCH(ROWS($AF$2:AF574),$AF$2:$AF$1001,0),MATCH(COLUMNS($AM$1006:BB1006),$AM$1006:$BM$1006,0)), HYPERLINK("#",""), HYPERLINK(CONCATENATE("#metadata!", ADDRESS(INDEX($AH$2:$AH$1001,MATCH(ROWS($AF$2:AF574),$AF$2:$AF$1001,0),0), INDEX($AM$1004:$BM$1004,1,MATCH(COLUMNS($AM$1006:BB1006),$AM$1006:$BM$1006,0)))),"Fix")))</f>
        <v xml:space="preserve"> </v>
      </c>
      <c r="R574" s="4" t="str">
        <f ca="1">IF(OR(INDEX($AG$2:$AG$1001,MATCH(ROWS($AF$2:AF574),$AF$2:$AF$1001,0),1)&gt;=100000,INDEX($AM$1005:$BM$1005,1,MATCH(COLUMNS($AM$1006:BC1006),$AM$1006:$BM$1006,0))&gt;=100000), " ",IF(INDEX($AM$2:$BM$1001,MATCH(ROWS($AF$2:AF574),$AF$2:$AF$1001,0),MATCH(COLUMNS($AM$1006:BC1006),$AM$1006:$BM$1006,0)), HYPERLINK("#",""), HYPERLINK(CONCATENATE("#metadata!", ADDRESS(INDEX($AH$2:$AH$1001,MATCH(ROWS($AF$2:AF574),$AF$2:$AF$1001,0),0), INDEX($AM$1004:$BM$1004,1,MATCH(COLUMNS($AM$1006:BC1006),$AM$1006:$BM$1006,0)))),"Fix")))</f>
        <v xml:space="preserve"> </v>
      </c>
      <c r="S574" s="4" t="str">
        <f ca="1">IF(OR(INDEX($AG$2:$AG$1001,MATCH(ROWS($AF$2:AF574),$AF$2:$AF$1001,0),1)&gt;=100000,INDEX($AM$1005:$BM$1005,1,MATCH(COLUMNS($AM$1006:BD1006),$AM$1006:$BM$1006,0))&gt;=100000), " ",IF(INDEX($AM$2:$BM$1001,MATCH(ROWS($AF$2:AF574),$AF$2:$AF$1001,0),MATCH(COLUMNS($AM$1006:BD1006),$AM$1006:$BM$1006,0)), HYPERLINK("#",""), HYPERLINK(CONCATENATE("#metadata!", ADDRESS(INDEX($AH$2:$AH$1001,MATCH(ROWS($AF$2:AF574),$AF$2:$AF$1001,0),0), INDEX($AM$1004:$BM$1004,1,MATCH(COLUMNS($AM$1006:BD1006),$AM$1006:$BM$1006,0)))),"Fix")))</f>
        <v xml:space="preserve"> </v>
      </c>
      <c r="T574" s="4" t="str">
        <f ca="1">IF(OR(INDEX($AG$2:$AG$1001,MATCH(ROWS($AF$2:AF574),$AF$2:$AF$1001,0),1)&gt;=100000,INDEX($AM$1005:$BM$1005,1,MATCH(COLUMNS($AM$1006:BE1006),$AM$1006:$BM$1006,0))&gt;=100000), " ",IF(INDEX($AM$2:$BM$1001,MATCH(ROWS($AF$2:AF574),$AF$2:$AF$1001,0),MATCH(COLUMNS($AM$1006:BE1006),$AM$1006:$BM$1006,0)), HYPERLINK("#",""), HYPERLINK(CONCATENATE("#metadata!", ADDRESS(INDEX($AH$2:$AH$1001,MATCH(ROWS($AF$2:AF574),$AF$2:$AF$1001,0),0), INDEX($AM$1004:$BM$1004,1,MATCH(COLUMNS($AM$1006:BE1006),$AM$1006:$BM$1006,0)))),"Fix")))</f>
        <v xml:space="preserve"> </v>
      </c>
      <c r="U574" s="4" t="str">
        <f ca="1">IF(OR(INDEX($AG$2:$AG$1001,MATCH(ROWS($AF$2:AF574),$AF$2:$AF$1001,0),1)&gt;=100000,INDEX($AM$1005:$BM$1005,1,MATCH(COLUMNS($AM$1006:BF1006),$AM$1006:$BM$1006,0))&gt;=100000), " ",IF(INDEX($AM$2:$BM$1001,MATCH(ROWS($AF$2:AF574),$AF$2:$AF$1001,0),MATCH(COLUMNS($AM$1006:BF1006),$AM$1006:$BM$1006,0)), HYPERLINK("#",""), HYPERLINK(CONCATENATE("#metadata!", ADDRESS(INDEX($AH$2:$AH$1001,MATCH(ROWS($AF$2:AF574),$AF$2:$AF$1001,0),0), INDEX($AM$1004:$BM$1004,1,MATCH(COLUMNS($AM$1006:BF1006),$AM$1006:$BM$1006,0)))),"Fix")))</f>
        <v xml:space="preserve"> </v>
      </c>
      <c r="V574" s="4" t="str">
        <f ca="1">IF(OR(INDEX($AG$2:$AG$1001,MATCH(ROWS($AF$2:AF574),$AF$2:$AF$1001,0),1)&gt;=100000,INDEX($AM$1005:$BM$1005,1,MATCH(COLUMNS($AM$1006:BG1006),$AM$1006:$BM$1006,0))&gt;=100000), " ",IF(INDEX($AM$2:$BM$1001,MATCH(ROWS($AF$2:AF574),$AF$2:$AF$1001,0),MATCH(COLUMNS($AM$1006:BG1006),$AM$1006:$BM$1006,0)), HYPERLINK("#",""), HYPERLINK(CONCATENATE("#metadata!", ADDRESS(INDEX($AH$2:$AH$1001,MATCH(ROWS($AF$2:AF574),$AF$2:$AF$1001,0),0), INDEX($AM$1004:$BM$1004,1,MATCH(COLUMNS($AM$1006:BG1006),$AM$1006:$BM$1006,0)))),"Fix")))</f>
        <v xml:space="preserve"> </v>
      </c>
      <c r="W574" s="4" t="str">
        <f ca="1">IF(OR(INDEX($AG$2:$AG$1001,MATCH(ROWS($AF$2:AF574),$AF$2:$AF$1001,0),1)&gt;=100000,INDEX($AM$1005:$BM$1005,1,MATCH(COLUMNS($AM$1006:BH1006),$AM$1006:$BM$1006,0))&gt;=100000), " ",IF(INDEX($AM$2:$BM$1001,MATCH(ROWS($AF$2:AF574),$AF$2:$AF$1001,0),MATCH(COLUMNS($AM$1006:BH1006),$AM$1006:$BM$1006,0)), HYPERLINK("#",""), HYPERLINK(CONCATENATE("#metadata!", ADDRESS(INDEX($AH$2:$AH$1001,MATCH(ROWS($AF$2:AF574),$AF$2:$AF$1001,0),0), INDEX($AM$1004:$BM$1004,1,MATCH(COLUMNS($AM$1006:BH1006),$AM$1006:$BM$1006,0)))),"Fix")))</f>
        <v xml:space="preserve"> </v>
      </c>
      <c r="X574" s="4" t="str">
        <f ca="1">IF(OR(INDEX($AG$2:$AG$1001,MATCH(ROWS($AF$2:AF574),$AF$2:$AF$1001,0),1)&gt;=100000,INDEX($AM$1005:$BM$1005,1,MATCH(COLUMNS($AM$1006:BI1006),$AM$1006:$BM$1006,0))&gt;=100000), " ",IF(INDEX($AM$2:$BM$1001,MATCH(ROWS($AF$2:AF574),$AF$2:$AF$1001,0),MATCH(COLUMNS($AM$1006:BI1006),$AM$1006:$BM$1006,0)), HYPERLINK("#",""), HYPERLINK(CONCATENATE("#metadata!", ADDRESS(INDEX($AH$2:$AH$1001,MATCH(ROWS($AF$2:AF574),$AF$2:$AF$1001,0),0), INDEX($AM$1004:$BM$1004,1,MATCH(COLUMNS($AM$1006:BI1006),$AM$1006:$BM$1006,0)))),"Fix")))</f>
        <v xml:space="preserve"> </v>
      </c>
      <c r="Y574" s="4" t="str">
        <f ca="1">IF(OR(INDEX($AG$2:$AG$1001,MATCH(ROWS($AF$2:AF574),$AF$2:$AF$1001,0),1)&gt;=100000,INDEX($AM$1005:$BM$1005,1,MATCH(COLUMNS($AM$1006:BJ1006),$AM$1006:$BM$1006,0))&gt;=100000), " ",IF(INDEX($AM$2:$BM$1001,MATCH(ROWS($AF$2:AF574),$AF$2:$AF$1001,0),MATCH(COLUMNS($AM$1006:BJ1006),$AM$1006:$BM$1006,0)), HYPERLINK("#",""), HYPERLINK(CONCATENATE("#metadata!", ADDRESS(INDEX($AH$2:$AH$1001,MATCH(ROWS($AF$2:AF574),$AF$2:$AF$1001,0),0), INDEX($AM$1004:$BM$1004,1,MATCH(COLUMNS($AM$1006:BJ1006),$AM$1006:$BM$1006,0)))),"Fix")))</f>
        <v xml:space="preserve"> </v>
      </c>
      <c r="Z574" s="4" t="str">
        <f ca="1">IF(OR(INDEX($AG$2:$AG$1001,MATCH(ROWS($AF$2:AF574),$AF$2:$AF$1001,0),1)&gt;=100000,INDEX($AM$1005:$BM$1005,1,MATCH(COLUMNS($AM$1006:BK1006),$AM$1006:$BM$1006,0))&gt;=100000), " ",IF(INDEX($AM$2:$BM$1001,MATCH(ROWS($AF$2:AF574),$AF$2:$AF$1001,0),MATCH(COLUMNS($AM$1006:BK1006),$AM$1006:$BM$1006,0)), HYPERLINK("#",""), HYPERLINK(CONCATENATE("#metadata!", ADDRESS(INDEX($AH$2:$AH$1001,MATCH(ROWS($AF$2:AF574),$AF$2:$AF$1001,0),0), INDEX($AM$1004:$BM$1004,1,MATCH(COLUMNS($AM$1006:BK1006),$AM$1006:$BM$1006,0)))),"Fix")))</f>
        <v xml:space="preserve"> </v>
      </c>
      <c r="AA574" s="4" t="str">
        <f ca="1">IF(OR(INDEX($AG$2:$AG$1001,MATCH(ROWS($AF$2:AF574),$AF$2:$AF$1001,0),1)&gt;=100000,INDEX($AM$1005:$BM$1005,1,MATCH(COLUMNS($AM$1006:BL1006),$AM$1006:$BM$1006,0))&gt;=100000), " ",IF(INDEX($AM$2:$BM$1001,MATCH(ROWS($AF$2:AF574),$AF$2:$AF$1001,0),MATCH(COLUMNS($AM$1006:BL1006),$AM$1006:$BM$1006,0)), HYPERLINK("#",""), HYPERLINK(CONCATENATE("#metadata!", ADDRESS(INDEX($AH$2:$AH$1001,MATCH(ROWS($AF$2:AF574),$AF$2:$AF$1001,0),0), INDEX($AM$1004:$BM$1004,1,MATCH(COLUMNS($AM$1006:BL1006),$AM$1006:$BM$1006,0)))),"Fix")))</f>
        <v xml:space="preserve"> </v>
      </c>
      <c r="AB574" s="4" t="str">
        <f ca="1">IF(OR(INDEX($AG$2:$AG$1001,MATCH(ROWS($AF$2:AF574),$AF$2:$AF$1001,0),1)&gt;=100000,INDEX($AM$1005:$BM$1005,1,MATCH(COLUMNS($AM$1006:BM1006),$AM$1006:$BM$1006,0))&gt;=100000), " ",IF(INDEX($AM$2:$BM$1001,MATCH(ROWS($AF$2:AF574),$AF$2:$AF$1001,0),MATCH(COLUMNS($AM$1006:BM1006),$AM$1006:$BM$1006,0)), HYPERLINK("#",""), HYPERLINK(CONCATENATE("#metadata!", ADDRESS(INDEX($AH$2:$AH$1001,MATCH(ROWS($AF$2:AF574),$AF$2:$AF$1001,0),0), INDEX($AM$1004:$BM$1004,1,MATCH(COLUMNS($AM$1006:BM1006),$AM$1006:$BM$1006,0)))),"Fix")))</f>
        <v xml:space="preserve"> </v>
      </c>
      <c r="AF574">
        <v>573</v>
      </c>
      <c r="AG574">
        <v>100574</v>
      </c>
      <c r="AH574">
        <v>574</v>
      </c>
      <c r="AI574" t="b">
        <f t="shared" si="8"/>
        <v>1</v>
      </c>
      <c r="AJ574" t="b">
        <f>COUNTBLANK(metadata!B574:AB574)=COLUMNS(metadata!B574:AB574)</f>
        <v>1</v>
      </c>
      <c r="AK574" t="str">
        <v/>
      </c>
      <c r="AM574" t="b">
        <f ca="1">AND(IF(metadata!B574="",FALSE,TRUE),COUNTIF(metadata!B:B, metadata!B574) = 1,NOT(ISERROR(SUMPRODUCT(SEARCH(MID(metadata!B574,ROW(INDIRECT("1:"&amp;LEN(metadata!B574))), 1),"0123456789abcdefghijklmnopqrstuvwxyzABCDEFGHIJKLMNOPQRSTUVWXYZ.")))))</f>
        <v>0</v>
      </c>
      <c r="AN574" t="b">
        <f ca="1">OR(AND(IF(metadata!C574="",FALSE,TRUE),OR(EXACT(metadata!C574,"missing: not collected"),EXACT(metadata!C574,"missing: not provided"),EXACT(metadata!C574,"missing: restricted access"))),AND(IF(metadata!C574="",FALSE,TRUE),AND(AND(IFERROR(INT(LEFT(metadata!C574,4))&gt;1900,FALSE),IFERROR(INT(LEFT(metadata!C574,4))&lt;=YEAR(NOW()),FALSE)), OR(MID(metadata!C574,5,1)="", AND(AND(MID(metadata!C574,5,1)="-",IFERROR(INT(MID(metadata!C574,6,1))&gt;=0,FALSE),IFERROR(INT(MID(metadata!C574,6,1))&lt;=1,FALSE),NOT(MID(metadata!C574,7,1)=""),IFERROR(INT(MID(metadata!C574,6,2))&gt;=1,FALSE),IFERROR(INT(MID(metadata!C574,6,2))&lt;=12,FALSE)), OR(MID(metadata!C574,8,1)="", AND(AND(MID(metadata!C574,8,1)="-",IFERROR(INT(MID(metadata!C574,9,1))&gt;=0,FALSE),IFERROR(INT(MID(metadata!C574,9,1))&lt;=3,FALSE),NOT(MID(metadata!C574,10,1)=""),IFERROR(INT(MID(metadata!C574,9,2))&gt;=1,FALSE),IFERROR(INT(MID(metadata!C574,9,2))&lt;=31,FALSE)), OR(MID(metadata!C574,11,1)="", AND(AND(MID(metadata!C574,11,1)=" ",IFERROR(INT(MID(metadata!C574,12,1))&gt;=0,FALSE),IFERROR(INT(MID(metadata!C574,12,1))&lt;=2,FALSE),NOT(MID(metadata!C574,13,1)=""),IFERROR(INT(MID(metadata!C574,12,2))&gt;=0,FALSE),IFERROR(INT(MID(metadata!C574,12,2))&lt;=23,FALSE)), OR(MID(metadata!C574,14,1)="", AND(AND(MID(metadata!C574,14,1)=":",IFERROR(INT(MID(metadata!C574,15,1))&gt;=0,FALSE),IFERROR(INT(MID(metadata!C574,15,1))&lt;=5,FALSE),NOT(MID(metadata!C574,16,1)=""),IFERROR(INT(MID(metadata!C574,15,2))&gt;=0,FALSE),IFERROR(INT(MID(metadata!C574,15,2))&lt;=59,FALSE)), OR(MID(metadata!C574,17,1)="", AND(AND(MID(metadata!C574,17,1)=":",IFERROR(INT(MID(metadata!C574,18,1))&gt;=0,FALSE),IFERROR(INT(MID(metadata!C574,18,1))&lt;=5,FALSE),NOT(MID(metadata!C574,19,1)=""),IFERROR(INT(MID(metadata!C574,18,2))&gt;=0,FALSE),IFERROR(INT(MID(metadata!C574,18,2))&lt;=59,FALSE)), LEN(metadata!C574)&lt;=19)))))))))))))</f>
        <v>0</v>
      </c>
      <c r="AO574" t="b">
        <f>AND(IF(metadata!D574="",FALSE,TRUE),EXACT(metadata!D574,"Not applicable"))</f>
        <v>0</v>
      </c>
      <c r="AP574" t="b">
        <f>IF(metadata!E574="",FALSE,TRUE)</f>
        <v>0</v>
      </c>
      <c r="AQ574" t="b">
        <f>OR(AND(IF(metadata!F574="",FALSE,TRUE),OR(EXACT(metadata!F574,"missing: not collected"),EXACT(metadata!F574,"missing: not provided"))),AND(IF(metadata!F574="",FALSE,TRUE),OR(EXACT(metadata!F574,"TRUE"),EXACT(metadata!F574,"FALSE"))))</f>
        <v>0</v>
      </c>
      <c r="AR574" t="b">
        <f>OR(AND(IF(metadata!G574="",FALSE,TRUE),OR(EXACT(metadata!G574,"missing: not collected"),EXACT(metadata!G574,"missing: not provided"),EXACT(metadata!G574,"missing: restricted access"))),AND(IF(metadata!G574="",FALSE,ISNUMBER(VALUE(metadata!G574))),metadata!G574&gt;=-413))</f>
        <v>0</v>
      </c>
      <c r="AS574" t="b">
        <f>AND(IF(metadata!H574="",FALSE,TRUE),EXACT(metadata!H574,"meters"))</f>
        <v>0</v>
      </c>
      <c r="AT574" t="b">
        <f>AND(IF(metadata!I574="",FALSE,TRUE),OR(EXACT(metadata!I574,"Host-associated"),EXACT(metadata!I574,"Free-living")))</f>
        <v>0</v>
      </c>
      <c r="AU574" t="b">
        <f>AND(IF(metadata!J574="",FALSE,TRUE),OR(EXACT(metadata!J574,"Animal"),EXACT(metadata!J574,"Fungus"),EXACT(metadata!J574,"Plant"),EXACT(metadata!J574,"Saline"),EXACT(metadata!J574,"Non-saline")))</f>
        <v>0</v>
      </c>
      <c r="AV574" t="b">
        <f>AND(IF(metadata!K574="",FALSE,TRUE),OR(EXACT(metadata!K574,"Plant secretion"),EXACT(metadata!K574,"Plant rhizosphere"),EXACT(metadata!K574,"Plant surface"),EXACT(metadata!K574,"Plant corpus"),EXACT(metadata!K574,"Fungus surface"),EXACT(metadata!K574,"Fungus corpus"),EXACT(metadata!K574,"Animal surface"),EXACT(metadata!K574,"Animal proximal gut"),EXACT(metadata!K574,"Animal corpus"),EXACT(metadata!K574,"Animal distal gut"),EXACT(metadata!K574,"Animal secretion"),EXACT(metadata!K574,"Sub-surface (non-saline)"),EXACT(metadata!K574,"Surface (non-saline)"),EXACT(metadata!K574,"Water (non-saline)"),EXACT(metadata!K574,"Soil (non-saline)"),EXACT(metadata!K574,"Aerosol (non-saline)"),EXACT(metadata!K574,"Sediment (non-saline)"),EXACT(metadata!K574,"Surface (saline)"),EXACT(metadata!K574,"Water (saline)"),EXACT(metadata!K574,"Hypersaline (saline)"),EXACT(metadata!K574,"Aerosol (saline)"),EXACT(metadata!K574,"Sediment (saline)")))</f>
        <v>0</v>
      </c>
      <c r="AW574" t="b">
        <f>IF(metadata!L574="",FALSE,TRUE)</f>
        <v>0</v>
      </c>
      <c r="AX574" t="b">
        <f>IF(metadata!M574="",FALSE,TRUE)</f>
        <v>0</v>
      </c>
      <c r="AY574" t="b">
        <f>IF(metadata!N574="",FALSE,TRUE)</f>
        <v>0</v>
      </c>
      <c r="AZ574" t="b">
        <f>OR(AND(IF(metadata!O574="",FALSE,TRUE),OR(EXACT(metadata!O574,"missing: not collected"),EXACT(metadata!O574,"missing: not provided"),EXACT(metadata!O574,"missing: restricted access"))),AND(IF(metadata!O574="",FALSE,TRUE),OR(EXACT(metadata!O574,"air"),EXACT(metadata!O574,"built environment"),EXACT(metadata!O574,"host-associated"),EXACT(metadata!O574,"human-associated"),EXACT(metadata!O574,"human-skin"),EXACT(metadata!O574,"human-oral"),EXACT(metadata!O574,"human-gut"),EXACT(metadata!O574,"human-vaginal"),EXACT(metadata!O574,"microbial mat/biofilm"),EXACT(metadata!O574,"misc environment"),EXACT(metadata!O574,"plant-associated"),EXACT(metadata!O574,"sediment"),EXACT(metadata!O574,"soil"),EXACT(metadata!O574,"wastewater/sludge"),EXACT(metadata!O574,"water"))))</f>
        <v>0</v>
      </c>
      <c r="BA574" t="b">
        <f>IF(metadata!P574="",FALSE,TRUE)</f>
        <v>0</v>
      </c>
      <c r="BB574" t="b">
        <f>IF(metadata!Q574="",FALSE,TRUE)</f>
        <v>0</v>
      </c>
      <c r="BC574" t="b">
        <f>OR(AND(IF(metadata!R574="",FALSE,TRUE),OR(EXACT(metadata!R574,"missing: not collected"),EXACT(metadata!R574,"missing: not provided"),EXACT(metadata!R574,"missing: restricted access"))),AND(IF(metadata!R574="",FALSE,ISNUMBER(VALUE(metadata!R574))),metadata!R574&gt;=-90,metadata!R574&lt;=90))</f>
        <v>0</v>
      </c>
      <c r="BD574" t="b">
        <f>AND(IF(metadata!S574="",FALSE,TRUE),EXACT(metadata!S574,"Decimal degrees"))</f>
        <v>0</v>
      </c>
      <c r="BE574" t="b">
        <f>OR(AND(IF(metadata!T574="",FALSE,TRUE),OR(EXACT(metadata!T574,"missing: not collected"),EXACT(metadata!T574,"missing: not provided"),EXACT(metadata!T574,"missing: restricted access"))),AND(IF(metadata!T574="",FALSE,ISNUMBER(VALUE(metadata!T574))),metadata!T574&gt;=-180,metadata!T574&lt;=180))</f>
        <v>0</v>
      </c>
      <c r="BF574" t="b">
        <f>AND(IF(metadata!U574="",FALSE,TRUE),EXACT(metadata!U574,"Decimal degrees"))</f>
        <v>0</v>
      </c>
      <c r="BG574" t="b">
        <f>IF(metadata!V574="",FALSE,TRUE)</f>
        <v>0</v>
      </c>
      <c r="BH574" t="b">
        <f>OR(AND(IF(metadata!W574="",FALSE,TRUE),OR(EXACT(metadata!W574,"missing: not collected"),EXACT(metadata!W574,"missing: not provided"),EXACT(metadata!W574,"missing: restricted access"))),AND(IF(metadata!W574="",FALSE,TRUE),OR(EXACT(metadata!W574,"TRUE"),EXACT(metadata!W574,"FALSE"))))</f>
        <v>0</v>
      </c>
      <c r="BI574" t="b">
        <f>AND(IF(metadata!X574="",FALSE,TRUE),EXACT(metadata!X574,"other"))</f>
        <v>0</v>
      </c>
      <c r="BJ574" t="b">
        <f>IF(metadata!Y574="",FALSE,TRUE)</f>
        <v>0</v>
      </c>
      <c r="BK574" t="b">
        <f>OR(AND(IF(metadata!Z574="",FALSE,TRUE),OR(EXACT(metadata!Z574,"missing: not collected"),EXACT(metadata!Z574,"missing: not provided"))),AND(IF(metadata!Z574="",FALSE,IF(ISERROR(INT(metadata!Z574)),FALSE,INT(metadata!Z574)=metadata!Z574)),metadata!Z574&gt;0))</f>
        <v>0</v>
      </c>
      <c r="BL574" t="b">
        <f>AND(IF(metadata!AA574="",FALSE,TRUE),EXACT(metadata!AA574,"Not applicable"))</f>
        <v>0</v>
      </c>
      <c r="BM574" t="b">
        <f>IF(metadata!AB574="",FALSE,TRUE)</f>
        <v>0</v>
      </c>
    </row>
    <row r="575" spans="1:65" x14ac:dyDescent="0.2">
      <c r="A575" s="5" t="str">
        <f ca="1">IF(B575=" "," ",HYPERLINK(CONCATENATE("#metadata!",ADDRESS(INDEX($AH$2:$AH$1001,MATCH(ROWS($AF$2:AF575),$AF$2:$AF$1001,0),0),1)),INDEX($AK$2:$AK$1001,MATCH(ROWS($AF$2:AF575),$AF$2:$AF$1001,0),0)))</f>
        <v xml:space="preserve"> </v>
      </c>
      <c r="B575" s="4" t="str">
        <f ca="1">IF(OR(INDEX($AG$2:$AG$1001,MATCH(ROWS($AF$2:AF575),$AF$2:$AF$1001,0),1)&gt;=100000,INDEX($AM$1005:$BM$1005,1,MATCH(COLUMNS($AM$1006:AM1006),$AM$1006:$BM$1006,0))&gt;=100000), " ",IF(INDEX($AM$2:$BM$1001,MATCH(ROWS($AF$2:AF575),$AF$2:$AF$1001,0),MATCH(COLUMNS($AM$1006:AM1006),$AM$1006:$BM$1006,0)), HYPERLINK("#",""), HYPERLINK(CONCATENATE("#metadata!", ADDRESS(INDEX($AH$2:$AH$1001,MATCH(ROWS($AF$2:AF575),$AF$2:$AF$1001,0),0), INDEX($AM$1004:$BM$1004,1,MATCH(COLUMNS($AM$1006:AM1006),$AM$1006:$BM$1006,0)))),"Fix")))</f>
        <v xml:space="preserve"> </v>
      </c>
      <c r="C575" s="4" t="str">
        <f ca="1">IF(OR(INDEX($AG$2:$AG$1001,MATCH(ROWS($AF$2:AF575),$AF$2:$AF$1001,0),1)&gt;=100000,INDEX($AM$1005:$BM$1005,1,MATCH(COLUMNS($AM$1006:AN1006),$AM$1006:$BM$1006,0))&gt;=100000), " ",IF(INDEX($AM$2:$BM$1001,MATCH(ROWS($AF$2:AF575),$AF$2:$AF$1001,0),MATCH(COLUMNS($AM$1006:AN1006),$AM$1006:$BM$1006,0)), HYPERLINK("#",""), HYPERLINK(CONCATENATE("#metadata!", ADDRESS(INDEX($AH$2:$AH$1001,MATCH(ROWS($AF$2:AF575),$AF$2:$AF$1001,0),0), INDEX($AM$1004:$BM$1004,1,MATCH(COLUMNS($AM$1006:AN1006),$AM$1006:$BM$1006,0)))),"Fix")))</f>
        <v xml:space="preserve"> </v>
      </c>
      <c r="D575" s="4" t="str">
        <f ca="1">IF(OR(INDEX($AG$2:$AG$1001,MATCH(ROWS($AF$2:AF575),$AF$2:$AF$1001,0),1)&gt;=100000,INDEX($AM$1005:$BM$1005,1,MATCH(COLUMNS($AM$1006:AO1006),$AM$1006:$BM$1006,0))&gt;=100000), " ",IF(INDEX($AM$2:$BM$1001,MATCH(ROWS($AF$2:AF575),$AF$2:$AF$1001,0),MATCH(COLUMNS($AM$1006:AO1006),$AM$1006:$BM$1006,0)), HYPERLINK("#",""), HYPERLINK(CONCATENATE("#metadata!", ADDRESS(INDEX($AH$2:$AH$1001,MATCH(ROWS($AF$2:AF575),$AF$2:$AF$1001,0),0), INDEX($AM$1004:$BM$1004,1,MATCH(COLUMNS($AM$1006:AO1006),$AM$1006:$BM$1006,0)))),"Fix")))</f>
        <v xml:space="preserve"> </v>
      </c>
      <c r="E575" s="4" t="str">
        <f ca="1">IF(OR(INDEX($AG$2:$AG$1001,MATCH(ROWS($AF$2:AF575),$AF$2:$AF$1001,0),1)&gt;=100000,INDEX($AM$1005:$BM$1005,1,MATCH(COLUMNS($AM$1006:AP1006),$AM$1006:$BM$1006,0))&gt;=100000), " ",IF(INDEX($AM$2:$BM$1001,MATCH(ROWS($AF$2:AF575),$AF$2:$AF$1001,0),MATCH(COLUMNS($AM$1006:AP1006),$AM$1006:$BM$1006,0)), HYPERLINK("#",""), HYPERLINK(CONCATENATE("#metadata!", ADDRESS(INDEX($AH$2:$AH$1001,MATCH(ROWS($AF$2:AF575),$AF$2:$AF$1001,0),0), INDEX($AM$1004:$BM$1004,1,MATCH(COLUMNS($AM$1006:AP1006),$AM$1006:$BM$1006,0)))),"Fix")))</f>
        <v xml:space="preserve"> </v>
      </c>
      <c r="F575" s="4" t="str">
        <f ca="1">IF(OR(INDEX($AG$2:$AG$1001,MATCH(ROWS($AF$2:AF575),$AF$2:$AF$1001,0),1)&gt;=100000,INDEX($AM$1005:$BM$1005,1,MATCH(COLUMNS($AM$1006:AQ1006),$AM$1006:$BM$1006,0))&gt;=100000), " ",IF(INDEX($AM$2:$BM$1001,MATCH(ROWS($AF$2:AF575),$AF$2:$AF$1001,0),MATCH(COLUMNS($AM$1006:AQ1006),$AM$1006:$BM$1006,0)), HYPERLINK("#",""), HYPERLINK(CONCATENATE("#metadata!", ADDRESS(INDEX($AH$2:$AH$1001,MATCH(ROWS($AF$2:AF575),$AF$2:$AF$1001,0),0), INDEX($AM$1004:$BM$1004,1,MATCH(COLUMNS($AM$1006:AQ1006),$AM$1006:$BM$1006,0)))),"Fix")))</f>
        <v xml:space="preserve"> </v>
      </c>
      <c r="G575" s="4" t="str">
        <f ca="1">IF(OR(INDEX($AG$2:$AG$1001,MATCH(ROWS($AF$2:AF575),$AF$2:$AF$1001,0),1)&gt;=100000,INDEX($AM$1005:$BM$1005,1,MATCH(COLUMNS($AM$1006:AR1006),$AM$1006:$BM$1006,0))&gt;=100000), " ",IF(INDEX($AM$2:$BM$1001,MATCH(ROWS($AF$2:AF575),$AF$2:$AF$1001,0),MATCH(COLUMNS($AM$1006:AR1006),$AM$1006:$BM$1006,0)), HYPERLINK("#",""), HYPERLINK(CONCATENATE("#metadata!", ADDRESS(INDEX($AH$2:$AH$1001,MATCH(ROWS($AF$2:AF575),$AF$2:$AF$1001,0),0), INDEX($AM$1004:$BM$1004,1,MATCH(COLUMNS($AM$1006:AR1006),$AM$1006:$BM$1006,0)))),"Fix")))</f>
        <v xml:space="preserve"> </v>
      </c>
      <c r="H575" s="4" t="str">
        <f ca="1">IF(OR(INDEX($AG$2:$AG$1001,MATCH(ROWS($AF$2:AF575),$AF$2:$AF$1001,0),1)&gt;=100000,INDEX($AM$1005:$BM$1005,1,MATCH(COLUMNS($AM$1006:AS1006),$AM$1006:$BM$1006,0))&gt;=100000), " ",IF(INDEX($AM$2:$BM$1001,MATCH(ROWS($AF$2:AF575),$AF$2:$AF$1001,0),MATCH(COLUMNS($AM$1006:AS1006),$AM$1006:$BM$1006,0)), HYPERLINK("#",""), HYPERLINK(CONCATENATE("#metadata!", ADDRESS(INDEX($AH$2:$AH$1001,MATCH(ROWS($AF$2:AF575),$AF$2:$AF$1001,0),0), INDEX($AM$1004:$BM$1004,1,MATCH(COLUMNS($AM$1006:AS1006),$AM$1006:$BM$1006,0)))),"Fix")))</f>
        <v xml:space="preserve"> </v>
      </c>
      <c r="I575" s="4" t="str">
        <f ca="1">IF(OR(INDEX($AG$2:$AG$1001,MATCH(ROWS($AF$2:AF575),$AF$2:$AF$1001,0),1)&gt;=100000,INDEX($AM$1005:$BM$1005,1,MATCH(COLUMNS($AM$1006:AT1006),$AM$1006:$BM$1006,0))&gt;=100000), " ",IF(INDEX($AM$2:$BM$1001,MATCH(ROWS($AF$2:AF575),$AF$2:$AF$1001,0),MATCH(COLUMNS($AM$1006:AT1006),$AM$1006:$BM$1006,0)), HYPERLINK("#",""), HYPERLINK(CONCATENATE("#metadata!", ADDRESS(INDEX($AH$2:$AH$1001,MATCH(ROWS($AF$2:AF575),$AF$2:$AF$1001,0),0), INDEX($AM$1004:$BM$1004,1,MATCH(COLUMNS($AM$1006:AT1006),$AM$1006:$BM$1006,0)))),"Fix")))</f>
        <v xml:space="preserve"> </v>
      </c>
      <c r="J575" s="4" t="str">
        <f ca="1">IF(OR(INDEX($AG$2:$AG$1001,MATCH(ROWS($AF$2:AF575),$AF$2:$AF$1001,0),1)&gt;=100000,INDEX($AM$1005:$BM$1005,1,MATCH(COLUMNS($AM$1006:AU1006),$AM$1006:$BM$1006,0))&gt;=100000), " ",IF(INDEX($AM$2:$BM$1001,MATCH(ROWS($AF$2:AF575),$AF$2:$AF$1001,0),MATCH(COLUMNS($AM$1006:AU1006),$AM$1006:$BM$1006,0)), HYPERLINK("#",""), HYPERLINK(CONCATENATE("#metadata!", ADDRESS(INDEX($AH$2:$AH$1001,MATCH(ROWS($AF$2:AF575),$AF$2:$AF$1001,0),0), INDEX($AM$1004:$BM$1004,1,MATCH(COLUMNS($AM$1006:AU1006),$AM$1006:$BM$1006,0)))),"Fix")))</f>
        <v xml:space="preserve"> </v>
      </c>
      <c r="K575" s="4" t="str">
        <f ca="1">IF(OR(INDEX($AG$2:$AG$1001,MATCH(ROWS($AF$2:AF575),$AF$2:$AF$1001,0),1)&gt;=100000,INDEX($AM$1005:$BM$1005,1,MATCH(COLUMNS($AM$1006:AV1006),$AM$1006:$BM$1006,0))&gt;=100000), " ",IF(INDEX($AM$2:$BM$1001,MATCH(ROWS($AF$2:AF575),$AF$2:$AF$1001,0),MATCH(COLUMNS($AM$1006:AV1006),$AM$1006:$BM$1006,0)), HYPERLINK("#",""), HYPERLINK(CONCATENATE("#metadata!", ADDRESS(INDEX($AH$2:$AH$1001,MATCH(ROWS($AF$2:AF575),$AF$2:$AF$1001,0),0), INDEX($AM$1004:$BM$1004,1,MATCH(COLUMNS($AM$1006:AV1006),$AM$1006:$BM$1006,0)))),"Fix")))</f>
        <v xml:space="preserve"> </v>
      </c>
      <c r="L575" s="4" t="str">
        <f ca="1">IF(OR(INDEX($AG$2:$AG$1001,MATCH(ROWS($AF$2:AF575),$AF$2:$AF$1001,0),1)&gt;=100000,INDEX($AM$1005:$BM$1005,1,MATCH(COLUMNS($AM$1006:AW1006),$AM$1006:$BM$1006,0))&gt;=100000), " ",IF(INDEX($AM$2:$BM$1001,MATCH(ROWS($AF$2:AF575),$AF$2:$AF$1001,0),MATCH(COLUMNS($AM$1006:AW1006),$AM$1006:$BM$1006,0)), HYPERLINK("#",""), HYPERLINK(CONCATENATE("#metadata!", ADDRESS(INDEX($AH$2:$AH$1001,MATCH(ROWS($AF$2:AF575),$AF$2:$AF$1001,0),0), INDEX($AM$1004:$BM$1004,1,MATCH(COLUMNS($AM$1006:AW1006),$AM$1006:$BM$1006,0)))),"Fix")))</f>
        <v xml:space="preserve"> </v>
      </c>
      <c r="M575" s="4" t="str">
        <f ca="1">IF(OR(INDEX($AG$2:$AG$1001,MATCH(ROWS($AF$2:AF575),$AF$2:$AF$1001,0),1)&gt;=100000,INDEX($AM$1005:$BM$1005,1,MATCH(COLUMNS($AM$1006:AX1006),$AM$1006:$BM$1006,0))&gt;=100000), " ",IF(INDEX($AM$2:$BM$1001,MATCH(ROWS($AF$2:AF575),$AF$2:$AF$1001,0),MATCH(COLUMNS($AM$1006:AX1006),$AM$1006:$BM$1006,0)), HYPERLINK("#",""), HYPERLINK(CONCATENATE("#metadata!", ADDRESS(INDEX($AH$2:$AH$1001,MATCH(ROWS($AF$2:AF575),$AF$2:$AF$1001,0),0), INDEX($AM$1004:$BM$1004,1,MATCH(COLUMNS($AM$1006:AX1006),$AM$1006:$BM$1006,0)))),"Fix")))</f>
        <v xml:space="preserve"> </v>
      </c>
      <c r="N575" s="4" t="str">
        <f ca="1">IF(OR(INDEX($AG$2:$AG$1001,MATCH(ROWS($AF$2:AF575),$AF$2:$AF$1001,0),1)&gt;=100000,INDEX($AM$1005:$BM$1005,1,MATCH(COLUMNS($AM$1006:AY1006),$AM$1006:$BM$1006,0))&gt;=100000), " ",IF(INDEX($AM$2:$BM$1001,MATCH(ROWS($AF$2:AF575),$AF$2:$AF$1001,0),MATCH(COLUMNS($AM$1006:AY1006),$AM$1006:$BM$1006,0)), HYPERLINK("#",""), HYPERLINK(CONCATENATE("#metadata!", ADDRESS(INDEX($AH$2:$AH$1001,MATCH(ROWS($AF$2:AF575),$AF$2:$AF$1001,0),0), INDEX($AM$1004:$BM$1004,1,MATCH(COLUMNS($AM$1006:AY1006),$AM$1006:$BM$1006,0)))),"Fix")))</f>
        <v xml:space="preserve"> </v>
      </c>
      <c r="O575" s="4" t="str">
        <f ca="1">IF(OR(INDEX($AG$2:$AG$1001,MATCH(ROWS($AF$2:AF575),$AF$2:$AF$1001,0),1)&gt;=100000,INDEX($AM$1005:$BM$1005,1,MATCH(COLUMNS($AM$1006:AZ1006),$AM$1006:$BM$1006,0))&gt;=100000), " ",IF(INDEX($AM$2:$BM$1001,MATCH(ROWS($AF$2:AF575),$AF$2:$AF$1001,0),MATCH(COLUMNS($AM$1006:AZ1006),$AM$1006:$BM$1006,0)), HYPERLINK("#",""), HYPERLINK(CONCATENATE("#metadata!", ADDRESS(INDEX($AH$2:$AH$1001,MATCH(ROWS($AF$2:AF575),$AF$2:$AF$1001,0),0), INDEX($AM$1004:$BM$1004,1,MATCH(COLUMNS($AM$1006:AZ1006),$AM$1006:$BM$1006,0)))),"Fix")))</f>
        <v xml:space="preserve"> </v>
      </c>
      <c r="P575" s="4" t="str">
        <f ca="1">IF(OR(INDEX($AG$2:$AG$1001,MATCH(ROWS($AF$2:AF575),$AF$2:$AF$1001,0),1)&gt;=100000,INDEX($AM$1005:$BM$1005,1,MATCH(COLUMNS($AM$1006:BA1006),$AM$1006:$BM$1006,0))&gt;=100000), " ",IF(INDEX($AM$2:$BM$1001,MATCH(ROWS($AF$2:AF575),$AF$2:$AF$1001,0),MATCH(COLUMNS($AM$1006:BA1006),$AM$1006:$BM$1006,0)), HYPERLINK("#",""), HYPERLINK(CONCATENATE("#metadata!", ADDRESS(INDEX($AH$2:$AH$1001,MATCH(ROWS($AF$2:AF575),$AF$2:$AF$1001,0),0), INDEX($AM$1004:$BM$1004,1,MATCH(COLUMNS($AM$1006:BA1006),$AM$1006:$BM$1006,0)))),"Fix")))</f>
        <v xml:space="preserve"> </v>
      </c>
      <c r="Q575" s="4" t="str">
        <f ca="1">IF(OR(INDEX($AG$2:$AG$1001,MATCH(ROWS($AF$2:AF575),$AF$2:$AF$1001,0),1)&gt;=100000,INDEX($AM$1005:$BM$1005,1,MATCH(COLUMNS($AM$1006:BB1006),$AM$1006:$BM$1006,0))&gt;=100000), " ",IF(INDEX($AM$2:$BM$1001,MATCH(ROWS($AF$2:AF575),$AF$2:$AF$1001,0),MATCH(COLUMNS($AM$1006:BB1006),$AM$1006:$BM$1006,0)), HYPERLINK("#",""), HYPERLINK(CONCATENATE("#metadata!", ADDRESS(INDEX($AH$2:$AH$1001,MATCH(ROWS($AF$2:AF575),$AF$2:$AF$1001,0),0), INDEX($AM$1004:$BM$1004,1,MATCH(COLUMNS($AM$1006:BB1006),$AM$1006:$BM$1006,0)))),"Fix")))</f>
        <v xml:space="preserve"> </v>
      </c>
      <c r="R575" s="4" t="str">
        <f ca="1">IF(OR(INDEX($AG$2:$AG$1001,MATCH(ROWS($AF$2:AF575),$AF$2:$AF$1001,0),1)&gt;=100000,INDEX($AM$1005:$BM$1005,1,MATCH(COLUMNS($AM$1006:BC1006),$AM$1006:$BM$1006,0))&gt;=100000), " ",IF(INDEX($AM$2:$BM$1001,MATCH(ROWS($AF$2:AF575),$AF$2:$AF$1001,0),MATCH(COLUMNS($AM$1006:BC1006),$AM$1006:$BM$1006,0)), HYPERLINK("#",""), HYPERLINK(CONCATENATE("#metadata!", ADDRESS(INDEX($AH$2:$AH$1001,MATCH(ROWS($AF$2:AF575),$AF$2:$AF$1001,0),0), INDEX($AM$1004:$BM$1004,1,MATCH(COLUMNS($AM$1006:BC1006),$AM$1006:$BM$1006,0)))),"Fix")))</f>
        <v xml:space="preserve"> </v>
      </c>
      <c r="S575" s="4" t="str">
        <f ca="1">IF(OR(INDEX($AG$2:$AG$1001,MATCH(ROWS($AF$2:AF575),$AF$2:$AF$1001,0),1)&gt;=100000,INDEX($AM$1005:$BM$1005,1,MATCH(COLUMNS($AM$1006:BD1006),$AM$1006:$BM$1006,0))&gt;=100000), " ",IF(INDEX($AM$2:$BM$1001,MATCH(ROWS($AF$2:AF575),$AF$2:$AF$1001,0),MATCH(COLUMNS($AM$1006:BD1006),$AM$1006:$BM$1006,0)), HYPERLINK("#",""), HYPERLINK(CONCATENATE("#metadata!", ADDRESS(INDEX($AH$2:$AH$1001,MATCH(ROWS($AF$2:AF575),$AF$2:$AF$1001,0),0), INDEX($AM$1004:$BM$1004,1,MATCH(COLUMNS($AM$1006:BD1006),$AM$1006:$BM$1006,0)))),"Fix")))</f>
        <v xml:space="preserve"> </v>
      </c>
      <c r="T575" s="4" t="str">
        <f ca="1">IF(OR(INDEX($AG$2:$AG$1001,MATCH(ROWS($AF$2:AF575),$AF$2:$AF$1001,0),1)&gt;=100000,INDEX($AM$1005:$BM$1005,1,MATCH(COLUMNS($AM$1006:BE1006),$AM$1006:$BM$1006,0))&gt;=100000), " ",IF(INDEX($AM$2:$BM$1001,MATCH(ROWS($AF$2:AF575),$AF$2:$AF$1001,0),MATCH(COLUMNS($AM$1006:BE1006),$AM$1006:$BM$1006,0)), HYPERLINK("#",""), HYPERLINK(CONCATENATE("#metadata!", ADDRESS(INDEX($AH$2:$AH$1001,MATCH(ROWS($AF$2:AF575),$AF$2:$AF$1001,0),0), INDEX($AM$1004:$BM$1004,1,MATCH(COLUMNS($AM$1006:BE1006),$AM$1006:$BM$1006,0)))),"Fix")))</f>
        <v xml:space="preserve"> </v>
      </c>
      <c r="U575" s="4" t="str">
        <f ca="1">IF(OR(INDEX($AG$2:$AG$1001,MATCH(ROWS($AF$2:AF575),$AF$2:$AF$1001,0),1)&gt;=100000,INDEX($AM$1005:$BM$1005,1,MATCH(COLUMNS($AM$1006:BF1006),$AM$1006:$BM$1006,0))&gt;=100000), " ",IF(INDEX($AM$2:$BM$1001,MATCH(ROWS($AF$2:AF575),$AF$2:$AF$1001,0),MATCH(COLUMNS($AM$1006:BF1006),$AM$1006:$BM$1006,0)), HYPERLINK("#",""), HYPERLINK(CONCATENATE("#metadata!", ADDRESS(INDEX($AH$2:$AH$1001,MATCH(ROWS($AF$2:AF575),$AF$2:$AF$1001,0),0), INDEX($AM$1004:$BM$1004,1,MATCH(COLUMNS($AM$1006:BF1006),$AM$1006:$BM$1006,0)))),"Fix")))</f>
        <v xml:space="preserve"> </v>
      </c>
      <c r="V575" s="4" t="str">
        <f ca="1">IF(OR(INDEX($AG$2:$AG$1001,MATCH(ROWS($AF$2:AF575),$AF$2:$AF$1001,0),1)&gt;=100000,INDEX($AM$1005:$BM$1005,1,MATCH(COLUMNS($AM$1006:BG1006),$AM$1006:$BM$1006,0))&gt;=100000), " ",IF(INDEX($AM$2:$BM$1001,MATCH(ROWS($AF$2:AF575),$AF$2:$AF$1001,0),MATCH(COLUMNS($AM$1006:BG1006),$AM$1006:$BM$1006,0)), HYPERLINK("#",""), HYPERLINK(CONCATENATE("#metadata!", ADDRESS(INDEX($AH$2:$AH$1001,MATCH(ROWS($AF$2:AF575),$AF$2:$AF$1001,0),0), INDEX($AM$1004:$BM$1004,1,MATCH(COLUMNS($AM$1006:BG1006),$AM$1006:$BM$1006,0)))),"Fix")))</f>
        <v xml:space="preserve"> </v>
      </c>
      <c r="W575" s="4" t="str">
        <f ca="1">IF(OR(INDEX($AG$2:$AG$1001,MATCH(ROWS($AF$2:AF575),$AF$2:$AF$1001,0),1)&gt;=100000,INDEX($AM$1005:$BM$1005,1,MATCH(COLUMNS($AM$1006:BH1006),$AM$1006:$BM$1006,0))&gt;=100000), " ",IF(INDEX($AM$2:$BM$1001,MATCH(ROWS($AF$2:AF575),$AF$2:$AF$1001,0),MATCH(COLUMNS($AM$1006:BH1006),$AM$1006:$BM$1006,0)), HYPERLINK("#",""), HYPERLINK(CONCATENATE("#metadata!", ADDRESS(INDEX($AH$2:$AH$1001,MATCH(ROWS($AF$2:AF575),$AF$2:$AF$1001,0),0), INDEX($AM$1004:$BM$1004,1,MATCH(COLUMNS($AM$1006:BH1006),$AM$1006:$BM$1006,0)))),"Fix")))</f>
        <v xml:space="preserve"> </v>
      </c>
      <c r="X575" s="4" t="str">
        <f ca="1">IF(OR(INDEX($AG$2:$AG$1001,MATCH(ROWS($AF$2:AF575),$AF$2:$AF$1001,0),1)&gt;=100000,INDEX($AM$1005:$BM$1005,1,MATCH(COLUMNS($AM$1006:BI1006),$AM$1006:$BM$1006,0))&gt;=100000), " ",IF(INDEX($AM$2:$BM$1001,MATCH(ROWS($AF$2:AF575),$AF$2:$AF$1001,0),MATCH(COLUMNS($AM$1006:BI1006),$AM$1006:$BM$1006,0)), HYPERLINK("#",""), HYPERLINK(CONCATENATE("#metadata!", ADDRESS(INDEX($AH$2:$AH$1001,MATCH(ROWS($AF$2:AF575),$AF$2:$AF$1001,0),0), INDEX($AM$1004:$BM$1004,1,MATCH(COLUMNS($AM$1006:BI1006),$AM$1006:$BM$1006,0)))),"Fix")))</f>
        <v xml:space="preserve"> </v>
      </c>
      <c r="Y575" s="4" t="str">
        <f ca="1">IF(OR(INDEX($AG$2:$AG$1001,MATCH(ROWS($AF$2:AF575),$AF$2:$AF$1001,0),1)&gt;=100000,INDEX($AM$1005:$BM$1005,1,MATCH(COLUMNS($AM$1006:BJ1006),$AM$1006:$BM$1006,0))&gt;=100000), " ",IF(INDEX($AM$2:$BM$1001,MATCH(ROWS($AF$2:AF575),$AF$2:$AF$1001,0),MATCH(COLUMNS($AM$1006:BJ1006),$AM$1006:$BM$1006,0)), HYPERLINK("#",""), HYPERLINK(CONCATENATE("#metadata!", ADDRESS(INDEX($AH$2:$AH$1001,MATCH(ROWS($AF$2:AF575),$AF$2:$AF$1001,0),0), INDEX($AM$1004:$BM$1004,1,MATCH(COLUMNS($AM$1006:BJ1006),$AM$1006:$BM$1006,0)))),"Fix")))</f>
        <v xml:space="preserve"> </v>
      </c>
      <c r="Z575" s="4" t="str">
        <f ca="1">IF(OR(INDEX($AG$2:$AG$1001,MATCH(ROWS($AF$2:AF575),$AF$2:$AF$1001,0),1)&gt;=100000,INDEX($AM$1005:$BM$1005,1,MATCH(COLUMNS($AM$1006:BK1006),$AM$1006:$BM$1006,0))&gt;=100000), " ",IF(INDEX($AM$2:$BM$1001,MATCH(ROWS($AF$2:AF575),$AF$2:$AF$1001,0),MATCH(COLUMNS($AM$1006:BK1006),$AM$1006:$BM$1006,0)), HYPERLINK("#",""), HYPERLINK(CONCATENATE("#metadata!", ADDRESS(INDEX($AH$2:$AH$1001,MATCH(ROWS($AF$2:AF575),$AF$2:$AF$1001,0),0), INDEX($AM$1004:$BM$1004,1,MATCH(COLUMNS($AM$1006:BK1006),$AM$1006:$BM$1006,0)))),"Fix")))</f>
        <v xml:space="preserve"> </v>
      </c>
      <c r="AA575" s="4" t="str">
        <f ca="1">IF(OR(INDEX($AG$2:$AG$1001,MATCH(ROWS($AF$2:AF575),$AF$2:$AF$1001,0),1)&gt;=100000,INDEX($AM$1005:$BM$1005,1,MATCH(COLUMNS($AM$1006:BL1006),$AM$1006:$BM$1006,0))&gt;=100000), " ",IF(INDEX($AM$2:$BM$1001,MATCH(ROWS($AF$2:AF575),$AF$2:$AF$1001,0),MATCH(COLUMNS($AM$1006:BL1006),$AM$1006:$BM$1006,0)), HYPERLINK("#",""), HYPERLINK(CONCATENATE("#metadata!", ADDRESS(INDEX($AH$2:$AH$1001,MATCH(ROWS($AF$2:AF575),$AF$2:$AF$1001,0),0), INDEX($AM$1004:$BM$1004,1,MATCH(COLUMNS($AM$1006:BL1006),$AM$1006:$BM$1006,0)))),"Fix")))</f>
        <v xml:space="preserve"> </v>
      </c>
      <c r="AB575" s="4" t="str">
        <f ca="1">IF(OR(INDEX($AG$2:$AG$1001,MATCH(ROWS($AF$2:AF575),$AF$2:$AF$1001,0),1)&gt;=100000,INDEX($AM$1005:$BM$1005,1,MATCH(COLUMNS($AM$1006:BM1006),$AM$1006:$BM$1006,0))&gt;=100000), " ",IF(INDEX($AM$2:$BM$1001,MATCH(ROWS($AF$2:AF575),$AF$2:$AF$1001,0),MATCH(COLUMNS($AM$1006:BM1006),$AM$1006:$BM$1006,0)), HYPERLINK("#",""), HYPERLINK(CONCATENATE("#metadata!", ADDRESS(INDEX($AH$2:$AH$1001,MATCH(ROWS($AF$2:AF575),$AF$2:$AF$1001,0),0), INDEX($AM$1004:$BM$1004,1,MATCH(COLUMNS($AM$1006:BM1006),$AM$1006:$BM$1006,0)))),"Fix")))</f>
        <v xml:space="preserve"> </v>
      </c>
      <c r="AF575">
        <v>574</v>
      </c>
      <c r="AG575">
        <v>100575</v>
      </c>
      <c r="AH575">
        <v>575</v>
      </c>
      <c r="AI575" t="b">
        <f t="shared" si="8"/>
        <v>1</v>
      </c>
      <c r="AJ575" t="b">
        <f>COUNTBLANK(metadata!B575:AB575)=COLUMNS(metadata!B575:AB575)</f>
        <v>1</v>
      </c>
      <c r="AK575" t="str">
        <v/>
      </c>
      <c r="AM575" t="b">
        <f ca="1">AND(IF(metadata!B575="",FALSE,TRUE),COUNTIF(metadata!B:B, metadata!B575) = 1,NOT(ISERROR(SUMPRODUCT(SEARCH(MID(metadata!B575,ROW(INDIRECT("1:"&amp;LEN(metadata!B575))), 1),"0123456789abcdefghijklmnopqrstuvwxyzABCDEFGHIJKLMNOPQRSTUVWXYZ.")))))</f>
        <v>0</v>
      </c>
      <c r="AN575" t="b">
        <f ca="1">OR(AND(IF(metadata!C575="",FALSE,TRUE),OR(EXACT(metadata!C575,"missing: not collected"),EXACT(metadata!C575,"missing: not provided"),EXACT(metadata!C575,"missing: restricted access"))),AND(IF(metadata!C575="",FALSE,TRUE),AND(AND(IFERROR(INT(LEFT(metadata!C575,4))&gt;1900,FALSE),IFERROR(INT(LEFT(metadata!C575,4))&lt;=YEAR(NOW()),FALSE)), OR(MID(metadata!C575,5,1)="", AND(AND(MID(metadata!C575,5,1)="-",IFERROR(INT(MID(metadata!C575,6,1))&gt;=0,FALSE),IFERROR(INT(MID(metadata!C575,6,1))&lt;=1,FALSE),NOT(MID(metadata!C575,7,1)=""),IFERROR(INT(MID(metadata!C575,6,2))&gt;=1,FALSE),IFERROR(INT(MID(metadata!C575,6,2))&lt;=12,FALSE)), OR(MID(metadata!C575,8,1)="", AND(AND(MID(metadata!C575,8,1)="-",IFERROR(INT(MID(metadata!C575,9,1))&gt;=0,FALSE),IFERROR(INT(MID(metadata!C575,9,1))&lt;=3,FALSE),NOT(MID(metadata!C575,10,1)=""),IFERROR(INT(MID(metadata!C575,9,2))&gt;=1,FALSE),IFERROR(INT(MID(metadata!C575,9,2))&lt;=31,FALSE)), OR(MID(metadata!C575,11,1)="", AND(AND(MID(metadata!C575,11,1)=" ",IFERROR(INT(MID(metadata!C575,12,1))&gt;=0,FALSE),IFERROR(INT(MID(metadata!C575,12,1))&lt;=2,FALSE),NOT(MID(metadata!C575,13,1)=""),IFERROR(INT(MID(metadata!C575,12,2))&gt;=0,FALSE),IFERROR(INT(MID(metadata!C575,12,2))&lt;=23,FALSE)), OR(MID(metadata!C575,14,1)="", AND(AND(MID(metadata!C575,14,1)=":",IFERROR(INT(MID(metadata!C575,15,1))&gt;=0,FALSE),IFERROR(INT(MID(metadata!C575,15,1))&lt;=5,FALSE),NOT(MID(metadata!C575,16,1)=""),IFERROR(INT(MID(metadata!C575,15,2))&gt;=0,FALSE),IFERROR(INT(MID(metadata!C575,15,2))&lt;=59,FALSE)), OR(MID(metadata!C575,17,1)="", AND(AND(MID(metadata!C575,17,1)=":",IFERROR(INT(MID(metadata!C575,18,1))&gt;=0,FALSE),IFERROR(INT(MID(metadata!C575,18,1))&lt;=5,FALSE),NOT(MID(metadata!C575,19,1)=""),IFERROR(INT(MID(metadata!C575,18,2))&gt;=0,FALSE),IFERROR(INT(MID(metadata!C575,18,2))&lt;=59,FALSE)), LEN(metadata!C575)&lt;=19)))))))))))))</f>
        <v>0</v>
      </c>
      <c r="AO575" t="b">
        <f>AND(IF(metadata!D575="",FALSE,TRUE),EXACT(metadata!D575,"Not applicable"))</f>
        <v>0</v>
      </c>
      <c r="AP575" t="b">
        <f>IF(metadata!E575="",FALSE,TRUE)</f>
        <v>0</v>
      </c>
      <c r="AQ575" t="b">
        <f>OR(AND(IF(metadata!F575="",FALSE,TRUE),OR(EXACT(metadata!F575,"missing: not collected"),EXACT(metadata!F575,"missing: not provided"))),AND(IF(metadata!F575="",FALSE,TRUE),OR(EXACT(metadata!F575,"TRUE"),EXACT(metadata!F575,"FALSE"))))</f>
        <v>0</v>
      </c>
      <c r="AR575" t="b">
        <f>OR(AND(IF(metadata!G575="",FALSE,TRUE),OR(EXACT(metadata!G575,"missing: not collected"),EXACT(metadata!G575,"missing: not provided"),EXACT(metadata!G575,"missing: restricted access"))),AND(IF(metadata!G575="",FALSE,ISNUMBER(VALUE(metadata!G575))),metadata!G575&gt;=-413))</f>
        <v>0</v>
      </c>
      <c r="AS575" t="b">
        <f>AND(IF(metadata!H575="",FALSE,TRUE),EXACT(metadata!H575,"meters"))</f>
        <v>0</v>
      </c>
      <c r="AT575" t="b">
        <f>AND(IF(metadata!I575="",FALSE,TRUE),OR(EXACT(metadata!I575,"Host-associated"),EXACT(metadata!I575,"Free-living")))</f>
        <v>0</v>
      </c>
      <c r="AU575" t="b">
        <f>AND(IF(metadata!J575="",FALSE,TRUE),OR(EXACT(metadata!J575,"Animal"),EXACT(metadata!J575,"Fungus"),EXACT(metadata!J575,"Plant"),EXACT(metadata!J575,"Saline"),EXACT(metadata!J575,"Non-saline")))</f>
        <v>0</v>
      </c>
      <c r="AV575" t="b">
        <f>AND(IF(metadata!K575="",FALSE,TRUE),OR(EXACT(metadata!K575,"Plant secretion"),EXACT(metadata!K575,"Plant rhizosphere"),EXACT(metadata!K575,"Plant surface"),EXACT(metadata!K575,"Plant corpus"),EXACT(metadata!K575,"Fungus surface"),EXACT(metadata!K575,"Fungus corpus"),EXACT(metadata!K575,"Animal surface"),EXACT(metadata!K575,"Animal proximal gut"),EXACT(metadata!K575,"Animal corpus"),EXACT(metadata!K575,"Animal distal gut"),EXACT(metadata!K575,"Animal secretion"),EXACT(metadata!K575,"Sub-surface (non-saline)"),EXACT(metadata!K575,"Surface (non-saline)"),EXACT(metadata!K575,"Water (non-saline)"),EXACT(metadata!K575,"Soil (non-saline)"),EXACT(metadata!K575,"Aerosol (non-saline)"),EXACT(metadata!K575,"Sediment (non-saline)"),EXACT(metadata!K575,"Surface (saline)"),EXACT(metadata!K575,"Water (saline)"),EXACT(metadata!K575,"Hypersaline (saline)"),EXACT(metadata!K575,"Aerosol (saline)"),EXACT(metadata!K575,"Sediment (saline)")))</f>
        <v>0</v>
      </c>
      <c r="AW575" t="b">
        <f>IF(metadata!L575="",FALSE,TRUE)</f>
        <v>0</v>
      </c>
      <c r="AX575" t="b">
        <f>IF(metadata!M575="",FALSE,TRUE)</f>
        <v>0</v>
      </c>
      <c r="AY575" t="b">
        <f>IF(metadata!N575="",FALSE,TRUE)</f>
        <v>0</v>
      </c>
      <c r="AZ575" t="b">
        <f>OR(AND(IF(metadata!O575="",FALSE,TRUE),OR(EXACT(metadata!O575,"missing: not collected"),EXACT(metadata!O575,"missing: not provided"),EXACT(metadata!O575,"missing: restricted access"))),AND(IF(metadata!O575="",FALSE,TRUE),OR(EXACT(metadata!O575,"air"),EXACT(metadata!O575,"built environment"),EXACT(metadata!O575,"host-associated"),EXACT(metadata!O575,"human-associated"),EXACT(metadata!O575,"human-skin"),EXACT(metadata!O575,"human-oral"),EXACT(metadata!O575,"human-gut"),EXACT(metadata!O575,"human-vaginal"),EXACT(metadata!O575,"microbial mat/biofilm"),EXACT(metadata!O575,"misc environment"),EXACT(metadata!O575,"plant-associated"),EXACT(metadata!O575,"sediment"),EXACT(metadata!O575,"soil"),EXACT(metadata!O575,"wastewater/sludge"),EXACT(metadata!O575,"water"))))</f>
        <v>0</v>
      </c>
      <c r="BA575" t="b">
        <f>IF(metadata!P575="",FALSE,TRUE)</f>
        <v>0</v>
      </c>
      <c r="BB575" t="b">
        <f>IF(metadata!Q575="",FALSE,TRUE)</f>
        <v>0</v>
      </c>
      <c r="BC575" t="b">
        <f>OR(AND(IF(metadata!R575="",FALSE,TRUE),OR(EXACT(metadata!R575,"missing: not collected"),EXACT(metadata!R575,"missing: not provided"),EXACT(metadata!R575,"missing: restricted access"))),AND(IF(metadata!R575="",FALSE,ISNUMBER(VALUE(metadata!R575))),metadata!R575&gt;=-90,metadata!R575&lt;=90))</f>
        <v>0</v>
      </c>
      <c r="BD575" t="b">
        <f>AND(IF(metadata!S575="",FALSE,TRUE),EXACT(metadata!S575,"Decimal degrees"))</f>
        <v>0</v>
      </c>
      <c r="BE575" t="b">
        <f>OR(AND(IF(metadata!T575="",FALSE,TRUE),OR(EXACT(metadata!T575,"missing: not collected"),EXACT(metadata!T575,"missing: not provided"),EXACT(metadata!T575,"missing: restricted access"))),AND(IF(metadata!T575="",FALSE,ISNUMBER(VALUE(metadata!T575))),metadata!T575&gt;=-180,metadata!T575&lt;=180))</f>
        <v>0</v>
      </c>
      <c r="BF575" t="b">
        <f>AND(IF(metadata!U575="",FALSE,TRUE),EXACT(metadata!U575,"Decimal degrees"))</f>
        <v>0</v>
      </c>
      <c r="BG575" t="b">
        <f>IF(metadata!V575="",FALSE,TRUE)</f>
        <v>0</v>
      </c>
      <c r="BH575" t="b">
        <f>OR(AND(IF(metadata!W575="",FALSE,TRUE),OR(EXACT(metadata!W575,"missing: not collected"),EXACT(metadata!W575,"missing: not provided"),EXACT(metadata!W575,"missing: restricted access"))),AND(IF(metadata!W575="",FALSE,TRUE),OR(EXACT(metadata!W575,"TRUE"),EXACT(metadata!W575,"FALSE"))))</f>
        <v>0</v>
      </c>
      <c r="BI575" t="b">
        <f>AND(IF(metadata!X575="",FALSE,TRUE),EXACT(metadata!X575,"other"))</f>
        <v>0</v>
      </c>
      <c r="BJ575" t="b">
        <f>IF(metadata!Y575="",FALSE,TRUE)</f>
        <v>0</v>
      </c>
      <c r="BK575" t="b">
        <f>OR(AND(IF(metadata!Z575="",FALSE,TRUE),OR(EXACT(metadata!Z575,"missing: not collected"),EXACT(metadata!Z575,"missing: not provided"))),AND(IF(metadata!Z575="",FALSE,IF(ISERROR(INT(metadata!Z575)),FALSE,INT(metadata!Z575)=metadata!Z575)),metadata!Z575&gt;0))</f>
        <v>0</v>
      </c>
      <c r="BL575" t="b">
        <f>AND(IF(metadata!AA575="",FALSE,TRUE),EXACT(metadata!AA575,"Not applicable"))</f>
        <v>0</v>
      </c>
      <c r="BM575" t="b">
        <f>IF(metadata!AB575="",FALSE,TRUE)</f>
        <v>0</v>
      </c>
    </row>
    <row r="576" spans="1:65" x14ac:dyDescent="0.2">
      <c r="A576" s="5" t="str">
        <f ca="1">IF(B576=" "," ",HYPERLINK(CONCATENATE("#metadata!",ADDRESS(INDEX($AH$2:$AH$1001,MATCH(ROWS($AF$2:AF576),$AF$2:$AF$1001,0),0),1)),INDEX($AK$2:$AK$1001,MATCH(ROWS($AF$2:AF576),$AF$2:$AF$1001,0),0)))</f>
        <v xml:space="preserve"> </v>
      </c>
      <c r="B576" s="4" t="str">
        <f ca="1">IF(OR(INDEX($AG$2:$AG$1001,MATCH(ROWS($AF$2:AF576),$AF$2:$AF$1001,0),1)&gt;=100000,INDEX($AM$1005:$BM$1005,1,MATCH(COLUMNS($AM$1006:AM1006),$AM$1006:$BM$1006,0))&gt;=100000), " ",IF(INDEX($AM$2:$BM$1001,MATCH(ROWS($AF$2:AF576),$AF$2:$AF$1001,0),MATCH(COLUMNS($AM$1006:AM1006),$AM$1006:$BM$1006,0)), HYPERLINK("#",""), HYPERLINK(CONCATENATE("#metadata!", ADDRESS(INDEX($AH$2:$AH$1001,MATCH(ROWS($AF$2:AF576),$AF$2:$AF$1001,0),0), INDEX($AM$1004:$BM$1004,1,MATCH(COLUMNS($AM$1006:AM1006),$AM$1006:$BM$1006,0)))),"Fix")))</f>
        <v xml:space="preserve"> </v>
      </c>
      <c r="C576" s="4" t="str">
        <f ca="1">IF(OR(INDEX($AG$2:$AG$1001,MATCH(ROWS($AF$2:AF576),$AF$2:$AF$1001,0),1)&gt;=100000,INDEX($AM$1005:$BM$1005,1,MATCH(COLUMNS($AM$1006:AN1006),$AM$1006:$BM$1006,0))&gt;=100000), " ",IF(INDEX($AM$2:$BM$1001,MATCH(ROWS($AF$2:AF576),$AF$2:$AF$1001,0),MATCH(COLUMNS($AM$1006:AN1006),$AM$1006:$BM$1006,0)), HYPERLINK("#",""), HYPERLINK(CONCATENATE("#metadata!", ADDRESS(INDEX($AH$2:$AH$1001,MATCH(ROWS($AF$2:AF576),$AF$2:$AF$1001,0),0), INDEX($AM$1004:$BM$1004,1,MATCH(COLUMNS($AM$1006:AN1006),$AM$1006:$BM$1006,0)))),"Fix")))</f>
        <v xml:space="preserve"> </v>
      </c>
      <c r="D576" s="4" t="str">
        <f ca="1">IF(OR(INDEX($AG$2:$AG$1001,MATCH(ROWS($AF$2:AF576),$AF$2:$AF$1001,0),1)&gt;=100000,INDEX($AM$1005:$BM$1005,1,MATCH(COLUMNS($AM$1006:AO1006),$AM$1006:$BM$1006,0))&gt;=100000), " ",IF(INDEX($AM$2:$BM$1001,MATCH(ROWS($AF$2:AF576),$AF$2:$AF$1001,0),MATCH(COLUMNS($AM$1006:AO1006),$AM$1006:$BM$1006,0)), HYPERLINK("#",""), HYPERLINK(CONCATENATE("#metadata!", ADDRESS(INDEX($AH$2:$AH$1001,MATCH(ROWS($AF$2:AF576),$AF$2:$AF$1001,0),0), INDEX($AM$1004:$BM$1004,1,MATCH(COLUMNS($AM$1006:AO1006),$AM$1006:$BM$1006,0)))),"Fix")))</f>
        <v xml:space="preserve"> </v>
      </c>
      <c r="E576" s="4" t="str">
        <f ca="1">IF(OR(INDEX($AG$2:$AG$1001,MATCH(ROWS($AF$2:AF576),$AF$2:$AF$1001,0),1)&gt;=100000,INDEX($AM$1005:$BM$1005,1,MATCH(COLUMNS($AM$1006:AP1006),$AM$1006:$BM$1006,0))&gt;=100000), " ",IF(INDEX($AM$2:$BM$1001,MATCH(ROWS($AF$2:AF576),$AF$2:$AF$1001,0),MATCH(COLUMNS($AM$1006:AP1006),$AM$1006:$BM$1006,0)), HYPERLINK("#",""), HYPERLINK(CONCATENATE("#metadata!", ADDRESS(INDEX($AH$2:$AH$1001,MATCH(ROWS($AF$2:AF576),$AF$2:$AF$1001,0),0), INDEX($AM$1004:$BM$1004,1,MATCH(COLUMNS($AM$1006:AP1006),$AM$1006:$BM$1006,0)))),"Fix")))</f>
        <v xml:space="preserve"> </v>
      </c>
      <c r="F576" s="4" t="str">
        <f ca="1">IF(OR(INDEX($AG$2:$AG$1001,MATCH(ROWS($AF$2:AF576),$AF$2:$AF$1001,0),1)&gt;=100000,INDEX($AM$1005:$BM$1005,1,MATCH(COLUMNS($AM$1006:AQ1006),$AM$1006:$BM$1006,0))&gt;=100000), " ",IF(INDEX($AM$2:$BM$1001,MATCH(ROWS($AF$2:AF576),$AF$2:$AF$1001,0),MATCH(COLUMNS($AM$1006:AQ1006),$AM$1006:$BM$1006,0)), HYPERLINK("#",""), HYPERLINK(CONCATENATE("#metadata!", ADDRESS(INDEX($AH$2:$AH$1001,MATCH(ROWS($AF$2:AF576),$AF$2:$AF$1001,0),0), INDEX($AM$1004:$BM$1004,1,MATCH(COLUMNS($AM$1006:AQ1006),$AM$1006:$BM$1006,0)))),"Fix")))</f>
        <v xml:space="preserve"> </v>
      </c>
      <c r="G576" s="4" t="str">
        <f ca="1">IF(OR(INDEX($AG$2:$AG$1001,MATCH(ROWS($AF$2:AF576),$AF$2:$AF$1001,0),1)&gt;=100000,INDEX($AM$1005:$BM$1005,1,MATCH(COLUMNS($AM$1006:AR1006),$AM$1006:$BM$1006,0))&gt;=100000), " ",IF(INDEX($AM$2:$BM$1001,MATCH(ROWS($AF$2:AF576),$AF$2:$AF$1001,0),MATCH(COLUMNS($AM$1006:AR1006),$AM$1006:$BM$1006,0)), HYPERLINK("#",""), HYPERLINK(CONCATENATE("#metadata!", ADDRESS(INDEX($AH$2:$AH$1001,MATCH(ROWS($AF$2:AF576),$AF$2:$AF$1001,0),0), INDEX($AM$1004:$BM$1004,1,MATCH(COLUMNS($AM$1006:AR1006),$AM$1006:$BM$1006,0)))),"Fix")))</f>
        <v xml:space="preserve"> </v>
      </c>
      <c r="H576" s="4" t="str">
        <f ca="1">IF(OR(INDEX($AG$2:$AG$1001,MATCH(ROWS($AF$2:AF576),$AF$2:$AF$1001,0),1)&gt;=100000,INDEX($AM$1005:$BM$1005,1,MATCH(COLUMNS($AM$1006:AS1006),$AM$1006:$BM$1006,0))&gt;=100000), " ",IF(INDEX($AM$2:$BM$1001,MATCH(ROWS($AF$2:AF576),$AF$2:$AF$1001,0),MATCH(COLUMNS($AM$1006:AS1006),$AM$1006:$BM$1006,0)), HYPERLINK("#",""), HYPERLINK(CONCATENATE("#metadata!", ADDRESS(INDEX($AH$2:$AH$1001,MATCH(ROWS($AF$2:AF576),$AF$2:$AF$1001,0),0), INDEX($AM$1004:$BM$1004,1,MATCH(COLUMNS($AM$1006:AS1006),$AM$1006:$BM$1006,0)))),"Fix")))</f>
        <v xml:space="preserve"> </v>
      </c>
      <c r="I576" s="4" t="str">
        <f ca="1">IF(OR(INDEX($AG$2:$AG$1001,MATCH(ROWS($AF$2:AF576),$AF$2:$AF$1001,0),1)&gt;=100000,INDEX($AM$1005:$BM$1005,1,MATCH(COLUMNS($AM$1006:AT1006),$AM$1006:$BM$1006,0))&gt;=100000), " ",IF(INDEX($AM$2:$BM$1001,MATCH(ROWS($AF$2:AF576),$AF$2:$AF$1001,0),MATCH(COLUMNS($AM$1006:AT1006),$AM$1006:$BM$1006,0)), HYPERLINK("#",""), HYPERLINK(CONCATENATE("#metadata!", ADDRESS(INDEX($AH$2:$AH$1001,MATCH(ROWS($AF$2:AF576),$AF$2:$AF$1001,0),0), INDEX($AM$1004:$BM$1004,1,MATCH(COLUMNS($AM$1006:AT1006),$AM$1006:$BM$1006,0)))),"Fix")))</f>
        <v xml:space="preserve"> </v>
      </c>
      <c r="J576" s="4" t="str">
        <f ca="1">IF(OR(INDEX($AG$2:$AG$1001,MATCH(ROWS($AF$2:AF576),$AF$2:$AF$1001,0),1)&gt;=100000,INDEX($AM$1005:$BM$1005,1,MATCH(COLUMNS($AM$1006:AU1006),$AM$1006:$BM$1006,0))&gt;=100000), " ",IF(INDEX($AM$2:$BM$1001,MATCH(ROWS($AF$2:AF576),$AF$2:$AF$1001,0),MATCH(COLUMNS($AM$1006:AU1006),$AM$1006:$BM$1006,0)), HYPERLINK("#",""), HYPERLINK(CONCATENATE("#metadata!", ADDRESS(INDEX($AH$2:$AH$1001,MATCH(ROWS($AF$2:AF576),$AF$2:$AF$1001,0),0), INDEX($AM$1004:$BM$1004,1,MATCH(COLUMNS($AM$1006:AU1006),$AM$1006:$BM$1006,0)))),"Fix")))</f>
        <v xml:space="preserve"> </v>
      </c>
      <c r="K576" s="4" t="str">
        <f ca="1">IF(OR(INDEX($AG$2:$AG$1001,MATCH(ROWS($AF$2:AF576),$AF$2:$AF$1001,0),1)&gt;=100000,INDEX($AM$1005:$BM$1005,1,MATCH(COLUMNS($AM$1006:AV1006),$AM$1006:$BM$1006,0))&gt;=100000), " ",IF(INDEX($AM$2:$BM$1001,MATCH(ROWS($AF$2:AF576),$AF$2:$AF$1001,0),MATCH(COLUMNS($AM$1006:AV1006),$AM$1006:$BM$1006,0)), HYPERLINK("#",""), HYPERLINK(CONCATENATE("#metadata!", ADDRESS(INDEX($AH$2:$AH$1001,MATCH(ROWS($AF$2:AF576),$AF$2:$AF$1001,0),0), INDEX($AM$1004:$BM$1004,1,MATCH(COLUMNS($AM$1006:AV1006),$AM$1006:$BM$1006,0)))),"Fix")))</f>
        <v xml:space="preserve"> </v>
      </c>
      <c r="L576" s="4" t="str">
        <f ca="1">IF(OR(INDEX($AG$2:$AG$1001,MATCH(ROWS($AF$2:AF576),$AF$2:$AF$1001,0),1)&gt;=100000,INDEX($AM$1005:$BM$1005,1,MATCH(COLUMNS($AM$1006:AW1006),$AM$1006:$BM$1006,0))&gt;=100000), " ",IF(INDEX($AM$2:$BM$1001,MATCH(ROWS($AF$2:AF576),$AF$2:$AF$1001,0),MATCH(COLUMNS($AM$1006:AW1006),$AM$1006:$BM$1006,0)), HYPERLINK("#",""), HYPERLINK(CONCATENATE("#metadata!", ADDRESS(INDEX($AH$2:$AH$1001,MATCH(ROWS($AF$2:AF576),$AF$2:$AF$1001,0),0), INDEX($AM$1004:$BM$1004,1,MATCH(COLUMNS($AM$1006:AW1006),$AM$1006:$BM$1006,0)))),"Fix")))</f>
        <v xml:space="preserve"> </v>
      </c>
      <c r="M576" s="4" t="str">
        <f ca="1">IF(OR(INDEX($AG$2:$AG$1001,MATCH(ROWS($AF$2:AF576),$AF$2:$AF$1001,0),1)&gt;=100000,INDEX($AM$1005:$BM$1005,1,MATCH(COLUMNS($AM$1006:AX1006),$AM$1006:$BM$1006,0))&gt;=100000), " ",IF(INDEX($AM$2:$BM$1001,MATCH(ROWS($AF$2:AF576),$AF$2:$AF$1001,0),MATCH(COLUMNS($AM$1006:AX1006),$AM$1006:$BM$1006,0)), HYPERLINK("#",""), HYPERLINK(CONCATENATE("#metadata!", ADDRESS(INDEX($AH$2:$AH$1001,MATCH(ROWS($AF$2:AF576),$AF$2:$AF$1001,0),0), INDEX($AM$1004:$BM$1004,1,MATCH(COLUMNS($AM$1006:AX1006),$AM$1006:$BM$1006,0)))),"Fix")))</f>
        <v xml:space="preserve"> </v>
      </c>
      <c r="N576" s="4" t="str">
        <f ca="1">IF(OR(INDEX($AG$2:$AG$1001,MATCH(ROWS($AF$2:AF576),$AF$2:$AF$1001,0),1)&gt;=100000,INDEX($AM$1005:$BM$1005,1,MATCH(COLUMNS($AM$1006:AY1006),$AM$1006:$BM$1006,0))&gt;=100000), " ",IF(INDEX($AM$2:$BM$1001,MATCH(ROWS($AF$2:AF576),$AF$2:$AF$1001,0),MATCH(COLUMNS($AM$1006:AY1006),$AM$1006:$BM$1006,0)), HYPERLINK("#",""), HYPERLINK(CONCATENATE("#metadata!", ADDRESS(INDEX($AH$2:$AH$1001,MATCH(ROWS($AF$2:AF576),$AF$2:$AF$1001,0),0), INDEX($AM$1004:$BM$1004,1,MATCH(COLUMNS($AM$1006:AY1006),$AM$1006:$BM$1006,0)))),"Fix")))</f>
        <v xml:space="preserve"> </v>
      </c>
      <c r="O576" s="4" t="str">
        <f ca="1">IF(OR(INDEX($AG$2:$AG$1001,MATCH(ROWS($AF$2:AF576),$AF$2:$AF$1001,0),1)&gt;=100000,INDEX($AM$1005:$BM$1005,1,MATCH(COLUMNS($AM$1006:AZ1006),$AM$1006:$BM$1006,0))&gt;=100000), " ",IF(INDEX($AM$2:$BM$1001,MATCH(ROWS($AF$2:AF576),$AF$2:$AF$1001,0),MATCH(COLUMNS($AM$1006:AZ1006),$AM$1006:$BM$1006,0)), HYPERLINK("#",""), HYPERLINK(CONCATENATE("#metadata!", ADDRESS(INDEX($AH$2:$AH$1001,MATCH(ROWS($AF$2:AF576),$AF$2:$AF$1001,0),0), INDEX($AM$1004:$BM$1004,1,MATCH(COLUMNS($AM$1006:AZ1006),$AM$1006:$BM$1006,0)))),"Fix")))</f>
        <v xml:space="preserve"> </v>
      </c>
      <c r="P576" s="4" t="str">
        <f ca="1">IF(OR(INDEX($AG$2:$AG$1001,MATCH(ROWS($AF$2:AF576),$AF$2:$AF$1001,0),1)&gt;=100000,INDEX($AM$1005:$BM$1005,1,MATCH(COLUMNS($AM$1006:BA1006),$AM$1006:$BM$1006,0))&gt;=100000), " ",IF(INDEX($AM$2:$BM$1001,MATCH(ROWS($AF$2:AF576),$AF$2:$AF$1001,0),MATCH(COLUMNS($AM$1006:BA1006),$AM$1006:$BM$1006,0)), HYPERLINK("#",""), HYPERLINK(CONCATENATE("#metadata!", ADDRESS(INDEX($AH$2:$AH$1001,MATCH(ROWS($AF$2:AF576),$AF$2:$AF$1001,0),0), INDEX($AM$1004:$BM$1004,1,MATCH(COLUMNS($AM$1006:BA1006),$AM$1006:$BM$1006,0)))),"Fix")))</f>
        <v xml:space="preserve"> </v>
      </c>
      <c r="Q576" s="4" t="str">
        <f ca="1">IF(OR(INDEX($AG$2:$AG$1001,MATCH(ROWS($AF$2:AF576),$AF$2:$AF$1001,0),1)&gt;=100000,INDEX($AM$1005:$BM$1005,1,MATCH(COLUMNS($AM$1006:BB1006),$AM$1006:$BM$1006,0))&gt;=100000), " ",IF(INDEX($AM$2:$BM$1001,MATCH(ROWS($AF$2:AF576),$AF$2:$AF$1001,0),MATCH(COLUMNS($AM$1006:BB1006),$AM$1006:$BM$1006,0)), HYPERLINK("#",""), HYPERLINK(CONCATENATE("#metadata!", ADDRESS(INDEX($AH$2:$AH$1001,MATCH(ROWS($AF$2:AF576),$AF$2:$AF$1001,0),0), INDEX($AM$1004:$BM$1004,1,MATCH(COLUMNS($AM$1006:BB1006),$AM$1006:$BM$1006,0)))),"Fix")))</f>
        <v xml:space="preserve"> </v>
      </c>
      <c r="R576" s="4" t="str">
        <f ca="1">IF(OR(INDEX($AG$2:$AG$1001,MATCH(ROWS($AF$2:AF576),$AF$2:$AF$1001,0),1)&gt;=100000,INDEX($AM$1005:$BM$1005,1,MATCH(COLUMNS($AM$1006:BC1006),$AM$1006:$BM$1006,0))&gt;=100000), " ",IF(INDEX($AM$2:$BM$1001,MATCH(ROWS($AF$2:AF576),$AF$2:$AF$1001,0),MATCH(COLUMNS($AM$1006:BC1006),$AM$1006:$BM$1006,0)), HYPERLINK("#",""), HYPERLINK(CONCATENATE("#metadata!", ADDRESS(INDEX($AH$2:$AH$1001,MATCH(ROWS($AF$2:AF576),$AF$2:$AF$1001,0),0), INDEX($AM$1004:$BM$1004,1,MATCH(COLUMNS($AM$1006:BC1006),$AM$1006:$BM$1006,0)))),"Fix")))</f>
        <v xml:space="preserve"> </v>
      </c>
      <c r="S576" s="4" t="str">
        <f ca="1">IF(OR(INDEX($AG$2:$AG$1001,MATCH(ROWS($AF$2:AF576),$AF$2:$AF$1001,0),1)&gt;=100000,INDEX($AM$1005:$BM$1005,1,MATCH(COLUMNS($AM$1006:BD1006),$AM$1006:$BM$1006,0))&gt;=100000), " ",IF(INDEX($AM$2:$BM$1001,MATCH(ROWS($AF$2:AF576),$AF$2:$AF$1001,0),MATCH(COLUMNS($AM$1006:BD1006),$AM$1006:$BM$1006,0)), HYPERLINK("#",""), HYPERLINK(CONCATENATE("#metadata!", ADDRESS(INDEX($AH$2:$AH$1001,MATCH(ROWS($AF$2:AF576),$AF$2:$AF$1001,0),0), INDEX($AM$1004:$BM$1004,1,MATCH(COLUMNS($AM$1006:BD1006),$AM$1006:$BM$1006,0)))),"Fix")))</f>
        <v xml:space="preserve"> </v>
      </c>
      <c r="T576" s="4" t="str">
        <f ca="1">IF(OR(INDEX($AG$2:$AG$1001,MATCH(ROWS($AF$2:AF576),$AF$2:$AF$1001,0),1)&gt;=100000,INDEX($AM$1005:$BM$1005,1,MATCH(COLUMNS($AM$1006:BE1006),$AM$1006:$BM$1006,0))&gt;=100000), " ",IF(INDEX($AM$2:$BM$1001,MATCH(ROWS($AF$2:AF576),$AF$2:$AF$1001,0),MATCH(COLUMNS($AM$1006:BE1006),$AM$1006:$BM$1006,0)), HYPERLINK("#",""), HYPERLINK(CONCATENATE("#metadata!", ADDRESS(INDEX($AH$2:$AH$1001,MATCH(ROWS($AF$2:AF576),$AF$2:$AF$1001,0),0), INDEX($AM$1004:$BM$1004,1,MATCH(COLUMNS($AM$1006:BE1006),$AM$1006:$BM$1006,0)))),"Fix")))</f>
        <v xml:space="preserve"> </v>
      </c>
      <c r="U576" s="4" t="str">
        <f ca="1">IF(OR(INDEX($AG$2:$AG$1001,MATCH(ROWS($AF$2:AF576),$AF$2:$AF$1001,0),1)&gt;=100000,INDEX($AM$1005:$BM$1005,1,MATCH(COLUMNS($AM$1006:BF1006),$AM$1006:$BM$1006,0))&gt;=100000), " ",IF(INDEX($AM$2:$BM$1001,MATCH(ROWS($AF$2:AF576),$AF$2:$AF$1001,0),MATCH(COLUMNS($AM$1006:BF1006),$AM$1006:$BM$1006,0)), HYPERLINK("#",""), HYPERLINK(CONCATENATE("#metadata!", ADDRESS(INDEX($AH$2:$AH$1001,MATCH(ROWS($AF$2:AF576),$AF$2:$AF$1001,0),0), INDEX($AM$1004:$BM$1004,1,MATCH(COLUMNS($AM$1006:BF1006),$AM$1006:$BM$1006,0)))),"Fix")))</f>
        <v xml:space="preserve"> </v>
      </c>
      <c r="V576" s="4" t="str">
        <f ca="1">IF(OR(INDEX($AG$2:$AG$1001,MATCH(ROWS($AF$2:AF576),$AF$2:$AF$1001,0),1)&gt;=100000,INDEX($AM$1005:$BM$1005,1,MATCH(COLUMNS($AM$1006:BG1006),$AM$1006:$BM$1006,0))&gt;=100000), " ",IF(INDEX($AM$2:$BM$1001,MATCH(ROWS($AF$2:AF576),$AF$2:$AF$1001,0),MATCH(COLUMNS($AM$1006:BG1006),$AM$1006:$BM$1006,0)), HYPERLINK("#",""), HYPERLINK(CONCATENATE("#metadata!", ADDRESS(INDEX($AH$2:$AH$1001,MATCH(ROWS($AF$2:AF576),$AF$2:$AF$1001,0),0), INDEX($AM$1004:$BM$1004,1,MATCH(COLUMNS($AM$1006:BG1006),$AM$1006:$BM$1006,0)))),"Fix")))</f>
        <v xml:space="preserve"> </v>
      </c>
      <c r="W576" s="4" t="str">
        <f ca="1">IF(OR(INDEX($AG$2:$AG$1001,MATCH(ROWS($AF$2:AF576),$AF$2:$AF$1001,0),1)&gt;=100000,INDEX($AM$1005:$BM$1005,1,MATCH(COLUMNS($AM$1006:BH1006),$AM$1006:$BM$1006,0))&gt;=100000), " ",IF(INDEX($AM$2:$BM$1001,MATCH(ROWS($AF$2:AF576),$AF$2:$AF$1001,0),MATCH(COLUMNS($AM$1006:BH1006),$AM$1006:$BM$1006,0)), HYPERLINK("#",""), HYPERLINK(CONCATENATE("#metadata!", ADDRESS(INDEX($AH$2:$AH$1001,MATCH(ROWS($AF$2:AF576),$AF$2:$AF$1001,0),0), INDEX($AM$1004:$BM$1004,1,MATCH(COLUMNS($AM$1006:BH1006),$AM$1006:$BM$1006,0)))),"Fix")))</f>
        <v xml:space="preserve"> </v>
      </c>
      <c r="X576" s="4" t="str">
        <f ca="1">IF(OR(INDEX($AG$2:$AG$1001,MATCH(ROWS($AF$2:AF576),$AF$2:$AF$1001,0),1)&gt;=100000,INDEX($AM$1005:$BM$1005,1,MATCH(COLUMNS($AM$1006:BI1006),$AM$1006:$BM$1006,0))&gt;=100000), " ",IF(INDEX($AM$2:$BM$1001,MATCH(ROWS($AF$2:AF576),$AF$2:$AF$1001,0),MATCH(COLUMNS($AM$1006:BI1006),$AM$1006:$BM$1006,0)), HYPERLINK("#",""), HYPERLINK(CONCATENATE("#metadata!", ADDRESS(INDEX($AH$2:$AH$1001,MATCH(ROWS($AF$2:AF576),$AF$2:$AF$1001,0),0), INDEX($AM$1004:$BM$1004,1,MATCH(COLUMNS($AM$1006:BI1006),$AM$1006:$BM$1006,0)))),"Fix")))</f>
        <v xml:space="preserve"> </v>
      </c>
      <c r="Y576" s="4" t="str">
        <f ca="1">IF(OR(INDEX($AG$2:$AG$1001,MATCH(ROWS($AF$2:AF576),$AF$2:$AF$1001,0),1)&gt;=100000,INDEX($AM$1005:$BM$1005,1,MATCH(COLUMNS($AM$1006:BJ1006),$AM$1006:$BM$1006,0))&gt;=100000), " ",IF(INDEX($AM$2:$BM$1001,MATCH(ROWS($AF$2:AF576),$AF$2:$AF$1001,0),MATCH(COLUMNS($AM$1006:BJ1006),$AM$1006:$BM$1006,0)), HYPERLINK("#",""), HYPERLINK(CONCATENATE("#metadata!", ADDRESS(INDEX($AH$2:$AH$1001,MATCH(ROWS($AF$2:AF576),$AF$2:$AF$1001,0),0), INDEX($AM$1004:$BM$1004,1,MATCH(COLUMNS($AM$1006:BJ1006),$AM$1006:$BM$1006,0)))),"Fix")))</f>
        <v xml:space="preserve"> </v>
      </c>
      <c r="Z576" s="4" t="str">
        <f ca="1">IF(OR(INDEX($AG$2:$AG$1001,MATCH(ROWS($AF$2:AF576),$AF$2:$AF$1001,0),1)&gt;=100000,INDEX($AM$1005:$BM$1005,1,MATCH(COLUMNS($AM$1006:BK1006),$AM$1006:$BM$1006,0))&gt;=100000), " ",IF(INDEX($AM$2:$BM$1001,MATCH(ROWS($AF$2:AF576),$AF$2:$AF$1001,0),MATCH(COLUMNS($AM$1006:BK1006),$AM$1006:$BM$1006,0)), HYPERLINK("#",""), HYPERLINK(CONCATENATE("#metadata!", ADDRESS(INDEX($AH$2:$AH$1001,MATCH(ROWS($AF$2:AF576),$AF$2:$AF$1001,0),0), INDEX($AM$1004:$BM$1004,1,MATCH(COLUMNS($AM$1006:BK1006),$AM$1006:$BM$1006,0)))),"Fix")))</f>
        <v xml:space="preserve"> </v>
      </c>
      <c r="AA576" s="4" t="str">
        <f ca="1">IF(OR(INDEX($AG$2:$AG$1001,MATCH(ROWS($AF$2:AF576),$AF$2:$AF$1001,0),1)&gt;=100000,INDEX($AM$1005:$BM$1005,1,MATCH(COLUMNS($AM$1006:BL1006),$AM$1006:$BM$1006,0))&gt;=100000), " ",IF(INDEX($AM$2:$BM$1001,MATCH(ROWS($AF$2:AF576),$AF$2:$AF$1001,0),MATCH(COLUMNS($AM$1006:BL1006),$AM$1006:$BM$1006,0)), HYPERLINK("#",""), HYPERLINK(CONCATENATE("#metadata!", ADDRESS(INDEX($AH$2:$AH$1001,MATCH(ROWS($AF$2:AF576),$AF$2:$AF$1001,0),0), INDEX($AM$1004:$BM$1004,1,MATCH(COLUMNS($AM$1006:BL1006),$AM$1006:$BM$1006,0)))),"Fix")))</f>
        <v xml:space="preserve"> </v>
      </c>
      <c r="AB576" s="4" t="str">
        <f ca="1">IF(OR(INDEX($AG$2:$AG$1001,MATCH(ROWS($AF$2:AF576),$AF$2:$AF$1001,0),1)&gt;=100000,INDEX($AM$1005:$BM$1005,1,MATCH(COLUMNS($AM$1006:BM1006),$AM$1006:$BM$1006,0))&gt;=100000), " ",IF(INDEX($AM$2:$BM$1001,MATCH(ROWS($AF$2:AF576),$AF$2:$AF$1001,0),MATCH(COLUMNS($AM$1006:BM1006),$AM$1006:$BM$1006,0)), HYPERLINK("#",""), HYPERLINK(CONCATENATE("#metadata!", ADDRESS(INDEX($AH$2:$AH$1001,MATCH(ROWS($AF$2:AF576),$AF$2:$AF$1001,0),0), INDEX($AM$1004:$BM$1004,1,MATCH(COLUMNS($AM$1006:BM1006),$AM$1006:$BM$1006,0)))),"Fix")))</f>
        <v xml:space="preserve"> </v>
      </c>
      <c r="AF576">
        <v>575</v>
      </c>
      <c r="AG576">
        <v>100576</v>
      </c>
      <c r="AH576">
        <v>576</v>
      </c>
      <c r="AI576" t="b">
        <f t="shared" si="8"/>
        <v>1</v>
      </c>
      <c r="AJ576" t="b">
        <f>COUNTBLANK(metadata!B576:AB576)=COLUMNS(metadata!B576:AB576)</f>
        <v>1</v>
      </c>
      <c r="AK576" t="str">
        <v/>
      </c>
      <c r="AM576" t="b">
        <f ca="1">AND(IF(metadata!B576="",FALSE,TRUE),COUNTIF(metadata!B:B, metadata!B576) = 1,NOT(ISERROR(SUMPRODUCT(SEARCH(MID(metadata!B576,ROW(INDIRECT("1:"&amp;LEN(metadata!B576))), 1),"0123456789abcdefghijklmnopqrstuvwxyzABCDEFGHIJKLMNOPQRSTUVWXYZ.")))))</f>
        <v>0</v>
      </c>
      <c r="AN576" t="b">
        <f ca="1">OR(AND(IF(metadata!C576="",FALSE,TRUE),OR(EXACT(metadata!C576,"missing: not collected"),EXACT(metadata!C576,"missing: not provided"),EXACT(metadata!C576,"missing: restricted access"))),AND(IF(metadata!C576="",FALSE,TRUE),AND(AND(IFERROR(INT(LEFT(metadata!C576,4))&gt;1900,FALSE),IFERROR(INT(LEFT(metadata!C576,4))&lt;=YEAR(NOW()),FALSE)), OR(MID(metadata!C576,5,1)="", AND(AND(MID(metadata!C576,5,1)="-",IFERROR(INT(MID(metadata!C576,6,1))&gt;=0,FALSE),IFERROR(INT(MID(metadata!C576,6,1))&lt;=1,FALSE),NOT(MID(metadata!C576,7,1)=""),IFERROR(INT(MID(metadata!C576,6,2))&gt;=1,FALSE),IFERROR(INT(MID(metadata!C576,6,2))&lt;=12,FALSE)), OR(MID(metadata!C576,8,1)="", AND(AND(MID(metadata!C576,8,1)="-",IFERROR(INT(MID(metadata!C576,9,1))&gt;=0,FALSE),IFERROR(INT(MID(metadata!C576,9,1))&lt;=3,FALSE),NOT(MID(metadata!C576,10,1)=""),IFERROR(INT(MID(metadata!C576,9,2))&gt;=1,FALSE),IFERROR(INT(MID(metadata!C576,9,2))&lt;=31,FALSE)), OR(MID(metadata!C576,11,1)="", AND(AND(MID(metadata!C576,11,1)=" ",IFERROR(INT(MID(metadata!C576,12,1))&gt;=0,FALSE),IFERROR(INT(MID(metadata!C576,12,1))&lt;=2,FALSE),NOT(MID(metadata!C576,13,1)=""),IFERROR(INT(MID(metadata!C576,12,2))&gt;=0,FALSE),IFERROR(INT(MID(metadata!C576,12,2))&lt;=23,FALSE)), OR(MID(metadata!C576,14,1)="", AND(AND(MID(metadata!C576,14,1)=":",IFERROR(INT(MID(metadata!C576,15,1))&gt;=0,FALSE),IFERROR(INT(MID(metadata!C576,15,1))&lt;=5,FALSE),NOT(MID(metadata!C576,16,1)=""),IFERROR(INT(MID(metadata!C576,15,2))&gt;=0,FALSE),IFERROR(INT(MID(metadata!C576,15,2))&lt;=59,FALSE)), OR(MID(metadata!C576,17,1)="", AND(AND(MID(metadata!C576,17,1)=":",IFERROR(INT(MID(metadata!C576,18,1))&gt;=0,FALSE),IFERROR(INT(MID(metadata!C576,18,1))&lt;=5,FALSE),NOT(MID(metadata!C576,19,1)=""),IFERROR(INT(MID(metadata!C576,18,2))&gt;=0,FALSE),IFERROR(INT(MID(metadata!C576,18,2))&lt;=59,FALSE)), LEN(metadata!C576)&lt;=19)))))))))))))</f>
        <v>0</v>
      </c>
      <c r="AO576" t="b">
        <f>AND(IF(metadata!D576="",FALSE,TRUE),EXACT(metadata!D576,"Not applicable"))</f>
        <v>0</v>
      </c>
      <c r="AP576" t="b">
        <f>IF(metadata!E576="",FALSE,TRUE)</f>
        <v>0</v>
      </c>
      <c r="AQ576" t="b">
        <f>OR(AND(IF(metadata!F576="",FALSE,TRUE),OR(EXACT(metadata!F576,"missing: not collected"),EXACT(metadata!F576,"missing: not provided"))),AND(IF(metadata!F576="",FALSE,TRUE),OR(EXACT(metadata!F576,"TRUE"),EXACT(metadata!F576,"FALSE"))))</f>
        <v>0</v>
      </c>
      <c r="AR576" t="b">
        <f>OR(AND(IF(metadata!G576="",FALSE,TRUE),OR(EXACT(metadata!G576,"missing: not collected"),EXACT(metadata!G576,"missing: not provided"),EXACT(metadata!G576,"missing: restricted access"))),AND(IF(metadata!G576="",FALSE,ISNUMBER(VALUE(metadata!G576))),metadata!G576&gt;=-413))</f>
        <v>0</v>
      </c>
      <c r="AS576" t="b">
        <f>AND(IF(metadata!H576="",FALSE,TRUE),EXACT(metadata!H576,"meters"))</f>
        <v>0</v>
      </c>
      <c r="AT576" t="b">
        <f>AND(IF(metadata!I576="",FALSE,TRUE),OR(EXACT(metadata!I576,"Host-associated"),EXACT(metadata!I576,"Free-living")))</f>
        <v>0</v>
      </c>
      <c r="AU576" t="b">
        <f>AND(IF(metadata!J576="",FALSE,TRUE),OR(EXACT(metadata!J576,"Animal"),EXACT(metadata!J576,"Fungus"),EXACT(metadata!J576,"Plant"),EXACT(metadata!J576,"Saline"),EXACT(metadata!J576,"Non-saline")))</f>
        <v>0</v>
      </c>
      <c r="AV576" t="b">
        <f>AND(IF(metadata!K576="",FALSE,TRUE),OR(EXACT(metadata!K576,"Plant secretion"),EXACT(metadata!K576,"Plant rhizosphere"),EXACT(metadata!K576,"Plant surface"),EXACT(metadata!K576,"Plant corpus"),EXACT(metadata!K576,"Fungus surface"),EXACT(metadata!K576,"Fungus corpus"),EXACT(metadata!K576,"Animal surface"),EXACT(metadata!K576,"Animal proximal gut"),EXACT(metadata!K576,"Animal corpus"),EXACT(metadata!K576,"Animal distal gut"),EXACT(metadata!K576,"Animal secretion"),EXACT(metadata!K576,"Sub-surface (non-saline)"),EXACT(metadata!K576,"Surface (non-saline)"),EXACT(metadata!K576,"Water (non-saline)"),EXACT(metadata!K576,"Soil (non-saline)"),EXACT(metadata!K576,"Aerosol (non-saline)"),EXACT(metadata!K576,"Sediment (non-saline)"),EXACT(metadata!K576,"Surface (saline)"),EXACT(metadata!K576,"Water (saline)"),EXACT(metadata!K576,"Hypersaline (saline)"),EXACT(metadata!K576,"Aerosol (saline)"),EXACT(metadata!K576,"Sediment (saline)")))</f>
        <v>0</v>
      </c>
      <c r="AW576" t="b">
        <f>IF(metadata!L576="",FALSE,TRUE)</f>
        <v>0</v>
      </c>
      <c r="AX576" t="b">
        <f>IF(metadata!M576="",FALSE,TRUE)</f>
        <v>0</v>
      </c>
      <c r="AY576" t="b">
        <f>IF(metadata!N576="",FALSE,TRUE)</f>
        <v>0</v>
      </c>
      <c r="AZ576" t="b">
        <f>OR(AND(IF(metadata!O576="",FALSE,TRUE),OR(EXACT(metadata!O576,"missing: not collected"),EXACT(metadata!O576,"missing: not provided"),EXACT(metadata!O576,"missing: restricted access"))),AND(IF(metadata!O576="",FALSE,TRUE),OR(EXACT(metadata!O576,"air"),EXACT(metadata!O576,"built environment"),EXACT(metadata!O576,"host-associated"),EXACT(metadata!O576,"human-associated"),EXACT(metadata!O576,"human-skin"),EXACT(metadata!O576,"human-oral"),EXACT(metadata!O576,"human-gut"),EXACT(metadata!O576,"human-vaginal"),EXACT(metadata!O576,"microbial mat/biofilm"),EXACT(metadata!O576,"misc environment"),EXACT(metadata!O576,"plant-associated"),EXACT(metadata!O576,"sediment"),EXACT(metadata!O576,"soil"),EXACT(metadata!O576,"wastewater/sludge"),EXACT(metadata!O576,"water"))))</f>
        <v>0</v>
      </c>
      <c r="BA576" t="b">
        <f>IF(metadata!P576="",FALSE,TRUE)</f>
        <v>0</v>
      </c>
      <c r="BB576" t="b">
        <f>IF(metadata!Q576="",FALSE,TRUE)</f>
        <v>0</v>
      </c>
      <c r="BC576" t="b">
        <f>OR(AND(IF(metadata!R576="",FALSE,TRUE),OR(EXACT(metadata!R576,"missing: not collected"),EXACT(metadata!R576,"missing: not provided"),EXACT(metadata!R576,"missing: restricted access"))),AND(IF(metadata!R576="",FALSE,ISNUMBER(VALUE(metadata!R576))),metadata!R576&gt;=-90,metadata!R576&lt;=90))</f>
        <v>0</v>
      </c>
      <c r="BD576" t="b">
        <f>AND(IF(metadata!S576="",FALSE,TRUE),EXACT(metadata!S576,"Decimal degrees"))</f>
        <v>0</v>
      </c>
      <c r="BE576" t="b">
        <f>OR(AND(IF(metadata!T576="",FALSE,TRUE),OR(EXACT(metadata!T576,"missing: not collected"),EXACT(metadata!T576,"missing: not provided"),EXACT(metadata!T576,"missing: restricted access"))),AND(IF(metadata!T576="",FALSE,ISNUMBER(VALUE(metadata!T576))),metadata!T576&gt;=-180,metadata!T576&lt;=180))</f>
        <v>0</v>
      </c>
      <c r="BF576" t="b">
        <f>AND(IF(metadata!U576="",FALSE,TRUE),EXACT(metadata!U576,"Decimal degrees"))</f>
        <v>0</v>
      </c>
      <c r="BG576" t="b">
        <f>IF(metadata!V576="",FALSE,TRUE)</f>
        <v>0</v>
      </c>
      <c r="BH576" t="b">
        <f>OR(AND(IF(metadata!W576="",FALSE,TRUE),OR(EXACT(metadata!W576,"missing: not collected"),EXACT(metadata!W576,"missing: not provided"),EXACT(metadata!W576,"missing: restricted access"))),AND(IF(metadata!W576="",FALSE,TRUE),OR(EXACT(metadata!W576,"TRUE"),EXACT(metadata!W576,"FALSE"))))</f>
        <v>0</v>
      </c>
      <c r="BI576" t="b">
        <f>AND(IF(metadata!X576="",FALSE,TRUE),EXACT(metadata!X576,"other"))</f>
        <v>0</v>
      </c>
      <c r="BJ576" t="b">
        <f>IF(metadata!Y576="",FALSE,TRUE)</f>
        <v>0</v>
      </c>
      <c r="BK576" t="b">
        <f>OR(AND(IF(metadata!Z576="",FALSE,TRUE),OR(EXACT(metadata!Z576,"missing: not collected"),EXACT(metadata!Z576,"missing: not provided"))),AND(IF(metadata!Z576="",FALSE,IF(ISERROR(INT(metadata!Z576)),FALSE,INT(metadata!Z576)=metadata!Z576)),metadata!Z576&gt;0))</f>
        <v>0</v>
      </c>
      <c r="BL576" t="b">
        <f>AND(IF(metadata!AA576="",FALSE,TRUE),EXACT(metadata!AA576,"Not applicable"))</f>
        <v>0</v>
      </c>
      <c r="BM576" t="b">
        <f>IF(metadata!AB576="",FALSE,TRUE)</f>
        <v>0</v>
      </c>
    </row>
    <row r="577" spans="1:65" x14ac:dyDescent="0.2">
      <c r="A577" s="5" t="str">
        <f ca="1">IF(B577=" "," ",HYPERLINK(CONCATENATE("#metadata!",ADDRESS(INDEX($AH$2:$AH$1001,MATCH(ROWS($AF$2:AF577),$AF$2:$AF$1001,0),0),1)),INDEX($AK$2:$AK$1001,MATCH(ROWS($AF$2:AF577),$AF$2:$AF$1001,0),0)))</f>
        <v xml:space="preserve"> </v>
      </c>
      <c r="B577" s="4" t="str">
        <f ca="1">IF(OR(INDEX($AG$2:$AG$1001,MATCH(ROWS($AF$2:AF577),$AF$2:$AF$1001,0),1)&gt;=100000,INDEX($AM$1005:$BM$1005,1,MATCH(COLUMNS($AM$1006:AM1006),$AM$1006:$BM$1006,0))&gt;=100000), " ",IF(INDEX($AM$2:$BM$1001,MATCH(ROWS($AF$2:AF577),$AF$2:$AF$1001,0),MATCH(COLUMNS($AM$1006:AM1006),$AM$1006:$BM$1006,0)), HYPERLINK("#",""), HYPERLINK(CONCATENATE("#metadata!", ADDRESS(INDEX($AH$2:$AH$1001,MATCH(ROWS($AF$2:AF577),$AF$2:$AF$1001,0),0), INDEX($AM$1004:$BM$1004,1,MATCH(COLUMNS($AM$1006:AM1006),$AM$1006:$BM$1006,0)))),"Fix")))</f>
        <v xml:space="preserve"> </v>
      </c>
      <c r="C577" s="4" t="str">
        <f ca="1">IF(OR(INDEX($AG$2:$AG$1001,MATCH(ROWS($AF$2:AF577),$AF$2:$AF$1001,0),1)&gt;=100000,INDEX($AM$1005:$BM$1005,1,MATCH(COLUMNS($AM$1006:AN1006),$AM$1006:$BM$1006,0))&gt;=100000), " ",IF(INDEX($AM$2:$BM$1001,MATCH(ROWS($AF$2:AF577),$AF$2:$AF$1001,0),MATCH(COLUMNS($AM$1006:AN1006),$AM$1006:$BM$1006,0)), HYPERLINK("#",""), HYPERLINK(CONCATENATE("#metadata!", ADDRESS(INDEX($AH$2:$AH$1001,MATCH(ROWS($AF$2:AF577),$AF$2:$AF$1001,0),0), INDEX($AM$1004:$BM$1004,1,MATCH(COLUMNS($AM$1006:AN1006),$AM$1006:$BM$1006,0)))),"Fix")))</f>
        <v xml:space="preserve"> </v>
      </c>
      <c r="D577" s="4" t="str">
        <f ca="1">IF(OR(INDEX($AG$2:$AG$1001,MATCH(ROWS($AF$2:AF577),$AF$2:$AF$1001,0),1)&gt;=100000,INDEX($AM$1005:$BM$1005,1,MATCH(COLUMNS($AM$1006:AO1006),$AM$1006:$BM$1006,0))&gt;=100000), " ",IF(INDEX($AM$2:$BM$1001,MATCH(ROWS($AF$2:AF577),$AF$2:$AF$1001,0),MATCH(COLUMNS($AM$1006:AO1006),$AM$1006:$BM$1006,0)), HYPERLINK("#",""), HYPERLINK(CONCATENATE("#metadata!", ADDRESS(INDEX($AH$2:$AH$1001,MATCH(ROWS($AF$2:AF577),$AF$2:$AF$1001,0),0), INDEX($AM$1004:$BM$1004,1,MATCH(COLUMNS($AM$1006:AO1006),$AM$1006:$BM$1006,0)))),"Fix")))</f>
        <v xml:space="preserve"> </v>
      </c>
      <c r="E577" s="4" t="str">
        <f ca="1">IF(OR(INDEX($AG$2:$AG$1001,MATCH(ROWS($AF$2:AF577),$AF$2:$AF$1001,0),1)&gt;=100000,INDEX($AM$1005:$BM$1005,1,MATCH(COLUMNS($AM$1006:AP1006),$AM$1006:$BM$1006,0))&gt;=100000), " ",IF(INDEX($AM$2:$BM$1001,MATCH(ROWS($AF$2:AF577),$AF$2:$AF$1001,0),MATCH(COLUMNS($AM$1006:AP1006),$AM$1006:$BM$1006,0)), HYPERLINK("#",""), HYPERLINK(CONCATENATE("#metadata!", ADDRESS(INDEX($AH$2:$AH$1001,MATCH(ROWS($AF$2:AF577),$AF$2:$AF$1001,0),0), INDEX($AM$1004:$BM$1004,1,MATCH(COLUMNS($AM$1006:AP1006),$AM$1006:$BM$1006,0)))),"Fix")))</f>
        <v xml:space="preserve"> </v>
      </c>
      <c r="F577" s="4" t="str">
        <f ca="1">IF(OR(INDEX($AG$2:$AG$1001,MATCH(ROWS($AF$2:AF577),$AF$2:$AF$1001,0),1)&gt;=100000,INDEX($AM$1005:$BM$1005,1,MATCH(COLUMNS($AM$1006:AQ1006),$AM$1006:$BM$1006,0))&gt;=100000), " ",IF(INDEX($AM$2:$BM$1001,MATCH(ROWS($AF$2:AF577),$AF$2:$AF$1001,0),MATCH(COLUMNS($AM$1006:AQ1006),$AM$1006:$BM$1006,0)), HYPERLINK("#",""), HYPERLINK(CONCATENATE("#metadata!", ADDRESS(INDEX($AH$2:$AH$1001,MATCH(ROWS($AF$2:AF577),$AF$2:$AF$1001,0),0), INDEX($AM$1004:$BM$1004,1,MATCH(COLUMNS($AM$1006:AQ1006),$AM$1006:$BM$1006,0)))),"Fix")))</f>
        <v xml:space="preserve"> </v>
      </c>
      <c r="G577" s="4" t="str">
        <f ca="1">IF(OR(INDEX($AG$2:$AG$1001,MATCH(ROWS($AF$2:AF577),$AF$2:$AF$1001,0),1)&gt;=100000,INDEX($AM$1005:$BM$1005,1,MATCH(COLUMNS($AM$1006:AR1006),$AM$1006:$BM$1006,0))&gt;=100000), " ",IF(INDEX($AM$2:$BM$1001,MATCH(ROWS($AF$2:AF577),$AF$2:$AF$1001,0),MATCH(COLUMNS($AM$1006:AR1006),$AM$1006:$BM$1006,0)), HYPERLINK("#",""), HYPERLINK(CONCATENATE("#metadata!", ADDRESS(INDEX($AH$2:$AH$1001,MATCH(ROWS($AF$2:AF577),$AF$2:$AF$1001,0),0), INDEX($AM$1004:$BM$1004,1,MATCH(COLUMNS($AM$1006:AR1006),$AM$1006:$BM$1006,0)))),"Fix")))</f>
        <v xml:space="preserve"> </v>
      </c>
      <c r="H577" s="4" t="str">
        <f ca="1">IF(OR(INDEX($AG$2:$AG$1001,MATCH(ROWS($AF$2:AF577),$AF$2:$AF$1001,0),1)&gt;=100000,INDEX($AM$1005:$BM$1005,1,MATCH(COLUMNS($AM$1006:AS1006),$AM$1006:$BM$1006,0))&gt;=100000), " ",IF(INDEX($AM$2:$BM$1001,MATCH(ROWS($AF$2:AF577),$AF$2:$AF$1001,0),MATCH(COLUMNS($AM$1006:AS1006),$AM$1006:$BM$1006,0)), HYPERLINK("#",""), HYPERLINK(CONCATENATE("#metadata!", ADDRESS(INDEX($AH$2:$AH$1001,MATCH(ROWS($AF$2:AF577),$AF$2:$AF$1001,0),0), INDEX($AM$1004:$BM$1004,1,MATCH(COLUMNS($AM$1006:AS1006),$AM$1006:$BM$1006,0)))),"Fix")))</f>
        <v xml:space="preserve"> </v>
      </c>
      <c r="I577" s="4" t="str">
        <f ca="1">IF(OR(INDEX($AG$2:$AG$1001,MATCH(ROWS($AF$2:AF577),$AF$2:$AF$1001,0),1)&gt;=100000,INDEX($AM$1005:$BM$1005,1,MATCH(COLUMNS($AM$1006:AT1006),$AM$1006:$BM$1006,0))&gt;=100000), " ",IF(INDEX($AM$2:$BM$1001,MATCH(ROWS($AF$2:AF577),$AF$2:$AF$1001,0),MATCH(COLUMNS($AM$1006:AT1006),$AM$1006:$BM$1006,0)), HYPERLINK("#",""), HYPERLINK(CONCATENATE("#metadata!", ADDRESS(INDEX($AH$2:$AH$1001,MATCH(ROWS($AF$2:AF577),$AF$2:$AF$1001,0),0), INDEX($AM$1004:$BM$1004,1,MATCH(COLUMNS($AM$1006:AT1006),$AM$1006:$BM$1006,0)))),"Fix")))</f>
        <v xml:space="preserve"> </v>
      </c>
      <c r="J577" s="4" t="str">
        <f ca="1">IF(OR(INDEX($AG$2:$AG$1001,MATCH(ROWS($AF$2:AF577),$AF$2:$AF$1001,0),1)&gt;=100000,INDEX($AM$1005:$BM$1005,1,MATCH(COLUMNS($AM$1006:AU1006),$AM$1006:$BM$1006,0))&gt;=100000), " ",IF(INDEX($AM$2:$BM$1001,MATCH(ROWS($AF$2:AF577),$AF$2:$AF$1001,0),MATCH(COLUMNS($AM$1006:AU1006),$AM$1006:$BM$1006,0)), HYPERLINK("#",""), HYPERLINK(CONCATENATE("#metadata!", ADDRESS(INDEX($AH$2:$AH$1001,MATCH(ROWS($AF$2:AF577),$AF$2:$AF$1001,0),0), INDEX($AM$1004:$BM$1004,1,MATCH(COLUMNS($AM$1006:AU1006),$AM$1006:$BM$1006,0)))),"Fix")))</f>
        <v xml:space="preserve"> </v>
      </c>
      <c r="K577" s="4" t="str">
        <f ca="1">IF(OR(INDEX($AG$2:$AG$1001,MATCH(ROWS($AF$2:AF577),$AF$2:$AF$1001,0),1)&gt;=100000,INDEX($AM$1005:$BM$1005,1,MATCH(COLUMNS($AM$1006:AV1006),$AM$1006:$BM$1006,0))&gt;=100000), " ",IF(INDEX($AM$2:$BM$1001,MATCH(ROWS($AF$2:AF577),$AF$2:$AF$1001,0),MATCH(COLUMNS($AM$1006:AV1006),$AM$1006:$BM$1006,0)), HYPERLINK("#",""), HYPERLINK(CONCATENATE("#metadata!", ADDRESS(INDEX($AH$2:$AH$1001,MATCH(ROWS($AF$2:AF577),$AF$2:$AF$1001,0),0), INDEX($AM$1004:$BM$1004,1,MATCH(COLUMNS($AM$1006:AV1006),$AM$1006:$BM$1006,0)))),"Fix")))</f>
        <v xml:space="preserve"> </v>
      </c>
      <c r="L577" s="4" t="str">
        <f ca="1">IF(OR(INDEX($AG$2:$AG$1001,MATCH(ROWS($AF$2:AF577),$AF$2:$AF$1001,0),1)&gt;=100000,INDEX($AM$1005:$BM$1005,1,MATCH(COLUMNS($AM$1006:AW1006),$AM$1006:$BM$1006,0))&gt;=100000), " ",IF(INDEX($AM$2:$BM$1001,MATCH(ROWS($AF$2:AF577),$AF$2:$AF$1001,0),MATCH(COLUMNS($AM$1006:AW1006),$AM$1006:$BM$1006,0)), HYPERLINK("#",""), HYPERLINK(CONCATENATE("#metadata!", ADDRESS(INDEX($AH$2:$AH$1001,MATCH(ROWS($AF$2:AF577),$AF$2:$AF$1001,0),0), INDEX($AM$1004:$BM$1004,1,MATCH(COLUMNS($AM$1006:AW1006),$AM$1006:$BM$1006,0)))),"Fix")))</f>
        <v xml:space="preserve"> </v>
      </c>
      <c r="M577" s="4" t="str">
        <f ca="1">IF(OR(INDEX($AG$2:$AG$1001,MATCH(ROWS($AF$2:AF577),$AF$2:$AF$1001,0),1)&gt;=100000,INDEX($AM$1005:$BM$1005,1,MATCH(COLUMNS($AM$1006:AX1006),$AM$1006:$BM$1006,0))&gt;=100000), " ",IF(INDEX($AM$2:$BM$1001,MATCH(ROWS($AF$2:AF577),$AF$2:$AF$1001,0),MATCH(COLUMNS($AM$1006:AX1006),$AM$1006:$BM$1006,0)), HYPERLINK("#",""), HYPERLINK(CONCATENATE("#metadata!", ADDRESS(INDEX($AH$2:$AH$1001,MATCH(ROWS($AF$2:AF577),$AF$2:$AF$1001,0),0), INDEX($AM$1004:$BM$1004,1,MATCH(COLUMNS($AM$1006:AX1006),$AM$1006:$BM$1006,0)))),"Fix")))</f>
        <v xml:space="preserve"> </v>
      </c>
      <c r="N577" s="4" t="str">
        <f ca="1">IF(OR(INDEX($AG$2:$AG$1001,MATCH(ROWS($AF$2:AF577),$AF$2:$AF$1001,0),1)&gt;=100000,INDEX($AM$1005:$BM$1005,1,MATCH(COLUMNS($AM$1006:AY1006),$AM$1006:$BM$1006,0))&gt;=100000), " ",IF(INDEX($AM$2:$BM$1001,MATCH(ROWS($AF$2:AF577),$AF$2:$AF$1001,0),MATCH(COLUMNS($AM$1006:AY1006),$AM$1006:$BM$1006,0)), HYPERLINK("#",""), HYPERLINK(CONCATENATE("#metadata!", ADDRESS(INDEX($AH$2:$AH$1001,MATCH(ROWS($AF$2:AF577),$AF$2:$AF$1001,0),0), INDEX($AM$1004:$BM$1004,1,MATCH(COLUMNS($AM$1006:AY1006),$AM$1006:$BM$1006,0)))),"Fix")))</f>
        <v xml:space="preserve"> </v>
      </c>
      <c r="O577" s="4" t="str">
        <f ca="1">IF(OR(INDEX($AG$2:$AG$1001,MATCH(ROWS($AF$2:AF577),$AF$2:$AF$1001,0),1)&gt;=100000,INDEX($AM$1005:$BM$1005,1,MATCH(COLUMNS($AM$1006:AZ1006),$AM$1006:$BM$1006,0))&gt;=100000), " ",IF(INDEX($AM$2:$BM$1001,MATCH(ROWS($AF$2:AF577),$AF$2:$AF$1001,0),MATCH(COLUMNS($AM$1006:AZ1006),$AM$1006:$BM$1006,0)), HYPERLINK("#",""), HYPERLINK(CONCATENATE("#metadata!", ADDRESS(INDEX($AH$2:$AH$1001,MATCH(ROWS($AF$2:AF577),$AF$2:$AF$1001,0),0), INDEX($AM$1004:$BM$1004,1,MATCH(COLUMNS($AM$1006:AZ1006),$AM$1006:$BM$1006,0)))),"Fix")))</f>
        <v xml:space="preserve"> </v>
      </c>
      <c r="P577" s="4" t="str">
        <f ca="1">IF(OR(INDEX($AG$2:$AG$1001,MATCH(ROWS($AF$2:AF577),$AF$2:$AF$1001,0),1)&gt;=100000,INDEX($AM$1005:$BM$1005,1,MATCH(COLUMNS($AM$1006:BA1006),$AM$1006:$BM$1006,0))&gt;=100000), " ",IF(INDEX($AM$2:$BM$1001,MATCH(ROWS($AF$2:AF577),$AF$2:$AF$1001,0),MATCH(COLUMNS($AM$1006:BA1006),$AM$1006:$BM$1006,0)), HYPERLINK("#",""), HYPERLINK(CONCATENATE("#metadata!", ADDRESS(INDEX($AH$2:$AH$1001,MATCH(ROWS($AF$2:AF577),$AF$2:$AF$1001,0),0), INDEX($AM$1004:$BM$1004,1,MATCH(COLUMNS($AM$1006:BA1006),$AM$1006:$BM$1006,0)))),"Fix")))</f>
        <v xml:space="preserve"> </v>
      </c>
      <c r="Q577" s="4" t="str">
        <f ca="1">IF(OR(INDEX($AG$2:$AG$1001,MATCH(ROWS($AF$2:AF577),$AF$2:$AF$1001,0),1)&gt;=100000,INDEX($AM$1005:$BM$1005,1,MATCH(COLUMNS($AM$1006:BB1006),$AM$1006:$BM$1006,0))&gt;=100000), " ",IF(INDEX($AM$2:$BM$1001,MATCH(ROWS($AF$2:AF577),$AF$2:$AF$1001,0),MATCH(COLUMNS($AM$1006:BB1006),$AM$1006:$BM$1006,0)), HYPERLINK("#",""), HYPERLINK(CONCATENATE("#metadata!", ADDRESS(INDEX($AH$2:$AH$1001,MATCH(ROWS($AF$2:AF577),$AF$2:$AF$1001,0),0), INDEX($AM$1004:$BM$1004,1,MATCH(COLUMNS($AM$1006:BB1006),$AM$1006:$BM$1006,0)))),"Fix")))</f>
        <v xml:space="preserve"> </v>
      </c>
      <c r="R577" s="4" t="str">
        <f ca="1">IF(OR(INDEX($AG$2:$AG$1001,MATCH(ROWS($AF$2:AF577),$AF$2:$AF$1001,0),1)&gt;=100000,INDEX($AM$1005:$BM$1005,1,MATCH(COLUMNS($AM$1006:BC1006),$AM$1006:$BM$1006,0))&gt;=100000), " ",IF(INDEX($AM$2:$BM$1001,MATCH(ROWS($AF$2:AF577),$AF$2:$AF$1001,0),MATCH(COLUMNS($AM$1006:BC1006),$AM$1006:$BM$1006,0)), HYPERLINK("#",""), HYPERLINK(CONCATENATE("#metadata!", ADDRESS(INDEX($AH$2:$AH$1001,MATCH(ROWS($AF$2:AF577),$AF$2:$AF$1001,0),0), INDEX($AM$1004:$BM$1004,1,MATCH(COLUMNS($AM$1006:BC1006),$AM$1006:$BM$1006,0)))),"Fix")))</f>
        <v xml:space="preserve"> </v>
      </c>
      <c r="S577" s="4" t="str">
        <f ca="1">IF(OR(INDEX($AG$2:$AG$1001,MATCH(ROWS($AF$2:AF577),$AF$2:$AF$1001,0),1)&gt;=100000,INDEX($AM$1005:$BM$1005,1,MATCH(COLUMNS($AM$1006:BD1006),$AM$1006:$BM$1006,0))&gt;=100000), " ",IF(INDEX($AM$2:$BM$1001,MATCH(ROWS($AF$2:AF577),$AF$2:$AF$1001,0),MATCH(COLUMNS($AM$1006:BD1006),$AM$1006:$BM$1006,0)), HYPERLINK("#",""), HYPERLINK(CONCATENATE("#metadata!", ADDRESS(INDEX($AH$2:$AH$1001,MATCH(ROWS($AF$2:AF577),$AF$2:$AF$1001,0),0), INDEX($AM$1004:$BM$1004,1,MATCH(COLUMNS($AM$1006:BD1006),$AM$1006:$BM$1006,0)))),"Fix")))</f>
        <v xml:space="preserve"> </v>
      </c>
      <c r="T577" s="4" t="str">
        <f ca="1">IF(OR(INDEX($AG$2:$AG$1001,MATCH(ROWS($AF$2:AF577),$AF$2:$AF$1001,0),1)&gt;=100000,INDEX($AM$1005:$BM$1005,1,MATCH(COLUMNS($AM$1006:BE1006),$AM$1006:$BM$1006,0))&gt;=100000), " ",IF(INDEX($AM$2:$BM$1001,MATCH(ROWS($AF$2:AF577),$AF$2:$AF$1001,0),MATCH(COLUMNS($AM$1006:BE1006),$AM$1006:$BM$1006,0)), HYPERLINK("#",""), HYPERLINK(CONCATENATE("#metadata!", ADDRESS(INDEX($AH$2:$AH$1001,MATCH(ROWS($AF$2:AF577),$AF$2:$AF$1001,0),0), INDEX($AM$1004:$BM$1004,1,MATCH(COLUMNS($AM$1006:BE1006),$AM$1006:$BM$1006,0)))),"Fix")))</f>
        <v xml:space="preserve"> </v>
      </c>
      <c r="U577" s="4" t="str">
        <f ca="1">IF(OR(INDEX($AG$2:$AG$1001,MATCH(ROWS($AF$2:AF577),$AF$2:$AF$1001,0),1)&gt;=100000,INDEX($AM$1005:$BM$1005,1,MATCH(COLUMNS($AM$1006:BF1006),$AM$1006:$BM$1006,0))&gt;=100000), " ",IF(INDEX($AM$2:$BM$1001,MATCH(ROWS($AF$2:AF577),$AF$2:$AF$1001,0),MATCH(COLUMNS($AM$1006:BF1006),$AM$1006:$BM$1006,0)), HYPERLINK("#",""), HYPERLINK(CONCATENATE("#metadata!", ADDRESS(INDEX($AH$2:$AH$1001,MATCH(ROWS($AF$2:AF577),$AF$2:$AF$1001,0),0), INDEX($AM$1004:$BM$1004,1,MATCH(COLUMNS($AM$1006:BF1006),$AM$1006:$BM$1006,0)))),"Fix")))</f>
        <v xml:space="preserve"> </v>
      </c>
      <c r="V577" s="4" t="str">
        <f ca="1">IF(OR(INDEX($AG$2:$AG$1001,MATCH(ROWS($AF$2:AF577),$AF$2:$AF$1001,0),1)&gt;=100000,INDEX($AM$1005:$BM$1005,1,MATCH(COLUMNS($AM$1006:BG1006),$AM$1006:$BM$1006,0))&gt;=100000), " ",IF(INDEX($AM$2:$BM$1001,MATCH(ROWS($AF$2:AF577),$AF$2:$AF$1001,0),MATCH(COLUMNS($AM$1006:BG1006),$AM$1006:$BM$1006,0)), HYPERLINK("#",""), HYPERLINK(CONCATENATE("#metadata!", ADDRESS(INDEX($AH$2:$AH$1001,MATCH(ROWS($AF$2:AF577),$AF$2:$AF$1001,0),0), INDEX($AM$1004:$BM$1004,1,MATCH(COLUMNS($AM$1006:BG1006),$AM$1006:$BM$1006,0)))),"Fix")))</f>
        <v xml:space="preserve"> </v>
      </c>
      <c r="W577" s="4" t="str">
        <f ca="1">IF(OR(INDEX($AG$2:$AG$1001,MATCH(ROWS($AF$2:AF577),$AF$2:$AF$1001,0),1)&gt;=100000,INDEX($AM$1005:$BM$1005,1,MATCH(COLUMNS($AM$1006:BH1006),$AM$1006:$BM$1006,0))&gt;=100000), " ",IF(INDEX($AM$2:$BM$1001,MATCH(ROWS($AF$2:AF577),$AF$2:$AF$1001,0),MATCH(COLUMNS($AM$1006:BH1006),$AM$1006:$BM$1006,0)), HYPERLINK("#",""), HYPERLINK(CONCATENATE("#metadata!", ADDRESS(INDEX($AH$2:$AH$1001,MATCH(ROWS($AF$2:AF577),$AF$2:$AF$1001,0),0), INDEX($AM$1004:$BM$1004,1,MATCH(COLUMNS($AM$1006:BH1006),$AM$1006:$BM$1006,0)))),"Fix")))</f>
        <v xml:space="preserve"> </v>
      </c>
      <c r="X577" s="4" t="str">
        <f ca="1">IF(OR(INDEX($AG$2:$AG$1001,MATCH(ROWS($AF$2:AF577),$AF$2:$AF$1001,0),1)&gt;=100000,INDEX($AM$1005:$BM$1005,1,MATCH(COLUMNS($AM$1006:BI1006),$AM$1006:$BM$1006,0))&gt;=100000), " ",IF(INDEX($AM$2:$BM$1001,MATCH(ROWS($AF$2:AF577),$AF$2:$AF$1001,0),MATCH(COLUMNS($AM$1006:BI1006),$AM$1006:$BM$1006,0)), HYPERLINK("#",""), HYPERLINK(CONCATENATE("#metadata!", ADDRESS(INDEX($AH$2:$AH$1001,MATCH(ROWS($AF$2:AF577),$AF$2:$AF$1001,0),0), INDEX($AM$1004:$BM$1004,1,MATCH(COLUMNS($AM$1006:BI1006),$AM$1006:$BM$1006,0)))),"Fix")))</f>
        <v xml:space="preserve"> </v>
      </c>
      <c r="Y577" s="4" t="str">
        <f ca="1">IF(OR(INDEX($AG$2:$AG$1001,MATCH(ROWS($AF$2:AF577),$AF$2:$AF$1001,0),1)&gt;=100000,INDEX($AM$1005:$BM$1005,1,MATCH(COLUMNS($AM$1006:BJ1006),$AM$1006:$BM$1006,0))&gt;=100000), " ",IF(INDEX($AM$2:$BM$1001,MATCH(ROWS($AF$2:AF577),$AF$2:$AF$1001,0),MATCH(COLUMNS($AM$1006:BJ1006),$AM$1006:$BM$1006,0)), HYPERLINK("#",""), HYPERLINK(CONCATENATE("#metadata!", ADDRESS(INDEX($AH$2:$AH$1001,MATCH(ROWS($AF$2:AF577),$AF$2:$AF$1001,0),0), INDEX($AM$1004:$BM$1004,1,MATCH(COLUMNS($AM$1006:BJ1006),$AM$1006:$BM$1006,0)))),"Fix")))</f>
        <v xml:space="preserve"> </v>
      </c>
      <c r="Z577" s="4" t="str">
        <f ca="1">IF(OR(INDEX($AG$2:$AG$1001,MATCH(ROWS($AF$2:AF577),$AF$2:$AF$1001,0),1)&gt;=100000,INDEX($AM$1005:$BM$1005,1,MATCH(COLUMNS($AM$1006:BK1006),$AM$1006:$BM$1006,0))&gt;=100000), " ",IF(INDEX($AM$2:$BM$1001,MATCH(ROWS($AF$2:AF577),$AF$2:$AF$1001,0),MATCH(COLUMNS($AM$1006:BK1006),$AM$1006:$BM$1006,0)), HYPERLINK("#",""), HYPERLINK(CONCATENATE("#metadata!", ADDRESS(INDEX($AH$2:$AH$1001,MATCH(ROWS($AF$2:AF577),$AF$2:$AF$1001,0),0), INDEX($AM$1004:$BM$1004,1,MATCH(COLUMNS($AM$1006:BK1006),$AM$1006:$BM$1006,0)))),"Fix")))</f>
        <v xml:space="preserve"> </v>
      </c>
      <c r="AA577" s="4" t="str">
        <f ca="1">IF(OR(INDEX($AG$2:$AG$1001,MATCH(ROWS($AF$2:AF577),$AF$2:$AF$1001,0),1)&gt;=100000,INDEX($AM$1005:$BM$1005,1,MATCH(COLUMNS($AM$1006:BL1006),$AM$1006:$BM$1006,0))&gt;=100000), " ",IF(INDEX($AM$2:$BM$1001,MATCH(ROWS($AF$2:AF577),$AF$2:$AF$1001,0),MATCH(COLUMNS($AM$1006:BL1006),$AM$1006:$BM$1006,0)), HYPERLINK("#",""), HYPERLINK(CONCATENATE("#metadata!", ADDRESS(INDEX($AH$2:$AH$1001,MATCH(ROWS($AF$2:AF577),$AF$2:$AF$1001,0),0), INDEX($AM$1004:$BM$1004,1,MATCH(COLUMNS($AM$1006:BL1006),$AM$1006:$BM$1006,0)))),"Fix")))</f>
        <v xml:space="preserve"> </v>
      </c>
      <c r="AB577" s="4" t="str">
        <f ca="1">IF(OR(INDEX($AG$2:$AG$1001,MATCH(ROWS($AF$2:AF577),$AF$2:$AF$1001,0),1)&gt;=100000,INDEX($AM$1005:$BM$1005,1,MATCH(COLUMNS($AM$1006:BM1006),$AM$1006:$BM$1006,0))&gt;=100000), " ",IF(INDEX($AM$2:$BM$1001,MATCH(ROWS($AF$2:AF577),$AF$2:$AF$1001,0),MATCH(COLUMNS($AM$1006:BM1006),$AM$1006:$BM$1006,0)), HYPERLINK("#",""), HYPERLINK(CONCATENATE("#metadata!", ADDRESS(INDEX($AH$2:$AH$1001,MATCH(ROWS($AF$2:AF577),$AF$2:$AF$1001,0),0), INDEX($AM$1004:$BM$1004,1,MATCH(COLUMNS($AM$1006:BM1006),$AM$1006:$BM$1006,0)))),"Fix")))</f>
        <v xml:space="preserve"> </v>
      </c>
      <c r="AF577">
        <v>576</v>
      </c>
      <c r="AG577">
        <v>100577</v>
      </c>
      <c r="AH577">
        <v>577</v>
      </c>
      <c r="AI577" t="b">
        <f t="shared" si="8"/>
        <v>1</v>
      </c>
      <c r="AJ577" t="b">
        <f>COUNTBLANK(metadata!B577:AB577)=COLUMNS(metadata!B577:AB577)</f>
        <v>1</v>
      </c>
      <c r="AK577" t="str">
        <v/>
      </c>
      <c r="AM577" t="b">
        <f ca="1">AND(IF(metadata!B577="",FALSE,TRUE),COUNTIF(metadata!B:B, metadata!B577) = 1,NOT(ISERROR(SUMPRODUCT(SEARCH(MID(metadata!B577,ROW(INDIRECT("1:"&amp;LEN(metadata!B577))), 1),"0123456789abcdefghijklmnopqrstuvwxyzABCDEFGHIJKLMNOPQRSTUVWXYZ.")))))</f>
        <v>0</v>
      </c>
      <c r="AN577" t="b">
        <f ca="1">OR(AND(IF(metadata!C577="",FALSE,TRUE),OR(EXACT(metadata!C577,"missing: not collected"),EXACT(metadata!C577,"missing: not provided"),EXACT(metadata!C577,"missing: restricted access"))),AND(IF(metadata!C577="",FALSE,TRUE),AND(AND(IFERROR(INT(LEFT(metadata!C577,4))&gt;1900,FALSE),IFERROR(INT(LEFT(metadata!C577,4))&lt;=YEAR(NOW()),FALSE)), OR(MID(metadata!C577,5,1)="", AND(AND(MID(metadata!C577,5,1)="-",IFERROR(INT(MID(metadata!C577,6,1))&gt;=0,FALSE),IFERROR(INT(MID(metadata!C577,6,1))&lt;=1,FALSE),NOT(MID(metadata!C577,7,1)=""),IFERROR(INT(MID(metadata!C577,6,2))&gt;=1,FALSE),IFERROR(INT(MID(metadata!C577,6,2))&lt;=12,FALSE)), OR(MID(metadata!C577,8,1)="", AND(AND(MID(metadata!C577,8,1)="-",IFERROR(INT(MID(metadata!C577,9,1))&gt;=0,FALSE),IFERROR(INT(MID(metadata!C577,9,1))&lt;=3,FALSE),NOT(MID(metadata!C577,10,1)=""),IFERROR(INT(MID(metadata!C577,9,2))&gt;=1,FALSE),IFERROR(INT(MID(metadata!C577,9,2))&lt;=31,FALSE)), OR(MID(metadata!C577,11,1)="", AND(AND(MID(metadata!C577,11,1)=" ",IFERROR(INT(MID(metadata!C577,12,1))&gt;=0,FALSE),IFERROR(INT(MID(metadata!C577,12,1))&lt;=2,FALSE),NOT(MID(metadata!C577,13,1)=""),IFERROR(INT(MID(metadata!C577,12,2))&gt;=0,FALSE),IFERROR(INT(MID(metadata!C577,12,2))&lt;=23,FALSE)), OR(MID(metadata!C577,14,1)="", AND(AND(MID(metadata!C577,14,1)=":",IFERROR(INT(MID(metadata!C577,15,1))&gt;=0,FALSE),IFERROR(INT(MID(metadata!C577,15,1))&lt;=5,FALSE),NOT(MID(metadata!C577,16,1)=""),IFERROR(INT(MID(metadata!C577,15,2))&gt;=0,FALSE),IFERROR(INT(MID(metadata!C577,15,2))&lt;=59,FALSE)), OR(MID(metadata!C577,17,1)="", AND(AND(MID(metadata!C577,17,1)=":",IFERROR(INT(MID(metadata!C577,18,1))&gt;=0,FALSE),IFERROR(INT(MID(metadata!C577,18,1))&lt;=5,FALSE),NOT(MID(metadata!C577,19,1)=""),IFERROR(INT(MID(metadata!C577,18,2))&gt;=0,FALSE),IFERROR(INT(MID(metadata!C577,18,2))&lt;=59,FALSE)), LEN(metadata!C577)&lt;=19)))))))))))))</f>
        <v>0</v>
      </c>
      <c r="AO577" t="b">
        <f>AND(IF(metadata!D577="",FALSE,TRUE),EXACT(metadata!D577,"Not applicable"))</f>
        <v>0</v>
      </c>
      <c r="AP577" t="b">
        <f>IF(metadata!E577="",FALSE,TRUE)</f>
        <v>0</v>
      </c>
      <c r="AQ577" t="b">
        <f>OR(AND(IF(metadata!F577="",FALSE,TRUE),OR(EXACT(metadata!F577,"missing: not collected"),EXACT(metadata!F577,"missing: not provided"))),AND(IF(metadata!F577="",FALSE,TRUE),OR(EXACT(metadata!F577,"TRUE"),EXACT(metadata!F577,"FALSE"))))</f>
        <v>0</v>
      </c>
      <c r="AR577" t="b">
        <f>OR(AND(IF(metadata!G577="",FALSE,TRUE),OR(EXACT(metadata!G577,"missing: not collected"),EXACT(metadata!G577,"missing: not provided"),EXACT(metadata!G577,"missing: restricted access"))),AND(IF(metadata!G577="",FALSE,ISNUMBER(VALUE(metadata!G577))),metadata!G577&gt;=-413))</f>
        <v>0</v>
      </c>
      <c r="AS577" t="b">
        <f>AND(IF(metadata!H577="",FALSE,TRUE),EXACT(metadata!H577,"meters"))</f>
        <v>0</v>
      </c>
      <c r="AT577" t="b">
        <f>AND(IF(metadata!I577="",FALSE,TRUE),OR(EXACT(metadata!I577,"Host-associated"),EXACT(metadata!I577,"Free-living")))</f>
        <v>0</v>
      </c>
      <c r="AU577" t="b">
        <f>AND(IF(metadata!J577="",FALSE,TRUE),OR(EXACT(metadata!J577,"Animal"),EXACT(metadata!J577,"Fungus"),EXACT(metadata!J577,"Plant"),EXACT(metadata!J577,"Saline"),EXACT(metadata!J577,"Non-saline")))</f>
        <v>0</v>
      </c>
      <c r="AV577" t="b">
        <f>AND(IF(metadata!K577="",FALSE,TRUE),OR(EXACT(metadata!K577,"Plant secretion"),EXACT(metadata!K577,"Plant rhizosphere"),EXACT(metadata!K577,"Plant surface"),EXACT(metadata!K577,"Plant corpus"),EXACT(metadata!K577,"Fungus surface"),EXACT(metadata!K577,"Fungus corpus"),EXACT(metadata!K577,"Animal surface"),EXACT(metadata!K577,"Animal proximal gut"),EXACT(metadata!K577,"Animal corpus"),EXACT(metadata!K577,"Animal distal gut"),EXACT(metadata!K577,"Animal secretion"),EXACT(metadata!K577,"Sub-surface (non-saline)"),EXACT(metadata!K577,"Surface (non-saline)"),EXACT(metadata!K577,"Water (non-saline)"),EXACT(metadata!K577,"Soil (non-saline)"),EXACT(metadata!K577,"Aerosol (non-saline)"),EXACT(metadata!K577,"Sediment (non-saline)"),EXACT(metadata!K577,"Surface (saline)"),EXACT(metadata!K577,"Water (saline)"),EXACT(metadata!K577,"Hypersaline (saline)"),EXACT(metadata!K577,"Aerosol (saline)"),EXACT(metadata!K577,"Sediment (saline)")))</f>
        <v>0</v>
      </c>
      <c r="AW577" t="b">
        <f>IF(metadata!L577="",FALSE,TRUE)</f>
        <v>0</v>
      </c>
      <c r="AX577" t="b">
        <f>IF(metadata!M577="",FALSE,TRUE)</f>
        <v>0</v>
      </c>
      <c r="AY577" t="b">
        <f>IF(metadata!N577="",FALSE,TRUE)</f>
        <v>0</v>
      </c>
      <c r="AZ577" t="b">
        <f>OR(AND(IF(metadata!O577="",FALSE,TRUE),OR(EXACT(metadata!O577,"missing: not collected"),EXACT(metadata!O577,"missing: not provided"),EXACT(metadata!O577,"missing: restricted access"))),AND(IF(metadata!O577="",FALSE,TRUE),OR(EXACT(metadata!O577,"air"),EXACT(metadata!O577,"built environment"),EXACT(metadata!O577,"host-associated"),EXACT(metadata!O577,"human-associated"),EXACT(metadata!O577,"human-skin"),EXACT(metadata!O577,"human-oral"),EXACT(metadata!O577,"human-gut"),EXACT(metadata!O577,"human-vaginal"),EXACT(metadata!O577,"microbial mat/biofilm"),EXACT(metadata!O577,"misc environment"),EXACT(metadata!O577,"plant-associated"),EXACT(metadata!O577,"sediment"),EXACT(metadata!O577,"soil"),EXACT(metadata!O577,"wastewater/sludge"),EXACT(metadata!O577,"water"))))</f>
        <v>0</v>
      </c>
      <c r="BA577" t="b">
        <f>IF(metadata!P577="",FALSE,TRUE)</f>
        <v>0</v>
      </c>
      <c r="BB577" t="b">
        <f>IF(metadata!Q577="",FALSE,TRUE)</f>
        <v>0</v>
      </c>
      <c r="BC577" t="b">
        <f>OR(AND(IF(metadata!R577="",FALSE,TRUE),OR(EXACT(metadata!R577,"missing: not collected"),EXACT(metadata!R577,"missing: not provided"),EXACT(metadata!R577,"missing: restricted access"))),AND(IF(metadata!R577="",FALSE,ISNUMBER(VALUE(metadata!R577))),metadata!R577&gt;=-90,metadata!R577&lt;=90))</f>
        <v>0</v>
      </c>
      <c r="BD577" t="b">
        <f>AND(IF(metadata!S577="",FALSE,TRUE),EXACT(metadata!S577,"Decimal degrees"))</f>
        <v>0</v>
      </c>
      <c r="BE577" t="b">
        <f>OR(AND(IF(metadata!T577="",FALSE,TRUE),OR(EXACT(metadata!T577,"missing: not collected"),EXACT(metadata!T577,"missing: not provided"),EXACT(metadata!T577,"missing: restricted access"))),AND(IF(metadata!T577="",FALSE,ISNUMBER(VALUE(metadata!T577))),metadata!T577&gt;=-180,metadata!T577&lt;=180))</f>
        <v>0</v>
      </c>
      <c r="BF577" t="b">
        <f>AND(IF(metadata!U577="",FALSE,TRUE),EXACT(metadata!U577,"Decimal degrees"))</f>
        <v>0</v>
      </c>
      <c r="BG577" t="b">
        <f>IF(metadata!V577="",FALSE,TRUE)</f>
        <v>0</v>
      </c>
      <c r="BH577" t="b">
        <f>OR(AND(IF(metadata!W577="",FALSE,TRUE),OR(EXACT(metadata!W577,"missing: not collected"),EXACT(metadata!W577,"missing: not provided"),EXACT(metadata!W577,"missing: restricted access"))),AND(IF(metadata!W577="",FALSE,TRUE),OR(EXACT(metadata!W577,"TRUE"),EXACT(metadata!W577,"FALSE"))))</f>
        <v>0</v>
      </c>
      <c r="BI577" t="b">
        <f>AND(IF(metadata!X577="",FALSE,TRUE),EXACT(metadata!X577,"other"))</f>
        <v>0</v>
      </c>
      <c r="BJ577" t="b">
        <f>IF(metadata!Y577="",FALSE,TRUE)</f>
        <v>0</v>
      </c>
      <c r="BK577" t="b">
        <f>OR(AND(IF(metadata!Z577="",FALSE,TRUE),OR(EXACT(metadata!Z577,"missing: not collected"),EXACT(metadata!Z577,"missing: not provided"))),AND(IF(metadata!Z577="",FALSE,IF(ISERROR(INT(metadata!Z577)),FALSE,INT(metadata!Z577)=metadata!Z577)),metadata!Z577&gt;0))</f>
        <v>0</v>
      </c>
      <c r="BL577" t="b">
        <f>AND(IF(metadata!AA577="",FALSE,TRUE),EXACT(metadata!AA577,"Not applicable"))</f>
        <v>0</v>
      </c>
      <c r="BM577" t="b">
        <f>IF(metadata!AB577="",FALSE,TRUE)</f>
        <v>0</v>
      </c>
    </row>
    <row r="578" spans="1:65" x14ac:dyDescent="0.2">
      <c r="A578" s="5" t="str">
        <f ca="1">IF(B578=" "," ",HYPERLINK(CONCATENATE("#metadata!",ADDRESS(INDEX($AH$2:$AH$1001,MATCH(ROWS($AF$2:AF578),$AF$2:$AF$1001,0),0),1)),INDEX($AK$2:$AK$1001,MATCH(ROWS($AF$2:AF578),$AF$2:$AF$1001,0),0)))</f>
        <v xml:space="preserve"> </v>
      </c>
      <c r="B578" s="4" t="str">
        <f ca="1">IF(OR(INDEX($AG$2:$AG$1001,MATCH(ROWS($AF$2:AF578),$AF$2:$AF$1001,0),1)&gt;=100000,INDEX($AM$1005:$BM$1005,1,MATCH(COLUMNS($AM$1006:AM1006),$AM$1006:$BM$1006,0))&gt;=100000), " ",IF(INDEX($AM$2:$BM$1001,MATCH(ROWS($AF$2:AF578),$AF$2:$AF$1001,0),MATCH(COLUMNS($AM$1006:AM1006),$AM$1006:$BM$1006,0)), HYPERLINK("#",""), HYPERLINK(CONCATENATE("#metadata!", ADDRESS(INDEX($AH$2:$AH$1001,MATCH(ROWS($AF$2:AF578),$AF$2:$AF$1001,0),0), INDEX($AM$1004:$BM$1004,1,MATCH(COLUMNS($AM$1006:AM1006),$AM$1006:$BM$1006,0)))),"Fix")))</f>
        <v xml:space="preserve"> </v>
      </c>
      <c r="C578" s="4" t="str">
        <f ca="1">IF(OR(INDEX($AG$2:$AG$1001,MATCH(ROWS($AF$2:AF578),$AF$2:$AF$1001,0),1)&gt;=100000,INDEX($AM$1005:$BM$1005,1,MATCH(COLUMNS($AM$1006:AN1006),$AM$1006:$BM$1006,0))&gt;=100000), " ",IF(INDEX($AM$2:$BM$1001,MATCH(ROWS($AF$2:AF578),$AF$2:$AF$1001,0),MATCH(COLUMNS($AM$1006:AN1006),$AM$1006:$BM$1006,0)), HYPERLINK("#",""), HYPERLINK(CONCATENATE("#metadata!", ADDRESS(INDEX($AH$2:$AH$1001,MATCH(ROWS($AF$2:AF578),$AF$2:$AF$1001,0),0), INDEX($AM$1004:$BM$1004,1,MATCH(COLUMNS($AM$1006:AN1006),$AM$1006:$BM$1006,0)))),"Fix")))</f>
        <v xml:space="preserve"> </v>
      </c>
      <c r="D578" s="4" t="str">
        <f ca="1">IF(OR(INDEX($AG$2:$AG$1001,MATCH(ROWS($AF$2:AF578),$AF$2:$AF$1001,0),1)&gt;=100000,INDEX($AM$1005:$BM$1005,1,MATCH(COLUMNS($AM$1006:AO1006),$AM$1006:$BM$1006,0))&gt;=100000), " ",IF(INDEX($AM$2:$BM$1001,MATCH(ROWS($AF$2:AF578),$AF$2:$AF$1001,0),MATCH(COLUMNS($AM$1006:AO1006),$AM$1006:$BM$1006,0)), HYPERLINK("#",""), HYPERLINK(CONCATENATE("#metadata!", ADDRESS(INDEX($AH$2:$AH$1001,MATCH(ROWS($AF$2:AF578),$AF$2:$AF$1001,0),0), INDEX($AM$1004:$BM$1004,1,MATCH(COLUMNS($AM$1006:AO1006),$AM$1006:$BM$1006,0)))),"Fix")))</f>
        <v xml:space="preserve"> </v>
      </c>
      <c r="E578" s="4" t="str">
        <f ca="1">IF(OR(INDEX($AG$2:$AG$1001,MATCH(ROWS($AF$2:AF578),$AF$2:$AF$1001,0),1)&gt;=100000,INDEX($AM$1005:$BM$1005,1,MATCH(COLUMNS($AM$1006:AP1006),$AM$1006:$BM$1006,0))&gt;=100000), " ",IF(INDEX($AM$2:$BM$1001,MATCH(ROWS($AF$2:AF578),$AF$2:$AF$1001,0),MATCH(COLUMNS($AM$1006:AP1006),$AM$1006:$BM$1006,0)), HYPERLINK("#",""), HYPERLINK(CONCATENATE("#metadata!", ADDRESS(INDEX($AH$2:$AH$1001,MATCH(ROWS($AF$2:AF578),$AF$2:$AF$1001,0),0), INDEX($AM$1004:$BM$1004,1,MATCH(COLUMNS($AM$1006:AP1006),$AM$1006:$BM$1006,0)))),"Fix")))</f>
        <v xml:space="preserve"> </v>
      </c>
      <c r="F578" s="4" t="str">
        <f ca="1">IF(OR(INDEX($AG$2:$AG$1001,MATCH(ROWS($AF$2:AF578),$AF$2:$AF$1001,0),1)&gt;=100000,INDEX($AM$1005:$BM$1005,1,MATCH(COLUMNS($AM$1006:AQ1006),$AM$1006:$BM$1006,0))&gt;=100000), " ",IF(INDEX($AM$2:$BM$1001,MATCH(ROWS($AF$2:AF578),$AF$2:$AF$1001,0),MATCH(COLUMNS($AM$1006:AQ1006),$AM$1006:$BM$1006,0)), HYPERLINK("#",""), HYPERLINK(CONCATENATE("#metadata!", ADDRESS(INDEX($AH$2:$AH$1001,MATCH(ROWS($AF$2:AF578),$AF$2:$AF$1001,0),0), INDEX($AM$1004:$BM$1004,1,MATCH(COLUMNS($AM$1006:AQ1006),$AM$1006:$BM$1006,0)))),"Fix")))</f>
        <v xml:space="preserve"> </v>
      </c>
      <c r="G578" s="4" t="str">
        <f ca="1">IF(OR(INDEX($AG$2:$AG$1001,MATCH(ROWS($AF$2:AF578),$AF$2:$AF$1001,0),1)&gt;=100000,INDEX($AM$1005:$BM$1005,1,MATCH(COLUMNS($AM$1006:AR1006),$AM$1006:$BM$1006,0))&gt;=100000), " ",IF(INDEX($AM$2:$BM$1001,MATCH(ROWS($AF$2:AF578),$AF$2:$AF$1001,0),MATCH(COLUMNS($AM$1006:AR1006),$AM$1006:$BM$1006,0)), HYPERLINK("#",""), HYPERLINK(CONCATENATE("#metadata!", ADDRESS(INDEX($AH$2:$AH$1001,MATCH(ROWS($AF$2:AF578),$AF$2:$AF$1001,0),0), INDEX($AM$1004:$BM$1004,1,MATCH(COLUMNS($AM$1006:AR1006),$AM$1006:$BM$1006,0)))),"Fix")))</f>
        <v xml:space="preserve"> </v>
      </c>
      <c r="H578" s="4" t="str">
        <f ca="1">IF(OR(INDEX($AG$2:$AG$1001,MATCH(ROWS($AF$2:AF578),$AF$2:$AF$1001,0),1)&gt;=100000,INDEX($AM$1005:$BM$1005,1,MATCH(COLUMNS($AM$1006:AS1006),$AM$1006:$BM$1006,0))&gt;=100000), " ",IF(INDEX($AM$2:$BM$1001,MATCH(ROWS($AF$2:AF578),$AF$2:$AF$1001,0),MATCH(COLUMNS($AM$1006:AS1006),$AM$1006:$BM$1006,0)), HYPERLINK("#",""), HYPERLINK(CONCATENATE("#metadata!", ADDRESS(INDEX($AH$2:$AH$1001,MATCH(ROWS($AF$2:AF578),$AF$2:$AF$1001,0),0), INDEX($AM$1004:$BM$1004,1,MATCH(COLUMNS($AM$1006:AS1006),$AM$1006:$BM$1006,0)))),"Fix")))</f>
        <v xml:space="preserve"> </v>
      </c>
      <c r="I578" s="4" t="str">
        <f ca="1">IF(OR(INDEX($AG$2:$AG$1001,MATCH(ROWS($AF$2:AF578),$AF$2:$AF$1001,0),1)&gt;=100000,INDEX($AM$1005:$BM$1005,1,MATCH(COLUMNS($AM$1006:AT1006),$AM$1006:$BM$1006,0))&gt;=100000), " ",IF(INDEX($AM$2:$BM$1001,MATCH(ROWS($AF$2:AF578),$AF$2:$AF$1001,0),MATCH(COLUMNS($AM$1006:AT1006),$AM$1006:$BM$1006,0)), HYPERLINK("#",""), HYPERLINK(CONCATENATE("#metadata!", ADDRESS(INDEX($AH$2:$AH$1001,MATCH(ROWS($AF$2:AF578),$AF$2:$AF$1001,0),0), INDEX($AM$1004:$BM$1004,1,MATCH(COLUMNS($AM$1006:AT1006),$AM$1006:$BM$1006,0)))),"Fix")))</f>
        <v xml:space="preserve"> </v>
      </c>
      <c r="J578" s="4" t="str">
        <f ca="1">IF(OR(INDEX($AG$2:$AG$1001,MATCH(ROWS($AF$2:AF578),$AF$2:$AF$1001,0),1)&gt;=100000,INDEX($AM$1005:$BM$1005,1,MATCH(COLUMNS($AM$1006:AU1006),$AM$1006:$BM$1006,0))&gt;=100000), " ",IF(INDEX($AM$2:$BM$1001,MATCH(ROWS($AF$2:AF578),$AF$2:$AF$1001,0),MATCH(COLUMNS($AM$1006:AU1006),$AM$1006:$BM$1006,0)), HYPERLINK("#",""), HYPERLINK(CONCATENATE("#metadata!", ADDRESS(INDEX($AH$2:$AH$1001,MATCH(ROWS($AF$2:AF578),$AF$2:$AF$1001,0),0), INDEX($AM$1004:$BM$1004,1,MATCH(COLUMNS($AM$1006:AU1006),$AM$1006:$BM$1006,0)))),"Fix")))</f>
        <v xml:space="preserve"> </v>
      </c>
      <c r="K578" s="4" t="str">
        <f ca="1">IF(OR(INDEX($AG$2:$AG$1001,MATCH(ROWS($AF$2:AF578),$AF$2:$AF$1001,0),1)&gt;=100000,INDEX($AM$1005:$BM$1005,1,MATCH(COLUMNS($AM$1006:AV1006),$AM$1006:$BM$1006,0))&gt;=100000), " ",IF(INDEX($AM$2:$BM$1001,MATCH(ROWS($AF$2:AF578),$AF$2:$AF$1001,0),MATCH(COLUMNS($AM$1006:AV1006),$AM$1006:$BM$1006,0)), HYPERLINK("#",""), HYPERLINK(CONCATENATE("#metadata!", ADDRESS(INDEX($AH$2:$AH$1001,MATCH(ROWS($AF$2:AF578),$AF$2:$AF$1001,0),0), INDEX($AM$1004:$BM$1004,1,MATCH(COLUMNS($AM$1006:AV1006),$AM$1006:$BM$1006,0)))),"Fix")))</f>
        <v xml:space="preserve"> </v>
      </c>
      <c r="L578" s="4" t="str">
        <f ca="1">IF(OR(INDEX($AG$2:$AG$1001,MATCH(ROWS($AF$2:AF578),$AF$2:$AF$1001,0),1)&gt;=100000,INDEX($AM$1005:$BM$1005,1,MATCH(COLUMNS($AM$1006:AW1006),$AM$1006:$BM$1006,0))&gt;=100000), " ",IF(INDEX($AM$2:$BM$1001,MATCH(ROWS($AF$2:AF578),$AF$2:$AF$1001,0),MATCH(COLUMNS($AM$1006:AW1006),$AM$1006:$BM$1006,0)), HYPERLINK("#",""), HYPERLINK(CONCATENATE("#metadata!", ADDRESS(INDEX($AH$2:$AH$1001,MATCH(ROWS($AF$2:AF578),$AF$2:$AF$1001,0),0), INDEX($AM$1004:$BM$1004,1,MATCH(COLUMNS($AM$1006:AW1006),$AM$1006:$BM$1006,0)))),"Fix")))</f>
        <v xml:space="preserve"> </v>
      </c>
      <c r="M578" s="4" t="str">
        <f ca="1">IF(OR(INDEX($AG$2:$AG$1001,MATCH(ROWS($AF$2:AF578),$AF$2:$AF$1001,0),1)&gt;=100000,INDEX($AM$1005:$BM$1005,1,MATCH(COLUMNS($AM$1006:AX1006),$AM$1006:$BM$1006,0))&gt;=100000), " ",IF(INDEX($AM$2:$BM$1001,MATCH(ROWS($AF$2:AF578),$AF$2:$AF$1001,0),MATCH(COLUMNS($AM$1006:AX1006),$AM$1006:$BM$1006,0)), HYPERLINK("#",""), HYPERLINK(CONCATENATE("#metadata!", ADDRESS(INDEX($AH$2:$AH$1001,MATCH(ROWS($AF$2:AF578),$AF$2:$AF$1001,0),0), INDEX($AM$1004:$BM$1004,1,MATCH(COLUMNS($AM$1006:AX1006),$AM$1006:$BM$1006,0)))),"Fix")))</f>
        <v xml:space="preserve"> </v>
      </c>
      <c r="N578" s="4" t="str">
        <f ca="1">IF(OR(INDEX($AG$2:$AG$1001,MATCH(ROWS($AF$2:AF578),$AF$2:$AF$1001,0),1)&gt;=100000,INDEX($AM$1005:$BM$1005,1,MATCH(COLUMNS($AM$1006:AY1006),$AM$1006:$BM$1006,0))&gt;=100000), " ",IF(INDEX($AM$2:$BM$1001,MATCH(ROWS($AF$2:AF578),$AF$2:$AF$1001,0),MATCH(COLUMNS($AM$1006:AY1006),$AM$1006:$BM$1006,0)), HYPERLINK("#",""), HYPERLINK(CONCATENATE("#metadata!", ADDRESS(INDEX($AH$2:$AH$1001,MATCH(ROWS($AF$2:AF578),$AF$2:$AF$1001,0),0), INDEX($AM$1004:$BM$1004,1,MATCH(COLUMNS($AM$1006:AY1006),$AM$1006:$BM$1006,0)))),"Fix")))</f>
        <v xml:space="preserve"> </v>
      </c>
      <c r="O578" s="4" t="str">
        <f ca="1">IF(OR(INDEX($AG$2:$AG$1001,MATCH(ROWS($AF$2:AF578),$AF$2:$AF$1001,0),1)&gt;=100000,INDEX($AM$1005:$BM$1005,1,MATCH(COLUMNS($AM$1006:AZ1006),$AM$1006:$BM$1006,0))&gt;=100000), " ",IF(INDEX($AM$2:$BM$1001,MATCH(ROWS($AF$2:AF578),$AF$2:$AF$1001,0),MATCH(COLUMNS($AM$1006:AZ1006),$AM$1006:$BM$1006,0)), HYPERLINK("#",""), HYPERLINK(CONCATENATE("#metadata!", ADDRESS(INDEX($AH$2:$AH$1001,MATCH(ROWS($AF$2:AF578),$AF$2:$AF$1001,0),0), INDEX($AM$1004:$BM$1004,1,MATCH(COLUMNS($AM$1006:AZ1006),$AM$1006:$BM$1006,0)))),"Fix")))</f>
        <v xml:space="preserve"> </v>
      </c>
      <c r="P578" s="4" t="str">
        <f ca="1">IF(OR(INDEX($AG$2:$AG$1001,MATCH(ROWS($AF$2:AF578),$AF$2:$AF$1001,0),1)&gt;=100000,INDEX($AM$1005:$BM$1005,1,MATCH(COLUMNS($AM$1006:BA1006),$AM$1006:$BM$1006,0))&gt;=100000), " ",IF(INDEX($AM$2:$BM$1001,MATCH(ROWS($AF$2:AF578),$AF$2:$AF$1001,0),MATCH(COLUMNS($AM$1006:BA1006),$AM$1006:$BM$1006,0)), HYPERLINK("#",""), HYPERLINK(CONCATENATE("#metadata!", ADDRESS(INDEX($AH$2:$AH$1001,MATCH(ROWS($AF$2:AF578),$AF$2:$AF$1001,0),0), INDEX($AM$1004:$BM$1004,1,MATCH(COLUMNS($AM$1006:BA1006),$AM$1006:$BM$1006,0)))),"Fix")))</f>
        <v xml:space="preserve"> </v>
      </c>
      <c r="Q578" s="4" t="str">
        <f ca="1">IF(OR(INDEX($AG$2:$AG$1001,MATCH(ROWS($AF$2:AF578),$AF$2:$AF$1001,0),1)&gt;=100000,INDEX($AM$1005:$BM$1005,1,MATCH(COLUMNS($AM$1006:BB1006),$AM$1006:$BM$1006,0))&gt;=100000), " ",IF(INDEX($AM$2:$BM$1001,MATCH(ROWS($AF$2:AF578),$AF$2:$AF$1001,0),MATCH(COLUMNS($AM$1006:BB1006),$AM$1006:$BM$1006,0)), HYPERLINK("#",""), HYPERLINK(CONCATENATE("#metadata!", ADDRESS(INDEX($AH$2:$AH$1001,MATCH(ROWS($AF$2:AF578),$AF$2:$AF$1001,0),0), INDEX($AM$1004:$BM$1004,1,MATCH(COLUMNS($AM$1006:BB1006),$AM$1006:$BM$1006,0)))),"Fix")))</f>
        <v xml:space="preserve"> </v>
      </c>
      <c r="R578" s="4" t="str">
        <f ca="1">IF(OR(INDEX($AG$2:$AG$1001,MATCH(ROWS($AF$2:AF578),$AF$2:$AF$1001,0),1)&gt;=100000,INDEX($AM$1005:$BM$1005,1,MATCH(COLUMNS($AM$1006:BC1006),$AM$1006:$BM$1006,0))&gt;=100000), " ",IF(INDEX($AM$2:$BM$1001,MATCH(ROWS($AF$2:AF578),$AF$2:$AF$1001,0),MATCH(COLUMNS($AM$1006:BC1006),$AM$1006:$BM$1006,0)), HYPERLINK("#",""), HYPERLINK(CONCATENATE("#metadata!", ADDRESS(INDEX($AH$2:$AH$1001,MATCH(ROWS($AF$2:AF578),$AF$2:$AF$1001,0),0), INDEX($AM$1004:$BM$1004,1,MATCH(COLUMNS($AM$1006:BC1006),$AM$1006:$BM$1006,0)))),"Fix")))</f>
        <v xml:space="preserve"> </v>
      </c>
      <c r="S578" s="4" t="str">
        <f ca="1">IF(OR(INDEX($AG$2:$AG$1001,MATCH(ROWS($AF$2:AF578),$AF$2:$AF$1001,0),1)&gt;=100000,INDEX($AM$1005:$BM$1005,1,MATCH(COLUMNS($AM$1006:BD1006),$AM$1006:$BM$1006,0))&gt;=100000), " ",IF(INDEX($AM$2:$BM$1001,MATCH(ROWS($AF$2:AF578),$AF$2:$AF$1001,0),MATCH(COLUMNS($AM$1006:BD1006),$AM$1006:$BM$1006,0)), HYPERLINK("#",""), HYPERLINK(CONCATENATE("#metadata!", ADDRESS(INDEX($AH$2:$AH$1001,MATCH(ROWS($AF$2:AF578),$AF$2:$AF$1001,0),0), INDEX($AM$1004:$BM$1004,1,MATCH(COLUMNS($AM$1006:BD1006),$AM$1006:$BM$1006,0)))),"Fix")))</f>
        <v xml:space="preserve"> </v>
      </c>
      <c r="T578" s="4" t="str">
        <f ca="1">IF(OR(INDEX($AG$2:$AG$1001,MATCH(ROWS($AF$2:AF578),$AF$2:$AF$1001,0),1)&gt;=100000,INDEX($AM$1005:$BM$1005,1,MATCH(COLUMNS($AM$1006:BE1006),$AM$1006:$BM$1006,0))&gt;=100000), " ",IF(INDEX($AM$2:$BM$1001,MATCH(ROWS($AF$2:AF578),$AF$2:$AF$1001,0),MATCH(COLUMNS($AM$1006:BE1006),$AM$1006:$BM$1006,0)), HYPERLINK("#",""), HYPERLINK(CONCATENATE("#metadata!", ADDRESS(INDEX($AH$2:$AH$1001,MATCH(ROWS($AF$2:AF578),$AF$2:$AF$1001,0),0), INDEX($AM$1004:$BM$1004,1,MATCH(COLUMNS($AM$1006:BE1006),$AM$1006:$BM$1006,0)))),"Fix")))</f>
        <v xml:space="preserve"> </v>
      </c>
      <c r="U578" s="4" t="str">
        <f ca="1">IF(OR(INDEX($AG$2:$AG$1001,MATCH(ROWS($AF$2:AF578),$AF$2:$AF$1001,0),1)&gt;=100000,INDEX($AM$1005:$BM$1005,1,MATCH(COLUMNS($AM$1006:BF1006),$AM$1006:$BM$1006,0))&gt;=100000), " ",IF(INDEX($AM$2:$BM$1001,MATCH(ROWS($AF$2:AF578),$AF$2:$AF$1001,0),MATCH(COLUMNS($AM$1006:BF1006),$AM$1006:$BM$1006,0)), HYPERLINK("#",""), HYPERLINK(CONCATENATE("#metadata!", ADDRESS(INDEX($AH$2:$AH$1001,MATCH(ROWS($AF$2:AF578),$AF$2:$AF$1001,0),0), INDEX($AM$1004:$BM$1004,1,MATCH(COLUMNS($AM$1006:BF1006),$AM$1006:$BM$1006,0)))),"Fix")))</f>
        <v xml:space="preserve"> </v>
      </c>
      <c r="V578" s="4" t="str">
        <f ca="1">IF(OR(INDEX($AG$2:$AG$1001,MATCH(ROWS($AF$2:AF578),$AF$2:$AF$1001,0),1)&gt;=100000,INDEX($AM$1005:$BM$1005,1,MATCH(COLUMNS($AM$1006:BG1006),$AM$1006:$BM$1006,0))&gt;=100000), " ",IF(INDEX($AM$2:$BM$1001,MATCH(ROWS($AF$2:AF578),$AF$2:$AF$1001,0),MATCH(COLUMNS($AM$1006:BG1006),$AM$1006:$BM$1006,0)), HYPERLINK("#",""), HYPERLINK(CONCATENATE("#metadata!", ADDRESS(INDEX($AH$2:$AH$1001,MATCH(ROWS($AF$2:AF578),$AF$2:$AF$1001,0),0), INDEX($AM$1004:$BM$1004,1,MATCH(COLUMNS($AM$1006:BG1006),$AM$1006:$BM$1006,0)))),"Fix")))</f>
        <v xml:space="preserve"> </v>
      </c>
      <c r="W578" s="4" t="str">
        <f ca="1">IF(OR(INDEX($AG$2:$AG$1001,MATCH(ROWS($AF$2:AF578),$AF$2:$AF$1001,0),1)&gt;=100000,INDEX($AM$1005:$BM$1005,1,MATCH(COLUMNS($AM$1006:BH1006),$AM$1006:$BM$1006,0))&gt;=100000), " ",IF(INDEX($AM$2:$BM$1001,MATCH(ROWS($AF$2:AF578),$AF$2:$AF$1001,0),MATCH(COLUMNS($AM$1006:BH1006),$AM$1006:$BM$1006,0)), HYPERLINK("#",""), HYPERLINK(CONCATENATE("#metadata!", ADDRESS(INDEX($AH$2:$AH$1001,MATCH(ROWS($AF$2:AF578),$AF$2:$AF$1001,0),0), INDEX($AM$1004:$BM$1004,1,MATCH(COLUMNS($AM$1006:BH1006),$AM$1006:$BM$1006,0)))),"Fix")))</f>
        <v xml:space="preserve"> </v>
      </c>
      <c r="X578" s="4" t="str">
        <f ca="1">IF(OR(INDEX($AG$2:$AG$1001,MATCH(ROWS($AF$2:AF578),$AF$2:$AF$1001,0),1)&gt;=100000,INDEX($AM$1005:$BM$1005,1,MATCH(COLUMNS($AM$1006:BI1006),$AM$1006:$BM$1006,0))&gt;=100000), " ",IF(INDEX($AM$2:$BM$1001,MATCH(ROWS($AF$2:AF578),$AF$2:$AF$1001,0),MATCH(COLUMNS($AM$1006:BI1006),$AM$1006:$BM$1006,0)), HYPERLINK("#",""), HYPERLINK(CONCATENATE("#metadata!", ADDRESS(INDEX($AH$2:$AH$1001,MATCH(ROWS($AF$2:AF578),$AF$2:$AF$1001,0),0), INDEX($AM$1004:$BM$1004,1,MATCH(COLUMNS($AM$1006:BI1006),$AM$1006:$BM$1006,0)))),"Fix")))</f>
        <v xml:space="preserve"> </v>
      </c>
      <c r="Y578" s="4" t="str">
        <f ca="1">IF(OR(INDEX($AG$2:$AG$1001,MATCH(ROWS($AF$2:AF578),$AF$2:$AF$1001,0),1)&gt;=100000,INDEX($AM$1005:$BM$1005,1,MATCH(COLUMNS($AM$1006:BJ1006),$AM$1006:$BM$1006,0))&gt;=100000), " ",IF(INDEX($AM$2:$BM$1001,MATCH(ROWS($AF$2:AF578),$AF$2:$AF$1001,0),MATCH(COLUMNS($AM$1006:BJ1006),$AM$1006:$BM$1006,0)), HYPERLINK("#",""), HYPERLINK(CONCATENATE("#metadata!", ADDRESS(INDEX($AH$2:$AH$1001,MATCH(ROWS($AF$2:AF578),$AF$2:$AF$1001,0),0), INDEX($AM$1004:$BM$1004,1,MATCH(COLUMNS($AM$1006:BJ1006),$AM$1006:$BM$1006,0)))),"Fix")))</f>
        <v xml:space="preserve"> </v>
      </c>
      <c r="Z578" s="4" t="str">
        <f ca="1">IF(OR(INDEX($AG$2:$AG$1001,MATCH(ROWS($AF$2:AF578),$AF$2:$AF$1001,0),1)&gt;=100000,INDEX($AM$1005:$BM$1005,1,MATCH(COLUMNS($AM$1006:BK1006),$AM$1006:$BM$1006,0))&gt;=100000), " ",IF(INDEX($AM$2:$BM$1001,MATCH(ROWS($AF$2:AF578),$AF$2:$AF$1001,0),MATCH(COLUMNS($AM$1006:BK1006),$AM$1006:$BM$1006,0)), HYPERLINK("#",""), HYPERLINK(CONCATENATE("#metadata!", ADDRESS(INDEX($AH$2:$AH$1001,MATCH(ROWS($AF$2:AF578),$AF$2:$AF$1001,0),0), INDEX($AM$1004:$BM$1004,1,MATCH(COLUMNS($AM$1006:BK1006),$AM$1006:$BM$1006,0)))),"Fix")))</f>
        <v xml:space="preserve"> </v>
      </c>
      <c r="AA578" s="4" t="str">
        <f ca="1">IF(OR(INDEX($AG$2:$AG$1001,MATCH(ROWS($AF$2:AF578),$AF$2:$AF$1001,0),1)&gt;=100000,INDEX($AM$1005:$BM$1005,1,MATCH(COLUMNS($AM$1006:BL1006),$AM$1006:$BM$1006,0))&gt;=100000), " ",IF(INDEX($AM$2:$BM$1001,MATCH(ROWS($AF$2:AF578),$AF$2:$AF$1001,0),MATCH(COLUMNS($AM$1006:BL1006),$AM$1006:$BM$1006,0)), HYPERLINK("#",""), HYPERLINK(CONCATENATE("#metadata!", ADDRESS(INDEX($AH$2:$AH$1001,MATCH(ROWS($AF$2:AF578),$AF$2:$AF$1001,0),0), INDEX($AM$1004:$BM$1004,1,MATCH(COLUMNS($AM$1006:BL1006),$AM$1006:$BM$1006,0)))),"Fix")))</f>
        <v xml:space="preserve"> </v>
      </c>
      <c r="AB578" s="4" t="str">
        <f ca="1">IF(OR(INDEX($AG$2:$AG$1001,MATCH(ROWS($AF$2:AF578),$AF$2:$AF$1001,0),1)&gt;=100000,INDEX($AM$1005:$BM$1005,1,MATCH(COLUMNS($AM$1006:BM1006),$AM$1006:$BM$1006,0))&gt;=100000), " ",IF(INDEX($AM$2:$BM$1001,MATCH(ROWS($AF$2:AF578),$AF$2:$AF$1001,0),MATCH(COLUMNS($AM$1006:BM1006),$AM$1006:$BM$1006,0)), HYPERLINK("#",""), HYPERLINK(CONCATENATE("#metadata!", ADDRESS(INDEX($AH$2:$AH$1001,MATCH(ROWS($AF$2:AF578),$AF$2:$AF$1001,0),0), INDEX($AM$1004:$BM$1004,1,MATCH(COLUMNS($AM$1006:BM1006),$AM$1006:$BM$1006,0)))),"Fix")))</f>
        <v xml:space="preserve"> </v>
      </c>
      <c r="AF578">
        <v>577</v>
      </c>
      <c r="AG578">
        <v>100578</v>
      </c>
      <c r="AH578">
        <v>578</v>
      </c>
      <c r="AI578" t="b">
        <f t="shared" ref="AI578:AI641" si="9">IF(AJ578,TRUE,AND(AM578:BM578))</f>
        <v>1</v>
      </c>
      <c r="AJ578" t="b">
        <f>COUNTBLANK(metadata!B578:AB578)=COLUMNS(metadata!B578:AB578)</f>
        <v>1</v>
      </c>
      <c r="AK578" t="str">
        <v/>
      </c>
      <c r="AM578" t="b">
        <f ca="1">AND(IF(metadata!B578="",FALSE,TRUE),COUNTIF(metadata!B:B, metadata!B578) = 1,NOT(ISERROR(SUMPRODUCT(SEARCH(MID(metadata!B578,ROW(INDIRECT("1:"&amp;LEN(metadata!B578))), 1),"0123456789abcdefghijklmnopqrstuvwxyzABCDEFGHIJKLMNOPQRSTUVWXYZ.")))))</f>
        <v>0</v>
      </c>
      <c r="AN578" t="b">
        <f ca="1">OR(AND(IF(metadata!C578="",FALSE,TRUE),OR(EXACT(metadata!C578,"missing: not collected"),EXACT(metadata!C578,"missing: not provided"),EXACT(metadata!C578,"missing: restricted access"))),AND(IF(metadata!C578="",FALSE,TRUE),AND(AND(IFERROR(INT(LEFT(metadata!C578,4))&gt;1900,FALSE),IFERROR(INT(LEFT(metadata!C578,4))&lt;=YEAR(NOW()),FALSE)), OR(MID(metadata!C578,5,1)="", AND(AND(MID(metadata!C578,5,1)="-",IFERROR(INT(MID(metadata!C578,6,1))&gt;=0,FALSE),IFERROR(INT(MID(metadata!C578,6,1))&lt;=1,FALSE),NOT(MID(metadata!C578,7,1)=""),IFERROR(INT(MID(metadata!C578,6,2))&gt;=1,FALSE),IFERROR(INT(MID(metadata!C578,6,2))&lt;=12,FALSE)), OR(MID(metadata!C578,8,1)="", AND(AND(MID(metadata!C578,8,1)="-",IFERROR(INT(MID(metadata!C578,9,1))&gt;=0,FALSE),IFERROR(INT(MID(metadata!C578,9,1))&lt;=3,FALSE),NOT(MID(metadata!C578,10,1)=""),IFERROR(INT(MID(metadata!C578,9,2))&gt;=1,FALSE),IFERROR(INT(MID(metadata!C578,9,2))&lt;=31,FALSE)), OR(MID(metadata!C578,11,1)="", AND(AND(MID(metadata!C578,11,1)=" ",IFERROR(INT(MID(metadata!C578,12,1))&gt;=0,FALSE),IFERROR(INT(MID(metadata!C578,12,1))&lt;=2,FALSE),NOT(MID(metadata!C578,13,1)=""),IFERROR(INT(MID(metadata!C578,12,2))&gt;=0,FALSE),IFERROR(INT(MID(metadata!C578,12,2))&lt;=23,FALSE)), OR(MID(metadata!C578,14,1)="", AND(AND(MID(metadata!C578,14,1)=":",IFERROR(INT(MID(metadata!C578,15,1))&gt;=0,FALSE),IFERROR(INT(MID(metadata!C578,15,1))&lt;=5,FALSE),NOT(MID(metadata!C578,16,1)=""),IFERROR(INT(MID(metadata!C578,15,2))&gt;=0,FALSE),IFERROR(INT(MID(metadata!C578,15,2))&lt;=59,FALSE)), OR(MID(metadata!C578,17,1)="", AND(AND(MID(metadata!C578,17,1)=":",IFERROR(INT(MID(metadata!C578,18,1))&gt;=0,FALSE),IFERROR(INT(MID(metadata!C578,18,1))&lt;=5,FALSE),NOT(MID(metadata!C578,19,1)=""),IFERROR(INT(MID(metadata!C578,18,2))&gt;=0,FALSE),IFERROR(INT(MID(metadata!C578,18,2))&lt;=59,FALSE)), LEN(metadata!C578)&lt;=19)))))))))))))</f>
        <v>0</v>
      </c>
      <c r="AO578" t="b">
        <f>AND(IF(metadata!D578="",FALSE,TRUE),EXACT(metadata!D578,"Not applicable"))</f>
        <v>0</v>
      </c>
      <c r="AP578" t="b">
        <f>IF(metadata!E578="",FALSE,TRUE)</f>
        <v>0</v>
      </c>
      <c r="AQ578" t="b">
        <f>OR(AND(IF(metadata!F578="",FALSE,TRUE),OR(EXACT(metadata!F578,"missing: not collected"),EXACT(metadata!F578,"missing: not provided"))),AND(IF(metadata!F578="",FALSE,TRUE),OR(EXACT(metadata!F578,"TRUE"),EXACT(metadata!F578,"FALSE"))))</f>
        <v>0</v>
      </c>
      <c r="AR578" t="b">
        <f>OR(AND(IF(metadata!G578="",FALSE,TRUE),OR(EXACT(metadata!G578,"missing: not collected"),EXACT(metadata!G578,"missing: not provided"),EXACT(metadata!G578,"missing: restricted access"))),AND(IF(metadata!G578="",FALSE,ISNUMBER(VALUE(metadata!G578))),metadata!G578&gt;=-413))</f>
        <v>0</v>
      </c>
      <c r="AS578" t="b">
        <f>AND(IF(metadata!H578="",FALSE,TRUE),EXACT(metadata!H578,"meters"))</f>
        <v>0</v>
      </c>
      <c r="AT578" t="b">
        <f>AND(IF(metadata!I578="",FALSE,TRUE),OR(EXACT(metadata!I578,"Host-associated"),EXACT(metadata!I578,"Free-living")))</f>
        <v>0</v>
      </c>
      <c r="AU578" t="b">
        <f>AND(IF(metadata!J578="",FALSE,TRUE),OR(EXACT(metadata!J578,"Animal"),EXACT(metadata!J578,"Fungus"),EXACT(metadata!J578,"Plant"),EXACT(metadata!J578,"Saline"),EXACT(metadata!J578,"Non-saline")))</f>
        <v>0</v>
      </c>
      <c r="AV578" t="b">
        <f>AND(IF(metadata!K578="",FALSE,TRUE),OR(EXACT(metadata!K578,"Plant secretion"),EXACT(metadata!K578,"Plant rhizosphere"),EXACT(metadata!K578,"Plant surface"),EXACT(metadata!K578,"Plant corpus"),EXACT(metadata!K578,"Fungus surface"),EXACT(metadata!K578,"Fungus corpus"),EXACT(metadata!K578,"Animal surface"),EXACT(metadata!K578,"Animal proximal gut"),EXACT(metadata!K578,"Animal corpus"),EXACT(metadata!K578,"Animal distal gut"),EXACT(metadata!K578,"Animal secretion"),EXACT(metadata!K578,"Sub-surface (non-saline)"),EXACT(metadata!K578,"Surface (non-saline)"),EXACT(metadata!K578,"Water (non-saline)"),EXACT(metadata!K578,"Soil (non-saline)"),EXACT(metadata!K578,"Aerosol (non-saline)"),EXACT(metadata!K578,"Sediment (non-saline)"),EXACT(metadata!K578,"Surface (saline)"),EXACT(metadata!K578,"Water (saline)"),EXACT(metadata!K578,"Hypersaline (saline)"),EXACT(metadata!K578,"Aerosol (saline)"),EXACT(metadata!K578,"Sediment (saline)")))</f>
        <v>0</v>
      </c>
      <c r="AW578" t="b">
        <f>IF(metadata!L578="",FALSE,TRUE)</f>
        <v>0</v>
      </c>
      <c r="AX578" t="b">
        <f>IF(metadata!M578="",FALSE,TRUE)</f>
        <v>0</v>
      </c>
      <c r="AY578" t="b">
        <f>IF(metadata!N578="",FALSE,TRUE)</f>
        <v>0</v>
      </c>
      <c r="AZ578" t="b">
        <f>OR(AND(IF(metadata!O578="",FALSE,TRUE),OR(EXACT(metadata!O578,"missing: not collected"),EXACT(metadata!O578,"missing: not provided"),EXACT(metadata!O578,"missing: restricted access"))),AND(IF(metadata!O578="",FALSE,TRUE),OR(EXACT(metadata!O578,"air"),EXACT(metadata!O578,"built environment"),EXACT(metadata!O578,"host-associated"),EXACT(metadata!O578,"human-associated"),EXACT(metadata!O578,"human-skin"),EXACT(metadata!O578,"human-oral"),EXACT(metadata!O578,"human-gut"),EXACT(metadata!O578,"human-vaginal"),EXACT(metadata!O578,"microbial mat/biofilm"),EXACT(metadata!O578,"misc environment"),EXACT(metadata!O578,"plant-associated"),EXACT(metadata!O578,"sediment"),EXACT(metadata!O578,"soil"),EXACT(metadata!O578,"wastewater/sludge"),EXACT(metadata!O578,"water"))))</f>
        <v>0</v>
      </c>
      <c r="BA578" t="b">
        <f>IF(metadata!P578="",FALSE,TRUE)</f>
        <v>0</v>
      </c>
      <c r="BB578" t="b">
        <f>IF(metadata!Q578="",FALSE,TRUE)</f>
        <v>0</v>
      </c>
      <c r="BC578" t="b">
        <f>OR(AND(IF(metadata!R578="",FALSE,TRUE),OR(EXACT(metadata!R578,"missing: not collected"),EXACT(metadata!R578,"missing: not provided"),EXACT(metadata!R578,"missing: restricted access"))),AND(IF(metadata!R578="",FALSE,ISNUMBER(VALUE(metadata!R578))),metadata!R578&gt;=-90,metadata!R578&lt;=90))</f>
        <v>0</v>
      </c>
      <c r="BD578" t="b">
        <f>AND(IF(metadata!S578="",FALSE,TRUE),EXACT(metadata!S578,"Decimal degrees"))</f>
        <v>0</v>
      </c>
      <c r="BE578" t="b">
        <f>OR(AND(IF(metadata!T578="",FALSE,TRUE),OR(EXACT(metadata!T578,"missing: not collected"),EXACT(metadata!T578,"missing: not provided"),EXACT(metadata!T578,"missing: restricted access"))),AND(IF(metadata!T578="",FALSE,ISNUMBER(VALUE(metadata!T578))),metadata!T578&gt;=-180,metadata!T578&lt;=180))</f>
        <v>0</v>
      </c>
      <c r="BF578" t="b">
        <f>AND(IF(metadata!U578="",FALSE,TRUE),EXACT(metadata!U578,"Decimal degrees"))</f>
        <v>0</v>
      </c>
      <c r="BG578" t="b">
        <f>IF(metadata!V578="",FALSE,TRUE)</f>
        <v>0</v>
      </c>
      <c r="BH578" t="b">
        <f>OR(AND(IF(metadata!W578="",FALSE,TRUE),OR(EXACT(metadata!W578,"missing: not collected"),EXACT(metadata!W578,"missing: not provided"),EXACT(metadata!W578,"missing: restricted access"))),AND(IF(metadata!W578="",FALSE,TRUE),OR(EXACT(metadata!W578,"TRUE"),EXACT(metadata!W578,"FALSE"))))</f>
        <v>0</v>
      </c>
      <c r="BI578" t="b">
        <f>AND(IF(metadata!X578="",FALSE,TRUE),EXACT(metadata!X578,"other"))</f>
        <v>0</v>
      </c>
      <c r="BJ578" t="b">
        <f>IF(metadata!Y578="",FALSE,TRUE)</f>
        <v>0</v>
      </c>
      <c r="BK578" t="b">
        <f>OR(AND(IF(metadata!Z578="",FALSE,TRUE),OR(EXACT(metadata!Z578,"missing: not collected"),EXACT(metadata!Z578,"missing: not provided"))),AND(IF(metadata!Z578="",FALSE,IF(ISERROR(INT(metadata!Z578)),FALSE,INT(metadata!Z578)=metadata!Z578)),metadata!Z578&gt;0))</f>
        <v>0</v>
      </c>
      <c r="BL578" t="b">
        <f>AND(IF(metadata!AA578="",FALSE,TRUE),EXACT(metadata!AA578,"Not applicable"))</f>
        <v>0</v>
      </c>
      <c r="BM578" t="b">
        <f>IF(metadata!AB578="",FALSE,TRUE)</f>
        <v>0</v>
      </c>
    </row>
    <row r="579" spans="1:65" x14ac:dyDescent="0.2">
      <c r="A579" s="5" t="str">
        <f ca="1">IF(B579=" "," ",HYPERLINK(CONCATENATE("#metadata!",ADDRESS(INDEX($AH$2:$AH$1001,MATCH(ROWS($AF$2:AF579),$AF$2:$AF$1001,0),0),1)),INDEX($AK$2:$AK$1001,MATCH(ROWS($AF$2:AF579),$AF$2:$AF$1001,0),0)))</f>
        <v xml:space="preserve"> </v>
      </c>
      <c r="B579" s="4" t="str">
        <f ca="1">IF(OR(INDEX($AG$2:$AG$1001,MATCH(ROWS($AF$2:AF579),$AF$2:$AF$1001,0),1)&gt;=100000,INDEX($AM$1005:$BM$1005,1,MATCH(COLUMNS($AM$1006:AM1006),$AM$1006:$BM$1006,0))&gt;=100000), " ",IF(INDEX($AM$2:$BM$1001,MATCH(ROWS($AF$2:AF579),$AF$2:$AF$1001,0),MATCH(COLUMNS($AM$1006:AM1006),$AM$1006:$BM$1006,0)), HYPERLINK("#",""), HYPERLINK(CONCATENATE("#metadata!", ADDRESS(INDEX($AH$2:$AH$1001,MATCH(ROWS($AF$2:AF579),$AF$2:$AF$1001,0),0), INDEX($AM$1004:$BM$1004,1,MATCH(COLUMNS($AM$1006:AM1006),$AM$1006:$BM$1006,0)))),"Fix")))</f>
        <v xml:space="preserve"> </v>
      </c>
      <c r="C579" s="4" t="str">
        <f ca="1">IF(OR(INDEX($AG$2:$AG$1001,MATCH(ROWS($AF$2:AF579),$AF$2:$AF$1001,0),1)&gt;=100000,INDEX($AM$1005:$BM$1005,1,MATCH(COLUMNS($AM$1006:AN1006),$AM$1006:$BM$1006,0))&gt;=100000), " ",IF(INDEX($AM$2:$BM$1001,MATCH(ROWS($AF$2:AF579),$AF$2:$AF$1001,0),MATCH(COLUMNS($AM$1006:AN1006),$AM$1006:$BM$1006,0)), HYPERLINK("#",""), HYPERLINK(CONCATENATE("#metadata!", ADDRESS(INDEX($AH$2:$AH$1001,MATCH(ROWS($AF$2:AF579),$AF$2:$AF$1001,0),0), INDEX($AM$1004:$BM$1004,1,MATCH(COLUMNS($AM$1006:AN1006),$AM$1006:$BM$1006,0)))),"Fix")))</f>
        <v xml:space="preserve"> </v>
      </c>
      <c r="D579" s="4" t="str">
        <f ca="1">IF(OR(INDEX($AG$2:$AG$1001,MATCH(ROWS($AF$2:AF579),$AF$2:$AF$1001,0),1)&gt;=100000,INDEX($AM$1005:$BM$1005,1,MATCH(COLUMNS($AM$1006:AO1006),$AM$1006:$BM$1006,0))&gt;=100000), " ",IF(INDEX($AM$2:$BM$1001,MATCH(ROWS($AF$2:AF579),$AF$2:$AF$1001,0),MATCH(COLUMNS($AM$1006:AO1006),$AM$1006:$BM$1006,0)), HYPERLINK("#",""), HYPERLINK(CONCATENATE("#metadata!", ADDRESS(INDEX($AH$2:$AH$1001,MATCH(ROWS($AF$2:AF579),$AF$2:$AF$1001,0),0), INDEX($AM$1004:$BM$1004,1,MATCH(COLUMNS($AM$1006:AO1006),$AM$1006:$BM$1006,0)))),"Fix")))</f>
        <v xml:space="preserve"> </v>
      </c>
      <c r="E579" s="4" t="str">
        <f ca="1">IF(OR(INDEX($AG$2:$AG$1001,MATCH(ROWS($AF$2:AF579),$AF$2:$AF$1001,0),1)&gt;=100000,INDEX($AM$1005:$BM$1005,1,MATCH(COLUMNS($AM$1006:AP1006),$AM$1006:$BM$1006,0))&gt;=100000), " ",IF(INDEX($AM$2:$BM$1001,MATCH(ROWS($AF$2:AF579),$AF$2:$AF$1001,0),MATCH(COLUMNS($AM$1006:AP1006),$AM$1006:$BM$1006,0)), HYPERLINK("#",""), HYPERLINK(CONCATENATE("#metadata!", ADDRESS(INDEX($AH$2:$AH$1001,MATCH(ROWS($AF$2:AF579),$AF$2:$AF$1001,0),0), INDEX($AM$1004:$BM$1004,1,MATCH(COLUMNS($AM$1006:AP1006),$AM$1006:$BM$1006,0)))),"Fix")))</f>
        <v xml:space="preserve"> </v>
      </c>
      <c r="F579" s="4" t="str">
        <f ca="1">IF(OR(INDEX($AG$2:$AG$1001,MATCH(ROWS($AF$2:AF579),$AF$2:$AF$1001,0),1)&gt;=100000,INDEX($AM$1005:$BM$1005,1,MATCH(COLUMNS($AM$1006:AQ1006),$AM$1006:$BM$1006,0))&gt;=100000), " ",IF(INDEX($AM$2:$BM$1001,MATCH(ROWS($AF$2:AF579),$AF$2:$AF$1001,0),MATCH(COLUMNS($AM$1006:AQ1006),$AM$1006:$BM$1006,0)), HYPERLINK("#",""), HYPERLINK(CONCATENATE("#metadata!", ADDRESS(INDEX($AH$2:$AH$1001,MATCH(ROWS($AF$2:AF579),$AF$2:$AF$1001,0),0), INDEX($AM$1004:$BM$1004,1,MATCH(COLUMNS($AM$1006:AQ1006),$AM$1006:$BM$1006,0)))),"Fix")))</f>
        <v xml:space="preserve"> </v>
      </c>
      <c r="G579" s="4" t="str">
        <f ca="1">IF(OR(INDEX($AG$2:$AG$1001,MATCH(ROWS($AF$2:AF579),$AF$2:$AF$1001,0),1)&gt;=100000,INDEX($AM$1005:$BM$1005,1,MATCH(COLUMNS($AM$1006:AR1006),$AM$1006:$BM$1006,0))&gt;=100000), " ",IF(INDEX($AM$2:$BM$1001,MATCH(ROWS($AF$2:AF579),$AF$2:$AF$1001,0),MATCH(COLUMNS($AM$1006:AR1006),$AM$1006:$BM$1006,0)), HYPERLINK("#",""), HYPERLINK(CONCATENATE("#metadata!", ADDRESS(INDEX($AH$2:$AH$1001,MATCH(ROWS($AF$2:AF579),$AF$2:$AF$1001,0),0), INDEX($AM$1004:$BM$1004,1,MATCH(COLUMNS($AM$1006:AR1006),$AM$1006:$BM$1006,0)))),"Fix")))</f>
        <v xml:space="preserve"> </v>
      </c>
      <c r="H579" s="4" t="str">
        <f ca="1">IF(OR(INDEX($AG$2:$AG$1001,MATCH(ROWS($AF$2:AF579),$AF$2:$AF$1001,0),1)&gt;=100000,INDEX($AM$1005:$BM$1005,1,MATCH(COLUMNS($AM$1006:AS1006),$AM$1006:$BM$1006,0))&gt;=100000), " ",IF(INDEX($AM$2:$BM$1001,MATCH(ROWS($AF$2:AF579),$AF$2:$AF$1001,0),MATCH(COLUMNS($AM$1006:AS1006),$AM$1006:$BM$1006,0)), HYPERLINK("#",""), HYPERLINK(CONCATENATE("#metadata!", ADDRESS(INDEX($AH$2:$AH$1001,MATCH(ROWS($AF$2:AF579),$AF$2:$AF$1001,0),0), INDEX($AM$1004:$BM$1004,1,MATCH(COLUMNS($AM$1006:AS1006),$AM$1006:$BM$1006,0)))),"Fix")))</f>
        <v xml:space="preserve"> </v>
      </c>
      <c r="I579" s="4" t="str">
        <f ca="1">IF(OR(INDEX($AG$2:$AG$1001,MATCH(ROWS($AF$2:AF579),$AF$2:$AF$1001,0),1)&gt;=100000,INDEX($AM$1005:$BM$1005,1,MATCH(COLUMNS($AM$1006:AT1006),$AM$1006:$BM$1006,0))&gt;=100000), " ",IF(INDEX($AM$2:$BM$1001,MATCH(ROWS($AF$2:AF579),$AF$2:$AF$1001,0),MATCH(COLUMNS($AM$1006:AT1006),$AM$1006:$BM$1006,0)), HYPERLINK("#",""), HYPERLINK(CONCATENATE("#metadata!", ADDRESS(INDEX($AH$2:$AH$1001,MATCH(ROWS($AF$2:AF579),$AF$2:$AF$1001,0),0), INDEX($AM$1004:$BM$1004,1,MATCH(COLUMNS($AM$1006:AT1006),$AM$1006:$BM$1006,0)))),"Fix")))</f>
        <v xml:space="preserve"> </v>
      </c>
      <c r="J579" s="4" t="str">
        <f ca="1">IF(OR(INDEX($AG$2:$AG$1001,MATCH(ROWS($AF$2:AF579),$AF$2:$AF$1001,0),1)&gt;=100000,INDEX($AM$1005:$BM$1005,1,MATCH(COLUMNS($AM$1006:AU1006),$AM$1006:$BM$1006,0))&gt;=100000), " ",IF(INDEX($AM$2:$BM$1001,MATCH(ROWS($AF$2:AF579),$AF$2:$AF$1001,0),MATCH(COLUMNS($AM$1006:AU1006),$AM$1006:$BM$1006,0)), HYPERLINK("#",""), HYPERLINK(CONCATENATE("#metadata!", ADDRESS(INDEX($AH$2:$AH$1001,MATCH(ROWS($AF$2:AF579),$AF$2:$AF$1001,0),0), INDEX($AM$1004:$BM$1004,1,MATCH(COLUMNS($AM$1006:AU1006),$AM$1006:$BM$1006,0)))),"Fix")))</f>
        <v xml:space="preserve"> </v>
      </c>
      <c r="K579" s="4" t="str">
        <f ca="1">IF(OR(INDEX($AG$2:$AG$1001,MATCH(ROWS($AF$2:AF579),$AF$2:$AF$1001,0),1)&gt;=100000,INDEX($AM$1005:$BM$1005,1,MATCH(COLUMNS($AM$1006:AV1006),$AM$1006:$BM$1006,0))&gt;=100000), " ",IF(INDEX($AM$2:$BM$1001,MATCH(ROWS($AF$2:AF579),$AF$2:$AF$1001,0),MATCH(COLUMNS($AM$1006:AV1006),$AM$1006:$BM$1006,0)), HYPERLINK("#",""), HYPERLINK(CONCATENATE("#metadata!", ADDRESS(INDEX($AH$2:$AH$1001,MATCH(ROWS($AF$2:AF579),$AF$2:$AF$1001,0),0), INDEX($AM$1004:$BM$1004,1,MATCH(COLUMNS($AM$1006:AV1006),$AM$1006:$BM$1006,0)))),"Fix")))</f>
        <v xml:space="preserve"> </v>
      </c>
      <c r="L579" s="4" t="str">
        <f ca="1">IF(OR(INDEX($AG$2:$AG$1001,MATCH(ROWS($AF$2:AF579),$AF$2:$AF$1001,0),1)&gt;=100000,INDEX($AM$1005:$BM$1005,1,MATCH(COLUMNS($AM$1006:AW1006),$AM$1006:$BM$1006,0))&gt;=100000), " ",IF(INDEX($AM$2:$BM$1001,MATCH(ROWS($AF$2:AF579),$AF$2:$AF$1001,0),MATCH(COLUMNS($AM$1006:AW1006),$AM$1006:$BM$1006,0)), HYPERLINK("#",""), HYPERLINK(CONCATENATE("#metadata!", ADDRESS(INDEX($AH$2:$AH$1001,MATCH(ROWS($AF$2:AF579),$AF$2:$AF$1001,0),0), INDEX($AM$1004:$BM$1004,1,MATCH(COLUMNS($AM$1006:AW1006),$AM$1006:$BM$1006,0)))),"Fix")))</f>
        <v xml:space="preserve"> </v>
      </c>
      <c r="M579" s="4" t="str">
        <f ca="1">IF(OR(INDEX($AG$2:$AG$1001,MATCH(ROWS($AF$2:AF579),$AF$2:$AF$1001,0),1)&gt;=100000,INDEX($AM$1005:$BM$1005,1,MATCH(COLUMNS($AM$1006:AX1006),$AM$1006:$BM$1006,0))&gt;=100000), " ",IF(INDEX($AM$2:$BM$1001,MATCH(ROWS($AF$2:AF579),$AF$2:$AF$1001,0),MATCH(COLUMNS($AM$1006:AX1006),$AM$1006:$BM$1006,0)), HYPERLINK("#",""), HYPERLINK(CONCATENATE("#metadata!", ADDRESS(INDEX($AH$2:$AH$1001,MATCH(ROWS($AF$2:AF579),$AF$2:$AF$1001,0),0), INDEX($AM$1004:$BM$1004,1,MATCH(COLUMNS($AM$1006:AX1006),$AM$1006:$BM$1006,0)))),"Fix")))</f>
        <v xml:space="preserve"> </v>
      </c>
      <c r="N579" s="4" t="str">
        <f ca="1">IF(OR(INDEX($AG$2:$AG$1001,MATCH(ROWS($AF$2:AF579),$AF$2:$AF$1001,0),1)&gt;=100000,INDEX($AM$1005:$BM$1005,1,MATCH(COLUMNS($AM$1006:AY1006),$AM$1006:$BM$1006,0))&gt;=100000), " ",IF(INDEX($AM$2:$BM$1001,MATCH(ROWS($AF$2:AF579),$AF$2:$AF$1001,0),MATCH(COLUMNS($AM$1006:AY1006),$AM$1006:$BM$1006,0)), HYPERLINK("#",""), HYPERLINK(CONCATENATE("#metadata!", ADDRESS(INDEX($AH$2:$AH$1001,MATCH(ROWS($AF$2:AF579),$AF$2:$AF$1001,0),0), INDEX($AM$1004:$BM$1004,1,MATCH(COLUMNS($AM$1006:AY1006),$AM$1006:$BM$1006,0)))),"Fix")))</f>
        <v xml:space="preserve"> </v>
      </c>
      <c r="O579" s="4" t="str">
        <f ca="1">IF(OR(INDEX($AG$2:$AG$1001,MATCH(ROWS($AF$2:AF579),$AF$2:$AF$1001,0),1)&gt;=100000,INDEX($AM$1005:$BM$1005,1,MATCH(COLUMNS($AM$1006:AZ1006),$AM$1006:$BM$1006,0))&gt;=100000), " ",IF(INDEX($AM$2:$BM$1001,MATCH(ROWS($AF$2:AF579),$AF$2:$AF$1001,0),MATCH(COLUMNS($AM$1006:AZ1006),$AM$1006:$BM$1006,0)), HYPERLINK("#",""), HYPERLINK(CONCATENATE("#metadata!", ADDRESS(INDEX($AH$2:$AH$1001,MATCH(ROWS($AF$2:AF579),$AF$2:$AF$1001,0),0), INDEX($AM$1004:$BM$1004,1,MATCH(COLUMNS($AM$1006:AZ1006),$AM$1006:$BM$1006,0)))),"Fix")))</f>
        <v xml:space="preserve"> </v>
      </c>
      <c r="P579" s="4" t="str">
        <f ca="1">IF(OR(INDEX($AG$2:$AG$1001,MATCH(ROWS($AF$2:AF579),$AF$2:$AF$1001,0),1)&gt;=100000,INDEX($AM$1005:$BM$1005,1,MATCH(COLUMNS($AM$1006:BA1006),$AM$1006:$BM$1006,0))&gt;=100000), " ",IF(INDEX($AM$2:$BM$1001,MATCH(ROWS($AF$2:AF579),$AF$2:$AF$1001,0),MATCH(COLUMNS($AM$1006:BA1006),$AM$1006:$BM$1006,0)), HYPERLINK("#",""), HYPERLINK(CONCATENATE("#metadata!", ADDRESS(INDEX($AH$2:$AH$1001,MATCH(ROWS($AF$2:AF579),$AF$2:$AF$1001,0),0), INDEX($AM$1004:$BM$1004,1,MATCH(COLUMNS($AM$1006:BA1006),$AM$1006:$BM$1006,0)))),"Fix")))</f>
        <v xml:space="preserve"> </v>
      </c>
      <c r="Q579" s="4" t="str">
        <f ca="1">IF(OR(INDEX($AG$2:$AG$1001,MATCH(ROWS($AF$2:AF579),$AF$2:$AF$1001,0),1)&gt;=100000,INDEX($AM$1005:$BM$1005,1,MATCH(COLUMNS($AM$1006:BB1006),$AM$1006:$BM$1006,0))&gt;=100000), " ",IF(INDEX($AM$2:$BM$1001,MATCH(ROWS($AF$2:AF579),$AF$2:$AF$1001,0),MATCH(COLUMNS($AM$1006:BB1006),$AM$1006:$BM$1006,0)), HYPERLINK("#",""), HYPERLINK(CONCATENATE("#metadata!", ADDRESS(INDEX($AH$2:$AH$1001,MATCH(ROWS($AF$2:AF579),$AF$2:$AF$1001,0),0), INDEX($AM$1004:$BM$1004,1,MATCH(COLUMNS($AM$1006:BB1006),$AM$1006:$BM$1006,0)))),"Fix")))</f>
        <v xml:space="preserve"> </v>
      </c>
      <c r="R579" s="4" t="str">
        <f ca="1">IF(OR(INDEX($AG$2:$AG$1001,MATCH(ROWS($AF$2:AF579),$AF$2:$AF$1001,0),1)&gt;=100000,INDEX($AM$1005:$BM$1005,1,MATCH(COLUMNS($AM$1006:BC1006),$AM$1006:$BM$1006,0))&gt;=100000), " ",IF(INDEX($AM$2:$BM$1001,MATCH(ROWS($AF$2:AF579),$AF$2:$AF$1001,0),MATCH(COLUMNS($AM$1006:BC1006),$AM$1006:$BM$1006,0)), HYPERLINK("#",""), HYPERLINK(CONCATENATE("#metadata!", ADDRESS(INDEX($AH$2:$AH$1001,MATCH(ROWS($AF$2:AF579),$AF$2:$AF$1001,0),0), INDEX($AM$1004:$BM$1004,1,MATCH(COLUMNS($AM$1006:BC1006),$AM$1006:$BM$1006,0)))),"Fix")))</f>
        <v xml:space="preserve"> </v>
      </c>
      <c r="S579" s="4" t="str">
        <f ca="1">IF(OR(INDEX($AG$2:$AG$1001,MATCH(ROWS($AF$2:AF579),$AF$2:$AF$1001,0),1)&gt;=100000,INDEX($AM$1005:$BM$1005,1,MATCH(COLUMNS($AM$1006:BD1006),$AM$1006:$BM$1006,0))&gt;=100000), " ",IF(INDEX($AM$2:$BM$1001,MATCH(ROWS($AF$2:AF579),$AF$2:$AF$1001,0),MATCH(COLUMNS($AM$1006:BD1006),$AM$1006:$BM$1006,0)), HYPERLINK("#",""), HYPERLINK(CONCATENATE("#metadata!", ADDRESS(INDEX($AH$2:$AH$1001,MATCH(ROWS($AF$2:AF579),$AF$2:$AF$1001,0),0), INDEX($AM$1004:$BM$1004,1,MATCH(COLUMNS($AM$1006:BD1006),$AM$1006:$BM$1006,0)))),"Fix")))</f>
        <v xml:space="preserve"> </v>
      </c>
      <c r="T579" s="4" t="str">
        <f ca="1">IF(OR(INDEX($AG$2:$AG$1001,MATCH(ROWS($AF$2:AF579),$AF$2:$AF$1001,0),1)&gt;=100000,INDEX($AM$1005:$BM$1005,1,MATCH(COLUMNS($AM$1006:BE1006),$AM$1006:$BM$1006,0))&gt;=100000), " ",IF(INDEX($AM$2:$BM$1001,MATCH(ROWS($AF$2:AF579),$AF$2:$AF$1001,0),MATCH(COLUMNS($AM$1006:BE1006),$AM$1006:$BM$1006,0)), HYPERLINK("#",""), HYPERLINK(CONCATENATE("#metadata!", ADDRESS(INDEX($AH$2:$AH$1001,MATCH(ROWS($AF$2:AF579),$AF$2:$AF$1001,0),0), INDEX($AM$1004:$BM$1004,1,MATCH(COLUMNS($AM$1006:BE1006),$AM$1006:$BM$1006,0)))),"Fix")))</f>
        <v xml:space="preserve"> </v>
      </c>
      <c r="U579" s="4" t="str">
        <f ca="1">IF(OR(INDEX($AG$2:$AG$1001,MATCH(ROWS($AF$2:AF579),$AF$2:$AF$1001,0),1)&gt;=100000,INDEX($AM$1005:$BM$1005,1,MATCH(COLUMNS($AM$1006:BF1006),$AM$1006:$BM$1006,0))&gt;=100000), " ",IF(INDEX($AM$2:$BM$1001,MATCH(ROWS($AF$2:AF579),$AF$2:$AF$1001,0),MATCH(COLUMNS($AM$1006:BF1006),$AM$1006:$BM$1006,0)), HYPERLINK("#",""), HYPERLINK(CONCATENATE("#metadata!", ADDRESS(INDEX($AH$2:$AH$1001,MATCH(ROWS($AF$2:AF579),$AF$2:$AF$1001,0),0), INDEX($AM$1004:$BM$1004,1,MATCH(COLUMNS($AM$1006:BF1006),$AM$1006:$BM$1006,0)))),"Fix")))</f>
        <v xml:space="preserve"> </v>
      </c>
      <c r="V579" s="4" t="str">
        <f ca="1">IF(OR(INDEX($AG$2:$AG$1001,MATCH(ROWS($AF$2:AF579),$AF$2:$AF$1001,0),1)&gt;=100000,INDEX($AM$1005:$BM$1005,1,MATCH(COLUMNS($AM$1006:BG1006),$AM$1006:$BM$1006,0))&gt;=100000), " ",IF(INDEX($AM$2:$BM$1001,MATCH(ROWS($AF$2:AF579),$AF$2:$AF$1001,0),MATCH(COLUMNS($AM$1006:BG1006),$AM$1006:$BM$1006,0)), HYPERLINK("#",""), HYPERLINK(CONCATENATE("#metadata!", ADDRESS(INDEX($AH$2:$AH$1001,MATCH(ROWS($AF$2:AF579),$AF$2:$AF$1001,0),0), INDEX($AM$1004:$BM$1004,1,MATCH(COLUMNS($AM$1006:BG1006),$AM$1006:$BM$1006,0)))),"Fix")))</f>
        <v xml:space="preserve"> </v>
      </c>
      <c r="W579" s="4" t="str">
        <f ca="1">IF(OR(INDEX($AG$2:$AG$1001,MATCH(ROWS($AF$2:AF579),$AF$2:$AF$1001,0),1)&gt;=100000,INDEX($AM$1005:$BM$1005,1,MATCH(COLUMNS($AM$1006:BH1006),$AM$1006:$BM$1006,0))&gt;=100000), " ",IF(INDEX($AM$2:$BM$1001,MATCH(ROWS($AF$2:AF579),$AF$2:$AF$1001,0),MATCH(COLUMNS($AM$1006:BH1006),$AM$1006:$BM$1006,0)), HYPERLINK("#",""), HYPERLINK(CONCATENATE("#metadata!", ADDRESS(INDEX($AH$2:$AH$1001,MATCH(ROWS($AF$2:AF579),$AF$2:$AF$1001,0),0), INDEX($AM$1004:$BM$1004,1,MATCH(COLUMNS($AM$1006:BH1006),$AM$1006:$BM$1006,0)))),"Fix")))</f>
        <v xml:space="preserve"> </v>
      </c>
      <c r="X579" s="4" t="str">
        <f ca="1">IF(OR(INDEX($AG$2:$AG$1001,MATCH(ROWS($AF$2:AF579),$AF$2:$AF$1001,0),1)&gt;=100000,INDEX($AM$1005:$BM$1005,1,MATCH(COLUMNS($AM$1006:BI1006),$AM$1006:$BM$1006,0))&gt;=100000), " ",IF(INDEX($AM$2:$BM$1001,MATCH(ROWS($AF$2:AF579),$AF$2:$AF$1001,0),MATCH(COLUMNS($AM$1006:BI1006),$AM$1006:$BM$1006,0)), HYPERLINK("#",""), HYPERLINK(CONCATENATE("#metadata!", ADDRESS(INDEX($AH$2:$AH$1001,MATCH(ROWS($AF$2:AF579),$AF$2:$AF$1001,0),0), INDEX($AM$1004:$BM$1004,1,MATCH(COLUMNS($AM$1006:BI1006),$AM$1006:$BM$1006,0)))),"Fix")))</f>
        <v xml:space="preserve"> </v>
      </c>
      <c r="Y579" s="4" t="str">
        <f ca="1">IF(OR(INDEX($AG$2:$AG$1001,MATCH(ROWS($AF$2:AF579),$AF$2:$AF$1001,0),1)&gt;=100000,INDEX($AM$1005:$BM$1005,1,MATCH(COLUMNS($AM$1006:BJ1006),$AM$1006:$BM$1006,0))&gt;=100000), " ",IF(INDEX($AM$2:$BM$1001,MATCH(ROWS($AF$2:AF579),$AF$2:$AF$1001,0),MATCH(COLUMNS($AM$1006:BJ1006),$AM$1006:$BM$1006,0)), HYPERLINK("#",""), HYPERLINK(CONCATENATE("#metadata!", ADDRESS(INDEX($AH$2:$AH$1001,MATCH(ROWS($AF$2:AF579),$AF$2:$AF$1001,0),0), INDEX($AM$1004:$BM$1004,1,MATCH(COLUMNS($AM$1006:BJ1006),$AM$1006:$BM$1006,0)))),"Fix")))</f>
        <v xml:space="preserve"> </v>
      </c>
      <c r="Z579" s="4" t="str">
        <f ca="1">IF(OR(INDEX($AG$2:$AG$1001,MATCH(ROWS($AF$2:AF579),$AF$2:$AF$1001,0),1)&gt;=100000,INDEX($AM$1005:$BM$1005,1,MATCH(COLUMNS($AM$1006:BK1006),$AM$1006:$BM$1006,0))&gt;=100000), " ",IF(INDEX($AM$2:$BM$1001,MATCH(ROWS($AF$2:AF579),$AF$2:$AF$1001,0),MATCH(COLUMNS($AM$1006:BK1006),$AM$1006:$BM$1006,0)), HYPERLINK("#",""), HYPERLINK(CONCATENATE("#metadata!", ADDRESS(INDEX($AH$2:$AH$1001,MATCH(ROWS($AF$2:AF579),$AF$2:$AF$1001,0),0), INDEX($AM$1004:$BM$1004,1,MATCH(COLUMNS($AM$1006:BK1006),$AM$1006:$BM$1006,0)))),"Fix")))</f>
        <v xml:space="preserve"> </v>
      </c>
      <c r="AA579" s="4" t="str">
        <f ca="1">IF(OR(INDEX($AG$2:$AG$1001,MATCH(ROWS($AF$2:AF579),$AF$2:$AF$1001,0),1)&gt;=100000,INDEX($AM$1005:$BM$1005,1,MATCH(COLUMNS($AM$1006:BL1006),$AM$1006:$BM$1006,0))&gt;=100000), " ",IF(INDEX($AM$2:$BM$1001,MATCH(ROWS($AF$2:AF579),$AF$2:$AF$1001,0),MATCH(COLUMNS($AM$1006:BL1006),$AM$1006:$BM$1006,0)), HYPERLINK("#",""), HYPERLINK(CONCATENATE("#metadata!", ADDRESS(INDEX($AH$2:$AH$1001,MATCH(ROWS($AF$2:AF579),$AF$2:$AF$1001,0),0), INDEX($AM$1004:$BM$1004,1,MATCH(COLUMNS($AM$1006:BL1006),$AM$1006:$BM$1006,0)))),"Fix")))</f>
        <v xml:space="preserve"> </v>
      </c>
      <c r="AB579" s="4" t="str">
        <f ca="1">IF(OR(INDEX($AG$2:$AG$1001,MATCH(ROWS($AF$2:AF579),$AF$2:$AF$1001,0),1)&gt;=100000,INDEX($AM$1005:$BM$1005,1,MATCH(COLUMNS($AM$1006:BM1006),$AM$1006:$BM$1006,0))&gt;=100000), " ",IF(INDEX($AM$2:$BM$1001,MATCH(ROWS($AF$2:AF579),$AF$2:$AF$1001,0),MATCH(COLUMNS($AM$1006:BM1006),$AM$1006:$BM$1006,0)), HYPERLINK("#",""), HYPERLINK(CONCATENATE("#metadata!", ADDRESS(INDEX($AH$2:$AH$1001,MATCH(ROWS($AF$2:AF579),$AF$2:$AF$1001,0),0), INDEX($AM$1004:$BM$1004,1,MATCH(COLUMNS($AM$1006:BM1006),$AM$1006:$BM$1006,0)))),"Fix")))</f>
        <v xml:space="preserve"> </v>
      </c>
      <c r="AF579">
        <v>578</v>
      </c>
      <c r="AG579">
        <v>100579</v>
      </c>
      <c r="AH579">
        <v>579</v>
      </c>
      <c r="AI579" t="b">
        <f t="shared" si="9"/>
        <v>1</v>
      </c>
      <c r="AJ579" t="b">
        <f>COUNTBLANK(metadata!B579:AB579)=COLUMNS(metadata!B579:AB579)</f>
        <v>1</v>
      </c>
      <c r="AK579" t="str">
        <v/>
      </c>
      <c r="AM579" t="b">
        <f ca="1">AND(IF(metadata!B579="",FALSE,TRUE),COUNTIF(metadata!B:B, metadata!B579) = 1,NOT(ISERROR(SUMPRODUCT(SEARCH(MID(metadata!B579,ROW(INDIRECT("1:"&amp;LEN(metadata!B579))), 1),"0123456789abcdefghijklmnopqrstuvwxyzABCDEFGHIJKLMNOPQRSTUVWXYZ.")))))</f>
        <v>0</v>
      </c>
      <c r="AN579" t="b">
        <f ca="1">OR(AND(IF(metadata!C579="",FALSE,TRUE),OR(EXACT(metadata!C579,"missing: not collected"),EXACT(metadata!C579,"missing: not provided"),EXACT(metadata!C579,"missing: restricted access"))),AND(IF(metadata!C579="",FALSE,TRUE),AND(AND(IFERROR(INT(LEFT(metadata!C579,4))&gt;1900,FALSE),IFERROR(INT(LEFT(metadata!C579,4))&lt;=YEAR(NOW()),FALSE)), OR(MID(metadata!C579,5,1)="", AND(AND(MID(metadata!C579,5,1)="-",IFERROR(INT(MID(metadata!C579,6,1))&gt;=0,FALSE),IFERROR(INT(MID(metadata!C579,6,1))&lt;=1,FALSE),NOT(MID(metadata!C579,7,1)=""),IFERROR(INT(MID(metadata!C579,6,2))&gt;=1,FALSE),IFERROR(INT(MID(metadata!C579,6,2))&lt;=12,FALSE)), OR(MID(metadata!C579,8,1)="", AND(AND(MID(metadata!C579,8,1)="-",IFERROR(INT(MID(metadata!C579,9,1))&gt;=0,FALSE),IFERROR(INT(MID(metadata!C579,9,1))&lt;=3,FALSE),NOT(MID(metadata!C579,10,1)=""),IFERROR(INT(MID(metadata!C579,9,2))&gt;=1,FALSE),IFERROR(INT(MID(metadata!C579,9,2))&lt;=31,FALSE)), OR(MID(metadata!C579,11,1)="", AND(AND(MID(metadata!C579,11,1)=" ",IFERROR(INT(MID(metadata!C579,12,1))&gt;=0,FALSE),IFERROR(INT(MID(metadata!C579,12,1))&lt;=2,FALSE),NOT(MID(metadata!C579,13,1)=""),IFERROR(INT(MID(metadata!C579,12,2))&gt;=0,FALSE),IFERROR(INT(MID(metadata!C579,12,2))&lt;=23,FALSE)), OR(MID(metadata!C579,14,1)="", AND(AND(MID(metadata!C579,14,1)=":",IFERROR(INT(MID(metadata!C579,15,1))&gt;=0,FALSE),IFERROR(INT(MID(metadata!C579,15,1))&lt;=5,FALSE),NOT(MID(metadata!C579,16,1)=""),IFERROR(INT(MID(metadata!C579,15,2))&gt;=0,FALSE),IFERROR(INT(MID(metadata!C579,15,2))&lt;=59,FALSE)), OR(MID(metadata!C579,17,1)="", AND(AND(MID(metadata!C579,17,1)=":",IFERROR(INT(MID(metadata!C579,18,1))&gt;=0,FALSE),IFERROR(INT(MID(metadata!C579,18,1))&lt;=5,FALSE),NOT(MID(metadata!C579,19,1)=""),IFERROR(INT(MID(metadata!C579,18,2))&gt;=0,FALSE),IFERROR(INT(MID(metadata!C579,18,2))&lt;=59,FALSE)), LEN(metadata!C579)&lt;=19)))))))))))))</f>
        <v>0</v>
      </c>
      <c r="AO579" t="b">
        <f>AND(IF(metadata!D579="",FALSE,TRUE),EXACT(metadata!D579,"Not applicable"))</f>
        <v>0</v>
      </c>
      <c r="AP579" t="b">
        <f>IF(metadata!E579="",FALSE,TRUE)</f>
        <v>0</v>
      </c>
      <c r="AQ579" t="b">
        <f>OR(AND(IF(metadata!F579="",FALSE,TRUE),OR(EXACT(metadata!F579,"missing: not collected"),EXACT(metadata!F579,"missing: not provided"))),AND(IF(metadata!F579="",FALSE,TRUE),OR(EXACT(metadata!F579,"TRUE"),EXACT(metadata!F579,"FALSE"))))</f>
        <v>0</v>
      </c>
      <c r="AR579" t="b">
        <f>OR(AND(IF(metadata!G579="",FALSE,TRUE),OR(EXACT(metadata!G579,"missing: not collected"),EXACT(metadata!G579,"missing: not provided"),EXACT(metadata!G579,"missing: restricted access"))),AND(IF(metadata!G579="",FALSE,ISNUMBER(VALUE(metadata!G579))),metadata!G579&gt;=-413))</f>
        <v>0</v>
      </c>
      <c r="AS579" t="b">
        <f>AND(IF(metadata!H579="",FALSE,TRUE),EXACT(metadata!H579,"meters"))</f>
        <v>0</v>
      </c>
      <c r="AT579" t="b">
        <f>AND(IF(metadata!I579="",FALSE,TRUE),OR(EXACT(metadata!I579,"Host-associated"),EXACT(metadata!I579,"Free-living")))</f>
        <v>0</v>
      </c>
      <c r="AU579" t="b">
        <f>AND(IF(metadata!J579="",FALSE,TRUE),OR(EXACT(metadata!J579,"Animal"),EXACT(metadata!J579,"Fungus"),EXACT(metadata!J579,"Plant"),EXACT(metadata!J579,"Saline"),EXACT(metadata!J579,"Non-saline")))</f>
        <v>0</v>
      </c>
      <c r="AV579" t="b">
        <f>AND(IF(metadata!K579="",FALSE,TRUE),OR(EXACT(metadata!K579,"Plant secretion"),EXACT(metadata!K579,"Plant rhizosphere"),EXACT(metadata!K579,"Plant surface"),EXACT(metadata!K579,"Plant corpus"),EXACT(metadata!K579,"Fungus surface"),EXACT(metadata!K579,"Fungus corpus"),EXACT(metadata!K579,"Animal surface"),EXACT(metadata!K579,"Animal proximal gut"),EXACT(metadata!K579,"Animal corpus"),EXACT(metadata!K579,"Animal distal gut"),EXACT(metadata!K579,"Animal secretion"),EXACT(metadata!K579,"Sub-surface (non-saline)"),EXACT(metadata!K579,"Surface (non-saline)"),EXACT(metadata!K579,"Water (non-saline)"),EXACT(metadata!K579,"Soil (non-saline)"),EXACT(metadata!K579,"Aerosol (non-saline)"),EXACT(metadata!K579,"Sediment (non-saline)"),EXACT(metadata!K579,"Surface (saline)"),EXACT(metadata!K579,"Water (saline)"),EXACT(metadata!K579,"Hypersaline (saline)"),EXACT(metadata!K579,"Aerosol (saline)"),EXACT(metadata!K579,"Sediment (saline)")))</f>
        <v>0</v>
      </c>
      <c r="AW579" t="b">
        <f>IF(metadata!L579="",FALSE,TRUE)</f>
        <v>0</v>
      </c>
      <c r="AX579" t="b">
        <f>IF(metadata!M579="",FALSE,TRUE)</f>
        <v>0</v>
      </c>
      <c r="AY579" t="b">
        <f>IF(metadata!N579="",FALSE,TRUE)</f>
        <v>0</v>
      </c>
      <c r="AZ579" t="b">
        <f>OR(AND(IF(metadata!O579="",FALSE,TRUE),OR(EXACT(metadata!O579,"missing: not collected"),EXACT(metadata!O579,"missing: not provided"),EXACT(metadata!O579,"missing: restricted access"))),AND(IF(metadata!O579="",FALSE,TRUE),OR(EXACT(metadata!O579,"air"),EXACT(metadata!O579,"built environment"),EXACT(metadata!O579,"host-associated"),EXACT(metadata!O579,"human-associated"),EXACT(metadata!O579,"human-skin"),EXACT(metadata!O579,"human-oral"),EXACT(metadata!O579,"human-gut"),EXACT(metadata!O579,"human-vaginal"),EXACT(metadata!O579,"microbial mat/biofilm"),EXACT(metadata!O579,"misc environment"),EXACT(metadata!O579,"plant-associated"),EXACT(metadata!O579,"sediment"),EXACT(metadata!O579,"soil"),EXACT(metadata!O579,"wastewater/sludge"),EXACT(metadata!O579,"water"))))</f>
        <v>0</v>
      </c>
      <c r="BA579" t="b">
        <f>IF(metadata!P579="",FALSE,TRUE)</f>
        <v>0</v>
      </c>
      <c r="BB579" t="b">
        <f>IF(metadata!Q579="",FALSE,TRUE)</f>
        <v>0</v>
      </c>
      <c r="BC579" t="b">
        <f>OR(AND(IF(metadata!R579="",FALSE,TRUE),OR(EXACT(metadata!R579,"missing: not collected"),EXACT(metadata!R579,"missing: not provided"),EXACT(metadata!R579,"missing: restricted access"))),AND(IF(metadata!R579="",FALSE,ISNUMBER(VALUE(metadata!R579))),metadata!R579&gt;=-90,metadata!R579&lt;=90))</f>
        <v>0</v>
      </c>
      <c r="BD579" t="b">
        <f>AND(IF(metadata!S579="",FALSE,TRUE),EXACT(metadata!S579,"Decimal degrees"))</f>
        <v>0</v>
      </c>
      <c r="BE579" t="b">
        <f>OR(AND(IF(metadata!T579="",FALSE,TRUE),OR(EXACT(metadata!T579,"missing: not collected"),EXACT(metadata!T579,"missing: not provided"),EXACT(metadata!T579,"missing: restricted access"))),AND(IF(metadata!T579="",FALSE,ISNUMBER(VALUE(metadata!T579))),metadata!T579&gt;=-180,metadata!T579&lt;=180))</f>
        <v>0</v>
      </c>
      <c r="BF579" t="b">
        <f>AND(IF(metadata!U579="",FALSE,TRUE),EXACT(metadata!U579,"Decimal degrees"))</f>
        <v>0</v>
      </c>
      <c r="BG579" t="b">
        <f>IF(metadata!V579="",FALSE,TRUE)</f>
        <v>0</v>
      </c>
      <c r="BH579" t="b">
        <f>OR(AND(IF(metadata!W579="",FALSE,TRUE),OR(EXACT(metadata!W579,"missing: not collected"),EXACT(metadata!W579,"missing: not provided"),EXACT(metadata!W579,"missing: restricted access"))),AND(IF(metadata!W579="",FALSE,TRUE),OR(EXACT(metadata!W579,"TRUE"),EXACT(metadata!W579,"FALSE"))))</f>
        <v>0</v>
      </c>
      <c r="BI579" t="b">
        <f>AND(IF(metadata!X579="",FALSE,TRUE),EXACT(metadata!X579,"other"))</f>
        <v>0</v>
      </c>
      <c r="BJ579" t="b">
        <f>IF(metadata!Y579="",FALSE,TRUE)</f>
        <v>0</v>
      </c>
      <c r="BK579" t="b">
        <f>OR(AND(IF(metadata!Z579="",FALSE,TRUE),OR(EXACT(metadata!Z579,"missing: not collected"),EXACT(metadata!Z579,"missing: not provided"))),AND(IF(metadata!Z579="",FALSE,IF(ISERROR(INT(metadata!Z579)),FALSE,INT(metadata!Z579)=metadata!Z579)),metadata!Z579&gt;0))</f>
        <v>0</v>
      </c>
      <c r="BL579" t="b">
        <f>AND(IF(metadata!AA579="",FALSE,TRUE),EXACT(metadata!AA579,"Not applicable"))</f>
        <v>0</v>
      </c>
      <c r="BM579" t="b">
        <f>IF(metadata!AB579="",FALSE,TRUE)</f>
        <v>0</v>
      </c>
    </row>
    <row r="580" spans="1:65" x14ac:dyDescent="0.2">
      <c r="A580" s="5" t="str">
        <f ca="1">IF(B580=" "," ",HYPERLINK(CONCATENATE("#metadata!",ADDRESS(INDEX($AH$2:$AH$1001,MATCH(ROWS($AF$2:AF580),$AF$2:$AF$1001,0),0),1)),INDEX($AK$2:$AK$1001,MATCH(ROWS($AF$2:AF580),$AF$2:$AF$1001,0),0)))</f>
        <v xml:space="preserve"> </v>
      </c>
      <c r="B580" s="4" t="str">
        <f ca="1">IF(OR(INDEX($AG$2:$AG$1001,MATCH(ROWS($AF$2:AF580),$AF$2:$AF$1001,0),1)&gt;=100000,INDEX($AM$1005:$BM$1005,1,MATCH(COLUMNS($AM$1006:AM1006),$AM$1006:$BM$1006,0))&gt;=100000), " ",IF(INDEX($AM$2:$BM$1001,MATCH(ROWS($AF$2:AF580),$AF$2:$AF$1001,0),MATCH(COLUMNS($AM$1006:AM1006),$AM$1006:$BM$1006,0)), HYPERLINK("#",""), HYPERLINK(CONCATENATE("#metadata!", ADDRESS(INDEX($AH$2:$AH$1001,MATCH(ROWS($AF$2:AF580),$AF$2:$AF$1001,0),0), INDEX($AM$1004:$BM$1004,1,MATCH(COLUMNS($AM$1006:AM1006),$AM$1006:$BM$1006,0)))),"Fix")))</f>
        <v xml:space="preserve"> </v>
      </c>
      <c r="C580" s="4" t="str">
        <f ca="1">IF(OR(INDEX($AG$2:$AG$1001,MATCH(ROWS($AF$2:AF580),$AF$2:$AF$1001,0),1)&gt;=100000,INDEX($AM$1005:$BM$1005,1,MATCH(COLUMNS($AM$1006:AN1006),$AM$1006:$BM$1006,0))&gt;=100000), " ",IF(INDEX($AM$2:$BM$1001,MATCH(ROWS($AF$2:AF580),$AF$2:$AF$1001,0),MATCH(COLUMNS($AM$1006:AN1006),$AM$1006:$BM$1006,0)), HYPERLINK("#",""), HYPERLINK(CONCATENATE("#metadata!", ADDRESS(INDEX($AH$2:$AH$1001,MATCH(ROWS($AF$2:AF580),$AF$2:$AF$1001,0),0), INDEX($AM$1004:$BM$1004,1,MATCH(COLUMNS($AM$1006:AN1006),$AM$1006:$BM$1006,0)))),"Fix")))</f>
        <v xml:space="preserve"> </v>
      </c>
      <c r="D580" s="4" t="str">
        <f ca="1">IF(OR(INDEX($AG$2:$AG$1001,MATCH(ROWS($AF$2:AF580),$AF$2:$AF$1001,0),1)&gt;=100000,INDEX($AM$1005:$BM$1005,1,MATCH(COLUMNS($AM$1006:AO1006),$AM$1006:$BM$1006,0))&gt;=100000), " ",IF(INDEX($AM$2:$BM$1001,MATCH(ROWS($AF$2:AF580),$AF$2:$AF$1001,0),MATCH(COLUMNS($AM$1006:AO1006),$AM$1006:$BM$1006,0)), HYPERLINK("#",""), HYPERLINK(CONCATENATE("#metadata!", ADDRESS(INDEX($AH$2:$AH$1001,MATCH(ROWS($AF$2:AF580),$AF$2:$AF$1001,0),0), INDEX($AM$1004:$BM$1004,1,MATCH(COLUMNS($AM$1006:AO1006),$AM$1006:$BM$1006,0)))),"Fix")))</f>
        <v xml:space="preserve"> </v>
      </c>
      <c r="E580" s="4" t="str">
        <f ca="1">IF(OR(INDEX($AG$2:$AG$1001,MATCH(ROWS($AF$2:AF580),$AF$2:$AF$1001,0),1)&gt;=100000,INDEX($AM$1005:$BM$1005,1,MATCH(COLUMNS($AM$1006:AP1006),$AM$1006:$BM$1006,0))&gt;=100000), " ",IF(INDEX($AM$2:$BM$1001,MATCH(ROWS($AF$2:AF580),$AF$2:$AF$1001,0),MATCH(COLUMNS($AM$1006:AP1006),$AM$1006:$BM$1006,0)), HYPERLINK("#",""), HYPERLINK(CONCATENATE("#metadata!", ADDRESS(INDEX($AH$2:$AH$1001,MATCH(ROWS($AF$2:AF580),$AF$2:$AF$1001,0),0), INDEX($AM$1004:$BM$1004,1,MATCH(COLUMNS($AM$1006:AP1006),$AM$1006:$BM$1006,0)))),"Fix")))</f>
        <v xml:space="preserve"> </v>
      </c>
      <c r="F580" s="4" t="str">
        <f ca="1">IF(OR(INDEX($AG$2:$AG$1001,MATCH(ROWS($AF$2:AF580),$AF$2:$AF$1001,0),1)&gt;=100000,INDEX($AM$1005:$BM$1005,1,MATCH(COLUMNS($AM$1006:AQ1006),$AM$1006:$BM$1006,0))&gt;=100000), " ",IF(INDEX($AM$2:$BM$1001,MATCH(ROWS($AF$2:AF580),$AF$2:$AF$1001,0),MATCH(COLUMNS($AM$1006:AQ1006),$AM$1006:$BM$1006,0)), HYPERLINK("#",""), HYPERLINK(CONCATENATE("#metadata!", ADDRESS(INDEX($AH$2:$AH$1001,MATCH(ROWS($AF$2:AF580),$AF$2:$AF$1001,0),0), INDEX($AM$1004:$BM$1004,1,MATCH(COLUMNS($AM$1006:AQ1006),$AM$1006:$BM$1006,0)))),"Fix")))</f>
        <v xml:space="preserve"> </v>
      </c>
      <c r="G580" s="4" t="str">
        <f ca="1">IF(OR(INDEX($AG$2:$AG$1001,MATCH(ROWS($AF$2:AF580),$AF$2:$AF$1001,0),1)&gt;=100000,INDEX($AM$1005:$BM$1005,1,MATCH(COLUMNS($AM$1006:AR1006),$AM$1006:$BM$1006,0))&gt;=100000), " ",IF(INDEX($AM$2:$BM$1001,MATCH(ROWS($AF$2:AF580),$AF$2:$AF$1001,0),MATCH(COLUMNS($AM$1006:AR1006),$AM$1006:$BM$1006,0)), HYPERLINK("#",""), HYPERLINK(CONCATENATE("#metadata!", ADDRESS(INDEX($AH$2:$AH$1001,MATCH(ROWS($AF$2:AF580),$AF$2:$AF$1001,0),0), INDEX($AM$1004:$BM$1004,1,MATCH(COLUMNS($AM$1006:AR1006),$AM$1006:$BM$1006,0)))),"Fix")))</f>
        <v xml:space="preserve"> </v>
      </c>
      <c r="H580" s="4" t="str">
        <f ca="1">IF(OR(INDEX($AG$2:$AG$1001,MATCH(ROWS($AF$2:AF580),$AF$2:$AF$1001,0),1)&gt;=100000,INDEX($AM$1005:$BM$1005,1,MATCH(COLUMNS($AM$1006:AS1006),$AM$1006:$BM$1006,0))&gt;=100000), " ",IF(INDEX($AM$2:$BM$1001,MATCH(ROWS($AF$2:AF580),$AF$2:$AF$1001,0),MATCH(COLUMNS($AM$1006:AS1006),$AM$1006:$BM$1006,0)), HYPERLINK("#",""), HYPERLINK(CONCATENATE("#metadata!", ADDRESS(INDEX($AH$2:$AH$1001,MATCH(ROWS($AF$2:AF580),$AF$2:$AF$1001,0),0), INDEX($AM$1004:$BM$1004,1,MATCH(COLUMNS($AM$1006:AS1006),$AM$1006:$BM$1006,0)))),"Fix")))</f>
        <v xml:space="preserve"> </v>
      </c>
      <c r="I580" s="4" t="str">
        <f ca="1">IF(OR(INDEX($AG$2:$AG$1001,MATCH(ROWS($AF$2:AF580),$AF$2:$AF$1001,0),1)&gt;=100000,INDEX($AM$1005:$BM$1005,1,MATCH(COLUMNS($AM$1006:AT1006),$AM$1006:$BM$1006,0))&gt;=100000), " ",IF(INDEX($AM$2:$BM$1001,MATCH(ROWS($AF$2:AF580),$AF$2:$AF$1001,0),MATCH(COLUMNS($AM$1006:AT1006),$AM$1006:$BM$1006,0)), HYPERLINK("#",""), HYPERLINK(CONCATENATE("#metadata!", ADDRESS(INDEX($AH$2:$AH$1001,MATCH(ROWS($AF$2:AF580),$AF$2:$AF$1001,0),0), INDEX($AM$1004:$BM$1004,1,MATCH(COLUMNS($AM$1006:AT1006),$AM$1006:$BM$1006,0)))),"Fix")))</f>
        <v xml:space="preserve"> </v>
      </c>
      <c r="J580" s="4" t="str">
        <f ca="1">IF(OR(INDEX($AG$2:$AG$1001,MATCH(ROWS($AF$2:AF580),$AF$2:$AF$1001,0),1)&gt;=100000,INDEX($AM$1005:$BM$1005,1,MATCH(COLUMNS($AM$1006:AU1006),$AM$1006:$BM$1006,0))&gt;=100000), " ",IF(INDEX($AM$2:$BM$1001,MATCH(ROWS($AF$2:AF580),$AF$2:$AF$1001,0),MATCH(COLUMNS($AM$1006:AU1006),$AM$1006:$BM$1006,0)), HYPERLINK("#",""), HYPERLINK(CONCATENATE("#metadata!", ADDRESS(INDEX($AH$2:$AH$1001,MATCH(ROWS($AF$2:AF580),$AF$2:$AF$1001,0),0), INDEX($AM$1004:$BM$1004,1,MATCH(COLUMNS($AM$1006:AU1006),$AM$1006:$BM$1006,0)))),"Fix")))</f>
        <v xml:space="preserve"> </v>
      </c>
      <c r="K580" s="4" t="str">
        <f ca="1">IF(OR(INDEX($AG$2:$AG$1001,MATCH(ROWS($AF$2:AF580),$AF$2:$AF$1001,0),1)&gt;=100000,INDEX($AM$1005:$BM$1005,1,MATCH(COLUMNS($AM$1006:AV1006),$AM$1006:$BM$1006,0))&gt;=100000), " ",IF(INDEX($AM$2:$BM$1001,MATCH(ROWS($AF$2:AF580),$AF$2:$AF$1001,0),MATCH(COLUMNS($AM$1006:AV1006),$AM$1006:$BM$1006,0)), HYPERLINK("#",""), HYPERLINK(CONCATENATE("#metadata!", ADDRESS(INDEX($AH$2:$AH$1001,MATCH(ROWS($AF$2:AF580),$AF$2:$AF$1001,0),0), INDEX($AM$1004:$BM$1004,1,MATCH(COLUMNS($AM$1006:AV1006),$AM$1006:$BM$1006,0)))),"Fix")))</f>
        <v xml:space="preserve"> </v>
      </c>
      <c r="L580" s="4" t="str">
        <f ca="1">IF(OR(INDEX($AG$2:$AG$1001,MATCH(ROWS($AF$2:AF580),$AF$2:$AF$1001,0),1)&gt;=100000,INDEX($AM$1005:$BM$1005,1,MATCH(COLUMNS($AM$1006:AW1006),$AM$1006:$BM$1006,0))&gt;=100000), " ",IF(INDEX($AM$2:$BM$1001,MATCH(ROWS($AF$2:AF580),$AF$2:$AF$1001,0),MATCH(COLUMNS($AM$1006:AW1006),$AM$1006:$BM$1006,0)), HYPERLINK("#",""), HYPERLINK(CONCATENATE("#metadata!", ADDRESS(INDEX($AH$2:$AH$1001,MATCH(ROWS($AF$2:AF580),$AF$2:$AF$1001,0),0), INDEX($AM$1004:$BM$1004,1,MATCH(COLUMNS($AM$1006:AW1006),$AM$1006:$BM$1006,0)))),"Fix")))</f>
        <v xml:space="preserve"> </v>
      </c>
      <c r="M580" s="4" t="str">
        <f ca="1">IF(OR(INDEX($AG$2:$AG$1001,MATCH(ROWS($AF$2:AF580),$AF$2:$AF$1001,0),1)&gt;=100000,INDEX($AM$1005:$BM$1005,1,MATCH(COLUMNS($AM$1006:AX1006),$AM$1006:$BM$1006,0))&gt;=100000), " ",IF(INDEX($AM$2:$BM$1001,MATCH(ROWS($AF$2:AF580),$AF$2:$AF$1001,0),MATCH(COLUMNS($AM$1006:AX1006),$AM$1006:$BM$1006,0)), HYPERLINK("#",""), HYPERLINK(CONCATENATE("#metadata!", ADDRESS(INDEX($AH$2:$AH$1001,MATCH(ROWS($AF$2:AF580),$AF$2:$AF$1001,0),0), INDEX($AM$1004:$BM$1004,1,MATCH(COLUMNS($AM$1006:AX1006),$AM$1006:$BM$1006,0)))),"Fix")))</f>
        <v xml:space="preserve"> </v>
      </c>
      <c r="N580" s="4" t="str">
        <f ca="1">IF(OR(INDEX($AG$2:$AG$1001,MATCH(ROWS($AF$2:AF580),$AF$2:$AF$1001,0),1)&gt;=100000,INDEX($AM$1005:$BM$1005,1,MATCH(COLUMNS($AM$1006:AY1006),$AM$1006:$BM$1006,0))&gt;=100000), " ",IF(INDEX($AM$2:$BM$1001,MATCH(ROWS($AF$2:AF580),$AF$2:$AF$1001,0),MATCH(COLUMNS($AM$1006:AY1006),$AM$1006:$BM$1006,0)), HYPERLINK("#",""), HYPERLINK(CONCATENATE("#metadata!", ADDRESS(INDEX($AH$2:$AH$1001,MATCH(ROWS($AF$2:AF580),$AF$2:$AF$1001,0),0), INDEX($AM$1004:$BM$1004,1,MATCH(COLUMNS($AM$1006:AY1006),$AM$1006:$BM$1006,0)))),"Fix")))</f>
        <v xml:space="preserve"> </v>
      </c>
      <c r="O580" s="4" t="str">
        <f ca="1">IF(OR(INDEX($AG$2:$AG$1001,MATCH(ROWS($AF$2:AF580),$AF$2:$AF$1001,0),1)&gt;=100000,INDEX($AM$1005:$BM$1005,1,MATCH(COLUMNS($AM$1006:AZ1006),$AM$1006:$BM$1006,0))&gt;=100000), " ",IF(INDEX($AM$2:$BM$1001,MATCH(ROWS($AF$2:AF580),$AF$2:$AF$1001,0),MATCH(COLUMNS($AM$1006:AZ1006),$AM$1006:$BM$1006,0)), HYPERLINK("#",""), HYPERLINK(CONCATENATE("#metadata!", ADDRESS(INDEX($AH$2:$AH$1001,MATCH(ROWS($AF$2:AF580),$AF$2:$AF$1001,0),0), INDEX($AM$1004:$BM$1004,1,MATCH(COLUMNS($AM$1006:AZ1006),$AM$1006:$BM$1006,0)))),"Fix")))</f>
        <v xml:space="preserve"> </v>
      </c>
      <c r="P580" s="4" t="str">
        <f ca="1">IF(OR(INDEX($AG$2:$AG$1001,MATCH(ROWS($AF$2:AF580),$AF$2:$AF$1001,0),1)&gt;=100000,INDEX($AM$1005:$BM$1005,1,MATCH(COLUMNS($AM$1006:BA1006),$AM$1006:$BM$1006,0))&gt;=100000), " ",IF(INDEX($AM$2:$BM$1001,MATCH(ROWS($AF$2:AF580),$AF$2:$AF$1001,0),MATCH(COLUMNS($AM$1006:BA1006),$AM$1006:$BM$1006,0)), HYPERLINK("#",""), HYPERLINK(CONCATENATE("#metadata!", ADDRESS(INDEX($AH$2:$AH$1001,MATCH(ROWS($AF$2:AF580),$AF$2:$AF$1001,0),0), INDEX($AM$1004:$BM$1004,1,MATCH(COLUMNS($AM$1006:BA1006),$AM$1006:$BM$1006,0)))),"Fix")))</f>
        <v xml:space="preserve"> </v>
      </c>
      <c r="Q580" s="4" t="str">
        <f ca="1">IF(OR(INDEX($AG$2:$AG$1001,MATCH(ROWS($AF$2:AF580),$AF$2:$AF$1001,0),1)&gt;=100000,INDEX($AM$1005:$BM$1005,1,MATCH(COLUMNS($AM$1006:BB1006),$AM$1006:$BM$1006,0))&gt;=100000), " ",IF(INDEX($AM$2:$BM$1001,MATCH(ROWS($AF$2:AF580),$AF$2:$AF$1001,0),MATCH(COLUMNS($AM$1006:BB1006),$AM$1006:$BM$1006,0)), HYPERLINK("#",""), HYPERLINK(CONCATENATE("#metadata!", ADDRESS(INDEX($AH$2:$AH$1001,MATCH(ROWS($AF$2:AF580),$AF$2:$AF$1001,0),0), INDEX($AM$1004:$BM$1004,1,MATCH(COLUMNS($AM$1006:BB1006),$AM$1006:$BM$1006,0)))),"Fix")))</f>
        <v xml:space="preserve"> </v>
      </c>
      <c r="R580" s="4" t="str">
        <f ca="1">IF(OR(INDEX($AG$2:$AG$1001,MATCH(ROWS($AF$2:AF580),$AF$2:$AF$1001,0),1)&gt;=100000,INDEX($AM$1005:$BM$1005,1,MATCH(COLUMNS($AM$1006:BC1006),$AM$1006:$BM$1006,0))&gt;=100000), " ",IF(INDEX($AM$2:$BM$1001,MATCH(ROWS($AF$2:AF580),$AF$2:$AF$1001,0),MATCH(COLUMNS($AM$1006:BC1006),$AM$1006:$BM$1006,0)), HYPERLINK("#",""), HYPERLINK(CONCATENATE("#metadata!", ADDRESS(INDEX($AH$2:$AH$1001,MATCH(ROWS($AF$2:AF580),$AF$2:$AF$1001,0),0), INDEX($AM$1004:$BM$1004,1,MATCH(COLUMNS($AM$1006:BC1006),$AM$1006:$BM$1006,0)))),"Fix")))</f>
        <v xml:space="preserve"> </v>
      </c>
      <c r="S580" s="4" t="str">
        <f ca="1">IF(OR(INDEX($AG$2:$AG$1001,MATCH(ROWS($AF$2:AF580),$AF$2:$AF$1001,0),1)&gt;=100000,INDEX($AM$1005:$BM$1005,1,MATCH(COLUMNS($AM$1006:BD1006),$AM$1006:$BM$1006,0))&gt;=100000), " ",IF(INDEX($AM$2:$BM$1001,MATCH(ROWS($AF$2:AF580),$AF$2:$AF$1001,0),MATCH(COLUMNS($AM$1006:BD1006),$AM$1006:$BM$1006,0)), HYPERLINK("#",""), HYPERLINK(CONCATENATE("#metadata!", ADDRESS(INDEX($AH$2:$AH$1001,MATCH(ROWS($AF$2:AF580),$AF$2:$AF$1001,0),0), INDEX($AM$1004:$BM$1004,1,MATCH(COLUMNS($AM$1006:BD1006),$AM$1006:$BM$1006,0)))),"Fix")))</f>
        <v xml:space="preserve"> </v>
      </c>
      <c r="T580" s="4" t="str">
        <f ca="1">IF(OR(INDEX($AG$2:$AG$1001,MATCH(ROWS($AF$2:AF580),$AF$2:$AF$1001,0),1)&gt;=100000,INDEX($AM$1005:$BM$1005,1,MATCH(COLUMNS($AM$1006:BE1006),$AM$1006:$BM$1006,0))&gt;=100000), " ",IF(INDEX($AM$2:$BM$1001,MATCH(ROWS($AF$2:AF580),$AF$2:$AF$1001,0),MATCH(COLUMNS($AM$1006:BE1006),$AM$1006:$BM$1006,0)), HYPERLINK("#",""), HYPERLINK(CONCATENATE("#metadata!", ADDRESS(INDEX($AH$2:$AH$1001,MATCH(ROWS($AF$2:AF580),$AF$2:$AF$1001,0),0), INDEX($AM$1004:$BM$1004,1,MATCH(COLUMNS($AM$1006:BE1006),$AM$1006:$BM$1006,0)))),"Fix")))</f>
        <v xml:space="preserve"> </v>
      </c>
      <c r="U580" s="4" t="str">
        <f ca="1">IF(OR(INDEX($AG$2:$AG$1001,MATCH(ROWS($AF$2:AF580),$AF$2:$AF$1001,0),1)&gt;=100000,INDEX($AM$1005:$BM$1005,1,MATCH(COLUMNS($AM$1006:BF1006),$AM$1006:$BM$1006,0))&gt;=100000), " ",IF(INDEX($AM$2:$BM$1001,MATCH(ROWS($AF$2:AF580),$AF$2:$AF$1001,0),MATCH(COLUMNS($AM$1006:BF1006),$AM$1006:$BM$1006,0)), HYPERLINK("#",""), HYPERLINK(CONCATENATE("#metadata!", ADDRESS(INDEX($AH$2:$AH$1001,MATCH(ROWS($AF$2:AF580),$AF$2:$AF$1001,0),0), INDEX($AM$1004:$BM$1004,1,MATCH(COLUMNS($AM$1006:BF1006),$AM$1006:$BM$1006,0)))),"Fix")))</f>
        <v xml:space="preserve"> </v>
      </c>
      <c r="V580" s="4" t="str">
        <f ca="1">IF(OR(INDEX($AG$2:$AG$1001,MATCH(ROWS($AF$2:AF580),$AF$2:$AF$1001,0),1)&gt;=100000,INDEX($AM$1005:$BM$1005,1,MATCH(COLUMNS($AM$1006:BG1006),$AM$1006:$BM$1006,0))&gt;=100000), " ",IF(INDEX($AM$2:$BM$1001,MATCH(ROWS($AF$2:AF580),$AF$2:$AF$1001,0),MATCH(COLUMNS($AM$1006:BG1006),$AM$1006:$BM$1006,0)), HYPERLINK("#",""), HYPERLINK(CONCATENATE("#metadata!", ADDRESS(INDEX($AH$2:$AH$1001,MATCH(ROWS($AF$2:AF580),$AF$2:$AF$1001,0),0), INDEX($AM$1004:$BM$1004,1,MATCH(COLUMNS($AM$1006:BG1006),$AM$1006:$BM$1006,0)))),"Fix")))</f>
        <v xml:space="preserve"> </v>
      </c>
      <c r="W580" s="4" t="str">
        <f ca="1">IF(OR(INDEX($AG$2:$AG$1001,MATCH(ROWS($AF$2:AF580),$AF$2:$AF$1001,0),1)&gt;=100000,INDEX($AM$1005:$BM$1005,1,MATCH(COLUMNS($AM$1006:BH1006),$AM$1006:$BM$1006,0))&gt;=100000), " ",IF(INDEX($AM$2:$BM$1001,MATCH(ROWS($AF$2:AF580),$AF$2:$AF$1001,0),MATCH(COLUMNS($AM$1006:BH1006),$AM$1006:$BM$1006,0)), HYPERLINK("#",""), HYPERLINK(CONCATENATE("#metadata!", ADDRESS(INDEX($AH$2:$AH$1001,MATCH(ROWS($AF$2:AF580),$AF$2:$AF$1001,0),0), INDEX($AM$1004:$BM$1004,1,MATCH(COLUMNS($AM$1006:BH1006),$AM$1006:$BM$1006,0)))),"Fix")))</f>
        <v xml:space="preserve"> </v>
      </c>
      <c r="X580" s="4" t="str">
        <f ca="1">IF(OR(INDEX($AG$2:$AG$1001,MATCH(ROWS($AF$2:AF580),$AF$2:$AF$1001,0),1)&gt;=100000,INDEX($AM$1005:$BM$1005,1,MATCH(COLUMNS($AM$1006:BI1006),$AM$1006:$BM$1006,0))&gt;=100000), " ",IF(INDEX($AM$2:$BM$1001,MATCH(ROWS($AF$2:AF580),$AF$2:$AF$1001,0),MATCH(COLUMNS($AM$1006:BI1006),$AM$1006:$BM$1006,0)), HYPERLINK("#",""), HYPERLINK(CONCATENATE("#metadata!", ADDRESS(INDEX($AH$2:$AH$1001,MATCH(ROWS($AF$2:AF580),$AF$2:$AF$1001,0),0), INDEX($AM$1004:$BM$1004,1,MATCH(COLUMNS($AM$1006:BI1006),$AM$1006:$BM$1006,0)))),"Fix")))</f>
        <v xml:space="preserve"> </v>
      </c>
      <c r="Y580" s="4" t="str">
        <f ca="1">IF(OR(INDEX($AG$2:$AG$1001,MATCH(ROWS($AF$2:AF580),$AF$2:$AF$1001,0),1)&gt;=100000,INDEX($AM$1005:$BM$1005,1,MATCH(COLUMNS($AM$1006:BJ1006),$AM$1006:$BM$1006,0))&gt;=100000), " ",IF(INDEX($AM$2:$BM$1001,MATCH(ROWS($AF$2:AF580),$AF$2:$AF$1001,0),MATCH(COLUMNS($AM$1006:BJ1006),$AM$1006:$BM$1006,0)), HYPERLINK("#",""), HYPERLINK(CONCATENATE("#metadata!", ADDRESS(INDEX($AH$2:$AH$1001,MATCH(ROWS($AF$2:AF580),$AF$2:$AF$1001,0),0), INDEX($AM$1004:$BM$1004,1,MATCH(COLUMNS($AM$1006:BJ1006),$AM$1006:$BM$1006,0)))),"Fix")))</f>
        <v xml:space="preserve"> </v>
      </c>
      <c r="Z580" s="4" t="str">
        <f ca="1">IF(OR(INDEX($AG$2:$AG$1001,MATCH(ROWS($AF$2:AF580),$AF$2:$AF$1001,0),1)&gt;=100000,INDEX($AM$1005:$BM$1005,1,MATCH(COLUMNS($AM$1006:BK1006),$AM$1006:$BM$1006,0))&gt;=100000), " ",IF(INDEX($AM$2:$BM$1001,MATCH(ROWS($AF$2:AF580),$AF$2:$AF$1001,0),MATCH(COLUMNS($AM$1006:BK1006),$AM$1006:$BM$1006,0)), HYPERLINK("#",""), HYPERLINK(CONCATENATE("#metadata!", ADDRESS(INDEX($AH$2:$AH$1001,MATCH(ROWS($AF$2:AF580),$AF$2:$AF$1001,0),0), INDEX($AM$1004:$BM$1004,1,MATCH(COLUMNS($AM$1006:BK1006),$AM$1006:$BM$1006,0)))),"Fix")))</f>
        <v xml:space="preserve"> </v>
      </c>
      <c r="AA580" s="4" t="str">
        <f ca="1">IF(OR(INDEX($AG$2:$AG$1001,MATCH(ROWS($AF$2:AF580),$AF$2:$AF$1001,0),1)&gt;=100000,INDEX($AM$1005:$BM$1005,1,MATCH(COLUMNS($AM$1006:BL1006),$AM$1006:$BM$1006,0))&gt;=100000), " ",IF(INDEX($AM$2:$BM$1001,MATCH(ROWS($AF$2:AF580),$AF$2:$AF$1001,0),MATCH(COLUMNS($AM$1006:BL1006),$AM$1006:$BM$1006,0)), HYPERLINK("#",""), HYPERLINK(CONCATENATE("#metadata!", ADDRESS(INDEX($AH$2:$AH$1001,MATCH(ROWS($AF$2:AF580),$AF$2:$AF$1001,0),0), INDEX($AM$1004:$BM$1004,1,MATCH(COLUMNS($AM$1006:BL1006),$AM$1006:$BM$1006,0)))),"Fix")))</f>
        <v xml:space="preserve"> </v>
      </c>
      <c r="AB580" s="4" t="str">
        <f ca="1">IF(OR(INDEX($AG$2:$AG$1001,MATCH(ROWS($AF$2:AF580),$AF$2:$AF$1001,0),1)&gt;=100000,INDEX($AM$1005:$BM$1005,1,MATCH(COLUMNS($AM$1006:BM1006),$AM$1006:$BM$1006,0))&gt;=100000), " ",IF(INDEX($AM$2:$BM$1001,MATCH(ROWS($AF$2:AF580),$AF$2:$AF$1001,0),MATCH(COLUMNS($AM$1006:BM1006),$AM$1006:$BM$1006,0)), HYPERLINK("#",""), HYPERLINK(CONCATENATE("#metadata!", ADDRESS(INDEX($AH$2:$AH$1001,MATCH(ROWS($AF$2:AF580),$AF$2:$AF$1001,0),0), INDEX($AM$1004:$BM$1004,1,MATCH(COLUMNS($AM$1006:BM1006),$AM$1006:$BM$1006,0)))),"Fix")))</f>
        <v xml:space="preserve"> </v>
      </c>
      <c r="AF580">
        <v>579</v>
      </c>
      <c r="AG580">
        <v>100580</v>
      </c>
      <c r="AH580">
        <v>580</v>
      </c>
      <c r="AI580" t="b">
        <f t="shared" si="9"/>
        <v>1</v>
      </c>
      <c r="AJ580" t="b">
        <f>COUNTBLANK(metadata!B580:AB580)=COLUMNS(metadata!B580:AB580)</f>
        <v>1</v>
      </c>
      <c r="AK580" t="str">
        <v/>
      </c>
      <c r="AM580" t="b">
        <f ca="1">AND(IF(metadata!B580="",FALSE,TRUE),COUNTIF(metadata!B:B, metadata!B580) = 1,NOT(ISERROR(SUMPRODUCT(SEARCH(MID(metadata!B580,ROW(INDIRECT("1:"&amp;LEN(metadata!B580))), 1),"0123456789abcdefghijklmnopqrstuvwxyzABCDEFGHIJKLMNOPQRSTUVWXYZ.")))))</f>
        <v>0</v>
      </c>
      <c r="AN580" t="b">
        <f ca="1">OR(AND(IF(metadata!C580="",FALSE,TRUE),OR(EXACT(metadata!C580,"missing: not collected"),EXACT(metadata!C580,"missing: not provided"),EXACT(metadata!C580,"missing: restricted access"))),AND(IF(metadata!C580="",FALSE,TRUE),AND(AND(IFERROR(INT(LEFT(metadata!C580,4))&gt;1900,FALSE),IFERROR(INT(LEFT(metadata!C580,4))&lt;=YEAR(NOW()),FALSE)), OR(MID(metadata!C580,5,1)="", AND(AND(MID(metadata!C580,5,1)="-",IFERROR(INT(MID(metadata!C580,6,1))&gt;=0,FALSE),IFERROR(INT(MID(metadata!C580,6,1))&lt;=1,FALSE),NOT(MID(metadata!C580,7,1)=""),IFERROR(INT(MID(metadata!C580,6,2))&gt;=1,FALSE),IFERROR(INT(MID(metadata!C580,6,2))&lt;=12,FALSE)), OR(MID(metadata!C580,8,1)="", AND(AND(MID(metadata!C580,8,1)="-",IFERROR(INT(MID(metadata!C580,9,1))&gt;=0,FALSE),IFERROR(INT(MID(metadata!C580,9,1))&lt;=3,FALSE),NOT(MID(metadata!C580,10,1)=""),IFERROR(INT(MID(metadata!C580,9,2))&gt;=1,FALSE),IFERROR(INT(MID(metadata!C580,9,2))&lt;=31,FALSE)), OR(MID(metadata!C580,11,1)="", AND(AND(MID(metadata!C580,11,1)=" ",IFERROR(INT(MID(metadata!C580,12,1))&gt;=0,FALSE),IFERROR(INT(MID(metadata!C580,12,1))&lt;=2,FALSE),NOT(MID(metadata!C580,13,1)=""),IFERROR(INT(MID(metadata!C580,12,2))&gt;=0,FALSE),IFERROR(INT(MID(metadata!C580,12,2))&lt;=23,FALSE)), OR(MID(metadata!C580,14,1)="", AND(AND(MID(metadata!C580,14,1)=":",IFERROR(INT(MID(metadata!C580,15,1))&gt;=0,FALSE),IFERROR(INT(MID(metadata!C580,15,1))&lt;=5,FALSE),NOT(MID(metadata!C580,16,1)=""),IFERROR(INT(MID(metadata!C580,15,2))&gt;=0,FALSE),IFERROR(INT(MID(metadata!C580,15,2))&lt;=59,FALSE)), OR(MID(metadata!C580,17,1)="", AND(AND(MID(metadata!C580,17,1)=":",IFERROR(INT(MID(metadata!C580,18,1))&gt;=0,FALSE),IFERROR(INT(MID(metadata!C580,18,1))&lt;=5,FALSE),NOT(MID(metadata!C580,19,1)=""),IFERROR(INT(MID(metadata!C580,18,2))&gt;=0,FALSE),IFERROR(INT(MID(metadata!C580,18,2))&lt;=59,FALSE)), LEN(metadata!C580)&lt;=19)))))))))))))</f>
        <v>0</v>
      </c>
      <c r="AO580" t="b">
        <f>AND(IF(metadata!D580="",FALSE,TRUE),EXACT(metadata!D580,"Not applicable"))</f>
        <v>0</v>
      </c>
      <c r="AP580" t="b">
        <f>IF(metadata!E580="",FALSE,TRUE)</f>
        <v>0</v>
      </c>
      <c r="AQ580" t="b">
        <f>OR(AND(IF(metadata!F580="",FALSE,TRUE),OR(EXACT(metadata!F580,"missing: not collected"),EXACT(metadata!F580,"missing: not provided"))),AND(IF(metadata!F580="",FALSE,TRUE),OR(EXACT(metadata!F580,"TRUE"),EXACT(metadata!F580,"FALSE"))))</f>
        <v>0</v>
      </c>
      <c r="AR580" t="b">
        <f>OR(AND(IF(metadata!G580="",FALSE,TRUE),OR(EXACT(metadata!G580,"missing: not collected"),EXACT(metadata!G580,"missing: not provided"),EXACT(metadata!G580,"missing: restricted access"))),AND(IF(metadata!G580="",FALSE,ISNUMBER(VALUE(metadata!G580))),metadata!G580&gt;=-413))</f>
        <v>0</v>
      </c>
      <c r="AS580" t="b">
        <f>AND(IF(metadata!H580="",FALSE,TRUE),EXACT(metadata!H580,"meters"))</f>
        <v>0</v>
      </c>
      <c r="AT580" t="b">
        <f>AND(IF(metadata!I580="",FALSE,TRUE),OR(EXACT(metadata!I580,"Host-associated"),EXACT(metadata!I580,"Free-living")))</f>
        <v>0</v>
      </c>
      <c r="AU580" t="b">
        <f>AND(IF(metadata!J580="",FALSE,TRUE),OR(EXACT(metadata!J580,"Animal"),EXACT(metadata!J580,"Fungus"),EXACT(metadata!J580,"Plant"),EXACT(metadata!J580,"Saline"),EXACT(metadata!J580,"Non-saline")))</f>
        <v>0</v>
      </c>
      <c r="AV580" t="b">
        <f>AND(IF(metadata!K580="",FALSE,TRUE),OR(EXACT(metadata!K580,"Plant secretion"),EXACT(metadata!K580,"Plant rhizosphere"),EXACT(metadata!K580,"Plant surface"),EXACT(metadata!K580,"Plant corpus"),EXACT(metadata!K580,"Fungus surface"),EXACT(metadata!K580,"Fungus corpus"),EXACT(metadata!K580,"Animal surface"),EXACT(metadata!K580,"Animal proximal gut"),EXACT(metadata!K580,"Animal corpus"),EXACT(metadata!K580,"Animal distal gut"),EXACT(metadata!K580,"Animal secretion"),EXACT(metadata!K580,"Sub-surface (non-saline)"),EXACT(metadata!K580,"Surface (non-saline)"),EXACT(metadata!K580,"Water (non-saline)"),EXACT(metadata!K580,"Soil (non-saline)"),EXACT(metadata!K580,"Aerosol (non-saline)"),EXACT(metadata!K580,"Sediment (non-saline)"),EXACT(metadata!K580,"Surface (saline)"),EXACT(metadata!K580,"Water (saline)"),EXACT(metadata!K580,"Hypersaline (saline)"),EXACT(metadata!K580,"Aerosol (saline)"),EXACT(metadata!K580,"Sediment (saline)")))</f>
        <v>0</v>
      </c>
      <c r="AW580" t="b">
        <f>IF(metadata!L580="",FALSE,TRUE)</f>
        <v>0</v>
      </c>
      <c r="AX580" t="b">
        <f>IF(metadata!M580="",FALSE,TRUE)</f>
        <v>0</v>
      </c>
      <c r="AY580" t="b">
        <f>IF(metadata!N580="",FALSE,TRUE)</f>
        <v>0</v>
      </c>
      <c r="AZ580" t="b">
        <f>OR(AND(IF(metadata!O580="",FALSE,TRUE),OR(EXACT(metadata!O580,"missing: not collected"),EXACT(metadata!O580,"missing: not provided"),EXACT(metadata!O580,"missing: restricted access"))),AND(IF(metadata!O580="",FALSE,TRUE),OR(EXACT(metadata!O580,"air"),EXACT(metadata!O580,"built environment"),EXACT(metadata!O580,"host-associated"),EXACT(metadata!O580,"human-associated"),EXACT(metadata!O580,"human-skin"),EXACT(metadata!O580,"human-oral"),EXACT(metadata!O580,"human-gut"),EXACT(metadata!O580,"human-vaginal"),EXACT(metadata!O580,"microbial mat/biofilm"),EXACT(metadata!O580,"misc environment"),EXACT(metadata!O580,"plant-associated"),EXACT(metadata!O580,"sediment"),EXACT(metadata!O580,"soil"),EXACT(metadata!O580,"wastewater/sludge"),EXACT(metadata!O580,"water"))))</f>
        <v>0</v>
      </c>
      <c r="BA580" t="b">
        <f>IF(metadata!P580="",FALSE,TRUE)</f>
        <v>0</v>
      </c>
      <c r="BB580" t="b">
        <f>IF(metadata!Q580="",FALSE,TRUE)</f>
        <v>0</v>
      </c>
      <c r="BC580" t="b">
        <f>OR(AND(IF(metadata!R580="",FALSE,TRUE),OR(EXACT(metadata!R580,"missing: not collected"),EXACT(metadata!R580,"missing: not provided"),EXACT(metadata!R580,"missing: restricted access"))),AND(IF(metadata!R580="",FALSE,ISNUMBER(VALUE(metadata!R580))),metadata!R580&gt;=-90,metadata!R580&lt;=90))</f>
        <v>0</v>
      </c>
      <c r="BD580" t="b">
        <f>AND(IF(metadata!S580="",FALSE,TRUE),EXACT(metadata!S580,"Decimal degrees"))</f>
        <v>0</v>
      </c>
      <c r="BE580" t="b">
        <f>OR(AND(IF(metadata!T580="",FALSE,TRUE),OR(EXACT(metadata!T580,"missing: not collected"),EXACT(metadata!T580,"missing: not provided"),EXACT(metadata!T580,"missing: restricted access"))),AND(IF(metadata!T580="",FALSE,ISNUMBER(VALUE(metadata!T580))),metadata!T580&gt;=-180,metadata!T580&lt;=180))</f>
        <v>0</v>
      </c>
      <c r="BF580" t="b">
        <f>AND(IF(metadata!U580="",FALSE,TRUE),EXACT(metadata!U580,"Decimal degrees"))</f>
        <v>0</v>
      </c>
      <c r="BG580" t="b">
        <f>IF(metadata!V580="",FALSE,TRUE)</f>
        <v>0</v>
      </c>
      <c r="BH580" t="b">
        <f>OR(AND(IF(metadata!W580="",FALSE,TRUE),OR(EXACT(metadata!W580,"missing: not collected"),EXACT(metadata!W580,"missing: not provided"),EXACT(metadata!W580,"missing: restricted access"))),AND(IF(metadata!W580="",FALSE,TRUE),OR(EXACT(metadata!W580,"TRUE"),EXACT(metadata!W580,"FALSE"))))</f>
        <v>0</v>
      </c>
      <c r="BI580" t="b">
        <f>AND(IF(metadata!X580="",FALSE,TRUE),EXACT(metadata!X580,"other"))</f>
        <v>0</v>
      </c>
      <c r="BJ580" t="b">
        <f>IF(metadata!Y580="",FALSE,TRUE)</f>
        <v>0</v>
      </c>
      <c r="BK580" t="b">
        <f>OR(AND(IF(metadata!Z580="",FALSE,TRUE),OR(EXACT(metadata!Z580,"missing: not collected"),EXACT(metadata!Z580,"missing: not provided"))),AND(IF(metadata!Z580="",FALSE,IF(ISERROR(INT(metadata!Z580)),FALSE,INT(metadata!Z580)=metadata!Z580)),metadata!Z580&gt;0))</f>
        <v>0</v>
      </c>
      <c r="BL580" t="b">
        <f>AND(IF(metadata!AA580="",FALSE,TRUE),EXACT(metadata!AA580,"Not applicable"))</f>
        <v>0</v>
      </c>
      <c r="BM580" t="b">
        <f>IF(metadata!AB580="",FALSE,TRUE)</f>
        <v>0</v>
      </c>
    </row>
    <row r="581" spans="1:65" x14ac:dyDescent="0.2">
      <c r="A581" s="5" t="str">
        <f ca="1">IF(B581=" "," ",HYPERLINK(CONCATENATE("#metadata!",ADDRESS(INDEX($AH$2:$AH$1001,MATCH(ROWS($AF$2:AF581),$AF$2:$AF$1001,0),0),1)),INDEX($AK$2:$AK$1001,MATCH(ROWS($AF$2:AF581),$AF$2:$AF$1001,0),0)))</f>
        <v xml:space="preserve"> </v>
      </c>
      <c r="B581" s="4" t="str">
        <f ca="1">IF(OR(INDEX($AG$2:$AG$1001,MATCH(ROWS($AF$2:AF581),$AF$2:$AF$1001,0),1)&gt;=100000,INDEX($AM$1005:$BM$1005,1,MATCH(COLUMNS($AM$1006:AM1006),$AM$1006:$BM$1006,0))&gt;=100000), " ",IF(INDEX($AM$2:$BM$1001,MATCH(ROWS($AF$2:AF581),$AF$2:$AF$1001,0),MATCH(COLUMNS($AM$1006:AM1006),$AM$1006:$BM$1006,0)), HYPERLINK("#",""), HYPERLINK(CONCATENATE("#metadata!", ADDRESS(INDEX($AH$2:$AH$1001,MATCH(ROWS($AF$2:AF581),$AF$2:$AF$1001,0),0), INDEX($AM$1004:$BM$1004,1,MATCH(COLUMNS($AM$1006:AM1006),$AM$1006:$BM$1006,0)))),"Fix")))</f>
        <v xml:space="preserve"> </v>
      </c>
      <c r="C581" s="4" t="str">
        <f ca="1">IF(OR(INDEX($AG$2:$AG$1001,MATCH(ROWS($AF$2:AF581),$AF$2:$AF$1001,0),1)&gt;=100000,INDEX($AM$1005:$BM$1005,1,MATCH(COLUMNS($AM$1006:AN1006),$AM$1006:$BM$1006,0))&gt;=100000), " ",IF(INDEX($AM$2:$BM$1001,MATCH(ROWS($AF$2:AF581),$AF$2:$AF$1001,0),MATCH(COLUMNS($AM$1006:AN1006),$AM$1006:$BM$1006,0)), HYPERLINK("#",""), HYPERLINK(CONCATENATE("#metadata!", ADDRESS(INDEX($AH$2:$AH$1001,MATCH(ROWS($AF$2:AF581),$AF$2:$AF$1001,0),0), INDEX($AM$1004:$BM$1004,1,MATCH(COLUMNS($AM$1006:AN1006),$AM$1006:$BM$1006,0)))),"Fix")))</f>
        <v xml:space="preserve"> </v>
      </c>
      <c r="D581" s="4" t="str">
        <f ca="1">IF(OR(INDEX($AG$2:$AG$1001,MATCH(ROWS($AF$2:AF581),$AF$2:$AF$1001,0),1)&gt;=100000,INDEX($AM$1005:$BM$1005,1,MATCH(COLUMNS($AM$1006:AO1006),$AM$1006:$BM$1006,0))&gt;=100000), " ",IF(INDEX($AM$2:$BM$1001,MATCH(ROWS($AF$2:AF581),$AF$2:$AF$1001,0),MATCH(COLUMNS($AM$1006:AO1006),$AM$1006:$BM$1006,0)), HYPERLINK("#",""), HYPERLINK(CONCATENATE("#metadata!", ADDRESS(INDEX($AH$2:$AH$1001,MATCH(ROWS($AF$2:AF581),$AF$2:$AF$1001,0),0), INDEX($AM$1004:$BM$1004,1,MATCH(COLUMNS($AM$1006:AO1006),$AM$1006:$BM$1006,0)))),"Fix")))</f>
        <v xml:space="preserve"> </v>
      </c>
      <c r="E581" s="4" t="str">
        <f ca="1">IF(OR(INDEX($AG$2:$AG$1001,MATCH(ROWS($AF$2:AF581),$AF$2:$AF$1001,0),1)&gt;=100000,INDEX($AM$1005:$BM$1005,1,MATCH(COLUMNS($AM$1006:AP1006),$AM$1006:$BM$1006,0))&gt;=100000), " ",IF(INDEX($AM$2:$BM$1001,MATCH(ROWS($AF$2:AF581),$AF$2:$AF$1001,0),MATCH(COLUMNS($AM$1006:AP1006),$AM$1006:$BM$1006,0)), HYPERLINK("#",""), HYPERLINK(CONCATENATE("#metadata!", ADDRESS(INDEX($AH$2:$AH$1001,MATCH(ROWS($AF$2:AF581),$AF$2:$AF$1001,0),0), INDEX($AM$1004:$BM$1004,1,MATCH(COLUMNS($AM$1006:AP1006),$AM$1006:$BM$1006,0)))),"Fix")))</f>
        <v xml:space="preserve"> </v>
      </c>
      <c r="F581" s="4" t="str">
        <f ca="1">IF(OR(INDEX($AG$2:$AG$1001,MATCH(ROWS($AF$2:AF581),$AF$2:$AF$1001,0),1)&gt;=100000,INDEX($AM$1005:$BM$1005,1,MATCH(COLUMNS($AM$1006:AQ1006),$AM$1006:$BM$1006,0))&gt;=100000), " ",IF(INDEX($AM$2:$BM$1001,MATCH(ROWS($AF$2:AF581),$AF$2:$AF$1001,0),MATCH(COLUMNS($AM$1006:AQ1006),$AM$1006:$BM$1006,0)), HYPERLINK("#",""), HYPERLINK(CONCATENATE("#metadata!", ADDRESS(INDEX($AH$2:$AH$1001,MATCH(ROWS($AF$2:AF581),$AF$2:$AF$1001,0),0), INDEX($AM$1004:$BM$1004,1,MATCH(COLUMNS($AM$1006:AQ1006),$AM$1006:$BM$1006,0)))),"Fix")))</f>
        <v xml:space="preserve"> </v>
      </c>
      <c r="G581" s="4" t="str">
        <f ca="1">IF(OR(INDEX($AG$2:$AG$1001,MATCH(ROWS($AF$2:AF581),$AF$2:$AF$1001,0),1)&gt;=100000,INDEX($AM$1005:$BM$1005,1,MATCH(COLUMNS($AM$1006:AR1006),$AM$1006:$BM$1006,0))&gt;=100000), " ",IF(INDEX($AM$2:$BM$1001,MATCH(ROWS($AF$2:AF581),$AF$2:$AF$1001,0),MATCH(COLUMNS($AM$1006:AR1006),$AM$1006:$BM$1006,0)), HYPERLINK("#",""), HYPERLINK(CONCATENATE("#metadata!", ADDRESS(INDEX($AH$2:$AH$1001,MATCH(ROWS($AF$2:AF581),$AF$2:$AF$1001,0),0), INDEX($AM$1004:$BM$1004,1,MATCH(COLUMNS($AM$1006:AR1006),$AM$1006:$BM$1006,0)))),"Fix")))</f>
        <v xml:space="preserve"> </v>
      </c>
      <c r="H581" s="4" t="str">
        <f ca="1">IF(OR(INDEX($AG$2:$AG$1001,MATCH(ROWS($AF$2:AF581),$AF$2:$AF$1001,0),1)&gt;=100000,INDEX($AM$1005:$BM$1005,1,MATCH(COLUMNS($AM$1006:AS1006),$AM$1006:$BM$1006,0))&gt;=100000), " ",IF(INDEX($AM$2:$BM$1001,MATCH(ROWS($AF$2:AF581),$AF$2:$AF$1001,0),MATCH(COLUMNS($AM$1006:AS1006),$AM$1006:$BM$1006,0)), HYPERLINK("#",""), HYPERLINK(CONCATENATE("#metadata!", ADDRESS(INDEX($AH$2:$AH$1001,MATCH(ROWS($AF$2:AF581),$AF$2:$AF$1001,0),0), INDEX($AM$1004:$BM$1004,1,MATCH(COLUMNS($AM$1006:AS1006),$AM$1006:$BM$1006,0)))),"Fix")))</f>
        <v xml:space="preserve"> </v>
      </c>
      <c r="I581" s="4" t="str">
        <f ca="1">IF(OR(INDEX($AG$2:$AG$1001,MATCH(ROWS($AF$2:AF581),$AF$2:$AF$1001,0),1)&gt;=100000,INDEX($AM$1005:$BM$1005,1,MATCH(COLUMNS($AM$1006:AT1006),$AM$1006:$BM$1006,0))&gt;=100000), " ",IF(INDEX($AM$2:$BM$1001,MATCH(ROWS($AF$2:AF581),$AF$2:$AF$1001,0),MATCH(COLUMNS($AM$1006:AT1006),$AM$1006:$BM$1006,0)), HYPERLINK("#",""), HYPERLINK(CONCATENATE("#metadata!", ADDRESS(INDEX($AH$2:$AH$1001,MATCH(ROWS($AF$2:AF581),$AF$2:$AF$1001,0),0), INDEX($AM$1004:$BM$1004,1,MATCH(COLUMNS($AM$1006:AT1006),$AM$1006:$BM$1006,0)))),"Fix")))</f>
        <v xml:space="preserve"> </v>
      </c>
      <c r="J581" s="4" t="str">
        <f ca="1">IF(OR(INDEX($AG$2:$AG$1001,MATCH(ROWS($AF$2:AF581),$AF$2:$AF$1001,0),1)&gt;=100000,INDEX($AM$1005:$BM$1005,1,MATCH(COLUMNS($AM$1006:AU1006),$AM$1006:$BM$1006,0))&gt;=100000), " ",IF(INDEX($AM$2:$BM$1001,MATCH(ROWS($AF$2:AF581),$AF$2:$AF$1001,0),MATCH(COLUMNS($AM$1006:AU1006),$AM$1006:$BM$1006,0)), HYPERLINK("#",""), HYPERLINK(CONCATENATE("#metadata!", ADDRESS(INDEX($AH$2:$AH$1001,MATCH(ROWS($AF$2:AF581),$AF$2:$AF$1001,0),0), INDEX($AM$1004:$BM$1004,1,MATCH(COLUMNS($AM$1006:AU1006),$AM$1006:$BM$1006,0)))),"Fix")))</f>
        <v xml:space="preserve"> </v>
      </c>
      <c r="K581" s="4" t="str">
        <f ca="1">IF(OR(INDEX($AG$2:$AG$1001,MATCH(ROWS($AF$2:AF581),$AF$2:$AF$1001,0),1)&gt;=100000,INDEX($AM$1005:$BM$1005,1,MATCH(COLUMNS($AM$1006:AV1006),$AM$1006:$BM$1006,0))&gt;=100000), " ",IF(INDEX($AM$2:$BM$1001,MATCH(ROWS($AF$2:AF581),$AF$2:$AF$1001,0),MATCH(COLUMNS($AM$1006:AV1006),$AM$1006:$BM$1006,0)), HYPERLINK("#",""), HYPERLINK(CONCATENATE("#metadata!", ADDRESS(INDEX($AH$2:$AH$1001,MATCH(ROWS($AF$2:AF581),$AF$2:$AF$1001,0),0), INDEX($AM$1004:$BM$1004,1,MATCH(COLUMNS($AM$1006:AV1006),$AM$1006:$BM$1006,0)))),"Fix")))</f>
        <v xml:space="preserve"> </v>
      </c>
      <c r="L581" s="4" t="str">
        <f ca="1">IF(OR(INDEX($AG$2:$AG$1001,MATCH(ROWS($AF$2:AF581),$AF$2:$AF$1001,0),1)&gt;=100000,INDEX($AM$1005:$BM$1005,1,MATCH(COLUMNS($AM$1006:AW1006),$AM$1006:$BM$1006,0))&gt;=100000), " ",IF(INDEX($AM$2:$BM$1001,MATCH(ROWS($AF$2:AF581),$AF$2:$AF$1001,0),MATCH(COLUMNS($AM$1006:AW1006),$AM$1006:$BM$1006,0)), HYPERLINK("#",""), HYPERLINK(CONCATENATE("#metadata!", ADDRESS(INDEX($AH$2:$AH$1001,MATCH(ROWS($AF$2:AF581),$AF$2:$AF$1001,0),0), INDEX($AM$1004:$BM$1004,1,MATCH(COLUMNS($AM$1006:AW1006),$AM$1006:$BM$1006,0)))),"Fix")))</f>
        <v xml:space="preserve"> </v>
      </c>
      <c r="M581" s="4" t="str">
        <f ca="1">IF(OR(INDEX($AG$2:$AG$1001,MATCH(ROWS($AF$2:AF581),$AF$2:$AF$1001,0),1)&gt;=100000,INDEX($AM$1005:$BM$1005,1,MATCH(COLUMNS($AM$1006:AX1006),$AM$1006:$BM$1006,0))&gt;=100000), " ",IF(INDEX($AM$2:$BM$1001,MATCH(ROWS($AF$2:AF581),$AF$2:$AF$1001,0),MATCH(COLUMNS($AM$1006:AX1006),$AM$1006:$BM$1006,0)), HYPERLINK("#",""), HYPERLINK(CONCATENATE("#metadata!", ADDRESS(INDEX($AH$2:$AH$1001,MATCH(ROWS($AF$2:AF581),$AF$2:$AF$1001,0),0), INDEX($AM$1004:$BM$1004,1,MATCH(COLUMNS($AM$1006:AX1006),$AM$1006:$BM$1006,0)))),"Fix")))</f>
        <v xml:space="preserve"> </v>
      </c>
      <c r="N581" s="4" t="str">
        <f ca="1">IF(OR(INDEX($AG$2:$AG$1001,MATCH(ROWS($AF$2:AF581),$AF$2:$AF$1001,0),1)&gt;=100000,INDEX($AM$1005:$BM$1005,1,MATCH(COLUMNS($AM$1006:AY1006),$AM$1006:$BM$1006,0))&gt;=100000), " ",IF(INDEX($AM$2:$BM$1001,MATCH(ROWS($AF$2:AF581),$AF$2:$AF$1001,0),MATCH(COLUMNS($AM$1006:AY1006),$AM$1006:$BM$1006,0)), HYPERLINK("#",""), HYPERLINK(CONCATENATE("#metadata!", ADDRESS(INDEX($AH$2:$AH$1001,MATCH(ROWS($AF$2:AF581),$AF$2:$AF$1001,0),0), INDEX($AM$1004:$BM$1004,1,MATCH(COLUMNS($AM$1006:AY1006),$AM$1006:$BM$1006,0)))),"Fix")))</f>
        <v xml:space="preserve"> </v>
      </c>
      <c r="O581" s="4" t="str">
        <f ca="1">IF(OR(INDEX($AG$2:$AG$1001,MATCH(ROWS($AF$2:AF581),$AF$2:$AF$1001,0),1)&gt;=100000,INDEX($AM$1005:$BM$1005,1,MATCH(COLUMNS($AM$1006:AZ1006),$AM$1006:$BM$1006,0))&gt;=100000), " ",IF(INDEX($AM$2:$BM$1001,MATCH(ROWS($AF$2:AF581),$AF$2:$AF$1001,0),MATCH(COLUMNS($AM$1006:AZ1006),$AM$1006:$BM$1006,0)), HYPERLINK("#",""), HYPERLINK(CONCATENATE("#metadata!", ADDRESS(INDEX($AH$2:$AH$1001,MATCH(ROWS($AF$2:AF581),$AF$2:$AF$1001,0),0), INDEX($AM$1004:$BM$1004,1,MATCH(COLUMNS($AM$1006:AZ1006),$AM$1006:$BM$1006,0)))),"Fix")))</f>
        <v xml:space="preserve"> </v>
      </c>
      <c r="P581" s="4" t="str">
        <f ca="1">IF(OR(INDEX($AG$2:$AG$1001,MATCH(ROWS($AF$2:AF581),$AF$2:$AF$1001,0),1)&gt;=100000,INDEX($AM$1005:$BM$1005,1,MATCH(COLUMNS($AM$1006:BA1006),$AM$1006:$BM$1006,0))&gt;=100000), " ",IF(INDEX($AM$2:$BM$1001,MATCH(ROWS($AF$2:AF581),$AF$2:$AF$1001,0),MATCH(COLUMNS($AM$1006:BA1006),$AM$1006:$BM$1006,0)), HYPERLINK("#",""), HYPERLINK(CONCATENATE("#metadata!", ADDRESS(INDEX($AH$2:$AH$1001,MATCH(ROWS($AF$2:AF581),$AF$2:$AF$1001,0),0), INDEX($AM$1004:$BM$1004,1,MATCH(COLUMNS($AM$1006:BA1006),$AM$1006:$BM$1006,0)))),"Fix")))</f>
        <v xml:space="preserve"> </v>
      </c>
      <c r="Q581" s="4" t="str">
        <f ca="1">IF(OR(INDEX($AG$2:$AG$1001,MATCH(ROWS($AF$2:AF581),$AF$2:$AF$1001,0),1)&gt;=100000,INDEX($AM$1005:$BM$1005,1,MATCH(COLUMNS($AM$1006:BB1006),$AM$1006:$BM$1006,0))&gt;=100000), " ",IF(INDEX($AM$2:$BM$1001,MATCH(ROWS($AF$2:AF581),$AF$2:$AF$1001,0),MATCH(COLUMNS($AM$1006:BB1006),$AM$1006:$BM$1006,0)), HYPERLINK("#",""), HYPERLINK(CONCATENATE("#metadata!", ADDRESS(INDEX($AH$2:$AH$1001,MATCH(ROWS($AF$2:AF581),$AF$2:$AF$1001,0),0), INDEX($AM$1004:$BM$1004,1,MATCH(COLUMNS($AM$1006:BB1006),$AM$1006:$BM$1006,0)))),"Fix")))</f>
        <v xml:space="preserve"> </v>
      </c>
      <c r="R581" s="4" t="str">
        <f ca="1">IF(OR(INDEX($AG$2:$AG$1001,MATCH(ROWS($AF$2:AF581),$AF$2:$AF$1001,0),1)&gt;=100000,INDEX($AM$1005:$BM$1005,1,MATCH(COLUMNS($AM$1006:BC1006),$AM$1006:$BM$1006,0))&gt;=100000), " ",IF(INDEX($AM$2:$BM$1001,MATCH(ROWS($AF$2:AF581),$AF$2:$AF$1001,0),MATCH(COLUMNS($AM$1006:BC1006),$AM$1006:$BM$1006,0)), HYPERLINK("#",""), HYPERLINK(CONCATENATE("#metadata!", ADDRESS(INDEX($AH$2:$AH$1001,MATCH(ROWS($AF$2:AF581),$AF$2:$AF$1001,0),0), INDEX($AM$1004:$BM$1004,1,MATCH(COLUMNS($AM$1006:BC1006),$AM$1006:$BM$1006,0)))),"Fix")))</f>
        <v xml:space="preserve"> </v>
      </c>
      <c r="S581" s="4" t="str">
        <f ca="1">IF(OR(INDEX($AG$2:$AG$1001,MATCH(ROWS($AF$2:AF581),$AF$2:$AF$1001,0),1)&gt;=100000,INDEX($AM$1005:$BM$1005,1,MATCH(COLUMNS($AM$1006:BD1006),$AM$1006:$BM$1006,0))&gt;=100000), " ",IF(INDEX($AM$2:$BM$1001,MATCH(ROWS($AF$2:AF581),$AF$2:$AF$1001,0),MATCH(COLUMNS($AM$1006:BD1006),$AM$1006:$BM$1006,0)), HYPERLINK("#",""), HYPERLINK(CONCATENATE("#metadata!", ADDRESS(INDEX($AH$2:$AH$1001,MATCH(ROWS($AF$2:AF581),$AF$2:$AF$1001,0),0), INDEX($AM$1004:$BM$1004,1,MATCH(COLUMNS($AM$1006:BD1006),$AM$1006:$BM$1006,0)))),"Fix")))</f>
        <v xml:space="preserve"> </v>
      </c>
      <c r="T581" s="4" t="str">
        <f ca="1">IF(OR(INDEX($AG$2:$AG$1001,MATCH(ROWS($AF$2:AF581),$AF$2:$AF$1001,0),1)&gt;=100000,INDEX($AM$1005:$BM$1005,1,MATCH(COLUMNS($AM$1006:BE1006),$AM$1006:$BM$1006,0))&gt;=100000), " ",IF(INDEX($AM$2:$BM$1001,MATCH(ROWS($AF$2:AF581),$AF$2:$AF$1001,0),MATCH(COLUMNS($AM$1006:BE1006),$AM$1006:$BM$1006,0)), HYPERLINK("#",""), HYPERLINK(CONCATENATE("#metadata!", ADDRESS(INDEX($AH$2:$AH$1001,MATCH(ROWS($AF$2:AF581),$AF$2:$AF$1001,0),0), INDEX($AM$1004:$BM$1004,1,MATCH(COLUMNS($AM$1006:BE1006),$AM$1006:$BM$1006,0)))),"Fix")))</f>
        <v xml:space="preserve"> </v>
      </c>
      <c r="U581" s="4" t="str">
        <f ca="1">IF(OR(INDEX($AG$2:$AG$1001,MATCH(ROWS($AF$2:AF581),$AF$2:$AF$1001,0),1)&gt;=100000,INDEX($AM$1005:$BM$1005,1,MATCH(COLUMNS($AM$1006:BF1006),$AM$1006:$BM$1006,0))&gt;=100000), " ",IF(INDEX($AM$2:$BM$1001,MATCH(ROWS($AF$2:AF581),$AF$2:$AF$1001,0),MATCH(COLUMNS($AM$1006:BF1006),$AM$1006:$BM$1006,0)), HYPERLINK("#",""), HYPERLINK(CONCATENATE("#metadata!", ADDRESS(INDEX($AH$2:$AH$1001,MATCH(ROWS($AF$2:AF581),$AF$2:$AF$1001,0),0), INDEX($AM$1004:$BM$1004,1,MATCH(COLUMNS($AM$1006:BF1006),$AM$1006:$BM$1006,0)))),"Fix")))</f>
        <v xml:space="preserve"> </v>
      </c>
      <c r="V581" s="4" t="str">
        <f ca="1">IF(OR(INDEX($AG$2:$AG$1001,MATCH(ROWS($AF$2:AF581),$AF$2:$AF$1001,0),1)&gt;=100000,INDEX($AM$1005:$BM$1005,1,MATCH(COLUMNS($AM$1006:BG1006),$AM$1006:$BM$1006,0))&gt;=100000), " ",IF(INDEX($AM$2:$BM$1001,MATCH(ROWS($AF$2:AF581),$AF$2:$AF$1001,0),MATCH(COLUMNS($AM$1006:BG1006),$AM$1006:$BM$1006,0)), HYPERLINK("#",""), HYPERLINK(CONCATENATE("#metadata!", ADDRESS(INDEX($AH$2:$AH$1001,MATCH(ROWS($AF$2:AF581),$AF$2:$AF$1001,0),0), INDEX($AM$1004:$BM$1004,1,MATCH(COLUMNS($AM$1006:BG1006),$AM$1006:$BM$1006,0)))),"Fix")))</f>
        <v xml:space="preserve"> </v>
      </c>
      <c r="W581" s="4" t="str">
        <f ca="1">IF(OR(INDEX($AG$2:$AG$1001,MATCH(ROWS($AF$2:AF581),$AF$2:$AF$1001,0),1)&gt;=100000,INDEX($AM$1005:$BM$1005,1,MATCH(COLUMNS($AM$1006:BH1006),$AM$1006:$BM$1006,0))&gt;=100000), " ",IF(INDEX($AM$2:$BM$1001,MATCH(ROWS($AF$2:AF581),$AF$2:$AF$1001,0),MATCH(COLUMNS($AM$1006:BH1006),$AM$1006:$BM$1006,0)), HYPERLINK("#",""), HYPERLINK(CONCATENATE("#metadata!", ADDRESS(INDEX($AH$2:$AH$1001,MATCH(ROWS($AF$2:AF581),$AF$2:$AF$1001,0),0), INDEX($AM$1004:$BM$1004,1,MATCH(COLUMNS($AM$1006:BH1006),$AM$1006:$BM$1006,0)))),"Fix")))</f>
        <v xml:space="preserve"> </v>
      </c>
      <c r="X581" s="4" t="str">
        <f ca="1">IF(OR(INDEX($AG$2:$AG$1001,MATCH(ROWS($AF$2:AF581),$AF$2:$AF$1001,0),1)&gt;=100000,INDEX($AM$1005:$BM$1005,1,MATCH(COLUMNS($AM$1006:BI1006),$AM$1006:$BM$1006,0))&gt;=100000), " ",IF(INDEX($AM$2:$BM$1001,MATCH(ROWS($AF$2:AF581),$AF$2:$AF$1001,0),MATCH(COLUMNS($AM$1006:BI1006),$AM$1006:$BM$1006,0)), HYPERLINK("#",""), HYPERLINK(CONCATENATE("#metadata!", ADDRESS(INDEX($AH$2:$AH$1001,MATCH(ROWS($AF$2:AF581),$AF$2:$AF$1001,0),0), INDEX($AM$1004:$BM$1004,1,MATCH(COLUMNS($AM$1006:BI1006),$AM$1006:$BM$1006,0)))),"Fix")))</f>
        <v xml:space="preserve"> </v>
      </c>
      <c r="Y581" s="4" t="str">
        <f ca="1">IF(OR(INDEX($AG$2:$AG$1001,MATCH(ROWS($AF$2:AF581),$AF$2:$AF$1001,0),1)&gt;=100000,INDEX($AM$1005:$BM$1005,1,MATCH(COLUMNS($AM$1006:BJ1006),$AM$1006:$BM$1006,0))&gt;=100000), " ",IF(INDEX($AM$2:$BM$1001,MATCH(ROWS($AF$2:AF581),$AF$2:$AF$1001,0),MATCH(COLUMNS($AM$1006:BJ1006),$AM$1006:$BM$1006,0)), HYPERLINK("#",""), HYPERLINK(CONCATENATE("#metadata!", ADDRESS(INDEX($AH$2:$AH$1001,MATCH(ROWS($AF$2:AF581),$AF$2:$AF$1001,0),0), INDEX($AM$1004:$BM$1004,1,MATCH(COLUMNS($AM$1006:BJ1006),$AM$1006:$BM$1006,0)))),"Fix")))</f>
        <v xml:space="preserve"> </v>
      </c>
      <c r="Z581" s="4" t="str">
        <f ca="1">IF(OR(INDEX($AG$2:$AG$1001,MATCH(ROWS($AF$2:AF581),$AF$2:$AF$1001,0),1)&gt;=100000,INDEX($AM$1005:$BM$1005,1,MATCH(COLUMNS($AM$1006:BK1006),$AM$1006:$BM$1006,0))&gt;=100000), " ",IF(INDEX($AM$2:$BM$1001,MATCH(ROWS($AF$2:AF581),$AF$2:$AF$1001,0),MATCH(COLUMNS($AM$1006:BK1006),$AM$1006:$BM$1006,0)), HYPERLINK("#",""), HYPERLINK(CONCATENATE("#metadata!", ADDRESS(INDEX($AH$2:$AH$1001,MATCH(ROWS($AF$2:AF581),$AF$2:$AF$1001,0),0), INDEX($AM$1004:$BM$1004,1,MATCH(COLUMNS($AM$1006:BK1006),$AM$1006:$BM$1006,0)))),"Fix")))</f>
        <v xml:space="preserve"> </v>
      </c>
      <c r="AA581" s="4" t="str">
        <f ca="1">IF(OR(INDEX($AG$2:$AG$1001,MATCH(ROWS($AF$2:AF581),$AF$2:$AF$1001,0),1)&gt;=100000,INDEX($AM$1005:$BM$1005,1,MATCH(COLUMNS($AM$1006:BL1006),$AM$1006:$BM$1006,0))&gt;=100000), " ",IF(INDEX($AM$2:$BM$1001,MATCH(ROWS($AF$2:AF581),$AF$2:$AF$1001,0),MATCH(COLUMNS($AM$1006:BL1006),$AM$1006:$BM$1006,0)), HYPERLINK("#",""), HYPERLINK(CONCATENATE("#metadata!", ADDRESS(INDEX($AH$2:$AH$1001,MATCH(ROWS($AF$2:AF581),$AF$2:$AF$1001,0),0), INDEX($AM$1004:$BM$1004,1,MATCH(COLUMNS($AM$1006:BL1006),$AM$1006:$BM$1006,0)))),"Fix")))</f>
        <v xml:space="preserve"> </v>
      </c>
      <c r="AB581" s="4" t="str">
        <f ca="1">IF(OR(INDEX($AG$2:$AG$1001,MATCH(ROWS($AF$2:AF581),$AF$2:$AF$1001,0),1)&gt;=100000,INDEX($AM$1005:$BM$1005,1,MATCH(COLUMNS($AM$1006:BM1006),$AM$1006:$BM$1006,0))&gt;=100000), " ",IF(INDEX($AM$2:$BM$1001,MATCH(ROWS($AF$2:AF581),$AF$2:$AF$1001,0),MATCH(COLUMNS($AM$1006:BM1006),$AM$1006:$BM$1006,0)), HYPERLINK("#",""), HYPERLINK(CONCATENATE("#metadata!", ADDRESS(INDEX($AH$2:$AH$1001,MATCH(ROWS($AF$2:AF581),$AF$2:$AF$1001,0),0), INDEX($AM$1004:$BM$1004,1,MATCH(COLUMNS($AM$1006:BM1006),$AM$1006:$BM$1006,0)))),"Fix")))</f>
        <v xml:space="preserve"> </v>
      </c>
      <c r="AF581">
        <v>580</v>
      </c>
      <c r="AG581">
        <v>100581</v>
      </c>
      <c r="AH581">
        <v>581</v>
      </c>
      <c r="AI581" t="b">
        <f t="shared" si="9"/>
        <v>1</v>
      </c>
      <c r="AJ581" t="b">
        <f>COUNTBLANK(metadata!B581:AB581)=COLUMNS(metadata!B581:AB581)</f>
        <v>1</v>
      </c>
      <c r="AK581" t="str">
        <v/>
      </c>
      <c r="AM581" t="b">
        <f ca="1">AND(IF(metadata!B581="",FALSE,TRUE),COUNTIF(metadata!B:B, metadata!B581) = 1,NOT(ISERROR(SUMPRODUCT(SEARCH(MID(metadata!B581,ROW(INDIRECT("1:"&amp;LEN(metadata!B581))), 1),"0123456789abcdefghijklmnopqrstuvwxyzABCDEFGHIJKLMNOPQRSTUVWXYZ.")))))</f>
        <v>0</v>
      </c>
      <c r="AN581" t="b">
        <f ca="1">OR(AND(IF(metadata!C581="",FALSE,TRUE),OR(EXACT(metadata!C581,"missing: not collected"),EXACT(metadata!C581,"missing: not provided"),EXACT(metadata!C581,"missing: restricted access"))),AND(IF(metadata!C581="",FALSE,TRUE),AND(AND(IFERROR(INT(LEFT(metadata!C581,4))&gt;1900,FALSE),IFERROR(INT(LEFT(metadata!C581,4))&lt;=YEAR(NOW()),FALSE)), OR(MID(metadata!C581,5,1)="", AND(AND(MID(metadata!C581,5,1)="-",IFERROR(INT(MID(metadata!C581,6,1))&gt;=0,FALSE),IFERROR(INT(MID(metadata!C581,6,1))&lt;=1,FALSE),NOT(MID(metadata!C581,7,1)=""),IFERROR(INT(MID(metadata!C581,6,2))&gt;=1,FALSE),IFERROR(INT(MID(metadata!C581,6,2))&lt;=12,FALSE)), OR(MID(metadata!C581,8,1)="", AND(AND(MID(metadata!C581,8,1)="-",IFERROR(INT(MID(metadata!C581,9,1))&gt;=0,FALSE),IFERROR(INT(MID(metadata!C581,9,1))&lt;=3,FALSE),NOT(MID(metadata!C581,10,1)=""),IFERROR(INT(MID(metadata!C581,9,2))&gt;=1,FALSE),IFERROR(INT(MID(metadata!C581,9,2))&lt;=31,FALSE)), OR(MID(metadata!C581,11,1)="", AND(AND(MID(metadata!C581,11,1)=" ",IFERROR(INT(MID(metadata!C581,12,1))&gt;=0,FALSE),IFERROR(INT(MID(metadata!C581,12,1))&lt;=2,FALSE),NOT(MID(metadata!C581,13,1)=""),IFERROR(INT(MID(metadata!C581,12,2))&gt;=0,FALSE),IFERROR(INT(MID(metadata!C581,12,2))&lt;=23,FALSE)), OR(MID(metadata!C581,14,1)="", AND(AND(MID(metadata!C581,14,1)=":",IFERROR(INT(MID(metadata!C581,15,1))&gt;=0,FALSE),IFERROR(INT(MID(metadata!C581,15,1))&lt;=5,FALSE),NOT(MID(metadata!C581,16,1)=""),IFERROR(INT(MID(metadata!C581,15,2))&gt;=0,FALSE),IFERROR(INT(MID(metadata!C581,15,2))&lt;=59,FALSE)), OR(MID(metadata!C581,17,1)="", AND(AND(MID(metadata!C581,17,1)=":",IFERROR(INT(MID(metadata!C581,18,1))&gt;=0,FALSE),IFERROR(INT(MID(metadata!C581,18,1))&lt;=5,FALSE),NOT(MID(metadata!C581,19,1)=""),IFERROR(INT(MID(metadata!C581,18,2))&gt;=0,FALSE),IFERROR(INT(MID(metadata!C581,18,2))&lt;=59,FALSE)), LEN(metadata!C581)&lt;=19)))))))))))))</f>
        <v>0</v>
      </c>
      <c r="AO581" t="b">
        <f>AND(IF(metadata!D581="",FALSE,TRUE),EXACT(metadata!D581,"Not applicable"))</f>
        <v>0</v>
      </c>
      <c r="AP581" t="b">
        <f>IF(metadata!E581="",FALSE,TRUE)</f>
        <v>0</v>
      </c>
      <c r="AQ581" t="b">
        <f>OR(AND(IF(metadata!F581="",FALSE,TRUE),OR(EXACT(metadata!F581,"missing: not collected"),EXACT(metadata!F581,"missing: not provided"))),AND(IF(metadata!F581="",FALSE,TRUE),OR(EXACT(metadata!F581,"TRUE"),EXACT(metadata!F581,"FALSE"))))</f>
        <v>0</v>
      </c>
      <c r="AR581" t="b">
        <f>OR(AND(IF(metadata!G581="",FALSE,TRUE),OR(EXACT(metadata!G581,"missing: not collected"),EXACT(metadata!G581,"missing: not provided"),EXACT(metadata!G581,"missing: restricted access"))),AND(IF(metadata!G581="",FALSE,ISNUMBER(VALUE(metadata!G581))),metadata!G581&gt;=-413))</f>
        <v>0</v>
      </c>
      <c r="AS581" t="b">
        <f>AND(IF(metadata!H581="",FALSE,TRUE),EXACT(metadata!H581,"meters"))</f>
        <v>0</v>
      </c>
      <c r="AT581" t="b">
        <f>AND(IF(metadata!I581="",FALSE,TRUE),OR(EXACT(metadata!I581,"Host-associated"),EXACT(metadata!I581,"Free-living")))</f>
        <v>0</v>
      </c>
      <c r="AU581" t="b">
        <f>AND(IF(metadata!J581="",FALSE,TRUE),OR(EXACT(metadata!J581,"Animal"),EXACT(metadata!J581,"Fungus"),EXACT(metadata!J581,"Plant"),EXACT(metadata!J581,"Saline"),EXACT(metadata!J581,"Non-saline")))</f>
        <v>0</v>
      </c>
      <c r="AV581" t="b">
        <f>AND(IF(metadata!K581="",FALSE,TRUE),OR(EXACT(metadata!K581,"Plant secretion"),EXACT(metadata!K581,"Plant rhizosphere"),EXACT(metadata!K581,"Plant surface"),EXACT(metadata!K581,"Plant corpus"),EXACT(metadata!K581,"Fungus surface"),EXACT(metadata!K581,"Fungus corpus"),EXACT(metadata!K581,"Animal surface"),EXACT(metadata!K581,"Animal proximal gut"),EXACT(metadata!K581,"Animal corpus"),EXACT(metadata!K581,"Animal distal gut"),EXACT(metadata!K581,"Animal secretion"),EXACT(metadata!K581,"Sub-surface (non-saline)"),EXACT(metadata!K581,"Surface (non-saline)"),EXACT(metadata!K581,"Water (non-saline)"),EXACT(metadata!K581,"Soil (non-saline)"),EXACT(metadata!K581,"Aerosol (non-saline)"),EXACT(metadata!K581,"Sediment (non-saline)"),EXACT(metadata!K581,"Surface (saline)"),EXACT(metadata!K581,"Water (saline)"),EXACT(metadata!K581,"Hypersaline (saline)"),EXACT(metadata!K581,"Aerosol (saline)"),EXACT(metadata!K581,"Sediment (saline)")))</f>
        <v>0</v>
      </c>
      <c r="AW581" t="b">
        <f>IF(metadata!L581="",FALSE,TRUE)</f>
        <v>0</v>
      </c>
      <c r="AX581" t="b">
        <f>IF(metadata!M581="",FALSE,TRUE)</f>
        <v>0</v>
      </c>
      <c r="AY581" t="b">
        <f>IF(metadata!N581="",FALSE,TRUE)</f>
        <v>0</v>
      </c>
      <c r="AZ581" t="b">
        <f>OR(AND(IF(metadata!O581="",FALSE,TRUE),OR(EXACT(metadata!O581,"missing: not collected"),EXACT(metadata!O581,"missing: not provided"),EXACT(metadata!O581,"missing: restricted access"))),AND(IF(metadata!O581="",FALSE,TRUE),OR(EXACT(metadata!O581,"air"),EXACT(metadata!O581,"built environment"),EXACT(metadata!O581,"host-associated"),EXACT(metadata!O581,"human-associated"),EXACT(metadata!O581,"human-skin"),EXACT(metadata!O581,"human-oral"),EXACT(metadata!O581,"human-gut"),EXACT(metadata!O581,"human-vaginal"),EXACT(metadata!O581,"microbial mat/biofilm"),EXACT(metadata!O581,"misc environment"),EXACT(metadata!O581,"plant-associated"),EXACT(metadata!O581,"sediment"),EXACT(metadata!O581,"soil"),EXACT(metadata!O581,"wastewater/sludge"),EXACT(metadata!O581,"water"))))</f>
        <v>0</v>
      </c>
      <c r="BA581" t="b">
        <f>IF(metadata!P581="",FALSE,TRUE)</f>
        <v>0</v>
      </c>
      <c r="BB581" t="b">
        <f>IF(metadata!Q581="",FALSE,TRUE)</f>
        <v>0</v>
      </c>
      <c r="BC581" t="b">
        <f>OR(AND(IF(metadata!R581="",FALSE,TRUE),OR(EXACT(metadata!R581,"missing: not collected"),EXACT(metadata!R581,"missing: not provided"),EXACT(metadata!R581,"missing: restricted access"))),AND(IF(metadata!R581="",FALSE,ISNUMBER(VALUE(metadata!R581))),metadata!R581&gt;=-90,metadata!R581&lt;=90))</f>
        <v>0</v>
      </c>
      <c r="BD581" t="b">
        <f>AND(IF(metadata!S581="",FALSE,TRUE),EXACT(metadata!S581,"Decimal degrees"))</f>
        <v>0</v>
      </c>
      <c r="BE581" t="b">
        <f>OR(AND(IF(metadata!T581="",FALSE,TRUE),OR(EXACT(metadata!T581,"missing: not collected"),EXACT(metadata!T581,"missing: not provided"),EXACT(metadata!T581,"missing: restricted access"))),AND(IF(metadata!T581="",FALSE,ISNUMBER(VALUE(metadata!T581))),metadata!T581&gt;=-180,metadata!T581&lt;=180))</f>
        <v>0</v>
      </c>
      <c r="BF581" t="b">
        <f>AND(IF(metadata!U581="",FALSE,TRUE),EXACT(metadata!U581,"Decimal degrees"))</f>
        <v>0</v>
      </c>
      <c r="BG581" t="b">
        <f>IF(metadata!V581="",FALSE,TRUE)</f>
        <v>0</v>
      </c>
      <c r="BH581" t="b">
        <f>OR(AND(IF(metadata!W581="",FALSE,TRUE),OR(EXACT(metadata!W581,"missing: not collected"),EXACT(metadata!W581,"missing: not provided"),EXACT(metadata!W581,"missing: restricted access"))),AND(IF(metadata!W581="",FALSE,TRUE),OR(EXACT(metadata!W581,"TRUE"),EXACT(metadata!W581,"FALSE"))))</f>
        <v>0</v>
      </c>
      <c r="BI581" t="b">
        <f>AND(IF(metadata!X581="",FALSE,TRUE),EXACT(metadata!X581,"other"))</f>
        <v>0</v>
      </c>
      <c r="BJ581" t="b">
        <f>IF(metadata!Y581="",FALSE,TRUE)</f>
        <v>0</v>
      </c>
      <c r="BK581" t="b">
        <f>OR(AND(IF(metadata!Z581="",FALSE,TRUE),OR(EXACT(metadata!Z581,"missing: not collected"),EXACT(metadata!Z581,"missing: not provided"))),AND(IF(metadata!Z581="",FALSE,IF(ISERROR(INT(metadata!Z581)),FALSE,INT(metadata!Z581)=metadata!Z581)),metadata!Z581&gt;0))</f>
        <v>0</v>
      </c>
      <c r="BL581" t="b">
        <f>AND(IF(metadata!AA581="",FALSE,TRUE),EXACT(metadata!AA581,"Not applicable"))</f>
        <v>0</v>
      </c>
      <c r="BM581" t="b">
        <f>IF(metadata!AB581="",FALSE,TRUE)</f>
        <v>0</v>
      </c>
    </row>
    <row r="582" spans="1:65" x14ac:dyDescent="0.2">
      <c r="A582" s="5" t="str">
        <f ca="1">IF(B582=" "," ",HYPERLINK(CONCATENATE("#metadata!",ADDRESS(INDEX($AH$2:$AH$1001,MATCH(ROWS($AF$2:AF582),$AF$2:$AF$1001,0),0),1)),INDEX($AK$2:$AK$1001,MATCH(ROWS($AF$2:AF582),$AF$2:$AF$1001,0),0)))</f>
        <v xml:space="preserve"> </v>
      </c>
      <c r="B582" s="4" t="str">
        <f ca="1">IF(OR(INDEX($AG$2:$AG$1001,MATCH(ROWS($AF$2:AF582),$AF$2:$AF$1001,0),1)&gt;=100000,INDEX($AM$1005:$BM$1005,1,MATCH(COLUMNS($AM$1006:AM1006),$AM$1006:$BM$1006,0))&gt;=100000), " ",IF(INDEX($AM$2:$BM$1001,MATCH(ROWS($AF$2:AF582),$AF$2:$AF$1001,0),MATCH(COLUMNS($AM$1006:AM1006),$AM$1006:$BM$1006,0)), HYPERLINK("#",""), HYPERLINK(CONCATENATE("#metadata!", ADDRESS(INDEX($AH$2:$AH$1001,MATCH(ROWS($AF$2:AF582),$AF$2:$AF$1001,0),0), INDEX($AM$1004:$BM$1004,1,MATCH(COLUMNS($AM$1006:AM1006),$AM$1006:$BM$1006,0)))),"Fix")))</f>
        <v xml:space="preserve"> </v>
      </c>
      <c r="C582" s="4" t="str">
        <f ca="1">IF(OR(INDEX($AG$2:$AG$1001,MATCH(ROWS($AF$2:AF582),$AF$2:$AF$1001,0),1)&gt;=100000,INDEX($AM$1005:$BM$1005,1,MATCH(COLUMNS($AM$1006:AN1006),$AM$1006:$BM$1006,0))&gt;=100000), " ",IF(INDEX($AM$2:$BM$1001,MATCH(ROWS($AF$2:AF582),$AF$2:$AF$1001,0),MATCH(COLUMNS($AM$1006:AN1006),$AM$1006:$BM$1006,0)), HYPERLINK("#",""), HYPERLINK(CONCATENATE("#metadata!", ADDRESS(INDEX($AH$2:$AH$1001,MATCH(ROWS($AF$2:AF582),$AF$2:$AF$1001,0),0), INDEX($AM$1004:$BM$1004,1,MATCH(COLUMNS($AM$1006:AN1006),$AM$1006:$BM$1006,0)))),"Fix")))</f>
        <v xml:space="preserve"> </v>
      </c>
      <c r="D582" s="4" t="str">
        <f ca="1">IF(OR(INDEX($AG$2:$AG$1001,MATCH(ROWS($AF$2:AF582),$AF$2:$AF$1001,0),1)&gt;=100000,INDEX($AM$1005:$BM$1005,1,MATCH(COLUMNS($AM$1006:AO1006),$AM$1006:$BM$1006,0))&gt;=100000), " ",IF(INDEX($AM$2:$BM$1001,MATCH(ROWS($AF$2:AF582),$AF$2:$AF$1001,0),MATCH(COLUMNS($AM$1006:AO1006),$AM$1006:$BM$1006,0)), HYPERLINK("#",""), HYPERLINK(CONCATENATE("#metadata!", ADDRESS(INDEX($AH$2:$AH$1001,MATCH(ROWS($AF$2:AF582),$AF$2:$AF$1001,0),0), INDEX($AM$1004:$BM$1004,1,MATCH(COLUMNS($AM$1006:AO1006),$AM$1006:$BM$1006,0)))),"Fix")))</f>
        <v xml:space="preserve"> </v>
      </c>
      <c r="E582" s="4" t="str">
        <f ca="1">IF(OR(INDEX($AG$2:$AG$1001,MATCH(ROWS($AF$2:AF582),$AF$2:$AF$1001,0),1)&gt;=100000,INDEX($AM$1005:$BM$1005,1,MATCH(COLUMNS($AM$1006:AP1006),$AM$1006:$BM$1006,0))&gt;=100000), " ",IF(INDEX($AM$2:$BM$1001,MATCH(ROWS($AF$2:AF582),$AF$2:$AF$1001,0),MATCH(COLUMNS($AM$1006:AP1006),$AM$1006:$BM$1006,0)), HYPERLINK("#",""), HYPERLINK(CONCATENATE("#metadata!", ADDRESS(INDEX($AH$2:$AH$1001,MATCH(ROWS($AF$2:AF582),$AF$2:$AF$1001,0),0), INDEX($AM$1004:$BM$1004,1,MATCH(COLUMNS($AM$1006:AP1006),$AM$1006:$BM$1006,0)))),"Fix")))</f>
        <v xml:space="preserve"> </v>
      </c>
      <c r="F582" s="4" t="str">
        <f ca="1">IF(OR(INDEX($AG$2:$AG$1001,MATCH(ROWS($AF$2:AF582),$AF$2:$AF$1001,0),1)&gt;=100000,INDEX($AM$1005:$BM$1005,1,MATCH(COLUMNS($AM$1006:AQ1006),$AM$1006:$BM$1006,0))&gt;=100000), " ",IF(INDEX($AM$2:$BM$1001,MATCH(ROWS($AF$2:AF582),$AF$2:$AF$1001,0),MATCH(COLUMNS($AM$1006:AQ1006),$AM$1006:$BM$1006,0)), HYPERLINK("#",""), HYPERLINK(CONCATENATE("#metadata!", ADDRESS(INDEX($AH$2:$AH$1001,MATCH(ROWS($AF$2:AF582),$AF$2:$AF$1001,0),0), INDEX($AM$1004:$BM$1004,1,MATCH(COLUMNS($AM$1006:AQ1006),$AM$1006:$BM$1006,0)))),"Fix")))</f>
        <v xml:space="preserve"> </v>
      </c>
      <c r="G582" s="4" t="str">
        <f ca="1">IF(OR(INDEX($AG$2:$AG$1001,MATCH(ROWS($AF$2:AF582),$AF$2:$AF$1001,0),1)&gt;=100000,INDEX($AM$1005:$BM$1005,1,MATCH(COLUMNS($AM$1006:AR1006),$AM$1006:$BM$1006,0))&gt;=100000), " ",IF(INDEX($AM$2:$BM$1001,MATCH(ROWS($AF$2:AF582),$AF$2:$AF$1001,0),MATCH(COLUMNS($AM$1006:AR1006),$AM$1006:$BM$1006,0)), HYPERLINK("#",""), HYPERLINK(CONCATENATE("#metadata!", ADDRESS(INDEX($AH$2:$AH$1001,MATCH(ROWS($AF$2:AF582),$AF$2:$AF$1001,0),0), INDEX($AM$1004:$BM$1004,1,MATCH(COLUMNS($AM$1006:AR1006),$AM$1006:$BM$1006,0)))),"Fix")))</f>
        <v xml:space="preserve"> </v>
      </c>
      <c r="H582" s="4" t="str">
        <f ca="1">IF(OR(INDEX($AG$2:$AG$1001,MATCH(ROWS($AF$2:AF582),$AF$2:$AF$1001,0),1)&gt;=100000,INDEX($AM$1005:$BM$1005,1,MATCH(COLUMNS($AM$1006:AS1006),$AM$1006:$BM$1006,0))&gt;=100000), " ",IF(INDEX($AM$2:$BM$1001,MATCH(ROWS($AF$2:AF582),$AF$2:$AF$1001,0),MATCH(COLUMNS($AM$1006:AS1006),$AM$1006:$BM$1006,0)), HYPERLINK("#",""), HYPERLINK(CONCATENATE("#metadata!", ADDRESS(INDEX($AH$2:$AH$1001,MATCH(ROWS($AF$2:AF582),$AF$2:$AF$1001,0),0), INDEX($AM$1004:$BM$1004,1,MATCH(COLUMNS($AM$1006:AS1006),$AM$1006:$BM$1006,0)))),"Fix")))</f>
        <v xml:space="preserve"> </v>
      </c>
      <c r="I582" s="4" t="str">
        <f ca="1">IF(OR(INDEX($AG$2:$AG$1001,MATCH(ROWS($AF$2:AF582),$AF$2:$AF$1001,0),1)&gt;=100000,INDEX($AM$1005:$BM$1005,1,MATCH(COLUMNS($AM$1006:AT1006),$AM$1006:$BM$1006,0))&gt;=100000), " ",IF(INDEX($AM$2:$BM$1001,MATCH(ROWS($AF$2:AF582),$AF$2:$AF$1001,0),MATCH(COLUMNS($AM$1006:AT1006),$AM$1006:$BM$1006,0)), HYPERLINK("#",""), HYPERLINK(CONCATENATE("#metadata!", ADDRESS(INDEX($AH$2:$AH$1001,MATCH(ROWS($AF$2:AF582),$AF$2:$AF$1001,0),0), INDEX($AM$1004:$BM$1004,1,MATCH(COLUMNS($AM$1006:AT1006),$AM$1006:$BM$1006,0)))),"Fix")))</f>
        <v xml:space="preserve"> </v>
      </c>
      <c r="J582" s="4" t="str">
        <f ca="1">IF(OR(INDEX($AG$2:$AG$1001,MATCH(ROWS($AF$2:AF582),$AF$2:$AF$1001,0),1)&gt;=100000,INDEX($AM$1005:$BM$1005,1,MATCH(COLUMNS($AM$1006:AU1006),$AM$1006:$BM$1006,0))&gt;=100000), " ",IF(INDEX($AM$2:$BM$1001,MATCH(ROWS($AF$2:AF582),$AF$2:$AF$1001,0),MATCH(COLUMNS($AM$1006:AU1006),$AM$1006:$BM$1006,0)), HYPERLINK("#",""), HYPERLINK(CONCATENATE("#metadata!", ADDRESS(INDEX($AH$2:$AH$1001,MATCH(ROWS($AF$2:AF582),$AF$2:$AF$1001,0),0), INDEX($AM$1004:$BM$1004,1,MATCH(COLUMNS($AM$1006:AU1006),$AM$1006:$BM$1006,0)))),"Fix")))</f>
        <v xml:space="preserve"> </v>
      </c>
      <c r="K582" s="4" t="str">
        <f ca="1">IF(OR(INDEX($AG$2:$AG$1001,MATCH(ROWS($AF$2:AF582),$AF$2:$AF$1001,0),1)&gt;=100000,INDEX($AM$1005:$BM$1005,1,MATCH(COLUMNS($AM$1006:AV1006),$AM$1006:$BM$1006,0))&gt;=100000), " ",IF(INDEX($AM$2:$BM$1001,MATCH(ROWS($AF$2:AF582),$AF$2:$AF$1001,0),MATCH(COLUMNS($AM$1006:AV1006),$AM$1006:$BM$1006,0)), HYPERLINK("#",""), HYPERLINK(CONCATENATE("#metadata!", ADDRESS(INDEX($AH$2:$AH$1001,MATCH(ROWS($AF$2:AF582),$AF$2:$AF$1001,0),0), INDEX($AM$1004:$BM$1004,1,MATCH(COLUMNS($AM$1006:AV1006),$AM$1006:$BM$1006,0)))),"Fix")))</f>
        <v xml:space="preserve"> </v>
      </c>
      <c r="L582" s="4" t="str">
        <f ca="1">IF(OR(INDEX($AG$2:$AG$1001,MATCH(ROWS($AF$2:AF582),$AF$2:$AF$1001,0),1)&gt;=100000,INDEX($AM$1005:$BM$1005,1,MATCH(COLUMNS($AM$1006:AW1006),$AM$1006:$BM$1006,0))&gt;=100000), " ",IF(INDEX($AM$2:$BM$1001,MATCH(ROWS($AF$2:AF582),$AF$2:$AF$1001,0),MATCH(COLUMNS($AM$1006:AW1006),$AM$1006:$BM$1006,0)), HYPERLINK("#",""), HYPERLINK(CONCATENATE("#metadata!", ADDRESS(INDEX($AH$2:$AH$1001,MATCH(ROWS($AF$2:AF582),$AF$2:$AF$1001,0),0), INDEX($AM$1004:$BM$1004,1,MATCH(COLUMNS($AM$1006:AW1006),$AM$1006:$BM$1006,0)))),"Fix")))</f>
        <v xml:space="preserve"> </v>
      </c>
      <c r="M582" s="4" t="str">
        <f ca="1">IF(OR(INDEX($AG$2:$AG$1001,MATCH(ROWS($AF$2:AF582),$AF$2:$AF$1001,0),1)&gt;=100000,INDEX($AM$1005:$BM$1005,1,MATCH(COLUMNS($AM$1006:AX1006),$AM$1006:$BM$1006,0))&gt;=100000), " ",IF(INDEX($AM$2:$BM$1001,MATCH(ROWS($AF$2:AF582),$AF$2:$AF$1001,0),MATCH(COLUMNS($AM$1006:AX1006),$AM$1006:$BM$1006,0)), HYPERLINK("#",""), HYPERLINK(CONCATENATE("#metadata!", ADDRESS(INDEX($AH$2:$AH$1001,MATCH(ROWS($AF$2:AF582),$AF$2:$AF$1001,0),0), INDEX($AM$1004:$BM$1004,1,MATCH(COLUMNS($AM$1006:AX1006),$AM$1006:$BM$1006,0)))),"Fix")))</f>
        <v xml:space="preserve"> </v>
      </c>
      <c r="N582" s="4" t="str">
        <f ca="1">IF(OR(INDEX($AG$2:$AG$1001,MATCH(ROWS($AF$2:AF582),$AF$2:$AF$1001,0),1)&gt;=100000,INDEX($AM$1005:$BM$1005,1,MATCH(COLUMNS($AM$1006:AY1006),$AM$1006:$BM$1006,0))&gt;=100000), " ",IF(INDEX($AM$2:$BM$1001,MATCH(ROWS($AF$2:AF582),$AF$2:$AF$1001,0),MATCH(COLUMNS($AM$1006:AY1006),$AM$1006:$BM$1006,0)), HYPERLINK("#",""), HYPERLINK(CONCATENATE("#metadata!", ADDRESS(INDEX($AH$2:$AH$1001,MATCH(ROWS($AF$2:AF582),$AF$2:$AF$1001,0),0), INDEX($AM$1004:$BM$1004,1,MATCH(COLUMNS($AM$1006:AY1006),$AM$1006:$BM$1006,0)))),"Fix")))</f>
        <v xml:space="preserve"> </v>
      </c>
      <c r="O582" s="4" t="str">
        <f ca="1">IF(OR(INDEX($AG$2:$AG$1001,MATCH(ROWS($AF$2:AF582),$AF$2:$AF$1001,0),1)&gt;=100000,INDEX($AM$1005:$BM$1005,1,MATCH(COLUMNS($AM$1006:AZ1006),$AM$1006:$BM$1006,0))&gt;=100000), " ",IF(INDEX($AM$2:$BM$1001,MATCH(ROWS($AF$2:AF582),$AF$2:$AF$1001,0),MATCH(COLUMNS($AM$1006:AZ1006),$AM$1006:$BM$1006,0)), HYPERLINK("#",""), HYPERLINK(CONCATENATE("#metadata!", ADDRESS(INDEX($AH$2:$AH$1001,MATCH(ROWS($AF$2:AF582),$AF$2:$AF$1001,0),0), INDEX($AM$1004:$BM$1004,1,MATCH(COLUMNS($AM$1006:AZ1006),$AM$1006:$BM$1006,0)))),"Fix")))</f>
        <v xml:space="preserve"> </v>
      </c>
      <c r="P582" s="4" t="str">
        <f ca="1">IF(OR(INDEX($AG$2:$AG$1001,MATCH(ROWS($AF$2:AF582),$AF$2:$AF$1001,0),1)&gt;=100000,INDEX($AM$1005:$BM$1005,1,MATCH(COLUMNS($AM$1006:BA1006),$AM$1006:$BM$1006,0))&gt;=100000), " ",IF(INDEX($AM$2:$BM$1001,MATCH(ROWS($AF$2:AF582),$AF$2:$AF$1001,0),MATCH(COLUMNS($AM$1006:BA1006),$AM$1006:$BM$1006,0)), HYPERLINK("#",""), HYPERLINK(CONCATENATE("#metadata!", ADDRESS(INDEX($AH$2:$AH$1001,MATCH(ROWS($AF$2:AF582),$AF$2:$AF$1001,0),0), INDEX($AM$1004:$BM$1004,1,MATCH(COLUMNS($AM$1006:BA1006),$AM$1006:$BM$1006,0)))),"Fix")))</f>
        <v xml:space="preserve"> </v>
      </c>
      <c r="Q582" s="4" t="str">
        <f ca="1">IF(OR(INDEX($AG$2:$AG$1001,MATCH(ROWS($AF$2:AF582),$AF$2:$AF$1001,0),1)&gt;=100000,INDEX($AM$1005:$BM$1005,1,MATCH(COLUMNS($AM$1006:BB1006),$AM$1006:$BM$1006,0))&gt;=100000), " ",IF(INDEX($AM$2:$BM$1001,MATCH(ROWS($AF$2:AF582),$AF$2:$AF$1001,0),MATCH(COLUMNS($AM$1006:BB1006),$AM$1006:$BM$1006,0)), HYPERLINK("#",""), HYPERLINK(CONCATENATE("#metadata!", ADDRESS(INDEX($AH$2:$AH$1001,MATCH(ROWS($AF$2:AF582),$AF$2:$AF$1001,0),0), INDEX($AM$1004:$BM$1004,1,MATCH(COLUMNS($AM$1006:BB1006),$AM$1006:$BM$1006,0)))),"Fix")))</f>
        <v xml:space="preserve"> </v>
      </c>
      <c r="R582" s="4" t="str">
        <f ca="1">IF(OR(INDEX($AG$2:$AG$1001,MATCH(ROWS($AF$2:AF582),$AF$2:$AF$1001,0),1)&gt;=100000,INDEX($AM$1005:$BM$1005,1,MATCH(COLUMNS($AM$1006:BC1006),$AM$1006:$BM$1006,0))&gt;=100000), " ",IF(INDEX($AM$2:$BM$1001,MATCH(ROWS($AF$2:AF582),$AF$2:$AF$1001,0),MATCH(COLUMNS($AM$1006:BC1006),$AM$1006:$BM$1006,0)), HYPERLINK("#",""), HYPERLINK(CONCATENATE("#metadata!", ADDRESS(INDEX($AH$2:$AH$1001,MATCH(ROWS($AF$2:AF582),$AF$2:$AF$1001,0),0), INDEX($AM$1004:$BM$1004,1,MATCH(COLUMNS($AM$1006:BC1006),$AM$1006:$BM$1006,0)))),"Fix")))</f>
        <v xml:space="preserve"> </v>
      </c>
      <c r="S582" s="4" t="str">
        <f ca="1">IF(OR(INDEX($AG$2:$AG$1001,MATCH(ROWS($AF$2:AF582),$AF$2:$AF$1001,0),1)&gt;=100000,INDEX($AM$1005:$BM$1005,1,MATCH(COLUMNS($AM$1006:BD1006),$AM$1006:$BM$1006,0))&gt;=100000), " ",IF(INDEX($AM$2:$BM$1001,MATCH(ROWS($AF$2:AF582),$AF$2:$AF$1001,0),MATCH(COLUMNS($AM$1006:BD1006),$AM$1006:$BM$1006,0)), HYPERLINK("#",""), HYPERLINK(CONCATENATE("#metadata!", ADDRESS(INDEX($AH$2:$AH$1001,MATCH(ROWS($AF$2:AF582),$AF$2:$AF$1001,0),0), INDEX($AM$1004:$BM$1004,1,MATCH(COLUMNS($AM$1006:BD1006),$AM$1006:$BM$1006,0)))),"Fix")))</f>
        <v xml:space="preserve"> </v>
      </c>
      <c r="T582" s="4" t="str">
        <f ca="1">IF(OR(INDEX($AG$2:$AG$1001,MATCH(ROWS($AF$2:AF582),$AF$2:$AF$1001,0),1)&gt;=100000,INDEX($AM$1005:$BM$1005,1,MATCH(COLUMNS($AM$1006:BE1006),$AM$1006:$BM$1006,0))&gt;=100000), " ",IF(INDEX($AM$2:$BM$1001,MATCH(ROWS($AF$2:AF582),$AF$2:$AF$1001,0),MATCH(COLUMNS($AM$1006:BE1006),$AM$1006:$BM$1006,0)), HYPERLINK("#",""), HYPERLINK(CONCATENATE("#metadata!", ADDRESS(INDEX($AH$2:$AH$1001,MATCH(ROWS($AF$2:AF582),$AF$2:$AF$1001,0),0), INDEX($AM$1004:$BM$1004,1,MATCH(COLUMNS($AM$1006:BE1006),$AM$1006:$BM$1006,0)))),"Fix")))</f>
        <v xml:space="preserve"> </v>
      </c>
      <c r="U582" s="4" t="str">
        <f ca="1">IF(OR(INDEX($AG$2:$AG$1001,MATCH(ROWS($AF$2:AF582),$AF$2:$AF$1001,0),1)&gt;=100000,INDEX($AM$1005:$BM$1005,1,MATCH(COLUMNS($AM$1006:BF1006),$AM$1006:$BM$1006,0))&gt;=100000), " ",IF(INDEX($AM$2:$BM$1001,MATCH(ROWS($AF$2:AF582),$AF$2:$AF$1001,0),MATCH(COLUMNS($AM$1006:BF1006),$AM$1006:$BM$1006,0)), HYPERLINK("#",""), HYPERLINK(CONCATENATE("#metadata!", ADDRESS(INDEX($AH$2:$AH$1001,MATCH(ROWS($AF$2:AF582),$AF$2:$AF$1001,0),0), INDEX($AM$1004:$BM$1004,1,MATCH(COLUMNS($AM$1006:BF1006),$AM$1006:$BM$1006,0)))),"Fix")))</f>
        <v xml:space="preserve"> </v>
      </c>
      <c r="V582" s="4" t="str">
        <f ca="1">IF(OR(INDEX($AG$2:$AG$1001,MATCH(ROWS($AF$2:AF582),$AF$2:$AF$1001,0),1)&gt;=100000,INDEX($AM$1005:$BM$1005,1,MATCH(COLUMNS($AM$1006:BG1006),$AM$1006:$BM$1006,0))&gt;=100000), " ",IF(INDEX($AM$2:$BM$1001,MATCH(ROWS($AF$2:AF582),$AF$2:$AF$1001,0),MATCH(COLUMNS($AM$1006:BG1006),$AM$1006:$BM$1006,0)), HYPERLINK("#",""), HYPERLINK(CONCATENATE("#metadata!", ADDRESS(INDEX($AH$2:$AH$1001,MATCH(ROWS($AF$2:AF582),$AF$2:$AF$1001,0),0), INDEX($AM$1004:$BM$1004,1,MATCH(COLUMNS($AM$1006:BG1006),$AM$1006:$BM$1006,0)))),"Fix")))</f>
        <v xml:space="preserve"> </v>
      </c>
      <c r="W582" s="4" t="str">
        <f ca="1">IF(OR(INDEX($AG$2:$AG$1001,MATCH(ROWS($AF$2:AF582),$AF$2:$AF$1001,0),1)&gt;=100000,INDEX($AM$1005:$BM$1005,1,MATCH(COLUMNS($AM$1006:BH1006),$AM$1006:$BM$1006,0))&gt;=100000), " ",IF(INDEX($AM$2:$BM$1001,MATCH(ROWS($AF$2:AF582),$AF$2:$AF$1001,0),MATCH(COLUMNS($AM$1006:BH1006),$AM$1006:$BM$1006,0)), HYPERLINK("#",""), HYPERLINK(CONCATENATE("#metadata!", ADDRESS(INDEX($AH$2:$AH$1001,MATCH(ROWS($AF$2:AF582),$AF$2:$AF$1001,0),0), INDEX($AM$1004:$BM$1004,1,MATCH(COLUMNS($AM$1006:BH1006),$AM$1006:$BM$1006,0)))),"Fix")))</f>
        <v xml:space="preserve"> </v>
      </c>
      <c r="X582" s="4" t="str">
        <f ca="1">IF(OR(INDEX($AG$2:$AG$1001,MATCH(ROWS($AF$2:AF582),$AF$2:$AF$1001,0),1)&gt;=100000,INDEX($AM$1005:$BM$1005,1,MATCH(COLUMNS($AM$1006:BI1006),$AM$1006:$BM$1006,0))&gt;=100000), " ",IF(INDEX($AM$2:$BM$1001,MATCH(ROWS($AF$2:AF582),$AF$2:$AF$1001,0),MATCH(COLUMNS($AM$1006:BI1006),$AM$1006:$BM$1006,0)), HYPERLINK("#",""), HYPERLINK(CONCATENATE("#metadata!", ADDRESS(INDEX($AH$2:$AH$1001,MATCH(ROWS($AF$2:AF582),$AF$2:$AF$1001,0),0), INDEX($AM$1004:$BM$1004,1,MATCH(COLUMNS($AM$1006:BI1006),$AM$1006:$BM$1006,0)))),"Fix")))</f>
        <v xml:space="preserve"> </v>
      </c>
      <c r="Y582" s="4" t="str">
        <f ca="1">IF(OR(INDEX($AG$2:$AG$1001,MATCH(ROWS($AF$2:AF582),$AF$2:$AF$1001,0),1)&gt;=100000,INDEX($AM$1005:$BM$1005,1,MATCH(COLUMNS($AM$1006:BJ1006),$AM$1006:$BM$1006,0))&gt;=100000), " ",IF(INDEX($AM$2:$BM$1001,MATCH(ROWS($AF$2:AF582),$AF$2:$AF$1001,0),MATCH(COLUMNS($AM$1006:BJ1006),$AM$1006:$BM$1006,0)), HYPERLINK("#",""), HYPERLINK(CONCATENATE("#metadata!", ADDRESS(INDEX($AH$2:$AH$1001,MATCH(ROWS($AF$2:AF582),$AF$2:$AF$1001,0),0), INDEX($AM$1004:$BM$1004,1,MATCH(COLUMNS($AM$1006:BJ1006),$AM$1006:$BM$1006,0)))),"Fix")))</f>
        <v xml:space="preserve"> </v>
      </c>
      <c r="Z582" s="4" t="str">
        <f ca="1">IF(OR(INDEX($AG$2:$AG$1001,MATCH(ROWS($AF$2:AF582),$AF$2:$AF$1001,0),1)&gt;=100000,INDEX($AM$1005:$BM$1005,1,MATCH(COLUMNS($AM$1006:BK1006),$AM$1006:$BM$1006,0))&gt;=100000), " ",IF(INDEX($AM$2:$BM$1001,MATCH(ROWS($AF$2:AF582),$AF$2:$AF$1001,0),MATCH(COLUMNS($AM$1006:BK1006),$AM$1006:$BM$1006,0)), HYPERLINK("#",""), HYPERLINK(CONCATENATE("#metadata!", ADDRESS(INDEX($AH$2:$AH$1001,MATCH(ROWS($AF$2:AF582),$AF$2:$AF$1001,0),0), INDEX($AM$1004:$BM$1004,1,MATCH(COLUMNS($AM$1006:BK1006),$AM$1006:$BM$1006,0)))),"Fix")))</f>
        <v xml:space="preserve"> </v>
      </c>
      <c r="AA582" s="4" t="str">
        <f ca="1">IF(OR(INDEX($AG$2:$AG$1001,MATCH(ROWS($AF$2:AF582),$AF$2:$AF$1001,0),1)&gt;=100000,INDEX($AM$1005:$BM$1005,1,MATCH(COLUMNS($AM$1006:BL1006),$AM$1006:$BM$1006,0))&gt;=100000), " ",IF(INDEX($AM$2:$BM$1001,MATCH(ROWS($AF$2:AF582),$AF$2:$AF$1001,0),MATCH(COLUMNS($AM$1006:BL1006),$AM$1006:$BM$1006,0)), HYPERLINK("#",""), HYPERLINK(CONCATENATE("#metadata!", ADDRESS(INDEX($AH$2:$AH$1001,MATCH(ROWS($AF$2:AF582),$AF$2:$AF$1001,0),0), INDEX($AM$1004:$BM$1004,1,MATCH(COLUMNS($AM$1006:BL1006),$AM$1006:$BM$1006,0)))),"Fix")))</f>
        <v xml:space="preserve"> </v>
      </c>
      <c r="AB582" s="4" t="str">
        <f ca="1">IF(OR(INDEX($AG$2:$AG$1001,MATCH(ROWS($AF$2:AF582),$AF$2:$AF$1001,0),1)&gt;=100000,INDEX($AM$1005:$BM$1005,1,MATCH(COLUMNS($AM$1006:BM1006),$AM$1006:$BM$1006,0))&gt;=100000), " ",IF(INDEX($AM$2:$BM$1001,MATCH(ROWS($AF$2:AF582),$AF$2:$AF$1001,0),MATCH(COLUMNS($AM$1006:BM1006),$AM$1006:$BM$1006,0)), HYPERLINK("#",""), HYPERLINK(CONCATENATE("#metadata!", ADDRESS(INDEX($AH$2:$AH$1001,MATCH(ROWS($AF$2:AF582),$AF$2:$AF$1001,0),0), INDEX($AM$1004:$BM$1004,1,MATCH(COLUMNS($AM$1006:BM1006),$AM$1006:$BM$1006,0)))),"Fix")))</f>
        <v xml:space="preserve"> </v>
      </c>
      <c r="AF582">
        <v>581</v>
      </c>
      <c r="AG582">
        <v>100582</v>
      </c>
      <c r="AH582">
        <v>582</v>
      </c>
      <c r="AI582" t="b">
        <f t="shared" si="9"/>
        <v>1</v>
      </c>
      <c r="AJ582" t="b">
        <f>COUNTBLANK(metadata!B582:AB582)=COLUMNS(metadata!B582:AB582)</f>
        <v>1</v>
      </c>
      <c r="AK582" t="str">
        <v/>
      </c>
      <c r="AM582" t="b">
        <f ca="1">AND(IF(metadata!B582="",FALSE,TRUE),COUNTIF(metadata!B:B, metadata!B582) = 1,NOT(ISERROR(SUMPRODUCT(SEARCH(MID(metadata!B582,ROW(INDIRECT("1:"&amp;LEN(metadata!B582))), 1),"0123456789abcdefghijklmnopqrstuvwxyzABCDEFGHIJKLMNOPQRSTUVWXYZ.")))))</f>
        <v>0</v>
      </c>
      <c r="AN582" t="b">
        <f ca="1">OR(AND(IF(metadata!C582="",FALSE,TRUE),OR(EXACT(metadata!C582,"missing: not collected"),EXACT(metadata!C582,"missing: not provided"),EXACT(metadata!C582,"missing: restricted access"))),AND(IF(metadata!C582="",FALSE,TRUE),AND(AND(IFERROR(INT(LEFT(metadata!C582,4))&gt;1900,FALSE),IFERROR(INT(LEFT(metadata!C582,4))&lt;=YEAR(NOW()),FALSE)), OR(MID(metadata!C582,5,1)="", AND(AND(MID(metadata!C582,5,1)="-",IFERROR(INT(MID(metadata!C582,6,1))&gt;=0,FALSE),IFERROR(INT(MID(metadata!C582,6,1))&lt;=1,FALSE),NOT(MID(metadata!C582,7,1)=""),IFERROR(INT(MID(metadata!C582,6,2))&gt;=1,FALSE),IFERROR(INT(MID(metadata!C582,6,2))&lt;=12,FALSE)), OR(MID(metadata!C582,8,1)="", AND(AND(MID(metadata!C582,8,1)="-",IFERROR(INT(MID(metadata!C582,9,1))&gt;=0,FALSE),IFERROR(INT(MID(metadata!C582,9,1))&lt;=3,FALSE),NOT(MID(metadata!C582,10,1)=""),IFERROR(INT(MID(metadata!C582,9,2))&gt;=1,FALSE),IFERROR(INT(MID(metadata!C582,9,2))&lt;=31,FALSE)), OR(MID(metadata!C582,11,1)="", AND(AND(MID(metadata!C582,11,1)=" ",IFERROR(INT(MID(metadata!C582,12,1))&gt;=0,FALSE),IFERROR(INT(MID(metadata!C582,12,1))&lt;=2,FALSE),NOT(MID(metadata!C582,13,1)=""),IFERROR(INT(MID(metadata!C582,12,2))&gt;=0,FALSE),IFERROR(INT(MID(metadata!C582,12,2))&lt;=23,FALSE)), OR(MID(metadata!C582,14,1)="", AND(AND(MID(metadata!C582,14,1)=":",IFERROR(INT(MID(metadata!C582,15,1))&gt;=0,FALSE),IFERROR(INT(MID(metadata!C582,15,1))&lt;=5,FALSE),NOT(MID(metadata!C582,16,1)=""),IFERROR(INT(MID(metadata!C582,15,2))&gt;=0,FALSE),IFERROR(INT(MID(metadata!C582,15,2))&lt;=59,FALSE)), OR(MID(metadata!C582,17,1)="", AND(AND(MID(metadata!C582,17,1)=":",IFERROR(INT(MID(metadata!C582,18,1))&gt;=0,FALSE),IFERROR(INT(MID(metadata!C582,18,1))&lt;=5,FALSE),NOT(MID(metadata!C582,19,1)=""),IFERROR(INT(MID(metadata!C582,18,2))&gt;=0,FALSE),IFERROR(INT(MID(metadata!C582,18,2))&lt;=59,FALSE)), LEN(metadata!C582)&lt;=19)))))))))))))</f>
        <v>0</v>
      </c>
      <c r="AO582" t="b">
        <f>AND(IF(metadata!D582="",FALSE,TRUE),EXACT(metadata!D582,"Not applicable"))</f>
        <v>0</v>
      </c>
      <c r="AP582" t="b">
        <f>IF(metadata!E582="",FALSE,TRUE)</f>
        <v>0</v>
      </c>
      <c r="AQ582" t="b">
        <f>OR(AND(IF(metadata!F582="",FALSE,TRUE),OR(EXACT(metadata!F582,"missing: not collected"),EXACT(metadata!F582,"missing: not provided"))),AND(IF(metadata!F582="",FALSE,TRUE),OR(EXACT(metadata!F582,"TRUE"),EXACT(metadata!F582,"FALSE"))))</f>
        <v>0</v>
      </c>
      <c r="AR582" t="b">
        <f>OR(AND(IF(metadata!G582="",FALSE,TRUE),OR(EXACT(metadata!G582,"missing: not collected"),EXACT(metadata!G582,"missing: not provided"),EXACT(metadata!G582,"missing: restricted access"))),AND(IF(metadata!G582="",FALSE,ISNUMBER(VALUE(metadata!G582))),metadata!G582&gt;=-413))</f>
        <v>0</v>
      </c>
      <c r="AS582" t="b">
        <f>AND(IF(metadata!H582="",FALSE,TRUE),EXACT(metadata!H582,"meters"))</f>
        <v>0</v>
      </c>
      <c r="AT582" t="b">
        <f>AND(IF(metadata!I582="",FALSE,TRUE),OR(EXACT(metadata!I582,"Host-associated"),EXACT(metadata!I582,"Free-living")))</f>
        <v>0</v>
      </c>
      <c r="AU582" t="b">
        <f>AND(IF(metadata!J582="",FALSE,TRUE),OR(EXACT(metadata!J582,"Animal"),EXACT(metadata!J582,"Fungus"),EXACT(metadata!J582,"Plant"),EXACT(metadata!J582,"Saline"),EXACT(metadata!J582,"Non-saline")))</f>
        <v>0</v>
      </c>
      <c r="AV582" t="b">
        <f>AND(IF(metadata!K582="",FALSE,TRUE),OR(EXACT(metadata!K582,"Plant secretion"),EXACT(metadata!K582,"Plant rhizosphere"),EXACT(metadata!K582,"Plant surface"),EXACT(metadata!K582,"Plant corpus"),EXACT(metadata!K582,"Fungus surface"),EXACT(metadata!K582,"Fungus corpus"),EXACT(metadata!K582,"Animal surface"),EXACT(metadata!K582,"Animal proximal gut"),EXACT(metadata!K582,"Animal corpus"),EXACT(metadata!K582,"Animal distal gut"),EXACT(metadata!K582,"Animal secretion"),EXACT(metadata!K582,"Sub-surface (non-saline)"),EXACT(metadata!K582,"Surface (non-saline)"),EXACT(metadata!K582,"Water (non-saline)"),EXACT(metadata!K582,"Soil (non-saline)"),EXACT(metadata!K582,"Aerosol (non-saline)"),EXACT(metadata!K582,"Sediment (non-saline)"),EXACT(metadata!K582,"Surface (saline)"),EXACT(metadata!K582,"Water (saline)"),EXACT(metadata!K582,"Hypersaline (saline)"),EXACT(metadata!K582,"Aerosol (saline)"),EXACT(metadata!K582,"Sediment (saline)")))</f>
        <v>0</v>
      </c>
      <c r="AW582" t="b">
        <f>IF(metadata!L582="",FALSE,TRUE)</f>
        <v>0</v>
      </c>
      <c r="AX582" t="b">
        <f>IF(metadata!M582="",FALSE,TRUE)</f>
        <v>0</v>
      </c>
      <c r="AY582" t="b">
        <f>IF(metadata!N582="",FALSE,TRUE)</f>
        <v>0</v>
      </c>
      <c r="AZ582" t="b">
        <f>OR(AND(IF(metadata!O582="",FALSE,TRUE),OR(EXACT(metadata!O582,"missing: not collected"),EXACT(metadata!O582,"missing: not provided"),EXACT(metadata!O582,"missing: restricted access"))),AND(IF(metadata!O582="",FALSE,TRUE),OR(EXACT(metadata!O582,"air"),EXACT(metadata!O582,"built environment"),EXACT(metadata!O582,"host-associated"),EXACT(metadata!O582,"human-associated"),EXACT(metadata!O582,"human-skin"),EXACT(metadata!O582,"human-oral"),EXACT(metadata!O582,"human-gut"),EXACT(metadata!O582,"human-vaginal"),EXACT(metadata!O582,"microbial mat/biofilm"),EXACT(metadata!O582,"misc environment"),EXACT(metadata!O582,"plant-associated"),EXACT(metadata!O582,"sediment"),EXACT(metadata!O582,"soil"),EXACT(metadata!O582,"wastewater/sludge"),EXACT(metadata!O582,"water"))))</f>
        <v>0</v>
      </c>
      <c r="BA582" t="b">
        <f>IF(metadata!P582="",FALSE,TRUE)</f>
        <v>0</v>
      </c>
      <c r="BB582" t="b">
        <f>IF(metadata!Q582="",FALSE,TRUE)</f>
        <v>0</v>
      </c>
      <c r="BC582" t="b">
        <f>OR(AND(IF(metadata!R582="",FALSE,TRUE),OR(EXACT(metadata!R582,"missing: not collected"),EXACT(metadata!R582,"missing: not provided"),EXACT(metadata!R582,"missing: restricted access"))),AND(IF(metadata!R582="",FALSE,ISNUMBER(VALUE(metadata!R582))),metadata!R582&gt;=-90,metadata!R582&lt;=90))</f>
        <v>0</v>
      </c>
      <c r="BD582" t="b">
        <f>AND(IF(metadata!S582="",FALSE,TRUE),EXACT(metadata!S582,"Decimal degrees"))</f>
        <v>0</v>
      </c>
      <c r="BE582" t="b">
        <f>OR(AND(IF(metadata!T582="",FALSE,TRUE),OR(EXACT(metadata!T582,"missing: not collected"),EXACT(metadata!T582,"missing: not provided"),EXACT(metadata!T582,"missing: restricted access"))),AND(IF(metadata!T582="",FALSE,ISNUMBER(VALUE(metadata!T582))),metadata!T582&gt;=-180,metadata!T582&lt;=180))</f>
        <v>0</v>
      </c>
      <c r="BF582" t="b">
        <f>AND(IF(metadata!U582="",FALSE,TRUE),EXACT(metadata!U582,"Decimal degrees"))</f>
        <v>0</v>
      </c>
      <c r="BG582" t="b">
        <f>IF(metadata!V582="",FALSE,TRUE)</f>
        <v>0</v>
      </c>
      <c r="BH582" t="b">
        <f>OR(AND(IF(metadata!W582="",FALSE,TRUE),OR(EXACT(metadata!W582,"missing: not collected"),EXACT(metadata!W582,"missing: not provided"),EXACT(metadata!W582,"missing: restricted access"))),AND(IF(metadata!W582="",FALSE,TRUE),OR(EXACT(metadata!W582,"TRUE"),EXACT(metadata!W582,"FALSE"))))</f>
        <v>0</v>
      </c>
      <c r="BI582" t="b">
        <f>AND(IF(metadata!X582="",FALSE,TRUE),EXACT(metadata!X582,"other"))</f>
        <v>0</v>
      </c>
      <c r="BJ582" t="b">
        <f>IF(metadata!Y582="",FALSE,TRUE)</f>
        <v>0</v>
      </c>
      <c r="BK582" t="b">
        <f>OR(AND(IF(metadata!Z582="",FALSE,TRUE),OR(EXACT(metadata!Z582,"missing: not collected"),EXACT(metadata!Z582,"missing: not provided"))),AND(IF(metadata!Z582="",FALSE,IF(ISERROR(INT(metadata!Z582)),FALSE,INT(metadata!Z582)=metadata!Z582)),metadata!Z582&gt;0))</f>
        <v>0</v>
      </c>
      <c r="BL582" t="b">
        <f>AND(IF(metadata!AA582="",FALSE,TRUE),EXACT(metadata!AA582,"Not applicable"))</f>
        <v>0</v>
      </c>
      <c r="BM582" t="b">
        <f>IF(metadata!AB582="",FALSE,TRUE)</f>
        <v>0</v>
      </c>
    </row>
    <row r="583" spans="1:65" x14ac:dyDescent="0.2">
      <c r="A583" s="5" t="str">
        <f ca="1">IF(B583=" "," ",HYPERLINK(CONCATENATE("#metadata!",ADDRESS(INDEX($AH$2:$AH$1001,MATCH(ROWS($AF$2:AF583),$AF$2:$AF$1001,0),0),1)),INDEX($AK$2:$AK$1001,MATCH(ROWS($AF$2:AF583),$AF$2:$AF$1001,0),0)))</f>
        <v xml:space="preserve"> </v>
      </c>
      <c r="B583" s="4" t="str">
        <f ca="1">IF(OR(INDEX($AG$2:$AG$1001,MATCH(ROWS($AF$2:AF583),$AF$2:$AF$1001,0),1)&gt;=100000,INDEX($AM$1005:$BM$1005,1,MATCH(COLUMNS($AM$1006:AM1006),$AM$1006:$BM$1006,0))&gt;=100000), " ",IF(INDEX($AM$2:$BM$1001,MATCH(ROWS($AF$2:AF583),$AF$2:$AF$1001,0),MATCH(COLUMNS($AM$1006:AM1006),$AM$1006:$BM$1006,0)), HYPERLINK("#",""), HYPERLINK(CONCATENATE("#metadata!", ADDRESS(INDEX($AH$2:$AH$1001,MATCH(ROWS($AF$2:AF583),$AF$2:$AF$1001,0),0), INDEX($AM$1004:$BM$1004,1,MATCH(COLUMNS($AM$1006:AM1006),$AM$1006:$BM$1006,0)))),"Fix")))</f>
        <v xml:space="preserve"> </v>
      </c>
      <c r="C583" s="4" t="str">
        <f ca="1">IF(OR(INDEX($AG$2:$AG$1001,MATCH(ROWS($AF$2:AF583),$AF$2:$AF$1001,0),1)&gt;=100000,INDEX($AM$1005:$BM$1005,1,MATCH(COLUMNS($AM$1006:AN1006),$AM$1006:$BM$1006,0))&gt;=100000), " ",IF(INDEX($AM$2:$BM$1001,MATCH(ROWS($AF$2:AF583),$AF$2:$AF$1001,0),MATCH(COLUMNS($AM$1006:AN1006),$AM$1006:$BM$1006,0)), HYPERLINK("#",""), HYPERLINK(CONCATENATE("#metadata!", ADDRESS(INDEX($AH$2:$AH$1001,MATCH(ROWS($AF$2:AF583),$AF$2:$AF$1001,0),0), INDEX($AM$1004:$BM$1004,1,MATCH(COLUMNS($AM$1006:AN1006),$AM$1006:$BM$1006,0)))),"Fix")))</f>
        <v xml:space="preserve"> </v>
      </c>
      <c r="D583" s="4" t="str">
        <f ca="1">IF(OR(INDEX($AG$2:$AG$1001,MATCH(ROWS($AF$2:AF583),$AF$2:$AF$1001,0),1)&gt;=100000,INDEX($AM$1005:$BM$1005,1,MATCH(COLUMNS($AM$1006:AO1006),$AM$1006:$BM$1006,0))&gt;=100000), " ",IF(INDEX($AM$2:$BM$1001,MATCH(ROWS($AF$2:AF583),$AF$2:$AF$1001,0),MATCH(COLUMNS($AM$1006:AO1006),$AM$1006:$BM$1006,0)), HYPERLINK("#",""), HYPERLINK(CONCATENATE("#metadata!", ADDRESS(INDEX($AH$2:$AH$1001,MATCH(ROWS($AF$2:AF583),$AF$2:$AF$1001,0),0), INDEX($AM$1004:$BM$1004,1,MATCH(COLUMNS($AM$1006:AO1006),$AM$1006:$BM$1006,0)))),"Fix")))</f>
        <v xml:space="preserve"> </v>
      </c>
      <c r="E583" s="4" t="str">
        <f ca="1">IF(OR(INDEX($AG$2:$AG$1001,MATCH(ROWS($AF$2:AF583),$AF$2:$AF$1001,0),1)&gt;=100000,INDEX($AM$1005:$BM$1005,1,MATCH(COLUMNS($AM$1006:AP1006),$AM$1006:$BM$1006,0))&gt;=100000), " ",IF(INDEX($AM$2:$BM$1001,MATCH(ROWS($AF$2:AF583),$AF$2:$AF$1001,0),MATCH(COLUMNS($AM$1006:AP1006),$AM$1006:$BM$1006,0)), HYPERLINK("#",""), HYPERLINK(CONCATENATE("#metadata!", ADDRESS(INDEX($AH$2:$AH$1001,MATCH(ROWS($AF$2:AF583),$AF$2:$AF$1001,0),0), INDEX($AM$1004:$BM$1004,1,MATCH(COLUMNS($AM$1006:AP1006),$AM$1006:$BM$1006,0)))),"Fix")))</f>
        <v xml:space="preserve"> </v>
      </c>
      <c r="F583" s="4" t="str">
        <f ca="1">IF(OR(INDEX($AG$2:$AG$1001,MATCH(ROWS($AF$2:AF583),$AF$2:$AF$1001,0),1)&gt;=100000,INDEX($AM$1005:$BM$1005,1,MATCH(COLUMNS($AM$1006:AQ1006),$AM$1006:$BM$1006,0))&gt;=100000), " ",IF(INDEX($AM$2:$BM$1001,MATCH(ROWS($AF$2:AF583),$AF$2:$AF$1001,0),MATCH(COLUMNS($AM$1006:AQ1006),$AM$1006:$BM$1006,0)), HYPERLINK("#",""), HYPERLINK(CONCATENATE("#metadata!", ADDRESS(INDEX($AH$2:$AH$1001,MATCH(ROWS($AF$2:AF583),$AF$2:$AF$1001,0),0), INDEX($AM$1004:$BM$1004,1,MATCH(COLUMNS($AM$1006:AQ1006),$AM$1006:$BM$1006,0)))),"Fix")))</f>
        <v xml:space="preserve"> </v>
      </c>
      <c r="G583" s="4" t="str">
        <f ca="1">IF(OR(INDEX($AG$2:$AG$1001,MATCH(ROWS($AF$2:AF583),$AF$2:$AF$1001,0),1)&gt;=100000,INDEX($AM$1005:$BM$1005,1,MATCH(COLUMNS($AM$1006:AR1006),$AM$1006:$BM$1006,0))&gt;=100000), " ",IF(INDEX($AM$2:$BM$1001,MATCH(ROWS($AF$2:AF583),$AF$2:$AF$1001,0),MATCH(COLUMNS($AM$1006:AR1006),$AM$1006:$BM$1006,0)), HYPERLINK("#",""), HYPERLINK(CONCATENATE("#metadata!", ADDRESS(INDEX($AH$2:$AH$1001,MATCH(ROWS($AF$2:AF583),$AF$2:$AF$1001,0),0), INDEX($AM$1004:$BM$1004,1,MATCH(COLUMNS($AM$1006:AR1006),$AM$1006:$BM$1006,0)))),"Fix")))</f>
        <v xml:space="preserve"> </v>
      </c>
      <c r="H583" s="4" t="str">
        <f ca="1">IF(OR(INDEX($AG$2:$AG$1001,MATCH(ROWS($AF$2:AF583),$AF$2:$AF$1001,0),1)&gt;=100000,INDEX($AM$1005:$BM$1005,1,MATCH(COLUMNS($AM$1006:AS1006),$AM$1006:$BM$1006,0))&gt;=100000), " ",IF(INDEX($AM$2:$BM$1001,MATCH(ROWS($AF$2:AF583),$AF$2:$AF$1001,0),MATCH(COLUMNS($AM$1006:AS1006),$AM$1006:$BM$1006,0)), HYPERLINK("#",""), HYPERLINK(CONCATENATE("#metadata!", ADDRESS(INDEX($AH$2:$AH$1001,MATCH(ROWS($AF$2:AF583),$AF$2:$AF$1001,0),0), INDEX($AM$1004:$BM$1004,1,MATCH(COLUMNS($AM$1006:AS1006),$AM$1006:$BM$1006,0)))),"Fix")))</f>
        <v xml:space="preserve"> </v>
      </c>
      <c r="I583" s="4" t="str">
        <f ca="1">IF(OR(INDEX($AG$2:$AG$1001,MATCH(ROWS($AF$2:AF583),$AF$2:$AF$1001,0),1)&gt;=100000,INDEX($AM$1005:$BM$1005,1,MATCH(COLUMNS($AM$1006:AT1006),$AM$1006:$BM$1006,0))&gt;=100000), " ",IF(INDEX($AM$2:$BM$1001,MATCH(ROWS($AF$2:AF583),$AF$2:$AF$1001,0),MATCH(COLUMNS($AM$1006:AT1006),$AM$1006:$BM$1006,0)), HYPERLINK("#",""), HYPERLINK(CONCATENATE("#metadata!", ADDRESS(INDEX($AH$2:$AH$1001,MATCH(ROWS($AF$2:AF583),$AF$2:$AF$1001,0),0), INDEX($AM$1004:$BM$1004,1,MATCH(COLUMNS($AM$1006:AT1006),$AM$1006:$BM$1006,0)))),"Fix")))</f>
        <v xml:space="preserve"> </v>
      </c>
      <c r="J583" s="4" t="str">
        <f ca="1">IF(OR(INDEX($AG$2:$AG$1001,MATCH(ROWS($AF$2:AF583),$AF$2:$AF$1001,0),1)&gt;=100000,INDEX($AM$1005:$BM$1005,1,MATCH(COLUMNS($AM$1006:AU1006),$AM$1006:$BM$1006,0))&gt;=100000), " ",IF(INDEX($AM$2:$BM$1001,MATCH(ROWS($AF$2:AF583),$AF$2:$AF$1001,0),MATCH(COLUMNS($AM$1006:AU1006),$AM$1006:$BM$1006,0)), HYPERLINK("#",""), HYPERLINK(CONCATENATE("#metadata!", ADDRESS(INDEX($AH$2:$AH$1001,MATCH(ROWS($AF$2:AF583),$AF$2:$AF$1001,0),0), INDEX($AM$1004:$BM$1004,1,MATCH(COLUMNS($AM$1006:AU1006),$AM$1006:$BM$1006,0)))),"Fix")))</f>
        <v xml:space="preserve"> </v>
      </c>
      <c r="K583" s="4" t="str">
        <f ca="1">IF(OR(INDEX($AG$2:$AG$1001,MATCH(ROWS($AF$2:AF583),$AF$2:$AF$1001,0),1)&gt;=100000,INDEX($AM$1005:$BM$1005,1,MATCH(COLUMNS($AM$1006:AV1006),$AM$1006:$BM$1006,0))&gt;=100000), " ",IF(INDEX($AM$2:$BM$1001,MATCH(ROWS($AF$2:AF583),$AF$2:$AF$1001,0),MATCH(COLUMNS($AM$1006:AV1006),$AM$1006:$BM$1006,0)), HYPERLINK("#",""), HYPERLINK(CONCATENATE("#metadata!", ADDRESS(INDEX($AH$2:$AH$1001,MATCH(ROWS($AF$2:AF583),$AF$2:$AF$1001,0),0), INDEX($AM$1004:$BM$1004,1,MATCH(COLUMNS($AM$1006:AV1006),$AM$1006:$BM$1006,0)))),"Fix")))</f>
        <v xml:space="preserve"> </v>
      </c>
      <c r="L583" s="4" t="str">
        <f ca="1">IF(OR(INDEX($AG$2:$AG$1001,MATCH(ROWS($AF$2:AF583),$AF$2:$AF$1001,0),1)&gt;=100000,INDEX($AM$1005:$BM$1005,1,MATCH(COLUMNS($AM$1006:AW1006),$AM$1006:$BM$1006,0))&gt;=100000), " ",IF(INDEX($AM$2:$BM$1001,MATCH(ROWS($AF$2:AF583),$AF$2:$AF$1001,0),MATCH(COLUMNS($AM$1006:AW1006),$AM$1006:$BM$1006,0)), HYPERLINK("#",""), HYPERLINK(CONCATENATE("#metadata!", ADDRESS(INDEX($AH$2:$AH$1001,MATCH(ROWS($AF$2:AF583),$AF$2:$AF$1001,0),0), INDEX($AM$1004:$BM$1004,1,MATCH(COLUMNS($AM$1006:AW1006),$AM$1006:$BM$1006,0)))),"Fix")))</f>
        <v xml:space="preserve"> </v>
      </c>
      <c r="M583" s="4" t="str">
        <f ca="1">IF(OR(INDEX($AG$2:$AG$1001,MATCH(ROWS($AF$2:AF583),$AF$2:$AF$1001,0),1)&gt;=100000,INDEX($AM$1005:$BM$1005,1,MATCH(COLUMNS($AM$1006:AX1006),$AM$1006:$BM$1006,0))&gt;=100000), " ",IF(INDEX($AM$2:$BM$1001,MATCH(ROWS($AF$2:AF583),$AF$2:$AF$1001,0),MATCH(COLUMNS($AM$1006:AX1006),$AM$1006:$BM$1006,0)), HYPERLINK("#",""), HYPERLINK(CONCATENATE("#metadata!", ADDRESS(INDEX($AH$2:$AH$1001,MATCH(ROWS($AF$2:AF583),$AF$2:$AF$1001,0),0), INDEX($AM$1004:$BM$1004,1,MATCH(COLUMNS($AM$1006:AX1006),$AM$1006:$BM$1006,0)))),"Fix")))</f>
        <v xml:space="preserve"> </v>
      </c>
      <c r="N583" s="4" t="str">
        <f ca="1">IF(OR(INDEX($AG$2:$AG$1001,MATCH(ROWS($AF$2:AF583),$AF$2:$AF$1001,0),1)&gt;=100000,INDEX($AM$1005:$BM$1005,1,MATCH(COLUMNS($AM$1006:AY1006),$AM$1006:$BM$1006,0))&gt;=100000), " ",IF(INDEX($AM$2:$BM$1001,MATCH(ROWS($AF$2:AF583),$AF$2:$AF$1001,0),MATCH(COLUMNS($AM$1006:AY1006),$AM$1006:$BM$1006,0)), HYPERLINK("#",""), HYPERLINK(CONCATENATE("#metadata!", ADDRESS(INDEX($AH$2:$AH$1001,MATCH(ROWS($AF$2:AF583),$AF$2:$AF$1001,0),0), INDEX($AM$1004:$BM$1004,1,MATCH(COLUMNS($AM$1006:AY1006),$AM$1006:$BM$1006,0)))),"Fix")))</f>
        <v xml:space="preserve"> </v>
      </c>
      <c r="O583" s="4" t="str">
        <f ca="1">IF(OR(INDEX($AG$2:$AG$1001,MATCH(ROWS($AF$2:AF583),$AF$2:$AF$1001,0),1)&gt;=100000,INDEX($AM$1005:$BM$1005,1,MATCH(COLUMNS($AM$1006:AZ1006),$AM$1006:$BM$1006,0))&gt;=100000), " ",IF(INDEX($AM$2:$BM$1001,MATCH(ROWS($AF$2:AF583),$AF$2:$AF$1001,0),MATCH(COLUMNS($AM$1006:AZ1006),$AM$1006:$BM$1006,0)), HYPERLINK("#",""), HYPERLINK(CONCATENATE("#metadata!", ADDRESS(INDEX($AH$2:$AH$1001,MATCH(ROWS($AF$2:AF583),$AF$2:$AF$1001,0),0), INDEX($AM$1004:$BM$1004,1,MATCH(COLUMNS($AM$1006:AZ1006),$AM$1006:$BM$1006,0)))),"Fix")))</f>
        <v xml:space="preserve"> </v>
      </c>
      <c r="P583" s="4" t="str">
        <f ca="1">IF(OR(INDEX($AG$2:$AG$1001,MATCH(ROWS($AF$2:AF583),$AF$2:$AF$1001,0),1)&gt;=100000,INDEX($AM$1005:$BM$1005,1,MATCH(COLUMNS($AM$1006:BA1006),$AM$1006:$BM$1006,0))&gt;=100000), " ",IF(INDEX($AM$2:$BM$1001,MATCH(ROWS($AF$2:AF583),$AF$2:$AF$1001,0),MATCH(COLUMNS($AM$1006:BA1006),$AM$1006:$BM$1006,0)), HYPERLINK("#",""), HYPERLINK(CONCATENATE("#metadata!", ADDRESS(INDEX($AH$2:$AH$1001,MATCH(ROWS($AF$2:AF583),$AF$2:$AF$1001,0),0), INDEX($AM$1004:$BM$1004,1,MATCH(COLUMNS($AM$1006:BA1006),$AM$1006:$BM$1006,0)))),"Fix")))</f>
        <v xml:space="preserve"> </v>
      </c>
      <c r="Q583" s="4" t="str">
        <f ca="1">IF(OR(INDEX($AG$2:$AG$1001,MATCH(ROWS($AF$2:AF583),$AF$2:$AF$1001,0),1)&gt;=100000,INDEX($AM$1005:$BM$1005,1,MATCH(COLUMNS($AM$1006:BB1006),$AM$1006:$BM$1006,0))&gt;=100000), " ",IF(INDEX($AM$2:$BM$1001,MATCH(ROWS($AF$2:AF583),$AF$2:$AF$1001,0),MATCH(COLUMNS($AM$1006:BB1006),$AM$1006:$BM$1006,0)), HYPERLINK("#",""), HYPERLINK(CONCATENATE("#metadata!", ADDRESS(INDEX($AH$2:$AH$1001,MATCH(ROWS($AF$2:AF583),$AF$2:$AF$1001,0),0), INDEX($AM$1004:$BM$1004,1,MATCH(COLUMNS($AM$1006:BB1006),$AM$1006:$BM$1006,0)))),"Fix")))</f>
        <v xml:space="preserve"> </v>
      </c>
      <c r="R583" s="4" t="str">
        <f ca="1">IF(OR(INDEX($AG$2:$AG$1001,MATCH(ROWS($AF$2:AF583),$AF$2:$AF$1001,0),1)&gt;=100000,INDEX($AM$1005:$BM$1005,1,MATCH(COLUMNS($AM$1006:BC1006),$AM$1006:$BM$1006,0))&gt;=100000), " ",IF(INDEX($AM$2:$BM$1001,MATCH(ROWS($AF$2:AF583),$AF$2:$AF$1001,0),MATCH(COLUMNS($AM$1006:BC1006),$AM$1006:$BM$1006,0)), HYPERLINK("#",""), HYPERLINK(CONCATENATE("#metadata!", ADDRESS(INDEX($AH$2:$AH$1001,MATCH(ROWS($AF$2:AF583),$AF$2:$AF$1001,0),0), INDEX($AM$1004:$BM$1004,1,MATCH(COLUMNS($AM$1006:BC1006),$AM$1006:$BM$1006,0)))),"Fix")))</f>
        <v xml:space="preserve"> </v>
      </c>
      <c r="S583" s="4" t="str">
        <f ca="1">IF(OR(INDEX($AG$2:$AG$1001,MATCH(ROWS($AF$2:AF583),$AF$2:$AF$1001,0),1)&gt;=100000,INDEX($AM$1005:$BM$1005,1,MATCH(COLUMNS($AM$1006:BD1006),$AM$1006:$BM$1006,0))&gt;=100000), " ",IF(INDEX($AM$2:$BM$1001,MATCH(ROWS($AF$2:AF583),$AF$2:$AF$1001,0),MATCH(COLUMNS($AM$1006:BD1006),$AM$1006:$BM$1006,0)), HYPERLINK("#",""), HYPERLINK(CONCATENATE("#metadata!", ADDRESS(INDEX($AH$2:$AH$1001,MATCH(ROWS($AF$2:AF583),$AF$2:$AF$1001,0),0), INDEX($AM$1004:$BM$1004,1,MATCH(COLUMNS($AM$1006:BD1006),$AM$1006:$BM$1006,0)))),"Fix")))</f>
        <v xml:space="preserve"> </v>
      </c>
      <c r="T583" s="4" t="str">
        <f ca="1">IF(OR(INDEX($AG$2:$AG$1001,MATCH(ROWS($AF$2:AF583),$AF$2:$AF$1001,0),1)&gt;=100000,INDEX($AM$1005:$BM$1005,1,MATCH(COLUMNS($AM$1006:BE1006),$AM$1006:$BM$1006,0))&gt;=100000), " ",IF(INDEX($AM$2:$BM$1001,MATCH(ROWS($AF$2:AF583),$AF$2:$AF$1001,0),MATCH(COLUMNS($AM$1006:BE1006),$AM$1006:$BM$1006,0)), HYPERLINK("#",""), HYPERLINK(CONCATENATE("#metadata!", ADDRESS(INDEX($AH$2:$AH$1001,MATCH(ROWS($AF$2:AF583),$AF$2:$AF$1001,0),0), INDEX($AM$1004:$BM$1004,1,MATCH(COLUMNS($AM$1006:BE1006),$AM$1006:$BM$1006,0)))),"Fix")))</f>
        <v xml:space="preserve"> </v>
      </c>
      <c r="U583" s="4" t="str">
        <f ca="1">IF(OR(INDEX($AG$2:$AG$1001,MATCH(ROWS($AF$2:AF583),$AF$2:$AF$1001,0),1)&gt;=100000,INDEX($AM$1005:$BM$1005,1,MATCH(COLUMNS($AM$1006:BF1006),$AM$1006:$BM$1006,0))&gt;=100000), " ",IF(INDEX($AM$2:$BM$1001,MATCH(ROWS($AF$2:AF583),$AF$2:$AF$1001,0),MATCH(COLUMNS($AM$1006:BF1006),$AM$1006:$BM$1006,0)), HYPERLINK("#",""), HYPERLINK(CONCATENATE("#metadata!", ADDRESS(INDEX($AH$2:$AH$1001,MATCH(ROWS($AF$2:AF583),$AF$2:$AF$1001,0),0), INDEX($AM$1004:$BM$1004,1,MATCH(COLUMNS($AM$1006:BF1006),$AM$1006:$BM$1006,0)))),"Fix")))</f>
        <v xml:space="preserve"> </v>
      </c>
      <c r="V583" s="4" t="str">
        <f ca="1">IF(OR(INDEX($AG$2:$AG$1001,MATCH(ROWS($AF$2:AF583),$AF$2:$AF$1001,0),1)&gt;=100000,INDEX($AM$1005:$BM$1005,1,MATCH(COLUMNS($AM$1006:BG1006),$AM$1006:$BM$1006,0))&gt;=100000), " ",IF(INDEX($AM$2:$BM$1001,MATCH(ROWS($AF$2:AF583),$AF$2:$AF$1001,0),MATCH(COLUMNS($AM$1006:BG1006),$AM$1006:$BM$1006,0)), HYPERLINK("#",""), HYPERLINK(CONCATENATE("#metadata!", ADDRESS(INDEX($AH$2:$AH$1001,MATCH(ROWS($AF$2:AF583),$AF$2:$AF$1001,0),0), INDEX($AM$1004:$BM$1004,1,MATCH(COLUMNS($AM$1006:BG1006),$AM$1006:$BM$1006,0)))),"Fix")))</f>
        <v xml:space="preserve"> </v>
      </c>
      <c r="W583" s="4" t="str">
        <f ca="1">IF(OR(INDEX($AG$2:$AG$1001,MATCH(ROWS($AF$2:AF583),$AF$2:$AF$1001,0),1)&gt;=100000,INDEX($AM$1005:$BM$1005,1,MATCH(COLUMNS($AM$1006:BH1006),$AM$1006:$BM$1006,0))&gt;=100000), " ",IF(INDEX($AM$2:$BM$1001,MATCH(ROWS($AF$2:AF583),$AF$2:$AF$1001,0),MATCH(COLUMNS($AM$1006:BH1006),$AM$1006:$BM$1006,0)), HYPERLINK("#",""), HYPERLINK(CONCATENATE("#metadata!", ADDRESS(INDEX($AH$2:$AH$1001,MATCH(ROWS($AF$2:AF583),$AF$2:$AF$1001,0),0), INDEX($AM$1004:$BM$1004,1,MATCH(COLUMNS($AM$1006:BH1006),$AM$1006:$BM$1006,0)))),"Fix")))</f>
        <v xml:space="preserve"> </v>
      </c>
      <c r="X583" s="4" t="str">
        <f ca="1">IF(OR(INDEX($AG$2:$AG$1001,MATCH(ROWS($AF$2:AF583),$AF$2:$AF$1001,0),1)&gt;=100000,INDEX($AM$1005:$BM$1005,1,MATCH(COLUMNS($AM$1006:BI1006),$AM$1006:$BM$1006,0))&gt;=100000), " ",IF(INDEX($AM$2:$BM$1001,MATCH(ROWS($AF$2:AF583),$AF$2:$AF$1001,0),MATCH(COLUMNS($AM$1006:BI1006),$AM$1006:$BM$1006,0)), HYPERLINK("#",""), HYPERLINK(CONCATENATE("#metadata!", ADDRESS(INDEX($AH$2:$AH$1001,MATCH(ROWS($AF$2:AF583),$AF$2:$AF$1001,0),0), INDEX($AM$1004:$BM$1004,1,MATCH(COLUMNS($AM$1006:BI1006),$AM$1006:$BM$1006,0)))),"Fix")))</f>
        <v xml:space="preserve"> </v>
      </c>
      <c r="Y583" s="4" t="str">
        <f ca="1">IF(OR(INDEX($AG$2:$AG$1001,MATCH(ROWS($AF$2:AF583),$AF$2:$AF$1001,0),1)&gt;=100000,INDEX($AM$1005:$BM$1005,1,MATCH(COLUMNS($AM$1006:BJ1006),$AM$1006:$BM$1006,0))&gt;=100000), " ",IF(INDEX($AM$2:$BM$1001,MATCH(ROWS($AF$2:AF583),$AF$2:$AF$1001,0),MATCH(COLUMNS($AM$1006:BJ1006),$AM$1006:$BM$1006,0)), HYPERLINK("#",""), HYPERLINK(CONCATENATE("#metadata!", ADDRESS(INDEX($AH$2:$AH$1001,MATCH(ROWS($AF$2:AF583),$AF$2:$AF$1001,0),0), INDEX($AM$1004:$BM$1004,1,MATCH(COLUMNS($AM$1006:BJ1006),$AM$1006:$BM$1006,0)))),"Fix")))</f>
        <v xml:space="preserve"> </v>
      </c>
      <c r="Z583" s="4" t="str">
        <f ca="1">IF(OR(INDEX($AG$2:$AG$1001,MATCH(ROWS($AF$2:AF583),$AF$2:$AF$1001,0),1)&gt;=100000,INDEX($AM$1005:$BM$1005,1,MATCH(COLUMNS($AM$1006:BK1006),$AM$1006:$BM$1006,0))&gt;=100000), " ",IF(INDEX($AM$2:$BM$1001,MATCH(ROWS($AF$2:AF583),$AF$2:$AF$1001,0),MATCH(COLUMNS($AM$1006:BK1006),$AM$1006:$BM$1006,0)), HYPERLINK("#",""), HYPERLINK(CONCATENATE("#metadata!", ADDRESS(INDEX($AH$2:$AH$1001,MATCH(ROWS($AF$2:AF583),$AF$2:$AF$1001,0),0), INDEX($AM$1004:$BM$1004,1,MATCH(COLUMNS($AM$1006:BK1006),$AM$1006:$BM$1006,0)))),"Fix")))</f>
        <v xml:space="preserve"> </v>
      </c>
      <c r="AA583" s="4" t="str">
        <f ca="1">IF(OR(INDEX($AG$2:$AG$1001,MATCH(ROWS($AF$2:AF583),$AF$2:$AF$1001,0),1)&gt;=100000,INDEX($AM$1005:$BM$1005,1,MATCH(COLUMNS($AM$1006:BL1006),$AM$1006:$BM$1006,0))&gt;=100000), " ",IF(INDEX($AM$2:$BM$1001,MATCH(ROWS($AF$2:AF583),$AF$2:$AF$1001,0),MATCH(COLUMNS($AM$1006:BL1006),$AM$1006:$BM$1006,0)), HYPERLINK("#",""), HYPERLINK(CONCATENATE("#metadata!", ADDRESS(INDEX($AH$2:$AH$1001,MATCH(ROWS($AF$2:AF583),$AF$2:$AF$1001,0),0), INDEX($AM$1004:$BM$1004,1,MATCH(COLUMNS($AM$1006:BL1006),$AM$1006:$BM$1006,0)))),"Fix")))</f>
        <v xml:space="preserve"> </v>
      </c>
      <c r="AB583" s="4" t="str">
        <f ca="1">IF(OR(INDEX($AG$2:$AG$1001,MATCH(ROWS($AF$2:AF583),$AF$2:$AF$1001,0),1)&gt;=100000,INDEX($AM$1005:$BM$1005,1,MATCH(COLUMNS($AM$1006:BM1006),$AM$1006:$BM$1006,0))&gt;=100000), " ",IF(INDEX($AM$2:$BM$1001,MATCH(ROWS($AF$2:AF583),$AF$2:$AF$1001,0),MATCH(COLUMNS($AM$1006:BM1006),$AM$1006:$BM$1006,0)), HYPERLINK("#",""), HYPERLINK(CONCATENATE("#metadata!", ADDRESS(INDEX($AH$2:$AH$1001,MATCH(ROWS($AF$2:AF583),$AF$2:$AF$1001,0),0), INDEX($AM$1004:$BM$1004,1,MATCH(COLUMNS($AM$1006:BM1006),$AM$1006:$BM$1006,0)))),"Fix")))</f>
        <v xml:space="preserve"> </v>
      </c>
      <c r="AF583">
        <v>582</v>
      </c>
      <c r="AG583">
        <v>100583</v>
      </c>
      <c r="AH583">
        <v>583</v>
      </c>
      <c r="AI583" t="b">
        <f t="shared" si="9"/>
        <v>1</v>
      </c>
      <c r="AJ583" t="b">
        <f>COUNTBLANK(metadata!B583:AB583)=COLUMNS(metadata!B583:AB583)</f>
        <v>1</v>
      </c>
      <c r="AK583" t="str">
        <v/>
      </c>
      <c r="AM583" t="b">
        <f ca="1">AND(IF(metadata!B583="",FALSE,TRUE),COUNTIF(metadata!B:B, metadata!B583) = 1,NOT(ISERROR(SUMPRODUCT(SEARCH(MID(metadata!B583,ROW(INDIRECT("1:"&amp;LEN(metadata!B583))), 1),"0123456789abcdefghijklmnopqrstuvwxyzABCDEFGHIJKLMNOPQRSTUVWXYZ.")))))</f>
        <v>0</v>
      </c>
      <c r="AN583" t="b">
        <f ca="1">OR(AND(IF(metadata!C583="",FALSE,TRUE),OR(EXACT(metadata!C583,"missing: not collected"),EXACT(metadata!C583,"missing: not provided"),EXACT(metadata!C583,"missing: restricted access"))),AND(IF(metadata!C583="",FALSE,TRUE),AND(AND(IFERROR(INT(LEFT(metadata!C583,4))&gt;1900,FALSE),IFERROR(INT(LEFT(metadata!C583,4))&lt;=YEAR(NOW()),FALSE)), OR(MID(metadata!C583,5,1)="", AND(AND(MID(metadata!C583,5,1)="-",IFERROR(INT(MID(metadata!C583,6,1))&gt;=0,FALSE),IFERROR(INT(MID(metadata!C583,6,1))&lt;=1,FALSE),NOT(MID(metadata!C583,7,1)=""),IFERROR(INT(MID(metadata!C583,6,2))&gt;=1,FALSE),IFERROR(INT(MID(metadata!C583,6,2))&lt;=12,FALSE)), OR(MID(metadata!C583,8,1)="", AND(AND(MID(metadata!C583,8,1)="-",IFERROR(INT(MID(metadata!C583,9,1))&gt;=0,FALSE),IFERROR(INT(MID(metadata!C583,9,1))&lt;=3,FALSE),NOT(MID(metadata!C583,10,1)=""),IFERROR(INT(MID(metadata!C583,9,2))&gt;=1,FALSE),IFERROR(INT(MID(metadata!C583,9,2))&lt;=31,FALSE)), OR(MID(metadata!C583,11,1)="", AND(AND(MID(metadata!C583,11,1)=" ",IFERROR(INT(MID(metadata!C583,12,1))&gt;=0,FALSE),IFERROR(INT(MID(metadata!C583,12,1))&lt;=2,FALSE),NOT(MID(metadata!C583,13,1)=""),IFERROR(INT(MID(metadata!C583,12,2))&gt;=0,FALSE),IFERROR(INT(MID(metadata!C583,12,2))&lt;=23,FALSE)), OR(MID(metadata!C583,14,1)="", AND(AND(MID(metadata!C583,14,1)=":",IFERROR(INT(MID(metadata!C583,15,1))&gt;=0,FALSE),IFERROR(INT(MID(metadata!C583,15,1))&lt;=5,FALSE),NOT(MID(metadata!C583,16,1)=""),IFERROR(INT(MID(metadata!C583,15,2))&gt;=0,FALSE),IFERROR(INT(MID(metadata!C583,15,2))&lt;=59,FALSE)), OR(MID(metadata!C583,17,1)="", AND(AND(MID(metadata!C583,17,1)=":",IFERROR(INT(MID(metadata!C583,18,1))&gt;=0,FALSE),IFERROR(INT(MID(metadata!C583,18,1))&lt;=5,FALSE),NOT(MID(metadata!C583,19,1)=""),IFERROR(INT(MID(metadata!C583,18,2))&gt;=0,FALSE),IFERROR(INT(MID(metadata!C583,18,2))&lt;=59,FALSE)), LEN(metadata!C583)&lt;=19)))))))))))))</f>
        <v>0</v>
      </c>
      <c r="AO583" t="b">
        <f>AND(IF(metadata!D583="",FALSE,TRUE),EXACT(metadata!D583,"Not applicable"))</f>
        <v>0</v>
      </c>
      <c r="AP583" t="b">
        <f>IF(metadata!E583="",FALSE,TRUE)</f>
        <v>0</v>
      </c>
      <c r="AQ583" t="b">
        <f>OR(AND(IF(metadata!F583="",FALSE,TRUE),OR(EXACT(metadata!F583,"missing: not collected"),EXACT(metadata!F583,"missing: not provided"))),AND(IF(metadata!F583="",FALSE,TRUE),OR(EXACT(metadata!F583,"TRUE"),EXACT(metadata!F583,"FALSE"))))</f>
        <v>0</v>
      </c>
      <c r="AR583" t="b">
        <f>OR(AND(IF(metadata!G583="",FALSE,TRUE),OR(EXACT(metadata!G583,"missing: not collected"),EXACT(metadata!G583,"missing: not provided"),EXACT(metadata!G583,"missing: restricted access"))),AND(IF(metadata!G583="",FALSE,ISNUMBER(VALUE(metadata!G583))),metadata!G583&gt;=-413))</f>
        <v>0</v>
      </c>
      <c r="AS583" t="b">
        <f>AND(IF(metadata!H583="",FALSE,TRUE),EXACT(metadata!H583,"meters"))</f>
        <v>0</v>
      </c>
      <c r="AT583" t="b">
        <f>AND(IF(metadata!I583="",FALSE,TRUE),OR(EXACT(metadata!I583,"Host-associated"),EXACT(metadata!I583,"Free-living")))</f>
        <v>0</v>
      </c>
      <c r="AU583" t="b">
        <f>AND(IF(metadata!J583="",FALSE,TRUE),OR(EXACT(metadata!J583,"Animal"),EXACT(metadata!J583,"Fungus"),EXACT(metadata!J583,"Plant"),EXACT(metadata!J583,"Saline"),EXACT(metadata!J583,"Non-saline")))</f>
        <v>0</v>
      </c>
      <c r="AV583" t="b">
        <f>AND(IF(metadata!K583="",FALSE,TRUE),OR(EXACT(metadata!K583,"Plant secretion"),EXACT(metadata!K583,"Plant rhizosphere"),EXACT(metadata!K583,"Plant surface"),EXACT(metadata!K583,"Plant corpus"),EXACT(metadata!K583,"Fungus surface"),EXACT(metadata!K583,"Fungus corpus"),EXACT(metadata!K583,"Animal surface"),EXACT(metadata!K583,"Animal proximal gut"),EXACT(metadata!K583,"Animal corpus"),EXACT(metadata!K583,"Animal distal gut"),EXACT(metadata!K583,"Animal secretion"),EXACT(metadata!K583,"Sub-surface (non-saline)"),EXACT(metadata!K583,"Surface (non-saline)"),EXACT(metadata!K583,"Water (non-saline)"),EXACT(metadata!K583,"Soil (non-saline)"),EXACT(metadata!K583,"Aerosol (non-saline)"),EXACT(metadata!K583,"Sediment (non-saline)"),EXACT(metadata!K583,"Surface (saline)"),EXACT(metadata!K583,"Water (saline)"),EXACT(metadata!K583,"Hypersaline (saline)"),EXACT(metadata!K583,"Aerosol (saline)"),EXACT(metadata!K583,"Sediment (saline)")))</f>
        <v>0</v>
      </c>
      <c r="AW583" t="b">
        <f>IF(metadata!L583="",FALSE,TRUE)</f>
        <v>0</v>
      </c>
      <c r="AX583" t="b">
        <f>IF(metadata!M583="",FALSE,TRUE)</f>
        <v>0</v>
      </c>
      <c r="AY583" t="b">
        <f>IF(metadata!N583="",FALSE,TRUE)</f>
        <v>0</v>
      </c>
      <c r="AZ583" t="b">
        <f>OR(AND(IF(metadata!O583="",FALSE,TRUE),OR(EXACT(metadata!O583,"missing: not collected"),EXACT(metadata!O583,"missing: not provided"),EXACT(metadata!O583,"missing: restricted access"))),AND(IF(metadata!O583="",FALSE,TRUE),OR(EXACT(metadata!O583,"air"),EXACT(metadata!O583,"built environment"),EXACT(metadata!O583,"host-associated"),EXACT(metadata!O583,"human-associated"),EXACT(metadata!O583,"human-skin"),EXACT(metadata!O583,"human-oral"),EXACT(metadata!O583,"human-gut"),EXACT(metadata!O583,"human-vaginal"),EXACT(metadata!O583,"microbial mat/biofilm"),EXACT(metadata!O583,"misc environment"),EXACT(metadata!O583,"plant-associated"),EXACT(metadata!O583,"sediment"),EXACT(metadata!O583,"soil"),EXACT(metadata!O583,"wastewater/sludge"),EXACT(metadata!O583,"water"))))</f>
        <v>0</v>
      </c>
      <c r="BA583" t="b">
        <f>IF(metadata!P583="",FALSE,TRUE)</f>
        <v>0</v>
      </c>
      <c r="BB583" t="b">
        <f>IF(metadata!Q583="",FALSE,TRUE)</f>
        <v>0</v>
      </c>
      <c r="BC583" t="b">
        <f>OR(AND(IF(metadata!R583="",FALSE,TRUE),OR(EXACT(metadata!R583,"missing: not collected"),EXACT(metadata!R583,"missing: not provided"),EXACT(metadata!R583,"missing: restricted access"))),AND(IF(metadata!R583="",FALSE,ISNUMBER(VALUE(metadata!R583))),metadata!R583&gt;=-90,metadata!R583&lt;=90))</f>
        <v>0</v>
      </c>
      <c r="BD583" t="b">
        <f>AND(IF(metadata!S583="",FALSE,TRUE),EXACT(metadata!S583,"Decimal degrees"))</f>
        <v>0</v>
      </c>
      <c r="BE583" t="b">
        <f>OR(AND(IF(metadata!T583="",FALSE,TRUE),OR(EXACT(metadata!T583,"missing: not collected"),EXACT(metadata!T583,"missing: not provided"),EXACT(metadata!T583,"missing: restricted access"))),AND(IF(metadata!T583="",FALSE,ISNUMBER(VALUE(metadata!T583))),metadata!T583&gt;=-180,metadata!T583&lt;=180))</f>
        <v>0</v>
      </c>
      <c r="BF583" t="b">
        <f>AND(IF(metadata!U583="",FALSE,TRUE),EXACT(metadata!U583,"Decimal degrees"))</f>
        <v>0</v>
      </c>
      <c r="BG583" t="b">
        <f>IF(metadata!V583="",FALSE,TRUE)</f>
        <v>0</v>
      </c>
      <c r="BH583" t="b">
        <f>OR(AND(IF(metadata!W583="",FALSE,TRUE),OR(EXACT(metadata!W583,"missing: not collected"),EXACT(metadata!W583,"missing: not provided"),EXACT(metadata!W583,"missing: restricted access"))),AND(IF(metadata!W583="",FALSE,TRUE),OR(EXACT(metadata!W583,"TRUE"),EXACT(metadata!W583,"FALSE"))))</f>
        <v>0</v>
      </c>
      <c r="BI583" t="b">
        <f>AND(IF(metadata!X583="",FALSE,TRUE),EXACT(metadata!X583,"other"))</f>
        <v>0</v>
      </c>
      <c r="BJ583" t="b">
        <f>IF(metadata!Y583="",FALSE,TRUE)</f>
        <v>0</v>
      </c>
      <c r="BK583" t="b">
        <f>OR(AND(IF(metadata!Z583="",FALSE,TRUE),OR(EXACT(metadata!Z583,"missing: not collected"),EXACT(metadata!Z583,"missing: not provided"))),AND(IF(metadata!Z583="",FALSE,IF(ISERROR(INT(metadata!Z583)),FALSE,INT(metadata!Z583)=metadata!Z583)),metadata!Z583&gt;0))</f>
        <v>0</v>
      </c>
      <c r="BL583" t="b">
        <f>AND(IF(metadata!AA583="",FALSE,TRUE),EXACT(metadata!AA583,"Not applicable"))</f>
        <v>0</v>
      </c>
      <c r="BM583" t="b">
        <f>IF(metadata!AB583="",FALSE,TRUE)</f>
        <v>0</v>
      </c>
    </row>
    <row r="584" spans="1:65" x14ac:dyDescent="0.2">
      <c r="A584" s="5" t="str">
        <f ca="1">IF(B584=" "," ",HYPERLINK(CONCATENATE("#metadata!",ADDRESS(INDEX($AH$2:$AH$1001,MATCH(ROWS($AF$2:AF584),$AF$2:$AF$1001,0),0),1)),INDEX($AK$2:$AK$1001,MATCH(ROWS($AF$2:AF584),$AF$2:$AF$1001,0),0)))</f>
        <v xml:space="preserve"> </v>
      </c>
      <c r="B584" s="4" t="str">
        <f ca="1">IF(OR(INDEX($AG$2:$AG$1001,MATCH(ROWS($AF$2:AF584),$AF$2:$AF$1001,0),1)&gt;=100000,INDEX($AM$1005:$BM$1005,1,MATCH(COLUMNS($AM$1006:AM1006),$AM$1006:$BM$1006,0))&gt;=100000), " ",IF(INDEX($AM$2:$BM$1001,MATCH(ROWS($AF$2:AF584),$AF$2:$AF$1001,0),MATCH(COLUMNS($AM$1006:AM1006),$AM$1006:$BM$1006,0)), HYPERLINK("#",""), HYPERLINK(CONCATENATE("#metadata!", ADDRESS(INDEX($AH$2:$AH$1001,MATCH(ROWS($AF$2:AF584),$AF$2:$AF$1001,0),0), INDEX($AM$1004:$BM$1004,1,MATCH(COLUMNS($AM$1006:AM1006),$AM$1006:$BM$1006,0)))),"Fix")))</f>
        <v xml:space="preserve"> </v>
      </c>
      <c r="C584" s="4" t="str">
        <f ca="1">IF(OR(INDEX($AG$2:$AG$1001,MATCH(ROWS($AF$2:AF584),$AF$2:$AF$1001,0),1)&gt;=100000,INDEX($AM$1005:$BM$1005,1,MATCH(COLUMNS($AM$1006:AN1006),$AM$1006:$BM$1006,0))&gt;=100000), " ",IF(INDEX($AM$2:$BM$1001,MATCH(ROWS($AF$2:AF584),$AF$2:$AF$1001,0),MATCH(COLUMNS($AM$1006:AN1006),$AM$1006:$BM$1006,0)), HYPERLINK("#",""), HYPERLINK(CONCATENATE("#metadata!", ADDRESS(INDEX($AH$2:$AH$1001,MATCH(ROWS($AF$2:AF584),$AF$2:$AF$1001,0),0), INDEX($AM$1004:$BM$1004,1,MATCH(COLUMNS($AM$1006:AN1006),$AM$1006:$BM$1006,0)))),"Fix")))</f>
        <v xml:space="preserve"> </v>
      </c>
      <c r="D584" s="4" t="str">
        <f ca="1">IF(OR(INDEX($AG$2:$AG$1001,MATCH(ROWS($AF$2:AF584),$AF$2:$AF$1001,0),1)&gt;=100000,INDEX($AM$1005:$BM$1005,1,MATCH(COLUMNS($AM$1006:AO1006),$AM$1006:$BM$1006,0))&gt;=100000), " ",IF(INDEX($AM$2:$BM$1001,MATCH(ROWS($AF$2:AF584),$AF$2:$AF$1001,0),MATCH(COLUMNS($AM$1006:AO1006),$AM$1006:$BM$1006,0)), HYPERLINK("#",""), HYPERLINK(CONCATENATE("#metadata!", ADDRESS(INDEX($AH$2:$AH$1001,MATCH(ROWS($AF$2:AF584),$AF$2:$AF$1001,0),0), INDEX($AM$1004:$BM$1004,1,MATCH(COLUMNS($AM$1006:AO1006),$AM$1006:$BM$1006,0)))),"Fix")))</f>
        <v xml:space="preserve"> </v>
      </c>
      <c r="E584" s="4" t="str">
        <f ca="1">IF(OR(INDEX($AG$2:$AG$1001,MATCH(ROWS($AF$2:AF584),$AF$2:$AF$1001,0),1)&gt;=100000,INDEX($AM$1005:$BM$1005,1,MATCH(COLUMNS($AM$1006:AP1006),$AM$1006:$BM$1006,0))&gt;=100000), " ",IF(INDEX($AM$2:$BM$1001,MATCH(ROWS($AF$2:AF584),$AF$2:$AF$1001,0),MATCH(COLUMNS($AM$1006:AP1006),$AM$1006:$BM$1006,0)), HYPERLINK("#",""), HYPERLINK(CONCATENATE("#metadata!", ADDRESS(INDEX($AH$2:$AH$1001,MATCH(ROWS($AF$2:AF584),$AF$2:$AF$1001,0),0), INDEX($AM$1004:$BM$1004,1,MATCH(COLUMNS($AM$1006:AP1006),$AM$1006:$BM$1006,0)))),"Fix")))</f>
        <v xml:space="preserve"> </v>
      </c>
      <c r="F584" s="4" t="str">
        <f ca="1">IF(OR(INDEX($AG$2:$AG$1001,MATCH(ROWS($AF$2:AF584),$AF$2:$AF$1001,0),1)&gt;=100000,INDEX($AM$1005:$BM$1005,1,MATCH(COLUMNS($AM$1006:AQ1006),$AM$1006:$BM$1006,0))&gt;=100000), " ",IF(INDEX($AM$2:$BM$1001,MATCH(ROWS($AF$2:AF584),$AF$2:$AF$1001,0),MATCH(COLUMNS($AM$1006:AQ1006),$AM$1006:$BM$1006,0)), HYPERLINK("#",""), HYPERLINK(CONCATENATE("#metadata!", ADDRESS(INDEX($AH$2:$AH$1001,MATCH(ROWS($AF$2:AF584),$AF$2:$AF$1001,0),0), INDEX($AM$1004:$BM$1004,1,MATCH(COLUMNS($AM$1006:AQ1006),$AM$1006:$BM$1006,0)))),"Fix")))</f>
        <v xml:space="preserve"> </v>
      </c>
      <c r="G584" s="4" t="str">
        <f ca="1">IF(OR(INDEX($AG$2:$AG$1001,MATCH(ROWS($AF$2:AF584),$AF$2:$AF$1001,0),1)&gt;=100000,INDEX($AM$1005:$BM$1005,1,MATCH(COLUMNS($AM$1006:AR1006),$AM$1006:$BM$1006,0))&gt;=100000), " ",IF(INDEX($AM$2:$BM$1001,MATCH(ROWS($AF$2:AF584),$AF$2:$AF$1001,0),MATCH(COLUMNS($AM$1006:AR1006),$AM$1006:$BM$1006,0)), HYPERLINK("#",""), HYPERLINK(CONCATENATE("#metadata!", ADDRESS(INDEX($AH$2:$AH$1001,MATCH(ROWS($AF$2:AF584),$AF$2:$AF$1001,0),0), INDEX($AM$1004:$BM$1004,1,MATCH(COLUMNS($AM$1006:AR1006),$AM$1006:$BM$1006,0)))),"Fix")))</f>
        <v xml:space="preserve"> </v>
      </c>
      <c r="H584" s="4" t="str">
        <f ca="1">IF(OR(INDEX($AG$2:$AG$1001,MATCH(ROWS($AF$2:AF584),$AF$2:$AF$1001,0),1)&gt;=100000,INDEX($AM$1005:$BM$1005,1,MATCH(COLUMNS($AM$1006:AS1006),$AM$1006:$BM$1006,0))&gt;=100000), " ",IF(INDEX($AM$2:$BM$1001,MATCH(ROWS($AF$2:AF584),$AF$2:$AF$1001,0),MATCH(COLUMNS($AM$1006:AS1006),$AM$1006:$BM$1006,0)), HYPERLINK("#",""), HYPERLINK(CONCATENATE("#metadata!", ADDRESS(INDEX($AH$2:$AH$1001,MATCH(ROWS($AF$2:AF584),$AF$2:$AF$1001,0),0), INDEX($AM$1004:$BM$1004,1,MATCH(COLUMNS($AM$1006:AS1006),$AM$1006:$BM$1006,0)))),"Fix")))</f>
        <v xml:space="preserve"> </v>
      </c>
      <c r="I584" s="4" t="str">
        <f ca="1">IF(OR(INDEX($AG$2:$AG$1001,MATCH(ROWS($AF$2:AF584),$AF$2:$AF$1001,0),1)&gt;=100000,INDEX($AM$1005:$BM$1005,1,MATCH(COLUMNS($AM$1006:AT1006),$AM$1006:$BM$1006,0))&gt;=100000), " ",IF(INDEX($AM$2:$BM$1001,MATCH(ROWS($AF$2:AF584),$AF$2:$AF$1001,0),MATCH(COLUMNS($AM$1006:AT1006),$AM$1006:$BM$1006,0)), HYPERLINK("#",""), HYPERLINK(CONCATENATE("#metadata!", ADDRESS(INDEX($AH$2:$AH$1001,MATCH(ROWS($AF$2:AF584),$AF$2:$AF$1001,0),0), INDEX($AM$1004:$BM$1004,1,MATCH(COLUMNS($AM$1006:AT1006),$AM$1006:$BM$1006,0)))),"Fix")))</f>
        <v xml:space="preserve"> </v>
      </c>
      <c r="J584" s="4" t="str">
        <f ca="1">IF(OR(INDEX($AG$2:$AG$1001,MATCH(ROWS($AF$2:AF584),$AF$2:$AF$1001,0),1)&gt;=100000,INDEX($AM$1005:$BM$1005,1,MATCH(COLUMNS($AM$1006:AU1006),$AM$1006:$BM$1006,0))&gt;=100000), " ",IF(INDEX($AM$2:$BM$1001,MATCH(ROWS($AF$2:AF584),$AF$2:$AF$1001,0),MATCH(COLUMNS($AM$1006:AU1006),$AM$1006:$BM$1006,0)), HYPERLINK("#",""), HYPERLINK(CONCATENATE("#metadata!", ADDRESS(INDEX($AH$2:$AH$1001,MATCH(ROWS($AF$2:AF584),$AF$2:$AF$1001,0),0), INDEX($AM$1004:$BM$1004,1,MATCH(COLUMNS($AM$1006:AU1006),$AM$1006:$BM$1006,0)))),"Fix")))</f>
        <v xml:space="preserve"> </v>
      </c>
      <c r="K584" s="4" t="str">
        <f ca="1">IF(OR(INDEX($AG$2:$AG$1001,MATCH(ROWS($AF$2:AF584),$AF$2:$AF$1001,0),1)&gt;=100000,INDEX($AM$1005:$BM$1005,1,MATCH(COLUMNS($AM$1006:AV1006),$AM$1006:$BM$1006,0))&gt;=100000), " ",IF(INDEX($AM$2:$BM$1001,MATCH(ROWS($AF$2:AF584),$AF$2:$AF$1001,0),MATCH(COLUMNS($AM$1006:AV1006),$AM$1006:$BM$1006,0)), HYPERLINK("#",""), HYPERLINK(CONCATENATE("#metadata!", ADDRESS(INDEX($AH$2:$AH$1001,MATCH(ROWS($AF$2:AF584),$AF$2:$AF$1001,0),0), INDEX($AM$1004:$BM$1004,1,MATCH(COLUMNS($AM$1006:AV1006),$AM$1006:$BM$1006,0)))),"Fix")))</f>
        <v xml:space="preserve"> </v>
      </c>
      <c r="L584" s="4" t="str">
        <f ca="1">IF(OR(INDEX($AG$2:$AG$1001,MATCH(ROWS($AF$2:AF584),$AF$2:$AF$1001,0),1)&gt;=100000,INDEX($AM$1005:$BM$1005,1,MATCH(COLUMNS($AM$1006:AW1006),$AM$1006:$BM$1006,0))&gt;=100000), " ",IF(INDEX($AM$2:$BM$1001,MATCH(ROWS($AF$2:AF584),$AF$2:$AF$1001,0),MATCH(COLUMNS($AM$1006:AW1006),$AM$1006:$BM$1006,0)), HYPERLINK("#",""), HYPERLINK(CONCATENATE("#metadata!", ADDRESS(INDEX($AH$2:$AH$1001,MATCH(ROWS($AF$2:AF584),$AF$2:$AF$1001,0),0), INDEX($AM$1004:$BM$1004,1,MATCH(COLUMNS($AM$1006:AW1006),$AM$1006:$BM$1006,0)))),"Fix")))</f>
        <v xml:space="preserve"> </v>
      </c>
      <c r="M584" s="4" t="str">
        <f ca="1">IF(OR(INDEX($AG$2:$AG$1001,MATCH(ROWS($AF$2:AF584),$AF$2:$AF$1001,0),1)&gt;=100000,INDEX($AM$1005:$BM$1005,1,MATCH(COLUMNS($AM$1006:AX1006),$AM$1006:$BM$1006,0))&gt;=100000), " ",IF(INDEX($AM$2:$BM$1001,MATCH(ROWS($AF$2:AF584),$AF$2:$AF$1001,0),MATCH(COLUMNS($AM$1006:AX1006),$AM$1006:$BM$1006,0)), HYPERLINK("#",""), HYPERLINK(CONCATENATE("#metadata!", ADDRESS(INDEX($AH$2:$AH$1001,MATCH(ROWS($AF$2:AF584),$AF$2:$AF$1001,0),0), INDEX($AM$1004:$BM$1004,1,MATCH(COLUMNS($AM$1006:AX1006),$AM$1006:$BM$1006,0)))),"Fix")))</f>
        <v xml:space="preserve"> </v>
      </c>
      <c r="N584" s="4" t="str">
        <f ca="1">IF(OR(INDEX($AG$2:$AG$1001,MATCH(ROWS($AF$2:AF584),$AF$2:$AF$1001,0),1)&gt;=100000,INDEX($AM$1005:$BM$1005,1,MATCH(COLUMNS($AM$1006:AY1006),$AM$1006:$BM$1006,0))&gt;=100000), " ",IF(INDEX($AM$2:$BM$1001,MATCH(ROWS($AF$2:AF584),$AF$2:$AF$1001,0),MATCH(COLUMNS($AM$1006:AY1006),$AM$1006:$BM$1006,0)), HYPERLINK("#",""), HYPERLINK(CONCATENATE("#metadata!", ADDRESS(INDEX($AH$2:$AH$1001,MATCH(ROWS($AF$2:AF584),$AF$2:$AF$1001,0),0), INDEX($AM$1004:$BM$1004,1,MATCH(COLUMNS($AM$1006:AY1006),$AM$1006:$BM$1006,0)))),"Fix")))</f>
        <v xml:space="preserve"> </v>
      </c>
      <c r="O584" s="4" t="str">
        <f ca="1">IF(OR(INDEX($AG$2:$AG$1001,MATCH(ROWS($AF$2:AF584),$AF$2:$AF$1001,0),1)&gt;=100000,INDEX($AM$1005:$BM$1005,1,MATCH(COLUMNS($AM$1006:AZ1006),$AM$1006:$BM$1006,0))&gt;=100000), " ",IF(INDEX($AM$2:$BM$1001,MATCH(ROWS($AF$2:AF584),$AF$2:$AF$1001,0),MATCH(COLUMNS($AM$1006:AZ1006),$AM$1006:$BM$1006,0)), HYPERLINK("#",""), HYPERLINK(CONCATENATE("#metadata!", ADDRESS(INDEX($AH$2:$AH$1001,MATCH(ROWS($AF$2:AF584),$AF$2:$AF$1001,0),0), INDEX($AM$1004:$BM$1004,1,MATCH(COLUMNS($AM$1006:AZ1006),$AM$1006:$BM$1006,0)))),"Fix")))</f>
        <v xml:space="preserve"> </v>
      </c>
      <c r="P584" s="4" t="str">
        <f ca="1">IF(OR(INDEX($AG$2:$AG$1001,MATCH(ROWS($AF$2:AF584),$AF$2:$AF$1001,0),1)&gt;=100000,INDEX($AM$1005:$BM$1005,1,MATCH(COLUMNS($AM$1006:BA1006),$AM$1006:$BM$1006,0))&gt;=100000), " ",IF(INDEX($AM$2:$BM$1001,MATCH(ROWS($AF$2:AF584),$AF$2:$AF$1001,0),MATCH(COLUMNS($AM$1006:BA1006),$AM$1006:$BM$1006,0)), HYPERLINK("#",""), HYPERLINK(CONCATENATE("#metadata!", ADDRESS(INDEX($AH$2:$AH$1001,MATCH(ROWS($AF$2:AF584),$AF$2:$AF$1001,0),0), INDEX($AM$1004:$BM$1004,1,MATCH(COLUMNS($AM$1006:BA1006),$AM$1006:$BM$1006,0)))),"Fix")))</f>
        <v xml:space="preserve"> </v>
      </c>
      <c r="Q584" s="4" t="str">
        <f ca="1">IF(OR(INDEX($AG$2:$AG$1001,MATCH(ROWS($AF$2:AF584),$AF$2:$AF$1001,0),1)&gt;=100000,INDEX($AM$1005:$BM$1005,1,MATCH(COLUMNS($AM$1006:BB1006),$AM$1006:$BM$1006,0))&gt;=100000), " ",IF(INDEX($AM$2:$BM$1001,MATCH(ROWS($AF$2:AF584),$AF$2:$AF$1001,0),MATCH(COLUMNS($AM$1006:BB1006),$AM$1006:$BM$1006,0)), HYPERLINK("#",""), HYPERLINK(CONCATENATE("#metadata!", ADDRESS(INDEX($AH$2:$AH$1001,MATCH(ROWS($AF$2:AF584),$AF$2:$AF$1001,0),0), INDEX($AM$1004:$BM$1004,1,MATCH(COLUMNS($AM$1006:BB1006),$AM$1006:$BM$1006,0)))),"Fix")))</f>
        <v xml:space="preserve"> </v>
      </c>
      <c r="R584" s="4" t="str">
        <f ca="1">IF(OR(INDEX($AG$2:$AG$1001,MATCH(ROWS($AF$2:AF584),$AF$2:$AF$1001,0),1)&gt;=100000,INDEX($AM$1005:$BM$1005,1,MATCH(COLUMNS($AM$1006:BC1006),$AM$1006:$BM$1006,0))&gt;=100000), " ",IF(INDEX($AM$2:$BM$1001,MATCH(ROWS($AF$2:AF584),$AF$2:$AF$1001,0),MATCH(COLUMNS($AM$1006:BC1006),$AM$1006:$BM$1006,0)), HYPERLINK("#",""), HYPERLINK(CONCATENATE("#metadata!", ADDRESS(INDEX($AH$2:$AH$1001,MATCH(ROWS($AF$2:AF584),$AF$2:$AF$1001,0),0), INDEX($AM$1004:$BM$1004,1,MATCH(COLUMNS($AM$1006:BC1006),$AM$1006:$BM$1006,0)))),"Fix")))</f>
        <v xml:space="preserve"> </v>
      </c>
      <c r="S584" s="4" t="str">
        <f ca="1">IF(OR(INDEX($AG$2:$AG$1001,MATCH(ROWS($AF$2:AF584),$AF$2:$AF$1001,0),1)&gt;=100000,INDEX($AM$1005:$BM$1005,1,MATCH(COLUMNS($AM$1006:BD1006),$AM$1006:$BM$1006,0))&gt;=100000), " ",IF(INDEX($AM$2:$BM$1001,MATCH(ROWS($AF$2:AF584),$AF$2:$AF$1001,0),MATCH(COLUMNS($AM$1006:BD1006),$AM$1006:$BM$1006,0)), HYPERLINK("#",""), HYPERLINK(CONCATENATE("#metadata!", ADDRESS(INDEX($AH$2:$AH$1001,MATCH(ROWS($AF$2:AF584),$AF$2:$AF$1001,0),0), INDEX($AM$1004:$BM$1004,1,MATCH(COLUMNS($AM$1006:BD1006),$AM$1006:$BM$1006,0)))),"Fix")))</f>
        <v xml:space="preserve"> </v>
      </c>
      <c r="T584" s="4" t="str">
        <f ca="1">IF(OR(INDEX($AG$2:$AG$1001,MATCH(ROWS($AF$2:AF584),$AF$2:$AF$1001,0),1)&gt;=100000,INDEX($AM$1005:$BM$1005,1,MATCH(COLUMNS($AM$1006:BE1006),$AM$1006:$BM$1006,0))&gt;=100000), " ",IF(INDEX($AM$2:$BM$1001,MATCH(ROWS($AF$2:AF584),$AF$2:$AF$1001,0),MATCH(COLUMNS($AM$1006:BE1006),$AM$1006:$BM$1006,0)), HYPERLINK("#",""), HYPERLINK(CONCATENATE("#metadata!", ADDRESS(INDEX($AH$2:$AH$1001,MATCH(ROWS($AF$2:AF584),$AF$2:$AF$1001,0),0), INDEX($AM$1004:$BM$1004,1,MATCH(COLUMNS($AM$1006:BE1006),$AM$1006:$BM$1006,0)))),"Fix")))</f>
        <v xml:space="preserve"> </v>
      </c>
      <c r="U584" s="4" t="str">
        <f ca="1">IF(OR(INDEX($AG$2:$AG$1001,MATCH(ROWS($AF$2:AF584),$AF$2:$AF$1001,0),1)&gt;=100000,INDEX($AM$1005:$BM$1005,1,MATCH(COLUMNS($AM$1006:BF1006),$AM$1006:$BM$1006,0))&gt;=100000), " ",IF(INDEX($AM$2:$BM$1001,MATCH(ROWS($AF$2:AF584),$AF$2:$AF$1001,0),MATCH(COLUMNS($AM$1006:BF1006),$AM$1006:$BM$1006,0)), HYPERLINK("#",""), HYPERLINK(CONCATENATE("#metadata!", ADDRESS(INDEX($AH$2:$AH$1001,MATCH(ROWS($AF$2:AF584),$AF$2:$AF$1001,0),0), INDEX($AM$1004:$BM$1004,1,MATCH(COLUMNS($AM$1006:BF1006),$AM$1006:$BM$1006,0)))),"Fix")))</f>
        <v xml:space="preserve"> </v>
      </c>
      <c r="V584" s="4" t="str">
        <f ca="1">IF(OR(INDEX($AG$2:$AG$1001,MATCH(ROWS($AF$2:AF584),$AF$2:$AF$1001,0),1)&gt;=100000,INDEX($AM$1005:$BM$1005,1,MATCH(COLUMNS($AM$1006:BG1006),$AM$1006:$BM$1006,0))&gt;=100000), " ",IF(INDEX($AM$2:$BM$1001,MATCH(ROWS($AF$2:AF584),$AF$2:$AF$1001,0),MATCH(COLUMNS($AM$1006:BG1006),$AM$1006:$BM$1006,0)), HYPERLINK("#",""), HYPERLINK(CONCATENATE("#metadata!", ADDRESS(INDEX($AH$2:$AH$1001,MATCH(ROWS($AF$2:AF584),$AF$2:$AF$1001,0),0), INDEX($AM$1004:$BM$1004,1,MATCH(COLUMNS($AM$1006:BG1006),$AM$1006:$BM$1006,0)))),"Fix")))</f>
        <v xml:space="preserve"> </v>
      </c>
      <c r="W584" s="4" t="str">
        <f ca="1">IF(OR(INDEX($AG$2:$AG$1001,MATCH(ROWS($AF$2:AF584),$AF$2:$AF$1001,0),1)&gt;=100000,INDEX($AM$1005:$BM$1005,1,MATCH(COLUMNS($AM$1006:BH1006),$AM$1006:$BM$1006,0))&gt;=100000), " ",IF(INDEX($AM$2:$BM$1001,MATCH(ROWS($AF$2:AF584),$AF$2:$AF$1001,0),MATCH(COLUMNS($AM$1006:BH1006),$AM$1006:$BM$1006,0)), HYPERLINK("#",""), HYPERLINK(CONCATENATE("#metadata!", ADDRESS(INDEX($AH$2:$AH$1001,MATCH(ROWS($AF$2:AF584),$AF$2:$AF$1001,0),0), INDEX($AM$1004:$BM$1004,1,MATCH(COLUMNS($AM$1006:BH1006),$AM$1006:$BM$1006,0)))),"Fix")))</f>
        <v xml:space="preserve"> </v>
      </c>
      <c r="X584" s="4" t="str">
        <f ca="1">IF(OR(INDEX($AG$2:$AG$1001,MATCH(ROWS($AF$2:AF584),$AF$2:$AF$1001,0),1)&gt;=100000,INDEX($AM$1005:$BM$1005,1,MATCH(COLUMNS($AM$1006:BI1006),$AM$1006:$BM$1006,0))&gt;=100000), " ",IF(INDEX($AM$2:$BM$1001,MATCH(ROWS($AF$2:AF584),$AF$2:$AF$1001,0),MATCH(COLUMNS($AM$1006:BI1006),$AM$1006:$BM$1006,0)), HYPERLINK("#",""), HYPERLINK(CONCATENATE("#metadata!", ADDRESS(INDEX($AH$2:$AH$1001,MATCH(ROWS($AF$2:AF584),$AF$2:$AF$1001,0),0), INDEX($AM$1004:$BM$1004,1,MATCH(COLUMNS($AM$1006:BI1006),$AM$1006:$BM$1006,0)))),"Fix")))</f>
        <v xml:space="preserve"> </v>
      </c>
      <c r="Y584" s="4" t="str">
        <f ca="1">IF(OR(INDEX($AG$2:$AG$1001,MATCH(ROWS($AF$2:AF584),$AF$2:$AF$1001,0),1)&gt;=100000,INDEX($AM$1005:$BM$1005,1,MATCH(COLUMNS($AM$1006:BJ1006),$AM$1006:$BM$1006,0))&gt;=100000), " ",IF(INDEX($AM$2:$BM$1001,MATCH(ROWS($AF$2:AF584),$AF$2:$AF$1001,0),MATCH(COLUMNS($AM$1006:BJ1006),$AM$1006:$BM$1006,0)), HYPERLINK("#",""), HYPERLINK(CONCATENATE("#metadata!", ADDRESS(INDEX($AH$2:$AH$1001,MATCH(ROWS($AF$2:AF584),$AF$2:$AF$1001,0),0), INDEX($AM$1004:$BM$1004,1,MATCH(COLUMNS($AM$1006:BJ1006),$AM$1006:$BM$1006,0)))),"Fix")))</f>
        <v xml:space="preserve"> </v>
      </c>
      <c r="Z584" s="4" t="str">
        <f ca="1">IF(OR(INDEX($AG$2:$AG$1001,MATCH(ROWS($AF$2:AF584),$AF$2:$AF$1001,0),1)&gt;=100000,INDEX($AM$1005:$BM$1005,1,MATCH(COLUMNS($AM$1006:BK1006),$AM$1006:$BM$1006,0))&gt;=100000), " ",IF(INDEX($AM$2:$BM$1001,MATCH(ROWS($AF$2:AF584),$AF$2:$AF$1001,0),MATCH(COLUMNS($AM$1006:BK1006),$AM$1006:$BM$1006,0)), HYPERLINK("#",""), HYPERLINK(CONCATENATE("#metadata!", ADDRESS(INDEX($AH$2:$AH$1001,MATCH(ROWS($AF$2:AF584),$AF$2:$AF$1001,0),0), INDEX($AM$1004:$BM$1004,1,MATCH(COLUMNS($AM$1006:BK1006),$AM$1006:$BM$1006,0)))),"Fix")))</f>
        <v xml:space="preserve"> </v>
      </c>
      <c r="AA584" s="4" t="str">
        <f ca="1">IF(OR(INDEX($AG$2:$AG$1001,MATCH(ROWS($AF$2:AF584),$AF$2:$AF$1001,0),1)&gt;=100000,INDEX($AM$1005:$BM$1005,1,MATCH(COLUMNS($AM$1006:BL1006),$AM$1006:$BM$1006,0))&gt;=100000), " ",IF(INDEX($AM$2:$BM$1001,MATCH(ROWS($AF$2:AF584),$AF$2:$AF$1001,0),MATCH(COLUMNS($AM$1006:BL1006),$AM$1006:$BM$1006,0)), HYPERLINK("#",""), HYPERLINK(CONCATENATE("#metadata!", ADDRESS(INDEX($AH$2:$AH$1001,MATCH(ROWS($AF$2:AF584),$AF$2:$AF$1001,0),0), INDEX($AM$1004:$BM$1004,1,MATCH(COLUMNS($AM$1006:BL1006),$AM$1006:$BM$1006,0)))),"Fix")))</f>
        <v xml:space="preserve"> </v>
      </c>
      <c r="AB584" s="4" t="str">
        <f ca="1">IF(OR(INDEX($AG$2:$AG$1001,MATCH(ROWS($AF$2:AF584),$AF$2:$AF$1001,0),1)&gt;=100000,INDEX($AM$1005:$BM$1005,1,MATCH(COLUMNS($AM$1006:BM1006),$AM$1006:$BM$1006,0))&gt;=100000), " ",IF(INDEX($AM$2:$BM$1001,MATCH(ROWS($AF$2:AF584),$AF$2:$AF$1001,0),MATCH(COLUMNS($AM$1006:BM1006),$AM$1006:$BM$1006,0)), HYPERLINK("#",""), HYPERLINK(CONCATENATE("#metadata!", ADDRESS(INDEX($AH$2:$AH$1001,MATCH(ROWS($AF$2:AF584),$AF$2:$AF$1001,0),0), INDEX($AM$1004:$BM$1004,1,MATCH(COLUMNS($AM$1006:BM1006),$AM$1006:$BM$1006,0)))),"Fix")))</f>
        <v xml:space="preserve"> </v>
      </c>
      <c r="AF584">
        <v>583</v>
      </c>
      <c r="AG584">
        <v>100584</v>
      </c>
      <c r="AH584">
        <v>584</v>
      </c>
      <c r="AI584" t="b">
        <f t="shared" si="9"/>
        <v>1</v>
      </c>
      <c r="AJ584" t="b">
        <f>COUNTBLANK(metadata!B584:AB584)=COLUMNS(metadata!B584:AB584)</f>
        <v>1</v>
      </c>
      <c r="AK584" t="str">
        <v/>
      </c>
      <c r="AM584" t="b">
        <f ca="1">AND(IF(metadata!B584="",FALSE,TRUE),COUNTIF(metadata!B:B, metadata!B584) = 1,NOT(ISERROR(SUMPRODUCT(SEARCH(MID(metadata!B584,ROW(INDIRECT("1:"&amp;LEN(metadata!B584))), 1),"0123456789abcdefghijklmnopqrstuvwxyzABCDEFGHIJKLMNOPQRSTUVWXYZ.")))))</f>
        <v>0</v>
      </c>
      <c r="AN584" t="b">
        <f ca="1">OR(AND(IF(metadata!C584="",FALSE,TRUE),OR(EXACT(metadata!C584,"missing: not collected"),EXACT(metadata!C584,"missing: not provided"),EXACT(metadata!C584,"missing: restricted access"))),AND(IF(metadata!C584="",FALSE,TRUE),AND(AND(IFERROR(INT(LEFT(metadata!C584,4))&gt;1900,FALSE),IFERROR(INT(LEFT(metadata!C584,4))&lt;=YEAR(NOW()),FALSE)), OR(MID(metadata!C584,5,1)="", AND(AND(MID(metadata!C584,5,1)="-",IFERROR(INT(MID(metadata!C584,6,1))&gt;=0,FALSE),IFERROR(INT(MID(metadata!C584,6,1))&lt;=1,FALSE),NOT(MID(metadata!C584,7,1)=""),IFERROR(INT(MID(metadata!C584,6,2))&gt;=1,FALSE),IFERROR(INT(MID(metadata!C584,6,2))&lt;=12,FALSE)), OR(MID(metadata!C584,8,1)="", AND(AND(MID(metadata!C584,8,1)="-",IFERROR(INT(MID(metadata!C584,9,1))&gt;=0,FALSE),IFERROR(INT(MID(metadata!C584,9,1))&lt;=3,FALSE),NOT(MID(metadata!C584,10,1)=""),IFERROR(INT(MID(metadata!C584,9,2))&gt;=1,FALSE),IFERROR(INT(MID(metadata!C584,9,2))&lt;=31,FALSE)), OR(MID(metadata!C584,11,1)="", AND(AND(MID(metadata!C584,11,1)=" ",IFERROR(INT(MID(metadata!C584,12,1))&gt;=0,FALSE),IFERROR(INT(MID(metadata!C584,12,1))&lt;=2,FALSE),NOT(MID(metadata!C584,13,1)=""),IFERROR(INT(MID(metadata!C584,12,2))&gt;=0,FALSE),IFERROR(INT(MID(metadata!C584,12,2))&lt;=23,FALSE)), OR(MID(metadata!C584,14,1)="", AND(AND(MID(metadata!C584,14,1)=":",IFERROR(INT(MID(metadata!C584,15,1))&gt;=0,FALSE),IFERROR(INT(MID(metadata!C584,15,1))&lt;=5,FALSE),NOT(MID(metadata!C584,16,1)=""),IFERROR(INT(MID(metadata!C584,15,2))&gt;=0,FALSE),IFERROR(INT(MID(metadata!C584,15,2))&lt;=59,FALSE)), OR(MID(metadata!C584,17,1)="", AND(AND(MID(metadata!C584,17,1)=":",IFERROR(INT(MID(metadata!C584,18,1))&gt;=0,FALSE),IFERROR(INT(MID(metadata!C584,18,1))&lt;=5,FALSE),NOT(MID(metadata!C584,19,1)=""),IFERROR(INT(MID(metadata!C584,18,2))&gt;=0,FALSE),IFERROR(INT(MID(metadata!C584,18,2))&lt;=59,FALSE)), LEN(metadata!C584)&lt;=19)))))))))))))</f>
        <v>0</v>
      </c>
      <c r="AO584" t="b">
        <f>AND(IF(metadata!D584="",FALSE,TRUE),EXACT(metadata!D584,"Not applicable"))</f>
        <v>0</v>
      </c>
      <c r="AP584" t="b">
        <f>IF(metadata!E584="",FALSE,TRUE)</f>
        <v>0</v>
      </c>
      <c r="AQ584" t="b">
        <f>OR(AND(IF(metadata!F584="",FALSE,TRUE),OR(EXACT(metadata!F584,"missing: not collected"),EXACT(metadata!F584,"missing: not provided"))),AND(IF(metadata!F584="",FALSE,TRUE),OR(EXACT(metadata!F584,"TRUE"),EXACT(metadata!F584,"FALSE"))))</f>
        <v>0</v>
      </c>
      <c r="AR584" t="b">
        <f>OR(AND(IF(metadata!G584="",FALSE,TRUE),OR(EXACT(metadata!G584,"missing: not collected"),EXACT(metadata!G584,"missing: not provided"),EXACT(metadata!G584,"missing: restricted access"))),AND(IF(metadata!G584="",FALSE,ISNUMBER(VALUE(metadata!G584))),metadata!G584&gt;=-413))</f>
        <v>0</v>
      </c>
      <c r="AS584" t="b">
        <f>AND(IF(metadata!H584="",FALSE,TRUE),EXACT(metadata!H584,"meters"))</f>
        <v>0</v>
      </c>
      <c r="AT584" t="b">
        <f>AND(IF(metadata!I584="",FALSE,TRUE),OR(EXACT(metadata!I584,"Host-associated"),EXACT(metadata!I584,"Free-living")))</f>
        <v>0</v>
      </c>
      <c r="AU584" t="b">
        <f>AND(IF(metadata!J584="",FALSE,TRUE),OR(EXACT(metadata!J584,"Animal"),EXACT(metadata!J584,"Fungus"),EXACT(metadata!J584,"Plant"),EXACT(metadata!J584,"Saline"),EXACT(metadata!J584,"Non-saline")))</f>
        <v>0</v>
      </c>
      <c r="AV584" t="b">
        <f>AND(IF(metadata!K584="",FALSE,TRUE),OR(EXACT(metadata!K584,"Plant secretion"),EXACT(metadata!K584,"Plant rhizosphere"),EXACT(metadata!K584,"Plant surface"),EXACT(metadata!K584,"Plant corpus"),EXACT(metadata!K584,"Fungus surface"),EXACT(metadata!K584,"Fungus corpus"),EXACT(metadata!K584,"Animal surface"),EXACT(metadata!K584,"Animal proximal gut"),EXACT(metadata!K584,"Animal corpus"),EXACT(metadata!K584,"Animal distal gut"),EXACT(metadata!K584,"Animal secretion"),EXACT(metadata!K584,"Sub-surface (non-saline)"),EXACT(metadata!K584,"Surface (non-saline)"),EXACT(metadata!K584,"Water (non-saline)"),EXACT(metadata!K584,"Soil (non-saline)"),EXACT(metadata!K584,"Aerosol (non-saline)"),EXACT(metadata!K584,"Sediment (non-saline)"),EXACT(metadata!K584,"Surface (saline)"),EXACT(metadata!K584,"Water (saline)"),EXACT(metadata!K584,"Hypersaline (saline)"),EXACT(metadata!K584,"Aerosol (saline)"),EXACT(metadata!K584,"Sediment (saline)")))</f>
        <v>0</v>
      </c>
      <c r="AW584" t="b">
        <f>IF(metadata!L584="",FALSE,TRUE)</f>
        <v>0</v>
      </c>
      <c r="AX584" t="b">
        <f>IF(metadata!M584="",FALSE,TRUE)</f>
        <v>0</v>
      </c>
      <c r="AY584" t="b">
        <f>IF(metadata!N584="",FALSE,TRUE)</f>
        <v>0</v>
      </c>
      <c r="AZ584" t="b">
        <f>OR(AND(IF(metadata!O584="",FALSE,TRUE),OR(EXACT(metadata!O584,"missing: not collected"),EXACT(metadata!O584,"missing: not provided"),EXACT(metadata!O584,"missing: restricted access"))),AND(IF(metadata!O584="",FALSE,TRUE),OR(EXACT(metadata!O584,"air"),EXACT(metadata!O584,"built environment"),EXACT(metadata!O584,"host-associated"),EXACT(metadata!O584,"human-associated"),EXACT(metadata!O584,"human-skin"),EXACT(metadata!O584,"human-oral"),EXACT(metadata!O584,"human-gut"),EXACT(metadata!O584,"human-vaginal"),EXACT(metadata!O584,"microbial mat/biofilm"),EXACT(metadata!O584,"misc environment"),EXACT(metadata!O584,"plant-associated"),EXACT(metadata!O584,"sediment"),EXACT(metadata!O584,"soil"),EXACT(metadata!O584,"wastewater/sludge"),EXACT(metadata!O584,"water"))))</f>
        <v>0</v>
      </c>
      <c r="BA584" t="b">
        <f>IF(metadata!P584="",FALSE,TRUE)</f>
        <v>0</v>
      </c>
      <c r="BB584" t="b">
        <f>IF(metadata!Q584="",FALSE,TRUE)</f>
        <v>0</v>
      </c>
      <c r="BC584" t="b">
        <f>OR(AND(IF(metadata!R584="",FALSE,TRUE),OR(EXACT(metadata!R584,"missing: not collected"),EXACT(metadata!R584,"missing: not provided"),EXACT(metadata!R584,"missing: restricted access"))),AND(IF(metadata!R584="",FALSE,ISNUMBER(VALUE(metadata!R584))),metadata!R584&gt;=-90,metadata!R584&lt;=90))</f>
        <v>0</v>
      </c>
      <c r="BD584" t="b">
        <f>AND(IF(metadata!S584="",FALSE,TRUE),EXACT(metadata!S584,"Decimal degrees"))</f>
        <v>0</v>
      </c>
      <c r="BE584" t="b">
        <f>OR(AND(IF(metadata!T584="",FALSE,TRUE),OR(EXACT(metadata!T584,"missing: not collected"),EXACT(metadata!T584,"missing: not provided"),EXACT(metadata!T584,"missing: restricted access"))),AND(IF(metadata!T584="",FALSE,ISNUMBER(VALUE(metadata!T584))),metadata!T584&gt;=-180,metadata!T584&lt;=180))</f>
        <v>0</v>
      </c>
      <c r="BF584" t="b">
        <f>AND(IF(metadata!U584="",FALSE,TRUE),EXACT(metadata!U584,"Decimal degrees"))</f>
        <v>0</v>
      </c>
      <c r="BG584" t="b">
        <f>IF(metadata!V584="",FALSE,TRUE)</f>
        <v>0</v>
      </c>
      <c r="BH584" t="b">
        <f>OR(AND(IF(metadata!W584="",FALSE,TRUE),OR(EXACT(metadata!W584,"missing: not collected"),EXACT(metadata!W584,"missing: not provided"),EXACT(metadata!W584,"missing: restricted access"))),AND(IF(metadata!W584="",FALSE,TRUE),OR(EXACT(metadata!W584,"TRUE"),EXACT(metadata!W584,"FALSE"))))</f>
        <v>0</v>
      </c>
      <c r="BI584" t="b">
        <f>AND(IF(metadata!X584="",FALSE,TRUE),EXACT(metadata!X584,"other"))</f>
        <v>0</v>
      </c>
      <c r="BJ584" t="b">
        <f>IF(metadata!Y584="",FALSE,TRUE)</f>
        <v>0</v>
      </c>
      <c r="BK584" t="b">
        <f>OR(AND(IF(metadata!Z584="",FALSE,TRUE),OR(EXACT(metadata!Z584,"missing: not collected"),EXACT(metadata!Z584,"missing: not provided"))),AND(IF(metadata!Z584="",FALSE,IF(ISERROR(INT(metadata!Z584)),FALSE,INT(metadata!Z584)=metadata!Z584)),metadata!Z584&gt;0))</f>
        <v>0</v>
      </c>
      <c r="BL584" t="b">
        <f>AND(IF(metadata!AA584="",FALSE,TRUE),EXACT(metadata!AA584,"Not applicable"))</f>
        <v>0</v>
      </c>
      <c r="BM584" t="b">
        <f>IF(metadata!AB584="",FALSE,TRUE)</f>
        <v>0</v>
      </c>
    </row>
    <row r="585" spans="1:65" x14ac:dyDescent="0.2">
      <c r="A585" s="5" t="str">
        <f ca="1">IF(B585=" "," ",HYPERLINK(CONCATENATE("#metadata!",ADDRESS(INDEX($AH$2:$AH$1001,MATCH(ROWS($AF$2:AF585),$AF$2:$AF$1001,0),0),1)),INDEX($AK$2:$AK$1001,MATCH(ROWS($AF$2:AF585),$AF$2:$AF$1001,0),0)))</f>
        <v xml:space="preserve"> </v>
      </c>
      <c r="B585" s="4" t="str">
        <f ca="1">IF(OR(INDEX($AG$2:$AG$1001,MATCH(ROWS($AF$2:AF585),$AF$2:$AF$1001,0),1)&gt;=100000,INDEX($AM$1005:$BM$1005,1,MATCH(COLUMNS($AM$1006:AM1006),$AM$1006:$BM$1006,0))&gt;=100000), " ",IF(INDEX($AM$2:$BM$1001,MATCH(ROWS($AF$2:AF585),$AF$2:$AF$1001,0),MATCH(COLUMNS($AM$1006:AM1006),$AM$1006:$BM$1006,0)), HYPERLINK("#",""), HYPERLINK(CONCATENATE("#metadata!", ADDRESS(INDEX($AH$2:$AH$1001,MATCH(ROWS($AF$2:AF585),$AF$2:$AF$1001,0),0), INDEX($AM$1004:$BM$1004,1,MATCH(COLUMNS($AM$1006:AM1006),$AM$1006:$BM$1006,0)))),"Fix")))</f>
        <v xml:space="preserve"> </v>
      </c>
      <c r="C585" s="4" t="str">
        <f ca="1">IF(OR(INDEX($AG$2:$AG$1001,MATCH(ROWS($AF$2:AF585),$AF$2:$AF$1001,0),1)&gt;=100000,INDEX($AM$1005:$BM$1005,1,MATCH(COLUMNS($AM$1006:AN1006),$AM$1006:$BM$1006,0))&gt;=100000), " ",IF(INDEX($AM$2:$BM$1001,MATCH(ROWS($AF$2:AF585),$AF$2:$AF$1001,0),MATCH(COLUMNS($AM$1006:AN1006),$AM$1006:$BM$1006,0)), HYPERLINK("#",""), HYPERLINK(CONCATENATE("#metadata!", ADDRESS(INDEX($AH$2:$AH$1001,MATCH(ROWS($AF$2:AF585),$AF$2:$AF$1001,0),0), INDEX($AM$1004:$BM$1004,1,MATCH(COLUMNS($AM$1006:AN1006),$AM$1006:$BM$1006,0)))),"Fix")))</f>
        <v xml:space="preserve"> </v>
      </c>
      <c r="D585" s="4" t="str">
        <f ca="1">IF(OR(INDEX($AG$2:$AG$1001,MATCH(ROWS($AF$2:AF585),$AF$2:$AF$1001,0),1)&gt;=100000,INDEX($AM$1005:$BM$1005,1,MATCH(COLUMNS($AM$1006:AO1006),$AM$1006:$BM$1006,0))&gt;=100000), " ",IF(INDEX($AM$2:$BM$1001,MATCH(ROWS($AF$2:AF585),$AF$2:$AF$1001,0),MATCH(COLUMNS($AM$1006:AO1006),$AM$1006:$BM$1006,0)), HYPERLINK("#",""), HYPERLINK(CONCATENATE("#metadata!", ADDRESS(INDEX($AH$2:$AH$1001,MATCH(ROWS($AF$2:AF585),$AF$2:$AF$1001,0),0), INDEX($AM$1004:$BM$1004,1,MATCH(COLUMNS($AM$1006:AO1006),$AM$1006:$BM$1006,0)))),"Fix")))</f>
        <v xml:space="preserve"> </v>
      </c>
      <c r="E585" s="4" t="str">
        <f ca="1">IF(OR(INDEX($AG$2:$AG$1001,MATCH(ROWS($AF$2:AF585),$AF$2:$AF$1001,0),1)&gt;=100000,INDEX($AM$1005:$BM$1005,1,MATCH(COLUMNS($AM$1006:AP1006),$AM$1006:$BM$1006,0))&gt;=100000), " ",IF(INDEX($AM$2:$BM$1001,MATCH(ROWS($AF$2:AF585),$AF$2:$AF$1001,0),MATCH(COLUMNS($AM$1006:AP1006),$AM$1006:$BM$1006,0)), HYPERLINK("#",""), HYPERLINK(CONCATENATE("#metadata!", ADDRESS(INDEX($AH$2:$AH$1001,MATCH(ROWS($AF$2:AF585),$AF$2:$AF$1001,0),0), INDEX($AM$1004:$BM$1004,1,MATCH(COLUMNS($AM$1006:AP1006),$AM$1006:$BM$1006,0)))),"Fix")))</f>
        <v xml:space="preserve"> </v>
      </c>
      <c r="F585" s="4" t="str">
        <f ca="1">IF(OR(INDEX($AG$2:$AG$1001,MATCH(ROWS($AF$2:AF585),$AF$2:$AF$1001,0),1)&gt;=100000,INDEX($AM$1005:$BM$1005,1,MATCH(COLUMNS($AM$1006:AQ1006),$AM$1006:$BM$1006,0))&gt;=100000), " ",IF(INDEX($AM$2:$BM$1001,MATCH(ROWS($AF$2:AF585),$AF$2:$AF$1001,0),MATCH(COLUMNS($AM$1006:AQ1006),$AM$1006:$BM$1006,0)), HYPERLINK("#",""), HYPERLINK(CONCATENATE("#metadata!", ADDRESS(INDEX($AH$2:$AH$1001,MATCH(ROWS($AF$2:AF585),$AF$2:$AF$1001,0),0), INDEX($AM$1004:$BM$1004,1,MATCH(COLUMNS($AM$1006:AQ1006),$AM$1006:$BM$1006,0)))),"Fix")))</f>
        <v xml:space="preserve"> </v>
      </c>
      <c r="G585" s="4" t="str">
        <f ca="1">IF(OR(INDEX($AG$2:$AG$1001,MATCH(ROWS($AF$2:AF585),$AF$2:$AF$1001,0),1)&gt;=100000,INDEX($AM$1005:$BM$1005,1,MATCH(COLUMNS($AM$1006:AR1006),$AM$1006:$BM$1006,0))&gt;=100000), " ",IF(INDEX($AM$2:$BM$1001,MATCH(ROWS($AF$2:AF585),$AF$2:$AF$1001,0),MATCH(COLUMNS($AM$1006:AR1006),$AM$1006:$BM$1006,0)), HYPERLINK("#",""), HYPERLINK(CONCATENATE("#metadata!", ADDRESS(INDEX($AH$2:$AH$1001,MATCH(ROWS($AF$2:AF585),$AF$2:$AF$1001,0),0), INDEX($AM$1004:$BM$1004,1,MATCH(COLUMNS($AM$1006:AR1006),$AM$1006:$BM$1006,0)))),"Fix")))</f>
        <v xml:space="preserve"> </v>
      </c>
      <c r="H585" s="4" t="str">
        <f ca="1">IF(OR(INDEX($AG$2:$AG$1001,MATCH(ROWS($AF$2:AF585),$AF$2:$AF$1001,0),1)&gt;=100000,INDEX($AM$1005:$BM$1005,1,MATCH(COLUMNS($AM$1006:AS1006),$AM$1006:$BM$1006,0))&gt;=100000), " ",IF(INDEX($AM$2:$BM$1001,MATCH(ROWS($AF$2:AF585),$AF$2:$AF$1001,0),MATCH(COLUMNS($AM$1006:AS1006),$AM$1006:$BM$1006,0)), HYPERLINK("#",""), HYPERLINK(CONCATENATE("#metadata!", ADDRESS(INDEX($AH$2:$AH$1001,MATCH(ROWS($AF$2:AF585),$AF$2:$AF$1001,0),0), INDEX($AM$1004:$BM$1004,1,MATCH(COLUMNS($AM$1006:AS1006),$AM$1006:$BM$1006,0)))),"Fix")))</f>
        <v xml:space="preserve"> </v>
      </c>
      <c r="I585" s="4" t="str">
        <f ca="1">IF(OR(INDEX($AG$2:$AG$1001,MATCH(ROWS($AF$2:AF585),$AF$2:$AF$1001,0),1)&gt;=100000,INDEX($AM$1005:$BM$1005,1,MATCH(COLUMNS($AM$1006:AT1006),$AM$1006:$BM$1006,0))&gt;=100000), " ",IF(INDEX($AM$2:$BM$1001,MATCH(ROWS($AF$2:AF585),$AF$2:$AF$1001,0),MATCH(COLUMNS($AM$1006:AT1006),$AM$1006:$BM$1006,0)), HYPERLINK("#",""), HYPERLINK(CONCATENATE("#metadata!", ADDRESS(INDEX($AH$2:$AH$1001,MATCH(ROWS($AF$2:AF585),$AF$2:$AF$1001,0),0), INDEX($AM$1004:$BM$1004,1,MATCH(COLUMNS($AM$1006:AT1006),$AM$1006:$BM$1006,0)))),"Fix")))</f>
        <v xml:space="preserve"> </v>
      </c>
      <c r="J585" s="4" t="str">
        <f ca="1">IF(OR(INDEX($AG$2:$AG$1001,MATCH(ROWS($AF$2:AF585),$AF$2:$AF$1001,0),1)&gt;=100000,INDEX($AM$1005:$BM$1005,1,MATCH(COLUMNS($AM$1006:AU1006),$AM$1006:$BM$1006,0))&gt;=100000), " ",IF(INDEX($AM$2:$BM$1001,MATCH(ROWS($AF$2:AF585),$AF$2:$AF$1001,0),MATCH(COLUMNS($AM$1006:AU1006),$AM$1006:$BM$1006,0)), HYPERLINK("#",""), HYPERLINK(CONCATENATE("#metadata!", ADDRESS(INDEX($AH$2:$AH$1001,MATCH(ROWS($AF$2:AF585),$AF$2:$AF$1001,0),0), INDEX($AM$1004:$BM$1004,1,MATCH(COLUMNS($AM$1006:AU1006),$AM$1006:$BM$1006,0)))),"Fix")))</f>
        <v xml:space="preserve"> </v>
      </c>
      <c r="K585" s="4" t="str">
        <f ca="1">IF(OR(INDEX($AG$2:$AG$1001,MATCH(ROWS($AF$2:AF585),$AF$2:$AF$1001,0),1)&gt;=100000,INDEX($AM$1005:$BM$1005,1,MATCH(COLUMNS($AM$1006:AV1006),$AM$1006:$BM$1006,0))&gt;=100000), " ",IF(INDEX($AM$2:$BM$1001,MATCH(ROWS($AF$2:AF585),$AF$2:$AF$1001,0),MATCH(COLUMNS($AM$1006:AV1006),$AM$1006:$BM$1006,0)), HYPERLINK("#",""), HYPERLINK(CONCATENATE("#metadata!", ADDRESS(INDEX($AH$2:$AH$1001,MATCH(ROWS($AF$2:AF585),$AF$2:$AF$1001,0),0), INDEX($AM$1004:$BM$1004,1,MATCH(COLUMNS($AM$1006:AV1006),$AM$1006:$BM$1006,0)))),"Fix")))</f>
        <v xml:space="preserve"> </v>
      </c>
      <c r="L585" s="4" t="str">
        <f ca="1">IF(OR(INDEX($AG$2:$AG$1001,MATCH(ROWS($AF$2:AF585),$AF$2:$AF$1001,0),1)&gt;=100000,INDEX($AM$1005:$BM$1005,1,MATCH(COLUMNS($AM$1006:AW1006),$AM$1006:$BM$1006,0))&gt;=100000), " ",IF(INDEX($AM$2:$BM$1001,MATCH(ROWS($AF$2:AF585),$AF$2:$AF$1001,0),MATCH(COLUMNS($AM$1006:AW1006),$AM$1006:$BM$1006,0)), HYPERLINK("#",""), HYPERLINK(CONCATENATE("#metadata!", ADDRESS(INDEX($AH$2:$AH$1001,MATCH(ROWS($AF$2:AF585),$AF$2:$AF$1001,0),0), INDEX($AM$1004:$BM$1004,1,MATCH(COLUMNS($AM$1006:AW1006),$AM$1006:$BM$1006,0)))),"Fix")))</f>
        <v xml:space="preserve"> </v>
      </c>
      <c r="M585" s="4" t="str">
        <f ca="1">IF(OR(INDEX($AG$2:$AG$1001,MATCH(ROWS($AF$2:AF585),$AF$2:$AF$1001,0),1)&gt;=100000,INDEX($AM$1005:$BM$1005,1,MATCH(COLUMNS($AM$1006:AX1006),$AM$1006:$BM$1006,0))&gt;=100000), " ",IF(INDEX($AM$2:$BM$1001,MATCH(ROWS($AF$2:AF585),$AF$2:$AF$1001,0),MATCH(COLUMNS($AM$1006:AX1006),$AM$1006:$BM$1006,0)), HYPERLINK("#",""), HYPERLINK(CONCATENATE("#metadata!", ADDRESS(INDEX($AH$2:$AH$1001,MATCH(ROWS($AF$2:AF585),$AF$2:$AF$1001,0),0), INDEX($AM$1004:$BM$1004,1,MATCH(COLUMNS($AM$1006:AX1006),$AM$1006:$BM$1006,0)))),"Fix")))</f>
        <v xml:space="preserve"> </v>
      </c>
      <c r="N585" s="4" t="str">
        <f ca="1">IF(OR(INDEX($AG$2:$AG$1001,MATCH(ROWS($AF$2:AF585),$AF$2:$AF$1001,0),1)&gt;=100000,INDEX($AM$1005:$BM$1005,1,MATCH(COLUMNS($AM$1006:AY1006),$AM$1006:$BM$1006,0))&gt;=100000), " ",IF(INDEX($AM$2:$BM$1001,MATCH(ROWS($AF$2:AF585),$AF$2:$AF$1001,0),MATCH(COLUMNS($AM$1006:AY1006),$AM$1006:$BM$1006,0)), HYPERLINK("#",""), HYPERLINK(CONCATENATE("#metadata!", ADDRESS(INDEX($AH$2:$AH$1001,MATCH(ROWS($AF$2:AF585),$AF$2:$AF$1001,0),0), INDEX($AM$1004:$BM$1004,1,MATCH(COLUMNS($AM$1006:AY1006),$AM$1006:$BM$1006,0)))),"Fix")))</f>
        <v xml:space="preserve"> </v>
      </c>
      <c r="O585" s="4" t="str">
        <f ca="1">IF(OR(INDEX($AG$2:$AG$1001,MATCH(ROWS($AF$2:AF585),$AF$2:$AF$1001,0),1)&gt;=100000,INDEX($AM$1005:$BM$1005,1,MATCH(COLUMNS($AM$1006:AZ1006),$AM$1006:$BM$1006,0))&gt;=100000), " ",IF(INDEX($AM$2:$BM$1001,MATCH(ROWS($AF$2:AF585),$AF$2:$AF$1001,0),MATCH(COLUMNS($AM$1006:AZ1006),$AM$1006:$BM$1006,0)), HYPERLINK("#",""), HYPERLINK(CONCATENATE("#metadata!", ADDRESS(INDEX($AH$2:$AH$1001,MATCH(ROWS($AF$2:AF585),$AF$2:$AF$1001,0),0), INDEX($AM$1004:$BM$1004,1,MATCH(COLUMNS($AM$1006:AZ1006),$AM$1006:$BM$1006,0)))),"Fix")))</f>
        <v xml:space="preserve"> </v>
      </c>
      <c r="P585" s="4" t="str">
        <f ca="1">IF(OR(INDEX($AG$2:$AG$1001,MATCH(ROWS($AF$2:AF585),$AF$2:$AF$1001,0),1)&gt;=100000,INDEX($AM$1005:$BM$1005,1,MATCH(COLUMNS($AM$1006:BA1006),$AM$1006:$BM$1006,0))&gt;=100000), " ",IF(INDEX($AM$2:$BM$1001,MATCH(ROWS($AF$2:AF585),$AF$2:$AF$1001,0),MATCH(COLUMNS($AM$1006:BA1006),$AM$1006:$BM$1006,0)), HYPERLINK("#",""), HYPERLINK(CONCATENATE("#metadata!", ADDRESS(INDEX($AH$2:$AH$1001,MATCH(ROWS($AF$2:AF585),$AF$2:$AF$1001,0),0), INDEX($AM$1004:$BM$1004,1,MATCH(COLUMNS($AM$1006:BA1006),$AM$1006:$BM$1006,0)))),"Fix")))</f>
        <v xml:space="preserve"> </v>
      </c>
      <c r="Q585" s="4" t="str">
        <f ca="1">IF(OR(INDEX($AG$2:$AG$1001,MATCH(ROWS($AF$2:AF585),$AF$2:$AF$1001,0),1)&gt;=100000,INDEX($AM$1005:$BM$1005,1,MATCH(COLUMNS($AM$1006:BB1006),$AM$1006:$BM$1006,0))&gt;=100000), " ",IF(INDEX($AM$2:$BM$1001,MATCH(ROWS($AF$2:AF585),$AF$2:$AF$1001,0),MATCH(COLUMNS($AM$1006:BB1006),$AM$1006:$BM$1006,0)), HYPERLINK("#",""), HYPERLINK(CONCATENATE("#metadata!", ADDRESS(INDEX($AH$2:$AH$1001,MATCH(ROWS($AF$2:AF585),$AF$2:$AF$1001,0),0), INDEX($AM$1004:$BM$1004,1,MATCH(COLUMNS($AM$1006:BB1006),$AM$1006:$BM$1006,0)))),"Fix")))</f>
        <v xml:space="preserve"> </v>
      </c>
      <c r="R585" s="4" t="str">
        <f ca="1">IF(OR(INDEX($AG$2:$AG$1001,MATCH(ROWS($AF$2:AF585),$AF$2:$AF$1001,0),1)&gt;=100000,INDEX($AM$1005:$BM$1005,1,MATCH(COLUMNS($AM$1006:BC1006),$AM$1006:$BM$1006,0))&gt;=100000), " ",IF(INDEX($AM$2:$BM$1001,MATCH(ROWS($AF$2:AF585),$AF$2:$AF$1001,0),MATCH(COLUMNS($AM$1006:BC1006),$AM$1006:$BM$1006,0)), HYPERLINK("#",""), HYPERLINK(CONCATENATE("#metadata!", ADDRESS(INDEX($AH$2:$AH$1001,MATCH(ROWS($AF$2:AF585),$AF$2:$AF$1001,0),0), INDEX($AM$1004:$BM$1004,1,MATCH(COLUMNS($AM$1006:BC1006),$AM$1006:$BM$1006,0)))),"Fix")))</f>
        <v xml:space="preserve"> </v>
      </c>
      <c r="S585" s="4" t="str">
        <f ca="1">IF(OR(INDEX($AG$2:$AG$1001,MATCH(ROWS($AF$2:AF585),$AF$2:$AF$1001,0),1)&gt;=100000,INDEX($AM$1005:$BM$1005,1,MATCH(COLUMNS($AM$1006:BD1006),$AM$1006:$BM$1006,0))&gt;=100000), " ",IF(INDEX($AM$2:$BM$1001,MATCH(ROWS($AF$2:AF585),$AF$2:$AF$1001,0),MATCH(COLUMNS($AM$1006:BD1006),$AM$1006:$BM$1006,0)), HYPERLINK("#",""), HYPERLINK(CONCATENATE("#metadata!", ADDRESS(INDEX($AH$2:$AH$1001,MATCH(ROWS($AF$2:AF585),$AF$2:$AF$1001,0),0), INDEX($AM$1004:$BM$1004,1,MATCH(COLUMNS($AM$1006:BD1006),$AM$1006:$BM$1006,0)))),"Fix")))</f>
        <v xml:space="preserve"> </v>
      </c>
      <c r="T585" s="4" t="str">
        <f ca="1">IF(OR(INDEX($AG$2:$AG$1001,MATCH(ROWS($AF$2:AF585),$AF$2:$AF$1001,0),1)&gt;=100000,INDEX($AM$1005:$BM$1005,1,MATCH(COLUMNS($AM$1006:BE1006),$AM$1006:$BM$1006,0))&gt;=100000), " ",IF(INDEX($AM$2:$BM$1001,MATCH(ROWS($AF$2:AF585),$AF$2:$AF$1001,0),MATCH(COLUMNS($AM$1006:BE1006),$AM$1006:$BM$1006,0)), HYPERLINK("#",""), HYPERLINK(CONCATENATE("#metadata!", ADDRESS(INDEX($AH$2:$AH$1001,MATCH(ROWS($AF$2:AF585),$AF$2:$AF$1001,0),0), INDEX($AM$1004:$BM$1004,1,MATCH(COLUMNS($AM$1006:BE1006),$AM$1006:$BM$1006,0)))),"Fix")))</f>
        <v xml:space="preserve"> </v>
      </c>
      <c r="U585" s="4" t="str">
        <f ca="1">IF(OR(INDEX($AG$2:$AG$1001,MATCH(ROWS($AF$2:AF585),$AF$2:$AF$1001,0),1)&gt;=100000,INDEX($AM$1005:$BM$1005,1,MATCH(COLUMNS($AM$1006:BF1006),$AM$1006:$BM$1006,0))&gt;=100000), " ",IF(INDEX($AM$2:$BM$1001,MATCH(ROWS($AF$2:AF585),$AF$2:$AF$1001,0),MATCH(COLUMNS($AM$1006:BF1006),$AM$1006:$BM$1006,0)), HYPERLINK("#",""), HYPERLINK(CONCATENATE("#metadata!", ADDRESS(INDEX($AH$2:$AH$1001,MATCH(ROWS($AF$2:AF585),$AF$2:$AF$1001,0),0), INDEX($AM$1004:$BM$1004,1,MATCH(COLUMNS($AM$1006:BF1006),$AM$1006:$BM$1006,0)))),"Fix")))</f>
        <v xml:space="preserve"> </v>
      </c>
      <c r="V585" s="4" t="str">
        <f ca="1">IF(OR(INDEX($AG$2:$AG$1001,MATCH(ROWS($AF$2:AF585),$AF$2:$AF$1001,0),1)&gt;=100000,INDEX($AM$1005:$BM$1005,1,MATCH(COLUMNS($AM$1006:BG1006),$AM$1006:$BM$1006,0))&gt;=100000), " ",IF(INDEX($AM$2:$BM$1001,MATCH(ROWS($AF$2:AF585),$AF$2:$AF$1001,0),MATCH(COLUMNS($AM$1006:BG1006),$AM$1006:$BM$1006,0)), HYPERLINK("#",""), HYPERLINK(CONCATENATE("#metadata!", ADDRESS(INDEX($AH$2:$AH$1001,MATCH(ROWS($AF$2:AF585),$AF$2:$AF$1001,0),0), INDEX($AM$1004:$BM$1004,1,MATCH(COLUMNS($AM$1006:BG1006),$AM$1006:$BM$1006,0)))),"Fix")))</f>
        <v xml:space="preserve"> </v>
      </c>
      <c r="W585" s="4" t="str">
        <f ca="1">IF(OR(INDEX($AG$2:$AG$1001,MATCH(ROWS($AF$2:AF585),$AF$2:$AF$1001,0),1)&gt;=100000,INDEX($AM$1005:$BM$1005,1,MATCH(COLUMNS($AM$1006:BH1006),$AM$1006:$BM$1006,0))&gt;=100000), " ",IF(INDEX($AM$2:$BM$1001,MATCH(ROWS($AF$2:AF585),$AF$2:$AF$1001,0),MATCH(COLUMNS($AM$1006:BH1006),$AM$1006:$BM$1006,0)), HYPERLINK("#",""), HYPERLINK(CONCATENATE("#metadata!", ADDRESS(INDEX($AH$2:$AH$1001,MATCH(ROWS($AF$2:AF585),$AF$2:$AF$1001,0),0), INDEX($AM$1004:$BM$1004,1,MATCH(COLUMNS($AM$1006:BH1006),$AM$1006:$BM$1006,0)))),"Fix")))</f>
        <v xml:space="preserve"> </v>
      </c>
      <c r="X585" s="4" t="str">
        <f ca="1">IF(OR(INDEX($AG$2:$AG$1001,MATCH(ROWS($AF$2:AF585),$AF$2:$AF$1001,0),1)&gt;=100000,INDEX($AM$1005:$BM$1005,1,MATCH(COLUMNS($AM$1006:BI1006),$AM$1006:$BM$1006,0))&gt;=100000), " ",IF(INDEX($AM$2:$BM$1001,MATCH(ROWS($AF$2:AF585),$AF$2:$AF$1001,0),MATCH(COLUMNS($AM$1006:BI1006),$AM$1006:$BM$1006,0)), HYPERLINK("#",""), HYPERLINK(CONCATENATE("#metadata!", ADDRESS(INDEX($AH$2:$AH$1001,MATCH(ROWS($AF$2:AF585),$AF$2:$AF$1001,0),0), INDEX($AM$1004:$BM$1004,1,MATCH(COLUMNS($AM$1006:BI1006),$AM$1006:$BM$1006,0)))),"Fix")))</f>
        <v xml:space="preserve"> </v>
      </c>
      <c r="Y585" s="4" t="str">
        <f ca="1">IF(OR(INDEX($AG$2:$AG$1001,MATCH(ROWS($AF$2:AF585),$AF$2:$AF$1001,0),1)&gt;=100000,INDEX($AM$1005:$BM$1005,1,MATCH(COLUMNS($AM$1006:BJ1006),$AM$1006:$BM$1006,0))&gt;=100000), " ",IF(INDEX($AM$2:$BM$1001,MATCH(ROWS($AF$2:AF585),$AF$2:$AF$1001,0),MATCH(COLUMNS($AM$1006:BJ1006),$AM$1006:$BM$1006,0)), HYPERLINK("#",""), HYPERLINK(CONCATENATE("#metadata!", ADDRESS(INDEX($AH$2:$AH$1001,MATCH(ROWS($AF$2:AF585),$AF$2:$AF$1001,0),0), INDEX($AM$1004:$BM$1004,1,MATCH(COLUMNS($AM$1006:BJ1006),$AM$1006:$BM$1006,0)))),"Fix")))</f>
        <v xml:space="preserve"> </v>
      </c>
      <c r="Z585" s="4" t="str">
        <f ca="1">IF(OR(INDEX($AG$2:$AG$1001,MATCH(ROWS($AF$2:AF585),$AF$2:$AF$1001,0),1)&gt;=100000,INDEX($AM$1005:$BM$1005,1,MATCH(COLUMNS($AM$1006:BK1006),$AM$1006:$BM$1006,0))&gt;=100000), " ",IF(INDEX($AM$2:$BM$1001,MATCH(ROWS($AF$2:AF585),$AF$2:$AF$1001,0),MATCH(COLUMNS($AM$1006:BK1006),$AM$1006:$BM$1006,0)), HYPERLINK("#",""), HYPERLINK(CONCATENATE("#metadata!", ADDRESS(INDEX($AH$2:$AH$1001,MATCH(ROWS($AF$2:AF585),$AF$2:$AF$1001,0),0), INDEX($AM$1004:$BM$1004,1,MATCH(COLUMNS($AM$1006:BK1006),$AM$1006:$BM$1006,0)))),"Fix")))</f>
        <v xml:space="preserve"> </v>
      </c>
      <c r="AA585" s="4" t="str">
        <f ca="1">IF(OR(INDEX($AG$2:$AG$1001,MATCH(ROWS($AF$2:AF585),$AF$2:$AF$1001,0),1)&gt;=100000,INDEX($AM$1005:$BM$1005,1,MATCH(COLUMNS($AM$1006:BL1006),$AM$1006:$BM$1006,0))&gt;=100000), " ",IF(INDEX($AM$2:$BM$1001,MATCH(ROWS($AF$2:AF585),$AF$2:$AF$1001,0),MATCH(COLUMNS($AM$1006:BL1006),$AM$1006:$BM$1006,0)), HYPERLINK("#",""), HYPERLINK(CONCATENATE("#metadata!", ADDRESS(INDEX($AH$2:$AH$1001,MATCH(ROWS($AF$2:AF585),$AF$2:$AF$1001,0),0), INDEX($AM$1004:$BM$1004,1,MATCH(COLUMNS($AM$1006:BL1006),$AM$1006:$BM$1006,0)))),"Fix")))</f>
        <v xml:space="preserve"> </v>
      </c>
      <c r="AB585" s="4" t="str">
        <f ca="1">IF(OR(INDEX($AG$2:$AG$1001,MATCH(ROWS($AF$2:AF585),$AF$2:$AF$1001,0),1)&gt;=100000,INDEX($AM$1005:$BM$1005,1,MATCH(COLUMNS($AM$1006:BM1006),$AM$1006:$BM$1006,0))&gt;=100000), " ",IF(INDEX($AM$2:$BM$1001,MATCH(ROWS($AF$2:AF585),$AF$2:$AF$1001,0),MATCH(COLUMNS($AM$1006:BM1006),$AM$1006:$BM$1006,0)), HYPERLINK("#",""), HYPERLINK(CONCATENATE("#metadata!", ADDRESS(INDEX($AH$2:$AH$1001,MATCH(ROWS($AF$2:AF585),$AF$2:$AF$1001,0),0), INDEX($AM$1004:$BM$1004,1,MATCH(COLUMNS($AM$1006:BM1006),$AM$1006:$BM$1006,0)))),"Fix")))</f>
        <v xml:space="preserve"> </v>
      </c>
      <c r="AF585">
        <v>584</v>
      </c>
      <c r="AG585">
        <v>100585</v>
      </c>
      <c r="AH585">
        <v>585</v>
      </c>
      <c r="AI585" t="b">
        <f t="shared" si="9"/>
        <v>1</v>
      </c>
      <c r="AJ585" t="b">
        <f>COUNTBLANK(metadata!B585:AB585)=COLUMNS(metadata!B585:AB585)</f>
        <v>1</v>
      </c>
      <c r="AK585" t="str">
        <v/>
      </c>
      <c r="AM585" t="b">
        <f ca="1">AND(IF(metadata!B585="",FALSE,TRUE),COUNTIF(metadata!B:B, metadata!B585) = 1,NOT(ISERROR(SUMPRODUCT(SEARCH(MID(metadata!B585,ROW(INDIRECT("1:"&amp;LEN(metadata!B585))), 1),"0123456789abcdefghijklmnopqrstuvwxyzABCDEFGHIJKLMNOPQRSTUVWXYZ.")))))</f>
        <v>0</v>
      </c>
      <c r="AN585" t="b">
        <f ca="1">OR(AND(IF(metadata!C585="",FALSE,TRUE),OR(EXACT(metadata!C585,"missing: not collected"),EXACT(metadata!C585,"missing: not provided"),EXACT(metadata!C585,"missing: restricted access"))),AND(IF(metadata!C585="",FALSE,TRUE),AND(AND(IFERROR(INT(LEFT(metadata!C585,4))&gt;1900,FALSE),IFERROR(INT(LEFT(metadata!C585,4))&lt;=YEAR(NOW()),FALSE)), OR(MID(metadata!C585,5,1)="", AND(AND(MID(metadata!C585,5,1)="-",IFERROR(INT(MID(metadata!C585,6,1))&gt;=0,FALSE),IFERROR(INT(MID(metadata!C585,6,1))&lt;=1,FALSE),NOT(MID(metadata!C585,7,1)=""),IFERROR(INT(MID(metadata!C585,6,2))&gt;=1,FALSE),IFERROR(INT(MID(metadata!C585,6,2))&lt;=12,FALSE)), OR(MID(metadata!C585,8,1)="", AND(AND(MID(metadata!C585,8,1)="-",IFERROR(INT(MID(metadata!C585,9,1))&gt;=0,FALSE),IFERROR(INT(MID(metadata!C585,9,1))&lt;=3,FALSE),NOT(MID(metadata!C585,10,1)=""),IFERROR(INT(MID(metadata!C585,9,2))&gt;=1,FALSE),IFERROR(INT(MID(metadata!C585,9,2))&lt;=31,FALSE)), OR(MID(metadata!C585,11,1)="", AND(AND(MID(metadata!C585,11,1)=" ",IFERROR(INT(MID(metadata!C585,12,1))&gt;=0,FALSE),IFERROR(INT(MID(metadata!C585,12,1))&lt;=2,FALSE),NOT(MID(metadata!C585,13,1)=""),IFERROR(INT(MID(metadata!C585,12,2))&gt;=0,FALSE),IFERROR(INT(MID(metadata!C585,12,2))&lt;=23,FALSE)), OR(MID(metadata!C585,14,1)="", AND(AND(MID(metadata!C585,14,1)=":",IFERROR(INT(MID(metadata!C585,15,1))&gt;=0,FALSE),IFERROR(INT(MID(metadata!C585,15,1))&lt;=5,FALSE),NOT(MID(metadata!C585,16,1)=""),IFERROR(INT(MID(metadata!C585,15,2))&gt;=0,FALSE),IFERROR(INT(MID(metadata!C585,15,2))&lt;=59,FALSE)), OR(MID(metadata!C585,17,1)="", AND(AND(MID(metadata!C585,17,1)=":",IFERROR(INT(MID(metadata!C585,18,1))&gt;=0,FALSE),IFERROR(INT(MID(metadata!C585,18,1))&lt;=5,FALSE),NOT(MID(metadata!C585,19,1)=""),IFERROR(INT(MID(metadata!C585,18,2))&gt;=0,FALSE),IFERROR(INT(MID(metadata!C585,18,2))&lt;=59,FALSE)), LEN(metadata!C585)&lt;=19)))))))))))))</f>
        <v>0</v>
      </c>
      <c r="AO585" t="b">
        <f>AND(IF(metadata!D585="",FALSE,TRUE),EXACT(metadata!D585,"Not applicable"))</f>
        <v>0</v>
      </c>
      <c r="AP585" t="b">
        <f>IF(metadata!E585="",FALSE,TRUE)</f>
        <v>0</v>
      </c>
      <c r="AQ585" t="b">
        <f>OR(AND(IF(metadata!F585="",FALSE,TRUE),OR(EXACT(metadata!F585,"missing: not collected"),EXACT(metadata!F585,"missing: not provided"))),AND(IF(metadata!F585="",FALSE,TRUE),OR(EXACT(metadata!F585,"TRUE"),EXACT(metadata!F585,"FALSE"))))</f>
        <v>0</v>
      </c>
      <c r="AR585" t="b">
        <f>OR(AND(IF(metadata!G585="",FALSE,TRUE),OR(EXACT(metadata!G585,"missing: not collected"),EXACT(metadata!G585,"missing: not provided"),EXACT(metadata!G585,"missing: restricted access"))),AND(IF(metadata!G585="",FALSE,ISNUMBER(VALUE(metadata!G585))),metadata!G585&gt;=-413))</f>
        <v>0</v>
      </c>
      <c r="AS585" t="b">
        <f>AND(IF(metadata!H585="",FALSE,TRUE),EXACT(metadata!H585,"meters"))</f>
        <v>0</v>
      </c>
      <c r="AT585" t="b">
        <f>AND(IF(metadata!I585="",FALSE,TRUE),OR(EXACT(metadata!I585,"Host-associated"),EXACT(metadata!I585,"Free-living")))</f>
        <v>0</v>
      </c>
      <c r="AU585" t="b">
        <f>AND(IF(metadata!J585="",FALSE,TRUE),OR(EXACT(metadata!J585,"Animal"),EXACT(metadata!J585,"Fungus"),EXACT(metadata!J585,"Plant"),EXACT(metadata!J585,"Saline"),EXACT(metadata!J585,"Non-saline")))</f>
        <v>0</v>
      </c>
      <c r="AV585" t="b">
        <f>AND(IF(metadata!K585="",FALSE,TRUE),OR(EXACT(metadata!K585,"Plant secretion"),EXACT(metadata!K585,"Plant rhizosphere"),EXACT(metadata!K585,"Plant surface"),EXACT(metadata!K585,"Plant corpus"),EXACT(metadata!K585,"Fungus surface"),EXACT(metadata!K585,"Fungus corpus"),EXACT(metadata!K585,"Animal surface"),EXACT(metadata!K585,"Animal proximal gut"),EXACT(metadata!K585,"Animal corpus"),EXACT(metadata!K585,"Animal distal gut"),EXACT(metadata!K585,"Animal secretion"),EXACT(metadata!K585,"Sub-surface (non-saline)"),EXACT(metadata!K585,"Surface (non-saline)"),EXACT(metadata!K585,"Water (non-saline)"),EXACT(metadata!K585,"Soil (non-saline)"),EXACT(metadata!K585,"Aerosol (non-saline)"),EXACT(metadata!K585,"Sediment (non-saline)"),EXACT(metadata!K585,"Surface (saline)"),EXACT(metadata!K585,"Water (saline)"),EXACT(metadata!K585,"Hypersaline (saline)"),EXACT(metadata!K585,"Aerosol (saline)"),EXACT(metadata!K585,"Sediment (saline)")))</f>
        <v>0</v>
      </c>
      <c r="AW585" t="b">
        <f>IF(metadata!L585="",FALSE,TRUE)</f>
        <v>0</v>
      </c>
      <c r="AX585" t="b">
        <f>IF(metadata!M585="",FALSE,TRUE)</f>
        <v>0</v>
      </c>
      <c r="AY585" t="b">
        <f>IF(metadata!N585="",FALSE,TRUE)</f>
        <v>0</v>
      </c>
      <c r="AZ585" t="b">
        <f>OR(AND(IF(metadata!O585="",FALSE,TRUE),OR(EXACT(metadata!O585,"missing: not collected"),EXACT(metadata!O585,"missing: not provided"),EXACT(metadata!O585,"missing: restricted access"))),AND(IF(metadata!O585="",FALSE,TRUE),OR(EXACT(metadata!O585,"air"),EXACT(metadata!O585,"built environment"),EXACT(metadata!O585,"host-associated"),EXACT(metadata!O585,"human-associated"),EXACT(metadata!O585,"human-skin"),EXACT(metadata!O585,"human-oral"),EXACT(metadata!O585,"human-gut"),EXACT(metadata!O585,"human-vaginal"),EXACT(metadata!O585,"microbial mat/biofilm"),EXACT(metadata!O585,"misc environment"),EXACT(metadata!O585,"plant-associated"),EXACT(metadata!O585,"sediment"),EXACT(metadata!O585,"soil"),EXACT(metadata!O585,"wastewater/sludge"),EXACT(metadata!O585,"water"))))</f>
        <v>0</v>
      </c>
      <c r="BA585" t="b">
        <f>IF(metadata!P585="",FALSE,TRUE)</f>
        <v>0</v>
      </c>
      <c r="BB585" t="b">
        <f>IF(metadata!Q585="",FALSE,TRUE)</f>
        <v>0</v>
      </c>
      <c r="BC585" t="b">
        <f>OR(AND(IF(metadata!R585="",FALSE,TRUE),OR(EXACT(metadata!R585,"missing: not collected"),EXACT(metadata!R585,"missing: not provided"),EXACT(metadata!R585,"missing: restricted access"))),AND(IF(metadata!R585="",FALSE,ISNUMBER(VALUE(metadata!R585))),metadata!R585&gt;=-90,metadata!R585&lt;=90))</f>
        <v>0</v>
      </c>
      <c r="BD585" t="b">
        <f>AND(IF(metadata!S585="",FALSE,TRUE),EXACT(metadata!S585,"Decimal degrees"))</f>
        <v>0</v>
      </c>
      <c r="BE585" t="b">
        <f>OR(AND(IF(metadata!T585="",FALSE,TRUE),OR(EXACT(metadata!T585,"missing: not collected"),EXACT(metadata!T585,"missing: not provided"),EXACT(metadata!T585,"missing: restricted access"))),AND(IF(metadata!T585="",FALSE,ISNUMBER(VALUE(metadata!T585))),metadata!T585&gt;=-180,metadata!T585&lt;=180))</f>
        <v>0</v>
      </c>
      <c r="BF585" t="b">
        <f>AND(IF(metadata!U585="",FALSE,TRUE),EXACT(metadata!U585,"Decimal degrees"))</f>
        <v>0</v>
      </c>
      <c r="BG585" t="b">
        <f>IF(metadata!V585="",FALSE,TRUE)</f>
        <v>0</v>
      </c>
      <c r="BH585" t="b">
        <f>OR(AND(IF(metadata!W585="",FALSE,TRUE),OR(EXACT(metadata!W585,"missing: not collected"),EXACT(metadata!W585,"missing: not provided"),EXACT(metadata!W585,"missing: restricted access"))),AND(IF(metadata!W585="",FALSE,TRUE),OR(EXACT(metadata!W585,"TRUE"),EXACT(metadata!W585,"FALSE"))))</f>
        <v>0</v>
      </c>
      <c r="BI585" t="b">
        <f>AND(IF(metadata!X585="",FALSE,TRUE),EXACT(metadata!X585,"other"))</f>
        <v>0</v>
      </c>
      <c r="BJ585" t="b">
        <f>IF(metadata!Y585="",FALSE,TRUE)</f>
        <v>0</v>
      </c>
      <c r="BK585" t="b">
        <f>OR(AND(IF(metadata!Z585="",FALSE,TRUE),OR(EXACT(metadata!Z585,"missing: not collected"),EXACT(metadata!Z585,"missing: not provided"))),AND(IF(metadata!Z585="",FALSE,IF(ISERROR(INT(metadata!Z585)),FALSE,INT(metadata!Z585)=metadata!Z585)),metadata!Z585&gt;0))</f>
        <v>0</v>
      </c>
      <c r="BL585" t="b">
        <f>AND(IF(metadata!AA585="",FALSE,TRUE),EXACT(metadata!AA585,"Not applicable"))</f>
        <v>0</v>
      </c>
      <c r="BM585" t="b">
        <f>IF(metadata!AB585="",FALSE,TRUE)</f>
        <v>0</v>
      </c>
    </row>
    <row r="586" spans="1:65" x14ac:dyDescent="0.2">
      <c r="A586" s="5" t="str">
        <f ca="1">IF(B586=" "," ",HYPERLINK(CONCATENATE("#metadata!",ADDRESS(INDEX($AH$2:$AH$1001,MATCH(ROWS($AF$2:AF586),$AF$2:$AF$1001,0),0),1)),INDEX($AK$2:$AK$1001,MATCH(ROWS($AF$2:AF586),$AF$2:$AF$1001,0),0)))</f>
        <v xml:space="preserve"> </v>
      </c>
      <c r="B586" s="4" t="str">
        <f ca="1">IF(OR(INDEX($AG$2:$AG$1001,MATCH(ROWS($AF$2:AF586),$AF$2:$AF$1001,0),1)&gt;=100000,INDEX($AM$1005:$BM$1005,1,MATCH(COLUMNS($AM$1006:AM1006),$AM$1006:$BM$1006,0))&gt;=100000), " ",IF(INDEX($AM$2:$BM$1001,MATCH(ROWS($AF$2:AF586),$AF$2:$AF$1001,0),MATCH(COLUMNS($AM$1006:AM1006),$AM$1006:$BM$1006,0)), HYPERLINK("#",""), HYPERLINK(CONCATENATE("#metadata!", ADDRESS(INDEX($AH$2:$AH$1001,MATCH(ROWS($AF$2:AF586),$AF$2:$AF$1001,0),0), INDEX($AM$1004:$BM$1004,1,MATCH(COLUMNS($AM$1006:AM1006),$AM$1006:$BM$1006,0)))),"Fix")))</f>
        <v xml:space="preserve"> </v>
      </c>
      <c r="C586" s="4" t="str">
        <f ca="1">IF(OR(INDEX($AG$2:$AG$1001,MATCH(ROWS($AF$2:AF586),$AF$2:$AF$1001,0),1)&gt;=100000,INDEX($AM$1005:$BM$1005,1,MATCH(COLUMNS($AM$1006:AN1006),$AM$1006:$BM$1006,0))&gt;=100000), " ",IF(INDEX($AM$2:$BM$1001,MATCH(ROWS($AF$2:AF586),$AF$2:$AF$1001,0),MATCH(COLUMNS($AM$1006:AN1006),$AM$1006:$BM$1006,0)), HYPERLINK("#",""), HYPERLINK(CONCATENATE("#metadata!", ADDRESS(INDEX($AH$2:$AH$1001,MATCH(ROWS($AF$2:AF586),$AF$2:$AF$1001,0),0), INDEX($AM$1004:$BM$1004,1,MATCH(COLUMNS($AM$1006:AN1006),$AM$1006:$BM$1006,0)))),"Fix")))</f>
        <v xml:space="preserve"> </v>
      </c>
      <c r="D586" s="4" t="str">
        <f ca="1">IF(OR(INDEX($AG$2:$AG$1001,MATCH(ROWS($AF$2:AF586),$AF$2:$AF$1001,0),1)&gt;=100000,INDEX($AM$1005:$BM$1005,1,MATCH(COLUMNS($AM$1006:AO1006),$AM$1006:$BM$1006,0))&gt;=100000), " ",IF(INDEX($AM$2:$BM$1001,MATCH(ROWS($AF$2:AF586),$AF$2:$AF$1001,0),MATCH(COLUMNS($AM$1006:AO1006),$AM$1006:$BM$1006,0)), HYPERLINK("#",""), HYPERLINK(CONCATENATE("#metadata!", ADDRESS(INDEX($AH$2:$AH$1001,MATCH(ROWS($AF$2:AF586),$AF$2:$AF$1001,0),0), INDEX($AM$1004:$BM$1004,1,MATCH(COLUMNS($AM$1006:AO1006),$AM$1006:$BM$1006,0)))),"Fix")))</f>
        <v xml:space="preserve"> </v>
      </c>
      <c r="E586" s="4" t="str">
        <f ca="1">IF(OR(INDEX($AG$2:$AG$1001,MATCH(ROWS($AF$2:AF586),$AF$2:$AF$1001,0),1)&gt;=100000,INDEX($AM$1005:$BM$1005,1,MATCH(COLUMNS($AM$1006:AP1006),$AM$1006:$BM$1006,0))&gt;=100000), " ",IF(INDEX($AM$2:$BM$1001,MATCH(ROWS($AF$2:AF586),$AF$2:$AF$1001,0),MATCH(COLUMNS($AM$1006:AP1006),$AM$1006:$BM$1006,0)), HYPERLINK("#",""), HYPERLINK(CONCATENATE("#metadata!", ADDRESS(INDEX($AH$2:$AH$1001,MATCH(ROWS($AF$2:AF586),$AF$2:$AF$1001,0),0), INDEX($AM$1004:$BM$1004,1,MATCH(COLUMNS($AM$1006:AP1006),$AM$1006:$BM$1006,0)))),"Fix")))</f>
        <v xml:space="preserve"> </v>
      </c>
      <c r="F586" s="4" t="str">
        <f ca="1">IF(OR(INDEX($AG$2:$AG$1001,MATCH(ROWS($AF$2:AF586),$AF$2:$AF$1001,0),1)&gt;=100000,INDEX($AM$1005:$BM$1005,1,MATCH(COLUMNS($AM$1006:AQ1006),$AM$1006:$BM$1006,0))&gt;=100000), " ",IF(INDEX($AM$2:$BM$1001,MATCH(ROWS($AF$2:AF586),$AF$2:$AF$1001,0),MATCH(COLUMNS($AM$1006:AQ1006),$AM$1006:$BM$1006,0)), HYPERLINK("#",""), HYPERLINK(CONCATENATE("#metadata!", ADDRESS(INDEX($AH$2:$AH$1001,MATCH(ROWS($AF$2:AF586),$AF$2:$AF$1001,0),0), INDEX($AM$1004:$BM$1004,1,MATCH(COLUMNS($AM$1006:AQ1006),$AM$1006:$BM$1006,0)))),"Fix")))</f>
        <v xml:space="preserve"> </v>
      </c>
      <c r="G586" s="4" t="str">
        <f ca="1">IF(OR(INDEX($AG$2:$AG$1001,MATCH(ROWS($AF$2:AF586),$AF$2:$AF$1001,0),1)&gt;=100000,INDEX($AM$1005:$BM$1005,1,MATCH(COLUMNS($AM$1006:AR1006),$AM$1006:$BM$1006,0))&gt;=100000), " ",IF(INDEX($AM$2:$BM$1001,MATCH(ROWS($AF$2:AF586),$AF$2:$AF$1001,0),MATCH(COLUMNS($AM$1006:AR1006),$AM$1006:$BM$1006,0)), HYPERLINK("#",""), HYPERLINK(CONCATENATE("#metadata!", ADDRESS(INDEX($AH$2:$AH$1001,MATCH(ROWS($AF$2:AF586),$AF$2:$AF$1001,0),0), INDEX($AM$1004:$BM$1004,1,MATCH(COLUMNS($AM$1006:AR1006),$AM$1006:$BM$1006,0)))),"Fix")))</f>
        <v xml:space="preserve"> </v>
      </c>
      <c r="H586" s="4" t="str">
        <f ca="1">IF(OR(INDEX($AG$2:$AG$1001,MATCH(ROWS($AF$2:AF586),$AF$2:$AF$1001,0),1)&gt;=100000,INDEX($AM$1005:$BM$1005,1,MATCH(COLUMNS($AM$1006:AS1006),$AM$1006:$BM$1006,0))&gt;=100000), " ",IF(INDEX($AM$2:$BM$1001,MATCH(ROWS($AF$2:AF586),$AF$2:$AF$1001,0),MATCH(COLUMNS($AM$1006:AS1006),$AM$1006:$BM$1006,0)), HYPERLINK("#",""), HYPERLINK(CONCATENATE("#metadata!", ADDRESS(INDEX($AH$2:$AH$1001,MATCH(ROWS($AF$2:AF586),$AF$2:$AF$1001,0),0), INDEX($AM$1004:$BM$1004,1,MATCH(COLUMNS($AM$1006:AS1006),$AM$1006:$BM$1006,0)))),"Fix")))</f>
        <v xml:space="preserve"> </v>
      </c>
      <c r="I586" s="4" t="str">
        <f ca="1">IF(OR(INDEX($AG$2:$AG$1001,MATCH(ROWS($AF$2:AF586),$AF$2:$AF$1001,0),1)&gt;=100000,INDEX($AM$1005:$BM$1005,1,MATCH(COLUMNS($AM$1006:AT1006),$AM$1006:$BM$1006,0))&gt;=100000), " ",IF(INDEX($AM$2:$BM$1001,MATCH(ROWS($AF$2:AF586),$AF$2:$AF$1001,0),MATCH(COLUMNS($AM$1006:AT1006),$AM$1006:$BM$1006,0)), HYPERLINK("#",""), HYPERLINK(CONCATENATE("#metadata!", ADDRESS(INDEX($AH$2:$AH$1001,MATCH(ROWS($AF$2:AF586),$AF$2:$AF$1001,0),0), INDEX($AM$1004:$BM$1004,1,MATCH(COLUMNS($AM$1006:AT1006),$AM$1006:$BM$1006,0)))),"Fix")))</f>
        <v xml:space="preserve"> </v>
      </c>
      <c r="J586" s="4" t="str">
        <f ca="1">IF(OR(INDEX($AG$2:$AG$1001,MATCH(ROWS($AF$2:AF586),$AF$2:$AF$1001,0),1)&gt;=100000,INDEX($AM$1005:$BM$1005,1,MATCH(COLUMNS($AM$1006:AU1006),$AM$1006:$BM$1006,0))&gt;=100000), " ",IF(INDEX($AM$2:$BM$1001,MATCH(ROWS($AF$2:AF586),$AF$2:$AF$1001,0),MATCH(COLUMNS($AM$1006:AU1006),$AM$1006:$BM$1006,0)), HYPERLINK("#",""), HYPERLINK(CONCATENATE("#metadata!", ADDRESS(INDEX($AH$2:$AH$1001,MATCH(ROWS($AF$2:AF586),$AF$2:$AF$1001,0),0), INDEX($AM$1004:$BM$1004,1,MATCH(COLUMNS($AM$1006:AU1006),$AM$1006:$BM$1006,0)))),"Fix")))</f>
        <v xml:space="preserve"> </v>
      </c>
      <c r="K586" s="4" t="str">
        <f ca="1">IF(OR(INDEX($AG$2:$AG$1001,MATCH(ROWS($AF$2:AF586),$AF$2:$AF$1001,0),1)&gt;=100000,INDEX($AM$1005:$BM$1005,1,MATCH(COLUMNS($AM$1006:AV1006),$AM$1006:$BM$1006,0))&gt;=100000), " ",IF(INDEX($AM$2:$BM$1001,MATCH(ROWS($AF$2:AF586),$AF$2:$AF$1001,0),MATCH(COLUMNS($AM$1006:AV1006),$AM$1006:$BM$1006,0)), HYPERLINK("#",""), HYPERLINK(CONCATENATE("#metadata!", ADDRESS(INDEX($AH$2:$AH$1001,MATCH(ROWS($AF$2:AF586),$AF$2:$AF$1001,0),0), INDEX($AM$1004:$BM$1004,1,MATCH(COLUMNS($AM$1006:AV1006),$AM$1006:$BM$1006,0)))),"Fix")))</f>
        <v xml:space="preserve"> </v>
      </c>
      <c r="L586" s="4" t="str">
        <f ca="1">IF(OR(INDEX($AG$2:$AG$1001,MATCH(ROWS($AF$2:AF586),$AF$2:$AF$1001,0),1)&gt;=100000,INDEX($AM$1005:$BM$1005,1,MATCH(COLUMNS($AM$1006:AW1006),$AM$1006:$BM$1006,0))&gt;=100000), " ",IF(INDEX($AM$2:$BM$1001,MATCH(ROWS($AF$2:AF586),$AF$2:$AF$1001,0),MATCH(COLUMNS($AM$1006:AW1006),$AM$1006:$BM$1006,0)), HYPERLINK("#",""), HYPERLINK(CONCATENATE("#metadata!", ADDRESS(INDEX($AH$2:$AH$1001,MATCH(ROWS($AF$2:AF586),$AF$2:$AF$1001,0),0), INDEX($AM$1004:$BM$1004,1,MATCH(COLUMNS($AM$1006:AW1006),$AM$1006:$BM$1006,0)))),"Fix")))</f>
        <v xml:space="preserve"> </v>
      </c>
      <c r="M586" s="4" t="str">
        <f ca="1">IF(OR(INDEX($AG$2:$AG$1001,MATCH(ROWS($AF$2:AF586),$AF$2:$AF$1001,0),1)&gt;=100000,INDEX($AM$1005:$BM$1005,1,MATCH(COLUMNS($AM$1006:AX1006),$AM$1006:$BM$1006,0))&gt;=100000), " ",IF(INDEX($AM$2:$BM$1001,MATCH(ROWS($AF$2:AF586),$AF$2:$AF$1001,0),MATCH(COLUMNS($AM$1006:AX1006),$AM$1006:$BM$1006,0)), HYPERLINK("#",""), HYPERLINK(CONCATENATE("#metadata!", ADDRESS(INDEX($AH$2:$AH$1001,MATCH(ROWS($AF$2:AF586),$AF$2:$AF$1001,0),0), INDEX($AM$1004:$BM$1004,1,MATCH(COLUMNS($AM$1006:AX1006),$AM$1006:$BM$1006,0)))),"Fix")))</f>
        <v xml:space="preserve"> </v>
      </c>
      <c r="N586" s="4" t="str">
        <f ca="1">IF(OR(INDEX($AG$2:$AG$1001,MATCH(ROWS($AF$2:AF586),$AF$2:$AF$1001,0),1)&gt;=100000,INDEX($AM$1005:$BM$1005,1,MATCH(COLUMNS($AM$1006:AY1006),$AM$1006:$BM$1006,0))&gt;=100000), " ",IF(INDEX($AM$2:$BM$1001,MATCH(ROWS($AF$2:AF586),$AF$2:$AF$1001,0),MATCH(COLUMNS($AM$1006:AY1006),$AM$1006:$BM$1006,0)), HYPERLINK("#",""), HYPERLINK(CONCATENATE("#metadata!", ADDRESS(INDEX($AH$2:$AH$1001,MATCH(ROWS($AF$2:AF586),$AF$2:$AF$1001,0),0), INDEX($AM$1004:$BM$1004,1,MATCH(COLUMNS($AM$1006:AY1006),$AM$1006:$BM$1006,0)))),"Fix")))</f>
        <v xml:space="preserve"> </v>
      </c>
      <c r="O586" s="4" t="str">
        <f ca="1">IF(OR(INDEX($AG$2:$AG$1001,MATCH(ROWS($AF$2:AF586),$AF$2:$AF$1001,0),1)&gt;=100000,INDEX($AM$1005:$BM$1005,1,MATCH(COLUMNS($AM$1006:AZ1006),$AM$1006:$BM$1006,0))&gt;=100000), " ",IF(INDEX($AM$2:$BM$1001,MATCH(ROWS($AF$2:AF586),$AF$2:$AF$1001,0),MATCH(COLUMNS($AM$1006:AZ1006),$AM$1006:$BM$1006,0)), HYPERLINK("#",""), HYPERLINK(CONCATENATE("#metadata!", ADDRESS(INDEX($AH$2:$AH$1001,MATCH(ROWS($AF$2:AF586),$AF$2:$AF$1001,0),0), INDEX($AM$1004:$BM$1004,1,MATCH(COLUMNS($AM$1006:AZ1006),$AM$1006:$BM$1006,0)))),"Fix")))</f>
        <v xml:space="preserve"> </v>
      </c>
      <c r="P586" s="4" t="str">
        <f ca="1">IF(OR(INDEX($AG$2:$AG$1001,MATCH(ROWS($AF$2:AF586),$AF$2:$AF$1001,0),1)&gt;=100000,INDEX($AM$1005:$BM$1005,1,MATCH(COLUMNS($AM$1006:BA1006),$AM$1006:$BM$1006,0))&gt;=100000), " ",IF(INDEX($AM$2:$BM$1001,MATCH(ROWS($AF$2:AF586),$AF$2:$AF$1001,0),MATCH(COLUMNS($AM$1006:BA1006),$AM$1006:$BM$1006,0)), HYPERLINK("#",""), HYPERLINK(CONCATENATE("#metadata!", ADDRESS(INDEX($AH$2:$AH$1001,MATCH(ROWS($AF$2:AF586),$AF$2:$AF$1001,0),0), INDEX($AM$1004:$BM$1004,1,MATCH(COLUMNS($AM$1006:BA1006),$AM$1006:$BM$1006,0)))),"Fix")))</f>
        <v xml:space="preserve"> </v>
      </c>
      <c r="Q586" s="4" t="str">
        <f ca="1">IF(OR(INDEX($AG$2:$AG$1001,MATCH(ROWS($AF$2:AF586),$AF$2:$AF$1001,0),1)&gt;=100000,INDEX($AM$1005:$BM$1005,1,MATCH(COLUMNS($AM$1006:BB1006),$AM$1006:$BM$1006,0))&gt;=100000), " ",IF(INDEX($AM$2:$BM$1001,MATCH(ROWS($AF$2:AF586),$AF$2:$AF$1001,0),MATCH(COLUMNS($AM$1006:BB1006),$AM$1006:$BM$1006,0)), HYPERLINK("#",""), HYPERLINK(CONCATENATE("#metadata!", ADDRESS(INDEX($AH$2:$AH$1001,MATCH(ROWS($AF$2:AF586),$AF$2:$AF$1001,0),0), INDEX($AM$1004:$BM$1004,1,MATCH(COLUMNS($AM$1006:BB1006),$AM$1006:$BM$1006,0)))),"Fix")))</f>
        <v xml:space="preserve"> </v>
      </c>
      <c r="R586" s="4" t="str">
        <f ca="1">IF(OR(INDEX($AG$2:$AG$1001,MATCH(ROWS($AF$2:AF586),$AF$2:$AF$1001,0),1)&gt;=100000,INDEX($AM$1005:$BM$1005,1,MATCH(COLUMNS($AM$1006:BC1006),$AM$1006:$BM$1006,0))&gt;=100000), " ",IF(INDEX($AM$2:$BM$1001,MATCH(ROWS($AF$2:AF586),$AF$2:$AF$1001,0),MATCH(COLUMNS($AM$1006:BC1006),$AM$1006:$BM$1006,0)), HYPERLINK("#",""), HYPERLINK(CONCATENATE("#metadata!", ADDRESS(INDEX($AH$2:$AH$1001,MATCH(ROWS($AF$2:AF586),$AF$2:$AF$1001,0),0), INDEX($AM$1004:$BM$1004,1,MATCH(COLUMNS($AM$1006:BC1006),$AM$1006:$BM$1006,0)))),"Fix")))</f>
        <v xml:space="preserve"> </v>
      </c>
      <c r="S586" s="4" t="str">
        <f ca="1">IF(OR(INDEX($AG$2:$AG$1001,MATCH(ROWS($AF$2:AF586),$AF$2:$AF$1001,0),1)&gt;=100000,INDEX($AM$1005:$BM$1005,1,MATCH(COLUMNS($AM$1006:BD1006),$AM$1006:$BM$1006,0))&gt;=100000), " ",IF(INDEX($AM$2:$BM$1001,MATCH(ROWS($AF$2:AF586),$AF$2:$AF$1001,0),MATCH(COLUMNS($AM$1006:BD1006),$AM$1006:$BM$1006,0)), HYPERLINK("#",""), HYPERLINK(CONCATENATE("#metadata!", ADDRESS(INDEX($AH$2:$AH$1001,MATCH(ROWS($AF$2:AF586),$AF$2:$AF$1001,0),0), INDEX($AM$1004:$BM$1004,1,MATCH(COLUMNS($AM$1006:BD1006),$AM$1006:$BM$1006,0)))),"Fix")))</f>
        <v xml:space="preserve"> </v>
      </c>
      <c r="T586" s="4" t="str">
        <f ca="1">IF(OR(INDEX($AG$2:$AG$1001,MATCH(ROWS($AF$2:AF586),$AF$2:$AF$1001,0),1)&gt;=100000,INDEX($AM$1005:$BM$1005,1,MATCH(COLUMNS($AM$1006:BE1006),$AM$1006:$BM$1006,0))&gt;=100000), " ",IF(INDEX($AM$2:$BM$1001,MATCH(ROWS($AF$2:AF586),$AF$2:$AF$1001,0),MATCH(COLUMNS($AM$1006:BE1006),$AM$1006:$BM$1006,0)), HYPERLINK("#",""), HYPERLINK(CONCATENATE("#metadata!", ADDRESS(INDEX($AH$2:$AH$1001,MATCH(ROWS($AF$2:AF586),$AF$2:$AF$1001,0),0), INDEX($AM$1004:$BM$1004,1,MATCH(COLUMNS($AM$1006:BE1006),$AM$1006:$BM$1006,0)))),"Fix")))</f>
        <v xml:space="preserve"> </v>
      </c>
      <c r="U586" s="4" t="str">
        <f ca="1">IF(OR(INDEX($AG$2:$AG$1001,MATCH(ROWS($AF$2:AF586),$AF$2:$AF$1001,0),1)&gt;=100000,INDEX($AM$1005:$BM$1005,1,MATCH(COLUMNS($AM$1006:BF1006),$AM$1006:$BM$1006,0))&gt;=100000), " ",IF(INDEX($AM$2:$BM$1001,MATCH(ROWS($AF$2:AF586),$AF$2:$AF$1001,0),MATCH(COLUMNS($AM$1006:BF1006),$AM$1006:$BM$1006,0)), HYPERLINK("#",""), HYPERLINK(CONCATENATE("#metadata!", ADDRESS(INDEX($AH$2:$AH$1001,MATCH(ROWS($AF$2:AF586),$AF$2:$AF$1001,0),0), INDEX($AM$1004:$BM$1004,1,MATCH(COLUMNS($AM$1006:BF1006),$AM$1006:$BM$1006,0)))),"Fix")))</f>
        <v xml:space="preserve"> </v>
      </c>
      <c r="V586" s="4" t="str">
        <f ca="1">IF(OR(INDEX($AG$2:$AG$1001,MATCH(ROWS($AF$2:AF586),$AF$2:$AF$1001,0),1)&gt;=100000,INDEX($AM$1005:$BM$1005,1,MATCH(COLUMNS($AM$1006:BG1006),$AM$1006:$BM$1006,0))&gt;=100000), " ",IF(INDEX($AM$2:$BM$1001,MATCH(ROWS($AF$2:AF586),$AF$2:$AF$1001,0),MATCH(COLUMNS($AM$1006:BG1006),$AM$1006:$BM$1006,0)), HYPERLINK("#",""), HYPERLINK(CONCATENATE("#metadata!", ADDRESS(INDEX($AH$2:$AH$1001,MATCH(ROWS($AF$2:AF586),$AF$2:$AF$1001,0),0), INDEX($AM$1004:$BM$1004,1,MATCH(COLUMNS($AM$1006:BG1006),$AM$1006:$BM$1006,0)))),"Fix")))</f>
        <v xml:space="preserve"> </v>
      </c>
      <c r="W586" s="4" t="str">
        <f ca="1">IF(OR(INDEX($AG$2:$AG$1001,MATCH(ROWS($AF$2:AF586),$AF$2:$AF$1001,0),1)&gt;=100000,INDEX($AM$1005:$BM$1005,1,MATCH(COLUMNS($AM$1006:BH1006),$AM$1006:$BM$1006,0))&gt;=100000), " ",IF(INDEX($AM$2:$BM$1001,MATCH(ROWS($AF$2:AF586),$AF$2:$AF$1001,0),MATCH(COLUMNS($AM$1006:BH1006),$AM$1006:$BM$1006,0)), HYPERLINK("#",""), HYPERLINK(CONCATENATE("#metadata!", ADDRESS(INDEX($AH$2:$AH$1001,MATCH(ROWS($AF$2:AF586),$AF$2:$AF$1001,0),0), INDEX($AM$1004:$BM$1004,1,MATCH(COLUMNS($AM$1006:BH1006),$AM$1006:$BM$1006,0)))),"Fix")))</f>
        <v xml:space="preserve"> </v>
      </c>
      <c r="X586" s="4" t="str">
        <f ca="1">IF(OR(INDEX($AG$2:$AG$1001,MATCH(ROWS($AF$2:AF586),$AF$2:$AF$1001,0),1)&gt;=100000,INDEX($AM$1005:$BM$1005,1,MATCH(COLUMNS($AM$1006:BI1006),$AM$1006:$BM$1006,0))&gt;=100000), " ",IF(INDEX($AM$2:$BM$1001,MATCH(ROWS($AF$2:AF586),$AF$2:$AF$1001,0),MATCH(COLUMNS($AM$1006:BI1006),$AM$1006:$BM$1006,0)), HYPERLINK("#",""), HYPERLINK(CONCATENATE("#metadata!", ADDRESS(INDEX($AH$2:$AH$1001,MATCH(ROWS($AF$2:AF586),$AF$2:$AF$1001,0),0), INDEX($AM$1004:$BM$1004,1,MATCH(COLUMNS($AM$1006:BI1006),$AM$1006:$BM$1006,0)))),"Fix")))</f>
        <v xml:space="preserve"> </v>
      </c>
      <c r="Y586" s="4" t="str">
        <f ca="1">IF(OR(INDEX($AG$2:$AG$1001,MATCH(ROWS($AF$2:AF586),$AF$2:$AF$1001,0),1)&gt;=100000,INDEX($AM$1005:$BM$1005,1,MATCH(COLUMNS($AM$1006:BJ1006),$AM$1006:$BM$1006,0))&gt;=100000), " ",IF(INDEX($AM$2:$BM$1001,MATCH(ROWS($AF$2:AF586),$AF$2:$AF$1001,0),MATCH(COLUMNS($AM$1006:BJ1006),$AM$1006:$BM$1006,0)), HYPERLINK("#",""), HYPERLINK(CONCATENATE("#metadata!", ADDRESS(INDEX($AH$2:$AH$1001,MATCH(ROWS($AF$2:AF586),$AF$2:$AF$1001,0),0), INDEX($AM$1004:$BM$1004,1,MATCH(COLUMNS($AM$1006:BJ1006),$AM$1006:$BM$1006,0)))),"Fix")))</f>
        <v xml:space="preserve"> </v>
      </c>
      <c r="Z586" s="4" t="str">
        <f ca="1">IF(OR(INDEX($AG$2:$AG$1001,MATCH(ROWS($AF$2:AF586),$AF$2:$AF$1001,0),1)&gt;=100000,INDEX($AM$1005:$BM$1005,1,MATCH(COLUMNS($AM$1006:BK1006),$AM$1006:$BM$1006,0))&gt;=100000), " ",IF(INDEX($AM$2:$BM$1001,MATCH(ROWS($AF$2:AF586),$AF$2:$AF$1001,0),MATCH(COLUMNS($AM$1006:BK1006),$AM$1006:$BM$1006,0)), HYPERLINK("#",""), HYPERLINK(CONCATENATE("#metadata!", ADDRESS(INDEX($AH$2:$AH$1001,MATCH(ROWS($AF$2:AF586),$AF$2:$AF$1001,0),0), INDEX($AM$1004:$BM$1004,1,MATCH(COLUMNS($AM$1006:BK1006),$AM$1006:$BM$1006,0)))),"Fix")))</f>
        <v xml:space="preserve"> </v>
      </c>
      <c r="AA586" s="4" t="str">
        <f ca="1">IF(OR(INDEX($AG$2:$AG$1001,MATCH(ROWS($AF$2:AF586),$AF$2:$AF$1001,0),1)&gt;=100000,INDEX($AM$1005:$BM$1005,1,MATCH(COLUMNS($AM$1006:BL1006),$AM$1006:$BM$1006,0))&gt;=100000), " ",IF(INDEX($AM$2:$BM$1001,MATCH(ROWS($AF$2:AF586),$AF$2:$AF$1001,0),MATCH(COLUMNS($AM$1006:BL1006),$AM$1006:$BM$1006,0)), HYPERLINK("#",""), HYPERLINK(CONCATENATE("#metadata!", ADDRESS(INDEX($AH$2:$AH$1001,MATCH(ROWS($AF$2:AF586),$AF$2:$AF$1001,0),0), INDEX($AM$1004:$BM$1004,1,MATCH(COLUMNS($AM$1006:BL1006),$AM$1006:$BM$1006,0)))),"Fix")))</f>
        <v xml:space="preserve"> </v>
      </c>
      <c r="AB586" s="4" t="str">
        <f ca="1">IF(OR(INDEX($AG$2:$AG$1001,MATCH(ROWS($AF$2:AF586),$AF$2:$AF$1001,0),1)&gt;=100000,INDEX($AM$1005:$BM$1005,1,MATCH(COLUMNS($AM$1006:BM1006),$AM$1006:$BM$1006,0))&gt;=100000), " ",IF(INDEX($AM$2:$BM$1001,MATCH(ROWS($AF$2:AF586),$AF$2:$AF$1001,0),MATCH(COLUMNS($AM$1006:BM1006),$AM$1006:$BM$1006,0)), HYPERLINK("#",""), HYPERLINK(CONCATENATE("#metadata!", ADDRESS(INDEX($AH$2:$AH$1001,MATCH(ROWS($AF$2:AF586),$AF$2:$AF$1001,0),0), INDEX($AM$1004:$BM$1004,1,MATCH(COLUMNS($AM$1006:BM1006),$AM$1006:$BM$1006,0)))),"Fix")))</f>
        <v xml:space="preserve"> </v>
      </c>
      <c r="AF586">
        <v>585</v>
      </c>
      <c r="AG586">
        <v>100586</v>
      </c>
      <c r="AH586">
        <v>586</v>
      </c>
      <c r="AI586" t="b">
        <f t="shared" si="9"/>
        <v>1</v>
      </c>
      <c r="AJ586" t="b">
        <f>COUNTBLANK(metadata!B586:AB586)=COLUMNS(metadata!B586:AB586)</f>
        <v>1</v>
      </c>
      <c r="AK586" t="str">
        <v/>
      </c>
      <c r="AM586" t="b">
        <f ca="1">AND(IF(metadata!B586="",FALSE,TRUE),COUNTIF(metadata!B:B, metadata!B586) = 1,NOT(ISERROR(SUMPRODUCT(SEARCH(MID(metadata!B586,ROW(INDIRECT("1:"&amp;LEN(metadata!B586))), 1),"0123456789abcdefghijklmnopqrstuvwxyzABCDEFGHIJKLMNOPQRSTUVWXYZ.")))))</f>
        <v>0</v>
      </c>
      <c r="AN586" t="b">
        <f ca="1">OR(AND(IF(metadata!C586="",FALSE,TRUE),OR(EXACT(metadata!C586,"missing: not collected"),EXACT(metadata!C586,"missing: not provided"),EXACT(metadata!C586,"missing: restricted access"))),AND(IF(metadata!C586="",FALSE,TRUE),AND(AND(IFERROR(INT(LEFT(metadata!C586,4))&gt;1900,FALSE),IFERROR(INT(LEFT(metadata!C586,4))&lt;=YEAR(NOW()),FALSE)), OR(MID(metadata!C586,5,1)="", AND(AND(MID(metadata!C586,5,1)="-",IFERROR(INT(MID(metadata!C586,6,1))&gt;=0,FALSE),IFERROR(INT(MID(metadata!C586,6,1))&lt;=1,FALSE),NOT(MID(metadata!C586,7,1)=""),IFERROR(INT(MID(metadata!C586,6,2))&gt;=1,FALSE),IFERROR(INT(MID(metadata!C586,6,2))&lt;=12,FALSE)), OR(MID(metadata!C586,8,1)="", AND(AND(MID(metadata!C586,8,1)="-",IFERROR(INT(MID(metadata!C586,9,1))&gt;=0,FALSE),IFERROR(INT(MID(metadata!C586,9,1))&lt;=3,FALSE),NOT(MID(metadata!C586,10,1)=""),IFERROR(INT(MID(metadata!C586,9,2))&gt;=1,FALSE),IFERROR(INT(MID(metadata!C586,9,2))&lt;=31,FALSE)), OR(MID(metadata!C586,11,1)="", AND(AND(MID(metadata!C586,11,1)=" ",IFERROR(INT(MID(metadata!C586,12,1))&gt;=0,FALSE),IFERROR(INT(MID(metadata!C586,12,1))&lt;=2,FALSE),NOT(MID(metadata!C586,13,1)=""),IFERROR(INT(MID(metadata!C586,12,2))&gt;=0,FALSE),IFERROR(INT(MID(metadata!C586,12,2))&lt;=23,FALSE)), OR(MID(metadata!C586,14,1)="", AND(AND(MID(metadata!C586,14,1)=":",IFERROR(INT(MID(metadata!C586,15,1))&gt;=0,FALSE),IFERROR(INT(MID(metadata!C586,15,1))&lt;=5,FALSE),NOT(MID(metadata!C586,16,1)=""),IFERROR(INT(MID(metadata!C586,15,2))&gt;=0,FALSE),IFERROR(INT(MID(metadata!C586,15,2))&lt;=59,FALSE)), OR(MID(metadata!C586,17,1)="", AND(AND(MID(metadata!C586,17,1)=":",IFERROR(INT(MID(metadata!C586,18,1))&gt;=0,FALSE),IFERROR(INT(MID(metadata!C586,18,1))&lt;=5,FALSE),NOT(MID(metadata!C586,19,1)=""),IFERROR(INT(MID(metadata!C586,18,2))&gt;=0,FALSE),IFERROR(INT(MID(metadata!C586,18,2))&lt;=59,FALSE)), LEN(metadata!C586)&lt;=19)))))))))))))</f>
        <v>0</v>
      </c>
      <c r="AO586" t="b">
        <f>AND(IF(metadata!D586="",FALSE,TRUE),EXACT(metadata!D586,"Not applicable"))</f>
        <v>0</v>
      </c>
      <c r="AP586" t="b">
        <f>IF(metadata!E586="",FALSE,TRUE)</f>
        <v>0</v>
      </c>
      <c r="AQ586" t="b">
        <f>OR(AND(IF(metadata!F586="",FALSE,TRUE),OR(EXACT(metadata!F586,"missing: not collected"),EXACT(metadata!F586,"missing: not provided"))),AND(IF(metadata!F586="",FALSE,TRUE),OR(EXACT(metadata!F586,"TRUE"),EXACT(metadata!F586,"FALSE"))))</f>
        <v>0</v>
      </c>
      <c r="AR586" t="b">
        <f>OR(AND(IF(metadata!G586="",FALSE,TRUE),OR(EXACT(metadata!G586,"missing: not collected"),EXACT(metadata!G586,"missing: not provided"),EXACT(metadata!G586,"missing: restricted access"))),AND(IF(metadata!G586="",FALSE,ISNUMBER(VALUE(metadata!G586))),metadata!G586&gt;=-413))</f>
        <v>0</v>
      </c>
      <c r="AS586" t="b">
        <f>AND(IF(metadata!H586="",FALSE,TRUE),EXACT(metadata!H586,"meters"))</f>
        <v>0</v>
      </c>
      <c r="AT586" t="b">
        <f>AND(IF(metadata!I586="",FALSE,TRUE),OR(EXACT(metadata!I586,"Host-associated"),EXACT(metadata!I586,"Free-living")))</f>
        <v>0</v>
      </c>
      <c r="AU586" t="b">
        <f>AND(IF(metadata!J586="",FALSE,TRUE),OR(EXACT(metadata!J586,"Animal"),EXACT(metadata!J586,"Fungus"),EXACT(metadata!J586,"Plant"),EXACT(metadata!J586,"Saline"),EXACT(metadata!J586,"Non-saline")))</f>
        <v>0</v>
      </c>
      <c r="AV586" t="b">
        <f>AND(IF(metadata!K586="",FALSE,TRUE),OR(EXACT(metadata!K586,"Plant secretion"),EXACT(metadata!K586,"Plant rhizosphere"),EXACT(metadata!K586,"Plant surface"),EXACT(metadata!K586,"Plant corpus"),EXACT(metadata!K586,"Fungus surface"),EXACT(metadata!K586,"Fungus corpus"),EXACT(metadata!K586,"Animal surface"),EXACT(metadata!K586,"Animal proximal gut"),EXACT(metadata!K586,"Animal corpus"),EXACT(metadata!K586,"Animal distal gut"),EXACT(metadata!K586,"Animal secretion"),EXACT(metadata!K586,"Sub-surface (non-saline)"),EXACT(metadata!K586,"Surface (non-saline)"),EXACT(metadata!K586,"Water (non-saline)"),EXACT(metadata!K586,"Soil (non-saline)"),EXACT(metadata!K586,"Aerosol (non-saline)"),EXACT(metadata!K586,"Sediment (non-saline)"),EXACT(metadata!K586,"Surface (saline)"),EXACT(metadata!K586,"Water (saline)"),EXACT(metadata!K586,"Hypersaline (saline)"),EXACT(metadata!K586,"Aerosol (saline)"),EXACT(metadata!K586,"Sediment (saline)")))</f>
        <v>0</v>
      </c>
      <c r="AW586" t="b">
        <f>IF(metadata!L586="",FALSE,TRUE)</f>
        <v>0</v>
      </c>
      <c r="AX586" t="b">
        <f>IF(metadata!M586="",FALSE,TRUE)</f>
        <v>0</v>
      </c>
      <c r="AY586" t="b">
        <f>IF(metadata!N586="",FALSE,TRUE)</f>
        <v>0</v>
      </c>
      <c r="AZ586" t="b">
        <f>OR(AND(IF(metadata!O586="",FALSE,TRUE),OR(EXACT(metadata!O586,"missing: not collected"),EXACT(metadata!O586,"missing: not provided"),EXACT(metadata!O586,"missing: restricted access"))),AND(IF(metadata!O586="",FALSE,TRUE),OR(EXACT(metadata!O586,"air"),EXACT(metadata!O586,"built environment"),EXACT(metadata!O586,"host-associated"),EXACT(metadata!O586,"human-associated"),EXACT(metadata!O586,"human-skin"),EXACT(metadata!O586,"human-oral"),EXACT(metadata!O586,"human-gut"),EXACT(metadata!O586,"human-vaginal"),EXACT(metadata!O586,"microbial mat/biofilm"),EXACT(metadata!O586,"misc environment"),EXACT(metadata!O586,"plant-associated"),EXACT(metadata!O586,"sediment"),EXACT(metadata!O586,"soil"),EXACT(metadata!O586,"wastewater/sludge"),EXACT(metadata!O586,"water"))))</f>
        <v>0</v>
      </c>
      <c r="BA586" t="b">
        <f>IF(metadata!P586="",FALSE,TRUE)</f>
        <v>0</v>
      </c>
      <c r="BB586" t="b">
        <f>IF(metadata!Q586="",FALSE,TRUE)</f>
        <v>0</v>
      </c>
      <c r="BC586" t="b">
        <f>OR(AND(IF(metadata!R586="",FALSE,TRUE),OR(EXACT(metadata!R586,"missing: not collected"),EXACT(metadata!R586,"missing: not provided"),EXACT(metadata!R586,"missing: restricted access"))),AND(IF(metadata!R586="",FALSE,ISNUMBER(VALUE(metadata!R586))),metadata!R586&gt;=-90,metadata!R586&lt;=90))</f>
        <v>0</v>
      </c>
      <c r="BD586" t="b">
        <f>AND(IF(metadata!S586="",FALSE,TRUE),EXACT(metadata!S586,"Decimal degrees"))</f>
        <v>0</v>
      </c>
      <c r="BE586" t="b">
        <f>OR(AND(IF(metadata!T586="",FALSE,TRUE),OR(EXACT(metadata!T586,"missing: not collected"),EXACT(metadata!T586,"missing: not provided"),EXACT(metadata!T586,"missing: restricted access"))),AND(IF(metadata!T586="",FALSE,ISNUMBER(VALUE(metadata!T586))),metadata!T586&gt;=-180,metadata!T586&lt;=180))</f>
        <v>0</v>
      </c>
      <c r="BF586" t="b">
        <f>AND(IF(metadata!U586="",FALSE,TRUE),EXACT(metadata!U586,"Decimal degrees"))</f>
        <v>0</v>
      </c>
      <c r="BG586" t="b">
        <f>IF(metadata!V586="",FALSE,TRUE)</f>
        <v>0</v>
      </c>
      <c r="BH586" t="b">
        <f>OR(AND(IF(metadata!W586="",FALSE,TRUE),OR(EXACT(metadata!W586,"missing: not collected"),EXACT(metadata!W586,"missing: not provided"),EXACT(metadata!W586,"missing: restricted access"))),AND(IF(metadata!W586="",FALSE,TRUE),OR(EXACT(metadata!W586,"TRUE"),EXACT(metadata!W586,"FALSE"))))</f>
        <v>0</v>
      </c>
      <c r="BI586" t="b">
        <f>AND(IF(metadata!X586="",FALSE,TRUE),EXACT(metadata!X586,"other"))</f>
        <v>0</v>
      </c>
      <c r="BJ586" t="b">
        <f>IF(metadata!Y586="",FALSE,TRUE)</f>
        <v>0</v>
      </c>
      <c r="BK586" t="b">
        <f>OR(AND(IF(metadata!Z586="",FALSE,TRUE),OR(EXACT(metadata!Z586,"missing: not collected"),EXACT(metadata!Z586,"missing: not provided"))),AND(IF(metadata!Z586="",FALSE,IF(ISERROR(INT(metadata!Z586)),FALSE,INT(metadata!Z586)=metadata!Z586)),metadata!Z586&gt;0))</f>
        <v>0</v>
      </c>
      <c r="BL586" t="b">
        <f>AND(IF(metadata!AA586="",FALSE,TRUE),EXACT(metadata!AA586,"Not applicable"))</f>
        <v>0</v>
      </c>
      <c r="BM586" t="b">
        <f>IF(metadata!AB586="",FALSE,TRUE)</f>
        <v>0</v>
      </c>
    </row>
    <row r="587" spans="1:65" x14ac:dyDescent="0.2">
      <c r="A587" s="5" t="str">
        <f ca="1">IF(B587=" "," ",HYPERLINK(CONCATENATE("#metadata!",ADDRESS(INDEX($AH$2:$AH$1001,MATCH(ROWS($AF$2:AF587),$AF$2:$AF$1001,0),0),1)),INDEX($AK$2:$AK$1001,MATCH(ROWS($AF$2:AF587),$AF$2:$AF$1001,0),0)))</f>
        <v xml:space="preserve"> </v>
      </c>
      <c r="B587" s="4" t="str">
        <f ca="1">IF(OR(INDEX($AG$2:$AG$1001,MATCH(ROWS($AF$2:AF587),$AF$2:$AF$1001,0),1)&gt;=100000,INDEX($AM$1005:$BM$1005,1,MATCH(COLUMNS($AM$1006:AM1006),$AM$1006:$BM$1006,0))&gt;=100000), " ",IF(INDEX($AM$2:$BM$1001,MATCH(ROWS($AF$2:AF587),$AF$2:$AF$1001,0),MATCH(COLUMNS($AM$1006:AM1006),$AM$1006:$BM$1006,0)), HYPERLINK("#",""), HYPERLINK(CONCATENATE("#metadata!", ADDRESS(INDEX($AH$2:$AH$1001,MATCH(ROWS($AF$2:AF587),$AF$2:$AF$1001,0),0), INDEX($AM$1004:$BM$1004,1,MATCH(COLUMNS($AM$1006:AM1006),$AM$1006:$BM$1006,0)))),"Fix")))</f>
        <v xml:space="preserve"> </v>
      </c>
      <c r="C587" s="4" t="str">
        <f ca="1">IF(OR(INDEX($AG$2:$AG$1001,MATCH(ROWS($AF$2:AF587),$AF$2:$AF$1001,0),1)&gt;=100000,INDEX($AM$1005:$BM$1005,1,MATCH(COLUMNS($AM$1006:AN1006),$AM$1006:$BM$1006,0))&gt;=100000), " ",IF(INDEX($AM$2:$BM$1001,MATCH(ROWS($AF$2:AF587),$AF$2:$AF$1001,0),MATCH(COLUMNS($AM$1006:AN1006),$AM$1006:$BM$1006,0)), HYPERLINK("#",""), HYPERLINK(CONCATENATE("#metadata!", ADDRESS(INDEX($AH$2:$AH$1001,MATCH(ROWS($AF$2:AF587),$AF$2:$AF$1001,0),0), INDEX($AM$1004:$BM$1004,1,MATCH(COLUMNS($AM$1006:AN1006),$AM$1006:$BM$1006,0)))),"Fix")))</f>
        <v xml:space="preserve"> </v>
      </c>
      <c r="D587" s="4" t="str">
        <f ca="1">IF(OR(INDEX($AG$2:$AG$1001,MATCH(ROWS($AF$2:AF587),$AF$2:$AF$1001,0),1)&gt;=100000,INDEX($AM$1005:$BM$1005,1,MATCH(COLUMNS($AM$1006:AO1006),$AM$1006:$BM$1006,0))&gt;=100000), " ",IF(INDEX($AM$2:$BM$1001,MATCH(ROWS($AF$2:AF587),$AF$2:$AF$1001,0),MATCH(COLUMNS($AM$1006:AO1006),$AM$1006:$BM$1006,0)), HYPERLINK("#",""), HYPERLINK(CONCATENATE("#metadata!", ADDRESS(INDEX($AH$2:$AH$1001,MATCH(ROWS($AF$2:AF587),$AF$2:$AF$1001,0),0), INDEX($AM$1004:$BM$1004,1,MATCH(COLUMNS($AM$1006:AO1006),$AM$1006:$BM$1006,0)))),"Fix")))</f>
        <v xml:space="preserve"> </v>
      </c>
      <c r="E587" s="4" t="str">
        <f ca="1">IF(OR(INDEX($AG$2:$AG$1001,MATCH(ROWS($AF$2:AF587),$AF$2:$AF$1001,0),1)&gt;=100000,INDEX($AM$1005:$BM$1005,1,MATCH(COLUMNS($AM$1006:AP1006),$AM$1006:$BM$1006,0))&gt;=100000), " ",IF(INDEX($AM$2:$BM$1001,MATCH(ROWS($AF$2:AF587),$AF$2:$AF$1001,0),MATCH(COLUMNS($AM$1006:AP1006),$AM$1006:$BM$1006,0)), HYPERLINK("#",""), HYPERLINK(CONCATENATE("#metadata!", ADDRESS(INDEX($AH$2:$AH$1001,MATCH(ROWS($AF$2:AF587),$AF$2:$AF$1001,0),0), INDEX($AM$1004:$BM$1004,1,MATCH(COLUMNS($AM$1006:AP1006),$AM$1006:$BM$1006,0)))),"Fix")))</f>
        <v xml:space="preserve"> </v>
      </c>
      <c r="F587" s="4" t="str">
        <f ca="1">IF(OR(INDEX($AG$2:$AG$1001,MATCH(ROWS($AF$2:AF587),$AF$2:$AF$1001,0),1)&gt;=100000,INDEX($AM$1005:$BM$1005,1,MATCH(COLUMNS($AM$1006:AQ1006),$AM$1006:$BM$1006,0))&gt;=100000), " ",IF(INDEX($AM$2:$BM$1001,MATCH(ROWS($AF$2:AF587),$AF$2:$AF$1001,0),MATCH(COLUMNS($AM$1006:AQ1006),$AM$1006:$BM$1006,0)), HYPERLINK("#",""), HYPERLINK(CONCATENATE("#metadata!", ADDRESS(INDEX($AH$2:$AH$1001,MATCH(ROWS($AF$2:AF587),$AF$2:$AF$1001,0),0), INDEX($AM$1004:$BM$1004,1,MATCH(COLUMNS($AM$1006:AQ1006),$AM$1006:$BM$1006,0)))),"Fix")))</f>
        <v xml:space="preserve"> </v>
      </c>
      <c r="G587" s="4" t="str">
        <f ca="1">IF(OR(INDEX($AG$2:$AG$1001,MATCH(ROWS($AF$2:AF587),$AF$2:$AF$1001,0),1)&gt;=100000,INDEX($AM$1005:$BM$1005,1,MATCH(COLUMNS($AM$1006:AR1006),$AM$1006:$BM$1006,0))&gt;=100000), " ",IF(INDEX($AM$2:$BM$1001,MATCH(ROWS($AF$2:AF587),$AF$2:$AF$1001,0),MATCH(COLUMNS($AM$1006:AR1006),$AM$1006:$BM$1006,0)), HYPERLINK("#",""), HYPERLINK(CONCATENATE("#metadata!", ADDRESS(INDEX($AH$2:$AH$1001,MATCH(ROWS($AF$2:AF587),$AF$2:$AF$1001,0),0), INDEX($AM$1004:$BM$1004,1,MATCH(COLUMNS($AM$1006:AR1006),$AM$1006:$BM$1006,0)))),"Fix")))</f>
        <v xml:space="preserve"> </v>
      </c>
      <c r="H587" s="4" t="str">
        <f ca="1">IF(OR(INDEX($AG$2:$AG$1001,MATCH(ROWS($AF$2:AF587),$AF$2:$AF$1001,0),1)&gt;=100000,INDEX($AM$1005:$BM$1005,1,MATCH(COLUMNS($AM$1006:AS1006),$AM$1006:$BM$1006,0))&gt;=100000), " ",IF(INDEX($AM$2:$BM$1001,MATCH(ROWS($AF$2:AF587),$AF$2:$AF$1001,0),MATCH(COLUMNS($AM$1006:AS1006),$AM$1006:$BM$1006,0)), HYPERLINK("#",""), HYPERLINK(CONCATENATE("#metadata!", ADDRESS(INDEX($AH$2:$AH$1001,MATCH(ROWS($AF$2:AF587),$AF$2:$AF$1001,0),0), INDEX($AM$1004:$BM$1004,1,MATCH(COLUMNS($AM$1006:AS1006),$AM$1006:$BM$1006,0)))),"Fix")))</f>
        <v xml:space="preserve"> </v>
      </c>
      <c r="I587" s="4" t="str">
        <f ca="1">IF(OR(INDEX($AG$2:$AG$1001,MATCH(ROWS($AF$2:AF587),$AF$2:$AF$1001,0),1)&gt;=100000,INDEX($AM$1005:$BM$1005,1,MATCH(COLUMNS($AM$1006:AT1006),$AM$1006:$BM$1006,0))&gt;=100000), " ",IF(INDEX($AM$2:$BM$1001,MATCH(ROWS($AF$2:AF587),$AF$2:$AF$1001,0),MATCH(COLUMNS($AM$1006:AT1006),$AM$1006:$BM$1006,0)), HYPERLINK("#",""), HYPERLINK(CONCATENATE("#metadata!", ADDRESS(INDEX($AH$2:$AH$1001,MATCH(ROWS($AF$2:AF587),$AF$2:$AF$1001,0),0), INDEX($AM$1004:$BM$1004,1,MATCH(COLUMNS($AM$1006:AT1006),$AM$1006:$BM$1006,0)))),"Fix")))</f>
        <v xml:space="preserve"> </v>
      </c>
      <c r="J587" s="4" t="str">
        <f ca="1">IF(OR(INDEX($AG$2:$AG$1001,MATCH(ROWS($AF$2:AF587),$AF$2:$AF$1001,0),1)&gt;=100000,INDEX($AM$1005:$BM$1005,1,MATCH(COLUMNS($AM$1006:AU1006),$AM$1006:$BM$1006,0))&gt;=100000), " ",IF(INDEX($AM$2:$BM$1001,MATCH(ROWS($AF$2:AF587),$AF$2:$AF$1001,0),MATCH(COLUMNS($AM$1006:AU1006),$AM$1006:$BM$1006,0)), HYPERLINK("#",""), HYPERLINK(CONCATENATE("#metadata!", ADDRESS(INDEX($AH$2:$AH$1001,MATCH(ROWS($AF$2:AF587),$AF$2:$AF$1001,0),0), INDEX($AM$1004:$BM$1004,1,MATCH(COLUMNS($AM$1006:AU1006),$AM$1006:$BM$1006,0)))),"Fix")))</f>
        <v xml:space="preserve"> </v>
      </c>
      <c r="K587" s="4" t="str">
        <f ca="1">IF(OR(INDEX($AG$2:$AG$1001,MATCH(ROWS($AF$2:AF587),$AF$2:$AF$1001,0),1)&gt;=100000,INDEX($AM$1005:$BM$1005,1,MATCH(COLUMNS($AM$1006:AV1006),$AM$1006:$BM$1006,0))&gt;=100000), " ",IF(INDEX($AM$2:$BM$1001,MATCH(ROWS($AF$2:AF587),$AF$2:$AF$1001,0),MATCH(COLUMNS($AM$1006:AV1006),$AM$1006:$BM$1006,0)), HYPERLINK("#",""), HYPERLINK(CONCATENATE("#metadata!", ADDRESS(INDEX($AH$2:$AH$1001,MATCH(ROWS($AF$2:AF587),$AF$2:$AF$1001,0),0), INDEX($AM$1004:$BM$1004,1,MATCH(COLUMNS($AM$1006:AV1006),$AM$1006:$BM$1006,0)))),"Fix")))</f>
        <v xml:space="preserve"> </v>
      </c>
      <c r="L587" s="4" t="str">
        <f ca="1">IF(OR(INDEX($AG$2:$AG$1001,MATCH(ROWS($AF$2:AF587),$AF$2:$AF$1001,0),1)&gt;=100000,INDEX($AM$1005:$BM$1005,1,MATCH(COLUMNS($AM$1006:AW1006),$AM$1006:$BM$1006,0))&gt;=100000), " ",IF(INDEX($AM$2:$BM$1001,MATCH(ROWS($AF$2:AF587),$AF$2:$AF$1001,0),MATCH(COLUMNS($AM$1006:AW1006),$AM$1006:$BM$1006,0)), HYPERLINK("#",""), HYPERLINK(CONCATENATE("#metadata!", ADDRESS(INDEX($AH$2:$AH$1001,MATCH(ROWS($AF$2:AF587),$AF$2:$AF$1001,0),0), INDEX($AM$1004:$BM$1004,1,MATCH(COLUMNS($AM$1006:AW1006),$AM$1006:$BM$1006,0)))),"Fix")))</f>
        <v xml:space="preserve"> </v>
      </c>
      <c r="M587" s="4" t="str">
        <f ca="1">IF(OR(INDEX($AG$2:$AG$1001,MATCH(ROWS($AF$2:AF587),$AF$2:$AF$1001,0),1)&gt;=100000,INDEX($AM$1005:$BM$1005,1,MATCH(COLUMNS($AM$1006:AX1006),$AM$1006:$BM$1006,0))&gt;=100000), " ",IF(INDEX($AM$2:$BM$1001,MATCH(ROWS($AF$2:AF587),$AF$2:$AF$1001,0),MATCH(COLUMNS($AM$1006:AX1006),$AM$1006:$BM$1006,0)), HYPERLINK("#",""), HYPERLINK(CONCATENATE("#metadata!", ADDRESS(INDEX($AH$2:$AH$1001,MATCH(ROWS($AF$2:AF587),$AF$2:$AF$1001,0),0), INDEX($AM$1004:$BM$1004,1,MATCH(COLUMNS($AM$1006:AX1006),$AM$1006:$BM$1006,0)))),"Fix")))</f>
        <v xml:space="preserve"> </v>
      </c>
      <c r="N587" s="4" t="str">
        <f ca="1">IF(OR(INDEX($AG$2:$AG$1001,MATCH(ROWS($AF$2:AF587),$AF$2:$AF$1001,0),1)&gt;=100000,INDEX($AM$1005:$BM$1005,1,MATCH(COLUMNS($AM$1006:AY1006),$AM$1006:$BM$1006,0))&gt;=100000), " ",IF(INDEX($AM$2:$BM$1001,MATCH(ROWS($AF$2:AF587),$AF$2:$AF$1001,0),MATCH(COLUMNS($AM$1006:AY1006),$AM$1006:$BM$1006,0)), HYPERLINK("#",""), HYPERLINK(CONCATENATE("#metadata!", ADDRESS(INDEX($AH$2:$AH$1001,MATCH(ROWS($AF$2:AF587),$AF$2:$AF$1001,0),0), INDEX($AM$1004:$BM$1004,1,MATCH(COLUMNS($AM$1006:AY1006),$AM$1006:$BM$1006,0)))),"Fix")))</f>
        <v xml:space="preserve"> </v>
      </c>
      <c r="O587" s="4" t="str">
        <f ca="1">IF(OR(INDEX($AG$2:$AG$1001,MATCH(ROWS($AF$2:AF587),$AF$2:$AF$1001,0),1)&gt;=100000,INDEX($AM$1005:$BM$1005,1,MATCH(COLUMNS($AM$1006:AZ1006),$AM$1006:$BM$1006,0))&gt;=100000), " ",IF(INDEX($AM$2:$BM$1001,MATCH(ROWS($AF$2:AF587),$AF$2:$AF$1001,0),MATCH(COLUMNS($AM$1006:AZ1006),$AM$1006:$BM$1006,0)), HYPERLINK("#",""), HYPERLINK(CONCATENATE("#metadata!", ADDRESS(INDEX($AH$2:$AH$1001,MATCH(ROWS($AF$2:AF587),$AF$2:$AF$1001,0),0), INDEX($AM$1004:$BM$1004,1,MATCH(COLUMNS($AM$1006:AZ1006),$AM$1006:$BM$1006,0)))),"Fix")))</f>
        <v xml:space="preserve"> </v>
      </c>
      <c r="P587" s="4" t="str">
        <f ca="1">IF(OR(INDEX($AG$2:$AG$1001,MATCH(ROWS($AF$2:AF587),$AF$2:$AF$1001,0),1)&gt;=100000,INDEX($AM$1005:$BM$1005,1,MATCH(COLUMNS($AM$1006:BA1006),$AM$1006:$BM$1006,0))&gt;=100000), " ",IF(INDEX($AM$2:$BM$1001,MATCH(ROWS($AF$2:AF587),$AF$2:$AF$1001,0),MATCH(COLUMNS($AM$1006:BA1006),$AM$1006:$BM$1006,0)), HYPERLINK("#",""), HYPERLINK(CONCATENATE("#metadata!", ADDRESS(INDEX($AH$2:$AH$1001,MATCH(ROWS($AF$2:AF587),$AF$2:$AF$1001,0),0), INDEX($AM$1004:$BM$1004,1,MATCH(COLUMNS($AM$1006:BA1006),$AM$1006:$BM$1006,0)))),"Fix")))</f>
        <v xml:space="preserve"> </v>
      </c>
      <c r="Q587" s="4" t="str">
        <f ca="1">IF(OR(INDEX($AG$2:$AG$1001,MATCH(ROWS($AF$2:AF587),$AF$2:$AF$1001,0),1)&gt;=100000,INDEX($AM$1005:$BM$1005,1,MATCH(COLUMNS($AM$1006:BB1006),$AM$1006:$BM$1006,0))&gt;=100000), " ",IF(INDEX($AM$2:$BM$1001,MATCH(ROWS($AF$2:AF587),$AF$2:$AF$1001,0),MATCH(COLUMNS($AM$1006:BB1006),$AM$1006:$BM$1006,0)), HYPERLINK("#",""), HYPERLINK(CONCATENATE("#metadata!", ADDRESS(INDEX($AH$2:$AH$1001,MATCH(ROWS($AF$2:AF587),$AF$2:$AF$1001,0),0), INDEX($AM$1004:$BM$1004,1,MATCH(COLUMNS($AM$1006:BB1006),$AM$1006:$BM$1006,0)))),"Fix")))</f>
        <v xml:space="preserve"> </v>
      </c>
      <c r="R587" s="4" t="str">
        <f ca="1">IF(OR(INDEX($AG$2:$AG$1001,MATCH(ROWS($AF$2:AF587),$AF$2:$AF$1001,0),1)&gt;=100000,INDEX($AM$1005:$BM$1005,1,MATCH(COLUMNS($AM$1006:BC1006),$AM$1006:$BM$1006,0))&gt;=100000), " ",IF(INDEX($AM$2:$BM$1001,MATCH(ROWS($AF$2:AF587),$AF$2:$AF$1001,0),MATCH(COLUMNS($AM$1006:BC1006),$AM$1006:$BM$1006,0)), HYPERLINK("#",""), HYPERLINK(CONCATENATE("#metadata!", ADDRESS(INDEX($AH$2:$AH$1001,MATCH(ROWS($AF$2:AF587),$AF$2:$AF$1001,0),0), INDEX($AM$1004:$BM$1004,1,MATCH(COLUMNS($AM$1006:BC1006),$AM$1006:$BM$1006,0)))),"Fix")))</f>
        <v xml:space="preserve"> </v>
      </c>
      <c r="S587" s="4" t="str">
        <f ca="1">IF(OR(INDEX($AG$2:$AG$1001,MATCH(ROWS($AF$2:AF587),$AF$2:$AF$1001,0),1)&gt;=100000,INDEX($AM$1005:$BM$1005,1,MATCH(COLUMNS($AM$1006:BD1006),$AM$1006:$BM$1006,0))&gt;=100000), " ",IF(INDEX($AM$2:$BM$1001,MATCH(ROWS($AF$2:AF587),$AF$2:$AF$1001,0),MATCH(COLUMNS($AM$1006:BD1006),$AM$1006:$BM$1006,0)), HYPERLINK("#",""), HYPERLINK(CONCATENATE("#metadata!", ADDRESS(INDEX($AH$2:$AH$1001,MATCH(ROWS($AF$2:AF587),$AF$2:$AF$1001,0),0), INDEX($AM$1004:$BM$1004,1,MATCH(COLUMNS($AM$1006:BD1006),$AM$1006:$BM$1006,0)))),"Fix")))</f>
        <v xml:space="preserve"> </v>
      </c>
      <c r="T587" s="4" t="str">
        <f ca="1">IF(OR(INDEX($AG$2:$AG$1001,MATCH(ROWS($AF$2:AF587),$AF$2:$AF$1001,0),1)&gt;=100000,INDEX($AM$1005:$BM$1005,1,MATCH(COLUMNS($AM$1006:BE1006),$AM$1006:$BM$1006,0))&gt;=100000), " ",IF(INDEX($AM$2:$BM$1001,MATCH(ROWS($AF$2:AF587),$AF$2:$AF$1001,0),MATCH(COLUMNS($AM$1006:BE1006),$AM$1006:$BM$1006,0)), HYPERLINK("#",""), HYPERLINK(CONCATENATE("#metadata!", ADDRESS(INDEX($AH$2:$AH$1001,MATCH(ROWS($AF$2:AF587),$AF$2:$AF$1001,0),0), INDEX($AM$1004:$BM$1004,1,MATCH(COLUMNS($AM$1006:BE1006),$AM$1006:$BM$1006,0)))),"Fix")))</f>
        <v xml:space="preserve"> </v>
      </c>
      <c r="U587" s="4" t="str">
        <f ca="1">IF(OR(INDEX($AG$2:$AG$1001,MATCH(ROWS($AF$2:AF587),$AF$2:$AF$1001,0),1)&gt;=100000,INDEX($AM$1005:$BM$1005,1,MATCH(COLUMNS($AM$1006:BF1006),$AM$1006:$BM$1006,0))&gt;=100000), " ",IF(INDEX($AM$2:$BM$1001,MATCH(ROWS($AF$2:AF587),$AF$2:$AF$1001,0),MATCH(COLUMNS($AM$1006:BF1006),$AM$1006:$BM$1006,0)), HYPERLINK("#",""), HYPERLINK(CONCATENATE("#metadata!", ADDRESS(INDEX($AH$2:$AH$1001,MATCH(ROWS($AF$2:AF587),$AF$2:$AF$1001,0),0), INDEX($AM$1004:$BM$1004,1,MATCH(COLUMNS($AM$1006:BF1006),$AM$1006:$BM$1006,0)))),"Fix")))</f>
        <v xml:space="preserve"> </v>
      </c>
      <c r="V587" s="4" t="str">
        <f ca="1">IF(OR(INDEX($AG$2:$AG$1001,MATCH(ROWS($AF$2:AF587),$AF$2:$AF$1001,0),1)&gt;=100000,INDEX($AM$1005:$BM$1005,1,MATCH(COLUMNS($AM$1006:BG1006),$AM$1006:$BM$1006,0))&gt;=100000), " ",IF(INDEX($AM$2:$BM$1001,MATCH(ROWS($AF$2:AF587),$AF$2:$AF$1001,0),MATCH(COLUMNS($AM$1006:BG1006),$AM$1006:$BM$1006,0)), HYPERLINK("#",""), HYPERLINK(CONCATENATE("#metadata!", ADDRESS(INDEX($AH$2:$AH$1001,MATCH(ROWS($AF$2:AF587),$AF$2:$AF$1001,0),0), INDEX($AM$1004:$BM$1004,1,MATCH(COLUMNS($AM$1006:BG1006),$AM$1006:$BM$1006,0)))),"Fix")))</f>
        <v xml:space="preserve"> </v>
      </c>
      <c r="W587" s="4" t="str">
        <f ca="1">IF(OR(INDEX($AG$2:$AG$1001,MATCH(ROWS($AF$2:AF587),$AF$2:$AF$1001,0),1)&gt;=100000,INDEX($AM$1005:$BM$1005,1,MATCH(COLUMNS($AM$1006:BH1006),$AM$1006:$BM$1006,0))&gt;=100000), " ",IF(INDEX($AM$2:$BM$1001,MATCH(ROWS($AF$2:AF587),$AF$2:$AF$1001,0),MATCH(COLUMNS($AM$1006:BH1006),$AM$1006:$BM$1006,0)), HYPERLINK("#",""), HYPERLINK(CONCATENATE("#metadata!", ADDRESS(INDEX($AH$2:$AH$1001,MATCH(ROWS($AF$2:AF587),$AF$2:$AF$1001,0),0), INDEX($AM$1004:$BM$1004,1,MATCH(COLUMNS($AM$1006:BH1006),$AM$1006:$BM$1006,0)))),"Fix")))</f>
        <v xml:space="preserve"> </v>
      </c>
      <c r="X587" s="4" t="str">
        <f ca="1">IF(OR(INDEX($AG$2:$AG$1001,MATCH(ROWS($AF$2:AF587),$AF$2:$AF$1001,0),1)&gt;=100000,INDEX($AM$1005:$BM$1005,1,MATCH(COLUMNS($AM$1006:BI1006),$AM$1006:$BM$1006,0))&gt;=100000), " ",IF(INDEX($AM$2:$BM$1001,MATCH(ROWS($AF$2:AF587),$AF$2:$AF$1001,0),MATCH(COLUMNS($AM$1006:BI1006),$AM$1006:$BM$1006,0)), HYPERLINK("#",""), HYPERLINK(CONCATENATE("#metadata!", ADDRESS(INDEX($AH$2:$AH$1001,MATCH(ROWS($AF$2:AF587),$AF$2:$AF$1001,0),0), INDEX($AM$1004:$BM$1004,1,MATCH(COLUMNS($AM$1006:BI1006),$AM$1006:$BM$1006,0)))),"Fix")))</f>
        <v xml:space="preserve"> </v>
      </c>
      <c r="Y587" s="4" t="str">
        <f ca="1">IF(OR(INDEX($AG$2:$AG$1001,MATCH(ROWS($AF$2:AF587),$AF$2:$AF$1001,0),1)&gt;=100000,INDEX($AM$1005:$BM$1005,1,MATCH(COLUMNS($AM$1006:BJ1006),$AM$1006:$BM$1006,0))&gt;=100000), " ",IF(INDEX($AM$2:$BM$1001,MATCH(ROWS($AF$2:AF587),$AF$2:$AF$1001,0),MATCH(COLUMNS($AM$1006:BJ1006),$AM$1006:$BM$1006,0)), HYPERLINK("#",""), HYPERLINK(CONCATENATE("#metadata!", ADDRESS(INDEX($AH$2:$AH$1001,MATCH(ROWS($AF$2:AF587),$AF$2:$AF$1001,0),0), INDEX($AM$1004:$BM$1004,1,MATCH(COLUMNS($AM$1006:BJ1006),$AM$1006:$BM$1006,0)))),"Fix")))</f>
        <v xml:space="preserve"> </v>
      </c>
      <c r="Z587" s="4" t="str">
        <f ca="1">IF(OR(INDEX($AG$2:$AG$1001,MATCH(ROWS($AF$2:AF587),$AF$2:$AF$1001,0),1)&gt;=100000,INDEX($AM$1005:$BM$1005,1,MATCH(COLUMNS($AM$1006:BK1006),$AM$1006:$BM$1006,0))&gt;=100000), " ",IF(INDEX($AM$2:$BM$1001,MATCH(ROWS($AF$2:AF587),$AF$2:$AF$1001,0),MATCH(COLUMNS($AM$1006:BK1006),$AM$1006:$BM$1006,0)), HYPERLINK("#",""), HYPERLINK(CONCATENATE("#metadata!", ADDRESS(INDEX($AH$2:$AH$1001,MATCH(ROWS($AF$2:AF587),$AF$2:$AF$1001,0),0), INDEX($AM$1004:$BM$1004,1,MATCH(COLUMNS($AM$1006:BK1006),$AM$1006:$BM$1006,0)))),"Fix")))</f>
        <v xml:space="preserve"> </v>
      </c>
      <c r="AA587" s="4" t="str">
        <f ca="1">IF(OR(INDEX($AG$2:$AG$1001,MATCH(ROWS($AF$2:AF587),$AF$2:$AF$1001,0),1)&gt;=100000,INDEX($AM$1005:$BM$1005,1,MATCH(COLUMNS($AM$1006:BL1006),$AM$1006:$BM$1006,0))&gt;=100000), " ",IF(INDEX($AM$2:$BM$1001,MATCH(ROWS($AF$2:AF587),$AF$2:$AF$1001,0),MATCH(COLUMNS($AM$1006:BL1006),$AM$1006:$BM$1006,0)), HYPERLINK("#",""), HYPERLINK(CONCATENATE("#metadata!", ADDRESS(INDEX($AH$2:$AH$1001,MATCH(ROWS($AF$2:AF587),$AF$2:$AF$1001,0),0), INDEX($AM$1004:$BM$1004,1,MATCH(COLUMNS($AM$1006:BL1006),$AM$1006:$BM$1006,0)))),"Fix")))</f>
        <v xml:space="preserve"> </v>
      </c>
      <c r="AB587" s="4" t="str">
        <f ca="1">IF(OR(INDEX($AG$2:$AG$1001,MATCH(ROWS($AF$2:AF587),$AF$2:$AF$1001,0),1)&gt;=100000,INDEX($AM$1005:$BM$1005,1,MATCH(COLUMNS($AM$1006:BM1006),$AM$1006:$BM$1006,0))&gt;=100000), " ",IF(INDEX($AM$2:$BM$1001,MATCH(ROWS($AF$2:AF587),$AF$2:$AF$1001,0),MATCH(COLUMNS($AM$1006:BM1006),$AM$1006:$BM$1006,0)), HYPERLINK("#",""), HYPERLINK(CONCATENATE("#metadata!", ADDRESS(INDEX($AH$2:$AH$1001,MATCH(ROWS($AF$2:AF587),$AF$2:$AF$1001,0),0), INDEX($AM$1004:$BM$1004,1,MATCH(COLUMNS($AM$1006:BM1006),$AM$1006:$BM$1006,0)))),"Fix")))</f>
        <v xml:space="preserve"> </v>
      </c>
      <c r="AF587">
        <v>586</v>
      </c>
      <c r="AG587">
        <v>100587</v>
      </c>
      <c r="AH587">
        <v>587</v>
      </c>
      <c r="AI587" t="b">
        <f t="shared" si="9"/>
        <v>1</v>
      </c>
      <c r="AJ587" t="b">
        <f>COUNTBLANK(metadata!B587:AB587)=COLUMNS(metadata!B587:AB587)</f>
        <v>1</v>
      </c>
      <c r="AK587" t="str">
        <v/>
      </c>
      <c r="AM587" t="b">
        <f ca="1">AND(IF(metadata!B587="",FALSE,TRUE),COUNTIF(metadata!B:B, metadata!B587) = 1,NOT(ISERROR(SUMPRODUCT(SEARCH(MID(metadata!B587,ROW(INDIRECT("1:"&amp;LEN(metadata!B587))), 1),"0123456789abcdefghijklmnopqrstuvwxyzABCDEFGHIJKLMNOPQRSTUVWXYZ.")))))</f>
        <v>0</v>
      </c>
      <c r="AN587" t="b">
        <f ca="1">OR(AND(IF(metadata!C587="",FALSE,TRUE),OR(EXACT(metadata!C587,"missing: not collected"),EXACT(metadata!C587,"missing: not provided"),EXACT(metadata!C587,"missing: restricted access"))),AND(IF(metadata!C587="",FALSE,TRUE),AND(AND(IFERROR(INT(LEFT(metadata!C587,4))&gt;1900,FALSE),IFERROR(INT(LEFT(metadata!C587,4))&lt;=YEAR(NOW()),FALSE)), OR(MID(metadata!C587,5,1)="", AND(AND(MID(metadata!C587,5,1)="-",IFERROR(INT(MID(metadata!C587,6,1))&gt;=0,FALSE),IFERROR(INT(MID(metadata!C587,6,1))&lt;=1,FALSE),NOT(MID(metadata!C587,7,1)=""),IFERROR(INT(MID(metadata!C587,6,2))&gt;=1,FALSE),IFERROR(INT(MID(metadata!C587,6,2))&lt;=12,FALSE)), OR(MID(metadata!C587,8,1)="", AND(AND(MID(metadata!C587,8,1)="-",IFERROR(INT(MID(metadata!C587,9,1))&gt;=0,FALSE),IFERROR(INT(MID(metadata!C587,9,1))&lt;=3,FALSE),NOT(MID(metadata!C587,10,1)=""),IFERROR(INT(MID(metadata!C587,9,2))&gt;=1,FALSE),IFERROR(INT(MID(metadata!C587,9,2))&lt;=31,FALSE)), OR(MID(metadata!C587,11,1)="", AND(AND(MID(metadata!C587,11,1)=" ",IFERROR(INT(MID(metadata!C587,12,1))&gt;=0,FALSE),IFERROR(INT(MID(metadata!C587,12,1))&lt;=2,FALSE),NOT(MID(metadata!C587,13,1)=""),IFERROR(INT(MID(metadata!C587,12,2))&gt;=0,FALSE),IFERROR(INT(MID(metadata!C587,12,2))&lt;=23,FALSE)), OR(MID(metadata!C587,14,1)="", AND(AND(MID(metadata!C587,14,1)=":",IFERROR(INT(MID(metadata!C587,15,1))&gt;=0,FALSE),IFERROR(INT(MID(metadata!C587,15,1))&lt;=5,FALSE),NOT(MID(metadata!C587,16,1)=""),IFERROR(INT(MID(metadata!C587,15,2))&gt;=0,FALSE),IFERROR(INT(MID(metadata!C587,15,2))&lt;=59,FALSE)), OR(MID(metadata!C587,17,1)="", AND(AND(MID(metadata!C587,17,1)=":",IFERROR(INT(MID(metadata!C587,18,1))&gt;=0,FALSE),IFERROR(INT(MID(metadata!C587,18,1))&lt;=5,FALSE),NOT(MID(metadata!C587,19,1)=""),IFERROR(INT(MID(metadata!C587,18,2))&gt;=0,FALSE),IFERROR(INT(MID(metadata!C587,18,2))&lt;=59,FALSE)), LEN(metadata!C587)&lt;=19)))))))))))))</f>
        <v>0</v>
      </c>
      <c r="AO587" t="b">
        <f>AND(IF(metadata!D587="",FALSE,TRUE),EXACT(metadata!D587,"Not applicable"))</f>
        <v>0</v>
      </c>
      <c r="AP587" t="b">
        <f>IF(metadata!E587="",FALSE,TRUE)</f>
        <v>0</v>
      </c>
      <c r="AQ587" t="b">
        <f>OR(AND(IF(metadata!F587="",FALSE,TRUE),OR(EXACT(metadata!F587,"missing: not collected"),EXACT(metadata!F587,"missing: not provided"))),AND(IF(metadata!F587="",FALSE,TRUE),OR(EXACT(metadata!F587,"TRUE"),EXACT(metadata!F587,"FALSE"))))</f>
        <v>0</v>
      </c>
      <c r="AR587" t="b">
        <f>OR(AND(IF(metadata!G587="",FALSE,TRUE),OR(EXACT(metadata!G587,"missing: not collected"),EXACT(metadata!G587,"missing: not provided"),EXACT(metadata!G587,"missing: restricted access"))),AND(IF(metadata!G587="",FALSE,ISNUMBER(VALUE(metadata!G587))),metadata!G587&gt;=-413))</f>
        <v>0</v>
      </c>
      <c r="AS587" t="b">
        <f>AND(IF(metadata!H587="",FALSE,TRUE),EXACT(metadata!H587,"meters"))</f>
        <v>0</v>
      </c>
      <c r="AT587" t="b">
        <f>AND(IF(metadata!I587="",FALSE,TRUE),OR(EXACT(metadata!I587,"Host-associated"),EXACT(metadata!I587,"Free-living")))</f>
        <v>0</v>
      </c>
      <c r="AU587" t="b">
        <f>AND(IF(metadata!J587="",FALSE,TRUE),OR(EXACT(metadata!J587,"Animal"),EXACT(metadata!J587,"Fungus"),EXACT(metadata!J587,"Plant"),EXACT(metadata!J587,"Saline"),EXACT(metadata!J587,"Non-saline")))</f>
        <v>0</v>
      </c>
      <c r="AV587" t="b">
        <f>AND(IF(metadata!K587="",FALSE,TRUE),OR(EXACT(metadata!K587,"Plant secretion"),EXACT(metadata!K587,"Plant rhizosphere"),EXACT(metadata!K587,"Plant surface"),EXACT(metadata!K587,"Plant corpus"),EXACT(metadata!K587,"Fungus surface"),EXACT(metadata!K587,"Fungus corpus"),EXACT(metadata!K587,"Animal surface"),EXACT(metadata!K587,"Animal proximal gut"),EXACT(metadata!K587,"Animal corpus"),EXACT(metadata!K587,"Animal distal gut"),EXACT(metadata!K587,"Animal secretion"),EXACT(metadata!K587,"Sub-surface (non-saline)"),EXACT(metadata!K587,"Surface (non-saline)"),EXACT(metadata!K587,"Water (non-saline)"),EXACT(metadata!K587,"Soil (non-saline)"),EXACT(metadata!K587,"Aerosol (non-saline)"),EXACT(metadata!K587,"Sediment (non-saline)"),EXACT(metadata!K587,"Surface (saline)"),EXACT(metadata!K587,"Water (saline)"),EXACT(metadata!K587,"Hypersaline (saline)"),EXACT(metadata!K587,"Aerosol (saline)"),EXACT(metadata!K587,"Sediment (saline)")))</f>
        <v>0</v>
      </c>
      <c r="AW587" t="b">
        <f>IF(metadata!L587="",FALSE,TRUE)</f>
        <v>0</v>
      </c>
      <c r="AX587" t="b">
        <f>IF(metadata!M587="",FALSE,TRUE)</f>
        <v>0</v>
      </c>
      <c r="AY587" t="b">
        <f>IF(metadata!N587="",FALSE,TRUE)</f>
        <v>0</v>
      </c>
      <c r="AZ587" t="b">
        <f>OR(AND(IF(metadata!O587="",FALSE,TRUE),OR(EXACT(metadata!O587,"missing: not collected"),EXACT(metadata!O587,"missing: not provided"),EXACT(metadata!O587,"missing: restricted access"))),AND(IF(metadata!O587="",FALSE,TRUE),OR(EXACT(metadata!O587,"air"),EXACT(metadata!O587,"built environment"),EXACT(metadata!O587,"host-associated"),EXACT(metadata!O587,"human-associated"),EXACT(metadata!O587,"human-skin"),EXACT(metadata!O587,"human-oral"),EXACT(metadata!O587,"human-gut"),EXACT(metadata!O587,"human-vaginal"),EXACT(metadata!O587,"microbial mat/biofilm"),EXACT(metadata!O587,"misc environment"),EXACT(metadata!O587,"plant-associated"),EXACT(metadata!O587,"sediment"),EXACT(metadata!O587,"soil"),EXACT(metadata!O587,"wastewater/sludge"),EXACT(metadata!O587,"water"))))</f>
        <v>0</v>
      </c>
      <c r="BA587" t="b">
        <f>IF(metadata!P587="",FALSE,TRUE)</f>
        <v>0</v>
      </c>
      <c r="BB587" t="b">
        <f>IF(metadata!Q587="",FALSE,TRUE)</f>
        <v>0</v>
      </c>
      <c r="BC587" t="b">
        <f>OR(AND(IF(metadata!R587="",FALSE,TRUE),OR(EXACT(metadata!R587,"missing: not collected"),EXACT(metadata!R587,"missing: not provided"),EXACT(metadata!R587,"missing: restricted access"))),AND(IF(metadata!R587="",FALSE,ISNUMBER(VALUE(metadata!R587))),metadata!R587&gt;=-90,metadata!R587&lt;=90))</f>
        <v>0</v>
      </c>
      <c r="BD587" t="b">
        <f>AND(IF(metadata!S587="",FALSE,TRUE),EXACT(metadata!S587,"Decimal degrees"))</f>
        <v>0</v>
      </c>
      <c r="BE587" t="b">
        <f>OR(AND(IF(metadata!T587="",FALSE,TRUE),OR(EXACT(metadata!T587,"missing: not collected"),EXACT(metadata!T587,"missing: not provided"),EXACT(metadata!T587,"missing: restricted access"))),AND(IF(metadata!T587="",FALSE,ISNUMBER(VALUE(metadata!T587))),metadata!T587&gt;=-180,metadata!T587&lt;=180))</f>
        <v>0</v>
      </c>
      <c r="BF587" t="b">
        <f>AND(IF(metadata!U587="",FALSE,TRUE),EXACT(metadata!U587,"Decimal degrees"))</f>
        <v>0</v>
      </c>
      <c r="BG587" t="b">
        <f>IF(metadata!V587="",FALSE,TRUE)</f>
        <v>0</v>
      </c>
      <c r="BH587" t="b">
        <f>OR(AND(IF(metadata!W587="",FALSE,TRUE),OR(EXACT(metadata!W587,"missing: not collected"),EXACT(metadata!W587,"missing: not provided"),EXACT(metadata!W587,"missing: restricted access"))),AND(IF(metadata!W587="",FALSE,TRUE),OR(EXACT(metadata!W587,"TRUE"),EXACT(metadata!W587,"FALSE"))))</f>
        <v>0</v>
      </c>
      <c r="BI587" t="b">
        <f>AND(IF(metadata!X587="",FALSE,TRUE),EXACT(metadata!X587,"other"))</f>
        <v>0</v>
      </c>
      <c r="BJ587" t="b">
        <f>IF(metadata!Y587="",FALSE,TRUE)</f>
        <v>0</v>
      </c>
      <c r="BK587" t="b">
        <f>OR(AND(IF(metadata!Z587="",FALSE,TRUE),OR(EXACT(metadata!Z587,"missing: not collected"),EXACT(metadata!Z587,"missing: not provided"))),AND(IF(metadata!Z587="",FALSE,IF(ISERROR(INT(metadata!Z587)),FALSE,INT(metadata!Z587)=metadata!Z587)),metadata!Z587&gt;0))</f>
        <v>0</v>
      </c>
      <c r="BL587" t="b">
        <f>AND(IF(metadata!AA587="",FALSE,TRUE),EXACT(metadata!AA587,"Not applicable"))</f>
        <v>0</v>
      </c>
      <c r="BM587" t="b">
        <f>IF(metadata!AB587="",FALSE,TRUE)</f>
        <v>0</v>
      </c>
    </row>
    <row r="588" spans="1:65" x14ac:dyDescent="0.2">
      <c r="A588" s="5" t="str">
        <f ca="1">IF(B588=" "," ",HYPERLINK(CONCATENATE("#metadata!",ADDRESS(INDEX($AH$2:$AH$1001,MATCH(ROWS($AF$2:AF588),$AF$2:$AF$1001,0),0),1)),INDEX($AK$2:$AK$1001,MATCH(ROWS($AF$2:AF588),$AF$2:$AF$1001,0),0)))</f>
        <v xml:space="preserve"> </v>
      </c>
      <c r="B588" s="4" t="str">
        <f ca="1">IF(OR(INDEX($AG$2:$AG$1001,MATCH(ROWS($AF$2:AF588),$AF$2:$AF$1001,0),1)&gt;=100000,INDEX($AM$1005:$BM$1005,1,MATCH(COLUMNS($AM$1006:AM1006),$AM$1006:$BM$1006,0))&gt;=100000), " ",IF(INDEX($AM$2:$BM$1001,MATCH(ROWS($AF$2:AF588),$AF$2:$AF$1001,0),MATCH(COLUMNS($AM$1006:AM1006),$AM$1006:$BM$1006,0)), HYPERLINK("#",""), HYPERLINK(CONCATENATE("#metadata!", ADDRESS(INDEX($AH$2:$AH$1001,MATCH(ROWS($AF$2:AF588),$AF$2:$AF$1001,0),0), INDEX($AM$1004:$BM$1004,1,MATCH(COLUMNS($AM$1006:AM1006),$AM$1006:$BM$1006,0)))),"Fix")))</f>
        <v xml:space="preserve"> </v>
      </c>
      <c r="C588" s="4" t="str">
        <f ca="1">IF(OR(INDEX($AG$2:$AG$1001,MATCH(ROWS($AF$2:AF588),$AF$2:$AF$1001,0),1)&gt;=100000,INDEX($AM$1005:$BM$1005,1,MATCH(COLUMNS($AM$1006:AN1006),$AM$1006:$BM$1006,0))&gt;=100000), " ",IF(INDEX($AM$2:$BM$1001,MATCH(ROWS($AF$2:AF588),$AF$2:$AF$1001,0),MATCH(COLUMNS($AM$1006:AN1006),$AM$1006:$BM$1006,0)), HYPERLINK("#",""), HYPERLINK(CONCATENATE("#metadata!", ADDRESS(INDEX($AH$2:$AH$1001,MATCH(ROWS($AF$2:AF588),$AF$2:$AF$1001,0),0), INDEX($AM$1004:$BM$1004,1,MATCH(COLUMNS($AM$1006:AN1006),$AM$1006:$BM$1006,0)))),"Fix")))</f>
        <v xml:space="preserve"> </v>
      </c>
      <c r="D588" s="4" t="str">
        <f ca="1">IF(OR(INDEX($AG$2:$AG$1001,MATCH(ROWS($AF$2:AF588),$AF$2:$AF$1001,0),1)&gt;=100000,INDEX($AM$1005:$BM$1005,1,MATCH(COLUMNS($AM$1006:AO1006),$AM$1006:$BM$1006,0))&gt;=100000), " ",IF(INDEX($AM$2:$BM$1001,MATCH(ROWS($AF$2:AF588),$AF$2:$AF$1001,0),MATCH(COLUMNS($AM$1006:AO1006),$AM$1006:$BM$1006,0)), HYPERLINK("#",""), HYPERLINK(CONCATENATE("#metadata!", ADDRESS(INDEX($AH$2:$AH$1001,MATCH(ROWS($AF$2:AF588),$AF$2:$AF$1001,0),0), INDEX($AM$1004:$BM$1004,1,MATCH(COLUMNS($AM$1006:AO1006),$AM$1006:$BM$1006,0)))),"Fix")))</f>
        <v xml:space="preserve"> </v>
      </c>
      <c r="E588" s="4" t="str">
        <f ca="1">IF(OR(INDEX($AG$2:$AG$1001,MATCH(ROWS($AF$2:AF588),$AF$2:$AF$1001,0),1)&gt;=100000,INDEX($AM$1005:$BM$1005,1,MATCH(COLUMNS($AM$1006:AP1006),$AM$1006:$BM$1006,0))&gt;=100000), " ",IF(INDEX($AM$2:$BM$1001,MATCH(ROWS($AF$2:AF588),$AF$2:$AF$1001,0),MATCH(COLUMNS($AM$1006:AP1006),$AM$1006:$BM$1006,0)), HYPERLINK("#",""), HYPERLINK(CONCATENATE("#metadata!", ADDRESS(INDEX($AH$2:$AH$1001,MATCH(ROWS($AF$2:AF588),$AF$2:$AF$1001,0),0), INDEX($AM$1004:$BM$1004,1,MATCH(COLUMNS($AM$1006:AP1006),$AM$1006:$BM$1006,0)))),"Fix")))</f>
        <v xml:space="preserve"> </v>
      </c>
      <c r="F588" s="4" t="str">
        <f ca="1">IF(OR(INDEX($AG$2:$AG$1001,MATCH(ROWS($AF$2:AF588),$AF$2:$AF$1001,0),1)&gt;=100000,INDEX($AM$1005:$BM$1005,1,MATCH(COLUMNS($AM$1006:AQ1006),$AM$1006:$BM$1006,0))&gt;=100000), " ",IF(INDEX($AM$2:$BM$1001,MATCH(ROWS($AF$2:AF588),$AF$2:$AF$1001,0),MATCH(COLUMNS($AM$1006:AQ1006),$AM$1006:$BM$1006,0)), HYPERLINK("#",""), HYPERLINK(CONCATENATE("#metadata!", ADDRESS(INDEX($AH$2:$AH$1001,MATCH(ROWS($AF$2:AF588),$AF$2:$AF$1001,0),0), INDEX($AM$1004:$BM$1004,1,MATCH(COLUMNS($AM$1006:AQ1006),$AM$1006:$BM$1006,0)))),"Fix")))</f>
        <v xml:space="preserve"> </v>
      </c>
      <c r="G588" s="4" t="str">
        <f ca="1">IF(OR(INDEX($AG$2:$AG$1001,MATCH(ROWS($AF$2:AF588),$AF$2:$AF$1001,0),1)&gt;=100000,INDEX($AM$1005:$BM$1005,1,MATCH(COLUMNS($AM$1006:AR1006),$AM$1006:$BM$1006,0))&gt;=100000), " ",IF(INDEX($AM$2:$BM$1001,MATCH(ROWS($AF$2:AF588),$AF$2:$AF$1001,0),MATCH(COLUMNS($AM$1006:AR1006),$AM$1006:$BM$1006,0)), HYPERLINK("#",""), HYPERLINK(CONCATENATE("#metadata!", ADDRESS(INDEX($AH$2:$AH$1001,MATCH(ROWS($AF$2:AF588),$AF$2:$AF$1001,0),0), INDEX($AM$1004:$BM$1004,1,MATCH(COLUMNS($AM$1006:AR1006),$AM$1006:$BM$1006,0)))),"Fix")))</f>
        <v xml:space="preserve"> </v>
      </c>
      <c r="H588" s="4" t="str">
        <f ca="1">IF(OR(INDEX($AG$2:$AG$1001,MATCH(ROWS($AF$2:AF588),$AF$2:$AF$1001,0),1)&gt;=100000,INDEX($AM$1005:$BM$1005,1,MATCH(COLUMNS($AM$1006:AS1006),$AM$1006:$BM$1006,0))&gt;=100000), " ",IF(INDEX($AM$2:$BM$1001,MATCH(ROWS($AF$2:AF588),$AF$2:$AF$1001,0),MATCH(COLUMNS($AM$1006:AS1006),$AM$1006:$BM$1006,0)), HYPERLINK("#",""), HYPERLINK(CONCATENATE("#metadata!", ADDRESS(INDEX($AH$2:$AH$1001,MATCH(ROWS($AF$2:AF588),$AF$2:$AF$1001,0),0), INDEX($AM$1004:$BM$1004,1,MATCH(COLUMNS($AM$1006:AS1006),$AM$1006:$BM$1006,0)))),"Fix")))</f>
        <v xml:space="preserve"> </v>
      </c>
      <c r="I588" s="4" t="str">
        <f ca="1">IF(OR(INDEX($AG$2:$AG$1001,MATCH(ROWS($AF$2:AF588),$AF$2:$AF$1001,0),1)&gt;=100000,INDEX($AM$1005:$BM$1005,1,MATCH(COLUMNS($AM$1006:AT1006),$AM$1006:$BM$1006,0))&gt;=100000), " ",IF(INDEX($AM$2:$BM$1001,MATCH(ROWS($AF$2:AF588),$AF$2:$AF$1001,0),MATCH(COLUMNS($AM$1006:AT1006),$AM$1006:$BM$1006,0)), HYPERLINK("#",""), HYPERLINK(CONCATENATE("#metadata!", ADDRESS(INDEX($AH$2:$AH$1001,MATCH(ROWS($AF$2:AF588),$AF$2:$AF$1001,0),0), INDEX($AM$1004:$BM$1004,1,MATCH(COLUMNS($AM$1006:AT1006),$AM$1006:$BM$1006,0)))),"Fix")))</f>
        <v xml:space="preserve"> </v>
      </c>
      <c r="J588" s="4" t="str">
        <f ca="1">IF(OR(INDEX($AG$2:$AG$1001,MATCH(ROWS($AF$2:AF588),$AF$2:$AF$1001,0),1)&gt;=100000,INDEX($AM$1005:$BM$1005,1,MATCH(COLUMNS($AM$1006:AU1006),$AM$1006:$BM$1006,0))&gt;=100000), " ",IF(INDEX($AM$2:$BM$1001,MATCH(ROWS($AF$2:AF588),$AF$2:$AF$1001,0),MATCH(COLUMNS($AM$1006:AU1006),$AM$1006:$BM$1006,0)), HYPERLINK("#",""), HYPERLINK(CONCATENATE("#metadata!", ADDRESS(INDEX($AH$2:$AH$1001,MATCH(ROWS($AF$2:AF588),$AF$2:$AF$1001,0),0), INDEX($AM$1004:$BM$1004,1,MATCH(COLUMNS($AM$1006:AU1006),$AM$1006:$BM$1006,0)))),"Fix")))</f>
        <v xml:space="preserve"> </v>
      </c>
      <c r="K588" s="4" t="str">
        <f ca="1">IF(OR(INDEX($AG$2:$AG$1001,MATCH(ROWS($AF$2:AF588),$AF$2:$AF$1001,0),1)&gt;=100000,INDEX($AM$1005:$BM$1005,1,MATCH(COLUMNS($AM$1006:AV1006),$AM$1006:$BM$1006,0))&gt;=100000), " ",IF(INDEX($AM$2:$BM$1001,MATCH(ROWS($AF$2:AF588),$AF$2:$AF$1001,0),MATCH(COLUMNS($AM$1006:AV1006),$AM$1006:$BM$1006,0)), HYPERLINK("#",""), HYPERLINK(CONCATENATE("#metadata!", ADDRESS(INDEX($AH$2:$AH$1001,MATCH(ROWS($AF$2:AF588),$AF$2:$AF$1001,0),0), INDEX($AM$1004:$BM$1004,1,MATCH(COLUMNS($AM$1006:AV1006),$AM$1006:$BM$1006,0)))),"Fix")))</f>
        <v xml:space="preserve"> </v>
      </c>
      <c r="L588" s="4" t="str">
        <f ca="1">IF(OR(INDEX($AG$2:$AG$1001,MATCH(ROWS($AF$2:AF588),$AF$2:$AF$1001,0),1)&gt;=100000,INDEX($AM$1005:$BM$1005,1,MATCH(COLUMNS($AM$1006:AW1006),$AM$1006:$BM$1006,0))&gt;=100000), " ",IF(INDEX($AM$2:$BM$1001,MATCH(ROWS($AF$2:AF588),$AF$2:$AF$1001,0),MATCH(COLUMNS($AM$1006:AW1006),$AM$1006:$BM$1006,0)), HYPERLINK("#",""), HYPERLINK(CONCATENATE("#metadata!", ADDRESS(INDEX($AH$2:$AH$1001,MATCH(ROWS($AF$2:AF588),$AF$2:$AF$1001,0),0), INDEX($AM$1004:$BM$1004,1,MATCH(COLUMNS($AM$1006:AW1006),$AM$1006:$BM$1006,0)))),"Fix")))</f>
        <v xml:space="preserve"> </v>
      </c>
      <c r="M588" s="4" t="str">
        <f ca="1">IF(OR(INDEX($AG$2:$AG$1001,MATCH(ROWS($AF$2:AF588),$AF$2:$AF$1001,0),1)&gt;=100000,INDEX($AM$1005:$BM$1005,1,MATCH(COLUMNS($AM$1006:AX1006),$AM$1006:$BM$1006,0))&gt;=100000), " ",IF(INDEX($AM$2:$BM$1001,MATCH(ROWS($AF$2:AF588),$AF$2:$AF$1001,0),MATCH(COLUMNS($AM$1006:AX1006),$AM$1006:$BM$1006,0)), HYPERLINK("#",""), HYPERLINK(CONCATENATE("#metadata!", ADDRESS(INDEX($AH$2:$AH$1001,MATCH(ROWS($AF$2:AF588),$AF$2:$AF$1001,0),0), INDEX($AM$1004:$BM$1004,1,MATCH(COLUMNS($AM$1006:AX1006),$AM$1006:$BM$1006,0)))),"Fix")))</f>
        <v xml:space="preserve"> </v>
      </c>
      <c r="N588" s="4" t="str">
        <f ca="1">IF(OR(INDEX($AG$2:$AG$1001,MATCH(ROWS($AF$2:AF588),$AF$2:$AF$1001,0),1)&gt;=100000,INDEX($AM$1005:$BM$1005,1,MATCH(COLUMNS($AM$1006:AY1006),$AM$1006:$BM$1006,0))&gt;=100000), " ",IF(INDEX($AM$2:$BM$1001,MATCH(ROWS($AF$2:AF588),$AF$2:$AF$1001,0),MATCH(COLUMNS($AM$1006:AY1006),$AM$1006:$BM$1006,0)), HYPERLINK("#",""), HYPERLINK(CONCATENATE("#metadata!", ADDRESS(INDEX($AH$2:$AH$1001,MATCH(ROWS($AF$2:AF588),$AF$2:$AF$1001,0),0), INDEX($AM$1004:$BM$1004,1,MATCH(COLUMNS($AM$1006:AY1006),$AM$1006:$BM$1006,0)))),"Fix")))</f>
        <v xml:space="preserve"> </v>
      </c>
      <c r="O588" s="4" t="str">
        <f ca="1">IF(OR(INDEX($AG$2:$AG$1001,MATCH(ROWS($AF$2:AF588),$AF$2:$AF$1001,0),1)&gt;=100000,INDEX($AM$1005:$BM$1005,1,MATCH(COLUMNS($AM$1006:AZ1006),$AM$1006:$BM$1006,0))&gt;=100000), " ",IF(INDEX($AM$2:$BM$1001,MATCH(ROWS($AF$2:AF588),$AF$2:$AF$1001,0),MATCH(COLUMNS($AM$1006:AZ1006),$AM$1006:$BM$1006,0)), HYPERLINK("#",""), HYPERLINK(CONCATENATE("#metadata!", ADDRESS(INDEX($AH$2:$AH$1001,MATCH(ROWS($AF$2:AF588),$AF$2:$AF$1001,0),0), INDEX($AM$1004:$BM$1004,1,MATCH(COLUMNS($AM$1006:AZ1006),$AM$1006:$BM$1006,0)))),"Fix")))</f>
        <v xml:space="preserve"> </v>
      </c>
      <c r="P588" s="4" t="str">
        <f ca="1">IF(OR(INDEX($AG$2:$AG$1001,MATCH(ROWS($AF$2:AF588),$AF$2:$AF$1001,0),1)&gt;=100000,INDEX($AM$1005:$BM$1005,1,MATCH(COLUMNS($AM$1006:BA1006),$AM$1006:$BM$1006,0))&gt;=100000), " ",IF(INDEX($AM$2:$BM$1001,MATCH(ROWS($AF$2:AF588),$AF$2:$AF$1001,0),MATCH(COLUMNS($AM$1006:BA1006),$AM$1006:$BM$1006,0)), HYPERLINK("#",""), HYPERLINK(CONCATENATE("#metadata!", ADDRESS(INDEX($AH$2:$AH$1001,MATCH(ROWS($AF$2:AF588),$AF$2:$AF$1001,0),0), INDEX($AM$1004:$BM$1004,1,MATCH(COLUMNS($AM$1006:BA1006),$AM$1006:$BM$1006,0)))),"Fix")))</f>
        <v xml:space="preserve"> </v>
      </c>
      <c r="Q588" s="4" t="str">
        <f ca="1">IF(OR(INDEX($AG$2:$AG$1001,MATCH(ROWS($AF$2:AF588),$AF$2:$AF$1001,0),1)&gt;=100000,INDEX($AM$1005:$BM$1005,1,MATCH(COLUMNS($AM$1006:BB1006),$AM$1006:$BM$1006,0))&gt;=100000), " ",IF(INDEX($AM$2:$BM$1001,MATCH(ROWS($AF$2:AF588),$AF$2:$AF$1001,0),MATCH(COLUMNS($AM$1006:BB1006),$AM$1006:$BM$1006,0)), HYPERLINK("#",""), HYPERLINK(CONCATENATE("#metadata!", ADDRESS(INDEX($AH$2:$AH$1001,MATCH(ROWS($AF$2:AF588),$AF$2:$AF$1001,0),0), INDEX($AM$1004:$BM$1004,1,MATCH(COLUMNS($AM$1006:BB1006),$AM$1006:$BM$1006,0)))),"Fix")))</f>
        <v xml:space="preserve"> </v>
      </c>
      <c r="R588" s="4" t="str">
        <f ca="1">IF(OR(INDEX($AG$2:$AG$1001,MATCH(ROWS($AF$2:AF588),$AF$2:$AF$1001,0),1)&gt;=100000,INDEX($AM$1005:$BM$1005,1,MATCH(COLUMNS($AM$1006:BC1006),$AM$1006:$BM$1006,0))&gt;=100000), " ",IF(INDEX($AM$2:$BM$1001,MATCH(ROWS($AF$2:AF588),$AF$2:$AF$1001,0),MATCH(COLUMNS($AM$1006:BC1006),$AM$1006:$BM$1006,0)), HYPERLINK("#",""), HYPERLINK(CONCATENATE("#metadata!", ADDRESS(INDEX($AH$2:$AH$1001,MATCH(ROWS($AF$2:AF588),$AF$2:$AF$1001,0),0), INDEX($AM$1004:$BM$1004,1,MATCH(COLUMNS($AM$1006:BC1006),$AM$1006:$BM$1006,0)))),"Fix")))</f>
        <v xml:space="preserve"> </v>
      </c>
      <c r="S588" s="4" t="str">
        <f ca="1">IF(OR(INDEX($AG$2:$AG$1001,MATCH(ROWS($AF$2:AF588),$AF$2:$AF$1001,0),1)&gt;=100000,INDEX($AM$1005:$BM$1005,1,MATCH(COLUMNS($AM$1006:BD1006),$AM$1006:$BM$1006,0))&gt;=100000), " ",IF(INDEX($AM$2:$BM$1001,MATCH(ROWS($AF$2:AF588),$AF$2:$AF$1001,0),MATCH(COLUMNS($AM$1006:BD1006),$AM$1006:$BM$1006,0)), HYPERLINK("#",""), HYPERLINK(CONCATENATE("#metadata!", ADDRESS(INDEX($AH$2:$AH$1001,MATCH(ROWS($AF$2:AF588),$AF$2:$AF$1001,0),0), INDEX($AM$1004:$BM$1004,1,MATCH(COLUMNS($AM$1006:BD1006),$AM$1006:$BM$1006,0)))),"Fix")))</f>
        <v xml:space="preserve"> </v>
      </c>
      <c r="T588" s="4" t="str">
        <f ca="1">IF(OR(INDEX($AG$2:$AG$1001,MATCH(ROWS($AF$2:AF588),$AF$2:$AF$1001,0),1)&gt;=100000,INDEX($AM$1005:$BM$1005,1,MATCH(COLUMNS($AM$1006:BE1006),$AM$1006:$BM$1006,0))&gt;=100000), " ",IF(INDEX($AM$2:$BM$1001,MATCH(ROWS($AF$2:AF588),$AF$2:$AF$1001,0),MATCH(COLUMNS($AM$1006:BE1006),$AM$1006:$BM$1006,0)), HYPERLINK("#",""), HYPERLINK(CONCATENATE("#metadata!", ADDRESS(INDEX($AH$2:$AH$1001,MATCH(ROWS($AF$2:AF588),$AF$2:$AF$1001,0),0), INDEX($AM$1004:$BM$1004,1,MATCH(COLUMNS($AM$1006:BE1006),$AM$1006:$BM$1006,0)))),"Fix")))</f>
        <v xml:space="preserve"> </v>
      </c>
      <c r="U588" s="4" t="str">
        <f ca="1">IF(OR(INDEX($AG$2:$AG$1001,MATCH(ROWS($AF$2:AF588),$AF$2:$AF$1001,0),1)&gt;=100000,INDEX($AM$1005:$BM$1005,1,MATCH(COLUMNS($AM$1006:BF1006),$AM$1006:$BM$1006,0))&gt;=100000), " ",IF(INDEX($AM$2:$BM$1001,MATCH(ROWS($AF$2:AF588),$AF$2:$AF$1001,0),MATCH(COLUMNS($AM$1006:BF1006),$AM$1006:$BM$1006,0)), HYPERLINK("#",""), HYPERLINK(CONCATENATE("#metadata!", ADDRESS(INDEX($AH$2:$AH$1001,MATCH(ROWS($AF$2:AF588),$AF$2:$AF$1001,0),0), INDEX($AM$1004:$BM$1004,1,MATCH(COLUMNS($AM$1006:BF1006),$AM$1006:$BM$1006,0)))),"Fix")))</f>
        <v xml:space="preserve"> </v>
      </c>
      <c r="V588" s="4" t="str">
        <f ca="1">IF(OR(INDEX($AG$2:$AG$1001,MATCH(ROWS($AF$2:AF588),$AF$2:$AF$1001,0),1)&gt;=100000,INDEX($AM$1005:$BM$1005,1,MATCH(COLUMNS($AM$1006:BG1006),$AM$1006:$BM$1006,0))&gt;=100000), " ",IF(INDEX($AM$2:$BM$1001,MATCH(ROWS($AF$2:AF588),$AF$2:$AF$1001,0),MATCH(COLUMNS($AM$1006:BG1006),$AM$1006:$BM$1006,0)), HYPERLINK("#",""), HYPERLINK(CONCATENATE("#metadata!", ADDRESS(INDEX($AH$2:$AH$1001,MATCH(ROWS($AF$2:AF588),$AF$2:$AF$1001,0),0), INDEX($AM$1004:$BM$1004,1,MATCH(COLUMNS($AM$1006:BG1006),$AM$1006:$BM$1006,0)))),"Fix")))</f>
        <v xml:space="preserve"> </v>
      </c>
      <c r="W588" s="4" t="str">
        <f ca="1">IF(OR(INDEX($AG$2:$AG$1001,MATCH(ROWS($AF$2:AF588),$AF$2:$AF$1001,0),1)&gt;=100000,INDEX($AM$1005:$BM$1005,1,MATCH(COLUMNS($AM$1006:BH1006),$AM$1006:$BM$1006,0))&gt;=100000), " ",IF(INDEX($AM$2:$BM$1001,MATCH(ROWS($AF$2:AF588),$AF$2:$AF$1001,0),MATCH(COLUMNS($AM$1006:BH1006),$AM$1006:$BM$1006,0)), HYPERLINK("#",""), HYPERLINK(CONCATENATE("#metadata!", ADDRESS(INDEX($AH$2:$AH$1001,MATCH(ROWS($AF$2:AF588),$AF$2:$AF$1001,0),0), INDEX($AM$1004:$BM$1004,1,MATCH(COLUMNS($AM$1006:BH1006),$AM$1006:$BM$1006,0)))),"Fix")))</f>
        <v xml:space="preserve"> </v>
      </c>
      <c r="X588" s="4" t="str">
        <f ca="1">IF(OR(INDEX($AG$2:$AG$1001,MATCH(ROWS($AF$2:AF588),$AF$2:$AF$1001,0),1)&gt;=100000,INDEX($AM$1005:$BM$1005,1,MATCH(COLUMNS($AM$1006:BI1006),$AM$1006:$BM$1006,0))&gt;=100000), " ",IF(INDEX($AM$2:$BM$1001,MATCH(ROWS($AF$2:AF588),$AF$2:$AF$1001,0),MATCH(COLUMNS($AM$1006:BI1006),$AM$1006:$BM$1006,0)), HYPERLINK("#",""), HYPERLINK(CONCATENATE("#metadata!", ADDRESS(INDEX($AH$2:$AH$1001,MATCH(ROWS($AF$2:AF588),$AF$2:$AF$1001,0),0), INDEX($AM$1004:$BM$1004,1,MATCH(COLUMNS($AM$1006:BI1006),$AM$1006:$BM$1006,0)))),"Fix")))</f>
        <v xml:space="preserve"> </v>
      </c>
      <c r="Y588" s="4" t="str">
        <f ca="1">IF(OR(INDEX($AG$2:$AG$1001,MATCH(ROWS($AF$2:AF588),$AF$2:$AF$1001,0),1)&gt;=100000,INDEX($AM$1005:$BM$1005,1,MATCH(COLUMNS($AM$1006:BJ1006),$AM$1006:$BM$1006,0))&gt;=100000), " ",IF(INDEX($AM$2:$BM$1001,MATCH(ROWS($AF$2:AF588),$AF$2:$AF$1001,0),MATCH(COLUMNS($AM$1006:BJ1006),$AM$1006:$BM$1006,0)), HYPERLINK("#",""), HYPERLINK(CONCATENATE("#metadata!", ADDRESS(INDEX($AH$2:$AH$1001,MATCH(ROWS($AF$2:AF588),$AF$2:$AF$1001,0),0), INDEX($AM$1004:$BM$1004,1,MATCH(COLUMNS($AM$1006:BJ1006),$AM$1006:$BM$1006,0)))),"Fix")))</f>
        <v xml:space="preserve"> </v>
      </c>
      <c r="Z588" s="4" t="str">
        <f ca="1">IF(OR(INDEX($AG$2:$AG$1001,MATCH(ROWS($AF$2:AF588),$AF$2:$AF$1001,0),1)&gt;=100000,INDEX($AM$1005:$BM$1005,1,MATCH(COLUMNS($AM$1006:BK1006),$AM$1006:$BM$1006,0))&gt;=100000), " ",IF(INDEX($AM$2:$BM$1001,MATCH(ROWS($AF$2:AF588),$AF$2:$AF$1001,0),MATCH(COLUMNS($AM$1006:BK1006),$AM$1006:$BM$1006,0)), HYPERLINK("#",""), HYPERLINK(CONCATENATE("#metadata!", ADDRESS(INDEX($AH$2:$AH$1001,MATCH(ROWS($AF$2:AF588),$AF$2:$AF$1001,0),0), INDEX($AM$1004:$BM$1004,1,MATCH(COLUMNS($AM$1006:BK1006),$AM$1006:$BM$1006,0)))),"Fix")))</f>
        <v xml:space="preserve"> </v>
      </c>
      <c r="AA588" s="4" t="str">
        <f ca="1">IF(OR(INDEX($AG$2:$AG$1001,MATCH(ROWS($AF$2:AF588),$AF$2:$AF$1001,0),1)&gt;=100000,INDEX($AM$1005:$BM$1005,1,MATCH(COLUMNS($AM$1006:BL1006),$AM$1006:$BM$1006,0))&gt;=100000), " ",IF(INDEX($AM$2:$BM$1001,MATCH(ROWS($AF$2:AF588),$AF$2:$AF$1001,0),MATCH(COLUMNS($AM$1006:BL1006),$AM$1006:$BM$1006,0)), HYPERLINK("#",""), HYPERLINK(CONCATENATE("#metadata!", ADDRESS(INDEX($AH$2:$AH$1001,MATCH(ROWS($AF$2:AF588),$AF$2:$AF$1001,0),0), INDEX($AM$1004:$BM$1004,1,MATCH(COLUMNS($AM$1006:BL1006),$AM$1006:$BM$1006,0)))),"Fix")))</f>
        <v xml:space="preserve"> </v>
      </c>
      <c r="AB588" s="4" t="str">
        <f ca="1">IF(OR(INDEX($AG$2:$AG$1001,MATCH(ROWS($AF$2:AF588),$AF$2:$AF$1001,0),1)&gt;=100000,INDEX($AM$1005:$BM$1005,1,MATCH(COLUMNS($AM$1006:BM1006),$AM$1006:$BM$1006,0))&gt;=100000), " ",IF(INDEX($AM$2:$BM$1001,MATCH(ROWS($AF$2:AF588),$AF$2:$AF$1001,0),MATCH(COLUMNS($AM$1006:BM1006),$AM$1006:$BM$1006,0)), HYPERLINK("#",""), HYPERLINK(CONCATENATE("#metadata!", ADDRESS(INDEX($AH$2:$AH$1001,MATCH(ROWS($AF$2:AF588),$AF$2:$AF$1001,0),0), INDEX($AM$1004:$BM$1004,1,MATCH(COLUMNS($AM$1006:BM1006),$AM$1006:$BM$1006,0)))),"Fix")))</f>
        <v xml:space="preserve"> </v>
      </c>
      <c r="AF588">
        <v>587</v>
      </c>
      <c r="AG588">
        <v>100588</v>
      </c>
      <c r="AH588">
        <v>588</v>
      </c>
      <c r="AI588" t="b">
        <f t="shared" si="9"/>
        <v>1</v>
      </c>
      <c r="AJ588" t="b">
        <f>COUNTBLANK(metadata!B588:AB588)=COLUMNS(metadata!B588:AB588)</f>
        <v>1</v>
      </c>
      <c r="AK588" t="str">
        <v/>
      </c>
      <c r="AM588" t="b">
        <f ca="1">AND(IF(metadata!B588="",FALSE,TRUE),COUNTIF(metadata!B:B, metadata!B588) = 1,NOT(ISERROR(SUMPRODUCT(SEARCH(MID(metadata!B588,ROW(INDIRECT("1:"&amp;LEN(metadata!B588))), 1),"0123456789abcdefghijklmnopqrstuvwxyzABCDEFGHIJKLMNOPQRSTUVWXYZ.")))))</f>
        <v>0</v>
      </c>
      <c r="AN588" t="b">
        <f ca="1">OR(AND(IF(metadata!C588="",FALSE,TRUE),OR(EXACT(metadata!C588,"missing: not collected"),EXACT(metadata!C588,"missing: not provided"),EXACT(metadata!C588,"missing: restricted access"))),AND(IF(metadata!C588="",FALSE,TRUE),AND(AND(IFERROR(INT(LEFT(metadata!C588,4))&gt;1900,FALSE),IFERROR(INT(LEFT(metadata!C588,4))&lt;=YEAR(NOW()),FALSE)), OR(MID(metadata!C588,5,1)="", AND(AND(MID(metadata!C588,5,1)="-",IFERROR(INT(MID(metadata!C588,6,1))&gt;=0,FALSE),IFERROR(INT(MID(metadata!C588,6,1))&lt;=1,FALSE),NOT(MID(metadata!C588,7,1)=""),IFERROR(INT(MID(metadata!C588,6,2))&gt;=1,FALSE),IFERROR(INT(MID(metadata!C588,6,2))&lt;=12,FALSE)), OR(MID(metadata!C588,8,1)="", AND(AND(MID(metadata!C588,8,1)="-",IFERROR(INT(MID(metadata!C588,9,1))&gt;=0,FALSE),IFERROR(INT(MID(metadata!C588,9,1))&lt;=3,FALSE),NOT(MID(metadata!C588,10,1)=""),IFERROR(INT(MID(metadata!C588,9,2))&gt;=1,FALSE),IFERROR(INT(MID(metadata!C588,9,2))&lt;=31,FALSE)), OR(MID(metadata!C588,11,1)="", AND(AND(MID(metadata!C588,11,1)=" ",IFERROR(INT(MID(metadata!C588,12,1))&gt;=0,FALSE),IFERROR(INT(MID(metadata!C588,12,1))&lt;=2,FALSE),NOT(MID(metadata!C588,13,1)=""),IFERROR(INT(MID(metadata!C588,12,2))&gt;=0,FALSE),IFERROR(INT(MID(metadata!C588,12,2))&lt;=23,FALSE)), OR(MID(metadata!C588,14,1)="", AND(AND(MID(metadata!C588,14,1)=":",IFERROR(INT(MID(metadata!C588,15,1))&gt;=0,FALSE),IFERROR(INT(MID(metadata!C588,15,1))&lt;=5,FALSE),NOT(MID(metadata!C588,16,1)=""),IFERROR(INT(MID(metadata!C588,15,2))&gt;=0,FALSE),IFERROR(INT(MID(metadata!C588,15,2))&lt;=59,FALSE)), OR(MID(metadata!C588,17,1)="", AND(AND(MID(metadata!C588,17,1)=":",IFERROR(INT(MID(metadata!C588,18,1))&gt;=0,FALSE),IFERROR(INT(MID(metadata!C588,18,1))&lt;=5,FALSE),NOT(MID(metadata!C588,19,1)=""),IFERROR(INT(MID(metadata!C588,18,2))&gt;=0,FALSE),IFERROR(INT(MID(metadata!C588,18,2))&lt;=59,FALSE)), LEN(metadata!C588)&lt;=19)))))))))))))</f>
        <v>0</v>
      </c>
      <c r="AO588" t="b">
        <f>AND(IF(metadata!D588="",FALSE,TRUE),EXACT(metadata!D588,"Not applicable"))</f>
        <v>0</v>
      </c>
      <c r="AP588" t="b">
        <f>IF(metadata!E588="",FALSE,TRUE)</f>
        <v>0</v>
      </c>
      <c r="AQ588" t="b">
        <f>OR(AND(IF(metadata!F588="",FALSE,TRUE),OR(EXACT(metadata!F588,"missing: not collected"),EXACT(metadata!F588,"missing: not provided"))),AND(IF(metadata!F588="",FALSE,TRUE),OR(EXACT(metadata!F588,"TRUE"),EXACT(metadata!F588,"FALSE"))))</f>
        <v>0</v>
      </c>
      <c r="AR588" t="b">
        <f>OR(AND(IF(metadata!G588="",FALSE,TRUE),OR(EXACT(metadata!G588,"missing: not collected"),EXACT(metadata!G588,"missing: not provided"),EXACT(metadata!G588,"missing: restricted access"))),AND(IF(metadata!G588="",FALSE,ISNUMBER(VALUE(metadata!G588))),metadata!G588&gt;=-413))</f>
        <v>0</v>
      </c>
      <c r="AS588" t="b">
        <f>AND(IF(metadata!H588="",FALSE,TRUE),EXACT(metadata!H588,"meters"))</f>
        <v>0</v>
      </c>
      <c r="AT588" t="b">
        <f>AND(IF(metadata!I588="",FALSE,TRUE),OR(EXACT(metadata!I588,"Host-associated"),EXACT(metadata!I588,"Free-living")))</f>
        <v>0</v>
      </c>
      <c r="AU588" t="b">
        <f>AND(IF(metadata!J588="",FALSE,TRUE),OR(EXACT(metadata!J588,"Animal"),EXACT(metadata!J588,"Fungus"),EXACT(metadata!J588,"Plant"),EXACT(metadata!J588,"Saline"),EXACT(metadata!J588,"Non-saline")))</f>
        <v>0</v>
      </c>
      <c r="AV588" t="b">
        <f>AND(IF(metadata!K588="",FALSE,TRUE),OR(EXACT(metadata!K588,"Plant secretion"),EXACT(metadata!K588,"Plant rhizosphere"),EXACT(metadata!K588,"Plant surface"),EXACT(metadata!K588,"Plant corpus"),EXACT(metadata!K588,"Fungus surface"),EXACT(metadata!K588,"Fungus corpus"),EXACT(metadata!K588,"Animal surface"),EXACT(metadata!K588,"Animal proximal gut"),EXACT(metadata!K588,"Animal corpus"),EXACT(metadata!K588,"Animal distal gut"),EXACT(metadata!K588,"Animal secretion"),EXACT(metadata!K588,"Sub-surface (non-saline)"),EXACT(metadata!K588,"Surface (non-saline)"),EXACT(metadata!K588,"Water (non-saline)"),EXACT(metadata!K588,"Soil (non-saline)"),EXACT(metadata!K588,"Aerosol (non-saline)"),EXACT(metadata!K588,"Sediment (non-saline)"),EXACT(metadata!K588,"Surface (saline)"),EXACT(metadata!K588,"Water (saline)"),EXACT(metadata!K588,"Hypersaline (saline)"),EXACT(metadata!K588,"Aerosol (saline)"),EXACT(metadata!K588,"Sediment (saline)")))</f>
        <v>0</v>
      </c>
      <c r="AW588" t="b">
        <f>IF(metadata!L588="",FALSE,TRUE)</f>
        <v>0</v>
      </c>
      <c r="AX588" t="b">
        <f>IF(metadata!M588="",FALSE,TRUE)</f>
        <v>0</v>
      </c>
      <c r="AY588" t="b">
        <f>IF(metadata!N588="",FALSE,TRUE)</f>
        <v>0</v>
      </c>
      <c r="AZ588" t="b">
        <f>OR(AND(IF(metadata!O588="",FALSE,TRUE),OR(EXACT(metadata!O588,"missing: not collected"),EXACT(metadata!O588,"missing: not provided"),EXACT(metadata!O588,"missing: restricted access"))),AND(IF(metadata!O588="",FALSE,TRUE),OR(EXACT(metadata!O588,"air"),EXACT(metadata!O588,"built environment"),EXACT(metadata!O588,"host-associated"),EXACT(metadata!O588,"human-associated"),EXACT(metadata!O588,"human-skin"),EXACT(metadata!O588,"human-oral"),EXACT(metadata!O588,"human-gut"),EXACT(metadata!O588,"human-vaginal"),EXACT(metadata!O588,"microbial mat/biofilm"),EXACT(metadata!O588,"misc environment"),EXACT(metadata!O588,"plant-associated"),EXACT(metadata!O588,"sediment"),EXACT(metadata!O588,"soil"),EXACT(metadata!O588,"wastewater/sludge"),EXACT(metadata!O588,"water"))))</f>
        <v>0</v>
      </c>
      <c r="BA588" t="b">
        <f>IF(metadata!P588="",FALSE,TRUE)</f>
        <v>0</v>
      </c>
      <c r="BB588" t="b">
        <f>IF(metadata!Q588="",FALSE,TRUE)</f>
        <v>0</v>
      </c>
      <c r="BC588" t="b">
        <f>OR(AND(IF(metadata!R588="",FALSE,TRUE),OR(EXACT(metadata!R588,"missing: not collected"),EXACT(metadata!R588,"missing: not provided"),EXACT(metadata!R588,"missing: restricted access"))),AND(IF(metadata!R588="",FALSE,ISNUMBER(VALUE(metadata!R588))),metadata!R588&gt;=-90,metadata!R588&lt;=90))</f>
        <v>0</v>
      </c>
      <c r="BD588" t="b">
        <f>AND(IF(metadata!S588="",FALSE,TRUE),EXACT(metadata!S588,"Decimal degrees"))</f>
        <v>0</v>
      </c>
      <c r="BE588" t="b">
        <f>OR(AND(IF(metadata!T588="",FALSE,TRUE),OR(EXACT(metadata!T588,"missing: not collected"),EXACT(metadata!T588,"missing: not provided"),EXACT(metadata!T588,"missing: restricted access"))),AND(IF(metadata!T588="",FALSE,ISNUMBER(VALUE(metadata!T588))),metadata!T588&gt;=-180,metadata!T588&lt;=180))</f>
        <v>0</v>
      </c>
      <c r="BF588" t="b">
        <f>AND(IF(metadata!U588="",FALSE,TRUE),EXACT(metadata!U588,"Decimal degrees"))</f>
        <v>0</v>
      </c>
      <c r="BG588" t="b">
        <f>IF(metadata!V588="",FALSE,TRUE)</f>
        <v>0</v>
      </c>
      <c r="BH588" t="b">
        <f>OR(AND(IF(metadata!W588="",FALSE,TRUE),OR(EXACT(metadata!W588,"missing: not collected"),EXACT(metadata!W588,"missing: not provided"),EXACT(metadata!W588,"missing: restricted access"))),AND(IF(metadata!W588="",FALSE,TRUE),OR(EXACT(metadata!W588,"TRUE"),EXACT(metadata!W588,"FALSE"))))</f>
        <v>0</v>
      </c>
      <c r="BI588" t="b">
        <f>AND(IF(metadata!X588="",FALSE,TRUE),EXACT(metadata!X588,"other"))</f>
        <v>0</v>
      </c>
      <c r="BJ588" t="b">
        <f>IF(metadata!Y588="",FALSE,TRUE)</f>
        <v>0</v>
      </c>
      <c r="BK588" t="b">
        <f>OR(AND(IF(metadata!Z588="",FALSE,TRUE),OR(EXACT(metadata!Z588,"missing: not collected"),EXACT(metadata!Z588,"missing: not provided"))),AND(IF(metadata!Z588="",FALSE,IF(ISERROR(INT(metadata!Z588)),FALSE,INT(metadata!Z588)=metadata!Z588)),metadata!Z588&gt;0))</f>
        <v>0</v>
      </c>
      <c r="BL588" t="b">
        <f>AND(IF(metadata!AA588="",FALSE,TRUE),EXACT(metadata!AA588,"Not applicable"))</f>
        <v>0</v>
      </c>
      <c r="BM588" t="b">
        <f>IF(metadata!AB588="",FALSE,TRUE)</f>
        <v>0</v>
      </c>
    </row>
    <row r="589" spans="1:65" x14ac:dyDescent="0.2">
      <c r="A589" s="5" t="str">
        <f ca="1">IF(B589=" "," ",HYPERLINK(CONCATENATE("#metadata!",ADDRESS(INDEX($AH$2:$AH$1001,MATCH(ROWS($AF$2:AF589),$AF$2:$AF$1001,0),0),1)),INDEX($AK$2:$AK$1001,MATCH(ROWS($AF$2:AF589),$AF$2:$AF$1001,0),0)))</f>
        <v xml:space="preserve"> </v>
      </c>
      <c r="B589" s="4" t="str">
        <f ca="1">IF(OR(INDEX($AG$2:$AG$1001,MATCH(ROWS($AF$2:AF589),$AF$2:$AF$1001,0),1)&gt;=100000,INDEX($AM$1005:$BM$1005,1,MATCH(COLUMNS($AM$1006:AM1006),$AM$1006:$BM$1006,0))&gt;=100000), " ",IF(INDEX($AM$2:$BM$1001,MATCH(ROWS($AF$2:AF589),$AF$2:$AF$1001,0),MATCH(COLUMNS($AM$1006:AM1006),$AM$1006:$BM$1006,0)), HYPERLINK("#",""), HYPERLINK(CONCATENATE("#metadata!", ADDRESS(INDEX($AH$2:$AH$1001,MATCH(ROWS($AF$2:AF589),$AF$2:$AF$1001,0),0), INDEX($AM$1004:$BM$1004,1,MATCH(COLUMNS($AM$1006:AM1006),$AM$1006:$BM$1006,0)))),"Fix")))</f>
        <v xml:space="preserve"> </v>
      </c>
      <c r="C589" s="4" t="str">
        <f ca="1">IF(OR(INDEX($AG$2:$AG$1001,MATCH(ROWS($AF$2:AF589),$AF$2:$AF$1001,0),1)&gt;=100000,INDEX($AM$1005:$BM$1005,1,MATCH(COLUMNS($AM$1006:AN1006),$AM$1006:$BM$1006,0))&gt;=100000), " ",IF(INDEX($AM$2:$BM$1001,MATCH(ROWS($AF$2:AF589),$AF$2:$AF$1001,0),MATCH(COLUMNS($AM$1006:AN1006),$AM$1006:$BM$1006,0)), HYPERLINK("#",""), HYPERLINK(CONCATENATE("#metadata!", ADDRESS(INDEX($AH$2:$AH$1001,MATCH(ROWS($AF$2:AF589),$AF$2:$AF$1001,0),0), INDEX($AM$1004:$BM$1004,1,MATCH(COLUMNS($AM$1006:AN1006),$AM$1006:$BM$1006,0)))),"Fix")))</f>
        <v xml:space="preserve"> </v>
      </c>
      <c r="D589" s="4" t="str">
        <f ca="1">IF(OR(INDEX($AG$2:$AG$1001,MATCH(ROWS($AF$2:AF589),$AF$2:$AF$1001,0),1)&gt;=100000,INDEX($AM$1005:$BM$1005,1,MATCH(COLUMNS($AM$1006:AO1006),$AM$1006:$BM$1006,0))&gt;=100000), " ",IF(INDEX($AM$2:$BM$1001,MATCH(ROWS($AF$2:AF589),$AF$2:$AF$1001,0),MATCH(COLUMNS($AM$1006:AO1006),$AM$1006:$BM$1006,0)), HYPERLINK("#",""), HYPERLINK(CONCATENATE("#metadata!", ADDRESS(INDEX($AH$2:$AH$1001,MATCH(ROWS($AF$2:AF589),$AF$2:$AF$1001,0),0), INDEX($AM$1004:$BM$1004,1,MATCH(COLUMNS($AM$1006:AO1006),$AM$1006:$BM$1006,0)))),"Fix")))</f>
        <v xml:space="preserve"> </v>
      </c>
      <c r="E589" s="4" t="str">
        <f ca="1">IF(OR(INDEX($AG$2:$AG$1001,MATCH(ROWS($AF$2:AF589),$AF$2:$AF$1001,0),1)&gt;=100000,INDEX($AM$1005:$BM$1005,1,MATCH(COLUMNS($AM$1006:AP1006),$AM$1006:$BM$1006,0))&gt;=100000), " ",IF(INDEX($AM$2:$BM$1001,MATCH(ROWS($AF$2:AF589),$AF$2:$AF$1001,0),MATCH(COLUMNS($AM$1006:AP1006),$AM$1006:$BM$1006,0)), HYPERLINK("#",""), HYPERLINK(CONCATENATE("#metadata!", ADDRESS(INDEX($AH$2:$AH$1001,MATCH(ROWS($AF$2:AF589),$AF$2:$AF$1001,0),0), INDEX($AM$1004:$BM$1004,1,MATCH(COLUMNS($AM$1006:AP1006),$AM$1006:$BM$1006,0)))),"Fix")))</f>
        <v xml:space="preserve"> </v>
      </c>
      <c r="F589" s="4" t="str">
        <f ca="1">IF(OR(INDEX($AG$2:$AG$1001,MATCH(ROWS($AF$2:AF589),$AF$2:$AF$1001,0),1)&gt;=100000,INDEX($AM$1005:$BM$1005,1,MATCH(COLUMNS($AM$1006:AQ1006),$AM$1006:$BM$1006,0))&gt;=100000), " ",IF(INDEX($AM$2:$BM$1001,MATCH(ROWS($AF$2:AF589),$AF$2:$AF$1001,0),MATCH(COLUMNS($AM$1006:AQ1006),$AM$1006:$BM$1006,0)), HYPERLINK("#",""), HYPERLINK(CONCATENATE("#metadata!", ADDRESS(INDEX($AH$2:$AH$1001,MATCH(ROWS($AF$2:AF589),$AF$2:$AF$1001,0),0), INDEX($AM$1004:$BM$1004,1,MATCH(COLUMNS($AM$1006:AQ1006),$AM$1006:$BM$1006,0)))),"Fix")))</f>
        <v xml:space="preserve"> </v>
      </c>
      <c r="G589" s="4" t="str">
        <f ca="1">IF(OR(INDEX($AG$2:$AG$1001,MATCH(ROWS($AF$2:AF589),$AF$2:$AF$1001,0),1)&gt;=100000,INDEX($AM$1005:$BM$1005,1,MATCH(COLUMNS($AM$1006:AR1006),$AM$1006:$BM$1006,0))&gt;=100000), " ",IF(INDEX($AM$2:$BM$1001,MATCH(ROWS($AF$2:AF589),$AF$2:$AF$1001,0),MATCH(COLUMNS($AM$1006:AR1006),$AM$1006:$BM$1006,0)), HYPERLINK("#",""), HYPERLINK(CONCATENATE("#metadata!", ADDRESS(INDEX($AH$2:$AH$1001,MATCH(ROWS($AF$2:AF589),$AF$2:$AF$1001,0),0), INDEX($AM$1004:$BM$1004,1,MATCH(COLUMNS($AM$1006:AR1006),$AM$1006:$BM$1006,0)))),"Fix")))</f>
        <v xml:space="preserve"> </v>
      </c>
      <c r="H589" s="4" t="str">
        <f ca="1">IF(OR(INDEX($AG$2:$AG$1001,MATCH(ROWS($AF$2:AF589),$AF$2:$AF$1001,0),1)&gt;=100000,INDEX($AM$1005:$BM$1005,1,MATCH(COLUMNS($AM$1006:AS1006),$AM$1006:$BM$1006,0))&gt;=100000), " ",IF(INDEX($AM$2:$BM$1001,MATCH(ROWS($AF$2:AF589),$AF$2:$AF$1001,0),MATCH(COLUMNS($AM$1006:AS1006),$AM$1006:$BM$1006,0)), HYPERLINK("#",""), HYPERLINK(CONCATENATE("#metadata!", ADDRESS(INDEX($AH$2:$AH$1001,MATCH(ROWS($AF$2:AF589),$AF$2:$AF$1001,0),0), INDEX($AM$1004:$BM$1004,1,MATCH(COLUMNS($AM$1006:AS1006),$AM$1006:$BM$1006,0)))),"Fix")))</f>
        <v xml:space="preserve"> </v>
      </c>
      <c r="I589" s="4" t="str">
        <f ca="1">IF(OR(INDEX($AG$2:$AG$1001,MATCH(ROWS($AF$2:AF589),$AF$2:$AF$1001,0),1)&gt;=100000,INDEX($AM$1005:$BM$1005,1,MATCH(COLUMNS($AM$1006:AT1006),$AM$1006:$BM$1006,0))&gt;=100000), " ",IF(INDEX($AM$2:$BM$1001,MATCH(ROWS($AF$2:AF589),$AF$2:$AF$1001,0),MATCH(COLUMNS($AM$1006:AT1006),$AM$1006:$BM$1006,0)), HYPERLINK("#",""), HYPERLINK(CONCATENATE("#metadata!", ADDRESS(INDEX($AH$2:$AH$1001,MATCH(ROWS($AF$2:AF589),$AF$2:$AF$1001,0),0), INDEX($AM$1004:$BM$1004,1,MATCH(COLUMNS($AM$1006:AT1006),$AM$1006:$BM$1006,0)))),"Fix")))</f>
        <v xml:space="preserve"> </v>
      </c>
      <c r="J589" s="4" t="str">
        <f ca="1">IF(OR(INDEX($AG$2:$AG$1001,MATCH(ROWS($AF$2:AF589),$AF$2:$AF$1001,0),1)&gt;=100000,INDEX($AM$1005:$BM$1005,1,MATCH(COLUMNS($AM$1006:AU1006),$AM$1006:$BM$1006,0))&gt;=100000), " ",IF(INDEX($AM$2:$BM$1001,MATCH(ROWS($AF$2:AF589),$AF$2:$AF$1001,0),MATCH(COLUMNS($AM$1006:AU1006),$AM$1006:$BM$1006,0)), HYPERLINK("#",""), HYPERLINK(CONCATENATE("#metadata!", ADDRESS(INDEX($AH$2:$AH$1001,MATCH(ROWS($AF$2:AF589),$AF$2:$AF$1001,0),0), INDEX($AM$1004:$BM$1004,1,MATCH(COLUMNS($AM$1006:AU1006),$AM$1006:$BM$1006,0)))),"Fix")))</f>
        <v xml:space="preserve"> </v>
      </c>
      <c r="K589" s="4" t="str">
        <f ca="1">IF(OR(INDEX($AG$2:$AG$1001,MATCH(ROWS($AF$2:AF589),$AF$2:$AF$1001,0),1)&gt;=100000,INDEX($AM$1005:$BM$1005,1,MATCH(COLUMNS($AM$1006:AV1006),$AM$1006:$BM$1006,0))&gt;=100000), " ",IF(INDEX($AM$2:$BM$1001,MATCH(ROWS($AF$2:AF589),$AF$2:$AF$1001,0),MATCH(COLUMNS($AM$1006:AV1006),$AM$1006:$BM$1006,0)), HYPERLINK("#",""), HYPERLINK(CONCATENATE("#metadata!", ADDRESS(INDEX($AH$2:$AH$1001,MATCH(ROWS($AF$2:AF589),$AF$2:$AF$1001,0),0), INDEX($AM$1004:$BM$1004,1,MATCH(COLUMNS($AM$1006:AV1006),$AM$1006:$BM$1006,0)))),"Fix")))</f>
        <v xml:space="preserve"> </v>
      </c>
      <c r="L589" s="4" t="str">
        <f ca="1">IF(OR(INDEX($AG$2:$AG$1001,MATCH(ROWS($AF$2:AF589),$AF$2:$AF$1001,0),1)&gt;=100000,INDEX($AM$1005:$BM$1005,1,MATCH(COLUMNS($AM$1006:AW1006),$AM$1006:$BM$1006,0))&gt;=100000), " ",IF(INDEX($AM$2:$BM$1001,MATCH(ROWS($AF$2:AF589),$AF$2:$AF$1001,0),MATCH(COLUMNS($AM$1006:AW1006),$AM$1006:$BM$1006,0)), HYPERLINK("#",""), HYPERLINK(CONCATENATE("#metadata!", ADDRESS(INDEX($AH$2:$AH$1001,MATCH(ROWS($AF$2:AF589),$AF$2:$AF$1001,0),0), INDEX($AM$1004:$BM$1004,1,MATCH(COLUMNS($AM$1006:AW1006),$AM$1006:$BM$1006,0)))),"Fix")))</f>
        <v xml:space="preserve"> </v>
      </c>
      <c r="M589" s="4" t="str">
        <f ca="1">IF(OR(INDEX($AG$2:$AG$1001,MATCH(ROWS($AF$2:AF589),$AF$2:$AF$1001,0),1)&gt;=100000,INDEX($AM$1005:$BM$1005,1,MATCH(COLUMNS($AM$1006:AX1006),$AM$1006:$BM$1006,0))&gt;=100000), " ",IF(INDEX($AM$2:$BM$1001,MATCH(ROWS($AF$2:AF589),$AF$2:$AF$1001,0),MATCH(COLUMNS($AM$1006:AX1006),$AM$1006:$BM$1006,0)), HYPERLINK("#",""), HYPERLINK(CONCATENATE("#metadata!", ADDRESS(INDEX($AH$2:$AH$1001,MATCH(ROWS($AF$2:AF589),$AF$2:$AF$1001,0),0), INDEX($AM$1004:$BM$1004,1,MATCH(COLUMNS($AM$1006:AX1006),$AM$1006:$BM$1006,0)))),"Fix")))</f>
        <v xml:space="preserve"> </v>
      </c>
      <c r="N589" s="4" t="str">
        <f ca="1">IF(OR(INDEX($AG$2:$AG$1001,MATCH(ROWS($AF$2:AF589),$AF$2:$AF$1001,0),1)&gt;=100000,INDEX($AM$1005:$BM$1005,1,MATCH(COLUMNS($AM$1006:AY1006),$AM$1006:$BM$1006,0))&gt;=100000), " ",IF(INDEX($AM$2:$BM$1001,MATCH(ROWS($AF$2:AF589),$AF$2:$AF$1001,0),MATCH(COLUMNS($AM$1006:AY1006),$AM$1006:$BM$1006,0)), HYPERLINK("#",""), HYPERLINK(CONCATENATE("#metadata!", ADDRESS(INDEX($AH$2:$AH$1001,MATCH(ROWS($AF$2:AF589),$AF$2:$AF$1001,0),0), INDEX($AM$1004:$BM$1004,1,MATCH(COLUMNS($AM$1006:AY1006),$AM$1006:$BM$1006,0)))),"Fix")))</f>
        <v xml:space="preserve"> </v>
      </c>
      <c r="O589" s="4" t="str">
        <f ca="1">IF(OR(INDEX($AG$2:$AG$1001,MATCH(ROWS($AF$2:AF589),$AF$2:$AF$1001,0),1)&gt;=100000,INDEX($AM$1005:$BM$1005,1,MATCH(COLUMNS($AM$1006:AZ1006),$AM$1006:$BM$1006,0))&gt;=100000), " ",IF(INDEX($AM$2:$BM$1001,MATCH(ROWS($AF$2:AF589),$AF$2:$AF$1001,0),MATCH(COLUMNS($AM$1006:AZ1006),$AM$1006:$BM$1006,0)), HYPERLINK("#",""), HYPERLINK(CONCATENATE("#metadata!", ADDRESS(INDEX($AH$2:$AH$1001,MATCH(ROWS($AF$2:AF589),$AF$2:$AF$1001,0),0), INDEX($AM$1004:$BM$1004,1,MATCH(COLUMNS($AM$1006:AZ1006),$AM$1006:$BM$1006,0)))),"Fix")))</f>
        <v xml:space="preserve"> </v>
      </c>
      <c r="P589" s="4" t="str">
        <f ca="1">IF(OR(INDEX($AG$2:$AG$1001,MATCH(ROWS($AF$2:AF589),$AF$2:$AF$1001,0),1)&gt;=100000,INDEX($AM$1005:$BM$1005,1,MATCH(COLUMNS($AM$1006:BA1006),$AM$1006:$BM$1006,0))&gt;=100000), " ",IF(INDEX($AM$2:$BM$1001,MATCH(ROWS($AF$2:AF589),$AF$2:$AF$1001,0),MATCH(COLUMNS($AM$1006:BA1006),$AM$1006:$BM$1006,0)), HYPERLINK("#",""), HYPERLINK(CONCATENATE("#metadata!", ADDRESS(INDEX($AH$2:$AH$1001,MATCH(ROWS($AF$2:AF589),$AF$2:$AF$1001,0),0), INDEX($AM$1004:$BM$1004,1,MATCH(COLUMNS($AM$1006:BA1006),$AM$1006:$BM$1006,0)))),"Fix")))</f>
        <v xml:space="preserve"> </v>
      </c>
      <c r="Q589" s="4" t="str">
        <f ca="1">IF(OR(INDEX($AG$2:$AG$1001,MATCH(ROWS($AF$2:AF589),$AF$2:$AF$1001,0),1)&gt;=100000,INDEX($AM$1005:$BM$1005,1,MATCH(COLUMNS($AM$1006:BB1006),$AM$1006:$BM$1006,0))&gt;=100000), " ",IF(INDEX($AM$2:$BM$1001,MATCH(ROWS($AF$2:AF589),$AF$2:$AF$1001,0),MATCH(COLUMNS($AM$1006:BB1006),$AM$1006:$BM$1006,0)), HYPERLINK("#",""), HYPERLINK(CONCATENATE("#metadata!", ADDRESS(INDEX($AH$2:$AH$1001,MATCH(ROWS($AF$2:AF589),$AF$2:$AF$1001,0),0), INDEX($AM$1004:$BM$1004,1,MATCH(COLUMNS($AM$1006:BB1006),$AM$1006:$BM$1006,0)))),"Fix")))</f>
        <v xml:space="preserve"> </v>
      </c>
      <c r="R589" s="4" t="str">
        <f ca="1">IF(OR(INDEX($AG$2:$AG$1001,MATCH(ROWS($AF$2:AF589),$AF$2:$AF$1001,0),1)&gt;=100000,INDEX($AM$1005:$BM$1005,1,MATCH(COLUMNS($AM$1006:BC1006),$AM$1006:$BM$1006,0))&gt;=100000), " ",IF(INDEX($AM$2:$BM$1001,MATCH(ROWS($AF$2:AF589),$AF$2:$AF$1001,0),MATCH(COLUMNS($AM$1006:BC1006),$AM$1006:$BM$1006,0)), HYPERLINK("#",""), HYPERLINK(CONCATENATE("#metadata!", ADDRESS(INDEX($AH$2:$AH$1001,MATCH(ROWS($AF$2:AF589),$AF$2:$AF$1001,0),0), INDEX($AM$1004:$BM$1004,1,MATCH(COLUMNS($AM$1006:BC1006),$AM$1006:$BM$1006,0)))),"Fix")))</f>
        <v xml:space="preserve"> </v>
      </c>
      <c r="S589" s="4" t="str">
        <f ca="1">IF(OR(INDEX($AG$2:$AG$1001,MATCH(ROWS($AF$2:AF589),$AF$2:$AF$1001,0),1)&gt;=100000,INDEX($AM$1005:$BM$1005,1,MATCH(COLUMNS($AM$1006:BD1006),$AM$1006:$BM$1006,0))&gt;=100000), " ",IF(INDEX($AM$2:$BM$1001,MATCH(ROWS($AF$2:AF589),$AF$2:$AF$1001,0),MATCH(COLUMNS($AM$1006:BD1006),$AM$1006:$BM$1006,0)), HYPERLINK("#",""), HYPERLINK(CONCATENATE("#metadata!", ADDRESS(INDEX($AH$2:$AH$1001,MATCH(ROWS($AF$2:AF589),$AF$2:$AF$1001,0),0), INDEX($AM$1004:$BM$1004,1,MATCH(COLUMNS($AM$1006:BD1006),$AM$1006:$BM$1006,0)))),"Fix")))</f>
        <v xml:space="preserve"> </v>
      </c>
      <c r="T589" s="4" t="str">
        <f ca="1">IF(OR(INDEX($AG$2:$AG$1001,MATCH(ROWS($AF$2:AF589),$AF$2:$AF$1001,0),1)&gt;=100000,INDEX($AM$1005:$BM$1005,1,MATCH(COLUMNS($AM$1006:BE1006),$AM$1006:$BM$1006,0))&gt;=100000), " ",IF(INDEX($AM$2:$BM$1001,MATCH(ROWS($AF$2:AF589),$AF$2:$AF$1001,0),MATCH(COLUMNS($AM$1006:BE1006),$AM$1006:$BM$1006,0)), HYPERLINK("#",""), HYPERLINK(CONCATENATE("#metadata!", ADDRESS(INDEX($AH$2:$AH$1001,MATCH(ROWS($AF$2:AF589),$AF$2:$AF$1001,0),0), INDEX($AM$1004:$BM$1004,1,MATCH(COLUMNS($AM$1006:BE1006),$AM$1006:$BM$1006,0)))),"Fix")))</f>
        <v xml:space="preserve"> </v>
      </c>
      <c r="U589" s="4" t="str">
        <f ca="1">IF(OR(INDEX($AG$2:$AG$1001,MATCH(ROWS($AF$2:AF589),$AF$2:$AF$1001,0),1)&gt;=100000,INDEX($AM$1005:$BM$1005,1,MATCH(COLUMNS($AM$1006:BF1006),$AM$1006:$BM$1006,0))&gt;=100000), " ",IF(INDEX($AM$2:$BM$1001,MATCH(ROWS($AF$2:AF589),$AF$2:$AF$1001,0),MATCH(COLUMNS($AM$1006:BF1006),$AM$1006:$BM$1006,0)), HYPERLINK("#",""), HYPERLINK(CONCATENATE("#metadata!", ADDRESS(INDEX($AH$2:$AH$1001,MATCH(ROWS($AF$2:AF589),$AF$2:$AF$1001,0),0), INDEX($AM$1004:$BM$1004,1,MATCH(COLUMNS($AM$1006:BF1006),$AM$1006:$BM$1006,0)))),"Fix")))</f>
        <v xml:space="preserve"> </v>
      </c>
      <c r="V589" s="4" t="str">
        <f ca="1">IF(OR(INDEX($AG$2:$AG$1001,MATCH(ROWS($AF$2:AF589),$AF$2:$AF$1001,0),1)&gt;=100000,INDEX($AM$1005:$BM$1005,1,MATCH(COLUMNS($AM$1006:BG1006),$AM$1006:$BM$1006,0))&gt;=100000), " ",IF(INDEX($AM$2:$BM$1001,MATCH(ROWS($AF$2:AF589),$AF$2:$AF$1001,0),MATCH(COLUMNS($AM$1006:BG1006),$AM$1006:$BM$1006,0)), HYPERLINK("#",""), HYPERLINK(CONCATENATE("#metadata!", ADDRESS(INDEX($AH$2:$AH$1001,MATCH(ROWS($AF$2:AF589),$AF$2:$AF$1001,0),0), INDEX($AM$1004:$BM$1004,1,MATCH(COLUMNS($AM$1006:BG1006),$AM$1006:$BM$1006,0)))),"Fix")))</f>
        <v xml:space="preserve"> </v>
      </c>
      <c r="W589" s="4" t="str">
        <f ca="1">IF(OR(INDEX($AG$2:$AG$1001,MATCH(ROWS($AF$2:AF589),$AF$2:$AF$1001,0),1)&gt;=100000,INDEX($AM$1005:$BM$1005,1,MATCH(COLUMNS($AM$1006:BH1006),$AM$1006:$BM$1006,0))&gt;=100000), " ",IF(INDEX($AM$2:$BM$1001,MATCH(ROWS($AF$2:AF589),$AF$2:$AF$1001,0),MATCH(COLUMNS($AM$1006:BH1006),$AM$1006:$BM$1006,0)), HYPERLINK("#",""), HYPERLINK(CONCATENATE("#metadata!", ADDRESS(INDEX($AH$2:$AH$1001,MATCH(ROWS($AF$2:AF589),$AF$2:$AF$1001,0),0), INDEX($AM$1004:$BM$1004,1,MATCH(COLUMNS($AM$1006:BH1006),$AM$1006:$BM$1006,0)))),"Fix")))</f>
        <v xml:space="preserve"> </v>
      </c>
      <c r="X589" s="4" t="str">
        <f ca="1">IF(OR(INDEX($AG$2:$AG$1001,MATCH(ROWS($AF$2:AF589),$AF$2:$AF$1001,0),1)&gt;=100000,INDEX($AM$1005:$BM$1005,1,MATCH(COLUMNS($AM$1006:BI1006),$AM$1006:$BM$1006,0))&gt;=100000), " ",IF(INDEX($AM$2:$BM$1001,MATCH(ROWS($AF$2:AF589),$AF$2:$AF$1001,0),MATCH(COLUMNS($AM$1006:BI1006),$AM$1006:$BM$1006,0)), HYPERLINK("#",""), HYPERLINK(CONCATENATE("#metadata!", ADDRESS(INDEX($AH$2:$AH$1001,MATCH(ROWS($AF$2:AF589),$AF$2:$AF$1001,0),0), INDEX($AM$1004:$BM$1004,1,MATCH(COLUMNS($AM$1006:BI1006),$AM$1006:$BM$1006,0)))),"Fix")))</f>
        <v xml:space="preserve"> </v>
      </c>
      <c r="Y589" s="4" t="str">
        <f ca="1">IF(OR(INDEX($AG$2:$AG$1001,MATCH(ROWS($AF$2:AF589),$AF$2:$AF$1001,0),1)&gt;=100000,INDEX($AM$1005:$BM$1005,1,MATCH(COLUMNS($AM$1006:BJ1006),$AM$1006:$BM$1006,0))&gt;=100000), " ",IF(INDEX($AM$2:$BM$1001,MATCH(ROWS($AF$2:AF589),$AF$2:$AF$1001,0),MATCH(COLUMNS($AM$1006:BJ1006),$AM$1006:$BM$1006,0)), HYPERLINK("#",""), HYPERLINK(CONCATENATE("#metadata!", ADDRESS(INDEX($AH$2:$AH$1001,MATCH(ROWS($AF$2:AF589),$AF$2:$AF$1001,0),0), INDEX($AM$1004:$BM$1004,1,MATCH(COLUMNS($AM$1006:BJ1006),$AM$1006:$BM$1006,0)))),"Fix")))</f>
        <v xml:space="preserve"> </v>
      </c>
      <c r="Z589" s="4" t="str">
        <f ca="1">IF(OR(INDEX($AG$2:$AG$1001,MATCH(ROWS($AF$2:AF589),$AF$2:$AF$1001,0),1)&gt;=100000,INDEX($AM$1005:$BM$1005,1,MATCH(COLUMNS($AM$1006:BK1006),$AM$1006:$BM$1006,0))&gt;=100000), " ",IF(INDEX($AM$2:$BM$1001,MATCH(ROWS($AF$2:AF589),$AF$2:$AF$1001,0),MATCH(COLUMNS($AM$1006:BK1006),$AM$1006:$BM$1006,0)), HYPERLINK("#",""), HYPERLINK(CONCATENATE("#metadata!", ADDRESS(INDEX($AH$2:$AH$1001,MATCH(ROWS($AF$2:AF589),$AF$2:$AF$1001,0),0), INDEX($AM$1004:$BM$1004,1,MATCH(COLUMNS($AM$1006:BK1006),$AM$1006:$BM$1006,0)))),"Fix")))</f>
        <v xml:space="preserve"> </v>
      </c>
      <c r="AA589" s="4" t="str">
        <f ca="1">IF(OR(INDEX($AG$2:$AG$1001,MATCH(ROWS($AF$2:AF589),$AF$2:$AF$1001,0),1)&gt;=100000,INDEX($AM$1005:$BM$1005,1,MATCH(COLUMNS($AM$1006:BL1006),$AM$1006:$BM$1006,0))&gt;=100000), " ",IF(INDEX($AM$2:$BM$1001,MATCH(ROWS($AF$2:AF589),$AF$2:$AF$1001,0),MATCH(COLUMNS($AM$1006:BL1006),$AM$1006:$BM$1006,0)), HYPERLINK("#",""), HYPERLINK(CONCATENATE("#metadata!", ADDRESS(INDEX($AH$2:$AH$1001,MATCH(ROWS($AF$2:AF589),$AF$2:$AF$1001,0),0), INDEX($AM$1004:$BM$1004,1,MATCH(COLUMNS($AM$1006:BL1006),$AM$1006:$BM$1006,0)))),"Fix")))</f>
        <v xml:space="preserve"> </v>
      </c>
      <c r="AB589" s="4" t="str">
        <f ca="1">IF(OR(INDEX($AG$2:$AG$1001,MATCH(ROWS($AF$2:AF589),$AF$2:$AF$1001,0),1)&gt;=100000,INDEX($AM$1005:$BM$1005,1,MATCH(COLUMNS($AM$1006:BM1006),$AM$1006:$BM$1006,0))&gt;=100000), " ",IF(INDEX($AM$2:$BM$1001,MATCH(ROWS($AF$2:AF589),$AF$2:$AF$1001,0),MATCH(COLUMNS($AM$1006:BM1006),$AM$1006:$BM$1006,0)), HYPERLINK("#",""), HYPERLINK(CONCATENATE("#metadata!", ADDRESS(INDEX($AH$2:$AH$1001,MATCH(ROWS($AF$2:AF589),$AF$2:$AF$1001,0),0), INDEX($AM$1004:$BM$1004,1,MATCH(COLUMNS($AM$1006:BM1006),$AM$1006:$BM$1006,0)))),"Fix")))</f>
        <v xml:space="preserve"> </v>
      </c>
      <c r="AF589">
        <v>588</v>
      </c>
      <c r="AG589">
        <v>100589</v>
      </c>
      <c r="AH589">
        <v>589</v>
      </c>
      <c r="AI589" t="b">
        <f t="shared" si="9"/>
        <v>1</v>
      </c>
      <c r="AJ589" t="b">
        <f>COUNTBLANK(metadata!B589:AB589)=COLUMNS(metadata!B589:AB589)</f>
        <v>1</v>
      </c>
      <c r="AK589" t="str">
        <v/>
      </c>
      <c r="AM589" t="b">
        <f ca="1">AND(IF(metadata!B589="",FALSE,TRUE),COUNTIF(metadata!B:B, metadata!B589) = 1,NOT(ISERROR(SUMPRODUCT(SEARCH(MID(metadata!B589,ROW(INDIRECT("1:"&amp;LEN(metadata!B589))), 1),"0123456789abcdefghijklmnopqrstuvwxyzABCDEFGHIJKLMNOPQRSTUVWXYZ.")))))</f>
        <v>0</v>
      </c>
      <c r="AN589" t="b">
        <f ca="1">OR(AND(IF(metadata!C589="",FALSE,TRUE),OR(EXACT(metadata!C589,"missing: not collected"),EXACT(metadata!C589,"missing: not provided"),EXACT(metadata!C589,"missing: restricted access"))),AND(IF(metadata!C589="",FALSE,TRUE),AND(AND(IFERROR(INT(LEFT(metadata!C589,4))&gt;1900,FALSE),IFERROR(INT(LEFT(metadata!C589,4))&lt;=YEAR(NOW()),FALSE)), OR(MID(metadata!C589,5,1)="", AND(AND(MID(metadata!C589,5,1)="-",IFERROR(INT(MID(metadata!C589,6,1))&gt;=0,FALSE),IFERROR(INT(MID(metadata!C589,6,1))&lt;=1,FALSE),NOT(MID(metadata!C589,7,1)=""),IFERROR(INT(MID(metadata!C589,6,2))&gt;=1,FALSE),IFERROR(INT(MID(metadata!C589,6,2))&lt;=12,FALSE)), OR(MID(metadata!C589,8,1)="", AND(AND(MID(metadata!C589,8,1)="-",IFERROR(INT(MID(metadata!C589,9,1))&gt;=0,FALSE),IFERROR(INT(MID(metadata!C589,9,1))&lt;=3,FALSE),NOT(MID(metadata!C589,10,1)=""),IFERROR(INT(MID(metadata!C589,9,2))&gt;=1,FALSE),IFERROR(INT(MID(metadata!C589,9,2))&lt;=31,FALSE)), OR(MID(metadata!C589,11,1)="", AND(AND(MID(metadata!C589,11,1)=" ",IFERROR(INT(MID(metadata!C589,12,1))&gt;=0,FALSE),IFERROR(INT(MID(metadata!C589,12,1))&lt;=2,FALSE),NOT(MID(metadata!C589,13,1)=""),IFERROR(INT(MID(metadata!C589,12,2))&gt;=0,FALSE),IFERROR(INT(MID(metadata!C589,12,2))&lt;=23,FALSE)), OR(MID(metadata!C589,14,1)="", AND(AND(MID(metadata!C589,14,1)=":",IFERROR(INT(MID(metadata!C589,15,1))&gt;=0,FALSE),IFERROR(INT(MID(metadata!C589,15,1))&lt;=5,FALSE),NOT(MID(metadata!C589,16,1)=""),IFERROR(INT(MID(metadata!C589,15,2))&gt;=0,FALSE),IFERROR(INT(MID(metadata!C589,15,2))&lt;=59,FALSE)), OR(MID(metadata!C589,17,1)="", AND(AND(MID(metadata!C589,17,1)=":",IFERROR(INT(MID(metadata!C589,18,1))&gt;=0,FALSE),IFERROR(INT(MID(metadata!C589,18,1))&lt;=5,FALSE),NOT(MID(metadata!C589,19,1)=""),IFERROR(INT(MID(metadata!C589,18,2))&gt;=0,FALSE),IFERROR(INT(MID(metadata!C589,18,2))&lt;=59,FALSE)), LEN(metadata!C589)&lt;=19)))))))))))))</f>
        <v>0</v>
      </c>
      <c r="AO589" t="b">
        <f>AND(IF(metadata!D589="",FALSE,TRUE),EXACT(metadata!D589,"Not applicable"))</f>
        <v>0</v>
      </c>
      <c r="AP589" t="b">
        <f>IF(metadata!E589="",FALSE,TRUE)</f>
        <v>0</v>
      </c>
      <c r="AQ589" t="b">
        <f>OR(AND(IF(metadata!F589="",FALSE,TRUE),OR(EXACT(metadata!F589,"missing: not collected"),EXACT(metadata!F589,"missing: not provided"))),AND(IF(metadata!F589="",FALSE,TRUE),OR(EXACT(metadata!F589,"TRUE"),EXACT(metadata!F589,"FALSE"))))</f>
        <v>0</v>
      </c>
      <c r="AR589" t="b">
        <f>OR(AND(IF(metadata!G589="",FALSE,TRUE),OR(EXACT(metadata!G589,"missing: not collected"),EXACT(metadata!G589,"missing: not provided"),EXACT(metadata!G589,"missing: restricted access"))),AND(IF(metadata!G589="",FALSE,ISNUMBER(VALUE(metadata!G589))),metadata!G589&gt;=-413))</f>
        <v>0</v>
      </c>
      <c r="AS589" t="b">
        <f>AND(IF(metadata!H589="",FALSE,TRUE),EXACT(metadata!H589,"meters"))</f>
        <v>0</v>
      </c>
      <c r="AT589" t="b">
        <f>AND(IF(metadata!I589="",FALSE,TRUE),OR(EXACT(metadata!I589,"Host-associated"),EXACT(metadata!I589,"Free-living")))</f>
        <v>0</v>
      </c>
      <c r="AU589" t="b">
        <f>AND(IF(metadata!J589="",FALSE,TRUE),OR(EXACT(metadata!J589,"Animal"),EXACT(metadata!J589,"Fungus"),EXACT(metadata!J589,"Plant"),EXACT(metadata!J589,"Saline"),EXACT(metadata!J589,"Non-saline")))</f>
        <v>0</v>
      </c>
      <c r="AV589" t="b">
        <f>AND(IF(metadata!K589="",FALSE,TRUE),OR(EXACT(metadata!K589,"Plant secretion"),EXACT(metadata!K589,"Plant rhizosphere"),EXACT(metadata!K589,"Plant surface"),EXACT(metadata!K589,"Plant corpus"),EXACT(metadata!K589,"Fungus surface"),EXACT(metadata!K589,"Fungus corpus"),EXACT(metadata!K589,"Animal surface"),EXACT(metadata!K589,"Animal proximal gut"),EXACT(metadata!K589,"Animal corpus"),EXACT(metadata!K589,"Animal distal gut"),EXACT(metadata!K589,"Animal secretion"),EXACT(metadata!K589,"Sub-surface (non-saline)"),EXACT(metadata!K589,"Surface (non-saline)"),EXACT(metadata!K589,"Water (non-saline)"),EXACT(metadata!K589,"Soil (non-saline)"),EXACT(metadata!K589,"Aerosol (non-saline)"),EXACT(metadata!K589,"Sediment (non-saline)"),EXACT(metadata!K589,"Surface (saline)"),EXACT(metadata!K589,"Water (saline)"),EXACT(metadata!K589,"Hypersaline (saline)"),EXACT(metadata!K589,"Aerosol (saline)"),EXACT(metadata!K589,"Sediment (saline)")))</f>
        <v>0</v>
      </c>
      <c r="AW589" t="b">
        <f>IF(metadata!L589="",FALSE,TRUE)</f>
        <v>0</v>
      </c>
      <c r="AX589" t="b">
        <f>IF(metadata!M589="",FALSE,TRUE)</f>
        <v>0</v>
      </c>
      <c r="AY589" t="b">
        <f>IF(metadata!N589="",FALSE,TRUE)</f>
        <v>0</v>
      </c>
      <c r="AZ589" t="b">
        <f>OR(AND(IF(metadata!O589="",FALSE,TRUE),OR(EXACT(metadata!O589,"missing: not collected"),EXACT(metadata!O589,"missing: not provided"),EXACT(metadata!O589,"missing: restricted access"))),AND(IF(metadata!O589="",FALSE,TRUE),OR(EXACT(metadata!O589,"air"),EXACT(metadata!O589,"built environment"),EXACT(metadata!O589,"host-associated"),EXACT(metadata!O589,"human-associated"),EXACT(metadata!O589,"human-skin"),EXACT(metadata!O589,"human-oral"),EXACT(metadata!O589,"human-gut"),EXACT(metadata!O589,"human-vaginal"),EXACT(metadata!O589,"microbial mat/biofilm"),EXACT(metadata!O589,"misc environment"),EXACT(metadata!O589,"plant-associated"),EXACT(metadata!O589,"sediment"),EXACT(metadata!O589,"soil"),EXACT(metadata!O589,"wastewater/sludge"),EXACT(metadata!O589,"water"))))</f>
        <v>0</v>
      </c>
      <c r="BA589" t="b">
        <f>IF(metadata!P589="",FALSE,TRUE)</f>
        <v>0</v>
      </c>
      <c r="BB589" t="b">
        <f>IF(metadata!Q589="",FALSE,TRUE)</f>
        <v>0</v>
      </c>
      <c r="BC589" t="b">
        <f>OR(AND(IF(metadata!R589="",FALSE,TRUE),OR(EXACT(metadata!R589,"missing: not collected"),EXACT(metadata!R589,"missing: not provided"),EXACT(metadata!R589,"missing: restricted access"))),AND(IF(metadata!R589="",FALSE,ISNUMBER(VALUE(metadata!R589))),metadata!R589&gt;=-90,metadata!R589&lt;=90))</f>
        <v>0</v>
      </c>
      <c r="BD589" t="b">
        <f>AND(IF(metadata!S589="",FALSE,TRUE),EXACT(metadata!S589,"Decimal degrees"))</f>
        <v>0</v>
      </c>
      <c r="BE589" t="b">
        <f>OR(AND(IF(metadata!T589="",FALSE,TRUE),OR(EXACT(metadata!T589,"missing: not collected"),EXACT(metadata!T589,"missing: not provided"),EXACT(metadata!T589,"missing: restricted access"))),AND(IF(metadata!T589="",FALSE,ISNUMBER(VALUE(metadata!T589))),metadata!T589&gt;=-180,metadata!T589&lt;=180))</f>
        <v>0</v>
      </c>
      <c r="BF589" t="b">
        <f>AND(IF(metadata!U589="",FALSE,TRUE),EXACT(metadata!U589,"Decimal degrees"))</f>
        <v>0</v>
      </c>
      <c r="BG589" t="b">
        <f>IF(metadata!V589="",FALSE,TRUE)</f>
        <v>0</v>
      </c>
      <c r="BH589" t="b">
        <f>OR(AND(IF(metadata!W589="",FALSE,TRUE),OR(EXACT(metadata!W589,"missing: not collected"),EXACT(metadata!W589,"missing: not provided"),EXACT(metadata!W589,"missing: restricted access"))),AND(IF(metadata!W589="",FALSE,TRUE),OR(EXACT(metadata!W589,"TRUE"),EXACT(metadata!W589,"FALSE"))))</f>
        <v>0</v>
      </c>
      <c r="BI589" t="b">
        <f>AND(IF(metadata!X589="",FALSE,TRUE),EXACT(metadata!X589,"other"))</f>
        <v>0</v>
      </c>
      <c r="BJ589" t="b">
        <f>IF(metadata!Y589="",FALSE,TRUE)</f>
        <v>0</v>
      </c>
      <c r="BK589" t="b">
        <f>OR(AND(IF(metadata!Z589="",FALSE,TRUE),OR(EXACT(metadata!Z589,"missing: not collected"),EXACT(metadata!Z589,"missing: not provided"))),AND(IF(metadata!Z589="",FALSE,IF(ISERROR(INT(metadata!Z589)),FALSE,INT(metadata!Z589)=metadata!Z589)),metadata!Z589&gt;0))</f>
        <v>0</v>
      </c>
      <c r="BL589" t="b">
        <f>AND(IF(metadata!AA589="",FALSE,TRUE),EXACT(metadata!AA589,"Not applicable"))</f>
        <v>0</v>
      </c>
      <c r="BM589" t="b">
        <f>IF(metadata!AB589="",FALSE,TRUE)</f>
        <v>0</v>
      </c>
    </row>
    <row r="590" spans="1:65" x14ac:dyDescent="0.2">
      <c r="A590" s="5" t="str">
        <f ca="1">IF(B590=" "," ",HYPERLINK(CONCATENATE("#metadata!",ADDRESS(INDEX($AH$2:$AH$1001,MATCH(ROWS($AF$2:AF590),$AF$2:$AF$1001,0),0),1)),INDEX($AK$2:$AK$1001,MATCH(ROWS($AF$2:AF590),$AF$2:$AF$1001,0),0)))</f>
        <v xml:space="preserve"> </v>
      </c>
      <c r="B590" s="4" t="str">
        <f ca="1">IF(OR(INDEX($AG$2:$AG$1001,MATCH(ROWS($AF$2:AF590),$AF$2:$AF$1001,0),1)&gt;=100000,INDEX($AM$1005:$BM$1005,1,MATCH(COLUMNS($AM$1006:AM1006),$AM$1006:$BM$1006,0))&gt;=100000), " ",IF(INDEX($AM$2:$BM$1001,MATCH(ROWS($AF$2:AF590),$AF$2:$AF$1001,0),MATCH(COLUMNS($AM$1006:AM1006),$AM$1006:$BM$1006,0)), HYPERLINK("#",""), HYPERLINK(CONCATENATE("#metadata!", ADDRESS(INDEX($AH$2:$AH$1001,MATCH(ROWS($AF$2:AF590),$AF$2:$AF$1001,0),0), INDEX($AM$1004:$BM$1004,1,MATCH(COLUMNS($AM$1006:AM1006),$AM$1006:$BM$1006,0)))),"Fix")))</f>
        <v xml:space="preserve"> </v>
      </c>
      <c r="C590" s="4" t="str">
        <f ca="1">IF(OR(INDEX($AG$2:$AG$1001,MATCH(ROWS($AF$2:AF590),$AF$2:$AF$1001,0),1)&gt;=100000,INDEX($AM$1005:$BM$1005,1,MATCH(COLUMNS($AM$1006:AN1006),$AM$1006:$BM$1006,0))&gt;=100000), " ",IF(INDEX($AM$2:$BM$1001,MATCH(ROWS($AF$2:AF590),$AF$2:$AF$1001,0),MATCH(COLUMNS($AM$1006:AN1006),$AM$1006:$BM$1006,0)), HYPERLINK("#",""), HYPERLINK(CONCATENATE("#metadata!", ADDRESS(INDEX($AH$2:$AH$1001,MATCH(ROWS($AF$2:AF590),$AF$2:$AF$1001,0),0), INDEX($AM$1004:$BM$1004,1,MATCH(COLUMNS($AM$1006:AN1006),$AM$1006:$BM$1006,0)))),"Fix")))</f>
        <v xml:space="preserve"> </v>
      </c>
      <c r="D590" s="4" t="str">
        <f ca="1">IF(OR(INDEX($AG$2:$AG$1001,MATCH(ROWS($AF$2:AF590),$AF$2:$AF$1001,0),1)&gt;=100000,INDEX($AM$1005:$BM$1005,1,MATCH(COLUMNS($AM$1006:AO1006),$AM$1006:$BM$1006,0))&gt;=100000), " ",IF(INDEX($AM$2:$BM$1001,MATCH(ROWS($AF$2:AF590),$AF$2:$AF$1001,0),MATCH(COLUMNS($AM$1006:AO1006),$AM$1006:$BM$1006,0)), HYPERLINK("#",""), HYPERLINK(CONCATENATE("#metadata!", ADDRESS(INDEX($AH$2:$AH$1001,MATCH(ROWS($AF$2:AF590),$AF$2:$AF$1001,0),0), INDEX($AM$1004:$BM$1004,1,MATCH(COLUMNS($AM$1006:AO1006),$AM$1006:$BM$1006,0)))),"Fix")))</f>
        <v xml:space="preserve"> </v>
      </c>
      <c r="E590" s="4" t="str">
        <f ca="1">IF(OR(INDEX($AG$2:$AG$1001,MATCH(ROWS($AF$2:AF590),$AF$2:$AF$1001,0),1)&gt;=100000,INDEX($AM$1005:$BM$1005,1,MATCH(COLUMNS($AM$1006:AP1006),$AM$1006:$BM$1006,0))&gt;=100000), " ",IF(INDEX($AM$2:$BM$1001,MATCH(ROWS($AF$2:AF590),$AF$2:$AF$1001,0),MATCH(COLUMNS($AM$1006:AP1006),$AM$1006:$BM$1006,0)), HYPERLINK("#",""), HYPERLINK(CONCATENATE("#metadata!", ADDRESS(INDEX($AH$2:$AH$1001,MATCH(ROWS($AF$2:AF590),$AF$2:$AF$1001,0),0), INDEX($AM$1004:$BM$1004,1,MATCH(COLUMNS($AM$1006:AP1006),$AM$1006:$BM$1006,0)))),"Fix")))</f>
        <v xml:space="preserve"> </v>
      </c>
      <c r="F590" s="4" t="str">
        <f ca="1">IF(OR(INDEX($AG$2:$AG$1001,MATCH(ROWS($AF$2:AF590),$AF$2:$AF$1001,0),1)&gt;=100000,INDEX($AM$1005:$BM$1005,1,MATCH(COLUMNS($AM$1006:AQ1006),$AM$1006:$BM$1006,0))&gt;=100000), " ",IF(INDEX($AM$2:$BM$1001,MATCH(ROWS($AF$2:AF590),$AF$2:$AF$1001,0),MATCH(COLUMNS($AM$1006:AQ1006),$AM$1006:$BM$1006,0)), HYPERLINK("#",""), HYPERLINK(CONCATENATE("#metadata!", ADDRESS(INDEX($AH$2:$AH$1001,MATCH(ROWS($AF$2:AF590),$AF$2:$AF$1001,0),0), INDEX($AM$1004:$BM$1004,1,MATCH(COLUMNS($AM$1006:AQ1006),$AM$1006:$BM$1006,0)))),"Fix")))</f>
        <v xml:space="preserve"> </v>
      </c>
      <c r="G590" s="4" t="str">
        <f ca="1">IF(OR(INDEX($AG$2:$AG$1001,MATCH(ROWS($AF$2:AF590),$AF$2:$AF$1001,0),1)&gt;=100000,INDEX($AM$1005:$BM$1005,1,MATCH(COLUMNS($AM$1006:AR1006),$AM$1006:$BM$1006,0))&gt;=100000), " ",IF(INDEX($AM$2:$BM$1001,MATCH(ROWS($AF$2:AF590),$AF$2:$AF$1001,0),MATCH(COLUMNS($AM$1006:AR1006),$AM$1006:$BM$1006,0)), HYPERLINK("#",""), HYPERLINK(CONCATENATE("#metadata!", ADDRESS(INDEX($AH$2:$AH$1001,MATCH(ROWS($AF$2:AF590),$AF$2:$AF$1001,0),0), INDEX($AM$1004:$BM$1004,1,MATCH(COLUMNS($AM$1006:AR1006),$AM$1006:$BM$1006,0)))),"Fix")))</f>
        <v xml:space="preserve"> </v>
      </c>
      <c r="H590" s="4" t="str">
        <f ca="1">IF(OR(INDEX($AG$2:$AG$1001,MATCH(ROWS($AF$2:AF590),$AF$2:$AF$1001,0),1)&gt;=100000,INDEX($AM$1005:$BM$1005,1,MATCH(COLUMNS($AM$1006:AS1006),$AM$1006:$BM$1006,0))&gt;=100000), " ",IF(INDEX($AM$2:$BM$1001,MATCH(ROWS($AF$2:AF590),$AF$2:$AF$1001,0),MATCH(COLUMNS($AM$1006:AS1006),$AM$1006:$BM$1006,0)), HYPERLINK("#",""), HYPERLINK(CONCATENATE("#metadata!", ADDRESS(INDEX($AH$2:$AH$1001,MATCH(ROWS($AF$2:AF590),$AF$2:$AF$1001,0),0), INDEX($AM$1004:$BM$1004,1,MATCH(COLUMNS($AM$1006:AS1006),$AM$1006:$BM$1006,0)))),"Fix")))</f>
        <v xml:space="preserve"> </v>
      </c>
      <c r="I590" s="4" t="str">
        <f ca="1">IF(OR(INDEX($AG$2:$AG$1001,MATCH(ROWS($AF$2:AF590),$AF$2:$AF$1001,0),1)&gt;=100000,INDEX($AM$1005:$BM$1005,1,MATCH(COLUMNS($AM$1006:AT1006),$AM$1006:$BM$1006,0))&gt;=100000), " ",IF(INDEX($AM$2:$BM$1001,MATCH(ROWS($AF$2:AF590),$AF$2:$AF$1001,0),MATCH(COLUMNS($AM$1006:AT1006),$AM$1006:$BM$1006,0)), HYPERLINK("#",""), HYPERLINK(CONCATENATE("#metadata!", ADDRESS(INDEX($AH$2:$AH$1001,MATCH(ROWS($AF$2:AF590),$AF$2:$AF$1001,0),0), INDEX($AM$1004:$BM$1004,1,MATCH(COLUMNS($AM$1006:AT1006),$AM$1006:$BM$1006,0)))),"Fix")))</f>
        <v xml:space="preserve"> </v>
      </c>
      <c r="J590" s="4" t="str">
        <f ca="1">IF(OR(INDEX($AG$2:$AG$1001,MATCH(ROWS($AF$2:AF590),$AF$2:$AF$1001,0),1)&gt;=100000,INDEX($AM$1005:$BM$1005,1,MATCH(COLUMNS($AM$1006:AU1006),$AM$1006:$BM$1006,0))&gt;=100000), " ",IF(INDEX($AM$2:$BM$1001,MATCH(ROWS($AF$2:AF590),$AF$2:$AF$1001,0),MATCH(COLUMNS($AM$1006:AU1006),$AM$1006:$BM$1006,0)), HYPERLINK("#",""), HYPERLINK(CONCATENATE("#metadata!", ADDRESS(INDEX($AH$2:$AH$1001,MATCH(ROWS($AF$2:AF590),$AF$2:$AF$1001,0),0), INDEX($AM$1004:$BM$1004,1,MATCH(COLUMNS($AM$1006:AU1006),$AM$1006:$BM$1006,0)))),"Fix")))</f>
        <v xml:space="preserve"> </v>
      </c>
      <c r="K590" s="4" t="str">
        <f ca="1">IF(OR(INDEX($AG$2:$AG$1001,MATCH(ROWS($AF$2:AF590),$AF$2:$AF$1001,0),1)&gt;=100000,INDEX($AM$1005:$BM$1005,1,MATCH(COLUMNS($AM$1006:AV1006),$AM$1006:$BM$1006,0))&gt;=100000), " ",IF(INDEX($AM$2:$BM$1001,MATCH(ROWS($AF$2:AF590),$AF$2:$AF$1001,0),MATCH(COLUMNS($AM$1006:AV1006),$AM$1006:$BM$1006,0)), HYPERLINK("#",""), HYPERLINK(CONCATENATE("#metadata!", ADDRESS(INDEX($AH$2:$AH$1001,MATCH(ROWS($AF$2:AF590),$AF$2:$AF$1001,0),0), INDEX($AM$1004:$BM$1004,1,MATCH(COLUMNS($AM$1006:AV1006),$AM$1006:$BM$1006,0)))),"Fix")))</f>
        <v xml:space="preserve"> </v>
      </c>
      <c r="L590" s="4" t="str">
        <f ca="1">IF(OR(INDEX($AG$2:$AG$1001,MATCH(ROWS($AF$2:AF590),$AF$2:$AF$1001,0),1)&gt;=100000,INDEX($AM$1005:$BM$1005,1,MATCH(COLUMNS($AM$1006:AW1006),$AM$1006:$BM$1006,0))&gt;=100000), " ",IF(INDEX($AM$2:$BM$1001,MATCH(ROWS($AF$2:AF590),$AF$2:$AF$1001,0),MATCH(COLUMNS($AM$1006:AW1006),$AM$1006:$BM$1006,0)), HYPERLINK("#",""), HYPERLINK(CONCATENATE("#metadata!", ADDRESS(INDEX($AH$2:$AH$1001,MATCH(ROWS($AF$2:AF590),$AF$2:$AF$1001,0),0), INDEX($AM$1004:$BM$1004,1,MATCH(COLUMNS($AM$1006:AW1006),$AM$1006:$BM$1006,0)))),"Fix")))</f>
        <v xml:space="preserve"> </v>
      </c>
      <c r="M590" s="4" t="str">
        <f ca="1">IF(OR(INDEX($AG$2:$AG$1001,MATCH(ROWS($AF$2:AF590),$AF$2:$AF$1001,0),1)&gt;=100000,INDEX($AM$1005:$BM$1005,1,MATCH(COLUMNS($AM$1006:AX1006),$AM$1006:$BM$1006,0))&gt;=100000), " ",IF(INDEX($AM$2:$BM$1001,MATCH(ROWS($AF$2:AF590),$AF$2:$AF$1001,0),MATCH(COLUMNS($AM$1006:AX1006),$AM$1006:$BM$1006,0)), HYPERLINK("#",""), HYPERLINK(CONCATENATE("#metadata!", ADDRESS(INDEX($AH$2:$AH$1001,MATCH(ROWS($AF$2:AF590),$AF$2:$AF$1001,0),0), INDEX($AM$1004:$BM$1004,1,MATCH(COLUMNS($AM$1006:AX1006),$AM$1006:$BM$1006,0)))),"Fix")))</f>
        <v xml:space="preserve"> </v>
      </c>
      <c r="N590" s="4" t="str">
        <f ca="1">IF(OR(INDEX($AG$2:$AG$1001,MATCH(ROWS($AF$2:AF590),$AF$2:$AF$1001,0),1)&gt;=100000,INDEX($AM$1005:$BM$1005,1,MATCH(COLUMNS($AM$1006:AY1006),$AM$1006:$BM$1006,0))&gt;=100000), " ",IF(INDEX($AM$2:$BM$1001,MATCH(ROWS($AF$2:AF590),$AF$2:$AF$1001,0),MATCH(COLUMNS($AM$1006:AY1006),$AM$1006:$BM$1006,0)), HYPERLINK("#",""), HYPERLINK(CONCATENATE("#metadata!", ADDRESS(INDEX($AH$2:$AH$1001,MATCH(ROWS($AF$2:AF590),$AF$2:$AF$1001,0),0), INDEX($AM$1004:$BM$1004,1,MATCH(COLUMNS($AM$1006:AY1006),$AM$1006:$BM$1006,0)))),"Fix")))</f>
        <v xml:space="preserve"> </v>
      </c>
      <c r="O590" s="4" t="str">
        <f ca="1">IF(OR(INDEX($AG$2:$AG$1001,MATCH(ROWS($AF$2:AF590),$AF$2:$AF$1001,0),1)&gt;=100000,INDEX($AM$1005:$BM$1005,1,MATCH(COLUMNS($AM$1006:AZ1006),$AM$1006:$BM$1006,0))&gt;=100000), " ",IF(INDEX($AM$2:$BM$1001,MATCH(ROWS($AF$2:AF590),$AF$2:$AF$1001,0),MATCH(COLUMNS($AM$1006:AZ1006),$AM$1006:$BM$1006,0)), HYPERLINK("#",""), HYPERLINK(CONCATENATE("#metadata!", ADDRESS(INDEX($AH$2:$AH$1001,MATCH(ROWS($AF$2:AF590),$AF$2:$AF$1001,0),0), INDEX($AM$1004:$BM$1004,1,MATCH(COLUMNS($AM$1006:AZ1006),$AM$1006:$BM$1006,0)))),"Fix")))</f>
        <v xml:space="preserve"> </v>
      </c>
      <c r="P590" s="4" t="str">
        <f ca="1">IF(OR(INDEX($AG$2:$AG$1001,MATCH(ROWS($AF$2:AF590),$AF$2:$AF$1001,0),1)&gt;=100000,INDEX($AM$1005:$BM$1005,1,MATCH(COLUMNS($AM$1006:BA1006),$AM$1006:$BM$1006,0))&gt;=100000), " ",IF(INDEX($AM$2:$BM$1001,MATCH(ROWS($AF$2:AF590),$AF$2:$AF$1001,0),MATCH(COLUMNS($AM$1006:BA1006),$AM$1006:$BM$1006,0)), HYPERLINK("#",""), HYPERLINK(CONCATENATE("#metadata!", ADDRESS(INDEX($AH$2:$AH$1001,MATCH(ROWS($AF$2:AF590),$AF$2:$AF$1001,0),0), INDEX($AM$1004:$BM$1004,1,MATCH(COLUMNS($AM$1006:BA1006),$AM$1006:$BM$1006,0)))),"Fix")))</f>
        <v xml:space="preserve"> </v>
      </c>
      <c r="Q590" s="4" t="str">
        <f ca="1">IF(OR(INDEX($AG$2:$AG$1001,MATCH(ROWS($AF$2:AF590),$AF$2:$AF$1001,0),1)&gt;=100000,INDEX($AM$1005:$BM$1005,1,MATCH(COLUMNS($AM$1006:BB1006),$AM$1006:$BM$1006,0))&gt;=100000), " ",IF(INDEX($AM$2:$BM$1001,MATCH(ROWS($AF$2:AF590),$AF$2:$AF$1001,0),MATCH(COLUMNS($AM$1006:BB1006),$AM$1006:$BM$1006,0)), HYPERLINK("#",""), HYPERLINK(CONCATENATE("#metadata!", ADDRESS(INDEX($AH$2:$AH$1001,MATCH(ROWS($AF$2:AF590),$AF$2:$AF$1001,0),0), INDEX($AM$1004:$BM$1004,1,MATCH(COLUMNS($AM$1006:BB1006),$AM$1006:$BM$1006,0)))),"Fix")))</f>
        <v xml:space="preserve"> </v>
      </c>
      <c r="R590" s="4" t="str">
        <f ca="1">IF(OR(INDEX($AG$2:$AG$1001,MATCH(ROWS($AF$2:AF590),$AF$2:$AF$1001,0),1)&gt;=100000,INDEX($AM$1005:$BM$1005,1,MATCH(COLUMNS($AM$1006:BC1006),$AM$1006:$BM$1006,0))&gt;=100000), " ",IF(INDEX($AM$2:$BM$1001,MATCH(ROWS($AF$2:AF590),$AF$2:$AF$1001,0),MATCH(COLUMNS($AM$1006:BC1006),$AM$1006:$BM$1006,0)), HYPERLINK("#",""), HYPERLINK(CONCATENATE("#metadata!", ADDRESS(INDEX($AH$2:$AH$1001,MATCH(ROWS($AF$2:AF590),$AF$2:$AF$1001,0),0), INDEX($AM$1004:$BM$1004,1,MATCH(COLUMNS($AM$1006:BC1006),$AM$1006:$BM$1006,0)))),"Fix")))</f>
        <v xml:space="preserve"> </v>
      </c>
      <c r="S590" s="4" t="str">
        <f ca="1">IF(OR(INDEX($AG$2:$AG$1001,MATCH(ROWS($AF$2:AF590),$AF$2:$AF$1001,0),1)&gt;=100000,INDEX($AM$1005:$BM$1005,1,MATCH(COLUMNS($AM$1006:BD1006),$AM$1006:$BM$1006,0))&gt;=100000), " ",IF(INDEX($AM$2:$BM$1001,MATCH(ROWS($AF$2:AF590),$AF$2:$AF$1001,0),MATCH(COLUMNS($AM$1006:BD1006),$AM$1006:$BM$1006,0)), HYPERLINK("#",""), HYPERLINK(CONCATENATE("#metadata!", ADDRESS(INDEX($AH$2:$AH$1001,MATCH(ROWS($AF$2:AF590),$AF$2:$AF$1001,0),0), INDEX($AM$1004:$BM$1004,1,MATCH(COLUMNS($AM$1006:BD1006),$AM$1006:$BM$1006,0)))),"Fix")))</f>
        <v xml:space="preserve"> </v>
      </c>
      <c r="T590" s="4" t="str">
        <f ca="1">IF(OR(INDEX($AG$2:$AG$1001,MATCH(ROWS($AF$2:AF590),$AF$2:$AF$1001,0),1)&gt;=100000,INDEX($AM$1005:$BM$1005,1,MATCH(COLUMNS($AM$1006:BE1006),$AM$1006:$BM$1006,0))&gt;=100000), " ",IF(INDEX($AM$2:$BM$1001,MATCH(ROWS($AF$2:AF590),$AF$2:$AF$1001,0),MATCH(COLUMNS($AM$1006:BE1006),$AM$1006:$BM$1006,0)), HYPERLINK("#",""), HYPERLINK(CONCATENATE("#metadata!", ADDRESS(INDEX($AH$2:$AH$1001,MATCH(ROWS($AF$2:AF590),$AF$2:$AF$1001,0),0), INDEX($AM$1004:$BM$1004,1,MATCH(COLUMNS($AM$1006:BE1006),$AM$1006:$BM$1006,0)))),"Fix")))</f>
        <v xml:space="preserve"> </v>
      </c>
      <c r="U590" s="4" t="str">
        <f ca="1">IF(OR(INDEX($AG$2:$AG$1001,MATCH(ROWS($AF$2:AF590),$AF$2:$AF$1001,0),1)&gt;=100000,INDEX($AM$1005:$BM$1005,1,MATCH(COLUMNS($AM$1006:BF1006),$AM$1006:$BM$1006,0))&gt;=100000), " ",IF(INDEX($AM$2:$BM$1001,MATCH(ROWS($AF$2:AF590),$AF$2:$AF$1001,0),MATCH(COLUMNS($AM$1006:BF1006),$AM$1006:$BM$1006,0)), HYPERLINK("#",""), HYPERLINK(CONCATENATE("#metadata!", ADDRESS(INDEX($AH$2:$AH$1001,MATCH(ROWS($AF$2:AF590),$AF$2:$AF$1001,0),0), INDEX($AM$1004:$BM$1004,1,MATCH(COLUMNS($AM$1006:BF1006),$AM$1006:$BM$1006,0)))),"Fix")))</f>
        <v xml:space="preserve"> </v>
      </c>
      <c r="V590" s="4" t="str">
        <f ca="1">IF(OR(INDEX($AG$2:$AG$1001,MATCH(ROWS($AF$2:AF590),$AF$2:$AF$1001,0),1)&gt;=100000,INDEX($AM$1005:$BM$1005,1,MATCH(COLUMNS($AM$1006:BG1006),$AM$1006:$BM$1006,0))&gt;=100000), " ",IF(INDEX($AM$2:$BM$1001,MATCH(ROWS($AF$2:AF590),$AF$2:$AF$1001,0),MATCH(COLUMNS($AM$1006:BG1006),$AM$1006:$BM$1006,0)), HYPERLINK("#",""), HYPERLINK(CONCATENATE("#metadata!", ADDRESS(INDEX($AH$2:$AH$1001,MATCH(ROWS($AF$2:AF590),$AF$2:$AF$1001,0),0), INDEX($AM$1004:$BM$1004,1,MATCH(COLUMNS($AM$1006:BG1006),$AM$1006:$BM$1006,0)))),"Fix")))</f>
        <v xml:space="preserve"> </v>
      </c>
      <c r="W590" s="4" t="str">
        <f ca="1">IF(OR(INDEX($AG$2:$AG$1001,MATCH(ROWS($AF$2:AF590),$AF$2:$AF$1001,0),1)&gt;=100000,INDEX($AM$1005:$BM$1005,1,MATCH(COLUMNS($AM$1006:BH1006),$AM$1006:$BM$1006,0))&gt;=100000), " ",IF(INDEX($AM$2:$BM$1001,MATCH(ROWS($AF$2:AF590),$AF$2:$AF$1001,0),MATCH(COLUMNS($AM$1006:BH1006),$AM$1006:$BM$1006,0)), HYPERLINK("#",""), HYPERLINK(CONCATENATE("#metadata!", ADDRESS(INDEX($AH$2:$AH$1001,MATCH(ROWS($AF$2:AF590),$AF$2:$AF$1001,0),0), INDEX($AM$1004:$BM$1004,1,MATCH(COLUMNS($AM$1006:BH1006),$AM$1006:$BM$1006,0)))),"Fix")))</f>
        <v xml:space="preserve"> </v>
      </c>
      <c r="X590" s="4" t="str">
        <f ca="1">IF(OR(INDEX($AG$2:$AG$1001,MATCH(ROWS($AF$2:AF590),$AF$2:$AF$1001,0),1)&gt;=100000,INDEX($AM$1005:$BM$1005,1,MATCH(COLUMNS($AM$1006:BI1006),$AM$1006:$BM$1006,0))&gt;=100000), " ",IF(INDEX($AM$2:$BM$1001,MATCH(ROWS($AF$2:AF590),$AF$2:$AF$1001,0),MATCH(COLUMNS($AM$1006:BI1006),$AM$1006:$BM$1006,0)), HYPERLINK("#",""), HYPERLINK(CONCATENATE("#metadata!", ADDRESS(INDEX($AH$2:$AH$1001,MATCH(ROWS($AF$2:AF590),$AF$2:$AF$1001,0),0), INDEX($AM$1004:$BM$1004,1,MATCH(COLUMNS($AM$1006:BI1006),$AM$1006:$BM$1006,0)))),"Fix")))</f>
        <v xml:space="preserve"> </v>
      </c>
      <c r="Y590" s="4" t="str">
        <f ca="1">IF(OR(INDEX($AG$2:$AG$1001,MATCH(ROWS($AF$2:AF590),$AF$2:$AF$1001,0),1)&gt;=100000,INDEX($AM$1005:$BM$1005,1,MATCH(COLUMNS($AM$1006:BJ1006),$AM$1006:$BM$1006,0))&gt;=100000), " ",IF(INDEX($AM$2:$BM$1001,MATCH(ROWS($AF$2:AF590),$AF$2:$AF$1001,0),MATCH(COLUMNS($AM$1006:BJ1006),$AM$1006:$BM$1006,0)), HYPERLINK("#",""), HYPERLINK(CONCATENATE("#metadata!", ADDRESS(INDEX($AH$2:$AH$1001,MATCH(ROWS($AF$2:AF590),$AF$2:$AF$1001,0),0), INDEX($AM$1004:$BM$1004,1,MATCH(COLUMNS($AM$1006:BJ1006),$AM$1006:$BM$1006,0)))),"Fix")))</f>
        <v xml:space="preserve"> </v>
      </c>
      <c r="Z590" s="4" t="str">
        <f ca="1">IF(OR(INDEX($AG$2:$AG$1001,MATCH(ROWS($AF$2:AF590),$AF$2:$AF$1001,0),1)&gt;=100000,INDEX($AM$1005:$BM$1005,1,MATCH(COLUMNS($AM$1006:BK1006),$AM$1006:$BM$1006,0))&gt;=100000), " ",IF(INDEX($AM$2:$BM$1001,MATCH(ROWS($AF$2:AF590),$AF$2:$AF$1001,0),MATCH(COLUMNS($AM$1006:BK1006),$AM$1006:$BM$1006,0)), HYPERLINK("#",""), HYPERLINK(CONCATENATE("#metadata!", ADDRESS(INDEX($AH$2:$AH$1001,MATCH(ROWS($AF$2:AF590),$AF$2:$AF$1001,0),0), INDEX($AM$1004:$BM$1004,1,MATCH(COLUMNS($AM$1006:BK1006),$AM$1006:$BM$1006,0)))),"Fix")))</f>
        <v xml:space="preserve"> </v>
      </c>
      <c r="AA590" s="4" t="str">
        <f ca="1">IF(OR(INDEX($AG$2:$AG$1001,MATCH(ROWS($AF$2:AF590),$AF$2:$AF$1001,0),1)&gt;=100000,INDEX($AM$1005:$BM$1005,1,MATCH(COLUMNS($AM$1006:BL1006),$AM$1006:$BM$1006,0))&gt;=100000), " ",IF(INDEX($AM$2:$BM$1001,MATCH(ROWS($AF$2:AF590),$AF$2:$AF$1001,0),MATCH(COLUMNS($AM$1006:BL1006),$AM$1006:$BM$1006,0)), HYPERLINK("#",""), HYPERLINK(CONCATENATE("#metadata!", ADDRESS(INDEX($AH$2:$AH$1001,MATCH(ROWS($AF$2:AF590),$AF$2:$AF$1001,0),0), INDEX($AM$1004:$BM$1004,1,MATCH(COLUMNS($AM$1006:BL1006),$AM$1006:$BM$1006,0)))),"Fix")))</f>
        <v xml:space="preserve"> </v>
      </c>
      <c r="AB590" s="4" t="str">
        <f ca="1">IF(OR(INDEX($AG$2:$AG$1001,MATCH(ROWS($AF$2:AF590),$AF$2:$AF$1001,0),1)&gt;=100000,INDEX($AM$1005:$BM$1005,1,MATCH(COLUMNS($AM$1006:BM1006),$AM$1006:$BM$1006,0))&gt;=100000), " ",IF(INDEX($AM$2:$BM$1001,MATCH(ROWS($AF$2:AF590),$AF$2:$AF$1001,0),MATCH(COLUMNS($AM$1006:BM1006),$AM$1006:$BM$1006,0)), HYPERLINK("#",""), HYPERLINK(CONCATENATE("#metadata!", ADDRESS(INDEX($AH$2:$AH$1001,MATCH(ROWS($AF$2:AF590),$AF$2:$AF$1001,0),0), INDEX($AM$1004:$BM$1004,1,MATCH(COLUMNS($AM$1006:BM1006),$AM$1006:$BM$1006,0)))),"Fix")))</f>
        <v xml:space="preserve"> </v>
      </c>
      <c r="AF590">
        <v>589</v>
      </c>
      <c r="AG590">
        <v>100590</v>
      </c>
      <c r="AH590">
        <v>590</v>
      </c>
      <c r="AI590" t="b">
        <f t="shared" si="9"/>
        <v>1</v>
      </c>
      <c r="AJ590" t="b">
        <f>COUNTBLANK(metadata!B590:AB590)=COLUMNS(metadata!B590:AB590)</f>
        <v>1</v>
      </c>
      <c r="AK590" t="str">
        <v/>
      </c>
      <c r="AM590" t="b">
        <f ca="1">AND(IF(metadata!B590="",FALSE,TRUE),COUNTIF(metadata!B:B, metadata!B590) = 1,NOT(ISERROR(SUMPRODUCT(SEARCH(MID(metadata!B590,ROW(INDIRECT("1:"&amp;LEN(metadata!B590))), 1),"0123456789abcdefghijklmnopqrstuvwxyzABCDEFGHIJKLMNOPQRSTUVWXYZ.")))))</f>
        <v>0</v>
      </c>
      <c r="AN590" t="b">
        <f ca="1">OR(AND(IF(metadata!C590="",FALSE,TRUE),OR(EXACT(metadata!C590,"missing: not collected"),EXACT(metadata!C590,"missing: not provided"),EXACT(metadata!C590,"missing: restricted access"))),AND(IF(metadata!C590="",FALSE,TRUE),AND(AND(IFERROR(INT(LEFT(metadata!C590,4))&gt;1900,FALSE),IFERROR(INT(LEFT(metadata!C590,4))&lt;=YEAR(NOW()),FALSE)), OR(MID(metadata!C590,5,1)="", AND(AND(MID(metadata!C590,5,1)="-",IFERROR(INT(MID(metadata!C590,6,1))&gt;=0,FALSE),IFERROR(INT(MID(metadata!C590,6,1))&lt;=1,FALSE),NOT(MID(metadata!C590,7,1)=""),IFERROR(INT(MID(metadata!C590,6,2))&gt;=1,FALSE),IFERROR(INT(MID(metadata!C590,6,2))&lt;=12,FALSE)), OR(MID(metadata!C590,8,1)="", AND(AND(MID(metadata!C590,8,1)="-",IFERROR(INT(MID(metadata!C590,9,1))&gt;=0,FALSE),IFERROR(INT(MID(metadata!C590,9,1))&lt;=3,FALSE),NOT(MID(metadata!C590,10,1)=""),IFERROR(INT(MID(metadata!C590,9,2))&gt;=1,FALSE),IFERROR(INT(MID(metadata!C590,9,2))&lt;=31,FALSE)), OR(MID(metadata!C590,11,1)="", AND(AND(MID(metadata!C590,11,1)=" ",IFERROR(INT(MID(metadata!C590,12,1))&gt;=0,FALSE),IFERROR(INT(MID(metadata!C590,12,1))&lt;=2,FALSE),NOT(MID(metadata!C590,13,1)=""),IFERROR(INT(MID(metadata!C590,12,2))&gt;=0,FALSE),IFERROR(INT(MID(metadata!C590,12,2))&lt;=23,FALSE)), OR(MID(metadata!C590,14,1)="", AND(AND(MID(metadata!C590,14,1)=":",IFERROR(INT(MID(metadata!C590,15,1))&gt;=0,FALSE),IFERROR(INT(MID(metadata!C590,15,1))&lt;=5,FALSE),NOT(MID(metadata!C590,16,1)=""),IFERROR(INT(MID(metadata!C590,15,2))&gt;=0,FALSE),IFERROR(INT(MID(metadata!C590,15,2))&lt;=59,FALSE)), OR(MID(metadata!C590,17,1)="", AND(AND(MID(metadata!C590,17,1)=":",IFERROR(INT(MID(metadata!C590,18,1))&gt;=0,FALSE),IFERROR(INT(MID(metadata!C590,18,1))&lt;=5,FALSE),NOT(MID(metadata!C590,19,1)=""),IFERROR(INT(MID(metadata!C590,18,2))&gt;=0,FALSE),IFERROR(INT(MID(metadata!C590,18,2))&lt;=59,FALSE)), LEN(metadata!C590)&lt;=19)))))))))))))</f>
        <v>0</v>
      </c>
      <c r="AO590" t="b">
        <f>AND(IF(metadata!D590="",FALSE,TRUE),EXACT(metadata!D590,"Not applicable"))</f>
        <v>0</v>
      </c>
      <c r="AP590" t="b">
        <f>IF(metadata!E590="",FALSE,TRUE)</f>
        <v>0</v>
      </c>
      <c r="AQ590" t="b">
        <f>OR(AND(IF(metadata!F590="",FALSE,TRUE),OR(EXACT(metadata!F590,"missing: not collected"),EXACT(metadata!F590,"missing: not provided"))),AND(IF(metadata!F590="",FALSE,TRUE),OR(EXACT(metadata!F590,"TRUE"),EXACT(metadata!F590,"FALSE"))))</f>
        <v>0</v>
      </c>
      <c r="AR590" t="b">
        <f>OR(AND(IF(metadata!G590="",FALSE,TRUE),OR(EXACT(metadata!G590,"missing: not collected"),EXACT(metadata!G590,"missing: not provided"),EXACT(metadata!G590,"missing: restricted access"))),AND(IF(metadata!G590="",FALSE,ISNUMBER(VALUE(metadata!G590))),metadata!G590&gt;=-413))</f>
        <v>0</v>
      </c>
      <c r="AS590" t="b">
        <f>AND(IF(metadata!H590="",FALSE,TRUE),EXACT(metadata!H590,"meters"))</f>
        <v>0</v>
      </c>
      <c r="AT590" t="b">
        <f>AND(IF(metadata!I590="",FALSE,TRUE),OR(EXACT(metadata!I590,"Host-associated"),EXACT(metadata!I590,"Free-living")))</f>
        <v>0</v>
      </c>
      <c r="AU590" t="b">
        <f>AND(IF(metadata!J590="",FALSE,TRUE),OR(EXACT(metadata!J590,"Animal"),EXACT(metadata!J590,"Fungus"),EXACT(metadata!J590,"Plant"),EXACT(metadata!J590,"Saline"),EXACT(metadata!J590,"Non-saline")))</f>
        <v>0</v>
      </c>
      <c r="AV590" t="b">
        <f>AND(IF(metadata!K590="",FALSE,TRUE),OR(EXACT(metadata!K590,"Plant secretion"),EXACT(metadata!K590,"Plant rhizosphere"),EXACT(metadata!K590,"Plant surface"),EXACT(metadata!K590,"Plant corpus"),EXACT(metadata!K590,"Fungus surface"),EXACT(metadata!K590,"Fungus corpus"),EXACT(metadata!K590,"Animal surface"),EXACT(metadata!K590,"Animal proximal gut"),EXACT(metadata!K590,"Animal corpus"),EXACT(metadata!K590,"Animal distal gut"),EXACT(metadata!K590,"Animal secretion"),EXACT(metadata!K590,"Sub-surface (non-saline)"),EXACT(metadata!K590,"Surface (non-saline)"),EXACT(metadata!K590,"Water (non-saline)"),EXACT(metadata!K590,"Soil (non-saline)"),EXACT(metadata!K590,"Aerosol (non-saline)"),EXACT(metadata!K590,"Sediment (non-saline)"),EXACT(metadata!K590,"Surface (saline)"),EXACT(metadata!K590,"Water (saline)"),EXACT(metadata!K590,"Hypersaline (saline)"),EXACT(metadata!K590,"Aerosol (saline)"),EXACT(metadata!K590,"Sediment (saline)")))</f>
        <v>0</v>
      </c>
      <c r="AW590" t="b">
        <f>IF(metadata!L590="",FALSE,TRUE)</f>
        <v>0</v>
      </c>
      <c r="AX590" t="b">
        <f>IF(metadata!M590="",FALSE,TRUE)</f>
        <v>0</v>
      </c>
      <c r="AY590" t="b">
        <f>IF(metadata!N590="",FALSE,TRUE)</f>
        <v>0</v>
      </c>
      <c r="AZ590" t="b">
        <f>OR(AND(IF(metadata!O590="",FALSE,TRUE),OR(EXACT(metadata!O590,"missing: not collected"),EXACT(metadata!O590,"missing: not provided"),EXACT(metadata!O590,"missing: restricted access"))),AND(IF(metadata!O590="",FALSE,TRUE),OR(EXACT(metadata!O590,"air"),EXACT(metadata!O590,"built environment"),EXACT(metadata!O590,"host-associated"),EXACT(metadata!O590,"human-associated"),EXACT(metadata!O590,"human-skin"),EXACT(metadata!O590,"human-oral"),EXACT(metadata!O590,"human-gut"),EXACT(metadata!O590,"human-vaginal"),EXACT(metadata!O590,"microbial mat/biofilm"),EXACT(metadata!O590,"misc environment"),EXACT(metadata!O590,"plant-associated"),EXACT(metadata!O590,"sediment"),EXACT(metadata!O590,"soil"),EXACT(metadata!O590,"wastewater/sludge"),EXACT(metadata!O590,"water"))))</f>
        <v>0</v>
      </c>
      <c r="BA590" t="b">
        <f>IF(metadata!P590="",FALSE,TRUE)</f>
        <v>0</v>
      </c>
      <c r="BB590" t="b">
        <f>IF(metadata!Q590="",FALSE,TRUE)</f>
        <v>0</v>
      </c>
      <c r="BC590" t="b">
        <f>OR(AND(IF(metadata!R590="",FALSE,TRUE),OR(EXACT(metadata!R590,"missing: not collected"),EXACT(metadata!R590,"missing: not provided"),EXACT(metadata!R590,"missing: restricted access"))),AND(IF(metadata!R590="",FALSE,ISNUMBER(VALUE(metadata!R590))),metadata!R590&gt;=-90,metadata!R590&lt;=90))</f>
        <v>0</v>
      </c>
      <c r="BD590" t="b">
        <f>AND(IF(metadata!S590="",FALSE,TRUE),EXACT(metadata!S590,"Decimal degrees"))</f>
        <v>0</v>
      </c>
      <c r="BE590" t="b">
        <f>OR(AND(IF(metadata!T590="",FALSE,TRUE),OR(EXACT(metadata!T590,"missing: not collected"),EXACT(metadata!T590,"missing: not provided"),EXACT(metadata!T590,"missing: restricted access"))),AND(IF(metadata!T590="",FALSE,ISNUMBER(VALUE(metadata!T590))),metadata!T590&gt;=-180,metadata!T590&lt;=180))</f>
        <v>0</v>
      </c>
      <c r="BF590" t="b">
        <f>AND(IF(metadata!U590="",FALSE,TRUE),EXACT(metadata!U590,"Decimal degrees"))</f>
        <v>0</v>
      </c>
      <c r="BG590" t="b">
        <f>IF(metadata!V590="",FALSE,TRUE)</f>
        <v>0</v>
      </c>
      <c r="BH590" t="b">
        <f>OR(AND(IF(metadata!W590="",FALSE,TRUE),OR(EXACT(metadata!W590,"missing: not collected"),EXACT(metadata!W590,"missing: not provided"),EXACT(metadata!W590,"missing: restricted access"))),AND(IF(metadata!W590="",FALSE,TRUE),OR(EXACT(metadata!W590,"TRUE"),EXACT(metadata!W590,"FALSE"))))</f>
        <v>0</v>
      </c>
      <c r="BI590" t="b">
        <f>AND(IF(metadata!X590="",FALSE,TRUE),EXACT(metadata!X590,"other"))</f>
        <v>0</v>
      </c>
      <c r="BJ590" t="b">
        <f>IF(metadata!Y590="",FALSE,TRUE)</f>
        <v>0</v>
      </c>
      <c r="BK590" t="b">
        <f>OR(AND(IF(metadata!Z590="",FALSE,TRUE),OR(EXACT(metadata!Z590,"missing: not collected"),EXACT(metadata!Z590,"missing: not provided"))),AND(IF(metadata!Z590="",FALSE,IF(ISERROR(INT(metadata!Z590)),FALSE,INT(metadata!Z590)=metadata!Z590)),metadata!Z590&gt;0))</f>
        <v>0</v>
      </c>
      <c r="BL590" t="b">
        <f>AND(IF(metadata!AA590="",FALSE,TRUE),EXACT(metadata!AA590,"Not applicable"))</f>
        <v>0</v>
      </c>
      <c r="BM590" t="b">
        <f>IF(metadata!AB590="",FALSE,TRUE)</f>
        <v>0</v>
      </c>
    </row>
    <row r="591" spans="1:65" x14ac:dyDescent="0.2">
      <c r="A591" s="5" t="str">
        <f ca="1">IF(B591=" "," ",HYPERLINK(CONCATENATE("#metadata!",ADDRESS(INDEX($AH$2:$AH$1001,MATCH(ROWS($AF$2:AF591),$AF$2:$AF$1001,0),0),1)),INDEX($AK$2:$AK$1001,MATCH(ROWS($AF$2:AF591),$AF$2:$AF$1001,0),0)))</f>
        <v xml:space="preserve"> </v>
      </c>
      <c r="B591" s="4" t="str">
        <f ca="1">IF(OR(INDEX($AG$2:$AG$1001,MATCH(ROWS($AF$2:AF591),$AF$2:$AF$1001,0),1)&gt;=100000,INDEX($AM$1005:$BM$1005,1,MATCH(COLUMNS($AM$1006:AM1006),$AM$1006:$BM$1006,0))&gt;=100000), " ",IF(INDEX($AM$2:$BM$1001,MATCH(ROWS($AF$2:AF591),$AF$2:$AF$1001,0),MATCH(COLUMNS($AM$1006:AM1006),$AM$1006:$BM$1006,0)), HYPERLINK("#",""), HYPERLINK(CONCATENATE("#metadata!", ADDRESS(INDEX($AH$2:$AH$1001,MATCH(ROWS($AF$2:AF591),$AF$2:$AF$1001,0),0), INDEX($AM$1004:$BM$1004,1,MATCH(COLUMNS($AM$1006:AM1006),$AM$1006:$BM$1006,0)))),"Fix")))</f>
        <v xml:space="preserve"> </v>
      </c>
      <c r="C591" s="4" t="str">
        <f ca="1">IF(OR(INDEX($AG$2:$AG$1001,MATCH(ROWS($AF$2:AF591),$AF$2:$AF$1001,0),1)&gt;=100000,INDEX($AM$1005:$BM$1005,1,MATCH(COLUMNS($AM$1006:AN1006),$AM$1006:$BM$1006,0))&gt;=100000), " ",IF(INDEX($AM$2:$BM$1001,MATCH(ROWS($AF$2:AF591),$AF$2:$AF$1001,0),MATCH(COLUMNS($AM$1006:AN1006),$AM$1006:$BM$1006,0)), HYPERLINK("#",""), HYPERLINK(CONCATENATE("#metadata!", ADDRESS(INDEX($AH$2:$AH$1001,MATCH(ROWS($AF$2:AF591),$AF$2:$AF$1001,0),0), INDEX($AM$1004:$BM$1004,1,MATCH(COLUMNS($AM$1006:AN1006),$AM$1006:$BM$1006,0)))),"Fix")))</f>
        <v xml:space="preserve"> </v>
      </c>
      <c r="D591" s="4" t="str">
        <f ca="1">IF(OR(INDEX($AG$2:$AG$1001,MATCH(ROWS($AF$2:AF591),$AF$2:$AF$1001,0),1)&gt;=100000,INDEX($AM$1005:$BM$1005,1,MATCH(COLUMNS($AM$1006:AO1006),$AM$1006:$BM$1006,0))&gt;=100000), " ",IF(INDEX($AM$2:$BM$1001,MATCH(ROWS($AF$2:AF591),$AF$2:$AF$1001,0),MATCH(COLUMNS($AM$1006:AO1006),$AM$1006:$BM$1006,0)), HYPERLINK("#",""), HYPERLINK(CONCATENATE("#metadata!", ADDRESS(INDEX($AH$2:$AH$1001,MATCH(ROWS($AF$2:AF591),$AF$2:$AF$1001,0),0), INDEX($AM$1004:$BM$1004,1,MATCH(COLUMNS($AM$1006:AO1006),$AM$1006:$BM$1006,0)))),"Fix")))</f>
        <v xml:space="preserve"> </v>
      </c>
      <c r="E591" s="4" t="str">
        <f ca="1">IF(OR(INDEX($AG$2:$AG$1001,MATCH(ROWS($AF$2:AF591),$AF$2:$AF$1001,0),1)&gt;=100000,INDEX($AM$1005:$BM$1005,1,MATCH(COLUMNS($AM$1006:AP1006),$AM$1006:$BM$1006,0))&gt;=100000), " ",IF(INDEX($AM$2:$BM$1001,MATCH(ROWS($AF$2:AF591),$AF$2:$AF$1001,0),MATCH(COLUMNS($AM$1006:AP1006),$AM$1006:$BM$1006,0)), HYPERLINK("#",""), HYPERLINK(CONCATENATE("#metadata!", ADDRESS(INDEX($AH$2:$AH$1001,MATCH(ROWS($AF$2:AF591),$AF$2:$AF$1001,0),0), INDEX($AM$1004:$BM$1004,1,MATCH(COLUMNS($AM$1006:AP1006),$AM$1006:$BM$1006,0)))),"Fix")))</f>
        <v xml:space="preserve"> </v>
      </c>
      <c r="F591" s="4" t="str">
        <f ca="1">IF(OR(INDEX($AG$2:$AG$1001,MATCH(ROWS($AF$2:AF591),$AF$2:$AF$1001,0),1)&gt;=100000,INDEX($AM$1005:$BM$1005,1,MATCH(COLUMNS($AM$1006:AQ1006),$AM$1006:$BM$1006,0))&gt;=100000), " ",IF(INDEX($AM$2:$BM$1001,MATCH(ROWS($AF$2:AF591),$AF$2:$AF$1001,0),MATCH(COLUMNS($AM$1006:AQ1006),$AM$1006:$BM$1006,0)), HYPERLINK("#",""), HYPERLINK(CONCATENATE("#metadata!", ADDRESS(INDEX($AH$2:$AH$1001,MATCH(ROWS($AF$2:AF591),$AF$2:$AF$1001,0),0), INDEX($AM$1004:$BM$1004,1,MATCH(COLUMNS($AM$1006:AQ1006),$AM$1006:$BM$1006,0)))),"Fix")))</f>
        <v xml:space="preserve"> </v>
      </c>
      <c r="G591" s="4" t="str">
        <f ca="1">IF(OR(INDEX($AG$2:$AG$1001,MATCH(ROWS($AF$2:AF591),$AF$2:$AF$1001,0),1)&gt;=100000,INDEX($AM$1005:$BM$1005,1,MATCH(COLUMNS($AM$1006:AR1006),$AM$1006:$BM$1006,0))&gt;=100000), " ",IF(INDEX($AM$2:$BM$1001,MATCH(ROWS($AF$2:AF591),$AF$2:$AF$1001,0),MATCH(COLUMNS($AM$1006:AR1006),$AM$1006:$BM$1006,0)), HYPERLINK("#",""), HYPERLINK(CONCATENATE("#metadata!", ADDRESS(INDEX($AH$2:$AH$1001,MATCH(ROWS($AF$2:AF591),$AF$2:$AF$1001,0),0), INDEX($AM$1004:$BM$1004,1,MATCH(COLUMNS($AM$1006:AR1006),$AM$1006:$BM$1006,0)))),"Fix")))</f>
        <v xml:space="preserve"> </v>
      </c>
      <c r="H591" s="4" t="str">
        <f ca="1">IF(OR(INDEX($AG$2:$AG$1001,MATCH(ROWS($AF$2:AF591),$AF$2:$AF$1001,0),1)&gt;=100000,INDEX($AM$1005:$BM$1005,1,MATCH(COLUMNS($AM$1006:AS1006),$AM$1006:$BM$1006,0))&gt;=100000), " ",IF(INDEX($AM$2:$BM$1001,MATCH(ROWS($AF$2:AF591),$AF$2:$AF$1001,0),MATCH(COLUMNS($AM$1006:AS1006),$AM$1006:$BM$1006,0)), HYPERLINK("#",""), HYPERLINK(CONCATENATE("#metadata!", ADDRESS(INDEX($AH$2:$AH$1001,MATCH(ROWS($AF$2:AF591),$AF$2:$AF$1001,0),0), INDEX($AM$1004:$BM$1004,1,MATCH(COLUMNS($AM$1006:AS1006),$AM$1006:$BM$1006,0)))),"Fix")))</f>
        <v xml:space="preserve"> </v>
      </c>
      <c r="I591" s="4" t="str">
        <f ca="1">IF(OR(INDEX($AG$2:$AG$1001,MATCH(ROWS($AF$2:AF591),$AF$2:$AF$1001,0),1)&gt;=100000,INDEX($AM$1005:$BM$1005,1,MATCH(COLUMNS($AM$1006:AT1006),$AM$1006:$BM$1006,0))&gt;=100000), " ",IF(INDEX($AM$2:$BM$1001,MATCH(ROWS($AF$2:AF591),$AF$2:$AF$1001,0),MATCH(COLUMNS($AM$1006:AT1006),$AM$1006:$BM$1006,0)), HYPERLINK("#",""), HYPERLINK(CONCATENATE("#metadata!", ADDRESS(INDEX($AH$2:$AH$1001,MATCH(ROWS($AF$2:AF591),$AF$2:$AF$1001,0),0), INDEX($AM$1004:$BM$1004,1,MATCH(COLUMNS($AM$1006:AT1006),$AM$1006:$BM$1006,0)))),"Fix")))</f>
        <v xml:space="preserve"> </v>
      </c>
      <c r="J591" s="4" t="str">
        <f ca="1">IF(OR(INDEX($AG$2:$AG$1001,MATCH(ROWS($AF$2:AF591),$AF$2:$AF$1001,0),1)&gt;=100000,INDEX($AM$1005:$BM$1005,1,MATCH(COLUMNS($AM$1006:AU1006),$AM$1006:$BM$1006,0))&gt;=100000), " ",IF(INDEX($AM$2:$BM$1001,MATCH(ROWS($AF$2:AF591),$AF$2:$AF$1001,0),MATCH(COLUMNS($AM$1006:AU1006),$AM$1006:$BM$1006,0)), HYPERLINK("#",""), HYPERLINK(CONCATENATE("#metadata!", ADDRESS(INDEX($AH$2:$AH$1001,MATCH(ROWS($AF$2:AF591),$AF$2:$AF$1001,0),0), INDEX($AM$1004:$BM$1004,1,MATCH(COLUMNS($AM$1006:AU1006),$AM$1006:$BM$1006,0)))),"Fix")))</f>
        <v xml:space="preserve"> </v>
      </c>
      <c r="K591" s="4" t="str">
        <f ca="1">IF(OR(INDEX($AG$2:$AG$1001,MATCH(ROWS($AF$2:AF591),$AF$2:$AF$1001,0),1)&gt;=100000,INDEX($AM$1005:$BM$1005,1,MATCH(COLUMNS($AM$1006:AV1006),$AM$1006:$BM$1006,0))&gt;=100000), " ",IF(INDEX($AM$2:$BM$1001,MATCH(ROWS($AF$2:AF591),$AF$2:$AF$1001,0),MATCH(COLUMNS($AM$1006:AV1006),$AM$1006:$BM$1006,0)), HYPERLINK("#",""), HYPERLINK(CONCATENATE("#metadata!", ADDRESS(INDEX($AH$2:$AH$1001,MATCH(ROWS($AF$2:AF591),$AF$2:$AF$1001,0),0), INDEX($AM$1004:$BM$1004,1,MATCH(COLUMNS($AM$1006:AV1006),$AM$1006:$BM$1006,0)))),"Fix")))</f>
        <v xml:space="preserve"> </v>
      </c>
      <c r="L591" s="4" t="str">
        <f ca="1">IF(OR(INDEX($AG$2:$AG$1001,MATCH(ROWS($AF$2:AF591),$AF$2:$AF$1001,0),1)&gt;=100000,INDEX($AM$1005:$BM$1005,1,MATCH(COLUMNS($AM$1006:AW1006),$AM$1006:$BM$1006,0))&gt;=100000), " ",IF(INDEX($AM$2:$BM$1001,MATCH(ROWS($AF$2:AF591),$AF$2:$AF$1001,0),MATCH(COLUMNS($AM$1006:AW1006),$AM$1006:$BM$1006,0)), HYPERLINK("#",""), HYPERLINK(CONCATENATE("#metadata!", ADDRESS(INDEX($AH$2:$AH$1001,MATCH(ROWS($AF$2:AF591),$AF$2:$AF$1001,0),0), INDEX($AM$1004:$BM$1004,1,MATCH(COLUMNS($AM$1006:AW1006),$AM$1006:$BM$1006,0)))),"Fix")))</f>
        <v xml:space="preserve"> </v>
      </c>
      <c r="M591" s="4" t="str">
        <f ca="1">IF(OR(INDEX($AG$2:$AG$1001,MATCH(ROWS($AF$2:AF591),$AF$2:$AF$1001,0),1)&gt;=100000,INDEX($AM$1005:$BM$1005,1,MATCH(COLUMNS($AM$1006:AX1006),$AM$1006:$BM$1006,0))&gt;=100000), " ",IF(INDEX($AM$2:$BM$1001,MATCH(ROWS($AF$2:AF591),$AF$2:$AF$1001,0),MATCH(COLUMNS($AM$1006:AX1006),$AM$1006:$BM$1006,0)), HYPERLINK("#",""), HYPERLINK(CONCATENATE("#metadata!", ADDRESS(INDEX($AH$2:$AH$1001,MATCH(ROWS($AF$2:AF591),$AF$2:$AF$1001,0),0), INDEX($AM$1004:$BM$1004,1,MATCH(COLUMNS($AM$1006:AX1006),$AM$1006:$BM$1006,0)))),"Fix")))</f>
        <v xml:space="preserve"> </v>
      </c>
      <c r="N591" s="4" t="str">
        <f ca="1">IF(OR(INDEX($AG$2:$AG$1001,MATCH(ROWS($AF$2:AF591),$AF$2:$AF$1001,0),1)&gt;=100000,INDEX($AM$1005:$BM$1005,1,MATCH(COLUMNS($AM$1006:AY1006),$AM$1006:$BM$1006,0))&gt;=100000), " ",IF(INDEX($AM$2:$BM$1001,MATCH(ROWS($AF$2:AF591),$AF$2:$AF$1001,0),MATCH(COLUMNS($AM$1006:AY1006),$AM$1006:$BM$1006,0)), HYPERLINK("#",""), HYPERLINK(CONCATENATE("#metadata!", ADDRESS(INDEX($AH$2:$AH$1001,MATCH(ROWS($AF$2:AF591),$AF$2:$AF$1001,0),0), INDEX($AM$1004:$BM$1004,1,MATCH(COLUMNS($AM$1006:AY1006),$AM$1006:$BM$1006,0)))),"Fix")))</f>
        <v xml:space="preserve"> </v>
      </c>
      <c r="O591" s="4" t="str">
        <f ca="1">IF(OR(INDEX($AG$2:$AG$1001,MATCH(ROWS($AF$2:AF591),$AF$2:$AF$1001,0),1)&gt;=100000,INDEX($AM$1005:$BM$1005,1,MATCH(COLUMNS($AM$1006:AZ1006),$AM$1006:$BM$1006,0))&gt;=100000), " ",IF(INDEX($AM$2:$BM$1001,MATCH(ROWS($AF$2:AF591),$AF$2:$AF$1001,0),MATCH(COLUMNS($AM$1006:AZ1006),$AM$1006:$BM$1006,0)), HYPERLINK("#",""), HYPERLINK(CONCATENATE("#metadata!", ADDRESS(INDEX($AH$2:$AH$1001,MATCH(ROWS($AF$2:AF591),$AF$2:$AF$1001,0),0), INDEX($AM$1004:$BM$1004,1,MATCH(COLUMNS($AM$1006:AZ1006),$AM$1006:$BM$1006,0)))),"Fix")))</f>
        <v xml:space="preserve"> </v>
      </c>
      <c r="P591" s="4" t="str">
        <f ca="1">IF(OR(INDEX($AG$2:$AG$1001,MATCH(ROWS($AF$2:AF591),$AF$2:$AF$1001,0),1)&gt;=100000,INDEX($AM$1005:$BM$1005,1,MATCH(COLUMNS($AM$1006:BA1006),$AM$1006:$BM$1006,0))&gt;=100000), " ",IF(INDEX($AM$2:$BM$1001,MATCH(ROWS($AF$2:AF591),$AF$2:$AF$1001,0),MATCH(COLUMNS($AM$1006:BA1006),$AM$1006:$BM$1006,0)), HYPERLINK("#",""), HYPERLINK(CONCATENATE("#metadata!", ADDRESS(INDEX($AH$2:$AH$1001,MATCH(ROWS($AF$2:AF591),$AF$2:$AF$1001,0),0), INDEX($AM$1004:$BM$1004,1,MATCH(COLUMNS($AM$1006:BA1006),$AM$1006:$BM$1006,0)))),"Fix")))</f>
        <v xml:space="preserve"> </v>
      </c>
      <c r="Q591" s="4" t="str">
        <f ca="1">IF(OR(INDEX($AG$2:$AG$1001,MATCH(ROWS($AF$2:AF591),$AF$2:$AF$1001,0),1)&gt;=100000,INDEX($AM$1005:$BM$1005,1,MATCH(COLUMNS($AM$1006:BB1006),$AM$1006:$BM$1006,0))&gt;=100000), " ",IF(INDEX($AM$2:$BM$1001,MATCH(ROWS($AF$2:AF591),$AF$2:$AF$1001,0),MATCH(COLUMNS($AM$1006:BB1006),$AM$1006:$BM$1006,0)), HYPERLINK("#",""), HYPERLINK(CONCATENATE("#metadata!", ADDRESS(INDEX($AH$2:$AH$1001,MATCH(ROWS($AF$2:AF591),$AF$2:$AF$1001,0),0), INDEX($AM$1004:$BM$1004,1,MATCH(COLUMNS($AM$1006:BB1006),$AM$1006:$BM$1006,0)))),"Fix")))</f>
        <v xml:space="preserve"> </v>
      </c>
      <c r="R591" s="4" t="str">
        <f ca="1">IF(OR(INDEX($AG$2:$AG$1001,MATCH(ROWS($AF$2:AF591),$AF$2:$AF$1001,0),1)&gt;=100000,INDEX($AM$1005:$BM$1005,1,MATCH(COLUMNS($AM$1006:BC1006),$AM$1006:$BM$1006,0))&gt;=100000), " ",IF(INDEX($AM$2:$BM$1001,MATCH(ROWS($AF$2:AF591),$AF$2:$AF$1001,0),MATCH(COLUMNS($AM$1006:BC1006),$AM$1006:$BM$1006,0)), HYPERLINK("#",""), HYPERLINK(CONCATENATE("#metadata!", ADDRESS(INDEX($AH$2:$AH$1001,MATCH(ROWS($AF$2:AF591),$AF$2:$AF$1001,0),0), INDEX($AM$1004:$BM$1004,1,MATCH(COLUMNS($AM$1006:BC1006),$AM$1006:$BM$1006,0)))),"Fix")))</f>
        <v xml:space="preserve"> </v>
      </c>
      <c r="S591" s="4" t="str">
        <f ca="1">IF(OR(INDEX($AG$2:$AG$1001,MATCH(ROWS($AF$2:AF591),$AF$2:$AF$1001,0),1)&gt;=100000,INDEX($AM$1005:$BM$1005,1,MATCH(COLUMNS($AM$1006:BD1006),$AM$1006:$BM$1006,0))&gt;=100000), " ",IF(INDEX($AM$2:$BM$1001,MATCH(ROWS($AF$2:AF591),$AF$2:$AF$1001,0),MATCH(COLUMNS($AM$1006:BD1006),$AM$1006:$BM$1006,0)), HYPERLINK("#",""), HYPERLINK(CONCATENATE("#metadata!", ADDRESS(INDEX($AH$2:$AH$1001,MATCH(ROWS($AF$2:AF591),$AF$2:$AF$1001,0),0), INDEX($AM$1004:$BM$1004,1,MATCH(COLUMNS($AM$1006:BD1006),$AM$1006:$BM$1006,0)))),"Fix")))</f>
        <v xml:space="preserve"> </v>
      </c>
      <c r="T591" s="4" t="str">
        <f ca="1">IF(OR(INDEX($AG$2:$AG$1001,MATCH(ROWS($AF$2:AF591),$AF$2:$AF$1001,0),1)&gt;=100000,INDEX($AM$1005:$BM$1005,1,MATCH(COLUMNS($AM$1006:BE1006),$AM$1006:$BM$1006,0))&gt;=100000), " ",IF(INDEX($AM$2:$BM$1001,MATCH(ROWS($AF$2:AF591),$AF$2:$AF$1001,0),MATCH(COLUMNS($AM$1006:BE1006),$AM$1006:$BM$1006,0)), HYPERLINK("#",""), HYPERLINK(CONCATENATE("#metadata!", ADDRESS(INDEX($AH$2:$AH$1001,MATCH(ROWS($AF$2:AF591),$AF$2:$AF$1001,0),0), INDEX($AM$1004:$BM$1004,1,MATCH(COLUMNS($AM$1006:BE1006),$AM$1006:$BM$1006,0)))),"Fix")))</f>
        <v xml:space="preserve"> </v>
      </c>
      <c r="U591" s="4" t="str">
        <f ca="1">IF(OR(INDEX($AG$2:$AG$1001,MATCH(ROWS($AF$2:AF591),$AF$2:$AF$1001,0),1)&gt;=100000,INDEX($AM$1005:$BM$1005,1,MATCH(COLUMNS($AM$1006:BF1006),$AM$1006:$BM$1006,0))&gt;=100000), " ",IF(INDEX($AM$2:$BM$1001,MATCH(ROWS($AF$2:AF591),$AF$2:$AF$1001,0),MATCH(COLUMNS($AM$1006:BF1006),$AM$1006:$BM$1006,0)), HYPERLINK("#",""), HYPERLINK(CONCATENATE("#metadata!", ADDRESS(INDEX($AH$2:$AH$1001,MATCH(ROWS($AF$2:AF591),$AF$2:$AF$1001,0),0), INDEX($AM$1004:$BM$1004,1,MATCH(COLUMNS($AM$1006:BF1006),$AM$1006:$BM$1006,0)))),"Fix")))</f>
        <v xml:space="preserve"> </v>
      </c>
      <c r="V591" s="4" t="str">
        <f ca="1">IF(OR(INDEX($AG$2:$AG$1001,MATCH(ROWS($AF$2:AF591),$AF$2:$AF$1001,0),1)&gt;=100000,INDEX($AM$1005:$BM$1005,1,MATCH(COLUMNS($AM$1006:BG1006),$AM$1006:$BM$1006,0))&gt;=100000), " ",IF(INDEX($AM$2:$BM$1001,MATCH(ROWS($AF$2:AF591),$AF$2:$AF$1001,0),MATCH(COLUMNS($AM$1006:BG1006),$AM$1006:$BM$1006,0)), HYPERLINK("#",""), HYPERLINK(CONCATENATE("#metadata!", ADDRESS(INDEX($AH$2:$AH$1001,MATCH(ROWS($AF$2:AF591),$AF$2:$AF$1001,0),0), INDEX($AM$1004:$BM$1004,1,MATCH(COLUMNS($AM$1006:BG1006),$AM$1006:$BM$1006,0)))),"Fix")))</f>
        <v xml:space="preserve"> </v>
      </c>
      <c r="W591" s="4" t="str">
        <f ca="1">IF(OR(INDEX($AG$2:$AG$1001,MATCH(ROWS($AF$2:AF591),$AF$2:$AF$1001,0),1)&gt;=100000,INDEX($AM$1005:$BM$1005,1,MATCH(COLUMNS($AM$1006:BH1006),$AM$1006:$BM$1006,0))&gt;=100000), " ",IF(INDEX($AM$2:$BM$1001,MATCH(ROWS($AF$2:AF591),$AF$2:$AF$1001,0),MATCH(COLUMNS($AM$1006:BH1006),$AM$1006:$BM$1006,0)), HYPERLINK("#",""), HYPERLINK(CONCATENATE("#metadata!", ADDRESS(INDEX($AH$2:$AH$1001,MATCH(ROWS($AF$2:AF591),$AF$2:$AF$1001,0),0), INDEX($AM$1004:$BM$1004,1,MATCH(COLUMNS($AM$1006:BH1006),$AM$1006:$BM$1006,0)))),"Fix")))</f>
        <v xml:space="preserve"> </v>
      </c>
      <c r="X591" s="4" t="str">
        <f ca="1">IF(OR(INDEX($AG$2:$AG$1001,MATCH(ROWS($AF$2:AF591),$AF$2:$AF$1001,0),1)&gt;=100000,INDEX($AM$1005:$BM$1005,1,MATCH(COLUMNS($AM$1006:BI1006),$AM$1006:$BM$1006,0))&gt;=100000), " ",IF(INDEX($AM$2:$BM$1001,MATCH(ROWS($AF$2:AF591),$AF$2:$AF$1001,0),MATCH(COLUMNS($AM$1006:BI1006),$AM$1006:$BM$1006,0)), HYPERLINK("#",""), HYPERLINK(CONCATENATE("#metadata!", ADDRESS(INDEX($AH$2:$AH$1001,MATCH(ROWS($AF$2:AF591),$AF$2:$AF$1001,0),0), INDEX($AM$1004:$BM$1004,1,MATCH(COLUMNS($AM$1006:BI1006),$AM$1006:$BM$1006,0)))),"Fix")))</f>
        <v xml:space="preserve"> </v>
      </c>
      <c r="Y591" s="4" t="str">
        <f ca="1">IF(OR(INDEX($AG$2:$AG$1001,MATCH(ROWS($AF$2:AF591),$AF$2:$AF$1001,0),1)&gt;=100000,INDEX($AM$1005:$BM$1005,1,MATCH(COLUMNS($AM$1006:BJ1006),$AM$1006:$BM$1006,0))&gt;=100000), " ",IF(INDEX($AM$2:$BM$1001,MATCH(ROWS($AF$2:AF591),$AF$2:$AF$1001,0),MATCH(COLUMNS($AM$1006:BJ1006),$AM$1006:$BM$1006,0)), HYPERLINK("#",""), HYPERLINK(CONCATENATE("#metadata!", ADDRESS(INDEX($AH$2:$AH$1001,MATCH(ROWS($AF$2:AF591),$AF$2:$AF$1001,0),0), INDEX($AM$1004:$BM$1004,1,MATCH(COLUMNS($AM$1006:BJ1006),$AM$1006:$BM$1006,0)))),"Fix")))</f>
        <v xml:space="preserve"> </v>
      </c>
      <c r="Z591" s="4" t="str">
        <f ca="1">IF(OR(INDEX($AG$2:$AG$1001,MATCH(ROWS($AF$2:AF591),$AF$2:$AF$1001,0),1)&gt;=100000,INDEX($AM$1005:$BM$1005,1,MATCH(COLUMNS($AM$1006:BK1006),$AM$1006:$BM$1006,0))&gt;=100000), " ",IF(INDEX($AM$2:$BM$1001,MATCH(ROWS($AF$2:AF591),$AF$2:$AF$1001,0),MATCH(COLUMNS($AM$1006:BK1006),$AM$1006:$BM$1006,0)), HYPERLINK("#",""), HYPERLINK(CONCATENATE("#metadata!", ADDRESS(INDEX($AH$2:$AH$1001,MATCH(ROWS($AF$2:AF591),$AF$2:$AF$1001,0),0), INDEX($AM$1004:$BM$1004,1,MATCH(COLUMNS($AM$1006:BK1006),$AM$1006:$BM$1006,0)))),"Fix")))</f>
        <v xml:space="preserve"> </v>
      </c>
      <c r="AA591" s="4" t="str">
        <f ca="1">IF(OR(INDEX($AG$2:$AG$1001,MATCH(ROWS($AF$2:AF591),$AF$2:$AF$1001,0),1)&gt;=100000,INDEX($AM$1005:$BM$1005,1,MATCH(COLUMNS($AM$1006:BL1006),$AM$1006:$BM$1006,0))&gt;=100000), " ",IF(INDEX($AM$2:$BM$1001,MATCH(ROWS($AF$2:AF591),$AF$2:$AF$1001,0),MATCH(COLUMNS($AM$1006:BL1006),$AM$1006:$BM$1006,0)), HYPERLINK("#",""), HYPERLINK(CONCATENATE("#metadata!", ADDRESS(INDEX($AH$2:$AH$1001,MATCH(ROWS($AF$2:AF591),$AF$2:$AF$1001,0),0), INDEX($AM$1004:$BM$1004,1,MATCH(COLUMNS($AM$1006:BL1006),$AM$1006:$BM$1006,0)))),"Fix")))</f>
        <v xml:space="preserve"> </v>
      </c>
      <c r="AB591" s="4" t="str">
        <f ca="1">IF(OR(INDEX($AG$2:$AG$1001,MATCH(ROWS($AF$2:AF591),$AF$2:$AF$1001,0),1)&gt;=100000,INDEX($AM$1005:$BM$1005,1,MATCH(COLUMNS($AM$1006:BM1006),$AM$1006:$BM$1006,0))&gt;=100000), " ",IF(INDEX($AM$2:$BM$1001,MATCH(ROWS($AF$2:AF591),$AF$2:$AF$1001,0),MATCH(COLUMNS($AM$1006:BM1006),$AM$1006:$BM$1006,0)), HYPERLINK("#",""), HYPERLINK(CONCATENATE("#metadata!", ADDRESS(INDEX($AH$2:$AH$1001,MATCH(ROWS($AF$2:AF591),$AF$2:$AF$1001,0),0), INDEX($AM$1004:$BM$1004,1,MATCH(COLUMNS($AM$1006:BM1006),$AM$1006:$BM$1006,0)))),"Fix")))</f>
        <v xml:space="preserve"> </v>
      </c>
      <c r="AF591">
        <v>590</v>
      </c>
      <c r="AG591">
        <v>100591</v>
      </c>
      <c r="AH591">
        <v>591</v>
      </c>
      <c r="AI591" t="b">
        <f t="shared" si="9"/>
        <v>1</v>
      </c>
      <c r="AJ591" t="b">
        <f>COUNTBLANK(metadata!B591:AB591)=COLUMNS(metadata!B591:AB591)</f>
        <v>1</v>
      </c>
      <c r="AK591" t="str">
        <v/>
      </c>
      <c r="AM591" t="b">
        <f ca="1">AND(IF(metadata!B591="",FALSE,TRUE),COUNTIF(metadata!B:B, metadata!B591) = 1,NOT(ISERROR(SUMPRODUCT(SEARCH(MID(metadata!B591,ROW(INDIRECT("1:"&amp;LEN(metadata!B591))), 1),"0123456789abcdefghijklmnopqrstuvwxyzABCDEFGHIJKLMNOPQRSTUVWXYZ.")))))</f>
        <v>0</v>
      </c>
      <c r="AN591" t="b">
        <f ca="1">OR(AND(IF(metadata!C591="",FALSE,TRUE),OR(EXACT(metadata!C591,"missing: not collected"),EXACT(metadata!C591,"missing: not provided"),EXACT(metadata!C591,"missing: restricted access"))),AND(IF(metadata!C591="",FALSE,TRUE),AND(AND(IFERROR(INT(LEFT(metadata!C591,4))&gt;1900,FALSE),IFERROR(INT(LEFT(metadata!C591,4))&lt;=YEAR(NOW()),FALSE)), OR(MID(metadata!C591,5,1)="", AND(AND(MID(metadata!C591,5,1)="-",IFERROR(INT(MID(metadata!C591,6,1))&gt;=0,FALSE),IFERROR(INT(MID(metadata!C591,6,1))&lt;=1,FALSE),NOT(MID(metadata!C591,7,1)=""),IFERROR(INT(MID(metadata!C591,6,2))&gt;=1,FALSE),IFERROR(INT(MID(metadata!C591,6,2))&lt;=12,FALSE)), OR(MID(metadata!C591,8,1)="", AND(AND(MID(metadata!C591,8,1)="-",IFERROR(INT(MID(metadata!C591,9,1))&gt;=0,FALSE),IFERROR(INT(MID(metadata!C591,9,1))&lt;=3,FALSE),NOT(MID(metadata!C591,10,1)=""),IFERROR(INT(MID(metadata!C591,9,2))&gt;=1,FALSE),IFERROR(INT(MID(metadata!C591,9,2))&lt;=31,FALSE)), OR(MID(metadata!C591,11,1)="", AND(AND(MID(metadata!C591,11,1)=" ",IFERROR(INT(MID(metadata!C591,12,1))&gt;=0,FALSE),IFERROR(INT(MID(metadata!C591,12,1))&lt;=2,FALSE),NOT(MID(metadata!C591,13,1)=""),IFERROR(INT(MID(metadata!C591,12,2))&gt;=0,FALSE),IFERROR(INT(MID(metadata!C591,12,2))&lt;=23,FALSE)), OR(MID(metadata!C591,14,1)="", AND(AND(MID(metadata!C591,14,1)=":",IFERROR(INT(MID(metadata!C591,15,1))&gt;=0,FALSE),IFERROR(INT(MID(metadata!C591,15,1))&lt;=5,FALSE),NOT(MID(metadata!C591,16,1)=""),IFERROR(INT(MID(metadata!C591,15,2))&gt;=0,FALSE),IFERROR(INT(MID(metadata!C591,15,2))&lt;=59,FALSE)), OR(MID(metadata!C591,17,1)="", AND(AND(MID(metadata!C591,17,1)=":",IFERROR(INT(MID(metadata!C591,18,1))&gt;=0,FALSE),IFERROR(INT(MID(metadata!C591,18,1))&lt;=5,FALSE),NOT(MID(metadata!C591,19,1)=""),IFERROR(INT(MID(metadata!C591,18,2))&gt;=0,FALSE),IFERROR(INT(MID(metadata!C591,18,2))&lt;=59,FALSE)), LEN(metadata!C591)&lt;=19)))))))))))))</f>
        <v>0</v>
      </c>
      <c r="AO591" t="b">
        <f>AND(IF(metadata!D591="",FALSE,TRUE),EXACT(metadata!D591,"Not applicable"))</f>
        <v>0</v>
      </c>
      <c r="AP591" t="b">
        <f>IF(metadata!E591="",FALSE,TRUE)</f>
        <v>0</v>
      </c>
      <c r="AQ591" t="b">
        <f>OR(AND(IF(metadata!F591="",FALSE,TRUE),OR(EXACT(metadata!F591,"missing: not collected"),EXACT(metadata!F591,"missing: not provided"))),AND(IF(metadata!F591="",FALSE,TRUE),OR(EXACT(metadata!F591,"TRUE"),EXACT(metadata!F591,"FALSE"))))</f>
        <v>0</v>
      </c>
      <c r="AR591" t="b">
        <f>OR(AND(IF(metadata!G591="",FALSE,TRUE),OR(EXACT(metadata!G591,"missing: not collected"),EXACT(metadata!G591,"missing: not provided"),EXACT(metadata!G591,"missing: restricted access"))),AND(IF(metadata!G591="",FALSE,ISNUMBER(VALUE(metadata!G591))),metadata!G591&gt;=-413))</f>
        <v>0</v>
      </c>
      <c r="AS591" t="b">
        <f>AND(IF(metadata!H591="",FALSE,TRUE),EXACT(metadata!H591,"meters"))</f>
        <v>0</v>
      </c>
      <c r="AT591" t="b">
        <f>AND(IF(metadata!I591="",FALSE,TRUE),OR(EXACT(metadata!I591,"Host-associated"),EXACT(metadata!I591,"Free-living")))</f>
        <v>0</v>
      </c>
      <c r="AU591" t="b">
        <f>AND(IF(metadata!J591="",FALSE,TRUE),OR(EXACT(metadata!J591,"Animal"),EXACT(metadata!J591,"Fungus"),EXACT(metadata!J591,"Plant"),EXACT(metadata!J591,"Saline"),EXACT(metadata!J591,"Non-saline")))</f>
        <v>0</v>
      </c>
      <c r="AV591" t="b">
        <f>AND(IF(metadata!K591="",FALSE,TRUE),OR(EXACT(metadata!K591,"Plant secretion"),EXACT(metadata!K591,"Plant rhizosphere"),EXACT(metadata!K591,"Plant surface"),EXACT(metadata!K591,"Plant corpus"),EXACT(metadata!K591,"Fungus surface"),EXACT(metadata!K591,"Fungus corpus"),EXACT(metadata!K591,"Animal surface"),EXACT(metadata!K591,"Animal proximal gut"),EXACT(metadata!K591,"Animal corpus"),EXACT(metadata!K591,"Animal distal gut"),EXACT(metadata!K591,"Animal secretion"),EXACT(metadata!K591,"Sub-surface (non-saline)"),EXACT(metadata!K591,"Surface (non-saline)"),EXACT(metadata!K591,"Water (non-saline)"),EXACT(metadata!K591,"Soil (non-saline)"),EXACT(metadata!K591,"Aerosol (non-saline)"),EXACT(metadata!K591,"Sediment (non-saline)"),EXACT(metadata!K591,"Surface (saline)"),EXACT(metadata!K591,"Water (saline)"),EXACT(metadata!K591,"Hypersaline (saline)"),EXACT(metadata!K591,"Aerosol (saline)"),EXACT(metadata!K591,"Sediment (saline)")))</f>
        <v>0</v>
      </c>
      <c r="AW591" t="b">
        <f>IF(metadata!L591="",FALSE,TRUE)</f>
        <v>0</v>
      </c>
      <c r="AX591" t="b">
        <f>IF(metadata!M591="",FALSE,TRUE)</f>
        <v>0</v>
      </c>
      <c r="AY591" t="b">
        <f>IF(metadata!N591="",FALSE,TRUE)</f>
        <v>0</v>
      </c>
      <c r="AZ591" t="b">
        <f>OR(AND(IF(metadata!O591="",FALSE,TRUE),OR(EXACT(metadata!O591,"missing: not collected"),EXACT(metadata!O591,"missing: not provided"),EXACT(metadata!O591,"missing: restricted access"))),AND(IF(metadata!O591="",FALSE,TRUE),OR(EXACT(metadata!O591,"air"),EXACT(metadata!O591,"built environment"),EXACT(metadata!O591,"host-associated"),EXACT(metadata!O591,"human-associated"),EXACT(metadata!O591,"human-skin"),EXACT(metadata!O591,"human-oral"),EXACT(metadata!O591,"human-gut"),EXACT(metadata!O591,"human-vaginal"),EXACT(metadata!O591,"microbial mat/biofilm"),EXACT(metadata!O591,"misc environment"),EXACT(metadata!O591,"plant-associated"),EXACT(metadata!O591,"sediment"),EXACT(metadata!O591,"soil"),EXACT(metadata!O591,"wastewater/sludge"),EXACT(metadata!O591,"water"))))</f>
        <v>0</v>
      </c>
      <c r="BA591" t="b">
        <f>IF(metadata!P591="",FALSE,TRUE)</f>
        <v>0</v>
      </c>
      <c r="BB591" t="b">
        <f>IF(metadata!Q591="",FALSE,TRUE)</f>
        <v>0</v>
      </c>
      <c r="BC591" t="b">
        <f>OR(AND(IF(metadata!R591="",FALSE,TRUE),OR(EXACT(metadata!R591,"missing: not collected"),EXACT(metadata!R591,"missing: not provided"),EXACT(metadata!R591,"missing: restricted access"))),AND(IF(metadata!R591="",FALSE,ISNUMBER(VALUE(metadata!R591))),metadata!R591&gt;=-90,metadata!R591&lt;=90))</f>
        <v>0</v>
      </c>
      <c r="BD591" t="b">
        <f>AND(IF(metadata!S591="",FALSE,TRUE),EXACT(metadata!S591,"Decimal degrees"))</f>
        <v>0</v>
      </c>
      <c r="BE591" t="b">
        <f>OR(AND(IF(metadata!T591="",FALSE,TRUE),OR(EXACT(metadata!T591,"missing: not collected"),EXACT(metadata!T591,"missing: not provided"),EXACT(metadata!T591,"missing: restricted access"))),AND(IF(metadata!T591="",FALSE,ISNUMBER(VALUE(metadata!T591))),metadata!T591&gt;=-180,metadata!T591&lt;=180))</f>
        <v>0</v>
      </c>
      <c r="BF591" t="b">
        <f>AND(IF(metadata!U591="",FALSE,TRUE),EXACT(metadata!U591,"Decimal degrees"))</f>
        <v>0</v>
      </c>
      <c r="BG591" t="b">
        <f>IF(metadata!V591="",FALSE,TRUE)</f>
        <v>0</v>
      </c>
      <c r="BH591" t="b">
        <f>OR(AND(IF(metadata!W591="",FALSE,TRUE),OR(EXACT(metadata!W591,"missing: not collected"),EXACT(metadata!W591,"missing: not provided"),EXACT(metadata!W591,"missing: restricted access"))),AND(IF(metadata!W591="",FALSE,TRUE),OR(EXACT(metadata!W591,"TRUE"),EXACT(metadata!W591,"FALSE"))))</f>
        <v>0</v>
      </c>
      <c r="BI591" t="b">
        <f>AND(IF(metadata!X591="",FALSE,TRUE),EXACT(metadata!X591,"other"))</f>
        <v>0</v>
      </c>
      <c r="BJ591" t="b">
        <f>IF(metadata!Y591="",FALSE,TRUE)</f>
        <v>0</v>
      </c>
      <c r="BK591" t="b">
        <f>OR(AND(IF(metadata!Z591="",FALSE,TRUE),OR(EXACT(metadata!Z591,"missing: not collected"),EXACT(metadata!Z591,"missing: not provided"))),AND(IF(metadata!Z591="",FALSE,IF(ISERROR(INT(metadata!Z591)),FALSE,INT(metadata!Z591)=metadata!Z591)),metadata!Z591&gt;0))</f>
        <v>0</v>
      </c>
      <c r="BL591" t="b">
        <f>AND(IF(metadata!AA591="",FALSE,TRUE),EXACT(metadata!AA591,"Not applicable"))</f>
        <v>0</v>
      </c>
      <c r="BM591" t="b">
        <f>IF(metadata!AB591="",FALSE,TRUE)</f>
        <v>0</v>
      </c>
    </row>
    <row r="592" spans="1:65" x14ac:dyDescent="0.2">
      <c r="A592" s="5" t="str">
        <f ca="1">IF(B592=" "," ",HYPERLINK(CONCATENATE("#metadata!",ADDRESS(INDEX($AH$2:$AH$1001,MATCH(ROWS($AF$2:AF592),$AF$2:$AF$1001,0),0),1)),INDEX($AK$2:$AK$1001,MATCH(ROWS($AF$2:AF592),$AF$2:$AF$1001,0),0)))</f>
        <v xml:space="preserve"> </v>
      </c>
      <c r="B592" s="4" t="str">
        <f ca="1">IF(OR(INDEX($AG$2:$AG$1001,MATCH(ROWS($AF$2:AF592),$AF$2:$AF$1001,0),1)&gt;=100000,INDEX($AM$1005:$BM$1005,1,MATCH(COLUMNS($AM$1006:AM1006),$AM$1006:$BM$1006,0))&gt;=100000), " ",IF(INDEX($AM$2:$BM$1001,MATCH(ROWS($AF$2:AF592),$AF$2:$AF$1001,0),MATCH(COLUMNS($AM$1006:AM1006),$AM$1006:$BM$1006,0)), HYPERLINK("#",""), HYPERLINK(CONCATENATE("#metadata!", ADDRESS(INDEX($AH$2:$AH$1001,MATCH(ROWS($AF$2:AF592),$AF$2:$AF$1001,0),0), INDEX($AM$1004:$BM$1004,1,MATCH(COLUMNS($AM$1006:AM1006),$AM$1006:$BM$1006,0)))),"Fix")))</f>
        <v xml:space="preserve"> </v>
      </c>
      <c r="C592" s="4" t="str">
        <f ca="1">IF(OR(INDEX($AG$2:$AG$1001,MATCH(ROWS($AF$2:AF592),$AF$2:$AF$1001,0),1)&gt;=100000,INDEX($AM$1005:$BM$1005,1,MATCH(COLUMNS($AM$1006:AN1006),$AM$1006:$BM$1006,0))&gt;=100000), " ",IF(INDEX($AM$2:$BM$1001,MATCH(ROWS($AF$2:AF592),$AF$2:$AF$1001,0),MATCH(COLUMNS($AM$1006:AN1006),$AM$1006:$BM$1006,0)), HYPERLINK("#",""), HYPERLINK(CONCATENATE("#metadata!", ADDRESS(INDEX($AH$2:$AH$1001,MATCH(ROWS($AF$2:AF592),$AF$2:$AF$1001,0),0), INDEX($AM$1004:$BM$1004,1,MATCH(COLUMNS($AM$1006:AN1006),$AM$1006:$BM$1006,0)))),"Fix")))</f>
        <v xml:space="preserve"> </v>
      </c>
      <c r="D592" s="4" t="str">
        <f ca="1">IF(OR(INDEX($AG$2:$AG$1001,MATCH(ROWS($AF$2:AF592),$AF$2:$AF$1001,0),1)&gt;=100000,INDEX($AM$1005:$BM$1005,1,MATCH(COLUMNS($AM$1006:AO1006),$AM$1006:$BM$1006,0))&gt;=100000), " ",IF(INDEX($AM$2:$BM$1001,MATCH(ROWS($AF$2:AF592),$AF$2:$AF$1001,0),MATCH(COLUMNS($AM$1006:AO1006),$AM$1006:$BM$1006,0)), HYPERLINK("#",""), HYPERLINK(CONCATENATE("#metadata!", ADDRESS(INDEX($AH$2:$AH$1001,MATCH(ROWS($AF$2:AF592),$AF$2:$AF$1001,0),0), INDEX($AM$1004:$BM$1004,1,MATCH(COLUMNS($AM$1006:AO1006),$AM$1006:$BM$1006,0)))),"Fix")))</f>
        <v xml:space="preserve"> </v>
      </c>
      <c r="E592" s="4" t="str">
        <f ca="1">IF(OR(INDEX($AG$2:$AG$1001,MATCH(ROWS($AF$2:AF592),$AF$2:$AF$1001,0),1)&gt;=100000,INDEX($AM$1005:$BM$1005,1,MATCH(COLUMNS($AM$1006:AP1006),$AM$1006:$BM$1006,0))&gt;=100000), " ",IF(INDEX($AM$2:$BM$1001,MATCH(ROWS($AF$2:AF592),$AF$2:$AF$1001,0),MATCH(COLUMNS($AM$1006:AP1006),$AM$1006:$BM$1006,0)), HYPERLINK("#",""), HYPERLINK(CONCATENATE("#metadata!", ADDRESS(INDEX($AH$2:$AH$1001,MATCH(ROWS($AF$2:AF592),$AF$2:$AF$1001,0),0), INDEX($AM$1004:$BM$1004,1,MATCH(COLUMNS($AM$1006:AP1006),$AM$1006:$BM$1006,0)))),"Fix")))</f>
        <v xml:space="preserve"> </v>
      </c>
      <c r="F592" s="4" t="str">
        <f ca="1">IF(OR(INDEX($AG$2:$AG$1001,MATCH(ROWS($AF$2:AF592),$AF$2:$AF$1001,0),1)&gt;=100000,INDEX($AM$1005:$BM$1005,1,MATCH(COLUMNS($AM$1006:AQ1006),$AM$1006:$BM$1006,0))&gt;=100000), " ",IF(INDEX($AM$2:$BM$1001,MATCH(ROWS($AF$2:AF592),$AF$2:$AF$1001,0),MATCH(COLUMNS($AM$1006:AQ1006),$AM$1006:$BM$1006,0)), HYPERLINK("#",""), HYPERLINK(CONCATENATE("#metadata!", ADDRESS(INDEX($AH$2:$AH$1001,MATCH(ROWS($AF$2:AF592),$AF$2:$AF$1001,0),0), INDEX($AM$1004:$BM$1004,1,MATCH(COLUMNS($AM$1006:AQ1006),$AM$1006:$BM$1006,0)))),"Fix")))</f>
        <v xml:space="preserve"> </v>
      </c>
      <c r="G592" s="4" t="str">
        <f ca="1">IF(OR(INDEX($AG$2:$AG$1001,MATCH(ROWS($AF$2:AF592),$AF$2:$AF$1001,0),1)&gt;=100000,INDEX($AM$1005:$BM$1005,1,MATCH(COLUMNS($AM$1006:AR1006),$AM$1006:$BM$1006,0))&gt;=100000), " ",IF(INDEX($AM$2:$BM$1001,MATCH(ROWS($AF$2:AF592),$AF$2:$AF$1001,0),MATCH(COLUMNS($AM$1006:AR1006),$AM$1006:$BM$1006,0)), HYPERLINK("#",""), HYPERLINK(CONCATENATE("#metadata!", ADDRESS(INDEX($AH$2:$AH$1001,MATCH(ROWS($AF$2:AF592),$AF$2:$AF$1001,0),0), INDEX($AM$1004:$BM$1004,1,MATCH(COLUMNS($AM$1006:AR1006),$AM$1006:$BM$1006,0)))),"Fix")))</f>
        <v xml:space="preserve"> </v>
      </c>
      <c r="H592" s="4" t="str">
        <f ca="1">IF(OR(INDEX($AG$2:$AG$1001,MATCH(ROWS($AF$2:AF592),$AF$2:$AF$1001,0),1)&gt;=100000,INDEX($AM$1005:$BM$1005,1,MATCH(COLUMNS($AM$1006:AS1006),$AM$1006:$BM$1006,0))&gt;=100000), " ",IF(INDEX($AM$2:$BM$1001,MATCH(ROWS($AF$2:AF592),$AF$2:$AF$1001,0),MATCH(COLUMNS($AM$1006:AS1006),$AM$1006:$BM$1006,0)), HYPERLINK("#",""), HYPERLINK(CONCATENATE("#metadata!", ADDRESS(INDEX($AH$2:$AH$1001,MATCH(ROWS($AF$2:AF592),$AF$2:$AF$1001,0),0), INDEX($AM$1004:$BM$1004,1,MATCH(COLUMNS($AM$1006:AS1006),$AM$1006:$BM$1006,0)))),"Fix")))</f>
        <v xml:space="preserve"> </v>
      </c>
      <c r="I592" s="4" t="str">
        <f ca="1">IF(OR(INDEX($AG$2:$AG$1001,MATCH(ROWS($AF$2:AF592),$AF$2:$AF$1001,0),1)&gt;=100000,INDEX($AM$1005:$BM$1005,1,MATCH(COLUMNS($AM$1006:AT1006),$AM$1006:$BM$1006,0))&gt;=100000), " ",IF(INDEX($AM$2:$BM$1001,MATCH(ROWS($AF$2:AF592),$AF$2:$AF$1001,0),MATCH(COLUMNS($AM$1006:AT1006),$AM$1006:$BM$1006,0)), HYPERLINK("#",""), HYPERLINK(CONCATENATE("#metadata!", ADDRESS(INDEX($AH$2:$AH$1001,MATCH(ROWS($AF$2:AF592),$AF$2:$AF$1001,0),0), INDEX($AM$1004:$BM$1004,1,MATCH(COLUMNS($AM$1006:AT1006),$AM$1006:$BM$1006,0)))),"Fix")))</f>
        <v xml:space="preserve"> </v>
      </c>
      <c r="J592" s="4" t="str">
        <f ca="1">IF(OR(INDEX($AG$2:$AG$1001,MATCH(ROWS($AF$2:AF592),$AF$2:$AF$1001,0),1)&gt;=100000,INDEX($AM$1005:$BM$1005,1,MATCH(COLUMNS($AM$1006:AU1006),$AM$1006:$BM$1006,0))&gt;=100000), " ",IF(INDEX($AM$2:$BM$1001,MATCH(ROWS($AF$2:AF592),$AF$2:$AF$1001,0),MATCH(COLUMNS($AM$1006:AU1006),$AM$1006:$BM$1006,0)), HYPERLINK("#",""), HYPERLINK(CONCATENATE("#metadata!", ADDRESS(INDEX($AH$2:$AH$1001,MATCH(ROWS($AF$2:AF592),$AF$2:$AF$1001,0),0), INDEX($AM$1004:$BM$1004,1,MATCH(COLUMNS($AM$1006:AU1006),$AM$1006:$BM$1006,0)))),"Fix")))</f>
        <v xml:space="preserve"> </v>
      </c>
      <c r="K592" s="4" t="str">
        <f ca="1">IF(OR(INDEX($AG$2:$AG$1001,MATCH(ROWS($AF$2:AF592),$AF$2:$AF$1001,0),1)&gt;=100000,INDEX($AM$1005:$BM$1005,1,MATCH(COLUMNS($AM$1006:AV1006),$AM$1006:$BM$1006,0))&gt;=100000), " ",IF(INDEX($AM$2:$BM$1001,MATCH(ROWS($AF$2:AF592),$AF$2:$AF$1001,0),MATCH(COLUMNS($AM$1006:AV1006),$AM$1006:$BM$1006,0)), HYPERLINK("#",""), HYPERLINK(CONCATENATE("#metadata!", ADDRESS(INDEX($AH$2:$AH$1001,MATCH(ROWS($AF$2:AF592),$AF$2:$AF$1001,0),0), INDEX($AM$1004:$BM$1004,1,MATCH(COLUMNS($AM$1006:AV1006),$AM$1006:$BM$1006,0)))),"Fix")))</f>
        <v xml:space="preserve"> </v>
      </c>
      <c r="L592" s="4" t="str">
        <f ca="1">IF(OR(INDEX($AG$2:$AG$1001,MATCH(ROWS($AF$2:AF592),$AF$2:$AF$1001,0),1)&gt;=100000,INDEX($AM$1005:$BM$1005,1,MATCH(COLUMNS($AM$1006:AW1006),$AM$1006:$BM$1006,0))&gt;=100000), " ",IF(INDEX($AM$2:$BM$1001,MATCH(ROWS($AF$2:AF592),$AF$2:$AF$1001,0),MATCH(COLUMNS($AM$1006:AW1006),$AM$1006:$BM$1006,0)), HYPERLINK("#",""), HYPERLINK(CONCATENATE("#metadata!", ADDRESS(INDEX($AH$2:$AH$1001,MATCH(ROWS($AF$2:AF592),$AF$2:$AF$1001,0),0), INDEX($AM$1004:$BM$1004,1,MATCH(COLUMNS($AM$1006:AW1006),$AM$1006:$BM$1006,0)))),"Fix")))</f>
        <v xml:space="preserve"> </v>
      </c>
      <c r="M592" s="4" t="str">
        <f ca="1">IF(OR(INDEX($AG$2:$AG$1001,MATCH(ROWS($AF$2:AF592),$AF$2:$AF$1001,0),1)&gt;=100000,INDEX($AM$1005:$BM$1005,1,MATCH(COLUMNS($AM$1006:AX1006),$AM$1006:$BM$1006,0))&gt;=100000), " ",IF(INDEX($AM$2:$BM$1001,MATCH(ROWS($AF$2:AF592),$AF$2:$AF$1001,0),MATCH(COLUMNS($AM$1006:AX1006),$AM$1006:$BM$1006,0)), HYPERLINK("#",""), HYPERLINK(CONCATENATE("#metadata!", ADDRESS(INDEX($AH$2:$AH$1001,MATCH(ROWS($AF$2:AF592),$AF$2:$AF$1001,0),0), INDEX($AM$1004:$BM$1004,1,MATCH(COLUMNS($AM$1006:AX1006),$AM$1006:$BM$1006,0)))),"Fix")))</f>
        <v xml:space="preserve"> </v>
      </c>
      <c r="N592" s="4" t="str">
        <f ca="1">IF(OR(INDEX($AG$2:$AG$1001,MATCH(ROWS($AF$2:AF592),$AF$2:$AF$1001,0),1)&gt;=100000,INDEX($AM$1005:$BM$1005,1,MATCH(COLUMNS($AM$1006:AY1006),$AM$1006:$BM$1006,0))&gt;=100000), " ",IF(INDEX($AM$2:$BM$1001,MATCH(ROWS($AF$2:AF592),$AF$2:$AF$1001,0),MATCH(COLUMNS($AM$1006:AY1006),$AM$1006:$BM$1006,0)), HYPERLINK("#",""), HYPERLINK(CONCATENATE("#metadata!", ADDRESS(INDEX($AH$2:$AH$1001,MATCH(ROWS($AF$2:AF592),$AF$2:$AF$1001,0),0), INDEX($AM$1004:$BM$1004,1,MATCH(COLUMNS($AM$1006:AY1006),$AM$1006:$BM$1006,0)))),"Fix")))</f>
        <v xml:space="preserve"> </v>
      </c>
      <c r="O592" s="4" t="str">
        <f ca="1">IF(OR(INDEX($AG$2:$AG$1001,MATCH(ROWS($AF$2:AF592),$AF$2:$AF$1001,0),1)&gt;=100000,INDEX($AM$1005:$BM$1005,1,MATCH(COLUMNS($AM$1006:AZ1006),$AM$1006:$BM$1006,0))&gt;=100000), " ",IF(INDEX($AM$2:$BM$1001,MATCH(ROWS($AF$2:AF592),$AF$2:$AF$1001,0),MATCH(COLUMNS($AM$1006:AZ1006),$AM$1006:$BM$1006,0)), HYPERLINK("#",""), HYPERLINK(CONCATENATE("#metadata!", ADDRESS(INDEX($AH$2:$AH$1001,MATCH(ROWS($AF$2:AF592),$AF$2:$AF$1001,0),0), INDEX($AM$1004:$BM$1004,1,MATCH(COLUMNS($AM$1006:AZ1006),$AM$1006:$BM$1006,0)))),"Fix")))</f>
        <v xml:space="preserve"> </v>
      </c>
      <c r="P592" s="4" t="str">
        <f ca="1">IF(OR(INDEX($AG$2:$AG$1001,MATCH(ROWS($AF$2:AF592),$AF$2:$AF$1001,0),1)&gt;=100000,INDEX($AM$1005:$BM$1005,1,MATCH(COLUMNS($AM$1006:BA1006),$AM$1006:$BM$1006,0))&gt;=100000), " ",IF(INDEX($AM$2:$BM$1001,MATCH(ROWS($AF$2:AF592),$AF$2:$AF$1001,0),MATCH(COLUMNS($AM$1006:BA1006),$AM$1006:$BM$1006,0)), HYPERLINK("#",""), HYPERLINK(CONCATENATE("#metadata!", ADDRESS(INDEX($AH$2:$AH$1001,MATCH(ROWS($AF$2:AF592),$AF$2:$AF$1001,0),0), INDEX($AM$1004:$BM$1004,1,MATCH(COLUMNS($AM$1006:BA1006),$AM$1006:$BM$1006,0)))),"Fix")))</f>
        <v xml:space="preserve"> </v>
      </c>
      <c r="Q592" s="4" t="str">
        <f ca="1">IF(OR(INDEX($AG$2:$AG$1001,MATCH(ROWS($AF$2:AF592),$AF$2:$AF$1001,0),1)&gt;=100000,INDEX($AM$1005:$BM$1005,1,MATCH(COLUMNS($AM$1006:BB1006),$AM$1006:$BM$1006,0))&gt;=100000), " ",IF(INDEX($AM$2:$BM$1001,MATCH(ROWS($AF$2:AF592),$AF$2:$AF$1001,0),MATCH(COLUMNS($AM$1006:BB1006),$AM$1006:$BM$1006,0)), HYPERLINK("#",""), HYPERLINK(CONCATENATE("#metadata!", ADDRESS(INDEX($AH$2:$AH$1001,MATCH(ROWS($AF$2:AF592),$AF$2:$AF$1001,0),0), INDEX($AM$1004:$BM$1004,1,MATCH(COLUMNS($AM$1006:BB1006),$AM$1006:$BM$1006,0)))),"Fix")))</f>
        <v xml:space="preserve"> </v>
      </c>
      <c r="R592" s="4" t="str">
        <f ca="1">IF(OR(INDEX($AG$2:$AG$1001,MATCH(ROWS($AF$2:AF592),$AF$2:$AF$1001,0),1)&gt;=100000,INDEX($AM$1005:$BM$1005,1,MATCH(COLUMNS($AM$1006:BC1006),$AM$1006:$BM$1006,0))&gt;=100000), " ",IF(INDEX($AM$2:$BM$1001,MATCH(ROWS($AF$2:AF592),$AF$2:$AF$1001,0),MATCH(COLUMNS($AM$1006:BC1006),$AM$1006:$BM$1006,0)), HYPERLINK("#",""), HYPERLINK(CONCATENATE("#metadata!", ADDRESS(INDEX($AH$2:$AH$1001,MATCH(ROWS($AF$2:AF592),$AF$2:$AF$1001,0),0), INDEX($AM$1004:$BM$1004,1,MATCH(COLUMNS($AM$1006:BC1006),$AM$1006:$BM$1006,0)))),"Fix")))</f>
        <v xml:space="preserve"> </v>
      </c>
      <c r="S592" s="4" t="str">
        <f ca="1">IF(OR(INDEX($AG$2:$AG$1001,MATCH(ROWS($AF$2:AF592),$AF$2:$AF$1001,0),1)&gt;=100000,INDEX($AM$1005:$BM$1005,1,MATCH(COLUMNS($AM$1006:BD1006),$AM$1006:$BM$1006,0))&gt;=100000), " ",IF(INDEX($AM$2:$BM$1001,MATCH(ROWS($AF$2:AF592),$AF$2:$AF$1001,0),MATCH(COLUMNS($AM$1006:BD1006),$AM$1006:$BM$1006,0)), HYPERLINK("#",""), HYPERLINK(CONCATENATE("#metadata!", ADDRESS(INDEX($AH$2:$AH$1001,MATCH(ROWS($AF$2:AF592),$AF$2:$AF$1001,0),0), INDEX($AM$1004:$BM$1004,1,MATCH(COLUMNS($AM$1006:BD1006),$AM$1006:$BM$1006,0)))),"Fix")))</f>
        <v xml:space="preserve"> </v>
      </c>
      <c r="T592" s="4" t="str">
        <f ca="1">IF(OR(INDEX($AG$2:$AG$1001,MATCH(ROWS($AF$2:AF592),$AF$2:$AF$1001,0),1)&gt;=100000,INDEX($AM$1005:$BM$1005,1,MATCH(COLUMNS($AM$1006:BE1006),$AM$1006:$BM$1006,0))&gt;=100000), " ",IF(INDEX($AM$2:$BM$1001,MATCH(ROWS($AF$2:AF592),$AF$2:$AF$1001,0),MATCH(COLUMNS($AM$1006:BE1006),$AM$1006:$BM$1006,0)), HYPERLINK("#",""), HYPERLINK(CONCATENATE("#metadata!", ADDRESS(INDEX($AH$2:$AH$1001,MATCH(ROWS($AF$2:AF592),$AF$2:$AF$1001,0),0), INDEX($AM$1004:$BM$1004,1,MATCH(COLUMNS($AM$1006:BE1006),$AM$1006:$BM$1006,0)))),"Fix")))</f>
        <v xml:space="preserve"> </v>
      </c>
      <c r="U592" s="4" t="str">
        <f ca="1">IF(OR(INDEX($AG$2:$AG$1001,MATCH(ROWS($AF$2:AF592),$AF$2:$AF$1001,0),1)&gt;=100000,INDEX($AM$1005:$BM$1005,1,MATCH(COLUMNS($AM$1006:BF1006),$AM$1006:$BM$1006,0))&gt;=100000), " ",IF(INDEX($AM$2:$BM$1001,MATCH(ROWS($AF$2:AF592),$AF$2:$AF$1001,0),MATCH(COLUMNS($AM$1006:BF1006),$AM$1006:$BM$1006,0)), HYPERLINK("#",""), HYPERLINK(CONCATENATE("#metadata!", ADDRESS(INDEX($AH$2:$AH$1001,MATCH(ROWS($AF$2:AF592),$AF$2:$AF$1001,0),0), INDEX($AM$1004:$BM$1004,1,MATCH(COLUMNS($AM$1006:BF1006),$AM$1006:$BM$1006,0)))),"Fix")))</f>
        <v xml:space="preserve"> </v>
      </c>
      <c r="V592" s="4" t="str">
        <f ca="1">IF(OR(INDEX($AG$2:$AG$1001,MATCH(ROWS($AF$2:AF592),$AF$2:$AF$1001,0),1)&gt;=100000,INDEX($AM$1005:$BM$1005,1,MATCH(COLUMNS($AM$1006:BG1006),$AM$1006:$BM$1006,0))&gt;=100000), " ",IF(INDEX($AM$2:$BM$1001,MATCH(ROWS($AF$2:AF592),$AF$2:$AF$1001,0),MATCH(COLUMNS($AM$1006:BG1006),$AM$1006:$BM$1006,0)), HYPERLINK("#",""), HYPERLINK(CONCATENATE("#metadata!", ADDRESS(INDEX($AH$2:$AH$1001,MATCH(ROWS($AF$2:AF592),$AF$2:$AF$1001,0),0), INDEX($AM$1004:$BM$1004,1,MATCH(COLUMNS($AM$1006:BG1006),$AM$1006:$BM$1006,0)))),"Fix")))</f>
        <v xml:space="preserve"> </v>
      </c>
      <c r="W592" s="4" t="str">
        <f ca="1">IF(OR(INDEX($AG$2:$AG$1001,MATCH(ROWS($AF$2:AF592),$AF$2:$AF$1001,0),1)&gt;=100000,INDEX($AM$1005:$BM$1005,1,MATCH(COLUMNS($AM$1006:BH1006),$AM$1006:$BM$1006,0))&gt;=100000), " ",IF(INDEX($AM$2:$BM$1001,MATCH(ROWS($AF$2:AF592),$AF$2:$AF$1001,0),MATCH(COLUMNS($AM$1006:BH1006),$AM$1006:$BM$1006,0)), HYPERLINK("#",""), HYPERLINK(CONCATENATE("#metadata!", ADDRESS(INDEX($AH$2:$AH$1001,MATCH(ROWS($AF$2:AF592),$AF$2:$AF$1001,0),0), INDEX($AM$1004:$BM$1004,1,MATCH(COLUMNS($AM$1006:BH1006),$AM$1006:$BM$1006,0)))),"Fix")))</f>
        <v xml:space="preserve"> </v>
      </c>
      <c r="X592" s="4" t="str">
        <f ca="1">IF(OR(INDEX($AG$2:$AG$1001,MATCH(ROWS($AF$2:AF592),$AF$2:$AF$1001,0),1)&gt;=100000,INDEX($AM$1005:$BM$1005,1,MATCH(COLUMNS($AM$1006:BI1006),$AM$1006:$BM$1006,0))&gt;=100000), " ",IF(INDEX($AM$2:$BM$1001,MATCH(ROWS($AF$2:AF592),$AF$2:$AF$1001,0),MATCH(COLUMNS($AM$1006:BI1006),$AM$1006:$BM$1006,0)), HYPERLINK("#",""), HYPERLINK(CONCATENATE("#metadata!", ADDRESS(INDEX($AH$2:$AH$1001,MATCH(ROWS($AF$2:AF592),$AF$2:$AF$1001,0),0), INDEX($AM$1004:$BM$1004,1,MATCH(COLUMNS($AM$1006:BI1006),$AM$1006:$BM$1006,0)))),"Fix")))</f>
        <v xml:space="preserve"> </v>
      </c>
      <c r="Y592" s="4" t="str">
        <f ca="1">IF(OR(INDEX($AG$2:$AG$1001,MATCH(ROWS($AF$2:AF592),$AF$2:$AF$1001,0),1)&gt;=100000,INDEX($AM$1005:$BM$1005,1,MATCH(COLUMNS($AM$1006:BJ1006),$AM$1006:$BM$1006,0))&gt;=100000), " ",IF(INDEX($AM$2:$BM$1001,MATCH(ROWS($AF$2:AF592),$AF$2:$AF$1001,0),MATCH(COLUMNS($AM$1006:BJ1006),$AM$1006:$BM$1006,0)), HYPERLINK("#",""), HYPERLINK(CONCATENATE("#metadata!", ADDRESS(INDEX($AH$2:$AH$1001,MATCH(ROWS($AF$2:AF592),$AF$2:$AF$1001,0),0), INDEX($AM$1004:$BM$1004,1,MATCH(COLUMNS($AM$1006:BJ1006),$AM$1006:$BM$1006,0)))),"Fix")))</f>
        <v xml:space="preserve"> </v>
      </c>
      <c r="Z592" s="4" t="str">
        <f ca="1">IF(OR(INDEX($AG$2:$AG$1001,MATCH(ROWS($AF$2:AF592),$AF$2:$AF$1001,0),1)&gt;=100000,INDEX($AM$1005:$BM$1005,1,MATCH(COLUMNS($AM$1006:BK1006),$AM$1006:$BM$1006,0))&gt;=100000), " ",IF(INDEX($AM$2:$BM$1001,MATCH(ROWS($AF$2:AF592),$AF$2:$AF$1001,0),MATCH(COLUMNS($AM$1006:BK1006),$AM$1006:$BM$1006,0)), HYPERLINK("#",""), HYPERLINK(CONCATENATE("#metadata!", ADDRESS(INDEX($AH$2:$AH$1001,MATCH(ROWS($AF$2:AF592),$AF$2:$AF$1001,0),0), INDEX($AM$1004:$BM$1004,1,MATCH(COLUMNS($AM$1006:BK1006),$AM$1006:$BM$1006,0)))),"Fix")))</f>
        <v xml:space="preserve"> </v>
      </c>
      <c r="AA592" s="4" t="str">
        <f ca="1">IF(OR(INDEX($AG$2:$AG$1001,MATCH(ROWS($AF$2:AF592),$AF$2:$AF$1001,0),1)&gt;=100000,INDEX($AM$1005:$BM$1005,1,MATCH(COLUMNS($AM$1006:BL1006),$AM$1006:$BM$1006,0))&gt;=100000), " ",IF(INDEX($AM$2:$BM$1001,MATCH(ROWS($AF$2:AF592),$AF$2:$AF$1001,0),MATCH(COLUMNS($AM$1006:BL1006),$AM$1006:$BM$1006,0)), HYPERLINK("#",""), HYPERLINK(CONCATENATE("#metadata!", ADDRESS(INDEX($AH$2:$AH$1001,MATCH(ROWS($AF$2:AF592),$AF$2:$AF$1001,0),0), INDEX($AM$1004:$BM$1004,1,MATCH(COLUMNS($AM$1006:BL1006),$AM$1006:$BM$1006,0)))),"Fix")))</f>
        <v xml:space="preserve"> </v>
      </c>
      <c r="AB592" s="4" t="str">
        <f ca="1">IF(OR(INDEX($AG$2:$AG$1001,MATCH(ROWS($AF$2:AF592),$AF$2:$AF$1001,0),1)&gt;=100000,INDEX($AM$1005:$BM$1005,1,MATCH(COLUMNS($AM$1006:BM1006),$AM$1006:$BM$1006,0))&gt;=100000), " ",IF(INDEX($AM$2:$BM$1001,MATCH(ROWS($AF$2:AF592),$AF$2:$AF$1001,0),MATCH(COLUMNS($AM$1006:BM1006),$AM$1006:$BM$1006,0)), HYPERLINK("#",""), HYPERLINK(CONCATENATE("#metadata!", ADDRESS(INDEX($AH$2:$AH$1001,MATCH(ROWS($AF$2:AF592),$AF$2:$AF$1001,0),0), INDEX($AM$1004:$BM$1004,1,MATCH(COLUMNS($AM$1006:BM1006),$AM$1006:$BM$1006,0)))),"Fix")))</f>
        <v xml:space="preserve"> </v>
      </c>
      <c r="AF592">
        <v>591</v>
      </c>
      <c r="AG592">
        <v>100592</v>
      </c>
      <c r="AH592">
        <v>592</v>
      </c>
      <c r="AI592" t="b">
        <f t="shared" si="9"/>
        <v>1</v>
      </c>
      <c r="AJ592" t="b">
        <f>COUNTBLANK(metadata!B592:AB592)=COLUMNS(metadata!B592:AB592)</f>
        <v>1</v>
      </c>
      <c r="AK592" t="str">
        <v/>
      </c>
      <c r="AM592" t="b">
        <f ca="1">AND(IF(metadata!B592="",FALSE,TRUE),COUNTIF(metadata!B:B, metadata!B592) = 1,NOT(ISERROR(SUMPRODUCT(SEARCH(MID(metadata!B592,ROW(INDIRECT("1:"&amp;LEN(metadata!B592))), 1),"0123456789abcdefghijklmnopqrstuvwxyzABCDEFGHIJKLMNOPQRSTUVWXYZ.")))))</f>
        <v>0</v>
      </c>
      <c r="AN592" t="b">
        <f ca="1">OR(AND(IF(metadata!C592="",FALSE,TRUE),OR(EXACT(metadata!C592,"missing: not collected"),EXACT(metadata!C592,"missing: not provided"),EXACT(metadata!C592,"missing: restricted access"))),AND(IF(metadata!C592="",FALSE,TRUE),AND(AND(IFERROR(INT(LEFT(metadata!C592,4))&gt;1900,FALSE),IFERROR(INT(LEFT(metadata!C592,4))&lt;=YEAR(NOW()),FALSE)), OR(MID(metadata!C592,5,1)="", AND(AND(MID(metadata!C592,5,1)="-",IFERROR(INT(MID(metadata!C592,6,1))&gt;=0,FALSE),IFERROR(INT(MID(metadata!C592,6,1))&lt;=1,FALSE),NOT(MID(metadata!C592,7,1)=""),IFERROR(INT(MID(metadata!C592,6,2))&gt;=1,FALSE),IFERROR(INT(MID(metadata!C592,6,2))&lt;=12,FALSE)), OR(MID(metadata!C592,8,1)="", AND(AND(MID(metadata!C592,8,1)="-",IFERROR(INT(MID(metadata!C592,9,1))&gt;=0,FALSE),IFERROR(INT(MID(metadata!C592,9,1))&lt;=3,FALSE),NOT(MID(metadata!C592,10,1)=""),IFERROR(INT(MID(metadata!C592,9,2))&gt;=1,FALSE),IFERROR(INT(MID(metadata!C592,9,2))&lt;=31,FALSE)), OR(MID(metadata!C592,11,1)="", AND(AND(MID(metadata!C592,11,1)=" ",IFERROR(INT(MID(metadata!C592,12,1))&gt;=0,FALSE),IFERROR(INT(MID(metadata!C592,12,1))&lt;=2,FALSE),NOT(MID(metadata!C592,13,1)=""),IFERROR(INT(MID(metadata!C592,12,2))&gt;=0,FALSE),IFERROR(INT(MID(metadata!C592,12,2))&lt;=23,FALSE)), OR(MID(metadata!C592,14,1)="", AND(AND(MID(metadata!C592,14,1)=":",IFERROR(INT(MID(metadata!C592,15,1))&gt;=0,FALSE),IFERROR(INT(MID(metadata!C592,15,1))&lt;=5,FALSE),NOT(MID(metadata!C592,16,1)=""),IFERROR(INT(MID(metadata!C592,15,2))&gt;=0,FALSE),IFERROR(INT(MID(metadata!C592,15,2))&lt;=59,FALSE)), OR(MID(metadata!C592,17,1)="", AND(AND(MID(metadata!C592,17,1)=":",IFERROR(INT(MID(metadata!C592,18,1))&gt;=0,FALSE),IFERROR(INT(MID(metadata!C592,18,1))&lt;=5,FALSE),NOT(MID(metadata!C592,19,1)=""),IFERROR(INT(MID(metadata!C592,18,2))&gt;=0,FALSE),IFERROR(INT(MID(metadata!C592,18,2))&lt;=59,FALSE)), LEN(metadata!C592)&lt;=19)))))))))))))</f>
        <v>0</v>
      </c>
      <c r="AO592" t="b">
        <f>AND(IF(metadata!D592="",FALSE,TRUE),EXACT(metadata!D592,"Not applicable"))</f>
        <v>0</v>
      </c>
      <c r="AP592" t="b">
        <f>IF(metadata!E592="",FALSE,TRUE)</f>
        <v>0</v>
      </c>
      <c r="AQ592" t="b">
        <f>OR(AND(IF(metadata!F592="",FALSE,TRUE),OR(EXACT(metadata!F592,"missing: not collected"),EXACT(metadata!F592,"missing: not provided"))),AND(IF(metadata!F592="",FALSE,TRUE),OR(EXACT(metadata!F592,"TRUE"),EXACT(metadata!F592,"FALSE"))))</f>
        <v>0</v>
      </c>
      <c r="AR592" t="b">
        <f>OR(AND(IF(metadata!G592="",FALSE,TRUE),OR(EXACT(metadata!G592,"missing: not collected"),EXACT(metadata!G592,"missing: not provided"),EXACT(metadata!G592,"missing: restricted access"))),AND(IF(metadata!G592="",FALSE,ISNUMBER(VALUE(metadata!G592))),metadata!G592&gt;=-413))</f>
        <v>0</v>
      </c>
      <c r="AS592" t="b">
        <f>AND(IF(metadata!H592="",FALSE,TRUE),EXACT(metadata!H592,"meters"))</f>
        <v>0</v>
      </c>
      <c r="AT592" t="b">
        <f>AND(IF(metadata!I592="",FALSE,TRUE),OR(EXACT(metadata!I592,"Host-associated"),EXACT(metadata!I592,"Free-living")))</f>
        <v>0</v>
      </c>
      <c r="AU592" t="b">
        <f>AND(IF(metadata!J592="",FALSE,TRUE),OR(EXACT(metadata!J592,"Animal"),EXACT(metadata!J592,"Fungus"),EXACT(metadata!J592,"Plant"),EXACT(metadata!J592,"Saline"),EXACT(metadata!J592,"Non-saline")))</f>
        <v>0</v>
      </c>
      <c r="AV592" t="b">
        <f>AND(IF(metadata!K592="",FALSE,TRUE),OR(EXACT(metadata!K592,"Plant secretion"),EXACT(metadata!K592,"Plant rhizosphere"),EXACT(metadata!K592,"Plant surface"),EXACT(metadata!K592,"Plant corpus"),EXACT(metadata!K592,"Fungus surface"),EXACT(metadata!K592,"Fungus corpus"),EXACT(metadata!K592,"Animal surface"),EXACT(metadata!K592,"Animal proximal gut"),EXACT(metadata!K592,"Animal corpus"),EXACT(metadata!K592,"Animal distal gut"),EXACT(metadata!K592,"Animal secretion"),EXACT(metadata!K592,"Sub-surface (non-saline)"),EXACT(metadata!K592,"Surface (non-saline)"),EXACT(metadata!K592,"Water (non-saline)"),EXACT(metadata!K592,"Soil (non-saline)"),EXACT(metadata!K592,"Aerosol (non-saline)"),EXACT(metadata!K592,"Sediment (non-saline)"),EXACT(metadata!K592,"Surface (saline)"),EXACT(metadata!K592,"Water (saline)"),EXACT(metadata!K592,"Hypersaline (saline)"),EXACT(metadata!K592,"Aerosol (saline)"),EXACT(metadata!K592,"Sediment (saline)")))</f>
        <v>0</v>
      </c>
      <c r="AW592" t="b">
        <f>IF(metadata!L592="",FALSE,TRUE)</f>
        <v>0</v>
      </c>
      <c r="AX592" t="b">
        <f>IF(metadata!M592="",FALSE,TRUE)</f>
        <v>0</v>
      </c>
      <c r="AY592" t="b">
        <f>IF(metadata!N592="",FALSE,TRUE)</f>
        <v>0</v>
      </c>
      <c r="AZ592" t="b">
        <f>OR(AND(IF(metadata!O592="",FALSE,TRUE),OR(EXACT(metadata!O592,"missing: not collected"),EXACT(metadata!O592,"missing: not provided"),EXACT(metadata!O592,"missing: restricted access"))),AND(IF(metadata!O592="",FALSE,TRUE),OR(EXACT(metadata!O592,"air"),EXACT(metadata!O592,"built environment"),EXACT(metadata!O592,"host-associated"),EXACT(metadata!O592,"human-associated"),EXACT(metadata!O592,"human-skin"),EXACT(metadata!O592,"human-oral"),EXACT(metadata!O592,"human-gut"),EXACT(metadata!O592,"human-vaginal"),EXACT(metadata!O592,"microbial mat/biofilm"),EXACT(metadata!O592,"misc environment"),EXACT(metadata!O592,"plant-associated"),EXACT(metadata!O592,"sediment"),EXACT(metadata!O592,"soil"),EXACT(metadata!O592,"wastewater/sludge"),EXACT(metadata!O592,"water"))))</f>
        <v>0</v>
      </c>
      <c r="BA592" t="b">
        <f>IF(metadata!P592="",FALSE,TRUE)</f>
        <v>0</v>
      </c>
      <c r="BB592" t="b">
        <f>IF(metadata!Q592="",FALSE,TRUE)</f>
        <v>0</v>
      </c>
      <c r="BC592" t="b">
        <f>OR(AND(IF(metadata!R592="",FALSE,TRUE),OR(EXACT(metadata!R592,"missing: not collected"),EXACT(metadata!R592,"missing: not provided"),EXACT(metadata!R592,"missing: restricted access"))),AND(IF(metadata!R592="",FALSE,ISNUMBER(VALUE(metadata!R592))),metadata!R592&gt;=-90,metadata!R592&lt;=90))</f>
        <v>0</v>
      </c>
      <c r="BD592" t="b">
        <f>AND(IF(metadata!S592="",FALSE,TRUE),EXACT(metadata!S592,"Decimal degrees"))</f>
        <v>0</v>
      </c>
      <c r="BE592" t="b">
        <f>OR(AND(IF(metadata!T592="",FALSE,TRUE),OR(EXACT(metadata!T592,"missing: not collected"),EXACT(metadata!T592,"missing: not provided"),EXACT(metadata!T592,"missing: restricted access"))),AND(IF(metadata!T592="",FALSE,ISNUMBER(VALUE(metadata!T592))),metadata!T592&gt;=-180,metadata!T592&lt;=180))</f>
        <v>0</v>
      </c>
      <c r="BF592" t="b">
        <f>AND(IF(metadata!U592="",FALSE,TRUE),EXACT(metadata!U592,"Decimal degrees"))</f>
        <v>0</v>
      </c>
      <c r="BG592" t="b">
        <f>IF(metadata!V592="",FALSE,TRUE)</f>
        <v>0</v>
      </c>
      <c r="BH592" t="b">
        <f>OR(AND(IF(metadata!W592="",FALSE,TRUE),OR(EXACT(metadata!W592,"missing: not collected"),EXACT(metadata!W592,"missing: not provided"),EXACT(metadata!W592,"missing: restricted access"))),AND(IF(metadata!W592="",FALSE,TRUE),OR(EXACT(metadata!W592,"TRUE"),EXACT(metadata!W592,"FALSE"))))</f>
        <v>0</v>
      </c>
      <c r="BI592" t="b">
        <f>AND(IF(metadata!X592="",FALSE,TRUE),EXACT(metadata!X592,"other"))</f>
        <v>0</v>
      </c>
      <c r="BJ592" t="b">
        <f>IF(metadata!Y592="",FALSE,TRUE)</f>
        <v>0</v>
      </c>
      <c r="BK592" t="b">
        <f>OR(AND(IF(metadata!Z592="",FALSE,TRUE),OR(EXACT(metadata!Z592,"missing: not collected"),EXACT(metadata!Z592,"missing: not provided"))),AND(IF(metadata!Z592="",FALSE,IF(ISERROR(INT(metadata!Z592)),FALSE,INT(metadata!Z592)=metadata!Z592)),metadata!Z592&gt;0))</f>
        <v>0</v>
      </c>
      <c r="BL592" t="b">
        <f>AND(IF(metadata!AA592="",FALSE,TRUE),EXACT(metadata!AA592,"Not applicable"))</f>
        <v>0</v>
      </c>
      <c r="BM592" t="b">
        <f>IF(metadata!AB592="",FALSE,TRUE)</f>
        <v>0</v>
      </c>
    </row>
    <row r="593" spans="1:65" x14ac:dyDescent="0.2">
      <c r="A593" s="5" t="str">
        <f ca="1">IF(B593=" "," ",HYPERLINK(CONCATENATE("#metadata!",ADDRESS(INDEX($AH$2:$AH$1001,MATCH(ROWS($AF$2:AF593),$AF$2:$AF$1001,0),0),1)),INDEX($AK$2:$AK$1001,MATCH(ROWS($AF$2:AF593),$AF$2:$AF$1001,0),0)))</f>
        <v xml:space="preserve"> </v>
      </c>
      <c r="B593" s="4" t="str">
        <f ca="1">IF(OR(INDEX($AG$2:$AG$1001,MATCH(ROWS($AF$2:AF593),$AF$2:$AF$1001,0),1)&gt;=100000,INDEX($AM$1005:$BM$1005,1,MATCH(COLUMNS($AM$1006:AM1006),$AM$1006:$BM$1006,0))&gt;=100000), " ",IF(INDEX($AM$2:$BM$1001,MATCH(ROWS($AF$2:AF593),$AF$2:$AF$1001,0),MATCH(COLUMNS($AM$1006:AM1006),$AM$1006:$BM$1006,0)), HYPERLINK("#",""), HYPERLINK(CONCATENATE("#metadata!", ADDRESS(INDEX($AH$2:$AH$1001,MATCH(ROWS($AF$2:AF593),$AF$2:$AF$1001,0),0), INDEX($AM$1004:$BM$1004,1,MATCH(COLUMNS($AM$1006:AM1006),$AM$1006:$BM$1006,0)))),"Fix")))</f>
        <v xml:space="preserve"> </v>
      </c>
      <c r="C593" s="4" t="str">
        <f ca="1">IF(OR(INDEX($AG$2:$AG$1001,MATCH(ROWS($AF$2:AF593),$AF$2:$AF$1001,0),1)&gt;=100000,INDEX($AM$1005:$BM$1005,1,MATCH(COLUMNS($AM$1006:AN1006),$AM$1006:$BM$1006,0))&gt;=100000), " ",IF(INDEX($AM$2:$BM$1001,MATCH(ROWS($AF$2:AF593),$AF$2:$AF$1001,0),MATCH(COLUMNS($AM$1006:AN1006),$AM$1006:$BM$1006,0)), HYPERLINK("#",""), HYPERLINK(CONCATENATE("#metadata!", ADDRESS(INDEX($AH$2:$AH$1001,MATCH(ROWS($AF$2:AF593),$AF$2:$AF$1001,0),0), INDEX($AM$1004:$BM$1004,1,MATCH(COLUMNS($AM$1006:AN1006),$AM$1006:$BM$1006,0)))),"Fix")))</f>
        <v xml:space="preserve"> </v>
      </c>
      <c r="D593" s="4" t="str">
        <f ca="1">IF(OR(INDEX($AG$2:$AG$1001,MATCH(ROWS($AF$2:AF593),$AF$2:$AF$1001,0),1)&gt;=100000,INDEX($AM$1005:$BM$1005,1,MATCH(COLUMNS($AM$1006:AO1006),$AM$1006:$BM$1006,0))&gt;=100000), " ",IF(INDEX($AM$2:$BM$1001,MATCH(ROWS($AF$2:AF593),$AF$2:$AF$1001,0),MATCH(COLUMNS($AM$1006:AO1006),$AM$1006:$BM$1006,0)), HYPERLINK("#",""), HYPERLINK(CONCATENATE("#metadata!", ADDRESS(INDEX($AH$2:$AH$1001,MATCH(ROWS($AF$2:AF593),$AF$2:$AF$1001,0),0), INDEX($AM$1004:$BM$1004,1,MATCH(COLUMNS($AM$1006:AO1006),$AM$1006:$BM$1006,0)))),"Fix")))</f>
        <v xml:space="preserve"> </v>
      </c>
      <c r="E593" s="4" t="str">
        <f ca="1">IF(OR(INDEX($AG$2:$AG$1001,MATCH(ROWS($AF$2:AF593),$AF$2:$AF$1001,0),1)&gt;=100000,INDEX($AM$1005:$BM$1005,1,MATCH(COLUMNS($AM$1006:AP1006),$AM$1006:$BM$1006,0))&gt;=100000), " ",IF(INDEX($AM$2:$BM$1001,MATCH(ROWS($AF$2:AF593),$AF$2:$AF$1001,0),MATCH(COLUMNS($AM$1006:AP1006),$AM$1006:$BM$1006,0)), HYPERLINK("#",""), HYPERLINK(CONCATENATE("#metadata!", ADDRESS(INDEX($AH$2:$AH$1001,MATCH(ROWS($AF$2:AF593),$AF$2:$AF$1001,0),0), INDEX($AM$1004:$BM$1004,1,MATCH(COLUMNS($AM$1006:AP1006),$AM$1006:$BM$1006,0)))),"Fix")))</f>
        <v xml:space="preserve"> </v>
      </c>
      <c r="F593" s="4" t="str">
        <f ca="1">IF(OR(INDEX($AG$2:$AG$1001,MATCH(ROWS($AF$2:AF593),$AF$2:$AF$1001,0),1)&gt;=100000,INDEX($AM$1005:$BM$1005,1,MATCH(COLUMNS($AM$1006:AQ1006),$AM$1006:$BM$1006,0))&gt;=100000), " ",IF(INDEX($AM$2:$BM$1001,MATCH(ROWS($AF$2:AF593),$AF$2:$AF$1001,0),MATCH(COLUMNS($AM$1006:AQ1006),$AM$1006:$BM$1006,0)), HYPERLINK("#",""), HYPERLINK(CONCATENATE("#metadata!", ADDRESS(INDEX($AH$2:$AH$1001,MATCH(ROWS($AF$2:AF593),$AF$2:$AF$1001,0),0), INDEX($AM$1004:$BM$1004,1,MATCH(COLUMNS($AM$1006:AQ1006),$AM$1006:$BM$1006,0)))),"Fix")))</f>
        <v xml:space="preserve"> </v>
      </c>
      <c r="G593" s="4" t="str">
        <f ca="1">IF(OR(INDEX($AG$2:$AG$1001,MATCH(ROWS($AF$2:AF593),$AF$2:$AF$1001,0),1)&gt;=100000,INDEX($AM$1005:$BM$1005,1,MATCH(COLUMNS($AM$1006:AR1006),$AM$1006:$BM$1006,0))&gt;=100000), " ",IF(INDEX($AM$2:$BM$1001,MATCH(ROWS($AF$2:AF593),$AF$2:$AF$1001,0),MATCH(COLUMNS($AM$1006:AR1006),$AM$1006:$BM$1006,0)), HYPERLINK("#",""), HYPERLINK(CONCATENATE("#metadata!", ADDRESS(INDEX($AH$2:$AH$1001,MATCH(ROWS($AF$2:AF593),$AF$2:$AF$1001,0),0), INDEX($AM$1004:$BM$1004,1,MATCH(COLUMNS($AM$1006:AR1006),$AM$1006:$BM$1006,0)))),"Fix")))</f>
        <v xml:space="preserve"> </v>
      </c>
      <c r="H593" s="4" t="str">
        <f ca="1">IF(OR(INDEX($AG$2:$AG$1001,MATCH(ROWS($AF$2:AF593),$AF$2:$AF$1001,0),1)&gt;=100000,INDEX($AM$1005:$BM$1005,1,MATCH(COLUMNS($AM$1006:AS1006),$AM$1006:$BM$1006,0))&gt;=100000), " ",IF(INDEX($AM$2:$BM$1001,MATCH(ROWS($AF$2:AF593),$AF$2:$AF$1001,0),MATCH(COLUMNS($AM$1006:AS1006),$AM$1006:$BM$1006,0)), HYPERLINK("#",""), HYPERLINK(CONCATENATE("#metadata!", ADDRESS(INDEX($AH$2:$AH$1001,MATCH(ROWS($AF$2:AF593),$AF$2:$AF$1001,0),0), INDEX($AM$1004:$BM$1004,1,MATCH(COLUMNS($AM$1006:AS1006),$AM$1006:$BM$1006,0)))),"Fix")))</f>
        <v xml:space="preserve"> </v>
      </c>
      <c r="I593" s="4" t="str">
        <f ca="1">IF(OR(INDEX($AG$2:$AG$1001,MATCH(ROWS($AF$2:AF593),$AF$2:$AF$1001,0),1)&gt;=100000,INDEX($AM$1005:$BM$1005,1,MATCH(COLUMNS($AM$1006:AT1006),$AM$1006:$BM$1006,0))&gt;=100000), " ",IF(INDEX($AM$2:$BM$1001,MATCH(ROWS($AF$2:AF593),$AF$2:$AF$1001,0),MATCH(COLUMNS($AM$1006:AT1006),$AM$1006:$BM$1006,0)), HYPERLINK("#",""), HYPERLINK(CONCATENATE("#metadata!", ADDRESS(INDEX($AH$2:$AH$1001,MATCH(ROWS($AF$2:AF593),$AF$2:$AF$1001,0),0), INDEX($AM$1004:$BM$1004,1,MATCH(COLUMNS($AM$1006:AT1006),$AM$1006:$BM$1006,0)))),"Fix")))</f>
        <v xml:space="preserve"> </v>
      </c>
      <c r="J593" s="4" t="str">
        <f ca="1">IF(OR(INDEX($AG$2:$AG$1001,MATCH(ROWS($AF$2:AF593),$AF$2:$AF$1001,0),1)&gt;=100000,INDEX($AM$1005:$BM$1005,1,MATCH(COLUMNS($AM$1006:AU1006),$AM$1006:$BM$1006,0))&gt;=100000), " ",IF(INDEX($AM$2:$BM$1001,MATCH(ROWS($AF$2:AF593),$AF$2:$AF$1001,0),MATCH(COLUMNS($AM$1006:AU1006),$AM$1006:$BM$1006,0)), HYPERLINK("#",""), HYPERLINK(CONCATENATE("#metadata!", ADDRESS(INDEX($AH$2:$AH$1001,MATCH(ROWS($AF$2:AF593),$AF$2:$AF$1001,0),0), INDEX($AM$1004:$BM$1004,1,MATCH(COLUMNS($AM$1006:AU1006),$AM$1006:$BM$1006,0)))),"Fix")))</f>
        <v xml:space="preserve"> </v>
      </c>
      <c r="K593" s="4" t="str">
        <f ca="1">IF(OR(INDEX($AG$2:$AG$1001,MATCH(ROWS($AF$2:AF593),$AF$2:$AF$1001,0),1)&gt;=100000,INDEX($AM$1005:$BM$1005,1,MATCH(COLUMNS($AM$1006:AV1006),$AM$1006:$BM$1006,0))&gt;=100000), " ",IF(INDEX($AM$2:$BM$1001,MATCH(ROWS($AF$2:AF593),$AF$2:$AF$1001,0),MATCH(COLUMNS($AM$1006:AV1006),$AM$1006:$BM$1006,0)), HYPERLINK("#",""), HYPERLINK(CONCATENATE("#metadata!", ADDRESS(INDEX($AH$2:$AH$1001,MATCH(ROWS($AF$2:AF593),$AF$2:$AF$1001,0),0), INDEX($AM$1004:$BM$1004,1,MATCH(COLUMNS($AM$1006:AV1006),$AM$1006:$BM$1006,0)))),"Fix")))</f>
        <v xml:space="preserve"> </v>
      </c>
      <c r="L593" s="4" t="str">
        <f ca="1">IF(OR(INDEX($AG$2:$AG$1001,MATCH(ROWS($AF$2:AF593),$AF$2:$AF$1001,0),1)&gt;=100000,INDEX($AM$1005:$BM$1005,1,MATCH(COLUMNS($AM$1006:AW1006),$AM$1006:$BM$1006,0))&gt;=100000), " ",IF(INDEX($AM$2:$BM$1001,MATCH(ROWS($AF$2:AF593),$AF$2:$AF$1001,0),MATCH(COLUMNS($AM$1006:AW1006),$AM$1006:$BM$1006,0)), HYPERLINK("#",""), HYPERLINK(CONCATENATE("#metadata!", ADDRESS(INDEX($AH$2:$AH$1001,MATCH(ROWS($AF$2:AF593),$AF$2:$AF$1001,0),0), INDEX($AM$1004:$BM$1004,1,MATCH(COLUMNS($AM$1006:AW1006),$AM$1006:$BM$1006,0)))),"Fix")))</f>
        <v xml:space="preserve"> </v>
      </c>
      <c r="M593" s="4" t="str">
        <f ca="1">IF(OR(INDEX($AG$2:$AG$1001,MATCH(ROWS($AF$2:AF593),$AF$2:$AF$1001,0),1)&gt;=100000,INDEX($AM$1005:$BM$1005,1,MATCH(COLUMNS($AM$1006:AX1006),$AM$1006:$BM$1006,0))&gt;=100000), " ",IF(INDEX($AM$2:$BM$1001,MATCH(ROWS($AF$2:AF593),$AF$2:$AF$1001,0),MATCH(COLUMNS($AM$1006:AX1006),$AM$1006:$BM$1006,0)), HYPERLINK("#",""), HYPERLINK(CONCATENATE("#metadata!", ADDRESS(INDEX($AH$2:$AH$1001,MATCH(ROWS($AF$2:AF593),$AF$2:$AF$1001,0),0), INDEX($AM$1004:$BM$1004,1,MATCH(COLUMNS($AM$1006:AX1006),$AM$1006:$BM$1006,0)))),"Fix")))</f>
        <v xml:space="preserve"> </v>
      </c>
      <c r="N593" s="4" t="str">
        <f ca="1">IF(OR(INDEX($AG$2:$AG$1001,MATCH(ROWS($AF$2:AF593),$AF$2:$AF$1001,0),1)&gt;=100000,INDEX($AM$1005:$BM$1005,1,MATCH(COLUMNS($AM$1006:AY1006),$AM$1006:$BM$1006,0))&gt;=100000), " ",IF(INDEX($AM$2:$BM$1001,MATCH(ROWS($AF$2:AF593),$AF$2:$AF$1001,0),MATCH(COLUMNS($AM$1006:AY1006),$AM$1006:$BM$1006,0)), HYPERLINK("#",""), HYPERLINK(CONCATENATE("#metadata!", ADDRESS(INDEX($AH$2:$AH$1001,MATCH(ROWS($AF$2:AF593),$AF$2:$AF$1001,0),0), INDEX($AM$1004:$BM$1004,1,MATCH(COLUMNS($AM$1006:AY1006),$AM$1006:$BM$1006,0)))),"Fix")))</f>
        <v xml:space="preserve"> </v>
      </c>
      <c r="O593" s="4" t="str">
        <f ca="1">IF(OR(INDEX($AG$2:$AG$1001,MATCH(ROWS($AF$2:AF593),$AF$2:$AF$1001,0),1)&gt;=100000,INDEX($AM$1005:$BM$1005,1,MATCH(COLUMNS($AM$1006:AZ1006),$AM$1006:$BM$1006,0))&gt;=100000), " ",IF(INDEX($AM$2:$BM$1001,MATCH(ROWS($AF$2:AF593),$AF$2:$AF$1001,0),MATCH(COLUMNS($AM$1006:AZ1006),$AM$1006:$BM$1006,0)), HYPERLINK("#",""), HYPERLINK(CONCATENATE("#metadata!", ADDRESS(INDEX($AH$2:$AH$1001,MATCH(ROWS($AF$2:AF593),$AF$2:$AF$1001,0),0), INDEX($AM$1004:$BM$1004,1,MATCH(COLUMNS($AM$1006:AZ1006),$AM$1006:$BM$1006,0)))),"Fix")))</f>
        <v xml:space="preserve"> </v>
      </c>
      <c r="P593" s="4" t="str">
        <f ca="1">IF(OR(INDEX($AG$2:$AG$1001,MATCH(ROWS($AF$2:AF593),$AF$2:$AF$1001,0),1)&gt;=100000,INDEX($AM$1005:$BM$1005,1,MATCH(COLUMNS($AM$1006:BA1006),$AM$1006:$BM$1006,0))&gt;=100000), " ",IF(INDEX($AM$2:$BM$1001,MATCH(ROWS($AF$2:AF593),$AF$2:$AF$1001,0),MATCH(COLUMNS($AM$1006:BA1006),$AM$1006:$BM$1006,0)), HYPERLINK("#",""), HYPERLINK(CONCATENATE("#metadata!", ADDRESS(INDEX($AH$2:$AH$1001,MATCH(ROWS($AF$2:AF593),$AF$2:$AF$1001,0),0), INDEX($AM$1004:$BM$1004,1,MATCH(COLUMNS($AM$1006:BA1006),$AM$1006:$BM$1006,0)))),"Fix")))</f>
        <v xml:space="preserve"> </v>
      </c>
      <c r="Q593" s="4" t="str">
        <f ca="1">IF(OR(INDEX($AG$2:$AG$1001,MATCH(ROWS($AF$2:AF593),$AF$2:$AF$1001,0),1)&gt;=100000,INDEX($AM$1005:$BM$1005,1,MATCH(COLUMNS($AM$1006:BB1006),$AM$1006:$BM$1006,0))&gt;=100000), " ",IF(INDEX($AM$2:$BM$1001,MATCH(ROWS($AF$2:AF593),$AF$2:$AF$1001,0),MATCH(COLUMNS($AM$1006:BB1006),$AM$1006:$BM$1006,0)), HYPERLINK("#",""), HYPERLINK(CONCATENATE("#metadata!", ADDRESS(INDEX($AH$2:$AH$1001,MATCH(ROWS($AF$2:AF593),$AF$2:$AF$1001,0),0), INDEX($AM$1004:$BM$1004,1,MATCH(COLUMNS($AM$1006:BB1006),$AM$1006:$BM$1006,0)))),"Fix")))</f>
        <v xml:space="preserve"> </v>
      </c>
      <c r="R593" s="4" t="str">
        <f ca="1">IF(OR(INDEX($AG$2:$AG$1001,MATCH(ROWS($AF$2:AF593),$AF$2:$AF$1001,0),1)&gt;=100000,INDEX($AM$1005:$BM$1005,1,MATCH(COLUMNS($AM$1006:BC1006),$AM$1006:$BM$1006,0))&gt;=100000), " ",IF(INDEX($AM$2:$BM$1001,MATCH(ROWS($AF$2:AF593),$AF$2:$AF$1001,0),MATCH(COLUMNS($AM$1006:BC1006),$AM$1006:$BM$1006,0)), HYPERLINK("#",""), HYPERLINK(CONCATENATE("#metadata!", ADDRESS(INDEX($AH$2:$AH$1001,MATCH(ROWS($AF$2:AF593),$AF$2:$AF$1001,0),0), INDEX($AM$1004:$BM$1004,1,MATCH(COLUMNS($AM$1006:BC1006),$AM$1006:$BM$1006,0)))),"Fix")))</f>
        <v xml:space="preserve"> </v>
      </c>
      <c r="S593" s="4" t="str">
        <f ca="1">IF(OR(INDEX($AG$2:$AG$1001,MATCH(ROWS($AF$2:AF593),$AF$2:$AF$1001,0),1)&gt;=100000,INDEX($AM$1005:$BM$1005,1,MATCH(COLUMNS($AM$1006:BD1006),$AM$1006:$BM$1006,0))&gt;=100000), " ",IF(INDEX($AM$2:$BM$1001,MATCH(ROWS($AF$2:AF593),$AF$2:$AF$1001,0),MATCH(COLUMNS($AM$1006:BD1006),$AM$1006:$BM$1006,0)), HYPERLINK("#",""), HYPERLINK(CONCATENATE("#metadata!", ADDRESS(INDEX($AH$2:$AH$1001,MATCH(ROWS($AF$2:AF593),$AF$2:$AF$1001,0),0), INDEX($AM$1004:$BM$1004,1,MATCH(COLUMNS($AM$1006:BD1006),$AM$1006:$BM$1006,0)))),"Fix")))</f>
        <v xml:space="preserve"> </v>
      </c>
      <c r="T593" s="4" t="str">
        <f ca="1">IF(OR(INDEX($AG$2:$AG$1001,MATCH(ROWS($AF$2:AF593),$AF$2:$AF$1001,0),1)&gt;=100000,INDEX($AM$1005:$BM$1005,1,MATCH(COLUMNS($AM$1006:BE1006),$AM$1006:$BM$1006,0))&gt;=100000), " ",IF(INDEX($AM$2:$BM$1001,MATCH(ROWS($AF$2:AF593),$AF$2:$AF$1001,0),MATCH(COLUMNS($AM$1006:BE1006),$AM$1006:$BM$1006,0)), HYPERLINK("#",""), HYPERLINK(CONCATENATE("#metadata!", ADDRESS(INDEX($AH$2:$AH$1001,MATCH(ROWS($AF$2:AF593),$AF$2:$AF$1001,0),0), INDEX($AM$1004:$BM$1004,1,MATCH(COLUMNS($AM$1006:BE1006),$AM$1006:$BM$1006,0)))),"Fix")))</f>
        <v xml:space="preserve"> </v>
      </c>
      <c r="U593" s="4" t="str">
        <f ca="1">IF(OR(INDEX($AG$2:$AG$1001,MATCH(ROWS($AF$2:AF593),$AF$2:$AF$1001,0),1)&gt;=100000,INDEX($AM$1005:$BM$1005,1,MATCH(COLUMNS($AM$1006:BF1006),$AM$1006:$BM$1006,0))&gt;=100000), " ",IF(INDEX($AM$2:$BM$1001,MATCH(ROWS($AF$2:AF593),$AF$2:$AF$1001,0),MATCH(COLUMNS($AM$1006:BF1006),$AM$1006:$BM$1006,0)), HYPERLINK("#",""), HYPERLINK(CONCATENATE("#metadata!", ADDRESS(INDEX($AH$2:$AH$1001,MATCH(ROWS($AF$2:AF593),$AF$2:$AF$1001,0),0), INDEX($AM$1004:$BM$1004,1,MATCH(COLUMNS($AM$1006:BF1006),$AM$1006:$BM$1006,0)))),"Fix")))</f>
        <v xml:space="preserve"> </v>
      </c>
      <c r="V593" s="4" t="str">
        <f ca="1">IF(OR(INDEX($AG$2:$AG$1001,MATCH(ROWS($AF$2:AF593),$AF$2:$AF$1001,0),1)&gt;=100000,INDEX($AM$1005:$BM$1005,1,MATCH(COLUMNS($AM$1006:BG1006),$AM$1006:$BM$1006,0))&gt;=100000), " ",IF(INDEX($AM$2:$BM$1001,MATCH(ROWS($AF$2:AF593),$AF$2:$AF$1001,0),MATCH(COLUMNS($AM$1006:BG1006),$AM$1006:$BM$1006,0)), HYPERLINK("#",""), HYPERLINK(CONCATENATE("#metadata!", ADDRESS(INDEX($AH$2:$AH$1001,MATCH(ROWS($AF$2:AF593),$AF$2:$AF$1001,0),0), INDEX($AM$1004:$BM$1004,1,MATCH(COLUMNS($AM$1006:BG1006),$AM$1006:$BM$1006,0)))),"Fix")))</f>
        <v xml:space="preserve"> </v>
      </c>
      <c r="W593" s="4" t="str">
        <f ca="1">IF(OR(INDEX($AG$2:$AG$1001,MATCH(ROWS($AF$2:AF593),$AF$2:$AF$1001,0),1)&gt;=100000,INDEX($AM$1005:$BM$1005,1,MATCH(COLUMNS($AM$1006:BH1006),$AM$1006:$BM$1006,0))&gt;=100000), " ",IF(INDEX($AM$2:$BM$1001,MATCH(ROWS($AF$2:AF593),$AF$2:$AF$1001,0),MATCH(COLUMNS($AM$1006:BH1006),$AM$1006:$BM$1006,0)), HYPERLINK("#",""), HYPERLINK(CONCATENATE("#metadata!", ADDRESS(INDEX($AH$2:$AH$1001,MATCH(ROWS($AF$2:AF593),$AF$2:$AF$1001,0),0), INDEX($AM$1004:$BM$1004,1,MATCH(COLUMNS($AM$1006:BH1006),$AM$1006:$BM$1006,0)))),"Fix")))</f>
        <v xml:space="preserve"> </v>
      </c>
      <c r="X593" s="4" t="str">
        <f ca="1">IF(OR(INDEX($AG$2:$AG$1001,MATCH(ROWS($AF$2:AF593),$AF$2:$AF$1001,0),1)&gt;=100000,INDEX($AM$1005:$BM$1005,1,MATCH(COLUMNS($AM$1006:BI1006),$AM$1006:$BM$1006,0))&gt;=100000), " ",IF(INDEX($AM$2:$BM$1001,MATCH(ROWS($AF$2:AF593),$AF$2:$AF$1001,0),MATCH(COLUMNS($AM$1006:BI1006),$AM$1006:$BM$1006,0)), HYPERLINK("#",""), HYPERLINK(CONCATENATE("#metadata!", ADDRESS(INDEX($AH$2:$AH$1001,MATCH(ROWS($AF$2:AF593),$AF$2:$AF$1001,0),0), INDEX($AM$1004:$BM$1004,1,MATCH(COLUMNS($AM$1006:BI1006),$AM$1006:$BM$1006,0)))),"Fix")))</f>
        <v xml:space="preserve"> </v>
      </c>
      <c r="Y593" s="4" t="str">
        <f ca="1">IF(OR(INDEX($AG$2:$AG$1001,MATCH(ROWS($AF$2:AF593),$AF$2:$AF$1001,0),1)&gt;=100000,INDEX($AM$1005:$BM$1005,1,MATCH(COLUMNS($AM$1006:BJ1006),$AM$1006:$BM$1006,0))&gt;=100000), " ",IF(INDEX($AM$2:$BM$1001,MATCH(ROWS($AF$2:AF593),$AF$2:$AF$1001,0),MATCH(COLUMNS($AM$1006:BJ1006),$AM$1006:$BM$1006,0)), HYPERLINK("#",""), HYPERLINK(CONCATENATE("#metadata!", ADDRESS(INDEX($AH$2:$AH$1001,MATCH(ROWS($AF$2:AF593),$AF$2:$AF$1001,0),0), INDEX($AM$1004:$BM$1004,1,MATCH(COLUMNS($AM$1006:BJ1006),$AM$1006:$BM$1006,0)))),"Fix")))</f>
        <v xml:space="preserve"> </v>
      </c>
      <c r="Z593" s="4" t="str">
        <f ca="1">IF(OR(INDEX($AG$2:$AG$1001,MATCH(ROWS($AF$2:AF593),$AF$2:$AF$1001,0),1)&gt;=100000,INDEX($AM$1005:$BM$1005,1,MATCH(COLUMNS($AM$1006:BK1006),$AM$1006:$BM$1006,0))&gt;=100000), " ",IF(INDEX($AM$2:$BM$1001,MATCH(ROWS($AF$2:AF593),$AF$2:$AF$1001,0),MATCH(COLUMNS($AM$1006:BK1006),$AM$1006:$BM$1006,0)), HYPERLINK("#",""), HYPERLINK(CONCATENATE("#metadata!", ADDRESS(INDEX($AH$2:$AH$1001,MATCH(ROWS($AF$2:AF593),$AF$2:$AF$1001,0),0), INDEX($AM$1004:$BM$1004,1,MATCH(COLUMNS($AM$1006:BK1006),$AM$1006:$BM$1006,0)))),"Fix")))</f>
        <v xml:space="preserve"> </v>
      </c>
      <c r="AA593" s="4" t="str">
        <f ca="1">IF(OR(INDEX($AG$2:$AG$1001,MATCH(ROWS($AF$2:AF593),$AF$2:$AF$1001,0),1)&gt;=100000,INDEX($AM$1005:$BM$1005,1,MATCH(COLUMNS($AM$1006:BL1006),$AM$1006:$BM$1006,0))&gt;=100000), " ",IF(INDEX($AM$2:$BM$1001,MATCH(ROWS($AF$2:AF593),$AF$2:$AF$1001,0),MATCH(COLUMNS($AM$1006:BL1006),$AM$1006:$BM$1006,0)), HYPERLINK("#",""), HYPERLINK(CONCATENATE("#metadata!", ADDRESS(INDEX($AH$2:$AH$1001,MATCH(ROWS($AF$2:AF593),$AF$2:$AF$1001,0),0), INDEX($AM$1004:$BM$1004,1,MATCH(COLUMNS($AM$1006:BL1006),$AM$1006:$BM$1006,0)))),"Fix")))</f>
        <v xml:space="preserve"> </v>
      </c>
      <c r="AB593" s="4" t="str">
        <f ca="1">IF(OR(INDEX($AG$2:$AG$1001,MATCH(ROWS($AF$2:AF593),$AF$2:$AF$1001,0),1)&gt;=100000,INDEX($AM$1005:$BM$1005,1,MATCH(COLUMNS($AM$1006:BM1006),$AM$1006:$BM$1006,0))&gt;=100000), " ",IF(INDEX($AM$2:$BM$1001,MATCH(ROWS($AF$2:AF593),$AF$2:$AF$1001,0),MATCH(COLUMNS($AM$1006:BM1006),$AM$1006:$BM$1006,0)), HYPERLINK("#",""), HYPERLINK(CONCATENATE("#metadata!", ADDRESS(INDEX($AH$2:$AH$1001,MATCH(ROWS($AF$2:AF593),$AF$2:$AF$1001,0),0), INDEX($AM$1004:$BM$1004,1,MATCH(COLUMNS($AM$1006:BM1006),$AM$1006:$BM$1006,0)))),"Fix")))</f>
        <v xml:space="preserve"> </v>
      </c>
      <c r="AF593">
        <v>592</v>
      </c>
      <c r="AG593">
        <v>100593</v>
      </c>
      <c r="AH593">
        <v>593</v>
      </c>
      <c r="AI593" t="b">
        <f t="shared" si="9"/>
        <v>1</v>
      </c>
      <c r="AJ593" t="b">
        <f>COUNTBLANK(metadata!B593:AB593)=COLUMNS(metadata!B593:AB593)</f>
        <v>1</v>
      </c>
      <c r="AK593" t="str">
        <v/>
      </c>
      <c r="AM593" t="b">
        <f ca="1">AND(IF(metadata!B593="",FALSE,TRUE),COUNTIF(metadata!B:B, metadata!B593) = 1,NOT(ISERROR(SUMPRODUCT(SEARCH(MID(metadata!B593,ROW(INDIRECT("1:"&amp;LEN(metadata!B593))), 1),"0123456789abcdefghijklmnopqrstuvwxyzABCDEFGHIJKLMNOPQRSTUVWXYZ.")))))</f>
        <v>0</v>
      </c>
      <c r="AN593" t="b">
        <f ca="1">OR(AND(IF(metadata!C593="",FALSE,TRUE),OR(EXACT(metadata!C593,"missing: not collected"),EXACT(metadata!C593,"missing: not provided"),EXACT(metadata!C593,"missing: restricted access"))),AND(IF(metadata!C593="",FALSE,TRUE),AND(AND(IFERROR(INT(LEFT(metadata!C593,4))&gt;1900,FALSE),IFERROR(INT(LEFT(metadata!C593,4))&lt;=YEAR(NOW()),FALSE)), OR(MID(metadata!C593,5,1)="", AND(AND(MID(metadata!C593,5,1)="-",IFERROR(INT(MID(metadata!C593,6,1))&gt;=0,FALSE),IFERROR(INT(MID(metadata!C593,6,1))&lt;=1,FALSE),NOT(MID(metadata!C593,7,1)=""),IFERROR(INT(MID(metadata!C593,6,2))&gt;=1,FALSE),IFERROR(INT(MID(metadata!C593,6,2))&lt;=12,FALSE)), OR(MID(metadata!C593,8,1)="", AND(AND(MID(metadata!C593,8,1)="-",IFERROR(INT(MID(metadata!C593,9,1))&gt;=0,FALSE),IFERROR(INT(MID(metadata!C593,9,1))&lt;=3,FALSE),NOT(MID(metadata!C593,10,1)=""),IFERROR(INT(MID(metadata!C593,9,2))&gt;=1,FALSE),IFERROR(INT(MID(metadata!C593,9,2))&lt;=31,FALSE)), OR(MID(metadata!C593,11,1)="", AND(AND(MID(metadata!C593,11,1)=" ",IFERROR(INT(MID(metadata!C593,12,1))&gt;=0,FALSE),IFERROR(INT(MID(metadata!C593,12,1))&lt;=2,FALSE),NOT(MID(metadata!C593,13,1)=""),IFERROR(INT(MID(metadata!C593,12,2))&gt;=0,FALSE),IFERROR(INT(MID(metadata!C593,12,2))&lt;=23,FALSE)), OR(MID(metadata!C593,14,1)="", AND(AND(MID(metadata!C593,14,1)=":",IFERROR(INT(MID(metadata!C593,15,1))&gt;=0,FALSE),IFERROR(INT(MID(metadata!C593,15,1))&lt;=5,FALSE),NOT(MID(metadata!C593,16,1)=""),IFERROR(INT(MID(metadata!C593,15,2))&gt;=0,FALSE),IFERROR(INT(MID(metadata!C593,15,2))&lt;=59,FALSE)), OR(MID(metadata!C593,17,1)="", AND(AND(MID(metadata!C593,17,1)=":",IFERROR(INT(MID(metadata!C593,18,1))&gt;=0,FALSE),IFERROR(INT(MID(metadata!C593,18,1))&lt;=5,FALSE),NOT(MID(metadata!C593,19,1)=""),IFERROR(INT(MID(metadata!C593,18,2))&gt;=0,FALSE),IFERROR(INT(MID(metadata!C593,18,2))&lt;=59,FALSE)), LEN(metadata!C593)&lt;=19)))))))))))))</f>
        <v>0</v>
      </c>
      <c r="AO593" t="b">
        <f>AND(IF(metadata!D593="",FALSE,TRUE),EXACT(metadata!D593,"Not applicable"))</f>
        <v>0</v>
      </c>
      <c r="AP593" t="b">
        <f>IF(metadata!E593="",FALSE,TRUE)</f>
        <v>0</v>
      </c>
      <c r="AQ593" t="b">
        <f>OR(AND(IF(metadata!F593="",FALSE,TRUE),OR(EXACT(metadata!F593,"missing: not collected"),EXACT(metadata!F593,"missing: not provided"))),AND(IF(metadata!F593="",FALSE,TRUE),OR(EXACT(metadata!F593,"TRUE"),EXACT(metadata!F593,"FALSE"))))</f>
        <v>0</v>
      </c>
      <c r="AR593" t="b">
        <f>OR(AND(IF(metadata!G593="",FALSE,TRUE),OR(EXACT(metadata!G593,"missing: not collected"),EXACT(metadata!G593,"missing: not provided"),EXACT(metadata!G593,"missing: restricted access"))),AND(IF(metadata!G593="",FALSE,ISNUMBER(VALUE(metadata!G593))),metadata!G593&gt;=-413))</f>
        <v>0</v>
      </c>
      <c r="AS593" t="b">
        <f>AND(IF(metadata!H593="",FALSE,TRUE),EXACT(metadata!H593,"meters"))</f>
        <v>0</v>
      </c>
      <c r="AT593" t="b">
        <f>AND(IF(metadata!I593="",FALSE,TRUE),OR(EXACT(metadata!I593,"Host-associated"),EXACT(metadata!I593,"Free-living")))</f>
        <v>0</v>
      </c>
      <c r="AU593" t="b">
        <f>AND(IF(metadata!J593="",FALSE,TRUE),OR(EXACT(metadata!J593,"Animal"),EXACT(metadata!J593,"Fungus"),EXACT(metadata!J593,"Plant"),EXACT(metadata!J593,"Saline"),EXACT(metadata!J593,"Non-saline")))</f>
        <v>0</v>
      </c>
      <c r="AV593" t="b">
        <f>AND(IF(metadata!K593="",FALSE,TRUE),OR(EXACT(metadata!K593,"Plant secretion"),EXACT(metadata!K593,"Plant rhizosphere"),EXACT(metadata!K593,"Plant surface"),EXACT(metadata!K593,"Plant corpus"),EXACT(metadata!K593,"Fungus surface"),EXACT(metadata!K593,"Fungus corpus"),EXACT(metadata!K593,"Animal surface"),EXACT(metadata!K593,"Animal proximal gut"),EXACT(metadata!K593,"Animal corpus"),EXACT(metadata!K593,"Animal distal gut"),EXACT(metadata!K593,"Animal secretion"),EXACT(metadata!K593,"Sub-surface (non-saline)"),EXACT(metadata!K593,"Surface (non-saline)"),EXACT(metadata!K593,"Water (non-saline)"),EXACT(metadata!K593,"Soil (non-saline)"),EXACT(metadata!K593,"Aerosol (non-saline)"),EXACT(metadata!K593,"Sediment (non-saline)"),EXACT(metadata!K593,"Surface (saline)"),EXACT(metadata!K593,"Water (saline)"),EXACT(metadata!K593,"Hypersaline (saline)"),EXACT(metadata!K593,"Aerosol (saline)"),EXACT(metadata!K593,"Sediment (saline)")))</f>
        <v>0</v>
      </c>
      <c r="AW593" t="b">
        <f>IF(metadata!L593="",FALSE,TRUE)</f>
        <v>0</v>
      </c>
      <c r="AX593" t="b">
        <f>IF(metadata!M593="",FALSE,TRUE)</f>
        <v>0</v>
      </c>
      <c r="AY593" t="b">
        <f>IF(metadata!N593="",FALSE,TRUE)</f>
        <v>0</v>
      </c>
      <c r="AZ593" t="b">
        <f>OR(AND(IF(metadata!O593="",FALSE,TRUE),OR(EXACT(metadata!O593,"missing: not collected"),EXACT(metadata!O593,"missing: not provided"),EXACT(metadata!O593,"missing: restricted access"))),AND(IF(metadata!O593="",FALSE,TRUE),OR(EXACT(metadata!O593,"air"),EXACT(metadata!O593,"built environment"),EXACT(metadata!O593,"host-associated"),EXACT(metadata!O593,"human-associated"),EXACT(metadata!O593,"human-skin"),EXACT(metadata!O593,"human-oral"),EXACT(metadata!O593,"human-gut"),EXACT(metadata!O593,"human-vaginal"),EXACT(metadata!O593,"microbial mat/biofilm"),EXACT(metadata!O593,"misc environment"),EXACT(metadata!O593,"plant-associated"),EXACT(metadata!O593,"sediment"),EXACT(metadata!O593,"soil"),EXACT(metadata!O593,"wastewater/sludge"),EXACT(metadata!O593,"water"))))</f>
        <v>0</v>
      </c>
      <c r="BA593" t="b">
        <f>IF(metadata!P593="",FALSE,TRUE)</f>
        <v>0</v>
      </c>
      <c r="BB593" t="b">
        <f>IF(metadata!Q593="",FALSE,TRUE)</f>
        <v>0</v>
      </c>
      <c r="BC593" t="b">
        <f>OR(AND(IF(metadata!R593="",FALSE,TRUE),OR(EXACT(metadata!R593,"missing: not collected"),EXACT(metadata!R593,"missing: not provided"),EXACT(metadata!R593,"missing: restricted access"))),AND(IF(metadata!R593="",FALSE,ISNUMBER(VALUE(metadata!R593))),metadata!R593&gt;=-90,metadata!R593&lt;=90))</f>
        <v>0</v>
      </c>
      <c r="BD593" t="b">
        <f>AND(IF(metadata!S593="",FALSE,TRUE),EXACT(metadata!S593,"Decimal degrees"))</f>
        <v>0</v>
      </c>
      <c r="BE593" t="b">
        <f>OR(AND(IF(metadata!T593="",FALSE,TRUE),OR(EXACT(metadata!T593,"missing: not collected"),EXACT(metadata!T593,"missing: not provided"),EXACT(metadata!T593,"missing: restricted access"))),AND(IF(metadata!T593="",FALSE,ISNUMBER(VALUE(metadata!T593))),metadata!T593&gt;=-180,metadata!T593&lt;=180))</f>
        <v>0</v>
      </c>
      <c r="BF593" t="b">
        <f>AND(IF(metadata!U593="",FALSE,TRUE),EXACT(metadata!U593,"Decimal degrees"))</f>
        <v>0</v>
      </c>
      <c r="BG593" t="b">
        <f>IF(metadata!V593="",FALSE,TRUE)</f>
        <v>0</v>
      </c>
      <c r="BH593" t="b">
        <f>OR(AND(IF(metadata!W593="",FALSE,TRUE),OR(EXACT(metadata!W593,"missing: not collected"),EXACT(metadata!W593,"missing: not provided"),EXACT(metadata!W593,"missing: restricted access"))),AND(IF(metadata!W593="",FALSE,TRUE),OR(EXACT(metadata!W593,"TRUE"),EXACT(metadata!W593,"FALSE"))))</f>
        <v>0</v>
      </c>
      <c r="BI593" t="b">
        <f>AND(IF(metadata!X593="",FALSE,TRUE),EXACT(metadata!X593,"other"))</f>
        <v>0</v>
      </c>
      <c r="BJ593" t="b">
        <f>IF(metadata!Y593="",FALSE,TRUE)</f>
        <v>0</v>
      </c>
      <c r="BK593" t="b">
        <f>OR(AND(IF(metadata!Z593="",FALSE,TRUE),OR(EXACT(metadata!Z593,"missing: not collected"),EXACT(metadata!Z593,"missing: not provided"))),AND(IF(metadata!Z593="",FALSE,IF(ISERROR(INT(metadata!Z593)),FALSE,INT(metadata!Z593)=metadata!Z593)),metadata!Z593&gt;0))</f>
        <v>0</v>
      </c>
      <c r="BL593" t="b">
        <f>AND(IF(metadata!AA593="",FALSE,TRUE),EXACT(metadata!AA593,"Not applicable"))</f>
        <v>0</v>
      </c>
      <c r="BM593" t="b">
        <f>IF(metadata!AB593="",FALSE,TRUE)</f>
        <v>0</v>
      </c>
    </row>
    <row r="594" spans="1:65" x14ac:dyDescent="0.2">
      <c r="A594" s="5" t="str">
        <f ca="1">IF(B594=" "," ",HYPERLINK(CONCATENATE("#metadata!",ADDRESS(INDEX($AH$2:$AH$1001,MATCH(ROWS($AF$2:AF594),$AF$2:$AF$1001,0),0),1)),INDEX($AK$2:$AK$1001,MATCH(ROWS($AF$2:AF594),$AF$2:$AF$1001,0),0)))</f>
        <v xml:space="preserve"> </v>
      </c>
      <c r="B594" s="4" t="str">
        <f ca="1">IF(OR(INDEX($AG$2:$AG$1001,MATCH(ROWS($AF$2:AF594),$AF$2:$AF$1001,0),1)&gt;=100000,INDEX($AM$1005:$BM$1005,1,MATCH(COLUMNS($AM$1006:AM1006),$AM$1006:$BM$1006,0))&gt;=100000), " ",IF(INDEX($AM$2:$BM$1001,MATCH(ROWS($AF$2:AF594),$AF$2:$AF$1001,0),MATCH(COLUMNS($AM$1006:AM1006),$AM$1006:$BM$1006,0)), HYPERLINK("#",""), HYPERLINK(CONCATENATE("#metadata!", ADDRESS(INDEX($AH$2:$AH$1001,MATCH(ROWS($AF$2:AF594),$AF$2:$AF$1001,0),0), INDEX($AM$1004:$BM$1004,1,MATCH(COLUMNS($AM$1006:AM1006),$AM$1006:$BM$1006,0)))),"Fix")))</f>
        <v xml:space="preserve"> </v>
      </c>
      <c r="C594" s="4" t="str">
        <f ca="1">IF(OR(INDEX($AG$2:$AG$1001,MATCH(ROWS($AF$2:AF594),$AF$2:$AF$1001,0),1)&gt;=100000,INDEX($AM$1005:$BM$1005,1,MATCH(COLUMNS($AM$1006:AN1006),$AM$1006:$BM$1006,0))&gt;=100000), " ",IF(INDEX($AM$2:$BM$1001,MATCH(ROWS($AF$2:AF594),$AF$2:$AF$1001,0),MATCH(COLUMNS($AM$1006:AN1006),$AM$1006:$BM$1006,0)), HYPERLINK("#",""), HYPERLINK(CONCATENATE("#metadata!", ADDRESS(INDEX($AH$2:$AH$1001,MATCH(ROWS($AF$2:AF594),$AF$2:$AF$1001,0),0), INDEX($AM$1004:$BM$1004,1,MATCH(COLUMNS($AM$1006:AN1006),$AM$1006:$BM$1006,0)))),"Fix")))</f>
        <v xml:space="preserve"> </v>
      </c>
      <c r="D594" s="4" t="str">
        <f ca="1">IF(OR(INDEX($AG$2:$AG$1001,MATCH(ROWS($AF$2:AF594),$AF$2:$AF$1001,0),1)&gt;=100000,INDEX($AM$1005:$BM$1005,1,MATCH(COLUMNS($AM$1006:AO1006),$AM$1006:$BM$1006,0))&gt;=100000), " ",IF(INDEX($AM$2:$BM$1001,MATCH(ROWS($AF$2:AF594),$AF$2:$AF$1001,0),MATCH(COLUMNS($AM$1006:AO1006),$AM$1006:$BM$1006,0)), HYPERLINK("#",""), HYPERLINK(CONCATENATE("#metadata!", ADDRESS(INDEX($AH$2:$AH$1001,MATCH(ROWS($AF$2:AF594),$AF$2:$AF$1001,0),0), INDEX($AM$1004:$BM$1004,1,MATCH(COLUMNS($AM$1006:AO1006),$AM$1006:$BM$1006,0)))),"Fix")))</f>
        <v xml:space="preserve"> </v>
      </c>
      <c r="E594" s="4" t="str">
        <f ca="1">IF(OR(INDEX($AG$2:$AG$1001,MATCH(ROWS($AF$2:AF594),$AF$2:$AF$1001,0),1)&gt;=100000,INDEX($AM$1005:$BM$1005,1,MATCH(COLUMNS($AM$1006:AP1006),$AM$1006:$BM$1006,0))&gt;=100000), " ",IF(INDEX($AM$2:$BM$1001,MATCH(ROWS($AF$2:AF594),$AF$2:$AF$1001,0),MATCH(COLUMNS($AM$1006:AP1006),$AM$1006:$BM$1006,0)), HYPERLINK("#",""), HYPERLINK(CONCATENATE("#metadata!", ADDRESS(INDEX($AH$2:$AH$1001,MATCH(ROWS($AF$2:AF594),$AF$2:$AF$1001,0),0), INDEX($AM$1004:$BM$1004,1,MATCH(COLUMNS($AM$1006:AP1006),$AM$1006:$BM$1006,0)))),"Fix")))</f>
        <v xml:space="preserve"> </v>
      </c>
      <c r="F594" s="4" t="str">
        <f ca="1">IF(OR(INDEX($AG$2:$AG$1001,MATCH(ROWS($AF$2:AF594),$AF$2:$AF$1001,0),1)&gt;=100000,INDEX($AM$1005:$BM$1005,1,MATCH(COLUMNS($AM$1006:AQ1006),$AM$1006:$BM$1006,0))&gt;=100000), " ",IF(INDEX($AM$2:$BM$1001,MATCH(ROWS($AF$2:AF594),$AF$2:$AF$1001,0),MATCH(COLUMNS($AM$1006:AQ1006),$AM$1006:$BM$1006,0)), HYPERLINK("#",""), HYPERLINK(CONCATENATE("#metadata!", ADDRESS(INDEX($AH$2:$AH$1001,MATCH(ROWS($AF$2:AF594),$AF$2:$AF$1001,0),0), INDEX($AM$1004:$BM$1004,1,MATCH(COLUMNS($AM$1006:AQ1006),$AM$1006:$BM$1006,0)))),"Fix")))</f>
        <v xml:space="preserve"> </v>
      </c>
      <c r="G594" s="4" t="str">
        <f ca="1">IF(OR(INDEX($AG$2:$AG$1001,MATCH(ROWS($AF$2:AF594),$AF$2:$AF$1001,0),1)&gt;=100000,INDEX($AM$1005:$BM$1005,1,MATCH(COLUMNS($AM$1006:AR1006),$AM$1006:$BM$1006,0))&gt;=100000), " ",IF(INDEX($AM$2:$BM$1001,MATCH(ROWS($AF$2:AF594),$AF$2:$AF$1001,0),MATCH(COLUMNS($AM$1006:AR1006),$AM$1006:$BM$1006,0)), HYPERLINK("#",""), HYPERLINK(CONCATENATE("#metadata!", ADDRESS(INDEX($AH$2:$AH$1001,MATCH(ROWS($AF$2:AF594),$AF$2:$AF$1001,0),0), INDEX($AM$1004:$BM$1004,1,MATCH(COLUMNS($AM$1006:AR1006),$AM$1006:$BM$1006,0)))),"Fix")))</f>
        <v xml:space="preserve"> </v>
      </c>
      <c r="H594" s="4" t="str">
        <f ca="1">IF(OR(INDEX($AG$2:$AG$1001,MATCH(ROWS($AF$2:AF594),$AF$2:$AF$1001,0),1)&gt;=100000,INDEX($AM$1005:$BM$1005,1,MATCH(COLUMNS($AM$1006:AS1006),$AM$1006:$BM$1006,0))&gt;=100000), " ",IF(INDEX($AM$2:$BM$1001,MATCH(ROWS($AF$2:AF594),$AF$2:$AF$1001,0),MATCH(COLUMNS($AM$1006:AS1006),$AM$1006:$BM$1006,0)), HYPERLINK("#",""), HYPERLINK(CONCATENATE("#metadata!", ADDRESS(INDEX($AH$2:$AH$1001,MATCH(ROWS($AF$2:AF594),$AF$2:$AF$1001,0),0), INDEX($AM$1004:$BM$1004,1,MATCH(COLUMNS($AM$1006:AS1006),$AM$1006:$BM$1006,0)))),"Fix")))</f>
        <v xml:space="preserve"> </v>
      </c>
      <c r="I594" s="4" t="str">
        <f ca="1">IF(OR(INDEX($AG$2:$AG$1001,MATCH(ROWS($AF$2:AF594),$AF$2:$AF$1001,0),1)&gt;=100000,INDEX($AM$1005:$BM$1005,1,MATCH(COLUMNS($AM$1006:AT1006),$AM$1006:$BM$1006,0))&gt;=100000), " ",IF(INDEX($AM$2:$BM$1001,MATCH(ROWS($AF$2:AF594),$AF$2:$AF$1001,0),MATCH(COLUMNS($AM$1006:AT1006),$AM$1006:$BM$1006,0)), HYPERLINK("#",""), HYPERLINK(CONCATENATE("#metadata!", ADDRESS(INDEX($AH$2:$AH$1001,MATCH(ROWS($AF$2:AF594),$AF$2:$AF$1001,0),0), INDEX($AM$1004:$BM$1004,1,MATCH(COLUMNS($AM$1006:AT1006),$AM$1006:$BM$1006,0)))),"Fix")))</f>
        <v xml:space="preserve"> </v>
      </c>
      <c r="J594" s="4" t="str">
        <f ca="1">IF(OR(INDEX($AG$2:$AG$1001,MATCH(ROWS($AF$2:AF594),$AF$2:$AF$1001,0),1)&gt;=100000,INDEX($AM$1005:$BM$1005,1,MATCH(COLUMNS($AM$1006:AU1006),$AM$1006:$BM$1006,0))&gt;=100000), " ",IF(INDEX($AM$2:$BM$1001,MATCH(ROWS($AF$2:AF594),$AF$2:$AF$1001,0),MATCH(COLUMNS($AM$1006:AU1006),$AM$1006:$BM$1006,0)), HYPERLINK("#",""), HYPERLINK(CONCATENATE("#metadata!", ADDRESS(INDEX($AH$2:$AH$1001,MATCH(ROWS($AF$2:AF594),$AF$2:$AF$1001,0),0), INDEX($AM$1004:$BM$1004,1,MATCH(COLUMNS($AM$1006:AU1006),$AM$1006:$BM$1006,0)))),"Fix")))</f>
        <v xml:space="preserve"> </v>
      </c>
      <c r="K594" s="4" t="str">
        <f ca="1">IF(OR(INDEX($AG$2:$AG$1001,MATCH(ROWS($AF$2:AF594),$AF$2:$AF$1001,0),1)&gt;=100000,INDEX($AM$1005:$BM$1005,1,MATCH(COLUMNS($AM$1006:AV1006),$AM$1006:$BM$1006,0))&gt;=100000), " ",IF(INDEX($AM$2:$BM$1001,MATCH(ROWS($AF$2:AF594),$AF$2:$AF$1001,0),MATCH(COLUMNS($AM$1006:AV1006),$AM$1006:$BM$1006,0)), HYPERLINK("#",""), HYPERLINK(CONCATENATE("#metadata!", ADDRESS(INDEX($AH$2:$AH$1001,MATCH(ROWS($AF$2:AF594),$AF$2:$AF$1001,0),0), INDEX($AM$1004:$BM$1004,1,MATCH(COLUMNS($AM$1006:AV1006),$AM$1006:$BM$1006,0)))),"Fix")))</f>
        <v xml:space="preserve"> </v>
      </c>
      <c r="L594" s="4" t="str">
        <f ca="1">IF(OR(INDEX($AG$2:$AG$1001,MATCH(ROWS($AF$2:AF594),$AF$2:$AF$1001,0),1)&gt;=100000,INDEX($AM$1005:$BM$1005,1,MATCH(COLUMNS($AM$1006:AW1006),$AM$1006:$BM$1006,0))&gt;=100000), " ",IF(INDEX($AM$2:$BM$1001,MATCH(ROWS($AF$2:AF594),$AF$2:$AF$1001,0),MATCH(COLUMNS($AM$1006:AW1006),$AM$1006:$BM$1006,0)), HYPERLINK("#",""), HYPERLINK(CONCATENATE("#metadata!", ADDRESS(INDEX($AH$2:$AH$1001,MATCH(ROWS($AF$2:AF594),$AF$2:$AF$1001,0),0), INDEX($AM$1004:$BM$1004,1,MATCH(COLUMNS($AM$1006:AW1006),$AM$1006:$BM$1006,0)))),"Fix")))</f>
        <v xml:space="preserve"> </v>
      </c>
      <c r="M594" s="4" t="str">
        <f ca="1">IF(OR(INDEX($AG$2:$AG$1001,MATCH(ROWS($AF$2:AF594),$AF$2:$AF$1001,0),1)&gt;=100000,INDEX($AM$1005:$BM$1005,1,MATCH(COLUMNS($AM$1006:AX1006),$AM$1006:$BM$1006,0))&gt;=100000), " ",IF(INDEX($AM$2:$BM$1001,MATCH(ROWS($AF$2:AF594),$AF$2:$AF$1001,0),MATCH(COLUMNS($AM$1006:AX1006),$AM$1006:$BM$1006,0)), HYPERLINK("#",""), HYPERLINK(CONCATENATE("#metadata!", ADDRESS(INDEX($AH$2:$AH$1001,MATCH(ROWS($AF$2:AF594),$AF$2:$AF$1001,0),0), INDEX($AM$1004:$BM$1004,1,MATCH(COLUMNS($AM$1006:AX1006),$AM$1006:$BM$1006,0)))),"Fix")))</f>
        <v xml:space="preserve"> </v>
      </c>
      <c r="N594" s="4" t="str">
        <f ca="1">IF(OR(INDEX($AG$2:$AG$1001,MATCH(ROWS($AF$2:AF594),$AF$2:$AF$1001,0),1)&gt;=100000,INDEX($AM$1005:$BM$1005,1,MATCH(COLUMNS($AM$1006:AY1006),$AM$1006:$BM$1006,0))&gt;=100000), " ",IF(INDEX($AM$2:$BM$1001,MATCH(ROWS($AF$2:AF594),$AF$2:$AF$1001,0),MATCH(COLUMNS($AM$1006:AY1006),$AM$1006:$BM$1006,0)), HYPERLINK("#",""), HYPERLINK(CONCATENATE("#metadata!", ADDRESS(INDEX($AH$2:$AH$1001,MATCH(ROWS($AF$2:AF594),$AF$2:$AF$1001,0),0), INDEX($AM$1004:$BM$1004,1,MATCH(COLUMNS($AM$1006:AY1006),$AM$1006:$BM$1006,0)))),"Fix")))</f>
        <v xml:space="preserve"> </v>
      </c>
      <c r="O594" s="4" t="str">
        <f ca="1">IF(OR(INDEX($AG$2:$AG$1001,MATCH(ROWS($AF$2:AF594),$AF$2:$AF$1001,0),1)&gt;=100000,INDEX($AM$1005:$BM$1005,1,MATCH(COLUMNS($AM$1006:AZ1006),$AM$1006:$BM$1006,0))&gt;=100000), " ",IF(INDEX($AM$2:$BM$1001,MATCH(ROWS($AF$2:AF594),$AF$2:$AF$1001,0),MATCH(COLUMNS($AM$1006:AZ1006),$AM$1006:$BM$1006,0)), HYPERLINK("#",""), HYPERLINK(CONCATENATE("#metadata!", ADDRESS(INDEX($AH$2:$AH$1001,MATCH(ROWS($AF$2:AF594),$AF$2:$AF$1001,0),0), INDEX($AM$1004:$BM$1004,1,MATCH(COLUMNS($AM$1006:AZ1006),$AM$1006:$BM$1006,0)))),"Fix")))</f>
        <v xml:space="preserve"> </v>
      </c>
      <c r="P594" s="4" t="str">
        <f ca="1">IF(OR(INDEX($AG$2:$AG$1001,MATCH(ROWS($AF$2:AF594),$AF$2:$AF$1001,0),1)&gt;=100000,INDEX($AM$1005:$BM$1005,1,MATCH(COLUMNS($AM$1006:BA1006),$AM$1006:$BM$1006,0))&gt;=100000), " ",IF(INDEX($AM$2:$BM$1001,MATCH(ROWS($AF$2:AF594),$AF$2:$AF$1001,0),MATCH(COLUMNS($AM$1006:BA1006),$AM$1006:$BM$1006,0)), HYPERLINK("#",""), HYPERLINK(CONCATENATE("#metadata!", ADDRESS(INDEX($AH$2:$AH$1001,MATCH(ROWS($AF$2:AF594),$AF$2:$AF$1001,0),0), INDEX($AM$1004:$BM$1004,1,MATCH(COLUMNS($AM$1006:BA1006),$AM$1006:$BM$1006,0)))),"Fix")))</f>
        <v xml:space="preserve"> </v>
      </c>
      <c r="Q594" s="4" t="str">
        <f ca="1">IF(OR(INDEX($AG$2:$AG$1001,MATCH(ROWS($AF$2:AF594),$AF$2:$AF$1001,0),1)&gt;=100000,INDEX($AM$1005:$BM$1005,1,MATCH(COLUMNS($AM$1006:BB1006),$AM$1006:$BM$1006,0))&gt;=100000), " ",IF(INDEX($AM$2:$BM$1001,MATCH(ROWS($AF$2:AF594),$AF$2:$AF$1001,0),MATCH(COLUMNS($AM$1006:BB1006),$AM$1006:$BM$1006,0)), HYPERLINK("#",""), HYPERLINK(CONCATENATE("#metadata!", ADDRESS(INDEX($AH$2:$AH$1001,MATCH(ROWS($AF$2:AF594),$AF$2:$AF$1001,0),0), INDEX($AM$1004:$BM$1004,1,MATCH(COLUMNS($AM$1006:BB1006),$AM$1006:$BM$1006,0)))),"Fix")))</f>
        <v xml:space="preserve"> </v>
      </c>
      <c r="R594" s="4" t="str">
        <f ca="1">IF(OR(INDEX($AG$2:$AG$1001,MATCH(ROWS($AF$2:AF594),$AF$2:$AF$1001,0),1)&gt;=100000,INDEX($AM$1005:$BM$1005,1,MATCH(COLUMNS($AM$1006:BC1006),$AM$1006:$BM$1006,0))&gt;=100000), " ",IF(INDEX($AM$2:$BM$1001,MATCH(ROWS($AF$2:AF594),$AF$2:$AF$1001,0),MATCH(COLUMNS($AM$1006:BC1006),$AM$1006:$BM$1006,0)), HYPERLINK("#",""), HYPERLINK(CONCATENATE("#metadata!", ADDRESS(INDEX($AH$2:$AH$1001,MATCH(ROWS($AF$2:AF594),$AF$2:$AF$1001,0),0), INDEX($AM$1004:$BM$1004,1,MATCH(COLUMNS($AM$1006:BC1006),$AM$1006:$BM$1006,0)))),"Fix")))</f>
        <v xml:space="preserve"> </v>
      </c>
      <c r="S594" s="4" t="str">
        <f ca="1">IF(OR(INDEX($AG$2:$AG$1001,MATCH(ROWS($AF$2:AF594),$AF$2:$AF$1001,0),1)&gt;=100000,INDEX($AM$1005:$BM$1005,1,MATCH(COLUMNS($AM$1006:BD1006),$AM$1006:$BM$1006,0))&gt;=100000), " ",IF(INDEX($AM$2:$BM$1001,MATCH(ROWS($AF$2:AF594),$AF$2:$AF$1001,0),MATCH(COLUMNS($AM$1006:BD1006),$AM$1006:$BM$1006,0)), HYPERLINK("#",""), HYPERLINK(CONCATENATE("#metadata!", ADDRESS(INDEX($AH$2:$AH$1001,MATCH(ROWS($AF$2:AF594),$AF$2:$AF$1001,0),0), INDEX($AM$1004:$BM$1004,1,MATCH(COLUMNS($AM$1006:BD1006),$AM$1006:$BM$1006,0)))),"Fix")))</f>
        <v xml:space="preserve"> </v>
      </c>
      <c r="T594" s="4" t="str">
        <f ca="1">IF(OR(INDEX($AG$2:$AG$1001,MATCH(ROWS($AF$2:AF594),$AF$2:$AF$1001,0),1)&gt;=100000,INDEX($AM$1005:$BM$1005,1,MATCH(COLUMNS($AM$1006:BE1006),$AM$1006:$BM$1006,0))&gt;=100000), " ",IF(INDEX($AM$2:$BM$1001,MATCH(ROWS($AF$2:AF594),$AF$2:$AF$1001,0),MATCH(COLUMNS($AM$1006:BE1006),$AM$1006:$BM$1006,0)), HYPERLINK("#",""), HYPERLINK(CONCATENATE("#metadata!", ADDRESS(INDEX($AH$2:$AH$1001,MATCH(ROWS($AF$2:AF594),$AF$2:$AF$1001,0),0), INDEX($AM$1004:$BM$1004,1,MATCH(COLUMNS($AM$1006:BE1006),$AM$1006:$BM$1006,0)))),"Fix")))</f>
        <v xml:space="preserve"> </v>
      </c>
      <c r="U594" s="4" t="str">
        <f ca="1">IF(OR(INDEX($AG$2:$AG$1001,MATCH(ROWS($AF$2:AF594),$AF$2:$AF$1001,0),1)&gt;=100000,INDEX($AM$1005:$BM$1005,1,MATCH(COLUMNS($AM$1006:BF1006),$AM$1006:$BM$1006,0))&gt;=100000), " ",IF(INDEX($AM$2:$BM$1001,MATCH(ROWS($AF$2:AF594),$AF$2:$AF$1001,0),MATCH(COLUMNS($AM$1006:BF1006),$AM$1006:$BM$1006,0)), HYPERLINK("#",""), HYPERLINK(CONCATENATE("#metadata!", ADDRESS(INDEX($AH$2:$AH$1001,MATCH(ROWS($AF$2:AF594),$AF$2:$AF$1001,0),0), INDEX($AM$1004:$BM$1004,1,MATCH(COLUMNS($AM$1006:BF1006),$AM$1006:$BM$1006,0)))),"Fix")))</f>
        <v xml:space="preserve"> </v>
      </c>
      <c r="V594" s="4" t="str">
        <f ca="1">IF(OR(INDEX($AG$2:$AG$1001,MATCH(ROWS($AF$2:AF594),$AF$2:$AF$1001,0),1)&gt;=100000,INDEX($AM$1005:$BM$1005,1,MATCH(COLUMNS($AM$1006:BG1006),$AM$1006:$BM$1006,0))&gt;=100000), " ",IF(INDEX($AM$2:$BM$1001,MATCH(ROWS($AF$2:AF594),$AF$2:$AF$1001,0),MATCH(COLUMNS($AM$1006:BG1006),$AM$1006:$BM$1006,0)), HYPERLINK("#",""), HYPERLINK(CONCATENATE("#metadata!", ADDRESS(INDEX($AH$2:$AH$1001,MATCH(ROWS($AF$2:AF594),$AF$2:$AF$1001,0),0), INDEX($AM$1004:$BM$1004,1,MATCH(COLUMNS($AM$1006:BG1006),$AM$1006:$BM$1006,0)))),"Fix")))</f>
        <v xml:space="preserve"> </v>
      </c>
      <c r="W594" s="4" t="str">
        <f ca="1">IF(OR(INDEX($AG$2:$AG$1001,MATCH(ROWS($AF$2:AF594),$AF$2:$AF$1001,0),1)&gt;=100000,INDEX($AM$1005:$BM$1005,1,MATCH(COLUMNS($AM$1006:BH1006),$AM$1006:$BM$1006,0))&gt;=100000), " ",IF(INDEX($AM$2:$BM$1001,MATCH(ROWS($AF$2:AF594),$AF$2:$AF$1001,0),MATCH(COLUMNS($AM$1006:BH1006),$AM$1006:$BM$1006,0)), HYPERLINK("#",""), HYPERLINK(CONCATENATE("#metadata!", ADDRESS(INDEX($AH$2:$AH$1001,MATCH(ROWS($AF$2:AF594),$AF$2:$AF$1001,0),0), INDEX($AM$1004:$BM$1004,1,MATCH(COLUMNS($AM$1006:BH1006),$AM$1006:$BM$1006,0)))),"Fix")))</f>
        <v xml:space="preserve"> </v>
      </c>
      <c r="X594" s="4" t="str">
        <f ca="1">IF(OR(INDEX($AG$2:$AG$1001,MATCH(ROWS($AF$2:AF594),$AF$2:$AF$1001,0),1)&gt;=100000,INDEX($AM$1005:$BM$1005,1,MATCH(COLUMNS($AM$1006:BI1006),$AM$1006:$BM$1006,0))&gt;=100000), " ",IF(INDEX($AM$2:$BM$1001,MATCH(ROWS($AF$2:AF594),$AF$2:$AF$1001,0),MATCH(COLUMNS($AM$1006:BI1006),$AM$1006:$BM$1006,0)), HYPERLINK("#",""), HYPERLINK(CONCATENATE("#metadata!", ADDRESS(INDEX($AH$2:$AH$1001,MATCH(ROWS($AF$2:AF594),$AF$2:$AF$1001,0),0), INDEX($AM$1004:$BM$1004,1,MATCH(COLUMNS($AM$1006:BI1006),$AM$1006:$BM$1006,0)))),"Fix")))</f>
        <v xml:space="preserve"> </v>
      </c>
      <c r="Y594" s="4" t="str">
        <f ca="1">IF(OR(INDEX($AG$2:$AG$1001,MATCH(ROWS($AF$2:AF594),$AF$2:$AF$1001,0),1)&gt;=100000,INDEX($AM$1005:$BM$1005,1,MATCH(COLUMNS($AM$1006:BJ1006),$AM$1006:$BM$1006,0))&gt;=100000), " ",IF(INDEX($AM$2:$BM$1001,MATCH(ROWS($AF$2:AF594),$AF$2:$AF$1001,0),MATCH(COLUMNS($AM$1006:BJ1006),$AM$1006:$BM$1006,0)), HYPERLINK("#",""), HYPERLINK(CONCATENATE("#metadata!", ADDRESS(INDEX($AH$2:$AH$1001,MATCH(ROWS($AF$2:AF594),$AF$2:$AF$1001,0),0), INDEX($AM$1004:$BM$1004,1,MATCH(COLUMNS($AM$1006:BJ1006),$AM$1006:$BM$1006,0)))),"Fix")))</f>
        <v xml:space="preserve"> </v>
      </c>
      <c r="Z594" s="4" t="str">
        <f ca="1">IF(OR(INDEX($AG$2:$AG$1001,MATCH(ROWS($AF$2:AF594),$AF$2:$AF$1001,0),1)&gt;=100000,INDEX($AM$1005:$BM$1005,1,MATCH(COLUMNS($AM$1006:BK1006),$AM$1006:$BM$1006,0))&gt;=100000), " ",IF(INDEX($AM$2:$BM$1001,MATCH(ROWS($AF$2:AF594),$AF$2:$AF$1001,0),MATCH(COLUMNS($AM$1006:BK1006),$AM$1006:$BM$1006,0)), HYPERLINK("#",""), HYPERLINK(CONCATENATE("#metadata!", ADDRESS(INDEX($AH$2:$AH$1001,MATCH(ROWS($AF$2:AF594),$AF$2:$AF$1001,0),0), INDEX($AM$1004:$BM$1004,1,MATCH(COLUMNS($AM$1006:BK1006),$AM$1006:$BM$1006,0)))),"Fix")))</f>
        <v xml:space="preserve"> </v>
      </c>
      <c r="AA594" s="4" t="str">
        <f ca="1">IF(OR(INDEX($AG$2:$AG$1001,MATCH(ROWS($AF$2:AF594),$AF$2:$AF$1001,0),1)&gt;=100000,INDEX($AM$1005:$BM$1005,1,MATCH(COLUMNS($AM$1006:BL1006),$AM$1006:$BM$1006,0))&gt;=100000), " ",IF(INDEX($AM$2:$BM$1001,MATCH(ROWS($AF$2:AF594),$AF$2:$AF$1001,0),MATCH(COLUMNS($AM$1006:BL1006),$AM$1006:$BM$1006,0)), HYPERLINK("#",""), HYPERLINK(CONCATENATE("#metadata!", ADDRESS(INDEX($AH$2:$AH$1001,MATCH(ROWS($AF$2:AF594),$AF$2:$AF$1001,0),0), INDEX($AM$1004:$BM$1004,1,MATCH(COLUMNS($AM$1006:BL1006),$AM$1006:$BM$1006,0)))),"Fix")))</f>
        <v xml:space="preserve"> </v>
      </c>
      <c r="AB594" s="4" t="str">
        <f ca="1">IF(OR(INDEX($AG$2:$AG$1001,MATCH(ROWS($AF$2:AF594),$AF$2:$AF$1001,0),1)&gt;=100000,INDEX($AM$1005:$BM$1005,1,MATCH(COLUMNS($AM$1006:BM1006),$AM$1006:$BM$1006,0))&gt;=100000), " ",IF(INDEX($AM$2:$BM$1001,MATCH(ROWS($AF$2:AF594),$AF$2:$AF$1001,0),MATCH(COLUMNS($AM$1006:BM1006),$AM$1006:$BM$1006,0)), HYPERLINK("#",""), HYPERLINK(CONCATENATE("#metadata!", ADDRESS(INDEX($AH$2:$AH$1001,MATCH(ROWS($AF$2:AF594),$AF$2:$AF$1001,0),0), INDEX($AM$1004:$BM$1004,1,MATCH(COLUMNS($AM$1006:BM1006),$AM$1006:$BM$1006,0)))),"Fix")))</f>
        <v xml:space="preserve"> </v>
      </c>
      <c r="AF594">
        <v>593</v>
      </c>
      <c r="AG594">
        <v>100594</v>
      </c>
      <c r="AH594">
        <v>594</v>
      </c>
      <c r="AI594" t="b">
        <f t="shared" si="9"/>
        <v>1</v>
      </c>
      <c r="AJ594" t="b">
        <f>COUNTBLANK(metadata!B594:AB594)=COLUMNS(metadata!B594:AB594)</f>
        <v>1</v>
      </c>
      <c r="AK594" t="str">
        <v/>
      </c>
      <c r="AM594" t="b">
        <f ca="1">AND(IF(metadata!B594="",FALSE,TRUE),COUNTIF(metadata!B:B, metadata!B594) = 1,NOT(ISERROR(SUMPRODUCT(SEARCH(MID(metadata!B594,ROW(INDIRECT("1:"&amp;LEN(metadata!B594))), 1),"0123456789abcdefghijklmnopqrstuvwxyzABCDEFGHIJKLMNOPQRSTUVWXYZ.")))))</f>
        <v>0</v>
      </c>
      <c r="AN594" t="b">
        <f ca="1">OR(AND(IF(metadata!C594="",FALSE,TRUE),OR(EXACT(metadata!C594,"missing: not collected"),EXACT(metadata!C594,"missing: not provided"),EXACT(metadata!C594,"missing: restricted access"))),AND(IF(metadata!C594="",FALSE,TRUE),AND(AND(IFERROR(INT(LEFT(metadata!C594,4))&gt;1900,FALSE),IFERROR(INT(LEFT(metadata!C594,4))&lt;=YEAR(NOW()),FALSE)), OR(MID(metadata!C594,5,1)="", AND(AND(MID(metadata!C594,5,1)="-",IFERROR(INT(MID(metadata!C594,6,1))&gt;=0,FALSE),IFERROR(INT(MID(metadata!C594,6,1))&lt;=1,FALSE),NOT(MID(metadata!C594,7,1)=""),IFERROR(INT(MID(metadata!C594,6,2))&gt;=1,FALSE),IFERROR(INT(MID(metadata!C594,6,2))&lt;=12,FALSE)), OR(MID(metadata!C594,8,1)="", AND(AND(MID(metadata!C594,8,1)="-",IFERROR(INT(MID(metadata!C594,9,1))&gt;=0,FALSE),IFERROR(INT(MID(metadata!C594,9,1))&lt;=3,FALSE),NOT(MID(metadata!C594,10,1)=""),IFERROR(INT(MID(metadata!C594,9,2))&gt;=1,FALSE),IFERROR(INT(MID(metadata!C594,9,2))&lt;=31,FALSE)), OR(MID(metadata!C594,11,1)="", AND(AND(MID(metadata!C594,11,1)=" ",IFERROR(INT(MID(metadata!C594,12,1))&gt;=0,FALSE),IFERROR(INT(MID(metadata!C594,12,1))&lt;=2,FALSE),NOT(MID(metadata!C594,13,1)=""),IFERROR(INT(MID(metadata!C594,12,2))&gt;=0,FALSE),IFERROR(INT(MID(metadata!C594,12,2))&lt;=23,FALSE)), OR(MID(metadata!C594,14,1)="", AND(AND(MID(metadata!C594,14,1)=":",IFERROR(INT(MID(metadata!C594,15,1))&gt;=0,FALSE),IFERROR(INT(MID(metadata!C594,15,1))&lt;=5,FALSE),NOT(MID(metadata!C594,16,1)=""),IFERROR(INT(MID(metadata!C594,15,2))&gt;=0,FALSE),IFERROR(INT(MID(metadata!C594,15,2))&lt;=59,FALSE)), OR(MID(metadata!C594,17,1)="", AND(AND(MID(metadata!C594,17,1)=":",IFERROR(INT(MID(metadata!C594,18,1))&gt;=0,FALSE),IFERROR(INT(MID(metadata!C594,18,1))&lt;=5,FALSE),NOT(MID(metadata!C594,19,1)=""),IFERROR(INT(MID(metadata!C594,18,2))&gt;=0,FALSE),IFERROR(INT(MID(metadata!C594,18,2))&lt;=59,FALSE)), LEN(metadata!C594)&lt;=19)))))))))))))</f>
        <v>0</v>
      </c>
      <c r="AO594" t="b">
        <f>AND(IF(metadata!D594="",FALSE,TRUE),EXACT(metadata!D594,"Not applicable"))</f>
        <v>0</v>
      </c>
      <c r="AP594" t="b">
        <f>IF(metadata!E594="",FALSE,TRUE)</f>
        <v>0</v>
      </c>
      <c r="AQ594" t="b">
        <f>OR(AND(IF(metadata!F594="",FALSE,TRUE),OR(EXACT(metadata!F594,"missing: not collected"),EXACT(metadata!F594,"missing: not provided"))),AND(IF(metadata!F594="",FALSE,TRUE),OR(EXACT(metadata!F594,"TRUE"),EXACT(metadata!F594,"FALSE"))))</f>
        <v>0</v>
      </c>
      <c r="AR594" t="b">
        <f>OR(AND(IF(metadata!G594="",FALSE,TRUE),OR(EXACT(metadata!G594,"missing: not collected"),EXACT(metadata!G594,"missing: not provided"),EXACT(metadata!G594,"missing: restricted access"))),AND(IF(metadata!G594="",FALSE,ISNUMBER(VALUE(metadata!G594))),metadata!G594&gt;=-413))</f>
        <v>0</v>
      </c>
      <c r="AS594" t="b">
        <f>AND(IF(metadata!H594="",FALSE,TRUE),EXACT(metadata!H594,"meters"))</f>
        <v>0</v>
      </c>
      <c r="AT594" t="b">
        <f>AND(IF(metadata!I594="",FALSE,TRUE),OR(EXACT(metadata!I594,"Host-associated"),EXACT(metadata!I594,"Free-living")))</f>
        <v>0</v>
      </c>
      <c r="AU594" t="b">
        <f>AND(IF(metadata!J594="",FALSE,TRUE),OR(EXACT(metadata!J594,"Animal"),EXACT(metadata!J594,"Fungus"),EXACT(metadata!J594,"Plant"),EXACT(metadata!J594,"Saline"),EXACT(metadata!J594,"Non-saline")))</f>
        <v>0</v>
      </c>
      <c r="AV594" t="b">
        <f>AND(IF(metadata!K594="",FALSE,TRUE),OR(EXACT(metadata!K594,"Plant secretion"),EXACT(metadata!K594,"Plant rhizosphere"),EXACT(metadata!K594,"Plant surface"),EXACT(metadata!K594,"Plant corpus"),EXACT(metadata!K594,"Fungus surface"),EXACT(metadata!K594,"Fungus corpus"),EXACT(metadata!K594,"Animal surface"),EXACT(metadata!K594,"Animal proximal gut"),EXACT(metadata!K594,"Animal corpus"),EXACT(metadata!K594,"Animal distal gut"),EXACT(metadata!K594,"Animal secretion"),EXACT(metadata!K594,"Sub-surface (non-saline)"),EXACT(metadata!K594,"Surface (non-saline)"),EXACT(metadata!K594,"Water (non-saline)"),EXACT(metadata!K594,"Soil (non-saline)"),EXACT(metadata!K594,"Aerosol (non-saline)"),EXACT(metadata!K594,"Sediment (non-saline)"),EXACT(metadata!K594,"Surface (saline)"),EXACT(metadata!K594,"Water (saline)"),EXACT(metadata!K594,"Hypersaline (saline)"),EXACT(metadata!K594,"Aerosol (saline)"),EXACT(metadata!K594,"Sediment (saline)")))</f>
        <v>0</v>
      </c>
      <c r="AW594" t="b">
        <f>IF(metadata!L594="",FALSE,TRUE)</f>
        <v>0</v>
      </c>
      <c r="AX594" t="b">
        <f>IF(metadata!M594="",FALSE,TRUE)</f>
        <v>0</v>
      </c>
      <c r="AY594" t="b">
        <f>IF(metadata!N594="",FALSE,TRUE)</f>
        <v>0</v>
      </c>
      <c r="AZ594" t="b">
        <f>OR(AND(IF(metadata!O594="",FALSE,TRUE),OR(EXACT(metadata!O594,"missing: not collected"),EXACT(metadata!O594,"missing: not provided"),EXACT(metadata!O594,"missing: restricted access"))),AND(IF(metadata!O594="",FALSE,TRUE),OR(EXACT(metadata!O594,"air"),EXACT(metadata!O594,"built environment"),EXACT(metadata!O594,"host-associated"),EXACT(metadata!O594,"human-associated"),EXACT(metadata!O594,"human-skin"),EXACT(metadata!O594,"human-oral"),EXACT(metadata!O594,"human-gut"),EXACT(metadata!O594,"human-vaginal"),EXACT(metadata!O594,"microbial mat/biofilm"),EXACT(metadata!O594,"misc environment"),EXACT(metadata!O594,"plant-associated"),EXACT(metadata!O594,"sediment"),EXACT(metadata!O594,"soil"),EXACT(metadata!O594,"wastewater/sludge"),EXACT(metadata!O594,"water"))))</f>
        <v>0</v>
      </c>
      <c r="BA594" t="b">
        <f>IF(metadata!P594="",FALSE,TRUE)</f>
        <v>0</v>
      </c>
      <c r="BB594" t="b">
        <f>IF(metadata!Q594="",FALSE,TRUE)</f>
        <v>0</v>
      </c>
      <c r="BC594" t="b">
        <f>OR(AND(IF(metadata!R594="",FALSE,TRUE),OR(EXACT(metadata!R594,"missing: not collected"),EXACT(metadata!R594,"missing: not provided"),EXACT(metadata!R594,"missing: restricted access"))),AND(IF(metadata!R594="",FALSE,ISNUMBER(VALUE(metadata!R594))),metadata!R594&gt;=-90,metadata!R594&lt;=90))</f>
        <v>0</v>
      </c>
      <c r="BD594" t="b">
        <f>AND(IF(metadata!S594="",FALSE,TRUE),EXACT(metadata!S594,"Decimal degrees"))</f>
        <v>0</v>
      </c>
      <c r="BE594" t="b">
        <f>OR(AND(IF(metadata!T594="",FALSE,TRUE),OR(EXACT(metadata!T594,"missing: not collected"),EXACT(metadata!T594,"missing: not provided"),EXACT(metadata!T594,"missing: restricted access"))),AND(IF(metadata!T594="",FALSE,ISNUMBER(VALUE(metadata!T594))),metadata!T594&gt;=-180,metadata!T594&lt;=180))</f>
        <v>0</v>
      </c>
      <c r="BF594" t="b">
        <f>AND(IF(metadata!U594="",FALSE,TRUE),EXACT(metadata!U594,"Decimal degrees"))</f>
        <v>0</v>
      </c>
      <c r="BG594" t="b">
        <f>IF(metadata!V594="",FALSE,TRUE)</f>
        <v>0</v>
      </c>
      <c r="BH594" t="b">
        <f>OR(AND(IF(metadata!W594="",FALSE,TRUE),OR(EXACT(metadata!W594,"missing: not collected"),EXACT(metadata!W594,"missing: not provided"),EXACT(metadata!W594,"missing: restricted access"))),AND(IF(metadata!W594="",FALSE,TRUE),OR(EXACT(metadata!W594,"TRUE"),EXACT(metadata!W594,"FALSE"))))</f>
        <v>0</v>
      </c>
      <c r="BI594" t="b">
        <f>AND(IF(metadata!X594="",FALSE,TRUE),EXACT(metadata!X594,"other"))</f>
        <v>0</v>
      </c>
      <c r="BJ594" t="b">
        <f>IF(metadata!Y594="",FALSE,TRUE)</f>
        <v>0</v>
      </c>
      <c r="BK594" t="b">
        <f>OR(AND(IF(metadata!Z594="",FALSE,TRUE),OR(EXACT(metadata!Z594,"missing: not collected"),EXACT(metadata!Z594,"missing: not provided"))),AND(IF(metadata!Z594="",FALSE,IF(ISERROR(INT(metadata!Z594)),FALSE,INT(metadata!Z594)=metadata!Z594)),metadata!Z594&gt;0))</f>
        <v>0</v>
      </c>
      <c r="BL594" t="b">
        <f>AND(IF(metadata!AA594="",FALSE,TRUE),EXACT(metadata!AA594,"Not applicable"))</f>
        <v>0</v>
      </c>
      <c r="BM594" t="b">
        <f>IF(metadata!AB594="",FALSE,TRUE)</f>
        <v>0</v>
      </c>
    </row>
    <row r="595" spans="1:65" x14ac:dyDescent="0.2">
      <c r="A595" s="5" t="str">
        <f ca="1">IF(B595=" "," ",HYPERLINK(CONCATENATE("#metadata!",ADDRESS(INDEX($AH$2:$AH$1001,MATCH(ROWS($AF$2:AF595),$AF$2:$AF$1001,0),0),1)),INDEX($AK$2:$AK$1001,MATCH(ROWS($AF$2:AF595),$AF$2:$AF$1001,0),0)))</f>
        <v xml:space="preserve"> </v>
      </c>
      <c r="B595" s="4" t="str">
        <f ca="1">IF(OR(INDEX($AG$2:$AG$1001,MATCH(ROWS($AF$2:AF595),$AF$2:$AF$1001,0),1)&gt;=100000,INDEX($AM$1005:$BM$1005,1,MATCH(COLUMNS($AM$1006:AM1006),$AM$1006:$BM$1006,0))&gt;=100000), " ",IF(INDEX($AM$2:$BM$1001,MATCH(ROWS($AF$2:AF595),$AF$2:$AF$1001,0),MATCH(COLUMNS($AM$1006:AM1006),$AM$1006:$BM$1006,0)), HYPERLINK("#",""), HYPERLINK(CONCATENATE("#metadata!", ADDRESS(INDEX($AH$2:$AH$1001,MATCH(ROWS($AF$2:AF595),$AF$2:$AF$1001,0),0), INDEX($AM$1004:$BM$1004,1,MATCH(COLUMNS($AM$1006:AM1006),$AM$1006:$BM$1006,0)))),"Fix")))</f>
        <v xml:space="preserve"> </v>
      </c>
      <c r="C595" s="4" t="str">
        <f ca="1">IF(OR(INDEX($AG$2:$AG$1001,MATCH(ROWS($AF$2:AF595),$AF$2:$AF$1001,0),1)&gt;=100000,INDEX($AM$1005:$BM$1005,1,MATCH(COLUMNS($AM$1006:AN1006),$AM$1006:$BM$1006,0))&gt;=100000), " ",IF(INDEX($AM$2:$BM$1001,MATCH(ROWS($AF$2:AF595),$AF$2:$AF$1001,0),MATCH(COLUMNS($AM$1006:AN1006),$AM$1006:$BM$1006,0)), HYPERLINK("#",""), HYPERLINK(CONCATENATE("#metadata!", ADDRESS(INDEX($AH$2:$AH$1001,MATCH(ROWS($AF$2:AF595),$AF$2:$AF$1001,0),0), INDEX($AM$1004:$BM$1004,1,MATCH(COLUMNS($AM$1006:AN1006),$AM$1006:$BM$1006,0)))),"Fix")))</f>
        <v xml:space="preserve"> </v>
      </c>
      <c r="D595" s="4" t="str">
        <f ca="1">IF(OR(INDEX($AG$2:$AG$1001,MATCH(ROWS($AF$2:AF595),$AF$2:$AF$1001,0),1)&gt;=100000,INDEX($AM$1005:$BM$1005,1,MATCH(COLUMNS($AM$1006:AO1006),$AM$1006:$BM$1006,0))&gt;=100000), " ",IF(INDEX($AM$2:$BM$1001,MATCH(ROWS($AF$2:AF595),$AF$2:$AF$1001,0),MATCH(COLUMNS($AM$1006:AO1006),$AM$1006:$BM$1006,0)), HYPERLINK("#",""), HYPERLINK(CONCATENATE("#metadata!", ADDRESS(INDEX($AH$2:$AH$1001,MATCH(ROWS($AF$2:AF595),$AF$2:$AF$1001,0),0), INDEX($AM$1004:$BM$1004,1,MATCH(COLUMNS($AM$1006:AO1006),$AM$1006:$BM$1006,0)))),"Fix")))</f>
        <v xml:space="preserve"> </v>
      </c>
      <c r="E595" s="4" t="str">
        <f ca="1">IF(OR(INDEX($AG$2:$AG$1001,MATCH(ROWS($AF$2:AF595),$AF$2:$AF$1001,0),1)&gt;=100000,INDEX($AM$1005:$BM$1005,1,MATCH(COLUMNS($AM$1006:AP1006),$AM$1006:$BM$1006,0))&gt;=100000), " ",IF(INDEX($AM$2:$BM$1001,MATCH(ROWS($AF$2:AF595),$AF$2:$AF$1001,0),MATCH(COLUMNS($AM$1006:AP1006),$AM$1006:$BM$1006,0)), HYPERLINK("#",""), HYPERLINK(CONCATENATE("#metadata!", ADDRESS(INDEX($AH$2:$AH$1001,MATCH(ROWS($AF$2:AF595),$AF$2:$AF$1001,0),0), INDEX($AM$1004:$BM$1004,1,MATCH(COLUMNS($AM$1006:AP1006),$AM$1006:$BM$1006,0)))),"Fix")))</f>
        <v xml:space="preserve"> </v>
      </c>
      <c r="F595" s="4" t="str">
        <f ca="1">IF(OR(INDEX($AG$2:$AG$1001,MATCH(ROWS($AF$2:AF595),$AF$2:$AF$1001,0),1)&gt;=100000,INDEX($AM$1005:$BM$1005,1,MATCH(COLUMNS($AM$1006:AQ1006),$AM$1006:$BM$1006,0))&gt;=100000), " ",IF(INDEX($AM$2:$BM$1001,MATCH(ROWS($AF$2:AF595),$AF$2:$AF$1001,0),MATCH(COLUMNS($AM$1006:AQ1006),$AM$1006:$BM$1006,0)), HYPERLINK("#",""), HYPERLINK(CONCATENATE("#metadata!", ADDRESS(INDEX($AH$2:$AH$1001,MATCH(ROWS($AF$2:AF595),$AF$2:$AF$1001,0),0), INDEX($AM$1004:$BM$1004,1,MATCH(COLUMNS($AM$1006:AQ1006),$AM$1006:$BM$1006,0)))),"Fix")))</f>
        <v xml:space="preserve"> </v>
      </c>
      <c r="G595" s="4" t="str">
        <f ca="1">IF(OR(INDEX($AG$2:$AG$1001,MATCH(ROWS($AF$2:AF595),$AF$2:$AF$1001,0),1)&gt;=100000,INDEX($AM$1005:$BM$1005,1,MATCH(COLUMNS($AM$1006:AR1006),$AM$1006:$BM$1006,0))&gt;=100000), " ",IF(INDEX($AM$2:$BM$1001,MATCH(ROWS($AF$2:AF595),$AF$2:$AF$1001,0),MATCH(COLUMNS($AM$1006:AR1006),$AM$1006:$BM$1006,0)), HYPERLINK("#",""), HYPERLINK(CONCATENATE("#metadata!", ADDRESS(INDEX($AH$2:$AH$1001,MATCH(ROWS($AF$2:AF595),$AF$2:$AF$1001,0),0), INDEX($AM$1004:$BM$1004,1,MATCH(COLUMNS($AM$1006:AR1006),$AM$1006:$BM$1006,0)))),"Fix")))</f>
        <v xml:space="preserve"> </v>
      </c>
      <c r="H595" s="4" t="str">
        <f ca="1">IF(OR(INDEX($AG$2:$AG$1001,MATCH(ROWS($AF$2:AF595),$AF$2:$AF$1001,0),1)&gt;=100000,INDEX($AM$1005:$BM$1005,1,MATCH(COLUMNS($AM$1006:AS1006),$AM$1006:$BM$1006,0))&gt;=100000), " ",IF(INDEX($AM$2:$BM$1001,MATCH(ROWS($AF$2:AF595),$AF$2:$AF$1001,0),MATCH(COLUMNS($AM$1006:AS1006),$AM$1006:$BM$1006,0)), HYPERLINK("#",""), HYPERLINK(CONCATENATE("#metadata!", ADDRESS(INDEX($AH$2:$AH$1001,MATCH(ROWS($AF$2:AF595),$AF$2:$AF$1001,0),0), INDEX($AM$1004:$BM$1004,1,MATCH(COLUMNS($AM$1006:AS1006),$AM$1006:$BM$1006,0)))),"Fix")))</f>
        <v xml:space="preserve"> </v>
      </c>
      <c r="I595" s="4" t="str">
        <f ca="1">IF(OR(INDEX($AG$2:$AG$1001,MATCH(ROWS($AF$2:AF595),$AF$2:$AF$1001,0),1)&gt;=100000,INDEX($AM$1005:$BM$1005,1,MATCH(COLUMNS($AM$1006:AT1006),$AM$1006:$BM$1006,0))&gt;=100000), " ",IF(INDEX($AM$2:$BM$1001,MATCH(ROWS($AF$2:AF595),$AF$2:$AF$1001,0),MATCH(COLUMNS($AM$1006:AT1006),$AM$1006:$BM$1006,0)), HYPERLINK("#",""), HYPERLINK(CONCATENATE("#metadata!", ADDRESS(INDEX($AH$2:$AH$1001,MATCH(ROWS($AF$2:AF595),$AF$2:$AF$1001,0),0), INDEX($AM$1004:$BM$1004,1,MATCH(COLUMNS($AM$1006:AT1006),$AM$1006:$BM$1006,0)))),"Fix")))</f>
        <v xml:space="preserve"> </v>
      </c>
      <c r="J595" s="4" t="str">
        <f ca="1">IF(OR(INDEX($AG$2:$AG$1001,MATCH(ROWS($AF$2:AF595),$AF$2:$AF$1001,0),1)&gt;=100000,INDEX($AM$1005:$BM$1005,1,MATCH(COLUMNS($AM$1006:AU1006),$AM$1006:$BM$1006,0))&gt;=100000), " ",IF(INDEX($AM$2:$BM$1001,MATCH(ROWS($AF$2:AF595),$AF$2:$AF$1001,0),MATCH(COLUMNS($AM$1006:AU1006),$AM$1006:$BM$1006,0)), HYPERLINK("#",""), HYPERLINK(CONCATENATE("#metadata!", ADDRESS(INDEX($AH$2:$AH$1001,MATCH(ROWS($AF$2:AF595),$AF$2:$AF$1001,0),0), INDEX($AM$1004:$BM$1004,1,MATCH(COLUMNS($AM$1006:AU1006),$AM$1006:$BM$1006,0)))),"Fix")))</f>
        <v xml:space="preserve"> </v>
      </c>
      <c r="K595" s="4" t="str">
        <f ca="1">IF(OR(INDEX($AG$2:$AG$1001,MATCH(ROWS($AF$2:AF595),$AF$2:$AF$1001,0),1)&gt;=100000,INDEX($AM$1005:$BM$1005,1,MATCH(COLUMNS($AM$1006:AV1006),$AM$1006:$BM$1006,0))&gt;=100000), " ",IF(INDEX($AM$2:$BM$1001,MATCH(ROWS($AF$2:AF595),$AF$2:$AF$1001,0),MATCH(COLUMNS($AM$1006:AV1006),$AM$1006:$BM$1006,0)), HYPERLINK("#",""), HYPERLINK(CONCATENATE("#metadata!", ADDRESS(INDEX($AH$2:$AH$1001,MATCH(ROWS($AF$2:AF595),$AF$2:$AF$1001,0),0), INDEX($AM$1004:$BM$1004,1,MATCH(COLUMNS($AM$1006:AV1006),$AM$1006:$BM$1006,0)))),"Fix")))</f>
        <v xml:space="preserve"> </v>
      </c>
      <c r="L595" s="4" t="str">
        <f ca="1">IF(OR(INDEX($AG$2:$AG$1001,MATCH(ROWS($AF$2:AF595),$AF$2:$AF$1001,0),1)&gt;=100000,INDEX($AM$1005:$BM$1005,1,MATCH(COLUMNS($AM$1006:AW1006),$AM$1006:$BM$1006,0))&gt;=100000), " ",IF(INDEX($AM$2:$BM$1001,MATCH(ROWS($AF$2:AF595),$AF$2:$AF$1001,0),MATCH(COLUMNS($AM$1006:AW1006),$AM$1006:$BM$1006,0)), HYPERLINK("#",""), HYPERLINK(CONCATENATE("#metadata!", ADDRESS(INDEX($AH$2:$AH$1001,MATCH(ROWS($AF$2:AF595),$AF$2:$AF$1001,0),0), INDEX($AM$1004:$BM$1004,1,MATCH(COLUMNS($AM$1006:AW1006),$AM$1006:$BM$1006,0)))),"Fix")))</f>
        <v xml:space="preserve"> </v>
      </c>
      <c r="M595" s="4" t="str">
        <f ca="1">IF(OR(INDEX($AG$2:$AG$1001,MATCH(ROWS($AF$2:AF595),$AF$2:$AF$1001,0),1)&gt;=100000,INDEX($AM$1005:$BM$1005,1,MATCH(COLUMNS($AM$1006:AX1006),$AM$1006:$BM$1006,0))&gt;=100000), " ",IF(INDEX($AM$2:$BM$1001,MATCH(ROWS($AF$2:AF595),$AF$2:$AF$1001,0),MATCH(COLUMNS($AM$1006:AX1006),$AM$1006:$BM$1006,0)), HYPERLINK("#",""), HYPERLINK(CONCATENATE("#metadata!", ADDRESS(INDEX($AH$2:$AH$1001,MATCH(ROWS($AF$2:AF595),$AF$2:$AF$1001,0),0), INDEX($AM$1004:$BM$1004,1,MATCH(COLUMNS($AM$1006:AX1006),$AM$1006:$BM$1006,0)))),"Fix")))</f>
        <v xml:space="preserve"> </v>
      </c>
      <c r="N595" s="4" t="str">
        <f ca="1">IF(OR(INDEX($AG$2:$AG$1001,MATCH(ROWS($AF$2:AF595),$AF$2:$AF$1001,0),1)&gt;=100000,INDEX($AM$1005:$BM$1005,1,MATCH(COLUMNS($AM$1006:AY1006),$AM$1006:$BM$1006,0))&gt;=100000), " ",IF(INDEX($AM$2:$BM$1001,MATCH(ROWS($AF$2:AF595),$AF$2:$AF$1001,0),MATCH(COLUMNS($AM$1006:AY1006),$AM$1006:$BM$1006,0)), HYPERLINK("#",""), HYPERLINK(CONCATENATE("#metadata!", ADDRESS(INDEX($AH$2:$AH$1001,MATCH(ROWS($AF$2:AF595),$AF$2:$AF$1001,0),0), INDEX($AM$1004:$BM$1004,1,MATCH(COLUMNS($AM$1006:AY1006),$AM$1006:$BM$1006,0)))),"Fix")))</f>
        <v xml:space="preserve"> </v>
      </c>
      <c r="O595" s="4" t="str">
        <f ca="1">IF(OR(INDEX($AG$2:$AG$1001,MATCH(ROWS($AF$2:AF595),$AF$2:$AF$1001,0),1)&gt;=100000,INDEX($AM$1005:$BM$1005,1,MATCH(COLUMNS($AM$1006:AZ1006),$AM$1006:$BM$1006,0))&gt;=100000), " ",IF(INDEX($AM$2:$BM$1001,MATCH(ROWS($AF$2:AF595),$AF$2:$AF$1001,0),MATCH(COLUMNS($AM$1006:AZ1006),$AM$1006:$BM$1006,0)), HYPERLINK("#",""), HYPERLINK(CONCATENATE("#metadata!", ADDRESS(INDEX($AH$2:$AH$1001,MATCH(ROWS($AF$2:AF595),$AF$2:$AF$1001,0),0), INDEX($AM$1004:$BM$1004,1,MATCH(COLUMNS($AM$1006:AZ1006),$AM$1006:$BM$1006,0)))),"Fix")))</f>
        <v xml:space="preserve"> </v>
      </c>
      <c r="P595" s="4" t="str">
        <f ca="1">IF(OR(INDEX($AG$2:$AG$1001,MATCH(ROWS($AF$2:AF595),$AF$2:$AF$1001,0),1)&gt;=100000,INDEX($AM$1005:$BM$1005,1,MATCH(COLUMNS($AM$1006:BA1006),$AM$1006:$BM$1006,0))&gt;=100000), " ",IF(INDEX($AM$2:$BM$1001,MATCH(ROWS($AF$2:AF595),$AF$2:$AF$1001,0),MATCH(COLUMNS($AM$1006:BA1006),$AM$1006:$BM$1006,0)), HYPERLINK("#",""), HYPERLINK(CONCATENATE("#metadata!", ADDRESS(INDEX($AH$2:$AH$1001,MATCH(ROWS($AF$2:AF595),$AF$2:$AF$1001,0),0), INDEX($AM$1004:$BM$1004,1,MATCH(COLUMNS($AM$1006:BA1006),$AM$1006:$BM$1006,0)))),"Fix")))</f>
        <v xml:space="preserve"> </v>
      </c>
      <c r="Q595" s="4" t="str">
        <f ca="1">IF(OR(INDEX($AG$2:$AG$1001,MATCH(ROWS($AF$2:AF595),$AF$2:$AF$1001,0),1)&gt;=100000,INDEX($AM$1005:$BM$1005,1,MATCH(COLUMNS($AM$1006:BB1006),$AM$1006:$BM$1006,0))&gt;=100000), " ",IF(INDEX($AM$2:$BM$1001,MATCH(ROWS($AF$2:AF595),$AF$2:$AF$1001,0),MATCH(COLUMNS($AM$1006:BB1006),$AM$1006:$BM$1006,0)), HYPERLINK("#",""), HYPERLINK(CONCATENATE("#metadata!", ADDRESS(INDEX($AH$2:$AH$1001,MATCH(ROWS($AF$2:AF595),$AF$2:$AF$1001,0),0), INDEX($AM$1004:$BM$1004,1,MATCH(COLUMNS($AM$1006:BB1006),$AM$1006:$BM$1006,0)))),"Fix")))</f>
        <v xml:space="preserve"> </v>
      </c>
      <c r="R595" s="4" t="str">
        <f ca="1">IF(OR(INDEX($AG$2:$AG$1001,MATCH(ROWS($AF$2:AF595),$AF$2:$AF$1001,0),1)&gt;=100000,INDEX($AM$1005:$BM$1005,1,MATCH(COLUMNS($AM$1006:BC1006),$AM$1006:$BM$1006,0))&gt;=100000), " ",IF(INDEX($AM$2:$BM$1001,MATCH(ROWS($AF$2:AF595),$AF$2:$AF$1001,0),MATCH(COLUMNS($AM$1006:BC1006),$AM$1006:$BM$1006,0)), HYPERLINK("#",""), HYPERLINK(CONCATENATE("#metadata!", ADDRESS(INDEX($AH$2:$AH$1001,MATCH(ROWS($AF$2:AF595),$AF$2:$AF$1001,0),0), INDEX($AM$1004:$BM$1004,1,MATCH(COLUMNS($AM$1006:BC1006),$AM$1006:$BM$1006,0)))),"Fix")))</f>
        <v xml:space="preserve"> </v>
      </c>
      <c r="S595" s="4" t="str">
        <f ca="1">IF(OR(INDEX($AG$2:$AG$1001,MATCH(ROWS($AF$2:AF595),$AF$2:$AF$1001,0),1)&gt;=100000,INDEX($AM$1005:$BM$1005,1,MATCH(COLUMNS($AM$1006:BD1006),$AM$1006:$BM$1006,0))&gt;=100000), " ",IF(INDEX($AM$2:$BM$1001,MATCH(ROWS($AF$2:AF595),$AF$2:$AF$1001,0),MATCH(COLUMNS($AM$1006:BD1006),$AM$1006:$BM$1006,0)), HYPERLINK("#",""), HYPERLINK(CONCATENATE("#metadata!", ADDRESS(INDEX($AH$2:$AH$1001,MATCH(ROWS($AF$2:AF595),$AF$2:$AF$1001,0),0), INDEX($AM$1004:$BM$1004,1,MATCH(COLUMNS($AM$1006:BD1006),$AM$1006:$BM$1006,0)))),"Fix")))</f>
        <v xml:space="preserve"> </v>
      </c>
      <c r="T595" s="4" t="str">
        <f ca="1">IF(OR(INDEX($AG$2:$AG$1001,MATCH(ROWS($AF$2:AF595),$AF$2:$AF$1001,0),1)&gt;=100000,INDEX($AM$1005:$BM$1005,1,MATCH(COLUMNS($AM$1006:BE1006),$AM$1006:$BM$1006,0))&gt;=100000), " ",IF(INDEX($AM$2:$BM$1001,MATCH(ROWS($AF$2:AF595),$AF$2:$AF$1001,0),MATCH(COLUMNS($AM$1006:BE1006),$AM$1006:$BM$1006,0)), HYPERLINK("#",""), HYPERLINK(CONCATENATE("#metadata!", ADDRESS(INDEX($AH$2:$AH$1001,MATCH(ROWS($AF$2:AF595),$AF$2:$AF$1001,0),0), INDEX($AM$1004:$BM$1004,1,MATCH(COLUMNS($AM$1006:BE1006),$AM$1006:$BM$1006,0)))),"Fix")))</f>
        <v xml:space="preserve"> </v>
      </c>
      <c r="U595" s="4" t="str">
        <f ca="1">IF(OR(INDEX($AG$2:$AG$1001,MATCH(ROWS($AF$2:AF595),$AF$2:$AF$1001,0),1)&gt;=100000,INDEX($AM$1005:$BM$1005,1,MATCH(COLUMNS($AM$1006:BF1006),$AM$1006:$BM$1006,0))&gt;=100000), " ",IF(INDEX($AM$2:$BM$1001,MATCH(ROWS($AF$2:AF595),$AF$2:$AF$1001,0),MATCH(COLUMNS($AM$1006:BF1006),$AM$1006:$BM$1006,0)), HYPERLINK("#",""), HYPERLINK(CONCATENATE("#metadata!", ADDRESS(INDEX($AH$2:$AH$1001,MATCH(ROWS($AF$2:AF595),$AF$2:$AF$1001,0),0), INDEX($AM$1004:$BM$1004,1,MATCH(COLUMNS($AM$1006:BF1006),$AM$1006:$BM$1006,0)))),"Fix")))</f>
        <v xml:space="preserve"> </v>
      </c>
      <c r="V595" s="4" t="str">
        <f ca="1">IF(OR(INDEX($AG$2:$AG$1001,MATCH(ROWS($AF$2:AF595),$AF$2:$AF$1001,0),1)&gt;=100000,INDEX($AM$1005:$BM$1005,1,MATCH(COLUMNS($AM$1006:BG1006),$AM$1006:$BM$1006,0))&gt;=100000), " ",IF(INDEX($AM$2:$BM$1001,MATCH(ROWS($AF$2:AF595),$AF$2:$AF$1001,0),MATCH(COLUMNS($AM$1006:BG1006),$AM$1006:$BM$1006,0)), HYPERLINK("#",""), HYPERLINK(CONCATENATE("#metadata!", ADDRESS(INDEX($AH$2:$AH$1001,MATCH(ROWS($AF$2:AF595),$AF$2:$AF$1001,0),0), INDEX($AM$1004:$BM$1004,1,MATCH(COLUMNS($AM$1006:BG1006),$AM$1006:$BM$1006,0)))),"Fix")))</f>
        <v xml:space="preserve"> </v>
      </c>
      <c r="W595" s="4" t="str">
        <f ca="1">IF(OR(INDEX($AG$2:$AG$1001,MATCH(ROWS($AF$2:AF595),$AF$2:$AF$1001,0),1)&gt;=100000,INDEX($AM$1005:$BM$1005,1,MATCH(COLUMNS($AM$1006:BH1006),$AM$1006:$BM$1006,0))&gt;=100000), " ",IF(INDEX($AM$2:$BM$1001,MATCH(ROWS($AF$2:AF595),$AF$2:$AF$1001,0),MATCH(COLUMNS($AM$1006:BH1006),$AM$1006:$BM$1006,0)), HYPERLINK("#",""), HYPERLINK(CONCATENATE("#metadata!", ADDRESS(INDEX($AH$2:$AH$1001,MATCH(ROWS($AF$2:AF595),$AF$2:$AF$1001,0),0), INDEX($AM$1004:$BM$1004,1,MATCH(COLUMNS($AM$1006:BH1006),$AM$1006:$BM$1006,0)))),"Fix")))</f>
        <v xml:space="preserve"> </v>
      </c>
      <c r="X595" s="4" t="str">
        <f ca="1">IF(OR(INDEX($AG$2:$AG$1001,MATCH(ROWS($AF$2:AF595),$AF$2:$AF$1001,0),1)&gt;=100000,INDEX($AM$1005:$BM$1005,1,MATCH(COLUMNS($AM$1006:BI1006),$AM$1006:$BM$1006,0))&gt;=100000), " ",IF(INDEX($AM$2:$BM$1001,MATCH(ROWS($AF$2:AF595),$AF$2:$AF$1001,0),MATCH(COLUMNS($AM$1006:BI1006),$AM$1006:$BM$1006,0)), HYPERLINK("#",""), HYPERLINK(CONCATENATE("#metadata!", ADDRESS(INDEX($AH$2:$AH$1001,MATCH(ROWS($AF$2:AF595),$AF$2:$AF$1001,0),0), INDEX($AM$1004:$BM$1004,1,MATCH(COLUMNS($AM$1006:BI1006),$AM$1006:$BM$1006,0)))),"Fix")))</f>
        <v xml:space="preserve"> </v>
      </c>
      <c r="Y595" s="4" t="str">
        <f ca="1">IF(OR(INDEX($AG$2:$AG$1001,MATCH(ROWS($AF$2:AF595),$AF$2:$AF$1001,0),1)&gt;=100000,INDEX($AM$1005:$BM$1005,1,MATCH(COLUMNS($AM$1006:BJ1006),$AM$1006:$BM$1006,0))&gt;=100000), " ",IF(INDEX($AM$2:$BM$1001,MATCH(ROWS($AF$2:AF595),$AF$2:$AF$1001,0),MATCH(COLUMNS($AM$1006:BJ1006),$AM$1006:$BM$1006,0)), HYPERLINK("#",""), HYPERLINK(CONCATENATE("#metadata!", ADDRESS(INDEX($AH$2:$AH$1001,MATCH(ROWS($AF$2:AF595),$AF$2:$AF$1001,0),0), INDEX($AM$1004:$BM$1004,1,MATCH(COLUMNS($AM$1006:BJ1006),$AM$1006:$BM$1006,0)))),"Fix")))</f>
        <v xml:space="preserve"> </v>
      </c>
      <c r="Z595" s="4" t="str">
        <f ca="1">IF(OR(INDEX($AG$2:$AG$1001,MATCH(ROWS($AF$2:AF595),$AF$2:$AF$1001,0),1)&gt;=100000,INDEX($AM$1005:$BM$1005,1,MATCH(COLUMNS($AM$1006:BK1006),$AM$1006:$BM$1006,0))&gt;=100000), " ",IF(INDEX($AM$2:$BM$1001,MATCH(ROWS($AF$2:AF595),$AF$2:$AF$1001,0),MATCH(COLUMNS($AM$1006:BK1006),$AM$1006:$BM$1006,0)), HYPERLINK("#",""), HYPERLINK(CONCATENATE("#metadata!", ADDRESS(INDEX($AH$2:$AH$1001,MATCH(ROWS($AF$2:AF595),$AF$2:$AF$1001,0),0), INDEX($AM$1004:$BM$1004,1,MATCH(COLUMNS($AM$1006:BK1006),$AM$1006:$BM$1006,0)))),"Fix")))</f>
        <v xml:space="preserve"> </v>
      </c>
      <c r="AA595" s="4" t="str">
        <f ca="1">IF(OR(INDEX($AG$2:$AG$1001,MATCH(ROWS($AF$2:AF595),$AF$2:$AF$1001,0),1)&gt;=100000,INDEX($AM$1005:$BM$1005,1,MATCH(COLUMNS($AM$1006:BL1006),$AM$1006:$BM$1006,0))&gt;=100000), " ",IF(INDEX($AM$2:$BM$1001,MATCH(ROWS($AF$2:AF595),$AF$2:$AF$1001,0),MATCH(COLUMNS($AM$1006:BL1006),$AM$1006:$BM$1006,0)), HYPERLINK("#",""), HYPERLINK(CONCATENATE("#metadata!", ADDRESS(INDEX($AH$2:$AH$1001,MATCH(ROWS($AF$2:AF595),$AF$2:$AF$1001,0),0), INDEX($AM$1004:$BM$1004,1,MATCH(COLUMNS($AM$1006:BL1006),$AM$1006:$BM$1006,0)))),"Fix")))</f>
        <v xml:space="preserve"> </v>
      </c>
      <c r="AB595" s="4" t="str">
        <f ca="1">IF(OR(INDEX($AG$2:$AG$1001,MATCH(ROWS($AF$2:AF595),$AF$2:$AF$1001,0),1)&gt;=100000,INDEX($AM$1005:$BM$1005,1,MATCH(COLUMNS($AM$1006:BM1006),$AM$1006:$BM$1006,0))&gt;=100000), " ",IF(INDEX($AM$2:$BM$1001,MATCH(ROWS($AF$2:AF595),$AF$2:$AF$1001,0),MATCH(COLUMNS($AM$1006:BM1006),$AM$1006:$BM$1006,0)), HYPERLINK("#",""), HYPERLINK(CONCATENATE("#metadata!", ADDRESS(INDEX($AH$2:$AH$1001,MATCH(ROWS($AF$2:AF595),$AF$2:$AF$1001,0),0), INDEX($AM$1004:$BM$1004,1,MATCH(COLUMNS($AM$1006:BM1006),$AM$1006:$BM$1006,0)))),"Fix")))</f>
        <v xml:space="preserve"> </v>
      </c>
      <c r="AF595">
        <v>594</v>
      </c>
      <c r="AG595">
        <v>100595</v>
      </c>
      <c r="AH595">
        <v>595</v>
      </c>
      <c r="AI595" t="b">
        <f t="shared" si="9"/>
        <v>1</v>
      </c>
      <c r="AJ595" t="b">
        <f>COUNTBLANK(metadata!B595:AB595)=COLUMNS(metadata!B595:AB595)</f>
        <v>1</v>
      </c>
      <c r="AK595" t="str">
        <v/>
      </c>
      <c r="AM595" t="b">
        <f ca="1">AND(IF(metadata!B595="",FALSE,TRUE),COUNTIF(metadata!B:B, metadata!B595) = 1,NOT(ISERROR(SUMPRODUCT(SEARCH(MID(metadata!B595,ROW(INDIRECT("1:"&amp;LEN(metadata!B595))), 1),"0123456789abcdefghijklmnopqrstuvwxyzABCDEFGHIJKLMNOPQRSTUVWXYZ.")))))</f>
        <v>0</v>
      </c>
      <c r="AN595" t="b">
        <f ca="1">OR(AND(IF(metadata!C595="",FALSE,TRUE),OR(EXACT(metadata!C595,"missing: not collected"),EXACT(metadata!C595,"missing: not provided"),EXACT(metadata!C595,"missing: restricted access"))),AND(IF(metadata!C595="",FALSE,TRUE),AND(AND(IFERROR(INT(LEFT(metadata!C595,4))&gt;1900,FALSE),IFERROR(INT(LEFT(metadata!C595,4))&lt;=YEAR(NOW()),FALSE)), OR(MID(metadata!C595,5,1)="", AND(AND(MID(metadata!C595,5,1)="-",IFERROR(INT(MID(metadata!C595,6,1))&gt;=0,FALSE),IFERROR(INT(MID(metadata!C595,6,1))&lt;=1,FALSE),NOT(MID(metadata!C595,7,1)=""),IFERROR(INT(MID(metadata!C595,6,2))&gt;=1,FALSE),IFERROR(INT(MID(metadata!C595,6,2))&lt;=12,FALSE)), OR(MID(metadata!C595,8,1)="", AND(AND(MID(metadata!C595,8,1)="-",IFERROR(INT(MID(metadata!C595,9,1))&gt;=0,FALSE),IFERROR(INT(MID(metadata!C595,9,1))&lt;=3,FALSE),NOT(MID(metadata!C595,10,1)=""),IFERROR(INT(MID(metadata!C595,9,2))&gt;=1,FALSE),IFERROR(INT(MID(metadata!C595,9,2))&lt;=31,FALSE)), OR(MID(metadata!C595,11,1)="", AND(AND(MID(metadata!C595,11,1)=" ",IFERROR(INT(MID(metadata!C595,12,1))&gt;=0,FALSE),IFERROR(INT(MID(metadata!C595,12,1))&lt;=2,FALSE),NOT(MID(metadata!C595,13,1)=""),IFERROR(INT(MID(metadata!C595,12,2))&gt;=0,FALSE),IFERROR(INT(MID(metadata!C595,12,2))&lt;=23,FALSE)), OR(MID(metadata!C595,14,1)="", AND(AND(MID(metadata!C595,14,1)=":",IFERROR(INT(MID(metadata!C595,15,1))&gt;=0,FALSE),IFERROR(INT(MID(metadata!C595,15,1))&lt;=5,FALSE),NOT(MID(metadata!C595,16,1)=""),IFERROR(INT(MID(metadata!C595,15,2))&gt;=0,FALSE),IFERROR(INT(MID(metadata!C595,15,2))&lt;=59,FALSE)), OR(MID(metadata!C595,17,1)="", AND(AND(MID(metadata!C595,17,1)=":",IFERROR(INT(MID(metadata!C595,18,1))&gt;=0,FALSE),IFERROR(INT(MID(metadata!C595,18,1))&lt;=5,FALSE),NOT(MID(metadata!C595,19,1)=""),IFERROR(INT(MID(metadata!C595,18,2))&gt;=0,FALSE),IFERROR(INT(MID(metadata!C595,18,2))&lt;=59,FALSE)), LEN(metadata!C595)&lt;=19)))))))))))))</f>
        <v>0</v>
      </c>
      <c r="AO595" t="b">
        <f>AND(IF(metadata!D595="",FALSE,TRUE),EXACT(metadata!D595,"Not applicable"))</f>
        <v>0</v>
      </c>
      <c r="AP595" t="b">
        <f>IF(metadata!E595="",FALSE,TRUE)</f>
        <v>0</v>
      </c>
      <c r="AQ595" t="b">
        <f>OR(AND(IF(metadata!F595="",FALSE,TRUE),OR(EXACT(metadata!F595,"missing: not collected"),EXACT(metadata!F595,"missing: not provided"))),AND(IF(metadata!F595="",FALSE,TRUE),OR(EXACT(metadata!F595,"TRUE"),EXACT(metadata!F595,"FALSE"))))</f>
        <v>0</v>
      </c>
      <c r="AR595" t="b">
        <f>OR(AND(IF(metadata!G595="",FALSE,TRUE),OR(EXACT(metadata!G595,"missing: not collected"),EXACT(metadata!G595,"missing: not provided"),EXACT(metadata!G595,"missing: restricted access"))),AND(IF(metadata!G595="",FALSE,ISNUMBER(VALUE(metadata!G595))),metadata!G595&gt;=-413))</f>
        <v>0</v>
      </c>
      <c r="AS595" t="b">
        <f>AND(IF(metadata!H595="",FALSE,TRUE),EXACT(metadata!H595,"meters"))</f>
        <v>0</v>
      </c>
      <c r="AT595" t="b">
        <f>AND(IF(metadata!I595="",FALSE,TRUE),OR(EXACT(metadata!I595,"Host-associated"),EXACT(metadata!I595,"Free-living")))</f>
        <v>0</v>
      </c>
      <c r="AU595" t="b">
        <f>AND(IF(metadata!J595="",FALSE,TRUE),OR(EXACT(metadata!J595,"Animal"),EXACT(metadata!J595,"Fungus"),EXACT(metadata!J595,"Plant"),EXACT(metadata!J595,"Saline"),EXACT(metadata!J595,"Non-saline")))</f>
        <v>0</v>
      </c>
      <c r="AV595" t="b">
        <f>AND(IF(metadata!K595="",FALSE,TRUE),OR(EXACT(metadata!K595,"Plant secretion"),EXACT(metadata!K595,"Plant rhizosphere"),EXACT(metadata!K595,"Plant surface"),EXACT(metadata!K595,"Plant corpus"),EXACT(metadata!K595,"Fungus surface"),EXACT(metadata!K595,"Fungus corpus"),EXACT(metadata!K595,"Animal surface"),EXACT(metadata!K595,"Animal proximal gut"),EXACT(metadata!K595,"Animal corpus"),EXACT(metadata!K595,"Animal distal gut"),EXACT(metadata!K595,"Animal secretion"),EXACT(metadata!K595,"Sub-surface (non-saline)"),EXACT(metadata!K595,"Surface (non-saline)"),EXACT(metadata!K595,"Water (non-saline)"),EXACT(metadata!K595,"Soil (non-saline)"),EXACT(metadata!K595,"Aerosol (non-saline)"),EXACT(metadata!K595,"Sediment (non-saline)"),EXACT(metadata!K595,"Surface (saline)"),EXACT(metadata!K595,"Water (saline)"),EXACT(metadata!K595,"Hypersaline (saline)"),EXACT(metadata!K595,"Aerosol (saline)"),EXACT(metadata!K595,"Sediment (saline)")))</f>
        <v>0</v>
      </c>
      <c r="AW595" t="b">
        <f>IF(metadata!L595="",FALSE,TRUE)</f>
        <v>0</v>
      </c>
      <c r="AX595" t="b">
        <f>IF(metadata!M595="",FALSE,TRUE)</f>
        <v>0</v>
      </c>
      <c r="AY595" t="b">
        <f>IF(metadata!N595="",FALSE,TRUE)</f>
        <v>0</v>
      </c>
      <c r="AZ595" t="b">
        <f>OR(AND(IF(metadata!O595="",FALSE,TRUE),OR(EXACT(metadata!O595,"missing: not collected"),EXACT(metadata!O595,"missing: not provided"),EXACT(metadata!O595,"missing: restricted access"))),AND(IF(metadata!O595="",FALSE,TRUE),OR(EXACT(metadata!O595,"air"),EXACT(metadata!O595,"built environment"),EXACT(metadata!O595,"host-associated"),EXACT(metadata!O595,"human-associated"),EXACT(metadata!O595,"human-skin"),EXACT(metadata!O595,"human-oral"),EXACT(metadata!O595,"human-gut"),EXACT(metadata!O595,"human-vaginal"),EXACT(metadata!O595,"microbial mat/biofilm"),EXACT(metadata!O595,"misc environment"),EXACT(metadata!O595,"plant-associated"),EXACT(metadata!O595,"sediment"),EXACT(metadata!O595,"soil"),EXACT(metadata!O595,"wastewater/sludge"),EXACT(metadata!O595,"water"))))</f>
        <v>0</v>
      </c>
      <c r="BA595" t="b">
        <f>IF(metadata!P595="",FALSE,TRUE)</f>
        <v>0</v>
      </c>
      <c r="BB595" t="b">
        <f>IF(metadata!Q595="",FALSE,TRUE)</f>
        <v>0</v>
      </c>
      <c r="BC595" t="b">
        <f>OR(AND(IF(metadata!R595="",FALSE,TRUE),OR(EXACT(metadata!R595,"missing: not collected"),EXACT(metadata!R595,"missing: not provided"),EXACT(metadata!R595,"missing: restricted access"))),AND(IF(metadata!R595="",FALSE,ISNUMBER(VALUE(metadata!R595))),metadata!R595&gt;=-90,metadata!R595&lt;=90))</f>
        <v>0</v>
      </c>
      <c r="BD595" t="b">
        <f>AND(IF(metadata!S595="",FALSE,TRUE),EXACT(metadata!S595,"Decimal degrees"))</f>
        <v>0</v>
      </c>
      <c r="BE595" t="b">
        <f>OR(AND(IF(metadata!T595="",FALSE,TRUE),OR(EXACT(metadata!T595,"missing: not collected"),EXACT(metadata!T595,"missing: not provided"),EXACT(metadata!T595,"missing: restricted access"))),AND(IF(metadata!T595="",FALSE,ISNUMBER(VALUE(metadata!T595))),metadata!T595&gt;=-180,metadata!T595&lt;=180))</f>
        <v>0</v>
      </c>
      <c r="BF595" t="b">
        <f>AND(IF(metadata!U595="",FALSE,TRUE),EXACT(metadata!U595,"Decimal degrees"))</f>
        <v>0</v>
      </c>
      <c r="BG595" t="b">
        <f>IF(metadata!V595="",FALSE,TRUE)</f>
        <v>0</v>
      </c>
      <c r="BH595" t="b">
        <f>OR(AND(IF(metadata!W595="",FALSE,TRUE),OR(EXACT(metadata!W595,"missing: not collected"),EXACT(metadata!W595,"missing: not provided"),EXACT(metadata!W595,"missing: restricted access"))),AND(IF(metadata!W595="",FALSE,TRUE),OR(EXACT(metadata!W595,"TRUE"),EXACT(metadata!W595,"FALSE"))))</f>
        <v>0</v>
      </c>
      <c r="BI595" t="b">
        <f>AND(IF(metadata!X595="",FALSE,TRUE),EXACT(metadata!X595,"other"))</f>
        <v>0</v>
      </c>
      <c r="BJ595" t="b">
        <f>IF(metadata!Y595="",FALSE,TRUE)</f>
        <v>0</v>
      </c>
      <c r="BK595" t="b">
        <f>OR(AND(IF(metadata!Z595="",FALSE,TRUE),OR(EXACT(metadata!Z595,"missing: not collected"),EXACT(metadata!Z595,"missing: not provided"))),AND(IF(metadata!Z595="",FALSE,IF(ISERROR(INT(metadata!Z595)),FALSE,INT(metadata!Z595)=metadata!Z595)),metadata!Z595&gt;0))</f>
        <v>0</v>
      </c>
      <c r="BL595" t="b">
        <f>AND(IF(metadata!AA595="",FALSE,TRUE),EXACT(metadata!AA595,"Not applicable"))</f>
        <v>0</v>
      </c>
      <c r="BM595" t="b">
        <f>IF(metadata!AB595="",FALSE,TRUE)</f>
        <v>0</v>
      </c>
    </row>
    <row r="596" spans="1:65" x14ac:dyDescent="0.2">
      <c r="A596" s="5" t="str">
        <f ca="1">IF(B596=" "," ",HYPERLINK(CONCATENATE("#metadata!",ADDRESS(INDEX($AH$2:$AH$1001,MATCH(ROWS($AF$2:AF596),$AF$2:$AF$1001,0),0),1)),INDEX($AK$2:$AK$1001,MATCH(ROWS($AF$2:AF596),$AF$2:$AF$1001,0),0)))</f>
        <v xml:space="preserve"> </v>
      </c>
      <c r="B596" s="4" t="str">
        <f ca="1">IF(OR(INDEX($AG$2:$AG$1001,MATCH(ROWS($AF$2:AF596),$AF$2:$AF$1001,0),1)&gt;=100000,INDEX($AM$1005:$BM$1005,1,MATCH(COLUMNS($AM$1006:AM1006),$AM$1006:$BM$1006,0))&gt;=100000), " ",IF(INDEX($AM$2:$BM$1001,MATCH(ROWS($AF$2:AF596),$AF$2:$AF$1001,0),MATCH(COLUMNS($AM$1006:AM1006),$AM$1006:$BM$1006,0)), HYPERLINK("#",""), HYPERLINK(CONCATENATE("#metadata!", ADDRESS(INDEX($AH$2:$AH$1001,MATCH(ROWS($AF$2:AF596),$AF$2:$AF$1001,0),0), INDEX($AM$1004:$BM$1004,1,MATCH(COLUMNS($AM$1006:AM1006),$AM$1006:$BM$1006,0)))),"Fix")))</f>
        <v xml:space="preserve"> </v>
      </c>
      <c r="C596" s="4" t="str">
        <f ca="1">IF(OR(INDEX($AG$2:$AG$1001,MATCH(ROWS($AF$2:AF596),$AF$2:$AF$1001,0),1)&gt;=100000,INDEX($AM$1005:$BM$1005,1,MATCH(COLUMNS($AM$1006:AN1006),$AM$1006:$BM$1006,0))&gt;=100000), " ",IF(INDEX($AM$2:$BM$1001,MATCH(ROWS($AF$2:AF596),$AF$2:$AF$1001,0),MATCH(COLUMNS($AM$1006:AN1006),$AM$1006:$BM$1006,0)), HYPERLINK("#",""), HYPERLINK(CONCATENATE("#metadata!", ADDRESS(INDEX($AH$2:$AH$1001,MATCH(ROWS($AF$2:AF596),$AF$2:$AF$1001,0),0), INDEX($AM$1004:$BM$1004,1,MATCH(COLUMNS($AM$1006:AN1006),$AM$1006:$BM$1006,0)))),"Fix")))</f>
        <v xml:space="preserve"> </v>
      </c>
      <c r="D596" s="4" t="str">
        <f ca="1">IF(OR(INDEX($AG$2:$AG$1001,MATCH(ROWS($AF$2:AF596),$AF$2:$AF$1001,0),1)&gt;=100000,INDEX($AM$1005:$BM$1005,1,MATCH(COLUMNS($AM$1006:AO1006),$AM$1006:$BM$1006,0))&gt;=100000), " ",IF(INDEX($AM$2:$BM$1001,MATCH(ROWS($AF$2:AF596),$AF$2:$AF$1001,0),MATCH(COLUMNS($AM$1006:AO1006),$AM$1006:$BM$1006,0)), HYPERLINK("#",""), HYPERLINK(CONCATENATE("#metadata!", ADDRESS(INDEX($AH$2:$AH$1001,MATCH(ROWS($AF$2:AF596),$AF$2:$AF$1001,0),0), INDEX($AM$1004:$BM$1004,1,MATCH(COLUMNS($AM$1006:AO1006),$AM$1006:$BM$1006,0)))),"Fix")))</f>
        <v xml:space="preserve"> </v>
      </c>
      <c r="E596" s="4" t="str">
        <f ca="1">IF(OR(INDEX($AG$2:$AG$1001,MATCH(ROWS($AF$2:AF596),$AF$2:$AF$1001,0),1)&gt;=100000,INDEX($AM$1005:$BM$1005,1,MATCH(COLUMNS($AM$1006:AP1006),$AM$1006:$BM$1006,0))&gt;=100000), " ",IF(INDEX($AM$2:$BM$1001,MATCH(ROWS($AF$2:AF596),$AF$2:$AF$1001,0),MATCH(COLUMNS($AM$1006:AP1006),$AM$1006:$BM$1006,0)), HYPERLINK("#",""), HYPERLINK(CONCATENATE("#metadata!", ADDRESS(INDEX($AH$2:$AH$1001,MATCH(ROWS($AF$2:AF596),$AF$2:$AF$1001,0),0), INDEX($AM$1004:$BM$1004,1,MATCH(COLUMNS($AM$1006:AP1006),$AM$1006:$BM$1006,0)))),"Fix")))</f>
        <v xml:space="preserve"> </v>
      </c>
      <c r="F596" s="4" t="str">
        <f ca="1">IF(OR(INDEX($AG$2:$AG$1001,MATCH(ROWS($AF$2:AF596),$AF$2:$AF$1001,0),1)&gt;=100000,INDEX($AM$1005:$BM$1005,1,MATCH(COLUMNS($AM$1006:AQ1006),$AM$1006:$BM$1006,0))&gt;=100000), " ",IF(INDEX($AM$2:$BM$1001,MATCH(ROWS($AF$2:AF596),$AF$2:$AF$1001,0),MATCH(COLUMNS($AM$1006:AQ1006),$AM$1006:$BM$1006,0)), HYPERLINK("#",""), HYPERLINK(CONCATENATE("#metadata!", ADDRESS(INDEX($AH$2:$AH$1001,MATCH(ROWS($AF$2:AF596),$AF$2:$AF$1001,0),0), INDEX($AM$1004:$BM$1004,1,MATCH(COLUMNS($AM$1006:AQ1006),$AM$1006:$BM$1006,0)))),"Fix")))</f>
        <v xml:space="preserve"> </v>
      </c>
      <c r="G596" s="4" t="str">
        <f ca="1">IF(OR(INDEX($AG$2:$AG$1001,MATCH(ROWS($AF$2:AF596),$AF$2:$AF$1001,0),1)&gt;=100000,INDEX($AM$1005:$BM$1005,1,MATCH(COLUMNS($AM$1006:AR1006),$AM$1006:$BM$1006,0))&gt;=100000), " ",IF(INDEX($AM$2:$BM$1001,MATCH(ROWS($AF$2:AF596),$AF$2:$AF$1001,0),MATCH(COLUMNS($AM$1006:AR1006),$AM$1006:$BM$1006,0)), HYPERLINK("#",""), HYPERLINK(CONCATENATE("#metadata!", ADDRESS(INDEX($AH$2:$AH$1001,MATCH(ROWS($AF$2:AF596),$AF$2:$AF$1001,0),0), INDEX($AM$1004:$BM$1004,1,MATCH(COLUMNS($AM$1006:AR1006),$AM$1006:$BM$1006,0)))),"Fix")))</f>
        <v xml:space="preserve"> </v>
      </c>
      <c r="H596" s="4" t="str">
        <f ca="1">IF(OR(INDEX($AG$2:$AG$1001,MATCH(ROWS($AF$2:AF596),$AF$2:$AF$1001,0),1)&gt;=100000,INDEX($AM$1005:$BM$1005,1,MATCH(COLUMNS($AM$1006:AS1006),$AM$1006:$BM$1006,0))&gt;=100000), " ",IF(INDEX($AM$2:$BM$1001,MATCH(ROWS($AF$2:AF596),$AF$2:$AF$1001,0),MATCH(COLUMNS($AM$1006:AS1006),$AM$1006:$BM$1006,0)), HYPERLINK("#",""), HYPERLINK(CONCATENATE("#metadata!", ADDRESS(INDEX($AH$2:$AH$1001,MATCH(ROWS($AF$2:AF596),$AF$2:$AF$1001,0),0), INDEX($AM$1004:$BM$1004,1,MATCH(COLUMNS($AM$1006:AS1006),$AM$1006:$BM$1006,0)))),"Fix")))</f>
        <v xml:space="preserve"> </v>
      </c>
      <c r="I596" s="4" t="str">
        <f ca="1">IF(OR(INDEX($AG$2:$AG$1001,MATCH(ROWS($AF$2:AF596),$AF$2:$AF$1001,0),1)&gt;=100000,INDEX($AM$1005:$BM$1005,1,MATCH(COLUMNS($AM$1006:AT1006),$AM$1006:$BM$1006,0))&gt;=100000), " ",IF(INDEX($AM$2:$BM$1001,MATCH(ROWS($AF$2:AF596),$AF$2:$AF$1001,0),MATCH(COLUMNS($AM$1006:AT1006),$AM$1006:$BM$1006,0)), HYPERLINK("#",""), HYPERLINK(CONCATENATE("#metadata!", ADDRESS(INDEX($AH$2:$AH$1001,MATCH(ROWS($AF$2:AF596),$AF$2:$AF$1001,0),0), INDEX($AM$1004:$BM$1004,1,MATCH(COLUMNS($AM$1006:AT1006),$AM$1006:$BM$1006,0)))),"Fix")))</f>
        <v xml:space="preserve"> </v>
      </c>
      <c r="J596" s="4" t="str">
        <f ca="1">IF(OR(INDEX($AG$2:$AG$1001,MATCH(ROWS($AF$2:AF596),$AF$2:$AF$1001,0),1)&gt;=100000,INDEX($AM$1005:$BM$1005,1,MATCH(COLUMNS($AM$1006:AU1006),$AM$1006:$BM$1006,0))&gt;=100000), " ",IF(INDEX($AM$2:$BM$1001,MATCH(ROWS($AF$2:AF596),$AF$2:$AF$1001,0),MATCH(COLUMNS($AM$1006:AU1006),$AM$1006:$BM$1006,0)), HYPERLINK("#",""), HYPERLINK(CONCATENATE("#metadata!", ADDRESS(INDEX($AH$2:$AH$1001,MATCH(ROWS($AF$2:AF596),$AF$2:$AF$1001,0),0), INDEX($AM$1004:$BM$1004,1,MATCH(COLUMNS($AM$1006:AU1006),$AM$1006:$BM$1006,0)))),"Fix")))</f>
        <v xml:space="preserve"> </v>
      </c>
      <c r="K596" s="4" t="str">
        <f ca="1">IF(OR(INDEX($AG$2:$AG$1001,MATCH(ROWS($AF$2:AF596),$AF$2:$AF$1001,0),1)&gt;=100000,INDEX($AM$1005:$BM$1005,1,MATCH(COLUMNS($AM$1006:AV1006),$AM$1006:$BM$1006,0))&gt;=100000), " ",IF(INDEX($AM$2:$BM$1001,MATCH(ROWS($AF$2:AF596),$AF$2:$AF$1001,0),MATCH(COLUMNS($AM$1006:AV1006),$AM$1006:$BM$1006,0)), HYPERLINK("#",""), HYPERLINK(CONCATENATE("#metadata!", ADDRESS(INDEX($AH$2:$AH$1001,MATCH(ROWS($AF$2:AF596),$AF$2:$AF$1001,0),0), INDEX($AM$1004:$BM$1004,1,MATCH(COLUMNS($AM$1006:AV1006),$AM$1006:$BM$1006,0)))),"Fix")))</f>
        <v xml:space="preserve"> </v>
      </c>
      <c r="L596" s="4" t="str">
        <f ca="1">IF(OR(INDEX($AG$2:$AG$1001,MATCH(ROWS($AF$2:AF596),$AF$2:$AF$1001,0),1)&gt;=100000,INDEX($AM$1005:$BM$1005,1,MATCH(COLUMNS($AM$1006:AW1006),$AM$1006:$BM$1006,0))&gt;=100000), " ",IF(INDEX($AM$2:$BM$1001,MATCH(ROWS($AF$2:AF596),$AF$2:$AF$1001,0),MATCH(COLUMNS($AM$1006:AW1006),$AM$1006:$BM$1006,0)), HYPERLINK("#",""), HYPERLINK(CONCATENATE("#metadata!", ADDRESS(INDEX($AH$2:$AH$1001,MATCH(ROWS($AF$2:AF596),$AF$2:$AF$1001,0),0), INDEX($AM$1004:$BM$1004,1,MATCH(COLUMNS($AM$1006:AW1006),$AM$1006:$BM$1006,0)))),"Fix")))</f>
        <v xml:space="preserve"> </v>
      </c>
      <c r="M596" s="4" t="str">
        <f ca="1">IF(OR(INDEX($AG$2:$AG$1001,MATCH(ROWS($AF$2:AF596),$AF$2:$AF$1001,0),1)&gt;=100000,INDEX($AM$1005:$BM$1005,1,MATCH(COLUMNS($AM$1006:AX1006),$AM$1006:$BM$1006,0))&gt;=100000), " ",IF(INDEX($AM$2:$BM$1001,MATCH(ROWS($AF$2:AF596),$AF$2:$AF$1001,0),MATCH(COLUMNS($AM$1006:AX1006),$AM$1006:$BM$1006,0)), HYPERLINK("#",""), HYPERLINK(CONCATENATE("#metadata!", ADDRESS(INDEX($AH$2:$AH$1001,MATCH(ROWS($AF$2:AF596),$AF$2:$AF$1001,0),0), INDEX($AM$1004:$BM$1004,1,MATCH(COLUMNS($AM$1006:AX1006),$AM$1006:$BM$1006,0)))),"Fix")))</f>
        <v xml:space="preserve"> </v>
      </c>
      <c r="N596" s="4" t="str">
        <f ca="1">IF(OR(INDEX($AG$2:$AG$1001,MATCH(ROWS($AF$2:AF596),$AF$2:$AF$1001,0),1)&gt;=100000,INDEX($AM$1005:$BM$1005,1,MATCH(COLUMNS($AM$1006:AY1006),$AM$1006:$BM$1006,0))&gt;=100000), " ",IF(INDEX($AM$2:$BM$1001,MATCH(ROWS($AF$2:AF596),$AF$2:$AF$1001,0),MATCH(COLUMNS($AM$1006:AY1006),$AM$1006:$BM$1006,0)), HYPERLINK("#",""), HYPERLINK(CONCATENATE("#metadata!", ADDRESS(INDEX($AH$2:$AH$1001,MATCH(ROWS($AF$2:AF596),$AF$2:$AF$1001,0),0), INDEX($AM$1004:$BM$1004,1,MATCH(COLUMNS($AM$1006:AY1006),$AM$1006:$BM$1006,0)))),"Fix")))</f>
        <v xml:space="preserve"> </v>
      </c>
      <c r="O596" s="4" t="str">
        <f ca="1">IF(OR(INDEX($AG$2:$AG$1001,MATCH(ROWS($AF$2:AF596),$AF$2:$AF$1001,0),1)&gt;=100000,INDEX($AM$1005:$BM$1005,1,MATCH(COLUMNS($AM$1006:AZ1006),$AM$1006:$BM$1006,0))&gt;=100000), " ",IF(INDEX($AM$2:$BM$1001,MATCH(ROWS($AF$2:AF596),$AF$2:$AF$1001,0),MATCH(COLUMNS($AM$1006:AZ1006),$AM$1006:$BM$1006,0)), HYPERLINK("#",""), HYPERLINK(CONCATENATE("#metadata!", ADDRESS(INDEX($AH$2:$AH$1001,MATCH(ROWS($AF$2:AF596),$AF$2:$AF$1001,0),0), INDEX($AM$1004:$BM$1004,1,MATCH(COLUMNS($AM$1006:AZ1006),$AM$1006:$BM$1006,0)))),"Fix")))</f>
        <v xml:space="preserve"> </v>
      </c>
      <c r="P596" s="4" t="str">
        <f ca="1">IF(OR(INDEX($AG$2:$AG$1001,MATCH(ROWS($AF$2:AF596),$AF$2:$AF$1001,0),1)&gt;=100000,INDEX($AM$1005:$BM$1005,1,MATCH(COLUMNS($AM$1006:BA1006),$AM$1006:$BM$1006,0))&gt;=100000), " ",IF(INDEX($AM$2:$BM$1001,MATCH(ROWS($AF$2:AF596),$AF$2:$AF$1001,0),MATCH(COLUMNS($AM$1006:BA1006),$AM$1006:$BM$1006,0)), HYPERLINK("#",""), HYPERLINK(CONCATENATE("#metadata!", ADDRESS(INDEX($AH$2:$AH$1001,MATCH(ROWS($AF$2:AF596),$AF$2:$AF$1001,0),0), INDEX($AM$1004:$BM$1004,1,MATCH(COLUMNS($AM$1006:BA1006),$AM$1006:$BM$1006,0)))),"Fix")))</f>
        <v xml:space="preserve"> </v>
      </c>
      <c r="Q596" s="4" t="str">
        <f ca="1">IF(OR(INDEX($AG$2:$AG$1001,MATCH(ROWS($AF$2:AF596),$AF$2:$AF$1001,0),1)&gt;=100000,INDEX($AM$1005:$BM$1005,1,MATCH(COLUMNS($AM$1006:BB1006),$AM$1006:$BM$1006,0))&gt;=100000), " ",IF(INDEX($AM$2:$BM$1001,MATCH(ROWS($AF$2:AF596),$AF$2:$AF$1001,0),MATCH(COLUMNS($AM$1006:BB1006),$AM$1006:$BM$1006,0)), HYPERLINK("#",""), HYPERLINK(CONCATENATE("#metadata!", ADDRESS(INDEX($AH$2:$AH$1001,MATCH(ROWS($AF$2:AF596),$AF$2:$AF$1001,0),0), INDEX($AM$1004:$BM$1004,1,MATCH(COLUMNS($AM$1006:BB1006),$AM$1006:$BM$1006,0)))),"Fix")))</f>
        <v xml:space="preserve"> </v>
      </c>
      <c r="R596" s="4" t="str">
        <f ca="1">IF(OR(INDEX($AG$2:$AG$1001,MATCH(ROWS($AF$2:AF596),$AF$2:$AF$1001,0),1)&gt;=100000,INDEX($AM$1005:$BM$1005,1,MATCH(COLUMNS($AM$1006:BC1006),$AM$1006:$BM$1006,0))&gt;=100000), " ",IF(INDEX($AM$2:$BM$1001,MATCH(ROWS($AF$2:AF596),$AF$2:$AF$1001,0),MATCH(COLUMNS($AM$1006:BC1006),$AM$1006:$BM$1006,0)), HYPERLINK("#",""), HYPERLINK(CONCATENATE("#metadata!", ADDRESS(INDEX($AH$2:$AH$1001,MATCH(ROWS($AF$2:AF596),$AF$2:$AF$1001,0),0), INDEX($AM$1004:$BM$1004,1,MATCH(COLUMNS($AM$1006:BC1006),$AM$1006:$BM$1006,0)))),"Fix")))</f>
        <v xml:space="preserve"> </v>
      </c>
      <c r="S596" s="4" t="str">
        <f ca="1">IF(OR(INDEX($AG$2:$AG$1001,MATCH(ROWS($AF$2:AF596),$AF$2:$AF$1001,0),1)&gt;=100000,INDEX($AM$1005:$BM$1005,1,MATCH(COLUMNS($AM$1006:BD1006),$AM$1006:$BM$1006,0))&gt;=100000), " ",IF(INDEX($AM$2:$BM$1001,MATCH(ROWS($AF$2:AF596),$AF$2:$AF$1001,0),MATCH(COLUMNS($AM$1006:BD1006),$AM$1006:$BM$1006,0)), HYPERLINK("#",""), HYPERLINK(CONCATENATE("#metadata!", ADDRESS(INDEX($AH$2:$AH$1001,MATCH(ROWS($AF$2:AF596),$AF$2:$AF$1001,0),0), INDEX($AM$1004:$BM$1004,1,MATCH(COLUMNS($AM$1006:BD1006),$AM$1006:$BM$1006,0)))),"Fix")))</f>
        <v xml:space="preserve"> </v>
      </c>
      <c r="T596" s="4" t="str">
        <f ca="1">IF(OR(INDEX($AG$2:$AG$1001,MATCH(ROWS($AF$2:AF596),$AF$2:$AF$1001,0),1)&gt;=100000,INDEX($AM$1005:$BM$1005,1,MATCH(COLUMNS($AM$1006:BE1006),$AM$1006:$BM$1006,0))&gt;=100000), " ",IF(INDEX($AM$2:$BM$1001,MATCH(ROWS($AF$2:AF596),$AF$2:$AF$1001,0),MATCH(COLUMNS($AM$1006:BE1006),$AM$1006:$BM$1006,0)), HYPERLINK("#",""), HYPERLINK(CONCATENATE("#metadata!", ADDRESS(INDEX($AH$2:$AH$1001,MATCH(ROWS($AF$2:AF596),$AF$2:$AF$1001,0),0), INDEX($AM$1004:$BM$1004,1,MATCH(COLUMNS($AM$1006:BE1006),$AM$1006:$BM$1006,0)))),"Fix")))</f>
        <v xml:space="preserve"> </v>
      </c>
      <c r="U596" s="4" t="str">
        <f ca="1">IF(OR(INDEX($AG$2:$AG$1001,MATCH(ROWS($AF$2:AF596),$AF$2:$AF$1001,0),1)&gt;=100000,INDEX($AM$1005:$BM$1005,1,MATCH(COLUMNS($AM$1006:BF1006),$AM$1006:$BM$1006,0))&gt;=100000), " ",IF(INDEX($AM$2:$BM$1001,MATCH(ROWS($AF$2:AF596),$AF$2:$AF$1001,0),MATCH(COLUMNS($AM$1006:BF1006),$AM$1006:$BM$1006,0)), HYPERLINK("#",""), HYPERLINK(CONCATENATE("#metadata!", ADDRESS(INDEX($AH$2:$AH$1001,MATCH(ROWS($AF$2:AF596),$AF$2:$AF$1001,0),0), INDEX($AM$1004:$BM$1004,1,MATCH(COLUMNS($AM$1006:BF1006),$AM$1006:$BM$1006,0)))),"Fix")))</f>
        <v xml:space="preserve"> </v>
      </c>
      <c r="V596" s="4" t="str">
        <f ca="1">IF(OR(INDEX($AG$2:$AG$1001,MATCH(ROWS($AF$2:AF596),$AF$2:$AF$1001,0),1)&gt;=100000,INDEX($AM$1005:$BM$1005,1,MATCH(COLUMNS($AM$1006:BG1006),$AM$1006:$BM$1006,0))&gt;=100000), " ",IF(INDEX($AM$2:$BM$1001,MATCH(ROWS($AF$2:AF596),$AF$2:$AF$1001,0),MATCH(COLUMNS($AM$1006:BG1006),$AM$1006:$BM$1006,0)), HYPERLINK("#",""), HYPERLINK(CONCATENATE("#metadata!", ADDRESS(INDEX($AH$2:$AH$1001,MATCH(ROWS($AF$2:AF596),$AF$2:$AF$1001,0),0), INDEX($AM$1004:$BM$1004,1,MATCH(COLUMNS($AM$1006:BG1006),$AM$1006:$BM$1006,0)))),"Fix")))</f>
        <v xml:space="preserve"> </v>
      </c>
      <c r="W596" s="4" t="str">
        <f ca="1">IF(OR(INDEX($AG$2:$AG$1001,MATCH(ROWS($AF$2:AF596),$AF$2:$AF$1001,0),1)&gt;=100000,INDEX($AM$1005:$BM$1005,1,MATCH(COLUMNS($AM$1006:BH1006),$AM$1006:$BM$1006,0))&gt;=100000), " ",IF(INDEX($AM$2:$BM$1001,MATCH(ROWS($AF$2:AF596),$AF$2:$AF$1001,0),MATCH(COLUMNS($AM$1006:BH1006),$AM$1006:$BM$1006,0)), HYPERLINK("#",""), HYPERLINK(CONCATENATE("#metadata!", ADDRESS(INDEX($AH$2:$AH$1001,MATCH(ROWS($AF$2:AF596),$AF$2:$AF$1001,0),0), INDEX($AM$1004:$BM$1004,1,MATCH(COLUMNS($AM$1006:BH1006),$AM$1006:$BM$1006,0)))),"Fix")))</f>
        <v xml:space="preserve"> </v>
      </c>
      <c r="X596" s="4" t="str">
        <f ca="1">IF(OR(INDEX($AG$2:$AG$1001,MATCH(ROWS($AF$2:AF596),$AF$2:$AF$1001,0),1)&gt;=100000,INDEX($AM$1005:$BM$1005,1,MATCH(COLUMNS($AM$1006:BI1006),$AM$1006:$BM$1006,0))&gt;=100000), " ",IF(INDEX($AM$2:$BM$1001,MATCH(ROWS($AF$2:AF596),$AF$2:$AF$1001,0),MATCH(COLUMNS($AM$1006:BI1006),$AM$1006:$BM$1006,0)), HYPERLINK("#",""), HYPERLINK(CONCATENATE("#metadata!", ADDRESS(INDEX($AH$2:$AH$1001,MATCH(ROWS($AF$2:AF596),$AF$2:$AF$1001,0),0), INDEX($AM$1004:$BM$1004,1,MATCH(COLUMNS($AM$1006:BI1006),$AM$1006:$BM$1006,0)))),"Fix")))</f>
        <v xml:space="preserve"> </v>
      </c>
      <c r="Y596" s="4" t="str">
        <f ca="1">IF(OR(INDEX($AG$2:$AG$1001,MATCH(ROWS($AF$2:AF596),$AF$2:$AF$1001,0),1)&gt;=100000,INDEX($AM$1005:$BM$1005,1,MATCH(COLUMNS($AM$1006:BJ1006),$AM$1006:$BM$1006,0))&gt;=100000), " ",IF(INDEX($AM$2:$BM$1001,MATCH(ROWS($AF$2:AF596),$AF$2:$AF$1001,0),MATCH(COLUMNS($AM$1006:BJ1006),$AM$1006:$BM$1006,0)), HYPERLINK("#",""), HYPERLINK(CONCATENATE("#metadata!", ADDRESS(INDEX($AH$2:$AH$1001,MATCH(ROWS($AF$2:AF596),$AF$2:$AF$1001,0),0), INDEX($AM$1004:$BM$1004,1,MATCH(COLUMNS($AM$1006:BJ1006),$AM$1006:$BM$1006,0)))),"Fix")))</f>
        <v xml:space="preserve"> </v>
      </c>
      <c r="Z596" s="4" t="str">
        <f ca="1">IF(OR(INDEX($AG$2:$AG$1001,MATCH(ROWS($AF$2:AF596),$AF$2:$AF$1001,0),1)&gt;=100000,INDEX($AM$1005:$BM$1005,1,MATCH(COLUMNS($AM$1006:BK1006),$AM$1006:$BM$1006,0))&gt;=100000), " ",IF(INDEX($AM$2:$BM$1001,MATCH(ROWS($AF$2:AF596),$AF$2:$AF$1001,0),MATCH(COLUMNS($AM$1006:BK1006),$AM$1006:$BM$1006,0)), HYPERLINK("#",""), HYPERLINK(CONCATENATE("#metadata!", ADDRESS(INDEX($AH$2:$AH$1001,MATCH(ROWS($AF$2:AF596),$AF$2:$AF$1001,0),0), INDEX($AM$1004:$BM$1004,1,MATCH(COLUMNS($AM$1006:BK1006),$AM$1006:$BM$1006,0)))),"Fix")))</f>
        <v xml:space="preserve"> </v>
      </c>
      <c r="AA596" s="4" t="str">
        <f ca="1">IF(OR(INDEX($AG$2:$AG$1001,MATCH(ROWS($AF$2:AF596),$AF$2:$AF$1001,0),1)&gt;=100000,INDEX($AM$1005:$BM$1005,1,MATCH(COLUMNS($AM$1006:BL1006),$AM$1006:$BM$1006,0))&gt;=100000), " ",IF(INDEX($AM$2:$BM$1001,MATCH(ROWS($AF$2:AF596),$AF$2:$AF$1001,0),MATCH(COLUMNS($AM$1006:BL1006),$AM$1006:$BM$1006,0)), HYPERLINK("#",""), HYPERLINK(CONCATENATE("#metadata!", ADDRESS(INDEX($AH$2:$AH$1001,MATCH(ROWS($AF$2:AF596),$AF$2:$AF$1001,0),0), INDEX($AM$1004:$BM$1004,1,MATCH(COLUMNS($AM$1006:BL1006),$AM$1006:$BM$1006,0)))),"Fix")))</f>
        <v xml:space="preserve"> </v>
      </c>
      <c r="AB596" s="4" t="str">
        <f ca="1">IF(OR(INDEX($AG$2:$AG$1001,MATCH(ROWS($AF$2:AF596),$AF$2:$AF$1001,0),1)&gt;=100000,INDEX($AM$1005:$BM$1005,1,MATCH(COLUMNS($AM$1006:BM1006),$AM$1006:$BM$1006,0))&gt;=100000), " ",IF(INDEX($AM$2:$BM$1001,MATCH(ROWS($AF$2:AF596),$AF$2:$AF$1001,0),MATCH(COLUMNS($AM$1006:BM1006),$AM$1006:$BM$1006,0)), HYPERLINK("#",""), HYPERLINK(CONCATENATE("#metadata!", ADDRESS(INDEX($AH$2:$AH$1001,MATCH(ROWS($AF$2:AF596),$AF$2:$AF$1001,0),0), INDEX($AM$1004:$BM$1004,1,MATCH(COLUMNS($AM$1006:BM1006),$AM$1006:$BM$1006,0)))),"Fix")))</f>
        <v xml:space="preserve"> </v>
      </c>
      <c r="AF596">
        <v>595</v>
      </c>
      <c r="AG596">
        <v>100596</v>
      </c>
      <c r="AH596">
        <v>596</v>
      </c>
      <c r="AI596" t="b">
        <f t="shared" si="9"/>
        <v>1</v>
      </c>
      <c r="AJ596" t="b">
        <f>COUNTBLANK(metadata!B596:AB596)=COLUMNS(metadata!B596:AB596)</f>
        <v>1</v>
      </c>
      <c r="AK596" t="str">
        <v/>
      </c>
      <c r="AM596" t="b">
        <f ca="1">AND(IF(metadata!B596="",FALSE,TRUE),COUNTIF(metadata!B:B, metadata!B596) = 1,NOT(ISERROR(SUMPRODUCT(SEARCH(MID(metadata!B596,ROW(INDIRECT("1:"&amp;LEN(metadata!B596))), 1),"0123456789abcdefghijklmnopqrstuvwxyzABCDEFGHIJKLMNOPQRSTUVWXYZ.")))))</f>
        <v>0</v>
      </c>
      <c r="AN596" t="b">
        <f ca="1">OR(AND(IF(metadata!C596="",FALSE,TRUE),OR(EXACT(metadata!C596,"missing: not collected"),EXACT(metadata!C596,"missing: not provided"),EXACT(metadata!C596,"missing: restricted access"))),AND(IF(metadata!C596="",FALSE,TRUE),AND(AND(IFERROR(INT(LEFT(metadata!C596,4))&gt;1900,FALSE),IFERROR(INT(LEFT(metadata!C596,4))&lt;=YEAR(NOW()),FALSE)), OR(MID(metadata!C596,5,1)="", AND(AND(MID(metadata!C596,5,1)="-",IFERROR(INT(MID(metadata!C596,6,1))&gt;=0,FALSE),IFERROR(INT(MID(metadata!C596,6,1))&lt;=1,FALSE),NOT(MID(metadata!C596,7,1)=""),IFERROR(INT(MID(metadata!C596,6,2))&gt;=1,FALSE),IFERROR(INT(MID(metadata!C596,6,2))&lt;=12,FALSE)), OR(MID(metadata!C596,8,1)="", AND(AND(MID(metadata!C596,8,1)="-",IFERROR(INT(MID(metadata!C596,9,1))&gt;=0,FALSE),IFERROR(INT(MID(metadata!C596,9,1))&lt;=3,FALSE),NOT(MID(metadata!C596,10,1)=""),IFERROR(INT(MID(metadata!C596,9,2))&gt;=1,FALSE),IFERROR(INT(MID(metadata!C596,9,2))&lt;=31,FALSE)), OR(MID(metadata!C596,11,1)="", AND(AND(MID(metadata!C596,11,1)=" ",IFERROR(INT(MID(metadata!C596,12,1))&gt;=0,FALSE),IFERROR(INT(MID(metadata!C596,12,1))&lt;=2,FALSE),NOT(MID(metadata!C596,13,1)=""),IFERROR(INT(MID(metadata!C596,12,2))&gt;=0,FALSE),IFERROR(INT(MID(metadata!C596,12,2))&lt;=23,FALSE)), OR(MID(metadata!C596,14,1)="", AND(AND(MID(metadata!C596,14,1)=":",IFERROR(INT(MID(metadata!C596,15,1))&gt;=0,FALSE),IFERROR(INT(MID(metadata!C596,15,1))&lt;=5,FALSE),NOT(MID(metadata!C596,16,1)=""),IFERROR(INT(MID(metadata!C596,15,2))&gt;=0,FALSE),IFERROR(INT(MID(metadata!C596,15,2))&lt;=59,FALSE)), OR(MID(metadata!C596,17,1)="", AND(AND(MID(metadata!C596,17,1)=":",IFERROR(INT(MID(metadata!C596,18,1))&gt;=0,FALSE),IFERROR(INT(MID(metadata!C596,18,1))&lt;=5,FALSE),NOT(MID(metadata!C596,19,1)=""),IFERROR(INT(MID(metadata!C596,18,2))&gt;=0,FALSE),IFERROR(INT(MID(metadata!C596,18,2))&lt;=59,FALSE)), LEN(metadata!C596)&lt;=19)))))))))))))</f>
        <v>0</v>
      </c>
      <c r="AO596" t="b">
        <f>AND(IF(metadata!D596="",FALSE,TRUE),EXACT(metadata!D596,"Not applicable"))</f>
        <v>0</v>
      </c>
      <c r="AP596" t="b">
        <f>IF(metadata!E596="",FALSE,TRUE)</f>
        <v>0</v>
      </c>
      <c r="AQ596" t="b">
        <f>OR(AND(IF(metadata!F596="",FALSE,TRUE),OR(EXACT(metadata!F596,"missing: not collected"),EXACT(metadata!F596,"missing: not provided"))),AND(IF(metadata!F596="",FALSE,TRUE),OR(EXACT(metadata!F596,"TRUE"),EXACT(metadata!F596,"FALSE"))))</f>
        <v>0</v>
      </c>
      <c r="AR596" t="b">
        <f>OR(AND(IF(metadata!G596="",FALSE,TRUE),OR(EXACT(metadata!G596,"missing: not collected"),EXACT(metadata!G596,"missing: not provided"),EXACT(metadata!G596,"missing: restricted access"))),AND(IF(metadata!G596="",FALSE,ISNUMBER(VALUE(metadata!G596))),metadata!G596&gt;=-413))</f>
        <v>0</v>
      </c>
      <c r="AS596" t="b">
        <f>AND(IF(metadata!H596="",FALSE,TRUE),EXACT(metadata!H596,"meters"))</f>
        <v>0</v>
      </c>
      <c r="AT596" t="b">
        <f>AND(IF(metadata!I596="",FALSE,TRUE),OR(EXACT(metadata!I596,"Host-associated"),EXACT(metadata!I596,"Free-living")))</f>
        <v>0</v>
      </c>
      <c r="AU596" t="b">
        <f>AND(IF(metadata!J596="",FALSE,TRUE),OR(EXACT(metadata!J596,"Animal"),EXACT(metadata!J596,"Fungus"),EXACT(metadata!J596,"Plant"),EXACT(metadata!J596,"Saline"),EXACT(metadata!J596,"Non-saline")))</f>
        <v>0</v>
      </c>
      <c r="AV596" t="b">
        <f>AND(IF(metadata!K596="",FALSE,TRUE),OR(EXACT(metadata!K596,"Plant secretion"),EXACT(metadata!K596,"Plant rhizosphere"),EXACT(metadata!K596,"Plant surface"),EXACT(metadata!K596,"Plant corpus"),EXACT(metadata!K596,"Fungus surface"),EXACT(metadata!K596,"Fungus corpus"),EXACT(metadata!K596,"Animal surface"),EXACT(metadata!K596,"Animal proximal gut"),EXACT(metadata!K596,"Animal corpus"),EXACT(metadata!K596,"Animal distal gut"),EXACT(metadata!K596,"Animal secretion"),EXACT(metadata!K596,"Sub-surface (non-saline)"),EXACT(metadata!K596,"Surface (non-saline)"),EXACT(metadata!K596,"Water (non-saline)"),EXACT(metadata!K596,"Soil (non-saline)"),EXACT(metadata!K596,"Aerosol (non-saline)"),EXACT(metadata!K596,"Sediment (non-saline)"),EXACT(metadata!K596,"Surface (saline)"),EXACT(metadata!K596,"Water (saline)"),EXACT(metadata!K596,"Hypersaline (saline)"),EXACT(metadata!K596,"Aerosol (saline)"),EXACT(metadata!K596,"Sediment (saline)")))</f>
        <v>0</v>
      </c>
      <c r="AW596" t="b">
        <f>IF(metadata!L596="",FALSE,TRUE)</f>
        <v>0</v>
      </c>
      <c r="AX596" t="b">
        <f>IF(metadata!M596="",FALSE,TRUE)</f>
        <v>0</v>
      </c>
      <c r="AY596" t="b">
        <f>IF(metadata!N596="",FALSE,TRUE)</f>
        <v>0</v>
      </c>
      <c r="AZ596" t="b">
        <f>OR(AND(IF(metadata!O596="",FALSE,TRUE),OR(EXACT(metadata!O596,"missing: not collected"),EXACT(metadata!O596,"missing: not provided"),EXACT(metadata!O596,"missing: restricted access"))),AND(IF(metadata!O596="",FALSE,TRUE),OR(EXACT(metadata!O596,"air"),EXACT(metadata!O596,"built environment"),EXACT(metadata!O596,"host-associated"),EXACT(metadata!O596,"human-associated"),EXACT(metadata!O596,"human-skin"),EXACT(metadata!O596,"human-oral"),EXACT(metadata!O596,"human-gut"),EXACT(metadata!O596,"human-vaginal"),EXACT(metadata!O596,"microbial mat/biofilm"),EXACT(metadata!O596,"misc environment"),EXACT(metadata!O596,"plant-associated"),EXACT(metadata!O596,"sediment"),EXACT(metadata!O596,"soil"),EXACT(metadata!O596,"wastewater/sludge"),EXACT(metadata!O596,"water"))))</f>
        <v>0</v>
      </c>
      <c r="BA596" t="b">
        <f>IF(metadata!P596="",FALSE,TRUE)</f>
        <v>0</v>
      </c>
      <c r="BB596" t="b">
        <f>IF(metadata!Q596="",FALSE,TRUE)</f>
        <v>0</v>
      </c>
      <c r="BC596" t="b">
        <f>OR(AND(IF(metadata!R596="",FALSE,TRUE),OR(EXACT(metadata!R596,"missing: not collected"),EXACT(metadata!R596,"missing: not provided"),EXACT(metadata!R596,"missing: restricted access"))),AND(IF(metadata!R596="",FALSE,ISNUMBER(VALUE(metadata!R596))),metadata!R596&gt;=-90,metadata!R596&lt;=90))</f>
        <v>0</v>
      </c>
      <c r="BD596" t="b">
        <f>AND(IF(metadata!S596="",FALSE,TRUE),EXACT(metadata!S596,"Decimal degrees"))</f>
        <v>0</v>
      </c>
      <c r="BE596" t="b">
        <f>OR(AND(IF(metadata!T596="",FALSE,TRUE),OR(EXACT(metadata!T596,"missing: not collected"),EXACT(metadata!T596,"missing: not provided"),EXACT(metadata!T596,"missing: restricted access"))),AND(IF(metadata!T596="",FALSE,ISNUMBER(VALUE(metadata!T596))),metadata!T596&gt;=-180,metadata!T596&lt;=180))</f>
        <v>0</v>
      </c>
      <c r="BF596" t="b">
        <f>AND(IF(metadata!U596="",FALSE,TRUE),EXACT(metadata!U596,"Decimal degrees"))</f>
        <v>0</v>
      </c>
      <c r="BG596" t="b">
        <f>IF(metadata!V596="",FALSE,TRUE)</f>
        <v>0</v>
      </c>
      <c r="BH596" t="b">
        <f>OR(AND(IF(metadata!W596="",FALSE,TRUE),OR(EXACT(metadata!W596,"missing: not collected"),EXACT(metadata!W596,"missing: not provided"),EXACT(metadata!W596,"missing: restricted access"))),AND(IF(metadata!W596="",FALSE,TRUE),OR(EXACT(metadata!W596,"TRUE"),EXACT(metadata!W596,"FALSE"))))</f>
        <v>0</v>
      </c>
      <c r="BI596" t="b">
        <f>AND(IF(metadata!X596="",FALSE,TRUE),EXACT(metadata!X596,"other"))</f>
        <v>0</v>
      </c>
      <c r="BJ596" t="b">
        <f>IF(metadata!Y596="",FALSE,TRUE)</f>
        <v>0</v>
      </c>
      <c r="BK596" t="b">
        <f>OR(AND(IF(metadata!Z596="",FALSE,TRUE),OR(EXACT(metadata!Z596,"missing: not collected"),EXACT(metadata!Z596,"missing: not provided"))),AND(IF(metadata!Z596="",FALSE,IF(ISERROR(INT(metadata!Z596)),FALSE,INT(metadata!Z596)=metadata!Z596)),metadata!Z596&gt;0))</f>
        <v>0</v>
      </c>
      <c r="BL596" t="b">
        <f>AND(IF(metadata!AA596="",FALSE,TRUE),EXACT(metadata!AA596,"Not applicable"))</f>
        <v>0</v>
      </c>
      <c r="BM596" t="b">
        <f>IF(metadata!AB596="",FALSE,TRUE)</f>
        <v>0</v>
      </c>
    </row>
    <row r="597" spans="1:65" x14ac:dyDescent="0.2">
      <c r="A597" s="5" t="str">
        <f ca="1">IF(B597=" "," ",HYPERLINK(CONCATENATE("#metadata!",ADDRESS(INDEX($AH$2:$AH$1001,MATCH(ROWS($AF$2:AF597),$AF$2:$AF$1001,0),0),1)),INDEX($AK$2:$AK$1001,MATCH(ROWS($AF$2:AF597),$AF$2:$AF$1001,0),0)))</f>
        <v xml:space="preserve"> </v>
      </c>
      <c r="B597" s="4" t="str">
        <f ca="1">IF(OR(INDEX($AG$2:$AG$1001,MATCH(ROWS($AF$2:AF597),$AF$2:$AF$1001,0),1)&gt;=100000,INDEX($AM$1005:$BM$1005,1,MATCH(COLUMNS($AM$1006:AM1006),$AM$1006:$BM$1006,0))&gt;=100000), " ",IF(INDEX($AM$2:$BM$1001,MATCH(ROWS($AF$2:AF597),$AF$2:$AF$1001,0),MATCH(COLUMNS($AM$1006:AM1006),$AM$1006:$BM$1006,0)), HYPERLINK("#",""), HYPERLINK(CONCATENATE("#metadata!", ADDRESS(INDEX($AH$2:$AH$1001,MATCH(ROWS($AF$2:AF597),$AF$2:$AF$1001,0),0), INDEX($AM$1004:$BM$1004,1,MATCH(COLUMNS($AM$1006:AM1006),$AM$1006:$BM$1006,0)))),"Fix")))</f>
        <v xml:space="preserve"> </v>
      </c>
      <c r="C597" s="4" t="str">
        <f ca="1">IF(OR(INDEX($AG$2:$AG$1001,MATCH(ROWS($AF$2:AF597),$AF$2:$AF$1001,0),1)&gt;=100000,INDEX($AM$1005:$BM$1005,1,MATCH(COLUMNS($AM$1006:AN1006),$AM$1006:$BM$1006,0))&gt;=100000), " ",IF(INDEX($AM$2:$BM$1001,MATCH(ROWS($AF$2:AF597),$AF$2:$AF$1001,0),MATCH(COLUMNS($AM$1006:AN1006),$AM$1006:$BM$1006,0)), HYPERLINK("#",""), HYPERLINK(CONCATENATE("#metadata!", ADDRESS(INDEX($AH$2:$AH$1001,MATCH(ROWS($AF$2:AF597),$AF$2:$AF$1001,0),0), INDEX($AM$1004:$BM$1004,1,MATCH(COLUMNS($AM$1006:AN1006),$AM$1006:$BM$1006,0)))),"Fix")))</f>
        <v xml:space="preserve"> </v>
      </c>
      <c r="D597" s="4" t="str">
        <f ca="1">IF(OR(INDEX($AG$2:$AG$1001,MATCH(ROWS($AF$2:AF597),$AF$2:$AF$1001,0),1)&gt;=100000,INDEX($AM$1005:$BM$1005,1,MATCH(COLUMNS($AM$1006:AO1006),$AM$1006:$BM$1006,0))&gt;=100000), " ",IF(INDEX($AM$2:$BM$1001,MATCH(ROWS($AF$2:AF597),$AF$2:$AF$1001,0),MATCH(COLUMNS($AM$1006:AO1006),$AM$1006:$BM$1006,0)), HYPERLINK("#",""), HYPERLINK(CONCATENATE("#metadata!", ADDRESS(INDEX($AH$2:$AH$1001,MATCH(ROWS($AF$2:AF597),$AF$2:$AF$1001,0),0), INDEX($AM$1004:$BM$1004,1,MATCH(COLUMNS($AM$1006:AO1006),$AM$1006:$BM$1006,0)))),"Fix")))</f>
        <v xml:space="preserve"> </v>
      </c>
      <c r="E597" s="4" t="str">
        <f ca="1">IF(OR(INDEX($AG$2:$AG$1001,MATCH(ROWS($AF$2:AF597),$AF$2:$AF$1001,0),1)&gt;=100000,INDEX($AM$1005:$BM$1005,1,MATCH(COLUMNS($AM$1006:AP1006),$AM$1006:$BM$1006,0))&gt;=100000), " ",IF(INDEX($AM$2:$BM$1001,MATCH(ROWS($AF$2:AF597),$AF$2:$AF$1001,0),MATCH(COLUMNS($AM$1006:AP1006),$AM$1006:$BM$1006,0)), HYPERLINK("#",""), HYPERLINK(CONCATENATE("#metadata!", ADDRESS(INDEX($AH$2:$AH$1001,MATCH(ROWS($AF$2:AF597),$AF$2:$AF$1001,0),0), INDEX($AM$1004:$BM$1004,1,MATCH(COLUMNS($AM$1006:AP1006),$AM$1006:$BM$1006,0)))),"Fix")))</f>
        <v xml:space="preserve"> </v>
      </c>
      <c r="F597" s="4" t="str">
        <f ca="1">IF(OR(INDEX($AG$2:$AG$1001,MATCH(ROWS($AF$2:AF597),$AF$2:$AF$1001,0),1)&gt;=100000,INDEX($AM$1005:$BM$1005,1,MATCH(COLUMNS($AM$1006:AQ1006),$AM$1006:$BM$1006,0))&gt;=100000), " ",IF(INDEX($AM$2:$BM$1001,MATCH(ROWS($AF$2:AF597),$AF$2:$AF$1001,0),MATCH(COLUMNS($AM$1006:AQ1006),$AM$1006:$BM$1006,0)), HYPERLINK("#",""), HYPERLINK(CONCATENATE("#metadata!", ADDRESS(INDEX($AH$2:$AH$1001,MATCH(ROWS($AF$2:AF597),$AF$2:$AF$1001,0),0), INDEX($AM$1004:$BM$1004,1,MATCH(COLUMNS($AM$1006:AQ1006),$AM$1006:$BM$1006,0)))),"Fix")))</f>
        <v xml:space="preserve"> </v>
      </c>
      <c r="G597" s="4" t="str">
        <f ca="1">IF(OR(INDEX($AG$2:$AG$1001,MATCH(ROWS($AF$2:AF597),$AF$2:$AF$1001,0),1)&gt;=100000,INDEX($AM$1005:$BM$1005,1,MATCH(COLUMNS($AM$1006:AR1006),$AM$1006:$BM$1006,0))&gt;=100000), " ",IF(INDEX($AM$2:$BM$1001,MATCH(ROWS($AF$2:AF597),$AF$2:$AF$1001,0),MATCH(COLUMNS($AM$1006:AR1006),$AM$1006:$BM$1006,0)), HYPERLINK("#",""), HYPERLINK(CONCATENATE("#metadata!", ADDRESS(INDEX($AH$2:$AH$1001,MATCH(ROWS($AF$2:AF597),$AF$2:$AF$1001,0),0), INDEX($AM$1004:$BM$1004,1,MATCH(COLUMNS($AM$1006:AR1006),$AM$1006:$BM$1006,0)))),"Fix")))</f>
        <v xml:space="preserve"> </v>
      </c>
      <c r="H597" s="4" t="str">
        <f ca="1">IF(OR(INDEX($AG$2:$AG$1001,MATCH(ROWS($AF$2:AF597),$AF$2:$AF$1001,0),1)&gt;=100000,INDEX($AM$1005:$BM$1005,1,MATCH(COLUMNS($AM$1006:AS1006),$AM$1006:$BM$1006,0))&gt;=100000), " ",IF(INDEX($AM$2:$BM$1001,MATCH(ROWS($AF$2:AF597),$AF$2:$AF$1001,0),MATCH(COLUMNS($AM$1006:AS1006),$AM$1006:$BM$1006,0)), HYPERLINK("#",""), HYPERLINK(CONCATENATE("#metadata!", ADDRESS(INDEX($AH$2:$AH$1001,MATCH(ROWS($AF$2:AF597),$AF$2:$AF$1001,0),0), INDEX($AM$1004:$BM$1004,1,MATCH(COLUMNS($AM$1006:AS1006),$AM$1006:$BM$1006,0)))),"Fix")))</f>
        <v xml:space="preserve"> </v>
      </c>
      <c r="I597" s="4" t="str">
        <f ca="1">IF(OR(INDEX($AG$2:$AG$1001,MATCH(ROWS($AF$2:AF597),$AF$2:$AF$1001,0),1)&gt;=100000,INDEX($AM$1005:$BM$1005,1,MATCH(COLUMNS($AM$1006:AT1006),$AM$1006:$BM$1006,0))&gt;=100000), " ",IF(INDEX($AM$2:$BM$1001,MATCH(ROWS($AF$2:AF597),$AF$2:$AF$1001,0),MATCH(COLUMNS($AM$1006:AT1006),$AM$1006:$BM$1006,0)), HYPERLINK("#",""), HYPERLINK(CONCATENATE("#metadata!", ADDRESS(INDEX($AH$2:$AH$1001,MATCH(ROWS($AF$2:AF597),$AF$2:$AF$1001,0),0), INDEX($AM$1004:$BM$1004,1,MATCH(COLUMNS($AM$1006:AT1006),$AM$1006:$BM$1006,0)))),"Fix")))</f>
        <v xml:space="preserve"> </v>
      </c>
      <c r="J597" s="4" t="str">
        <f ca="1">IF(OR(INDEX($AG$2:$AG$1001,MATCH(ROWS($AF$2:AF597),$AF$2:$AF$1001,0),1)&gt;=100000,INDEX($AM$1005:$BM$1005,1,MATCH(COLUMNS($AM$1006:AU1006),$AM$1006:$BM$1006,0))&gt;=100000), " ",IF(INDEX($AM$2:$BM$1001,MATCH(ROWS($AF$2:AF597),$AF$2:$AF$1001,0),MATCH(COLUMNS($AM$1006:AU1006),$AM$1006:$BM$1006,0)), HYPERLINK("#",""), HYPERLINK(CONCATENATE("#metadata!", ADDRESS(INDEX($AH$2:$AH$1001,MATCH(ROWS($AF$2:AF597),$AF$2:$AF$1001,0),0), INDEX($AM$1004:$BM$1004,1,MATCH(COLUMNS($AM$1006:AU1006),$AM$1006:$BM$1006,0)))),"Fix")))</f>
        <v xml:space="preserve"> </v>
      </c>
      <c r="K597" s="4" t="str">
        <f ca="1">IF(OR(INDEX($AG$2:$AG$1001,MATCH(ROWS($AF$2:AF597),$AF$2:$AF$1001,0),1)&gt;=100000,INDEX($AM$1005:$BM$1005,1,MATCH(COLUMNS($AM$1006:AV1006),$AM$1006:$BM$1006,0))&gt;=100000), " ",IF(INDEX($AM$2:$BM$1001,MATCH(ROWS($AF$2:AF597),$AF$2:$AF$1001,0),MATCH(COLUMNS($AM$1006:AV1006),$AM$1006:$BM$1006,0)), HYPERLINK("#",""), HYPERLINK(CONCATENATE("#metadata!", ADDRESS(INDEX($AH$2:$AH$1001,MATCH(ROWS($AF$2:AF597),$AF$2:$AF$1001,0),0), INDEX($AM$1004:$BM$1004,1,MATCH(COLUMNS($AM$1006:AV1006),$AM$1006:$BM$1006,0)))),"Fix")))</f>
        <v xml:space="preserve"> </v>
      </c>
      <c r="L597" s="4" t="str">
        <f ca="1">IF(OR(INDEX($AG$2:$AG$1001,MATCH(ROWS($AF$2:AF597),$AF$2:$AF$1001,0),1)&gt;=100000,INDEX($AM$1005:$BM$1005,1,MATCH(COLUMNS($AM$1006:AW1006),$AM$1006:$BM$1006,0))&gt;=100000), " ",IF(INDEX($AM$2:$BM$1001,MATCH(ROWS($AF$2:AF597),$AF$2:$AF$1001,0),MATCH(COLUMNS($AM$1006:AW1006),$AM$1006:$BM$1006,0)), HYPERLINK("#",""), HYPERLINK(CONCATENATE("#metadata!", ADDRESS(INDEX($AH$2:$AH$1001,MATCH(ROWS($AF$2:AF597),$AF$2:$AF$1001,0),0), INDEX($AM$1004:$BM$1004,1,MATCH(COLUMNS($AM$1006:AW1006),$AM$1006:$BM$1006,0)))),"Fix")))</f>
        <v xml:space="preserve"> </v>
      </c>
      <c r="M597" s="4" t="str">
        <f ca="1">IF(OR(INDEX($AG$2:$AG$1001,MATCH(ROWS($AF$2:AF597),$AF$2:$AF$1001,0),1)&gt;=100000,INDEX($AM$1005:$BM$1005,1,MATCH(COLUMNS($AM$1006:AX1006),$AM$1006:$BM$1006,0))&gt;=100000), " ",IF(INDEX($AM$2:$BM$1001,MATCH(ROWS($AF$2:AF597),$AF$2:$AF$1001,0),MATCH(COLUMNS($AM$1006:AX1006),$AM$1006:$BM$1006,0)), HYPERLINK("#",""), HYPERLINK(CONCATENATE("#metadata!", ADDRESS(INDEX($AH$2:$AH$1001,MATCH(ROWS($AF$2:AF597),$AF$2:$AF$1001,0),0), INDEX($AM$1004:$BM$1004,1,MATCH(COLUMNS($AM$1006:AX1006),$AM$1006:$BM$1006,0)))),"Fix")))</f>
        <v xml:space="preserve"> </v>
      </c>
      <c r="N597" s="4" t="str">
        <f ca="1">IF(OR(INDEX($AG$2:$AG$1001,MATCH(ROWS($AF$2:AF597),$AF$2:$AF$1001,0),1)&gt;=100000,INDEX($AM$1005:$BM$1005,1,MATCH(COLUMNS($AM$1006:AY1006),$AM$1006:$BM$1006,0))&gt;=100000), " ",IF(INDEX($AM$2:$BM$1001,MATCH(ROWS($AF$2:AF597),$AF$2:$AF$1001,0),MATCH(COLUMNS($AM$1006:AY1006),$AM$1006:$BM$1006,0)), HYPERLINK("#",""), HYPERLINK(CONCATENATE("#metadata!", ADDRESS(INDEX($AH$2:$AH$1001,MATCH(ROWS($AF$2:AF597),$AF$2:$AF$1001,0),0), INDEX($AM$1004:$BM$1004,1,MATCH(COLUMNS($AM$1006:AY1006),$AM$1006:$BM$1006,0)))),"Fix")))</f>
        <v xml:space="preserve"> </v>
      </c>
      <c r="O597" s="4" t="str">
        <f ca="1">IF(OR(INDEX($AG$2:$AG$1001,MATCH(ROWS($AF$2:AF597),$AF$2:$AF$1001,0),1)&gt;=100000,INDEX($AM$1005:$BM$1005,1,MATCH(COLUMNS($AM$1006:AZ1006),$AM$1006:$BM$1006,0))&gt;=100000), " ",IF(INDEX($AM$2:$BM$1001,MATCH(ROWS($AF$2:AF597),$AF$2:$AF$1001,0),MATCH(COLUMNS($AM$1006:AZ1006),$AM$1006:$BM$1006,0)), HYPERLINK("#",""), HYPERLINK(CONCATENATE("#metadata!", ADDRESS(INDEX($AH$2:$AH$1001,MATCH(ROWS($AF$2:AF597),$AF$2:$AF$1001,0),0), INDEX($AM$1004:$BM$1004,1,MATCH(COLUMNS($AM$1006:AZ1006),$AM$1006:$BM$1006,0)))),"Fix")))</f>
        <v xml:space="preserve"> </v>
      </c>
      <c r="P597" s="4" t="str">
        <f ca="1">IF(OR(INDEX($AG$2:$AG$1001,MATCH(ROWS($AF$2:AF597),$AF$2:$AF$1001,0),1)&gt;=100000,INDEX($AM$1005:$BM$1005,1,MATCH(COLUMNS($AM$1006:BA1006),$AM$1006:$BM$1006,0))&gt;=100000), " ",IF(INDEX($AM$2:$BM$1001,MATCH(ROWS($AF$2:AF597),$AF$2:$AF$1001,0),MATCH(COLUMNS($AM$1006:BA1006),$AM$1006:$BM$1006,0)), HYPERLINK("#",""), HYPERLINK(CONCATENATE("#metadata!", ADDRESS(INDEX($AH$2:$AH$1001,MATCH(ROWS($AF$2:AF597),$AF$2:$AF$1001,0),0), INDEX($AM$1004:$BM$1004,1,MATCH(COLUMNS($AM$1006:BA1006),$AM$1006:$BM$1006,0)))),"Fix")))</f>
        <v xml:space="preserve"> </v>
      </c>
      <c r="Q597" s="4" t="str">
        <f ca="1">IF(OR(INDEX($AG$2:$AG$1001,MATCH(ROWS($AF$2:AF597),$AF$2:$AF$1001,0),1)&gt;=100000,INDEX($AM$1005:$BM$1005,1,MATCH(COLUMNS($AM$1006:BB1006),$AM$1006:$BM$1006,0))&gt;=100000), " ",IF(INDEX($AM$2:$BM$1001,MATCH(ROWS($AF$2:AF597),$AF$2:$AF$1001,0),MATCH(COLUMNS($AM$1006:BB1006),$AM$1006:$BM$1006,0)), HYPERLINK("#",""), HYPERLINK(CONCATENATE("#metadata!", ADDRESS(INDEX($AH$2:$AH$1001,MATCH(ROWS($AF$2:AF597),$AF$2:$AF$1001,0),0), INDEX($AM$1004:$BM$1004,1,MATCH(COLUMNS($AM$1006:BB1006),$AM$1006:$BM$1006,0)))),"Fix")))</f>
        <v xml:space="preserve"> </v>
      </c>
      <c r="R597" s="4" t="str">
        <f ca="1">IF(OR(INDEX($AG$2:$AG$1001,MATCH(ROWS($AF$2:AF597),$AF$2:$AF$1001,0),1)&gt;=100000,INDEX($AM$1005:$BM$1005,1,MATCH(COLUMNS($AM$1006:BC1006),$AM$1006:$BM$1006,0))&gt;=100000), " ",IF(INDEX($AM$2:$BM$1001,MATCH(ROWS($AF$2:AF597),$AF$2:$AF$1001,0),MATCH(COLUMNS($AM$1006:BC1006),$AM$1006:$BM$1006,0)), HYPERLINK("#",""), HYPERLINK(CONCATENATE("#metadata!", ADDRESS(INDEX($AH$2:$AH$1001,MATCH(ROWS($AF$2:AF597),$AF$2:$AF$1001,0),0), INDEX($AM$1004:$BM$1004,1,MATCH(COLUMNS($AM$1006:BC1006),$AM$1006:$BM$1006,0)))),"Fix")))</f>
        <v xml:space="preserve"> </v>
      </c>
      <c r="S597" s="4" t="str">
        <f ca="1">IF(OR(INDEX($AG$2:$AG$1001,MATCH(ROWS($AF$2:AF597),$AF$2:$AF$1001,0),1)&gt;=100000,INDEX($AM$1005:$BM$1005,1,MATCH(COLUMNS($AM$1006:BD1006),$AM$1006:$BM$1006,0))&gt;=100000), " ",IF(INDEX($AM$2:$BM$1001,MATCH(ROWS($AF$2:AF597),$AF$2:$AF$1001,0),MATCH(COLUMNS($AM$1006:BD1006),$AM$1006:$BM$1006,0)), HYPERLINK("#",""), HYPERLINK(CONCATENATE("#metadata!", ADDRESS(INDEX($AH$2:$AH$1001,MATCH(ROWS($AF$2:AF597),$AF$2:$AF$1001,0),0), INDEX($AM$1004:$BM$1004,1,MATCH(COLUMNS($AM$1006:BD1006),$AM$1006:$BM$1006,0)))),"Fix")))</f>
        <v xml:space="preserve"> </v>
      </c>
      <c r="T597" s="4" t="str">
        <f ca="1">IF(OR(INDEX($AG$2:$AG$1001,MATCH(ROWS($AF$2:AF597),$AF$2:$AF$1001,0),1)&gt;=100000,INDEX($AM$1005:$BM$1005,1,MATCH(COLUMNS($AM$1006:BE1006),$AM$1006:$BM$1006,0))&gt;=100000), " ",IF(INDEX($AM$2:$BM$1001,MATCH(ROWS($AF$2:AF597),$AF$2:$AF$1001,0),MATCH(COLUMNS($AM$1006:BE1006),$AM$1006:$BM$1006,0)), HYPERLINK("#",""), HYPERLINK(CONCATENATE("#metadata!", ADDRESS(INDEX($AH$2:$AH$1001,MATCH(ROWS($AF$2:AF597),$AF$2:$AF$1001,0),0), INDEX($AM$1004:$BM$1004,1,MATCH(COLUMNS($AM$1006:BE1006),$AM$1006:$BM$1006,0)))),"Fix")))</f>
        <v xml:space="preserve"> </v>
      </c>
      <c r="U597" s="4" t="str">
        <f ca="1">IF(OR(INDEX($AG$2:$AG$1001,MATCH(ROWS($AF$2:AF597),$AF$2:$AF$1001,0),1)&gt;=100000,INDEX($AM$1005:$BM$1005,1,MATCH(COLUMNS($AM$1006:BF1006),$AM$1006:$BM$1006,0))&gt;=100000), " ",IF(INDEX($AM$2:$BM$1001,MATCH(ROWS($AF$2:AF597),$AF$2:$AF$1001,0),MATCH(COLUMNS($AM$1006:BF1006),$AM$1006:$BM$1006,0)), HYPERLINK("#",""), HYPERLINK(CONCATENATE("#metadata!", ADDRESS(INDEX($AH$2:$AH$1001,MATCH(ROWS($AF$2:AF597),$AF$2:$AF$1001,0),0), INDEX($AM$1004:$BM$1004,1,MATCH(COLUMNS($AM$1006:BF1006),$AM$1006:$BM$1006,0)))),"Fix")))</f>
        <v xml:space="preserve"> </v>
      </c>
      <c r="V597" s="4" t="str">
        <f ca="1">IF(OR(INDEX($AG$2:$AG$1001,MATCH(ROWS($AF$2:AF597),$AF$2:$AF$1001,0),1)&gt;=100000,INDEX($AM$1005:$BM$1005,1,MATCH(COLUMNS($AM$1006:BG1006),$AM$1006:$BM$1006,0))&gt;=100000), " ",IF(INDEX($AM$2:$BM$1001,MATCH(ROWS($AF$2:AF597),$AF$2:$AF$1001,0),MATCH(COLUMNS($AM$1006:BG1006),$AM$1006:$BM$1006,0)), HYPERLINK("#",""), HYPERLINK(CONCATENATE("#metadata!", ADDRESS(INDEX($AH$2:$AH$1001,MATCH(ROWS($AF$2:AF597),$AF$2:$AF$1001,0),0), INDEX($AM$1004:$BM$1004,1,MATCH(COLUMNS($AM$1006:BG1006),$AM$1006:$BM$1006,0)))),"Fix")))</f>
        <v xml:space="preserve"> </v>
      </c>
      <c r="W597" s="4" t="str">
        <f ca="1">IF(OR(INDEX($AG$2:$AG$1001,MATCH(ROWS($AF$2:AF597),$AF$2:$AF$1001,0),1)&gt;=100000,INDEX($AM$1005:$BM$1005,1,MATCH(COLUMNS($AM$1006:BH1006),$AM$1006:$BM$1006,0))&gt;=100000), " ",IF(INDEX($AM$2:$BM$1001,MATCH(ROWS($AF$2:AF597),$AF$2:$AF$1001,0),MATCH(COLUMNS($AM$1006:BH1006),$AM$1006:$BM$1006,0)), HYPERLINK("#",""), HYPERLINK(CONCATENATE("#metadata!", ADDRESS(INDEX($AH$2:$AH$1001,MATCH(ROWS($AF$2:AF597),$AF$2:$AF$1001,0),0), INDEX($AM$1004:$BM$1004,1,MATCH(COLUMNS($AM$1006:BH1006),$AM$1006:$BM$1006,0)))),"Fix")))</f>
        <v xml:space="preserve"> </v>
      </c>
      <c r="X597" s="4" t="str">
        <f ca="1">IF(OR(INDEX($AG$2:$AG$1001,MATCH(ROWS($AF$2:AF597),$AF$2:$AF$1001,0),1)&gt;=100000,INDEX($AM$1005:$BM$1005,1,MATCH(COLUMNS($AM$1006:BI1006),$AM$1006:$BM$1006,0))&gt;=100000), " ",IF(INDEX($AM$2:$BM$1001,MATCH(ROWS($AF$2:AF597),$AF$2:$AF$1001,0),MATCH(COLUMNS($AM$1006:BI1006),$AM$1006:$BM$1006,0)), HYPERLINK("#",""), HYPERLINK(CONCATENATE("#metadata!", ADDRESS(INDEX($AH$2:$AH$1001,MATCH(ROWS($AF$2:AF597),$AF$2:$AF$1001,0),0), INDEX($AM$1004:$BM$1004,1,MATCH(COLUMNS($AM$1006:BI1006),$AM$1006:$BM$1006,0)))),"Fix")))</f>
        <v xml:space="preserve"> </v>
      </c>
      <c r="Y597" s="4" t="str">
        <f ca="1">IF(OR(INDEX($AG$2:$AG$1001,MATCH(ROWS($AF$2:AF597),$AF$2:$AF$1001,0),1)&gt;=100000,INDEX($AM$1005:$BM$1005,1,MATCH(COLUMNS($AM$1006:BJ1006),$AM$1006:$BM$1006,0))&gt;=100000), " ",IF(INDEX($AM$2:$BM$1001,MATCH(ROWS($AF$2:AF597),$AF$2:$AF$1001,0),MATCH(COLUMNS($AM$1006:BJ1006),$AM$1006:$BM$1006,0)), HYPERLINK("#",""), HYPERLINK(CONCATENATE("#metadata!", ADDRESS(INDEX($AH$2:$AH$1001,MATCH(ROWS($AF$2:AF597),$AF$2:$AF$1001,0),0), INDEX($AM$1004:$BM$1004,1,MATCH(COLUMNS($AM$1006:BJ1006),$AM$1006:$BM$1006,0)))),"Fix")))</f>
        <v xml:space="preserve"> </v>
      </c>
      <c r="Z597" s="4" t="str">
        <f ca="1">IF(OR(INDEX($AG$2:$AG$1001,MATCH(ROWS($AF$2:AF597),$AF$2:$AF$1001,0),1)&gt;=100000,INDEX($AM$1005:$BM$1005,1,MATCH(COLUMNS($AM$1006:BK1006),$AM$1006:$BM$1006,0))&gt;=100000), " ",IF(INDEX($AM$2:$BM$1001,MATCH(ROWS($AF$2:AF597),$AF$2:$AF$1001,0),MATCH(COLUMNS($AM$1006:BK1006),$AM$1006:$BM$1006,0)), HYPERLINK("#",""), HYPERLINK(CONCATENATE("#metadata!", ADDRESS(INDEX($AH$2:$AH$1001,MATCH(ROWS($AF$2:AF597),$AF$2:$AF$1001,0),0), INDEX($AM$1004:$BM$1004,1,MATCH(COLUMNS($AM$1006:BK1006),$AM$1006:$BM$1006,0)))),"Fix")))</f>
        <v xml:space="preserve"> </v>
      </c>
      <c r="AA597" s="4" t="str">
        <f ca="1">IF(OR(INDEX($AG$2:$AG$1001,MATCH(ROWS($AF$2:AF597),$AF$2:$AF$1001,0),1)&gt;=100000,INDEX($AM$1005:$BM$1005,1,MATCH(COLUMNS($AM$1006:BL1006),$AM$1006:$BM$1006,0))&gt;=100000), " ",IF(INDEX($AM$2:$BM$1001,MATCH(ROWS($AF$2:AF597),$AF$2:$AF$1001,0),MATCH(COLUMNS($AM$1006:BL1006),$AM$1006:$BM$1006,0)), HYPERLINK("#",""), HYPERLINK(CONCATENATE("#metadata!", ADDRESS(INDEX($AH$2:$AH$1001,MATCH(ROWS($AF$2:AF597),$AF$2:$AF$1001,0),0), INDEX($AM$1004:$BM$1004,1,MATCH(COLUMNS($AM$1006:BL1006),$AM$1006:$BM$1006,0)))),"Fix")))</f>
        <v xml:space="preserve"> </v>
      </c>
      <c r="AB597" s="4" t="str">
        <f ca="1">IF(OR(INDEX($AG$2:$AG$1001,MATCH(ROWS($AF$2:AF597),$AF$2:$AF$1001,0),1)&gt;=100000,INDEX($AM$1005:$BM$1005,1,MATCH(COLUMNS($AM$1006:BM1006),$AM$1006:$BM$1006,0))&gt;=100000), " ",IF(INDEX($AM$2:$BM$1001,MATCH(ROWS($AF$2:AF597),$AF$2:$AF$1001,0),MATCH(COLUMNS($AM$1006:BM1006),$AM$1006:$BM$1006,0)), HYPERLINK("#",""), HYPERLINK(CONCATENATE("#metadata!", ADDRESS(INDEX($AH$2:$AH$1001,MATCH(ROWS($AF$2:AF597),$AF$2:$AF$1001,0),0), INDEX($AM$1004:$BM$1004,1,MATCH(COLUMNS($AM$1006:BM1006),$AM$1006:$BM$1006,0)))),"Fix")))</f>
        <v xml:space="preserve"> </v>
      </c>
      <c r="AF597">
        <v>596</v>
      </c>
      <c r="AG597">
        <v>100597</v>
      </c>
      <c r="AH597">
        <v>597</v>
      </c>
      <c r="AI597" t="b">
        <f t="shared" si="9"/>
        <v>1</v>
      </c>
      <c r="AJ597" t="b">
        <f>COUNTBLANK(metadata!B597:AB597)=COLUMNS(metadata!B597:AB597)</f>
        <v>1</v>
      </c>
      <c r="AK597" t="str">
        <v/>
      </c>
      <c r="AM597" t="b">
        <f ca="1">AND(IF(metadata!B597="",FALSE,TRUE),COUNTIF(metadata!B:B, metadata!B597) = 1,NOT(ISERROR(SUMPRODUCT(SEARCH(MID(metadata!B597,ROW(INDIRECT("1:"&amp;LEN(metadata!B597))), 1),"0123456789abcdefghijklmnopqrstuvwxyzABCDEFGHIJKLMNOPQRSTUVWXYZ.")))))</f>
        <v>0</v>
      </c>
      <c r="AN597" t="b">
        <f ca="1">OR(AND(IF(metadata!C597="",FALSE,TRUE),OR(EXACT(metadata!C597,"missing: not collected"),EXACT(metadata!C597,"missing: not provided"),EXACT(metadata!C597,"missing: restricted access"))),AND(IF(metadata!C597="",FALSE,TRUE),AND(AND(IFERROR(INT(LEFT(metadata!C597,4))&gt;1900,FALSE),IFERROR(INT(LEFT(metadata!C597,4))&lt;=YEAR(NOW()),FALSE)), OR(MID(metadata!C597,5,1)="", AND(AND(MID(metadata!C597,5,1)="-",IFERROR(INT(MID(metadata!C597,6,1))&gt;=0,FALSE),IFERROR(INT(MID(metadata!C597,6,1))&lt;=1,FALSE),NOT(MID(metadata!C597,7,1)=""),IFERROR(INT(MID(metadata!C597,6,2))&gt;=1,FALSE),IFERROR(INT(MID(metadata!C597,6,2))&lt;=12,FALSE)), OR(MID(metadata!C597,8,1)="", AND(AND(MID(metadata!C597,8,1)="-",IFERROR(INT(MID(metadata!C597,9,1))&gt;=0,FALSE),IFERROR(INT(MID(metadata!C597,9,1))&lt;=3,FALSE),NOT(MID(metadata!C597,10,1)=""),IFERROR(INT(MID(metadata!C597,9,2))&gt;=1,FALSE),IFERROR(INT(MID(metadata!C597,9,2))&lt;=31,FALSE)), OR(MID(metadata!C597,11,1)="", AND(AND(MID(metadata!C597,11,1)=" ",IFERROR(INT(MID(metadata!C597,12,1))&gt;=0,FALSE),IFERROR(INT(MID(metadata!C597,12,1))&lt;=2,FALSE),NOT(MID(metadata!C597,13,1)=""),IFERROR(INT(MID(metadata!C597,12,2))&gt;=0,FALSE),IFERROR(INT(MID(metadata!C597,12,2))&lt;=23,FALSE)), OR(MID(metadata!C597,14,1)="", AND(AND(MID(metadata!C597,14,1)=":",IFERROR(INT(MID(metadata!C597,15,1))&gt;=0,FALSE),IFERROR(INT(MID(metadata!C597,15,1))&lt;=5,FALSE),NOT(MID(metadata!C597,16,1)=""),IFERROR(INT(MID(metadata!C597,15,2))&gt;=0,FALSE),IFERROR(INT(MID(metadata!C597,15,2))&lt;=59,FALSE)), OR(MID(metadata!C597,17,1)="", AND(AND(MID(metadata!C597,17,1)=":",IFERROR(INT(MID(metadata!C597,18,1))&gt;=0,FALSE),IFERROR(INT(MID(metadata!C597,18,1))&lt;=5,FALSE),NOT(MID(metadata!C597,19,1)=""),IFERROR(INT(MID(metadata!C597,18,2))&gt;=0,FALSE),IFERROR(INT(MID(metadata!C597,18,2))&lt;=59,FALSE)), LEN(metadata!C597)&lt;=19)))))))))))))</f>
        <v>0</v>
      </c>
      <c r="AO597" t="b">
        <f>AND(IF(metadata!D597="",FALSE,TRUE),EXACT(metadata!D597,"Not applicable"))</f>
        <v>0</v>
      </c>
      <c r="AP597" t="b">
        <f>IF(metadata!E597="",FALSE,TRUE)</f>
        <v>0</v>
      </c>
      <c r="AQ597" t="b">
        <f>OR(AND(IF(metadata!F597="",FALSE,TRUE),OR(EXACT(metadata!F597,"missing: not collected"),EXACT(metadata!F597,"missing: not provided"))),AND(IF(metadata!F597="",FALSE,TRUE),OR(EXACT(metadata!F597,"TRUE"),EXACT(metadata!F597,"FALSE"))))</f>
        <v>0</v>
      </c>
      <c r="AR597" t="b">
        <f>OR(AND(IF(metadata!G597="",FALSE,TRUE),OR(EXACT(metadata!G597,"missing: not collected"),EXACT(metadata!G597,"missing: not provided"),EXACT(metadata!G597,"missing: restricted access"))),AND(IF(metadata!G597="",FALSE,ISNUMBER(VALUE(metadata!G597))),metadata!G597&gt;=-413))</f>
        <v>0</v>
      </c>
      <c r="AS597" t="b">
        <f>AND(IF(metadata!H597="",FALSE,TRUE),EXACT(metadata!H597,"meters"))</f>
        <v>0</v>
      </c>
      <c r="AT597" t="b">
        <f>AND(IF(metadata!I597="",FALSE,TRUE),OR(EXACT(metadata!I597,"Host-associated"),EXACT(metadata!I597,"Free-living")))</f>
        <v>0</v>
      </c>
      <c r="AU597" t="b">
        <f>AND(IF(metadata!J597="",FALSE,TRUE),OR(EXACT(metadata!J597,"Animal"),EXACT(metadata!J597,"Fungus"),EXACT(metadata!J597,"Plant"),EXACT(metadata!J597,"Saline"),EXACT(metadata!J597,"Non-saline")))</f>
        <v>0</v>
      </c>
      <c r="AV597" t="b">
        <f>AND(IF(metadata!K597="",FALSE,TRUE),OR(EXACT(metadata!K597,"Plant secretion"),EXACT(metadata!K597,"Plant rhizosphere"),EXACT(metadata!K597,"Plant surface"),EXACT(metadata!K597,"Plant corpus"),EXACT(metadata!K597,"Fungus surface"),EXACT(metadata!K597,"Fungus corpus"),EXACT(metadata!K597,"Animal surface"),EXACT(metadata!K597,"Animal proximal gut"),EXACT(metadata!K597,"Animal corpus"),EXACT(metadata!K597,"Animal distal gut"),EXACT(metadata!K597,"Animal secretion"),EXACT(metadata!K597,"Sub-surface (non-saline)"),EXACT(metadata!K597,"Surface (non-saline)"),EXACT(metadata!K597,"Water (non-saline)"),EXACT(metadata!K597,"Soil (non-saline)"),EXACT(metadata!K597,"Aerosol (non-saline)"),EXACT(metadata!K597,"Sediment (non-saline)"),EXACT(metadata!K597,"Surface (saline)"),EXACT(metadata!K597,"Water (saline)"),EXACT(metadata!K597,"Hypersaline (saline)"),EXACT(metadata!K597,"Aerosol (saline)"),EXACT(metadata!K597,"Sediment (saline)")))</f>
        <v>0</v>
      </c>
      <c r="AW597" t="b">
        <f>IF(metadata!L597="",FALSE,TRUE)</f>
        <v>0</v>
      </c>
      <c r="AX597" t="b">
        <f>IF(metadata!M597="",FALSE,TRUE)</f>
        <v>0</v>
      </c>
      <c r="AY597" t="b">
        <f>IF(metadata!N597="",FALSE,TRUE)</f>
        <v>0</v>
      </c>
      <c r="AZ597" t="b">
        <f>OR(AND(IF(metadata!O597="",FALSE,TRUE),OR(EXACT(metadata!O597,"missing: not collected"),EXACT(metadata!O597,"missing: not provided"),EXACT(metadata!O597,"missing: restricted access"))),AND(IF(metadata!O597="",FALSE,TRUE),OR(EXACT(metadata!O597,"air"),EXACT(metadata!O597,"built environment"),EXACT(metadata!O597,"host-associated"),EXACT(metadata!O597,"human-associated"),EXACT(metadata!O597,"human-skin"),EXACT(metadata!O597,"human-oral"),EXACT(metadata!O597,"human-gut"),EXACT(metadata!O597,"human-vaginal"),EXACT(metadata!O597,"microbial mat/biofilm"),EXACT(metadata!O597,"misc environment"),EXACT(metadata!O597,"plant-associated"),EXACT(metadata!O597,"sediment"),EXACT(metadata!O597,"soil"),EXACT(metadata!O597,"wastewater/sludge"),EXACT(metadata!O597,"water"))))</f>
        <v>0</v>
      </c>
      <c r="BA597" t="b">
        <f>IF(metadata!P597="",FALSE,TRUE)</f>
        <v>0</v>
      </c>
      <c r="BB597" t="b">
        <f>IF(metadata!Q597="",FALSE,TRUE)</f>
        <v>0</v>
      </c>
      <c r="BC597" t="b">
        <f>OR(AND(IF(metadata!R597="",FALSE,TRUE),OR(EXACT(metadata!R597,"missing: not collected"),EXACT(metadata!R597,"missing: not provided"),EXACT(metadata!R597,"missing: restricted access"))),AND(IF(metadata!R597="",FALSE,ISNUMBER(VALUE(metadata!R597))),metadata!R597&gt;=-90,metadata!R597&lt;=90))</f>
        <v>0</v>
      </c>
      <c r="BD597" t="b">
        <f>AND(IF(metadata!S597="",FALSE,TRUE),EXACT(metadata!S597,"Decimal degrees"))</f>
        <v>0</v>
      </c>
      <c r="BE597" t="b">
        <f>OR(AND(IF(metadata!T597="",FALSE,TRUE),OR(EXACT(metadata!T597,"missing: not collected"),EXACT(metadata!T597,"missing: not provided"),EXACT(metadata!T597,"missing: restricted access"))),AND(IF(metadata!T597="",FALSE,ISNUMBER(VALUE(metadata!T597))),metadata!T597&gt;=-180,metadata!T597&lt;=180))</f>
        <v>0</v>
      </c>
      <c r="BF597" t="b">
        <f>AND(IF(metadata!U597="",FALSE,TRUE),EXACT(metadata!U597,"Decimal degrees"))</f>
        <v>0</v>
      </c>
      <c r="BG597" t="b">
        <f>IF(metadata!V597="",FALSE,TRUE)</f>
        <v>0</v>
      </c>
      <c r="BH597" t="b">
        <f>OR(AND(IF(metadata!W597="",FALSE,TRUE),OR(EXACT(metadata!W597,"missing: not collected"),EXACT(metadata!W597,"missing: not provided"),EXACT(metadata!W597,"missing: restricted access"))),AND(IF(metadata!W597="",FALSE,TRUE),OR(EXACT(metadata!W597,"TRUE"),EXACT(metadata!W597,"FALSE"))))</f>
        <v>0</v>
      </c>
      <c r="BI597" t="b">
        <f>AND(IF(metadata!X597="",FALSE,TRUE),EXACT(metadata!X597,"other"))</f>
        <v>0</v>
      </c>
      <c r="BJ597" t="b">
        <f>IF(metadata!Y597="",FALSE,TRUE)</f>
        <v>0</v>
      </c>
      <c r="BK597" t="b">
        <f>OR(AND(IF(metadata!Z597="",FALSE,TRUE),OR(EXACT(metadata!Z597,"missing: not collected"),EXACT(metadata!Z597,"missing: not provided"))),AND(IF(metadata!Z597="",FALSE,IF(ISERROR(INT(metadata!Z597)),FALSE,INT(metadata!Z597)=metadata!Z597)),metadata!Z597&gt;0))</f>
        <v>0</v>
      </c>
      <c r="BL597" t="b">
        <f>AND(IF(metadata!AA597="",FALSE,TRUE),EXACT(metadata!AA597,"Not applicable"))</f>
        <v>0</v>
      </c>
      <c r="BM597" t="b">
        <f>IF(metadata!AB597="",FALSE,TRUE)</f>
        <v>0</v>
      </c>
    </row>
    <row r="598" spans="1:65" x14ac:dyDescent="0.2">
      <c r="A598" s="5" t="str">
        <f ca="1">IF(B598=" "," ",HYPERLINK(CONCATENATE("#metadata!",ADDRESS(INDEX($AH$2:$AH$1001,MATCH(ROWS($AF$2:AF598),$AF$2:$AF$1001,0),0),1)),INDEX($AK$2:$AK$1001,MATCH(ROWS($AF$2:AF598),$AF$2:$AF$1001,0),0)))</f>
        <v xml:space="preserve"> </v>
      </c>
      <c r="B598" s="4" t="str">
        <f ca="1">IF(OR(INDEX($AG$2:$AG$1001,MATCH(ROWS($AF$2:AF598),$AF$2:$AF$1001,0),1)&gt;=100000,INDEX($AM$1005:$BM$1005,1,MATCH(COLUMNS($AM$1006:AM1006),$AM$1006:$BM$1006,0))&gt;=100000), " ",IF(INDEX($AM$2:$BM$1001,MATCH(ROWS($AF$2:AF598),$AF$2:$AF$1001,0),MATCH(COLUMNS($AM$1006:AM1006),$AM$1006:$BM$1006,0)), HYPERLINK("#",""), HYPERLINK(CONCATENATE("#metadata!", ADDRESS(INDEX($AH$2:$AH$1001,MATCH(ROWS($AF$2:AF598),$AF$2:$AF$1001,0),0), INDEX($AM$1004:$BM$1004,1,MATCH(COLUMNS($AM$1006:AM1006),$AM$1006:$BM$1006,0)))),"Fix")))</f>
        <v xml:space="preserve"> </v>
      </c>
      <c r="C598" s="4" t="str">
        <f ca="1">IF(OR(INDEX($AG$2:$AG$1001,MATCH(ROWS($AF$2:AF598),$AF$2:$AF$1001,0),1)&gt;=100000,INDEX($AM$1005:$BM$1005,1,MATCH(COLUMNS($AM$1006:AN1006),$AM$1006:$BM$1006,0))&gt;=100000), " ",IF(INDEX($AM$2:$BM$1001,MATCH(ROWS($AF$2:AF598),$AF$2:$AF$1001,0),MATCH(COLUMNS($AM$1006:AN1006),$AM$1006:$BM$1006,0)), HYPERLINK("#",""), HYPERLINK(CONCATENATE("#metadata!", ADDRESS(INDEX($AH$2:$AH$1001,MATCH(ROWS($AF$2:AF598),$AF$2:$AF$1001,0),0), INDEX($AM$1004:$BM$1004,1,MATCH(COLUMNS($AM$1006:AN1006),$AM$1006:$BM$1006,0)))),"Fix")))</f>
        <v xml:space="preserve"> </v>
      </c>
      <c r="D598" s="4" t="str">
        <f ca="1">IF(OR(INDEX($AG$2:$AG$1001,MATCH(ROWS($AF$2:AF598),$AF$2:$AF$1001,0),1)&gt;=100000,INDEX($AM$1005:$BM$1005,1,MATCH(COLUMNS($AM$1006:AO1006),$AM$1006:$BM$1006,0))&gt;=100000), " ",IF(INDEX($AM$2:$BM$1001,MATCH(ROWS($AF$2:AF598),$AF$2:$AF$1001,0),MATCH(COLUMNS($AM$1006:AO1006),$AM$1006:$BM$1006,0)), HYPERLINK("#",""), HYPERLINK(CONCATENATE("#metadata!", ADDRESS(INDEX($AH$2:$AH$1001,MATCH(ROWS($AF$2:AF598),$AF$2:$AF$1001,0),0), INDEX($AM$1004:$BM$1004,1,MATCH(COLUMNS($AM$1006:AO1006),$AM$1006:$BM$1006,0)))),"Fix")))</f>
        <v xml:space="preserve"> </v>
      </c>
      <c r="E598" s="4" t="str">
        <f ca="1">IF(OR(INDEX($AG$2:$AG$1001,MATCH(ROWS($AF$2:AF598),$AF$2:$AF$1001,0),1)&gt;=100000,INDEX($AM$1005:$BM$1005,1,MATCH(COLUMNS($AM$1006:AP1006),$AM$1006:$BM$1006,0))&gt;=100000), " ",IF(INDEX($AM$2:$BM$1001,MATCH(ROWS($AF$2:AF598),$AF$2:$AF$1001,0),MATCH(COLUMNS($AM$1006:AP1006),$AM$1006:$BM$1006,0)), HYPERLINK("#",""), HYPERLINK(CONCATENATE("#metadata!", ADDRESS(INDEX($AH$2:$AH$1001,MATCH(ROWS($AF$2:AF598),$AF$2:$AF$1001,0),0), INDEX($AM$1004:$BM$1004,1,MATCH(COLUMNS($AM$1006:AP1006),$AM$1006:$BM$1006,0)))),"Fix")))</f>
        <v xml:space="preserve"> </v>
      </c>
      <c r="F598" s="4" t="str">
        <f ca="1">IF(OR(INDEX($AG$2:$AG$1001,MATCH(ROWS($AF$2:AF598),$AF$2:$AF$1001,0),1)&gt;=100000,INDEX($AM$1005:$BM$1005,1,MATCH(COLUMNS($AM$1006:AQ1006),$AM$1006:$BM$1006,0))&gt;=100000), " ",IF(INDEX($AM$2:$BM$1001,MATCH(ROWS($AF$2:AF598),$AF$2:$AF$1001,0),MATCH(COLUMNS($AM$1006:AQ1006),$AM$1006:$BM$1006,0)), HYPERLINK("#",""), HYPERLINK(CONCATENATE("#metadata!", ADDRESS(INDEX($AH$2:$AH$1001,MATCH(ROWS($AF$2:AF598),$AF$2:$AF$1001,0),0), INDEX($AM$1004:$BM$1004,1,MATCH(COLUMNS($AM$1006:AQ1006),$AM$1006:$BM$1006,0)))),"Fix")))</f>
        <v xml:space="preserve"> </v>
      </c>
      <c r="G598" s="4" t="str">
        <f ca="1">IF(OR(INDEX($AG$2:$AG$1001,MATCH(ROWS($AF$2:AF598),$AF$2:$AF$1001,0),1)&gt;=100000,INDEX($AM$1005:$BM$1005,1,MATCH(COLUMNS($AM$1006:AR1006),$AM$1006:$BM$1006,0))&gt;=100000), " ",IF(INDEX($AM$2:$BM$1001,MATCH(ROWS($AF$2:AF598),$AF$2:$AF$1001,0),MATCH(COLUMNS($AM$1006:AR1006),$AM$1006:$BM$1006,0)), HYPERLINK("#",""), HYPERLINK(CONCATENATE("#metadata!", ADDRESS(INDEX($AH$2:$AH$1001,MATCH(ROWS($AF$2:AF598),$AF$2:$AF$1001,0),0), INDEX($AM$1004:$BM$1004,1,MATCH(COLUMNS($AM$1006:AR1006),$AM$1006:$BM$1006,0)))),"Fix")))</f>
        <v xml:space="preserve"> </v>
      </c>
      <c r="H598" s="4" t="str">
        <f ca="1">IF(OR(INDEX($AG$2:$AG$1001,MATCH(ROWS($AF$2:AF598),$AF$2:$AF$1001,0),1)&gt;=100000,INDEX($AM$1005:$BM$1005,1,MATCH(COLUMNS($AM$1006:AS1006),$AM$1006:$BM$1006,0))&gt;=100000), " ",IF(INDEX($AM$2:$BM$1001,MATCH(ROWS($AF$2:AF598),$AF$2:$AF$1001,0),MATCH(COLUMNS($AM$1006:AS1006),$AM$1006:$BM$1006,0)), HYPERLINK("#",""), HYPERLINK(CONCATENATE("#metadata!", ADDRESS(INDEX($AH$2:$AH$1001,MATCH(ROWS($AF$2:AF598),$AF$2:$AF$1001,0),0), INDEX($AM$1004:$BM$1004,1,MATCH(COLUMNS($AM$1006:AS1006),$AM$1006:$BM$1006,0)))),"Fix")))</f>
        <v xml:space="preserve"> </v>
      </c>
      <c r="I598" s="4" t="str">
        <f ca="1">IF(OR(INDEX($AG$2:$AG$1001,MATCH(ROWS($AF$2:AF598),$AF$2:$AF$1001,0),1)&gt;=100000,INDEX($AM$1005:$BM$1005,1,MATCH(COLUMNS($AM$1006:AT1006),$AM$1006:$BM$1006,0))&gt;=100000), " ",IF(INDEX($AM$2:$BM$1001,MATCH(ROWS($AF$2:AF598),$AF$2:$AF$1001,0),MATCH(COLUMNS($AM$1006:AT1006),$AM$1006:$BM$1006,0)), HYPERLINK("#",""), HYPERLINK(CONCATENATE("#metadata!", ADDRESS(INDEX($AH$2:$AH$1001,MATCH(ROWS($AF$2:AF598),$AF$2:$AF$1001,0),0), INDEX($AM$1004:$BM$1004,1,MATCH(COLUMNS($AM$1006:AT1006),$AM$1006:$BM$1006,0)))),"Fix")))</f>
        <v xml:space="preserve"> </v>
      </c>
      <c r="J598" s="4" t="str">
        <f ca="1">IF(OR(INDEX($AG$2:$AG$1001,MATCH(ROWS($AF$2:AF598),$AF$2:$AF$1001,0),1)&gt;=100000,INDEX($AM$1005:$BM$1005,1,MATCH(COLUMNS($AM$1006:AU1006),$AM$1006:$BM$1006,0))&gt;=100000), " ",IF(INDEX($AM$2:$BM$1001,MATCH(ROWS($AF$2:AF598),$AF$2:$AF$1001,0),MATCH(COLUMNS($AM$1006:AU1006),$AM$1006:$BM$1006,0)), HYPERLINK("#",""), HYPERLINK(CONCATENATE("#metadata!", ADDRESS(INDEX($AH$2:$AH$1001,MATCH(ROWS($AF$2:AF598),$AF$2:$AF$1001,0),0), INDEX($AM$1004:$BM$1004,1,MATCH(COLUMNS($AM$1006:AU1006),$AM$1006:$BM$1006,0)))),"Fix")))</f>
        <v xml:space="preserve"> </v>
      </c>
      <c r="K598" s="4" t="str">
        <f ca="1">IF(OR(INDEX($AG$2:$AG$1001,MATCH(ROWS($AF$2:AF598),$AF$2:$AF$1001,0),1)&gt;=100000,INDEX($AM$1005:$BM$1005,1,MATCH(COLUMNS($AM$1006:AV1006),$AM$1006:$BM$1006,0))&gt;=100000), " ",IF(INDEX($AM$2:$BM$1001,MATCH(ROWS($AF$2:AF598),$AF$2:$AF$1001,0),MATCH(COLUMNS($AM$1006:AV1006),$AM$1006:$BM$1006,0)), HYPERLINK("#",""), HYPERLINK(CONCATENATE("#metadata!", ADDRESS(INDEX($AH$2:$AH$1001,MATCH(ROWS($AF$2:AF598),$AF$2:$AF$1001,0),0), INDEX($AM$1004:$BM$1004,1,MATCH(COLUMNS($AM$1006:AV1006),$AM$1006:$BM$1006,0)))),"Fix")))</f>
        <v xml:space="preserve"> </v>
      </c>
      <c r="L598" s="4" t="str">
        <f ca="1">IF(OR(INDEX($AG$2:$AG$1001,MATCH(ROWS($AF$2:AF598),$AF$2:$AF$1001,0),1)&gt;=100000,INDEX($AM$1005:$BM$1005,1,MATCH(COLUMNS($AM$1006:AW1006),$AM$1006:$BM$1006,0))&gt;=100000), " ",IF(INDEX($AM$2:$BM$1001,MATCH(ROWS($AF$2:AF598),$AF$2:$AF$1001,0),MATCH(COLUMNS($AM$1006:AW1006),$AM$1006:$BM$1006,0)), HYPERLINK("#",""), HYPERLINK(CONCATENATE("#metadata!", ADDRESS(INDEX($AH$2:$AH$1001,MATCH(ROWS($AF$2:AF598),$AF$2:$AF$1001,0),0), INDEX($AM$1004:$BM$1004,1,MATCH(COLUMNS($AM$1006:AW1006),$AM$1006:$BM$1006,0)))),"Fix")))</f>
        <v xml:space="preserve"> </v>
      </c>
      <c r="M598" s="4" t="str">
        <f ca="1">IF(OR(INDEX($AG$2:$AG$1001,MATCH(ROWS($AF$2:AF598),$AF$2:$AF$1001,0),1)&gt;=100000,INDEX($AM$1005:$BM$1005,1,MATCH(COLUMNS($AM$1006:AX1006),$AM$1006:$BM$1006,0))&gt;=100000), " ",IF(INDEX($AM$2:$BM$1001,MATCH(ROWS($AF$2:AF598),$AF$2:$AF$1001,0),MATCH(COLUMNS($AM$1006:AX1006),$AM$1006:$BM$1006,0)), HYPERLINK("#",""), HYPERLINK(CONCATENATE("#metadata!", ADDRESS(INDEX($AH$2:$AH$1001,MATCH(ROWS($AF$2:AF598),$AF$2:$AF$1001,0),0), INDEX($AM$1004:$BM$1004,1,MATCH(COLUMNS($AM$1006:AX1006),$AM$1006:$BM$1006,0)))),"Fix")))</f>
        <v xml:space="preserve"> </v>
      </c>
      <c r="N598" s="4" t="str">
        <f ca="1">IF(OR(INDEX($AG$2:$AG$1001,MATCH(ROWS($AF$2:AF598),$AF$2:$AF$1001,0),1)&gt;=100000,INDEX($AM$1005:$BM$1005,1,MATCH(COLUMNS($AM$1006:AY1006),$AM$1006:$BM$1006,0))&gt;=100000), " ",IF(INDEX($AM$2:$BM$1001,MATCH(ROWS($AF$2:AF598),$AF$2:$AF$1001,0),MATCH(COLUMNS($AM$1006:AY1006),$AM$1006:$BM$1006,0)), HYPERLINK("#",""), HYPERLINK(CONCATENATE("#metadata!", ADDRESS(INDEX($AH$2:$AH$1001,MATCH(ROWS($AF$2:AF598),$AF$2:$AF$1001,0),0), INDEX($AM$1004:$BM$1004,1,MATCH(COLUMNS($AM$1006:AY1006),$AM$1006:$BM$1006,0)))),"Fix")))</f>
        <v xml:space="preserve"> </v>
      </c>
      <c r="O598" s="4" t="str">
        <f ca="1">IF(OR(INDEX($AG$2:$AG$1001,MATCH(ROWS($AF$2:AF598),$AF$2:$AF$1001,0),1)&gt;=100000,INDEX($AM$1005:$BM$1005,1,MATCH(COLUMNS($AM$1006:AZ1006),$AM$1006:$BM$1006,0))&gt;=100000), " ",IF(INDEX($AM$2:$BM$1001,MATCH(ROWS($AF$2:AF598),$AF$2:$AF$1001,0),MATCH(COLUMNS($AM$1006:AZ1006),$AM$1006:$BM$1006,0)), HYPERLINK("#",""), HYPERLINK(CONCATENATE("#metadata!", ADDRESS(INDEX($AH$2:$AH$1001,MATCH(ROWS($AF$2:AF598),$AF$2:$AF$1001,0),0), INDEX($AM$1004:$BM$1004,1,MATCH(COLUMNS($AM$1006:AZ1006),$AM$1006:$BM$1006,0)))),"Fix")))</f>
        <v xml:space="preserve"> </v>
      </c>
      <c r="P598" s="4" t="str">
        <f ca="1">IF(OR(INDEX($AG$2:$AG$1001,MATCH(ROWS($AF$2:AF598),$AF$2:$AF$1001,0),1)&gt;=100000,INDEX($AM$1005:$BM$1005,1,MATCH(COLUMNS($AM$1006:BA1006),$AM$1006:$BM$1006,0))&gt;=100000), " ",IF(INDEX($AM$2:$BM$1001,MATCH(ROWS($AF$2:AF598),$AF$2:$AF$1001,0),MATCH(COLUMNS($AM$1006:BA1006),$AM$1006:$BM$1006,0)), HYPERLINK("#",""), HYPERLINK(CONCATENATE("#metadata!", ADDRESS(INDEX($AH$2:$AH$1001,MATCH(ROWS($AF$2:AF598),$AF$2:$AF$1001,0),0), INDEX($AM$1004:$BM$1004,1,MATCH(COLUMNS($AM$1006:BA1006),$AM$1006:$BM$1006,0)))),"Fix")))</f>
        <v xml:space="preserve"> </v>
      </c>
      <c r="Q598" s="4" t="str">
        <f ca="1">IF(OR(INDEX($AG$2:$AG$1001,MATCH(ROWS($AF$2:AF598),$AF$2:$AF$1001,0),1)&gt;=100000,INDEX($AM$1005:$BM$1005,1,MATCH(COLUMNS($AM$1006:BB1006),$AM$1006:$BM$1006,0))&gt;=100000), " ",IF(INDEX($AM$2:$BM$1001,MATCH(ROWS($AF$2:AF598),$AF$2:$AF$1001,0),MATCH(COLUMNS($AM$1006:BB1006),$AM$1006:$BM$1006,0)), HYPERLINK("#",""), HYPERLINK(CONCATENATE("#metadata!", ADDRESS(INDEX($AH$2:$AH$1001,MATCH(ROWS($AF$2:AF598),$AF$2:$AF$1001,0),0), INDEX($AM$1004:$BM$1004,1,MATCH(COLUMNS($AM$1006:BB1006),$AM$1006:$BM$1006,0)))),"Fix")))</f>
        <v xml:space="preserve"> </v>
      </c>
      <c r="R598" s="4" t="str">
        <f ca="1">IF(OR(INDEX($AG$2:$AG$1001,MATCH(ROWS($AF$2:AF598),$AF$2:$AF$1001,0),1)&gt;=100000,INDEX($AM$1005:$BM$1005,1,MATCH(COLUMNS($AM$1006:BC1006),$AM$1006:$BM$1006,0))&gt;=100000), " ",IF(INDEX($AM$2:$BM$1001,MATCH(ROWS($AF$2:AF598),$AF$2:$AF$1001,0),MATCH(COLUMNS($AM$1006:BC1006),$AM$1006:$BM$1006,0)), HYPERLINK("#",""), HYPERLINK(CONCATENATE("#metadata!", ADDRESS(INDEX($AH$2:$AH$1001,MATCH(ROWS($AF$2:AF598),$AF$2:$AF$1001,0),0), INDEX($AM$1004:$BM$1004,1,MATCH(COLUMNS($AM$1006:BC1006),$AM$1006:$BM$1006,0)))),"Fix")))</f>
        <v xml:space="preserve"> </v>
      </c>
      <c r="S598" s="4" t="str">
        <f ca="1">IF(OR(INDEX($AG$2:$AG$1001,MATCH(ROWS($AF$2:AF598),$AF$2:$AF$1001,0),1)&gt;=100000,INDEX($AM$1005:$BM$1005,1,MATCH(COLUMNS($AM$1006:BD1006),$AM$1006:$BM$1006,0))&gt;=100000), " ",IF(INDEX($AM$2:$BM$1001,MATCH(ROWS($AF$2:AF598),$AF$2:$AF$1001,0),MATCH(COLUMNS($AM$1006:BD1006),$AM$1006:$BM$1006,0)), HYPERLINK("#",""), HYPERLINK(CONCATENATE("#metadata!", ADDRESS(INDEX($AH$2:$AH$1001,MATCH(ROWS($AF$2:AF598),$AF$2:$AF$1001,0),0), INDEX($AM$1004:$BM$1004,1,MATCH(COLUMNS($AM$1006:BD1006),$AM$1006:$BM$1006,0)))),"Fix")))</f>
        <v xml:space="preserve"> </v>
      </c>
      <c r="T598" s="4" t="str">
        <f ca="1">IF(OR(INDEX($AG$2:$AG$1001,MATCH(ROWS($AF$2:AF598),$AF$2:$AF$1001,0),1)&gt;=100000,INDEX($AM$1005:$BM$1005,1,MATCH(COLUMNS($AM$1006:BE1006),$AM$1006:$BM$1006,0))&gt;=100000), " ",IF(INDEX($AM$2:$BM$1001,MATCH(ROWS($AF$2:AF598),$AF$2:$AF$1001,0),MATCH(COLUMNS($AM$1006:BE1006),$AM$1006:$BM$1006,0)), HYPERLINK("#",""), HYPERLINK(CONCATENATE("#metadata!", ADDRESS(INDEX($AH$2:$AH$1001,MATCH(ROWS($AF$2:AF598),$AF$2:$AF$1001,0),0), INDEX($AM$1004:$BM$1004,1,MATCH(COLUMNS($AM$1006:BE1006),$AM$1006:$BM$1006,0)))),"Fix")))</f>
        <v xml:space="preserve"> </v>
      </c>
      <c r="U598" s="4" t="str">
        <f ca="1">IF(OR(INDEX($AG$2:$AG$1001,MATCH(ROWS($AF$2:AF598),$AF$2:$AF$1001,0),1)&gt;=100000,INDEX($AM$1005:$BM$1005,1,MATCH(COLUMNS($AM$1006:BF1006),$AM$1006:$BM$1006,0))&gt;=100000), " ",IF(INDEX($AM$2:$BM$1001,MATCH(ROWS($AF$2:AF598),$AF$2:$AF$1001,0),MATCH(COLUMNS($AM$1006:BF1006),$AM$1006:$BM$1006,0)), HYPERLINK("#",""), HYPERLINK(CONCATENATE("#metadata!", ADDRESS(INDEX($AH$2:$AH$1001,MATCH(ROWS($AF$2:AF598),$AF$2:$AF$1001,0),0), INDEX($AM$1004:$BM$1004,1,MATCH(COLUMNS($AM$1006:BF1006),$AM$1006:$BM$1006,0)))),"Fix")))</f>
        <v xml:space="preserve"> </v>
      </c>
      <c r="V598" s="4" t="str">
        <f ca="1">IF(OR(INDEX($AG$2:$AG$1001,MATCH(ROWS($AF$2:AF598),$AF$2:$AF$1001,0),1)&gt;=100000,INDEX($AM$1005:$BM$1005,1,MATCH(COLUMNS($AM$1006:BG1006),$AM$1006:$BM$1006,0))&gt;=100000), " ",IF(INDEX($AM$2:$BM$1001,MATCH(ROWS($AF$2:AF598),$AF$2:$AF$1001,0),MATCH(COLUMNS($AM$1006:BG1006),$AM$1006:$BM$1006,0)), HYPERLINK("#",""), HYPERLINK(CONCATENATE("#metadata!", ADDRESS(INDEX($AH$2:$AH$1001,MATCH(ROWS($AF$2:AF598),$AF$2:$AF$1001,0),0), INDEX($AM$1004:$BM$1004,1,MATCH(COLUMNS($AM$1006:BG1006),$AM$1006:$BM$1006,0)))),"Fix")))</f>
        <v xml:space="preserve"> </v>
      </c>
      <c r="W598" s="4" t="str">
        <f ca="1">IF(OR(INDEX($AG$2:$AG$1001,MATCH(ROWS($AF$2:AF598),$AF$2:$AF$1001,0),1)&gt;=100000,INDEX($AM$1005:$BM$1005,1,MATCH(COLUMNS($AM$1006:BH1006),$AM$1006:$BM$1006,0))&gt;=100000), " ",IF(INDEX($AM$2:$BM$1001,MATCH(ROWS($AF$2:AF598),$AF$2:$AF$1001,0),MATCH(COLUMNS($AM$1006:BH1006),$AM$1006:$BM$1006,0)), HYPERLINK("#",""), HYPERLINK(CONCATENATE("#metadata!", ADDRESS(INDEX($AH$2:$AH$1001,MATCH(ROWS($AF$2:AF598),$AF$2:$AF$1001,0),0), INDEX($AM$1004:$BM$1004,1,MATCH(COLUMNS($AM$1006:BH1006),$AM$1006:$BM$1006,0)))),"Fix")))</f>
        <v xml:space="preserve"> </v>
      </c>
      <c r="X598" s="4" t="str">
        <f ca="1">IF(OR(INDEX($AG$2:$AG$1001,MATCH(ROWS($AF$2:AF598),$AF$2:$AF$1001,0),1)&gt;=100000,INDEX($AM$1005:$BM$1005,1,MATCH(COLUMNS($AM$1006:BI1006),$AM$1006:$BM$1006,0))&gt;=100000), " ",IF(INDEX($AM$2:$BM$1001,MATCH(ROWS($AF$2:AF598),$AF$2:$AF$1001,0),MATCH(COLUMNS($AM$1006:BI1006),$AM$1006:$BM$1006,0)), HYPERLINK("#",""), HYPERLINK(CONCATENATE("#metadata!", ADDRESS(INDEX($AH$2:$AH$1001,MATCH(ROWS($AF$2:AF598),$AF$2:$AF$1001,0),0), INDEX($AM$1004:$BM$1004,1,MATCH(COLUMNS($AM$1006:BI1006),$AM$1006:$BM$1006,0)))),"Fix")))</f>
        <v xml:space="preserve"> </v>
      </c>
      <c r="Y598" s="4" t="str">
        <f ca="1">IF(OR(INDEX($AG$2:$AG$1001,MATCH(ROWS($AF$2:AF598),$AF$2:$AF$1001,0),1)&gt;=100000,INDEX($AM$1005:$BM$1005,1,MATCH(COLUMNS($AM$1006:BJ1006),$AM$1006:$BM$1006,0))&gt;=100000), " ",IF(INDEX($AM$2:$BM$1001,MATCH(ROWS($AF$2:AF598),$AF$2:$AF$1001,0),MATCH(COLUMNS($AM$1006:BJ1006),$AM$1006:$BM$1006,0)), HYPERLINK("#",""), HYPERLINK(CONCATENATE("#metadata!", ADDRESS(INDEX($AH$2:$AH$1001,MATCH(ROWS($AF$2:AF598),$AF$2:$AF$1001,0),0), INDEX($AM$1004:$BM$1004,1,MATCH(COLUMNS($AM$1006:BJ1006),$AM$1006:$BM$1006,0)))),"Fix")))</f>
        <v xml:space="preserve"> </v>
      </c>
      <c r="Z598" s="4" t="str">
        <f ca="1">IF(OR(INDEX($AG$2:$AG$1001,MATCH(ROWS($AF$2:AF598),$AF$2:$AF$1001,0),1)&gt;=100000,INDEX($AM$1005:$BM$1005,1,MATCH(COLUMNS($AM$1006:BK1006),$AM$1006:$BM$1006,0))&gt;=100000), " ",IF(INDEX($AM$2:$BM$1001,MATCH(ROWS($AF$2:AF598),$AF$2:$AF$1001,0),MATCH(COLUMNS($AM$1006:BK1006),$AM$1006:$BM$1006,0)), HYPERLINK("#",""), HYPERLINK(CONCATENATE("#metadata!", ADDRESS(INDEX($AH$2:$AH$1001,MATCH(ROWS($AF$2:AF598),$AF$2:$AF$1001,0),0), INDEX($AM$1004:$BM$1004,1,MATCH(COLUMNS($AM$1006:BK1006),$AM$1006:$BM$1006,0)))),"Fix")))</f>
        <v xml:space="preserve"> </v>
      </c>
      <c r="AA598" s="4" t="str">
        <f ca="1">IF(OR(INDEX($AG$2:$AG$1001,MATCH(ROWS($AF$2:AF598),$AF$2:$AF$1001,0),1)&gt;=100000,INDEX($AM$1005:$BM$1005,1,MATCH(COLUMNS($AM$1006:BL1006),$AM$1006:$BM$1006,0))&gt;=100000), " ",IF(INDEX($AM$2:$BM$1001,MATCH(ROWS($AF$2:AF598),$AF$2:$AF$1001,0),MATCH(COLUMNS($AM$1006:BL1006),$AM$1006:$BM$1006,0)), HYPERLINK("#",""), HYPERLINK(CONCATENATE("#metadata!", ADDRESS(INDEX($AH$2:$AH$1001,MATCH(ROWS($AF$2:AF598),$AF$2:$AF$1001,0),0), INDEX($AM$1004:$BM$1004,1,MATCH(COLUMNS($AM$1006:BL1006),$AM$1006:$BM$1006,0)))),"Fix")))</f>
        <v xml:space="preserve"> </v>
      </c>
      <c r="AB598" s="4" t="str">
        <f ca="1">IF(OR(INDEX($AG$2:$AG$1001,MATCH(ROWS($AF$2:AF598),$AF$2:$AF$1001,0),1)&gt;=100000,INDEX($AM$1005:$BM$1005,1,MATCH(COLUMNS($AM$1006:BM1006),$AM$1006:$BM$1006,0))&gt;=100000), " ",IF(INDEX($AM$2:$BM$1001,MATCH(ROWS($AF$2:AF598),$AF$2:$AF$1001,0),MATCH(COLUMNS($AM$1006:BM1006),$AM$1006:$BM$1006,0)), HYPERLINK("#",""), HYPERLINK(CONCATENATE("#metadata!", ADDRESS(INDEX($AH$2:$AH$1001,MATCH(ROWS($AF$2:AF598),$AF$2:$AF$1001,0),0), INDEX($AM$1004:$BM$1004,1,MATCH(COLUMNS($AM$1006:BM1006),$AM$1006:$BM$1006,0)))),"Fix")))</f>
        <v xml:space="preserve"> </v>
      </c>
      <c r="AF598">
        <v>597</v>
      </c>
      <c r="AG598">
        <v>100598</v>
      </c>
      <c r="AH598">
        <v>598</v>
      </c>
      <c r="AI598" t="b">
        <f t="shared" si="9"/>
        <v>1</v>
      </c>
      <c r="AJ598" t="b">
        <f>COUNTBLANK(metadata!B598:AB598)=COLUMNS(metadata!B598:AB598)</f>
        <v>1</v>
      </c>
      <c r="AK598" t="str">
        <v/>
      </c>
      <c r="AM598" t="b">
        <f ca="1">AND(IF(metadata!B598="",FALSE,TRUE),COUNTIF(metadata!B:B, metadata!B598) = 1,NOT(ISERROR(SUMPRODUCT(SEARCH(MID(metadata!B598,ROW(INDIRECT("1:"&amp;LEN(metadata!B598))), 1),"0123456789abcdefghijklmnopqrstuvwxyzABCDEFGHIJKLMNOPQRSTUVWXYZ.")))))</f>
        <v>0</v>
      </c>
      <c r="AN598" t="b">
        <f ca="1">OR(AND(IF(metadata!C598="",FALSE,TRUE),OR(EXACT(metadata!C598,"missing: not collected"),EXACT(metadata!C598,"missing: not provided"),EXACT(metadata!C598,"missing: restricted access"))),AND(IF(metadata!C598="",FALSE,TRUE),AND(AND(IFERROR(INT(LEFT(metadata!C598,4))&gt;1900,FALSE),IFERROR(INT(LEFT(metadata!C598,4))&lt;=YEAR(NOW()),FALSE)), OR(MID(metadata!C598,5,1)="", AND(AND(MID(metadata!C598,5,1)="-",IFERROR(INT(MID(metadata!C598,6,1))&gt;=0,FALSE),IFERROR(INT(MID(metadata!C598,6,1))&lt;=1,FALSE),NOT(MID(metadata!C598,7,1)=""),IFERROR(INT(MID(metadata!C598,6,2))&gt;=1,FALSE),IFERROR(INT(MID(metadata!C598,6,2))&lt;=12,FALSE)), OR(MID(metadata!C598,8,1)="", AND(AND(MID(metadata!C598,8,1)="-",IFERROR(INT(MID(metadata!C598,9,1))&gt;=0,FALSE),IFERROR(INT(MID(metadata!C598,9,1))&lt;=3,FALSE),NOT(MID(metadata!C598,10,1)=""),IFERROR(INT(MID(metadata!C598,9,2))&gt;=1,FALSE),IFERROR(INT(MID(metadata!C598,9,2))&lt;=31,FALSE)), OR(MID(metadata!C598,11,1)="", AND(AND(MID(metadata!C598,11,1)=" ",IFERROR(INT(MID(metadata!C598,12,1))&gt;=0,FALSE),IFERROR(INT(MID(metadata!C598,12,1))&lt;=2,FALSE),NOT(MID(metadata!C598,13,1)=""),IFERROR(INT(MID(metadata!C598,12,2))&gt;=0,FALSE),IFERROR(INT(MID(metadata!C598,12,2))&lt;=23,FALSE)), OR(MID(metadata!C598,14,1)="", AND(AND(MID(metadata!C598,14,1)=":",IFERROR(INT(MID(metadata!C598,15,1))&gt;=0,FALSE),IFERROR(INT(MID(metadata!C598,15,1))&lt;=5,FALSE),NOT(MID(metadata!C598,16,1)=""),IFERROR(INT(MID(metadata!C598,15,2))&gt;=0,FALSE),IFERROR(INT(MID(metadata!C598,15,2))&lt;=59,FALSE)), OR(MID(metadata!C598,17,1)="", AND(AND(MID(metadata!C598,17,1)=":",IFERROR(INT(MID(metadata!C598,18,1))&gt;=0,FALSE),IFERROR(INT(MID(metadata!C598,18,1))&lt;=5,FALSE),NOT(MID(metadata!C598,19,1)=""),IFERROR(INT(MID(metadata!C598,18,2))&gt;=0,FALSE),IFERROR(INT(MID(metadata!C598,18,2))&lt;=59,FALSE)), LEN(metadata!C598)&lt;=19)))))))))))))</f>
        <v>0</v>
      </c>
      <c r="AO598" t="b">
        <f>AND(IF(metadata!D598="",FALSE,TRUE),EXACT(metadata!D598,"Not applicable"))</f>
        <v>0</v>
      </c>
      <c r="AP598" t="b">
        <f>IF(metadata!E598="",FALSE,TRUE)</f>
        <v>0</v>
      </c>
      <c r="AQ598" t="b">
        <f>OR(AND(IF(metadata!F598="",FALSE,TRUE),OR(EXACT(metadata!F598,"missing: not collected"),EXACT(metadata!F598,"missing: not provided"))),AND(IF(metadata!F598="",FALSE,TRUE),OR(EXACT(metadata!F598,"TRUE"),EXACT(metadata!F598,"FALSE"))))</f>
        <v>0</v>
      </c>
      <c r="AR598" t="b">
        <f>OR(AND(IF(metadata!G598="",FALSE,TRUE),OR(EXACT(metadata!G598,"missing: not collected"),EXACT(metadata!G598,"missing: not provided"),EXACT(metadata!G598,"missing: restricted access"))),AND(IF(metadata!G598="",FALSE,ISNUMBER(VALUE(metadata!G598))),metadata!G598&gt;=-413))</f>
        <v>0</v>
      </c>
      <c r="AS598" t="b">
        <f>AND(IF(metadata!H598="",FALSE,TRUE),EXACT(metadata!H598,"meters"))</f>
        <v>0</v>
      </c>
      <c r="AT598" t="b">
        <f>AND(IF(metadata!I598="",FALSE,TRUE),OR(EXACT(metadata!I598,"Host-associated"),EXACT(metadata!I598,"Free-living")))</f>
        <v>0</v>
      </c>
      <c r="AU598" t="b">
        <f>AND(IF(metadata!J598="",FALSE,TRUE),OR(EXACT(metadata!J598,"Animal"),EXACT(metadata!J598,"Fungus"),EXACT(metadata!J598,"Plant"),EXACT(metadata!J598,"Saline"),EXACT(metadata!J598,"Non-saline")))</f>
        <v>0</v>
      </c>
      <c r="AV598" t="b">
        <f>AND(IF(metadata!K598="",FALSE,TRUE),OR(EXACT(metadata!K598,"Plant secretion"),EXACT(metadata!K598,"Plant rhizosphere"),EXACT(metadata!K598,"Plant surface"),EXACT(metadata!K598,"Plant corpus"),EXACT(metadata!K598,"Fungus surface"),EXACT(metadata!K598,"Fungus corpus"),EXACT(metadata!K598,"Animal surface"),EXACT(metadata!K598,"Animal proximal gut"),EXACT(metadata!K598,"Animal corpus"),EXACT(metadata!K598,"Animal distal gut"),EXACT(metadata!K598,"Animal secretion"),EXACT(metadata!K598,"Sub-surface (non-saline)"),EXACT(metadata!K598,"Surface (non-saline)"),EXACT(metadata!K598,"Water (non-saline)"),EXACT(metadata!K598,"Soil (non-saline)"),EXACT(metadata!K598,"Aerosol (non-saline)"),EXACT(metadata!K598,"Sediment (non-saline)"),EXACT(metadata!K598,"Surface (saline)"),EXACT(metadata!K598,"Water (saline)"),EXACT(metadata!K598,"Hypersaline (saline)"),EXACT(metadata!K598,"Aerosol (saline)"),EXACT(metadata!K598,"Sediment (saline)")))</f>
        <v>0</v>
      </c>
      <c r="AW598" t="b">
        <f>IF(metadata!L598="",FALSE,TRUE)</f>
        <v>0</v>
      </c>
      <c r="AX598" t="b">
        <f>IF(metadata!M598="",FALSE,TRUE)</f>
        <v>0</v>
      </c>
      <c r="AY598" t="b">
        <f>IF(metadata!N598="",FALSE,TRUE)</f>
        <v>0</v>
      </c>
      <c r="AZ598" t="b">
        <f>OR(AND(IF(metadata!O598="",FALSE,TRUE),OR(EXACT(metadata!O598,"missing: not collected"),EXACT(metadata!O598,"missing: not provided"),EXACT(metadata!O598,"missing: restricted access"))),AND(IF(metadata!O598="",FALSE,TRUE),OR(EXACT(metadata!O598,"air"),EXACT(metadata!O598,"built environment"),EXACT(metadata!O598,"host-associated"),EXACT(metadata!O598,"human-associated"),EXACT(metadata!O598,"human-skin"),EXACT(metadata!O598,"human-oral"),EXACT(metadata!O598,"human-gut"),EXACT(metadata!O598,"human-vaginal"),EXACT(metadata!O598,"microbial mat/biofilm"),EXACT(metadata!O598,"misc environment"),EXACT(metadata!O598,"plant-associated"),EXACT(metadata!O598,"sediment"),EXACT(metadata!O598,"soil"),EXACT(metadata!O598,"wastewater/sludge"),EXACT(metadata!O598,"water"))))</f>
        <v>0</v>
      </c>
      <c r="BA598" t="b">
        <f>IF(metadata!P598="",FALSE,TRUE)</f>
        <v>0</v>
      </c>
      <c r="BB598" t="b">
        <f>IF(metadata!Q598="",FALSE,TRUE)</f>
        <v>0</v>
      </c>
      <c r="BC598" t="b">
        <f>OR(AND(IF(metadata!R598="",FALSE,TRUE),OR(EXACT(metadata!R598,"missing: not collected"),EXACT(metadata!R598,"missing: not provided"),EXACT(metadata!R598,"missing: restricted access"))),AND(IF(metadata!R598="",FALSE,ISNUMBER(VALUE(metadata!R598))),metadata!R598&gt;=-90,metadata!R598&lt;=90))</f>
        <v>0</v>
      </c>
      <c r="BD598" t="b">
        <f>AND(IF(metadata!S598="",FALSE,TRUE),EXACT(metadata!S598,"Decimal degrees"))</f>
        <v>0</v>
      </c>
      <c r="BE598" t="b">
        <f>OR(AND(IF(metadata!T598="",FALSE,TRUE),OR(EXACT(metadata!T598,"missing: not collected"),EXACT(metadata!T598,"missing: not provided"),EXACT(metadata!T598,"missing: restricted access"))),AND(IF(metadata!T598="",FALSE,ISNUMBER(VALUE(metadata!T598))),metadata!T598&gt;=-180,metadata!T598&lt;=180))</f>
        <v>0</v>
      </c>
      <c r="BF598" t="b">
        <f>AND(IF(metadata!U598="",FALSE,TRUE),EXACT(metadata!U598,"Decimal degrees"))</f>
        <v>0</v>
      </c>
      <c r="BG598" t="b">
        <f>IF(metadata!V598="",FALSE,TRUE)</f>
        <v>0</v>
      </c>
      <c r="BH598" t="b">
        <f>OR(AND(IF(metadata!W598="",FALSE,TRUE),OR(EXACT(metadata!W598,"missing: not collected"),EXACT(metadata!W598,"missing: not provided"),EXACT(metadata!W598,"missing: restricted access"))),AND(IF(metadata!W598="",FALSE,TRUE),OR(EXACT(metadata!W598,"TRUE"),EXACT(metadata!W598,"FALSE"))))</f>
        <v>0</v>
      </c>
      <c r="BI598" t="b">
        <f>AND(IF(metadata!X598="",FALSE,TRUE),EXACT(metadata!X598,"other"))</f>
        <v>0</v>
      </c>
      <c r="BJ598" t="b">
        <f>IF(metadata!Y598="",FALSE,TRUE)</f>
        <v>0</v>
      </c>
      <c r="BK598" t="b">
        <f>OR(AND(IF(metadata!Z598="",FALSE,TRUE),OR(EXACT(metadata!Z598,"missing: not collected"),EXACT(metadata!Z598,"missing: not provided"))),AND(IF(metadata!Z598="",FALSE,IF(ISERROR(INT(metadata!Z598)),FALSE,INT(metadata!Z598)=metadata!Z598)),metadata!Z598&gt;0))</f>
        <v>0</v>
      </c>
      <c r="BL598" t="b">
        <f>AND(IF(metadata!AA598="",FALSE,TRUE),EXACT(metadata!AA598,"Not applicable"))</f>
        <v>0</v>
      </c>
      <c r="BM598" t="b">
        <f>IF(metadata!AB598="",FALSE,TRUE)</f>
        <v>0</v>
      </c>
    </row>
    <row r="599" spans="1:65" x14ac:dyDescent="0.2">
      <c r="A599" s="5" t="str">
        <f ca="1">IF(B599=" "," ",HYPERLINK(CONCATENATE("#metadata!",ADDRESS(INDEX($AH$2:$AH$1001,MATCH(ROWS($AF$2:AF599),$AF$2:$AF$1001,0),0),1)),INDEX($AK$2:$AK$1001,MATCH(ROWS($AF$2:AF599),$AF$2:$AF$1001,0),0)))</f>
        <v xml:space="preserve"> </v>
      </c>
      <c r="B599" s="4" t="str">
        <f ca="1">IF(OR(INDEX($AG$2:$AG$1001,MATCH(ROWS($AF$2:AF599),$AF$2:$AF$1001,0),1)&gt;=100000,INDEX($AM$1005:$BM$1005,1,MATCH(COLUMNS($AM$1006:AM1006),$AM$1006:$BM$1006,0))&gt;=100000), " ",IF(INDEX($AM$2:$BM$1001,MATCH(ROWS($AF$2:AF599),$AF$2:$AF$1001,0),MATCH(COLUMNS($AM$1006:AM1006),$AM$1006:$BM$1006,0)), HYPERLINK("#",""), HYPERLINK(CONCATENATE("#metadata!", ADDRESS(INDEX($AH$2:$AH$1001,MATCH(ROWS($AF$2:AF599),$AF$2:$AF$1001,0),0), INDEX($AM$1004:$BM$1004,1,MATCH(COLUMNS($AM$1006:AM1006),$AM$1006:$BM$1006,0)))),"Fix")))</f>
        <v xml:space="preserve"> </v>
      </c>
      <c r="C599" s="4" t="str">
        <f ca="1">IF(OR(INDEX($AG$2:$AG$1001,MATCH(ROWS($AF$2:AF599),$AF$2:$AF$1001,0),1)&gt;=100000,INDEX($AM$1005:$BM$1005,1,MATCH(COLUMNS($AM$1006:AN1006),$AM$1006:$BM$1006,0))&gt;=100000), " ",IF(INDEX($AM$2:$BM$1001,MATCH(ROWS($AF$2:AF599),$AF$2:$AF$1001,0),MATCH(COLUMNS($AM$1006:AN1006),$AM$1006:$BM$1006,0)), HYPERLINK("#",""), HYPERLINK(CONCATENATE("#metadata!", ADDRESS(INDEX($AH$2:$AH$1001,MATCH(ROWS($AF$2:AF599),$AF$2:$AF$1001,0),0), INDEX($AM$1004:$BM$1004,1,MATCH(COLUMNS($AM$1006:AN1006),$AM$1006:$BM$1006,0)))),"Fix")))</f>
        <v xml:space="preserve"> </v>
      </c>
      <c r="D599" s="4" t="str">
        <f ca="1">IF(OR(INDEX($AG$2:$AG$1001,MATCH(ROWS($AF$2:AF599),$AF$2:$AF$1001,0),1)&gt;=100000,INDEX($AM$1005:$BM$1005,1,MATCH(COLUMNS($AM$1006:AO1006),$AM$1006:$BM$1006,0))&gt;=100000), " ",IF(INDEX($AM$2:$BM$1001,MATCH(ROWS($AF$2:AF599),$AF$2:$AF$1001,0),MATCH(COLUMNS($AM$1006:AO1006),$AM$1006:$BM$1006,0)), HYPERLINK("#",""), HYPERLINK(CONCATENATE("#metadata!", ADDRESS(INDEX($AH$2:$AH$1001,MATCH(ROWS($AF$2:AF599),$AF$2:$AF$1001,0),0), INDEX($AM$1004:$BM$1004,1,MATCH(COLUMNS($AM$1006:AO1006),$AM$1006:$BM$1006,0)))),"Fix")))</f>
        <v xml:space="preserve"> </v>
      </c>
      <c r="E599" s="4" t="str">
        <f ca="1">IF(OR(INDEX($AG$2:$AG$1001,MATCH(ROWS($AF$2:AF599),$AF$2:$AF$1001,0),1)&gt;=100000,INDEX($AM$1005:$BM$1005,1,MATCH(COLUMNS($AM$1006:AP1006),$AM$1006:$BM$1006,0))&gt;=100000), " ",IF(INDEX($AM$2:$BM$1001,MATCH(ROWS($AF$2:AF599),$AF$2:$AF$1001,0),MATCH(COLUMNS($AM$1006:AP1006),$AM$1006:$BM$1006,0)), HYPERLINK("#",""), HYPERLINK(CONCATENATE("#metadata!", ADDRESS(INDEX($AH$2:$AH$1001,MATCH(ROWS($AF$2:AF599),$AF$2:$AF$1001,0),0), INDEX($AM$1004:$BM$1004,1,MATCH(COLUMNS($AM$1006:AP1006),$AM$1006:$BM$1006,0)))),"Fix")))</f>
        <v xml:space="preserve"> </v>
      </c>
      <c r="F599" s="4" t="str">
        <f ca="1">IF(OR(INDEX($AG$2:$AG$1001,MATCH(ROWS($AF$2:AF599),$AF$2:$AF$1001,0),1)&gt;=100000,INDEX($AM$1005:$BM$1005,1,MATCH(COLUMNS($AM$1006:AQ1006),$AM$1006:$BM$1006,0))&gt;=100000), " ",IF(INDEX($AM$2:$BM$1001,MATCH(ROWS($AF$2:AF599),$AF$2:$AF$1001,0),MATCH(COLUMNS($AM$1006:AQ1006),$AM$1006:$BM$1006,0)), HYPERLINK("#",""), HYPERLINK(CONCATENATE("#metadata!", ADDRESS(INDEX($AH$2:$AH$1001,MATCH(ROWS($AF$2:AF599),$AF$2:$AF$1001,0),0), INDEX($AM$1004:$BM$1004,1,MATCH(COLUMNS($AM$1006:AQ1006),$AM$1006:$BM$1006,0)))),"Fix")))</f>
        <v xml:space="preserve"> </v>
      </c>
      <c r="G599" s="4" t="str">
        <f ca="1">IF(OR(INDEX($AG$2:$AG$1001,MATCH(ROWS($AF$2:AF599),$AF$2:$AF$1001,0),1)&gt;=100000,INDEX($AM$1005:$BM$1005,1,MATCH(COLUMNS($AM$1006:AR1006),$AM$1006:$BM$1006,0))&gt;=100000), " ",IF(INDEX($AM$2:$BM$1001,MATCH(ROWS($AF$2:AF599),$AF$2:$AF$1001,0),MATCH(COLUMNS($AM$1006:AR1006),$AM$1006:$BM$1006,0)), HYPERLINK("#",""), HYPERLINK(CONCATENATE("#metadata!", ADDRESS(INDEX($AH$2:$AH$1001,MATCH(ROWS($AF$2:AF599),$AF$2:$AF$1001,0),0), INDEX($AM$1004:$BM$1004,1,MATCH(COLUMNS($AM$1006:AR1006),$AM$1006:$BM$1006,0)))),"Fix")))</f>
        <v xml:space="preserve"> </v>
      </c>
      <c r="H599" s="4" t="str">
        <f ca="1">IF(OR(INDEX($AG$2:$AG$1001,MATCH(ROWS($AF$2:AF599),$AF$2:$AF$1001,0),1)&gt;=100000,INDEX($AM$1005:$BM$1005,1,MATCH(COLUMNS($AM$1006:AS1006),$AM$1006:$BM$1006,0))&gt;=100000), " ",IF(INDEX($AM$2:$BM$1001,MATCH(ROWS($AF$2:AF599),$AF$2:$AF$1001,0),MATCH(COLUMNS($AM$1006:AS1006),$AM$1006:$BM$1006,0)), HYPERLINK("#",""), HYPERLINK(CONCATENATE("#metadata!", ADDRESS(INDEX($AH$2:$AH$1001,MATCH(ROWS($AF$2:AF599),$AF$2:$AF$1001,0),0), INDEX($AM$1004:$BM$1004,1,MATCH(COLUMNS($AM$1006:AS1006),$AM$1006:$BM$1006,0)))),"Fix")))</f>
        <v xml:space="preserve"> </v>
      </c>
      <c r="I599" s="4" t="str">
        <f ca="1">IF(OR(INDEX($AG$2:$AG$1001,MATCH(ROWS($AF$2:AF599),$AF$2:$AF$1001,0),1)&gt;=100000,INDEX($AM$1005:$BM$1005,1,MATCH(COLUMNS($AM$1006:AT1006),$AM$1006:$BM$1006,0))&gt;=100000), " ",IF(INDEX($AM$2:$BM$1001,MATCH(ROWS($AF$2:AF599),$AF$2:$AF$1001,0),MATCH(COLUMNS($AM$1006:AT1006),$AM$1006:$BM$1006,0)), HYPERLINK("#",""), HYPERLINK(CONCATENATE("#metadata!", ADDRESS(INDEX($AH$2:$AH$1001,MATCH(ROWS($AF$2:AF599),$AF$2:$AF$1001,0),0), INDEX($AM$1004:$BM$1004,1,MATCH(COLUMNS($AM$1006:AT1006),$AM$1006:$BM$1006,0)))),"Fix")))</f>
        <v xml:space="preserve"> </v>
      </c>
      <c r="J599" s="4" t="str">
        <f ca="1">IF(OR(INDEX($AG$2:$AG$1001,MATCH(ROWS($AF$2:AF599),$AF$2:$AF$1001,0),1)&gt;=100000,INDEX($AM$1005:$BM$1005,1,MATCH(COLUMNS($AM$1006:AU1006),$AM$1006:$BM$1006,0))&gt;=100000), " ",IF(INDEX($AM$2:$BM$1001,MATCH(ROWS($AF$2:AF599),$AF$2:$AF$1001,0),MATCH(COLUMNS($AM$1006:AU1006),$AM$1006:$BM$1006,0)), HYPERLINK("#",""), HYPERLINK(CONCATENATE("#metadata!", ADDRESS(INDEX($AH$2:$AH$1001,MATCH(ROWS($AF$2:AF599),$AF$2:$AF$1001,0),0), INDEX($AM$1004:$BM$1004,1,MATCH(COLUMNS($AM$1006:AU1006),$AM$1006:$BM$1006,0)))),"Fix")))</f>
        <v xml:space="preserve"> </v>
      </c>
      <c r="K599" s="4" t="str">
        <f ca="1">IF(OR(INDEX($AG$2:$AG$1001,MATCH(ROWS($AF$2:AF599),$AF$2:$AF$1001,0),1)&gt;=100000,INDEX($AM$1005:$BM$1005,1,MATCH(COLUMNS($AM$1006:AV1006),$AM$1006:$BM$1006,0))&gt;=100000), " ",IF(INDEX($AM$2:$BM$1001,MATCH(ROWS($AF$2:AF599),$AF$2:$AF$1001,0),MATCH(COLUMNS($AM$1006:AV1006),$AM$1006:$BM$1006,0)), HYPERLINK("#",""), HYPERLINK(CONCATENATE("#metadata!", ADDRESS(INDEX($AH$2:$AH$1001,MATCH(ROWS($AF$2:AF599),$AF$2:$AF$1001,0),0), INDEX($AM$1004:$BM$1004,1,MATCH(COLUMNS($AM$1006:AV1006),$AM$1006:$BM$1006,0)))),"Fix")))</f>
        <v xml:space="preserve"> </v>
      </c>
      <c r="L599" s="4" t="str">
        <f ca="1">IF(OR(INDEX($AG$2:$AG$1001,MATCH(ROWS($AF$2:AF599),$AF$2:$AF$1001,0),1)&gt;=100000,INDEX($AM$1005:$BM$1005,1,MATCH(COLUMNS($AM$1006:AW1006),$AM$1006:$BM$1006,0))&gt;=100000), " ",IF(INDEX($AM$2:$BM$1001,MATCH(ROWS($AF$2:AF599),$AF$2:$AF$1001,0),MATCH(COLUMNS($AM$1006:AW1006),$AM$1006:$BM$1006,0)), HYPERLINK("#",""), HYPERLINK(CONCATENATE("#metadata!", ADDRESS(INDEX($AH$2:$AH$1001,MATCH(ROWS($AF$2:AF599),$AF$2:$AF$1001,0),0), INDEX($AM$1004:$BM$1004,1,MATCH(COLUMNS($AM$1006:AW1006),$AM$1006:$BM$1006,0)))),"Fix")))</f>
        <v xml:space="preserve"> </v>
      </c>
      <c r="M599" s="4" t="str">
        <f ca="1">IF(OR(INDEX($AG$2:$AG$1001,MATCH(ROWS($AF$2:AF599),$AF$2:$AF$1001,0),1)&gt;=100000,INDEX($AM$1005:$BM$1005,1,MATCH(COLUMNS($AM$1006:AX1006),$AM$1006:$BM$1006,0))&gt;=100000), " ",IF(INDEX($AM$2:$BM$1001,MATCH(ROWS($AF$2:AF599),$AF$2:$AF$1001,0),MATCH(COLUMNS($AM$1006:AX1006),$AM$1006:$BM$1006,0)), HYPERLINK("#",""), HYPERLINK(CONCATENATE("#metadata!", ADDRESS(INDEX($AH$2:$AH$1001,MATCH(ROWS($AF$2:AF599),$AF$2:$AF$1001,0),0), INDEX($AM$1004:$BM$1004,1,MATCH(COLUMNS($AM$1006:AX1006),$AM$1006:$BM$1006,0)))),"Fix")))</f>
        <v xml:space="preserve"> </v>
      </c>
      <c r="N599" s="4" t="str">
        <f ca="1">IF(OR(INDEX($AG$2:$AG$1001,MATCH(ROWS($AF$2:AF599),$AF$2:$AF$1001,0),1)&gt;=100000,INDEX($AM$1005:$BM$1005,1,MATCH(COLUMNS($AM$1006:AY1006),$AM$1006:$BM$1006,0))&gt;=100000), " ",IF(INDEX($AM$2:$BM$1001,MATCH(ROWS($AF$2:AF599),$AF$2:$AF$1001,0),MATCH(COLUMNS($AM$1006:AY1006),$AM$1006:$BM$1006,0)), HYPERLINK("#",""), HYPERLINK(CONCATENATE("#metadata!", ADDRESS(INDEX($AH$2:$AH$1001,MATCH(ROWS($AF$2:AF599),$AF$2:$AF$1001,0),0), INDEX($AM$1004:$BM$1004,1,MATCH(COLUMNS($AM$1006:AY1006),$AM$1006:$BM$1006,0)))),"Fix")))</f>
        <v xml:space="preserve"> </v>
      </c>
      <c r="O599" s="4" t="str">
        <f ca="1">IF(OR(INDEX($AG$2:$AG$1001,MATCH(ROWS($AF$2:AF599),$AF$2:$AF$1001,0),1)&gt;=100000,INDEX($AM$1005:$BM$1005,1,MATCH(COLUMNS($AM$1006:AZ1006),$AM$1006:$BM$1006,0))&gt;=100000), " ",IF(INDEX($AM$2:$BM$1001,MATCH(ROWS($AF$2:AF599),$AF$2:$AF$1001,0),MATCH(COLUMNS($AM$1006:AZ1006),$AM$1006:$BM$1006,0)), HYPERLINK("#",""), HYPERLINK(CONCATENATE("#metadata!", ADDRESS(INDEX($AH$2:$AH$1001,MATCH(ROWS($AF$2:AF599),$AF$2:$AF$1001,0),0), INDEX($AM$1004:$BM$1004,1,MATCH(COLUMNS($AM$1006:AZ1006),$AM$1006:$BM$1006,0)))),"Fix")))</f>
        <v xml:space="preserve"> </v>
      </c>
      <c r="P599" s="4" t="str">
        <f ca="1">IF(OR(INDEX($AG$2:$AG$1001,MATCH(ROWS($AF$2:AF599),$AF$2:$AF$1001,0),1)&gt;=100000,INDEX($AM$1005:$BM$1005,1,MATCH(COLUMNS($AM$1006:BA1006),$AM$1006:$BM$1006,0))&gt;=100000), " ",IF(INDEX($AM$2:$BM$1001,MATCH(ROWS($AF$2:AF599),$AF$2:$AF$1001,0),MATCH(COLUMNS($AM$1006:BA1006),$AM$1006:$BM$1006,0)), HYPERLINK("#",""), HYPERLINK(CONCATENATE("#metadata!", ADDRESS(INDEX($AH$2:$AH$1001,MATCH(ROWS($AF$2:AF599),$AF$2:$AF$1001,0),0), INDEX($AM$1004:$BM$1004,1,MATCH(COLUMNS($AM$1006:BA1006),$AM$1006:$BM$1006,0)))),"Fix")))</f>
        <v xml:space="preserve"> </v>
      </c>
      <c r="Q599" s="4" t="str">
        <f ca="1">IF(OR(INDEX($AG$2:$AG$1001,MATCH(ROWS($AF$2:AF599),$AF$2:$AF$1001,0),1)&gt;=100000,INDEX($AM$1005:$BM$1005,1,MATCH(COLUMNS($AM$1006:BB1006),$AM$1006:$BM$1006,0))&gt;=100000), " ",IF(INDEX($AM$2:$BM$1001,MATCH(ROWS($AF$2:AF599),$AF$2:$AF$1001,0),MATCH(COLUMNS($AM$1006:BB1006),$AM$1006:$BM$1006,0)), HYPERLINK("#",""), HYPERLINK(CONCATENATE("#metadata!", ADDRESS(INDEX($AH$2:$AH$1001,MATCH(ROWS($AF$2:AF599),$AF$2:$AF$1001,0),0), INDEX($AM$1004:$BM$1004,1,MATCH(COLUMNS($AM$1006:BB1006),$AM$1006:$BM$1006,0)))),"Fix")))</f>
        <v xml:space="preserve"> </v>
      </c>
      <c r="R599" s="4" t="str">
        <f ca="1">IF(OR(INDEX($AG$2:$AG$1001,MATCH(ROWS($AF$2:AF599),$AF$2:$AF$1001,0),1)&gt;=100000,INDEX($AM$1005:$BM$1005,1,MATCH(COLUMNS($AM$1006:BC1006),$AM$1006:$BM$1006,0))&gt;=100000), " ",IF(INDEX($AM$2:$BM$1001,MATCH(ROWS($AF$2:AF599),$AF$2:$AF$1001,0),MATCH(COLUMNS($AM$1006:BC1006),$AM$1006:$BM$1006,0)), HYPERLINK("#",""), HYPERLINK(CONCATENATE("#metadata!", ADDRESS(INDEX($AH$2:$AH$1001,MATCH(ROWS($AF$2:AF599),$AF$2:$AF$1001,0),0), INDEX($AM$1004:$BM$1004,1,MATCH(COLUMNS($AM$1006:BC1006),$AM$1006:$BM$1006,0)))),"Fix")))</f>
        <v xml:space="preserve"> </v>
      </c>
      <c r="S599" s="4" t="str">
        <f ca="1">IF(OR(INDEX($AG$2:$AG$1001,MATCH(ROWS($AF$2:AF599),$AF$2:$AF$1001,0),1)&gt;=100000,INDEX($AM$1005:$BM$1005,1,MATCH(COLUMNS($AM$1006:BD1006),$AM$1006:$BM$1006,0))&gt;=100000), " ",IF(INDEX($AM$2:$BM$1001,MATCH(ROWS($AF$2:AF599),$AF$2:$AF$1001,0),MATCH(COLUMNS($AM$1006:BD1006),$AM$1006:$BM$1006,0)), HYPERLINK("#",""), HYPERLINK(CONCATENATE("#metadata!", ADDRESS(INDEX($AH$2:$AH$1001,MATCH(ROWS($AF$2:AF599),$AF$2:$AF$1001,0),0), INDEX($AM$1004:$BM$1004,1,MATCH(COLUMNS($AM$1006:BD1006),$AM$1006:$BM$1006,0)))),"Fix")))</f>
        <v xml:space="preserve"> </v>
      </c>
      <c r="T599" s="4" t="str">
        <f ca="1">IF(OR(INDEX($AG$2:$AG$1001,MATCH(ROWS($AF$2:AF599),$AF$2:$AF$1001,0),1)&gt;=100000,INDEX($AM$1005:$BM$1005,1,MATCH(COLUMNS($AM$1006:BE1006),$AM$1006:$BM$1006,0))&gt;=100000), " ",IF(INDEX($AM$2:$BM$1001,MATCH(ROWS($AF$2:AF599),$AF$2:$AF$1001,0),MATCH(COLUMNS($AM$1006:BE1006),$AM$1006:$BM$1006,0)), HYPERLINK("#",""), HYPERLINK(CONCATENATE("#metadata!", ADDRESS(INDEX($AH$2:$AH$1001,MATCH(ROWS($AF$2:AF599),$AF$2:$AF$1001,0),0), INDEX($AM$1004:$BM$1004,1,MATCH(COLUMNS($AM$1006:BE1006),$AM$1006:$BM$1006,0)))),"Fix")))</f>
        <v xml:space="preserve"> </v>
      </c>
      <c r="U599" s="4" t="str">
        <f ca="1">IF(OR(INDEX($AG$2:$AG$1001,MATCH(ROWS($AF$2:AF599),$AF$2:$AF$1001,0),1)&gt;=100000,INDEX($AM$1005:$BM$1005,1,MATCH(COLUMNS($AM$1006:BF1006),$AM$1006:$BM$1006,0))&gt;=100000), " ",IF(INDEX($AM$2:$BM$1001,MATCH(ROWS($AF$2:AF599),$AF$2:$AF$1001,0),MATCH(COLUMNS($AM$1006:BF1006),$AM$1006:$BM$1006,0)), HYPERLINK("#",""), HYPERLINK(CONCATENATE("#metadata!", ADDRESS(INDEX($AH$2:$AH$1001,MATCH(ROWS($AF$2:AF599),$AF$2:$AF$1001,0),0), INDEX($AM$1004:$BM$1004,1,MATCH(COLUMNS($AM$1006:BF1006),$AM$1006:$BM$1006,0)))),"Fix")))</f>
        <v xml:space="preserve"> </v>
      </c>
      <c r="V599" s="4" t="str">
        <f ca="1">IF(OR(INDEX($AG$2:$AG$1001,MATCH(ROWS($AF$2:AF599),$AF$2:$AF$1001,0),1)&gt;=100000,INDEX($AM$1005:$BM$1005,1,MATCH(COLUMNS($AM$1006:BG1006),$AM$1006:$BM$1006,0))&gt;=100000), " ",IF(INDEX($AM$2:$BM$1001,MATCH(ROWS($AF$2:AF599),$AF$2:$AF$1001,0),MATCH(COLUMNS($AM$1006:BG1006),$AM$1006:$BM$1006,0)), HYPERLINK("#",""), HYPERLINK(CONCATENATE("#metadata!", ADDRESS(INDEX($AH$2:$AH$1001,MATCH(ROWS($AF$2:AF599),$AF$2:$AF$1001,0),0), INDEX($AM$1004:$BM$1004,1,MATCH(COLUMNS($AM$1006:BG1006),$AM$1006:$BM$1006,0)))),"Fix")))</f>
        <v xml:space="preserve"> </v>
      </c>
      <c r="W599" s="4" t="str">
        <f ca="1">IF(OR(INDEX($AG$2:$AG$1001,MATCH(ROWS($AF$2:AF599),$AF$2:$AF$1001,0),1)&gt;=100000,INDEX($AM$1005:$BM$1005,1,MATCH(COLUMNS($AM$1006:BH1006),$AM$1006:$BM$1006,0))&gt;=100000), " ",IF(INDEX($AM$2:$BM$1001,MATCH(ROWS($AF$2:AF599),$AF$2:$AF$1001,0),MATCH(COLUMNS($AM$1006:BH1006),$AM$1006:$BM$1006,0)), HYPERLINK("#",""), HYPERLINK(CONCATENATE("#metadata!", ADDRESS(INDEX($AH$2:$AH$1001,MATCH(ROWS($AF$2:AF599),$AF$2:$AF$1001,0),0), INDEX($AM$1004:$BM$1004,1,MATCH(COLUMNS($AM$1006:BH1006),$AM$1006:$BM$1006,0)))),"Fix")))</f>
        <v xml:space="preserve"> </v>
      </c>
      <c r="X599" s="4" t="str">
        <f ca="1">IF(OR(INDEX($AG$2:$AG$1001,MATCH(ROWS($AF$2:AF599),$AF$2:$AF$1001,0),1)&gt;=100000,INDEX($AM$1005:$BM$1005,1,MATCH(COLUMNS($AM$1006:BI1006),$AM$1006:$BM$1006,0))&gt;=100000), " ",IF(INDEX($AM$2:$BM$1001,MATCH(ROWS($AF$2:AF599),$AF$2:$AF$1001,0),MATCH(COLUMNS($AM$1006:BI1006),$AM$1006:$BM$1006,0)), HYPERLINK("#",""), HYPERLINK(CONCATENATE("#metadata!", ADDRESS(INDEX($AH$2:$AH$1001,MATCH(ROWS($AF$2:AF599),$AF$2:$AF$1001,0),0), INDEX($AM$1004:$BM$1004,1,MATCH(COLUMNS($AM$1006:BI1006),$AM$1006:$BM$1006,0)))),"Fix")))</f>
        <v xml:space="preserve"> </v>
      </c>
      <c r="Y599" s="4" t="str">
        <f ca="1">IF(OR(INDEX($AG$2:$AG$1001,MATCH(ROWS($AF$2:AF599),$AF$2:$AF$1001,0),1)&gt;=100000,INDEX($AM$1005:$BM$1005,1,MATCH(COLUMNS($AM$1006:BJ1006),$AM$1006:$BM$1006,0))&gt;=100000), " ",IF(INDEX($AM$2:$BM$1001,MATCH(ROWS($AF$2:AF599),$AF$2:$AF$1001,0),MATCH(COLUMNS($AM$1006:BJ1006),$AM$1006:$BM$1006,0)), HYPERLINK("#",""), HYPERLINK(CONCATENATE("#metadata!", ADDRESS(INDEX($AH$2:$AH$1001,MATCH(ROWS($AF$2:AF599),$AF$2:$AF$1001,0),0), INDEX($AM$1004:$BM$1004,1,MATCH(COLUMNS($AM$1006:BJ1006),$AM$1006:$BM$1006,0)))),"Fix")))</f>
        <v xml:space="preserve"> </v>
      </c>
      <c r="Z599" s="4" t="str">
        <f ca="1">IF(OR(INDEX($AG$2:$AG$1001,MATCH(ROWS($AF$2:AF599),$AF$2:$AF$1001,0),1)&gt;=100000,INDEX($AM$1005:$BM$1005,1,MATCH(COLUMNS($AM$1006:BK1006),$AM$1006:$BM$1006,0))&gt;=100000), " ",IF(INDEX($AM$2:$BM$1001,MATCH(ROWS($AF$2:AF599),$AF$2:$AF$1001,0),MATCH(COLUMNS($AM$1006:BK1006),$AM$1006:$BM$1006,0)), HYPERLINK("#",""), HYPERLINK(CONCATENATE("#metadata!", ADDRESS(INDEX($AH$2:$AH$1001,MATCH(ROWS($AF$2:AF599),$AF$2:$AF$1001,0),0), INDEX($AM$1004:$BM$1004,1,MATCH(COLUMNS($AM$1006:BK1006),$AM$1006:$BM$1006,0)))),"Fix")))</f>
        <v xml:space="preserve"> </v>
      </c>
      <c r="AA599" s="4" t="str">
        <f ca="1">IF(OR(INDEX($AG$2:$AG$1001,MATCH(ROWS($AF$2:AF599),$AF$2:$AF$1001,0),1)&gt;=100000,INDEX($AM$1005:$BM$1005,1,MATCH(COLUMNS($AM$1006:BL1006),$AM$1006:$BM$1006,0))&gt;=100000), " ",IF(INDEX($AM$2:$BM$1001,MATCH(ROWS($AF$2:AF599),$AF$2:$AF$1001,0),MATCH(COLUMNS($AM$1006:BL1006),$AM$1006:$BM$1006,0)), HYPERLINK("#",""), HYPERLINK(CONCATENATE("#metadata!", ADDRESS(INDEX($AH$2:$AH$1001,MATCH(ROWS($AF$2:AF599),$AF$2:$AF$1001,0),0), INDEX($AM$1004:$BM$1004,1,MATCH(COLUMNS($AM$1006:BL1006),$AM$1006:$BM$1006,0)))),"Fix")))</f>
        <v xml:space="preserve"> </v>
      </c>
      <c r="AB599" s="4" t="str">
        <f ca="1">IF(OR(INDEX($AG$2:$AG$1001,MATCH(ROWS($AF$2:AF599),$AF$2:$AF$1001,0),1)&gt;=100000,INDEX($AM$1005:$BM$1005,1,MATCH(COLUMNS($AM$1006:BM1006),$AM$1006:$BM$1006,0))&gt;=100000), " ",IF(INDEX($AM$2:$BM$1001,MATCH(ROWS($AF$2:AF599),$AF$2:$AF$1001,0),MATCH(COLUMNS($AM$1006:BM1006),$AM$1006:$BM$1006,0)), HYPERLINK("#",""), HYPERLINK(CONCATENATE("#metadata!", ADDRESS(INDEX($AH$2:$AH$1001,MATCH(ROWS($AF$2:AF599),$AF$2:$AF$1001,0),0), INDEX($AM$1004:$BM$1004,1,MATCH(COLUMNS($AM$1006:BM1006),$AM$1006:$BM$1006,0)))),"Fix")))</f>
        <v xml:space="preserve"> </v>
      </c>
      <c r="AF599">
        <v>598</v>
      </c>
      <c r="AG599">
        <v>100599</v>
      </c>
      <c r="AH599">
        <v>599</v>
      </c>
      <c r="AI599" t="b">
        <f t="shared" si="9"/>
        <v>1</v>
      </c>
      <c r="AJ599" t="b">
        <f>COUNTBLANK(metadata!B599:AB599)=COLUMNS(metadata!B599:AB599)</f>
        <v>1</v>
      </c>
      <c r="AK599" t="str">
        <v/>
      </c>
      <c r="AM599" t="b">
        <f ca="1">AND(IF(metadata!B599="",FALSE,TRUE),COUNTIF(metadata!B:B, metadata!B599) = 1,NOT(ISERROR(SUMPRODUCT(SEARCH(MID(metadata!B599,ROW(INDIRECT("1:"&amp;LEN(metadata!B599))), 1),"0123456789abcdefghijklmnopqrstuvwxyzABCDEFGHIJKLMNOPQRSTUVWXYZ.")))))</f>
        <v>0</v>
      </c>
      <c r="AN599" t="b">
        <f ca="1">OR(AND(IF(metadata!C599="",FALSE,TRUE),OR(EXACT(metadata!C599,"missing: not collected"),EXACT(metadata!C599,"missing: not provided"),EXACT(metadata!C599,"missing: restricted access"))),AND(IF(metadata!C599="",FALSE,TRUE),AND(AND(IFERROR(INT(LEFT(metadata!C599,4))&gt;1900,FALSE),IFERROR(INT(LEFT(metadata!C599,4))&lt;=YEAR(NOW()),FALSE)), OR(MID(metadata!C599,5,1)="", AND(AND(MID(metadata!C599,5,1)="-",IFERROR(INT(MID(metadata!C599,6,1))&gt;=0,FALSE),IFERROR(INT(MID(metadata!C599,6,1))&lt;=1,FALSE),NOT(MID(metadata!C599,7,1)=""),IFERROR(INT(MID(metadata!C599,6,2))&gt;=1,FALSE),IFERROR(INT(MID(metadata!C599,6,2))&lt;=12,FALSE)), OR(MID(metadata!C599,8,1)="", AND(AND(MID(metadata!C599,8,1)="-",IFERROR(INT(MID(metadata!C599,9,1))&gt;=0,FALSE),IFERROR(INT(MID(metadata!C599,9,1))&lt;=3,FALSE),NOT(MID(metadata!C599,10,1)=""),IFERROR(INT(MID(metadata!C599,9,2))&gt;=1,FALSE),IFERROR(INT(MID(metadata!C599,9,2))&lt;=31,FALSE)), OR(MID(metadata!C599,11,1)="", AND(AND(MID(metadata!C599,11,1)=" ",IFERROR(INT(MID(metadata!C599,12,1))&gt;=0,FALSE),IFERROR(INT(MID(metadata!C599,12,1))&lt;=2,FALSE),NOT(MID(metadata!C599,13,1)=""),IFERROR(INT(MID(metadata!C599,12,2))&gt;=0,FALSE),IFERROR(INT(MID(metadata!C599,12,2))&lt;=23,FALSE)), OR(MID(metadata!C599,14,1)="", AND(AND(MID(metadata!C599,14,1)=":",IFERROR(INT(MID(metadata!C599,15,1))&gt;=0,FALSE),IFERROR(INT(MID(metadata!C599,15,1))&lt;=5,FALSE),NOT(MID(metadata!C599,16,1)=""),IFERROR(INT(MID(metadata!C599,15,2))&gt;=0,FALSE),IFERROR(INT(MID(metadata!C599,15,2))&lt;=59,FALSE)), OR(MID(metadata!C599,17,1)="", AND(AND(MID(metadata!C599,17,1)=":",IFERROR(INT(MID(metadata!C599,18,1))&gt;=0,FALSE),IFERROR(INT(MID(metadata!C599,18,1))&lt;=5,FALSE),NOT(MID(metadata!C599,19,1)=""),IFERROR(INT(MID(metadata!C599,18,2))&gt;=0,FALSE),IFERROR(INT(MID(metadata!C599,18,2))&lt;=59,FALSE)), LEN(metadata!C599)&lt;=19)))))))))))))</f>
        <v>0</v>
      </c>
      <c r="AO599" t="b">
        <f>AND(IF(metadata!D599="",FALSE,TRUE),EXACT(metadata!D599,"Not applicable"))</f>
        <v>0</v>
      </c>
      <c r="AP599" t="b">
        <f>IF(metadata!E599="",FALSE,TRUE)</f>
        <v>0</v>
      </c>
      <c r="AQ599" t="b">
        <f>OR(AND(IF(metadata!F599="",FALSE,TRUE),OR(EXACT(metadata!F599,"missing: not collected"),EXACT(metadata!F599,"missing: not provided"))),AND(IF(metadata!F599="",FALSE,TRUE),OR(EXACT(metadata!F599,"TRUE"),EXACT(metadata!F599,"FALSE"))))</f>
        <v>0</v>
      </c>
      <c r="AR599" t="b">
        <f>OR(AND(IF(metadata!G599="",FALSE,TRUE),OR(EXACT(metadata!G599,"missing: not collected"),EXACT(metadata!G599,"missing: not provided"),EXACT(metadata!G599,"missing: restricted access"))),AND(IF(metadata!G599="",FALSE,ISNUMBER(VALUE(metadata!G599))),metadata!G599&gt;=-413))</f>
        <v>0</v>
      </c>
      <c r="AS599" t="b">
        <f>AND(IF(metadata!H599="",FALSE,TRUE),EXACT(metadata!H599,"meters"))</f>
        <v>0</v>
      </c>
      <c r="AT599" t="b">
        <f>AND(IF(metadata!I599="",FALSE,TRUE),OR(EXACT(metadata!I599,"Host-associated"),EXACT(metadata!I599,"Free-living")))</f>
        <v>0</v>
      </c>
      <c r="AU599" t="b">
        <f>AND(IF(metadata!J599="",FALSE,TRUE),OR(EXACT(metadata!J599,"Animal"),EXACT(metadata!J599,"Fungus"),EXACT(metadata!J599,"Plant"),EXACT(metadata!J599,"Saline"),EXACT(metadata!J599,"Non-saline")))</f>
        <v>0</v>
      </c>
      <c r="AV599" t="b">
        <f>AND(IF(metadata!K599="",FALSE,TRUE),OR(EXACT(metadata!K599,"Plant secretion"),EXACT(metadata!K599,"Plant rhizosphere"),EXACT(metadata!K599,"Plant surface"),EXACT(metadata!K599,"Plant corpus"),EXACT(metadata!K599,"Fungus surface"),EXACT(metadata!K599,"Fungus corpus"),EXACT(metadata!K599,"Animal surface"),EXACT(metadata!K599,"Animal proximal gut"),EXACT(metadata!K599,"Animal corpus"),EXACT(metadata!K599,"Animal distal gut"),EXACT(metadata!K599,"Animal secretion"),EXACT(metadata!K599,"Sub-surface (non-saline)"),EXACT(metadata!K599,"Surface (non-saline)"),EXACT(metadata!K599,"Water (non-saline)"),EXACT(metadata!K599,"Soil (non-saline)"),EXACT(metadata!K599,"Aerosol (non-saline)"),EXACT(metadata!K599,"Sediment (non-saline)"),EXACT(metadata!K599,"Surface (saline)"),EXACT(metadata!K599,"Water (saline)"),EXACT(metadata!K599,"Hypersaline (saline)"),EXACT(metadata!K599,"Aerosol (saline)"),EXACT(metadata!K599,"Sediment (saline)")))</f>
        <v>0</v>
      </c>
      <c r="AW599" t="b">
        <f>IF(metadata!L599="",FALSE,TRUE)</f>
        <v>0</v>
      </c>
      <c r="AX599" t="b">
        <f>IF(metadata!M599="",FALSE,TRUE)</f>
        <v>0</v>
      </c>
      <c r="AY599" t="b">
        <f>IF(metadata!N599="",FALSE,TRUE)</f>
        <v>0</v>
      </c>
      <c r="AZ599" t="b">
        <f>OR(AND(IF(metadata!O599="",FALSE,TRUE),OR(EXACT(metadata!O599,"missing: not collected"),EXACT(metadata!O599,"missing: not provided"),EXACT(metadata!O599,"missing: restricted access"))),AND(IF(metadata!O599="",FALSE,TRUE),OR(EXACT(metadata!O599,"air"),EXACT(metadata!O599,"built environment"),EXACT(metadata!O599,"host-associated"),EXACT(metadata!O599,"human-associated"),EXACT(metadata!O599,"human-skin"),EXACT(metadata!O599,"human-oral"),EXACT(metadata!O599,"human-gut"),EXACT(metadata!O599,"human-vaginal"),EXACT(metadata!O599,"microbial mat/biofilm"),EXACT(metadata!O599,"misc environment"),EXACT(metadata!O599,"plant-associated"),EXACT(metadata!O599,"sediment"),EXACT(metadata!O599,"soil"),EXACT(metadata!O599,"wastewater/sludge"),EXACT(metadata!O599,"water"))))</f>
        <v>0</v>
      </c>
      <c r="BA599" t="b">
        <f>IF(metadata!P599="",FALSE,TRUE)</f>
        <v>0</v>
      </c>
      <c r="BB599" t="b">
        <f>IF(metadata!Q599="",FALSE,TRUE)</f>
        <v>0</v>
      </c>
      <c r="BC599" t="b">
        <f>OR(AND(IF(metadata!R599="",FALSE,TRUE),OR(EXACT(metadata!R599,"missing: not collected"),EXACT(metadata!R599,"missing: not provided"),EXACT(metadata!R599,"missing: restricted access"))),AND(IF(metadata!R599="",FALSE,ISNUMBER(VALUE(metadata!R599))),metadata!R599&gt;=-90,metadata!R599&lt;=90))</f>
        <v>0</v>
      </c>
      <c r="BD599" t="b">
        <f>AND(IF(metadata!S599="",FALSE,TRUE),EXACT(metadata!S599,"Decimal degrees"))</f>
        <v>0</v>
      </c>
      <c r="BE599" t="b">
        <f>OR(AND(IF(metadata!T599="",FALSE,TRUE),OR(EXACT(metadata!T599,"missing: not collected"),EXACT(metadata!T599,"missing: not provided"),EXACT(metadata!T599,"missing: restricted access"))),AND(IF(metadata!T599="",FALSE,ISNUMBER(VALUE(metadata!T599))),metadata!T599&gt;=-180,metadata!T599&lt;=180))</f>
        <v>0</v>
      </c>
      <c r="BF599" t="b">
        <f>AND(IF(metadata!U599="",FALSE,TRUE),EXACT(metadata!U599,"Decimal degrees"))</f>
        <v>0</v>
      </c>
      <c r="BG599" t="b">
        <f>IF(metadata!V599="",FALSE,TRUE)</f>
        <v>0</v>
      </c>
      <c r="BH599" t="b">
        <f>OR(AND(IF(metadata!W599="",FALSE,TRUE),OR(EXACT(metadata!W599,"missing: not collected"),EXACT(metadata!W599,"missing: not provided"),EXACT(metadata!W599,"missing: restricted access"))),AND(IF(metadata!W599="",FALSE,TRUE),OR(EXACT(metadata!W599,"TRUE"),EXACT(metadata!W599,"FALSE"))))</f>
        <v>0</v>
      </c>
      <c r="BI599" t="b">
        <f>AND(IF(metadata!X599="",FALSE,TRUE),EXACT(metadata!X599,"other"))</f>
        <v>0</v>
      </c>
      <c r="BJ599" t="b">
        <f>IF(metadata!Y599="",FALSE,TRUE)</f>
        <v>0</v>
      </c>
      <c r="BK599" t="b">
        <f>OR(AND(IF(metadata!Z599="",FALSE,TRUE),OR(EXACT(metadata!Z599,"missing: not collected"),EXACT(metadata!Z599,"missing: not provided"))),AND(IF(metadata!Z599="",FALSE,IF(ISERROR(INT(metadata!Z599)),FALSE,INT(metadata!Z599)=metadata!Z599)),metadata!Z599&gt;0))</f>
        <v>0</v>
      </c>
      <c r="BL599" t="b">
        <f>AND(IF(metadata!AA599="",FALSE,TRUE),EXACT(metadata!AA599,"Not applicable"))</f>
        <v>0</v>
      </c>
      <c r="BM599" t="b">
        <f>IF(metadata!AB599="",FALSE,TRUE)</f>
        <v>0</v>
      </c>
    </row>
    <row r="600" spans="1:65" x14ac:dyDescent="0.2">
      <c r="A600" s="5" t="str">
        <f ca="1">IF(B600=" "," ",HYPERLINK(CONCATENATE("#metadata!",ADDRESS(INDEX($AH$2:$AH$1001,MATCH(ROWS($AF$2:AF600),$AF$2:$AF$1001,0),0),1)),INDEX($AK$2:$AK$1001,MATCH(ROWS($AF$2:AF600),$AF$2:$AF$1001,0),0)))</f>
        <v xml:space="preserve"> </v>
      </c>
      <c r="B600" s="4" t="str">
        <f ca="1">IF(OR(INDEX($AG$2:$AG$1001,MATCH(ROWS($AF$2:AF600),$AF$2:$AF$1001,0),1)&gt;=100000,INDEX($AM$1005:$BM$1005,1,MATCH(COLUMNS($AM$1006:AM1006),$AM$1006:$BM$1006,0))&gt;=100000), " ",IF(INDEX($AM$2:$BM$1001,MATCH(ROWS($AF$2:AF600),$AF$2:$AF$1001,0),MATCH(COLUMNS($AM$1006:AM1006),$AM$1006:$BM$1006,0)), HYPERLINK("#",""), HYPERLINK(CONCATENATE("#metadata!", ADDRESS(INDEX($AH$2:$AH$1001,MATCH(ROWS($AF$2:AF600),$AF$2:$AF$1001,0),0), INDEX($AM$1004:$BM$1004,1,MATCH(COLUMNS($AM$1006:AM1006),$AM$1006:$BM$1006,0)))),"Fix")))</f>
        <v xml:space="preserve"> </v>
      </c>
      <c r="C600" s="4" t="str">
        <f ca="1">IF(OR(INDEX($AG$2:$AG$1001,MATCH(ROWS($AF$2:AF600),$AF$2:$AF$1001,0),1)&gt;=100000,INDEX($AM$1005:$BM$1005,1,MATCH(COLUMNS($AM$1006:AN1006),$AM$1006:$BM$1006,0))&gt;=100000), " ",IF(INDEX($AM$2:$BM$1001,MATCH(ROWS($AF$2:AF600),$AF$2:$AF$1001,0),MATCH(COLUMNS($AM$1006:AN1006),$AM$1006:$BM$1006,0)), HYPERLINK("#",""), HYPERLINK(CONCATENATE("#metadata!", ADDRESS(INDEX($AH$2:$AH$1001,MATCH(ROWS($AF$2:AF600),$AF$2:$AF$1001,0),0), INDEX($AM$1004:$BM$1004,1,MATCH(COLUMNS($AM$1006:AN1006),$AM$1006:$BM$1006,0)))),"Fix")))</f>
        <v xml:space="preserve"> </v>
      </c>
      <c r="D600" s="4" t="str">
        <f ca="1">IF(OR(INDEX($AG$2:$AG$1001,MATCH(ROWS($AF$2:AF600),$AF$2:$AF$1001,0),1)&gt;=100000,INDEX($AM$1005:$BM$1005,1,MATCH(COLUMNS($AM$1006:AO1006),$AM$1006:$BM$1006,0))&gt;=100000), " ",IF(INDEX($AM$2:$BM$1001,MATCH(ROWS($AF$2:AF600),$AF$2:$AF$1001,0),MATCH(COLUMNS($AM$1006:AO1006),$AM$1006:$BM$1006,0)), HYPERLINK("#",""), HYPERLINK(CONCATENATE("#metadata!", ADDRESS(INDEX($AH$2:$AH$1001,MATCH(ROWS($AF$2:AF600),$AF$2:$AF$1001,0),0), INDEX($AM$1004:$BM$1004,1,MATCH(COLUMNS($AM$1006:AO1006),$AM$1006:$BM$1006,0)))),"Fix")))</f>
        <v xml:space="preserve"> </v>
      </c>
      <c r="E600" s="4" t="str">
        <f ca="1">IF(OR(INDEX($AG$2:$AG$1001,MATCH(ROWS($AF$2:AF600),$AF$2:$AF$1001,0),1)&gt;=100000,INDEX($AM$1005:$BM$1005,1,MATCH(COLUMNS($AM$1006:AP1006),$AM$1006:$BM$1006,0))&gt;=100000), " ",IF(INDEX($AM$2:$BM$1001,MATCH(ROWS($AF$2:AF600),$AF$2:$AF$1001,0),MATCH(COLUMNS($AM$1006:AP1006),$AM$1006:$BM$1006,0)), HYPERLINK("#",""), HYPERLINK(CONCATENATE("#metadata!", ADDRESS(INDEX($AH$2:$AH$1001,MATCH(ROWS($AF$2:AF600),$AF$2:$AF$1001,0),0), INDEX($AM$1004:$BM$1004,1,MATCH(COLUMNS($AM$1006:AP1006),$AM$1006:$BM$1006,0)))),"Fix")))</f>
        <v xml:space="preserve"> </v>
      </c>
      <c r="F600" s="4" t="str">
        <f ca="1">IF(OR(INDEX($AG$2:$AG$1001,MATCH(ROWS($AF$2:AF600),$AF$2:$AF$1001,0),1)&gt;=100000,INDEX($AM$1005:$BM$1005,1,MATCH(COLUMNS($AM$1006:AQ1006),$AM$1006:$BM$1006,0))&gt;=100000), " ",IF(INDEX($AM$2:$BM$1001,MATCH(ROWS($AF$2:AF600),$AF$2:$AF$1001,0),MATCH(COLUMNS($AM$1006:AQ1006),$AM$1006:$BM$1006,0)), HYPERLINK("#",""), HYPERLINK(CONCATENATE("#metadata!", ADDRESS(INDEX($AH$2:$AH$1001,MATCH(ROWS($AF$2:AF600),$AF$2:$AF$1001,0),0), INDEX($AM$1004:$BM$1004,1,MATCH(COLUMNS($AM$1006:AQ1006),$AM$1006:$BM$1006,0)))),"Fix")))</f>
        <v xml:space="preserve"> </v>
      </c>
      <c r="G600" s="4" t="str">
        <f ca="1">IF(OR(INDEX($AG$2:$AG$1001,MATCH(ROWS($AF$2:AF600),$AF$2:$AF$1001,0),1)&gt;=100000,INDEX($AM$1005:$BM$1005,1,MATCH(COLUMNS($AM$1006:AR1006),$AM$1006:$BM$1006,0))&gt;=100000), " ",IF(INDEX($AM$2:$BM$1001,MATCH(ROWS($AF$2:AF600),$AF$2:$AF$1001,0),MATCH(COLUMNS($AM$1006:AR1006),$AM$1006:$BM$1006,0)), HYPERLINK("#",""), HYPERLINK(CONCATENATE("#metadata!", ADDRESS(INDEX($AH$2:$AH$1001,MATCH(ROWS($AF$2:AF600),$AF$2:$AF$1001,0),0), INDEX($AM$1004:$BM$1004,1,MATCH(COLUMNS($AM$1006:AR1006),$AM$1006:$BM$1006,0)))),"Fix")))</f>
        <v xml:space="preserve"> </v>
      </c>
      <c r="H600" s="4" t="str">
        <f ca="1">IF(OR(INDEX($AG$2:$AG$1001,MATCH(ROWS($AF$2:AF600),$AF$2:$AF$1001,0),1)&gt;=100000,INDEX($AM$1005:$BM$1005,1,MATCH(COLUMNS($AM$1006:AS1006),$AM$1006:$BM$1006,0))&gt;=100000), " ",IF(INDEX($AM$2:$BM$1001,MATCH(ROWS($AF$2:AF600),$AF$2:$AF$1001,0),MATCH(COLUMNS($AM$1006:AS1006),$AM$1006:$BM$1006,0)), HYPERLINK("#",""), HYPERLINK(CONCATENATE("#metadata!", ADDRESS(INDEX($AH$2:$AH$1001,MATCH(ROWS($AF$2:AF600),$AF$2:$AF$1001,0),0), INDEX($AM$1004:$BM$1004,1,MATCH(COLUMNS($AM$1006:AS1006),$AM$1006:$BM$1006,0)))),"Fix")))</f>
        <v xml:space="preserve"> </v>
      </c>
      <c r="I600" s="4" t="str">
        <f ca="1">IF(OR(INDEX($AG$2:$AG$1001,MATCH(ROWS($AF$2:AF600),$AF$2:$AF$1001,0),1)&gt;=100000,INDEX($AM$1005:$BM$1005,1,MATCH(COLUMNS($AM$1006:AT1006),$AM$1006:$BM$1006,0))&gt;=100000), " ",IF(INDEX($AM$2:$BM$1001,MATCH(ROWS($AF$2:AF600),$AF$2:$AF$1001,0),MATCH(COLUMNS($AM$1006:AT1006),$AM$1006:$BM$1006,0)), HYPERLINK("#",""), HYPERLINK(CONCATENATE("#metadata!", ADDRESS(INDEX($AH$2:$AH$1001,MATCH(ROWS($AF$2:AF600),$AF$2:$AF$1001,0),0), INDEX($AM$1004:$BM$1004,1,MATCH(COLUMNS($AM$1006:AT1006),$AM$1006:$BM$1006,0)))),"Fix")))</f>
        <v xml:space="preserve"> </v>
      </c>
      <c r="J600" s="4" t="str">
        <f ca="1">IF(OR(INDEX($AG$2:$AG$1001,MATCH(ROWS($AF$2:AF600),$AF$2:$AF$1001,0),1)&gt;=100000,INDEX($AM$1005:$BM$1005,1,MATCH(COLUMNS($AM$1006:AU1006),$AM$1006:$BM$1006,0))&gt;=100000), " ",IF(INDEX($AM$2:$BM$1001,MATCH(ROWS($AF$2:AF600),$AF$2:$AF$1001,0),MATCH(COLUMNS($AM$1006:AU1006),$AM$1006:$BM$1006,0)), HYPERLINK("#",""), HYPERLINK(CONCATENATE("#metadata!", ADDRESS(INDEX($AH$2:$AH$1001,MATCH(ROWS($AF$2:AF600),$AF$2:$AF$1001,0),0), INDEX($AM$1004:$BM$1004,1,MATCH(COLUMNS($AM$1006:AU1006),$AM$1006:$BM$1006,0)))),"Fix")))</f>
        <v xml:space="preserve"> </v>
      </c>
      <c r="K600" s="4" t="str">
        <f ca="1">IF(OR(INDEX($AG$2:$AG$1001,MATCH(ROWS($AF$2:AF600),$AF$2:$AF$1001,0),1)&gt;=100000,INDEX($AM$1005:$BM$1005,1,MATCH(COLUMNS($AM$1006:AV1006),$AM$1006:$BM$1006,0))&gt;=100000), " ",IF(INDEX($AM$2:$BM$1001,MATCH(ROWS($AF$2:AF600),$AF$2:$AF$1001,0),MATCH(COLUMNS($AM$1006:AV1006),$AM$1006:$BM$1006,0)), HYPERLINK("#",""), HYPERLINK(CONCATENATE("#metadata!", ADDRESS(INDEX($AH$2:$AH$1001,MATCH(ROWS($AF$2:AF600),$AF$2:$AF$1001,0),0), INDEX($AM$1004:$BM$1004,1,MATCH(COLUMNS($AM$1006:AV1006),$AM$1006:$BM$1006,0)))),"Fix")))</f>
        <v xml:space="preserve"> </v>
      </c>
      <c r="L600" s="4" t="str">
        <f ca="1">IF(OR(INDEX($AG$2:$AG$1001,MATCH(ROWS($AF$2:AF600),$AF$2:$AF$1001,0),1)&gt;=100000,INDEX($AM$1005:$BM$1005,1,MATCH(COLUMNS($AM$1006:AW1006),$AM$1006:$BM$1006,0))&gt;=100000), " ",IF(INDEX($AM$2:$BM$1001,MATCH(ROWS($AF$2:AF600),$AF$2:$AF$1001,0),MATCH(COLUMNS($AM$1006:AW1006),$AM$1006:$BM$1006,0)), HYPERLINK("#",""), HYPERLINK(CONCATENATE("#metadata!", ADDRESS(INDEX($AH$2:$AH$1001,MATCH(ROWS($AF$2:AF600),$AF$2:$AF$1001,0),0), INDEX($AM$1004:$BM$1004,1,MATCH(COLUMNS($AM$1006:AW1006),$AM$1006:$BM$1006,0)))),"Fix")))</f>
        <v xml:space="preserve"> </v>
      </c>
      <c r="M600" s="4" t="str">
        <f ca="1">IF(OR(INDEX($AG$2:$AG$1001,MATCH(ROWS($AF$2:AF600),$AF$2:$AF$1001,0),1)&gt;=100000,INDEX($AM$1005:$BM$1005,1,MATCH(COLUMNS($AM$1006:AX1006),$AM$1006:$BM$1006,0))&gt;=100000), " ",IF(INDEX($AM$2:$BM$1001,MATCH(ROWS($AF$2:AF600),$AF$2:$AF$1001,0),MATCH(COLUMNS($AM$1006:AX1006),$AM$1006:$BM$1006,0)), HYPERLINK("#",""), HYPERLINK(CONCATENATE("#metadata!", ADDRESS(INDEX($AH$2:$AH$1001,MATCH(ROWS($AF$2:AF600),$AF$2:$AF$1001,0),0), INDEX($AM$1004:$BM$1004,1,MATCH(COLUMNS($AM$1006:AX1006),$AM$1006:$BM$1006,0)))),"Fix")))</f>
        <v xml:space="preserve"> </v>
      </c>
      <c r="N600" s="4" t="str">
        <f ca="1">IF(OR(INDEX($AG$2:$AG$1001,MATCH(ROWS($AF$2:AF600),$AF$2:$AF$1001,0),1)&gt;=100000,INDEX($AM$1005:$BM$1005,1,MATCH(COLUMNS($AM$1006:AY1006),$AM$1006:$BM$1006,0))&gt;=100000), " ",IF(INDEX($AM$2:$BM$1001,MATCH(ROWS($AF$2:AF600),$AF$2:$AF$1001,0),MATCH(COLUMNS($AM$1006:AY1006),$AM$1006:$BM$1006,0)), HYPERLINK("#",""), HYPERLINK(CONCATENATE("#metadata!", ADDRESS(INDEX($AH$2:$AH$1001,MATCH(ROWS($AF$2:AF600),$AF$2:$AF$1001,0),0), INDEX($AM$1004:$BM$1004,1,MATCH(COLUMNS($AM$1006:AY1006),$AM$1006:$BM$1006,0)))),"Fix")))</f>
        <v xml:space="preserve"> </v>
      </c>
      <c r="O600" s="4" t="str">
        <f ca="1">IF(OR(INDEX($AG$2:$AG$1001,MATCH(ROWS($AF$2:AF600),$AF$2:$AF$1001,0),1)&gt;=100000,INDEX($AM$1005:$BM$1005,1,MATCH(COLUMNS($AM$1006:AZ1006),$AM$1006:$BM$1006,0))&gt;=100000), " ",IF(INDEX($AM$2:$BM$1001,MATCH(ROWS($AF$2:AF600),$AF$2:$AF$1001,0),MATCH(COLUMNS($AM$1006:AZ1006),$AM$1006:$BM$1006,0)), HYPERLINK("#",""), HYPERLINK(CONCATENATE("#metadata!", ADDRESS(INDEX($AH$2:$AH$1001,MATCH(ROWS($AF$2:AF600),$AF$2:$AF$1001,0),0), INDEX($AM$1004:$BM$1004,1,MATCH(COLUMNS($AM$1006:AZ1006),$AM$1006:$BM$1006,0)))),"Fix")))</f>
        <v xml:space="preserve"> </v>
      </c>
      <c r="P600" s="4" t="str">
        <f ca="1">IF(OR(INDEX($AG$2:$AG$1001,MATCH(ROWS($AF$2:AF600),$AF$2:$AF$1001,0),1)&gt;=100000,INDEX($AM$1005:$BM$1005,1,MATCH(COLUMNS($AM$1006:BA1006),$AM$1006:$BM$1006,0))&gt;=100000), " ",IF(INDEX($AM$2:$BM$1001,MATCH(ROWS($AF$2:AF600),$AF$2:$AF$1001,0),MATCH(COLUMNS($AM$1006:BA1006),$AM$1006:$BM$1006,0)), HYPERLINK("#",""), HYPERLINK(CONCATENATE("#metadata!", ADDRESS(INDEX($AH$2:$AH$1001,MATCH(ROWS($AF$2:AF600),$AF$2:$AF$1001,0),0), INDEX($AM$1004:$BM$1004,1,MATCH(COLUMNS($AM$1006:BA1006),$AM$1006:$BM$1006,0)))),"Fix")))</f>
        <v xml:space="preserve"> </v>
      </c>
      <c r="Q600" s="4" t="str">
        <f ca="1">IF(OR(INDEX($AG$2:$AG$1001,MATCH(ROWS($AF$2:AF600),$AF$2:$AF$1001,0),1)&gt;=100000,INDEX($AM$1005:$BM$1005,1,MATCH(COLUMNS($AM$1006:BB1006),$AM$1006:$BM$1006,0))&gt;=100000), " ",IF(INDEX($AM$2:$BM$1001,MATCH(ROWS($AF$2:AF600),$AF$2:$AF$1001,0),MATCH(COLUMNS($AM$1006:BB1006),$AM$1006:$BM$1006,0)), HYPERLINK("#",""), HYPERLINK(CONCATENATE("#metadata!", ADDRESS(INDEX($AH$2:$AH$1001,MATCH(ROWS($AF$2:AF600),$AF$2:$AF$1001,0),0), INDEX($AM$1004:$BM$1004,1,MATCH(COLUMNS($AM$1006:BB1006),$AM$1006:$BM$1006,0)))),"Fix")))</f>
        <v xml:space="preserve"> </v>
      </c>
      <c r="R600" s="4" t="str">
        <f ca="1">IF(OR(INDEX($AG$2:$AG$1001,MATCH(ROWS($AF$2:AF600),$AF$2:$AF$1001,0),1)&gt;=100000,INDEX($AM$1005:$BM$1005,1,MATCH(COLUMNS($AM$1006:BC1006),$AM$1006:$BM$1006,0))&gt;=100000), " ",IF(INDEX($AM$2:$BM$1001,MATCH(ROWS($AF$2:AF600),$AF$2:$AF$1001,0),MATCH(COLUMNS($AM$1006:BC1006),$AM$1006:$BM$1006,0)), HYPERLINK("#",""), HYPERLINK(CONCATENATE("#metadata!", ADDRESS(INDEX($AH$2:$AH$1001,MATCH(ROWS($AF$2:AF600),$AF$2:$AF$1001,0),0), INDEX($AM$1004:$BM$1004,1,MATCH(COLUMNS($AM$1006:BC1006),$AM$1006:$BM$1006,0)))),"Fix")))</f>
        <v xml:space="preserve"> </v>
      </c>
      <c r="S600" s="4" t="str">
        <f ca="1">IF(OR(INDEX($AG$2:$AG$1001,MATCH(ROWS($AF$2:AF600),$AF$2:$AF$1001,0),1)&gt;=100000,INDEX($AM$1005:$BM$1005,1,MATCH(COLUMNS($AM$1006:BD1006),$AM$1006:$BM$1006,0))&gt;=100000), " ",IF(INDEX($AM$2:$BM$1001,MATCH(ROWS($AF$2:AF600),$AF$2:$AF$1001,0),MATCH(COLUMNS($AM$1006:BD1006),$AM$1006:$BM$1006,0)), HYPERLINK("#",""), HYPERLINK(CONCATENATE("#metadata!", ADDRESS(INDEX($AH$2:$AH$1001,MATCH(ROWS($AF$2:AF600),$AF$2:$AF$1001,0),0), INDEX($AM$1004:$BM$1004,1,MATCH(COLUMNS($AM$1006:BD1006),$AM$1006:$BM$1006,0)))),"Fix")))</f>
        <v xml:space="preserve"> </v>
      </c>
      <c r="T600" s="4" t="str">
        <f ca="1">IF(OR(INDEX($AG$2:$AG$1001,MATCH(ROWS($AF$2:AF600),$AF$2:$AF$1001,0),1)&gt;=100000,INDEX($AM$1005:$BM$1005,1,MATCH(COLUMNS($AM$1006:BE1006),$AM$1006:$BM$1006,0))&gt;=100000), " ",IF(INDEX($AM$2:$BM$1001,MATCH(ROWS($AF$2:AF600),$AF$2:$AF$1001,0),MATCH(COLUMNS($AM$1006:BE1006),$AM$1006:$BM$1006,0)), HYPERLINK("#",""), HYPERLINK(CONCATENATE("#metadata!", ADDRESS(INDEX($AH$2:$AH$1001,MATCH(ROWS($AF$2:AF600),$AF$2:$AF$1001,0),0), INDEX($AM$1004:$BM$1004,1,MATCH(COLUMNS($AM$1006:BE1006),$AM$1006:$BM$1006,0)))),"Fix")))</f>
        <v xml:space="preserve"> </v>
      </c>
      <c r="U600" s="4" t="str">
        <f ca="1">IF(OR(INDEX($AG$2:$AG$1001,MATCH(ROWS($AF$2:AF600),$AF$2:$AF$1001,0),1)&gt;=100000,INDEX($AM$1005:$BM$1005,1,MATCH(COLUMNS($AM$1006:BF1006),$AM$1006:$BM$1006,0))&gt;=100000), " ",IF(INDEX($AM$2:$BM$1001,MATCH(ROWS($AF$2:AF600),$AF$2:$AF$1001,0),MATCH(COLUMNS($AM$1006:BF1006),$AM$1006:$BM$1006,0)), HYPERLINK("#",""), HYPERLINK(CONCATENATE("#metadata!", ADDRESS(INDEX($AH$2:$AH$1001,MATCH(ROWS($AF$2:AF600),$AF$2:$AF$1001,0),0), INDEX($AM$1004:$BM$1004,1,MATCH(COLUMNS($AM$1006:BF1006),$AM$1006:$BM$1006,0)))),"Fix")))</f>
        <v xml:space="preserve"> </v>
      </c>
      <c r="V600" s="4" t="str">
        <f ca="1">IF(OR(INDEX($AG$2:$AG$1001,MATCH(ROWS($AF$2:AF600),$AF$2:$AF$1001,0),1)&gt;=100000,INDEX($AM$1005:$BM$1005,1,MATCH(COLUMNS($AM$1006:BG1006),$AM$1006:$BM$1006,0))&gt;=100000), " ",IF(INDEX($AM$2:$BM$1001,MATCH(ROWS($AF$2:AF600),$AF$2:$AF$1001,0),MATCH(COLUMNS($AM$1006:BG1006),$AM$1006:$BM$1006,0)), HYPERLINK("#",""), HYPERLINK(CONCATENATE("#metadata!", ADDRESS(INDEX($AH$2:$AH$1001,MATCH(ROWS($AF$2:AF600),$AF$2:$AF$1001,0),0), INDEX($AM$1004:$BM$1004,1,MATCH(COLUMNS($AM$1006:BG1006),$AM$1006:$BM$1006,0)))),"Fix")))</f>
        <v xml:space="preserve"> </v>
      </c>
      <c r="W600" s="4" t="str">
        <f ca="1">IF(OR(INDEX($AG$2:$AG$1001,MATCH(ROWS($AF$2:AF600),$AF$2:$AF$1001,0),1)&gt;=100000,INDEX($AM$1005:$BM$1005,1,MATCH(COLUMNS($AM$1006:BH1006),$AM$1006:$BM$1006,0))&gt;=100000), " ",IF(INDEX($AM$2:$BM$1001,MATCH(ROWS($AF$2:AF600),$AF$2:$AF$1001,0),MATCH(COLUMNS($AM$1006:BH1006),$AM$1006:$BM$1006,0)), HYPERLINK("#",""), HYPERLINK(CONCATENATE("#metadata!", ADDRESS(INDEX($AH$2:$AH$1001,MATCH(ROWS($AF$2:AF600),$AF$2:$AF$1001,0),0), INDEX($AM$1004:$BM$1004,1,MATCH(COLUMNS($AM$1006:BH1006),$AM$1006:$BM$1006,0)))),"Fix")))</f>
        <v xml:space="preserve"> </v>
      </c>
      <c r="X600" s="4" t="str">
        <f ca="1">IF(OR(INDEX($AG$2:$AG$1001,MATCH(ROWS($AF$2:AF600),$AF$2:$AF$1001,0),1)&gt;=100000,INDEX($AM$1005:$BM$1005,1,MATCH(COLUMNS($AM$1006:BI1006),$AM$1006:$BM$1006,0))&gt;=100000), " ",IF(INDEX($AM$2:$BM$1001,MATCH(ROWS($AF$2:AF600),$AF$2:$AF$1001,0),MATCH(COLUMNS($AM$1006:BI1006),$AM$1006:$BM$1006,0)), HYPERLINK("#",""), HYPERLINK(CONCATENATE("#metadata!", ADDRESS(INDEX($AH$2:$AH$1001,MATCH(ROWS($AF$2:AF600),$AF$2:$AF$1001,0),0), INDEX($AM$1004:$BM$1004,1,MATCH(COLUMNS($AM$1006:BI1006),$AM$1006:$BM$1006,0)))),"Fix")))</f>
        <v xml:space="preserve"> </v>
      </c>
      <c r="Y600" s="4" t="str">
        <f ca="1">IF(OR(INDEX($AG$2:$AG$1001,MATCH(ROWS($AF$2:AF600),$AF$2:$AF$1001,0),1)&gt;=100000,INDEX($AM$1005:$BM$1005,1,MATCH(COLUMNS($AM$1006:BJ1006),$AM$1006:$BM$1006,0))&gt;=100000), " ",IF(INDEX($AM$2:$BM$1001,MATCH(ROWS($AF$2:AF600),$AF$2:$AF$1001,0),MATCH(COLUMNS($AM$1006:BJ1006),$AM$1006:$BM$1006,0)), HYPERLINK("#",""), HYPERLINK(CONCATENATE("#metadata!", ADDRESS(INDEX($AH$2:$AH$1001,MATCH(ROWS($AF$2:AF600),$AF$2:$AF$1001,0),0), INDEX($AM$1004:$BM$1004,1,MATCH(COLUMNS($AM$1006:BJ1006),$AM$1006:$BM$1006,0)))),"Fix")))</f>
        <v xml:space="preserve"> </v>
      </c>
      <c r="Z600" s="4" t="str">
        <f ca="1">IF(OR(INDEX($AG$2:$AG$1001,MATCH(ROWS($AF$2:AF600),$AF$2:$AF$1001,0),1)&gt;=100000,INDEX($AM$1005:$BM$1005,1,MATCH(COLUMNS($AM$1006:BK1006),$AM$1006:$BM$1006,0))&gt;=100000), " ",IF(INDEX($AM$2:$BM$1001,MATCH(ROWS($AF$2:AF600),$AF$2:$AF$1001,0),MATCH(COLUMNS($AM$1006:BK1006),$AM$1006:$BM$1006,0)), HYPERLINK("#",""), HYPERLINK(CONCATENATE("#metadata!", ADDRESS(INDEX($AH$2:$AH$1001,MATCH(ROWS($AF$2:AF600),$AF$2:$AF$1001,0),0), INDEX($AM$1004:$BM$1004,1,MATCH(COLUMNS($AM$1006:BK1006),$AM$1006:$BM$1006,0)))),"Fix")))</f>
        <v xml:space="preserve"> </v>
      </c>
      <c r="AA600" s="4" t="str">
        <f ca="1">IF(OR(INDEX($AG$2:$AG$1001,MATCH(ROWS($AF$2:AF600),$AF$2:$AF$1001,0),1)&gt;=100000,INDEX($AM$1005:$BM$1005,1,MATCH(COLUMNS($AM$1006:BL1006),$AM$1006:$BM$1006,0))&gt;=100000), " ",IF(INDEX($AM$2:$BM$1001,MATCH(ROWS($AF$2:AF600),$AF$2:$AF$1001,0),MATCH(COLUMNS($AM$1006:BL1006),$AM$1006:$BM$1006,0)), HYPERLINK("#",""), HYPERLINK(CONCATENATE("#metadata!", ADDRESS(INDEX($AH$2:$AH$1001,MATCH(ROWS($AF$2:AF600),$AF$2:$AF$1001,0),0), INDEX($AM$1004:$BM$1004,1,MATCH(COLUMNS($AM$1006:BL1006),$AM$1006:$BM$1006,0)))),"Fix")))</f>
        <v xml:space="preserve"> </v>
      </c>
      <c r="AB600" s="4" t="str">
        <f ca="1">IF(OR(INDEX($AG$2:$AG$1001,MATCH(ROWS($AF$2:AF600),$AF$2:$AF$1001,0),1)&gt;=100000,INDEX($AM$1005:$BM$1005,1,MATCH(COLUMNS($AM$1006:BM1006),$AM$1006:$BM$1006,0))&gt;=100000), " ",IF(INDEX($AM$2:$BM$1001,MATCH(ROWS($AF$2:AF600),$AF$2:$AF$1001,0),MATCH(COLUMNS($AM$1006:BM1006),$AM$1006:$BM$1006,0)), HYPERLINK("#",""), HYPERLINK(CONCATENATE("#metadata!", ADDRESS(INDEX($AH$2:$AH$1001,MATCH(ROWS($AF$2:AF600),$AF$2:$AF$1001,0),0), INDEX($AM$1004:$BM$1004,1,MATCH(COLUMNS($AM$1006:BM1006),$AM$1006:$BM$1006,0)))),"Fix")))</f>
        <v xml:space="preserve"> </v>
      </c>
      <c r="AF600">
        <v>599</v>
      </c>
      <c r="AG600">
        <v>100600</v>
      </c>
      <c r="AH600">
        <v>600</v>
      </c>
      <c r="AI600" t="b">
        <f t="shared" si="9"/>
        <v>1</v>
      </c>
      <c r="AJ600" t="b">
        <f>COUNTBLANK(metadata!B600:AB600)=COLUMNS(metadata!B600:AB600)</f>
        <v>1</v>
      </c>
      <c r="AK600" t="str">
        <v/>
      </c>
      <c r="AM600" t="b">
        <f ca="1">AND(IF(metadata!B600="",FALSE,TRUE),COUNTIF(metadata!B:B, metadata!B600) = 1,NOT(ISERROR(SUMPRODUCT(SEARCH(MID(metadata!B600,ROW(INDIRECT("1:"&amp;LEN(metadata!B600))), 1),"0123456789abcdefghijklmnopqrstuvwxyzABCDEFGHIJKLMNOPQRSTUVWXYZ.")))))</f>
        <v>0</v>
      </c>
      <c r="AN600" t="b">
        <f ca="1">OR(AND(IF(metadata!C600="",FALSE,TRUE),OR(EXACT(metadata!C600,"missing: not collected"),EXACT(metadata!C600,"missing: not provided"),EXACT(metadata!C600,"missing: restricted access"))),AND(IF(metadata!C600="",FALSE,TRUE),AND(AND(IFERROR(INT(LEFT(metadata!C600,4))&gt;1900,FALSE),IFERROR(INT(LEFT(metadata!C600,4))&lt;=YEAR(NOW()),FALSE)), OR(MID(metadata!C600,5,1)="", AND(AND(MID(metadata!C600,5,1)="-",IFERROR(INT(MID(metadata!C600,6,1))&gt;=0,FALSE),IFERROR(INT(MID(metadata!C600,6,1))&lt;=1,FALSE),NOT(MID(metadata!C600,7,1)=""),IFERROR(INT(MID(metadata!C600,6,2))&gt;=1,FALSE),IFERROR(INT(MID(metadata!C600,6,2))&lt;=12,FALSE)), OR(MID(metadata!C600,8,1)="", AND(AND(MID(metadata!C600,8,1)="-",IFERROR(INT(MID(metadata!C600,9,1))&gt;=0,FALSE),IFERROR(INT(MID(metadata!C600,9,1))&lt;=3,FALSE),NOT(MID(metadata!C600,10,1)=""),IFERROR(INT(MID(metadata!C600,9,2))&gt;=1,FALSE),IFERROR(INT(MID(metadata!C600,9,2))&lt;=31,FALSE)), OR(MID(metadata!C600,11,1)="", AND(AND(MID(metadata!C600,11,1)=" ",IFERROR(INT(MID(metadata!C600,12,1))&gt;=0,FALSE),IFERROR(INT(MID(metadata!C600,12,1))&lt;=2,FALSE),NOT(MID(metadata!C600,13,1)=""),IFERROR(INT(MID(metadata!C600,12,2))&gt;=0,FALSE),IFERROR(INT(MID(metadata!C600,12,2))&lt;=23,FALSE)), OR(MID(metadata!C600,14,1)="", AND(AND(MID(metadata!C600,14,1)=":",IFERROR(INT(MID(metadata!C600,15,1))&gt;=0,FALSE),IFERROR(INT(MID(metadata!C600,15,1))&lt;=5,FALSE),NOT(MID(metadata!C600,16,1)=""),IFERROR(INT(MID(metadata!C600,15,2))&gt;=0,FALSE),IFERROR(INT(MID(metadata!C600,15,2))&lt;=59,FALSE)), OR(MID(metadata!C600,17,1)="", AND(AND(MID(metadata!C600,17,1)=":",IFERROR(INT(MID(metadata!C600,18,1))&gt;=0,FALSE),IFERROR(INT(MID(metadata!C600,18,1))&lt;=5,FALSE),NOT(MID(metadata!C600,19,1)=""),IFERROR(INT(MID(metadata!C600,18,2))&gt;=0,FALSE),IFERROR(INT(MID(metadata!C600,18,2))&lt;=59,FALSE)), LEN(metadata!C600)&lt;=19)))))))))))))</f>
        <v>0</v>
      </c>
      <c r="AO600" t="b">
        <f>AND(IF(metadata!D600="",FALSE,TRUE),EXACT(metadata!D600,"Not applicable"))</f>
        <v>0</v>
      </c>
      <c r="AP600" t="b">
        <f>IF(metadata!E600="",FALSE,TRUE)</f>
        <v>0</v>
      </c>
      <c r="AQ600" t="b">
        <f>OR(AND(IF(metadata!F600="",FALSE,TRUE),OR(EXACT(metadata!F600,"missing: not collected"),EXACT(metadata!F600,"missing: not provided"))),AND(IF(metadata!F600="",FALSE,TRUE),OR(EXACT(metadata!F600,"TRUE"),EXACT(metadata!F600,"FALSE"))))</f>
        <v>0</v>
      </c>
      <c r="AR600" t="b">
        <f>OR(AND(IF(metadata!G600="",FALSE,TRUE),OR(EXACT(metadata!G600,"missing: not collected"),EXACT(metadata!G600,"missing: not provided"),EXACT(metadata!G600,"missing: restricted access"))),AND(IF(metadata!G600="",FALSE,ISNUMBER(VALUE(metadata!G600))),metadata!G600&gt;=-413))</f>
        <v>0</v>
      </c>
      <c r="AS600" t="b">
        <f>AND(IF(metadata!H600="",FALSE,TRUE),EXACT(metadata!H600,"meters"))</f>
        <v>0</v>
      </c>
      <c r="AT600" t="b">
        <f>AND(IF(metadata!I600="",FALSE,TRUE),OR(EXACT(metadata!I600,"Host-associated"),EXACT(metadata!I600,"Free-living")))</f>
        <v>0</v>
      </c>
      <c r="AU600" t="b">
        <f>AND(IF(metadata!J600="",FALSE,TRUE),OR(EXACT(metadata!J600,"Animal"),EXACT(metadata!J600,"Fungus"),EXACT(metadata!J600,"Plant"),EXACT(metadata!J600,"Saline"),EXACT(metadata!J600,"Non-saline")))</f>
        <v>0</v>
      </c>
      <c r="AV600" t="b">
        <f>AND(IF(metadata!K600="",FALSE,TRUE),OR(EXACT(metadata!K600,"Plant secretion"),EXACT(metadata!K600,"Plant rhizosphere"),EXACT(metadata!K600,"Plant surface"),EXACT(metadata!K600,"Plant corpus"),EXACT(metadata!K600,"Fungus surface"),EXACT(metadata!K600,"Fungus corpus"),EXACT(metadata!K600,"Animal surface"),EXACT(metadata!K600,"Animal proximal gut"),EXACT(metadata!K600,"Animal corpus"),EXACT(metadata!K600,"Animal distal gut"),EXACT(metadata!K600,"Animal secretion"),EXACT(metadata!K600,"Sub-surface (non-saline)"),EXACT(metadata!K600,"Surface (non-saline)"),EXACT(metadata!K600,"Water (non-saline)"),EXACT(metadata!K600,"Soil (non-saline)"),EXACT(metadata!K600,"Aerosol (non-saline)"),EXACT(metadata!K600,"Sediment (non-saline)"),EXACT(metadata!K600,"Surface (saline)"),EXACT(metadata!K600,"Water (saline)"),EXACT(metadata!K600,"Hypersaline (saline)"),EXACT(metadata!K600,"Aerosol (saline)"),EXACT(metadata!K600,"Sediment (saline)")))</f>
        <v>0</v>
      </c>
      <c r="AW600" t="b">
        <f>IF(metadata!L600="",FALSE,TRUE)</f>
        <v>0</v>
      </c>
      <c r="AX600" t="b">
        <f>IF(metadata!M600="",FALSE,TRUE)</f>
        <v>0</v>
      </c>
      <c r="AY600" t="b">
        <f>IF(metadata!N600="",FALSE,TRUE)</f>
        <v>0</v>
      </c>
      <c r="AZ600" t="b">
        <f>OR(AND(IF(metadata!O600="",FALSE,TRUE),OR(EXACT(metadata!O600,"missing: not collected"),EXACT(metadata!O600,"missing: not provided"),EXACT(metadata!O600,"missing: restricted access"))),AND(IF(metadata!O600="",FALSE,TRUE),OR(EXACT(metadata!O600,"air"),EXACT(metadata!O600,"built environment"),EXACT(metadata!O600,"host-associated"),EXACT(metadata!O600,"human-associated"),EXACT(metadata!O600,"human-skin"),EXACT(metadata!O600,"human-oral"),EXACT(metadata!O600,"human-gut"),EXACT(metadata!O600,"human-vaginal"),EXACT(metadata!O600,"microbial mat/biofilm"),EXACT(metadata!O600,"misc environment"),EXACT(metadata!O600,"plant-associated"),EXACT(metadata!O600,"sediment"),EXACT(metadata!O600,"soil"),EXACT(metadata!O600,"wastewater/sludge"),EXACT(metadata!O600,"water"))))</f>
        <v>0</v>
      </c>
      <c r="BA600" t="b">
        <f>IF(metadata!P600="",FALSE,TRUE)</f>
        <v>0</v>
      </c>
      <c r="BB600" t="b">
        <f>IF(metadata!Q600="",FALSE,TRUE)</f>
        <v>0</v>
      </c>
      <c r="BC600" t="b">
        <f>OR(AND(IF(metadata!R600="",FALSE,TRUE),OR(EXACT(metadata!R600,"missing: not collected"),EXACT(metadata!R600,"missing: not provided"),EXACT(metadata!R600,"missing: restricted access"))),AND(IF(metadata!R600="",FALSE,ISNUMBER(VALUE(metadata!R600))),metadata!R600&gt;=-90,metadata!R600&lt;=90))</f>
        <v>0</v>
      </c>
      <c r="BD600" t="b">
        <f>AND(IF(metadata!S600="",FALSE,TRUE),EXACT(metadata!S600,"Decimal degrees"))</f>
        <v>0</v>
      </c>
      <c r="BE600" t="b">
        <f>OR(AND(IF(metadata!T600="",FALSE,TRUE),OR(EXACT(metadata!T600,"missing: not collected"),EXACT(metadata!T600,"missing: not provided"),EXACT(metadata!T600,"missing: restricted access"))),AND(IF(metadata!T600="",FALSE,ISNUMBER(VALUE(metadata!T600))),metadata!T600&gt;=-180,metadata!T600&lt;=180))</f>
        <v>0</v>
      </c>
      <c r="BF600" t="b">
        <f>AND(IF(metadata!U600="",FALSE,TRUE),EXACT(metadata!U600,"Decimal degrees"))</f>
        <v>0</v>
      </c>
      <c r="BG600" t="b">
        <f>IF(metadata!V600="",FALSE,TRUE)</f>
        <v>0</v>
      </c>
      <c r="BH600" t="b">
        <f>OR(AND(IF(metadata!W600="",FALSE,TRUE),OR(EXACT(metadata!W600,"missing: not collected"),EXACT(metadata!W600,"missing: not provided"),EXACT(metadata!W600,"missing: restricted access"))),AND(IF(metadata!W600="",FALSE,TRUE),OR(EXACT(metadata!W600,"TRUE"),EXACT(metadata!W600,"FALSE"))))</f>
        <v>0</v>
      </c>
      <c r="BI600" t="b">
        <f>AND(IF(metadata!X600="",FALSE,TRUE),EXACT(metadata!X600,"other"))</f>
        <v>0</v>
      </c>
      <c r="BJ600" t="b">
        <f>IF(metadata!Y600="",FALSE,TRUE)</f>
        <v>0</v>
      </c>
      <c r="BK600" t="b">
        <f>OR(AND(IF(metadata!Z600="",FALSE,TRUE),OR(EXACT(metadata!Z600,"missing: not collected"),EXACT(metadata!Z600,"missing: not provided"))),AND(IF(metadata!Z600="",FALSE,IF(ISERROR(INT(metadata!Z600)),FALSE,INT(metadata!Z600)=metadata!Z600)),metadata!Z600&gt;0))</f>
        <v>0</v>
      </c>
      <c r="BL600" t="b">
        <f>AND(IF(metadata!AA600="",FALSE,TRUE),EXACT(metadata!AA600,"Not applicable"))</f>
        <v>0</v>
      </c>
      <c r="BM600" t="b">
        <f>IF(metadata!AB600="",FALSE,TRUE)</f>
        <v>0</v>
      </c>
    </row>
    <row r="601" spans="1:65" x14ac:dyDescent="0.2">
      <c r="A601" s="5" t="str">
        <f ca="1">IF(B601=" "," ",HYPERLINK(CONCATENATE("#metadata!",ADDRESS(INDEX($AH$2:$AH$1001,MATCH(ROWS($AF$2:AF601),$AF$2:$AF$1001,0),0),1)),INDEX($AK$2:$AK$1001,MATCH(ROWS($AF$2:AF601),$AF$2:$AF$1001,0),0)))</f>
        <v xml:space="preserve"> </v>
      </c>
      <c r="B601" s="4" t="str">
        <f ca="1">IF(OR(INDEX($AG$2:$AG$1001,MATCH(ROWS($AF$2:AF601),$AF$2:$AF$1001,0),1)&gt;=100000,INDEX($AM$1005:$BM$1005,1,MATCH(COLUMNS($AM$1006:AM1006),$AM$1006:$BM$1006,0))&gt;=100000), " ",IF(INDEX($AM$2:$BM$1001,MATCH(ROWS($AF$2:AF601),$AF$2:$AF$1001,0),MATCH(COLUMNS($AM$1006:AM1006),$AM$1006:$BM$1006,0)), HYPERLINK("#",""), HYPERLINK(CONCATENATE("#metadata!", ADDRESS(INDEX($AH$2:$AH$1001,MATCH(ROWS($AF$2:AF601),$AF$2:$AF$1001,0),0), INDEX($AM$1004:$BM$1004,1,MATCH(COLUMNS($AM$1006:AM1006),$AM$1006:$BM$1006,0)))),"Fix")))</f>
        <v xml:space="preserve"> </v>
      </c>
      <c r="C601" s="4" t="str">
        <f ca="1">IF(OR(INDEX($AG$2:$AG$1001,MATCH(ROWS($AF$2:AF601),$AF$2:$AF$1001,0),1)&gt;=100000,INDEX($AM$1005:$BM$1005,1,MATCH(COLUMNS($AM$1006:AN1006),$AM$1006:$BM$1006,0))&gt;=100000), " ",IF(INDEX($AM$2:$BM$1001,MATCH(ROWS($AF$2:AF601),$AF$2:$AF$1001,0),MATCH(COLUMNS($AM$1006:AN1006),$AM$1006:$BM$1006,0)), HYPERLINK("#",""), HYPERLINK(CONCATENATE("#metadata!", ADDRESS(INDEX($AH$2:$AH$1001,MATCH(ROWS($AF$2:AF601),$AF$2:$AF$1001,0),0), INDEX($AM$1004:$BM$1004,1,MATCH(COLUMNS($AM$1006:AN1006),$AM$1006:$BM$1006,0)))),"Fix")))</f>
        <v xml:space="preserve"> </v>
      </c>
      <c r="D601" s="4" t="str">
        <f ca="1">IF(OR(INDEX($AG$2:$AG$1001,MATCH(ROWS($AF$2:AF601),$AF$2:$AF$1001,0),1)&gt;=100000,INDEX($AM$1005:$BM$1005,1,MATCH(COLUMNS($AM$1006:AO1006),$AM$1006:$BM$1006,0))&gt;=100000), " ",IF(INDEX($AM$2:$BM$1001,MATCH(ROWS($AF$2:AF601),$AF$2:$AF$1001,0),MATCH(COLUMNS($AM$1006:AO1006),$AM$1006:$BM$1006,0)), HYPERLINK("#",""), HYPERLINK(CONCATENATE("#metadata!", ADDRESS(INDEX($AH$2:$AH$1001,MATCH(ROWS($AF$2:AF601),$AF$2:$AF$1001,0),0), INDEX($AM$1004:$BM$1004,1,MATCH(COLUMNS($AM$1006:AO1006),$AM$1006:$BM$1006,0)))),"Fix")))</f>
        <v xml:space="preserve"> </v>
      </c>
      <c r="E601" s="4" t="str">
        <f ca="1">IF(OR(INDEX($AG$2:$AG$1001,MATCH(ROWS($AF$2:AF601),$AF$2:$AF$1001,0),1)&gt;=100000,INDEX($AM$1005:$BM$1005,1,MATCH(COLUMNS($AM$1006:AP1006),$AM$1006:$BM$1006,0))&gt;=100000), " ",IF(INDEX($AM$2:$BM$1001,MATCH(ROWS($AF$2:AF601),$AF$2:$AF$1001,0),MATCH(COLUMNS($AM$1006:AP1006),$AM$1006:$BM$1006,0)), HYPERLINK("#",""), HYPERLINK(CONCATENATE("#metadata!", ADDRESS(INDEX($AH$2:$AH$1001,MATCH(ROWS($AF$2:AF601),$AF$2:$AF$1001,0),0), INDEX($AM$1004:$BM$1004,1,MATCH(COLUMNS($AM$1006:AP1006),$AM$1006:$BM$1006,0)))),"Fix")))</f>
        <v xml:space="preserve"> </v>
      </c>
      <c r="F601" s="4" t="str">
        <f ca="1">IF(OR(INDEX($AG$2:$AG$1001,MATCH(ROWS($AF$2:AF601),$AF$2:$AF$1001,0),1)&gt;=100000,INDEX($AM$1005:$BM$1005,1,MATCH(COLUMNS($AM$1006:AQ1006),$AM$1006:$BM$1006,0))&gt;=100000), " ",IF(INDEX($AM$2:$BM$1001,MATCH(ROWS($AF$2:AF601),$AF$2:$AF$1001,0),MATCH(COLUMNS($AM$1006:AQ1006),$AM$1006:$BM$1006,0)), HYPERLINK("#",""), HYPERLINK(CONCATENATE("#metadata!", ADDRESS(INDEX($AH$2:$AH$1001,MATCH(ROWS($AF$2:AF601),$AF$2:$AF$1001,0),0), INDEX($AM$1004:$BM$1004,1,MATCH(COLUMNS($AM$1006:AQ1006),$AM$1006:$BM$1006,0)))),"Fix")))</f>
        <v xml:space="preserve"> </v>
      </c>
      <c r="G601" s="4" t="str">
        <f ca="1">IF(OR(INDEX($AG$2:$AG$1001,MATCH(ROWS($AF$2:AF601),$AF$2:$AF$1001,0),1)&gt;=100000,INDEX($AM$1005:$BM$1005,1,MATCH(COLUMNS($AM$1006:AR1006),$AM$1006:$BM$1006,0))&gt;=100000), " ",IF(INDEX($AM$2:$BM$1001,MATCH(ROWS($AF$2:AF601),$AF$2:$AF$1001,0),MATCH(COLUMNS($AM$1006:AR1006),$AM$1006:$BM$1006,0)), HYPERLINK("#",""), HYPERLINK(CONCATENATE("#metadata!", ADDRESS(INDEX($AH$2:$AH$1001,MATCH(ROWS($AF$2:AF601),$AF$2:$AF$1001,0),0), INDEX($AM$1004:$BM$1004,1,MATCH(COLUMNS($AM$1006:AR1006),$AM$1006:$BM$1006,0)))),"Fix")))</f>
        <v xml:space="preserve"> </v>
      </c>
      <c r="H601" s="4" t="str">
        <f ca="1">IF(OR(INDEX($AG$2:$AG$1001,MATCH(ROWS($AF$2:AF601),$AF$2:$AF$1001,0),1)&gt;=100000,INDEX($AM$1005:$BM$1005,1,MATCH(COLUMNS($AM$1006:AS1006),$AM$1006:$BM$1006,0))&gt;=100000), " ",IF(INDEX($AM$2:$BM$1001,MATCH(ROWS($AF$2:AF601),$AF$2:$AF$1001,0),MATCH(COLUMNS($AM$1006:AS1006),$AM$1006:$BM$1006,0)), HYPERLINK("#",""), HYPERLINK(CONCATENATE("#metadata!", ADDRESS(INDEX($AH$2:$AH$1001,MATCH(ROWS($AF$2:AF601),$AF$2:$AF$1001,0),0), INDEX($AM$1004:$BM$1004,1,MATCH(COLUMNS($AM$1006:AS1006),$AM$1006:$BM$1006,0)))),"Fix")))</f>
        <v xml:space="preserve"> </v>
      </c>
      <c r="I601" s="4" t="str">
        <f ca="1">IF(OR(INDEX($AG$2:$AG$1001,MATCH(ROWS($AF$2:AF601),$AF$2:$AF$1001,0),1)&gt;=100000,INDEX($AM$1005:$BM$1005,1,MATCH(COLUMNS($AM$1006:AT1006),$AM$1006:$BM$1006,0))&gt;=100000), " ",IF(INDEX($AM$2:$BM$1001,MATCH(ROWS($AF$2:AF601),$AF$2:$AF$1001,0),MATCH(COLUMNS($AM$1006:AT1006),$AM$1006:$BM$1006,0)), HYPERLINK("#",""), HYPERLINK(CONCATENATE("#metadata!", ADDRESS(INDEX($AH$2:$AH$1001,MATCH(ROWS($AF$2:AF601),$AF$2:$AF$1001,0),0), INDEX($AM$1004:$BM$1004,1,MATCH(COLUMNS($AM$1006:AT1006),$AM$1006:$BM$1006,0)))),"Fix")))</f>
        <v xml:space="preserve"> </v>
      </c>
      <c r="J601" s="4" t="str">
        <f ca="1">IF(OR(INDEX($AG$2:$AG$1001,MATCH(ROWS($AF$2:AF601),$AF$2:$AF$1001,0),1)&gt;=100000,INDEX($AM$1005:$BM$1005,1,MATCH(COLUMNS($AM$1006:AU1006),$AM$1006:$BM$1006,0))&gt;=100000), " ",IF(INDEX($AM$2:$BM$1001,MATCH(ROWS($AF$2:AF601),$AF$2:$AF$1001,0),MATCH(COLUMNS($AM$1006:AU1006),$AM$1006:$BM$1006,0)), HYPERLINK("#",""), HYPERLINK(CONCATENATE("#metadata!", ADDRESS(INDEX($AH$2:$AH$1001,MATCH(ROWS($AF$2:AF601),$AF$2:$AF$1001,0),0), INDEX($AM$1004:$BM$1004,1,MATCH(COLUMNS($AM$1006:AU1006),$AM$1006:$BM$1006,0)))),"Fix")))</f>
        <v xml:space="preserve"> </v>
      </c>
      <c r="K601" s="4" t="str">
        <f ca="1">IF(OR(INDEX($AG$2:$AG$1001,MATCH(ROWS($AF$2:AF601),$AF$2:$AF$1001,0),1)&gt;=100000,INDEX($AM$1005:$BM$1005,1,MATCH(COLUMNS($AM$1006:AV1006),$AM$1006:$BM$1006,0))&gt;=100000), " ",IF(INDEX($AM$2:$BM$1001,MATCH(ROWS($AF$2:AF601),$AF$2:$AF$1001,0),MATCH(COLUMNS($AM$1006:AV1006),$AM$1006:$BM$1006,0)), HYPERLINK("#",""), HYPERLINK(CONCATENATE("#metadata!", ADDRESS(INDEX($AH$2:$AH$1001,MATCH(ROWS($AF$2:AF601),$AF$2:$AF$1001,0),0), INDEX($AM$1004:$BM$1004,1,MATCH(COLUMNS($AM$1006:AV1006),$AM$1006:$BM$1006,0)))),"Fix")))</f>
        <v xml:space="preserve"> </v>
      </c>
      <c r="L601" s="4" t="str">
        <f ca="1">IF(OR(INDEX($AG$2:$AG$1001,MATCH(ROWS($AF$2:AF601),$AF$2:$AF$1001,0),1)&gt;=100000,INDEX($AM$1005:$BM$1005,1,MATCH(COLUMNS($AM$1006:AW1006),$AM$1006:$BM$1006,0))&gt;=100000), " ",IF(INDEX($AM$2:$BM$1001,MATCH(ROWS($AF$2:AF601),$AF$2:$AF$1001,0),MATCH(COLUMNS($AM$1006:AW1006),$AM$1006:$BM$1006,0)), HYPERLINK("#",""), HYPERLINK(CONCATENATE("#metadata!", ADDRESS(INDEX($AH$2:$AH$1001,MATCH(ROWS($AF$2:AF601),$AF$2:$AF$1001,0),0), INDEX($AM$1004:$BM$1004,1,MATCH(COLUMNS($AM$1006:AW1006),$AM$1006:$BM$1006,0)))),"Fix")))</f>
        <v xml:space="preserve"> </v>
      </c>
      <c r="M601" s="4" t="str">
        <f ca="1">IF(OR(INDEX($AG$2:$AG$1001,MATCH(ROWS($AF$2:AF601),$AF$2:$AF$1001,0),1)&gt;=100000,INDEX($AM$1005:$BM$1005,1,MATCH(COLUMNS($AM$1006:AX1006),$AM$1006:$BM$1006,0))&gt;=100000), " ",IF(INDEX($AM$2:$BM$1001,MATCH(ROWS($AF$2:AF601),$AF$2:$AF$1001,0),MATCH(COLUMNS($AM$1006:AX1006),$AM$1006:$BM$1006,0)), HYPERLINK("#",""), HYPERLINK(CONCATENATE("#metadata!", ADDRESS(INDEX($AH$2:$AH$1001,MATCH(ROWS($AF$2:AF601),$AF$2:$AF$1001,0),0), INDEX($AM$1004:$BM$1004,1,MATCH(COLUMNS($AM$1006:AX1006),$AM$1006:$BM$1006,0)))),"Fix")))</f>
        <v xml:space="preserve"> </v>
      </c>
      <c r="N601" s="4" t="str">
        <f ca="1">IF(OR(INDEX($AG$2:$AG$1001,MATCH(ROWS($AF$2:AF601),$AF$2:$AF$1001,0),1)&gt;=100000,INDEX($AM$1005:$BM$1005,1,MATCH(COLUMNS($AM$1006:AY1006),$AM$1006:$BM$1006,0))&gt;=100000), " ",IF(INDEX($AM$2:$BM$1001,MATCH(ROWS($AF$2:AF601),$AF$2:$AF$1001,0),MATCH(COLUMNS($AM$1006:AY1006),$AM$1006:$BM$1006,0)), HYPERLINK("#",""), HYPERLINK(CONCATENATE("#metadata!", ADDRESS(INDEX($AH$2:$AH$1001,MATCH(ROWS($AF$2:AF601),$AF$2:$AF$1001,0),0), INDEX($AM$1004:$BM$1004,1,MATCH(COLUMNS($AM$1006:AY1006),$AM$1006:$BM$1006,0)))),"Fix")))</f>
        <v xml:space="preserve"> </v>
      </c>
      <c r="O601" s="4" t="str">
        <f ca="1">IF(OR(INDEX($AG$2:$AG$1001,MATCH(ROWS($AF$2:AF601),$AF$2:$AF$1001,0),1)&gt;=100000,INDEX($AM$1005:$BM$1005,1,MATCH(COLUMNS($AM$1006:AZ1006),$AM$1006:$BM$1006,0))&gt;=100000), " ",IF(INDEX($AM$2:$BM$1001,MATCH(ROWS($AF$2:AF601),$AF$2:$AF$1001,0),MATCH(COLUMNS($AM$1006:AZ1006),$AM$1006:$BM$1006,0)), HYPERLINK("#",""), HYPERLINK(CONCATENATE("#metadata!", ADDRESS(INDEX($AH$2:$AH$1001,MATCH(ROWS($AF$2:AF601),$AF$2:$AF$1001,0),0), INDEX($AM$1004:$BM$1004,1,MATCH(COLUMNS($AM$1006:AZ1006),$AM$1006:$BM$1006,0)))),"Fix")))</f>
        <v xml:space="preserve"> </v>
      </c>
      <c r="P601" s="4" t="str">
        <f ca="1">IF(OR(INDEX($AG$2:$AG$1001,MATCH(ROWS($AF$2:AF601),$AF$2:$AF$1001,0),1)&gt;=100000,INDEX($AM$1005:$BM$1005,1,MATCH(COLUMNS($AM$1006:BA1006),$AM$1006:$BM$1006,0))&gt;=100000), " ",IF(INDEX($AM$2:$BM$1001,MATCH(ROWS($AF$2:AF601),$AF$2:$AF$1001,0),MATCH(COLUMNS($AM$1006:BA1006),$AM$1006:$BM$1006,0)), HYPERLINK("#",""), HYPERLINK(CONCATENATE("#metadata!", ADDRESS(INDEX($AH$2:$AH$1001,MATCH(ROWS($AF$2:AF601),$AF$2:$AF$1001,0),0), INDEX($AM$1004:$BM$1004,1,MATCH(COLUMNS($AM$1006:BA1006),$AM$1006:$BM$1006,0)))),"Fix")))</f>
        <v xml:space="preserve"> </v>
      </c>
      <c r="Q601" s="4" t="str">
        <f ca="1">IF(OR(INDEX($AG$2:$AG$1001,MATCH(ROWS($AF$2:AF601),$AF$2:$AF$1001,0),1)&gt;=100000,INDEX($AM$1005:$BM$1005,1,MATCH(COLUMNS($AM$1006:BB1006),$AM$1006:$BM$1006,0))&gt;=100000), " ",IF(INDEX($AM$2:$BM$1001,MATCH(ROWS($AF$2:AF601),$AF$2:$AF$1001,0),MATCH(COLUMNS($AM$1006:BB1006),$AM$1006:$BM$1006,0)), HYPERLINK("#",""), HYPERLINK(CONCATENATE("#metadata!", ADDRESS(INDEX($AH$2:$AH$1001,MATCH(ROWS($AF$2:AF601),$AF$2:$AF$1001,0),0), INDEX($AM$1004:$BM$1004,1,MATCH(COLUMNS($AM$1006:BB1006),$AM$1006:$BM$1006,0)))),"Fix")))</f>
        <v xml:space="preserve"> </v>
      </c>
      <c r="R601" s="4" t="str">
        <f ca="1">IF(OR(INDEX($AG$2:$AG$1001,MATCH(ROWS($AF$2:AF601),$AF$2:$AF$1001,0),1)&gt;=100000,INDEX($AM$1005:$BM$1005,1,MATCH(COLUMNS($AM$1006:BC1006),$AM$1006:$BM$1006,0))&gt;=100000), " ",IF(INDEX($AM$2:$BM$1001,MATCH(ROWS($AF$2:AF601),$AF$2:$AF$1001,0),MATCH(COLUMNS($AM$1006:BC1006),$AM$1006:$BM$1006,0)), HYPERLINK("#",""), HYPERLINK(CONCATENATE("#metadata!", ADDRESS(INDEX($AH$2:$AH$1001,MATCH(ROWS($AF$2:AF601),$AF$2:$AF$1001,0),0), INDEX($AM$1004:$BM$1004,1,MATCH(COLUMNS($AM$1006:BC1006),$AM$1006:$BM$1006,0)))),"Fix")))</f>
        <v xml:space="preserve"> </v>
      </c>
      <c r="S601" s="4" t="str">
        <f ca="1">IF(OR(INDEX($AG$2:$AG$1001,MATCH(ROWS($AF$2:AF601),$AF$2:$AF$1001,0),1)&gt;=100000,INDEX($AM$1005:$BM$1005,1,MATCH(COLUMNS($AM$1006:BD1006),$AM$1006:$BM$1006,0))&gt;=100000), " ",IF(INDEX($AM$2:$BM$1001,MATCH(ROWS($AF$2:AF601),$AF$2:$AF$1001,0),MATCH(COLUMNS($AM$1006:BD1006),$AM$1006:$BM$1006,0)), HYPERLINK("#",""), HYPERLINK(CONCATENATE("#metadata!", ADDRESS(INDEX($AH$2:$AH$1001,MATCH(ROWS($AF$2:AF601),$AF$2:$AF$1001,0),0), INDEX($AM$1004:$BM$1004,1,MATCH(COLUMNS($AM$1006:BD1006),$AM$1006:$BM$1006,0)))),"Fix")))</f>
        <v xml:space="preserve"> </v>
      </c>
      <c r="T601" s="4" t="str">
        <f ca="1">IF(OR(INDEX($AG$2:$AG$1001,MATCH(ROWS($AF$2:AF601),$AF$2:$AF$1001,0),1)&gt;=100000,INDEX($AM$1005:$BM$1005,1,MATCH(COLUMNS($AM$1006:BE1006),$AM$1006:$BM$1006,0))&gt;=100000), " ",IF(INDEX($AM$2:$BM$1001,MATCH(ROWS($AF$2:AF601),$AF$2:$AF$1001,0),MATCH(COLUMNS($AM$1006:BE1006),$AM$1006:$BM$1006,0)), HYPERLINK("#",""), HYPERLINK(CONCATENATE("#metadata!", ADDRESS(INDEX($AH$2:$AH$1001,MATCH(ROWS($AF$2:AF601),$AF$2:$AF$1001,0),0), INDEX($AM$1004:$BM$1004,1,MATCH(COLUMNS($AM$1006:BE1006),$AM$1006:$BM$1006,0)))),"Fix")))</f>
        <v xml:space="preserve"> </v>
      </c>
      <c r="U601" s="4" t="str">
        <f ca="1">IF(OR(INDEX($AG$2:$AG$1001,MATCH(ROWS($AF$2:AF601),$AF$2:$AF$1001,0),1)&gt;=100000,INDEX($AM$1005:$BM$1005,1,MATCH(COLUMNS($AM$1006:BF1006),$AM$1006:$BM$1006,0))&gt;=100000), " ",IF(INDEX($AM$2:$BM$1001,MATCH(ROWS($AF$2:AF601),$AF$2:$AF$1001,0),MATCH(COLUMNS($AM$1006:BF1006),$AM$1006:$BM$1006,0)), HYPERLINK("#",""), HYPERLINK(CONCATENATE("#metadata!", ADDRESS(INDEX($AH$2:$AH$1001,MATCH(ROWS($AF$2:AF601),$AF$2:$AF$1001,0),0), INDEX($AM$1004:$BM$1004,1,MATCH(COLUMNS($AM$1006:BF1006),$AM$1006:$BM$1006,0)))),"Fix")))</f>
        <v xml:space="preserve"> </v>
      </c>
      <c r="V601" s="4" t="str">
        <f ca="1">IF(OR(INDEX($AG$2:$AG$1001,MATCH(ROWS($AF$2:AF601),$AF$2:$AF$1001,0),1)&gt;=100000,INDEX($AM$1005:$BM$1005,1,MATCH(COLUMNS($AM$1006:BG1006),$AM$1006:$BM$1006,0))&gt;=100000), " ",IF(INDEX($AM$2:$BM$1001,MATCH(ROWS($AF$2:AF601),$AF$2:$AF$1001,0),MATCH(COLUMNS($AM$1006:BG1006),$AM$1006:$BM$1006,0)), HYPERLINK("#",""), HYPERLINK(CONCATENATE("#metadata!", ADDRESS(INDEX($AH$2:$AH$1001,MATCH(ROWS($AF$2:AF601),$AF$2:$AF$1001,0),0), INDEX($AM$1004:$BM$1004,1,MATCH(COLUMNS($AM$1006:BG1006),$AM$1006:$BM$1006,0)))),"Fix")))</f>
        <v xml:space="preserve"> </v>
      </c>
      <c r="W601" s="4" t="str">
        <f ca="1">IF(OR(INDEX($AG$2:$AG$1001,MATCH(ROWS($AF$2:AF601),$AF$2:$AF$1001,0),1)&gt;=100000,INDEX($AM$1005:$BM$1005,1,MATCH(COLUMNS($AM$1006:BH1006),$AM$1006:$BM$1006,0))&gt;=100000), " ",IF(INDEX($AM$2:$BM$1001,MATCH(ROWS($AF$2:AF601),$AF$2:$AF$1001,0),MATCH(COLUMNS($AM$1006:BH1006),$AM$1006:$BM$1006,0)), HYPERLINK("#",""), HYPERLINK(CONCATENATE("#metadata!", ADDRESS(INDEX($AH$2:$AH$1001,MATCH(ROWS($AF$2:AF601),$AF$2:$AF$1001,0),0), INDEX($AM$1004:$BM$1004,1,MATCH(COLUMNS($AM$1006:BH1006),$AM$1006:$BM$1006,0)))),"Fix")))</f>
        <v xml:space="preserve"> </v>
      </c>
      <c r="X601" s="4" t="str">
        <f ca="1">IF(OR(INDEX($AG$2:$AG$1001,MATCH(ROWS($AF$2:AF601),$AF$2:$AF$1001,0),1)&gt;=100000,INDEX($AM$1005:$BM$1005,1,MATCH(COLUMNS($AM$1006:BI1006),$AM$1006:$BM$1006,0))&gt;=100000), " ",IF(INDEX($AM$2:$BM$1001,MATCH(ROWS($AF$2:AF601),$AF$2:$AF$1001,0),MATCH(COLUMNS($AM$1006:BI1006),$AM$1006:$BM$1006,0)), HYPERLINK("#",""), HYPERLINK(CONCATENATE("#metadata!", ADDRESS(INDEX($AH$2:$AH$1001,MATCH(ROWS($AF$2:AF601),$AF$2:$AF$1001,0),0), INDEX($AM$1004:$BM$1004,1,MATCH(COLUMNS($AM$1006:BI1006),$AM$1006:$BM$1006,0)))),"Fix")))</f>
        <v xml:space="preserve"> </v>
      </c>
      <c r="Y601" s="4" t="str">
        <f ca="1">IF(OR(INDEX($AG$2:$AG$1001,MATCH(ROWS($AF$2:AF601),$AF$2:$AF$1001,0),1)&gt;=100000,INDEX($AM$1005:$BM$1005,1,MATCH(COLUMNS($AM$1006:BJ1006),$AM$1006:$BM$1006,0))&gt;=100000), " ",IF(INDEX($AM$2:$BM$1001,MATCH(ROWS($AF$2:AF601),$AF$2:$AF$1001,0),MATCH(COLUMNS($AM$1006:BJ1006),$AM$1006:$BM$1006,0)), HYPERLINK("#",""), HYPERLINK(CONCATENATE("#metadata!", ADDRESS(INDEX($AH$2:$AH$1001,MATCH(ROWS($AF$2:AF601),$AF$2:$AF$1001,0),0), INDEX($AM$1004:$BM$1004,1,MATCH(COLUMNS($AM$1006:BJ1006),$AM$1006:$BM$1006,0)))),"Fix")))</f>
        <v xml:space="preserve"> </v>
      </c>
      <c r="Z601" s="4" t="str">
        <f ca="1">IF(OR(INDEX($AG$2:$AG$1001,MATCH(ROWS($AF$2:AF601),$AF$2:$AF$1001,0),1)&gt;=100000,INDEX($AM$1005:$BM$1005,1,MATCH(COLUMNS($AM$1006:BK1006),$AM$1006:$BM$1006,0))&gt;=100000), " ",IF(INDEX($AM$2:$BM$1001,MATCH(ROWS($AF$2:AF601),$AF$2:$AF$1001,0),MATCH(COLUMNS($AM$1006:BK1006),$AM$1006:$BM$1006,0)), HYPERLINK("#",""), HYPERLINK(CONCATENATE("#metadata!", ADDRESS(INDEX($AH$2:$AH$1001,MATCH(ROWS($AF$2:AF601),$AF$2:$AF$1001,0),0), INDEX($AM$1004:$BM$1004,1,MATCH(COLUMNS($AM$1006:BK1006),$AM$1006:$BM$1006,0)))),"Fix")))</f>
        <v xml:space="preserve"> </v>
      </c>
      <c r="AA601" s="4" t="str">
        <f ca="1">IF(OR(INDEX($AG$2:$AG$1001,MATCH(ROWS($AF$2:AF601),$AF$2:$AF$1001,0),1)&gt;=100000,INDEX($AM$1005:$BM$1005,1,MATCH(COLUMNS($AM$1006:BL1006),$AM$1006:$BM$1006,0))&gt;=100000), " ",IF(INDEX($AM$2:$BM$1001,MATCH(ROWS($AF$2:AF601),$AF$2:$AF$1001,0),MATCH(COLUMNS($AM$1006:BL1006),$AM$1006:$BM$1006,0)), HYPERLINK("#",""), HYPERLINK(CONCATENATE("#metadata!", ADDRESS(INDEX($AH$2:$AH$1001,MATCH(ROWS($AF$2:AF601),$AF$2:$AF$1001,0),0), INDEX($AM$1004:$BM$1004,1,MATCH(COLUMNS($AM$1006:BL1006),$AM$1006:$BM$1006,0)))),"Fix")))</f>
        <v xml:space="preserve"> </v>
      </c>
      <c r="AB601" s="4" t="str">
        <f ca="1">IF(OR(INDEX($AG$2:$AG$1001,MATCH(ROWS($AF$2:AF601),$AF$2:$AF$1001,0),1)&gt;=100000,INDEX($AM$1005:$BM$1005,1,MATCH(COLUMNS($AM$1006:BM1006),$AM$1006:$BM$1006,0))&gt;=100000), " ",IF(INDEX($AM$2:$BM$1001,MATCH(ROWS($AF$2:AF601),$AF$2:$AF$1001,0),MATCH(COLUMNS($AM$1006:BM1006),$AM$1006:$BM$1006,0)), HYPERLINK("#",""), HYPERLINK(CONCATENATE("#metadata!", ADDRESS(INDEX($AH$2:$AH$1001,MATCH(ROWS($AF$2:AF601),$AF$2:$AF$1001,0),0), INDEX($AM$1004:$BM$1004,1,MATCH(COLUMNS($AM$1006:BM1006),$AM$1006:$BM$1006,0)))),"Fix")))</f>
        <v xml:space="preserve"> </v>
      </c>
      <c r="AF601">
        <v>600</v>
      </c>
      <c r="AG601">
        <v>100601</v>
      </c>
      <c r="AH601">
        <v>601</v>
      </c>
      <c r="AI601" t="b">
        <f t="shared" si="9"/>
        <v>1</v>
      </c>
      <c r="AJ601" t="b">
        <f>COUNTBLANK(metadata!B601:AB601)=COLUMNS(metadata!B601:AB601)</f>
        <v>1</v>
      </c>
      <c r="AK601" t="str">
        <v/>
      </c>
      <c r="AM601" t="b">
        <f ca="1">AND(IF(metadata!B601="",FALSE,TRUE),COUNTIF(metadata!B:B, metadata!B601) = 1,NOT(ISERROR(SUMPRODUCT(SEARCH(MID(metadata!B601,ROW(INDIRECT("1:"&amp;LEN(metadata!B601))), 1),"0123456789abcdefghijklmnopqrstuvwxyzABCDEFGHIJKLMNOPQRSTUVWXYZ.")))))</f>
        <v>0</v>
      </c>
      <c r="AN601" t="b">
        <f ca="1">OR(AND(IF(metadata!C601="",FALSE,TRUE),OR(EXACT(metadata!C601,"missing: not collected"),EXACT(metadata!C601,"missing: not provided"),EXACT(metadata!C601,"missing: restricted access"))),AND(IF(metadata!C601="",FALSE,TRUE),AND(AND(IFERROR(INT(LEFT(metadata!C601,4))&gt;1900,FALSE),IFERROR(INT(LEFT(metadata!C601,4))&lt;=YEAR(NOW()),FALSE)), OR(MID(metadata!C601,5,1)="", AND(AND(MID(metadata!C601,5,1)="-",IFERROR(INT(MID(metadata!C601,6,1))&gt;=0,FALSE),IFERROR(INT(MID(metadata!C601,6,1))&lt;=1,FALSE),NOT(MID(metadata!C601,7,1)=""),IFERROR(INT(MID(metadata!C601,6,2))&gt;=1,FALSE),IFERROR(INT(MID(metadata!C601,6,2))&lt;=12,FALSE)), OR(MID(metadata!C601,8,1)="", AND(AND(MID(metadata!C601,8,1)="-",IFERROR(INT(MID(metadata!C601,9,1))&gt;=0,FALSE),IFERROR(INT(MID(metadata!C601,9,1))&lt;=3,FALSE),NOT(MID(metadata!C601,10,1)=""),IFERROR(INT(MID(metadata!C601,9,2))&gt;=1,FALSE),IFERROR(INT(MID(metadata!C601,9,2))&lt;=31,FALSE)), OR(MID(metadata!C601,11,1)="", AND(AND(MID(metadata!C601,11,1)=" ",IFERROR(INT(MID(metadata!C601,12,1))&gt;=0,FALSE),IFERROR(INT(MID(metadata!C601,12,1))&lt;=2,FALSE),NOT(MID(metadata!C601,13,1)=""),IFERROR(INT(MID(metadata!C601,12,2))&gt;=0,FALSE),IFERROR(INT(MID(metadata!C601,12,2))&lt;=23,FALSE)), OR(MID(metadata!C601,14,1)="", AND(AND(MID(metadata!C601,14,1)=":",IFERROR(INT(MID(metadata!C601,15,1))&gt;=0,FALSE),IFERROR(INT(MID(metadata!C601,15,1))&lt;=5,FALSE),NOT(MID(metadata!C601,16,1)=""),IFERROR(INT(MID(metadata!C601,15,2))&gt;=0,FALSE),IFERROR(INT(MID(metadata!C601,15,2))&lt;=59,FALSE)), OR(MID(metadata!C601,17,1)="", AND(AND(MID(metadata!C601,17,1)=":",IFERROR(INT(MID(metadata!C601,18,1))&gt;=0,FALSE),IFERROR(INT(MID(metadata!C601,18,1))&lt;=5,FALSE),NOT(MID(metadata!C601,19,1)=""),IFERROR(INT(MID(metadata!C601,18,2))&gt;=0,FALSE),IFERROR(INT(MID(metadata!C601,18,2))&lt;=59,FALSE)), LEN(metadata!C601)&lt;=19)))))))))))))</f>
        <v>0</v>
      </c>
      <c r="AO601" t="b">
        <f>AND(IF(metadata!D601="",FALSE,TRUE),EXACT(metadata!D601,"Not applicable"))</f>
        <v>0</v>
      </c>
      <c r="AP601" t="b">
        <f>IF(metadata!E601="",FALSE,TRUE)</f>
        <v>0</v>
      </c>
      <c r="AQ601" t="b">
        <f>OR(AND(IF(metadata!F601="",FALSE,TRUE),OR(EXACT(metadata!F601,"missing: not collected"),EXACT(metadata!F601,"missing: not provided"))),AND(IF(metadata!F601="",FALSE,TRUE),OR(EXACT(metadata!F601,"TRUE"),EXACT(metadata!F601,"FALSE"))))</f>
        <v>0</v>
      </c>
      <c r="AR601" t="b">
        <f>OR(AND(IF(metadata!G601="",FALSE,TRUE),OR(EXACT(metadata!G601,"missing: not collected"),EXACT(metadata!G601,"missing: not provided"),EXACT(metadata!G601,"missing: restricted access"))),AND(IF(metadata!G601="",FALSE,ISNUMBER(VALUE(metadata!G601))),metadata!G601&gt;=-413))</f>
        <v>0</v>
      </c>
      <c r="AS601" t="b">
        <f>AND(IF(metadata!H601="",FALSE,TRUE),EXACT(metadata!H601,"meters"))</f>
        <v>0</v>
      </c>
      <c r="AT601" t="b">
        <f>AND(IF(metadata!I601="",FALSE,TRUE),OR(EXACT(metadata!I601,"Host-associated"),EXACT(metadata!I601,"Free-living")))</f>
        <v>0</v>
      </c>
      <c r="AU601" t="b">
        <f>AND(IF(metadata!J601="",FALSE,TRUE),OR(EXACT(metadata!J601,"Animal"),EXACT(metadata!J601,"Fungus"),EXACT(metadata!J601,"Plant"),EXACT(metadata!J601,"Saline"),EXACT(metadata!J601,"Non-saline")))</f>
        <v>0</v>
      </c>
      <c r="AV601" t="b">
        <f>AND(IF(metadata!K601="",FALSE,TRUE),OR(EXACT(metadata!K601,"Plant secretion"),EXACT(metadata!K601,"Plant rhizosphere"),EXACT(metadata!K601,"Plant surface"),EXACT(metadata!K601,"Plant corpus"),EXACT(metadata!K601,"Fungus surface"),EXACT(metadata!K601,"Fungus corpus"),EXACT(metadata!K601,"Animal surface"),EXACT(metadata!K601,"Animal proximal gut"),EXACT(metadata!K601,"Animal corpus"),EXACT(metadata!K601,"Animal distal gut"),EXACT(metadata!K601,"Animal secretion"),EXACT(metadata!K601,"Sub-surface (non-saline)"),EXACT(metadata!K601,"Surface (non-saline)"),EXACT(metadata!K601,"Water (non-saline)"),EXACT(metadata!K601,"Soil (non-saline)"),EXACT(metadata!K601,"Aerosol (non-saline)"),EXACT(metadata!K601,"Sediment (non-saline)"),EXACT(metadata!K601,"Surface (saline)"),EXACT(metadata!K601,"Water (saline)"),EXACT(metadata!K601,"Hypersaline (saline)"),EXACT(metadata!K601,"Aerosol (saline)"),EXACT(metadata!K601,"Sediment (saline)")))</f>
        <v>0</v>
      </c>
      <c r="AW601" t="b">
        <f>IF(metadata!L601="",FALSE,TRUE)</f>
        <v>0</v>
      </c>
      <c r="AX601" t="b">
        <f>IF(metadata!M601="",FALSE,TRUE)</f>
        <v>0</v>
      </c>
      <c r="AY601" t="b">
        <f>IF(metadata!N601="",FALSE,TRUE)</f>
        <v>0</v>
      </c>
      <c r="AZ601" t="b">
        <f>OR(AND(IF(metadata!O601="",FALSE,TRUE),OR(EXACT(metadata!O601,"missing: not collected"),EXACT(metadata!O601,"missing: not provided"),EXACT(metadata!O601,"missing: restricted access"))),AND(IF(metadata!O601="",FALSE,TRUE),OR(EXACT(metadata!O601,"air"),EXACT(metadata!O601,"built environment"),EXACT(metadata!O601,"host-associated"),EXACT(metadata!O601,"human-associated"),EXACT(metadata!O601,"human-skin"),EXACT(metadata!O601,"human-oral"),EXACT(metadata!O601,"human-gut"),EXACT(metadata!O601,"human-vaginal"),EXACT(metadata!O601,"microbial mat/biofilm"),EXACT(metadata!O601,"misc environment"),EXACT(metadata!O601,"plant-associated"),EXACT(metadata!O601,"sediment"),EXACT(metadata!O601,"soil"),EXACT(metadata!O601,"wastewater/sludge"),EXACT(metadata!O601,"water"))))</f>
        <v>0</v>
      </c>
      <c r="BA601" t="b">
        <f>IF(metadata!P601="",FALSE,TRUE)</f>
        <v>0</v>
      </c>
      <c r="BB601" t="b">
        <f>IF(metadata!Q601="",FALSE,TRUE)</f>
        <v>0</v>
      </c>
      <c r="BC601" t="b">
        <f>OR(AND(IF(metadata!R601="",FALSE,TRUE),OR(EXACT(metadata!R601,"missing: not collected"),EXACT(metadata!R601,"missing: not provided"),EXACT(metadata!R601,"missing: restricted access"))),AND(IF(metadata!R601="",FALSE,ISNUMBER(VALUE(metadata!R601))),metadata!R601&gt;=-90,metadata!R601&lt;=90))</f>
        <v>0</v>
      </c>
      <c r="BD601" t="b">
        <f>AND(IF(metadata!S601="",FALSE,TRUE),EXACT(metadata!S601,"Decimal degrees"))</f>
        <v>0</v>
      </c>
      <c r="BE601" t="b">
        <f>OR(AND(IF(metadata!T601="",FALSE,TRUE),OR(EXACT(metadata!T601,"missing: not collected"),EXACT(metadata!T601,"missing: not provided"),EXACT(metadata!T601,"missing: restricted access"))),AND(IF(metadata!T601="",FALSE,ISNUMBER(VALUE(metadata!T601))),metadata!T601&gt;=-180,metadata!T601&lt;=180))</f>
        <v>0</v>
      </c>
      <c r="BF601" t="b">
        <f>AND(IF(metadata!U601="",FALSE,TRUE),EXACT(metadata!U601,"Decimal degrees"))</f>
        <v>0</v>
      </c>
      <c r="BG601" t="b">
        <f>IF(metadata!V601="",FALSE,TRUE)</f>
        <v>0</v>
      </c>
      <c r="BH601" t="b">
        <f>OR(AND(IF(metadata!W601="",FALSE,TRUE),OR(EXACT(metadata!W601,"missing: not collected"),EXACT(metadata!W601,"missing: not provided"),EXACT(metadata!W601,"missing: restricted access"))),AND(IF(metadata!W601="",FALSE,TRUE),OR(EXACT(metadata!W601,"TRUE"),EXACT(metadata!W601,"FALSE"))))</f>
        <v>0</v>
      </c>
      <c r="BI601" t="b">
        <f>AND(IF(metadata!X601="",FALSE,TRUE),EXACT(metadata!X601,"other"))</f>
        <v>0</v>
      </c>
      <c r="BJ601" t="b">
        <f>IF(metadata!Y601="",FALSE,TRUE)</f>
        <v>0</v>
      </c>
      <c r="BK601" t="b">
        <f>OR(AND(IF(metadata!Z601="",FALSE,TRUE),OR(EXACT(metadata!Z601,"missing: not collected"),EXACT(metadata!Z601,"missing: not provided"))),AND(IF(metadata!Z601="",FALSE,IF(ISERROR(INT(metadata!Z601)),FALSE,INT(metadata!Z601)=metadata!Z601)),metadata!Z601&gt;0))</f>
        <v>0</v>
      </c>
      <c r="BL601" t="b">
        <f>AND(IF(metadata!AA601="",FALSE,TRUE),EXACT(metadata!AA601,"Not applicable"))</f>
        <v>0</v>
      </c>
      <c r="BM601" t="b">
        <f>IF(metadata!AB601="",FALSE,TRUE)</f>
        <v>0</v>
      </c>
    </row>
    <row r="602" spans="1:65" x14ac:dyDescent="0.2">
      <c r="A602" s="5" t="str">
        <f ca="1">IF(B602=" "," ",HYPERLINK(CONCATENATE("#metadata!",ADDRESS(INDEX($AH$2:$AH$1001,MATCH(ROWS($AF$2:AF602),$AF$2:$AF$1001,0),0),1)),INDEX($AK$2:$AK$1001,MATCH(ROWS($AF$2:AF602),$AF$2:$AF$1001,0),0)))</f>
        <v xml:space="preserve"> </v>
      </c>
      <c r="B602" s="4" t="str">
        <f ca="1">IF(OR(INDEX($AG$2:$AG$1001,MATCH(ROWS($AF$2:AF602),$AF$2:$AF$1001,0),1)&gt;=100000,INDEX($AM$1005:$BM$1005,1,MATCH(COLUMNS($AM$1006:AM1006),$AM$1006:$BM$1006,0))&gt;=100000), " ",IF(INDEX($AM$2:$BM$1001,MATCH(ROWS($AF$2:AF602),$AF$2:$AF$1001,0),MATCH(COLUMNS($AM$1006:AM1006),$AM$1006:$BM$1006,0)), HYPERLINK("#",""), HYPERLINK(CONCATENATE("#metadata!", ADDRESS(INDEX($AH$2:$AH$1001,MATCH(ROWS($AF$2:AF602),$AF$2:$AF$1001,0),0), INDEX($AM$1004:$BM$1004,1,MATCH(COLUMNS($AM$1006:AM1006),$AM$1006:$BM$1006,0)))),"Fix")))</f>
        <v xml:space="preserve"> </v>
      </c>
      <c r="C602" s="4" t="str">
        <f ca="1">IF(OR(INDEX($AG$2:$AG$1001,MATCH(ROWS($AF$2:AF602),$AF$2:$AF$1001,0),1)&gt;=100000,INDEX($AM$1005:$BM$1005,1,MATCH(COLUMNS($AM$1006:AN1006),$AM$1006:$BM$1006,0))&gt;=100000), " ",IF(INDEX($AM$2:$BM$1001,MATCH(ROWS($AF$2:AF602),$AF$2:$AF$1001,0),MATCH(COLUMNS($AM$1006:AN1006),$AM$1006:$BM$1006,0)), HYPERLINK("#",""), HYPERLINK(CONCATENATE("#metadata!", ADDRESS(INDEX($AH$2:$AH$1001,MATCH(ROWS($AF$2:AF602),$AF$2:$AF$1001,0),0), INDEX($AM$1004:$BM$1004,1,MATCH(COLUMNS($AM$1006:AN1006),$AM$1006:$BM$1006,0)))),"Fix")))</f>
        <v xml:space="preserve"> </v>
      </c>
      <c r="D602" s="4" t="str">
        <f ca="1">IF(OR(INDEX($AG$2:$AG$1001,MATCH(ROWS($AF$2:AF602),$AF$2:$AF$1001,0),1)&gt;=100000,INDEX($AM$1005:$BM$1005,1,MATCH(COLUMNS($AM$1006:AO1006),$AM$1006:$BM$1006,0))&gt;=100000), " ",IF(INDEX($AM$2:$BM$1001,MATCH(ROWS($AF$2:AF602),$AF$2:$AF$1001,0),MATCH(COLUMNS($AM$1006:AO1006),$AM$1006:$BM$1006,0)), HYPERLINK("#",""), HYPERLINK(CONCATENATE("#metadata!", ADDRESS(INDEX($AH$2:$AH$1001,MATCH(ROWS($AF$2:AF602),$AF$2:$AF$1001,0),0), INDEX($AM$1004:$BM$1004,1,MATCH(COLUMNS($AM$1006:AO1006),$AM$1006:$BM$1006,0)))),"Fix")))</f>
        <v xml:space="preserve"> </v>
      </c>
      <c r="E602" s="4" t="str">
        <f ca="1">IF(OR(INDEX($AG$2:$AG$1001,MATCH(ROWS($AF$2:AF602),$AF$2:$AF$1001,0),1)&gt;=100000,INDEX($AM$1005:$BM$1005,1,MATCH(COLUMNS($AM$1006:AP1006),$AM$1006:$BM$1006,0))&gt;=100000), " ",IF(INDEX($AM$2:$BM$1001,MATCH(ROWS($AF$2:AF602),$AF$2:$AF$1001,0),MATCH(COLUMNS($AM$1006:AP1006),$AM$1006:$BM$1006,0)), HYPERLINK("#",""), HYPERLINK(CONCATENATE("#metadata!", ADDRESS(INDEX($AH$2:$AH$1001,MATCH(ROWS($AF$2:AF602),$AF$2:$AF$1001,0),0), INDEX($AM$1004:$BM$1004,1,MATCH(COLUMNS($AM$1006:AP1006),$AM$1006:$BM$1006,0)))),"Fix")))</f>
        <v xml:space="preserve"> </v>
      </c>
      <c r="F602" s="4" t="str">
        <f ca="1">IF(OR(INDEX($AG$2:$AG$1001,MATCH(ROWS($AF$2:AF602),$AF$2:$AF$1001,0),1)&gt;=100000,INDEX($AM$1005:$BM$1005,1,MATCH(COLUMNS($AM$1006:AQ1006),$AM$1006:$BM$1006,0))&gt;=100000), " ",IF(INDEX($AM$2:$BM$1001,MATCH(ROWS($AF$2:AF602),$AF$2:$AF$1001,0),MATCH(COLUMNS($AM$1006:AQ1006),$AM$1006:$BM$1006,0)), HYPERLINK("#",""), HYPERLINK(CONCATENATE("#metadata!", ADDRESS(INDEX($AH$2:$AH$1001,MATCH(ROWS($AF$2:AF602),$AF$2:$AF$1001,0),0), INDEX($AM$1004:$BM$1004,1,MATCH(COLUMNS($AM$1006:AQ1006),$AM$1006:$BM$1006,0)))),"Fix")))</f>
        <v xml:space="preserve"> </v>
      </c>
      <c r="G602" s="4" t="str">
        <f ca="1">IF(OR(INDEX($AG$2:$AG$1001,MATCH(ROWS($AF$2:AF602),$AF$2:$AF$1001,0),1)&gt;=100000,INDEX($AM$1005:$BM$1005,1,MATCH(COLUMNS($AM$1006:AR1006),$AM$1006:$BM$1006,0))&gt;=100000), " ",IF(INDEX($AM$2:$BM$1001,MATCH(ROWS($AF$2:AF602),$AF$2:$AF$1001,0),MATCH(COLUMNS($AM$1006:AR1006),$AM$1006:$BM$1006,0)), HYPERLINK("#",""), HYPERLINK(CONCATENATE("#metadata!", ADDRESS(INDEX($AH$2:$AH$1001,MATCH(ROWS($AF$2:AF602),$AF$2:$AF$1001,0),0), INDEX($AM$1004:$BM$1004,1,MATCH(COLUMNS($AM$1006:AR1006),$AM$1006:$BM$1006,0)))),"Fix")))</f>
        <v xml:space="preserve"> </v>
      </c>
      <c r="H602" s="4" t="str">
        <f ca="1">IF(OR(INDEX($AG$2:$AG$1001,MATCH(ROWS($AF$2:AF602),$AF$2:$AF$1001,0),1)&gt;=100000,INDEX($AM$1005:$BM$1005,1,MATCH(COLUMNS($AM$1006:AS1006),$AM$1006:$BM$1006,0))&gt;=100000), " ",IF(INDEX($AM$2:$BM$1001,MATCH(ROWS($AF$2:AF602),$AF$2:$AF$1001,0),MATCH(COLUMNS($AM$1006:AS1006),$AM$1006:$BM$1006,0)), HYPERLINK("#",""), HYPERLINK(CONCATENATE("#metadata!", ADDRESS(INDEX($AH$2:$AH$1001,MATCH(ROWS($AF$2:AF602),$AF$2:$AF$1001,0),0), INDEX($AM$1004:$BM$1004,1,MATCH(COLUMNS($AM$1006:AS1006),$AM$1006:$BM$1006,0)))),"Fix")))</f>
        <v xml:space="preserve"> </v>
      </c>
      <c r="I602" s="4" t="str">
        <f ca="1">IF(OR(INDEX($AG$2:$AG$1001,MATCH(ROWS($AF$2:AF602),$AF$2:$AF$1001,0),1)&gt;=100000,INDEX($AM$1005:$BM$1005,1,MATCH(COLUMNS($AM$1006:AT1006),$AM$1006:$BM$1006,0))&gt;=100000), " ",IF(INDEX($AM$2:$BM$1001,MATCH(ROWS($AF$2:AF602),$AF$2:$AF$1001,0),MATCH(COLUMNS($AM$1006:AT1006),$AM$1006:$BM$1006,0)), HYPERLINK("#",""), HYPERLINK(CONCATENATE("#metadata!", ADDRESS(INDEX($AH$2:$AH$1001,MATCH(ROWS($AF$2:AF602),$AF$2:$AF$1001,0),0), INDEX($AM$1004:$BM$1004,1,MATCH(COLUMNS($AM$1006:AT1006),$AM$1006:$BM$1006,0)))),"Fix")))</f>
        <v xml:space="preserve"> </v>
      </c>
      <c r="J602" s="4" t="str">
        <f ca="1">IF(OR(INDEX($AG$2:$AG$1001,MATCH(ROWS($AF$2:AF602),$AF$2:$AF$1001,0),1)&gt;=100000,INDEX($AM$1005:$BM$1005,1,MATCH(COLUMNS($AM$1006:AU1006),$AM$1006:$BM$1006,0))&gt;=100000), " ",IF(INDEX($AM$2:$BM$1001,MATCH(ROWS($AF$2:AF602),$AF$2:$AF$1001,0),MATCH(COLUMNS($AM$1006:AU1006),$AM$1006:$BM$1006,0)), HYPERLINK("#",""), HYPERLINK(CONCATENATE("#metadata!", ADDRESS(INDEX($AH$2:$AH$1001,MATCH(ROWS($AF$2:AF602),$AF$2:$AF$1001,0),0), INDEX($AM$1004:$BM$1004,1,MATCH(COLUMNS($AM$1006:AU1006),$AM$1006:$BM$1006,0)))),"Fix")))</f>
        <v xml:space="preserve"> </v>
      </c>
      <c r="K602" s="4" t="str">
        <f ca="1">IF(OR(INDEX($AG$2:$AG$1001,MATCH(ROWS($AF$2:AF602),$AF$2:$AF$1001,0),1)&gt;=100000,INDEX($AM$1005:$BM$1005,1,MATCH(COLUMNS($AM$1006:AV1006),$AM$1006:$BM$1006,0))&gt;=100000), " ",IF(INDEX($AM$2:$BM$1001,MATCH(ROWS($AF$2:AF602),$AF$2:$AF$1001,0),MATCH(COLUMNS($AM$1006:AV1006),$AM$1006:$BM$1006,0)), HYPERLINK("#",""), HYPERLINK(CONCATENATE("#metadata!", ADDRESS(INDEX($AH$2:$AH$1001,MATCH(ROWS($AF$2:AF602),$AF$2:$AF$1001,0),0), INDEX($AM$1004:$BM$1004,1,MATCH(COLUMNS($AM$1006:AV1006),$AM$1006:$BM$1006,0)))),"Fix")))</f>
        <v xml:space="preserve"> </v>
      </c>
      <c r="L602" s="4" t="str">
        <f ca="1">IF(OR(INDEX($AG$2:$AG$1001,MATCH(ROWS($AF$2:AF602),$AF$2:$AF$1001,0),1)&gt;=100000,INDEX($AM$1005:$BM$1005,1,MATCH(COLUMNS($AM$1006:AW1006),$AM$1006:$BM$1006,0))&gt;=100000), " ",IF(INDEX($AM$2:$BM$1001,MATCH(ROWS($AF$2:AF602),$AF$2:$AF$1001,0),MATCH(COLUMNS($AM$1006:AW1006),$AM$1006:$BM$1006,0)), HYPERLINK("#",""), HYPERLINK(CONCATENATE("#metadata!", ADDRESS(INDEX($AH$2:$AH$1001,MATCH(ROWS($AF$2:AF602),$AF$2:$AF$1001,0),0), INDEX($AM$1004:$BM$1004,1,MATCH(COLUMNS($AM$1006:AW1006),$AM$1006:$BM$1006,0)))),"Fix")))</f>
        <v xml:space="preserve"> </v>
      </c>
      <c r="M602" s="4" t="str">
        <f ca="1">IF(OR(INDEX($AG$2:$AG$1001,MATCH(ROWS($AF$2:AF602),$AF$2:$AF$1001,0),1)&gt;=100000,INDEX($AM$1005:$BM$1005,1,MATCH(COLUMNS($AM$1006:AX1006),$AM$1006:$BM$1006,0))&gt;=100000), " ",IF(INDEX($AM$2:$BM$1001,MATCH(ROWS($AF$2:AF602),$AF$2:$AF$1001,0),MATCH(COLUMNS($AM$1006:AX1006),$AM$1006:$BM$1006,0)), HYPERLINK("#",""), HYPERLINK(CONCATENATE("#metadata!", ADDRESS(INDEX($AH$2:$AH$1001,MATCH(ROWS($AF$2:AF602),$AF$2:$AF$1001,0),0), INDEX($AM$1004:$BM$1004,1,MATCH(COLUMNS($AM$1006:AX1006),$AM$1006:$BM$1006,0)))),"Fix")))</f>
        <v xml:space="preserve"> </v>
      </c>
      <c r="N602" s="4" t="str">
        <f ca="1">IF(OR(INDEX($AG$2:$AG$1001,MATCH(ROWS($AF$2:AF602),$AF$2:$AF$1001,0),1)&gt;=100000,INDEX($AM$1005:$BM$1005,1,MATCH(COLUMNS($AM$1006:AY1006),$AM$1006:$BM$1006,0))&gt;=100000), " ",IF(INDEX($AM$2:$BM$1001,MATCH(ROWS($AF$2:AF602),$AF$2:$AF$1001,0),MATCH(COLUMNS($AM$1006:AY1006),$AM$1006:$BM$1006,0)), HYPERLINK("#",""), HYPERLINK(CONCATENATE("#metadata!", ADDRESS(INDEX($AH$2:$AH$1001,MATCH(ROWS($AF$2:AF602),$AF$2:$AF$1001,0),0), INDEX($AM$1004:$BM$1004,1,MATCH(COLUMNS($AM$1006:AY1006),$AM$1006:$BM$1006,0)))),"Fix")))</f>
        <v xml:space="preserve"> </v>
      </c>
      <c r="O602" s="4" t="str">
        <f ca="1">IF(OR(INDEX($AG$2:$AG$1001,MATCH(ROWS($AF$2:AF602),$AF$2:$AF$1001,0),1)&gt;=100000,INDEX($AM$1005:$BM$1005,1,MATCH(COLUMNS($AM$1006:AZ1006),$AM$1006:$BM$1006,0))&gt;=100000), " ",IF(INDEX($AM$2:$BM$1001,MATCH(ROWS($AF$2:AF602),$AF$2:$AF$1001,0),MATCH(COLUMNS($AM$1006:AZ1006),$AM$1006:$BM$1006,0)), HYPERLINK("#",""), HYPERLINK(CONCATENATE("#metadata!", ADDRESS(INDEX($AH$2:$AH$1001,MATCH(ROWS($AF$2:AF602),$AF$2:$AF$1001,0),0), INDEX($AM$1004:$BM$1004,1,MATCH(COLUMNS($AM$1006:AZ1006),$AM$1006:$BM$1006,0)))),"Fix")))</f>
        <v xml:space="preserve"> </v>
      </c>
      <c r="P602" s="4" t="str">
        <f ca="1">IF(OR(INDEX($AG$2:$AG$1001,MATCH(ROWS($AF$2:AF602),$AF$2:$AF$1001,0),1)&gt;=100000,INDEX($AM$1005:$BM$1005,1,MATCH(COLUMNS($AM$1006:BA1006),$AM$1006:$BM$1006,0))&gt;=100000), " ",IF(INDEX($AM$2:$BM$1001,MATCH(ROWS($AF$2:AF602),$AF$2:$AF$1001,0),MATCH(COLUMNS($AM$1006:BA1006),$AM$1006:$BM$1006,0)), HYPERLINK("#",""), HYPERLINK(CONCATENATE("#metadata!", ADDRESS(INDEX($AH$2:$AH$1001,MATCH(ROWS($AF$2:AF602),$AF$2:$AF$1001,0),0), INDEX($AM$1004:$BM$1004,1,MATCH(COLUMNS($AM$1006:BA1006),$AM$1006:$BM$1006,0)))),"Fix")))</f>
        <v xml:space="preserve"> </v>
      </c>
      <c r="Q602" s="4" t="str">
        <f ca="1">IF(OR(INDEX($AG$2:$AG$1001,MATCH(ROWS($AF$2:AF602),$AF$2:$AF$1001,0),1)&gt;=100000,INDEX($AM$1005:$BM$1005,1,MATCH(COLUMNS($AM$1006:BB1006),$AM$1006:$BM$1006,0))&gt;=100000), " ",IF(INDEX($AM$2:$BM$1001,MATCH(ROWS($AF$2:AF602),$AF$2:$AF$1001,0),MATCH(COLUMNS($AM$1006:BB1006),$AM$1006:$BM$1006,0)), HYPERLINK("#",""), HYPERLINK(CONCATENATE("#metadata!", ADDRESS(INDEX($AH$2:$AH$1001,MATCH(ROWS($AF$2:AF602),$AF$2:$AF$1001,0),0), INDEX($AM$1004:$BM$1004,1,MATCH(COLUMNS($AM$1006:BB1006),$AM$1006:$BM$1006,0)))),"Fix")))</f>
        <v xml:space="preserve"> </v>
      </c>
      <c r="R602" s="4" t="str">
        <f ca="1">IF(OR(INDEX($AG$2:$AG$1001,MATCH(ROWS($AF$2:AF602),$AF$2:$AF$1001,0),1)&gt;=100000,INDEX($AM$1005:$BM$1005,1,MATCH(COLUMNS($AM$1006:BC1006),$AM$1006:$BM$1006,0))&gt;=100000), " ",IF(INDEX($AM$2:$BM$1001,MATCH(ROWS($AF$2:AF602),$AF$2:$AF$1001,0),MATCH(COLUMNS($AM$1006:BC1006),$AM$1006:$BM$1006,0)), HYPERLINK("#",""), HYPERLINK(CONCATENATE("#metadata!", ADDRESS(INDEX($AH$2:$AH$1001,MATCH(ROWS($AF$2:AF602),$AF$2:$AF$1001,0),0), INDEX($AM$1004:$BM$1004,1,MATCH(COLUMNS($AM$1006:BC1006),$AM$1006:$BM$1006,0)))),"Fix")))</f>
        <v xml:space="preserve"> </v>
      </c>
      <c r="S602" s="4" t="str">
        <f ca="1">IF(OR(INDEX($AG$2:$AG$1001,MATCH(ROWS($AF$2:AF602),$AF$2:$AF$1001,0),1)&gt;=100000,INDEX($AM$1005:$BM$1005,1,MATCH(COLUMNS($AM$1006:BD1006),$AM$1006:$BM$1006,0))&gt;=100000), " ",IF(INDEX($AM$2:$BM$1001,MATCH(ROWS($AF$2:AF602),$AF$2:$AF$1001,0),MATCH(COLUMNS($AM$1006:BD1006),$AM$1006:$BM$1006,0)), HYPERLINK("#",""), HYPERLINK(CONCATENATE("#metadata!", ADDRESS(INDEX($AH$2:$AH$1001,MATCH(ROWS($AF$2:AF602),$AF$2:$AF$1001,0),0), INDEX($AM$1004:$BM$1004,1,MATCH(COLUMNS($AM$1006:BD1006),$AM$1006:$BM$1006,0)))),"Fix")))</f>
        <v xml:space="preserve"> </v>
      </c>
      <c r="T602" s="4" t="str">
        <f ca="1">IF(OR(INDEX($AG$2:$AG$1001,MATCH(ROWS($AF$2:AF602),$AF$2:$AF$1001,0),1)&gt;=100000,INDEX($AM$1005:$BM$1005,1,MATCH(COLUMNS($AM$1006:BE1006),$AM$1006:$BM$1006,0))&gt;=100000), " ",IF(INDEX($AM$2:$BM$1001,MATCH(ROWS($AF$2:AF602),$AF$2:$AF$1001,0),MATCH(COLUMNS($AM$1006:BE1006),$AM$1006:$BM$1006,0)), HYPERLINK("#",""), HYPERLINK(CONCATENATE("#metadata!", ADDRESS(INDEX($AH$2:$AH$1001,MATCH(ROWS($AF$2:AF602),$AF$2:$AF$1001,0),0), INDEX($AM$1004:$BM$1004,1,MATCH(COLUMNS($AM$1006:BE1006),$AM$1006:$BM$1006,0)))),"Fix")))</f>
        <v xml:space="preserve"> </v>
      </c>
      <c r="U602" s="4" t="str">
        <f ca="1">IF(OR(INDEX($AG$2:$AG$1001,MATCH(ROWS($AF$2:AF602),$AF$2:$AF$1001,0),1)&gt;=100000,INDEX($AM$1005:$BM$1005,1,MATCH(COLUMNS($AM$1006:BF1006),$AM$1006:$BM$1006,0))&gt;=100000), " ",IF(INDEX($AM$2:$BM$1001,MATCH(ROWS($AF$2:AF602),$AF$2:$AF$1001,0),MATCH(COLUMNS($AM$1006:BF1006),$AM$1006:$BM$1006,0)), HYPERLINK("#",""), HYPERLINK(CONCATENATE("#metadata!", ADDRESS(INDEX($AH$2:$AH$1001,MATCH(ROWS($AF$2:AF602),$AF$2:$AF$1001,0),0), INDEX($AM$1004:$BM$1004,1,MATCH(COLUMNS($AM$1006:BF1006),$AM$1006:$BM$1006,0)))),"Fix")))</f>
        <v xml:space="preserve"> </v>
      </c>
      <c r="V602" s="4" t="str">
        <f ca="1">IF(OR(INDEX($AG$2:$AG$1001,MATCH(ROWS($AF$2:AF602),$AF$2:$AF$1001,0),1)&gt;=100000,INDEX($AM$1005:$BM$1005,1,MATCH(COLUMNS($AM$1006:BG1006),$AM$1006:$BM$1006,0))&gt;=100000), " ",IF(INDEX($AM$2:$BM$1001,MATCH(ROWS($AF$2:AF602),$AF$2:$AF$1001,0),MATCH(COLUMNS($AM$1006:BG1006),$AM$1006:$BM$1006,0)), HYPERLINK("#",""), HYPERLINK(CONCATENATE("#metadata!", ADDRESS(INDEX($AH$2:$AH$1001,MATCH(ROWS($AF$2:AF602),$AF$2:$AF$1001,0),0), INDEX($AM$1004:$BM$1004,1,MATCH(COLUMNS($AM$1006:BG1006),$AM$1006:$BM$1006,0)))),"Fix")))</f>
        <v xml:space="preserve"> </v>
      </c>
      <c r="W602" s="4" t="str">
        <f ca="1">IF(OR(INDEX($AG$2:$AG$1001,MATCH(ROWS($AF$2:AF602),$AF$2:$AF$1001,0),1)&gt;=100000,INDEX($AM$1005:$BM$1005,1,MATCH(COLUMNS($AM$1006:BH1006),$AM$1006:$BM$1006,0))&gt;=100000), " ",IF(INDEX($AM$2:$BM$1001,MATCH(ROWS($AF$2:AF602),$AF$2:$AF$1001,0),MATCH(COLUMNS($AM$1006:BH1006),$AM$1006:$BM$1006,0)), HYPERLINK("#",""), HYPERLINK(CONCATENATE("#metadata!", ADDRESS(INDEX($AH$2:$AH$1001,MATCH(ROWS($AF$2:AF602),$AF$2:$AF$1001,0),0), INDEX($AM$1004:$BM$1004,1,MATCH(COLUMNS($AM$1006:BH1006),$AM$1006:$BM$1006,0)))),"Fix")))</f>
        <v xml:space="preserve"> </v>
      </c>
      <c r="X602" s="4" t="str">
        <f ca="1">IF(OR(INDEX($AG$2:$AG$1001,MATCH(ROWS($AF$2:AF602),$AF$2:$AF$1001,0),1)&gt;=100000,INDEX($AM$1005:$BM$1005,1,MATCH(COLUMNS($AM$1006:BI1006),$AM$1006:$BM$1006,0))&gt;=100000), " ",IF(INDEX($AM$2:$BM$1001,MATCH(ROWS($AF$2:AF602),$AF$2:$AF$1001,0),MATCH(COLUMNS($AM$1006:BI1006),$AM$1006:$BM$1006,0)), HYPERLINK("#",""), HYPERLINK(CONCATENATE("#metadata!", ADDRESS(INDEX($AH$2:$AH$1001,MATCH(ROWS($AF$2:AF602),$AF$2:$AF$1001,0),0), INDEX($AM$1004:$BM$1004,1,MATCH(COLUMNS($AM$1006:BI1006),$AM$1006:$BM$1006,0)))),"Fix")))</f>
        <v xml:space="preserve"> </v>
      </c>
      <c r="Y602" s="4" t="str">
        <f ca="1">IF(OR(INDEX($AG$2:$AG$1001,MATCH(ROWS($AF$2:AF602),$AF$2:$AF$1001,0),1)&gt;=100000,INDEX($AM$1005:$BM$1005,1,MATCH(COLUMNS($AM$1006:BJ1006),$AM$1006:$BM$1006,0))&gt;=100000), " ",IF(INDEX($AM$2:$BM$1001,MATCH(ROWS($AF$2:AF602),$AF$2:$AF$1001,0),MATCH(COLUMNS($AM$1006:BJ1006),$AM$1006:$BM$1006,0)), HYPERLINK("#",""), HYPERLINK(CONCATENATE("#metadata!", ADDRESS(INDEX($AH$2:$AH$1001,MATCH(ROWS($AF$2:AF602),$AF$2:$AF$1001,0),0), INDEX($AM$1004:$BM$1004,1,MATCH(COLUMNS($AM$1006:BJ1006),$AM$1006:$BM$1006,0)))),"Fix")))</f>
        <v xml:space="preserve"> </v>
      </c>
      <c r="Z602" s="4" t="str">
        <f ca="1">IF(OR(INDEX($AG$2:$AG$1001,MATCH(ROWS($AF$2:AF602),$AF$2:$AF$1001,0),1)&gt;=100000,INDEX($AM$1005:$BM$1005,1,MATCH(COLUMNS($AM$1006:BK1006),$AM$1006:$BM$1006,0))&gt;=100000), " ",IF(INDEX($AM$2:$BM$1001,MATCH(ROWS($AF$2:AF602),$AF$2:$AF$1001,0),MATCH(COLUMNS($AM$1006:BK1006),$AM$1006:$BM$1006,0)), HYPERLINK("#",""), HYPERLINK(CONCATENATE("#metadata!", ADDRESS(INDEX($AH$2:$AH$1001,MATCH(ROWS($AF$2:AF602),$AF$2:$AF$1001,0),0), INDEX($AM$1004:$BM$1004,1,MATCH(COLUMNS($AM$1006:BK1006),$AM$1006:$BM$1006,0)))),"Fix")))</f>
        <v xml:space="preserve"> </v>
      </c>
      <c r="AA602" s="4" t="str">
        <f ca="1">IF(OR(INDEX($AG$2:$AG$1001,MATCH(ROWS($AF$2:AF602),$AF$2:$AF$1001,0),1)&gt;=100000,INDEX($AM$1005:$BM$1005,1,MATCH(COLUMNS($AM$1006:BL1006),$AM$1006:$BM$1006,0))&gt;=100000), " ",IF(INDEX($AM$2:$BM$1001,MATCH(ROWS($AF$2:AF602),$AF$2:$AF$1001,0),MATCH(COLUMNS($AM$1006:BL1006),$AM$1006:$BM$1006,0)), HYPERLINK("#",""), HYPERLINK(CONCATENATE("#metadata!", ADDRESS(INDEX($AH$2:$AH$1001,MATCH(ROWS($AF$2:AF602),$AF$2:$AF$1001,0),0), INDEX($AM$1004:$BM$1004,1,MATCH(COLUMNS($AM$1006:BL1006),$AM$1006:$BM$1006,0)))),"Fix")))</f>
        <v xml:space="preserve"> </v>
      </c>
      <c r="AB602" s="4" t="str">
        <f ca="1">IF(OR(INDEX($AG$2:$AG$1001,MATCH(ROWS($AF$2:AF602),$AF$2:$AF$1001,0),1)&gt;=100000,INDEX($AM$1005:$BM$1005,1,MATCH(COLUMNS($AM$1006:BM1006),$AM$1006:$BM$1006,0))&gt;=100000), " ",IF(INDEX($AM$2:$BM$1001,MATCH(ROWS($AF$2:AF602),$AF$2:$AF$1001,0),MATCH(COLUMNS($AM$1006:BM1006),$AM$1006:$BM$1006,0)), HYPERLINK("#",""), HYPERLINK(CONCATENATE("#metadata!", ADDRESS(INDEX($AH$2:$AH$1001,MATCH(ROWS($AF$2:AF602),$AF$2:$AF$1001,0),0), INDEX($AM$1004:$BM$1004,1,MATCH(COLUMNS($AM$1006:BM1006),$AM$1006:$BM$1006,0)))),"Fix")))</f>
        <v xml:space="preserve"> </v>
      </c>
      <c r="AF602">
        <v>601</v>
      </c>
      <c r="AG602">
        <v>100602</v>
      </c>
      <c r="AH602">
        <v>602</v>
      </c>
      <c r="AI602" t="b">
        <f t="shared" si="9"/>
        <v>1</v>
      </c>
      <c r="AJ602" t="b">
        <f>COUNTBLANK(metadata!B602:AB602)=COLUMNS(metadata!B602:AB602)</f>
        <v>1</v>
      </c>
      <c r="AK602" t="str">
        <v/>
      </c>
      <c r="AM602" t="b">
        <f ca="1">AND(IF(metadata!B602="",FALSE,TRUE),COUNTIF(metadata!B:B, metadata!B602) = 1,NOT(ISERROR(SUMPRODUCT(SEARCH(MID(metadata!B602,ROW(INDIRECT("1:"&amp;LEN(metadata!B602))), 1),"0123456789abcdefghijklmnopqrstuvwxyzABCDEFGHIJKLMNOPQRSTUVWXYZ.")))))</f>
        <v>0</v>
      </c>
      <c r="AN602" t="b">
        <f ca="1">OR(AND(IF(metadata!C602="",FALSE,TRUE),OR(EXACT(metadata!C602,"missing: not collected"),EXACT(metadata!C602,"missing: not provided"),EXACT(metadata!C602,"missing: restricted access"))),AND(IF(metadata!C602="",FALSE,TRUE),AND(AND(IFERROR(INT(LEFT(metadata!C602,4))&gt;1900,FALSE),IFERROR(INT(LEFT(metadata!C602,4))&lt;=YEAR(NOW()),FALSE)), OR(MID(metadata!C602,5,1)="", AND(AND(MID(metadata!C602,5,1)="-",IFERROR(INT(MID(metadata!C602,6,1))&gt;=0,FALSE),IFERROR(INT(MID(metadata!C602,6,1))&lt;=1,FALSE),NOT(MID(metadata!C602,7,1)=""),IFERROR(INT(MID(metadata!C602,6,2))&gt;=1,FALSE),IFERROR(INT(MID(metadata!C602,6,2))&lt;=12,FALSE)), OR(MID(metadata!C602,8,1)="", AND(AND(MID(metadata!C602,8,1)="-",IFERROR(INT(MID(metadata!C602,9,1))&gt;=0,FALSE),IFERROR(INT(MID(metadata!C602,9,1))&lt;=3,FALSE),NOT(MID(metadata!C602,10,1)=""),IFERROR(INT(MID(metadata!C602,9,2))&gt;=1,FALSE),IFERROR(INT(MID(metadata!C602,9,2))&lt;=31,FALSE)), OR(MID(metadata!C602,11,1)="", AND(AND(MID(metadata!C602,11,1)=" ",IFERROR(INT(MID(metadata!C602,12,1))&gt;=0,FALSE),IFERROR(INT(MID(metadata!C602,12,1))&lt;=2,FALSE),NOT(MID(metadata!C602,13,1)=""),IFERROR(INT(MID(metadata!C602,12,2))&gt;=0,FALSE),IFERROR(INT(MID(metadata!C602,12,2))&lt;=23,FALSE)), OR(MID(metadata!C602,14,1)="", AND(AND(MID(metadata!C602,14,1)=":",IFERROR(INT(MID(metadata!C602,15,1))&gt;=0,FALSE),IFERROR(INT(MID(metadata!C602,15,1))&lt;=5,FALSE),NOT(MID(metadata!C602,16,1)=""),IFERROR(INT(MID(metadata!C602,15,2))&gt;=0,FALSE),IFERROR(INT(MID(metadata!C602,15,2))&lt;=59,FALSE)), OR(MID(metadata!C602,17,1)="", AND(AND(MID(metadata!C602,17,1)=":",IFERROR(INT(MID(metadata!C602,18,1))&gt;=0,FALSE),IFERROR(INT(MID(metadata!C602,18,1))&lt;=5,FALSE),NOT(MID(metadata!C602,19,1)=""),IFERROR(INT(MID(metadata!C602,18,2))&gt;=0,FALSE),IFERROR(INT(MID(metadata!C602,18,2))&lt;=59,FALSE)), LEN(metadata!C602)&lt;=19)))))))))))))</f>
        <v>0</v>
      </c>
      <c r="AO602" t="b">
        <f>AND(IF(metadata!D602="",FALSE,TRUE),EXACT(metadata!D602,"Not applicable"))</f>
        <v>0</v>
      </c>
      <c r="AP602" t="b">
        <f>IF(metadata!E602="",FALSE,TRUE)</f>
        <v>0</v>
      </c>
      <c r="AQ602" t="b">
        <f>OR(AND(IF(metadata!F602="",FALSE,TRUE),OR(EXACT(metadata!F602,"missing: not collected"),EXACT(metadata!F602,"missing: not provided"))),AND(IF(metadata!F602="",FALSE,TRUE),OR(EXACT(metadata!F602,"TRUE"),EXACT(metadata!F602,"FALSE"))))</f>
        <v>0</v>
      </c>
      <c r="AR602" t="b">
        <f>OR(AND(IF(metadata!G602="",FALSE,TRUE),OR(EXACT(metadata!G602,"missing: not collected"),EXACT(metadata!G602,"missing: not provided"),EXACT(metadata!G602,"missing: restricted access"))),AND(IF(metadata!G602="",FALSE,ISNUMBER(VALUE(metadata!G602))),metadata!G602&gt;=-413))</f>
        <v>0</v>
      </c>
      <c r="AS602" t="b">
        <f>AND(IF(metadata!H602="",FALSE,TRUE),EXACT(metadata!H602,"meters"))</f>
        <v>0</v>
      </c>
      <c r="AT602" t="b">
        <f>AND(IF(metadata!I602="",FALSE,TRUE),OR(EXACT(metadata!I602,"Host-associated"),EXACT(metadata!I602,"Free-living")))</f>
        <v>0</v>
      </c>
      <c r="AU602" t="b">
        <f>AND(IF(metadata!J602="",FALSE,TRUE),OR(EXACT(metadata!J602,"Animal"),EXACT(metadata!J602,"Fungus"),EXACT(metadata!J602,"Plant"),EXACT(metadata!J602,"Saline"),EXACT(metadata!J602,"Non-saline")))</f>
        <v>0</v>
      </c>
      <c r="AV602" t="b">
        <f>AND(IF(metadata!K602="",FALSE,TRUE),OR(EXACT(metadata!K602,"Plant secretion"),EXACT(metadata!K602,"Plant rhizosphere"),EXACT(metadata!K602,"Plant surface"),EXACT(metadata!K602,"Plant corpus"),EXACT(metadata!K602,"Fungus surface"),EXACT(metadata!K602,"Fungus corpus"),EXACT(metadata!K602,"Animal surface"),EXACT(metadata!K602,"Animal proximal gut"),EXACT(metadata!K602,"Animal corpus"),EXACT(metadata!K602,"Animal distal gut"),EXACT(metadata!K602,"Animal secretion"),EXACT(metadata!K602,"Sub-surface (non-saline)"),EXACT(metadata!K602,"Surface (non-saline)"),EXACT(metadata!K602,"Water (non-saline)"),EXACT(metadata!K602,"Soil (non-saline)"),EXACT(metadata!K602,"Aerosol (non-saline)"),EXACT(metadata!K602,"Sediment (non-saline)"),EXACT(metadata!K602,"Surface (saline)"),EXACT(metadata!K602,"Water (saline)"),EXACT(metadata!K602,"Hypersaline (saline)"),EXACT(metadata!K602,"Aerosol (saline)"),EXACT(metadata!K602,"Sediment (saline)")))</f>
        <v>0</v>
      </c>
      <c r="AW602" t="b">
        <f>IF(metadata!L602="",FALSE,TRUE)</f>
        <v>0</v>
      </c>
      <c r="AX602" t="b">
        <f>IF(metadata!M602="",FALSE,TRUE)</f>
        <v>0</v>
      </c>
      <c r="AY602" t="b">
        <f>IF(metadata!N602="",FALSE,TRUE)</f>
        <v>0</v>
      </c>
      <c r="AZ602" t="b">
        <f>OR(AND(IF(metadata!O602="",FALSE,TRUE),OR(EXACT(metadata!O602,"missing: not collected"),EXACT(metadata!O602,"missing: not provided"),EXACT(metadata!O602,"missing: restricted access"))),AND(IF(metadata!O602="",FALSE,TRUE),OR(EXACT(metadata!O602,"air"),EXACT(metadata!O602,"built environment"),EXACT(metadata!O602,"host-associated"),EXACT(metadata!O602,"human-associated"),EXACT(metadata!O602,"human-skin"),EXACT(metadata!O602,"human-oral"),EXACT(metadata!O602,"human-gut"),EXACT(metadata!O602,"human-vaginal"),EXACT(metadata!O602,"microbial mat/biofilm"),EXACT(metadata!O602,"misc environment"),EXACT(metadata!O602,"plant-associated"),EXACT(metadata!O602,"sediment"),EXACT(metadata!O602,"soil"),EXACT(metadata!O602,"wastewater/sludge"),EXACT(metadata!O602,"water"))))</f>
        <v>0</v>
      </c>
      <c r="BA602" t="b">
        <f>IF(metadata!P602="",FALSE,TRUE)</f>
        <v>0</v>
      </c>
      <c r="BB602" t="b">
        <f>IF(metadata!Q602="",FALSE,TRUE)</f>
        <v>0</v>
      </c>
      <c r="BC602" t="b">
        <f>OR(AND(IF(metadata!R602="",FALSE,TRUE),OR(EXACT(metadata!R602,"missing: not collected"),EXACT(metadata!R602,"missing: not provided"),EXACT(metadata!R602,"missing: restricted access"))),AND(IF(metadata!R602="",FALSE,ISNUMBER(VALUE(metadata!R602))),metadata!R602&gt;=-90,metadata!R602&lt;=90))</f>
        <v>0</v>
      </c>
      <c r="BD602" t="b">
        <f>AND(IF(metadata!S602="",FALSE,TRUE),EXACT(metadata!S602,"Decimal degrees"))</f>
        <v>0</v>
      </c>
      <c r="BE602" t="b">
        <f>OR(AND(IF(metadata!T602="",FALSE,TRUE),OR(EXACT(metadata!T602,"missing: not collected"),EXACT(metadata!T602,"missing: not provided"),EXACT(metadata!T602,"missing: restricted access"))),AND(IF(metadata!T602="",FALSE,ISNUMBER(VALUE(metadata!T602))),metadata!T602&gt;=-180,metadata!T602&lt;=180))</f>
        <v>0</v>
      </c>
      <c r="BF602" t="b">
        <f>AND(IF(metadata!U602="",FALSE,TRUE),EXACT(metadata!U602,"Decimal degrees"))</f>
        <v>0</v>
      </c>
      <c r="BG602" t="b">
        <f>IF(metadata!V602="",FALSE,TRUE)</f>
        <v>0</v>
      </c>
      <c r="BH602" t="b">
        <f>OR(AND(IF(metadata!W602="",FALSE,TRUE),OR(EXACT(metadata!W602,"missing: not collected"),EXACT(metadata!W602,"missing: not provided"),EXACT(metadata!W602,"missing: restricted access"))),AND(IF(metadata!W602="",FALSE,TRUE),OR(EXACT(metadata!W602,"TRUE"),EXACT(metadata!W602,"FALSE"))))</f>
        <v>0</v>
      </c>
      <c r="BI602" t="b">
        <f>AND(IF(metadata!X602="",FALSE,TRUE),EXACT(metadata!X602,"other"))</f>
        <v>0</v>
      </c>
      <c r="BJ602" t="b">
        <f>IF(metadata!Y602="",FALSE,TRUE)</f>
        <v>0</v>
      </c>
      <c r="BK602" t="b">
        <f>OR(AND(IF(metadata!Z602="",FALSE,TRUE),OR(EXACT(metadata!Z602,"missing: not collected"),EXACT(metadata!Z602,"missing: not provided"))),AND(IF(metadata!Z602="",FALSE,IF(ISERROR(INT(metadata!Z602)),FALSE,INT(metadata!Z602)=metadata!Z602)),metadata!Z602&gt;0))</f>
        <v>0</v>
      </c>
      <c r="BL602" t="b">
        <f>AND(IF(metadata!AA602="",FALSE,TRUE),EXACT(metadata!AA602,"Not applicable"))</f>
        <v>0</v>
      </c>
      <c r="BM602" t="b">
        <f>IF(metadata!AB602="",FALSE,TRUE)</f>
        <v>0</v>
      </c>
    </row>
    <row r="603" spans="1:65" x14ac:dyDescent="0.2">
      <c r="A603" s="5" t="str">
        <f ca="1">IF(B603=" "," ",HYPERLINK(CONCATENATE("#metadata!",ADDRESS(INDEX($AH$2:$AH$1001,MATCH(ROWS($AF$2:AF603),$AF$2:$AF$1001,0),0),1)),INDEX($AK$2:$AK$1001,MATCH(ROWS($AF$2:AF603),$AF$2:$AF$1001,0),0)))</f>
        <v xml:space="preserve"> </v>
      </c>
      <c r="B603" s="4" t="str">
        <f ca="1">IF(OR(INDEX($AG$2:$AG$1001,MATCH(ROWS($AF$2:AF603),$AF$2:$AF$1001,0),1)&gt;=100000,INDEX($AM$1005:$BM$1005,1,MATCH(COLUMNS($AM$1006:AM1006),$AM$1006:$BM$1006,0))&gt;=100000), " ",IF(INDEX($AM$2:$BM$1001,MATCH(ROWS($AF$2:AF603),$AF$2:$AF$1001,0),MATCH(COLUMNS($AM$1006:AM1006),$AM$1006:$BM$1006,0)), HYPERLINK("#",""), HYPERLINK(CONCATENATE("#metadata!", ADDRESS(INDEX($AH$2:$AH$1001,MATCH(ROWS($AF$2:AF603),$AF$2:$AF$1001,0),0), INDEX($AM$1004:$BM$1004,1,MATCH(COLUMNS($AM$1006:AM1006),$AM$1006:$BM$1006,0)))),"Fix")))</f>
        <v xml:space="preserve"> </v>
      </c>
      <c r="C603" s="4" t="str">
        <f ca="1">IF(OR(INDEX($AG$2:$AG$1001,MATCH(ROWS($AF$2:AF603),$AF$2:$AF$1001,0),1)&gt;=100000,INDEX($AM$1005:$BM$1005,1,MATCH(COLUMNS($AM$1006:AN1006),$AM$1006:$BM$1006,0))&gt;=100000), " ",IF(INDEX($AM$2:$BM$1001,MATCH(ROWS($AF$2:AF603),$AF$2:$AF$1001,0),MATCH(COLUMNS($AM$1006:AN1006),$AM$1006:$BM$1006,0)), HYPERLINK("#",""), HYPERLINK(CONCATENATE("#metadata!", ADDRESS(INDEX($AH$2:$AH$1001,MATCH(ROWS($AF$2:AF603),$AF$2:$AF$1001,0),0), INDEX($AM$1004:$BM$1004,1,MATCH(COLUMNS($AM$1006:AN1006),$AM$1006:$BM$1006,0)))),"Fix")))</f>
        <v xml:space="preserve"> </v>
      </c>
      <c r="D603" s="4" t="str">
        <f ca="1">IF(OR(INDEX($AG$2:$AG$1001,MATCH(ROWS($AF$2:AF603),$AF$2:$AF$1001,0),1)&gt;=100000,INDEX($AM$1005:$BM$1005,1,MATCH(COLUMNS($AM$1006:AO1006),$AM$1006:$BM$1006,0))&gt;=100000), " ",IF(INDEX($AM$2:$BM$1001,MATCH(ROWS($AF$2:AF603),$AF$2:$AF$1001,0),MATCH(COLUMNS($AM$1006:AO1006),$AM$1006:$BM$1006,0)), HYPERLINK("#",""), HYPERLINK(CONCATENATE("#metadata!", ADDRESS(INDEX($AH$2:$AH$1001,MATCH(ROWS($AF$2:AF603),$AF$2:$AF$1001,0),0), INDEX($AM$1004:$BM$1004,1,MATCH(COLUMNS($AM$1006:AO1006),$AM$1006:$BM$1006,0)))),"Fix")))</f>
        <v xml:space="preserve"> </v>
      </c>
      <c r="E603" s="4" t="str">
        <f ca="1">IF(OR(INDEX($AG$2:$AG$1001,MATCH(ROWS($AF$2:AF603),$AF$2:$AF$1001,0),1)&gt;=100000,INDEX($AM$1005:$BM$1005,1,MATCH(COLUMNS($AM$1006:AP1006),$AM$1006:$BM$1006,0))&gt;=100000), " ",IF(INDEX($AM$2:$BM$1001,MATCH(ROWS($AF$2:AF603),$AF$2:$AF$1001,0),MATCH(COLUMNS($AM$1006:AP1006),$AM$1006:$BM$1006,0)), HYPERLINK("#",""), HYPERLINK(CONCATENATE("#metadata!", ADDRESS(INDEX($AH$2:$AH$1001,MATCH(ROWS($AF$2:AF603),$AF$2:$AF$1001,0),0), INDEX($AM$1004:$BM$1004,1,MATCH(COLUMNS($AM$1006:AP1006),$AM$1006:$BM$1006,0)))),"Fix")))</f>
        <v xml:space="preserve"> </v>
      </c>
      <c r="F603" s="4" t="str">
        <f ca="1">IF(OR(INDEX($AG$2:$AG$1001,MATCH(ROWS($AF$2:AF603),$AF$2:$AF$1001,0),1)&gt;=100000,INDEX($AM$1005:$BM$1005,1,MATCH(COLUMNS($AM$1006:AQ1006),$AM$1006:$BM$1006,0))&gt;=100000), " ",IF(INDEX($AM$2:$BM$1001,MATCH(ROWS($AF$2:AF603),$AF$2:$AF$1001,0),MATCH(COLUMNS($AM$1006:AQ1006),$AM$1006:$BM$1006,0)), HYPERLINK("#",""), HYPERLINK(CONCATENATE("#metadata!", ADDRESS(INDEX($AH$2:$AH$1001,MATCH(ROWS($AF$2:AF603),$AF$2:$AF$1001,0),0), INDEX($AM$1004:$BM$1004,1,MATCH(COLUMNS($AM$1006:AQ1006),$AM$1006:$BM$1006,0)))),"Fix")))</f>
        <v xml:space="preserve"> </v>
      </c>
      <c r="G603" s="4" t="str">
        <f ca="1">IF(OR(INDEX($AG$2:$AG$1001,MATCH(ROWS($AF$2:AF603),$AF$2:$AF$1001,0),1)&gt;=100000,INDEX($AM$1005:$BM$1005,1,MATCH(COLUMNS($AM$1006:AR1006),$AM$1006:$BM$1006,0))&gt;=100000), " ",IF(INDEX($AM$2:$BM$1001,MATCH(ROWS($AF$2:AF603),$AF$2:$AF$1001,0),MATCH(COLUMNS($AM$1006:AR1006),$AM$1006:$BM$1006,0)), HYPERLINK("#",""), HYPERLINK(CONCATENATE("#metadata!", ADDRESS(INDEX($AH$2:$AH$1001,MATCH(ROWS($AF$2:AF603),$AF$2:$AF$1001,0),0), INDEX($AM$1004:$BM$1004,1,MATCH(COLUMNS($AM$1006:AR1006),$AM$1006:$BM$1006,0)))),"Fix")))</f>
        <v xml:space="preserve"> </v>
      </c>
      <c r="H603" s="4" t="str">
        <f ca="1">IF(OR(INDEX($AG$2:$AG$1001,MATCH(ROWS($AF$2:AF603),$AF$2:$AF$1001,0),1)&gt;=100000,INDEX($AM$1005:$BM$1005,1,MATCH(COLUMNS($AM$1006:AS1006),$AM$1006:$BM$1006,0))&gt;=100000), " ",IF(INDEX($AM$2:$BM$1001,MATCH(ROWS($AF$2:AF603),$AF$2:$AF$1001,0),MATCH(COLUMNS($AM$1006:AS1006),$AM$1006:$BM$1006,0)), HYPERLINK("#",""), HYPERLINK(CONCATENATE("#metadata!", ADDRESS(INDEX($AH$2:$AH$1001,MATCH(ROWS($AF$2:AF603),$AF$2:$AF$1001,0),0), INDEX($AM$1004:$BM$1004,1,MATCH(COLUMNS($AM$1006:AS1006),$AM$1006:$BM$1006,0)))),"Fix")))</f>
        <v xml:space="preserve"> </v>
      </c>
      <c r="I603" s="4" t="str">
        <f ca="1">IF(OR(INDEX($AG$2:$AG$1001,MATCH(ROWS($AF$2:AF603),$AF$2:$AF$1001,0),1)&gt;=100000,INDEX($AM$1005:$BM$1005,1,MATCH(COLUMNS($AM$1006:AT1006),$AM$1006:$BM$1006,0))&gt;=100000), " ",IF(INDEX($AM$2:$BM$1001,MATCH(ROWS($AF$2:AF603),$AF$2:$AF$1001,0),MATCH(COLUMNS($AM$1006:AT1006),$AM$1006:$BM$1006,0)), HYPERLINK("#",""), HYPERLINK(CONCATENATE("#metadata!", ADDRESS(INDEX($AH$2:$AH$1001,MATCH(ROWS($AF$2:AF603),$AF$2:$AF$1001,0),0), INDEX($AM$1004:$BM$1004,1,MATCH(COLUMNS($AM$1006:AT1006),$AM$1006:$BM$1006,0)))),"Fix")))</f>
        <v xml:space="preserve"> </v>
      </c>
      <c r="J603" s="4" t="str">
        <f ca="1">IF(OR(INDEX($AG$2:$AG$1001,MATCH(ROWS($AF$2:AF603),$AF$2:$AF$1001,0),1)&gt;=100000,INDEX($AM$1005:$BM$1005,1,MATCH(COLUMNS($AM$1006:AU1006),$AM$1006:$BM$1006,0))&gt;=100000), " ",IF(INDEX($AM$2:$BM$1001,MATCH(ROWS($AF$2:AF603),$AF$2:$AF$1001,0),MATCH(COLUMNS($AM$1006:AU1006),$AM$1006:$BM$1006,0)), HYPERLINK("#",""), HYPERLINK(CONCATENATE("#metadata!", ADDRESS(INDEX($AH$2:$AH$1001,MATCH(ROWS($AF$2:AF603),$AF$2:$AF$1001,0),0), INDEX($AM$1004:$BM$1004,1,MATCH(COLUMNS($AM$1006:AU1006),$AM$1006:$BM$1006,0)))),"Fix")))</f>
        <v xml:space="preserve"> </v>
      </c>
      <c r="K603" s="4" t="str">
        <f ca="1">IF(OR(INDEX($AG$2:$AG$1001,MATCH(ROWS($AF$2:AF603),$AF$2:$AF$1001,0),1)&gt;=100000,INDEX($AM$1005:$BM$1005,1,MATCH(COLUMNS($AM$1006:AV1006),$AM$1006:$BM$1006,0))&gt;=100000), " ",IF(INDEX($AM$2:$BM$1001,MATCH(ROWS($AF$2:AF603),$AF$2:$AF$1001,0),MATCH(COLUMNS($AM$1006:AV1006),$AM$1006:$BM$1006,0)), HYPERLINK("#",""), HYPERLINK(CONCATENATE("#metadata!", ADDRESS(INDEX($AH$2:$AH$1001,MATCH(ROWS($AF$2:AF603),$AF$2:$AF$1001,0),0), INDEX($AM$1004:$BM$1004,1,MATCH(COLUMNS($AM$1006:AV1006),$AM$1006:$BM$1006,0)))),"Fix")))</f>
        <v xml:space="preserve"> </v>
      </c>
      <c r="L603" s="4" t="str">
        <f ca="1">IF(OR(INDEX($AG$2:$AG$1001,MATCH(ROWS($AF$2:AF603),$AF$2:$AF$1001,0),1)&gt;=100000,INDEX($AM$1005:$BM$1005,1,MATCH(COLUMNS($AM$1006:AW1006),$AM$1006:$BM$1006,0))&gt;=100000), " ",IF(INDEX($AM$2:$BM$1001,MATCH(ROWS($AF$2:AF603),$AF$2:$AF$1001,0),MATCH(COLUMNS($AM$1006:AW1006),$AM$1006:$BM$1006,0)), HYPERLINK("#",""), HYPERLINK(CONCATENATE("#metadata!", ADDRESS(INDEX($AH$2:$AH$1001,MATCH(ROWS($AF$2:AF603),$AF$2:$AF$1001,0),0), INDEX($AM$1004:$BM$1004,1,MATCH(COLUMNS($AM$1006:AW1006),$AM$1006:$BM$1006,0)))),"Fix")))</f>
        <v xml:space="preserve"> </v>
      </c>
      <c r="M603" s="4" t="str">
        <f ca="1">IF(OR(INDEX($AG$2:$AG$1001,MATCH(ROWS($AF$2:AF603),$AF$2:$AF$1001,0),1)&gt;=100000,INDEX($AM$1005:$BM$1005,1,MATCH(COLUMNS($AM$1006:AX1006),$AM$1006:$BM$1006,0))&gt;=100000), " ",IF(INDEX($AM$2:$BM$1001,MATCH(ROWS($AF$2:AF603),$AF$2:$AF$1001,0),MATCH(COLUMNS($AM$1006:AX1006),$AM$1006:$BM$1006,0)), HYPERLINK("#",""), HYPERLINK(CONCATENATE("#metadata!", ADDRESS(INDEX($AH$2:$AH$1001,MATCH(ROWS($AF$2:AF603),$AF$2:$AF$1001,0),0), INDEX($AM$1004:$BM$1004,1,MATCH(COLUMNS($AM$1006:AX1006),$AM$1006:$BM$1006,0)))),"Fix")))</f>
        <v xml:space="preserve"> </v>
      </c>
      <c r="N603" s="4" t="str">
        <f ca="1">IF(OR(INDEX($AG$2:$AG$1001,MATCH(ROWS($AF$2:AF603),$AF$2:$AF$1001,0),1)&gt;=100000,INDEX($AM$1005:$BM$1005,1,MATCH(COLUMNS($AM$1006:AY1006),$AM$1006:$BM$1006,0))&gt;=100000), " ",IF(INDEX($AM$2:$BM$1001,MATCH(ROWS($AF$2:AF603),$AF$2:$AF$1001,0),MATCH(COLUMNS($AM$1006:AY1006),$AM$1006:$BM$1006,0)), HYPERLINK("#",""), HYPERLINK(CONCATENATE("#metadata!", ADDRESS(INDEX($AH$2:$AH$1001,MATCH(ROWS($AF$2:AF603),$AF$2:$AF$1001,0),0), INDEX($AM$1004:$BM$1004,1,MATCH(COLUMNS($AM$1006:AY1006),$AM$1006:$BM$1006,0)))),"Fix")))</f>
        <v xml:space="preserve"> </v>
      </c>
      <c r="O603" s="4" t="str">
        <f ca="1">IF(OR(INDEX($AG$2:$AG$1001,MATCH(ROWS($AF$2:AF603),$AF$2:$AF$1001,0),1)&gt;=100000,INDEX($AM$1005:$BM$1005,1,MATCH(COLUMNS($AM$1006:AZ1006),$AM$1006:$BM$1006,0))&gt;=100000), " ",IF(INDEX($AM$2:$BM$1001,MATCH(ROWS($AF$2:AF603),$AF$2:$AF$1001,0),MATCH(COLUMNS($AM$1006:AZ1006),$AM$1006:$BM$1006,0)), HYPERLINK("#",""), HYPERLINK(CONCATENATE("#metadata!", ADDRESS(INDEX($AH$2:$AH$1001,MATCH(ROWS($AF$2:AF603),$AF$2:$AF$1001,0),0), INDEX($AM$1004:$BM$1004,1,MATCH(COLUMNS($AM$1006:AZ1006),$AM$1006:$BM$1006,0)))),"Fix")))</f>
        <v xml:space="preserve"> </v>
      </c>
      <c r="P603" s="4" t="str">
        <f ca="1">IF(OR(INDEX($AG$2:$AG$1001,MATCH(ROWS($AF$2:AF603),$AF$2:$AF$1001,0),1)&gt;=100000,INDEX($AM$1005:$BM$1005,1,MATCH(COLUMNS($AM$1006:BA1006),$AM$1006:$BM$1006,0))&gt;=100000), " ",IF(INDEX($AM$2:$BM$1001,MATCH(ROWS($AF$2:AF603),$AF$2:$AF$1001,0),MATCH(COLUMNS($AM$1006:BA1006),$AM$1006:$BM$1006,0)), HYPERLINK("#",""), HYPERLINK(CONCATENATE("#metadata!", ADDRESS(INDEX($AH$2:$AH$1001,MATCH(ROWS($AF$2:AF603),$AF$2:$AF$1001,0),0), INDEX($AM$1004:$BM$1004,1,MATCH(COLUMNS($AM$1006:BA1006),$AM$1006:$BM$1006,0)))),"Fix")))</f>
        <v xml:space="preserve"> </v>
      </c>
      <c r="Q603" s="4" t="str">
        <f ca="1">IF(OR(INDEX($AG$2:$AG$1001,MATCH(ROWS($AF$2:AF603),$AF$2:$AF$1001,0),1)&gt;=100000,INDEX($AM$1005:$BM$1005,1,MATCH(COLUMNS($AM$1006:BB1006),$AM$1006:$BM$1006,0))&gt;=100000), " ",IF(INDEX($AM$2:$BM$1001,MATCH(ROWS($AF$2:AF603),$AF$2:$AF$1001,0),MATCH(COLUMNS($AM$1006:BB1006),$AM$1006:$BM$1006,0)), HYPERLINK("#",""), HYPERLINK(CONCATENATE("#metadata!", ADDRESS(INDEX($AH$2:$AH$1001,MATCH(ROWS($AF$2:AF603),$AF$2:$AF$1001,0),0), INDEX($AM$1004:$BM$1004,1,MATCH(COLUMNS($AM$1006:BB1006),$AM$1006:$BM$1006,0)))),"Fix")))</f>
        <v xml:space="preserve"> </v>
      </c>
      <c r="R603" s="4" t="str">
        <f ca="1">IF(OR(INDEX($AG$2:$AG$1001,MATCH(ROWS($AF$2:AF603),$AF$2:$AF$1001,0),1)&gt;=100000,INDEX($AM$1005:$BM$1005,1,MATCH(COLUMNS($AM$1006:BC1006),$AM$1006:$BM$1006,0))&gt;=100000), " ",IF(INDEX($AM$2:$BM$1001,MATCH(ROWS($AF$2:AF603),$AF$2:$AF$1001,0),MATCH(COLUMNS($AM$1006:BC1006),$AM$1006:$BM$1006,0)), HYPERLINK("#",""), HYPERLINK(CONCATENATE("#metadata!", ADDRESS(INDEX($AH$2:$AH$1001,MATCH(ROWS($AF$2:AF603),$AF$2:$AF$1001,0),0), INDEX($AM$1004:$BM$1004,1,MATCH(COLUMNS($AM$1006:BC1006),$AM$1006:$BM$1006,0)))),"Fix")))</f>
        <v xml:space="preserve"> </v>
      </c>
      <c r="S603" s="4" t="str">
        <f ca="1">IF(OR(INDEX($AG$2:$AG$1001,MATCH(ROWS($AF$2:AF603),$AF$2:$AF$1001,0),1)&gt;=100000,INDEX($AM$1005:$BM$1005,1,MATCH(COLUMNS($AM$1006:BD1006),$AM$1006:$BM$1006,0))&gt;=100000), " ",IF(INDEX($AM$2:$BM$1001,MATCH(ROWS($AF$2:AF603),$AF$2:$AF$1001,0),MATCH(COLUMNS($AM$1006:BD1006),$AM$1006:$BM$1006,0)), HYPERLINK("#",""), HYPERLINK(CONCATENATE("#metadata!", ADDRESS(INDEX($AH$2:$AH$1001,MATCH(ROWS($AF$2:AF603),$AF$2:$AF$1001,0),0), INDEX($AM$1004:$BM$1004,1,MATCH(COLUMNS($AM$1006:BD1006),$AM$1006:$BM$1006,0)))),"Fix")))</f>
        <v xml:space="preserve"> </v>
      </c>
      <c r="T603" s="4" t="str">
        <f ca="1">IF(OR(INDEX($AG$2:$AG$1001,MATCH(ROWS($AF$2:AF603),$AF$2:$AF$1001,0),1)&gt;=100000,INDEX($AM$1005:$BM$1005,1,MATCH(COLUMNS($AM$1006:BE1006),$AM$1006:$BM$1006,0))&gt;=100000), " ",IF(INDEX($AM$2:$BM$1001,MATCH(ROWS($AF$2:AF603),$AF$2:$AF$1001,0),MATCH(COLUMNS($AM$1006:BE1006),$AM$1006:$BM$1006,0)), HYPERLINK("#",""), HYPERLINK(CONCATENATE("#metadata!", ADDRESS(INDEX($AH$2:$AH$1001,MATCH(ROWS($AF$2:AF603),$AF$2:$AF$1001,0),0), INDEX($AM$1004:$BM$1004,1,MATCH(COLUMNS($AM$1006:BE1006),$AM$1006:$BM$1006,0)))),"Fix")))</f>
        <v xml:space="preserve"> </v>
      </c>
      <c r="U603" s="4" t="str">
        <f ca="1">IF(OR(INDEX($AG$2:$AG$1001,MATCH(ROWS($AF$2:AF603),$AF$2:$AF$1001,0),1)&gt;=100000,INDEX($AM$1005:$BM$1005,1,MATCH(COLUMNS($AM$1006:BF1006),$AM$1006:$BM$1006,0))&gt;=100000), " ",IF(INDEX($AM$2:$BM$1001,MATCH(ROWS($AF$2:AF603),$AF$2:$AF$1001,0),MATCH(COLUMNS($AM$1006:BF1006),$AM$1006:$BM$1006,0)), HYPERLINK("#",""), HYPERLINK(CONCATENATE("#metadata!", ADDRESS(INDEX($AH$2:$AH$1001,MATCH(ROWS($AF$2:AF603),$AF$2:$AF$1001,0),0), INDEX($AM$1004:$BM$1004,1,MATCH(COLUMNS($AM$1006:BF1006),$AM$1006:$BM$1006,0)))),"Fix")))</f>
        <v xml:space="preserve"> </v>
      </c>
      <c r="V603" s="4" t="str">
        <f ca="1">IF(OR(INDEX($AG$2:$AG$1001,MATCH(ROWS($AF$2:AF603),$AF$2:$AF$1001,0),1)&gt;=100000,INDEX($AM$1005:$BM$1005,1,MATCH(COLUMNS($AM$1006:BG1006),$AM$1006:$BM$1006,0))&gt;=100000), " ",IF(INDEX($AM$2:$BM$1001,MATCH(ROWS($AF$2:AF603),$AF$2:$AF$1001,0),MATCH(COLUMNS($AM$1006:BG1006),$AM$1006:$BM$1006,0)), HYPERLINK("#",""), HYPERLINK(CONCATENATE("#metadata!", ADDRESS(INDEX($AH$2:$AH$1001,MATCH(ROWS($AF$2:AF603),$AF$2:$AF$1001,0),0), INDEX($AM$1004:$BM$1004,1,MATCH(COLUMNS($AM$1006:BG1006),$AM$1006:$BM$1006,0)))),"Fix")))</f>
        <v xml:space="preserve"> </v>
      </c>
      <c r="W603" s="4" t="str">
        <f ca="1">IF(OR(INDEX($AG$2:$AG$1001,MATCH(ROWS($AF$2:AF603),$AF$2:$AF$1001,0),1)&gt;=100000,INDEX($AM$1005:$BM$1005,1,MATCH(COLUMNS($AM$1006:BH1006),$AM$1006:$BM$1006,0))&gt;=100000), " ",IF(INDEX($AM$2:$BM$1001,MATCH(ROWS($AF$2:AF603),$AF$2:$AF$1001,0),MATCH(COLUMNS($AM$1006:BH1006),$AM$1006:$BM$1006,0)), HYPERLINK("#",""), HYPERLINK(CONCATENATE("#metadata!", ADDRESS(INDEX($AH$2:$AH$1001,MATCH(ROWS($AF$2:AF603),$AF$2:$AF$1001,0),0), INDEX($AM$1004:$BM$1004,1,MATCH(COLUMNS($AM$1006:BH1006),$AM$1006:$BM$1006,0)))),"Fix")))</f>
        <v xml:space="preserve"> </v>
      </c>
      <c r="X603" s="4" t="str">
        <f ca="1">IF(OR(INDEX($AG$2:$AG$1001,MATCH(ROWS($AF$2:AF603),$AF$2:$AF$1001,0),1)&gt;=100000,INDEX($AM$1005:$BM$1005,1,MATCH(COLUMNS($AM$1006:BI1006),$AM$1006:$BM$1006,0))&gt;=100000), " ",IF(INDEX($AM$2:$BM$1001,MATCH(ROWS($AF$2:AF603),$AF$2:$AF$1001,0),MATCH(COLUMNS($AM$1006:BI1006),$AM$1006:$BM$1006,0)), HYPERLINK("#",""), HYPERLINK(CONCATENATE("#metadata!", ADDRESS(INDEX($AH$2:$AH$1001,MATCH(ROWS($AF$2:AF603),$AF$2:$AF$1001,0),0), INDEX($AM$1004:$BM$1004,1,MATCH(COLUMNS($AM$1006:BI1006),$AM$1006:$BM$1006,0)))),"Fix")))</f>
        <v xml:space="preserve"> </v>
      </c>
      <c r="Y603" s="4" t="str">
        <f ca="1">IF(OR(INDEX($AG$2:$AG$1001,MATCH(ROWS($AF$2:AF603),$AF$2:$AF$1001,0),1)&gt;=100000,INDEX($AM$1005:$BM$1005,1,MATCH(COLUMNS($AM$1006:BJ1006),$AM$1006:$BM$1006,0))&gt;=100000), " ",IF(INDEX($AM$2:$BM$1001,MATCH(ROWS($AF$2:AF603),$AF$2:$AF$1001,0),MATCH(COLUMNS($AM$1006:BJ1006),$AM$1006:$BM$1006,0)), HYPERLINK("#",""), HYPERLINK(CONCATENATE("#metadata!", ADDRESS(INDEX($AH$2:$AH$1001,MATCH(ROWS($AF$2:AF603),$AF$2:$AF$1001,0),0), INDEX($AM$1004:$BM$1004,1,MATCH(COLUMNS($AM$1006:BJ1006),$AM$1006:$BM$1006,0)))),"Fix")))</f>
        <v xml:space="preserve"> </v>
      </c>
      <c r="Z603" s="4" t="str">
        <f ca="1">IF(OR(INDEX($AG$2:$AG$1001,MATCH(ROWS($AF$2:AF603),$AF$2:$AF$1001,0),1)&gt;=100000,INDEX($AM$1005:$BM$1005,1,MATCH(COLUMNS($AM$1006:BK1006),$AM$1006:$BM$1006,0))&gt;=100000), " ",IF(INDEX($AM$2:$BM$1001,MATCH(ROWS($AF$2:AF603),$AF$2:$AF$1001,0),MATCH(COLUMNS($AM$1006:BK1006),$AM$1006:$BM$1006,0)), HYPERLINK("#",""), HYPERLINK(CONCATENATE("#metadata!", ADDRESS(INDEX($AH$2:$AH$1001,MATCH(ROWS($AF$2:AF603),$AF$2:$AF$1001,0),0), INDEX($AM$1004:$BM$1004,1,MATCH(COLUMNS($AM$1006:BK1006),$AM$1006:$BM$1006,0)))),"Fix")))</f>
        <v xml:space="preserve"> </v>
      </c>
      <c r="AA603" s="4" t="str">
        <f ca="1">IF(OR(INDEX($AG$2:$AG$1001,MATCH(ROWS($AF$2:AF603),$AF$2:$AF$1001,0),1)&gt;=100000,INDEX($AM$1005:$BM$1005,1,MATCH(COLUMNS($AM$1006:BL1006),$AM$1006:$BM$1006,0))&gt;=100000), " ",IF(INDEX($AM$2:$BM$1001,MATCH(ROWS($AF$2:AF603),$AF$2:$AF$1001,0),MATCH(COLUMNS($AM$1006:BL1006),$AM$1006:$BM$1006,0)), HYPERLINK("#",""), HYPERLINK(CONCATENATE("#metadata!", ADDRESS(INDEX($AH$2:$AH$1001,MATCH(ROWS($AF$2:AF603),$AF$2:$AF$1001,0),0), INDEX($AM$1004:$BM$1004,1,MATCH(COLUMNS($AM$1006:BL1006),$AM$1006:$BM$1006,0)))),"Fix")))</f>
        <v xml:space="preserve"> </v>
      </c>
      <c r="AB603" s="4" t="str">
        <f ca="1">IF(OR(INDEX($AG$2:$AG$1001,MATCH(ROWS($AF$2:AF603),$AF$2:$AF$1001,0),1)&gt;=100000,INDEX($AM$1005:$BM$1005,1,MATCH(COLUMNS($AM$1006:BM1006),$AM$1006:$BM$1006,0))&gt;=100000), " ",IF(INDEX($AM$2:$BM$1001,MATCH(ROWS($AF$2:AF603),$AF$2:$AF$1001,0),MATCH(COLUMNS($AM$1006:BM1006),$AM$1006:$BM$1006,0)), HYPERLINK("#",""), HYPERLINK(CONCATENATE("#metadata!", ADDRESS(INDEX($AH$2:$AH$1001,MATCH(ROWS($AF$2:AF603),$AF$2:$AF$1001,0),0), INDEX($AM$1004:$BM$1004,1,MATCH(COLUMNS($AM$1006:BM1006),$AM$1006:$BM$1006,0)))),"Fix")))</f>
        <v xml:space="preserve"> </v>
      </c>
      <c r="AF603">
        <v>602</v>
      </c>
      <c r="AG603">
        <v>100603</v>
      </c>
      <c r="AH603">
        <v>603</v>
      </c>
      <c r="AI603" t="b">
        <f t="shared" si="9"/>
        <v>1</v>
      </c>
      <c r="AJ603" t="b">
        <f>COUNTBLANK(metadata!B603:AB603)=COLUMNS(metadata!B603:AB603)</f>
        <v>1</v>
      </c>
      <c r="AK603" t="str">
        <v/>
      </c>
      <c r="AM603" t="b">
        <f ca="1">AND(IF(metadata!B603="",FALSE,TRUE),COUNTIF(metadata!B:B, metadata!B603) = 1,NOT(ISERROR(SUMPRODUCT(SEARCH(MID(metadata!B603,ROW(INDIRECT("1:"&amp;LEN(metadata!B603))), 1),"0123456789abcdefghijklmnopqrstuvwxyzABCDEFGHIJKLMNOPQRSTUVWXYZ.")))))</f>
        <v>0</v>
      </c>
      <c r="AN603" t="b">
        <f ca="1">OR(AND(IF(metadata!C603="",FALSE,TRUE),OR(EXACT(metadata!C603,"missing: not collected"),EXACT(metadata!C603,"missing: not provided"),EXACT(metadata!C603,"missing: restricted access"))),AND(IF(metadata!C603="",FALSE,TRUE),AND(AND(IFERROR(INT(LEFT(metadata!C603,4))&gt;1900,FALSE),IFERROR(INT(LEFT(metadata!C603,4))&lt;=YEAR(NOW()),FALSE)), OR(MID(metadata!C603,5,1)="", AND(AND(MID(metadata!C603,5,1)="-",IFERROR(INT(MID(metadata!C603,6,1))&gt;=0,FALSE),IFERROR(INT(MID(metadata!C603,6,1))&lt;=1,FALSE),NOT(MID(metadata!C603,7,1)=""),IFERROR(INT(MID(metadata!C603,6,2))&gt;=1,FALSE),IFERROR(INT(MID(metadata!C603,6,2))&lt;=12,FALSE)), OR(MID(metadata!C603,8,1)="", AND(AND(MID(metadata!C603,8,1)="-",IFERROR(INT(MID(metadata!C603,9,1))&gt;=0,FALSE),IFERROR(INT(MID(metadata!C603,9,1))&lt;=3,FALSE),NOT(MID(metadata!C603,10,1)=""),IFERROR(INT(MID(metadata!C603,9,2))&gt;=1,FALSE),IFERROR(INT(MID(metadata!C603,9,2))&lt;=31,FALSE)), OR(MID(metadata!C603,11,1)="", AND(AND(MID(metadata!C603,11,1)=" ",IFERROR(INT(MID(metadata!C603,12,1))&gt;=0,FALSE),IFERROR(INT(MID(metadata!C603,12,1))&lt;=2,FALSE),NOT(MID(metadata!C603,13,1)=""),IFERROR(INT(MID(metadata!C603,12,2))&gt;=0,FALSE),IFERROR(INT(MID(metadata!C603,12,2))&lt;=23,FALSE)), OR(MID(metadata!C603,14,1)="", AND(AND(MID(metadata!C603,14,1)=":",IFERROR(INT(MID(metadata!C603,15,1))&gt;=0,FALSE),IFERROR(INT(MID(metadata!C603,15,1))&lt;=5,FALSE),NOT(MID(metadata!C603,16,1)=""),IFERROR(INT(MID(metadata!C603,15,2))&gt;=0,FALSE),IFERROR(INT(MID(metadata!C603,15,2))&lt;=59,FALSE)), OR(MID(metadata!C603,17,1)="", AND(AND(MID(metadata!C603,17,1)=":",IFERROR(INT(MID(metadata!C603,18,1))&gt;=0,FALSE),IFERROR(INT(MID(metadata!C603,18,1))&lt;=5,FALSE),NOT(MID(metadata!C603,19,1)=""),IFERROR(INT(MID(metadata!C603,18,2))&gt;=0,FALSE),IFERROR(INT(MID(metadata!C603,18,2))&lt;=59,FALSE)), LEN(metadata!C603)&lt;=19)))))))))))))</f>
        <v>0</v>
      </c>
      <c r="AO603" t="b">
        <f>AND(IF(metadata!D603="",FALSE,TRUE),EXACT(metadata!D603,"Not applicable"))</f>
        <v>0</v>
      </c>
      <c r="AP603" t="b">
        <f>IF(metadata!E603="",FALSE,TRUE)</f>
        <v>0</v>
      </c>
      <c r="AQ603" t="b">
        <f>OR(AND(IF(metadata!F603="",FALSE,TRUE),OR(EXACT(metadata!F603,"missing: not collected"),EXACT(metadata!F603,"missing: not provided"))),AND(IF(metadata!F603="",FALSE,TRUE),OR(EXACT(metadata!F603,"TRUE"),EXACT(metadata!F603,"FALSE"))))</f>
        <v>0</v>
      </c>
      <c r="AR603" t="b">
        <f>OR(AND(IF(metadata!G603="",FALSE,TRUE),OR(EXACT(metadata!G603,"missing: not collected"),EXACT(metadata!G603,"missing: not provided"),EXACT(metadata!G603,"missing: restricted access"))),AND(IF(metadata!G603="",FALSE,ISNUMBER(VALUE(metadata!G603))),metadata!G603&gt;=-413))</f>
        <v>0</v>
      </c>
      <c r="AS603" t="b">
        <f>AND(IF(metadata!H603="",FALSE,TRUE),EXACT(metadata!H603,"meters"))</f>
        <v>0</v>
      </c>
      <c r="AT603" t="b">
        <f>AND(IF(metadata!I603="",FALSE,TRUE),OR(EXACT(metadata!I603,"Host-associated"),EXACT(metadata!I603,"Free-living")))</f>
        <v>0</v>
      </c>
      <c r="AU603" t="b">
        <f>AND(IF(metadata!J603="",FALSE,TRUE),OR(EXACT(metadata!J603,"Animal"),EXACT(metadata!J603,"Fungus"),EXACT(metadata!J603,"Plant"),EXACT(metadata!J603,"Saline"),EXACT(metadata!J603,"Non-saline")))</f>
        <v>0</v>
      </c>
      <c r="AV603" t="b">
        <f>AND(IF(metadata!K603="",FALSE,TRUE),OR(EXACT(metadata!K603,"Plant secretion"),EXACT(metadata!K603,"Plant rhizosphere"),EXACT(metadata!K603,"Plant surface"),EXACT(metadata!K603,"Plant corpus"),EXACT(metadata!K603,"Fungus surface"),EXACT(metadata!K603,"Fungus corpus"),EXACT(metadata!K603,"Animal surface"),EXACT(metadata!K603,"Animal proximal gut"),EXACT(metadata!K603,"Animal corpus"),EXACT(metadata!K603,"Animal distal gut"),EXACT(metadata!K603,"Animal secretion"),EXACT(metadata!K603,"Sub-surface (non-saline)"),EXACT(metadata!K603,"Surface (non-saline)"),EXACT(metadata!K603,"Water (non-saline)"),EXACT(metadata!K603,"Soil (non-saline)"),EXACT(metadata!K603,"Aerosol (non-saline)"),EXACT(metadata!K603,"Sediment (non-saline)"),EXACT(metadata!K603,"Surface (saline)"),EXACT(metadata!K603,"Water (saline)"),EXACT(metadata!K603,"Hypersaline (saline)"),EXACT(metadata!K603,"Aerosol (saline)"),EXACT(metadata!K603,"Sediment (saline)")))</f>
        <v>0</v>
      </c>
      <c r="AW603" t="b">
        <f>IF(metadata!L603="",FALSE,TRUE)</f>
        <v>0</v>
      </c>
      <c r="AX603" t="b">
        <f>IF(metadata!M603="",FALSE,TRUE)</f>
        <v>0</v>
      </c>
      <c r="AY603" t="b">
        <f>IF(metadata!N603="",FALSE,TRUE)</f>
        <v>0</v>
      </c>
      <c r="AZ603" t="b">
        <f>OR(AND(IF(metadata!O603="",FALSE,TRUE),OR(EXACT(metadata!O603,"missing: not collected"),EXACT(metadata!O603,"missing: not provided"),EXACT(metadata!O603,"missing: restricted access"))),AND(IF(metadata!O603="",FALSE,TRUE),OR(EXACT(metadata!O603,"air"),EXACT(metadata!O603,"built environment"),EXACT(metadata!O603,"host-associated"),EXACT(metadata!O603,"human-associated"),EXACT(metadata!O603,"human-skin"),EXACT(metadata!O603,"human-oral"),EXACT(metadata!O603,"human-gut"),EXACT(metadata!O603,"human-vaginal"),EXACT(metadata!O603,"microbial mat/biofilm"),EXACT(metadata!O603,"misc environment"),EXACT(metadata!O603,"plant-associated"),EXACT(metadata!O603,"sediment"),EXACT(metadata!O603,"soil"),EXACT(metadata!O603,"wastewater/sludge"),EXACT(metadata!O603,"water"))))</f>
        <v>0</v>
      </c>
      <c r="BA603" t="b">
        <f>IF(metadata!P603="",FALSE,TRUE)</f>
        <v>0</v>
      </c>
      <c r="BB603" t="b">
        <f>IF(metadata!Q603="",FALSE,TRUE)</f>
        <v>0</v>
      </c>
      <c r="BC603" t="b">
        <f>OR(AND(IF(metadata!R603="",FALSE,TRUE),OR(EXACT(metadata!R603,"missing: not collected"),EXACT(metadata!R603,"missing: not provided"),EXACT(metadata!R603,"missing: restricted access"))),AND(IF(metadata!R603="",FALSE,ISNUMBER(VALUE(metadata!R603))),metadata!R603&gt;=-90,metadata!R603&lt;=90))</f>
        <v>0</v>
      </c>
      <c r="BD603" t="b">
        <f>AND(IF(metadata!S603="",FALSE,TRUE),EXACT(metadata!S603,"Decimal degrees"))</f>
        <v>0</v>
      </c>
      <c r="BE603" t="b">
        <f>OR(AND(IF(metadata!T603="",FALSE,TRUE),OR(EXACT(metadata!T603,"missing: not collected"),EXACT(metadata!T603,"missing: not provided"),EXACT(metadata!T603,"missing: restricted access"))),AND(IF(metadata!T603="",FALSE,ISNUMBER(VALUE(metadata!T603))),metadata!T603&gt;=-180,metadata!T603&lt;=180))</f>
        <v>0</v>
      </c>
      <c r="BF603" t="b">
        <f>AND(IF(metadata!U603="",FALSE,TRUE),EXACT(metadata!U603,"Decimal degrees"))</f>
        <v>0</v>
      </c>
      <c r="BG603" t="b">
        <f>IF(metadata!V603="",FALSE,TRUE)</f>
        <v>0</v>
      </c>
      <c r="BH603" t="b">
        <f>OR(AND(IF(metadata!W603="",FALSE,TRUE),OR(EXACT(metadata!W603,"missing: not collected"),EXACT(metadata!W603,"missing: not provided"),EXACT(metadata!W603,"missing: restricted access"))),AND(IF(metadata!W603="",FALSE,TRUE),OR(EXACT(metadata!W603,"TRUE"),EXACT(metadata!W603,"FALSE"))))</f>
        <v>0</v>
      </c>
      <c r="BI603" t="b">
        <f>AND(IF(metadata!X603="",FALSE,TRUE),EXACT(metadata!X603,"other"))</f>
        <v>0</v>
      </c>
      <c r="BJ603" t="b">
        <f>IF(metadata!Y603="",FALSE,TRUE)</f>
        <v>0</v>
      </c>
      <c r="BK603" t="b">
        <f>OR(AND(IF(metadata!Z603="",FALSE,TRUE),OR(EXACT(metadata!Z603,"missing: not collected"),EXACT(metadata!Z603,"missing: not provided"))),AND(IF(metadata!Z603="",FALSE,IF(ISERROR(INT(metadata!Z603)),FALSE,INT(metadata!Z603)=metadata!Z603)),metadata!Z603&gt;0))</f>
        <v>0</v>
      </c>
      <c r="BL603" t="b">
        <f>AND(IF(metadata!AA603="",FALSE,TRUE),EXACT(metadata!AA603,"Not applicable"))</f>
        <v>0</v>
      </c>
      <c r="BM603" t="b">
        <f>IF(metadata!AB603="",FALSE,TRUE)</f>
        <v>0</v>
      </c>
    </row>
    <row r="604" spans="1:65" x14ac:dyDescent="0.2">
      <c r="A604" s="5" t="str">
        <f ca="1">IF(B604=" "," ",HYPERLINK(CONCATENATE("#metadata!",ADDRESS(INDEX($AH$2:$AH$1001,MATCH(ROWS($AF$2:AF604),$AF$2:$AF$1001,0),0),1)),INDEX($AK$2:$AK$1001,MATCH(ROWS($AF$2:AF604),$AF$2:$AF$1001,0),0)))</f>
        <v xml:space="preserve"> </v>
      </c>
      <c r="B604" s="4" t="str">
        <f ca="1">IF(OR(INDEX($AG$2:$AG$1001,MATCH(ROWS($AF$2:AF604),$AF$2:$AF$1001,0),1)&gt;=100000,INDEX($AM$1005:$BM$1005,1,MATCH(COLUMNS($AM$1006:AM1006),$AM$1006:$BM$1006,0))&gt;=100000), " ",IF(INDEX($AM$2:$BM$1001,MATCH(ROWS($AF$2:AF604),$AF$2:$AF$1001,0),MATCH(COLUMNS($AM$1006:AM1006),$AM$1006:$BM$1006,0)), HYPERLINK("#",""), HYPERLINK(CONCATENATE("#metadata!", ADDRESS(INDEX($AH$2:$AH$1001,MATCH(ROWS($AF$2:AF604),$AF$2:$AF$1001,0),0), INDEX($AM$1004:$BM$1004,1,MATCH(COLUMNS($AM$1006:AM1006),$AM$1006:$BM$1006,0)))),"Fix")))</f>
        <v xml:space="preserve"> </v>
      </c>
      <c r="C604" s="4" t="str">
        <f ca="1">IF(OR(INDEX($AG$2:$AG$1001,MATCH(ROWS($AF$2:AF604),$AF$2:$AF$1001,0),1)&gt;=100000,INDEX($AM$1005:$BM$1005,1,MATCH(COLUMNS($AM$1006:AN1006),$AM$1006:$BM$1006,0))&gt;=100000), " ",IF(INDEX($AM$2:$BM$1001,MATCH(ROWS($AF$2:AF604),$AF$2:$AF$1001,0),MATCH(COLUMNS($AM$1006:AN1006),$AM$1006:$BM$1006,0)), HYPERLINK("#",""), HYPERLINK(CONCATENATE("#metadata!", ADDRESS(INDEX($AH$2:$AH$1001,MATCH(ROWS($AF$2:AF604),$AF$2:$AF$1001,0),0), INDEX($AM$1004:$BM$1004,1,MATCH(COLUMNS($AM$1006:AN1006),$AM$1006:$BM$1006,0)))),"Fix")))</f>
        <v xml:space="preserve"> </v>
      </c>
      <c r="D604" s="4" t="str">
        <f ca="1">IF(OR(INDEX($AG$2:$AG$1001,MATCH(ROWS($AF$2:AF604),$AF$2:$AF$1001,0),1)&gt;=100000,INDEX($AM$1005:$BM$1005,1,MATCH(COLUMNS($AM$1006:AO1006),$AM$1006:$BM$1006,0))&gt;=100000), " ",IF(INDEX($AM$2:$BM$1001,MATCH(ROWS($AF$2:AF604),$AF$2:$AF$1001,0),MATCH(COLUMNS($AM$1006:AO1006),$AM$1006:$BM$1006,0)), HYPERLINK("#",""), HYPERLINK(CONCATENATE("#metadata!", ADDRESS(INDEX($AH$2:$AH$1001,MATCH(ROWS($AF$2:AF604),$AF$2:$AF$1001,0),0), INDEX($AM$1004:$BM$1004,1,MATCH(COLUMNS($AM$1006:AO1006),$AM$1006:$BM$1006,0)))),"Fix")))</f>
        <v xml:space="preserve"> </v>
      </c>
      <c r="E604" s="4" t="str">
        <f ca="1">IF(OR(INDEX($AG$2:$AG$1001,MATCH(ROWS($AF$2:AF604),$AF$2:$AF$1001,0),1)&gt;=100000,INDEX($AM$1005:$BM$1005,1,MATCH(COLUMNS($AM$1006:AP1006),$AM$1006:$BM$1006,0))&gt;=100000), " ",IF(INDEX($AM$2:$BM$1001,MATCH(ROWS($AF$2:AF604),$AF$2:$AF$1001,0),MATCH(COLUMNS($AM$1006:AP1006),$AM$1006:$BM$1006,0)), HYPERLINK("#",""), HYPERLINK(CONCATENATE("#metadata!", ADDRESS(INDEX($AH$2:$AH$1001,MATCH(ROWS($AF$2:AF604),$AF$2:$AF$1001,0),0), INDEX($AM$1004:$BM$1004,1,MATCH(COLUMNS($AM$1006:AP1006),$AM$1006:$BM$1006,0)))),"Fix")))</f>
        <v xml:space="preserve"> </v>
      </c>
      <c r="F604" s="4" t="str">
        <f ca="1">IF(OR(INDEX($AG$2:$AG$1001,MATCH(ROWS($AF$2:AF604),$AF$2:$AF$1001,0),1)&gt;=100000,INDEX($AM$1005:$BM$1005,1,MATCH(COLUMNS($AM$1006:AQ1006),$AM$1006:$BM$1006,0))&gt;=100000), " ",IF(INDEX($AM$2:$BM$1001,MATCH(ROWS($AF$2:AF604),$AF$2:$AF$1001,0),MATCH(COLUMNS($AM$1006:AQ1006),$AM$1006:$BM$1006,0)), HYPERLINK("#",""), HYPERLINK(CONCATENATE("#metadata!", ADDRESS(INDEX($AH$2:$AH$1001,MATCH(ROWS($AF$2:AF604),$AF$2:$AF$1001,0),0), INDEX($AM$1004:$BM$1004,1,MATCH(COLUMNS($AM$1006:AQ1006),$AM$1006:$BM$1006,0)))),"Fix")))</f>
        <v xml:space="preserve"> </v>
      </c>
      <c r="G604" s="4" t="str">
        <f ca="1">IF(OR(INDEX($AG$2:$AG$1001,MATCH(ROWS($AF$2:AF604),$AF$2:$AF$1001,0),1)&gt;=100000,INDEX($AM$1005:$BM$1005,1,MATCH(COLUMNS($AM$1006:AR1006),$AM$1006:$BM$1006,0))&gt;=100000), " ",IF(INDEX($AM$2:$BM$1001,MATCH(ROWS($AF$2:AF604),$AF$2:$AF$1001,0),MATCH(COLUMNS($AM$1006:AR1006),$AM$1006:$BM$1006,0)), HYPERLINK("#",""), HYPERLINK(CONCATENATE("#metadata!", ADDRESS(INDEX($AH$2:$AH$1001,MATCH(ROWS($AF$2:AF604),$AF$2:$AF$1001,0),0), INDEX($AM$1004:$BM$1004,1,MATCH(COLUMNS($AM$1006:AR1006),$AM$1006:$BM$1006,0)))),"Fix")))</f>
        <v xml:space="preserve"> </v>
      </c>
      <c r="H604" s="4" t="str">
        <f ca="1">IF(OR(INDEX($AG$2:$AG$1001,MATCH(ROWS($AF$2:AF604),$AF$2:$AF$1001,0),1)&gt;=100000,INDEX($AM$1005:$BM$1005,1,MATCH(COLUMNS($AM$1006:AS1006),$AM$1006:$BM$1006,0))&gt;=100000), " ",IF(INDEX($AM$2:$BM$1001,MATCH(ROWS($AF$2:AF604),$AF$2:$AF$1001,0),MATCH(COLUMNS($AM$1006:AS1006),$AM$1006:$BM$1006,0)), HYPERLINK("#",""), HYPERLINK(CONCATENATE("#metadata!", ADDRESS(INDEX($AH$2:$AH$1001,MATCH(ROWS($AF$2:AF604),$AF$2:$AF$1001,0),0), INDEX($AM$1004:$BM$1004,1,MATCH(COLUMNS($AM$1006:AS1006),$AM$1006:$BM$1006,0)))),"Fix")))</f>
        <v xml:space="preserve"> </v>
      </c>
      <c r="I604" s="4" t="str">
        <f ca="1">IF(OR(INDEX($AG$2:$AG$1001,MATCH(ROWS($AF$2:AF604),$AF$2:$AF$1001,0),1)&gt;=100000,INDEX($AM$1005:$BM$1005,1,MATCH(COLUMNS($AM$1006:AT1006),$AM$1006:$BM$1006,0))&gt;=100000), " ",IF(INDEX($AM$2:$BM$1001,MATCH(ROWS($AF$2:AF604),$AF$2:$AF$1001,0),MATCH(COLUMNS($AM$1006:AT1006),$AM$1006:$BM$1006,0)), HYPERLINK("#",""), HYPERLINK(CONCATENATE("#metadata!", ADDRESS(INDEX($AH$2:$AH$1001,MATCH(ROWS($AF$2:AF604),$AF$2:$AF$1001,0),0), INDEX($AM$1004:$BM$1004,1,MATCH(COLUMNS($AM$1006:AT1006),$AM$1006:$BM$1006,0)))),"Fix")))</f>
        <v xml:space="preserve"> </v>
      </c>
      <c r="J604" s="4" t="str">
        <f ca="1">IF(OR(INDEX($AG$2:$AG$1001,MATCH(ROWS($AF$2:AF604),$AF$2:$AF$1001,0),1)&gt;=100000,INDEX($AM$1005:$BM$1005,1,MATCH(COLUMNS($AM$1006:AU1006),$AM$1006:$BM$1006,0))&gt;=100000), " ",IF(INDEX($AM$2:$BM$1001,MATCH(ROWS($AF$2:AF604),$AF$2:$AF$1001,0),MATCH(COLUMNS($AM$1006:AU1006),$AM$1006:$BM$1006,0)), HYPERLINK("#",""), HYPERLINK(CONCATENATE("#metadata!", ADDRESS(INDEX($AH$2:$AH$1001,MATCH(ROWS($AF$2:AF604),$AF$2:$AF$1001,0),0), INDEX($AM$1004:$BM$1004,1,MATCH(COLUMNS($AM$1006:AU1006),$AM$1006:$BM$1006,0)))),"Fix")))</f>
        <v xml:space="preserve"> </v>
      </c>
      <c r="K604" s="4" t="str">
        <f ca="1">IF(OR(INDEX($AG$2:$AG$1001,MATCH(ROWS($AF$2:AF604),$AF$2:$AF$1001,0),1)&gt;=100000,INDEX($AM$1005:$BM$1005,1,MATCH(COLUMNS($AM$1006:AV1006),$AM$1006:$BM$1006,0))&gt;=100000), " ",IF(INDEX($AM$2:$BM$1001,MATCH(ROWS($AF$2:AF604),$AF$2:$AF$1001,0),MATCH(COLUMNS($AM$1006:AV1006),$AM$1006:$BM$1006,0)), HYPERLINK("#",""), HYPERLINK(CONCATENATE("#metadata!", ADDRESS(INDEX($AH$2:$AH$1001,MATCH(ROWS($AF$2:AF604),$AF$2:$AF$1001,0),0), INDEX($AM$1004:$BM$1004,1,MATCH(COLUMNS($AM$1006:AV1006),$AM$1006:$BM$1006,0)))),"Fix")))</f>
        <v xml:space="preserve"> </v>
      </c>
      <c r="L604" s="4" t="str">
        <f ca="1">IF(OR(INDEX($AG$2:$AG$1001,MATCH(ROWS($AF$2:AF604),$AF$2:$AF$1001,0),1)&gt;=100000,INDEX($AM$1005:$BM$1005,1,MATCH(COLUMNS($AM$1006:AW1006),$AM$1006:$BM$1006,0))&gt;=100000), " ",IF(INDEX($AM$2:$BM$1001,MATCH(ROWS($AF$2:AF604),$AF$2:$AF$1001,0),MATCH(COLUMNS($AM$1006:AW1006),$AM$1006:$BM$1006,0)), HYPERLINK("#",""), HYPERLINK(CONCATENATE("#metadata!", ADDRESS(INDEX($AH$2:$AH$1001,MATCH(ROWS($AF$2:AF604),$AF$2:$AF$1001,0),0), INDEX($AM$1004:$BM$1004,1,MATCH(COLUMNS($AM$1006:AW1006),$AM$1006:$BM$1006,0)))),"Fix")))</f>
        <v xml:space="preserve"> </v>
      </c>
      <c r="M604" s="4" t="str">
        <f ca="1">IF(OR(INDEX($AG$2:$AG$1001,MATCH(ROWS($AF$2:AF604),$AF$2:$AF$1001,0),1)&gt;=100000,INDEX($AM$1005:$BM$1005,1,MATCH(COLUMNS($AM$1006:AX1006),$AM$1006:$BM$1006,0))&gt;=100000), " ",IF(INDEX($AM$2:$BM$1001,MATCH(ROWS($AF$2:AF604),$AF$2:$AF$1001,0),MATCH(COLUMNS($AM$1006:AX1006),$AM$1006:$BM$1006,0)), HYPERLINK("#",""), HYPERLINK(CONCATENATE("#metadata!", ADDRESS(INDEX($AH$2:$AH$1001,MATCH(ROWS($AF$2:AF604),$AF$2:$AF$1001,0),0), INDEX($AM$1004:$BM$1004,1,MATCH(COLUMNS($AM$1006:AX1006),$AM$1006:$BM$1006,0)))),"Fix")))</f>
        <v xml:space="preserve"> </v>
      </c>
      <c r="N604" s="4" t="str">
        <f ca="1">IF(OR(INDEX($AG$2:$AG$1001,MATCH(ROWS($AF$2:AF604),$AF$2:$AF$1001,0),1)&gt;=100000,INDEX($AM$1005:$BM$1005,1,MATCH(COLUMNS($AM$1006:AY1006),$AM$1006:$BM$1006,0))&gt;=100000), " ",IF(INDEX($AM$2:$BM$1001,MATCH(ROWS($AF$2:AF604),$AF$2:$AF$1001,0),MATCH(COLUMNS($AM$1006:AY1006),$AM$1006:$BM$1006,0)), HYPERLINK("#",""), HYPERLINK(CONCATENATE("#metadata!", ADDRESS(INDEX($AH$2:$AH$1001,MATCH(ROWS($AF$2:AF604),$AF$2:$AF$1001,0),0), INDEX($AM$1004:$BM$1004,1,MATCH(COLUMNS($AM$1006:AY1006),$AM$1006:$BM$1006,0)))),"Fix")))</f>
        <v xml:space="preserve"> </v>
      </c>
      <c r="O604" s="4" t="str">
        <f ca="1">IF(OR(INDEX($AG$2:$AG$1001,MATCH(ROWS($AF$2:AF604),$AF$2:$AF$1001,0),1)&gt;=100000,INDEX($AM$1005:$BM$1005,1,MATCH(COLUMNS($AM$1006:AZ1006),$AM$1006:$BM$1006,0))&gt;=100000), " ",IF(INDEX($AM$2:$BM$1001,MATCH(ROWS($AF$2:AF604),$AF$2:$AF$1001,0),MATCH(COLUMNS($AM$1006:AZ1006),$AM$1006:$BM$1006,0)), HYPERLINK("#",""), HYPERLINK(CONCATENATE("#metadata!", ADDRESS(INDEX($AH$2:$AH$1001,MATCH(ROWS($AF$2:AF604),$AF$2:$AF$1001,0),0), INDEX($AM$1004:$BM$1004,1,MATCH(COLUMNS($AM$1006:AZ1006),$AM$1006:$BM$1006,0)))),"Fix")))</f>
        <v xml:space="preserve"> </v>
      </c>
      <c r="P604" s="4" t="str">
        <f ca="1">IF(OR(INDEX($AG$2:$AG$1001,MATCH(ROWS($AF$2:AF604),$AF$2:$AF$1001,0),1)&gt;=100000,INDEX($AM$1005:$BM$1005,1,MATCH(COLUMNS($AM$1006:BA1006),$AM$1006:$BM$1006,0))&gt;=100000), " ",IF(INDEX($AM$2:$BM$1001,MATCH(ROWS($AF$2:AF604),$AF$2:$AF$1001,0),MATCH(COLUMNS($AM$1006:BA1006),$AM$1006:$BM$1006,0)), HYPERLINK("#",""), HYPERLINK(CONCATENATE("#metadata!", ADDRESS(INDEX($AH$2:$AH$1001,MATCH(ROWS($AF$2:AF604),$AF$2:$AF$1001,0),0), INDEX($AM$1004:$BM$1004,1,MATCH(COLUMNS($AM$1006:BA1006),$AM$1006:$BM$1006,0)))),"Fix")))</f>
        <v xml:space="preserve"> </v>
      </c>
      <c r="Q604" s="4" t="str">
        <f ca="1">IF(OR(INDEX($AG$2:$AG$1001,MATCH(ROWS($AF$2:AF604),$AF$2:$AF$1001,0),1)&gt;=100000,INDEX($AM$1005:$BM$1005,1,MATCH(COLUMNS($AM$1006:BB1006),$AM$1006:$BM$1006,0))&gt;=100000), " ",IF(INDEX($AM$2:$BM$1001,MATCH(ROWS($AF$2:AF604),$AF$2:$AF$1001,0),MATCH(COLUMNS($AM$1006:BB1006),$AM$1006:$BM$1006,0)), HYPERLINK("#",""), HYPERLINK(CONCATENATE("#metadata!", ADDRESS(INDEX($AH$2:$AH$1001,MATCH(ROWS($AF$2:AF604),$AF$2:$AF$1001,0),0), INDEX($AM$1004:$BM$1004,1,MATCH(COLUMNS($AM$1006:BB1006),$AM$1006:$BM$1006,0)))),"Fix")))</f>
        <v xml:space="preserve"> </v>
      </c>
      <c r="R604" s="4" t="str">
        <f ca="1">IF(OR(INDEX($AG$2:$AG$1001,MATCH(ROWS($AF$2:AF604),$AF$2:$AF$1001,0),1)&gt;=100000,INDEX($AM$1005:$BM$1005,1,MATCH(COLUMNS($AM$1006:BC1006),$AM$1006:$BM$1006,0))&gt;=100000), " ",IF(INDEX($AM$2:$BM$1001,MATCH(ROWS($AF$2:AF604),$AF$2:$AF$1001,0),MATCH(COLUMNS($AM$1006:BC1006),$AM$1006:$BM$1006,0)), HYPERLINK("#",""), HYPERLINK(CONCATENATE("#metadata!", ADDRESS(INDEX($AH$2:$AH$1001,MATCH(ROWS($AF$2:AF604),$AF$2:$AF$1001,0),0), INDEX($AM$1004:$BM$1004,1,MATCH(COLUMNS($AM$1006:BC1006),$AM$1006:$BM$1006,0)))),"Fix")))</f>
        <v xml:space="preserve"> </v>
      </c>
      <c r="S604" s="4" t="str">
        <f ca="1">IF(OR(INDEX($AG$2:$AG$1001,MATCH(ROWS($AF$2:AF604),$AF$2:$AF$1001,0),1)&gt;=100000,INDEX($AM$1005:$BM$1005,1,MATCH(COLUMNS($AM$1006:BD1006),$AM$1006:$BM$1006,0))&gt;=100000), " ",IF(INDEX($AM$2:$BM$1001,MATCH(ROWS($AF$2:AF604),$AF$2:$AF$1001,0),MATCH(COLUMNS($AM$1006:BD1006),$AM$1006:$BM$1006,0)), HYPERLINK("#",""), HYPERLINK(CONCATENATE("#metadata!", ADDRESS(INDEX($AH$2:$AH$1001,MATCH(ROWS($AF$2:AF604),$AF$2:$AF$1001,0),0), INDEX($AM$1004:$BM$1004,1,MATCH(COLUMNS($AM$1006:BD1006),$AM$1006:$BM$1006,0)))),"Fix")))</f>
        <v xml:space="preserve"> </v>
      </c>
      <c r="T604" s="4" t="str">
        <f ca="1">IF(OR(INDEX($AG$2:$AG$1001,MATCH(ROWS($AF$2:AF604),$AF$2:$AF$1001,0),1)&gt;=100000,INDEX($AM$1005:$BM$1005,1,MATCH(COLUMNS($AM$1006:BE1006),$AM$1006:$BM$1006,0))&gt;=100000), " ",IF(INDEX($AM$2:$BM$1001,MATCH(ROWS($AF$2:AF604),$AF$2:$AF$1001,0),MATCH(COLUMNS($AM$1006:BE1006),$AM$1006:$BM$1006,0)), HYPERLINK("#",""), HYPERLINK(CONCATENATE("#metadata!", ADDRESS(INDEX($AH$2:$AH$1001,MATCH(ROWS($AF$2:AF604),$AF$2:$AF$1001,0),0), INDEX($AM$1004:$BM$1004,1,MATCH(COLUMNS($AM$1006:BE1006),$AM$1006:$BM$1006,0)))),"Fix")))</f>
        <v xml:space="preserve"> </v>
      </c>
      <c r="U604" s="4" t="str">
        <f ca="1">IF(OR(INDEX($AG$2:$AG$1001,MATCH(ROWS($AF$2:AF604),$AF$2:$AF$1001,0),1)&gt;=100000,INDEX($AM$1005:$BM$1005,1,MATCH(COLUMNS($AM$1006:BF1006),$AM$1006:$BM$1006,0))&gt;=100000), " ",IF(INDEX($AM$2:$BM$1001,MATCH(ROWS($AF$2:AF604),$AF$2:$AF$1001,0),MATCH(COLUMNS($AM$1006:BF1006),$AM$1006:$BM$1006,0)), HYPERLINK("#",""), HYPERLINK(CONCATENATE("#metadata!", ADDRESS(INDEX($AH$2:$AH$1001,MATCH(ROWS($AF$2:AF604),$AF$2:$AF$1001,0),0), INDEX($AM$1004:$BM$1004,1,MATCH(COLUMNS($AM$1006:BF1006),$AM$1006:$BM$1006,0)))),"Fix")))</f>
        <v xml:space="preserve"> </v>
      </c>
      <c r="V604" s="4" t="str">
        <f ca="1">IF(OR(INDEX($AG$2:$AG$1001,MATCH(ROWS($AF$2:AF604),$AF$2:$AF$1001,0),1)&gt;=100000,INDEX($AM$1005:$BM$1005,1,MATCH(COLUMNS($AM$1006:BG1006),$AM$1006:$BM$1006,0))&gt;=100000), " ",IF(INDEX($AM$2:$BM$1001,MATCH(ROWS($AF$2:AF604),$AF$2:$AF$1001,0),MATCH(COLUMNS($AM$1006:BG1006),$AM$1006:$BM$1006,0)), HYPERLINK("#",""), HYPERLINK(CONCATENATE("#metadata!", ADDRESS(INDEX($AH$2:$AH$1001,MATCH(ROWS($AF$2:AF604),$AF$2:$AF$1001,0),0), INDEX($AM$1004:$BM$1004,1,MATCH(COLUMNS($AM$1006:BG1006),$AM$1006:$BM$1006,0)))),"Fix")))</f>
        <v xml:space="preserve"> </v>
      </c>
      <c r="W604" s="4" t="str">
        <f ca="1">IF(OR(INDEX($AG$2:$AG$1001,MATCH(ROWS($AF$2:AF604),$AF$2:$AF$1001,0),1)&gt;=100000,INDEX($AM$1005:$BM$1005,1,MATCH(COLUMNS($AM$1006:BH1006),$AM$1006:$BM$1006,0))&gt;=100000), " ",IF(INDEX($AM$2:$BM$1001,MATCH(ROWS($AF$2:AF604),$AF$2:$AF$1001,0),MATCH(COLUMNS($AM$1006:BH1006),$AM$1006:$BM$1006,0)), HYPERLINK("#",""), HYPERLINK(CONCATENATE("#metadata!", ADDRESS(INDEX($AH$2:$AH$1001,MATCH(ROWS($AF$2:AF604),$AF$2:$AF$1001,0),0), INDEX($AM$1004:$BM$1004,1,MATCH(COLUMNS($AM$1006:BH1006),$AM$1006:$BM$1006,0)))),"Fix")))</f>
        <v xml:space="preserve"> </v>
      </c>
      <c r="X604" s="4" t="str">
        <f ca="1">IF(OR(INDEX($AG$2:$AG$1001,MATCH(ROWS($AF$2:AF604),$AF$2:$AF$1001,0),1)&gt;=100000,INDEX($AM$1005:$BM$1005,1,MATCH(COLUMNS($AM$1006:BI1006),$AM$1006:$BM$1006,0))&gt;=100000), " ",IF(INDEX($AM$2:$BM$1001,MATCH(ROWS($AF$2:AF604),$AF$2:$AF$1001,0),MATCH(COLUMNS($AM$1006:BI1006),$AM$1006:$BM$1006,0)), HYPERLINK("#",""), HYPERLINK(CONCATENATE("#metadata!", ADDRESS(INDEX($AH$2:$AH$1001,MATCH(ROWS($AF$2:AF604),$AF$2:$AF$1001,0),0), INDEX($AM$1004:$BM$1004,1,MATCH(COLUMNS($AM$1006:BI1006),$AM$1006:$BM$1006,0)))),"Fix")))</f>
        <v xml:space="preserve"> </v>
      </c>
      <c r="Y604" s="4" t="str">
        <f ca="1">IF(OR(INDEX($AG$2:$AG$1001,MATCH(ROWS($AF$2:AF604),$AF$2:$AF$1001,0),1)&gt;=100000,INDEX($AM$1005:$BM$1005,1,MATCH(COLUMNS($AM$1006:BJ1006),$AM$1006:$BM$1006,0))&gt;=100000), " ",IF(INDEX($AM$2:$BM$1001,MATCH(ROWS($AF$2:AF604),$AF$2:$AF$1001,0),MATCH(COLUMNS($AM$1006:BJ1006),$AM$1006:$BM$1006,0)), HYPERLINK("#",""), HYPERLINK(CONCATENATE("#metadata!", ADDRESS(INDEX($AH$2:$AH$1001,MATCH(ROWS($AF$2:AF604),$AF$2:$AF$1001,0),0), INDEX($AM$1004:$BM$1004,1,MATCH(COLUMNS($AM$1006:BJ1006),$AM$1006:$BM$1006,0)))),"Fix")))</f>
        <v xml:space="preserve"> </v>
      </c>
      <c r="Z604" s="4" t="str">
        <f ca="1">IF(OR(INDEX($AG$2:$AG$1001,MATCH(ROWS($AF$2:AF604),$AF$2:$AF$1001,0),1)&gt;=100000,INDEX($AM$1005:$BM$1005,1,MATCH(COLUMNS($AM$1006:BK1006),$AM$1006:$BM$1006,0))&gt;=100000), " ",IF(INDEX($AM$2:$BM$1001,MATCH(ROWS($AF$2:AF604),$AF$2:$AF$1001,0),MATCH(COLUMNS($AM$1006:BK1006),$AM$1006:$BM$1006,0)), HYPERLINK("#",""), HYPERLINK(CONCATENATE("#metadata!", ADDRESS(INDEX($AH$2:$AH$1001,MATCH(ROWS($AF$2:AF604),$AF$2:$AF$1001,0),0), INDEX($AM$1004:$BM$1004,1,MATCH(COLUMNS($AM$1006:BK1006),$AM$1006:$BM$1006,0)))),"Fix")))</f>
        <v xml:space="preserve"> </v>
      </c>
      <c r="AA604" s="4" t="str">
        <f ca="1">IF(OR(INDEX($AG$2:$AG$1001,MATCH(ROWS($AF$2:AF604),$AF$2:$AF$1001,0),1)&gt;=100000,INDEX($AM$1005:$BM$1005,1,MATCH(COLUMNS($AM$1006:BL1006),$AM$1006:$BM$1006,0))&gt;=100000), " ",IF(INDEX($AM$2:$BM$1001,MATCH(ROWS($AF$2:AF604),$AF$2:$AF$1001,0),MATCH(COLUMNS($AM$1006:BL1006),$AM$1006:$BM$1006,0)), HYPERLINK("#",""), HYPERLINK(CONCATENATE("#metadata!", ADDRESS(INDEX($AH$2:$AH$1001,MATCH(ROWS($AF$2:AF604),$AF$2:$AF$1001,0),0), INDEX($AM$1004:$BM$1004,1,MATCH(COLUMNS($AM$1006:BL1006),$AM$1006:$BM$1006,0)))),"Fix")))</f>
        <v xml:space="preserve"> </v>
      </c>
      <c r="AB604" s="4" t="str">
        <f ca="1">IF(OR(INDEX($AG$2:$AG$1001,MATCH(ROWS($AF$2:AF604),$AF$2:$AF$1001,0),1)&gt;=100000,INDEX($AM$1005:$BM$1005,1,MATCH(COLUMNS($AM$1006:BM1006),$AM$1006:$BM$1006,0))&gt;=100000), " ",IF(INDEX($AM$2:$BM$1001,MATCH(ROWS($AF$2:AF604),$AF$2:$AF$1001,0),MATCH(COLUMNS($AM$1006:BM1006),$AM$1006:$BM$1006,0)), HYPERLINK("#",""), HYPERLINK(CONCATENATE("#metadata!", ADDRESS(INDEX($AH$2:$AH$1001,MATCH(ROWS($AF$2:AF604),$AF$2:$AF$1001,0),0), INDEX($AM$1004:$BM$1004,1,MATCH(COLUMNS($AM$1006:BM1006),$AM$1006:$BM$1006,0)))),"Fix")))</f>
        <v xml:space="preserve"> </v>
      </c>
      <c r="AF604">
        <v>603</v>
      </c>
      <c r="AG604">
        <v>100604</v>
      </c>
      <c r="AH604">
        <v>604</v>
      </c>
      <c r="AI604" t="b">
        <f t="shared" si="9"/>
        <v>1</v>
      </c>
      <c r="AJ604" t="b">
        <f>COUNTBLANK(metadata!B604:AB604)=COLUMNS(metadata!B604:AB604)</f>
        <v>1</v>
      </c>
      <c r="AK604" t="str">
        <v/>
      </c>
      <c r="AM604" t="b">
        <f ca="1">AND(IF(metadata!B604="",FALSE,TRUE),COUNTIF(metadata!B:B, metadata!B604) = 1,NOT(ISERROR(SUMPRODUCT(SEARCH(MID(metadata!B604,ROW(INDIRECT("1:"&amp;LEN(metadata!B604))), 1),"0123456789abcdefghijklmnopqrstuvwxyzABCDEFGHIJKLMNOPQRSTUVWXYZ.")))))</f>
        <v>0</v>
      </c>
      <c r="AN604" t="b">
        <f ca="1">OR(AND(IF(metadata!C604="",FALSE,TRUE),OR(EXACT(metadata!C604,"missing: not collected"),EXACT(metadata!C604,"missing: not provided"),EXACT(metadata!C604,"missing: restricted access"))),AND(IF(metadata!C604="",FALSE,TRUE),AND(AND(IFERROR(INT(LEFT(metadata!C604,4))&gt;1900,FALSE),IFERROR(INT(LEFT(metadata!C604,4))&lt;=YEAR(NOW()),FALSE)), OR(MID(metadata!C604,5,1)="", AND(AND(MID(metadata!C604,5,1)="-",IFERROR(INT(MID(metadata!C604,6,1))&gt;=0,FALSE),IFERROR(INT(MID(metadata!C604,6,1))&lt;=1,FALSE),NOT(MID(metadata!C604,7,1)=""),IFERROR(INT(MID(metadata!C604,6,2))&gt;=1,FALSE),IFERROR(INT(MID(metadata!C604,6,2))&lt;=12,FALSE)), OR(MID(metadata!C604,8,1)="", AND(AND(MID(metadata!C604,8,1)="-",IFERROR(INT(MID(metadata!C604,9,1))&gt;=0,FALSE),IFERROR(INT(MID(metadata!C604,9,1))&lt;=3,FALSE),NOT(MID(metadata!C604,10,1)=""),IFERROR(INT(MID(metadata!C604,9,2))&gt;=1,FALSE),IFERROR(INT(MID(metadata!C604,9,2))&lt;=31,FALSE)), OR(MID(metadata!C604,11,1)="", AND(AND(MID(metadata!C604,11,1)=" ",IFERROR(INT(MID(metadata!C604,12,1))&gt;=0,FALSE),IFERROR(INT(MID(metadata!C604,12,1))&lt;=2,FALSE),NOT(MID(metadata!C604,13,1)=""),IFERROR(INT(MID(metadata!C604,12,2))&gt;=0,FALSE),IFERROR(INT(MID(metadata!C604,12,2))&lt;=23,FALSE)), OR(MID(metadata!C604,14,1)="", AND(AND(MID(metadata!C604,14,1)=":",IFERROR(INT(MID(metadata!C604,15,1))&gt;=0,FALSE),IFERROR(INT(MID(metadata!C604,15,1))&lt;=5,FALSE),NOT(MID(metadata!C604,16,1)=""),IFERROR(INT(MID(metadata!C604,15,2))&gt;=0,FALSE),IFERROR(INT(MID(metadata!C604,15,2))&lt;=59,FALSE)), OR(MID(metadata!C604,17,1)="", AND(AND(MID(metadata!C604,17,1)=":",IFERROR(INT(MID(metadata!C604,18,1))&gt;=0,FALSE),IFERROR(INT(MID(metadata!C604,18,1))&lt;=5,FALSE),NOT(MID(metadata!C604,19,1)=""),IFERROR(INT(MID(metadata!C604,18,2))&gt;=0,FALSE),IFERROR(INT(MID(metadata!C604,18,2))&lt;=59,FALSE)), LEN(metadata!C604)&lt;=19)))))))))))))</f>
        <v>0</v>
      </c>
      <c r="AO604" t="b">
        <f>AND(IF(metadata!D604="",FALSE,TRUE),EXACT(metadata!D604,"Not applicable"))</f>
        <v>0</v>
      </c>
      <c r="AP604" t="b">
        <f>IF(metadata!E604="",FALSE,TRUE)</f>
        <v>0</v>
      </c>
      <c r="AQ604" t="b">
        <f>OR(AND(IF(metadata!F604="",FALSE,TRUE),OR(EXACT(metadata!F604,"missing: not collected"),EXACT(metadata!F604,"missing: not provided"))),AND(IF(metadata!F604="",FALSE,TRUE),OR(EXACT(metadata!F604,"TRUE"),EXACT(metadata!F604,"FALSE"))))</f>
        <v>0</v>
      </c>
      <c r="AR604" t="b">
        <f>OR(AND(IF(metadata!G604="",FALSE,TRUE),OR(EXACT(metadata!G604,"missing: not collected"),EXACT(metadata!G604,"missing: not provided"),EXACT(metadata!G604,"missing: restricted access"))),AND(IF(metadata!G604="",FALSE,ISNUMBER(VALUE(metadata!G604))),metadata!G604&gt;=-413))</f>
        <v>0</v>
      </c>
      <c r="AS604" t="b">
        <f>AND(IF(metadata!H604="",FALSE,TRUE),EXACT(metadata!H604,"meters"))</f>
        <v>0</v>
      </c>
      <c r="AT604" t="b">
        <f>AND(IF(metadata!I604="",FALSE,TRUE),OR(EXACT(metadata!I604,"Host-associated"),EXACT(metadata!I604,"Free-living")))</f>
        <v>0</v>
      </c>
      <c r="AU604" t="b">
        <f>AND(IF(metadata!J604="",FALSE,TRUE),OR(EXACT(metadata!J604,"Animal"),EXACT(metadata!J604,"Fungus"),EXACT(metadata!J604,"Plant"),EXACT(metadata!J604,"Saline"),EXACT(metadata!J604,"Non-saline")))</f>
        <v>0</v>
      </c>
      <c r="AV604" t="b">
        <f>AND(IF(metadata!K604="",FALSE,TRUE),OR(EXACT(metadata!K604,"Plant secretion"),EXACT(metadata!K604,"Plant rhizosphere"),EXACT(metadata!K604,"Plant surface"),EXACT(metadata!K604,"Plant corpus"),EXACT(metadata!K604,"Fungus surface"),EXACT(metadata!K604,"Fungus corpus"),EXACT(metadata!K604,"Animal surface"),EXACT(metadata!K604,"Animal proximal gut"),EXACT(metadata!K604,"Animal corpus"),EXACT(metadata!K604,"Animal distal gut"),EXACT(metadata!K604,"Animal secretion"),EXACT(metadata!K604,"Sub-surface (non-saline)"),EXACT(metadata!K604,"Surface (non-saline)"),EXACT(metadata!K604,"Water (non-saline)"),EXACT(metadata!K604,"Soil (non-saline)"),EXACT(metadata!K604,"Aerosol (non-saline)"),EXACT(metadata!K604,"Sediment (non-saline)"),EXACT(metadata!K604,"Surface (saline)"),EXACT(metadata!K604,"Water (saline)"),EXACT(metadata!K604,"Hypersaline (saline)"),EXACT(metadata!K604,"Aerosol (saline)"),EXACT(metadata!K604,"Sediment (saline)")))</f>
        <v>0</v>
      </c>
      <c r="AW604" t="b">
        <f>IF(metadata!L604="",FALSE,TRUE)</f>
        <v>0</v>
      </c>
      <c r="AX604" t="b">
        <f>IF(metadata!M604="",FALSE,TRUE)</f>
        <v>0</v>
      </c>
      <c r="AY604" t="b">
        <f>IF(metadata!N604="",FALSE,TRUE)</f>
        <v>0</v>
      </c>
      <c r="AZ604" t="b">
        <f>OR(AND(IF(metadata!O604="",FALSE,TRUE),OR(EXACT(metadata!O604,"missing: not collected"),EXACT(metadata!O604,"missing: not provided"),EXACT(metadata!O604,"missing: restricted access"))),AND(IF(metadata!O604="",FALSE,TRUE),OR(EXACT(metadata!O604,"air"),EXACT(metadata!O604,"built environment"),EXACT(metadata!O604,"host-associated"),EXACT(metadata!O604,"human-associated"),EXACT(metadata!O604,"human-skin"),EXACT(metadata!O604,"human-oral"),EXACT(metadata!O604,"human-gut"),EXACT(metadata!O604,"human-vaginal"),EXACT(metadata!O604,"microbial mat/biofilm"),EXACT(metadata!O604,"misc environment"),EXACT(metadata!O604,"plant-associated"),EXACT(metadata!O604,"sediment"),EXACT(metadata!O604,"soil"),EXACT(metadata!O604,"wastewater/sludge"),EXACT(metadata!O604,"water"))))</f>
        <v>0</v>
      </c>
      <c r="BA604" t="b">
        <f>IF(metadata!P604="",FALSE,TRUE)</f>
        <v>0</v>
      </c>
      <c r="BB604" t="b">
        <f>IF(metadata!Q604="",FALSE,TRUE)</f>
        <v>0</v>
      </c>
      <c r="BC604" t="b">
        <f>OR(AND(IF(metadata!R604="",FALSE,TRUE),OR(EXACT(metadata!R604,"missing: not collected"),EXACT(metadata!R604,"missing: not provided"),EXACT(metadata!R604,"missing: restricted access"))),AND(IF(metadata!R604="",FALSE,ISNUMBER(VALUE(metadata!R604))),metadata!R604&gt;=-90,metadata!R604&lt;=90))</f>
        <v>0</v>
      </c>
      <c r="BD604" t="b">
        <f>AND(IF(metadata!S604="",FALSE,TRUE),EXACT(metadata!S604,"Decimal degrees"))</f>
        <v>0</v>
      </c>
      <c r="BE604" t="b">
        <f>OR(AND(IF(metadata!T604="",FALSE,TRUE),OR(EXACT(metadata!T604,"missing: not collected"),EXACT(metadata!T604,"missing: not provided"),EXACT(metadata!T604,"missing: restricted access"))),AND(IF(metadata!T604="",FALSE,ISNUMBER(VALUE(metadata!T604))),metadata!T604&gt;=-180,metadata!T604&lt;=180))</f>
        <v>0</v>
      </c>
      <c r="BF604" t="b">
        <f>AND(IF(metadata!U604="",FALSE,TRUE),EXACT(metadata!U604,"Decimal degrees"))</f>
        <v>0</v>
      </c>
      <c r="BG604" t="b">
        <f>IF(metadata!V604="",FALSE,TRUE)</f>
        <v>0</v>
      </c>
      <c r="BH604" t="b">
        <f>OR(AND(IF(metadata!W604="",FALSE,TRUE),OR(EXACT(metadata!W604,"missing: not collected"),EXACT(metadata!W604,"missing: not provided"),EXACT(metadata!W604,"missing: restricted access"))),AND(IF(metadata!W604="",FALSE,TRUE),OR(EXACT(metadata!W604,"TRUE"),EXACT(metadata!W604,"FALSE"))))</f>
        <v>0</v>
      </c>
      <c r="BI604" t="b">
        <f>AND(IF(metadata!X604="",FALSE,TRUE),EXACT(metadata!X604,"other"))</f>
        <v>0</v>
      </c>
      <c r="BJ604" t="b">
        <f>IF(metadata!Y604="",FALSE,TRUE)</f>
        <v>0</v>
      </c>
      <c r="BK604" t="b">
        <f>OR(AND(IF(metadata!Z604="",FALSE,TRUE),OR(EXACT(metadata!Z604,"missing: not collected"),EXACT(metadata!Z604,"missing: not provided"))),AND(IF(metadata!Z604="",FALSE,IF(ISERROR(INT(metadata!Z604)),FALSE,INT(metadata!Z604)=metadata!Z604)),metadata!Z604&gt;0))</f>
        <v>0</v>
      </c>
      <c r="BL604" t="b">
        <f>AND(IF(metadata!AA604="",FALSE,TRUE),EXACT(metadata!AA604,"Not applicable"))</f>
        <v>0</v>
      </c>
      <c r="BM604" t="b">
        <f>IF(metadata!AB604="",FALSE,TRUE)</f>
        <v>0</v>
      </c>
    </row>
    <row r="605" spans="1:65" x14ac:dyDescent="0.2">
      <c r="A605" s="5" t="str">
        <f ca="1">IF(B605=" "," ",HYPERLINK(CONCATENATE("#metadata!",ADDRESS(INDEX($AH$2:$AH$1001,MATCH(ROWS($AF$2:AF605),$AF$2:$AF$1001,0),0),1)),INDEX($AK$2:$AK$1001,MATCH(ROWS($AF$2:AF605),$AF$2:$AF$1001,0),0)))</f>
        <v xml:space="preserve"> </v>
      </c>
      <c r="B605" s="4" t="str">
        <f ca="1">IF(OR(INDEX($AG$2:$AG$1001,MATCH(ROWS($AF$2:AF605),$AF$2:$AF$1001,0),1)&gt;=100000,INDEX($AM$1005:$BM$1005,1,MATCH(COLUMNS($AM$1006:AM1006),$AM$1006:$BM$1006,0))&gt;=100000), " ",IF(INDEX($AM$2:$BM$1001,MATCH(ROWS($AF$2:AF605),$AF$2:$AF$1001,0),MATCH(COLUMNS($AM$1006:AM1006),$AM$1006:$BM$1006,0)), HYPERLINK("#",""), HYPERLINK(CONCATENATE("#metadata!", ADDRESS(INDEX($AH$2:$AH$1001,MATCH(ROWS($AF$2:AF605),$AF$2:$AF$1001,0),0), INDEX($AM$1004:$BM$1004,1,MATCH(COLUMNS($AM$1006:AM1006),$AM$1006:$BM$1006,0)))),"Fix")))</f>
        <v xml:space="preserve"> </v>
      </c>
      <c r="C605" s="4" t="str">
        <f ca="1">IF(OR(INDEX($AG$2:$AG$1001,MATCH(ROWS($AF$2:AF605),$AF$2:$AF$1001,0),1)&gt;=100000,INDEX($AM$1005:$BM$1005,1,MATCH(COLUMNS($AM$1006:AN1006),$AM$1006:$BM$1006,0))&gt;=100000), " ",IF(INDEX($AM$2:$BM$1001,MATCH(ROWS($AF$2:AF605),$AF$2:$AF$1001,0),MATCH(COLUMNS($AM$1006:AN1006),$AM$1006:$BM$1006,0)), HYPERLINK("#",""), HYPERLINK(CONCATENATE("#metadata!", ADDRESS(INDEX($AH$2:$AH$1001,MATCH(ROWS($AF$2:AF605),$AF$2:$AF$1001,0),0), INDEX($AM$1004:$BM$1004,1,MATCH(COLUMNS($AM$1006:AN1006),$AM$1006:$BM$1006,0)))),"Fix")))</f>
        <v xml:space="preserve"> </v>
      </c>
      <c r="D605" s="4" t="str">
        <f ca="1">IF(OR(INDEX($AG$2:$AG$1001,MATCH(ROWS($AF$2:AF605),$AF$2:$AF$1001,0),1)&gt;=100000,INDEX($AM$1005:$BM$1005,1,MATCH(COLUMNS($AM$1006:AO1006),$AM$1006:$BM$1006,0))&gt;=100000), " ",IF(INDEX($AM$2:$BM$1001,MATCH(ROWS($AF$2:AF605),$AF$2:$AF$1001,0),MATCH(COLUMNS($AM$1006:AO1006),$AM$1006:$BM$1006,0)), HYPERLINK("#",""), HYPERLINK(CONCATENATE("#metadata!", ADDRESS(INDEX($AH$2:$AH$1001,MATCH(ROWS($AF$2:AF605),$AF$2:$AF$1001,0),0), INDEX($AM$1004:$BM$1004,1,MATCH(COLUMNS($AM$1006:AO1006),$AM$1006:$BM$1006,0)))),"Fix")))</f>
        <v xml:space="preserve"> </v>
      </c>
      <c r="E605" s="4" t="str">
        <f ca="1">IF(OR(INDEX($AG$2:$AG$1001,MATCH(ROWS($AF$2:AF605),$AF$2:$AF$1001,0),1)&gt;=100000,INDEX($AM$1005:$BM$1005,1,MATCH(COLUMNS($AM$1006:AP1006),$AM$1006:$BM$1006,0))&gt;=100000), " ",IF(INDEX($AM$2:$BM$1001,MATCH(ROWS($AF$2:AF605),$AF$2:$AF$1001,0),MATCH(COLUMNS($AM$1006:AP1006),$AM$1006:$BM$1006,0)), HYPERLINK("#",""), HYPERLINK(CONCATENATE("#metadata!", ADDRESS(INDEX($AH$2:$AH$1001,MATCH(ROWS($AF$2:AF605),$AF$2:$AF$1001,0),0), INDEX($AM$1004:$BM$1004,1,MATCH(COLUMNS($AM$1006:AP1006),$AM$1006:$BM$1006,0)))),"Fix")))</f>
        <v xml:space="preserve"> </v>
      </c>
      <c r="F605" s="4" t="str">
        <f ca="1">IF(OR(INDEX($AG$2:$AG$1001,MATCH(ROWS($AF$2:AF605),$AF$2:$AF$1001,0),1)&gt;=100000,INDEX($AM$1005:$BM$1005,1,MATCH(COLUMNS($AM$1006:AQ1006),$AM$1006:$BM$1006,0))&gt;=100000), " ",IF(INDEX($AM$2:$BM$1001,MATCH(ROWS($AF$2:AF605),$AF$2:$AF$1001,0),MATCH(COLUMNS($AM$1006:AQ1006),$AM$1006:$BM$1006,0)), HYPERLINK("#",""), HYPERLINK(CONCATENATE("#metadata!", ADDRESS(INDEX($AH$2:$AH$1001,MATCH(ROWS($AF$2:AF605),$AF$2:$AF$1001,0),0), INDEX($AM$1004:$BM$1004,1,MATCH(COLUMNS($AM$1006:AQ1006),$AM$1006:$BM$1006,0)))),"Fix")))</f>
        <v xml:space="preserve"> </v>
      </c>
      <c r="G605" s="4" t="str">
        <f ca="1">IF(OR(INDEX($AG$2:$AG$1001,MATCH(ROWS($AF$2:AF605),$AF$2:$AF$1001,0),1)&gt;=100000,INDEX($AM$1005:$BM$1005,1,MATCH(COLUMNS($AM$1006:AR1006),$AM$1006:$BM$1006,0))&gt;=100000), " ",IF(INDEX($AM$2:$BM$1001,MATCH(ROWS($AF$2:AF605),$AF$2:$AF$1001,0),MATCH(COLUMNS($AM$1006:AR1006),$AM$1006:$BM$1006,0)), HYPERLINK("#",""), HYPERLINK(CONCATENATE("#metadata!", ADDRESS(INDEX($AH$2:$AH$1001,MATCH(ROWS($AF$2:AF605),$AF$2:$AF$1001,0),0), INDEX($AM$1004:$BM$1004,1,MATCH(COLUMNS($AM$1006:AR1006),$AM$1006:$BM$1006,0)))),"Fix")))</f>
        <v xml:space="preserve"> </v>
      </c>
      <c r="H605" s="4" t="str">
        <f ca="1">IF(OR(INDEX($AG$2:$AG$1001,MATCH(ROWS($AF$2:AF605),$AF$2:$AF$1001,0),1)&gt;=100000,INDEX($AM$1005:$BM$1005,1,MATCH(COLUMNS($AM$1006:AS1006),$AM$1006:$BM$1006,0))&gt;=100000), " ",IF(INDEX($AM$2:$BM$1001,MATCH(ROWS($AF$2:AF605),$AF$2:$AF$1001,0),MATCH(COLUMNS($AM$1006:AS1006),$AM$1006:$BM$1006,0)), HYPERLINK("#",""), HYPERLINK(CONCATENATE("#metadata!", ADDRESS(INDEX($AH$2:$AH$1001,MATCH(ROWS($AF$2:AF605),$AF$2:$AF$1001,0),0), INDEX($AM$1004:$BM$1004,1,MATCH(COLUMNS($AM$1006:AS1006),$AM$1006:$BM$1006,0)))),"Fix")))</f>
        <v xml:space="preserve"> </v>
      </c>
      <c r="I605" s="4" t="str">
        <f ca="1">IF(OR(INDEX($AG$2:$AG$1001,MATCH(ROWS($AF$2:AF605),$AF$2:$AF$1001,0),1)&gt;=100000,INDEX($AM$1005:$BM$1005,1,MATCH(COLUMNS($AM$1006:AT1006),$AM$1006:$BM$1006,0))&gt;=100000), " ",IF(INDEX($AM$2:$BM$1001,MATCH(ROWS($AF$2:AF605),$AF$2:$AF$1001,0),MATCH(COLUMNS($AM$1006:AT1006),$AM$1006:$BM$1006,0)), HYPERLINK("#",""), HYPERLINK(CONCATENATE("#metadata!", ADDRESS(INDEX($AH$2:$AH$1001,MATCH(ROWS($AF$2:AF605),$AF$2:$AF$1001,0),0), INDEX($AM$1004:$BM$1004,1,MATCH(COLUMNS($AM$1006:AT1006),$AM$1006:$BM$1006,0)))),"Fix")))</f>
        <v xml:space="preserve"> </v>
      </c>
      <c r="J605" s="4" t="str">
        <f ca="1">IF(OR(INDEX($AG$2:$AG$1001,MATCH(ROWS($AF$2:AF605),$AF$2:$AF$1001,0),1)&gt;=100000,INDEX($AM$1005:$BM$1005,1,MATCH(COLUMNS($AM$1006:AU1006),$AM$1006:$BM$1006,0))&gt;=100000), " ",IF(INDEX($AM$2:$BM$1001,MATCH(ROWS($AF$2:AF605),$AF$2:$AF$1001,0),MATCH(COLUMNS($AM$1006:AU1006),$AM$1006:$BM$1006,0)), HYPERLINK("#",""), HYPERLINK(CONCATENATE("#metadata!", ADDRESS(INDEX($AH$2:$AH$1001,MATCH(ROWS($AF$2:AF605),$AF$2:$AF$1001,0),0), INDEX($AM$1004:$BM$1004,1,MATCH(COLUMNS($AM$1006:AU1006),$AM$1006:$BM$1006,0)))),"Fix")))</f>
        <v xml:space="preserve"> </v>
      </c>
      <c r="K605" s="4" t="str">
        <f ca="1">IF(OR(INDEX($AG$2:$AG$1001,MATCH(ROWS($AF$2:AF605),$AF$2:$AF$1001,0),1)&gt;=100000,INDEX($AM$1005:$BM$1005,1,MATCH(COLUMNS($AM$1006:AV1006),$AM$1006:$BM$1006,0))&gt;=100000), " ",IF(INDEX($AM$2:$BM$1001,MATCH(ROWS($AF$2:AF605),$AF$2:$AF$1001,0),MATCH(COLUMNS($AM$1006:AV1006),$AM$1006:$BM$1006,0)), HYPERLINK("#",""), HYPERLINK(CONCATENATE("#metadata!", ADDRESS(INDEX($AH$2:$AH$1001,MATCH(ROWS($AF$2:AF605),$AF$2:$AF$1001,0),0), INDEX($AM$1004:$BM$1004,1,MATCH(COLUMNS($AM$1006:AV1006),$AM$1006:$BM$1006,0)))),"Fix")))</f>
        <v xml:space="preserve"> </v>
      </c>
      <c r="L605" s="4" t="str">
        <f ca="1">IF(OR(INDEX($AG$2:$AG$1001,MATCH(ROWS($AF$2:AF605),$AF$2:$AF$1001,0),1)&gt;=100000,INDEX($AM$1005:$BM$1005,1,MATCH(COLUMNS($AM$1006:AW1006),$AM$1006:$BM$1006,0))&gt;=100000), " ",IF(INDEX($AM$2:$BM$1001,MATCH(ROWS($AF$2:AF605),$AF$2:$AF$1001,0),MATCH(COLUMNS($AM$1006:AW1006),$AM$1006:$BM$1006,0)), HYPERLINK("#",""), HYPERLINK(CONCATENATE("#metadata!", ADDRESS(INDEX($AH$2:$AH$1001,MATCH(ROWS($AF$2:AF605),$AF$2:$AF$1001,0),0), INDEX($AM$1004:$BM$1004,1,MATCH(COLUMNS($AM$1006:AW1006),$AM$1006:$BM$1006,0)))),"Fix")))</f>
        <v xml:space="preserve"> </v>
      </c>
      <c r="M605" s="4" t="str">
        <f ca="1">IF(OR(INDEX($AG$2:$AG$1001,MATCH(ROWS($AF$2:AF605),$AF$2:$AF$1001,0),1)&gt;=100000,INDEX($AM$1005:$BM$1005,1,MATCH(COLUMNS($AM$1006:AX1006),$AM$1006:$BM$1006,0))&gt;=100000), " ",IF(INDEX($AM$2:$BM$1001,MATCH(ROWS($AF$2:AF605),$AF$2:$AF$1001,0),MATCH(COLUMNS($AM$1006:AX1006),$AM$1006:$BM$1006,0)), HYPERLINK("#",""), HYPERLINK(CONCATENATE("#metadata!", ADDRESS(INDEX($AH$2:$AH$1001,MATCH(ROWS($AF$2:AF605),$AF$2:$AF$1001,0),0), INDEX($AM$1004:$BM$1004,1,MATCH(COLUMNS($AM$1006:AX1006),$AM$1006:$BM$1006,0)))),"Fix")))</f>
        <v xml:space="preserve"> </v>
      </c>
      <c r="N605" s="4" t="str">
        <f ca="1">IF(OR(INDEX($AG$2:$AG$1001,MATCH(ROWS($AF$2:AF605),$AF$2:$AF$1001,0),1)&gt;=100000,INDEX($AM$1005:$BM$1005,1,MATCH(COLUMNS($AM$1006:AY1006),$AM$1006:$BM$1006,0))&gt;=100000), " ",IF(INDEX($AM$2:$BM$1001,MATCH(ROWS($AF$2:AF605),$AF$2:$AF$1001,0),MATCH(COLUMNS($AM$1006:AY1006),$AM$1006:$BM$1006,0)), HYPERLINK("#",""), HYPERLINK(CONCATENATE("#metadata!", ADDRESS(INDEX($AH$2:$AH$1001,MATCH(ROWS($AF$2:AF605),$AF$2:$AF$1001,0),0), INDEX($AM$1004:$BM$1004,1,MATCH(COLUMNS($AM$1006:AY1006),$AM$1006:$BM$1006,0)))),"Fix")))</f>
        <v xml:space="preserve"> </v>
      </c>
      <c r="O605" s="4" t="str">
        <f ca="1">IF(OR(INDEX($AG$2:$AG$1001,MATCH(ROWS($AF$2:AF605),$AF$2:$AF$1001,0),1)&gt;=100000,INDEX($AM$1005:$BM$1005,1,MATCH(COLUMNS($AM$1006:AZ1006),$AM$1006:$BM$1006,0))&gt;=100000), " ",IF(INDEX($AM$2:$BM$1001,MATCH(ROWS($AF$2:AF605),$AF$2:$AF$1001,0),MATCH(COLUMNS($AM$1006:AZ1006),$AM$1006:$BM$1006,0)), HYPERLINK("#",""), HYPERLINK(CONCATENATE("#metadata!", ADDRESS(INDEX($AH$2:$AH$1001,MATCH(ROWS($AF$2:AF605),$AF$2:$AF$1001,0),0), INDEX($AM$1004:$BM$1004,1,MATCH(COLUMNS($AM$1006:AZ1006),$AM$1006:$BM$1006,0)))),"Fix")))</f>
        <v xml:space="preserve"> </v>
      </c>
      <c r="P605" s="4" t="str">
        <f ca="1">IF(OR(INDEX($AG$2:$AG$1001,MATCH(ROWS($AF$2:AF605),$AF$2:$AF$1001,0),1)&gt;=100000,INDEX($AM$1005:$BM$1005,1,MATCH(COLUMNS($AM$1006:BA1006),$AM$1006:$BM$1006,0))&gt;=100000), " ",IF(INDEX($AM$2:$BM$1001,MATCH(ROWS($AF$2:AF605),$AF$2:$AF$1001,0),MATCH(COLUMNS($AM$1006:BA1006),$AM$1006:$BM$1006,0)), HYPERLINK("#",""), HYPERLINK(CONCATENATE("#metadata!", ADDRESS(INDEX($AH$2:$AH$1001,MATCH(ROWS($AF$2:AF605),$AF$2:$AF$1001,0),0), INDEX($AM$1004:$BM$1004,1,MATCH(COLUMNS($AM$1006:BA1006),$AM$1006:$BM$1006,0)))),"Fix")))</f>
        <v xml:space="preserve"> </v>
      </c>
      <c r="Q605" s="4" t="str">
        <f ca="1">IF(OR(INDEX($AG$2:$AG$1001,MATCH(ROWS($AF$2:AF605),$AF$2:$AF$1001,0),1)&gt;=100000,INDEX($AM$1005:$BM$1005,1,MATCH(COLUMNS($AM$1006:BB1006),$AM$1006:$BM$1006,0))&gt;=100000), " ",IF(INDEX($AM$2:$BM$1001,MATCH(ROWS($AF$2:AF605),$AF$2:$AF$1001,0),MATCH(COLUMNS($AM$1006:BB1006),$AM$1006:$BM$1006,0)), HYPERLINK("#",""), HYPERLINK(CONCATENATE("#metadata!", ADDRESS(INDEX($AH$2:$AH$1001,MATCH(ROWS($AF$2:AF605),$AF$2:$AF$1001,0),0), INDEX($AM$1004:$BM$1004,1,MATCH(COLUMNS($AM$1006:BB1006),$AM$1006:$BM$1006,0)))),"Fix")))</f>
        <v xml:space="preserve"> </v>
      </c>
      <c r="R605" s="4" t="str">
        <f ca="1">IF(OR(INDEX($AG$2:$AG$1001,MATCH(ROWS($AF$2:AF605),$AF$2:$AF$1001,0),1)&gt;=100000,INDEX($AM$1005:$BM$1005,1,MATCH(COLUMNS($AM$1006:BC1006),$AM$1006:$BM$1006,0))&gt;=100000), " ",IF(INDEX($AM$2:$BM$1001,MATCH(ROWS($AF$2:AF605),$AF$2:$AF$1001,0),MATCH(COLUMNS($AM$1006:BC1006),$AM$1006:$BM$1006,0)), HYPERLINK("#",""), HYPERLINK(CONCATENATE("#metadata!", ADDRESS(INDEX($AH$2:$AH$1001,MATCH(ROWS($AF$2:AF605),$AF$2:$AF$1001,0),0), INDEX($AM$1004:$BM$1004,1,MATCH(COLUMNS($AM$1006:BC1006),$AM$1006:$BM$1006,0)))),"Fix")))</f>
        <v xml:space="preserve"> </v>
      </c>
      <c r="S605" s="4" t="str">
        <f ca="1">IF(OR(INDEX($AG$2:$AG$1001,MATCH(ROWS($AF$2:AF605),$AF$2:$AF$1001,0),1)&gt;=100000,INDEX($AM$1005:$BM$1005,1,MATCH(COLUMNS($AM$1006:BD1006),$AM$1006:$BM$1006,0))&gt;=100000), " ",IF(INDEX($AM$2:$BM$1001,MATCH(ROWS($AF$2:AF605),$AF$2:$AF$1001,0),MATCH(COLUMNS($AM$1006:BD1006),$AM$1006:$BM$1006,0)), HYPERLINK("#",""), HYPERLINK(CONCATENATE("#metadata!", ADDRESS(INDEX($AH$2:$AH$1001,MATCH(ROWS($AF$2:AF605),$AF$2:$AF$1001,0),0), INDEX($AM$1004:$BM$1004,1,MATCH(COLUMNS($AM$1006:BD1006),$AM$1006:$BM$1006,0)))),"Fix")))</f>
        <v xml:space="preserve"> </v>
      </c>
      <c r="T605" s="4" t="str">
        <f ca="1">IF(OR(INDEX($AG$2:$AG$1001,MATCH(ROWS($AF$2:AF605),$AF$2:$AF$1001,0),1)&gt;=100000,INDEX($AM$1005:$BM$1005,1,MATCH(COLUMNS($AM$1006:BE1006),$AM$1006:$BM$1006,0))&gt;=100000), " ",IF(INDEX($AM$2:$BM$1001,MATCH(ROWS($AF$2:AF605),$AF$2:$AF$1001,0),MATCH(COLUMNS($AM$1006:BE1006),$AM$1006:$BM$1006,0)), HYPERLINK("#",""), HYPERLINK(CONCATENATE("#metadata!", ADDRESS(INDEX($AH$2:$AH$1001,MATCH(ROWS($AF$2:AF605),$AF$2:$AF$1001,0),0), INDEX($AM$1004:$BM$1004,1,MATCH(COLUMNS($AM$1006:BE1006),$AM$1006:$BM$1006,0)))),"Fix")))</f>
        <v xml:space="preserve"> </v>
      </c>
      <c r="U605" s="4" t="str">
        <f ca="1">IF(OR(INDEX($AG$2:$AG$1001,MATCH(ROWS($AF$2:AF605),$AF$2:$AF$1001,0),1)&gt;=100000,INDEX($AM$1005:$BM$1005,1,MATCH(COLUMNS($AM$1006:BF1006),$AM$1006:$BM$1006,0))&gt;=100000), " ",IF(INDEX($AM$2:$BM$1001,MATCH(ROWS($AF$2:AF605),$AF$2:$AF$1001,0),MATCH(COLUMNS($AM$1006:BF1006),$AM$1006:$BM$1006,0)), HYPERLINK("#",""), HYPERLINK(CONCATENATE("#metadata!", ADDRESS(INDEX($AH$2:$AH$1001,MATCH(ROWS($AF$2:AF605),$AF$2:$AF$1001,0),0), INDEX($AM$1004:$BM$1004,1,MATCH(COLUMNS($AM$1006:BF1006),$AM$1006:$BM$1006,0)))),"Fix")))</f>
        <v xml:space="preserve"> </v>
      </c>
      <c r="V605" s="4" t="str">
        <f ca="1">IF(OR(INDEX($AG$2:$AG$1001,MATCH(ROWS($AF$2:AF605),$AF$2:$AF$1001,0),1)&gt;=100000,INDEX($AM$1005:$BM$1005,1,MATCH(COLUMNS($AM$1006:BG1006),$AM$1006:$BM$1006,0))&gt;=100000), " ",IF(INDEX($AM$2:$BM$1001,MATCH(ROWS($AF$2:AF605),$AF$2:$AF$1001,0),MATCH(COLUMNS($AM$1006:BG1006),$AM$1006:$BM$1006,0)), HYPERLINK("#",""), HYPERLINK(CONCATENATE("#metadata!", ADDRESS(INDEX($AH$2:$AH$1001,MATCH(ROWS($AF$2:AF605),$AF$2:$AF$1001,0),0), INDEX($AM$1004:$BM$1004,1,MATCH(COLUMNS($AM$1006:BG1006),$AM$1006:$BM$1006,0)))),"Fix")))</f>
        <v xml:space="preserve"> </v>
      </c>
      <c r="W605" s="4" t="str">
        <f ca="1">IF(OR(INDEX($AG$2:$AG$1001,MATCH(ROWS($AF$2:AF605),$AF$2:$AF$1001,0),1)&gt;=100000,INDEX($AM$1005:$BM$1005,1,MATCH(COLUMNS($AM$1006:BH1006),$AM$1006:$BM$1006,0))&gt;=100000), " ",IF(INDEX($AM$2:$BM$1001,MATCH(ROWS($AF$2:AF605),$AF$2:$AF$1001,0),MATCH(COLUMNS($AM$1006:BH1006),$AM$1006:$BM$1006,0)), HYPERLINK("#",""), HYPERLINK(CONCATENATE("#metadata!", ADDRESS(INDEX($AH$2:$AH$1001,MATCH(ROWS($AF$2:AF605),$AF$2:$AF$1001,0),0), INDEX($AM$1004:$BM$1004,1,MATCH(COLUMNS($AM$1006:BH1006),$AM$1006:$BM$1006,0)))),"Fix")))</f>
        <v xml:space="preserve"> </v>
      </c>
      <c r="X605" s="4" t="str">
        <f ca="1">IF(OR(INDEX($AG$2:$AG$1001,MATCH(ROWS($AF$2:AF605),$AF$2:$AF$1001,0),1)&gt;=100000,INDEX($AM$1005:$BM$1005,1,MATCH(COLUMNS($AM$1006:BI1006),$AM$1006:$BM$1006,0))&gt;=100000), " ",IF(INDEX($AM$2:$BM$1001,MATCH(ROWS($AF$2:AF605),$AF$2:$AF$1001,0),MATCH(COLUMNS($AM$1006:BI1006),$AM$1006:$BM$1006,0)), HYPERLINK("#",""), HYPERLINK(CONCATENATE("#metadata!", ADDRESS(INDEX($AH$2:$AH$1001,MATCH(ROWS($AF$2:AF605),$AF$2:$AF$1001,0),0), INDEX($AM$1004:$BM$1004,1,MATCH(COLUMNS($AM$1006:BI1006),$AM$1006:$BM$1006,0)))),"Fix")))</f>
        <v xml:space="preserve"> </v>
      </c>
      <c r="Y605" s="4" t="str">
        <f ca="1">IF(OR(INDEX($AG$2:$AG$1001,MATCH(ROWS($AF$2:AF605),$AF$2:$AF$1001,0),1)&gt;=100000,INDEX($AM$1005:$BM$1005,1,MATCH(COLUMNS($AM$1006:BJ1006),$AM$1006:$BM$1006,0))&gt;=100000), " ",IF(INDEX($AM$2:$BM$1001,MATCH(ROWS($AF$2:AF605),$AF$2:$AF$1001,0),MATCH(COLUMNS($AM$1006:BJ1006),$AM$1006:$BM$1006,0)), HYPERLINK("#",""), HYPERLINK(CONCATENATE("#metadata!", ADDRESS(INDEX($AH$2:$AH$1001,MATCH(ROWS($AF$2:AF605),$AF$2:$AF$1001,0),0), INDEX($AM$1004:$BM$1004,1,MATCH(COLUMNS($AM$1006:BJ1006),$AM$1006:$BM$1006,0)))),"Fix")))</f>
        <v xml:space="preserve"> </v>
      </c>
      <c r="Z605" s="4" t="str">
        <f ca="1">IF(OR(INDEX($AG$2:$AG$1001,MATCH(ROWS($AF$2:AF605),$AF$2:$AF$1001,0),1)&gt;=100000,INDEX($AM$1005:$BM$1005,1,MATCH(COLUMNS($AM$1006:BK1006),$AM$1006:$BM$1006,0))&gt;=100000), " ",IF(INDEX($AM$2:$BM$1001,MATCH(ROWS($AF$2:AF605),$AF$2:$AF$1001,0),MATCH(COLUMNS($AM$1006:BK1006),$AM$1006:$BM$1006,0)), HYPERLINK("#",""), HYPERLINK(CONCATENATE("#metadata!", ADDRESS(INDEX($AH$2:$AH$1001,MATCH(ROWS($AF$2:AF605),$AF$2:$AF$1001,0),0), INDEX($AM$1004:$BM$1004,1,MATCH(COLUMNS($AM$1006:BK1006),$AM$1006:$BM$1006,0)))),"Fix")))</f>
        <v xml:space="preserve"> </v>
      </c>
      <c r="AA605" s="4" t="str">
        <f ca="1">IF(OR(INDEX($AG$2:$AG$1001,MATCH(ROWS($AF$2:AF605),$AF$2:$AF$1001,0),1)&gt;=100000,INDEX($AM$1005:$BM$1005,1,MATCH(COLUMNS($AM$1006:BL1006),$AM$1006:$BM$1006,0))&gt;=100000), " ",IF(INDEX($AM$2:$BM$1001,MATCH(ROWS($AF$2:AF605),$AF$2:$AF$1001,0),MATCH(COLUMNS($AM$1006:BL1006),$AM$1006:$BM$1006,0)), HYPERLINK("#",""), HYPERLINK(CONCATENATE("#metadata!", ADDRESS(INDEX($AH$2:$AH$1001,MATCH(ROWS($AF$2:AF605),$AF$2:$AF$1001,0),0), INDEX($AM$1004:$BM$1004,1,MATCH(COLUMNS($AM$1006:BL1006),$AM$1006:$BM$1006,0)))),"Fix")))</f>
        <v xml:space="preserve"> </v>
      </c>
      <c r="AB605" s="4" t="str">
        <f ca="1">IF(OR(INDEX($AG$2:$AG$1001,MATCH(ROWS($AF$2:AF605),$AF$2:$AF$1001,0),1)&gt;=100000,INDEX($AM$1005:$BM$1005,1,MATCH(COLUMNS($AM$1006:BM1006),$AM$1006:$BM$1006,0))&gt;=100000), " ",IF(INDEX($AM$2:$BM$1001,MATCH(ROWS($AF$2:AF605),$AF$2:$AF$1001,0),MATCH(COLUMNS($AM$1006:BM1006),$AM$1006:$BM$1006,0)), HYPERLINK("#",""), HYPERLINK(CONCATENATE("#metadata!", ADDRESS(INDEX($AH$2:$AH$1001,MATCH(ROWS($AF$2:AF605),$AF$2:$AF$1001,0),0), INDEX($AM$1004:$BM$1004,1,MATCH(COLUMNS($AM$1006:BM1006),$AM$1006:$BM$1006,0)))),"Fix")))</f>
        <v xml:space="preserve"> </v>
      </c>
      <c r="AF605">
        <v>604</v>
      </c>
      <c r="AG605">
        <v>100605</v>
      </c>
      <c r="AH605">
        <v>605</v>
      </c>
      <c r="AI605" t="b">
        <f t="shared" si="9"/>
        <v>1</v>
      </c>
      <c r="AJ605" t="b">
        <f>COUNTBLANK(metadata!B605:AB605)=COLUMNS(metadata!B605:AB605)</f>
        <v>1</v>
      </c>
      <c r="AK605" t="str">
        <v/>
      </c>
      <c r="AM605" t="b">
        <f ca="1">AND(IF(metadata!B605="",FALSE,TRUE),COUNTIF(metadata!B:B, metadata!B605) = 1,NOT(ISERROR(SUMPRODUCT(SEARCH(MID(metadata!B605,ROW(INDIRECT("1:"&amp;LEN(metadata!B605))), 1),"0123456789abcdefghijklmnopqrstuvwxyzABCDEFGHIJKLMNOPQRSTUVWXYZ.")))))</f>
        <v>0</v>
      </c>
      <c r="AN605" t="b">
        <f ca="1">OR(AND(IF(metadata!C605="",FALSE,TRUE),OR(EXACT(metadata!C605,"missing: not collected"),EXACT(metadata!C605,"missing: not provided"),EXACT(metadata!C605,"missing: restricted access"))),AND(IF(metadata!C605="",FALSE,TRUE),AND(AND(IFERROR(INT(LEFT(metadata!C605,4))&gt;1900,FALSE),IFERROR(INT(LEFT(metadata!C605,4))&lt;=YEAR(NOW()),FALSE)), OR(MID(metadata!C605,5,1)="", AND(AND(MID(metadata!C605,5,1)="-",IFERROR(INT(MID(metadata!C605,6,1))&gt;=0,FALSE),IFERROR(INT(MID(metadata!C605,6,1))&lt;=1,FALSE),NOT(MID(metadata!C605,7,1)=""),IFERROR(INT(MID(metadata!C605,6,2))&gt;=1,FALSE),IFERROR(INT(MID(metadata!C605,6,2))&lt;=12,FALSE)), OR(MID(metadata!C605,8,1)="", AND(AND(MID(metadata!C605,8,1)="-",IFERROR(INT(MID(metadata!C605,9,1))&gt;=0,FALSE),IFERROR(INT(MID(metadata!C605,9,1))&lt;=3,FALSE),NOT(MID(metadata!C605,10,1)=""),IFERROR(INT(MID(metadata!C605,9,2))&gt;=1,FALSE),IFERROR(INT(MID(metadata!C605,9,2))&lt;=31,FALSE)), OR(MID(metadata!C605,11,1)="", AND(AND(MID(metadata!C605,11,1)=" ",IFERROR(INT(MID(metadata!C605,12,1))&gt;=0,FALSE),IFERROR(INT(MID(metadata!C605,12,1))&lt;=2,FALSE),NOT(MID(metadata!C605,13,1)=""),IFERROR(INT(MID(metadata!C605,12,2))&gt;=0,FALSE),IFERROR(INT(MID(metadata!C605,12,2))&lt;=23,FALSE)), OR(MID(metadata!C605,14,1)="", AND(AND(MID(metadata!C605,14,1)=":",IFERROR(INT(MID(metadata!C605,15,1))&gt;=0,FALSE),IFERROR(INT(MID(metadata!C605,15,1))&lt;=5,FALSE),NOT(MID(metadata!C605,16,1)=""),IFERROR(INT(MID(metadata!C605,15,2))&gt;=0,FALSE),IFERROR(INT(MID(metadata!C605,15,2))&lt;=59,FALSE)), OR(MID(metadata!C605,17,1)="", AND(AND(MID(metadata!C605,17,1)=":",IFERROR(INT(MID(metadata!C605,18,1))&gt;=0,FALSE),IFERROR(INT(MID(metadata!C605,18,1))&lt;=5,FALSE),NOT(MID(metadata!C605,19,1)=""),IFERROR(INT(MID(metadata!C605,18,2))&gt;=0,FALSE),IFERROR(INT(MID(metadata!C605,18,2))&lt;=59,FALSE)), LEN(metadata!C605)&lt;=19)))))))))))))</f>
        <v>0</v>
      </c>
      <c r="AO605" t="b">
        <f>AND(IF(metadata!D605="",FALSE,TRUE),EXACT(metadata!D605,"Not applicable"))</f>
        <v>0</v>
      </c>
      <c r="AP605" t="b">
        <f>IF(metadata!E605="",FALSE,TRUE)</f>
        <v>0</v>
      </c>
      <c r="AQ605" t="b">
        <f>OR(AND(IF(metadata!F605="",FALSE,TRUE),OR(EXACT(metadata!F605,"missing: not collected"),EXACT(metadata!F605,"missing: not provided"))),AND(IF(metadata!F605="",FALSE,TRUE),OR(EXACT(metadata!F605,"TRUE"),EXACT(metadata!F605,"FALSE"))))</f>
        <v>0</v>
      </c>
      <c r="AR605" t="b">
        <f>OR(AND(IF(metadata!G605="",FALSE,TRUE),OR(EXACT(metadata!G605,"missing: not collected"),EXACT(metadata!G605,"missing: not provided"),EXACT(metadata!G605,"missing: restricted access"))),AND(IF(metadata!G605="",FALSE,ISNUMBER(VALUE(metadata!G605))),metadata!G605&gt;=-413))</f>
        <v>0</v>
      </c>
      <c r="AS605" t="b">
        <f>AND(IF(metadata!H605="",FALSE,TRUE),EXACT(metadata!H605,"meters"))</f>
        <v>0</v>
      </c>
      <c r="AT605" t="b">
        <f>AND(IF(metadata!I605="",FALSE,TRUE),OR(EXACT(metadata!I605,"Host-associated"),EXACT(metadata!I605,"Free-living")))</f>
        <v>0</v>
      </c>
      <c r="AU605" t="b">
        <f>AND(IF(metadata!J605="",FALSE,TRUE),OR(EXACT(metadata!J605,"Animal"),EXACT(metadata!J605,"Fungus"),EXACT(metadata!J605,"Plant"),EXACT(metadata!J605,"Saline"),EXACT(metadata!J605,"Non-saline")))</f>
        <v>0</v>
      </c>
      <c r="AV605" t="b">
        <f>AND(IF(metadata!K605="",FALSE,TRUE),OR(EXACT(metadata!K605,"Plant secretion"),EXACT(metadata!K605,"Plant rhizosphere"),EXACT(metadata!K605,"Plant surface"),EXACT(metadata!K605,"Plant corpus"),EXACT(metadata!K605,"Fungus surface"),EXACT(metadata!K605,"Fungus corpus"),EXACT(metadata!K605,"Animal surface"),EXACT(metadata!K605,"Animal proximal gut"),EXACT(metadata!K605,"Animal corpus"),EXACT(metadata!K605,"Animal distal gut"),EXACT(metadata!K605,"Animal secretion"),EXACT(metadata!K605,"Sub-surface (non-saline)"),EXACT(metadata!K605,"Surface (non-saline)"),EXACT(metadata!K605,"Water (non-saline)"),EXACT(metadata!K605,"Soil (non-saline)"),EXACT(metadata!K605,"Aerosol (non-saline)"),EXACT(metadata!K605,"Sediment (non-saline)"),EXACT(metadata!K605,"Surface (saline)"),EXACT(metadata!K605,"Water (saline)"),EXACT(metadata!K605,"Hypersaline (saline)"),EXACT(metadata!K605,"Aerosol (saline)"),EXACT(metadata!K605,"Sediment (saline)")))</f>
        <v>0</v>
      </c>
      <c r="AW605" t="b">
        <f>IF(metadata!L605="",FALSE,TRUE)</f>
        <v>0</v>
      </c>
      <c r="AX605" t="b">
        <f>IF(metadata!M605="",FALSE,TRUE)</f>
        <v>0</v>
      </c>
      <c r="AY605" t="b">
        <f>IF(metadata!N605="",FALSE,TRUE)</f>
        <v>0</v>
      </c>
      <c r="AZ605" t="b">
        <f>OR(AND(IF(metadata!O605="",FALSE,TRUE),OR(EXACT(metadata!O605,"missing: not collected"),EXACT(metadata!O605,"missing: not provided"),EXACT(metadata!O605,"missing: restricted access"))),AND(IF(metadata!O605="",FALSE,TRUE),OR(EXACT(metadata!O605,"air"),EXACT(metadata!O605,"built environment"),EXACT(metadata!O605,"host-associated"),EXACT(metadata!O605,"human-associated"),EXACT(metadata!O605,"human-skin"),EXACT(metadata!O605,"human-oral"),EXACT(metadata!O605,"human-gut"),EXACT(metadata!O605,"human-vaginal"),EXACT(metadata!O605,"microbial mat/biofilm"),EXACT(metadata!O605,"misc environment"),EXACT(metadata!O605,"plant-associated"),EXACT(metadata!O605,"sediment"),EXACT(metadata!O605,"soil"),EXACT(metadata!O605,"wastewater/sludge"),EXACT(metadata!O605,"water"))))</f>
        <v>0</v>
      </c>
      <c r="BA605" t="b">
        <f>IF(metadata!P605="",FALSE,TRUE)</f>
        <v>0</v>
      </c>
      <c r="BB605" t="b">
        <f>IF(metadata!Q605="",FALSE,TRUE)</f>
        <v>0</v>
      </c>
      <c r="BC605" t="b">
        <f>OR(AND(IF(metadata!R605="",FALSE,TRUE),OR(EXACT(metadata!R605,"missing: not collected"),EXACT(metadata!R605,"missing: not provided"),EXACT(metadata!R605,"missing: restricted access"))),AND(IF(metadata!R605="",FALSE,ISNUMBER(VALUE(metadata!R605))),metadata!R605&gt;=-90,metadata!R605&lt;=90))</f>
        <v>0</v>
      </c>
      <c r="BD605" t="b">
        <f>AND(IF(metadata!S605="",FALSE,TRUE),EXACT(metadata!S605,"Decimal degrees"))</f>
        <v>0</v>
      </c>
      <c r="BE605" t="b">
        <f>OR(AND(IF(metadata!T605="",FALSE,TRUE),OR(EXACT(metadata!T605,"missing: not collected"),EXACT(metadata!T605,"missing: not provided"),EXACT(metadata!T605,"missing: restricted access"))),AND(IF(metadata!T605="",FALSE,ISNUMBER(VALUE(metadata!T605))),metadata!T605&gt;=-180,metadata!T605&lt;=180))</f>
        <v>0</v>
      </c>
      <c r="BF605" t="b">
        <f>AND(IF(metadata!U605="",FALSE,TRUE),EXACT(metadata!U605,"Decimal degrees"))</f>
        <v>0</v>
      </c>
      <c r="BG605" t="b">
        <f>IF(metadata!V605="",FALSE,TRUE)</f>
        <v>0</v>
      </c>
      <c r="BH605" t="b">
        <f>OR(AND(IF(metadata!W605="",FALSE,TRUE),OR(EXACT(metadata!W605,"missing: not collected"),EXACT(metadata!W605,"missing: not provided"),EXACT(metadata!W605,"missing: restricted access"))),AND(IF(metadata!W605="",FALSE,TRUE),OR(EXACT(metadata!W605,"TRUE"),EXACT(metadata!W605,"FALSE"))))</f>
        <v>0</v>
      </c>
      <c r="BI605" t="b">
        <f>AND(IF(metadata!X605="",FALSE,TRUE),EXACT(metadata!X605,"other"))</f>
        <v>0</v>
      </c>
      <c r="BJ605" t="b">
        <f>IF(metadata!Y605="",FALSE,TRUE)</f>
        <v>0</v>
      </c>
      <c r="BK605" t="b">
        <f>OR(AND(IF(metadata!Z605="",FALSE,TRUE),OR(EXACT(metadata!Z605,"missing: not collected"),EXACT(metadata!Z605,"missing: not provided"))),AND(IF(metadata!Z605="",FALSE,IF(ISERROR(INT(metadata!Z605)),FALSE,INT(metadata!Z605)=metadata!Z605)),metadata!Z605&gt;0))</f>
        <v>0</v>
      </c>
      <c r="BL605" t="b">
        <f>AND(IF(metadata!AA605="",FALSE,TRUE),EXACT(metadata!AA605,"Not applicable"))</f>
        <v>0</v>
      </c>
      <c r="BM605" t="b">
        <f>IF(metadata!AB605="",FALSE,TRUE)</f>
        <v>0</v>
      </c>
    </row>
    <row r="606" spans="1:65" x14ac:dyDescent="0.2">
      <c r="A606" s="5" t="str">
        <f ca="1">IF(B606=" "," ",HYPERLINK(CONCATENATE("#metadata!",ADDRESS(INDEX($AH$2:$AH$1001,MATCH(ROWS($AF$2:AF606),$AF$2:$AF$1001,0),0),1)),INDEX($AK$2:$AK$1001,MATCH(ROWS($AF$2:AF606),$AF$2:$AF$1001,0),0)))</f>
        <v xml:space="preserve"> </v>
      </c>
      <c r="B606" s="4" t="str">
        <f ca="1">IF(OR(INDEX($AG$2:$AG$1001,MATCH(ROWS($AF$2:AF606),$AF$2:$AF$1001,0),1)&gt;=100000,INDEX($AM$1005:$BM$1005,1,MATCH(COLUMNS($AM$1006:AM1006),$AM$1006:$BM$1006,0))&gt;=100000), " ",IF(INDEX($AM$2:$BM$1001,MATCH(ROWS($AF$2:AF606),$AF$2:$AF$1001,0),MATCH(COLUMNS($AM$1006:AM1006),$AM$1006:$BM$1006,0)), HYPERLINK("#",""), HYPERLINK(CONCATENATE("#metadata!", ADDRESS(INDEX($AH$2:$AH$1001,MATCH(ROWS($AF$2:AF606),$AF$2:$AF$1001,0),0), INDEX($AM$1004:$BM$1004,1,MATCH(COLUMNS($AM$1006:AM1006),$AM$1006:$BM$1006,0)))),"Fix")))</f>
        <v xml:space="preserve"> </v>
      </c>
      <c r="C606" s="4" t="str">
        <f ca="1">IF(OR(INDEX($AG$2:$AG$1001,MATCH(ROWS($AF$2:AF606),$AF$2:$AF$1001,0),1)&gt;=100000,INDEX($AM$1005:$BM$1005,1,MATCH(COLUMNS($AM$1006:AN1006),$AM$1006:$BM$1006,0))&gt;=100000), " ",IF(INDEX($AM$2:$BM$1001,MATCH(ROWS($AF$2:AF606),$AF$2:$AF$1001,0),MATCH(COLUMNS($AM$1006:AN1006),$AM$1006:$BM$1006,0)), HYPERLINK("#",""), HYPERLINK(CONCATENATE("#metadata!", ADDRESS(INDEX($AH$2:$AH$1001,MATCH(ROWS($AF$2:AF606),$AF$2:$AF$1001,0),0), INDEX($AM$1004:$BM$1004,1,MATCH(COLUMNS($AM$1006:AN1006),$AM$1006:$BM$1006,0)))),"Fix")))</f>
        <v xml:space="preserve"> </v>
      </c>
      <c r="D606" s="4" t="str">
        <f ca="1">IF(OR(INDEX($AG$2:$AG$1001,MATCH(ROWS($AF$2:AF606),$AF$2:$AF$1001,0),1)&gt;=100000,INDEX($AM$1005:$BM$1005,1,MATCH(COLUMNS($AM$1006:AO1006),$AM$1006:$BM$1006,0))&gt;=100000), " ",IF(INDEX($AM$2:$BM$1001,MATCH(ROWS($AF$2:AF606),$AF$2:$AF$1001,0),MATCH(COLUMNS($AM$1006:AO1006),$AM$1006:$BM$1006,0)), HYPERLINK("#",""), HYPERLINK(CONCATENATE("#metadata!", ADDRESS(INDEX($AH$2:$AH$1001,MATCH(ROWS($AF$2:AF606),$AF$2:$AF$1001,0),0), INDEX($AM$1004:$BM$1004,1,MATCH(COLUMNS($AM$1006:AO1006),$AM$1006:$BM$1006,0)))),"Fix")))</f>
        <v xml:space="preserve"> </v>
      </c>
      <c r="E606" s="4" t="str">
        <f ca="1">IF(OR(INDEX($AG$2:$AG$1001,MATCH(ROWS($AF$2:AF606),$AF$2:$AF$1001,0),1)&gt;=100000,INDEX($AM$1005:$BM$1005,1,MATCH(COLUMNS($AM$1006:AP1006),$AM$1006:$BM$1006,0))&gt;=100000), " ",IF(INDEX($AM$2:$BM$1001,MATCH(ROWS($AF$2:AF606),$AF$2:$AF$1001,0),MATCH(COLUMNS($AM$1006:AP1006),$AM$1006:$BM$1006,0)), HYPERLINK("#",""), HYPERLINK(CONCATENATE("#metadata!", ADDRESS(INDEX($AH$2:$AH$1001,MATCH(ROWS($AF$2:AF606),$AF$2:$AF$1001,0),0), INDEX($AM$1004:$BM$1004,1,MATCH(COLUMNS($AM$1006:AP1006),$AM$1006:$BM$1006,0)))),"Fix")))</f>
        <v xml:space="preserve"> </v>
      </c>
      <c r="F606" s="4" t="str">
        <f ca="1">IF(OR(INDEX($AG$2:$AG$1001,MATCH(ROWS($AF$2:AF606),$AF$2:$AF$1001,0),1)&gt;=100000,INDEX($AM$1005:$BM$1005,1,MATCH(COLUMNS($AM$1006:AQ1006),$AM$1006:$BM$1006,0))&gt;=100000), " ",IF(INDEX($AM$2:$BM$1001,MATCH(ROWS($AF$2:AF606),$AF$2:$AF$1001,0),MATCH(COLUMNS($AM$1006:AQ1006),$AM$1006:$BM$1006,0)), HYPERLINK("#",""), HYPERLINK(CONCATENATE("#metadata!", ADDRESS(INDEX($AH$2:$AH$1001,MATCH(ROWS($AF$2:AF606),$AF$2:$AF$1001,0),0), INDEX($AM$1004:$BM$1004,1,MATCH(COLUMNS($AM$1006:AQ1006),$AM$1006:$BM$1006,0)))),"Fix")))</f>
        <v xml:space="preserve"> </v>
      </c>
      <c r="G606" s="4" t="str">
        <f ca="1">IF(OR(INDEX($AG$2:$AG$1001,MATCH(ROWS($AF$2:AF606),$AF$2:$AF$1001,0),1)&gt;=100000,INDEX($AM$1005:$BM$1005,1,MATCH(COLUMNS($AM$1006:AR1006),$AM$1006:$BM$1006,0))&gt;=100000), " ",IF(INDEX($AM$2:$BM$1001,MATCH(ROWS($AF$2:AF606),$AF$2:$AF$1001,0),MATCH(COLUMNS($AM$1006:AR1006),$AM$1006:$BM$1006,0)), HYPERLINK("#",""), HYPERLINK(CONCATENATE("#metadata!", ADDRESS(INDEX($AH$2:$AH$1001,MATCH(ROWS($AF$2:AF606),$AF$2:$AF$1001,0),0), INDEX($AM$1004:$BM$1004,1,MATCH(COLUMNS($AM$1006:AR1006),$AM$1006:$BM$1006,0)))),"Fix")))</f>
        <v xml:space="preserve"> </v>
      </c>
      <c r="H606" s="4" t="str">
        <f ca="1">IF(OR(INDEX($AG$2:$AG$1001,MATCH(ROWS($AF$2:AF606),$AF$2:$AF$1001,0),1)&gt;=100000,INDEX($AM$1005:$BM$1005,1,MATCH(COLUMNS($AM$1006:AS1006),$AM$1006:$BM$1006,0))&gt;=100000), " ",IF(INDEX($AM$2:$BM$1001,MATCH(ROWS($AF$2:AF606),$AF$2:$AF$1001,0),MATCH(COLUMNS($AM$1006:AS1006),$AM$1006:$BM$1006,0)), HYPERLINK("#",""), HYPERLINK(CONCATENATE("#metadata!", ADDRESS(INDEX($AH$2:$AH$1001,MATCH(ROWS($AF$2:AF606),$AF$2:$AF$1001,0),0), INDEX($AM$1004:$BM$1004,1,MATCH(COLUMNS($AM$1006:AS1006),$AM$1006:$BM$1006,0)))),"Fix")))</f>
        <v xml:space="preserve"> </v>
      </c>
      <c r="I606" s="4" t="str">
        <f ca="1">IF(OR(INDEX($AG$2:$AG$1001,MATCH(ROWS($AF$2:AF606),$AF$2:$AF$1001,0),1)&gt;=100000,INDEX($AM$1005:$BM$1005,1,MATCH(COLUMNS($AM$1006:AT1006),$AM$1006:$BM$1006,0))&gt;=100000), " ",IF(INDEX($AM$2:$BM$1001,MATCH(ROWS($AF$2:AF606),$AF$2:$AF$1001,0),MATCH(COLUMNS($AM$1006:AT1006),$AM$1006:$BM$1006,0)), HYPERLINK("#",""), HYPERLINK(CONCATENATE("#metadata!", ADDRESS(INDEX($AH$2:$AH$1001,MATCH(ROWS($AF$2:AF606),$AF$2:$AF$1001,0),0), INDEX($AM$1004:$BM$1004,1,MATCH(COLUMNS($AM$1006:AT1006),$AM$1006:$BM$1006,0)))),"Fix")))</f>
        <v xml:space="preserve"> </v>
      </c>
      <c r="J606" s="4" t="str">
        <f ca="1">IF(OR(INDEX($AG$2:$AG$1001,MATCH(ROWS($AF$2:AF606),$AF$2:$AF$1001,0),1)&gt;=100000,INDEX($AM$1005:$BM$1005,1,MATCH(COLUMNS($AM$1006:AU1006),$AM$1006:$BM$1006,0))&gt;=100000), " ",IF(INDEX($AM$2:$BM$1001,MATCH(ROWS($AF$2:AF606),$AF$2:$AF$1001,0),MATCH(COLUMNS($AM$1006:AU1006),$AM$1006:$BM$1006,0)), HYPERLINK("#",""), HYPERLINK(CONCATENATE("#metadata!", ADDRESS(INDEX($AH$2:$AH$1001,MATCH(ROWS($AF$2:AF606),$AF$2:$AF$1001,0),0), INDEX($AM$1004:$BM$1004,1,MATCH(COLUMNS($AM$1006:AU1006),$AM$1006:$BM$1006,0)))),"Fix")))</f>
        <v xml:space="preserve"> </v>
      </c>
      <c r="K606" s="4" t="str">
        <f ca="1">IF(OR(INDEX($AG$2:$AG$1001,MATCH(ROWS($AF$2:AF606),$AF$2:$AF$1001,0),1)&gt;=100000,INDEX($AM$1005:$BM$1005,1,MATCH(COLUMNS($AM$1006:AV1006),$AM$1006:$BM$1006,0))&gt;=100000), " ",IF(INDEX($AM$2:$BM$1001,MATCH(ROWS($AF$2:AF606),$AF$2:$AF$1001,0),MATCH(COLUMNS($AM$1006:AV1006),$AM$1006:$BM$1006,0)), HYPERLINK("#",""), HYPERLINK(CONCATENATE("#metadata!", ADDRESS(INDEX($AH$2:$AH$1001,MATCH(ROWS($AF$2:AF606),$AF$2:$AF$1001,0),0), INDEX($AM$1004:$BM$1004,1,MATCH(COLUMNS($AM$1006:AV1006),$AM$1006:$BM$1006,0)))),"Fix")))</f>
        <v xml:space="preserve"> </v>
      </c>
      <c r="L606" s="4" t="str">
        <f ca="1">IF(OR(INDEX($AG$2:$AG$1001,MATCH(ROWS($AF$2:AF606),$AF$2:$AF$1001,0),1)&gt;=100000,INDEX($AM$1005:$BM$1005,1,MATCH(COLUMNS($AM$1006:AW1006),$AM$1006:$BM$1006,0))&gt;=100000), " ",IF(INDEX($AM$2:$BM$1001,MATCH(ROWS($AF$2:AF606),$AF$2:$AF$1001,0),MATCH(COLUMNS($AM$1006:AW1006),$AM$1006:$BM$1006,0)), HYPERLINK("#",""), HYPERLINK(CONCATENATE("#metadata!", ADDRESS(INDEX($AH$2:$AH$1001,MATCH(ROWS($AF$2:AF606),$AF$2:$AF$1001,0),0), INDEX($AM$1004:$BM$1004,1,MATCH(COLUMNS($AM$1006:AW1006),$AM$1006:$BM$1006,0)))),"Fix")))</f>
        <v xml:space="preserve"> </v>
      </c>
      <c r="M606" s="4" t="str">
        <f ca="1">IF(OR(INDEX($AG$2:$AG$1001,MATCH(ROWS($AF$2:AF606),$AF$2:$AF$1001,0),1)&gt;=100000,INDEX($AM$1005:$BM$1005,1,MATCH(COLUMNS($AM$1006:AX1006),$AM$1006:$BM$1006,0))&gt;=100000), " ",IF(INDEX($AM$2:$BM$1001,MATCH(ROWS($AF$2:AF606),$AF$2:$AF$1001,0),MATCH(COLUMNS($AM$1006:AX1006),$AM$1006:$BM$1006,0)), HYPERLINK("#",""), HYPERLINK(CONCATENATE("#metadata!", ADDRESS(INDEX($AH$2:$AH$1001,MATCH(ROWS($AF$2:AF606),$AF$2:$AF$1001,0),0), INDEX($AM$1004:$BM$1004,1,MATCH(COLUMNS($AM$1006:AX1006),$AM$1006:$BM$1006,0)))),"Fix")))</f>
        <v xml:space="preserve"> </v>
      </c>
      <c r="N606" s="4" t="str">
        <f ca="1">IF(OR(INDEX($AG$2:$AG$1001,MATCH(ROWS($AF$2:AF606),$AF$2:$AF$1001,0),1)&gt;=100000,INDEX($AM$1005:$BM$1005,1,MATCH(COLUMNS($AM$1006:AY1006),$AM$1006:$BM$1006,0))&gt;=100000), " ",IF(INDEX($AM$2:$BM$1001,MATCH(ROWS($AF$2:AF606),$AF$2:$AF$1001,0),MATCH(COLUMNS($AM$1006:AY1006),$AM$1006:$BM$1006,0)), HYPERLINK("#",""), HYPERLINK(CONCATENATE("#metadata!", ADDRESS(INDEX($AH$2:$AH$1001,MATCH(ROWS($AF$2:AF606),$AF$2:$AF$1001,0),0), INDEX($AM$1004:$BM$1004,1,MATCH(COLUMNS($AM$1006:AY1006),$AM$1006:$BM$1006,0)))),"Fix")))</f>
        <v xml:space="preserve"> </v>
      </c>
      <c r="O606" s="4" t="str">
        <f ca="1">IF(OR(INDEX($AG$2:$AG$1001,MATCH(ROWS($AF$2:AF606),$AF$2:$AF$1001,0),1)&gt;=100000,INDEX($AM$1005:$BM$1005,1,MATCH(COLUMNS($AM$1006:AZ1006),$AM$1006:$BM$1006,0))&gt;=100000), " ",IF(INDEX($AM$2:$BM$1001,MATCH(ROWS($AF$2:AF606),$AF$2:$AF$1001,0),MATCH(COLUMNS($AM$1006:AZ1006),$AM$1006:$BM$1006,0)), HYPERLINK("#",""), HYPERLINK(CONCATENATE("#metadata!", ADDRESS(INDEX($AH$2:$AH$1001,MATCH(ROWS($AF$2:AF606),$AF$2:$AF$1001,0),0), INDEX($AM$1004:$BM$1004,1,MATCH(COLUMNS($AM$1006:AZ1006),$AM$1006:$BM$1006,0)))),"Fix")))</f>
        <v xml:space="preserve"> </v>
      </c>
      <c r="P606" s="4" t="str">
        <f ca="1">IF(OR(INDEX($AG$2:$AG$1001,MATCH(ROWS($AF$2:AF606),$AF$2:$AF$1001,0),1)&gt;=100000,INDEX($AM$1005:$BM$1005,1,MATCH(COLUMNS($AM$1006:BA1006),$AM$1006:$BM$1006,0))&gt;=100000), " ",IF(INDEX($AM$2:$BM$1001,MATCH(ROWS($AF$2:AF606),$AF$2:$AF$1001,0),MATCH(COLUMNS($AM$1006:BA1006),$AM$1006:$BM$1006,0)), HYPERLINK("#",""), HYPERLINK(CONCATENATE("#metadata!", ADDRESS(INDEX($AH$2:$AH$1001,MATCH(ROWS($AF$2:AF606),$AF$2:$AF$1001,0),0), INDEX($AM$1004:$BM$1004,1,MATCH(COLUMNS($AM$1006:BA1006),$AM$1006:$BM$1006,0)))),"Fix")))</f>
        <v xml:space="preserve"> </v>
      </c>
      <c r="Q606" s="4" t="str">
        <f ca="1">IF(OR(INDEX($AG$2:$AG$1001,MATCH(ROWS($AF$2:AF606),$AF$2:$AF$1001,0),1)&gt;=100000,INDEX($AM$1005:$BM$1005,1,MATCH(COLUMNS($AM$1006:BB1006),$AM$1006:$BM$1006,0))&gt;=100000), " ",IF(INDEX($AM$2:$BM$1001,MATCH(ROWS($AF$2:AF606),$AF$2:$AF$1001,0),MATCH(COLUMNS($AM$1006:BB1006),$AM$1006:$BM$1006,0)), HYPERLINK("#",""), HYPERLINK(CONCATENATE("#metadata!", ADDRESS(INDEX($AH$2:$AH$1001,MATCH(ROWS($AF$2:AF606),$AF$2:$AF$1001,0),0), INDEX($AM$1004:$BM$1004,1,MATCH(COLUMNS($AM$1006:BB1006),$AM$1006:$BM$1006,0)))),"Fix")))</f>
        <v xml:space="preserve"> </v>
      </c>
      <c r="R606" s="4" t="str">
        <f ca="1">IF(OR(INDEX($AG$2:$AG$1001,MATCH(ROWS($AF$2:AF606),$AF$2:$AF$1001,0),1)&gt;=100000,INDEX($AM$1005:$BM$1005,1,MATCH(COLUMNS($AM$1006:BC1006),$AM$1006:$BM$1006,0))&gt;=100000), " ",IF(INDEX($AM$2:$BM$1001,MATCH(ROWS($AF$2:AF606),$AF$2:$AF$1001,0),MATCH(COLUMNS($AM$1006:BC1006),$AM$1006:$BM$1006,0)), HYPERLINK("#",""), HYPERLINK(CONCATENATE("#metadata!", ADDRESS(INDEX($AH$2:$AH$1001,MATCH(ROWS($AF$2:AF606),$AF$2:$AF$1001,0),0), INDEX($AM$1004:$BM$1004,1,MATCH(COLUMNS($AM$1006:BC1006),$AM$1006:$BM$1006,0)))),"Fix")))</f>
        <v xml:space="preserve"> </v>
      </c>
      <c r="S606" s="4" t="str">
        <f ca="1">IF(OR(INDEX($AG$2:$AG$1001,MATCH(ROWS($AF$2:AF606),$AF$2:$AF$1001,0),1)&gt;=100000,INDEX($AM$1005:$BM$1005,1,MATCH(COLUMNS($AM$1006:BD1006),$AM$1006:$BM$1006,0))&gt;=100000), " ",IF(INDEX($AM$2:$BM$1001,MATCH(ROWS($AF$2:AF606),$AF$2:$AF$1001,0),MATCH(COLUMNS($AM$1006:BD1006),$AM$1006:$BM$1006,0)), HYPERLINK("#",""), HYPERLINK(CONCATENATE("#metadata!", ADDRESS(INDEX($AH$2:$AH$1001,MATCH(ROWS($AF$2:AF606),$AF$2:$AF$1001,0),0), INDEX($AM$1004:$BM$1004,1,MATCH(COLUMNS($AM$1006:BD1006),$AM$1006:$BM$1006,0)))),"Fix")))</f>
        <v xml:space="preserve"> </v>
      </c>
      <c r="T606" s="4" t="str">
        <f ca="1">IF(OR(INDEX($AG$2:$AG$1001,MATCH(ROWS($AF$2:AF606),$AF$2:$AF$1001,0),1)&gt;=100000,INDEX($AM$1005:$BM$1005,1,MATCH(COLUMNS($AM$1006:BE1006),$AM$1006:$BM$1006,0))&gt;=100000), " ",IF(INDEX($AM$2:$BM$1001,MATCH(ROWS($AF$2:AF606),$AF$2:$AF$1001,0),MATCH(COLUMNS($AM$1006:BE1006),$AM$1006:$BM$1006,0)), HYPERLINK("#",""), HYPERLINK(CONCATENATE("#metadata!", ADDRESS(INDEX($AH$2:$AH$1001,MATCH(ROWS($AF$2:AF606),$AF$2:$AF$1001,0),0), INDEX($AM$1004:$BM$1004,1,MATCH(COLUMNS($AM$1006:BE1006),$AM$1006:$BM$1006,0)))),"Fix")))</f>
        <v xml:space="preserve"> </v>
      </c>
      <c r="U606" s="4" t="str">
        <f ca="1">IF(OR(INDEX($AG$2:$AG$1001,MATCH(ROWS($AF$2:AF606),$AF$2:$AF$1001,0),1)&gt;=100000,INDEX($AM$1005:$BM$1005,1,MATCH(COLUMNS($AM$1006:BF1006),$AM$1006:$BM$1006,0))&gt;=100000), " ",IF(INDEX($AM$2:$BM$1001,MATCH(ROWS($AF$2:AF606),$AF$2:$AF$1001,0),MATCH(COLUMNS($AM$1006:BF1006),$AM$1006:$BM$1006,0)), HYPERLINK("#",""), HYPERLINK(CONCATENATE("#metadata!", ADDRESS(INDEX($AH$2:$AH$1001,MATCH(ROWS($AF$2:AF606),$AF$2:$AF$1001,0),0), INDEX($AM$1004:$BM$1004,1,MATCH(COLUMNS($AM$1006:BF1006),$AM$1006:$BM$1006,0)))),"Fix")))</f>
        <v xml:space="preserve"> </v>
      </c>
      <c r="V606" s="4" t="str">
        <f ca="1">IF(OR(INDEX($AG$2:$AG$1001,MATCH(ROWS($AF$2:AF606),$AF$2:$AF$1001,0),1)&gt;=100000,INDEX($AM$1005:$BM$1005,1,MATCH(COLUMNS($AM$1006:BG1006),$AM$1006:$BM$1006,0))&gt;=100000), " ",IF(INDEX($AM$2:$BM$1001,MATCH(ROWS($AF$2:AF606),$AF$2:$AF$1001,0),MATCH(COLUMNS($AM$1006:BG1006),$AM$1006:$BM$1006,0)), HYPERLINK("#",""), HYPERLINK(CONCATENATE("#metadata!", ADDRESS(INDEX($AH$2:$AH$1001,MATCH(ROWS($AF$2:AF606),$AF$2:$AF$1001,0),0), INDEX($AM$1004:$BM$1004,1,MATCH(COLUMNS($AM$1006:BG1006),$AM$1006:$BM$1006,0)))),"Fix")))</f>
        <v xml:space="preserve"> </v>
      </c>
      <c r="W606" s="4" t="str">
        <f ca="1">IF(OR(INDEX($AG$2:$AG$1001,MATCH(ROWS($AF$2:AF606),$AF$2:$AF$1001,0),1)&gt;=100000,INDEX($AM$1005:$BM$1005,1,MATCH(COLUMNS($AM$1006:BH1006),$AM$1006:$BM$1006,0))&gt;=100000), " ",IF(INDEX($AM$2:$BM$1001,MATCH(ROWS($AF$2:AF606),$AF$2:$AF$1001,0),MATCH(COLUMNS($AM$1006:BH1006),$AM$1006:$BM$1006,0)), HYPERLINK("#",""), HYPERLINK(CONCATENATE("#metadata!", ADDRESS(INDEX($AH$2:$AH$1001,MATCH(ROWS($AF$2:AF606),$AF$2:$AF$1001,0),0), INDEX($AM$1004:$BM$1004,1,MATCH(COLUMNS($AM$1006:BH1006),$AM$1006:$BM$1006,0)))),"Fix")))</f>
        <v xml:space="preserve"> </v>
      </c>
      <c r="X606" s="4" t="str">
        <f ca="1">IF(OR(INDEX($AG$2:$AG$1001,MATCH(ROWS($AF$2:AF606),$AF$2:$AF$1001,0),1)&gt;=100000,INDEX($AM$1005:$BM$1005,1,MATCH(COLUMNS($AM$1006:BI1006),$AM$1006:$BM$1006,0))&gt;=100000), " ",IF(INDEX($AM$2:$BM$1001,MATCH(ROWS($AF$2:AF606),$AF$2:$AF$1001,0),MATCH(COLUMNS($AM$1006:BI1006),$AM$1006:$BM$1006,0)), HYPERLINK("#",""), HYPERLINK(CONCATENATE("#metadata!", ADDRESS(INDEX($AH$2:$AH$1001,MATCH(ROWS($AF$2:AF606),$AF$2:$AF$1001,0),0), INDEX($AM$1004:$BM$1004,1,MATCH(COLUMNS($AM$1006:BI1006),$AM$1006:$BM$1006,0)))),"Fix")))</f>
        <v xml:space="preserve"> </v>
      </c>
      <c r="Y606" s="4" t="str">
        <f ca="1">IF(OR(INDEX($AG$2:$AG$1001,MATCH(ROWS($AF$2:AF606),$AF$2:$AF$1001,0),1)&gt;=100000,INDEX($AM$1005:$BM$1005,1,MATCH(COLUMNS($AM$1006:BJ1006),$AM$1006:$BM$1006,0))&gt;=100000), " ",IF(INDEX($AM$2:$BM$1001,MATCH(ROWS($AF$2:AF606),$AF$2:$AF$1001,0),MATCH(COLUMNS($AM$1006:BJ1006),$AM$1006:$BM$1006,0)), HYPERLINK("#",""), HYPERLINK(CONCATENATE("#metadata!", ADDRESS(INDEX($AH$2:$AH$1001,MATCH(ROWS($AF$2:AF606),$AF$2:$AF$1001,0),0), INDEX($AM$1004:$BM$1004,1,MATCH(COLUMNS($AM$1006:BJ1006),$AM$1006:$BM$1006,0)))),"Fix")))</f>
        <v xml:space="preserve"> </v>
      </c>
      <c r="Z606" s="4" t="str">
        <f ca="1">IF(OR(INDEX($AG$2:$AG$1001,MATCH(ROWS($AF$2:AF606),$AF$2:$AF$1001,0),1)&gt;=100000,INDEX($AM$1005:$BM$1005,1,MATCH(COLUMNS($AM$1006:BK1006),$AM$1006:$BM$1006,0))&gt;=100000), " ",IF(INDEX($AM$2:$BM$1001,MATCH(ROWS($AF$2:AF606),$AF$2:$AF$1001,0),MATCH(COLUMNS($AM$1006:BK1006),$AM$1006:$BM$1006,0)), HYPERLINK("#",""), HYPERLINK(CONCATENATE("#metadata!", ADDRESS(INDEX($AH$2:$AH$1001,MATCH(ROWS($AF$2:AF606),$AF$2:$AF$1001,0),0), INDEX($AM$1004:$BM$1004,1,MATCH(COLUMNS($AM$1006:BK1006),$AM$1006:$BM$1006,0)))),"Fix")))</f>
        <v xml:space="preserve"> </v>
      </c>
      <c r="AA606" s="4" t="str">
        <f ca="1">IF(OR(INDEX($AG$2:$AG$1001,MATCH(ROWS($AF$2:AF606),$AF$2:$AF$1001,0),1)&gt;=100000,INDEX($AM$1005:$BM$1005,1,MATCH(COLUMNS($AM$1006:BL1006),$AM$1006:$BM$1006,0))&gt;=100000), " ",IF(INDEX($AM$2:$BM$1001,MATCH(ROWS($AF$2:AF606),$AF$2:$AF$1001,0),MATCH(COLUMNS($AM$1006:BL1006),$AM$1006:$BM$1006,0)), HYPERLINK("#",""), HYPERLINK(CONCATENATE("#metadata!", ADDRESS(INDEX($AH$2:$AH$1001,MATCH(ROWS($AF$2:AF606),$AF$2:$AF$1001,0),0), INDEX($AM$1004:$BM$1004,1,MATCH(COLUMNS($AM$1006:BL1006),$AM$1006:$BM$1006,0)))),"Fix")))</f>
        <v xml:space="preserve"> </v>
      </c>
      <c r="AB606" s="4" t="str">
        <f ca="1">IF(OR(INDEX($AG$2:$AG$1001,MATCH(ROWS($AF$2:AF606),$AF$2:$AF$1001,0),1)&gt;=100000,INDEX($AM$1005:$BM$1005,1,MATCH(COLUMNS($AM$1006:BM1006),$AM$1006:$BM$1006,0))&gt;=100000), " ",IF(INDEX($AM$2:$BM$1001,MATCH(ROWS($AF$2:AF606),$AF$2:$AF$1001,0),MATCH(COLUMNS($AM$1006:BM1006),$AM$1006:$BM$1006,0)), HYPERLINK("#",""), HYPERLINK(CONCATENATE("#metadata!", ADDRESS(INDEX($AH$2:$AH$1001,MATCH(ROWS($AF$2:AF606),$AF$2:$AF$1001,0),0), INDEX($AM$1004:$BM$1004,1,MATCH(COLUMNS($AM$1006:BM1006),$AM$1006:$BM$1006,0)))),"Fix")))</f>
        <v xml:space="preserve"> </v>
      </c>
      <c r="AF606">
        <v>605</v>
      </c>
      <c r="AG606">
        <v>100606</v>
      </c>
      <c r="AH606">
        <v>606</v>
      </c>
      <c r="AI606" t="b">
        <f t="shared" si="9"/>
        <v>1</v>
      </c>
      <c r="AJ606" t="b">
        <f>COUNTBLANK(metadata!B606:AB606)=COLUMNS(metadata!B606:AB606)</f>
        <v>1</v>
      </c>
      <c r="AK606" t="str">
        <v/>
      </c>
      <c r="AM606" t="b">
        <f ca="1">AND(IF(metadata!B606="",FALSE,TRUE),COUNTIF(metadata!B:B, metadata!B606) = 1,NOT(ISERROR(SUMPRODUCT(SEARCH(MID(metadata!B606,ROW(INDIRECT("1:"&amp;LEN(metadata!B606))), 1),"0123456789abcdefghijklmnopqrstuvwxyzABCDEFGHIJKLMNOPQRSTUVWXYZ.")))))</f>
        <v>0</v>
      </c>
      <c r="AN606" t="b">
        <f ca="1">OR(AND(IF(metadata!C606="",FALSE,TRUE),OR(EXACT(metadata!C606,"missing: not collected"),EXACT(metadata!C606,"missing: not provided"),EXACT(metadata!C606,"missing: restricted access"))),AND(IF(metadata!C606="",FALSE,TRUE),AND(AND(IFERROR(INT(LEFT(metadata!C606,4))&gt;1900,FALSE),IFERROR(INT(LEFT(metadata!C606,4))&lt;=YEAR(NOW()),FALSE)), OR(MID(metadata!C606,5,1)="", AND(AND(MID(metadata!C606,5,1)="-",IFERROR(INT(MID(metadata!C606,6,1))&gt;=0,FALSE),IFERROR(INT(MID(metadata!C606,6,1))&lt;=1,FALSE),NOT(MID(metadata!C606,7,1)=""),IFERROR(INT(MID(metadata!C606,6,2))&gt;=1,FALSE),IFERROR(INT(MID(metadata!C606,6,2))&lt;=12,FALSE)), OR(MID(metadata!C606,8,1)="", AND(AND(MID(metadata!C606,8,1)="-",IFERROR(INT(MID(metadata!C606,9,1))&gt;=0,FALSE),IFERROR(INT(MID(metadata!C606,9,1))&lt;=3,FALSE),NOT(MID(metadata!C606,10,1)=""),IFERROR(INT(MID(metadata!C606,9,2))&gt;=1,FALSE),IFERROR(INT(MID(metadata!C606,9,2))&lt;=31,FALSE)), OR(MID(metadata!C606,11,1)="", AND(AND(MID(metadata!C606,11,1)=" ",IFERROR(INT(MID(metadata!C606,12,1))&gt;=0,FALSE),IFERROR(INT(MID(metadata!C606,12,1))&lt;=2,FALSE),NOT(MID(metadata!C606,13,1)=""),IFERROR(INT(MID(metadata!C606,12,2))&gt;=0,FALSE),IFERROR(INT(MID(metadata!C606,12,2))&lt;=23,FALSE)), OR(MID(metadata!C606,14,1)="", AND(AND(MID(metadata!C606,14,1)=":",IFERROR(INT(MID(metadata!C606,15,1))&gt;=0,FALSE),IFERROR(INT(MID(metadata!C606,15,1))&lt;=5,FALSE),NOT(MID(metadata!C606,16,1)=""),IFERROR(INT(MID(metadata!C606,15,2))&gt;=0,FALSE),IFERROR(INT(MID(metadata!C606,15,2))&lt;=59,FALSE)), OR(MID(metadata!C606,17,1)="", AND(AND(MID(metadata!C606,17,1)=":",IFERROR(INT(MID(metadata!C606,18,1))&gt;=0,FALSE),IFERROR(INT(MID(metadata!C606,18,1))&lt;=5,FALSE),NOT(MID(metadata!C606,19,1)=""),IFERROR(INT(MID(metadata!C606,18,2))&gt;=0,FALSE),IFERROR(INT(MID(metadata!C606,18,2))&lt;=59,FALSE)), LEN(metadata!C606)&lt;=19)))))))))))))</f>
        <v>0</v>
      </c>
      <c r="AO606" t="b">
        <f>AND(IF(metadata!D606="",FALSE,TRUE),EXACT(metadata!D606,"Not applicable"))</f>
        <v>0</v>
      </c>
      <c r="AP606" t="b">
        <f>IF(metadata!E606="",FALSE,TRUE)</f>
        <v>0</v>
      </c>
      <c r="AQ606" t="b">
        <f>OR(AND(IF(metadata!F606="",FALSE,TRUE),OR(EXACT(metadata!F606,"missing: not collected"),EXACT(metadata!F606,"missing: not provided"))),AND(IF(metadata!F606="",FALSE,TRUE),OR(EXACT(metadata!F606,"TRUE"),EXACT(metadata!F606,"FALSE"))))</f>
        <v>0</v>
      </c>
      <c r="AR606" t="b">
        <f>OR(AND(IF(metadata!G606="",FALSE,TRUE),OR(EXACT(metadata!G606,"missing: not collected"),EXACT(metadata!G606,"missing: not provided"),EXACT(metadata!G606,"missing: restricted access"))),AND(IF(metadata!G606="",FALSE,ISNUMBER(VALUE(metadata!G606))),metadata!G606&gt;=-413))</f>
        <v>0</v>
      </c>
      <c r="AS606" t="b">
        <f>AND(IF(metadata!H606="",FALSE,TRUE),EXACT(metadata!H606,"meters"))</f>
        <v>0</v>
      </c>
      <c r="AT606" t="b">
        <f>AND(IF(metadata!I606="",FALSE,TRUE),OR(EXACT(metadata!I606,"Host-associated"),EXACT(metadata!I606,"Free-living")))</f>
        <v>0</v>
      </c>
      <c r="AU606" t="b">
        <f>AND(IF(metadata!J606="",FALSE,TRUE),OR(EXACT(metadata!J606,"Animal"),EXACT(metadata!J606,"Fungus"),EXACT(metadata!J606,"Plant"),EXACT(metadata!J606,"Saline"),EXACT(metadata!J606,"Non-saline")))</f>
        <v>0</v>
      </c>
      <c r="AV606" t="b">
        <f>AND(IF(metadata!K606="",FALSE,TRUE),OR(EXACT(metadata!K606,"Plant secretion"),EXACT(metadata!K606,"Plant rhizosphere"),EXACT(metadata!K606,"Plant surface"),EXACT(metadata!K606,"Plant corpus"),EXACT(metadata!K606,"Fungus surface"),EXACT(metadata!K606,"Fungus corpus"),EXACT(metadata!K606,"Animal surface"),EXACT(metadata!K606,"Animal proximal gut"),EXACT(metadata!K606,"Animal corpus"),EXACT(metadata!K606,"Animal distal gut"),EXACT(metadata!K606,"Animal secretion"),EXACT(metadata!K606,"Sub-surface (non-saline)"),EXACT(metadata!K606,"Surface (non-saline)"),EXACT(metadata!K606,"Water (non-saline)"),EXACT(metadata!K606,"Soil (non-saline)"),EXACT(metadata!K606,"Aerosol (non-saline)"),EXACT(metadata!K606,"Sediment (non-saline)"),EXACT(metadata!K606,"Surface (saline)"),EXACT(metadata!K606,"Water (saline)"),EXACT(metadata!K606,"Hypersaline (saline)"),EXACT(metadata!K606,"Aerosol (saline)"),EXACT(metadata!K606,"Sediment (saline)")))</f>
        <v>0</v>
      </c>
      <c r="AW606" t="b">
        <f>IF(metadata!L606="",FALSE,TRUE)</f>
        <v>0</v>
      </c>
      <c r="AX606" t="b">
        <f>IF(metadata!M606="",FALSE,TRUE)</f>
        <v>0</v>
      </c>
      <c r="AY606" t="b">
        <f>IF(metadata!N606="",FALSE,TRUE)</f>
        <v>0</v>
      </c>
      <c r="AZ606" t="b">
        <f>OR(AND(IF(metadata!O606="",FALSE,TRUE),OR(EXACT(metadata!O606,"missing: not collected"),EXACT(metadata!O606,"missing: not provided"),EXACT(metadata!O606,"missing: restricted access"))),AND(IF(metadata!O606="",FALSE,TRUE),OR(EXACT(metadata!O606,"air"),EXACT(metadata!O606,"built environment"),EXACT(metadata!O606,"host-associated"),EXACT(metadata!O606,"human-associated"),EXACT(metadata!O606,"human-skin"),EXACT(metadata!O606,"human-oral"),EXACT(metadata!O606,"human-gut"),EXACT(metadata!O606,"human-vaginal"),EXACT(metadata!O606,"microbial mat/biofilm"),EXACT(metadata!O606,"misc environment"),EXACT(metadata!O606,"plant-associated"),EXACT(metadata!O606,"sediment"),EXACT(metadata!O606,"soil"),EXACT(metadata!O606,"wastewater/sludge"),EXACT(metadata!O606,"water"))))</f>
        <v>0</v>
      </c>
      <c r="BA606" t="b">
        <f>IF(metadata!P606="",FALSE,TRUE)</f>
        <v>0</v>
      </c>
      <c r="BB606" t="b">
        <f>IF(metadata!Q606="",FALSE,TRUE)</f>
        <v>0</v>
      </c>
      <c r="BC606" t="b">
        <f>OR(AND(IF(metadata!R606="",FALSE,TRUE),OR(EXACT(metadata!R606,"missing: not collected"),EXACT(metadata!R606,"missing: not provided"),EXACT(metadata!R606,"missing: restricted access"))),AND(IF(metadata!R606="",FALSE,ISNUMBER(VALUE(metadata!R606))),metadata!R606&gt;=-90,metadata!R606&lt;=90))</f>
        <v>0</v>
      </c>
      <c r="BD606" t="b">
        <f>AND(IF(metadata!S606="",FALSE,TRUE),EXACT(metadata!S606,"Decimal degrees"))</f>
        <v>0</v>
      </c>
      <c r="BE606" t="b">
        <f>OR(AND(IF(metadata!T606="",FALSE,TRUE),OR(EXACT(metadata!T606,"missing: not collected"),EXACT(metadata!T606,"missing: not provided"),EXACT(metadata!T606,"missing: restricted access"))),AND(IF(metadata!T606="",FALSE,ISNUMBER(VALUE(metadata!T606))),metadata!T606&gt;=-180,metadata!T606&lt;=180))</f>
        <v>0</v>
      </c>
      <c r="BF606" t="b">
        <f>AND(IF(metadata!U606="",FALSE,TRUE),EXACT(metadata!U606,"Decimal degrees"))</f>
        <v>0</v>
      </c>
      <c r="BG606" t="b">
        <f>IF(metadata!V606="",FALSE,TRUE)</f>
        <v>0</v>
      </c>
      <c r="BH606" t="b">
        <f>OR(AND(IF(metadata!W606="",FALSE,TRUE),OR(EXACT(metadata!W606,"missing: not collected"),EXACT(metadata!W606,"missing: not provided"),EXACT(metadata!W606,"missing: restricted access"))),AND(IF(metadata!W606="",FALSE,TRUE),OR(EXACT(metadata!W606,"TRUE"),EXACT(metadata!W606,"FALSE"))))</f>
        <v>0</v>
      </c>
      <c r="BI606" t="b">
        <f>AND(IF(metadata!X606="",FALSE,TRUE),EXACT(metadata!X606,"other"))</f>
        <v>0</v>
      </c>
      <c r="BJ606" t="b">
        <f>IF(metadata!Y606="",FALSE,TRUE)</f>
        <v>0</v>
      </c>
      <c r="BK606" t="b">
        <f>OR(AND(IF(metadata!Z606="",FALSE,TRUE),OR(EXACT(metadata!Z606,"missing: not collected"),EXACT(metadata!Z606,"missing: not provided"))),AND(IF(metadata!Z606="",FALSE,IF(ISERROR(INT(metadata!Z606)),FALSE,INT(metadata!Z606)=metadata!Z606)),metadata!Z606&gt;0))</f>
        <v>0</v>
      </c>
      <c r="BL606" t="b">
        <f>AND(IF(metadata!AA606="",FALSE,TRUE),EXACT(metadata!AA606,"Not applicable"))</f>
        <v>0</v>
      </c>
      <c r="BM606" t="b">
        <f>IF(metadata!AB606="",FALSE,TRUE)</f>
        <v>0</v>
      </c>
    </row>
    <row r="607" spans="1:65" x14ac:dyDescent="0.2">
      <c r="A607" s="5" t="str">
        <f ca="1">IF(B607=" "," ",HYPERLINK(CONCATENATE("#metadata!",ADDRESS(INDEX($AH$2:$AH$1001,MATCH(ROWS($AF$2:AF607),$AF$2:$AF$1001,0),0),1)),INDEX($AK$2:$AK$1001,MATCH(ROWS($AF$2:AF607),$AF$2:$AF$1001,0),0)))</f>
        <v xml:space="preserve"> </v>
      </c>
      <c r="B607" s="4" t="str">
        <f ca="1">IF(OR(INDEX($AG$2:$AG$1001,MATCH(ROWS($AF$2:AF607),$AF$2:$AF$1001,0),1)&gt;=100000,INDEX($AM$1005:$BM$1005,1,MATCH(COLUMNS($AM$1006:AM1006),$AM$1006:$BM$1006,0))&gt;=100000), " ",IF(INDEX($AM$2:$BM$1001,MATCH(ROWS($AF$2:AF607),$AF$2:$AF$1001,0),MATCH(COLUMNS($AM$1006:AM1006),$AM$1006:$BM$1006,0)), HYPERLINK("#",""), HYPERLINK(CONCATENATE("#metadata!", ADDRESS(INDEX($AH$2:$AH$1001,MATCH(ROWS($AF$2:AF607),$AF$2:$AF$1001,0),0), INDEX($AM$1004:$BM$1004,1,MATCH(COLUMNS($AM$1006:AM1006),$AM$1006:$BM$1006,0)))),"Fix")))</f>
        <v xml:space="preserve"> </v>
      </c>
      <c r="C607" s="4" t="str">
        <f ca="1">IF(OR(INDEX($AG$2:$AG$1001,MATCH(ROWS($AF$2:AF607),$AF$2:$AF$1001,0),1)&gt;=100000,INDEX($AM$1005:$BM$1005,1,MATCH(COLUMNS($AM$1006:AN1006),$AM$1006:$BM$1006,0))&gt;=100000), " ",IF(INDEX($AM$2:$BM$1001,MATCH(ROWS($AF$2:AF607),$AF$2:$AF$1001,0),MATCH(COLUMNS($AM$1006:AN1006),$AM$1006:$BM$1006,0)), HYPERLINK("#",""), HYPERLINK(CONCATENATE("#metadata!", ADDRESS(INDEX($AH$2:$AH$1001,MATCH(ROWS($AF$2:AF607),$AF$2:$AF$1001,0),0), INDEX($AM$1004:$BM$1004,1,MATCH(COLUMNS($AM$1006:AN1006),$AM$1006:$BM$1006,0)))),"Fix")))</f>
        <v xml:space="preserve"> </v>
      </c>
      <c r="D607" s="4" t="str">
        <f ca="1">IF(OR(INDEX($AG$2:$AG$1001,MATCH(ROWS($AF$2:AF607),$AF$2:$AF$1001,0),1)&gt;=100000,INDEX($AM$1005:$BM$1005,1,MATCH(COLUMNS($AM$1006:AO1006),$AM$1006:$BM$1006,0))&gt;=100000), " ",IF(INDEX($AM$2:$BM$1001,MATCH(ROWS($AF$2:AF607),$AF$2:$AF$1001,0),MATCH(COLUMNS($AM$1006:AO1006),$AM$1006:$BM$1006,0)), HYPERLINK("#",""), HYPERLINK(CONCATENATE("#metadata!", ADDRESS(INDEX($AH$2:$AH$1001,MATCH(ROWS($AF$2:AF607),$AF$2:$AF$1001,0),0), INDEX($AM$1004:$BM$1004,1,MATCH(COLUMNS($AM$1006:AO1006),$AM$1006:$BM$1006,0)))),"Fix")))</f>
        <v xml:space="preserve"> </v>
      </c>
      <c r="E607" s="4" t="str">
        <f ca="1">IF(OR(INDEX($AG$2:$AG$1001,MATCH(ROWS($AF$2:AF607),$AF$2:$AF$1001,0),1)&gt;=100000,INDEX($AM$1005:$BM$1005,1,MATCH(COLUMNS($AM$1006:AP1006),$AM$1006:$BM$1006,0))&gt;=100000), " ",IF(INDEX($AM$2:$BM$1001,MATCH(ROWS($AF$2:AF607),$AF$2:$AF$1001,0),MATCH(COLUMNS($AM$1006:AP1006),$AM$1006:$BM$1006,0)), HYPERLINK("#",""), HYPERLINK(CONCATENATE("#metadata!", ADDRESS(INDEX($AH$2:$AH$1001,MATCH(ROWS($AF$2:AF607),$AF$2:$AF$1001,0),0), INDEX($AM$1004:$BM$1004,1,MATCH(COLUMNS($AM$1006:AP1006),$AM$1006:$BM$1006,0)))),"Fix")))</f>
        <v xml:space="preserve"> </v>
      </c>
      <c r="F607" s="4" t="str">
        <f ca="1">IF(OR(INDEX($AG$2:$AG$1001,MATCH(ROWS($AF$2:AF607),$AF$2:$AF$1001,0),1)&gt;=100000,INDEX($AM$1005:$BM$1005,1,MATCH(COLUMNS($AM$1006:AQ1006),$AM$1006:$BM$1006,0))&gt;=100000), " ",IF(INDEX($AM$2:$BM$1001,MATCH(ROWS($AF$2:AF607),$AF$2:$AF$1001,0),MATCH(COLUMNS($AM$1006:AQ1006),$AM$1006:$BM$1006,0)), HYPERLINK("#",""), HYPERLINK(CONCATENATE("#metadata!", ADDRESS(INDEX($AH$2:$AH$1001,MATCH(ROWS($AF$2:AF607),$AF$2:$AF$1001,0),0), INDEX($AM$1004:$BM$1004,1,MATCH(COLUMNS($AM$1006:AQ1006),$AM$1006:$BM$1006,0)))),"Fix")))</f>
        <v xml:space="preserve"> </v>
      </c>
      <c r="G607" s="4" t="str">
        <f ca="1">IF(OR(INDEX($AG$2:$AG$1001,MATCH(ROWS($AF$2:AF607),$AF$2:$AF$1001,0),1)&gt;=100000,INDEX($AM$1005:$BM$1005,1,MATCH(COLUMNS($AM$1006:AR1006),$AM$1006:$BM$1006,0))&gt;=100000), " ",IF(INDEX($AM$2:$BM$1001,MATCH(ROWS($AF$2:AF607),$AF$2:$AF$1001,0),MATCH(COLUMNS($AM$1006:AR1006),$AM$1006:$BM$1006,0)), HYPERLINK("#",""), HYPERLINK(CONCATENATE("#metadata!", ADDRESS(INDEX($AH$2:$AH$1001,MATCH(ROWS($AF$2:AF607),$AF$2:$AF$1001,0),0), INDEX($AM$1004:$BM$1004,1,MATCH(COLUMNS($AM$1006:AR1006),$AM$1006:$BM$1006,0)))),"Fix")))</f>
        <v xml:space="preserve"> </v>
      </c>
      <c r="H607" s="4" t="str">
        <f ca="1">IF(OR(INDEX($AG$2:$AG$1001,MATCH(ROWS($AF$2:AF607),$AF$2:$AF$1001,0),1)&gt;=100000,INDEX($AM$1005:$BM$1005,1,MATCH(COLUMNS($AM$1006:AS1006),$AM$1006:$BM$1006,0))&gt;=100000), " ",IF(INDEX($AM$2:$BM$1001,MATCH(ROWS($AF$2:AF607),$AF$2:$AF$1001,0),MATCH(COLUMNS($AM$1006:AS1006),$AM$1006:$BM$1006,0)), HYPERLINK("#",""), HYPERLINK(CONCATENATE("#metadata!", ADDRESS(INDEX($AH$2:$AH$1001,MATCH(ROWS($AF$2:AF607),$AF$2:$AF$1001,0),0), INDEX($AM$1004:$BM$1004,1,MATCH(COLUMNS($AM$1006:AS1006),$AM$1006:$BM$1006,0)))),"Fix")))</f>
        <v xml:space="preserve"> </v>
      </c>
      <c r="I607" s="4" t="str">
        <f ca="1">IF(OR(INDEX($AG$2:$AG$1001,MATCH(ROWS($AF$2:AF607),$AF$2:$AF$1001,0),1)&gt;=100000,INDEX($AM$1005:$BM$1005,1,MATCH(COLUMNS($AM$1006:AT1006),$AM$1006:$BM$1006,0))&gt;=100000), " ",IF(INDEX($AM$2:$BM$1001,MATCH(ROWS($AF$2:AF607),$AF$2:$AF$1001,0),MATCH(COLUMNS($AM$1006:AT1006),$AM$1006:$BM$1006,0)), HYPERLINK("#",""), HYPERLINK(CONCATENATE("#metadata!", ADDRESS(INDEX($AH$2:$AH$1001,MATCH(ROWS($AF$2:AF607),$AF$2:$AF$1001,0),0), INDEX($AM$1004:$BM$1004,1,MATCH(COLUMNS($AM$1006:AT1006),$AM$1006:$BM$1006,0)))),"Fix")))</f>
        <v xml:space="preserve"> </v>
      </c>
      <c r="J607" s="4" t="str">
        <f ca="1">IF(OR(INDEX($AG$2:$AG$1001,MATCH(ROWS($AF$2:AF607),$AF$2:$AF$1001,0),1)&gt;=100000,INDEX($AM$1005:$BM$1005,1,MATCH(COLUMNS($AM$1006:AU1006),$AM$1006:$BM$1006,0))&gt;=100000), " ",IF(INDEX($AM$2:$BM$1001,MATCH(ROWS($AF$2:AF607),$AF$2:$AF$1001,0),MATCH(COLUMNS($AM$1006:AU1006),$AM$1006:$BM$1006,0)), HYPERLINK("#",""), HYPERLINK(CONCATENATE("#metadata!", ADDRESS(INDEX($AH$2:$AH$1001,MATCH(ROWS($AF$2:AF607),$AF$2:$AF$1001,0),0), INDEX($AM$1004:$BM$1004,1,MATCH(COLUMNS($AM$1006:AU1006),$AM$1006:$BM$1006,0)))),"Fix")))</f>
        <v xml:space="preserve"> </v>
      </c>
      <c r="K607" s="4" t="str">
        <f ca="1">IF(OR(INDEX($AG$2:$AG$1001,MATCH(ROWS($AF$2:AF607),$AF$2:$AF$1001,0),1)&gt;=100000,INDEX($AM$1005:$BM$1005,1,MATCH(COLUMNS($AM$1006:AV1006),$AM$1006:$BM$1006,0))&gt;=100000), " ",IF(INDEX($AM$2:$BM$1001,MATCH(ROWS($AF$2:AF607),$AF$2:$AF$1001,0),MATCH(COLUMNS($AM$1006:AV1006),$AM$1006:$BM$1006,0)), HYPERLINK("#",""), HYPERLINK(CONCATENATE("#metadata!", ADDRESS(INDEX($AH$2:$AH$1001,MATCH(ROWS($AF$2:AF607),$AF$2:$AF$1001,0),0), INDEX($AM$1004:$BM$1004,1,MATCH(COLUMNS($AM$1006:AV1006),$AM$1006:$BM$1006,0)))),"Fix")))</f>
        <v xml:space="preserve"> </v>
      </c>
      <c r="L607" s="4" t="str">
        <f ca="1">IF(OR(INDEX($AG$2:$AG$1001,MATCH(ROWS($AF$2:AF607),$AF$2:$AF$1001,0),1)&gt;=100000,INDEX($AM$1005:$BM$1005,1,MATCH(COLUMNS($AM$1006:AW1006),$AM$1006:$BM$1006,0))&gt;=100000), " ",IF(INDEX($AM$2:$BM$1001,MATCH(ROWS($AF$2:AF607),$AF$2:$AF$1001,0),MATCH(COLUMNS($AM$1006:AW1006),$AM$1006:$BM$1006,0)), HYPERLINK("#",""), HYPERLINK(CONCATENATE("#metadata!", ADDRESS(INDEX($AH$2:$AH$1001,MATCH(ROWS($AF$2:AF607),$AF$2:$AF$1001,0),0), INDEX($AM$1004:$BM$1004,1,MATCH(COLUMNS($AM$1006:AW1006),$AM$1006:$BM$1006,0)))),"Fix")))</f>
        <v xml:space="preserve"> </v>
      </c>
      <c r="M607" s="4" t="str">
        <f ca="1">IF(OR(INDEX($AG$2:$AG$1001,MATCH(ROWS($AF$2:AF607),$AF$2:$AF$1001,0),1)&gt;=100000,INDEX($AM$1005:$BM$1005,1,MATCH(COLUMNS($AM$1006:AX1006),$AM$1006:$BM$1006,0))&gt;=100000), " ",IF(INDEX($AM$2:$BM$1001,MATCH(ROWS($AF$2:AF607),$AF$2:$AF$1001,0),MATCH(COLUMNS($AM$1006:AX1006),$AM$1006:$BM$1006,0)), HYPERLINK("#",""), HYPERLINK(CONCATENATE("#metadata!", ADDRESS(INDEX($AH$2:$AH$1001,MATCH(ROWS($AF$2:AF607),$AF$2:$AF$1001,0),0), INDEX($AM$1004:$BM$1004,1,MATCH(COLUMNS($AM$1006:AX1006),$AM$1006:$BM$1006,0)))),"Fix")))</f>
        <v xml:space="preserve"> </v>
      </c>
      <c r="N607" s="4" t="str">
        <f ca="1">IF(OR(INDEX($AG$2:$AG$1001,MATCH(ROWS($AF$2:AF607),$AF$2:$AF$1001,0),1)&gt;=100000,INDEX($AM$1005:$BM$1005,1,MATCH(COLUMNS($AM$1006:AY1006),$AM$1006:$BM$1006,0))&gt;=100000), " ",IF(INDEX($AM$2:$BM$1001,MATCH(ROWS($AF$2:AF607),$AF$2:$AF$1001,0),MATCH(COLUMNS($AM$1006:AY1006),$AM$1006:$BM$1006,0)), HYPERLINK("#",""), HYPERLINK(CONCATENATE("#metadata!", ADDRESS(INDEX($AH$2:$AH$1001,MATCH(ROWS($AF$2:AF607),$AF$2:$AF$1001,0),0), INDEX($AM$1004:$BM$1004,1,MATCH(COLUMNS($AM$1006:AY1006),$AM$1006:$BM$1006,0)))),"Fix")))</f>
        <v xml:space="preserve"> </v>
      </c>
      <c r="O607" s="4" t="str">
        <f ca="1">IF(OR(INDEX($AG$2:$AG$1001,MATCH(ROWS($AF$2:AF607),$AF$2:$AF$1001,0),1)&gt;=100000,INDEX($AM$1005:$BM$1005,1,MATCH(COLUMNS($AM$1006:AZ1006),$AM$1006:$BM$1006,0))&gt;=100000), " ",IF(INDEX($AM$2:$BM$1001,MATCH(ROWS($AF$2:AF607),$AF$2:$AF$1001,0),MATCH(COLUMNS($AM$1006:AZ1006),$AM$1006:$BM$1006,0)), HYPERLINK("#",""), HYPERLINK(CONCATENATE("#metadata!", ADDRESS(INDEX($AH$2:$AH$1001,MATCH(ROWS($AF$2:AF607),$AF$2:$AF$1001,0),0), INDEX($AM$1004:$BM$1004,1,MATCH(COLUMNS($AM$1006:AZ1006),$AM$1006:$BM$1006,0)))),"Fix")))</f>
        <v xml:space="preserve"> </v>
      </c>
      <c r="P607" s="4" t="str">
        <f ca="1">IF(OR(INDEX($AG$2:$AG$1001,MATCH(ROWS($AF$2:AF607),$AF$2:$AF$1001,0),1)&gt;=100000,INDEX($AM$1005:$BM$1005,1,MATCH(COLUMNS($AM$1006:BA1006),$AM$1006:$BM$1006,0))&gt;=100000), " ",IF(INDEX($AM$2:$BM$1001,MATCH(ROWS($AF$2:AF607),$AF$2:$AF$1001,0),MATCH(COLUMNS($AM$1006:BA1006),$AM$1006:$BM$1006,0)), HYPERLINK("#",""), HYPERLINK(CONCATENATE("#metadata!", ADDRESS(INDEX($AH$2:$AH$1001,MATCH(ROWS($AF$2:AF607),$AF$2:$AF$1001,0),0), INDEX($AM$1004:$BM$1004,1,MATCH(COLUMNS($AM$1006:BA1006),$AM$1006:$BM$1006,0)))),"Fix")))</f>
        <v xml:space="preserve"> </v>
      </c>
      <c r="Q607" s="4" t="str">
        <f ca="1">IF(OR(INDEX($AG$2:$AG$1001,MATCH(ROWS($AF$2:AF607),$AF$2:$AF$1001,0),1)&gt;=100000,INDEX($AM$1005:$BM$1005,1,MATCH(COLUMNS($AM$1006:BB1006),$AM$1006:$BM$1006,0))&gt;=100000), " ",IF(INDEX($AM$2:$BM$1001,MATCH(ROWS($AF$2:AF607),$AF$2:$AF$1001,0),MATCH(COLUMNS($AM$1006:BB1006),$AM$1006:$BM$1006,0)), HYPERLINK("#",""), HYPERLINK(CONCATENATE("#metadata!", ADDRESS(INDEX($AH$2:$AH$1001,MATCH(ROWS($AF$2:AF607),$AF$2:$AF$1001,0),0), INDEX($AM$1004:$BM$1004,1,MATCH(COLUMNS($AM$1006:BB1006),$AM$1006:$BM$1006,0)))),"Fix")))</f>
        <v xml:space="preserve"> </v>
      </c>
      <c r="R607" s="4" t="str">
        <f ca="1">IF(OR(INDEX($AG$2:$AG$1001,MATCH(ROWS($AF$2:AF607),$AF$2:$AF$1001,0),1)&gt;=100000,INDEX($AM$1005:$BM$1005,1,MATCH(COLUMNS($AM$1006:BC1006),$AM$1006:$BM$1006,0))&gt;=100000), " ",IF(INDEX($AM$2:$BM$1001,MATCH(ROWS($AF$2:AF607),$AF$2:$AF$1001,0),MATCH(COLUMNS($AM$1006:BC1006),$AM$1006:$BM$1006,0)), HYPERLINK("#",""), HYPERLINK(CONCATENATE("#metadata!", ADDRESS(INDEX($AH$2:$AH$1001,MATCH(ROWS($AF$2:AF607),$AF$2:$AF$1001,0),0), INDEX($AM$1004:$BM$1004,1,MATCH(COLUMNS($AM$1006:BC1006),$AM$1006:$BM$1006,0)))),"Fix")))</f>
        <v xml:space="preserve"> </v>
      </c>
      <c r="S607" s="4" t="str">
        <f ca="1">IF(OR(INDEX($AG$2:$AG$1001,MATCH(ROWS($AF$2:AF607),$AF$2:$AF$1001,0),1)&gt;=100000,INDEX($AM$1005:$BM$1005,1,MATCH(COLUMNS($AM$1006:BD1006),$AM$1006:$BM$1006,0))&gt;=100000), " ",IF(INDEX($AM$2:$BM$1001,MATCH(ROWS($AF$2:AF607),$AF$2:$AF$1001,0),MATCH(COLUMNS($AM$1006:BD1006),$AM$1006:$BM$1006,0)), HYPERLINK("#",""), HYPERLINK(CONCATENATE("#metadata!", ADDRESS(INDEX($AH$2:$AH$1001,MATCH(ROWS($AF$2:AF607),$AF$2:$AF$1001,0),0), INDEX($AM$1004:$BM$1004,1,MATCH(COLUMNS($AM$1006:BD1006),$AM$1006:$BM$1006,0)))),"Fix")))</f>
        <v xml:space="preserve"> </v>
      </c>
      <c r="T607" s="4" t="str">
        <f ca="1">IF(OR(INDEX($AG$2:$AG$1001,MATCH(ROWS($AF$2:AF607),$AF$2:$AF$1001,0),1)&gt;=100000,INDEX($AM$1005:$BM$1005,1,MATCH(COLUMNS($AM$1006:BE1006),$AM$1006:$BM$1006,0))&gt;=100000), " ",IF(INDEX($AM$2:$BM$1001,MATCH(ROWS($AF$2:AF607),$AF$2:$AF$1001,0),MATCH(COLUMNS($AM$1006:BE1006),$AM$1006:$BM$1006,0)), HYPERLINK("#",""), HYPERLINK(CONCATENATE("#metadata!", ADDRESS(INDEX($AH$2:$AH$1001,MATCH(ROWS($AF$2:AF607),$AF$2:$AF$1001,0),0), INDEX($AM$1004:$BM$1004,1,MATCH(COLUMNS($AM$1006:BE1006),$AM$1006:$BM$1006,0)))),"Fix")))</f>
        <v xml:space="preserve"> </v>
      </c>
      <c r="U607" s="4" t="str">
        <f ca="1">IF(OR(INDEX($AG$2:$AG$1001,MATCH(ROWS($AF$2:AF607),$AF$2:$AF$1001,0),1)&gt;=100000,INDEX($AM$1005:$BM$1005,1,MATCH(COLUMNS($AM$1006:BF1006),$AM$1006:$BM$1006,0))&gt;=100000), " ",IF(INDEX($AM$2:$BM$1001,MATCH(ROWS($AF$2:AF607),$AF$2:$AF$1001,0),MATCH(COLUMNS($AM$1006:BF1006),$AM$1006:$BM$1006,0)), HYPERLINK("#",""), HYPERLINK(CONCATENATE("#metadata!", ADDRESS(INDEX($AH$2:$AH$1001,MATCH(ROWS($AF$2:AF607),$AF$2:$AF$1001,0),0), INDEX($AM$1004:$BM$1004,1,MATCH(COLUMNS($AM$1006:BF1006),$AM$1006:$BM$1006,0)))),"Fix")))</f>
        <v xml:space="preserve"> </v>
      </c>
      <c r="V607" s="4" t="str">
        <f ca="1">IF(OR(INDEX($AG$2:$AG$1001,MATCH(ROWS($AF$2:AF607),$AF$2:$AF$1001,0),1)&gt;=100000,INDEX($AM$1005:$BM$1005,1,MATCH(COLUMNS($AM$1006:BG1006),$AM$1006:$BM$1006,0))&gt;=100000), " ",IF(INDEX($AM$2:$BM$1001,MATCH(ROWS($AF$2:AF607),$AF$2:$AF$1001,0),MATCH(COLUMNS($AM$1006:BG1006),$AM$1006:$BM$1006,0)), HYPERLINK("#",""), HYPERLINK(CONCATENATE("#metadata!", ADDRESS(INDEX($AH$2:$AH$1001,MATCH(ROWS($AF$2:AF607),$AF$2:$AF$1001,0),0), INDEX($AM$1004:$BM$1004,1,MATCH(COLUMNS($AM$1006:BG1006),$AM$1006:$BM$1006,0)))),"Fix")))</f>
        <v xml:space="preserve"> </v>
      </c>
      <c r="W607" s="4" t="str">
        <f ca="1">IF(OR(INDEX($AG$2:$AG$1001,MATCH(ROWS($AF$2:AF607),$AF$2:$AF$1001,0),1)&gt;=100000,INDEX($AM$1005:$BM$1005,1,MATCH(COLUMNS($AM$1006:BH1006),$AM$1006:$BM$1006,0))&gt;=100000), " ",IF(INDEX($AM$2:$BM$1001,MATCH(ROWS($AF$2:AF607),$AF$2:$AF$1001,0),MATCH(COLUMNS($AM$1006:BH1006),$AM$1006:$BM$1006,0)), HYPERLINK("#",""), HYPERLINK(CONCATENATE("#metadata!", ADDRESS(INDEX($AH$2:$AH$1001,MATCH(ROWS($AF$2:AF607),$AF$2:$AF$1001,0),0), INDEX($AM$1004:$BM$1004,1,MATCH(COLUMNS($AM$1006:BH1006),$AM$1006:$BM$1006,0)))),"Fix")))</f>
        <v xml:space="preserve"> </v>
      </c>
      <c r="X607" s="4" t="str">
        <f ca="1">IF(OR(INDEX($AG$2:$AG$1001,MATCH(ROWS($AF$2:AF607),$AF$2:$AF$1001,0),1)&gt;=100000,INDEX($AM$1005:$BM$1005,1,MATCH(COLUMNS($AM$1006:BI1006),$AM$1006:$BM$1006,0))&gt;=100000), " ",IF(INDEX($AM$2:$BM$1001,MATCH(ROWS($AF$2:AF607),$AF$2:$AF$1001,0),MATCH(COLUMNS($AM$1006:BI1006),$AM$1006:$BM$1006,0)), HYPERLINK("#",""), HYPERLINK(CONCATENATE("#metadata!", ADDRESS(INDEX($AH$2:$AH$1001,MATCH(ROWS($AF$2:AF607),$AF$2:$AF$1001,0),0), INDEX($AM$1004:$BM$1004,1,MATCH(COLUMNS($AM$1006:BI1006),$AM$1006:$BM$1006,0)))),"Fix")))</f>
        <v xml:space="preserve"> </v>
      </c>
      <c r="Y607" s="4" t="str">
        <f ca="1">IF(OR(INDEX($AG$2:$AG$1001,MATCH(ROWS($AF$2:AF607),$AF$2:$AF$1001,0),1)&gt;=100000,INDEX($AM$1005:$BM$1005,1,MATCH(COLUMNS($AM$1006:BJ1006),$AM$1006:$BM$1006,0))&gt;=100000), " ",IF(INDEX($AM$2:$BM$1001,MATCH(ROWS($AF$2:AF607),$AF$2:$AF$1001,0),MATCH(COLUMNS($AM$1006:BJ1006),$AM$1006:$BM$1006,0)), HYPERLINK("#",""), HYPERLINK(CONCATENATE("#metadata!", ADDRESS(INDEX($AH$2:$AH$1001,MATCH(ROWS($AF$2:AF607),$AF$2:$AF$1001,0),0), INDEX($AM$1004:$BM$1004,1,MATCH(COLUMNS($AM$1006:BJ1006),$AM$1006:$BM$1006,0)))),"Fix")))</f>
        <v xml:space="preserve"> </v>
      </c>
      <c r="Z607" s="4" t="str">
        <f ca="1">IF(OR(INDEX($AG$2:$AG$1001,MATCH(ROWS($AF$2:AF607),$AF$2:$AF$1001,0),1)&gt;=100000,INDEX($AM$1005:$BM$1005,1,MATCH(COLUMNS($AM$1006:BK1006),$AM$1006:$BM$1006,0))&gt;=100000), " ",IF(INDEX($AM$2:$BM$1001,MATCH(ROWS($AF$2:AF607),$AF$2:$AF$1001,0),MATCH(COLUMNS($AM$1006:BK1006),$AM$1006:$BM$1006,0)), HYPERLINK("#",""), HYPERLINK(CONCATENATE("#metadata!", ADDRESS(INDEX($AH$2:$AH$1001,MATCH(ROWS($AF$2:AF607),$AF$2:$AF$1001,0),0), INDEX($AM$1004:$BM$1004,1,MATCH(COLUMNS($AM$1006:BK1006),$AM$1006:$BM$1006,0)))),"Fix")))</f>
        <v xml:space="preserve"> </v>
      </c>
      <c r="AA607" s="4" t="str">
        <f ca="1">IF(OR(INDEX($AG$2:$AG$1001,MATCH(ROWS($AF$2:AF607),$AF$2:$AF$1001,0),1)&gt;=100000,INDEX($AM$1005:$BM$1005,1,MATCH(COLUMNS($AM$1006:BL1006),$AM$1006:$BM$1006,0))&gt;=100000), " ",IF(INDEX($AM$2:$BM$1001,MATCH(ROWS($AF$2:AF607),$AF$2:$AF$1001,0),MATCH(COLUMNS($AM$1006:BL1006),$AM$1006:$BM$1006,0)), HYPERLINK("#",""), HYPERLINK(CONCATENATE("#metadata!", ADDRESS(INDEX($AH$2:$AH$1001,MATCH(ROWS($AF$2:AF607),$AF$2:$AF$1001,0),0), INDEX($AM$1004:$BM$1004,1,MATCH(COLUMNS($AM$1006:BL1006),$AM$1006:$BM$1006,0)))),"Fix")))</f>
        <v xml:space="preserve"> </v>
      </c>
      <c r="AB607" s="4" t="str">
        <f ca="1">IF(OR(INDEX($AG$2:$AG$1001,MATCH(ROWS($AF$2:AF607),$AF$2:$AF$1001,0),1)&gt;=100000,INDEX($AM$1005:$BM$1005,1,MATCH(COLUMNS($AM$1006:BM1006),$AM$1006:$BM$1006,0))&gt;=100000), " ",IF(INDEX($AM$2:$BM$1001,MATCH(ROWS($AF$2:AF607),$AF$2:$AF$1001,0),MATCH(COLUMNS($AM$1006:BM1006),$AM$1006:$BM$1006,0)), HYPERLINK("#",""), HYPERLINK(CONCATENATE("#metadata!", ADDRESS(INDEX($AH$2:$AH$1001,MATCH(ROWS($AF$2:AF607),$AF$2:$AF$1001,0),0), INDEX($AM$1004:$BM$1004,1,MATCH(COLUMNS($AM$1006:BM1006),$AM$1006:$BM$1006,0)))),"Fix")))</f>
        <v xml:space="preserve"> </v>
      </c>
      <c r="AF607">
        <v>606</v>
      </c>
      <c r="AG607">
        <v>100607</v>
      </c>
      <c r="AH607">
        <v>607</v>
      </c>
      <c r="AI607" t="b">
        <f t="shared" si="9"/>
        <v>1</v>
      </c>
      <c r="AJ607" t="b">
        <f>COUNTBLANK(metadata!B607:AB607)=COLUMNS(metadata!B607:AB607)</f>
        <v>1</v>
      </c>
      <c r="AK607" t="str">
        <v/>
      </c>
      <c r="AM607" t="b">
        <f ca="1">AND(IF(metadata!B607="",FALSE,TRUE),COUNTIF(metadata!B:B, metadata!B607) = 1,NOT(ISERROR(SUMPRODUCT(SEARCH(MID(metadata!B607,ROW(INDIRECT("1:"&amp;LEN(metadata!B607))), 1),"0123456789abcdefghijklmnopqrstuvwxyzABCDEFGHIJKLMNOPQRSTUVWXYZ.")))))</f>
        <v>0</v>
      </c>
      <c r="AN607" t="b">
        <f ca="1">OR(AND(IF(metadata!C607="",FALSE,TRUE),OR(EXACT(metadata!C607,"missing: not collected"),EXACT(metadata!C607,"missing: not provided"),EXACT(metadata!C607,"missing: restricted access"))),AND(IF(metadata!C607="",FALSE,TRUE),AND(AND(IFERROR(INT(LEFT(metadata!C607,4))&gt;1900,FALSE),IFERROR(INT(LEFT(metadata!C607,4))&lt;=YEAR(NOW()),FALSE)), OR(MID(metadata!C607,5,1)="", AND(AND(MID(metadata!C607,5,1)="-",IFERROR(INT(MID(metadata!C607,6,1))&gt;=0,FALSE),IFERROR(INT(MID(metadata!C607,6,1))&lt;=1,FALSE),NOT(MID(metadata!C607,7,1)=""),IFERROR(INT(MID(metadata!C607,6,2))&gt;=1,FALSE),IFERROR(INT(MID(metadata!C607,6,2))&lt;=12,FALSE)), OR(MID(metadata!C607,8,1)="", AND(AND(MID(metadata!C607,8,1)="-",IFERROR(INT(MID(metadata!C607,9,1))&gt;=0,FALSE),IFERROR(INT(MID(metadata!C607,9,1))&lt;=3,FALSE),NOT(MID(metadata!C607,10,1)=""),IFERROR(INT(MID(metadata!C607,9,2))&gt;=1,FALSE),IFERROR(INT(MID(metadata!C607,9,2))&lt;=31,FALSE)), OR(MID(metadata!C607,11,1)="", AND(AND(MID(metadata!C607,11,1)=" ",IFERROR(INT(MID(metadata!C607,12,1))&gt;=0,FALSE),IFERROR(INT(MID(metadata!C607,12,1))&lt;=2,FALSE),NOT(MID(metadata!C607,13,1)=""),IFERROR(INT(MID(metadata!C607,12,2))&gt;=0,FALSE),IFERROR(INT(MID(metadata!C607,12,2))&lt;=23,FALSE)), OR(MID(metadata!C607,14,1)="", AND(AND(MID(metadata!C607,14,1)=":",IFERROR(INT(MID(metadata!C607,15,1))&gt;=0,FALSE),IFERROR(INT(MID(metadata!C607,15,1))&lt;=5,FALSE),NOT(MID(metadata!C607,16,1)=""),IFERROR(INT(MID(metadata!C607,15,2))&gt;=0,FALSE),IFERROR(INT(MID(metadata!C607,15,2))&lt;=59,FALSE)), OR(MID(metadata!C607,17,1)="", AND(AND(MID(metadata!C607,17,1)=":",IFERROR(INT(MID(metadata!C607,18,1))&gt;=0,FALSE),IFERROR(INT(MID(metadata!C607,18,1))&lt;=5,FALSE),NOT(MID(metadata!C607,19,1)=""),IFERROR(INT(MID(metadata!C607,18,2))&gt;=0,FALSE),IFERROR(INT(MID(metadata!C607,18,2))&lt;=59,FALSE)), LEN(metadata!C607)&lt;=19)))))))))))))</f>
        <v>0</v>
      </c>
      <c r="AO607" t="b">
        <f>AND(IF(metadata!D607="",FALSE,TRUE),EXACT(metadata!D607,"Not applicable"))</f>
        <v>0</v>
      </c>
      <c r="AP607" t="b">
        <f>IF(metadata!E607="",FALSE,TRUE)</f>
        <v>0</v>
      </c>
      <c r="AQ607" t="b">
        <f>OR(AND(IF(metadata!F607="",FALSE,TRUE),OR(EXACT(metadata!F607,"missing: not collected"),EXACT(metadata!F607,"missing: not provided"))),AND(IF(metadata!F607="",FALSE,TRUE),OR(EXACT(metadata!F607,"TRUE"),EXACT(metadata!F607,"FALSE"))))</f>
        <v>0</v>
      </c>
      <c r="AR607" t="b">
        <f>OR(AND(IF(metadata!G607="",FALSE,TRUE),OR(EXACT(metadata!G607,"missing: not collected"),EXACT(metadata!G607,"missing: not provided"),EXACT(metadata!G607,"missing: restricted access"))),AND(IF(metadata!G607="",FALSE,ISNUMBER(VALUE(metadata!G607))),metadata!G607&gt;=-413))</f>
        <v>0</v>
      </c>
      <c r="AS607" t="b">
        <f>AND(IF(metadata!H607="",FALSE,TRUE),EXACT(metadata!H607,"meters"))</f>
        <v>0</v>
      </c>
      <c r="AT607" t="b">
        <f>AND(IF(metadata!I607="",FALSE,TRUE),OR(EXACT(metadata!I607,"Host-associated"),EXACT(metadata!I607,"Free-living")))</f>
        <v>0</v>
      </c>
      <c r="AU607" t="b">
        <f>AND(IF(metadata!J607="",FALSE,TRUE),OR(EXACT(metadata!J607,"Animal"),EXACT(metadata!J607,"Fungus"),EXACT(metadata!J607,"Plant"),EXACT(metadata!J607,"Saline"),EXACT(metadata!J607,"Non-saline")))</f>
        <v>0</v>
      </c>
      <c r="AV607" t="b">
        <f>AND(IF(metadata!K607="",FALSE,TRUE),OR(EXACT(metadata!K607,"Plant secretion"),EXACT(metadata!K607,"Plant rhizosphere"),EXACT(metadata!K607,"Plant surface"),EXACT(metadata!K607,"Plant corpus"),EXACT(metadata!K607,"Fungus surface"),EXACT(metadata!K607,"Fungus corpus"),EXACT(metadata!K607,"Animal surface"),EXACT(metadata!K607,"Animal proximal gut"),EXACT(metadata!K607,"Animal corpus"),EXACT(metadata!K607,"Animal distal gut"),EXACT(metadata!K607,"Animal secretion"),EXACT(metadata!K607,"Sub-surface (non-saline)"),EXACT(metadata!K607,"Surface (non-saline)"),EXACT(metadata!K607,"Water (non-saline)"),EXACT(metadata!K607,"Soil (non-saline)"),EXACT(metadata!K607,"Aerosol (non-saline)"),EXACT(metadata!K607,"Sediment (non-saline)"),EXACT(metadata!K607,"Surface (saline)"),EXACT(metadata!K607,"Water (saline)"),EXACT(metadata!K607,"Hypersaline (saline)"),EXACT(metadata!K607,"Aerosol (saline)"),EXACT(metadata!K607,"Sediment (saline)")))</f>
        <v>0</v>
      </c>
      <c r="AW607" t="b">
        <f>IF(metadata!L607="",FALSE,TRUE)</f>
        <v>0</v>
      </c>
      <c r="AX607" t="b">
        <f>IF(metadata!M607="",FALSE,TRUE)</f>
        <v>0</v>
      </c>
      <c r="AY607" t="b">
        <f>IF(metadata!N607="",FALSE,TRUE)</f>
        <v>0</v>
      </c>
      <c r="AZ607" t="b">
        <f>OR(AND(IF(metadata!O607="",FALSE,TRUE),OR(EXACT(metadata!O607,"missing: not collected"),EXACT(metadata!O607,"missing: not provided"),EXACT(metadata!O607,"missing: restricted access"))),AND(IF(metadata!O607="",FALSE,TRUE),OR(EXACT(metadata!O607,"air"),EXACT(metadata!O607,"built environment"),EXACT(metadata!O607,"host-associated"),EXACT(metadata!O607,"human-associated"),EXACT(metadata!O607,"human-skin"),EXACT(metadata!O607,"human-oral"),EXACT(metadata!O607,"human-gut"),EXACT(metadata!O607,"human-vaginal"),EXACT(metadata!O607,"microbial mat/biofilm"),EXACT(metadata!O607,"misc environment"),EXACT(metadata!O607,"plant-associated"),EXACT(metadata!O607,"sediment"),EXACT(metadata!O607,"soil"),EXACT(metadata!O607,"wastewater/sludge"),EXACT(metadata!O607,"water"))))</f>
        <v>0</v>
      </c>
      <c r="BA607" t="b">
        <f>IF(metadata!P607="",FALSE,TRUE)</f>
        <v>0</v>
      </c>
      <c r="BB607" t="b">
        <f>IF(metadata!Q607="",FALSE,TRUE)</f>
        <v>0</v>
      </c>
      <c r="BC607" t="b">
        <f>OR(AND(IF(metadata!R607="",FALSE,TRUE),OR(EXACT(metadata!R607,"missing: not collected"),EXACT(metadata!R607,"missing: not provided"),EXACT(metadata!R607,"missing: restricted access"))),AND(IF(metadata!R607="",FALSE,ISNUMBER(VALUE(metadata!R607))),metadata!R607&gt;=-90,metadata!R607&lt;=90))</f>
        <v>0</v>
      </c>
      <c r="BD607" t="b">
        <f>AND(IF(metadata!S607="",FALSE,TRUE),EXACT(metadata!S607,"Decimal degrees"))</f>
        <v>0</v>
      </c>
      <c r="BE607" t="b">
        <f>OR(AND(IF(metadata!T607="",FALSE,TRUE),OR(EXACT(metadata!T607,"missing: not collected"),EXACT(metadata!T607,"missing: not provided"),EXACT(metadata!T607,"missing: restricted access"))),AND(IF(metadata!T607="",FALSE,ISNUMBER(VALUE(metadata!T607))),metadata!T607&gt;=-180,metadata!T607&lt;=180))</f>
        <v>0</v>
      </c>
      <c r="BF607" t="b">
        <f>AND(IF(metadata!U607="",FALSE,TRUE),EXACT(metadata!U607,"Decimal degrees"))</f>
        <v>0</v>
      </c>
      <c r="BG607" t="b">
        <f>IF(metadata!V607="",FALSE,TRUE)</f>
        <v>0</v>
      </c>
      <c r="BH607" t="b">
        <f>OR(AND(IF(metadata!W607="",FALSE,TRUE),OR(EXACT(metadata!W607,"missing: not collected"),EXACT(metadata!W607,"missing: not provided"),EXACT(metadata!W607,"missing: restricted access"))),AND(IF(metadata!W607="",FALSE,TRUE),OR(EXACT(metadata!W607,"TRUE"),EXACT(metadata!W607,"FALSE"))))</f>
        <v>0</v>
      </c>
      <c r="BI607" t="b">
        <f>AND(IF(metadata!X607="",FALSE,TRUE),EXACT(metadata!X607,"other"))</f>
        <v>0</v>
      </c>
      <c r="BJ607" t="b">
        <f>IF(metadata!Y607="",FALSE,TRUE)</f>
        <v>0</v>
      </c>
      <c r="BK607" t="b">
        <f>OR(AND(IF(metadata!Z607="",FALSE,TRUE),OR(EXACT(metadata!Z607,"missing: not collected"),EXACT(metadata!Z607,"missing: not provided"))),AND(IF(metadata!Z607="",FALSE,IF(ISERROR(INT(metadata!Z607)),FALSE,INT(metadata!Z607)=metadata!Z607)),metadata!Z607&gt;0))</f>
        <v>0</v>
      </c>
      <c r="BL607" t="b">
        <f>AND(IF(metadata!AA607="",FALSE,TRUE),EXACT(metadata!AA607,"Not applicable"))</f>
        <v>0</v>
      </c>
      <c r="BM607" t="b">
        <f>IF(metadata!AB607="",FALSE,TRUE)</f>
        <v>0</v>
      </c>
    </row>
    <row r="608" spans="1:65" x14ac:dyDescent="0.2">
      <c r="A608" s="5" t="str">
        <f ca="1">IF(B608=" "," ",HYPERLINK(CONCATENATE("#metadata!",ADDRESS(INDEX($AH$2:$AH$1001,MATCH(ROWS($AF$2:AF608),$AF$2:$AF$1001,0),0),1)),INDEX($AK$2:$AK$1001,MATCH(ROWS($AF$2:AF608),$AF$2:$AF$1001,0),0)))</f>
        <v xml:space="preserve"> </v>
      </c>
      <c r="B608" s="4" t="str">
        <f ca="1">IF(OR(INDEX($AG$2:$AG$1001,MATCH(ROWS($AF$2:AF608),$AF$2:$AF$1001,0),1)&gt;=100000,INDEX($AM$1005:$BM$1005,1,MATCH(COLUMNS($AM$1006:AM1006),$AM$1006:$BM$1006,0))&gt;=100000), " ",IF(INDEX($AM$2:$BM$1001,MATCH(ROWS($AF$2:AF608),$AF$2:$AF$1001,0),MATCH(COLUMNS($AM$1006:AM1006),$AM$1006:$BM$1006,0)), HYPERLINK("#",""), HYPERLINK(CONCATENATE("#metadata!", ADDRESS(INDEX($AH$2:$AH$1001,MATCH(ROWS($AF$2:AF608),$AF$2:$AF$1001,0),0), INDEX($AM$1004:$BM$1004,1,MATCH(COLUMNS($AM$1006:AM1006),$AM$1006:$BM$1006,0)))),"Fix")))</f>
        <v xml:space="preserve"> </v>
      </c>
      <c r="C608" s="4" t="str">
        <f ca="1">IF(OR(INDEX($AG$2:$AG$1001,MATCH(ROWS($AF$2:AF608),$AF$2:$AF$1001,0),1)&gt;=100000,INDEX($AM$1005:$BM$1005,1,MATCH(COLUMNS($AM$1006:AN1006),$AM$1006:$BM$1006,0))&gt;=100000), " ",IF(INDEX($AM$2:$BM$1001,MATCH(ROWS($AF$2:AF608),$AF$2:$AF$1001,0),MATCH(COLUMNS($AM$1006:AN1006),$AM$1006:$BM$1006,0)), HYPERLINK("#",""), HYPERLINK(CONCATENATE("#metadata!", ADDRESS(INDEX($AH$2:$AH$1001,MATCH(ROWS($AF$2:AF608),$AF$2:$AF$1001,0),0), INDEX($AM$1004:$BM$1004,1,MATCH(COLUMNS($AM$1006:AN1006),$AM$1006:$BM$1006,0)))),"Fix")))</f>
        <v xml:space="preserve"> </v>
      </c>
      <c r="D608" s="4" t="str">
        <f ca="1">IF(OR(INDEX($AG$2:$AG$1001,MATCH(ROWS($AF$2:AF608),$AF$2:$AF$1001,0),1)&gt;=100000,INDEX($AM$1005:$BM$1005,1,MATCH(COLUMNS($AM$1006:AO1006),$AM$1006:$BM$1006,0))&gt;=100000), " ",IF(INDEX($AM$2:$BM$1001,MATCH(ROWS($AF$2:AF608),$AF$2:$AF$1001,0),MATCH(COLUMNS($AM$1006:AO1006),$AM$1006:$BM$1006,0)), HYPERLINK("#",""), HYPERLINK(CONCATENATE("#metadata!", ADDRESS(INDEX($AH$2:$AH$1001,MATCH(ROWS($AF$2:AF608),$AF$2:$AF$1001,0),0), INDEX($AM$1004:$BM$1004,1,MATCH(COLUMNS($AM$1006:AO1006),$AM$1006:$BM$1006,0)))),"Fix")))</f>
        <v xml:space="preserve"> </v>
      </c>
      <c r="E608" s="4" t="str">
        <f ca="1">IF(OR(INDEX($AG$2:$AG$1001,MATCH(ROWS($AF$2:AF608),$AF$2:$AF$1001,0),1)&gt;=100000,INDEX($AM$1005:$BM$1005,1,MATCH(COLUMNS($AM$1006:AP1006),$AM$1006:$BM$1006,0))&gt;=100000), " ",IF(INDEX($AM$2:$BM$1001,MATCH(ROWS($AF$2:AF608),$AF$2:$AF$1001,0),MATCH(COLUMNS($AM$1006:AP1006),$AM$1006:$BM$1006,0)), HYPERLINK("#",""), HYPERLINK(CONCATENATE("#metadata!", ADDRESS(INDEX($AH$2:$AH$1001,MATCH(ROWS($AF$2:AF608),$AF$2:$AF$1001,0),0), INDEX($AM$1004:$BM$1004,1,MATCH(COLUMNS($AM$1006:AP1006),$AM$1006:$BM$1006,0)))),"Fix")))</f>
        <v xml:space="preserve"> </v>
      </c>
      <c r="F608" s="4" t="str">
        <f ca="1">IF(OR(INDEX($AG$2:$AG$1001,MATCH(ROWS($AF$2:AF608),$AF$2:$AF$1001,0),1)&gt;=100000,INDEX($AM$1005:$BM$1005,1,MATCH(COLUMNS($AM$1006:AQ1006),$AM$1006:$BM$1006,0))&gt;=100000), " ",IF(INDEX($AM$2:$BM$1001,MATCH(ROWS($AF$2:AF608),$AF$2:$AF$1001,0),MATCH(COLUMNS($AM$1006:AQ1006),$AM$1006:$BM$1006,0)), HYPERLINK("#",""), HYPERLINK(CONCATENATE("#metadata!", ADDRESS(INDEX($AH$2:$AH$1001,MATCH(ROWS($AF$2:AF608),$AF$2:$AF$1001,0),0), INDEX($AM$1004:$BM$1004,1,MATCH(COLUMNS($AM$1006:AQ1006),$AM$1006:$BM$1006,0)))),"Fix")))</f>
        <v xml:space="preserve"> </v>
      </c>
      <c r="G608" s="4" t="str">
        <f ca="1">IF(OR(INDEX($AG$2:$AG$1001,MATCH(ROWS($AF$2:AF608),$AF$2:$AF$1001,0),1)&gt;=100000,INDEX($AM$1005:$BM$1005,1,MATCH(COLUMNS($AM$1006:AR1006),$AM$1006:$BM$1006,0))&gt;=100000), " ",IF(INDEX($AM$2:$BM$1001,MATCH(ROWS($AF$2:AF608),$AF$2:$AF$1001,0),MATCH(COLUMNS($AM$1006:AR1006),$AM$1006:$BM$1006,0)), HYPERLINK("#",""), HYPERLINK(CONCATENATE("#metadata!", ADDRESS(INDEX($AH$2:$AH$1001,MATCH(ROWS($AF$2:AF608),$AF$2:$AF$1001,0),0), INDEX($AM$1004:$BM$1004,1,MATCH(COLUMNS($AM$1006:AR1006),$AM$1006:$BM$1006,0)))),"Fix")))</f>
        <v xml:space="preserve"> </v>
      </c>
      <c r="H608" s="4" t="str">
        <f ca="1">IF(OR(INDEX($AG$2:$AG$1001,MATCH(ROWS($AF$2:AF608),$AF$2:$AF$1001,0),1)&gt;=100000,INDEX($AM$1005:$BM$1005,1,MATCH(COLUMNS($AM$1006:AS1006),$AM$1006:$BM$1006,0))&gt;=100000), " ",IF(INDEX($AM$2:$BM$1001,MATCH(ROWS($AF$2:AF608),$AF$2:$AF$1001,0),MATCH(COLUMNS($AM$1006:AS1006),$AM$1006:$BM$1006,0)), HYPERLINK("#",""), HYPERLINK(CONCATENATE("#metadata!", ADDRESS(INDEX($AH$2:$AH$1001,MATCH(ROWS($AF$2:AF608),$AF$2:$AF$1001,0),0), INDEX($AM$1004:$BM$1004,1,MATCH(COLUMNS($AM$1006:AS1006),$AM$1006:$BM$1006,0)))),"Fix")))</f>
        <v xml:space="preserve"> </v>
      </c>
      <c r="I608" s="4" t="str">
        <f ca="1">IF(OR(INDEX($AG$2:$AG$1001,MATCH(ROWS($AF$2:AF608),$AF$2:$AF$1001,0),1)&gt;=100000,INDEX($AM$1005:$BM$1005,1,MATCH(COLUMNS($AM$1006:AT1006),$AM$1006:$BM$1006,0))&gt;=100000), " ",IF(INDEX($AM$2:$BM$1001,MATCH(ROWS($AF$2:AF608),$AF$2:$AF$1001,0),MATCH(COLUMNS($AM$1006:AT1006),$AM$1006:$BM$1006,0)), HYPERLINK("#",""), HYPERLINK(CONCATENATE("#metadata!", ADDRESS(INDEX($AH$2:$AH$1001,MATCH(ROWS($AF$2:AF608),$AF$2:$AF$1001,0),0), INDEX($AM$1004:$BM$1004,1,MATCH(COLUMNS($AM$1006:AT1006),$AM$1006:$BM$1006,0)))),"Fix")))</f>
        <v xml:space="preserve"> </v>
      </c>
      <c r="J608" s="4" t="str">
        <f ca="1">IF(OR(INDEX($AG$2:$AG$1001,MATCH(ROWS($AF$2:AF608),$AF$2:$AF$1001,0),1)&gt;=100000,INDEX($AM$1005:$BM$1005,1,MATCH(COLUMNS($AM$1006:AU1006),$AM$1006:$BM$1006,0))&gt;=100000), " ",IF(INDEX($AM$2:$BM$1001,MATCH(ROWS($AF$2:AF608),$AF$2:$AF$1001,0),MATCH(COLUMNS($AM$1006:AU1006),$AM$1006:$BM$1006,0)), HYPERLINK("#",""), HYPERLINK(CONCATENATE("#metadata!", ADDRESS(INDEX($AH$2:$AH$1001,MATCH(ROWS($AF$2:AF608),$AF$2:$AF$1001,0),0), INDEX($AM$1004:$BM$1004,1,MATCH(COLUMNS($AM$1006:AU1006),$AM$1006:$BM$1006,0)))),"Fix")))</f>
        <v xml:space="preserve"> </v>
      </c>
      <c r="K608" s="4" t="str">
        <f ca="1">IF(OR(INDEX($AG$2:$AG$1001,MATCH(ROWS($AF$2:AF608),$AF$2:$AF$1001,0),1)&gt;=100000,INDEX($AM$1005:$BM$1005,1,MATCH(COLUMNS($AM$1006:AV1006),$AM$1006:$BM$1006,0))&gt;=100000), " ",IF(INDEX($AM$2:$BM$1001,MATCH(ROWS($AF$2:AF608),$AF$2:$AF$1001,0),MATCH(COLUMNS($AM$1006:AV1006),$AM$1006:$BM$1006,0)), HYPERLINK("#",""), HYPERLINK(CONCATENATE("#metadata!", ADDRESS(INDEX($AH$2:$AH$1001,MATCH(ROWS($AF$2:AF608),$AF$2:$AF$1001,0),0), INDEX($AM$1004:$BM$1004,1,MATCH(COLUMNS($AM$1006:AV1006),$AM$1006:$BM$1006,0)))),"Fix")))</f>
        <v xml:space="preserve"> </v>
      </c>
      <c r="L608" s="4" t="str">
        <f ca="1">IF(OR(INDEX($AG$2:$AG$1001,MATCH(ROWS($AF$2:AF608),$AF$2:$AF$1001,0),1)&gt;=100000,INDEX($AM$1005:$BM$1005,1,MATCH(COLUMNS($AM$1006:AW1006),$AM$1006:$BM$1006,0))&gt;=100000), " ",IF(INDEX($AM$2:$BM$1001,MATCH(ROWS($AF$2:AF608),$AF$2:$AF$1001,0),MATCH(COLUMNS($AM$1006:AW1006),$AM$1006:$BM$1006,0)), HYPERLINK("#",""), HYPERLINK(CONCATENATE("#metadata!", ADDRESS(INDEX($AH$2:$AH$1001,MATCH(ROWS($AF$2:AF608),$AF$2:$AF$1001,0),0), INDEX($AM$1004:$BM$1004,1,MATCH(COLUMNS($AM$1006:AW1006),$AM$1006:$BM$1006,0)))),"Fix")))</f>
        <v xml:space="preserve"> </v>
      </c>
      <c r="M608" s="4" t="str">
        <f ca="1">IF(OR(INDEX($AG$2:$AG$1001,MATCH(ROWS($AF$2:AF608),$AF$2:$AF$1001,0),1)&gt;=100000,INDEX($AM$1005:$BM$1005,1,MATCH(COLUMNS($AM$1006:AX1006),$AM$1006:$BM$1006,0))&gt;=100000), " ",IF(INDEX($AM$2:$BM$1001,MATCH(ROWS($AF$2:AF608),$AF$2:$AF$1001,0),MATCH(COLUMNS($AM$1006:AX1006),$AM$1006:$BM$1006,0)), HYPERLINK("#",""), HYPERLINK(CONCATENATE("#metadata!", ADDRESS(INDEX($AH$2:$AH$1001,MATCH(ROWS($AF$2:AF608),$AF$2:$AF$1001,0),0), INDEX($AM$1004:$BM$1004,1,MATCH(COLUMNS($AM$1006:AX1006),$AM$1006:$BM$1006,0)))),"Fix")))</f>
        <v xml:space="preserve"> </v>
      </c>
      <c r="N608" s="4" t="str">
        <f ca="1">IF(OR(INDEX($AG$2:$AG$1001,MATCH(ROWS($AF$2:AF608),$AF$2:$AF$1001,0),1)&gt;=100000,INDEX($AM$1005:$BM$1005,1,MATCH(COLUMNS($AM$1006:AY1006),$AM$1006:$BM$1006,0))&gt;=100000), " ",IF(INDEX($AM$2:$BM$1001,MATCH(ROWS($AF$2:AF608),$AF$2:$AF$1001,0),MATCH(COLUMNS($AM$1006:AY1006),$AM$1006:$BM$1006,0)), HYPERLINK("#",""), HYPERLINK(CONCATENATE("#metadata!", ADDRESS(INDEX($AH$2:$AH$1001,MATCH(ROWS($AF$2:AF608),$AF$2:$AF$1001,0),0), INDEX($AM$1004:$BM$1004,1,MATCH(COLUMNS($AM$1006:AY1006),$AM$1006:$BM$1006,0)))),"Fix")))</f>
        <v xml:space="preserve"> </v>
      </c>
      <c r="O608" s="4" t="str">
        <f ca="1">IF(OR(INDEX($AG$2:$AG$1001,MATCH(ROWS($AF$2:AF608),$AF$2:$AF$1001,0),1)&gt;=100000,INDEX($AM$1005:$BM$1005,1,MATCH(COLUMNS($AM$1006:AZ1006),$AM$1006:$BM$1006,0))&gt;=100000), " ",IF(INDEX($AM$2:$BM$1001,MATCH(ROWS($AF$2:AF608),$AF$2:$AF$1001,0),MATCH(COLUMNS($AM$1006:AZ1006),$AM$1006:$BM$1006,0)), HYPERLINK("#",""), HYPERLINK(CONCATENATE("#metadata!", ADDRESS(INDEX($AH$2:$AH$1001,MATCH(ROWS($AF$2:AF608),$AF$2:$AF$1001,0),0), INDEX($AM$1004:$BM$1004,1,MATCH(COLUMNS($AM$1006:AZ1006),$AM$1006:$BM$1006,0)))),"Fix")))</f>
        <v xml:space="preserve"> </v>
      </c>
      <c r="P608" s="4" t="str">
        <f ca="1">IF(OR(INDEX($AG$2:$AG$1001,MATCH(ROWS($AF$2:AF608),$AF$2:$AF$1001,0),1)&gt;=100000,INDEX($AM$1005:$BM$1005,1,MATCH(COLUMNS($AM$1006:BA1006),$AM$1006:$BM$1006,0))&gt;=100000), " ",IF(INDEX($AM$2:$BM$1001,MATCH(ROWS($AF$2:AF608),$AF$2:$AF$1001,0),MATCH(COLUMNS($AM$1006:BA1006),$AM$1006:$BM$1006,0)), HYPERLINK("#",""), HYPERLINK(CONCATENATE("#metadata!", ADDRESS(INDEX($AH$2:$AH$1001,MATCH(ROWS($AF$2:AF608),$AF$2:$AF$1001,0),0), INDEX($AM$1004:$BM$1004,1,MATCH(COLUMNS($AM$1006:BA1006),$AM$1006:$BM$1006,0)))),"Fix")))</f>
        <v xml:space="preserve"> </v>
      </c>
      <c r="Q608" s="4" t="str">
        <f ca="1">IF(OR(INDEX($AG$2:$AG$1001,MATCH(ROWS($AF$2:AF608),$AF$2:$AF$1001,0),1)&gt;=100000,INDEX($AM$1005:$BM$1005,1,MATCH(COLUMNS($AM$1006:BB1006),$AM$1006:$BM$1006,0))&gt;=100000), " ",IF(INDEX($AM$2:$BM$1001,MATCH(ROWS($AF$2:AF608),$AF$2:$AF$1001,0),MATCH(COLUMNS($AM$1006:BB1006),$AM$1006:$BM$1006,0)), HYPERLINK("#",""), HYPERLINK(CONCATENATE("#metadata!", ADDRESS(INDEX($AH$2:$AH$1001,MATCH(ROWS($AF$2:AF608),$AF$2:$AF$1001,0),0), INDEX($AM$1004:$BM$1004,1,MATCH(COLUMNS($AM$1006:BB1006),$AM$1006:$BM$1006,0)))),"Fix")))</f>
        <v xml:space="preserve"> </v>
      </c>
      <c r="R608" s="4" t="str">
        <f ca="1">IF(OR(INDEX($AG$2:$AG$1001,MATCH(ROWS($AF$2:AF608),$AF$2:$AF$1001,0),1)&gt;=100000,INDEX($AM$1005:$BM$1005,1,MATCH(COLUMNS($AM$1006:BC1006),$AM$1006:$BM$1006,0))&gt;=100000), " ",IF(INDEX($AM$2:$BM$1001,MATCH(ROWS($AF$2:AF608),$AF$2:$AF$1001,0),MATCH(COLUMNS($AM$1006:BC1006),$AM$1006:$BM$1006,0)), HYPERLINK("#",""), HYPERLINK(CONCATENATE("#metadata!", ADDRESS(INDEX($AH$2:$AH$1001,MATCH(ROWS($AF$2:AF608),$AF$2:$AF$1001,0),0), INDEX($AM$1004:$BM$1004,1,MATCH(COLUMNS($AM$1006:BC1006),$AM$1006:$BM$1006,0)))),"Fix")))</f>
        <v xml:space="preserve"> </v>
      </c>
      <c r="S608" s="4" t="str">
        <f ca="1">IF(OR(INDEX($AG$2:$AG$1001,MATCH(ROWS($AF$2:AF608),$AF$2:$AF$1001,0),1)&gt;=100000,INDEX($AM$1005:$BM$1005,1,MATCH(COLUMNS($AM$1006:BD1006),$AM$1006:$BM$1006,0))&gt;=100000), " ",IF(INDEX($AM$2:$BM$1001,MATCH(ROWS($AF$2:AF608),$AF$2:$AF$1001,0),MATCH(COLUMNS($AM$1006:BD1006),$AM$1006:$BM$1006,0)), HYPERLINK("#",""), HYPERLINK(CONCATENATE("#metadata!", ADDRESS(INDEX($AH$2:$AH$1001,MATCH(ROWS($AF$2:AF608),$AF$2:$AF$1001,0),0), INDEX($AM$1004:$BM$1004,1,MATCH(COLUMNS($AM$1006:BD1006),$AM$1006:$BM$1006,0)))),"Fix")))</f>
        <v xml:space="preserve"> </v>
      </c>
      <c r="T608" s="4" t="str">
        <f ca="1">IF(OR(INDEX($AG$2:$AG$1001,MATCH(ROWS($AF$2:AF608),$AF$2:$AF$1001,0),1)&gt;=100000,INDEX($AM$1005:$BM$1005,1,MATCH(COLUMNS($AM$1006:BE1006),$AM$1006:$BM$1006,0))&gt;=100000), " ",IF(INDEX($AM$2:$BM$1001,MATCH(ROWS($AF$2:AF608),$AF$2:$AF$1001,0),MATCH(COLUMNS($AM$1006:BE1006),$AM$1006:$BM$1006,0)), HYPERLINK("#",""), HYPERLINK(CONCATENATE("#metadata!", ADDRESS(INDEX($AH$2:$AH$1001,MATCH(ROWS($AF$2:AF608),$AF$2:$AF$1001,0),0), INDEX($AM$1004:$BM$1004,1,MATCH(COLUMNS($AM$1006:BE1006),$AM$1006:$BM$1006,0)))),"Fix")))</f>
        <v xml:space="preserve"> </v>
      </c>
      <c r="U608" s="4" t="str">
        <f ca="1">IF(OR(INDEX($AG$2:$AG$1001,MATCH(ROWS($AF$2:AF608),$AF$2:$AF$1001,0),1)&gt;=100000,INDEX($AM$1005:$BM$1005,1,MATCH(COLUMNS($AM$1006:BF1006),$AM$1006:$BM$1006,0))&gt;=100000), " ",IF(INDEX($AM$2:$BM$1001,MATCH(ROWS($AF$2:AF608),$AF$2:$AF$1001,0),MATCH(COLUMNS($AM$1006:BF1006),$AM$1006:$BM$1006,0)), HYPERLINK("#",""), HYPERLINK(CONCATENATE("#metadata!", ADDRESS(INDEX($AH$2:$AH$1001,MATCH(ROWS($AF$2:AF608),$AF$2:$AF$1001,0),0), INDEX($AM$1004:$BM$1004,1,MATCH(COLUMNS($AM$1006:BF1006),$AM$1006:$BM$1006,0)))),"Fix")))</f>
        <v xml:space="preserve"> </v>
      </c>
      <c r="V608" s="4" t="str">
        <f ca="1">IF(OR(INDEX($AG$2:$AG$1001,MATCH(ROWS($AF$2:AF608),$AF$2:$AF$1001,0),1)&gt;=100000,INDEX($AM$1005:$BM$1005,1,MATCH(COLUMNS($AM$1006:BG1006),$AM$1006:$BM$1006,0))&gt;=100000), " ",IF(INDEX($AM$2:$BM$1001,MATCH(ROWS($AF$2:AF608),$AF$2:$AF$1001,0),MATCH(COLUMNS($AM$1006:BG1006),$AM$1006:$BM$1006,0)), HYPERLINK("#",""), HYPERLINK(CONCATENATE("#metadata!", ADDRESS(INDEX($AH$2:$AH$1001,MATCH(ROWS($AF$2:AF608),$AF$2:$AF$1001,0),0), INDEX($AM$1004:$BM$1004,1,MATCH(COLUMNS($AM$1006:BG1006),$AM$1006:$BM$1006,0)))),"Fix")))</f>
        <v xml:space="preserve"> </v>
      </c>
      <c r="W608" s="4" t="str">
        <f ca="1">IF(OR(INDEX($AG$2:$AG$1001,MATCH(ROWS($AF$2:AF608),$AF$2:$AF$1001,0),1)&gt;=100000,INDEX($AM$1005:$BM$1005,1,MATCH(COLUMNS($AM$1006:BH1006),$AM$1006:$BM$1006,0))&gt;=100000), " ",IF(INDEX($AM$2:$BM$1001,MATCH(ROWS($AF$2:AF608),$AF$2:$AF$1001,0),MATCH(COLUMNS($AM$1006:BH1006),$AM$1006:$BM$1006,0)), HYPERLINK("#",""), HYPERLINK(CONCATENATE("#metadata!", ADDRESS(INDEX($AH$2:$AH$1001,MATCH(ROWS($AF$2:AF608),$AF$2:$AF$1001,0),0), INDEX($AM$1004:$BM$1004,1,MATCH(COLUMNS($AM$1006:BH1006),$AM$1006:$BM$1006,0)))),"Fix")))</f>
        <v xml:space="preserve"> </v>
      </c>
      <c r="X608" s="4" t="str">
        <f ca="1">IF(OR(INDEX($AG$2:$AG$1001,MATCH(ROWS($AF$2:AF608),$AF$2:$AF$1001,0),1)&gt;=100000,INDEX($AM$1005:$BM$1005,1,MATCH(COLUMNS($AM$1006:BI1006),$AM$1006:$BM$1006,0))&gt;=100000), " ",IF(INDEX($AM$2:$BM$1001,MATCH(ROWS($AF$2:AF608),$AF$2:$AF$1001,0),MATCH(COLUMNS($AM$1006:BI1006),$AM$1006:$BM$1006,0)), HYPERLINK("#",""), HYPERLINK(CONCATENATE("#metadata!", ADDRESS(INDEX($AH$2:$AH$1001,MATCH(ROWS($AF$2:AF608),$AF$2:$AF$1001,0),0), INDEX($AM$1004:$BM$1004,1,MATCH(COLUMNS($AM$1006:BI1006),$AM$1006:$BM$1006,0)))),"Fix")))</f>
        <v xml:space="preserve"> </v>
      </c>
      <c r="Y608" s="4" t="str">
        <f ca="1">IF(OR(INDEX($AG$2:$AG$1001,MATCH(ROWS($AF$2:AF608),$AF$2:$AF$1001,0),1)&gt;=100000,INDEX($AM$1005:$BM$1005,1,MATCH(COLUMNS($AM$1006:BJ1006),$AM$1006:$BM$1006,0))&gt;=100000), " ",IF(INDEX($AM$2:$BM$1001,MATCH(ROWS($AF$2:AF608),$AF$2:$AF$1001,0),MATCH(COLUMNS($AM$1006:BJ1006),$AM$1006:$BM$1006,0)), HYPERLINK("#",""), HYPERLINK(CONCATENATE("#metadata!", ADDRESS(INDEX($AH$2:$AH$1001,MATCH(ROWS($AF$2:AF608),$AF$2:$AF$1001,0),0), INDEX($AM$1004:$BM$1004,1,MATCH(COLUMNS($AM$1006:BJ1006),$AM$1006:$BM$1006,0)))),"Fix")))</f>
        <v xml:space="preserve"> </v>
      </c>
      <c r="Z608" s="4" t="str">
        <f ca="1">IF(OR(INDEX($AG$2:$AG$1001,MATCH(ROWS($AF$2:AF608),$AF$2:$AF$1001,0),1)&gt;=100000,INDEX($AM$1005:$BM$1005,1,MATCH(COLUMNS($AM$1006:BK1006),$AM$1006:$BM$1006,0))&gt;=100000), " ",IF(INDEX($AM$2:$BM$1001,MATCH(ROWS($AF$2:AF608),$AF$2:$AF$1001,0),MATCH(COLUMNS($AM$1006:BK1006),$AM$1006:$BM$1006,0)), HYPERLINK("#",""), HYPERLINK(CONCATENATE("#metadata!", ADDRESS(INDEX($AH$2:$AH$1001,MATCH(ROWS($AF$2:AF608),$AF$2:$AF$1001,0),0), INDEX($AM$1004:$BM$1004,1,MATCH(COLUMNS($AM$1006:BK1006),$AM$1006:$BM$1006,0)))),"Fix")))</f>
        <v xml:space="preserve"> </v>
      </c>
      <c r="AA608" s="4" t="str">
        <f ca="1">IF(OR(INDEX($AG$2:$AG$1001,MATCH(ROWS($AF$2:AF608),$AF$2:$AF$1001,0),1)&gt;=100000,INDEX($AM$1005:$BM$1005,1,MATCH(COLUMNS($AM$1006:BL1006),$AM$1006:$BM$1006,0))&gt;=100000), " ",IF(INDEX($AM$2:$BM$1001,MATCH(ROWS($AF$2:AF608),$AF$2:$AF$1001,0),MATCH(COLUMNS($AM$1006:BL1006),$AM$1006:$BM$1006,0)), HYPERLINK("#",""), HYPERLINK(CONCATENATE("#metadata!", ADDRESS(INDEX($AH$2:$AH$1001,MATCH(ROWS($AF$2:AF608),$AF$2:$AF$1001,0),0), INDEX($AM$1004:$BM$1004,1,MATCH(COLUMNS($AM$1006:BL1006),$AM$1006:$BM$1006,0)))),"Fix")))</f>
        <v xml:space="preserve"> </v>
      </c>
      <c r="AB608" s="4" t="str">
        <f ca="1">IF(OR(INDEX($AG$2:$AG$1001,MATCH(ROWS($AF$2:AF608),$AF$2:$AF$1001,0),1)&gt;=100000,INDEX($AM$1005:$BM$1005,1,MATCH(COLUMNS($AM$1006:BM1006),$AM$1006:$BM$1006,0))&gt;=100000), " ",IF(INDEX($AM$2:$BM$1001,MATCH(ROWS($AF$2:AF608),$AF$2:$AF$1001,0),MATCH(COLUMNS($AM$1006:BM1006),$AM$1006:$BM$1006,0)), HYPERLINK("#",""), HYPERLINK(CONCATENATE("#metadata!", ADDRESS(INDEX($AH$2:$AH$1001,MATCH(ROWS($AF$2:AF608),$AF$2:$AF$1001,0),0), INDEX($AM$1004:$BM$1004,1,MATCH(COLUMNS($AM$1006:BM1006),$AM$1006:$BM$1006,0)))),"Fix")))</f>
        <v xml:space="preserve"> </v>
      </c>
      <c r="AF608">
        <v>607</v>
      </c>
      <c r="AG608">
        <v>100608</v>
      </c>
      <c r="AH608">
        <v>608</v>
      </c>
      <c r="AI608" t="b">
        <f t="shared" si="9"/>
        <v>1</v>
      </c>
      <c r="AJ608" t="b">
        <f>COUNTBLANK(metadata!B608:AB608)=COLUMNS(metadata!B608:AB608)</f>
        <v>1</v>
      </c>
      <c r="AK608" t="str">
        <v/>
      </c>
      <c r="AM608" t="b">
        <f ca="1">AND(IF(metadata!B608="",FALSE,TRUE),COUNTIF(metadata!B:B, metadata!B608) = 1,NOT(ISERROR(SUMPRODUCT(SEARCH(MID(metadata!B608,ROW(INDIRECT("1:"&amp;LEN(metadata!B608))), 1),"0123456789abcdefghijklmnopqrstuvwxyzABCDEFGHIJKLMNOPQRSTUVWXYZ.")))))</f>
        <v>0</v>
      </c>
      <c r="AN608" t="b">
        <f ca="1">OR(AND(IF(metadata!C608="",FALSE,TRUE),OR(EXACT(metadata!C608,"missing: not collected"),EXACT(metadata!C608,"missing: not provided"),EXACT(metadata!C608,"missing: restricted access"))),AND(IF(metadata!C608="",FALSE,TRUE),AND(AND(IFERROR(INT(LEFT(metadata!C608,4))&gt;1900,FALSE),IFERROR(INT(LEFT(metadata!C608,4))&lt;=YEAR(NOW()),FALSE)), OR(MID(metadata!C608,5,1)="", AND(AND(MID(metadata!C608,5,1)="-",IFERROR(INT(MID(metadata!C608,6,1))&gt;=0,FALSE),IFERROR(INT(MID(metadata!C608,6,1))&lt;=1,FALSE),NOT(MID(metadata!C608,7,1)=""),IFERROR(INT(MID(metadata!C608,6,2))&gt;=1,FALSE),IFERROR(INT(MID(metadata!C608,6,2))&lt;=12,FALSE)), OR(MID(metadata!C608,8,1)="", AND(AND(MID(metadata!C608,8,1)="-",IFERROR(INT(MID(metadata!C608,9,1))&gt;=0,FALSE),IFERROR(INT(MID(metadata!C608,9,1))&lt;=3,FALSE),NOT(MID(metadata!C608,10,1)=""),IFERROR(INT(MID(metadata!C608,9,2))&gt;=1,FALSE),IFERROR(INT(MID(metadata!C608,9,2))&lt;=31,FALSE)), OR(MID(metadata!C608,11,1)="", AND(AND(MID(metadata!C608,11,1)=" ",IFERROR(INT(MID(metadata!C608,12,1))&gt;=0,FALSE),IFERROR(INT(MID(metadata!C608,12,1))&lt;=2,FALSE),NOT(MID(metadata!C608,13,1)=""),IFERROR(INT(MID(metadata!C608,12,2))&gt;=0,FALSE),IFERROR(INT(MID(metadata!C608,12,2))&lt;=23,FALSE)), OR(MID(metadata!C608,14,1)="", AND(AND(MID(metadata!C608,14,1)=":",IFERROR(INT(MID(metadata!C608,15,1))&gt;=0,FALSE),IFERROR(INT(MID(metadata!C608,15,1))&lt;=5,FALSE),NOT(MID(metadata!C608,16,1)=""),IFERROR(INT(MID(metadata!C608,15,2))&gt;=0,FALSE),IFERROR(INT(MID(metadata!C608,15,2))&lt;=59,FALSE)), OR(MID(metadata!C608,17,1)="", AND(AND(MID(metadata!C608,17,1)=":",IFERROR(INT(MID(metadata!C608,18,1))&gt;=0,FALSE),IFERROR(INT(MID(metadata!C608,18,1))&lt;=5,FALSE),NOT(MID(metadata!C608,19,1)=""),IFERROR(INT(MID(metadata!C608,18,2))&gt;=0,FALSE),IFERROR(INT(MID(metadata!C608,18,2))&lt;=59,FALSE)), LEN(metadata!C608)&lt;=19)))))))))))))</f>
        <v>0</v>
      </c>
      <c r="AO608" t="b">
        <f>AND(IF(metadata!D608="",FALSE,TRUE),EXACT(metadata!D608,"Not applicable"))</f>
        <v>0</v>
      </c>
      <c r="AP608" t="b">
        <f>IF(metadata!E608="",FALSE,TRUE)</f>
        <v>0</v>
      </c>
      <c r="AQ608" t="b">
        <f>OR(AND(IF(metadata!F608="",FALSE,TRUE),OR(EXACT(metadata!F608,"missing: not collected"),EXACT(metadata!F608,"missing: not provided"))),AND(IF(metadata!F608="",FALSE,TRUE),OR(EXACT(metadata!F608,"TRUE"),EXACT(metadata!F608,"FALSE"))))</f>
        <v>0</v>
      </c>
      <c r="AR608" t="b">
        <f>OR(AND(IF(metadata!G608="",FALSE,TRUE),OR(EXACT(metadata!G608,"missing: not collected"),EXACT(metadata!G608,"missing: not provided"),EXACT(metadata!G608,"missing: restricted access"))),AND(IF(metadata!G608="",FALSE,ISNUMBER(VALUE(metadata!G608))),metadata!G608&gt;=-413))</f>
        <v>0</v>
      </c>
      <c r="AS608" t="b">
        <f>AND(IF(metadata!H608="",FALSE,TRUE),EXACT(metadata!H608,"meters"))</f>
        <v>0</v>
      </c>
      <c r="AT608" t="b">
        <f>AND(IF(metadata!I608="",FALSE,TRUE),OR(EXACT(metadata!I608,"Host-associated"),EXACT(metadata!I608,"Free-living")))</f>
        <v>0</v>
      </c>
      <c r="AU608" t="b">
        <f>AND(IF(metadata!J608="",FALSE,TRUE),OR(EXACT(metadata!J608,"Animal"),EXACT(metadata!J608,"Fungus"),EXACT(metadata!J608,"Plant"),EXACT(metadata!J608,"Saline"),EXACT(metadata!J608,"Non-saline")))</f>
        <v>0</v>
      </c>
      <c r="AV608" t="b">
        <f>AND(IF(metadata!K608="",FALSE,TRUE),OR(EXACT(metadata!K608,"Plant secretion"),EXACT(metadata!K608,"Plant rhizosphere"),EXACT(metadata!K608,"Plant surface"),EXACT(metadata!K608,"Plant corpus"),EXACT(metadata!K608,"Fungus surface"),EXACT(metadata!K608,"Fungus corpus"),EXACT(metadata!K608,"Animal surface"),EXACT(metadata!K608,"Animal proximal gut"),EXACT(metadata!K608,"Animal corpus"),EXACT(metadata!K608,"Animal distal gut"),EXACT(metadata!K608,"Animal secretion"),EXACT(metadata!K608,"Sub-surface (non-saline)"),EXACT(metadata!K608,"Surface (non-saline)"),EXACT(metadata!K608,"Water (non-saline)"),EXACT(metadata!K608,"Soil (non-saline)"),EXACT(metadata!K608,"Aerosol (non-saline)"),EXACT(metadata!K608,"Sediment (non-saline)"),EXACT(metadata!K608,"Surface (saline)"),EXACT(metadata!K608,"Water (saline)"),EXACT(metadata!K608,"Hypersaline (saline)"),EXACT(metadata!K608,"Aerosol (saline)"),EXACT(metadata!K608,"Sediment (saline)")))</f>
        <v>0</v>
      </c>
      <c r="AW608" t="b">
        <f>IF(metadata!L608="",FALSE,TRUE)</f>
        <v>0</v>
      </c>
      <c r="AX608" t="b">
        <f>IF(metadata!M608="",FALSE,TRUE)</f>
        <v>0</v>
      </c>
      <c r="AY608" t="b">
        <f>IF(metadata!N608="",FALSE,TRUE)</f>
        <v>0</v>
      </c>
      <c r="AZ608" t="b">
        <f>OR(AND(IF(metadata!O608="",FALSE,TRUE),OR(EXACT(metadata!O608,"missing: not collected"),EXACT(metadata!O608,"missing: not provided"),EXACT(metadata!O608,"missing: restricted access"))),AND(IF(metadata!O608="",FALSE,TRUE),OR(EXACT(metadata!O608,"air"),EXACT(metadata!O608,"built environment"),EXACT(metadata!O608,"host-associated"),EXACT(metadata!O608,"human-associated"),EXACT(metadata!O608,"human-skin"),EXACT(metadata!O608,"human-oral"),EXACT(metadata!O608,"human-gut"),EXACT(metadata!O608,"human-vaginal"),EXACT(metadata!O608,"microbial mat/biofilm"),EXACT(metadata!O608,"misc environment"),EXACT(metadata!O608,"plant-associated"),EXACT(metadata!O608,"sediment"),EXACT(metadata!O608,"soil"),EXACT(metadata!O608,"wastewater/sludge"),EXACT(metadata!O608,"water"))))</f>
        <v>0</v>
      </c>
      <c r="BA608" t="b">
        <f>IF(metadata!P608="",FALSE,TRUE)</f>
        <v>0</v>
      </c>
      <c r="BB608" t="b">
        <f>IF(metadata!Q608="",FALSE,TRUE)</f>
        <v>0</v>
      </c>
      <c r="BC608" t="b">
        <f>OR(AND(IF(metadata!R608="",FALSE,TRUE),OR(EXACT(metadata!R608,"missing: not collected"),EXACT(metadata!R608,"missing: not provided"),EXACT(metadata!R608,"missing: restricted access"))),AND(IF(metadata!R608="",FALSE,ISNUMBER(VALUE(metadata!R608))),metadata!R608&gt;=-90,metadata!R608&lt;=90))</f>
        <v>0</v>
      </c>
      <c r="BD608" t="b">
        <f>AND(IF(metadata!S608="",FALSE,TRUE),EXACT(metadata!S608,"Decimal degrees"))</f>
        <v>0</v>
      </c>
      <c r="BE608" t="b">
        <f>OR(AND(IF(metadata!T608="",FALSE,TRUE),OR(EXACT(metadata!T608,"missing: not collected"),EXACT(metadata!T608,"missing: not provided"),EXACT(metadata!T608,"missing: restricted access"))),AND(IF(metadata!T608="",FALSE,ISNUMBER(VALUE(metadata!T608))),metadata!T608&gt;=-180,metadata!T608&lt;=180))</f>
        <v>0</v>
      </c>
      <c r="BF608" t="b">
        <f>AND(IF(metadata!U608="",FALSE,TRUE),EXACT(metadata!U608,"Decimal degrees"))</f>
        <v>0</v>
      </c>
      <c r="BG608" t="b">
        <f>IF(metadata!V608="",FALSE,TRUE)</f>
        <v>0</v>
      </c>
      <c r="BH608" t="b">
        <f>OR(AND(IF(metadata!W608="",FALSE,TRUE),OR(EXACT(metadata!W608,"missing: not collected"),EXACT(metadata!W608,"missing: not provided"),EXACT(metadata!W608,"missing: restricted access"))),AND(IF(metadata!W608="",FALSE,TRUE),OR(EXACT(metadata!W608,"TRUE"),EXACT(metadata!W608,"FALSE"))))</f>
        <v>0</v>
      </c>
      <c r="BI608" t="b">
        <f>AND(IF(metadata!X608="",FALSE,TRUE),EXACT(metadata!X608,"other"))</f>
        <v>0</v>
      </c>
      <c r="BJ608" t="b">
        <f>IF(metadata!Y608="",FALSE,TRUE)</f>
        <v>0</v>
      </c>
      <c r="BK608" t="b">
        <f>OR(AND(IF(metadata!Z608="",FALSE,TRUE),OR(EXACT(metadata!Z608,"missing: not collected"),EXACT(metadata!Z608,"missing: not provided"))),AND(IF(metadata!Z608="",FALSE,IF(ISERROR(INT(metadata!Z608)),FALSE,INT(metadata!Z608)=metadata!Z608)),metadata!Z608&gt;0))</f>
        <v>0</v>
      </c>
      <c r="BL608" t="b">
        <f>AND(IF(metadata!AA608="",FALSE,TRUE),EXACT(metadata!AA608,"Not applicable"))</f>
        <v>0</v>
      </c>
      <c r="BM608" t="b">
        <f>IF(metadata!AB608="",FALSE,TRUE)</f>
        <v>0</v>
      </c>
    </row>
    <row r="609" spans="1:65" x14ac:dyDescent="0.2">
      <c r="A609" s="5" t="str">
        <f ca="1">IF(B609=" "," ",HYPERLINK(CONCATENATE("#metadata!",ADDRESS(INDEX($AH$2:$AH$1001,MATCH(ROWS($AF$2:AF609),$AF$2:$AF$1001,0),0),1)),INDEX($AK$2:$AK$1001,MATCH(ROWS($AF$2:AF609),$AF$2:$AF$1001,0),0)))</f>
        <v xml:space="preserve"> </v>
      </c>
      <c r="B609" s="4" t="str">
        <f ca="1">IF(OR(INDEX($AG$2:$AG$1001,MATCH(ROWS($AF$2:AF609),$AF$2:$AF$1001,0),1)&gt;=100000,INDEX($AM$1005:$BM$1005,1,MATCH(COLUMNS($AM$1006:AM1006),$AM$1006:$BM$1006,0))&gt;=100000), " ",IF(INDEX($AM$2:$BM$1001,MATCH(ROWS($AF$2:AF609),$AF$2:$AF$1001,0),MATCH(COLUMNS($AM$1006:AM1006),$AM$1006:$BM$1006,0)), HYPERLINK("#",""), HYPERLINK(CONCATENATE("#metadata!", ADDRESS(INDEX($AH$2:$AH$1001,MATCH(ROWS($AF$2:AF609),$AF$2:$AF$1001,0),0), INDEX($AM$1004:$BM$1004,1,MATCH(COLUMNS($AM$1006:AM1006),$AM$1006:$BM$1006,0)))),"Fix")))</f>
        <v xml:space="preserve"> </v>
      </c>
      <c r="C609" s="4" t="str">
        <f ca="1">IF(OR(INDEX($AG$2:$AG$1001,MATCH(ROWS($AF$2:AF609),$AF$2:$AF$1001,0),1)&gt;=100000,INDEX($AM$1005:$BM$1005,1,MATCH(COLUMNS($AM$1006:AN1006),$AM$1006:$BM$1006,0))&gt;=100000), " ",IF(INDEX($AM$2:$BM$1001,MATCH(ROWS($AF$2:AF609),$AF$2:$AF$1001,0),MATCH(COLUMNS($AM$1006:AN1006),$AM$1006:$BM$1006,0)), HYPERLINK("#",""), HYPERLINK(CONCATENATE("#metadata!", ADDRESS(INDEX($AH$2:$AH$1001,MATCH(ROWS($AF$2:AF609),$AF$2:$AF$1001,0),0), INDEX($AM$1004:$BM$1004,1,MATCH(COLUMNS($AM$1006:AN1006),$AM$1006:$BM$1006,0)))),"Fix")))</f>
        <v xml:space="preserve"> </v>
      </c>
      <c r="D609" s="4" t="str">
        <f ca="1">IF(OR(INDEX($AG$2:$AG$1001,MATCH(ROWS($AF$2:AF609),$AF$2:$AF$1001,0),1)&gt;=100000,INDEX($AM$1005:$BM$1005,1,MATCH(COLUMNS($AM$1006:AO1006),$AM$1006:$BM$1006,0))&gt;=100000), " ",IF(INDEX($AM$2:$BM$1001,MATCH(ROWS($AF$2:AF609),$AF$2:$AF$1001,0),MATCH(COLUMNS($AM$1006:AO1006),$AM$1006:$BM$1006,0)), HYPERLINK("#",""), HYPERLINK(CONCATENATE("#metadata!", ADDRESS(INDEX($AH$2:$AH$1001,MATCH(ROWS($AF$2:AF609),$AF$2:$AF$1001,0),0), INDEX($AM$1004:$BM$1004,1,MATCH(COLUMNS($AM$1006:AO1006),$AM$1006:$BM$1006,0)))),"Fix")))</f>
        <v xml:space="preserve"> </v>
      </c>
      <c r="E609" s="4" t="str">
        <f ca="1">IF(OR(INDEX($AG$2:$AG$1001,MATCH(ROWS($AF$2:AF609),$AF$2:$AF$1001,0),1)&gt;=100000,INDEX($AM$1005:$BM$1005,1,MATCH(COLUMNS($AM$1006:AP1006),$AM$1006:$BM$1006,0))&gt;=100000), " ",IF(INDEX($AM$2:$BM$1001,MATCH(ROWS($AF$2:AF609),$AF$2:$AF$1001,0),MATCH(COLUMNS($AM$1006:AP1006),$AM$1006:$BM$1006,0)), HYPERLINK("#",""), HYPERLINK(CONCATENATE("#metadata!", ADDRESS(INDEX($AH$2:$AH$1001,MATCH(ROWS($AF$2:AF609),$AF$2:$AF$1001,0),0), INDEX($AM$1004:$BM$1004,1,MATCH(COLUMNS($AM$1006:AP1006),$AM$1006:$BM$1006,0)))),"Fix")))</f>
        <v xml:space="preserve"> </v>
      </c>
      <c r="F609" s="4" t="str">
        <f ca="1">IF(OR(INDEX($AG$2:$AG$1001,MATCH(ROWS($AF$2:AF609),$AF$2:$AF$1001,0),1)&gt;=100000,INDEX($AM$1005:$BM$1005,1,MATCH(COLUMNS($AM$1006:AQ1006),$AM$1006:$BM$1006,0))&gt;=100000), " ",IF(INDEX($AM$2:$BM$1001,MATCH(ROWS($AF$2:AF609),$AF$2:$AF$1001,0),MATCH(COLUMNS($AM$1006:AQ1006),$AM$1006:$BM$1006,0)), HYPERLINK("#",""), HYPERLINK(CONCATENATE("#metadata!", ADDRESS(INDEX($AH$2:$AH$1001,MATCH(ROWS($AF$2:AF609),$AF$2:$AF$1001,0),0), INDEX($AM$1004:$BM$1004,1,MATCH(COLUMNS($AM$1006:AQ1006),$AM$1006:$BM$1006,0)))),"Fix")))</f>
        <v xml:space="preserve"> </v>
      </c>
      <c r="G609" s="4" t="str">
        <f ca="1">IF(OR(INDEX($AG$2:$AG$1001,MATCH(ROWS($AF$2:AF609),$AF$2:$AF$1001,0),1)&gt;=100000,INDEX($AM$1005:$BM$1005,1,MATCH(COLUMNS($AM$1006:AR1006),$AM$1006:$BM$1006,0))&gt;=100000), " ",IF(INDEX($AM$2:$BM$1001,MATCH(ROWS($AF$2:AF609),$AF$2:$AF$1001,0),MATCH(COLUMNS($AM$1006:AR1006),$AM$1006:$BM$1006,0)), HYPERLINK("#",""), HYPERLINK(CONCATENATE("#metadata!", ADDRESS(INDEX($AH$2:$AH$1001,MATCH(ROWS($AF$2:AF609),$AF$2:$AF$1001,0),0), INDEX($AM$1004:$BM$1004,1,MATCH(COLUMNS($AM$1006:AR1006),$AM$1006:$BM$1006,0)))),"Fix")))</f>
        <v xml:space="preserve"> </v>
      </c>
      <c r="H609" s="4" t="str">
        <f ca="1">IF(OR(INDEX($AG$2:$AG$1001,MATCH(ROWS($AF$2:AF609),$AF$2:$AF$1001,0),1)&gt;=100000,INDEX($AM$1005:$BM$1005,1,MATCH(COLUMNS($AM$1006:AS1006),$AM$1006:$BM$1006,0))&gt;=100000), " ",IF(INDEX($AM$2:$BM$1001,MATCH(ROWS($AF$2:AF609),$AF$2:$AF$1001,0),MATCH(COLUMNS($AM$1006:AS1006),$AM$1006:$BM$1006,0)), HYPERLINK("#",""), HYPERLINK(CONCATENATE("#metadata!", ADDRESS(INDEX($AH$2:$AH$1001,MATCH(ROWS($AF$2:AF609),$AF$2:$AF$1001,0),0), INDEX($AM$1004:$BM$1004,1,MATCH(COLUMNS($AM$1006:AS1006),$AM$1006:$BM$1006,0)))),"Fix")))</f>
        <v xml:space="preserve"> </v>
      </c>
      <c r="I609" s="4" t="str">
        <f ca="1">IF(OR(INDEX($AG$2:$AG$1001,MATCH(ROWS($AF$2:AF609),$AF$2:$AF$1001,0),1)&gt;=100000,INDEX($AM$1005:$BM$1005,1,MATCH(COLUMNS($AM$1006:AT1006),$AM$1006:$BM$1006,0))&gt;=100000), " ",IF(INDEX($AM$2:$BM$1001,MATCH(ROWS($AF$2:AF609),$AF$2:$AF$1001,0),MATCH(COLUMNS($AM$1006:AT1006),$AM$1006:$BM$1006,0)), HYPERLINK("#",""), HYPERLINK(CONCATENATE("#metadata!", ADDRESS(INDEX($AH$2:$AH$1001,MATCH(ROWS($AF$2:AF609),$AF$2:$AF$1001,0),0), INDEX($AM$1004:$BM$1004,1,MATCH(COLUMNS($AM$1006:AT1006),$AM$1006:$BM$1006,0)))),"Fix")))</f>
        <v xml:space="preserve"> </v>
      </c>
      <c r="J609" s="4" t="str">
        <f ca="1">IF(OR(INDEX($AG$2:$AG$1001,MATCH(ROWS($AF$2:AF609),$AF$2:$AF$1001,0),1)&gt;=100000,INDEX($AM$1005:$BM$1005,1,MATCH(COLUMNS($AM$1006:AU1006),$AM$1006:$BM$1006,0))&gt;=100000), " ",IF(INDEX($AM$2:$BM$1001,MATCH(ROWS($AF$2:AF609),$AF$2:$AF$1001,0),MATCH(COLUMNS($AM$1006:AU1006),$AM$1006:$BM$1006,0)), HYPERLINK("#",""), HYPERLINK(CONCATENATE("#metadata!", ADDRESS(INDEX($AH$2:$AH$1001,MATCH(ROWS($AF$2:AF609),$AF$2:$AF$1001,0),0), INDEX($AM$1004:$BM$1004,1,MATCH(COLUMNS($AM$1006:AU1006),$AM$1006:$BM$1006,0)))),"Fix")))</f>
        <v xml:space="preserve"> </v>
      </c>
      <c r="K609" s="4" t="str">
        <f ca="1">IF(OR(INDEX($AG$2:$AG$1001,MATCH(ROWS($AF$2:AF609),$AF$2:$AF$1001,0),1)&gt;=100000,INDEX($AM$1005:$BM$1005,1,MATCH(COLUMNS($AM$1006:AV1006),$AM$1006:$BM$1006,0))&gt;=100000), " ",IF(INDEX($AM$2:$BM$1001,MATCH(ROWS($AF$2:AF609),$AF$2:$AF$1001,0),MATCH(COLUMNS($AM$1006:AV1006),$AM$1006:$BM$1006,0)), HYPERLINK("#",""), HYPERLINK(CONCATENATE("#metadata!", ADDRESS(INDEX($AH$2:$AH$1001,MATCH(ROWS($AF$2:AF609),$AF$2:$AF$1001,0),0), INDEX($AM$1004:$BM$1004,1,MATCH(COLUMNS($AM$1006:AV1006),$AM$1006:$BM$1006,0)))),"Fix")))</f>
        <v xml:space="preserve"> </v>
      </c>
      <c r="L609" s="4" t="str">
        <f ca="1">IF(OR(INDEX($AG$2:$AG$1001,MATCH(ROWS($AF$2:AF609),$AF$2:$AF$1001,0),1)&gt;=100000,INDEX($AM$1005:$BM$1005,1,MATCH(COLUMNS($AM$1006:AW1006),$AM$1006:$BM$1006,0))&gt;=100000), " ",IF(INDEX($AM$2:$BM$1001,MATCH(ROWS($AF$2:AF609),$AF$2:$AF$1001,0),MATCH(COLUMNS($AM$1006:AW1006),$AM$1006:$BM$1006,0)), HYPERLINK("#",""), HYPERLINK(CONCATENATE("#metadata!", ADDRESS(INDEX($AH$2:$AH$1001,MATCH(ROWS($AF$2:AF609),$AF$2:$AF$1001,0),0), INDEX($AM$1004:$BM$1004,1,MATCH(COLUMNS($AM$1006:AW1006),$AM$1006:$BM$1006,0)))),"Fix")))</f>
        <v xml:space="preserve"> </v>
      </c>
      <c r="M609" s="4" t="str">
        <f ca="1">IF(OR(INDEX($AG$2:$AG$1001,MATCH(ROWS($AF$2:AF609),$AF$2:$AF$1001,0),1)&gt;=100000,INDEX($AM$1005:$BM$1005,1,MATCH(COLUMNS($AM$1006:AX1006),$AM$1006:$BM$1006,0))&gt;=100000), " ",IF(INDEX($AM$2:$BM$1001,MATCH(ROWS($AF$2:AF609),$AF$2:$AF$1001,0),MATCH(COLUMNS($AM$1006:AX1006),$AM$1006:$BM$1006,0)), HYPERLINK("#",""), HYPERLINK(CONCATENATE("#metadata!", ADDRESS(INDEX($AH$2:$AH$1001,MATCH(ROWS($AF$2:AF609),$AF$2:$AF$1001,0),0), INDEX($AM$1004:$BM$1004,1,MATCH(COLUMNS($AM$1006:AX1006),$AM$1006:$BM$1006,0)))),"Fix")))</f>
        <v xml:space="preserve"> </v>
      </c>
      <c r="N609" s="4" t="str">
        <f ca="1">IF(OR(INDEX($AG$2:$AG$1001,MATCH(ROWS($AF$2:AF609),$AF$2:$AF$1001,0),1)&gt;=100000,INDEX($AM$1005:$BM$1005,1,MATCH(COLUMNS($AM$1006:AY1006),$AM$1006:$BM$1006,0))&gt;=100000), " ",IF(INDEX($AM$2:$BM$1001,MATCH(ROWS($AF$2:AF609),$AF$2:$AF$1001,0),MATCH(COLUMNS($AM$1006:AY1006),$AM$1006:$BM$1006,0)), HYPERLINK("#",""), HYPERLINK(CONCATENATE("#metadata!", ADDRESS(INDEX($AH$2:$AH$1001,MATCH(ROWS($AF$2:AF609),$AF$2:$AF$1001,0),0), INDEX($AM$1004:$BM$1004,1,MATCH(COLUMNS($AM$1006:AY1006),$AM$1006:$BM$1006,0)))),"Fix")))</f>
        <v xml:space="preserve"> </v>
      </c>
      <c r="O609" s="4" t="str">
        <f ca="1">IF(OR(INDEX($AG$2:$AG$1001,MATCH(ROWS($AF$2:AF609),$AF$2:$AF$1001,0),1)&gt;=100000,INDEX($AM$1005:$BM$1005,1,MATCH(COLUMNS($AM$1006:AZ1006),$AM$1006:$BM$1006,0))&gt;=100000), " ",IF(INDEX($AM$2:$BM$1001,MATCH(ROWS($AF$2:AF609),$AF$2:$AF$1001,0),MATCH(COLUMNS($AM$1006:AZ1006),$AM$1006:$BM$1006,0)), HYPERLINK("#",""), HYPERLINK(CONCATENATE("#metadata!", ADDRESS(INDEX($AH$2:$AH$1001,MATCH(ROWS($AF$2:AF609),$AF$2:$AF$1001,0),0), INDEX($AM$1004:$BM$1004,1,MATCH(COLUMNS($AM$1006:AZ1006),$AM$1006:$BM$1006,0)))),"Fix")))</f>
        <v xml:space="preserve"> </v>
      </c>
      <c r="P609" s="4" t="str">
        <f ca="1">IF(OR(INDEX($AG$2:$AG$1001,MATCH(ROWS($AF$2:AF609),$AF$2:$AF$1001,0),1)&gt;=100000,INDEX($AM$1005:$BM$1005,1,MATCH(COLUMNS($AM$1006:BA1006),$AM$1006:$BM$1006,0))&gt;=100000), " ",IF(INDEX($AM$2:$BM$1001,MATCH(ROWS($AF$2:AF609),$AF$2:$AF$1001,0),MATCH(COLUMNS($AM$1006:BA1006),$AM$1006:$BM$1006,0)), HYPERLINK("#",""), HYPERLINK(CONCATENATE("#metadata!", ADDRESS(INDEX($AH$2:$AH$1001,MATCH(ROWS($AF$2:AF609),$AF$2:$AF$1001,0),0), INDEX($AM$1004:$BM$1004,1,MATCH(COLUMNS($AM$1006:BA1006),$AM$1006:$BM$1006,0)))),"Fix")))</f>
        <v xml:space="preserve"> </v>
      </c>
      <c r="Q609" s="4" t="str">
        <f ca="1">IF(OR(INDEX($AG$2:$AG$1001,MATCH(ROWS($AF$2:AF609),$AF$2:$AF$1001,0),1)&gt;=100000,INDEX($AM$1005:$BM$1005,1,MATCH(COLUMNS($AM$1006:BB1006),$AM$1006:$BM$1006,0))&gt;=100000), " ",IF(INDEX($AM$2:$BM$1001,MATCH(ROWS($AF$2:AF609),$AF$2:$AF$1001,0),MATCH(COLUMNS($AM$1006:BB1006),$AM$1006:$BM$1006,0)), HYPERLINK("#",""), HYPERLINK(CONCATENATE("#metadata!", ADDRESS(INDEX($AH$2:$AH$1001,MATCH(ROWS($AF$2:AF609),$AF$2:$AF$1001,0),0), INDEX($AM$1004:$BM$1004,1,MATCH(COLUMNS($AM$1006:BB1006),$AM$1006:$BM$1006,0)))),"Fix")))</f>
        <v xml:space="preserve"> </v>
      </c>
      <c r="R609" s="4" t="str">
        <f ca="1">IF(OR(INDEX($AG$2:$AG$1001,MATCH(ROWS($AF$2:AF609),$AF$2:$AF$1001,0),1)&gt;=100000,INDEX($AM$1005:$BM$1005,1,MATCH(COLUMNS($AM$1006:BC1006),$AM$1006:$BM$1006,0))&gt;=100000), " ",IF(INDEX($AM$2:$BM$1001,MATCH(ROWS($AF$2:AF609),$AF$2:$AF$1001,0),MATCH(COLUMNS($AM$1006:BC1006),$AM$1006:$BM$1006,0)), HYPERLINK("#",""), HYPERLINK(CONCATENATE("#metadata!", ADDRESS(INDEX($AH$2:$AH$1001,MATCH(ROWS($AF$2:AF609),$AF$2:$AF$1001,0),0), INDEX($AM$1004:$BM$1004,1,MATCH(COLUMNS($AM$1006:BC1006),$AM$1006:$BM$1006,0)))),"Fix")))</f>
        <v xml:space="preserve"> </v>
      </c>
      <c r="S609" s="4" t="str">
        <f ca="1">IF(OR(INDEX($AG$2:$AG$1001,MATCH(ROWS($AF$2:AF609),$AF$2:$AF$1001,0),1)&gt;=100000,INDEX($AM$1005:$BM$1005,1,MATCH(COLUMNS($AM$1006:BD1006),$AM$1006:$BM$1006,0))&gt;=100000), " ",IF(INDEX($AM$2:$BM$1001,MATCH(ROWS($AF$2:AF609),$AF$2:$AF$1001,0),MATCH(COLUMNS($AM$1006:BD1006),$AM$1006:$BM$1006,0)), HYPERLINK("#",""), HYPERLINK(CONCATENATE("#metadata!", ADDRESS(INDEX($AH$2:$AH$1001,MATCH(ROWS($AF$2:AF609),$AF$2:$AF$1001,0),0), INDEX($AM$1004:$BM$1004,1,MATCH(COLUMNS($AM$1006:BD1006),$AM$1006:$BM$1006,0)))),"Fix")))</f>
        <v xml:space="preserve"> </v>
      </c>
      <c r="T609" s="4" t="str">
        <f ca="1">IF(OR(INDEX($AG$2:$AG$1001,MATCH(ROWS($AF$2:AF609),$AF$2:$AF$1001,0),1)&gt;=100000,INDEX($AM$1005:$BM$1005,1,MATCH(COLUMNS($AM$1006:BE1006),$AM$1006:$BM$1006,0))&gt;=100000), " ",IF(INDEX($AM$2:$BM$1001,MATCH(ROWS($AF$2:AF609),$AF$2:$AF$1001,0),MATCH(COLUMNS($AM$1006:BE1006),$AM$1006:$BM$1006,0)), HYPERLINK("#",""), HYPERLINK(CONCATENATE("#metadata!", ADDRESS(INDEX($AH$2:$AH$1001,MATCH(ROWS($AF$2:AF609),$AF$2:$AF$1001,0),0), INDEX($AM$1004:$BM$1004,1,MATCH(COLUMNS($AM$1006:BE1006),$AM$1006:$BM$1006,0)))),"Fix")))</f>
        <v xml:space="preserve"> </v>
      </c>
      <c r="U609" s="4" t="str">
        <f ca="1">IF(OR(INDEX($AG$2:$AG$1001,MATCH(ROWS($AF$2:AF609),$AF$2:$AF$1001,0),1)&gt;=100000,INDEX($AM$1005:$BM$1005,1,MATCH(COLUMNS($AM$1006:BF1006),$AM$1006:$BM$1006,0))&gt;=100000), " ",IF(INDEX($AM$2:$BM$1001,MATCH(ROWS($AF$2:AF609),$AF$2:$AF$1001,0),MATCH(COLUMNS($AM$1006:BF1006),$AM$1006:$BM$1006,0)), HYPERLINK("#",""), HYPERLINK(CONCATENATE("#metadata!", ADDRESS(INDEX($AH$2:$AH$1001,MATCH(ROWS($AF$2:AF609),$AF$2:$AF$1001,0),0), INDEX($AM$1004:$BM$1004,1,MATCH(COLUMNS($AM$1006:BF1006),$AM$1006:$BM$1006,0)))),"Fix")))</f>
        <v xml:space="preserve"> </v>
      </c>
      <c r="V609" s="4" t="str">
        <f ca="1">IF(OR(INDEX($AG$2:$AG$1001,MATCH(ROWS($AF$2:AF609),$AF$2:$AF$1001,0),1)&gt;=100000,INDEX($AM$1005:$BM$1005,1,MATCH(COLUMNS($AM$1006:BG1006),$AM$1006:$BM$1006,0))&gt;=100000), " ",IF(INDEX($AM$2:$BM$1001,MATCH(ROWS($AF$2:AF609),$AF$2:$AF$1001,0),MATCH(COLUMNS($AM$1006:BG1006),$AM$1006:$BM$1006,0)), HYPERLINK("#",""), HYPERLINK(CONCATENATE("#metadata!", ADDRESS(INDEX($AH$2:$AH$1001,MATCH(ROWS($AF$2:AF609),$AF$2:$AF$1001,0),0), INDEX($AM$1004:$BM$1004,1,MATCH(COLUMNS($AM$1006:BG1006),$AM$1006:$BM$1006,0)))),"Fix")))</f>
        <v xml:space="preserve"> </v>
      </c>
      <c r="W609" s="4" t="str">
        <f ca="1">IF(OR(INDEX($AG$2:$AG$1001,MATCH(ROWS($AF$2:AF609),$AF$2:$AF$1001,0),1)&gt;=100000,INDEX($AM$1005:$BM$1005,1,MATCH(COLUMNS($AM$1006:BH1006),$AM$1006:$BM$1006,0))&gt;=100000), " ",IF(INDEX($AM$2:$BM$1001,MATCH(ROWS($AF$2:AF609),$AF$2:$AF$1001,0),MATCH(COLUMNS($AM$1006:BH1006),$AM$1006:$BM$1006,0)), HYPERLINK("#",""), HYPERLINK(CONCATENATE("#metadata!", ADDRESS(INDEX($AH$2:$AH$1001,MATCH(ROWS($AF$2:AF609),$AF$2:$AF$1001,0),0), INDEX($AM$1004:$BM$1004,1,MATCH(COLUMNS($AM$1006:BH1006),$AM$1006:$BM$1006,0)))),"Fix")))</f>
        <v xml:space="preserve"> </v>
      </c>
      <c r="X609" s="4" t="str">
        <f ca="1">IF(OR(INDEX($AG$2:$AG$1001,MATCH(ROWS($AF$2:AF609),$AF$2:$AF$1001,0),1)&gt;=100000,INDEX($AM$1005:$BM$1005,1,MATCH(COLUMNS($AM$1006:BI1006),$AM$1006:$BM$1006,0))&gt;=100000), " ",IF(INDEX($AM$2:$BM$1001,MATCH(ROWS($AF$2:AF609),$AF$2:$AF$1001,0),MATCH(COLUMNS($AM$1006:BI1006),$AM$1006:$BM$1006,0)), HYPERLINK("#",""), HYPERLINK(CONCATENATE("#metadata!", ADDRESS(INDEX($AH$2:$AH$1001,MATCH(ROWS($AF$2:AF609),$AF$2:$AF$1001,0),0), INDEX($AM$1004:$BM$1004,1,MATCH(COLUMNS($AM$1006:BI1006),$AM$1006:$BM$1006,0)))),"Fix")))</f>
        <v xml:space="preserve"> </v>
      </c>
      <c r="Y609" s="4" t="str">
        <f ca="1">IF(OR(INDEX($AG$2:$AG$1001,MATCH(ROWS($AF$2:AF609),$AF$2:$AF$1001,0),1)&gt;=100000,INDEX($AM$1005:$BM$1005,1,MATCH(COLUMNS($AM$1006:BJ1006),$AM$1006:$BM$1006,0))&gt;=100000), " ",IF(INDEX($AM$2:$BM$1001,MATCH(ROWS($AF$2:AF609),$AF$2:$AF$1001,0),MATCH(COLUMNS($AM$1006:BJ1006),$AM$1006:$BM$1006,0)), HYPERLINK("#",""), HYPERLINK(CONCATENATE("#metadata!", ADDRESS(INDEX($AH$2:$AH$1001,MATCH(ROWS($AF$2:AF609),$AF$2:$AF$1001,0),0), INDEX($AM$1004:$BM$1004,1,MATCH(COLUMNS($AM$1006:BJ1006),$AM$1006:$BM$1006,0)))),"Fix")))</f>
        <v xml:space="preserve"> </v>
      </c>
      <c r="Z609" s="4" t="str">
        <f ca="1">IF(OR(INDEX($AG$2:$AG$1001,MATCH(ROWS($AF$2:AF609),$AF$2:$AF$1001,0),1)&gt;=100000,INDEX($AM$1005:$BM$1005,1,MATCH(COLUMNS($AM$1006:BK1006),$AM$1006:$BM$1006,0))&gt;=100000), " ",IF(INDEX($AM$2:$BM$1001,MATCH(ROWS($AF$2:AF609),$AF$2:$AF$1001,0),MATCH(COLUMNS($AM$1006:BK1006),$AM$1006:$BM$1006,0)), HYPERLINK("#",""), HYPERLINK(CONCATENATE("#metadata!", ADDRESS(INDEX($AH$2:$AH$1001,MATCH(ROWS($AF$2:AF609),$AF$2:$AF$1001,0),0), INDEX($AM$1004:$BM$1004,1,MATCH(COLUMNS($AM$1006:BK1006),$AM$1006:$BM$1006,0)))),"Fix")))</f>
        <v xml:space="preserve"> </v>
      </c>
      <c r="AA609" s="4" t="str">
        <f ca="1">IF(OR(INDEX($AG$2:$AG$1001,MATCH(ROWS($AF$2:AF609),$AF$2:$AF$1001,0),1)&gt;=100000,INDEX($AM$1005:$BM$1005,1,MATCH(COLUMNS($AM$1006:BL1006),$AM$1006:$BM$1006,0))&gt;=100000), " ",IF(INDEX($AM$2:$BM$1001,MATCH(ROWS($AF$2:AF609),$AF$2:$AF$1001,0),MATCH(COLUMNS($AM$1006:BL1006),$AM$1006:$BM$1006,0)), HYPERLINK("#",""), HYPERLINK(CONCATENATE("#metadata!", ADDRESS(INDEX($AH$2:$AH$1001,MATCH(ROWS($AF$2:AF609),$AF$2:$AF$1001,0),0), INDEX($AM$1004:$BM$1004,1,MATCH(COLUMNS($AM$1006:BL1006),$AM$1006:$BM$1006,0)))),"Fix")))</f>
        <v xml:space="preserve"> </v>
      </c>
      <c r="AB609" s="4" t="str">
        <f ca="1">IF(OR(INDEX($AG$2:$AG$1001,MATCH(ROWS($AF$2:AF609),$AF$2:$AF$1001,0),1)&gt;=100000,INDEX($AM$1005:$BM$1005,1,MATCH(COLUMNS($AM$1006:BM1006),$AM$1006:$BM$1006,0))&gt;=100000), " ",IF(INDEX($AM$2:$BM$1001,MATCH(ROWS($AF$2:AF609),$AF$2:$AF$1001,0),MATCH(COLUMNS($AM$1006:BM1006),$AM$1006:$BM$1006,0)), HYPERLINK("#",""), HYPERLINK(CONCATENATE("#metadata!", ADDRESS(INDEX($AH$2:$AH$1001,MATCH(ROWS($AF$2:AF609),$AF$2:$AF$1001,0),0), INDEX($AM$1004:$BM$1004,1,MATCH(COLUMNS($AM$1006:BM1006),$AM$1006:$BM$1006,0)))),"Fix")))</f>
        <v xml:space="preserve"> </v>
      </c>
      <c r="AF609">
        <v>608</v>
      </c>
      <c r="AG609">
        <v>100609</v>
      </c>
      <c r="AH609">
        <v>609</v>
      </c>
      <c r="AI609" t="b">
        <f t="shared" si="9"/>
        <v>1</v>
      </c>
      <c r="AJ609" t="b">
        <f>COUNTBLANK(metadata!B609:AB609)=COLUMNS(metadata!B609:AB609)</f>
        <v>1</v>
      </c>
      <c r="AK609" t="str">
        <v/>
      </c>
      <c r="AM609" t="b">
        <f ca="1">AND(IF(metadata!B609="",FALSE,TRUE),COUNTIF(metadata!B:B, metadata!B609) = 1,NOT(ISERROR(SUMPRODUCT(SEARCH(MID(metadata!B609,ROW(INDIRECT("1:"&amp;LEN(metadata!B609))), 1),"0123456789abcdefghijklmnopqrstuvwxyzABCDEFGHIJKLMNOPQRSTUVWXYZ.")))))</f>
        <v>0</v>
      </c>
      <c r="AN609" t="b">
        <f ca="1">OR(AND(IF(metadata!C609="",FALSE,TRUE),OR(EXACT(metadata!C609,"missing: not collected"),EXACT(metadata!C609,"missing: not provided"),EXACT(metadata!C609,"missing: restricted access"))),AND(IF(metadata!C609="",FALSE,TRUE),AND(AND(IFERROR(INT(LEFT(metadata!C609,4))&gt;1900,FALSE),IFERROR(INT(LEFT(metadata!C609,4))&lt;=YEAR(NOW()),FALSE)), OR(MID(metadata!C609,5,1)="", AND(AND(MID(metadata!C609,5,1)="-",IFERROR(INT(MID(metadata!C609,6,1))&gt;=0,FALSE),IFERROR(INT(MID(metadata!C609,6,1))&lt;=1,FALSE),NOT(MID(metadata!C609,7,1)=""),IFERROR(INT(MID(metadata!C609,6,2))&gt;=1,FALSE),IFERROR(INT(MID(metadata!C609,6,2))&lt;=12,FALSE)), OR(MID(metadata!C609,8,1)="", AND(AND(MID(metadata!C609,8,1)="-",IFERROR(INT(MID(metadata!C609,9,1))&gt;=0,FALSE),IFERROR(INT(MID(metadata!C609,9,1))&lt;=3,FALSE),NOT(MID(metadata!C609,10,1)=""),IFERROR(INT(MID(metadata!C609,9,2))&gt;=1,FALSE),IFERROR(INT(MID(metadata!C609,9,2))&lt;=31,FALSE)), OR(MID(metadata!C609,11,1)="", AND(AND(MID(metadata!C609,11,1)=" ",IFERROR(INT(MID(metadata!C609,12,1))&gt;=0,FALSE),IFERROR(INT(MID(metadata!C609,12,1))&lt;=2,FALSE),NOT(MID(metadata!C609,13,1)=""),IFERROR(INT(MID(metadata!C609,12,2))&gt;=0,FALSE),IFERROR(INT(MID(metadata!C609,12,2))&lt;=23,FALSE)), OR(MID(metadata!C609,14,1)="", AND(AND(MID(metadata!C609,14,1)=":",IFERROR(INT(MID(metadata!C609,15,1))&gt;=0,FALSE),IFERROR(INT(MID(metadata!C609,15,1))&lt;=5,FALSE),NOT(MID(metadata!C609,16,1)=""),IFERROR(INT(MID(metadata!C609,15,2))&gt;=0,FALSE),IFERROR(INT(MID(metadata!C609,15,2))&lt;=59,FALSE)), OR(MID(metadata!C609,17,1)="", AND(AND(MID(metadata!C609,17,1)=":",IFERROR(INT(MID(metadata!C609,18,1))&gt;=0,FALSE),IFERROR(INT(MID(metadata!C609,18,1))&lt;=5,FALSE),NOT(MID(metadata!C609,19,1)=""),IFERROR(INT(MID(metadata!C609,18,2))&gt;=0,FALSE),IFERROR(INT(MID(metadata!C609,18,2))&lt;=59,FALSE)), LEN(metadata!C609)&lt;=19)))))))))))))</f>
        <v>0</v>
      </c>
      <c r="AO609" t="b">
        <f>AND(IF(metadata!D609="",FALSE,TRUE),EXACT(metadata!D609,"Not applicable"))</f>
        <v>0</v>
      </c>
      <c r="AP609" t="b">
        <f>IF(metadata!E609="",FALSE,TRUE)</f>
        <v>0</v>
      </c>
      <c r="AQ609" t="b">
        <f>OR(AND(IF(metadata!F609="",FALSE,TRUE),OR(EXACT(metadata!F609,"missing: not collected"),EXACT(metadata!F609,"missing: not provided"))),AND(IF(metadata!F609="",FALSE,TRUE),OR(EXACT(metadata!F609,"TRUE"),EXACT(metadata!F609,"FALSE"))))</f>
        <v>0</v>
      </c>
      <c r="AR609" t="b">
        <f>OR(AND(IF(metadata!G609="",FALSE,TRUE),OR(EXACT(metadata!G609,"missing: not collected"),EXACT(metadata!G609,"missing: not provided"),EXACT(metadata!G609,"missing: restricted access"))),AND(IF(metadata!G609="",FALSE,ISNUMBER(VALUE(metadata!G609))),metadata!G609&gt;=-413))</f>
        <v>0</v>
      </c>
      <c r="AS609" t="b">
        <f>AND(IF(metadata!H609="",FALSE,TRUE),EXACT(metadata!H609,"meters"))</f>
        <v>0</v>
      </c>
      <c r="AT609" t="b">
        <f>AND(IF(metadata!I609="",FALSE,TRUE),OR(EXACT(metadata!I609,"Host-associated"),EXACT(metadata!I609,"Free-living")))</f>
        <v>0</v>
      </c>
      <c r="AU609" t="b">
        <f>AND(IF(metadata!J609="",FALSE,TRUE),OR(EXACT(metadata!J609,"Animal"),EXACT(metadata!J609,"Fungus"),EXACT(metadata!J609,"Plant"),EXACT(metadata!J609,"Saline"),EXACT(metadata!J609,"Non-saline")))</f>
        <v>0</v>
      </c>
      <c r="AV609" t="b">
        <f>AND(IF(metadata!K609="",FALSE,TRUE),OR(EXACT(metadata!K609,"Plant secretion"),EXACT(metadata!K609,"Plant rhizosphere"),EXACT(metadata!K609,"Plant surface"),EXACT(metadata!K609,"Plant corpus"),EXACT(metadata!K609,"Fungus surface"),EXACT(metadata!K609,"Fungus corpus"),EXACT(metadata!K609,"Animal surface"),EXACT(metadata!K609,"Animal proximal gut"),EXACT(metadata!K609,"Animal corpus"),EXACT(metadata!K609,"Animal distal gut"),EXACT(metadata!K609,"Animal secretion"),EXACT(metadata!K609,"Sub-surface (non-saline)"),EXACT(metadata!K609,"Surface (non-saline)"),EXACT(metadata!K609,"Water (non-saline)"),EXACT(metadata!K609,"Soil (non-saline)"),EXACT(metadata!K609,"Aerosol (non-saline)"),EXACT(metadata!K609,"Sediment (non-saline)"),EXACT(metadata!K609,"Surface (saline)"),EXACT(metadata!K609,"Water (saline)"),EXACT(metadata!K609,"Hypersaline (saline)"),EXACT(metadata!K609,"Aerosol (saline)"),EXACT(metadata!K609,"Sediment (saline)")))</f>
        <v>0</v>
      </c>
      <c r="AW609" t="b">
        <f>IF(metadata!L609="",FALSE,TRUE)</f>
        <v>0</v>
      </c>
      <c r="AX609" t="b">
        <f>IF(metadata!M609="",FALSE,TRUE)</f>
        <v>0</v>
      </c>
      <c r="AY609" t="b">
        <f>IF(metadata!N609="",FALSE,TRUE)</f>
        <v>0</v>
      </c>
      <c r="AZ609" t="b">
        <f>OR(AND(IF(metadata!O609="",FALSE,TRUE),OR(EXACT(metadata!O609,"missing: not collected"),EXACT(metadata!O609,"missing: not provided"),EXACT(metadata!O609,"missing: restricted access"))),AND(IF(metadata!O609="",FALSE,TRUE),OR(EXACT(metadata!O609,"air"),EXACT(metadata!O609,"built environment"),EXACT(metadata!O609,"host-associated"),EXACT(metadata!O609,"human-associated"),EXACT(metadata!O609,"human-skin"),EXACT(metadata!O609,"human-oral"),EXACT(metadata!O609,"human-gut"),EXACT(metadata!O609,"human-vaginal"),EXACT(metadata!O609,"microbial mat/biofilm"),EXACT(metadata!O609,"misc environment"),EXACT(metadata!O609,"plant-associated"),EXACT(metadata!O609,"sediment"),EXACT(metadata!O609,"soil"),EXACT(metadata!O609,"wastewater/sludge"),EXACT(metadata!O609,"water"))))</f>
        <v>0</v>
      </c>
      <c r="BA609" t="b">
        <f>IF(metadata!P609="",FALSE,TRUE)</f>
        <v>0</v>
      </c>
      <c r="BB609" t="b">
        <f>IF(metadata!Q609="",FALSE,TRUE)</f>
        <v>0</v>
      </c>
      <c r="BC609" t="b">
        <f>OR(AND(IF(metadata!R609="",FALSE,TRUE),OR(EXACT(metadata!R609,"missing: not collected"),EXACT(metadata!R609,"missing: not provided"),EXACT(metadata!R609,"missing: restricted access"))),AND(IF(metadata!R609="",FALSE,ISNUMBER(VALUE(metadata!R609))),metadata!R609&gt;=-90,metadata!R609&lt;=90))</f>
        <v>0</v>
      </c>
      <c r="BD609" t="b">
        <f>AND(IF(metadata!S609="",FALSE,TRUE),EXACT(metadata!S609,"Decimal degrees"))</f>
        <v>0</v>
      </c>
      <c r="BE609" t="b">
        <f>OR(AND(IF(metadata!T609="",FALSE,TRUE),OR(EXACT(metadata!T609,"missing: not collected"),EXACT(metadata!T609,"missing: not provided"),EXACT(metadata!T609,"missing: restricted access"))),AND(IF(metadata!T609="",FALSE,ISNUMBER(VALUE(metadata!T609))),metadata!T609&gt;=-180,metadata!T609&lt;=180))</f>
        <v>0</v>
      </c>
      <c r="BF609" t="b">
        <f>AND(IF(metadata!U609="",FALSE,TRUE),EXACT(metadata!U609,"Decimal degrees"))</f>
        <v>0</v>
      </c>
      <c r="BG609" t="b">
        <f>IF(metadata!V609="",FALSE,TRUE)</f>
        <v>0</v>
      </c>
      <c r="BH609" t="b">
        <f>OR(AND(IF(metadata!W609="",FALSE,TRUE),OR(EXACT(metadata!W609,"missing: not collected"),EXACT(metadata!W609,"missing: not provided"),EXACT(metadata!W609,"missing: restricted access"))),AND(IF(metadata!W609="",FALSE,TRUE),OR(EXACT(metadata!W609,"TRUE"),EXACT(metadata!W609,"FALSE"))))</f>
        <v>0</v>
      </c>
      <c r="BI609" t="b">
        <f>AND(IF(metadata!X609="",FALSE,TRUE),EXACT(metadata!X609,"other"))</f>
        <v>0</v>
      </c>
      <c r="BJ609" t="b">
        <f>IF(metadata!Y609="",FALSE,TRUE)</f>
        <v>0</v>
      </c>
      <c r="BK609" t="b">
        <f>OR(AND(IF(metadata!Z609="",FALSE,TRUE),OR(EXACT(metadata!Z609,"missing: not collected"),EXACT(metadata!Z609,"missing: not provided"))),AND(IF(metadata!Z609="",FALSE,IF(ISERROR(INT(metadata!Z609)),FALSE,INT(metadata!Z609)=metadata!Z609)),metadata!Z609&gt;0))</f>
        <v>0</v>
      </c>
      <c r="BL609" t="b">
        <f>AND(IF(metadata!AA609="",FALSE,TRUE),EXACT(metadata!AA609,"Not applicable"))</f>
        <v>0</v>
      </c>
      <c r="BM609" t="b">
        <f>IF(metadata!AB609="",FALSE,TRUE)</f>
        <v>0</v>
      </c>
    </row>
    <row r="610" spans="1:65" x14ac:dyDescent="0.2">
      <c r="A610" s="5" t="str">
        <f ca="1">IF(B610=" "," ",HYPERLINK(CONCATENATE("#metadata!",ADDRESS(INDEX($AH$2:$AH$1001,MATCH(ROWS($AF$2:AF610),$AF$2:$AF$1001,0),0),1)),INDEX($AK$2:$AK$1001,MATCH(ROWS($AF$2:AF610),$AF$2:$AF$1001,0),0)))</f>
        <v xml:space="preserve"> </v>
      </c>
      <c r="B610" s="4" t="str">
        <f ca="1">IF(OR(INDEX($AG$2:$AG$1001,MATCH(ROWS($AF$2:AF610),$AF$2:$AF$1001,0),1)&gt;=100000,INDEX($AM$1005:$BM$1005,1,MATCH(COLUMNS($AM$1006:AM1006),$AM$1006:$BM$1006,0))&gt;=100000), " ",IF(INDEX($AM$2:$BM$1001,MATCH(ROWS($AF$2:AF610),$AF$2:$AF$1001,0),MATCH(COLUMNS($AM$1006:AM1006),$AM$1006:$BM$1006,0)), HYPERLINK("#",""), HYPERLINK(CONCATENATE("#metadata!", ADDRESS(INDEX($AH$2:$AH$1001,MATCH(ROWS($AF$2:AF610),$AF$2:$AF$1001,0),0), INDEX($AM$1004:$BM$1004,1,MATCH(COLUMNS($AM$1006:AM1006),$AM$1006:$BM$1006,0)))),"Fix")))</f>
        <v xml:space="preserve"> </v>
      </c>
      <c r="C610" s="4" t="str">
        <f ca="1">IF(OR(INDEX($AG$2:$AG$1001,MATCH(ROWS($AF$2:AF610),$AF$2:$AF$1001,0),1)&gt;=100000,INDEX($AM$1005:$BM$1005,1,MATCH(COLUMNS($AM$1006:AN1006),$AM$1006:$BM$1006,0))&gt;=100000), " ",IF(INDEX($AM$2:$BM$1001,MATCH(ROWS($AF$2:AF610),$AF$2:$AF$1001,0),MATCH(COLUMNS($AM$1006:AN1006),$AM$1006:$BM$1006,0)), HYPERLINK("#",""), HYPERLINK(CONCATENATE("#metadata!", ADDRESS(INDEX($AH$2:$AH$1001,MATCH(ROWS($AF$2:AF610),$AF$2:$AF$1001,0),0), INDEX($AM$1004:$BM$1004,1,MATCH(COLUMNS($AM$1006:AN1006),$AM$1006:$BM$1006,0)))),"Fix")))</f>
        <v xml:space="preserve"> </v>
      </c>
      <c r="D610" s="4" t="str">
        <f ca="1">IF(OR(INDEX($AG$2:$AG$1001,MATCH(ROWS($AF$2:AF610),$AF$2:$AF$1001,0),1)&gt;=100000,INDEX($AM$1005:$BM$1005,1,MATCH(COLUMNS($AM$1006:AO1006),$AM$1006:$BM$1006,0))&gt;=100000), " ",IF(INDEX($AM$2:$BM$1001,MATCH(ROWS($AF$2:AF610),$AF$2:$AF$1001,0),MATCH(COLUMNS($AM$1006:AO1006),$AM$1006:$BM$1006,0)), HYPERLINK("#",""), HYPERLINK(CONCATENATE("#metadata!", ADDRESS(INDEX($AH$2:$AH$1001,MATCH(ROWS($AF$2:AF610),$AF$2:$AF$1001,0),0), INDEX($AM$1004:$BM$1004,1,MATCH(COLUMNS($AM$1006:AO1006),$AM$1006:$BM$1006,0)))),"Fix")))</f>
        <v xml:space="preserve"> </v>
      </c>
      <c r="E610" s="4" t="str">
        <f ca="1">IF(OR(INDEX($AG$2:$AG$1001,MATCH(ROWS($AF$2:AF610),$AF$2:$AF$1001,0),1)&gt;=100000,INDEX($AM$1005:$BM$1005,1,MATCH(COLUMNS($AM$1006:AP1006),$AM$1006:$BM$1006,0))&gt;=100000), " ",IF(INDEX($AM$2:$BM$1001,MATCH(ROWS($AF$2:AF610),$AF$2:$AF$1001,0),MATCH(COLUMNS($AM$1006:AP1006),$AM$1006:$BM$1006,0)), HYPERLINK("#",""), HYPERLINK(CONCATENATE("#metadata!", ADDRESS(INDEX($AH$2:$AH$1001,MATCH(ROWS($AF$2:AF610),$AF$2:$AF$1001,0),0), INDEX($AM$1004:$BM$1004,1,MATCH(COLUMNS($AM$1006:AP1006),$AM$1006:$BM$1006,0)))),"Fix")))</f>
        <v xml:space="preserve"> </v>
      </c>
      <c r="F610" s="4" t="str">
        <f ca="1">IF(OR(INDEX($AG$2:$AG$1001,MATCH(ROWS($AF$2:AF610),$AF$2:$AF$1001,0),1)&gt;=100000,INDEX($AM$1005:$BM$1005,1,MATCH(COLUMNS($AM$1006:AQ1006),$AM$1006:$BM$1006,0))&gt;=100000), " ",IF(INDEX($AM$2:$BM$1001,MATCH(ROWS($AF$2:AF610),$AF$2:$AF$1001,0),MATCH(COLUMNS($AM$1006:AQ1006),$AM$1006:$BM$1006,0)), HYPERLINK("#",""), HYPERLINK(CONCATENATE("#metadata!", ADDRESS(INDEX($AH$2:$AH$1001,MATCH(ROWS($AF$2:AF610),$AF$2:$AF$1001,0),0), INDEX($AM$1004:$BM$1004,1,MATCH(COLUMNS($AM$1006:AQ1006),$AM$1006:$BM$1006,0)))),"Fix")))</f>
        <v xml:space="preserve"> </v>
      </c>
      <c r="G610" s="4" t="str">
        <f ca="1">IF(OR(INDEX($AG$2:$AG$1001,MATCH(ROWS($AF$2:AF610),$AF$2:$AF$1001,0),1)&gt;=100000,INDEX($AM$1005:$BM$1005,1,MATCH(COLUMNS($AM$1006:AR1006),$AM$1006:$BM$1006,0))&gt;=100000), " ",IF(INDEX($AM$2:$BM$1001,MATCH(ROWS($AF$2:AF610),$AF$2:$AF$1001,0),MATCH(COLUMNS($AM$1006:AR1006),$AM$1006:$BM$1006,0)), HYPERLINK("#",""), HYPERLINK(CONCATENATE("#metadata!", ADDRESS(INDEX($AH$2:$AH$1001,MATCH(ROWS($AF$2:AF610),$AF$2:$AF$1001,0),0), INDEX($AM$1004:$BM$1004,1,MATCH(COLUMNS($AM$1006:AR1006),$AM$1006:$BM$1006,0)))),"Fix")))</f>
        <v xml:space="preserve"> </v>
      </c>
      <c r="H610" s="4" t="str">
        <f ca="1">IF(OR(INDEX($AG$2:$AG$1001,MATCH(ROWS($AF$2:AF610),$AF$2:$AF$1001,0),1)&gt;=100000,INDEX($AM$1005:$BM$1005,1,MATCH(COLUMNS($AM$1006:AS1006),$AM$1006:$BM$1006,0))&gt;=100000), " ",IF(INDEX($AM$2:$BM$1001,MATCH(ROWS($AF$2:AF610),$AF$2:$AF$1001,0),MATCH(COLUMNS($AM$1006:AS1006),$AM$1006:$BM$1006,0)), HYPERLINK("#",""), HYPERLINK(CONCATENATE("#metadata!", ADDRESS(INDEX($AH$2:$AH$1001,MATCH(ROWS($AF$2:AF610),$AF$2:$AF$1001,0),0), INDEX($AM$1004:$BM$1004,1,MATCH(COLUMNS($AM$1006:AS1006),$AM$1006:$BM$1006,0)))),"Fix")))</f>
        <v xml:space="preserve"> </v>
      </c>
      <c r="I610" s="4" t="str">
        <f ca="1">IF(OR(INDEX($AG$2:$AG$1001,MATCH(ROWS($AF$2:AF610),$AF$2:$AF$1001,0),1)&gt;=100000,INDEX($AM$1005:$BM$1005,1,MATCH(COLUMNS($AM$1006:AT1006),$AM$1006:$BM$1006,0))&gt;=100000), " ",IF(INDEX($AM$2:$BM$1001,MATCH(ROWS($AF$2:AF610),$AF$2:$AF$1001,0),MATCH(COLUMNS($AM$1006:AT1006),$AM$1006:$BM$1006,0)), HYPERLINK("#",""), HYPERLINK(CONCATENATE("#metadata!", ADDRESS(INDEX($AH$2:$AH$1001,MATCH(ROWS($AF$2:AF610),$AF$2:$AF$1001,0),0), INDEX($AM$1004:$BM$1004,1,MATCH(COLUMNS($AM$1006:AT1006),$AM$1006:$BM$1006,0)))),"Fix")))</f>
        <v xml:space="preserve"> </v>
      </c>
      <c r="J610" s="4" t="str">
        <f ca="1">IF(OR(INDEX($AG$2:$AG$1001,MATCH(ROWS($AF$2:AF610),$AF$2:$AF$1001,0),1)&gt;=100000,INDEX($AM$1005:$BM$1005,1,MATCH(COLUMNS($AM$1006:AU1006),$AM$1006:$BM$1006,0))&gt;=100000), " ",IF(INDEX($AM$2:$BM$1001,MATCH(ROWS($AF$2:AF610),$AF$2:$AF$1001,0),MATCH(COLUMNS($AM$1006:AU1006),$AM$1006:$BM$1006,0)), HYPERLINK("#",""), HYPERLINK(CONCATENATE("#metadata!", ADDRESS(INDEX($AH$2:$AH$1001,MATCH(ROWS($AF$2:AF610),$AF$2:$AF$1001,0),0), INDEX($AM$1004:$BM$1004,1,MATCH(COLUMNS($AM$1006:AU1006),$AM$1006:$BM$1006,0)))),"Fix")))</f>
        <v xml:space="preserve"> </v>
      </c>
      <c r="K610" s="4" t="str">
        <f ca="1">IF(OR(INDEX($AG$2:$AG$1001,MATCH(ROWS($AF$2:AF610),$AF$2:$AF$1001,0),1)&gt;=100000,INDEX($AM$1005:$BM$1005,1,MATCH(COLUMNS($AM$1006:AV1006),$AM$1006:$BM$1006,0))&gt;=100000), " ",IF(INDEX($AM$2:$BM$1001,MATCH(ROWS($AF$2:AF610),$AF$2:$AF$1001,0),MATCH(COLUMNS($AM$1006:AV1006),$AM$1006:$BM$1006,0)), HYPERLINK("#",""), HYPERLINK(CONCATENATE("#metadata!", ADDRESS(INDEX($AH$2:$AH$1001,MATCH(ROWS($AF$2:AF610),$AF$2:$AF$1001,0),0), INDEX($AM$1004:$BM$1004,1,MATCH(COLUMNS($AM$1006:AV1006),$AM$1006:$BM$1006,0)))),"Fix")))</f>
        <v xml:space="preserve"> </v>
      </c>
      <c r="L610" s="4" t="str">
        <f ca="1">IF(OR(INDEX($AG$2:$AG$1001,MATCH(ROWS($AF$2:AF610),$AF$2:$AF$1001,0),1)&gt;=100000,INDEX($AM$1005:$BM$1005,1,MATCH(COLUMNS($AM$1006:AW1006),$AM$1006:$BM$1006,0))&gt;=100000), " ",IF(INDEX($AM$2:$BM$1001,MATCH(ROWS($AF$2:AF610),$AF$2:$AF$1001,0),MATCH(COLUMNS($AM$1006:AW1006),$AM$1006:$BM$1006,0)), HYPERLINK("#",""), HYPERLINK(CONCATENATE("#metadata!", ADDRESS(INDEX($AH$2:$AH$1001,MATCH(ROWS($AF$2:AF610),$AF$2:$AF$1001,0),0), INDEX($AM$1004:$BM$1004,1,MATCH(COLUMNS($AM$1006:AW1006),$AM$1006:$BM$1006,0)))),"Fix")))</f>
        <v xml:space="preserve"> </v>
      </c>
      <c r="M610" s="4" t="str">
        <f ca="1">IF(OR(INDEX($AG$2:$AG$1001,MATCH(ROWS($AF$2:AF610),$AF$2:$AF$1001,0),1)&gt;=100000,INDEX($AM$1005:$BM$1005,1,MATCH(COLUMNS($AM$1006:AX1006),$AM$1006:$BM$1006,0))&gt;=100000), " ",IF(INDEX($AM$2:$BM$1001,MATCH(ROWS($AF$2:AF610),$AF$2:$AF$1001,0),MATCH(COLUMNS($AM$1006:AX1006),$AM$1006:$BM$1006,0)), HYPERLINK("#",""), HYPERLINK(CONCATENATE("#metadata!", ADDRESS(INDEX($AH$2:$AH$1001,MATCH(ROWS($AF$2:AF610),$AF$2:$AF$1001,0),0), INDEX($AM$1004:$BM$1004,1,MATCH(COLUMNS($AM$1006:AX1006),$AM$1006:$BM$1006,0)))),"Fix")))</f>
        <v xml:space="preserve"> </v>
      </c>
      <c r="N610" s="4" t="str">
        <f ca="1">IF(OR(INDEX($AG$2:$AG$1001,MATCH(ROWS($AF$2:AF610),$AF$2:$AF$1001,0),1)&gt;=100000,INDEX($AM$1005:$BM$1005,1,MATCH(COLUMNS($AM$1006:AY1006),$AM$1006:$BM$1006,0))&gt;=100000), " ",IF(INDEX($AM$2:$BM$1001,MATCH(ROWS($AF$2:AF610),$AF$2:$AF$1001,0),MATCH(COLUMNS($AM$1006:AY1006),$AM$1006:$BM$1006,0)), HYPERLINK("#",""), HYPERLINK(CONCATENATE("#metadata!", ADDRESS(INDEX($AH$2:$AH$1001,MATCH(ROWS($AF$2:AF610),$AF$2:$AF$1001,0),0), INDEX($AM$1004:$BM$1004,1,MATCH(COLUMNS($AM$1006:AY1006),$AM$1006:$BM$1006,0)))),"Fix")))</f>
        <v xml:space="preserve"> </v>
      </c>
      <c r="O610" s="4" t="str">
        <f ca="1">IF(OR(INDEX($AG$2:$AG$1001,MATCH(ROWS($AF$2:AF610),$AF$2:$AF$1001,0),1)&gt;=100000,INDEX($AM$1005:$BM$1005,1,MATCH(COLUMNS($AM$1006:AZ1006),$AM$1006:$BM$1006,0))&gt;=100000), " ",IF(INDEX($AM$2:$BM$1001,MATCH(ROWS($AF$2:AF610),$AF$2:$AF$1001,0),MATCH(COLUMNS($AM$1006:AZ1006),$AM$1006:$BM$1006,0)), HYPERLINK("#",""), HYPERLINK(CONCATENATE("#metadata!", ADDRESS(INDEX($AH$2:$AH$1001,MATCH(ROWS($AF$2:AF610),$AF$2:$AF$1001,0),0), INDEX($AM$1004:$BM$1004,1,MATCH(COLUMNS($AM$1006:AZ1006),$AM$1006:$BM$1006,0)))),"Fix")))</f>
        <v xml:space="preserve"> </v>
      </c>
      <c r="P610" s="4" t="str">
        <f ca="1">IF(OR(INDEX($AG$2:$AG$1001,MATCH(ROWS($AF$2:AF610),$AF$2:$AF$1001,0),1)&gt;=100000,INDEX($AM$1005:$BM$1005,1,MATCH(COLUMNS($AM$1006:BA1006),$AM$1006:$BM$1006,0))&gt;=100000), " ",IF(INDEX($AM$2:$BM$1001,MATCH(ROWS($AF$2:AF610),$AF$2:$AF$1001,0),MATCH(COLUMNS($AM$1006:BA1006),$AM$1006:$BM$1006,0)), HYPERLINK("#",""), HYPERLINK(CONCATENATE("#metadata!", ADDRESS(INDEX($AH$2:$AH$1001,MATCH(ROWS($AF$2:AF610),$AF$2:$AF$1001,0),0), INDEX($AM$1004:$BM$1004,1,MATCH(COLUMNS($AM$1006:BA1006),$AM$1006:$BM$1006,0)))),"Fix")))</f>
        <v xml:space="preserve"> </v>
      </c>
      <c r="Q610" s="4" t="str">
        <f ca="1">IF(OR(INDEX($AG$2:$AG$1001,MATCH(ROWS($AF$2:AF610),$AF$2:$AF$1001,0),1)&gt;=100000,INDEX($AM$1005:$BM$1005,1,MATCH(COLUMNS($AM$1006:BB1006),$AM$1006:$BM$1006,0))&gt;=100000), " ",IF(INDEX($AM$2:$BM$1001,MATCH(ROWS($AF$2:AF610),$AF$2:$AF$1001,0),MATCH(COLUMNS($AM$1006:BB1006),$AM$1006:$BM$1006,0)), HYPERLINK("#",""), HYPERLINK(CONCATENATE("#metadata!", ADDRESS(INDEX($AH$2:$AH$1001,MATCH(ROWS($AF$2:AF610),$AF$2:$AF$1001,0),0), INDEX($AM$1004:$BM$1004,1,MATCH(COLUMNS($AM$1006:BB1006),$AM$1006:$BM$1006,0)))),"Fix")))</f>
        <v xml:space="preserve"> </v>
      </c>
      <c r="R610" s="4" t="str">
        <f ca="1">IF(OR(INDEX($AG$2:$AG$1001,MATCH(ROWS($AF$2:AF610),$AF$2:$AF$1001,0),1)&gt;=100000,INDEX($AM$1005:$BM$1005,1,MATCH(COLUMNS($AM$1006:BC1006),$AM$1006:$BM$1006,0))&gt;=100000), " ",IF(INDEX($AM$2:$BM$1001,MATCH(ROWS($AF$2:AF610),$AF$2:$AF$1001,0),MATCH(COLUMNS($AM$1006:BC1006),$AM$1006:$BM$1006,0)), HYPERLINK("#",""), HYPERLINK(CONCATENATE("#metadata!", ADDRESS(INDEX($AH$2:$AH$1001,MATCH(ROWS($AF$2:AF610),$AF$2:$AF$1001,0),0), INDEX($AM$1004:$BM$1004,1,MATCH(COLUMNS($AM$1006:BC1006),$AM$1006:$BM$1006,0)))),"Fix")))</f>
        <v xml:space="preserve"> </v>
      </c>
      <c r="S610" s="4" t="str">
        <f ca="1">IF(OR(INDEX($AG$2:$AG$1001,MATCH(ROWS($AF$2:AF610),$AF$2:$AF$1001,0),1)&gt;=100000,INDEX($AM$1005:$BM$1005,1,MATCH(COLUMNS($AM$1006:BD1006),$AM$1006:$BM$1006,0))&gt;=100000), " ",IF(INDEX($AM$2:$BM$1001,MATCH(ROWS($AF$2:AF610),$AF$2:$AF$1001,0),MATCH(COLUMNS($AM$1006:BD1006),$AM$1006:$BM$1006,0)), HYPERLINK("#",""), HYPERLINK(CONCATENATE("#metadata!", ADDRESS(INDEX($AH$2:$AH$1001,MATCH(ROWS($AF$2:AF610),$AF$2:$AF$1001,0),0), INDEX($AM$1004:$BM$1004,1,MATCH(COLUMNS($AM$1006:BD1006),$AM$1006:$BM$1006,0)))),"Fix")))</f>
        <v xml:space="preserve"> </v>
      </c>
      <c r="T610" s="4" t="str">
        <f ca="1">IF(OR(INDEX($AG$2:$AG$1001,MATCH(ROWS($AF$2:AF610),$AF$2:$AF$1001,0),1)&gt;=100000,INDEX($AM$1005:$BM$1005,1,MATCH(COLUMNS($AM$1006:BE1006),$AM$1006:$BM$1006,0))&gt;=100000), " ",IF(INDEX($AM$2:$BM$1001,MATCH(ROWS($AF$2:AF610),$AF$2:$AF$1001,0),MATCH(COLUMNS($AM$1006:BE1006),$AM$1006:$BM$1006,0)), HYPERLINK("#",""), HYPERLINK(CONCATENATE("#metadata!", ADDRESS(INDEX($AH$2:$AH$1001,MATCH(ROWS($AF$2:AF610),$AF$2:$AF$1001,0),0), INDEX($AM$1004:$BM$1004,1,MATCH(COLUMNS($AM$1006:BE1006),$AM$1006:$BM$1006,0)))),"Fix")))</f>
        <v xml:space="preserve"> </v>
      </c>
      <c r="U610" s="4" t="str">
        <f ca="1">IF(OR(INDEX($AG$2:$AG$1001,MATCH(ROWS($AF$2:AF610),$AF$2:$AF$1001,0),1)&gt;=100000,INDEX($AM$1005:$BM$1005,1,MATCH(COLUMNS($AM$1006:BF1006),$AM$1006:$BM$1006,0))&gt;=100000), " ",IF(INDEX($AM$2:$BM$1001,MATCH(ROWS($AF$2:AF610),$AF$2:$AF$1001,0),MATCH(COLUMNS($AM$1006:BF1006),$AM$1006:$BM$1006,0)), HYPERLINK("#",""), HYPERLINK(CONCATENATE("#metadata!", ADDRESS(INDEX($AH$2:$AH$1001,MATCH(ROWS($AF$2:AF610),$AF$2:$AF$1001,0),0), INDEX($AM$1004:$BM$1004,1,MATCH(COLUMNS($AM$1006:BF1006),$AM$1006:$BM$1006,0)))),"Fix")))</f>
        <v xml:space="preserve"> </v>
      </c>
      <c r="V610" s="4" t="str">
        <f ca="1">IF(OR(INDEX($AG$2:$AG$1001,MATCH(ROWS($AF$2:AF610),$AF$2:$AF$1001,0),1)&gt;=100000,INDEX($AM$1005:$BM$1005,1,MATCH(COLUMNS($AM$1006:BG1006),$AM$1006:$BM$1006,0))&gt;=100000), " ",IF(INDEX($AM$2:$BM$1001,MATCH(ROWS($AF$2:AF610),$AF$2:$AF$1001,0),MATCH(COLUMNS($AM$1006:BG1006),$AM$1006:$BM$1006,0)), HYPERLINK("#",""), HYPERLINK(CONCATENATE("#metadata!", ADDRESS(INDEX($AH$2:$AH$1001,MATCH(ROWS($AF$2:AF610),$AF$2:$AF$1001,0),0), INDEX($AM$1004:$BM$1004,1,MATCH(COLUMNS($AM$1006:BG1006),$AM$1006:$BM$1006,0)))),"Fix")))</f>
        <v xml:space="preserve"> </v>
      </c>
      <c r="W610" s="4" t="str">
        <f ca="1">IF(OR(INDEX($AG$2:$AG$1001,MATCH(ROWS($AF$2:AF610),$AF$2:$AF$1001,0),1)&gt;=100000,INDEX($AM$1005:$BM$1005,1,MATCH(COLUMNS($AM$1006:BH1006),$AM$1006:$BM$1006,0))&gt;=100000), " ",IF(INDEX($AM$2:$BM$1001,MATCH(ROWS($AF$2:AF610),$AF$2:$AF$1001,0),MATCH(COLUMNS($AM$1006:BH1006),$AM$1006:$BM$1006,0)), HYPERLINK("#",""), HYPERLINK(CONCATENATE("#metadata!", ADDRESS(INDEX($AH$2:$AH$1001,MATCH(ROWS($AF$2:AF610),$AF$2:$AF$1001,0),0), INDEX($AM$1004:$BM$1004,1,MATCH(COLUMNS($AM$1006:BH1006),$AM$1006:$BM$1006,0)))),"Fix")))</f>
        <v xml:space="preserve"> </v>
      </c>
      <c r="X610" s="4" t="str">
        <f ca="1">IF(OR(INDEX($AG$2:$AG$1001,MATCH(ROWS($AF$2:AF610),$AF$2:$AF$1001,0),1)&gt;=100000,INDEX($AM$1005:$BM$1005,1,MATCH(COLUMNS($AM$1006:BI1006),$AM$1006:$BM$1006,0))&gt;=100000), " ",IF(INDEX($AM$2:$BM$1001,MATCH(ROWS($AF$2:AF610),$AF$2:$AF$1001,0),MATCH(COLUMNS($AM$1006:BI1006),$AM$1006:$BM$1006,0)), HYPERLINK("#",""), HYPERLINK(CONCATENATE("#metadata!", ADDRESS(INDEX($AH$2:$AH$1001,MATCH(ROWS($AF$2:AF610),$AF$2:$AF$1001,0),0), INDEX($AM$1004:$BM$1004,1,MATCH(COLUMNS($AM$1006:BI1006),$AM$1006:$BM$1006,0)))),"Fix")))</f>
        <v xml:space="preserve"> </v>
      </c>
      <c r="Y610" s="4" t="str">
        <f ca="1">IF(OR(INDEX($AG$2:$AG$1001,MATCH(ROWS($AF$2:AF610),$AF$2:$AF$1001,0),1)&gt;=100000,INDEX($AM$1005:$BM$1005,1,MATCH(COLUMNS($AM$1006:BJ1006),$AM$1006:$BM$1006,0))&gt;=100000), " ",IF(INDEX($AM$2:$BM$1001,MATCH(ROWS($AF$2:AF610),$AF$2:$AF$1001,0),MATCH(COLUMNS($AM$1006:BJ1006),$AM$1006:$BM$1006,0)), HYPERLINK("#",""), HYPERLINK(CONCATENATE("#metadata!", ADDRESS(INDEX($AH$2:$AH$1001,MATCH(ROWS($AF$2:AF610),$AF$2:$AF$1001,0),0), INDEX($AM$1004:$BM$1004,1,MATCH(COLUMNS($AM$1006:BJ1006),$AM$1006:$BM$1006,0)))),"Fix")))</f>
        <v xml:space="preserve"> </v>
      </c>
      <c r="Z610" s="4" t="str">
        <f ca="1">IF(OR(INDEX($AG$2:$AG$1001,MATCH(ROWS($AF$2:AF610),$AF$2:$AF$1001,0),1)&gt;=100000,INDEX($AM$1005:$BM$1005,1,MATCH(COLUMNS($AM$1006:BK1006),$AM$1006:$BM$1006,0))&gt;=100000), " ",IF(INDEX($AM$2:$BM$1001,MATCH(ROWS($AF$2:AF610),$AF$2:$AF$1001,0),MATCH(COLUMNS($AM$1006:BK1006),$AM$1006:$BM$1006,0)), HYPERLINK("#",""), HYPERLINK(CONCATENATE("#metadata!", ADDRESS(INDEX($AH$2:$AH$1001,MATCH(ROWS($AF$2:AF610),$AF$2:$AF$1001,0),0), INDEX($AM$1004:$BM$1004,1,MATCH(COLUMNS($AM$1006:BK1006),$AM$1006:$BM$1006,0)))),"Fix")))</f>
        <v xml:space="preserve"> </v>
      </c>
      <c r="AA610" s="4" t="str">
        <f ca="1">IF(OR(INDEX($AG$2:$AG$1001,MATCH(ROWS($AF$2:AF610),$AF$2:$AF$1001,0),1)&gt;=100000,INDEX($AM$1005:$BM$1005,1,MATCH(COLUMNS($AM$1006:BL1006),$AM$1006:$BM$1006,0))&gt;=100000), " ",IF(INDEX($AM$2:$BM$1001,MATCH(ROWS($AF$2:AF610),$AF$2:$AF$1001,0),MATCH(COLUMNS($AM$1006:BL1006),$AM$1006:$BM$1006,0)), HYPERLINK("#",""), HYPERLINK(CONCATENATE("#metadata!", ADDRESS(INDEX($AH$2:$AH$1001,MATCH(ROWS($AF$2:AF610),$AF$2:$AF$1001,0),0), INDEX($AM$1004:$BM$1004,1,MATCH(COLUMNS($AM$1006:BL1006),$AM$1006:$BM$1006,0)))),"Fix")))</f>
        <v xml:space="preserve"> </v>
      </c>
      <c r="AB610" s="4" t="str">
        <f ca="1">IF(OR(INDEX($AG$2:$AG$1001,MATCH(ROWS($AF$2:AF610),$AF$2:$AF$1001,0),1)&gt;=100000,INDEX($AM$1005:$BM$1005,1,MATCH(COLUMNS($AM$1006:BM1006),$AM$1006:$BM$1006,0))&gt;=100000), " ",IF(INDEX($AM$2:$BM$1001,MATCH(ROWS($AF$2:AF610),$AF$2:$AF$1001,0),MATCH(COLUMNS($AM$1006:BM1006),$AM$1006:$BM$1006,0)), HYPERLINK("#",""), HYPERLINK(CONCATENATE("#metadata!", ADDRESS(INDEX($AH$2:$AH$1001,MATCH(ROWS($AF$2:AF610),$AF$2:$AF$1001,0),0), INDEX($AM$1004:$BM$1004,1,MATCH(COLUMNS($AM$1006:BM1006),$AM$1006:$BM$1006,0)))),"Fix")))</f>
        <v xml:space="preserve"> </v>
      </c>
      <c r="AF610">
        <v>609</v>
      </c>
      <c r="AG610">
        <v>100610</v>
      </c>
      <c r="AH610">
        <v>610</v>
      </c>
      <c r="AI610" t="b">
        <f t="shared" si="9"/>
        <v>1</v>
      </c>
      <c r="AJ610" t="b">
        <f>COUNTBLANK(metadata!B610:AB610)=COLUMNS(metadata!B610:AB610)</f>
        <v>1</v>
      </c>
      <c r="AK610" t="str">
        <v/>
      </c>
      <c r="AM610" t="b">
        <f ca="1">AND(IF(metadata!B610="",FALSE,TRUE),COUNTIF(metadata!B:B, metadata!B610) = 1,NOT(ISERROR(SUMPRODUCT(SEARCH(MID(metadata!B610,ROW(INDIRECT("1:"&amp;LEN(metadata!B610))), 1),"0123456789abcdefghijklmnopqrstuvwxyzABCDEFGHIJKLMNOPQRSTUVWXYZ.")))))</f>
        <v>0</v>
      </c>
      <c r="AN610" t="b">
        <f ca="1">OR(AND(IF(metadata!C610="",FALSE,TRUE),OR(EXACT(metadata!C610,"missing: not collected"),EXACT(metadata!C610,"missing: not provided"),EXACT(metadata!C610,"missing: restricted access"))),AND(IF(metadata!C610="",FALSE,TRUE),AND(AND(IFERROR(INT(LEFT(metadata!C610,4))&gt;1900,FALSE),IFERROR(INT(LEFT(metadata!C610,4))&lt;=YEAR(NOW()),FALSE)), OR(MID(metadata!C610,5,1)="", AND(AND(MID(metadata!C610,5,1)="-",IFERROR(INT(MID(metadata!C610,6,1))&gt;=0,FALSE),IFERROR(INT(MID(metadata!C610,6,1))&lt;=1,FALSE),NOT(MID(metadata!C610,7,1)=""),IFERROR(INT(MID(metadata!C610,6,2))&gt;=1,FALSE),IFERROR(INT(MID(metadata!C610,6,2))&lt;=12,FALSE)), OR(MID(metadata!C610,8,1)="", AND(AND(MID(metadata!C610,8,1)="-",IFERROR(INT(MID(metadata!C610,9,1))&gt;=0,FALSE),IFERROR(INT(MID(metadata!C610,9,1))&lt;=3,FALSE),NOT(MID(metadata!C610,10,1)=""),IFERROR(INT(MID(metadata!C610,9,2))&gt;=1,FALSE),IFERROR(INT(MID(metadata!C610,9,2))&lt;=31,FALSE)), OR(MID(metadata!C610,11,1)="", AND(AND(MID(metadata!C610,11,1)=" ",IFERROR(INT(MID(metadata!C610,12,1))&gt;=0,FALSE),IFERROR(INT(MID(metadata!C610,12,1))&lt;=2,FALSE),NOT(MID(metadata!C610,13,1)=""),IFERROR(INT(MID(metadata!C610,12,2))&gt;=0,FALSE),IFERROR(INT(MID(metadata!C610,12,2))&lt;=23,FALSE)), OR(MID(metadata!C610,14,1)="", AND(AND(MID(metadata!C610,14,1)=":",IFERROR(INT(MID(metadata!C610,15,1))&gt;=0,FALSE),IFERROR(INT(MID(metadata!C610,15,1))&lt;=5,FALSE),NOT(MID(metadata!C610,16,1)=""),IFERROR(INT(MID(metadata!C610,15,2))&gt;=0,FALSE),IFERROR(INT(MID(metadata!C610,15,2))&lt;=59,FALSE)), OR(MID(metadata!C610,17,1)="", AND(AND(MID(metadata!C610,17,1)=":",IFERROR(INT(MID(metadata!C610,18,1))&gt;=0,FALSE),IFERROR(INT(MID(metadata!C610,18,1))&lt;=5,FALSE),NOT(MID(metadata!C610,19,1)=""),IFERROR(INT(MID(metadata!C610,18,2))&gt;=0,FALSE),IFERROR(INT(MID(metadata!C610,18,2))&lt;=59,FALSE)), LEN(metadata!C610)&lt;=19)))))))))))))</f>
        <v>0</v>
      </c>
      <c r="AO610" t="b">
        <f>AND(IF(metadata!D610="",FALSE,TRUE),EXACT(metadata!D610,"Not applicable"))</f>
        <v>0</v>
      </c>
      <c r="AP610" t="b">
        <f>IF(metadata!E610="",FALSE,TRUE)</f>
        <v>0</v>
      </c>
      <c r="AQ610" t="b">
        <f>OR(AND(IF(metadata!F610="",FALSE,TRUE),OR(EXACT(metadata!F610,"missing: not collected"),EXACT(metadata!F610,"missing: not provided"))),AND(IF(metadata!F610="",FALSE,TRUE),OR(EXACT(metadata!F610,"TRUE"),EXACT(metadata!F610,"FALSE"))))</f>
        <v>0</v>
      </c>
      <c r="AR610" t="b">
        <f>OR(AND(IF(metadata!G610="",FALSE,TRUE),OR(EXACT(metadata!G610,"missing: not collected"),EXACT(metadata!G610,"missing: not provided"),EXACT(metadata!G610,"missing: restricted access"))),AND(IF(metadata!G610="",FALSE,ISNUMBER(VALUE(metadata!G610))),metadata!G610&gt;=-413))</f>
        <v>0</v>
      </c>
      <c r="AS610" t="b">
        <f>AND(IF(metadata!H610="",FALSE,TRUE),EXACT(metadata!H610,"meters"))</f>
        <v>0</v>
      </c>
      <c r="AT610" t="b">
        <f>AND(IF(metadata!I610="",FALSE,TRUE),OR(EXACT(metadata!I610,"Host-associated"),EXACT(metadata!I610,"Free-living")))</f>
        <v>0</v>
      </c>
      <c r="AU610" t="b">
        <f>AND(IF(metadata!J610="",FALSE,TRUE),OR(EXACT(metadata!J610,"Animal"),EXACT(metadata!J610,"Fungus"),EXACT(metadata!J610,"Plant"),EXACT(metadata!J610,"Saline"),EXACT(metadata!J610,"Non-saline")))</f>
        <v>0</v>
      </c>
      <c r="AV610" t="b">
        <f>AND(IF(metadata!K610="",FALSE,TRUE),OR(EXACT(metadata!K610,"Plant secretion"),EXACT(metadata!K610,"Plant rhizosphere"),EXACT(metadata!K610,"Plant surface"),EXACT(metadata!K610,"Plant corpus"),EXACT(metadata!K610,"Fungus surface"),EXACT(metadata!K610,"Fungus corpus"),EXACT(metadata!K610,"Animal surface"),EXACT(metadata!K610,"Animal proximal gut"),EXACT(metadata!K610,"Animal corpus"),EXACT(metadata!K610,"Animal distal gut"),EXACT(metadata!K610,"Animal secretion"),EXACT(metadata!K610,"Sub-surface (non-saline)"),EXACT(metadata!K610,"Surface (non-saline)"),EXACT(metadata!K610,"Water (non-saline)"),EXACT(metadata!K610,"Soil (non-saline)"),EXACT(metadata!K610,"Aerosol (non-saline)"),EXACT(metadata!K610,"Sediment (non-saline)"),EXACT(metadata!K610,"Surface (saline)"),EXACT(metadata!K610,"Water (saline)"),EXACT(metadata!K610,"Hypersaline (saline)"),EXACT(metadata!K610,"Aerosol (saline)"),EXACT(metadata!K610,"Sediment (saline)")))</f>
        <v>0</v>
      </c>
      <c r="AW610" t="b">
        <f>IF(metadata!L610="",FALSE,TRUE)</f>
        <v>0</v>
      </c>
      <c r="AX610" t="b">
        <f>IF(metadata!M610="",FALSE,TRUE)</f>
        <v>0</v>
      </c>
      <c r="AY610" t="b">
        <f>IF(metadata!N610="",FALSE,TRUE)</f>
        <v>0</v>
      </c>
      <c r="AZ610" t="b">
        <f>OR(AND(IF(metadata!O610="",FALSE,TRUE),OR(EXACT(metadata!O610,"missing: not collected"),EXACT(metadata!O610,"missing: not provided"),EXACT(metadata!O610,"missing: restricted access"))),AND(IF(metadata!O610="",FALSE,TRUE),OR(EXACT(metadata!O610,"air"),EXACT(metadata!O610,"built environment"),EXACT(metadata!O610,"host-associated"),EXACT(metadata!O610,"human-associated"),EXACT(metadata!O610,"human-skin"),EXACT(metadata!O610,"human-oral"),EXACT(metadata!O610,"human-gut"),EXACT(metadata!O610,"human-vaginal"),EXACT(metadata!O610,"microbial mat/biofilm"),EXACT(metadata!O610,"misc environment"),EXACT(metadata!O610,"plant-associated"),EXACT(metadata!O610,"sediment"),EXACT(metadata!O610,"soil"),EXACT(metadata!O610,"wastewater/sludge"),EXACT(metadata!O610,"water"))))</f>
        <v>0</v>
      </c>
      <c r="BA610" t="b">
        <f>IF(metadata!P610="",FALSE,TRUE)</f>
        <v>0</v>
      </c>
      <c r="BB610" t="b">
        <f>IF(metadata!Q610="",FALSE,TRUE)</f>
        <v>0</v>
      </c>
      <c r="BC610" t="b">
        <f>OR(AND(IF(metadata!R610="",FALSE,TRUE),OR(EXACT(metadata!R610,"missing: not collected"),EXACT(metadata!R610,"missing: not provided"),EXACT(metadata!R610,"missing: restricted access"))),AND(IF(metadata!R610="",FALSE,ISNUMBER(VALUE(metadata!R610))),metadata!R610&gt;=-90,metadata!R610&lt;=90))</f>
        <v>0</v>
      </c>
      <c r="BD610" t="b">
        <f>AND(IF(metadata!S610="",FALSE,TRUE),EXACT(metadata!S610,"Decimal degrees"))</f>
        <v>0</v>
      </c>
      <c r="BE610" t="b">
        <f>OR(AND(IF(metadata!T610="",FALSE,TRUE),OR(EXACT(metadata!T610,"missing: not collected"),EXACT(metadata!T610,"missing: not provided"),EXACT(metadata!T610,"missing: restricted access"))),AND(IF(metadata!T610="",FALSE,ISNUMBER(VALUE(metadata!T610))),metadata!T610&gt;=-180,metadata!T610&lt;=180))</f>
        <v>0</v>
      </c>
      <c r="BF610" t="b">
        <f>AND(IF(metadata!U610="",FALSE,TRUE),EXACT(metadata!U610,"Decimal degrees"))</f>
        <v>0</v>
      </c>
      <c r="BG610" t="b">
        <f>IF(metadata!V610="",FALSE,TRUE)</f>
        <v>0</v>
      </c>
      <c r="BH610" t="b">
        <f>OR(AND(IF(metadata!W610="",FALSE,TRUE),OR(EXACT(metadata!W610,"missing: not collected"),EXACT(metadata!W610,"missing: not provided"),EXACT(metadata!W610,"missing: restricted access"))),AND(IF(metadata!W610="",FALSE,TRUE),OR(EXACT(metadata!W610,"TRUE"),EXACT(metadata!W610,"FALSE"))))</f>
        <v>0</v>
      </c>
      <c r="BI610" t="b">
        <f>AND(IF(metadata!X610="",FALSE,TRUE),EXACT(metadata!X610,"other"))</f>
        <v>0</v>
      </c>
      <c r="BJ610" t="b">
        <f>IF(metadata!Y610="",FALSE,TRUE)</f>
        <v>0</v>
      </c>
      <c r="BK610" t="b">
        <f>OR(AND(IF(metadata!Z610="",FALSE,TRUE),OR(EXACT(metadata!Z610,"missing: not collected"),EXACT(metadata!Z610,"missing: not provided"))),AND(IF(metadata!Z610="",FALSE,IF(ISERROR(INT(metadata!Z610)),FALSE,INT(metadata!Z610)=metadata!Z610)),metadata!Z610&gt;0))</f>
        <v>0</v>
      </c>
      <c r="BL610" t="b">
        <f>AND(IF(metadata!AA610="",FALSE,TRUE),EXACT(metadata!AA610,"Not applicable"))</f>
        <v>0</v>
      </c>
      <c r="BM610" t="b">
        <f>IF(metadata!AB610="",FALSE,TRUE)</f>
        <v>0</v>
      </c>
    </row>
    <row r="611" spans="1:65" x14ac:dyDescent="0.2">
      <c r="A611" s="5" t="str">
        <f ca="1">IF(B611=" "," ",HYPERLINK(CONCATENATE("#metadata!",ADDRESS(INDEX($AH$2:$AH$1001,MATCH(ROWS($AF$2:AF611),$AF$2:$AF$1001,0),0),1)),INDEX($AK$2:$AK$1001,MATCH(ROWS($AF$2:AF611),$AF$2:$AF$1001,0),0)))</f>
        <v xml:space="preserve"> </v>
      </c>
      <c r="B611" s="4" t="str">
        <f ca="1">IF(OR(INDEX($AG$2:$AG$1001,MATCH(ROWS($AF$2:AF611),$AF$2:$AF$1001,0),1)&gt;=100000,INDEX($AM$1005:$BM$1005,1,MATCH(COLUMNS($AM$1006:AM1006),$AM$1006:$BM$1006,0))&gt;=100000), " ",IF(INDEX($AM$2:$BM$1001,MATCH(ROWS($AF$2:AF611),$AF$2:$AF$1001,0),MATCH(COLUMNS($AM$1006:AM1006),$AM$1006:$BM$1006,0)), HYPERLINK("#",""), HYPERLINK(CONCATENATE("#metadata!", ADDRESS(INDEX($AH$2:$AH$1001,MATCH(ROWS($AF$2:AF611),$AF$2:$AF$1001,0),0), INDEX($AM$1004:$BM$1004,1,MATCH(COLUMNS($AM$1006:AM1006),$AM$1006:$BM$1006,0)))),"Fix")))</f>
        <v xml:space="preserve"> </v>
      </c>
      <c r="C611" s="4" t="str">
        <f ca="1">IF(OR(INDEX($AG$2:$AG$1001,MATCH(ROWS($AF$2:AF611),$AF$2:$AF$1001,0),1)&gt;=100000,INDEX($AM$1005:$BM$1005,1,MATCH(COLUMNS($AM$1006:AN1006),$AM$1006:$BM$1006,0))&gt;=100000), " ",IF(INDEX($AM$2:$BM$1001,MATCH(ROWS($AF$2:AF611),$AF$2:$AF$1001,0),MATCH(COLUMNS($AM$1006:AN1006),$AM$1006:$BM$1006,0)), HYPERLINK("#",""), HYPERLINK(CONCATENATE("#metadata!", ADDRESS(INDEX($AH$2:$AH$1001,MATCH(ROWS($AF$2:AF611),$AF$2:$AF$1001,0),0), INDEX($AM$1004:$BM$1004,1,MATCH(COLUMNS($AM$1006:AN1006),$AM$1006:$BM$1006,0)))),"Fix")))</f>
        <v xml:space="preserve"> </v>
      </c>
      <c r="D611" s="4" t="str">
        <f ca="1">IF(OR(INDEX($AG$2:$AG$1001,MATCH(ROWS($AF$2:AF611),$AF$2:$AF$1001,0),1)&gt;=100000,INDEX($AM$1005:$BM$1005,1,MATCH(COLUMNS($AM$1006:AO1006),$AM$1006:$BM$1006,0))&gt;=100000), " ",IF(INDEX($AM$2:$BM$1001,MATCH(ROWS($AF$2:AF611),$AF$2:$AF$1001,0),MATCH(COLUMNS($AM$1006:AO1006),$AM$1006:$BM$1006,0)), HYPERLINK("#",""), HYPERLINK(CONCATENATE("#metadata!", ADDRESS(INDEX($AH$2:$AH$1001,MATCH(ROWS($AF$2:AF611),$AF$2:$AF$1001,0),0), INDEX($AM$1004:$BM$1004,1,MATCH(COLUMNS($AM$1006:AO1006),$AM$1006:$BM$1006,0)))),"Fix")))</f>
        <v xml:space="preserve"> </v>
      </c>
      <c r="E611" s="4" t="str">
        <f ca="1">IF(OR(INDEX($AG$2:$AG$1001,MATCH(ROWS($AF$2:AF611),$AF$2:$AF$1001,0),1)&gt;=100000,INDEX($AM$1005:$BM$1005,1,MATCH(COLUMNS($AM$1006:AP1006),$AM$1006:$BM$1006,0))&gt;=100000), " ",IF(INDEX($AM$2:$BM$1001,MATCH(ROWS($AF$2:AF611),$AF$2:$AF$1001,0),MATCH(COLUMNS($AM$1006:AP1006),$AM$1006:$BM$1006,0)), HYPERLINK("#",""), HYPERLINK(CONCATENATE("#metadata!", ADDRESS(INDEX($AH$2:$AH$1001,MATCH(ROWS($AF$2:AF611),$AF$2:$AF$1001,0),0), INDEX($AM$1004:$BM$1004,1,MATCH(COLUMNS($AM$1006:AP1006),$AM$1006:$BM$1006,0)))),"Fix")))</f>
        <v xml:space="preserve"> </v>
      </c>
      <c r="F611" s="4" t="str">
        <f ca="1">IF(OR(INDEX($AG$2:$AG$1001,MATCH(ROWS($AF$2:AF611),$AF$2:$AF$1001,0),1)&gt;=100000,INDEX($AM$1005:$BM$1005,1,MATCH(COLUMNS($AM$1006:AQ1006),$AM$1006:$BM$1006,0))&gt;=100000), " ",IF(INDEX($AM$2:$BM$1001,MATCH(ROWS($AF$2:AF611),$AF$2:$AF$1001,0),MATCH(COLUMNS($AM$1006:AQ1006),$AM$1006:$BM$1006,0)), HYPERLINK("#",""), HYPERLINK(CONCATENATE("#metadata!", ADDRESS(INDEX($AH$2:$AH$1001,MATCH(ROWS($AF$2:AF611),$AF$2:$AF$1001,0),0), INDEX($AM$1004:$BM$1004,1,MATCH(COLUMNS($AM$1006:AQ1006),$AM$1006:$BM$1006,0)))),"Fix")))</f>
        <v xml:space="preserve"> </v>
      </c>
      <c r="G611" s="4" t="str">
        <f ca="1">IF(OR(INDEX($AG$2:$AG$1001,MATCH(ROWS($AF$2:AF611),$AF$2:$AF$1001,0),1)&gt;=100000,INDEX($AM$1005:$BM$1005,1,MATCH(COLUMNS($AM$1006:AR1006),$AM$1006:$BM$1006,0))&gt;=100000), " ",IF(INDEX($AM$2:$BM$1001,MATCH(ROWS($AF$2:AF611),$AF$2:$AF$1001,0),MATCH(COLUMNS($AM$1006:AR1006),$AM$1006:$BM$1006,0)), HYPERLINK("#",""), HYPERLINK(CONCATENATE("#metadata!", ADDRESS(INDEX($AH$2:$AH$1001,MATCH(ROWS($AF$2:AF611),$AF$2:$AF$1001,0),0), INDEX($AM$1004:$BM$1004,1,MATCH(COLUMNS($AM$1006:AR1006),$AM$1006:$BM$1006,0)))),"Fix")))</f>
        <v xml:space="preserve"> </v>
      </c>
      <c r="H611" s="4" t="str">
        <f ca="1">IF(OR(INDEX($AG$2:$AG$1001,MATCH(ROWS($AF$2:AF611),$AF$2:$AF$1001,0),1)&gt;=100000,INDEX($AM$1005:$BM$1005,1,MATCH(COLUMNS($AM$1006:AS1006),$AM$1006:$BM$1006,0))&gt;=100000), " ",IF(INDEX($AM$2:$BM$1001,MATCH(ROWS($AF$2:AF611),$AF$2:$AF$1001,0),MATCH(COLUMNS($AM$1006:AS1006),$AM$1006:$BM$1006,0)), HYPERLINK("#",""), HYPERLINK(CONCATENATE("#metadata!", ADDRESS(INDEX($AH$2:$AH$1001,MATCH(ROWS($AF$2:AF611),$AF$2:$AF$1001,0),0), INDEX($AM$1004:$BM$1004,1,MATCH(COLUMNS($AM$1006:AS1006),$AM$1006:$BM$1006,0)))),"Fix")))</f>
        <v xml:space="preserve"> </v>
      </c>
      <c r="I611" s="4" t="str">
        <f ca="1">IF(OR(INDEX($AG$2:$AG$1001,MATCH(ROWS($AF$2:AF611),$AF$2:$AF$1001,0),1)&gt;=100000,INDEX($AM$1005:$BM$1005,1,MATCH(COLUMNS($AM$1006:AT1006),$AM$1006:$BM$1006,0))&gt;=100000), " ",IF(INDEX($AM$2:$BM$1001,MATCH(ROWS($AF$2:AF611),$AF$2:$AF$1001,0),MATCH(COLUMNS($AM$1006:AT1006),$AM$1006:$BM$1006,0)), HYPERLINK("#",""), HYPERLINK(CONCATENATE("#metadata!", ADDRESS(INDEX($AH$2:$AH$1001,MATCH(ROWS($AF$2:AF611),$AF$2:$AF$1001,0),0), INDEX($AM$1004:$BM$1004,1,MATCH(COLUMNS($AM$1006:AT1006),$AM$1006:$BM$1006,0)))),"Fix")))</f>
        <v xml:space="preserve"> </v>
      </c>
      <c r="J611" s="4" t="str">
        <f ca="1">IF(OR(INDEX($AG$2:$AG$1001,MATCH(ROWS($AF$2:AF611),$AF$2:$AF$1001,0),1)&gt;=100000,INDEX($AM$1005:$BM$1005,1,MATCH(COLUMNS($AM$1006:AU1006),$AM$1006:$BM$1006,0))&gt;=100000), " ",IF(INDEX($AM$2:$BM$1001,MATCH(ROWS($AF$2:AF611),$AF$2:$AF$1001,0),MATCH(COLUMNS($AM$1006:AU1006),$AM$1006:$BM$1006,0)), HYPERLINK("#",""), HYPERLINK(CONCATENATE("#metadata!", ADDRESS(INDEX($AH$2:$AH$1001,MATCH(ROWS($AF$2:AF611),$AF$2:$AF$1001,0),0), INDEX($AM$1004:$BM$1004,1,MATCH(COLUMNS($AM$1006:AU1006),$AM$1006:$BM$1006,0)))),"Fix")))</f>
        <v xml:space="preserve"> </v>
      </c>
      <c r="K611" s="4" t="str">
        <f ca="1">IF(OR(INDEX($AG$2:$AG$1001,MATCH(ROWS($AF$2:AF611),$AF$2:$AF$1001,0),1)&gt;=100000,INDEX($AM$1005:$BM$1005,1,MATCH(COLUMNS($AM$1006:AV1006),$AM$1006:$BM$1006,0))&gt;=100000), " ",IF(INDEX($AM$2:$BM$1001,MATCH(ROWS($AF$2:AF611),$AF$2:$AF$1001,0),MATCH(COLUMNS($AM$1006:AV1006),$AM$1006:$BM$1006,0)), HYPERLINK("#",""), HYPERLINK(CONCATENATE("#metadata!", ADDRESS(INDEX($AH$2:$AH$1001,MATCH(ROWS($AF$2:AF611),$AF$2:$AF$1001,0),0), INDEX($AM$1004:$BM$1004,1,MATCH(COLUMNS($AM$1006:AV1006),$AM$1006:$BM$1006,0)))),"Fix")))</f>
        <v xml:space="preserve"> </v>
      </c>
      <c r="L611" s="4" t="str">
        <f ca="1">IF(OR(INDEX($AG$2:$AG$1001,MATCH(ROWS($AF$2:AF611),$AF$2:$AF$1001,0),1)&gt;=100000,INDEX($AM$1005:$BM$1005,1,MATCH(COLUMNS($AM$1006:AW1006),$AM$1006:$BM$1006,0))&gt;=100000), " ",IF(INDEX($AM$2:$BM$1001,MATCH(ROWS($AF$2:AF611),$AF$2:$AF$1001,0),MATCH(COLUMNS($AM$1006:AW1006),$AM$1006:$BM$1006,0)), HYPERLINK("#",""), HYPERLINK(CONCATENATE("#metadata!", ADDRESS(INDEX($AH$2:$AH$1001,MATCH(ROWS($AF$2:AF611),$AF$2:$AF$1001,0),0), INDEX($AM$1004:$BM$1004,1,MATCH(COLUMNS($AM$1006:AW1006),$AM$1006:$BM$1006,0)))),"Fix")))</f>
        <v xml:space="preserve"> </v>
      </c>
      <c r="M611" s="4" t="str">
        <f ca="1">IF(OR(INDEX($AG$2:$AG$1001,MATCH(ROWS($AF$2:AF611),$AF$2:$AF$1001,0),1)&gt;=100000,INDEX($AM$1005:$BM$1005,1,MATCH(COLUMNS($AM$1006:AX1006),$AM$1006:$BM$1006,0))&gt;=100000), " ",IF(INDEX($AM$2:$BM$1001,MATCH(ROWS($AF$2:AF611),$AF$2:$AF$1001,0),MATCH(COLUMNS($AM$1006:AX1006),$AM$1006:$BM$1006,0)), HYPERLINK("#",""), HYPERLINK(CONCATENATE("#metadata!", ADDRESS(INDEX($AH$2:$AH$1001,MATCH(ROWS($AF$2:AF611),$AF$2:$AF$1001,0),0), INDEX($AM$1004:$BM$1004,1,MATCH(COLUMNS($AM$1006:AX1006),$AM$1006:$BM$1006,0)))),"Fix")))</f>
        <v xml:space="preserve"> </v>
      </c>
      <c r="N611" s="4" t="str">
        <f ca="1">IF(OR(INDEX($AG$2:$AG$1001,MATCH(ROWS($AF$2:AF611),$AF$2:$AF$1001,0),1)&gt;=100000,INDEX($AM$1005:$BM$1005,1,MATCH(COLUMNS($AM$1006:AY1006),$AM$1006:$BM$1006,0))&gt;=100000), " ",IF(INDEX($AM$2:$BM$1001,MATCH(ROWS($AF$2:AF611),$AF$2:$AF$1001,0),MATCH(COLUMNS($AM$1006:AY1006),$AM$1006:$BM$1006,0)), HYPERLINK("#",""), HYPERLINK(CONCATENATE("#metadata!", ADDRESS(INDEX($AH$2:$AH$1001,MATCH(ROWS($AF$2:AF611),$AF$2:$AF$1001,0),0), INDEX($AM$1004:$BM$1004,1,MATCH(COLUMNS($AM$1006:AY1006),$AM$1006:$BM$1006,0)))),"Fix")))</f>
        <v xml:space="preserve"> </v>
      </c>
      <c r="O611" s="4" t="str">
        <f ca="1">IF(OR(INDEX($AG$2:$AG$1001,MATCH(ROWS($AF$2:AF611),$AF$2:$AF$1001,0),1)&gt;=100000,INDEX($AM$1005:$BM$1005,1,MATCH(COLUMNS($AM$1006:AZ1006),$AM$1006:$BM$1006,0))&gt;=100000), " ",IF(INDEX($AM$2:$BM$1001,MATCH(ROWS($AF$2:AF611),$AF$2:$AF$1001,0),MATCH(COLUMNS($AM$1006:AZ1006),$AM$1006:$BM$1006,0)), HYPERLINK("#",""), HYPERLINK(CONCATENATE("#metadata!", ADDRESS(INDEX($AH$2:$AH$1001,MATCH(ROWS($AF$2:AF611),$AF$2:$AF$1001,0),0), INDEX($AM$1004:$BM$1004,1,MATCH(COLUMNS($AM$1006:AZ1006),$AM$1006:$BM$1006,0)))),"Fix")))</f>
        <v xml:space="preserve"> </v>
      </c>
      <c r="P611" s="4" t="str">
        <f ca="1">IF(OR(INDEX($AG$2:$AG$1001,MATCH(ROWS($AF$2:AF611),$AF$2:$AF$1001,0),1)&gt;=100000,INDEX($AM$1005:$BM$1005,1,MATCH(COLUMNS($AM$1006:BA1006),$AM$1006:$BM$1006,0))&gt;=100000), " ",IF(INDEX($AM$2:$BM$1001,MATCH(ROWS($AF$2:AF611),$AF$2:$AF$1001,0),MATCH(COLUMNS($AM$1006:BA1006),$AM$1006:$BM$1006,0)), HYPERLINK("#",""), HYPERLINK(CONCATENATE("#metadata!", ADDRESS(INDEX($AH$2:$AH$1001,MATCH(ROWS($AF$2:AF611),$AF$2:$AF$1001,0),0), INDEX($AM$1004:$BM$1004,1,MATCH(COLUMNS($AM$1006:BA1006),$AM$1006:$BM$1006,0)))),"Fix")))</f>
        <v xml:space="preserve"> </v>
      </c>
      <c r="Q611" s="4" t="str">
        <f ca="1">IF(OR(INDEX($AG$2:$AG$1001,MATCH(ROWS($AF$2:AF611),$AF$2:$AF$1001,0),1)&gt;=100000,INDEX($AM$1005:$BM$1005,1,MATCH(COLUMNS($AM$1006:BB1006),$AM$1006:$BM$1006,0))&gt;=100000), " ",IF(INDEX($AM$2:$BM$1001,MATCH(ROWS($AF$2:AF611),$AF$2:$AF$1001,0),MATCH(COLUMNS($AM$1006:BB1006),$AM$1006:$BM$1006,0)), HYPERLINK("#",""), HYPERLINK(CONCATENATE("#metadata!", ADDRESS(INDEX($AH$2:$AH$1001,MATCH(ROWS($AF$2:AF611),$AF$2:$AF$1001,0),0), INDEX($AM$1004:$BM$1004,1,MATCH(COLUMNS($AM$1006:BB1006),$AM$1006:$BM$1006,0)))),"Fix")))</f>
        <v xml:space="preserve"> </v>
      </c>
      <c r="R611" s="4" t="str">
        <f ca="1">IF(OR(INDEX($AG$2:$AG$1001,MATCH(ROWS($AF$2:AF611),$AF$2:$AF$1001,0),1)&gt;=100000,INDEX($AM$1005:$BM$1005,1,MATCH(COLUMNS($AM$1006:BC1006),$AM$1006:$BM$1006,0))&gt;=100000), " ",IF(INDEX($AM$2:$BM$1001,MATCH(ROWS($AF$2:AF611),$AF$2:$AF$1001,0),MATCH(COLUMNS($AM$1006:BC1006),$AM$1006:$BM$1006,0)), HYPERLINK("#",""), HYPERLINK(CONCATENATE("#metadata!", ADDRESS(INDEX($AH$2:$AH$1001,MATCH(ROWS($AF$2:AF611),$AF$2:$AF$1001,0),0), INDEX($AM$1004:$BM$1004,1,MATCH(COLUMNS($AM$1006:BC1006),$AM$1006:$BM$1006,0)))),"Fix")))</f>
        <v xml:space="preserve"> </v>
      </c>
      <c r="S611" s="4" t="str">
        <f ca="1">IF(OR(INDEX($AG$2:$AG$1001,MATCH(ROWS($AF$2:AF611),$AF$2:$AF$1001,0),1)&gt;=100000,INDEX($AM$1005:$BM$1005,1,MATCH(COLUMNS($AM$1006:BD1006),$AM$1006:$BM$1006,0))&gt;=100000), " ",IF(INDEX($AM$2:$BM$1001,MATCH(ROWS($AF$2:AF611),$AF$2:$AF$1001,0),MATCH(COLUMNS($AM$1006:BD1006),$AM$1006:$BM$1006,0)), HYPERLINK("#",""), HYPERLINK(CONCATENATE("#metadata!", ADDRESS(INDEX($AH$2:$AH$1001,MATCH(ROWS($AF$2:AF611),$AF$2:$AF$1001,0),0), INDEX($AM$1004:$BM$1004,1,MATCH(COLUMNS($AM$1006:BD1006),$AM$1006:$BM$1006,0)))),"Fix")))</f>
        <v xml:space="preserve"> </v>
      </c>
      <c r="T611" s="4" t="str">
        <f ca="1">IF(OR(INDEX($AG$2:$AG$1001,MATCH(ROWS($AF$2:AF611),$AF$2:$AF$1001,0),1)&gt;=100000,INDEX($AM$1005:$BM$1005,1,MATCH(COLUMNS($AM$1006:BE1006),$AM$1006:$BM$1006,0))&gt;=100000), " ",IF(INDEX($AM$2:$BM$1001,MATCH(ROWS($AF$2:AF611),$AF$2:$AF$1001,0),MATCH(COLUMNS($AM$1006:BE1006),$AM$1006:$BM$1006,0)), HYPERLINK("#",""), HYPERLINK(CONCATENATE("#metadata!", ADDRESS(INDEX($AH$2:$AH$1001,MATCH(ROWS($AF$2:AF611),$AF$2:$AF$1001,0),0), INDEX($AM$1004:$BM$1004,1,MATCH(COLUMNS($AM$1006:BE1006),$AM$1006:$BM$1006,0)))),"Fix")))</f>
        <v xml:space="preserve"> </v>
      </c>
      <c r="U611" s="4" t="str">
        <f ca="1">IF(OR(INDEX($AG$2:$AG$1001,MATCH(ROWS($AF$2:AF611),$AF$2:$AF$1001,0),1)&gt;=100000,INDEX($AM$1005:$BM$1005,1,MATCH(COLUMNS($AM$1006:BF1006),$AM$1006:$BM$1006,0))&gt;=100000), " ",IF(INDEX($AM$2:$BM$1001,MATCH(ROWS($AF$2:AF611),$AF$2:$AF$1001,0),MATCH(COLUMNS($AM$1006:BF1006),$AM$1006:$BM$1006,0)), HYPERLINK("#",""), HYPERLINK(CONCATENATE("#metadata!", ADDRESS(INDEX($AH$2:$AH$1001,MATCH(ROWS($AF$2:AF611),$AF$2:$AF$1001,0),0), INDEX($AM$1004:$BM$1004,1,MATCH(COLUMNS($AM$1006:BF1006),$AM$1006:$BM$1006,0)))),"Fix")))</f>
        <v xml:space="preserve"> </v>
      </c>
      <c r="V611" s="4" t="str">
        <f ca="1">IF(OR(INDEX($AG$2:$AG$1001,MATCH(ROWS($AF$2:AF611),$AF$2:$AF$1001,0),1)&gt;=100000,INDEX($AM$1005:$BM$1005,1,MATCH(COLUMNS($AM$1006:BG1006),$AM$1006:$BM$1006,0))&gt;=100000), " ",IF(INDEX($AM$2:$BM$1001,MATCH(ROWS($AF$2:AF611),$AF$2:$AF$1001,0),MATCH(COLUMNS($AM$1006:BG1006),$AM$1006:$BM$1006,0)), HYPERLINK("#",""), HYPERLINK(CONCATENATE("#metadata!", ADDRESS(INDEX($AH$2:$AH$1001,MATCH(ROWS($AF$2:AF611),$AF$2:$AF$1001,0),0), INDEX($AM$1004:$BM$1004,1,MATCH(COLUMNS($AM$1006:BG1006),$AM$1006:$BM$1006,0)))),"Fix")))</f>
        <v xml:space="preserve"> </v>
      </c>
      <c r="W611" s="4" t="str">
        <f ca="1">IF(OR(INDEX($AG$2:$AG$1001,MATCH(ROWS($AF$2:AF611),$AF$2:$AF$1001,0),1)&gt;=100000,INDEX($AM$1005:$BM$1005,1,MATCH(COLUMNS($AM$1006:BH1006),$AM$1006:$BM$1006,0))&gt;=100000), " ",IF(INDEX($AM$2:$BM$1001,MATCH(ROWS($AF$2:AF611),$AF$2:$AF$1001,0),MATCH(COLUMNS($AM$1006:BH1006),$AM$1006:$BM$1006,0)), HYPERLINK("#",""), HYPERLINK(CONCATENATE("#metadata!", ADDRESS(INDEX($AH$2:$AH$1001,MATCH(ROWS($AF$2:AF611),$AF$2:$AF$1001,0),0), INDEX($AM$1004:$BM$1004,1,MATCH(COLUMNS($AM$1006:BH1006),$AM$1006:$BM$1006,0)))),"Fix")))</f>
        <v xml:space="preserve"> </v>
      </c>
      <c r="X611" s="4" t="str">
        <f ca="1">IF(OR(INDEX($AG$2:$AG$1001,MATCH(ROWS($AF$2:AF611),$AF$2:$AF$1001,0),1)&gt;=100000,INDEX($AM$1005:$BM$1005,1,MATCH(COLUMNS($AM$1006:BI1006),$AM$1006:$BM$1006,0))&gt;=100000), " ",IF(INDEX($AM$2:$BM$1001,MATCH(ROWS($AF$2:AF611),$AF$2:$AF$1001,0),MATCH(COLUMNS($AM$1006:BI1006),$AM$1006:$BM$1006,0)), HYPERLINK("#",""), HYPERLINK(CONCATENATE("#metadata!", ADDRESS(INDEX($AH$2:$AH$1001,MATCH(ROWS($AF$2:AF611),$AF$2:$AF$1001,0),0), INDEX($AM$1004:$BM$1004,1,MATCH(COLUMNS($AM$1006:BI1006),$AM$1006:$BM$1006,0)))),"Fix")))</f>
        <v xml:space="preserve"> </v>
      </c>
      <c r="Y611" s="4" t="str">
        <f ca="1">IF(OR(INDEX($AG$2:$AG$1001,MATCH(ROWS($AF$2:AF611),$AF$2:$AF$1001,0),1)&gt;=100000,INDEX($AM$1005:$BM$1005,1,MATCH(COLUMNS($AM$1006:BJ1006),$AM$1006:$BM$1006,0))&gt;=100000), " ",IF(INDEX($AM$2:$BM$1001,MATCH(ROWS($AF$2:AF611),$AF$2:$AF$1001,0),MATCH(COLUMNS($AM$1006:BJ1006),$AM$1006:$BM$1006,0)), HYPERLINK("#",""), HYPERLINK(CONCATENATE("#metadata!", ADDRESS(INDEX($AH$2:$AH$1001,MATCH(ROWS($AF$2:AF611),$AF$2:$AF$1001,0),0), INDEX($AM$1004:$BM$1004,1,MATCH(COLUMNS($AM$1006:BJ1006),$AM$1006:$BM$1006,0)))),"Fix")))</f>
        <v xml:space="preserve"> </v>
      </c>
      <c r="Z611" s="4" t="str">
        <f ca="1">IF(OR(INDEX($AG$2:$AG$1001,MATCH(ROWS($AF$2:AF611),$AF$2:$AF$1001,0),1)&gt;=100000,INDEX($AM$1005:$BM$1005,1,MATCH(COLUMNS($AM$1006:BK1006),$AM$1006:$BM$1006,0))&gt;=100000), " ",IF(INDEX($AM$2:$BM$1001,MATCH(ROWS($AF$2:AF611),$AF$2:$AF$1001,0),MATCH(COLUMNS($AM$1006:BK1006),$AM$1006:$BM$1006,0)), HYPERLINK("#",""), HYPERLINK(CONCATENATE("#metadata!", ADDRESS(INDEX($AH$2:$AH$1001,MATCH(ROWS($AF$2:AF611),$AF$2:$AF$1001,0),0), INDEX($AM$1004:$BM$1004,1,MATCH(COLUMNS($AM$1006:BK1006),$AM$1006:$BM$1006,0)))),"Fix")))</f>
        <v xml:space="preserve"> </v>
      </c>
      <c r="AA611" s="4" t="str">
        <f ca="1">IF(OR(INDEX($AG$2:$AG$1001,MATCH(ROWS($AF$2:AF611),$AF$2:$AF$1001,0),1)&gt;=100000,INDEX($AM$1005:$BM$1005,1,MATCH(COLUMNS($AM$1006:BL1006),$AM$1006:$BM$1006,0))&gt;=100000), " ",IF(INDEX($AM$2:$BM$1001,MATCH(ROWS($AF$2:AF611),$AF$2:$AF$1001,0),MATCH(COLUMNS($AM$1006:BL1006),$AM$1006:$BM$1006,0)), HYPERLINK("#",""), HYPERLINK(CONCATENATE("#metadata!", ADDRESS(INDEX($AH$2:$AH$1001,MATCH(ROWS($AF$2:AF611),$AF$2:$AF$1001,0),0), INDEX($AM$1004:$BM$1004,1,MATCH(COLUMNS($AM$1006:BL1006),$AM$1006:$BM$1006,0)))),"Fix")))</f>
        <v xml:space="preserve"> </v>
      </c>
      <c r="AB611" s="4" t="str">
        <f ca="1">IF(OR(INDEX($AG$2:$AG$1001,MATCH(ROWS($AF$2:AF611),$AF$2:$AF$1001,0),1)&gt;=100000,INDEX($AM$1005:$BM$1005,1,MATCH(COLUMNS($AM$1006:BM1006),$AM$1006:$BM$1006,0))&gt;=100000), " ",IF(INDEX($AM$2:$BM$1001,MATCH(ROWS($AF$2:AF611),$AF$2:$AF$1001,0),MATCH(COLUMNS($AM$1006:BM1006),$AM$1006:$BM$1006,0)), HYPERLINK("#",""), HYPERLINK(CONCATENATE("#metadata!", ADDRESS(INDEX($AH$2:$AH$1001,MATCH(ROWS($AF$2:AF611),$AF$2:$AF$1001,0),0), INDEX($AM$1004:$BM$1004,1,MATCH(COLUMNS($AM$1006:BM1006),$AM$1006:$BM$1006,0)))),"Fix")))</f>
        <v xml:space="preserve"> </v>
      </c>
      <c r="AF611">
        <v>610</v>
      </c>
      <c r="AG611">
        <v>100611</v>
      </c>
      <c r="AH611">
        <v>611</v>
      </c>
      <c r="AI611" t="b">
        <f t="shared" si="9"/>
        <v>1</v>
      </c>
      <c r="AJ611" t="b">
        <f>COUNTBLANK(metadata!B611:AB611)=COLUMNS(metadata!B611:AB611)</f>
        <v>1</v>
      </c>
      <c r="AK611" t="str">
        <v/>
      </c>
      <c r="AM611" t="b">
        <f ca="1">AND(IF(metadata!B611="",FALSE,TRUE),COUNTIF(metadata!B:B, metadata!B611) = 1,NOT(ISERROR(SUMPRODUCT(SEARCH(MID(metadata!B611,ROW(INDIRECT("1:"&amp;LEN(metadata!B611))), 1),"0123456789abcdefghijklmnopqrstuvwxyzABCDEFGHIJKLMNOPQRSTUVWXYZ.")))))</f>
        <v>0</v>
      </c>
      <c r="AN611" t="b">
        <f ca="1">OR(AND(IF(metadata!C611="",FALSE,TRUE),OR(EXACT(metadata!C611,"missing: not collected"),EXACT(metadata!C611,"missing: not provided"),EXACT(metadata!C611,"missing: restricted access"))),AND(IF(metadata!C611="",FALSE,TRUE),AND(AND(IFERROR(INT(LEFT(metadata!C611,4))&gt;1900,FALSE),IFERROR(INT(LEFT(metadata!C611,4))&lt;=YEAR(NOW()),FALSE)), OR(MID(metadata!C611,5,1)="", AND(AND(MID(metadata!C611,5,1)="-",IFERROR(INT(MID(metadata!C611,6,1))&gt;=0,FALSE),IFERROR(INT(MID(metadata!C611,6,1))&lt;=1,FALSE),NOT(MID(metadata!C611,7,1)=""),IFERROR(INT(MID(metadata!C611,6,2))&gt;=1,FALSE),IFERROR(INT(MID(metadata!C611,6,2))&lt;=12,FALSE)), OR(MID(metadata!C611,8,1)="", AND(AND(MID(metadata!C611,8,1)="-",IFERROR(INT(MID(metadata!C611,9,1))&gt;=0,FALSE),IFERROR(INT(MID(metadata!C611,9,1))&lt;=3,FALSE),NOT(MID(metadata!C611,10,1)=""),IFERROR(INT(MID(metadata!C611,9,2))&gt;=1,FALSE),IFERROR(INT(MID(metadata!C611,9,2))&lt;=31,FALSE)), OR(MID(metadata!C611,11,1)="", AND(AND(MID(metadata!C611,11,1)=" ",IFERROR(INT(MID(metadata!C611,12,1))&gt;=0,FALSE),IFERROR(INT(MID(metadata!C611,12,1))&lt;=2,FALSE),NOT(MID(metadata!C611,13,1)=""),IFERROR(INT(MID(metadata!C611,12,2))&gt;=0,FALSE),IFERROR(INT(MID(metadata!C611,12,2))&lt;=23,FALSE)), OR(MID(metadata!C611,14,1)="", AND(AND(MID(metadata!C611,14,1)=":",IFERROR(INT(MID(metadata!C611,15,1))&gt;=0,FALSE),IFERROR(INT(MID(metadata!C611,15,1))&lt;=5,FALSE),NOT(MID(metadata!C611,16,1)=""),IFERROR(INT(MID(metadata!C611,15,2))&gt;=0,FALSE),IFERROR(INT(MID(metadata!C611,15,2))&lt;=59,FALSE)), OR(MID(metadata!C611,17,1)="", AND(AND(MID(metadata!C611,17,1)=":",IFERROR(INT(MID(metadata!C611,18,1))&gt;=0,FALSE),IFERROR(INT(MID(metadata!C611,18,1))&lt;=5,FALSE),NOT(MID(metadata!C611,19,1)=""),IFERROR(INT(MID(metadata!C611,18,2))&gt;=0,FALSE),IFERROR(INT(MID(metadata!C611,18,2))&lt;=59,FALSE)), LEN(metadata!C611)&lt;=19)))))))))))))</f>
        <v>0</v>
      </c>
      <c r="AO611" t="b">
        <f>AND(IF(metadata!D611="",FALSE,TRUE),EXACT(metadata!D611,"Not applicable"))</f>
        <v>0</v>
      </c>
      <c r="AP611" t="b">
        <f>IF(metadata!E611="",FALSE,TRUE)</f>
        <v>0</v>
      </c>
      <c r="AQ611" t="b">
        <f>OR(AND(IF(metadata!F611="",FALSE,TRUE),OR(EXACT(metadata!F611,"missing: not collected"),EXACT(metadata!F611,"missing: not provided"))),AND(IF(metadata!F611="",FALSE,TRUE),OR(EXACT(metadata!F611,"TRUE"),EXACT(metadata!F611,"FALSE"))))</f>
        <v>0</v>
      </c>
      <c r="AR611" t="b">
        <f>OR(AND(IF(metadata!G611="",FALSE,TRUE),OR(EXACT(metadata!G611,"missing: not collected"),EXACT(metadata!G611,"missing: not provided"),EXACT(metadata!G611,"missing: restricted access"))),AND(IF(metadata!G611="",FALSE,ISNUMBER(VALUE(metadata!G611))),metadata!G611&gt;=-413))</f>
        <v>0</v>
      </c>
      <c r="AS611" t="b">
        <f>AND(IF(metadata!H611="",FALSE,TRUE),EXACT(metadata!H611,"meters"))</f>
        <v>0</v>
      </c>
      <c r="AT611" t="b">
        <f>AND(IF(metadata!I611="",FALSE,TRUE),OR(EXACT(metadata!I611,"Host-associated"),EXACT(metadata!I611,"Free-living")))</f>
        <v>0</v>
      </c>
      <c r="AU611" t="b">
        <f>AND(IF(metadata!J611="",FALSE,TRUE),OR(EXACT(metadata!J611,"Animal"),EXACT(metadata!J611,"Fungus"),EXACT(metadata!J611,"Plant"),EXACT(metadata!J611,"Saline"),EXACT(metadata!J611,"Non-saline")))</f>
        <v>0</v>
      </c>
      <c r="AV611" t="b">
        <f>AND(IF(metadata!K611="",FALSE,TRUE),OR(EXACT(metadata!K611,"Plant secretion"),EXACT(metadata!K611,"Plant rhizosphere"),EXACT(metadata!K611,"Plant surface"),EXACT(metadata!K611,"Plant corpus"),EXACT(metadata!K611,"Fungus surface"),EXACT(metadata!K611,"Fungus corpus"),EXACT(metadata!K611,"Animal surface"),EXACT(metadata!K611,"Animal proximal gut"),EXACT(metadata!K611,"Animal corpus"),EXACT(metadata!K611,"Animal distal gut"),EXACT(metadata!K611,"Animal secretion"),EXACT(metadata!K611,"Sub-surface (non-saline)"),EXACT(metadata!K611,"Surface (non-saline)"),EXACT(metadata!K611,"Water (non-saline)"),EXACT(metadata!K611,"Soil (non-saline)"),EXACT(metadata!K611,"Aerosol (non-saline)"),EXACT(metadata!K611,"Sediment (non-saline)"),EXACT(metadata!K611,"Surface (saline)"),EXACT(metadata!K611,"Water (saline)"),EXACT(metadata!K611,"Hypersaline (saline)"),EXACT(metadata!K611,"Aerosol (saline)"),EXACT(metadata!K611,"Sediment (saline)")))</f>
        <v>0</v>
      </c>
      <c r="AW611" t="b">
        <f>IF(metadata!L611="",FALSE,TRUE)</f>
        <v>0</v>
      </c>
      <c r="AX611" t="b">
        <f>IF(metadata!M611="",FALSE,TRUE)</f>
        <v>0</v>
      </c>
      <c r="AY611" t="b">
        <f>IF(metadata!N611="",FALSE,TRUE)</f>
        <v>0</v>
      </c>
      <c r="AZ611" t="b">
        <f>OR(AND(IF(metadata!O611="",FALSE,TRUE),OR(EXACT(metadata!O611,"missing: not collected"),EXACT(metadata!O611,"missing: not provided"),EXACT(metadata!O611,"missing: restricted access"))),AND(IF(metadata!O611="",FALSE,TRUE),OR(EXACT(metadata!O611,"air"),EXACT(metadata!O611,"built environment"),EXACT(metadata!O611,"host-associated"),EXACT(metadata!O611,"human-associated"),EXACT(metadata!O611,"human-skin"),EXACT(metadata!O611,"human-oral"),EXACT(metadata!O611,"human-gut"),EXACT(metadata!O611,"human-vaginal"),EXACT(metadata!O611,"microbial mat/biofilm"),EXACT(metadata!O611,"misc environment"),EXACT(metadata!O611,"plant-associated"),EXACT(metadata!O611,"sediment"),EXACT(metadata!O611,"soil"),EXACT(metadata!O611,"wastewater/sludge"),EXACT(metadata!O611,"water"))))</f>
        <v>0</v>
      </c>
      <c r="BA611" t="b">
        <f>IF(metadata!P611="",FALSE,TRUE)</f>
        <v>0</v>
      </c>
      <c r="BB611" t="b">
        <f>IF(metadata!Q611="",FALSE,TRUE)</f>
        <v>0</v>
      </c>
      <c r="BC611" t="b">
        <f>OR(AND(IF(metadata!R611="",FALSE,TRUE),OR(EXACT(metadata!R611,"missing: not collected"),EXACT(metadata!R611,"missing: not provided"),EXACT(metadata!R611,"missing: restricted access"))),AND(IF(metadata!R611="",FALSE,ISNUMBER(VALUE(metadata!R611))),metadata!R611&gt;=-90,metadata!R611&lt;=90))</f>
        <v>0</v>
      </c>
      <c r="BD611" t="b">
        <f>AND(IF(metadata!S611="",FALSE,TRUE),EXACT(metadata!S611,"Decimal degrees"))</f>
        <v>0</v>
      </c>
      <c r="BE611" t="b">
        <f>OR(AND(IF(metadata!T611="",FALSE,TRUE),OR(EXACT(metadata!T611,"missing: not collected"),EXACT(metadata!T611,"missing: not provided"),EXACT(metadata!T611,"missing: restricted access"))),AND(IF(metadata!T611="",FALSE,ISNUMBER(VALUE(metadata!T611))),metadata!T611&gt;=-180,metadata!T611&lt;=180))</f>
        <v>0</v>
      </c>
      <c r="BF611" t="b">
        <f>AND(IF(metadata!U611="",FALSE,TRUE),EXACT(metadata!U611,"Decimal degrees"))</f>
        <v>0</v>
      </c>
      <c r="BG611" t="b">
        <f>IF(metadata!V611="",FALSE,TRUE)</f>
        <v>0</v>
      </c>
      <c r="BH611" t="b">
        <f>OR(AND(IF(metadata!W611="",FALSE,TRUE),OR(EXACT(metadata!W611,"missing: not collected"),EXACT(metadata!W611,"missing: not provided"),EXACT(metadata!W611,"missing: restricted access"))),AND(IF(metadata!W611="",FALSE,TRUE),OR(EXACT(metadata!W611,"TRUE"),EXACT(metadata!W611,"FALSE"))))</f>
        <v>0</v>
      </c>
      <c r="BI611" t="b">
        <f>AND(IF(metadata!X611="",FALSE,TRUE),EXACT(metadata!X611,"other"))</f>
        <v>0</v>
      </c>
      <c r="BJ611" t="b">
        <f>IF(metadata!Y611="",FALSE,TRUE)</f>
        <v>0</v>
      </c>
      <c r="BK611" t="b">
        <f>OR(AND(IF(metadata!Z611="",FALSE,TRUE),OR(EXACT(metadata!Z611,"missing: not collected"),EXACT(metadata!Z611,"missing: not provided"))),AND(IF(metadata!Z611="",FALSE,IF(ISERROR(INT(metadata!Z611)),FALSE,INT(metadata!Z611)=metadata!Z611)),metadata!Z611&gt;0))</f>
        <v>0</v>
      </c>
      <c r="BL611" t="b">
        <f>AND(IF(metadata!AA611="",FALSE,TRUE),EXACT(metadata!AA611,"Not applicable"))</f>
        <v>0</v>
      </c>
      <c r="BM611" t="b">
        <f>IF(metadata!AB611="",FALSE,TRUE)</f>
        <v>0</v>
      </c>
    </row>
    <row r="612" spans="1:65" x14ac:dyDescent="0.2">
      <c r="A612" s="5" t="str">
        <f ca="1">IF(B612=" "," ",HYPERLINK(CONCATENATE("#metadata!",ADDRESS(INDEX($AH$2:$AH$1001,MATCH(ROWS($AF$2:AF612),$AF$2:$AF$1001,0),0),1)),INDEX($AK$2:$AK$1001,MATCH(ROWS($AF$2:AF612),$AF$2:$AF$1001,0),0)))</f>
        <v xml:space="preserve"> </v>
      </c>
      <c r="B612" s="4" t="str">
        <f ca="1">IF(OR(INDEX($AG$2:$AG$1001,MATCH(ROWS($AF$2:AF612),$AF$2:$AF$1001,0),1)&gt;=100000,INDEX($AM$1005:$BM$1005,1,MATCH(COLUMNS($AM$1006:AM1006),$AM$1006:$BM$1006,0))&gt;=100000), " ",IF(INDEX($AM$2:$BM$1001,MATCH(ROWS($AF$2:AF612),$AF$2:$AF$1001,0),MATCH(COLUMNS($AM$1006:AM1006),$AM$1006:$BM$1006,0)), HYPERLINK("#",""), HYPERLINK(CONCATENATE("#metadata!", ADDRESS(INDEX($AH$2:$AH$1001,MATCH(ROWS($AF$2:AF612),$AF$2:$AF$1001,0),0), INDEX($AM$1004:$BM$1004,1,MATCH(COLUMNS($AM$1006:AM1006),$AM$1006:$BM$1006,0)))),"Fix")))</f>
        <v xml:space="preserve"> </v>
      </c>
      <c r="C612" s="4" t="str">
        <f ca="1">IF(OR(INDEX($AG$2:$AG$1001,MATCH(ROWS($AF$2:AF612),$AF$2:$AF$1001,0),1)&gt;=100000,INDEX($AM$1005:$BM$1005,1,MATCH(COLUMNS($AM$1006:AN1006),$AM$1006:$BM$1006,0))&gt;=100000), " ",IF(INDEX($AM$2:$BM$1001,MATCH(ROWS($AF$2:AF612),$AF$2:$AF$1001,0),MATCH(COLUMNS($AM$1006:AN1006),$AM$1006:$BM$1006,0)), HYPERLINK("#",""), HYPERLINK(CONCATENATE("#metadata!", ADDRESS(INDEX($AH$2:$AH$1001,MATCH(ROWS($AF$2:AF612),$AF$2:$AF$1001,0),0), INDEX($AM$1004:$BM$1004,1,MATCH(COLUMNS($AM$1006:AN1006),$AM$1006:$BM$1006,0)))),"Fix")))</f>
        <v xml:space="preserve"> </v>
      </c>
      <c r="D612" s="4" t="str">
        <f ca="1">IF(OR(INDEX($AG$2:$AG$1001,MATCH(ROWS($AF$2:AF612),$AF$2:$AF$1001,0),1)&gt;=100000,INDEX($AM$1005:$BM$1005,1,MATCH(COLUMNS($AM$1006:AO1006),$AM$1006:$BM$1006,0))&gt;=100000), " ",IF(INDEX($AM$2:$BM$1001,MATCH(ROWS($AF$2:AF612),$AF$2:$AF$1001,0),MATCH(COLUMNS($AM$1006:AO1006),$AM$1006:$BM$1006,0)), HYPERLINK("#",""), HYPERLINK(CONCATENATE("#metadata!", ADDRESS(INDEX($AH$2:$AH$1001,MATCH(ROWS($AF$2:AF612),$AF$2:$AF$1001,0),0), INDEX($AM$1004:$BM$1004,1,MATCH(COLUMNS($AM$1006:AO1006),$AM$1006:$BM$1006,0)))),"Fix")))</f>
        <v xml:space="preserve"> </v>
      </c>
      <c r="E612" s="4" t="str">
        <f ca="1">IF(OR(INDEX($AG$2:$AG$1001,MATCH(ROWS($AF$2:AF612),$AF$2:$AF$1001,0),1)&gt;=100000,INDEX($AM$1005:$BM$1005,1,MATCH(COLUMNS($AM$1006:AP1006),$AM$1006:$BM$1006,0))&gt;=100000), " ",IF(INDEX($AM$2:$BM$1001,MATCH(ROWS($AF$2:AF612),$AF$2:$AF$1001,0),MATCH(COLUMNS($AM$1006:AP1006),$AM$1006:$BM$1006,0)), HYPERLINK("#",""), HYPERLINK(CONCATENATE("#metadata!", ADDRESS(INDEX($AH$2:$AH$1001,MATCH(ROWS($AF$2:AF612),$AF$2:$AF$1001,0),0), INDEX($AM$1004:$BM$1004,1,MATCH(COLUMNS($AM$1006:AP1006),$AM$1006:$BM$1006,0)))),"Fix")))</f>
        <v xml:space="preserve"> </v>
      </c>
      <c r="F612" s="4" t="str">
        <f ca="1">IF(OR(INDEX($AG$2:$AG$1001,MATCH(ROWS($AF$2:AF612),$AF$2:$AF$1001,0),1)&gt;=100000,INDEX($AM$1005:$BM$1005,1,MATCH(COLUMNS($AM$1006:AQ1006),$AM$1006:$BM$1006,0))&gt;=100000), " ",IF(INDEX($AM$2:$BM$1001,MATCH(ROWS($AF$2:AF612),$AF$2:$AF$1001,0),MATCH(COLUMNS($AM$1006:AQ1006),$AM$1006:$BM$1006,0)), HYPERLINK("#",""), HYPERLINK(CONCATENATE("#metadata!", ADDRESS(INDEX($AH$2:$AH$1001,MATCH(ROWS($AF$2:AF612),$AF$2:$AF$1001,0),0), INDEX($AM$1004:$BM$1004,1,MATCH(COLUMNS($AM$1006:AQ1006),$AM$1006:$BM$1006,0)))),"Fix")))</f>
        <v xml:space="preserve"> </v>
      </c>
      <c r="G612" s="4" t="str">
        <f ca="1">IF(OR(INDEX($AG$2:$AG$1001,MATCH(ROWS($AF$2:AF612),$AF$2:$AF$1001,0),1)&gt;=100000,INDEX($AM$1005:$BM$1005,1,MATCH(COLUMNS($AM$1006:AR1006),$AM$1006:$BM$1006,0))&gt;=100000), " ",IF(INDEX($AM$2:$BM$1001,MATCH(ROWS($AF$2:AF612),$AF$2:$AF$1001,0),MATCH(COLUMNS($AM$1006:AR1006),$AM$1006:$BM$1006,0)), HYPERLINK("#",""), HYPERLINK(CONCATENATE("#metadata!", ADDRESS(INDEX($AH$2:$AH$1001,MATCH(ROWS($AF$2:AF612),$AF$2:$AF$1001,0),0), INDEX($AM$1004:$BM$1004,1,MATCH(COLUMNS($AM$1006:AR1006),$AM$1006:$BM$1006,0)))),"Fix")))</f>
        <v xml:space="preserve"> </v>
      </c>
      <c r="H612" s="4" t="str">
        <f ca="1">IF(OR(INDEX($AG$2:$AG$1001,MATCH(ROWS($AF$2:AF612),$AF$2:$AF$1001,0),1)&gt;=100000,INDEX($AM$1005:$BM$1005,1,MATCH(COLUMNS($AM$1006:AS1006),$AM$1006:$BM$1006,0))&gt;=100000), " ",IF(INDEX($AM$2:$BM$1001,MATCH(ROWS($AF$2:AF612),$AF$2:$AF$1001,0),MATCH(COLUMNS($AM$1006:AS1006),$AM$1006:$BM$1006,0)), HYPERLINK("#",""), HYPERLINK(CONCATENATE("#metadata!", ADDRESS(INDEX($AH$2:$AH$1001,MATCH(ROWS($AF$2:AF612),$AF$2:$AF$1001,0),0), INDEX($AM$1004:$BM$1004,1,MATCH(COLUMNS($AM$1006:AS1006),$AM$1006:$BM$1006,0)))),"Fix")))</f>
        <v xml:space="preserve"> </v>
      </c>
      <c r="I612" s="4" t="str">
        <f ca="1">IF(OR(INDEX($AG$2:$AG$1001,MATCH(ROWS($AF$2:AF612),$AF$2:$AF$1001,0),1)&gt;=100000,INDEX($AM$1005:$BM$1005,1,MATCH(COLUMNS($AM$1006:AT1006),$AM$1006:$BM$1006,0))&gt;=100000), " ",IF(INDEX($AM$2:$BM$1001,MATCH(ROWS($AF$2:AF612),$AF$2:$AF$1001,0),MATCH(COLUMNS($AM$1006:AT1006),$AM$1006:$BM$1006,0)), HYPERLINK("#",""), HYPERLINK(CONCATENATE("#metadata!", ADDRESS(INDEX($AH$2:$AH$1001,MATCH(ROWS($AF$2:AF612),$AF$2:$AF$1001,0),0), INDEX($AM$1004:$BM$1004,1,MATCH(COLUMNS($AM$1006:AT1006),$AM$1006:$BM$1006,0)))),"Fix")))</f>
        <v xml:space="preserve"> </v>
      </c>
      <c r="J612" s="4" t="str">
        <f ca="1">IF(OR(INDEX($AG$2:$AG$1001,MATCH(ROWS($AF$2:AF612),$AF$2:$AF$1001,0),1)&gt;=100000,INDEX($AM$1005:$BM$1005,1,MATCH(COLUMNS($AM$1006:AU1006),$AM$1006:$BM$1006,0))&gt;=100000), " ",IF(INDEX($AM$2:$BM$1001,MATCH(ROWS($AF$2:AF612),$AF$2:$AF$1001,0),MATCH(COLUMNS($AM$1006:AU1006),$AM$1006:$BM$1006,0)), HYPERLINK("#",""), HYPERLINK(CONCATENATE("#metadata!", ADDRESS(INDEX($AH$2:$AH$1001,MATCH(ROWS($AF$2:AF612),$AF$2:$AF$1001,0),0), INDEX($AM$1004:$BM$1004,1,MATCH(COLUMNS($AM$1006:AU1006),$AM$1006:$BM$1006,0)))),"Fix")))</f>
        <v xml:space="preserve"> </v>
      </c>
      <c r="K612" s="4" t="str">
        <f ca="1">IF(OR(INDEX($AG$2:$AG$1001,MATCH(ROWS($AF$2:AF612),$AF$2:$AF$1001,0),1)&gt;=100000,INDEX($AM$1005:$BM$1005,1,MATCH(COLUMNS($AM$1006:AV1006),$AM$1006:$BM$1006,0))&gt;=100000), " ",IF(INDEX($AM$2:$BM$1001,MATCH(ROWS($AF$2:AF612),$AF$2:$AF$1001,0),MATCH(COLUMNS($AM$1006:AV1006),$AM$1006:$BM$1006,0)), HYPERLINK("#",""), HYPERLINK(CONCATENATE("#metadata!", ADDRESS(INDEX($AH$2:$AH$1001,MATCH(ROWS($AF$2:AF612),$AF$2:$AF$1001,0),0), INDEX($AM$1004:$BM$1004,1,MATCH(COLUMNS($AM$1006:AV1006),$AM$1006:$BM$1006,0)))),"Fix")))</f>
        <v xml:space="preserve"> </v>
      </c>
      <c r="L612" s="4" t="str">
        <f ca="1">IF(OR(INDEX($AG$2:$AG$1001,MATCH(ROWS($AF$2:AF612),$AF$2:$AF$1001,0),1)&gt;=100000,INDEX($AM$1005:$BM$1005,1,MATCH(COLUMNS($AM$1006:AW1006),$AM$1006:$BM$1006,0))&gt;=100000), " ",IF(INDEX($AM$2:$BM$1001,MATCH(ROWS($AF$2:AF612),$AF$2:$AF$1001,0),MATCH(COLUMNS($AM$1006:AW1006),$AM$1006:$BM$1006,0)), HYPERLINK("#",""), HYPERLINK(CONCATENATE("#metadata!", ADDRESS(INDEX($AH$2:$AH$1001,MATCH(ROWS($AF$2:AF612),$AF$2:$AF$1001,0),0), INDEX($AM$1004:$BM$1004,1,MATCH(COLUMNS($AM$1006:AW1006),$AM$1006:$BM$1006,0)))),"Fix")))</f>
        <v xml:space="preserve"> </v>
      </c>
      <c r="M612" s="4" t="str">
        <f ca="1">IF(OR(INDEX($AG$2:$AG$1001,MATCH(ROWS($AF$2:AF612),$AF$2:$AF$1001,0),1)&gt;=100000,INDEX($AM$1005:$BM$1005,1,MATCH(COLUMNS($AM$1006:AX1006),$AM$1006:$BM$1006,0))&gt;=100000), " ",IF(INDEX($AM$2:$BM$1001,MATCH(ROWS($AF$2:AF612),$AF$2:$AF$1001,0),MATCH(COLUMNS($AM$1006:AX1006),$AM$1006:$BM$1006,0)), HYPERLINK("#",""), HYPERLINK(CONCATENATE("#metadata!", ADDRESS(INDEX($AH$2:$AH$1001,MATCH(ROWS($AF$2:AF612),$AF$2:$AF$1001,0),0), INDEX($AM$1004:$BM$1004,1,MATCH(COLUMNS($AM$1006:AX1006),$AM$1006:$BM$1006,0)))),"Fix")))</f>
        <v xml:space="preserve"> </v>
      </c>
      <c r="N612" s="4" t="str">
        <f ca="1">IF(OR(INDEX($AG$2:$AG$1001,MATCH(ROWS($AF$2:AF612),$AF$2:$AF$1001,0),1)&gt;=100000,INDEX($AM$1005:$BM$1005,1,MATCH(COLUMNS($AM$1006:AY1006),$AM$1006:$BM$1006,0))&gt;=100000), " ",IF(INDEX($AM$2:$BM$1001,MATCH(ROWS($AF$2:AF612),$AF$2:$AF$1001,0),MATCH(COLUMNS($AM$1006:AY1006),$AM$1006:$BM$1006,0)), HYPERLINK("#",""), HYPERLINK(CONCATENATE("#metadata!", ADDRESS(INDEX($AH$2:$AH$1001,MATCH(ROWS($AF$2:AF612),$AF$2:$AF$1001,0),0), INDEX($AM$1004:$BM$1004,1,MATCH(COLUMNS($AM$1006:AY1006),$AM$1006:$BM$1006,0)))),"Fix")))</f>
        <v xml:space="preserve"> </v>
      </c>
      <c r="O612" s="4" t="str">
        <f ca="1">IF(OR(INDEX($AG$2:$AG$1001,MATCH(ROWS($AF$2:AF612),$AF$2:$AF$1001,0),1)&gt;=100000,INDEX($AM$1005:$BM$1005,1,MATCH(COLUMNS($AM$1006:AZ1006),$AM$1006:$BM$1006,0))&gt;=100000), " ",IF(INDEX($AM$2:$BM$1001,MATCH(ROWS($AF$2:AF612),$AF$2:$AF$1001,0),MATCH(COLUMNS($AM$1006:AZ1006),$AM$1006:$BM$1006,0)), HYPERLINK("#",""), HYPERLINK(CONCATENATE("#metadata!", ADDRESS(INDEX($AH$2:$AH$1001,MATCH(ROWS($AF$2:AF612),$AF$2:$AF$1001,0),0), INDEX($AM$1004:$BM$1004,1,MATCH(COLUMNS($AM$1006:AZ1006),$AM$1006:$BM$1006,0)))),"Fix")))</f>
        <v xml:space="preserve"> </v>
      </c>
      <c r="P612" s="4" t="str">
        <f ca="1">IF(OR(INDEX($AG$2:$AG$1001,MATCH(ROWS($AF$2:AF612),$AF$2:$AF$1001,0),1)&gt;=100000,INDEX($AM$1005:$BM$1005,1,MATCH(COLUMNS($AM$1006:BA1006),$AM$1006:$BM$1006,0))&gt;=100000), " ",IF(INDEX($AM$2:$BM$1001,MATCH(ROWS($AF$2:AF612),$AF$2:$AF$1001,0),MATCH(COLUMNS($AM$1006:BA1006),$AM$1006:$BM$1006,0)), HYPERLINK("#",""), HYPERLINK(CONCATENATE("#metadata!", ADDRESS(INDEX($AH$2:$AH$1001,MATCH(ROWS($AF$2:AF612),$AF$2:$AF$1001,0),0), INDEX($AM$1004:$BM$1004,1,MATCH(COLUMNS($AM$1006:BA1006),$AM$1006:$BM$1006,0)))),"Fix")))</f>
        <v xml:space="preserve"> </v>
      </c>
      <c r="Q612" s="4" t="str">
        <f ca="1">IF(OR(INDEX($AG$2:$AG$1001,MATCH(ROWS($AF$2:AF612),$AF$2:$AF$1001,0),1)&gt;=100000,INDEX($AM$1005:$BM$1005,1,MATCH(COLUMNS($AM$1006:BB1006),$AM$1006:$BM$1006,0))&gt;=100000), " ",IF(INDEX($AM$2:$BM$1001,MATCH(ROWS($AF$2:AF612),$AF$2:$AF$1001,0),MATCH(COLUMNS($AM$1006:BB1006),$AM$1006:$BM$1006,0)), HYPERLINK("#",""), HYPERLINK(CONCATENATE("#metadata!", ADDRESS(INDEX($AH$2:$AH$1001,MATCH(ROWS($AF$2:AF612),$AF$2:$AF$1001,0),0), INDEX($AM$1004:$BM$1004,1,MATCH(COLUMNS($AM$1006:BB1006),$AM$1006:$BM$1006,0)))),"Fix")))</f>
        <v xml:space="preserve"> </v>
      </c>
      <c r="R612" s="4" t="str">
        <f ca="1">IF(OR(INDEX($AG$2:$AG$1001,MATCH(ROWS($AF$2:AF612),$AF$2:$AF$1001,0),1)&gt;=100000,INDEX($AM$1005:$BM$1005,1,MATCH(COLUMNS($AM$1006:BC1006),$AM$1006:$BM$1006,0))&gt;=100000), " ",IF(INDEX($AM$2:$BM$1001,MATCH(ROWS($AF$2:AF612),$AF$2:$AF$1001,0),MATCH(COLUMNS($AM$1006:BC1006),$AM$1006:$BM$1006,0)), HYPERLINK("#",""), HYPERLINK(CONCATENATE("#metadata!", ADDRESS(INDEX($AH$2:$AH$1001,MATCH(ROWS($AF$2:AF612),$AF$2:$AF$1001,0),0), INDEX($AM$1004:$BM$1004,1,MATCH(COLUMNS($AM$1006:BC1006),$AM$1006:$BM$1006,0)))),"Fix")))</f>
        <v xml:space="preserve"> </v>
      </c>
      <c r="S612" s="4" t="str">
        <f ca="1">IF(OR(INDEX($AG$2:$AG$1001,MATCH(ROWS($AF$2:AF612),$AF$2:$AF$1001,0),1)&gt;=100000,INDEX($AM$1005:$BM$1005,1,MATCH(COLUMNS($AM$1006:BD1006),$AM$1006:$BM$1006,0))&gt;=100000), " ",IF(INDEX($AM$2:$BM$1001,MATCH(ROWS($AF$2:AF612),$AF$2:$AF$1001,0),MATCH(COLUMNS($AM$1006:BD1006),$AM$1006:$BM$1006,0)), HYPERLINK("#",""), HYPERLINK(CONCATENATE("#metadata!", ADDRESS(INDEX($AH$2:$AH$1001,MATCH(ROWS($AF$2:AF612),$AF$2:$AF$1001,0),0), INDEX($AM$1004:$BM$1004,1,MATCH(COLUMNS($AM$1006:BD1006),$AM$1006:$BM$1006,0)))),"Fix")))</f>
        <v xml:space="preserve"> </v>
      </c>
      <c r="T612" s="4" t="str">
        <f ca="1">IF(OR(INDEX($AG$2:$AG$1001,MATCH(ROWS($AF$2:AF612),$AF$2:$AF$1001,0),1)&gt;=100000,INDEX($AM$1005:$BM$1005,1,MATCH(COLUMNS($AM$1006:BE1006),$AM$1006:$BM$1006,0))&gt;=100000), " ",IF(INDEX($AM$2:$BM$1001,MATCH(ROWS($AF$2:AF612),$AF$2:$AF$1001,0),MATCH(COLUMNS($AM$1006:BE1006),$AM$1006:$BM$1006,0)), HYPERLINK("#",""), HYPERLINK(CONCATENATE("#metadata!", ADDRESS(INDEX($AH$2:$AH$1001,MATCH(ROWS($AF$2:AF612),$AF$2:$AF$1001,0),0), INDEX($AM$1004:$BM$1004,1,MATCH(COLUMNS($AM$1006:BE1006),$AM$1006:$BM$1006,0)))),"Fix")))</f>
        <v xml:space="preserve"> </v>
      </c>
      <c r="U612" s="4" t="str">
        <f ca="1">IF(OR(INDEX($AG$2:$AG$1001,MATCH(ROWS($AF$2:AF612),$AF$2:$AF$1001,0),1)&gt;=100000,INDEX($AM$1005:$BM$1005,1,MATCH(COLUMNS($AM$1006:BF1006),$AM$1006:$BM$1006,0))&gt;=100000), " ",IF(INDEX($AM$2:$BM$1001,MATCH(ROWS($AF$2:AF612),$AF$2:$AF$1001,0),MATCH(COLUMNS($AM$1006:BF1006),$AM$1006:$BM$1006,0)), HYPERLINK("#",""), HYPERLINK(CONCATENATE("#metadata!", ADDRESS(INDEX($AH$2:$AH$1001,MATCH(ROWS($AF$2:AF612),$AF$2:$AF$1001,0),0), INDEX($AM$1004:$BM$1004,1,MATCH(COLUMNS($AM$1006:BF1006),$AM$1006:$BM$1006,0)))),"Fix")))</f>
        <v xml:space="preserve"> </v>
      </c>
      <c r="V612" s="4" t="str">
        <f ca="1">IF(OR(INDEX($AG$2:$AG$1001,MATCH(ROWS($AF$2:AF612),$AF$2:$AF$1001,0),1)&gt;=100000,INDEX($AM$1005:$BM$1005,1,MATCH(COLUMNS($AM$1006:BG1006),$AM$1006:$BM$1006,0))&gt;=100000), " ",IF(INDEX($AM$2:$BM$1001,MATCH(ROWS($AF$2:AF612),$AF$2:$AF$1001,0),MATCH(COLUMNS($AM$1006:BG1006),$AM$1006:$BM$1006,0)), HYPERLINK("#",""), HYPERLINK(CONCATENATE("#metadata!", ADDRESS(INDEX($AH$2:$AH$1001,MATCH(ROWS($AF$2:AF612),$AF$2:$AF$1001,0),0), INDEX($AM$1004:$BM$1004,1,MATCH(COLUMNS($AM$1006:BG1006),$AM$1006:$BM$1006,0)))),"Fix")))</f>
        <v xml:space="preserve"> </v>
      </c>
      <c r="W612" s="4" t="str">
        <f ca="1">IF(OR(INDEX($AG$2:$AG$1001,MATCH(ROWS($AF$2:AF612),$AF$2:$AF$1001,0),1)&gt;=100000,INDEX($AM$1005:$BM$1005,1,MATCH(COLUMNS($AM$1006:BH1006),$AM$1006:$BM$1006,0))&gt;=100000), " ",IF(INDEX($AM$2:$BM$1001,MATCH(ROWS($AF$2:AF612),$AF$2:$AF$1001,0),MATCH(COLUMNS($AM$1006:BH1006),$AM$1006:$BM$1006,0)), HYPERLINK("#",""), HYPERLINK(CONCATENATE("#metadata!", ADDRESS(INDEX($AH$2:$AH$1001,MATCH(ROWS($AF$2:AF612),$AF$2:$AF$1001,0),0), INDEX($AM$1004:$BM$1004,1,MATCH(COLUMNS($AM$1006:BH1006),$AM$1006:$BM$1006,0)))),"Fix")))</f>
        <v xml:space="preserve"> </v>
      </c>
      <c r="X612" s="4" t="str">
        <f ca="1">IF(OR(INDEX($AG$2:$AG$1001,MATCH(ROWS($AF$2:AF612),$AF$2:$AF$1001,0),1)&gt;=100000,INDEX($AM$1005:$BM$1005,1,MATCH(COLUMNS($AM$1006:BI1006),$AM$1006:$BM$1006,0))&gt;=100000), " ",IF(INDEX($AM$2:$BM$1001,MATCH(ROWS($AF$2:AF612),$AF$2:$AF$1001,0),MATCH(COLUMNS($AM$1006:BI1006),$AM$1006:$BM$1006,0)), HYPERLINK("#",""), HYPERLINK(CONCATENATE("#metadata!", ADDRESS(INDEX($AH$2:$AH$1001,MATCH(ROWS($AF$2:AF612),$AF$2:$AF$1001,0),0), INDEX($AM$1004:$BM$1004,1,MATCH(COLUMNS($AM$1006:BI1006),$AM$1006:$BM$1006,0)))),"Fix")))</f>
        <v xml:space="preserve"> </v>
      </c>
      <c r="Y612" s="4" t="str">
        <f ca="1">IF(OR(INDEX($AG$2:$AG$1001,MATCH(ROWS($AF$2:AF612),$AF$2:$AF$1001,0),1)&gt;=100000,INDEX($AM$1005:$BM$1005,1,MATCH(COLUMNS($AM$1006:BJ1006),$AM$1006:$BM$1006,0))&gt;=100000), " ",IF(INDEX($AM$2:$BM$1001,MATCH(ROWS($AF$2:AF612),$AF$2:$AF$1001,0),MATCH(COLUMNS($AM$1006:BJ1006),$AM$1006:$BM$1006,0)), HYPERLINK("#",""), HYPERLINK(CONCATENATE("#metadata!", ADDRESS(INDEX($AH$2:$AH$1001,MATCH(ROWS($AF$2:AF612),$AF$2:$AF$1001,0),0), INDEX($AM$1004:$BM$1004,1,MATCH(COLUMNS($AM$1006:BJ1006),$AM$1006:$BM$1006,0)))),"Fix")))</f>
        <v xml:space="preserve"> </v>
      </c>
      <c r="Z612" s="4" t="str">
        <f ca="1">IF(OR(INDEX($AG$2:$AG$1001,MATCH(ROWS($AF$2:AF612),$AF$2:$AF$1001,0),1)&gt;=100000,INDEX($AM$1005:$BM$1005,1,MATCH(COLUMNS($AM$1006:BK1006),$AM$1006:$BM$1006,0))&gt;=100000), " ",IF(INDEX($AM$2:$BM$1001,MATCH(ROWS($AF$2:AF612),$AF$2:$AF$1001,0),MATCH(COLUMNS($AM$1006:BK1006),$AM$1006:$BM$1006,0)), HYPERLINK("#",""), HYPERLINK(CONCATENATE("#metadata!", ADDRESS(INDEX($AH$2:$AH$1001,MATCH(ROWS($AF$2:AF612),$AF$2:$AF$1001,0),0), INDEX($AM$1004:$BM$1004,1,MATCH(COLUMNS($AM$1006:BK1006),$AM$1006:$BM$1006,0)))),"Fix")))</f>
        <v xml:space="preserve"> </v>
      </c>
      <c r="AA612" s="4" t="str">
        <f ca="1">IF(OR(INDEX($AG$2:$AG$1001,MATCH(ROWS($AF$2:AF612),$AF$2:$AF$1001,0),1)&gt;=100000,INDEX($AM$1005:$BM$1005,1,MATCH(COLUMNS($AM$1006:BL1006),$AM$1006:$BM$1006,0))&gt;=100000), " ",IF(INDEX($AM$2:$BM$1001,MATCH(ROWS($AF$2:AF612),$AF$2:$AF$1001,0),MATCH(COLUMNS($AM$1006:BL1006),$AM$1006:$BM$1006,0)), HYPERLINK("#",""), HYPERLINK(CONCATENATE("#metadata!", ADDRESS(INDEX($AH$2:$AH$1001,MATCH(ROWS($AF$2:AF612),$AF$2:$AF$1001,0),0), INDEX($AM$1004:$BM$1004,1,MATCH(COLUMNS($AM$1006:BL1006),$AM$1006:$BM$1006,0)))),"Fix")))</f>
        <v xml:space="preserve"> </v>
      </c>
      <c r="AB612" s="4" t="str">
        <f ca="1">IF(OR(INDEX($AG$2:$AG$1001,MATCH(ROWS($AF$2:AF612),$AF$2:$AF$1001,0),1)&gt;=100000,INDEX($AM$1005:$BM$1005,1,MATCH(COLUMNS($AM$1006:BM1006),$AM$1006:$BM$1006,0))&gt;=100000), " ",IF(INDEX($AM$2:$BM$1001,MATCH(ROWS($AF$2:AF612),$AF$2:$AF$1001,0),MATCH(COLUMNS($AM$1006:BM1006),$AM$1006:$BM$1006,0)), HYPERLINK("#",""), HYPERLINK(CONCATENATE("#metadata!", ADDRESS(INDEX($AH$2:$AH$1001,MATCH(ROWS($AF$2:AF612),$AF$2:$AF$1001,0),0), INDEX($AM$1004:$BM$1004,1,MATCH(COLUMNS($AM$1006:BM1006),$AM$1006:$BM$1006,0)))),"Fix")))</f>
        <v xml:space="preserve"> </v>
      </c>
      <c r="AF612">
        <v>611</v>
      </c>
      <c r="AG612">
        <v>100612</v>
      </c>
      <c r="AH612">
        <v>612</v>
      </c>
      <c r="AI612" t="b">
        <f t="shared" si="9"/>
        <v>1</v>
      </c>
      <c r="AJ612" t="b">
        <f>COUNTBLANK(metadata!B612:AB612)=COLUMNS(metadata!B612:AB612)</f>
        <v>1</v>
      </c>
      <c r="AK612" t="str">
        <v/>
      </c>
      <c r="AM612" t="b">
        <f ca="1">AND(IF(metadata!B612="",FALSE,TRUE),COUNTIF(metadata!B:B, metadata!B612) = 1,NOT(ISERROR(SUMPRODUCT(SEARCH(MID(metadata!B612,ROW(INDIRECT("1:"&amp;LEN(metadata!B612))), 1),"0123456789abcdefghijklmnopqrstuvwxyzABCDEFGHIJKLMNOPQRSTUVWXYZ.")))))</f>
        <v>0</v>
      </c>
      <c r="AN612" t="b">
        <f ca="1">OR(AND(IF(metadata!C612="",FALSE,TRUE),OR(EXACT(metadata!C612,"missing: not collected"),EXACT(metadata!C612,"missing: not provided"),EXACT(metadata!C612,"missing: restricted access"))),AND(IF(metadata!C612="",FALSE,TRUE),AND(AND(IFERROR(INT(LEFT(metadata!C612,4))&gt;1900,FALSE),IFERROR(INT(LEFT(metadata!C612,4))&lt;=YEAR(NOW()),FALSE)), OR(MID(metadata!C612,5,1)="", AND(AND(MID(metadata!C612,5,1)="-",IFERROR(INT(MID(metadata!C612,6,1))&gt;=0,FALSE),IFERROR(INT(MID(metadata!C612,6,1))&lt;=1,FALSE),NOT(MID(metadata!C612,7,1)=""),IFERROR(INT(MID(metadata!C612,6,2))&gt;=1,FALSE),IFERROR(INT(MID(metadata!C612,6,2))&lt;=12,FALSE)), OR(MID(metadata!C612,8,1)="", AND(AND(MID(metadata!C612,8,1)="-",IFERROR(INT(MID(metadata!C612,9,1))&gt;=0,FALSE),IFERROR(INT(MID(metadata!C612,9,1))&lt;=3,FALSE),NOT(MID(metadata!C612,10,1)=""),IFERROR(INT(MID(metadata!C612,9,2))&gt;=1,FALSE),IFERROR(INT(MID(metadata!C612,9,2))&lt;=31,FALSE)), OR(MID(metadata!C612,11,1)="", AND(AND(MID(metadata!C612,11,1)=" ",IFERROR(INT(MID(metadata!C612,12,1))&gt;=0,FALSE),IFERROR(INT(MID(metadata!C612,12,1))&lt;=2,FALSE),NOT(MID(metadata!C612,13,1)=""),IFERROR(INT(MID(metadata!C612,12,2))&gt;=0,FALSE),IFERROR(INT(MID(metadata!C612,12,2))&lt;=23,FALSE)), OR(MID(metadata!C612,14,1)="", AND(AND(MID(metadata!C612,14,1)=":",IFERROR(INT(MID(metadata!C612,15,1))&gt;=0,FALSE),IFERROR(INT(MID(metadata!C612,15,1))&lt;=5,FALSE),NOT(MID(metadata!C612,16,1)=""),IFERROR(INT(MID(metadata!C612,15,2))&gt;=0,FALSE),IFERROR(INT(MID(metadata!C612,15,2))&lt;=59,FALSE)), OR(MID(metadata!C612,17,1)="", AND(AND(MID(metadata!C612,17,1)=":",IFERROR(INT(MID(metadata!C612,18,1))&gt;=0,FALSE),IFERROR(INT(MID(metadata!C612,18,1))&lt;=5,FALSE),NOT(MID(metadata!C612,19,1)=""),IFERROR(INT(MID(metadata!C612,18,2))&gt;=0,FALSE),IFERROR(INT(MID(metadata!C612,18,2))&lt;=59,FALSE)), LEN(metadata!C612)&lt;=19)))))))))))))</f>
        <v>0</v>
      </c>
      <c r="AO612" t="b">
        <f>AND(IF(metadata!D612="",FALSE,TRUE),EXACT(metadata!D612,"Not applicable"))</f>
        <v>0</v>
      </c>
      <c r="AP612" t="b">
        <f>IF(metadata!E612="",FALSE,TRUE)</f>
        <v>0</v>
      </c>
      <c r="AQ612" t="b">
        <f>OR(AND(IF(metadata!F612="",FALSE,TRUE),OR(EXACT(metadata!F612,"missing: not collected"),EXACT(metadata!F612,"missing: not provided"))),AND(IF(metadata!F612="",FALSE,TRUE),OR(EXACT(metadata!F612,"TRUE"),EXACT(metadata!F612,"FALSE"))))</f>
        <v>0</v>
      </c>
      <c r="AR612" t="b">
        <f>OR(AND(IF(metadata!G612="",FALSE,TRUE),OR(EXACT(metadata!G612,"missing: not collected"),EXACT(metadata!G612,"missing: not provided"),EXACT(metadata!G612,"missing: restricted access"))),AND(IF(metadata!G612="",FALSE,ISNUMBER(VALUE(metadata!G612))),metadata!G612&gt;=-413))</f>
        <v>0</v>
      </c>
      <c r="AS612" t="b">
        <f>AND(IF(metadata!H612="",FALSE,TRUE),EXACT(metadata!H612,"meters"))</f>
        <v>0</v>
      </c>
      <c r="AT612" t="b">
        <f>AND(IF(metadata!I612="",FALSE,TRUE),OR(EXACT(metadata!I612,"Host-associated"),EXACT(metadata!I612,"Free-living")))</f>
        <v>0</v>
      </c>
      <c r="AU612" t="b">
        <f>AND(IF(metadata!J612="",FALSE,TRUE),OR(EXACT(metadata!J612,"Animal"),EXACT(metadata!J612,"Fungus"),EXACT(metadata!J612,"Plant"),EXACT(metadata!J612,"Saline"),EXACT(metadata!J612,"Non-saline")))</f>
        <v>0</v>
      </c>
      <c r="AV612" t="b">
        <f>AND(IF(metadata!K612="",FALSE,TRUE),OR(EXACT(metadata!K612,"Plant secretion"),EXACT(metadata!K612,"Plant rhizosphere"),EXACT(metadata!K612,"Plant surface"),EXACT(metadata!K612,"Plant corpus"),EXACT(metadata!K612,"Fungus surface"),EXACT(metadata!K612,"Fungus corpus"),EXACT(metadata!K612,"Animal surface"),EXACT(metadata!K612,"Animal proximal gut"),EXACT(metadata!K612,"Animal corpus"),EXACT(metadata!K612,"Animal distal gut"),EXACT(metadata!K612,"Animal secretion"),EXACT(metadata!K612,"Sub-surface (non-saline)"),EXACT(metadata!K612,"Surface (non-saline)"),EXACT(metadata!K612,"Water (non-saline)"),EXACT(metadata!K612,"Soil (non-saline)"),EXACT(metadata!K612,"Aerosol (non-saline)"),EXACT(metadata!K612,"Sediment (non-saline)"),EXACT(metadata!K612,"Surface (saline)"),EXACT(metadata!K612,"Water (saline)"),EXACT(metadata!K612,"Hypersaline (saline)"),EXACT(metadata!K612,"Aerosol (saline)"),EXACT(metadata!K612,"Sediment (saline)")))</f>
        <v>0</v>
      </c>
      <c r="AW612" t="b">
        <f>IF(metadata!L612="",FALSE,TRUE)</f>
        <v>0</v>
      </c>
      <c r="AX612" t="b">
        <f>IF(metadata!M612="",FALSE,TRUE)</f>
        <v>0</v>
      </c>
      <c r="AY612" t="b">
        <f>IF(metadata!N612="",FALSE,TRUE)</f>
        <v>0</v>
      </c>
      <c r="AZ612" t="b">
        <f>OR(AND(IF(metadata!O612="",FALSE,TRUE),OR(EXACT(metadata!O612,"missing: not collected"),EXACT(metadata!O612,"missing: not provided"),EXACT(metadata!O612,"missing: restricted access"))),AND(IF(metadata!O612="",FALSE,TRUE),OR(EXACT(metadata!O612,"air"),EXACT(metadata!O612,"built environment"),EXACT(metadata!O612,"host-associated"),EXACT(metadata!O612,"human-associated"),EXACT(metadata!O612,"human-skin"),EXACT(metadata!O612,"human-oral"),EXACT(metadata!O612,"human-gut"),EXACT(metadata!O612,"human-vaginal"),EXACT(metadata!O612,"microbial mat/biofilm"),EXACT(metadata!O612,"misc environment"),EXACT(metadata!O612,"plant-associated"),EXACT(metadata!O612,"sediment"),EXACT(metadata!O612,"soil"),EXACT(metadata!O612,"wastewater/sludge"),EXACT(metadata!O612,"water"))))</f>
        <v>0</v>
      </c>
      <c r="BA612" t="b">
        <f>IF(metadata!P612="",FALSE,TRUE)</f>
        <v>0</v>
      </c>
      <c r="BB612" t="b">
        <f>IF(metadata!Q612="",FALSE,TRUE)</f>
        <v>0</v>
      </c>
      <c r="BC612" t="b">
        <f>OR(AND(IF(metadata!R612="",FALSE,TRUE),OR(EXACT(metadata!R612,"missing: not collected"),EXACT(metadata!R612,"missing: not provided"),EXACT(metadata!R612,"missing: restricted access"))),AND(IF(metadata!R612="",FALSE,ISNUMBER(VALUE(metadata!R612))),metadata!R612&gt;=-90,metadata!R612&lt;=90))</f>
        <v>0</v>
      </c>
      <c r="BD612" t="b">
        <f>AND(IF(metadata!S612="",FALSE,TRUE),EXACT(metadata!S612,"Decimal degrees"))</f>
        <v>0</v>
      </c>
      <c r="BE612" t="b">
        <f>OR(AND(IF(metadata!T612="",FALSE,TRUE),OR(EXACT(metadata!T612,"missing: not collected"),EXACT(metadata!T612,"missing: not provided"),EXACT(metadata!T612,"missing: restricted access"))),AND(IF(metadata!T612="",FALSE,ISNUMBER(VALUE(metadata!T612))),metadata!T612&gt;=-180,metadata!T612&lt;=180))</f>
        <v>0</v>
      </c>
      <c r="BF612" t="b">
        <f>AND(IF(metadata!U612="",FALSE,TRUE),EXACT(metadata!U612,"Decimal degrees"))</f>
        <v>0</v>
      </c>
      <c r="BG612" t="b">
        <f>IF(metadata!V612="",FALSE,TRUE)</f>
        <v>0</v>
      </c>
      <c r="BH612" t="b">
        <f>OR(AND(IF(metadata!W612="",FALSE,TRUE),OR(EXACT(metadata!W612,"missing: not collected"),EXACT(metadata!W612,"missing: not provided"),EXACT(metadata!W612,"missing: restricted access"))),AND(IF(metadata!W612="",FALSE,TRUE),OR(EXACT(metadata!W612,"TRUE"),EXACT(metadata!W612,"FALSE"))))</f>
        <v>0</v>
      </c>
      <c r="BI612" t="b">
        <f>AND(IF(metadata!X612="",FALSE,TRUE),EXACT(metadata!X612,"other"))</f>
        <v>0</v>
      </c>
      <c r="BJ612" t="b">
        <f>IF(metadata!Y612="",FALSE,TRUE)</f>
        <v>0</v>
      </c>
      <c r="BK612" t="b">
        <f>OR(AND(IF(metadata!Z612="",FALSE,TRUE),OR(EXACT(metadata!Z612,"missing: not collected"),EXACT(metadata!Z612,"missing: not provided"))),AND(IF(metadata!Z612="",FALSE,IF(ISERROR(INT(metadata!Z612)),FALSE,INT(metadata!Z612)=metadata!Z612)),metadata!Z612&gt;0))</f>
        <v>0</v>
      </c>
      <c r="BL612" t="b">
        <f>AND(IF(metadata!AA612="",FALSE,TRUE),EXACT(metadata!AA612,"Not applicable"))</f>
        <v>0</v>
      </c>
      <c r="BM612" t="b">
        <f>IF(metadata!AB612="",FALSE,TRUE)</f>
        <v>0</v>
      </c>
    </row>
    <row r="613" spans="1:65" x14ac:dyDescent="0.2">
      <c r="A613" s="5" t="str">
        <f ca="1">IF(B613=" "," ",HYPERLINK(CONCATENATE("#metadata!",ADDRESS(INDEX($AH$2:$AH$1001,MATCH(ROWS($AF$2:AF613),$AF$2:$AF$1001,0),0),1)),INDEX($AK$2:$AK$1001,MATCH(ROWS($AF$2:AF613),$AF$2:$AF$1001,0),0)))</f>
        <v xml:space="preserve"> </v>
      </c>
      <c r="B613" s="4" t="str">
        <f ca="1">IF(OR(INDEX($AG$2:$AG$1001,MATCH(ROWS($AF$2:AF613),$AF$2:$AF$1001,0),1)&gt;=100000,INDEX($AM$1005:$BM$1005,1,MATCH(COLUMNS($AM$1006:AM1006),$AM$1006:$BM$1006,0))&gt;=100000), " ",IF(INDEX($AM$2:$BM$1001,MATCH(ROWS($AF$2:AF613),$AF$2:$AF$1001,0),MATCH(COLUMNS($AM$1006:AM1006),$AM$1006:$BM$1006,0)), HYPERLINK("#",""), HYPERLINK(CONCATENATE("#metadata!", ADDRESS(INDEX($AH$2:$AH$1001,MATCH(ROWS($AF$2:AF613),$AF$2:$AF$1001,0),0), INDEX($AM$1004:$BM$1004,1,MATCH(COLUMNS($AM$1006:AM1006),$AM$1006:$BM$1006,0)))),"Fix")))</f>
        <v xml:space="preserve"> </v>
      </c>
      <c r="C613" s="4" t="str">
        <f ca="1">IF(OR(INDEX($AG$2:$AG$1001,MATCH(ROWS($AF$2:AF613),$AF$2:$AF$1001,0),1)&gt;=100000,INDEX($AM$1005:$BM$1005,1,MATCH(COLUMNS($AM$1006:AN1006),$AM$1006:$BM$1006,0))&gt;=100000), " ",IF(INDEX($AM$2:$BM$1001,MATCH(ROWS($AF$2:AF613),$AF$2:$AF$1001,0),MATCH(COLUMNS($AM$1006:AN1006),$AM$1006:$BM$1006,0)), HYPERLINK("#",""), HYPERLINK(CONCATENATE("#metadata!", ADDRESS(INDEX($AH$2:$AH$1001,MATCH(ROWS($AF$2:AF613),$AF$2:$AF$1001,0),0), INDEX($AM$1004:$BM$1004,1,MATCH(COLUMNS($AM$1006:AN1006),$AM$1006:$BM$1006,0)))),"Fix")))</f>
        <v xml:space="preserve"> </v>
      </c>
      <c r="D613" s="4" t="str">
        <f ca="1">IF(OR(INDEX($AG$2:$AG$1001,MATCH(ROWS($AF$2:AF613),$AF$2:$AF$1001,0),1)&gt;=100000,INDEX($AM$1005:$BM$1005,1,MATCH(COLUMNS($AM$1006:AO1006),$AM$1006:$BM$1006,0))&gt;=100000), " ",IF(INDEX($AM$2:$BM$1001,MATCH(ROWS($AF$2:AF613),$AF$2:$AF$1001,0),MATCH(COLUMNS($AM$1006:AO1006),$AM$1006:$BM$1006,0)), HYPERLINK("#",""), HYPERLINK(CONCATENATE("#metadata!", ADDRESS(INDEX($AH$2:$AH$1001,MATCH(ROWS($AF$2:AF613),$AF$2:$AF$1001,0),0), INDEX($AM$1004:$BM$1004,1,MATCH(COLUMNS($AM$1006:AO1006),$AM$1006:$BM$1006,0)))),"Fix")))</f>
        <v xml:space="preserve"> </v>
      </c>
      <c r="E613" s="4" t="str">
        <f ca="1">IF(OR(INDEX($AG$2:$AG$1001,MATCH(ROWS($AF$2:AF613),$AF$2:$AF$1001,0),1)&gt;=100000,INDEX($AM$1005:$BM$1005,1,MATCH(COLUMNS($AM$1006:AP1006),$AM$1006:$BM$1006,0))&gt;=100000), " ",IF(INDEX($AM$2:$BM$1001,MATCH(ROWS($AF$2:AF613),$AF$2:$AF$1001,0),MATCH(COLUMNS($AM$1006:AP1006),$AM$1006:$BM$1006,0)), HYPERLINK("#",""), HYPERLINK(CONCATENATE("#metadata!", ADDRESS(INDEX($AH$2:$AH$1001,MATCH(ROWS($AF$2:AF613),$AF$2:$AF$1001,0),0), INDEX($AM$1004:$BM$1004,1,MATCH(COLUMNS($AM$1006:AP1006),$AM$1006:$BM$1006,0)))),"Fix")))</f>
        <v xml:space="preserve"> </v>
      </c>
      <c r="F613" s="4" t="str">
        <f ca="1">IF(OR(INDEX($AG$2:$AG$1001,MATCH(ROWS($AF$2:AF613),$AF$2:$AF$1001,0),1)&gt;=100000,INDEX($AM$1005:$BM$1005,1,MATCH(COLUMNS($AM$1006:AQ1006),$AM$1006:$BM$1006,0))&gt;=100000), " ",IF(INDEX($AM$2:$BM$1001,MATCH(ROWS($AF$2:AF613),$AF$2:$AF$1001,0),MATCH(COLUMNS($AM$1006:AQ1006),$AM$1006:$BM$1006,0)), HYPERLINK("#",""), HYPERLINK(CONCATENATE("#metadata!", ADDRESS(INDEX($AH$2:$AH$1001,MATCH(ROWS($AF$2:AF613),$AF$2:$AF$1001,0),0), INDEX($AM$1004:$BM$1004,1,MATCH(COLUMNS($AM$1006:AQ1006),$AM$1006:$BM$1006,0)))),"Fix")))</f>
        <v xml:space="preserve"> </v>
      </c>
      <c r="G613" s="4" t="str">
        <f ca="1">IF(OR(INDEX($AG$2:$AG$1001,MATCH(ROWS($AF$2:AF613),$AF$2:$AF$1001,0),1)&gt;=100000,INDEX($AM$1005:$BM$1005,1,MATCH(COLUMNS($AM$1006:AR1006),$AM$1006:$BM$1006,0))&gt;=100000), " ",IF(INDEX($AM$2:$BM$1001,MATCH(ROWS($AF$2:AF613),$AF$2:$AF$1001,0),MATCH(COLUMNS($AM$1006:AR1006),$AM$1006:$BM$1006,0)), HYPERLINK("#",""), HYPERLINK(CONCATENATE("#metadata!", ADDRESS(INDEX($AH$2:$AH$1001,MATCH(ROWS($AF$2:AF613),$AF$2:$AF$1001,0),0), INDEX($AM$1004:$BM$1004,1,MATCH(COLUMNS($AM$1006:AR1006),$AM$1006:$BM$1006,0)))),"Fix")))</f>
        <v xml:space="preserve"> </v>
      </c>
      <c r="H613" s="4" t="str">
        <f ca="1">IF(OR(INDEX($AG$2:$AG$1001,MATCH(ROWS($AF$2:AF613),$AF$2:$AF$1001,0),1)&gt;=100000,INDEX($AM$1005:$BM$1005,1,MATCH(COLUMNS($AM$1006:AS1006),$AM$1006:$BM$1006,0))&gt;=100000), " ",IF(INDEX($AM$2:$BM$1001,MATCH(ROWS($AF$2:AF613),$AF$2:$AF$1001,0),MATCH(COLUMNS($AM$1006:AS1006),$AM$1006:$BM$1006,0)), HYPERLINK("#",""), HYPERLINK(CONCATENATE("#metadata!", ADDRESS(INDEX($AH$2:$AH$1001,MATCH(ROWS($AF$2:AF613),$AF$2:$AF$1001,0),0), INDEX($AM$1004:$BM$1004,1,MATCH(COLUMNS($AM$1006:AS1006),$AM$1006:$BM$1006,0)))),"Fix")))</f>
        <v xml:space="preserve"> </v>
      </c>
      <c r="I613" s="4" t="str">
        <f ca="1">IF(OR(INDEX($AG$2:$AG$1001,MATCH(ROWS($AF$2:AF613),$AF$2:$AF$1001,0),1)&gt;=100000,INDEX($AM$1005:$BM$1005,1,MATCH(COLUMNS($AM$1006:AT1006),$AM$1006:$BM$1006,0))&gt;=100000), " ",IF(INDEX($AM$2:$BM$1001,MATCH(ROWS($AF$2:AF613),$AF$2:$AF$1001,0),MATCH(COLUMNS($AM$1006:AT1006),$AM$1006:$BM$1006,0)), HYPERLINK("#",""), HYPERLINK(CONCATENATE("#metadata!", ADDRESS(INDEX($AH$2:$AH$1001,MATCH(ROWS($AF$2:AF613),$AF$2:$AF$1001,0),0), INDEX($AM$1004:$BM$1004,1,MATCH(COLUMNS($AM$1006:AT1006),$AM$1006:$BM$1006,0)))),"Fix")))</f>
        <v xml:space="preserve"> </v>
      </c>
      <c r="J613" s="4" t="str">
        <f ca="1">IF(OR(INDEX($AG$2:$AG$1001,MATCH(ROWS($AF$2:AF613),$AF$2:$AF$1001,0),1)&gt;=100000,INDEX($AM$1005:$BM$1005,1,MATCH(COLUMNS($AM$1006:AU1006),$AM$1006:$BM$1006,0))&gt;=100000), " ",IF(INDEX($AM$2:$BM$1001,MATCH(ROWS($AF$2:AF613),$AF$2:$AF$1001,0),MATCH(COLUMNS($AM$1006:AU1006),$AM$1006:$BM$1006,0)), HYPERLINK("#",""), HYPERLINK(CONCATENATE("#metadata!", ADDRESS(INDEX($AH$2:$AH$1001,MATCH(ROWS($AF$2:AF613),$AF$2:$AF$1001,0),0), INDEX($AM$1004:$BM$1004,1,MATCH(COLUMNS($AM$1006:AU1006),$AM$1006:$BM$1006,0)))),"Fix")))</f>
        <v xml:space="preserve"> </v>
      </c>
      <c r="K613" s="4" t="str">
        <f ca="1">IF(OR(INDEX($AG$2:$AG$1001,MATCH(ROWS($AF$2:AF613),$AF$2:$AF$1001,0),1)&gt;=100000,INDEX($AM$1005:$BM$1005,1,MATCH(COLUMNS($AM$1006:AV1006),$AM$1006:$BM$1006,0))&gt;=100000), " ",IF(INDEX($AM$2:$BM$1001,MATCH(ROWS($AF$2:AF613),$AF$2:$AF$1001,0),MATCH(COLUMNS($AM$1006:AV1006),$AM$1006:$BM$1006,0)), HYPERLINK("#",""), HYPERLINK(CONCATENATE("#metadata!", ADDRESS(INDEX($AH$2:$AH$1001,MATCH(ROWS($AF$2:AF613),$AF$2:$AF$1001,0),0), INDEX($AM$1004:$BM$1004,1,MATCH(COLUMNS($AM$1006:AV1006),$AM$1006:$BM$1006,0)))),"Fix")))</f>
        <v xml:space="preserve"> </v>
      </c>
      <c r="L613" s="4" t="str">
        <f ca="1">IF(OR(INDEX($AG$2:$AG$1001,MATCH(ROWS($AF$2:AF613),$AF$2:$AF$1001,0),1)&gt;=100000,INDEX($AM$1005:$BM$1005,1,MATCH(COLUMNS($AM$1006:AW1006),$AM$1006:$BM$1006,0))&gt;=100000), " ",IF(INDEX($AM$2:$BM$1001,MATCH(ROWS($AF$2:AF613),$AF$2:$AF$1001,0),MATCH(COLUMNS($AM$1006:AW1006),$AM$1006:$BM$1006,0)), HYPERLINK("#",""), HYPERLINK(CONCATENATE("#metadata!", ADDRESS(INDEX($AH$2:$AH$1001,MATCH(ROWS($AF$2:AF613),$AF$2:$AF$1001,0),0), INDEX($AM$1004:$BM$1004,1,MATCH(COLUMNS($AM$1006:AW1006),$AM$1006:$BM$1006,0)))),"Fix")))</f>
        <v xml:space="preserve"> </v>
      </c>
      <c r="M613" s="4" t="str">
        <f ca="1">IF(OR(INDEX($AG$2:$AG$1001,MATCH(ROWS($AF$2:AF613),$AF$2:$AF$1001,0),1)&gt;=100000,INDEX($AM$1005:$BM$1005,1,MATCH(COLUMNS($AM$1006:AX1006),$AM$1006:$BM$1006,0))&gt;=100000), " ",IF(INDEX($AM$2:$BM$1001,MATCH(ROWS($AF$2:AF613),$AF$2:$AF$1001,0),MATCH(COLUMNS($AM$1006:AX1006),$AM$1006:$BM$1006,0)), HYPERLINK("#",""), HYPERLINK(CONCATENATE("#metadata!", ADDRESS(INDEX($AH$2:$AH$1001,MATCH(ROWS($AF$2:AF613),$AF$2:$AF$1001,0),0), INDEX($AM$1004:$BM$1004,1,MATCH(COLUMNS($AM$1006:AX1006),$AM$1006:$BM$1006,0)))),"Fix")))</f>
        <v xml:space="preserve"> </v>
      </c>
      <c r="N613" s="4" t="str">
        <f ca="1">IF(OR(INDEX($AG$2:$AG$1001,MATCH(ROWS($AF$2:AF613),$AF$2:$AF$1001,0),1)&gt;=100000,INDEX($AM$1005:$BM$1005,1,MATCH(COLUMNS($AM$1006:AY1006),$AM$1006:$BM$1006,0))&gt;=100000), " ",IF(INDEX($AM$2:$BM$1001,MATCH(ROWS($AF$2:AF613),$AF$2:$AF$1001,0),MATCH(COLUMNS($AM$1006:AY1006),$AM$1006:$BM$1006,0)), HYPERLINK("#",""), HYPERLINK(CONCATENATE("#metadata!", ADDRESS(INDEX($AH$2:$AH$1001,MATCH(ROWS($AF$2:AF613),$AF$2:$AF$1001,0),0), INDEX($AM$1004:$BM$1004,1,MATCH(COLUMNS($AM$1006:AY1006),$AM$1006:$BM$1006,0)))),"Fix")))</f>
        <v xml:space="preserve"> </v>
      </c>
      <c r="O613" s="4" t="str">
        <f ca="1">IF(OR(INDEX($AG$2:$AG$1001,MATCH(ROWS($AF$2:AF613),$AF$2:$AF$1001,0),1)&gt;=100000,INDEX($AM$1005:$BM$1005,1,MATCH(COLUMNS($AM$1006:AZ1006),$AM$1006:$BM$1006,0))&gt;=100000), " ",IF(INDEX($AM$2:$BM$1001,MATCH(ROWS($AF$2:AF613),$AF$2:$AF$1001,0),MATCH(COLUMNS($AM$1006:AZ1006),$AM$1006:$BM$1006,0)), HYPERLINK("#",""), HYPERLINK(CONCATENATE("#metadata!", ADDRESS(INDEX($AH$2:$AH$1001,MATCH(ROWS($AF$2:AF613),$AF$2:$AF$1001,0),0), INDEX($AM$1004:$BM$1004,1,MATCH(COLUMNS($AM$1006:AZ1006),$AM$1006:$BM$1006,0)))),"Fix")))</f>
        <v xml:space="preserve"> </v>
      </c>
      <c r="P613" s="4" t="str">
        <f ca="1">IF(OR(INDEX($AG$2:$AG$1001,MATCH(ROWS($AF$2:AF613),$AF$2:$AF$1001,0),1)&gt;=100000,INDEX($AM$1005:$BM$1005,1,MATCH(COLUMNS($AM$1006:BA1006),$AM$1006:$BM$1006,0))&gt;=100000), " ",IF(INDEX($AM$2:$BM$1001,MATCH(ROWS($AF$2:AF613),$AF$2:$AF$1001,0),MATCH(COLUMNS($AM$1006:BA1006),$AM$1006:$BM$1006,0)), HYPERLINK("#",""), HYPERLINK(CONCATENATE("#metadata!", ADDRESS(INDEX($AH$2:$AH$1001,MATCH(ROWS($AF$2:AF613),$AF$2:$AF$1001,0),0), INDEX($AM$1004:$BM$1004,1,MATCH(COLUMNS($AM$1006:BA1006),$AM$1006:$BM$1006,0)))),"Fix")))</f>
        <v xml:space="preserve"> </v>
      </c>
      <c r="Q613" s="4" t="str">
        <f ca="1">IF(OR(INDEX($AG$2:$AG$1001,MATCH(ROWS($AF$2:AF613),$AF$2:$AF$1001,0),1)&gt;=100000,INDEX($AM$1005:$BM$1005,1,MATCH(COLUMNS($AM$1006:BB1006),$AM$1006:$BM$1006,0))&gt;=100000), " ",IF(INDEX($AM$2:$BM$1001,MATCH(ROWS($AF$2:AF613),$AF$2:$AF$1001,0),MATCH(COLUMNS($AM$1006:BB1006),$AM$1006:$BM$1006,0)), HYPERLINK("#",""), HYPERLINK(CONCATENATE("#metadata!", ADDRESS(INDEX($AH$2:$AH$1001,MATCH(ROWS($AF$2:AF613),$AF$2:$AF$1001,0),0), INDEX($AM$1004:$BM$1004,1,MATCH(COLUMNS($AM$1006:BB1006),$AM$1006:$BM$1006,0)))),"Fix")))</f>
        <v xml:space="preserve"> </v>
      </c>
      <c r="R613" s="4" t="str">
        <f ca="1">IF(OR(INDEX($AG$2:$AG$1001,MATCH(ROWS($AF$2:AF613),$AF$2:$AF$1001,0),1)&gt;=100000,INDEX($AM$1005:$BM$1005,1,MATCH(COLUMNS($AM$1006:BC1006),$AM$1006:$BM$1006,0))&gt;=100000), " ",IF(INDEX($AM$2:$BM$1001,MATCH(ROWS($AF$2:AF613),$AF$2:$AF$1001,0),MATCH(COLUMNS($AM$1006:BC1006),$AM$1006:$BM$1006,0)), HYPERLINK("#",""), HYPERLINK(CONCATENATE("#metadata!", ADDRESS(INDEX($AH$2:$AH$1001,MATCH(ROWS($AF$2:AF613),$AF$2:$AF$1001,0),0), INDEX($AM$1004:$BM$1004,1,MATCH(COLUMNS($AM$1006:BC1006),$AM$1006:$BM$1006,0)))),"Fix")))</f>
        <v xml:space="preserve"> </v>
      </c>
      <c r="S613" s="4" t="str">
        <f ca="1">IF(OR(INDEX($AG$2:$AG$1001,MATCH(ROWS($AF$2:AF613),$AF$2:$AF$1001,0),1)&gt;=100000,INDEX($AM$1005:$BM$1005,1,MATCH(COLUMNS($AM$1006:BD1006),$AM$1006:$BM$1006,0))&gt;=100000), " ",IF(INDEX($AM$2:$BM$1001,MATCH(ROWS($AF$2:AF613),$AF$2:$AF$1001,0),MATCH(COLUMNS($AM$1006:BD1006),$AM$1006:$BM$1006,0)), HYPERLINK("#",""), HYPERLINK(CONCATENATE("#metadata!", ADDRESS(INDEX($AH$2:$AH$1001,MATCH(ROWS($AF$2:AF613),$AF$2:$AF$1001,0),0), INDEX($AM$1004:$BM$1004,1,MATCH(COLUMNS($AM$1006:BD1006),$AM$1006:$BM$1006,0)))),"Fix")))</f>
        <v xml:space="preserve"> </v>
      </c>
      <c r="T613" s="4" t="str">
        <f ca="1">IF(OR(INDEX($AG$2:$AG$1001,MATCH(ROWS($AF$2:AF613),$AF$2:$AF$1001,0),1)&gt;=100000,INDEX($AM$1005:$BM$1005,1,MATCH(COLUMNS($AM$1006:BE1006),$AM$1006:$BM$1006,0))&gt;=100000), " ",IF(INDEX($AM$2:$BM$1001,MATCH(ROWS($AF$2:AF613),$AF$2:$AF$1001,0),MATCH(COLUMNS($AM$1006:BE1006),$AM$1006:$BM$1006,0)), HYPERLINK("#",""), HYPERLINK(CONCATENATE("#metadata!", ADDRESS(INDEX($AH$2:$AH$1001,MATCH(ROWS($AF$2:AF613),$AF$2:$AF$1001,0),0), INDEX($AM$1004:$BM$1004,1,MATCH(COLUMNS($AM$1006:BE1006),$AM$1006:$BM$1006,0)))),"Fix")))</f>
        <v xml:space="preserve"> </v>
      </c>
      <c r="U613" s="4" t="str">
        <f ca="1">IF(OR(INDEX($AG$2:$AG$1001,MATCH(ROWS($AF$2:AF613),$AF$2:$AF$1001,0),1)&gt;=100000,INDEX($AM$1005:$BM$1005,1,MATCH(COLUMNS($AM$1006:BF1006),$AM$1006:$BM$1006,0))&gt;=100000), " ",IF(INDEX($AM$2:$BM$1001,MATCH(ROWS($AF$2:AF613),$AF$2:$AF$1001,0),MATCH(COLUMNS($AM$1006:BF1006),$AM$1006:$BM$1006,0)), HYPERLINK("#",""), HYPERLINK(CONCATENATE("#metadata!", ADDRESS(INDEX($AH$2:$AH$1001,MATCH(ROWS($AF$2:AF613),$AF$2:$AF$1001,0),0), INDEX($AM$1004:$BM$1004,1,MATCH(COLUMNS($AM$1006:BF1006),$AM$1006:$BM$1006,0)))),"Fix")))</f>
        <v xml:space="preserve"> </v>
      </c>
      <c r="V613" s="4" t="str">
        <f ca="1">IF(OR(INDEX($AG$2:$AG$1001,MATCH(ROWS($AF$2:AF613),$AF$2:$AF$1001,0),1)&gt;=100000,INDEX($AM$1005:$BM$1005,1,MATCH(COLUMNS($AM$1006:BG1006),$AM$1006:$BM$1006,0))&gt;=100000), " ",IF(INDEX($AM$2:$BM$1001,MATCH(ROWS($AF$2:AF613),$AF$2:$AF$1001,0),MATCH(COLUMNS($AM$1006:BG1006),$AM$1006:$BM$1006,0)), HYPERLINK("#",""), HYPERLINK(CONCATENATE("#metadata!", ADDRESS(INDEX($AH$2:$AH$1001,MATCH(ROWS($AF$2:AF613),$AF$2:$AF$1001,0),0), INDEX($AM$1004:$BM$1004,1,MATCH(COLUMNS($AM$1006:BG1006),$AM$1006:$BM$1006,0)))),"Fix")))</f>
        <v xml:space="preserve"> </v>
      </c>
      <c r="W613" s="4" t="str">
        <f ca="1">IF(OR(INDEX($AG$2:$AG$1001,MATCH(ROWS($AF$2:AF613),$AF$2:$AF$1001,0),1)&gt;=100000,INDEX($AM$1005:$BM$1005,1,MATCH(COLUMNS($AM$1006:BH1006),$AM$1006:$BM$1006,0))&gt;=100000), " ",IF(INDEX($AM$2:$BM$1001,MATCH(ROWS($AF$2:AF613),$AF$2:$AF$1001,0),MATCH(COLUMNS($AM$1006:BH1006),$AM$1006:$BM$1006,0)), HYPERLINK("#",""), HYPERLINK(CONCATENATE("#metadata!", ADDRESS(INDEX($AH$2:$AH$1001,MATCH(ROWS($AF$2:AF613),$AF$2:$AF$1001,0),0), INDEX($AM$1004:$BM$1004,1,MATCH(COLUMNS($AM$1006:BH1006),$AM$1006:$BM$1006,0)))),"Fix")))</f>
        <v xml:space="preserve"> </v>
      </c>
      <c r="X613" s="4" t="str">
        <f ca="1">IF(OR(INDEX($AG$2:$AG$1001,MATCH(ROWS($AF$2:AF613),$AF$2:$AF$1001,0),1)&gt;=100000,INDEX($AM$1005:$BM$1005,1,MATCH(COLUMNS($AM$1006:BI1006),$AM$1006:$BM$1006,0))&gt;=100000), " ",IF(INDEX($AM$2:$BM$1001,MATCH(ROWS($AF$2:AF613),$AF$2:$AF$1001,0),MATCH(COLUMNS($AM$1006:BI1006),$AM$1006:$BM$1006,0)), HYPERLINK("#",""), HYPERLINK(CONCATENATE("#metadata!", ADDRESS(INDEX($AH$2:$AH$1001,MATCH(ROWS($AF$2:AF613),$AF$2:$AF$1001,0),0), INDEX($AM$1004:$BM$1004,1,MATCH(COLUMNS($AM$1006:BI1006),$AM$1006:$BM$1006,0)))),"Fix")))</f>
        <v xml:space="preserve"> </v>
      </c>
      <c r="Y613" s="4" t="str">
        <f ca="1">IF(OR(INDEX($AG$2:$AG$1001,MATCH(ROWS($AF$2:AF613),$AF$2:$AF$1001,0),1)&gt;=100000,INDEX($AM$1005:$BM$1005,1,MATCH(COLUMNS($AM$1006:BJ1006),$AM$1006:$BM$1006,0))&gt;=100000), " ",IF(INDEX($AM$2:$BM$1001,MATCH(ROWS($AF$2:AF613),$AF$2:$AF$1001,0),MATCH(COLUMNS($AM$1006:BJ1006),$AM$1006:$BM$1006,0)), HYPERLINK("#",""), HYPERLINK(CONCATENATE("#metadata!", ADDRESS(INDEX($AH$2:$AH$1001,MATCH(ROWS($AF$2:AF613),$AF$2:$AF$1001,0),0), INDEX($AM$1004:$BM$1004,1,MATCH(COLUMNS($AM$1006:BJ1006),$AM$1006:$BM$1006,0)))),"Fix")))</f>
        <v xml:space="preserve"> </v>
      </c>
      <c r="Z613" s="4" t="str">
        <f ca="1">IF(OR(INDEX($AG$2:$AG$1001,MATCH(ROWS($AF$2:AF613),$AF$2:$AF$1001,0),1)&gt;=100000,INDEX($AM$1005:$BM$1005,1,MATCH(COLUMNS($AM$1006:BK1006),$AM$1006:$BM$1006,0))&gt;=100000), " ",IF(INDEX($AM$2:$BM$1001,MATCH(ROWS($AF$2:AF613),$AF$2:$AF$1001,0),MATCH(COLUMNS($AM$1006:BK1006),$AM$1006:$BM$1006,0)), HYPERLINK("#",""), HYPERLINK(CONCATENATE("#metadata!", ADDRESS(INDEX($AH$2:$AH$1001,MATCH(ROWS($AF$2:AF613),$AF$2:$AF$1001,0),0), INDEX($AM$1004:$BM$1004,1,MATCH(COLUMNS($AM$1006:BK1006),$AM$1006:$BM$1006,0)))),"Fix")))</f>
        <v xml:space="preserve"> </v>
      </c>
      <c r="AA613" s="4" t="str">
        <f ca="1">IF(OR(INDEX($AG$2:$AG$1001,MATCH(ROWS($AF$2:AF613),$AF$2:$AF$1001,0),1)&gt;=100000,INDEX($AM$1005:$BM$1005,1,MATCH(COLUMNS($AM$1006:BL1006),$AM$1006:$BM$1006,0))&gt;=100000), " ",IF(INDEX($AM$2:$BM$1001,MATCH(ROWS($AF$2:AF613),$AF$2:$AF$1001,0),MATCH(COLUMNS($AM$1006:BL1006),$AM$1006:$BM$1006,0)), HYPERLINK("#",""), HYPERLINK(CONCATENATE("#metadata!", ADDRESS(INDEX($AH$2:$AH$1001,MATCH(ROWS($AF$2:AF613),$AF$2:$AF$1001,0),0), INDEX($AM$1004:$BM$1004,1,MATCH(COLUMNS($AM$1006:BL1006),$AM$1006:$BM$1006,0)))),"Fix")))</f>
        <v xml:space="preserve"> </v>
      </c>
      <c r="AB613" s="4" t="str">
        <f ca="1">IF(OR(INDEX($AG$2:$AG$1001,MATCH(ROWS($AF$2:AF613),$AF$2:$AF$1001,0),1)&gt;=100000,INDEX($AM$1005:$BM$1005,1,MATCH(COLUMNS($AM$1006:BM1006),$AM$1006:$BM$1006,0))&gt;=100000), " ",IF(INDEX($AM$2:$BM$1001,MATCH(ROWS($AF$2:AF613),$AF$2:$AF$1001,0),MATCH(COLUMNS($AM$1006:BM1006),$AM$1006:$BM$1006,0)), HYPERLINK("#",""), HYPERLINK(CONCATENATE("#metadata!", ADDRESS(INDEX($AH$2:$AH$1001,MATCH(ROWS($AF$2:AF613),$AF$2:$AF$1001,0),0), INDEX($AM$1004:$BM$1004,1,MATCH(COLUMNS($AM$1006:BM1006),$AM$1006:$BM$1006,0)))),"Fix")))</f>
        <v xml:space="preserve"> </v>
      </c>
      <c r="AF613">
        <v>612</v>
      </c>
      <c r="AG613">
        <v>100613</v>
      </c>
      <c r="AH613">
        <v>613</v>
      </c>
      <c r="AI613" t="b">
        <f t="shared" si="9"/>
        <v>1</v>
      </c>
      <c r="AJ613" t="b">
        <f>COUNTBLANK(metadata!B613:AB613)=COLUMNS(metadata!B613:AB613)</f>
        <v>1</v>
      </c>
      <c r="AK613" t="str">
        <v/>
      </c>
      <c r="AM613" t="b">
        <f ca="1">AND(IF(metadata!B613="",FALSE,TRUE),COUNTIF(metadata!B:B, metadata!B613) = 1,NOT(ISERROR(SUMPRODUCT(SEARCH(MID(metadata!B613,ROW(INDIRECT("1:"&amp;LEN(metadata!B613))), 1),"0123456789abcdefghijklmnopqrstuvwxyzABCDEFGHIJKLMNOPQRSTUVWXYZ.")))))</f>
        <v>0</v>
      </c>
      <c r="AN613" t="b">
        <f ca="1">OR(AND(IF(metadata!C613="",FALSE,TRUE),OR(EXACT(metadata!C613,"missing: not collected"),EXACT(metadata!C613,"missing: not provided"),EXACT(metadata!C613,"missing: restricted access"))),AND(IF(metadata!C613="",FALSE,TRUE),AND(AND(IFERROR(INT(LEFT(metadata!C613,4))&gt;1900,FALSE),IFERROR(INT(LEFT(metadata!C613,4))&lt;=YEAR(NOW()),FALSE)), OR(MID(metadata!C613,5,1)="", AND(AND(MID(metadata!C613,5,1)="-",IFERROR(INT(MID(metadata!C613,6,1))&gt;=0,FALSE),IFERROR(INT(MID(metadata!C613,6,1))&lt;=1,FALSE),NOT(MID(metadata!C613,7,1)=""),IFERROR(INT(MID(metadata!C613,6,2))&gt;=1,FALSE),IFERROR(INT(MID(metadata!C613,6,2))&lt;=12,FALSE)), OR(MID(metadata!C613,8,1)="", AND(AND(MID(metadata!C613,8,1)="-",IFERROR(INT(MID(metadata!C613,9,1))&gt;=0,FALSE),IFERROR(INT(MID(metadata!C613,9,1))&lt;=3,FALSE),NOT(MID(metadata!C613,10,1)=""),IFERROR(INT(MID(metadata!C613,9,2))&gt;=1,FALSE),IFERROR(INT(MID(metadata!C613,9,2))&lt;=31,FALSE)), OR(MID(metadata!C613,11,1)="", AND(AND(MID(metadata!C613,11,1)=" ",IFERROR(INT(MID(metadata!C613,12,1))&gt;=0,FALSE),IFERROR(INT(MID(metadata!C613,12,1))&lt;=2,FALSE),NOT(MID(metadata!C613,13,1)=""),IFERROR(INT(MID(metadata!C613,12,2))&gt;=0,FALSE),IFERROR(INT(MID(metadata!C613,12,2))&lt;=23,FALSE)), OR(MID(metadata!C613,14,1)="", AND(AND(MID(metadata!C613,14,1)=":",IFERROR(INT(MID(metadata!C613,15,1))&gt;=0,FALSE),IFERROR(INT(MID(metadata!C613,15,1))&lt;=5,FALSE),NOT(MID(metadata!C613,16,1)=""),IFERROR(INT(MID(metadata!C613,15,2))&gt;=0,FALSE),IFERROR(INT(MID(metadata!C613,15,2))&lt;=59,FALSE)), OR(MID(metadata!C613,17,1)="", AND(AND(MID(metadata!C613,17,1)=":",IFERROR(INT(MID(metadata!C613,18,1))&gt;=0,FALSE),IFERROR(INT(MID(metadata!C613,18,1))&lt;=5,FALSE),NOT(MID(metadata!C613,19,1)=""),IFERROR(INT(MID(metadata!C613,18,2))&gt;=0,FALSE),IFERROR(INT(MID(metadata!C613,18,2))&lt;=59,FALSE)), LEN(metadata!C613)&lt;=19)))))))))))))</f>
        <v>0</v>
      </c>
      <c r="AO613" t="b">
        <f>AND(IF(metadata!D613="",FALSE,TRUE),EXACT(metadata!D613,"Not applicable"))</f>
        <v>0</v>
      </c>
      <c r="AP613" t="b">
        <f>IF(metadata!E613="",FALSE,TRUE)</f>
        <v>0</v>
      </c>
      <c r="AQ613" t="b">
        <f>OR(AND(IF(metadata!F613="",FALSE,TRUE),OR(EXACT(metadata!F613,"missing: not collected"),EXACT(metadata!F613,"missing: not provided"))),AND(IF(metadata!F613="",FALSE,TRUE),OR(EXACT(metadata!F613,"TRUE"),EXACT(metadata!F613,"FALSE"))))</f>
        <v>0</v>
      </c>
      <c r="AR613" t="b">
        <f>OR(AND(IF(metadata!G613="",FALSE,TRUE),OR(EXACT(metadata!G613,"missing: not collected"),EXACT(metadata!G613,"missing: not provided"),EXACT(metadata!G613,"missing: restricted access"))),AND(IF(metadata!G613="",FALSE,ISNUMBER(VALUE(metadata!G613))),metadata!G613&gt;=-413))</f>
        <v>0</v>
      </c>
      <c r="AS613" t="b">
        <f>AND(IF(metadata!H613="",FALSE,TRUE),EXACT(metadata!H613,"meters"))</f>
        <v>0</v>
      </c>
      <c r="AT613" t="b">
        <f>AND(IF(metadata!I613="",FALSE,TRUE),OR(EXACT(metadata!I613,"Host-associated"),EXACT(metadata!I613,"Free-living")))</f>
        <v>0</v>
      </c>
      <c r="AU613" t="b">
        <f>AND(IF(metadata!J613="",FALSE,TRUE),OR(EXACT(metadata!J613,"Animal"),EXACT(metadata!J613,"Fungus"),EXACT(metadata!J613,"Plant"),EXACT(metadata!J613,"Saline"),EXACT(metadata!J613,"Non-saline")))</f>
        <v>0</v>
      </c>
      <c r="AV613" t="b">
        <f>AND(IF(metadata!K613="",FALSE,TRUE),OR(EXACT(metadata!K613,"Plant secretion"),EXACT(metadata!K613,"Plant rhizosphere"),EXACT(metadata!K613,"Plant surface"),EXACT(metadata!K613,"Plant corpus"),EXACT(metadata!K613,"Fungus surface"),EXACT(metadata!K613,"Fungus corpus"),EXACT(metadata!K613,"Animal surface"),EXACT(metadata!K613,"Animal proximal gut"),EXACT(metadata!K613,"Animal corpus"),EXACT(metadata!K613,"Animal distal gut"),EXACT(metadata!K613,"Animal secretion"),EXACT(metadata!K613,"Sub-surface (non-saline)"),EXACT(metadata!K613,"Surface (non-saline)"),EXACT(metadata!K613,"Water (non-saline)"),EXACT(metadata!K613,"Soil (non-saline)"),EXACT(metadata!K613,"Aerosol (non-saline)"),EXACT(metadata!K613,"Sediment (non-saline)"),EXACT(metadata!K613,"Surface (saline)"),EXACT(metadata!K613,"Water (saline)"),EXACT(metadata!K613,"Hypersaline (saline)"),EXACT(metadata!K613,"Aerosol (saline)"),EXACT(metadata!K613,"Sediment (saline)")))</f>
        <v>0</v>
      </c>
      <c r="AW613" t="b">
        <f>IF(metadata!L613="",FALSE,TRUE)</f>
        <v>0</v>
      </c>
      <c r="AX613" t="b">
        <f>IF(metadata!M613="",FALSE,TRUE)</f>
        <v>0</v>
      </c>
      <c r="AY613" t="b">
        <f>IF(metadata!N613="",FALSE,TRUE)</f>
        <v>0</v>
      </c>
      <c r="AZ613" t="b">
        <f>OR(AND(IF(metadata!O613="",FALSE,TRUE),OR(EXACT(metadata!O613,"missing: not collected"),EXACT(metadata!O613,"missing: not provided"),EXACT(metadata!O613,"missing: restricted access"))),AND(IF(metadata!O613="",FALSE,TRUE),OR(EXACT(metadata!O613,"air"),EXACT(metadata!O613,"built environment"),EXACT(metadata!O613,"host-associated"),EXACT(metadata!O613,"human-associated"),EXACT(metadata!O613,"human-skin"),EXACT(metadata!O613,"human-oral"),EXACT(metadata!O613,"human-gut"),EXACT(metadata!O613,"human-vaginal"),EXACT(metadata!O613,"microbial mat/biofilm"),EXACT(metadata!O613,"misc environment"),EXACT(metadata!O613,"plant-associated"),EXACT(metadata!O613,"sediment"),EXACT(metadata!O613,"soil"),EXACT(metadata!O613,"wastewater/sludge"),EXACT(metadata!O613,"water"))))</f>
        <v>0</v>
      </c>
      <c r="BA613" t="b">
        <f>IF(metadata!P613="",FALSE,TRUE)</f>
        <v>0</v>
      </c>
      <c r="BB613" t="b">
        <f>IF(metadata!Q613="",FALSE,TRUE)</f>
        <v>0</v>
      </c>
      <c r="BC613" t="b">
        <f>OR(AND(IF(metadata!R613="",FALSE,TRUE),OR(EXACT(metadata!R613,"missing: not collected"),EXACT(metadata!R613,"missing: not provided"),EXACT(metadata!R613,"missing: restricted access"))),AND(IF(metadata!R613="",FALSE,ISNUMBER(VALUE(metadata!R613))),metadata!R613&gt;=-90,metadata!R613&lt;=90))</f>
        <v>0</v>
      </c>
      <c r="BD613" t="b">
        <f>AND(IF(metadata!S613="",FALSE,TRUE),EXACT(metadata!S613,"Decimal degrees"))</f>
        <v>0</v>
      </c>
      <c r="BE613" t="b">
        <f>OR(AND(IF(metadata!T613="",FALSE,TRUE),OR(EXACT(metadata!T613,"missing: not collected"),EXACT(metadata!T613,"missing: not provided"),EXACT(metadata!T613,"missing: restricted access"))),AND(IF(metadata!T613="",FALSE,ISNUMBER(VALUE(metadata!T613))),metadata!T613&gt;=-180,metadata!T613&lt;=180))</f>
        <v>0</v>
      </c>
      <c r="BF613" t="b">
        <f>AND(IF(metadata!U613="",FALSE,TRUE),EXACT(metadata!U613,"Decimal degrees"))</f>
        <v>0</v>
      </c>
      <c r="BG613" t="b">
        <f>IF(metadata!V613="",FALSE,TRUE)</f>
        <v>0</v>
      </c>
      <c r="BH613" t="b">
        <f>OR(AND(IF(metadata!W613="",FALSE,TRUE),OR(EXACT(metadata!W613,"missing: not collected"),EXACT(metadata!W613,"missing: not provided"),EXACT(metadata!W613,"missing: restricted access"))),AND(IF(metadata!W613="",FALSE,TRUE),OR(EXACT(metadata!W613,"TRUE"),EXACT(metadata!W613,"FALSE"))))</f>
        <v>0</v>
      </c>
      <c r="BI613" t="b">
        <f>AND(IF(metadata!X613="",FALSE,TRUE),EXACT(metadata!X613,"other"))</f>
        <v>0</v>
      </c>
      <c r="BJ613" t="b">
        <f>IF(metadata!Y613="",FALSE,TRUE)</f>
        <v>0</v>
      </c>
      <c r="BK613" t="b">
        <f>OR(AND(IF(metadata!Z613="",FALSE,TRUE),OR(EXACT(metadata!Z613,"missing: not collected"),EXACT(metadata!Z613,"missing: not provided"))),AND(IF(metadata!Z613="",FALSE,IF(ISERROR(INT(metadata!Z613)),FALSE,INT(metadata!Z613)=metadata!Z613)),metadata!Z613&gt;0))</f>
        <v>0</v>
      </c>
      <c r="BL613" t="b">
        <f>AND(IF(metadata!AA613="",FALSE,TRUE),EXACT(metadata!AA613,"Not applicable"))</f>
        <v>0</v>
      </c>
      <c r="BM613" t="b">
        <f>IF(metadata!AB613="",FALSE,TRUE)</f>
        <v>0</v>
      </c>
    </row>
    <row r="614" spans="1:65" x14ac:dyDescent="0.2">
      <c r="A614" s="5" t="str">
        <f ca="1">IF(B614=" "," ",HYPERLINK(CONCATENATE("#metadata!",ADDRESS(INDEX($AH$2:$AH$1001,MATCH(ROWS($AF$2:AF614),$AF$2:$AF$1001,0),0),1)),INDEX($AK$2:$AK$1001,MATCH(ROWS($AF$2:AF614),$AF$2:$AF$1001,0),0)))</f>
        <v xml:space="preserve"> </v>
      </c>
      <c r="B614" s="4" t="str">
        <f ca="1">IF(OR(INDEX($AG$2:$AG$1001,MATCH(ROWS($AF$2:AF614),$AF$2:$AF$1001,0),1)&gt;=100000,INDEX($AM$1005:$BM$1005,1,MATCH(COLUMNS($AM$1006:AM1006),$AM$1006:$BM$1006,0))&gt;=100000), " ",IF(INDEX($AM$2:$BM$1001,MATCH(ROWS($AF$2:AF614),$AF$2:$AF$1001,0),MATCH(COLUMNS($AM$1006:AM1006),$AM$1006:$BM$1006,0)), HYPERLINK("#",""), HYPERLINK(CONCATENATE("#metadata!", ADDRESS(INDEX($AH$2:$AH$1001,MATCH(ROWS($AF$2:AF614),$AF$2:$AF$1001,0),0), INDEX($AM$1004:$BM$1004,1,MATCH(COLUMNS($AM$1006:AM1006),$AM$1006:$BM$1006,0)))),"Fix")))</f>
        <v xml:space="preserve"> </v>
      </c>
      <c r="C614" s="4" t="str">
        <f ca="1">IF(OR(INDEX($AG$2:$AG$1001,MATCH(ROWS($AF$2:AF614),$AF$2:$AF$1001,0),1)&gt;=100000,INDEX($AM$1005:$BM$1005,1,MATCH(COLUMNS($AM$1006:AN1006),$AM$1006:$BM$1006,0))&gt;=100000), " ",IF(INDEX($AM$2:$BM$1001,MATCH(ROWS($AF$2:AF614),$AF$2:$AF$1001,0),MATCH(COLUMNS($AM$1006:AN1006),$AM$1006:$BM$1006,0)), HYPERLINK("#",""), HYPERLINK(CONCATENATE("#metadata!", ADDRESS(INDEX($AH$2:$AH$1001,MATCH(ROWS($AF$2:AF614),$AF$2:$AF$1001,0),0), INDEX($AM$1004:$BM$1004,1,MATCH(COLUMNS($AM$1006:AN1006),$AM$1006:$BM$1006,0)))),"Fix")))</f>
        <v xml:space="preserve"> </v>
      </c>
      <c r="D614" s="4" t="str">
        <f ca="1">IF(OR(INDEX($AG$2:$AG$1001,MATCH(ROWS($AF$2:AF614),$AF$2:$AF$1001,0),1)&gt;=100000,INDEX($AM$1005:$BM$1005,1,MATCH(COLUMNS($AM$1006:AO1006),$AM$1006:$BM$1006,0))&gt;=100000), " ",IF(INDEX($AM$2:$BM$1001,MATCH(ROWS($AF$2:AF614),$AF$2:$AF$1001,0),MATCH(COLUMNS($AM$1006:AO1006),$AM$1006:$BM$1006,0)), HYPERLINK("#",""), HYPERLINK(CONCATENATE("#metadata!", ADDRESS(INDEX($AH$2:$AH$1001,MATCH(ROWS($AF$2:AF614),$AF$2:$AF$1001,0),0), INDEX($AM$1004:$BM$1004,1,MATCH(COLUMNS($AM$1006:AO1006),$AM$1006:$BM$1006,0)))),"Fix")))</f>
        <v xml:space="preserve"> </v>
      </c>
      <c r="E614" s="4" t="str">
        <f ca="1">IF(OR(INDEX($AG$2:$AG$1001,MATCH(ROWS($AF$2:AF614),$AF$2:$AF$1001,0),1)&gt;=100000,INDEX($AM$1005:$BM$1005,1,MATCH(COLUMNS($AM$1006:AP1006),$AM$1006:$BM$1006,0))&gt;=100000), " ",IF(INDEX($AM$2:$BM$1001,MATCH(ROWS($AF$2:AF614),$AF$2:$AF$1001,0),MATCH(COLUMNS($AM$1006:AP1006),$AM$1006:$BM$1006,0)), HYPERLINK("#",""), HYPERLINK(CONCATENATE("#metadata!", ADDRESS(INDEX($AH$2:$AH$1001,MATCH(ROWS($AF$2:AF614),$AF$2:$AF$1001,0),0), INDEX($AM$1004:$BM$1004,1,MATCH(COLUMNS($AM$1006:AP1006),$AM$1006:$BM$1006,0)))),"Fix")))</f>
        <v xml:space="preserve"> </v>
      </c>
      <c r="F614" s="4" t="str">
        <f ca="1">IF(OR(INDEX($AG$2:$AG$1001,MATCH(ROWS($AF$2:AF614),$AF$2:$AF$1001,0),1)&gt;=100000,INDEX($AM$1005:$BM$1005,1,MATCH(COLUMNS($AM$1006:AQ1006),$AM$1006:$BM$1006,0))&gt;=100000), " ",IF(INDEX($AM$2:$BM$1001,MATCH(ROWS($AF$2:AF614),$AF$2:$AF$1001,0),MATCH(COLUMNS($AM$1006:AQ1006),$AM$1006:$BM$1006,0)), HYPERLINK("#",""), HYPERLINK(CONCATENATE("#metadata!", ADDRESS(INDEX($AH$2:$AH$1001,MATCH(ROWS($AF$2:AF614),$AF$2:$AF$1001,0),0), INDEX($AM$1004:$BM$1004,1,MATCH(COLUMNS($AM$1006:AQ1006),$AM$1006:$BM$1006,0)))),"Fix")))</f>
        <v xml:space="preserve"> </v>
      </c>
      <c r="G614" s="4" t="str">
        <f ca="1">IF(OR(INDEX($AG$2:$AG$1001,MATCH(ROWS($AF$2:AF614),$AF$2:$AF$1001,0),1)&gt;=100000,INDEX($AM$1005:$BM$1005,1,MATCH(COLUMNS($AM$1006:AR1006),$AM$1006:$BM$1006,0))&gt;=100000), " ",IF(INDEX($AM$2:$BM$1001,MATCH(ROWS($AF$2:AF614),$AF$2:$AF$1001,0),MATCH(COLUMNS($AM$1006:AR1006),$AM$1006:$BM$1006,0)), HYPERLINK("#",""), HYPERLINK(CONCATENATE("#metadata!", ADDRESS(INDEX($AH$2:$AH$1001,MATCH(ROWS($AF$2:AF614),$AF$2:$AF$1001,0),0), INDEX($AM$1004:$BM$1004,1,MATCH(COLUMNS($AM$1006:AR1006),$AM$1006:$BM$1006,0)))),"Fix")))</f>
        <v xml:space="preserve"> </v>
      </c>
      <c r="H614" s="4" t="str">
        <f ca="1">IF(OR(INDEX($AG$2:$AG$1001,MATCH(ROWS($AF$2:AF614),$AF$2:$AF$1001,0),1)&gt;=100000,INDEX($AM$1005:$BM$1005,1,MATCH(COLUMNS($AM$1006:AS1006),$AM$1006:$BM$1006,0))&gt;=100000), " ",IF(INDEX($AM$2:$BM$1001,MATCH(ROWS($AF$2:AF614),$AF$2:$AF$1001,0),MATCH(COLUMNS($AM$1006:AS1006),$AM$1006:$BM$1006,0)), HYPERLINK("#",""), HYPERLINK(CONCATENATE("#metadata!", ADDRESS(INDEX($AH$2:$AH$1001,MATCH(ROWS($AF$2:AF614),$AF$2:$AF$1001,0),0), INDEX($AM$1004:$BM$1004,1,MATCH(COLUMNS($AM$1006:AS1006),$AM$1006:$BM$1006,0)))),"Fix")))</f>
        <v xml:space="preserve"> </v>
      </c>
      <c r="I614" s="4" t="str">
        <f ca="1">IF(OR(INDEX($AG$2:$AG$1001,MATCH(ROWS($AF$2:AF614),$AF$2:$AF$1001,0),1)&gt;=100000,INDEX($AM$1005:$BM$1005,1,MATCH(COLUMNS($AM$1006:AT1006),$AM$1006:$BM$1006,0))&gt;=100000), " ",IF(INDEX($AM$2:$BM$1001,MATCH(ROWS($AF$2:AF614),$AF$2:$AF$1001,0),MATCH(COLUMNS($AM$1006:AT1006),$AM$1006:$BM$1006,0)), HYPERLINK("#",""), HYPERLINK(CONCATENATE("#metadata!", ADDRESS(INDEX($AH$2:$AH$1001,MATCH(ROWS($AF$2:AF614),$AF$2:$AF$1001,0),0), INDEX($AM$1004:$BM$1004,1,MATCH(COLUMNS($AM$1006:AT1006),$AM$1006:$BM$1006,0)))),"Fix")))</f>
        <v xml:space="preserve"> </v>
      </c>
      <c r="J614" s="4" t="str">
        <f ca="1">IF(OR(INDEX($AG$2:$AG$1001,MATCH(ROWS($AF$2:AF614),$AF$2:$AF$1001,0),1)&gt;=100000,INDEX($AM$1005:$BM$1005,1,MATCH(COLUMNS($AM$1006:AU1006),$AM$1006:$BM$1006,0))&gt;=100000), " ",IF(INDEX($AM$2:$BM$1001,MATCH(ROWS($AF$2:AF614),$AF$2:$AF$1001,0),MATCH(COLUMNS($AM$1006:AU1006),$AM$1006:$BM$1006,0)), HYPERLINK("#",""), HYPERLINK(CONCATENATE("#metadata!", ADDRESS(INDEX($AH$2:$AH$1001,MATCH(ROWS($AF$2:AF614),$AF$2:$AF$1001,0),0), INDEX($AM$1004:$BM$1004,1,MATCH(COLUMNS($AM$1006:AU1006),$AM$1006:$BM$1006,0)))),"Fix")))</f>
        <v xml:space="preserve"> </v>
      </c>
      <c r="K614" s="4" t="str">
        <f ca="1">IF(OR(INDEX($AG$2:$AG$1001,MATCH(ROWS($AF$2:AF614),$AF$2:$AF$1001,0),1)&gt;=100000,INDEX($AM$1005:$BM$1005,1,MATCH(COLUMNS($AM$1006:AV1006),$AM$1006:$BM$1006,0))&gt;=100000), " ",IF(INDEX($AM$2:$BM$1001,MATCH(ROWS($AF$2:AF614),$AF$2:$AF$1001,0),MATCH(COLUMNS($AM$1006:AV1006),$AM$1006:$BM$1006,0)), HYPERLINK("#",""), HYPERLINK(CONCATENATE("#metadata!", ADDRESS(INDEX($AH$2:$AH$1001,MATCH(ROWS($AF$2:AF614),$AF$2:$AF$1001,0),0), INDEX($AM$1004:$BM$1004,1,MATCH(COLUMNS($AM$1006:AV1006),$AM$1006:$BM$1006,0)))),"Fix")))</f>
        <v xml:space="preserve"> </v>
      </c>
      <c r="L614" s="4" t="str">
        <f ca="1">IF(OR(INDEX($AG$2:$AG$1001,MATCH(ROWS($AF$2:AF614),$AF$2:$AF$1001,0),1)&gt;=100000,INDEX($AM$1005:$BM$1005,1,MATCH(COLUMNS($AM$1006:AW1006),$AM$1006:$BM$1006,0))&gt;=100000), " ",IF(INDEX($AM$2:$BM$1001,MATCH(ROWS($AF$2:AF614),$AF$2:$AF$1001,0),MATCH(COLUMNS($AM$1006:AW1006),$AM$1006:$BM$1006,0)), HYPERLINK("#",""), HYPERLINK(CONCATENATE("#metadata!", ADDRESS(INDEX($AH$2:$AH$1001,MATCH(ROWS($AF$2:AF614),$AF$2:$AF$1001,0),0), INDEX($AM$1004:$BM$1004,1,MATCH(COLUMNS($AM$1006:AW1006),$AM$1006:$BM$1006,0)))),"Fix")))</f>
        <v xml:space="preserve"> </v>
      </c>
      <c r="M614" s="4" t="str">
        <f ca="1">IF(OR(INDEX($AG$2:$AG$1001,MATCH(ROWS($AF$2:AF614),$AF$2:$AF$1001,0),1)&gt;=100000,INDEX($AM$1005:$BM$1005,1,MATCH(COLUMNS($AM$1006:AX1006),$AM$1006:$BM$1006,0))&gt;=100000), " ",IF(INDEX($AM$2:$BM$1001,MATCH(ROWS($AF$2:AF614),$AF$2:$AF$1001,0),MATCH(COLUMNS($AM$1006:AX1006),$AM$1006:$BM$1006,0)), HYPERLINK("#",""), HYPERLINK(CONCATENATE("#metadata!", ADDRESS(INDEX($AH$2:$AH$1001,MATCH(ROWS($AF$2:AF614),$AF$2:$AF$1001,0),0), INDEX($AM$1004:$BM$1004,1,MATCH(COLUMNS($AM$1006:AX1006),$AM$1006:$BM$1006,0)))),"Fix")))</f>
        <v xml:space="preserve"> </v>
      </c>
      <c r="N614" s="4" t="str">
        <f ca="1">IF(OR(INDEX($AG$2:$AG$1001,MATCH(ROWS($AF$2:AF614),$AF$2:$AF$1001,0),1)&gt;=100000,INDEX($AM$1005:$BM$1005,1,MATCH(COLUMNS($AM$1006:AY1006),$AM$1006:$BM$1006,0))&gt;=100000), " ",IF(INDEX($AM$2:$BM$1001,MATCH(ROWS($AF$2:AF614),$AF$2:$AF$1001,0),MATCH(COLUMNS($AM$1006:AY1006),$AM$1006:$BM$1006,0)), HYPERLINK("#",""), HYPERLINK(CONCATENATE("#metadata!", ADDRESS(INDEX($AH$2:$AH$1001,MATCH(ROWS($AF$2:AF614),$AF$2:$AF$1001,0),0), INDEX($AM$1004:$BM$1004,1,MATCH(COLUMNS($AM$1006:AY1006),$AM$1006:$BM$1006,0)))),"Fix")))</f>
        <v xml:space="preserve"> </v>
      </c>
      <c r="O614" s="4" t="str">
        <f ca="1">IF(OR(INDEX($AG$2:$AG$1001,MATCH(ROWS($AF$2:AF614),$AF$2:$AF$1001,0),1)&gt;=100000,INDEX($AM$1005:$BM$1005,1,MATCH(COLUMNS($AM$1006:AZ1006),$AM$1006:$BM$1006,0))&gt;=100000), " ",IF(INDEX($AM$2:$BM$1001,MATCH(ROWS($AF$2:AF614),$AF$2:$AF$1001,0),MATCH(COLUMNS($AM$1006:AZ1006),$AM$1006:$BM$1006,0)), HYPERLINK("#",""), HYPERLINK(CONCATENATE("#metadata!", ADDRESS(INDEX($AH$2:$AH$1001,MATCH(ROWS($AF$2:AF614),$AF$2:$AF$1001,0),0), INDEX($AM$1004:$BM$1004,1,MATCH(COLUMNS($AM$1006:AZ1006),$AM$1006:$BM$1006,0)))),"Fix")))</f>
        <v xml:space="preserve"> </v>
      </c>
      <c r="P614" s="4" t="str">
        <f ca="1">IF(OR(INDEX($AG$2:$AG$1001,MATCH(ROWS($AF$2:AF614),$AF$2:$AF$1001,0),1)&gt;=100000,INDEX($AM$1005:$BM$1005,1,MATCH(COLUMNS($AM$1006:BA1006),$AM$1006:$BM$1006,0))&gt;=100000), " ",IF(INDEX($AM$2:$BM$1001,MATCH(ROWS($AF$2:AF614),$AF$2:$AF$1001,0),MATCH(COLUMNS($AM$1006:BA1006),$AM$1006:$BM$1006,0)), HYPERLINK("#",""), HYPERLINK(CONCATENATE("#metadata!", ADDRESS(INDEX($AH$2:$AH$1001,MATCH(ROWS($AF$2:AF614),$AF$2:$AF$1001,0),0), INDEX($AM$1004:$BM$1004,1,MATCH(COLUMNS($AM$1006:BA1006),$AM$1006:$BM$1006,0)))),"Fix")))</f>
        <v xml:space="preserve"> </v>
      </c>
      <c r="Q614" s="4" t="str">
        <f ca="1">IF(OR(INDEX($AG$2:$AG$1001,MATCH(ROWS($AF$2:AF614),$AF$2:$AF$1001,0),1)&gt;=100000,INDEX($AM$1005:$BM$1005,1,MATCH(COLUMNS($AM$1006:BB1006),$AM$1006:$BM$1006,0))&gt;=100000), " ",IF(INDEX($AM$2:$BM$1001,MATCH(ROWS($AF$2:AF614),$AF$2:$AF$1001,0),MATCH(COLUMNS($AM$1006:BB1006),$AM$1006:$BM$1006,0)), HYPERLINK("#",""), HYPERLINK(CONCATENATE("#metadata!", ADDRESS(INDEX($AH$2:$AH$1001,MATCH(ROWS($AF$2:AF614),$AF$2:$AF$1001,0),0), INDEX($AM$1004:$BM$1004,1,MATCH(COLUMNS($AM$1006:BB1006),$AM$1006:$BM$1006,0)))),"Fix")))</f>
        <v xml:space="preserve"> </v>
      </c>
      <c r="R614" s="4" t="str">
        <f ca="1">IF(OR(INDEX($AG$2:$AG$1001,MATCH(ROWS($AF$2:AF614),$AF$2:$AF$1001,0),1)&gt;=100000,INDEX($AM$1005:$BM$1005,1,MATCH(COLUMNS($AM$1006:BC1006),$AM$1006:$BM$1006,0))&gt;=100000), " ",IF(INDEX($AM$2:$BM$1001,MATCH(ROWS($AF$2:AF614),$AF$2:$AF$1001,0),MATCH(COLUMNS($AM$1006:BC1006),$AM$1006:$BM$1006,0)), HYPERLINK("#",""), HYPERLINK(CONCATENATE("#metadata!", ADDRESS(INDEX($AH$2:$AH$1001,MATCH(ROWS($AF$2:AF614),$AF$2:$AF$1001,0),0), INDEX($AM$1004:$BM$1004,1,MATCH(COLUMNS($AM$1006:BC1006),$AM$1006:$BM$1006,0)))),"Fix")))</f>
        <v xml:space="preserve"> </v>
      </c>
      <c r="S614" s="4" t="str">
        <f ca="1">IF(OR(INDEX($AG$2:$AG$1001,MATCH(ROWS($AF$2:AF614),$AF$2:$AF$1001,0),1)&gt;=100000,INDEX($AM$1005:$BM$1005,1,MATCH(COLUMNS($AM$1006:BD1006),$AM$1006:$BM$1006,0))&gt;=100000), " ",IF(INDEX($AM$2:$BM$1001,MATCH(ROWS($AF$2:AF614),$AF$2:$AF$1001,0),MATCH(COLUMNS($AM$1006:BD1006),$AM$1006:$BM$1006,0)), HYPERLINK("#",""), HYPERLINK(CONCATENATE("#metadata!", ADDRESS(INDEX($AH$2:$AH$1001,MATCH(ROWS($AF$2:AF614),$AF$2:$AF$1001,0),0), INDEX($AM$1004:$BM$1004,1,MATCH(COLUMNS($AM$1006:BD1006),$AM$1006:$BM$1006,0)))),"Fix")))</f>
        <v xml:space="preserve"> </v>
      </c>
      <c r="T614" s="4" t="str">
        <f ca="1">IF(OR(INDEX($AG$2:$AG$1001,MATCH(ROWS($AF$2:AF614),$AF$2:$AF$1001,0),1)&gt;=100000,INDEX($AM$1005:$BM$1005,1,MATCH(COLUMNS($AM$1006:BE1006),$AM$1006:$BM$1006,0))&gt;=100000), " ",IF(INDEX($AM$2:$BM$1001,MATCH(ROWS($AF$2:AF614),$AF$2:$AF$1001,0),MATCH(COLUMNS($AM$1006:BE1006),$AM$1006:$BM$1006,0)), HYPERLINK("#",""), HYPERLINK(CONCATENATE("#metadata!", ADDRESS(INDEX($AH$2:$AH$1001,MATCH(ROWS($AF$2:AF614),$AF$2:$AF$1001,0),0), INDEX($AM$1004:$BM$1004,1,MATCH(COLUMNS($AM$1006:BE1006),$AM$1006:$BM$1006,0)))),"Fix")))</f>
        <v xml:space="preserve"> </v>
      </c>
      <c r="U614" s="4" t="str">
        <f ca="1">IF(OR(INDEX($AG$2:$AG$1001,MATCH(ROWS($AF$2:AF614),$AF$2:$AF$1001,0),1)&gt;=100000,INDEX($AM$1005:$BM$1005,1,MATCH(COLUMNS($AM$1006:BF1006),$AM$1006:$BM$1006,0))&gt;=100000), " ",IF(INDEX($AM$2:$BM$1001,MATCH(ROWS($AF$2:AF614),$AF$2:$AF$1001,0),MATCH(COLUMNS($AM$1006:BF1006),$AM$1006:$BM$1006,0)), HYPERLINK("#",""), HYPERLINK(CONCATENATE("#metadata!", ADDRESS(INDEX($AH$2:$AH$1001,MATCH(ROWS($AF$2:AF614),$AF$2:$AF$1001,0),0), INDEX($AM$1004:$BM$1004,1,MATCH(COLUMNS($AM$1006:BF1006),$AM$1006:$BM$1006,0)))),"Fix")))</f>
        <v xml:space="preserve"> </v>
      </c>
      <c r="V614" s="4" t="str">
        <f ca="1">IF(OR(INDEX($AG$2:$AG$1001,MATCH(ROWS($AF$2:AF614),$AF$2:$AF$1001,0),1)&gt;=100000,INDEX($AM$1005:$BM$1005,1,MATCH(COLUMNS($AM$1006:BG1006),$AM$1006:$BM$1006,0))&gt;=100000), " ",IF(INDEX($AM$2:$BM$1001,MATCH(ROWS($AF$2:AF614),$AF$2:$AF$1001,0),MATCH(COLUMNS($AM$1006:BG1006),$AM$1006:$BM$1006,0)), HYPERLINK("#",""), HYPERLINK(CONCATENATE("#metadata!", ADDRESS(INDEX($AH$2:$AH$1001,MATCH(ROWS($AF$2:AF614),$AF$2:$AF$1001,0),0), INDEX($AM$1004:$BM$1004,1,MATCH(COLUMNS($AM$1006:BG1006),$AM$1006:$BM$1006,0)))),"Fix")))</f>
        <v xml:space="preserve"> </v>
      </c>
      <c r="W614" s="4" t="str">
        <f ca="1">IF(OR(INDEX($AG$2:$AG$1001,MATCH(ROWS($AF$2:AF614),$AF$2:$AF$1001,0),1)&gt;=100000,INDEX($AM$1005:$BM$1005,1,MATCH(COLUMNS($AM$1006:BH1006),$AM$1006:$BM$1006,0))&gt;=100000), " ",IF(INDEX($AM$2:$BM$1001,MATCH(ROWS($AF$2:AF614),$AF$2:$AF$1001,0),MATCH(COLUMNS($AM$1006:BH1006),$AM$1006:$BM$1006,0)), HYPERLINK("#",""), HYPERLINK(CONCATENATE("#metadata!", ADDRESS(INDEX($AH$2:$AH$1001,MATCH(ROWS($AF$2:AF614),$AF$2:$AF$1001,0),0), INDEX($AM$1004:$BM$1004,1,MATCH(COLUMNS($AM$1006:BH1006),$AM$1006:$BM$1006,0)))),"Fix")))</f>
        <v xml:space="preserve"> </v>
      </c>
      <c r="X614" s="4" t="str">
        <f ca="1">IF(OR(INDEX($AG$2:$AG$1001,MATCH(ROWS($AF$2:AF614),$AF$2:$AF$1001,0),1)&gt;=100000,INDEX($AM$1005:$BM$1005,1,MATCH(COLUMNS($AM$1006:BI1006),$AM$1006:$BM$1006,0))&gt;=100000), " ",IF(INDEX($AM$2:$BM$1001,MATCH(ROWS($AF$2:AF614),$AF$2:$AF$1001,0),MATCH(COLUMNS($AM$1006:BI1006),$AM$1006:$BM$1006,0)), HYPERLINK("#",""), HYPERLINK(CONCATENATE("#metadata!", ADDRESS(INDEX($AH$2:$AH$1001,MATCH(ROWS($AF$2:AF614),$AF$2:$AF$1001,0),0), INDEX($AM$1004:$BM$1004,1,MATCH(COLUMNS($AM$1006:BI1006),$AM$1006:$BM$1006,0)))),"Fix")))</f>
        <v xml:space="preserve"> </v>
      </c>
      <c r="Y614" s="4" t="str">
        <f ca="1">IF(OR(INDEX($AG$2:$AG$1001,MATCH(ROWS($AF$2:AF614),$AF$2:$AF$1001,0),1)&gt;=100000,INDEX($AM$1005:$BM$1005,1,MATCH(COLUMNS($AM$1006:BJ1006),$AM$1006:$BM$1006,0))&gt;=100000), " ",IF(INDEX($AM$2:$BM$1001,MATCH(ROWS($AF$2:AF614),$AF$2:$AF$1001,0),MATCH(COLUMNS($AM$1006:BJ1006),$AM$1006:$BM$1006,0)), HYPERLINK("#",""), HYPERLINK(CONCATENATE("#metadata!", ADDRESS(INDEX($AH$2:$AH$1001,MATCH(ROWS($AF$2:AF614),$AF$2:$AF$1001,0),0), INDEX($AM$1004:$BM$1004,1,MATCH(COLUMNS($AM$1006:BJ1006),$AM$1006:$BM$1006,0)))),"Fix")))</f>
        <v xml:space="preserve"> </v>
      </c>
      <c r="Z614" s="4" t="str">
        <f ca="1">IF(OR(INDEX($AG$2:$AG$1001,MATCH(ROWS($AF$2:AF614),$AF$2:$AF$1001,0),1)&gt;=100000,INDEX($AM$1005:$BM$1005,1,MATCH(COLUMNS($AM$1006:BK1006),$AM$1006:$BM$1006,0))&gt;=100000), " ",IF(INDEX($AM$2:$BM$1001,MATCH(ROWS($AF$2:AF614),$AF$2:$AF$1001,0),MATCH(COLUMNS($AM$1006:BK1006),$AM$1006:$BM$1006,0)), HYPERLINK("#",""), HYPERLINK(CONCATENATE("#metadata!", ADDRESS(INDEX($AH$2:$AH$1001,MATCH(ROWS($AF$2:AF614),$AF$2:$AF$1001,0),0), INDEX($AM$1004:$BM$1004,1,MATCH(COLUMNS($AM$1006:BK1006),$AM$1006:$BM$1006,0)))),"Fix")))</f>
        <v xml:space="preserve"> </v>
      </c>
      <c r="AA614" s="4" t="str">
        <f ca="1">IF(OR(INDEX($AG$2:$AG$1001,MATCH(ROWS($AF$2:AF614),$AF$2:$AF$1001,0),1)&gt;=100000,INDEX($AM$1005:$BM$1005,1,MATCH(COLUMNS($AM$1006:BL1006),$AM$1006:$BM$1006,0))&gt;=100000), " ",IF(INDEX($AM$2:$BM$1001,MATCH(ROWS($AF$2:AF614),$AF$2:$AF$1001,0),MATCH(COLUMNS($AM$1006:BL1006),$AM$1006:$BM$1006,0)), HYPERLINK("#",""), HYPERLINK(CONCATENATE("#metadata!", ADDRESS(INDEX($AH$2:$AH$1001,MATCH(ROWS($AF$2:AF614),$AF$2:$AF$1001,0),0), INDEX($AM$1004:$BM$1004,1,MATCH(COLUMNS($AM$1006:BL1006),$AM$1006:$BM$1006,0)))),"Fix")))</f>
        <v xml:space="preserve"> </v>
      </c>
      <c r="AB614" s="4" t="str">
        <f ca="1">IF(OR(INDEX($AG$2:$AG$1001,MATCH(ROWS($AF$2:AF614),$AF$2:$AF$1001,0),1)&gt;=100000,INDEX($AM$1005:$BM$1005,1,MATCH(COLUMNS($AM$1006:BM1006),$AM$1006:$BM$1006,0))&gt;=100000), " ",IF(INDEX($AM$2:$BM$1001,MATCH(ROWS($AF$2:AF614),$AF$2:$AF$1001,0),MATCH(COLUMNS($AM$1006:BM1006),$AM$1006:$BM$1006,0)), HYPERLINK("#",""), HYPERLINK(CONCATENATE("#metadata!", ADDRESS(INDEX($AH$2:$AH$1001,MATCH(ROWS($AF$2:AF614),$AF$2:$AF$1001,0),0), INDEX($AM$1004:$BM$1004,1,MATCH(COLUMNS($AM$1006:BM1006),$AM$1006:$BM$1006,0)))),"Fix")))</f>
        <v xml:space="preserve"> </v>
      </c>
      <c r="AF614">
        <v>613</v>
      </c>
      <c r="AG614">
        <v>100614</v>
      </c>
      <c r="AH614">
        <v>614</v>
      </c>
      <c r="AI614" t="b">
        <f t="shared" si="9"/>
        <v>1</v>
      </c>
      <c r="AJ614" t="b">
        <f>COUNTBLANK(metadata!B614:AB614)=COLUMNS(metadata!B614:AB614)</f>
        <v>1</v>
      </c>
      <c r="AK614" t="str">
        <v/>
      </c>
      <c r="AM614" t="b">
        <f ca="1">AND(IF(metadata!B614="",FALSE,TRUE),COUNTIF(metadata!B:B, metadata!B614) = 1,NOT(ISERROR(SUMPRODUCT(SEARCH(MID(metadata!B614,ROW(INDIRECT("1:"&amp;LEN(metadata!B614))), 1),"0123456789abcdefghijklmnopqrstuvwxyzABCDEFGHIJKLMNOPQRSTUVWXYZ.")))))</f>
        <v>0</v>
      </c>
      <c r="AN614" t="b">
        <f ca="1">OR(AND(IF(metadata!C614="",FALSE,TRUE),OR(EXACT(metadata!C614,"missing: not collected"),EXACT(metadata!C614,"missing: not provided"),EXACT(metadata!C614,"missing: restricted access"))),AND(IF(metadata!C614="",FALSE,TRUE),AND(AND(IFERROR(INT(LEFT(metadata!C614,4))&gt;1900,FALSE),IFERROR(INT(LEFT(metadata!C614,4))&lt;=YEAR(NOW()),FALSE)), OR(MID(metadata!C614,5,1)="", AND(AND(MID(metadata!C614,5,1)="-",IFERROR(INT(MID(metadata!C614,6,1))&gt;=0,FALSE),IFERROR(INT(MID(metadata!C614,6,1))&lt;=1,FALSE),NOT(MID(metadata!C614,7,1)=""),IFERROR(INT(MID(metadata!C614,6,2))&gt;=1,FALSE),IFERROR(INT(MID(metadata!C614,6,2))&lt;=12,FALSE)), OR(MID(metadata!C614,8,1)="", AND(AND(MID(metadata!C614,8,1)="-",IFERROR(INT(MID(metadata!C614,9,1))&gt;=0,FALSE),IFERROR(INT(MID(metadata!C614,9,1))&lt;=3,FALSE),NOT(MID(metadata!C614,10,1)=""),IFERROR(INT(MID(metadata!C614,9,2))&gt;=1,FALSE),IFERROR(INT(MID(metadata!C614,9,2))&lt;=31,FALSE)), OR(MID(metadata!C614,11,1)="", AND(AND(MID(metadata!C614,11,1)=" ",IFERROR(INT(MID(metadata!C614,12,1))&gt;=0,FALSE),IFERROR(INT(MID(metadata!C614,12,1))&lt;=2,FALSE),NOT(MID(metadata!C614,13,1)=""),IFERROR(INT(MID(metadata!C614,12,2))&gt;=0,FALSE),IFERROR(INT(MID(metadata!C614,12,2))&lt;=23,FALSE)), OR(MID(metadata!C614,14,1)="", AND(AND(MID(metadata!C614,14,1)=":",IFERROR(INT(MID(metadata!C614,15,1))&gt;=0,FALSE),IFERROR(INT(MID(metadata!C614,15,1))&lt;=5,FALSE),NOT(MID(metadata!C614,16,1)=""),IFERROR(INT(MID(metadata!C614,15,2))&gt;=0,FALSE),IFERROR(INT(MID(metadata!C614,15,2))&lt;=59,FALSE)), OR(MID(metadata!C614,17,1)="", AND(AND(MID(metadata!C614,17,1)=":",IFERROR(INT(MID(metadata!C614,18,1))&gt;=0,FALSE),IFERROR(INT(MID(metadata!C614,18,1))&lt;=5,FALSE),NOT(MID(metadata!C614,19,1)=""),IFERROR(INT(MID(metadata!C614,18,2))&gt;=0,FALSE),IFERROR(INT(MID(metadata!C614,18,2))&lt;=59,FALSE)), LEN(metadata!C614)&lt;=19)))))))))))))</f>
        <v>0</v>
      </c>
      <c r="AO614" t="b">
        <f>AND(IF(metadata!D614="",FALSE,TRUE),EXACT(metadata!D614,"Not applicable"))</f>
        <v>0</v>
      </c>
      <c r="AP614" t="b">
        <f>IF(metadata!E614="",FALSE,TRUE)</f>
        <v>0</v>
      </c>
      <c r="AQ614" t="b">
        <f>OR(AND(IF(metadata!F614="",FALSE,TRUE),OR(EXACT(metadata!F614,"missing: not collected"),EXACT(metadata!F614,"missing: not provided"))),AND(IF(metadata!F614="",FALSE,TRUE),OR(EXACT(metadata!F614,"TRUE"),EXACT(metadata!F614,"FALSE"))))</f>
        <v>0</v>
      </c>
      <c r="AR614" t="b">
        <f>OR(AND(IF(metadata!G614="",FALSE,TRUE),OR(EXACT(metadata!G614,"missing: not collected"),EXACT(metadata!G614,"missing: not provided"),EXACT(metadata!G614,"missing: restricted access"))),AND(IF(metadata!G614="",FALSE,ISNUMBER(VALUE(metadata!G614))),metadata!G614&gt;=-413))</f>
        <v>0</v>
      </c>
      <c r="AS614" t="b">
        <f>AND(IF(metadata!H614="",FALSE,TRUE),EXACT(metadata!H614,"meters"))</f>
        <v>0</v>
      </c>
      <c r="AT614" t="b">
        <f>AND(IF(metadata!I614="",FALSE,TRUE),OR(EXACT(metadata!I614,"Host-associated"),EXACT(metadata!I614,"Free-living")))</f>
        <v>0</v>
      </c>
      <c r="AU614" t="b">
        <f>AND(IF(metadata!J614="",FALSE,TRUE),OR(EXACT(metadata!J614,"Animal"),EXACT(metadata!J614,"Fungus"),EXACT(metadata!J614,"Plant"),EXACT(metadata!J614,"Saline"),EXACT(metadata!J614,"Non-saline")))</f>
        <v>0</v>
      </c>
      <c r="AV614" t="b">
        <f>AND(IF(metadata!K614="",FALSE,TRUE),OR(EXACT(metadata!K614,"Plant secretion"),EXACT(metadata!K614,"Plant rhizosphere"),EXACT(metadata!K614,"Plant surface"),EXACT(metadata!K614,"Plant corpus"),EXACT(metadata!K614,"Fungus surface"),EXACT(metadata!K614,"Fungus corpus"),EXACT(metadata!K614,"Animal surface"),EXACT(metadata!K614,"Animal proximal gut"),EXACT(metadata!K614,"Animal corpus"),EXACT(metadata!K614,"Animal distal gut"),EXACT(metadata!K614,"Animal secretion"),EXACT(metadata!K614,"Sub-surface (non-saline)"),EXACT(metadata!K614,"Surface (non-saline)"),EXACT(metadata!K614,"Water (non-saline)"),EXACT(metadata!K614,"Soil (non-saline)"),EXACT(metadata!K614,"Aerosol (non-saline)"),EXACT(metadata!K614,"Sediment (non-saline)"),EXACT(metadata!K614,"Surface (saline)"),EXACT(metadata!K614,"Water (saline)"),EXACT(metadata!K614,"Hypersaline (saline)"),EXACT(metadata!K614,"Aerosol (saline)"),EXACT(metadata!K614,"Sediment (saline)")))</f>
        <v>0</v>
      </c>
      <c r="AW614" t="b">
        <f>IF(metadata!L614="",FALSE,TRUE)</f>
        <v>0</v>
      </c>
      <c r="AX614" t="b">
        <f>IF(metadata!M614="",FALSE,TRUE)</f>
        <v>0</v>
      </c>
      <c r="AY614" t="b">
        <f>IF(metadata!N614="",FALSE,TRUE)</f>
        <v>0</v>
      </c>
      <c r="AZ614" t="b">
        <f>OR(AND(IF(metadata!O614="",FALSE,TRUE),OR(EXACT(metadata!O614,"missing: not collected"),EXACT(metadata!O614,"missing: not provided"),EXACT(metadata!O614,"missing: restricted access"))),AND(IF(metadata!O614="",FALSE,TRUE),OR(EXACT(metadata!O614,"air"),EXACT(metadata!O614,"built environment"),EXACT(metadata!O614,"host-associated"),EXACT(metadata!O614,"human-associated"),EXACT(metadata!O614,"human-skin"),EXACT(metadata!O614,"human-oral"),EXACT(metadata!O614,"human-gut"),EXACT(metadata!O614,"human-vaginal"),EXACT(metadata!O614,"microbial mat/biofilm"),EXACT(metadata!O614,"misc environment"),EXACT(metadata!O614,"plant-associated"),EXACT(metadata!O614,"sediment"),EXACT(metadata!O614,"soil"),EXACT(metadata!O614,"wastewater/sludge"),EXACT(metadata!O614,"water"))))</f>
        <v>0</v>
      </c>
      <c r="BA614" t="b">
        <f>IF(metadata!P614="",FALSE,TRUE)</f>
        <v>0</v>
      </c>
      <c r="BB614" t="b">
        <f>IF(metadata!Q614="",FALSE,TRUE)</f>
        <v>0</v>
      </c>
      <c r="BC614" t="b">
        <f>OR(AND(IF(metadata!R614="",FALSE,TRUE),OR(EXACT(metadata!R614,"missing: not collected"),EXACT(metadata!R614,"missing: not provided"),EXACT(metadata!R614,"missing: restricted access"))),AND(IF(metadata!R614="",FALSE,ISNUMBER(VALUE(metadata!R614))),metadata!R614&gt;=-90,metadata!R614&lt;=90))</f>
        <v>0</v>
      </c>
      <c r="BD614" t="b">
        <f>AND(IF(metadata!S614="",FALSE,TRUE),EXACT(metadata!S614,"Decimal degrees"))</f>
        <v>0</v>
      </c>
      <c r="BE614" t="b">
        <f>OR(AND(IF(metadata!T614="",FALSE,TRUE),OR(EXACT(metadata!T614,"missing: not collected"),EXACT(metadata!T614,"missing: not provided"),EXACT(metadata!T614,"missing: restricted access"))),AND(IF(metadata!T614="",FALSE,ISNUMBER(VALUE(metadata!T614))),metadata!T614&gt;=-180,metadata!T614&lt;=180))</f>
        <v>0</v>
      </c>
      <c r="BF614" t="b">
        <f>AND(IF(metadata!U614="",FALSE,TRUE),EXACT(metadata!U614,"Decimal degrees"))</f>
        <v>0</v>
      </c>
      <c r="BG614" t="b">
        <f>IF(metadata!V614="",FALSE,TRUE)</f>
        <v>0</v>
      </c>
      <c r="BH614" t="b">
        <f>OR(AND(IF(metadata!W614="",FALSE,TRUE),OR(EXACT(metadata!W614,"missing: not collected"),EXACT(metadata!W614,"missing: not provided"),EXACT(metadata!W614,"missing: restricted access"))),AND(IF(metadata!W614="",FALSE,TRUE),OR(EXACT(metadata!W614,"TRUE"),EXACT(metadata!W614,"FALSE"))))</f>
        <v>0</v>
      </c>
      <c r="BI614" t="b">
        <f>AND(IF(metadata!X614="",FALSE,TRUE),EXACT(metadata!X614,"other"))</f>
        <v>0</v>
      </c>
      <c r="BJ614" t="b">
        <f>IF(metadata!Y614="",FALSE,TRUE)</f>
        <v>0</v>
      </c>
      <c r="BK614" t="b">
        <f>OR(AND(IF(metadata!Z614="",FALSE,TRUE),OR(EXACT(metadata!Z614,"missing: not collected"),EXACT(metadata!Z614,"missing: not provided"))),AND(IF(metadata!Z614="",FALSE,IF(ISERROR(INT(metadata!Z614)),FALSE,INT(metadata!Z614)=metadata!Z614)),metadata!Z614&gt;0))</f>
        <v>0</v>
      </c>
      <c r="BL614" t="b">
        <f>AND(IF(metadata!AA614="",FALSE,TRUE),EXACT(metadata!AA614,"Not applicable"))</f>
        <v>0</v>
      </c>
      <c r="BM614" t="b">
        <f>IF(metadata!AB614="",FALSE,TRUE)</f>
        <v>0</v>
      </c>
    </row>
    <row r="615" spans="1:65" x14ac:dyDescent="0.2">
      <c r="A615" s="5" t="str">
        <f ca="1">IF(B615=" "," ",HYPERLINK(CONCATENATE("#metadata!",ADDRESS(INDEX($AH$2:$AH$1001,MATCH(ROWS($AF$2:AF615),$AF$2:$AF$1001,0),0),1)),INDEX($AK$2:$AK$1001,MATCH(ROWS($AF$2:AF615),$AF$2:$AF$1001,0),0)))</f>
        <v xml:space="preserve"> </v>
      </c>
      <c r="B615" s="4" t="str">
        <f ca="1">IF(OR(INDEX($AG$2:$AG$1001,MATCH(ROWS($AF$2:AF615),$AF$2:$AF$1001,0),1)&gt;=100000,INDEX($AM$1005:$BM$1005,1,MATCH(COLUMNS($AM$1006:AM1006),$AM$1006:$BM$1006,0))&gt;=100000), " ",IF(INDEX($AM$2:$BM$1001,MATCH(ROWS($AF$2:AF615),$AF$2:$AF$1001,0),MATCH(COLUMNS($AM$1006:AM1006),$AM$1006:$BM$1006,0)), HYPERLINK("#",""), HYPERLINK(CONCATENATE("#metadata!", ADDRESS(INDEX($AH$2:$AH$1001,MATCH(ROWS($AF$2:AF615),$AF$2:$AF$1001,0),0), INDEX($AM$1004:$BM$1004,1,MATCH(COLUMNS($AM$1006:AM1006),$AM$1006:$BM$1006,0)))),"Fix")))</f>
        <v xml:space="preserve"> </v>
      </c>
      <c r="C615" s="4" t="str">
        <f ca="1">IF(OR(INDEX($AG$2:$AG$1001,MATCH(ROWS($AF$2:AF615),$AF$2:$AF$1001,0),1)&gt;=100000,INDEX($AM$1005:$BM$1005,1,MATCH(COLUMNS($AM$1006:AN1006),$AM$1006:$BM$1006,0))&gt;=100000), " ",IF(INDEX($AM$2:$BM$1001,MATCH(ROWS($AF$2:AF615),$AF$2:$AF$1001,0),MATCH(COLUMNS($AM$1006:AN1006),$AM$1006:$BM$1006,0)), HYPERLINK("#",""), HYPERLINK(CONCATENATE("#metadata!", ADDRESS(INDEX($AH$2:$AH$1001,MATCH(ROWS($AF$2:AF615),$AF$2:$AF$1001,0),0), INDEX($AM$1004:$BM$1004,1,MATCH(COLUMNS($AM$1006:AN1006),$AM$1006:$BM$1006,0)))),"Fix")))</f>
        <v xml:space="preserve"> </v>
      </c>
      <c r="D615" s="4" t="str">
        <f ca="1">IF(OR(INDEX($AG$2:$AG$1001,MATCH(ROWS($AF$2:AF615),$AF$2:$AF$1001,0),1)&gt;=100000,INDEX($AM$1005:$BM$1005,1,MATCH(COLUMNS($AM$1006:AO1006),$AM$1006:$BM$1006,0))&gt;=100000), " ",IF(INDEX($AM$2:$BM$1001,MATCH(ROWS($AF$2:AF615),$AF$2:$AF$1001,0),MATCH(COLUMNS($AM$1006:AO1006),$AM$1006:$BM$1006,0)), HYPERLINK("#",""), HYPERLINK(CONCATENATE("#metadata!", ADDRESS(INDEX($AH$2:$AH$1001,MATCH(ROWS($AF$2:AF615),$AF$2:$AF$1001,0),0), INDEX($AM$1004:$BM$1004,1,MATCH(COLUMNS($AM$1006:AO1006),$AM$1006:$BM$1006,0)))),"Fix")))</f>
        <v xml:space="preserve"> </v>
      </c>
      <c r="E615" s="4" t="str">
        <f ca="1">IF(OR(INDEX($AG$2:$AG$1001,MATCH(ROWS($AF$2:AF615),$AF$2:$AF$1001,0),1)&gt;=100000,INDEX($AM$1005:$BM$1005,1,MATCH(COLUMNS($AM$1006:AP1006),$AM$1006:$BM$1006,0))&gt;=100000), " ",IF(INDEX($AM$2:$BM$1001,MATCH(ROWS($AF$2:AF615),$AF$2:$AF$1001,0),MATCH(COLUMNS($AM$1006:AP1006),$AM$1006:$BM$1006,0)), HYPERLINK("#",""), HYPERLINK(CONCATENATE("#metadata!", ADDRESS(INDEX($AH$2:$AH$1001,MATCH(ROWS($AF$2:AF615),$AF$2:$AF$1001,0),0), INDEX($AM$1004:$BM$1004,1,MATCH(COLUMNS($AM$1006:AP1006),$AM$1006:$BM$1006,0)))),"Fix")))</f>
        <v xml:space="preserve"> </v>
      </c>
      <c r="F615" s="4" t="str">
        <f ca="1">IF(OR(INDEX($AG$2:$AG$1001,MATCH(ROWS($AF$2:AF615),$AF$2:$AF$1001,0),1)&gt;=100000,INDEX($AM$1005:$BM$1005,1,MATCH(COLUMNS($AM$1006:AQ1006),$AM$1006:$BM$1006,0))&gt;=100000), " ",IF(INDEX($AM$2:$BM$1001,MATCH(ROWS($AF$2:AF615),$AF$2:$AF$1001,0),MATCH(COLUMNS($AM$1006:AQ1006),$AM$1006:$BM$1006,0)), HYPERLINK("#",""), HYPERLINK(CONCATENATE("#metadata!", ADDRESS(INDEX($AH$2:$AH$1001,MATCH(ROWS($AF$2:AF615),$AF$2:$AF$1001,0),0), INDEX($AM$1004:$BM$1004,1,MATCH(COLUMNS($AM$1006:AQ1006),$AM$1006:$BM$1006,0)))),"Fix")))</f>
        <v xml:space="preserve"> </v>
      </c>
      <c r="G615" s="4" t="str">
        <f ca="1">IF(OR(INDEX($AG$2:$AG$1001,MATCH(ROWS($AF$2:AF615),$AF$2:$AF$1001,0),1)&gt;=100000,INDEX($AM$1005:$BM$1005,1,MATCH(COLUMNS($AM$1006:AR1006),$AM$1006:$BM$1006,0))&gt;=100000), " ",IF(INDEX($AM$2:$BM$1001,MATCH(ROWS($AF$2:AF615),$AF$2:$AF$1001,0),MATCH(COLUMNS($AM$1006:AR1006),$AM$1006:$BM$1006,0)), HYPERLINK("#",""), HYPERLINK(CONCATENATE("#metadata!", ADDRESS(INDEX($AH$2:$AH$1001,MATCH(ROWS($AF$2:AF615),$AF$2:$AF$1001,0),0), INDEX($AM$1004:$BM$1004,1,MATCH(COLUMNS($AM$1006:AR1006),$AM$1006:$BM$1006,0)))),"Fix")))</f>
        <v xml:space="preserve"> </v>
      </c>
      <c r="H615" s="4" t="str">
        <f ca="1">IF(OR(INDEX($AG$2:$AG$1001,MATCH(ROWS($AF$2:AF615),$AF$2:$AF$1001,0),1)&gt;=100000,INDEX($AM$1005:$BM$1005,1,MATCH(COLUMNS($AM$1006:AS1006),$AM$1006:$BM$1006,0))&gt;=100000), " ",IF(INDEX($AM$2:$BM$1001,MATCH(ROWS($AF$2:AF615),$AF$2:$AF$1001,0),MATCH(COLUMNS($AM$1006:AS1006),$AM$1006:$BM$1006,0)), HYPERLINK("#",""), HYPERLINK(CONCATENATE("#metadata!", ADDRESS(INDEX($AH$2:$AH$1001,MATCH(ROWS($AF$2:AF615),$AF$2:$AF$1001,0),0), INDEX($AM$1004:$BM$1004,1,MATCH(COLUMNS($AM$1006:AS1006),$AM$1006:$BM$1006,0)))),"Fix")))</f>
        <v xml:space="preserve"> </v>
      </c>
      <c r="I615" s="4" t="str">
        <f ca="1">IF(OR(INDEX($AG$2:$AG$1001,MATCH(ROWS($AF$2:AF615),$AF$2:$AF$1001,0),1)&gt;=100000,INDEX($AM$1005:$BM$1005,1,MATCH(COLUMNS($AM$1006:AT1006),$AM$1006:$BM$1006,0))&gt;=100000), " ",IF(INDEX($AM$2:$BM$1001,MATCH(ROWS($AF$2:AF615),$AF$2:$AF$1001,0),MATCH(COLUMNS($AM$1006:AT1006),$AM$1006:$BM$1006,0)), HYPERLINK("#",""), HYPERLINK(CONCATENATE("#metadata!", ADDRESS(INDEX($AH$2:$AH$1001,MATCH(ROWS($AF$2:AF615),$AF$2:$AF$1001,0),0), INDEX($AM$1004:$BM$1004,1,MATCH(COLUMNS($AM$1006:AT1006),$AM$1006:$BM$1006,0)))),"Fix")))</f>
        <v xml:space="preserve"> </v>
      </c>
      <c r="J615" s="4" t="str">
        <f ca="1">IF(OR(INDEX($AG$2:$AG$1001,MATCH(ROWS($AF$2:AF615),$AF$2:$AF$1001,0),1)&gt;=100000,INDEX($AM$1005:$BM$1005,1,MATCH(COLUMNS($AM$1006:AU1006),$AM$1006:$BM$1006,0))&gt;=100000), " ",IF(INDEX($AM$2:$BM$1001,MATCH(ROWS($AF$2:AF615),$AF$2:$AF$1001,0),MATCH(COLUMNS($AM$1006:AU1006),$AM$1006:$BM$1006,0)), HYPERLINK("#",""), HYPERLINK(CONCATENATE("#metadata!", ADDRESS(INDEX($AH$2:$AH$1001,MATCH(ROWS($AF$2:AF615),$AF$2:$AF$1001,0),0), INDEX($AM$1004:$BM$1004,1,MATCH(COLUMNS($AM$1006:AU1006),$AM$1006:$BM$1006,0)))),"Fix")))</f>
        <v xml:space="preserve"> </v>
      </c>
      <c r="K615" s="4" t="str">
        <f ca="1">IF(OR(INDEX($AG$2:$AG$1001,MATCH(ROWS($AF$2:AF615),$AF$2:$AF$1001,0),1)&gt;=100000,INDEX($AM$1005:$BM$1005,1,MATCH(COLUMNS($AM$1006:AV1006),$AM$1006:$BM$1006,0))&gt;=100000), " ",IF(INDEX($AM$2:$BM$1001,MATCH(ROWS($AF$2:AF615),$AF$2:$AF$1001,0),MATCH(COLUMNS($AM$1006:AV1006),$AM$1006:$BM$1006,0)), HYPERLINK("#",""), HYPERLINK(CONCATENATE("#metadata!", ADDRESS(INDEX($AH$2:$AH$1001,MATCH(ROWS($AF$2:AF615),$AF$2:$AF$1001,0),0), INDEX($AM$1004:$BM$1004,1,MATCH(COLUMNS($AM$1006:AV1006),$AM$1006:$BM$1006,0)))),"Fix")))</f>
        <v xml:space="preserve"> </v>
      </c>
      <c r="L615" s="4" t="str">
        <f ca="1">IF(OR(INDEX($AG$2:$AG$1001,MATCH(ROWS($AF$2:AF615),$AF$2:$AF$1001,0),1)&gt;=100000,INDEX($AM$1005:$BM$1005,1,MATCH(COLUMNS($AM$1006:AW1006),$AM$1006:$BM$1006,0))&gt;=100000), " ",IF(INDEX($AM$2:$BM$1001,MATCH(ROWS($AF$2:AF615),$AF$2:$AF$1001,0),MATCH(COLUMNS($AM$1006:AW1006),$AM$1006:$BM$1006,0)), HYPERLINK("#",""), HYPERLINK(CONCATENATE("#metadata!", ADDRESS(INDEX($AH$2:$AH$1001,MATCH(ROWS($AF$2:AF615),$AF$2:$AF$1001,0),0), INDEX($AM$1004:$BM$1004,1,MATCH(COLUMNS($AM$1006:AW1006),$AM$1006:$BM$1006,0)))),"Fix")))</f>
        <v xml:space="preserve"> </v>
      </c>
      <c r="M615" s="4" t="str">
        <f ca="1">IF(OR(INDEX($AG$2:$AG$1001,MATCH(ROWS($AF$2:AF615),$AF$2:$AF$1001,0),1)&gt;=100000,INDEX($AM$1005:$BM$1005,1,MATCH(COLUMNS($AM$1006:AX1006),$AM$1006:$BM$1006,0))&gt;=100000), " ",IF(INDEX($AM$2:$BM$1001,MATCH(ROWS($AF$2:AF615),$AF$2:$AF$1001,0),MATCH(COLUMNS($AM$1006:AX1006),$AM$1006:$BM$1006,0)), HYPERLINK("#",""), HYPERLINK(CONCATENATE("#metadata!", ADDRESS(INDEX($AH$2:$AH$1001,MATCH(ROWS($AF$2:AF615),$AF$2:$AF$1001,0),0), INDEX($AM$1004:$BM$1004,1,MATCH(COLUMNS($AM$1006:AX1006),$AM$1006:$BM$1006,0)))),"Fix")))</f>
        <v xml:space="preserve"> </v>
      </c>
      <c r="N615" s="4" t="str">
        <f ca="1">IF(OR(INDEX($AG$2:$AG$1001,MATCH(ROWS($AF$2:AF615),$AF$2:$AF$1001,0),1)&gt;=100000,INDEX($AM$1005:$BM$1005,1,MATCH(COLUMNS($AM$1006:AY1006),$AM$1006:$BM$1006,0))&gt;=100000), " ",IF(INDEX($AM$2:$BM$1001,MATCH(ROWS($AF$2:AF615),$AF$2:$AF$1001,0),MATCH(COLUMNS($AM$1006:AY1006),$AM$1006:$BM$1006,0)), HYPERLINK("#",""), HYPERLINK(CONCATENATE("#metadata!", ADDRESS(INDEX($AH$2:$AH$1001,MATCH(ROWS($AF$2:AF615),$AF$2:$AF$1001,0),0), INDEX($AM$1004:$BM$1004,1,MATCH(COLUMNS($AM$1006:AY1006),$AM$1006:$BM$1006,0)))),"Fix")))</f>
        <v xml:space="preserve"> </v>
      </c>
      <c r="O615" s="4" t="str">
        <f ca="1">IF(OR(INDEX($AG$2:$AG$1001,MATCH(ROWS($AF$2:AF615),$AF$2:$AF$1001,0),1)&gt;=100000,INDEX($AM$1005:$BM$1005,1,MATCH(COLUMNS($AM$1006:AZ1006),$AM$1006:$BM$1006,0))&gt;=100000), " ",IF(INDEX($AM$2:$BM$1001,MATCH(ROWS($AF$2:AF615),$AF$2:$AF$1001,0),MATCH(COLUMNS($AM$1006:AZ1006),$AM$1006:$BM$1006,0)), HYPERLINK("#",""), HYPERLINK(CONCATENATE("#metadata!", ADDRESS(INDEX($AH$2:$AH$1001,MATCH(ROWS($AF$2:AF615),$AF$2:$AF$1001,0),0), INDEX($AM$1004:$BM$1004,1,MATCH(COLUMNS($AM$1006:AZ1006),$AM$1006:$BM$1006,0)))),"Fix")))</f>
        <v xml:space="preserve"> </v>
      </c>
      <c r="P615" s="4" t="str">
        <f ca="1">IF(OR(INDEX($AG$2:$AG$1001,MATCH(ROWS($AF$2:AF615),$AF$2:$AF$1001,0),1)&gt;=100000,INDEX($AM$1005:$BM$1005,1,MATCH(COLUMNS($AM$1006:BA1006),$AM$1006:$BM$1006,0))&gt;=100000), " ",IF(INDEX($AM$2:$BM$1001,MATCH(ROWS($AF$2:AF615),$AF$2:$AF$1001,0),MATCH(COLUMNS($AM$1006:BA1006),$AM$1006:$BM$1006,0)), HYPERLINK("#",""), HYPERLINK(CONCATENATE("#metadata!", ADDRESS(INDEX($AH$2:$AH$1001,MATCH(ROWS($AF$2:AF615),$AF$2:$AF$1001,0),0), INDEX($AM$1004:$BM$1004,1,MATCH(COLUMNS($AM$1006:BA1006),$AM$1006:$BM$1006,0)))),"Fix")))</f>
        <v xml:space="preserve"> </v>
      </c>
      <c r="Q615" s="4" t="str">
        <f ca="1">IF(OR(INDEX($AG$2:$AG$1001,MATCH(ROWS($AF$2:AF615),$AF$2:$AF$1001,0),1)&gt;=100000,INDEX($AM$1005:$BM$1005,1,MATCH(COLUMNS($AM$1006:BB1006),$AM$1006:$BM$1006,0))&gt;=100000), " ",IF(INDEX($AM$2:$BM$1001,MATCH(ROWS($AF$2:AF615),$AF$2:$AF$1001,0),MATCH(COLUMNS($AM$1006:BB1006),$AM$1006:$BM$1006,0)), HYPERLINK("#",""), HYPERLINK(CONCATENATE("#metadata!", ADDRESS(INDEX($AH$2:$AH$1001,MATCH(ROWS($AF$2:AF615),$AF$2:$AF$1001,0),0), INDEX($AM$1004:$BM$1004,1,MATCH(COLUMNS($AM$1006:BB1006),$AM$1006:$BM$1006,0)))),"Fix")))</f>
        <v xml:space="preserve"> </v>
      </c>
      <c r="R615" s="4" t="str">
        <f ca="1">IF(OR(INDEX($AG$2:$AG$1001,MATCH(ROWS($AF$2:AF615),$AF$2:$AF$1001,0),1)&gt;=100000,INDEX($AM$1005:$BM$1005,1,MATCH(COLUMNS($AM$1006:BC1006),$AM$1006:$BM$1006,0))&gt;=100000), " ",IF(INDEX($AM$2:$BM$1001,MATCH(ROWS($AF$2:AF615),$AF$2:$AF$1001,0),MATCH(COLUMNS($AM$1006:BC1006),$AM$1006:$BM$1006,0)), HYPERLINK("#",""), HYPERLINK(CONCATENATE("#metadata!", ADDRESS(INDEX($AH$2:$AH$1001,MATCH(ROWS($AF$2:AF615),$AF$2:$AF$1001,0),0), INDEX($AM$1004:$BM$1004,1,MATCH(COLUMNS($AM$1006:BC1006),$AM$1006:$BM$1006,0)))),"Fix")))</f>
        <v xml:space="preserve"> </v>
      </c>
      <c r="S615" s="4" t="str">
        <f ca="1">IF(OR(INDEX($AG$2:$AG$1001,MATCH(ROWS($AF$2:AF615),$AF$2:$AF$1001,0),1)&gt;=100000,INDEX($AM$1005:$BM$1005,1,MATCH(COLUMNS($AM$1006:BD1006),$AM$1006:$BM$1006,0))&gt;=100000), " ",IF(INDEX($AM$2:$BM$1001,MATCH(ROWS($AF$2:AF615),$AF$2:$AF$1001,0),MATCH(COLUMNS($AM$1006:BD1006),$AM$1006:$BM$1006,0)), HYPERLINK("#",""), HYPERLINK(CONCATENATE("#metadata!", ADDRESS(INDEX($AH$2:$AH$1001,MATCH(ROWS($AF$2:AF615),$AF$2:$AF$1001,0),0), INDEX($AM$1004:$BM$1004,1,MATCH(COLUMNS($AM$1006:BD1006),$AM$1006:$BM$1006,0)))),"Fix")))</f>
        <v xml:space="preserve"> </v>
      </c>
      <c r="T615" s="4" t="str">
        <f ca="1">IF(OR(INDEX($AG$2:$AG$1001,MATCH(ROWS($AF$2:AF615),$AF$2:$AF$1001,0),1)&gt;=100000,INDEX($AM$1005:$BM$1005,1,MATCH(COLUMNS($AM$1006:BE1006),$AM$1006:$BM$1006,0))&gt;=100000), " ",IF(INDEX($AM$2:$BM$1001,MATCH(ROWS($AF$2:AF615),$AF$2:$AF$1001,0),MATCH(COLUMNS($AM$1006:BE1006),$AM$1006:$BM$1006,0)), HYPERLINK("#",""), HYPERLINK(CONCATENATE("#metadata!", ADDRESS(INDEX($AH$2:$AH$1001,MATCH(ROWS($AF$2:AF615),$AF$2:$AF$1001,0),0), INDEX($AM$1004:$BM$1004,1,MATCH(COLUMNS($AM$1006:BE1006),$AM$1006:$BM$1006,0)))),"Fix")))</f>
        <v xml:space="preserve"> </v>
      </c>
      <c r="U615" s="4" t="str">
        <f ca="1">IF(OR(INDEX($AG$2:$AG$1001,MATCH(ROWS($AF$2:AF615),$AF$2:$AF$1001,0),1)&gt;=100000,INDEX($AM$1005:$BM$1005,1,MATCH(COLUMNS($AM$1006:BF1006),$AM$1006:$BM$1006,0))&gt;=100000), " ",IF(INDEX($AM$2:$BM$1001,MATCH(ROWS($AF$2:AF615),$AF$2:$AF$1001,0),MATCH(COLUMNS($AM$1006:BF1006),$AM$1006:$BM$1006,0)), HYPERLINK("#",""), HYPERLINK(CONCATENATE("#metadata!", ADDRESS(INDEX($AH$2:$AH$1001,MATCH(ROWS($AF$2:AF615),$AF$2:$AF$1001,0),0), INDEX($AM$1004:$BM$1004,1,MATCH(COLUMNS($AM$1006:BF1006),$AM$1006:$BM$1006,0)))),"Fix")))</f>
        <v xml:space="preserve"> </v>
      </c>
      <c r="V615" s="4" t="str">
        <f ca="1">IF(OR(INDEX($AG$2:$AG$1001,MATCH(ROWS($AF$2:AF615),$AF$2:$AF$1001,0),1)&gt;=100000,INDEX($AM$1005:$BM$1005,1,MATCH(COLUMNS($AM$1006:BG1006),$AM$1006:$BM$1006,0))&gt;=100000), " ",IF(INDEX($AM$2:$BM$1001,MATCH(ROWS($AF$2:AF615),$AF$2:$AF$1001,0),MATCH(COLUMNS($AM$1006:BG1006),$AM$1006:$BM$1006,0)), HYPERLINK("#",""), HYPERLINK(CONCATENATE("#metadata!", ADDRESS(INDEX($AH$2:$AH$1001,MATCH(ROWS($AF$2:AF615),$AF$2:$AF$1001,0),0), INDEX($AM$1004:$BM$1004,1,MATCH(COLUMNS($AM$1006:BG1006),$AM$1006:$BM$1006,0)))),"Fix")))</f>
        <v xml:space="preserve"> </v>
      </c>
      <c r="W615" s="4" t="str">
        <f ca="1">IF(OR(INDEX($AG$2:$AG$1001,MATCH(ROWS($AF$2:AF615),$AF$2:$AF$1001,0),1)&gt;=100000,INDEX($AM$1005:$BM$1005,1,MATCH(COLUMNS($AM$1006:BH1006),$AM$1006:$BM$1006,0))&gt;=100000), " ",IF(INDEX($AM$2:$BM$1001,MATCH(ROWS($AF$2:AF615),$AF$2:$AF$1001,0),MATCH(COLUMNS($AM$1006:BH1006),$AM$1006:$BM$1006,0)), HYPERLINK("#",""), HYPERLINK(CONCATENATE("#metadata!", ADDRESS(INDEX($AH$2:$AH$1001,MATCH(ROWS($AF$2:AF615),$AF$2:$AF$1001,0),0), INDEX($AM$1004:$BM$1004,1,MATCH(COLUMNS($AM$1006:BH1006),$AM$1006:$BM$1006,0)))),"Fix")))</f>
        <v xml:space="preserve"> </v>
      </c>
      <c r="X615" s="4" t="str">
        <f ca="1">IF(OR(INDEX($AG$2:$AG$1001,MATCH(ROWS($AF$2:AF615),$AF$2:$AF$1001,0),1)&gt;=100000,INDEX($AM$1005:$BM$1005,1,MATCH(COLUMNS($AM$1006:BI1006),$AM$1006:$BM$1006,0))&gt;=100000), " ",IF(INDEX($AM$2:$BM$1001,MATCH(ROWS($AF$2:AF615),$AF$2:$AF$1001,0),MATCH(COLUMNS($AM$1006:BI1006),$AM$1006:$BM$1006,0)), HYPERLINK("#",""), HYPERLINK(CONCATENATE("#metadata!", ADDRESS(INDEX($AH$2:$AH$1001,MATCH(ROWS($AF$2:AF615),$AF$2:$AF$1001,0),0), INDEX($AM$1004:$BM$1004,1,MATCH(COLUMNS($AM$1006:BI1006),$AM$1006:$BM$1006,0)))),"Fix")))</f>
        <v xml:space="preserve"> </v>
      </c>
      <c r="Y615" s="4" t="str">
        <f ca="1">IF(OR(INDEX($AG$2:$AG$1001,MATCH(ROWS($AF$2:AF615),$AF$2:$AF$1001,0),1)&gt;=100000,INDEX($AM$1005:$BM$1005,1,MATCH(COLUMNS($AM$1006:BJ1006),$AM$1006:$BM$1006,0))&gt;=100000), " ",IF(INDEX($AM$2:$BM$1001,MATCH(ROWS($AF$2:AF615),$AF$2:$AF$1001,0),MATCH(COLUMNS($AM$1006:BJ1006),$AM$1006:$BM$1006,0)), HYPERLINK("#",""), HYPERLINK(CONCATENATE("#metadata!", ADDRESS(INDEX($AH$2:$AH$1001,MATCH(ROWS($AF$2:AF615),$AF$2:$AF$1001,0),0), INDEX($AM$1004:$BM$1004,1,MATCH(COLUMNS($AM$1006:BJ1006),$AM$1006:$BM$1006,0)))),"Fix")))</f>
        <v xml:space="preserve"> </v>
      </c>
      <c r="Z615" s="4" t="str">
        <f ca="1">IF(OR(INDEX($AG$2:$AG$1001,MATCH(ROWS($AF$2:AF615),$AF$2:$AF$1001,0),1)&gt;=100000,INDEX($AM$1005:$BM$1005,1,MATCH(COLUMNS($AM$1006:BK1006),$AM$1006:$BM$1006,0))&gt;=100000), " ",IF(INDEX($AM$2:$BM$1001,MATCH(ROWS($AF$2:AF615),$AF$2:$AF$1001,0),MATCH(COLUMNS($AM$1006:BK1006),$AM$1006:$BM$1006,0)), HYPERLINK("#",""), HYPERLINK(CONCATENATE("#metadata!", ADDRESS(INDEX($AH$2:$AH$1001,MATCH(ROWS($AF$2:AF615),$AF$2:$AF$1001,0),0), INDEX($AM$1004:$BM$1004,1,MATCH(COLUMNS($AM$1006:BK1006),$AM$1006:$BM$1006,0)))),"Fix")))</f>
        <v xml:space="preserve"> </v>
      </c>
      <c r="AA615" s="4" t="str">
        <f ca="1">IF(OR(INDEX($AG$2:$AG$1001,MATCH(ROWS($AF$2:AF615),$AF$2:$AF$1001,0),1)&gt;=100000,INDEX($AM$1005:$BM$1005,1,MATCH(COLUMNS($AM$1006:BL1006),$AM$1006:$BM$1006,0))&gt;=100000), " ",IF(INDEX($AM$2:$BM$1001,MATCH(ROWS($AF$2:AF615),$AF$2:$AF$1001,0),MATCH(COLUMNS($AM$1006:BL1006),$AM$1006:$BM$1006,0)), HYPERLINK("#",""), HYPERLINK(CONCATENATE("#metadata!", ADDRESS(INDEX($AH$2:$AH$1001,MATCH(ROWS($AF$2:AF615),$AF$2:$AF$1001,0),0), INDEX($AM$1004:$BM$1004,1,MATCH(COLUMNS($AM$1006:BL1006),$AM$1006:$BM$1006,0)))),"Fix")))</f>
        <v xml:space="preserve"> </v>
      </c>
      <c r="AB615" s="4" t="str">
        <f ca="1">IF(OR(INDEX($AG$2:$AG$1001,MATCH(ROWS($AF$2:AF615),$AF$2:$AF$1001,0),1)&gt;=100000,INDEX($AM$1005:$BM$1005,1,MATCH(COLUMNS($AM$1006:BM1006),$AM$1006:$BM$1006,0))&gt;=100000), " ",IF(INDEX($AM$2:$BM$1001,MATCH(ROWS($AF$2:AF615),$AF$2:$AF$1001,0),MATCH(COLUMNS($AM$1006:BM1006),$AM$1006:$BM$1006,0)), HYPERLINK("#",""), HYPERLINK(CONCATENATE("#metadata!", ADDRESS(INDEX($AH$2:$AH$1001,MATCH(ROWS($AF$2:AF615),$AF$2:$AF$1001,0),0), INDEX($AM$1004:$BM$1004,1,MATCH(COLUMNS($AM$1006:BM1006),$AM$1006:$BM$1006,0)))),"Fix")))</f>
        <v xml:space="preserve"> </v>
      </c>
      <c r="AF615">
        <v>614</v>
      </c>
      <c r="AG615">
        <v>100615</v>
      </c>
      <c r="AH615">
        <v>615</v>
      </c>
      <c r="AI615" t="b">
        <f t="shared" si="9"/>
        <v>1</v>
      </c>
      <c r="AJ615" t="b">
        <f>COUNTBLANK(metadata!B615:AB615)=COLUMNS(metadata!B615:AB615)</f>
        <v>1</v>
      </c>
      <c r="AK615" t="str">
        <v/>
      </c>
      <c r="AM615" t="b">
        <f ca="1">AND(IF(metadata!B615="",FALSE,TRUE),COUNTIF(metadata!B:B, metadata!B615) = 1,NOT(ISERROR(SUMPRODUCT(SEARCH(MID(metadata!B615,ROW(INDIRECT("1:"&amp;LEN(metadata!B615))), 1),"0123456789abcdefghijklmnopqrstuvwxyzABCDEFGHIJKLMNOPQRSTUVWXYZ.")))))</f>
        <v>0</v>
      </c>
      <c r="AN615" t="b">
        <f ca="1">OR(AND(IF(metadata!C615="",FALSE,TRUE),OR(EXACT(metadata!C615,"missing: not collected"),EXACT(metadata!C615,"missing: not provided"),EXACT(metadata!C615,"missing: restricted access"))),AND(IF(metadata!C615="",FALSE,TRUE),AND(AND(IFERROR(INT(LEFT(metadata!C615,4))&gt;1900,FALSE),IFERROR(INT(LEFT(metadata!C615,4))&lt;=YEAR(NOW()),FALSE)), OR(MID(metadata!C615,5,1)="", AND(AND(MID(metadata!C615,5,1)="-",IFERROR(INT(MID(metadata!C615,6,1))&gt;=0,FALSE),IFERROR(INT(MID(metadata!C615,6,1))&lt;=1,FALSE),NOT(MID(metadata!C615,7,1)=""),IFERROR(INT(MID(metadata!C615,6,2))&gt;=1,FALSE),IFERROR(INT(MID(metadata!C615,6,2))&lt;=12,FALSE)), OR(MID(metadata!C615,8,1)="", AND(AND(MID(metadata!C615,8,1)="-",IFERROR(INT(MID(metadata!C615,9,1))&gt;=0,FALSE),IFERROR(INT(MID(metadata!C615,9,1))&lt;=3,FALSE),NOT(MID(metadata!C615,10,1)=""),IFERROR(INT(MID(metadata!C615,9,2))&gt;=1,FALSE),IFERROR(INT(MID(metadata!C615,9,2))&lt;=31,FALSE)), OR(MID(metadata!C615,11,1)="", AND(AND(MID(metadata!C615,11,1)=" ",IFERROR(INT(MID(metadata!C615,12,1))&gt;=0,FALSE),IFERROR(INT(MID(metadata!C615,12,1))&lt;=2,FALSE),NOT(MID(metadata!C615,13,1)=""),IFERROR(INT(MID(metadata!C615,12,2))&gt;=0,FALSE),IFERROR(INT(MID(metadata!C615,12,2))&lt;=23,FALSE)), OR(MID(metadata!C615,14,1)="", AND(AND(MID(metadata!C615,14,1)=":",IFERROR(INT(MID(metadata!C615,15,1))&gt;=0,FALSE),IFERROR(INT(MID(metadata!C615,15,1))&lt;=5,FALSE),NOT(MID(metadata!C615,16,1)=""),IFERROR(INT(MID(metadata!C615,15,2))&gt;=0,FALSE),IFERROR(INT(MID(metadata!C615,15,2))&lt;=59,FALSE)), OR(MID(metadata!C615,17,1)="", AND(AND(MID(metadata!C615,17,1)=":",IFERROR(INT(MID(metadata!C615,18,1))&gt;=0,FALSE),IFERROR(INT(MID(metadata!C615,18,1))&lt;=5,FALSE),NOT(MID(metadata!C615,19,1)=""),IFERROR(INT(MID(metadata!C615,18,2))&gt;=0,FALSE),IFERROR(INT(MID(metadata!C615,18,2))&lt;=59,FALSE)), LEN(metadata!C615)&lt;=19)))))))))))))</f>
        <v>0</v>
      </c>
      <c r="AO615" t="b">
        <f>AND(IF(metadata!D615="",FALSE,TRUE),EXACT(metadata!D615,"Not applicable"))</f>
        <v>0</v>
      </c>
      <c r="AP615" t="b">
        <f>IF(metadata!E615="",FALSE,TRUE)</f>
        <v>0</v>
      </c>
      <c r="AQ615" t="b">
        <f>OR(AND(IF(metadata!F615="",FALSE,TRUE),OR(EXACT(metadata!F615,"missing: not collected"),EXACT(metadata!F615,"missing: not provided"))),AND(IF(metadata!F615="",FALSE,TRUE),OR(EXACT(metadata!F615,"TRUE"),EXACT(metadata!F615,"FALSE"))))</f>
        <v>0</v>
      </c>
      <c r="AR615" t="b">
        <f>OR(AND(IF(metadata!G615="",FALSE,TRUE),OR(EXACT(metadata!G615,"missing: not collected"),EXACT(metadata!G615,"missing: not provided"),EXACT(metadata!G615,"missing: restricted access"))),AND(IF(metadata!G615="",FALSE,ISNUMBER(VALUE(metadata!G615))),metadata!G615&gt;=-413))</f>
        <v>0</v>
      </c>
      <c r="AS615" t="b">
        <f>AND(IF(metadata!H615="",FALSE,TRUE),EXACT(metadata!H615,"meters"))</f>
        <v>0</v>
      </c>
      <c r="AT615" t="b">
        <f>AND(IF(metadata!I615="",FALSE,TRUE),OR(EXACT(metadata!I615,"Host-associated"),EXACT(metadata!I615,"Free-living")))</f>
        <v>0</v>
      </c>
      <c r="AU615" t="b">
        <f>AND(IF(metadata!J615="",FALSE,TRUE),OR(EXACT(metadata!J615,"Animal"),EXACT(metadata!J615,"Fungus"),EXACT(metadata!J615,"Plant"),EXACT(metadata!J615,"Saline"),EXACT(metadata!J615,"Non-saline")))</f>
        <v>0</v>
      </c>
      <c r="AV615" t="b">
        <f>AND(IF(metadata!K615="",FALSE,TRUE),OR(EXACT(metadata!K615,"Plant secretion"),EXACT(metadata!K615,"Plant rhizosphere"),EXACT(metadata!K615,"Plant surface"),EXACT(metadata!K615,"Plant corpus"),EXACT(metadata!K615,"Fungus surface"),EXACT(metadata!K615,"Fungus corpus"),EXACT(metadata!K615,"Animal surface"),EXACT(metadata!K615,"Animal proximal gut"),EXACT(metadata!K615,"Animal corpus"),EXACT(metadata!K615,"Animal distal gut"),EXACT(metadata!K615,"Animal secretion"),EXACT(metadata!K615,"Sub-surface (non-saline)"),EXACT(metadata!K615,"Surface (non-saline)"),EXACT(metadata!K615,"Water (non-saline)"),EXACT(metadata!K615,"Soil (non-saline)"),EXACT(metadata!K615,"Aerosol (non-saline)"),EXACT(metadata!K615,"Sediment (non-saline)"),EXACT(metadata!K615,"Surface (saline)"),EXACT(metadata!K615,"Water (saline)"),EXACT(metadata!K615,"Hypersaline (saline)"),EXACT(metadata!K615,"Aerosol (saline)"),EXACT(metadata!K615,"Sediment (saline)")))</f>
        <v>0</v>
      </c>
      <c r="AW615" t="b">
        <f>IF(metadata!L615="",FALSE,TRUE)</f>
        <v>0</v>
      </c>
      <c r="AX615" t="b">
        <f>IF(metadata!M615="",FALSE,TRUE)</f>
        <v>0</v>
      </c>
      <c r="AY615" t="b">
        <f>IF(metadata!N615="",FALSE,TRUE)</f>
        <v>0</v>
      </c>
      <c r="AZ615" t="b">
        <f>OR(AND(IF(metadata!O615="",FALSE,TRUE),OR(EXACT(metadata!O615,"missing: not collected"),EXACT(metadata!O615,"missing: not provided"),EXACT(metadata!O615,"missing: restricted access"))),AND(IF(metadata!O615="",FALSE,TRUE),OR(EXACT(metadata!O615,"air"),EXACT(metadata!O615,"built environment"),EXACT(metadata!O615,"host-associated"),EXACT(metadata!O615,"human-associated"),EXACT(metadata!O615,"human-skin"),EXACT(metadata!O615,"human-oral"),EXACT(metadata!O615,"human-gut"),EXACT(metadata!O615,"human-vaginal"),EXACT(metadata!O615,"microbial mat/biofilm"),EXACT(metadata!O615,"misc environment"),EXACT(metadata!O615,"plant-associated"),EXACT(metadata!O615,"sediment"),EXACT(metadata!O615,"soil"),EXACT(metadata!O615,"wastewater/sludge"),EXACT(metadata!O615,"water"))))</f>
        <v>0</v>
      </c>
      <c r="BA615" t="b">
        <f>IF(metadata!P615="",FALSE,TRUE)</f>
        <v>0</v>
      </c>
      <c r="BB615" t="b">
        <f>IF(metadata!Q615="",FALSE,TRUE)</f>
        <v>0</v>
      </c>
      <c r="BC615" t="b">
        <f>OR(AND(IF(metadata!R615="",FALSE,TRUE),OR(EXACT(metadata!R615,"missing: not collected"),EXACT(metadata!R615,"missing: not provided"),EXACT(metadata!R615,"missing: restricted access"))),AND(IF(metadata!R615="",FALSE,ISNUMBER(VALUE(metadata!R615))),metadata!R615&gt;=-90,metadata!R615&lt;=90))</f>
        <v>0</v>
      </c>
      <c r="BD615" t="b">
        <f>AND(IF(metadata!S615="",FALSE,TRUE),EXACT(metadata!S615,"Decimal degrees"))</f>
        <v>0</v>
      </c>
      <c r="BE615" t="b">
        <f>OR(AND(IF(metadata!T615="",FALSE,TRUE),OR(EXACT(metadata!T615,"missing: not collected"),EXACT(metadata!T615,"missing: not provided"),EXACT(metadata!T615,"missing: restricted access"))),AND(IF(metadata!T615="",FALSE,ISNUMBER(VALUE(metadata!T615))),metadata!T615&gt;=-180,metadata!T615&lt;=180))</f>
        <v>0</v>
      </c>
      <c r="BF615" t="b">
        <f>AND(IF(metadata!U615="",FALSE,TRUE),EXACT(metadata!U615,"Decimal degrees"))</f>
        <v>0</v>
      </c>
      <c r="BG615" t="b">
        <f>IF(metadata!V615="",FALSE,TRUE)</f>
        <v>0</v>
      </c>
      <c r="BH615" t="b">
        <f>OR(AND(IF(metadata!W615="",FALSE,TRUE),OR(EXACT(metadata!W615,"missing: not collected"),EXACT(metadata!W615,"missing: not provided"),EXACT(metadata!W615,"missing: restricted access"))),AND(IF(metadata!W615="",FALSE,TRUE),OR(EXACT(metadata!W615,"TRUE"),EXACT(metadata!W615,"FALSE"))))</f>
        <v>0</v>
      </c>
      <c r="BI615" t="b">
        <f>AND(IF(metadata!X615="",FALSE,TRUE),EXACT(metadata!X615,"other"))</f>
        <v>0</v>
      </c>
      <c r="BJ615" t="b">
        <f>IF(metadata!Y615="",FALSE,TRUE)</f>
        <v>0</v>
      </c>
      <c r="BK615" t="b">
        <f>OR(AND(IF(metadata!Z615="",FALSE,TRUE),OR(EXACT(metadata!Z615,"missing: not collected"),EXACT(metadata!Z615,"missing: not provided"))),AND(IF(metadata!Z615="",FALSE,IF(ISERROR(INT(metadata!Z615)),FALSE,INT(metadata!Z615)=metadata!Z615)),metadata!Z615&gt;0))</f>
        <v>0</v>
      </c>
      <c r="BL615" t="b">
        <f>AND(IF(metadata!AA615="",FALSE,TRUE),EXACT(metadata!AA615,"Not applicable"))</f>
        <v>0</v>
      </c>
      <c r="BM615" t="b">
        <f>IF(metadata!AB615="",FALSE,TRUE)</f>
        <v>0</v>
      </c>
    </row>
    <row r="616" spans="1:65" x14ac:dyDescent="0.2">
      <c r="A616" s="5" t="str">
        <f ca="1">IF(B616=" "," ",HYPERLINK(CONCATENATE("#metadata!",ADDRESS(INDEX($AH$2:$AH$1001,MATCH(ROWS($AF$2:AF616),$AF$2:$AF$1001,0),0),1)),INDEX($AK$2:$AK$1001,MATCH(ROWS($AF$2:AF616),$AF$2:$AF$1001,0),0)))</f>
        <v xml:space="preserve"> </v>
      </c>
      <c r="B616" s="4" t="str">
        <f ca="1">IF(OR(INDEX($AG$2:$AG$1001,MATCH(ROWS($AF$2:AF616),$AF$2:$AF$1001,0),1)&gt;=100000,INDEX($AM$1005:$BM$1005,1,MATCH(COLUMNS($AM$1006:AM1006),$AM$1006:$BM$1006,0))&gt;=100000), " ",IF(INDEX($AM$2:$BM$1001,MATCH(ROWS($AF$2:AF616),$AF$2:$AF$1001,0),MATCH(COLUMNS($AM$1006:AM1006),$AM$1006:$BM$1006,0)), HYPERLINK("#",""), HYPERLINK(CONCATENATE("#metadata!", ADDRESS(INDEX($AH$2:$AH$1001,MATCH(ROWS($AF$2:AF616),$AF$2:$AF$1001,0),0), INDEX($AM$1004:$BM$1004,1,MATCH(COLUMNS($AM$1006:AM1006),$AM$1006:$BM$1006,0)))),"Fix")))</f>
        <v xml:space="preserve"> </v>
      </c>
      <c r="C616" s="4" t="str">
        <f ca="1">IF(OR(INDEX($AG$2:$AG$1001,MATCH(ROWS($AF$2:AF616),$AF$2:$AF$1001,0),1)&gt;=100000,INDEX($AM$1005:$BM$1005,1,MATCH(COLUMNS($AM$1006:AN1006),$AM$1006:$BM$1006,0))&gt;=100000), " ",IF(INDEX($AM$2:$BM$1001,MATCH(ROWS($AF$2:AF616),$AF$2:$AF$1001,0),MATCH(COLUMNS($AM$1006:AN1006),$AM$1006:$BM$1006,0)), HYPERLINK("#",""), HYPERLINK(CONCATENATE("#metadata!", ADDRESS(INDEX($AH$2:$AH$1001,MATCH(ROWS($AF$2:AF616),$AF$2:$AF$1001,0),0), INDEX($AM$1004:$BM$1004,1,MATCH(COLUMNS($AM$1006:AN1006),$AM$1006:$BM$1006,0)))),"Fix")))</f>
        <v xml:space="preserve"> </v>
      </c>
      <c r="D616" s="4" t="str">
        <f ca="1">IF(OR(INDEX($AG$2:$AG$1001,MATCH(ROWS($AF$2:AF616),$AF$2:$AF$1001,0),1)&gt;=100000,INDEX($AM$1005:$BM$1005,1,MATCH(COLUMNS($AM$1006:AO1006),$AM$1006:$BM$1006,0))&gt;=100000), " ",IF(INDEX($AM$2:$BM$1001,MATCH(ROWS($AF$2:AF616),$AF$2:$AF$1001,0),MATCH(COLUMNS($AM$1006:AO1006),$AM$1006:$BM$1006,0)), HYPERLINK("#",""), HYPERLINK(CONCATENATE("#metadata!", ADDRESS(INDEX($AH$2:$AH$1001,MATCH(ROWS($AF$2:AF616),$AF$2:$AF$1001,0),0), INDEX($AM$1004:$BM$1004,1,MATCH(COLUMNS($AM$1006:AO1006),$AM$1006:$BM$1006,0)))),"Fix")))</f>
        <v xml:space="preserve"> </v>
      </c>
      <c r="E616" s="4" t="str">
        <f ca="1">IF(OR(INDEX($AG$2:$AG$1001,MATCH(ROWS($AF$2:AF616),$AF$2:$AF$1001,0),1)&gt;=100000,INDEX($AM$1005:$BM$1005,1,MATCH(COLUMNS($AM$1006:AP1006),$AM$1006:$BM$1006,0))&gt;=100000), " ",IF(INDEX($AM$2:$BM$1001,MATCH(ROWS($AF$2:AF616),$AF$2:$AF$1001,0),MATCH(COLUMNS($AM$1006:AP1006),$AM$1006:$BM$1006,0)), HYPERLINK("#",""), HYPERLINK(CONCATENATE("#metadata!", ADDRESS(INDEX($AH$2:$AH$1001,MATCH(ROWS($AF$2:AF616),$AF$2:$AF$1001,0),0), INDEX($AM$1004:$BM$1004,1,MATCH(COLUMNS($AM$1006:AP1006),$AM$1006:$BM$1006,0)))),"Fix")))</f>
        <v xml:space="preserve"> </v>
      </c>
      <c r="F616" s="4" t="str">
        <f ca="1">IF(OR(INDEX($AG$2:$AG$1001,MATCH(ROWS($AF$2:AF616),$AF$2:$AF$1001,0),1)&gt;=100000,INDEX($AM$1005:$BM$1005,1,MATCH(COLUMNS($AM$1006:AQ1006),$AM$1006:$BM$1006,0))&gt;=100000), " ",IF(INDEX($AM$2:$BM$1001,MATCH(ROWS($AF$2:AF616),$AF$2:$AF$1001,0),MATCH(COLUMNS($AM$1006:AQ1006),$AM$1006:$BM$1006,0)), HYPERLINK("#",""), HYPERLINK(CONCATENATE("#metadata!", ADDRESS(INDEX($AH$2:$AH$1001,MATCH(ROWS($AF$2:AF616),$AF$2:$AF$1001,0),0), INDEX($AM$1004:$BM$1004,1,MATCH(COLUMNS($AM$1006:AQ1006),$AM$1006:$BM$1006,0)))),"Fix")))</f>
        <v xml:space="preserve"> </v>
      </c>
      <c r="G616" s="4" t="str">
        <f ca="1">IF(OR(INDEX($AG$2:$AG$1001,MATCH(ROWS($AF$2:AF616),$AF$2:$AF$1001,0),1)&gt;=100000,INDEX($AM$1005:$BM$1005,1,MATCH(COLUMNS($AM$1006:AR1006),$AM$1006:$BM$1006,0))&gt;=100000), " ",IF(INDEX($AM$2:$BM$1001,MATCH(ROWS($AF$2:AF616),$AF$2:$AF$1001,0),MATCH(COLUMNS($AM$1006:AR1006),$AM$1006:$BM$1006,0)), HYPERLINK("#",""), HYPERLINK(CONCATENATE("#metadata!", ADDRESS(INDEX($AH$2:$AH$1001,MATCH(ROWS($AF$2:AF616),$AF$2:$AF$1001,0),0), INDEX($AM$1004:$BM$1004,1,MATCH(COLUMNS($AM$1006:AR1006),$AM$1006:$BM$1006,0)))),"Fix")))</f>
        <v xml:space="preserve"> </v>
      </c>
      <c r="H616" s="4" t="str">
        <f ca="1">IF(OR(INDEX($AG$2:$AG$1001,MATCH(ROWS($AF$2:AF616),$AF$2:$AF$1001,0),1)&gt;=100000,INDEX($AM$1005:$BM$1005,1,MATCH(COLUMNS($AM$1006:AS1006),$AM$1006:$BM$1006,0))&gt;=100000), " ",IF(INDEX($AM$2:$BM$1001,MATCH(ROWS($AF$2:AF616),$AF$2:$AF$1001,0),MATCH(COLUMNS($AM$1006:AS1006),$AM$1006:$BM$1006,0)), HYPERLINK("#",""), HYPERLINK(CONCATENATE("#metadata!", ADDRESS(INDEX($AH$2:$AH$1001,MATCH(ROWS($AF$2:AF616),$AF$2:$AF$1001,0),0), INDEX($AM$1004:$BM$1004,1,MATCH(COLUMNS($AM$1006:AS1006),$AM$1006:$BM$1006,0)))),"Fix")))</f>
        <v xml:space="preserve"> </v>
      </c>
      <c r="I616" s="4" t="str">
        <f ca="1">IF(OR(INDEX($AG$2:$AG$1001,MATCH(ROWS($AF$2:AF616),$AF$2:$AF$1001,0),1)&gt;=100000,INDEX($AM$1005:$BM$1005,1,MATCH(COLUMNS($AM$1006:AT1006),$AM$1006:$BM$1006,0))&gt;=100000), " ",IF(INDEX($AM$2:$BM$1001,MATCH(ROWS($AF$2:AF616),$AF$2:$AF$1001,0),MATCH(COLUMNS($AM$1006:AT1006),$AM$1006:$BM$1006,0)), HYPERLINK("#",""), HYPERLINK(CONCATENATE("#metadata!", ADDRESS(INDEX($AH$2:$AH$1001,MATCH(ROWS($AF$2:AF616),$AF$2:$AF$1001,0),0), INDEX($AM$1004:$BM$1004,1,MATCH(COLUMNS($AM$1006:AT1006),$AM$1006:$BM$1006,0)))),"Fix")))</f>
        <v xml:space="preserve"> </v>
      </c>
      <c r="J616" s="4" t="str">
        <f ca="1">IF(OR(INDEX($AG$2:$AG$1001,MATCH(ROWS($AF$2:AF616),$AF$2:$AF$1001,0),1)&gt;=100000,INDEX($AM$1005:$BM$1005,1,MATCH(COLUMNS($AM$1006:AU1006),$AM$1006:$BM$1006,0))&gt;=100000), " ",IF(INDEX($AM$2:$BM$1001,MATCH(ROWS($AF$2:AF616),$AF$2:$AF$1001,0),MATCH(COLUMNS($AM$1006:AU1006),$AM$1006:$BM$1006,0)), HYPERLINK("#",""), HYPERLINK(CONCATENATE("#metadata!", ADDRESS(INDEX($AH$2:$AH$1001,MATCH(ROWS($AF$2:AF616),$AF$2:$AF$1001,0),0), INDEX($AM$1004:$BM$1004,1,MATCH(COLUMNS($AM$1006:AU1006),$AM$1006:$BM$1006,0)))),"Fix")))</f>
        <v xml:space="preserve"> </v>
      </c>
      <c r="K616" s="4" t="str">
        <f ca="1">IF(OR(INDEX($AG$2:$AG$1001,MATCH(ROWS($AF$2:AF616),$AF$2:$AF$1001,0),1)&gt;=100000,INDEX($AM$1005:$BM$1005,1,MATCH(COLUMNS($AM$1006:AV1006),$AM$1006:$BM$1006,0))&gt;=100000), " ",IF(INDEX($AM$2:$BM$1001,MATCH(ROWS($AF$2:AF616),$AF$2:$AF$1001,0),MATCH(COLUMNS($AM$1006:AV1006),$AM$1006:$BM$1006,0)), HYPERLINK("#",""), HYPERLINK(CONCATENATE("#metadata!", ADDRESS(INDEX($AH$2:$AH$1001,MATCH(ROWS($AF$2:AF616),$AF$2:$AF$1001,0),0), INDEX($AM$1004:$BM$1004,1,MATCH(COLUMNS($AM$1006:AV1006),$AM$1006:$BM$1006,0)))),"Fix")))</f>
        <v xml:space="preserve"> </v>
      </c>
      <c r="L616" s="4" t="str">
        <f ca="1">IF(OR(INDEX($AG$2:$AG$1001,MATCH(ROWS($AF$2:AF616),$AF$2:$AF$1001,0),1)&gt;=100000,INDEX($AM$1005:$BM$1005,1,MATCH(COLUMNS($AM$1006:AW1006),$AM$1006:$BM$1006,0))&gt;=100000), " ",IF(INDEX($AM$2:$BM$1001,MATCH(ROWS($AF$2:AF616),$AF$2:$AF$1001,0),MATCH(COLUMNS($AM$1006:AW1006),$AM$1006:$BM$1006,0)), HYPERLINK("#",""), HYPERLINK(CONCATENATE("#metadata!", ADDRESS(INDEX($AH$2:$AH$1001,MATCH(ROWS($AF$2:AF616),$AF$2:$AF$1001,0),0), INDEX($AM$1004:$BM$1004,1,MATCH(COLUMNS($AM$1006:AW1006),$AM$1006:$BM$1006,0)))),"Fix")))</f>
        <v xml:space="preserve"> </v>
      </c>
      <c r="M616" s="4" t="str">
        <f ca="1">IF(OR(INDEX($AG$2:$AG$1001,MATCH(ROWS($AF$2:AF616),$AF$2:$AF$1001,0),1)&gt;=100000,INDEX($AM$1005:$BM$1005,1,MATCH(COLUMNS($AM$1006:AX1006),$AM$1006:$BM$1006,0))&gt;=100000), " ",IF(INDEX($AM$2:$BM$1001,MATCH(ROWS($AF$2:AF616),$AF$2:$AF$1001,0),MATCH(COLUMNS($AM$1006:AX1006),$AM$1006:$BM$1006,0)), HYPERLINK("#",""), HYPERLINK(CONCATENATE("#metadata!", ADDRESS(INDEX($AH$2:$AH$1001,MATCH(ROWS($AF$2:AF616),$AF$2:$AF$1001,0),0), INDEX($AM$1004:$BM$1004,1,MATCH(COLUMNS($AM$1006:AX1006),$AM$1006:$BM$1006,0)))),"Fix")))</f>
        <v xml:space="preserve"> </v>
      </c>
      <c r="N616" s="4" t="str">
        <f ca="1">IF(OR(INDEX($AG$2:$AG$1001,MATCH(ROWS($AF$2:AF616),$AF$2:$AF$1001,0),1)&gt;=100000,INDEX($AM$1005:$BM$1005,1,MATCH(COLUMNS($AM$1006:AY1006),$AM$1006:$BM$1006,0))&gt;=100000), " ",IF(INDEX($AM$2:$BM$1001,MATCH(ROWS($AF$2:AF616),$AF$2:$AF$1001,0),MATCH(COLUMNS($AM$1006:AY1006),$AM$1006:$BM$1006,0)), HYPERLINK("#",""), HYPERLINK(CONCATENATE("#metadata!", ADDRESS(INDEX($AH$2:$AH$1001,MATCH(ROWS($AF$2:AF616),$AF$2:$AF$1001,0),0), INDEX($AM$1004:$BM$1004,1,MATCH(COLUMNS($AM$1006:AY1006),$AM$1006:$BM$1006,0)))),"Fix")))</f>
        <v xml:space="preserve"> </v>
      </c>
      <c r="O616" s="4" t="str">
        <f ca="1">IF(OR(INDEX($AG$2:$AG$1001,MATCH(ROWS($AF$2:AF616),$AF$2:$AF$1001,0),1)&gt;=100000,INDEX($AM$1005:$BM$1005,1,MATCH(COLUMNS($AM$1006:AZ1006),$AM$1006:$BM$1006,0))&gt;=100000), " ",IF(INDEX($AM$2:$BM$1001,MATCH(ROWS($AF$2:AF616),$AF$2:$AF$1001,0),MATCH(COLUMNS($AM$1006:AZ1006),$AM$1006:$BM$1006,0)), HYPERLINK("#",""), HYPERLINK(CONCATENATE("#metadata!", ADDRESS(INDEX($AH$2:$AH$1001,MATCH(ROWS($AF$2:AF616),$AF$2:$AF$1001,0),0), INDEX($AM$1004:$BM$1004,1,MATCH(COLUMNS($AM$1006:AZ1006),$AM$1006:$BM$1006,0)))),"Fix")))</f>
        <v xml:space="preserve"> </v>
      </c>
      <c r="P616" s="4" t="str">
        <f ca="1">IF(OR(INDEX($AG$2:$AG$1001,MATCH(ROWS($AF$2:AF616),$AF$2:$AF$1001,0),1)&gt;=100000,INDEX($AM$1005:$BM$1005,1,MATCH(COLUMNS($AM$1006:BA1006),$AM$1006:$BM$1006,0))&gt;=100000), " ",IF(INDEX($AM$2:$BM$1001,MATCH(ROWS($AF$2:AF616),$AF$2:$AF$1001,0),MATCH(COLUMNS($AM$1006:BA1006),$AM$1006:$BM$1006,0)), HYPERLINK("#",""), HYPERLINK(CONCATENATE("#metadata!", ADDRESS(INDEX($AH$2:$AH$1001,MATCH(ROWS($AF$2:AF616),$AF$2:$AF$1001,0),0), INDEX($AM$1004:$BM$1004,1,MATCH(COLUMNS($AM$1006:BA1006),$AM$1006:$BM$1006,0)))),"Fix")))</f>
        <v xml:space="preserve"> </v>
      </c>
      <c r="Q616" s="4" t="str">
        <f ca="1">IF(OR(INDEX($AG$2:$AG$1001,MATCH(ROWS($AF$2:AF616),$AF$2:$AF$1001,0),1)&gt;=100000,INDEX($AM$1005:$BM$1005,1,MATCH(COLUMNS($AM$1006:BB1006),$AM$1006:$BM$1006,0))&gt;=100000), " ",IF(INDEX($AM$2:$BM$1001,MATCH(ROWS($AF$2:AF616),$AF$2:$AF$1001,0),MATCH(COLUMNS($AM$1006:BB1006),$AM$1006:$BM$1006,0)), HYPERLINK("#",""), HYPERLINK(CONCATENATE("#metadata!", ADDRESS(INDEX($AH$2:$AH$1001,MATCH(ROWS($AF$2:AF616),$AF$2:$AF$1001,0),0), INDEX($AM$1004:$BM$1004,1,MATCH(COLUMNS($AM$1006:BB1006),$AM$1006:$BM$1006,0)))),"Fix")))</f>
        <v xml:space="preserve"> </v>
      </c>
      <c r="R616" s="4" t="str">
        <f ca="1">IF(OR(INDEX($AG$2:$AG$1001,MATCH(ROWS($AF$2:AF616),$AF$2:$AF$1001,0),1)&gt;=100000,INDEX($AM$1005:$BM$1005,1,MATCH(COLUMNS($AM$1006:BC1006),$AM$1006:$BM$1006,0))&gt;=100000), " ",IF(INDEX($AM$2:$BM$1001,MATCH(ROWS($AF$2:AF616),$AF$2:$AF$1001,0),MATCH(COLUMNS($AM$1006:BC1006),$AM$1006:$BM$1006,0)), HYPERLINK("#",""), HYPERLINK(CONCATENATE("#metadata!", ADDRESS(INDEX($AH$2:$AH$1001,MATCH(ROWS($AF$2:AF616),$AF$2:$AF$1001,0),0), INDEX($AM$1004:$BM$1004,1,MATCH(COLUMNS($AM$1006:BC1006),$AM$1006:$BM$1006,0)))),"Fix")))</f>
        <v xml:space="preserve"> </v>
      </c>
      <c r="S616" s="4" t="str">
        <f ca="1">IF(OR(INDEX($AG$2:$AG$1001,MATCH(ROWS($AF$2:AF616),$AF$2:$AF$1001,0),1)&gt;=100000,INDEX($AM$1005:$BM$1005,1,MATCH(COLUMNS($AM$1006:BD1006),$AM$1006:$BM$1006,0))&gt;=100000), " ",IF(INDEX($AM$2:$BM$1001,MATCH(ROWS($AF$2:AF616),$AF$2:$AF$1001,0),MATCH(COLUMNS($AM$1006:BD1006),$AM$1006:$BM$1006,0)), HYPERLINK("#",""), HYPERLINK(CONCATENATE("#metadata!", ADDRESS(INDEX($AH$2:$AH$1001,MATCH(ROWS($AF$2:AF616),$AF$2:$AF$1001,0),0), INDEX($AM$1004:$BM$1004,1,MATCH(COLUMNS($AM$1006:BD1006),$AM$1006:$BM$1006,0)))),"Fix")))</f>
        <v xml:space="preserve"> </v>
      </c>
      <c r="T616" s="4" t="str">
        <f ca="1">IF(OR(INDEX($AG$2:$AG$1001,MATCH(ROWS($AF$2:AF616),$AF$2:$AF$1001,0),1)&gt;=100000,INDEX($AM$1005:$BM$1005,1,MATCH(COLUMNS($AM$1006:BE1006),$AM$1006:$BM$1006,0))&gt;=100000), " ",IF(INDEX($AM$2:$BM$1001,MATCH(ROWS($AF$2:AF616),$AF$2:$AF$1001,0),MATCH(COLUMNS($AM$1006:BE1006),$AM$1006:$BM$1006,0)), HYPERLINK("#",""), HYPERLINK(CONCATENATE("#metadata!", ADDRESS(INDEX($AH$2:$AH$1001,MATCH(ROWS($AF$2:AF616),$AF$2:$AF$1001,0),0), INDEX($AM$1004:$BM$1004,1,MATCH(COLUMNS($AM$1006:BE1006),$AM$1006:$BM$1006,0)))),"Fix")))</f>
        <v xml:space="preserve"> </v>
      </c>
      <c r="U616" s="4" t="str">
        <f ca="1">IF(OR(INDEX($AG$2:$AG$1001,MATCH(ROWS($AF$2:AF616),$AF$2:$AF$1001,0),1)&gt;=100000,INDEX($AM$1005:$BM$1005,1,MATCH(COLUMNS($AM$1006:BF1006),$AM$1006:$BM$1006,0))&gt;=100000), " ",IF(INDEX($AM$2:$BM$1001,MATCH(ROWS($AF$2:AF616),$AF$2:$AF$1001,0),MATCH(COLUMNS($AM$1006:BF1006),$AM$1006:$BM$1006,0)), HYPERLINK("#",""), HYPERLINK(CONCATENATE("#metadata!", ADDRESS(INDEX($AH$2:$AH$1001,MATCH(ROWS($AF$2:AF616),$AF$2:$AF$1001,0),0), INDEX($AM$1004:$BM$1004,1,MATCH(COLUMNS($AM$1006:BF1006),$AM$1006:$BM$1006,0)))),"Fix")))</f>
        <v xml:space="preserve"> </v>
      </c>
      <c r="V616" s="4" t="str">
        <f ca="1">IF(OR(INDEX($AG$2:$AG$1001,MATCH(ROWS($AF$2:AF616),$AF$2:$AF$1001,0),1)&gt;=100000,INDEX($AM$1005:$BM$1005,1,MATCH(COLUMNS($AM$1006:BG1006),$AM$1006:$BM$1006,0))&gt;=100000), " ",IF(INDEX($AM$2:$BM$1001,MATCH(ROWS($AF$2:AF616),$AF$2:$AF$1001,0),MATCH(COLUMNS($AM$1006:BG1006),$AM$1006:$BM$1006,0)), HYPERLINK("#",""), HYPERLINK(CONCATENATE("#metadata!", ADDRESS(INDEX($AH$2:$AH$1001,MATCH(ROWS($AF$2:AF616),$AF$2:$AF$1001,0),0), INDEX($AM$1004:$BM$1004,1,MATCH(COLUMNS($AM$1006:BG1006),$AM$1006:$BM$1006,0)))),"Fix")))</f>
        <v xml:space="preserve"> </v>
      </c>
      <c r="W616" s="4" t="str">
        <f ca="1">IF(OR(INDEX($AG$2:$AG$1001,MATCH(ROWS($AF$2:AF616),$AF$2:$AF$1001,0),1)&gt;=100000,INDEX($AM$1005:$BM$1005,1,MATCH(COLUMNS($AM$1006:BH1006),$AM$1006:$BM$1006,0))&gt;=100000), " ",IF(INDEX($AM$2:$BM$1001,MATCH(ROWS($AF$2:AF616),$AF$2:$AF$1001,0),MATCH(COLUMNS($AM$1006:BH1006),$AM$1006:$BM$1006,0)), HYPERLINK("#",""), HYPERLINK(CONCATENATE("#metadata!", ADDRESS(INDEX($AH$2:$AH$1001,MATCH(ROWS($AF$2:AF616),$AF$2:$AF$1001,0),0), INDEX($AM$1004:$BM$1004,1,MATCH(COLUMNS($AM$1006:BH1006),$AM$1006:$BM$1006,0)))),"Fix")))</f>
        <v xml:space="preserve"> </v>
      </c>
      <c r="X616" s="4" t="str">
        <f ca="1">IF(OR(INDEX($AG$2:$AG$1001,MATCH(ROWS($AF$2:AF616),$AF$2:$AF$1001,0),1)&gt;=100000,INDEX($AM$1005:$BM$1005,1,MATCH(COLUMNS($AM$1006:BI1006),$AM$1006:$BM$1006,0))&gt;=100000), " ",IF(INDEX($AM$2:$BM$1001,MATCH(ROWS($AF$2:AF616),$AF$2:$AF$1001,0),MATCH(COLUMNS($AM$1006:BI1006),$AM$1006:$BM$1006,0)), HYPERLINK("#",""), HYPERLINK(CONCATENATE("#metadata!", ADDRESS(INDEX($AH$2:$AH$1001,MATCH(ROWS($AF$2:AF616),$AF$2:$AF$1001,0),0), INDEX($AM$1004:$BM$1004,1,MATCH(COLUMNS($AM$1006:BI1006),$AM$1006:$BM$1006,0)))),"Fix")))</f>
        <v xml:space="preserve"> </v>
      </c>
      <c r="Y616" s="4" t="str">
        <f ca="1">IF(OR(INDEX($AG$2:$AG$1001,MATCH(ROWS($AF$2:AF616),$AF$2:$AF$1001,0),1)&gt;=100000,INDEX($AM$1005:$BM$1005,1,MATCH(COLUMNS($AM$1006:BJ1006),$AM$1006:$BM$1006,0))&gt;=100000), " ",IF(INDEX($AM$2:$BM$1001,MATCH(ROWS($AF$2:AF616),$AF$2:$AF$1001,0),MATCH(COLUMNS($AM$1006:BJ1006),$AM$1006:$BM$1006,0)), HYPERLINK("#",""), HYPERLINK(CONCATENATE("#metadata!", ADDRESS(INDEX($AH$2:$AH$1001,MATCH(ROWS($AF$2:AF616),$AF$2:$AF$1001,0),0), INDEX($AM$1004:$BM$1004,1,MATCH(COLUMNS($AM$1006:BJ1006),$AM$1006:$BM$1006,0)))),"Fix")))</f>
        <v xml:space="preserve"> </v>
      </c>
      <c r="Z616" s="4" t="str">
        <f ca="1">IF(OR(INDEX($AG$2:$AG$1001,MATCH(ROWS($AF$2:AF616),$AF$2:$AF$1001,0),1)&gt;=100000,INDEX($AM$1005:$BM$1005,1,MATCH(COLUMNS($AM$1006:BK1006),$AM$1006:$BM$1006,0))&gt;=100000), " ",IF(INDEX($AM$2:$BM$1001,MATCH(ROWS($AF$2:AF616),$AF$2:$AF$1001,0),MATCH(COLUMNS($AM$1006:BK1006),$AM$1006:$BM$1006,0)), HYPERLINK("#",""), HYPERLINK(CONCATENATE("#metadata!", ADDRESS(INDEX($AH$2:$AH$1001,MATCH(ROWS($AF$2:AF616),$AF$2:$AF$1001,0),0), INDEX($AM$1004:$BM$1004,1,MATCH(COLUMNS($AM$1006:BK1006),$AM$1006:$BM$1006,0)))),"Fix")))</f>
        <v xml:space="preserve"> </v>
      </c>
      <c r="AA616" s="4" t="str">
        <f ca="1">IF(OR(INDEX($AG$2:$AG$1001,MATCH(ROWS($AF$2:AF616),$AF$2:$AF$1001,0),1)&gt;=100000,INDEX($AM$1005:$BM$1005,1,MATCH(COLUMNS($AM$1006:BL1006),$AM$1006:$BM$1006,0))&gt;=100000), " ",IF(INDEX($AM$2:$BM$1001,MATCH(ROWS($AF$2:AF616),$AF$2:$AF$1001,0),MATCH(COLUMNS($AM$1006:BL1006),$AM$1006:$BM$1006,0)), HYPERLINK("#",""), HYPERLINK(CONCATENATE("#metadata!", ADDRESS(INDEX($AH$2:$AH$1001,MATCH(ROWS($AF$2:AF616),$AF$2:$AF$1001,0),0), INDEX($AM$1004:$BM$1004,1,MATCH(COLUMNS($AM$1006:BL1006),$AM$1006:$BM$1006,0)))),"Fix")))</f>
        <v xml:space="preserve"> </v>
      </c>
      <c r="AB616" s="4" t="str">
        <f ca="1">IF(OR(INDEX($AG$2:$AG$1001,MATCH(ROWS($AF$2:AF616),$AF$2:$AF$1001,0),1)&gt;=100000,INDEX($AM$1005:$BM$1005,1,MATCH(COLUMNS($AM$1006:BM1006),$AM$1006:$BM$1006,0))&gt;=100000), " ",IF(INDEX($AM$2:$BM$1001,MATCH(ROWS($AF$2:AF616),$AF$2:$AF$1001,0),MATCH(COLUMNS($AM$1006:BM1006),$AM$1006:$BM$1006,0)), HYPERLINK("#",""), HYPERLINK(CONCATENATE("#metadata!", ADDRESS(INDEX($AH$2:$AH$1001,MATCH(ROWS($AF$2:AF616),$AF$2:$AF$1001,0),0), INDEX($AM$1004:$BM$1004,1,MATCH(COLUMNS($AM$1006:BM1006),$AM$1006:$BM$1006,0)))),"Fix")))</f>
        <v xml:space="preserve"> </v>
      </c>
      <c r="AF616">
        <v>615</v>
      </c>
      <c r="AG616">
        <v>100616</v>
      </c>
      <c r="AH616">
        <v>616</v>
      </c>
      <c r="AI616" t="b">
        <f t="shared" si="9"/>
        <v>1</v>
      </c>
      <c r="AJ616" t="b">
        <f>COUNTBLANK(metadata!B616:AB616)=COLUMNS(metadata!B616:AB616)</f>
        <v>1</v>
      </c>
      <c r="AK616" t="str">
        <v/>
      </c>
      <c r="AM616" t="b">
        <f ca="1">AND(IF(metadata!B616="",FALSE,TRUE),COUNTIF(metadata!B:B, metadata!B616) = 1,NOT(ISERROR(SUMPRODUCT(SEARCH(MID(metadata!B616,ROW(INDIRECT("1:"&amp;LEN(metadata!B616))), 1),"0123456789abcdefghijklmnopqrstuvwxyzABCDEFGHIJKLMNOPQRSTUVWXYZ.")))))</f>
        <v>0</v>
      </c>
      <c r="AN616" t="b">
        <f ca="1">OR(AND(IF(metadata!C616="",FALSE,TRUE),OR(EXACT(metadata!C616,"missing: not collected"),EXACT(metadata!C616,"missing: not provided"),EXACT(metadata!C616,"missing: restricted access"))),AND(IF(metadata!C616="",FALSE,TRUE),AND(AND(IFERROR(INT(LEFT(metadata!C616,4))&gt;1900,FALSE),IFERROR(INT(LEFT(metadata!C616,4))&lt;=YEAR(NOW()),FALSE)), OR(MID(metadata!C616,5,1)="", AND(AND(MID(metadata!C616,5,1)="-",IFERROR(INT(MID(metadata!C616,6,1))&gt;=0,FALSE),IFERROR(INT(MID(metadata!C616,6,1))&lt;=1,FALSE),NOT(MID(metadata!C616,7,1)=""),IFERROR(INT(MID(metadata!C616,6,2))&gt;=1,FALSE),IFERROR(INT(MID(metadata!C616,6,2))&lt;=12,FALSE)), OR(MID(metadata!C616,8,1)="", AND(AND(MID(metadata!C616,8,1)="-",IFERROR(INT(MID(metadata!C616,9,1))&gt;=0,FALSE),IFERROR(INT(MID(metadata!C616,9,1))&lt;=3,FALSE),NOT(MID(metadata!C616,10,1)=""),IFERROR(INT(MID(metadata!C616,9,2))&gt;=1,FALSE),IFERROR(INT(MID(metadata!C616,9,2))&lt;=31,FALSE)), OR(MID(metadata!C616,11,1)="", AND(AND(MID(metadata!C616,11,1)=" ",IFERROR(INT(MID(metadata!C616,12,1))&gt;=0,FALSE),IFERROR(INT(MID(metadata!C616,12,1))&lt;=2,FALSE),NOT(MID(metadata!C616,13,1)=""),IFERROR(INT(MID(metadata!C616,12,2))&gt;=0,FALSE),IFERROR(INT(MID(metadata!C616,12,2))&lt;=23,FALSE)), OR(MID(metadata!C616,14,1)="", AND(AND(MID(metadata!C616,14,1)=":",IFERROR(INT(MID(metadata!C616,15,1))&gt;=0,FALSE),IFERROR(INT(MID(metadata!C616,15,1))&lt;=5,FALSE),NOT(MID(metadata!C616,16,1)=""),IFERROR(INT(MID(metadata!C616,15,2))&gt;=0,FALSE),IFERROR(INT(MID(metadata!C616,15,2))&lt;=59,FALSE)), OR(MID(metadata!C616,17,1)="", AND(AND(MID(metadata!C616,17,1)=":",IFERROR(INT(MID(metadata!C616,18,1))&gt;=0,FALSE),IFERROR(INT(MID(metadata!C616,18,1))&lt;=5,FALSE),NOT(MID(metadata!C616,19,1)=""),IFERROR(INT(MID(metadata!C616,18,2))&gt;=0,FALSE),IFERROR(INT(MID(metadata!C616,18,2))&lt;=59,FALSE)), LEN(metadata!C616)&lt;=19)))))))))))))</f>
        <v>0</v>
      </c>
      <c r="AO616" t="b">
        <f>AND(IF(metadata!D616="",FALSE,TRUE),EXACT(metadata!D616,"Not applicable"))</f>
        <v>0</v>
      </c>
      <c r="AP616" t="b">
        <f>IF(metadata!E616="",FALSE,TRUE)</f>
        <v>0</v>
      </c>
      <c r="AQ616" t="b">
        <f>OR(AND(IF(metadata!F616="",FALSE,TRUE),OR(EXACT(metadata!F616,"missing: not collected"),EXACT(metadata!F616,"missing: not provided"))),AND(IF(metadata!F616="",FALSE,TRUE),OR(EXACT(metadata!F616,"TRUE"),EXACT(metadata!F616,"FALSE"))))</f>
        <v>0</v>
      </c>
      <c r="AR616" t="b">
        <f>OR(AND(IF(metadata!G616="",FALSE,TRUE),OR(EXACT(metadata!G616,"missing: not collected"),EXACT(metadata!G616,"missing: not provided"),EXACT(metadata!G616,"missing: restricted access"))),AND(IF(metadata!G616="",FALSE,ISNUMBER(VALUE(metadata!G616))),metadata!G616&gt;=-413))</f>
        <v>0</v>
      </c>
      <c r="AS616" t="b">
        <f>AND(IF(metadata!H616="",FALSE,TRUE),EXACT(metadata!H616,"meters"))</f>
        <v>0</v>
      </c>
      <c r="AT616" t="b">
        <f>AND(IF(metadata!I616="",FALSE,TRUE),OR(EXACT(metadata!I616,"Host-associated"),EXACT(metadata!I616,"Free-living")))</f>
        <v>0</v>
      </c>
      <c r="AU616" t="b">
        <f>AND(IF(metadata!J616="",FALSE,TRUE),OR(EXACT(metadata!J616,"Animal"),EXACT(metadata!J616,"Fungus"),EXACT(metadata!J616,"Plant"),EXACT(metadata!J616,"Saline"),EXACT(metadata!J616,"Non-saline")))</f>
        <v>0</v>
      </c>
      <c r="AV616" t="b">
        <f>AND(IF(metadata!K616="",FALSE,TRUE),OR(EXACT(metadata!K616,"Plant secretion"),EXACT(metadata!K616,"Plant rhizosphere"),EXACT(metadata!K616,"Plant surface"),EXACT(metadata!K616,"Plant corpus"),EXACT(metadata!K616,"Fungus surface"),EXACT(metadata!K616,"Fungus corpus"),EXACT(metadata!K616,"Animal surface"),EXACT(metadata!K616,"Animal proximal gut"),EXACT(metadata!K616,"Animal corpus"),EXACT(metadata!K616,"Animal distal gut"),EXACT(metadata!K616,"Animal secretion"),EXACT(metadata!K616,"Sub-surface (non-saline)"),EXACT(metadata!K616,"Surface (non-saline)"),EXACT(metadata!K616,"Water (non-saline)"),EXACT(metadata!K616,"Soil (non-saline)"),EXACT(metadata!K616,"Aerosol (non-saline)"),EXACT(metadata!K616,"Sediment (non-saline)"),EXACT(metadata!K616,"Surface (saline)"),EXACT(metadata!K616,"Water (saline)"),EXACT(metadata!K616,"Hypersaline (saline)"),EXACT(metadata!K616,"Aerosol (saline)"),EXACT(metadata!K616,"Sediment (saline)")))</f>
        <v>0</v>
      </c>
      <c r="AW616" t="b">
        <f>IF(metadata!L616="",FALSE,TRUE)</f>
        <v>0</v>
      </c>
      <c r="AX616" t="b">
        <f>IF(metadata!M616="",FALSE,TRUE)</f>
        <v>0</v>
      </c>
      <c r="AY616" t="b">
        <f>IF(metadata!N616="",FALSE,TRUE)</f>
        <v>0</v>
      </c>
      <c r="AZ616" t="b">
        <f>OR(AND(IF(metadata!O616="",FALSE,TRUE),OR(EXACT(metadata!O616,"missing: not collected"),EXACT(metadata!O616,"missing: not provided"),EXACT(metadata!O616,"missing: restricted access"))),AND(IF(metadata!O616="",FALSE,TRUE),OR(EXACT(metadata!O616,"air"),EXACT(metadata!O616,"built environment"),EXACT(metadata!O616,"host-associated"),EXACT(metadata!O616,"human-associated"),EXACT(metadata!O616,"human-skin"),EXACT(metadata!O616,"human-oral"),EXACT(metadata!O616,"human-gut"),EXACT(metadata!O616,"human-vaginal"),EXACT(metadata!O616,"microbial mat/biofilm"),EXACT(metadata!O616,"misc environment"),EXACT(metadata!O616,"plant-associated"),EXACT(metadata!O616,"sediment"),EXACT(metadata!O616,"soil"),EXACT(metadata!O616,"wastewater/sludge"),EXACT(metadata!O616,"water"))))</f>
        <v>0</v>
      </c>
      <c r="BA616" t="b">
        <f>IF(metadata!P616="",FALSE,TRUE)</f>
        <v>0</v>
      </c>
      <c r="BB616" t="b">
        <f>IF(metadata!Q616="",FALSE,TRUE)</f>
        <v>0</v>
      </c>
      <c r="BC616" t="b">
        <f>OR(AND(IF(metadata!R616="",FALSE,TRUE),OR(EXACT(metadata!R616,"missing: not collected"),EXACT(metadata!R616,"missing: not provided"),EXACT(metadata!R616,"missing: restricted access"))),AND(IF(metadata!R616="",FALSE,ISNUMBER(VALUE(metadata!R616))),metadata!R616&gt;=-90,metadata!R616&lt;=90))</f>
        <v>0</v>
      </c>
      <c r="BD616" t="b">
        <f>AND(IF(metadata!S616="",FALSE,TRUE),EXACT(metadata!S616,"Decimal degrees"))</f>
        <v>0</v>
      </c>
      <c r="BE616" t="b">
        <f>OR(AND(IF(metadata!T616="",FALSE,TRUE),OR(EXACT(metadata!T616,"missing: not collected"),EXACT(metadata!T616,"missing: not provided"),EXACT(metadata!T616,"missing: restricted access"))),AND(IF(metadata!T616="",FALSE,ISNUMBER(VALUE(metadata!T616))),metadata!T616&gt;=-180,metadata!T616&lt;=180))</f>
        <v>0</v>
      </c>
      <c r="BF616" t="b">
        <f>AND(IF(metadata!U616="",FALSE,TRUE),EXACT(metadata!U616,"Decimal degrees"))</f>
        <v>0</v>
      </c>
      <c r="BG616" t="b">
        <f>IF(metadata!V616="",FALSE,TRUE)</f>
        <v>0</v>
      </c>
      <c r="BH616" t="b">
        <f>OR(AND(IF(metadata!W616="",FALSE,TRUE),OR(EXACT(metadata!W616,"missing: not collected"),EXACT(metadata!W616,"missing: not provided"),EXACT(metadata!W616,"missing: restricted access"))),AND(IF(metadata!W616="",FALSE,TRUE),OR(EXACT(metadata!W616,"TRUE"),EXACT(metadata!W616,"FALSE"))))</f>
        <v>0</v>
      </c>
      <c r="BI616" t="b">
        <f>AND(IF(metadata!X616="",FALSE,TRUE),EXACT(metadata!X616,"other"))</f>
        <v>0</v>
      </c>
      <c r="BJ616" t="b">
        <f>IF(metadata!Y616="",FALSE,TRUE)</f>
        <v>0</v>
      </c>
      <c r="BK616" t="b">
        <f>OR(AND(IF(metadata!Z616="",FALSE,TRUE),OR(EXACT(metadata!Z616,"missing: not collected"),EXACT(metadata!Z616,"missing: not provided"))),AND(IF(metadata!Z616="",FALSE,IF(ISERROR(INT(metadata!Z616)),FALSE,INT(metadata!Z616)=metadata!Z616)),metadata!Z616&gt;0))</f>
        <v>0</v>
      </c>
      <c r="BL616" t="b">
        <f>AND(IF(metadata!AA616="",FALSE,TRUE),EXACT(metadata!AA616,"Not applicable"))</f>
        <v>0</v>
      </c>
      <c r="BM616" t="b">
        <f>IF(metadata!AB616="",FALSE,TRUE)</f>
        <v>0</v>
      </c>
    </row>
    <row r="617" spans="1:65" x14ac:dyDescent="0.2">
      <c r="A617" s="5" t="str">
        <f ca="1">IF(B617=" "," ",HYPERLINK(CONCATENATE("#metadata!",ADDRESS(INDEX($AH$2:$AH$1001,MATCH(ROWS($AF$2:AF617),$AF$2:$AF$1001,0),0),1)),INDEX($AK$2:$AK$1001,MATCH(ROWS($AF$2:AF617),$AF$2:$AF$1001,0),0)))</f>
        <v xml:space="preserve"> </v>
      </c>
      <c r="B617" s="4" t="str">
        <f ca="1">IF(OR(INDEX($AG$2:$AG$1001,MATCH(ROWS($AF$2:AF617),$AF$2:$AF$1001,0),1)&gt;=100000,INDEX($AM$1005:$BM$1005,1,MATCH(COLUMNS($AM$1006:AM1006),$AM$1006:$BM$1006,0))&gt;=100000), " ",IF(INDEX($AM$2:$BM$1001,MATCH(ROWS($AF$2:AF617),$AF$2:$AF$1001,0),MATCH(COLUMNS($AM$1006:AM1006),$AM$1006:$BM$1006,0)), HYPERLINK("#",""), HYPERLINK(CONCATENATE("#metadata!", ADDRESS(INDEX($AH$2:$AH$1001,MATCH(ROWS($AF$2:AF617),$AF$2:$AF$1001,0),0), INDEX($AM$1004:$BM$1004,1,MATCH(COLUMNS($AM$1006:AM1006),$AM$1006:$BM$1006,0)))),"Fix")))</f>
        <v xml:space="preserve"> </v>
      </c>
      <c r="C617" s="4" t="str">
        <f ca="1">IF(OR(INDEX($AG$2:$AG$1001,MATCH(ROWS($AF$2:AF617),$AF$2:$AF$1001,0),1)&gt;=100000,INDEX($AM$1005:$BM$1005,1,MATCH(COLUMNS($AM$1006:AN1006),$AM$1006:$BM$1006,0))&gt;=100000), " ",IF(INDEX($AM$2:$BM$1001,MATCH(ROWS($AF$2:AF617),$AF$2:$AF$1001,0),MATCH(COLUMNS($AM$1006:AN1006),$AM$1006:$BM$1006,0)), HYPERLINK("#",""), HYPERLINK(CONCATENATE("#metadata!", ADDRESS(INDEX($AH$2:$AH$1001,MATCH(ROWS($AF$2:AF617),$AF$2:$AF$1001,0),0), INDEX($AM$1004:$BM$1004,1,MATCH(COLUMNS($AM$1006:AN1006),$AM$1006:$BM$1006,0)))),"Fix")))</f>
        <v xml:space="preserve"> </v>
      </c>
      <c r="D617" s="4" t="str">
        <f ca="1">IF(OR(INDEX($AG$2:$AG$1001,MATCH(ROWS($AF$2:AF617),$AF$2:$AF$1001,0),1)&gt;=100000,INDEX($AM$1005:$BM$1005,1,MATCH(COLUMNS($AM$1006:AO1006),$AM$1006:$BM$1006,0))&gt;=100000), " ",IF(INDEX($AM$2:$BM$1001,MATCH(ROWS($AF$2:AF617),$AF$2:$AF$1001,0),MATCH(COLUMNS($AM$1006:AO1006),$AM$1006:$BM$1006,0)), HYPERLINK("#",""), HYPERLINK(CONCATENATE("#metadata!", ADDRESS(INDEX($AH$2:$AH$1001,MATCH(ROWS($AF$2:AF617),$AF$2:$AF$1001,0),0), INDEX($AM$1004:$BM$1004,1,MATCH(COLUMNS($AM$1006:AO1006),$AM$1006:$BM$1006,0)))),"Fix")))</f>
        <v xml:space="preserve"> </v>
      </c>
      <c r="E617" s="4" t="str">
        <f ca="1">IF(OR(INDEX($AG$2:$AG$1001,MATCH(ROWS($AF$2:AF617),$AF$2:$AF$1001,0),1)&gt;=100000,INDEX($AM$1005:$BM$1005,1,MATCH(COLUMNS($AM$1006:AP1006),$AM$1006:$BM$1006,0))&gt;=100000), " ",IF(INDEX($AM$2:$BM$1001,MATCH(ROWS($AF$2:AF617),$AF$2:$AF$1001,0),MATCH(COLUMNS($AM$1006:AP1006),$AM$1006:$BM$1006,0)), HYPERLINK("#",""), HYPERLINK(CONCATENATE("#metadata!", ADDRESS(INDEX($AH$2:$AH$1001,MATCH(ROWS($AF$2:AF617),$AF$2:$AF$1001,0),0), INDEX($AM$1004:$BM$1004,1,MATCH(COLUMNS($AM$1006:AP1006),$AM$1006:$BM$1006,0)))),"Fix")))</f>
        <v xml:space="preserve"> </v>
      </c>
      <c r="F617" s="4" t="str">
        <f ca="1">IF(OR(INDEX($AG$2:$AG$1001,MATCH(ROWS($AF$2:AF617),$AF$2:$AF$1001,0),1)&gt;=100000,INDEX($AM$1005:$BM$1005,1,MATCH(COLUMNS($AM$1006:AQ1006),$AM$1006:$BM$1006,0))&gt;=100000), " ",IF(INDEX($AM$2:$BM$1001,MATCH(ROWS($AF$2:AF617),$AF$2:$AF$1001,0),MATCH(COLUMNS($AM$1006:AQ1006),$AM$1006:$BM$1006,0)), HYPERLINK("#",""), HYPERLINK(CONCATENATE("#metadata!", ADDRESS(INDEX($AH$2:$AH$1001,MATCH(ROWS($AF$2:AF617),$AF$2:$AF$1001,0),0), INDEX($AM$1004:$BM$1004,1,MATCH(COLUMNS($AM$1006:AQ1006),$AM$1006:$BM$1006,0)))),"Fix")))</f>
        <v xml:space="preserve"> </v>
      </c>
      <c r="G617" s="4" t="str">
        <f ca="1">IF(OR(INDEX($AG$2:$AG$1001,MATCH(ROWS($AF$2:AF617),$AF$2:$AF$1001,0),1)&gt;=100000,INDEX($AM$1005:$BM$1005,1,MATCH(COLUMNS($AM$1006:AR1006),$AM$1006:$BM$1006,0))&gt;=100000), " ",IF(INDEX($AM$2:$BM$1001,MATCH(ROWS($AF$2:AF617),$AF$2:$AF$1001,0),MATCH(COLUMNS($AM$1006:AR1006),$AM$1006:$BM$1006,0)), HYPERLINK("#",""), HYPERLINK(CONCATENATE("#metadata!", ADDRESS(INDEX($AH$2:$AH$1001,MATCH(ROWS($AF$2:AF617),$AF$2:$AF$1001,0),0), INDEX($AM$1004:$BM$1004,1,MATCH(COLUMNS($AM$1006:AR1006),$AM$1006:$BM$1006,0)))),"Fix")))</f>
        <v xml:space="preserve"> </v>
      </c>
      <c r="H617" s="4" t="str">
        <f ca="1">IF(OR(INDEX($AG$2:$AG$1001,MATCH(ROWS($AF$2:AF617),$AF$2:$AF$1001,0),1)&gt;=100000,INDEX($AM$1005:$BM$1005,1,MATCH(COLUMNS($AM$1006:AS1006),$AM$1006:$BM$1006,0))&gt;=100000), " ",IF(INDEX($AM$2:$BM$1001,MATCH(ROWS($AF$2:AF617),$AF$2:$AF$1001,0),MATCH(COLUMNS($AM$1006:AS1006),$AM$1006:$BM$1006,0)), HYPERLINK("#",""), HYPERLINK(CONCATENATE("#metadata!", ADDRESS(INDEX($AH$2:$AH$1001,MATCH(ROWS($AF$2:AF617),$AF$2:$AF$1001,0),0), INDEX($AM$1004:$BM$1004,1,MATCH(COLUMNS($AM$1006:AS1006),$AM$1006:$BM$1006,0)))),"Fix")))</f>
        <v xml:space="preserve"> </v>
      </c>
      <c r="I617" s="4" t="str">
        <f ca="1">IF(OR(INDEX($AG$2:$AG$1001,MATCH(ROWS($AF$2:AF617),$AF$2:$AF$1001,0),1)&gt;=100000,INDEX($AM$1005:$BM$1005,1,MATCH(COLUMNS($AM$1006:AT1006),$AM$1006:$BM$1006,0))&gt;=100000), " ",IF(INDEX($AM$2:$BM$1001,MATCH(ROWS($AF$2:AF617),$AF$2:$AF$1001,0),MATCH(COLUMNS($AM$1006:AT1006),$AM$1006:$BM$1006,0)), HYPERLINK("#",""), HYPERLINK(CONCATENATE("#metadata!", ADDRESS(INDEX($AH$2:$AH$1001,MATCH(ROWS($AF$2:AF617),$AF$2:$AF$1001,0),0), INDEX($AM$1004:$BM$1004,1,MATCH(COLUMNS($AM$1006:AT1006),$AM$1006:$BM$1006,0)))),"Fix")))</f>
        <v xml:space="preserve"> </v>
      </c>
      <c r="J617" s="4" t="str">
        <f ca="1">IF(OR(INDEX($AG$2:$AG$1001,MATCH(ROWS($AF$2:AF617),$AF$2:$AF$1001,0),1)&gt;=100000,INDEX($AM$1005:$BM$1005,1,MATCH(COLUMNS($AM$1006:AU1006),$AM$1006:$BM$1006,0))&gt;=100000), " ",IF(INDEX($AM$2:$BM$1001,MATCH(ROWS($AF$2:AF617),$AF$2:$AF$1001,0),MATCH(COLUMNS($AM$1006:AU1006),$AM$1006:$BM$1006,0)), HYPERLINK("#",""), HYPERLINK(CONCATENATE("#metadata!", ADDRESS(INDEX($AH$2:$AH$1001,MATCH(ROWS($AF$2:AF617),$AF$2:$AF$1001,0),0), INDEX($AM$1004:$BM$1004,1,MATCH(COLUMNS($AM$1006:AU1006),$AM$1006:$BM$1006,0)))),"Fix")))</f>
        <v xml:space="preserve"> </v>
      </c>
      <c r="K617" s="4" t="str">
        <f ca="1">IF(OR(INDEX($AG$2:$AG$1001,MATCH(ROWS($AF$2:AF617),$AF$2:$AF$1001,0),1)&gt;=100000,INDEX($AM$1005:$BM$1005,1,MATCH(COLUMNS($AM$1006:AV1006),$AM$1006:$BM$1006,0))&gt;=100000), " ",IF(INDEX($AM$2:$BM$1001,MATCH(ROWS($AF$2:AF617),$AF$2:$AF$1001,0),MATCH(COLUMNS($AM$1006:AV1006),$AM$1006:$BM$1006,0)), HYPERLINK("#",""), HYPERLINK(CONCATENATE("#metadata!", ADDRESS(INDEX($AH$2:$AH$1001,MATCH(ROWS($AF$2:AF617),$AF$2:$AF$1001,0),0), INDEX($AM$1004:$BM$1004,1,MATCH(COLUMNS($AM$1006:AV1006),$AM$1006:$BM$1006,0)))),"Fix")))</f>
        <v xml:space="preserve"> </v>
      </c>
      <c r="L617" s="4" t="str">
        <f ca="1">IF(OR(INDEX($AG$2:$AG$1001,MATCH(ROWS($AF$2:AF617),$AF$2:$AF$1001,0),1)&gt;=100000,INDEX($AM$1005:$BM$1005,1,MATCH(COLUMNS($AM$1006:AW1006),$AM$1006:$BM$1006,0))&gt;=100000), " ",IF(INDEX($AM$2:$BM$1001,MATCH(ROWS($AF$2:AF617),$AF$2:$AF$1001,0),MATCH(COLUMNS($AM$1006:AW1006),$AM$1006:$BM$1006,0)), HYPERLINK("#",""), HYPERLINK(CONCATENATE("#metadata!", ADDRESS(INDEX($AH$2:$AH$1001,MATCH(ROWS($AF$2:AF617),$AF$2:$AF$1001,0),0), INDEX($AM$1004:$BM$1004,1,MATCH(COLUMNS($AM$1006:AW1006),$AM$1006:$BM$1006,0)))),"Fix")))</f>
        <v xml:space="preserve"> </v>
      </c>
      <c r="M617" s="4" t="str">
        <f ca="1">IF(OR(INDEX($AG$2:$AG$1001,MATCH(ROWS($AF$2:AF617),$AF$2:$AF$1001,0),1)&gt;=100000,INDEX($AM$1005:$BM$1005,1,MATCH(COLUMNS($AM$1006:AX1006),$AM$1006:$BM$1006,0))&gt;=100000), " ",IF(INDEX($AM$2:$BM$1001,MATCH(ROWS($AF$2:AF617),$AF$2:$AF$1001,0),MATCH(COLUMNS($AM$1006:AX1006),$AM$1006:$BM$1006,0)), HYPERLINK("#",""), HYPERLINK(CONCATENATE("#metadata!", ADDRESS(INDEX($AH$2:$AH$1001,MATCH(ROWS($AF$2:AF617),$AF$2:$AF$1001,0),0), INDEX($AM$1004:$BM$1004,1,MATCH(COLUMNS($AM$1006:AX1006),$AM$1006:$BM$1006,0)))),"Fix")))</f>
        <v xml:space="preserve"> </v>
      </c>
      <c r="N617" s="4" t="str">
        <f ca="1">IF(OR(INDEX($AG$2:$AG$1001,MATCH(ROWS($AF$2:AF617),$AF$2:$AF$1001,0),1)&gt;=100000,INDEX($AM$1005:$BM$1005,1,MATCH(COLUMNS($AM$1006:AY1006),$AM$1006:$BM$1006,0))&gt;=100000), " ",IF(INDEX($AM$2:$BM$1001,MATCH(ROWS($AF$2:AF617),$AF$2:$AF$1001,0),MATCH(COLUMNS($AM$1006:AY1006),$AM$1006:$BM$1006,0)), HYPERLINK("#",""), HYPERLINK(CONCATENATE("#metadata!", ADDRESS(INDEX($AH$2:$AH$1001,MATCH(ROWS($AF$2:AF617),$AF$2:$AF$1001,0),0), INDEX($AM$1004:$BM$1004,1,MATCH(COLUMNS($AM$1006:AY1006),$AM$1006:$BM$1006,0)))),"Fix")))</f>
        <v xml:space="preserve"> </v>
      </c>
      <c r="O617" s="4" t="str">
        <f ca="1">IF(OR(INDEX($AG$2:$AG$1001,MATCH(ROWS($AF$2:AF617),$AF$2:$AF$1001,0),1)&gt;=100000,INDEX($AM$1005:$BM$1005,1,MATCH(COLUMNS($AM$1006:AZ1006),$AM$1006:$BM$1006,0))&gt;=100000), " ",IF(INDEX($AM$2:$BM$1001,MATCH(ROWS($AF$2:AF617),$AF$2:$AF$1001,0),MATCH(COLUMNS($AM$1006:AZ1006),$AM$1006:$BM$1006,0)), HYPERLINK("#",""), HYPERLINK(CONCATENATE("#metadata!", ADDRESS(INDEX($AH$2:$AH$1001,MATCH(ROWS($AF$2:AF617),$AF$2:$AF$1001,0),0), INDEX($AM$1004:$BM$1004,1,MATCH(COLUMNS($AM$1006:AZ1006),$AM$1006:$BM$1006,0)))),"Fix")))</f>
        <v xml:space="preserve"> </v>
      </c>
      <c r="P617" s="4" t="str">
        <f ca="1">IF(OR(INDEX($AG$2:$AG$1001,MATCH(ROWS($AF$2:AF617),$AF$2:$AF$1001,0),1)&gt;=100000,INDEX($AM$1005:$BM$1005,1,MATCH(COLUMNS($AM$1006:BA1006),$AM$1006:$BM$1006,0))&gt;=100000), " ",IF(INDEX($AM$2:$BM$1001,MATCH(ROWS($AF$2:AF617),$AF$2:$AF$1001,0),MATCH(COLUMNS($AM$1006:BA1006),$AM$1006:$BM$1006,0)), HYPERLINK("#",""), HYPERLINK(CONCATENATE("#metadata!", ADDRESS(INDEX($AH$2:$AH$1001,MATCH(ROWS($AF$2:AF617),$AF$2:$AF$1001,0),0), INDEX($AM$1004:$BM$1004,1,MATCH(COLUMNS($AM$1006:BA1006),$AM$1006:$BM$1006,0)))),"Fix")))</f>
        <v xml:space="preserve"> </v>
      </c>
      <c r="Q617" s="4" t="str">
        <f ca="1">IF(OR(INDEX($AG$2:$AG$1001,MATCH(ROWS($AF$2:AF617),$AF$2:$AF$1001,0),1)&gt;=100000,INDEX($AM$1005:$BM$1005,1,MATCH(COLUMNS($AM$1006:BB1006),$AM$1006:$BM$1006,0))&gt;=100000), " ",IF(INDEX($AM$2:$BM$1001,MATCH(ROWS($AF$2:AF617),$AF$2:$AF$1001,0),MATCH(COLUMNS($AM$1006:BB1006),$AM$1006:$BM$1006,0)), HYPERLINK("#",""), HYPERLINK(CONCATENATE("#metadata!", ADDRESS(INDEX($AH$2:$AH$1001,MATCH(ROWS($AF$2:AF617),$AF$2:$AF$1001,0),0), INDEX($AM$1004:$BM$1004,1,MATCH(COLUMNS($AM$1006:BB1006),$AM$1006:$BM$1006,0)))),"Fix")))</f>
        <v xml:space="preserve"> </v>
      </c>
      <c r="R617" s="4" t="str">
        <f ca="1">IF(OR(INDEX($AG$2:$AG$1001,MATCH(ROWS($AF$2:AF617),$AF$2:$AF$1001,0),1)&gt;=100000,INDEX($AM$1005:$BM$1005,1,MATCH(COLUMNS($AM$1006:BC1006),$AM$1006:$BM$1006,0))&gt;=100000), " ",IF(INDEX($AM$2:$BM$1001,MATCH(ROWS($AF$2:AF617),$AF$2:$AF$1001,0),MATCH(COLUMNS($AM$1006:BC1006),$AM$1006:$BM$1006,0)), HYPERLINK("#",""), HYPERLINK(CONCATENATE("#metadata!", ADDRESS(INDEX($AH$2:$AH$1001,MATCH(ROWS($AF$2:AF617),$AF$2:$AF$1001,0),0), INDEX($AM$1004:$BM$1004,1,MATCH(COLUMNS($AM$1006:BC1006),$AM$1006:$BM$1006,0)))),"Fix")))</f>
        <v xml:space="preserve"> </v>
      </c>
      <c r="S617" s="4" t="str">
        <f ca="1">IF(OR(INDEX($AG$2:$AG$1001,MATCH(ROWS($AF$2:AF617),$AF$2:$AF$1001,0),1)&gt;=100000,INDEX($AM$1005:$BM$1005,1,MATCH(COLUMNS($AM$1006:BD1006),$AM$1006:$BM$1006,0))&gt;=100000), " ",IF(INDEX($AM$2:$BM$1001,MATCH(ROWS($AF$2:AF617),$AF$2:$AF$1001,0),MATCH(COLUMNS($AM$1006:BD1006),$AM$1006:$BM$1006,0)), HYPERLINK("#",""), HYPERLINK(CONCATENATE("#metadata!", ADDRESS(INDEX($AH$2:$AH$1001,MATCH(ROWS($AF$2:AF617),$AF$2:$AF$1001,0),0), INDEX($AM$1004:$BM$1004,1,MATCH(COLUMNS($AM$1006:BD1006),$AM$1006:$BM$1006,0)))),"Fix")))</f>
        <v xml:space="preserve"> </v>
      </c>
      <c r="T617" s="4" t="str">
        <f ca="1">IF(OR(INDEX($AG$2:$AG$1001,MATCH(ROWS($AF$2:AF617),$AF$2:$AF$1001,0),1)&gt;=100000,INDEX($AM$1005:$BM$1005,1,MATCH(COLUMNS($AM$1006:BE1006),$AM$1006:$BM$1006,0))&gt;=100000), " ",IF(INDEX($AM$2:$BM$1001,MATCH(ROWS($AF$2:AF617),$AF$2:$AF$1001,0),MATCH(COLUMNS($AM$1006:BE1006),$AM$1006:$BM$1006,0)), HYPERLINK("#",""), HYPERLINK(CONCATENATE("#metadata!", ADDRESS(INDEX($AH$2:$AH$1001,MATCH(ROWS($AF$2:AF617),$AF$2:$AF$1001,0),0), INDEX($AM$1004:$BM$1004,1,MATCH(COLUMNS($AM$1006:BE1006),$AM$1006:$BM$1006,0)))),"Fix")))</f>
        <v xml:space="preserve"> </v>
      </c>
      <c r="U617" s="4" t="str">
        <f ca="1">IF(OR(INDEX($AG$2:$AG$1001,MATCH(ROWS($AF$2:AF617),$AF$2:$AF$1001,0),1)&gt;=100000,INDEX($AM$1005:$BM$1005,1,MATCH(COLUMNS($AM$1006:BF1006),$AM$1006:$BM$1006,0))&gt;=100000), " ",IF(INDEX($AM$2:$BM$1001,MATCH(ROWS($AF$2:AF617),$AF$2:$AF$1001,0),MATCH(COLUMNS($AM$1006:BF1006),$AM$1006:$BM$1006,0)), HYPERLINK("#",""), HYPERLINK(CONCATENATE("#metadata!", ADDRESS(INDEX($AH$2:$AH$1001,MATCH(ROWS($AF$2:AF617),$AF$2:$AF$1001,0),0), INDEX($AM$1004:$BM$1004,1,MATCH(COLUMNS($AM$1006:BF1006),$AM$1006:$BM$1006,0)))),"Fix")))</f>
        <v xml:space="preserve"> </v>
      </c>
      <c r="V617" s="4" t="str">
        <f ca="1">IF(OR(INDEX($AG$2:$AG$1001,MATCH(ROWS($AF$2:AF617),$AF$2:$AF$1001,0),1)&gt;=100000,INDEX($AM$1005:$BM$1005,1,MATCH(COLUMNS($AM$1006:BG1006),$AM$1006:$BM$1006,0))&gt;=100000), " ",IF(INDEX($AM$2:$BM$1001,MATCH(ROWS($AF$2:AF617),$AF$2:$AF$1001,0),MATCH(COLUMNS($AM$1006:BG1006),$AM$1006:$BM$1006,0)), HYPERLINK("#",""), HYPERLINK(CONCATENATE("#metadata!", ADDRESS(INDEX($AH$2:$AH$1001,MATCH(ROWS($AF$2:AF617),$AF$2:$AF$1001,0),0), INDEX($AM$1004:$BM$1004,1,MATCH(COLUMNS($AM$1006:BG1006),$AM$1006:$BM$1006,0)))),"Fix")))</f>
        <v xml:space="preserve"> </v>
      </c>
      <c r="W617" s="4" t="str">
        <f ca="1">IF(OR(INDEX($AG$2:$AG$1001,MATCH(ROWS($AF$2:AF617),$AF$2:$AF$1001,0),1)&gt;=100000,INDEX($AM$1005:$BM$1005,1,MATCH(COLUMNS($AM$1006:BH1006),$AM$1006:$BM$1006,0))&gt;=100000), " ",IF(INDEX($AM$2:$BM$1001,MATCH(ROWS($AF$2:AF617),$AF$2:$AF$1001,0),MATCH(COLUMNS($AM$1006:BH1006),$AM$1006:$BM$1006,0)), HYPERLINK("#",""), HYPERLINK(CONCATENATE("#metadata!", ADDRESS(INDEX($AH$2:$AH$1001,MATCH(ROWS($AF$2:AF617),$AF$2:$AF$1001,0),0), INDEX($AM$1004:$BM$1004,1,MATCH(COLUMNS($AM$1006:BH1006),$AM$1006:$BM$1006,0)))),"Fix")))</f>
        <v xml:space="preserve"> </v>
      </c>
      <c r="X617" s="4" t="str">
        <f ca="1">IF(OR(INDEX($AG$2:$AG$1001,MATCH(ROWS($AF$2:AF617),$AF$2:$AF$1001,0),1)&gt;=100000,INDEX($AM$1005:$BM$1005,1,MATCH(COLUMNS($AM$1006:BI1006),$AM$1006:$BM$1006,0))&gt;=100000), " ",IF(INDEX($AM$2:$BM$1001,MATCH(ROWS($AF$2:AF617),$AF$2:$AF$1001,0),MATCH(COLUMNS($AM$1006:BI1006),$AM$1006:$BM$1006,0)), HYPERLINK("#",""), HYPERLINK(CONCATENATE("#metadata!", ADDRESS(INDEX($AH$2:$AH$1001,MATCH(ROWS($AF$2:AF617),$AF$2:$AF$1001,0),0), INDEX($AM$1004:$BM$1004,1,MATCH(COLUMNS($AM$1006:BI1006),$AM$1006:$BM$1006,0)))),"Fix")))</f>
        <v xml:space="preserve"> </v>
      </c>
      <c r="Y617" s="4" t="str">
        <f ca="1">IF(OR(INDEX($AG$2:$AG$1001,MATCH(ROWS($AF$2:AF617),$AF$2:$AF$1001,0),1)&gt;=100000,INDEX($AM$1005:$BM$1005,1,MATCH(COLUMNS($AM$1006:BJ1006),$AM$1006:$BM$1006,0))&gt;=100000), " ",IF(INDEX($AM$2:$BM$1001,MATCH(ROWS($AF$2:AF617),$AF$2:$AF$1001,0),MATCH(COLUMNS($AM$1006:BJ1006),$AM$1006:$BM$1006,0)), HYPERLINK("#",""), HYPERLINK(CONCATENATE("#metadata!", ADDRESS(INDEX($AH$2:$AH$1001,MATCH(ROWS($AF$2:AF617),$AF$2:$AF$1001,0),0), INDEX($AM$1004:$BM$1004,1,MATCH(COLUMNS($AM$1006:BJ1006),$AM$1006:$BM$1006,0)))),"Fix")))</f>
        <v xml:space="preserve"> </v>
      </c>
      <c r="Z617" s="4" t="str">
        <f ca="1">IF(OR(INDEX($AG$2:$AG$1001,MATCH(ROWS($AF$2:AF617),$AF$2:$AF$1001,0),1)&gt;=100000,INDEX($AM$1005:$BM$1005,1,MATCH(COLUMNS($AM$1006:BK1006),$AM$1006:$BM$1006,0))&gt;=100000), " ",IF(INDEX($AM$2:$BM$1001,MATCH(ROWS($AF$2:AF617),$AF$2:$AF$1001,0),MATCH(COLUMNS($AM$1006:BK1006),$AM$1006:$BM$1006,0)), HYPERLINK("#",""), HYPERLINK(CONCATENATE("#metadata!", ADDRESS(INDEX($AH$2:$AH$1001,MATCH(ROWS($AF$2:AF617),$AF$2:$AF$1001,0),0), INDEX($AM$1004:$BM$1004,1,MATCH(COLUMNS($AM$1006:BK1006),$AM$1006:$BM$1006,0)))),"Fix")))</f>
        <v xml:space="preserve"> </v>
      </c>
      <c r="AA617" s="4" t="str">
        <f ca="1">IF(OR(INDEX($AG$2:$AG$1001,MATCH(ROWS($AF$2:AF617),$AF$2:$AF$1001,0),1)&gt;=100000,INDEX($AM$1005:$BM$1005,1,MATCH(COLUMNS($AM$1006:BL1006),$AM$1006:$BM$1006,0))&gt;=100000), " ",IF(INDEX($AM$2:$BM$1001,MATCH(ROWS($AF$2:AF617),$AF$2:$AF$1001,0),MATCH(COLUMNS($AM$1006:BL1006),$AM$1006:$BM$1006,0)), HYPERLINK("#",""), HYPERLINK(CONCATENATE("#metadata!", ADDRESS(INDEX($AH$2:$AH$1001,MATCH(ROWS($AF$2:AF617),$AF$2:$AF$1001,0),0), INDEX($AM$1004:$BM$1004,1,MATCH(COLUMNS($AM$1006:BL1006),$AM$1006:$BM$1006,0)))),"Fix")))</f>
        <v xml:space="preserve"> </v>
      </c>
      <c r="AB617" s="4" t="str">
        <f ca="1">IF(OR(INDEX($AG$2:$AG$1001,MATCH(ROWS($AF$2:AF617),$AF$2:$AF$1001,0),1)&gt;=100000,INDEX($AM$1005:$BM$1005,1,MATCH(COLUMNS($AM$1006:BM1006),$AM$1006:$BM$1006,0))&gt;=100000), " ",IF(INDEX($AM$2:$BM$1001,MATCH(ROWS($AF$2:AF617),$AF$2:$AF$1001,0),MATCH(COLUMNS($AM$1006:BM1006),$AM$1006:$BM$1006,0)), HYPERLINK("#",""), HYPERLINK(CONCATENATE("#metadata!", ADDRESS(INDEX($AH$2:$AH$1001,MATCH(ROWS($AF$2:AF617),$AF$2:$AF$1001,0),0), INDEX($AM$1004:$BM$1004,1,MATCH(COLUMNS($AM$1006:BM1006),$AM$1006:$BM$1006,0)))),"Fix")))</f>
        <v xml:space="preserve"> </v>
      </c>
      <c r="AF617">
        <v>616</v>
      </c>
      <c r="AG617">
        <v>100617</v>
      </c>
      <c r="AH617">
        <v>617</v>
      </c>
      <c r="AI617" t="b">
        <f t="shared" si="9"/>
        <v>1</v>
      </c>
      <c r="AJ617" t="b">
        <f>COUNTBLANK(metadata!B617:AB617)=COLUMNS(metadata!B617:AB617)</f>
        <v>1</v>
      </c>
      <c r="AK617" t="str">
        <v/>
      </c>
      <c r="AM617" t="b">
        <f ca="1">AND(IF(metadata!B617="",FALSE,TRUE),COUNTIF(metadata!B:B, metadata!B617) = 1,NOT(ISERROR(SUMPRODUCT(SEARCH(MID(metadata!B617,ROW(INDIRECT("1:"&amp;LEN(metadata!B617))), 1),"0123456789abcdefghijklmnopqrstuvwxyzABCDEFGHIJKLMNOPQRSTUVWXYZ.")))))</f>
        <v>0</v>
      </c>
      <c r="AN617" t="b">
        <f ca="1">OR(AND(IF(metadata!C617="",FALSE,TRUE),OR(EXACT(metadata!C617,"missing: not collected"),EXACT(metadata!C617,"missing: not provided"),EXACT(metadata!C617,"missing: restricted access"))),AND(IF(metadata!C617="",FALSE,TRUE),AND(AND(IFERROR(INT(LEFT(metadata!C617,4))&gt;1900,FALSE),IFERROR(INT(LEFT(metadata!C617,4))&lt;=YEAR(NOW()),FALSE)), OR(MID(metadata!C617,5,1)="", AND(AND(MID(metadata!C617,5,1)="-",IFERROR(INT(MID(metadata!C617,6,1))&gt;=0,FALSE),IFERROR(INT(MID(metadata!C617,6,1))&lt;=1,FALSE),NOT(MID(metadata!C617,7,1)=""),IFERROR(INT(MID(metadata!C617,6,2))&gt;=1,FALSE),IFERROR(INT(MID(metadata!C617,6,2))&lt;=12,FALSE)), OR(MID(metadata!C617,8,1)="", AND(AND(MID(metadata!C617,8,1)="-",IFERROR(INT(MID(metadata!C617,9,1))&gt;=0,FALSE),IFERROR(INT(MID(metadata!C617,9,1))&lt;=3,FALSE),NOT(MID(metadata!C617,10,1)=""),IFERROR(INT(MID(metadata!C617,9,2))&gt;=1,FALSE),IFERROR(INT(MID(metadata!C617,9,2))&lt;=31,FALSE)), OR(MID(metadata!C617,11,1)="", AND(AND(MID(metadata!C617,11,1)=" ",IFERROR(INT(MID(metadata!C617,12,1))&gt;=0,FALSE),IFERROR(INT(MID(metadata!C617,12,1))&lt;=2,FALSE),NOT(MID(metadata!C617,13,1)=""),IFERROR(INT(MID(metadata!C617,12,2))&gt;=0,FALSE),IFERROR(INT(MID(metadata!C617,12,2))&lt;=23,FALSE)), OR(MID(metadata!C617,14,1)="", AND(AND(MID(metadata!C617,14,1)=":",IFERROR(INT(MID(metadata!C617,15,1))&gt;=0,FALSE),IFERROR(INT(MID(metadata!C617,15,1))&lt;=5,FALSE),NOT(MID(metadata!C617,16,1)=""),IFERROR(INT(MID(metadata!C617,15,2))&gt;=0,FALSE),IFERROR(INT(MID(metadata!C617,15,2))&lt;=59,FALSE)), OR(MID(metadata!C617,17,1)="", AND(AND(MID(metadata!C617,17,1)=":",IFERROR(INT(MID(metadata!C617,18,1))&gt;=0,FALSE),IFERROR(INT(MID(metadata!C617,18,1))&lt;=5,FALSE),NOT(MID(metadata!C617,19,1)=""),IFERROR(INT(MID(metadata!C617,18,2))&gt;=0,FALSE),IFERROR(INT(MID(metadata!C617,18,2))&lt;=59,FALSE)), LEN(metadata!C617)&lt;=19)))))))))))))</f>
        <v>0</v>
      </c>
      <c r="AO617" t="b">
        <f>AND(IF(metadata!D617="",FALSE,TRUE),EXACT(metadata!D617,"Not applicable"))</f>
        <v>0</v>
      </c>
      <c r="AP617" t="b">
        <f>IF(metadata!E617="",FALSE,TRUE)</f>
        <v>0</v>
      </c>
      <c r="AQ617" t="b">
        <f>OR(AND(IF(metadata!F617="",FALSE,TRUE),OR(EXACT(metadata!F617,"missing: not collected"),EXACT(metadata!F617,"missing: not provided"))),AND(IF(metadata!F617="",FALSE,TRUE),OR(EXACT(metadata!F617,"TRUE"),EXACT(metadata!F617,"FALSE"))))</f>
        <v>0</v>
      </c>
      <c r="AR617" t="b">
        <f>OR(AND(IF(metadata!G617="",FALSE,TRUE),OR(EXACT(metadata!G617,"missing: not collected"),EXACT(metadata!G617,"missing: not provided"),EXACT(metadata!G617,"missing: restricted access"))),AND(IF(metadata!G617="",FALSE,ISNUMBER(VALUE(metadata!G617))),metadata!G617&gt;=-413))</f>
        <v>0</v>
      </c>
      <c r="AS617" t="b">
        <f>AND(IF(metadata!H617="",FALSE,TRUE),EXACT(metadata!H617,"meters"))</f>
        <v>0</v>
      </c>
      <c r="AT617" t="b">
        <f>AND(IF(metadata!I617="",FALSE,TRUE),OR(EXACT(metadata!I617,"Host-associated"),EXACT(metadata!I617,"Free-living")))</f>
        <v>0</v>
      </c>
      <c r="AU617" t="b">
        <f>AND(IF(metadata!J617="",FALSE,TRUE),OR(EXACT(metadata!J617,"Animal"),EXACT(metadata!J617,"Fungus"),EXACT(metadata!J617,"Plant"),EXACT(metadata!J617,"Saline"),EXACT(metadata!J617,"Non-saline")))</f>
        <v>0</v>
      </c>
      <c r="AV617" t="b">
        <f>AND(IF(metadata!K617="",FALSE,TRUE),OR(EXACT(metadata!K617,"Plant secretion"),EXACT(metadata!K617,"Plant rhizosphere"),EXACT(metadata!K617,"Plant surface"),EXACT(metadata!K617,"Plant corpus"),EXACT(metadata!K617,"Fungus surface"),EXACT(metadata!K617,"Fungus corpus"),EXACT(metadata!K617,"Animal surface"),EXACT(metadata!K617,"Animal proximal gut"),EXACT(metadata!K617,"Animal corpus"),EXACT(metadata!K617,"Animal distal gut"),EXACT(metadata!K617,"Animal secretion"),EXACT(metadata!K617,"Sub-surface (non-saline)"),EXACT(metadata!K617,"Surface (non-saline)"),EXACT(metadata!K617,"Water (non-saline)"),EXACT(metadata!K617,"Soil (non-saline)"),EXACT(metadata!K617,"Aerosol (non-saline)"),EXACT(metadata!K617,"Sediment (non-saline)"),EXACT(metadata!K617,"Surface (saline)"),EXACT(metadata!K617,"Water (saline)"),EXACT(metadata!K617,"Hypersaline (saline)"),EXACT(metadata!K617,"Aerosol (saline)"),EXACT(metadata!K617,"Sediment (saline)")))</f>
        <v>0</v>
      </c>
      <c r="AW617" t="b">
        <f>IF(metadata!L617="",FALSE,TRUE)</f>
        <v>0</v>
      </c>
      <c r="AX617" t="b">
        <f>IF(metadata!M617="",FALSE,TRUE)</f>
        <v>0</v>
      </c>
      <c r="AY617" t="b">
        <f>IF(metadata!N617="",FALSE,TRUE)</f>
        <v>0</v>
      </c>
      <c r="AZ617" t="b">
        <f>OR(AND(IF(metadata!O617="",FALSE,TRUE),OR(EXACT(metadata!O617,"missing: not collected"),EXACT(metadata!O617,"missing: not provided"),EXACT(metadata!O617,"missing: restricted access"))),AND(IF(metadata!O617="",FALSE,TRUE),OR(EXACT(metadata!O617,"air"),EXACT(metadata!O617,"built environment"),EXACT(metadata!O617,"host-associated"),EXACT(metadata!O617,"human-associated"),EXACT(metadata!O617,"human-skin"),EXACT(metadata!O617,"human-oral"),EXACT(metadata!O617,"human-gut"),EXACT(metadata!O617,"human-vaginal"),EXACT(metadata!O617,"microbial mat/biofilm"),EXACT(metadata!O617,"misc environment"),EXACT(metadata!O617,"plant-associated"),EXACT(metadata!O617,"sediment"),EXACT(metadata!O617,"soil"),EXACT(metadata!O617,"wastewater/sludge"),EXACT(metadata!O617,"water"))))</f>
        <v>0</v>
      </c>
      <c r="BA617" t="b">
        <f>IF(metadata!P617="",FALSE,TRUE)</f>
        <v>0</v>
      </c>
      <c r="BB617" t="b">
        <f>IF(metadata!Q617="",FALSE,TRUE)</f>
        <v>0</v>
      </c>
      <c r="BC617" t="b">
        <f>OR(AND(IF(metadata!R617="",FALSE,TRUE),OR(EXACT(metadata!R617,"missing: not collected"),EXACT(metadata!R617,"missing: not provided"),EXACT(metadata!R617,"missing: restricted access"))),AND(IF(metadata!R617="",FALSE,ISNUMBER(VALUE(metadata!R617))),metadata!R617&gt;=-90,metadata!R617&lt;=90))</f>
        <v>0</v>
      </c>
      <c r="BD617" t="b">
        <f>AND(IF(metadata!S617="",FALSE,TRUE),EXACT(metadata!S617,"Decimal degrees"))</f>
        <v>0</v>
      </c>
      <c r="BE617" t="b">
        <f>OR(AND(IF(metadata!T617="",FALSE,TRUE),OR(EXACT(metadata!T617,"missing: not collected"),EXACT(metadata!T617,"missing: not provided"),EXACT(metadata!T617,"missing: restricted access"))),AND(IF(metadata!T617="",FALSE,ISNUMBER(VALUE(metadata!T617))),metadata!T617&gt;=-180,metadata!T617&lt;=180))</f>
        <v>0</v>
      </c>
      <c r="BF617" t="b">
        <f>AND(IF(metadata!U617="",FALSE,TRUE),EXACT(metadata!U617,"Decimal degrees"))</f>
        <v>0</v>
      </c>
      <c r="BG617" t="b">
        <f>IF(metadata!V617="",FALSE,TRUE)</f>
        <v>0</v>
      </c>
      <c r="BH617" t="b">
        <f>OR(AND(IF(metadata!W617="",FALSE,TRUE),OR(EXACT(metadata!W617,"missing: not collected"),EXACT(metadata!W617,"missing: not provided"),EXACT(metadata!W617,"missing: restricted access"))),AND(IF(metadata!W617="",FALSE,TRUE),OR(EXACT(metadata!W617,"TRUE"),EXACT(metadata!W617,"FALSE"))))</f>
        <v>0</v>
      </c>
      <c r="BI617" t="b">
        <f>AND(IF(metadata!X617="",FALSE,TRUE),EXACT(metadata!X617,"other"))</f>
        <v>0</v>
      </c>
      <c r="BJ617" t="b">
        <f>IF(metadata!Y617="",FALSE,TRUE)</f>
        <v>0</v>
      </c>
      <c r="BK617" t="b">
        <f>OR(AND(IF(metadata!Z617="",FALSE,TRUE),OR(EXACT(metadata!Z617,"missing: not collected"),EXACT(metadata!Z617,"missing: not provided"))),AND(IF(metadata!Z617="",FALSE,IF(ISERROR(INT(metadata!Z617)),FALSE,INT(metadata!Z617)=metadata!Z617)),metadata!Z617&gt;0))</f>
        <v>0</v>
      </c>
      <c r="BL617" t="b">
        <f>AND(IF(metadata!AA617="",FALSE,TRUE),EXACT(metadata!AA617,"Not applicable"))</f>
        <v>0</v>
      </c>
      <c r="BM617" t="b">
        <f>IF(metadata!AB617="",FALSE,TRUE)</f>
        <v>0</v>
      </c>
    </row>
    <row r="618" spans="1:65" x14ac:dyDescent="0.2">
      <c r="A618" s="5" t="str">
        <f ca="1">IF(B618=" "," ",HYPERLINK(CONCATENATE("#metadata!",ADDRESS(INDEX($AH$2:$AH$1001,MATCH(ROWS($AF$2:AF618),$AF$2:$AF$1001,0),0),1)),INDEX($AK$2:$AK$1001,MATCH(ROWS($AF$2:AF618),$AF$2:$AF$1001,0),0)))</f>
        <v xml:space="preserve"> </v>
      </c>
      <c r="B618" s="4" t="str">
        <f ca="1">IF(OR(INDEX($AG$2:$AG$1001,MATCH(ROWS($AF$2:AF618),$AF$2:$AF$1001,0),1)&gt;=100000,INDEX($AM$1005:$BM$1005,1,MATCH(COLUMNS($AM$1006:AM1006),$AM$1006:$BM$1006,0))&gt;=100000), " ",IF(INDEX($AM$2:$BM$1001,MATCH(ROWS($AF$2:AF618),$AF$2:$AF$1001,0),MATCH(COLUMNS($AM$1006:AM1006),$AM$1006:$BM$1006,0)), HYPERLINK("#",""), HYPERLINK(CONCATENATE("#metadata!", ADDRESS(INDEX($AH$2:$AH$1001,MATCH(ROWS($AF$2:AF618),$AF$2:$AF$1001,0),0), INDEX($AM$1004:$BM$1004,1,MATCH(COLUMNS($AM$1006:AM1006),$AM$1006:$BM$1006,0)))),"Fix")))</f>
        <v xml:space="preserve"> </v>
      </c>
      <c r="C618" s="4" t="str">
        <f ca="1">IF(OR(INDEX($AG$2:$AG$1001,MATCH(ROWS($AF$2:AF618),$AF$2:$AF$1001,0),1)&gt;=100000,INDEX($AM$1005:$BM$1005,1,MATCH(COLUMNS($AM$1006:AN1006),$AM$1006:$BM$1006,0))&gt;=100000), " ",IF(INDEX($AM$2:$BM$1001,MATCH(ROWS($AF$2:AF618),$AF$2:$AF$1001,0),MATCH(COLUMNS($AM$1006:AN1006),$AM$1006:$BM$1006,0)), HYPERLINK("#",""), HYPERLINK(CONCATENATE("#metadata!", ADDRESS(INDEX($AH$2:$AH$1001,MATCH(ROWS($AF$2:AF618),$AF$2:$AF$1001,0),0), INDEX($AM$1004:$BM$1004,1,MATCH(COLUMNS($AM$1006:AN1006),$AM$1006:$BM$1006,0)))),"Fix")))</f>
        <v xml:space="preserve"> </v>
      </c>
      <c r="D618" s="4" t="str">
        <f ca="1">IF(OR(INDEX($AG$2:$AG$1001,MATCH(ROWS($AF$2:AF618),$AF$2:$AF$1001,0),1)&gt;=100000,INDEX($AM$1005:$BM$1005,1,MATCH(COLUMNS($AM$1006:AO1006),$AM$1006:$BM$1006,0))&gt;=100000), " ",IF(INDEX($AM$2:$BM$1001,MATCH(ROWS($AF$2:AF618),$AF$2:$AF$1001,0),MATCH(COLUMNS($AM$1006:AO1006),$AM$1006:$BM$1006,0)), HYPERLINK("#",""), HYPERLINK(CONCATENATE("#metadata!", ADDRESS(INDEX($AH$2:$AH$1001,MATCH(ROWS($AF$2:AF618),$AF$2:$AF$1001,0),0), INDEX($AM$1004:$BM$1004,1,MATCH(COLUMNS($AM$1006:AO1006),$AM$1006:$BM$1006,0)))),"Fix")))</f>
        <v xml:space="preserve"> </v>
      </c>
      <c r="E618" s="4" t="str">
        <f ca="1">IF(OR(INDEX($AG$2:$AG$1001,MATCH(ROWS($AF$2:AF618),$AF$2:$AF$1001,0),1)&gt;=100000,INDEX($AM$1005:$BM$1005,1,MATCH(COLUMNS($AM$1006:AP1006),$AM$1006:$BM$1006,0))&gt;=100000), " ",IF(INDEX($AM$2:$BM$1001,MATCH(ROWS($AF$2:AF618),$AF$2:$AF$1001,0),MATCH(COLUMNS($AM$1006:AP1006),$AM$1006:$BM$1006,0)), HYPERLINK("#",""), HYPERLINK(CONCATENATE("#metadata!", ADDRESS(INDEX($AH$2:$AH$1001,MATCH(ROWS($AF$2:AF618),$AF$2:$AF$1001,0),0), INDEX($AM$1004:$BM$1004,1,MATCH(COLUMNS($AM$1006:AP1006),$AM$1006:$BM$1006,0)))),"Fix")))</f>
        <v xml:space="preserve"> </v>
      </c>
      <c r="F618" s="4" t="str">
        <f ca="1">IF(OR(INDEX($AG$2:$AG$1001,MATCH(ROWS($AF$2:AF618),$AF$2:$AF$1001,0),1)&gt;=100000,INDEX($AM$1005:$BM$1005,1,MATCH(COLUMNS($AM$1006:AQ1006),$AM$1006:$BM$1006,0))&gt;=100000), " ",IF(INDEX($AM$2:$BM$1001,MATCH(ROWS($AF$2:AF618),$AF$2:$AF$1001,0),MATCH(COLUMNS($AM$1006:AQ1006),$AM$1006:$BM$1006,0)), HYPERLINK("#",""), HYPERLINK(CONCATENATE("#metadata!", ADDRESS(INDEX($AH$2:$AH$1001,MATCH(ROWS($AF$2:AF618),$AF$2:$AF$1001,0),0), INDEX($AM$1004:$BM$1004,1,MATCH(COLUMNS($AM$1006:AQ1006),$AM$1006:$BM$1006,0)))),"Fix")))</f>
        <v xml:space="preserve"> </v>
      </c>
      <c r="G618" s="4" t="str">
        <f ca="1">IF(OR(INDEX($AG$2:$AG$1001,MATCH(ROWS($AF$2:AF618),$AF$2:$AF$1001,0),1)&gt;=100000,INDEX($AM$1005:$BM$1005,1,MATCH(COLUMNS($AM$1006:AR1006),$AM$1006:$BM$1006,0))&gt;=100000), " ",IF(INDEX($AM$2:$BM$1001,MATCH(ROWS($AF$2:AF618),$AF$2:$AF$1001,0),MATCH(COLUMNS($AM$1006:AR1006),$AM$1006:$BM$1006,0)), HYPERLINK("#",""), HYPERLINK(CONCATENATE("#metadata!", ADDRESS(INDEX($AH$2:$AH$1001,MATCH(ROWS($AF$2:AF618),$AF$2:$AF$1001,0),0), INDEX($AM$1004:$BM$1004,1,MATCH(COLUMNS($AM$1006:AR1006),$AM$1006:$BM$1006,0)))),"Fix")))</f>
        <v xml:space="preserve"> </v>
      </c>
      <c r="H618" s="4" t="str">
        <f ca="1">IF(OR(INDEX($AG$2:$AG$1001,MATCH(ROWS($AF$2:AF618),$AF$2:$AF$1001,0),1)&gt;=100000,INDEX($AM$1005:$BM$1005,1,MATCH(COLUMNS($AM$1006:AS1006),$AM$1006:$BM$1006,0))&gt;=100000), " ",IF(INDEX($AM$2:$BM$1001,MATCH(ROWS($AF$2:AF618),$AF$2:$AF$1001,0),MATCH(COLUMNS($AM$1006:AS1006),$AM$1006:$BM$1006,0)), HYPERLINK("#",""), HYPERLINK(CONCATENATE("#metadata!", ADDRESS(INDEX($AH$2:$AH$1001,MATCH(ROWS($AF$2:AF618),$AF$2:$AF$1001,0),0), INDEX($AM$1004:$BM$1004,1,MATCH(COLUMNS($AM$1006:AS1006),$AM$1006:$BM$1006,0)))),"Fix")))</f>
        <v xml:space="preserve"> </v>
      </c>
      <c r="I618" s="4" t="str">
        <f ca="1">IF(OR(INDEX($AG$2:$AG$1001,MATCH(ROWS($AF$2:AF618),$AF$2:$AF$1001,0),1)&gt;=100000,INDEX($AM$1005:$BM$1005,1,MATCH(COLUMNS($AM$1006:AT1006),$AM$1006:$BM$1006,0))&gt;=100000), " ",IF(INDEX($AM$2:$BM$1001,MATCH(ROWS($AF$2:AF618),$AF$2:$AF$1001,0),MATCH(COLUMNS($AM$1006:AT1006),$AM$1006:$BM$1006,0)), HYPERLINK("#",""), HYPERLINK(CONCATENATE("#metadata!", ADDRESS(INDEX($AH$2:$AH$1001,MATCH(ROWS($AF$2:AF618),$AF$2:$AF$1001,0),0), INDEX($AM$1004:$BM$1004,1,MATCH(COLUMNS($AM$1006:AT1006),$AM$1006:$BM$1006,0)))),"Fix")))</f>
        <v xml:space="preserve"> </v>
      </c>
      <c r="J618" s="4" t="str">
        <f ca="1">IF(OR(INDEX($AG$2:$AG$1001,MATCH(ROWS($AF$2:AF618),$AF$2:$AF$1001,0),1)&gt;=100000,INDEX($AM$1005:$BM$1005,1,MATCH(COLUMNS($AM$1006:AU1006),$AM$1006:$BM$1006,0))&gt;=100000), " ",IF(INDEX($AM$2:$BM$1001,MATCH(ROWS($AF$2:AF618),$AF$2:$AF$1001,0),MATCH(COLUMNS($AM$1006:AU1006),$AM$1006:$BM$1006,0)), HYPERLINK("#",""), HYPERLINK(CONCATENATE("#metadata!", ADDRESS(INDEX($AH$2:$AH$1001,MATCH(ROWS($AF$2:AF618),$AF$2:$AF$1001,0),0), INDEX($AM$1004:$BM$1004,1,MATCH(COLUMNS($AM$1006:AU1006),$AM$1006:$BM$1006,0)))),"Fix")))</f>
        <v xml:space="preserve"> </v>
      </c>
      <c r="K618" s="4" t="str">
        <f ca="1">IF(OR(INDEX($AG$2:$AG$1001,MATCH(ROWS($AF$2:AF618),$AF$2:$AF$1001,0),1)&gt;=100000,INDEX($AM$1005:$BM$1005,1,MATCH(COLUMNS($AM$1006:AV1006),$AM$1006:$BM$1006,0))&gt;=100000), " ",IF(INDEX($AM$2:$BM$1001,MATCH(ROWS($AF$2:AF618),$AF$2:$AF$1001,0),MATCH(COLUMNS($AM$1006:AV1006),$AM$1006:$BM$1006,0)), HYPERLINK("#",""), HYPERLINK(CONCATENATE("#metadata!", ADDRESS(INDEX($AH$2:$AH$1001,MATCH(ROWS($AF$2:AF618),$AF$2:$AF$1001,0),0), INDEX($AM$1004:$BM$1004,1,MATCH(COLUMNS($AM$1006:AV1006),$AM$1006:$BM$1006,0)))),"Fix")))</f>
        <v xml:space="preserve"> </v>
      </c>
      <c r="L618" s="4" t="str">
        <f ca="1">IF(OR(INDEX($AG$2:$AG$1001,MATCH(ROWS($AF$2:AF618),$AF$2:$AF$1001,0),1)&gt;=100000,INDEX($AM$1005:$BM$1005,1,MATCH(COLUMNS($AM$1006:AW1006),$AM$1006:$BM$1006,0))&gt;=100000), " ",IF(INDEX($AM$2:$BM$1001,MATCH(ROWS($AF$2:AF618),$AF$2:$AF$1001,0),MATCH(COLUMNS($AM$1006:AW1006),$AM$1006:$BM$1006,0)), HYPERLINK("#",""), HYPERLINK(CONCATENATE("#metadata!", ADDRESS(INDEX($AH$2:$AH$1001,MATCH(ROWS($AF$2:AF618),$AF$2:$AF$1001,0),0), INDEX($AM$1004:$BM$1004,1,MATCH(COLUMNS($AM$1006:AW1006),$AM$1006:$BM$1006,0)))),"Fix")))</f>
        <v xml:space="preserve"> </v>
      </c>
      <c r="M618" s="4" t="str">
        <f ca="1">IF(OR(INDEX($AG$2:$AG$1001,MATCH(ROWS($AF$2:AF618),$AF$2:$AF$1001,0),1)&gt;=100000,INDEX($AM$1005:$BM$1005,1,MATCH(COLUMNS($AM$1006:AX1006),$AM$1006:$BM$1006,0))&gt;=100000), " ",IF(INDEX($AM$2:$BM$1001,MATCH(ROWS($AF$2:AF618),$AF$2:$AF$1001,0),MATCH(COLUMNS($AM$1006:AX1006),$AM$1006:$BM$1006,0)), HYPERLINK("#",""), HYPERLINK(CONCATENATE("#metadata!", ADDRESS(INDEX($AH$2:$AH$1001,MATCH(ROWS($AF$2:AF618),$AF$2:$AF$1001,0),0), INDEX($AM$1004:$BM$1004,1,MATCH(COLUMNS($AM$1006:AX1006),$AM$1006:$BM$1006,0)))),"Fix")))</f>
        <v xml:space="preserve"> </v>
      </c>
      <c r="N618" s="4" t="str">
        <f ca="1">IF(OR(INDEX($AG$2:$AG$1001,MATCH(ROWS($AF$2:AF618),$AF$2:$AF$1001,0),1)&gt;=100000,INDEX($AM$1005:$BM$1005,1,MATCH(COLUMNS($AM$1006:AY1006),$AM$1006:$BM$1006,0))&gt;=100000), " ",IF(INDEX($AM$2:$BM$1001,MATCH(ROWS($AF$2:AF618),$AF$2:$AF$1001,0),MATCH(COLUMNS($AM$1006:AY1006),$AM$1006:$BM$1006,0)), HYPERLINK("#",""), HYPERLINK(CONCATENATE("#metadata!", ADDRESS(INDEX($AH$2:$AH$1001,MATCH(ROWS($AF$2:AF618),$AF$2:$AF$1001,0),0), INDEX($AM$1004:$BM$1004,1,MATCH(COLUMNS($AM$1006:AY1006),$AM$1006:$BM$1006,0)))),"Fix")))</f>
        <v xml:space="preserve"> </v>
      </c>
      <c r="O618" s="4" t="str">
        <f ca="1">IF(OR(INDEX($AG$2:$AG$1001,MATCH(ROWS($AF$2:AF618),$AF$2:$AF$1001,0),1)&gt;=100000,INDEX($AM$1005:$BM$1005,1,MATCH(COLUMNS($AM$1006:AZ1006),$AM$1006:$BM$1006,0))&gt;=100000), " ",IF(INDEX($AM$2:$BM$1001,MATCH(ROWS($AF$2:AF618),$AF$2:$AF$1001,0),MATCH(COLUMNS($AM$1006:AZ1006),$AM$1006:$BM$1006,0)), HYPERLINK("#",""), HYPERLINK(CONCATENATE("#metadata!", ADDRESS(INDEX($AH$2:$AH$1001,MATCH(ROWS($AF$2:AF618),$AF$2:$AF$1001,0),0), INDEX($AM$1004:$BM$1004,1,MATCH(COLUMNS($AM$1006:AZ1006),$AM$1006:$BM$1006,0)))),"Fix")))</f>
        <v xml:space="preserve"> </v>
      </c>
      <c r="P618" s="4" t="str">
        <f ca="1">IF(OR(INDEX($AG$2:$AG$1001,MATCH(ROWS($AF$2:AF618),$AF$2:$AF$1001,0),1)&gt;=100000,INDEX($AM$1005:$BM$1005,1,MATCH(COLUMNS($AM$1006:BA1006),$AM$1006:$BM$1006,0))&gt;=100000), " ",IF(INDEX($AM$2:$BM$1001,MATCH(ROWS($AF$2:AF618),$AF$2:$AF$1001,0),MATCH(COLUMNS($AM$1006:BA1006),$AM$1006:$BM$1006,0)), HYPERLINK("#",""), HYPERLINK(CONCATENATE("#metadata!", ADDRESS(INDEX($AH$2:$AH$1001,MATCH(ROWS($AF$2:AF618),$AF$2:$AF$1001,0),0), INDEX($AM$1004:$BM$1004,1,MATCH(COLUMNS($AM$1006:BA1006),$AM$1006:$BM$1006,0)))),"Fix")))</f>
        <v xml:space="preserve"> </v>
      </c>
      <c r="Q618" s="4" t="str">
        <f ca="1">IF(OR(INDEX($AG$2:$AG$1001,MATCH(ROWS($AF$2:AF618),$AF$2:$AF$1001,0),1)&gt;=100000,INDEX($AM$1005:$BM$1005,1,MATCH(COLUMNS($AM$1006:BB1006),$AM$1006:$BM$1006,0))&gt;=100000), " ",IF(INDEX($AM$2:$BM$1001,MATCH(ROWS($AF$2:AF618),$AF$2:$AF$1001,0),MATCH(COLUMNS($AM$1006:BB1006),$AM$1006:$BM$1006,0)), HYPERLINK("#",""), HYPERLINK(CONCATENATE("#metadata!", ADDRESS(INDEX($AH$2:$AH$1001,MATCH(ROWS($AF$2:AF618),$AF$2:$AF$1001,0),0), INDEX($AM$1004:$BM$1004,1,MATCH(COLUMNS($AM$1006:BB1006),$AM$1006:$BM$1006,0)))),"Fix")))</f>
        <v xml:space="preserve"> </v>
      </c>
      <c r="R618" s="4" t="str">
        <f ca="1">IF(OR(INDEX($AG$2:$AG$1001,MATCH(ROWS($AF$2:AF618),$AF$2:$AF$1001,0),1)&gt;=100000,INDEX($AM$1005:$BM$1005,1,MATCH(COLUMNS($AM$1006:BC1006),$AM$1006:$BM$1006,0))&gt;=100000), " ",IF(INDEX($AM$2:$BM$1001,MATCH(ROWS($AF$2:AF618),$AF$2:$AF$1001,0),MATCH(COLUMNS($AM$1006:BC1006),$AM$1006:$BM$1006,0)), HYPERLINK("#",""), HYPERLINK(CONCATENATE("#metadata!", ADDRESS(INDEX($AH$2:$AH$1001,MATCH(ROWS($AF$2:AF618),$AF$2:$AF$1001,0),0), INDEX($AM$1004:$BM$1004,1,MATCH(COLUMNS($AM$1006:BC1006),$AM$1006:$BM$1006,0)))),"Fix")))</f>
        <v xml:space="preserve"> </v>
      </c>
      <c r="S618" s="4" t="str">
        <f ca="1">IF(OR(INDEX($AG$2:$AG$1001,MATCH(ROWS($AF$2:AF618),$AF$2:$AF$1001,0),1)&gt;=100000,INDEX($AM$1005:$BM$1005,1,MATCH(COLUMNS($AM$1006:BD1006),$AM$1006:$BM$1006,0))&gt;=100000), " ",IF(INDEX($AM$2:$BM$1001,MATCH(ROWS($AF$2:AF618),$AF$2:$AF$1001,0),MATCH(COLUMNS($AM$1006:BD1006),$AM$1006:$BM$1006,0)), HYPERLINK("#",""), HYPERLINK(CONCATENATE("#metadata!", ADDRESS(INDEX($AH$2:$AH$1001,MATCH(ROWS($AF$2:AF618),$AF$2:$AF$1001,0),0), INDEX($AM$1004:$BM$1004,1,MATCH(COLUMNS($AM$1006:BD1006),$AM$1006:$BM$1006,0)))),"Fix")))</f>
        <v xml:space="preserve"> </v>
      </c>
      <c r="T618" s="4" t="str">
        <f ca="1">IF(OR(INDEX($AG$2:$AG$1001,MATCH(ROWS($AF$2:AF618),$AF$2:$AF$1001,0),1)&gt;=100000,INDEX($AM$1005:$BM$1005,1,MATCH(COLUMNS($AM$1006:BE1006),$AM$1006:$BM$1006,0))&gt;=100000), " ",IF(INDEX($AM$2:$BM$1001,MATCH(ROWS($AF$2:AF618),$AF$2:$AF$1001,0),MATCH(COLUMNS($AM$1006:BE1006),$AM$1006:$BM$1006,0)), HYPERLINK("#",""), HYPERLINK(CONCATENATE("#metadata!", ADDRESS(INDEX($AH$2:$AH$1001,MATCH(ROWS($AF$2:AF618),$AF$2:$AF$1001,0),0), INDEX($AM$1004:$BM$1004,1,MATCH(COLUMNS($AM$1006:BE1006),$AM$1006:$BM$1006,0)))),"Fix")))</f>
        <v xml:space="preserve"> </v>
      </c>
      <c r="U618" s="4" t="str">
        <f ca="1">IF(OR(INDEX($AG$2:$AG$1001,MATCH(ROWS($AF$2:AF618),$AF$2:$AF$1001,0),1)&gt;=100000,INDEX($AM$1005:$BM$1005,1,MATCH(COLUMNS($AM$1006:BF1006),$AM$1006:$BM$1006,0))&gt;=100000), " ",IF(INDEX($AM$2:$BM$1001,MATCH(ROWS($AF$2:AF618),$AF$2:$AF$1001,0),MATCH(COLUMNS($AM$1006:BF1006),$AM$1006:$BM$1006,0)), HYPERLINK("#",""), HYPERLINK(CONCATENATE("#metadata!", ADDRESS(INDEX($AH$2:$AH$1001,MATCH(ROWS($AF$2:AF618),$AF$2:$AF$1001,0),0), INDEX($AM$1004:$BM$1004,1,MATCH(COLUMNS($AM$1006:BF1006),$AM$1006:$BM$1006,0)))),"Fix")))</f>
        <v xml:space="preserve"> </v>
      </c>
      <c r="V618" s="4" t="str">
        <f ca="1">IF(OR(INDEX($AG$2:$AG$1001,MATCH(ROWS($AF$2:AF618),$AF$2:$AF$1001,0),1)&gt;=100000,INDEX($AM$1005:$BM$1005,1,MATCH(COLUMNS($AM$1006:BG1006),$AM$1006:$BM$1006,0))&gt;=100000), " ",IF(INDEX($AM$2:$BM$1001,MATCH(ROWS($AF$2:AF618),$AF$2:$AF$1001,0),MATCH(COLUMNS($AM$1006:BG1006),$AM$1006:$BM$1006,0)), HYPERLINK("#",""), HYPERLINK(CONCATENATE("#metadata!", ADDRESS(INDEX($AH$2:$AH$1001,MATCH(ROWS($AF$2:AF618),$AF$2:$AF$1001,0),0), INDEX($AM$1004:$BM$1004,1,MATCH(COLUMNS($AM$1006:BG1006),$AM$1006:$BM$1006,0)))),"Fix")))</f>
        <v xml:space="preserve"> </v>
      </c>
      <c r="W618" s="4" t="str">
        <f ca="1">IF(OR(INDEX($AG$2:$AG$1001,MATCH(ROWS($AF$2:AF618),$AF$2:$AF$1001,0),1)&gt;=100000,INDEX($AM$1005:$BM$1005,1,MATCH(COLUMNS($AM$1006:BH1006),$AM$1006:$BM$1006,0))&gt;=100000), " ",IF(INDEX($AM$2:$BM$1001,MATCH(ROWS($AF$2:AF618),$AF$2:$AF$1001,0),MATCH(COLUMNS($AM$1006:BH1006),$AM$1006:$BM$1006,0)), HYPERLINK("#",""), HYPERLINK(CONCATENATE("#metadata!", ADDRESS(INDEX($AH$2:$AH$1001,MATCH(ROWS($AF$2:AF618),$AF$2:$AF$1001,0),0), INDEX($AM$1004:$BM$1004,1,MATCH(COLUMNS($AM$1006:BH1006),$AM$1006:$BM$1006,0)))),"Fix")))</f>
        <v xml:space="preserve"> </v>
      </c>
      <c r="X618" s="4" t="str">
        <f ca="1">IF(OR(INDEX($AG$2:$AG$1001,MATCH(ROWS($AF$2:AF618),$AF$2:$AF$1001,0),1)&gt;=100000,INDEX($AM$1005:$BM$1005,1,MATCH(COLUMNS($AM$1006:BI1006),$AM$1006:$BM$1006,0))&gt;=100000), " ",IF(INDEX($AM$2:$BM$1001,MATCH(ROWS($AF$2:AF618),$AF$2:$AF$1001,0),MATCH(COLUMNS($AM$1006:BI1006),$AM$1006:$BM$1006,0)), HYPERLINK("#",""), HYPERLINK(CONCATENATE("#metadata!", ADDRESS(INDEX($AH$2:$AH$1001,MATCH(ROWS($AF$2:AF618),$AF$2:$AF$1001,0),0), INDEX($AM$1004:$BM$1004,1,MATCH(COLUMNS($AM$1006:BI1006),$AM$1006:$BM$1006,0)))),"Fix")))</f>
        <v xml:space="preserve"> </v>
      </c>
      <c r="Y618" s="4" t="str">
        <f ca="1">IF(OR(INDEX($AG$2:$AG$1001,MATCH(ROWS($AF$2:AF618),$AF$2:$AF$1001,0),1)&gt;=100000,INDEX($AM$1005:$BM$1005,1,MATCH(COLUMNS($AM$1006:BJ1006),$AM$1006:$BM$1006,0))&gt;=100000), " ",IF(INDEX($AM$2:$BM$1001,MATCH(ROWS($AF$2:AF618),$AF$2:$AF$1001,0),MATCH(COLUMNS($AM$1006:BJ1006),$AM$1006:$BM$1006,0)), HYPERLINK("#",""), HYPERLINK(CONCATENATE("#metadata!", ADDRESS(INDEX($AH$2:$AH$1001,MATCH(ROWS($AF$2:AF618),$AF$2:$AF$1001,0),0), INDEX($AM$1004:$BM$1004,1,MATCH(COLUMNS($AM$1006:BJ1006),$AM$1006:$BM$1006,0)))),"Fix")))</f>
        <v xml:space="preserve"> </v>
      </c>
      <c r="Z618" s="4" t="str">
        <f ca="1">IF(OR(INDEX($AG$2:$AG$1001,MATCH(ROWS($AF$2:AF618),$AF$2:$AF$1001,0),1)&gt;=100000,INDEX($AM$1005:$BM$1005,1,MATCH(COLUMNS($AM$1006:BK1006),$AM$1006:$BM$1006,0))&gt;=100000), " ",IF(INDEX($AM$2:$BM$1001,MATCH(ROWS($AF$2:AF618),$AF$2:$AF$1001,0),MATCH(COLUMNS($AM$1006:BK1006),$AM$1006:$BM$1006,0)), HYPERLINK("#",""), HYPERLINK(CONCATENATE("#metadata!", ADDRESS(INDEX($AH$2:$AH$1001,MATCH(ROWS($AF$2:AF618),$AF$2:$AF$1001,0),0), INDEX($AM$1004:$BM$1004,1,MATCH(COLUMNS($AM$1006:BK1006),$AM$1006:$BM$1006,0)))),"Fix")))</f>
        <v xml:space="preserve"> </v>
      </c>
      <c r="AA618" s="4" t="str">
        <f ca="1">IF(OR(INDEX($AG$2:$AG$1001,MATCH(ROWS($AF$2:AF618),$AF$2:$AF$1001,0),1)&gt;=100000,INDEX($AM$1005:$BM$1005,1,MATCH(COLUMNS($AM$1006:BL1006),$AM$1006:$BM$1006,0))&gt;=100000), " ",IF(INDEX($AM$2:$BM$1001,MATCH(ROWS($AF$2:AF618),$AF$2:$AF$1001,0),MATCH(COLUMNS($AM$1006:BL1006),$AM$1006:$BM$1006,0)), HYPERLINK("#",""), HYPERLINK(CONCATENATE("#metadata!", ADDRESS(INDEX($AH$2:$AH$1001,MATCH(ROWS($AF$2:AF618),$AF$2:$AF$1001,0),0), INDEX($AM$1004:$BM$1004,1,MATCH(COLUMNS($AM$1006:BL1006),$AM$1006:$BM$1006,0)))),"Fix")))</f>
        <v xml:space="preserve"> </v>
      </c>
      <c r="AB618" s="4" t="str">
        <f ca="1">IF(OR(INDEX($AG$2:$AG$1001,MATCH(ROWS($AF$2:AF618),$AF$2:$AF$1001,0),1)&gt;=100000,INDEX($AM$1005:$BM$1005,1,MATCH(COLUMNS($AM$1006:BM1006),$AM$1006:$BM$1006,0))&gt;=100000), " ",IF(INDEX($AM$2:$BM$1001,MATCH(ROWS($AF$2:AF618),$AF$2:$AF$1001,0),MATCH(COLUMNS($AM$1006:BM1006),$AM$1006:$BM$1006,0)), HYPERLINK("#",""), HYPERLINK(CONCATENATE("#metadata!", ADDRESS(INDEX($AH$2:$AH$1001,MATCH(ROWS($AF$2:AF618),$AF$2:$AF$1001,0),0), INDEX($AM$1004:$BM$1004,1,MATCH(COLUMNS($AM$1006:BM1006),$AM$1006:$BM$1006,0)))),"Fix")))</f>
        <v xml:space="preserve"> </v>
      </c>
      <c r="AF618">
        <v>617</v>
      </c>
      <c r="AG618">
        <v>100618</v>
      </c>
      <c r="AH618">
        <v>618</v>
      </c>
      <c r="AI618" t="b">
        <f t="shared" si="9"/>
        <v>1</v>
      </c>
      <c r="AJ618" t="b">
        <f>COUNTBLANK(metadata!B618:AB618)=COLUMNS(metadata!B618:AB618)</f>
        <v>1</v>
      </c>
      <c r="AK618" t="str">
        <v/>
      </c>
      <c r="AM618" t="b">
        <f ca="1">AND(IF(metadata!B618="",FALSE,TRUE),COUNTIF(metadata!B:B, metadata!B618) = 1,NOT(ISERROR(SUMPRODUCT(SEARCH(MID(metadata!B618,ROW(INDIRECT("1:"&amp;LEN(metadata!B618))), 1),"0123456789abcdefghijklmnopqrstuvwxyzABCDEFGHIJKLMNOPQRSTUVWXYZ.")))))</f>
        <v>0</v>
      </c>
      <c r="AN618" t="b">
        <f ca="1">OR(AND(IF(metadata!C618="",FALSE,TRUE),OR(EXACT(metadata!C618,"missing: not collected"),EXACT(metadata!C618,"missing: not provided"),EXACT(metadata!C618,"missing: restricted access"))),AND(IF(metadata!C618="",FALSE,TRUE),AND(AND(IFERROR(INT(LEFT(metadata!C618,4))&gt;1900,FALSE),IFERROR(INT(LEFT(metadata!C618,4))&lt;=YEAR(NOW()),FALSE)), OR(MID(metadata!C618,5,1)="", AND(AND(MID(metadata!C618,5,1)="-",IFERROR(INT(MID(metadata!C618,6,1))&gt;=0,FALSE),IFERROR(INT(MID(metadata!C618,6,1))&lt;=1,FALSE),NOT(MID(metadata!C618,7,1)=""),IFERROR(INT(MID(metadata!C618,6,2))&gt;=1,FALSE),IFERROR(INT(MID(metadata!C618,6,2))&lt;=12,FALSE)), OR(MID(metadata!C618,8,1)="", AND(AND(MID(metadata!C618,8,1)="-",IFERROR(INT(MID(metadata!C618,9,1))&gt;=0,FALSE),IFERROR(INT(MID(metadata!C618,9,1))&lt;=3,FALSE),NOT(MID(metadata!C618,10,1)=""),IFERROR(INT(MID(metadata!C618,9,2))&gt;=1,FALSE),IFERROR(INT(MID(metadata!C618,9,2))&lt;=31,FALSE)), OR(MID(metadata!C618,11,1)="", AND(AND(MID(metadata!C618,11,1)=" ",IFERROR(INT(MID(metadata!C618,12,1))&gt;=0,FALSE),IFERROR(INT(MID(metadata!C618,12,1))&lt;=2,FALSE),NOT(MID(metadata!C618,13,1)=""),IFERROR(INT(MID(metadata!C618,12,2))&gt;=0,FALSE),IFERROR(INT(MID(metadata!C618,12,2))&lt;=23,FALSE)), OR(MID(metadata!C618,14,1)="", AND(AND(MID(metadata!C618,14,1)=":",IFERROR(INT(MID(metadata!C618,15,1))&gt;=0,FALSE),IFERROR(INT(MID(metadata!C618,15,1))&lt;=5,FALSE),NOT(MID(metadata!C618,16,1)=""),IFERROR(INT(MID(metadata!C618,15,2))&gt;=0,FALSE),IFERROR(INT(MID(metadata!C618,15,2))&lt;=59,FALSE)), OR(MID(metadata!C618,17,1)="", AND(AND(MID(metadata!C618,17,1)=":",IFERROR(INT(MID(metadata!C618,18,1))&gt;=0,FALSE),IFERROR(INT(MID(metadata!C618,18,1))&lt;=5,FALSE),NOT(MID(metadata!C618,19,1)=""),IFERROR(INT(MID(metadata!C618,18,2))&gt;=0,FALSE),IFERROR(INT(MID(metadata!C618,18,2))&lt;=59,FALSE)), LEN(metadata!C618)&lt;=19)))))))))))))</f>
        <v>0</v>
      </c>
      <c r="AO618" t="b">
        <f>AND(IF(metadata!D618="",FALSE,TRUE),EXACT(metadata!D618,"Not applicable"))</f>
        <v>0</v>
      </c>
      <c r="AP618" t="b">
        <f>IF(metadata!E618="",FALSE,TRUE)</f>
        <v>0</v>
      </c>
      <c r="AQ618" t="b">
        <f>OR(AND(IF(metadata!F618="",FALSE,TRUE),OR(EXACT(metadata!F618,"missing: not collected"),EXACT(metadata!F618,"missing: not provided"))),AND(IF(metadata!F618="",FALSE,TRUE),OR(EXACT(metadata!F618,"TRUE"),EXACT(metadata!F618,"FALSE"))))</f>
        <v>0</v>
      </c>
      <c r="AR618" t="b">
        <f>OR(AND(IF(metadata!G618="",FALSE,TRUE),OR(EXACT(metadata!G618,"missing: not collected"),EXACT(metadata!G618,"missing: not provided"),EXACT(metadata!G618,"missing: restricted access"))),AND(IF(metadata!G618="",FALSE,ISNUMBER(VALUE(metadata!G618))),metadata!G618&gt;=-413))</f>
        <v>0</v>
      </c>
      <c r="AS618" t="b">
        <f>AND(IF(metadata!H618="",FALSE,TRUE),EXACT(metadata!H618,"meters"))</f>
        <v>0</v>
      </c>
      <c r="AT618" t="b">
        <f>AND(IF(metadata!I618="",FALSE,TRUE),OR(EXACT(metadata!I618,"Host-associated"),EXACT(metadata!I618,"Free-living")))</f>
        <v>0</v>
      </c>
      <c r="AU618" t="b">
        <f>AND(IF(metadata!J618="",FALSE,TRUE),OR(EXACT(metadata!J618,"Animal"),EXACT(metadata!J618,"Fungus"),EXACT(metadata!J618,"Plant"),EXACT(metadata!J618,"Saline"),EXACT(metadata!J618,"Non-saline")))</f>
        <v>0</v>
      </c>
      <c r="AV618" t="b">
        <f>AND(IF(metadata!K618="",FALSE,TRUE),OR(EXACT(metadata!K618,"Plant secretion"),EXACT(metadata!K618,"Plant rhizosphere"),EXACT(metadata!K618,"Plant surface"),EXACT(metadata!K618,"Plant corpus"),EXACT(metadata!K618,"Fungus surface"),EXACT(metadata!K618,"Fungus corpus"),EXACT(metadata!K618,"Animal surface"),EXACT(metadata!K618,"Animal proximal gut"),EXACT(metadata!K618,"Animal corpus"),EXACT(metadata!K618,"Animal distal gut"),EXACT(metadata!K618,"Animal secretion"),EXACT(metadata!K618,"Sub-surface (non-saline)"),EXACT(metadata!K618,"Surface (non-saline)"),EXACT(metadata!K618,"Water (non-saline)"),EXACT(metadata!K618,"Soil (non-saline)"),EXACT(metadata!K618,"Aerosol (non-saline)"),EXACT(metadata!K618,"Sediment (non-saline)"),EXACT(metadata!K618,"Surface (saline)"),EXACT(metadata!K618,"Water (saline)"),EXACT(metadata!K618,"Hypersaline (saline)"),EXACT(metadata!K618,"Aerosol (saline)"),EXACT(metadata!K618,"Sediment (saline)")))</f>
        <v>0</v>
      </c>
      <c r="AW618" t="b">
        <f>IF(metadata!L618="",FALSE,TRUE)</f>
        <v>0</v>
      </c>
      <c r="AX618" t="b">
        <f>IF(metadata!M618="",FALSE,TRUE)</f>
        <v>0</v>
      </c>
      <c r="AY618" t="b">
        <f>IF(metadata!N618="",FALSE,TRUE)</f>
        <v>0</v>
      </c>
      <c r="AZ618" t="b">
        <f>OR(AND(IF(metadata!O618="",FALSE,TRUE),OR(EXACT(metadata!O618,"missing: not collected"),EXACT(metadata!O618,"missing: not provided"),EXACT(metadata!O618,"missing: restricted access"))),AND(IF(metadata!O618="",FALSE,TRUE),OR(EXACT(metadata!O618,"air"),EXACT(metadata!O618,"built environment"),EXACT(metadata!O618,"host-associated"),EXACT(metadata!O618,"human-associated"),EXACT(metadata!O618,"human-skin"),EXACT(metadata!O618,"human-oral"),EXACT(metadata!O618,"human-gut"),EXACT(metadata!O618,"human-vaginal"),EXACT(metadata!O618,"microbial mat/biofilm"),EXACT(metadata!O618,"misc environment"),EXACT(metadata!O618,"plant-associated"),EXACT(metadata!O618,"sediment"),EXACT(metadata!O618,"soil"),EXACT(metadata!O618,"wastewater/sludge"),EXACT(metadata!O618,"water"))))</f>
        <v>0</v>
      </c>
      <c r="BA618" t="b">
        <f>IF(metadata!P618="",FALSE,TRUE)</f>
        <v>0</v>
      </c>
      <c r="BB618" t="b">
        <f>IF(metadata!Q618="",FALSE,TRUE)</f>
        <v>0</v>
      </c>
      <c r="BC618" t="b">
        <f>OR(AND(IF(metadata!R618="",FALSE,TRUE),OR(EXACT(metadata!R618,"missing: not collected"),EXACT(metadata!R618,"missing: not provided"),EXACT(metadata!R618,"missing: restricted access"))),AND(IF(metadata!R618="",FALSE,ISNUMBER(VALUE(metadata!R618))),metadata!R618&gt;=-90,metadata!R618&lt;=90))</f>
        <v>0</v>
      </c>
      <c r="BD618" t="b">
        <f>AND(IF(metadata!S618="",FALSE,TRUE),EXACT(metadata!S618,"Decimal degrees"))</f>
        <v>0</v>
      </c>
      <c r="BE618" t="b">
        <f>OR(AND(IF(metadata!T618="",FALSE,TRUE),OR(EXACT(metadata!T618,"missing: not collected"),EXACT(metadata!T618,"missing: not provided"),EXACT(metadata!T618,"missing: restricted access"))),AND(IF(metadata!T618="",FALSE,ISNUMBER(VALUE(metadata!T618))),metadata!T618&gt;=-180,metadata!T618&lt;=180))</f>
        <v>0</v>
      </c>
      <c r="BF618" t="b">
        <f>AND(IF(metadata!U618="",FALSE,TRUE),EXACT(metadata!U618,"Decimal degrees"))</f>
        <v>0</v>
      </c>
      <c r="BG618" t="b">
        <f>IF(metadata!V618="",FALSE,TRUE)</f>
        <v>0</v>
      </c>
      <c r="BH618" t="b">
        <f>OR(AND(IF(metadata!W618="",FALSE,TRUE),OR(EXACT(metadata!W618,"missing: not collected"),EXACT(metadata!W618,"missing: not provided"),EXACT(metadata!W618,"missing: restricted access"))),AND(IF(metadata!W618="",FALSE,TRUE),OR(EXACT(metadata!W618,"TRUE"),EXACT(metadata!W618,"FALSE"))))</f>
        <v>0</v>
      </c>
      <c r="BI618" t="b">
        <f>AND(IF(metadata!X618="",FALSE,TRUE),EXACT(metadata!X618,"other"))</f>
        <v>0</v>
      </c>
      <c r="BJ618" t="b">
        <f>IF(metadata!Y618="",FALSE,TRUE)</f>
        <v>0</v>
      </c>
      <c r="BK618" t="b">
        <f>OR(AND(IF(metadata!Z618="",FALSE,TRUE),OR(EXACT(metadata!Z618,"missing: not collected"),EXACT(metadata!Z618,"missing: not provided"))),AND(IF(metadata!Z618="",FALSE,IF(ISERROR(INT(metadata!Z618)),FALSE,INT(metadata!Z618)=metadata!Z618)),metadata!Z618&gt;0))</f>
        <v>0</v>
      </c>
      <c r="BL618" t="b">
        <f>AND(IF(metadata!AA618="",FALSE,TRUE),EXACT(metadata!AA618,"Not applicable"))</f>
        <v>0</v>
      </c>
      <c r="BM618" t="b">
        <f>IF(metadata!AB618="",FALSE,TRUE)</f>
        <v>0</v>
      </c>
    </row>
    <row r="619" spans="1:65" x14ac:dyDescent="0.2">
      <c r="A619" s="5" t="str">
        <f ca="1">IF(B619=" "," ",HYPERLINK(CONCATENATE("#metadata!",ADDRESS(INDEX($AH$2:$AH$1001,MATCH(ROWS($AF$2:AF619),$AF$2:$AF$1001,0),0),1)),INDEX($AK$2:$AK$1001,MATCH(ROWS($AF$2:AF619),$AF$2:$AF$1001,0),0)))</f>
        <v xml:space="preserve"> </v>
      </c>
      <c r="B619" s="4" t="str">
        <f ca="1">IF(OR(INDEX($AG$2:$AG$1001,MATCH(ROWS($AF$2:AF619),$AF$2:$AF$1001,0),1)&gt;=100000,INDEX($AM$1005:$BM$1005,1,MATCH(COLUMNS($AM$1006:AM1006),$AM$1006:$BM$1006,0))&gt;=100000), " ",IF(INDEX($AM$2:$BM$1001,MATCH(ROWS($AF$2:AF619),$AF$2:$AF$1001,0),MATCH(COLUMNS($AM$1006:AM1006),$AM$1006:$BM$1006,0)), HYPERLINK("#",""), HYPERLINK(CONCATENATE("#metadata!", ADDRESS(INDEX($AH$2:$AH$1001,MATCH(ROWS($AF$2:AF619),$AF$2:$AF$1001,0),0), INDEX($AM$1004:$BM$1004,1,MATCH(COLUMNS($AM$1006:AM1006),$AM$1006:$BM$1006,0)))),"Fix")))</f>
        <v xml:space="preserve"> </v>
      </c>
      <c r="C619" s="4" t="str">
        <f ca="1">IF(OR(INDEX($AG$2:$AG$1001,MATCH(ROWS($AF$2:AF619),$AF$2:$AF$1001,0),1)&gt;=100000,INDEX($AM$1005:$BM$1005,1,MATCH(COLUMNS($AM$1006:AN1006),$AM$1006:$BM$1006,0))&gt;=100000), " ",IF(INDEX($AM$2:$BM$1001,MATCH(ROWS($AF$2:AF619),$AF$2:$AF$1001,0),MATCH(COLUMNS($AM$1006:AN1006),$AM$1006:$BM$1006,0)), HYPERLINK("#",""), HYPERLINK(CONCATENATE("#metadata!", ADDRESS(INDEX($AH$2:$AH$1001,MATCH(ROWS($AF$2:AF619),$AF$2:$AF$1001,0),0), INDEX($AM$1004:$BM$1004,1,MATCH(COLUMNS($AM$1006:AN1006),$AM$1006:$BM$1006,0)))),"Fix")))</f>
        <v xml:space="preserve"> </v>
      </c>
      <c r="D619" s="4" t="str">
        <f ca="1">IF(OR(INDEX($AG$2:$AG$1001,MATCH(ROWS($AF$2:AF619),$AF$2:$AF$1001,0),1)&gt;=100000,INDEX($AM$1005:$BM$1005,1,MATCH(COLUMNS($AM$1006:AO1006),$AM$1006:$BM$1006,0))&gt;=100000), " ",IF(INDEX($AM$2:$BM$1001,MATCH(ROWS($AF$2:AF619),$AF$2:$AF$1001,0),MATCH(COLUMNS($AM$1006:AO1006),$AM$1006:$BM$1006,0)), HYPERLINK("#",""), HYPERLINK(CONCATENATE("#metadata!", ADDRESS(INDEX($AH$2:$AH$1001,MATCH(ROWS($AF$2:AF619),$AF$2:$AF$1001,0),0), INDEX($AM$1004:$BM$1004,1,MATCH(COLUMNS($AM$1006:AO1006),$AM$1006:$BM$1006,0)))),"Fix")))</f>
        <v xml:space="preserve"> </v>
      </c>
      <c r="E619" s="4" t="str">
        <f ca="1">IF(OR(INDEX($AG$2:$AG$1001,MATCH(ROWS($AF$2:AF619),$AF$2:$AF$1001,0),1)&gt;=100000,INDEX($AM$1005:$BM$1005,1,MATCH(COLUMNS($AM$1006:AP1006),$AM$1006:$BM$1006,0))&gt;=100000), " ",IF(INDEX($AM$2:$BM$1001,MATCH(ROWS($AF$2:AF619),$AF$2:$AF$1001,0),MATCH(COLUMNS($AM$1006:AP1006),$AM$1006:$BM$1006,0)), HYPERLINK("#",""), HYPERLINK(CONCATENATE("#metadata!", ADDRESS(INDEX($AH$2:$AH$1001,MATCH(ROWS($AF$2:AF619),$AF$2:$AF$1001,0),0), INDEX($AM$1004:$BM$1004,1,MATCH(COLUMNS($AM$1006:AP1006),$AM$1006:$BM$1006,0)))),"Fix")))</f>
        <v xml:space="preserve"> </v>
      </c>
      <c r="F619" s="4" t="str">
        <f ca="1">IF(OR(INDEX($AG$2:$AG$1001,MATCH(ROWS($AF$2:AF619),$AF$2:$AF$1001,0),1)&gt;=100000,INDEX($AM$1005:$BM$1005,1,MATCH(COLUMNS($AM$1006:AQ1006),$AM$1006:$BM$1006,0))&gt;=100000), " ",IF(INDEX($AM$2:$BM$1001,MATCH(ROWS($AF$2:AF619),$AF$2:$AF$1001,0),MATCH(COLUMNS($AM$1006:AQ1006),$AM$1006:$BM$1006,0)), HYPERLINK("#",""), HYPERLINK(CONCATENATE("#metadata!", ADDRESS(INDEX($AH$2:$AH$1001,MATCH(ROWS($AF$2:AF619),$AF$2:$AF$1001,0),0), INDEX($AM$1004:$BM$1004,1,MATCH(COLUMNS($AM$1006:AQ1006),$AM$1006:$BM$1006,0)))),"Fix")))</f>
        <v xml:space="preserve"> </v>
      </c>
      <c r="G619" s="4" t="str">
        <f ca="1">IF(OR(INDEX($AG$2:$AG$1001,MATCH(ROWS($AF$2:AF619),$AF$2:$AF$1001,0),1)&gt;=100000,INDEX($AM$1005:$BM$1005,1,MATCH(COLUMNS($AM$1006:AR1006),$AM$1006:$BM$1006,0))&gt;=100000), " ",IF(INDEX($AM$2:$BM$1001,MATCH(ROWS($AF$2:AF619),$AF$2:$AF$1001,0),MATCH(COLUMNS($AM$1006:AR1006),$AM$1006:$BM$1006,0)), HYPERLINK("#",""), HYPERLINK(CONCATENATE("#metadata!", ADDRESS(INDEX($AH$2:$AH$1001,MATCH(ROWS($AF$2:AF619),$AF$2:$AF$1001,0),0), INDEX($AM$1004:$BM$1004,1,MATCH(COLUMNS($AM$1006:AR1006),$AM$1006:$BM$1006,0)))),"Fix")))</f>
        <v xml:space="preserve"> </v>
      </c>
      <c r="H619" s="4" t="str">
        <f ca="1">IF(OR(INDEX($AG$2:$AG$1001,MATCH(ROWS($AF$2:AF619),$AF$2:$AF$1001,0),1)&gt;=100000,INDEX($AM$1005:$BM$1005,1,MATCH(COLUMNS($AM$1006:AS1006),$AM$1006:$BM$1006,0))&gt;=100000), " ",IF(INDEX($AM$2:$BM$1001,MATCH(ROWS($AF$2:AF619),$AF$2:$AF$1001,0),MATCH(COLUMNS($AM$1006:AS1006),$AM$1006:$BM$1006,0)), HYPERLINK("#",""), HYPERLINK(CONCATENATE("#metadata!", ADDRESS(INDEX($AH$2:$AH$1001,MATCH(ROWS($AF$2:AF619),$AF$2:$AF$1001,0),0), INDEX($AM$1004:$BM$1004,1,MATCH(COLUMNS($AM$1006:AS1006),$AM$1006:$BM$1006,0)))),"Fix")))</f>
        <v xml:space="preserve"> </v>
      </c>
      <c r="I619" s="4" t="str">
        <f ca="1">IF(OR(INDEX($AG$2:$AG$1001,MATCH(ROWS($AF$2:AF619),$AF$2:$AF$1001,0),1)&gt;=100000,INDEX($AM$1005:$BM$1005,1,MATCH(COLUMNS($AM$1006:AT1006),$AM$1006:$BM$1006,0))&gt;=100000), " ",IF(INDEX($AM$2:$BM$1001,MATCH(ROWS($AF$2:AF619),$AF$2:$AF$1001,0),MATCH(COLUMNS($AM$1006:AT1006),$AM$1006:$BM$1006,0)), HYPERLINK("#",""), HYPERLINK(CONCATENATE("#metadata!", ADDRESS(INDEX($AH$2:$AH$1001,MATCH(ROWS($AF$2:AF619),$AF$2:$AF$1001,0),0), INDEX($AM$1004:$BM$1004,1,MATCH(COLUMNS($AM$1006:AT1006),$AM$1006:$BM$1006,0)))),"Fix")))</f>
        <v xml:space="preserve"> </v>
      </c>
      <c r="J619" s="4" t="str">
        <f ca="1">IF(OR(INDEX($AG$2:$AG$1001,MATCH(ROWS($AF$2:AF619),$AF$2:$AF$1001,0),1)&gt;=100000,INDEX($AM$1005:$BM$1005,1,MATCH(COLUMNS($AM$1006:AU1006),$AM$1006:$BM$1006,0))&gt;=100000), " ",IF(INDEX($AM$2:$BM$1001,MATCH(ROWS($AF$2:AF619),$AF$2:$AF$1001,0),MATCH(COLUMNS($AM$1006:AU1006),$AM$1006:$BM$1006,0)), HYPERLINK("#",""), HYPERLINK(CONCATENATE("#metadata!", ADDRESS(INDEX($AH$2:$AH$1001,MATCH(ROWS($AF$2:AF619),$AF$2:$AF$1001,0),0), INDEX($AM$1004:$BM$1004,1,MATCH(COLUMNS($AM$1006:AU1006),$AM$1006:$BM$1006,0)))),"Fix")))</f>
        <v xml:space="preserve"> </v>
      </c>
      <c r="K619" s="4" t="str">
        <f ca="1">IF(OR(INDEX($AG$2:$AG$1001,MATCH(ROWS($AF$2:AF619),$AF$2:$AF$1001,0),1)&gt;=100000,INDEX($AM$1005:$BM$1005,1,MATCH(COLUMNS($AM$1006:AV1006),$AM$1006:$BM$1006,0))&gt;=100000), " ",IF(INDEX($AM$2:$BM$1001,MATCH(ROWS($AF$2:AF619),$AF$2:$AF$1001,0),MATCH(COLUMNS($AM$1006:AV1006),$AM$1006:$BM$1006,0)), HYPERLINK("#",""), HYPERLINK(CONCATENATE("#metadata!", ADDRESS(INDEX($AH$2:$AH$1001,MATCH(ROWS($AF$2:AF619),$AF$2:$AF$1001,0),0), INDEX($AM$1004:$BM$1004,1,MATCH(COLUMNS($AM$1006:AV1006),$AM$1006:$BM$1006,0)))),"Fix")))</f>
        <v xml:space="preserve"> </v>
      </c>
      <c r="L619" s="4" t="str">
        <f ca="1">IF(OR(INDEX($AG$2:$AG$1001,MATCH(ROWS($AF$2:AF619),$AF$2:$AF$1001,0),1)&gt;=100000,INDEX($AM$1005:$BM$1005,1,MATCH(COLUMNS($AM$1006:AW1006),$AM$1006:$BM$1006,0))&gt;=100000), " ",IF(INDEX($AM$2:$BM$1001,MATCH(ROWS($AF$2:AF619),$AF$2:$AF$1001,0),MATCH(COLUMNS($AM$1006:AW1006),$AM$1006:$BM$1006,0)), HYPERLINK("#",""), HYPERLINK(CONCATENATE("#metadata!", ADDRESS(INDEX($AH$2:$AH$1001,MATCH(ROWS($AF$2:AF619),$AF$2:$AF$1001,0),0), INDEX($AM$1004:$BM$1004,1,MATCH(COLUMNS($AM$1006:AW1006),$AM$1006:$BM$1006,0)))),"Fix")))</f>
        <v xml:space="preserve"> </v>
      </c>
      <c r="M619" s="4" t="str">
        <f ca="1">IF(OR(INDEX($AG$2:$AG$1001,MATCH(ROWS($AF$2:AF619),$AF$2:$AF$1001,0),1)&gt;=100000,INDEX($AM$1005:$BM$1005,1,MATCH(COLUMNS($AM$1006:AX1006),$AM$1006:$BM$1006,0))&gt;=100000), " ",IF(INDEX($AM$2:$BM$1001,MATCH(ROWS($AF$2:AF619),$AF$2:$AF$1001,0),MATCH(COLUMNS($AM$1006:AX1006),$AM$1006:$BM$1006,0)), HYPERLINK("#",""), HYPERLINK(CONCATENATE("#metadata!", ADDRESS(INDEX($AH$2:$AH$1001,MATCH(ROWS($AF$2:AF619),$AF$2:$AF$1001,0),0), INDEX($AM$1004:$BM$1004,1,MATCH(COLUMNS($AM$1006:AX1006),$AM$1006:$BM$1006,0)))),"Fix")))</f>
        <v xml:space="preserve"> </v>
      </c>
      <c r="N619" s="4" t="str">
        <f ca="1">IF(OR(INDEX($AG$2:$AG$1001,MATCH(ROWS($AF$2:AF619),$AF$2:$AF$1001,0),1)&gt;=100000,INDEX($AM$1005:$BM$1005,1,MATCH(COLUMNS($AM$1006:AY1006),$AM$1006:$BM$1006,0))&gt;=100000), " ",IF(INDEX($AM$2:$BM$1001,MATCH(ROWS($AF$2:AF619),$AF$2:$AF$1001,0),MATCH(COLUMNS($AM$1006:AY1006),$AM$1006:$BM$1006,0)), HYPERLINK("#",""), HYPERLINK(CONCATENATE("#metadata!", ADDRESS(INDEX($AH$2:$AH$1001,MATCH(ROWS($AF$2:AF619),$AF$2:$AF$1001,0),0), INDEX($AM$1004:$BM$1004,1,MATCH(COLUMNS($AM$1006:AY1006),$AM$1006:$BM$1006,0)))),"Fix")))</f>
        <v xml:space="preserve"> </v>
      </c>
      <c r="O619" s="4" t="str">
        <f ca="1">IF(OR(INDEX($AG$2:$AG$1001,MATCH(ROWS($AF$2:AF619),$AF$2:$AF$1001,0),1)&gt;=100000,INDEX($AM$1005:$BM$1005,1,MATCH(COLUMNS($AM$1006:AZ1006),$AM$1006:$BM$1006,0))&gt;=100000), " ",IF(INDEX($AM$2:$BM$1001,MATCH(ROWS($AF$2:AF619),$AF$2:$AF$1001,0),MATCH(COLUMNS($AM$1006:AZ1006),$AM$1006:$BM$1006,0)), HYPERLINK("#",""), HYPERLINK(CONCATENATE("#metadata!", ADDRESS(INDEX($AH$2:$AH$1001,MATCH(ROWS($AF$2:AF619),$AF$2:$AF$1001,0),0), INDEX($AM$1004:$BM$1004,1,MATCH(COLUMNS($AM$1006:AZ1006),$AM$1006:$BM$1006,0)))),"Fix")))</f>
        <v xml:space="preserve"> </v>
      </c>
      <c r="P619" s="4" t="str">
        <f ca="1">IF(OR(INDEX($AG$2:$AG$1001,MATCH(ROWS($AF$2:AF619),$AF$2:$AF$1001,0),1)&gt;=100000,INDEX($AM$1005:$BM$1005,1,MATCH(COLUMNS($AM$1006:BA1006),$AM$1006:$BM$1006,0))&gt;=100000), " ",IF(INDEX($AM$2:$BM$1001,MATCH(ROWS($AF$2:AF619),$AF$2:$AF$1001,0),MATCH(COLUMNS($AM$1006:BA1006),$AM$1006:$BM$1006,0)), HYPERLINK("#",""), HYPERLINK(CONCATENATE("#metadata!", ADDRESS(INDEX($AH$2:$AH$1001,MATCH(ROWS($AF$2:AF619),$AF$2:$AF$1001,0),0), INDEX($AM$1004:$BM$1004,1,MATCH(COLUMNS($AM$1006:BA1006),$AM$1006:$BM$1006,0)))),"Fix")))</f>
        <v xml:space="preserve"> </v>
      </c>
      <c r="Q619" s="4" t="str">
        <f ca="1">IF(OR(INDEX($AG$2:$AG$1001,MATCH(ROWS($AF$2:AF619),$AF$2:$AF$1001,0),1)&gt;=100000,INDEX($AM$1005:$BM$1005,1,MATCH(COLUMNS($AM$1006:BB1006),$AM$1006:$BM$1006,0))&gt;=100000), " ",IF(INDEX($AM$2:$BM$1001,MATCH(ROWS($AF$2:AF619),$AF$2:$AF$1001,0),MATCH(COLUMNS($AM$1006:BB1006),$AM$1006:$BM$1006,0)), HYPERLINK("#",""), HYPERLINK(CONCATENATE("#metadata!", ADDRESS(INDEX($AH$2:$AH$1001,MATCH(ROWS($AF$2:AF619),$AF$2:$AF$1001,0),0), INDEX($AM$1004:$BM$1004,1,MATCH(COLUMNS($AM$1006:BB1006),$AM$1006:$BM$1006,0)))),"Fix")))</f>
        <v xml:space="preserve"> </v>
      </c>
      <c r="R619" s="4" t="str">
        <f ca="1">IF(OR(INDEX($AG$2:$AG$1001,MATCH(ROWS($AF$2:AF619),$AF$2:$AF$1001,0),1)&gt;=100000,INDEX($AM$1005:$BM$1005,1,MATCH(COLUMNS($AM$1006:BC1006),$AM$1006:$BM$1006,0))&gt;=100000), " ",IF(INDEX($AM$2:$BM$1001,MATCH(ROWS($AF$2:AF619),$AF$2:$AF$1001,0),MATCH(COLUMNS($AM$1006:BC1006),$AM$1006:$BM$1006,0)), HYPERLINK("#",""), HYPERLINK(CONCATENATE("#metadata!", ADDRESS(INDEX($AH$2:$AH$1001,MATCH(ROWS($AF$2:AF619),$AF$2:$AF$1001,0),0), INDEX($AM$1004:$BM$1004,1,MATCH(COLUMNS($AM$1006:BC1006),$AM$1006:$BM$1006,0)))),"Fix")))</f>
        <v xml:space="preserve"> </v>
      </c>
      <c r="S619" s="4" t="str">
        <f ca="1">IF(OR(INDEX($AG$2:$AG$1001,MATCH(ROWS($AF$2:AF619),$AF$2:$AF$1001,0),1)&gt;=100000,INDEX($AM$1005:$BM$1005,1,MATCH(COLUMNS($AM$1006:BD1006),$AM$1006:$BM$1006,0))&gt;=100000), " ",IF(INDEX($AM$2:$BM$1001,MATCH(ROWS($AF$2:AF619),$AF$2:$AF$1001,0),MATCH(COLUMNS($AM$1006:BD1006),$AM$1006:$BM$1006,0)), HYPERLINK("#",""), HYPERLINK(CONCATENATE("#metadata!", ADDRESS(INDEX($AH$2:$AH$1001,MATCH(ROWS($AF$2:AF619),$AF$2:$AF$1001,0),0), INDEX($AM$1004:$BM$1004,1,MATCH(COLUMNS($AM$1006:BD1006),$AM$1006:$BM$1006,0)))),"Fix")))</f>
        <v xml:space="preserve"> </v>
      </c>
      <c r="T619" s="4" t="str">
        <f ca="1">IF(OR(INDEX($AG$2:$AG$1001,MATCH(ROWS($AF$2:AF619),$AF$2:$AF$1001,0),1)&gt;=100000,INDEX($AM$1005:$BM$1005,1,MATCH(COLUMNS($AM$1006:BE1006),$AM$1006:$BM$1006,0))&gt;=100000), " ",IF(INDEX($AM$2:$BM$1001,MATCH(ROWS($AF$2:AF619),$AF$2:$AF$1001,0),MATCH(COLUMNS($AM$1006:BE1006),$AM$1006:$BM$1006,0)), HYPERLINK("#",""), HYPERLINK(CONCATENATE("#metadata!", ADDRESS(INDEX($AH$2:$AH$1001,MATCH(ROWS($AF$2:AF619),$AF$2:$AF$1001,0),0), INDEX($AM$1004:$BM$1004,1,MATCH(COLUMNS($AM$1006:BE1006),$AM$1006:$BM$1006,0)))),"Fix")))</f>
        <v xml:space="preserve"> </v>
      </c>
      <c r="U619" s="4" t="str">
        <f ca="1">IF(OR(INDEX($AG$2:$AG$1001,MATCH(ROWS($AF$2:AF619),$AF$2:$AF$1001,0),1)&gt;=100000,INDEX($AM$1005:$BM$1005,1,MATCH(COLUMNS($AM$1006:BF1006),$AM$1006:$BM$1006,0))&gt;=100000), " ",IF(INDEX($AM$2:$BM$1001,MATCH(ROWS($AF$2:AF619),$AF$2:$AF$1001,0),MATCH(COLUMNS($AM$1006:BF1006),$AM$1006:$BM$1006,0)), HYPERLINK("#",""), HYPERLINK(CONCATENATE("#metadata!", ADDRESS(INDEX($AH$2:$AH$1001,MATCH(ROWS($AF$2:AF619),$AF$2:$AF$1001,0),0), INDEX($AM$1004:$BM$1004,1,MATCH(COLUMNS($AM$1006:BF1006),$AM$1006:$BM$1006,0)))),"Fix")))</f>
        <v xml:space="preserve"> </v>
      </c>
      <c r="V619" s="4" t="str">
        <f ca="1">IF(OR(INDEX($AG$2:$AG$1001,MATCH(ROWS($AF$2:AF619),$AF$2:$AF$1001,0),1)&gt;=100000,INDEX($AM$1005:$BM$1005,1,MATCH(COLUMNS($AM$1006:BG1006),$AM$1006:$BM$1006,0))&gt;=100000), " ",IF(INDEX($AM$2:$BM$1001,MATCH(ROWS($AF$2:AF619),$AF$2:$AF$1001,0),MATCH(COLUMNS($AM$1006:BG1006),$AM$1006:$BM$1006,0)), HYPERLINK("#",""), HYPERLINK(CONCATENATE("#metadata!", ADDRESS(INDEX($AH$2:$AH$1001,MATCH(ROWS($AF$2:AF619),$AF$2:$AF$1001,0),0), INDEX($AM$1004:$BM$1004,1,MATCH(COLUMNS($AM$1006:BG1006),$AM$1006:$BM$1006,0)))),"Fix")))</f>
        <v xml:space="preserve"> </v>
      </c>
      <c r="W619" s="4" t="str">
        <f ca="1">IF(OR(INDEX($AG$2:$AG$1001,MATCH(ROWS($AF$2:AF619),$AF$2:$AF$1001,0),1)&gt;=100000,INDEX($AM$1005:$BM$1005,1,MATCH(COLUMNS($AM$1006:BH1006),$AM$1006:$BM$1006,0))&gt;=100000), " ",IF(INDEX($AM$2:$BM$1001,MATCH(ROWS($AF$2:AF619),$AF$2:$AF$1001,0),MATCH(COLUMNS($AM$1006:BH1006),$AM$1006:$BM$1006,0)), HYPERLINK("#",""), HYPERLINK(CONCATENATE("#metadata!", ADDRESS(INDEX($AH$2:$AH$1001,MATCH(ROWS($AF$2:AF619),$AF$2:$AF$1001,0),0), INDEX($AM$1004:$BM$1004,1,MATCH(COLUMNS($AM$1006:BH1006),$AM$1006:$BM$1006,0)))),"Fix")))</f>
        <v xml:space="preserve"> </v>
      </c>
      <c r="X619" s="4" t="str">
        <f ca="1">IF(OR(INDEX($AG$2:$AG$1001,MATCH(ROWS($AF$2:AF619),$AF$2:$AF$1001,0),1)&gt;=100000,INDEX($AM$1005:$BM$1005,1,MATCH(COLUMNS($AM$1006:BI1006),$AM$1006:$BM$1006,0))&gt;=100000), " ",IF(INDEX($AM$2:$BM$1001,MATCH(ROWS($AF$2:AF619),$AF$2:$AF$1001,0),MATCH(COLUMNS($AM$1006:BI1006),$AM$1006:$BM$1006,0)), HYPERLINK("#",""), HYPERLINK(CONCATENATE("#metadata!", ADDRESS(INDEX($AH$2:$AH$1001,MATCH(ROWS($AF$2:AF619),$AF$2:$AF$1001,0),0), INDEX($AM$1004:$BM$1004,1,MATCH(COLUMNS($AM$1006:BI1006),$AM$1006:$BM$1006,0)))),"Fix")))</f>
        <v xml:space="preserve"> </v>
      </c>
      <c r="Y619" s="4" t="str">
        <f ca="1">IF(OR(INDEX($AG$2:$AG$1001,MATCH(ROWS($AF$2:AF619),$AF$2:$AF$1001,0),1)&gt;=100000,INDEX($AM$1005:$BM$1005,1,MATCH(COLUMNS($AM$1006:BJ1006),$AM$1006:$BM$1006,0))&gt;=100000), " ",IF(INDEX($AM$2:$BM$1001,MATCH(ROWS($AF$2:AF619),$AF$2:$AF$1001,0),MATCH(COLUMNS($AM$1006:BJ1006),$AM$1006:$BM$1006,0)), HYPERLINK("#",""), HYPERLINK(CONCATENATE("#metadata!", ADDRESS(INDEX($AH$2:$AH$1001,MATCH(ROWS($AF$2:AF619),$AF$2:$AF$1001,0),0), INDEX($AM$1004:$BM$1004,1,MATCH(COLUMNS($AM$1006:BJ1006),$AM$1006:$BM$1006,0)))),"Fix")))</f>
        <v xml:space="preserve"> </v>
      </c>
      <c r="Z619" s="4" t="str">
        <f ca="1">IF(OR(INDEX($AG$2:$AG$1001,MATCH(ROWS($AF$2:AF619),$AF$2:$AF$1001,0),1)&gt;=100000,INDEX($AM$1005:$BM$1005,1,MATCH(COLUMNS($AM$1006:BK1006),$AM$1006:$BM$1006,0))&gt;=100000), " ",IF(INDEX($AM$2:$BM$1001,MATCH(ROWS($AF$2:AF619),$AF$2:$AF$1001,0),MATCH(COLUMNS($AM$1006:BK1006),$AM$1006:$BM$1006,0)), HYPERLINK("#",""), HYPERLINK(CONCATENATE("#metadata!", ADDRESS(INDEX($AH$2:$AH$1001,MATCH(ROWS($AF$2:AF619),$AF$2:$AF$1001,0),0), INDEX($AM$1004:$BM$1004,1,MATCH(COLUMNS($AM$1006:BK1006),$AM$1006:$BM$1006,0)))),"Fix")))</f>
        <v xml:space="preserve"> </v>
      </c>
      <c r="AA619" s="4" t="str">
        <f ca="1">IF(OR(INDEX($AG$2:$AG$1001,MATCH(ROWS($AF$2:AF619),$AF$2:$AF$1001,0),1)&gt;=100000,INDEX($AM$1005:$BM$1005,1,MATCH(COLUMNS($AM$1006:BL1006),$AM$1006:$BM$1006,0))&gt;=100000), " ",IF(INDEX($AM$2:$BM$1001,MATCH(ROWS($AF$2:AF619),$AF$2:$AF$1001,0),MATCH(COLUMNS($AM$1006:BL1006),$AM$1006:$BM$1006,0)), HYPERLINK("#",""), HYPERLINK(CONCATENATE("#metadata!", ADDRESS(INDEX($AH$2:$AH$1001,MATCH(ROWS($AF$2:AF619),$AF$2:$AF$1001,0),0), INDEX($AM$1004:$BM$1004,1,MATCH(COLUMNS($AM$1006:BL1006),$AM$1006:$BM$1006,0)))),"Fix")))</f>
        <v xml:space="preserve"> </v>
      </c>
      <c r="AB619" s="4" t="str">
        <f ca="1">IF(OR(INDEX($AG$2:$AG$1001,MATCH(ROWS($AF$2:AF619),$AF$2:$AF$1001,0),1)&gt;=100000,INDEX($AM$1005:$BM$1005,1,MATCH(COLUMNS($AM$1006:BM1006),$AM$1006:$BM$1006,0))&gt;=100000), " ",IF(INDEX($AM$2:$BM$1001,MATCH(ROWS($AF$2:AF619),$AF$2:$AF$1001,0),MATCH(COLUMNS($AM$1006:BM1006),$AM$1006:$BM$1006,0)), HYPERLINK("#",""), HYPERLINK(CONCATENATE("#metadata!", ADDRESS(INDEX($AH$2:$AH$1001,MATCH(ROWS($AF$2:AF619),$AF$2:$AF$1001,0),0), INDEX($AM$1004:$BM$1004,1,MATCH(COLUMNS($AM$1006:BM1006),$AM$1006:$BM$1006,0)))),"Fix")))</f>
        <v xml:space="preserve"> </v>
      </c>
      <c r="AF619">
        <v>618</v>
      </c>
      <c r="AG619">
        <v>100619</v>
      </c>
      <c r="AH619">
        <v>619</v>
      </c>
      <c r="AI619" t="b">
        <f t="shared" si="9"/>
        <v>1</v>
      </c>
      <c r="AJ619" t="b">
        <f>COUNTBLANK(metadata!B619:AB619)=COLUMNS(metadata!B619:AB619)</f>
        <v>1</v>
      </c>
      <c r="AK619" t="str">
        <v/>
      </c>
      <c r="AM619" t="b">
        <f ca="1">AND(IF(metadata!B619="",FALSE,TRUE),COUNTIF(metadata!B:B, metadata!B619) = 1,NOT(ISERROR(SUMPRODUCT(SEARCH(MID(metadata!B619,ROW(INDIRECT("1:"&amp;LEN(metadata!B619))), 1),"0123456789abcdefghijklmnopqrstuvwxyzABCDEFGHIJKLMNOPQRSTUVWXYZ.")))))</f>
        <v>0</v>
      </c>
      <c r="AN619" t="b">
        <f ca="1">OR(AND(IF(metadata!C619="",FALSE,TRUE),OR(EXACT(metadata!C619,"missing: not collected"),EXACT(metadata!C619,"missing: not provided"),EXACT(metadata!C619,"missing: restricted access"))),AND(IF(metadata!C619="",FALSE,TRUE),AND(AND(IFERROR(INT(LEFT(metadata!C619,4))&gt;1900,FALSE),IFERROR(INT(LEFT(metadata!C619,4))&lt;=YEAR(NOW()),FALSE)), OR(MID(metadata!C619,5,1)="", AND(AND(MID(metadata!C619,5,1)="-",IFERROR(INT(MID(metadata!C619,6,1))&gt;=0,FALSE),IFERROR(INT(MID(metadata!C619,6,1))&lt;=1,FALSE),NOT(MID(metadata!C619,7,1)=""),IFERROR(INT(MID(metadata!C619,6,2))&gt;=1,FALSE),IFERROR(INT(MID(metadata!C619,6,2))&lt;=12,FALSE)), OR(MID(metadata!C619,8,1)="", AND(AND(MID(metadata!C619,8,1)="-",IFERROR(INT(MID(metadata!C619,9,1))&gt;=0,FALSE),IFERROR(INT(MID(metadata!C619,9,1))&lt;=3,FALSE),NOT(MID(metadata!C619,10,1)=""),IFERROR(INT(MID(metadata!C619,9,2))&gt;=1,FALSE),IFERROR(INT(MID(metadata!C619,9,2))&lt;=31,FALSE)), OR(MID(metadata!C619,11,1)="", AND(AND(MID(metadata!C619,11,1)=" ",IFERROR(INT(MID(metadata!C619,12,1))&gt;=0,FALSE),IFERROR(INT(MID(metadata!C619,12,1))&lt;=2,FALSE),NOT(MID(metadata!C619,13,1)=""),IFERROR(INT(MID(metadata!C619,12,2))&gt;=0,FALSE),IFERROR(INT(MID(metadata!C619,12,2))&lt;=23,FALSE)), OR(MID(metadata!C619,14,1)="", AND(AND(MID(metadata!C619,14,1)=":",IFERROR(INT(MID(metadata!C619,15,1))&gt;=0,FALSE),IFERROR(INT(MID(metadata!C619,15,1))&lt;=5,FALSE),NOT(MID(metadata!C619,16,1)=""),IFERROR(INT(MID(metadata!C619,15,2))&gt;=0,FALSE),IFERROR(INT(MID(metadata!C619,15,2))&lt;=59,FALSE)), OR(MID(metadata!C619,17,1)="", AND(AND(MID(metadata!C619,17,1)=":",IFERROR(INT(MID(metadata!C619,18,1))&gt;=0,FALSE),IFERROR(INT(MID(metadata!C619,18,1))&lt;=5,FALSE),NOT(MID(metadata!C619,19,1)=""),IFERROR(INT(MID(metadata!C619,18,2))&gt;=0,FALSE),IFERROR(INT(MID(metadata!C619,18,2))&lt;=59,FALSE)), LEN(metadata!C619)&lt;=19)))))))))))))</f>
        <v>0</v>
      </c>
      <c r="AO619" t="b">
        <f>AND(IF(metadata!D619="",FALSE,TRUE),EXACT(metadata!D619,"Not applicable"))</f>
        <v>0</v>
      </c>
      <c r="AP619" t="b">
        <f>IF(metadata!E619="",FALSE,TRUE)</f>
        <v>0</v>
      </c>
      <c r="AQ619" t="b">
        <f>OR(AND(IF(metadata!F619="",FALSE,TRUE),OR(EXACT(metadata!F619,"missing: not collected"),EXACT(metadata!F619,"missing: not provided"))),AND(IF(metadata!F619="",FALSE,TRUE),OR(EXACT(metadata!F619,"TRUE"),EXACT(metadata!F619,"FALSE"))))</f>
        <v>0</v>
      </c>
      <c r="AR619" t="b">
        <f>OR(AND(IF(metadata!G619="",FALSE,TRUE),OR(EXACT(metadata!G619,"missing: not collected"),EXACT(metadata!G619,"missing: not provided"),EXACT(metadata!G619,"missing: restricted access"))),AND(IF(metadata!G619="",FALSE,ISNUMBER(VALUE(metadata!G619))),metadata!G619&gt;=-413))</f>
        <v>0</v>
      </c>
      <c r="AS619" t="b">
        <f>AND(IF(metadata!H619="",FALSE,TRUE),EXACT(metadata!H619,"meters"))</f>
        <v>0</v>
      </c>
      <c r="AT619" t="b">
        <f>AND(IF(metadata!I619="",FALSE,TRUE),OR(EXACT(metadata!I619,"Host-associated"),EXACT(metadata!I619,"Free-living")))</f>
        <v>0</v>
      </c>
      <c r="AU619" t="b">
        <f>AND(IF(metadata!J619="",FALSE,TRUE),OR(EXACT(metadata!J619,"Animal"),EXACT(metadata!J619,"Fungus"),EXACT(metadata!J619,"Plant"),EXACT(metadata!J619,"Saline"),EXACT(metadata!J619,"Non-saline")))</f>
        <v>0</v>
      </c>
      <c r="AV619" t="b">
        <f>AND(IF(metadata!K619="",FALSE,TRUE),OR(EXACT(metadata!K619,"Plant secretion"),EXACT(metadata!K619,"Plant rhizosphere"),EXACT(metadata!K619,"Plant surface"),EXACT(metadata!K619,"Plant corpus"),EXACT(metadata!K619,"Fungus surface"),EXACT(metadata!K619,"Fungus corpus"),EXACT(metadata!K619,"Animal surface"),EXACT(metadata!K619,"Animal proximal gut"),EXACT(metadata!K619,"Animal corpus"),EXACT(metadata!K619,"Animal distal gut"),EXACT(metadata!K619,"Animal secretion"),EXACT(metadata!K619,"Sub-surface (non-saline)"),EXACT(metadata!K619,"Surface (non-saline)"),EXACT(metadata!K619,"Water (non-saline)"),EXACT(metadata!K619,"Soil (non-saline)"),EXACT(metadata!K619,"Aerosol (non-saline)"),EXACT(metadata!K619,"Sediment (non-saline)"),EXACT(metadata!K619,"Surface (saline)"),EXACT(metadata!K619,"Water (saline)"),EXACT(metadata!K619,"Hypersaline (saline)"),EXACT(metadata!K619,"Aerosol (saline)"),EXACT(metadata!K619,"Sediment (saline)")))</f>
        <v>0</v>
      </c>
      <c r="AW619" t="b">
        <f>IF(metadata!L619="",FALSE,TRUE)</f>
        <v>0</v>
      </c>
      <c r="AX619" t="b">
        <f>IF(metadata!M619="",FALSE,TRUE)</f>
        <v>0</v>
      </c>
      <c r="AY619" t="b">
        <f>IF(metadata!N619="",FALSE,TRUE)</f>
        <v>0</v>
      </c>
      <c r="AZ619" t="b">
        <f>OR(AND(IF(metadata!O619="",FALSE,TRUE),OR(EXACT(metadata!O619,"missing: not collected"),EXACT(metadata!O619,"missing: not provided"),EXACT(metadata!O619,"missing: restricted access"))),AND(IF(metadata!O619="",FALSE,TRUE),OR(EXACT(metadata!O619,"air"),EXACT(metadata!O619,"built environment"),EXACT(metadata!O619,"host-associated"),EXACT(metadata!O619,"human-associated"),EXACT(metadata!O619,"human-skin"),EXACT(metadata!O619,"human-oral"),EXACT(metadata!O619,"human-gut"),EXACT(metadata!O619,"human-vaginal"),EXACT(metadata!O619,"microbial mat/biofilm"),EXACT(metadata!O619,"misc environment"),EXACT(metadata!O619,"plant-associated"),EXACT(metadata!O619,"sediment"),EXACT(metadata!O619,"soil"),EXACT(metadata!O619,"wastewater/sludge"),EXACT(metadata!O619,"water"))))</f>
        <v>0</v>
      </c>
      <c r="BA619" t="b">
        <f>IF(metadata!P619="",FALSE,TRUE)</f>
        <v>0</v>
      </c>
      <c r="BB619" t="b">
        <f>IF(metadata!Q619="",FALSE,TRUE)</f>
        <v>0</v>
      </c>
      <c r="BC619" t="b">
        <f>OR(AND(IF(metadata!R619="",FALSE,TRUE),OR(EXACT(metadata!R619,"missing: not collected"),EXACT(metadata!R619,"missing: not provided"),EXACT(metadata!R619,"missing: restricted access"))),AND(IF(metadata!R619="",FALSE,ISNUMBER(VALUE(metadata!R619))),metadata!R619&gt;=-90,metadata!R619&lt;=90))</f>
        <v>0</v>
      </c>
      <c r="BD619" t="b">
        <f>AND(IF(metadata!S619="",FALSE,TRUE),EXACT(metadata!S619,"Decimal degrees"))</f>
        <v>0</v>
      </c>
      <c r="BE619" t="b">
        <f>OR(AND(IF(metadata!T619="",FALSE,TRUE),OR(EXACT(metadata!T619,"missing: not collected"),EXACT(metadata!T619,"missing: not provided"),EXACT(metadata!T619,"missing: restricted access"))),AND(IF(metadata!T619="",FALSE,ISNUMBER(VALUE(metadata!T619))),metadata!T619&gt;=-180,metadata!T619&lt;=180))</f>
        <v>0</v>
      </c>
      <c r="BF619" t="b">
        <f>AND(IF(metadata!U619="",FALSE,TRUE),EXACT(metadata!U619,"Decimal degrees"))</f>
        <v>0</v>
      </c>
      <c r="BG619" t="b">
        <f>IF(metadata!V619="",FALSE,TRUE)</f>
        <v>0</v>
      </c>
      <c r="BH619" t="b">
        <f>OR(AND(IF(metadata!W619="",FALSE,TRUE),OR(EXACT(metadata!W619,"missing: not collected"),EXACT(metadata!W619,"missing: not provided"),EXACT(metadata!W619,"missing: restricted access"))),AND(IF(metadata!W619="",FALSE,TRUE),OR(EXACT(metadata!W619,"TRUE"),EXACT(metadata!W619,"FALSE"))))</f>
        <v>0</v>
      </c>
      <c r="BI619" t="b">
        <f>AND(IF(metadata!X619="",FALSE,TRUE),EXACT(metadata!X619,"other"))</f>
        <v>0</v>
      </c>
      <c r="BJ619" t="b">
        <f>IF(metadata!Y619="",FALSE,TRUE)</f>
        <v>0</v>
      </c>
      <c r="BK619" t="b">
        <f>OR(AND(IF(metadata!Z619="",FALSE,TRUE),OR(EXACT(metadata!Z619,"missing: not collected"),EXACT(metadata!Z619,"missing: not provided"))),AND(IF(metadata!Z619="",FALSE,IF(ISERROR(INT(metadata!Z619)),FALSE,INT(metadata!Z619)=metadata!Z619)),metadata!Z619&gt;0))</f>
        <v>0</v>
      </c>
      <c r="BL619" t="b">
        <f>AND(IF(metadata!AA619="",FALSE,TRUE),EXACT(metadata!AA619,"Not applicable"))</f>
        <v>0</v>
      </c>
      <c r="BM619" t="b">
        <f>IF(metadata!AB619="",FALSE,TRUE)</f>
        <v>0</v>
      </c>
    </row>
    <row r="620" spans="1:65" x14ac:dyDescent="0.2">
      <c r="A620" s="5" t="str">
        <f ca="1">IF(B620=" "," ",HYPERLINK(CONCATENATE("#metadata!",ADDRESS(INDEX($AH$2:$AH$1001,MATCH(ROWS($AF$2:AF620),$AF$2:$AF$1001,0),0),1)),INDEX($AK$2:$AK$1001,MATCH(ROWS($AF$2:AF620),$AF$2:$AF$1001,0),0)))</f>
        <v xml:space="preserve"> </v>
      </c>
      <c r="B620" s="4" t="str">
        <f ca="1">IF(OR(INDEX($AG$2:$AG$1001,MATCH(ROWS($AF$2:AF620),$AF$2:$AF$1001,0),1)&gt;=100000,INDEX($AM$1005:$BM$1005,1,MATCH(COLUMNS($AM$1006:AM1006),$AM$1006:$BM$1006,0))&gt;=100000), " ",IF(INDEX($AM$2:$BM$1001,MATCH(ROWS($AF$2:AF620),$AF$2:$AF$1001,0),MATCH(COLUMNS($AM$1006:AM1006),$AM$1006:$BM$1006,0)), HYPERLINK("#",""), HYPERLINK(CONCATENATE("#metadata!", ADDRESS(INDEX($AH$2:$AH$1001,MATCH(ROWS($AF$2:AF620),$AF$2:$AF$1001,0),0), INDEX($AM$1004:$BM$1004,1,MATCH(COLUMNS($AM$1006:AM1006),$AM$1006:$BM$1006,0)))),"Fix")))</f>
        <v xml:space="preserve"> </v>
      </c>
      <c r="C620" s="4" t="str">
        <f ca="1">IF(OR(INDEX($AG$2:$AG$1001,MATCH(ROWS($AF$2:AF620),$AF$2:$AF$1001,0),1)&gt;=100000,INDEX($AM$1005:$BM$1005,1,MATCH(COLUMNS($AM$1006:AN1006),$AM$1006:$BM$1006,0))&gt;=100000), " ",IF(INDEX($AM$2:$BM$1001,MATCH(ROWS($AF$2:AF620),$AF$2:$AF$1001,0),MATCH(COLUMNS($AM$1006:AN1006),$AM$1006:$BM$1006,0)), HYPERLINK("#",""), HYPERLINK(CONCATENATE("#metadata!", ADDRESS(INDEX($AH$2:$AH$1001,MATCH(ROWS($AF$2:AF620),$AF$2:$AF$1001,0),0), INDEX($AM$1004:$BM$1004,1,MATCH(COLUMNS($AM$1006:AN1006),$AM$1006:$BM$1006,0)))),"Fix")))</f>
        <v xml:space="preserve"> </v>
      </c>
      <c r="D620" s="4" t="str">
        <f ca="1">IF(OR(INDEX($AG$2:$AG$1001,MATCH(ROWS($AF$2:AF620),$AF$2:$AF$1001,0),1)&gt;=100000,INDEX($AM$1005:$BM$1005,1,MATCH(COLUMNS($AM$1006:AO1006),$AM$1006:$BM$1006,0))&gt;=100000), " ",IF(INDEX($AM$2:$BM$1001,MATCH(ROWS($AF$2:AF620),$AF$2:$AF$1001,0),MATCH(COLUMNS($AM$1006:AO1006),$AM$1006:$BM$1006,0)), HYPERLINK("#",""), HYPERLINK(CONCATENATE("#metadata!", ADDRESS(INDEX($AH$2:$AH$1001,MATCH(ROWS($AF$2:AF620),$AF$2:$AF$1001,0),0), INDEX($AM$1004:$BM$1004,1,MATCH(COLUMNS($AM$1006:AO1006),$AM$1006:$BM$1006,0)))),"Fix")))</f>
        <v xml:space="preserve"> </v>
      </c>
      <c r="E620" s="4" t="str">
        <f ca="1">IF(OR(INDEX($AG$2:$AG$1001,MATCH(ROWS($AF$2:AF620),$AF$2:$AF$1001,0),1)&gt;=100000,INDEX($AM$1005:$BM$1005,1,MATCH(COLUMNS($AM$1006:AP1006),$AM$1006:$BM$1006,0))&gt;=100000), " ",IF(INDEX($AM$2:$BM$1001,MATCH(ROWS($AF$2:AF620),$AF$2:$AF$1001,0),MATCH(COLUMNS($AM$1006:AP1006),$AM$1006:$BM$1006,0)), HYPERLINK("#",""), HYPERLINK(CONCATENATE("#metadata!", ADDRESS(INDEX($AH$2:$AH$1001,MATCH(ROWS($AF$2:AF620),$AF$2:$AF$1001,0),0), INDEX($AM$1004:$BM$1004,1,MATCH(COLUMNS($AM$1006:AP1006),$AM$1006:$BM$1006,0)))),"Fix")))</f>
        <v xml:space="preserve"> </v>
      </c>
      <c r="F620" s="4" t="str">
        <f ca="1">IF(OR(INDEX($AG$2:$AG$1001,MATCH(ROWS($AF$2:AF620),$AF$2:$AF$1001,0),1)&gt;=100000,INDEX($AM$1005:$BM$1005,1,MATCH(COLUMNS($AM$1006:AQ1006),$AM$1006:$BM$1006,0))&gt;=100000), " ",IF(INDEX($AM$2:$BM$1001,MATCH(ROWS($AF$2:AF620),$AF$2:$AF$1001,0),MATCH(COLUMNS($AM$1006:AQ1006),$AM$1006:$BM$1006,0)), HYPERLINK("#",""), HYPERLINK(CONCATENATE("#metadata!", ADDRESS(INDEX($AH$2:$AH$1001,MATCH(ROWS($AF$2:AF620),$AF$2:$AF$1001,0),0), INDEX($AM$1004:$BM$1004,1,MATCH(COLUMNS($AM$1006:AQ1006),$AM$1006:$BM$1006,0)))),"Fix")))</f>
        <v xml:space="preserve"> </v>
      </c>
      <c r="G620" s="4" t="str">
        <f ca="1">IF(OR(INDEX($AG$2:$AG$1001,MATCH(ROWS($AF$2:AF620),$AF$2:$AF$1001,0),1)&gt;=100000,INDEX($AM$1005:$BM$1005,1,MATCH(COLUMNS($AM$1006:AR1006),$AM$1006:$BM$1006,0))&gt;=100000), " ",IF(INDEX($AM$2:$BM$1001,MATCH(ROWS($AF$2:AF620),$AF$2:$AF$1001,0),MATCH(COLUMNS($AM$1006:AR1006),$AM$1006:$BM$1006,0)), HYPERLINK("#",""), HYPERLINK(CONCATENATE("#metadata!", ADDRESS(INDEX($AH$2:$AH$1001,MATCH(ROWS($AF$2:AF620),$AF$2:$AF$1001,0),0), INDEX($AM$1004:$BM$1004,1,MATCH(COLUMNS($AM$1006:AR1006),$AM$1006:$BM$1006,0)))),"Fix")))</f>
        <v xml:space="preserve"> </v>
      </c>
      <c r="H620" s="4" t="str">
        <f ca="1">IF(OR(INDEX($AG$2:$AG$1001,MATCH(ROWS($AF$2:AF620),$AF$2:$AF$1001,0),1)&gt;=100000,INDEX($AM$1005:$BM$1005,1,MATCH(COLUMNS($AM$1006:AS1006),$AM$1006:$BM$1006,0))&gt;=100000), " ",IF(INDEX($AM$2:$BM$1001,MATCH(ROWS($AF$2:AF620),$AF$2:$AF$1001,0),MATCH(COLUMNS($AM$1006:AS1006),$AM$1006:$BM$1006,0)), HYPERLINK("#",""), HYPERLINK(CONCATENATE("#metadata!", ADDRESS(INDEX($AH$2:$AH$1001,MATCH(ROWS($AF$2:AF620),$AF$2:$AF$1001,0),0), INDEX($AM$1004:$BM$1004,1,MATCH(COLUMNS($AM$1006:AS1006),$AM$1006:$BM$1006,0)))),"Fix")))</f>
        <v xml:space="preserve"> </v>
      </c>
      <c r="I620" s="4" t="str">
        <f ca="1">IF(OR(INDEX($AG$2:$AG$1001,MATCH(ROWS($AF$2:AF620),$AF$2:$AF$1001,0),1)&gt;=100000,INDEX($AM$1005:$BM$1005,1,MATCH(COLUMNS($AM$1006:AT1006),$AM$1006:$BM$1006,0))&gt;=100000), " ",IF(INDEX($AM$2:$BM$1001,MATCH(ROWS($AF$2:AF620),$AF$2:$AF$1001,0),MATCH(COLUMNS($AM$1006:AT1006),$AM$1006:$BM$1006,0)), HYPERLINK("#",""), HYPERLINK(CONCATENATE("#metadata!", ADDRESS(INDEX($AH$2:$AH$1001,MATCH(ROWS($AF$2:AF620),$AF$2:$AF$1001,0),0), INDEX($AM$1004:$BM$1004,1,MATCH(COLUMNS($AM$1006:AT1006),$AM$1006:$BM$1006,0)))),"Fix")))</f>
        <v xml:space="preserve"> </v>
      </c>
      <c r="J620" s="4" t="str">
        <f ca="1">IF(OR(INDEX($AG$2:$AG$1001,MATCH(ROWS($AF$2:AF620),$AF$2:$AF$1001,0),1)&gt;=100000,INDEX($AM$1005:$BM$1005,1,MATCH(COLUMNS($AM$1006:AU1006),$AM$1006:$BM$1006,0))&gt;=100000), " ",IF(INDEX($AM$2:$BM$1001,MATCH(ROWS($AF$2:AF620),$AF$2:$AF$1001,0),MATCH(COLUMNS($AM$1006:AU1006),$AM$1006:$BM$1006,0)), HYPERLINK("#",""), HYPERLINK(CONCATENATE("#metadata!", ADDRESS(INDEX($AH$2:$AH$1001,MATCH(ROWS($AF$2:AF620),$AF$2:$AF$1001,0),0), INDEX($AM$1004:$BM$1004,1,MATCH(COLUMNS($AM$1006:AU1006),$AM$1006:$BM$1006,0)))),"Fix")))</f>
        <v xml:space="preserve"> </v>
      </c>
      <c r="K620" s="4" t="str">
        <f ca="1">IF(OR(INDEX($AG$2:$AG$1001,MATCH(ROWS($AF$2:AF620),$AF$2:$AF$1001,0),1)&gt;=100000,INDEX($AM$1005:$BM$1005,1,MATCH(COLUMNS($AM$1006:AV1006),$AM$1006:$BM$1006,0))&gt;=100000), " ",IF(INDEX($AM$2:$BM$1001,MATCH(ROWS($AF$2:AF620),$AF$2:$AF$1001,0),MATCH(COLUMNS($AM$1006:AV1006),$AM$1006:$BM$1006,0)), HYPERLINK("#",""), HYPERLINK(CONCATENATE("#metadata!", ADDRESS(INDEX($AH$2:$AH$1001,MATCH(ROWS($AF$2:AF620),$AF$2:$AF$1001,0),0), INDEX($AM$1004:$BM$1004,1,MATCH(COLUMNS($AM$1006:AV1006),$AM$1006:$BM$1006,0)))),"Fix")))</f>
        <v xml:space="preserve"> </v>
      </c>
      <c r="L620" s="4" t="str">
        <f ca="1">IF(OR(INDEX($AG$2:$AG$1001,MATCH(ROWS($AF$2:AF620),$AF$2:$AF$1001,0),1)&gt;=100000,INDEX($AM$1005:$BM$1005,1,MATCH(COLUMNS($AM$1006:AW1006),$AM$1006:$BM$1006,0))&gt;=100000), " ",IF(INDEX($AM$2:$BM$1001,MATCH(ROWS($AF$2:AF620),$AF$2:$AF$1001,0),MATCH(COLUMNS($AM$1006:AW1006),$AM$1006:$BM$1006,0)), HYPERLINK("#",""), HYPERLINK(CONCATENATE("#metadata!", ADDRESS(INDEX($AH$2:$AH$1001,MATCH(ROWS($AF$2:AF620),$AF$2:$AF$1001,0),0), INDEX($AM$1004:$BM$1004,1,MATCH(COLUMNS($AM$1006:AW1006),$AM$1006:$BM$1006,0)))),"Fix")))</f>
        <v xml:space="preserve"> </v>
      </c>
      <c r="M620" s="4" t="str">
        <f ca="1">IF(OR(INDEX($AG$2:$AG$1001,MATCH(ROWS($AF$2:AF620),$AF$2:$AF$1001,0),1)&gt;=100000,INDEX($AM$1005:$BM$1005,1,MATCH(COLUMNS($AM$1006:AX1006),$AM$1006:$BM$1006,0))&gt;=100000), " ",IF(INDEX($AM$2:$BM$1001,MATCH(ROWS($AF$2:AF620),$AF$2:$AF$1001,0),MATCH(COLUMNS($AM$1006:AX1006),$AM$1006:$BM$1006,0)), HYPERLINK("#",""), HYPERLINK(CONCATENATE("#metadata!", ADDRESS(INDEX($AH$2:$AH$1001,MATCH(ROWS($AF$2:AF620),$AF$2:$AF$1001,0),0), INDEX($AM$1004:$BM$1004,1,MATCH(COLUMNS($AM$1006:AX1006),$AM$1006:$BM$1006,0)))),"Fix")))</f>
        <v xml:space="preserve"> </v>
      </c>
      <c r="N620" s="4" t="str">
        <f ca="1">IF(OR(INDEX($AG$2:$AG$1001,MATCH(ROWS($AF$2:AF620),$AF$2:$AF$1001,0),1)&gt;=100000,INDEX($AM$1005:$BM$1005,1,MATCH(COLUMNS($AM$1006:AY1006),$AM$1006:$BM$1006,0))&gt;=100000), " ",IF(INDEX($AM$2:$BM$1001,MATCH(ROWS($AF$2:AF620),$AF$2:$AF$1001,0),MATCH(COLUMNS($AM$1006:AY1006),$AM$1006:$BM$1006,0)), HYPERLINK("#",""), HYPERLINK(CONCATENATE("#metadata!", ADDRESS(INDEX($AH$2:$AH$1001,MATCH(ROWS($AF$2:AF620),$AF$2:$AF$1001,0),0), INDEX($AM$1004:$BM$1004,1,MATCH(COLUMNS($AM$1006:AY1006),$AM$1006:$BM$1006,0)))),"Fix")))</f>
        <v xml:space="preserve"> </v>
      </c>
      <c r="O620" s="4" t="str">
        <f ca="1">IF(OR(INDEX($AG$2:$AG$1001,MATCH(ROWS($AF$2:AF620),$AF$2:$AF$1001,0),1)&gt;=100000,INDEX($AM$1005:$BM$1005,1,MATCH(COLUMNS($AM$1006:AZ1006),$AM$1006:$BM$1006,0))&gt;=100000), " ",IF(INDEX($AM$2:$BM$1001,MATCH(ROWS($AF$2:AF620),$AF$2:$AF$1001,0),MATCH(COLUMNS($AM$1006:AZ1006),$AM$1006:$BM$1006,0)), HYPERLINK("#",""), HYPERLINK(CONCATENATE("#metadata!", ADDRESS(INDEX($AH$2:$AH$1001,MATCH(ROWS($AF$2:AF620),$AF$2:$AF$1001,0),0), INDEX($AM$1004:$BM$1004,1,MATCH(COLUMNS($AM$1006:AZ1006),$AM$1006:$BM$1006,0)))),"Fix")))</f>
        <v xml:space="preserve"> </v>
      </c>
      <c r="P620" s="4" t="str">
        <f ca="1">IF(OR(INDEX($AG$2:$AG$1001,MATCH(ROWS($AF$2:AF620),$AF$2:$AF$1001,0),1)&gt;=100000,INDEX($AM$1005:$BM$1005,1,MATCH(COLUMNS($AM$1006:BA1006),$AM$1006:$BM$1006,0))&gt;=100000), " ",IF(INDEX($AM$2:$BM$1001,MATCH(ROWS($AF$2:AF620),$AF$2:$AF$1001,0),MATCH(COLUMNS($AM$1006:BA1006),$AM$1006:$BM$1006,0)), HYPERLINK("#",""), HYPERLINK(CONCATENATE("#metadata!", ADDRESS(INDEX($AH$2:$AH$1001,MATCH(ROWS($AF$2:AF620),$AF$2:$AF$1001,0),0), INDEX($AM$1004:$BM$1004,1,MATCH(COLUMNS($AM$1006:BA1006),$AM$1006:$BM$1006,0)))),"Fix")))</f>
        <v xml:space="preserve"> </v>
      </c>
      <c r="Q620" s="4" t="str">
        <f ca="1">IF(OR(INDEX($AG$2:$AG$1001,MATCH(ROWS($AF$2:AF620),$AF$2:$AF$1001,0),1)&gt;=100000,INDEX($AM$1005:$BM$1005,1,MATCH(COLUMNS($AM$1006:BB1006),$AM$1006:$BM$1006,0))&gt;=100000), " ",IF(INDEX($AM$2:$BM$1001,MATCH(ROWS($AF$2:AF620),$AF$2:$AF$1001,0),MATCH(COLUMNS($AM$1006:BB1006),$AM$1006:$BM$1006,0)), HYPERLINK("#",""), HYPERLINK(CONCATENATE("#metadata!", ADDRESS(INDEX($AH$2:$AH$1001,MATCH(ROWS($AF$2:AF620),$AF$2:$AF$1001,0),0), INDEX($AM$1004:$BM$1004,1,MATCH(COLUMNS($AM$1006:BB1006),$AM$1006:$BM$1006,0)))),"Fix")))</f>
        <v xml:space="preserve"> </v>
      </c>
      <c r="R620" s="4" t="str">
        <f ca="1">IF(OR(INDEX($AG$2:$AG$1001,MATCH(ROWS($AF$2:AF620),$AF$2:$AF$1001,0),1)&gt;=100000,INDEX($AM$1005:$BM$1005,1,MATCH(COLUMNS($AM$1006:BC1006),$AM$1006:$BM$1006,0))&gt;=100000), " ",IF(INDEX($AM$2:$BM$1001,MATCH(ROWS($AF$2:AF620),$AF$2:$AF$1001,0),MATCH(COLUMNS($AM$1006:BC1006),$AM$1006:$BM$1006,0)), HYPERLINK("#",""), HYPERLINK(CONCATENATE("#metadata!", ADDRESS(INDEX($AH$2:$AH$1001,MATCH(ROWS($AF$2:AF620),$AF$2:$AF$1001,0),0), INDEX($AM$1004:$BM$1004,1,MATCH(COLUMNS($AM$1006:BC1006),$AM$1006:$BM$1006,0)))),"Fix")))</f>
        <v xml:space="preserve"> </v>
      </c>
      <c r="S620" s="4" t="str">
        <f ca="1">IF(OR(INDEX($AG$2:$AG$1001,MATCH(ROWS($AF$2:AF620),$AF$2:$AF$1001,0),1)&gt;=100000,INDEX($AM$1005:$BM$1005,1,MATCH(COLUMNS($AM$1006:BD1006),$AM$1006:$BM$1006,0))&gt;=100000), " ",IF(INDEX($AM$2:$BM$1001,MATCH(ROWS($AF$2:AF620),$AF$2:$AF$1001,0),MATCH(COLUMNS($AM$1006:BD1006),$AM$1006:$BM$1006,0)), HYPERLINK("#",""), HYPERLINK(CONCATENATE("#metadata!", ADDRESS(INDEX($AH$2:$AH$1001,MATCH(ROWS($AF$2:AF620),$AF$2:$AF$1001,0),0), INDEX($AM$1004:$BM$1004,1,MATCH(COLUMNS($AM$1006:BD1006),$AM$1006:$BM$1006,0)))),"Fix")))</f>
        <v xml:space="preserve"> </v>
      </c>
      <c r="T620" s="4" t="str">
        <f ca="1">IF(OR(INDEX($AG$2:$AG$1001,MATCH(ROWS($AF$2:AF620),$AF$2:$AF$1001,0),1)&gt;=100000,INDEX($AM$1005:$BM$1005,1,MATCH(COLUMNS($AM$1006:BE1006),$AM$1006:$BM$1006,0))&gt;=100000), " ",IF(INDEX($AM$2:$BM$1001,MATCH(ROWS($AF$2:AF620),$AF$2:$AF$1001,0),MATCH(COLUMNS($AM$1006:BE1006),$AM$1006:$BM$1006,0)), HYPERLINK("#",""), HYPERLINK(CONCATENATE("#metadata!", ADDRESS(INDEX($AH$2:$AH$1001,MATCH(ROWS($AF$2:AF620),$AF$2:$AF$1001,0),0), INDEX($AM$1004:$BM$1004,1,MATCH(COLUMNS($AM$1006:BE1006),$AM$1006:$BM$1006,0)))),"Fix")))</f>
        <v xml:space="preserve"> </v>
      </c>
      <c r="U620" s="4" t="str">
        <f ca="1">IF(OR(INDEX($AG$2:$AG$1001,MATCH(ROWS($AF$2:AF620),$AF$2:$AF$1001,0),1)&gt;=100000,INDEX($AM$1005:$BM$1005,1,MATCH(COLUMNS($AM$1006:BF1006),$AM$1006:$BM$1006,0))&gt;=100000), " ",IF(INDEX($AM$2:$BM$1001,MATCH(ROWS($AF$2:AF620),$AF$2:$AF$1001,0),MATCH(COLUMNS($AM$1006:BF1006),$AM$1006:$BM$1006,0)), HYPERLINK("#",""), HYPERLINK(CONCATENATE("#metadata!", ADDRESS(INDEX($AH$2:$AH$1001,MATCH(ROWS($AF$2:AF620),$AF$2:$AF$1001,0),0), INDEX($AM$1004:$BM$1004,1,MATCH(COLUMNS($AM$1006:BF1006),$AM$1006:$BM$1006,0)))),"Fix")))</f>
        <v xml:space="preserve"> </v>
      </c>
      <c r="V620" s="4" t="str">
        <f ca="1">IF(OR(INDEX($AG$2:$AG$1001,MATCH(ROWS($AF$2:AF620),$AF$2:$AF$1001,0),1)&gt;=100000,INDEX($AM$1005:$BM$1005,1,MATCH(COLUMNS($AM$1006:BG1006),$AM$1006:$BM$1006,0))&gt;=100000), " ",IF(INDEX($AM$2:$BM$1001,MATCH(ROWS($AF$2:AF620),$AF$2:$AF$1001,0),MATCH(COLUMNS($AM$1006:BG1006),$AM$1006:$BM$1006,0)), HYPERLINK("#",""), HYPERLINK(CONCATENATE("#metadata!", ADDRESS(INDEX($AH$2:$AH$1001,MATCH(ROWS($AF$2:AF620),$AF$2:$AF$1001,0),0), INDEX($AM$1004:$BM$1004,1,MATCH(COLUMNS($AM$1006:BG1006),$AM$1006:$BM$1006,0)))),"Fix")))</f>
        <v xml:space="preserve"> </v>
      </c>
      <c r="W620" s="4" t="str">
        <f ca="1">IF(OR(INDEX($AG$2:$AG$1001,MATCH(ROWS($AF$2:AF620),$AF$2:$AF$1001,0),1)&gt;=100000,INDEX($AM$1005:$BM$1005,1,MATCH(COLUMNS($AM$1006:BH1006),$AM$1006:$BM$1006,0))&gt;=100000), " ",IF(INDEX($AM$2:$BM$1001,MATCH(ROWS($AF$2:AF620),$AF$2:$AF$1001,0),MATCH(COLUMNS($AM$1006:BH1006),$AM$1006:$BM$1006,0)), HYPERLINK("#",""), HYPERLINK(CONCATENATE("#metadata!", ADDRESS(INDEX($AH$2:$AH$1001,MATCH(ROWS($AF$2:AF620),$AF$2:$AF$1001,0),0), INDEX($AM$1004:$BM$1004,1,MATCH(COLUMNS($AM$1006:BH1006),$AM$1006:$BM$1006,0)))),"Fix")))</f>
        <v xml:space="preserve"> </v>
      </c>
      <c r="X620" s="4" t="str">
        <f ca="1">IF(OR(INDEX($AG$2:$AG$1001,MATCH(ROWS($AF$2:AF620),$AF$2:$AF$1001,0),1)&gt;=100000,INDEX($AM$1005:$BM$1005,1,MATCH(COLUMNS($AM$1006:BI1006),$AM$1006:$BM$1006,0))&gt;=100000), " ",IF(INDEX($AM$2:$BM$1001,MATCH(ROWS($AF$2:AF620),$AF$2:$AF$1001,0),MATCH(COLUMNS($AM$1006:BI1006),$AM$1006:$BM$1006,0)), HYPERLINK("#",""), HYPERLINK(CONCATENATE("#metadata!", ADDRESS(INDEX($AH$2:$AH$1001,MATCH(ROWS($AF$2:AF620),$AF$2:$AF$1001,0),0), INDEX($AM$1004:$BM$1004,1,MATCH(COLUMNS($AM$1006:BI1006),$AM$1006:$BM$1006,0)))),"Fix")))</f>
        <v xml:space="preserve"> </v>
      </c>
      <c r="Y620" s="4" t="str">
        <f ca="1">IF(OR(INDEX($AG$2:$AG$1001,MATCH(ROWS($AF$2:AF620),$AF$2:$AF$1001,0),1)&gt;=100000,INDEX($AM$1005:$BM$1005,1,MATCH(COLUMNS($AM$1006:BJ1006),$AM$1006:$BM$1006,0))&gt;=100000), " ",IF(INDEX($AM$2:$BM$1001,MATCH(ROWS($AF$2:AF620),$AF$2:$AF$1001,0),MATCH(COLUMNS($AM$1006:BJ1006),$AM$1006:$BM$1006,0)), HYPERLINK("#",""), HYPERLINK(CONCATENATE("#metadata!", ADDRESS(INDEX($AH$2:$AH$1001,MATCH(ROWS($AF$2:AF620),$AF$2:$AF$1001,0),0), INDEX($AM$1004:$BM$1004,1,MATCH(COLUMNS($AM$1006:BJ1006),$AM$1006:$BM$1006,0)))),"Fix")))</f>
        <v xml:space="preserve"> </v>
      </c>
      <c r="Z620" s="4" t="str">
        <f ca="1">IF(OR(INDEX($AG$2:$AG$1001,MATCH(ROWS($AF$2:AF620),$AF$2:$AF$1001,0),1)&gt;=100000,INDEX($AM$1005:$BM$1005,1,MATCH(COLUMNS($AM$1006:BK1006),$AM$1006:$BM$1006,0))&gt;=100000), " ",IF(INDEX($AM$2:$BM$1001,MATCH(ROWS($AF$2:AF620),$AF$2:$AF$1001,0),MATCH(COLUMNS($AM$1006:BK1006),$AM$1006:$BM$1006,0)), HYPERLINK("#",""), HYPERLINK(CONCATENATE("#metadata!", ADDRESS(INDEX($AH$2:$AH$1001,MATCH(ROWS($AF$2:AF620),$AF$2:$AF$1001,0),0), INDEX($AM$1004:$BM$1004,1,MATCH(COLUMNS($AM$1006:BK1006),$AM$1006:$BM$1006,0)))),"Fix")))</f>
        <v xml:space="preserve"> </v>
      </c>
      <c r="AA620" s="4" t="str">
        <f ca="1">IF(OR(INDEX($AG$2:$AG$1001,MATCH(ROWS($AF$2:AF620),$AF$2:$AF$1001,0),1)&gt;=100000,INDEX($AM$1005:$BM$1005,1,MATCH(COLUMNS($AM$1006:BL1006),$AM$1006:$BM$1006,0))&gt;=100000), " ",IF(INDEX($AM$2:$BM$1001,MATCH(ROWS($AF$2:AF620),$AF$2:$AF$1001,0),MATCH(COLUMNS($AM$1006:BL1006),$AM$1006:$BM$1006,0)), HYPERLINK("#",""), HYPERLINK(CONCATENATE("#metadata!", ADDRESS(INDEX($AH$2:$AH$1001,MATCH(ROWS($AF$2:AF620),$AF$2:$AF$1001,0),0), INDEX($AM$1004:$BM$1004,1,MATCH(COLUMNS($AM$1006:BL1006),$AM$1006:$BM$1006,0)))),"Fix")))</f>
        <v xml:space="preserve"> </v>
      </c>
      <c r="AB620" s="4" t="str">
        <f ca="1">IF(OR(INDEX($AG$2:$AG$1001,MATCH(ROWS($AF$2:AF620),$AF$2:$AF$1001,0),1)&gt;=100000,INDEX($AM$1005:$BM$1005,1,MATCH(COLUMNS($AM$1006:BM1006),$AM$1006:$BM$1006,0))&gt;=100000), " ",IF(INDEX($AM$2:$BM$1001,MATCH(ROWS($AF$2:AF620),$AF$2:$AF$1001,0),MATCH(COLUMNS($AM$1006:BM1006),$AM$1006:$BM$1006,0)), HYPERLINK("#",""), HYPERLINK(CONCATENATE("#metadata!", ADDRESS(INDEX($AH$2:$AH$1001,MATCH(ROWS($AF$2:AF620),$AF$2:$AF$1001,0),0), INDEX($AM$1004:$BM$1004,1,MATCH(COLUMNS($AM$1006:BM1006),$AM$1006:$BM$1006,0)))),"Fix")))</f>
        <v xml:space="preserve"> </v>
      </c>
      <c r="AF620">
        <v>619</v>
      </c>
      <c r="AG620">
        <v>100620</v>
      </c>
      <c r="AH620">
        <v>620</v>
      </c>
      <c r="AI620" t="b">
        <f t="shared" si="9"/>
        <v>1</v>
      </c>
      <c r="AJ620" t="b">
        <f>COUNTBLANK(metadata!B620:AB620)=COLUMNS(metadata!B620:AB620)</f>
        <v>1</v>
      </c>
      <c r="AK620" t="str">
        <v/>
      </c>
      <c r="AM620" t="b">
        <f ca="1">AND(IF(metadata!B620="",FALSE,TRUE),COUNTIF(metadata!B:B, metadata!B620) = 1,NOT(ISERROR(SUMPRODUCT(SEARCH(MID(metadata!B620,ROW(INDIRECT("1:"&amp;LEN(metadata!B620))), 1),"0123456789abcdefghijklmnopqrstuvwxyzABCDEFGHIJKLMNOPQRSTUVWXYZ.")))))</f>
        <v>0</v>
      </c>
      <c r="AN620" t="b">
        <f ca="1">OR(AND(IF(metadata!C620="",FALSE,TRUE),OR(EXACT(metadata!C620,"missing: not collected"),EXACT(metadata!C620,"missing: not provided"),EXACT(metadata!C620,"missing: restricted access"))),AND(IF(metadata!C620="",FALSE,TRUE),AND(AND(IFERROR(INT(LEFT(metadata!C620,4))&gt;1900,FALSE),IFERROR(INT(LEFT(metadata!C620,4))&lt;=YEAR(NOW()),FALSE)), OR(MID(metadata!C620,5,1)="", AND(AND(MID(metadata!C620,5,1)="-",IFERROR(INT(MID(metadata!C620,6,1))&gt;=0,FALSE),IFERROR(INT(MID(metadata!C620,6,1))&lt;=1,FALSE),NOT(MID(metadata!C620,7,1)=""),IFERROR(INT(MID(metadata!C620,6,2))&gt;=1,FALSE),IFERROR(INT(MID(metadata!C620,6,2))&lt;=12,FALSE)), OR(MID(metadata!C620,8,1)="", AND(AND(MID(metadata!C620,8,1)="-",IFERROR(INT(MID(metadata!C620,9,1))&gt;=0,FALSE),IFERROR(INT(MID(metadata!C620,9,1))&lt;=3,FALSE),NOT(MID(metadata!C620,10,1)=""),IFERROR(INT(MID(metadata!C620,9,2))&gt;=1,FALSE),IFERROR(INT(MID(metadata!C620,9,2))&lt;=31,FALSE)), OR(MID(metadata!C620,11,1)="", AND(AND(MID(metadata!C620,11,1)=" ",IFERROR(INT(MID(metadata!C620,12,1))&gt;=0,FALSE),IFERROR(INT(MID(metadata!C620,12,1))&lt;=2,FALSE),NOT(MID(metadata!C620,13,1)=""),IFERROR(INT(MID(metadata!C620,12,2))&gt;=0,FALSE),IFERROR(INT(MID(metadata!C620,12,2))&lt;=23,FALSE)), OR(MID(metadata!C620,14,1)="", AND(AND(MID(metadata!C620,14,1)=":",IFERROR(INT(MID(metadata!C620,15,1))&gt;=0,FALSE),IFERROR(INT(MID(metadata!C620,15,1))&lt;=5,FALSE),NOT(MID(metadata!C620,16,1)=""),IFERROR(INT(MID(metadata!C620,15,2))&gt;=0,FALSE),IFERROR(INT(MID(metadata!C620,15,2))&lt;=59,FALSE)), OR(MID(metadata!C620,17,1)="", AND(AND(MID(metadata!C620,17,1)=":",IFERROR(INT(MID(metadata!C620,18,1))&gt;=0,FALSE),IFERROR(INT(MID(metadata!C620,18,1))&lt;=5,FALSE),NOT(MID(metadata!C620,19,1)=""),IFERROR(INT(MID(metadata!C620,18,2))&gt;=0,FALSE),IFERROR(INT(MID(metadata!C620,18,2))&lt;=59,FALSE)), LEN(metadata!C620)&lt;=19)))))))))))))</f>
        <v>0</v>
      </c>
      <c r="AO620" t="b">
        <f>AND(IF(metadata!D620="",FALSE,TRUE),EXACT(metadata!D620,"Not applicable"))</f>
        <v>0</v>
      </c>
      <c r="AP620" t="b">
        <f>IF(metadata!E620="",FALSE,TRUE)</f>
        <v>0</v>
      </c>
      <c r="AQ620" t="b">
        <f>OR(AND(IF(metadata!F620="",FALSE,TRUE),OR(EXACT(metadata!F620,"missing: not collected"),EXACT(metadata!F620,"missing: not provided"))),AND(IF(metadata!F620="",FALSE,TRUE),OR(EXACT(metadata!F620,"TRUE"),EXACT(metadata!F620,"FALSE"))))</f>
        <v>0</v>
      </c>
      <c r="AR620" t="b">
        <f>OR(AND(IF(metadata!G620="",FALSE,TRUE),OR(EXACT(metadata!G620,"missing: not collected"),EXACT(metadata!G620,"missing: not provided"),EXACT(metadata!G620,"missing: restricted access"))),AND(IF(metadata!G620="",FALSE,ISNUMBER(VALUE(metadata!G620))),metadata!G620&gt;=-413))</f>
        <v>0</v>
      </c>
      <c r="AS620" t="b">
        <f>AND(IF(metadata!H620="",FALSE,TRUE),EXACT(metadata!H620,"meters"))</f>
        <v>0</v>
      </c>
      <c r="AT620" t="b">
        <f>AND(IF(metadata!I620="",FALSE,TRUE),OR(EXACT(metadata!I620,"Host-associated"),EXACT(metadata!I620,"Free-living")))</f>
        <v>0</v>
      </c>
      <c r="AU620" t="b">
        <f>AND(IF(metadata!J620="",FALSE,TRUE),OR(EXACT(metadata!J620,"Animal"),EXACT(metadata!J620,"Fungus"),EXACT(metadata!J620,"Plant"),EXACT(metadata!J620,"Saline"),EXACT(metadata!J620,"Non-saline")))</f>
        <v>0</v>
      </c>
      <c r="AV620" t="b">
        <f>AND(IF(metadata!K620="",FALSE,TRUE),OR(EXACT(metadata!K620,"Plant secretion"),EXACT(metadata!K620,"Plant rhizosphere"),EXACT(metadata!K620,"Plant surface"),EXACT(metadata!K620,"Plant corpus"),EXACT(metadata!K620,"Fungus surface"),EXACT(metadata!K620,"Fungus corpus"),EXACT(metadata!K620,"Animal surface"),EXACT(metadata!K620,"Animal proximal gut"),EXACT(metadata!K620,"Animal corpus"),EXACT(metadata!K620,"Animal distal gut"),EXACT(metadata!K620,"Animal secretion"),EXACT(metadata!K620,"Sub-surface (non-saline)"),EXACT(metadata!K620,"Surface (non-saline)"),EXACT(metadata!K620,"Water (non-saline)"),EXACT(metadata!K620,"Soil (non-saline)"),EXACT(metadata!K620,"Aerosol (non-saline)"),EXACT(metadata!K620,"Sediment (non-saline)"),EXACT(metadata!K620,"Surface (saline)"),EXACT(metadata!K620,"Water (saline)"),EXACT(metadata!K620,"Hypersaline (saline)"),EXACT(metadata!K620,"Aerosol (saline)"),EXACT(metadata!K620,"Sediment (saline)")))</f>
        <v>0</v>
      </c>
      <c r="AW620" t="b">
        <f>IF(metadata!L620="",FALSE,TRUE)</f>
        <v>0</v>
      </c>
      <c r="AX620" t="b">
        <f>IF(metadata!M620="",FALSE,TRUE)</f>
        <v>0</v>
      </c>
      <c r="AY620" t="b">
        <f>IF(metadata!N620="",FALSE,TRUE)</f>
        <v>0</v>
      </c>
      <c r="AZ620" t="b">
        <f>OR(AND(IF(metadata!O620="",FALSE,TRUE),OR(EXACT(metadata!O620,"missing: not collected"),EXACT(metadata!O620,"missing: not provided"),EXACT(metadata!O620,"missing: restricted access"))),AND(IF(metadata!O620="",FALSE,TRUE),OR(EXACT(metadata!O620,"air"),EXACT(metadata!O620,"built environment"),EXACT(metadata!O620,"host-associated"),EXACT(metadata!O620,"human-associated"),EXACT(metadata!O620,"human-skin"),EXACT(metadata!O620,"human-oral"),EXACT(metadata!O620,"human-gut"),EXACT(metadata!O620,"human-vaginal"),EXACT(metadata!O620,"microbial mat/biofilm"),EXACT(metadata!O620,"misc environment"),EXACT(metadata!O620,"plant-associated"),EXACT(metadata!O620,"sediment"),EXACT(metadata!O620,"soil"),EXACT(metadata!O620,"wastewater/sludge"),EXACT(metadata!O620,"water"))))</f>
        <v>0</v>
      </c>
      <c r="BA620" t="b">
        <f>IF(metadata!P620="",FALSE,TRUE)</f>
        <v>0</v>
      </c>
      <c r="BB620" t="b">
        <f>IF(metadata!Q620="",FALSE,TRUE)</f>
        <v>0</v>
      </c>
      <c r="BC620" t="b">
        <f>OR(AND(IF(metadata!R620="",FALSE,TRUE),OR(EXACT(metadata!R620,"missing: not collected"),EXACT(metadata!R620,"missing: not provided"),EXACT(metadata!R620,"missing: restricted access"))),AND(IF(metadata!R620="",FALSE,ISNUMBER(VALUE(metadata!R620))),metadata!R620&gt;=-90,metadata!R620&lt;=90))</f>
        <v>0</v>
      </c>
      <c r="BD620" t="b">
        <f>AND(IF(metadata!S620="",FALSE,TRUE),EXACT(metadata!S620,"Decimal degrees"))</f>
        <v>0</v>
      </c>
      <c r="BE620" t="b">
        <f>OR(AND(IF(metadata!T620="",FALSE,TRUE),OR(EXACT(metadata!T620,"missing: not collected"),EXACT(metadata!T620,"missing: not provided"),EXACT(metadata!T620,"missing: restricted access"))),AND(IF(metadata!T620="",FALSE,ISNUMBER(VALUE(metadata!T620))),metadata!T620&gt;=-180,metadata!T620&lt;=180))</f>
        <v>0</v>
      </c>
      <c r="BF620" t="b">
        <f>AND(IF(metadata!U620="",FALSE,TRUE),EXACT(metadata!U620,"Decimal degrees"))</f>
        <v>0</v>
      </c>
      <c r="BG620" t="b">
        <f>IF(metadata!V620="",FALSE,TRUE)</f>
        <v>0</v>
      </c>
      <c r="BH620" t="b">
        <f>OR(AND(IF(metadata!W620="",FALSE,TRUE),OR(EXACT(metadata!W620,"missing: not collected"),EXACT(metadata!W620,"missing: not provided"),EXACT(metadata!W620,"missing: restricted access"))),AND(IF(metadata!W620="",FALSE,TRUE),OR(EXACT(metadata!W620,"TRUE"),EXACT(metadata!W620,"FALSE"))))</f>
        <v>0</v>
      </c>
      <c r="BI620" t="b">
        <f>AND(IF(metadata!X620="",FALSE,TRUE),EXACT(metadata!X620,"other"))</f>
        <v>0</v>
      </c>
      <c r="BJ620" t="b">
        <f>IF(metadata!Y620="",FALSE,TRUE)</f>
        <v>0</v>
      </c>
      <c r="BK620" t="b">
        <f>OR(AND(IF(metadata!Z620="",FALSE,TRUE),OR(EXACT(metadata!Z620,"missing: not collected"),EXACT(metadata!Z620,"missing: not provided"))),AND(IF(metadata!Z620="",FALSE,IF(ISERROR(INT(metadata!Z620)),FALSE,INT(metadata!Z620)=metadata!Z620)),metadata!Z620&gt;0))</f>
        <v>0</v>
      </c>
      <c r="BL620" t="b">
        <f>AND(IF(metadata!AA620="",FALSE,TRUE),EXACT(metadata!AA620,"Not applicable"))</f>
        <v>0</v>
      </c>
      <c r="BM620" t="b">
        <f>IF(metadata!AB620="",FALSE,TRUE)</f>
        <v>0</v>
      </c>
    </row>
    <row r="621" spans="1:65" x14ac:dyDescent="0.2">
      <c r="A621" s="5" t="str">
        <f ca="1">IF(B621=" "," ",HYPERLINK(CONCATENATE("#metadata!",ADDRESS(INDEX($AH$2:$AH$1001,MATCH(ROWS($AF$2:AF621),$AF$2:$AF$1001,0),0),1)),INDEX($AK$2:$AK$1001,MATCH(ROWS($AF$2:AF621),$AF$2:$AF$1001,0),0)))</f>
        <v xml:space="preserve"> </v>
      </c>
      <c r="B621" s="4" t="str">
        <f ca="1">IF(OR(INDEX($AG$2:$AG$1001,MATCH(ROWS($AF$2:AF621),$AF$2:$AF$1001,0),1)&gt;=100000,INDEX($AM$1005:$BM$1005,1,MATCH(COLUMNS($AM$1006:AM1006),$AM$1006:$BM$1006,0))&gt;=100000), " ",IF(INDEX($AM$2:$BM$1001,MATCH(ROWS($AF$2:AF621),$AF$2:$AF$1001,0),MATCH(COLUMNS($AM$1006:AM1006),$AM$1006:$BM$1006,0)), HYPERLINK("#",""), HYPERLINK(CONCATENATE("#metadata!", ADDRESS(INDEX($AH$2:$AH$1001,MATCH(ROWS($AF$2:AF621),$AF$2:$AF$1001,0),0), INDEX($AM$1004:$BM$1004,1,MATCH(COLUMNS($AM$1006:AM1006),$AM$1006:$BM$1006,0)))),"Fix")))</f>
        <v xml:space="preserve"> </v>
      </c>
      <c r="C621" s="4" t="str">
        <f ca="1">IF(OR(INDEX($AG$2:$AG$1001,MATCH(ROWS($AF$2:AF621),$AF$2:$AF$1001,0),1)&gt;=100000,INDEX($AM$1005:$BM$1005,1,MATCH(COLUMNS($AM$1006:AN1006),$AM$1006:$BM$1006,0))&gt;=100000), " ",IF(INDEX($AM$2:$BM$1001,MATCH(ROWS($AF$2:AF621),$AF$2:$AF$1001,0),MATCH(COLUMNS($AM$1006:AN1006),$AM$1006:$BM$1006,0)), HYPERLINK("#",""), HYPERLINK(CONCATENATE("#metadata!", ADDRESS(INDEX($AH$2:$AH$1001,MATCH(ROWS($AF$2:AF621),$AF$2:$AF$1001,0),0), INDEX($AM$1004:$BM$1004,1,MATCH(COLUMNS($AM$1006:AN1006),$AM$1006:$BM$1006,0)))),"Fix")))</f>
        <v xml:space="preserve"> </v>
      </c>
      <c r="D621" s="4" t="str">
        <f ca="1">IF(OR(INDEX($AG$2:$AG$1001,MATCH(ROWS($AF$2:AF621),$AF$2:$AF$1001,0),1)&gt;=100000,INDEX($AM$1005:$BM$1005,1,MATCH(COLUMNS($AM$1006:AO1006),$AM$1006:$BM$1006,0))&gt;=100000), " ",IF(INDEX($AM$2:$BM$1001,MATCH(ROWS($AF$2:AF621),$AF$2:$AF$1001,0),MATCH(COLUMNS($AM$1006:AO1006),$AM$1006:$BM$1006,0)), HYPERLINK("#",""), HYPERLINK(CONCATENATE("#metadata!", ADDRESS(INDEX($AH$2:$AH$1001,MATCH(ROWS($AF$2:AF621),$AF$2:$AF$1001,0),0), INDEX($AM$1004:$BM$1004,1,MATCH(COLUMNS($AM$1006:AO1006),$AM$1006:$BM$1006,0)))),"Fix")))</f>
        <v xml:space="preserve"> </v>
      </c>
      <c r="E621" s="4" t="str">
        <f ca="1">IF(OR(INDEX($AG$2:$AG$1001,MATCH(ROWS($AF$2:AF621),$AF$2:$AF$1001,0),1)&gt;=100000,INDEX($AM$1005:$BM$1005,1,MATCH(COLUMNS($AM$1006:AP1006),$AM$1006:$BM$1006,0))&gt;=100000), " ",IF(INDEX($AM$2:$BM$1001,MATCH(ROWS($AF$2:AF621),$AF$2:$AF$1001,0),MATCH(COLUMNS($AM$1006:AP1006),$AM$1006:$BM$1006,0)), HYPERLINK("#",""), HYPERLINK(CONCATENATE("#metadata!", ADDRESS(INDEX($AH$2:$AH$1001,MATCH(ROWS($AF$2:AF621),$AF$2:$AF$1001,0),0), INDEX($AM$1004:$BM$1004,1,MATCH(COLUMNS($AM$1006:AP1006),$AM$1006:$BM$1006,0)))),"Fix")))</f>
        <v xml:space="preserve"> </v>
      </c>
      <c r="F621" s="4" t="str">
        <f ca="1">IF(OR(INDEX($AG$2:$AG$1001,MATCH(ROWS($AF$2:AF621),$AF$2:$AF$1001,0),1)&gt;=100000,INDEX($AM$1005:$BM$1005,1,MATCH(COLUMNS($AM$1006:AQ1006),$AM$1006:$BM$1006,0))&gt;=100000), " ",IF(INDEX($AM$2:$BM$1001,MATCH(ROWS($AF$2:AF621),$AF$2:$AF$1001,0),MATCH(COLUMNS($AM$1006:AQ1006),$AM$1006:$BM$1006,0)), HYPERLINK("#",""), HYPERLINK(CONCATENATE("#metadata!", ADDRESS(INDEX($AH$2:$AH$1001,MATCH(ROWS($AF$2:AF621),$AF$2:$AF$1001,0),0), INDEX($AM$1004:$BM$1004,1,MATCH(COLUMNS($AM$1006:AQ1006),$AM$1006:$BM$1006,0)))),"Fix")))</f>
        <v xml:space="preserve"> </v>
      </c>
      <c r="G621" s="4" t="str">
        <f ca="1">IF(OR(INDEX($AG$2:$AG$1001,MATCH(ROWS($AF$2:AF621),$AF$2:$AF$1001,0),1)&gt;=100000,INDEX($AM$1005:$BM$1005,1,MATCH(COLUMNS($AM$1006:AR1006),$AM$1006:$BM$1006,0))&gt;=100000), " ",IF(INDEX($AM$2:$BM$1001,MATCH(ROWS($AF$2:AF621),$AF$2:$AF$1001,0),MATCH(COLUMNS($AM$1006:AR1006),$AM$1006:$BM$1006,0)), HYPERLINK("#",""), HYPERLINK(CONCATENATE("#metadata!", ADDRESS(INDEX($AH$2:$AH$1001,MATCH(ROWS($AF$2:AF621),$AF$2:$AF$1001,0),0), INDEX($AM$1004:$BM$1004,1,MATCH(COLUMNS($AM$1006:AR1006),$AM$1006:$BM$1006,0)))),"Fix")))</f>
        <v xml:space="preserve"> </v>
      </c>
      <c r="H621" s="4" t="str">
        <f ca="1">IF(OR(INDEX($AG$2:$AG$1001,MATCH(ROWS($AF$2:AF621),$AF$2:$AF$1001,0),1)&gt;=100000,INDEX($AM$1005:$BM$1005,1,MATCH(COLUMNS($AM$1006:AS1006),$AM$1006:$BM$1006,0))&gt;=100000), " ",IF(INDEX($AM$2:$BM$1001,MATCH(ROWS($AF$2:AF621),$AF$2:$AF$1001,0),MATCH(COLUMNS($AM$1006:AS1006),$AM$1006:$BM$1006,0)), HYPERLINK("#",""), HYPERLINK(CONCATENATE("#metadata!", ADDRESS(INDEX($AH$2:$AH$1001,MATCH(ROWS($AF$2:AF621),$AF$2:$AF$1001,0),0), INDEX($AM$1004:$BM$1004,1,MATCH(COLUMNS($AM$1006:AS1006),$AM$1006:$BM$1006,0)))),"Fix")))</f>
        <v xml:space="preserve"> </v>
      </c>
      <c r="I621" s="4" t="str">
        <f ca="1">IF(OR(INDEX($AG$2:$AG$1001,MATCH(ROWS($AF$2:AF621),$AF$2:$AF$1001,0),1)&gt;=100000,INDEX($AM$1005:$BM$1005,1,MATCH(COLUMNS($AM$1006:AT1006),$AM$1006:$BM$1006,0))&gt;=100000), " ",IF(INDEX($AM$2:$BM$1001,MATCH(ROWS($AF$2:AF621),$AF$2:$AF$1001,0),MATCH(COLUMNS($AM$1006:AT1006),$AM$1006:$BM$1006,0)), HYPERLINK("#",""), HYPERLINK(CONCATENATE("#metadata!", ADDRESS(INDEX($AH$2:$AH$1001,MATCH(ROWS($AF$2:AF621),$AF$2:$AF$1001,0),0), INDEX($AM$1004:$BM$1004,1,MATCH(COLUMNS($AM$1006:AT1006),$AM$1006:$BM$1006,0)))),"Fix")))</f>
        <v xml:space="preserve"> </v>
      </c>
      <c r="J621" s="4" t="str">
        <f ca="1">IF(OR(INDEX($AG$2:$AG$1001,MATCH(ROWS($AF$2:AF621),$AF$2:$AF$1001,0),1)&gt;=100000,INDEX($AM$1005:$BM$1005,1,MATCH(COLUMNS($AM$1006:AU1006),$AM$1006:$BM$1006,0))&gt;=100000), " ",IF(INDEX($AM$2:$BM$1001,MATCH(ROWS($AF$2:AF621),$AF$2:$AF$1001,0),MATCH(COLUMNS($AM$1006:AU1006),$AM$1006:$BM$1006,0)), HYPERLINK("#",""), HYPERLINK(CONCATENATE("#metadata!", ADDRESS(INDEX($AH$2:$AH$1001,MATCH(ROWS($AF$2:AF621),$AF$2:$AF$1001,0),0), INDEX($AM$1004:$BM$1004,1,MATCH(COLUMNS($AM$1006:AU1006),$AM$1006:$BM$1006,0)))),"Fix")))</f>
        <v xml:space="preserve"> </v>
      </c>
      <c r="K621" s="4" t="str">
        <f ca="1">IF(OR(INDEX($AG$2:$AG$1001,MATCH(ROWS($AF$2:AF621),$AF$2:$AF$1001,0),1)&gt;=100000,INDEX($AM$1005:$BM$1005,1,MATCH(COLUMNS($AM$1006:AV1006),$AM$1006:$BM$1006,0))&gt;=100000), " ",IF(INDEX($AM$2:$BM$1001,MATCH(ROWS($AF$2:AF621),$AF$2:$AF$1001,0),MATCH(COLUMNS($AM$1006:AV1006),$AM$1006:$BM$1006,0)), HYPERLINK("#",""), HYPERLINK(CONCATENATE("#metadata!", ADDRESS(INDEX($AH$2:$AH$1001,MATCH(ROWS($AF$2:AF621),$AF$2:$AF$1001,0),0), INDEX($AM$1004:$BM$1004,1,MATCH(COLUMNS($AM$1006:AV1006),$AM$1006:$BM$1006,0)))),"Fix")))</f>
        <v xml:space="preserve"> </v>
      </c>
      <c r="L621" s="4" t="str">
        <f ca="1">IF(OR(INDEX($AG$2:$AG$1001,MATCH(ROWS($AF$2:AF621),$AF$2:$AF$1001,0),1)&gt;=100000,INDEX($AM$1005:$BM$1005,1,MATCH(COLUMNS($AM$1006:AW1006),$AM$1006:$BM$1006,0))&gt;=100000), " ",IF(INDEX($AM$2:$BM$1001,MATCH(ROWS($AF$2:AF621),$AF$2:$AF$1001,0),MATCH(COLUMNS($AM$1006:AW1006),$AM$1006:$BM$1006,0)), HYPERLINK("#",""), HYPERLINK(CONCATENATE("#metadata!", ADDRESS(INDEX($AH$2:$AH$1001,MATCH(ROWS($AF$2:AF621),$AF$2:$AF$1001,0),0), INDEX($AM$1004:$BM$1004,1,MATCH(COLUMNS($AM$1006:AW1006),$AM$1006:$BM$1006,0)))),"Fix")))</f>
        <v xml:space="preserve"> </v>
      </c>
      <c r="M621" s="4" t="str">
        <f ca="1">IF(OR(INDEX($AG$2:$AG$1001,MATCH(ROWS($AF$2:AF621),$AF$2:$AF$1001,0),1)&gt;=100000,INDEX($AM$1005:$BM$1005,1,MATCH(COLUMNS($AM$1006:AX1006),$AM$1006:$BM$1006,0))&gt;=100000), " ",IF(INDEX($AM$2:$BM$1001,MATCH(ROWS($AF$2:AF621),$AF$2:$AF$1001,0),MATCH(COLUMNS($AM$1006:AX1006),$AM$1006:$BM$1006,0)), HYPERLINK("#",""), HYPERLINK(CONCATENATE("#metadata!", ADDRESS(INDEX($AH$2:$AH$1001,MATCH(ROWS($AF$2:AF621),$AF$2:$AF$1001,0),0), INDEX($AM$1004:$BM$1004,1,MATCH(COLUMNS($AM$1006:AX1006),$AM$1006:$BM$1006,0)))),"Fix")))</f>
        <v xml:space="preserve"> </v>
      </c>
      <c r="N621" s="4" t="str">
        <f ca="1">IF(OR(INDEX($AG$2:$AG$1001,MATCH(ROWS($AF$2:AF621),$AF$2:$AF$1001,0),1)&gt;=100000,INDEX($AM$1005:$BM$1005,1,MATCH(COLUMNS($AM$1006:AY1006),$AM$1006:$BM$1006,0))&gt;=100000), " ",IF(INDEX($AM$2:$BM$1001,MATCH(ROWS($AF$2:AF621),$AF$2:$AF$1001,0),MATCH(COLUMNS($AM$1006:AY1006),$AM$1006:$BM$1006,0)), HYPERLINK("#",""), HYPERLINK(CONCATENATE("#metadata!", ADDRESS(INDEX($AH$2:$AH$1001,MATCH(ROWS($AF$2:AF621),$AF$2:$AF$1001,0),0), INDEX($AM$1004:$BM$1004,1,MATCH(COLUMNS($AM$1006:AY1006),$AM$1006:$BM$1006,0)))),"Fix")))</f>
        <v xml:space="preserve"> </v>
      </c>
      <c r="O621" s="4" t="str">
        <f ca="1">IF(OR(INDEX($AG$2:$AG$1001,MATCH(ROWS($AF$2:AF621),$AF$2:$AF$1001,0),1)&gt;=100000,INDEX($AM$1005:$BM$1005,1,MATCH(COLUMNS($AM$1006:AZ1006),$AM$1006:$BM$1006,0))&gt;=100000), " ",IF(INDEX($AM$2:$BM$1001,MATCH(ROWS($AF$2:AF621),$AF$2:$AF$1001,0),MATCH(COLUMNS($AM$1006:AZ1006),$AM$1006:$BM$1006,0)), HYPERLINK("#",""), HYPERLINK(CONCATENATE("#metadata!", ADDRESS(INDEX($AH$2:$AH$1001,MATCH(ROWS($AF$2:AF621),$AF$2:$AF$1001,0),0), INDEX($AM$1004:$BM$1004,1,MATCH(COLUMNS($AM$1006:AZ1006),$AM$1006:$BM$1006,0)))),"Fix")))</f>
        <v xml:space="preserve"> </v>
      </c>
      <c r="P621" s="4" t="str">
        <f ca="1">IF(OR(INDEX($AG$2:$AG$1001,MATCH(ROWS($AF$2:AF621),$AF$2:$AF$1001,0),1)&gt;=100000,INDEX($AM$1005:$BM$1005,1,MATCH(COLUMNS($AM$1006:BA1006),$AM$1006:$BM$1006,0))&gt;=100000), " ",IF(INDEX($AM$2:$BM$1001,MATCH(ROWS($AF$2:AF621),$AF$2:$AF$1001,0),MATCH(COLUMNS($AM$1006:BA1006),$AM$1006:$BM$1006,0)), HYPERLINK("#",""), HYPERLINK(CONCATENATE("#metadata!", ADDRESS(INDEX($AH$2:$AH$1001,MATCH(ROWS($AF$2:AF621),$AF$2:$AF$1001,0),0), INDEX($AM$1004:$BM$1004,1,MATCH(COLUMNS($AM$1006:BA1006),$AM$1006:$BM$1006,0)))),"Fix")))</f>
        <v xml:space="preserve"> </v>
      </c>
      <c r="Q621" s="4" t="str">
        <f ca="1">IF(OR(INDEX($AG$2:$AG$1001,MATCH(ROWS($AF$2:AF621),$AF$2:$AF$1001,0),1)&gt;=100000,INDEX($AM$1005:$BM$1005,1,MATCH(COLUMNS($AM$1006:BB1006),$AM$1006:$BM$1006,0))&gt;=100000), " ",IF(INDEX($AM$2:$BM$1001,MATCH(ROWS($AF$2:AF621),$AF$2:$AF$1001,0),MATCH(COLUMNS($AM$1006:BB1006),$AM$1006:$BM$1006,0)), HYPERLINK("#",""), HYPERLINK(CONCATENATE("#metadata!", ADDRESS(INDEX($AH$2:$AH$1001,MATCH(ROWS($AF$2:AF621),$AF$2:$AF$1001,0),0), INDEX($AM$1004:$BM$1004,1,MATCH(COLUMNS($AM$1006:BB1006),$AM$1006:$BM$1006,0)))),"Fix")))</f>
        <v xml:space="preserve"> </v>
      </c>
      <c r="R621" s="4" t="str">
        <f ca="1">IF(OR(INDEX($AG$2:$AG$1001,MATCH(ROWS($AF$2:AF621),$AF$2:$AF$1001,0),1)&gt;=100000,INDEX($AM$1005:$BM$1005,1,MATCH(COLUMNS($AM$1006:BC1006),$AM$1006:$BM$1006,0))&gt;=100000), " ",IF(INDEX($AM$2:$BM$1001,MATCH(ROWS($AF$2:AF621),$AF$2:$AF$1001,0),MATCH(COLUMNS($AM$1006:BC1006),$AM$1006:$BM$1006,0)), HYPERLINK("#",""), HYPERLINK(CONCATENATE("#metadata!", ADDRESS(INDEX($AH$2:$AH$1001,MATCH(ROWS($AF$2:AF621),$AF$2:$AF$1001,0),0), INDEX($AM$1004:$BM$1004,1,MATCH(COLUMNS($AM$1006:BC1006),$AM$1006:$BM$1006,0)))),"Fix")))</f>
        <v xml:space="preserve"> </v>
      </c>
      <c r="S621" s="4" t="str">
        <f ca="1">IF(OR(INDEX($AG$2:$AG$1001,MATCH(ROWS($AF$2:AF621),$AF$2:$AF$1001,0),1)&gt;=100000,INDEX($AM$1005:$BM$1005,1,MATCH(COLUMNS($AM$1006:BD1006),$AM$1006:$BM$1006,0))&gt;=100000), " ",IF(INDEX($AM$2:$BM$1001,MATCH(ROWS($AF$2:AF621),$AF$2:$AF$1001,0),MATCH(COLUMNS($AM$1006:BD1006),$AM$1006:$BM$1006,0)), HYPERLINK("#",""), HYPERLINK(CONCATENATE("#metadata!", ADDRESS(INDEX($AH$2:$AH$1001,MATCH(ROWS($AF$2:AF621),$AF$2:$AF$1001,0),0), INDEX($AM$1004:$BM$1004,1,MATCH(COLUMNS($AM$1006:BD1006),$AM$1006:$BM$1006,0)))),"Fix")))</f>
        <v xml:space="preserve"> </v>
      </c>
      <c r="T621" s="4" t="str">
        <f ca="1">IF(OR(INDEX($AG$2:$AG$1001,MATCH(ROWS($AF$2:AF621),$AF$2:$AF$1001,0),1)&gt;=100000,INDEX($AM$1005:$BM$1005,1,MATCH(COLUMNS($AM$1006:BE1006),$AM$1006:$BM$1006,0))&gt;=100000), " ",IF(INDEX($AM$2:$BM$1001,MATCH(ROWS($AF$2:AF621),$AF$2:$AF$1001,0),MATCH(COLUMNS($AM$1006:BE1006),$AM$1006:$BM$1006,0)), HYPERLINK("#",""), HYPERLINK(CONCATENATE("#metadata!", ADDRESS(INDEX($AH$2:$AH$1001,MATCH(ROWS($AF$2:AF621),$AF$2:$AF$1001,0),0), INDEX($AM$1004:$BM$1004,1,MATCH(COLUMNS($AM$1006:BE1006),$AM$1006:$BM$1006,0)))),"Fix")))</f>
        <v xml:space="preserve"> </v>
      </c>
      <c r="U621" s="4" t="str">
        <f ca="1">IF(OR(INDEX($AG$2:$AG$1001,MATCH(ROWS($AF$2:AF621),$AF$2:$AF$1001,0),1)&gt;=100000,INDEX($AM$1005:$BM$1005,1,MATCH(COLUMNS($AM$1006:BF1006),$AM$1006:$BM$1006,0))&gt;=100000), " ",IF(INDEX($AM$2:$BM$1001,MATCH(ROWS($AF$2:AF621),$AF$2:$AF$1001,0),MATCH(COLUMNS($AM$1006:BF1006),$AM$1006:$BM$1006,0)), HYPERLINK("#",""), HYPERLINK(CONCATENATE("#metadata!", ADDRESS(INDEX($AH$2:$AH$1001,MATCH(ROWS($AF$2:AF621),$AF$2:$AF$1001,0),0), INDEX($AM$1004:$BM$1004,1,MATCH(COLUMNS($AM$1006:BF1006),$AM$1006:$BM$1006,0)))),"Fix")))</f>
        <v xml:space="preserve"> </v>
      </c>
      <c r="V621" s="4" t="str">
        <f ca="1">IF(OR(INDEX($AG$2:$AG$1001,MATCH(ROWS($AF$2:AF621),$AF$2:$AF$1001,0),1)&gt;=100000,INDEX($AM$1005:$BM$1005,1,MATCH(COLUMNS($AM$1006:BG1006),$AM$1006:$BM$1006,0))&gt;=100000), " ",IF(INDEX($AM$2:$BM$1001,MATCH(ROWS($AF$2:AF621),$AF$2:$AF$1001,0),MATCH(COLUMNS($AM$1006:BG1006),$AM$1006:$BM$1006,0)), HYPERLINK("#",""), HYPERLINK(CONCATENATE("#metadata!", ADDRESS(INDEX($AH$2:$AH$1001,MATCH(ROWS($AF$2:AF621),$AF$2:$AF$1001,0),0), INDEX($AM$1004:$BM$1004,1,MATCH(COLUMNS($AM$1006:BG1006),$AM$1006:$BM$1006,0)))),"Fix")))</f>
        <v xml:space="preserve"> </v>
      </c>
      <c r="W621" s="4" t="str">
        <f ca="1">IF(OR(INDEX($AG$2:$AG$1001,MATCH(ROWS($AF$2:AF621),$AF$2:$AF$1001,0),1)&gt;=100000,INDEX($AM$1005:$BM$1005,1,MATCH(COLUMNS($AM$1006:BH1006),$AM$1006:$BM$1006,0))&gt;=100000), " ",IF(INDEX($AM$2:$BM$1001,MATCH(ROWS($AF$2:AF621),$AF$2:$AF$1001,0),MATCH(COLUMNS($AM$1006:BH1006),$AM$1006:$BM$1006,0)), HYPERLINK("#",""), HYPERLINK(CONCATENATE("#metadata!", ADDRESS(INDEX($AH$2:$AH$1001,MATCH(ROWS($AF$2:AF621),$AF$2:$AF$1001,0),0), INDEX($AM$1004:$BM$1004,1,MATCH(COLUMNS($AM$1006:BH1006),$AM$1006:$BM$1006,0)))),"Fix")))</f>
        <v xml:space="preserve"> </v>
      </c>
      <c r="X621" s="4" t="str">
        <f ca="1">IF(OR(INDEX($AG$2:$AG$1001,MATCH(ROWS($AF$2:AF621),$AF$2:$AF$1001,0),1)&gt;=100000,INDEX($AM$1005:$BM$1005,1,MATCH(COLUMNS($AM$1006:BI1006),$AM$1006:$BM$1006,0))&gt;=100000), " ",IF(INDEX($AM$2:$BM$1001,MATCH(ROWS($AF$2:AF621),$AF$2:$AF$1001,0),MATCH(COLUMNS($AM$1006:BI1006),$AM$1006:$BM$1006,0)), HYPERLINK("#",""), HYPERLINK(CONCATENATE("#metadata!", ADDRESS(INDEX($AH$2:$AH$1001,MATCH(ROWS($AF$2:AF621),$AF$2:$AF$1001,0),0), INDEX($AM$1004:$BM$1004,1,MATCH(COLUMNS($AM$1006:BI1006),$AM$1006:$BM$1006,0)))),"Fix")))</f>
        <v xml:space="preserve"> </v>
      </c>
      <c r="Y621" s="4" t="str">
        <f ca="1">IF(OR(INDEX($AG$2:$AG$1001,MATCH(ROWS($AF$2:AF621),$AF$2:$AF$1001,0),1)&gt;=100000,INDEX($AM$1005:$BM$1005,1,MATCH(COLUMNS($AM$1006:BJ1006),$AM$1006:$BM$1006,0))&gt;=100000), " ",IF(INDEX($AM$2:$BM$1001,MATCH(ROWS($AF$2:AF621),$AF$2:$AF$1001,0),MATCH(COLUMNS($AM$1006:BJ1006),$AM$1006:$BM$1006,0)), HYPERLINK("#",""), HYPERLINK(CONCATENATE("#metadata!", ADDRESS(INDEX($AH$2:$AH$1001,MATCH(ROWS($AF$2:AF621),$AF$2:$AF$1001,0),0), INDEX($AM$1004:$BM$1004,1,MATCH(COLUMNS($AM$1006:BJ1006),$AM$1006:$BM$1006,0)))),"Fix")))</f>
        <v xml:space="preserve"> </v>
      </c>
      <c r="Z621" s="4" t="str">
        <f ca="1">IF(OR(INDEX($AG$2:$AG$1001,MATCH(ROWS($AF$2:AF621),$AF$2:$AF$1001,0),1)&gt;=100000,INDEX($AM$1005:$BM$1005,1,MATCH(COLUMNS($AM$1006:BK1006),$AM$1006:$BM$1006,0))&gt;=100000), " ",IF(INDEX($AM$2:$BM$1001,MATCH(ROWS($AF$2:AF621),$AF$2:$AF$1001,0),MATCH(COLUMNS($AM$1006:BK1006),$AM$1006:$BM$1006,0)), HYPERLINK("#",""), HYPERLINK(CONCATENATE("#metadata!", ADDRESS(INDEX($AH$2:$AH$1001,MATCH(ROWS($AF$2:AF621),$AF$2:$AF$1001,0),0), INDEX($AM$1004:$BM$1004,1,MATCH(COLUMNS($AM$1006:BK1006),$AM$1006:$BM$1006,0)))),"Fix")))</f>
        <v xml:space="preserve"> </v>
      </c>
      <c r="AA621" s="4" t="str">
        <f ca="1">IF(OR(INDEX($AG$2:$AG$1001,MATCH(ROWS($AF$2:AF621),$AF$2:$AF$1001,0),1)&gt;=100000,INDEX($AM$1005:$BM$1005,1,MATCH(COLUMNS($AM$1006:BL1006),$AM$1006:$BM$1006,0))&gt;=100000), " ",IF(INDEX($AM$2:$BM$1001,MATCH(ROWS($AF$2:AF621),$AF$2:$AF$1001,0),MATCH(COLUMNS($AM$1006:BL1006),$AM$1006:$BM$1006,0)), HYPERLINK("#",""), HYPERLINK(CONCATENATE("#metadata!", ADDRESS(INDEX($AH$2:$AH$1001,MATCH(ROWS($AF$2:AF621),$AF$2:$AF$1001,0),0), INDEX($AM$1004:$BM$1004,1,MATCH(COLUMNS($AM$1006:BL1006),$AM$1006:$BM$1006,0)))),"Fix")))</f>
        <v xml:space="preserve"> </v>
      </c>
      <c r="AB621" s="4" t="str">
        <f ca="1">IF(OR(INDEX($AG$2:$AG$1001,MATCH(ROWS($AF$2:AF621),$AF$2:$AF$1001,0),1)&gt;=100000,INDEX($AM$1005:$BM$1005,1,MATCH(COLUMNS($AM$1006:BM1006),$AM$1006:$BM$1006,0))&gt;=100000), " ",IF(INDEX($AM$2:$BM$1001,MATCH(ROWS($AF$2:AF621),$AF$2:$AF$1001,0),MATCH(COLUMNS($AM$1006:BM1006),$AM$1006:$BM$1006,0)), HYPERLINK("#",""), HYPERLINK(CONCATENATE("#metadata!", ADDRESS(INDEX($AH$2:$AH$1001,MATCH(ROWS($AF$2:AF621),$AF$2:$AF$1001,0),0), INDEX($AM$1004:$BM$1004,1,MATCH(COLUMNS($AM$1006:BM1006),$AM$1006:$BM$1006,0)))),"Fix")))</f>
        <v xml:space="preserve"> </v>
      </c>
      <c r="AF621">
        <v>620</v>
      </c>
      <c r="AG621">
        <v>100621</v>
      </c>
      <c r="AH621">
        <v>621</v>
      </c>
      <c r="AI621" t="b">
        <f t="shared" si="9"/>
        <v>1</v>
      </c>
      <c r="AJ621" t="b">
        <f>COUNTBLANK(metadata!B621:AB621)=COLUMNS(metadata!B621:AB621)</f>
        <v>1</v>
      </c>
      <c r="AK621" t="str">
        <v/>
      </c>
      <c r="AM621" t="b">
        <f ca="1">AND(IF(metadata!B621="",FALSE,TRUE),COUNTIF(metadata!B:B, metadata!B621) = 1,NOT(ISERROR(SUMPRODUCT(SEARCH(MID(metadata!B621,ROW(INDIRECT("1:"&amp;LEN(metadata!B621))), 1),"0123456789abcdefghijklmnopqrstuvwxyzABCDEFGHIJKLMNOPQRSTUVWXYZ.")))))</f>
        <v>0</v>
      </c>
      <c r="AN621" t="b">
        <f ca="1">OR(AND(IF(metadata!C621="",FALSE,TRUE),OR(EXACT(metadata!C621,"missing: not collected"),EXACT(metadata!C621,"missing: not provided"),EXACT(metadata!C621,"missing: restricted access"))),AND(IF(metadata!C621="",FALSE,TRUE),AND(AND(IFERROR(INT(LEFT(metadata!C621,4))&gt;1900,FALSE),IFERROR(INT(LEFT(metadata!C621,4))&lt;=YEAR(NOW()),FALSE)), OR(MID(metadata!C621,5,1)="", AND(AND(MID(metadata!C621,5,1)="-",IFERROR(INT(MID(metadata!C621,6,1))&gt;=0,FALSE),IFERROR(INT(MID(metadata!C621,6,1))&lt;=1,FALSE),NOT(MID(metadata!C621,7,1)=""),IFERROR(INT(MID(metadata!C621,6,2))&gt;=1,FALSE),IFERROR(INT(MID(metadata!C621,6,2))&lt;=12,FALSE)), OR(MID(metadata!C621,8,1)="", AND(AND(MID(metadata!C621,8,1)="-",IFERROR(INT(MID(metadata!C621,9,1))&gt;=0,FALSE),IFERROR(INT(MID(metadata!C621,9,1))&lt;=3,FALSE),NOT(MID(metadata!C621,10,1)=""),IFERROR(INT(MID(metadata!C621,9,2))&gt;=1,FALSE),IFERROR(INT(MID(metadata!C621,9,2))&lt;=31,FALSE)), OR(MID(metadata!C621,11,1)="", AND(AND(MID(metadata!C621,11,1)=" ",IFERROR(INT(MID(metadata!C621,12,1))&gt;=0,FALSE),IFERROR(INT(MID(metadata!C621,12,1))&lt;=2,FALSE),NOT(MID(metadata!C621,13,1)=""),IFERROR(INT(MID(metadata!C621,12,2))&gt;=0,FALSE),IFERROR(INT(MID(metadata!C621,12,2))&lt;=23,FALSE)), OR(MID(metadata!C621,14,1)="", AND(AND(MID(metadata!C621,14,1)=":",IFERROR(INT(MID(metadata!C621,15,1))&gt;=0,FALSE),IFERROR(INT(MID(metadata!C621,15,1))&lt;=5,FALSE),NOT(MID(metadata!C621,16,1)=""),IFERROR(INT(MID(metadata!C621,15,2))&gt;=0,FALSE),IFERROR(INT(MID(metadata!C621,15,2))&lt;=59,FALSE)), OR(MID(metadata!C621,17,1)="", AND(AND(MID(metadata!C621,17,1)=":",IFERROR(INT(MID(metadata!C621,18,1))&gt;=0,FALSE),IFERROR(INT(MID(metadata!C621,18,1))&lt;=5,FALSE),NOT(MID(metadata!C621,19,1)=""),IFERROR(INT(MID(metadata!C621,18,2))&gt;=0,FALSE),IFERROR(INT(MID(metadata!C621,18,2))&lt;=59,FALSE)), LEN(metadata!C621)&lt;=19)))))))))))))</f>
        <v>0</v>
      </c>
      <c r="AO621" t="b">
        <f>AND(IF(metadata!D621="",FALSE,TRUE),EXACT(metadata!D621,"Not applicable"))</f>
        <v>0</v>
      </c>
      <c r="AP621" t="b">
        <f>IF(metadata!E621="",FALSE,TRUE)</f>
        <v>0</v>
      </c>
      <c r="AQ621" t="b">
        <f>OR(AND(IF(metadata!F621="",FALSE,TRUE),OR(EXACT(metadata!F621,"missing: not collected"),EXACT(metadata!F621,"missing: not provided"))),AND(IF(metadata!F621="",FALSE,TRUE),OR(EXACT(metadata!F621,"TRUE"),EXACT(metadata!F621,"FALSE"))))</f>
        <v>0</v>
      </c>
      <c r="AR621" t="b">
        <f>OR(AND(IF(metadata!G621="",FALSE,TRUE),OR(EXACT(metadata!G621,"missing: not collected"),EXACT(metadata!G621,"missing: not provided"),EXACT(metadata!G621,"missing: restricted access"))),AND(IF(metadata!G621="",FALSE,ISNUMBER(VALUE(metadata!G621))),metadata!G621&gt;=-413))</f>
        <v>0</v>
      </c>
      <c r="AS621" t="b">
        <f>AND(IF(metadata!H621="",FALSE,TRUE),EXACT(metadata!H621,"meters"))</f>
        <v>0</v>
      </c>
      <c r="AT621" t="b">
        <f>AND(IF(metadata!I621="",FALSE,TRUE),OR(EXACT(metadata!I621,"Host-associated"),EXACT(metadata!I621,"Free-living")))</f>
        <v>0</v>
      </c>
      <c r="AU621" t="b">
        <f>AND(IF(metadata!J621="",FALSE,TRUE),OR(EXACT(metadata!J621,"Animal"),EXACT(metadata!J621,"Fungus"),EXACT(metadata!J621,"Plant"),EXACT(metadata!J621,"Saline"),EXACT(metadata!J621,"Non-saline")))</f>
        <v>0</v>
      </c>
      <c r="AV621" t="b">
        <f>AND(IF(metadata!K621="",FALSE,TRUE),OR(EXACT(metadata!K621,"Plant secretion"),EXACT(metadata!K621,"Plant rhizosphere"),EXACT(metadata!K621,"Plant surface"),EXACT(metadata!K621,"Plant corpus"),EXACT(metadata!K621,"Fungus surface"),EXACT(metadata!K621,"Fungus corpus"),EXACT(metadata!K621,"Animal surface"),EXACT(metadata!K621,"Animal proximal gut"),EXACT(metadata!K621,"Animal corpus"),EXACT(metadata!K621,"Animal distal gut"),EXACT(metadata!K621,"Animal secretion"),EXACT(metadata!K621,"Sub-surface (non-saline)"),EXACT(metadata!K621,"Surface (non-saline)"),EXACT(metadata!K621,"Water (non-saline)"),EXACT(metadata!K621,"Soil (non-saline)"),EXACT(metadata!K621,"Aerosol (non-saline)"),EXACT(metadata!K621,"Sediment (non-saline)"),EXACT(metadata!K621,"Surface (saline)"),EXACT(metadata!K621,"Water (saline)"),EXACT(metadata!K621,"Hypersaline (saline)"),EXACT(metadata!K621,"Aerosol (saline)"),EXACT(metadata!K621,"Sediment (saline)")))</f>
        <v>0</v>
      </c>
      <c r="AW621" t="b">
        <f>IF(metadata!L621="",FALSE,TRUE)</f>
        <v>0</v>
      </c>
      <c r="AX621" t="b">
        <f>IF(metadata!M621="",FALSE,TRUE)</f>
        <v>0</v>
      </c>
      <c r="AY621" t="b">
        <f>IF(metadata!N621="",FALSE,TRUE)</f>
        <v>0</v>
      </c>
      <c r="AZ621" t="b">
        <f>OR(AND(IF(metadata!O621="",FALSE,TRUE),OR(EXACT(metadata!O621,"missing: not collected"),EXACT(metadata!O621,"missing: not provided"),EXACT(metadata!O621,"missing: restricted access"))),AND(IF(metadata!O621="",FALSE,TRUE),OR(EXACT(metadata!O621,"air"),EXACT(metadata!O621,"built environment"),EXACT(metadata!O621,"host-associated"),EXACT(metadata!O621,"human-associated"),EXACT(metadata!O621,"human-skin"),EXACT(metadata!O621,"human-oral"),EXACT(metadata!O621,"human-gut"),EXACT(metadata!O621,"human-vaginal"),EXACT(metadata!O621,"microbial mat/biofilm"),EXACT(metadata!O621,"misc environment"),EXACT(metadata!O621,"plant-associated"),EXACT(metadata!O621,"sediment"),EXACT(metadata!O621,"soil"),EXACT(metadata!O621,"wastewater/sludge"),EXACT(metadata!O621,"water"))))</f>
        <v>0</v>
      </c>
      <c r="BA621" t="b">
        <f>IF(metadata!P621="",FALSE,TRUE)</f>
        <v>0</v>
      </c>
      <c r="BB621" t="b">
        <f>IF(metadata!Q621="",FALSE,TRUE)</f>
        <v>0</v>
      </c>
      <c r="BC621" t="b">
        <f>OR(AND(IF(metadata!R621="",FALSE,TRUE),OR(EXACT(metadata!R621,"missing: not collected"),EXACT(metadata!R621,"missing: not provided"),EXACT(metadata!R621,"missing: restricted access"))),AND(IF(metadata!R621="",FALSE,ISNUMBER(VALUE(metadata!R621))),metadata!R621&gt;=-90,metadata!R621&lt;=90))</f>
        <v>0</v>
      </c>
      <c r="BD621" t="b">
        <f>AND(IF(metadata!S621="",FALSE,TRUE),EXACT(metadata!S621,"Decimal degrees"))</f>
        <v>0</v>
      </c>
      <c r="BE621" t="b">
        <f>OR(AND(IF(metadata!T621="",FALSE,TRUE),OR(EXACT(metadata!T621,"missing: not collected"),EXACT(metadata!T621,"missing: not provided"),EXACT(metadata!T621,"missing: restricted access"))),AND(IF(metadata!T621="",FALSE,ISNUMBER(VALUE(metadata!T621))),metadata!T621&gt;=-180,metadata!T621&lt;=180))</f>
        <v>0</v>
      </c>
      <c r="BF621" t="b">
        <f>AND(IF(metadata!U621="",FALSE,TRUE),EXACT(metadata!U621,"Decimal degrees"))</f>
        <v>0</v>
      </c>
      <c r="BG621" t="b">
        <f>IF(metadata!V621="",FALSE,TRUE)</f>
        <v>0</v>
      </c>
      <c r="BH621" t="b">
        <f>OR(AND(IF(metadata!W621="",FALSE,TRUE),OR(EXACT(metadata!W621,"missing: not collected"),EXACT(metadata!W621,"missing: not provided"),EXACT(metadata!W621,"missing: restricted access"))),AND(IF(metadata!W621="",FALSE,TRUE),OR(EXACT(metadata!W621,"TRUE"),EXACT(metadata!W621,"FALSE"))))</f>
        <v>0</v>
      </c>
      <c r="BI621" t="b">
        <f>AND(IF(metadata!X621="",FALSE,TRUE),EXACT(metadata!X621,"other"))</f>
        <v>0</v>
      </c>
      <c r="BJ621" t="b">
        <f>IF(metadata!Y621="",FALSE,TRUE)</f>
        <v>0</v>
      </c>
      <c r="BK621" t="b">
        <f>OR(AND(IF(metadata!Z621="",FALSE,TRUE),OR(EXACT(metadata!Z621,"missing: not collected"),EXACT(metadata!Z621,"missing: not provided"))),AND(IF(metadata!Z621="",FALSE,IF(ISERROR(INT(metadata!Z621)),FALSE,INT(metadata!Z621)=metadata!Z621)),metadata!Z621&gt;0))</f>
        <v>0</v>
      </c>
      <c r="BL621" t="b">
        <f>AND(IF(metadata!AA621="",FALSE,TRUE),EXACT(metadata!AA621,"Not applicable"))</f>
        <v>0</v>
      </c>
      <c r="BM621" t="b">
        <f>IF(metadata!AB621="",FALSE,TRUE)</f>
        <v>0</v>
      </c>
    </row>
    <row r="622" spans="1:65" x14ac:dyDescent="0.2">
      <c r="A622" s="5" t="str">
        <f ca="1">IF(B622=" "," ",HYPERLINK(CONCATENATE("#metadata!",ADDRESS(INDEX($AH$2:$AH$1001,MATCH(ROWS($AF$2:AF622),$AF$2:$AF$1001,0),0),1)),INDEX($AK$2:$AK$1001,MATCH(ROWS($AF$2:AF622),$AF$2:$AF$1001,0),0)))</f>
        <v xml:space="preserve"> </v>
      </c>
      <c r="B622" s="4" t="str">
        <f ca="1">IF(OR(INDEX($AG$2:$AG$1001,MATCH(ROWS($AF$2:AF622),$AF$2:$AF$1001,0),1)&gt;=100000,INDEX($AM$1005:$BM$1005,1,MATCH(COLUMNS($AM$1006:AM1006),$AM$1006:$BM$1006,0))&gt;=100000), " ",IF(INDEX($AM$2:$BM$1001,MATCH(ROWS($AF$2:AF622),$AF$2:$AF$1001,0),MATCH(COLUMNS($AM$1006:AM1006),$AM$1006:$BM$1006,0)), HYPERLINK("#",""), HYPERLINK(CONCATENATE("#metadata!", ADDRESS(INDEX($AH$2:$AH$1001,MATCH(ROWS($AF$2:AF622),$AF$2:$AF$1001,0),0), INDEX($AM$1004:$BM$1004,1,MATCH(COLUMNS($AM$1006:AM1006),$AM$1006:$BM$1006,0)))),"Fix")))</f>
        <v xml:space="preserve"> </v>
      </c>
      <c r="C622" s="4" t="str">
        <f ca="1">IF(OR(INDEX($AG$2:$AG$1001,MATCH(ROWS($AF$2:AF622),$AF$2:$AF$1001,0),1)&gt;=100000,INDEX($AM$1005:$BM$1005,1,MATCH(COLUMNS($AM$1006:AN1006),$AM$1006:$BM$1006,0))&gt;=100000), " ",IF(INDEX($AM$2:$BM$1001,MATCH(ROWS($AF$2:AF622),$AF$2:$AF$1001,0),MATCH(COLUMNS($AM$1006:AN1006),$AM$1006:$BM$1006,0)), HYPERLINK("#",""), HYPERLINK(CONCATENATE("#metadata!", ADDRESS(INDEX($AH$2:$AH$1001,MATCH(ROWS($AF$2:AF622),$AF$2:$AF$1001,0),0), INDEX($AM$1004:$BM$1004,1,MATCH(COLUMNS($AM$1006:AN1006),$AM$1006:$BM$1006,0)))),"Fix")))</f>
        <v xml:space="preserve"> </v>
      </c>
      <c r="D622" s="4" t="str">
        <f ca="1">IF(OR(INDEX($AG$2:$AG$1001,MATCH(ROWS($AF$2:AF622),$AF$2:$AF$1001,0),1)&gt;=100000,INDEX($AM$1005:$BM$1005,1,MATCH(COLUMNS($AM$1006:AO1006),$AM$1006:$BM$1006,0))&gt;=100000), " ",IF(INDEX($AM$2:$BM$1001,MATCH(ROWS($AF$2:AF622),$AF$2:$AF$1001,0),MATCH(COLUMNS($AM$1006:AO1006),$AM$1006:$BM$1006,0)), HYPERLINK("#",""), HYPERLINK(CONCATENATE("#metadata!", ADDRESS(INDEX($AH$2:$AH$1001,MATCH(ROWS($AF$2:AF622),$AF$2:$AF$1001,0),0), INDEX($AM$1004:$BM$1004,1,MATCH(COLUMNS($AM$1006:AO1006),$AM$1006:$BM$1006,0)))),"Fix")))</f>
        <v xml:space="preserve"> </v>
      </c>
      <c r="E622" s="4" t="str">
        <f ca="1">IF(OR(INDEX($AG$2:$AG$1001,MATCH(ROWS($AF$2:AF622),$AF$2:$AF$1001,0),1)&gt;=100000,INDEX($AM$1005:$BM$1005,1,MATCH(COLUMNS($AM$1006:AP1006),$AM$1006:$BM$1006,0))&gt;=100000), " ",IF(INDEX($AM$2:$BM$1001,MATCH(ROWS($AF$2:AF622),$AF$2:$AF$1001,0),MATCH(COLUMNS($AM$1006:AP1006),$AM$1006:$BM$1006,0)), HYPERLINK("#",""), HYPERLINK(CONCATENATE("#metadata!", ADDRESS(INDEX($AH$2:$AH$1001,MATCH(ROWS($AF$2:AF622),$AF$2:$AF$1001,0),0), INDEX($AM$1004:$BM$1004,1,MATCH(COLUMNS($AM$1006:AP1006),$AM$1006:$BM$1006,0)))),"Fix")))</f>
        <v xml:space="preserve"> </v>
      </c>
      <c r="F622" s="4" t="str">
        <f ca="1">IF(OR(INDEX($AG$2:$AG$1001,MATCH(ROWS($AF$2:AF622),$AF$2:$AF$1001,0),1)&gt;=100000,INDEX($AM$1005:$BM$1005,1,MATCH(COLUMNS($AM$1006:AQ1006),$AM$1006:$BM$1006,0))&gt;=100000), " ",IF(INDEX($AM$2:$BM$1001,MATCH(ROWS($AF$2:AF622),$AF$2:$AF$1001,0),MATCH(COLUMNS($AM$1006:AQ1006),$AM$1006:$BM$1006,0)), HYPERLINK("#",""), HYPERLINK(CONCATENATE("#metadata!", ADDRESS(INDEX($AH$2:$AH$1001,MATCH(ROWS($AF$2:AF622),$AF$2:$AF$1001,0),0), INDEX($AM$1004:$BM$1004,1,MATCH(COLUMNS($AM$1006:AQ1006),$AM$1006:$BM$1006,0)))),"Fix")))</f>
        <v xml:space="preserve"> </v>
      </c>
      <c r="G622" s="4" t="str">
        <f ca="1">IF(OR(INDEX($AG$2:$AG$1001,MATCH(ROWS($AF$2:AF622),$AF$2:$AF$1001,0),1)&gt;=100000,INDEX($AM$1005:$BM$1005,1,MATCH(COLUMNS($AM$1006:AR1006),$AM$1006:$BM$1006,0))&gt;=100000), " ",IF(INDEX($AM$2:$BM$1001,MATCH(ROWS($AF$2:AF622),$AF$2:$AF$1001,0),MATCH(COLUMNS($AM$1006:AR1006),$AM$1006:$BM$1006,0)), HYPERLINK("#",""), HYPERLINK(CONCATENATE("#metadata!", ADDRESS(INDEX($AH$2:$AH$1001,MATCH(ROWS($AF$2:AF622),$AF$2:$AF$1001,0),0), INDEX($AM$1004:$BM$1004,1,MATCH(COLUMNS($AM$1006:AR1006),$AM$1006:$BM$1006,0)))),"Fix")))</f>
        <v xml:space="preserve"> </v>
      </c>
      <c r="H622" s="4" t="str">
        <f ca="1">IF(OR(INDEX($AG$2:$AG$1001,MATCH(ROWS($AF$2:AF622),$AF$2:$AF$1001,0),1)&gt;=100000,INDEX($AM$1005:$BM$1005,1,MATCH(COLUMNS($AM$1006:AS1006),$AM$1006:$BM$1006,0))&gt;=100000), " ",IF(INDEX($AM$2:$BM$1001,MATCH(ROWS($AF$2:AF622),$AF$2:$AF$1001,0),MATCH(COLUMNS($AM$1006:AS1006),$AM$1006:$BM$1006,0)), HYPERLINK("#",""), HYPERLINK(CONCATENATE("#metadata!", ADDRESS(INDEX($AH$2:$AH$1001,MATCH(ROWS($AF$2:AF622),$AF$2:$AF$1001,0),0), INDEX($AM$1004:$BM$1004,1,MATCH(COLUMNS($AM$1006:AS1006),$AM$1006:$BM$1006,0)))),"Fix")))</f>
        <v xml:space="preserve"> </v>
      </c>
      <c r="I622" s="4" t="str">
        <f ca="1">IF(OR(INDEX($AG$2:$AG$1001,MATCH(ROWS($AF$2:AF622),$AF$2:$AF$1001,0),1)&gt;=100000,INDEX($AM$1005:$BM$1005,1,MATCH(COLUMNS($AM$1006:AT1006),$AM$1006:$BM$1006,0))&gt;=100000), " ",IF(INDEX($AM$2:$BM$1001,MATCH(ROWS($AF$2:AF622),$AF$2:$AF$1001,0),MATCH(COLUMNS($AM$1006:AT1006),$AM$1006:$BM$1006,0)), HYPERLINK("#",""), HYPERLINK(CONCATENATE("#metadata!", ADDRESS(INDEX($AH$2:$AH$1001,MATCH(ROWS($AF$2:AF622),$AF$2:$AF$1001,0),0), INDEX($AM$1004:$BM$1004,1,MATCH(COLUMNS($AM$1006:AT1006),$AM$1006:$BM$1006,0)))),"Fix")))</f>
        <v xml:space="preserve"> </v>
      </c>
      <c r="J622" s="4" t="str">
        <f ca="1">IF(OR(INDEX($AG$2:$AG$1001,MATCH(ROWS($AF$2:AF622),$AF$2:$AF$1001,0),1)&gt;=100000,INDEX($AM$1005:$BM$1005,1,MATCH(COLUMNS($AM$1006:AU1006),$AM$1006:$BM$1006,0))&gt;=100000), " ",IF(INDEX($AM$2:$BM$1001,MATCH(ROWS($AF$2:AF622),$AF$2:$AF$1001,0),MATCH(COLUMNS($AM$1006:AU1006),$AM$1006:$BM$1006,0)), HYPERLINK("#",""), HYPERLINK(CONCATENATE("#metadata!", ADDRESS(INDEX($AH$2:$AH$1001,MATCH(ROWS($AF$2:AF622),$AF$2:$AF$1001,0),0), INDEX($AM$1004:$BM$1004,1,MATCH(COLUMNS($AM$1006:AU1006),$AM$1006:$BM$1006,0)))),"Fix")))</f>
        <v xml:space="preserve"> </v>
      </c>
      <c r="K622" s="4" t="str">
        <f ca="1">IF(OR(INDEX($AG$2:$AG$1001,MATCH(ROWS($AF$2:AF622),$AF$2:$AF$1001,0),1)&gt;=100000,INDEX($AM$1005:$BM$1005,1,MATCH(COLUMNS($AM$1006:AV1006),$AM$1006:$BM$1006,0))&gt;=100000), " ",IF(INDEX($AM$2:$BM$1001,MATCH(ROWS($AF$2:AF622),$AF$2:$AF$1001,0),MATCH(COLUMNS($AM$1006:AV1006),$AM$1006:$BM$1006,0)), HYPERLINK("#",""), HYPERLINK(CONCATENATE("#metadata!", ADDRESS(INDEX($AH$2:$AH$1001,MATCH(ROWS($AF$2:AF622),$AF$2:$AF$1001,0),0), INDEX($AM$1004:$BM$1004,1,MATCH(COLUMNS($AM$1006:AV1006),$AM$1006:$BM$1006,0)))),"Fix")))</f>
        <v xml:space="preserve"> </v>
      </c>
      <c r="L622" s="4" t="str">
        <f ca="1">IF(OR(INDEX($AG$2:$AG$1001,MATCH(ROWS($AF$2:AF622),$AF$2:$AF$1001,0),1)&gt;=100000,INDEX($AM$1005:$BM$1005,1,MATCH(COLUMNS($AM$1006:AW1006),$AM$1006:$BM$1006,0))&gt;=100000), " ",IF(INDEX($AM$2:$BM$1001,MATCH(ROWS($AF$2:AF622),$AF$2:$AF$1001,0),MATCH(COLUMNS($AM$1006:AW1006),$AM$1006:$BM$1006,0)), HYPERLINK("#",""), HYPERLINK(CONCATENATE("#metadata!", ADDRESS(INDEX($AH$2:$AH$1001,MATCH(ROWS($AF$2:AF622),$AF$2:$AF$1001,0),0), INDEX($AM$1004:$BM$1004,1,MATCH(COLUMNS($AM$1006:AW1006),$AM$1006:$BM$1006,0)))),"Fix")))</f>
        <v xml:space="preserve"> </v>
      </c>
      <c r="M622" s="4" t="str">
        <f ca="1">IF(OR(INDEX($AG$2:$AG$1001,MATCH(ROWS($AF$2:AF622),$AF$2:$AF$1001,0),1)&gt;=100000,INDEX($AM$1005:$BM$1005,1,MATCH(COLUMNS($AM$1006:AX1006),$AM$1006:$BM$1006,0))&gt;=100000), " ",IF(INDEX($AM$2:$BM$1001,MATCH(ROWS($AF$2:AF622),$AF$2:$AF$1001,0),MATCH(COLUMNS($AM$1006:AX1006),$AM$1006:$BM$1006,0)), HYPERLINK("#",""), HYPERLINK(CONCATENATE("#metadata!", ADDRESS(INDEX($AH$2:$AH$1001,MATCH(ROWS($AF$2:AF622),$AF$2:$AF$1001,0),0), INDEX($AM$1004:$BM$1004,1,MATCH(COLUMNS($AM$1006:AX1006),$AM$1006:$BM$1006,0)))),"Fix")))</f>
        <v xml:space="preserve"> </v>
      </c>
      <c r="N622" s="4" t="str">
        <f ca="1">IF(OR(INDEX($AG$2:$AG$1001,MATCH(ROWS($AF$2:AF622),$AF$2:$AF$1001,0),1)&gt;=100000,INDEX($AM$1005:$BM$1005,1,MATCH(COLUMNS($AM$1006:AY1006),$AM$1006:$BM$1006,0))&gt;=100000), " ",IF(INDEX($AM$2:$BM$1001,MATCH(ROWS($AF$2:AF622),$AF$2:$AF$1001,0),MATCH(COLUMNS($AM$1006:AY1006),$AM$1006:$BM$1006,0)), HYPERLINK("#",""), HYPERLINK(CONCATENATE("#metadata!", ADDRESS(INDEX($AH$2:$AH$1001,MATCH(ROWS($AF$2:AF622),$AF$2:$AF$1001,0),0), INDEX($AM$1004:$BM$1004,1,MATCH(COLUMNS($AM$1006:AY1006),$AM$1006:$BM$1006,0)))),"Fix")))</f>
        <v xml:space="preserve"> </v>
      </c>
      <c r="O622" s="4" t="str">
        <f ca="1">IF(OR(INDEX($AG$2:$AG$1001,MATCH(ROWS($AF$2:AF622),$AF$2:$AF$1001,0),1)&gt;=100000,INDEX($AM$1005:$BM$1005,1,MATCH(COLUMNS($AM$1006:AZ1006),$AM$1006:$BM$1006,0))&gt;=100000), " ",IF(INDEX($AM$2:$BM$1001,MATCH(ROWS($AF$2:AF622),$AF$2:$AF$1001,0),MATCH(COLUMNS($AM$1006:AZ1006),$AM$1006:$BM$1006,0)), HYPERLINK("#",""), HYPERLINK(CONCATENATE("#metadata!", ADDRESS(INDEX($AH$2:$AH$1001,MATCH(ROWS($AF$2:AF622),$AF$2:$AF$1001,0),0), INDEX($AM$1004:$BM$1004,1,MATCH(COLUMNS($AM$1006:AZ1006),$AM$1006:$BM$1006,0)))),"Fix")))</f>
        <v xml:space="preserve"> </v>
      </c>
      <c r="P622" s="4" t="str">
        <f ca="1">IF(OR(INDEX($AG$2:$AG$1001,MATCH(ROWS($AF$2:AF622),$AF$2:$AF$1001,0),1)&gt;=100000,INDEX($AM$1005:$BM$1005,1,MATCH(COLUMNS($AM$1006:BA1006),$AM$1006:$BM$1006,0))&gt;=100000), " ",IF(INDEX($AM$2:$BM$1001,MATCH(ROWS($AF$2:AF622),$AF$2:$AF$1001,0),MATCH(COLUMNS($AM$1006:BA1006),$AM$1006:$BM$1006,0)), HYPERLINK("#",""), HYPERLINK(CONCATENATE("#metadata!", ADDRESS(INDEX($AH$2:$AH$1001,MATCH(ROWS($AF$2:AF622),$AF$2:$AF$1001,0),0), INDEX($AM$1004:$BM$1004,1,MATCH(COLUMNS($AM$1006:BA1006),$AM$1006:$BM$1006,0)))),"Fix")))</f>
        <v xml:space="preserve"> </v>
      </c>
      <c r="Q622" s="4" t="str">
        <f ca="1">IF(OR(INDEX($AG$2:$AG$1001,MATCH(ROWS($AF$2:AF622),$AF$2:$AF$1001,0),1)&gt;=100000,INDEX($AM$1005:$BM$1005,1,MATCH(COLUMNS($AM$1006:BB1006),$AM$1006:$BM$1006,0))&gt;=100000), " ",IF(INDEX($AM$2:$BM$1001,MATCH(ROWS($AF$2:AF622),$AF$2:$AF$1001,0),MATCH(COLUMNS($AM$1006:BB1006),$AM$1006:$BM$1006,0)), HYPERLINK("#",""), HYPERLINK(CONCATENATE("#metadata!", ADDRESS(INDEX($AH$2:$AH$1001,MATCH(ROWS($AF$2:AF622),$AF$2:$AF$1001,0),0), INDEX($AM$1004:$BM$1004,1,MATCH(COLUMNS($AM$1006:BB1006),$AM$1006:$BM$1006,0)))),"Fix")))</f>
        <v xml:space="preserve"> </v>
      </c>
      <c r="R622" s="4" t="str">
        <f ca="1">IF(OR(INDEX($AG$2:$AG$1001,MATCH(ROWS($AF$2:AF622),$AF$2:$AF$1001,0),1)&gt;=100000,INDEX($AM$1005:$BM$1005,1,MATCH(COLUMNS($AM$1006:BC1006),$AM$1006:$BM$1006,0))&gt;=100000), " ",IF(INDEX($AM$2:$BM$1001,MATCH(ROWS($AF$2:AF622),$AF$2:$AF$1001,0),MATCH(COLUMNS($AM$1006:BC1006),$AM$1006:$BM$1006,0)), HYPERLINK("#",""), HYPERLINK(CONCATENATE("#metadata!", ADDRESS(INDEX($AH$2:$AH$1001,MATCH(ROWS($AF$2:AF622),$AF$2:$AF$1001,0),0), INDEX($AM$1004:$BM$1004,1,MATCH(COLUMNS($AM$1006:BC1006),$AM$1006:$BM$1006,0)))),"Fix")))</f>
        <v xml:space="preserve"> </v>
      </c>
      <c r="S622" s="4" t="str">
        <f ca="1">IF(OR(INDEX($AG$2:$AG$1001,MATCH(ROWS($AF$2:AF622),$AF$2:$AF$1001,0),1)&gt;=100000,INDEX($AM$1005:$BM$1005,1,MATCH(COLUMNS($AM$1006:BD1006),$AM$1006:$BM$1006,0))&gt;=100000), " ",IF(INDEX($AM$2:$BM$1001,MATCH(ROWS($AF$2:AF622),$AF$2:$AF$1001,0),MATCH(COLUMNS($AM$1006:BD1006),$AM$1006:$BM$1006,0)), HYPERLINK("#",""), HYPERLINK(CONCATENATE("#metadata!", ADDRESS(INDEX($AH$2:$AH$1001,MATCH(ROWS($AF$2:AF622),$AF$2:$AF$1001,0),0), INDEX($AM$1004:$BM$1004,1,MATCH(COLUMNS($AM$1006:BD1006),$AM$1006:$BM$1006,0)))),"Fix")))</f>
        <v xml:space="preserve"> </v>
      </c>
      <c r="T622" s="4" t="str">
        <f ca="1">IF(OR(INDEX($AG$2:$AG$1001,MATCH(ROWS($AF$2:AF622),$AF$2:$AF$1001,0),1)&gt;=100000,INDEX($AM$1005:$BM$1005,1,MATCH(COLUMNS($AM$1006:BE1006),$AM$1006:$BM$1006,0))&gt;=100000), " ",IF(INDEX($AM$2:$BM$1001,MATCH(ROWS($AF$2:AF622),$AF$2:$AF$1001,0),MATCH(COLUMNS($AM$1006:BE1006),$AM$1006:$BM$1006,0)), HYPERLINK("#",""), HYPERLINK(CONCATENATE("#metadata!", ADDRESS(INDEX($AH$2:$AH$1001,MATCH(ROWS($AF$2:AF622),$AF$2:$AF$1001,0),0), INDEX($AM$1004:$BM$1004,1,MATCH(COLUMNS($AM$1006:BE1006),$AM$1006:$BM$1006,0)))),"Fix")))</f>
        <v xml:space="preserve"> </v>
      </c>
      <c r="U622" s="4" t="str">
        <f ca="1">IF(OR(INDEX($AG$2:$AG$1001,MATCH(ROWS($AF$2:AF622),$AF$2:$AF$1001,0),1)&gt;=100000,INDEX($AM$1005:$BM$1005,1,MATCH(COLUMNS($AM$1006:BF1006),$AM$1006:$BM$1006,0))&gt;=100000), " ",IF(INDEX($AM$2:$BM$1001,MATCH(ROWS($AF$2:AF622),$AF$2:$AF$1001,0),MATCH(COLUMNS($AM$1006:BF1006),$AM$1006:$BM$1006,0)), HYPERLINK("#",""), HYPERLINK(CONCATENATE("#metadata!", ADDRESS(INDEX($AH$2:$AH$1001,MATCH(ROWS($AF$2:AF622),$AF$2:$AF$1001,0),0), INDEX($AM$1004:$BM$1004,1,MATCH(COLUMNS($AM$1006:BF1006),$AM$1006:$BM$1006,0)))),"Fix")))</f>
        <v xml:space="preserve"> </v>
      </c>
      <c r="V622" s="4" t="str">
        <f ca="1">IF(OR(INDEX($AG$2:$AG$1001,MATCH(ROWS($AF$2:AF622),$AF$2:$AF$1001,0),1)&gt;=100000,INDEX($AM$1005:$BM$1005,1,MATCH(COLUMNS($AM$1006:BG1006),$AM$1006:$BM$1006,0))&gt;=100000), " ",IF(INDEX($AM$2:$BM$1001,MATCH(ROWS($AF$2:AF622),$AF$2:$AF$1001,0),MATCH(COLUMNS($AM$1006:BG1006),$AM$1006:$BM$1006,0)), HYPERLINK("#",""), HYPERLINK(CONCATENATE("#metadata!", ADDRESS(INDEX($AH$2:$AH$1001,MATCH(ROWS($AF$2:AF622),$AF$2:$AF$1001,0),0), INDEX($AM$1004:$BM$1004,1,MATCH(COLUMNS($AM$1006:BG1006),$AM$1006:$BM$1006,0)))),"Fix")))</f>
        <v xml:space="preserve"> </v>
      </c>
      <c r="W622" s="4" t="str">
        <f ca="1">IF(OR(INDEX($AG$2:$AG$1001,MATCH(ROWS($AF$2:AF622),$AF$2:$AF$1001,0),1)&gt;=100000,INDEX($AM$1005:$BM$1005,1,MATCH(COLUMNS($AM$1006:BH1006),$AM$1006:$BM$1006,0))&gt;=100000), " ",IF(INDEX($AM$2:$BM$1001,MATCH(ROWS($AF$2:AF622),$AF$2:$AF$1001,0),MATCH(COLUMNS($AM$1006:BH1006),$AM$1006:$BM$1006,0)), HYPERLINK("#",""), HYPERLINK(CONCATENATE("#metadata!", ADDRESS(INDEX($AH$2:$AH$1001,MATCH(ROWS($AF$2:AF622),$AF$2:$AF$1001,0),0), INDEX($AM$1004:$BM$1004,1,MATCH(COLUMNS($AM$1006:BH1006),$AM$1006:$BM$1006,0)))),"Fix")))</f>
        <v xml:space="preserve"> </v>
      </c>
      <c r="X622" s="4" t="str">
        <f ca="1">IF(OR(INDEX($AG$2:$AG$1001,MATCH(ROWS($AF$2:AF622),$AF$2:$AF$1001,0),1)&gt;=100000,INDEX($AM$1005:$BM$1005,1,MATCH(COLUMNS($AM$1006:BI1006),$AM$1006:$BM$1006,0))&gt;=100000), " ",IF(INDEX($AM$2:$BM$1001,MATCH(ROWS($AF$2:AF622),$AF$2:$AF$1001,0),MATCH(COLUMNS($AM$1006:BI1006),$AM$1006:$BM$1006,0)), HYPERLINK("#",""), HYPERLINK(CONCATENATE("#metadata!", ADDRESS(INDEX($AH$2:$AH$1001,MATCH(ROWS($AF$2:AF622),$AF$2:$AF$1001,0),0), INDEX($AM$1004:$BM$1004,1,MATCH(COLUMNS($AM$1006:BI1006),$AM$1006:$BM$1006,0)))),"Fix")))</f>
        <v xml:space="preserve"> </v>
      </c>
      <c r="Y622" s="4" t="str">
        <f ca="1">IF(OR(INDEX($AG$2:$AG$1001,MATCH(ROWS($AF$2:AF622),$AF$2:$AF$1001,0),1)&gt;=100000,INDEX($AM$1005:$BM$1005,1,MATCH(COLUMNS($AM$1006:BJ1006),$AM$1006:$BM$1006,0))&gt;=100000), " ",IF(INDEX($AM$2:$BM$1001,MATCH(ROWS($AF$2:AF622),$AF$2:$AF$1001,0),MATCH(COLUMNS($AM$1006:BJ1006),$AM$1006:$BM$1006,0)), HYPERLINK("#",""), HYPERLINK(CONCATENATE("#metadata!", ADDRESS(INDEX($AH$2:$AH$1001,MATCH(ROWS($AF$2:AF622),$AF$2:$AF$1001,0),0), INDEX($AM$1004:$BM$1004,1,MATCH(COLUMNS($AM$1006:BJ1006),$AM$1006:$BM$1006,0)))),"Fix")))</f>
        <v xml:space="preserve"> </v>
      </c>
      <c r="Z622" s="4" t="str">
        <f ca="1">IF(OR(INDEX($AG$2:$AG$1001,MATCH(ROWS($AF$2:AF622),$AF$2:$AF$1001,0),1)&gt;=100000,INDEX($AM$1005:$BM$1005,1,MATCH(COLUMNS($AM$1006:BK1006),$AM$1006:$BM$1006,0))&gt;=100000), " ",IF(INDEX($AM$2:$BM$1001,MATCH(ROWS($AF$2:AF622),$AF$2:$AF$1001,0),MATCH(COLUMNS($AM$1006:BK1006),$AM$1006:$BM$1006,0)), HYPERLINK("#",""), HYPERLINK(CONCATENATE("#metadata!", ADDRESS(INDEX($AH$2:$AH$1001,MATCH(ROWS($AF$2:AF622),$AF$2:$AF$1001,0),0), INDEX($AM$1004:$BM$1004,1,MATCH(COLUMNS($AM$1006:BK1006),$AM$1006:$BM$1006,0)))),"Fix")))</f>
        <v xml:space="preserve"> </v>
      </c>
      <c r="AA622" s="4" t="str">
        <f ca="1">IF(OR(INDEX($AG$2:$AG$1001,MATCH(ROWS($AF$2:AF622),$AF$2:$AF$1001,0),1)&gt;=100000,INDEX($AM$1005:$BM$1005,1,MATCH(COLUMNS($AM$1006:BL1006),$AM$1006:$BM$1006,0))&gt;=100000), " ",IF(INDEX($AM$2:$BM$1001,MATCH(ROWS($AF$2:AF622),$AF$2:$AF$1001,0),MATCH(COLUMNS($AM$1006:BL1006),$AM$1006:$BM$1006,0)), HYPERLINK("#",""), HYPERLINK(CONCATENATE("#metadata!", ADDRESS(INDEX($AH$2:$AH$1001,MATCH(ROWS($AF$2:AF622),$AF$2:$AF$1001,0),0), INDEX($AM$1004:$BM$1004,1,MATCH(COLUMNS($AM$1006:BL1006),$AM$1006:$BM$1006,0)))),"Fix")))</f>
        <v xml:space="preserve"> </v>
      </c>
      <c r="AB622" s="4" t="str">
        <f ca="1">IF(OR(INDEX($AG$2:$AG$1001,MATCH(ROWS($AF$2:AF622),$AF$2:$AF$1001,0),1)&gt;=100000,INDEX($AM$1005:$BM$1005,1,MATCH(COLUMNS($AM$1006:BM1006),$AM$1006:$BM$1006,0))&gt;=100000), " ",IF(INDEX($AM$2:$BM$1001,MATCH(ROWS($AF$2:AF622),$AF$2:$AF$1001,0),MATCH(COLUMNS($AM$1006:BM1006),$AM$1006:$BM$1006,0)), HYPERLINK("#",""), HYPERLINK(CONCATENATE("#metadata!", ADDRESS(INDEX($AH$2:$AH$1001,MATCH(ROWS($AF$2:AF622),$AF$2:$AF$1001,0),0), INDEX($AM$1004:$BM$1004,1,MATCH(COLUMNS($AM$1006:BM1006),$AM$1006:$BM$1006,0)))),"Fix")))</f>
        <v xml:space="preserve"> </v>
      </c>
      <c r="AF622">
        <v>621</v>
      </c>
      <c r="AG622">
        <v>100622</v>
      </c>
      <c r="AH622">
        <v>622</v>
      </c>
      <c r="AI622" t="b">
        <f t="shared" si="9"/>
        <v>1</v>
      </c>
      <c r="AJ622" t="b">
        <f>COUNTBLANK(metadata!B622:AB622)=COLUMNS(metadata!B622:AB622)</f>
        <v>1</v>
      </c>
      <c r="AK622" t="str">
        <v/>
      </c>
      <c r="AM622" t="b">
        <f ca="1">AND(IF(metadata!B622="",FALSE,TRUE),COUNTIF(metadata!B:B, metadata!B622) = 1,NOT(ISERROR(SUMPRODUCT(SEARCH(MID(metadata!B622,ROW(INDIRECT("1:"&amp;LEN(metadata!B622))), 1),"0123456789abcdefghijklmnopqrstuvwxyzABCDEFGHIJKLMNOPQRSTUVWXYZ.")))))</f>
        <v>0</v>
      </c>
      <c r="AN622" t="b">
        <f ca="1">OR(AND(IF(metadata!C622="",FALSE,TRUE),OR(EXACT(metadata!C622,"missing: not collected"),EXACT(metadata!C622,"missing: not provided"),EXACT(metadata!C622,"missing: restricted access"))),AND(IF(metadata!C622="",FALSE,TRUE),AND(AND(IFERROR(INT(LEFT(metadata!C622,4))&gt;1900,FALSE),IFERROR(INT(LEFT(metadata!C622,4))&lt;=YEAR(NOW()),FALSE)), OR(MID(metadata!C622,5,1)="", AND(AND(MID(metadata!C622,5,1)="-",IFERROR(INT(MID(metadata!C622,6,1))&gt;=0,FALSE),IFERROR(INT(MID(metadata!C622,6,1))&lt;=1,FALSE),NOT(MID(metadata!C622,7,1)=""),IFERROR(INT(MID(metadata!C622,6,2))&gt;=1,FALSE),IFERROR(INT(MID(metadata!C622,6,2))&lt;=12,FALSE)), OR(MID(metadata!C622,8,1)="", AND(AND(MID(metadata!C622,8,1)="-",IFERROR(INT(MID(metadata!C622,9,1))&gt;=0,FALSE),IFERROR(INT(MID(metadata!C622,9,1))&lt;=3,FALSE),NOT(MID(metadata!C622,10,1)=""),IFERROR(INT(MID(metadata!C622,9,2))&gt;=1,FALSE),IFERROR(INT(MID(metadata!C622,9,2))&lt;=31,FALSE)), OR(MID(metadata!C622,11,1)="", AND(AND(MID(metadata!C622,11,1)=" ",IFERROR(INT(MID(metadata!C622,12,1))&gt;=0,FALSE),IFERROR(INT(MID(metadata!C622,12,1))&lt;=2,FALSE),NOT(MID(metadata!C622,13,1)=""),IFERROR(INT(MID(metadata!C622,12,2))&gt;=0,FALSE),IFERROR(INT(MID(metadata!C622,12,2))&lt;=23,FALSE)), OR(MID(metadata!C622,14,1)="", AND(AND(MID(metadata!C622,14,1)=":",IFERROR(INT(MID(metadata!C622,15,1))&gt;=0,FALSE),IFERROR(INT(MID(metadata!C622,15,1))&lt;=5,FALSE),NOT(MID(metadata!C622,16,1)=""),IFERROR(INT(MID(metadata!C622,15,2))&gt;=0,FALSE),IFERROR(INT(MID(metadata!C622,15,2))&lt;=59,FALSE)), OR(MID(metadata!C622,17,1)="", AND(AND(MID(metadata!C622,17,1)=":",IFERROR(INT(MID(metadata!C622,18,1))&gt;=0,FALSE),IFERROR(INT(MID(metadata!C622,18,1))&lt;=5,FALSE),NOT(MID(metadata!C622,19,1)=""),IFERROR(INT(MID(metadata!C622,18,2))&gt;=0,FALSE),IFERROR(INT(MID(metadata!C622,18,2))&lt;=59,FALSE)), LEN(metadata!C622)&lt;=19)))))))))))))</f>
        <v>0</v>
      </c>
      <c r="AO622" t="b">
        <f>AND(IF(metadata!D622="",FALSE,TRUE),EXACT(metadata!D622,"Not applicable"))</f>
        <v>0</v>
      </c>
      <c r="AP622" t="b">
        <f>IF(metadata!E622="",FALSE,TRUE)</f>
        <v>0</v>
      </c>
      <c r="AQ622" t="b">
        <f>OR(AND(IF(metadata!F622="",FALSE,TRUE),OR(EXACT(metadata!F622,"missing: not collected"),EXACT(metadata!F622,"missing: not provided"))),AND(IF(metadata!F622="",FALSE,TRUE),OR(EXACT(metadata!F622,"TRUE"),EXACT(metadata!F622,"FALSE"))))</f>
        <v>0</v>
      </c>
      <c r="AR622" t="b">
        <f>OR(AND(IF(metadata!G622="",FALSE,TRUE),OR(EXACT(metadata!G622,"missing: not collected"),EXACT(metadata!G622,"missing: not provided"),EXACT(metadata!G622,"missing: restricted access"))),AND(IF(metadata!G622="",FALSE,ISNUMBER(VALUE(metadata!G622))),metadata!G622&gt;=-413))</f>
        <v>0</v>
      </c>
      <c r="AS622" t="b">
        <f>AND(IF(metadata!H622="",FALSE,TRUE),EXACT(metadata!H622,"meters"))</f>
        <v>0</v>
      </c>
      <c r="AT622" t="b">
        <f>AND(IF(metadata!I622="",FALSE,TRUE),OR(EXACT(metadata!I622,"Host-associated"),EXACT(metadata!I622,"Free-living")))</f>
        <v>0</v>
      </c>
      <c r="AU622" t="b">
        <f>AND(IF(metadata!J622="",FALSE,TRUE),OR(EXACT(metadata!J622,"Animal"),EXACT(metadata!J622,"Fungus"),EXACT(metadata!J622,"Plant"),EXACT(metadata!J622,"Saline"),EXACT(metadata!J622,"Non-saline")))</f>
        <v>0</v>
      </c>
      <c r="AV622" t="b">
        <f>AND(IF(metadata!K622="",FALSE,TRUE),OR(EXACT(metadata!K622,"Plant secretion"),EXACT(metadata!K622,"Plant rhizosphere"),EXACT(metadata!K622,"Plant surface"),EXACT(metadata!K622,"Plant corpus"),EXACT(metadata!K622,"Fungus surface"),EXACT(metadata!K622,"Fungus corpus"),EXACT(metadata!K622,"Animal surface"),EXACT(metadata!K622,"Animal proximal gut"),EXACT(metadata!K622,"Animal corpus"),EXACT(metadata!K622,"Animal distal gut"),EXACT(metadata!K622,"Animal secretion"),EXACT(metadata!K622,"Sub-surface (non-saline)"),EXACT(metadata!K622,"Surface (non-saline)"),EXACT(metadata!K622,"Water (non-saline)"),EXACT(metadata!K622,"Soil (non-saline)"),EXACT(metadata!K622,"Aerosol (non-saline)"),EXACT(metadata!K622,"Sediment (non-saline)"),EXACT(metadata!K622,"Surface (saline)"),EXACT(metadata!K622,"Water (saline)"),EXACT(metadata!K622,"Hypersaline (saline)"),EXACT(metadata!K622,"Aerosol (saline)"),EXACT(metadata!K622,"Sediment (saline)")))</f>
        <v>0</v>
      </c>
      <c r="AW622" t="b">
        <f>IF(metadata!L622="",FALSE,TRUE)</f>
        <v>0</v>
      </c>
      <c r="AX622" t="b">
        <f>IF(metadata!M622="",FALSE,TRUE)</f>
        <v>0</v>
      </c>
      <c r="AY622" t="b">
        <f>IF(metadata!N622="",FALSE,TRUE)</f>
        <v>0</v>
      </c>
      <c r="AZ622" t="b">
        <f>OR(AND(IF(metadata!O622="",FALSE,TRUE),OR(EXACT(metadata!O622,"missing: not collected"),EXACT(metadata!O622,"missing: not provided"),EXACT(metadata!O622,"missing: restricted access"))),AND(IF(metadata!O622="",FALSE,TRUE),OR(EXACT(metadata!O622,"air"),EXACT(metadata!O622,"built environment"),EXACT(metadata!O622,"host-associated"),EXACT(metadata!O622,"human-associated"),EXACT(metadata!O622,"human-skin"),EXACT(metadata!O622,"human-oral"),EXACT(metadata!O622,"human-gut"),EXACT(metadata!O622,"human-vaginal"),EXACT(metadata!O622,"microbial mat/biofilm"),EXACT(metadata!O622,"misc environment"),EXACT(metadata!O622,"plant-associated"),EXACT(metadata!O622,"sediment"),EXACT(metadata!O622,"soil"),EXACT(metadata!O622,"wastewater/sludge"),EXACT(metadata!O622,"water"))))</f>
        <v>0</v>
      </c>
      <c r="BA622" t="b">
        <f>IF(metadata!P622="",FALSE,TRUE)</f>
        <v>0</v>
      </c>
      <c r="BB622" t="b">
        <f>IF(metadata!Q622="",FALSE,TRUE)</f>
        <v>0</v>
      </c>
      <c r="BC622" t="b">
        <f>OR(AND(IF(metadata!R622="",FALSE,TRUE),OR(EXACT(metadata!R622,"missing: not collected"),EXACT(metadata!R622,"missing: not provided"),EXACT(metadata!R622,"missing: restricted access"))),AND(IF(metadata!R622="",FALSE,ISNUMBER(VALUE(metadata!R622))),metadata!R622&gt;=-90,metadata!R622&lt;=90))</f>
        <v>0</v>
      </c>
      <c r="BD622" t="b">
        <f>AND(IF(metadata!S622="",FALSE,TRUE),EXACT(metadata!S622,"Decimal degrees"))</f>
        <v>0</v>
      </c>
      <c r="BE622" t="b">
        <f>OR(AND(IF(metadata!T622="",FALSE,TRUE),OR(EXACT(metadata!T622,"missing: not collected"),EXACT(metadata!T622,"missing: not provided"),EXACT(metadata!T622,"missing: restricted access"))),AND(IF(metadata!T622="",FALSE,ISNUMBER(VALUE(metadata!T622))),metadata!T622&gt;=-180,metadata!T622&lt;=180))</f>
        <v>0</v>
      </c>
      <c r="BF622" t="b">
        <f>AND(IF(metadata!U622="",FALSE,TRUE),EXACT(metadata!U622,"Decimal degrees"))</f>
        <v>0</v>
      </c>
      <c r="BG622" t="b">
        <f>IF(metadata!V622="",FALSE,TRUE)</f>
        <v>0</v>
      </c>
      <c r="BH622" t="b">
        <f>OR(AND(IF(metadata!W622="",FALSE,TRUE),OR(EXACT(metadata!W622,"missing: not collected"),EXACT(metadata!W622,"missing: not provided"),EXACT(metadata!W622,"missing: restricted access"))),AND(IF(metadata!W622="",FALSE,TRUE),OR(EXACT(metadata!W622,"TRUE"),EXACT(metadata!W622,"FALSE"))))</f>
        <v>0</v>
      </c>
      <c r="BI622" t="b">
        <f>AND(IF(metadata!X622="",FALSE,TRUE),EXACT(metadata!X622,"other"))</f>
        <v>0</v>
      </c>
      <c r="BJ622" t="b">
        <f>IF(metadata!Y622="",FALSE,TRUE)</f>
        <v>0</v>
      </c>
      <c r="BK622" t="b">
        <f>OR(AND(IF(metadata!Z622="",FALSE,TRUE),OR(EXACT(metadata!Z622,"missing: not collected"),EXACT(metadata!Z622,"missing: not provided"))),AND(IF(metadata!Z622="",FALSE,IF(ISERROR(INT(metadata!Z622)),FALSE,INT(metadata!Z622)=metadata!Z622)),metadata!Z622&gt;0))</f>
        <v>0</v>
      </c>
      <c r="BL622" t="b">
        <f>AND(IF(metadata!AA622="",FALSE,TRUE),EXACT(metadata!AA622,"Not applicable"))</f>
        <v>0</v>
      </c>
      <c r="BM622" t="b">
        <f>IF(metadata!AB622="",FALSE,TRUE)</f>
        <v>0</v>
      </c>
    </row>
    <row r="623" spans="1:65" x14ac:dyDescent="0.2">
      <c r="A623" s="5" t="str">
        <f ca="1">IF(B623=" "," ",HYPERLINK(CONCATENATE("#metadata!",ADDRESS(INDEX($AH$2:$AH$1001,MATCH(ROWS($AF$2:AF623),$AF$2:$AF$1001,0),0),1)),INDEX($AK$2:$AK$1001,MATCH(ROWS($AF$2:AF623),$AF$2:$AF$1001,0),0)))</f>
        <v xml:space="preserve"> </v>
      </c>
      <c r="B623" s="4" t="str">
        <f ca="1">IF(OR(INDEX($AG$2:$AG$1001,MATCH(ROWS($AF$2:AF623),$AF$2:$AF$1001,0),1)&gt;=100000,INDEX($AM$1005:$BM$1005,1,MATCH(COLUMNS($AM$1006:AM1006),$AM$1006:$BM$1006,0))&gt;=100000), " ",IF(INDEX($AM$2:$BM$1001,MATCH(ROWS($AF$2:AF623),$AF$2:$AF$1001,0),MATCH(COLUMNS($AM$1006:AM1006),$AM$1006:$BM$1006,0)), HYPERLINK("#",""), HYPERLINK(CONCATENATE("#metadata!", ADDRESS(INDEX($AH$2:$AH$1001,MATCH(ROWS($AF$2:AF623),$AF$2:$AF$1001,0),0), INDEX($AM$1004:$BM$1004,1,MATCH(COLUMNS($AM$1006:AM1006),$AM$1006:$BM$1006,0)))),"Fix")))</f>
        <v xml:space="preserve"> </v>
      </c>
      <c r="C623" s="4" t="str">
        <f ca="1">IF(OR(INDEX($AG$2:$AG$1001,MATCH(ROWS($AF$2:AF623),$AF$2:$AF$1001,0),1)&gt;=100000,INDEX($AM$1005:$BM$1005,1,MATCH(COLUMNS($AM$1006:AN1006),$AM$1006:$BM$1006,0))&gt;=100000), " ",IF(INDEX($AM$2:$BM$1001,MATCH(ROWS($AF$2:AF623),$AF$2:$AF$1001,0),MATCH(COLUMNS($AM$1006:AN1006),$AM$1006:$BM$1006,0)), HYPERLINK("#",""), HYPERLINK(CONCATENATE("#metadata!", ADDRESS(INDEX($AH$2:$AH$1001,MATCH(ROWS($AF$2:AF623),$AF$2:$AF$1001,0),0), INDEX($AM$1004:$BM$1004,1,MATCH(COLUMNS($AM$1006:AN1006),$AM$1006:$BM$1006,0)))),"Fix")))</f>
        <v xml:space="preserve"> </v>
      </c>
      <c r="D623" s="4" t="str">
        <f ca="1">IF(OR(INDEX($AG$2:$AG$1001,MATCH(ROWS($AF$2:AF623),$AF$2:$AF$1001,0),1)&gt;=100000,INDEX($AM$1005:$BM$1005,1,MATCH(COLUMNS($AM$1006:AO1006),$AM$1006:$BM$1006,0))&gt;=100000), " ",IF(INDEX($AM$2:$BM$1001,MATCH(ROWS($AF$2:AF623),$AF$2:$AF$1001,0),MATCH(COLUMNS($AM$1006:AO1006),$AM$1006:$BM$1006,0)), HYPERLINK("#",""), HYPERLINK(CONCATENATE("#metadata!", ADDRESS(INDEX($AH$2:$AH$1001,MATCH(ROWS($AF$2:AF623),$AF$2:$AF$1001,0),0), INDEX($AM$1004:$BM$1004,1,MATCH(COLUMNS($AM$1006:AO1006),$AM$1006:$BM$1006,0)))),"Fix")))</f>
        <v xml:space="preserve"> </v>
      </c>
      <c r="E623" s="4" t="str">
        <f ca="1">IF(OR(INDEX($AG$2:$AG$1001,MATCH(ROWS($AF$2:AF623),$AF$2:$AF$1001,0),1)&gt;=100000,INDEX($AM$1005:$BM$1005,1,MATCH(COLUMNS($AM$1006:AP1006),$AM$1006:$BM$1006,0))&gt;=100000), " ",IF(INDEX($AM$2:$BM$1001,MATCH(ROWS($AF$2:AF623),$AF$2:$AF$1001,0),MATCH(COLUMNS($AM$1006:AP1006),$AM$1006:$BM$1006,0)), HYPERLINK("#",""), HYPERLINK(CONCATENATE("#metadata!", ADDRESS(INDEX($AH$2:$AH$1001,MATCH(ROWS($AF$2:AF623),$AF$2:$AF$1001,0),0), INDEX($AM$1004:$BM$1004,1,MATCH(COLUMNS($AM$1006:AP1006),$AM$1006:$BM$1006,0)))),"Fix")))</f>
        <v xml:space="preserve"> </v>
      </c>
      <c r="F623" s="4" t="str">
        <f ca="1">IF(OR(INDEX($AG$2:$AG$1001,MATCH(ROWS($AF$2:AF623),$AF$2:$AF$1001,0),1)&gt;=100000,INDEX($AM$1005:$BM$1005,1,MATCH(COLUMNS($AM$1006:AQ1006),$AM$1006:$BM$1006,0))&gt;=100000), " ",IF(INDEX($AM$2:$BM$1001,MATCH(ROWS($AF$2:AF623),$AF$2:$AF$1001,0),MATCH(COLUMNS($AM$1006:AQ1006),$AM$1006:$BM$1006,0)), HYPERLINK("#",""), HYPERLINK(CONCATENATE("#metadata!", ADDRESS(INDEX($AH$2:$AH$1001,MATCH(ROWS($AF$2:AF623),$AF$2:$AF$1001,0),0), INDEX($AM$1004:$BM$1004,1,MATCH(COLUMNS($AM$1006:AQ1006),$AM$1006:$BM$1006,0)))),"Fix")))</f>
        <v xml:space="preserve"> </v>
      </c>
      <c r="G623" s="4" t="str">
        <f ca="1">IF(OR(INDEX($AG$2:$AG$1001,MATCH(ROWS($AF$2:AF623),$AF$2:$AF$1001,0),1)&gt;=100000,INDEX($AM$1005:$BM$1005,1,MATCH(COLUMNS($AM$1006:AR1006),$AM$1006:$BM$1006,0))&gt;=100000), " ",IF(INDEX($AM$2:$BM$1001,MATCH(ROWS($AF$2:AF623),$AF$2:$AF$1001,0),MATCH(COLUMNS($AM$1006:AR1006),$AM$1006:$BM$1006,0)), HYPERLINK("#",""), HYPERLINK(CONCATENATE("#metadata!", ADDRESS(INDEX($AH$2:$AH$1001,MATCH(ROWS($AF$2:AF623),$AF$2:$AF$1001,0),0), INDEX($AM$1004:$BM$1004,1,MATCH(COLUMNS($AM$1006:AR1006),$AM$1006:$BM$1006,0)))),"Fix")))</f>
        <v xml:space="preserve"> </v>
      </c>
      <c r="H623" s="4" t="str">
        <f ca="1">IF(OR(INDEX($AG$2:$AG$1001,MATCH(ROWS($AF$2:AF623),$AF$2:$AF$1001,0),1)&gt;=100000,INDEX($AM$1005:$BM$1005,1,MATCH(COLUMNS($AM$1006:AS1006),$AM$1006:$BM$1006,0))&gt;=100000), " ",IF(INDEX($AM$2:$BM$1001,MATCH(ROWS($AF$2:AF623),$AF$2:$AF$1001,0),MATCH(COLUMNS($AM$1006:AS1006),$AM$1006:$BM$1006,0)), HYPERLINK("#",""), HYPERLINK(CONCATENATE("#metadata!", ADDRESS(INDEX($AH$2:$AH$1001,MATCH(ROWS($AF$2:AF623),$AF$2:$AF$1001,0),0), INDEX($AM$1004:$BM$1004,1,MATCH(COLUMNS($AM$1006:AS1006),$AM$1006:$BM$1006,0)))),"Fix")))</f>
        <v xml:space="preserve"> </v>
      </c>
      <c r="I623" s="4" t="str">
        <f ca="1">IF(OR(INDEX($AG$2:$AG$1001,MATCH(ROWS($AF$2:AF623),$AF$2:$AF$1001,0),1)&gt;=100000,INDEX($AM$1005:$BM$1005,1,MATCH(COLUMNS($AM$1006:AT1006),$AM$1006:$BM$1006,0))&gt;=100000), " ",IF(INDEX($AM$2:$BM$1001,MATCH(ROWS($AF$2:AF623),$AF$2:$AF$1001,0),MATCH(COLUMNS($AM$1006:AT1006),$AM$1006:$BM$1006,0)), HYPERLINK("#",""), HYPERLINK(CONCATENATE("#metadata!", ADDRESS(INDEX($AH$2:$AH$1001,MATCH(ROWS($AF$2:AF623),$AF$2:$AF$1001,0),0), INDEX($AM$1004:$BM$1004,1,MATCH(COLUMNS($AM$1006:AT1006),$AM$1006:$BM$1006,0)))),"Fix")))</f>
        <v xml:space="preserve"> </v>
      </c>
      <c r="J623" s="4" t="str">
        <f ca="1">IF(OR(INDEX($AG$2:$AG$1001,MATCH(ROWS($AF$2:AF623),$AF$2:$AF$1001,0),1)&gt;=100000,INDEX($AM$1005:$BM$1005,1,MATCH(COLUMNS($AM$1006:AU1006),$AM$1006:$BM$1006,0))&gt;=100000), " ",IF(INDEX($AM$2:$BM$1001,MATCH(ROWS($AF$2:AF623),$AF$2:$AF$1001,0),MATCH(COLUMNS($AM$1006:AU1006),$AM$1006:$BM$1006,0)), HYPERLINK("#",""), HYPERLINK(CONCATENATE("#metadata!", ADDRESS(INDEX($AH$2:$AH$1001,MATCH(ROWS($AF$2:AF623),$AF$2:$AF$1001,0),0), INDEX($AM$1004:$BM$1004,1,MATCH(COLUMNS($AM$1006:AU1006),$AM$1006:$BM$1006,0)))),"Fix")))</f>
        <v xml:space="preserve"> </v>
      </c>
      <c r="K623" s="4" t="str">
        <f ca="1">IF(OR(INDEX($AG$2:$AG$1001,MATCH(ROWS($AF$2:AF623),$AF$2:$AF$1001,0),1)&gt;=100000,INDEX($AM$1005:$BM$1005,1,MATCH(COLUMNS($AM$1006:AV1006),$AM$1006:$BM$1006,0))&gt;=100000), " ",IF(INDEX($AM$2:$BM$1001,MATCH(ROWS($AF$2:AF623),$AF$2:$AF$1001,0),MATCH(COLUMNS($AM$1006:AV1006),$AM$1006:$BM$1006,0)), HYPERLINK("#",""), HYPERLINK(CONCATENATE("#metadata!", ADDRESS(INDEX($AH$2:$AH$1001,MATCH(ROWS($AF$2:AF623),$AF$2:$AF$1001,0),0), INDEX($AM$1004:$BM$1004,1,MATCH(COLUMNS($AM$1006:AV1006),$AM$1006:$BM$1006,0)))),"Fix")))</f>
        <v xml:space="preserve"> </v>
      </c>
      <c r="L623" s="4" t="str">
        <f ca="1">IF(OR(INDEX($AG$2:$AG$1001,MATCH(ROWS($AF$2:AF623),$AF$2:$AF$1001,0),1)&gt;=100000,INDEX($AM$1005:$BM$1005,1,MATCH(COLUMNS($AM$1006:AW1006),$AM$1006:$BM$1006,0))&gt;=100000), " ",IF(INDEX($AM$2:$BM$1001,MATCH(ROWS($AF$2:AF623),$AF$2:$AF$1001,0),MATCH(COLUMNS($AM$1006:AW1006),$AM$1006:$BM$1006,0)), HYPERLINK("#",""), HYPERLINK(CONCATENATE("#metadata!", ADDRESS(INDEX($AH$2:$AH$1001,MATCH(ROWS($AF$2:AF623),$AF$2:$AF$1001,0),0), INDEX($AM$1004:$BM$1004,1,MATCH(COLUMNS($AM$1006:AW1006),$AM$1006:$BM$1006,0)))),"Fix")))</f>
        <v xml:space="preserve"> </v>
      </c>
      <c r="M623" s="4" t="str">
        <f ca="1">IF(OR(INDEX($AG$2:$AG$1001,MATCH(ROWS($AF$2:AF623),$AF$2:$AF$1001,0),1)&gt;=100000,INDEX($AM$1005:$BM$1005,1,MATCH(COLUMNS($AM$1006:AX1006),$AM$1006:$BM$1006,0))&gt;=100000), " ",IF(INDEX($AM$2:$BM$1001,MATCH(ROWS($AF$2:AF623),$AF$2:$AF$1001,0),MATCH(COLUMNS($AM$1006:AX1006),$AM$1006:$BM$1006,0)), HYPERLINK("#",""), HYPERLINK(CONCATENATE("#metadata!", ADDRESS(INDEX($AH$2:$AH$1001,MATCH(ROWS($AF$2:AF623),$AF$2:$AF$1001,0),0), INDEX($AM$1004:$BM$1004,1,MATCH(COLUMNS($AM$1006:AX1006),$AM$1006:$BM$1006,0)))),"Fix")))</f>
        <v xml:space="preserve"> </v>
      </c>
      <c r="N623" s="4" t="str">
        <f ca="1">IF(OR(INDEX($AG$2:$AG$1001,MATCH(ROWS($AF$2:AF623),$AF$2:$AF$1001,0),1)&gt;=100000,INDEX($AM$1005:$BM$1005,1,MATCH(COLUMNS($AM$1006:AY1006),$AM$1006:$BM$1006,0))&gt;=100000), " ",IF(INDEX($AM$2:$BM$1001,MATCH(ROWS($AF$2:AF623),$AF$2:$AF$1001,0),MATCH(COLUMNS($AM$1006:AY1006),$AM$1006:$BM$1006,0)), HYPERLINK("#",""), HYPERLINK(CONCATENATE("#metadata!", ADDRESS(INDEX($AH$2:$AH$1001,MATCH(ROWS($AF$2:AF623),$AF$2:$AF$1001,0),0), INDEX($AM$1004:$BM$1004,1,MATCH(COLUMNS($AM$1006:AY1006),$AM$1006:$BM$1006,0)))),"Fix")))</f>
        <v xml:space="preserve"> </v>
      </c>
      <c r="O623" s="4" t="str">
        <f ca="1">IF(OR(INDEX($AG$2:$AG$1001,MATCH(ROWS($AF$2:AF623),$AF$2:$AF$1001,0),1)&gt;=100000,INDEX($AM$1005:$BM$1005,1,MATCH(COLUMNS($AM$1006:AZ1006),$AM$1006:$BM$1006,0))&gt;=100000), " ",IF(INDEX($AM$2:$BM$1001,MATCH(ROWS($AF$2:AF623),$AF$2:$AF$1001,0),MATCH(COLUMNS($AM$1006:AZ1006),$AM$1006:$BM$1006,0)), HYPERLINK("#",""), HYPERLINK(CONCATENATE("#metadata!", ADDRESS(INDEX($AH$2:$AH$1001,MATCH(ROWS($AF$2:AF623),$AF$2:$AF$1001,0),0), INDEX($AM$1004:$BM$1004,1,MATCH(COLUMNS($AM$1006:AZ1006),$AM$1006:$BM$1006,0)))),"Fix")))</f>
        <v xml:space="preserve"> </v>
      </c>
      <c r="P623" s="4" t="str">
        <f ca="1">IF(OR(INDEX($AG$2:$AG$1001,MATCH(ROWS($AF$2:AF623),$AF$2:$AF$1001,0),1)&gt;=100000,INDEX($AM$1005:$BM$1005,1,MATCH(COLUMNS($AM$1006:BA1006),$AM$1006:$BM$1006,0))&gt;=100000), " ",IF(INDEX($AM$2:$BM$1001,MATCH(ROWS($AF$2:AF623),$AF$2:$AF$1001,0),MATCH(COLUMNS($AM$1006:BA1006),$AM$1006:$BM$1006,0)), HYPERLINK("#",""), HYPERLINK(CONCATENATE("#metadata!", ADDRESS(INDEX($AH$2:$AH$1001,MATCH(ROWS($AF$2:AF623),$AF$2:$AF$1001,0),0), INDEX($AM$1004:$BM$1004,1,MATCH(COLUMNS($AM$1006:BA1006),$AM$1006:$BM$1006,0)))),"Fix")))</f>
        <v xml:space="preserve"> </v>
      </c>
      <c r="Q623" s="4" t="str">
        <f ca="1">IF(OR(INDEX($AG$2:$AG$1001,MATCH(ROWS($AF$2:AF623),$AF$2:$AF$1001,0),1)&gt;=100000,INDEX($AM$1005:$BM$1005,1,MATCH(COLUMNS($AM$1006:BB1006),$AM$1006:$BM$1006,0))&gt;=100000), " ",IF(INDEX($AM$2:$BM$1001,MATCH(ROWS($AF$2:AF623),$AF$2:$AF$1001,0),MATCH(COLUMNS($AM$1006:BB1006),$AM$1006:$BM$1006,0)), HYPERLINK("#",""), HYPERLINK(CONCATENATE("#metadata!", ADDRESS(INDEX($AH$2:$AH$1001,MATCH(ROWS($AF$2:AF623),$AF$2:$AF$1001,0),0), INDEX($AM$1004:$BM$1004,1,MATCH(COLUMNS($AM$1006:BB1006),$AM$1006:$BM$1006,0)))),"Fix")))</f>
        <v xml:space="preserve"> </v>
      </c>
      <c r="R623" s="4" t="str">
        <f ca="1">IF(OR(INDEX($AG$2:$AG$1001,MATCH(ROWS($AF$2:AF623),$AF$2:$AF$1001,0),1)&gt;=100000,INDEX($AM$1005:$BM$1005,1,MATCH(COLUMNS($AM$1006:BC1006),$AM$1006:$BM$1006,0))&gt;=100000), " ",IF(INDEX($AM$2:$BM$1001,MATCH(ROWS($AF$2:AF623),$AF$2:$AF$1001,0),MATCH(COLUMNS($AM$1006:BC1006),$AM$1006:$BM$1006,0)), HYPERLINK("#",""), HYPERLINK(CONCATENATE("#metadata!", ADDRESS(INDEX($AH$2:$AH$1001,MATCH(ROWS($AF$2:AF623),$AF$2:$AF$1001,0),0), INDEX($AM$1004:$BM$1004,1,MATCH(COLUMNS($AM$1006:BC1006),$AM$1006:$BM$1006,0)))),"Fix")))</f>
        <v xml:space="preserve"> </v>
      </c>
      <c r="S623" s="4" t="str">
        <f ca="1">IF(OR(INDEX($AG$2:$AG$1001,MATCH(ROWS($AF$2:AF623),$AF$2:$AF$1001,0),1)&gt;=100000,INDEX($AM$1005:$BM$1005,1,MATCH(COLUMNS($AM$1006:BD1006),$AM$1006:$BM$1006,0))&gt;=100000), " ",IF(INDEX($AM$2:$BM$1001,MATCH(ROWS($AF$2:AF623),$AF$2:$AF$1001,0),MATCH(COLUMNS($AM$1006:BD1006),$AM$1006:$BM$1006,0)), HYPERLINK("#",""), HYPERLINK(CONCATENATE("#metadata!", ADDRESS(INDEX($AH$2:$AH$1001,MATCH(ROWS($AF$2:AF623),$AF$2:$AF$1001,0),0), INDEX($AM$1004:$BM$1004,1,MATCH(COLUMNS($AM$1006:BD1006),$AM$1006:$BM$1006,0)))),"Fix")))</f>
        <v xml:space="preserve"> </v>
      </c>
      <c r="T623" s="4" t="str">
        <f ca="1">IF(OR(INDEX($AG$2:$AG$1001,MATCH(ROWS($AF$2:AF623),$AF$2:$AF$1001,0),1)&gt;=100000,INDEX($AM$1005:$BM$1005,1,MATCH(COLUMNS($AM$1006:BE1006),$AM$1006:$BM$1006,0))&gt;=100000), " ",IF(INDEX($AM$2:$BM$1001,MATCH(ROWS($AF$2:AF623),$AF$2:$AF$1001,0),MATCH(COLUMNS($AM$1006:BE1006),$AM$1006:$BM$1006,0)), HYPERLINK("#",""), HYPERLINK(CONCATENATE("#metadata!", ADDRESS(INDEX($AH$2:$AH$1001,MATCH(ROWS($AF$2:AF623),$AF$2:$AF$1001,0),0), INDEX($AM$1004:$BM$1004,1,MATCH(COLUMNS($AM$1006:BE1006),$AM$1006:$BM$1006,0)))),"Fix")))</f>
        <v xml:space="preserve"> </v>
      </c>
      <c r="U623" s="4" t="str">
        <f ca="1">IF(OR(INDEX($AG$2:$AG$1001,MATCH(ROWS($AF$2:AF623),$AF$2:$AF$1001,0),1)&gt;=100000,INDEX($AM$1005:$BM$1005,1,MATCH(COLUMNS($AM$1006:BF1006),$AM$1006:$BM$1006,0))&gt;=100000), " ",IF(INDEX($AM$2:$BM$1001,MATCH(ROWS($AF$2:AF623),$AF$2:$AF$1001,0),MATCH(COLUMNS($AM$1006:BF1006),$AM$1006:$BM$1006,0)), HYPERLINK("#",""), HYPERLINK(CONCATENATE("#metadata!", ADDRESS(INDEX($AH$2:$AH$1001,MATCH(ROWS($AF$2:AF623),$AF$2:$AF$1001,0),0), INDEX($AM$1004:$BM$1004,1,MATCH(COLUMNS($AM$1006:BF1006),$AM$1006:$BM$1006,0)))),"Fix")))</f>
        <v xml:space="preserve"> </v>
      </c>
      <c r="V623" s="4" t="str">
        <f ca="1">IF(OR(INDEX($AG$2:$AG$1001,MATCH(ROWS($AF$2:AF623),$AF$2:$AF$1001,0),1)&gt;=100000,INDEX($AM$1005:$BM$1005,1,MATCH(COLUMNS($AM$1006:BG1006),$AM$1006:$BM$1006,0))&gt;=100000), " ",IF(INDEX($AM$2:$BM$1001,MATCH(ROWS($AF$2:AF623),$AF$2:$AF$1001,0),MATCH(COLUMNS($AM$1006:BG1006),$AM$1006:$BM$1006,0)), HYPERLINK("#",""), HYPERLINK(CONCATENATE("#metadata!", ADDRESS(INDEX($AH$2:$AH$1001,MATCH(ROWS($AF$2:AF623),$AF$2:$AF$1001,0),0), INDEX($AM$1004:$BM$1004,1,MATCH(COLUMNS($AM$1006:BG1006),$AM$1006:$BM$1006,0)))),"Fix")))</f>
        <v xml:space="preserve"> </v>
      </c>
      <c r="W623" s="4" t="str">
        <f ca="1">IF(OR(INDEX($AG$2:$AG$1001,MATCH(ROWS($AF$2:AF623),$AF$2:$AF$1001,0),1)&gt;=100000,INDEX($AM$1005:$BM$1005,1,MATCH(COLUMNS($AM$1006:BH1006),$AM$1006:$BM$1006,0))&gt;=100000), " ",IF(INDEX($AM$2:$BM$1001,MATCH(ROWS($AF$2:AF623),$AF$2:$AF$1001,0),MATCH(COLUMNS($AM$1006:BH1006),$AM$1006:$BM$1006,0)), HYPERLINK("#",""), HYPERLINK(CONCATENATE("#metadata!", ADDRESS(INDEX($AH$2:$AH$1001,MATCH(ROWS($AF$2:AF623),$AF$2:$AF$1001,0),0), INDEX($AM$1004:$BM$1004,1,MATCH(COLUMNS($AM$1006:BH1006),$AM$1006:$BM$1006,0)))),"Fix")))</f>
        <v xml:space="preserve"> </v>
      </c>
      <c r="X623" s="4" t="str">
        <f ca="1">IF(OR(INDEX($AG$2:$AG$1001,MATCH(ROWS($AF$2:AF623),$AF$2:$AF$1001,0),1)&gt;=100000,INDEX($AM$1005:$BM$1005,1,MATCH(COLUMNS($AM$1006:BI1006),$AM$1006:$BM$1006,0))&gt;=100000), " ",IF(INDEX($AM$2:$BM$1001,MATCH(ROWS($AF$2:AF623),$AF$2:$AF$1001,0),MATCH(COLUMNS($AM$1006:BI1006),$AM$1006:$BM$1006,0)), HYPERLINK("#",""), HYPERLINK(CONCATENATE("#metadata!", ADDRESS(INDEX($AH$2:$AH$1001,MATCH(ROWS($AF$2:AF623),$AF$2:$AF$1001,0),0), INDEX($AM$1004:$BM$1004,1,MATCH(COLUMNS($AM$1006:BI1006),$AM$1006:$BM$1006,0)))),"Fix")))</f>
        <v xml:space="preserve"> </v>
      </c>
      <c r="Y623" s="4" t="str">
        <f ca="1">IF(OR(INDEX($AG$2:$AG$1001,MATCH(ROWS($AF$2:AF623),$AF$2:$AF$1001,0),1)&gt;=100000,INDEX($AM$1005:$BM$1005,1,MATCH(COLUMNS($AM$1006:BJ1006),$AM$1006:$BM$1006,0))&gt;=100000), " ",IF(INDEX($AM$2:$BM$1001,MATCH(ROWS($AF$2:AF623),$AF$2:$AF$1001,0),MATCH(COLUMNS($AM$1006:BJ1006),$AM$1006:$BM$1006,0)), HYPERLINK("#",""), HYPERLINK(CONCATENATE("#metadata!", ADDRESS(INDEX($AH$2:$AH$1001,MATCH(ROWS($AF$2:AF623),$AF$2:$AF$1001,0),0), INDEX($AM$1004:$BM$1004,1,MATCH(COLUMNS($AM$1006:BJ1006),$AM$1006:$BM$1006,0)))),"Fix")))</f>
        <v xml:space="preserve"> </v>
      </c>
      <c r="Z623" s="4" t="str">
        <f ca="1">IF(OR(INDEX($AG$2:$AG$1001,MATCH(ROWS($AF$2:AF623),$AF$2:$AF$1001,0),1)&gt;=100000,INDEX($AM$1005:$BM$1005,1,MATCH(COLUMNS($AM$1006:BK1006),$AM$1006:$BM$1006,0))&gt;=100000), " ",IF(INDEX($AM$2:$BM$1001,MATCH(ROWS($AF$2:AF623),$AF$2:$AF$1001,0),MATCH(COLUMNS($AM$1006:BK1006),$AM$1006:$BM$1006,0)), HYPERLINK("#",""), HYPERLINK(CONCATENATE("#metadata!", ADDRESS(INDEX($AH$2:$AH$1001,MATCH(ROWS($AF$2:AF623),$AF$2:$AF$1001,0),0), INDEX($AM$1004:$BM$1004,1,MATCH(COLUMNS($AM$1006:BK1006),$AM$1006:$BM$1006,0)))),"Fix")))</f>
        <v xml:space="preserve"> </v>
      </c>
      <c r="AA623" s="4" t="str">
        <f ca="1">IF(OR(INDEX($AG$2:$AG$1001,MATCH(ROWS($AF$2:AF623),$AF$2:$AF$1001,0),1)&gt;=100000,INDEX($AM$1005:$BM$1005,1,MATCH(COLUMNS($AM$1006:BL1006),$AM$1006:$BM$1006,0))&gt;=100000), " ",IF(INDEX($AM$2:$BM$1001,MATCH(ROWS($AF$2:AF623),$AF$2:$AF$1001,0),MATCH(COLUMNS($AM$1006:BL1006),$AM$1006:$BM$1006,0)), HYPERLINK("#",""), HYPERLINK(CONCATENATE("#metadata!", ADDRESS(INDEX($AH$2:$AH$1001,MATCH(ROWS($AF$2:AF623),$AF$2:$AF$1001,0),0), INDEX($AM$1004:$BM$1004,1,MATCH(COLUMNS($AM$1006:BL1006),$AM$1006:$BM$1006,0)))),"Fix")))</f>
        <v xml:space="preserve"> </v>
      </c>
      <c r="AB623" s="4" t="str">
        <f ca="1">IF(OR(INDEX($AG$2:$AG$1001,MATCH(ROWS($AF$2:AF623),$AF$2:$AF$1001,0),1)&gt;=100000,INDEX($AM$1005:$BM$1005,1,MATCH(COLUMNS($AM$1006:BM1006),$AM$1006:$BM$1006,0))&gt;=100000), " ",IF(INDEX($AM$2:$BM$1001,MATCH(ROWS($AF$2:AF623),$AF$2:$AF$1001,0),MATCH(COLUMNS($AM$1006:BM1006),$AM$1006:$BM$1006,0)), HYPERLINK("#",""), HYPERLINK(CONCATENATE("#metadata!", ADDRESS(INDEX($AH$2:$AH$1001,MATCH(ROWS($AF$2:AF623),$AF$2:$AF$1001,0),0), INDEX($AM$1004:$BM$1004,1,MATCH(COLUMNS($AM$1006:BM1006),$AM$1006:$BM$1006,0)))),"Fix")))</f>
        <v xml:space="preserve"> </v>
      </c>
      <c r="AF623">
        <v>622</v>
      </c>
      <c r="AG623">
        <v>100623</v>
      </c>
      <c r="AH623">
        <v>623</v>
      </c>
      <c r="AI623" t="b">
        <f t="shared" si="9"/>
        <v>1</v>
      </c>
      <c r="AJ623" t="b">
        <f>COUNTBLANK(metadata!B623:AB623)=COLUMNS(metadata!B623:AB623)</f>
        <v>1</v>
      </c>
      <c r="AK623" t="str">
        <v/>
      </c>
      <c r="AM623" t="b">
        <f ca="1">AND(IF(metadata!B623="",FALSE,TRUE),COUNTIF(metadata!B:B, metadata!B623) = 1,NOT(ISERROR(SUMPRODUCT(SEARCH(MID(metadata!B623,ROW(INDIRECT("1:"&amp;LEN(metadata!B623))), 1),"0123456789abcdefghijklmnopqrstuvwxyzABCDEFGHIJKLMNOPQRSTUVWXYZ.")))))</f>
        <v>0</v>
      </c>
      <c r="AN623" t="b">
        <f ca="1">OR(AND(IF(metadata!C623="",FALSE,TRUE),OR(EXACT(metadata!C623,"missing: not collected"),EXACT(metadata!C623,"missing: not provided"),EXACT(metadata!C623,"missing: restricted access"))),AND(IF(metadata!C623="",FALSE,TRUE),AND(AND(IFERROR(INT(LEFT(metadata!C623,4))&gt;1900,FALSE),IFERROR(INT(LEFT(metadata!C623,4))&lt;=YEAR(NOW()),FALSE)), OR(MID(metadata!C623,5,1)="", AND(AND(MID(metadata!C623,5,1)="-",IFERROR(INT(MID(metadata!C623,6,1))&gt;=0,FALSE),IFERROR(INT(MID(metadata!C623,6,1))&lt;=1,FALSE),NOT(MID(metadata!C623,7,1)=""),IFERROR(INT(MID(metadata!C623,6,2))&gt;=1,FALSE),IFERROR(INT(MID(metadata!C623,6,2))&lt;=12,FALSE)), OR(MID(metadata!C623,8,1)="", AND(AND(MID(metadata!C623,8,1)="-",IFERROR(INT(MID(metadata!C623,9,1))&gt;=0,FALSE),IFERROR(INT(MID(metadata!C623,9,1))&lt;=3,FALSE),NOT(MID(metadata!C623,10,1)=""),IFERROR(INT(MID(metadata!C623,9,2))&gt;=1,FALSE),IFERROR(INT(MID(metadata!C623,9,2))&lt;=31,FALSE)), OR(MID(metadata!C623,11,1)="", AND(AND(MID(metadata!C623,11,1)=" ",IFERROR(INT(MID(metadata!C623,12,1))&gt;=0,FALSE),IFERROR(INT(MID(metadata!C623,12,1))&lt;=2,FALSE),NOT(MID(metadata!C623,13,1)=""),IFERROR(INT(MID(metadata!C623,12,2))&gt;=0,FALSE),IFERROR(INT(MID(metadata!C623,12,2))&lt;=23,FALSE)), OR(MID(metadata!C623,14,1)="", AND(AND(MID(metadata!C623,14,1)=":",IFERROR(INT(MID(metadata!C623,15,1))&gt;=0,FALSE),IFERROR(INT(MID(metadata!C623,15,1))&lt;=5,FALSE),NOT(MID(metadata!C623,16,1)=""),IFERROR(INT(MID(metadata!C623,15,2))&gt;=0,FALSE),IFERROR(INT(MID(metadata!C623,15,2))&lt;=59,FALSE)), OR(MID(metadata!C623,17,1)="", AND(AND(MID(metadata!C623,17,1)=":",IFERROR(INT(MID(metadata!C623,18,1))&gt;=0,FALSE),IFERROR(INT(MID(metadata!C623,18,1))&lt;=5,FALSE),NOT(MID(metadata!C623,19,1)=""),IFERROR(INT(MID(metadata!C623,18,2))&gt;=0,FALSE),IFERROR(INT(MID(metadata!C623,18,2))&lt;=59,FALSE)), LEN(metadata!C623)&lt;=19)))))))))))))</f>
        <v>0</v>
      </c>
      <c r="AO623" t="b">
        <f>AND(IF(metadata!D623="",FALSE,TRUE),EXACT(metadata!D623,"Not applicable"))</f>
        <v>0</v>
      </c>
      <c r="AP623" t="b">
        <f>IF(metadata!E623="",FALSE,TRUE)</f>
        <v>0</v>
      </c>
      <c r="AQ623" t="b">
        <f>OR(AND(IF(metadata!F623="",FALSE,TRUE),OR(EXACT(metadata!F623,"missing: not collected"),EXACT(metadata!F623,"missing: not provided"))),AND(IF(metadata!F623="",FALSE,TRUE),OR(EXACT(metadata!F623,"TRUE"),EXACT(metadata!F623,"FALSE"))))</f>
        <v>0</v>
      </c>
      <c r="AR623" t="b">
        <f>OR(AND(IF(metadata!G623="",FALSE,TRUE),OR(EXACT(metadata!G623,"missing: not collected"),EXACT(metadata!G623,"missing: not provided"),EXACT(metadata!G623,"missing: restricted access"))),AND(IF(metadata!G623="",FALSE,ISNUMBER(VALUE(metadata!G623))),metadata!G623&gt;=-413))</f>
        <v>0</v>
      </c>
      <c r="AS623" t="b">
        <f>AND(IF(metadata!H623="",FALSE,TRUE),EXACT(metadata!H623,"meters"))</f>
        <v>0</v>
      </c>
      <c r="AT623" t="b">
        <f>AND(IF(metadata!I623="",FALSE,TRUE),OR(EXACT(metadata!I623,"Host-associated"),EXACT(metadata!I623,"Free-living")))</f>
        <v>0</v>
      </c>
      <c r="AU623" t="b">
        <f>AND(IF(metadata!J623="",FALSE,TRUE),OR(EXACT(metadata!J623,"Animal"),EXACT(metadata!J623,"Fungus"),EXACT(metadata!J623,"Plant"),EXACT(metadata!J623,"Saline"),EXACT(metadata!J623,"Non-saline")))</f>
        <v>0</v>
      </c>
      <c r="AV623" t="b">
        <f>AND(IF(metadata!K623="",FALSE,TRUE),OR(EXACT(metadata!K623,"Plant secretion"),EXACT(metadata!K623,"Plant rhizosphere"),EXACT(metadata!K623,"Plant surface"),EXACT(metadata!K623,"Plant corpus"),EXACT(metadata!K623,"Fungus surface"),EXACT(metadata!K623,"Fungus corpus"),EXACT(metadata!K623,"Animal surface"),EXACT(metadata!K623,"Animal proximal gut"),EXACT(metadata!K623,"Animal corpus"),EXACT(metadata!K623,"Animal distal gut"),EXACT(metadata!K623,"Animal secretion"),EXACT(metadata!K623,"Sub-surface (non-saline)"),EXACT(metadata!K623,"Surface (non-saline)"),EXACT(metadata!K623,"Water (non-saline)"),EXACT(metadata!K623,"Soil (non-saline)"),EXACT(metadata!K623,"Aerosol (non-saline)"),EXACT(metadata!K623,"Sediment (non-saline)"),EXACT(metadata!K623,"Surface (saline)"),EXACT(metadata!K623,"Water (saline)"),EXACT(metadata!K623,"Hypersaline (saline)"),EXACT(metadata!K623,"Aerosol (saline)"),EXACT(metadata!K623,"Sediment (saline)")))</f>
        <v>0</v>
      </c>
      <c r="AW623" t="b">
        <f>IF(metadata!L623="",FALSE,TRUE)</f>
        <v>0</v>
      </c>
      <c r="AX623" t="b">
        <f>IF(metadata!M623="",FALSE,TRUE)</f>
        <v>0</v>
      </c>
      <c r="AY623" t="b">
        <f>IF(metadata!N623="",FALSE,TRUE)</f>
        <v>0</v>
      </c>
      <c r="AZ623" t="b">
        <f>OR(AND(IF(metadata!O623="",FALSE,TRUE),OR(EXACT(metadata!O623,"missing: not collected"),EXACT(metadata!O623,"missing: not provided"),EXACT(metadata!O623,"missing: restricted access"))),AND(IF(metadata!O623="",FALSE,TRUE),OR(EXACT(metadata!O623,"air"),EXACT(metadata!O623,"built environment"),EXACT(metadata!O623,"host-associated"),EXACT(metadata!O623,"human-associated"),EXACT(metadata!O623,"human-skin"),EXACT(metadata!O623,"human-oral"),EXACT(metadata!O623,"human-gut"),EXACT(metadata!O623,"human-vaginal"),EXACT(metadata!O623,"microbial mat/biofilm"),EXACT(metadata!O623,"misc environment"),EXACT(metadata!O623,"plant-associated"),EXACT(metadata!O623,"sediment"),EXACT(metadata!O623,"soil"),EXACT(metadata!O623,"wastewater/sludge"),EXACT(metadata!O623,"water"))))</f>
        <v>0</v>
      </c>
      <c r="BA623" t="b">
        <f>IF(metadata!P623="",FALSE,TRUE)</f>
        <v>0</v>
      </c>
      <c r="BB623" t="b">
        <f>IF(metadata!Q623="",FALSE,TRUE)</f>
        <v>0</v>
      </c>
      <c r="BC623" t="b">
        <f>OR(AND(IF(metadata!R623="",FALSE,TRUE),OR(EXACT(metadata!R623,"missing: not collected"),EXACT(metadata!R623,"missing: not provided"),EXACT(metadata!R623,"missing: restricted access"))),AND(IF(metadata!R623="",FALSE,ISNUMBER(VALUE(metadata!R623))),metadata!R623&gt;=-90,metadata!R623&lt;=90))</f>
        <v>0</v>
      </c>
      <c r="BD623" t="b">
        <f>AND(IF(metadata!S623="",FALSE,TRUE),EXACT(metadata!S623,"Decimal degrees"))</f>
        <v>0</v>
      </c>
      <c r="BE623" t="b">
        <f>OR(AND(IF(metadata!T623="",FALSE,TRUE),OR(EXACT(metadata!T623,"missing: not collected"),EXACT(metadata!T623,"missing: not provided"),EXACT(metadata!T623,"missing: restricted access"))),AND(IF(metadata!T623="",FALSE,ISNUMBER(VALUE(metadata!T623))),metadata!T623&gt;=-180,metadata!T623&lt;=180))</f>
        <v>0</v>
      </c>
      <c r="BF623" t="b">
        <f>AND(IF(metadata!U623="",FALSE,TRUE),EXACT(metadata!U623,"Decimal degrees"))</f>
        <v>0</v>
      </c>
      <c r="BG623" t="b">
        <f>IF(metadata!V623="",FALSE,TRUE)</f>
        <v>0</v>
      </c>
      <c r="BH623" t="b">
        <f>OR(AND(IF(metadata!W623="",FALSE,TRUE),OR(EXACT(metadata!W623,"missing: not collected"),EXACT(metadata!W623,"missing: not provided"),EXACT(metadata!W623,"missing: restricted access"))),AND(IF(metadata!W623="",FALSE,TRUE),OR(EXACT(metadata!W623,"TRUE"),EXACT(metadata!W623,"FALSE"))))</f>
        <v>0</v>
      </c>
      <c r="BI623" t="b">
        <f>AND(IF(metadata!X623="",FALSE,TRUE),EXACT(metadata!X623,"other"))</f>
        <v>0</v>
      </c>
      <c r="BJ623" t="b">
        <f>IF(metadata!Y623="",FALSE,TRUE)</f>
        <v>0</v>
      </c>
      <c r="BK623" t="b">
        <f>OR(AND(IF(metadata!Z623="",FALSE,TRUE),OR(EXACT(metadata!Z623,"missing: not collected"),EXACT(metadata!Z623,"missing: not provided"))),AND(IF(metadata!Z623="",FALSE,IF(ISERROR(INT(metadata!Z623)),FALSE,INT(metadata!Z623)=metadata!Z623)),metadata!Z623&gt;0))</f>
        <v>0</v>
      </c>
      <c r="BL623" t="b">
        <f>AND(IF(metadata!AA623="",FALSE,TRUE),EXACT(metadata!AA623,"Not applicable"))</f>
        <v>0</v>
      </c>
      <c r="BM623" t="b">
        <f>IF(metadata!AB623="",FALSE,TRUE)</f>
        <v>0</v>
      </c>
    </row>
    <row r="624" spans="1:65" x14ac:dyDescent="0.2">
      <c r="A624" s="5" t="str">
        <f ca="1">IF(B624=" "," ",HYPERLINK(CONCATENATE("#metadata!",ADDRESS(INDEX($AH$2:$AH$1001,MATCH(ROWS($AF$2:AF624),$AF$2:$AF$1001,0),0),1)),INDEX($AK$2:$AK$1001,MATCH(ROWS($AF$2:AF624),$AF$2:$AF$1001,0),0)))</f>
        <v xml:space="preserve"> </v>
      </c>
      <c r="B624" s="4" t="str">
        <f ca="1">IF(OR(INDEX($AG$2:$AG$1001,MATCH(ROWS($AF$2:AF624),$AF$2:$AF$1001,0),1)&gt;=100000,INDEX($AM$1005:$BM$1005,1,MATCH(COLUMNS($AM$1006:AM1006),$AM$1006:$BM$1006,0))&gt;=100000), " ",IF(INDEX($AM$2:$BM$1001,MATCH(ROWS($AF$2:AF624),$AF$2:$AF$1001,0),MATCH(COLUMNS($AM$1006:AM1006),$AM$1006:$BM$1006,0)), HYPERLINK("#",""), HYPERLINK(CONCATENATE("#metadata!", ADDRESS(INDEX($AH$2:$AH$1001,MATCH(ROWS($AF$2:AF624),$AF$2:$AF$1001,0),0), INDEX($AM$1004:$BM$1004,1,MATCH(COLUMNS($AM$1006:AM1006),$AM$1006:$BM$1006,0)))),"Fix")))</f>
        <v xml:space="preserve"> </v>
      </c>
      <c r="C624" s="4" t="str">
        <f ca="1">IF(OR(INDEX($AG$2:$AG$1001,MATCH(ROWS($AF$2:AF624),$AF$2:$AF$1001,0),1)&gt;=100000,INDEX($AM$1005:$BM$1005,1,MATCH(COLUMNS($AM$1006:AN1006),$AM$1006:$BM$1006,0))&gt;=100000), " ",IF(INDEX($AM$2:$BM$1001,MATCH(ROWS($AF$2:AF624),$AF$2:$AF$1001,0),MATCH(COLUMNS($AM$1006:AN1006),$AM$1006:$BM$1006,0)), HYPERLINK("#",""), HYPERLINK(CONCATENATE("#metadata!", ADDRESS(INDEX($AH$2:$AH$1001,MATCH(ROWS($AF$2:AF624),$AF$2:$AF$1001,0),0), INDEX($AM$1004:$BM$1004,1,MATCH(COLUMNS($AM$1006:AN1006),$AM$1006:$BM$1006,0)))),"Fix")))</f>
        <v xml:space="preserve"> </v>
      </c>
      <c r="D624" s="4" t="str">
        <f ca="1">IF(OR(INDEX($AG$2:$AG$1001,MATCH(ROWS($AF$2:AF624),$AF$2:$AF$1001,0),1)&gt;=100000,INDEX($AM$1005:$BM$1005,1,MATCH(COLUMNS($AM$1006:AO1006),$AM$1006:$BM$1006,0))&gt;=100000), " ",IF(INDEX($AM$2:$BM$1001,MATCH(ROWS($AF$2:AF624),$AF$2:$AF$1001,0),MATCH(COLUMNS($AM$1006:AO1006),$AM$1006:$BM$1006,0)), HYPERLINK("#",""), HYPERLINK(CONCATENATE("#metadata!", ADDRESS(INDEX($AH$2:$AH$1001,MATCH(ROWS($AF$2:AF624),$AF$2:$AF$1001,0),0), INDEX($AM$1004:$BM$1004,1,MATCH(COLUMNS($AM$1006:AO1006),$AM$1006:$BM$1006,0)))),"Fix")))</f>
        <v xml:space="preserve"> </v>
      </c>
      <c r="E624" s="4" t="str">
        <f ca="1">IF(OR(INDEX($AG$2:$AG$1001,MATCH(ROWS($AF$2:AF624),$AF$2:$AF$1001,0),1)&gt;=100000,INDEX($AM$1005:$BM$1005,1,MATCH(COLUMNS($AM$1006:AP1006),$AM$1006:$BM$1006,0))&gt;=100000), " ",IF(INDEX($AM$2:$BM$1001,MATCH(ROWS($AF$2:AF624),$AF$2:$AF$1001,0),MATCH(COLUMNS($AM$1006:AP1006),$AM$1006:$BM$1006,0)), HYPERLINK("#",""), HYPERLINK(CONCATENATE("#metadata!", ADDRESS(INDEX($AH$2:$AH$1001,MATCH(ROWS($AF$2:AF624),$AF$2:$AF$1001,0),0), INDEX($AM$1004:$BM$1004,1,MATCH(COLUMNS($AM$1006:AP1006),$AM$1006:$BM$1006,0)))),"Fix")))</f>
        <v xml:space="preserve"> </v>
      </c>
      <c r="F624" s="4" t="str">
        <f ca="1">IF(OR(INDEX($AG$2:$AG$1001,MATCH(ROWS($AF$2:AF624),$AF$2:$AF$1001,0),1)&gt;=100000,INDEX($AM$1005:$BM$1005,1,MATCH(COLUMNS($AM$1006:AQ1006),$AM$1006:$BM$1006,0))&gt;=100000), " ",IF(INDEX($AM$2:$BM$1001,MATCH(ROWS($AF$2:AF624),$AF$2:$AF$1001,0),MATCH(COLUMNS($AM$1006:AQ1006),$AM$1006:$BM$1006,0)), HYPERLINK("#",""), HYPERLINK(CONCATENATE("#metadata!", ADDRESS(INDEX($AH$2:$AH$1001,MATCH(ROWS($AF$2:AF624),$AF$2:$AF$1001,0),0), INDEX($AM$1004:$BM$1004,1,MATCH(COLUMNS($AM$1006:AQ1006),$AM$1006:$BM$1006,0)))),"Fix")))</f>
        <v xml:space="preserve"> </v>
      </c>
      <c r="G624" s="4" t="str">
        <f ca="1">IF(OR(INDEX($AG$2:$AG$1001,MATCH(ROWS($AF$2:AF624),$AF$2:$AF$1001,0),1)&gt;=100000,INDEX($AM$1005:$BM$1005,1,MATCH(COLUMNS($AM$1006:AR1006),$AM$1006:$BM$1006,0))&gt;=100000), " ",IF(INDEX($AM$2:$BM$1001,MATCH(ROWS($AF$2:AF624),$AF$2:$AF$1001,0),MATCH(COLUMNS($AM$1006:AR1006),$AM$1006:$BM$1006,0)), HYPERLINK("#",""), HYPERLINK(CONCATENATE("#metadata!", ADDRESS(INDEX($AH$2:$AH$1001,MATCH(ROWS($AF$2:AF624),$AF$2:$AF$1001,0),0), INDEX($AM$1004:$BM$1004,1,MATCH(COLUMNS($AM$1006:AR1006),$AM$1006:$BM$1006,0)))),"Fix")))</f>
        <v xml:space="preserve"> </v>
      </c>
      <c r="H624" s="4" t="str">
        <f ca="1">IF(OR(INDEX($AG$2:$AG$1001,MATCH(ROWS($AF$2:AF624),$AF$2:$AF$1001,0),1)&gt;=100000,INDEX($AM$1005:$BM$1005,1,MATCH(COLUMNS($AM$1006:AS1006),$AM$1006:$BM$1006,0))&gt;=100000), " ",IF(INDEX($AM$2:$BM$1001,MATCH(ROWS($AF$2:AF624),$AF$2:$AF$1001,0),MATCH(COLUMNS($AM$1006:AS1006),$AM$1006:$BM$1006,0)), HYPERLINK("#",""), HYPERLINK(CONCATENATE("#metadata!", ADDRESS(INDEX($AH$2:$AH$1001,MATCH(ROWS($AF$2:AF624),$AF$2:$AF$1001,0),0), INDEX($AM$1004:$BM$1004,1,MATCH(COLUMNS($AM$1006:AS1006),$AM$1006:$BM$1006,0)))),"Fix")))</f>
        <v xml:space="preserve"> </v>
      </c>
      <c r="I624" s="4" t="str">
        <f ca="1">IF(OR(INDEX($AG$2:$AG$1001,MATCH(ROWS($AF$2:AF624),$AF$2:$AF$1001,0),1)&gt;=100000,INDEX($AM$1005:$BM$1005,1,MATCH(COLUMNS($AM$1006:AT1006),$AM$1006:$BM$1006,0))&gt;=100000), " ",IF(INDEX($AM$2:$BM$1001,MATCH(ROWS($AF$2:AF624),$AF$2:$AF$1001,0),MATCH(COLUMNS($AM$1006:AT1006),$AM$1006:$BM$1006,0)), HYPERLINK("#",""), HYPERLINK(CONCATENATE("#metadata!", ADDRESS(INDEX($AH$2:$AH$1001,MATCH(ROWS($AF$2:AF624),$AF$2:$AF$1001,0),0), INDEX($AM$1004:$BM$1004,1,MATCH(COLUMNS($AM$1006:AT1006),$AM$1006:$BM$1006,0)))),"Fix")))</f>
        <v xml:space="preserve"> </v>
      </c>
      <c r="J624" s="4" t="str">
        <f ca="1">IF(OR(INDEX($AG$2:$AG$1001,MATCH(ROWS($AF$2:AF624),$AF$2:$AF$1001,0),1)&gt;=100000,INDEX($AM$1005:$BM$1005,1,MATCH(COLUMNS($AM$1006:AU1006),$AM$1006:$BM$1006,0))&gt;=100000), " ",IF(INDEX($AM$2:$BM$1001,MATCH(ROWS($AF$2:AF624),$AF$2:$AF$1001,0),MATCH(COLUMNS($AM$1006:AU1006),$AM$1006:$BM$1006,0)), HYPERLINK("#",""), HYPERLINK(CONCATENATE("#metadata!", ADDRESS(INDEX($AH$2:$AH$1001,MATCH(ROWS($AF$2:AF624),$AF$2:$AF$1001,0),0), INDEX($AM$1004:$BM$1004,1,MATCH(COLUMNS($AM$1006:AU1006),$AM$1006:$BM$1006,0)))),"Fix")))</f>
        <v xml:space="preserve"> </v>
      </c>
      <c r="K624" s="4" t="str">
        <f ca="1">IF(OR(INDEX($AG$2:$AG$1001,MATCH(ROWS($AF$2:AF624),$AF$2:$AF$1001,0),1)&gt;=100000,INDEX($AM$1005:$BM$1005,1,MATCH(COLUMNS($AM$1006:AV1006),$AM$1006:$BM$1006,0))&gt;=100000), " ",IF(INDEX($AM$2:$BM$1001,MATCH(ROWS($AF$2:AF624),$AF$2:$AF$1001,0),MATCH(COLUMNS($AM$1006:AV1006),$AM$1006:$BM$1006,0)), HYPERLINK("#",""), HYPERLINK(CONCATENATE("#metadata!", ADDRESS(INDEX($AH$2:$AH$1001,MATCH(ROWS($AF$2:AF624),$AF$2:$AF$1001,0),0), INDEX($AM$1004:$BM$1004,1,MATCH(COLUMNS($AM$1006:AV1006),$AM$1006:$BM$1006,0)))),"Fix")))</f>
        <v xml:space="preserve"> </v>
      </c>
      <c r="L624" s="4" t="str">
        <f ca="1">IF(OR(INDEX($AG$2:$AG$1001,MATCH(ROWS($AF$2:AF624),$AF$2:$AF$1001,0),1)&gt;=100000,INDEX($AM$1005:$BM$1005,1,MATCH(COLUMNS($AM$1006:AW1006),$AM$1006:$BM$1006,0))&gt;=100000), " ",IF(INDEX($AM$2:$BM$1001,MATCH(ROWS($AF$2:AF624),$AF$2:$AF$1001,0),MATCH(COLUMNS($AM$1006:AW1006),$AM$1006:$BM$1006,0)), HYPERLINK("#",""), HYPERLINK(CONCATENATE("#metadata!", ADDRESS(INDEX($AH$2:$AH$1001,MATCH(ROWS($AF$2:AF624),$AF$2:$AF$1001,0),0), INDEX($AM$1004:$BM$1004,1,MATCH(COLUMNS($AM$1006:AW1006),$AM$1006:$BM$1006,0)))),"Fix")))</f>
        <v xml:space="preserve"> </v>
      </c>
      <c r="M624" s="4" t="str">
        <f ca="1">IF(OR(INDEX($AG$2:$AG$1001,MATCH(ROWS($AF$2:AF624),$AF$2:$AF$1001,0),1)&gt;=100000,INDEX($AM$1005:$BM$1005,1,MATCH(COLUMNS($AM$1006:AX1006),$AM$1006:$BM$1006,0))&gt;=100000), " ",IF(INDEX($AM$2:$BM$1001,MATCH(ROWS($AF$2:AF624),$AF$2:$AF$1001,0),MATCH(COLUMNS($AM$1006:AX1006),$AM$1006:$BM$1006,0)), HYPERLINK("#",""), HYPERLINK(CONCATENATE("#metadata!", ADDRESS(INDEX($AH$2:$AH$1001,MATCH(ROWS($AF$2:AF624),$AF$2:$AF$1001,0),0), INDEX($AM$1004:$BM$1004,1,MATCH(COLUMNS($AM$1006:AX1006),$AM$1006:$BM$1006,0)))),"Fix")))</f>
        <v xml:space="preserve"> </v>
      </c>
      <c r="N624" s="4" t="str">
        <f ca="1">IF(OR(INDEX($AG$2:$AG$1001,MATCH(ROWS($AF$2:AF624),$AF$2:$AF$1001,0),1)&gt;=100000,INDEX($AM$1005:$BM$1005,1,MATCH(COLUMNS($AM$1006:AY1006),$AM$1006:$BM$1006,0))&gt;=100000), " ",IF(INDEX($AM$2:$BM$1001,MATCH(ROWS($AF$2:AF624),$AF$2:$AF$1001,0),MATCH(COLUMNS($AM$1006:AY1006),$AM$1006:$BM$1006,0)), HYPERLINK("#",""), HYPERLINK(CONCATENATE("#metadata!", ADDRESS(INDEX($AH$2:$AH$1001,MATCH(ROWS($AF$2:AF624),$AF$2:$AF$1001,0),0), INDEX($AM$1004:$BM$1004,1,MATCH(COLUMNS($AM$1006:AY1006),$AM$1006:$BM$1006,0)))),"Fix")))</f>
        <v xml:space="preserve"> </v>
      </c>
      <c r="O624" s="4" t="str">
        <f ca="1">IF(OR(INDEX($AG$2:$AG$1001,MATCH(ROWS($AF$2:AF624),$AF$2:$AF$1001,0),1)&gt;=100000,INDEX($AM$1005:$BM$1005,1,MATCH(COLUMNS($AM$1006:AZ1006),$AM$1006:$BM$1006,0))&gt;=100000), " ",IF(INDEX($AM$2:$BM$1001,MATCH(ROWS($AF$2:AF624),$AF$2:$AF$1001,0),MATCH(COLUMNS($AM$1006:AZ1006),$AM$1006:$BM$1006,0)), HYPERLINK("#",""), HYPERLINK(CONCATENATE("#metadata!", ADDRESS(INDEX($AH$2:$AH$1001,MATCH(ROWS($AF$2:AF624),$AF$2:$AF$1001,0),0), INDEX($AM$1004:$BM$1004,1,MATCH(COLUMNS($AM$1006:AZ1006),$AM$1006:$BM$1006,0)))),"Fix")))</f>
        <v xml:space="preserve"> </v>
      </c>
      <c r="P624" s="4" t="str">
        <f ca="1">IF(OR(INDEX($AG$2:$AG$1001,MATCH(ROWS($AF$2:AF624),$AF$2:$AF$1001,0),1)&gt;=100000,INDEX($AM$1005:$BM$1005,1,MATCH(COLUMNS($AM$1006:BA1006),$AM$1006:$BM$1006,0))&gt;=100000), " ",IF(INDEX($AM$2:$BM$1001,MATCH(ROWS($AF$2:AF624),$AF$2:$AF$1001,0),MATCH(COLUMNS($AM$1006:BA1006),$AM$1006:$BM$1006,0)), HYPERLINK("#",""), HYPERLINK(CONCATENATE("#metadata!", ADDRESS(INDEX($AH$2:$AH$1001,MATCH(ROWS($AF$2:AF624),$AF$2:$AF$1001,0),0), INDEX($AM$1004:$BM$1004,1,MATCH(COLUMNS($AM$1006:BA1006),$AM$1006:$BM$1006,0)))),"Fix")))</f>
        <v xml:space="preserve"> </v>
      </c>
      <c r="Q624" s="4" t="str">
        <f ca="1">IF(OR(INDEX($AG$2:$AG$1001,MATCH(ROWS($AF$2:AF624),$AF$2:$AF$1001,0),1)&gt;=100000,INDEX($AM$1005:$BM$1005,1,MATCH(COLUMNS($AM$1006:BB1006),$AM$1006:$BM$1006,0))&gt;=100000), " ",IF(INDEX($AM$2:$BM$1001,MATCH(ROWS($AF$2:AF624),$AF$2:$AF$1001,0),MATCH(COLUMNS($AM$1006:BB1006),$AM$1006:$BM$1006,0)), HYPERLINK("#",""), HYPERLINK(CONCATENATE("#metadata!", ADDRESS(INDEX($AH$2:$AH$1001,MATCH(ROWS($AF$2:AF624),$AF$2:$AF$1001,0),0), INDEX($AM$1004:$BM$1004,1,MATCH(COLUMNS($AM$1006:BB1006),$AM$1006:$BM$1006,0)))),"Fix")))</f>
        <v xml:space="preserve"> </v>
      </c>
      <c r="R624" s="4" t="str">
        <f ca="1">IF(OR(INDEX($AG$2:$AG$1001,MATCH(ROWS($AF$2:AF624),$AF$2:$AF$1001,0),1)&gt;=100000,INDEX($AM$1005:$BM$1005,1,MATCH(COLUMNS($AM$1006:BC1006),$AM$1006:$BM$1006,0))&gt;=100000), " ",IF(INDEX($AM$2:$BM$1001,MATCH(ROWS($AF$2:AF624),$AF$2:$AF$1001,0),MATCH(COLUMNS($AM$1006:BC1006),$AM$1006:$BM$1006,0)), HYPERLINK("#",""), HYPERLINK(CONCATENATE("#metadata!", ADDRESS(INDEX($AH$2:$AH$1001,MATCH(ROWS($AF$2:AF624),$AF$2:$AF$1001,0),0), INDEX($AM$1004:$BM$1004,1,MATCH(COLUMNS($AM$1006:BC1006),$AM$1006:$BM$1006,0)))),"Fix")))</f>
        <v xml:space="preserve"> </v>
      </c>
      <c r="S624" s="4" t="str">
        <f ca="1">IF(OR(INDEX($AG$2:$AG$1001,MATCH(ROWS($AF$2:AF624),$AF$2:$AF$1001,0),1)&gt;=100000,INDEX($AM$1005:$BM$1005,1,MATCH(COLUMNS($AM$1006:BD1006),$AM$1006:$BM$1006,0))&gt;=100000), " ",IF(INDEX($AM$2:$BM$1001,MATCH(ROWS($AF$2:AF624),$AF$2:$AF$1001,0),MATCH(COLUMNS($AM$1006:BD1006),$AM$1006:$BM$1006,0)), HYPERLINK("#",""), HYPERLINK(CONCATENATE("#metadata!", ADDRESS(INDEX($AH$2:$AH$1001,MATCH(ROWS($AF$2:AF624),$AF$2:$AF$1001,0),0), INDEX($AM$1004:$BM$1004,1,MATCH(COLUMNS($AM$1006:BD1006),$AM$1006:$BM$1006,0)))),"Fix")))</f>
        <v xml:space="preserve"> </v>
      </c>
      <c r="T624" s="4" t="str">
        <f ca="1">IF(OR(INDEX($AG$2:$AG$1001,MATCH(ROWS($AF$2:AF624),$AF$2:$AF$1001,0),1)&gt;=100000,INDEX($AM$1005:$BM$1005,1,MATCH(COLUMNS($AM$1006:BE1006),$AM$1006:$BM$1006,0))&gt;=100000), " ",IF(INDEX($AM$2:$BM$1001,MATCH(ROWS($AF$2:AF624),$AF$2:$AF$1001,0),MATCH(COLUMNS($AM$1006:BE1006),$AM$1006:$BM$1006,0)), HYPERLINK("#",""), HYPERLINK(CONCATENATE("#metadata!", ADDRESS(INDEX($AH$2:$AH$1001,MATCH(ROWS($AF$2:AF624),$AF$2:$AF$1001,0),0), INDEX($AM$1004:$BM$1004,1,MATCH(COLUMNS($AM$1006:BE1006),$AM$1006:$BM$1006,0)))),"Fix")))</f>
        <v xml:space="preserve"> </v>
      </c>
      <c r="U624" s="4" t="str">
        <f ca="1">IF(OR(INDEX($AG$2:$AG$1001,MATCH(ROWS($AF$2:AF624),$AF$2:$AF$1001,0),1)&gt;=100000,INDEX($AM$1005:$BM$1005,1,MATCH(COLUMNS($AM$1006:BF1006),$AM$1006:$BM$1006,0))&gt;=100000), " ",IF(INDEX($AM$2:$BM$1001,MATCH(ROWS($AF$2:AF624),$AF$2:$AF$1001,0),MATCH(COLUMNS($AM$1006:BF1006),$AM$1006:$BM$1006,0)), HYPERLINK("#",""), HYPERLINK(CONCATENATE("#metadata!", ADDRESS(INDEX($AH$2:$AH$1001,MATCH(ROWS($AF$2:AF624),$AF$2:$AF$1001,0),0), INDEX($AM$1004:$BM$1004,1,MATCH(COLUMNS($AM$1006:BF1006),$AM$1006:$BM$1006,0)))),"Fix")))</f>
        <v xml:space="preserve"> </v>
      </c>
      <c r="V624" s="4" t="str">
        <f ca="1">IF(OR(INDEX($AG$2:$AG$1001,MATCH(ROWS($AF$2:AF624),$AF$2:$AF$1001,0),1)&gt;=100000,INDEX($AM$1005:$BM$1005,1,MATCH(COLUMNS($AM$1006:BG1006),$AM$1006:$BM$1006,0))&gt;=100000), " ",IF(INDEX($AM$2:$BM$1001,MATCH(ROWS($AF$2:AF624),$AF$2:$AF$1001,0),MATCH(COLUMNS($AM$1006:BG1006),$AM$1006:$BM$1006,0)), HYPERLINK("#",""), HYPERLINK(CONCATENATE("#metadata!", ADDRESS(INDEX($AH$2:$AH$1001,MATCH(ROWS($AF$2:AF624),$AF$2:$AF$1001,0),0), INDEX($AM$1004:$BM$1004,1,MATCH(COLUMNS($AM$1006:BG1006),$AM$1006:$BM$1006,0)))),"Fix")))</f>
        <v xml:space="preserve"> </v>
      </c>
      <c r="W624" s="4" t="str">
        <f ca="1">IF(OR(INDEX($AG$2:$AG$1001,MATCH(ROWS($AF$2:AF624),$AF$2:$AF$1001,0),1)&gt;=100000,INDEX($AM$1005:$BM$1005,1,MATCH(COLUMNS($AM$1006:BH1006),$AM$1006:$BM$1006,0))&gt;=100000), " ",IF(INDEX($AM$2:$BM$1001,MATCH(ROWS($AF$2:AF624),$AF$2:$AF$1001,0),MATCH(COLUMNS($AM$1006:BH1006),$AM$1006:$BM$1006,0)), HYPERLINK("#",""), HYPERLINK(CONCATENATE("#metadata!", ADDRESS(INDEX($AH$2:$AH$1001,MATCH(ROWS($AF$2:AF624),$AF$2:$AF$1001,0),0), INDEX($AM$1004:$BM$1004,1,MATCH(COLUMNS($AM$1006:BH1006),$AM$1006:$BM$1006,0)))),"Fix")))</f>
        <v xml:space="preserve"> </v>
      </c>
      <c r="X624" s="4" t="str">
        <f ca="1">IF(OR(INDEX($AG$2:$AG$1001,MATCH(ROWS($AF$2:AF624),$AF$2:$AF$1001,0),1)&gt;=100000,INDEX($AM$1005:$BM$1005,1,MATCH(COLUMNS($AM$1006:BI1006),$AM$1006:$BM$1006,0))&gt;=100000), " ",IF(INDEX($AM$2:$BM$1001,MATCH(ROWS($AF$2:AF624),$AF$2:$AF$1001,0),MATCH(COLUMNS($AM$1006:BI1006),$AM$1006:$BM$1006,0)), HYPERLINK("#",""), HYPERLINK(CONCATENATE("#metadata!", ADDRESS(INDEX($AH$2:$AH$1001,MATCH(ROWS($AF$2:AF624),$AF$2:$AF$1001,0),0), INDEX($AM$1004:$BM$1004,1,MATCH(COLUMNS($AM$1006:BI1006),$AM$1006:$BM$1006,0)))),"Fix")))</f>
        <v xml:space="preserve"> </v>
      </c>
      <c r="Y624" s="4" t="str">
        <f ca="1">IF(OR(INDEX($AG$2:$AG$1001,MATCH(ROWS($AF$2:AF624),$AF$2:$AF$1001,0),1)&gt;=100000,INDEX($AM$1005:$BM$1005,1,MATCH(COLUMNS($AM$1006:BJ1006),$AM$1006:$BM$1006,0))&gt;=100000), " ",IF(INDEX($AM$2:$BM$1001,MATCH(ROWS($AF$2:AF624),$AF$2:$AF$1001,0),MATCH(COLUMNS($AM$1006:BJ1006),$AM$1006:$BM$1006,0)), HYPERLINK("#",""), HYPERLINK(CONCATENATE("#metadata!", ADDRESS(INDEX($AH$2:$AH$1001,MATCH(ROWS($AF$2:AF624),$AF$2:$AF$1001,0),0), INDEX($AM$1004:$BM$1004,1,MATCH(COLUMNS($AM$1006:BJ1006),$AM$1006:$BM$1006,0)))),"Fix")))</f>
        <v xml:space="preserve"> </v>
      </c>
      <c r="Z624" s="4" t="str">
        <f ca="1">IF(OR(INDEX($AG$2:$AG$1001,MATCH(ROWS($AF$2:AF624),$AF$2:$AF$1001,0),1)&gt;=100000,INDEX($AM$1005:$BM$1005,1,MATCH(COLUMNS($AM$1006:BK1006),$AM$1006:$BM$1006,0))&gt;=100000), " ",IF(INDEX($AM$2:$BM$1001,MATCH(ROWS($AF$2:AF624),$AF$2:$AF$1001,0),MATCH(COLUMNS($AM$1006:BK1006),$AM$1006:$BM$1006,0)), HYPERLINK("#",""), HYPERLINK(CONCATENATE("#metadata!", ADDRESS(INDEX($AH$2:$AH$1001,MATCH(ROWS($AF$2:AF624),$AF$2:$AF$1001,0),0), INDEX($AM$1004:$BM$1004,1,MATCH(COLUMNS($AM$1006:BK1006),$AM$1006:$BM$1006,0)))),"Fix")))</f>
        <v xml:space="preserve"> </v>
      </c>
      <c r="AA624" s="4" t="str">
        <f ca="1">IF(OR(INDEX($AG$2:$AG$1001,MATCH(ROWS($AF$2:AF624),$AF$2:$AF$1001,0),1)&gt;=100000,INDEX($AM$1005:$BM$1005,1,MATCH(COLUMNS($AM$1006:BL1006),$AM$1006:$BM$1006,0))&gt;=100000), " ",IF(INDEX($AM$2:$BM$1001,MATCH(ROWS($AF$2:AF624),$AF$2:$AF$1001,0),MATCH(COLUMNS($AM$1006:BL1006),$AM$1006:$BM$1006,0)), HYPERLINK("#",""), HYPERLINK(CONCATENATE("#metadata!", ADDRESS(INDEX($AH$2:$AH$1001,MATCH(ROWS($AF$2:AF624),$AF$2:$AF$1001,0),0), INDEX($AM$1004:$BM$1004,1,MATCH(COLUMNS($AM$1006:BL1006),$AM$1006:$BM$1006,0)))),"Fix")))</f>
        <v xml:space="preserve"> </v>
      </c>
      <c r="AB624" s="4" t="str">
        <f ca="1">IF(OR(INDEX($AG$2:$AG$1001,MATCH(ROWS($AF$2:AF624),$AF$2:$AF$1001,0),1)&gt;=100000,INDEX($AM$1005:$BM$1005,1,MATCH(COLUMNS($AM$1006:BM1006),$AM$1006:$BM$1006,0))&gt;=100000), " ",IF(INDEX($AM$2:$BM$1001,MATCH(ROWS($AF$2:AF624),$AF$2:$AF$1001,0),MATCH(COLUMNS($AM$1006:BM1006),$AM$1006:$BM$1006,0)), HYPERLINK("#",""), HYPERLINK(CONCATENATE("#metadata!", ADDRESS(INDEX($AH$2:$AH$1001,MATCH(ROWS($AF$2:AF624),$AF$2:$AF$1001,0),0), INDEX($AM$1004:$BM$1004,1,MATCH(COLUMNS($AM$1006:BM1006),$AM$1006:$BM$1006,0)))),"Fix")))</f>
        <v xml:space="preserve"> </v>
      </c>
      <c r="AF624">
        <v>623</v>
      </c>
      <c r="AG624">
        <v>100624</v>
      </c>
      <c r="AH624">
        <v>624</v>
      </c>
      <c r="AI624" t="b">
        <f t="shared" si="9"/>
        <v>1</v>
      </c>
      <c r="AJ624" t="b">
        <f>COUNTBLANK(metadata!B624:AB624)=COLUMNS(metadata!B624:AB624)</f>
        <v>1</v>
      </c>
      <c r="AK624" t="str">
        <v/>
      </c>
      <c r="AM624" t="b">
        <f ca="1">AND(IF(metadata!B624="",FALSE,TRUE),COUNTIF(metadata!B:B, metadata!B624) = 1,NOT(ISERROR(SUMPRODUCT(SEARCH(MID(metadata!B624,ROW(INDIRECT("1:"&amp;LEN(metadata!B624))), 1),"0123456789abcdefghijklmnopqrstuvwxyzABCDEFGHIJKLMNOPQRSTUVWXYZ.")))))</f>
        <v>0</v>
      </c>
      <c r="AN624" t="b">
        <f ca="1">OR(AND(IF(metadata!C624="",FALSE,TRUE),OR(EXACT(metadata!C624,"missing: not collected"),EXACT(metadata!C624,"missing: not provided"),EXACT(metadata!C624,"missing: restricted access"))),AND(IF(metadata!C624="",FALSE,TRUE),AND(AND(IFERROR(INT(LEFT(metadata!C624,4))&gt;1900,FALSE),IFERROR(INT(LEFT(metadata!C624,4))&lt;=YEAR(NOW()),FALSE)), OR(MID(metadata!C624,5,1)="", AND(AND(MID(metadata!C624,5,1)="-",IFERROR(INT(MID(metadata!C624,6,1))&gt;=0,FALSE),IFERROR(INT(MID(metadata!C624,6,1))&lt;=1,FALSE),NOT(MID(metadata!C624,7,1)=""),IFERROR(INT(MID(metadata!C624,6,2))&gt;=1,FALSE),IFERROR(INT(MID(metadata!C624,6,2))&lt;=12,FALSE)), OR(MID(metadata!C624,8,1)="", AND(AND(MID(metadata!C624,8,1)="-",IFERROR(INT(MID(metadata!C624,9,1))&gt;=0,FALSE),IFERROR(INT(MID(metadata!C624,9,1))&lt;=3,FALSE),NOT(MID(metadata!C624,10,1)=""),IFERROR(INT(MID(metadata!C624,9,2))&gt;=1,FALSE),IFERROR(INT(MID(metadata!C624,9,2))&lt;=31,FALSE)), OR(MID(metadata!C624,11,1)="", AND(AND(MID(metadata!C624,11,1)=" ",IFERROR(INT(MID(metadata!C624,12,1))&gt;=0,FALSE),IFERROR(INT(MID(metadata!C624,12,1))&lt;=2,FALSE),NOT(MID(metadata!C624,13,1)=""),IFERROR(INT(MID(metadata!C624,12,2))&gt;=0,FALSE),IFERROR(INT(MID(metadata!C624,12,2))&lt;=23,FALSE)), OR(MID(metadata!C624,14,1)="", AND(AND(MID(metadata!C624,14,1)=":",IFERROR(INT(MID(metadata!C624,15,1))&gt;=0,FALSE),IFERROR(INT(MID(metadata!C624,15,1))&lt;=5,FALSE),NOT(MID(metadata!C624,16,1)=""),IFERROR(INT(MID(metadata!C624,15,2))&gt;=0,FALSE),IFERROR(INT(MID(metadata!C624,15,2))&lt;=59,FALSE)), OR(MID(metadata!C624,17,1)="", AND(AND(MID(metadata!C624,17,1)=":",IFERROR(INT(MID(metadata!C624,18,1))&gt;=0,FALSE),IFERROR(INT(MID(metadata!C624,18,1))&lt;=5,FALSE),NOT(MID(metadata!C624,19,1)=""),IFERROR(INT(MID(metadata!C624,18,2))&gt;=0,FALSE),IFERROR(INT(MID(metadata!C624,18,2))&lt;=59,FALSE)), LEN(metadata!C624)&lt;=19)))))))))))))</f>
        <v>0</v>
      </c>
      <c r="AO624" t="b">
        <f>AND(IF(metadata!D624="",FALSE,TRUE),EXACT(metadata!D624,"Not applicable"))</f>
        <v>0</v>
      </c>
      <c r="AP624" t="b">
        <f>IF(metadata!E624="",FALSE,TRUE)</f>
        <v>0</v>
      </c>
      <c r="AQ624" t="b">
        <f>OR(AND(IF(metadata!F624="",FALSE,TRUE),OR(EXACT(metadata!F624,"missing: not collected"),EXACT(metadata!F624,"missing: not provided"))),AND(IF(metadata!F624="",FALSE,TRUE),OR(EXACT(metadata!F624,"TRUE"),EXACT(metadata!F624,"FALSE"))))</f>
        <v>0</v>
      </c>
      <c r="AR624" t="b">
        <f>OR(AND(IF(metadata!G624="",FALSE,TRUE),OR(EXACT(metadata!G624,"missing: not collected"),EXACT(metadata!G624,"missing: not provided"),EXACT(metadata!G624,"missing: restricted access"))),AND(IF(metadata!G624="",FALSE,ISNUMBER(VALUE(metadata!G624))),metadata!G624&gt;=-413))</f>
        <v>0</v>
      </c>
      <c r="AS624" t="b">
        <f>AND(IF(metadata!H624="",FALSE,TRUE),EXACT(metadata!H624,"meters"))</f>
        <v>0</v>
      </c>
      <c r="AT624" t="b">
        <f>AND(IF(metadata!I624="",FALSE,TRUE),OR(EXACT(metadata!I624,"Host-associated"),EXACT(metadata!I624,"Free-living")))</f>
        <v>0</v>
      </c>
      <c r="AU624" t="b">
        <f>AND(IF(metadata!J624="",FALSE,TRUE),OR(EXACT(metadata!J624,"Animal"),EXACT(metadata!J624,"Fungus"),EXACT(metadata!J624,"Plant"),EXACT(metadata!J624,"Saline"),EXACT(metadata!J624,"Non-saline")))</f>
        <v>0</v>
      </c>
      <c r="AV624" t="b">
        <f>AND(IF(metadata!K624="",FALSE,TRUE),OR(EXACT(metadata!K624,"Plant secretion"),EXACT(metadata!K624,"Plant rhizosphere"),EXACT(metadata!K624,"Plant surface"),EXACT(metadata!K624,"Plant corpus"),EXACT(metadata!K624,"Fungus surface"),EXACT(metadata!K624,"Fungus corpus"),EXACT(metadata!K624,"Animal surface"),EXACT(metadata!K624,"Animal proximal gut"),EXACT(metadata!K624,"Animal corpus"),EXACT(metadata!K624,"Animal distal gut"),EXACT(metadata!K624,"Animal secretion"),EXACT(metadata!K624,"Sub-surface (non-saline)"),EXACT(metadata!K624,"Surface (non-saline)"),EXACT(metadata!K624,"Water (non-saline)"),EXACT(metadata!K624,"Soil (non-saline)"),EXACT(metadata!K624,"Aerosol (non-saline)"),EXACT(metadata!K624,"Sediment (non-saline)"),EXACT(metadata!K624,"Surface (saline)"),EXACT(metadata!K624,"Water (saline)"),EXACT(metadata!K624,"Hypersaline (saline)"),EXACT(metadata!K624,"Aerosol (saline)"),EXACT(metadata!K624,"Sediment (saline)")))</f>
        <v>0</v>
      </c>
      <c r="AW624" t="b">
        <f>IF(metadata!L624="",FALSE,TRUE)</f>
        <v>0</v>
      </c>
      <c r="AX624" t="b">
        <f>IF(metadata!M624="",FALSE,TRUE)</f>
        <v>0</v>
      </c>
      <c r="AY624" t="b">
        <f>IF(metadata!N624="",FALSE,TRUE)</f>
        <v>0</v>
      </c>
      <c r="AZ624" t="b">
        <f>OR(AND(IF(metadata!O624="",FALSE,TRUE),OR(EXACT(metadata!O624,"missing: not collected"),EXACT(metadata!O624,"missing: not provided"),EXACT(metadata!O624,"missing: restricted access"))),AND(IF(metadata!O624="",FALSE,TRUE),OR(EXACT(metadata!O624,"air"),EXACT(metadata!O624,"built environment"),EXACT(metadata!O624,"host-associated"),EXACT(metadata!O624,"human-associated"),EXACT(metadata!O624,"human-skin"),EXACT(metadata!O624,"human-oral"),EXACT(metadata!O624,"human-gut"),EXACT(metadata!O624,"human-vaginal"),EXACT(metadata!O624,"microbial mat/biofilm"),EXACT(metadata!O624,"misc environment"),EXACT(metadata!O624,"plant-associated"),EXACT(metadata!O624,"sediment"),EXACT(metadata!O624,"soil"),EXACT(metadata!O624,"wastewater/sludge"),EXACT(metadata!O624,"water"))))</f>
        <v>0</v>
      </c>
      <c r="BA624" t="b">
        <f>IF(metadata!P624="",FALSE,TRUE)</f>
        <v>0</v>
      </c>
      <c r="BB624" t="b">
        <f>IF(metadata!Q624="",FALSE,TRUE)</f>
        <v>0</v>
      </c>
      <c r="BC624" t="b">
        <f>OR(AND(IF(metadata!R624="",FALSE,TRUE),OR(EXACT(metadata!R624,"missing: not collected"),EXACT(metadata!R624,"missing: not provided"),EXACT(metadata!R624,"missing: restricted access"))),AND(IF(metadata!R624="",FALSE,ISNUMBER(VALUE(metadata!R624))),metadata!R624&gt;=-90,metadata!R624&lt;=90))</f>
        <v>0</v>
      </c>
      <c r="BD624" t="b">
        <f>AND(IF(metadata!S624="",FALSE,TRUE),EXACT(metadata!S624,"Decimal degrees"))</f>
        <v>0</v>
      </c>
      <c r="BE624" t="b">
        <f>OR(AND(IF(metadata!T624="",FALSE,TRUE),OR(EXACT(metadata!T624,"missing: not collected"),EXACT(metadata!T624,"missing: not provided"),EXACT(metadata!T624,"missing: restricted access"))),AND(IF(metadata!T624="",FALSE,ISNUMBER(VALUE(metadata!T624))),metadata!T624&gt;=-180,metadata!T624&lt;=180))</f>
        <v>0</v>
      </c>
      <c r="BF624" t="b">
        <f>AND(IF(metadata!U624="",FALSE,TRUE),EXACT(metadata!U624,"Decimal degrees"))</f>
        <v>0</v>
      </c>
      <c r="BG624" t="b">
        <f>IF(metadata!V624="",FALSE,TRUE)</f>
        <v>0</v>
      </c>
      <c r="BH624" t="b">
        <f>OR(AND(IF(metadata!W624="",FALSE,TRUE),OR(EXACT(metadata!W624,"missing: not collected"),EXACT(metadata!W624,"missing: not provided"),EXACT(metadata!W624,"missing: restricted access"))),AND(IF(metadata!W624="",FALSE,TRUE),OR(EXACT(metadata!W624,"TRUE"),EXACT(metadata!W624,"FALSE"))))</f>
        <v>0</v>
      </c>
      <c r="BI624" t="b">
        <f>AND(IF(metadata!X624="",FALSE,TRUE),EXACT(metadata!X624,"other"))</f>
        <v>0</v>
      </c>
      <c r="BJ624" t="b">
        <f>IF(metadata!Y624="",FALSE,TRUE)</f>
        <v>0</v>
      </c>
      <c r="BK624" t="b">
        <f>OR(AND(IF(metadata!Z624="",FALSE,TRUE),OR(EXACT(metadata!Z624,"missing: not collected"),EXACT(metadata!Z624,"missing: not provided"))),AND(IF(metadata!Z624="",FALSE,IF(ISERROR(INT(metadata!Z624)),FALSE,INT(metadata!Z624)=metadata!Z624)),metadata!Z624&gt;0))</f>
        <v>0</v>
      </c>
      <c r="BL624" t="b">
        <f>AND(IF(metadata!AA624="",FALSE,TRUE),EXACT(metadata!AA624,"Not applicable"))</f>
        <v>0</v>
      </c>
      <c r="BM624" t="b">
        <f>IF(metadata!AB624="",FALSE,TRUE)</f>
        <v>0</v>
      </c>
    </row>
    <row r="625" spans="1:65" x14ac:dyDescent="0.2">
      <c r="A625" s="5" t="str">
        <f ca="1">IF(B625=" "," ",HYPERLINK(CONCATENATE("#metadata!",ADDRESS(INDEX($AH$2:$AH$1001,MATCH(ROWS($AF$2:AF625),$AF$2:$AF$1001,0),0),1)),INDEX($AK$2:$AK$1001,MATCH(ROWS($AF$2:AF625),$AF$2:$AF$1001,0),0)))</f>
        <v xml:space="preserve"> </v>
      </c>
      <c r="B625" s="4" t="str">
        <f ca="1">IF(OR(INDEX($AG$2:$AG$1001,MATCH(ROWS($AF$2:AF625),$AF$2:$AF$1001,0),1)&gt;=100000,INDEX($AM$1005:$BM$1005,1,MATCH(COLUMNS($AM$1006:AM1006),$AM$1006:$BM$1006,0))&gt;=100000), " ",IF(INDEX($AM$2:$BM$1001,MATCH(ROWS($AF$2:AF625),$AF$2:$AF$1001,0),MATCH(COLUMNS($AM$1006:AM1006),$AM$1006:$BM$1006,0)), HYPERLINK("#",""), HYPERLINK(CONCATENATE("#metadata!", ADDRESS(INDEX($AH$2:$AH$1001,MATCH(ROWS($AF$2:AF625),$AF$2:$AF$1001,0),0), INDEX($AM$1004:$BM$1004,1,MATCH(COLUMNS($AM$1006:AM1006),$AM$1006:$BM$1006,0)))),"Fix")))</f>
        <v xml:space="preserve"> </v>
      </c>
      <c r="C625" s="4" t="str">
        <f ca="1">IF(OR(INDEX($AG$2:$AG$1001,MATCH(ROWS($AF$2:AF625),$AF$2:$AF$1001,0),1)&gt;=100000,INDEX($AM$1005:$BM$1005,1,MATCH(COLUMNS($AM$1006:AN1006),$AM$1006:$BM$1006,0))&gt;=100000), " ",IF(INDEX($AM$2:$BM$1001,MATCH(ROWS($AF$2:AF625),$AF$2:$AF$1001,0),MATCH(COLUMNS($AM$1006:AN1006),$AM$1006:$BM$1006,0)), HYPERLINK("#",""), HYPERLINK(CONCATENATE("#metadata!", ADDRESS(INDEX($AH$2:$AH$1001,MATCH(ROWS($AF$2:AF625),$AF$2:$AF$1001,0),0), INDEX($AM$1004:$BM$1004,1,MATCH(COLUMNS($AM$1006:AN1006),$AM$1006:$BM$1006,0)))),"Fix")))</f>
        <v xml:space="preserve"> </v>
      </c>
      <c r="D625" s="4" t="str">
        <f ca="1">IF(OR(INDEX($AG$2:$AG$1001,MATCH(ROWS($AF$2:AF625),$AF$2:$AF$1001,0),1)&gt;=100000,INDEX($AM$1005:$BM$1005,1,MATCH(COLUMNS($AM$1006:AO1006),$AM$1006:$BM$1006,0))&gt;=100000), " ",IF(INDEX($AM$2:$BM$1001,MATCH(ROWS($AF$2:AF625),$AF$2:$AF$1001,0),MATCH(COLUMNS($AM$1006:AO1006),$AM$1006:$BM$1006,0)), HYPERLINK("#",""), HYPERLINK(CONCATENATE("#metadata!", ADDRESS(INDEX($AH$2:$AH$1001,MATCH(ROWS($AF$2:AF625),$AF$2:$AF$1001,0),0), INDEX($AM$1004:$BM$1004,1,MATCH(COLUMNS($AM$1006:AO1006),$AM$1006:$BM$1006,0)))),"Fix")))</f>
        <v xml:space="preserve"> </v>
      </c>
      <c r="E625" s="4" t="str">
        <f ca="1">IF(OR(INDEX($AG$2:$AG$1001,MATCH(ROWS($AF$2:AF625),$AF$2:$AF$1001,0),1)&gt;=100000,INDEX($AM$1005:$BM$1005,1,MATCH(COLUMNS($AM$1006:AP1006),$AM$1006:$BM$1006,0))&gt;=100000), " ",IF(INDEX($AM$2:$BM$1001,MATCH(ROWS($AF$2:AF625),$AF$2:$AF$1001,0),MATCH(COLUMNS($AM$1006:AP1006),$AM$1006:$BM$1006,0)), HYPERLINK("#",""), HYPERLINK(CONCATENATE("#metadata!", ADDRESS(INDEX($AH$2:$AH$1001,MATCH(ROWS($AF$2:AF625),$AF$2:$AF$1001,0),0), INDEX($AM$1004:$BM$1004,1,MATCH(COLUMNS($AM$1006:AP1006),$AM$1006:$BM$1006,0)))),"Fix")))</f>
        <v xml:space="preserve"> </v>
      </c>
      <c r="F625" s="4" t="str">
        <f ca="1">IF(OR(INDEX($AG$2:$AG$1001,MATCH(ROWS($AF$2:AF625),$AF$2:$AF$1001,0),1)&gt;=100000,INDEX($AM$1005:$BM$1005,1,MATCH(COLUMNS($AM$1006:AQ1006),$AM$1006:$BM$1006,0))&gt;=100000), " ",IF(INDEX($AM$2:$BM$1001,MATCH(ROWS($AF$2:AF625),$AF$2:$AF$1001,0),MATCH(COLUMNS($AM$1006:AQ1006),$AM$1006:$BM$1006,0)), HYPERLINK("#",""), HYPERLINK(CONCATENATE("#metadata!", ADDRESS(INDEX($AH$2:$AH$1001,MATCH(ROWS($AF$2:AF625),$AF$2:$AF$1001,0),0), INDEX($AM$1004:$BM$1004,1,MATCH(COLUMNS($AM$1006:AQ1006),$AM$1006:$BM$1006,0)))),"Fix")))</f>
        <v xml:space="preserve"> </v>
      </c>
      <c r="G625" s="4" t="str">
        <f ca="1">IF(OR(INDEX($AG$2:$AG$1001,MATCH(ROWS($AF$2:AF625),$AF$2:$AF$1001,0),1)&gt;=100000,INDEX($AM$1005:$BM$1005,1,MATCH(COLUMNS($AM$1006:AR1006),$AM$1006:$BM$1006,0))&gt;=100000), " ",IF(INDEX($AM$2:$BM$1001,MATCH(ROWS($AF$2:AF625),$AF$2:$AF$1001,0),MATCH(COLUMNS($AM$1006:AR1006),$AM$1006:$BM$1006,0)), HYPERLINK("#",""), HYPERLINK(CONCATENATE("#metadata!", ADDRESS(INDEX($AH$2:$AH$1001,MATCH(ROWS($AF$2:AF625),$AF$2:$AF$1001,0),0), INDEX($AM$1004:$BM$1004,1,MATCH(COLUMNS($AM$1006:AR1006),$AM$1006:$BM$1006,0)))),"Fix")))</f>
        <v xml:space="preserve"> </v>
      </c>
      <c r="H625" s="4" t="str">
        <f ca="1">IF(OR(INDEX($AG$2:$AG$1001,MATCH(ROWS($AF$2:AF625),$AF$2:$AF$1001,0),1)&gt;=100000,INDEX($AM$1005:$BM$1005,1,MATCH(COLUMNS($AM$1006:AS1006),$AM$1006:$BM$1006,0))&gt;=100000), " ",IF(INDEX($AM$2:$BM$1001,MATCH(ROWS($AF$2:AF625),$AF$2:$AF$1001,0),MATCH(COLUMNS($AM$1006:AS1006),$AM$1006:$BM$1006,0)), HYPERLINK("#",""), HYPERLINK(CONCATENATE("#metadata!", ADDRESS(INDEX($AH$2:$AH$1001,MATCH(ROWS($AF$2:AF625),$AF$2:$AF$1001,0),0), INDEX($AM$1004:$BM$1004,1,MATCH(COLUMNS($AM$1006:AS1006),$AM$1006:$BM$1006,0)))),"Fix")))</f>
        <v xml:space="preserve"> </v>
      </c>
      <c r="I625" s="4" t="str">
        <f ca="1">IF(OR(INDEX($AG$2:$AG$1001,MATCH(ROWS($AF$2:AF625),$AF$2:$AF$1001,0),1)&gt;=100000,INDEX($AM$1005:$BM$1005,1,MATCH(COLUMNS($AM$1006:AT1006),$AM$1006:$BM$1006,0))&gt;=100000), " ",IF(INDEX($AM$2:$BM$1001,MATCH(ROWS($AF$2:AF625),$AF$2:$AF$1001,0),MATCH(COLUMNS($AM$1006:AT1006),$AM$1006:$BM$1006,0)), HYPERLINK("#",""), HYPERLINK(CONCATENATE("#metadata!", ADDRESS(INDEX($AH$2:$AH$1001,MATCH(ROWS($AF$2:AF625),$AF$2:$AF$1001,0),0), INDEX($AM$1004:$BM$1004,1,MATCH(COLUMNS($AM$1006:AT1006),$AM$1006:$BM$1006,0)))),"Fix")))</f>
        <v xml:space="preserve"> </v>
      </c>
      <c r="J625" s="4" t="str">
        <f ca="1">IF(OR(INDEX($AG$2:$AG$1001,MATCH(ROWS($AF$2:AF625),$AF$2:$AF$1001,0),1)&gt;=100000,INDEX($AM$1005:$BM$1005,1,MATCH(COLUMNS($AM$1006:AU1006),$AM$1006:$BM$1006,0))&gt;=100000), " ",IF(INDEX($AM$2:$BM$1001,MATCH(ROWS($AF$2:AF625),$AF$2:$AF$1001,0),MATCH(COLUMNS($AM$1006:AU1006),$AM$1006:$BM$1006,0)), HYPERLINK("#",""), HYPERLINK(CONCATENATE("#metadata!", ADDRESS(INDEX($AH$2:$AH$1001,MATCH(ROWS($AF$2:AF625),$AF$2:$AF$1001,0),0), INDEX($AM$1004:$BM$1004,1,MATCH(COLUMNS($AM$1006:AU1006),$AM$1006:$BM$1006,0)))),"Fix")))</f>
        <v xml:space="preserve"> </v>
      </c>
      <c r="K625" s="4" t="str">
        <f ca="1">IF(OR(INDEX($AG$2:$AG$1001,MATCH(ROWS($AF$2:AF625),$AF$2:$AF$1001,0),1)&gt;=100000,INDEX($AM$1005:$BM$1005,1,MATCH(COLUMNS($AM$1006:AV1006),$AM$1006:$BM$1006,0))&gt;=100000), " ",IF(INDEX($AM$2:$BM$1001,MATCH(ROWS($AF$2:AF625),$AF$2:$AF$1001,0),MATCH(COLUMNS($AM$1006:AV1006),$AM$1006:$BM$1006,0)), HYPERLINK("#",""), HYPERLINK(CONCATENATE("#metadata!", ADDRESS(INDEX($AH$2:$AH$1001,MATCH(ROWS($AF$2:AF625),$AF$2:$AF$1001,0),0), INDEX($AM$1004:$BM$1004,1,MATCH(COLUMNS($AM$1006:AV1006),$AM$1006:$BM$1006,0)))),"Fix")))</f>
        <v xml:space="preserve"> </v>
      </c>
      <c r="L625" s="4" t="str">
        <f ca="1">IF(OR(INDEX($AG$2:$AG$1001,MATCH(ROWS($AF$2:AF625),$AF$2:$AF$1001,0),1)&gt;=100000,INDEX($AM$1005:$BM$1005,1,MATCH(COLUMNS($AM$1006:AW1006),$AM$1006:$BM$1006,0))&gt;=100000), " ",IF(INDEX($AM$2:$BM$1001,MATCH(ROWS($AF$2:AF625),$AF$2:$AF$1001,0),MATCH(COLUMNS($AM$1006:AW1006),$AM$1006:$BM$1006,0)), HYPERLINK("#",""), HYPERLINK(CONCATENATE("#metadata!", ADDRESS(INDEX($AH$2:$AH$1001,MATCH(ROWS($AF$2:AF625),$AF$2:$AF$1001,0),0), INDEX($AM$1004:$BM$1004,1,MATCH(COLUMNS($AM$1006:AW1006),$AM$1006:$BM$1006,0)))),"Fix")))</f>
        <v xml:space="preserve"> </v>
      </c>
      <c r="M625" s="4" t="str">
        <f ca="1">IF(OR(INDEX($AG$2:$AG$1001,MATCH(ROWS($AF$2:AF625),$AF$2:$AF$1001,0),1)&gt;=100000,INDEX($AM$1005:$BM$1005,1,MATCH(COLUMNS($AM$1006:AX1006),$AM$1006:$BM$1006,0))&gt;=100000), " ",IF(INDEX($AM$2:$BM$1001,MATCH(ROWS($AF$2:AF625),$AF$2:$AF$1001,0),MATCH(COLUMNS($AM$1006:AX1006),$AM$1006:$BM$1006,0)), HYPERLINK("#",""), HYPERLINK(CONCATENATE("#metadata!", ADDRESS(INDEX($AH$2:$AH$1001,MATCH(ROWS($AF$2:AF625),$AF$2:$AF$1001,0),0), INDEX($AM$1004:$BM$1004,1,MATCH(COLUMNS($AM$1006:AX1006),$AM$1006:$BM$1006,0)))),"Fix")))</f>
        <v xml:space="preserve"> </v>
      </c>
      <c r="N625" s="4" t="str">
        <f ca="1">IF(OR(INDEX($AG$2:$AG$1001,MATCH(ROWS($AF$2:AF625),$AF$2:$AF$1001,0),1)&gt;=100000,INDEX($AM$1005:$BM$1005,1,MATCH(COLUMNS($AM$1006:AY1006),$AM$1006:$BM$1006,0))&gt;=100000), " ",IF(INDEX($AM$2:$BM$1001,MATCH(ROWS($AF$2:AF625),$AF$2:$AF$1001,0),MATCH(COLUMNS($AM$1006:AY1006),$AM$1006:$BM$1006,0)), HYPERLINK("#",""), HYPERLINK(CONCATENATE("#metadata!", ADDRESS(INDEX($AH$2:$AH$1001,MATCH(ROWS($AF$2:AF625),$AF$2:$AF$1001,0),0), INDEX($AM$1004:$BM$1004,1,MATCH(COLUMNS($AM$1006:AY1006),$AM$1006:$BM$1006,0)))),"Fix")))</f>
        <v xml:space="preserve"> </v>
      </c>
      <c r="O625" s="4" t="str">
        <f ca="1">IF(OR(INDEX($AG$2:$AG$1001,MATCH(ROWS($AF$2:AF625),$AF$2:$AF$1001,0),1)&gt;=100000,INDEX($AM$1005:$BM$1005,1,MATCH(COLUMNS($AM$1006:AZ1006),$AM$1006:$BM$1006,0))&gt;=100000), " ",IF(INDEX($AM$2:$BM$1001,MATCH(ROWS($AF$2:AF625),$AF$2:$AF$1001,0),MATCH(COLUMNS($AM$1006:AZ1006),$AM$1006:$BM$1006,0)), HYPERLINK("#",""), HYPERLINK(CONCATENATE("#metadata!", ADDRESS(INDEX($AH$2:$AH$1001,MATCH(ROWS($AF$2:AF625),$AF$2:$AF$1001,0),0), INDEX($AM$1004:$BM$1004,1,MATCH(COLUMNS($AM$1006:AZ1006),$AM$1006:$BM$1006,0)))),"Fix")))</f>
        <v xml:space="preserve"> </v>
      </c>
      <c r="P625" s="4" t="str">
        <f ca="1">IF(OR(INDEX($AG$2:$AG$1001,MATCH(ROWS($AF$2:AF625),$AF$2:$AF$1001,0),1)&gt;=100000,INDEX($AM$1005:$BM$1005,1,MATCH(COLUMNS($AM$1006:BA1006),$AM$1006:$BM$1006,0))&gt;=100000), " ",IF(INDEX($AM$2:$BM$1001,MATCH(ROWS($AF$2:AF625),$AF$2:$AF$1001,0),MATCH(COLUMNS($AM$1006:BA1006),$AM$1006:$BM$1006,0)), HYPERLINK("#",""), HYPERLINK(CONCATENATE("#metadata!", ADDRESS(INDEX($AH$2:$AH$1001,MATCH(ROWS($AF$2:AF625),$AF$2:$AF$1001,0),0), INDEX($AM$1004:$BM$1004,1,MATCH(COLUMNS($AM$1006:BA1006),$AM$1006:$BM$1006,0)))),"Fix")))</f>
        <v xml:space="preserve"> </v>
      </c>
      <c r="Q625" s="4" t="str">
        <f ca="1">IF(OR(INDEX($AG$2:$AG$1001,MATCH(ROWS($AF$2:AF625),$AF$2:$AF$1001,0),1)&gt;=100000,INDEX($AM$1005:$BM$1005,1,MATCH(COLUMNS($AM$1006:BB1006),$AM$1006:$BM$1006,0))&gt;=100000), " ",IF(INDEX($AM$2:$BM$1001,MATCH(ROWS($AF$2:AF625),$AF$2:$AF$1001,0),MATCH(COLUMNS($AM$1006:BB1006),$AM$1006:$BM$1006,0)), HYPERLINK("#",""), HYPERLINK(CONCATENATE("#metadata!", ADDRESS(INDEX($AH$2:$AH$1001,MATCH(ROWS($AF$2:AF625),$AF$2:$AF$1001,0),0), INDEX($AM$1004:$BM$1004,1,MATCH(COLUMNS($AM$1006:BB1006),$AM$1006:$BM$1006,0)))),"Fix")))</f>
        <v xml:space="preserve"> </v>
      </c>
      <c r="R625" s="4" t="str">
        <f ca="1">IF(OR(INDEX($AG$2:$AG$1001,MATCH(ROWS($AF$2:AF625),$AF$2:$AF$1001,0),1)&gt;=100000,INDEX($AM$1005:$BM$1005,1,MATCH(COLUMNS($AM$1006:BC1006),$AM$1006:$BM$1006,0))&gt;=100000), " ",IF(INDEX($AM$2:$BM$1001,MATCH(ROWS($AF$2:AF625),$AF$2:$AF$1001,0),MATCH(COLUMNS($AM$1006:BC1006),$AM$1006:$BM$1006,0)), HYPERLINK("#",""), HYPERLINK(CONCATENATE("#metadata!", ADDRESS(INDEX($AH$2:$AH$1001,MATCH(ROWS($AF$2:AF625),$AF$2:$AF$1001,0),0), INDEX($AM$1004:$BM$1004,1,MATCH(COLUMNS($AM$1006:BC1006),$AM$1006:$BM$1006,0)))),"Fix")))</f>
        <v xml:space="preserve"> </v>
      </c>
      <c r="S625" s="4" t="str">
        <f ca="1">IF(OR(INDEX($AG$2:$AG$1001,MATCH(ROWS($AF$2:AF625),$AF$2:$AF$1001,0),1)&gt;=100000,INDEX($AM$1005:$BM$1005,1,MATCH(COLUMNS($AM$1006:BD1006),$AM$1006:$BM$1006,0))&gt;=100000), " ",IF(INDEX($AM$2:$BM$1001,MATCH(ROWS($AF$2:AF625),$AF$2:$AF$1001,0),MATCH(COLUMNS($AM$1006:BD1006),$AM$1006:$BM$1006,0)), HYPERLINK("#",""), HYPERLINK(CONCATENATE("#metadata!", ADDRESS(INDEX($AH$2:$AH$1001,MATCH(ROWS($AF$2:AF625),$AF$2:$AF$1001,0),0), INDEX($AM$1004:$BM$1004,1,MATCH(COLUMNS($AM$1006:BD1006),$AM$1006:$BM$1006,0)))),"Fix")))</f>
        <v xml:space="preserve"> </v>
      </c>
      <c r="T625" s="4" t="str">
        <f ca="1">IF(OR(INDEX($AG$2:$AG$1001,MATCH(ROWS($AF$2:AF625),$AF$2:$AF$1001,0),1)&gt;=100000,INDEX($AM$1005:$BM$1005,1,MATCH(COLUMNS($AM$1006:BE1006),$AM$1006:$BM$1006,0))&gt;=100000), " ",IF(INDEX($AM$2:$BM$1001,MATCH(ROWS($AF$2:AF625),$AF$2:$AF$1001,0),MATCH(COLUMNS($AM$1006:BE1006),$AM$1006:$BM$1006,0)), HYPERLINK("#",""), HYPERLINK(CONCATENATE("#metadata!", ADDRESS(INDEX($AH$2:$AH$1001,MATCH(ROWS($AF$2:AF625),$AF$2:$AF$1001,0),0), INDEX($AM$1004:$BM$1004,1,MATCH(COLUMNS($AM$1006:BE1006),$AM$1006:$BM$1006,0)))),"Fix")))</f>
        <v xml:space="preserve"> </v>
      </c>
      <c r="U625" s="4" t="str">
        <f ca="1">IF(OR(INDEX($AG$2:$AG$1001,MATCH(ROWS($AF$2:AF625),$AF$2:$AF$1001,0),1)&gt;=100000,INDEX($AM$1005:$BM$1005,1,MATCH(COLUMNS($AM$1006:BF1006),$AM$1006:$BM$1006,0))&gt;=100000), " ",IF(INDEX($AM$2:$BM$1001,MATCH(ROWS($AF$2:AF625),$AF$2:$AF$1001,0),MATCH(COLUMNS($AM$1006:BF1006),$AM$1006:$BM$1006,0)), HYPERLINK("#",""), HYPERLINK(CONCATENATE("#metadata!", ADDRESS(INDEX($AH$2:$AH$1001,MATCH(ROWS($AF$2:AF625),$AF$2:$AF$1001,0),0), INDEX($AM$1004:$BM$1004,1,MATCH(COLUMNS($AM$1006:BF1006),$AM$1006:$BM$1006,0)))),"Fix")))</f>
        <v xml:space="preserve"> </v>
      </c>
      <c r="V625" s="4" t="str">
        <f ca="1">IF(OR(INDEX($AG$2:$AG$1001,MATCH(ROWS($AF$2:AF625),$AF$2:$AF$1001,0),1)&gt;=100000,INDEX($AM$1005:$BM$1005,1,MATCH(COLUMNS($AM$1006:BG1006),$AM$1006:$BM$1006,0))&gt;=100000), " ",IF(INDEX($AM$2:$BM$1001,MATCH(ROWS($AF$2:AF625),$AF$2:$AF$1001,0),MATCH(COLUMNS($AM$1006:BG1006),$AM$1006:$BM$1006,0)), HYPERLINK("#",""), HYPERLINK(CONCATENATE("#metadata!", ADDRESS(INDEX($AH$2:$AH$1001,MATCH(ROWS($AF$2:AF625),$AF$2:$AF$1001,0),0), INDEX($AM$1004:$BM$1004,1,MATCH(COLUMNS($AM$1006:BG1006),$AM$1006:$BM$1006,0)))),"Fix")))</f>
        <v xml:space="preserve"> </v>
      </c>
      <c r="W625" s="4" t="str">
        <f ca="1">IF(OR(INDEX($AG$2:$AG$1001,MATCH(ROWS($AF$2:AF625),$AF$2:$AF$1001,0),1)&gt;=100000,INDEX($AM$1005:$BM$1005,1,MATCH(COLUMNS($AM$1006:BH1006),$AM$1006:$BM$1006,0))&gt;=100000), " ",IF(INDEX($AM$2:$BM$1001,MATCH(ROWS($AF$2:AF625),$AF$2:$AF$1001,0),MATCH(COLUMNS($AM$1006:BH1006),$AM$1006:$BM$1006,0)), HYPERLINK("#",""), HYPERLINK(CONCATENATE("#metadata!", ADDRESS(INDEX($AH$2:$AH$1001,MATCH(ROWS($AF$2:AF625),$AF$2:$AF$1001,0),0), INDEX($AM$1004:$BM$1004,1,MATCH(COLUMNS($AM$1006:BH1006),$AM$1006:$BM$1006,0)))),"Fix")))</f>
        <v xml:space="preserve"> </v>
      </c>
      <c r="X625" s="4" t="str">
        <f ca="1">IF(OR(INDEX($AG$2:$AG$1001,MATCH(ROWS($AF$2:AF625),$AF$2:$AF$1001,0),1)&gt;=100000,INDEX($AM$1005:$BM$1005,1,MATCH(COLUMNS($AM$1006:BI1006),$AM$1006:$BM$1006,0))&gt;=100000), " ",IF(INDEX($AM$2:$BM$1001,MATCH(ROWS($AF$2:AF625),$AF$2:$AF$1001,0),MATCH(COLUMNS($AM$1006:BI1006),$AM$1006:$BM$1006,0)), HYPERLINK("#",""), HYPERLINK(CONCATENATE("#metadata!", ADDRESS(INDEX($AH$2:$AH$1001,MATCH(ROWS($AF$2:AF625),$AF$2:$AF$1001,0),0), INDEX($AM$1004:$BM$1004,1,MATCH(COLUMNS($AM$1006:BI1006),$AM$1006:$BM$1006,0)))),"Fix")))</f>
        <v xml:space="preserve"> </v>
      </c>
      <c r="Y625" s="4" t="str">
        <f ca="1">IF(OR(INDEX($AG$2:$AG$1001,MATCH(ROWS($AF$2:AF625),$AF$2:$AF$1001,0),1)&gt;=100000,INDEX($AM$1005:$BM$1005,1,MATCH(COLUMNS($AM$1006:BJ1006),$AM$1006:$BM$1006,0))&gt;=100000), " ",IF(INDEX($AM$2:$BM$1001,MATCH(ROWS($AF$2:AF625),$AF$2:$AF$1001,0),MATCH(COLUMNS($AM$1006:BJ1006),$AM$1006:$BM$1006,0)), HYPERLINK("#",""), HYPERLINK(CONCATENATE("#metadata!", ADDRESS(INDEX($AH$2:$AH$1001,MATCH(ROWS($AF$2:AF625),$AF$2:$AF$1001,0),0), INDEX($AM$1004:$BM$1004,1,MATCH(COLUMNS($AM$1006:BJ1006),$AM$1006:$BM$1006,0)))),"Fix")))</f>
        <v xml:space="preserve"> </v>
      </c>
      <c r="Z625" s="4" t="str">
        <f ca="1">IF(OR(INDEX($AG$2:$AG$1001,MATCH(ROWS($AF$2:AF625),$AF$2:$AF$1001,0),1)&gt;=100000,INDEX($AM$1005:$BM$1005,1,MATCH(COLUMNS($AM$1006:BK1006),$AM$1006:$BM$1006,0))&gt;=100000), " ",IF(INDEX($AM$2:$BM$1001,MATCH(ROWS($AF$2:AF625),$AF$2:$AF$1001,0),MATCH(COLUMNS($AM$1006:BK1006),$AM$1006:$BM$1006,0)), HYPERLINK("#",""), HYPERLINK(CONCATENATE("#metadata!", ADDRESS(INDEX($AH$2:$AH$1001,MATCH(ROWS($AF$2:AF625),$AF$2:$AF$1001,0),0), INDEX($AM$1004:$BM$1004,1,MATCH(COLUMNS($AM$1006:BK1006),$AM$1006:$BM$1006,0)))),"Fix")))</f>
        <v xml:space="preserve"> </v>
      </c>
      <c r="AA625" s="4" t="str">
        <f ca="1">IF(OR(INDEX($AG$2:$AG$1001,MATCH(ROWS($AF$2:AF625),$AF$2:$AF$1001,0),1)&gt;=100000,INDEX($AM$1005:$BM$1005,1,MATCH(COLUMNS($AM$1006:BL1006),$AM$1006:$BM$1006,0))&gt;=100000), " ",IF(INDEX($AM$2:$BM$1001,MATCH(ROWS($AF$2:AF625),$AF$2:$AF$1001,0),MATCH(COLUMNS($AM$1006:BL1006),$AM$1006:$BM$1006,0)), HYPERLINK("#",""), HYPERLINK(CONCATENATE("#metadata!", ADDRESS(INDEX($AH$2:$AH$1001,MATCH(ROWS($AF$2:AF625),$AF$2:$AF$1001,0),0), INDEX($AM$1004:$BM$1004,1,MATCH(COLUMNS($AM$1006:BL1006),$AM$1006:$BM$1006,0)))),"Fix")))</f>
        <v xml:space="preserve"> </v>
      </c>
      <c r="AB625" s="4" t="str">
        <f ca="1">IF(OR(INDEX($AG$2:$AG$1001,MATCH(ROWS($AF$2:AF625),$AF$2:$AF$1001,0),1)&gt;=100000,INDEX($AM$1005:$BM$1005,1,MATCH(COLUMNS($AM$1006:BM1006),$AM$1006:$BM$1006,0))&gt;=100000), " ",IF(INDEX($AM$2:$BM$1001,MATCH(ROWS($AF$2:AF625),$AF$2:$AF$1001,0),MATCH(COLUMNS($AM$1006:BM1006),$AM$1006:$BM$1006,0)), HYPERLINK("#",""), HYPERLINK(CONCATENATE("#metadata!", ADDRESS(INDEX($AH$2:$AH$1001,MATCH(ROWS($AF$2:AF625),$AF$2:$AF$1001,0),0), INDEX($AM$1004:$BM$1004,1,MATCH(COLUMNS($AM$1006:BM1006),$AM$1006:$BM$1006,0)))),"Fix")))</f>
        <v xml:space="preserve"> </v>
      </c>
      <c r="AF625">
        <v>624</v>
      </c>
      <c r="AG625">
        <v>100625</v>
      </c>
      <c r="AH625">
        <v>625</v>
      </c>
      <c r="AI625" t="b">
        <f t="shared" si="9"/>
        <v>1</v>
      </c>
      <c r="AJ625" t="b">
        <f>COUNTBLANK(metadata!B625:AB625)=COLUMNS(metadata!B625:AB625)</f>
        <v>1</v>
      </c>
      <c r="AK625" t="str">
        <v/>
      </c>
      <c r="AM625" t="b">
        <f ca="1">AND(IF(metadata!B625="",FALSE,TRUE),COUNTIF(metadata!B:B, metadata!B625) = 1,NOT(ISERROR(SUMPRODUCT(SEARCH(MID(metadata!B625,ROW(INDIRECT("1:"&amp;LEN(metadata!B625))), 1),"0123456789abcdefghijklmnopqrstuvwxyzABCDEFGHIJKLMNOPQRSTUVWXYZ.")))))</f>
        <v>0</v>
      </c>
      <c r="AN625" t="b">
        <f ca="1">OR(AND(IF(metadata!C625="",FALSE,TRUE),OR(EXACT(metadata!C625,"missing: not collected"),EXACT(metadata!C625,"missing: not provided"),EXACT(metadata!C625,"missing: restricted access"))),AND(IF(metadata!C625="",FALSE,TRUE),AND(AND(IFERROR(INT(LEFT(metadata!C625,4))&gt;1900,FALSE),IFERROR(INT(LEFT(metadata!C625,4))&lt;=YEAR(NOW()),FALSE)), OR(MID(metadata!C625,5,1)="", AND(AND(MID(metadata!C625,5,1)="-",IFERROR(INT(MID(metadata!C625,6,1))&gt;=0,FALSE),IFERROR(INT(MID(metadata!C625,6,1))&lt;=1,FALSE),NOT(MID(metadata!C625,7,1)=""),IFERROR(INT(MID(metadata!C625,6,2))&gt;=1,FALSE),IFERROR(INT(MID(metadata!C625,6,2))&lt;=12,FALSE)), OR(MID(metadata!C625,8,1)="", AND(AND(MID(metadata!C625,8,1)="-",IFERROR(INT(MID(metadata!C625,9,1))&gt;=0,FALSE),IFERROR(INT(MID(metadata!C625,9,1))&lt;=3,FALSE),NOT(MID(metadata!C625,10,1)=""),IFERROR(INT(MID(metadata!C625,9,2))&gt;=1,FALSE),IFERROR(INT(MID(metadata!C625,9,2))&lt;=31,FALSE)), OR(MID(metadata!C625,11,1)="", AND(AND(MID(metadata!C625,11,1)=" ",IFERROR(INT(MID(metadata!C625,12,1))&gt;=0,FALSE),IFERROR(INT(MID(metadata!C625,12,1))&lt;=2,FALSE),NOT(MID(metadata!C625,13,1)=""),IFERROR(INT(MID(metadata!C625,12,2))&gt;=0,FALSE),IFERROR(INT(MID(metadata!C625,12,2))&lt;=23,FALSE)), OR(MID(metadata!C625,14,1)="", AND(AND(MID(metadata!C625,14,1)=":",IFERROR(INT(MID(metadata!C625,15,1))&gt;=0,FALSE),IFERROR(INT(MID(metadata!C625,15,1))&lt;=5,FALSE),NOT(MID(metadata!C625,16,1)=""),IFERROR(INT(MID(metadata!C625,15,2))&gt;=0,FALSE),IFERROR(INT(MID(metadata!C625,15,2))&lt;=59,FALSE)), OR(MID(metadata!C625,17,1)="", AND(AND(MID(metadata!C625,17,1)=":",IFERROR(INT(MID(metadata!C625,18,1))&gt;=0,FALSE),IFERROR(INT(MID(metadata!C625,18,1))&lt;=5,FALSE),NOT(MID(metadata!C625,19,1)=""),IFERROR(INT(MID(metadata!C625,18,2))&gt;=0,FALSE),IFERROR(INT(MID(metadata!C625,18,2))&lt;=59,FALSE)), LEN(metadata!C625)&lt;=19)))))))))))))</f>
        <v>0</v>
      </c>
      <c r="AO625" t="b">
        <f>AND(IF(metadata!D625="",FALSE,TRUE),EXACT(metadata!D625,"Not applicable"))</f>
        <v>0</v>
      </c>
      <c r="AP625" t="b">
        <f>IF(metadata!E625="",FALSE,TRUE)</f>
        <v>0</v>
      </c>
      <c r="AQ625" t="b">
        <f>OR(AND(IF(metadata!F625="",FALSE,TRUE),OR(EXACT(metadata!F625,"missing: not collected"),EXACT(metadata!F625,"missing: not provided"))),AND(IF(metadata!F625="",FALSE,TRUE),OR(EXACT(metadata!F625,"TRUE"),EXACT(metadata!F625,"FALSE"))))</f>
        <v>0</v>
      </c>
      <c r="AR625" t="b">
        <f>OR(AND(IF(metadata!G625="",FALSE,TRUE),OR(EXACT(metadata!G625,"missing: not collected"),EXACT(metadata!G625,"missing: not provided"),EXACT(metadata!G625,"missing: restricted access"))),AND(IF(metadata!G625="",FALSE,ISNUMBER(VALUE(metadata!G625))),metadata!G625&gt;=-413))</f>
        <v>0</v>
      </c>
      <c r="AS625" t="b">
        <f>AND(IF(metadata!H625="",FALSE,TRUE),EXACT(metadata!H625,"meters"))</f>
        <v>0</v>
      </c>
      <c r="AT625" t="b">
        <f>AND(IF(metadata!I625="",FALSE,TRUE),OR(EXACT(metadata!I625,"Host-associated"),EXACT(metadata!I625,"Free-living")))</f>
        <v>0</v>
      </c>
      <c r="AU625" t="b">
        <f>AND(IF(metadata!J625="",FALSE,TRUE),OR(EXACT(metadata!J625,"Animal"),EXACT(metadata!J625,"Fungus"),EXACT(metadata!J625,"Plant"),EXACT(metadata!J625,"Saline"),EXACT(metadata!J625,"Non-saline")))</f>
        <v>0</v>
      </c>
      <c r="AV625" t="b">
        <f>AND(IF(metadata!K625="",FALSE,TRUE),OR(EXACT(metadata!K625,"Plant secretion"),EXACT(metadata!K625,"Plant rhizosphere"),EXACT(metadata!K625,"Plant surface"),EXACT(metadata!K625,"Plant corpus"),EXACT(metadata!K625,"Fungus surface"),EXACT(metadata!K625,"Fungus corpus"),EXACT(metadata!K625,"Animal surface"),EXACT(metadata!K625,"Animal proximal gut"),EXACT(metadata!K625,"Animal corpus"),EXACT(metadata!K625,"Animal distal gut"),EXACT(metadata!K625,"Animal secretion"),EXACT(metadata!K625,"Sub-surface (non-saline)"),EXACT(metadata!K625,"Surface (non-saline)"),EXACT(metadata!K625,"Water (non-saline)"),EXACT(metadata!K625,"Soil (non-saline)"),EXACT(metadata!K625,"Aerosol (non-saline)"),EXACT(metadata!K625,"Sediment (non-saline)"),EXACT(metadata!K625,"Surface (saline)"),EXACT(metadata!K625,"Water (saline)"),EXACT(metadata!K625,"Hypersaline (saline)"),EXACT(metadata!K625,"Aerosol (saline)"),EXACT(metadata!K625,"Sediment (saline)")))</f>
        <v>0</v>
      </c>
      <c r="AW625" t="b">
        <f>IF(metadata!L625="",FALSE,TRUE)</f>
        <v>0</v>
      </c>
      <c r="AX625" t="b">
        <f>IF(metadata!M625="",FALSE,TRUE)</f>
        <v>0</v>
      </c>
      <c r="AY625" t="b">
        <f>IF(metadata!N625="",FALSE,TRUE)</f>
        <v>0</v>
      </c>
      <c r="AZ625" t="b">
        <f>OR(AND(IF(metadata!O625="",FALSE,TRUE),OR(EXACT(metadata!O625,"missing: not collected"),EXACT(metadata!O625,"missing: not provided"),EXACT(metadata!O625,"missing: restricted access"))),AND(IF(metadata!O625="",FALSE,TRUE),OR(EXACT(metadata!O625,"air"),EXACT(metadata!O625,"built environment"),EXACT(metadata!O625,"host-associated"),EXACT(metadata!O625,"human-associated"),EXACT(metadata!O625,"human-skin"),EXACT(metadata!O625,"human-oral"),EXACT(metadata!O625,"human-gut"),EXACT(metadata!O625,"human-vaginal"),EXACT(metadata!O625,"microbial mat/biofilm"),EXACT(metadata!O625,"misc environment"),EXACT(metadata!O625,"plant-associated"),EXACT(metadata!O625,"sediment"),EXACT(metadata!O625,"soil"),EXACT(metadata!O625,"wastewater/sludge"),EXACT(metadata!O625,"water"))))</f>
        <v>0</v>
      </c>
      <c r="BA625" t="b">
        <f>IF(metadata!P625="",FALSE,TRUE)</f>
        <v>0</v>
      </c>
      <c r="BB625" t="b">
        <f>IF(metadata!Q625="",FALSE,TRUE)</f>
        <v>0</v>
      </c>
      <c r="BC625" t="b">
        <f>OR(AND(IF(metadata!R625="",FALSE,TRUE),OR(EXACT(metadata!R625,"missing: not collected"),EXACT(metadata!R625,"missing: not provided"),EXACT(metadata!R625,"missing: restricted access"))),AND(IF(metadata!R625="",FALSE,ISNUMBER(VALUE(metadata!R625))),metadata!R625&gt;=-90,metadata!R625&lt;=90))</f>
        <v>0</v>
      </c>
      <c r="BD625" t="b">
        <f>AND(IF(metadata!S625="",FALSE,TRUE),EXACT(metadata!S625,"Decimal degrees"))</f>
        <v>0</v>
      </c>
      <c r="BE625" t="b">
        <f>OR(AND(IF(metadata!T625="",FALSE,TRUE),OR(EXACT(metadata!T625,"missing: not collected"),EXACT(metadata!T625,"missing: not provided"),EXACT(metadata!T625,"missing: restricted access"))),AND(IF(metadata!T625="",FALSE,ISNUMBER(VALUE(metadata!T625))),metadata!T625&gt;=-180,metadata!T625&lt;=180))</f>
        <v>0</v>
      </c>
      <c r="BF625" t="b">
        <f>AND(IF(metadata!U625="",FALSE,TRUE),EXACT(metadata!U625,"Decimal degrees"))</f>
        <v>0</v>
      </c>
      <c r="BG625" t="b">
        <f>IF(metadata!V625="",FALSE,TRUE)</f>
        <v>0</v>
      </c>
      <c r="BH625" t="b">
        <f>OR(AND(IF(metadata!W625="",FALSE,TRUE),OR(EXACT(metadata!W625,"missing: not collected"),EXACT(metadata!W625,"missing: not provided"),EXACT(metadata!W625,"missing: restricted access"))),AND(IF(metadata!W625="",FALSE,TRUE),OR(EXACT(metadata!W625,"TRUE"),EXACT(metadata!W625,"FALSE"))))</f>
        <v>0</v>
      </c>
      <c r="BI625" t="b">
        <f>AND(IF(metadata!X625="",FALSE,TRUE),EXACT(metadata!X625,"other"))</f>
        <v>0</v>
      </c>
      <c r="BJ625" t="b">
        <f>IF(metadata!Y625="",FALSE,TRUE)</f>
        <v>0</v>
      </c>
      <c r="BK625" t="b">
        <f>OR(AND(IF(metadata!Z625="",FALSE,TRUE),OR(EXACT(metadata!Z625,"missing: not collected"),EXACT(metadata!Z625,"missing: not provided"))),AND(IF(metadata!Z625="",FALSE,IF(ISERROR(INT(metadata!Z625)),FALSE,INT(metadata!Z625)=metadata!Z625)),metadata!Z625&gt;0))</f>
        <v>0</v>
      </c>
      <c r="BL625" t="b">
        <f>AND(IF(metadata!AA625="",FALSE,TRUE),EXACT(metadata!AA625,"Not applicable"))</f>
        <v>0</v>
      </c>
      <c r="BM625" t="b">
        <f>IF(metadata!AB625="",FALSE,TRUE)</f>
        <v>0</v>
      </c>
    </row>
    <row r="626" spans="1:65" x14ac:dyDescent="0.2">
      <c r="A626" s="5" t="str">
        <f ca="1">IF(B626=" "," ",HYPERLINK(CONCATENATE("#metadata!",ADDRESS(INDEX($AH$2:$AH$1001,MATCH(ROWS($AF$2:AF626),$AF$2:$AF$1001,0),0),1)),INDEX($AK$2:$AK$1001,MATCH(ROWS($AF$2:AF626),$AF$2:$AF$1001,0),0)))</f>
        <v xml:space="preserve"> </v>
      </c>
      <c r="B626" s="4" t="str">
        <f ca="1">IF(OR(INDEX($AG$2:$AG$1001,MATCH(ROWS($AF$2:AF626),$AF$2:$AF$1001,0),1)&gt;=100000,INDEX($AM$1005:$BM$1005,1,MATCH(COLUMNS($AM$1006:AM1006),$AM$1006:$BM$1006,0))&gt;=100000), " ",IF(INDEX($AM$2:$BM$1001,MATCH(ROWS($AF$2:AF626),$AF$2:$AF$1001,0),MATCH(COLUMNS($AM$1006:AM1006),$AM$1006:$BM$1006,0)), HYPERLINK("#",""), HYPERLINK(CONCATENATE("#metadata!", ADDRESS(INDEX($AH$2:$AH$1001,MATCH(ROWS($AF$2:AF626),$AF$2:$AF$1001,0),0), INDEX($AM$1004:$BM$1004,1,MATCH(COLUMNS($AM$1006:AM1006),$AM$1006:$BM$1006,0)))),"Fix")))</f>
        <v xml:space="preserve"> </v>
      </c>
      <c r="C626" s="4" t="str">
        <f ca="1">IF(OR(INDEX($AG$2:$AG$1001,MATCH(ROWS($AF$2:AF626),$AF$2:$AF$1001,0),1)&gt;=100000,INDEX($AM$1005:$BM$1005,1,MATCH(COLUMNS($AM$1006:AN1006),$AM$1006:$BM$1006,0))&gt;=100000), " ",IF(INDEX($AM$2:$BM$1001,MATCH(ROWS($AF$2:AF626),$AF$2:$AF$1001,0),MATCH(COLUMNS($AM$1006:AN1006),$AM$1006:$BM$1006,0)), HYPERLINK("#",""), HYPERLINK(CONCATENATE("#metadata!", ADDRESS(INDEX($AH$2:$AH$1001,MATCH(ROWS($AF$2:AF626),$AF$2:$AF$1001,0),0), INDEX($AM$1004:$BM$1004,1,MATCH(COLUMNS($AM$1006:AN1006),$AM$1006:$BM$1006,0)))),"Fix")))</f>
        <v xml:space="preserve"> </v>
      </c>
      <c r="D626" s="4" t="str">
        <f ca="1">IF(OR(INDEX($AG$2:$AG$1001,MATCH(ROWS($AF$2:AF626),$AF$2:$AF$1001,0),1)&gt;=100000,INDEX($AM$1005:$BM$1005,1,MATCH(COLUMNS($AM$1006:AO1006),$AM$1006:$BM$1006,0))&gt;=100000), " ",IF(INDEX($AM$2:$BM$1001,MATCH(ROWS($AF$2:AF626),$AF$2:$AF$1001,0),MATCH(COLUMNS($AM$1006:AO1006),$AM$1006:$BM$1006,0)), HYPERLINK("#",""), HYPERLINK(CONCATENATE("#metadata!", ADDRESS(INDEX($AH$2:$AH$1001,MATCH(ROWS($AF$2:AF626),$AF$2:$AF$1001,0),0), INDEX($AM$1004:$BM$1004,1,MATCH(COLUMNS($AM$1006:AO1006),$AM$1006:$BM$1006,0)))),"Fix")))</f>
        <v xml:space="preserve"> </v>
      </c>
      <c r="E626" s="4" t="str">
        <f ca="1">IF(OR(INDEX($AG$2:$AG$1001,MATCH(ROWS($AF$2:AF626),$AF$2:$AF$1001,0),1)&gt;=100000,INDEX($AM$1005:$BM$1005,1,MATCH(COLUMNS($AM$1006:AP1006),$AM$1006:$BM$1006,0))&gt;=100000), " ",IF(INDEX($AM$2:$BM$1001,MATCH(ROWS($AF$2:AF626),$AF$2:$AF$1001,0),MATCH(COLUMNS($AM$1006:AP1006),$AM$1006:$BM$1006,0)), HYPERLINK("#",""), HYPERLINK(CONCATENATE("#metadata!", ADDRESS(INDEX($AH$2:$AH$1001,MATCH(ROWS($AF$2:AF626),$AF$2:$AF$1001,0),0), INDEX($AM$1004:$BM$1004,1,MATCH(COLUMNS($AM$1006:AP1006),$AM$1006:$BM$1006,0)))),"Fix")))</f>
        <v xml:space="preserve"> </v>
      </c>
      <c r="F626" s="4" t="str">
        <f ca="1">IF(OR(INDEX($AG$2:$AG$1001,MATCH(ROWS($AF$2:AF626),$AF$2:$AF$1001,0),1)&gt;=100000,INDEX($AM$1005:$BM$1005,1,MATCH(COLUMNS($AM$1006:AQ1006),$AM$1006:$BM$1006,0))&gt;=100000), " ",IF(INDEX($AM$2:$BM$1001,MATCH(ROWS($AF$2:AF626),$AF$2:$AF$1001,0),MATCH(COLUMNS($AM$1006:AQ1006),$AM$1006:$BM$1006,0)), HYPERLINK("#",""), HYPERLINK(CONCATENATE("#metadata!", ADDRESS(INDEX($AH$2:$AH$1001,MATCH(ROWS($AF$2:AF626),$AF$2:$AF$1001,0),0), INDEX($AM$1004:$BM$1004,1,MATCH(COLUMNS($AM$1006:AQ1006),$AM$1006:$BM$1006,0)))),"Fix")))</f>
        <v xml:space="preserve"> </v>
      </c>
      <c r="G626" s="4" t="str">
        <f ca="1">IF(OR(INDEX($AG$2:$AG$1001,MATCH(ROWS($AF$2:AF626),$AF$2:$AF$1001,0),1)&gt;=100000,INDEX($AM$1005:$BM$1005,1,MATCH(COLUMNS($AM$1006:AR1006),$AM$1006:$BM$1006,0))&gt;=100000), " ",IF(INDEX($AM$2:$BM$1001,MATCH(ROWS($AF$2:AF626),$AF$2:$AF$1001,0),MATCH(COLUMNS($AM$1006:AR1006),$AM$1006:$BM$1006,0)), HYPERLINK("#",""), HYPERLINK(CONCATENATE("#metadata!", ADDRESS(INDEX($AH$2:$AH$1001,MATCH(ROWS($AF$2:AF626),$AF$2:$AF$1001,0),0), INDEX($AM$1004:$BM$1004,1,MATCH(COLUMNS($AM$1006:AR1006),$AM$1006:$BM$1006,0)))),"Fix")))</f>
        <v xml:space="preserve"> </v>
      </c>
      <c r="H626" s="4" t="str">
        <f ca="1">IF(OR(INDEX($AG$2:$AG$1001,MATCH(ROWS($AF$2:AF626),$AF$2:$AF$1001,0),1)&gt;=100000,INDEX($AM$1005:$BM$1005,1,MATCH(COLUMNS($AM$1006:AS1006),$AM$1006:$BM$1006,0))&gt;=100000), " ",IF(INDEX($AM$2:$BM$1001,MATCH(ROWS($AF$2:AF626),$AF$2:$AF$1001,0),MATCH(COLUMNS($AM$1006:AS1006),$AM$1006:$BM$1006,0)), HYPERLINK("#",""), HYPERLINK(CONCATENATE("#metadata!", ADDRESS(INDEX($AH$2:$AH$1001,MATCH(ROWS($AF$2:AF626),$AF$2:$AF$1001,0),0), INDEX($AM$1004:$BM$1004,1,MATCH(COLUMNS($AM$1006:AS1006),$AM$1006:$BM$1006,0)))),"Fix")))</f>
        <v xml:space="preserve"> </v>
      </c>
      <c r="I626" s="4" t="str">
        <f ca="1">IF(OR(INDEX($AG$2:$AG$1001,MATCH(ROWS($AF$2:AF626),$AF$2:$AF$1001,0),1)&gt;=100000,INDEX($AM$1005:$BM$1005,1,MATCH(COLUMNS($AM$1006:AT1006),$AM$1006:$BM$1006,0))&gt;=100000), " ",IF(INDEX($AM$2:$BM$1001,MATCH(ROWS($AF$2:AF626),$AF$2:$AF$1001,0),MATCH(COLUMNS($AM$1006:AT1006),$AM$1006:$BM$1006,0)), HYPERLINK("#",""), HYPERLINK(CONCATENATE("#metadata!", ADDRESS(INDEX($AH$2:$AH$1001,MATCH(ROWS($AF$2:AF626),$AF$2:$AF$1001,0),0), INDEX($AM$1004:$BM$1004,1,MATCH(COLUMNS($AM$1006:AT1006),$AM$1006:$BM$1006,0)))),"Fix")))</f>
        <v xml:space="preserve"> </v>
      </c>
      <c r="J626" s="4" t="str">
        <f ca="1">IF(OR(INDEX($AG$2:$AG$1001,MATCH(ROWS($AF$2:AF626),$AF$2:$AF$1001,0),1)&gt;=100000,INDEX($AM$1005:$BM$1005,1,MATCH(COLUMNS($AM$1006:AU1006),$AM$1006:$BM$1006,0))&gt;=100000), " ",IF(INDEX($AM$2:$BM$1001,MATCH(ROWS($AF$2:AF626),$AF$2:$AF$1001,0),MATCH(COLUMNS($AM$1006:AU1006),$AM$1006:$BM$1006,0)), HYPERLINK("#",""), HYPERLINK(CONCATENATE("#metadata!", ADDRESS(INDEX($AH$2:$AH$1001,MATCH(ROWS($AF$2:AF626),$AF$2:$AF$1001,0),0), INDEX($AM$1004:$BM$1004,1,MATCH(COLUMNS($AM$1006:AU1006),$AM$1006:$BM$1006,0)))),"Fix")))</f>
        <v xml:space="preserve"> </v>
      </c>
      <c r="K626" s="4" t="str">
        <f ca="1">IF(OR(INDEX($AG$2:$AG$1001,MATCH(ROWS($AF$2:AF626),$AF$2:$AF$1001,0),1)&gt;=100000,INDEX($AM$1005:$BM$1005,1,MATCH(COLUMNS($AM$1006:AV1006),$AM$1006:$BM$1006,0))&gt;=100000), " ",IF(INDEX($AM$2:$BM$1001,MATCH(ROWS($AF$2:AF626),$AF$2:$AF$1001,0),MATCH(COLUMNS($AM$1006:AV1006),$AM$1006:$BM$1006,0)), HYPERLINK("#",""), HYPERLINK(CONCATENATE("#metadata!", ADDRESS(INDEX($AH$2:$AH$1001,MATCH(ROWS($AF$2:AF626),$AF$2:$AF$1001,0),0), INDEX($AM$1004:$BM$1004,1,MATCH(COLUMNS($AM$1006:AV1006),$AM$1006:$BM$1006,0)))),"Fix")))</f>
        <v xml:space="preserve"> </v>
      </c>
      <c r="L626" s="4" t="str">
        <f ca="1">IF(OR(INDEX($AG$2:$AG$1001,MATCH(ROWS($AF$2:AF626),$AF$2:$AF$1001,0),1)&gt;=100000,INDEX($AM$1005:$BM$1005,1,MATCH(COLUMNS($AM$1006:AW1006),$AM$1006:$BM$1006,0))&gt;=100000), " ",IF(INDEX($AM$2:$BM$1001,MATCH(ROWS($AF$2:AF626),$AF$2:$AF$1001,0),MATCH(COLUMNS($AM$1006:AW1006),$AM$1006:$BM$1006,0)), HYPERLINK("#",""), HYPERLINK(CONCATENATE("#metadata!", ADDRESS(INDEX($AH$2:$AH$1001,MATCH(ROWS($AF$2:AF626),$AF$2:$AF$1001,0),0), INDEX($AM$1004:$BM$1004,1,MATCH(COLUMNS($AM$1006:AW1006),$AM$1006:$BM$1006,0)))),"Fix")))</f>
        <v xml:space="preserve"> </v>
      </c>
      <c r="M626" s="4" t="str">
        <f ca="1">IF(OR(INDEX($AG$2:$AG$1001,MATCH(ROWS($AF$2:AF626),$AF$2:$AF$1001,0),1)&gt;=100000,INDEX($AM$1005:$BM$1005,1,MATCH(COLUMNS($AM$1006:AX1006),$AM$1006:$BM$1006,0))&gt;=100000), " ",IF(INDEX($AM$2:$BM$1001,MATCH(ROWS($AF$2:AF626),$AF$2:$AF$1001,0),MATCH(COLUMNS($AM$1006:AX1006),$AM$1006:$BM$1006,0)), HYPERLINK("#",""), HYPERLINK(CONCATENATE("#metadata!", ADDRESS(INDEX($AH$2:$AH$1001,MATCH(ROWS($AF$2:AF626),$AF$2:$AF$1001,0),0), INDEX($AM$1004:$BM$1004,1,MATCH(COLUMNS($AM$1006:AX1006),$AM$1006:$BM$1006,0)))),"Fix")))</f>
        <v xml:space="preserve"> </v>
      </c>
      <c r="N626" s="4" t="str">
        <f ca="1">IF(OR(INDEX($AG$2:$AG$1001,MATCH(ROWS($AF$2:AF626),$AF$2:$AF$1001,0),1)&gt;=100000,INDEX($AM$1005:$BM$1005,1,MATCH(COLUMNS($AM$1006:AY1006),$AM$1006:$BM$1006,0))&gt;=100000), " ",IF(INDEX($AM$2:$BM$1001,MATCH(ROWS($AF$2:AF626),$AF$2:$AF$1001,0),MATCH(COLUMNS($AM$1006:AY1006),$AM$1006:$BM$1006,0)), HYPERLINK("#",""), HYPERLINK(CONCATENATE("#metadata!", ADDRESS(INDEX($AH$2:$AH$1001,MATCH(ROWS($AF$2:AF626),$AF$2:$AF$1001,0),0), INDEX($AM$1004:$BM$1004,1,MATCH(COLUMNS($AM$1006:AY1006),$AM$1006:$BM$1006,0)))),"Fix")))</f>
        <v xml:space="preserve"> </v>
      </c>
      <c r="O626" s="4" t="str">
        <f ca="1">IF(OR(INDEX($AG$2:$AG$1001,MATCH(ROWS($AF$2:AF626),$AF$2:$AF$1001,0),1)&gt;=100000,INDEX($AM$1005:$BM$1005,1,MATCH(COLUMNS($AM$1006:AZ1006),$AM$1006:$BM$1006,0))&gt;=100000), " ",IF(INDEX($AM$2:$BM$1001,MATCH(ROWS($AF$2:AF626),$AF$2:$AF$1001,0),MATCH(COLUMNS($AM$1006:AZ1006),$AM$1006:$BM$1006,0)), HYPERLINK("#",""), HYPERLINK(CONCATENATE("#metadata!", ADDRESS(INDEX($AH$2:$AH$1001,MATCH(ROWS($AF$2:AF626),$AF$2:$AF$1001,0),0), INDEX($AM$1004:$BM$1004,1,MATCH(COLUMNS($AM$1006:AZ1006),$AM$1006:$BM$1006,0)))),"Fix")))</f>
        <v xml:space="preserve"> </v>
      </c>
      <c r="P626" s="4" t="str">
        <f ca="1">IF(OR(INDEX($AG$2:$AG$1001,MATCH(ROWS($AF$2:AF626),$AF$2:$AF$1001,0),1)&gt;=100000,INDEX($AM$1005:$BM$1005,1,MATCH(COLUMNS($AM$1006:BA1006),$AM$1006:$BM$1006,0))&gt;=100000), " ",IF(INDEX($AM$2:$BM$1001,MATCH(ROWS($AF$2:AF626),$AF$2:$AF$1001,0),MATCH(COLUMNS($AM$1006:BA1006),$AM$1006:$BM$1006,0)), HYPERLINK("#",""), HYPERLINK(CONCATENATE("#metadata!", ADDRESS(INDEX($AH$2:$AH$1001,MATCH(ROWS($AF$2:AF626),$AF$2:$AF$1001,0),0), INDEX($AM$1004:$BM$1004,1,MATCH(COLUMNS($AM$1006:BA1006),$AM$1006:$BM$1006,0)))),"Fix")))</f>
        <v xml:space="preserve"> </v>
      </c>
      <c r="Q626" s="4" t="str">
        <f ca="1">IF(OR(INDEX($AG$2:$AG$1001,MATCH(ROWS($AF$2:AF626),$AF$2:$AF$1001,0),1)&gt;=100000,INDEX($AM$1005:$BM$1005,1,MATCH(COLUMNS($AM$1006:BB1006),$AM$1006:$BM$1006,0))&gt;=100000), " ",IF(INDEX($AM$2:$BM$1001,MATCH(ROWS($AF$2:AF626),$AF$2:$AF$1001,0),MATCH(COLUMNS($AM$1006:BB1006),$AM$1006:$BM$1006,0)), HYPERLINK("#",""), HYPERLINK(CONCATENATE("#metadata!", ADDRESS(INDEX($AH$2:$AH$1001,MATCH(ROWS($AF$2:AF626),$AF$2:$AF$1001,0),0), INDEX($AM$1004:$BM$1004,1,MATCH(COLUMNS($AM$1006:BB1006),$AM$1006:$BM$1006,0)))),"Fix")))</f>
        <v xml:space="preserve"> </v>
      </c>
      <c r="R626" s="4" t="str">
        <f ca="1">IF(OR(INDEX($AG$2:$AG$1001,MATCH(ROWS($AF$2:AF626),$AF$2:$AF$1001,0),1)&gt;=100000,INDEX($AM$1005:$BM$1005,1,MATCH(COLUMNS($AM$1006:BC1006),$AM$1006:$BM$1006,0))&gt;=100000), " ",IF(INDEX($AM$2:$BM$1001,MATCH(ROWS($AF$2:AF626),$AF$2:$AF$1001,0),MATCH(COLUMNS($AM$1006:BC1006),$AM$1006:$BM$1006,0)), HYPERLINK("#",""), HYPERLINK(CONCATENATE("#metadata!", ADDRESS(INDEX($AH$2:$AH$1001,MATCH(ROWS($AF$2:AF626),$AF$2:$AF$1001,0),0), INDEX($AM$1004:$BM$1004,1,MATCH(COLUMNS($AM$1006:BC1006),$AM$1006:$BM$1006,0)))),"Fix")))</f>
        <v xml:space="preserve"> </v>
      </c>
      <c r="S626" s="4" t="str">
        <f ca="1">IF(OR(INDEX($AG$2:$AG$1001,MATCH(ROWS($AF$2:AF626),$AF$2:$AF$1001,0),1)&gt;=100000,INDEX($AM$1005:$BM$1005,1,MATCH(COLUMNS($AM$1006:BD1006),$AM$1006:$BM$1006,0))&gt;=100000), " ",IF(INDEX($AM$2:$BM$1001,MATCH(ROWS($AF$2:AF626),$AF$2:$AF$1001,0),MATCH(COLUMNS($AM$1006:BD1006),$AM$1006:$BM$1006,0)), HYPERLINK("#",""), HYPERLINK(CONCATENATE("#metadata!", ADDRESS(INDEX($AH$2:$AH$1001,MATCH(ROWS($AF$2:AF626),$AF$2:$AF$1001,0),0), INDEX($AM$1004:$BM$1004,1,MATCH(COLUMNS($AM$1006:BD1006),$AM$1006:$BM$1006,0)))),"Fix")))</f>
        <v xml:space="preserve"> </v>
      </c>
      <c r="T626" s="4" t="str">
        <f ca="1">IF(OR(INDEX($AG$2:$AG$1001,MATCH(ROWS($AF$2:AF626),$AF$2:$AF$1001,0),1)&gt;=100000,INDEX($AM$1005:$BM$1005,1,MATCH(COLUMNS($AM$1006:BE1006),$AM$1006:$BM$1006,0))&gt;=100000), " ",IF(INDEX($AM$2:$BM$1001,MATCH(ROWS($AF$2:AF626),$AF$2:$AF$1001,0),MATCH(COLUMNS($AM$1006:BE1006),$AM$1006:$BM$1006,0)), HYPERLINK("#",""), HYPERLINK(CONCATENATE("#metadata!", ADDRESS(INDEX($AH$2:$AH$1001,MATCH(ROWS($AF$2:AF626),$AF$2:$AF$1001,0),0), INDEX($AM$1004:$BM$1004,1,MATCH(COLUMNS($AM$1006:BE1006),$AM$1006:$BM$1006,0)))),"Fix")))</f>
        <v xml:space="preserve"> </v>
      </c>
      <c r="U626" s="4" t="str">
        <f ca="1">IF(OR(INDEX($AG$2:$AG$1001,MATCH(ROWS($AF$2:AF626),$AF$2:$AF$1001,0),1)&gt;=100000,INDEX($AM$1005:$BM$1005,1,MATCH(COLUMNS($AM$1006:BF1006),$AM$1006:$BM$1006,0))&gt;=100000), " ",IF(INDEX($AM$2:$BM$1001,MATCH(ROWS($AF$2:AF626),$AF$2:$AF$1001,0),MATCH(COLUMNS($AM$1006:BF1006),$AM$1006:$BM$1006,0)), HYPERLINK("#",""), HYPERLINK(CONCATENATE("#metadata!", ADDRESS(INDEX($AH$2:$AH$1001,MATCH(ROWS($AF$2:AF626),$AF$2:$AF$1001,0),0), INDEX($AM$1004:$BM$1004,1,MATCH(COLUMNS($AM$1006:BF1006),$AM$1006:$BM$1006,0)))),"Fix")))</f>
        <v xml:space="preserve"> </v>
      </c>
      <c r="V626" s="4" t="str">
        <f ca="1">IF(OR(INDEX($AG$2:$AG$1001,MATCH(ROWS($AF$2:AF626),$AF$2:$AF$1001,0),1)&gt;=100000,INDEX($AM$1005:$BM$1005,1,MATCH(COLUMNS($AM$1006:BG1006),$AM$1006:$BM$1006,0))&gt;=100000), " ",IF(INDEX($AM$2:$BM$1001,MATCH(ROWS($AF$2:AF626),$AF$2:$AF$1001,0),MATCH(COLUMNS($AM$1006:BG1006),$AM$1006:$BM$1006,0)), HYPERLINK("#",""), HYPERLINK(CONCATENATE("#metadata!", ADDRESS(INDEX($AH$2:$AH$1001,MATCH(ROWS($AF$2:AF626),$AF$2:$AF$1001,0),0), INDEX($AM$1004:$BM$1004,1,MATCH(COLUMNS($AM$1006:BG1006),$AM$1006:$BM$1006,0)))),"Fix")))</f>
        <v xml:space="preserve"> </v>
      </c>
      <c r="W626" s="4" t="str">
        <f ca="1">IF(OR(INDEX($AG$2:$AG$1001,MATCH(ROWS($AF$2:AF626),$AF$2:$AF$1001,0),1)&gt;=100000,INDEX($AM$1005:$BM$1005,1,MATCH(COLUMNS($AM$1006:BH1006),$AM$1006:$BM$1006,0))&gt;=100000), " ",IF(INDEX($AM$2:$BM$1001,MATCH(ROWS($AF$2:AF626),$AF$2:$AF$1001,0),MATCH(COLUMNS($AM$1006:BH1006),$AM$1006:$BM$1006,0)), HYPERLINK("#",""), HYPERLINK(CONCATENATE("#metadata!", ADDRESS(INDEX($AH$2:$AH$1001,MATCH(ROWS($AF$2:AF626),$AF$2:$AF$1001,0),0), INDEX($AM$1004:$BM$1004,1,MATCH(COLUMNS($AM$1006:BH1006),$AM$1006:$BM$1006,0)))),"Fix")))</f>
        <v xml:space="preserve"> </v>
      </c>
      <c r="X626" s="4" t="str">
        <f ca="1">IF(OR(INDEX($AG$2:$AG$1001,MATCH(ROWS($AF$2:AF626),$AF$2:$AF$1001,0),1)&gt;=100000,INDEX($AM$1005:$BM$1005,1,MATCH(COLUMNS($AM$1006:BI1006),$AM$1006:$BM$1006,0))&gt;=100000), " ",IF(INDEX($AM$2:$BM$1001,MATCH(ROWS($AF$2:AF626),$AF$2:$AF$1001,0),MATCH(COLUMNS($AM$1006:BI1006),$AM$1006:$BM$1006,0)), HYPERLINK("#",""), HYPERLINK(CONCATENATE("#metadata!", ADDRESS(INDEX($AH$2:$AH$1001,MATCH(ROWS($AF$2:AF626),$AF$2:$AF$1001,0),0), INDEX($AM$1004:$BM$1004,1,MATCH(COLUMNS($AM$1006:BI1006),$AM$1006:$BM$1006,0)))),"Fix")))</f>
        <v xml:space="preserve"> </v>
      </c>
      <c r="Y626" s="4" t="str">
        <f ca="1">IF(OR(INDEX($AG$2:$AG$1001,MATCH(ROWS($AF$2:AF626),$AF$2:$AF$1001,0),1)&gt;=100000,INDEX($AM$1005:$BM$1005,1,MATCH(COLUMNS($AM$1006:BJ1006),$AM$1006:$BM$1006,0))&gt;=100000), " ",IF(INDEX($AM$2:$BM$1001,MATCH(ROWS($AF$2:AF626),$AF$2:$AF$1001,0),MATCH(COLUMNS($AM$1006:BJ1006),$AM$1006:$BM$1006,0)), HYPERLINK("#",""), HYPERLINK(CONCATENATE("#metadata!", ADDRESS(INDEX($AH$2:$AH$1001,MATCH(ROWS($AF$2:AF626),$AF$2:$AF$1001,0),0), INDEX($AM$1004:$BM$1004,1,MATCH(COLUMNS($AM$1006:BJ1006),$AM$1006:$BM$1006,0)))),"Fix")))</f>
        <v xml:space="preserve"> </v>
      </c>
      <c r="Z626" s="4" t="str">
        <f ca="1">IF(OR(INDEX($AG$2:$AG$1001,MATCH(ROWS($AF$2:AF626),$AF$2:$AF$1001,0),1)&gt;=100000,INDEX($AM$1005:$BM$1005,1,MATCH(COLUMNS($AM$1006:BK1006),$AM$1006:$BM$1006,0))&gt;=100000), " ",IF(INDEX($AM$2:$BM$1001,MATCH(ROWS($AF$2:AF626),$AF$2:$AF$1001,0),MATCH(COLUMNS($AM$1006:BK1006),$AM$1006:$BM$1006,0)), HYPERLINK("#",""), HYPERLINK(CONCATENATE("#metadata!", ADDRESS(INDEX($AH$2:$AH$1001,MATCH(ROWS($AF$2:AF626),$AF$2:$AF$1001,0),0), INDEX($AM$1004:$BM$1004,1,MATCH(COLUMNS($AM$1006:BK1006),$AM$1006:$BM$1006,0)))),"Fix")))</f>
        <v xml:space="preserve"> </v>
      </c>
      <c r="AA626" s="4" t="str">
        <f ca="1">IF(OR(INDEX($AG$2:$AG$1001,MATCH(ROWS($AF$2:AF626),$AF$2:$AF$1001,0),1)&gt;=100000,INDEX($AM$1005:$BM$1005,1,MATCH(COLUMNS($AM$1006:BL1006),$AM$1006:$BM$1006,0))&gt;=100000), " ",IF(INDEX($AM$2:$BM$1001,MATCH(ROWS($AF$2:AF626),$AF$2:$AF$1001,0),MATCH(COLUMNS($AM$1006:BL1006),$AM$1006:$BM$1006,0)), HYPERLINK("#",""), HYPERLINK(CONCATENATE("#metadata!", ADDRESS(INDEX($AH$2:$AH$1001,MATCH(ROWS($AF$2:AF626),$AF$2:$AF$1001,0),0), INDEX($AM$1004:$BM$1004,1,MATCH(COLUMNS($AM$1006:BL1006),$AM$1006:$BM$1006,0)))),"Fix")))</f>
        <v xml:space="preserve"> </v>
      </c>
      <c r="AB626" s="4" t="str">
        <f ca="1">IF(OR(INDEX($AG$2:$AG$1001,MATCH(ROWS($AF$2:AF626),$AF$2:$AF$1001,0),1)&gt;=100000,INDEX($AM$1005:$BM$1005,1,MATCH(COLUMNS($AM$1006:BM1006),$AM$1006:$BM$1006,0))&gt;=100000), " ",IF(INDEX($AM$2:$BM$1001,MATCH(ROWS($AF$2:AF626),$AF$2:$AF$1001,0),MATCH(COLUMNS($AM$1006:BM1006),$AM$1006:$BM$1006,0)), HYPERLINK("#",""), HYPERLINK(CONCATENATE("#metadata!", ADDRESS(INDEX($AH$2:$AH$1001,MATCH(ROWS($AF$2:AF626),$AF$2:$AF$1001,0),0), INDEX($AM$1004:$BM$1004,1,MATCH(COLUMNS($AM$1006:BM1006),$AM$1006:$BM$1006,0)))),"Fix")))</f>
        <v xml:space="preserve"> </v>
      </c>
      <c r="AF626">
        <v>625</v>
      </c>
      <c r="AG626">
        <v>100626</v>
      </c>
      <c r="AH626">
        <v>626</v>
      </c>
      <c r="AI626" t="b">
        <f t="shared" si="9"/>
        <v>1</v>
      </c>
      <c r="AJ626" t="b">
        <f>COUNTBLANK(metadata!B626:AB626)=COLUMNS(metadata!B626:AB626)</f>
        <v>1</v>
      </c>
      <c r="AK626" t="str">
        <v/>
      </c>
      <c r="AM626" t="b">
        <f ca="1">AND(IF(metadata!B626="",FALSE,TRUE),COUNTIF(metadata!B:B, metadata!B626) = 1,NOT(ISERROR(SUMPRODUCT(SEARCH(MID(metadata!B626,ROW(INDIRECT("1:"&amp;LEN(metadata!B626))), 1),"0123456789abcdefghijklmnopqrstuvwxyzABCDEFGHIJKLMNOPQRSTUVWXYZ.")))))</f>
        <v>0</v>
      </c>
      <c r="AN626" t="b">
        <f ca="1">OR(AND(IF(metadata!C626="",FALSE,TRUE),OR(EXACT(metadata!C626,"missing: not collected"),EXACT(metadata!C626,"missing: not provided"),EXACT(metadata!C626,"missing: restricted access"))),AND(IF(metadata!C626="",FALSE,TRUE),AND(AND(IFERROR(INT(LEFT(metadata!C626,4))&gt;1900,FALSE),IFERROR(INT(LEFT(metadata!C626,4))&lt;=YEAR(NOW()),FALSE)), OR(MID(metadata!C626,5,1)="", AND(AND(MID(metadata!C626,5,1)="-",IFERROR(INT(MID(metadata!C626,6,1))&gt;=0,FALSE),IFERROR(INT(MID(metadata!C626,6,1))&lt;=1,FALSE),NOT(MID(metadata!C626,7,1)=""),IFERROR(INT(MID(metadata!C626,6,2))&gt;=1,FALSE),IFERROR(INT(MID(metadata!C626,6,2))&lt;=12,FALSE)), OR(MID(metadata!C626,8,1)="", AND(AND(MID(metadata!C626,8,1)="-",IFERROR(INT(MID(metadata!C626,9,1))&gt;=0,FALSE),IFERROR(INT(MID(metadata!C626,9,1))&lt;=3,FALSE),NOT(MID(metadata!C626,10,1)=""),IFERROR(INT(MID(metadata!C626,9,2))&gt;=1,FALSE),IFERROR(INT(MID(metadata!C626,9,2))&lt;=31,FALSE)), OR(MID(metadata!C626,11,1)="", AND(AND(MID(metadata!C626,11,1)=" ",IFERROR(INT(MID(metadata!C626,12,1))&gt;=0,FALSE),IFERROR(INT(MID(metadata!C626,12,1))&lt;=2,FALSE),NOT(MID(metadata!C626,13,1)=""),IFERROR(INT(MID(metadata!C626,12,2))&gt;=0,FALSE),IFERROR(INT(MID(metadata!C626,12,2))&lt;=23,FALSE)), OR(MID(metadata!C626,14,1)="", AND(AND(MID(metadata!C626,14,1)=":",IFERROR(INT(MID(metadata!C626,15,1))&gt;=0,FALSE),IFERROR(INT(MID(metadata!C626,15,1))&lt;=5,FALSE),NOT(MID(metadata!C626,16,1)=""),IFERROR(INT(MID(metadata!C626,15,2))&gt;=0,FALSE),IFERROR(INT(MID(metadata!C626,15,2))&lt;=59,FALSE)), OR(MID(metadata!C626,17,1)="", AND(AND(MID(metadata!C626,17,1)=":",IFERROR(INT(MID(metadata!C626,18,1))&gt;=0,FALSE),IFERROR(INT(MID(metadata!C626,18,1))&lt;=5,FALSE),NOT(MID(metadata!C626,19,1)=""),IFERROR(INT(MID(metadata!C626,18,2))&gt;=0,FALSE),IFERROR(INT(MID(metadata!C626,18,2))&lt;=59,FALSE)), LEN(metadata!C626)&lt;=19)))))))))))))</f>
        <v>0</v>
      </c>
      <c r="AO626" t="b">
        <f>AND(IF(metadata!D626="",FALSE,TRUE),EXACT(metadata!D626,"Not applicable"))</f>
        <v>0</v>
      </c>
      <c r="AP626" t="b">
        <f>IF(metadata!E626="",FALSE,TRUE)</f>
        <v>0</v>
      </c>
      <c r="AQ626" t="b">
        <f>OR(AND(IF(metadata!F626="",FALSE,TRUE),OR(EXACT(metadata!F626,"missing: not collected"),EXACT(metadata!F626,"missing: not provided"))),AND(IF(metadata!F626="",FALSE,TRUE),OR(EXACT(metadata!F626,"TRUE"),EXACT(metadata!F626,"FALSE"))))</f>
        <v>0</v>
      </c>
      <c r="AR626" t="b">
        <f>OR(AND(IF(metadata!G626="",FALSE,TRUE),OR(EXACT(metadata!G626,"missing: not collected"),EXACT(metadata!G626,"missing: not provided"),EXACT(metadata!G626,"missing: restricted access"))),AND(IF(metadata!G626="",FALSE,ISNUMBER(VALUE(metadata!G626))),metadata!G626&gt;=-413))</f>
        <v>0</v>
      </c>
      <c r="AS626" t="b">
        <f>AND(IF(metadata!H626="",FALSE,TRUE),EXACT(metadata!H626,"meters"))</f>
        <v>0</v>
      </c>
      <c r="AT626" t="b">
        <f>AND(IF(metadata!I626="",FALSE,TRUE),OR(EXACT(metadata!I626,"Host-associated"),EXACT(metadata!I626,"Free-living")))</f>
        <v>0</v>
      </c>
      <c r="AU626" t="b">
        <f>AND(IF(metadata!J626="",FALSE,TRUE),OR(EXACT(metadata!J626,"Animal"),EXACT(metadata!J626,"Fungus"),EXACT(metadata!J626,"Plant"),EXACT(metadata!J626,"Saline"),EXACT(metadata!J626,"Non-saline")))</f>
        <v>0</v>
      </c>
      <c r="AV626" t="b">
        <f>AND(IF(metadata!K626="",FALSE,TRUE),OR(EXACT(metadata!K626,"Plant secretion"),EXACT(metadata!K626,"Plant rhizosphere"),EXACT(metadata!K626,"Plant surface"),EXACT(metadata!K626,"Plant corpus"),EXACT(metadata!K626,"Fungus surface"),EXACT(metadata!K626,"Fungus corpus"),EXACT(metadata!K626,"Animal surface"),EXACT(metadata!K626,"Animal proximal gut"),EXACT(metadata!K626,"Animal corpus"),EXACT(metadata!K626,"Animal distal gut"),EXACT(metadata!K626,"Animal secretion"),EXACT(metadata!K626,"Sub-surface (non-saline)"),EXACT(metadata!K626,"Surface (non-saline)"),EXACT(metadata!K626,"Water (non-saline)"),EXACT(metadata!K626,"Soil (non-saline)"),EXACT(metadata!K626,"Aerosol (non-saline)"),EXACT(metadata!K626,"Sediment (non-saline)"),EXACT(metadata!K626,"Surface (saline)"),EXACT(metadata!K626,"Water (saline)"),EXACT(metadata!K626,"Hypersaline (saline)"),EXACT(metadata!K626,"Aerosol (saline)"),EXACT(metadata!K626,"Sediment (saline)")))</f>
        <v>0</v>
      </c>
      <c r="AW626" t="b">
        <f>IF(metadata!L626="",FALSE,TRUE)</f>
        <v>0</v>
      </c>
      <c r="AX626" t="b">
        <f>IF(metadata!M626="",FALSE,TRUE)</f>
        <v>0</v>
      </c>
      <c r="AY626" t="b">
        <f>IF(metadata!N626="",FALSE,TRUE)</f>
        <v>0</v>
      </c>
      <c r="AZ626" t="b">
        <f>OR(AND(IF(metadata!O626="",FALSE,TRUE),OR(EXACT(metadata!O626,"missing: not collected"),EXACT(metadata!O626,"missing: not provided"),EXACT(metadata!O626,"missing: restricted access"))),AND(IF(metadata!O626="",FALSE,TRUE),OR(EXACT(metadata!O626,"air"),EXACT(metadata!O626,"built environment"),EXACT(metadata!O626,"host-associated"),EXACT(metadata!O626,"human-associated"),EXACT(metadata!O626,"human-skin"),EXACT(metadata!O626,"human-oral"),EXACT(metadata!O626,"human-gut"),EXACT(metadata!O626,"human-vaginal"),EXACT(metadata!O626,"microbial mat/biofilm"),EXACT(metadata!O626,"misc environment"),EXACT(metadata!O626,"plant-associated"),EXACT(metadata!O626,"sediment"),EXACT(metadata!O626,"soil"),EXACT(metadata!O626,"wastewater/sludge"),EXACT(metadata!O626,"water"))))</f>
        <v>0</v>
      </c>
      <c r="BA626" t="b">
        <f>IF(metadata!P626="",FALSE,TRUE)</f>
        <v>0</v>
      </c>
      <c r="BB626" t="b">
        <f>IF(metadata!Q626="",FALSE,TRUE)</f>
        <v>0</v>
      </c>
      <c r="BC626" t="b">
        <f>OR(AND(IF(metadata!R626="",FALSE,TRUE),OR(EXACT(metadata!R626,"missing: not collected"),EXACT(metadata!R626,"missing: not provided"),EXACT(metadata!R626,"missing: restricted access"))),AND(IF(metadata!R626="",FALSE,ISNUMBER(VALUE(metadata!R626))),metadata!R626&gt;=-90,metadata!R626&lt;=90))</f>
        <v>0</v>
      </c>
      <c r="BD626" t="b">
        <f>AND(IF(metadata!S626="",FALSE,TRUE),EXACT(metadata!S626,"Decimal degrees"))</f>
        <v>0</v>
      </c>
      <c r="BE626" t="b">
        <f>OR(AND(IF(metadata!T626="",FALSE,TRUE),OR(EXACT(metadata!T626,"missing: not collected"),EXACT(metadata!T626,"missing: not provided"),EXACT(metadata!T626,"missing: restricted access"))),AND(IF(metadata!T626="",FALSE,ISNUMBER(VALUE(metadata!T626))),metadata!T626&gt;=-180,metadata!T626&lt;=180))</f>
        <v>0</v>
      </c>
      <c r="BF626" t="b">
        <f>AND(IF(metadata!U626="",FALSE,TRUE),EXACT(metadata!U626,"Decimal degrees"))</f>
        <v>0</v>
      </c>
      <c r="BG626" t="b">
        <f>IF(metadata!V626="",FALSE,TRUE)</f>
        <v>0</v>
      </c>
      <c r="BH626" t="b">
        <f>OR(AND(IF(metadata!W626="",FALSE,TRUE),OR(EXACT(metadata!W626,"missing: not collected"),EXACT(metadata!W626,"missing: not provided"),EXACT(metadata!W626,"missing: restricted access"))),AND(IF(metadata!W626="",FALSE,TRUE),OR(EXACT(metadata!W626,"TRUE"),EXACT(metadata!W626,"FALSE"))))</f>
        <v>0</v>
      </c>
      <c r="BI626" t="b">
        <f>AND(IF(metadata!X626="",FALSE,TRUE),EXACT(metadata!X626,"other"))</f>
        <v>0</v>
      </c>
      <c r="BJ626" t="b">
        <f>IF(metadata!Y626="",FALSE,TRUE)</f>
        <v>0</v>
      </c>
      <c r="BK626" t="b">
        <f>OR(AND(IF(metadata!Z626="",FALSE,TRUE),OR(EXACT(metadata!Z626,"missing: not collected"),EXACT(metadata!Z626,"missing: not provided"))),AND(IF(metadata!Z626="",FALSE,IF(ISERROR(INT(metadata!Z626)),FALSE,INT(metadata!Z626)=metadata!Z626)),metadata!Z626&gt;0))</f>
        <v>0</v>
      </c>
      <c r="BL626" t="b">
        <f>AND(IF(metadata!AA626="",FALSE,TRUE),EXACT(metadata!AA626,"Not applicable"))</f>
        <v>0</v>
      </c>
      <c r="BM626" t="b">
        <f>IF(metadata!AB626="",FALSE,TRUE)</f>
        <v>0</v>
      </c>
    </row>
    <row r="627" spans="1:65" x14ac:dyDescent="0.2">
      <c r="A627" s="5" t="str">
        <f ca="1">IF(B627=" "," ",HYPERLINK(CONCATENATE("#metadata!",ADDRESS(INDEX($AH$2:$AH$1001,MATCH(ROWS($AF$2:AF627),$AF$2:$AF$1001,0),0),1)),INDEX($AK$2:$AK$1001,MATCH(ROWS($AF$2:AF627),$AF$2:$AF$1001,0),0)))</f>
        <v xml:space="preserve"> </v>
      </c>
      <c r="B627" s="4" t="str">
        <f ca="1">IF(OR(INDEX($AG$2:$AG$1001,MATCH(ROWS($AF$2:AF627),$AF$2:$AF$1001,0),1)&gt;=100000,INDEX($AM$1005:$BM$1005,1,MATCH(COLUMNS($AM$1006:AM1006),$AM$1006:$BM$1006,0))&gt;=100000), " ",IF(INDEX($AM$2:$BM$1001,MATCH(ROWS($AF$2:AF627),$AF$2:$AF$1001,0),MATCH(COLUMNS($AM$1006:AM1006),$AM$1006:$BM$1006,0)), HYPERLINK("#",""), HYPERLINK(CONCATENATE("#metadata!", ADDRESS(INDEX($AH$2:$AH$1001,MATCH(ROWS($AF$2:AF627),$AF$2:$AF$1001,0),0), INDEX($AM$1004:$BM$1004,1,MATCH(COLUMNS($AM$1006:AM1006),$AM$1006:$BM$1006,0)))),"Fix")))</f>
        <v xml:space="preserve"> </v>
      </c>
      <c r="C627" s="4" t="str">
        <f ca="1">IF(OR(INDEX($AG$2:$AG$1001,MATCH(ROWS($AF$2:AF627),$AF$2:$AF$1001,0),1)&gt;=100000,INDEX($AM$1005:$BM$1005,1,MATCH(COLUMNS($AM$1006:AN1006),$AM$1006:$BM$1006,0))&gt;=100000), " ",IF(INDEX($AM$2:$BM$1001,MATCH(ROWS($AF$2:AF627),$AF$2:$AF$1001,0),MATCH(COLUMNS($AM$1006:AN1006),$AM$1006:$BM$1006,0)), HYPERLINK("#",""), HYPERLINK(CONCATENATE("#metadata!", ADDRESS(INDEX($AH$2:$AH$1001,MATCH(ROWS($AF$2:AF627),$AF$2:$AF$1001,0),0), INDEX($AM$1004:$BM$1004,1,MATCH(COLUMNS($AM$1006:AN1006),$AM$1006:$BM$1006,0)))),"Fix")))</f>
        <v xml:space="preserve"> </v>
      </c>
      <c r="D627" s="4" t="str">
        <f ca="1">IF(OR(INDEX($AG$2:$AG$1001,MATCH(ROWS($AF$2:AF627),$AF$2:$AF$1001,0),1)&gt;=100000,INDEX($AM$1005:$BM$1005,1,MATCH(COLUMNS($AM$1006:AO1006),$AM$1006:$BM$1006,0))&gt;=100000), " ",IF(INDEX($AM$2:$BM$1001,MATCH(ROWS($AF$2:AF627),$AF$2:$AF$1001,0),MATCH(COLUMNS($AM$1006:AO1006),$AM$1006:$BM$1006,0)), HYPERLINK("#",""), HYPERLINK(CONCATENATE("#metadata!", ADDRESS(INDEX($AH$2:$AH$1001,MATCH(ROWS($AF$2:AF627),$AF$2:$AF$1001,0),0), INDEX($AM$1004:$BM$1004,1,MATCH(COLUMNS($AM$1006:AO1006),$AM$1006:$BM$1006,0)))),"Fix")))</f>
        <v xml:space="preserve"> </v>
      </c>
      <c r="E627" s="4" t="str">
        <f ca="1">IF(OR(INDEX($AG$2:$AG$1001,MATCH(ROWS($AF$2:AF627),$AF$2:$AF$1001,0),1)&gt;=100000,INDEX($AM$1005:$BM$1005,1,MATCH(COLUMNS($AM$1006:AP1006),$AM$1006:$BM$1006,0))&gt;=100000), " ",IF(INDEX($AM$2:$BM$1001,MATCH(ROWS($AF$2:AF627),$AF$2:$AF$1001,0),MATCH(COLUMNS($AM$1006:AP1006),$AM$1006:$BM$1006,0)), HYPERLINK("#",""), HYPERLINK(CONCATENATE("#metadata!", ADDRESS(INDEX($AH$2:$AH$1001,MATCH(ROWS($AF$2:AF627),$AF$2:$AF$1001,0),0), INDEX($AM$1004:$BM$1004,1,MATCH(COLUMNS($AM$1006:AP1006),$AM$1006:$BM$1006,0)))),"Fix")))</f>
        <v xml:space="preserve"> </v>
      </c>
      <c r="F627" s="4" t="str">
        <f ca="1">IF(OR(INDEX($AG$2:$AG$1001,MATCH(ROWS($AF$2:AF627),$AF$2:$AF$1001,0),1)&gt;=100000,INDEX($AM$1005:$BM$1005,1,MATCH(COLUMNS($AM$1006:AQ1006),$AM$1006:$BM$1006,0))&gt;=100000), " ",IF(INDEX($AM$2:$BM$1001,MATCH(ROWS($AF$2:AF627),$AF$2:$AF$1001,0),MATCH(COLUMNS($AM$1006:AQ1006),$AM$1006:$BM$1006,0)), HYPERLINK("#",""), HYPERLINK(CONCATENATE("#metadata!", ADDRESS(INDEX($AH$2:$AH$1001,MATCH(ROWS($AF$2:AF627),$AF$2:$AF$1001,0),0), INDEX($AM$1004:$BM$1004,1,MATCH(COLUMNS($AM$1006:AQ1006),$AM$1006:$BM$1006,0)))),"Fix")))</f>
        <v xml:space="preserve"> </v>
      </c>
      <c r="G627" s="4" t="str">
        <f ca="1">IF(OR(INDEX($AG$2:$AG$1001,MATCH(ROWS($AF$2:AF627),$AF$2:$AF$1001,0),1)&gt;=100000,INDEX($AM$1005:$BM$1005,1,MATCH(COLUMNS($AM$1006:AR1006),$AM$1006:$BM$1006,0))&gt;=100000), " ",IF(INDEX($AM$2:$BM$1001,MATCH(ROWS($AF$2:AF627),$AF$2:$AF$1001,0),MATCH(COLUMNS($AM$1006:AR1006),$AM$1006:$BM$1006,0)), HYPERLINK("#",""), HYPERLINK(CONCATENATE("#metadata!", ADDRESS(INDEX($AH$2:$AH$1001,MATCH(ROWS($AF$2:AF627),$AF$2:$AF$1001,0),0), INDEX($AM$1004:$BM$1004,1,MATCH(COLUMNS($AM$1006:AR1006),$AM$1006:$BM$1006,0)))),"Fix")))</f>
        <v xml:space="preserve"> </v>
      </c>
      <c r="H627" s="4" t="str">
        <f ca="1">IF(OR(INDEX($AG$2:$AG$1001,MATCH(ROWS($AF$2:AF627),$AF$2:$AF$1001,0),1)&gt;=100000,INDEX($AM$1005:$BM$1005,1,MATCH(COLUMNS($AM$1006:AS1006),$AM$1006:$BM$1006,0))&gt;=100000), " ",IF(INDEX($AM$2:$BM$1001,MATCH(ROWS($AF$2:AF627),$AF$2:$AF$1001,0),MATCH(COLUMNS($AM$1006:AS1006),$AM$1006:$BM$1006,0)), HYPERLINK("#",""), HYPERLINK(CONCATENATE("#metadata!", ADDRESS(INDEX($AH$2:$AH$1001,MATCH(ROWS($AF$2:AF627),$AF$2:$AF$1001,0),0), INDEX($AM$1004:$BM$1004,1,MATCH(COLUMNS($AM$1006:AS1006),$AM$1006:$BM$1006,0)))),"Fix")))</f>
        <v xml:space="preserve"> </v>
      </c>
      <c r="I627" s="4" t="str">
        <f ca="1">IF(OR(INDEX($AG$2:$AG$1001,MATCH(ROWS($AF$2:AF627),$AF$2:$AF$1001,0),1)&gt;=100000,INDEX($AM$1005:$BM$1005,1,MATCH(COLUMNS($AM$1006:AT1006),$AM$1006:$BM$1006,0))&gt;=100000), " ",IF(INDEX($AM$2:$BM$1001,MATCH(ROWS($AF$2:AF627),$AF$2:$AF$1001,0),MATCH(COLUMNS($AM$1006:AT1006),$AM$1006:$BM$1006,0)), HYPERLINK("#",""), HYPERLINK(CONCATENATE("#metadata!", ADDRESS(INDEX($AH$2:$AH$1001,MATCH(ROWS($AF$2:AF627),$AF$2:$AF$1001,0),0), INDEX($AM$1004:$BM$1004,1,MATCH(COLUMNS($AM$1006:AT1006),$AM$1006:$BM$1006,0)))),"Fix")))</f>
        <v xml:space="preserve"> </v>
      </c>
      <c r="J627" s="4" t="str">
        <f ca="1">IF(OR(INDEX($AG$2:$AG$1001,MATCH(ROWS($AF$2:AF627),$AF$2:$AF$1001,0),1)&gt;=100000,INDEX($AM$1005:$BM$1005,1,MATCH(COLUMNS($AM$1006:AU1006),$AM$1006:$BM$1006,0))&gt;=100000), " ",IF(INDEX($AM$2:$BM$1001,MATCH(ROWS($AF$2:AF627),$AF$2:$AF$1001,0),MATCH(COLUMNS($AM$1006:AU1006),$AM$1006:$BM$1006,0)), HYPERLINK("#",""), HYPERLINK(CONCATENATE("#metadata!", ADDRESS(INDEX($AH$2:$AH$1001,MATCH(ROWS($AF$2:AF627),$AF$2:$AF$1001,0),0), INDEX($AM$1004:$BM$1004,1,MATCH(COLUMNS($AM$1006:AU1006),$AM$1006:$BM$1006,0)))),"Fix")))</f>
        <v xml:space="preserve"> </v>
      </c>
      <c r="K627" s="4" t="str">
        <f ca="1">IF(OR(INDEX($AG$2:$AG$1001,MATCH(ROWS($AF$2:AF627),$AF$2:$AF$1001,0),1)&gt;=100000,INDEX($AM$1005:$BM$1005,1,MATCH(COLUMNS($AM$1006:AV1006),$AM$1006:$BM$1006,0))&gt;=100000), " ",IF(INDEX($AM$2:$BM$1001,MATCH(ROWS($AF$2:AF627),$AF$2:$AF$1001,0),MATCH(COLUMNS($AM$1006:AV1006),$AM$1006:$BM$1006,0)), HYPERLINK("#",""), HYPERLINK(CONCATENATE("#metadata!", ADDRESS(INDEX($AH$2:$AH$1001,MATCH(ROWS($AF$2:AF627),$AF$2:$AF$1001,0),0), INDEX($AM$1004:$BM$1004,1,MATCH(COLUMNS($AM$1006:AV1006),$AM$1006:$BM$1006,0)))),"Fix")))</f>
        <v xml:space="preserve"> </v>
      </c>
      <c r="L627" s="4" t="str">
        <f ca="1">IF(OR(INDEX($AG$2:$AG$1001,MATCH(ROWS($AF$2:AF627),$AF$2:$AF$1001,0),1)&gt;=100000,INDEX($AM$1005:$BM$1005,1,MATCH(COLUMNS($AM$1006:AW1006),$AM$1006:$BM$1006,0))&gt;=100000), " ",IF(INDEX($AM$2:$BM$1001,MATCH(ROWS($AF$2:AF627),$AF$2:$AF$1001,0),MATCH(COLUMNS($AM$1006:AW1006),$AM$1006:$BM$1006,0)), HYPERLINK("#",""), HYPERLINK(CONCATENATE("#metadata!", ADDRESS(INDEX($AH$2:$AH$1001,MATCH(ROWS($AF$2:AF627),$AF$2:$AF$1001,0),0), INDEX($AM$1004:$BM$1004,1,MATCH(COLUMNS($AM$1006:AW1006),$AM$1006:$BM$1006,0)))),"Fix")))</f>
        <v xml:space="preserve"> </v>
      </c>
      <c r="M627" s="4" t="str">
        <f ca="1">IF(OR(INDEX($AG$2:$AG$1001,MATCH(ROWS($AF$2:AF627),$AF$2:$AF$1001,0),1)&gt;=100000,INDEX($AM$1005:$BM$1005,1,MATCH(COLUMNS($AM$1006:AX1006),$AM$1006:$BM$1006,0))&gt;=100000), " ",IF(INDEX($AM$2:$BM$1001,MATCH(ROWS($AF$2:AF627),$AF$2:$AF$1001,0),MATCH(COLUMNS($AM$1006:AX1006),$AM$1006:$BM$1006,0)), HYPERLINK("#",""), HYPERLINK(CONCATENATE("#metadata!", ADDRESS(INDEX($AH$2:$AH$1001,MATCH(ROWS($AF$2:AF627),$AF$2:$AF$1001,0),0), INDEX($AM$1004:$BM$1004,1,MATCH(COLUMNS($AM$1006:AX1006),$AM$1006:$BM$1006,0)))),"Fix")))</f>
        <v xml:space="preserve"> </v>
      </c>
      <c r="N627" s="4" t="str">
        <f ca="1">IF(OR(INDEX($AG$2:$AG$1001,MATCH(ROWS($AF$2:AF627),$AF$2:$AF$1001,0),1)&gt;=100000,INDEX($AM$1005:$BM$1005,1,MATCH(COLUMNS($AM$1006:AY1006),$AM$1006:$BM$1006,0))&gt;=100000), " ",IF(INDEX($AM$2:$BM$1001,MATCH(ROWS($AF$2:AF627),$AF$2:$AF$1001,0),MATCH(COLUMNS($AM$1006:AY1006),$AM$1006:$BM$1006,0)), HYPERLINK("#",""), HYPERLINK(CONCATENATE("#metadata!", ADDRESS(INDEX($AH$2:$AH$1001,MATCH(ROWS($AF$2:AF627),$AF$2:$AF$1001,0),0), INDEX($AM$1004:$BM$1004,1,MATCH(COLUMNS($AM$1006:AY1006),$AM$1006:$BM$1006,0)))),"Fix")))</f>
        <v xml:space="preserve"> </v>
      </c>
      <c r="O627" s="4" t="str">
        <f ca="1">IF(OR(INDEX($AG$2:$AG$1001,MATCH(ROWS($AF$2:AF627),$AF$2:$AF$1001,0),1)&gt;=100000,INDEX($AM$1005:$BM$1005,1,MATCH(COLUMNS($AM$1006:AZ1006),$AM$1006:$BM$1006,0))&gt;=100000), " ",IF(INDEX($AM$2:$BM$1001,MATCH(ROWS($AF$2:AF627),$AF$2:$AF$1001,0),MATCH(COLUMNS($AM$1006:AZ1006),$AM$1006:$BM$1006,0)), HYPERLINK("#",""), HYPERLINK(CONCATENATE("#metadata!", ADDRESS(INDEX($AH$2:$AH$1001,MATCH(ROWS($AF$2:AF627),$AF$2:$AF$1001,0),0), INDEX($AM$1004:$BM$1004,1,MATCH(COLUMNS($AM$1006:AZ1006),$AM$1006:$BM$1006,0)))),"Fix")))</f>
        <v xml:space="preserve"> </v>
      </c>
      <c r="P627" s="4" t="str">
        <f ca="1">IF(OR(INDEX($AG$2:$AG$1001,MATCH(ROWS($AF$2:AF627),$AF$2:$AF$1001,0),1)&gt;=100000,INDEX($AM$1005:$BM$1005,1,MATCH(COLUMNS($AM$1006:BA1006),$AM$1006:$BM$1006,0))&gt;=100000), " ",IF(INDEX($AM$2:$BM$1001,MATCH(ROWS($AF$2:AF627),$AF$2:$AF$1001,0),MATCH(COLUMNS($AM$1006:BA1006),$AM$1006:$BM$1006,0)), HYPERLINK("#",""), HYPERLINK(CONCATENATE("#metadata!", ADDRESS(INDEX($AH$2:$AH$1001,MATCH(ROWS($AF$2:AF627),$AF$2:$AF$1001,0),0), INDEX($AM$1004:$BM$1004,1,MATCH(COLUMNS($AM$1006:BA1006),$AM$1006:$BM$1006,0)))),"Fix")))</f>
        <v xml:space="preserve"> </v>
      </c>
      <c r="Q627" s="4" t="str">
        <f ca="1">IF(OR(INDEX($AG$2:$AG$1001,MATCH(ROWS($AF$2:AF627),$AF$2:$AF$1001,0),1)&gt;=100000,INDEX($AM$1005:$BM$1005,1,MATCH(COLUMNS($AM$1006:BB1006),$AM$1006:$BM$1006,0))&gt;=100000), " ",IF(INDEX($AM$2:$BM$1001,MATCH(ROWS($AF$2:AF627),$AF$2:$AF$1001,0),MATCH(COLUMNS($AM$1006:BB1006),$AM$1006:$BM$1006,0)), HYPERLINK("#",""), HYPERLINK(CONCATENATE("#metadata!", ADDRESS(INDEX($AH$2:$AH$1001,MATCH(ROWS($AF$2:AF627),$AF$2:$AF$1001,0),0), INDEX($AM$1004:$BM$1004,1,MATCH(COLUMNS($AM$1006:BB1006),$AM$1006:$BM$1006,0)))),"Fix")))</f>
        <v xml:space="preserve"> </v>
      </c>
      <c r="R627" s="4" t="str">
        <f ca="1">IF(OR(INDEX($AG$2:$AG$1001,MATCH(ROWS($AF$2:AF627),$AF$2:$AF$1001,0),1)&gt;=100000,INDEX($AM$1005:$BM$1005,1,MATCH(COLUMNS($AM$1006:BC1006),$AM$1006:$BM$1006,0))&gt;=100000), " ",IF(INDEX($AM$2:$BM$1001,MATCH(ROWS($AF$2:AF627),$AF$2:$AF$1001,0),MATCH(COLUMNS($AM$1006:BC1006),$AM$1006:$BM$1006,0)), HYPERLINK("#",""), HYPERLINK(CONCATENATE("#metadata!", ADDRESS(INDEX($AH$2:$AH$1001,MATCH(ROWS($AF$2:AF627),$AF$2:$AF$1001,0),0), INDEX($AM$1004:$BM$1004,1,MATCH(COLUMNS($AM$1006:BC1006),$AM$1006:$BM$1006,0)))),"Fix")))</f>
        <v xml:space="preserve"> </v>
      </c>
      <c r="S627" s="4" t="str">
        <f ca="1">IF(OR(INDEX($AG$2:$AG$1001,MATCH(ROWS($AF$2:AF627),$AF$2:$AF$1001,0),1)&gt;=100000,INDEX($AM$1005:$BM$1005,1,MATCH(COLUMNS($AM$1006:BD1006),$AM$1006:$BM$1006,0))&gt;=100000), " ",IF(INDEX($AM$2:$BM$1001,MATCH(ROWS($AF$2:AF627),$AF$2:$AF$1001,0),MATCH(COLUMNS($AM$1006:BD1006),$AM$1006:$BM$1006,0)), HYPERLINK("#",""), HYPERLINK(CONCATENATE("#metadata!", ADDRESS(INDEX($AH$2:$AH$1001,MATCH(ROWS($AF$2:AF627),$AF$2:$AF$1001,0),0), INDEX($AM$1004:$BM$1004,1,MATCH(COLUMNS($AM$1006:BD1006),$AM$1006:$BM$1006,0)))),"Fix")))</f>
        <v xml:space="preserve"> </v>
      </c>
      <c r="T627" s="4" t="str">
        <f ca="1">IF(OR(INDEX($AG$2:$AG$1001,MATCH(ROWS($AF$2:AF627),$AF$2:$AF$1001,0),1)&gt;=100000,INDEX($AM$1005:$BM$1005,1,MATCH(COLUMNS($AM$1006:BE1006),$AM$1006:$BM$1006,0))&gt;=100000), " ",IF(INDEX($AM$2:$BM$1001,MATCH(ROWS($AF$2:AF627),$AF$2:$AF$1001,0),MATCH(COLUMNS($AM$1006:BE1006),$AM$1006:$BM$1006,0)), HYPERLINK("#",""), HYPERLINK(CONCATENATE("#metadata!", ADDRESS(INDEX($AH$2:$AH$1001,MATCH(ROWS($AF$2:AF627),$AF$2:$AF$1001,0),0), INDEX($AM$1004:$BM$1004,1,MATCH(COLUMNS($AM$1006:BE1006),$AM$1006:$BM$1006,0)))),"Fix")))</f>
        <v xml:space="preserve"> </v>
      </c>
      <c r="U627" s="4" t="str">
        <f ca="1">IF(OR(INDEX($AG$2:$AG$1001,MATCH(ROWS($AF$2:AF627),$AF$2:$AF$1001,0),1)&gt;=100000,INDEX($AM$1005:$BM$1005,1,MATCH(COLUMNS($AM$1006:BF1006),$AM$1006:$BM$1006,0))&gt;=100000), " ",IF(INDEX($AM$2:$BM$1001,MATCH(ROWS($AF$2:AF627),$AF$2:$AF$1001,0),MATCH(COLUMNS($AM$1006:BF1006),$AM$1006:$BM$1006,0)), HYPERLINK("#",""), HYPERLINK(CONCATENATE("#metadata!", ADDRESS(INDEX($AH$2:$AH$1001,MATCH(ROWS($AF$2:AF627),$AF$2:$AF$1001,0),0), INDEX($AM$1004:$BM$1004,1,MATCH(COLUMNS($AM$1006:BF1006),$AM$1006:$BM$1006,0)))),"Fix")))</f>
        <v xml:space="preserve"> </v>
      </c>
      <c r="V627" s="4" t="str">
        <f ca="1">IF(OR(INDEX($AG$2:$AG$1001,MATCH(ROWS($AF$2:AF627),$AF$2:$AF$1001,0),1)&gt;=100000,INDEX($AM$1005:$BM$1005,1,MATCH(COLUMNS($AM$1006:BG1006),$AM$1006:$BM$1006,0))&gt;=100000), " ",IF(INDEX($AM$2:$BM$1001,MATCH(ROWS($AF$2:AF627),$AF$2:$AF$1001,0),MATCH(COLUMNS($AM$1006:BG1006),$AM$1006:$BM$1006,0)), HYPERLINK("#",""), HYPERLINK(CONCATENATE("#metadata!", ADDRESS(INDEX($AH$2:$AH$1001,MATCH(ROWS($AF$2:AF627),$AF$2:$AF$1001,0),0), INDEX($AM$1004:$BM$1004,1,MATCH(COLUMNS($AM$1006:BG1006),$AM$1006:$BM$1006,0)))),"Fix")))</f>
        <v xml:space="preserve"> </v>
      </c>
      <c r="W627" s="4" t="str">
        <f ca="1">IF(OR(INDEX($AG$2:$AG$1001,MATCH(ROWS($AF$2:AF627),$AF$2:$AF$1001,0),1)&gt;=100000,INDEX($AM$1005:$BM$1005,1,MATCH(COLUMNS($AM$1006:BH1006),$AM$1006:$BM$1006,0))&gt;=100000), " ",IF(INDEX($AM$2:$BM$1001,MATCH(ROWS($AF$2:AF627),$AF$2:$AF$1001,0),MATCH(COLUMNS($AM$1006:BH1006),$AM$1006:$BM$1006,0)), HYPERLINK("#",""), HYPERLINK(CONCATENATE("#metadata!", ADDRESS(INDEX($AH$2:$AH$1001,MATCH(ROWS($AF$2:AF627),$AF$2:$AF$1001,0),0), INDEX($AM$1004:$BM$1004,1,MATCH(COLUMNS($AM$1006:BH1006),$AM$1006:$BM$1006,0)))),"Fix")))</f>
        <v xml:space="preserve"> </v>
      </c>
      <c r="X627" s="4" t="str">
        <f ca="1">IF(OR(INDEX($AG$2:$AG$1001,MATCH(ROWS($AF$2:AF627),$AF$2:$AF$1001,0),1)&gt;=100000,INDEX($AM$1005:$BM$1005,1,MATCH(COLUMNS($AM$1006:BI1006),$AM$1006:$BM$1006,0))&gt;=100000), " ",IF(INDEX($AM$2:$BM$1001,MATCH(ROWS($AF$2:AF627),$AF$2:$AF$1001,0),MATCH(COLUMNS($AM$1006:BI1006),$AM$1006:$BM$1006,0)), HYPERLINK("#",""), HYPERLINK(CONCATENATE("#metadata!", ADDRESS(INDEX($AH$2:$AH$1001,MATCH(ROWS($AF$2:AF627),$AF$2:$AF$1001,0),0), INDEX($AM$1004:$BM$1004,1,MATCH(COLUMNS($AM$1006:BI1006),$AM$1006:$BM$1006,0)))),"Fix")))</f>
        <v xml:space="preserve"> </v>
      </c>
      <c r="Y627" s="4" t="str">
        <f ca="1">IF(OR(INDEX($AG$2:$AG$1001,MATCH(ROWS($AF$2:AF627),$AF$2:$AF$1001,0),1)&gt;=100000,INDEX($AM$1005:$BM$1005,1,MATCH(COLUMNS($AM$1006:BJ1006),$AM$1006:$BM$1006,0))&gt;=100000), " ",IF(INDEX($AM$2:$BM$1001,MATCH(ROWS($AF$2:AF627),$AF$2:$AF$1001,0),MATCH(COLUMNS($AM$1006:BJ1006),$AM$1006:$BM$1006,0)), HYPERLINK("#",""), HYPERLINK(CONCATENATE("#metadata!", ADDRESS(INDEX($AH$2:$AH$1001,MATCH(ROWS($AF$2:AF627),$AF$2:$AF$1001,0),0), INDEX($AM$1004:$BM$1004,1,MATCH(COLUMNS($AM$1006:BJ1006),$AM$1006:$BM$1006,0)))),"Fix")))</f>
        <v xml:space="preserve"> </v>
      </c>
      <c r="Z627" s="4" t="str">
        <f ca="1">IF(OR(INDEX($AG$2:$AG$1001,MATCH(ROWS($AF$2:AF627),$AF$2:$AF$1001,0),1)&gt;=100000,INDEX($AM$1005:$BM$1005,1,MATCH(COLUMNS($AM$1006:BK1006),$AM$1006:$BM$1006,0))&gt;=100000), " ",IF(INDEX($AM$2:$BM$1001,MATCH(ROWS($AF$2:AF627),$AF$2:$AF$1001,0),MATCH(COLUMNS($AM$1006:BK1006),$AM$1006:$BM$1006,0)), HYPERLINK("#",""), HYPERLINK(CONCATENATE("#metadata!", ADDRESS(INDEX($AH$2:$AH$1001,MATCH(ROWS($AF$2:AF627),$AF$2:$AF$1001,0),0), INDEX($AM$1004:$BM$1004,1,MATCH(COLUMNS($AM$1006:BK1006),$AM$1006:$BM$1006,0)))),"Fix")))</f>
        <v xml:space="preserve"> </v>
      </c>
      <c r="AA627" s="4" t="str">
        <f ca="1">IF(OR(INDEX($AG$2:$AG$1001,MATCH(ROWS($AF$2:AF627),$AF$2:$AF$1001,0),1)&gt;=100000,INDEX($AM$1005:$BM$1005,1,MATCH(COLUMNS($AM$1006:BL1006),$AM$1006:$BM$1006,0))&gt;=100000), " ",IF(INDEX($AM$2:$BM$1001,MATCH(ROWS($AF$2:AF627),$AF$2:$AF$1001,0),MATCH(COLUMNS($AM$1006:BL1006),$AM$1006:$BM$1006,0)), HYPERLINK("#",""), HYPERLINK(CONCATENATE("#metadata!", ADDRESS(INDEX($AH$2:$AH$1001,MATCH(ROWS($AF$2:AF627),$AF$2:$AF$1001,0),0), INDEX($AM$1004:$BM$1004,1,MATCH(COLUMNS($AM$1006:BL1006),$AM$1006:$BM$1006,0)))),"Fix")))</f>
        <v xml:space="preserve"> </v>
      </c>
      <c r="AB627" s="4" t="str">
        <f ca="1">IF(OR(INDEX($AG$2:$AG$1001,MATCH(ROWS($AF$2:AF627),$AF$2:$AF$1001,0),1)&gt;=100000,INDEX($AM$1005:$BM$1005,1,MATCH(COLUMNS($AM$1006:BM1006),$AM$1006:$BM$1006,0))&gt;=100000), " ",IF(INDEX($AM$2:$BM$1001,MATCH(ROWS($AF$2:AF627),$AF$2:$AF$1001,0),MATCH(COLUMNS($AM$1006:BM1006),$AM$1006:$BM$1006,0)), HYPERLINK("#",""), HYPERLINK(CONCATENATE("#metadata!", ADDRESS(INDEX($AH$2:$AH$1001,MATCH(ROWS($AF$2:AF627),$AF$2:$AF$1001,0),0), INDEX($AM$1004:$BM$1004,1,MATCH(COLUMNS($AM$1006:BM1006),$AM$1006:$BM$1006,0)))),"Fix")))</f>
        <v xml:space="preserve"> </v>
      </c>
      <c r="AF627">
        <v>626</v>
      </c>
      <c r="AG627">
        <v>100627</v>
      </c>
      <c r="AH627">
        <v>627</v>
      </c>
      <c r="AI627" t="b">
        <f t="shared" si="9"/>
        <v>1</v>
      </c>
      <c r="AJ627" t="b">
        <f>COUNTBLANK(metadata!B627:AB627)=COLUMNS(metadata!B627:AB627)</f>
        <v>1</v>
      </c>
      <c r="AK627" t="str">
        <v/>
      </c>
      <c r="AM627" t="b">
        <f ca="1">AND(IF(metadata!B627="",FALSE,TRUE),COUNTIF(metadata!B:B, metadata!B627) = 1,NOT(ISERROR(SUMPRODUCT(SEARCH(MID(metadata!B627,ROW(INDIRECT("1:"&amp;LEN(metadata!B627))), 1),"0123456789abcdefghijklmnopqrstuvwxyzABCDEFGHIJKLMNOPQRSTUVWXYZ.")))))</f>
        <v>0</v>
      </c>
      <c r="AN627" t="b">
        <f ca="1">OR(AND(IF(metadata!C627="",FALSE,TRUE),OR(EXACT(metadata!C627,"missing: not collected"),EXACT(metadata!C627,"missing: not provided"),EXACT(metadata!C627,"missing: restricted access"))),AND(IF(metadata!C627="",FALSE,TRUE),AND(AND(IFERROR(INT(LEFT(metadata!C627,4))&gt;1900,FALSE),IFERROR(INT(LEFT(metadata!C627,4))&lt;=YEAR(NOW()),FALSE)), OR(MID(metadata!C627,5,1)="", AND(AND(MID(metadata!C627,5,1)="-",IFERROR(INT(MID(metadata!C627,6,1))&gt;=0,FALSE),IFERROR(INT(MID(metadata!C627,6,1))&lt;=1,FALSE),NOT(MID(metadata!C627,7,1)=""),IFERROR(INT(MID(metadata!C627,6,2))&gt;=1,FALSE),IFERROR(INT(MID(metadata!C627,6,2))&lt;=12,FALSE)), OR(MID(metadata!C627,8,1)="", AND(AND(MID(metadata!C627,8,1)="-",IFERROR(INT(MID(metadata!C627,9,1))&gt;=0,FALSE),IFERROR(INT(MID(metadata!C627,9,1))&lt;=3,FALSE),NOT(MID(metadata!C627,10,1)=""),IFERROR(INT(MID(metadata!C627,9,2))&gt;=1,FALSE),IFERROR(INT(MID(metadata!C627,9,2))&lt;=31,FALSE)), OR(MID(metadata!C627,11,1)="", AND(AND(MID(metadata!C627,11,1)=" ",IFERROR(INT(MID(metadata!C627,12,1))&gt;=0,FALSE),IFERROR(INT(MID(metadata!C627,12,1))&lt;=2,FALSE),NOT(MID(metadata!C627,13,1)=""),IFERROR(INT(MID(metadata!C627,12,2))&gt;=0,FALSE),IFERROR(INT(MID(metadata!C627,12,2))&lt;=23,FALSE)), OR(MID(metadata!C627,14,1)="", AND(AND(MID(metadata!C627,14,1)=":",IFERROR(INT(MID(metadata!C627,15,1))&gt;=0,FALSE),IFERROR(INT(MID(metadata!C627,15,1))&lt;=5,FALSE),NOT(MID(metadata!C627,16,1)=""),IFERROR(INT(MID(metadata!C627,15,2))&gt;=0,FALSE),IFERROR(INT(MID(metadata!C627,15,2))&lt;=59,FALSE)), OR(MID(metadata!C627,17,1)="", AND(AND(MID(metadata!C627,17,1)=":",IFERROR(INT(MID(metadata!C627,18,1))&gt;=0,FALSE),IFERROR(INT(MID(metadata!C627,18,1))&lt;=5,FALSE),NOT(MID(metadata!C627,19,1)=""),IFERROR(INT(MID(metadata!C627,18,2))&gt;=0,FALSE),IFERROR(INT(MID(metadata!C627,18,2))&lt;=59,FALSE)), LEN(metadata!C627)&lt;=19)))))))))))))</f>
        <v>0</v>
      </c>
      <c r="AO627" t="b">
        <f>AND(IF(metadata!D627="",FALSE,TRUE),EXACT(metadata!D627,"Not applicable"))</f>
        <v>0</v>
      </c>
      <c r="AP627" t="b">
        <f>IF(metadata!E627="",FALSE,TRUE)</f>
        <v>0</v>
      </c>
      <c r="AQ627" t="b">
        <f>OR(AND(IF(metadata!F627="",FALSE,TRUE),OR(EXACT(metadata!F627,"missing: not collected"),EXACT(metadata!F627,"missing: not provided"))),AND(IF(metadata!F627="",FALSE,TRUE),OR(EXACT(metadata!F627,"TRUE"),EXACT(metadata!F627,"FALSE"))))</f>
        <v>0</v>
      </c>
      <c r="AR627" t="b">
        <f>OR(AND(IF(metadata!G627="",FALSE,TRUE),OR(EXACT(metadata!G627,"missing: not collected"),EXACT(metadata!G627,"missing: not provided"),EXACT(metadata!G627,"missing: restricted access"))),AND(IF(metadata!G627="",FALSE,ISNUMBER(VALUE(metadata!G627))),metadata!G627&gt;=-413))</f>
        <v>0</v>
      </c>
      <c r="AS627" t="b">
        <f>AND(IF(metadata!H627="",FALSE,TRUE),EXACT(metadata!H627,"meters"))</f>
        <v>0</v>
      </c>
      <c r="AT627" t="b">
        <f>AND(IF(metadata!I627="",FALSE,TRUE),OR(EXACT(metadata!I627,"Host-associated"),EXACT(metadata!I627,"Free-living")))</f>
        <v>0</v>
      </c>
      <c r="AU627" t="b">
        <f>AND(IF(metadata!J627="",FALSE,TRUE),OR(EXACT(metadata!J627,"Animal"),EXACT(metadata!J627,"Fungus"),EXACT(metadata!J627,"Plant"),EXACT(metadata!J627,"Saline"),EXACT(metadata!J627,"Non-saline")))</f>
        <v>0</v>
      </c>
      <c r="AV627" t="b">
        <f>AND(IF(metadata!K627="",FALSE,TRUE),OR(EXACT(metadata!K627,"Plant secretion"),EXACT(metadata!K627,"Plant rhizosphere"),EXACT(metadata!K627,"Plant surface"),EXACT(metadata!K627,"Plant corpus"),EXACT(metadata!K627,"Fungus surface"),EXACT(metadata!K627,"Fungus corpus"),EXACT(metadata!K627,"Animal surface"),EXACT(metadata!K627,"Animal proximal gut"),EXACT(metadata!K627,"Animal corpus"),EXACT(metadata!K627,"Animal distal gut"),EXACT(metadata!K627,"Animal secretion"),EXACT(metadata!K627,"Sub-surface (non-saline)"),EXACT(metadata!K627,"Surface (non-saline)"),EXACT(metadata!K627,"Water (non-saline)"),EXACT(metadata!K627,"Soil (non-saline)"),EXACT(metadata!K627,"Aerosol (non-saline)"),EXACT(metadata!K627,"Sediment (non-saline)"),EXACT(metadata!K627,"Surface (saline)"),EXACT(metadata!K627,"Water (saline)"),EXACT(metadata!K627,"Hypersaline (saline)"),EXACT(metadata!K627,"Aerosol (saline)"),EXACT(metadata!K627,"Sediment (saline)")))</f>
        <v>0</v>
      </c>
      <c r="AW627" t="b">
        <f>IF(metadata!L627="",FALSE,TRUE)</f>
        <v>0</v>
      </c>
      <c r="AX627" t="b">
        <f>IF(metadata!M627="",FALSE,TRUE)</f>
        <v>0</v>
      </c>
      <c r="AY627" t="b">
        <f>IF(metadata!N627="",FALSE,TRUE)</f>
        <v>0</v>
      </c>
      <c r="AZ627" t="b">
        <f>OR(AND(IF(metadata!O627="",FALSE,TRUE),OR(EXACT(metadata!O627,"missing: not collected"),EXACT(metadata!O627,"missing: not provided"),EXACT(metadata!O627,"missing: restricted access"))),AND(IF(metadata!O627="",FALSE,TRUE),OR(EXACT(metadata!O627,"air"),EXACT(metadata!O627,"built environment"),EXACT(metadata!O627,"host-associated"),EXACT(metadata!O627,"human-associated"),EXACT(metadata!O627,"human-skin"),EXACT(metadata!O627,"human-oral"),EXACT(metadata!O627,"human-gut"),EXACT(metadata!O627,"human-vaginal"),EXACT(metadata!O627,"microbial mat/biofilm"),EXACT(metadata!O627,"misc environment"),EXACT(metadata!O627,"plant-associated"),EXACT(metadata!O627,"sediment"),EXACT(metadata!O627,"soil"),EXACT(metadata!O627,"wastewater/sludge"),EXACT(metadata!O627,"water"))))</f>
        <v>0</v>
      </c>
      <c r="BA627" t="b">
        <f>IF(metadata!P627="",FALSE,TRUE)</f>
        <v>0</v>
      </c>
      <c r="BB627" t="b">
        <f>IF(metadata!Q627="",FALSE,TRUE)</f>
        <v>0</v>
      </c>
      <c r="BC627" t="b">
        <f>OR(AND(IF(metadata!R627="",FALSE,TRUE),OR(EXACT(metadata!R627,"missing: not collected"),EXACT(metadata!R627,"missing: not provided"),EXACT(metadata!R627,"missing: restricted access"))),AND(IF(metadata!R627="",FALSE,ISNUMBER(VALUE(metadata!R627))),metadata!R627&gt;=-90,metadata!R627&lt;=90))</f>
        <v>0</v>
      </c>
      <c r="BD627" t="b">
        <f>AND(IF(metadata!S627="",FALSE,TRUE),EXACT(metadata!S627,"Decimal degrees"))</f>
        <v>0</v>
      </c>
      <c r="BE627" t="b">
        <f>OR(AND(IF(metadata!T627="",FALSE,TRUE),OR(EXACT(metadata!T627,"missing: not collected"),EXACT(metadata!T627,"missing: not provided"),EXACT(metadata!T627,"missing: restricted access"))),AND(IF(metadata!T627="",FALSE,ISNUMBER(VALUE(metadata!T627))),metadata!T627&gt;=-180,metadata!T627&lt;=180))</f>
        <v>0</v>
      </c>
      <c r="BF627" t="b">
        <f>AND(IF(metadata!U627="",FALSE,TRUE),EXACT(metadata!U627,"Decimal degrees"))</f>
        <v>0</v>
      </c>
      <c r="BG627" t="b">
        <f>IF(metadata!V627="",FALSE,TRUE)</f>
        <v>0</v>
      </c>
      <c r="BH627" t="b">
        <f>OR(AND(IF(metadata!W627="",FALSE,TRUE),OR(EXACT(metadata!W627,"missing: not collected"),EXACT(metadata!W627,"missing: not provided"),EXACT(metadata!W627,"missing: restricted access"))),AND(IF(metadata!W627="",FALSE,TRUE),OR(EXACT(metadata!W627,"TRUE"),EXACT(metadata!W627,"FALSE"))))</f>
        <v>0</v>
      </c>
      <c r="BI627" t="b">
        <f>AND(IF(metadata!X627="",FALSE,TRUE),EXACT(metadata!X627,"other"))</f>
        <v>0</v>
      </c>
      <c r="BJ627" t="b">
        <f>IF(metadata!Y627="",FALSE,TRUE)</f>
        <v>0</v>
      </c>
      <c r="BK627" t="b">
        <f>OR(AND(IF(metadata!Z627="",FALSE,TRUE),OR(EXACT(metadata!Z627,"missing: not collected"),EXACT(metadata!Z627,"missing: not provided"))),AND(IF(metadata!Z627="",FALSE,IF(ISERROR(INT(metadata!Z627)),FALSE,INT(metadata!Z627)=metadata!Z627)),metadata!Z627&gt;0))</f>
        <v>0</v>
      </c>
      <c r="BL627" t="b">
        <f>AND(IF(metadata!AA627="",FALSE,TRUE),EXACT(metadata!AA627,"Not applicable"))</f>
        <v>0</v>
      </c>
      <c r="BM627" t="b">
        <f>IF(metadata!AB627="",FALSE,TRUE)</f>
        <v>0</v>
      </c>
    </row>
    <row r="628" spans="1:65" x14ac:dyDescent="0.2">
      <c r="A628" s="5" t="str">
        <f ca="1">IF(B628=" "," ",HYPERLINK(CONCATENATE("#metadata!",ADDRESS(INDEX($AH$2:$AH$1001,MATCH(ROWS($AF$2:AF628),$AF$2:$AF$1001,0),0),1)),INDEX($AK$2:$AK$1001,MATCH(ROWS($AF$2:AF628),$AF$2:$AF$1001,0),0)))</f>
        <v xml:space="preserve"> </v>
      </c>
      <c r="B628" s="4" t="str">
        <f ca="1">IF(OR(INDEX($AG$2:$AG$1001,MATCH(ROWS($AF$2:AF628),$AF$2:$AF$1001,0),1)&gt;=100000,INDEX($AM$1005:$BM$1005,1,MATCH(COLUMNS($AM$1006:AM1006),$AM$1006:$BM$1006,0))&gt;=100000), " ",IF(INDEX($AM$2:$BM$1001,MATCH(ROWS($AF$2:AF628),$AF$2:$AF$1001,0),MATCH(COLUMNS($AM$1006:AM1006),$AM$1006:$BM$1006,0)), HYPERLINK("#",""), HYPERLINK(CONCATENATE("#metadata!", ADDRESS(INDEX($AH$2:$AH$1001,MATCH(ROWS($AF$2:AF628),$AF$2:$AF$1001,0),0), INDEX($AM$1004:$BM$1004,1,MATCH(COLUMNS($AM$1006:AM1006),$AM$1006:$BM$1006,0)))),"Fix")))</f>
        <v xml:space="preserve"> </v>
      </c>
      <c r="C628" s="4" t="str">
        <f ca="1">IF(OR(INDEX($AG$2:$AG$1001,MATCH(ROWS($AF$2:AF628),$AF$2:$AF$1001,0),1)&gt;=100000,INDEX($AM$1005:$BM$1005,1,MATCH(COLUMNS($AM$1006:AN1006),$AM$1006:$BM$1006,0))&gt;=100000), " ",IF(INDEX($AM$2:$BM$1001,MATCH(ROWS($AF$2:AF628),$AF$2:$AF$1001,0),MATCH(COLUMNS($AM$1006:AN1006),$AM$1006:$BM$1006,0)), HYPERLINK("#",""), HYPERLINK(CONCATENATE("#metadata!", ADDRESS(INDEX($AH$2:$AH$1001,MATCH(ROWS($AF$2:AF628),$AF$2:$AF$1001,0),0), INDEX($AM$1004:$BM$1004,1,MATCH(COLUMNS($AM$1006:AN1006),$AM$1006:$BM$1006,0)))),"Fix")))</f>
        <v xml:space="preserve"> </v>
      </c>
      <c r="D628" s="4" t="str">
        <f ca="1">IF(OR(INDEX($AG$2:$AG$1001,MATCH(ROWS($AF$2:AF628),$AF$2:$AF$1001,0),1)&gt;=100000,INDEX($AM$1005:$BM$1005,1,MATCH(COLUMNS($AM$1006:AO1006),$AM$1006:$BM$1006,0))&gt;=100000), " ",IF(INDEX($AM$2:$BM$1001,MATCH(ROWS($AF$2:AF628),$AF$2:$AF$1001,0),MATCH(COLUMNS($AM$1006:AO1006),$AM$1006:$BM$1006,0)), HYPERLINK("#",""), HYPERLINK(CONCATENATE("#metadata!", ADDRESS(INDEX($AH$2:$AH$1001,MATCH(ROWS($AF$2:AF628),$AF$2:$AF$1001,0),0), INDEX($AM$1004:$BM$1004,1,MATCH(COLUMNS($AM$1006:AO1006),$AM$1006:$BM$1006,0)))),"Fix")))</f>
        <v xml:space="preserve"> </v>
      </c>
      <c r="E628" s="4" t="str">
        <f ca="1">IF(OR(INDEX($AG$2:$AG$1001,MATCH(ROWS($AF$2:AF628),$AF$2:$AF$1001,0),1)&gt;=100000,INDEX($AM$1005:$BM$1005,1,MATCH(COLUMNS($AM$1006:AP1006),$AM$1006:$BM$1006,0))&gt;=100000), " ",IF(INDEX($AM$2:$BM$1001,MATCH(ROWS($AF$2:AF628),$AF$2:$AF$1001,0),MATCH(COLUMNS($AM$1006:AP1006),$AM$1006:$BM$1006,0)), HYPERLINK("#",""), HYPERLINK(CONCATENATE("#metadata!", ADDRESS(INDEX($AH$2:$AH$1001,MATCH(ROWS($AF$2:AF628),$AF$2:$AF$1001,0),0), INDEX($AM$1004:$BM$1004,1,MATCH(COLUMNS($AM$1006:AP1006),$AM$1006:$BM$1006,0)))),"Fix")))</f>
        <v xml:space="preserve"> </v>
      </c>
      <c r="F628" s="4" t="str">
        <f ca="1">IF(OR(INDEX($AG$2:$AG$1001,MATCH(ROWS($AF$2:AF628),$AF$2:$AF$1001,0),1)&gt;=100000,INDEX($AM$1005:$BM$1005,1,MATCH(COLUMNS($AM$1006:AQ1006),$AM$1006:$BM$1006,0))&gt;=100000), " ",IF(INDEX($AM$2:$BM$1001,MATCH(ROWS($AF$2:AF628),$AF$2:$AF$1001,0),MATCH(COLUMNS($AM$1006:AQ1006),$AM$1006:$BM$1006,0)), HYPERLINK("#",""), HYPERLINK(CONCATENATE("#metadata!", ADDRESS(INDEX($AH$2:$AH$1001,MATCH(ROWS($AF$2:AF628),$AF$2:$AF$1001,0),0), INDEX($AM$1004:$BM$1004,1,MATCH(COLUMNS($AM$1006:AQ1006),$AM$1006:$BM$1006,0)))),"Fix")))</f>
        <v xml:space="preserve"> </v>
      </c>
      <c r="G628" s="4" t="str">
        <f ca="1">IF(OR(INDEX($AG$2:$AG$1001,MATCH(ROWS($AF$2:AF628),$AF$2:$AF$1001,0),1)&gt;=100000,INDEX($AM$1005:$BM$1005,1,MATCH(COLUMNS($AM$1006:AR1006),$AM$1006:$BM$1006,0))&gt;=100000), " ",IF(INDEX($AM$2:$BM$1001,MATCH(ROWS($AF$2:AF628),$AF$2:$AF$1001,0),MATCH(COLUMNS($AM$1006:AR1006),$AM$1006:$BM$1006,0)), HYPERLINK("#",""), HYPERLINK(CONCATENATE("#metadata!", ADDRESS(INDEX($AH$2:$AH$1001,MATCH(ROWS($AF$2:AF628),$AF$2:$AF$1001,0),0), INDEX($AM$1004:$BM$1004,1,MATCH(COLUMNS($AM$1006:AR1006),$AM$1006:$BM$1006,0)))),"Fix")))</f>
        <v xml:space="preserve"> </v>
      </c>
      <c r="H628" s="4" t="str">
        <f ca="1">IF(OR(INDEX($AG$2:$AG$1001,MATCH(ROWS($AF$2:AF628),$AF$2:$AF$1001,0),1)&gt;=100000,INDEX($AM$1005:$BM$1005,1,MATCH(COLUMNS($AM$1006:AS1006),$AM$1006:$BM$1006,0))&gt;=100000), " ",IF(INDEX($AM$2:$BM$1001,MATCH(ROWS($AF$2:AF628),$AF$2:$AF$1001,0),MATCH(COLUMNS($AM$1006:AS1006),$AM$1006:$BM$1006,0)), HYPERLINK("#",""), HYPERLINK(CONCATENATE("#metadata!", ADDRESS(INDEX($AH$2:$AH$1001,MATCH(ROWS($AF$2:AF628),$AF$2:$AF$1001,0),0), INDEX($AM$1004:$BM$1004,1,MATCH(COLUMNS($AM$1006:AS1006),$AM$1006:$BM$1006,0)))),"Fix")))</f>
        <v xml:space="preserve"> </v>
      </c>
      <c r="I628" s="4" t="str">
        <f ca="1">IF(OR(INDEX($AG$2:$AG$1001,MATCH(ROWS($AF$2:AF628),$AF$2:$AF$1001,0),1)&gt;=100000,INDEX($AM$1005:$BM$1005,1,MATCH(COLUMNS($AM$1006:AT1006),$AM$1006:$BM$1006,0))&gt;=100000), " ",IF(INDEX($AM$2:$BM$1001,MATCH(ROWS($AF$2:AF628),$AF$2:$AF$1001,0),MATCH(COLUMNS($AM$1006:AT1006),$AM$1006:$BM$1006,0)), HYPERLINK("#",""), HYPERLINK(CONCATENATE("#metadata!", ADDRESS(INDEX($AH$2:$AH$1001,MATCH(ROWS($AF$2:AF628),$AF$2:$AF$1001,0),0), INDEX($AM$1004:$BM$1004,1,MATCH(COLUMNS($AM$1006:AT1006),$AM$1006:$BM$1006,0)))),"Fix")))</f>
        <v xml:space="preserve"> </v>
      </c>
      <c r="J628" s="4" t="str">
        <f ca="1">IF(OR(INDEX($AG$2:$AG$1001,MATCH(ROWS($AF$2:AF628),$AF$2:$AF$1001,0),1)&gt;=100000,INDEX($AM$1005:$BM$1005,1,MATCH(COLUMNS($AM$1006:AU1006),$AM$1006:$BM$1006,0))&gt;=100000), " ",IF(INDEX($AM$2:$BM$1001,MATCH(ROWS($AF$2:AF628),$AF$2:$AF$1001,0),MATCH(COLUMNS($AM$1006:AU1006),$AM$1006:$BM$1006,0)), HYPERLINK("#",""), HYPERLINK(CONCATENATE("#metadata!", ADDRESS(INDEX($AH$2:$AH$1001,MATCH(ROWS($AF$2:AF628),$AF$2:$AF$1001,0),0), INDEX($AM$1004:$BM$1004,1,MATCH(COLUMNS($AM$1006:AU1006),$AM$1006:$BM$1006,0)))),"Fix")))</f>
        <v xml:space="preserve"> </v>
      </c>
      <c r="K628" s="4" t="str">
        <f ca="1">IF(OR(INDEX($AG$2:$AG$1001,MATCH(ROWS($AF$2:AF628),$AF$2:$AF$1001,0),1)&gt;=100000,INDEX($AM$1005:$BM$1005,1,MATCH(COLUMNS($AM$1006:AV1006),$AM$1006:$BM$1006,0))&gt;=100000), " ",IF(INDEX($AM$2:$BM$1001,MATCH(ROWS($AF$2:AF628),$AF$2:$AF$1001,0),MATCH(COLUMNS($AM$1006:AV1006),$AM$1006:$BM$1006,0)), HYPERLINK("#",""), HYPERLINK(CONCATENATE("#metadata!", ADDRESS(INDEX($AH$2:$AH$1001,MATCH(ROWS($AF$2:AF628),$AF$2:$AF$1001,0),0), INDEX($AM$1004:$BM$1004,1,MATCH(COLUMNS($AM$1006:AV1006),$AM$1006:$BM$1006,0)))),"Fix")))</f>
        <v xml:space="preserve"> </v>
      </c>
      <c r="L628" s="4" t="str">
        <f ca="1">IF(OR(INDEX($AG$2:$AG$1001,MATCH(ROWS($AF$2:AF628),$AF$2:$AF$1001,0),1)&gt;=100000,INDEX($AM$1005:$BM$1005,1,MATCH(COLUMNS($AM$1006:AW1006),$AM$1006:$BM$1006,0))&gt;=100000), " ",IF(INDEX($AM$2:$BM$1001,MATCH(ROWS($AF$2:AF628),$AF$2:$AF$1001,0),MATCH(COLUMNS($AM$1006:AW1006),$AM$1006:$BM$1006,0)), HYPERLINK("#",""), HYPERLINK(CONCATENATE("#metadata!", ADDRESS(INDEX($AH$2:$AH$1001,MATCH(ROWS($AF$2:AF628),$AF$2:$AF$1001,0),0), INDEX($AM$1004:$BM$1004,1,MATCH(COLUMNS($AM$1006:AW1006),$AM$1006:$BM$1006,0)))),"Fix")))</f>
        <v xml:space="preserve"> </v>
      </c>
      <c r="M628" s="4" t="str">
        <f ca="1">IF(OR(INDEX($AG$2:$AG$1001,MATCH(ROWS($AF$2:AF628),$AF$2:$AF$1001,0),1)&gt;=100000,INDEX($AM$1005:$BM$1005,1,MATCH(COLUMNS($AM$1006:AX1006),$AM$1006:$BM$1006,0))&gt;=100000), " ",IF(INDEX($AM$2:$BM$1001,MATCH(ROWS($AF$2:AF628),$AF$2:$AF$1001,0),MATCH(COLUMNS($AM$1006:AX1006),$AM$1006:$BM$1006,0)), HYPERLINK("#",""), HYPERLINK(CONCATENATE("#metadata!", ADDRESS(INDEX($AH$2:$AH$1001,MATCH(ROWS($AF$2:AF628),$AF$2:$AF$1001,0),0), INDEX($AM$1004:$BM$1004,1,MATCH(COLUMNS($AM$1006:AX1006),$AM$1006:$BM$1006,0)))),"Fix")))</f>
        <v xml:space="preserve"> </v>
      </c>
      <c r="N628" s="4" t="str">
        <f ca="1">IF(OR(INDEX($AG$2:$AG$1001,MATCH(ROWS($AF$2:AF628),$AF$2:$AF$1001,0),1)&gt;=100000,INDEX($AM$1005:$BM$1005,1,MATCH(COLUMNS($AM$1006:AY1006),$AM$1006:$BM$1006,0))&gt;=100000), " ",IF(INDEX($AM$2:$BM$1001,MATCH(ROWS($AF$2:AF628),$AF$2:$AF$1001,0),MATCH(COLUMNS($AM$1006:AY1006),$AM$1006:$BM$1006,0)), HYPERLINK("#",""), HYPERLINK(CONCATENATE("#metadata!", ADDRESS(INDEX($AH$2:$AH$1001,MATCH(ROWS($AF$2:AF628),$AF$2:$AF$1001,0),0), INDEX($AM$1004:$BM$1004,1,MATCH(COLUMNS($AM$1006:AY1006),$AM$1006:$BM$1006,0)))),"Fix")))</f>
        <v xml:space="preserve"> </v>
      </c>
      <c r="O628" s="4" t="str">
        <f ca="1">IF(OR(INDEX($AG$2:$AG$1001,MATCH(ROWS($AF$2:AF628),$AF$2:$AF$1001,0),1)&gt;=100000,INDEX($AM$1005:$BM$1005,1,MATCH(COLUMNS($AM$1006:AZ1006),$AM$1006:$BM$1006,0))&gt;=100000), " ",IF(INDEX($AM$2:$BM$1001,MATCH(ROWS($AF$2:AF628),$AF$2:$AF$1001,0),MATCH(COLUMNS($AM$1006:AZ1006),$AM$1006:$BM$1006,0)), HYPERLINK("#",""), HYPERLINK(CONCATENATE("#metadata!", ADDRESS(INDEX($AH$2:$AH$1001,MATCH(ROWS($AF$2:AF628),$AF$2:$AF$1001,0),0), INDEX($AM$1004:$BM$1004,1,MATCH(COLUMNS($AM$1006:AZ1006),$AM$1006:$BM$1006,0)))),"Fix")))</f>
        <v xml:space="preserve"> </v>
      </c>
      <c r="P628" s="4" t="str">
        <f ca="1">IF(OR(INDEX($AG$2:$AG$1001,MATCH(ROWS($AF$2:AF628),$AF$2:$AF$1001,0),1)&gt;=100000,INDEX($AM$1005:$BM$1005,1,MATCH(COLUMNS($AM$1006:BA1006),$AM$1006:$BM$1006,0))&gt;=100000), " ",IF(INDEX($AM$2:$BM$1001,MATCH(ROWS($AF$2:AF628),$AF$2:$AF$1001,0),MATCH(COLUMNS($AM$1006:BA1006),$AM$1006:$BM$1006,0)), HYPERLINK("#",""), HYPERLINK(CONCATENATE("#metadata!", ADDRESS(INDEX($AH$2:$AH$1001,MATCH(ROWS($AF$2:AF628),$AF$2:$AF$1001,0),0), INDEX($AM$1004:$BM$1004,1,MATCH(COLUMNS($AM$1006:BA1006),$AM$1006:$BM$1006,0)))),"Fix")))</f>
        <v xml:space="preserve"> </v>
      </c>
      <c r="Q628" s="4" t="str">
        <f ca="1">IF(OR(INDEX($AG$2:$AG$1001,MATCH(ROWS($AF$2:AF628),$AF$2:$AF$1001,0),1)&gt;=100000,INDEX($AM$1005:$BM$1005,1,MATCH(COLUMNS($AM$1006:BB1006),$AM$1006:$BM$1006,0))&gt;=100000), " ",IF(INDEX($AM$2:$BM$1001,MATCH(ROWS($AF$2:AF628),$AF$2:$AF$1001,0),MATCH(COLUMNS($AM$1006:BB1006),$AM$1006:$BM$1006,0)), HYPERLINK("#",""), HYPERLINK(CONCATENATE("#metadata!", ADDRESS(INDEX($AH$2:$AH$1001,MATCH(ROWS($AF$2:AF628),$AF$2:$AF$1001,0),0), INDEX($AM$1004:$BM$1004,1,MATCH(COLUMNS($AM$1006:BB1006),$AM$1006:$BM$1006,0)))),"Fix")))</f>
        <v xml:space="preserve"> </v>
      </c>
      <c r="R628" s="4" t="str">
        <f ca="1">IF(OR(INDEX($AG$2:$AG$1001,MATCH(ROWS($AF$2:AF628),$AF$2:$AF$1001,0),1)&gt;=100000,INDEX($AM$1005:$BM$1005,1,MATCH(COLUMNS($AM$1006:BC1006),$AM$1006:$BM$1006,0))&gt;=100000), " ",IF(INDEX($AM$2:$BM$1001,MATCH(ROWS($AF$2:AF628),$AF$2:$AF$1001,0),MATCH(COLUMNS($AM$1006:BC1006),$AM$1006:$BM$1006,0)), HYPERLINK("#",""), HYPERLINK(CONCATENATE("#metadata!", ADDRESS(INDEX($AH$2:$AH$1001,MATCH(ROWS($AF$2:AF628),$AF$2:$AF$1001,0),0), INDEX($AM$1004:$BM$1004,1,MATCH(COLUMNS($AM$1006:BC1006),$AM$1006:$BM$1006,0)))),"Fix")))</f>
        <v xml:space="preserve"> </v>
      </c>
      <c r="S628" s="4" t="str">
        <f ca="1">IF(OR(INDEX($AG$2:$AG$1001,MATCH(ROWS($AF$2:AF628),$AF$2:$AF$1001,0),1)&gt;=100000,INDEX($AM$1005:$BM$1005,1,MATCH(COLUMNS($AM$1006:BD1006),$AM$1006:$BM$1006,0))&gt;=100000), " ",IF(INDEX($AM$2:$BM$1001,MATCH(ROWS($AF$2:AF628),$AF$2:$AF$1001,0),MATCH(COLUMNS($AM$1006:BD1006),$AM$1006:$BM$1006,0)), HYPERLINK("#",""), HYPERLINK(CONCATENATE("#metadata!", ADDRESS(INDEX($AH$2:$AH$1001,MATCH(ROWS($AF$2:AF628),$AF$2:$AF$1001,0),0), INDEX($AM$1004:$BM$1004,1,MATCH(COLUMNS($AM$1006:BD1006),$AM$1006:$BM$1006,0)))),"Fix")))</f>
        <v xml:space="preserve"> </v>
      </c>
      <c r="T628" s="4" t="str">
        <f ca="1">IF(OR(INDEX($AG$2:$AG$1001,MATCH(ROWS($AF$2:AF628),$AF$2:$AF$1001,0),1)&gt;=100000,INDEX($AM$1005:$BM$1005,1,MATCH(COLUMNS($AM$1006:BE1006),$AM$1006:$BM$1006,0))&gt;=100000), " ",IF(INDEX($AM$2:$BM$1001,MATCH(ROWS($AF$2:AF628),$AF$2:$AF$1001,0),MATCH(COLUMNS($AM$1006:BE1006),$AM$1006:$BM$1006,0)), HYPERLINK("#",""), HYPERLINK(CONCATENATE("#metadata!", ADDRESS(INDEX($AH$2:$AH$1001,MATCH(ROWS($AF$2:AF628),$AF$2:$AF$1001,0),0), INDEX($AM$1004:$BM$1004,1,MATCH(COLUMNS($AM$1006:BE1006),$AM$1006:$BM$1006,0)))),"Fix")))</f>
        <v xml:space="preserve"> </v>
      </c>
      <c r="U628" s="4" t="str">
        <f ca="1">IF(OR(INDEX($AG$2:$AG$1001,MATCH(ROWS($AF$2:AF628),$AF$2:$AF$1001,0),1)&gt;=100000,INDEX($AM$1005:$BM$1005,1,MATCH(COLUMNS($AM$1006:BF1006),$AM$1006:$BM$1006,0))&gt;=100000), " ",IF(INDEX($AM$2:$BM$1001,MATCH(ROWS($AF$2:AF628),$AF$2:$AF$1001,0),MATCH(COLUMNS($AM$1006:BF1006),$AM$1006:$BM$1006,0)), HYPERLINK("#",""), HYPERLINK(CONCATENATE("#metadata!", ADDRESS(INDEX($AH$2:$AH$1001,MATCH(ROWS($AF$2:AF628),$AF$2:$AF$1001,0),0), INDEX($AM$1004:$BM$1004,1,MATCH(COLUMNS($AM$1006:BF1006),$AM$1006:$BM$1006,0)))),"Fix")))</f>
        <v xml:space="preserve"> </v>
      </c>
      <c r="V628" s="4" t="str">
        <f ca="1">IF(OR(INDEX($AG$2:$AG$1001,MATCH(ROWS($AF$2:AF628),$AF$2:$AF$1001,0),1)&gt;=100000,INDEX($AM$1005:$BM$1005,1,MATCH(COLUMNS($AM$1006:BG1006),$AM$1006:$BM$1006,0))&gt;=100000), " ",IF(INDEX($AM$2:$BM$1001,MATCH(ROWS($AF$2:AF628),$AF$2:$AF$1001,0),MATCH(COLUMNS($AM$1006:BG1006),$AM$1006:$BM$1006,0)), HYPERLINK("#",""), HYPERLINK(CONCATENATE("#metadata!", ADDRESS(INDEX($AH$2:$AH$1001,MATCH(ROWS($AF$2:AF628),$AF$2:$AF$1001,0),0), INDEX($AM$1004:$BM$1004,1,MATCH(COLUMNS($AM$1006:BG1006),$AM$1006:$BM$1006,0)))),"Fix")))</f>
        <v xml:space="preserve"> </v>
      </c>
      <c r="W628" s="4" t="str">
        <f ca="1">IF(OR(INDEX($AG$2:$AG$1001,MATCH(ROWS($AF$2:AF628),$AF$2:$AF$1001,0),1)&gt;=100000,INDEX($AM$1005:$BM$1005,1,MATCH(COLUMNS($AM$1006:BH1006),$AM$1006:$BM$1006,0))&gt;=100000), " ",IF(INDEX($AM$2:$BM$1001,MATCH(ROWS($AF$2:AF628),$AF$2:$AF$1001,0),MATCH(COLUMNS($AM$1006:BH1006),$AM$1006:$BM$1006,0)), HYPERLINK("#",""), HYPERLINK(CONCATENATE("#metadata!", ADDRESS(INDEX($AH$2:$AH$1001,MATCH(ROWS($AF$2:AF628),$AF$2:$AF$1001,0),0), INDEX($AM$1004:$BM$1004,1,MATCH(COLUMNS($AM$1006:BH1006),$AM$1006:$BM$1006,0)))),"Fix")))</f>
        <v xml:space="preserve"> </v>
      </c>
      <c r="X628" s="4" t="str">
        <f ca="1">IF(OR(INDEX($AG$2:$AG$1001,MATCH(ROWS($AF$2:AF628),$AF$2:$AF$1001,0),1)&gt;=100000,INDEX($AM$1005:$BM$1005,1,MATCH(COLUMNS($AM$1006:BI1006),$AM$1006:$BM$1006,0))&gt;=100000), " ",IF(INDEX($AM$2:$BM$1001,MATCH(ROWS($AF$2:AF628),$AF$2:$AF$1001,0),MATCH(COLUMNS($AM$1006:BI1006),$AM$1006:$BM$1006,0)), HYPERLINK("#",""), HYPERLINK(CONCATENATE("#metadata!", ADDRESS(INDEX($AH$2:$AH$1001,MATCH(ROWS($AF$2:AF628),$AF$2:$AF$1001,0),0), INDEX($AM$1004:$BM$1004,1,MATCH(COLUMNS($AM$1006:BI1006),$AM$1006:$BM$1006,0)))),"Fix")))</f>
        <v xml:space="preserve"> </v>
      </c>
      <c r="Y628" s="4" t="str">
        <f ca="1">IF(OR(INDEX($AG$2:$AG$1001,MATCH(ROWS($AF$2:AF628),$AF$2:$AF$1001,0),1)&gt;=100000,INDEX($AM$1005:$BM$1005,1,MATCH(COLUMNS($AM$1006:BJ1006),$AM$1006:$BM$1006,0))&gt;=100000), " ",IF(INDEX($AM$2:$BM$1001,MATCH(ROWS($AF$2:AF628),$AF$2:$AF$1001,0),MATCH(COLUMNS($AM$1006:BJ1006),$AM$1006:$BM$1006,0)), HYPERLINK("#",""), HYPERLINK(CONCATENATE("#metadata!", ADDRESS(INDEX($AH$2:$AH$1001,MATCH(ROWS($AF$2:AF628),$AF$2:$AF$1001,0),0), INDEX($AM$1004:$BM$1004,1,MATCH(COLUMNS($AM$1006:BJ1006),$AM$1006:$BM$1006,0)))),"Fix")))</f>
        <v xml:space="preserve"> </v>
      </c>
      <c r="Z628" s="4" t="str">
        <f ca="1">IF(OR(INDEX($AG$2:$AG$1001,MATCH(ROWS($AF$2:AF628),$AF$2:$AF$1001,0),1)&gt;=100000,INDEX($AM$1005:$BM$1005,1,MATCH(COLUMNS($AM$1006:BK1006),$AM$1006:$BM$1006,0))&gt;=100000), " ",IF(INDEX($AM$2:$BM$1001,MATCH(ROWS($AF$2:AF628),$AF$2:$AF$1001,0),MATCH(COLUMNS($AM$1006:BK1006),$AM$1006:$BM$1006,0)), HYPERLINK("#",""), HYPERLINK(CONCATENATE("#metadata!", ADDRESS(INDEX($AH$2:$AH$1001,MATCH(ROWS($AF$2:AF628),$AF$2:$AF$1001,0),0), INDEX($AM$1004:$BM$1004,1,MATCH(COLUMNS($AM$1006:BK1006),$AM$1006:$BM$1006,0)))),"Fix")))</f>
        <v xml:space="preserve"> </v>
      </c>
      <c r="AA628" s="4" t="str">
        <f ca="1">IF(OR(INDEX($AG$2:$AG$1001,MATCH(ROWS($AF$2:AF628),$AF$2:$AF$1001,0),1)&gt;=100000,INDEX($AM$1005:$BM$1005,1,MATCH(COLUMNS($AM$1006:BL1006),$AM$1006:$BM$1006,0))&gt;=100000), " ",IF(INDEX($AM$2:$BM$1001,MATCH(ROWS($AF$2:AF628),$AF$2:$AF$1001,0),MATCH(COLUMNS($AM$1006:BL1006),$AM$1006:$BM$1006,0)), HYPERLINK("#",""), HYPERLINK(CONCATENATE("#metadata!", ADDRESS(INDEX($AH$2:$AH$1001,MATCH(ROWS($AF$2:AF628),$AF$2:$AF$1001,0),0), INDEX($AM$1004:$BM$1004,1,MATCH(COLUMNS($AM$1006:BL1006),$AM$1006:$BM$1006,0)))),"Fix")))</f>
        <v xml:space="preserve"> </v>
      </c>
      <c r="AB628" s="4" t="str">
        <f ca="1">IF(OR(INDEX($AG$2:$AG$1001,MATCH(ROWS($AF$2:AF628),$AF$2:$AF$1001,0),1)&gt;=100000,INDEX($AM$1005:$BM$1005,1,MATCH(COLUMNS($AM$1006:BM1006),$AM$1006:$BM$1006,0))&gt;=100000), " ",IF(INDEX($AM$2:$BM$1001,MATCH(ROWS($AF$2:AF628),$AF$2:$AF$1001,0),MATCH(COLUMNS($AM$1006:BM1006),$AM$1006:$BM$1006,0)), HYPERLINK("#",""), HYPERLINK(CONCATENATE("#metadata!", ADDRESS(INDEX($AH$2:$AH$1001,MATCH(ROWS($AF$2:AF628),$AF$2:$AF$1001,0),0), INDEX($AM$1004:$BM$1004,1,MATCH(COLUMNS($AM$1006:BM1006),$AM$1006:$BM$1006,0)))),"Fix")))</f>
        <v xml:space="preserve"> </v>
      </c>
      <c r="AF628">
        <v>627</v>
      </c>
      <c r="AG628">
        <v>100628</v>
      </c>
      <c r="AH628">
        <v>628</v>
      </c>
      <c r="AI628" t="b">
        <f t="shared" si="9"/>
        <v>1</v>
      </c>
      <c r="AJ628" t="b">
        <f>COUNTBLANK(metadata!B628:AB628)=COLUMNS(metadata!B628:AB628)</f>
        <v>1</v>
      </c>
      <c r="AK628" t="str">
        <v/>
      </c>
      <c r="AM628" t="b">
        <f ca="1">AND(IF(metadata!B628="",FALSE,TRUE),COUNTIF(metadata!B:B, metadata!B628) = 1,NOT(ISERROR(SUMPRODUCT(SEARCH(MID(metadata!B628,ROW(INDIRECT("1:"&amp;LEN(metadata!B628))), 1),"0123456789abcdefghijklmnopqrstuvwxyzABCDEFGHIJKLMNOPQRSTUVWXYZ.")))))</f>
        <v>0</v>
      </c>
      <c r="AN628" t="b">
        <f ca="1">OR(AND(IF(metadata!C628="",FALSE,TRUE),OR(EXACT(metadata!C628,"missing: not collected"),EXACT(metadata!C628,"missing: not provided"),EXACT(metadata!C628,"missing: restricted access"))),AND(IF(metadata!C628="",FALSE,TRUE),AND(AND(IFERROR(INT(LEFT(metadata!C628,4))&gt;1900,FALSE),IFERROR(INT(LEFT(metadata!C628,4))&lt;=YEAR(NOW()),FALSE)), OR(MID(metadata!C628,5,1)="", AND(AND(MID(metadata!C628,5,1)="-",IFERROR(INT(MID(metadata!C628,6,1))&gt;=0,FALSE),IFERROR(INT(MID(metadata!C628,6,1))&lt;=1,FALSE),NOT(MID(metadata!C628,7,1)=""),IFERROR(INT(MID(metadata!C628,6,2))&gt;=1,FALSE),IFERROR(INT(MID(metadata!C628,6,2))&lt;=12,FALSE)), OR(MID(metadata!C628,8,1)="", AND(AND(MID(metadata!C628,8,1)="-",IFERROR(INT(MID(metadata!C628,9,1))&gt;=0,FALSE),IFERROR(INT(MID(metadata!C628,9,1))&lt;=3,FALSE),NOT(MID(metadata!C628,10,1)=""),IFERROR(INT(MID(metadata!C628,9,2))&gt;=1,FALSE),IFERROR(INT(MID(metadata!C628,9,2))&lt;=31,FALSE)), OR(MID(metadata!C628,11,1)="", AND(AND(MID(metadata!C628,11,1)=" ",IFERROR(INT(MID(metadata!C628,12,1))&gt;=0,FALSE),IFERROR(INT(MID(metadata!C628,12,1))&lt;=2,FALSE),NOT(MID(metadata!C628,13,1)=""),IFERROR(INT(MID(metadata!C628,12,2))&gt;=0,FALSE),IFERROR(INT(MID(metadata!C628,12,2))&lt;=23,FALSE)), OR(MID(metadata!C628,14,1)="", AND(AND(MID(metadata!C628,14,1)=":",IFERROR(INT(MID(metadata!C628,15,1))&gt;=0,FALSE),IFERROR(INT(MID(metadata!C628,15,1))&lt;=5,FALSE),NOT(MID(metadata!C628,16,1)=""),IFERROR(INT(MID(metadata!C628,15,2))&gt;=0,FALSE),IFERROR(INT(MID(metadata!C628,15,2))&lt;=59,FALSE)), OR(MID(metadata!C628,17,1)="", AND(AND(MID(metadata!C628,17,1)=":",IFERROR(INT(MID(metadata!C628,18,1))&gt;=0,FALSE),IFERROR(INT(MID(metadata!C628,18,1))&lt;=5,FALSE),NOT(MID(metadata!C628,19,1)=""),IFERROR(INT(MID(metadata!C628,18,2))&gt;=0,FALSE),IFERROR(INT(MID(metadata!C628,18,2))&lt;=59,FALSE)), LEN(metadata!C628)&lt;=19)))))))))))))</f>
        <v>0</v>
      </c>
      <c r="AO628" t="b">
        <f>AND(IF(metadata!D628="",FALSE,TRUE),EXACT(metadata!D628,"Not applicable"))</f>
        <v>0</v>
      </c>
      <c r="AP628" t="b">
        <f>IF(metadata!E628="",FALSE,TRUE)</f>
        <v>0</v>
      </c>
      <c r="AQ628" t="b">
        <f>OR(AND(IF(metadata!F628="",FALSE,TRUE),OR(EXACT(metadata!F628,"missing: not collected"),EXACT(metadata!F628,"missing: not provided"))),AND(IF(metadata!F628="",FALSE,TRUE),OR(EXACT(metadata!F628,"TRUE"),EXACT(metadata!F628,"FALSE"))))</f>
        <v>0</v>
      </c>
      <c r="AR628" t="b">
        <f>OR(AND(IF(metadata!G628="",FALSE,TRUE),OR(EXACT(metadata!G628,"missing: not collected"),EXACT(metadata!G628,"missing: not provided"),EXACT(metadata!G628,"missing: restricted access"))),AND(IF(metadata!G628="",FALSE,ISNUMBER(VALUE(metadata!G628))),metadata!G628&gt;=-413))</f>
        <v>0</v>
      </c>
      <c r="AS628" t="b">
        <f>AND(IF(metadata!H628="",FALSE,TRUE),EXACT(metadata!H628,"meters"))</f>
        <v>0</v>
      </c>
      <c r="AT628" t="b">
        <f>AND(IF(metadata!I628="",FALSE,TRUE),OR(EXACT(metadata!I628,"Host-associated"),EXACT(metadata!I628,"Free-living")))</f>
        <v>0</v>
      </c>
      <c r="AU628" t="b">
        <f>AND(IF(metadata!J628="",FALSE,TRUE),OR(EXACT(metadata!J628,"Animal"),EXACT(metadata!J628,"Fungus"),EXACT(metadata!J628,"Plant"),EXACT(metadata!J628,"Saline"),EXACT(metadata!J628,"Non-saline")))</f>
        <v>0</v>
      </c>
      <c r="AV628" t="b">
        <f>AND(IF(metadata!K628="",FALSE,TRUE),OR(EXACT(metadata!K628,"Plant secretion"),EXACT(metadata!K628,"Plant rhizosphere"),EXACT(metadata!K628,"Plant surface"),EXACT(metadata!K628,"Plant corpus"),EXACT(metadata!K628,"Fungus surface"),EXACT(metadata!K628,"Fungus corpus"),EXACT(metadata!K628,"Animal surface"),EXACT(metadata!K628,"Animal proximal gut"),EXACT(metadata!K628,"Animal corpus"),EXACT(metadata!K628,"Animal distal gut"),EXACT(metadata!K628,"Animal secretion"),EXACT(metadata!K628,"Sub-surface (non-saline)"),EXACT(metadata!K628,"Surface (non-saline)"),EXACT(metadata!K628,"Water (non-saline)"),EXACT(metadata!K628,"Soil (non-saline)"),EXACT(metadata!K628,"Aerosol (non-saline)"),EXACT(metadata!K628,"Sediment (non-saline)"),EXACT(metadata!K628,"Surface (saline)"),EXACT(metadata!K628,"Water (saline)"),EXACT(metadata!K628,"Hypersaline (saline)"),EXACT(metadata!K628,"Aerosol (saline)"),EXACT(metadata!K628,"Sediment (saline)")))</f>
        <v>0</v>
      </c>
      <c r="AW628" t="b">
        <f>IF(metadata!L628="",FALSE,TRUE)</f>
        <v>0</v>
      </c>
      <c r="AX628" t="b">
        <f>IF(metadata!M628="",FALSE,TRUE)</f>
        <v>0</v>
      </c>
      <c r="AY628" t="b">
        <f>IF(metadata!N628="",FALSE,TRUE)</f>
        <v>0</v>
      </c>
      <c r="AZ628" t="b">
        <f>OR(AND(IF(metadata!O628="",FALSE,TRUE),OR(EXACT(metadata!O628,"missing: not collected"),EXACT(metadata!O628,"missing: not provided"),EXACT(metadata!O628,"missing: restricted access"))),AND(IF(metadata!O628="",FALSE,TRUE),OR(EXACT(metadata!O628,"air"),EXACT(metadata!O628,"built environment"),EXACT(metadata!O628,"host-associated"),EXACT(metadata!O628,"human-associated"),EXACT(metadata!O628,"human-skin"),EXACT(metadata!O628,"human-oral"),EXACT(metadata!O628,"human-gut"),EXACT(metadata!O628,"human-vaginal"),EXACT(metadata!O628,"microbial mat/biofilm"),EXACT(metadata!O628,"misc environment"),EXACT(metadata!O628,"plant-associated"),EXACT(metadata!O628,"sediment"),EXACT(metadata!O628,"soil"),EXACT(metadata!O628,"wastewater/sludge"),EXACT(metadata!O628,"water"))))</f>
        <v>0</v>
      </c>
      <c r="BA628" t="b">
        <f>IF(metadata!P628="",FALSE,TRUE)</f>
        <v>0</v>
      </c>
      <c r="BB628" t="b">
        <f>IF(metadata!Q628="",FALSE,TRUE)</f>
        <v>0</v>
      </c>
      <c r="BC628" t="b">
        <f>OR(AND(IF(metadata!R628="",FALSE,TRUE),OR(EXACT(metadata!R628,"missing: not collected"),EXACT(metadata!R628,"missing: not provided"),EXACT(metadata!R628,"missing: restricted access"))),AND(IF(metadata!R628="",FALSE,ISNUMBER(VALUE(metadata!R628))),metadata!R628&gt;=-90,metadata!R628&lt;=90))</f>
        <v>0</v>
      </c>
      <c r="BD628" t="b">
        <f>AND(IF(metadata!S628="",FALSE,TRUE),EXACT(metadata!S628,"Decimal degrees"))</f>
        <v>0</v>
      </c>
      <c r="BE628" t="b">
        <f>OR(AND(IF(metadata!T628="",FALSE,TRUE),OR(EXACT(metadata!T628,"missing: not collected"),EXACT(metadata!T628,"missing: not provided"),EXACT(metadata!T628,"missing: restricted access"))),AND(IF(metadata!T628="",FALSE,ISNUMBER(VALUE(metadata!T628))),metadata!T628&gt;=-180,metadata!T628&lt;=180))</f>
        <v>0</v>
      </c>
      <c r="BF628" t="b">
        <f>AND(IF(metadata!U628="",FALSE,TRUE),EXACT(metadata!U628,"Decimal degrees"))</f>
        <v>0</v>
      </c>
      <c r="BG628" t="b">
        <f>IF(metadata!V628="",FALSE,TRUE)</f>
        <v>0</v>
      </c>
      <c r="BH628" t="b">
        <f>OR(AND(IF(metadata!W628="",FALSE,TRUE),OR(EXACT(metadata!W628,"missing: not collected"),EXACT(metadata!W628,"missing: not provided"),EXACT(metadata!W628,"missing: restricted access"))),AND(IF(metadata!W628="",FALSE,TRUE),OR(EXACT(metadata!W628,"TRUE"),EXACT(metadata!W628,"FALSE"))))</f>
        <v>0</v>
      </c>
      <c r="BI628" t="b">
        <f>AND(IF(metadata!X628="",FALSE,TRUE),EXACT(metadata!X628,"other"))</f>
        <v>0</v>
      </c>
      <c r="BJ628" t="b">
        <f>IF(metadata!Y628="",FALSE,TRUE)</f>
        <v>0</v>
      </c>
      <c r="BK628" t="b">
        <f>OR(AND(IF(metadata!Z628="",FALSE,TRUE),OR(EXACT(metadata!Z628,"missing: not collected"),EXACT(metadata!Z628,"missing: not provided"))),AND(IF(metadata!Z628="",FALSE,IF(ISERROR(INT(metadata!Z628)),FALSE,INT(metadata!Z628)=metadata!Z628)),metadata!Z628&gt;0))</f>
        <v>0</v>
      </c>
      <c r="BL628" t="b">
        <f>AND(IF(metadata!AA628="",FALSE,TRUE),EXACT(metadata!AA628,"Not applicable"))</f>
        <v>0</v>
      </c>
      <c r="BM628" t="b">
        <f>IF(metadata!AB628="",FALSE,TRUE)</f>
        <v>0</v>
      </c>
    </row>
    <row r="629" spans="1:65" x14ac:dyDescent="0.2">
      <c r="A629" s="5" t="str">
        <f ca="1">IF(B629=" "," ",HYPERLINK(CONCATENATE("#metadata!",ADDRESS(INDEX($AH$2:$AH$1001,MATCH(ROWS($AF$2:AF629),$AF$2:$AF$1001,0),0),1)),INDEX($AK$2:$AK$1001,MATCH(ROWS($AF$2:AF629),$AF$2:$AF$1001,0),0)))</f>
        <v xml:space="preserve"> </v>
      </c>
      <c r="B629" s="4" t="str">
        <f ca="1">IF(OR(INDEX($AG$2:$AG$1001,MATCH(ROWS($AF$2:AF629),$AF$2:$AF$1001,0),1)&gt;=100000,INDEX($AM$1005:$BM$1005,1,MATCH(COLUMNS($AM$1006:AM1006),$AM$1006:$BM$1006,0))&gt;=100000), " ",IF(INDEX($AM$2:$BM$1001,MATCH(ROWS($AF$2:AF629),$AF$2:$AF$1001,0),MATCH(COLUMNS($AM$1006:AM1006),$AM$1006:$BM$1006,0)), HYPERLINK("#",""), HYPERLINK(CONCATENATE("#metadata!", ADDRESS(INDEX($AH$2:$AH$1001,MATCH(ROWS($AF$2:AF629),$AF$2:$AF$1001,0),0), INDEX($AM$1004:$BM$1004,1,MATCH(COLUMNS($AM$1006:AM1006),$AM$1006:$BM$1006,0)))),"Fix")))</f>
        <v xml:space="preserve"> </v>
      </c>
      <c r="C629" s="4" t="str">
        <f ca="1">IF(OR(INDEX($AG$2:$AG$1001,MATCH(ROWS($AF$2:AF629),$AF$2:$AF$1001,0),1)&gt;=100000,INDEX($AM$1005:$BM$1005,1,MATCH(COLUMNS($AM$1006:AN1006),$AM$1006:$BM$1006,0))&gt;=100000), " ",IF(INDEX($AM$2:$BM$1001,MATCH(ROWS($AF$2:AF629),$AF$2:$AF$1001,0),MATCH(COLUMNS($AM$1006:AN1006),$AM$1006:$BM$1006,0)), HYPERLINK("#",""), HYPERLINK(CONCATENATE("#metadata!", ADDRESS(INDEX($AH$2:$AH$1001,MATCH(ROWS($AF$2:AF629),$AF$2:$AF$1001,0),0), INDEX($AM$1004:$BM$1004,1,MATCH(COLUMNS($AM$1006:AN1006),$AM$1006:$BM$1006,0)))),"Fix")))</f>
        <v xml:space="preserve"> </v>
      </c>
      <c r="D629" s="4" t="str">
        <f ca="1">IF(OR(INDEX($AG$2:$AG$1001,MATCH(ROWS($AF$2:AF629),$AF$2:$AF$1001,0),1)&gt;=100000,INDEX($AM$1005:$BM$1005,1,MATCH(COLUMNS($AM$1006:AO1006),$AM$1006:$BM$1006,0))&gt;=100000), " ",IF(INDEX($AM$2:$BM$1001,MATCH(ROWS($AF$2:AF629),$AF$2:$AF$1001,0),MATCH(COLUMNS($AM$1006:AO1006),$AM$1006:$BM$1006,0)), HYPERLINK("#",""), HYPERLINK(CONCATENATE("#metadata!", ADDRESS(INDEX($AH$2:$AH$1001,MATCH(ROWS($AF$2:AF629),$AF$2:$AF$1001,0),0), INDEX($AM$1004:$BM$1004,1,MATCH(COLUMNS($AM$1006:AO1006),$AM$1006:$BM$1006,0)))),"Fix")))</f>
        <v xml:space="preserve"> </v>
      </c>
      <c r="E629" s="4" t="str">
        <f ca="1">IF(OR(INDEX($AG$2:$AG$1001,MATCH(ROWS($AF$2:AF629),$AF$2:$AF$1001,0),1)&gt;=100000,INDEX($AM$1005:$BM$1005,1,MATCH(COLUMNS($AM$1006:AP1006),$AM$1006:$BM$1006,0))&gt;=100000), " ",IF(INDEX($AM$2:$BM$1001,MATCH(ROWS($AF$2:AF629),$AF$2:$AF$1001,0),MATCH(COLUMNS($AM$1006:AP1006),$AM$1006:$BM$1006,0)), HYPERLINK("#",""), HYPERLINK(CONCATENATE("#metadata!", ADDRESS(INDEX($AH$2:$AH$1001,MATCH(ROWS($AF$2:AF629),$AF$2:$AF$1001,0),0), INDEX($AM$1004:$BM$1004,1,MATCH(COLUMNS($AM$1006:AP1006),$AM$1006:$BM$1006,0)))),"Fix")))</f>
        <v xml:space="preserve"> </v>
      </c>
      <c r="F629" s="4" t="str">
        <f ca="1">IF(OR(INDEX($AG$2:$AG$1001,MATCH(ROWS($AF$2:AF629),$AF$2:$AF$1001,0),1)&gt;=100000,INDEX($AM$1005:$BM$1005,1,MATCH(COLUMNS($AM$1006:AQ1006),$AM$1006:$BM$1006,0))&gt;=100000), " ",IF(INDEX($AM$2:$BM$1001,MATCH(ROWS($AF$2:AF629),$AF$2:$AF$1001,0),MATCH(COLUMNS($AM$1006:AQ1006),$AM$1006:$BM$1006,0)), HYPERLINK("#",""), HYPERLINK(CONCATENATE("#metadata!", ADDRESS(INDEX($AH$2:$AH$1001,MATCH(ROWS($AF$2:AF629),$AF$2:$AF$1001,0),0), INDEX($AM$1004:$BM$1004,1,MATCH(COLUMNS($AM$1006:AQ1006),$AM$1006:$BM$1006,0)))),"Fix")))</f>
        <v xml:space="preserve"> </v>
      </c>
      <c r="G629" s="4" t="str">
        <f ca="1">IF(OR(INDEX($AG$2:$AG$1001,MATCH(ROWS($AF$2:AF629),$AF$2:$AF$1001,0),1)&gt;=100000,INDEX($AM$1005:$BM$1005,1,MATCH(COLUMNS($AM$1006:AR1006),$AM$1006:$BM$1006,0))&gt;=100000), " ",IF(INDEX($AM$2:$BM$1001,MATCH(ROWS($AF$2:AF629),$AF$2:$AF$1001,0),MATCH(COLUMNS($AM$1006:AR1006),$AM$1006:$BM$1006,0)), HYPERLINK("#",""), HYPERLINK(CONCATENATE("#metadata!", ADDRESS(INDEX($AH$2:$AH$1001,MATCH(ROWS($AF$2:AF629),$AF$2:$AF$1001,0),0), INDEX($AM$1004:$BM$1004,1,MATCH(COLUMNS($AM$1006:AR1006),$AM$1006:$BM$1006,0)))),"Fix")))</f>
        <v xml:space="preserve"> </v>
      </c>
      <c r="H629" s="4" t="str">
        <f ca="1">IF(OR(INDEX($AG$2:$AG$1001,MATCH(ROWS($AF$2:AF629),$AF$2:$AF$1001,0),1)&gt;=100000,INDEX($AM$1005:$BM$1005,1,MATCH(COLUMNS($AM$1006:AS1006),$AM$1006:$BM$1006,0))&gt;=100000), " ",IF(INDEX($AM$2:$BM$1001,MATCH(ROWS($AF$2:AF629),$AF$2:$AF$1001,0),MATCH(COLUMNS($AM$1006:AS1006),$AM$1006:$BM$1006,0)), HYPERLINK("#",""), HYPERLINK(CONCATENATE("#metadata!", ADDRESS(INDEX($AH$2:$AH$1001,MATCH(ROWS($AF$2:AF629),$AF$2:$AF$1001,0),0), INDEX($AM$1004:$BM$1004,1,MATCH(COLUMNS($AM$1006:AS1006),$AM$1006:$BM$1006,0)))),"Fix")))</f>
        <v xml:space="preserve"> </v>
      </c>
      <c r="I629" s="4" t="str">
        <f ca="1">IF(OR(INDEX($AG$2:$AG$1001,MATCH(ROWS($AF$2:AF629),$AF$2:$AF$1001,0),1)&gt;=100000,INDEX($AM$1005:$BM$1005,1,MATCH(COLUMNS($AM$1006:AT1006),$AM$1006:$BM$1006,0))&gt;=100000), " ",IF(INDEX($AM$2:$BM$1001,MATCH(ROWS($AF$2:AF629),$AF$2:$AF$1001,0),MATCH(COLUMNS($AM$1006:AT1006),$AM$1006:$BM$1006,0)), HYPERLINK("#",""), HYPERLINK(CONCATENATE("#metadata!", ADDRESS(INDEX($AH$2:$AH$1001,MATCH(ROWS($AF$2:AF629),$AF$2:$AF$1001,0),0), INDEX($AM$1004:$BM$1004,1,MATCH(COLUMNS($AM$1006:AT1006),$AM$1006:$BM$1006,0)))),"Fix")))</f>
        <v xml:space="preserve"> </v>
      </c>
      <c r="J629" s="4" t="str">
        <f ca="1">IF(OR(INDEX($AG$2:$AG$1001,MATCH(ROWS($AF$2:AF629),$AF$2:$AF$1001,0),1)&gt;=100000,INDEX($AM$1005:$BM$1005,1,MATCH(COLUMNS($AM$1006:AU1006),$AM$1006:$BM$1006,0))&gt;=100000), " ",IF(INDEX($AM$2:$BM$1001,MATCH(ROWS($AF$2:AF629),$AF$2:$AF$1001,0),MATCH(COLUMNS($AM$1006:AU1006),$AM$1006:$BM$1006,0)), HYPERLINK("#",""), HYPERLINK(CONCATENATE("#metadata!", ADDRESS(INDEX($AH$2:$AH$1001,MATCH(ROWS($AF$2:AF629),$AF$2:$AF$1001,0),0), INDEX($AM$1004:$BM$1004,1,MATCH(COLUMNS($AM$1006:AU1006),$AM$1006:$BM$1006,0)))),"Fix")))</f>
        <v xml:space="preserve"> </v>
      </c>
      <c r="K629" s="4" t="str">
        <f ca="1">IF(OR(INDEX($AG$2:$AG$1001,MATCH(ROWS($AF$2:AF629),$AF$2:$AF$1001,0),1)&gt;=100000,INDEX($AM$1005:$BM$1005,1,MATCH(COLUMNS($AM$1006:AV1006),$AM$1006:$BM$1006,0))&gt;=100000), " ",IF(INDEX($AM$2:$BM$1001,MATCH(ROWS($AF$2:AF629),$AF$2:$AF$1001,0),MATCH(COLUMNS($AM$1006:AV1006),$AM$1006:$BM$1006,0)), HYPERLINK("#",""), HYPERLINK(CONCATENATE("#metadata!", ADDRESS(INDEX($AH$2:$AH$1001,MATCH(ROWS($AF$2:AF629),$AF$2:$AF$1001,0),0), INDEX($AM$1004:$BM$1004,1,MATCH(COLUMNS($AM$1006:AV1006),$AM$1006:$BM$1006,0)))),"Fix")))</f>
        <v xml:space="preserve"> </v>
      </c>
      <c r="L629" s="4" t="str">
        <f ca="1">IF(OR(INDEX($AG$2:$AG$1001,MATCH(ROWS($AF$2:AF629),$AF$2:$AF$1001,0),1)&gt;=100000,INDEX($AM$1005:$BM$1005,1,MATCH(COLUMNS($AM$1006:AW1006),$AM$1006:$BM$1006,0))&gt;=100000), " ",IF(INDEX($AM$2:$BM$1001,MATCH(ROWS($AF$2:AF629),$AF$2:$AF$1001,0),MATCH(COLUMNS($AM$1006:AW1006),$AM$1006:$BM$1006,0)), HYPERLINK("#",""), HYPERLINK(CONCATENATE("#metadata!", ADDRESS(INDEX($AH$2:$AH$1001,MATCH(ROWS($AF$2:AF629),$AF$2:$AF$1001,0),0), INDEX($AM$1004:$BM$1004,1,MATCH(COLUMNS($AM$1006:AW1006),$AM$1006:$BM$1006,0)))),"Fix")))</f>
        <v xml:space="preserve"> </v>
      </c>
      <c r="M629" s="4" t="str">
        <f ca="1">IF(OR(INDEX($AG$2:$AG$1001,MATCH(ROWS($AF$2:AF629),$AF$2:$AF$1001,0),1)&gt;=100000,INDEX($AM$1005:$BM$1005,1,MATCH(COLUMNS($AM$1006:AX1006),$AM$1006:$BM$1006,0))&gt;=100000), " ",IF(INDEX($AM$2:$BM$1001,MATCH(ROWS($AF$2:AF629),$AF$2:$AF$1001,0),MATCH(COLUMNS($AM$1006:AX1006),$AM$1006:$BM$1006,0)), HYPERLINK("#",""), HYPERLINK(CONCATENATE("#metadata!", ADDRESS(INDEX($AH$2:$AH$1001,MATCH(ROWS($AF$2:AF629),$AF$2:$AF$1001,0),0), INDEX($AM$1004:$BM$1004,1,MATCH(COLUMNS($AM$1006:AX1006),$AM$1006:$BM$1006,0)))),"Fix")))</f>
        <v xml:space="preserve"> </v>
      </c>
      <c r="N629" s="4" t="str">
        <f ca="1">IF(OR(INDEX($AG$2:$AG$1001,MATCH(ROWS($AF$2:AF629),$AF$2:$AF$1001,0),1)&gt;=100000,INDEX($AM$1005:$BM$1005,1,MATCH(COLUMNS($AM$1006:AY1006),$AM$1006:$BM$1006,0))&gt;=100000), " ",IF(INDEX($AM$2:$BM$1001,MATCH(ROWS($AF$2:AF629),$AF$2:$AF$1001,0),MATCH(COLUMNS($AM$1006:AY1006),$AM$1006:$BM$1006,0)), HYPERLINK("#",""), HYPERLINK(CONCATENATE("#metadata!", ADDRESS(INDEX($AH$2:$AH$1001,MATCH(ROWS($AF$2:AF629),$AF$2:$AF$1001,0),0), INDEX($AM$1004:$BM$1004,1,MATCH(COLUMNS($AM$1006:AY1006),$AM$1006:$BM$1006,0)))),"Fix")))</f>
        <v xml:space="preserve"> </v>
      </c>
      <c r="O629" s="4" t="str">
        <f ca="1">IF(OR(INDEX($AG$2:$AG$1001,MATCH(ROWS($AF$2:AF629),$AF$2:$AF$1001,0),1)&gt;=100000,INDEX($AM$1005:$BM$1005,1,MATCH(COLUMNS($AM$1006:AZ1006),$AM$1006:$BM$1006,0))&gt;=100000), " ",IF(INDEX($AM$2:$BM$1001,MATCH(ROWS($AF$2:AF629),$AF$2:$AF$1001,0),MATCH(COLUMNS($AM$1006:AZ1006),$AM$1006:$BM$1006,0)), HYPERLINK("#",""), HYPERLINK(CONCATENATE("#metadata!", ADDRESS(INDEX($AH$2:$AH$1001,MATCH(ROWS($AF$2:AF629),$AF$2:$AF$1001,0),0), INDEX($AM$1004:$BM$1004,1,MATCH(COLUMNS($AM$1006:AZ1006),$AM$1006:$BM$1006,0)))),"Fix")))</f>
        <v xml:space="preserve"> </v>
      </c>
      <c r="P629" s="4" t="str">
        <f ca="1">IF(OR(INDEX($AG$2:$AG$1001,MATCH(ROWS($AF$2:AF629),$AF$2:$AF$1001,0),1)&gt;=100000,INDEX($AM$1005:$BM$1005,1,MATCH(COLUMNS($AM$1006:BA1006),$AM$1006:$BM$1006,0))&gt;=100000), " ",IF(INDEX($AM$2:$BM$1001,MATCH(ROWS($AF$2:AF629),$AF$2:$AF$1001,0),MATCH(COLUMNS($AM$1006:BA1006),$AM$1006:$BM$1006,0)), HYPERLINK("#",""), HYPERLINK(CONCATENATE("#metadata!", ADDRESS(INDEX($AH$2:$AH$1001,MATCH(ROWS($AF$2:AF629),$AF$2:$AF$1001,0),0), INDEX($AM$1004:$BM$1004,1,MATCH(COLUMNS($AM$1006:BA1006),$AM$1006:$BM$1006,0)))),"Fix")))</f>
        <v xml:space="preserve"> </v>
      </c>
      <c r="Q629" s="4" t="str">
        <f ca="1">IF(OR(INDEX($AG$2:$AG$1001,MATCH(ROWS($AF$2:AF629),$AF$2:$AF$1001,0),1)&gt;=100000,INDEX($AM$1005:$BM$1005,1,MATCH(COLUMNS($AM$1006:BB1006),$AM$1006:$BM$1006,0))&gt;=100000), " ",IF(INDEX($AM$2:$BM$1001,MATCH(ROWS($AF$2:AF629),$AF$2:$AF$1001,0),MATCH(COLUMNS($AM$1006:BB1006),$AM$1006:$BM$1006,0)), HYPERLINK("#",""), HYPERLINK(CONCATENATE("#metadata!", ADDRESS(INDEX($AH$2:$AH$1001,MATCH(ROWS($AF$2:AF629),$AF$2:$AF$1001,0),0), INDEX($AM$1004:$BM$1004,1,MATCH(COLUMNS($AM$1006:BB1006),$AM$1006:$BM$1006,0)))),"Fix")))</f>
        <v xml:space="preserve"> </v>
      </c>
      <c r="R629" s="4" t="str">
        <f ca="1">IF(OR(INDEX($AG$2:$AG$1001,MATCH(ROWS($AF$2:AF629),$AF$2:$AF$1001,0),1)&gt;=100000,INDEX($AM$1005:$BM$1005,1,MATCH(COLUMNS($AM$1006:BC1006),$AM$1006:$BM$1006,0))&gt;=100000), " ",IF(INDEX($AM$2:$BM$1001,MATCH(ROWS($AF$2:AF629),$AF$2:$AF$1001,0),MATCH(COLUMNS($AM$1006:BC1006),$AM$1006:$BM$1006,0)), HYPERLINK("#",""), HYPERLINK(CONCATENATE("#metadata!", ADDRESS(INDEX($AH$2:$AH$1001,MATCH(ROWS($AF$2:AF629),$AF$2:$AF$1001,0),0), INDEX($AM$1004:$BM$1004,1,MATCH(COLUMNS($AM$1006:BC1006),$AM$1006:$BM$1006,0)))),"Fix")))</f>
        <v xml:space="preserve"> </v>
      </c>
      <c r="S629" s="4" t="str">
        <f ca="1">IF(OR(INDEX($AG$2:$AG$1001,MATCH(ROWS($AF$2:AF629),$AF$2:$AF$1001,0),1)&gt;=100000,INDEX($AM$1005:$BM$1005,1,MATCH(COLUMNS($AM$1006:BD1006),$AM$1006:$BM$1006,0))&gt;=100000), " ",IF(INDEX($AM$2:$BM$1001,MATCH(ROWS($AF$2:AF629),$AF$2:$AF$1001,0),MATCH(COLUMNS($AM$1006:BD1006),$AM$1006:$BM$1006,0)), HYPERLINK("#",""), HYPERLINK(CONCATENATE("#metadata!", ADDRESS(INDEX($AH$2:$AH$1001,MATCH(ROWS($AF$2:AF629),$AF$2:$AF$1001,0),0), INDEX($AM$1004:$BM$1004,1,MATCH(COLUMNS($AM$1006:BD1006),$AM$1006:$BM$1006,0)))),"Fix")))</f>
        <v xml:space="preserve"> </v>
      </c>
      <c r="T629" s="4" t="str">
        <f ca="1">IF(OR(INDEX($AG$2:$AG$1001,MATCH(ROWS($AF$2:AF629),$AF$2:$AF$1001,0),1)&gt;=100000,INDEX($AM$1005:$BM$1005,1,MATCH(COLUMNS($AM$1006:BE1006),$AM$1006:$BM$1006,0))&gt;=100000), " ",IF(INDEX($AM$2:$BM$1001,MATCH(ROWS($AF$2:AF629),$AF$2:$AF$1001,0),MATCH(COLUMNS($AM$1006:BE1006),$AM$1006:$BM$1006,0)), HYPERLINK("#",""), HYPERLINK(CONCATENATE("#metadata!", ADDRESS(INDEX($AH$2:$AH$1001,MATCH(ROWS($AF$2:AF629),$AF$2:$AF$1001,0),0), INDEX($AM$1004:$BM$1004,1,MATCH(COLUMNS($AM$1006:BE1006),$AM$1006:$BM$1006,0)))),"Fix")))</f>
        <v xml:space="preserve"> </v>
      </c>
      <c r="U629" s="4" t="str">
        <f ca="1">IF(OR(INDEX($AG$2:$AG$1001,MATCH(ROWS($AF$2:AF629),$AF$2:$AF$1001,0),1)&gt;=100000,INDEX($AM$1005:$BM$1005,1,MATCH(COLUMNS($AM$1006:BF1006),$AM$1006:$BM$1006,0))&gt;=100000), " ",IF(INDEX($AM$2:$BM$1001,MATCH(ROWS($AF$2:AF629),$AF$2:$AF$1001,0),MATCH(COLUMNS($AM$1006:BF1006),$AM$1006:$BM$1006,0)), HYPERLINK("#",""), HYPERLINK(CONCATENATE("#metadata!", ADDRESS(INDEX($AH$2:$AH$1001,MATCH(ROWS($AF$2:AF629),$AF$2:$AF$1001,0),0), INDEX($AM$1004:$BM$1004,1,MATCH(COLUMNS($AM$1006:BF1006),$AM$1006:$BM$1006,0)))),"Fix")))</f>
        <v xml:space="preserve"> </v>
      </c>
      <c r="V629" s="4" t="str">
        <f ca="1">IF(OR(INDEX($AG$2:$AG$1001,MATCH(ROWS($AF$2:AF629),$AF$2:$AF$1001,0),1)&gt;=100000,INDEX($AM$1005:$BM$1005,1,MATCH(COLUMNS($AM$1006:BG1006),$AM$1006:$BM$1006,0))&gt;=100000), " ",IF(INDEX($AM$2:$BM$1001,MATCH(ROWS($AF$2:AF629),$AF$2:$AF$1001,0),MATCH(COLUMNS($AM$1006:BG1006),$AM$1006:$BM$1006,0)), HYPERLINK("#",""), HYPERLINK(CONCATENATE("#metadata!", ADDRESS(INDEX($AH$2:$AH$1001,MATCH(ROWS($AF$2:AF629),$AF$2:$AF$1001,0),0), INDEX($AM$1004:$BM$1004,1,MATCH(COLUMNS($AM$1006:BG1006),$AM$1006:$BM$1006,0)))),"Fix")))</f>
        <v xml:space="preserve"> </v>
      </c>
      <c r="W629" s="4" t="str">
        <f ca="1">IF(OR(INDEX($AG$2:$AG$1001,MATCH(ROWS($AF$2:AF629),$AF$2:$AF$1001,0),1)&gt;=100000,INDEX($AM$1005:$BM$1005,1,MATCH(COLUMNS($AM$1006:BH1006),$AM$1006:$BM$1006,0))&gt;=100000), " ",IF(INDEX($AM$2:$BM$1001,MATCH(ROWS($AF$2:AF629),$AF$2:$AF$1001,0),MATCH(COLUMNS($AM$1006:BH1006),$AM$1006:$BM$1006,0)), HYPERLINK("#",""), HYPERLINK(CONCATENATE("#metadata!", ADDRESS(INDEX($AH$2:$AH$1001,MATCH(ROWS($AF$2:AF629),$AF$2:$AF$1001,0),0), INDEX($AM$1004:$BM$1004,1,MATCH(COLUMNS($AM$1006:BH1006),$AM$1006:$BM$1006,0)))),"Fix")))</f>
        <v xml:space="preserve"> </v>
      </c>
      <c r="X629" s="4" t="str">
        <f ca="1">IF(OR(INDEX($AG$2:$AG$1001,MATCH(ROWS($AF$2:AF629),$AF$2:$AF$1001,0),1)&gt;=100000,INDEX($AM$1005:$BM$1005,1,MATCH(COLUMNS($AM$1006:BI1006),$AM$1006:$BM$1006,0))&gt;=100000), " ",IF(INDEX($AM$2:$BM$1001,MATCH(ROWS($AF$2:AF629),$AF$2:$AF$1001,0),MATCH(COLUMNS($AM$1006:BI1006),$AM$1006:$BM$1006,0)), HYPERLINK("#",""), HYPERLINK(CONCATENATE("#metadata!", ADDRESS(INDEX($AH$2:$AH$1001,MATCH(ROWS($AF$2:AF629),$AF$2:$AF$1001,0),0), INDEX($AM$1004:$BM$1004,1,MATCH(COLUMNS($AM$1006:BI1006),$AM$1006:$BM$1006,0)))),"Fix")))</f>
        <v xml:space="preserve"> </v>
      </c>
      <c r="Y629" s="4" t="str">
        <f ca="1">IF(OR(INDEX($AG$2:$AG$1001,MATCH(ROWS($AF$2:AF629),$AF$2:$AF$1001,0),1)&gt;=100000,INDEX($AM$1005:$BM$1005,1,MATCH(COLUMNS($AM$1006:BJ1006),$AM$1006:$BM$1006,0))&gt;=100000), " ",IF(INDEX($AM$2:$BM$1001,MATCH(ROWS($AF$2:AF629),$AF$2:$AF$1001,0),MATCH(COLUMNS($AM$1006:BJ1006),$AM$1006:$BM$1006,0)), HYPERLINK("#",""), HYPERLINK(CONCATENATE("#metadata!", ADDRESS(INDEX($AH$2:$AH$1001,MATCH(ROWS($AF$2:AF629),$AF$2:$AF$1001,0),0), INDEX($AM$1004:$BM$1004,1,MATCH(COLUMNS($AM$1006:BJ1006),$AM$1006:$BM$1006,0)))),"Fix")))</f>
        <v xml:space="preserve"> </v>
      </c>
      <c r="Z629" s="4" t="str">
        <f ca="1">IF(OR(INDEX($AG$2:$AG$1001,MATCH(ROWS($AF$2:AF629),$AF$2:$AF$1001,0),1)&gt;=100000,INDEX($AM$1005:$BM$1005,1,MATCH(COLUMNS($AM$1006:BK1006),$AM$1006:$BM$1006,0))&gt;=100000), " ",IF(INDEX($AM$2:$BM$1001,MATCH(ROWS($AF$2:AF629),$AF$2:$AF$1001,0),MATCH(COLUMNS($AM$1006:BK1006),$AM$1006:$BM$1006,0)), HYPERLINK("#",""), HYPERLINK(CONCATENATE("#metadata!", ADDRESS(INDEX($AH$2:$AH$1001,MATCH(ROWS($AF$2:AF629),$AF$2:$AF$1001,0),0), INDEX($AM$1004:$BM$1004,1,MATCH(COLUMNS($AM$1006:BK1006),$AM$1006:$BM$1006,0)))),"Fix")))</f>
        <v xml:space="preserve"> </v>
      </c>
      <c r="AA629" s="4" t="str">
        <f ca="1">IF(OR(INDEX($AG$2:$AG$1001,MATCH(ROWS($AF$2:AF629),$AF$2:$AF$1001,0),1)&gt;=100000,INDEX($AM$1005:$BM$1005,1,MATCH(COLUMNS($AM$1006:BL1006),$AM$1006:$BM$1006,0))&gt;=100000), " ",IF(INDEX($AM$2:$BM$1001,MATCH(ROWS($AF$2:AF629),$AF$2:$AF$1001,0),MATCH(COLUMNS($AM$1006:BL1006),$AM$1006:$BM$1006,0)), HYPERLINK("#",""), HYPERLINK(CONCATENATE("#metadata!", ADDRESS(INDEX($AH$2:$AH$1001,MATCH(ROWS($AF$2:AF629),$AF$2:$AF$1001,0),0), INDEX($AM$1004:$BM$1004,1,MATCH(COLUMNS($AM$1006:BL1006),$AM$1006:$BM$1006,0)))),"Fix")))</f>
        <v xml:space="preserve"> </v>
      </c>
      <c r="AB629" s="4" t="str">
        <f ca="1">IF(OR(INDEX($AG$2:$AG$1001,MATCH(ROWS($AF$2:AF629),$AF$2:$AF$1001,0),1)&gt;=100000,INDEX($AM$1005:$BM$1005,1,MATCH(COLUMNS($AM$1006:BM1006),$AM$1006:$BM$1006,0))&gt;=100000), " ",IF(INDEX($AM$2:$BM$1001,MATCH(ROWS($AF$2:AF629),$AF$2:$AF$1001,0),MATCH(COLUMNS($AM$1006:BM1006),$AM$1006:$BM$1006,0)), HYPERLINK("#",""), HYPERLINK(CONCATENATE("#metadata!", ADDRESS(INDEX($AH$2:$AH$1001,MATCH(ROWS($AF$2:AF629),$AF$2:$AF$1001,0),0), INDEX($AM$1004:$BM$1004,1,MATCH(COLUMNS($AM$1006:BM1006),$AM$1006:$BM$1006,0)))),"Fix")))</f>
        <v xml:space="preserve"> </v>
      </c>
      <c r="AF629">
        <v>628</v>
      </c>
      <c r="AG629">
        <v>100629</v>
      </c>
      <c r="AH629">
        <v>629</v>
      </c>
      <c r="AI629" t="b">
        <f t="shared" si="9"/>
        <v>1</v>
      </c>
      <c r="AJ629" t="b">
        <f>COUNTBLANK(metadata!B629:AB629)=COLUMNS(metadata!B629:AB629)</f>
        <v>1</v>
      </c>
      <c r="AK629" t="str">
        <v/>
      </c>
      <c r="AM629" t="b">
        <f ca="1">AND(IF(metadata!B629="",FALSE,TRUE),COUNTIF(metadata!B:B, metadata!B629) = 1,NOT(ISERROR(SUMPRODUCT(SEARCH(MID(metadata!B629,ROW(INDIRECT("1:"&amp;LEN(metadata!B629))), 1),"0123456789abcdefghijklmnopqrstuvwxyzABCDEFGHIJKLMNOPQRSTUVWXYZ.")))))</f>
        <v>0</v>
      </c>
      <c r="AN629" t="b">
        <f ca="1">OR(AND(IF(metadata!C629="",FALSE,TRUE),OR(EXACT(metadata!C629,"missing: not collected"),EXACT(metadata!C629,"missing: not provided"),EXACT(metadata!C629,"missing: restricted access"))),AND(IF(metadata!C629="",FALSE,TRUE),AND(AND(IFERROR(INT(LEFT(metadata!C629,4))&gt;1900,FALSE),IFERROR(INT(LEFT(metadata!C629,4))&lt;=YEAR(NOW()),FALSE)), OR(MID(metadata!C629,5,1)="", AND(AND(MID(metadata!C629,5,1)="-",IFERROR(INT(MID(metadata!C629,6,1))&gt;=0,FALSE),IFERROR(INT(MID(metadata!C629,6,1))&lt;=1,FALSE),NOT(MID(metadata!C629,7,1)=""),IFERROR(INT(MID(metadata!C629,6,2))&gt;=1,FALSE),IFERROR(INT(MID(metadata!C629,6,2))&lt;=12,FALSE)), OR(MID(metadata!C629,8,1)="", AND(AND(MID(metadata!C629,8,1)="-",IFERROR(INT(MID(metadata!C629,9,1))&gt;=0,FALSE),IFERROR(INT(MID(metadata!C629,9,1))&lt;=3,FALSE),NOT(MID(metadata!C629,10,1)=""),IFERROR(INT(MID(metadata!C629,9,2))&gt;=1,FALSE),IFERROR(INT(MID(metadata!C629,9,2))&lt;=31,FALSE)), OR(MID(metadata!C629,11,1)="", AND(AND(MID(metadata!C629,11,1)=" ",IFERROR(INT(MID(metadata!C629,12,1))&gt;=0,FALSE),IFERROR(INT(MID(metadata!C629,12,1))&lt;=2,FALSE),NOT(MID(metadata!C629,13,1)=""),IFERROR(INT(MID(metadata!C629,12,2))&gt;=0,FALSE),IFERROR(INT(MID(metadata!C629,12,2))&lt;=23,FALSE)), OR(MID(metadata!C629,14,1)="", AND(AND(MID(metadata!C629,14,1)=":",IFERROR(INT(MID(metadata!C629,15,1))&gt;=0,FALSE),IFERROR(INT(MID(metadata!C629,15,1))&lt;=5,FALSE),NOT(MID(metadata!C629,16,1)=""),IFERROR(INT(MID(metadata!C629,15,2))&gt;=0,FALSE),IFERROR(INT(MID(metadata!C629,15,2))&lt;=59,FALSE)), OR(MID(metadata!C629,17,1)="", AND(AND(MID(metadata!C629,17,1)=":",IFERROR(INT(MID(metadata!C629,18,1))&gt;=0,FALSE),IFERROR(INT(MID(metadata!C629,18,1))&lt;=5,FALSE),NOT(MID(metadata!C629,19,1)=""),IFERROR(INT(MID(metadata!C629,18,2))&gt;=0,FALSE),IFERROR(INT(MID(metadata!C629,18,2))&lt;=59,FALSE)), LEN(metadata!C629)&lt;=19)))))))))))))</f>
        <v>0</v>
      </c>
      <c r="AO629" t="b">
        <f>AND(IF(metadata!D629="",FALSE,TRUE),EXACT(metadata!D629,"Not applicable"))</f>
        <v>0</v>
      </c>
      <c r="AP629" t="b">
        <f>IF(metadata!E629="",FALSE,TRUE)</f>
        <v>0</v>
      </c>
      <c r="AQ629" t="b">
        <f>OR(AND(IF(metadata!F629="",FALSE,TRUE),OR(EXACT(metadata!F629,"missing: not collected"),EXACT(metadata!F629,"missing: not provided"))),AND(IF(metadata!F629="",FALSE,TRUE),OR(EXACT(metadata!F629,"TRUE"),EXACT(metadata!F629,"FALSE"))))</f>
        <v>0</v>
      </c>
      <c r="AR629" t="b">
        <f>OR(AND(IF(metadata!G629="",FALSE,TRUE),OR(EXACT(metadata!G629,"missing: not collected"),EXACT(metadata!G629,"missing: not provided"),EXACT(metadata!G629,"missing: restricted access"))),AND(IF(metadata!G629="",FALSE,ISNUMBER(VALUE(metadata!G629))),metadata!G629&gt;=-413))</f>
        <v>0</v>
      </c>
      <c r="AS629" t="b">
        <f>AND(IF(metadata!H629="",FALSE,TRUE),EXACT(metadata!H629,"meters"))</f>
        <v>0</v>
      </c>
      <c r="AT629" t="b">
        <f>AND(IF(metadata!I629="",FALSE,TRUE),OR(EXACT(metadata!I629,"Host-associated"),EXACT(metadata!I629,"Free-living")))</f>
        <v>0</v>
      </c>
      <c r="AU629" t="b">
        <f>AND(IF(metadata!J629="",FALSE,TRUE),OR(EXACT(metadata!J629,"Animal"),EXACT(metadata!J629,"Fungus"),EXACT(metadata!J629,"Plant"),EXACT(metadata!J629,"Saline"),EXACT(metadata!J629,"Non-saline")))</f>
        <v>0</v>
      </c>
      <c r="AV629" t="b">
        <f>AND(IF(metadata!K629="",FALSE,TRUE),OR(EXACT(metadata!K629,"Plant secretion"),EXACT(metadata!K629,"Plant rhizosphere"),EXACT(metadata!K629,"Plant surface"),EXACT(metadata!K629,"Plant corpus"),EXACT(metadata!K629,"Fungus surface"),EXACT(metadata!K629,"Fungus corpus"),EXACT(metadata!K629,"Animal surface"),EXACT(metadata!K629,"Animal proximal gut"),EXACT(metadata!K629,"Animal corpus"),EXACT(metadata!K629,"Animal distal gut"),EXACT(metadata!K629,"Animal secretion"),EXACT(metadata!K629,"Sub-surface (non-saline)"),EXACT(metadata!K629,"Surface (non-saline)"),EXACT(metadata!K629,"Water (non-saline)"),EXACT(metadata!K629,"Soil (non-saline)"),EXACT(metadata!K629,"Aerosol (non-saline)"),EXACT(metadata!K629,"Sediment (non-saline)"),EXACT(metadata!K629,"Surface (saline)"),EXACT(metadata!K629,"Water (saline)"),EXACT(metadata!K629,"Hypersaline (saline)"),EXACT(metadata!K629,"Aerosol (saline)"),EXACT(metadata!K629,"Sediment (saline)")))</f>
        <v>0</v>
      </c>
      <c r="AW629" t="b">
        <f>IF(metadata!L629="",FALSE,TRUE)</f>
        <v>0</v>
      </c>
      <c r="AX629" t="b">
        <f>IF(metadata!M629="",FALSE,TRUE)</f>
        <v>0</v>
      </c>
      <c r="AY629" t="b">
        <f>IF(metadata!N629="",FALSE,TRUE)</f>
        <v>0</v>
      </c>
      <c r="AZ629" t="b">
        <f>OR(AND(IF(metadata!O629="",FALSE,TRUE),OR(EXACT(metadata!O629,"missing: not collected"),EXACT(metadata!O629,"missing: not provided"),EXACT(metadata!O629,"missing: restricted access"))),AND(IF(metadata!O629="",FALSE,TRUE),OR(EXACT(metadata!O629,"air"),EXACT(metadata!O629,"built environment"),EXACT(metadata!O629,"host-associated"),EXACT(metadata!O629,"human-associated"),EXACT(metadata!O629,"human-skin"),EXACT(metadata!O629,"human-oral"),EXACT(metadata!O629,"human-gut"),EXACT(metadata!O629,"human-vaginal"),EXACT(metadata!O629,"microbial mat/biofilm"),EXACT(metadata!O629,"misc environment"),EXACT(metadata!O629,"plant-associated"),EXACT(metadata!O629,"sediment"),EXACT(metadata!O629,"soil"),EXACT(metadata!O629,"wastewater/sludge"),EXACT(metadata!O629,"water"))))</f>
        <v>0</v>
      </c>
      <c r="BA629" t="b">
        <f>IF(metadata!P629="",FALSE,TRUE)</f>
        <v>0</v>
      </c>
      <c r="BB629" t="b">
        <f>IF(metadata!Q629="",FALSE,TRUE)</f>
        <v>0</v>
      </c>
      <c r="BC629" t="b">
        <f>OR(AND(IF(metadata!R629="",FALSE,TRUE),OR(EXACT(metadata!R629,"missing: not collected"),EXACT(metadata!R629,"missing: not provided"),EXACT(metadata!R629,"missing: restricted access"))),AND(IF(metadata!R629="",FALSE,ISNUMBER(VALUE(metadata!R629))),metadata!R629&gt;=-90,metadata!R629&lt;=90))</f>
        <v>0</v>
      </c>
      <c r="BD629" t="b">
        <f>AND(IF(metadata!S629="",FALSE,TRUE),EXACT(metadata!S629,"Decimal degrees"))</f>
        <v>0</v>
      </c>
      <c r="BE629" t="b">
        <f>OR(AND(IF(metadata!T629="",FALSE,TRUE),OR(EXACT(metadata!T629,"missing: not collected"),EXACT(metadata!T629,"missing: not provided"),EXACT(metadata!T629,"missing: restricted access"))),AND(IF(metadata!T629="",FALSE,ISNUMBER(VALUE(metadata!T629))),metadata!T629&gt;=-180,metadata!T629&lt;=180))</f>
        <v>0</v>
      </c>
      <c r="BF629" t="b">
        <f>AND(IF(metadata!U629="",FALSE,TRUE),EXACT(metadata!U629,"Decimal degrees"))</f>
        <v>0</v>
      </c>
      <c r="BG629" t="b">
        <f>IF(metadata!V629="",FALSE,TRUE)</f>
        <v>0</v>
      </c>
      <c r="BH629" t="b">
        <f>OR(AND(IF(metadata!W629="",FALSE,TRUE),OR(EXACT(metadata!W629,"missing: not collected"),EXACT(metadata!W629,"missing: not provided"),EXACT(metadata!W629,"missing: restricted access"))),AND(IF(metadata!W629="",FALSE,TRUE),OR(EXACT(metadata!W629,"TRUE"),EXACT(metadata!W629,"FALSE"))))</f>
        <v>0</v>
      </c>
      <c r="BI629" t="b">
        <f>AND(IF(metadata!X629="",FALSE,TRUE),EXACT(metadata!X629,"other"))</f>
        <v>0</v>
      </c>
      <c r="BJ629" t="b">
        <f>IF(metadata!Y629="",FALSE,TRUE)</f>
        <v>0</v>
      </c>
      <c r="BK629" t="b">
        <f>OR(AND(IF(metadata!Z629="",FALSE,TRUE),OR(EXACT(metadata!Z629,"missing: not collected"),EXACT(metadata!Z629,"missing: not provided"))),AND(IF(metadata!Z629="",FALSE,IF(ISERROR(INT(metadata!Z629)),FALSE,INT(metadata!Z629)=metadata!Z629)),metadata!Z629&gt;0))</f>
        <v>0</v>
      </c>
      <c r="BL629" t="b">
        <f>AND(IF(metadata!AA629="",FALSE,TRUE),EXACT(metadata!AA629,"Not applicable"))</f>
        <v>0</v>
      </c>
      <c r="BM629" t="b">
        <f>IF(metadata!AB629="",FALSE,TRUE)</f>
        <v>0</v>
      </c>
    </row>
    <row r="630" spans="1:65" x14ac:dyDescent="0.2">
      <c r="A630" s="5" t="str">
        <f ca="1">IF(B630=" "," ",HYPERLINK(CONCATENATE("#metadata!",ADDRESS(INDEX($AH$2:$AH$1001,MATCH(ROWS($AF$2:AF630),$AF$2:$AF$1001,0),0),1)),INDEX($AK$2:$AK$1001,MATCH(ROWS($AF$2:AF630),$AF$2:$AF$1001,0),0)))</f>
        <v xml:space="preserve"> </v>
      </c>
      <c r="B630" s="4" t="str">
        <f ca="1">IF(OR(INDEX($AG$2:$AG$1001,MATCH(ROWS($AF$2:AF630),$AF$2:$AF$1001,0),1)&gt;=100000,INDEX($AM$1005:$BM$1005,1,MATCH(COLUMNS($AM$1006:AM1006),$AM$1006:$BM$1006,0))&gt;=100000), " ",IF(INDEX($AM$2:$BM$1001,MATCH(ROWS($AF$2:AF630),$AF$2:$AF$1001,0),MATCH(COLUMNS($AM$1006:AM1006),$AM$1006:$BM$1006,0)), HYPERLINK("#",""), HYPERLINK(CONCATENATE("#metadata!", ADDRESS(INDEX($AH$2:$AH$1001,MATCH(ROWS($AF$2:AF630),$AF$2:$AF$1001,0),0), INDEX($AM$1004:$BM$1004,1,MATCH(COLUMNS($AM$1006:AM1006),$AM$1006:$BM$1006,0)))),"Fix")))</f>
        <v xml:space="preserve"> </v>
      </c>
      <c r="C630" s="4" t="str">
        <f ca="1">IF(OR(INDEX($AG$2:$AG$1001,MATCH(ROWS($AF$2:AF630),$AF$2:$AF$1001,0),1)&gt;=100000,INDEX($AM$1005:$BM$1005,1,MATCH(COLUMNS($AM$1006:AN1006),$AM$1006:$BM$1006,0))&gt;=100000), " ",IF(INDEX($AM$2:$BM$1001,MATCH(ROWS($AF$2:AF630),$AF$2:$AF$1001,0),MATCH(COLUMNS($AM$1006:AN1006),$AM$1006:$BM$1006,0)), HYPERLINK("#",""), HYPERLINK(CONCATENATE("#metadata!", ADDRESS(INDEX($AH$2:$AH$1001,MATCH(ROWS($AF$2:AF630),$AF$2:$AF$1001,0),0), INDEX($AM$1004:$BM$1004,1,MATCH(COLUMNS($AM$1006:AN1006),$AM$1006:$BM$1006,0)))),"Fix")))</f>
        <v xml:space="preserve"> </v>
      </c>
      <c r="D630" s="4" t="str">
        <f ca="1">IF(OR(INDEX($AG$2:$AG$1001,MATCH(ROWS($AF$2:AF630),$AF$2:$AF$1001,0),1)&gt;=100000,INDEX($AM$1005:$BM$1005,1,MATCH(COLUMNS($AM$1006:AO1006),$AM$1006:$BM$1006,0))&gt;=100000), " ",IF(INDEX($AM$2:$BM$1001,MATCH(ROWS($AF$2:AF630),$AF$2:$AF$1001,0),MATCH(COLUMNS($AM$1006:AO1006),$AM$1006:$BM$1006,0)), HYPERLINK("#",""), HYPERLINK(CONCATENATE("#metadata!", ADDRESS(INDEX($AH$2:$AH$1001,MATCH(ROWS($AF$2:AF630),$AF$2:$AF$1001,0),0), INDEX($AM$1004:$BM$1004,1,MATCH(COLUMNS($AM$1006:AO1006),$AM$1006:$BM$1006,0)))),"Fix")))</f>
        <v xml:space="preserve"> </v>
      </c>
      <c r="E630" s="4" t="str">
        <f ca="1">IF(OR(INDEX($AG$2:$AG$1001,MATCH(ROWS($AF$2:AF630),$AF$2:$AF$1001,0),1)&gt;=100000,INDEX($AM$1005:$BM$1005,1,MATCH(COLUMNS($AM$1006:AP1006),$AM$1006:$BM$1006,0))&gt;=100000), " ",IF(INDEX($AM$2:$BM$1001,MATCH(ROWS($AF$2:AF630),$AF$2:$AF$1001,0),MATCH(COLUMNS($AM$1006:AP1006),$AM$1006:$BM$1006,0)), HYPERLINK("#",""), HYPERLINK(CONCATENATE("#metadata!", ADDRESS(INDEX($AH$2:$AH$1001,MATCH(ROWS($AF$2:AF630),$AF$2:$AF$1001,0),0), INDEX($AM$1004:$BM$1004,1,MATCH(COLUMNS($AM$1006:AP1006),$AM$1006:$BM$1006,0)))),"Fix")))</f>
        <v xml:space="preserve"> </v>
      </c>
      <c r="F630" s="4" t="str">
        <f ca="1">IF(OR(INDEX($AG$2:$AG$1001,MATCH(ROWS($AF$2:AF630),$AF$2:$AF$1001,0),1)&gt;=100000,INDEX($AM$1005:$BM$1005,1,MATCH(COLUMNS($AM$1006:AQ1006),$AM$1006:$BM$1006,0))&gt;=100000), " ",IF(INDEX($AM$2:$BM$1001,MATCH(ROWS($AF$2:AF630),$AF$2:$AF$1001,0),MATCH(COLUMNS($AM$1006:AQ1006),$AM$1006:$BM$1006,0)), HYPERLINK("#",""), HYPERLINK(CONCATENATE("#metadata!", ADDRESS(INDEX($AH$2:$AH$1001,MATCH(ROWS($AF$2:AF630),$AF$2:$AF$1001,0),0), INDEX($AM$1004:$BM$1004,1,MATCH(COLUMNS($AM$1006:AQ1006),$AM$1006:$BM$1006,0)))),"Fix")))</f>
        <v xml:space="preserve"> </v>
      </c>
      <c r="G630" s="4" t="str">
        <f ca="1">IF(OR(INDEX($AG$2:$AG$1001,MATCH(ROWS($AF$2:AF630),$AF$2:$AF$1001,0),1)&gt;=100000,INDEX($AM$1005:$BM$1005,1,MATCH(COLUMNS($AM$1006:AR1006),$AM$1006:$BM$1006,0))&gt;=100000), " ",IF(INDEX($AM$2:$BM$1001,MATCH(ROWS($AF$2:AF630),$AF$2:$AF$1001,0),MATCH(COLUMNS($AM$1006:AR1006),$AM$1006:$BM$1006,0)), HYPERLINK("#",""), HYPERLINK(CONCATENATE("#metadata!", ADDRESS(INDEX($AH$2:$AH$1001,MATCH(ROWS($AF$2:AF630),$AF$2:$AF$1001,0),0), INDEX($AM$1004:$BM$1004,1,MATCH(COLUMNS($AM$1006:AR1006),$AM$1006:$BM$1006,0)))),"Fix")))</f>
        <v xml:space="preserve"> </v>
      </c>
      <c r="H630" s="4" t="str">
        <f ca="1">IF(OR(INDEX($AG$2:$AG$1001,MATCH(ROWS($AF$2:AF630),$AF$2:$AF$1001,0),1)&gt;=100000,INDEX($AM$1005:$BM$1005,1,MATCH(COLUMNS($AM$1006:AS1006),$AM$1006:$BM$1006,0))&gt;=100000), " ",IF(INDEX($AM$2:$BM$1001,MATCH(ROWS($AF$2:AF630),$AF$2:$AF$1001,0),MATCH(COLUMNS($AM$1006:AS1006),$AM$1006:$BM$1006,0)), HYPERLINK("#",""), HYPERLINK(CONCATENATE("#metadata!", ADDRESS(INDEX($AH$2:$AH$1001,MATCH(ROWS($AF$2:AF630),$AF$2:$AF$1001,0),0), INDEX($AM$1004:$BM$1004,1,MATCH(COLUMNS($AM$1006:AS1006),$AM$1006:$BM$1006,0)))),"Fix")))</f>
        <v xml:space="preserve"> </v>
      </c>
      <c r="I630" s="4" t="str">
        <f ca="1">IF(OR(INDEX($AG$2:$AG$1001,MATCH(ROWS($AF$2:AF630),$AF$2:$AF$1001,0),1)&gt;=100000,INDEX($AM$1005:$BM$1005,1,MATCH(COLUMNS($AM$1006:AT1006),$AM$1006:$BM$1006,0))&gt;=100000), " ",IF(INDEX($AM$2:$BM$1001,MATCH(ROWS($AF$2:AF630),$AF$2:$AF$1001,0),MATCH(COLUMNS($AM$1006:AT1006),$AM$1006:$BM$1006,0)), HYPERLINK("#",""), HYPERLINK(CONCATENATE("#metadata!", ADDRESS(INDEX($AH$2:$AH$1001,MATCH(ROWS($AF$2:AF630),$AF$2:$AF$1001,0),0), INDEX($AM$1004:$BM$1004,1,MATCH(COLUMNS($AM$1006:AT1006),$AM$1006:$BM$1006,0)))),"Fix")))</f>
        <v xml:space="preserve"> </v>
      </c>
      <c r="J630" s="4" t="str">
        <f ca="1">IF(OR(INDEX($AG$2:$AG$1001,MATCH(ROWS($AF$2:AF630),$AF$2:$AF$1001,0),1)&gt;=100000,INDEX($AM$1005:$BM$1005,1,MATCH(COLUMNS($AM$1006:AU1006),$AM$1006:$BM$1006,0))&gt;=100000), " ",IF(INDEX($AM$2:$BM$1001,MATCH(ROWS($AF$2:AF630),$AF$2:$AF$1001,0),MATCH(COLUMNS($AM$1006:AU1006),$AM$1006:$BM$1006,0)), HYPERLINK("#",""), HYPERLINK(CONCATENATE("#metadata!", ADDRESS(INDEX($AH$2:$AH$1001,MATCH(ROWS($AF$2:AF630),$AF$2:$AF$1001,0),0), INDEX($AM$1004:$BM$1004,1,MATCH(COLUMNS($AM$1006:AU1006),$AM$1006:$BM$1006,0)))),"Fix")))</f>
        <v xml:space="preserve"> </v>
      </c>
      <c r="K630" s="4" t="str">
        <f ca="1">IF(OR(INDEX($AG$2:$AG$1001,MATCH(ROWS($AF$2:AF630),$AF$2:$AF$1001,0),1)&gt;=100000,INDEX($AM$1005:$BM$1005,1,MATCH(COLUMNS($AM$1006:AV1006),$AM$1006:$BM$1006,0))&gt;=100000), " ",IF(INDEX($AM$2:$BM$1001,MATCH(ROWS($AF$2:AF630),$AF$2:$AF$1001,0),MATCH(COLUMNS($AM$1006:AV1006),$AM$1006:$BM$1006,0)), HYPERLINK("#",""), HYPERLINK(CONCATENATE("#metadata!", ADDRESS(INDEX($AH$2:$AH$1001,MATCH(ROWS($AF$2:AF630),$AF$2:$AF$1001,0),0), INDEX($AM$1004:$BM$1004,1,MATCH(COLUMNS($AM$1006:AV1006),$AM$1006:$BM$1006,0)))),"Fix")))</f>
        <v xml:space="preserve"> </v>
      </c>
      <c r="L630" s="4" t="str">
        <f ca="1">IF(OR(INDEX($AG$2:$AG$1001,MATCH(ROWS($AF$2:AF630),$AF$2:$AF$1001,0),1)&gt;=100000,INDEX($AM$1005:$BM$1005,1,MATCH(COLUMNS($AM$1006:AW1006),$AM$1006:$BM$1006,0))&gt;=100000), " ",IF(INDEX($AM$2:$BM$1001,MATCH(ROWS($AF$2:AF630),$AF$2:$AF$1001,0),MATCH(COLUMNS($AM$1006:AW1006),$AM$1006:$BM$1006,0)), HYPERLINK("#",""), HYPERLINK(CONCATENATE("#metadata!", ADDRESS(INDEX($AH$2:$AH$1001,MATCH(ROWS($AF$2:AF630),$AF$2:$AF$1001,0),0), INDEX($AM$1004:$BM$1004,1,MATCH(COLUMNS($AM$1006:AW1006),$AM$1006:$BM$1006,0)))),"Fix")))</f>
        <v xml:space="preserve"> </v>
      </c>
      <c r="M630" s="4" t="str">
        <f ca="1">IF(OR(INDEX($AG$2:$AG$1001,MATCH(ROWS($AF$2:AF630),$AF$2:$AF$1001,0),1)&gt;=100000,INDEX($AM$1005:$BM$1005,1,MATCH(COLUMNS($AM$1006:AX1006),$AM$1006:$BM$1006,0))&gt;=100000), " ",IF(INDEX($AM$2:$BM$1001,MATCH(ROWS($AF$2:AF630),$AF$2:$AF$1001,0),MATCH(COLUMNS($AM$1006:AX1006),$AM$1006:$BM$1006,0)), HYPERLINK("#",""), HYPERLINK(CONCATENATE("#metadata!", ADDRESS(INDEX($AH$2:$AH$1001,MATCH(ROWS($AF$2:AF630),$AF$2:$AF$1001,0),0), INDEX($AM$1004:$BM$1004,1,MATCH(COLUMNS($AM$1006:AX1006),$AM$1006:$BM$1006,0)))),"Fix")))</f>
        <v xml:space="preserve"> </v>
      </c>
      <c r="N630" s="4" t="str">
        <f ca="1">IF(OR(INDEX($AG$2:$AG$1001,MATCH(ROWS($AF$2:AF630),$AF$2:$AF$1001,0),1)&gt;=100000,INDEX($AM$1005:$BM$1005,1,MATCH(COLUMNS($AM$1006:AY1006),$AM$1006:$BM$1006,0))&gt;=100000), " ",IF(INDEX($AM$2:$BM$1001,MATCH(ROWS($AF$2:AF630),$AF$2:$AF$1001,0),MATCH(COLUMNS($AM$1006:AY1006),$AM$1006:$BM$1006,0)), HYPERLINK("#",""), HYPERLINK(CONCATENATE("#metadata!", ADDRESS(INDEX($AH$2:$AH$1001,MATCH(ROWS($AF$2:AF630),$AF$2:$AF$1001,0),0), INDEX($AM$1004:$BM$1004,1,MATCH(COLUMNS($AM$1006:AY1006),$AM$1006:$BM$1006,0)))),"Fix")))</f>
        <v xml:space="preserve"> </v>
      </c>
      <c r="O630" s="4" t="str">
        <f ca="1">IF(OR(INDEX($AG$2:$AG$1001,MATCH(ROWS($AF$2:AF630),$AF$2:$AF$1001,0),1)&gt;=100000,INDEX($AM$1005:$BM$1005,1,MATCH(COLUMNS($AM$1006:AZ1006),$AM$1006:$BM$1006,0))&gt;=100000), " ",IF(INDEX($AM$2:$BM$1001,MATCH(ROWS($AF$2:AF630),$AF$2:$AF$1001,0),MATCH(COLUMNS($AM$1006:AZ1006),$AM$1006:$BM$1006,0)), HYPERLINK("#",""), HYPERLINK(CONCATENATE("#metadata!", ADDRESS(INDEX($AH$2:$AH$1001,MATCH(ROWS($AF$2:AF630),$AF$2:$AF$1001,0),0), INDEX($AM$1004:$BM$1004,1,MATCH(COLUMNS($AM$1006:AZ1006),$AM$1006:$BM$1006,0)))),"Fix")))</f>
        <v xml:space="preserve"> </v>
      </c>
      <c r="P630" s="4" t="str">
        <f ca="1">IF(OR(INDEX($AG$2:$AG$1001,MATCH(ROWS($AF$2:AF630),$AF$2:$AF$1001,0),1)&gt;=100000,INDEX($AM$1005:$BM$1005,1,MATCH(COLUMNS($AM$1006:BA1006),$AM$1006:$BM$1006,0))&gt;=100000), " ",IF(INDEX($AM$2:$BM$1001,MATCH(ROWS($AF$2:AF630),$AF$2:$AF$1001,0),MATCH(COLUMNS($AM$1006:BA1006),$AM$1006:$BM$1006,0)), HYPERLINK("#",""), HYPERLINK(CONCATENATE("#metadata!", ADDRESS(INDEX($AH$2:$AH$1001,MATCH(ROWS($AF$2:AF630),$AF$2:$AF$1001,0),0), INDEX($AM$1004:$BM$1004,1,MATCH(COLUMNS($AM$1006:BA1006),$AM$1006:$BM$1006,0)))),"Fix")))</f>
        <v xml:space="preserve"> </v>
      </c>
      <c r="Q630" s="4" t="str">
        <f ca="1">IF(OR(INDEX($AG$2:$AG$1001,MATCH(ROWS($AF$2:AF630),$AF$2:$AF$1001,0),1)&gt;=100000,INDEX($AM$1005:$BM$1005,1,MATCH(COLUMNS($AM$1006:BB1006),$AM$1006:$BM$1006,0))&gt;=100000), " ",IF(INDEX($AM$2:$BM$1001,MATCH(ROWS($AF$2:AF630),$AF$2:$AF$1001,0),MATCH(COLUMNS($AM$1006:BB1006),$AM$1006:$BM$1006,0)), HYPERLINK("#",""), HYPERLINK(CONCATENATE("#metadata!", ADDRESS(INDEX($AH$2:$AH$1001,MATCH(ROWS($AF$2:AF630),$AF$2:$AF$1001,0),0), INDEX($AM$1004:$BM$1004,1,MATCH(COLUMNS($AM$1006:BB1006),$AM$1006:$BM$1006,0)))),"Fix")))</f>
        <v xml:space="preserve"> </v>
      </c>
      <c r="R630" s="4" t="str">
        <f ca="1">IF(OR(INDEX($AG$2:$AG$1001,MATCH(ROWS($AF$2:AF630),$AF$2:$AF$1001,0),1)&gt;=100000,INDEX($AM$1005:$BM$1005,1,MATCH(COLUMNS($AM$1006:BC1006),$AM$1006:$BM$1006,0))&gt;=100000), " ",IF(INDEX($AM$2:$BM$1001,MATCH(ROWS($AF$2:AF630),$AF$2:$AF$1001,0),MATCH(COLUMNS($AM$1006:BC1006),$AM$1006:$BM$1006,0)), HYPERLINK("#",""), HYPERLINK(CONCATENATE("#metadata!", ADDRESS(INDEX($AH$2:$AH$1001,MATCH(ROWS($AF$2:AF630),$AF$2:$AF$1001,0),0), INDEX($AM$1004:$BM$1004,1,MATCH(COLUMNS($AM$1006:BC1006),$AM$1006:$BM$1006,0)))),"Fix")))</f>
        <v xml:space="preserve"> </v>
      </c>
      <c r="S630" s="4" t="str">
        <f ca="1">IF(OR(INDEX($AG$2:$AG$1001,MATCH(ROWS($AF$2:AF630),$AF$2:$AF$1001,0),1)&gt;=100000,INDEX($AM$1005:$BM$1005,1,MATCH(COLUMNS($AM$1006:BD1006),$AM$1006:$BM$1006,0))&gt;=100000), " ",IF(INDEX($AM$2:$BM$1001,MATCH(ROWS($AF$2:AF630),$AF$2:$AF$1001,0),MATCH(COLUMNS($AM$1006:BD1006),$AM$1006:$BM$1006,0)), HYPERLINK("#",""), HYPERLINK(CONCATENATE("#metadata!", ADDRESS(INDEX($AH$2:$AH$1001,MATCH(ROWS($AF$2:AF630),$AF$2:$AF$1001,0),0), INDEX($AM$1004:$BM$1004,1,MATCH(COLUMNS($AM$1006:BD1006),$AM$1006:$BM$1006,0)))),"Fix")))</f>
        <v xml:space="preserve"> </v>
      </c>
      <c r="T630" s="4" t="str">
        <f ca="1">IF(OR(INDEX($AG$2:$AG$1001,MATCH(ROWS($AF$2:AF630),$AF$2:$AF$1001,0),1)&gt;=100000,INDEX($AM$1005:$BM$1005,1,MATCH(COLUMNS($AM$1006:BE1006),$AM$1006:$BM$1006,0))&gt;=100000), " ",IF(INDEX($AM$2:$BM$1001,MATCH(ROWS($AF$2:AF630),$AF$2:$AF$1001,0),MATCH(COLUMNS($AM$1006:BE1006),$AM$1006:$BM$1006,0)), HYPERLINK("#",""), HYPERLINK(CONCATENATE("#metadata!", ADDRESS(INDEX($AH$2:$AH$1001,MATCH(ROWS($AF$2:AF630),$AF$2:$AF$1001,0),0), INDEX($AM$1004:$BM$1004,1,MATCH(COLUMNS($AM$1006:BE1006),$AM$1006:$BM$1006,0)))),"Fix")))</f>
        <v xml:space="preserve"> </v>
      </c>
      <c r="U630" s="4" t="str">
        <f ca="1">IF(OR(INDEX($AG$2:$AG$1001,MATCH(ROWS($AF$2:AF630),$AF$2:$AF$1001,0),1)&gt;=100000,INDEX($AM$1005:$BM$1005,1,MATCH(COLUMNS($AM$1006:BF1006),$AM$1006:$BM$1006,0))&gt;=100000), " ",IF(INDEX($AM$2:$BM$1001,MATCH(ROWS($AF$2:AF630),$AF$2:$AF$1001,0),MATCH(COLUMNS($AM$1006:BF1006),$AM$1006:$BM$1006,0)), HYPERLINK("#",""), HYPERLINK(CONCATENATE("#metadata!", ADDRESS(INDEX($AH$2:$AH$1001,MATCH(ROWS($AF$2:AF630),$AF$2:$AF$1001,0),0), INDEX($AM$1004:$BM$1004,1,MATCH(COLUMNS($AM$1006:BF1006),$AM$1006:$BM$1006,0)))),"Fix")))</f>
        <v xml:space="preserve"> </v>
      </c>
      <c r="V630" s="4" t="str">
        <f ca="1">IF(OR(INDEX($AG$2:$AG$1001,MATCH(ROWS($AF$2:AF630),$AF$2:$AF$1001,0),1)&gt;=100000,INDEX($AM$1005:$BM$1005,1,MATCH(COLUMNS($AM$1006:BG1006),$AM$1006:$BM$1006,0))&gt;=100000), " ",IF(INDEX($AM$2:$BM$1001,MATCH(ROWS($AF$2:AF630),$AF$2:$AF$1001,0),MATCH(COLUMNS($AM$1006:BG1006),$AM$1006:$BM$1006,0)), HYPERLINK("#",""), HYPERLINK(CONCATENATE("#metadata!", ADDRESS(INDEX($AH$2:$AH$1001,MATCH(ROWS($AF$2:AF630),$AF$2:$AF$1001,0),0), INDEX($AM$1004:$BM$1004,1,MATCH(COLUMNS($AM$1006:BG1006),$AM$1006:$BM$1006,0)))),"Fix")))</f>
        <v xml:space="preserve"> </v>
      </c>
      <c r="W630" s="4" t="str">
        <f ca="1">IF(OR(INDEX($AG$2:$AG$1001,MATCH(ROWS($AF$2:AF630),$AF$2:$AF$1001,0),1)&gt;=100000,INDEX($AM$1005:$BM$1005,1,MATCH(COLUMNS($AM$1006:BH1006),$AM$1006:$BM$1006,0))&gt;=100000), " ",IF(INDEX($AM$2:$BM$1001,MATCH(ROWS($AF$2:AF630),$AF$2:$AF$1001,0),MATCH(COLUMNS($AM$1006:BH1006),$AM$1006:$BM$1006,0)), HYPERLINK("#",""), HYPERLINK(CONCATENATE("#metadata!", ADDRESS(INDEX($AH$2:$AH$1001,MATCH(ROWS($AF$2:AF630),$AF$2:$AF$1001,0),0), INDEX($AM$1004:$BM$1004,1,MATCH(COLUMNS($AM$1006:BH1006),$AM$1006:$BM$1006,0)))),"Fix")))</f>
        <v xml:space="preserve"> </v>
      </c>
      <c r="X630" s="4" t="str">
        <f ca="1">IF(OR(INDEX($AG$2:$AG$1001,MATCH(ROWS($AF$2:AF630),$AF$2:$AF$1001,0),1)&gt;=100000,INDEX($AM$1005:$BM$1005,1,MATCH(COLUMNS($AM$1006:BI1006),$AM$1006:$BM$1006,0))&gt;=100000), " ",IF(INDEX($AM$2:$BM$1001,MATCH(ROWS($AF$2:AF630),$AF$2:$AF$1001,0),MATCH(COLUMNS($AM$1006:BI1006),$AM$1006:$BM$1006,0)), HYPERLINK("#",""), HYPERLINK(CONCATENATE("#metadata!", ADDRESS(INDEX($AH$2:$AH$1001,MATCH(ROWS($AF$2:AF630),$AF$2:$AF$1001,0),0), INDEX($AM$1004:$BM$1004,1,MATCH(COLUMNS($AM$1006:BI1006),$AM$1006:$BM$1006,0)))),"Fix")))</f>
        <v xml:space="preserve"> </v>
      </c>
      <c r="Y630" s="4" t="str">
        <f ca="1">IF(OR(INDEX($AG$2:$AG$1001,MATCH(ROWS($AF$2:AF630),$AF$2:$AF$1001,0),1)&gt;=100000,INDEX($AM$1005:$BM$1005,1,MATCH(COLUMNS($AM$1006:BJ1006),$AM$1006:$BM$1006,0))&gt;=100000), " ",IF(INDEX($AM$2:$BM$1001,MATCH(ROWS($AF$2:AF630),$AF$2:$AF$1001,0),MATCH(COLUMNS($AM$1006:BJ1006),$AM$1006:$BM$1006,0)), HYPERLINK("#",""), HYPERLINK(CONCATENATE("#metadata!", ADDRESS(INDEX($AH$2:$AH$1001,MATCH(ROWS($AF$2:AF630),$AF$2:$AF$1001,0),0), INDEX($AM$1004:$BM$1004,1,MATCH(COLUMNS($AM$1006:BJ1006),$AM$1006:$BM$1006,0)))),"Fix")))</f>
        <v xml:space="preserve"> </v>
      </c>
      <c r="Z630" s="4" t="str">
        <f ca="1">IF(OR(INDEX($AG$2:$AG$1001,MATCH(ROWS($AF$2:AF630),$AF$2:$AF$1001,0),1)&gt;=100000,INDEX($AM$1005:$BM$1005,1,MATCH(COLUMNS($AM$1006:BK1006),$AM$1006:$BM$1006,0))&gt;=100000), " ",IF(INDEX($AM$2:$BM$1001,MATCH(ROWS($AF$2:AF630),$AF$2:$AF$1001,0),MATCH(COLUMNS($AM$1006:BK1006),$AM$1006:$BM$1006,0)), HYPERLINK("#",""), HYPERLINK(CONCATENATE("#metadata!", ADDRESS(INDEX($AH$2:$AH$1001,MATCH(ROWS($AF$2:AF630),$AF$2:$AF$1001,0),0), INDEX($AM$1004:$BM$1004,1,MATCH(COLUMNS($AM$1006:BK1006),$AM$1006:$BM$1006,0)))),"Fix")))</f>
        <v xml:space="preserve"> </v>
      </c>
      <c r="AA630" s="4" t="str">
        <f ca="1">IF(OR(INDEX($AG$2:$AG$1001,MATCH(ROWS($AF$2:AF630),$AF$2:$AF$1001,0),1)&gt;=100000,INDEX($AM$1005:$BM$1005,1,MATCH(COLUMNS($AM$1006:BL1006),$AM$1006:$BM$1006,0))&gt;=100000), " ",IF(INDEX($AM$2:$BM$1001,MATCH(ROWS($AF$2:AF630),$AF$2:$AF$1001,0),MATCH(COLUMNS($AM$1006:BL1006),$AM$1006:$BM$1006,0)), HYPERLINK("#",""), HYPERLINK(CONCATENATE("#metadata!", ADDRESS(INDEX($AH$2:$AH$1001,MATCH(ROWS($AF$2:AF630),$AF$2:$AF$1001,0),0), INDEX($AM$1004:$BM$1004,1,MATCH(COLUMNS($AM$1006:BL1006),$AM$1006:$BM$1006,0)))),"Fix")))</f>
        <v xml:space="preserve"> </v>
      </c>
      <c r="AB630" s="4" t="str">
        <f ca="1">IF(OR(INDEX($AG$2:$AG$1001,MATCH(ROWS($AF$2:AF630),$AF$2:$AF$1001,0),1)&gt;=100000,INDEX($AM$1005:$BM$1005,1,MATCH(COLUMNS($AM$1006:BM1006),$AM$1006:$BM$1006,0))&gt;=100000), " ",IF(INDEX($AM$2:$BM$1001,MATCH(ROWS($AF$2:AF630),$AF$2:$AF$1001,0),MATCH(COLUMNS($AM$1006:BM1006),$AM$1006:$BM$1006,0)), HYPERLINK("#",""), HYPERLINK(CONCATENATE("#metadata!", ADDRESS(INDEX($AH$2:$AH$1001,MATCH(ROWS($AF$2:AF630),$AF$2:$AF$1001,0),0), INDEX($AM$1004:$BM$1004,1,MATCH(COLUMNS($AM$1006:BM1006),$AM$1006:$BM$1006,0)))),"Fix")))</f>
        <v xml:space="preserve"> </v>
      </c>
      <c r="AF630">
        <v>629</v>
      </c>
      <c r="AG630">
        <v>100630</v>
      </c>
      <c r="AH630">
        <v>630</v>
      </c>
      <c r="AI630" t="b">
        <f t="shared" si="9"/>
        <v>1</v>
      </c>
      <c r="AJ630" t="b">
        <f>COUNTBLANK(metadata!B630:AB630)=COLUMNS(metadata!B630:AB630)</f>
        <v>1</v>
      </c>
      <c r="AK630" t="str">
        <v/>
      </c>
      <c r="AM630" t="b">
        <f ca="1">AND(IF(metadata!B630="",FALSE,TRUE),COUNTIF(metadata!B:B, metadata!B630) = 1,NOT(ISERROR(SUMPRODUCT(SEARCH(MID(metadata!B630,ROW(INDIRECT("1:"&amp;LEN(metadata!B630))), 1),"0123456789abcdefghijklmnopqrstuvwxyzABCDEFGHIJKLMNOPQRSTUVWXYZ.")))))</f>
        <v>0</v>
      </c>
      <c r="AN630" t="b">
        <f ca="1">OR(AND(IF(metadata!C630="",FALSE,TRUE),OR(EXACT(metadata!C630,"missing: not collected"),EXACT(metadata!C630,"missing: not provided"),EXACT(metadata!C630,"missing: restricted access"))),AND(IF(metadata!C630="",FALSE,TRUE),AND(AND(IFERROR(INT(LEFT(metadata!C630,4))&gt;1900,FALSE),IFERROR(INT(LEFT(metadata!C630,4))&lt;=YEAR(NOW()),FALSE)), OR(MID(metadata!C630,5,1)="", AND(AND(MID(metadata!C630,5,1)="-",IFERROR(INT(MID(metadata!C630,6,1))&gt;=0,FALSE),IFERROR(INT(MID(metadata!C630,6,1))&lt;=1,FALSE),NOT(MID(metadata!C630,7,1)=""),IFERROR(INT(MID(metadata!C630,6,2))&gt;=1,FALSE),IFERROR(INT(MID(metadata!C630,6,2))&lt;=12,FALSE)), OR(MID(metadata!C630,8,1)="", AND(AND(MID(metadata!C630,8,1)="-",IFERROR(INT(MID(metadata!C630,9,1))&gt;=0,FALSE),IFERROR(INT(MID(metadata!C630,9,1))&lt;=3,FALSE),NOT(MID(metadata!C630,10,1)=""),IFERROR(INT(MID(metadata!C630,9,2))&gt;=1,FALSE),IFERROR(INT(MID(metadata!C630,9,2))&lt;=31,FALSE)), OR(MID(metadata!C630,11,1)="", AND(AND(MID(metadata!C630,11,1)=" ",IFERROR(INT(MID(metadata!C630,12,1))&gt;=0,FALSE),IFERROR(INT(MID(metadata!C630,12,1))&lt;=2,FALSE),NOT(MID(metadata!C630,13,1)=""),IFERROR(INT(MID(metadata!C630,12,2))&gt;=0,FALSE),IFERROR(INT(MID(metadata!C630,12,2))&lt;=23,FALSE)), OR(MID(metadata!C630,14,1)="", AND(AND(MID(metadata!C630,14,1)=":",IFERROR(INT(MID(metadata!C630,15,1))&gt;=0,FALSE),IFERROR(INT(MID(metadata!C630,15,1))&lt;=5,FALSE),NOT(MID(metadata!C630,16,1)=""),IFERROR(INT(MID(metadata!C630,15,2))&gt;=0,FALSE),IFERROR(INT(MID(metadata!C630,15,2))&lt;=59,FALSE)), OR(MID(metadata!C630,17,1)="", AND(AND(MID(metadata!C630,17,1)=":",IFERROR(INT(MID(metadata!C630,18,1))&gt;=0,FALSE),IFERROR(INT(MID(metadata!C630,18,1))&lt;=5,FALSE),NOT(MID(metadata!C630,19,1)=""),IFERROR(INT(MID(metadata!C630,18,2))&gt;=0,FALSE),IFERROR(INT(MID(metadata!C630,18,2))&lt;=59,FALSE)), LEN(metadata!C630)&lt;=19)))))))))))))</f>
        <v>0</v>
      </c>
      <c r="AO630" t="b">
        <f>AND(IF(metadata!D630="",FALSE,TRUE),EXACT(metadata!D630,"Not applicable"))</f>
        <v>0</v>
      </c>
      <c r="AP630" t="b">
        <f>IF(metadata!E630="",FALSE,TRUE)</f>
        <v>0</v>
      </c>
      <c r="AQ630" t="b">
        <f>OR(AND(IF(metadata!F630="",FALSE,TRUE),OR(EXACT(metadata!F630,"missing: not collected"),EXACT(metadata!F630,"missing: not provided"))),AND(IF(metadata!F630="",FALSE,TRUE),OR(EXACT(metadata!F630,"TRUE"),EXACT(metadata!F630,"FALSE"))))</f>
        <v>0</v>
      </c>
      <c r="AR630" t="b">
        <f>OR(AND(IF(metadata!G630="",FALSE,TRUE),OR(EXACT(metadata!G630,"missing: not collected"),EXACT(metadata!G630,"missing: not provided"),EXACT(metadata!G630,"missing: restricted access"))),AND(IF(metadata!G630="",FALSE,ISNUMBER(VALUE(metadata!G630))),metadata!G630&gt;=-413))</f>
        <v>0</v>
      </c>
      <c r="AS630" t="b">
        <f>AND(IF(metadata!H630="",FALSE,TRUE),EXACT(metadata!H630,"meters"))</f>
        <v>0</v>
      </c>
      <c r="AT630" t="b">
        <f>AND(IF(metadata!I630="",FALSE,TRUE),OR(EXACT(metadata!I630,"Host-associated"),EXACT(metadata!I630,"Free-living")))</f>
        <v>0</v>
      </c>
      <c r="AU630" t="b">
        <f>AND(IF(metadata!J630="",FALSE,TRUE),OR(EXACT(metadata!J630,"Animal"),EXACT(metadata!J630,"Fungus"),EXACT(metadata!J630,"Plant"),EXACT(metadata!J630,"Saline"),EXACT(metadata!J630,"Non-saline")))</f>
        <v>0</v>
      </c>
      <c r="AV630" t="b">
        <f>AND(IF(metadata!K630="",FALSE,TRUE),OR(EXACT(metadata!K630,"Plant secretion"),EXACT(metadata!K630,"Plant rhizosphere"),EXACT(metadata!K630,"Plant surface"),EXACT(metadata!K630,"Plant corpus"),EXACT(metadata!K630,"Fungus surface"),EXACT(metadata!K630,"Fungus corpus"),EXACT(metadata!K630,"Animal surface"),EXACT(metadata!K630,"Animal proximal gut"),EXACT(metadata!K630,"Animal corpus"),EXACT(metadata!K630,"Animal distal gut"),EXACT(metadata!K630,"Animal secretion"),EXACT(metadata!K630,"Sub-surface (non-saline)"),EXACT(metadata!K630,"Surface (non-saline)"),EXACT(metadata!K630,"Water (non-saline)"),EXACT(metadata!K630,"Soil (non-saline)"),EXACT(metadata!K630,"Aerosol (non-saline)"),EXACT(metadata!K630,"Sediment (non-saline)"),EXACT(metadata!K630,"Surface (saline)"),EXACT(metadata!K630,"Water (saline)"),EXACT(metadata!K630,"Hypersaline (saline)"),EXACT(metadata!K630,"Aerosol (saline)"),EXACT(metadata!K630,"Sediment (saline)")))</f>
        <v>0</v>
      </c>
      <c r="AW630" t="b">
        <f>IF(metadata!L630="",FALSE,TRUE)</f>
        <v>0</v>
      </c>
      <c r="AX630" t="b">
        <f>IF(metadata!M630="",FALSE,TRUE)</f>
        <v>0</v>
      </c>
      <c r="AY630" t="b">
        <f>IF(metadata!N630="",FALSE,TRUE)</f>
        <v>0</v>
      </c>
      <c r="AZ630" t="b">
        <f>OR(AND(IF(metadata!O630="",FALSE,TRUE),OR(EXACT(metadata!O630,"missing: not collected"),EXACT(metadata!O630,"missing: not provided"),EXACT(metadata!O630,"missing: restricted access"))),AND(IF(metadata!O630="",FALSE,TRUE),OR(EXACT(metadata!O630,"air"),EXACT(metadata!O630,"built environment"),EXACT(metadata!O630,"host-associated"),EXACT(metadata!O630,"human-associated"),EXACT(metadata!O630,"human-skin"),EXACT(metadata!O630,"human-oral"),EXACT(metadata!O630,"human-gut"),EXACT(metadata!O630,"human-vaginal"),EXACT(metadata!O630,"microbial mat/biofilm"),EXACT(metadata!O630,"misc environment"),EXACT(metadata!O630,"plant-associated"),EXACT(metadata!O630,"sediment"),EXACT(metadata!O630,"soil"),EXACT(metadata!O630,"wastewater/sludge"),EXACT(metadata!O630,"water"))))</f>
        <v>0</v>
      </c>
      <c r="BA630" t="b">
        <f>IF(metadata!P630="",FALSE,TRUE)</f>
        <v>0</v>
      </c>
      <c r="BB630" t="b">
        <f>IF(metadata!Q630="",FALSE,TRUE)</f>
        <v>0</v>
      </c>
      <c r="BC630" t="b">
        <f>OR(AND(IF(metadata!R630="",FALSE,TRUE),OR(EXACT(metadata!R630,"missing: not collected"),EXACT(metadata!R630,"missing: not provided"),EXACT(metadata!R630,"missing: restricted access"))),AND(IF(metadata!R630="",FALSE,ISNUMBER(VALUE(metadata!R630))),metadata!R630&gt;=-90,metadata!R630&lt;=90))</f>
        <v>0</v>
      </c>
      <c r="BD630" t="b">
        <f>AND(IF(metadata!S630="",FALSE,TRUE),EXACT(metadata!S630,"Decimal degrees"))</f>
        <v>0</v>
      </c>
      <c r="BE630" t="b">
        <f>OR(AND(IF(metadata!T630="",FALSE,TRUE),OR(EXACT(metadata!T630,"missing: not collected"),EXACT(metadata!T630,"missing: not provided"),EXACT(metadata!T630,"missing: restricted access"))),AND(IF(metadata!T630="",FALSE,ISNUMBER(VALUE(metadata!T630))),metadata!T630&gt;=-180,metadata!T630&lt;=180))</f>
        <v>0</v>
      </c>
      <c r="BF630" t="b">
        <f>AND(IF(metadata!U630="",FALSE,TRUE),EXACT(metadata!U630,"Decimal degrees"))</f>
        <v>0</v>
      </c>
      <c r="BG630" t="b">
        <f>IF(metadata!V630="",FALSE,TRUE)</f>
        <v>0</v>
      </c>
      <c r="BH630" t="b">
        <f>OR(AND(IF(metadata!W630="",FALSE,TRUE),OR(EXACT(metadata!W630,"missing: not collected"),EXACT(metadata!W630,"missing: not provided"),EXACT(metadata!W630,"missing: restricted access"))),AND(IF(metadata!W630="",FALSE,TRUE),OR(EXACT(metadata!W630,"TRUE"),EXACT(metadata!W630,"FALSE"))))</f>
        <v>0</v>
      </c>
      <c r="BI630" t="b">
        <f>AND(IF(metadata!X630="",FALSE,TRUE),EXACT(metadata!X630,"other"))</f>
        <v>0</v>
      </c>
      <c r="BJ630" t="b">
        <f>IF(metadata!Y630="",FALSE,TRUE)</f>
        <v>0</v>
      </c>
      <c r="BK630" t="b">
        <f>OR(AND(IF(metadata!Z630="",FALSE,TRUE),OR(EXACT(metadata!Z630,"missing: not collected"),EXACT(metadata!Z630,"missing: not provided"))),AND(IF(metadata!Z630="",FALSE,IF(ISERROR(INT(metadata!Z630)),FALSE,INT(metadata!Z630)=metadata!Z630)),metadata!Z630&gt;0))</f>
        <v>0</v>
      </c>
      <c r="BL630" t="b">
        <f>AND(IF(metadata!AA630="",FALSE,TRUE),EXACT(metadata!AA630,"Not applicable"))</f>
        <v>0</v>
      </c>
      <c r="BM630" t="b">
        <f>IF(metadata!AB630="",FALSE,TRUE)</f>
        <v>0</v>
      </c>
    </row>
    <row r="631" spans="1:65" x14ac:dyDescent="0.2">
      <c r="A631" s="5" t="str">
        <f ca="1">IF(B631=" "," ",HYPERLINK(CONCATENATE("#metadata!",ADDRESS(INDEX($AH$2:$AH$1001,MATCH(ROWS($AF$2:AF631),$AF$2:$AF$1001,0),0),1)),INDEX($AK$2:$AK$1001,MATCH(ROWS($AF$2:AF631),$AF$2:$AF$1001,0),0)))</f>
        <v xml:space="preserve"> </v>
      </c>
      <c r="B631" s="4" t="str">
        <f ca="1">IF(OR(INDEX($AG$2:$AG$1001,MATCH(ROWS($AF$2:AF631),$AF$2:$AF$1001,0),1)&gt;=100000,INDEX($AM$1005:$BM$1005,1,MATCH(COLUMNS($AM$1006:AM1006),$AM$1006:$BM$1006,0))&gt;=100000), " ",IF(INDEX($AM$2:$BM$1001,MATCH(ROWS($AF$2:AF631),$AF$2:$AF$1001,0),MATCH(COLUMNS($AM$1006:AM1006),$AM$1006:$BM$1006,0)), HYPERLINK("#",""), HYPERLINK(CONCATENATE("#metadata!", ADDRESS(INDEX($AH$2:$AH$1001,MATCH(ROWS($AF$2:AF631),$AF$2:$AF$1001,0),0), INDEX($AM$1004:$BM$1004,1,MATCH(COLUMNS($AM$1006:AM1006),$AM$1006:$BM$1006,0)))),"Fix")))</f>
        <v xml:space="preserve"> </v>
      </c>
      <c r="C631" s="4" t="str">
        <f ca="1">IF(OR(INDEX($AG$2:$AG$1001,MATCH(ROWS($AF$2:AF631),$AF$2:$AF$1001,0),1)&gt;=100000,INDEX($AM$1005:$BM$1005,1,MATCH(COLUMNS($AM$1006:AN1006),$AM$1006:$BM$1006,0))&gt;=100000), " ",IF(INDEX($AM$2:$BM$1001,MATCH(ROWS($AF$2:AF631),$AF$2:$AF$1001,0),MATCH(COLUMNS($AM$1006:AN1006),$AM$1006:$BM$1006,0)), HYPERLINK("#",""), HYPERLINK(CONCATENATE("#metadata!", ADDRESS(INDEX($AH$2:$AH$1001,MATCH(ROWS($AF$2:AF631),$AF$2:$AF$1001,0),0), INDEX($AM$1004:$BM$1004,1,MATCH(COLUMNS($AM$1006:AN1006),$AM$1006:$BM$1006,0)))),"Fix")))</f>
        <v xml:space="preserve"> </v>
      </c>
      <c r="D631" s="4" t="str">
        <f ca="1">IF(OR(INDEX($AG$2:$AG$1001,MATCH(ROWS($AF$2:AF631),$AF$2:$AF$1001,0),1)&gt;=100000,INDEX($AM$1005:$BM$1005,1,MATCH(COLUMNS($AM$1006:AO1006),$AM$1006:$BM$1006,0))&gt;=100000), " ",IF(INDEX($AM$2:$BM$1001,MATCH(ROWS($AF$2:AF631),$AF$2:$AF$1001,0),MATCH(COLUMNS($AM$1006:AO1006),$AM$1006:$BM$1006,0)), HYPERLINK("#",""), HYPERLINK(CONCATENATE("#metadata!", ADDRESS(INDEX($AH$2:$AH$1001,MATCH(ROWS($AF$2:AF631),$AF$2:$AF$1001,0),0), INDEX($AM$1004:$BM$1004,1,MATCH(COLUMNS($AM$1006:AO1006),$AM$1006:$BM$1006,0)))),"Fix")))</f>
        <v xml:space="preserve"> </v>
      </c>
      <c r="E631" s="4" t="str">
        <f ca="1">IF(OR(INDEX($AG$2:$AG$1001,MATCH(ROWS($AF$2:AF631),$AF$2:$AF$1001,0),1)&gt;=100000,INDEX($AM$1005:$BM$1005,1,MATCH(COLUMNS($AM$1006:AP1006),$AM$1006:$BM$1006,0))&gt;=100000), " ",IF(INDEX($AM$2:$BM$1001,MATCH(ROWS($AF$2:AF631),$AF$2:$AF$1001,0),MATCH(COLUMNS($AM$1006:AP1006),$AM$1006:$BM$1006,0)), HYPERLINK("#",""), HYPERLINK(CONCATENATE("#metadata!", ADDRESS(INDEX($AH$2:$AH$1001,MATCH(ROWS($AF$2:AF631),$AF$2:$AF$1001,0),0), INDEX($AM$1004:$BM$1004,1,MATCH(COLUMNS($AM$1006:AP1006),$AM$1006:$BM$1006,0)))),"Fix")))</f>
        <v xml:space="preserve"> </v>
      </c>
      <c r="F631" s="4" t="str">
        <f ca="1">IF(OR(INDEX($AG$2:$AG$1001,MATCH(ROWS($AF$2:AF631),$AF$2:$AF$1001,0),1)&gt;=100000,INDEX($AM$1005:$BM$1005,1,MATCH(COLUMNS($AM$1006:AQ1006),$AM$1006:$BM$1006,0))&gt;=100000), " ",IF(INDEX($AM$2:$BM$1001,MATCH(ROWS($AF$2:AF631),$AF$2:$AF$1001,0),MATCH(COLUMNS($AM$1006:AQ1006),$AM$1006:$BM$1006,0)), HYPERLINK("#",""), HYPERLINK(CONCATENATE("#metadata!", ADDRESS(INDEX($AH$2:$AH$1001,MATCH(ROWS($AF$2:AF631),$AF$2:$AF$1001,0),0), INDEX($AM$1004:$BM$1004,1,MATCH(COLUMNS($AM$1006:AQ1006),$AM$1006:$BM$1006,0)))),"Fix")))</f>
        <v xml:space="preserve"> </v>
      </c>
      <c r="G631" s="4" t="str">
        <f ca="1">IF(OR(INDEX($AG$2:$AG$1001,MATCH(ROWS($AF$2:AF631),$AF$2:$AF$1001,0),1)&gt;=100000,INDEX($AM$1005:$BM$1005,1,MATCH(COLUMNS($AM$1006:AR1006),$AM$1006:$BM$1006,0))&gt;=100000), " ",IF(INDEX($AM$2:$BM$1001,MATCH(ROWS($AF$2:AF631),$AF$2:$AF$1001,0),MATCH(COLUMNS($AM$1006:AR1006),$AM$1006:$BM$1006,0)), HYPERLINK("#",""), HYPERLINK(CONCATENATE("#metadata!", ADDRESS(INDEX($AH$2:$AH$1001,MATCH(ROWS($AF$2:AF631),$AF$2:$AF$1001,0),0), INDEX($AM$1004:$BM$1004,1,MATCH(COLUMNS($AM$1006:AR1006),$AM$1006:$BM$1006,0)))),"Fix")))</f>
        <v xml:space="preserve"> </v>
      </c>
      <c r="H631" s="4" t="str">
        <f ca="1">IF(OR(INDEX($AG$2:$AG$1001,MATCH(ROWS($AF$2:AF631),$AF$2:$AF$1001,0),1)&gt;=100000,INDEX($AM$1005:$BM$1005,1,MATCH(COLUMNS($AM$1006:AS1006),$AM$1006:$BM$1006,0))&gt;=100000), " ",IF(INDEX($AM$2:$BM$1001,MATCH(ROWS($AF$2:AF631),$AF$2:$AF$1001,0),MATCH(COLUMNS($AM$1006:AS1006),$AM$1006:$BM$1006,0)), HYPERLINK("#",""), HYPERLINK(CONCATENATE("#metadata!", ADDRESS(INDEX($AH$2:$AH$1001,MATCH(ROWS($AF$2:AF631),$AF$2:$AF$1001,0),0), INDEX($AM$1004:$BM$1004,1,MATCH(COLUMNS($AM$1006:AS1006),$AM$1006:$BM$1006,0)))),"Fix")))</f>
        <v xml:space="preserve"> </v>
      </c>
      <c r="I631" s="4" t="str">
        <f ca="1">IF(OR(INDEX($AG$2:$AG$1001,MATCH(ROWS($AF$2:AF631),$AF$2:$AF$1001,0),1)&gt;=100000,INDEX($AM$1005:$BM$1005,1,MATCH(COLUMNS($AM$1006:AT1006),$AM$1006:$BM$1006,0))&gt;=100000), " ",IF(INDEX($AM$2:$BM$1001,MATCH(ROWS($AF$2:AF631),$AF$2:$AF$1001,0),MATCH(COLUMNS($AM$1006:AT1006),$AM$1006:$BM$1006,0)), HYPERLINK("#",""), HYPERLINK(CONCATENATE("#metadata!", ADDRESS(INDEX($AH$2:$AH$1001,MATCH(ROWS($AF$2:AF631),$AF$2:$AF$1001,0),0), INDEX($AM$1004:$BM$1004,1,MATCH(COLUMNS($AM$1006:AT1006),$AM$1006:$BM$1006,0)))),"Fix")))</f>
        <v xml:space="preserve"> </v>
      </c>
      <c r="J631" s="4" t="str">
        <f ca="1">IF(OR(INDEX($AG$2:$AG$1001,MATCH(ROWS($AF$2:AF631),$AF$2:$AF$1001,0),1)&gt;=100000,INDEX($AM$1005:$BM$1005,1,MATCH(COLUMNS($AM$1006:AU1006),$AM$1006:$BM$1006,0))&gt;=100000), " ",IF(INDEX($AM$2:$BM$1001,MATCH(ROWS($AF$2:AF631),$AF$2:$AF$1001,0),MATCH(COLUMNS($AM$1006:AU1006),$AM$1006:$BM$1006,0)), HYPERLINK("#",""), HYPERLINK(CONCATENATE("#metadata!", ADDRESS(INDEX($AH$2:$AH$1001,MATCH(ROWS($AF$2:AF631),$AF$2:$AF$1001,0),0), INDEX($AM$1004:$BM$1004,1,MATCH(COLUMNS($AM$1006:AU1006),$AM$1006:$BM$1006,0)))),"Fix")))</f>
        <v xml:space="preserve"> </v>
      </c>
      <c r="K631" s="4" t="str">
        <f ca="1">IF(OR(INDEX($AG$2:$AG$1001,MATCH(ROWS($AF$2:AF631),$AF$2:$AF$1001,0),1)&gt;=100000,INDEX($AM$1005:$BM$1005,1,MATCH(COLUMNS($AM$1006:AV1006),$AM$1006:$BM$1006,0))&gt;=100000), " ",IF(INDEX($AM$2:$BM$1001,MATCH(ROWS($AF$2:AF631),$AF$2:$AF$1001,0),MATCH(COLUMNS($AM$1006:AV1006),$AM$1006:$BM$1006,0)), HYPERLINK("#",""), HYPERLINK(CONCATENATE("#metadata!", ADDRESS(INDEX($AH$2:$AH$1001,MATCH(ROWS($AF$2:AF631),$AF$2:$AF$1001,0),0), INDEX($AM$1004:$BM$1004,1,MATCH(COLUMNS($AM$1006:AV1006),$AM$1006:$BM$1006,0)))),"Fix")))</f>
        <v xml:space="preserve"> </v>
      </c>
      <c r="L631" s="4" t="str">
        <f ca="1">IF(OR(INDEX($AG$2:$AG$1001,MATCH(ROWS($AF$2:AF631),$AF$2:$AF$1001,0),1)&gt;=100000,INDEX($AM$1005:$BM$1005,1,MATCH(COLUMNS($AM$1006:AW1006),$AM$1006:$BM$1006,0))&gt;=100000), " ",IF(INDEX($AM$2:$BM$1001,MATCH(ROWS($AF$2:AF631),$AF$2:$AF$1001,0),MATCH(COLUMNS($AM$1006:AW1006),$AM$1006:$BM$1006,0)), HYPERLINK("#",""), HYPERLINK(CONCATENATE("#metadata!", ADDRESS(INDEX($AH$2:$AH$1001,MATCH(ROWS($AF$2:AF631),$AF$2:$AF$1001,0),0), INDEX($AM$1004:$BM$1004,1,MATCH(COLUMNS($AM$1006:AW1006),$AM$1006:$BM$1006,0)))),"Fix")))</f>
        <v xml:space="preserve"> </v>
      </c>
      <c r="M631" s="4" t="str">
        <f ca="1">IF(OR(INDEX($AG$2:$AG$1001,MATCH(ROWS($AF$2:AF631),$AF$2:$AF$1001,0),1)&gt;=100000,INDEX($AM$1005:$BM$1005,1,MATCH(COLUMNS($AM$1006:AX1006),$AM$1006:$BM$1006,0))&gt;=100000), " ",IF(INDEX($AM$2:$BM$1001,MATCH(ROWS($AF$2:AF631),$AF$2:$AF$1001,0),MATCH(COLUMNS($AM$1006:AX1006),$AM$1006:$BM$1006,0)), HYPERLINK("#",""), HYPERLINK(CONCATENATE("#metadata!", ADDRESS(INDEX($AH$2:$AH$1001,MATCH(ROWS($AF$2:AF631),$AF$2:$AF$1001,0),0), INDEX($AM$1004:$BM$1004,1,MATCH(COLUMNS($AM$1006:AX1006),$AM$1006:$BM$1006,0)))),"Fix")))</f>
        <v xml:space="preserve"> </v>
      </c>
      <c r="N631" s="4" t="str">
        <f ca="1">IF(OR(INDEX($AG$2:$AG$1001,MATCH(ROWS($AF$2:AF631),$AF$2:$AF$1001,0),1)&gt;=100000,INDEX($AM$1005:$BM$1005,1,MATCH(COLUMNS($AM$1006:AY1006),$AM$1006:$BM$1006,0))&gt;=100000), " ",IF(INDEX($AM$2:$BM$1001,MATCH(ROWS($AF$2:AF631),$AF$2:$AF$1001,0),MATCH(COLUMNS($AM$1006:AY1006),$AM$1006:$BM$1006,0)), HYPERLINK("#",""), HYPERLINK(CONCATENATE("#metadata!", ADDRESS(INDEX($AH$2:$AH$1001,MATCH(ROWS($AF$2:AF631),$AF$2:$AF$1001,0),0), INDEX($AM$1004:$BM$1004,1,MATCH(COLUMNS($AM$1006:AY1006),$AM$1006:$BM$1006,0)))),"Fix")))</f>
        <v xml:space="preserve"> </v>
      </c>
      <c r="O631" s="4" t="str">
        <f ca="1">IF(OR(INDEX($AG$2:$AG$1001,MATCH(ROWS($AF$2:AF631),$AF$2:$AF$1001,0),1)&gt;=100000,INDEX($AM$1005:$BM$1005,1,MATCH(COLUMNS($AM$1006:AZ1006),$AM$1006:$BM$1006,0))&gt;=100000), " ",IF(INDEX($AM$2:$BM$1001,MATCH(ROWS($AF$2:AF631),$AF$2:$AF$1001,0),MATCH(COLUMNS($AM$1006:AZ1006),$AM$1006:$BM$1006,0)), HYPERLINK("#",""), HYPERLINK(CONCATENATE("#metadata!", ADDRESS(INDEX($AH$2:$AH$1001,MATCH(ROWS($AF$2:AF631),$AF$2:$AF$1001,0),0), INDEX($AM$1004:$BM$1004,1,MATCH(COLUMNS($AM$1006:AZ1006),$AM$1006:$BM$1006,0)))),"Fix")))</f>
        <v xml:space="preserve"> </v>
      </c>
      <c r="P631" s="4" t="str">
        <f ca="1">IF(OR(INDEX($AG$2:$AG$1001,MATCH(ROWS($AF$2:AF631),$AF$2:$AF$1001,0),1)&gt;=100000,INDEX($AM$1005:$BM$1005,1,MATCH(COLUMNS($AM$1006:BA1006),$AM$1006:$BM$1006,0))&gt;=100000), " ",IF(INDEX($AM$2:$BM$1001,MATCH(ROWS($AF$2:AF631),$AF$2:$AF$1001,0),MATCH(COLUMNS($AM$1006:BA1006),$AM$1006:$BM$1006,0)), HYPERLINK("#",""), HYPERLINK(CONCATENATE("#metadata!", ADDRESS(INDEX($AH$2:$AH$1001,MATCH(ROWS($AF$2:AF631),$AF$2:$AF$1001,0),0), INDEX($AM$1004:$BM$1004,1,MATCH(COLUMNS($AM$1006:BA1006),$AM$1006:$BM$1006,0)))),"Fix")))</f>
        <v xml:space="preserve"> </v>
      </c>
      <c r="Q631" s="4" t="str">
        <f ca="1">IF(OR(INDEX($AG$2:$AG$1001,MATCH(ROWS($AF$2:AF631),$AF$2:$AF$1001,0),1)&gt;=100000,INDEX($AM$1005:$BM$1005,1,MATCH(COLUMNS($AM$1006:BB1006),$AM$1006:$BM$1006,0))&gt;=100000), " ",IF(INDEX($AM$2:$BM$1001,MATCH(ROWS($AF$2:AF631),$AF$2:$AF$1001,0),MATCH(COLUMNS($AM$1006:BB1006),$AM$1006:$BM$1006,0)), HYPERLINK("#",""), HYPERLINK(CONCATENATE("#metadata!", ADDRESS(INDEX($AH$2:$AH$1001,MATCH(ROWS($AF$2:AF631),$AF$2:$AF$1001,0),0), INDEX($AM$1004:$BM$1004,1,MATCH(COLUMNS($AM$1006:BB1006),$AM$1006:$BM$1006,0)))),"Fix")))</f>
        <v xml:space="preserve"> </v>
      </c>
      <c r="R631" s="4" t="str">
        <f ca="1">IF(OR(INDEX($AG$2:$AG$1001,MATCH(ROWS($AF$2:AF631),$AF$2:$AF$1001,0),1)&gt;=100000,INDEX($AM$1005:$BM$1005,1,MATCH(COLUMNS($AM$1006:BC1006),$AM$1006:$BM$1006,0))&gt;=100000), " ",IF(INDEX($AM$2:$BM$1001,MATCH(ROWS($AF$2:AF631),$AF$2:$AF$1001,0),MATCH(COLUMNS($AM$1006:BC1006),$AM$1006:$BM$1006,0)), HYPERLINK("#",""), HYPERLINK(CONCATENATE("#metadata!", ADDRESS(INDEX($AH$2:$AH$1001,MATCH(ROWS($AF$2:AF631),$AF$2:$AF$1001,0),0), INDEX($AM$1004:$BM$1004,1,MATCH(COLUMNS($AM$1006:BC1006),$AM$1006:$BM$1006,0)))),"Fix")))</f>
        <v xml:space="preserve"> </v>
      </c>
      <c r="S631" s="4" t="str">
        <f ca="1">IF(OR(INDEX($AG$2:$AG$1001,MATCH(ROWS($AF$2:AF631),$AF$2:$AF$1001,0),1)&gt;=100000,INDEX($AM$1005:$BM$1005,1,MATCH(COLUMNS($AM$1006:BD1006),$AM$1006:$BM$1006,0))&gt;=100000), " ",IF(INDEX($AM$2:$BM$1001,MATCH(ROWS($AF$2:AF631),$AF$2:$AF$1001,0),MATCH(COLUMNS($AM$1006:BD1006),$AM$1006:$BM$1006,0)), HYPERLINK("#",""), HYPERLINK(CONCATENATE("#metadata!", ADDRESS(INDEX($AH$2:$AH$1001,MATCH(ROWS($AF$2:AF631),$AF$2:$AF$1001,0),0), INDEX($AM$1004:$BM$1004,1,MATCH(COLUMNS($AM$1006:BD1006),$AM$1006:$BM$1006,0)))),"Fix")))</f>
        <v xml:space="preserve"> </v>
      </c>
      <c r="T631" s="4" t="str">
        <f ca="1">IF(OR(INDEX($AG$2:$AG$1001,MATCH(ROWS($AF$2:AF631),$AF$2:$AF$1001,0),1)&gt;=100000,INDEX($AM$1005:$BM$1005,1,MATCH(COLUMNS($AM$1006:BE1006),$AM$1006:$BM$1006,0))&gt;=100000), " ",IF(INDEX($AM$2:$BM$1001,MATCH(ROWS($AF$2:AF631),$AF$2:$AF$1001,0),MATCH(COLUMNS($AM$1006:BE1006),$AM$1006:$BM$1006,0)), HYPERLINK("#",""), HYPERLINK(CONCATENATE("#metadata!", ADDRESS(INDEX($AH$2:$AH$1001,MATCH(ROWS($AF$2:AF631),$AF$2:$AF$1001,0),0), INDEX($AM$1004:$BM$1004,1,MATCH(COLUMNS($AM$1006:BE1006),$AM$1006:$BM$1006,0)))),"Fix")))</f>
        <v xml:space="preserve"> </v>
      </c>
      <c r="U631" s="4" t="str">
        <f ca="1">IF(OR(INDEX($AG$2:$AG$1001,MATCH(ROWS($AF$2:AF631),$AF$2:$AF$1001,0),1)&gt;=100000,INDEX($AM$1005:$BM$1005,1,MATCH(COLUMNS($AM$1006:BF1006),$AM$1006:$BM$1006,0))&gt;=100000), " ",IF(INDEX($AM$2:$BM$1001,MATCH(ROWS($AF$2:AF631),$AF$2:$AF$1001,0),MATCH(COLUMNS($AM$1006:BF1006),$AM$1006:$BM$1006,0)), HYPERLINK("#",""), HYPERLINK(CONCATENATE("#metadata!", ADDRESS(INDEX($AH$2:$AH$1001,MATCH(ROWS($AF$2:AF631),$AF$2:$AF$1001,0),0), INDEX($AM$1004:$BM$1004,1,MATCH(COLUMNS($AM$1006:BF1006),$AM$1006:$BM$1006,0)))),"Fix")))</f>
        <v xml:space="preserve"> </v>
      </c>
      <c r="V631" s="4" t="str">
        <f ca="1">IF(OR(INDEX($AG$2:$AG$1001,MATCH(ROWS($AF$2:AF631),$AF$2:$AF$1001,0),1)&gt;=100000,INDEX($AM$1005:$BM$1005,1,MATCH(COLUMNS($AM$1006:BG1006),$AM$1006:$BM$1006,0))&gt;=100000), " ",IF(INDEX($AM$2:$BM$1001,MATCH(ROWS($AF$2:AF631),$AF$2:$AF$1001,0),MATCH(COLUMNS($AM$1006:BG1006),$AM$1006:$BM$1006,0)), HYPERLINK("#",""), HYPERLINK(CONCATENATE("#metadata!", ADDRESS(INDEX($AH$2:$AH$1001,MATCH(ROWS($AF$2:AF631),$AF$2:$AF$1001,0),0), INDEX($AM$1004:$BM$1004,1,MATCH(COLUMNS($AM$1006:BG1006),$AM$1006:$BM$1006,0)))),"Fix")))</f>
        <v xml:space="preserve"> </v>
      </c>
      <c r="W631" s="4" t="str">
        <f ca="1">IF(OR(INDEX($AG$2:$AG$1001,MATCH(ROWS($AF$2:AF631),$AF$2:$AF$1001,0),1)&gt;=100000,INDEX($AM$1005:$BM$1005,1,MATCH(COLUMNS($AM$1006:BH1006),$AM$1006:$BM$1006,0))&gt;=100000), " ",IF(INDEX($AM$2:$BM$1001,MATCH(ROWS($AF$2:AF631),$AF$2:$AF$1001,0),MATCH(COLUMNS($AM$1006:BH1006),$AM$1006:$BM$1006,0)), HYPERLINK("#",""), HYPERLINK(CONCATENATE("#metadata!", ADDRESS(INDEX($AH$2:$AH$1001,MATCH(ROWS($AF$2:AF631),$AF$2:$AF$1001,0),0), INDEX($AM$1004:$BM$1004,1,MATCH(COLUMNS($AM$1006:BH1006),$AM$1006:$BM$1006,0)))),"Fix")))</f>
        <v xml:space="preserve"> </v>
      </c>
      <c r="X631" s="4" t="str">
        <f ca="1">IF(OR(INDEX($AG$2:$AG$1001,MATCH(ROWS($AF$2:AF631),$AF$2:$AF$1001,0),1)&gt;=100000,INDEX($AM$1005:$BM$1005,1,MATCH(COLUMNS($AM$1006:BI1006),$AM$1006:$BM$1006,0))&gt;=100000), " ",IF(INDEX($AM$2:$BM$1001,MATCH(ROWS($AF$2:AF631),$AF$2:$AF$1001,0),MATCH(COLUMNS($AM$1006:BI1006),$AM$1006:$BM$1006,0)), HYPERLINK("#",""), HYPERLINK(CONCATENATE("#metadata!", ADDRESS(INDEX($AH$2:$AH$1001,MATCH(ROWS($AF$2:AF631),$AF$2:$AF$1001,0),0), INDEX($AM$1004:$BM$1004,1,MATCH(COLUMNS($AM$1006:BI1006),$AM$1006:$BM$1006,0)))),"Fix")))</f>
        <v xml:space="preserve"> </v>
      </c>
      <c r="Y631" s="4" t="str">
        <f ca="1">IF(OR(INDEX($AG$2:$AG$1001,MATCH(ROWS($AF$2:AF631),$AF$2:$AF$1001,0),1)&gt;=100000,INDEX($AM$1005:$BM$1005,1,MATCH(COLUMNS($AM$1006:BJ1006),$AM$1006:$BM$1006,0))&gt;=100000), " ",IF(INDEX($AM$2:$BM$1001,MATCH(ROWS($AF$2:AF631),$AF$2:$AF$1001,0),MATCH(COLUMNS($AM$1006:BJ1006),$AM$1006:$BM$1006,0)), HYPERLINK("#",""), HYPERLINK(CONCATENATE("#metadata!", ADDRESS(INDEX($AH$2:$AH$1001,MATCH(ROWS($AF$2:AF631),$AF$2:$AF$1001,0),0), INDEX($AM$1004:$BM$1004,1,MATCH(COLUMNS($AM$1006:BJ1006),$AM$1006:$BM$1006,0)))),"Fix")))</f>
        <v xml:space="preserve"> </v>
      </c>
      <c r="Z631" s="4" t="str">
        <f ca="1">IF(OR(INDEX($AG$2:$AG$1001,MATCH(ROWS($AF$2:AF631),$AF$2:$AF$1001,0),1)&gt;=100000,INDEX($AM$1005:$BM$1005,1,MATCH(COLUMNS($AM$1006:BK1006),$AM$1006:$BM$1006,0))&gt;=100000), " ",IF(INDEX($AM$2:$BM$1001,MATCH(ROWS($AF$2:AF631),$AF$2:$AF$1001,0),MATCH(COLUMNS($AM$1006:BK1006),$AM$1006:$BM$1006,0)), HYPERLINK("#",""), HYPERLINK(CONCATENATE("#metadata!", ADDRESS(INDEX($AH$2:$AH$1001,MATCH(ROWS($AF$2:AF631),$AF$2:$AF$1001,0),0), INDEX($AM$1004:$BM$1004,1,MATCH(COLUMNS($AM$1006:BK1006),$AM$1006:$BM$1006,0)))),"Fix")))</f>
        <v xml:space="preserve"> </v>
      </c>
      <c r="AA631" s="4" t="str">
        <f ca="1">IF(OR(INDEX($AG$2:$AG$1001,MATCH(ROWS($AF$2:AF631),$AF$2:$AF$1001,0),1)&gt;=100000,INDEX($AM$1005:$BM$1005,1,MATCH(COLUMNS($AM$1006:BL1006),$AM$1006:$BM$1006,0))&gt;=100000), " ",IF(INDEX($AM$2:$BM$1001,MATCH(ROWS($AF$2:AF631),$AF$2:$AF$1001,0),MATCH(COLUMNS($AM$1006:BL1006),$AM$1006:$BM$1006,0)), HYPERLINK("#",""), HYPERLINK(CONCATENATE("#metadata!", ADDRESS(INDEX($AH$2:$AH$1001,MATCH(ROWS($AF$2:AF631),$AF$2:$AF$1001,0),0), INDEX($AM$1004:$BM$1004,1,MATCH(COLUMNS($AM$1006:BL1006),$AM$1006:$BM$1006,0)))),"Fix")))</f>
        <v xml:space="preserve"> </v>
      </c>
      <c r="AB631" s="4" t="str">
        <f ca="1">IF(OR(INDEX($AG$2:$AG$1001,MATCH(ROWS($AF$2:AF631),$AF$2:$AF$1001,0),1)&gt;=100000,INDEX($AM$1005:$BM$1005,1,MATCH(COLUMNS($AM$1006:BM1006),$AM$1006:$BM$1006,0))&gt;=100000), " ",IF(INDEX($AM$2:$BM$1001,MATCH(ROWS($AF$2:AF631),$AF$2:$AF$1001,0),MATCH(COLUMNS($AM$1006:BM1006),$AM$1006:$BM$1006,0)), HYPERLINK("#",""), HYPERLINK(CONCATENATE("#metadata!", ADDRESS(INDEX($AH$2:$AH$1001,MATCH(ROWS($AF$2:AF631),$AF$2:$AF$1001,0),0), INDEX($AM$1004:$BM$1004,1,MATCH(COLUMNS($AM$1006:BM1006),$AM$1006:$BM$1006,0)))),"Fix")))</f>
        <v xml:space="preserve"> </v>
      </c>
      <c r="AF631">
        <v>630</v>
      </c>
      <c r="AG631">
        <v>100631</v>
      </c>
      <c r="AH631">
        <v>631</v>
      </c>
      <c r="AI631" t="b">
        <f t="shared" si="9"/>
        <v>1</v>
      </c>
      <c r="AJ631" t="b">
        <f>COUNTBLANK(metadata!B631:AB631)=COLUMNS(metadata!B631:AB631)</f>
        <v>1</v>
      </c>
      <c r="AK631" t="str">
        <v/>
      </c>
      <c r="AM631" t="b">
        <f ca="1">AND(IF(metadata!B631="",FALSE,TRUE),COUNTIF(metadata!B:B, metadata!B631) = 1,NOT(ISERROR(SUMPRODUCT(SEARCH(MID(metadata!B631,ROW(INDIRECT("1:"&amp;LEN(metadata!B631))), 1),"0123456789abcdefghijklmnopqrstuvwxyzABCDEFGHIJKLMNOPQRSTUVWXYZ.")))))</f>
        <v>0</v>
      </c>
      <c r="AN631" t="b">
        <f ca="1">OR(AND(IF(metadata!C631="",FALSE,TRUE),OR(EXACT(metadata!C631,"missing: not collected"),EXACT(metadata!C631,"missing: not provided"),EXACT(metadata!C631,"missing: restricted access"))),AND(IF(metadata!C631="",FALSE,TRUE),AND(AND(IFERROR(INT(LEFT(metadata!C631,4))&gt;1900,FALSE),IFERROR(INT(LEFT(metadata!C631,4))&lt;=YEAR(NOW()),FALSE)), OR(MID(metadata!C631,5,1)="", AND(AND(MID(metadata!C631,5,1)="-",IFERROR(INT(MID(metadata!C631,6,1))&gt;=0,FALSE),IFERROR(INT(MID(metadata!C631,6,1))&lt;=1,FALSE),NOT(MID(metadata!C631,7,1)=""),IFERROR(INT(MID(metadata!C631,6,2))&gt;=1,FALSE),IFERROR(INT(MID(metadata!C631,6,2))&lt;=12,FALSE)), OR(MID(metadata!C631,8,1)="", AND(AND(MID(metadata!C631,8,1)="-",IFERROR(INT(MID(metadata!C631,9,1))&gt;=0,FALSE),IFERROR(INT(MID(metadata!C631,9,1))&lt;=3,FALSE),NOT(MID(metadata!C631,10,1)=""),IFERROR(INT(MID(metadata!C631,9,2))&gt;=1,FALSE),IFERROR(INT(MID(metadata!C631,9,2))&lt;=31,FALSE)), OR(MID(metadata!C631,11,1)="", AND(AND(MID(metadata!C631,11,1)=" ",IFERROR(INT(MID(metadata!C631,12,1))&gt;=0,FALSE),IFERROR(INT(MID(metadata!C631,12,1))&lt;=2,FALSE),NOT(MID(metadata!C631,13,1)=""),IFERROR(INT(MID(metadata!C631,12,2))&gt;=0,FALSE),IFERROR(INT(MID(metadata!C631,12,2))&lt;=23,FALSE)), OR(MID(metadata!C631,14,1)="", AND(AND(MID(metadata!C631,14,1)=":",IFERROR(INT(MID(metadata!C631,15,1))&gt;=0,FALSE),IFERROR(INT(MID(metadata!C631,15,1))&lt;=5,FALSE),NOT(MID(metadata!C631,16,1)=""),IFERROR(INT(MID(metadata!C631,15,2))&gt;=0,FALSE),IFERROR(INT(MID(metadata!C631,15,2))&lt;=59,FALSE)), OR(MID(metadata!C631,17,1)="", AND(AND(MID(metadata!C631,17,1)=":",IFERROR(INT(MID(metadata!C631,18,1))&gt;=0,FALSE),IFERROR(INT(MID(metadata!C631,18,1))&lt;=5,FALSE),NOT(MID(metadata!C631,19,1)=""),IFERROR(INT(MID(metadata!C631,18,2))&gt;=0,FALSE),IFERROR(INT(MID(metadata!C631,18,2))&lt;=59,FALSE)), LEN(metadata!C631)&lt;=19)))))))))))))</f>
        <v>0</v>
      </c>
      <c r="AO631" t="b">
        <f>AND(IF(metadata!D631="",FALSE,TRUE),EXACT(metadata!D631,"Not applicable"))</f>
        <v>0</v>
      </c>
      <c r="AP631" t="b">
        <f>IF(metadata!E631="",FALSE,TRUE)</f>
        <v>0</v>
      </c>
      <c r="AQ631" t="b">
        <f>OR(AND(IF(metadata!F631="",FALSE,TRUE),OR(EXACT(metadata!F631,"missing: not collected"),EXACT(metadata!F631,"missing: not provided"))),AND(IF(metadata!F631="",FALSE,TRUE),OR(EXACT(metadata!F631,"TRUE"),EXACT(metadata!F631,"FALSE"))))</f>
        <v>0</v>
      </c>
      <c r="AR631" t="b">
        <f>OR(AND(IF(metadata!G631="",FALSE,TRUE),OR(EXACT(metadata!G631,"missing: not collected"),EXACT(metadata!G631,"missing: not provided"),EXACT(metadata!G631,"missing: restricted access"))),AND(IF(metadata!G631="",FALSE,ISNUMBER(VALUE(metadata!G631))),metadata!G631&gt;=-413))</f>
        <v>0</v>
      </c>
      <c r="AS631" t="b">
        <f>AND(IF(metadata!H631="",FALSE,TRUE),EXACT(metadata!H631,"meters"))</f>
        <v>0</v>
      </c>
      <c r="AT631" t="b">
        <f>AND(IF(metadata!I631="",FALSE,TRUE),OR(EXACT(metadata!I631,"Host-associated"),EXACT(metadata!I631,"Free-living")))</f>
        <v>0</v>
      </c>
      <c r="AU631" t="b">
        <f>AND(IF(metadata!J631="",FALSE,TRUE),OR(EXACT(metadata!J631,"Animal"),EXACT(metadata!J631,"Fungus"),EXACT(metadata!J631,"Plant"),EXACT(metadata!J631,"Saline"),EXACT(metadata!J631,"Non-saline")))</f>
        <v>0</v>
      </c>
      <c r="AV631" t="b">
        <f>AND(IF(metadata!K631="",FALSE,TRUE),OR(EXACT(metadata!K631,"Plant secretion"),EXACT(metadata!K631,"Plant rhizosphere"),EXACT(metadata!K631,"Plant surface"),EXACT(metadata!K631,"Plant corpus"),EXACT(metadata!K631,"Fungus surface"),EXACT(metadata!K631,"Fungus corpus"),EXACT(metadata!K631,"Animal surface"),EXACT(metadata!K631,"Animal proximal gut"),EXACT(metadata!K631,"Animal corpus"),EXACT(metadata!K631,"Animal distal gut"),EXACT(metadata!K631,"Animal secretion"),EXACT(metadata!K631,"Sub-surface (non-saline)"),EXACT(metadata!K631,"Surface (non-saline)"),EXACT(metadata!K631,"Water (non-saline)"),EXACT(metadata!K631,"Soil (non-saline)"),EXACT(metadata!K631,"Aerosol (non-saline)"),EXACT(metadata!K631,"Sediment (non-saline)"),EXACT(metadata!K631,"Surface (saline)"),EXACT(metadata!K631,"Water (saline)"),EXACT(metadata!K631,"Hypersaline (saline)"),EXACT(metadata!K631,"Aerosol (saline)"),EXACT(metadata!K631,"Sediment (saline)")))</f>
        <v>0</v>
      </c>
      <c r="AW631" t="b">
        <f>IF(metadata!L631="",FALSE,TRUE)</f>
        <v>0</v>
      </c>
      <c r="AX631" t="b">
        <f>IF(metadata!M631="",FALSE,TRUE)</f>
        <v>0</v>
      </c>
      <c r="AY631" t="b">
        <f>IF(metadata!N631="",FALSE,TRUE)</f>
        <v>0</v>
      </c>
      <c r="AZ631" t="b">
        <f>OR(AND(IF(metadata!O631="",FALSE,TRUE),OR(EXACT(metadata!O631,"missing: not collected"),EXACT(metadata!O631,"missing: not provided"),EXACT(metadata!O631,"missing: restricted access"))),AND(IF(metadata!O631="",FALSE,TRUE),OR(EXACT(metadata!O631,"air"),EXACT(metadata!O631,"built environment"),EXACT(metadata!O631,"host-associated"),EXACT(metadata!O631,"human-associated"),EXACT(metadata!O631,"human-skin"),EXACT(metadata!O631,"human-oral"),EXACT(metadata!O631,"human-gut"),EXACT(metadata!O631,"human-vaginal"),EXACT(metadata!O631,"microbial mat/biofilm"),EXACT(metadata!O631,"misc environment"),EXACT(metadata!O631,"plant-associated"),EXACT(metadata!O631,"sediment"),EXACT(metadata!O631,"soil"),EXACT(metadata!O631,"wastewater/sludge"),EXACT(metadata!O631,"water"))))</f>
        <v>0</v>
      </c>
      <c r="BA631" t="b">
        <f>IF(metadata!P631="",FALSE,TRUE)</f>
        <v>0</v>
      </c>
      <c r="BB631" t="b">
        <f>IF(metadata!Q631="",FALSE,TRUE)</f>
        <v>0</v>
      </c>
      <c r="BC631" t="b">
        <f>OR(AND(IF(metadata!R631="",FALSE,TRUE),OR(EXACT(metadata!R631,"missing: not collected"),EXACT(metadata!R631,"missing: not provided"),EXACT(metadata!R631,"missing: restricted access"))),AND(IF(metadata!R631="",FALSE,ISNUMBER(VALUE(metadata!R631))),metadata!R631&gt;=-90,metadata!R631&lt;=90))</f>
        <v>0</v>
      </c>
      <c r="BD631" t="b">
        <f>AND(IF(metadata!S631="",FALSE,TRUE),EXACT(metadata!S631,"Decimal degrees"))</f>
        <v>0</v>
      </c>
      <c r="BE631" t="b">
        <f>OR(AND(IF(metadata!T631="",FALSE,TRUE),OR(EXACT(metadata!T631,"missing: not collected"),EXACT(metadata!T631,"missing: not provided"),EXACT(metadata!T631,"missing: restricted access"))),AND(IF(metadata!T631="",FALSE,ISNUMBER(VALUE(metadata!T631))),metadata!T631&gt;=-180,metadata!T631&lt;=180))</f>
        <v>0</v>
      </c>
      <c r="BF631" t="b">
        <f>AND(IF(metadata!U631="",FALSE,TRUE),EXACT(metadata!U631,"Decimal degrees"))</f>
        <v>0</v>
      </c>
      <c r="BG631" t="b">
        <f>IF(metadata!V631="",FALSE,TRUE)</f>
        <v>0</v>
      </c>
      <c r="BH631" t="b">
        <f>OR(AND(IF(metadata!W631="",FALSE,TRUE),OR(EXACT(metadata!W631,"missing: not collected"),EXACT(metadata!W631,"missing: not provided"),EXACT(metadata!W631,"missing: restricted access"))),AND(IF(metadata!W631="",FALSE,TRUE),OR(EXACT(metadata!W631,"TRUE"),EXACT(metadata!W631,"FALSE"))))</f>
        <v>0</v>
      </c>
      <c r="BI631" t="b">
        <f>AND(IF(metadata!X631="",FALSE,TRUE),EXACT(metadata!X631,"other"))</f>
        <v>0</v>
      </c>
      <c r="BJ631" t="b">
        <f>IF(metadata!Y631="",FALSE,TRUE)</f>
        <v>0</v>
      </c>
      <c r="BK631" t="b">
        <f>OR(AND(IF(metadata!Z631="",FALSE,TRUE),OR(EXACT(metadata!Z631,"missing: not collected"),EXACT(metadata!Z631,"missing: not provided"))),AND(IF(metadata!Z631="",FALSE,IF(ISERROR(INT(metadata!Z631)),FALSE,INT(metadata!Z631)=metadata!Z631)),metadata!Z631&gt;0))</f>
        <v>0</v>
      </c>
      <c r="BL631" t="b">
        <f>AND(IF(metadata!AA631="",FALSE,TRUE),EXACT(metadata!AA631,"Not applicable"))</f>
        <v>0</v>
      </c>
      <c r="BM631" t="b">
        <f>IF(metadata!AB631="",FALSE,TRUE)</f>
        <v>0</v>
      </c>
    </row>
    <row r="632" spans="1:65" x14ac:dyDescent="0.2">
      <c r="A632" s="5" t="str">
        <f ca="1">IF(B632=" "," ",HYPERLINK(CONCATENATE("#metadata!",ADDRESS(INDEX($AH$2:$AH$1001,MATCH(ROWS($AF$2:AF632),$AF$2:$AF$1001,0),0),1)),INDEX($AK$2:$AK$1001,MATCH(ROWS($AF$2:AF632),$AF$2:$AF$1001,0),0)))</f>
        <v xml:space="preserve"> </v>
      </c>
      <c r="B632" s="4" t="str">
        <f ca="1">IF(OR(INDEX($AG$2:$AG$1001,MATCH(ROWS($AF$2:AF632),$AF$2:$AF$1001,0),1)&gt;=100000,INDEX($AM$1005:$BM$1005,1,MATCH(COLUMNS($AM$1006:AM1006),$AM$1006:$BM$1006,0))&gt;=100000), " ",IF(INDEX($AM$2:$BM$1001,MATCH(ROWS($AF$2:AF632),$AF$2:$AF$1001,0),MATCH(COLUMNS($AM$1006:AM1006),$AM$1006:$BM$1006,0)), HYPERLINK("#",""), HYPERLINK(CONCATENATE("#metadata!", ADDRESS(INDEX($AH$2:$AH$1001,MATCH(ROWS($AF$2:AF632),$AF$2:$AF$1001,0),0), INDEX($AM$1004:$BM$1004,1,MATCH(COLUMNS($AM$1006:AM1006),$AM$1006:$BM$1006,0)))),"Fix")))</f>
        <v xml:space="preserve"> </v>
      </c>
      <c r="C632" s="4" t="str">
        <f ca="1">IF(OR(INDEX($AG$2:$AG$1001,MATCH(ROWS($AF$2:AF632),$AF$2:$AF$1001,0),1)&gt;=100000,INDEX($AM$1005:$BM$1005,1,MATCH(COLUMNS($AM$1006:AN1006),$AM$1006:$BM$1006,0))&gt;=100000), " ",IF(INDEX($AM$2:$BM$1001,MATCH(ROWS($AF$2:AF632),$AF$2:$AF$1001,0),MATCH(COLUMNS($AM$1006:AN1006),$AM$1006:$BM$1006,0)), HYPERLINK("#",""), HYPERLINK(CONCATENATE("#metadata!", ADDRESS(INDEX($AH$2:$AH$1001,MATCH(ROWS($AF$2:AF632),$AF$2:$AF$1001,0),0), INDEX($AM$1004:$BM$1004,1,MATCH(COLUMNS($AM$1006:AN1006),$AM$1006:$BM$1006,0)))),"Fix")))</f>
        <v xml:space="preserve"> </v>
      </c>
      <c r="D632" s="4" t="str">
        <f ca="1">IF(OR(INDEX($AG$2:$AG$1001,MATCH(ROWS($AF$2:AF632),$AF$2:$AF$1001,0),1)&gt;=100000,INDEX($AM$1005:$BM$1005,1,MATCH(COLUMNS($AM$1006:AO1006),$AM$1006:$BM$1006,0))&gt;=100000), " ",IF(INDEX($AM$2:$BM$1001,MATCH(ROWS($AF$2:AF632),$AF$2:$AF$1001,0),MATCH(COLUMNS($AM$1006:AO1006),$AM$1006:$BM$1006,0)), HYPERLINK("#",""), HYPERLINK(CONCATENATE("#metadata!", ADDRESS(INDEX($AH$2:$AH$1001,MATCH(ROWS($AF$2:AF632),$AF$2:$AF$1001,0),0), INDEX($AM$1004:$BM$1004,1,MATCH(COLUMNS($AM$1006:AO1006),$AM$1006:$BM$1006,0)))),"Fix")))</f>
        <v xml:space="preserve"> </v>
      </c>
      <c r="E632" s="4" t="str">
        <f ca="1">IF(OR(INDEX($AG$2:$AG$1001,MATCH(ROWS($AF$2:AF632),$AF$2:$AF$1001,0),1)&gt;=100000,INDEX($AM$1005:$BM$1005,1,MATCH(COLUMNS($AM$1006:AP1006),$AM$1006:$BM$1006,0))&gt;=100000), " ",IF(INDEX($AM$2:$BM$1001,MATCH(ROWS($AF$2:AF632),$AF$2:$AF$1001,0),MATCH(COLUMNS($AM$1006:AP1006),$AM$1006:$BM$1006,0)), HYPERLINK("#",""), HYPERLINK(CONCATENATE("#metadata!", ADDRESS(INDEX($AH$2:$AH$1001,MATCH(ROWS($AF$2:AF632),$AF$2:$AF$1001,0),0), INDEX($AM$1004:$BM$1004,1,MATCH(COLUMNS($AM$1006:AP1006),$AM$1006:$BM$1006,0)))),"Fix")))</f>
        <v xml:space="preserve"> </v>
      </c>
      <c r="F632" s="4" t="str">
        <f ca="1">IF(OR(INDEX($AG$2:$AG$1001,MATCH(ROWS($AF$2:AF632),$AF$2:$AF$1001,0),1)&gt;=100000,INDEX($AM$1005:$BM$1005,1,MATCH(COLUMNS($AM$1006:AQ1006),$AM$1006:$BM$1006,0))&gt;=100000), " ",IF(INDEX($AM$2:$BM$1001,MATCH(ROWS($AF$2:AF632),$AF$2:$AF$1001,0),MATCH(COLUMNS($AM$1006:AQ1006),$AM$1006:$BM$1006,0)), HYPERLINK("#",""), HYPERLINK(CONCATENATE("#metadata!", ADDRESS(INDEX($AH$2:$AH$1001,MATCH(ROWS($AF$2:AF632),$AF$2:$AF$1001,0),0), INDEX($AM$1004:$BM$1004,1,MATCH(COLUMNS($AM$1006:AQ1006),$AM$1006:$BM$1006,0)))),"Fix")))</f>
        <v xml:space="preserve"> </v>
      </c>
      <c r="G632" s="4" t="str">
        <f ca="1">IF(OR(INDEX($AG$2:$AG$1001,MATCH(ROWS($AF$2:AF632),$AF$2:$AF$1001,0),1)&gt;=100000,INDEX($AM$1005:$BM$1005,1,MATCH(COLUMNS($AM$1006:AR1006),$AM$1006:$BM$1006,0))&gt;=100000), " ",IF(INDEX($AM$2:$BM$1001,MATCH(ROWS($AF$2:AF632),$AF$2:$AF$1001,0),MATCH(COLUMNS($AM$1006:AR1006),$AM$1006:$BM$1006,0)), HYPERLINK("#",""), HYPERLINK(CONCATENATE("#metadata!", ADDRESS(INDEX($AH$2:$AH$1001,MATCH(ROWS($AF$2:AF632),$AF$2:$AF$1001,0),0), INDEX($AM$1004:$BM$1004,1,MATCH(COLUMNS($AM$1006:AR1006),$AM$1006:$BM$1006,0)))),"Fix")))</f>
        <v xml:space="preserve"> </v>
      </c>
      <c r="H632" s="4" t="str">
        <f ca="1">IF(OR(INDEX($AG$2:$AG$1001,MATCH(ROWS($AF$2:AF632),$AF$2:$AF$1001,0),1)&gt;=100000,INDEX($AM$1005:$BM$1005,1,MATCH(COLUMNS($AM$1006:AS1006),$AM$1006:$BM$1006,0))&gt;=100000), " ",IF(INDEX($AM$2:$BM$1001,MATCH(ROWS($AF$2:AF632),$AF$2:$AF$1001,0),MATCH(COLUMNS($AM$1006:AS1006),$AM$1006:$BM$1006,0)), HYPERLINK("#",""), HYPERLINK(CONCATENATE("#metadata!", ADDRESS(INDEX($AH$2:$AH$1001,MATCH(ROWS($AF$2:AF632),$AF$2:$AF$1001,0),0), INDEX($AM$1004:$BM$1004,1,MATCH(COLUMNS($AM$1006:AS1006),$AM$1006:$BM$1006,0)))),"Fix")))</f>
        <v xml:space="preserve"> </v>
      </c>
      <c r="I632" s="4" t="str">
        <f ca="1">IF(OR(INDEX($AG$2:$AG$1001,MATCH(ROWS($AF$2:AF632),$AF$2:$AF$1001,0),1)&gt;=100000,INDEX($AM$1005:$BM$1005,1,MATCH(COLUMNS($AM$1006:AT1006),$AM$1006:$BM$1006,0))&gt;=100000), " ",IF(INDEX($AM$2:$BM$1001,MATCH(ROWS($AF$2:AF632),$AF$2:$AF$1001,0),MATCH(COLUMNS($AM$1006:AT1006),$AM$1006:$BM$1006,0)), HYPERLINK("#",""), HYPERLINK(CONCATENATE("#metadata!", ADDRESS(INDEX($AH$2:$AH$1001,MATCH(ROWS($AF$2:AF632),$AF$2:$AF$1001,0),0), INDEX($AM$1004:$BM$1004,1,MATCH(COLUMNS($AM$1006:AT1006),$AM$1006:$BM$1006,0)))),"Fix")))</f>
        <v xml:space="preserve"> </v>
      </c>
      <c r="J632" s="4" t="str">
        <f ca="1">IF(OR(INDEX($AG$2:$AG$1001,MATCH(ROWS($AF$2:AF632),$AF$2:$AF$1001,0),1)&gt;=100000,INDEX($AM$1005:$BM$1005,1,MATCH(COLUMNS($AM$1006:AU1006),$AM$1006:$BM$1006,0))&gt;=100000), " ",IF(INDEX($AM$2:$BM$1001,MATCH(ROWS($AF$2:AF632),$AF$2:$AF$1001,0),MATCH(COLUMNS($AM$1006:AU1006),$AM$1006:$BM$1006,0)), HYPERLINK("#",""), HYPERLINK(CONCATENATE("#metadata!", ADDRESS(INDEX($AH$2:$AH$1001,MATCH(ROWS($AF$2:AF632),$AF$2:$AF$1001,0),0), INDEX($AM$1004:$BM$1004,1,MATCH(COLUMNS($AM$1006:AU1006),$AM$1006:$BM$1006,0)))),"Fix")))</f>
        <v xml:space="preserve"> </v>
      </c>
      <c r="K632" s="4" t="str">
        <f ca="1">IF(OR(INDEX($AG$2:$AG$1001,MATCH(ROWS($AF$2:AF632),$AF$2:$AF$1001,0),1)&gt;=100000,INDEX($AM$1005:$BM$1005,1,MATCH(COLUMNS($AM$1006:AV1006),$AM$1006:$BM$1006,0))&gt;=100000), " ",IF(INDEX($AM$2:$BM$1001,MATCH(ROWS($AF$2:AF632),$AF$2:$AF$1001,0),MATCH(COLUMNS($AM$1006:AV1006),$AM$1006:$BM$1006,0)), HYPERLINK("#",""), HYPERLINK(CONCATENATE("#metadata!", ADDRESS(INDEX($AH$2:$AH$1001,MATCH(ROWS($AF$2:AF632),$AF$2:$AF$1001,0),0), INDEX($AM$1004:$BM$1004,1,MATCH(COLUMNS($AM$1006:AV1006),$AM$1006:$BM$1006,0)))),"Fix")))</f>
        <v xml:space="preserve"> </v>
      </c>
      <c r="L632" s="4" t="str">
        <f ca="1">IF(OR(INDEX($AG$2:$AG$1001,MATCH(ROWS($AF$2:AF632),$AF$2:$AF$1001,0),1)&gt;=100000,INDEX($AM$1005:$BM$1005,1,MATCH(COLUMNS($AM$1006:AW1006),$AM$1006:$BM$1006,0))&gt;=100000), " ",IF(INDEX($AM$2:$BM$1001,MATCH(ROWS($AF$2:AF632),$AF$2:$AF$1001,0),MATCH(COLUMNS($AM$1006:AW1006),$AM$1006:$BM$1006,0)), HYPERLINK("#",""), HYPERLINK(CONCATENATE("#metadata!", ADDRESS(INDEX($AH$2:$AH$1001,MATCH(ROWS($AF$2:AF632),$AF$2:$AF$1001,0),0), INDEX($AM$1004:$BM$1004,1,MATCH(COLUMNS($AM$1006:AW1006),$AM$1006:$BM$1006,0)))),"Fix")))</f>
        <v xml:space="preserve"> </v>
      </c>
      <c r="M632" s="4" t="str">
        <f ca="1">IF(OR(INDEX($AG$2:$AG$1001,MATCH(ROWS($AF$2:AF632),$AF$2:$AF$1001,0),1)&gt;=100000,INDEX($AM$1005:$BM$1005,1,MATCH(COLUMNS($AM$1006:AX1006),$AM$1006:$BM$1006,0))&gt;=100000), " ",IF(INDEX($AM$2:$BM$1001,MATCH(ROWS($AF$2:AF632),$AF$2:$AF$1001,0),MATCH(COLUMNS($AM$1006:AX1006),$AM$1006:$BM$1006,0)), HYPERLINK("#",""), HYPERLINK(CONCATENATE("#metadata!", ADDRESS(INDEX($AH$2:$AH$1001,MATCH(ROWS($AF$2:AF632),$AF$2:$AF$1001,0),0), INDEX($AM$1004:$BM$1004,1,MATCH(COLUMNS($AM$1006:AX1006),$AM$1006:$BM$1006,0)))),"Fix")))</f>
        <v xml:space="preserve"> </v>
      </c>
      <c r="N632" s="4" t="str">
        <f ca="1">IF(OR(INDEX($AG$2:$AG$1001,MATCH(ROWS($AF$2:AF632),$AF$2:$AF$1001,0),1)&gt;=100000,INDEX($AM$1005:$BM$1005,1,MATCH(COLUMNS($AM$1006:AY1006),$AM$1006:$BM$1006,0))&gt;=100000), " ",IF(INDEX($AM$2:$BM$1001,MATCH(ROWS($AF$2:AF632),$AF$2:$AF$1001,0),MATCH(COLUMNS($AM$1006:AY1006),$AM$1006:$BM$1006,0)), HYPERLINK("#",""), HYPERLINK(CONCATENATE("#metadata!", ADDRESS(INDEX($AH$2:$AH$1001,MATCH(ROWS($AF$2:AF632),$AF$2:$AF$1001,0),0), INDEX($AM$1004:$BM$1004,1,MATCH(COLUMNS($AM$1006:AY1006),$AM$1006:$BM$1006,0)))),"Fix")))</f>
        <v xml:space="preserve"> </v>
      </c>
      <c r="O632" s="4" t="str">
        <f ca="1">IF(OR(INDEX($AG$2:$AG$1001,MATCH(ROWS($AF$2:AF632),$AF$2:$AF$1001,0),1)&gt;=100000,INDEX($AM$1005:$BM$1005,1,MATCH(COLUMNS($AM$1006:AZ1006),$AM$1006:$BM$1006,0))&gt;=100000), " ",IF(INDEX($AM$2:$BM$1001,MATCH(ROWS($AF$2:AF632),$AF$2:$AF$1001,0),MATCH(COLUMNS($AM$1006:AZ1006),$AM$1006:$BM$1006,0)), HYPERLINK("#",""), HYPERLINK(CONCATENATE("#metadata!", ADDRESS(INDEX($AH$2:$AH$1001,MATCH(ROWS($AF$2:AF632),$AF$2:$AF$1001,0),0), INDEX($AM$1004:$BM$1004,1,MATCH(COLUMNS($AM$1006:AZ1006),$AM$1006:$BM$1006,0)))),"Fix")))</f>
        <v xml:space="preserve"> </v>
      </c>
      <c r="P632" s="4" t="str">
        <f ca="1">IF(OR(INDEX($AG$2:$AG$1001,MATCH(ROWS($AF$2:AF632),$AF$2:$AF$1001,0),1)&gt;=100000,INDEX($AM$1005:$BM$1005,1,MATCH(COLUMNS($AM$1006:BA1006),$AM$1006:$BM$1006,0))&gt;=100000), " ",IF(INDEX($AM$2:$BM$1001,MATCH(ROWS($AF$2:AF632),$AF$2:$AF$1001,0),MATCH(COLUMNS($AM$1006:BA1006),$AM$1006:$BM$1006,0)), HYPERLINK("#",""), HYPERLINK(CONCATENATE("#metadata!", ADDRESS(INDEX($AH$2:$AH$1001,MATCH(ROWS($AF$2:AF632),$AF$2:$AF$1001,0),0), INDEX($AM$1004:$BM$1004,1,MATCH(COLUMNS($AM$1006:BA1006),$AM$1006:$BM$1006,0)))),"Fix")))</f>
        <v xml:space="preserve"> </v>
      </c>
      <c r="Q632" s="4" t="str">
        <f ca="1">IF(OR(INDEX($AG$2:$AG$1001,MATCH(ROWS($AF$2:AF632),$AF$2:$AF$1001,0),1)&gt;=100000,INDEX($AM$1005:$BM$1005,1,MATCH(COLUMNS($AM$1006:BB1006),$AM$1006:$BM$1006,0))&gt;=100000), " ",IF(INDEX($AM$2:$BM$1001,MATCH(ROWS($AF$2:AF632),$AF$2:$AF$1001,0),MATCH(COLUMNS($AM$1006:BB1006),$AM$1006:$BM$1006,0)), HYPERLINK("#",""), HYPERLINK(CONCATENATE("#metadata!", ADDRESS(INDEX($AH$2:$AH$1001,MATCH(ROWS($AF$2:AF632),$AF$2:$AF$1001,0),0), INDEX($AM$1004:$BM$1004,1,MATCH(COLUMNS($AM$1006:BB1006),$AM$1006:$BM$1006,0)))),"Fix")))</f>
        <v xml:space="preserve"> </v>
      </c>
      <c r="R632" s="4" t="str">
        <f ca="1">IF(OR(INDEX($AG$2:$AG$1001,MATCH(ROWS($AF$2:AF632),$AF$2:$AF$1001,0),1)&gt;=100000,INDEX($AM$1005:$BM$1005,1,MATCH(COLUMNS($AM$1006:BC1006),$AM$1006:$BM$1006,0))&gt;=100000), " ",IF(INDEX($AM$2:$BM$1001,MATCH(ROWS($AF$2:AF632),$AF$2:$AF$1001,0),MATCH(COLUMNS($AM$1006:BC1006),$AM$1006:$BM$1006,0)), HYPERLINK("#",""), HYPERLINK(CONCATENATE("#metadata!", ADDRESS(INDEX($AH$2:$AH$1001,MATCH(ROWS($AF$2:AF632),$AF$2:$AF$1001,0),0), INDEX($AM$1004:$BM$1004,1,MATCH(COLUMNS($AM$1006:BC1006),$AM$1006:$BM$1006,0)))),"Fix")))</f>
        <v xml:space="preserve"> </v>
      </c>
      <c r="S632" s="4" t="str">
        <f ca="1">IF(OR(INDEX($AG$2:$AG$1001,MATCH(ROWS($AF$2:AF632),$AF$2:$AF$1001,0),1)&gt;=100000,INDEX($AM$1005:$BM$1005,1,MATCH(COLUMNS($AM$1006:BD1006),$AM$1006:$BM$1006,0))&gt;=100000), " ",IF(INDEX($AM$2:$BM$1001,MATCH(ROWS($AF$2:AF632),$AF$2:$AF$1001,0),MATCH(COLUMNS($AM$1006:BD1006),$AM$1006:$BM$1006,0)), HYPERLINK("#",""), HYPERLINK(CONCATENATE("#metadata!", ADDRESS(INDEX($AH$2:$AH$1001,MATCH(ROWS($AF$2:AF632),$AF$2:$AF$1001,0),0), INDEX($AM$1004:$BM$1004,1,MATCH(COLUMNS($AM$1006:BD1006),$AM$1006:$BM$1006,0)))),"Fix")))</f>
        <v xml:space="preserve"> </v>
      </c>
      <c r="T632" s="4" t="str">
        <f ca="1">IF(OR(INDEX($AG$2:$AG$1001,MATCH(ROWS($AF$2:AF632),$AF$2:$AF$1001,0),1)&gt;=100000,INDEX($AM$1005:$BM$1005,1,MATCH(COLUMNS($AM$1006:BE1006),$AM$1006:$BM$1006,0))&gt;=100000), " ",IF(INDEX($AM$2:$BM$1001,MATCH(ROWS($AF$2:AF632),$AF$2:$AF$1001,0),MATCH(COLUMNS($AM$1006:BE1006),$AM$1006:$BM$1006,0)), HYPERLINK("#",""), HYPERLINK(CONCATENATE("#metadata!", ADDRESS(INDEX($AH$2:$AH$1001,MATCH(ROWS($AF$2:AF632),$AF$2:$AF$1001,0),0), INDEX($AM$1004:$BM$1004,1,MATCH(COLUMNS($AM$1006:BE1006),$AM$1006:$BM$1006,0)))),"Fix")))</f>
        <v xml:space="preserve"> </v>
      </c>
      <c r="U632" s="4" t="str">
        <f ca="1">IF(OR(INDEX($AG$2:$AG$1001,MATCH(ROWS($AF$2:AF632),$AF$2:$AF$1001,0),1)&gt;=100000,INDEX($AM$1005:$BM$1005,1,MATCH(COLUMNS($AM$1006:BF1006),$AM$1006:$BM$1006,0))&gt;=100000), " ",IF(INDEX($AM$2:$BM$1001,MATCH(ROWS($AF$2:AF632),$AF$2:$AF$1001,0),MATCH(COLUMNS($AM$1006:BF1006),$AM$1006:$BM$1006,0)), HYPERLINK("#",""), HYPERLINK(CONCATENATE("#metadata!", ADDRESS(INDEX($AH$2:$AH$1001,MATCH(ROWS($AF$2:AF632),$AF$2:$AF$1001,0),0), INDEX($AM$1004:$BM$1004,1,MATCH(COLUMNS($AM$1006:BF1006),$AM$1006:$BM$1006,0)))),"Fix")))</f>
        <v xml:space="preserve"> </v>
      </c>
      <c r="V632" s="4" t="str">
        <f ca="1">IF(OR(INDEX($AG$2:$AG$1001,MATCH(ROWS($AF$2:AF632),$AF$2:$AF$1001,0),1)&gt;=100000,INDEX($AM$1005:$BM$1005,1,MATCH(COLUMNS($AM$1006:BG1006),$AM$1006:$BM$1006,0))&gt;=100000), " ",IF(INDEX($AM$2:$BM$1001,MATCH(ROWS($AF$2:AF632),$AF$2:$AF$1001,0),MATCH(COLUMNS($AM$1006:BG1006),$AM$1006:$BM$1006,0)), HYPERLINK("#",""), HYPERLINK(CONCATENATE("#metadata!", ADDRESS(INDEX($AH$2:$AH$1001,MATCH(ROWS($AF$2:AF632),$AF$2:$AF$1001,0),0), INDEX($AM$1004:$BM$1004,1,MATCH(COLUMNS($AM$1006:BG1006),$AM$1006:$BM$1006,0)))),"Fix")))</f>
        <v xml:space="preserve"> </v>
      </c>
      <c r="W632" s="4" t="str">
        <f ca="1">IF(OR(INDEX($AG$2:$AG$1001,MATCH(ROWS($AF$2:AF632),$AF$2:$AF$1001,0),1)&gt;=100000,INDEX($AM$1005:$BM$1005,1,MATCH(COLUMNS($AM$1006:BH1006),$AM$1006:$BM$1006,0))&gt;=100000), " ",IF(INDEX($AM$2:$BM$1001,MATCH(ROWS($AF$2:AF632),$AF$2:$AF$1001,0),MATCH(COLUMNS($AM$1006:BH1006),$AM$1006:$BM$1006,0)), HYPERLINK("#",""), HYPERLINK(CONCATENATE("#metadata!", ADDRESS(INDEX($AH$2:$AH$1001,MATCH(ROWS($AF$2:AF632),$AF$2:$AF$1001,0),0), INDEX($AM$1004:$BM$1004,1,MATCH(COLUMNS($AM$1006:BH1006),$AM$1006:$BM$1006,0)))),"Fix")))</f>
        <v xml:space="preserve"> </v>
      </c>
      <c r="X632" s="4" t="str">
        <f ca="1">IF(OR(INDEX($AG$2:$AG$1001,MATCH(ROWS($AF$2:AF632),$AF$2:$AF$1001,0),1)&gt;=100000,INDEX($AM$1005:$BM$1005,1,MATCH(COLUMNS($AM$1006:BI1006),$AM$1006:$BM$1006,0))&gt;=100000), " ",IF(INDEX($AM$2:$BM$1001,MATCH(ROWS($AF$2:AF632),$AF$2:$AF$1001,0),MATCH(COLUMNS($AM$1006:BI1006),$AM$1006:$BM$1006,0)), HYPERLINK("#",""), HYPERLINK(CONCATENATE("#metadata!", ADDRESS(INDEX($AH$2:$AH$1001,MATCH(ROWS($AF$2:AF632),$AF$2:$AF$1001,0),0), INDEX($AM$1004:$BM$1004,1,MATCH(COLUMNS($AM$1006:BI1006),$AM$1006:$BM$1006,0)))),"Fix")))</f>
        <v xml:space="preserve"> </v>
      </c>
      <c r="Y632" s="4" t="str">
        <f ca="1">IF(OR(INDEX($AG$2:$AG$1001,MATCH(ROWS($AF$2:AF632),$AF$2:$AF$1001,0),1)&gt;=100000,INDEX($AM$1005:$BM$1005,1,MATCH(COLUMNS($AM$1006:BJ1006),$AM$1006:$BM$1006,0))&gt;=100000), " ",IF(INDEX($AM$2:$BM$1001,MATCH(ROWS($AF$2:AF632),$AF$2:$AF$1001,0),MATCH(COLUMNS($AM$1006:BJ1006),$AM$1006:$BM$1006,0)), HYPERLINK("#",""), HYPERLINK(CONCATENATE("#metadata!", ADDRESS(INDEX($AH$2:$AH$1001,MATCH(ROWS($AF$2:AF632),$AF$2:$AF$1001,0),0), INDEX($AM$1004:$BM$1004,1,MATCH(COLUMNS($AM$1006:BJ1006),$AM$1006:$BM$1006,0)))),"Fix")))</f>
        <v xml:space="preserve"> </v>
      </c>
      <c r="Z632" s="4" t="str">
        <f ca="1">IF(OR(INDEX($AG$2:$AG$1001,MATCH(ROWS($AF$2:AF632),$AF$2:$AF$1001,0),1)&gt;=100000,INDEX($AM$1005:$BM$1005,1,MATCH(COLUMNS($AM$1006:BK1006),$AM$1006:$BM$1006,0))&gt;=100000), " ",IF(INDEX($AM$2:$BM$1001,MATCH(ROWS($AF$2:AF632),$AF$2:$AF$1001,0),MATCH(COLUMNS($AM$1006:BK1006),$AM$1006:$BM$1006,0)), HYPERLINK("#",""), HYPERLINK(CONCATENATE("#metadata!", ADDRESS(INDEX($AH$2:$AH$1001,MATCH(ROWS($AF$2:AF632),$AF$2:$AF$1001,0),0), INDEX($AM$1004:$BM$1004,1,MATCH(COLUMNS($AM$1006:BK1006),$AM$1006:$BM$1006,0)))),"Fix")))</f>
        <v xml:space="preserve"> </v>
      </c>
      <c r="AA632" s="4" t="str">
        <f ca="1">IF(OR(INDEX($AG$2:$AG$1001,MATCH(ROWS($AF$2:AF632),$AF$2:$AF$1001,0),1)&gt;=100000,INDEX($AM$1005:$BM$1005,1,MATCH(COLUMNS($AM$1006:BL1006),$AM$1006:$BM$1006,0))&gt;=100000), " ",IF(INDEX($AM$2:$BM$1001,MATCH(ROWS($AF$2:AF632),$AF$2:$AF$1001,0),MATCH(COLUMNS($AM$1006:BL1006),$AM$1006:$BM$1006,0)), HYPERLINK("#",""), HYPERLINK(CONCATENATE("#metadata!", ADDRESS(INDEX($AH$2:$AH$1001,MATCH(ROWS($AF$2:AF632),$AF$2:$AF$1001,0),0), INDEX($AM$1004:$BM$1004,1,MATCH(COLUMNS($AM$1006:BL1006),$AM$1006:$BM$1006,0)))),"Fix")))</f>
        <v xml:space="preserve"> </v>
      </c>
      <c r="AB632" s="4" t="str">
        <f ca="1">IF(OR(INDEX($AG$2:$AG$1001,MATCH(ROWS($AF$2:AF632),$AF$2:$AF$1001,0),1)&gt;=100000,INDEX($AM$1005:$BM$1005,1,MATCH(COLUMNS($AM$1006:BM1006),$AM$1006:$BM$1006,0))&gt;=100000), " ",IF(INDEX($AM$2:$BM$1001,MATCH(ROWS($AF$2:AF632),$AF$2:$AF$1001,0),MATCH(COLUMNS($AM$1006:BM1006),$AM$1006:$BM$1006,0)), HYPERLINK("#",""), HYPERLINK(CONCATENATE("#metadata!", ADDRESS(INDEX($AH$2:$AH$1001,MATCH(ROWS($AF$2:AF632),$AF$2:$AF$1001,0),0), INDEX($AM$1004:$BM$1004,1,MATCH(COLUMNS($AM$1006:BM1006),$AM$1006:$BM$1006,0)))),"Fix")))</f>
        <v xml:space="preserve"> </v>
      </c>
      <c r="AF632">
        <v>631</v>
      </c>
      <c r="AG632">
        <v>100632</v>
      </c>
      <c r="AH632">
        <v>632</v>
      </c>
      <c r="AI632" t="b">
        <f t="shared" si="9"/>
        <v>1</v>
      </c>
      <c r="AJ632" t="b">
        <f>COUNTBLANK(metadata!B632:AB632)=COLUMNS(metadata!B632:AB632)</f>
        <v>1</v>
      </c>
      <c r="AK632" t="str">
        <v/>
      </c>
      <c r="AM632" t="b">
        <f ca="1">AND(IF(metadata!B632="",FALSE,TRUE),COUNTIF(metadata!B:B, metadata!B632) = 1,NOT(ISERROR(SUMPRODUCT(SEARCH(MID(metadata!B632,ROW(INDIRECT("1:"&amp;LEN(metadata!B632))), 1),"0123456789abcdefghijklmnopqrstuvwxyzABCDEFGHIJKLMNOPQRSTUVWXYZ.")))))</f>
        <v>0</v>
      </c>
      <c r="AN632" t="b">
        <f ca="1">OR(AND(IF(metadata!C632="",FALSE,TRUE),OR(EXACT(metadata!C632,"missing: not collected"),EXACT(metadata!C632,"missing: not provided"),EXACT(metadata!C632,"missing: restricted access"))),AND(IF(metadata!C632="",FALSE,TRUE),AND(AND(IFERROR(INT(LEFT(metadata!C632,4))&gt;1900,FALSE),IFERROR(INT(LEFT(metadata!C632,4))&lt;=YEAR(NOW()),FALSE)), OR(MID(metadata!C632,5,1)="", AND(AND(MID(metadata!C632,5,1)="-",IFERROR(INT(MID(metadata!C632,6,1))&gt;=0,FALSE),IFERROR(INT(MID(metadata!C632,6,1))&lt;=1,FALSE),NOT(MID(metadata!C632,7,1)=""),IFERROR(INT(MID(metadata!C632,6,2))&gt;=1,FALSE),IFERROR(INT(MID(metadata!C632,6,2))&lt;=12,FALSE)), OR(MID(metadata!C632,8,1)="", AND(AND(MID(metadata!C632,8,1)="-",IFERROR(INT(MID(metadata!C632,9,1))&gt;=0,FALSE),IFERROR(INT(MID(metadata!C632,9,1))&lt;=3,FALSE),NOT(MID(metadata!C632,10,1)=""),IFERROR(INT(MID(metadata!C632,9,2))&gt;=1,FALSE),IFERROR(INT(MID(metadata!C632,9,2))&lt;=31,FALSE)), OR(MID(metadata!C632,11,1)="", AND(AND(MID(metadata!C632,11,1)=" ",IFERROR(INT(MID(metadata!C632,12,1))&gt;=0,FALSE),IFERROR(INT(MID(metadata!C632,12,1))&lt;=2,FALSE),NOT(MID(metadata!C632,13,1)=""),IFERROR(INT(MID(metadata!C632,12,2))&gt;=0,FALSE),IFERROR(INT(MID(metadata!C632,12,2))&lt;=23,FALSE)), OR(MID(metadata!C632,14,1)="", AND(AND(MID(metadata!C632,14,1)=":",IFERROR(INT(MID(metadata!C632,15,1))&gt;=0,FALSE),IFERROR(INT(MID(metadata!C632,15,1))&lt;=5,FALSE),NOT(MID(metadata!C632,16,1)=""),IFERROR(INT(MID(metadata!C632,15,2))&gt;=0,FALSE),IFERROR(INT(MID(metadata!C632,15,2))&lt;=59,FALSE)), OR(MID(metadata!C632,17,1)="", AND(AND(MID(metadata!C632,17,1)=":",IFERROR(INT(MID(metadata!C632,18,1))&gt;=0,FALSE),IFERROR(INT(MID(metadata!C632,18,1))&lt;=5,FALSE),NOT(MID(metadata!C632,19,1)=""),IFERROR(INT(MID(metadata!C632,18,2))&gt;=0,FALSE),IFERROR(INT(MID(metadata!C632,18,2))&lt;=59,FALSE)), LEN(metadata!C632)&lt;=19)))))))))))))</f>
        <v>0</v>
      </c>
      <c r="AO632" t="b">
        <f>AND(IF(metadata!D632="",FALSE,TRUE),EXACT(metadata!D632,"Not applicable"))</f>
        <v>0</v>
      </c>
      <c r="AP632" t="b">
        <f>IF(metadata!E632="",FALSE,TRUE)</f>
        <v>0</v>
      </c>
      <c r="AQ632" t="b">
        <f>OR(AND(IF(metadata!F632="",FALSE,TRUE),OR(EXACT(metadata!F632,"missing: not collected"),EXACT(metadata!F632,"missing: not provided"))),AND(IF(metadata!F632="",FALSE,TRUE),OR(EXACT(metadata!F632,"TRUE"),EXACT(metadata!F632,"FALSE"))))</f>
        <v>0</v>
      </c>
      <c r="AR632" t="b">
        <f>OR(AND(IF(metadata!G632="",FALSE,TRUE),OR(EXACT(metadata!G632,"missing: not collected"),EXACT(metadata!G632,"missing: not provided"),EXACT(metadata!G632,"missing: restricted access"))),AND(IF(metadata!G632="",FALSE,ISNUMBER(VALUE(metadata!G632))),metadata!G632&gt;=-413))</f>
        <v>0</v>
      </c>
      <c r="AS632" t="b">
        <f>AND(IF(metadata!H632="",FALSE,TRUE),EXACT(metadata!H632,"meters"))</f>
        <v>0</v>
      </c>
      <c r="AT632" t="b">
        <f>AND(IF(metadata!I632="",FALSE,TRUE),OR(EXACT(metadata!I632,"Host-associated"),EXACT(metadata!I632,"Free-living")))</f>
        <v>0</v>
      </c>
      <c r="AU632" t="b">
        <f>AND(IF(metadata!J632="",FALSE,TRUE),OR(EXACT(metadata!J632,"Animal"),EXACT(metadata!J632,"Fungus"),EXACT(metadata!J632,"Plant"),EXACT(metadata!J632,"Saline"),EXACT(metadata!J632,"Non-saline")))</f>
        <v>0</v>
      </c>
      <c r="AV632" t="b">
        <f>AND(IF(metadata!K632="",FALSE,TRUE),OR(EXACT(metadata!K632,"Plant secretion"),EXACT(metadata!K632,"Plant rhizosphere"),EXACT(metadata!K632,"Plant surface"),EXACT(metadata!K632,"Plant corpus"),EXACT(metadata!K632,"Fungus surface"),EXACT(metadata!K632,"Fungus corpus"),EXACT(metadata!K632,"Animal surface"),EXACT(metadata!K632,"Animal proximal gut"),EXACT(metadata!K632,"Animal corpus"),EXACT(metadata!K632,"Animal distal gut"),EXACT(metadata!K632,"Animal secretion"),EXACT(metadata!K632,"Sub-surface (non-saline)"),EXACT(metadata!K632,"Surface (non-saline)"),EXACT(metadata!K632,"Water (non-saline)"),EXACT(metadata!K632,"Soil (non-saline)"),EXACT(metadata!K632,"Aerosol (non-saline)"),EXACT(metadata!K632,"Sediment (non-saline)"),EXACT(metadata!K632,"Surface (saline)"),EXACT(metadata!K632,"Water (saline)"),EXACT(metadata!K632,"Hypersaline (saline)"),EXACT(metadata!K632,"Aerosol (saline)"),EXACT(metadata!K632,"Sediment (saline)")))</f>
        <v>0</v>
      </c>
      <c r="AW632" t="b">
        <f>IF(metadata!L632="",FALSE,TRUE)</f>
        <v>0</v>
      </c>
      <c r="AX632" t="b">
        <f>IF(metadata!M632="",FALSE,TRUE)</f>
        <v>0</v>
      </c>
      <c r="AY632" t="b">
        <f>IF(metadata!N632="",FALSE,TRUE)</f>
        <v>0</v>
      </c>
      <c r="AZ632" t="b">
        <f>OR(AND(IF(metadata!O632="",FALSE,TRUE),OR(EXACT(metadata!O632,"missing: not collected"),EXACT(metadata!O632,"missing: not provided"),EXACT(metadata!O632,"missing: restricted access"))),AND(IF(metadata!O632="",FALSE,TRUE),OR(EXACT(metadata!O632,"air"),EXACT(metadata!O632,"built environment"),EXACT(metadata!O632,"host-associated"),EXACT(metadata!O632,"human-associated"),EXACT(metadata!O632,"human-skin"),EXACT(metadata!O632,"human-oral"),EXACT(metadata!O632,"human-gut"),EXACT(metadata!O632,"human-vaginal"),EXACT(metadata!O632,"microbial mat/biofilm"),EXACT(metadata!O632,"misc environment"),EXACT(metadata!O632,"plant-associated"),EXACT(metadata!O632,"sediment"),EXACT(metadata!O632,"soil"),EXACT(metadata!O632,"wastewater/sludge"),EXACT(metadata!O632,"water"))))</f>
        <v>0</v>
      </c>
      <c r="BA632" t="b">
        <f>IF(metadata!P632="",FALSE,TRUE)</f>
        <v>0</v>
      </c>
      <c r="BB632" t="b">
        <f>IF(metadata!Q632="",FALSE,TRUE)</f>
        <v>0</v>
      </c>
      <c r="BC632" t="b">
        <f>OR(AND(IF(metadata!R632="",FALSE,TRUE),OR(EXACT(metadata!R632,"missing: not collected"),EXACT(metadata!R632,"missing: not provided"),EXACT(metadata!R632,"missing: restricted access"))),AND(IF(metadata!R632="",FALSE,ISNUMBER(VALUE(metadata!R632))),metadata!R632&gt;=-90,metadata!R632&lt;=90))</f>
        <v>0</v>
      </c>
      <c r="BD632" t="b">
        <f>AND(IF(metadata!S632="",FALSE,TRUE),EXACT(metadata!S632,"Decimal degrees"))</f>
        <v>0</v>
      </c>
      <c r="BE632" t="b">
        <f>OR(AND(IF(metadata!T632="",FALSE,TRUE),OR(EXACT(metadata!T632,"missing: not collected"),EXACT(metadata!T632,"missing: not provided"),EXACT(metadata!T632,"missing: restricted access"))),AND(IF(metadata!T632="",FALSE,ISNUMBER(VALUE(metadata!T632))),metadata!T632&gt;=-180,metadata!T632&lt;=180))</f>
        <v>0</v>
      </c>
      <c r="BF632" t="b">
        <f>AND(IF(metadata!U632="",FALSE,TRUE),EXACT(metadata!U632,"Decimal degrees"))</f>
        <v>0</v>
      </c>
      <c r="BG632" t="b">
        <f>IF(metadata!V632="",FALSE,TRUE)</f>
        <v>0</v>
      </c>
      <c r="BH632" t="b">
        <f>OR(AND(IF(metadata!W632="",FALSE,TRUE),OR(EXACT(metadata!W632,"missing: not collected"),EXACT(metadata!W632,"missing: not provided"),EXACT(metadata!W632,"missing: restricted access"))),AND(IF(metadata!W632="",FALSE,TRUE),OR(EXACT(metadata!W632,"TRUE"),EXACT(metadata!W632,"FALSE"))))</f>
        <v>0</v>
      </c>
      <c r="BI632" t="b">
        <f>AND(IF(metadata!X632="",FALSE,TRUE),EXACT(metadata!X632,"other"))</f>
        <v>0</v>
      </c>
      <c r="BJ632" t="b">
        <f>IF(metadata!Y632="",FALSE,TRUE)</f>
        <v>0</v>
      </c>
      <c r="BK632" t="b">
        <f>OR(AND(IF(metadata!Z632="",FALSE,TRUE),OR(EXACT(metadata!Z632,"missing: not collected"),EXACT(metadata!Z632,"missing: not provided"))),AND(IF(metadata!Z632="",FALSE,IF(ISERROR(INT(metadata!Z632)),FALSE,INT(metadata!Z632)=metadata!Z632)),metadata!Z632&gt;0))</f>
        <v>0</v>
      </c>
      <c r="BL632" t="b">
        <f>AND(IF(metadata!AA632="",FALSE,TRUE),EXACT(metadata!AA632,"Not applicable"))</f>
        <v>0</v>
      </c>
      <c r="BM632" t="b">
        <f>IF(metadata!AB632="",FALSE,TRUE)</f>
        <v>0</v>
      </c>
    </row>
    <row r="633" spans="1:65" x14ac:dyDescent="0.2">
      <c r="A633" s="5" t="str">
        <f ca="1">IF(B633=" "," ",HYPERLINK(CONCATENATE("#metadata!",ADDRESS(INDEX($AH$2:$AH$1001,MATCH(ROWS($AF$2:AF633),$AF$2:$AF$1001,0),0),1)),INDEX($AK$2:$AK$1001,MATCH(ROWS($AF$2:AF633),$AF$2:$AF$1001,0),0)))</f>
        <v xml:space="preserve"> </v>
      </c>
      <c r="B633" s="4" t="str">
        <f ca="1">IF(OR(INDEX($AG$2:$AG$1001,MATCH(ROWS($AF$2:AF633),$AF$2:$AF$1001,0),1)&gt;=100000,INDEX($AM$1005:$BM$1005,1,MATCH(COLUMNS($AM$1006:AM1006),$AM$1006:$BM$1006,0))&gt;=100000), " ",IF(INDEX($AM$2:$BM$1001,MATCH(ROWS($AF$2:AF633),$AF$2:$AF$1001,0),MATCH(COLUMNS($AM$1006:AM1006),$AM$1006:$BM$1006,0)), HYPERLINK("#",""), HYPERLINK(CONCATENATE("#metadata!", ADDRESS(INDEX($AH$2:$AH$1001,MATCH(ROWS($AF$2:AF633),$AF$2:$AF$1001,0),0), INDEX($AM$1004:$BM$1004,1,MATCH(COLUMNS($AM$1006:AM1006),$AM$1006:$BM$1006,0)))),"Fix")))</f>
        <v xml:space="preserve"> </v>
      </c>
      <c r="C633" s="4" t="str">
        <f ca="1">IF(OR(INDEX($AG$2:$AG$1001,MATCH(ROWS($AF$2:AF633),$AF$2:$AF$1001,0),1)&gt;=100000,INDEX($AM$1005:$BM$1005,1,MATCH(COLUMNS($AM$1006:AN1006),$AM$1006:$BM$1006,0))&gt;=100000), " ",IF(INDEX($AM$2:$BM$1001,MATCH(ROWS($AF$2:AF633),$AF$2:$AF$1001,0),MATCH(COLUMNS($AM$1006:AN1006),$AM$1006:$BM$1006,0)), HYPERLINK("#",""), HYPERLINK(CONCATENATE("#metadata!", ADDRESS(INDEX($AH$2:$AH$1001,MATCH(ROWS($AF$2:AF633),$AF$2:$AF$1001,0),0), INDEX($AM$1004:$BM$1004,1,MATCH(COLUMNS($AM$1006:AN1006),$AM$1006:$BM$1006,0)))),"Fix")))</f>
        <v xml:space="preserve"> </v>
      </c>
      <c r="D633" s="4" t="str">
        <f ca="1">IF(OR(INDEX($AG$2:$AG$1001,MATCH(ROWS($AF$2:AF633),$AF$2:$AF$1001,0),1)&gt;=100000,INDEX($AM$1005:$BM$1005,1,MATCH(COLUMNS($AM$1006:AO1006),$AM$1006:$BM$1006,0))&gt;=100000), " ",IF(INDEX($AM$2:$BM$1001,MATCH(ROWS($AF$2:AF633),$AF$2:$AF$1001,0),MATCH(COLUMNS($AM$1006:AO1006),$AM$1006:$BM$1006,0)), HYPERLINK("#",""), HYPERLINK(CONCATENATE("#metadata!", ADDRESS(INDEX($AH$2:$AH$1001,MATCH(ROWS($AF$2:AF633),$AF$2:$AF$1001,0),0), INDEX($AM$1004:$BM$1004,1,MATCH(COLUMNS($AM$1006:AO1006),$AM$1006:$BM$1006,0)))),"Fix")))</f>
        <v xml:space="preserve"> </v>
      </c>
      <c r="E633" s="4" t="str">
        <f ca="1">IF(OR(INDEX($AG$2:$AG$1001,MATCH(ROWS($AF$2:AF633),$AF$2:$AF$1001,0),1)&gt;=100000,INDEX($AM$1005:$BM$1005,1,MATCH(COLUMNS($AM$1006:AP1006),$AM$1006:$BM$1006,0))&gt;=100000), " ",IF(INDEX($AM$2:$BM$1001,MATCH(ROWS($AF$2:AF633),$AF$2:$AF$1001,0),MATCH(COLUMNS($AM$1006:AP1006),$AM$1006:$BM$1006,0)), HYPERLINK("#",""), HYPERLINK(CONCATENATE("#metadata!", ADDRESS(INDEX($AH$2:$AH$1001,MATCH(ROWS($AF$2:AF633),$AF$2:$AF$1001,0),0), INDEX($AM$1004:$BM$1004,1,MATCH(COLUMNS($AM$1006:AP1006),$AM$1006:$BM$1006,0)))),"Fix")))</f>
        <v xml:space="preserve"> </v>
      </c>
      <c r="F633" s="4" t="str">
        <f ca="1">IF(OR(INDEX($AG$2:$AG$1001,MATCH(ROWS($AF$2:AF633),$AF$2:$AF$1001,0),1)&gt;=100000,INDEX($AM$1005:$BM$1005,1,MATCH(COLUMNS($AM$1006:AQ1006),$AM$1006:$BM$1006,0))&gt;=100000), " ",IF(INDEX($AM$2:$BM$1001,MATCH(ROWS($AF$2:AF633),$AF$2:$AF$1001,0),MATCH(COLUMNS($AM$1006:AQ1006),$AM$1006:$BM$1006,0)), HYPERLINK("#",""), HYPERLINK(CONCATENATE("#metadata!", ADDRESS(INDEX($AH$2:$AH$1001,MATCH(ROWS($AF$2:AF633),$AF$2:$AF$1001,0),0), INDEX($AM$1004:$BM$1004,1,MATCH(COLUMNS($AM$1006:AQ1006),$AM$1006:$BM$1006,0)))),"Fix")))</f>
        <v xml:space="preserve"> </v>
      </c>
      <c r="G633" s="4" t="str">
        <f ca="1">IF(OR(INDEX($AG$2:$AG$1001,MATCH(ROWS($AF$2:AF633),$AF$2:$AF$1001,0),1)&gt;=100000,INDEX($AM$1005:$BM$1005,1,MATCH(COLUMNS($AM$1006:AR1006),$AM$1006:$BM$1006,0))&gt;=100000), " ",IF(INDEX($AM$2:$BM$1001,MATCH(ROWS($AF$2:AF633),$AF$2:$AF$1001,0),MATCH(COLUMNS($AM$1006:AR1006),$AM$1006:$BM$1006,0)), HYPERLINK("#",""), HYPERLINK(CONCATENATE("#metadata!", ADDRESS(INDEX($AH$2:$AH$1001,MATCH(ROWS($AF$2:AF633),$AF$2:$AF$1001,0),0), INDEX($AM$1004:$BM$1004,1,MATCH(COLUMNS($AM$1006:AR1006),$AM$1006:$BM$1006,0)))),"Fix")))</f>
        <v xml:space="preserve"> </v>
      </c>
      <c r="H633" s="4" t="str">
        <f ca="1">IF(OR(INDEX($AG$2:$AG$1001,MATCH(ROWS($AF$2:AF633),$AF$2:$AF$1001,0),1)&gt;=100000,INDEX($AM$1005:$BM$1005,1,MATCH(COLUMNS($AM$1006:AS1006),$AM$1006:$BM$1006,0))&gt;=100000), " ",IF(INDEX($AM$2:$BM$1001,MATCH(ROWS($AF$2:AF633),$AF$2:$AF$1001,0),MATCH(COLUMNS($AM$1006:AS1006),$AM$1006:$BM$1006,0)), HYPERLINK("#",""), HYPERLINK(CONCATENATE("#metadata!", ADDRESS(INDEX($AH$2:$AH$1001,MATCH(ROWS($AF$2:AF633),$AF$2:$AF$1001,0),0), INDEX($AM$1004:$BM$1004,1,MATCH(COLUMNS($AM$1006:AS1006),$AM$1006:$BM$1006,0)))),"Fix")))</f>
        <v xml:space="preserve"> </v>
      </c>
      <c r="I633" s="4" t="str">
        <f ca="1">IF(OR(INDEX($AG$2:$AG$1001,MATCH(ROWS($AF$2:AF633),$AF$2:$AF$1001,0),1)&gt;=100000,INDEX($AM$1005:$BM$1005,1,MATCH(COLUMNS($AM$1006:AT1006),$AM$1006:$BM$1006,0))&gt;=100000), " ",IF(INDEX($AM$2:$BM$1001,MATCH(ROWS($AF$2:AF633),$AF$2:$AF$1001,0),MATCH(COLUMNS($AM$1006:AT1006),$AM$1006:$BM$1006,0)), HYPERLINK("#",""), HYPERLINK(CONCATENATE("#metadata!", ADDRESS(INDEX($AH$2:$AH$1001,MATCH(ROWS($AF$2:AF633),$AF$2:$AF$1001,0),0), INDEX($AM$1004:$BM$1004,1,MATCH(COLUMNS($AM$1006:AT1006),$AM$1006:$BM$1006,0)))),"Fix")))</f>
        <v xml:space="preserve"> </v>
      </c>
      <c r="J633" s="4" t="str">
        <f ca="1">IF(OR(INDEX($AG$2:$AG$1001,MATCH(ROWS($AF$2:AF633),$AF$2:$AF$1001,0),1)&gt;=100000,INDEX($AM$1005:$BM$1005,1,MATCH(COLUMNS($AM$1006:AU1006),$AM$1006:$BM$1006,0))&gt;=100000), " ",IF(INDEX($AM$2:$BM$1001,MATCH(ROWS($AF$2:AF633),$AF$2:$AF$1001,0),MATCH(COLUMNS($AM$1006:AU1006),$AM$1006:$BM$1006,0)), HYPERLINK("#",""), HYPERLINK(CONCATENATE("#metadata!", ADDRESS(INDEX($AH$2:$AH$1001,MATCH(ROWS($AF$2:AF633),$AF$2:$AF$1001,0),0), INDEX($AM$1004:$BM$1004,1,MATCH(COLUMNS($AM$1006:AU1006),$AM$1006:$BM$1006,0)))),"Fix")))</f>
        <v xml:space="preserve"> </v>
      </c>
      <c r="K633" s="4" t="str">
        <f ca="1">IF(OR(INDEX($AG$2:$AG$1001,MATCH(ROWS($AF$2:AF633),$AF$2:$AF$1001,0),1)&gt;=100000,INDEX($AM$1005:$BM$1005,1,MATCH(COLUMNS($AM$1006:AV1006),$AM$1006:$BM$1006,0))&gt;=100000), " ",IF(INDEX($AM$2:$BM$1001,MATCH(ROWS($AF$2:AF633),$AF$2:$AF$1001,0),MATCH(COLUMNS($AM$1006:AV1006),$AM$1006:$BM$1006,0)), HYPERLINK("#",""), HYPERLINK(CONCATENATE("#metadata!", ADDRESS(INDEX($AH$2:$AH$1001,MATCH(ROWS($AF$2:AF633),$AF$2:$AF$1001,0),0), INDEX($AM$1004:$BM$1004,1,MATCH(COLUMNS($AM$1006:AV1006),$AM$1006:$BM$1006,0)))),"Fix")))</f>
        <v xml:space="preserve"> </v>
      </c>
      <c r="L633" s="4" t="str">
        <f ca="1">IF(OR(INDEX($AG$2:$AG$1001,MATCH(ROWS($AF$2:AF633),$AF$2:$AF$1001,0),1)&gt;=100000,INDEX($AM$1005:$BM$1005,1,MATCH(COLUMNS($AM$1006:AW1006),$AM$1006:$BM$1006,0))&gt;=100000), " ",IF(INDEX($AM$2:$BM$1001,MATCH(ROWS($AF$2:AF633),$AF$2:$AF$1001,0),MATCH(COLUMNS($AM$1006:AW1006),$AM$1006:$BM$1006,0)), HYPERLINK("#",""), HYPERLINK(CONCATENATE("#metadata!", ADDRESS(INDEX($AH$2:$AH$1001,MATCH(ROWS($AF$2:AF633),$AF$2:$AF$1001,0),0), INDEX($AM$1004:$BM$1004,1,MATCH(COLUMNS($AM$1006:AW1006),$AM$1006:$BM$1006,0)))),"Fix")))</f>
        <v xml:space="preserve"> </v>
      </c>
      <c r="M633" s="4" t="str">
        <f ca="1">IF(OR(INDEX($AG$2:$AG$1001,MATCH(ROWS($AF$2:AF633),$AF$2:$AF$1001,0),1)&gt;=100000,INDEX($AM$1005:$BM$1005,1,MATCH(COLUMNS($AM$1006:AX1006),$AM$1006:$BM$1006,0))&gt;=100000), " ",IF(INDEX($AM$2:$BM$1001,MATCH(ROWS($AF$2:AF633),$AF$2:$AF$1001,0),MATCH(COLUMNS($AM$1006:AX1006),$AM$1006:$BM$1006,0)), HYPERLINK("#",""), HYPERLINK(CONCATENATE("#metadata!", ADDRESS(INDEX($AH$2:$AH$1001,MATCH(ROWS($AF$2:AF633),$AF$2:$AF$1001,0),0), INDEX($AM$1004:$BM$1004,1,MATCH(COLUMNS($AM$1006:AX1006),$AM$1006:$BM$1006,0)))),"Fix")))</f>
        <v xml:space="preserve"> </v>
      </c>
      <c r="N633" s="4" t="str">
        <f ca="1">IF(OR(INDEX($AG$2:$AG$1001,MATCH(ROWS($AF$2:AF633),$AF$2:$AF$1001,0),1)&gt;=100000,INDEX($AM$1005:$BM$1005,1,MATCH(COLUMNS($AM$1006:AY1006),$AM$1006:$BM$1006,0))&gt;=100000), " ",IF(INDEX($AM$2:$BM$1001,MATCH(ROWS($AF$2:AF633),$AF$2:$AF$1001,0),MATCH(COLUMNS($AM$1006:AY1006),$AM$1006:$BM$1006,0)), HYPERLINK("#",""), HYPERLINK(CONCATENATE("#metadata!", ADDRESS(INDEX($AH$2:$AH$1001,MATCH(ROWS($AF$2:AF633),$AF$2:$AF$1001,0),0), INDEX($AM$1004:$BM$1004,1,MATCH(COLUMNS($AM$1006:AY1006),$AM$1006:$BM$1006,0)))),"Fix")))</f>
        <v xml:space="preserve"> </v>
      </c>
      <c r="O633" s="4" t="str">
        <f ca="1">IF(OR(INDEX($AG$2:$AG$1001,MATCH(ROWS($AF$2:AF633),$AF$2:$AF$1001,0),1)&gt;=100000,INDEX($AM$1005:$BM$1005,1,MATCH(COLUMNS($AM$1006:AZ1006),$AM$1006:$BM$1006,0))&gt;=100000), " ",IF(INDEX($AM$2:$BM$1001,MATCH(ROWS($AF$2:AF633),$AF$2:$AF$1001,0),MATCH(COLUMNS($AM$1006:AZ1006),$AM$1006:$BM$1006,0)), HYPERLINK("#",""), HYPERLINK(CONCATENATE("#metadata!", ADDRESS(INDEX($AH$2:$AH$1001,MATCH(ROWS($AF$2:AF633),$AF$2:$AF$1001,0),0), INDEX($AM$1004:$BM$1004,1,MATCH(COLUMNS($AM$1006:AZ1006),$AM$1006:$BM$1006,0)))),"Fix")))</f>
        <v xml:space="preserve"> </v>
      </c>
      <c r="P633" s="4" t="str">
        <f ca="1">IF(OR(INDEX($AG$2:$AG$1001,MATCH(ROWS($AF$2:AF633),$AF$2:$AF$1001,0),1)&gt;=100000,INDEX($AM$1005:$BM$1005,1,MATCH(COLUMNS($AM$1006:BA1006),$AM$1006:$BM$1006,0))&gt;=100000), " ",IF(INDEX($AM$2:$BM$1001,MATCH(ROWS($AF$2:AF633),$AF$2:$AF$1001,0),MATCH(COLUMNS($AM$1006:BA1006),$AM$1006:$BM$1006,0)), HYPERLINK("#",""), HYPERLINK(CONCATENATE("#metadata!", ADDRESS(INDEX($AH$2:$AH$1001,MATCH(ROWS($AF$2:AF633),$AF$2:$AF$1001,0),0), INDEX($AM$1004:$BM$1004,1,MATCH(COLUMNS($AM$1006:BA1006),$AM$1006:$BM$1006,0)))),"Fix")))</f>
        <v xml:space="preserve"> </v>
      </c>
      <c r="Q633" s="4" t="str">
        <f ca="1">IF(OR(INDEX($AG$2:$AG$1001,MATCH(ROWS($AF$2:AF633),$AF$2:$AF$1001,0),1)&gt;=100000,INDEX($AM$1005:$BM$1005,1,MATCH(COLUMNS($AM$1006:BB1006),$AM$1006:$BM$1006,0))&gt;=100000), " ",IF(INDEX($AM$2:$BM$1001,MATCH(ROWS($AF$2:AF633),$AF$2:$AF$1001,0),MATCH(COLUMNS($AM$1006:BB1006),$AM$1006:$BM$1006,0)), HYPERLINK("#",""), HYPERLINK(CONCATENATE("#metadata!", ADDRESS(INDEX($AH$2:$AH$1001,MATCH(ROWS($AF$2:AF633),$AF$2:$AF$1001,0),0), INDEX($AM$1004:$BM$1004,1,MATCH(COLUMNS($AM$1006:BB1006),$AM$1006:$BM$1006,0)))),"Fix")))</f>
        <v xml:space="preserve"> </v>
      </c>
      <c r="R633" s="4" t="str">
        <f ca="1">IF(OR(INDEX($AG$2:$AG$1001,MATCH(ROWS($AF$2:AF633),$AF$2:$AF$1001,0),1)&gt;=100000,INDEX($AM$1005:$BM$1005,1,MATCH(COLUMNS($AM$1006:BC1006),$AM$1006:$BM$1006,0))&gt;=100000), " ",IF(INDEX($AM$2:$BM$1001,MATCH(ROWS($AF$2:AF633),$AF$2:$AF$1001,0),MATCH(COLUMNS($AM$1006:BC1006),$AM$1006:$BM$1006,0)), HYPERLINK("#",""), HYPERLINK(CONCATENATE("#metadata!", ADDRESS(INDEX($AH$2:$AH$1001,MATCH(ROWS($AF$2:AF633),$AF$2:$AF$1001,0),0), INDEX($AM$1004:$BM$1004,1,MATCH(COLUMNS($AM$1006:BC1006),$AM$1006:$BM$1006,0)))),"Fix")))</f>
        <v xml:space="preserve"> </v>
      </c>
      <c r="S633" s="4" t="str">
        <f ca="1">IF(OR(INDEX($AG$2:$AG$1001,MATCH(ROWS($AF$2:AF633),$AF$2:$AF$1001,0),1)&gt;=100000,INDEX($AM$1005:$BM$1005,1,MATCH(COLUMNS($AM$1006:BD1006),$AM$1006:$BM$1006,0))&gt;=100000), " ",IF(INDEX($AM$2:$BM$1001,MATCH(ROWS($AF$2:AF633),$AF$2:$AF$1001,0),MATCH(COLUMNS($AM$1006:BD1006),$AM$1006:$BM$1006,0)), HYPERLINK("#",""), HYPERLINK(CONCATENATE("#metadata!", ADDRESS(INDEX($AH$2:$AH$1001,MATCH(ROWS($AF$2:AF633),$AF$2:$AF$1001,0),0), INDEX($AM$1004:$BM$1004,1,MATCH(COLUMNS($AM$1006:BD1006),$AM$1006:$BM$1006,0)))),"Fix")))</f>
        <v xml:space="preserve"> </v>
      </c>
      <c r="T633" s="4" t="str">
        <f ca="1">IF(OR(INDEX($AG$2:$AG$1001,MATCH(ROWS($AF$2:AF633),$AF$2:$AF$1001,0),1)&gt;=100000,INDEX($AM$1005:$BM$1005,1,MATCH(COLUMNS($AM$1006:BE1006),$AM$1006:$BM$1006,0))&gt;=100000), " ",IF(INDEX($AM$2:$BM$1001,MATCH(ROWS($AF$2:AF633),$AF$2:$AF$1001,0),MATCH(COLUMNS($AM$1006:BE1006),$AM$1006:$BM$1006,0)), HYPERLINK("#",""), HYPERLINK(CONCATENATE("#metadata!", ADDRESS(INDEX($AH$2:$AH$1001,MATCH(ROWS($AF$2:AF633),$AF$2:$AF$1001,0),0), INDEX($AM$1004:$BM$1004,1,MATCH(COLUMNS($AM$1006:BE1006),$AM$1006:$BM$1006,0)))),"Fix")))</f>
        <v xml:space="preserve"> </v>
      </c>
      <c r="U633" s="4" t="str">
        <f ca="1">IF(OR(INDEX($AG$2:$AG$1001,MATCH(ROWS($AF$2:AF633),$AF$2:$AF$1001,0),1)&gt;=100000,INDEX($AM$1005:$BM$1005,1,MATCH(COLUMNS($AM$1006:BF1006),$AM$1006:$BM$1006,0))&gt;=100000), " ",IF(INDEX($AM$2:$BM$1001,MATCH(ROWS($AF$2:AF633),$AF$2:$AF$1001,0),MATCH(COLUMNS($AM$1006:BF1006),$AM$1006:$BM$1006,0)), HYPERLINK("#",""), HYPERLINK(CONCATENATE("#metadata!", ADDRESS(INDEX($AH$2:$AH$1001,MATCH(ROWS($AF$2:AF633),$AF$2:$AF$1001,0),0), INDEX($AM$1004:$BM$1004,1,MATCH(COLUMNS($AM$1006:BF1006),$AM$1006:$BM$1006,0)))),"Fix")))</f>
        <v xml:space="preserve"> </v>
      </c>
      <c r="V633" s="4" t="str">
        <f ca="1">IF(OR(INDEX($AG$2:$AG$1001,MATCH(ROWS($AF$2:AF633),$AF$2:$AF$1001,0),1)&gt;=100000,INDEX($AM$1005:$BM$1005,1,MATCH(COLUMNS($AM$1006:BG1006),$AM$1006:$BM$1006,0))&gt;=100000), " ",IF(INDEX($AM$2:$BM$1001,MATCH(ROWS($AF$2:AF633),$AF$2:$AF$1001,0),MATCH(COLUMNS($AM$1006:BG1006),$AM$1006:$BM$1006,0)), HYPERLINK("#",""), HYPERLINK(CONCATENATE("#metadata!", ADDRESS(INDEX($AH$2:$AH$1001,MATCH(ROWS($AF$2:AF633),$AF$2:$AF$1001,0),0), INDEX($AM$1004:$BM$1004,1,MATCH(COLUMNS($AM$1006:BG1006),$AM$1006:$BM$1006,0)))),"Fix")))</f>
        <v xml:space="preserve"> </v>
      </c>
      <c r="W633" s="4" t="str">
        <f ca="1">IF(OR(INDEX($AG$2:$AG$1001,MATCH(ROWS($AF$2:AF633),$AF$2:$AF$1001,0),1)&gt;=100000,INDEX($AM$1005:$BM$1005,1,MATCH(COLUMNS($AM$1006:BH1006),$AM$1006:$BM$1006,0))&gt;=100000), " ",IF(INDEX($AM$2:$BM$1001,MATCH(ROWS($AF$2:AF633),$AF$2:$AF$1001,0),MATCH(COLUMNS($AM$1006:BH1006),$AM$1006:$BM$1006,0)), HYPERLINK("#",""), HYPERLINK(CONCATENATE("#metadata!", ADDRESS(INDEX($AH$2:$AH$1001,MATCH(ROWS($AF$2:AF633),$AF$2:$AF$1001,0),0), INDEX($AM$1004:$BM$1004,1,MATCH(COLUMNS($AM$1006:BH1006),$AM$1006:$BM$1006,0)))),"Fix")))</f>
        <v xml:space="preserve"> </v>
      </c>
      <c r="X633" s="4" t="str">
        <f ca="1">IF(OR(INDEX($AG$2:$AG$1001,MATCH(ROWS($AF$2:AF633),$AF$2:$AF$1001,0),1)&gt;=100000,INDEX($AM$1005:$BM$1005,1,MATCH(COLUMNS($AM$1006:BI1006),$AM$1006:$BM$1006,0))&gt;=100000), " ",IF(INDEX($AM$2:$BM$1001,MATCH(ROWS($AF$2:AF633),$AF$2:$AF$1001,0),MATCH(COLUMNS($AM$1006:BI1006),$AM$1006:$BM$1006,0)), HYPERLINK("#",""), HYPERLINK(CONCATENATE("#metadata!", ADDRESS(INDEX($AH$2:$AH$1001,MATCH(ROWS($AF$2:AF633),$AF$2:$AF$1001,0),0), INDEX($AM$1004:$BM$1004,1,MATCH(COLUMNS($AM$1006:BI1006),$AM$1006:$BM$1006,0)))),"Fix")))</f>
        <v xml:space="preserve"> </v>
      </c>
      <c r="Y633" s="4" t="str">
        <f ca="1">IF(OR(INDEX($AG$2:$AG$1001,MATCH(ROWS($AF$2:AF633),$AF$2:$AF$1001,0),1)&gt;=100000,INDEX($AM$1005:$BM$1005,1,MATCH(COLUMNS($AM$1006:BJ1006),$AM$1006:$BM$1006,0))&gt;=100000), " ",IF(INDEX($AM$2:$BM$1001,MATCH(ROWS($AF$2:AF633),$AF$2:$AF$1001,0),MATCH(COLUMNS($AM$1006:BJ1006),$AM$1006:$BM$1006,0)), HYPERLINK("#",""), HYPERLINK(CONCATENATE("#metadata!", ADDRESS(INDEX($AH$2:$AH$1001,MATCH(ROWS($AF$2:AF633),$AF$2:$AF$1001,0),0), INDEX($AM$1004:$BM$1004,1,MATCH(COLUMNS($AM$1006:BJ1006),$AM$1006:$BM$1006,0)))),"Fix")))</f>
        <v xml:space="preserve"> </v>
      </c>
      <c r="Z633" s="4" t="str">
        <f ca="1">IF(OR(INDEX($AG$2:$AG$1001,MATCH(ROWS($AF$2:AF633),$AF$2:$AF$1001,0),1)&gt;=100000,INDEX($AM$1005:$BM$1005,1,MATCH(COLUMNS($AM$1006:BK1006),$AM$1006:$BM$1006,0))&gt;=100000), " ",IF(INDEX($AM$2:$BM$1001,MATCH(ROWS($AF$2:AF633),$AF$2:$AF$1001,0),MATCH(COLUMNS($AM$1006:BK1006),$AM$1006:$BM$1006,0)), HYPERLINK("#",""), HYPERLINK(CONCATENATE("#metadata!", ADDRESS(INDEX($AH$2:$AH$1001,MATCH(ROWS($AF$2:AF633),$AF$2:$AF$1001,0),0), INDEX($AM$1004:$BM$1004,1,MATCH(COLUMNS($AM$1006:BK1006),$AM$1006:$BM$1006,0)))),"Fix")))</f>
        <v xml:space="preserve"> </v>
      </c>
      <c r="AA633" s="4" t="str">
        <f ca="1">IF(OR(INDEX($AG$2:$AG$1001,MATCH(ROWS($AF$2:AF633),$AF$2:$AF$1001,0),1)&gt;=100000,INDEX($AM$1005:$BM$1005,1,MATCH(COLUMNS($AM$1006:BL1006),$AM$1006:$BM$1006,0))&gt;=100000), " ",IF(INDEX($AM$2:$BM$1001,MATCH(ROWS($AF$2:AF633),$AF$2:$AF$1001,0),MATCH(COLUMNS($AM$1006:BL1006),$AM$1006:$BM$1006,0)), HYPERLINK("#",""), HYPERLINK(CONCATENATE("#metadata!", ADDRESS(INDEX($AH$2:$AH$1001,MATCH(ROWS($AF$2:AF633),$AF$2:$AF$1001,0),0), INDEX($AM$1004:$BM$1004,1,MATCH(COLUMNS($AM$1006:BL1006),$AM$1006:$BM$1006,0)))),"Fix")))</f>
        <v xml:space="preserve"> </v>
      </c>
      <c r="AB633" s="4" t="str">
        <f ca="1">IF(OR(INDEX($AG$2:$AG$1001,MATCH(ROWS($AF$2:AF633),$AF$2:$AF$1001,0),1)&gt;=100000,INDEX($AM$1005:$BM$1005,1,MATCH(COLUMNS($AM$1006:BM1006),$AM$1006:$BM$1006,0))&gt;=100000), " ",IF(INDEX($AM$2:$BM$1001,MATCH(ROWS($AF$2:AF633),$AF$2:$AF$1001,0),MATCH(COLUMNS($AM$1006:BM1006),$AM$1006:$BM$1006,0)), HYPERLINK("#",""), HYPERLINK(CONCATENATE("#metadata!", ADDRESS(INDEX($AH$2:$AH$1001,MATCH(ROWS($AF$2:AF633),$AF$2:$AF$1001,0),0), INDEX($AM$1004:$BM$1004,1,MATCH(COLUMNS($AM$1006:BM1006),$AM$1006:$BM$1006,0)))),"Fix")))</f>
        <v xml:space="preserve"> </v>
      </c>
      <c r="AF633">
        <v>632</v>
      </c>
      <c r="AG633">
        <v>100633</v>
      </c>
      <c r="AH633">
        <v>633</v>
      </c>
      <c r="AI633" t="b">
        <f t="shared" si="9"/>
        <v>1</v>
      </c>
      <c r="AJ633" t="b">
        <f>COUNTBLANK(metadata!B633:AB633)=COLUMNS(metadata!B633:AB633)</f>
        <v>1</v>
      </c>
      <c r="AK633" t="str">
        <v/>
      </c>
      <c r="AM633" t="b">
        <f ca="1">AND(IF(metadata!B633="",FALSE,TRUE),COUNTIF(metadata!B:B, metadata!B633) = 1,NOT(ISERROR(SUMPRODUCT(SEARCH(MID(metadata!B633,ROW(INDIRECT("1:"&amp;LEN(metadata!B633))), 1),"0123456789abcdefghijklmnopqrstuvwxyzABCDEFGHIJKLMNOPQRSTUVWXYZ.")))))</f>
        <v>0</v>
      </c>
      <c r="AN633" t="b">
        <f ca="1">OR(AND(IF(metadata!C633="",FALSE,TRUE),OR(EXACT(metadata!C633,"missing: not collected"),EXACT(metadata!C633,"missing: not provided"),EXACT(metadata!C633,"missing: restricted access"))),AND(IF(metadata!C633="",FALSE,TRUE),AND(AND(IFERROR(INT(LEFT(metadata!C633,4))&gt;1900,FALSE),IFERROR(INT(LEFT(metadata!C633,4))&lt;=YEAR(NOW()),FALSE)), OR(MID(metadata!C633,5,1)="", AND(AND(MID(metadata!C633,5,1)="-",IFERROR(INT(MID(metadata!C633,6,1))&gt;=0,FALSE),IFERROR(INT(MID(metadata!C633,6,1))&lt;=1,FALSE),NOT(MID(metadata!C633,7,1)=""),IFERROR(INT(MID(metadata!C633,6,2))&gt;=1,FALSE),IFERROR(INT(MID(metadata!C633,6,2))&lt;=12,FALSE)), OR(MID(metadata!C633,8,1)="", AND(AND(MID(metadata!C633,8,1)="-",IFERROR(INT(MID(metadata!C633,9,1))&gt;=0,FALSE),IFERROR(INT(MID(metadata!C633,9,1))&lt;=3,FALSE),NOT(MID(metadata!C633,10,1)=""),IFERROR(INT(MID(metadata!C633,9,2))&gt;=1,FALSE),IFERROR(INT(MID(metadata!C633,9,2))&lt;=31,FALSE)), OR(MID(metadata!C633,11,1)="", AND(AND(MID(metadata!C633,11,1)=" ",IFERROR(INT(MID(metadata!C633,12,1))&gt;=0,FALSE),IFERROR(INT(MID(metadata!C633,12,1))&lt;=2,FALSE),NOT(MID(metadata!C633,13,1)=""),IFERROR(INT(MID(metadata!C633,12,2))&gt;=0,FALSE),IFERROR(INT(MID(metadata!C633,12,2))&lt;=23,FALSE)), OR(MID(metadata!C633,14,1)="", AND(AND(MID(metadata!C633,14,1)=":",IFERROR(INT(MID(metadata!C633,15,1))&gt;=0,FALSE),IFERROR(INT(MID(metadata!C633,15,1))&lt;=5,FALSE),NOT(MID(metadata!C633,16,1)=""),IFERROR(INT(MID(metadata!C633,15,2))&gt;=0,FALSE),IFERROR(INT(MID(metadata!C633,15,2))&lt;=59,FALSE)), OR(MID(metadata!C633,17,1)="", AND(AND(MID(metadata!C633,17,1)=":",IFERROR(INT(MID(metadata!C633,18,1))&gt;=0,FALSE),IFERROR(INT(MID(metadata!C633,18,1))&lt;=5,FALSE),NOT(MID(metadata!C633,19,1)=""),IFERROR(INT(MID(metadata!C633,18,2))&gt;=0,FALSE),IFERROR(INT(MID(metadata!C633,18,2))&lt;=59,FALSE)), LEN(metadata!C633)&lt;=19)))))))))))))</f>
        <v>0</v>
      </c>
      <c r="AO633" t="b">
        <f>AND(IF(metadata!D633="",FALSE,TRUE),EXACT(metadata!D633,"Not applicable"))</f>
        <v>0</v>
      </c>
      <c r="AP633" t="b">
        <f>IF(metadata!E633="",FALSE,TRUE)</f>
        <v>0</v>
      </c>
      <c r="AQ633" t="b">
        <f>OR(AND(IF(metadata!F633="",FALSE,TRUE),OR(EXACT(metadata!F633,"missing: not collected"),EXACT(metadata!F633,"missing: not provided"))),AND(IF(metadata!F633="",FALSE,TRUE),OR(EXACT(metadata!F633,"TRUE"),EXACT(metadata!F633,"FALSE"))))</f>
        <v>0</v>
      </c>
      <c r="AR633" t="b">
        <f>OR(AND(IF(metadata!G633="",FALSE,TRUE),OR(EXACT(metadata!G633,"missing: not collected"),EXACT(metadata!G633,"missing: not provided"),EXACT(metadata!G633,"missing: restricted access"))),AND(IF(metadata!G633="",FALSE,ISNUMBER(VALUE(metadata!G633))),metadata!G633&gt;=-413))</f>
        <v>0</v>
      </c>
      <c r="AS633" t="b">
        <f>AND(IF(metadata!H633="",FALSE,TRUE),EXACT(metadata!H633,"meters"))</f>
        <v>0</v>
      </c>
      <c r="AT633" t="b">
        <f>AND(IF(metadata!I633="",FALSE,TRUE),OR(EXACT(metadata!I633,"Host-associated"),EXACT(metadata!I633,"Free-living")))</f>
        <v>0</v>
      </c>
      <c r="AU633" t="b">
        <f>AND(IF(metadata!J633="",FALSE,TRUE),OR(EXACT(metadata!J633,"Animal"),EXACT(metadata!J633,"Fungus"),EXACT(metadata!J633,"Plant"),EXACT(metadata!J633,"Saline"),EXACT(metadata!J633,"Non-saline")))</f>
        <v>0</v>
      </c>
      <c r="AV633" t="b">
        <f>AND(IF(metadata!K633="",FALSE,TRUE),OR(EXACT(metadata!K633,"Plant secretion"),EXACT(metadata!K633,"Plant rhizosphere"),EXACT(metadata!K633,"Plant surface"),EXACT(metadata!K633,"Plant corpus"),EXACT(metadata!K633,"Fungus surface"),EXACT(metadata!K633,"Fungus corpus"),EXACT(metadata!K633,"Animal surface"),EXACT(metadata!K633,"Animal proximal gut"),EXACT(metadata!K633,"Animal corpus"),EXACT(metadata!K633,"Animal distal gut"),EXACT(metadata!K633,"Animal secretion"),EXACT(metadata!K633,"Sub-surface (non-saline)"),EXACT(metadata!K633,"Surface (non-saline)"),EXACT(metadata!K633,"Water (non-saline)"),EXACT(metadata!K633,"Soil (non-saline)"),EXACT(metadata!K633,"Aerosol (non-saline)"),EXACT(metadata!K633,"Sediment (non-saline)"),EXACT(metadata!K633,"Surface (saline)"),EXACT(metadata!K633,"Water (saline)"),EXACT(metadata!K633,"Hypersaline (saline)"),EXACT(metadata!K633,"Aerosol (saline)"),EXACT(metadata!K633,"Sediment (saline)")))</f>
        <v>0</v>
      </c>
      <c r="AW633" t="b">
        <f>IF(metadata!L633="",FALSE,TRUE)</f>
        <v>0</v>
      </c>
      <c r="AX633" t="b">
        <f>IF(metadata!M633="",FALSE,TRUE)</f>
        <v>0</v>
      </c>
      <c r="AY633" t="b">
        <f>IF(metadata!N633="",FALSE,TRUE)</f>
        <v>0</v>
      </c>
      <c r="AZ633" t="b">
        <f>OR(AND(IF(metadata!O633="",FALSE,TRUE),OR(EXACT(metadata!O633,"missing: not collected"),EXACT(metadata!O633,"missing: not provided"),EXACT(metadata!O633,"missing: restricted access"))),AND(IF(metadata!O633="",FALSE,TRUE),OR(EXACT(metadata!O633,"air"),EXACT(metadata!O633,"built environment"),EXACT(metadata!O633,"host-associated"),EXACT(metadata!O633,"human-associated"),EXACT(metadata!O633,"human-skin"),EXACT(metadata!O633,"human-oral"),EXACT(metadata!O633,"human-gut"),EXACT(metadata!O633,"human-vaginal"),EXACT(metadata!O633,"microbial mat/biofilm"),EXACT(metadata!O633,"misc environment"),EXACT(metadata!O633,"plant-associated"),EXACT(metadata!O633,"sediment"),EXACT(metadata!O633,"soil"),EXACT(metadata!O633,"wastewater/sludge"),EXACT(metadata!O633,"water"))))</f>
        <v>0</v>
      </c>
      <c r="BA633" t="b">
        <f>IF(metadata!P633="",FALSE,TRUE)</f>
        <v>0</v>
      </c>
      <c r="BB633" t="b">
        <f>IF(metadata!Q633="",FALSE,TRUE)</f>
        <v>0</v>
      </c>
      <c r="BC633" t="b">
        <f>OR(AND(IF(metadata!R633="",FALSE,TRUE),OR(EXACT(metadata!R633,"missing: not collected"),EXACT(metadata!R633,"missing: not provided"),EXACT(metadata!R633,"missing: restricted access"))),AND(IF(metadata!R633="",FALSE,ISNUMBER(VALUE(metadata!R633))),metadata!R633&gt;=-90,metadata!R633&lt;=90))</f>
        <v>0</v>
      </c>
      <c r="BD633" t="b">
        <f>AND(IF(metadata!S633="",FALSE,TRUE),EXACT(metadata!S633,"Decimal degrees"))</f>
        <v>0</v>
      </c>
      <c r="BE633" t="b">
        <f>OR(AND(IF(metadata!T633="",FALSE,TRUE),OR(EXACT(metadata!T633,"missing: not collected"),EXACT(metadata!T633,"missing: not provided"),EXACT(metadata!T633,"missing: restricted access"))),AND(IF(metadata!T633="",FALSE,ISNUMBER(VALUE(metadata!T633))),metadata!T633&gt;=-180,metadata!T633&lt;=180))</f>
        <v>0</v>
      </c>
      <c r="BF633" t="b">
        <f>AND(IF(metadata!U633="",FALSE,TRUE),EXACT(metadata!U633,"Decimal degrees"))</f>
        <v>0</v>
      </c>
      <c r="BG633" t="b">
        <f>IF(metadata!V633="",FALSE,TRUE)</f>
        <v>0</v>
      </c>
      <c r="BH633" t="b">
        <f>OR(AND(IF(metadata!W633="",FALSE,TRUE),OR(EXACT(metadata!W633,"missing: not collected"),EXACT(metadata!W633,"missing: not provided"),EXACT(metadata!W633,"missing: restricted access"))),AND(IF(metadata!W633="",FALSE,TRUE),OR(EXACT(metadata!W633,"TRUE"),EXACT(metadata!W633,"FALSE"))))</f>
        <v>0</v>
      </c>
      <c r="BI633" t="b">
        <f>AND(IF(metadata!X633="",FALSE,TRUE),EXACT(metadata!X633,"other"))</f>
        <v>0</v>
      </c>
      <c r="BJ633" t="b">
        <f>IF(metadata!Y633="",FALSE,TRUE)</f>
        <v>0</v>
      </c>
      <c r="BK633" t="b">
        <f>OR(AND(IF(metadata!Z633="",FALSE,TRUE),OR(EXACT(metadata!Z633,"missing: not collected"),EXACT(metadata!Z633,"missing: not provided"))),AND(IF(metadata!Z633="",FALSE,IF(ISERROR(INT(metadata!Z633)),FALSE,INT(metadata!Z633)=metadata!Z633)),metadata!Z633&gt;0))</f>
        <v>0</v>
      </c>
      <c r="BL633" t="b">
        <f>AND(IF(metadata!AA633="",FALSE,TRUE),EXACT(metadata!AA633,"Not applicable"))</f>
        <v>0</v>
      </c>
      <c r="BM633" t="b">
        <f>IF(metadata!AB633="",FALSE,TRUE)</f>
        <v>0</v>
      </c>
    </row>
    <row r="634" spans="1:65" x14ac:dyDescent="0.2">
      <c r="A634" s="5" t="str">
        <f ca="1">IF(B634=" "," ",HYPERLINK(CONCATENATE("#metadata!",ADDRESS(INDEX($AH$2:$AH$1001,MATCH(ROWS($AF$2:AF634),$AF$2:$AF$1001,0),0),1)),INDEX($AK$2:$AK$1001,MATCH(ROWS($AF$2:AF634),$AF$2:$AF$1001,0),0)))</f>
        <v xml:space="preserve"> </v>
      </c>
      <c r="B634" s="4" t="str">
        <f ca="1">IF(OR(INDEX($AG$2:$AG$1001,MATCH(ROWS($AF$2:AF634),$AF$2:$AF$1001,0),1)&gt;=100000,INDEX($AM$1005:$BM$1005,1,MATCH(COLUMNS($AM$1006:AM1006),$AM$1006:$BM$1006,0))&gt;=100000), " ",IF(INDEX($AM$2:$BM$1001,MATCH(ROWS($AF$2:AF634),$AF$2:$AF$1001,0),MATCH(COLUMNS($AM$1006:AM1006),$AM$1006:$BM$1006,0)), HYPERLINK("#",""), HYPERLINK(CONCATENATE("#metadata!", ADDRESS(INDEX($AH$2:$AH$1001,MATCH(ROWS($AF$2:AF634),$AF$2:$AF$1001,0),0), INDEX($AM$1004:$BM$1004,1,MATCH(COLUMNS($AM$1006:AM1006),$AM$1006:$BM$1006,0)))),"Fix")))</f>
        <v xml:space="preserve"> </v>
      </c>
      <c r="C634" s="4" t="str">
        <f ca="1">IF(OR(INDEX($AG$2:$AG$1001,MATCH(ROWS($AF$2:AF634),$AF$2:$AF$1001,0),1)&gt;=100000,INDEX($AM$1005:$BM$1005,1,MATCH(COLUMNS($AM$1006:AN1006),$AM$1006:$BM$1006,0))&gt;=100000), " ",IF(INDEX($AM$2:$BM$1001,MATCH(ROWS($AF$2:AF634),$AF$2:$AF$1001,0),MATCH(COLUMNS($AM$1006:AN1006),$AM$1006:$BM$1006,0)), HYPERLINK("#",""), HYPERLINK(CONCATENATE("#metadata!", ADDRESS(INDEX($AH$2:$AH$1001,MATCH(ROWS($AF$2:AF634),$AF$2:$AF$1001,0),0), INDEX($AM$1004:$BM$1004,1,MATCH(COLUMNS($AM$1006:AN1006),$AM$1006:$BM$1006,0)))),"Fix")))</f>
        <v xml:space="preserve"> </v>
      </c>
      <c r="D634" s="4" t="str">
        <f ca="1">IF(OR(INDEX($AG$2:$AG$1001,MATCH(ROWS($AF$2:AF634),$AF$2:$AF$1001,0),1)&gt;=100000,INDEX($AM$1005:$BM$1005,1,MATCH(COLUMNS($AM$1006:AO1006),$AM$1006:$BM$1006,0))&gt;=100000), " ",IF(INDEX($AM$2:$BM$1001,MATCH(ROWS($AF$2:AF634),$AF$2:$AF$1001,0),MATCH(COLUMNS($AM$1006:AO1006),$AM$1006:$BM$1006,0)), HYPERLINK("#",""), HYPERLINK(CONCATENATE("#metadata!", ADDRESS(INDEX($AH$2:$AH$1001,MATCH(ROWS($AF$2:AF634),$AF$2:$AF$1001,0),0), INDEX($AM$1004:$BM$1004,1,MATCH(COLUMNS($AM$1006:AO1006),$AM$1006:$BM$1006,0)))),"Fix")))</f>
        <v xml:space="preserve"> </v>
      </c>
      <c r="E634" s="4" t="str">
        <f ca="1">IF(OR(INDEX($AG$2:$AG$1001,MATCH(ROWS($AF$2:AF634),$AF$2:$AF$1001,0),1)&gt;=100000,INDEX($AM$1005:$BM$1005,1,MATCH(COLUMNS($AM$1006:AP1006),$AM$1006:$BM$1006,0))&gt;=100000), " ",IF(INDEX($AM$2:$BM$1001,MATCH(ROWS($AF$2:AF634),$AF$2:$AF$1001,0),MATCH(COLUMNS($AM$1006:AP1006),$AM$1006:$BM$1006,0)), HYPERLINK("#",""), HYPERLINK(CONCATENATE("#metadata!", ADDRESS(INDEX($AH$2:$AH$1001,MATCH(ROWS($AF$2:AF634),$AF$2:$AF$1001,0),0), INDEX($AM$1004:$BM$1004,1,MATCH(COLUMNS($AM$1006:AP1006),$AM$1006:$BM$1006,0)))),"Fix")))</f>
        <v xml:space="preserve"> </v>
      </c>
      <c r="F634" s="4" t="str">
        <f ca="1">IF(OR(INDEX($AG$2:$AG$1001,MATCH(ROWS($AF$2:AF634),$AF$2:$AF$1001,0),1)&gt;=100000,INDEX($AM$1005:$BM$1005,1,MATCH(COLUMNS($AM$1006:AQ1006),$AM$1006:$BM$1006,0))&gt;=100000), " ",IF(INDEX($AM$2:$BM$1001,MATCH(ROWS($AF$2:AF634),$AF$2:$AF$1001,0),MATCH(COLUMNS($AM$1006:AQ1006),$AM$1006:$BM$1006,0)), HYPERLINK("#",""), HYPERLINK(CONCATENATE("#metadata!", ADDRESS(INDEX($AH$2:$AH$1001,MATCH(ROWS($AF$2:AF634),$AF$2:$AF$1001,0),0), INDEX($AM$1004:$BM$1004,1,MATCH(COLUMNS($AM$1006:AQ1006),$AM$1006:$BM$1006,0)))),"Fix")))</f>
        <v xml:space="preserve"> </v>
      </c>
      <c r="G634" s="4" t="str">
        <f ca="1">IF(OR(INDEX($AG$2:$AG$1001,MATCH(ROWS($AF$2:AF634),$AF$2:$AF$1001,0),1)&gt;=100000,INDEX($AM$1005:$BM$1005,1,MATCH(COLUMNS($AM$1006:AR1006),$AM$1006:$BM$1006,0))&gt;=100000), " ",IF(INDEX($AM$2:$BM$1001,MATCH(ROWS($AF$2:AF634),$AF$2:$AF$1001,0),MATCH(COLUMNS($AM$1006:AR1006),$AM$1006:$BM$1006,0)), HYPERLINK("#",""), HYPERLINK(CONCATENATE("#metadata!", ADDRESS(INDEX($AH$2:$AH$1001,MATCH(ROWS($AF$2:AF634),$AF$2:$AF$1001,0),0), INDEX($AM$1004:$BM$1004,1,MATCH(COLUMNS($AM$1006:AR1006),$AM$1006:$BM$1006,0)))),"Fix")))</f>
        <v xml:space="preserve"> </v>
      </c>
      <c r="H634" s="4" t="str">
        <f ca="1">IF(OR(INDEX($AG$2:$AG$1001,MATCH(ROWS($AF$2:AF634),$AF$2:$AF$1001,0),1)&gt;=100000,INDEX($AM$1005:$BM$1005,1,MATCH(COLUMNS($AM$1006:AS1006),$AM$1006:$BM$1006,0))&gt;=100000), " ",IF(INDEX($AM$2:$BM$1001,MATCH(ROWS($AF$2:AF634),$AF$2:$AF$1001,0),MATCH(COLUMNS($AM$1006:AS1006),$AM$1006:$BM$1006,0)), HYPERLINK("#",""), HYPERLINK(CONCATENATE("#metadata!", ADDRESS(INDEX($AH$2:$AH$1001,MATCH(ROWS($AF$2:AF634),$AF$2:$AF$1001,0),0), INDEX($AM$1004:$BM$1004,1,MATCH(COLUMNS($AM$1006:AS1006),$AM$1006:$BM$1006,0)))),"Fix")))</f>
        <v xml:space="preserve"> </v>
      </c>
      <c r="I634" s="4" t="str">
        <f ca="1">IF(OR(INDEX($AG$2:$AG$1001,MATCH(ROWS($AF$2:AF634),$AF$2:$AF$1001,0),1)&gt;=100000,INDEX($AM$1005:$BM$1005,1,MATCH(COLUMNS($AM$1006:AT1006),$AM$1006:$BM$1006,0))&gt;=100000), " ",IF(INDEX($AM$2:$BM$1001,MATCH(ROWS($AF$2:AF634),$AF$2:$AF$1001,0),MATCH(COLUMNS($AM$1006:AT1006),$AM$1006:$BM$1006,0)), HYPERLINK("#",""), HYPERLINK(CONCATENATE("#metadata!", ADDRESS(INDEX($AH$2:$AH$1001,MATCH(ROWS($AF$2:AF634),$AF$2:$AF$1001,0),0), INDEX($AM$1004:$BM$1004,1,MATCH(COLUMNS($AM$1006:AT1006),$AM$1006:$BM$1006,0)))),"Fix")))</f>
        <v xml:space="preserve"> </v>
      </c>
      <c r="J634" s="4" t="str">
        <f ca="1">IF(OR(INDEX($AG$2:$AG$1001,MATCH(ROWS($AF$2:AF634),$AF$2:$AF$1001,0),1)&gt;=100000,INDEX($AM$1005:$BM$1005,1,MATCH(COLUMNS($AM$1006:AU1006),$AM$1006:$BM$1006,0))&gt;=100000), " ",IF(INDEX($AM$2:$BM$1001,MATCH(ROWS($AF$2:AF634),$AF$2:$AF$1001,0),MATCH(COLUMNS($AM$1006:AU1006),$AM$1006:$BM$1006,0)), HYPERLINK("#",""), HYPERLINK(CONCATENATE("#metadata!", ADDRESS(INDEX($AH$2:$AH$1001,MATCH(ROWS($AF$2:AF634),$AF$2:$AF$1001,0),0), INDEX($AM$1004:$BM$1004,1,MATCH(COLUMNS($AM$1006:AU1006),$AM$1006:$BM$1006,0)))),"Fix")))</f>
        <v xml:space="preserve"> </v>
      </c>
      <c r="K634" s="4" t="str">
        <f ca="1">IF(OR(INDEX($AG$2:$AG$1001,MATCH(ROWS($AF$2:AF634),$AF$2:$AF$1001,0),1)&gt;=100000,INDEX($AM$1005:$BM$1005,1,MATCH(COLUMNS($AM$1006:AV1006),$AM$1006:$BM$1006,0))&gt;=100000), " ",IF(INDEX($AM$2:$BM$1001,MATCH(ROWS($AF$2:AF634),$AF$2:$AF$1001,0),MATCH(COLUMNS($AM$1006:AV1006),$AM$1006:$BM$1006,0)), HYPERLINK("#",""), HYPERLINK(CONCATENATE("#metadata!", ADDRESS(INDEX($AH$2:$AH$1001,MATCH(ROWS($AF$2:AF634),$AF$2:$AF$1001,0),0), INDEX($AM$1004:$BM$1004,1,MATCH(COLUMNS($AM$1006:AV1006),$AM$1006:$BM$1006,0)))),"Fix")))</f>
        <v xml:space="preserve"> </v>
      </c>
      <c r="L634" s="4" t="str">
        <f ca="1">IF(OR(INDEX($AG$2:$AG$1001,MATCH(ROWS($AF$2:AF634),$AF$2:$AF$1001,0),1)&gt;=100000,INDEX($AM$1005:$BM$1005,1,MATCH(COLUMNS($AM$1006:AW1006),$AM$1006:$BM$1006,0))&gt;=100000), " ",IF(INDEX($AM$2:$BM$1001,MATCH(ROWS($AF$2:AF634),$AF$2:$AF$1001,0),MATCH(COLUMNS($AM$1006:AW1006),$AM$1006:$BM$1006,0)), HYPERLINK("#",""), HYPERLINK(CONCATENATE("#metadata!", ADDRESS(INDEX($AH$2:$AH$1001,MATCH(ROWS($AF$2:AF634),$AF$2:$AF$1001,0),0), INDEX($AM$1004:$BM$1004,1,MATCH(COLUMNS($AM$1006:AW1006),$AM$1006:$BM$1006,0)))),"Fix")))</f>
        <v xml:space="preserve"> </v>
      </c>
      <c r="M634" s="4" t="str">
        <f ca="1">IF(OR(INDEX($AG$2:$AG$1001,MATCH(ROWS($AF$2:AF634),$AF$2:$AF$1001,0),1)&gt;=100000,INDEX($AM$1005:$BM$1005,1,MATCH(COLUMNS($AM$1006:AX1006),$AM$1006:$BM$1006,0))&gt;=100000), " ",IF(INDEX($AM$2:$BM$1001,MATCH(ROWS($AF$2:AF634),$AF$2:$AF$1001,0),MATCH(COLUMNS($AM$1006:AX1006),$AM$1006:$BM$1006,0)), HYPERLINK("#",""), HYPERLINK(CONCATENATE("#metadata!", ADDRESS(INDEX($AH$2:$AH$1001,MATCH(ROWS($AF$2:AF634),$AF$2:$AF$1001,0),0), INDEX($AM$1004:$BM$1004,1,MATCH(COLUMNS($AM$1006:AX1006),$AM$1006:$BM$1006,0)))),"Fix")))</f>
        <v xml:space="preserve"> </v>
      </c>
      <c r="N634" s="4" t="str">
        <f ca="1">IF(OR(INDEX($AG$2:$AG$1001,MATCH(ROWS($AF$2:AF634),$AF$2:$AF$1001,0),1)&gt;=100000,INDEX($AM$1005:$BM$1005,1,MATCH(COLUMNS($AM$1006:AY1006),$AM$1006:$BM$1006,0))&gt;=100000), " ",IF(INDEX($AM$2:$BM$1001,MATCH(ROWS($AF$2:AF634),$AF$2:$AF$1001,0),MATCH(COLUMNS($AM$1006:AY1006),$AM$1006:$BM$1006,0)), HYPERLINK("#",""), HYPERLINK(CONCATENATE("#metadata!", ADDRESS(INDEX($AH$2:$AH$1001,MATCH(ROWS($AF$2:AF634),$AF$2:$AF$1001,0),0), INDEX($AM$1004:$BM$1004,1,MATCH(COLUMNS($AM$1006:AY1006),$AM$1006:$BM$1006,0)))),"Fix")))</f>
        <v xml:space="preserve"> </v>
      </c>
      <c r="O634" s="4" t="str">
        <f ca="1">IF(OR(INDEX($AG$2:$AG$1001,MATCH(ROWS($AF$2:AF634),$AF$2:$AF$1001,0),1)&gt;=100000,INDEX($AM$1005:$BM$1005,1,MATCH(COLUMNS($AM$1006:AZ1006),$AM$1006:$BM$1006,0))&gt;=100000), " ",IF(INDEX($AM$2:$BM$1001,MATCH(ROWS($AF$2:AF634),$AF$2:$AF$1001,0),MATCH(COLUMNS($AM$1006:AZ1006),$AM$1006:$BM$1006,0)), HYPERLINK("#",""), HYPERLINK(CONCATENATE("#metadata!", ADDRESS(INDEX($AH$2:$AH$1001,MATCH(ROWS($AF$2:AF634),$AF$2:$AF$1001,0),0), INDEX($AM$1004:$BM$1004,1,MATCH(COLUMNS($AM$1006:AZ1006),$AM$1006:$BM$1006,0)))),"Fix")))</f>
        <v xml:space="preserve"> </v>
      </c>
      <c r="P634" s="4" t="str">
        <f ca="1">IF(OR(INDEX($AG$2:$AG$1001,MATCH(ROWS($AF$2:AF634),$AF$2:$AF$1001,0),1)&gt;=100000,INDEX($AM$1005:$BM$1005,1,MATCH(COLUMNS($AM$1006:BA1006),$AM$1006:$BM$1006,0))&gt;=100000), " ",IF(INDEX($AM$2:$BM$1001,MATCH(ROWS($AF$2:AF634),$AF$2:$AF$1001,0),MATCH(COLUMNS($AM$1006:BA1006),$AM$1006:$BM$1006,0)), HYPERLINK("#",""), HYPERLINK(CONCATENATE("#metadata!", ADDRESS(INDEX($AH$2:$AH$1001,MATCH(ROWS($AF$2:AF634),$AF$2:$AF$1001,0),0), INDEX($AM$1004:$BM$1004,1,MATCH(COLUMNS($AM$1006:BA1006),$AM$1006:$BM$1006,0)))),"Fix")))</f>
        <v xml:space="preserve"> </v>
      </c>
      <c r="Q634" s="4" t="str">
        <f ca="1">IF(OR(INDEX($AG$2:$AG$1001,MATCH(ROWS($AF$2:AF634),$AF$2:$AF$1001,0),1)&gt;=100000,INDEX($AM$1005:$BM$1005,1,MATCH(COLUMNS($AM$1006:BB1006),$AM$1006:$BM$1006,0))&gt;=100000), " ",IF(INDEX($AM$2:$BM$1001,MATCH(ROWS($AF$2:AF634),$AF$2:$AF$1001,0),MATCH(COLUMNS($AM$1006:BB1006),$AM$1006:$BM$1006,0)), HYPERLINK("#",""), HYPERLINK(CONCATENATE("#metadata!", ADDRESS(INDEX($AH$2:$AH$1001,MATCH(ROWS($AF$2:AF634),$AF$2:$AF$1001,0),0), INDEX($AM$1004:$BM$1004,1,MATCH(COLUMNS($AM$1006:BB1006),$AM$1006:$BM$1006,0)))),"Fix")))</f>
        <v xml:space="preserve"> </v>
      </c>
      <c r="R634" s="4" t="str">
        <f ca="1">IF(OR(INDEX($AG$2:$AG$1001,MATCH(ROWS($AF$2:AF634),$AF$2:$AF$1001,0),1)&gt;=100000,INDEX($AM$1005:$BM$1005,1,MATCH(COLUMNS($AM$1006:BC1006),$AM$1006:$BM$1006,0))&gt;=100000), " ",IF(INDEX($AM$2:$BM$1001,MATCH(ROWS($AF$2:AF634),$AF$2:$AF$1001,0),MATCH(COLUMNS($AM$1006:BC1006),$AM$1006:$BM$1006,0)), HYPERLINK("#",""), HYPERLINK(CONCATENATE("#metadata!", ADDRESS(INDEX($AH$2:$AH$1001,MATCH(ROWS($AF$2:AF634),$AF$2:$AF$1001,0),0), INDEX($AM$1004:$BM$1004,1,MATCH(COLUMNS($AM$1006:BC1006),$AM$1006:$BM$1006,0)))),"Fix")))</f>
        <v xml:space="preserve"> </v>
      </c>
      <c r="S634" s="4" t="str">
        <f ca="1">IF(OR(INDEX($AG$2:$AG$1001,MATCH(ROWS($AF$2:AF634),$AF$2:$AF$1001,0),1)&gt;=100000,INDEX($AM$1005:$BM$1005,1,MATCH(COLUMNS($AM$1006:BD1006),$AM$1006:$BM$1006,0))&gt;=100000), " ",IF(INDEX($AM$2:$BM$1001,MATCH(ROWS($AF$2:AF634),$AF$2:$AF$1001,0),MATCH(COLUMNS($AM$1006:BD1006),$AM$1006:$BM$1006,0)), HYPERLINK("#",""), HYPERLINK(CONCATENATE("#metadata!", ADDRESS(INDEX($AH$2:$AH$1001,MATCH(ROWS($AF$2:AF634),$AF$2:$AF$1001,0),0), INDEX($AM$1004:$BM$1004,1,MATCH(COLUMNS($AM$1006:BD1006),$AM$1006:$BM$1006,0)))),"Fix")))</f>
        <v xml:space="preserve"> </v>
      </c>
      <c r="T634" s="4" t="str">
        <f ca="1">IF(OR(INDEX($AG$2:$AG$1001,MATCH(ROWS($AF$2:AF634),$AF$2:$AF$1001,0),1)&gt;=100000,INDEX($AM$1005:$BM$1005,1,MATCH(COLUMNS($AM$1006:BE1006),$AM$1006:$BM$1006,0))&gt;=100000), " ",IF(INDEX($AM$2:$BM$1001,MATCH(ROWS($AF$2:AF634),$AF$2:$AF$1001,0),MATCH(COLUMNS($AM$1006:BE1006),$AM$1006:$BM$1006,0)), HYPERLINK("#",""), HYPERLINK(CONCATENATE("#metadata!", ADDRESS(INDEX($AH$2:$AH$1001,MATCH(ROWS($AF$2:AF634),$AF$2:$AF$1001,0),0), INDEX($AM$1004:$BM$1004,1,MATCH(COLUMNS($AM$1006:BE1006),$AM$1006:$BM$1006,0)))),"Fix")))</f>
        <v xml:space="preserve"> </v>
      </c>
      <c r="U634" s="4" t="str">
        <f ca="1">IF(OR(INDEX($AG$2:$AG$1001,MATCH(ROWS($AF$2:AF634),$AF$2:$AF$1001,0),1)&gt;=100000,INDEX($AM$1005:$BM$1005,1,MATCH(COLUMNS($AM$1006:BF1006),$AM$1006:$BM$1006,0))&gt;=100000), " ",IF(INDEX($AM$2:$BM$1001,MATCH(ROWS($AF$2:AF634),$AF$2:$AF$1001,0),MATCH(COLUMNS($AM$1006:BF1006),$AM$1006:$BM$1006,0)), HYPERLINK("#",""), HYPERLINK(CONCATENATE("#metadata!", ADDRESS(INDEX($AH$2:$AH$1001,MATCH(ROWS($AF$2:AF634),$AF$2:$AF$1001,0),0), INDEX($AM$1004:$BM$1004,1,MATCH(COLUMNS($AM$1006:BF1006),$AM$1006:$BM$1006,0)))),"Fix")))</f>
        <v xml:space="preserve"> </v>
      </c>
      <c r="V634" s="4" t="str">
        <f ca="1">IF(OR(INDEX($AG$2:$AG$1001,MATCH(ROWS($AF$2:AF634),$AF$2:$AF$1001,0),1)&gt;=100000,INDEX($AM$1005:$BM$1005,1,MATCH(COLUMNS($AM$1006:BG1006),$AM$1006:$BM$1006,0))&gt;=100000), " ",IF(INDEX($AM$2:$BM$1001,MATCH(ROWS($AF$2:AF634),$AF$2:$AF$1001,0),MATCH(COLUMNS($AM$1006:BG1006),$AM$1006:$BM$1006,0)), HYPERLINK("#",""), HYPERLINK(CONCATENATE("#metadata!", ADDRESS(INDEX($AH$2:$AH$1001,MATCH(ROWS($AF$2:AF634),$AF$2:$AF$1001,0),0), INDEX($AM$1004:$BM$1004,1,MATCH(COLUMNS($AM$1006:BG1006),$AM$1006:$BM$1006,0)))),"Fix")))</f>
        <v xml:space="preserve"> </v>
      </c>
      <c r="W634" s="4" t="str">
        <f ca="1">IF(OR(INDEX($AG$2:$AG$1001,MATCH(ROWS($AF$2:AF634),$AF$2:$AF$1001,0),1)&gt;=100000,INDEX($AM$1005:$BM$1005,1,MATCH(COLUMNS($AM$1006:BH1006),$AM$1006:$BM$1006,0))&gt;=100000), " ",IF(INDEX($AM$2:$BM$1001,MATCH(ROWS($AF$2:AF634),$AF$2:$AF$1001,0),MATCH(COLUMNS($AM$1006:BH1006),$AM$1006:$BM$1006,0)), HYPERLINK("#",""), HYPERLINK(CONCATENATE("#metadata!", ADDRESS(INDEX($AH$2:$AH$1001,MATCH(ROWS($AF$2:AF634),$AF$2:$AF$1001,0),0), INDEX($AM$1004:$BM$1004,1,MATCH(COLUMNS($AM$1006:BH1006),$AM$1006:$BM$1006,0)))),"Fix")))</f>
        <v xml:space="preserve"> </v>
      </c>
      <c r="X634" s="4" t="str">
        <f ca="1">IF(OR(INDEX($AG$2:$AG$1001,MATCH(ROWS($AF$2:AF634),$AF$2:$AF$1001,0),1)&gt;=100000,INDEX($AM$1005:$BM$1005,1,MATCH(COLUMNS($AM$1006:BI1006),$AM$1006:$BM$1006,0))&gt;=100000), " ",IF(INDEX($AM$2:$BM$1001,MATCH(ROWS($AF$2:AF634),$AF$2:$AF$1001,0),MATCH(COLUMNS($AM$1006:BI1006),$AM$1006:$BM$1006,0)), HYPERLINK("#",""), HYPERLINK(CONCATENATE("#metadata!", ADDRESS(INDEX($AH$2:$AH$1001,MATCH(ROWS($AF$2:AF634),$AF$2:$AF$1001,0),0), INDEX($AM$1004:$BM$1004,1,MATCH(COLUMNS($AM$1006:BI1006),$AM$1006:$BM$1006,0)))),"Fix")))</f>
        <v xml:space="preserve"> </v>
      </c>
      <c r="Y634" s="4" t="str">
        <f ca="1">IF(OR(INDEX($AG$2:$AG$1001,MATCH(ROWS($AF$2:AF634),$AF$2:$AF$1001,0),1)&gt;=100000,INDEX($AM$1005:$BM$1005,1,MATCH(COLUMNS($AM$1006:BJ1006),$AM$1006:$BM$1006,0))&gt;=100000), " ",IF(INDEX($AM$2:$BM$1001,MATCH(ROWS($AF$2:AF634),$AF$2:$AF$1001,0),MATCH(COLUMNS($AM$1006:BJ1006),$AM$1006:$BM$1006,0)), HYPERLINK("#",""), HYPERLINK(CONCATENATE("#metadata!", ADDRESS(INDEX($AH$2:$AH$1001,MATCH(ROWS($AF$2:AF634),$AF$2:$AF$1001,0),0), INDEX($AM$1004:$BM$1004,1,MATCH(COLUMNS($AM$1006:BJ1006),$AM$1006:$BM$1006,0)))),"Fix")))</f>
        <v xml:space="preserve"> </v>
      </c>
      <c r="Z634" s="4" t="str">
        <f ca="1">IF(OR(INDEX($AG$2:$AG$1001,MATCH(ROWS($AF$2:AF634),$AF$2:$AF$1001,0),1)&gt;=100000,INDEX($AM$1005:$BM$1005,1,MATCH(COLUMNS($AM$1006:BK1006),$AM$1006:$BM$1006,0))&gt;=100000), " ",IF(INDEX($AM$2:$BM$1001,MATCH(ROWS($AF$2:AF634),$AF$2:$AF$1001,0),MATCH(COLUMNS($AM$1006:BK1006),$AM$1006:$BM$1006,0)), HYPERLINK("#",""), HYPERLINK(CONCATENATE("#metadata!", ADDRESS(INDEX($AH$2:$AH$1001,MATCH(ROWS($AF$2:AF634),$AF$2:$AF$1001,0),0), INDEX($AM$1004:$BM$1004,1,MATCH(COLUMNS($AM$1006:BK1006),$AM$1006:$BM$1006,0)))),"Fix")))</f>
        <v xml:space="preserve"> </v>
      </c>
      <c r="AA634" s="4" t="str">
        <f ca="1">IF(OR(INDEX($AG$2:$AG$1001,MATCH(ROWS($AF$2:AF634),$AF$2:$AF$1001,0),1)&gt;=100000,INDEX($AM$1005:$BM$1005,1,MATCH(COLUMNS($AM$1006:BL1006),$AM$1006:$BM$1006,0))&gt;=100000), " ",IF(INDEX($AM$2:$BM$1001,MATCH(ROWS($AF$2:AF634),$AF$2:$AF$1001,0),MATCH(COLUMNS($AM$1006:BL1006),$AM$1006:$BM$1006,0)), HYPERLINK("#",""), HYPERLINK(CONCATENATE("#metadata!", ADDRESS(INDEX($AH$2:$AH$1001,MATCH(ROWS($AF$2:AF634),$AF$2:$AF$1001,0),0), INDEX($AM$1004:$BM$1004,1,MATCH(COLUMNS($AM$1006:BL1006),$AM$1006:$BM$1006,0)))),"Fix")))</f>
        <v xml:space="preserve"> </v>
      </c>
      <c r="AB634" s="4" t="str">
        <f ca="1">IF(OR(INDEX($AG$2:$AG$1001,MATCH(ROWS($AF$2:AF634),$AF$2:$AF$1001,0),1)&gt;=100000,INDEX($AM$1005:$BM$1005,1,MATCH(COLUMNS($AM$1006:BM1006),$AM$1006:$BM$1006,0))&gt;=100000), " ",IF(INDEX($AM$2:$BM$1001,MATCH(ROWS($AF$2:AF634),$AF$2:$AF$1001,0),MATCH(COLUMNS($AM$1006:BM1006),$AM$1006:$BM$1006,0)), HYPERLINK("#",""), HYPERLINK(CONCATENATE("#metadata!", ADDRESS(INDEX($AH$2:$AH$1001,MATCH(ROWS($AF$2:AF634),$AF$2:$AF$1001,0),0), INDEX($AM$1004:$BM$1004,1,MATCH(COLUMNS($AM$1006:BM1006),$AM$1006:$BM$1006,0)))),"Fix")))</f>
        <v xml:space="preserve"> </v>
      </c>
      <c r="AF634">
        <v>633</v>
      </c>
      <c r="AG634">
        <v>100634</v>
      </c>
      <c r="AH634">
        <v>634</v>
      </c>
      <c r="AI634" t="b">
        <f t="shared" si="9"/>
        <v>1</v>
      </c>
      <c r="AJ634" t="b">
        <f>COUNTBLANK(metadata!B634:AB634)=COLUMNS(metadata!B634:AB634)</f>
        <v>1</v>
      </c>
      <c r="AK634" t="str">
        <v/>
      </c>
      <c r="AM634" t="b">
        <f ca="1">AND(IF(metadata!B634="",FALSE,TRUE),COUNTIF(metadata!B:B, metadata!B634) = 1,NOT(ISERROR(SUMPRODUCT(SEARCH(MID(metadata!B634,ROW(INDIRECT("1:"&amp;LEN(metadata!B634))), 1),"0123456789abcdefghijklmnopqrstuvwxyzABCDEFGHIJKLMNOPQRSTUVWXYZ.")))))</f>
        <v>0</v>
      </c>
      <c r="AN634" t="b">
        <f ca="1">OR(AND(IF(metadata!C634="",FALSE,TRUE),OR(EXACT(metadata!C634,"missing: not collected"),EXACT(metadata!C634,"missing: not provided"),EXACT(metadata!C634,"missing: restricted access"))),AND(IF(metadata!C634="",FALSE,TRUE),AND(AND(IFERROR(INT(LEFT(metadata!C634,4))&gt;1900,FALSE),IFERROR(INT(LEFT(metadata!C634,4))&lt;=YEAR(NOW()),FALSE)), OR(MID(metadata!C634,5,1)="", AND(AND(MID(metadata!C634,5,1)="-",IFERROR(INT(MID(metadata!C634,6,1))&gt;=0,FALSE),IFERROR(INT(MID(metadata!C634,6,1))&lt;=1,FALSE),NOT(MID(metadata!C634,7,1)=""),IFERROR(INT(MID(metadata!C634,6,2))&gt;=1,FALSE),IFERROR(INT(MID(metadata!C634,6,2))&lt;=12,FALSE)), OR(MID(metadata!C634,8,1)="", AND(AND(MID(metadata!C634,8,1)="-",IFERROR(INT(MID(metadata!C634,9,1))&gt;=0,FALSE),IFERROR(INT(MID(metadata!C634,9,1))&lt;=3,FALSE),NOT(MID(metadata!C634,10,1)=""),IFERROR(INT(MID(metadata!C634,9,2))&gt;=1,FALSE),IFERROR(INT(MID(metadata!C634,9,2))&lt;=31,FALSE)), OR(MID(metadata!C634,11,1)="", AND(AND(MID(metadata!C634,11,1)=" ",IFERROR(INT(MID(metadata!C634,12,1))&gt;=0,FALSE),IFERROR(INT(MID(metadata!C634,12,1))&lt;=2,FALSE),NOT(MID(metadata!C634,13,1)=""),IFERROR(INT(MID(metadata!C634,12,2))&gt;=0,FALSE),IFERROR(INT(MID(metadata!C634,12,2))&lt;=23,FALSE)), OR(MID(metadata!C634,14,1)="", AND(AND(MID(metadata!C634,14,1)=":",IFERROR(INT(MID(metadata!C634,15,1))&gt;=0,FALSE),IFERROR(INT(MID(metadata!C634,15,1))&lt;=5,FALSE),NOT(MID(metadata!C634,16,1)=""),IFERROR(INT(MID(metadata!C634,15,2))&gt;=0,FALSE),IFERROR(INT(MID(metadata!C634,15,2))&lt;=59,FALSE)), OR(MID(metadata!C634,17,1)="", AND(AND(MID(metadata!C634,17,1)=":",IFERROR(INT(MID(metadata!C634,18,1))&gt;=0,FALSE),IFERROR(INT(MID(metadata!C634,18,1))&lt;=5,FALSE),NOT(MID(metadata!C634,19,1)=""),IFERROR(INT(MID(metadata!C634,18,2))&gt;=0,FALSE),IFERROR(INT(MID(metadata!C634,18,2))&lt;=59,FALSE)), LEN(metadata!C634)&lt;=19)))))))))))))</f>
        <v>0</v>
      </c>
      <c r="AO634" t="b">
        <f>AND(IF(metadata!D634="",FALSE,TRUE),EXACT(metadata!D634,"Not applicable"))</f>
        <v>0</v>
      </c>
      <c r="AP634" t="b">
        <f>IF(metadata!E634="",FALSE,TRUE)</f>
        <v>0</v>
      </c>
      <c r="AQ634" t="b">
        <f>OR(AND(IF(metadata!F634="",FALSE,TRUE),OR(EXACT(metadata!F634,"missing: not collected"),EXACT(metadata!F634,"missing: not provided"))),AND(IF(metadata!F634="",FALSE,TRUE),OR(EXACT(metadata!F634,"TRUE"),EXACT(metadata!F634,"FALSE"))))</f>
        <v>0</v>
      </c>
      <c r="AR634" t="b">
        <f>OR(AND(IF(metadata!G634="",FALSE,TRUE),OR(EXACT(metadata!G634,"missing: not collected"),EXACT(metadata!G634,"missing: not provided"),EXACT(metadata!G634,"missing: restricted access"))),AND(IF(metadata!G634="",FALSE,ISNUMBER(VALUE(metadata!G634))),metadata!G634&gt;=-413))</f>
        <v>0</v>
      </c>
      <c r="AS634" t="b">
        <f>AND(IF(metadata!H634="",FALSE,TRUE),EXACT(metadata!H634,"meters"))</f>
        <v>0</v>
      </c>
      <c r="AT634" t="b">
        <f>AND(IF(metadata!I634="",FALSE,TRUE),OR(EXACT(metadata!I634,"Host-associated"),EXACT(metadata!I634,"Free-living")))</f>
        <v>0</v>
      </c>
      <c r="AU634" t="b">
        <f>AND(IF(metadata!J634="",FALSE,TRUE),OR(EXACT(metadata!J634,"Animal"),EXACT(metadata!J634,"Fungus"),EXACT(metadata!J634,"Plant"),EXACT(metadata!J634,"Saline"),EXACT(metadata!J634,"Non-saline")))</f>
        <v>0</v>
      </c>
      <c r="AV634" t="b">
        <f>AND(IF(metadata!K634="",FALSE,TRUE),OR(EXACT(metadata!K634,"Plant secretion"),EXACT(metadata!K634,"Plant rhizosphere"),EXACT(metadata!K634,"Plant surface"),EXACT(metadata!K634,"Plant corpus"),EXACT(metadata!K634,"Fungus surface"),EXACT(metadata!K634,"Fungus corpus"),EXACT(metadata!K634,"Animal surface"),EXACT(metadata!K634,"Animal proximal gut"),EXACT(metadata!K634,"Animal corpus"),EXACT(metadata!K634,"Animal distal gut"),EXACT(metadata!K634,"Animal secretion"),EXACT(metadata!K634,"Sub-surface (non-saline)"),EXACT(metadata!K634,"Surface (non-saline)"),EXACT(metadata!K634,"Water (non-saline)"),EXACT(metadata!K634,"Soil (non-saline)"),EXACT(metadata!K634,"Aerosol (non-saline)"),EXACT(metadata!K634,"Sediment (non-saline)"),EXACT(metadata!K634,"Surface (saline)"),EXACT(metadata!K634,"Water (saline)"),EXACT(metadata!K634,"Hypersaline (saline)"),EXACT(metadata!K634,"Aerosol (saline)"),EXACT(metadata!K634,"Sediment (saline)")))</f>
        <v>0</v>
      </c>
      <c r="AW634" t="b">
        <f>IF(metadata!L634="",FALSE,TRUE)</f>
        <v>0</v>
      </c>
      <c r="AX634" t="b">
        <f>IF(metadata!M634="",FALSE,TRUE)</f>
        <v>0</v>
      </c>
      <c r="AY634" t="b">
        <f>IF(metadata!N634="",FALSE,TRUE)</f>
        <v>0</v>
      </c>
      <c r="AZ634" t="b">
        <f>OR(AND(IF(metadata!O634="",FALSE,TRUE),OR(EXACT(metadata!O634,"missing: not collected"),EXACT(metadata!O634,"missing: not provided"),EXACT(metadata!O634,"missing: restricted access"))),AND(IF(metadata!O634="",FALSE,TRUE),OR(EXACT(metadata!O634,"air"),EXACT(metadata!O634,"built environment"),EXACT(metadata!O634,"host-associated"),EXACT(metadata!O634,"human-associated"),EXACT(metadata!O634,"human-skin"),EXACT(metadata!O634,"human-oral"),EXACT(metadata!O634,"human-gut"),EXACT(metadata!O634,"human-vaginal"),EXACT(metadata!O634,"microbial mat/biofilm"),EXACT(metadata!O634,"misc environment"),EXACT(metadata!O634,"plant-associated"),EXACT(metadata!O634,"sediment"),EXACT(metadata!O634,"soil"),EXACT(metadata!O634,"wastewater/sludge"),EXACT(metadata!O634,"water"))))</f>
        <v>0</v>
      </c>
      <c r="BA634" t="b">
        <f>IF(metadata!P634="",FALSE,TRUE)</f>
        <v>0</v>
      </c>
      <c r="BB634" t="b">
        <f>IF(metadata!Q634="",FALSE,TRUE)</f>
        <v>0</v>
      </c>
      <c r="BC634" t="b">
        <f>OR(AND(IF(metadata!R634="",FALSE,TRUE),OR(EXACT(metadata!R634,"missing: not collected"),EXACT(metadata!R634,"missing: not provided"),EXACT(metadata!R634,"missing: restricted access"))),AND(IF(metadata!R634="",FALSE,ISNUMBER(VALUE(metadata!R634))),metadata!R634&gt;=-90,metadata!R634&lt;=90))</f>
        <v>0</v>
      </c>
      <c r="BD634" t="b">
        <f>AND(IF(metadata!S634="",FALSE,TRUE),EXACT(metadata!S634,"Decimal degrees"))</f>
        <v>0</v>
      </c>
      <c r="BE634" t="b">
        <f>OR(AND(IF(metadata!T634="",FALSE,TRUE),OR(EXACT(metadata!T634,"missing: not collected"),EXACT(metadata!T634,"missing: not provided"),EXACT(metadata!T634,"missing: restricted access"))),AND(IF(metadata!T634="",FALSE,ISNUMBER(VALUE(metadata!T634))),metadata!T634&gt;=-180,metadata!T634&lt;=180))</f>
        <v>0</v>
      </c>
      <c r="BF634" t="b">
        <f>AND(IF(metadata!U634="",FALSE,TRUE),EXACT(metadata!U634,"Decimal degrees"))</f>
        <v>0</v>
      </c>
      <c r="BG634" t="b">
        <f>IF(metadata!V634="",FALSE,TRUE)</f>
        <v>0</v>
      </c>
      <c r="BH634" t="b">
        <f>OR(AND(IF(metadata!W634="",FALSE,TRUE),OR(EXACT(metadata!W634,"missing: not collected"),EXACT(metadata!W634,"missing: not provided"),EXACT(metadata!W634,"missing: restricted access"))),AND(IF(metadata!W634="",FALSE,TRUE),OR(EXACT(metadata!W634,"TRUE"),EXACT(metadata!W634,"FALSE"))))</f>
        <v>0</v>
      </c>
      <c r="BI634" t="b">
        <f>AND(IF(metadata!X634="",FALSE,TRUE),EXACT(metadata!X634,"other"))</f>
        <v>0</v>
      </c>
      <c r="BJ634" t="b">
        <f>IF(metadata!Y634="",FALSE,TRUE)</f>
        <v>0</v>
      </c>
      <c r="BK634" t="b">
        <f>OR(AND(IF(metadata!Z634="",FALSE,TRUE),OR(EXACT(metadata!Z634,"missing: not collected"),EXACT(metadata!Z634,"missing: not provided"))),AND(IF(metadata!Z634="",FALSE,IF(ISERROR(INT(metadata!Z634)),FALSE,INT(metadata!Z634)=metadata!Z634)),metadata!Z634&gt;0))</f>
        <v>0</v>
      </c>
      <c r="BL634" t="b">
        <f>AND(IF(metadata!AA634="",FALSE,TRUE),EXACT(metadata!AA634,"Not applicable"))</f>
        <v>0</v>
      </c>
      <c r="BM634" t="b">
        <f>IF(metadata!AB634="",FALSE,TRUE)</f>
        <v>0</v>
      </c>
    </row>
    <row r="635" spans="1:65" x14ac:dyDescent="0.2">
      <c r="A635" s="5" t="str">
        <f ca="1">IF(B635=" "," ",HYPERLINK(CONCATENATE("#metadata!",ADDRESS(INDEX($AH$2:$AH$1001,MATCH(ROWS($AF$2:AF635),$AF$2:$AF$1001,0),0),1)),INDEX($AK$2:$AK$1001,MATCH(ROWS($AF$2:AF635),$AF$2:$AF$1001,0),0)))</f>
        <v xml:space="preserve"> </v>
      </c>
      <c r="B635" s="4" t="str">
        <f ca="1">IF(OR(INDEX($AG$2:$AG$1001,MATCH(ROWS($AF$2:AF635),$AF$2:$AF$1001,0),1)&gt;=100000,INDEX($AM$1005:$BM$1005,1,MATCH(COLUMNS($AM$1006:AM1006),$AM$1006:$BM$1006,0))&gt;=100000), " ",IF(INDEX($AM$2:$BM$1001,MATCH(ROWS($AF$2:AF635),$AF$2:$AF$1001,0),MATCH(COLUMNS($AM$1006:AM1006),$AM$1006:$BM$1006,0)), HYPERLINK("#",""), HYPERLINK(CONCATENATE("#metadata!", ADDRESS(INDEX($AH$2:$AH$1001,MATCH(ROWS($AF$2:AF635),$AF$2:$AF$1001,0),0), INDEX($AM$1004:$BM$1004,1,MATCH(COLUMNS($AM$1006:AM1006),$AM$1006:$BM$1006,0)))),"Fix")))</f>
        <v xml:space="preserve"> </v>
      </c>
      <c r="C635" s="4" t="str">
        <f ca="1">IF(OR(INDEX($AG$2:$AG$1001,MATCH(ROWS($AF$2:AF635),$AF$2:$AF$1001,0),1)&gt;=100000,INDEX($AM$1005:$BM$1005,1,MATCH(COLUMNS($AM$1006:AN1006),$AM$1006:$BM$1006,0))&gt;=100000), " ",IF(INDEX($AM$2:$BM$1001,MATCH(ROWS($AF$2:AF635),$AF$2:$AF$1001,0),MATCH(COLUMNS($AM$1006:AN1006),$AM$1006:$BM$1006,0)), HYPERLINK("#",""), HYPERLINK(CONCATENATE("#metadata!", ADDRESS(INDEX($AH$2:$AH$1001,MATCH(ROWS($AF$2:AF635),$AF$2:$AF$1001,0),0), INDEX($AM$1004:$BM$1004,1,MATCH(COLUMNS($AM$1006:AN1006),$AM$1006:$BM$1006,0)))),"Fix")))</f>
        <v xml:space="preserve"> </v>
      </c>
      <c r="D635" s="4" t="str">
        <f ca="1">IF(OR(INDEX($AG$2:$AG$1001,MATCH(ROWS($AF$2:AF635),$AF$2:$AF$1001,0),1)&gt;=100000,INDEX($AM$1005:$BM$1005,1,MATCH(COLUMNS($AM$1006:AO1006),$AM$1006:$BM$1006,0))&gt;=100000), " ",IF(INDEX($AM$2:$BM$1001,MATCH(ROWS($AF$2:AF635),$AF$2:$AF$1001,0),MATCH(COLUMNS($AM$1006:AO1006),$AM$1006:$BM$1006,0)), HYPERLINK("#",""), HYPERLINK(CONCATENATE("#metadata!", ADDRESS(INDEX($AH$2:$AH$1001,MATCH(ROWS($AF$2:AF635),$AF$2:$AF$1001,0),0), INDEX($AM$1004:$BM$1004,1,MATCH(COLUMNS($AM$1006:AO1006),$AM$1006:$BM$1006,0)))),"Fix")))</f>
        <v xml:space="preserve"> </v>
      </c>
      <c r="E635" s="4" t="str">
        <f ca="1">IF(OR(INDEX($AG$2:$AG$1001,MATCH(ROWS($AF$2:AF635),$AF$2:$AF$1001,0),1)&gt;=100000,INDEX($AM$1005:$BM$1005,1,MATCH(COLUMNS($AM$1006:AP1006),$AM$1006:$BM$1006,0))&gt;=100000), " ",IF(INDEX($AM$2:$BM$1001,MATCH(ROWS($AF$2:AF635),$AF$2:$AF$1001,0),MATCH(COLUMNS($AM$1006:AP1006),$AM$1006:$BM$1006,0)), HYPERLINK("#",""), HYPERLINK(CONCATENATE("#metadata!", ADDRESS(INDEX($AH$2:$AH$1001,MATCH(ROWS($AF$2:AF635),$AF$2:$AF$1001,0),0), INDEX($AM$1004:$BM$1004,1,MATCH(COLUMNS($AM$1006:AP1006),$AM$1006:$BM$1006,0)))),"Fix")))</f>
        <v xml:space="preserve"> </v>
      </c>
      <c r="F635" s="4" t="str">
        <f ca="1">IF(OR(INDEX($AG$2:$AG$1001,MATCH(ROWS($AF$2:AF635),$AF$2:$AF$1001,0),1)&gt;=100000,INDEX($AM$1005:$BM$1005,1,MATCH(COLUMNS($AM$1006:AQ1006),$AM$1006:$BM$1006,0))&gt;=100000), " ",IF(INDEX($AM$2:$BM$1001,MATCH(ROWS($AF$2:AF635),$AF$2:$AF$1001,0),MATCH(COLUMNS($AM$1006:AQ1006),$AM$1006:$BM$1006,0)), HYPERLINK("#",""), HYPERLINK(CONCATENATE("#metadata!", ADDRESS(INDEX($AH$2:$AH$1001,MATCH(ROWS($AF$2:AF635),$AF$2:$AF$1001,0),0), INDEX($AM$1004:$BM$1004,1,MATCH(COLUMNS($AM$1006:AQ1006),$AM$1006:$BM$1006,0)))),"Fix")))</f>
        <v xml:space="preserve"> </v>
      </c>
      <c r="G635" s="4" t="str">
        <f ca="1">IF(OR(INDEX($AG$2:$AG$1001,MATCH(ROWS($AF$2:AF635),$AF$2:$AF$1001,0),1)&gt;=100000,INDEX($AM$1005:$BM$1005,1,MATCH(COLUMNS($AM$1006:AR1006),$AM$1006:$BM$1006,0))&gt;=100000), " ",IF(INDEX($AM$2:$BM$1001,MATCH(ROWS($AF$2:AF635),$AF$2:$AF$1001,0),MATCH(COLUMNS($AM$1006:AR1006),$AM$1006:$BM$1006,0)), HYPERLINK("#",""), HYPERLINK(CONCATENATE("#metadata!", ADDRESS(INDEX($AH$2:$AH$1001,MATCH(ROWS($AF$2:AF635),$AF$2:$AF$1001,0),0), INDEX($AM$1004:$BM$1004,1,MATCH(COLUMNS($AM$1006:AR1006),$AM$1006:$BM$1006,0)))),"Fix")))</f>
        <v xml:space="preserve"> </v>
      </c>
      <c r="H635" s="4" t="str">
        <f ca="1">IF(OR(INDEX($AG$2:$AG$1001,MATCH(ROWS($AF$2:AF635),$AF$2:$AF$1001,0),1)&gt;=100000,INDEX($AM$1005:$BM$1005,1,MATCH(COLUMNS($AM$1006:AS1006),$AM$1006:$BM$1006,0))&gt;=100000), " ",IF(INDEX($AM$2:$BM$1001,MATCH(ROWS($AF$2:AF635),$AF$2:$AF$1001,0),MATCH(COLUMNS($AM$1006:AS1006),$AM$1006:$BM$1006,0)), HYPERLINK("#",""), HYPERLINK(CONCATENATE("#metadata!", ADDRESS(INDEX($AH$2:$AH$1001,MATCH(ROWS($AF$2:AF635),$AF$2:$AF$1001,0),0), INDEX($AM$1004:$BM$1004,1,MATCH(COLUMNS($AM$1006:AS1006),$AM$1006:$BM$1006,0)))),"Fix")))</f>
        <v xml:space="preserve"> </v>
      </c>
      <c r="I635" s="4" t="str">
        <f ca="1">IF(OR(INDEX($AG$2:$AG$1001,MATCH(ROWS($AF$2:AF635),$AF$2:$AF$1001,0),1)&gt;=100000,INDEX($AM$1005:$BM$1005,1,MATCH(COLUMNS($AM$1006:AT1006),$AM$1006:$BM$1006,0))&gt;=100000), " ",IF(INDEX($AM$2:$BM$1001,MATCH(ROWS($AF$2:AF635),$AF$2:$AF$1001,0),MATCH(COLUMNS($AM$1006:AT1006),$AM$1006:$BM$1006,0)), HYPERLINK("#",""), HYPERLINK(CONCATENATE("#metadata!", ADDRESS(INDEX($AH$2:$AH$1001,MATCH(ROWS($AF$2:AF635),$AF$2:$AF$1001,0),0), INDEX($AM$1004:$BM$1004,1,MATCH(COLUMNS($AM$1006:AT1006),$AM$1006:$BM$1006,0)))),"Fix")))</f>
        <v xml:space="preserve"> </v>
      </c>
      <c r="J635" s="4" t="str">
        <f ca="1">IF(OR(INDEX($AG$2:$AG$1001,MATCH(ROWS($AF$2:AF635),$AF$2:$AF$1001,0),1)&gt;=100000,INDEX($AM$1005:$BM$1005,1,MATCH(COLUMNS($AM$1006:AU1006),$AM$1006:$BM$1006,0))&gt;=100000), " ",IF(INDEX($AM$2:$BM$1001,MATCH(ROWS($AF$2:AF635),$AF$2:$AF$1001,0),MATCH(COLUMNS($AM$1006:AU1006),$AM$1006:$BM$1006,0)), HYPERLINK("#",""), HYPERLINK(CONCATENATE("#metadata!", ADDRESS(INDEX($AH$2:$AH$1001,MATCH(ROWS($AF$2:AF635),$AF$2:$AF$1001,0),0), INDEX($AM$1004:$BM$1004,1,MATCH(COLUMNS($AM$1006:AU1006),$AM$1006:$BM$1006,0)))),"Fix")))</f>
        <v xml:space="preserve"> </v>
      </c>
      <c r="K635" s="4" t="str">
        <f ca="1">IF(OR(INDEX($AG$2:$AG$1001,MATCH(ROWS($AF$2:AF635),$AF$2:$AF$1001,0),1)&gt;=100000,INDEX($AM$1005:$BM$1005,1,MATCH(COLUMNS($AM$1006:AV1006),$AM$1006:$BM$1006,0))&gt;=100000), " ",IF(INDEX($AM$2:$BM$1001,MATCH(ROWS($AF$2:AF635),$AF$2:$AF$1001,0),MATCH(COLUMNS($AM$1006:AV1006),$AM$1006:$BM$1006,0)), HYPERLINK("#",""), HYPERLINK(CONCATENATE("#metadata!", ADDRESS(INDEX($AH$2:$AH$1001,MATCH(ROWS($AF$2:AF635),$AF$2:$AF$1001,0),0), INDEX($AM$1004:$BM$1004,1,MATCH(COLUMNS($AM$1006:AV1006),$AM$1006:$BM$1006,0)))),"Fix")))</f>
        <v xml:space="preserve"> </v>
      </c>
      <c r="L635" s="4" t="str">
        <f ca="1">IF(OR(INDEX($AG$2:$AG$1001,MATCH(ROWS($AF$2:AF635),$AF$2:$AF$1001,0),1)&gt;=100000,INDEX($AM$1005:$BM$1005,1,MATCH(COLUMNS($AM$1006:AW1006),$AM$1006:$BM$1006,0))&gt;=100000), " ",IF(INDEX($AM$2:$BM$1001,MATCH(ROWS($AF$2:AF635),$AF$2:$AF$1001,0),MATCH(COLUMNS($AM$1006:AW1006),$AM$1006:$BM$1006,0)), HYPERLINK("#",""), HYPERLINK(CONCATENATE("#metadata!", ADDRESS(INDEX($AH$2:$AH$1001,MATCH(ROWS($AF$2:AF635),$AF$2:$AF$1001,0),0), INDEX($AM$1004:$BM$1004,1,MATCH(COLUMNS($AM$1006:AW1006),$AM$1006:$BM$1006,0)))),"Fix")))</f>
        <v xml:space="preserve"> </v>
      </c>
      <c r="M635" s="4" t="str">
        <f ca="1">IF(OR(INDEX($AG$2:$AG$1001,MATCH(ROWS($AF$2:AF635),$AF$2:$AF$1001,0),1)&gt;=100000,INDEX($AM$1005:$BM$1005,1,MATCH(COLUMNS($AM$1006:AX1006),$AM$1006:$BM$1006,0))&gt;=100000), " ",IF(INDEX($AM$2:$BM$1001,MATCH(ROWS($AF$2:AF635),$AF$2:$AF$1001,0),MATCH(COLUMNS($AM$1006:AX1006),$AM$1006:$BM$1006,0)), HYPERLINK("#",""), HYPERLINK(CONCATENATE("#metadata!", ADDRESS(INDEX($AH$2:$AH$1001,MATCH(ROWS($AF$2:AF635),$AF$2:$AF$1001,0),0), INDEX($AM$1004:$BM$1004,1,MATCH(COLUMNS($AM$1006:AX1006),$AM$1006:$BM$1006,0)))),"Fix")))</f>
        <v xml:space="preserve"> </v>
      </c>
      <c r="N635" s="4" t="str">
        <f ca="1">IF(OR(INDEX($AG$2:$AG$1001,MATCH(ROWS($AF$2:AF635),$AF$2:$AF$1001,0),1)&gt;=100000,INDEX($AM$1005:$BM$1005,1,MATCH(COLUMNS($AM$1006:AY1006),$AM$1006:$BM$1006,0))&gt;=100000), " ",IF(INDEX($AM$2:$BM$1001,MATCH(ROWS($AF$2:AF635),$AF$2:$AF$1001,0),MATCH(COLUMNS($AM$1006:AY1006),$AM$1006:$BM$1006,0)), HYPERLINK("#",""), HYPERLINK(CONCATENATE("#metadata!", ADDRESS(INDEX($AH$2:$AH$1001,MATCH(ROWS($AF$2:AF635),$AF$2:$AF$1001,0),0), INDEX($AM$1004:$BM$1004,1,MATCH(COLUMNS($AM$1006:AY1006),$AM$1006:$BM$1006,0)))),"Fix")))</f>
        <v xml:space="preserve"> </v>
      </c>
      <c r="O635" s="4" t="str">
        <f ca="1">IF(OR(INDEX($AG$2:$AG$1001,MATCH(ROWS($AF$2:AF635),$AF$2:$AF$1001,0),1)&gt;=100000,INDEX($AM$1005:$BM$1005,1,MATCH(COLUMNS($AM$1006:AZ1006),$AM$1006:$BM$1006,0))&gt;=100000), " ",IF(INDEX($AM$2:$BM$1001,MATCH(ROWS($AF$2:AF635),$AF$2:$AF$1001,0),MATCH(COLUMNS($AM$1006:AZ1006),$AM$1006:$BM$1006,0)), HYPERLINK("#",""), HYPERLINK(CONCATENATE("#metadata!", ADDRESS(INDEX($AH$2:$AH$1001,MATCH(ROWS($AF$2:AF635),$AF$2:$AF$1001,0),0), INDEX($AM$1004:$BM$1004,1,MATCH(COLUMNS($AM$1006:AZ1006),$AM$1006:$BM$1006,0)))),"Fix")))</f>
        <v xml:space="preserve"> </v>
      </c>
      <c r="P635" s="4" t="str">
        <f ca="1">IF(OR(INDEX($AG$2:$AG$1001,MATCH(ROWS($AF$2:AF635),$AF$2:$AF$1001,0),1)&gt;=100000,INDEX($AM$1005:$BM$1005,1,MATCH(COLUMNS($AM$1006:BA1006),$AM$1006:$BM$1006,0))&gt;=100000), " ",IF(INDEX($AM$2:$BM$1001,MATCH(ROWS($AF$2:AF635),$AF$2:$AF$1001,0),MATCH(COLUMNS($AM$1006:BA1006),$AM$1006:$BM$1006,0)), HYPERLINK("#",""), HYPERLINK(CONCATENATE("#metadata!", ADDRESS(INDEX($AH$2:$AH$1001,MATCH(ROWS($AF$2:AF635),$AF$2:$AF$1001,0),0), INDEX($AM$1004:$BM$1004,1,MATCH(COLUMNS($AM$1006:BA1006),$AM$1006:$BM$1006,0)))),"Fix")))</f>
        <v xml:space="preserve"> </v>
      </c>
      <c r="Q635" s="4" t="str">
        <f ca="1">IF(OR(INDEX($AG$2:$AG$1001,MATCH(ROWS($AF$2:AF635),$AF$2:$AF$1001,0),1)&gt;=100000,INDEX($AM$1005:$BM$1005,1,MATCH(COLUMNS($AM$1006:BB1006),$AM$1006:$BM$1006,0))&gt;=100000), " ",IF(INDEX($AM$2:$BM$1001,MATCH(ROWS($AF$2:AF635),$AF$2:$AF$1001,0),MATCH(COLUMNS($AM$1006:BB1006),$AM$1006:$BM$1006,0)), HYPERLINK("#",""), HYPERLINK(CONCATENATE("#metadata!", ADDRESS(INDEX($AH$2:$AH$1001,MATCH(ROWS($AF$2:AF635),$AF$2:$AF$1001,0),0), INDEX($AM$1004:$BM$1004,1,MATCH(COLUMNS($AM$1006:BB1006),$AM$1006:$BM$1006,0)))),"Fix")))</f>
        <v xml:space="preserve"> </v>
      </c>
      <c r="R635" s="4" t="str">
        <f ca="1">IF(OR(INDEX($AG$2:$AG$1001,MATCH(ROWS($AF$2:AF635),$AF$2:$AF$1001,0),1)&gt;=100000,INDEX($AM$1005:$BM$1005,1,MATCH(COLUMNS($AM$1006:BC1006),$AM$1006:$BM$1006,0))&gt;=100000), " ",IF(INDEX($AM$2:$BM$1001,MATCH(ROWS($AF$2:AF635),$AF$2:$AF$1001,0),MATCH(COLUMNS($AM$1006:BC1006),$AM$1006:$BM$1006,0)), HYPERLINK("#",""), HYPERLINK(CONCATENATE("#metadata!", ADDRESS(INDEX($AH$2:$AH$1001,MATCH(ROWS($AF$2:AF635),$AF$2:$AF$1001,0),0), INDEX($AM$1004:$BM$1004,1,MATCH(COLUMNS($AM$1006:BC1006),$AM$1006:$BM$1006,0)))),"Fix")))</f>
        <v xml:space="preserve"> </v>
      </c>
      <c r="S635" s="4" t="str">
        <f ca="1">IF(OR(INDEX($AG$2:$AG$1001,MATCH(ROWS($AF$2:AF635),$AF$2:$AF$1001,0),1)&gt;=100000,INDEX($AM$1005:$BM$1005,1,MATCH(COLUMNS($AM$1006:BD1006),$AM$1006:$BM$1006,0))&gt;=100000), " ",IF(INDEX($AM$2:$BM$1001,MATCH(ROWS($AF$2:AF635),$AF$2:$AF$1001,0),MATCH(COLUMNS($AM$1006:BD1006),$AM$1006:$BM$1006,0)), HYPERLINK("#",""), HYPERLINK(CONCATENATE("#metadata!", ADDRESS(INDEX($AH$2:$AH$1001,MATCH(ROWS($AF$2:AF635),$AF$2:$AF$1001,0),0), INDEX($AM$1004:$BM$1004,1,MATCH(COLUMNS($AM$1006:BD1006),$AM$1006:$BM$1006,0)))),"Fix")))</f>
        <v xml:space="preserve"> </v>
      </c>
      <c r="T635" s="4" t="str">
        <f ca="1">IF(OR(INDEX($AG$2:$AG$1001,MATCH(ROWS($AF$2:AF635),$AF$2:$AF$1001,0),1)&gt;=100000,INDEX($AM$1005:$BM$1005,1,MATCH(COLUMNS($AM$1006:BE1006),$AM$1006:$BM$1006,0))&gt;=100000), " ",IF(INDEX($AM$2:$BM$1001,MATCH(ROWS($AF$2:AF635),$AF$2:$AF$1001,0),MATCH(COLUMNS($AM$1006:BE1006),$AM$1006:$BM$1006,0)), HYPERLINK("#",""), HYPERLINK(CONCATENATE("#metadata!", ADDRESS(INDEX($AH$2:$AH$1001,MATCH(ROWS($AF$2:AF635),$AF$2:$AF$1001,0),0), INDEX($AM$1004:$BM$1004,1,MATCH(COLUMNS($AM$1006:BE1006),$AM$1006:$BM$1006,0)))),"Fix")))</f>
        <v xml:space="preserve"> </v>
      </c>
      <c r="U635" s="4" t="str">
        <f ca="1">IF(OR(INDEX($AG$2:$AG$1001,MATCH(ROWS($AF$2:AF635),$AF$2:$AF$1001,0),1)&gt;=100000,INDEX($AM$1005:$BM$1005,1,MATCH(COLUMNS($AM$1006:BF1006),$AM$1006:$BM$1006,0))&gt;=100000), " ",IF(INDEX($AM$2:$BM$1001,MATCH(ROWS($AF$2:AF635),$AF$2:$AF$1001,0),MATCH(COLUMNS($AM$1006:BF1006),$AM$1006:$BM$1006,0)), HYPERLINK("#",""), HYPERLINK(CONCATENATE("#metadata!", ADDRESS(INDEX($AH$2:$AH$1001,MATCH(ROWS($AF$2:AF635),$AF$2:$AF$1001,0),0), INDEX($AM$1004:$BM$1004,1,MATCH(COLUMNS($AM$1006:BF1006),$AM$1006:$BM$1006,0)))),"Fix")))</f>
        <v xml:space="preserve"> </v>
      </c>
      <c r="V635" s="4" t="str">
        <f ca="1">IF(OR(INDEX($AG$2:$AG$1001,MATCH(ROWS($AF$2:AF635),$AF$2:$AF$1001,0),1)&gt;=100000,INDEX($AM$1005:$BM$1005,1,MATCH(COLUMNS($AM$1006:BG1006),$AM$1006:$BM$1006,0))&gt;=100000), " ",IF(INDEX($AM$2:$BM$1001,MATCH(ROWS($AF$2:AF635),$AF$2:$AF$1001,0),MATCH(COLUMNS($AM$1006:BG1006),$AM$1006:$BM$1006,0)), HYPERLINK("#",""), HYPERLINK(CONCATENATE("#metadata!", ADDRESS(INDEX($AH$2:$AH$1001,MATCH(ROWS($AF$2:AF635),$AF$2:$AF$1001,0),0), INDEX($AM$1004:$BM$1004,1,MATCH(COLUMNS($AM$1006:BG1006),$AM$1006:$BM$1006,0)))),"Fix")))</f>
        <v xml:space="preserve"> </v>
      </c>
      <c r="W635" s="4" t="str">
        <f ca="1">IF(OR(INDEX($AG$2:$AG$1001,MATCH(ROWS($AF$2:AF635),$AF$2:$AF$1001,0),1)&gt;=100000,INDEX($AM$1005:$BM$1005,1,MATCH(COLUMNS($AM$1006:BH1006),$AM$1006:$BM$1006,0))&gt;=100000), " ",IF(INDEX($AM$2:$BM$1001,MATCH(ROWS($AF$2:AF635),$AF$2:$AF$1001,0),MATCH(COLUMNS($AM$1006:BH1006),$AM$1006:$BM$1006,0)), HYPERLINK("#",""), HYPERLINK(CONCATENATE("#metadata!", ADDRESS(INDEX($AH$2:$AH$1001,MATCH(ROWS($AF$2:AF635),$AF$2:$AF$1001,0),0), INDEX($AM$1004:$BM$1004,1,MATCH(COLUMNS($AM$1006:BH1006),$AM$1006:$BM$1006,0)))),"Fix")))</f>
        <v xml:space="preserve"> </v>
      </c>
      <c r="X635" s="4" t="str">
        <f ca="1">IF(OR(INDEX($AG$2:$AG$1001,MATCH(ROWS($AF$2:AF635),$AF$2:$AF$1001,0),1)&gt;=100000,INDEX($AM$1005:$BM$1005,1,MATCH(COLUMNS($AM$1006:BI1006),$AM$1006:$BM$1006,0))&gt;=100000), " ",IF(INDEX($AM$2:$BM$1001,MATCH(ROWS($AF$2:AF635),$AF$2:$AF$1001,0),MATCH(COLUMNS($AM$1006:BI1006),$AM$1006:$BM$1006,0)), HYPERLINK("#",""), HYPERLINK(CONCATENATE("#metadata!", ADDRESS(INDEX($AH$2:$AH$1001,MATCH(ROWS($AF$2:AF635),$AF$2:$AF$1001,0),0), INDEX($AM$1004:$BM$1004,1,MATCH(COLUMNS($AM$1006:BI1006),$AM$1006:$BM$1006,0)))),"Fix")))</f>
        <v xml:space="preserve"> </v>
      </c>
      <c r="Y635" s="4" t="str">
        <f ca="1">IF(OR(INDEX($AG$2:$AG$1001,MATCH(ROWS($AF$2:AF635),$AF$2:$AF$1001,0),1)&gt;=100000,INDEX($AM$1005:$BM$1005,1,MATCH(COLUMNS($AM$1006:BJ1006),$AM$1006:$BM$1006,0))&gt;=100000), " ",IF(INDEX($AM$2:$BM$1001,MATCH(ROWS($AF$2:AF635),$AF$2:$AF$1001,0),MATCH(COLUMNS($AM$1006:BJ1006),$AM$1006:$BM$1006,0)), HYPERLINK("#",""), HYPERLINK(CONCATENATE("#metadata!", ADDRESS(INDEX($AH$2:$AH$1001,MATCH(ROWS($AF$2:AF635),$AF$2:$AF$1001,0),0), INDEX($AM$1004:$BM$1004,1,MATCH(COLUMNS($AM$1006:BJ1006),$AM$1006:$BM$1006,0)))),"Fix")))</f>
        <v xml:space="preserve"> </v>
      </c>
      <c r="Z635" s="4" t="str">
        <f ca="1">IF(OR(INDEX($AG$2:$AG$1001,MATCH(ROWS($AF$2:AF635),$AF$2:$AF$1001,0),1)&gt;=100000,INDEX($AM$1005:$BM$1005,1,MATCH(COLUMNS($AM$1006:BK1006),$AM$1006:$BM$1006,0))&gt;=100000), " ",IF(INDEX($AM$2:$BM$1001,MATCH(ROWS($AF$2:AF635),$AF$2:$AF$1001,0),MATCH(COLUMNS($AM$1006:BK1006),$AM$1006:$BM$1006,0)), HYPERLINK("#",""), HYPERLINK(CONCATENATE("#metadata!", ADDRESS(INDEX($AH$2:$AH$1001,MATCH(ROWS($AF$2:AF635),$AF$2:$AF$1001,0),0), INDEX($AM$1004:$BM$1004,1,MATCH(COLUMNS($AM$1006:BK1006),$AM$1006:$BM$1006,0)))),"Fix")))</f>
        <v xml:space="preserve"> </v>
      </c>
      <c r="AA635" s="4" t="str">
        <f ca="1">IF(OR(INDEX($AG$2:$AG$1001,MATCH(ROWS($AF$2:AF635),$AF$2:$AF$1001,0),1)&gt;=100000,INDEX($AM$1005:$BM$1005,1,MATCH(COLUMNS($AM$1006:BL1006),$AM$1006:$BM$1006,0))&gt;=100000), " ",IF(INDEX($AM$2:$BM$1001,MATCH(ROWS($AF$2:AF635),$AF$2:$AF$1001,0),MATCH(COLUMNS($AM$1006:BL1006),$AM$1006:$BM$1006,0)), HYPERLINK("#",""), HYPERLINK(CONCATENATE("#metadata!", ADDRESS(INDEX($AH$2:$AH$1001,MATCH(ROWS($AF$2:AF635),$AF$2:$AF$1001,0),0), INDEX($AM$1004:$BM$1004,1,MATCH(COLUMNS($AM$1006:BL1006),$AM$1006:$BM$1006,0)))),"Fix")))</f>
        <v xml:space="preserve"> </v>
      </c>
      <c r="AB635" s="4" t="str">
        <f ca="1">IF(OR(INDEX($AG$2:$AG$1001,MATCH(ROWS($AF$2:AF635),$AF$2:$AF$1001,0),1)&gt;=100000,INDEX($AM$1005:$BM$1005,1,MATCH(COLUMNS($AM$1006:BM1006),$AM$1006:$BM$1006,0))&gt;=100000), " ",IF(INDEX($AM$2:$BM$1001,MATCH(ROWS($AF$2:AF635),$AF$2:$AF$1001,0),MATCH(COLUMNS($AM$1006:BM1006),$AM$1006:$BM$1006,0)), HYPERLINK("#",""), HYPERLINK(CONCATENATE("#metadata!", ADDRESS(INDEX($AH$2:$AH$1001,MATCH(ROWS($AF$2:AF635),$AF$2:$AF$1001,0),0), INDEX($AM$1004:$BM$1004,1,MATCH(COLUMNS($AM$1006:BM1006),$AM$1006:$BM$1006,0)))),"Fix")))</f>
        <v xml:space="preserve"> </v>
      </c>
      <c r="AF635">
        <v>634</v>
      </c>
      <c r="AG635">
        <v>100635</v>
      </c>
      <c r="AH635">
        <v>635</v>
      </c>
      <c r="AI635" t="b">
        <f t="shared" si="9"/>
        <v>1</v>
      </c>
      <c r="AJ635" t="b">
        <f>COUNTBLANK(metadata!B635:AB635)=COLUMNS(metadata!B635:AB635)</f>
        <v>1</v>
      </c>
      <c r="AK635" t="str">
        <v/>
      </c>
      <c r="AM635" t="b">
        <f ca="1">AND(IF(metadata!B635="",FALSE,TRUE),COUNTIF(metadata!B:B, metadata!B635) = 1,NOT(ISERROR(SUMPRODUCT(SEARCH(MID(metadata!B635,ROW(INDIRECT("1:"&amp;LEN(metadata!B635))), 1),"0123456789abcdefghijklmnopqrstuvwxyzABCDEFGHIJKLMNOPQRSTUVWXYZ.")))))</f>
        <v>0</v>
      </c>
      <c r="AN635" t="b">
        <f ca="1">OR(AND(IF(metadata!C635="",FALSE,TRUE),OR(EXACT(metadata!C635,"missing: not collected"),EXACT(metadata!C635,"missing: not provided"),EXACT(metadata!C635,"missing: restricted access"))),AND(IF(metadata!C635="",FALSE,TRUE),AND(AND(IFERROR(INT(LEFT(metadata!C635,4))&gt;1900,FALSE),IFERROR(INT(LEFT(metadata!C635,4))&lt;=YEAR(NOW()),FALSE)), OR(MID(metadata!C635,5,1)="", AND(AND(MID(metadata!C635,5,1)="-",IFERROR(INT(MID(metadata!C635,6,1))&gt;=0,FALSE),IFERROR(INT(MID(metadata!C635,6,1))&lt;=1,FALSE),NOT(MID(metadata!C635,7,1)=""),IFERROR(INT(MID(metadata!C635,6,2))&gt;=1,FALSE),IFERROR(INT(MID(metadata!C635,6,2))&lt;=12,FALSE)), OR(MID(metadata!C635,8,1)="", AND(AND(MID(metadata!C635,8,1)="-",IFERROR(INT(MID(metadata!C635,9,1))&gt;=0,FALSE),IFERROR(INT(MID(metadata!C635,9,1))&lt;=3,FALSE),NOT(MID(metadata!C635,10,1)=""),IFERROR(INT(MID(metadata!C635,9,2))&gt;=1,FALSE),IFERROR(INT(MID(metadata!C635,9,2))&lt;=31,FALSE)), OR(MID(metadata!C635,11,1)="", AND(AND(MID(metadata!C635,11,1)=" ",IFERROR(INT(MID(metadata!C635,12,1))&gt;=0,FALSE),IFERROR(INT(MID(metadata!C635,12,1))&lt;=2,FALSE),NOT(MID(metadata!C635,13,1)=""),IFERROR(INT(MID(metadata!C635,12,2))&gt;=0,FALSE),IFERROR(INT(MID(metadata!C635,12,2))&lt;=23,FALSE)), OR(MID(metadata!C635,14,1)="", AND(AND(MID(metadata!C635,14,1)=":",IFERROR(INT(MID(metadata!C635,15,1))&gt;=0,FALSE),IFERROR(INT(MID(metadata!C635,15,1))&lt;=5,FALSE),NOT(MID(metadata!C635,16,1)=""),IFERROR(INT(MID(metadata!C635,15,2))&gt;=0,FALSE),IFERROR(INT(MID(metadata!C635,15,2))&lt;=59,FALSE)), OR(MID(metadata!C635,17,1)="", AND(AND(MID(metadata!C635,17,1)=":",IFERROR(INT(MID(metadata!C635,18,1))&gt;=0,FALSE),IFERROR(INT(MID(metadata!C635,18,1))&lt;=5,FALSE),NOT(MID(metadata!C635,19,1)=""),IFERROR(INT(MID(metadata!C635,18,2))&gt;=0,FALSE),IFERROR(INT(MID(metadata!C635,18,2))&lt;=59,FALSE)), LEN(metadata!C635)&lt;=19)))))))))))))</f>
        <v>0</v>
      </c>
      <c r="AO635" t="b">
        <f>AND(IF(metadata!D635="",FALSE,TRUE),EXACT(metadata!D635,"Not applicable"))</f>
        <v>0</v>
      </c>
      <c r="AP635" t="b">
        <f>IF(metadata!E635="",FALSE,TRUE)</f>
        <v>0</v>
      </c>
      <c r="AQ635" t="b">
        <f>OR(AND(IF(metadata!F635="",FALSE,TRUE),OR(EXACT(metadata!F635,"missing: not collected"),EXACT(metadata!F635,"missing: not provided"))),AND(IF(metadata!F635="",FALSE,TRUE),OR(EXACT(metadata!F635,"TRUE"),EXACT(metadata!F635,"FALSE"))))</f>
        <v>0</v>
      </c>
      <c r="AR635" t="b">
        <f>OR(AND(IF(metadata!G635="",FALSE,TRUE),OR(EXACT(metadata!G635,"missing: not collected"),EXACT(metadata!G635,"missing: not provided"),EXACT(metadata!G635,"missing: restricted access"))),AND(IF(metadata!G635="",FALSE,ISNUMBER(VALUE(metadata!G635))),metadata!G635&gt;=-413))</f>
        <v>0</v>
      </c>
      <c r="AS635" t="b">
        <f>AND(IF(metadata!H635="",FALSE,TRUE),EXACT(metadata!H635,"meters"))</f>
        <v>0</v>
      </c>
      <c r="AT635" t="b">
        <f>AND(IF(metadata!I635="",FALSE,TRUE),OR(EXACT(metadata!I635,"Host-associated"),EXACT(metadata!I635,"Free-living")))</f>
        <v>0</v>
      </c>
      <c r="AU635" t="b">
        <f>AND(IF(metadata!J635="",FALSE,TRUE),OR(EXACT(metadata!J635,"Animal"),EXACT(metadata!J635,"Fungus"),EXACT(metadata!J635,"Plant"),EXACT(metadata!J635,"Saline"),EXACT(metadata!J635,"Non-saline")))</f>
        <v>0</v>
      </c>
      <c r="AV635" t="b">
        <f>AND(IF(metadata!K635="",FALSE,TRUE),OR(EXACT(metadata!K635,"Plant secretion"),EXACT(metadata!K635,"Plant rhizosphere"),EXACT(metadata!K635,"Plant surface"),EXACT(metadata!K635,"Plant corpus"),EXACT(metadata!K635,"Fungus surface"),EXACT(metadata!K635,"Fungus corpus"),EXACT(metadata!K635,"Animal surface"),EXACT(metadata!K635,"Animal proximal gut"),EXACT(metadata!K635,"Animal corpus"),EXACT(metadata!K635,"Animal distal gut"),EXACT(metadata!K635,"Animal secretion"),EXACT(metadata!K635,"Sub-surface (non-saline)"),EXACT(metadata!K635,"Surface (non-saline)"),EXACT(metadata!K635,"Water (non-saline)"),EXACT(metadata!K635,"Soil (non-saline)"),EXACT(metadata!K635,"Aerosol (non-saline)"),EXACT(metadata!K635,"Sediment (non-saline)"),EXACT(metadata!K635,"Surface (saline)"),EXACT(metadata!K635,"Water (saline)"),EXACT(metadata!K635,"Hypersaline (saline)"),EXACT(metadata!K635,"Aerosol (saline)"),EXACT(metadata!K635,"Sediment (saline)")))</f>
        <v>0</v>
      </c>
      <c r="AW635" t="b">
        <f>IF(metadata!L635="",FALSE,TRUE)</f>
        <v>0</v>
      </c>
      <c r="AX635" t="b">
        <f>IF(metadata!M635="",FALSE,TRUE)</f>
        <v>0</v>
      </c>
      <c r="AY635" t="b">
        <f>IF(metadata!N635="",FALSE,TRUE)</f>
        <v>0</v>
      </c>
      <c r="AZ635" t="b">
        <f>OR(AND(IF(metadata!O635="",FALSE,TRUE),OR(EXACT(metadata!O635,"missing: not collected"),EXACT(metadata!O635,"missing: not provided"),EXACT(metadata!O635,"missing: restricted access"))),AND(IF(metadata!O635="",FALSE,TRUE),OR(EXACT(metadata!O635,"air"),EXACT(metadata!O635,"built environment"),EXACT(metadata!O635,"host-associated"),EXACT(metadata!O635,"human-associated"),EXACT(metadata!O635,"human-skin"),EXACT(metadata!O635,"human-oral"),EXACT(metadata!O635,"human-gut"),EXACT(metadata!O635,"human-vaginal"),EXACT(metadata!O635,"microbial mat/biofilm"),EXACT(metadata!O635,"misc environment"),EXACT(metadata!O635,"plant-associated"),EXACT(metadata!O635,"sediment"),EXACT(metadata!O635,"soil"),EXACT(metadata!O635,"wastewater/sludge"),EXACT(metadata!O635,"water"))))</f>
        <v>0</v>
      </c>
      <c r="BA635" t="b">
        <f>IF(metadata!P635="",FALSE,TRUE)</f>
        <v>0</v>
      </c>
      <c r="BB635" t="b">
        <f>IF(metadata!Q635="",FALSE,TRUE)</f>
        <v>0</v>
      </c>
      <c r="BC635" t="b">
        <f>OR(AND(IF(metadata!R635="",FALSE,TRUE),OR(EXACT(metadata!R635,"missing: not collected"),EXACT(metadata!R635,"missing: not provided"),EXACT(metadata!R635,"missing: restricted access"))),AND(IF(metadata!R635="",FALSE,ISNUMBER(VALUE(metadata!R635))),metadata!R635&gt;=-90,metadata!R635&lt;=90))</f>
        <v>0</v>
      </c>
      <c r="BD635" t="b">
        <f>AND(IF(metadata!S635="",FALSE,TRUE),EXACT(metadata!S635,"Decimal degrees"))</f>
        <v>0</v>
      </c>
      <c r="BE635" t="b">
        <f>OR(AND(IF(metadata!T635="",FALSE,TRUE),OR(EXACT(metadata!T635,"missing: not collected"),EXACT(metadata!T635,"missing: not provided"),EXACT(metadata!T635,"missing: restricted access"))),AND(IF(metadata!T635="",FALSE,ISNUMBER(VALUE(metadata!T635))),metadata!T635&gt;=-180,metadata!T635&lt;=180))</f>
        <v>0</v>
      </c>
      <c r="BF635" t="b">
        <f>AND(IF(metadata!U635="",FALSE,TRUE),EXACT(metadata!U635,"Decimal degrees"))</f>
        <v>0</v>
      </c>
      <c r="BG635" t="b">
        <f>IF(metadata!V635="",FALSE,TRUE)</f>
        <v>0</v>
      </c>
      <c r="BH635" t="b">
        <f>OR(AND(IF(metadata!W635="",FALSE,TRUE),OR(EXACT(metadata!W635,"missing: not collected"),EXACT(metadata!W635,"missing: not provided"),EXACT(metadata!W635,"missing: restricted access"))),AND(IF(metadata!W635="",FALSE,TRUE),OR(EXACT(metadata!W635,"TRUE"),EXACT(metadata!W635,"FALSE"))))</f>
        <v>0</v>
      </c>
      <c r="BI635" t="b">
        <f>AND(IF(metadata!X635="",FALSE,TRUE),EXACT(metadata!X635,"other"))</f>
        <v>0</v>
      </c>
      <c r="BJ635" t="b">
        <f>IF(metadata!Y635="",FALSE,TRUE)</f>
        <v>0</v>
      </c>
      <c r="BK635" t="b">
        <f>OR(AND(IF(metadata!Z635="",FALSE,TRUE),OR(EXACT(metadata!Z635,"missing: not collected"),EXACT(metadata!Z635,"missing: not provided"))),AND(IF(metadata!Z635="",FALSE,IF(ISERROR(INT(metadata!Z635)),FALSE,INT(metadata!Z635)=metadata!Z635)),metadata!Z635&gt;0))</f>
        <v>0</v>
      </c>
      <c r="BL635" t="b">
        <f>AND(IF(metadata!AA635="",FALSE,TRUE),EXACT(metadata!AA635,"Not applicable"))</f>
        <v>0</v>
      </c>
      <c r="BM635" t="b">
        <f>IF(metadata!AB635="",FALSE,TRUE)</f>
        <v>0</v>
      </c>
    </row>
    <row r="636" spans="1:65" x14ac:dyDescent="0.2">
      <c r="A636" s="5" t="str">
        <f ca="1">IF(B636=" "," ",HYPERLINK(CONCATENATE("#metadata!",ADDRESS(INDEX($AH$2:$AH$1001,MATCH(ROWS($AF$2:AF636),$AF$2:$AF$1001,0),0),1)),INDEX($AK$2:$AK$1001,MATCH(ROWS($AF$2:AF636),$AF$2:$AF$1001,0),0)))</f>
        <v xml:space="preserve"> </v>
      </c>
      <c r="B636" s="4" t="str">
        <f ca="1">IF(OR(INDEX($AG$2:$AG$1001,MATCH(ROWS($AF$2:AF636),$AF$2:$AF$1001,0),1)&gt;=100000,INDEX($AM$1005:$BM$1005,1,MATCH(COLUMNS($AM$1006:AM1006),$AM$1006:$BM$1006,0))&gt;=100000), " ",IF(INDEX($AM$2:$BM$1001,MATCH(ROWS($AF$2:AF636),$AF$2:$AF$1001,0),MATCH(COLUMNS($AM$1006:AM1006),$AM$1006:$BM$1006,0)), HYPERLINK("#",""), HYPERLINK(CONCATENATE("#metadata!", ADDRESS(INDEX($AH$2:$AH$1001,MATCH(ROWS($AF$2:AF636),$AF$2:$AF$1001,0),0), INDEX($AM$1004:$BM$1004,1,MATCH(COLUMNS($AM$1006:AM1006),$AM$1006:$BM$1006,0)))),"Fix")))</f>
        <v xml:space="preserve"> </v>
      </c>
      <c r="C636" s="4" t="str">
        <f ca="1">IF(OR(INDEX($AG$2:$AG$1001,MATCH(ROWS($AF$2:AF636),$AF$2:$AF$1001,0),1)&gt;=100000,INDEX($AM$1005:$BM$1005,1,MATCH(COLUMNS($AM$1006:AN1006),$AM$1006:$BM$1006,0))&gt;=100000), " ",IF(INDEX($AM$2:$BM$1001,MATCH(ROWS($AF$2:AF636),$AF$2:$AF$1001,0),MATCH(COLUMNS($AM$1006:AN1006),$AM$1006:$BM$1006,0)), HYPERLINK("#",""), HYPERLINK(CONCATENATE("#metadata!", ADDRESS(INDEX($AH$2:$AH$1001,MATCH(ROWS($AF$2:AF636),$AF$2:$AF$1001,0),0), INDEX($AM$1004:$BM$1004,1,MATCH(COLUMNS($AM$1006:AN1006),$AM$1006:$BM$1006,0)))),"Fix")))</f>
        <v xml:space="preserve"> </v>
      </c>
      <c r="D636" s="4" t="str">
        <f ca="1">IF(OR(INDEX($AG$2:$AG$1001,MATCH(ROWS($AF$2:AF636),$AF$2:$AF$1001,0),1)&gt;=100000,INDEX($AM$1005:$BM$1005,1,MATCH(COLUMNS($AM$1006:AO1006),$AM$1006:$BM$1006,0))&gt;=100000), " ",IF(INDEX($AM$2:$BM$1001,MATCH(ROWS($AF$2:AF636),$AF$2:$AF$1001,0),MATCH(COLUMNS($AM$1006:AO1006),$AM$1006:$BM$1006,0)), HYPERLINK("#",""), HYPERLINK(CONCATENATE("#metadata!", ADDRESS(INDEX($AH$2:$AH$1001,MATCH(ROWS($AF$2:AF636),$AF$2:$AF$1001,0),0), INDEX($AM$1004:$BM$1004,1,MATCH(COLUMNS($AM$1006:AO1006),$AM$1006:$BM$1006,0)))),"Fix")))</f>
        <v xml:space="preserve"> </v>
      </c>
      <c r="E636" s="4" t="str">
        <f ca="1">IF(OR(INDEX($AG$2:$AG$1001,MATCH(ROWS($AF$2:AF636),$AF$2:$AF$1001,0),1)&gt;=100000,INDEX($AM$1005:$BM$1005,1,MATCH(COLUMNS($AM$1006:AP1006),$AM$1006:$BM$1006,0))&gt;=100000), " ",IF(INDEX($AM$2:$BM$1001,MATCH(ROWS($AF$2:AF636),$AF$2:$AF$1001,0),MATCH(COLUMNS($AM$1006:AP1006),$AM$1006:$BM$1006,0)), HYPERLINK("#",""), HYPERLINK(CONCATENATE("#metadata!", ADDRESS(INDEX($AH$2:$AH$1001,MATCH(ROWS($AF$2:AF636),$AF$2:$AF$1001,0),0), INDEX($AM$1004:$BM$1004,1,MATCH(COLUMNS($AM$1006:AP1006),$AM$1006:$BM$1006,0)))),"Fix")))</f>
        <v xml:space="preserve"> </v>
      </c>
      <c r="F636" s="4" t="str">
        <f ca="1">IF(OR(INDEX($AG$2:$AG$1001,MATCH(ROWS($AF$2:AF636),$AF$2:$AF$1001,0),1)&gt;=100000,INDEX($AM$1005:$BM$1005,1,MATCH(COLUMNS($AM$1006:AQ1006),$AM$1006:$BM$1006,0))&gt;=100000), " ",IF(INDEX($AM$2:$BM$1001,MATCH(ROWS($AF$2:AF636),$AF$2:$AF$1001,0),MATCH(COLUMNS($AM$1006:AQ1006),$AM$1006:$BM$1006,0)), HYPERLINK("#",""), HYPERLINK(CONCATENATE("#metadata!", ADDRESS(INDEX($AH$2:$AH$1001,MATCH(ROWS($AF$2:AF636),$AF$2:$AF$1001,0),0), INDEX($AM$1004:$BM$1004,1,MATCH(COLUMNS($AM$1006:AQ1006),$AM$1006:$BM$1006,0)))),"Fix")))</f>
        <v xml:space="preserve"> </v>
      </c>
      <c r="G636" s="4" t="str">
        <f ca="1">IF(OR(INDEX($AG$2:$AG$1001,MATCH(ROWS($AF$2:AF636),$AF$2:$AF$1001,0),1)&gt;=100000,INDEX($AM$1005:$BM$1005,1,MATCH(COLUMNS($AM$1006:AR1006),$AM$1006:$BM$1006,0))&gt;=100000), " ",IF(INDEX($AM$2:$BM$1001,MATCH(ROWS($AF$2:AF636),$AF$2:$AF$1001,0),MATCH(COLUMNS($AM$1006:AR1006),$AM$1006:$BM$1006,0)), HYPERLINK("#",""), HYPERLINK(CONCATENATE("#metadata!", ADDRESS(INDEX($AH$2:$AH$1001,MATCH(ROWS($AF$2:AF636),$AF$2:$AF$1001,0),0), INDEX($AM$1004:$BM$1004,1,MATCH(COLUMNS($AM$1006:AR1006),$AM$1006:$BM$1006,0)))),"Fix")))</f>
        <v xml:space="preserve"> </v>
      </c>
      <c r="H636" s="4" t="str">
        <f ca="1">IF(OR(INDEX($AG$2:$AG$1001,MATCH(ROWS($AF$2:AF636),$AF$2:$AF$1001,0),1)&gt;=100000,INDEX($AM$1005:$BM$1005,1,MATCH(COLUMNS($AM$1006:AS1006),$AM$1006:$BM$1006,0))&gt;=100000), " ",IF(INDEX($AM$2:$BM$1001,MATCH(ROWS($AF$2:AF636),$AF$2:$AF$1001,0),MATCH(COLUMNS($AM$1006:AS1006),$AM$1006:$BM$1006,0)), HYPERLINK("#",""), HYPERLINK(CONCATENATE("#metadata!", ADDRESS(INDEX($AH$2:$AH$1001,MATCH(ROWS($AF$2:AF636),$AF$2:$AF$1001,0),0), INDEX($AM$1004:$BM$1004,1,MATCH(COLUMNS($AM$1006:AS1006),$AM$1006:$BM$1006,0)))),"Fix")))</f>
        <v xml:space="preserve"> </v>
      </c>
      <c r="I636" s="4" t="str">
        <f ca="1">IF(OR(INDEX($AG$2:$AG$1001,MATCH(ROWS($AF$2:AF636),$AF$2:$AF$1001,0),1)&gt;=100000,INDEX($AM$1005:$BM$1005,1,MATCH(COLUMNS($AM$1006:AT1006),$AM$1006:$BM$1006,0))&gt;=100000), " ",IF(INDEX($AM$2:$BM$1001,MATCH(ROWS($AF$2:AF636),$AF$2:$AF$1001,0),MATCH(COLUMNS($AM$1006:AT1006),$AM$1006:$BM$1006,0)), HYPERLINK("#",""), HYPERLINK(CONCATENATE("#metadata!", ADDRESS(INDEX($AH$2:$AH$1001,MATCH(ROWS($AF$2:AF636),$AF$2:$AF$1001,0),0), INDEX($AM$1004:$BM$1004,1,MATCH(COLUMNS($AM$1006:AT1006),$AM$1006:$BM$1006,0)))),"Fix")))</f>
        <v xml:space="preserve"> </v>
      </c>
      <c r="J636" s="4" t="str">
        <f ca="1">IF(OR(INDEX($AG$2:$AG$1001,MATCH(ROWS($AF$2:AF636),$AF$2:$AF$1001,0),1)&gt;=100000,INDEX($AM$1005:$BM$1005,1,MATCH(COLUMNS($AM$1006:AU1006),$AM$1006:$BM$1006,0))&gt;=100000), " ",IF(INDEX($AM$2:$BM$1001,MATCH(ROWS($AF$2:AF636),$AF$2:$AF$1001,0),MATCH(COLUMNS($AM$1006:AU1006),$AM$1006:$BM$1006,0)), HYPERLINK("#",""), HYPERLINK(CONCATENATE("#metadata!", ADDRESS(INDEX($AH$2:$AH$1001,MATCH(ROWS($AF$2:AF636),$AF$2:$AF$1001,0),0), INDEX($AM$1004:$BM$1004,1,MATCH(COLUMNS($AM$1006:AU1006),$AM$1006:$BM$1006,0)))),"Fix")))</f>
        <v xml:space="preserve"> </v>
      </c>
      <c r="K636" s="4" t="str">
        <f ca="1">IF(OR(INDEX($AG$2:$AG$1001,MATCH(ROWS($AF$2:AF636),$AF$2:$AF$1001,0),1)&gt;=100000,INDEX($AM$1005:$BM$1005,1,MATCH(COLUMNS($AM$1006:AV1006),$AM$1006:$BM$1006,0))&gt;=100000), " ",IF(INDEX($AM$2:$BM$1001,MATCH(ROWS($AF$2:AF636),$AF$2:$AF$1001,0),MATCH(COLUMNS($AM$1006:AV1006),$AM$1006:$BM$1006,0)), HYPERLINK("#",""), HYPERLINK(CONCATENATE("#metadata!", ADDRESS(INDEX($AH$2:$AH$1001,MATCH(ROWS($AF$2:AF636),$AF$2:$AF$1001,0),0), INDEX($AM$1004:$BM$1004,1,MATCH(COLUMNS($AM$1006:AV1006),$AM$1006:$BM$1006,0)))),"Fix")))</f>
        <v xml:space="preserve"> </v>
      </c>
      <c r="L636" s="4" t="str">
        <f ca="1">IF(OR(INDEX($AG$2:$AG$1001,MATCH(ROWS($AF$2:AF636),$AF$2:$AF$1001,0),1)&gt;=100000,INDEX($AM$1005:$BM$1005,1,MATCH(COLUMNS($AM$1006:AW1006),$AM$1006:$BM$1006,0))&gt;=100000), " ",IF(INDEX($AM$2:$BM$1001,MATCH(ROWS($AF$2:AF636),$AF$2:$AF$1001,0),MATCH(COLUMNS($AM$1006:AW1006),$AM$1006:$BM$1006,0)), HYPERLINK("#",""), HYPERLINK(CONCATENATE("#metadata!", ADDRESS(INDEX($AH$2:$AH$1001,MATCH(ROWS($AF$2:AF636),$AF$2:$AF$1001,0),0), INDEX($AM$1004:$BM$1004,1,MATCH(COLUMNS($AM$1006:AW1006),$AM$1006:$BM$1006,0)))),"Fix")))</f>
        <v xml:space="preserve"> </v>
      </c>
      <c r="M636" s="4" t="str">
        <f ca="1">IF(OR(INDEX($AG$2:$AG$1001,MATCH(ROWS($AF$2:AF636),$AF$2:$AF$1001,0),1)&gt;=100000,INDEX($AM$1005:$BM$1005,1,MATCH(COLUMNS($AM$1006:AX1006),$AM$1006:$BM$1006,0))&gt;=100000), " ",IF(INDEX($AM$2:$BM$1001,MATCH(ROWS($AF$2:AF636),$AF$2:$AF$1001,0),MATCH(COLUMNS($AM$1006:AX1006),$AM$1006:$BM$1006,0)), HYPERLINK("#",""), HYPERLINK(CONCATENATE("#metadata!", ADDRESS(INDEX($AH$2:$AH$1001,MATCH(ROWS($AF$2:AF636),$AF$2:$AF$1001,0),0), INDEX($AM$1004:$BM$1004,1,MATCH(COLUMNS($AM$1006:AX1006),$AM$1006:$BM$1006,0)))),"Fix")))</f>
        <v xml:space="preserve"> </v>
      </c>
      <c r="N636" s="4" t="str">
        <f ca="1">IF(OR(INDEX($AG$2:$AG$1001,MATCH(ROWS($AF$2:AF636),$AF$2:$AF$1001,0),1)&gt;=100000,INDEX($AM$1005:$BM$1005,1,MATCH(COLUMNS($AM$1006:AY1006),$AM$1006:$BM$1006,0))&gt;=100000), " ",IF(INDEX($AM$2:$BM$1001,MATCH(ROWS($AF$2:AF636),$AF$2:$AF$1001,0),MATCH(COLUMNS($AM$1006:AY1006),$AM$1006:$BM$1006,0)), HYPERLINK("#",""), HYPERLINK(CONCATENATE("#metadata!", ADDRESS(INDEX($AH$2:$AH$1001,MATCH(ROWS($AF$2:AF636),$AF$2:$AF$1001,0),0), INDEX($AM$1004:$BM$1004,1,MATCH(COLUMNS($AM$1006:AY1006),$AM$1006:$BM$1006,0)))),"Fix")))</f>
        <v xml:space="preserve"> </v>
      </c>
      <c r="O636" s="4" t="str">
        <f ca="1">IF(OR(INDEX($AG$2:$AG$1001,MATCH(ROWS($AF$2:AF636),$AF$2:$AF$1001,0),1)&gt;=100000,INDEX($AM$1005:$BM$1005,1,MATCH(COLUMNS($AM$1006:AZ1006),$AM$1006:$BM$1006,0))&gt;=100000), " ",IF(INDEX($AM$2:$BM$1001,MATCH(ROWS($AF$2:AF636),$AF$2:$AF$1001,0),MATCH(COLUMNS($AM$1006:AZ1006),$AM$1006:$BM$1006,0)), HYPERLINK("#",""), HYPERLINK(CONCATENATE("#metadata!", ADDRESS(INDEX($AH$2:$AH$1001,MATCH(ROWS($AF$2:AF636),$AF$2:$AF$1001,0),0), INDEX($AM$1004:$BM$1004,1,MATCH(COLUMNS($AM$1006:AZ1006),$AM$1006:$BM$1006,0)))),"Fix")))</f>
        <v xml:space="preserve"> </v>
      </c>
      <c r="P636" s="4" t="str">
        <f ca="1">IF(OR(INDEX($AG$2:$AG$1001,MATCH(ROWS($AF$2:AF636),$AF$2:$AF$1001,0),1)&gt;=100000,INDEX($AM$1005:$BM$1005,1,MATCH(COLUMNS($AM$1006:BA1006),$AM$1006:$BM$1006,0))&gt;=100000), " ",IF(INDEX($AM$2:$BM$1001,MATCH(ROWS($AF$2:AF636),$AF$2:$AF$1001,0),MATCH(COLUMNS($AM$1006:BA1006),$AM$1006:$BM$1006,0)), HYPERLINK("#",""), HYPERLINK(CONCATENATE("#metadata!", ADDRESS(INDEX($AH$2:$AH$1001,MATCH(ROWS($AF$2:AF636),$AF$2:$AF$1001,0),0), INDEX($AM$1004:$BM$1004,1,MATCH(COLUMNS($AM$1006:BA1006),$AM$1006:$BM$1006,0)))),"Fix")))</f>
        <v xml:space="preserve"> </v>
      </c>
      <c r="Q636" s="4" t="str">
        <f ca="1">IF(OR(INDEX($AG$2:$AG$1001,MATCH(ROWS($AF$2:AF636),$AF$2:$AF$1001,0),1)&gt;=100000,INDEX($AM$1005:$BM$1005,1,MATCH(COLUMNS($AM$1006:BB1006),$AM$1006:$BM$1006,0))&gt;=100000), " ",IF(INDEX($AM$2:$BM$1001,MATCH(ROWS($AF$2:AF636),$AF$2:$AF$1001,0),MATCH(COLUMNS($AM$1006:BB1006),$AM$1006:$BM$1006,0)), HYPERLINK("#",""), HYPERLINK(CONCATENATE("#metadata!", ADDRESS(INDEX($AH$2:$AH$1001,MATCH(ROWS($AF$2:AF636),$AF$2:$AF$1001,0),0), INDEX($AM$1004:$BM$1004,1,MATCH(COLUMNS($AM$1006:BB1006),$AM$1006:$BM$1006,0)))),"Fix")))</f>
        <v xml:space="preserve"> </v>
      </c>
      <c r="R636" s="4" t="str">
        <f ca="1">IF(OR(INDEX($AG$2:$AG$1001,MATCH(ROWS($AF$2:AF636),$AF$2:$AF$1001,0),1)&gt;=100000,INDEX($AM$1005:$BM$1005,1,MATCH(COLUMNS($AM$1006:BC1006),$AM$1006:$BM$1006,0))&gt;=100000), " ",IF(INDEX($AM$2:$BM$1001,MATCH(ROWS($AF$2:AF636),$AF$2:$AF$1001,0),MATCH(COLUMNS($AM$1006:BC1006),$AM$1006:$BM$1006,0)), HYPERLINK("#",""), HYPERLINK(CONCATENATE("#metadata!", ADDRESS(INDEX($AH$2:$AH$1001,MATCH(ROWS($AF$2:AF636),$AF$2:$AF$1001,0),0), INDEX($AM$1004:$BM$1004,1,MATCH(COLUMNS($AM$1006:BC1006),$AM$1006:$BM$1006,0)))),"Fix")))</f>
        <v xml:space="preserve"> </v>
      </c>
      <c r="S636" s="4" t="str">
        <f ca="1">IF(OR(INDEX($AG$2:$AG$1001,MATCH(ROWS($AF$2:AF636),$AF$2:$AF$1001,0),1)&gt;=100000,INDEX($AM$1005:$BM$1005,1,MATCH(COLUMNS($AM$1006:BD1006),$AM$1006:$BM$1006,0))&gt;=100000), " ",IF(INDEX($AM$2:$BM$1001,MATCH(ROWS($AF$2:AF636),$AF$2:$AF$1001,0),MATCH(COLUMNS($AM$1006:BD1006),$AM$1006:$BM$1006,0)), HYPERLINK("#",""), HYPERLINK(CONCATENATE("#metadata!", ADDRESS(INDEX($AH$2:$AH$1001,MATCH(ROWS($AF$2:AF636),$AF$2:$AF$1001,0),0), INDEX($AM$1004:$BM$1004,1,MATCH(COLUMNS($AM$1006:BD1006),$AM$1006:$BM$1006,0)))),"Fix")))</f>
        <v xml:space="preserve"> </v>
      </c>
      <c r="T636" s="4" t="str">
        <f ca="1">IF(OR(INDEX($AG$2:$AG$1001,MATCH(ROWS($AF$2:AF636),$AF$2:$AF$1001,0),1)&gt;=100000,INDEX($AM$1005:$BM$1005,1,MATCH(COLUMNS($AM$1006:BE1006),$AM$1006:$BM$1006,0))&gt;=100000), " ",IF(INDEX($AM$2:$BM$1001,MATCH(ROWS($AF$2:AF636),$AF$2:$AF$1001,0),MATCH(COLUMNS($AM$1006:BE1006),$AM$1006:$BM$1006,0)), HYPERLINK("#",""), HYPERLINK(CONCATENATE("#metadata!", ADDRESS(INDEX($AH$2:$AH$1001,MATCH(ROWS($AF$2:AF636),$AF$2:$AF$1001,0),0), INDEX($AM$1004:$BM$1004,1,MATCH(COLUMNS($AM$1006:BE1006),$AM$1006:$BM$1006,0)))),"Fix")))</f>
        <v xml:space="preserve"> </v>
      </c>
      <c r="U636" s="4" t="str">
        <f ca="1">IF(OR(INDEX($AG$2:$AG$1001,MATCH(ROWS($AF$2:AF636),$AF$2:$AF$1001,0),1)&gt;=100000,INDEX($AM$1005:$BM$1005,1,MATCH(COLUMNS($AM$1006:BF1006),$AM$1006:$BM$1006,0))&gt;=100000), " ",IF(INDEX($AM$2:$BM$1001,MATCH(ROWS($AF$2:AF636),$AF$2:$AF$1001,0),MATCH(COLUMNS($AM$1006:BF1006),$AM$1006:$BM$1006,0)), HYPERLINK("#",""), HYPERLINK(CONCATENATE("#metadata!", ADDRESS(INDEX($AH$2:$AH$1001,MATCH(ROWS($AF$2:AF636),$AF$2:$AF$1001,0),0), INDEX($AM$1004:$BM$1004,1,MATCH(COLUMNS($AM$1006:BF1006),$AM$1006:$BM$1006,0)))),"Fix")))</f>
        <v xml:space="preserve"> </v>
      </c>
      <c r="V636" s="4" t="str">
        <f ca="1">IF(OR(INDEX($AG$2:$AG$1001,MATCH(ROWS($AF$2:AF636),$AF$2:$AF$1001,0),1)&gt;=100000,INDEX($AM$1005:$BM$1005,1,MATCH(COLUMNS($AM$1006:BG1006),$AM$1006:$BM$1006,0))&gt;=100000), " ",IF(INDEX($AM$2:$BM$1001,MATCH(ROWS($AF$2:AF636),$AF$2:$AF$1001,0),MATCH(COLUMNS($AM$1006:BG1006),$AM$1006:$BM$1006,0)), HYPERLINK("#",""), HYPERLINK(CONCATENATE("#metadata!", ADDRESS(INDEX($AH$2:$AH$1001,MATCH(ROWS($AF$2:AF636),$AF$2:$AF$1001,0),0), INDEX($AM$1004:$BM$1004,1,MATCH(COLUMNS($AM$1006:BG1006),$AM$1006:$BM$1006,0)))),"Fix")))</f>
        <v xml:space="preserve"> </v>
      </c>
      <c r="W636" s="4" t="str">
        <f ca="1">IF(OR(INDEX($AG$2:$AG$1001,MATCH(ROWS($AF$2:AF636),$AF$2:$AF$1001,0),1)&gt;=100000,INDEX($AM$1005:$BM$1005,1,MATCH(COLUMNS($AM$1006:BH1006),$AM$1006:$BM$1006,0))&gt;=100000), " ",IF(INDEX($AM$2:$BM$1001,MATCH(ROWS($AF$2:AF636),$AF$2:$AF$1001,0),MATCH(COLUMNS($AM$1006:BH1006),$AM$1006:$BM$1006,0)), HYPERLINK("#",""), HYPERLINK(CONCATENATE("#metadata!", ADDRESS(INDEX($AH$2:$AH$1001,MATCH(ROWS($AF$2:AF636),$AF$2:$AF$1001,0),0), INDEX($AM$1004:$BM$1004,1,MATCH(COLUMNS($AM$1006:BH1006),$AM$1006:$BM$1006,0)))),"Fix")))</f>
        <v xml:space="preserve"> </v>
      </c>
      <c r="X636" s="4" t="str">
        <f ca="1">IF(OR(INDEX($AG$2:$AG$1001,MATCH(ROWS($AF$2:AF636),$AF$2:$AF$1001,0),1)&gt;=100000,INDEX($AM$1005:$BM$1005,1,MATCH(COLUMNS($AM$1006:BI1006),$AM$1006:$BM$1006,0))&gt;=100000), " ",IF(INDEX($AM$2:$BM$1001,MATCH(ROWS($AF$2:AF636),$AF$2:$AF$1001,0),MATCH(COLUMNS($AM$1006:BI1006),$AM$1006:$BM$1006,0)), HYPERLINK("#",""), HYPERLINK(CONCATENATE("#metadata!", ADDRESS(INDEX($AH$2:$AH$1001,MATCH(ROWS($AF$2:AF636),$AF$2:$AF$1001,0),0), INDEX($AM$1004:$BM$1004,1,MATCH(COLUMNS($AM$1006:BI1006),$AM$1006:$BM$1006,0)))),"Fix")))</f>
        <v xml:space="preserve"> </v>
      </c>
      <c r="Y636" s="4" t="str">
        <f ca="1">IF(OR(INDEX($AG$2:$AG$1001,MATCH(ROWS($AF$2:AF636),$AF$2:$AF$1001,0),1)&gt;=100000,INDEX($AM$1005:$BM$1005,1,MATCH(COLUMNS($AM$1006:BJ1006),$AM$1006:$BM$1006,0))&gt;=100000), " ",IF(INDEX($AM$2:$BM$1001,MATCH(ROWS($AF$2:AF636),$AF$2:$AF$1001,0),MATCH(COLUMNS($AM$1006:BJ1006),$AM$1006:$BM$1006,0)), HYPERLINK("#",""), HYPERLINK(CONCATENATE("#metadata!", ADDRESS(INDEX($AH$2:$AH$1001,MATCH(ROWS($AF$2:AF636),$AF$2:$AF$1001,0),0), INDEX($AM$1004:$BM$1004,1,MATCH(COLUMNS($AM$1006:BJ1006),$AM$1006:$BM$1006,0)))),"Fix")))</f>
        <v xml:space="preserve"> </v>
      </c>
      <c r="Z636" s="4" t="str">
        <f ca="1">IF(OR(INDEX($AG$2:$AG$1001,MATCH(ROWS($AF$2:AF636),$AF$2:$AF$1001,0),1)&gt;=100000,INDEX($AM$1005:$BM$1005,1,MATCH(COLUMNS($AM$1006:BK1006),$AM$1006:$BM$1006,0))&gt;=100000), " ",IF(INDEX($AM$2:$BM$1001,MATCH(ROWS($AF$2:AF636),$AF$2:$AF$1001,0),MATCH(COLUMNS($AM$1006:BK1006),$AM$1006:$BM$1006,0)), HYPERLINK("#",""), HYPERLINK(CONCATENATE("#metadata!", ADDRESS(INDEX($AH$2:$AH$1001,MATCH(ROWS($AF$2:AF636),$AF$2:$AF$1001,0),0), INDEX($AM$1004:$BM$1004,1,MATCH(COLUMNS($AM$1006:BK1006),$AM$1006:$BM$1006,0)))),"Fix")))</f>
        <v xml:space="preserve"> </v>
      </c>
      <c r="AA636" s="4" t="str">
        <f ca="1">IF(OR(INDEX($AG$2:$AG$1001,MATCH(ROWS($AF$2:AF636),$AF$2:$AF$1001,0),1)&gt;=100000,INDEX($AM$1005:$BM$1005,1,MATCH(COLUMNS($AM$1006:BL1006),$AM$1006:$BM$1006,0))&gt;=100000), " ",IF(INDEX($AM$2:$BM$1001,MATCH(ROWS($AF$2:AF636),$AF$2:$AF$1001,0),MATCH(COLUMNS($AM$1006:BL1006),$AM$1006:$BM$1006,0)), HYPERLINK("#",""), HYPERLINK(CONCATENATE("#metadata!", ADDRESS(INDEX($AH$2:$AH$1001,MATCH(ROWS($AF$2:AF636),$AF$2:$AF$1001,0),0), INDEX($AM$1004:$BM$1004,1,MATCH(COLUMNS($AM$1006:BL1006),$AM$1006:$BM$1006,0)))),"Fix")))</f>
        <v xml:space="preserve"> </v>
      </c>
      <c r="AB636" s="4" t="str">
        <f ca="1">IF(OR(INDEX($AG$2:$AG$1001,MATCH(ROWS($AF$2:AF636),$AF$2:$AF$1001,0),1)&gt;=100000,INDEX($AM$1005:$BM$1005,1,MATCH(COLUMNS($AM$1006:BM1006),$AM$1006:$BM$1006,0))&gt;=100000), " ",IF(INDEX($AM$2:$BM$1001,MATCH(ROWS($AF$2:AF636),$AF$2:$AF$1001,0),MATCH(COLUMNS($AM$1006:BM1006),$AM$1006:$BM$1006,0)), HYPERLINK("#",""), HYPERLINK(CONCATENATE("#metadata!", ADDRESS(INDEX($AH$2:$AH$1001,MATCH(ROWS($AF$2:AF636),$AF$2:$AF$1001,0),0), INDEX($AM$1004:$BM$1004,1,MATCH(COLUMNS($AM$1006:BM1006),$AM$1006:$BM$1006,0)))),"Fix")))</f>
        <v xml:space="preserve"> </v>
      </c>
      <c r="AF636">
        <v>635</v>
      </c>
      <c r="AG636">
        <v>100636</v>
      </c>
      <c r="AH636">
        <v>636</v>
      </c>
      <c r="AI636" t="b">
        <f t="shared" si="9"/>
        <v>1</v>
      </c>
      <c r="AJ636" t="b">
        <f>COUNTBLANK(metadata!B636:AB636)=COLUMNS(metadata!B636:AB636)</f>
        <v>1</v>
      </c>
      <c r="AK636" t="str">
        <v/>
      </c>
      <c r="AM636" t="b">
        <f ca="1">AND(IF(metadata!B636="",FALSE,TRUE),COUNTIF(metadata!B:B, metadata!B636) = 1,NOT(ISERROR(SUMPRODUCT(SEARCH(MID(metadata!B636,ROW(INDIRECT("1:"&amp;LEN(metadata!B636))), 1),"0123456789abcdefghijklmnopqrstuvwxyzABCDEFGHIJKLMNOPQRSTUVWXYZ.")))))</f>
        <v>0</v>
      </c>
      <c r="AN636" t="b">
        <f ca="1">OR(AND(IF(metadata!C636="",FALSE,TRUE),OR(EXACT(metadata!C636,"missing: not collected"),EXACT(metadata!C636,"missing: not provided"),EXACT(metadata!C636,"missing: restricted access"))),AND(IF(metadata!C636="",FALSE,TRUE),AND(AND(IFERROR(INT(LEFT(metadata!C636,4))&gt;1900,FALSE),IFERROR(INT(LEFT(metadata!C636,4))&lt;=YEAR(NOW()),FALSE)), OR(MID(metadata!C636,5,1)="", AND(AND(MID(metadata!C636,5,1)="-",IFERROR(INT(MID(metadata!C636,6,1))&gt;=0,FALSE),IFERROR(INT(MID(metadata!C636,6,1))&lt;=1,FALSE),NOT(MID(metadata!C636,7,1)=""),IFERROR(INT(MID(metadata!C636,6,2))&gt;=1,FALSE),IFERROR(INT(MID(metadata!C636,6,2))&lt;=12,FALSE)), OR(MID(metadata!C636,8,1)="", AND(AND(MID(metadata!C636,8,1)="-",IFERROR(INT(MID(metadata!C636,9,1))&gt;=0,FALSE),IFERROR(INT(MID(metadata!C636,9,1))&lt;=3,FALSE),NOT(MID(metadata!C636,10,1)=""),IFERROR(INT(MID(metadata!C636,9,2))&gt;=1,FALSE),IFERROR(INT(MID(metadata!C636,9,2))&lt;=31,FALSE)), OR(MID(metadata!C636,11,1)="", AND(AND(MID(metadata!C636,11,1)=" ",IFERROR(INT(MID(metadata!C636,12,1))&gt;=0,FALSE),IFERROR(INT(MID(metadata!C636,12,1))&lt;=2,FALSE),NOT(MID(metadata!C636,13,1)=""),IFERROR(INT(MID(metadata!C636,12,2))&gt;=0,FALSE),IFERROR(INT(MID(metadata!C636,12,2))&lt;=23,FALSE)), OR(MID(metadata!C636,14,1)="", AND(AND(MID(metadata!C636,14,1)=":",IFERROR(INT(MID(metadata!C636,15,1))&gt;=0,FALSE),IFERROR(INT(MID(metadata!C636,15,1))&lt;=5,FALSE),NOT(MID(metadata!C636,16,1)=""),IFERROR(INT(MID(metadata!C636,15,2))&gt;=0,FALSE),IFERROR(INT(MID(metadata!C636,15,2))&lt;=59,FALSE)), OR(MID(metadata!C636,17,1)="", AND(AND(MID(metadata!C636,17,1)=":",IFERROR(INT(MID(metadata!C636,18,1))&gt;=0,FALSE),IFERROR(INT(MID(metadata!C636,18,1))&lt;=5,FALSE),NOT(MID(metadata!C636,19,1)=""),IFERROR(INT(MID(metadata!C636,18,2))&gt;=0,FALSE),IFERROR(INT(MID(metadata!C636,18,2))&lt;=59,FALSE)), LEN(metadata!C636)&lt;=19)))))))))))))</f>
        <v>0</v>
      </c>
      <c r="AO636" t="b">
        <f>AND(IF(metadata!D636="",FALSE,TRUE),EXACT(metadata!D636,"Not applicable"))</f>
        <v>0</v>
      </c>
      <c r="AP636" t="b">
        <f>IF(metadata!E636="",FALSE,TRUE)</f>
        <v>0</v>
      </c>
      <c r="AQ636" t="b">
        <f>OR(AND(IF(metadata!F636="",FALSE,TRUE),OR(EXACT(metadata!F636,"missing: not collected"),EXACT(metadata!F636,"missing: not provided"))),AND(IF(metadata!F636="",FALSE,TRUE),OR(EXACT(metadata!F636,"TRUE"),EXACT(metadata!F636,"FALSE"))))</f>
        <v>0</v>
      </c>
      <c r="AR636" t="b">
        <f>OR(AND(IF(metadata!G636="",FALSE,TRUE),OR(EXACT(metadata!G636,"missing: not collected"),EXACT(metadata!G636,"missing: not provided"),EXACT(metadata!G636,"missing: restricted access"))),AND(IF(metadata!G636="",FALSE,ISNUMBER(VALUE(metadata!G636))),metadata!G636&gt;=-413))</f>
        <v>0</v>
      </c>
      <c r="AS636" t="b">
        <f>AND(IF(metadata!H636="",FALSE,TRUE),EXACT(metadata!H636,"meters"))</f>
        <v>0</v>
      </c>
      <c r="AT636" t="b">
        <f>AND(IF(metadata!I636="",FALSE,TRUE),OR(EXACT(metadata!I636,"Host-associated"),EXACT(metadata!I636,"Free-living")))</f>
        <v>0</v>
      </c>
      <c r="AU636" t="b">
        <f>AND(IF(metadata!J636="",FALSE,TRUE),OR(EXACT(metadata!J636,"Animal"),EXACT(metadata!J636,"Fungus"),EXACT(metadata!J636,"Plant"),EXACT(metadata!J636,"Saline"),EXACT(metadata!J636,"Non-saline")))</f>
        <v>0</v>
      </c>
      <c r="AV636" t="b">
        <f>AND(IF(metadata!K636="",FALSE,TRUE),OR(EXACT(metadata!K636,"Plant secretion"),EXACT(metadata!K636,"Plant rhizosphere"),EXACT(metadata!K636,"Plant surface"),EXACT(metadata!K636,"Plant corpus"),EXACT(metadata!K636,"Fungus surface"),EXACT(metadata!K636,"Fungus corpus"),EXACT(metadata!K636,"Animal surface"),EXACT(metadata!K636,"Animal proximal gut"),EXACT(metadata!K636,"Animal corpus"),EXACT(metadata!K636,"Animal distal gut"),EXACT(metadata!K636,"Animal secretion"),EXACT(metadata!K636,"Sub-surface (non-saline)"),EXACT(metadata!K636,"Surface (non-saline)"),EXACT(metadata!K636,"Water (non-saline)"),EXACT(metadata!K636,"Soil (non-saline)"),EXACT(metadata!K636,"Aerosol (non-saline)"),EXACT(metadata!K636,"Sediment (non-saline)"),EXACT(metadata!K636,"Surface (saline)"),EXACT(metadata!K636,"Water (saline)"),EXACT(metadata!K636,"Hypersaline (saline)"),EXACT(metadata!K636,"Aerosol (saline)"),EXACT(metadata!K636,"Sediment (saline)")))</f>
        <v>0</v>
      </c>
      <c r="AW636" t="b">
        <f>IF(metadata!L636="",FALSE,TRUE)</f>
        <v>0</v>
      </c>
      <c r="AX636" t="b">
        <f>IF(metadata!M636="",FALSE,TRUE)</f>
        <v>0</v>
      </c>
      <c r="AY636" t="b">
        <f>IF(metadata!N636="",FALSE,TRUE)</f>
        <v>0</v>
      </c>
      <c r="AZ636" t="b">
        <f>OR(AND(IF(metadata!O636="",FALSE,TRUE),OR(EXACT(metadata!O636,"missing: not collected"),EXACT(metadata!O636,"missing: not provided"),EXACT(metadata!O636,"missing: restricted access"))),AND(IF(metadata!O636="",FALSE,TRUE),OR(EXACT(metadata!O636,"air"),EXACT(metadata!O636,"built environment"),EXACT(metadata!O636,"host-associated"),EXACT(metadata!O636,"human-associated"),EXACT(metadata!O636,"human-skin"),EXACT(metadata!O636,"human-oral"),EXACT(metadata!O636,"human-gut"),EXACT(metadata!O636,"human-vaginal"),EXACT(metadata!O636,"microbial mat/biofilm"),EXACT(metadata!O636,"misc environment"),EXACT(metadata!O636,"plant-associated"),EXACT(metadata!O636,"sediment"),EXACT(metadata!O636,"soil"),EXACT(metadata!O636,"wastewater/sludge"),EXACT(metadata!O636,"water"))))</f>
        <v>0</v>
      </c>
      <c r="BA636" t="b">
        <f>IF(metadata!P636="",FALSE,TRUE)</f>
        <v>0</v>
      </c>
      <c r="BB636" t="b">
        <f>IF(metadata!Q636="",FALSE,TRUE)</f>
        <v>0</v>
      </c>
      <c r="BC636" t="b">
        <f>OR(AND(IF(metadata!R636="",FALSE,TRUE),OR(EXACT(metadata!R636,"missing: not collected"),EXACT(metadata!R636,"missing: not provided"),EXACT(metadata!R636,"missing: restricted access"))),AND(IF(metadata!R636="",FALSE,ISNUMBER(VALUE(metadata!R636))),metadata!R636&gt;=-90,metadata!R636&lt;=90))</f>
        <v>0</v>
      </c>
      <c r="BD636" t="b">
        <f>AND(IF(metadata!S636="",FALSE,TRUE),EXACT(metadata!S636,"Decimal degrees"))</f>
        <v>0</v>
      </c>
      <c r="BE636" t="b">
        <f>OR(AND(IF(metadata!T636="",FALSE,TRUE),OR(EXACT(metadata!T636,"missing: not collected"),EXACT(metadata!T636,"missing: not provided"),EXACT(metadata!T636,"missing: restricted access"))),AND(IF(metadata!T636="",FALSE,ISNUMBER(VALUE(metadata!T636))),metadata!T636&gt;=-180,metadata!T636&lt;=180))</f>
        <v>0</v>
      </c>
      <c r="BF636" t="b">
        <f>AND(IF(metadata!U636="",FALSE,TRUE),EXACT(metadata!U636,"Decimal degrees"))</f>
        <v>0</v>
      </c>
      <c r="BG636" t="b">
        <f>IF(metadata!V636="",FALSE,TRUE)</f>
        <v>0</v>
      </c>
      <c r="BH636" t="b">
        <f>OR(AND(IF(metadata!W636="",FALSE,TRUE),OR(EXACT(metadata!W636,"missing: not collected"),EXACT(metadata!W636,"missing: not provided"),EXACT(metadata!W636,"missing: restricted access"))),AND(IF(metadata!W636="",FALSE,TRUE),OR(EXACT(metadata!W636,"TRUE"),EXACT(metadata!W636,"FALSE"))))</f>
        <v>0</v>
      </c>
      <c r="BI636" t="b">
        <f>AND(IF(metadata!X636="",FALSE,TRUE),EXACT(metadata!X636,"other"))</f>
        <v>0</v>
      </c>
      <c r="BJ636" t="b">
        <f>IF(metadata!Y636="",FALSE,TRUE)</f>
        <v>0</v>
      </c>
      <c r="BK636" t="b">
        <f>OR(AND(IF(metadata!Z636="",FALSE,TRUE),OR(EXACT(metadata!Z636,"missing: not collected"),EXACT(metadata!Z636,"missing: not provided"))),AND(IF(metadata!Z636="",FALSE,IF(ISERROR(INT(metadata!Z636)),FALSE,INT(metadata!Z636)=metadata!Z636)),metadata!Z636&gt;0))</f>
        <v>0</v>
      </c>
      <c r="BL636" t="b">
        <f>AND(IF(metadata!AA636="",FALSE,TRUE),EXACT(metadata!AA636,"Not applicable"))</f>
        <v>0</v>
      </c>
      <c r="BM636" t="b">
        <f>IF(metadata!AB636="",FALSE,TRUE)</f>
        <v>0</v>
      </c>
    </row>
    <row r="637" spans="1:65" x14ac:dyDescent="0.2">
      <c r="A637" s="5" t="str">
        <f ca="1">IF(B637=" "," ",HYPERLINK(CONCATENATE("#metadata!",ADDRESS(INDEX($AH$2:$AH$1001,MATCH(ROWS($AF$2:AF637),$AF$2:$AF$1001,0),0),1)),INDEX($AK$2:$AK$1001,MATCH(ROWS($AF$2:AF637),$AF$2:$AF$1001,0),0)))</f>
        <v xml:space="preserve"> </v>
      </c>
      <c r="B637" s="4" t="str">
        <f ca="1">IF(OR(INDEX($AG$2:$AG$1001,MATCH(ROWS($AF$2:AF637),$AF$2:$AF$1001,0),1)&gt;=100000,INDEX($AM$1005:$BM$1005,1,MATCH(COLUMNS($AM$1006:AM1006),$AM$1006:$BM$1006,0))&gt;=100000), " ",IF(INDEX($AM$2:$BM$1001,MATCH(ROWS($AF$2:AF637),$AF$2:$AF$1001,0),MATCH(COLUMNS($AM$1006:AM1006),$AM$1006:$BM$1006,0)), HYPERLINK("#",""), HYPERLINK(CONCATENATE("#metadata!", ADDRESS(INDEX($AH$2:$AH$1001,MATCH(ROWS($AF$2:AF637),$AF$2:$AF$1001,0),0), INDEX($AM$1004:$BM$1004,1,MATCH(COLUMNS($AM$1006:AM1006),$AM$1006:$BM$1006,0)))),"Fix")))</f>
        <v xml:space="preserve"> </v>
      </c>
      <c r="C637" s="4" t="str">
        <f ca="1">IF(OR(INDEX($AG$2:$AG$1001,MATCH(ROWS($AF$2:AF637),$AF$2:$AF$1001,0),1)&gt;=100000,INDEX($AM$1005:$BM$1005,1,MATCH(COLUMNS($AM$1006:AN1006),$AM$1006:$BM$1006,0))&gt;=100000), " ",IF(INDEX($AM$2:$BM$1001,MATCH(ROWS($AF$2:AF637),$AF$2:$AF$1001,0),MATCH(COLUMNS($AM$1006:AN1006),$AM$1006:$BM$1006,0)), HYPERLINK("#",""), HYPERLINK(CONCATENATE("#metadata!", ADDRESS(INDEX($AH$2:$AH$1001,MATCH(ROWS($AF$2:AF637),$AF$2:$AF$1001,0),0), INDEX($AM$1004:$BM$1004,1,MATCH(COLUMNS($AM$1006:AN1006),$AM$1006:$BM$1006,0)))),"Fix")))</f>
        <v xml:space="preserve"> </v>
      </c>
      <c r="D637" s="4" t="str">
        <f ca="1">IF(OR(INDEX($AG$2:$AG$1001,MATCH(ROWS($AF$2:AF637),$AF$2:$AF$1001,0),1)&gt;=100000,INDEX($AM$1005:$BM$1005,1,MATCH(COLUMNS($AM$1006:AO1006),$AM$1006:$BM$1006,0))&gt;=100000), " ",IF(INDEX($AM$2:$BM$1001,MATCH(ROWS($AF$2:AF637),$AF$2:$AF$1001,0),MATCH(COLUMNS($AM$1006:AO1006),$AM$1006:$BM$1006,0)), HYPERLINK("#",""), HYPERLINK(CONCATENATE("#metadata!", ADDRESS(INDEX($AH$2:$AH$1001,MATCH(ROWS($AF$2:AF637),$AF$2:$AF$1001,0),0), INDEX($AM$1004:$BM$1004,1,MATCH(COLUMNS($AM$1006:AO1006),$AM$1006:$BM$1006,0)))),"Fix")))</f>
        <v xml:space="preserve"> </v>
      </c>
      <c r="E637" s="4" t="str">
        <f ca="1">IF(OR(INDEX($AG$2:$AG$1001,MATCH(ROWS($AF$2:AF637),$AF$2:$AF$1001,0),1)&gt;=100000,INDEX($AM$1005:$BM$1005,1,MATCH(COLUMNS($AM$1006:AP1006),$AM$1006:$BM$1006,0))&gt;=100000), " ",IF(INDEX($AM$2:$BM$1001,MATCH(ROWS($AF$2:AF637),$AF$2:$AF$1001,0),MATCH(COLUMNS($AM$1006:AP1006),$AM$1006:$BM$1006,0)), HYPERLINK("#",""), HYPERLINK(CONCATENATE("#metadata!", ADDRESS(INDEX($AH$2:$AH$1001,MATCH(ROWS($AF$2:AF637),$AF$2:$AF$1001,0),0), INDEX($AM$1004:$BM$1004,1,MATCH(COLUMNS($AM$1006:AP1006),$AM$1006:$BM$1006,0)))),"Fix")))</f>
        <v xml:space="preserve"> </v>
      </c>
      <c r="F637" s="4" t="str">
        <f ca="1">IF(OR(INDEX($AG$2:$AG$1001,MATCH(ROWS($AF$2:AF637),$AF$2:$AF$1001,0),1)&gt;=100000,INDEX($AM$1005:$BM$1005,1,MATCH(COLUMNS($AM$1006:AQ1006),$AM$1006:$BM$1006,0))&gt;=100000), " ",IF(INDEX($AM$2:$BM$1001,MATCH(ROWS($AF$2:AF637),$AF$2:$AF$1001,0),MATCH(COLUMNS($AM$1006:AQ1006),$AM$1006:$BM$1006,0)), HYPERLINK("#",""), HYPERLINK(CONCATENATE("#metadata!", ADDRESS(INDEX($AH$2:$AH$1001,MATCH(ROWS($AF$2:AF637),$AF$2:$AF$1001,0),0), INDEX($AM$1004:$BM$1004,1,MATCH(COLUMNS($AM$1006:AQ1006),$AM$1006:$BM$1006,0)))),"Fix")))</f>
        <v xml:space="preserve"> </v>
      </c>
      <c r="G637" s="4" t="str">
        <f ca="1">IF(OR(INDEX($AG$2:$AG$1001,MATCH(ROWS($AF$2:AF637),$AF$2:$AF$1001,0),1)&gt;=100000,INDEX($AM$1005:$BM$1005,1,MATCH(COLUMNS($AM$1006:AR1006),$AM$1006:$BM$1006,0))&gt;=100000), " ",IF(INDEX($AM$2:$BM$1001,MATCH(ROWS($AF$2:AF637),$AF$2:$AF$1001,0),MATCH(COLUMNS($AM$1006:AR1006),$AM$1006:$BM$1006,0)), HYPERLINK("#",""), HYPERLINK(CONCATENATE("#metadata!", ADDRESS(INDEX($AH$2:$AH$1001,MATCH(ROWS($AF$2:AF637),$AF$2:$AF$1001,0),0), INDEX($AM$1004:$BM$1004,1,MATCH(COLUMNS($AM$1006:AR1006),$AM$1006:$BM$1006,0)))),"Fix")))</f>
        <v xml:space="preserve"> </v>
      </c>
      <c r="H637" s="4" t="str">
        <f ca="1">IF(OR(INDEX($AG$2:$AG$1001,MATCH(ROWS($AF$2:AF637),$AF$2:$AF$1001,0),1)&gt;=100000,INDEX($AM$1005:$BM$1005,1,MATCH(COLUMNS($AM$1006:AS1006),$AM$1006:$BM$1006,0))&gt;=100000), " ",IF(INDEX($AM$2:$BM$1001,MATCH(ROWS($AF$2:AF637),$AF$2:$AF$1001,0),MATCH(COLUMNS($AM$1006:AS1006),$AM$1006:$BM$1006,0)), HYPERLINK("#",""), HYPERLINK(CONCATENATE("#metadata!", ADDRESS(INDEX($AH$2:$AH$1001,MATCH(ROWS($AF$2:AF637),$AF$2:$AF$1001,0),0), INDEX($AM$1004:$BM$1004,1,MATCH(COLUMNS($AM$1006:AS1006),$AM$1006:$BM$1006,0)))),"Fix")))</f>
        <v xml:space="preserve"> </v>
      </c>
      <c r="I637" s="4" t="str">
        <f ca="1">IF(OR(INDEX($AG$2:$AG$1001,MATCH(ROWS($AF$2:AF637),$AF$2:$AF$1001,0),1)&gt;=100000,INDEX($AM$1005:$BM$1005,1,MATCH(COLUMNS($AM$1006:AT1006),$AM$1006:$BM$1006,0))&gt;=100000), " ",IF(INDEX($AM$2:$BM$1001,MATCH(ROWS($AF$2:AF637),$AF$2:$AF$1001,0),MATCH(COLUMNS($AM$1006:AT1006),$AM$1006:$BM$1006,0)), HYPERLINK("#",""), HYPERLINK(CONCATENATE("#metadata!", ADDRESS(INDEX($AH$2:$AH$1001,MATCH(ROWS($AF$2:AF637),$AF$2:$AF$1001,0),0), INDEX($AM$1004:$BM$1004,1,MATCH(COLUMNS($AM$1006:AT1006),$AM$1006:$BM$1006,0)))),"Fix")))</f>
        <v xml:space="preserve"> </v>
      </c>
      <c r="J637" s="4" t="str">
        <f ca="1">IF(OR(INDEX($AG$2:$AG$1001,MATCH(ROWS($AF$2:AF637),$AF$2:$AF$1001,0),1)&gt;=100000,INDEX($AM$1005:$BM$1005,1,MATCH(COLUMNS($AM$1006:AU1006),$AM$1006:$BM$1006,0))&gt;=100000), " ",IF(INDEX($AM$2:$BM$1001,MATCH(ROWS($AF$2:AF637),$AF$2:$AF$1001,0),MATCH(COLUMNS($AM$1006:AU1006),$AM$1006:$BM$1006,0)), HYPERLINK("#",""), HYPERLINK(CONCATENATE("#metadata!", ADDRESS(INDEX($AH$2:$AH$1001,MATCH(ROWS($AF$2:AF637),$AF$2:$AF$1001,0),0), INDEX($AM$1004:$BM$1004,1,MATCH(COLUMNS($AM$1006:AU1006),$AM$1006:$BM$1006,0)))),"Fix")))</f>
        <v xml:space="preserve"> </v>
      </c>
      <c r="K637" s="4" t="str">
        <f ca="1">IF(OR(INDEX($AG$2:$AG$1001,MATCH(ROWS($AF$2:AF637),$AF$2:$AF$1001,0),1)&gt;=100000,INDEX($AM$1005:$BM$1005,1,MATCH(COLUMNS($AM$1006:AV1006),$AM$1006:$BM$1006,0))&gt;=100000), " ",IF(INDEX($AM$2:$BM$1001,MATCH(ROWS($AF$2:AF637),$AF$2:$AF$1001,0),MATCH(COLUMNS($AM$1006:AV1006),$AM$1006:$BM$1006,0)), HYPERLINK("#",""), HYPERLINK(CONCATENATE("#metadata!", ADDRESS(INDEX($AH$2:$AH$1001,MATCH(ROWS($AF$2:AF637),$AF$2:$AF$1001,0),0), INDEX($AM$1004:$BM$1004,1,MATCH(COLUMNS($AM$1006:AV1006),$AM$1006:$BM$1006,0)))),"Fix")))</f>
        <v xml:space="preserve"> </v>
      </c>
      <c r="L637" s="4" t="str">
        <f ca="1">IF(OR(INDEX($AG$2:$AG$1001,MATCH(ROWS($AF$2:AF637),$AF$2:$AF$1001,0),1)&gt;=100000,INDEX($AM$1005:$BM$1005,1,MATCH(COLUMNS($AM$1006:AW1006),$AM$1006:$BM$1006,0))&gt;=100000), " ",IF(INDEX($AM$2:$BM$1001,MATCH(ROWS($AF$2:AF637),$AF$2:$AF$1001,0),MATCH(COLUMNS($AM$1006:AW1006),$AM$1006:$BM$1006,0)), HYPERLINK("#",""), HYPERLINK(CONCATENATE("#metadata!", ADDRESS(INDEX($AH$2:$AH$1001,MATCH(ROWS($AF$2:AF637),$AF$2:$AF$1001,0),0), INDEX($AM$1004:$BM$1004,1,MATCH(COLUMNS($AM$1006:AW1006),$AM$1006:$BM$1006,0)))),"Fix")))</f>
        <v xml:space="preserve"> </v>
      </c>
      <c r="M637" s="4" t="str">
        <f ca="1">IF(OR(INDEX($AG$2:$AG$1001,MATCH(ROWS($AF$2:AF637),$AF$2:$AF$1001,0),1)&gt;=100000,INDEX($AM$1005:$BM$1005,1,MATCH(COLUMNS($AM$1006:AX1006),$AM$1006:$BM$1006,0))&gt;=100000), " ",IF(INDEX($AM$2:$BM$1001,MATCH(ROWS($AF$2:AF637),$AF$2:$AF$1001,0),MATCH(COLUMNS($AM$1006:AX1006),$AM$1006:$BM$1006,0)), HYPERLINK("#",""), HYPERLINK(CONCATENATE("#metadata!", ADDRESS(INDEX($AH$2:$AH$1001,MATCH(ROWS($AF$2:AF637),$AF$2:$AF$1001,0),0), INDEX($AM$1004:$BM$1004,1,MATCH(COLUMNS($AM$1006:AX1006),$AM$1006:$BM$1006,0)))),"Fix")))</f>
        <v xml:space="preserve"> </v>
      </c>
      <c r="N637" s="4" t="str">
        <f ca="1">IF(OR(INDEX($AG$2:$AG$1001,MATCH(ROWS($AF$2:AF637),$AF$2:$AF$1001,0),1)&gt;=100000,INDEX($AM$1005:$BM$1005,1,MATCH(COLUMNS($AM$1006:AY1006),$AM$1006:$BM$1006,0))&gt;=100000), " ",IF(INDEX($AM$2:$BM$1001,MATCH(ROWS($AF$2:AF637),$AF$2:$AF$1001,0),MATCH(COLUMNS($AM$1006:AY1006),$AM$1006:$BM$1006,0)), HYPERLINK("#",""), HYPERLINK(CONCATENATE("#metadata!", ADDRESS(INDEX($AH$2:$AH$1001,MATCH(ROWS($AF$2:AF637),$AF$2:$AF$1001,0),0), INDEX($AM$1004:$BM$1004,1,MATCH(COLUMNS($AM$1006:AY1006),$AM$1006:$BM$1006,0)))),"Fix")))</f>
        <v xml:space="preserve"> </v>
      </c>
      <c r="O637" s="4" t="str">
        <f ca="1">IF(OR(INDEX($AG$2:$AG$1001,MATCH(ROWS($AF$2:AF637),$AF$2:$AF$1001,0),1)&gt;=100000,INDEX($AM$1005:$BM$1005,1,MATCH(COLUMNS($AM$1006:AZ1006),$AM$1006:$BM$1006,0))&gt;=100000), " ",IF(INDEX($AM$2:$BM$1001,MATCH(ROWS($AF$2:AF637),$AF$2:$AF$1001,0),MATCH(COLUMNS($AM$1006:AZ1006),$AM$1006:$BM$1006,0)), HYPERLINK("#",""), HYPERLINK(CONCATENATE("#metadata!", ADDRESS(INDEX($AH$2:$AH$1001,MATCH(ROWS($AF$2:AF637),$AF$2:$AF$1001,0),0), INDEX($AM$1004:$BM$1004,1,MATCH(COLUMNS($AM$1006:AZ1006),$AM$1006:$BM$1006,0)))),"Fix")))</f>
        <v xml:space="preserve"> </v>
      </c>
      <c r="P637" s="4" t="str">
        <f ca="1">IF(OR(INDEX($AG$2:$AG$1001,MATCH(ROWS($AF$2:AF637),$AF$2:$AF$1001,0),1)&gt;=100000,INDEX($AM$1005:$BM$1005,1,MATCH(COLUMNS($AM$1006:BA1006),$AM$1006:$BM$1006,0))&gt;=100000), " ",IF(INDEX($AM$2:$BM$1001,MATCH(ROWS($AF$2:AF637),$AF$2:$AF$1001,0),MATCH(COLUMNS($AM$1006:BA1006),$AM$1006:$BM$1006,0)), HYPERLINK("#",""), HYPERLINK(CONCATENATE("#metadata!", ADDRESS(INDEX($AH$2:$AH$1001,MATCH(ROWS($AF$2:AF637),$AF$2:$AF$1001,0),0), INDEX($AM$1004:$BM$1004,1,MATCH(COLUMNS($AM$1006:BA1006),$AM$1006:$BM$1006,0)))),"Fix")))</f>
        <v xml:space="preserve"> </v>
      </c>
      <c r="Q637" s="4" t="str">
        <f ca="1">IF(OR(INDEX($AG$2:$AG$1001,MATCH(ROWS($AF$2:AF637),$AF$2:$AF$1001,0),1)&gt;=100000,INDEX($AM$1005:$BM$1005,1,MATCH(COLUMNS($AM$1006:BB1006),$AM$1006:$BM$1006,0))&gt;=100000), " ",IF(INDEX($AM$2:$BM$1001,MATCH(ROWS($AF$2:AF637),$AF$2:$AF$1001,0),MATCH(COLUMNS($AM$1006:BB1006),$AM$1006:$BM$1006,0)), HYPERLINK("#",""), HYPERLINK(CONCATENATE("#metadata!", ADDRESS(INDEX($AH$2:$AH$1001,MATCH(ROWS($AF$2:AF637),$AF$2:$AF$1001,0),0), INDEX($AM$1004:$BM$1004,1,MATCH(COLUMNS($AM$1006:BB1006),$AM$1006:$BM$1006,0)))),"Fix")))</f>
        <v xml:space="preserve"> </v>
      </c>
      <c r="R637" s="4" t="str">
        <f ca="1">IF(OR(INDEX($AG$2:$AG$1001,MATCH(ROWS($AF$2:AF637),$AF$2:$AF$1001,0),1)&gt;=100000,INDEX($AM$1005:$BM$1005,1,MATCH(COLUMNS($AM$1006:BC1006),$AM$1006:$BM$1006,0))&gt;=100000), " ",IF(INDEX($AM$2:$BM$1001,MATCH(ROWS($AF$2:AF637),$AF$2:$AF$1001,0),MATCH(COLUMNS($AM$1006:BC1006),$AM$1006:$BM$1006,0)), HYPERLINK("#",""), HYPERLINK(CONCATENATE("#metadata!", ADDRESS(INDEX($AH$2:$AH$1001,MATCH(ROWS($AF$2:AF637),$AF$2:$AF$1001,0),0), INDEX($AM$1004:$BM$1004,1,MATCH(COLUMNS($AM$1006:BC1006),$AM$1006:$BM$1006,0)))),"Fix")))</f>
        <v xml:space="preserve"> </v>
      </c>
      <c r="S637" s="4" t="str">
        <f ca="1">IF(OR(INDEX($AG$2:$AG$1001,MATCH(ROWS($AF$2:AF637),$AF$2:$AF$1001,0),1)&gt;=100000,INDEX($AM$1005:$BM$1005,1,MATCH(COLUMNS($AM$1006:BD1006),$AM$1006:$BM$1006,0))&gt;=100000), " ",IF(INDEX($AM$2:$BM$1001,MATCH(ROWS($AF$2:AF637),$AF$2:$AF$1001,0),MATCH(COLUMNS($AM$1006:BD1006),$AM$1006:$BM$1006,0)), HYPERLINK("#",""), HYPERLINK(CONCATENATE("#metadata!", ADDRESS(INDEX($AH$2:$AH$1001,MATCH(ROWS($AF$2:AF637),$AF$2:$AF$1001,0),0), INDEX($AM$1004:$BM$1004,1,MATCH(COLUMNS($AM$1006:BD1006),$AM$1006:$BM$1006,0)))),"Fix")))</f>
        <v xml:space="preserve"> </v>
      </c>
      <c r="T637" s="4" t="str">
        <f ca="1">IF(OR(INDEX($AG$2:$AG$1001,MATCH(ROWS($AF$2:AF637),$AF$2:$AF$1001,0),1)&gt;=100000,INDEX($AM$1005:$BM$1005,1,MATCH(COLUMNS($AM$1006:BE1006),$AM$1006:$BM$1006,0))&gt;=100000), " ",IF(INDEX($AM$2:$BM$1001,MATCH(ROWS($AF$2:AF637),$AF$2:$AF$1001,0),MATCH(COLUMNS($AM$1006:BE1006),$AM$1006:$BM$1006,0)), HYPERLINK("#",""), HYPERLINK(CONCATENATE("#metadata!", ADDRESS(INDEX($AH$2:$AH$1001,MATCH(ROWS($AF$2:AF637),$AF$2:$AF$1001,0),0), INDEX($AM$1004:$BM$1004,1,MATCH(COLUMNS($AM$1006:BE1006),$AM$1006:$BM$1006,0)))),"Fix")))</f>
        <v xml:space="preserve"> </v>
      </c>
      <c r="U637" s="4" t="str">
        <f ca="1">IF(OR(INDEX($AG$2:$AG$1001,MATCH(ROWS($AF$2:AF637),$AF$2:$AF$1001,0),1)&gt;=100000,INDEX($AM$1005:$BM$1005,1,MATCH(COLUMNS($AM$1006:BF1006),$AM$1006:$BM$1006,0))&gt;=100000), " ",IF(INDEX($AM$2:$BM$1001,MATCH(ROWS($AF$2:AF637),$AF$2:$AF$1001,0),MATCH(COLUMNS($AM$1006:BF1006),$AM$1006:$BM$1006,0)), HYPERLINK("#",""), HYPERLINK(CONCATENATE("#metadata!", ADDRESS(INDEX($AH$2:$AH$1001,MATCH(ROWS($AF$2:AF637),$AF$2:$AF$1001,0),0), INDEX($AM$1004:$BM$1004,1,MATCH(COLUMNS($AM$1006:BF1006),$AM$1006:$BM$1006,0)))),"Fix")))</f>
        <v xml:space="preserve"> </v>
      </c>
      <c r="V637" s="4" t="str">
        <f ca="1">IF(OR(INDEX($AG$2:$AG$1001,MATCH(ROWS($AF$2:AF637),$AF$2:$AF$1001,0),1)&gt;=100000,INDEX($AM$1005:$BM$1005,1,MATCH(COLUMNS($AM$1006:BG1006),$AM$1006:$BM$1006,0))&gt;=100000), " ",IF(INDEX($AM$2:$BM$1001,MATCH(ROWS($AF$2:AF637),$AF$2:$AF$1001,0),MATCH(COLUMNS($AM$1006:BG1006),$AM$1006:$BM$1006,0)), HYPERLINK("#",""), HYPERLINK(CONCATENATE("#metadata!", ADDRESS(INDEX($AH$2:$AH$1001,MATCH(ROWS($AF$2:AF637),$AF$2:$AF$1001,0),0), INDEX($AM$1004:$BM$1004,1,MATCH(COLUMNS($AM$1006:BG1006),$AM$1006:$BM$1006,0)))),"Fix")))</f>
        <v xml:space="preserve"> </v>
      </c>
      <c r="W637" s="4" t="str">
        <f ca="1">IF(OR(INDEX($AG$2:$AG$1001,MATCH(ROWS($AF$2:AF637),$AF$2:$AF$1001,0),1)&gt;=100000,INDEX($AM$1005:$BM$1005,1,MATCH(COLUMNS($AM$1006:BH1006),$AM$1006:$BM$1006,0))&gt;=100000), " ",IF(INDEX($AM$2:$BM$1001,MATCH(ROWS($AF$2:AF637),$AF$2:$AF$1001,0),MATCH(COLUMNS($AM$1006:BH1006),$AM$1006:$BM$1006,0)), HYPERLINK("#",""), HYPERLINK(CONCATENATE("#metadata!", ADDRESS(INDEX($AH$2:$AH$1001,MATCH(ROWS($AF$2:AF637),$AF$2:$AF$1001,0),0), INDEX($AM$1004:$BM$1004,1,MATCH(COLUMNS($AM$1006:BH1006),$AM$1006:$BM$1006,0)))),"Fix")))</f>
        <v xml:space="preserve"> </v>
      </c>
      <c r="X637" s="4" t="str">
        <f ca="1">IF(OR(INDEX($AG$2:$AG$1001,MATCH(ROWS($AF$2:AF637),$AF$2:$AF$1001,0),1)&gt;=100000,INDEX($AM$1005:$BM$1005,1,MATCH(COLUMNS($AM$1006:BI1006),$AM$1006:$BM$1006,0))&gt;=100000), " ",IF(INDEX($AM$2:$BM$1001,MATCH(ROWS($AF$2:AF637),$AF$2:$AF$1001,0),MATCH(COLUMNS($AM$1006:BI1006),$AM$1006:$BM$1006,0)), HYPERLINK("#",""), HYPERLINK(CONCATENATE("#metadata!", ADDRESS(INDEX($AH$2:$AH$1001,MATCH(ROWS($AF$2:AF637),$AF$2:$AF$1001,0),0), INDEX($AM$1004:$BM$1004,1,MATCH(COLUMNS($AM$1006:BI1006),$AM$1006:$BM$1006,0)))),"Fix")))</f>
        <v xml:space="preserve"> </v>
      </c>
      <c r="Y637" s="4" t="str">
        <f ca="1">IF(OR(INDEX($AG$2:$AG$1001,MATCH(ROWS($AF$2:AF637),$AF$2:$AF$1001,0),1)&gt;=100000,INDEX($AM$1005:$BM$1005,1,MATCH(COLUMNS($AM$1006:BJ1006),$AM$1006:$BM$1006,0))&gt;=100000), " ",IF(INDEX($AM$2:$BM$1001,MATCH(ROWS($AF$2:AF637),$AF$2:$AF$1001,0),MATCH(COLUMNS($AM$1006:BJ1006),$AM$1006:$BM$1006,0)), HYPERLINK("#",""), HYPERLINK(CONCATENATE("#metadata!", ADDRESS(INDEX($AH$2:$AH$1001,MATCH(ROWS($AF$2:AF637),$AF$2:$AF$1001,0),0), INDEX($AM$1004:$BM$1004,1,MATCH(COLUMNS($AM$1006:BJ1006),$AM$1006:$BM$1006,0)))),"Fix")))</f>
        <v xml:space="preserve"> </v>
      </c>
      <c r="Z637" s="4" t="str">
        <f ca="1">IF(OR(INDEX($AG$2:$AG$1001,MATCH(ROWS($AF$2:AF637),$AF$2:$AF$1001,0),1)&gt;=100000,INDEX($AM$1005:$BM$1005,1,MATCH(COLUMNS($AM$1006:BK1006),$AM$1006:$BM$1006,0))&gt;=100000), " ",IF(INDEX($AM$2:$BM$1001,MATCH(ROWS($AF$2:AF637),$AF$2:$AF$1001,0),MATCH(COLUMNS($AM$1006:BK1006),$AM$1006:$BM$1006,0)), HYPERLINK("#",""), HYPERLINK(CONCATENATE("#metadata!", ADDRESS(INDEX($AH$2:$AH$1001,MATCH(ROWS($AF$2:AF637),$AF$2:$AF$1001,0),0), INDEX($AM$1004:$BM$1004,1,MATCH(COLUMNS($AM$1006:BK1006),$AM$1006:$BM$1006,0)))),"Fix")))</f>
        <v xml:space="preserve"> </v>
      </c>
      <c r="AA637" s="4" t="str">
        <f ca="1">IF(OR(INDEX($AG$2:$AG$1001,MATCH(ROWS($AF$2:AF637),$AF$2:$AF$1001,0),1)&gt;=100000,INDEX($AM$1005:$BM$1005,1,MATCH(COLUMNS($AM$1006:BL1006),$AM$1006:$BM$1006,0))&gt;=100000), " ",IF(INDEX($AM$2:$BM$1001,MATCH(ROWS($AF$2:AF637),$AF$2:$AF$1001,0),MATCH(COLUMNS($AM$1006:BL1006),$AM$1006:$BM$1006,0)), HYPERLINK("#",""), HYPERLINK(CONCATENATE("#metadata!", ADDRESS(INDEX($AH$2:$AH$1001,MATCH(ROWS($AF$2:AF637),$AF$2:$AF$1001,0),0), INDEX($AM$1004:$BM$1004,1,MATCH(COLUMNS($AM$1006:BL1006),$AM$1006:$BM$1006,0)))),"Fix")))</f>
        <v xml:space="preserve"> </v>
      </c>
      <c r="AB637" s="4" t="str">
        <f ca="1">IF(OR(INDEX($AG$2:$AG$1001,MATCH(ROWS($AF$2:AF637),$AF$2:$AF$1001,0),1)&gt;=100000,INDEX($AM$1005:$BM$1005,1,MATCH(COLUMNS($AM$1006:BM1006),$AM$1006:$BM$1006,0))&gt;=100000), " ",IF(INDEX($AM$2:$BM$1001,MATCH(ROWS($AF$2:AF637),$AF$2:$AF$1001,0),MATCH(COLUMNS($AM$1006:BM1006),$AM$1006:$BM$1006,0)), HYPERLINK("#",""), HYPERLINK(CONCATENATE("#metadata!", ADDRESS(INDEX($AH$2:$AH$1001,MATCH(ROWS($AF$2:AF637),$AF$2:$AF$1001,0),0), INDEX($AM$1004:$BM$1004,1,MATCH(COLUMNS($AM$1006:BM1006),$AM$1006:$BM$1006,0)))),"Fix")))</f>
        <v xml:space="preserve"> </v>
      </c>
      <c r="AF637">
        <v>636</v>
      </c>
      <c r="AG637">
        <v>100637</v>
      </c>
      <c r="AH637">
        <v>637</v>
      </c>
      <c r="AI637" t="b">
        <f t="shared" si="9"/>
        <v>1</v>
      </c>
      <c r="AJ637" t="b">
        <f>COUNTBLANK(metadata!B637:AB637)=COLUMNS(metadata!B637:AB637)</f>
        <v>1</v>
      </c>
      <c r="AK637" t="str">
        <v/>
      </c>
      <c r="AM637" t="b">
        <f ca="1">AND(IF(metadata!B637="",FALSE,TRUE),COUNTIF(metadata!B:B, metadata!B637) = 1,NOT(ISERROR(SUMPRODUCT(SEARCH(MID(metadata!B637,ROW(INDIRECT("1:"&amp;LEN(metadata!B637))), 1),"0123456789abcdefghijklmnopqrstuvwxyzABCDEFGHIJKLMNOPQRSTUVWXYZ.")))))</f>
        <v>0</v>
      </c>
      <c r="AN637" t="b">
        <f ca="1">OR(AND(IF(metadata!C637="",FALSE,TRUE),OR(EXACT(metadata!C637,"missing: not collected"),EXACT(metadata!C637,"missing: not provided"),EXACT(metadata!C637,"missing: restricted access"))),AND(IF(metadata!C637="",FALSE,TRUE),AND(AND(IFERROR(INT(LEFT(metadata!C637,4))&gt;1900,FALSE),IFERROR(INT(LEFT(metadata!C637,4))&lt;=YEAR(NOW()),FALSE)), OR(MID(metadata!C637,5,1)="", AND(AND(MID(metadata!C637,5,1)="-",IFERROR(INT(MID(metadata!C637,6,1))&gt;=0,FALSE),IFERROR(INT(MID(metadata!C637,6,1))&lt;=1,FALSE),NOT(MID(metadata!C637,7,1)=""),IFERROR(INT(MID(metadata!C637,6,2))&gt;=1,FALSE),IFERROR(INT(MID(metadata!C637,6,2))&lt;=12,FALSE)), OR(MID(metadata!C637,8,1)="", AND(AND(MID(metadata!C637,8,1)="-",IFERROR(INT(MID(metadata!C637,9,1))&gt;=0,FALSE),IFERROR(INT(MID(metadata!C637,9,1))&lt;=3,FALSE),NOT(MID(metadata!C637,10,1)=""),IFERROR(INT(MID(metadata!C637,9,2))&gt;=1,FALSE),IFERROR(INT(MID(metadata!C637,9,2))&lt;=31,FALSE)), OR(MID(metadata!C637,11,1)="", AND(AND(MID(metadata!C637,11,1)=" ",IFERROR(INT(MID(metadata!C637,12,1))&gt;=0,FALSE),IFERROR(INT(MID(metadata!C637,12,1))&lt;=2,FALSE),NOT(MID(metadata!C637,13,1)=""),IFERROR(INT(MID(metadata!C637,12,2))&gt;=0,FALSE),IFERROR(INT(MID(metadata!C637,12,2))&lt;=23,FALSE)), OR(MID(metadata!C637,14,1)="", AND(AND(MID(metadata!C637,14,1)=":",IFERROR(INT(MID(metadata!C637,15,1))&gt;=0,FALSE),IFERROR(INT(MID(metadata!C637,15,1))&lt;=5,FALSE),NOT(MID(metadata!C637,16,1)=""),IFERROR(INT(MID(metadata!C637,15,2))&gt;=0,FALSE),IFERROR(INT(MID(metadata!C637,15,2))&lt;=59,FALSE)), OR(MID(metadata!C637,17,1)="", AND(AND(MID(metadata!C637,17,1)=":",IFERROR(INT(MID(metadata!C637,18,1))&gt;=0,FALSE),IFERROR(INT(MID(metadata!C637,18,1))&lt;=5,FALSE),NOT(MID(metadata!C637,19,1)=""),IFERROR(INT(MID(metadata!C637,18,2))&gt;=0,FALSE),IFERROR(INT(MID(metadata!C637,18,2))&lt;=59,FALSE)), LEN(metadata!C637)&lt;=19)))))))))))))</f>
        <v>0</v>
      </c>
      <c r="AO637" t="b">
        <f>AND(IF(metadata!D637="",FALSE,TRUE),EXACT(metadata!D637,"Not applicable"))</f>
        <v>0</v>
      </c>
      <c r="AP637" t="b">
        <f>IF(metadata!E637="",FALSE,TRUE)</f>
        <v>0</v>
      </c>
      <c r="AQ637" t="b">
        <f>OR(AND(IF(metadata!F637="",FALSE,TRUE),OR(EXACT(metadata!F637,"missing: not collected"),EXACT(metadata!F637,"missing: not provided"))),AND(IF(metadata!F637="",FALSE,TRUE),OR(EXACT(metadata!F637,"TRUE"),EXACT(metadata!F637,"FALSE"))))</f>
        <v>0</v>
      </c>
      <c r="AR637" t="b">
        <f>OR(AND(IF(metadata!G637="",FALSE,TRUE),OR(EXACT(metadata!G637,"missing: not collected"),EXACT(metadata!G637,"missing: not provided"),EXACT(metadata!G637,"missing: restricted access"))),AND(IF(metadata!G637="",FALSE,ISNUMBER(VALUE(metadata!G637))),metadata!G637&gt;=-413))</f>
        <v>0</v>
      </c>
      <c r="AS637" t="b">
        <f>AND(IF(metadata!H637="",FALSE,TRUE),EXACT(metadata!H637,"meters"))</f>
        <v>0</v>
      </c>
      <c r="AT637" t="b">
        <f>AND(IF(metadata!I637="",FALSE,TRUE),OR(EXACT(metadata!I637,"Host-associated"),EXACT(metadata!I637,"Free-living")))</f>
        <v>0</v>
      </c>
      <c r="AU637" t="b">
        <f>AND(IF(metadata!J637="",FALSE,TRUE),OR(EXACT(metadata!J637,"Animal"),EXACT(metadata!J637,"Fungus"),EXACT(metadata!J637,"Plant"),EXACT(metadata!J637,"Saline"),EXACT(metadata!J637,"Non-saline")))</f>
        <v>0</v>
      </c>
      <c r="AV637" t="b">
        <f>AND(IF(metadata!K637="",FALSE,TRUE),OR(EXACT(metadata!K637,"Plant secretion"),EXACT(metadata!K637,"Plant rhizosphere"),EXACT(metadata!K637,"Plant surface"),EXACT(metadata!K637,"Plant corpus"),EXACT(metadata!K637,"Fungus surface"),EXACT(metadata!K637,"Fungus corpus"),EXACT(metadata!K637,"Animal surface"),EXACT(metadata!K637,"Animal proximal gut"),EXACT(metadata!K637,"Animal corpus"),EXACT(metadata!K637,"Animal distal gut"),EXACT(metadata!K637,"Animal secretion"),EXACT(metadata!K637,"Sub-surface (non-saline)"),EXACT(metadata!K637,"Surface (non-saline)"),EXACT(metadata!K637,"Water (non-saline)"),EXACT(metadata!K637,"Soil (non-saline)"),EXACT(metadata!K637,"Aerosol (non-saline)"),EXACT(metadata!K637,"Sediment (non-saline)"),EXACT(metadata!K637,"Surface (saline)"),EXACT(metadata!K637,"Water (saline)"),EXACT(metadata!K637,"Hypersaline (saline)"),EXACT(metadata!K637,"Aerosol (saline)"),EXACT(metadata!K637,"Sediment (saline)")))</f>
        <v>0</v>
      </c>
      <c r="AW637" t="b">
        <f>IF(metadata!L637="",FALSE,TRUE)</f>
        <v>0</v>
      </c>
      <c r="AX637" t="b">
        <f>IF(metadata!M637="",FALSE,TRUE)</f>
        <v>0</v>
      </c>
      <c r="AY637" t="b">
        <f>IF(metadata!N637="",FALSE,TRUE)</f>
        <v>0</v>
      </c>
      <c r="AZ637" t="b">
        <f>OR(AND(IF(metadata!O637="",FALSE,TRUE),OR(EXACT(metadata!O637,"missing: not collected"),EXACT(metadata!O637,"missing: not provided"),EXACT(metadata!O637,"missing: restricted access"))),AND(IF(metadata!O637="",FALSE,TRUE),OR(EXACT(metadata!O637,"air"),EXACT(metadata!O637,"built environment"),EXACT(metadata!O637,"host-associated"),EXACT(metadata!O637,"human-associated"),EXACT(metadata!O637,"human-skin"),EXACT(metadata!O637,"human-oral"),EXACT(metadata!O637,"human-gut"),EXACT(metadata!O637,"human-vaginal"),EXACT(metadata!O637,"microbial mat/biofilm"),EXACT(metadata!O637,"misc environment"),EXACT(metadata!O637,"plant-associated"),EXACT(metadata!O637,"sediment"),EXACT(metadata!O637,"soil"),EXACT(metadata!O637,"wastewater/sludge"),EXACT(metadata!O637,"water"))))</f>
        <v>0</v>
      </c>
      <c r="BA637" t="b">
        <f>IF(metadata!P637="",FALSE,TRUE)</f>
        <v>0</v>
      </c>
      <c r="BB637" t="b">
        <f>IF(metadata!Q637="",FALSE,TRUE)</f>
        <v>0</v>
      </c>
      <c r="BC637" t="b">
        <f>OR(AND(IF(metadata!R637="",FALSE,TRUE),OR(EXACT(metadata!R637,"missing: not collected"),EXACT(metadata!R637,"missing: not provided"),EXACT(metadata!R637,"missing: restricted access"))),AND(IF(metadata!R637="",FALSE,ISNUMBER(VALUE(metadata!R637))),metadata!R637&gt;=-90,metadata!R637&lt;=90))</f>
        <v>0</v>
      </c>
      <c r="BD637" t="b">
        <f>AND(IF(metadata!S637="",FALSE,TRUE),EXACT(metadata!S637,"Decimal degrees"))</f>
        <v>0</v>
      </c>
      <c r="BE637" t="b">
        <f>OR(AND(IF(metadata!T637="",FALSE,TRUE),OR(EXACT(metadata!T637,"missing: not collected"),EXACT(metadata!T637,"missing: not provided"),EXACT(metadata!T637,"missing: restricted access"))),AND(IF(metadata!T637="",FALSE,ISNUMBER(VALUE(metadata!T637))),metadata!T637&gt;=-180,metadata!T637&lt;=180))</f>
        <v>0</v>
      </c>
      <c r="BF637" t="b">
        <f>AND(IF(metadata!U637="",FALSE,TRUE),EXACT(metadata!U637,"Decimal degrees"))</f>
        <v>0</v>
      </c>
      <c r="BG637" t="b">
        <f>IF(metadata!V637="",FALSE,TRUE)</f>
        <v>0</v>
      </c>
      <c r="BH637" t="b">
        <f>OR(AND(IF(metadata!W637="",FALSE,TRUE),OR(EXACT(metadata!W637,"missing: not collected"),EXACT(metadata!W637,"missing: not provided"),EXACT(metadata!W637,"missing: restricted access"))),AND(IF(metadata!W637="",FALSE,TRUE),OR(EXACT(metadata!W637,"TRUE"),EXACT(metadata!W637,"FALSE"))))</f>
        <v>0</v>
      </c>
      <c r="BI637" t="b">
        <f>AND(IF(metadata!X637="",FALSE,TRUE),EXACT(metadata!X637,"other"))</f>
        <v>0</v>
      </c>
      <c r="BJ637" t="b">
        <f>IF(metadata!Y637="",FALSE,TRUE)</f>
        <v>0</v>
      </c>
      <c r="BK637" t="b">
        <f>OR(AND(IF(metadata!Z637="",FALSE,TRUE),OR(EXACT(metadata!Z637,"missing: not collected"),EXACT(metadata!Z637,"missing: not provided"))),AND(IF(metadata!Z637="",FALSE,IF(ISERROR(INT(metadata!Z637)),FALSE,INT(metadata!Z637)=metadata!Z637)),metadata!Z637&gt;0))</f>
        <v>0</v>
      </c>
      <c r="BL637" t="b">
        <f>AND(IF(metadata!AA637="",FALSE,TRUE),EXACT(metadata!AA637,"Not applicable"))</f>
        <v>0</v>
      </c>
      <c r="BM637" t="b">
        <f>IF(metadata!AB637="",FALSE,TRUE)</f>
        <v>0</v>
      </c>
    </row>
    <row r="638" spans="1:65" x14ac:dyDescent="0.2">
      <c r="A638" s="5" t="str">
        <f ca="1">IF(B638=" "," ",HYPERLINK(CONCATENATE("#metadata!",ADDRESS(INDEX($AH$2:$AH$1001,MATCH(ROWS($AF$2:AF638),$AF$2:$AF$1001,0),0),1)),INDEX($AK$2:$AK$1001,MATCH(ROWS($AF$2:AF638),$AF$2:$AF$1001,0),0)))</f>
        <v xml:space="preserve"> </v>
      </c>
      <c r="B638" s="4" t="str">
        <f ca="1">IF(OR(INDEX($AG$2:$AG$1001,MATCH(ROWS($AF$2:AF638),$AF$2:$AF$1001,0),1)&gt;=100000,INDEX($AM$1005:$BM$1005,1,MATCH(COLUMNS($AM$1006:AM1006),$AM$1006:$BM$1006,0))&gt;=100000), " ",IF(INDEX($AM$2:$BM$1001,MATCH(ROWS($AF$2:AF638),$AF$2:$AF$1001,0),MATCH(COLUMNS($AM$1006:AM1006),$AM$1006:$BM$1006,0)), HYPERLINK("#",""), HYPERLINK(CONCATENATE("#metadata!", ADDRESS(INDEX($AH$2:$AH$1001,MATCH(ROWS($AF$2:AF638),$AF$2:$AF$1001,0),0), INDEX($AM$1004:$BM$1004,1,MATCH(COLUMNS($AM$1006:AM1006),$AM$1006:$BM$1006,0)))),"Fix")))</f>
        <v xml:space="preserve"> </v>
      </c>
      <c r="C638" s="4" t="str">
        <f ca="1">IF(OR(INDEX($AG$2:$AG$1001,MATCH(ROWS($AF$2:AF638),$AF$2:$AF$1001,0),1)&gt;=100000,INDEX($AM$1005:$BM$1005,1,MATCH(COLUMNS($AM$1006:AN1006),$AM$1006:$BM$1006,0))&gt;=100000), " ",IF(INDEX($AM$2:$BM$1001,MATCH(ROWS($AF$2:AF638),$AF$2:$AF$1001,0),MATCH(COLUMNS($AM$1006:AN1006),$AM$1006:$BM$1006,0)), HYPERLINK("#",""), HYPERLINK(CONCATENATE("#metadata!", ADDRESS(INDEX($AH$2:$AH$1001,MATCH(ROWS($AF$2:AF638),$AF$2:$AF$1001,0),0), INDEX($AM$1004:$BM$1004,1,MATCH(COLUMNS($AM$1006:AN1006),$AM$1006:$BM$1006,0)))),"Fix")))</f>
        <v xml:space="preserve"> </v>
      </c>
      <c r="D638" s="4" t="str">
        <f ca="1">IF(OR(INDEX($AG$2:$AG$1001,MATCH(ROWS($AF$2:AF638),$AF$2:$AF$1001,0),1)&gt;=100000,INDEX($AM$1005:$BM$1005,1,MATCH(COLUMNS($AM$1006:AO1006),$AM$1006:$BM$1006,0))&gt;=100000), " ",IF(INDEX($AM$2:$BM$1001,MATCH(ROWS($AF$2:AF638),$AF$2:$AF$1001,0),MATCH(COLUMNS($AM$1006:AO1006),$AM$1006:$BM$1006,0)), HYPERLINK("#",""), HYPERLINK(CONCATENATE("#metadata!", ADDRESS(INDEX($AH$2:$AH$1001,MATCH(ROWS($AF$2:AF638),$AF$2:$AF$1001,0),0), INDEX($AM$1004:$BM$1004,1,MATCH(COLUMNS($AM$1006:AO1006),$AM$1006:$BM$1006,0)))),"Fix")))</f>
        <v xml:space="preserve"> </v>
      </c>
      <c r="E638" s="4" t="str">
        <f ca="1">IF(OR(INDEX($AG$2:$AG$1001,MATCH(ROWS($AF$2:AF638),$AF$2:$AF$1001,0),1)&gt;=100000,INDEX($AM$1005:$BM$1005,1,MATCH(COLUMNS($AM$1006:AP1006),$AM$1006:$BM$1006,0))&gt;=100000), " ",IF(INDEX($AM$2:$BM$1001,MATCH(ROWS($AF$2:AF638),$AF$2:$AF$1001,0),MATCH(COLUMNS($AM$1006:AP1006),$AM$1006:$BM$1006,0)), HYPERLINK("#",""), HYPERLINK(CONCATENATE("#metadata!", ADDRESS(INDEX($AH$2:$AH$1001,MATCH(ROWS($AF$2:AF638),$AF$2:$AF$1001,0),0), INDEX($AM$1004:$BM$1004,1,MATCH(COLUMNS($AM$1006:AP1006),$AM$1006:$BM$1006,0)))),"Fix")))</f>
        <v xml:space="preserve"> </v>
      </c>
      <c r="F638" s="4" t="str">
        <f ca="1">IF(OR(INDEX($AG$2:$AG$1001,MATCH(ROWS($AF$2:AF638),$AF$2:$AF$1001,0),1)&gt;=100000,INDEX($AM$1005:$BM$1005,1,MATCH(COLUMNS($AM$1006:AQ1006),$AM$1006:$BM$1006,0))&gt;=100000), " ",IF(INDEX($AM$2:$BM$1001,MATCH(ROWS($AF$2:AF638),$AF$2:$AF$1001,0),MATCH(COLUMNS($AM$1006:AQ1006),$AM$1006:$BM$1006,0)), HYPERLINK("#",""), HYPERLINK(CONCATENATE("#metadata!", ADDRESS(INDEX($AH$2:$AH$1001,MATCH(ROWS($AF$2:AF638),$AF$2:$AF$1001,0),0), INDEX($AM$1004:$BM$1004,1,MATCH(COLUMNS($AM$1006:AQ1006),$AM$1006:$BM$1006,0)))),"Fix")))</f>
        <v xml:space="preserve"> </v>
      </c>
      <c r="G638" s="4" t="str">
        <f ca="1">IF(OR(INDEX($AG$2:$AG$1001,MATCH(ROWS($AF$2:AF638),$AF$2:$AF$1001,0),1)&gt;=100000,INDEX($AM$1005:$BM$1005,1,MATCH(COLUMNS($AM$1006:AR1006),$AM$1006:$BM$1006,0))&gt;=100000), " ",IF(INDEX($AM$2:$BM$1001,MATCH(ROWS($AF$2:AF638),$AF$2:$AF$1001,0),MATCH(COLUMNS($AM$1006:AR1006),$AM$1006:$BM$1006,0)), HYPERLINK("#",""), HYPERLINK(CONCATENATE("#metadata!", ADDRESS(INDEX($AH$2:$AH$1001,MATCH(ROWS($AF$2:AF638),$AF$2:$AF$1001,0),0), INDEX($AM$1004:$BM$1004,1,MATCH(COLUMNS($AM$1006:AR1006),$AM$1006:$BM$1006,0)))),"Fix")))</f>
        <v xml:space="preserve"> </v>
      </c>
      <c r="H638" s="4" t="str">
        <f ca="1">IF(OR(INDEX($AG$2:$AG$1001,MATCH(ROWS($AF$2:AF638),$AF$2:$AF$1001,0),1)&gt;=100000,INDEX($AM$1005:$BM$1005,1,MATCH(COLUMNS($AM$1006:AS1006),$AM$1006:$BM$1006,0))&gt;=100000), " ",IF(INDEX($AM$2:$BM$1001,MATCH(ROWS($AF$2:AF638),$AF$2:$AF$1001,0),MATCH(COLUMNS($AM$1006:AS1006),$AM$1006:$BM$1006,0)), HYPERLINK("#",""), HYPERLINK(CONCATENATE("#metadata!", ADDRESS(INDEX($AH$2:$AH$1001,MATCH(ROWS($AF$2:AF638),$AF$2:$AF$1001,0),0), INDEX($AM$1004:$BM$1004,1,MATCH(COLUMNS($AM$1006:AS1006),$AM$1006:$BM$1006,0)))),"Fix")))</f>
        <v xml:space="preserve"> </v>
      </c>
      <c r="I638" s="4" t="str">
        <f ca="1">IF(OR(INDEX($AG$2:$AG$1001,MATCH(ROWS($AF$2:AF638),$AF$2:$AF$1001,0),1)&gt;=100000,INDEX($AM$1005:$BM$1005,1,MATCH(COLUMNS($AM$1006:AT1006),$AM$1006:$BM$1006,0))&gt;=100000), " ",IF(INDEX($AM$2:$BM$1001,MATCH(ROWS($AF$2:AF638),$AF$2:$AF$1001,0),MATCH(COLUMNS($AM$1006:AT1006),$AM$1006:$BM$1006,0)), HYPERLINK("#",""), HYPERLINK(CONCATENATE("#metadata!", ADDRESS(INDEX($AH$2:$AH$1001,MATCH(ROWS($AF$2:AF638),$AF$2:$AF$1001,0),0), INDEX($AM$1004:$BM$1004,1,MATCH(COLUMNS($AM$1006:AT1006),$AM$1006:$BM$1006,0)))),"Fix")))</f>
        <v xml:space="preserve"> </v>
      </c>
      <c r="J638" s="4" t="str">
        <f ca="1">IF(OR(INDEX($AG$2:$AG$1001,MATCH(ROWS($AF$2:AF638),$AF$2:$AF$1001,0),1)&gt;=100000,INDEX($AM$1005:$BM$1005,1,MATCH(COLUMNS($AM$1006:AU1006),$AM$1006:$BM$1006,0))&gt;=100000), " ",IF(INDEX($AM$2:$BM$1001,MATCH(ROWS($AF$2:AF638),$AF$2:$AF$1001,0),MATCH(COLUMNS($AM$1006:AU1006),$AM$1006:$BM$1006,0)), HYPERLINK("#",""), HYPERLINK(CONCATENATE("#metadata!", ADDRESS(INDEX($AH$2:$AH$1001,MATCH(ROWS($AF$2:AF638),$AF$2:$AF$1001,0),0), INDEX($AM$1004:$BM$1004,1,MATCH(COLUMNS($AM$1006:AU1006),$AM$1006:$BM$1006,0)))),"Fix")))</f>
        <v xml:space="preserve"> </v>
      </c>
      <c r="K638" s="4" t="str">
        <f ca="1">IF(OR(INDEX($AG$2:$AG$1001,MATCH(ROWS($AF$2:AF638),$AF$2:$AF$1001,0),1)&gt;=100000,INDEX($AM$1005:$BM$1005,1,MATCH(COLUMNS($AM$1006:AV1006),$AM$1006:$BM$1006,0))&gt;=100000), " ",IF(INDEX($AM$2:$BM$1001,MATCH(ROWS($AF$2:AF638),$AF$2:$AF$1001,0),MATCH(COLUMNS($AM$1006:AV1006),$AM$1006:$BM$1006,0)), HYPERLINK("#",""), HYPERLINK(CONCATENATE("#metadata!", ADDRESS(INDEX($AH$2:$AH$1001,MATCH(ROWS($AF$2:AF638),$AF$2:$AF$1001,0),0), INDEX($AM$1004:$BM$1004,1,MATCH(COLUMNS($AM$1006:AV1006),$AM$1006:$BM$1006,0)))),"Fix")))</f>
        <v xml:space="preserve"> </v>
      </c>
      <c r="L638" s="4" t="str">
        <f ca="1">IF(OR(INDEX($AG$2:$AG$1001,MATCH(ROWS($AF$2:AF638),$AF$2:$AF$1001,0),1)&gt;=100000,INDEX($AM$1005:$BM$1005,1,MATCH(COLUMNS($AM$1006:AW1006),$AM$1006:$BM$1006,0))&gt;=100000), " ",IF(INDEX($AM$2:$BM$1001,MATCH(ROWS($AF$2:AF638),$AF$2:$AF$1001,0),MATCH(COLUMNS($AM$1006:AW1006),$AM$1006:$BM$1006,0)), HYPERLINK("#",""), HYPERLINK(CONCATENATE("#metadata!", ADDRESS(INDEX($AH$2:$AH$1001,MATCH(ROWS($AF$2:AF638),$AF$2:$AF$1001,0),0), INDEX($AM$1004:$BM$1004,1,MATCH(COLUMNS($AM$1006:AW1006),$AM$1006:$BM$1006,0)))),"Fix")))</f>
        <v xml:space="preserve"> </v>
      </c>
      <c r="M638" s="4" t="str">
        <f ca="1">IF(OR(INDEX($AG$2:$AG$1001,MATCH(ROWS($AF$2:AF638),$AF$2:$AF$1001,0),1)&gt;=100000,INDEX($AM$1005:$BM$1005,1,MATCH(COLUMNS($AM$1006:AX1006),$AM$1006:$BM$1006,0))&gt;=100000), " ",IF(INDEX($AM$2:$BM$1001,MATCH(ROWS($AF$2:AF638),$AF$2:$AF$1001,0),MATCH(COLUMNS($AM$1006:AX1006),$AM$1006:$BM$1006,0)), HYPERLINK("#",""), HYPERLINK(CONCATENATE("#metadata!", ADDRESS(INDEX($AH$2:$AH$1001,MATCH(ROWS($AF$2:AF638),$AF$2:$AF$1001,0),0), INDEX($AM$1004:$BM$1004,1,MATCH(COLUMNS($AM$1006:AX1006),$AM$1006:$BM$1006,0)))),"Fix")))</f>
        <v xml:space="preserve"> </v>
      </c>
      <c r="N638" s="4" t="str">
        <f ca="1">IF(OR(INDEX($AG$2:$AG$1001,MATCH(ROWS($AF$2:AF638),$AF$2:$AF$1001,0),1)&gt;=100000,INDEX($AM$1005:$BM$1005,1,MATCH(COLUMNS($AM$1006:AY1006),$AM$1006:$BM$1006,0))&gt;=100000), " ",IF(INDEX($AM$2:$BM$1001,MATCH(ROWS($AF$2:AF638),$AF$2:$AF$1001,0),MATCH(COLUMNS($AM$1006:AY1006),$AM$1006:$BM$1006,0)), HYPERLINK("#",""), HYPERLINK(CONCATENATE("#metadata!", ADDRESS(INDEX($AH$2:$AH$1001,MATCH(ROWS($AF$2:AF638),$AF$2:$AF$1001,0),0), INDEX($AM$1004:$BM$1004,1,MATCH(COLUMNS($AM$1006:AY1006),$AM$1006:$BM$1006,0)))),"Fix")))</f>
        <v xml:space="preserve"> </v>
      </c>
      <c r="O638" s="4" t="str">
        <f ca="1">IF(OR(INDEX($AG$2:$AG$1001,MATCH(ROWS($AF$2:AF638),$AF$2:$AF$1001,0),1)&gt;=100000,INDEX($AM$1005:$BM$1005,1,MATCH(COLUMNS($AM$1006:AZ1006),$AM$1006:$BM$1006,0))&gt;=100000), " ",IF(INDEX($AM$2:$BM$1001,MATCH(ROWS($AF$2:AF638),$AF$2:$AF$1001,0),MATCH(COLUMNS($AM$1006:AZ1006),$AM$1006:$BM$1006,0)), HYPERLINK("#",""), HYPERLINK(CONCATENATE("#metadata!", ADDRESS(INDEX($AH$2:$AH$1001,MATCH(ROWS($AF$2:AF638),$AF$2:$AF$1001,0),0), INDEX($AM$1004:$BM$1004,1,MATCH(COLUMNS($AM$1006:AZ1006),$AM$1006:$BM$1006,0)))),"Fix")))</f>
        <v xml:space="preserve"> </v>
      </c>
      <c r="P638" s="4" t="str">
        <f ca="1">IF(OR(INDEX($AG$2:$AG$1001,MATCH(ROWS($AF$2:AF638),$AF$2:$AF$1001,0),1)&gt;=100000,INDEX($AM$1005:$BM$1005,1,MATCH(COLUMNS($AM$1006:BA1006),$AM$1006:$BM$1006,0))&gt;=100000), " ",IF(INDEX($AM$2:$BM$1001,MATCH(ROWS($AF$2:AF638),$AF$2:$AF$1001,0),MATCH(COLUMNS($AM$1006:BA1006),$AM$1006:$BM$1006,0)), HYPERLINK("#",""), HYPERLINK(CONCATENATE("#metadata!", ADDRESS(INDEX($AH$2:$AH$1001,MATCH(ROWS($AF$2:AF638),$AF$2:$AF$1001,0),0), INDEX($AM$1004:$BM$1004,1,MATCH(COLUMNS($AM$1006:BA1006),$AM$1006:$BM$1006,0)))),"Fix")))</f>
        <v xml:space="preserve"> </v>
      </c>
      <c r="Q638" s="4" t="str">
        <f ca="1">IF(OR(INDEX($AG$2:$AG$1001,MATCH(ROWS($AF$2:AF638),$AF$2:$AF$1001,0),1)&gt;=100000,INDEX($AM$1005:$BM$1005,1,MATCH(COLUMNS($AM$1006:BB1006),$AM$1006:$BM$1006,0))&gt;=100000), " ",IF(INDEX($AM$2:$BM$1001,MATCH(ROWS($AF$2:AF638),$AF$2:$AF$1001,0),MATCH(COLUMNS($AM$1006:BB1006),$AM$1006:$BM$1006,0)), HYPERLINK("#",""), HYPERLINK(CONCATENATE("#metadata!", ADDRESS(INDEX($AH$2:$AH$1001,MATCH(ROWS($AF$2:AF638),$AF$2:$AF$1001,0),0), INDEX($AM$1004:$BM$1004,1,MATCH(COLUMNS($AM$1006:BB1006),$AM$1006:$BM$1006,0)))),"Fix")))</f>
        <v xml:space="preserve"> </v>
      </c>
      <c r="R638" s="4" t="str">
        <f ca="1">IF(OR(INDEX($AG$2:$AG$1001,MATCH(ROWS($AF$2:AF638),$AF$2:$AF$1001,0),1)&gt;=100000,INDEX($AM$1005:$BM$1005,1,MATCH(COLUMNS($AM$1006:BC1006),$AM$1006:$BM$1006,0))&gt;=100000), " ",IF(INDEX($AM$2:$BM$1001,MATCH(ROWS($AF$2:AF638),$AF$2:$AF$1001,0),MATCH(COLUMNS($AM$1006:BC1006),$AM$1006:$BM$1006,0)), HYPERLINK("#",""), HYPERLINK(CONCATENATE("#metadata!", ADDRESS(INDEX($AH$2:$AH$1001,MATCH(ROWS($AF$2:AF638),$AF$2:$AF$1001,0),0), INDEX($AM$1004:$BM$1004,1,MATCH(COLUMNS($AM$1006:BC1006),$AM$1006:$BM$1006,0)))),"Fix")))</f>
        <v xml:space="preserve"> </v>
      </c>
      <c r="S638" s="4" t="str">
        <f ca="1">IF(OR(INDEX($AG$2:$AG$1001,MATCH(ROWS($AF$2:AF638),$AF$2:$AF$1001,0),1)&gt;=100000,INDEX($AM$1005:$BM$1005,1,MATCH(COLUMNS($AM$1006:BD1006),$AM$1006:$BM$1006,0))&gt;=100000), " ",IF(INDEX($AM$2:$BM$1001,MATCH(ROWS($AF$2:AF638),$AF$2:$AF$1001,0),MATCH(COLUMNS($AM$1006:BD1006),$AM$1006:$BM$1006,0)), HYPERLINK("#",""), HYPERLINK(CONCATENATE("#metadata!", ADDRESS(INDEX($AH$2:$AH$1001,MATCH(ROWS($AF$2:AF638),$AF$2:$AF$1001,0),0), INDEX($AM$1004:$BM$1004,1,MATCH(COLUMNS($AM$1006:BD1006),$AM$1006:$BM$1006,0)))),"Fix")))</f>
        <v xml:space="preserve"> </v>
      </c>
      <c r="T638" s="4" t="str">
        <f ca="1">IF(OR(INDEX($AG$2:$AG$1001,MATCH(ROWS($AF$2:AF638),$AF$2:$AF$1001,0),1)&gt;=100000,INDEX($AM$1005:$BM$1005,1,MATCH(COLUMNS($AM$1006:BE1006),$AM$1006:$BM$1006,0))&gt;=100000), " ",IF(INDEX($AM$2:$BM$1001,MATCH(ROWS($AF$2:AF638),$AF$2:$AF$1001,0),MATCH(COLUMNS($AM$1006:BE1006),$AM$1006:$BM$1006,0)), HYPERLINK("#",""), HYPERLINK(CONCATENATE("#metadata!", ADDRESS(INDEX($AH$2:$AH$1001,MATCH(ROWS($AF$2:AF638),$AF$2:$AF$1001,0),0), INDEX($AM$1004:$BM$1004,1,MATCH(COLUMNS($AM$1006:BE1006),$AM$1006:$BM$1006,0)))),"Fix")))</f>
        <v xml:space="preserve"> </v>
      </c>
      <c r="U638" s="4" t="str">
        <f ca="1">IF(OR(INDEX($AG$2:$AG$1001,MATCH(ROWS($AF$2:AF638),$AF$2:$AF$1001,0),1)&gt;=100000,INDEX($AM$1005:$BM$1005,1,MATCH(COLUMNS($AM$1006:BF1006),$AM$1006:$BM$1006,0))&gt;=100000), " ",IF(INDEX($AM$2:$BM$1001,MATCH(ROWS($AF$2:AF638),$AF$2:$AF$1001,0),MATCH(COLUMNS($AM$1006:BF1006),$AM$1006:$BM$1006,0)), HYPERLINK("#",""), HYPERLINK(CONCATENATE("#metadata!", ADDRESS(INDEX($AH$2:$AH$1001,MATCH(ROWS($AF$2:AF638),$AF$2:$AF$1001,0),0), INDEX($AM$1004:$BM$1004,1,MATCH(COLUMNS($AM$1006:BF1006),$AM$1006:$BM$1006,0)))),"Fix")))</f>
        <v xml:space="preserve"> </v>
      </c>
      <c r="V638" s="4" t="str">
        <f ca="1">IF(OR(INDEX($AG$2:$AG$1001,MATCH(ROWS($AF$2:AF638),$AF$2:$AF$1001,0),1)&gt;=100000,INDEX($AM$1005:$BM$1005,1,MATCH(COLUMNS($AM$1006:BG1006),$AM$1006:$BM$1006,0))&gt;=100000), " ",IF(INDEX($AM$2:$BM$1001,MATCH(ROWS($AF$2:AF638),$AF$2:$AF$1001,0),MATCH(COLUMNS($AM$1006:BG1006),$AM$1006:$BM$1006,0)), HYPERLINK("#",""), HYPERLINK(CONCATENATE("#metadata!", ADDRESS(INDEX($AH$2:$AH$1001,MATCH(ROWS($AF$2:AF638),$AF$2:$AF$1001,0),0), INDEX($AM$1004:$BM$1004,1,MATCH(COLUMNS($AM$1006:BG1006),$AM$1006:$BM$1006,0)))),"Fix")))</f>
        <v xml:space="preserve"> </v>
      </c>
      <c r="W638" s="4" t="str">
        <f ca="1">IF(OR(INDEX($AG$2:$AG$1001,MATCH(ROWS($AF$2:AF638),$AF$2:$AF$1001,0),1)&gt;=100000,INDEX($AM$1005:$BM$1005,1,MATCH(COLUMNS($AM$1006:BH1006),$AM$1006:$BM$1006,0))&gt;=100000), " ",IF(INDEX($AM$2:$BM$1001,MATCH(ROWS($AF$2:AF638),$AF$2:$AF$1001,0),MATCH(COLUMNS($AM$1006:BH1006),$AM$1006:$BM$1006,0)), HYPERLINK("#",""), HYPERLINK(CONCATENATE("#metadata!", ADDRESS(INDEX($AH$2:$AH$1001,MATCH(ROWS($AF$2:AF638),$AF$2:$AF$1001,0),0), INDEX($AM$1004:$BM$1004,1,MATCH(COLUMNS($AM$1006:BH1006),$AM$1006:$BM$1006,0)))),"Fix")))</f>
        <v xml:space="preserve"> </v>
      </c>
      <c r="X638" s="4" t="str">
        <f ca="1">IF(OR(INDEX($AG$2:$AG$1001,MATCH(ROWS($AF$2:AF638),$AF$2:$AF$1001,0),1)&gt;=100000,INDEX($AM$1005:$BM$1005,1,MATCH(COLUMNS($AM$1006:BI1006),$AM$1006:$BM$1006,0))&gt;=100000), " ",IF(INDEX($AM$2:$BM$1001,MATCH(ROWS($AF$2:AF638),$AF$2:$AF$1001,0),MATCH(COLUMNS($AM$1006:BI1006),$AM$1006:$BM$1006,0)), HYPERLINK("#",""), HYPERLINK(CONCATENATE("#metadata!", ADDRESS(INDEX($AH$2:$AH$1001,MATCH(ROWS($AF$2:AF638),$AF$2:$AF$1001,0),0), INDEX($AM$1004:$BM$1004,1,MATCH(COLUMNS($AM$1006:BI1006),$AM$1006:$BM$1006,0)))),"Fix")))</f>
        <v xml:space="preserve"> </v>
      </c>
      <c r="Y638" s="4" t="str">
        <f ca="1">IF(OR(INDEX($AG$2:$AG$1001,MATCH(ROWS($AF$2:AF638),$AF$2:$AF$1001,0),1)&gt;=100000,INDEX($AM$1005:$BM$1005,1,MATCH(COLUMNS($AM$1006:BJ1006),$AM$1006:$BM$1006,0))&gt;=100000), " ",IF(INDEX($AM$2:$BM$1001,MATCH(ROWS($AF$2:AF638),$AF$2:$AF$1001,0),MATCH(COLUMNS($AM$1006:BJ1006),$AM$1006:$BM$1006,0)), HYPERLINK("#",""), HYPERLINK(CONCATENATE("#metadata!", ADDRESS(INDEX($AH$2:$AH$1001,MATCH(ROWS($AF$2:AF638),$AF$2:$AF$1001,0),0), INDEX($AM$1004:$BM$1004,1,MATCH(COLUMNS($AM$1006:BJ1006),$AM$1006:$BM$1006,0)))),"Fix")))</f>
        <v xml:space="preserve"> </v>
      </c>
      <c r="Z638" s="4" t="str">
        <f ca="1">IF(OR(INDEX($AG$2:$AG$1001,MATCH(ROWS($AF$2:AF638),$AF$2:$AF$1001,0),1)&gt;=100000,INDEX($AM$1005:$BM$1005,1,MATCH(COLUMNS($AM$1006:BK1006),$AM$1006:$BM$1006,0))&gt;=100000), " ",IF(INDEX($AM$2:$BM$1001,MATCH(ROWS($AF$2:AF638),$AF$2:$AF$1001,0),MATCH(COLUMNS($AM$1006:BK1006),$AM$1006:$BM$1006,0)), HYPERLINK("#",""), HYPERLINK(CONCATENATE("#metadata!", ADDRESS(INDEX($AH$2:$AH$1001,MATCH(ROWS($AF$2:AF638),$AF$2:$AF$1001,0),0), INDEX($AM$1004:$BM$1004,1,MATCH(COLUMNS($AM$1006:BK1006),$AM$1006:$BM$1006,0)))),"Fix")))</f>
        <v xml:space="preserve"> </v>
      </c>
      <c r="AA638" s="4" t="str">
        <f ca="1">IF(OR(INDEX($AG$2:$AG$1001,MATCH(ROWS($AF$2:AF638),$AF$2:$AF$1001,0),1)&gt;=100000,INDEX($AM$1005:$BM$1005,1,MATCH(COLUMNS($AM$1006:BL1006),$AM$1006:$BM$1006,0))&gt;=100000), " ",IF(INDEX($AM$2:$BM$1001,MATCH(ROWS($AF$2:AF638),$AF$2:$AF$1001,0),MATCH(COLUMNS($AM$1006:BL1006),$AM$1006:$BM$1006,0)), HYPERLINK("#",""), HYPERLINK(CONCATENATE("#metadata!", ADDRESS(INDEX($AH$2:$AH$1001,MATCH(ROWS($AF$2:AF638),$AF$2:$AF$1001,0),0), INDEX($AM$1004:$BM$1004,1,MATCH(COLUMNS($AM$1006:BL1006),$AM$1006:$BM$1006,0)))),"Fix")))</f>
        <v xml:space="preserve"> </v>
      </c>
      <c r="AB638" s="4" t="str">
        <f ca="1">IF(OR(INDEX($AG$2:$AG$1001,MATCH(ROWS($AF$2:AF638),$AF$2:$AF$1001,0),1)&gt;=100000,INDEX($AM$1005:$BM$1005,1,MATCH(COLUMNS($AM$1006:BM1006),$AM$1006:$BM$1006,0))&gt;=100000), " ",IF(INDEX($AM$2:$BM$1001,MATCH(ROWS($AF$2:AF638),$AF$2:$AF$1001,0),MATCH(COLUMNS($AM$1006:BM1006),$AM$1006:$BM$1006,0)), HYPERLINK("#",""), HYPERLINK(CONCATENATE("#metadata!", ADDRESS(INDEX($AH$2:$AH$1001,MATCH(ROWS($AF$2:AF638),$AF$2:$AF$1001,0),0), INDEX($AM$1004:$BM$1004,1,MATCH(COLUMNS($AM$1006:BM1006),$AM$1006:$BM$1006,0)))),"Fix")))</f>
        <v xml:space="preserve"> </v>
      </c>
      <c r="AF638">
        <v>637</v>
      </c>
      <c r="AG638">
        <v>100638</v>
      </c>
      <c r="AH638">
        <v>638</v>
      </c>
      <c r="AI638" t="b">
        <f t="shared" si="9"/>
        <v>1</v>
      </c>
      <c r="AJ638" t="b">
        <f>COUNTBLANK(metadata!B638:AB638)=COLUMNS(metadata!B638:AB638)</f>
        <v>1</v>
      </c>
      <c r="AK638" t="str">
        <v/>
      </c>
      <c r="AM638" t="b">
        <f ca="1">AND(IF(metadata!B638="",FALSE,TRUE),COUNTIF(metadata!B:B, metadata!B638) = 1,NOT(ISERROR(SUMPRODUCT(SEARCH(MID(metadata!B638,ROW(INDIRECT("1:"&amp;LEN(metadata!B638))), 1),"0123456789abcdefghijklmnopqrstuvwxyzABCDEFGHIJKLMNOPQRSTUVWXYZ.")))))</f>
        <v>0</v>
      </c>
      <c r="AN638" t="b">
        <f ca="1">OR(AND(IF(metadata!C638="",FALSE,TRUE),OR(EXACT(metadata!C638,"missing: not collected"),EXACT(metadata!C638,"missing: not provided"),EXACT(metadata!C638,"missing: restricted access"))),AND(IF(metadata!C638="",FALSE,TRUE),AND(AND(IFERROR(INT(LEFT(metadata!C638,4))&gt;1900,FALSE),IFERROR(INT(LEFT(metadata!C638,4))&lt;=YEAR(NOW()),FALSE)), OR(MID(metadata!C638,5,1)="", AND(AND(MID(metadata!C638,5,1)="-",IFERROR(INT(MID(metadata!C638,6,1))&gt;=0,FALSE),IFERROR(INT(MID(metadata!C638,6,1))&lt;=1,FALSE),NOT(MID(metadata!C638,7,1)=""),IFERROR(INT(MID(metadata!C638,6,2))&gt;=1,FALSE),IFERROR(INT(MID(metadata!C638,6,2))&lt;=12,FALSE)), OR(MID(metadata!C638,8,1)="", AND(AND(MID(metadata!C638,8,1)="-",IFERROR(INT(MID(metadata!C638,9,1))&gt;=0,FALSE),IFERROR(INT(MID(metadata!C638,9,1))&lt;=3,FALSE),NOT(MID(metadata!C638,10,1)=""),IFERROR(INT(MID(metadata!C638,9,2))&gt;=1,FALSE),IFERROR(INT(MID(metadata!C638,9,2))&lt;=31,FALSE)), OR(MID(metadata!C638,11,1)="", AND(AND(MID(metadata!C638,11,1)=" ",IFERROR(INT(MID(metadata!C638,12,1))&gt;=0,FALSE),IFERROR(INT(MID(metadata!C638,12,1))&lt;=2,FALSE),NOT(MID(metadata!C638,13,1)=""),IFERROR(INT(MID(metadata!C638,12,2))&gt;=0,FALSE),IFERROR(INT(MID(metadata!C638,12,2))&lt;=23,FALSE)), OR(MID(metadata!C638,14,1)="", AND(AND(MID(metadata!C638,14,1)=":",IFERROR(INT(MID(metadata!C638,15,1))&gt;=0,FALSE),IFERROR(INT(MID(metadata!C638,15,1))&lt;=5,FALSE),NOT(MID(metadata!C638,16,1)=""),IFERROR(INT(MID(metadata!C638,15,2))&gt;=0,FALSE),IFERROR(INT(MID(metadata!C638,15,2))&lt;=59,FALSE)), OR(MID(metadata!C638,17,1)="", AND(AND(MID(metadata!C638,17,1)=":",IFERROR(INT(MID(metadata!C638,18,1))&gt;=0,FALSE),IFERROR(INT(MID(metadata!C638,18,1))&lt;=5,FALSE),NOT(MID(metadata!C638,19,1)=""),IFERROR(INT(MID(metadata!C638,18,2))&gt;=0,FALSE),IFERROR(INT(MID(metadata!C638,18,2))&lt;=59,FALSE)), LEN(metadata!C638)&lt;=19)))))))))))))</f>
        <v>0</v>
      </c>
      <c r="AO638" t="b">
        <f>AND(IF(metadata!D638="",FALSE,TRUE),EXACT(metadata!D638,"Not applicable"))</f>
        <v>0</v>
      </c>
      <c r="AP638" t="b">
        <f>IF(metadata!E638="",FALSE,TRUE)</f>
        <v>0</v>
      </c>
      <c r="AQ638" t="b">
        <f>OR(AND(IF(metadata!F638="",FALSE,TRUE),OR(EXACT(metadata!F638,"missing: not collected"),EXACT(metadata!F638,"missing: not provided"))),AND(IF(metadata!F638="",FALSE,TRUE),OR(EXACT(metadata!F638,"TRUE"),EXACT(metadata!F638,"FALSE"))))</f>
        <v>0</v>
      </c>
      <c r="AR638" t="b">
        <f>OR(AND(IF(metadata!G638="",FALSE,TRUE),OR(EXACT(metadata!G638,"missing: not collected"),EXACT(metadata!G638,"missing: not provided"),EXACT(metadata!G638,"missing: restricted access"))),AND(IF(metadata!G638="",FALSE,ISNUMBER(VALUE(metadata!G638))),metadata!G638&gt;=-413))</f>
        <v>0</v>
      </c>
      <c r="AS638" t="b">
        <f>AND(IF(metadata!H638="",FALSE,TRUE),EXACT(metadata!H638,"meters"))</f>
        <v>0</v>
      </c>
      <c r="AT638" t="b">
        <f>AND(IF(metadata!I638="",FALSE,TRUE),OR(EXACT(metadata!I638,"Host-associated"),EXACT(metadata!I638,"Free-living")))</f>
        <v>0</v>
      </c>
      <c r="AU638" t="b">
        <f>AND(IF(metadata!J638="",FALSE,TRUE),OR(EXACT(metadata!J638,"Animal"),EXACT(metadata!J638,"Fungus"),EXACT(metadata!J638,"Plant"),EXACT(metadata!J638,"Saline"),EXACT(metadata!J638,"Non-saline")))</f>
        <v>0</v>
      </c>
      <c r="AV638" t="b">
        <f>AND(IF(metadata!K638="",FALSE,TRUE),OR(EXACT(metadata!K638,"Plant secretion"),EXACT(metadata!K638,"Plant rhizosphere"),EXACT(metadata!K638,"Plant surface"),EXACT(metadata!K638,"Plant corpus"),EXACT(metadata!K638,"Fungus surface"),EXACT(metadata!K638,"Fungus corpus"),EXACT(metadata!K638,"Animal surface"),EXACT(metadata!K638,"Animal proximal gut"),EXACT(metadata!K638,"Animal corpus"),EXACT(metadata!K638,"Animal distal gut"),EXACT(metadata!K638,"Animal secretion"),EXACT(metadata!K638,"Sub-surface (non-saline)"),EXACT(metadata!K638,"Surface (non-saline)"),EXACT(metadata!K638,"Water (non-saline)"),EXACT(metadata!K638,"Soil (non-saline)"),EXACT(metadata!K638,"Aerosol (non-saline)"),EXACT(metadata!K638,"Sediment (non-saline)"),EXACT(metadata!K638,"Surface (saline)"),EXACT(metadata!K638,"Water (saline)"),EXACT(metadata!K638,"Hypersaline (saline)"),EXACT(metadata!K638,"Aerosol (saline)"),EXACT(metadata!K638,"Sediment (saline)")))</f>
        <v>0</v>
      </c>
      <c r="AW638" t="b">
        <f>IF(metadata!L638="",FALSE,TRUE)</f>
        <v>0</v>
      </c>
      <c r="AX638" t="b">
        <f>IF(metadata!M638="",FALSE,TRUE)</f>
        <v>0</v>
      </c>
      <c r="AY638" t="b">
        <f>IF(metadata!N638="",FALSE,TRUE)</f>
        <v>0</v>
      </c>
      <c r="AZ638" t="b">
        <f>OR(AND(IF(metadata!O638="",FALSE,TRUE),OR(EXACT(metadata!O638,"missing: not collected"),EXACT(metadata!O638,"missing: not provided"),EXACT(metadata!O638,"missing: restricted access"))),AND(IF(metadata!O638="",FALSE,TRUE),OR(EXACT(metadata!O638,"air"),EXACT(metadata!O638,"built environment"),EXACT(metadata!O638,"host-associated"),EXACT(metadata!O638,"human-associated"),EXACT(metadata!O638,"human-skin"),EXACT(metadata!O638,"human-oral"),EXACT(metadata!O638,"human-gut"),EXACT(metadata!O638,"human-vaginal"),EXACT(metadata!O638,"microbial mat/biofilm"),EXACT(metadata!O638,"misc environment"),EXACT(metadata!O638,"plant-associated"),EXACT(metadata!O638,"sediment"),EXACT(metadata!O638,"soil"),EXACT(metadata!O638,"wastewater/sludge"),EXACT(metadata!O638,"water"))))</f>
        <v>0</v>
      </c>
      <c r="BA638" t="b">
        <f>IF(metadata!P638="",FALSE,TRUE)</f>
        <v>0</v>
      </c>
      <c r="BB638" t="b">
        <f>IF(metadata!Q638="",FALSE,TRUE)</f>
        <v>0</v>
      </c>
      <c r="BC638" t="b">
        <f>OR(AND(IF(metadata!R638="",FALSE,TRUE),OR(EXACT(metadata!R638,"missing: not collected"),EXACT(metadata!R638,"missing: not provided"),EXACT(metadata!R638,"missing: restricted access"))),AND(IF(metadata!R638="",FALSE,ISNUMBER(VALUE(metadata!R638))),metadata!R638&gt;=-90,metadata!R638&lt;=90))</f>
        <v>0</v>
      </c>
      <c r="BD638" t="b">
        <f>AND(IF(metadata!S638="",FALSE,TRUE),EXACT(metadata!S638,"Decimal degrees"))</f>
        <v>0</v>
      </c>
      <c r="BE638" t="b">
        <f>OR(AND(IF(metadata!T638="",FALSE,TRUE),OR(EXACT(metadata!T638,"missing: not collected"),EXACT(metadata!T638,"missing: not provided"),EXACT(metadata!T638,"missing: restricted access"))),AND(IF(metadata!T638="",FALSE,ISNUMBER(VALUE(metadata!T638))),metadata!T638&gt;=-180,metadata!T638&lt;=180))</f>
        <v>0</v>
      </c>
      <c r="BF638" t="b">
        <f>AND(IF(metadata!U638="",FALSE,TRUE),EXACT(metadata!U638,"Decimal degrees"))</f>
        <v>0</v>
      </c>
      <c r="BG638" t="b">
        <f>IF(metadata!V638="",FALSE,TRUE)</f>
        <v>0</v>
      </c>
      <c r="BH638" t="b">
        <f>OR(AND(IF(metadata!W638="",FALSE,TRUE),OR(EXACT(metadata!W638,"missing: not collected"),EXACT(metadata!W638,"missing: not provided"),EXACT(metadata!W638,"missing: restricted access"))),AND(IF(metadata!W638="",FALSE,TRUE),OR(EXACT(metadata!W638,"TRUE"),EXACT(metadata!W638,"FALSE"))))</f>
        <v>0</v>
      </c>
      <c r="BI638" t="b">
        <f>AND(IF(metadata!X638="",FALSE,TRUE),EXACT(metadata!X638,"other"))</f>
        <v>0</v>
      </c>
      <c r="BJ638" t="b">
        <f>IF(metadata!Y638="",FALSE,TRUE)</f>
        <v>0</v>
      </c>
      <c r="BK638" t="b">
        <f>OR(AND(IF(metadata!Z638="",FALSE,TRUE),OR(EXACT(metadata!Z638,"missing: not collected"),EXACT(metadata!Z638,"missing: not provided"))),AND(IF(metadata!Z638="",FALSE,IF(ISERROR(INT(metadata!Z638)),FALSE,INT(metadata!Z638)=metadata!Z638)),metadata!Z638&gt;0))</f>
        <v>0</v>
      </c>
      <c r="BL638" t="b">
        <f>AND(IF(metadata!AA638="",FALSE,TRUE),EXACT(metadata!AA638,"Not applicable"))</f>
        <v>0</v>
      </c>
      <c r="BM638" t="b">
        <f>IF(metadata!AB638="",FALSE,TRUE)</f>
        <v>0</v>
      </c>
    </row>
    <row r="639" spans="1:65" x14ac:dyDescent="0.2">
      <c r="A639" s="5" t="str">
        <f ca="1">IF(B639=" "," ",HYPERLINK(CONCATENATE("#metadata!",ADDRESS(INDEX($AH$2:$AH$1001,MATCH(ROWS($AF$2:AF639),$AF$2:$AF$1001,0),0),1)),INDEX($AK$2:$AK$1001,MATCH(ROWS($AF$2:AF639),$AF$2:$AF$1001,0),0)))</f>
        <v xml:space="preserve"> </v>
      </c>
      <c r="B639" s="4" t="str">
        <f ca="1">IF(OR(INDEX($AG$2:$AG$1001,MATCH(ROWS($AF$2:AF639),$AF$2:$AF$1001,0),1)&gt;=100000,INDEX($AM$1005:$BM$1005,1,MATCH(COLUMNS($AM$1006:AM1006),$AM$1006:$BM$1006,0))&gt;=100000), " ",IF(INDEX($AM$2:$BM$1001,MATCH(ROWS($AF$2:AF639),$AF$2:$AF$1001,0),MATCH(COLUMNS($AM$1006:AM1006),$AM$1006:$BM$1006,0)), HYPERLINK("#",""), HYPERLINK(CONCATENATE("#metadata!", ADDRESS(INDEX($AH$2:$AH$1001,MATCH(ROWS($AF$2:AF639),$AF$2:$AF$1001,0),0), INDEX($AM$1004:$BM$1004,1,MATCH(COLUMNS($AM$1006:AM1006),$AM$1006:$BM$1006,0)))),"Fix")))</f>
        <v xml:space="preserve"> </v>
      </c>
      <c r="C639" s="4" t="str">
        <f ca="1">IF(OR(INDEX($AG$2:$AG$1001,MATCH(ROWS($AF$2:AF639),$AF$2:$AF$1001,0),1)&gt;=100000,INDEX($AM$1005:$BM$1005,1,MATCH(COLUMNS($AM$1006:AN1006),$AM$1006:$BM$1006,0))&gt;=100000), " ",IF(INDEX($AM$2:$BM$1001,MATCH(ROWS($AF$2:AF639),$AF$2:$AF$1001,0),MATCH(COLUMNS($AM$1006:AN1006),$AM$1006:$BM$1006,0)), HYPERLINK("#",""), HYPERLINK(CONCATENATE("#metadata!", ADDRESS(INDEX($AH$2:$AH$1001,MATCH(ROWS($AF$2:AF639),$AF$2:$AF$1001,0),0), INDEX($AM$1004:$BM$1004,1,MATCH(COLUMNS($AM$1006:AN1006),$AM$1006:$BM$1006,0)))),"Fix")))</f>
        <v xml:space="preserve"> </v>
      </c>
      <c r="D639" s="4" t="str">
        <f ca="1">IF(OR(INDEX($AG$2:$AG$1001,MATCH(ROWS($AF$2:AF639),$AF$2:$AF$1001,0),1)&gt;=100000,INDEX($AM$1005:$BM$1005,1,MATCH(COLUMNS($AM$1006:AO1006),$AM$1006:$BM$1006,0))&gt;=100000), " ",IF(INDEX($AM$2:$BM$1001,MATCH(ROWS($AF$2:AF639),$AF$2:$AF$1001,0),MATCH(COLUMNS($AM$1006:AO1006),$AM$1006:$BM$1006,0)), HYPERLINK("#",""), HYPERLINK(CONCATENATE("#metadata!", ADDRESS(INDEX($AH$2:$AH$1001,MATCH(ROWS($AF$2:AF639),$AF$2:$AF$1001,0),0), INDEX($AM$1004:$BM$1004,1,MATCH(COLUMNS($AM$1006:AO1006),$AM$1006:$BM$1006,0)))),"Fix")))</f>
        <v xml:space="preserve"> </v>
      </c>
      <c r="E639" s="4" t="str">
        <f ca="1">IF(OR(INDEX($AG$2:$AG$1001,MATCH(ROWS($AF$2:AF639),$AF$2:$AF$1001,0),1)&gt;=100000,INDEX($AM$1005:$BM$1005,1,MATCH(COLUMNS($AM$1006:AP1006),$AM$1006:$BM$1006,0))&gt;=100000), " ",IF(INDEX($AM$2:$BM$1001,MATCH(ROWS($AF$2:AF639),$AF$2:$AF$1001,0),MATCH(COLUMNS($AM$1006:AP1006),$AM$1006:$BM$1006,0)), HYPERLINK("#",""), HYPERLINK(CONCATENATE("#metadata!", ADDRESS(INDEX($AH$2:$AH$1001,MATCH(ROWS($AF$2:AF639),$AF$2:$AF$1001,0),0), INDEX($AM$1004:$BM$1004,1,MATCH(COLUMNS($AM$1006:AP1006),$AM$1006:$BM$1006,0)))),"Fix")))</f>
        <v xml:space="preserve"> </v>
      </c>
      <c r="F639" s="4" t="str">
        <f ca="1">IF(OR(INDEX($AG$2:$AG$1001,MATCH(ROWS($AF$2:AF639),$AF$2:$AF$1001,0),1)&gt;=100000,INDEX($AM$1005:$BM$1005,1,MATCH(COLUMNS($AM$1006:AQ1006),$AM$1006:$BM$1006,0))&gt;=100000), " ",IF(INDEX($AM$2:$BM$1001,MATCH(ROWS($AF$2:AF639),$AF$2:$AF$1001,0),MATCH(COLUMNS($AM$1006:AQ1006),$AM$1006:$BM$1006,0)), HYPERLINK("#",""), HYPERLINK(CONCATENATE("#metadata!", ADDRESS(INDEX($AH$2:$AH$1001,MATCH(ROWS($AF$2:AF639),$AF$2:$AF$1001,0),0), INDEX($AM$1004:$BM$1004,1,MATCH(COLUMNS($AM$1006:AQ1006),$AM$1006:$BM$1006,0)))),"Fix")))</f>
        <v xml:space="preserve"> </v>
      </c>
      <c r="G639" s="4" t="str">
        <f ca="1">IF(OR(INDEX($AG$2:$AG$1001,MATCH(ROWS($AF$2:AF639),$AF$2:$AF$1001,0),1)&gt;=100000,INDEX($AM$1005:$BM$1005,1,MATCH(COLUMNS($AM$1006:AR1006),$AM$1006:$BM$1006,0))&gt;=100000), " ",IF(INDEX($AM$2:$BM$1001,MATCH(ROWS($AF$2:AF639),$AF$2:$AF$1001,0),MATCH(COLUMNS($AM$1006:AR1006),$AM$1006:$BM$1006,0)), HYPERLINK("#",""), HYPERLINK(CONCATENATE("#metadata!", ADDRESS(INDEX($AH$2:$AH$1001,MATCH(ROWS($AF$2:AF639),$AF$2:$AF$1001,0),0), INDEX($AM$1004:$BM$1004,1,MATCH(COLUMNS($AM$1006:AR1006),$AM$1006:$BM$1006,0)))),"Fix")))</f>
        <v xml:space="preserve"> </v>
      </c>
      <c r="H639" s="4" t="str">
        <f ca="1">IF(OR(INDEX($AG$2:$AG$1001,MATCH(ROWS($AF$2:AF639),$AF$2:$AF$1001,0),1)&gt;=100000,INDEX($AM$1005:$BM$1005,1,MATCH(COLUMNS($AM$1006:AS1006),$AM$1006:$BM$1006,0))&gt;=100000), " ",IF(INDEX($AM$2:$BM$1001,MATCH(ROWS($AF$2:AF639),$AF$2:$AF$1001,0),MATCH(COLUMNS($AM$1006:AS1006),$AM$1006:$BM$1006,0)), HYPERLINK("#",""), HYPERLINK(CONCATENATE("#metadata!", ADDRESS(INDEX($AH$2:$AH$1001,MATCH(ROWS($AF$2:AF639),$AF$2:$AF$1001,0),0), INDEX($AM$1004:$BM$1004,1,MATCH(COLUMNS($AM$1006:AS1006),$AM$1006:$BM$1006,0)))),"Fix")))</f>
        <v xml:space="preserve"> </v>
      </c>
      <c r="I639" s="4" t="str">
        <f ca="1">IF(OR(INDEX($AG$2:$AG$1001,MATCH(ROWS($AF$2:AF639),$AF$2:$AF$1001,0),1)&gt;=100000,INDEX($AM$1005:$BM$1005,1,MATCH(COLUMNS($AM$1006:AT1006),$AM$1006:$BM$1006,0))&gt;=100000), " ",IF(INDEX($AM$2:$BM$1001,MATCH(ROWS($AF$2:AF639),$AF$2:$AF$1001,0),MATCH(COLUMNS($AM$1006:AT1006),$AM$1006:$BM$1006,0)), HYPERLINK("#",""), HYPERLINK(CONCATENATE("#metadata!", ADDRESS(INDEX($AH$2:$AH$1001,MATCH(ROWS($AF$2:AF639),$AF$2:$AF$1001,0),0), INDEX($AM$1004:$BM$1004,1,MATCH(COLUMNS($AM$1006:AT1006),$AM$1006:$BM$1006,0)))),"Fix")))</f>
        <v xml:space="preserve"> </v>
      </c>
      <c r="J639" s="4" t="str">
        <f ca="1">IF(OR(INDEX($AG$2:$AG$1001,MATCH(ROWS($AF$2:AF639),$AF$2:$AF$1001,0),1)&gt;=100000,INDEX($AM$1005:$BM$1005,1,MATCH(COLUMNS($AM$1006:AU1006),$AM$1006:$BM$1006,0))&gt;=100000), " ",IF(INDEX($AM$2:$BM$1001,MATCH(ROWS($AF$2:AF639),$AF$2:$AF$1001,0),MATCH(COLUMNS($AM$1006:AU1006),$AM$1006:$BM$1006,0)), HYPERLINK("#",""), HYPERLINK(CONCATENATE("#metadata!", ADDRESS(INDEX($AH$2:$AH$1001,MATCH(ROWS($AF$2:AF639),$AF$2:$AF$1001,0),0), INDEX($AM$1004:$BM$1004,1,MATCH(COLUMNS($AM$1006:AU1006),$AM$1006:$BM$1006,0)))),"Fix")))</f>
        <v xml:space="preserve"> </v>
      </c>
      <c r="K639" s="4" t="str">
        <f ca="1">IF(OR(INDEX($AG$2:$AG$1001,MATCH(ROWS($AF$2:AF639),$AF$2:$AF$1001,0),1)&gt;=100000,INDEX($AM$1005:$BM$1005,1,MATCH(COLUMNS($AM$1006:AV1006),$AM$1006:$BM$1006,0))&gt;=100000), " ",IF(INDEX($AM$2:$BM$1001,MATCH(ROWS($AF$2:AF639),$AF$2:$AF$1001,0),MATCH(COLUMNS($AM$1006:AV1006),$AM$1006:$BM$1006,0)), HYPERLINK("#",""), HYPERLINK(CONCATENATE("#metadata!", ADDRESS(INDEX($AH$2:$AH$1001,MATCH(ROWS($AF$2:AF639),$AF$2:$AF$1001,0),0), INDEX($AM$1004:$BM$1004,1,MATCH(COLUMNS($AM$1006:AV1006),$AM$1006:$BM$1006,0)))),"Fix")))</f>
        <v xml:space="preserve"> </v>
      </c>
      <c r="L639" s="4" t="str">
        <f ca="1">IF(OR(INDEX($AG$2:$AG$1001,MATCH(ROWS($AF$2:AF639),$AF$2:$AF$1001,0),1)&gt;=100000,INDEX($AM$1005:$BM$1005,1,MATCH(COLUMNS($AM$1006:AW1006),$AM$1006:$BM$1006,0))&gt;=100000), " ",IF(INDEX($AM$2:$BM$1001,MATCH(ROWS($AF$2:AF639),$AF$2:$AF$1001,0),MATCH(COLUMNS($AM$1006:AW1006),$AM$1006:$BM$1006,0)), HYPERLINK("#",""), HYPERLINK(CONCATENATE("#metadata!", ADDRESS(INDEX($AH$2:$AH$1001,MATCH(ROWS($AF$2:AF639),$AF$2:$AF$1001,0),0), INDEX($AM$1004:$BM$1004,1,MATCH(COLUMNS($AM$1006:AW1006),$AM$1006:$BM$1006,0)))),"Fix")))</f>
        <v xml:space="preserve"> </v>
      </c>
      <c r="M639" s="4" t="str">
        <f ca="1">IF(OR(INDEX($AG$2:$AG$1001,MATCH(ROWS($AF$2:AF639),$AF$2:$AF$1001,0),1)&gt;=100000,INDEX($AM$1005:$BM$1005,1,MATCH(COLUMNS($AM$1006:AX1006),$AM$1006:$BM$1006,0))&gt;=100000), " ",IF(INDEX($AM$2:$BM$1001,MATCH(ROWS($AF$2:AF639),$AF$2:$AF$1001,0),MATCH(COLUMNS($AM$1006:AX1006),$AM$1006:$BM$1006,0)), HYPERLINK("#",""), HYPERLINK(CONCATENATE("#metadata!", ADDRESS(INDEX($AH$2:$AH$1001,MATCH(ROWS($AF$2:AF639),$AF$2:$AF$1001,0),0), INDEX($AM$1004:$BM$1004,1,MATCH(COLUMNS($AM$1006:AX1006),$AM$1006:$BM$1006,0)))),"Fix")))</f>
        <v xml:space="preserve"> </v>
      </c>
      <c r="N639" s="4" t="str">
        <f ca="1">IF(OR(INDEX($AG$2:$AG$1001,MATCH(ROWS($AF$2:AF639),$AF$2:$AF$1001,0),1)&gt;=100000,INDEX($AM$1005:$BM$1005,1,MATCH(COLUMNS($AM$1006:AY1006),$AM$1006:$BM$1006,0))&gt;=100000), " ",IF(INDEX($AM$2:$BM$1001,MATCH(ROWS($AF$2:AF639),$AF$2:$AF$1001,0),MATCH(COLUMNS($AM$1006:AY1006),$AM$1006:$BM$1006,0)), HYPERLINK("#",""), HYPERLINK(CONCATENATE("#metadata!", ADDRESS(INDEX($AH$2:$AH$1001,MATCH(ROWS($AF$2:AF639),$AF$2:$AF$1001,0),0), INDEX($AM$1004:$BM$1004,1,MATCH(COLUMNS($AM$1006:AY1006),$AM$1006:$BM$1006,0)))),"Fix")))</f>
        <v xml:space="preserve"> </v>
      </c>
      <c r="O639" s="4" t="str">
        <f ca="1">IF(OR(INDEX($AG$2:$AG$1001,MATCH(ROWS($AF$2:AF639),$AF$2:$AF$1001,0),1)&gt;=100000,INDEX($AM$1005:$BM$1005,1,MATCH(COLUMNS($AM$1006:AZ1006),$AM$1006:$BM$1006,0))&gt;=100000), " ",IF(INDEX($AM$2:$BM$1001,MATCH(ROWS($AF$2:AF639),$AF$2:$AF$1001,0),MATCH(COLUMNS($AM$1006:AZ1006),$AM$1006:$BM$1006,0)), HYPERLINK("#",""), HYPERLINK(CONCATENATE("#metadata!", ADDRESS(INDEX($AH$2:$AH$1001,MATCH(ROWS($AF$2:AF639),$AF$2:$AF$1001,0),0), INDEX($AM$1004:$BM$1004,1,MATCH(COLUMNS($AM$1006:AZ1006),$AM$1006:$BM$1006,0)))),"Fix")))</f>
        <v xml:space="preserve"> </v>
      </c>
      <c r="P639" s="4" t="str">
        <f ca="1">IF(OR(INDEX($AG$2:$AG$1001,MATCH(ROWS($AF$2:AF639),$AF$2:$AF$1001,0),1)&gt;=100000,INDEX($AM$1005:$BM$1005,1,MATCH(COLUMNS($AM$1006:BA1006),$AM$1006:$BM$1006,0))&gt;=100000), " ",IF(INDEX($AM$2:$BM$1001,MATCH(ROWS($AF$2:AF639),$AF$2:$AF$1001,0),MATCH(COLUMNS($AM$1006:BA1006),$AM$1006:$BM$1006,0)), HYPERLINK("#",""), HYPERLINK(CONCATENATE("#metadata!", ADDRESS(INDEX($AH$2:$AH$1001,MATCH(ROWS($AF$2:AF639),$AF$2:$AF$1001,0),0), INDEX($AM$1004:$BM$1004,1,MATCH(COLUMNS($AM$1006:BA1006),$AM$1006:$BM$1006,0)))),"Fix")))</f>
        <v xml:space="preserve"> </v>
      </c>
      <c r="Q639" s="4" t="str">
        <f ca="1">IF(OR(INDEX($AG$2:$AG$1001,MATCH(ROWS($AF$2:AF639),$AF$2:$AF$1001,0),1)&gt;=100000,INDEX($AM$1005:$BM$1005,1,MATCH(COLUMNS($AM$1006:BB1006),$AM$1006:$BM$1006,0))&gt;=100000), " ",IF(INDEX($AM$2:$BM$1001,MATCH(ROWS($AF$2:AF639),$AF$2:$AF$1001,0),MATCH(COLUMNS($AM$1006:BB1006),$AM$1006:$BM$1006,0)), HYPERLINK("#",""), HYPERLINK(CONCATENATE("#metadata!", ADDRESS(INDEX($AH$2:$AH$1001,MATCH(ROWS($AF$2:AF639),$AF$2:$AF$1001,0),0), INDEX($AM$1004:$BM$1004,1,MATCH(COLUMNS($AM$1006:BB1006),$AM$1006:$BM$1006,0)))),"Fix")))</f>
        <v xml:space="preserve"> </v>
      </c>
      <c r="R639" s="4" t="str">
        <f ca="1">IF(OR(INDEX($AG$2:$AG$1001,MATCH(ROWS($AF$2:AF639),$AF$2:$AF$1001,0),1)&gt;=100000,INDEX($AM$1005:$BM$1005,1,MATCH(COLUMNS($AM$1006:BC1006),$AM$1006:$BM$1006,0))&gt;=100000), " ",IF(INDEX($AM$2:$BM$1001,MATCH(ROWS($AF$2:AF639),$AF$2:$AF$1001,0),MATCH(COLUMNS($AM$1006:BC1006),$AM$1006:$BM$1006,0)), HYPERLINK("#",""), HYPERLINK(CONCATENATE("#metadata!", ADDRESS(INDEX($AH$2:$AH$1001,MATCH(ROWS($AF$2:AF639),$AF$2:$AF$1001,0),0), INDEX($AM$1004:$BM$1004,1,MATCH(COLUMNS($AM$1006:BC1006),$AM$1006:$BM$1006,0)))),"Fix")))</f>
        <v xml:space="preserve"> </v>
      </c>
      <c r="S639" s="4" t="str">
        <f ca="1">IF(OR(INDEX($AG$2:$AG$1001,MATCH(ROWS($AF$2:AF639),$AF$2:$AF$1001,0),1)&gt;=100000,INDEX($AM$1005:$BM$1005,1,MATCH(COLUMNS($AM$1006:BD1006),$AM$1006:$BM$1006,0))&gt;=100000), " ",IF(INDEX($AM$2:$BM$1001,MATCH(ROWS($AF$2:AF639),$AF$2:$AF$1001,0),MATCH(COLUMNS($AM$1006:BD1006),$AM$1006:$BM$1006,0)), HYPERLINK("#",""), HYPERLINK(CONCATENATE("#metadata!", ADDRESS(INDEX($AH$2:$AH$1001,MATCH(ROWS($AF$2:AF639),$AF$2:$AF$1001,0),0), INDEX($AM$1004:$BM$1004,1,MATCH(COLUMNS($AM$1006:BD1006),$AM$1006:$BM$1006,0)))),"Fix")))</f>
        <v xml:space="preserve"> </v>
      </c>
      <c r="T639" s="4" t="str">
        <f ca="1">IF(OR(INDEX($AG$2:$AG$1001,MATCH(ROWS($AF$2:AF639),$AF$2:$AF$1001,0),1)&gt;=100000,INDEX($AM$1005:$BM$1005,1,MATCH(COLUMNS($AM$1006:BE1006),$AM$1006:$BM$1006,0))&gt;=100000), " ",IF(INDEX($AM$2:$BM$1001,MATCH(ROWS($AF$2:AF639),$AF$2:$AF$1001,0),MATCH(COLUMNS($AM$1006:BE1006),$AM$1006:$BM$1006,0)), HYPERLINK("#",""), HYPERLINK(CONCATENATE("#metadata!", ADDRESS(INDEX($AH$2:$AH$1001,MATCH(ROWS($AF$2:AF639),$AF$2:$AF$1001,0),0), INDEX($AM$1004:$BM$1004,1,MATCH(COLUMNS($AM$1006:BE1006),$AM$1006:$BM$1006,0)))),"Fix")))</f>
        <v xml:space="preserve"> </v>
      </c>
      <c r="U639" s="4" t="str">
        <f ca="1">IF(OR(INDEX($AG$2:$AG$1001,MATCH(ROWS($AF$2:AF639),$AF$2:$AF$1001,0),1)&gt;=100000,INDEX($AM$1005:$BM$1005,1,MATCH(COLUMNS($AM$1006:BF1006),$AM$1006:$BM$1006,0))&gt;=100000), " ",IF(INDEX($AM$2:$BM$1001,MATCH(ROWS($AF$2:AF639),$AF$2:$AF$1001,0),MATCH(COLUMNS($AM$1006:BF1006),$AM$1006:$BM$1006,0)), HYPERLINK("#",""), HYPERLINK(CONCATENATE("#metadata!", ADDRESS(INDEX($AH$2:$AH$1001,MATCH(ROWS($AF$2:AF639),$AF$2:$AF$1001,0),0), INDEX($AM$1004:$BM$1004,1,MATCH(COLUMNS($AM$1006:BF1006),$AM$1006:$BM$1006,0)))),"Fix")))</f>
        <v xml:space="preserve"> </v>
      </c>
      <c r="V639" s="4" t="str">
        <f ca="1">IF(OR(INDEX($AG$2:$AG$1001,MATCH(ROWS($AF$2:AF639),$AF$2:$AF$1001,0),1)&gt;=100000,INDEX($AM$1005:$BM$1005,1,MATCH(COLUMNS($AM$1006:BG1006),$AM$1006:$BM$1006,0))&gt;=100000), " ",IF(INDEX($AM$2:$BM$1001,MATCH(ROWS($AF$2:AF639),$AF$2:$AF$1001,0),MATCH(COLUMNS($AM$1006:BG1006),$AM$1006:$BM$1006,0)), HYPERLINK("#",""), HYPERLINK(CONCATENATE("#metadata!", ADDRESS(INDEX($AH$2:$AH$1001,MATCH(ROWS($AF$2:AF639),$AF$2:$AF$1001,0),0), INDEX($AM$1004:$BM$1004,1,MATCH(COLUMNS($AM$1006:BG1006),$AM$1006:$BM$1006,0)))),"Fix")))</f>
        <v xml:space="preserve"> </v>
      </c>
      <c r="W639" s="4" t="str">
        <f ca="1">IF(OR(INDEX($AG$2:$AG$1001,MATCH(ROWS($AF$2:AF639),$AF$2:$AF$1001,0),1)&gt;=100000,INDEX($AM$1005:$BM$1005,1,MATCH(COLUMNS($AM$1006:BH1006),$AM$1006:$BM$1006,0))&gt;=100000), " ",IF(INDEX($AM$2:$BM$1001,MATCH(ROWS($AF$2:AF639),$AF$2:$AF$1001,0),MATCH(COLUMNS($AM$1006:BH1006),$AM$1006:$BM$1006,0)), HYPERLINK("#",""), HYPERLINK(CONCATENATE("#metadata!", ADDRESS(INDEX($AH$2:$AH$1001,MATCH(ROWS($AF$2:AF639),$AF$2:$AF$1001,0),0), INDEX($AM$1004:$BM$1004,1,MATCH(COLUMNS($AM$1006:BH1006),$AM$1006:$BM$1006,0)))),"Fix")))</f>
        <v xml:space="preserve"> </v>
      </c>
      <c r="X639" s="4" t="str">
        <f ca="1">IF(OR(INDEX($AG$2:$AG$1001,MATCH(ROWS($AF$2:AF639),$AF$2:$AF$1001,0),1)&gt;=100000,INDEX($AM$1005:$BM$1005,1,MATCH(COLUMNS($AM$1006:BI1006),$AM$1006:$BM$1006,0))&gt;=100000), " ",IF(INDEX($AM$2:$BM$1001,MATCH(ROWS($AF$2:AF639),$AF$2:$AF$1001,0),MATCH(COLUMNS($AM$1006:BI1006),$AM$1006:$BM$1006,0)), HYPERLINK("#",""), HYPERLINK(CONCATENATE("#metadata!", ADDRESS(INDEX($AH$2:$AH$1001,MATCH(ROWS($AF$2:AF639),$AF$2:$AF$1001,0),0), INDEX($AM$1004:$BM$1004,1,MATCH(COLUMNS($AM$1006:BI1006),$AM$1006:$BM$1006,0)))),"Fix")))</f>
        <v xml:space="preserve"> </v>
      </c>
      <c r="Y639" s="4" t="str">
        <f ca="1">IF(OR(INDEX($AG$2:$AG$1001,MATCH(ROWS($AF$2:AF639),$AF$2:$AF$1001,0),1)&gt;=100000,INDEX($AM$1005:$BM$1005,1,MATCH(COLUMNS($AM$1006:BJ1006),$AM$1006:$BM$1006,0))&gt;=100000), " ",IF(INDEX($AM$2:$BM$1001,MATCH(ROWS($AF$2:AF639),$AF$2:$AF$1001,0),MATCH(COLUMNS($AM$1006:BJ1006),$AM$1006:$BM$1006,0)), HYPERLINK("#",""), HYPERLINK(CONCATENATE("#metadata!", ADDRESS(INDEX($AH$2:$AH$1001,MATCH(ROWS($AF$2:AF639),$AF$2:$AF$1001,0),0), INDEX($AM$1004:$BM$1004,1,MATCH(COLUMNS($AM$1006:BJ1006),$AM$1006:$BM$1006,0)))),"Fix")))</f>
        <v xml:space="preserve"> </v>
      </c>
      <c r="Z639" s="4" t="str">
        <f ca="1">IF(OR(INDEX($AG$2:$AG$1001,MATCH(ROWS($AF$2:AF639),$AF$2:$AF$1001,0),1)&gt;=100000,INDEX($AM$1005:$BM$1005,1,MATCH(COLUMNS($AM$1006:BK1006),$AM$1006:$BM$1006,0))&gt;=100000), " ",IF(INDEX($AM$2:$BM$1001,MATCH(ROWS($AF$2:AF639),$AF$2:$AF$1001,0),MATCH(COLUMNS($AM$1006:BK1006),$AM$1006:$BM$1006,0)), HYPERLINK("#",""), HYPERLINK(CONCATENATE("#metadata!", ADDRESS(INDEX($AH$2:$AH$1001,MATCH(ROWS($AF$2:AF639),$AF$2:$AF$1001,0),0), INDEX($AM$1004:$BM$1004,1,MATCH(COLUMNS($AM$1006:BK1006),$AM$1006:$BM$1006,0)))),"Fix")))</f>
        <v xml:space="preserve"> </v>
      </c>
      <c r="AA639" s="4" t="str">
        <f ca="1">IF(OR(INDEX($AG$2:$AG$1001,MATCH(ROWS($AF$2:AF639),$AF$2:$AF$1001,0),1)&gt;=100000,INDEX($AM$1005:$BM$1005,1,MATCH(COLUMNS($AM$1006:BL1006),$AM$1006:$BM$1006,0))&gt;=100000), " ",IF(INDEX($AM$2:$BM$1001,MATCH(ROWS($AF$2:AF639),$AF$2:$AF$1001,0),MATCH(COLUMNS($AM$1006:BL1006),$AM$1006:$BM$1006,0)), HYPERLINK("#",""), HYPERLINK(CONCATENATE("#metadata!", ADDRESS(INDEX($AH$2:$AH$1001,MATCH(ROWS($AF$2:AF639),$AF$2:$AF$1001,0),0), INDEX($AM$1004:$BM$1004,1,MATCH(COLUMNS($AM$1006:BL1006),$AM$1006:$BM$1006,0)))),"Fix")))</f>
        <v xml:space="preserve"> </v>
      </c>
      <c r="AB639" s="4" t="str">
        <f ca="1">IF(OR(INDEX($AG$2:$AG$1001,MATCH(ROWS($AF$2:AF639),$AF$2:$AF$1001,0),1)&gt;=100000,INDEX($AM$1005:$BM$1005,1,MATCH(COLUMNS($AM$1006:BM1006),$AM$1006:$BM$1006,0))&gt;=100000), " ",IF(INDEX($AM$2:$BM$1001,MATCH(ROWS($AF$2:AF639),$AF$2:$AF$1001,0),MATCH(COLUMNS($AM$1006:BM1006),$AM$1006:$BM$1006,0)), HYPERLINK("#",""), HYPERLINK(CONCATENATE("#metadata!", ADDRESS(INDEX($AH$2:$AH$1001,MATCH(ROWS($AF$2:AF639),$AF$2:$AF$1001,0),0), INDEX($AM$1004:$BM$1004,1,MATCH(COLUMNS($AM$1006:BM1006),$AM$1006:$BM$1006,0)))),"Fix")))</f>
        <v xml:space="preserve"> </v>
      </c>
      <c r="AF639">
        <v>638</v>
      </c>
      <c r="AG639">
        <v>100639</v>
      </c>
      <c r="AH639">
        <v>639</v>
      </c>
      <c r="AI639" t="b">
        <f t="shared" si="9"/>
        <v>1</v>
      </c>
      <c r="AJ639" t="b">
        <f>COUNTBLANK(metadata!B639:AB639)=COLUMNS(metadata!B639:AB639)</f>
        <v>1</v>
      </c>
      <c r="AK639" t="str">
        <v/>
      </c>
      <c r="AM639" t="b">
        <f ca="1">AND(IF(metadata!B639="",FALSE,TRUE),COUNTIF(metadata!B:B, metadata!B639) = 1,NOT(ISERROR(SUMPRODUCT(SEARCH(MID(metadata!B639,ROW(INDIRECT("1:"&amp;LEN(metadata!B639))), 1),"0123456789abcdefghijklmnopqrstuvwxyzABCDEFGHIJKLMNOPQRSTUVWXYZ.")))))</f>
        <v>0</v>
      </c>
      <c r="AN639" t="b">
        <f ca="1">OR(AND(IF(metadata!C639="",FALSE,TRUE),OR(EXACT(metadata!C639,"missing: not collected"),EXACT(metadata!C639,"missing: not provided"),EXACT(metadata!C639,"missing: restricted access"))),AND(IF(metadata!C639="",FALSE,TRUE),AND(AND(IFERROR(INT(LEFT(metadata!C639,4))&gt;1900,FALSE),IFERROR(INT(LEFT(metadata!C639,4))&lt;=YEAR(NOW()),FALSE)), OR(MID(metadata!C639,5,1)="", AND(AND(MID(metadata!C639,5,1)="-",IFERROR(INT(MID(metadata!C639,6,1))&gt;=0,FALSE),IFERROR(INT(MID(metadata!C639,6,1))&lt;=1,FALSE),NOT(MID(metadata!C639,7,1)=""),IFERROR(INT(MID(metadata!C639,6,2))&gt;=1,FALSE),IFERROR(INT(MID(metadata!C639,6,2))&lt;=12,FALSE)), OR(MID(metadata!C639,8,1)="", AND(AND(MID(metadata!C639,8,1)="-",IFERROR(INT(MID(metadata!C639,9,1))&gt;=0,FALSE),IFERROR(INT(MID(metadata!C639,9,1))&lt;=3,FALSE),NOT(MID(metadata!C639,10,1)=""),IFERROR(INT(MID(metadata!C639,9,2))&gt;=1,FALSE),IFERROR(INT(MID(metadata!C639,9,2))&lt;=31,FALSE)), OR(MID(metadata!C639,11,1)="", AND(AND(MID(metadata!C639,11,1)=" ",IFERROR(INT(MID(metadata!C639,12,1))&gt;=0,FALSE),IFERROR(INT(MID(metadata!C639,12,1))&lt;=2,FALSE),NOT(MID(metadata!C639,13,1)=""),IFERROR(INT(MID(metadata!C639,12,2))&gt;=0,FALSE),IFERROR(INT(MID(metadata!C639,12,2))&lt;=23,FALSE)), OR(MID(metadata!C639,14,1)="", AND(AND(MID(metadata!C639,14,1)=":",IFERROR(INT(MID(metadata!C639,15,1))&gt;=0,FALSE),IFERROR(INT(MID(metadata!C639,15,1))&lt;=5,FALSE),NOT(MID(metadata!C639,16,1)=""),IFERROR(INT(MID(metadata!C639,15,2))&gt;=0,FALSE),IFERROR(INT(MID(metadata!C639,15,2))&lt;=59,FALSE)), OR(MID(metadata!C639,17,1)="", AND(AND(MID(metadata!C639,17,1)=":",IFERROR(INT(MID(metadata!C639,18,1))&gt;=0,FALSE),IFERROR(INT(MID(metadata!C639,18,1))&lt;=5,FALSE),NOT(MID(metadata!C639,19,1)=""),IFERROR(INT(MID(metadata!C639,18,2))&gt;=0,FALSE),IFERROR(INT(MID(metadata!C639,18,2))&lt;=59,FALSE)), LEN(metadata!C639)&lt;=19)))))))))))))</f>
        <v>0</v>
      </c>
      <c r="AO639" t="b">
        <f>AND(IF(metadata!D639="",FALSE,TRUE),EXACT(metadata!D639,"Not applicable"))</f>
        <v>0</v>
      </c>
      <c r="AP639" t="b">
        <f>IF(metadata!E639="",FALSE,TRUE)</f>
        <v>0</v>
      </c>
      <c r="AQ639" t="b">
        <f>OR(AND(IF(metadata!F639="",FALSE,TRUE),OR(EXACT(metadata!F639,"missing: not collected"),EXACT(metadata!F639,"missing: not provided"))),AND(IF(metadata!F639="",FALSE,TRUE),OR(EXACT(metadata!F639,"TRUE"),EXACT(metadata!F639,"FALSE"))))</f>
        <v>0</v>
      </c>
      <c r="AR639" t="b">
        <f>OR(AND(IF(metadata!G639="",FALSE,TRUE),OR(EXACT(metadata!G639,"missing: not collected"),EXACT(metadata!G639,"missing: not provided"),EXACT(metadata!G639,"missing: restricted access"))),AND(IF(metadata!G639="",FALSE,ISNUMBER(VALUE(metadata!G639))),metadata!G639&gt;=-413))</f>
        <v>0</v>
      </c>
      <c r="AS639" t="b">
        <f>AND(IF(metadata!H639="",FALSE,TRUE),EXACT(metadata!H639,"meters"))</f>
        <v>0</v>
      </c>
      <c r="AT639" t="b">
        <f>AND(IF(metadata!I639="",FALSE,TRUE),OR(EXACT(metadata!I639,"Host-associated"),EXACT(metadata!I639,"Free-living")))</f>
        <v>0</v>
      </c>
      <c r="AU639" t="b">
        <f>AND(IF(metadata!J639="",FALSE,TRUE),OR(EXACT(metadata!J639,"Animal"),EXACT(metadata!J639,"Fungus"),EXACT(metadata!J639,"Plant"),EXACT(metadata!J639,"Saline"),EXACT(metadata!J639,"Non-saline")))</f>
        <v>0</v>
      </c>
      <c r="AV639" t="b">
        <f>AND(IF(metadata!K639="",FALSE,TRUE),OR(EXACT(metadata!K639,"Plant secretion"),EXACT(metadata!K639,"Plant rhizosphere"),EXACT(metadata!K639,"Plant surface"),EXACT(metadata!K639,"Plant corpus"),EXACT(metadata!K639,"Fungus surface"),EXACT(metadata!K639,"Fungus corpus"),EXACT(metadata!K639,"Animal surface"),EXACT(metadata!K639,"Animal proximal gut"),EXACT(metadata!K639,"Animal corpus"),EXACT(metadata!K639,"Animal distal gut"),EXACT(metadata!K639,"Animal secretion"),EXACT(metadata!K639,"Sub-surface (non-saline)"),EXACT(metadata!K639,"Surface (non-saline)"),EXACT(metadata!K639,"Water (non-saline)"),EXACT(metadata!K639,"Soil (non-saline)"),EXACT(metadata!K639,"Aerosol (non-saline)"),EXACT(metadata!K639,"Sediment (non-saline)"),EXACT(metadata!K639,"Surface (saline)"),EXACT(metadata!K639,"Water (saline)"),EXACT(metadata!K639,"Hypersaline (saline)"),EXACT(metadata!K639,"Aerosol (saline)"),EXACT(metadata!K639,"Sediment (saline)")))</f>
        <v>0</v>
      </c>
      <c r="AW639" t="b">
        <f>IF(metadata!L639="",FALSE,TRUE)</f>
        <v>0</v>
      </c>
      <c r="AX639" t="b">
        <f>IF(metadata!M639="",FALSE,TRUE)</f>
        <v>0</v>
      </c>
      <c r="AY639" t="b">
        <f>IF(metadata!N639="",FALSE,TRUE)</f>
        <v>0</v>
      </c>
      <c r="AZ639" t="b">
        <f>OR(AND(IF(metadata!O639="",FALSE,TRUE),OR(EXACT(metadata!O639,"missing: not collected"),EXACT(metadata!O639,"missing: not provided"),EXACT(metadata!O639,"missing: restricted access"))),AND(IF(metadata!O639="",FALSE,TRUE),OR(EXACT(metadata!O639,"air"),EXACT(metadata!O639,"built environment"),EXACT(metadata!O639,"host-associated"),EXACT(metadata!O639,"human-associated"),EXACT(metadata!O639,"human-skin"),EXACT(metadata!O639,"human-oral"),EXACT(metadata!O639,"human-gut"),EXACT(metadata!O639,"human-vaginal"),EXACT(metadata!O639,"microbial mat/biofilm"),EXACT(metadata!O639,"misc environment"),EXACT(metadata!O639,"plant-associated"),EXACT(metadata!O639,"sediment"),EXACT(metadata!O639,"soil"),EXACT(metadata!O639,"wastewater/sludge"),EXACT(metadata!O639,"water"))))</f>
        <v>0</v>
      </c>
      <c r="BA639" t="b">
        <f>IF(metadata!P639="",FALSE,TRUE)</f>
        <v>0</v>
      </c>
      <c r="BB639" t="b">
        <f>IF(metadata!Q639="",FALSE,TRUE)</f>
        <v>0</v>
      </c>
      <c r="BC639" t="b">
        <f>OR(AND(IF(metadata!R639="",FALSE,TRUE),OR(EXACT(metadata!R639,"missing: not collected"),EXACT(metadata!R639,"missing: not provided"),EXACT(metadata!R639,"missing: restricted access"))),AND(IF(metadata!R639="",FALSE,ISNUMBER(VALUE(metadata!R639))),metadata!R639&gt;=-90,metadata!R639&lt;=90))</f>
        <v>0</v>
      </c>
      <c r="BD639" t="b">
        <f>AND(IF(metadata!S639="",FALSE,TRUE),EXACT(metadata!S639,"Decimal degrees"))</f>
        <v>0</v>
      </c>
      <c r="BE639" t="b">
        <f>OR(AND(IF(metadata!T639="",FALSE,TRUE),OR(EXACT(metadata!T639,"missing: not collected"),EXACT(metadata!T639,"missing: not provided"),EXACT(metadata!T639,"missing: restricted access"))),AND(IF(metadata!T639="",FALSE,ISNUMBER(VALUE(metadata!T639))),metadata!T639&gt;=-180,metadata!T639&lt;=180))</f>
        <v>0</v>
      </c>
      <c r="BF639" t="b">
        <f>AND(IF(metadata!U639="",FALSE,TRUE),EXACT(metadata!U639,"Decimal degrees"))</f>
        <v>0</v>
      </c>
      <c r="BG639" t="b">
        <f>IF(metadata!V639="",FALSE,TRUE)</f>
        <v>0</v>
      </c>
      <c r="BH639" t="b">
        <f>OR(AND(IF(metadata!W639="",FALSE,TRUE),OR(EXACT(metadata!W639,"missing: not collected"),EXACT(metadata!W639,"missing: not provided"),EXACT(metadata!W639,"missing: restricted access"))),AND(IF(metadata!W639="",FALSE,TRUE),OR(EXACT(metadata!W639,"TRUE"),EXACT(metadata!W639,"FALSE"))))</f>
        <v>0</v>
      </c>
      <c r="BI639" t="b">
        <f>AND(IF(metadata!X639="",FALSE,TRUE),EXACT(metadata!X639,"other"))</f>
        <v>0</v>
      </c>
      <c r="BJ639" t="b">
        <f>IF(metadata!Y639="",FALSE,TRUE)</f>
        <v>0</v>
      </c>
      <c r="BK639" t="b">
        <f>OR(AND(IF(metadata!Z639="",FALSE,TRUE),OR(EXACT(metadata!Z639,"missing: not collected"),EXACT(metadata!Z639,"missing: not provided"))),AND(IF(metadata!Z639="",FALSE,IF(ISERROR(INT(metadata!Z639)),FALSE,INT(metadata!Z639)=metadata!Z639)),metadata!Z639&gt;0))</f>
        <v>0</v>
      </c>
      <c r="BL639" t="b">
        <f>AND(IF(metadata!AA639="",FALSE,TRUE),EXACT(metadata!AA639,"Not applicable"))</f>
        <v>0</v>
      </c>
      <c r="BM639" t="b">
        <f>IF(metadata!AB639="",FALSE,TRUE)</f>
        <v>0</v>
      </c>
    </row>
    <row r="640" spans="1:65" x14ac:dyDescent="0.2">
      <c r="A640" s="5" t="str">
        <f ca="1">IF(B640=" "," ",HYPERLINK(CONCATENATE("#metadata!",ADDRESS(INDEX($AH$2:$AH$1001,MATCH(ROWS($AF$2:AF640),$AF$2:$AF$1001,0),0),1)),INDEX($AK$2:$AK$1001,MATCH(ROWS($AF$2:AF640),$AF$2:$AF$1001,0),0)))</f>
        <v xml:space="preserve"> </v>
      </c>
      <c r="B640" s="4" t="str">
        <f ca="1">IF(OR(INDEX($AG$2:$AG$1001,MATCH(ROWS($AF$2:AF640),$AF$2:$AF$1001,0),1)&gt;=100000,INDEX($AM$1005:$BM$1005,1,MATCH(COLUMNS($AM$1006:AM1006),$AM$1006:$BM$1006,0))&gt;=100000), " ",IF(INDEX($AM$2:$BM$1001,MATCH(ROWS($AF$2:AF640),$AF$2:$AF$1001,0),MATCH(COLUMNS($AM$1006:AM1006),$AM$1006:$BM$1006,0)), HYPERLINK("#",""), HYPERLINK(CONCATENATE("#metadata!", ADDRESS(INDEX($AH$2:$AH$1001,MATCH(ROWS($AF$2:AF640),$AF$2:$AF$1001,0),0), INDEX($AM$1004:$BM$1004,1,MATCH(COLUMNS($AM$1006:AM1006),$AM$1006:$BM$1006,0)))),"Fix")))</f>
        <v xml:space="preserve"> </v>
      </c>
      <c r="C640" s="4" t="str">
        <f ca="1">IF(OR(INDEX($AG$2:$AG$1001,MATCH(ROWS($AF$2:AF640),$AF$2:$AF$1001,0),1)&gt;=100000,INDEX($AM$1005:$BM$1005,1,MATCH(COLUMNS($AM$1006:AN1006),$AM$1006:$BM$1006,0))&gt;=100000), " ",IF(INDEX($AM$2:$BM$1001,MATCH(ROWS($AF$2:AF640),$AF$2:$AF$1001,0),MATCH(COLUMNS($AM$1006:AN1006),$AM$1006:$BM$1006,0)), HYPERLINK("#",""), HYPERLINK(CONCATENATE("#metadata!", ADDRESS(INDEX($AH$2:$AH$1001,MATCH(ROWS($AF$2:AF640),$AF$2:$AF$1001,0),0), INDEX($AM$1004:$BM$1004,1,MATCH(COLUMNS($AM$1006:AN1006),$AM$1006:$BM$1006,0)))),"Fix")))</f>
        <v xml:space="preserve"> </v>
      </c>
      <c r="D640" s="4" t="str">
        <f ca="1">IF(OR(INDEX($AG$2:$AG$1001,MATCH(ROWS($AF$2:AF640),$AF$2:$AF$1001,0),1)&gt;=100000,INDEX($AM$1005:$BM$1005,1,MATCH(COLUMNS($AM$1006:AO1006),$AM$1006:$BM$1006,0))&gt;=100000), " ",IF(INDEX($AM$2:$BM$1001,MATCH(ROWS($AF$2:AF640),$AF$2:$AF$1001,0),MATCH(COLUMNS($AM$1006:AO1006),$AM$1006:$BM$1006,0)), HYPERLINK("#",""), HYPERLINK(CONCATENATE("#metadata!", ADDRESS(INDEX($AH$2:$AH$1001,MATCH(ROWS($AF$2:AF640),$AF$2:$AF$1001,0),0), INDEX($AM$1004:$BM$1004,1,MATCH(COLUMNS($AM$1006:AO1006),$AM$1006:$BM$1006,0)))),"Fix")))</f>
        <v xml:space="preserve"> </v>
      </c>
      <c r="E640" s="4" t="str">
        <f ca="1">IF(OR(INDEX($AG$2:$AG$1001,MATCH(ROWS($AF$2:AF640),$AF$2:$AF$1001,0),1)&gt;=100000,INDEX($AM$1005:$BM$1005,1,MATCH(COLUMNS($AM$1006:AP1006),$AM$1006:$BM$1006,0))&gt;=100000), " ",IF(INDEX($AM$2:$BM$1001,MATCH(ROWS($AF$2:AF640),$AF$2:$AF$1001,0),MATCH(COLUMNS($AM$1006:AP1006),$AM$1006:$BM$1006,0)), HYPERLINK("#",""), HYPERLINK(CONCATENATE("#metadata!", ADDRESS(INDEX($AH$2:$AH$1001,MATCH(ROWS($AF$2:AF640),$AF$2:$AF$1001,0),0), INDEX($AM$1004:$BM$1004,1,MATCH(COLUMNS($AM$1006:AP1006),$AM$1006:$BM$1006,0)))),"Fix")))</f>
        <v xml:space="preserve"> </v>
      </c>
      <c r="F640" s="4" t="str">
        <f ca="1">IF(OR(INDEX($AG$2:$AG$1001,MATCH(ROWS($AF$2:AF640),$AF$2:$AF$1001,0),1)&gt;=100000,INDEX($AM$1005:$BM$1005,1,MATCH(COLUMNS($AM$1006:AQ1006),$AM$1006:$BM$1006,0))&gt;=100000), " ",IF(INDEX($AM$2:$BM$1001,MATCH(ROWS($AF$2:AF640),$AF$2:$AF$1001,0),MATCH(COLUMNS($AM$1006:AQ1006),$AM$1006:$BM$1006,0)), HYPERLINK("#",""), HYPERLINK(CONCATENATE("#metadata!", ADDRESS(INDEX($AH$2:$AH$1001,MATCH(ROWS($AF$2:AF640),$AF$2:$AF$1001,0),0), INDEX($AM$1004:$BM$1004,1,MATCH(COLUMNS($AM$1006:AQ1006),$AM$1006:$BM$1006,0)))),"Fix")))</f>
        <v xml:space="preserve"> </v>
      </c>
      <c r="G640" s="4" t="str">
        <f ca="1">IF(OR(INDEX($AG$2:$AG$1001,MATCH(ROWS($AF$2:AF640),$AF$2:$AF$1001,0),1)&gt;=100000,INDEX($AM$1005:$BM$1005,1,MATCH(COLUMNS($AM$1006:AR1006),$AM$1006:$BM$1006,0))&gt;=100000), " ",IF(INDEX($AM$2:$BM$1001,MATCH(ROWS($AF$2:AF640),$AF$2:$AF$1001,0),MATCH(COLUMNS($AM$1006:AR1006),$AM$1006:$BM$1006,0)), HYPERLINK("#",""), HYPERLINK(CONCATENATE("#metadata!", ADDRESS(INDEX($AH$2:$AH$1001,MATCH(ROWS($AF$2:AF640),$AF$2:$AF$1001,0),0), INDEX($AM$1004:$BM$1004,1,MATCH(COLUMNS($AM$1006:AR1006),$AM$1006:$BM$1006,0)))),"Fix")))</f>
        <v xml:space="preserve"> </v>
      </c>
      <c r="H640" s="4" t="str">
        <f ca="1">IF(OR(INDEX($AG$2:$AG$1001,MATCH(ROWS($AF$2:AF640),$AF$2:$AF$1001,0),1)&gt;=100000,INDEX($AM$1005:$BM$1005,1,MATCH(COLUMNS($AM$1006:AS1006),$AM$1006:$BM$1006,0))&gt;=100000), " ",IF(INDEX($AM$2:$BM$1001,MATCH(ROWS($AF$2:AF640),$AF$2:$AF$1001,0),MATCH(COLUMNS($AM$1006:AS1006),$AM$1006:$BM$1006,0)), HYPERLINK("#",""), HYPERLINK(CONCATENATE("#metadata!", ADDRESS(INDEX($AH$2:$AH$1001,MATCH(ROWS($AF$2:AF640),$AF$2:$AF$1001,0),0), INDEX($AM$1004:$BM$1004,1,MATCH(COLUMNS($AM$1006:AS1006),$AM$1006:$BM$1006,0)))),"Fix")))</f>
        <v xml:space="preserve"> </v>
      </c>
      <c r="I640" s="4" t="str">
        <f ca="1">IF(OR(INDEX($AG$2:$AG$1001,MATCH(ROWS($AF$2:AF640),$AF$2:$AF$1001,0),1)&gt;=100000,INDEX($AM$1005:$BM$1005,1,MATCH(COLUMNS($AM$1006:AT1006),$AM$1006:$BM$1006,0))&gt;=100000), " ",IF(INDEX($AM$2:$BM$1001,MATCH(ROWS($AF$2:AF640),$AF$2:$AF$1001,0),MATCH(COLUMNS($AM$1006:AT1006),$AM$1006:$BM$1006,0)), HYPERLINK("#",""), HYPERLINK(CONCATENATE("#metadata!", ADDRESS(INDEX($AH$2:$AH$1001,MATCH(ROWS($AF$2:AF640),$AF$2:$AF$1001,0),0), INDEX($AM$1004:$BM$1004,1,MATCH(COLUMNS($AM$1006:AT1006),$AM$1006:$BM$1006,0)))),"Fix")))</f>
        <v xml:space="preserve"> </v>
      </c>
      <c r="J640" s="4" t="str">
        <f ca="1">IF(OR(INDEX($AG$2:$AG$1001,MATCH(ROWS($AF$2:AF640),$AF$2:$AF$1001,0),1)&gt;=100000,INDEX($AM$1005:$BM$1005,1,MATCH(COLUMNS($AM$1006:AU1006),$AM$1006:$BM$1006,0))&gt;=100000), " ",IF(INDEX($AM$2:$BM$1001,MATCH(ROWS($AF$2:AF640),$AF$2:$AF$1001,0),MATCH(COLUMNS($AM$1006:AU1006),$AM$1006:$BM$1006,0)), HYPERLINK("#",""), HYPERLINK(CONCATENATE("#metadata!", ADDRESS(INDEX($AH$2:$AH$1001,MATCH(ROWS($AF$2:AF640),$AF$2:$AF$1001,0),0), INDEX($AM$1004:$BM$1004,1,MATCH(COLUMNS($AM$1006:AU1006),$AM$1006:$BM$1006,0)))),"Fix")))</f>
        <v xml:space="preserve"> </v>
      </c>
      <c r="K640" s="4" t="str">
        <f ca="1">IF(OR(INDEX($AG$2:$AG$1001,MATCH(ROWS($AF$2:AF640),$AF$2:$AF$1001,0),1)&gt;=100000,INDEX($AM$1005:$BM$1005,1,MATCH(COLUMNS($AM$1006:AV1006),$AM$1006:$BM$1006,0))&gt;=100000), " ",IF(INDEX($AM$2:$BM$1001,MATCH(ROWS($AF$2:AF640),$AF$2:$AF$1001,0),MATCH(COLUMNS($AM$1006:AV1006),$AM$1006:$BM$1006,0)), HYPERLINK("#",""), HYPERLINK(CONCATENATE("#metadata!", ADDRESS(INDEX($AH$2:$AH$1001,MATCH(ROWS($AF$2:AF640),$AF$2:$AF$1001,0),0), INDEX($AM$1004:$BM$1004,1,MATCH(COLUMNS($AM$1006:AV1006),$AM$1006:$BM$1006,0)))),"Fix")))</f>
        <v xml:space="preserve"> </v>
      </c>
      <c r="L640" s="4" t="str">
        <f ca="1">IF(OR(INDEX($AG$2:$AG$1001,MATCH(ROWS($AF$2:AF640),$AF$2:$AF$1001,0),1)&gt;=100000,INDEX($AM$1005:$BM$1005,1,MATCH(COLUMNS($AM$1006:AW1006),$AM$1006:$BM$1006,0))&gt;=100000), " ",IF(INDEX($AM$2:$BM$1001,MATCH(ROWS($AF$2:AF640),$AF$2:$AF$1001,0),MATCH(COLUMNS($AM$1006:AW1006),$AM$1006:$BM$1006,0)), HYPERLINK("#",""), HYPERLINK(CONCATENATE("#metadata!", ADDRESS(INDEX($AH$2:$AH$1001,MATCH(ROWS($AF$2:AF640),$AF$2:$AF$1001,0),0), INDEX($AM$1004:$BM$1004,1,MATCH(COLUMNS($AM$1006:AW1006),$AM$1006:$BM$1006,0)))),"Fix")))</f>
        <v xml:space="preserve"> </v>
      </c>
      <c r="M640" s="4" t="str">
        <f ca="1">IF(OR(INDEX($AG$2:$AG$1001,MATCH(ROWS($AF$2:AF640),$AF$2:$AF$1001,0),1)&gt;=100000,INDEX($AM$1005:$BM$1005,1,MATCH(COLUMNS($AM$1006:AX1006),$AM$1006:$BM$1006,0))&gt;=100000), " ",IF(INDEX($AM$2:$BM$1001,MATCH(ROWS($AF$2:AF640),$AF$2:$AF$1001,0),MATCH(COLUMNS($AM$1006:AX1006),$AM$1006:$BM$1006,0)), HYPERLINK("#",""), HYPERLINK(CONCATENATE("#metadata!", ADDRESS(INDEX($AH$2:$AH$1001,MATCH(ROWS($AF$2:AF640),$AF$2:$AF$1001,0),0), INDEX($AM$1004:$BM$1004,1,MATCH(COLUMNS($AM$1006:AX1006),$AM$1006:$BM$1006,0)))),"Fix")))</f>
        <v xml:space="preserve"> </v>
      </c>
      <c r="N640" s="4" t="str">
        <f ca="1">IF(OR(INDEX($AG$2:$AG$1001,MATCH(ROWS($AF$2:AF640),$AF$2:$AF$1001,0),1)&gt;=100000,INDEX($AM$1005:$BM$1005,1,MATCH(COLUMNS($AM$1006:AY1006),$AM$1006:$BM$1006,0))&gt;=100000), " ",IF(INDEX($AM$2:$BM$1001,MATCH(ROWS($AF$2:AF640),$AF$2:$AF$1001,0),MATCH(COLUMNS($AM$1006:AY1006),$AM$1006:$BM$1006,0)), HYPERLINK("#",""), HYPERLINK(CONCATENATE("#metadata!", ADDRESS(INDEX($AH$2:$AH$1001,MATCH(ROWS($AF$2:AF640),$AF$2:$AF$1001,0),0), INDEX($AM$1004:$BM$1004,1,MATCH(COLUMNS($AM$1006:AY1006),$AM$1006:$BM$1006,0)))),"Fix")))</f>
        <v xml:space="preserve"> </v>
      </c>
      <c r="O640" s="4" t="str">
        <f ca="1">IF(OR(INDEX($AG$2:$AG$1001,MATCH(ROWS($AF$2:AF640),$AF$2:$AF$1001,0),1)&gt;=100000,INDEX($AM$1005:$BM$1005,1,MATCH(COLUMNS($AM$1006:AZ1006),$AM$1006:$BM$1006,0))&gt;=100000), " ",IF(INDEX($AM$2:$BM$1001,MATCH(ROWS($AF$2:AF640),$AF$2:$AF$1001,0),MATCH(COLUMNS($AM$1006:AZ1006),$AM$1006:$BM$1006,0)), HYPERLINK("#",""), HYPERLINK(CONCATENATE("#metadata!", ADDRESS(INDEX($AH$2:$AH$1001,MATCH(ROWS($AF$2:AF640),$AF$2:$AF$1001,0),0), INDEX($AM$1004:$BM$1004,1,MATCH(COLUMNS($AM$1006:AZ1006),$AM$1006:$BM$1006,0)))),"Fix")))</f>
        <v xml:space="preserve"> </v>
      </c>
      <c r="P640" s="4" t="str">
        <f ca="1">IF(OR(INDEX($AG$2:$AG$1001,MATCH(ROWS($AF$2:AF640),$AF$2:$AF$1001,0),1)&gt;=100000,INDEX($AM$1005:$BM$1005,1,MATCH(COLUMNS($AM$1006:BA1006),$AM$1006:$BM$1006,0))&gt;=100000), " ",IF(INDEX($AM$2:$BM$1001,MATCH(ROWS($AF$2:AF640),$AF$2:$AF$1001,0),MATCH(COLUMNS($AM$1006:BA1006),$AM$1006:$BM$1006,0)), HYPERLINK("#",""), HYPERLINK(CONCATENATE("#metadata!", ADDRESS(INDEX($AH$2:$AH$1001,MATCH(ROWS($AF$2:AF640),$AF$2:$AF$1001,0),0), INDEX($AM$1004:$BM$1004,1,MATCH(COLUMNS($AM$1006:BA1006),$AM$1006:$BM$1006,0)))),"Fix")))</f>
        <v xml:space="preserve"> </v>
      </c>
      <c r="Q640" s="4" t="str">
        <f ca="1">IF(OR(INDEX($AG$2:$AG$1001,MATCH(ROWS($AF$2:AF640),$AF$2:$AF$1001,0),1)&gt;=100000,INDEX($AM$1005:$BM$1005,1,MATCH(COLUMNS($AM$1006:BB1006),$AM$1006:$BM$1006,0))&gt;=100000), " ",IF(INDEX($AM$2:$BM$1001,MATCH(ROWS($AF$2:AF640),$AF$2:$AF$1001,0),MATCH(COLUMNS($AM$1006:BB1006),$AM$1006:$BM$1006,0)), HYPERLINK("#",""), HYPERLINK(CONCATENATE("#metadata!", ADDRESS(INDEX($AH$2:$AH$1001,MATCH(ROWS($AF$2:AF640),$AF$2:$AF$1001,0),0), INDEX($AM$1004:$BM$1004,1,MATCH(COLUMNS($AM$1006:BB1006),$AM$1006:$BM$1006,0)))),"Fix")))</f>
        <v xml:space="preserve"> </v>
      </c>
      <c r="R640" s="4" t="str">
        <f ca="1">IF(OR(INDEX($AG$2:$AG$1001,MATCH(ROWS($AF$2:AF640),$AF$2:$AF$1001,0),1)&gt;=100000,INDEX($AM$1005:$BM$1005,1,MATCH(COLUMNS($AM$1006:BC1006),$AM$1006:$BM$1006,0))&gt;=100000), " ",IF(INDEX($AM$2:$BM$1001,MATCH(ROWS($AF$2:AF640),$AF$2:$AF$1001,0),MATCH(COLUMNS($AM$1006:BC1006),$AM$1006:$BM$1006,0)), HYPERLINK("#",""), HYPERLINK(CONCATENATE("#metadata!", ADDRESS(INDEX($AH$2:$AH$1001,MATCH(ROWS($AF$2:AF640),$AF$2:$AF$1001,0),0), INDEX($AM$1004:$BM$1004,1,MATCH(COLUMNS($AM$1006:BC1006),$AM$1006:$BM$1006,0)))),"Fix")))</f>
        <v xml:space="preserve"> </v>
      </c>
      <c r="S640" s="4" t="str">
        <f ca="1">IF(OR(INDEX($AG$2:$AG$1001,MATCH(ROWS($AF$2:AF640),$AF$2:$AF$1001,0),1)&gt;=100000,INDEX($AM$1005:$BM$1005,1,MATCH(COLUMNS($AM$1006:BD1006),$AM$1006:$BM$1006,0))&gt;=100000), " ",IF(INDEX($AM$2:$BM$1001,MATCH(ROWS($AF$2:AF640),$AF$2:$AF$1001,0),MATCH(COLUMNS($AM$1006:BD1006),$AM$1006:$BM$1006,0)), HYPERLINK("#",""), HYPERLINK(CONCATENATE("#metadata!", ADDRESS(INDEX($AH$2:$AH$1001,MATCH(ROWS($AF$2:AF640),$AF$2:$AF$1001,0),0), INDEX($AM$1004:$BM$1004,1,MATCH(COLUMNS($AM$1006:BD1006),$AM$1006:$BM$1006,0)))),"Fix")))</f>
        <v xml:space="preserve"> </v>
      </c>
      <c r="T640" s="4" t="str">
        <f ca="1">IF(OR(INDEX($AG$2:$AG$1001,MATCH(ROWS($AF$2:AF640),$AF$2:$AF$1001,0),1)&gt;=100000,INDEX($AM$1005:$BM$1005,1,MATCH(COLUMNS($AM$1006:BE1006),$AM$1006:$BM$1006,0))&gt;=100000), " ",IF(INDEX($AM$2:$BM$1001,MATCH(ROWS($AF$2:AF640),$AF$2:$AF$1001,0),MATCH(COLUMNS($AM$1006:BE1006),$AM$1006:$BM$1006,0)), HYPERLINK("#",""), HYPERLINK(CONCATENATE("#metadata!", ADDRESS(INDEX($AH$2:$AH$1001,MATCH(ROWS($AF$2:AF640),$AF$2:$AF$1001,0),0), INDEX($AM$1004:$BM$1004,1,MATCH(COLUMNS($AM$1006:BE1006),$AM$1006:$BM$1006,0)))),"Fix")))</f>
        <v xml:space="preserve"> </v>
      </c>
      <c r="U640" s="4" t="str">
        <f ca="1">IF(OR(INDEX($AG$2:$AG$1001,MATCH(ROWS($AF$2:AF640),$AF$2:$AF$1001,0),1)&gt;=100000,INDEX($AM$1005:$BM$1005,1,MATCH(COLUMNS($AM$1006:BF1006),$AM$1006:$BM$1006,0))&gt;=100000), " ",IF(INDEX($AM$2:$BM$1001,MATCH(ROWS($AF$2:AF640),$AF$2:$AF$1001,0),MATCH(COLUMNS($AM$1006:BF1006),$AM$1006:$BM$1006,0)), HYPERLINK("#",""), HYPERLINK(CONCATENATE("#metadata!", ADDRESS(INDEX($AH$2:$AH$1001,MATCH(ROWS($AF$2:AF640),$AF$2:$AF$1001,0),0), INDEX($AM$1004:$BM$1004,1,MATCH(COLUMNS($AM$1006:BF1006),$AM$1006:$BM$1006,0)))),"Fix")))</f>
        <v xml:space="preserve"> </v>
      </c>
      <c r="V640" s="4" t="str">
        <f ca="1">IF(OR(INDEX($AG$2:$AG$1001,MATCH(ROWS($AF$2:AF640),$AF$2:$AF$1001,0),1)&gt;=100000,INDEX($AM$1005:$BM$1005,1,MATCH(COLUMNS($AM$1006:BG1006),$AM$1006:$BM$1006,0))&gt;=100000), " ",IF(INDEX($AM$2:$BM$1001,MATCH(ROWS($AF$2:AF640),$AF$2:$AF$1001,0),MATCH(COLUMNS($AM$1006:BG1006),$AM$1006:$BM$1006,0)), HYPERLINK("#",""), HYPERLINK(CONCATENATE("#metadata!", ADDRESS(INDEX($AH$2:$AH$1001,MATCH(ROWS($AF$2:AF640),$AF$2:$AF$1001,0),0), INDEX($AM$1004:$BM$1004,1,MATCH(COLUMNS($AM$1006:BG1006),$AM$1006:$BM$1006,0)))),"Fix")))</f>
        <v xml:space="preserve"> </v>
      </c>
      <c r="W640" s="4" t="str">
        <f ca="1">IF(OR(INDEX($AG$2:$AG$1001,MATCH(ROWS($AF$2:AF640),$AF$2:$AF$1001,0),1)&gt;=100000,INDEX($AM$1005:$BM$1005,1,MATCH(COLUMNS($AM$1006:BH1006),$AM$1006:$BM$1006,0))&gt;=100000), " ",IF(INDEX($AM$2:$BM$1001,MATCH(ROWS($AF$2:AF640),$AF$2:$AF$1001,0),MATCH(COLUMNS($AM$1006:BH1006),$AM$1006:$BM$1006,0)), HYPERLINK("#",""), HYPERLINK(CONCATENATE("#metadata!", ADDRESS(INDEX($AH$2:$AH$1001,MATCH(ROWS($AF$2:AF640),$AF$2:$AF$1001,0),0), INDEX($AM$1004:$BM$1004,1,MATCH(COLUMNS($AM$1006:BH1006),$AM$1006:$BM$1006,0)))),"Fix")))</f>
        <v xml:space="preserve"> </v>
      </c>
      <c r="X640" s="4" t="str">
        <f ca="1">IF(OR(INDEX($AG$2:$AG$1001,MATCH(ROWS($AF$2:AF640),$AF$2:$AF$1001,0),1)&gt;=100000,INDEX($AM$1005:$BM$1005,1,MATCH(COLUMNS($AM$1006:BI1006),$AM$1006:$BM$1006,0))&gt;=100000), " ",IF(INDEX($AM$2:$BM$1001,MATCH(ROWS($AF$2:AF640),$AF$2:$AF$1001,0),MATCH(COLUMNS($AM$1006:BI1006),$AM$1006:$BM$1006,0)), HYPERLINK("#",""), HYPERLINK(CONCATENATE("#metadata!", ADDRESS(INDEX($AH$2:$AH$1001,MATCH(ROWS($AF$2:AF640),$AF$2:$AF$1001,0),0), INDEX($AM$1004:$BM$1004,1,MATCH(COLUMNS($AM$1006:BI1006),$AM$1006:$BM$1006,0)))),"Fix")))</f>
        <v xml:space="preserve"> </v>
      </c>
      <c r="Y640" s="4" t="str">
        <f ca="1">IF(OR(INDEX($AG$2:$AG$1001,MATCH(ROWS($AF$2:AF640),$AF$2:$AF$1001,0),1)&gt;=100000,INDEX($AM$1005:$BM$1005,1,MATCH(COLUMNS($AM$1006:BJ1006),$AM$1006:$BM$1006,0))&gt;=100000), " ",IF(INDEX($AM$2:$BM$1001,MATCH(ROWS($AF$2:AF640),$AF$2:$AF$1001,0),MATCH(COLUMNS($AM$1006:BJ1006),$AM$1006:$BM$1006,0)), HYPERLINK("#",""), HYPERLINK(CONCATENATE("#metadata!", ADDRESS(INDEX($AH$2:$AH$1001,MATCH(ROWS($AF$2:AF640),$AF$2:$AF$1001,0),0), INDEX($AM$1004:$BM$1004,1,MATCH(COLUMNS($AM$1006:BJ1006),$AM$1006:$BM$1006,0)))),"Fix")))</f>
        <v xml:space="preserve"> </v>
      </c>
      <c r="Z640" s="4" t="str">
        <f ca="1">IF(OR(INDEX($AG$2:$AG$1001,MATCH(ROWS($AF$2:AF640),$AF$2:$AF$1001,0),1)&gt;=100000,INDEX($AM$1005:$BM$1005,1,MATCH(COLUMNS($AM$1006:BK1006),$AM$1006:$BM$1006,0))&gt;=100000), " ",IF(INDEX($AM$2:$BM$1001,MATCH(ROWS($AF$2:AF640),$AF$2:$AF$1001,0),MATCH(COLUMNS($AM$1006:BK1006),$AM$1006:$BM$1006,0)), HYPERLINK("#",""), HYPERLINK(CONCATENATE("#metadata!", ADDRESS(INDEX($AH$2:$AH$1001,MATCH(ROWS($AF$2:AF640),$AF$2:$AF$1001,0),0), INDEX($AM$1004:$BM$1004,1,MATCH(COLUMNS($AM$1006:BK1006),$AM$1006:$BM$1006,0)))),"Fix")))</f>
        <v xml:space="preserve"> </v>
      </c>
      <c r="AA640" s="4" t="str">
        <f ca="1">IF(OR(INDEX($AG$2:$AG$1001,MATCH(ROWS($AF$2:AF640),$AF$2:$AF$1001,0),1)&gt;=100000,INDEX($AM$1005:$BM$1005,1,MATCH(COLUMNS($AM$1006:BL1006),$AM$1006:$BM$1006,0))&gt;=100000), " ",IF(INDEX($AM$2:$BM$1001,MATCH(ROWS($AF$2:AF640),$AF$2:$AF$1001,0),MATCH(COLUMNS($AM$1006:BL1006),$AM$1006:$BM$1006,0)), HYPERLINK("#",""), HYPERLINK(CONCATENATE("#metadata!", ADDRESS(INDEX($AH$2:$AH$1001,MATCH(ROWS($AF$2:AF640),$AF$2:$AF$1001,0),0), INDEX($AM$1004:$BM$1004,1,MATCH(COLUMNS($AM$1006:BL1006),$AM$1006:$BM$1006,0)))),"Fix")))</f>
        <v xml:space="preserve"> </v>
      </c>
      <c r="AB640" s="4" t="str">
        <f ca="1">IF(OR(INDEX($AG$2:$AG$1001,MATCH(ROWS($AF$2:AF640),$AF$2:$AF$1001,0),1)&gt;=100000,INDEX($AM$1005:$BM$1005,1,MATCH(COLUMNS($AM$1006:BM1006),$AM$1006:$BM$1006,0))&gt;=100000), " ",IF(INDEX($AM$2:$BM$1001,MATCH(ROWS($AF$2:AF640),$AF$2:$AF$1001,0),MATCH(COLUMNS($AM$1006:BM1006),$AM$1006:$BM$1006,0)), HYPERLINK("#",""), HYPERLINK(CONCATENATE("#metadata!", ADDRESS(INDEX($AH$2:$AH$1001,MATCH(ROWS($AF$2:AF640),$AF$2:$AF$1001,0),0), INDEX($AM$1004:$BM$1004,1,MATCH(COLUMNS($AM$1006:BM1006),$AM$1006:$BM$1006,0)))),"Fix")))</f>
        <v xml:space="preserve"> </v>
      </c>
      <c r="AF640">
        <v>639</v>
      </c>
      <c r="AG640">
        <v>100640</v>
      </c>
      <c r="AH640">
        <v>640</v>
      </c>
      <c r="AI640" t="b">
        <f t="shared" si="9"/>
        <v>1</v>
      </c>
      <c r="AJ640" t="b">
        <f>COUNTBLANK(metadata!B640:AB640)=COLUMNS(metadata!B640:AB640)</f>
        <v>1</v>
      </c>
      <c r="AK640" t="str">
        <v/>
      </c>
      <c r="AM640" t="b">
        <f ca="1">AND(IF(metadata!B640="",FALSE,TRUE),COUNTIF(metadata!B:B, metadata!B640) = 1,NOT(ISERROR(SUMPRODUCT(SEARCH(MID(metadata!B640,ROW(INDIRECT("1:"&amp;LEN(metadata!B640))), 1),"0123456789abcdefghijklmnopqrstuvwxyzABCDEFGHIJKLMNOPQRSTUVWXYZ.")))))</f>
        <v>0</v>
      </c>
      <c r="AN640" t="b">
        <f ca="1">OR(AND(IF(metadata!C640="",FALSE,TRUE),OR(EXACT(metadata!C640,"missing: not collected"),EXACT(metadata!C640,"missing: not provided"),EXACT(metadata!C640,"missing: restricted access"))),AND(IF(metadata!C640="",FALSE,TRUE),AND(AND(IFERROR(INT(LEFT(metadata!C640,4))&gt;1900,FALSE),IFERROR(INT(LEFT(metadata!C640,4))&lt;=YEAR(NOW()),FALSE)), OR(MID(metadata!C640,5,1)="", AND(AND(MID(metadata!C640,5,1)="-",IFERROR(INT(MID(metadata!C640,6,1))&gt;=0,FALSE),IFERROR(INT(MID(metadata!C640,6,1))&lt;=1,FALSE),NOT(MID(metadata!C640,7,1)=""),IFERROR(INT(MID(metadata!C640,6,2))&gt;=1,FALSE),IFERROR(INT(MID(metadata!C640,6,2))&lt;=12,FALSE)), OR(MID(metadata!C640,8,1)="", AND(AND(MID(metadata!C640,8,1)="-",IFERROR(INT(MID(metadata!C640,9,1))&gt;=0,FALSE),IFERROR(INT(MID(metadata!C640,9,1))&lt;=3,FALSE),NOT(MID(metadata!C640,10,1)=""),IFERROR(INT(MID(metadata!C640,9,2))&gt;=1,FALSE),IFERROR(INT(MID(metadata!C640,9,2))&lt;=31,FALSE)), OR(MID(metadata!C640,11,1)="", AND(AND(MID(metadata!C640,11,1)=" ",IFERROR(INT(MID(metadata!C640,12,1))&gt;=0,FALSE),IFERROR(INT(MID(metadata!C640,12,1))&lt;=2,FALSE),NOT(MID(metadata!C640,13,1)=""),IFERROR(INT(MID(metadata!C640,12,2))&gt;=0,FALSE),IFERROR(INT(MID(metadata!C640,12,2))&lt;=23,FALSE)), OR(MID(metadata!C640,14,1)="", AND(AND(MID(metadata!C640,14,1)=":",IFERROR(INT(MID(metadata!C640,15,1))&gt;=0,FALSE),IFERROR(INT(MID(metadata!C640,15,1))&lt;=5,FALSE),NOT(MID(metadata!C640,16,1)=""),IFERROR(INT(MID(metadata!C640,15,2))&gt;=0,FALSE),IFERROR(INT(MID(metadata!C640,15,2))&lt;=59,FALSE)), OR(MID(metadata!C640,17,1)="", AND(AND(MID(metadata!C640,17,1)=":",IFERROR(INT(MID(metadata!C640,18,1))&gt;=0,FALSE),IFERROR(INT(MID(metadata!C640,18,1))&lt;=5,FALSE),NOT(MID(metadata!C640,19,1)=""),IFERROR(INT(MID(metadata!C640,18,2))&gt;=0,FALSE),IFERROR(INT(MID(metadata!C640,18,2))&lt;=59,FALSE)), LEN(metadata!C640)&lt;=19)))))))))))))</f>
        <v>0</v>
      </c>
      <c r="AO640" t="b">
        <f>AND(IF(metadata!D640="",FALSE,TRUE),EXACT(metadata!D640,"Not applicable"))</f>
        <v>0</v>
      </c>
      <c r="AP640" t="b">
        <f>IF(metadata!E640="",FALSE,TRUE)</f>
        <v>0</v>
      </c>
      <c r="AQ640" t="b">
        <f>OR(AND(IF(metadata!F640="",FALSE,TRUE),OR(EXACT(metadata!F640,"missing: not collected"),EXACT(metadata!F640,"missing: not provided"))),AND(IF(metadata!F640="",FALSE,TRUE),OR(EXACT(metadata!F640,"TRUE"),EXACT(metadata!F640,"FALSE"))))</f>
        <v>0</v>
      </c>
      <c r="AR640" t="b">
        <f>OR(AND(IF(metadata!G640="",FALSE,TRUE),OR(EXACT(metadata!G640,"missing: not collected"),EXACT(metadata!G640,"missing: not provided"),EXACT(metadata!G640,"missing: restricted access"))),AND(IF(metadata!G640="",FALSE,ISNUMBER(VALUE(metadata!G640))),metadata!G640&gt;=-413))</f>
        <v>0</v>
      </c>
      <c r="AS640" t="b">
        <f>AND(IF(metadata!H640="",FALSE,TRUE),EXACT(metadata!H640,"meters"))</f>
        <v>0</v>
      </c>
      <c r="AT640" t="b">
        <f>AND(IF(metadata!I640="",FALSE,TRUE),OR(EXACT(metadata!I640,"Host-associated"),EXACT(metadata!I640,"Free-living")))</f>
        <v>0</v>
      </c>
      <c r="AU640" t="b">
        <f>AND(IF(metadata!J640="",FALSE,TRUE),OR(EXACT(metadata!J640,"Animal"),EXACT(metadata!J640,"Fungus"),EXACT(metadata!J640,"Plant"),EXACT(metadata!J640,"Saline"),EXACT(metadata!J640,"Non-saline")))</f>
        <v>0</v>
      </c>
      <c r="AV640" t="b">
        <f>AND(IF(metadata!K640="",FALSE,TRUE),OR(EXACT(metadata!K640,"Plant secretion"),EXACT(metadata!K640,"Plant rhizosphere"),EXACT(metadata!K640,"Plant surface"),EXACT(metadata!K640,"Plant corpus"),EXACT(metadata!K640,"Fungus surface"),EXACT(metadata!K640,"Fungus corpus"),EXACT(metadata!K640,"Animal surface"),EXACT(metadata!K640,"Animal proximal gut"),EXACT(metadata!K640,"Animal corpus"),EXACT(metadata!K640,"Animal distal gut"),EXACT(metadata!K640,"Animal secretion"),EXACT(metadata!K640,"Sub-surface (non-saline)"),EXACT(metadata!K640,"Surface (non-saline)"),EXACT(metadata!K640,"Water (non-saline)"),EXACT(metadata!K640,"Soil (non-saline)"),EXACT(metadata!K640,"Aerosol (non-saline)"),EXACT(metadata!K640,"Sediment (non-saline)"),EXACT(metadata!K640,"Surface (saline)"),EXACT(metadata!K640,"Water (saline)"),EXACT(metadata!K640,"Hypersaline (saline)"),EXACT(metadata!K640,"Aerosol (saline)"),EXACT(metadata!K640,"Sediment (saline)")))</f>
        <v>0</v>
      </c>
      <c r="AW640" t="b">
        <f>IF(metadata!L640="",FALSE,TRUE)</f>
        <v>0</v>
      </c>
      <c r="AX640" t="b">
        <f>IF(metadata!M640="",FALSE,TRUE)</f>
        <v>0</v>
      </c>
      <c r="AY640" t="b">
        <f>IF(metadata!N640="",FALSE,TRUE)</f>
        <v>0</v>
      </c>
      <c r="AZ640" t="b">
        <f>OR(AND(IF(metadata!O640="",FALSE,TRUE),OR(EXACT(metadata!O640,"missing: not collected"),EXACT(metadata!O640,"missing: not provided"),EXACT(metadata!O640,"missing: restricted access"))),AND(IF(metadata!O640="",FALSE,TRUE),OR(EXACT(metadata!O640,"air"),EXACT(metadata!O640,"built environment"),EXACT(metadata!O640,"host-associated"),EXACT(metadata!O640,"human-associated"),EXACT(metadata!O640,"human-skin"),EXACT(metadata!O640,"human-oral"),EXACT(metadata!O640,"human-gut"),EXACT(metadata!O640,"human-vaginal"),EXACT(metadata!O640,"microbial mat/biofilm"),EXACT(metadata!O640,"misc environment"),EXACT(metadata!O640,"plant-associated"),EXACT(metadata!O640,"sediment"),EXACT(metadata!O640,"soil"),EXACT(metadata!O640,"wastewater/sludge"),EXACT(metadata!O640,"water"))))</f>
        <v>0</v>
      </c>
      <c r="BA640" t="b">
        <f>IF(metadata!P640="",FALSE,TRUE)</f>
        <v>0</v>
      </c>
      <c r="BB640" t="b">
        <f>IF(metadata!Q640="",FALSE,TRUE)</f>
        <v>0</v>
      </c>
      <c r="BC640" t="b">
        <f>OR(AND(IF(metadata!R640="",FALSE,TRUE),OR(EXACT(metadata!R640,"missing: not collected"),EXACT(metadata!R640,"missing: not provided"),EXACT(metadata!R640,"missing: restricted access"))),AND(IF(metadata!R640="",FALSE,ISNUMBER(VALUE(metadata!R640))),metadata!R640&gt;=-90,metadata!R640&lt;=90))</f>
        <v>0</v>
      </c>
      <c r="BD640" t="b">
        <f>AND(IF(metadata!S640="",FALSE,TRUE),EXACT(metadata!S640,"Decimal degrees"))</f>
        <v>0</v>
      </c>
      <c r="BE640" t="b">
        <f>OR(AND(IF(metadata!T640="",FALSE,TRUE),OR(EXACT(metadata!T640,"missing: not collected"),EXACT(metadata!T640,"missing: not provided"),EXACT(metadata!T640,"missing: restricted access"))),AND(IF(metadata!T640="",FALSE,ISNUMBER(VALUE(metadata!T640))),metadata!T640&gt;=-180,metadata!T640&lt;=180))</f>
        <v>0</v>
      </c>
      <c r="BF640" t="b">
        <f>AND(IF(metadata!U640="",FALSE,TRUE),EXACT(metadata!U640,"Decimal degrees"))</f>
        <v>0</v>
      </c>
      <c r="BG640" t="b">
        <f>IF(metadata!V640="",FALSE,TRUE)</f>
        <v>0</v>
      </c>
      <c r="BH640" t="b">
        <f>OR(AND(IF(metadata!W640="",FALSE,TRUE),OR(EXACT(metadata!W640,"missing: not collected"),EXACT(metadata!W640,"missing: not provided"),EXACT(metadata!W640,"missing: restricted access"))),AND(IF(metadata!W640="",FALSE,TRUE),OR(EXACT(metadata!W640,"TRUE"),EXACT(metadata!W640,"FALSE"))))</f>
        <v>0</v>
      </c>
      <c r="BI640" t="b">
        <f>AND(IF(metadata!X640="",FALSE,TRUE),EXACT(metadata!X640,"other"))</f>
        <v>0</v>
      </c>
      <c r="BJ640" t="b">
        <f>IF(metadata!Y640="",FALSE,TRUE)</f>
        <v>0</v>
      </c>
      <c r="BK640" t="b">
        <f>OR(AND(IF(metadata!Z640="",FALSE,TRUE),OR(EXACT(metadata!Z640,"missing: not collected"),EXACT(metadata!Z640,"missing: not provided"))),AND(IF(metadata!Z640="",FALSE,IF(ISERROR(INT(metadata!Z640)),FALSE,INT(metadata!Z640)=metadata!Z640)),metadata!Z640&gt;0))</f>
        <v>0</v>
      </c>
      <c r="BL640" t="b">
        <f>AND(IF(metadata!AA640="",FALSE,TRUE),EXACT(metadata!AA640,"Not applicable"))</f>
        <v>0</v>
      </c>
      <c r="BM640" t="b">
        <f>IF(metadata!AB640="",FALSE,TRUE)</f>
        <v>0</v>
      </c>
    </row>
    <row r="641" spans="1:65" x14ac:dyDescent="0.2">
      <c r="A641" s="5" t="str">
        <f ca="1">IF(B641=" "," ",HYPERLINK(CONCATENATE("#metadata!",ADDRESS(INDEX($AH$2:$AH$1001,MATCH(ROWS($AF$2:AF641),$AF$2:$AF$1001,0),0),1)),INDEX($AK$2:$AK$1001,MATCH(ROWS($AF$2:AF641),$AF$2:$AF$1001,0),0)))</f>
        <v xml:space="preserve"> </v>
      </c>
      <c r="B641" s="4" t="str">
        <f ca="1">IF(OR(INDEX($AG$2:$AG$1001,MATCH(ROWS($AF$2:AF641),$AF$2:$AF$1001,0),1)&gt;=100000,INDEX($AM$1005:$BM$1005,1,MATCH(COLUMNS($AM$1006:AM1006),$AM$1006:$BM$1006,0))&gt;=100000), " ",IF(INDEX($AM$2:$BM$1001,MATCH(ROWS($AF$2:AF641),$AF$2:$AF$1001,0),MATCH(COLUMNS($AM$1006:AM1006),$AM$1006:$BM$1006,0)), HYPERLINK("#",""), HYPERLINK(CONCATENATE("#metadata!", ADDRESS(INDEX($AH$2:$AH$1001,MATCH(ROWS($AF$2:AF641),$AF$2:$AF$1001,0),0), INDEX($AM$1004:$BM$1004,1,MATCH(COLUMNS($AM$1006:AM1006),$AM$1006:$BM$1006,0)))),"Fix")))</f>
        <v xml:space="preserve"> </v>
      </c>
      <c r="C641" s="4" t="str">
        <f ca="1">IF(OR(INDEX($AG$2:$AG$1001,MATCH(ROWS($AF$2:AF641),$AF$2:$AF$1001,0),1)&gt;=100000,INDEX($AM$1005:$BM$1005,1,MATCH(COLUMNS($AM$1006:AN1006),$AM$1006:$BM$1006,0))&gt;=100000), " ",IF(INDEX($AM$2:$BM$1001,MATCH(ROWS($AF$2:AF641),$AF$2:$AF$1001,0),MATCH(COLUMNS($AM$1006:AN1006),$AM$1006:$BM$1006,0)), HYPERLINK("#",""), HYPERLINK(CONCATENATE("#metadata!", ADDRESS(INDEX($AH$2:$AH$1001,MATCH(ROWS($AF$2:AF641),$AF$2:$AF$1001,0),0), INDEX($AM$1004:$BM$1004,1,MATCH(COLUMNS($AM$1006:AN1006),$AM$1006:$BM$1006,0)))),"Fix")))</f>
        <v xml:space="preserve"> </v>
      </c>
      <c r="D641" s="4" t="str">
        <f ca="1">IF(OR(INDEX($AG$2:$AG$1001,MATCH(ROWS($AF$2:AF641),$AF$2:$AF$1001,0),1)&gt;=100000,INDEX($AM$1005:$BM$1005,1,MATCH(COLUMNS($AM$1006:AO1006),$AM$1006:$BM$1006,0))&gt;=100000), " ",IF(INDEX($AM$2:$BM$1001,MATCH(ROWS($AF$2:AF641),$AF$2:$AF$1001,0),MATCH(COLUMNS($AM$1006:AO1006),$AM$1006:$BM$1006,0)), HYPERLINK("#",""), HYPERLINK(CONCATENATE("#metadata!", ADDRESS(INDEX($AH$2:$AH$1001,MATCH(ROWS($AF$2:AF641),$AF$2:$AF$1001,0),0), INDEX($AM$1004:$BM$1004,1,MATCH(COLUMNS($AM$1006:AO1006),$AM$1006:$BM$1006,0)))),"Fix")))</f>
        <v xml:space="preserve"> </v>
      </c>
      <c r="E641" s="4" t="str">
        <f ca="1">IF(OR(INDEX($AG$2:$AG$1001,MATCH(ROWS($AF$2:AF641),$AF$2:$AF$1001,0),1)&gt;=100000,INDEX($AM$1005:$BM$1005,1,MATCH(COLUMNS($AM$1006:AP1006),$AM$1006:$BM$1006,0))&gt;=100000), " ",IF(INDEX($AM$2:$BM$1001,MATCH(ROWS($AF$2:AF641),$AF$2:$AF$1001,0),MATCH(COLUMNS($AM$1006:AP1006),$AM$1006:$BM$1006,0)), HYPERLINK("#",""), HYPERLINK(CONCATENATE("#metadata!", ADDRESS(INDEX($AH$2:$AH$1001,MATCH(ROWS($AF$2:AF641),$AF$2:$AF$1001,0),0), INDEX($AM$1004:$BM$1004,1,MATCH(COLUMNS($AM$1006:AP1006),$AM$1006:$BM$1006,0)))),"Fix")))</f>
        <v xml:space="preserve"> </v>
      </c>
      <c r="F641" s="4" t="str">
        <f ca="1">IF(OR(INDEX($AG$2:$AG$1001,MATCH(ROWS($AF$2:AF641),$AF$2:$AF$1001,0),1)&gt;=100000,INDEX($AM$1005:$BM$1005,1,MATCH(COLUMNS($AM$1006:AQ1006),$AM$1006:$BM$1006,0))&gt;=100000), " ",IF(INDEX($AM$2:$BM$1001,MATCH(ROWS($AF$2:AF641),$AF$2:$AF$1001,0),MATCH(COLUMNS($AM$1006:AQ1006),$AM$1006:$BM$1006,0)), HYPERLINK("#",""), HYPERLINK(CONCATENATE("#metadata!", ADDRESS(INDEX($AH$2:$AH$1001,MATCH(ROWS($AF$2:AF641),$AF$2:$AF$1001,0),0), INDEX($AM$1004:$BM$1004,1,MATCH(COLUMNS($AM$1006:AQ1006),$AM$1006:$BM$1006,0)))),"Fix")))</f>
        <v xml:space="preserve"> </v>
      </c>
      <c r="G641" s="4" t="str">
        <f ca="1">IF(OR(INDEX($AG$2:$AG$1001,MATCH(ROWS($AF$2:AF641),$AF$2:$AF$1001,0),1)&gt;=100000,INDEX($AM$1005:$BM$1005,1,MATCH(COLUMNS($AM$1006:AR1006),$AM$1006:$BM$1006,0))&gt;=100000), " ",IF(INDEX($AM$2:$BM$1001,MATCH(ROWS($AF$2:AF641),$AF$2:$AF$1001,0),MATCH(COLUMNS($AM$1006:AR1006),$AM$1006:$BM$1006,0)), HYPERLINK("#",""), HYPERLINK(CONCATENATE("#metadata!", ADDRESS(INDEX($AH$2:$AH$1001,MATCH(ROWS($AF$2:AF641),$AF$2:$AF$1001,0),0), INDEX($AM$1004:$BM$1004,1,MATCH(COLUMNS($AM$1006:AR1006),$AM$1006:$BM$1006,0)))),"Fix")))</f>
        <v xml:space="preserve"> </v>
      </c>
      <c r="H641" s="4" t="str">
        <f ca="1">IF(OR(INDEX($AG$2:$AG$1001,MATCH(ROWS($AF$2:AF641),$AF$2:$AF$1001,0),1)&gt;=100000,INDEX($AM$1005:$BM$1005,1,MATCH(COLUMNS($AM$1006:AS1006),$AM$1006:$BM$1006,0))&gt;=100000), " ",IF(INDEX($AM$2:$BM$1001,MATCH(ROWS($AF$2:AF641),$AF$2:$AF$1001,0),MATCH(COLUMNS($AM$1006:AS1006),$AM$1006:$BM$1006,0)), HYPERLINK("#",""), HYPERLINK(CONCATENATE("#metadata!", ADDRESS(INDEX($AH$2:$AH$1001,MATCH(ROWS($AF$2:AF641),$AF$2:$AF$1001,0),0), INDEX($AM$1004:$BM$1004,1,MATCH(COLUMNS($AM$1006:AS1006),$AM$1006:$BM$1006,0)))),"Fix")))</f>
        <v xml:space="preserve"> </v>
      </c>
      <c r="I641" s="4" t="str">
        <f ca="1">IF(OR(INDEX($AG$2:$AG$1001,MATCH(ROWS($AF$2:AF641),$AF$2:$AF$1001,0),1)&gt;=100000,INDEX($AM$1005:$BM$1005,1,MATCH(COLUMNS($AM$1006:AT1006),$AM$1006:$BM$1006,0))&gt;=100000), " ",IF(INDEX($AM$2:$BM$1001,MATCH(ROWS($AF$2:AF641),$AF$2:$AF$1001,0),MATCH(COLUMNS($AM$1006:AT1006),$AM$1006:$BM$1006,0)), HYPERLINK("#",""), HYPERLINK(CONCATENATE("#metadata!", ADDRESS(INDEX($AH$2:$AH$1001,MATCH(ROWS($AF$2:AF641),$AF$2:$AF$1001,0),0), INDEX($AM$1004:$BM$1004,1,MATCH(COLUMNS($AM$1006:AT1006),$AM$1006:$BM$1006,0)))),"Fix")))</f>
        <v xml:space="preserve"> </v>
      </c>
      <c r="J641" s="4" t="str">
        <f ca="1">IF(OR(INDEX($AG$2:$AG$1001,MATCH(ROWS($AF$2:AF641),$AF$2:$AF$1001,0),1)&gt;=100000,INDEX($AM$1005:$BM$1005,1,MATCH(COLUMNS($AM$1006:AU1006),$AM$1006:$BM$1006,0))&gt;=100000), " ",IF(INDEX($AM$2:$BM$1001,MATCH(ROWS($AF$2:AF641),$AF$2:$AF$1001,0),MATCH(COLUMNS($AM$1006:AU1006),$AM$1006:$BM$1006,0)), HYPERLINK("#",""), HYPERLINK(CONCATENATE("#metadata!", ADDRESS(INDEX($AH$2:$AH$1001,MATCH(ROWS($AF$2:AF641),$AF$2:$AF$1001,0),0), INDEX($AM$1004:$BM$1004,1,MATCH(COLUMNS($AM$1006:AU1006),$AM$1006:$BM$1006,0)))),"Fix")))</f>
        <v xml:space="preserve"> </v>
      </c>
      <c r="K641" s="4" t="str">
        <f ca="1">IF(OR(INDEX($AG$2:$AG$1001,MATCH(ROWS($AF$2:AF641),$AF$2:$AF$1001,0),1)&gt;=100000,INDEX($AM$1005:$BM$1005,1,MATCH(COLUMNS($AM$1006:AV1006),$AM$1006:$BM$1006,0))&gt;=100000), " ",IF(INDEX($AM$2:$BM$1001,MATCH(ROWS($AF$2:AF641),$AF$2:$AF$1001,0),MATCH(COLUMNS($AM$1006:AV1006),$AM$1006:$BM$1006,0)), HYPERLINK("#",""), HYPERLINK(CONCATENATE("#metadata!", ADDRESS(INDEX($AH$2:$AH$1001,MATCH(ROWS($AF$2:AF641),$AF$2:$AF$1001,0),0), INDEX($AM$1004:$BM$1004,1,MATCH(COLUMNS($AM$1006:AV1006),$AM$1006:$BM$1006,0)))),"Fix")))</f>
        <v xml:space="preserve"> </v>
      </c>
      <c r="L641" s="4" t="str">
        <f ca="1">IF(OR(INDEX($AG$2:$AG$1001,MATCH(ROWS($AF$2:AF641),$AF$2:$AF$1001,0),1)&gt;=100000,INDEX($AM$1005:$BM$1005,1,MATCH(COLUMNS($AM$1006:AW1006),$AM$1006:$BM$1006,0))&gt;=100000), " ",IF(INDEX($AM$2:$BM$1001,MATCH(ROWS($AF$2:AF641),$AF$2:$AF$1001,0),MATCH(COLUMNS($AM$1006:AW1006),$AM$1006:$BM$1006,0)), HYPERLINK("#",""), HYPERLINK(CONCATENATE("#metadata!", ADDRESS(INDEX($AH$2:$AH$1001,MATCH(ROWS($AF$2:AF641),$AF$2:$AF$1001,0),0), INDEX($AM$1004:$BM$1004,1,MATCH(COLUMNS($AM$1006:AW1006),$AM$1006:$BM$1006,0)))),"Fix")))</f>
        <v xml:space="preserve"> </v>
      </c>
      <c r="M641" s="4" t="str">
        <f ca="1">IF(OR(INDEX($AG$2:$AG$1001,MATCH(ROWS($AF$2:AF641),$AF$2:$AF$1001,0),1)&gt;=100000,INDEX($AM$1005:$BM$1005,1,MATCH(COLUMNS($AM$1006:AX1006),$AM$1006:$BM$1006,0))&gt;=100000), " ",IF(INDEX($AM$2:$BM$1001,MATCH(ROWS($AF$2:AF641),$AF$2:$AF$1001,0),MATCH(COLUMNS($AM$1006:AX1006),$AM$1006:$BM$1006,0)), HYPERLINK("#",""), HYPERLINK(CONCATENATE("#metadata!", ADDRESS(INDEX($AH$2:$AH$1001,MATCH(ROWS($AF$2:AF641),$AF$2:$AF$1001,0),0), INDEX($AM$1004:$BM$1004,1,MATCH(COLUMNS($AM$1006:AX1006),$AM$1006:$BM$1006,0)))),"Fix")))</f>
        <v xml:space="preserve"> </v>
      </c>
      <c r="N641" s="4" t="str">
        <f ca="1">IF(OR(INDEX($AG$2:$AG$1001,MATCH(ROWS($AF$2:AF641),$AF$2:$AF$1001,0),1)&gt;=100000,INDEX($AM$1005:$BM$1005,1,MATCH(COLUMNS($AM$1006:AY1006),$AM$1006:$BM$1006,0))&gt;=100000), " ",IF(INDEX($AM$2:$BM$1001,MATCH(ROWS($AF$2:AF641),$AF$2:$AF$1001,0),MATCH(COLUMNS($AM$1006:AY1006),$AM$1006:$BM$1006,0)), HYPERLINK("#",""), HYPERLINK(CONCATENATE("#metadata!", ADDRESS(INDEX($AH$2:$AH$1001,MATCH(ROWS($AF$2:AF641),$AF$2:$AF$1001,0),0), INDEX($AM$1004:$BM$1004,1,MATCH(COLUMNS($AM$1006:AY1006),$AM$1006:$BM$1006,0)))),"Fix")))</f>
        <v xml:space="preserve"> </v>
      </c>
      <c r="O641" s="4" t="str">
        <f ca="1">IF(OR(INDEX($AG$2:$AG$1001,MATCH(ROWS($AF$2:AF641),$AF$2:$AF$1001,0),1)&gt;=100000,INDEX($AM$1005:$BM$1005,1,MATCH(COLUMNS($AM$1006:AZ1006),$AM$1006:$BM$1006,0))&gt;=100000), " ",IF(INDEX($AM$2:$BM$1001,MATCH(ROWS($AF$2:AF641),$AF$2:$AF$1001,0),MATCH(COLUMNS($AM$1006:AZ1006),$AM$1006:$BM$1006,0)), HYPERLINK("#",""), HYPERLINK(CONCATENATE("#metadata!", ADDRESS(INDEX($AH$2:$AH$1001,MATCH(ROWS($AF$2:AF641),$AF$2:$AF$1001,0),0), INDEX($AM$1004:$BM$1004,1,MATCH(COLUMNS($AM$1006:AZ1006),$AM$1006:$BM$1006,0)))),"Fix")))</f>
        <v xml:space="preserve"> </v>
      </c>
      <c r="P641" s="4" t="str">
        <f ca="1">IF(OR(INDEX($AG$2:$AG$1001,MATCH(ROWS($AF$2:AF641),$AF$2:$AF$1001,0),1)&gt;=100000,INDEX($AM$1005:$BM$1005,1,MATCH(COLUMNS($AM$1006:BA1006),$AM$1006:$BM$1006,0))&gt;=100000), " ",IF(INDEX($AM$2:$BM$1001,MATCH(ROWS($AF$2:AF641),$AF$2:$AF$1001,0),MATCH(COLUMNS($AM$1006:BA1006),$AM$1006:$BM$1006,0)), HYPERLINK("#",""), HYPERLINK(CONCATENATE("#metadata!", ADDRESS(INDEX($AH$2:$AH$1001,MATCH(ROWS($AF$2:AF641),$AF$2:$AF$1001,0),0), INDEX($AM$1004:$BM$1004,1,MATCH(COLUMNS($AM$1006:BA1006),$AM$1006:$BM$1006,0)))),"Fix")))</f>
        <v xml:space="preserve"> </v>
      </c>
      <c r="Q641" s="4" t="str">
        <f ca="1">IF(OR(INDEX($AG$2:$AG$1001,MATCH(ROWS($AF$2:AF641),$AF$2:$AF$1001,0),1)&gt;=100000,INDEX($AM$1005:$BM$1005,1,MATCH(COLUMNS($AM$1006:BB1006),$AM$1006:$BM$1006,0))&gt;=100000), " ",IF(INDEX($AM$2:$BM$1001,MATCH(ROWS($AF$2:AF641),$AF$2:$AF$1001,0),MATCH(COLUMNS($AM$1006:BB1006),$AM$1006:$BM$1006,0)), HYPERLINK("#",""), HYPERLINK(CONCATENATE("#metadata!", ADDRESS(INDEX($AH$2:$AH$1001,MATCH(ROWS($AF$2:AF641),$AF$2:$AF$1001,0),0), INDEX($AM$1004:$BM$1004,1,MATCH(COLUMNS($AM$1006:BB1006),$AM$1006:$BM$1006,0)))),"Fix")))</f>
        <v xml:space="preserve"> </v>
      </c>
      <c r="R641" s="4" t="str">
        <f ca="1">IF(OR(INDEX($AG$2:$AG$1001,MATCH(ROWS($AF$2:AF641),$AF$2:$AF$1001,0),1)&gt;=100000,INDEX($AM$1005:$BM$1005,1,MATCH(COLUMNS($AM$1006:BC1006),$AM$1006:$BM$1006,0))&gt;=100000), " ",IF(INDEX($AM$2:$BM$1001,MATCH(ROWS($AF$2:AF641),$AF$2:$AF$1001,0),MATCH(COLUMNS($AM$1006:BC1006),$AM$1006:$BM$1006,0)), HYPERLINK("#",""), HYPERLINK(CONCATENATE("#metadata!", ADDRESS(INDEX($AH$2:$AH$1001,MATCH(ROWS($AF$2:AF641),$AF$2:$AF$1001,0),0), INDEX($AM$1004:$BM$1004,1,MATCH(COLUMNS($AM$1006:BC1006),$AM$1006:$BM$1006,0)))),"Fix")))</f>
        <v xml:space="preserve"> </v>
      </c>
      <c r="S641" s="4" t="str">
        <f ca="1">IF(OR(INDEX($AG$2:$AG$1001,MATCH(ROWS($AF$2:AF641),$AF$2:$AF$1001,0),1)&gt;=100000,INDEX($AM$1005:$BM$1005,1,MATCH(COLUMNS($AM$1006:BD1006),$AM$1006:$BM$1006,0))&gt;=100000), " ",IF(INDEX($AM$2:$BM$1001,MATCH(ROWS($AF$2:AF641),$AF$2:$AF$1001,0),MATCH(COLUMNS($AM$1006:BD1006),$AM$1006:$BM$1006,0)), HYPERLINK("#",""), HYPERLINK(CONCATENATE("#metadata!", ADDRESS(INDEX($AH$2:$AH$1001,MATCH(ROWS($AF$2:AF641),$AF$2:$AF$1001,0),0), INDEX($AM$1004:$BM$1004,1,MATCH(COLUMNS($AM$1006:BD1006),$AM$1006:$BM$1006,0)))),"Fix")))</f>
        <v xml:space="preserve"> </v>
      </c>
      <c r="T641" s="4" t="str">
        <f ca="1">IF(OR(INDEX($AG$2:$AG$1001,MATCH(ROWS($AF$2:AF641),$AF$2:$AF$1001,0),1)&gt;=100000,INDEX($AM$1005:$BM$1005,1,MATCH(COLUMNS($AM$1006:BE1006),$AM$1006:$BM$1006,0))&gt;=100000), " ",IF(INDEX($AM$2:$BM$1001,MATCH(ROWS($AF$2:AF641),$AF$2:$AF$1001,0),MATCH(COLUMNS($AM$1006:BE1006),$AM$1006:$BM$1006,0)), HYPERLINK("#",""), HYPERLINK(CONCATENATE("#metadata!", ADDRESS(INDEX($AH$2:$AH$1001,MATCH(ROWS($AF$2:AF641),$AF$2:$AF$1001,0),0), INDEX($AM$1004:$BM$1004,1,MATCH(COLUMNS($AM$1006:BE1006),$AM$1006:$BM$1006,0)))),"Fix")))</f>
        <v xml:space="preserve"> </v>
      </c>
      <c r="U641" s="4" t="str">
        <f ca="1">IF(OR(INDEX($AG$2:$AG$1001,MATCH(ROWS($AF$2:AF641),$AF$2:$AF$1001,0),1)&gt;=100000,INDEX($AM$1005:$BM$1005,1,MATCH(COLUMNS($AM$1006:BF1006),$AM$1006:$BM$1006,0))&gt;=100000), " ",IF(INDEX($AM$2:$BM$1001,MATCH(ROWS($AF$2:AF641),$AF$2:$AF$1001,0),MATCH(COLUMNS($AM$1006:BF1006),$AM$1006:$BM$1006,0)), HYPERLINK("#",""), HYPERLINK(CONCATENATE("#metadata!", ADDRESS(INDEX($AH$2:$AH$1001,MATCH(ROWS($AF$2:AF641),$AF$2:$AF$1001,0),0), INDEX($AM$1004:$BM$1004,1,MATCH(COLUMNS($AM$1006:BF1006),$AM$1006:$BM$1006,0)))),"Fix")))</f>
        <v xml:space="preserve"> </v>
      </c>
      <c r="V641" s="4" t="str">
        <f ca="1">IF(OR(INDEX($AG$2:$AG$1001,MATCH(ROWS($AF$2:AF641),$AF$2:$AF$1001,0),1)&gt;=100000,INDEX($AM$1005:$BM$1005,1,MATCH(COLUMNS($AM$1006:BG1006),$AM$1006:$BM$1006,0))&gt;=100000), " ",IF(INDEX($AM$2:$BM$1001,MATCH(ROWS($AF$2:AF641),$AF$2:$AF$1001,0),MATCH(COLUMNS($AM$1006:BG1006),$AM$1006:$BM$1006,0)), HYPERLINK("#",""), HYPERLINK(CONCATENATE("#metadata!", ADDRESS(INDEX($AH$2:$AH$1001,MATCH(ROWS($AF$2:AF641),$AF$2:$AF$1001,0),0), INDEX($AM$1004:$BM$1004,1,MATCH(COLUMNS($AM$1006:BG1006),$AM$1006:$BM$1006,0)))),"Fix")))</f>
        <v xml:space="preserve"> </v>
      </c>
      <c r="W641" s="4" t="str">
        <f ca="1">IF(OR(INDEX($AG$2:$AG$1001,MATCH(ROWS($AF$2:AF641),$AF$2:$AF$1001,0),1)&gt;=100000,INDEX($AM$1005:$BM$1005,1,MATCH(COLUMNS($AM$1006:BH1006),$AM$1006:$BM$1006,0))&gt;=100000), " ",IF(INDEX($AM$2:$BM$1001,MATCH(ROWS($AF$2:AF641),$AF$2:$AF$1001,0),MATCH(COLUMNS($AM$1006:BH1006),$AM$1006:$BM$1006,0)), HYPERLINK("#",""), HYPERLINK(CONCATENATE("#metadata!", ADDRESS(INDEX($AH$2:$AH$1001,MATCH(ROWS($AF$2:AF641),$AF$2:$AF$1001,0),0), INDEX($AM$1004:$BM$1004,1,MATCH(COLUMNS($AM$1006:BH1006),$AM$1006:$BM$1006,0)))),"Fix")))</f>
        <v xml:space="preserve"> </v>
      </c>
      <c r="X641" s="4" t="str">
        <f ca="1">IF(OR(INDEX($AG$2:$AG$1001,MATCH(ROWS($AF$2:AF641),$AF$2:$AF$1001,0),1)&gt;=100000,INDEX($AM$1005:$BM$1005,1,MATCH(COLUMNS($AM$1006:BI1006),$AM$1006:$BM$1006,0))&gt;=100000), " ",IF(INDEX($AM$2:$BM$1001,MATCH(ROWS($AF$2:AF641),$AF$2:$AF$1001,0),MATCH(COLUMNS($AM$1006:BI1006),$AM$1006:$BM$1006,0)), HYPERLINK("#",""), HYPERLINK(CONCATENATE("#metadata!", ADDRESS(INDEX($AH$2:$AH$1001,MATCH(ROWS($AF$2:AF641),$AF$2:$AF$1001,0),0), INDEX($AM$1004:$BM$1004,1,MATCH(COLUMNS($AM$1006:BI1006),$AM$1006:$BM$1006,0)))),"Fix")))</f>
        <v xml:space="preserve"> </v>
      </c>
      <c r="Y641" s="4" t="str">
        <f ca="1">IF(OR(INDEX($AG$2:$AG$1001,MATCH(ROWS($AF$2:AF641),$AF$2:$AF$1001,0),1)&gt;=100000,INDEX($AM$1005:$BM$1005,1,MATCH(COLUMNS($AM$1006:BJ1006),$AM$1006:$BM$1006,0))&gt;=100000), " ",IF(INDEX($AM$2:$BM$1001,MATCH(ROWS($AF$2:AF641),$AF$2:$AF$1001,0),MATCH(COLUMNS($AM$1006:BJ1006),$AM$1006:$BM$1006,0)), HYPERLINK("#",""), HYPERLINK(CONCATENATE("#metadata!", ADDRESS(INDEX($AH$2:$AH$1001,MATCH(ROWS($AF$2:AF641),$AF$2:$AF$1001,0),0), INDEX($AM$1004:$BM$1004,1,MATCH(COLUMNS($AM$1006:BJ1006),$AM$1006:$BM$1006,0)))),"Fix")))</f>
        <v xml:space="preserve"> </v>
      </c>
      <c r="Z641" s="4" t="str">
        <f ca="1">IF(OR(INDEX($AG$2:$AG$1001,MATCH(ROWS($AF$2:AF641),$AF$2:$AF$1001,0),1)&gt;=100000,INDEX($AM$1005:$BM$1005,1,MATCH(COLUMNS($AM$1006:BK1006),$AM$1006:$BM$1006,0))&gt;=100000), " ",IF(INDEX($AM$2:$BM$1001,MATCH(ROWS($AF$2:AF641),$AF$2:$AF$1001,0),MATCH(COLUMNS($AM$1006:BK1006),$AM$1006:$BM$1006,0)), HYPERLINK("#",""), HYPERLINK(CONCATENATE("#metadata!", ADDRESS(INDEX($AH$2:$AH$1001,MATCH(ROWS($AF$2:AF641),$AF$2:$AF$1001,0),0), INDEX($AM$1004:$BM$1004,1,MATCH(COLUMNS($AM$1006:BK1006),$AM$1006:$BM$1006,0)))),"Fix")))</f>
        <v xml:space="preserve"> </v>
      </c>
      <c r="AA641" s="4" t="str">
        <f ca="1">IF(OR(INDEX($AG$2:$AG$1001,MATCH(ROWS($AF$2:AF641),$AF$2:$AF$1001,0),1)&gt;=100000,INDEX($AM$1005:$BM$1005,1,MATCH(COLUMNS($AM$1006:BL1006),$AM$1006:$BM$1006,0))&gt;=100000), " ",IF(INDEX($AM$2:$BM$1001,MATCH(ROWS($AF$2:AF641),$AF$2:$AF$1001,0),MATCH(COLUMNS($AM$1006:BL1006),$AM$1006:$BM$1006,0)), HYPERLINK("#",""), HYPERLINK(CONCATENATE("#metadata!", ADDRESS(INDEX($AH$2:$AH$1001,MATCH(ROWS($AF$2:AF641),$AF$2:$AF$1001,0),0), INDEX($AM$1004:$BM$1004,1,MATCH(COLUMNS($AM$1006:BL1006),$AM$1006:$BM$1006,0)))),"Fix")))</f>
        <v xml:space="preserve"> </v>
      </c>
      <c r="AB641" s="4" t="str">
        <f ca="1">IF(OR(INDEX($AG$2:$AG$1001,MATCH(ROWS($AF$2:AF641),$AF$2:$AF$1001,0),1)&gt;=100000,INDEX($AM$1005:$BM$1005,1,MATCH(COLUMNS($AM$1006:BM1006),$AM$1006:$BM$1006,0))&gt;=100000), " ",IF(INDEX($AM$2:$BM$1001,MATCH(ROWS($AF$2:AF641),$AF$2:$AF$1001,0),MATCH(COLUMNS($AM$1006:BM1006),$AM$1006:$BM$1006,0)), HYPERLINK("#",""), HYPERLINK(CONCATENATE("#metadata!", ADDRESS(INDEX($AH$2:$AH$1001,MATCH(ROWS($AF$2:AF641),$AF$2:$AF$1001,0),0), INDEX($AM$1004:$BM$1004,1,MATCH(COLUMNS($AM$1006:BM1006),$AM$1006:$BM$1006,0)))),"Fix")))</f>
        <v xml:space="preserve"> </v>
      </c>
      <c r="AF641">
        <v>640</v>
      </c>
      <c r="AG641">
        <v>100641</v>
      </c>
      <c r="AH641">
        <v>641</v>
      </c>
      <c r="AI641" t="b">
        <f t="shared" si="9"/>
        <v>1</v>
      </c>
      <c r="AJ641" t="b">
        <f>COUNTBLANK(metadata!B641:AB641)=COLUMNS(metadata!B641:AB641)</f>
        <v>1</v>
      </c>
      <c r="AK641" t="str">
        <v/>
      </c>
      <c r="AM641" t="b">
        <f ca="1">AND(IF(metadata!B641="",FALSE,TRUE),COUNTIF(metadata!B:B, metadata!B641) = 1,NOT(ISERROR(SUMPRODUCT(SEARCH(MID(metadata!B641,ROW(INDIRECT("1:"&amp;LEN(metadata!B641))), 1),"0123456789abcdefghijklmnopqrstuvwxyzABCDEFGHIJKLMNOPQRSTUVWXYZ.")))))</f>
        <v>0</v>
      </c>
      <c r="AN641" t="b">
        <f ca="1">OR(AND(IF(metadata!C641="",FALSE,TRUE),OR(EXACT(metadata!C641,"missing: not collected"),EXACT(metadata!C641,"missing: not provided"),EXACT(metadata!C641,"missing: restricted access"))),AND(IF(metadata!C641="",FALSE,TRUE),AND(AND(IFERROR(INT(LEFT(metadata!C641,4))&gt;1900,FALSE),IFERROR(INT(LEFT(metadata!C641,4))&lt;=YEAR(NOW()),FALSE)), OR(MID(metadata!C641,5,1)="", AND(AND(MID(metadata!C641,5,1)="-",IFERROR(INT(MID(metadata!C641,6,1))&gt;=0,FALSE),IFERROR(INT(MID(metadata!C641,6,1))&lt;=1,FALSE),NOT(MID(metadata!C641,7,1)=""),IFERROR(INT(MID(metadata!C641,6,2))&gt;=1,FALSE),IFERROR(INT(MID(metadata!C641,6,2))&lt;=12,FALSE)), OR(MID(metadata!C641,8,1)="", AND(AND(MID(metadata!C641,8,1)="-",IFERROR(INT(MID(metadata!C641,9,1))&gt;=0,FALSE),IFERROR(INT(MID(metadata!C641,9,1))&lt;=3,FALSE),NOT(MID(metadata!C641,10,1)=""),IFERROR(INT(MID(metadata!C641,9,2))&gt;=1,FALSE),IFERROR(INT(MID(metadata!C641,9,2))&lt;=31,FALSE)), OR(MID(metadata!C641,11,1)="", AND(AND(MID(metadata!C641,11,1)=" ",IFERROR(INT(MID(metadata!C641,12,1))&gt;=0,FALSE),IFERROR(INT(MID(metadata!C641,12,1))&lt;=2,FALSE),NOT(MID(metadata!C641,13,1)=""),IFERROR(INT(MID(metadata!C641,12,2))&gt;=0,FALSE),IFERROR(INT(MID(metadata!C641,12,2))&lt;=23,FALSE)), OR(MID(metadata!C641,14,1)="", AND(AND(MID(metadata!C641,14,1)=":",IFERROR(INT(MID(metadata!C641,15,1))&gt;=0,FALSE),IFERROR(INT(MID(metadata!C641,15,1))&lt;=5,FALSE),NOT(MID(metadata!C641,16,1)=""),IFERROR(INT(MID(metadata!C641,15,2))&gt;=0,FALSE),IFERROR(INT(MID(metadata!C641,15,2))&lt;=59,FALSE)), OR(MID(metadata!C641,17,1)="", AND(AND(MID(metadata!C641,17,1)=":",IFERROR(INT(MID(metadata!C641,18,1))&gt;=0,FALSE),IFERROR(INT(MID(metadata!C641,18,1))&lt;=5,FALSE),NOT(MID(metadata!C641,19,1)=""),IFERROR(INT(MID(metadata!C641,18,2))&gt;=0,FALSE),IFERROR(INT(MID(metadata!C641,18,2))&lt;=59,FALSE)), LEN(metadata!C641)&lt;=19)))))))))))))</f>
        <v>0</v>
      </c>
      <c r="AO641" t="b">
        <f>AND(IF(metadata!D641="",FALSE,TRUE),EXACT(metadata!D641,"Not applicable"))</f>
        <v>0</v>
      </c>
      <c r="AP641" t="b">
        <f>IF(metadata!E641="",FALSE,TRUE)</f>
        <v>0</v>
      </c>
      <c r="AQ641" t="b">
        <f>OR(AND(IF(metadata!F641="",FALSE,TRUE),OR(EXACT(metadata!F641,"missing: not collected"),EXACT(metadata!F641,"missing: not provided"))),AND(IF(metadata!F641="",FALSE,TRUE),OR(EXACT(metadata!F641,"TRUE"),EXACT(metadata!F641,"FALSE"))))</f>
        <v>0</v>
      </c>
      <c r="AR641" t="b">
        <f>OR(AND(IF(metadata!G641="",FALSE,TRUE),OR(EXACT(metadata!G641,"missing: not collected"),EXACT(metadata!G641,"missing: not provided"),EXACT(metadata!G641,"missing: restricted access"))),AND(IF(metadata!G641="",FALSE,ISNUMBER(VALUE(metadata!G641))),metadata!G641&gt;=-413))</f>
        <v>0</v>
      </c>
      <c r="AS641" t="b">
        <f>AND(IF(metadata!H641="",FALSE,TRUE),EXACT(metadata!H641,"meters"))</f>
        <v>0</v>
      </c>
      <c r="AT641" t="b">
        <f>AND(IF(metadata!I641="",FALSE,TRUE),OR(EXACT(metadata!I641,"Host-associated"),EXACT(metadata!I641,"Free-living")))</f>
        <v>0</v>
      </c>
      <c r="AU641" t="b">
        <f>AND(IF(metadata!J641="",FALSE,TRUE),OR(EXACT(metadata!J641,"Animal"),EXACT(metadata!J641,"Fungus"),EXACT(metadata!J641,"Plant"),EXACT(metadata!J641,"Saline"),EXACT(metadata!J641,"Non-saline")))</f>
        <v>0</v>
      </c>
      <c r="AV641" t="b">
        <f>AND(IF(metadata!K641="",FALSE,TRUE),OR(EXACT(metadata!K641,"Plant secretion"),EXACT(metadata!K641,"Plant rhizosphere"),EXACT(metadata!K641,"Plant surface"),EXACT(metadata!K641,"Plant corpus"),EXACT(metadata!K641,"Fungus surface"),EXACT(metadata!K641,"Fungus corpus"),EXACT(metadata!K641,"Animal surface"),EXACT(metadata!K641,"Animal proximal gut"),EXACT(metadata!K641,"Animal corpus"),EXACT(metadata!K641,"Animal distal gut"),EXACT(metadata!K641,"Animal secretion"),EXACT(metadata!K641,"Sub-surface (non-saline)"),EXACT(metadata!K641,"Surface (non-saline)"),EXACT(metadata!K641,"Water (non-saline)"),EXACT(metadata!K641,"Soil (non-saline)"),EXACT(metadata!K641,"Aerosol (non-saline)"),EXACT(metadata!K641,"Sediment (non-saline)"),EXACT(metadata!K641,"Surface (saline)"),EXACT(metadata!K641,"Water (saline)"),EXACT(metadata!K641,"Hypersaline (saline)"),EXACT(metadata!K641,"Aerosol (saline)"),EXACT(metadata!K641,"Sediment (saline)")))</f>
        <v>0</v>
      </c>
      <c r="AW641" t="b">
        <f>IF(metadata!L641="",FALSE,TRUE)</f>
        <v>0</v>
      </c>
      <c r="AX641" t="b">
        <f>IF(metadata!M641="",FALSE,TRUE)</f>
        <v>0</v>
      </c>
      <c r="AY641" t="b">
        <f>IF(metadata!N641="",FALSE,TRUE)</f>
        <v>0</v>
      </c>
      <c r="AZ641" t="b">
        <f>OR(AND(IF(metadata!O641="",FALSE,TRUE),OR(EXACT(metadata!O641,"missing: not collected"),EXACT(metadata!O641,"missing: not provided"),EXACT(metadata!O641,"missing: restricted access"))),AND(IF(metadata!O641="",FALSE,TRUE),OR(EXACT(metadata!O641,"air"),EXACT(metadata!O641,"built environment"),EXACT(metadata!O641,"host-associated"),EXACT(metadata!O641,"human-associated"),EXACT(metadata!O641,"human-skin"),EXACT(metadata!O641,"human-oral"),EXACT(metadata!O641,"human-gut"),EXACT(metadata!O641,"human-vaginal"),EXACT(metadata!O641,"microbial mat/biofilm"),EXACT(metadata!O641,"misc environment"),EXACT(metadata!O641,"plant-associated"),EXACT(metadata!O641,"sediment"),EXACT(metadata!O641,"soil"),EXACT(metadata!O641,"wastewater/sludge"),EXACT(metadata!O641,"water"))))</f>
        <v>0</v>
      </c>
      <c r="BA641" t="b">
        <f>IF(metadata!P641="",FALSE,TRUE)</f>
        <v>0</v>
      </c>
      <c r="BB641" t="b">
        <f>IF(metadata!Q641="",FALSE,TRUE)</f>
        <v>0</v>
      </c>
      <c r="BC641" t="b">
        <f>OR(AND(IF(metadata!R641="",FALSE,TRUE),OR(EXACT(metadata!R641,"missing: not collected"),EXACT(metadata!R641,"missing: not provided"),EXACT(metadata!R641,"missing: restricted access"))),AND(IF(metadata!R641="",FALSE,ISNUMBER(VALUE(metadata!R641))),metadata!R641&gt;=-90,metadata!R641&lt;=90))</f>
        <v>0</v>
      </c>
      <c r="BD641" t="b">
        <f>AND(IF(metadata!S641="",FALSE,TRUE),EXACT(metadata!S641,"Decimal degrees"))</f>
        <v>0</v>
      </c>
      <c r="BE641" t="b">
        <f>OR(AND(IF(metadata!T641="",FALSE,TRUE),OR(EXACT(metadata!T641,"missing: not collected"),EXACT(metadata!T641,"missing: not provided"),EXACT(metadata!T641,"missing: restricted access"))),AND(IF(metadata!T641="",FALSE,ISNUMBER(VALUE(metadata!T641))),metadata!T641&gt;=-180,metadata!T641&lt;=180))</f>
        <v>0</v>
      </c>
      <c r="BF641" t="b">
        <f>AND(IF(metadata!U641="",FALSE,TRUE),EXACT(metadata!U641,"Decimal degrees"))</f>
        <v>0</v>
      </c>
      <c r="BG641" t="b">
        <f>IF(metadata!V641="",FALSE,TRUE)</f>
        <v>0</v>
      </c>
      <c r="BH641" t="b">
        <f>OR(AND(IF(metadata!W641="",FALSE,TRUE),OR(EXACT(metadata!W641,"missing: not collected"),EXACT(metadata!W641,"missing: not provided"),EXACT(metadata!W641,"missing: restricted access"))),AND(IF(metadata!W641="",FALSE,TRUE),OR(EXACT(metadata!W641,"TRUE"),EXACT(metadata!W641,"FALSE"))))</f>
        <v>0</v>
      </c>
      <c r="BI641" t="b">
        <f>AND(IF(metadata!X641="",FALSE,TRUE),EXACT(metadata!X641,"other"))</f>
        <v>0</v>
      </c>
      <c r="BJ641" t="b">
        <f>IF(metadata!Y641="",FALSE,TRUE)</f>
        <v>0</v>
      </c>
      <c r="BK641" t="b">
        <f>OR(AND(IF(metadata!Z641="",FALSE,TRUE),OR(EXACT(metadata!Z641,"missing: not collected"),EXACT(metadata!Z641,"missing: not provided"))),AND(IF(metadata!Z641="",FALSE,IF(ISERROR(INT(metadata!Z641)),FALSE,INT(metadata!Z641)=metadata!Z641)),metadata!Z641&gt;0))</f>
        <v>0</v>
      </c>
      <c r="BL641" t="b">
        <f>AND(IF(metadata!AA641="",FALSE,TRUE),EXACT(metadata!AA641,"Not applicable"))</f>
        <v>0</v>
      </c>
      <c r="BM641" t="b">
        <f>IF(metadata!AB641="",FALSE,TRUE)</f>
        <v>0</v>
      </c>
    </row>
    <row r="642" spans="1:65" x14ac:dyDescent="0.2">
      <c r="A642" s="5" t="str">
        <f ca="1">IF(B642=" "," ",HYPERLINK(CONCATENATE("#metadata!",ADDRESS(INDEX($AH$2:$AH$1001,MATCH(ROWS($AF$2:AF642),$AF$2:$AF$1001,0),0),1)),INDEX($AK$2:$AK$1001,MATCH(ROWS($AF$2:AF642),$AF$2:$AF$1001,0),0)))</f>
        <v xml:space="preserve"> </v>
      </c>
      <c r="B642" s="4" t="str">
        <f ca="1">IF(OR(INDEX($AG$2:$AG$1001,MATCH(ROWS($AF$2:AF642),$AF$2:$AF$1001,0),1)&gt;=100000,INDEX($AM$1005:$BM$1005,1,MATCH(COLUMNS($AM$1006:AM1006),$AM$1006:$BM$1006,0))&gt;=100000), " ",IF(INDEX($AM$2:$BM$1001,MATCH(ROWS($AF$2:AF642),$AF$2:$AF$1001,0),MATCH(COLUMNS($AM$1006:AM1006),$AM$1006:$BM$1006,0)), HYPERLINK("#",""), HYPERLINK(CONCATENATE("#metadata!", ADDRESS(INDEX($AH$2:$AH$1001,MATCH(ROWS($AF$2:AF642),$AF$2:$AF$1001,0),0), INDEX($AM$1004:$BM$1004,1,MATCH(COLUMNS($AM$1006:AM1006),$AM$1006:$BM$1006,0)))),"Fix")))</f>
        <v xml:space="preserve"> </v>
      </c>
      <c r="C642" s="4" t="str">
        <f ca="1">IF(OR(INDEX($AG$2:$AG$1001,MATCH(ROWS($AF$2:AF642),$AF$2:$AF$1001,0),1)&gt;=100000,INDEX($AM$1005:$BM$1005,1,MATCH(COLUMNS($AM$1006:AN1006),$AM$1006:$BM$1006,0))&gt;=100000), " ",IF(INDEX($AM$2:$BM$1001,MATCH(ROWS($AF$2:AF642),$AF$2:$AF$1001,0),MATCH(COLUMNS($AM$1006:AN1006),$AM$1006:$BM$1006,0)), HYPERLINK("#",""), HYPERLINK(CONCATENATE("#metadata!", ADDRESS(INDEX($AH$2:$AH$1001,MATCH(ROWS($AF$2:AF642),$AF$2:$AF$1001,0),0), INDEX($AM$1004:$BM$1004,1,MATCH(COLUMNS($AM$1006:AN1006),$AM$1006:$BM$1006,0)))),"Fix")))</f>
        <v xml:space="preserve"> </v>
      </c>
      <c r="D642" s="4" t="str">
        <f ca="1">IF(OR(INDEX($AG$2:$AG$1001,MATCH(ROWS($AF$2:AF642),$AF$2:$AF$1001,0),1)&gt;=100000,INDEX($AM$1005:$BM$1005,1,MATCH(COLUMNS($AM$1006:AO1006),$AM$1006:$BM$1006,0))&gt;=100000), " ",IF(INDEX($AM$2:$BM$1001,MATCH(ROWS($AF$2:AF642),$AF$2:$AF$1001,0),MATCH(COLUMNS($AM$1006:AO1006),$AM$1006:$BM$1006,0)), HYPERLINK("#",""), HYPERLINK(CONCATENATE("#metadata!", ADDRESS(INDEX($AH$2:$AH$1001,MATCH(ROWS($AF$2:AF642),$AF$2:$AF$1001,0),0), INDEX($AM$1004:$BM$1004,1,MATCH(COLUMNS($AM$1006:AO1006),$AM$1006:$BM$1006,0)))),"Fix")))</f>
        <v xml:space="preserve"> </v>
      </c>
      <c r="E642" s="4" t="str">
        <f ca="1">IF(OR(INDEX($AG$2:$AG$1001,MATCH(ROWS($AF$2:AF642),$AF$2:$AF$1001,0),1)&gt;=100000,INDEX($AM$1005:$BM$1005,1,MATCH(COLUMNS($AM$1006:AP1006),$AM$1006:$BM$1006,0))&gt;=100000), " ",IF(INDEX($AM$2:$BM$1001,MATCH(ROWS($AF$2:AF642),$AF$2:$AF$1001,0),MATCH(COLUMNS($AM$1006:AP1006),$AM$1006:$BM$1006,0)), HYPERLINK("#",""), HYPERLINK(CONCATENATE("#metadata!", ADDRESS(INDEX($AH$2:$AH$1001,MATCH(ROWS($AF$2:AF642),$AF$2:$AF$1001,0),0), INDEX($AM$1004:$BM$1004,1,MATCH(COLUMNS($AM$1006:AP1006),$AM$1006:$BM$1006,0)))),"Fix")))</f>
        <v xml:space="preserve"> </v>
      </c>
      <c r="F642" s="4" t="str">
        <f ca="1">IF(OR(INDEX($AG$2:$AG$1001,MATCH(ROWS($AF$2:AF642),$AF$2:$AF$1001,0),1)&gt;=100000,INDEX($AM$1005:$BM$1005,1,MATCH(COLUMNS($AM$1006:AQ1006),$AM$1006:$BM$1006,0))&gt;=100000), " ",IF(INDEX($AM$2:$BM$1001,MATCH(ROWS($AF$2:AF642),$AF$2:$AF$1001,0),MATCH(COLUMNS($AM$1006:AQ1006),$AM$1006:$BM$1006,0)), HYPERLINK("#",""), HYPERLINK(CONCATENATE("#metadata!", ADDRESS(INDEX($AH$2:$AH$1001,MATCH(ROWS($AF$2:AF642),$AF$2:$AF$1001,0),0), INDEX($AM$1004:$BM$1004,1,MATCH(COLUMNS($AM$1006:AQ1006),$AM$1006:$BM$1006,0)))),"Fix")))</f>
        <v xml:space="preserve"> </v>
      </c>
      <c r="G642" s="4" t="str">
        <f ca="1">IF(OR(INDEX($AG$2:$AG$1001,MATCH(ROWS($AF$2:AF642),$AF$2:$AF$1001,0),1)&gt;=100000,INDEX($AM$1005:$BM$1005,1,MATCH(COLUMNS($AM$1006:AR1006),$AM$1006:$BM$1006,0))&gt;=100000), " ",IF(INDEX($AM$2:$BM$1001,MATCH(ROWS($AF$2:AF642),$AF$2:$AF$1001,0),MATCH(COLUMNS($AM$1006:AR1006),$AM$1006:$BM$1006,0)), HYPERLINK("#",""), HYPERLINK(CONCATENATE("#metadata!", ADDRESS(INDEX($AH$2:$AH$1001,MATCH(ROWS($AF$2:AF642),$AF$2:$AF$1001,0),0), INDEX($AM$1004:$BM$1004,1,MATCH(COLUMNS($AM$1006:AR1006),$AM$1006:$BM$1006,0)))),"Fix")))</f>
        <v xml:space="preserve"> </v>
      </c>
      <c r="H642" s="4" t="str">
        <f ca="1">IF(OR(INDEX($AG$2:$AG$1001,MATCH(ROWS($AF$2:AF642),$AF$2:$AF$1001,0),1)&gt;=100000,INDEX($AM$1005:$BM$1005,1,MATCH(COLUMNS($AM$1006:AS1006),$AM$1006:$BM$1006,0))&gt;=100000), " ",IF(INDEX($AM$2:$BM$1001,MATCH(ROWS($AF$2:AF642),$AF$2:$AF$1001,0),MATCH(COLUMNS($AM$1006:AS1006),$AM$1006:$BM$1006,0)), HYPERLINK("#",""), HYPERLINK(CONCATENATE("#metadata!", ADDRESS(INDEX($AH$2:$AH$1001,MATCH(ROWS($AF$2:AF642),$AF$2:$AF$1001,0),0), INDEX($AM$1004:$BM$1004,1,MATCH(COLUMNS($AM$1006:AS1006),$AM$1006:$BM$1006,0)))),"Fix")))</f>
        <v xml:space="preserve"> </v>
      </c>
      <c r="I642" s="4" t="str">
        <f ca="1">IF(OR(INDEX($AG$2:$AG$1001,MATCH(ROWS($AF$2:AF642),$AF$2:$AF$1001,0),1)&gt;=100000,INDEX($AM$1005:$BM$1005,1,MATCH(COLUMNS($AM$1006:AT1006),$AM$1006:$BM$1006,0))&gt;=100000), " ",IF(INDEX($AM$2:$BM$1001,MATCH(ROWS($AF$2:AF642),$AF$2:$AF$1001,0),MATCH(COLUMNS($AM$1006:AT1006),$AM$1006:$BM$1006,0)), HYPERLINK("#",""), HYPERLINK(CONCATENATE("#metadata!", ADDRESS(INDEX($AH$2:$AH$1001,MATCH(ROWS($AF$2:AF642),$AF$2:$AF$1001,0),0), INDEX($AM$1004:$BM$1004,1,MATCH(COLUMNS($AM$1006:AT1006),$AM$1006:$BM$1006,0)))),"Fix")))</f>
        <v xml:space="preserve"> </v>
      </c>
      <c r="J642" s="4" t="str">
        <f ca="1">IF(OR(INDEX($AG$2:$AG$1001,MATCH(ROWS($AF$2:AF642),$AF$2:$AF$1001,0),1)&gt;=100000,INDEX($AM$1005:$BM$1005,1,MATCH(COLUMNS($AM$1006:AU1006),$AM$1006:$BM$1006,0))&gt;=100000), " ",IF(INDEX($AM$2:$BM$1001,MATCH(ROWS($AF$2:AF642),$AF$2:$AF$1001,0),MATCH(COLUMNS($AM$1006:AU1006),$AM$1006:$BM$1006,0)), HYPERLINK("#",""), HYPERLINK(CONCATENATE("#metadata!", ADDRESS(INDEX($AH$2:$AH$1001,MATCH(ROWS($AF$2:AF642),$AF$2:$AF$1001,0),0), INDEX($AM$1004:$BM$1004,1,MATCH(COLUMNS($AM$1006:AU1006),$AM$1006:$BM$1006,0)))),"Fix")))</f>
        <v xml:space="preserve"> </v>
      </c>
      <c r="K642" s="4" t="str">
        <f ca="1">IF(OR(INDEX($AG$2:$AG$1001,MATCH(ROWS($AF$2:AF642),$AF$2:$AF$1001,0),1)&gt;=100000,INDEX($AM$1005:$BM$1005,1,MATCH(COLUMNS($AM$1006:AV1006),$AM$1006:$BM$1006,0))&gt;=100000), " ",IF(INDEX($AM$2:$BM$1001,MATCH(ROWS($AF$2:AF642),$AF$2:$AF$1001,0),MATCH(COLUMNS($AM$1006:AV1006),$AM$1006:$BM$1006,0)), HYPERLINK("#",""), HYPERLINK(CONCATENATE("#metadata!", ADDRESS(INDEX($AH$2:$AH$1001,MATCH(ROWS($AF$2:AF642),$AF$2:$AF$1001,0),0), INDEX($AM$1004:$BM$1004,1,MATCH(COLUMNS($AM$1006:AV1006),$AM$1006:$BM$1006,0)))),"Fix")))</f>
        <v xml:space="preserve"> </v>
      </c>
      <c r="L642" s="4" t="str">
        <f ca="1">IF(OR(INDEX($AG$2:$AG$1001,MATCH(ROWS($AF$2:AF642),$AF$2:$AF$1001,0),1)&gt;=100000,INDEX($AM$1005:$BM$1005,1,MATCH(COLUMNS($AM$1006:AW1006),$AM$1006:$BM$1006,0))&gt;=100000), " ",IF(INDEX($AM$2:$BM$1001,MATCH(ROWS($AF$2:AF642),$AF$2:$AF$1001,0),MATCH(COLUMNS($AM$1006:AW1006),$AM$1006:$BM$1006,0)), HYPERLINK("#",""), HYPERLINK(CONCATENATE("#metadata!", ADDRESS(INDEX($AH$2:$AH$1001,MATCH(ROWS($AF$2:AF642),$AF$2:$AF$1001,0),0), INDEX($AM$1004:$BM$1004,1,MATCH(COLUMNS($AM$1006:AW1006),$AM$1006:$BM$1006,0)))),"Fix")))</f>
        <v xml:space="preserve"> </v>
      </c>
      <c r="M642" s="4" t="str">
        <f ca="1">IF(OR(INDEX($AG$2:$AG$1001,MATCH(ROWS($AF$2:AF642),$AF$2:$AF$1001,0),1)&gt;=100000,INDEX($AM$1005:$BM$1005,1,MATCH(COLUMNS($AM$1006:AX1006),$AM$1006:$BM$1006,0))&gt;=100000), " ",IF(INDEX($AM$2:$BM$1001,MATCH(ROWS($AF$2:AF642),$AF$2:$AF$1001,0),MATCH(COLUMNS($AM$1006:AX1006),$AM$1006:$BM$1006,0)), HYPERLINK("#",""), HYPERLINK(CONCATENATE("#metadata!", ADDRESS(INDEX($AH$2:$AH$1001,MATCH(ROWS($AF$2:AF642),$AF$2:$AF$1001,0),0), INDEX($AM$1004:$BM$1004,1,MATCH(COLUMNS($AM$1006:AX1006),$AM$1006:$BM$1006,0)))),"Fix")))</f>
        <v xml:space="preserve"> </v>
      </c>
      <c r="N642" s="4" t="str">
        <f ca="1">IF(OR(INDEX($AG$2:$AG$1001,MATCH(ROWS($AF$2:AF642),$AF$2:$AF$1001,0),1)&gt;=100000,INDEX($AM$1005:$BM$1005,1,MATCH(COLUMNS($AM$1006:AY1006),$AM$1006:$BM$1006,0))&gt;=100000), " ",IF(INDEX($AM$2:$BM$1001,MATCH(ROWS($AF$2:AF642),$AF$2:$AF$1001,0),MATCH(COLUMNS($AM$1006:AY1006),$AM$1006:$BM$1006,0)), HYPERLINK("#",""), HYPERLINK(CONCATENATE("#metadata!", ADDRESS(INDEX($AH$2:$AH$1001,MATCH(ROWS($AF$2:AF642),$AF$2:$AF$1001,0),0), INDEX($AM$1004:$BM$1004,1,MATCH(COLUMNS($AM$1006:AY1006),$AM$1006:$BM$1006,0)))),"Fix")))</f>
        <v xml:space="preserve"> </v>
      </c>
      <c r="O642" s="4" t="str">
        <f ca="1">IF(OR(INDEX($AG$2:$AG$1001,MATCH(ROWS($AF$2:AF642),$AF$2:$AF$1001,0),1)&gt;=100000,INDEX($AM$1005:$BM$1005,1,MATCH(COLUMNS($AM$1006:AZ1006),$AM$1006:$BM$1006,0))&gt;=100000), " ",IF(INDEX($AM$2:$BM$1001,MATCH(ROWS($AF$2:AF642),$AF$2:$AF$1001,0),MATCH(COLUMNS($AM$1006:AZ1006),$AM$1006:$BM$1006,0)), HYPERLINK("#",""), HYPERLINK(CONCATENATE("#metadata!", ADDRESS(INDEX($AH$2:$AH$1001,MATCH(ROWS($AF$2:AF642),$AF$2:$AF$1001,0),0), INDEX($AM$1004:$BM$1004,1,MATCH(COLUMNS($AM$1006:AZ1006),$AM$1006:$BM$1006,0)))),"Fix")))</f>
        <v xml:space="preserve"> </v>
      </c>
      <c r="P642" s="4" t="str">
        <f ca="1">IF(OR(INDEX($AG$2:$AG$1001,MATCH(ROWS($AF$2:AF642),$AF$2:$AF$1001,0),1)&gt;=100000,INDEX($AM$1005:$BM$1005,1,MATCH(COLUMNS($AM$1006:BA1006),$AM$1006:$BM$1006,0))&gt;=100000), " ",IF(INDEX($AM$2:$BM$1001,MATCH(ROWS($AF$2:AF642),$AF$2:$AF$1001,0),MATCH(COLUMNS($AM$1006:BA1006),$AM$1006:$BM$1006,0)), HYPERLINK("#",""), HYPERLINK(CONCATENATE("#metadata!", ADDRESS(INDEX($AH$2:$AH$1001,MATCH(ROWS($AF$2:AF642),$AF$2:$AF$1001,0),0), INDEX($AM$1004:$BM$1004,1,MATCH(COLUMNS($AM$1006:BA1006),$AM$1006:$BM$1006,0)))),"Fix")))</f>
        <v xml:space="preserve"> </v>
      </c>
      <c r="Q642" s="4" t="str">
        <f ca="1">IF(OR(INDEX($AG$2:$AG$1001,MATCH(ROWS($AF$2:AF642),$AF$2:$AF$1001,0),1)&gt;=100000,INDEX($AM$1005:$BM$1005,1,MATCH(COLUMNS($AM$1006:BB1006),$AM$1006:$BM$1006,0))&gt;=100000), " ",IF(INDEX($AM$2:$BM$1001,MATCH(ROWS($AF$2:AF642),$AF$2:$AF$1001,0),MATCH(COLUMNS($AM$1006:BB1006),$AM$1006:$BM$1006,0)), HYPERLINK("#",""), HYPERLINK(CONCATENATE("#metadata!", ADDRESS(INDEX($AH$2:$AH$1001,MATCH(ROWS($AF$2:AF642),$AF$2:$AF$1001,0),0), INDEX($AM$1004:$BM$1004,1,MATCH(COLUMNS($AM$1006:BB1006),$AM$1006:$BM$1006,0)))),"Fix")))</f>
        <v xml:space="preserve"> </v>
      </c>
      <c r="R642" s="4" t="str">
        <f ca="1">IF(OR(INDEX($AG$2:$AG$1001,MATCH(ROWS($AF$2:AF642),$AF$2:$AF$1001,0),1)&gt;=100000,INDEX($AM$1005:$BM$1005,1,MATCH(COLUMNS($AM$1006:BC1006),$AM$1006:$BM$1006,0))&gt;=100000), " ",IF(INDEX($AM$2:$BM$1001,MATCH(ROWS($AF$2:AF642),$AF$2:$AF$1001,0),MATCH(COLUMNS($AM$1006:BC1006),$AM$1006:$BM$1006,0)), HYPERLINK("#",""), HYPERLINK(CONCATENATE("#metadata!", ADDRESS(INDEX($AH$2:$AH$1001,MATCH(ROWS($AF$2:AF642),$AF$2:$AF$1001,0),0), INDEX($AM$1004:$BM$1004,1,MATCH(COLUMNS($AM$1006:BC1006),$AM$1006:$BM$1006,0)))),"Fix")))</f>
        <v xml:space="preserve"> </v>
      </c>
      <c r="S642" s="4" t="str">
        <f ca="1">IF(OR(INDEX($AG$2:$AG$1001,MATCH(ROWS($AF$2:AF642),$AF$2:$AF$1001,0),1)&gt;=100000,INDEX($AM$1005:$BM$1005,1,MATCH(COLUMNS($AM$1006:BD1006),$AM$1006:$BM$1006,0))&gt;=100000), " ",IF(INDEX($AM$2:$BM$1001,MATCH(ROWS($AF$2:AF642),$AF$2:$AF$1001,0),MATCH(COLUMNS($AM$1006:BD1006),$AM$1006:$BM$1006,0)), HYPERLINK("#",""), HYPERLINK(CONCATENATE("#metadata!", ADDRESS(INDEX($AH$2:$AH$1001,MATCH(ROWS($AF$2:AF642),$AF$2:$AF$1001,0),0), INDEX($AM$1004:$BM$1004,1,MATCH(COLUMNS($AM$1006:BD1006),$AM$1006:$BM$1006,0)))),"Fix")))</f>
        <v xml:space="preserve"> </v>
      </c>
      <c r="T642" s="4" t="str">
        <f ca="1">IF(OR(INDEX($AG$2:$AG$1001,MATCH(ROWS($AF$2:AF642),$AF$2:$AF$1001,0),1)&gt;=100000,INDEX($AM$1005:$BM$1005,1,MATCH(COLUMNS($AM$1006:BE1006),$AM$1006:$BM$1006,0))&gt;=100000), " ",IF(INDEX($AM$2:$BM$1001,MATCH(ROWS($AF$2:AF642),$AF$2:$AF$1001,0),MATCH(COLUMNS($AM$1006:BE1006),$AM$1006:$BM$1006,0)), HYPERLINK("#",""), HYPERLINK(CONCATENATE("#metadata!", ADDRESS(INDEX($AH$2:$AH$1001,MATCH(ROWS($AF$2:AF642),$AF$2:$AF$1001,0),0), INDEX($AM$1004:$BM$1004,1,MATCH(COLUMNS($AM$1006:BE1006),$AM$1006:$BM$1006,0)))),"Fix")))</f>
        <v xml:space="preserve"> </v>
      </c>
      <c r="U642" s="4" t="str">
        <f ca="1">IF(OR(INDEX($AG$2:$AG$1001,MATCH(ROWS($AF$2:AF642),$AF$2:$AF$1001,0),1)&gt;=100000,INDEX($AM$1005:$BM$1005,1,MATCH(COLUMNS($AM$1006:BF1006),$AM$1006:$BM$1006,0))&gt;=100000), " ",IF(INDEX($AM$2:$BM$1001,MATCH(ROWS($AF$2:AF642),$AF$2:$AF$1001,0),MATCH(COLUMNS($AM$1006:BF1006),$AM$1006:$BM$1006,0)), HYPERLINK("#",""), HYPERLINK(CONCATENATE("#metadata!", ADDRESS(INDEX($AH$2:$AH$1001,MATCH(ROWS($AF$2:AF642),$AF$2:$AF$1001,0),0), INDEX($AM$1004:$BM$1004,1,MATCH(COLUMNS($AM$1006:BF1006),$AM$1006:$BM$1006,0)))),"Fix")))</f>
        <v xml:space="preserve"> </v>
      </c>
      <c r="V642" s="4" t="str">
        <f ca="1">IF(OR(INDEX($AG$2:$AG$1001,MATCH(ROWS($AF$2:AF642),$AF$2:$AF$1001,0),1)&gt;=100000,INDEX($AM$1005:$BM$1005,1,MATCH(COLUMNS($AM$1006:BG1006),$AM$1006:$BM$1006,0))&gt;=100000), " ",IF(INDEX($AM$2:$BM$1001,MATCH(ROWS($AF$2:AF642),$AF$2:$AF$1001,0),MATCH(COLUMNS($AM$1006:BG1006),$AM$1006:$BM$1006,0)), HYPERLINK("#",""), HYPERLINK(CONCATENATE("#metadata!", ADDRESS(INDEX($AH$2:$AH$1001,MATCH(ROWS($AF$2:AF642),$AF$2:$AF$1001,0),0), INDEX($AM$1004:$BM$1004,1,MATCH(COLUMNS($AM$1006:BG1006),$AM$1006:$BM$1006,0)))),"Fix")))</f>
        <v xml:space="preserve"> </v>
      </c>
      <c r="W642" s="4" t="str">
        <f ca="1">IF(OR(INDEX($AG$2:$AG$1001,MATCH(ROWS($AF$2:AF642),$AF$2:$AF$1001,0),1)&gt;=100000,INDEX($AM$1005:$BM$1005,1,MATCH(COLUMNS($AM$1006:BH1006),$AM$1006:$BM$1006,0))&gt;=100000), " ",IF(INDEX($AM$2:$BM$1001,MATCH(ROWS($AF$2:AF642),$AF$2:$AF$1001,0),MATCH(COLUMNS($AM$1006:BH1006),$AM$1006:$BM$1006,0)), HYPERLINK("#",""), HYPERLINK(CONCATENATE("#metadata!", ADDRESS(INDEX($AH$2:$AH$1001,MATCH(ROWS($AF$2:AF642),$AF$2:$AF$1001,0),0), INDEX($AM$1004:$BM$1004,1,MATCH(COLUMNS($AM$1006:BH1006),$AM$1006:$BM$1006,0)))),"Fix")))</f>
        <v xml:space="preserve"> </v>
      </c>
      <c r="X642" s="4" t="str">
        <f ca="1">IF(OR(INDEX($AG$2:$AG$1001,MATCH(ROWS($AF$2:AF642),$AF$2:$AF$1001,0),1)&gt;=100000,INDEX($AM$1005:$BM$1005,1,MATCH(COLUMNS($AM$1006:BI1006),$AM$1006:$BM$1006,0))&gt;=100000), " ",IF(INDEX($AM$2:$BM$1001,MATCH(ROWS($AF$2:AF642),$AF$2:$AF$1001,0),MATCH(COLUMNS($AM$1006:BI1006),$AM$1006:$BM$1006,0)), HYPERLINK("#",""), HYPERLINK(CONCATENATE("#metadata!", ADDRESS(INDEX($AH$2:$AH$1001,MATCH(ROWS($AF$2:AF642),$AF$2:$AF$1001,0),0), INDEX($AM$1004:$BM$1004,1,MATCH(COLUMNS($AM$1006:BI1006),$AM$1006:$BM$1006,0)))),"Fix")))</f>
        <v xml:space="preserve"> </v>
      </c>
      <c r="Y642" s="4" t="str">
        <f ca="1">IF(OR(INDEX($AG$2:$AG$1001,MATCH(ROWS($AF$2:AF642),$AF$2:$AF$1001,0),1)&gt;=100000,INDEX($AM$1005:$BM$1005,1,MATCH(COLUMNS($AM$1006:BJ1006),$AM$1006:$BM$1006,0))&gt;=100000), " ",IF(INDEX($AM$2:$BM$1001,MATCH(ROWS($AF$2:AF642),$AF$2:$AF$1001,0),MATCH(COLUMNS($AM$1006:BJ1006),$AM$1006:$BM$1006,0)), HYPERLINK("#",""), HYPERLINK(CONCATENATE("#metadata!", ADDRESS(INDEX($AH$2:$AH$1001,MATCH(ROWS($AF$2:AF642),$AF$2:$AF$1001,0),0), INDEX($AM$1004:$BM$1004,1,MATCH(COLUMNS($AM$1006:BJ1006),$AM$1006:$BM$1006,0)))),"Fix")))</f>
        <v xml:space="preserve"> </v>
      </c>
      <c r="Z642" s="4" t="str">
        <f ca="1">IF(OR(INDEX($AG$2:$AG$1001,MATCH(ROWS($AF$2:AF642),$AF$2:$AF$1001,0),1)&gt;=100000,INDEX($AM$1005:$BM$1005,1,MATCH(COLUMNS($AM$1006:BK1006),$AM$1006:$BM$1006,0))&gt;=100000), " ",IF(INDEX($AM$2:$BM$1001,MATCH(ROWS($AF$2:AF642),$AF$2:$AF$1001,0),MATCH(COLUMNS($AM$1006:BK1006),$AM$1006:$BM$1006,0)), HYPERLINK("#",""), HYPERLINK(CONCATENATE("#metadata!", ADDRESS(INDEX($AH$2:$AH$1001,MATCH(ROWS($AF$2:AF642),$AF$2:$AF$1001,0),0), INDEX($AM$1004:$BM$1004,1,MATCH(COLUMNS($AM$1006:BK1006),$AM$1006:$BM$1006,0)))),"Fix")))</f>
        <v xml:space="preserve"> </v>
      </c>
      <c r="AA642" s="4" t="str">
        <f ca="1">IF(OR(INDEX($AG$2:$AG$1001,MATCH(ROWS($AF$2:AF642),$AF$2:$AF$1001,0),1)&gt;=100000,INDEX($AM$1005:$BM$1005,1,MATCH(COLUMNS($AM$1006:BL1006),$AM$1006:$BM$1006,0))&gt;=100000), " ",IF(INDEX($AM$2:$BM$1001,MATCH(ROWS($AF$2:AF642),$AF$2:$AF$1001,0),MATCH(COLUMNS($AM$1006:BL1006),$AM$1006:$BM$1006,0)), HYPERLINK("#",""), HYPERLINK(CONCATENATE("#metadata!", ADDRESS(INDEX($AH$2:$AH$1001,MATCH(ROWS($AF$2:AF642),$AF$2:$AF$1001,0),0), INDEX($AM$1004:$BM$1004,1,MATCH(COLUMNS($AM$1006:BL1006),$AM$1006:$BM$1006,0)))),"Fix")))</f>
        <v xml:space="preserve"> </v>
      </c>
      <c r="AB642" s="4" t="str">
        <f ca="1">IF(OR(INDEX($AG$2:$AG$1001,MATCH(ROWS($AF$2:AF642),$AF$2:$AF$1001,0),1)&gt;=100000,INDEX($AM$1005:$BM$1005,1,MATCH(COLUMNS($AM$1006:BM1006),$AM$1006:$BM$1006,0))&gt;=100000), " ",IF(INDEX($AM$2:$BM$1001,MATCH(ROWS($AF$2:AF642),$AF$2:$AF$1001,0),MATCH(COLUMNS($AM$1006:BM1006),$AM$1006:$BM$1006,0)), HYPERLINK("#",""), HYPERLINK(CONCATENATE("#metadata!", ADDRESS(INDEX($AH$2:$AH$1001,MATCH(ROWS($AF$2:AF642),$AF$2:$AF$1001,0),0), INDEX($AM$1004:$BM$1004,1,MATCH(COLUMNS($AM$1006:BM1006),$AM$1006:$BM$1006,0)))),"Fix")))</f>
        <v xml:space="preserve"> </v>
      </c>
      <c r="AF642">
        <v>641</v>
      </c>
      <c r="AG642">
        <v>100642</v>
      </c>
      <c r="AH642">
        <v>642</v>
      </c>
      <c r="AI642" t="b">
        <f t="shared" ref="AI642:AI705" si="10">IF(AJ642,TRUE,AND(AM642:BM642))</f>
        <v>1</v>
      </c>
      <c r="AJ642" t="b">
        <f>COUNTBLANK(metadata!B642:AB642)=COLUMNS(metadata!B642:AB642)</f>
        <v>1</v>
      </c>
      <c r="AK642" t="str">
        <v/>
      </c>
      <c r="AM642" t="b">
        <f ca="1">AND(IF(metadata!B642="",FALSE,TRUE),COUNTIF(metadata!B:B, metadata!B642) = 1,NOT(ISERROR(SUMPRODUCT(SEARCH(MID(metadata!B642,ROW(INDIRECT("1:"&amp;LEN(metadata!B642))), 1),"0123456789abcdefghijklmnopqrstuvwxyzABCDEFGHIJKLMNOPQRSTUVWXYZ.")))))</f>
        <v>0</v>
      </c>
      <c r="AN642" t="b">
        <f ca="1">OR(AND(IF(metadata!C642="",FALSE,TRUE),OR(EXACT(metadata!C642,"missing: not collected"),EXACT(metadata!C642,"missing: not provided"),EXACT(metadata!C642,"missing: restricted access"))),AND(IF(metadata!C642="",FALSE,TRUE),AND(AND(IFERROR(INT(LEFT(metadata!C642,4))&gt;1900,FALSE),IFERROR(INT(LEFT(metadata!C642,4))&lt;=YEAR(NOW()),FALSE)), OR(MID(metadata!C642,5,1)="", AND(AND(MID(metadata!C642,5,1)="-",IFERROR(INT(MID(metadata!C642,6,1))&gt;=0,FALSE),IFERROR(INT(MID(metadata!C642,6,1))&lt;=1,FALSE),NOT(MID(metadata!C642,7,1)=""),IFERROR(INT(MID(metadata!C642,6,2))&gt;=1,FALSE),IFERROR(INT(MID(metadata!C642,6,2))&lt;=12,FALSE)), OR(MID(metadata!C642,8,1)="", AND(AND(MID(metadata!C642,8,1)="-",IFERROR(INT(MID(metadata!C642,9,1))&gt;=0,FALSE),IFERROR(INT(MID(metadata!C642,9,1))&lt;=3,FALSE),NOT(MID(metadata!C642,10,1)=""),IFERROR(INT(MID(metadata!C642,9,2))&gt;=1,FALSE),IFERROR(INT(MID(metadata!C642,9,2))&lt;=31,FALSE)), OR(MID(metadata!C642,11,1)="", AND(AND(MID(metadata!C642,11,1)=" ",IFERROR(INT(MID(metadata!C642,12,1))&gt;=0,FALSE),IFERROR(INT(MID(metadata!C642,12,1))&lt;=2,FALSE),NOT(MID(metadata!C642,13,1)=""),IFERROR(INT(MID(metadata!C642,12,2))&gt;=0,FALSE),IFERROR(INT(MID(metadata!C642,12,2))&lt;=23,FALSE)), OR(MID(metadata!C642,14,1)="", AND(AND(MID(metadata!C642,14,1)=":",IFERROR(INT(MID(metadata!C642,15,1))&gt;=0,FALSE),IFERROR(INT(MID(metadata!C642,15,1))&lt;=5,FALSE),NOT(MID(metadata!C642,16,1)=""),IFERROR(INT(MID(metadata!C642,15,2))&gt;=0,FALSE),IFERROR(INT(MID(metadata!C642,15,2))&lt;=59,FALSE)), OR(MID(metadata!C642,17,1)="", AND(AND(MID(metadata!C642,17,1)=":",IFERROR(INT(MID(metadata!C642,18,1))&gt;=0,FALSE),IFERROR(INT(MID(metadata!C642,18,1))&lt;=5,FALSE),NOT(MID(metadata!C642,19,1)=""),IFERROR(INT(MID(metadata!C642,18,2))&gt;=0,FALSE),IFERROR(INT(MID(metadata!C642,18,2))&lt;=59,FALSE)), LEN(metadata!C642)&lt;=19)))))))))))))</f>
        <v>0</v>
      </c>
      <c r="AO642" t="b">
        <f>AND(IF(metadata!D642="",FALSE,TRUE),EXACT(metadata!D642,"Not applicable"))</f>
        <v>0</v>
      </c>
      <c r="AP642" t="b">
        <f>IF(metadata!E642="",FALSE,TRUE)</f>
        <v>0</v>
      </c>
      <c r="AQ642" t="b">
        <f>OR(AND(IF(metadata!F642="",FALSE,TRUE),OR(EXACT(metadata!F642,"missing: not collected"),EXACT(metadata!F642,"missing: not provided"))),AND(IF(metadata!F642="",FALSE,TRUE),OR(EXACT(metadata!F642,"TRUE"),EXACT(metadata!F642,"FALSE"))))</f>
        <v>0</v>
      </c>
      <c r="AR642" t="b">
        <f>OR(AND(IF(metadata!G642="",FALSE,TRUE),OR(EXACT(metadata!G642,"missing: not collected"),EXACT(metadata!G642,"missing: not provided"),EXACT(metadata!G642,"missing: restricted access"))),AND(IF(metadata!G642="",FALSE,ISNUMBER(VALUE(metadata!G642))),metadata!G642&gt;=-413))</f>
        <v>0</v>
      </c>
      <c r="AS642" t="b">
        <f>AND(IF(metadata!H642="",FALSE,TRUE),EXACT(metadata!H642,"meters"))</f>
        <v>0</v>
      </c>
      <c r="AT642" t="b">
        <f>AND(IF(metadata!I642="",FALSE,TRUE),OR(EXACT(metadata!I642,"Host-associated"),EXACT(metadata!I642,"Free-living")))</f>
        <v>0</v>
      </c>
      <c r="AU642" t="b">
        <f>AND(IF(metadata!J642="",FALSE,TRUE),OR(EXACT(metadata!J642,"Animal"),EXACT(metadata!J642,"Fungus"),EXACT(metadata!J642,"Plant"),EXACT(metadata!J642,"Saline"),EXACT(metadata!J642,"Non-saline")))</f>
        <v>0</v>
      </c>
      <c r="AV642" t="b">
        <f>AND(IF(metadata!K642="",FALSE,TRUE),OR(EXACT(metadata!K642,"Plant secretion"),EXACT(metadata!K642,"Plant rhizosphere"),EXACT(metadata!K642,"Plant surface"),EXACT(metadata!K642,"Plant corpus"),EXACT(metadata!K642,"Fungus surface"),EXACT(metadata!K642,"Fungus corpus"),EXACT(metadata!K642,"Animal surface"),EXACT(metadata!K642,"Animal proximal gut"),EXACT(metadata!K642,"Animal corpus"),EXACT(metadata!K642,"Animal distal gut"),EXACT(metadata!K642,"Animal secretion"),EXACT(metadata!K642,"Sub-surface (non-saline)"),EXACT(metadata!K642,"Surface (non-saline)"),EXACT(metadata!K642,"Water (non-saline)"),EXACT(metadata!K642,"Soil (non-saline)"),EXACT(metadata!K642,"Aerosol (non-saline)"),EXACT(metadata!K642,"Sediment (non-saline)"),EXACT(metadata!K642,"Surface (saline)"),EXACT(metadata!K642,"Water (saline)"),EXACT(metadata!K642,"Hypersaline (saline)"),EXACT(metadata!K642,"Aerosol (saline)"),EXACT(metadata!K642,"Sediment (saline)")))</f>
        <v>0</v>
      </c>
      <c r="AW642" t="b">
        <f>IF(metadata!L642="",FALSE,TRUE)</f>
        <v>0</v>
      </c>
      <c r="AX642" t="b">
        <f>IF(metadata!M642="",FALSE,TRUE)</f>
        <v>0</v>
      </c>
      <c r="AY642" t="b">
        <f>IF(metadata!N642="",FALSE,TRUE)</f>
        <v>0</v>
      </c>
      <c r="AZ642" t="b">
        <f>OR(AND(IF(metadata!O642="",FALSE,TRUE),OR(EXACT(metadata!O642,"missing: not collected"),EXACT(metadata!O642,"missing: not provided"),EXACT(metadata!O642,"missing: restricted access"))),AND(IF(metadata!O642="",FALSE,TRUE),OR(EXACT(metadata!O642,"air"),EXACT(metadata!O642,"built environment"),EXACT(metadata!O642,"host-associated"),EXACT(metadata!O642,"human-associated"),EXACT(metadata!O642,"human-skin"),EXACT(metadata!O642,"human-oral"),EXACT(metadata!O642,"human-gut"),EXACT(metadata!O642,"human-vaginal"),EXACT(metadata!O642,"microbial mat/biofilm"),EXACT(metadata!O642,"misc environment"),EXACT(metadata!O642,"plant-associated"),EXACT(metadata!O642,"sediment"),EXACT(metadata!O642,"soil"),EXACT(metadata!O642,"wastewater/sludge"),EXACT(metadata!O642,"water"))))</f>
        <v>0</v>
      </c>
      <c r="BA642" t="b">
        <f>IF(metadata!P642="",FALSE,TRUE)</f>
        <v>0</v>
      </c>
      <c r="BB642" t="b">
        <f>IF(metadata!Q642="",FALSE,TRUE)</f>
        <v>0</v>
      </c>
      <c r="BC642" t="b">
        <f>OR(AND(IF(metadata!R642="",FALSE,TRUE),OR(EXACT(metadata!R642,"missing: not collected"),EXACT(metadata!R642,"missing: not provided"),EXACT(metadata!R642,"missing: restricted access"))),AND(IF(metadata!R642="",FALSE,ISNUMBER(VALUE(metadata!R642))),metadata!R642&gt;=-90,metadata!R642&lt;=90))</f>
        <v>0</v>
      </c>
      <c r="BD642" t="b">
        <f>AND(IF(metadata!S642="",FALSE,TRUE),EXACT(metadata!S642,"Decimal degrees"))</f>
        <v>0</v>
      </c>
      <c r="BE642" t="b">
        <f>OR(AND(IF(metadata!T642="",FALSE,TRUE),OR(EXACT(metadata!T642,"missing: not collected"),EXACT(metadata!T642,"missing: not provided"),EXACT(metadata!T642,"missing: restricted access"))),AND(IF(metadata!T642="",FALSE,ISNUMBER(VALUE(metadata!T642))),metadata!T642&gt;=-180,metadata!T642&lt;=180))</f>
        <v>0</v>
      </c>
      <c r="BF642" t="b">
        <f>AND(IF(metadata!U642="",FALSE,TRUE),EXACT(metadata!U642,"Decimal degrees"))</f>
        <v>0</v>
      </c>
      <c r="BG642" t="b">
        <f>IF(metadata!V642="",FALSE,TRUE)</f>
        <v>0</v>
      </c>
      <c r="BH642" t="b">
        <f>OR(AND(IF(metadata!W642="",FALSE,TRUE),OR(EXACT(metadata!W642,"missing: not collected"),EXACT(metadata!W642,"missing: not provided"),EXACT(metadata!W642,"missing: restricted access"))),AND(IF(metadata!W642="",FALSE,TRUE),OR(EXACT(metadata!W642,"TRUE"),EXACT(metadata!W642,"FALSE"))))</f>
        <v>0</v>
      </c>
      <c r="BI642" t="b">
        <f>AND(IF(metadata!X642="",FALSE,TRUE),EXACT(metadata!X642,"other"))</f>
        <v>0</v>
      </c>
      <c r="BJ642" t="b">
        <f>IF(metadata!Y642="",FALSE,TRUE)</f>
        <v>0</v>
      </c>
      <c r="BK642" t="b">
        <f>OR(AND(IF(metadata!Z642="",FALSE,TRUE),OR(EXACT(metadata!Z642,"missing: not collected"),EXACT(metadata!Z642,"missing: not provided"))),AND(IF(metadata!Z642="",FALSE,IF(ISERROR(INT(metadata!Z642)),FALSE,INT(metadata!Z642)=metadata!Z642)),metadata!Z642&gt;0))</f>
        <v>0</v>
      </c>
      <c r="BL642" t="b">
        <f>AND(IF(metadata!AA642="",FALSE,TRUE),EXACT(metadata!AA642,"Not applicable"))</f>
        <v>0</v>
      </c>
      <c r="BM642" t="b">
        <f>IF(metadata!AB642="",FALSE,TRUE)</f>
        <v>0</v>
      </c>
    </row>
    <row r="643" spans="1:65" x14ac:dyDescent="0.2">
      <c r="A643" s="5" t="str">
        <f ca="1">IF(B643=" "," ",HYPERLINK(CONCATENATE("#metadata!",ADDRESS(INDEX($AH$2:$AH$1001,MATCH(ROWS($AF$2:AF643),$AF$2:$AF$1001,0),0),1)),INDEX($AK$2:$AK$1001,MATCH(ROWS($AF$2:AF643),$AF$2:$AF$1001,0),0)))</f>
        <v xml:space="preserve"> </v>
      </c>
      <c r="B643" s="4" t="str">
        <f ca="1">IF(OR(INDEX($AG$2:$AG$1001,MATCH(ROWS($AF$2:AF643),$AF$2:$AF$1001,0),1)&gt;=100000,INDEX($AM$1005:$BM$1005,1,MATCH(COLUMNS($AM$1006:AM1006),$AM$1006:$BM$1006,0))&gt;=100000), " ",IF(INDEX($AM$2:$BM$1001,MATCH(ROWS($AF$2:AF643),$AF$2:$AF$1001,0),MATCH(COLUMNS($AM$1006:AM1006),$AM$1006:$BM$1006,0)), HYPERLINK("#",""), HYPERLINK(CONCATENATE("#metadata!", ADDRESS(INDEX($AH$2:$AH$1001,MATCH(ROWS($AF$2:AF643),$AF$2:$AF$1001,0),0), INDEX($AM$1004:$BM$1004,1,MATCH(COLUMNS($AM$1006:AM1006),$AM$1006:$BM$1006,0)))),"Fix")))</f>
        <v xml:space="preserve"> </v>
      </c>
      <c r="C643" s="4" t="str">
        <f ca="1">IF(OR(INDEX($AG$2:$AG$1001,MATCH(ROWS($AF$2:AF643),$AF$2:$AF$1001,0),1)&gt;=100000,INDEX($AM$1005:$BM$1005,1,MATCH(COLUMNS($AM$1006:AN1006),$AM$1006:$BM$1006,0))&gt;=100000), " ",IF(INDEX($AM$2:$BM$1001,MATCH(ROWS($AF$2:AF643),$AF$2:$AF$1001,0),MATCH(COLUMNS($AM$1006:AN1006),$AM$1006:$BM$1006,0)), HYPERLINK("#",""), HYPERLINK(CONCATENATE("#metadata!", ADDRESS(INDEX($AH$2:$AH$1001,MATCH(ROWS($AF$2:AF643),$AF$2:$AF$1001,0),0), INDEX($AM$1004:$BM$1004,1,MATCH(COLUMNS($AM$1006:AN1006),$AM$1006:$BM$1006,0)))),"Fix")))</f>
        <v xml:space="preserve"> </v>
      </c>
      <c r="D643" s="4" t="str">
        <f ca="1">IF(OR(INDEX($AG$2:$AG$1001,MATCH(ROWS($AF$2:AF643),$AF$2:$AF$1001,0),1)&gt;=100000,INDEX($AM$1005:$BM$1005,1,MATCH(COLUMNS($AM$1006:AO1006),$AM$1006:$BM$1006,0))&gt;=100000), " ",IF(INDEX($AM$2:$BM$1001,MATCH(ROWS($AF$2:AF643),$AF$2:$AF$1001,0),MATCH(COLUMNS($AM$1006:AO1006),$AM$1006:$BM$1006,0)), HYPERLINK("#",""), HYPERLINK(CONCATENATE("#metadata!", ADDRESS(INDEX($AH$2:$AH$1001,MATCH(ROWS($AF$2:AF643),$AF$2:$AF$1001,0),0), INDEX($AM$1004:$BM$1004,1,MATCH(COLUMNS($AM$1006:AO1006),$AM$1006:$BM$1006,0)))),"Fix")))</f>
        <v xml:space="preserve"> </v>
      </c>
      <c r="E643" s="4" t="str">
        <f ca="1">IF(OR(INDEX($AG$2:$AG$1001,MATCH(ROWS($AF$2:AF643),$AF$2:$AF$1001,0),1)&gt;=100000,INDEX($AM$1005:$BM$1005,1,MATCH(COLUMNS($AM$1006:AP1006),$AM$1006:$BM$1006,0))&gt;=100000), " ",IF(INDEX($AM$2:$BM$1001,MATCH(ROWS($AF$2:AF643),$AF$2:$AF$1001,0),MATCH(COLUMNS($AM$1006:AP1006),$AM$1006:$BM$1006,0)), HYPERLINK("#",""), HYPERLINK(CONCATENATE("#metadata!", ADDRESS(INDEX($AH$2:$AH$1001,MATCH(ROWS($AF$2:AF643),$AF$2:$AF$1001,0),0), INDEX($AM$1004:$BM$1004,1,MATCH(COLUMNS($AM$1006:AP1006),$AM$1006:$BM$1006,0)))),"Fix")))</f>
        <v xml:space="preserve"> </v>
      </c>
      <c r="F643" s="4" t="str">
        <f ca="1">IF(OR(INDEX($AG$2:$AG$1001,MATCH(ROWS($AF$2:AF643),$AF$2:$AF$1001,0),1)&gt;=100000,INDEX($AM$1005:$BM$1005,1,MATCH(COLUMNS($AM$1006:AQ1006),$AM$1006:$BM$1006,0))&gt;=100000), " ",IF(INDEX($AM$2:$BM$1001,MATCH(ROWS($AF$2:AF643),$AF$2:$AF$1001,0),MATCH(COLUMNS($AM$1006:AQ1006),$AM$1006:$BM$1006,0)), HYPERLINK("#",""), HYPERLINK(CONCATENATE("#metadata!", ADDRESS(INDEX($AH$2:$AH$1001,MATCH(ROWS($AF$2:AF643),$AF$2:$AF$1001,0),0), INDEX($AM$1004:$BM$1004,1,MATCH(COLUMNS($AM$1006:AQ1006),$AM$1006:$BM$1006,0)))),"Fix")))</f>
        <v xml:space="preserve"> </v>
      </c>
      <c r="G643" s="4" t="str">
        <f ca="1">IF(OR(INDEX($AG$2:$AG$1001,MATCH(ROWS($AF$2:AF643),$AF$2:$AF$1001,0),1)&gt;=100000,INDEX($AM$1005:$BM$1005,1,MATCH(COLUMNS($AM$1006:AR1006),$AM$1006:$BM$1006,0))&gt;=100000), " ",IF(INDEX($AM$2:$BM$1001,MATCH(ROWS($AF$2:AF643),$AF$2:$AF$1001,0),MATCH(COLUMNS($AM$1006:AR1006),$AM$1006:$BM$1006,0)), HYPERLINK("#",""), HYPERLINK(CONCATENATE("#metadata!", ADDRESS(INDEX($AH$2:$AH$1001,MATCH(ROWS($AF$2:AF643),$AF$2:$AF$1001,0),0), INDEX($AM$1004:$BM$1004,1,MATCH(COLUMNS($AM$1006:AR1006),$AM$1006:$BM$1006,0)))),"Fix")))</f>
        <v xml:space="preserve"> </v>
      </c>
      <c r="H643" s="4" t="str">
        <f ca="1">IF(OR(INDEX($AG$2:$AG$1001,MATCH(ROWS($AF$2:AF643),$AF$2:$AF$1001,0),1)&gt;=100000,INDEX($AM$1005:$BM$1005,1,MATCH(COLUMNS($AM$1006:AS1006),$AM$1006:$BM$1006,0))&gt;=100000), " ",IF(INDEX($AM$2:$BM$1001,MATCH(ROWS($AF$2:AF643),$AF$2:$AF$1001,0),MATCH(COLUMNS($AM$1006:AS1006),$AM$1006:$BM$1006,0)), HYPERLINK("#",""), HYPERLINK(CONCATENATE("#metadata!", ADDRESS(INDEX($AH$2:$AH$1001,MATCH(ROWS($AF$2:AF643),$AF$2:$AF$1001,0),0), INDEX($AM$1004:$BM$1004,1,MATCH(COLUMNS($AM$1006:AS1006),$AM$1006:$BM$1006,0)))),"Fix")))</f>
        <v xml:space="preserve"> </v>
      </c>
      <c r="I643" s="4" t="str">
        <f ca="1">IF(OR(INDEX($AG$2:$AG$1001,MATCH(ROWS($AF$2:AF643),$AF$2:$AF$1001,0),1)&gt;=100000,INDEX($AM$1005:$BM$1005,1,MATCH(COLUMNS($AM$1006:AT1006),$AM$1006:$BM$1006,0))&gt;=100000), " ",IF(INDEX($AM$2:$BM$1001,MATCH(ROWS($AF$2:AF643),$AF$2:$AF$1001,0),MATCH(COLUMNS($AM$1006:AT1006),$AM$1006:$BM$1006,0)), HYPERLINK("#",""), HYPERLINK(CONCATENATE("#metadata!", ADDRESS(INDEX($AH$2:$AH$1001,MATCH(ROWS($AF$2:AF643),$AF$2:$AF$1001,0),0), INDEX($AM$1004:$BM$1004,1,MATCH(COLUMNS($AM$1006:AT1006),$AM$1006:$BM$1006,0)))),"Fix")))</f>
        <v xml:space="preserve"> </v>
      </c>
      <c r="J643" s="4" t="str">
        <f ca="1">IF(OR(INDEX($AG$2:$AG$1001,MATCH(ROWS($AF$2:AF643),$AF$2:$AF$1001,0),1)&gt;=100000,INDEX($AM$1005:$BM$1005,1,MATCH(COLUMNS($AM$1006:AU1006),$AM$1006:$BM$1006,0))&gt;=100000), " ",IF(INDEX($AM$2:$BM$1001,MATCH(ROWS($AF$2:AF643),$AF$2:$AF$1001,0),MATCH(COLUMNS($AM$1006:AU1006),$AM$1006:$BM$1006,0)), HYPERLINK("#",""), HYPERLINK(CONCATENATE("#metadata!", ADDRESS(INDEX($AH$2:$AH$1001,MATCH(ROWS($AF$2:AF643),$AF$2:$AF$1001,0),0), INDEX($AM$1004:$BM$1004,1,MATCH(COLUMNS($AM$1006:AU1006),$AM$1006:$BM$1006,0)))),"Fix")))</f>
        <v xml:space="preserve"> </v>
      </c>
      <c r="K643" s="4" t="str">
        <f ca="1">IF(OR(INDEX($AG$2:$AG$1001,MATCH(ROWS($AF$2:AF643),$AF$2:$AF$1001,0),1)&gt;=100000,INDEX($AM$1005:$BM$1005,1,MATCH(COLUMNS($AM$1006:AV1006),$AM$1006:$BM$1006,0))&gt;=100000), " ",IF(INDEX($AM$2:$BM$1001,MATCH(ROWS($AF$2:AF643),$AF$2:$AF$1001,0),MATCH(COLUMNS($AM$1006:AV1006),$AM$1006:$BM$1006,0)), HYPERLINK("#",""), HYPERLINK(CONCATENATE("#metadata!", ADDRESS(INDEX($AH$2:$AH$1001,MATCH(ROWS($AF$2:AF643),$AF$2:$AF$1001,0),0), INDEX($AM$1004:$BM$1004,1,MATCH(COLUMNS($AM$1006:AV1006),$AM$1006:$BM$1006,0)))),"Fix")))</f>
        <v xml:space="preserve"> </v>
      </c>
      <c r="L643" s="4" t="str">
        <f ca="1">IF(OR(INDEX($AG$2:$AG$1001,MATCH(ROWS($AF$2:AF643),$AF$2:$AF$1001,0),1)&gt;=100000,INDEX($AM$1005:$BM$1005,1,MATCH(COLUMNS($AM$1006:AW1006),$AM$1006:$BM$1006,0))&gt;=100000), " ",IF(INDEX($AM$2:$BM$1001,MATCH(ROWS($AF$2:AF643),$AF$2:$AF$1001,0),MATCH(COLUMNS($AM$1006:AW1006),$AM$1006:$BM$1006,0)), HYPERLINK("#",""), HYPERLINK(CONCATENATE("#metadata!", ADDRESS(INDEX($AH$2:$AH$1001,MATCH(ROWS($AF$2:AF643),$AF$2:$AF$1001,0),0), INDEX($AM$1004:$BM$1004,1,MATCH(COLUMNS($AM$1006:AW1006),$AM$1006:$BM$1006,0)))),"Fix")))</f>
        <v xml:space="preserve"> </v>
      </c>
      <c r="M643" s="4" t="str">
        <f ca="1">IF(OR(INDEX($AG$2:$AG$1001,MATCH(ROWS($AF$2:AF643),$AF$2:$AF$1001,0),1)&gt;=100000,INDEX($AM$1005:$BM$1005,1,MATCH(COLUMNS($AM$1006:AX1006),$AM$1006:$BM$1006,0))&gt;=100000), " ",IF(INDEX($AM$2:$BM$1001,MATCH(ROWS($AF$2:AF643),$AF$2:$AF$1001,0),MATCH(COLUMNS($AM$1006:AX1006),$AM$1006:$BM$1006,0)), HYPERLINK("#",""), HYPERLINK(CONCATENATE("#metadata!", ADDRESS(INDEX($AH$2:$AH$1001,MATCH(ROWS($AF$2:AF643),$AF$2:$AF$1001,0),0), INDEX($AM$1004:$BM$1004,1,MATCH(COLUMNS($AM$1006:AX1006),$AM$1006:$BM$1006,0)))),"Fix")))</f>
        <v xml:space="preserve"> </v>
      </c>
      <c r="N643" s="4" t="str">
        <f ca="1">IF(OR(INDEX($AG$2:$AG$1001,MATCH(ROWS($AF$2:AF643),$AF$2:$AF$1001,0),1)&gt;=100000,INDEX($AM$1005:$BM$1005,1,MATCH(COLUMNS($AM$1006:AY1006),$AM$1006:$BM$1006,0))&gt;=100000), " ",IF(INDEX($AM$2:$BM$1001,MATCH(ROWS($AF$2:AF643),$AF$2:$AF$1001,0),MATCH(COLUMNS($AM$1006:AY1006),$AM$1006:$BM$1006,0)), HYPERLINK("#",""), HYPERLINK(CONCATENATE("#metadata!", ADDRESS(INDEX($AH$2:$AH$1001,MATCH(ROWS($AF$2:AF643),$AF$2:$AF$1001,0),0), INDEX($AM$1004:$BM$1004,1,MATCH(COLUMNS($AM$1006:AY1006),$AM$1006:$BM$1006,0)))),"Fix")))</f>
        <v xml:space="preserve"> </v>
      </c>
      <c r="O643" s="4" t="str">
        <f ca="1">IF(OR(INDEX($AG$2:$AG$1001,MATCH(ROWS($AF$2:AF643),$AF$2:$AF$1001,0),1)&gt;=100000,INDEX($AM$1005:$BM$1005,1,MATCH(COLUMNS($AM$1006:AZ1006),$AM$1006:$BM$1006,0))&gt;=100000), " ",IF(INDEX($AM$2:$BM$1001,MATCH(ROWS($AF$2:AF643),$AF$2:$AF$1001,0),MATCH(COLUMNS($AM$1006:AZ1006),$AM$1006:$BM$1006,0)), HYPERLINK("#",""), HYPERLINK(CONCATENATE("#metadata!", ADDRESS(INDEX($AH$2:$AH$1001,MATCH(ROWS($AF$2:AF643),$AF$2:$AF$1001,0),0), INDEX($AM$1004:$BM$1004,1,MATCH(COLUMNS($AM$1006:AZ1006),$AM$1006:$BM$1006,0)))),"Fix")))</f>
        <v xml:space="preserve"> </v>
      </c>
      <c r="P643" s="4" t="str">
        <f ca="1">IF(OR(INDEX($AG$2:$AG$1001,MATCH(ROWS($AF$2:AF643),$AF$2:$AF$1001,0),1)&gt;=100000,INDEX($AM$1005:$BM$1005,1,MATCH(COLUMNS($AM$1006:BA1006),$AM$1006:$BM$1006,0))&gt;=100000), " ",IF(INDEX($AM$2:$BM$1001,MATCH(ROWS($AF$2:AF643),$AF$2:$AF$1001,0),MATCH(COLUMNS($AM$1006:BA1006),$AM$1006:$BM$1006,0)), HYPERLINK("#",""), HYPERLINK(CONCATENATE("#metadata!", ADDRESS(INDEX($AH$2:$AH$1001,MATCH(ROWS($AF$2:AF643),$AF$2:$AF$1001,0),0), INDEX($AM$1004:$BM$1004,1,MATCH(COLUMNS($AM$1006:BA1006),$AM$1006:$BM$1006,0)))),"Fix")))</f>
        <v xml:space="preserve"> </v>
      </c>
      <c r="Q643" s="4" t="str">
        <f ca="1">IF(OR(INDEX($AG$2:$AG$1001,MATCH(ROWS($AF$2:AF643),$AF$2:$AF$1001,0),1)&gt;=100000,INDEX($AM$1005:$BM$1005,1,MATCH(COLUMNS($AM$1006:BB1006),$AM$1006:$BM$1006,0))&gt;=100000), " ",IF(INDEX($AM$2:$BM$1001,MATCH(ROWS($AF$2:AF643),$AF$2:$AF$1001,0),MATCH(COLUMNS($AM$1006:BB1006),$AM$1006:$BM$1006,0)), HYPERLINK("#",""), HYPERLINK(CONCATENATE("#metadata!", ADDRESS(INDEX($AH$2:$AH$1001,MATCH(ROWS($AF$2:AF643),$AF$2:$AF$1001,0),0), INDEX($AM$1004:$BM$1004,1,MATCH(COLUMNS($AM$1006:BB1006),$AM$1006:$BM$1006,0)))),"Fix")))</f>
        <v xml:space="preserve"> </v>
      </c>
      <c r="R643" s="4" t="str">
        <f ca="1">IF(OR(INDEX($AG$2:$AG$1001,MATCH(ROWS($AF$2:AF643),$AF$2:$AF$1001,0),1)&gt;=100000,INDEX($AM$1005:$BM$1005,1,MATCH(COLUMNS($AM$1006:BC1006),$AM$1006:$BM$1006,0))&gt;=100000), " ",IF(INDEX($AM$2:$BM$1001,MATCH(ROWS($AF$2:AF643),$AF$2:$AF$1001,0),MATCH(COLUMNS($AM$1006:BC1006),$AM$1006:$BM$1006,0)), HYPERLINK("#",""), HYPERLINK(CONCATENATE("#metadata!", ADDRESS(INDEX($AH$2:$AH$1001,MATCH(ROWS($AF$2:AF643),$AF$2:$AF$1001,0),0), INDEX($AM$1004:$BM$1004,1,MATCH(COLUMNS($AM$1006:BC1006),$AM$1006:$BM$1006,0)))),"Fix")))</f>
        <v xml:space="preserve"> </v>
      </c>
      <c r="S643" s="4" t="str">
        <f ca="1">IF(OR(INDEX($AG$2:$AG$1001,MATCH(ROWS($AF$2:AF643),$AF$2:$AF$1001,0),1)&gt;=100000,INDEX($AM$1005:$BM$1005,1,MATCH(COLUMNS($AM$1006:BD1006),$AM$1006:$BM$1006,0))&gt;=100000), " ",IF(INDEX($AM$2:$BM$1001,MATCH(ROWS($AF$2:AF643),$AF$2:$AF$1001,0),MATCH(COLUMNS($AM$1006:BD1006),$AM$1006:$BM$1006,0)), HYPERLINK("#",""), HYPERLINK(CONCATENATE("#metadata!", ADDRESS(INDEX($AH$2:$AH$1001,MATCH(ROWS($AF$2:AF643),$AF$2:$AF$1001,0),0), INDEX($AM$1004:$BM$1004,1,MATCH(COLUMNS($AM$1006:BD1006),$AM$1006:$BM$1006,0)))),"Fix")))</f>
        <v xml:space="preserve"> </v>
      </c>
      <c r="T643" s="4" t="str">
        <f ca="1">IF(OR(INDEX($AG$2:$AG$1001,MATCH(ROWS($AF$2:AF643),$AF$2:$AF$1001,0),1)&gt;=100000,INDEX($AM$1005:$BM$1005,1,MATCH(COLUMNS($AM$1006:BE1006),$AM$1006:$BM$1006,0))&gt;=100000), " ",IF(INDEX($AM$2:$BM$1001,MATCH(ROWS($AF$2:AF643),$AF$2:$AF$1001,0),MATCH(COLUMNS($AM$1006:BE1006),$AM$1006:$BM$1006,0)), HYPERLINK("#",""), HYPERLINK(CONCATENATE("#metadata!", ADDRESS(INDEX($AH$2:$AH$1001,MATCH(ROWS($AF$2:AF643),$AF$2:$AF$1001,0),0), INDEX($AM$1004:$BM$1004,1,MATCH(COLUMNS($AM$1006:BE1006),$AM$1006:$BM$1006,0)))),"Fix")))</f>
        <v xml:space="preserve"> </v>
      </c>
      <c r="U643" s="4" t="str">
        <f ca="1">IF(OR(INDEX($AG$2:$AG$1001,MATCH(ROWS($AF$2:AF643),$AF$2:$AF$1001,0),1)&gt;=100000,INDEX($AM$1005:$BM$1005,1,MATCH(COLUMNS($AM$1006:BF1006),$AM$1006:$BM$1006,0))&gt;=100000), " ",IF(INDEX($AM$2:$BM$1001,MATCH(ROWS($AF$2:AF643),$AF$2:$AF$1001,0),MATCH(COLUMNS($AM$1006:BF1006),$AM$1006:$BM$1006,0)), HYPERLINK("#",""), HYPERLINK(CONCATENATE("#metadata!", ADDRESS(INDEX($AH$2:$AH$1001,MATCH(ROWS($AF$2:AF643),$AF$2:$AF$1001,0),0), INDEX($AM$1004:$BM$1004,1,MATCH(COLUMNS($AM$1006:BF1006),$AM$1006:$BM$1006,0)))),"Fix")))</f>
        <v xml:space="preserve"> </v>
      </c>
      <c r="V643" s="4" t="str">
        <f ca="1">IF(OR(INDEX($AG$2:$AG$1001,MATCH(ROWS($AF$2:AF643),$AF$2:$AF$1001,0),1)&gt;=100000,INDEX($AM$1005:$BM$1005,1,MATCH(COLUMNS($AM$1006:BG1006),$AM$1006:$BM$1006,0))&gt;=100000), " ",IF(INDEX($AM$2:$BM$1001,MATCH(ROWS($AF$2:AF643),$AF$2:$AF$1001,0),MATCH(COLUMNS($AM$1006:BG1006),$AM$1006:$BM$1006,0)), HYPERLINK("#",""), HYPERLINK(CONCATENATE("#metadata!", ADDRESS(INDEX($AH$2:$AH$1001,MATCH(ROWS($AF$2:AF643),$AF$2:$AF$1001,0),0), INDEX($AM$1004:$BM$1004,1,MATCH(COLUMNS($AM$1006:BG1006),$AM$1006:$BM$1006,0)))),"Fix")))</f>
        <v xml:space="preserve"> </v>
      </c>
      <c r="W643" s="4" t="str">
        <f ca="1">IF(OR(INDEX($AG$2:$AG$1001,MATCH(ROWS($AF$2:AF643),$AF$2:$AF$1001,0),1)&gt;=100000,INDEX($AM$1005:$BM$1005,1,MATCH(COLUMNS($AM$1006:BH1006),$AM$1006:$BM$1006,0))&gt;=100000), " ",IF(INDEX($AM$2:$BM$1001,MATCH(ROWS($AF$2:AF643),$AF$2:$AF$1001,0),MATCH(COLUMNS($AM$1006:BH1006),$AM$1006:$BM$1006,0)), HYPERLINK("#",""), HYPERLINK(CONCATENATE("#metadata!", ADDRESS(INDEX($AH$2:$AH$1001,MATCH(ROWS($AF$2:AF643),$AF$2:$AF$1001,0),0), INDEX($AM$1004:$BM$1004,1,MATCH(COLUMNS($AM$1006:BH1006),$AM$1006:$BM$1006,0)))),"Fix")))</f>
        <v xml:space="preserve"> </v>
      </c>
      <c r="X643" s="4" t="str">
        <f ca="1">IF(OR(INDEX($AG$2:$AG$1001,MATCH(ROWS($AF$2:AF643),$AF$2:$AF$1001,0),1)&gt;=100000,INDEX($AM$1005:$BM$1005,1,MATCH(COLUMNS($AM$1006:BI1006),$AM$1006:$BM$1006,0))&gt;=100000), " ",IF(INDEX($AM$2:$BM$1001,MATCH(ROWS($AF$2:AF643),$AF$2:$AF$1001,0),MATCH(COLUMNS($AM$1006:BI1006),$AM$1006:$BM$1006,0)), HYPERLINK("#",""), HYPERLINK(CONCATENATE("#metadata!", ADDRESS(INDEX($AH$2:$AH$1001,MATCH(ROWS($AF$2:AF643),$AF$2:$AF$1001,0),0), INDEX($AM$1004:$BM$1004,1,MATCH(COLUMNS($AM$1006:BI1006),$AM$1006:$BM$1006,0)))),"Fix")))</f>
        <v xml:space="preserve"> </v>
      </c>
      <c r="Y643" s="4" t="str">
        <f ca="1">IF(OR(INDEX($AG$2:$AG$1001,MATCH(ROWS($AF$2:AF643),$AF$2:$AF$1001,0),1)&gt;=100000,INDEX($AM$1005:$BM$1005,1,MATCH(COLUMNS($AM$1006:BJ1006),$AM$1006:$BM$1006,0))&gt;=100000), " ",IF(INDEX($AM$2:$BM$1001,MATCH(ROWS($AF$2:AF643),$AF$2:$AF$1001,0),MATCH(COLUMNS($AM$1006:BJ1006),$AM$1006:$BM$1006,0)), HYPERLINK("#",""), HYPERLINK(CONCATENATE("#metadata!", ADDRESS(INDEX($AH$2:$AH$1001,MATCH(ROWS($AF$2:AF643),$AF$2:$AF$1001,0),0), INDEX($AM$1004:$BM$1004,1,MATCH(COLUMNS($AM$1006:BJ1006),$AM$1006:$BM$1006,0)))),"Fix")))</f>
        <v xml:space="preserve"> </v>
      </c>
      <c r="Z643" s="4" t="str">
        <f ca="1">IF(OR(INDEX($AG$2:$AG$1001,MATCH(ROWS($AF$2:AF643),$AF$2:$AF$1001,0),1)&gt;=100000,INDEX($AM$1005:$BM$1005,1,MATCH(COLUMNS($AM$1006:BK1006),$AM$1006:$BM$1006,0))&gt;=100000), " ",IF(INDEX($AM$2:$BM$1001,MATCH(ROWS($AF$2:AF643),$AF$2:$AF$1001,0),MATCH(COLUMNS($AM$1006:BK1006),$AM$1006:$BM$1006,0)), HYPERLINK("#",""), HYPERLINK(CONCATENATE("#metadata!", ADDRESS(INDEX($AH$2:$AH$1001,MATCH(ROWS($AF$2:AF643),$AF$2:$AF$1001,0),0), INDEX($AM$1004:$BM$1004,1,MATCH(COLUMNS($AM$1006:BK1006),$AM$1006:$BM$1006,0)))),"Fix")))</f>
        <v xml:space="preserve"> </v>
      </c>
      <c r="AA643" s="4" t="str">
        <f ca="1">IF(OR(INDEX($AG$2:$AG$1001,MATCH(ROWS($AF$2:AF643),$AF$2:$AF$1001,0),1)&gt;=100000,INDEX($AM$1005:$BM$1005,1,MATCH(COLUMNS($AM$1006:BL1006),$AM$1006:$BM$1006,0))&gt;=100000), " ",IF(INDEX($AM$2:$BM$1001,MATCH(ROWS($AF$2:AF643),$AF$2:$AF$1001,0),MATCH(COLUMNS($AM$1006:BL1006),$AM$1006:$BM$1006,0)), HYPERLINK("#",""), HYPERLINK(CONCATENATE("#metadata!", ADDRESS(INDEX($AH$2:$AH$1001,MATCH(ROWS($AF$2:AF643),$AF$2:$AF$1001,0),0), INDEX($AM$1004:$BM$1004,1,MATCH(COLUMNS($AM$1006:BL1006),$AM$1006:$BM$1006,0)))),"Fix")))</f>
        <v xml:space="preserve"> </v>
      </c>
      <c r="AB643" s="4" t="str">
        <f ca="1">IF(OR(INDEX($AG$2:$AG$1001,MATCH(ROWS($AF$2:AF643),$AF$2:$AF$1001,0),1)&gt;=100000,INDEX($AM$1005:$BM$1005,1,MATCH(COLUMNS($AM$1006:BM1006),$AM$1006:$BM$1006,0))&gt;=100000), " ",IF(INDEX($AM$2:$BM$1001,MATCH(ROWS($AF$2:AF643),$AF$2:$AF$1001,0),MATCH(COLUMNS($AM$1006:BM1006),$AM$1006:$BM$1006,0)), HYPERLINK("#",""), HYPERLINK(CONCATENATE("#metadata!", ADDRESS(INDEX($AH$2:$AH$1001,MATCH(ROWS($AF$2:AF643),$AF$2:$AF$1001,0),0), INDEX($AM$1004:$BM$1004,1,MATCH(COLUMNS($AM$1006:BM1006),$AM$1006:$BM$1006,0)))),"Fix")))</f>
        <v xml:space="preserve"> </v>
      </c>
      <c r="AF643">
        <v>642</v>
      </c>
      <c r="AG643">
        <v>100643</v>
      </c>
      <c r="AH643">
        <v>643</v>
      </c>
      <c r="AI643" t="b">
        <f t="shared" si="10"/>
        <v>1</v>
      </c>
      <c r="AJ643" t="b">
        <f>COUNTBLANK(metadata!B643:AB643)=COLUMNS(metadata!B643:AB643)</f>
        <v>1</v>
      </c>
      <c r="AK643" t="str">
        <v/>
      </c>
      <c r="AM643" t="b">
        <f ca="1">AND(IF(metadata!B643="",FALSE,TRUE),COUNTIF(metadata!B:B, metadata!B643) = 1,NOT(ISERROR(SUMPRODUCT(SEARCH(MID(metadata!B643,ROW(INDIRECT("1:"&amp;LEN(metadata!B643))), 1),"0123456789abcdefghijklmnopqrstuvwxyzABCDEFGHIJKLMNOPQRSTUVWXYZ.")))))</f>
        <v>0</v>
      </c>
      <c r="AN643" t="b">
        <f ca="1">OR(AND(IF(metadata!C643="",FALSE,TRUE),OR(EXACT(metadata!C643,"missing: not collected"),EXACT(metadata!C643,"missing: not provided"),EXACT(metadata!C643,"missing: restricted access"))),AND(IF(metadata!C643="",FALSE,TRUE),AND(AND(IFERROR(INT(LEFT(metadata!C643,4))&gt;1900,FALSE),IFERROR(INT(LEFT(metadata!C643,4))&lt;=YEAR(NOW()),FALSE)), OR(MID(metadata!C643,5,1)="", AND(AND(MID(metadata!C643,5,1)="-",IFERROR(INT(MID(metadata!C643,6,1))&gt;=0,FALSE),IFERROR(INT(MID(metadata!C643,6,1))&lt;=1,FALSE),NOT(MID(metadata!C643,7,1)=""),IFERROR(INT(MID(metadata!C643,6,2))&gt;=1,FALSE),IFERROR(INT(MID(metadata!C643,6,2))&lt;=12,FALSE)), OR(MID(metadata!C643,8,1)="", AND(AND(MID(metadata!C643,8,1)="-",IFERROR(INT(MID(metadata!C643,9,1))&gt;=0,FALSE),IFERROR(INT(MID(metadata!C643,9,1))&lt;=3,FALSE),NOT(MID(metadata!C643,10,1)=""),IFERROR(INT(MID(metadata!C643,9,2))&gt;=1,FALSE),IFERROR(INT(MID(metadata!C643,9,2))&lt;=31,FALSE)), OR(MID(metadata!C643,11,1)="", AND(AND(MID(metadata!C643,11,1)=" ",IFERROR(INT(MID(metadata!C643,12,1))&gt;=0,FALSE),IFERROR(INT(MID(metadata!C643,12,1))&lt;=2,FALSE),NOT(MID(metadata!C643,13,1)=""),IFERROR(INT(MID(metadata!C643,12,2))&gt;=0,FALSE),IFERROR(INT(MID(metadata!C643,12,2))&lt;=23,FALSE)), OR(MID(metadata!C643,14,1)="", AND(AND(MID(metadata!C643,14,1)=":",IFERROR(INT(MID(metadata!C643,15,1))&gt;=0,FALSE),IFERROR(INT(MID(metadata!C643,15,1))&lt;=5,FALSE),NOT(MID(metadata!C643,16,1)=""),IFERROR(INT(MID(metadata!C643,15,2))&gt;=0,FALSE),IFERROR(INT(MID(metadata!C643,15,2))&lt;=59,FALSE)), OR(MID(metadata!C643,17,1)="", AND(AND(MID(metadata!C643,17,1)=":",IFERROR(INT(MID(metadata!C643,18,1))&gt;=0,FALSE),IFERROR(INT(MID(metadata!C643,18,1))&lt;=5,FALSE),NOT(MID(metadata!C643,19,1)=""),IFERROR(INT(MID(metadata!C643,18,2))&gt;=0,FALSE),IFERROR(INT(MID(metadata!C643,18,2))&lt;=59,FALSE)), LEN(metadata!C643)&lt;=19)))))))))))))</f>
        <v>0</v>
      </c>
      <c r="AO643" t="b">
        <f>AND(IF(metadata!D643="",FALSE,TRUE),EXACT(metadata!D643,"Not applicable"))</f>
        <v>0</v>
      </c>
      <c r="AP643" t="b">
        <f>IF(metadata!E643="",FALSE,TRUE)</f>
        <v>0</v>
      </c>
      <c r="AQ643" t="b">
        <f>OR(AND(IF(metadata!F643="",FALSE,TRUE),OR(EXACT(metadata!F643,"missing: not collected"),EXACT(metadata!F643,"missing: not provided"))),AND(IF(metadata!F643="",FALSE,TRUE),OR(EXACT(metadata!F643,"TRUE"),EXACT(metadata!F643,"FALSE"))))</f>
        <v>0</v>
      </c>
      <c r="AR643" t="b">
        <f>OR(AND(IF(metadata!G643="",FALSE,TRUE),OR(EXACT(metadata!G643,"missing: not collected"),EXACT(metadata!G643,"missing: not provided"),EXACT(metadata!G643,"missing: restricted access"))),AND(IF(metadata!G643="",FALSE,ISNUMBER(VALUE(metadata!G643))),metadata!G643&gt;=-413))</f>
        <v>0</v>
      </c>
      <c r="AS643" t="b">
        <f>AND(IF(metadata!H643="",FALSE,TRUE),EXACT(metadata!H643,"meters"))</f>
        <v>0</v>
      </c>
      <c r="AT643" t="b">
        <f>AND(IF(metadata!I643="",FALSE,TRUE),OR(EXACT(metadata!I643,"Host-associated"),EXACT(metadata!I643,"Free-living")))</f>
        <v>0</v>
      </c>
      <c r="AU643" t="b">
        <f>AND(IF(metadata!J643="",FALSE,TRUE),OR(EXACT(metadata!J643,"Animal"),EXACT(metadata!J643,"Fungus"),EXACT(metadata!J643,"Plant"),EXACT(metadata!J643,"Saline"),EXACT(metadata!J643,"Non-saline")))</f>
        <v>0</v>
      </c>
      <c r="AV643" t="b">
        <f>AND(IF(metadata!K643="",FALSE,TRUE),OR(EXACT(metadata!K643,"Plant secretion"),EXACT(metadata!K643,"Plant rhizosphere"),EXACT(metadata!K643,"Plant surface"),EXACT(metadata!K643,"Plant corpus"),EXACT(metadata!K643,"Fungus surface"),EXACT(metadata!K643,"Fungus corpus"),EXACT(metadata!K643,"Animal surface"),EXACT(metadata!K643,"Animal proximal gut"),EXACT(metadata!K643,"Animal corpus"),EXACT(metadata!K643,"Animal distal gut"),EXACT(metadata!K643,"Animal secretion"),EXACT(metadata!K643,"Sub-surface (non-saline)"),EXACT(metadata!K643,"Surface (non-saline)"),EXACT(metadata!K643,"Water (non-saline)"),EXACT(metadata!K643,"Soil (non-saline)"),EXACT(metadata!K643,"Aerosol (non-saline)"),EXACT(metadata!K643,"Sediment (non-saline)"),EXACT(metadata!K643,"Surface (saline)"),EXACT(metadata!K643,"Water (saline)"),EXACT(metadata!K643,"Hypersaline (saline)"),EXACT(metadata!K643,"Aerosol (saline)"),EXACT(metadata!K643,"Sediment (saline)")))</f>
        <v>0</v>
      </c>
      <c r="AW643" t="b">
        <f>IF(metadata!L643="",FALSE,TRUE)</f>
        <v>0</v>
      </c>
      <c r="AX643" t="b">
        <f>IF(metadata!M643="",FALSE,TRUE)</f>
        <v>0</v>
      </c>
      <c r="AY643" t="b">
        <f>IF(metadata!N643="",FALSE,TRUE)</f>
        <v>0</v>
      </c>
      <c r="AZ643" t="b">
        <f>OR(AND(IF(metadata!O643="",FALSE,TRUE),OR(EXACT(metadata!O643,"missing: not collected"),EXACT(metadata!O643,"missing: not provided"),EXACT(metadata!O643,"missing: restricted access"))),AND(IF(metadata!O643="",FALSE,TRUE),OR(EXACT(metadata!O643,"air"),EXACT(metadata!O643,"built environment"),EXACT(metadata!O643,"host-associated"),EXACT(metadata!O643,"human-associated"),EXACT(metadata!O643,"human-skin"),EXACT(metadata!O643,"human-oral"),EXACT(metadata!O643,"human-gut"),EXACT(metadata!O643,"human-vaginal"),EXACT(metadata!O643,"microbial mat/biofilm"),EXACT(metadata!O643,"misc environment"),EXACT(metadata!O643,"plant-associated"),EXACT(metadata!O643,"sediment"),EXACT(metadata!O643,"soil"),EXACT(metadata!O643,"wastewater/sludge"),EXACT(metadata!O643,"water"))))</f>
        <v>0</v>
      </c>
      <c r="BA643" t="b">
        <f>IF(metadata!P643="",FALSE,TRUE)</f>
        <v>0</v>
      </c>
      <c r="BB643" t="b">
        <f>IF(metadata!Q643="",FALSE,TRUE)</f>
        <v>0</v>
      </c>
      <c r="BC643" t="b">
        <f>OR(AND(IF(metadata!R643="",FALSE,TRUE),OR(EXACT(metadata!R643,"missing: not collected"),EXACT(metadata!R643,"missing: not provided"),EXACT(metadata!R643,"missing: restricted access"))),AND(IF(metadata!R643="",FALSE,ISNUMBER(VALUE(metadata!R643))),metadata!R643&gt;=-90,metadata!R643&lt;=90))</f>
        <v>0</v>
      </c>
      <c r="BD643" t="b">
        <f>AND(IF(metadata!S643="",FALSE,TRUE),EXACT(metadata!S643,"Decimal degrees"))</f>
        <v>0</v>
      </c>
      <c r="BE643" t="b">
        <f>OR(AND(IF(metadata!T643="",FALSE,TRUE),OR(EXACT(metadata!T643,"missing: not collected"),EXACT(metadata!T643,"missing: not provided"),EXACT(metadata!T643,"missing: restricted access"))),AND(IF(metadata!T643="",FALSE,ISNUMBER(VALUE(metadata!T643))),metadata!T643&gt;=-180,metadata!T643&lt;=180))</f>
        <v>0</v>
      </c>
      <c r="BF643" t="b">
        <f>AND(IF(metadata!U643="",FALSE,TRUE),EXACT(metadata!U643,"Decimal degrees"))</f>
        <v>0</v>
      </c>
      <c r="BG643" t="b">
        <f>IF(metadata!V643="",FALSE,TRUE)</f>
        <v>0</v>
      </c>
      <c r="BH643" t="b">
        <f>OR(AND(IF(metadata!W643="",FALSE,TRUE),OR(EXACT(metadata!W643,"missing: not collected"),EXACT(metadata!W643,"missing: not provided"),EXACT(metadata!W643,"missing: restricted access"))),AND(IF(metadata!W643="",FALSE,TRUE),OR(EXACT(metadata!W643,"TRUE"),EXACT(metadata!W643,"FALSE"))))</f>
        <v>0</v>
      </c>
      <c r="BI643" t="b">
        <f>AND(IF(metadata!X643="",FALSE,TRUE),EXACT(metadata!X643,"other"))</f>
        <v>0</v>
      </c>
      <c r="BJ643" t="b">
        <f>IF(metadata!Y643="",FALSE,TRUE)</f>
        <v>0</v>
      </c>
      <c r="BK643" t="b">
        <f>OR(AND(IF(metadata!Z643="",FALSE,TRUE),OR(EXACT(metadata!Z643,"missing: not collected"),EXACT(metadata!Z643,"missing: not provided"))),AND(IF(metadata!Z643="",FALSE,IF(ISERROR(INT(metadata!Z643)),FALSE,INT(metadata!Z643)=metadata!Z643)),metadata!Z643&gt;0))</f>
        <v>0</v>
      </c>
      <c r="BL643" t="b">
        <f>AND(IF(metadata!AA643="",FALSE,TRUE),EXACT(metadata!AA643,"Not applicable"))</f>
        <v>0</v>
      </c>
      <c r="BM643" t="b">
        <f>IF(metadata!AB643="",FALSE,TRUE)</f>
        <v>0</v>
      </c>
    </row>
    <row r="644" spans="1:65" x14ac:dyDescent="0.2">
      <c r="A644" s="5" t="str">
        <f ca="1">IF(B644=" "," ",HYPERLINK(CONCATENATE("#metadata!",ADDRESS(INDEX($AH$2:$AH$1001,MATCH(ROWS($AF$2:AF644),$AF$2:$AF$1001,0),0),1)),INDEX($AK$2:$AK$1001,MATCH(ROWS($AF$2:AF644),$AF$2:$AF$1001,0),0)))</f>
        <v xml:space="preserve"> </v>
      </c>
      <c r="B644" s="4" t="str">
        <f ca="1">IF(OR(INDEX($AG$2:$AG$1001,MATCH(ROWS($AF$2:AF644),$AF$2:$AF$1001,0),1)&gt;=100000,INDEX($AM$1005:$BM$1005,1,MATCH(COLUMNS($AM$1006:AM1006),$AM$1006:$BM$1006,0))&gt;=100000), " ",IF(INDEX($AM$2:$BM$1001,MATCH(ROWS($AF$2:AF644),$AF$2:$AF$1001,0),MATCH(COLUMNS($AM$1006:AM1006),$AM$1006:$BM$1006,0)), HYPERLINK("#",""), HYPERLINK(CONCATENATE("#metadata!", ADDRESS(INDEX($AH$2:$AH$1001,MATCH(ROWS($AF$2:AF644),$AF$2:$AF$1001,0),0), INDEX($AM$1004:$BM$1004,1,MATCH(COLUMNS($AM$1006:AM1006),$AM$1006:$BM$1006,0)))),"Fix")))</f>
        <v xml:space="preserve"> </v>
      </c>
      <c r="C644" s="4" t="str">
        <f ca="1">IF(OR(INDEX($AG$2:$AG$1001,MATCH(ROWS($AF$2:AF644),$AF$2:$AF$1001,0),1)&gt;=100000,INDEX($AM$1005:$BM$1005,1,MATCH(COLUMNS($AM$1006:AN1006),$AM$1006:$BM$1006,0))&gt;=100000), " ",IF(INDEX($AM$2:$BM$1001,MATCH(ROWS($AF$2:AF644),$AF$2:$AF$1001,0),MATCH(COLUMNS($AM$1006:AN1006),$AM$1006:$BM$1006,0)), HYPERLINK("#",""), HYPERLINK(CONCATENATE("#metadata!", ADDRESS(INDEX($AH$2:$AH$1001,MATCH(ROWS($AF$2:AF644),$AF$2:$AF$1001,0),0), INDEX($AM$1004:$BM$1004,1,MATCH(COLUMNS($AM$1006:AN1006),$AM$1006:$BM$1006,0)))),"Fix")))</f>
        <v xml:space="preserve"> </v>
      </c>
      <c r="D644" s="4" t="str">
        <f ca="1">IF(OR(INDEX($AG$2:$AG$1001,MATCH(ROWS($AF$2:AF644),$AF$2:$AF$1001,0),1)&gt;=100000,INDEX($AM$1005:$BM$1005,1,MATCH(COLUMNS($AM$1006:AO1006),$AM$1006:$BM$1006,0))&gt;=100000), " ",IF(INDEX($AM$2:$BM$1001,MATCH(ROWS($AF$2:AF644),$AF$2:$AF$1001,0),MATCH(COLUMNS($AM$1006:AO1006),$AM$1006:$BM$1006,0)), HYPERLINK("#",""), HYPERLINK(CONCATENATE("#metadata!", ADDRESS(INDEX($AH$2:$AH$1001,MATCH(ROWS($AF$2:AF644),$AF$2:$AF$1001,0),0), INDEX($AM$1004:$BM$1004,1,MATCH(COLUMNS($AM$1006:AO1006),$AM$1006:$BM$1006,0)))),"Fix")))</f>
        <v xml:space="preserve"> </v>
      </c>
      <c r="E644" s="4" t="str">
        <f ca="1">IF(OR(INDEX($AG$2:$AG$1001,MATCH(ROWS($AF$2:AF644),$AF$2:$AF$1001,0),1)&gt;=100000,INDEX($AM$1005:$BM$1005,1,MATCH(COLUMNS($AM$1006:AP1006),$AM$1006:$BM$1006,0))&gt;=100000), " ",IF(INDEX($AM$2:$BM$1001,MATCH(ROWS($AF$2:AF644),$AF$2:$AF$1001,0),MATCH(COLUMNS($AM$1006:AP1006),$AM$1006:$BM$1006,0)), HYPERLINK("#",""), HYPERLINK(CONCATENATE("#metadata!", ADDRESS(INDEX($AH$2:$AH$1001,MATCH(ROWS($AF$2:AF644),$AF$2:$AF$1001,0),0), INDEX($AM$1004:$BM$1004,1,MATCH(COLUMNS($AM$1006:AP1006),$AM$1006:$BM$1006,0)))),"Fix")))</f>
        <v xml:space="preserve"> </v>
      </c>
      <c r="F644" s="4" t="str">
        <f ca="1">IF(OR(INDEX($AG$2:$AG$1001,MATCH(ROWS($AF$2:AF644),$AF$2:$AF$1001,0),1)&gt;=100000,INDEX($AM$1005:$BM$1005,1,MATCH(COLUMNS($AM$1006:AQ1006),$AM$1006:$BM$1006,0))&gt;=100000), " ",IF(INDEX($AM$2:$BM$1001,MATCH(ROWS($AF$2:AF644),$AF$2:$AF$1001,0),MATCH(COLUMNS($AM$1006:AQ1006),$AM$1006:$BM$1006,0)), HYPERLINK("#",""), HYPERLINK(CONCATENATE("#metadata!", ADDRESS(INDEX($AH$2:$AH$1001,MATCH(ROWS($AF$2:AF644),$AF$2:$AF$1001,0),0), INDEX($AM$1004:$BM$1004,1,MATCH(COLUMNS($AM$1006:AQ1006),$AM$1006:$BM$1006,0)))),"Fix")))</f>
        <v xml:space="preserve"> </v>
      </c>
      <c r="G644" s="4" t="str">
        <f ca="1">IF(OR(INDEX($AG$2:$AG$1001,MATCH(ROWS($AF$2:AF644),$AF$2:$AF$1001,0),1)&gt;=100000,INDEX($AM$1005:$BM$1005,1,MATCH(COLUMNS($AM$1006:AR1006),$AM$1006:$BM$1006,0))&gt;=100000), " ",IF(INDEX($AM$2:$BM$1001,MATCH(ROWS($AF$2:AF644),$AF$2:$AF$1001,0),MATCH(COLUMNS($AM$1006:AR1006),$AM$1006:$BM$1006,0)), HYPERLINK("#",""), HYPERLINK(CONCATENATE("#metadata!", ADDRESS(INDEX($AH$2:$AH$1001,MATCH(ROWS($AF$2:AF644),$AF$2:$AF$1001,0),0), INDEX($AM$1004:$BM$1004,1,MATCH(COLUMNS($AM$1006:AR1006),$AM$1006:$BM$1006,0)))),"Fix")))</f>
        <v xml:space="preserve"> </v>
      </c>
      <c r="H644" s="4" t="str">
        <f ca="1">IF(OR(INDEX($AG$2:$AG$1001,MATCH(ROWS($AF$2:AF644),$AF$2:$AF$1001,0),1)&gt;=100000,INDEX($AM$1005:$BM$1005,1,MATCH(COLUMNS($AM$1006:AS1006),$AM$1006:$BM$1006,0))&gt;=100000), " ",IF(INDEX($AM$2:$BM$1001,MATCH(ROWS($AF$2:AF644),$AF$2:$AF$1001,0),MATCH(COLUMNS($AM$1006:AS1006),$AM$1006:$BM$1006,0)), HYPERLINK("#",""), HYPERLINK(CONCATENATE("#metadata!", ADDRESS(INDEX($AH$2:$AH$1001,MATCH(ROWS($AF$2:AF644),$AF$2:$AF$1001,0),0), INDEX($AM$1004:$BM$1004,1,MATCH(COLUMNS($AM$1006:AS1006),$AM$1006:$BM$1006,0)))),"Fix")))</f>
        <v xml:space="preserve"> </v>
      </c>
      <c r="I644" s="4" t="str">
        <f ca="1">IF(OR(INDEX($AG$2:$AG$1001,MATCH(ROWS($AF$2:AF644),$AF$2:$AF$1001,0),1)&gt;=100000,INDEX($AM$1005:$BM$1005,1,MATCH(COLUMNS($AM$1006:AT1006),$AM$1006:$BM$1006,0))&gt;=100000), " ",IF(INDEX($AM$2:$BM$1001,MATCH(ROWS($AF$2:AF644),$AF$2:$AF$1001,0),MATCH(COLUMNS($AM$1006:AT1006),$AM$1006:$BM$1006,0)), HYPERLINK("#",""), HYPERLINK(CONCATENATE("#metadata!", ADDRESS(INDEX($AH$2:$AH$1001,MATCH(ROWS($AF$2:AF644),$AF$2:$AF$1001,0),0), INDEX($AM$1004:$BM$1004,1,MATCH(COLUMNS($AM$1006:AT1006),$AM$1006:$BM$1006,0)))),"Fix")))</f>
        <v xml:space="preserve"> </v>
      </c>
      <c r="J644" s="4" t="str">
        <f ca="1">IF(OR(INDEX($AG$2:$AG$1001,MATCH(ROWS($AF$2:AF644),$AF$2:$AF$1001,0),1)&gt;=100000,INDEX($AM$1005:$BM$1005,1,MATCH(COLUMNS($AM$1006:AU1006),$AM$1006:$BM$1006,0))&gt;=100000), " ",IF(INDEX($AM$2:$BM$1001,MATCH(ROWS($AF$2:AF644),$AF$2:$AF$1001,0),MATCH(COLUMNS($AM$1006:AU1006),$AM$1006:$BM$1006,0)), HYPERLINK("#",""), HYPERLINK(CONCATENATE("#metadata!", ADDRESS(INDEX($AH$2:$AH$1001,MATCH(ROWS($AF$2:AF644),$AF$2:$AF$1001,0),0), INDEX($AM$1004:$BM$1004,1,MATCH(COLUMNS($AM$1006:AU1006),$AM$1006:$BM$1006,0)))),"Fix")))</f>
        <v xml:space="preserve"> </v>
      </c>
      <c r="K644" s="4" t="str">
        <f ca="1">IF(OR(INDEX($AG$2:$AG$1001,MATCH(ROWS($AF$2:AF644),$AF$2:$AF$1001,0),1)&gt;=100000,INDEX($AM$1005:$BM$1005,1,MATCH(COLUMNS($AM$1006:AV1006),$AM$1006:$BM$1006,0))&gt;=100000), " ",IF(INDEX($AM$2:$BM$1001,MATCH(ROWS($AF$2:AF644),$AF$2:$AF$1001,0),MATCH(COLUMNS($AM$1006:AV1006),$AM$1006:$BM$1006,0)), HYPERLINK("#",""), HYPERLINK(CONCATENATE("#metadata!", ADDRESS(INDEX($AH$2:$AH$1001,MATCH(ROWS($AF$2:AF644),$AF$2:$AF$1001,0),0), INDEX($AM$1004:$BM$1004,1,MATCH(COLUMNS($AM$1006:AV1006),$AM$1006:$BM$1006,0)))),"Fix")))</f>
        <v xml:space="preserve"> </v>
      </c>
      <c r="L644" s="4" t="str">
        <f ca="1">IF(OR(INDEX($AG$2:$AG$1001,MATCH(ROWS($AF$2:AF644),$AF$2:$AF$1001,0),1)&gt;=100000,INDEX($AM$1005:$BM$1005,1,MATCH(COLUMNS($AM$1006:AW1006),$AM$1006:$BM$1006,0))&gt;=100000), " ",IF(INDEX($AM$2:$BM$1001,MATCH(ROWS($AF$2:AF644),$AF$2:$AF$1001,0),MATCH(COLUMNS($AM$1006:AW1006),$AM$1006:$BM$1006,0)), HYPERLINK("#",""), HYPERLINK(CONCATENATE("#metadata!", ADDRESS(INDEX($AH$2:$AH$1001,MATCH(ROWS($AF$2:AF644),$AF$2:$AF$1001,0),0), INDEX($AM$1004:$BM$1004,1,MATCH(COLUMNS($AM$1006:AW1006),$AM$1006:$BM$1006,0)))),"Fix")))</f>
        <v xml:space="preserve"> </v>
      </c>
      <c r="M644" s="4" t="str">
        <f ca="1">IF(OR(INDEX($AG$2:$AG$1001,MATCH(ROWS($AF$2:AF644),$AF$2:$AF$1001,0),1)&gt;=100000,INDEX($AM$1005:$BM$1005,1,MATCH(COLUMNS($AM$1006:AX1006),$AM$1006:$BM$1006,0))&gt;=100000), " ",IF(INDEX($AM$2:$BM$1001,MATCH(ROWS($AF$2:AF644),$AF$2:$AF$1001,0),MATCH(COLUMNS($AM$1006:AX1006),$AM$1006:$BM$1006,0)), HYPERLINK("#",""), HYPERLINK(CONCATENATE("#metadata!", ADDRESS(INDEX($AH$2:$AH$1001,MATCH(ROWS($AF$2:AF644),$AF$2:$AF$1001,0),0), INDEX($AM$1004:$BM$1004,1,MATCH(COLUMNS($AM$1006:AX1006),$AM$1006:$BM$1006,0)))),"Fix")))</f>
        <v xml:space="preserve"> </v>
      </c>
      <c r="N644" s="4" t="str">
        <f ca="1">IF(OR(INDEX($AG$2:$AG$1001,MATCH(ROWS($AF$2:AF644),$AF$2:$AF$1001,0),1)&gt;=100000,INDEX($AM$1005:$BM$1005,1,MATCH(COLUMNS($AM$1006:AY1006),$AM$1006:$BM$1006,0))&gt;=100000), " ",IF(INDEX($AM$2:$BM$1001,MATCH(ROWS($AF$2:AF644),$AF$2:$AF$1001,0),MATCH(COLUMNS($AM$1006:AY1006),$AM$1006:$BM$1006,0)), HYPERLINK("#",""), HYPERLINK(CONCATENATE("#metadata!", ADDRESS(INDEX($AH$2:$AH$1001,MATCH(ROWS($AF$2:AF644),$AF$2:$AF$1001,0),0), INDEX($AM$1004:$BM$1004,1,MATCH(COLUMNS($AM$1006:AY1006),$AM$1006:$BM$1006,0)))),"Fix")))</f>
        <v xml:space="preserve"> </v>
      </c>
      <c r="O644" s="4" t="str">
        <f ca="1">IF(OR(INDEX($AG$2:$AG$1001,MATCH(ROWS($AF$2:AF644),$AF$2:$AF$1001,0),1)&gt;=100000,INDEX($AM$1005:$BM$1005,1,MATCH(COLUMNS($AM$1006:AZ1006),$AM$1006:$BM$1006,0))&gt;=100000), " ",IF(INDEX($AM$2:$BM$1001,MATCH(ROWS($AF$2:AF644),$AF$2:$AF$1001,0),MATCH(COLUMNS($AM$1006:AZ1006),$AM$1006:$BM$1006,0)), HYPERLINK("#",""), HYPERLINK(CONCATENATE("#metadata!", ADDRESS(INDEX($AH$2:$AH$1001,MATCH(ROWS($AF$2:AF644),$AF$2:$AF$1001,0),0), INDEX($AM$1004:$BM$1004,1,MATCH(COLUMNS($AM$1006:AZ1006),$AM$1006:$BM$1006,0)))),"Fix")))</f>
        <v xml:space="preserve"> </v>
      </c>
      <c r="P644" s="4" t="str">
        <f ca="1">IF(OR(INDEX($AG$2:$AG$1001,MATCH(ROWS($AF$2:AF644),$AF$2:$AF$1001,0),1)&gt;=100000,INDEX($AM$1005:$BM$1005,1,MATCH(COLUMNS($AM$1006:BA1006),$AM$1006:$BM$1006,0))&gt;=100000), " ",IF(INDEX($AM$2:$BM$1001,MATCH(ROWS($AF$2:AF644),$AF$2:$AF$1001,0),MATCH(COLUMNS($AM$1006:BA1006),$AM$1006:$BM$1006,0)), HYPERLINK("#",""), HYPERLINK(CONCATENATE("#metadata!", ADDRESS(INDEX($AH$2:$AH$1001,MATCH(ROWS($AF$2:AF644),$AF$2:$AF$1001,0),0), INDEX($AM$1004:$BM$1004,1,MATCH(COLUMNS($AM$1006:BA1006),$AM$1006:$BM$1006,0)))),"Fix")))</f>
        <v xml:space="preserve"> </v>
      </c>
      <c r="Q644" s="4" t="str">
        <f ca="1">IF(OR(INDEX($AG$2:$AG$1001,MATCH(ROWS($AF$2:AF644),$AF$2:$AF$1001,0),1)&gt;=100000,INDEX($AM$1005:$BM$1005,1,MATCH(COLUMNS($AM$1006:BB1006),$AM$1006:$BM$1006,0))&gt;=100000), " ",IF(INDEX($AM$2:$BM$1001,MATCH(ROWS($AF$2:AF644),$AF$2:$AF$1001,0),MATCH(COLUMNS($AM$1006:BB1006),$AM$1006:$BM$1006,0)), HYPERLINK("#",""), HYPERLINK(CONCATENATE("#metadata!", ADDRESS(INDEX($AH$2:$AH$1001,MATCH(ROWS($AF$2:AF644),$AF$2:$AF$1001,0),0), INDEX($AM$1004:$BM$1004,1,MATCH(COLUMNS($AM$1006:BB1006),$AM$1006:$BM$1006,0)))),"Fix")))</f>
        <v xml:space="preserve"> </v>
      </c>
      <c r="R644" s="4" t="str">
        <f ca="1">IF(OR(INDEX($AG$2:$AG$1001,MATCH(ROWS($AF$2:AF644),$AF$2:$AF$1001,0),1)&gt;=100000,INDEX($AM$1005:$BM$1005,1,MATCH(COLUMNS($AM$1006:BC1006),$AM$1006:$BM$1006,0))&gt;=100000), " ",IF(INDEX($AM$2:$BM$1001,MATCH(ROWS($AF$2:AF644),$AF$2:$AF$1001,0),MATCH(COLUMNS($AM$1006:BC1006),$AM$1006:$BM$1006,0)), HYPERLINK("#",""), HYPERLINK(CONCATENATE("#metadata!", ADDRESS(INDEX($AH$2:$AH$1001,MATCH(ROWS($AF$2:AF644),$AF$2:$AF$1001,0),0), INDEX($AM$1004:$BM$1004,1,MATCH(COLUMNS($AM$1006:BC1006),$AM$1006:$BM$1006,0)))),"Fix")))</f>
        <v xml:space="preserve"> </v>
      </c>
      <c r="S644" s="4" t="str">
        <f ca="1">IF(OR(INDEX($AG$2:$AG$1001,MATCH(ROWS($AF$2:AF644),$AF$2:$AF$1001,0),1)&gt;=100000,INDEX($AM$1005:$BM$1005,1,MATCH(COLUMNS($AM$1006:BD1006),$AM$1006:$BM$1006,0))&gt;=100000), " ",IF(INDEX($AM$2:$BM$1001,MATCH(ROWS($AF$2:AF644),$AF$2:$AF$1001,0),MATCH(COLUMNS($AM$1006:BD1006),$AM$1006:$BM$1006,0)), HYPERLINK("#",""), HYPERLINK(CONCATENATE("#metadata!", ADDRESS(INDEX($AH$2:$AH$1001,MATCH(ROWS($AF$2:AF644),$AF$2:$AF$1001,0),0), INDEX($AM$1004:$BM$1004,1,MATCH(COLUMNS($AM$1006:BD1006),$AM$1006:$BM$1006,0)))),"Fix")))</f>
        <v xml:space="preserve"> </v>
      </c>
      <c r="T644" s="4" t="str">
        <f ca="1">IF(OR(INDEX($AG$2:$AG$1001,MATCH(ROWS($AF$2:AF644),$AF$2:$AF$1001,0),1)&gt;=100000,INDEX($AM$1005:$BM$1005,1,MATCH(COLUMNS($AM$1006:BE1006),$AM$1006:$BM$1006,0))&gt;=100000), " ",IF(INDEX($AM$2:$BM$1001,MATCH(ROWS($AF$2:AF644),$AF$2:$AF$1001,0),MATCH(COLUMNS($AM$1006:BE1006),$AM$1006:$BM$1006,0)), HYPERLINK("#",""), HYPERLINK(CONCATENATE("#metadata!", ADDRESS(INDEX($AH$2:$AH$1001,MATCH(ROWS($AF$2:AF644),$AF$2:$AF$1001,0),0), INDEX($AM$1004:$BM$1004,1,MATCH(COLUMNS($AM$1006:BE1006),$AM$1006:$BM$1006,0)))),"Fix")))</f>
        <v xml:space="preserve"> </v>
      </c>
      <c r="U644" s="4" t="str">
        <f ca="1">IF(OR(INDEX($AG$2:$AG$1001,MATCH(ROWS($AF$2:AF644),$AF$2:$AF$1001,0),1)&gt;=100000,INDEX($AM$1005:$BM$1005,1,MATCH(COLUMNS($AM$1006:BF1006),$AM$1006:$BM$1006,0))&gt;=100000), " ",IF(INDEX($AM$2:$BM$1001,MATCH(ROWS($AF$2:AF644),$AF$2:$AF$1001,0),MATCH(COLUMNS($AM$1006:BF1006),$AM$1006:$BM$1006,0)), HYPERLINK("#",""), HYPERLINK(CONCATENATE("#metadata!", ADDRESS(INDEX($AH$2:$AH$1001,MATCH(ROWS($AF$2:AF644),$AF$2:$AF$1001,0),0), INDEX($AM$1004:$BM$1004,1,MATCH(COLUMNS($AM$1006:BF1006),$AM$1006:$BM$1006,0)))),"Fix")))</f>
        <v xml:space="preserve"> </v>
      </c>
      <c r="V644" s="4" t="str">
        <f ca="1">IF(OR(INDEX($AG$2:$AG$1001,MATCH(ROWS($AF$2:AF644),$AF$2:$AF$1001,0),1)&gt;=100000,INDEX($AM$1005:$BM$1005,1,MATCH(COLUMNS($AM$1006:BG1006),$AM$1006:$BM$1006,0))&gt;=100000), " ",IF(INDEX($AM$2:$BM$1001,MATCH(ROWS($AF$2:AF644),$AF$2:$AF$1001,0),MATCH(COLUMNS($AM$1006:BG1006),$AM$1006:$BM$1006,0)), HYPERLINK("#",""), HYPERLINK(CONCATENATE("#metadata!", ADDRESS(INDEX($AH$2:$AH$1001,MATCH(ROWS($AF$2:AF644),$AF$2:$AF$1001,0),0), INDEX($AM$1004:$BM$1004,1,MATCH(COLUMNS($AM$1006:BG1006),$AM$1006:$BM$1006,0)))),"Fix")))</f>
        <v xml:space="preserve"> </v>
      </c>
      <c r="W644" s="4" t="str">
        <f ca="1">IF(OR(INDEX($AG$2:$AG$1001,MATCH(ROWS($AF$2:AF644),$AF$2:$AF$1001,0),1)&gt;=100000,INDEX($AM$1005:$BM$1005,1,MATCH(COLUMNS($AM$1006:BH1006),$AM$1006:$BM$1006,0))&gt;=100000), " ",IF(INDEX($AM$2:$BM$1001,MATCH(ROWS($AF$2:AF644),$AF$2:$AF$1001,0),MATCH(COLUMNS($AM$1006:BH1006),$AM$1006:$BM$1006,0)), HYPERLINK("#",""), HYPERLINK(CONCATENATE("#metadata!", ADDRESS(INDEX($AH$2:$AH$1001,MATCH(ROWS($AF$2:AF644),$AF$2:$AF$1001,0),0), INDEX($AM$1004:$BM$1004,1,MATCH(COLUMNS($AM$1006:BH1006),$AM$1006:$BM$1006,0)))),"Fix")))</f>
        <v xml:space="preserve"> </v>
      </c>
      <c r="X644" s="4" t="str">
        <f ca="1">IF(OR(INDEX($AG$2:$AG$1001,MATCH(ROWS($AF$2:AF644),$AF$2:$AF$1001,0),1)&gt;=100000,INDEX($AM$1005:$BM$1005,1,MATCH(COLUMNS($AM$1006:BI1006),$AM$1006:$BM$1006,0))&gt;=100000), " ",IF(INDEX($AM$2:$BM$1001,MATCH(ROWS($AF$2:AF644),$AF$2:$AF$1001,0),MATCH(COLUMNS($AM$1006:BI1006),$AM$1006:$BM$1006,0)), HYPERLINK("#",""), HYPERLINK(CONCATENATE("#metadata!", ADDRESS(INDEX($AH$2:$AH$1001,MATCH(ROWS($AF$2:AF644),$AF$2:$AF$1001,0),0), INDEX($AM$1004:$BM$1004,1,MATCH(COLUMNS($AM$1006:BI1006),$AM$1006:$BM$1006,0)))),"Fix")))</f>
        <v xml:space="preserve"> </v>
      </c>
      <c r="Y644" s="4" t="str">
        <f ca="1">IF(OR(INDEX($AG$2:$AG$1001,MATCH(ROWS($AF$2:AF644),$AF$2:$AF$1001,0),1)&gt;=100000,INDEX($AM$1005:$BM$1005,1,MATCH(COLUMNS($AM$1006:BJ1006),$AM$1006:$BM$1006,0))&gt;=100000), " ",IF(INDEX($AM$2:$BM$1001,MATCH(ROWS($AF$2:AF644),$AF$2:$AF$1001,0),MATCH(COLUMNS($AM$1006:BJ1006),$AM$1006:$BM$1006,0)), HYPERLINK("#",""), HYPERLINK(CONCATENATE("#metadata!", ADDRESS(INDEX($AH$2:$AH$1001,MATCH(ROWS($AF$2:AF644),$AF$2:$AF$1001,0),0), INDEX($AM$1004:$BM$1004,1,MATCH(COLUMNS($AM$1006:BJ1006),$AM$1006:$BM$1006,0)))),"Fix")))</f>
        <v xml:space="preserve"> </v>
      </c>
      <c r="Z644" s="4" t="str">
        <f ca="1">IF(OR(INDEX($AG$2:$AG$1001,MATCH(ROWS($AF$2:AF644),$AF$2:$AF$1001,0),1)&gt;=100000,INDEX($AM$1005:$BM$1005,1,MATCH(COLUMNS($AM$1006:BK1006),$AM$1006:$BM$1006,0))&gt;=100000), " ",IF(INDEX($AM$2:$BM$1001,MATCH(ROWS($AF$2:AF644),$AF$2:$AF$1001,0),MATCH(COLUMNS($AM$1006:BK1006),$AM$1006:$BM$1006,0)), HYPERLINK("#",""), HYPERLINK(CONCATENATE("#metadata!", ADDRESS(INDEX($AH$2:$AH$1001,MATCH(ROWS($AF$2:AF644),$AF$2:$AF$1001,0),0), INDEX($AM$1004:$BM$1004,1,MATCH(COLUMNS($AM$1006:BK1006),$AM$1006:$BM$1006,0)))),"Fix")))</f>
        <v xml:space="preserve"> </v>
      </c>
      <c r="AA644" s="4" t="str">
        <f ca="1">IF(OR(INDEX($AG$2:$AG$1001,MATCH(ROWS($AF$2:AF644),$AF$2:$AF$1001,0),1)&gt;=100000,INDEX($AM$1005:$BM$1005,1,MATCH(COLUMNS($AM$1006:BL1006),$AM$1006:$BM$1006,0))&gt;=100000), " ",IF(INDEX($AM$2:$BM$1001,MATCH(ROWS($AF$2:AF644),$AF$2:$AF$1001,0),MATCH(COLUMNS($AM$1006:BL1006),$AM$1006:$BM$1006,0)), HYPERLINK("#",""), HYPERLINK(CONCATENATE("#metadata!", ADDRESS(INDEX($AH$2:$AH$1001,MATCH(ROWS($AF$2:AF644),$AF$2:$AF$1001,0),0), INDEX($AM$1004:$BM$1004,1,MATCH(COLUMNS($AM$1006:BL1006),$AM$1006:$BM$1006,0)))),"Fix")))</f>
        <v xml:space="preserve"> </v>
      </c>
      <c r="AB644" s="4" t="str">
        <f ca="1">IF(OR(INDEX($AG$2:$AG$1001,MATCH(ROWS($AF$2:AF644),$AF$2:$AF$1001,0),1)&gt;=100000,INDEX($AM$1005:$BM$1005,1,MATCH(COLUMNS($AM$1006:BM1006),$AM$1006:$BM$1006,0))&gt;=100000), " ",IF(INDEX($AM$2:$BM$1001,MATCH(ROWS($AF$2:AF644),$AF$2:$AF$1001,0),MATCH(COLUMNS($AM$1006:BM1006),$AM$1006:$BM$1006,0)), HYPERLINK("#",""), HYPERLINK(CONCATENATE("#metadata!", ADDRESS(INDEX($AH$2:$AH$1001,MATCH(ROWS($AF$2:AF644),$AF$2:$AF$1001,0),0), INDEX($AM$1004:$BM$1004,1,MATCH(COLUMNS($AM$1006:BM1006),$AM$1006:$BM$1006,0)))),"Fix")))</f>
        <v xml:space="preserve"> </v>
      </c>
      <c r="AF644">
        <v>643</v>
      </c>
      <c r="AG644">
        <v>100644</v>
      </c>
      <c r="AH644">
        <v>644</v>
      </c>
      <c r="AI644" t="b">
        <f t="shared" si="10"/>
        <v>1</v>
      </c>
      <c r="AJ644" t="b">
        <f>COUNTBLANK(metadata!B644:AB644)=COLUMNS(metadata!B644:AB644)</f>
        <v>1</v>
      </c>
      <c r="AK644" t="str">
        <v/>
      </c>
      <c r="AM644" t="b">
        <f ca="1">AND(IF(metadata!B644="",FALSE,TRUE),COUNTIF(metadata!B:B, metadata!B644) = 1,NOT(ISERROR(SUMPRODUCT(SEARCH(MID(metadata!B644,ROW(INDIRECT("1:"&amp;LEN(metadata!B644))), 1),"0123456789abcdefghijklmnopqrstuvwxyzABCDEFGHIJKLMNOPQRSTUVWXYZ.")))))</f>
        <v>0</v>
      </c>
      <c r="AN644" t="b">
        <f ca="1">OR(AND(IF(metadata!C644="",FALSE,TRUE),OR(EXACT(metadata!C644,"missing: not collected"),EXACT(metadata!C644,"missing: not provided"),EXACT(metadata!C644,"missing: restricted access"))),AND(IF(metadata!C644="",FALSE,TRUE),AND(AND(IFERROR(INT(LEFT(metadata!C644,4))&gt;1900,FALSE),IFERROR(INT(LEFT(metadata!C644,4))&lt;=YEAR(NOW()),FALSE)), OR(MID(metadata!C644,5,1)="", AND(AND(MID(metadata!C644,5,1)="-",IFERROR(INT(MID(metadata!C644,6,1))&gt;=0,FALSE),IFERROR(INT(MID(metadata!C644,6,1))&lt;=1,FALSE),NOT(MID(metadata!C644,7,1)=""),IFERROR(INT(MID(metadata!C644,6,2))&gt;=1,FALSE),IFERROR(INT(MID(metadata!C644,6,2))&lt;=12,FALSE)), OR(MID(metadata!C644,8,1)="", AND(AND(MID(metadata!C644,8,1)="-",IFERROR(INT(MID(metadata!C644,9,1))&gt;=0,FALSE),IFERROR(INT(MID(metadata!C644,9,1))&lt;=3,FALSE),NOT(MID(metadata!C644,10,1)=""),IFERROR(INT(MID(metadata!C644,9,2))&gt;=1,FALSE),IFERROR(INT(MID(metadata!C644,9,2))&lt;=31,FALSE)), OR(MID(metadata!C644,11,1)="", AND(AND(MID(metadata!C644,11,1)=" ",IFERROR(INT(MID(metadata!C644,12,1))&gt;=0,FALSE),IFERROR(INT(MID(metadata!C644,12,1))&lt;=2,FALSE),NOT(MID(metadata!C644,13,1)=""),IFERROR(INT(MID(metadata!C644,12,2))&gt;=0,FALSE),IFERROR(INT(MID(metadata!C644,12,2))&lt;=23,FALSE)), OR(MID(metadata!C644,14,1)="", AND(AND(MID(metadata!C644,14,1)=":",IFERROR(INT(MID(metadata!C644,15,1))&gt;=0,FALSE),IFERROR(INT(MID(metadata!C644,15,1))&lt;=5,FALSE),NOT(MID(metadata!C644,16,1)=""),IFERROR(INT(MID(metadata!C644,15,2))&gt;=0,FALSE),IFERROR(INT(MID(metadata!C644,15,2))&lt;=59,FALSE)), OR(MID(metadata!C644,17,1)="", AND(AND(MID(metadata!C644,17,1)=":",IFERROR(INT(MID(metadata!C644,18,1))&gt;=0,FALSE),IFERROR(INT(MID(metadata!C644,18,1))&lt;=5,FALSE),NOT(MID(metadata!C644,19,1)=""),IFERROR(INT(MID(metadata!C644,18,2))&gt;=0,FALSE),IFERROR(INT(MID(metadata!C644,18,2))&lt;=59,FALSE)), LEN(metadata!C644)&lt;=19)))))))))))))</f>
        <v>0</v>
      </c>
      <c r="AO644" t="b">
        <f>AND(IF(metadata!D644="",FALSE,TRUE),EXACT(metadata!D644,"Not applicable"))</f>
        <v>0</v>
      </c>
      <c r="AP644" t="b">
        <f>IF(metadata!E644="",FALSE,TRUE)</f>
        <v>0</v>
      </c>
      <c r="AQ644" t="b">
        <f>OR(AND(IF(metadata!F644="",FALSE,TRUE),OR(EXACT(metadata!F644,"missing: not collected"),EXACT(metadata!F644,"missing: not provided"))),AND(IF(metadata!F644="",FALSE,TRUE),OR(EXACT(metadata!F644,"TRUE"),EXACT(metadata!F644,"FALSE"))))</f>
        <v>0</v>
      </c>
      <c r="AR644" t="b">
        <f>OR(AND(IF(metadata!G644="",FALSE,TRUE),OR(EXACT(metadata!G644,"missing: not collected"),EXACT(metadata!G644,"missing: not provided"),EXACT(metadata!G644,"missing: restricted access"))),AND(IF(metadata!G644="",FALSE,ISNUMBER(VALUE(metadata!G644))),metadata!G644&gt;=-413))</f>
        <v>0</v>
      </c>
      <c r="AS644" t="b">
        <f>AND(IF(metadata!H644="",FALSE,TRUE),EXACT(metadata!H644,"meters"))</f>
        <v>0</v>
      </c>
      <c r="AT644" t="b">
        <f>AND(IF(metadata!I644="",FALSE,TRUE),OR(EXACT(metadata!I644,"Host-associated"),EXACT(metadata!I644,"Free-living")))</f>
        <v>0</v>
      </c>
      <c r="AU644" t="b">
        <f>AND(IF(metadata!J644="",FALSE,TRUE),OR(EXACT(metadata!J644,"Animal"),EXACT(metadata!J644,"Fungus"),EXACT(metadata!J644,"Plant"),EXACT(metadata!J644,"Saline"),EXACT(metadata!J644,"Non-saline")))</f>
        <v>0</v>
      </c>
      <c r="AV644" t="b">
        <f>AND(IF(metadata!K644="",FALSE,TRUE),OR(EXACT(metadata!K644,"Plant secretion"),EXACT(metadata!K644,"Plant rhizosphere"),EXACT(metadata!K644,"Plant surface"),EXACT(metadata!K644,"Plant corpus"),EXACT(metadata!K644,"Fungus surface"),EXACT(metadata!K644,"Fungus corpus"),EXACT(metadata!K644,"Animal surface"),EXACT(metadata!K644,"Animal proximal gut"),EXACT(metadata!K644,"Animal corpus"),EXACT(metadata!K644,"Animal distal gut"),EXACT(metadata!K644,"Animal secretion"),EXACT(metadata!K644,"Sub-surface (non-saline)"),EXACT(metadata!K644,"Surface (non-saline)"),EXACT(metadata!K644,"Water (non-saline)"),EXACT(metadata!K644,"Soil (non-saline)"),EXACT(metadata!K644,"Aerosol (non-saline)"),EXACT(metadata!K644,"Sediment (non-saline)"),EXACT(metadata!K644,"Surface (saline)"),EXACT(metadata!K644,"Water (saline)"),EXACT(metadata!K644,"Hypersaline (saline)"),EXACT(metadata!K644,"Aerosol (saline)"),EXACT(metadata!K644,"Sediment (saline)")))</f>
        <v>0</v>
      </c>
      <c r="AW644" t="b">
        <f>IF(metadata!L644="",FALSE,TRUE)</f>
        <v>0</v>
      </c>
      <c r="AX644" t="b">
        <f>IF(metadata!M644="",FALSE,TRUE)</f>
        <v>0</v>
      </c>
      <c r="AY644" t="b">
        <f>IF(metadata!N644="",FALSE,TRUE)</f>
        <v>0</v>
      </c>
      <c r="AZ644" t="b">
        <f>OR(AND(IF(metadata!O644="",FALSE,TRUE),OR(EXACT(metadata!O644,"missing: not collected"),EXACT(metadata!O644,"missing: not provided"),EXACT(metadata!O644,"missing: restricted access"))),AND(IF(metadata!O644="",FALSE,TRUE),OR(EXACT(metadata!O644,"air"),EXACT(metadata!O644,"built environment"),EXACT(metadata!O644,"host-associated"),EXACT(metadata!O644,"human-associated"),EXACT(metadata!O644,"human-skin"),EXACT(metadata!O644,"human-oral"),EXACT(metadata!O644,"human-gut"),EXACT(metadata!O644,"human-vaginal"),EXACT(metadata!O644,"microbial mat/biofilm"),EXACT(metadata!O644,"misc environment"),EXACT(metadata!O644,"plant-associated"),EXACT(metadata!O644,"sediment"),EXACT(metadata!O644,"soil"),EXACT(metadata!O644,"wastewater/sludge"),EXACT(metadata!O644,"water"))))</f>
        <v>0</v>
      </c>
      <c r="BA644" t="b">
        <f>IF(metadata!P644="",FALSE,TRUE)</f>
        <v>0</v>
      </c>
      <c r="BB644" t="b">
        <f>IF(metadata!Q644="",FALSE,TRUE)</f>
        <v>0</v>
      </c>
      <c r="BC644" t="b">
        <f>OR(AND(IF(metadata!R644="",FALSE,TRUE),OR(EXACT(metadata!R644,"missing: not collected"),EXACT(metadata!R644,"missing: not provided"),EXACT(metadata!R644,"missing: restricted access"))),AND(IF(metadata!R644="",FALSE,ISNUMBER(VALUE(metadata!R644))),metadata!R644&gt;=-90,metadata!R644&lt;=90))</f>
        <v>0</v>
      </c>
      <c r="BD644" t="b">
        <f>AND(IF(metadata!S644="",FALSE,TRUE),EXACT(metadata!S644,"Decimal degrees"))</f>
        <v>0</v>
      </c>
      <c r="BE644" t="b">
        <f>OR(AND(IF(metadata!T644="",FALSE,TRUE),OR(EXACT(metadata!T644,"missing: not collected"),EXACT(metadata!T644,"missing: not provided"),EXACT(metadata!T644,"missing: restricted access"))),AND(IF(metadata!T644="",FALSE,ISNUMBER(VALUE(metadata!T644))),metadata!T644&gt;=-180,metadata!T644&lt;=180))</f>
        <v>0</v>
      </c>
      <c r="BF644" t="b">
        <f>AND(IF(metadata!U644="",FALSE,TRUE),EXACT(metadata!U644,"Decimal degrees"))</f>
        <v>0</v>
      </c>
      <c r="BG644" t="b">
        <f>IF(metadata!V644="",FALSE,TRUE)</f>
        <v>0</v>
      </c>
      <c r="BH644" t="b">
        <f>OR(AND(IF(metadata!W644="",FALSE,TRUE),OR(EXACT(metadata!W644,"missing: not collected"),EXACT(metadata!W644,"missing: not provided"),EXACT(metadata!W644,"missing: restricted access"))),AND(IF(metadata!W644="",FALSE,TRUE),OR(EXACT(metadata!W644,"TRUE"),EXACT(metadata!W644,"FALSE"))))</f>
        <v>0</v>
      </c>
      <c r="BI644" t="b">
        <f>AND(IF(metadata!X644="",FALSE,TRUE),EXACT(metadata!X644,"other"))</f>
        <v>0</v>
      </c>
      <c r="BJ644" t="b">
        <f>IF(metadata!Y644="",FALSE,TRUE)</f>
        <v>0</v>
      </c>
      <c r="BK644" t="b">
        <f>OR(AND(IF(metadata!Z644="",FALSE,TRUE),OR(EXACT(metadata!Z644,"missing: not collected"),EXACT(metadata!Z644,"missing: not provided"))),AND(IF(metadata!Z644="",FALSE,IF(ISERROR(INT(metadata!Z644)),FALSE,INT(metadata!Z644)=metadata!Z644)),metadata!Z644&gt;0))</f>
        <v>0</v>
      </c>
      <c r="BL644" t="b">
        <f>AND(IF(metadata!AA644="",FALSE,TRUE),EXACT(metadata!AA644,"Not applicable"))</f>
        <v>0</v>
      </c>
      <c r="BM644" t="b">
        <f>IF(metadata!AB644="",FALSE,TRUE)</f>
        <v>0</v>
      </c>
    </row>
    <row r="645" spans="1:65" x14ac:dyDescent="0.2">
      <c r="A645" s="5" t="str">
        <f ca="1">IF(B645=" "," ",HYPERLINK(CONCATENATE("#metadata!",ADDRESS(INDEX($AH$2:$AH$1001,MATCH(ROWS($AF$2:AF645),$AF$2:$AF$1001,0),0),1)),INDEX($AK$2:$AK$1001,MATCH(ROWS($AF$2:AF645),$AF$2:$AF$1001,0),0)))</f>
        <v xml:space="preserve"> </v>
      </c>
      <c r="B645" s="4" t="str">
        <f ca="1">IF(OR(INDEX($AG$2:$AG$1001,MATCH(ROWS($AF$2:AF645),$AF$2:$AF$1001,0),1)&gt;=100000,INDEX($AM$1005:$BM$1005,1,MATCH(COLUMNS($AM$1006:AM1006),$AM$1006:$BM$1006,0))&gt;=100000), " ",IF(INDEX($AM$2:$BM$1001,MATCH(ROWS($AF$2:AF645),$AF$2:$AF$1001,0),MATCH(COLUMNS($AM$1006:AM1006),$AM$1006:$BM$1006,0)), HYPERLINK("#",""), HYPERLINK(CONCATENATE("#metadata!", ADDRESS(INDEX($AH$2:$AH$1001,MATCH(ROWS($AF$2:AF645),$AF$2:$AF$1001,0),0), INDEX($AM$1004:$BM$1004,1,MATCH(COLUMNS($AM$1006:AM1006),$AM$1006:$BM$1006,0)))),"Fix")))</f>
        <v xml:space="preserve"> </v>
      </c>
      <c r="C645" s="4" t="str">
        <f ca="1">IF(OR(INDEX($AG$2:$AG$1001,MATCH(ROWS($AF$2:AF645),$AF$2:$AF$1001,0),1)&gt;=100000,INDEX($AM$1005:$BM$1005,1,MATCH(COLUMNS($AM$1006:AN1006),$AM$1006:$BM$1006,0))&gt;=100000), " ",IF(INDEX($AM$2:$BM$1001,MATCH(ROWS($AF$2:AF645),$AF$2:$AF$1001,0),MATCH(COLUMNS($AM$1006:AN1006),$AM$1006:$BM$1006,0)), HYPERLINK("#",""), HYPERLINK(CONCATENATE("#metadata!", ADDRESS(INDEX($AH$2:$AH$1001,MATCH(ROWS($AF$2:AF645),$AF$2:$AF$1001,0),0), INDEX($AM$1004:$BM$1004,1,MATCH(COLUMNS($AM$1006:AN1006),$AM$1006:$BM$1006,0)))),"Fix")))</f>
        <v xml:space="preserve"> </v>
      </c>
      <c r="D645" s="4" t="str">
        <f ca="1">IF(OR(INDEX($AG$2:$AG$1001,MATCH(ROWS($AF$2:AF645),$AF$2:$AF$1001,0),1)&gt;=100000,INDEX($AM$1005:$BM$1005,1,MATCH(COLUMNS($AM$1006:AO1006),$AM$1006:$BM$1006,0))&gt;=100000), " ",IF(INDEX($AM$2:$BM$1001,MATCH(ROWS($AF$2:AF645),$AF$2:$AF$1001,0),MATCH(COLUMNS($AM$1006:AO1006),$AM$1006:$BM$1006,0)), HYPERLINK("#",""), HYPERLINK(CONCATENATE("#metadata!", ADDRESS(INDEX($AH$2:$AH$1001,MATCH(ROWS($AF$2:AF645),$AF$2:$AF$1001,0),0), INDEX($AM$1004:$BM$1004,1,MATCH(COLUMNS($AM$1006:AO1006),$AM$1006:$BM$1006,0)))),"Fix")))</f>
        <v xml:space="preserve"> </v>
      </c>
      <c r="E645" s="4" t="str">
        <f ca="1">IF(OR(INDEX($AG$2:$AG$1001,MATCH(ROWS($AF$2:AF645),$AF$2:$AF$1001,0),1)&gt;=100000,INDEX($AM$1005:$BM$1005,1,MATCH(COLUMNS($AM$1006:AP1006),$AM$1006:$BM$1006,0))&gt;=100000), " ",IF(INDEX($AM$2:$BM$1001,MATCH(ROWS($AF$2:AF645),$AF$2:$AF$1001,0),MATCH(COLUMNS($AM$1006:AP1006),$AM$1006:$BM$1006,0)), HYPERLINK("#",""), HYPERLINK(CONCATENATE("#metadata!", ADDRESS(INDEX($AH$2:$AH$1001,MATCH(ROWS($AF$2:AF645),$AF$2:$AF$1001,0),0), INDEX($AM$1004:$BM$1004,1,MATCH(COLUMNS($AM$1006:AP1006),$AM$1006:$BM$1006,0)))),"Fix")))</f>
        <v xml:space="preserve"> </v>
      </c>
      <c r="F645" s="4" t="str">
        <f ca="1">IF(OR(INDEX($AG$2:$AG$1001,MATCH(ROWS($AF$2:AF645),$AF$2:$AF$1001,0),1)&gt;=100000,INDEX($AM$1005:$BM$1005,1,MATCH(COLUMNS($AM$1006:AQ1006),$AM$1006:$BM$1006,0))&gt;=100000), " ",IF(INDEX($AM$2:$BM$1001,MATCH(ROWS($AF$2:AF645),$AF$2:$AF$1001,0),MATCH(COLUMNS($AM$1006:AQ1006),$AM$1006:$BM$1006,0)), HYPERLINK("#",""), HYPERLINK(CONCATENATE("#metadata!", ADDRESS(INDEX($AH$2:$AH$1001,MATCH(ROWS($AF$2:AF645),$AF$2:$AF$1001,0),0), INDEX($AM$1004:$BM$1004,1,MATCH(COLUMNS($AM$1006:AQ1006),$AM$1006:$BM$1006,0)))),"Fix")))</f>
        <v xml:space="preserve"> </v>
      </c>
      <c r="G645" s="4" t="str">
        <f ca="1">IF(OR(INDEX($AG$2:$AG$1001,MATCH(ROWS($AF$2:AF645),$AF$2:$AF$1001,0),1)&gt;=100000,INDEX($AM$1005:$BM$1005,1,MATCH(COLUMNS($AM$1006:AR1006),$AM$1006:$BM$1006,0))&gt;=100000), " ",IF(INDEX($AM$2:$BM$1001,MATCH(ROWS($AF$2:AF645),$AF$2:$AF$1001,0),MATCH(COLUMNS($AM$1006:AR1006),$AM$1006:$BM$1006,0)), HYPERLINK("#",""), HYPERLINK(CONCATENATE("#metadata!", ADDRESS(INDEX($AH$2:$AH$1001,MATCH(ROWS($AF$2:AF645),$AF$2:$AF$1001,0),0), INDEX($AM$1004:$BM$1004,1,MATCH(COLUMNS($AM$1006:AR1006),$AM$1006:$BM$1006,0)))),"Fix")))</f>
        <v xml:space="preserve"> </v>
      </c>
      <c r="H645" s="4" t="str">
        <f ca="1">IF(OR(INDEX($AG$2:$AG$1001,MATCH(ROWS($AF$2:AF645),$AF$2:$AF$1001,0),1)&gt;=100000,INDEX($AM$1005:$BM$1005,1,MATCH(COLUMNS($AM$1006:AS1006),$AM$1006:$BM$1006,0))&gt;=100000), " ",IF(INDEX($AM$2:$BM$1001,MATCH(ROWS($AF$2:AF645),$AF$2:$AF$1001,0),MATCH(COLUMNS($AM$1006:AS1006),$AM$1006:$BM$1006,0)), HYPERLINK("#",""), HYPERLINK(CONCATENATE("#metadata!", ADDRESS(INDEX($AH$2:$AH$1001,MATCH(ROWS($AF$2:AF645),$AF$2:$AF$1001,0),0), INDEX($AM$1004:$BM$1004,1,MATCH(COLUMNS($AM$1006:AS1006),$AM$1006:$BM$1006,0)))),"Fix")))</f>
        <v xml:space="preserve"> </v>
      </c>
      <c r="I645" s="4" t="str">
        <f ca="1">IF(OR(INDEX($AG$2:$AG$1001,MATCH(ROWS($AF$2:AF645),$AF$2:$AF$1001,0),1)&gt;=100000,INDEX($AM$1005:$BM$1005,1,MATCH(COLUMNS($AM$1006:AT1006),$AM$1006:$BM$1006,0))&gt;=100000), " ",IF(INDEX($AM$2:$BM$1001,MATCH(ROWS($AF$2:AF645),$AF$2:$AF$1001,0),MATCH(COLUMNS($AM$1006:AT1006),$AM$1006:$BM$1006,0)), HYPERLINK("#",""), HYPERLINK(CONCATENATE("#metadata!", ADDRESS(INDEX($AH$2:$AH$1001,MATCH(ROWS($AF$2:AF645),$AF$2:$AF$1001,0),0), INDEX($AM$1004:$BM$1004,1,MATCH(COLUMNS($AM$1006:AT1006),$AM$1006:$BM$1006,0)))),"Fix")))</f>
        <v xml:space="preserve"> </v>
      </c>
      <c r="J645" s="4" t="str">
        <f ca="1">IF(OR(INDEX($AG$2:$AG$1001,MATCH(ROWS($AF$2:AF645),$AF$2:$AF$1001,0),1)&gt;=100000,INDEX($AM$1005:$BM$1005,1,MATCH(COLUMNS($AM$1006:AU1006),$AM$1006:$BM$1006,0))&gt;=100000), " ",IF(INDEX($AM$2:$BM$1001,MATCH(ROWS($AF$2:AF645),$AF$2:$AF$1001,0),MATCH(COLUMNS($AM$1006:AU1006),$AM$1006:$BM$1006,0)), HYPERLINK("#",""), HYPERLINK(CONCATENATE("#metadata!", ADDRESS(INDEX($AH$2:$AH$1001,MATCH(ROWS($AF$2:AF645),$AF$2:$AF$1001,0),0), INDEX($AM$1004:$BM$1004,1,MATCH(COLUMNS($AM$1006:AU1006),$AM$1006:$BM$1006,0)))),"Fix")))</f>
        <v xml:space="preserve"> </v>
      </c>
      <c r="K645" s="4" t="str">
        <f ca="1">IF(OR(INDEX($AG$2:$AG$1001,MATCH(ROWS($AF$2:AF645),$AF$2:$AF$1001,0),1)&gt;=100000,INDEX($AM$1005:$BM$1005,1,MATCH(COLUMNS($AM$1006:AV1006),$AM$1006:$BM$1006,0))&gt;=100000), " ",IF(INDEX($AM$2:$BM$1001,MATCH(ROWS($AF$2:AF645),$AF$2:$AF$1001,0),MATCH(COLUMNS($AM$1006:AV1006),$AM$1006:$BM$1006,0)), HYPERLINK("#",""), HYPERLINK(CONCATENATE("#metadata!", ADDRESS(INDEX($AH$2:$AH$1001,MATCH(ROWS($AF$2:AF645),$AF$2:$AF$1001,0),0), INDEX($AM$1004:$BM$1004,1,MATCH(COLUMNS($AM$1006:AV1006),$AM$1006:$BM$1006,0)))),"Fix")))</f>
        <v xml:space="preserve"> </v>
      </c>
      <c r="L645" s="4" t="str">
        <f ca="1">IF(OR(INDEX($AG$2:$AG$1001,MATCH(ROWS($AF$2:AF645),$AF$2:$AF$1001,0),1)&gt;=100000,INDEX($AM$1005:$BM$1005,1,MATCH(COLUMNS($AM$1006:AW1006),$AM$1006:$BM$1006,0))&gt;=100000), " ",IF(INDEX($AM$2:$BM$1001,MATCH(ROWS($AF$2:AF645),$AF$2:$AF$1001,0),MATCH(COLUMNS($AM$1006:AW1006),$AM$1006:$BM$1006,0)), HYPERLINK("#",""), HYPERLINK(CONCATENATE("#metadata!", ADDRESS(INDEX($AH$2:$AH$1001,MATCH(ROWS($AF$2:AF645),$AF$2:$AF$1001,0),0), INDEX($AM$1004:$BM$1004,1,MATCH(COLUMNS($AM$1006:AW1006),$AM$1006:$BM$1006,0)))),"Fix")))</f>
        <v xml:space="preserve"> </v>
      </c>
      <c r="M645" s="4" t="str">
        <f ca="1">IF(OR(INDEX($AG$2:$AG$1001,MATCH(ROWS($AF$2:AF645),$AF$2:$AF$1001,0),1)&gt;=100000,INDEX($AM$1005:$BM$1005,1,MATCH(COLUMNS($AM$1006:AX1006),$AM$1006:$BM$1006,0))&gt;=100000), " ",IF(INDEX($AM$2:$BM$1001,MATCH(ROWS($AF$2:AF645),$AF$2:$AF$1001,0),MATCH(COLUMNS($AM$1006:AX1006),$AM$1006:$BM$1006,0)), HYPERLINK("#",""), HYPERLINK(CONCATENATE("#metadata!", ADDRESS(INDEX($AH$2:$AH$1001,MATCH(ROWS($AF$2:AF645),$AF$2:$AF$1001,0),0), INDEX($AM$1004:$BM$1004,1,MATCH(COLUMNS($AM$1006:AX1006),$AM$1006:$BM$1006,0)))),"Fix")))</f>
        <v xml:space="preserve"> </v>
      </c>
      <c r="N645" s="4" t="str">
        <f ca="1">IF(OR(INDEX($AG$2:$AG$1001,MATCH(ROWS($AF$2:AF645),$AF$2:$AF$1001,0),1)&gt;=100000,INDEX($AM$1005:$BM$1005,1,MATCH(COLUMNS($AM$1006:AY1006),$AM$1006:$BM$1006,0))&gt;=100000), " ",IF(INDEX($AM$2:$BM$1001,MATCH(ROWS($AF$2:AF645),$AF$2:$AF$1001,0),MATCH(COLUMNS($AM$1006:AY1006),$AM$1006:$BM$1006,0)), HYPERLINK("#",""), HYPERLINK(CONCATENATE("#metadata!", ADDRESS(INDEX($AH$2:$AH$1001,MATCH(ROWS($AF$2:AF645),$AF$2:$AF$1001,0),0), INDEX($AM$1004:$BM$1004,1,MATCH(COLUMNS($AM$1006:AY1006),$AM$1006:$BM$1006,0)))),"Fix")))</f>
        <v xml:space="preserve"> </v>
      </c>
      <c r="O645" s="4" t="str">
        <f ca="1">IF(OR(INDEX($AG$2:$AG$1001,MATCH(ROWS($AF$2:AF645),$AF$2:$AF$1001,0),1)&gt;=100000,INDEX($AM$1005:$BM$1005,1,MATCH(COLUMNS($AM$1006:AZ1006),$AM$1006:$BM$1006,0))&gt;=100000), " ",IF(INDEX($AM$2:$BM$1001,MATCH(ROWS($AF$2:AF645),$AF$2:$AF$1001,0),MATCH(COLUMNS($AM$1006:AZ1006),$AM$1006:$BM$1006,0)), HYPERLINK("#",""), HYPERLINK(CONCATENATE("#metadata!", ADDRESS(INDEX($AH$2:$AH$1001,MATCH(ROWS($AF$2:AF645),$AF$2:$AF$1001,0),0), INDEX($AM$1004:$BM$1004,1,MATCH(COLUMNS($AM$1006:AZ1006),$AM$1006:$BM$1006,0)))),"Fix")))</f>
        <v xml:space="preserve"> </v>
      </c>
      <c r="P645" s="4" t="str">
        <f ca="1">IF(OR(INDEX($AG$2:$AG$1001,MATCH(ROWS($AF$2:AF645),$AF$2:$AF$1001,0),1)&gt;=100000,INDEX($AM$1005:$BM$1005,1,MATCH(COLUMNS($AM$1006:BA1006),$AM$1006:$BM$1006,0))&gt;=100000), " ",IF(INDEX($AM$2:$BM$1001,MATCH(ROWS($AF$2:AF645),$AF$2:$AF$1001,0),MATCH(COLUMNS($AM$1006:BA1006),$AM$1006:$BM$1006,0)), HYPERLINK("#",""), HYPERLINK(CONCATENATE("#metadata!", ADDRESS(INDEX($AH$2:$AH$1001,MATCH(ROWS($AF$2:AF645),$AF$2:$AF$1001,0),0), INDEX($AM$1004:$BM$1004,1,MATCH(COLUMNS($AM$1006:BA1006),$AM$1006:$BM$1006,0)))),"Fix")))</f>
        <v xml:space="preserve"> </v>
      </c>
      <c r="Q645" s="4" t="str">
        <f ca="1">IF(OR(INDEX($AG$2:$AG$1001,MATCH(ROWS($AF$2:AF645),$AF$2:$AF$1001,0),1)&gt;=100000,INDEX($AM$1005:$BM$1005,1,MATCH(COLUMNS($AM$1006:BB1006),$AM$1006:$BM$1006,0))&gt;=100000), " ",IF(INDEX($AM$2:$BM$1001,MATCH(ROWS($AF$2:AF645),$AF$2:$AF$1001,0),MATCH(COLUMNS($AM$1006:BB1006),$AM$1006:$BM$1006,0)), HYPERLINK("#",""), HYPERLINK(CONCATENATE("#metadata!", ADDRESS(INDEX($AH$2:$AH$1001,MATCH(ROWS($AF$2:AF645),$AF$2:$AF$1001,0),0), INDEX($AM$1004:$BM$1004,1,MATCH(COLUMNS($AM$1006:BB1006),$AM$1006:$BM$1006,0)))),"Fix")))</f>
        <v xml:space="preserve"> </v>
      </c>
      <c r="R645" s="4" t="str">
        <f ca="1">IF(OR(INDEX($AG$2:$AG$1001,MATCH(ROWS($AF$2:AF645),$AF$2:$AF$1001,0),1)&gt;=100000,INDEX($AM$1005:$BM$1005,1,MATCH(COLUMNS($AM$1006:BC1006),$AM$1006:$BM$1006,0))&gt;=100000), " ",IF(INDEX($AM$2:$BM$1001,MATCH(ROWS($AF$2:AF645),$AF$2:$AF$1001,0),MATCH(COLUMNS($AM$1006:BC1006),$AM$1006:$BM$1006,0)), HYPERLINK("#",""), HYPERLINK(CONCATENATE("#metadata!", ADDRESS(INDEX($AH$2:$AH$1001,MATCH(ROWS($AF$2:AF645),$AF$2:$AF$1001,0),0), INDEX($AM$1004:$BM$1004,1,MATCH(COLUMNS($AM$1006:BC1006),$AM$1006:$BM$1006,0)))),"Fix")))</f>
        <v xml:space="preserve"> </v>
      </c>
      <c r="S645" s="4" t="str">
        <f ca="1">IF(OR(INDEX($AG$2:$AG$1001,MATCH(ROWS($AF$2:AF645),$AF$2:$AF$1001,0),1)&gt;=100000,INDEX($AM$1005:$BM$1005,1,MATCH(COLUMNS($AM$1006:BD1006),$AM$1006:$BM$1006,0))&gt;=100000), " ",IF(INDEX($AM$2:$BM$1001,MATCH(ROWS($AF$2:AF645),$AF$2:$AF$1001,0),MATCH(COLUMNS($AM$1006:BD1006),$AM$1006:$BM$1006,0)), HYPERLINK("#",""), HYPERLINK(CONCATENATE("#metadata!", ADDRESS(INDEX($AH$2:$AH$1001,MATCH(ROWS($AF$2:AF645),$AF$2:$AF$1001,0),0), INDEX($AM$1004:$BM$1004,1,MATCH(COLUMNS($AM$1006:BD1006),$AM$1006:$BM$1006,0)))),"Fix")))</f>
        <v xml:space="preserve"> </v>
      </c>
      <c r="T645" s="4" t="str">
        <f ca="1">IF(OR(INDEX($AG$2:$AG$1001,MATCH(ROWS($AF$2:AF645),$AF$2:$AF$1001,0),1)&gt;=100000,INDEX($AM$1005:$BM$1005,1,MATCH(COLUMNS($AM$1006:BE1006),$AM$1006:$BM$1006,0))&gt;=100000), " ",IF(INDEX($AM$2:$BM$1001,MATCH(ROWS($AF$2:AF645),$AF$2:$AF$1001,0),MATCH(COLUMNS($AM$1006:BE1006),$AM$1006:$BM$1006,0)), HYPERLINK("#",""), HYPERLINK(CONCATENATE("#metadata!", ADDRESS(INDEX($AH$2:$AH$1001,MATCH(ROWS($AF$2:AF645),$AF$2:$AF$1001,0),0), INDEX($AM$1004:$BM$1004,1,MATCH(COLUMNS($AM$1006:BE1006),$AM$1006:$BM$1006,0)))),"Fix")))</f>
        <v xml:space="preserve"> </v>
      </c>
      <c r="U645" s="4" t="str">
        <f ca="1">IF(OR(INDEX($AG$2:$AG$1001,MATCH(ROWS($AF$2:AF645),$AF$2:$AF$1001,0),1)&gt;=100000,INDEX($AM$1005:$BM$1005,1,MATCH(COLUMNS($AM$1006:BF1006),$AM$1006:$BM$1006,0))&gt;=100000), " ",IF(INDEX($AM$2:$BM$1001,MATCH(ROWS($AF$2:AF645),$AF$2:$AF$1001,0),MATCH(COLUMNS($AM$1006:BF1006),$AM$1006:$BM$1006,0)), HYPERLINK("#",""), HYPERLINK(CONCATENATE("#metadata!", ADDRESS(INDEX($AH$2:$AH$1001,MATCH(ROWS($AF$2:AF645),$AF$2:$AF$1001,0),0), INDEX($AM$1004:$BM$1004,1,MATCH(COLUMNS($AM$1006:BF1006),$AM$1006:$BM$1006,0)))),"Fix")))</f>
        <v xml:space="preserve"> </v>
      </c>
      <c r="V645" s="4" t="str">
        <f ca="1">IF(OR(INDEX($AG$2:$AG$1001,MATCH(ROWS($AF$2:AF645),$AF$2:$AF$1001,0),1)&gt;=100000,INDEX($AM$1005:$BM$1005,1,MATCH(COLUMNS($AM$1006:BG1006),$AM$1006:$BM$1006,0))&gt;=100000), " ",IF(INDEX($AM$2:$BM$1001,MATCH(ROWS($AF$2:AF645),$AF$2:$AF$1001,0),MATCH(COLUMNS($AM$1006:BG1006),$AM$1006:$BM$1006,0)), HYPERLINK("#",""), HYPERLINK(CONCATENATE("#metadata!", ADDRESS(INDEX($AH$2:$AH$1001,MATCH(ROWS($AF$2:AF645),$AF$2:$AF$1001,0),0), INDEX($AM$1004:$BM$1004,1,MATCH(COLUMNS($AM$1006:BG1006),$AM$1006:$BM$1006,0)))),"Fix")))</f>
        <v xml:space="preserve"> </v>
      </c>
      <c r="W645" s="4" t="str">
        <f ca="1">IF(OR(INDEX($AG$2:$AG$1001,MATCH(ROWS($AF$2:AF645),$AF$2:$AF$1001,0),1)&gt;=100000,INDEX($AM$1005:$BM$1005,1,MATCH(COLUMNS($AM$1006:BH1006),$AM$1006:$BM$1006,0))&gt;=100000), " ",IF(INDEX($AM$2:$BM$1001,MATCH(ROWS($AF$2:AF645),$AF$2:$AF$1001,0),MATCH(COLUMNS($AM$1006:BH1006),$AM$1006:$BM$1006,0)), HYPERLINK("#",""), HYPERLINK(CONCATENATE("#metadata!", ADDRESS(INDEX($AH$2:$AH$1001,MATCH(ROWS($AF$2:AF645),$AF$2:$AF$1001,0),0), INDEX($AM$1004:$BM$1004,1,MATCH(COLUMNS($AM$1006:BH1006),$AM$1006:$BM$1006,0)))),"Fix")))</f>
        <v xml:space="preserve"> </v>
      </c>
      <c r="X645" s="4" t="str">
        <f ca="1">IF(OR(INDEX($AG$2:$AG$1001,MATCH(ROWS($AF$2:AF645),$AF$2:$AF$1001,0),1)&gt;=100000,INDEX($AM$1005:$BM$1005,1,MATCH(COLUMNS($AM$1006:BI1006),$AM$1006:$BM$1006,0))&gt;=100000), " ",IF(INDEX($AM$2:$BM$1001,MATCH(ROWS($AF$2:AF645),$AF$2:$AF$1001,0),MATCH(COLUMNS($AM$1006:BI1006),$AM$1006:$BM$1006,0)), HYPERLINK("#",""), HYPERLINK(CONCATENATE("#metadata!", ADDRESS(INDEX($AH$2:$AH$1001,MATCH(ROWS($AF$2:AF645),$AF$2:$AF$1001,0),0), INDEX($AM$1004:$BM$1004,1,MATCH(COLUMNS($AM$1006:BI1006),$AM$1006:$BM$1006,0)))),"Fix")))</f>
        <v xml:space="preserve"> </v>
      </c>
      <c r="Y645" s="4" t="str">
        <f ca="1">IF(OR(INDEX($AG$2:$AG$1001,MATCH(ROWS($AF$2:AF645),$AF$2:$AF$1001,0),1)&gt;=100000,INDEX($AM$1005:$BM$1005,1,MATCH(COLUMNS($AM$1006:BJ1006),$AM$1006:$BM$1006,0))&gt;=100000), " ",IF(INDEX($AM$2:$BM$1001,MATCH(ROWS($AF$2:AF645),$AF$2:$AF$1001,0),MATCH(COLUMNS($AM$1006:BJ1006),$AM$1006:$BM$1006,0)), HYPERLINK("#",""), HYPERLINK(CONCATENATE("#metadata!", ADDRESS(INDEX($AH$2:$AH$1001,MATCH(ROWS($AF$2:AF645),$AF$2:$AF$1001,0),0), INDEX($AM$1004:$BM$1004,1,MATCH(COLUMNS($AM$1006:BJ1006),$AM$1006:$BM$1006,0)))),"Fix")))</f>
        <v xml:space="preserve"> </v>
      </c>
      <c r="Z645" s="4" t="str">
        <f ca="1">IF(OR(INDEX($AG$2:$AG$1001,MATCH(ROWS($AF$2:AF645),$AF$2:$AF$1001,0),1)&gt;=100000,INDEX($AM$1005:$BM$1005,1,MATCH(COLUMNS($AM$1006:BK1006),$AM$1006:$BM$1006,0))&gt;=100000), " ",IF(INDEX($AM$2:$BM$1001,MATCH(ROWS($AF$2:AF645),$AF$2:$AF$1001,0),MATCH(COLUMNS($AM$1006:BK1006),$AM$1006:$BM$1006,0)), HYPERLINK("#",""), HYPERLINK(CONCATENATE("#metadata!", ADDRESS(INDEX($AH$2:$AH$1001,MATCH(ROWS($AF$2:AF645),$AF$2:$AF$1001,0),0), INDEX($AM$1004:$BM$1004,1,MATCH(COLUMNS($AM$1006:BK1006),$AM$1006:$BM$1006,0)))),"Fix")))</f>
        <v xml:space="preserve"> </v>
      </c>
      <c r="AA645" s="4" t="str">
        <f ca="1">IF(OR(INDEX($AG$2:$AG$1001,MATCH(ROWS($AF$2:AF645),$AF$2:$AF$1001,0),1)&gt;=100000,INDEX($AM$1005:$BM$1005,1,MATCH(COLUMNS($AM$1006:BL1006),$AM$1006:$BM$1006,0))&gt;=100000), " ",IF(INDEX($AM$2:$BM$1001,MATCH(ROWS($AF$2:AF645),$AF$2:$AF$1001,0),MATCH(COLUMNS($AM$1006:BL1006),$AM$1006:$BM$1006,0)), HYPERLINK("#",""), HYPERLINK(CONCATENATE("#metadata!", ADDRESS(INDEX($AH$2:$AH$1001,MATCH(ROWS($AF$2:AF645),$AF$2:$AF$1001,0),0), INDEX($AM$1004:$BM$1004,1,MATCH(COLUMNS($AM$1006:BL1006),$AM$1006:$BM$1006,0)))),"Fix")))</f>
        <v xml:space="preserve"> </v>
      </c>
      <c r="AB645" s="4" t="str">
        <f ca="1">IF(OR(INDEX($AG$2:$AG$1001,MATCH(ROWS($AF$2:AF645),$AF$2:$AF$1001,0),1)&gt;=100000,INDEX($AM$1005:$BM$1005,1,MATCH(COLUMNS($AM$1006:BM1006),$AM$1006:$BM$1006,0))&gt;=100000), " ",IF(INDEX($AM$2:$BM$1001,MATCH(ROWS($AF$2:AF645),$AF$2:$AF$1001,0),MATCH(COLUMNS($AM$1006:BM1006),$AM$1006:$BM$1006,0)), HYPERLINK("#",""), HYPERLINK(CONCATENATE("#metadata!", ADDRESS(INDEX($AH$2:$AH$1001,MATCH(ROWS($AF$2:AF645),$AF$2:$AF$1001,0),0), INDEX($AM$1004:$BM$1004,1,MATCH(COLUMNS($AM$1006:BM1006),$AM$1006:$BM$1006,0)))),"Fix")))</f>
        <v xml:space="preserve"> </v>
      </c>
      <c r="AF645">
        <v>644</v>
      </c>
      <c r="AG645">
        <v>100645</v>
      </c>
      <c r="AH645">
        <v>645</v>
      </c>
      <c r="AI645" t="b">
        <f t="shared" si="10"/>
        <v>1</v>
      </c>
      <c r="AJ645" t="b">
        <f>COUNTBLANK(metadata!B645:AB645)=COLUMNS(metadata!B645:AB645)</f>
        <v>1</v>
      </c>
      <c r="AK645" t="str">
        <v/>
      </c>
      <c r="AM645" t="b">
        <f ca="1">AND(IF(metadata!B645="",FALSE,TRUE),COUNTIF(metadata!B:B, metadata!B645) = 1,NOT(ISERROR(SUMPRODUCT(SEARCH(MID(metadata!B645,ROW(INDIRECT("1:"&amp;LEN(metadata!B645))), 1),"0123456789abcdefghijklmnopqrstuvwxyzABCDEFGHIJKLMNOPQRSTUVWXYZ.")))))</f>
        <v>0</v>
      </c>
      <c r="AN645" t="b">
        <f ca="1">OR(AND(IF(metadata!C645="",FALSE,TRUE),OR(EXACT(metadata!C645,"missing: not collected"),EXACT(metadata!C645,"missing: not provided"),EXACT(metadata!C645,"missing: restricted access"))),AND(IF(metadata!C645="",FALSE,TRUE),AND(AND(IFERROR(INT(LEFT(metadata!C645,4))&gt;1900,FALSE),IFERROR(INT(LEFT(metadata!C645,4))&lt;=YEAR(NOW()),FALSE)), OR(MID(metadata!C645,5,1)="", AND(AND(MID(metadata!C645,5,1)="-",IFERROR(INT(MID(metadata!C645,6,1))&gt;=0,FALSE),IFERROR(INT(MID(metadata!C645,6,1))&lt;=1,FALSE),NOT(MID(metadata!C645,7,1)=""),IFERROR(INT(MID(metadata!C645,6,2))&gt;=1,FALSE),IFERROR(INT(MID(metadata!C645,6,2))&lt;=12,FALSE)), OR(MID(metadata!C645,8,1)="", AND(AND(MID(metadata!C645,8,1)="-",IFERROR(INT(MID(metadata!C645,9,1))&gt;=0,FALSE),IFERROR(INT(MID(metadata!C645,9,1))&lt;=3,FALSE),NOT(MID(metadata!C645,10,1)=""),IFERROR(INT(MID(metadata!C645,9,2))&gt;=1,FALSE),IFERROR(INT(MID(metadata!C645,9,2))&lt;=31,FALSE)), OR(MID(metadata!C645,11,1)="", AND(AND(MID(metadata!C645,11,1)=" ",IFERROR(INT(MID(metadata!C645,12,1))&gt;=0,FALSE),IFERROR(INT(MID(metadata!C645,12,1))&lt;=2,FALSE),NOT(MID(metadata!C645,13,1)=""),IFERROR(INT(MID(metadata!C645,12,2))&gt;=0,FALSE),IFERROR(INT(MID(metadata!C645,12,2))&lt;=23,FALSE)), OR(MID(metadata!C645,14,1)="", AND(AND(MID(metadata!C645,14,1)=":",IFERROR(INT(MID(metadata!C645,15,1))&gt;=0,FALSE),IFERROR(INT(MID(metadata!C645,15,1))&lt;=5,FALSE),NOT(MID(metadata!C645,16,1)=""),IFERROR(INT(MID(metadata!C645,15,2))&gt;=0,FALSE),IFERROR(INT(MID(metadata!C645,15,2))&lt;=59,FALSE)), OR(MID(metadata!C645,17,1)="", AND(AND(MID(metadata!C645,17,1)=":",IFERROR(INT(MID(metadata!C645,18,1))&gt;=0,FALSE),IFERROR(INT(MID(metadata!C645,18,1))&lt;=5,FALSE),NOT(MID(metadata!C645,19,1)=""),IFERROR(INT(MID(metadata!C645,18,2))&gt;=0,FALSE),IFERROR(INT(MID(metadata!C645,18,2))&lt;=59,FALSE)), LEN(metadata!C645)&lt;=19)))))))))))))</f>
        <v>0</v>
      </c>
      <c r="AO645" t="b">
        <f>AND(IF(metadata!D645="",FALSE,TRUE),EXACT(metadata!D645,"Not applicable"))</f>
        <v>0</v>
      </c>
      <c r="AP645" t="b">
        <f>IF(metadata!E645="",FALSE,TRUE)</f>
        <v>0</v>
      </c>
      <c r="AQ645" t="b">
        <f>OR(AND(IF(metadata!F645="",FALSE,TRUE),OR(EXACT(metadata!F645,"missing: not collected"),EXACT(metadata!F645,"missing: not provided"))),AND(IF(metadata!F645="",FALSE,TRUE),OR(EXACT(metadata!F645,"TRUE"),EXACT(metadata!F645,"FALSE"))))</f>
        <v>0</v>
      </c>
      <c r="AR645" t="b">
        <f>OR(AND(IF(metadata!G645="",FALSE,TRUE),OR(EXACT(metadata!G645,"missing: not collected"),EXACT(metadata!G645,"missing: not provided"),EXACT(metadata!G645,"missing: restricted access"))),AND(IF(metadata!G645="",FALSE,ISNUMBER(VALUE(metadata!G645))),metadata!G645&gt;=-413))</f>
        <v>0</v>
      </c>
      <c r="AS645" t="b">
        <f>AND(IF(metadata!H645="",FALSE,TRUE),EXACT(metadata!H645,"meters"))</f>
        <v>0</v>
      </c>
      <c r="AT645" t="b">
        <f>AND(IF(metadata!I645="",FALSE,TRUE),OR(EXACT(metadata!I645,"Host-associated"),EXACT(metadata!I645,"Free-living")))</f>
        <v>0</v>
      </c>
      <c r="AU645" t="b">
        <f>AND(IF(metadata!J645="",FALSE,TRUE),OR(EXACT(metadata!J645,"Animal"),EXACT(metadata!J645,"Fungus"),EXACT(metadata!J645,"Plant"),EXACT(metadata!J645,"Saline"),EXACT(metadata!J645,"Non-saline")))</f>
        <v>0</v>
      </c>
      <c r="AV645" t="b">
        <f>AND(IF(metadata!K645="",FALSE,TRUE),OR(EXACT(metadata!K645,"Plant secretion"),EXACT(metadata!K645,"Plant rhizosphere"),EXACT(metadata!K645,"Plant surface"),EXACT(metadata!K645,"Plant corpus"),EXACT(metadata!K645,"Fungus surface"),EXACT(metadata!K645,"Fungus corpus"),EXACT(metadata!K645,"Animal surface"),EXACT(metadata!K645,"Animal proximal gut"),EXACT(metadata!K645,"Animal corpus"),EXACT(metadata!K645,"Animal distal gut"),EXACT(metadata!K645,"Animal secretion"),EXACT(metadata!K645,"Sub-surface (non-saline)"),EXACT(metadata!K645,"Surface (non-saline)"),EXACT(metadata!K645,"Water (non-saline)"),EXACT(metadata!K645,"Soil (non-saline)"),EXACT(metadata!K645,"Aerosol (non-saline)"),EXACT(metadata!K645,"Sediment (non-saline)"),EXACT(metadata!K645,"Surface (saline)"),EXACT(metadata!K645,"Water (saline)"),EXACT(metadata!K645,"Hypersaline (saline)"),EXACT(metadata!K645,"Aerosol (saline)"),EXACT(metadata!K645,"Sediment (saline)")))</f>
        <v>0</v>
      </c>
      <c r="AW645" t="b">
        <f>IF(metadata!L645="",FALSE,TRUE)</f>
        <v>0</v>
      </c>
      <c r="AX645" t="b">
        <f>IF(metadata!M645="",FALSE,TRUE)</f>
        <v>0</v>
      </c>
      <c r="AY645" t="b">
        <f>IF(metadata!N645="",FALSE,TRUE)</f>
        <v>0</v>
      </c>
      <c r="AZ645" t="b">
        <f>OR(AND(IF(metadata!O645="",FALSE,TRUE),OR(EXACT(metadata!O645,"missing: not collected"),EXACT(metadata!O645,"missing: not provided"),EXACT(metadata!O645,"missing: restricted access"))),AND(IF(metadata!O645="",FALSE,TRUE),OR(EXACT(metadata!O645,"air"),EXACT(metadata!O645,"built environment"),EXACT(metadata!O645,"host-associated"),EXACT(metadata!O645,"human-associated"),EXACT(metadata!O645,"human-skin"),EXACT(metadata!O645,"human-oral"),EXACT(metadata!O645,"human-gut"),EXACT(metadata!O645,"human-vaginal"),EXACT(metadata!O645,"microbial mat/biofilm"),EXACT(metadata!O645,"misc environment"),EXACT(metadata!O645,"plant-associated"),EXACT(metadata!O645,"sediment"),EXACT(metadata!O645,"soil"),EXACT(metadata!O645,"wastewater/sludge"),EXACT(metadata!O645,"water"))))</f>
        <v>0</v>
      </c>
      <c r="BA645" t="b">
        <f>IF(metadata!P645="",FALSE,TRUE)</f>
        <v>0</v>
      </c>
      <c r="BB645" t="b">
        <f>IF(metadata!Q645="",FALSE,TRUE)</f>
        <v>0</v>
      </c>
      <c r="BC645" t="b">
        <f>OR(AND(IF(metadata!R645="",FALSE,TRUE),OR(EXACT(metadata!R645,"missing: not collected"),EXACT(metadata!R645,"missing: not provided"),EXACT(metadata!R645,"missing: restricted access"))),AND(IF(metadata!R645="",FALSE,ISNUMBER(VALUE(metadata!R645))),metadata!R645&gt;=-90,metadata!R645&lt;=90))</f>
        <v>0</v>
      </c>
      <c r="BD645" t="b">
        <f>AND(IF(metadata!S645="",FALSE,TRUE),EXACT(metadata!S645,"Decimal degrees"))</f>
        <v>0</v>
      </c>
      <c r="BE645" t="b">
        <f>OR(AND(IF(metadata!T645="",FALSE,TRUE),OR(EXACT(metadata!T645,"missing: not collected"),EXACT(metadata!T645,"missing: not provided"),EXACT(metadata!T645,"missing: restricted access"))),AND(IF(metadata!T645="",FALSE,ISNUMBER(VALUE(metadata!T645))),metadata!T645&gt;=-180,metadata!T645&lt;=180))</f>
        <v>0</v>
      </c>
      <c r="BF645" t="b">
        <f>AND(IF(metadata!U645="",FALSE,TRUE),EXACT(metadata!U645,"Decimal degrees"))</f>
        <v>0</v>
      </c>
      <c r="BG645" t="b">
        <f>IF(metadata!V645="",FALSE,TRUE)</f>
        <v>0</v>
      </c>
      <c r="BH645" t="b">
        <f>OR(AND(IF(metadata!W645="",FALSE,TRUE),OR(EXACT(metadata!W645,"missing: not collected"),EXACT(metadata!W645,"missing: not provided"),EXACT(metadata!W645,"missing: restricted access"))),AND(IF(metadata!W645="",FALSE,TRUE),OR(EXACT(metadata!W645,"TRUE"),EXACT(metadata!W645,"FALSE"))))</f>
        <v>0</v>
      </c>
      <c r="BI645" t="b">
        <f>AND(IF(metadata!X645="",FALSE,TRUE),EXACT(metadata!X645,"other"))</f>
        <v>0</v>
      </c>
      <c r="BJ645" t="b">
        <f>IF(metadata!Y645="",FALSE,TRUE)</f>
        <v>0</v>
      </c>
      <c r="BK645" t="b">
        <f>OR(AND(IF(metadata!Z645="",FALSE,TRUE),OR(EXACT(metadata!Z645,"missing: not collected"),EXACT(metadata!Z645,"missing: not provided"))),AND(IF(metadata!Z645="",FALSE,IF(ISERROR(INT(metadata!Z645)),FALSE,INT(metadata!Z645)=metadata!Z645)),metadata!Z645&gt;0))</f>
        <v>0</v>
      </c>
      <c r="BL645" t="b">
        <f>AND(IF(metadata!AA645="",FALSE,TRUE),EXACT(metadata!AA645,"Not applicable"))</f>
        <v>0</v>
      </c>
      <c r="BM645" t="b">
        <f>IF(metadata!AB645="",FALSE,TRUE)</f>
        <v>0</v>
      </c>
    </row>
    <row r="646" spans="1:65" x14ac:dyDescent="0.2">
      <c r="A646" s="5" t="str">
        <f ca="1">IF(B646=" "," ",HYPERLINK(CONCATENATE("#metadata!",ADDRESS(INDEX($AH$2:$AH$1001,MATCH(ROWS($AF$2:AF646),$AF$2:$AF$1001,0),0),1)),INDEX($AK$2:$AK$1001,MATCH(ROWS($AF$2:AF646),$AF$2:$AF$1001,0),0)))</f>
        <v xml:space="preserve"> </v>
      </c>
      <c r="B646" s="4" t="str">
        <f ca="1">IF(OR(INDEX($AG$2:$AG$1001,MATCH(ROWS($AF$2:AF646),$AF$2:$AF$1001,0),1)&gt;=100000,INDEX($AM$1005:$BM$1005,1,MATCH(COLUMNS($AM$1006:AM1006),$AM$1006:$BM$1006,0))&gt;=100000), " ",IF(INDEX($AM$2:$BM$1001,MATCH(ROWS($AF$2:AF646),$AF$2:$AF$1001,0),MATCH(COLUMNS($AM$1006:AM1006),$AM$1006:$BM$1006,0)), HYPERLINK("#",""), HYPERLINK(CONCATENATE("#metadata!", ADDRESS(INDEX($AH$2:$AH$1001,MATCH(ROWS($AF$2:AF646),$AF$2:$AF$1001,0),0), INDEX($AM$1004:$BM$1004,1,MATCH(COLUMNS($AM$1006:AM1006),$AM$1006:$BM$1006,0)))),"Fix")))</f>
        <v xml:space="preserve"> </v>
      </c>
      <c r="C646" s="4" t="str">
        <f ca="1">IF(OR(INDEX($AG$2:$AG$1001,MATCH(ROWS($AF$2:AF646),$AF$2:$AF$1001,0),1)&gt;=100000,INDEX($AM$1005:$BM$1005,1,MATCH(COLUMNS($AM$1006:AN1006),$AM$1006:$BM$1006,0))&gt;=100000), " ",IF(INDEX($AM$2:$BM$1001,MATCH(ROWS($AF$2:AF646),$AF$2:$AF$1001,0),MATCH(COLUMNS($AM$1006:AN1006),$AM$1006:$BM$1006,0)), HYPERLINK("#",""), HYPERLINK(CONCATENATE("#metadata!", ADDRESS(INDEX($AH$2:$AH$1001,MATCH(ROWS($AF$2:AF646),$AF$2:$AF$1001,0),0), INDEX($AM$1004:$BM$1004,1,MATCH(COLUMNS($AM$1006:AN1006),$AM$1006:$BM$1006,0)))),"Fix")))</f>
        <v xml:space="preserve"> </v>
      </c>
      <c r="D646" s="4" t="str">
        <f ca="1">IF(OR(INDEX($AG$2:$AG$1001,MATCH(ROWS($AF$2:AF646),$AF$2:$AF$1001,0),1)&gt;=100000,INDEX($AM$1005:$BM$1005,1,MATCH(COLUMNS($AM$1006:AO1006),$AM$1006:$BM$1006,0))&gt;=100000), " ",IF(INDEX($AM$2:$BM$1001,MATCH(ROWS($AF$2:AF646),$AF$2:$AF$1001,0),MATCH(COLUMNS($AM$1006:AO1006),$AM$1006:$BM$1006,0)), HYPERLINK("#",""), HYPERLINK(CONCATENATE("#metadata!", ADDRESS(INDEX($AH$2:$AH$1001,MATCH(ROWS($AF$2:AF646),$AF$2:$AF$1001,0),0), INDEX($AM$1004:$BM$1004,1,MATCH(COLUMNS($AM$1006:AO1006),$AM$1006:$BM$1006,0)))),"Fix")))</f>
        <v xml:space="preserve"> </v>
      </c>
      <c r="E646" s="4" t="str">
        <f ca="1">IF(OR(INDEX($AG$2:$AG$1001,MATCH(ROWS($AF$2:AF646),$AF$2:$AF$1001,0),1)&gt;=100000,INDEX($AM$1005:$BM$1005,1,MATCH(COLUMNS($AM$1006:AP1006),$AM$1006:$BM$1006,0))&gt;=100000), " ",IF(INDEX($AM$2:$BM$1001,MATCH(ROWS($AF$2:AF646),$AF$2:$AF$1001,0),MATCH(COLUMNS($AM$1006:AP1006),$AM$1006:$BM$1006,0)), HYPERLINK("#",""), HYPERLINK(CONCATENATE("#metadata!", ADDRESS(INDEX($AH$2:$AH$1001,MATCH(ROWS($AF$2:AF646),$AF$2:$AF$1001,0),0), INDEX($AM$1004:$BM$1004,1,MATCH(COLUMNS($AM$1006:AP1006),$AM$1006:$BM$1006,0)))),"Fix")))</f>
        <v xml:space="preserve"> </v>
      </c>
      <c r="F646" s="4" t="str">
        <f ca="1">IF(OR(INDEX($AG$2:$AG$1001,MATCH(ROWS($AF$2:AF646),$AF$2:$AF$1001,0),1)&gt;=100000,INDEX($AM$1005:$BM$1005,1,MATCH(COLUMNS($AM$1006:AQ1006),$AM$1006:$BM$1006,0))&gt;=100000), " ",IF(INDEX($AM$2:$BM$1001,MATCH(ROWS($AF$2:AF646),$AF$2:$AF$1001,0),MATCH(COLUMNS($AM$1006:AQ1006),$AM$1006:$BM$1006,0)), HYPERLINK("#",""), HYPERLINK(CONCATENATE("#metadata!", ADDRESS(INDEX($AH$2:$AH$1001,MATCH(ROWS($AF$2:AF646),$AF$2:$AF$1001,0),0), INDEX($AM$1004:$BM$1004,1,MATCH(COLUMNS($AM$1006:AQ1006),$AM$1006:$BM$1006,0)))),"Fix")))</f>
        <v xml:space="preserve"> </v>
      </c>
      <c r="G646" s="4" t="str">
        <f ca="1">IF(OR(INDEX($AG$2:$AG$1001,MATCH(ROWS($AF$2:AF646),$AF$2:$AF$1001,0),1)&gt;=100000,INDEX($AM$1005:$BM$1005,1,MATCH(COLUMNS($AM$1006:AR1006),$AM$1006:$BM$1006,0))&gt;=100000), " ",IF(INDEX($AM$2:$BM$1001,MATCH(ROWS($AF$2:AF646),$AF$2:$AF$1001,0),MATCH(COLUMNS($AM$1006:AR1006),$AM$1006:$BM$1006,0)), HYPERLINK("#",""), HYPERLINK(CONCATENATE("#metadata!", ADDRESS(INDEX($AH$2:$AH$1001,MATCH(ROWS($AF$2:AF646),$AF$2:$AF$1001,0),0), INDEX($AM$1004:$BM$1004,1,MATCH(COLUMNS($AM$1006:AR1006),$AM$1006:$BM$1006,0)))),"Fix")))</f>
        <v xml:space="preserve"> </v>
      </c>
      <c r="H646" s="4" t="str">
        <f ca="1">IF(OR(INDEX($AG$2:$AG$1001,MATCH(ROWS($AF$2:AF646),$AF$2:$AF$1001,0),1)&gt;=100000,INDEX($AM$1005:$BM$1005,1,MATCH(COLUMNS($AM$1006:AS1006),$AM$1006:$BM$1006,0))&gt;=100000), " ",IF(INDEX($AM$2:$BM$1001,MATCH(ROWS($AF$2:AF646),$AF$2:$AF$1001,0),MATCH(COLUMNS($AM$1006:AS1006),$AM$1006:$BM$1006,0)), HYPERLINK("#",""), HYPERLINK(CONCATENATE("#metadata!", ADDRESS(INDEX($AH$2:$AH$1001,MATCH(ROWS($AF$2:AF646),$AF$2:$AF$1001,0),0), INDEX($AM$1004:$BM$1004,1,MATCH(COLUMNS($AM$1006:AS1006),$AM$1006:$BM$1006,0)))),"Fix")))</f>
        <v xml:space="preserve"> </v>
      </c>
      <c r="I646" s="4" t="str">
        <f ca="1">IF(OR(INDEX($AG$2:$AG$1001,MATCH(ROWS($AF$2:AF646),$AF$2:$AF$1001,0),1)&gt;=100000,INDEX($AM$1005:$BM$1005,1,MATCH(COLUMNS($AM$1006:AT1006),$AM$1006:$BM$1006,0))&gt;=100000), " ",IF(INDEX($AM$2:$BM$1001,MATCH(ROWS($AF$2:AF646),$AF$2:$AF$1001,0),MATCH(COLUMNS($AM$1006:AT1006),$AM$1006:$BM$1006,0)), HYPERLINK("#",""), HYPERLINK(CONCATENATE("#metadata!", ADDRESS(INDEX($AH$2:$AH$1001,MATCH(ROWS($AF$2:AF646),$AF$2:$AF$1001,0),0), INDEX($AM$1004:$BM$1004,1,MATCH(COLUMNS($AM$1006:AT1006),$AM$1006:$BM$1006,0)))),"Fix")))</f>
        <v xml:space="preserve"> </v>
      </c>
      <c r="J646" s="4" t="str">
        <f ca="1">IF(OR(INDEX($AG$2:$AG$1001,MATCH(ROWS($AF$2:AF646),$AF$2:$AF$1001,0),1)&gt;=100000,INDEX($AM$1005:$BM$1005,1,MATCH(COLUMNS($AM$1006:AU1006),$AM$1006:$BM$1006,0))&gt;=100000), " ",IF(INDEX($AM$2:$BM$1001,MATCH(ROWS($AF$2:AF646),$AF$2:$AF$1001,0),MATCH(COLUMNS($AM$1006:AU1006),$AM$1006:$BM$1006,0)), HYPERLINK("#",""), HYPERLINK(CONCATENATE("#metadata!", ADDRESS(INDEX($AH$2:$AH$1001,MATCH(ROWS($AF$2:AF646),$AF$2:$AF$1001,0),0), INDEX($AM$1004:$BM$1004,1,MATCH(COLUMNS($AM$1006:AU1006),$AM$1006:$BM$1006,0)))),"Fix")))</f>
        <v xml:space="preserve"> </v>
      </c>
      <c r="K646" s="4" t="str">
        <f ca="1">IF(OR(INDEX($AG$2:$AG$1001,MATCH(ROWS($AF$2:AF646),$AF$2:$AF$1001,0),1)&gt;=100000,INDEX($AM$1005:$BM$1005,1,MATCH(COLUMNS($AM$1006:AV1006),$AM$1006:$BM$1006,0))&gt;=100000), " ",IF(INDEX($AM$2:$BM$1001,MATCH(ROWS($AF$2:AF646),$AF$2:$AF$1001,0),MATCH(COLUMNS($AM$1006:AV1006),$AM$1006:$BM$1006,0)), HYPERLINK("#",""), HYPERLINK(CONCATENATE("#metadata!", ADDRESS(INDEX($AH$2:$AH$1001,MATCH(ROWS($AF$2:AF646),$AF$2:$AF$1001,0),0), INDEX($AM$1004:$BM$1004,1,MATCH(COLUMNS($AM$1006:AV1006),$AM$1006:$BM$1006,0)))),"Fix")))</f>
        <v xml:space="preserve"> </v>
      </c>
      <c r="L646" s="4" t="str">
        <f ca="1">IF(OR(INDEX($AG$2:$AG$1001,MATCH(ROWS($AF$2:AF646),$AF$2:$AF$1001,0),1)&gt;=100000,INDEX($AM$1005:$BM$1005,1,MATCH(COLUMNS($AM$1006:AW1006),$AM$1006:$BM$1006,0))&gt;=100000), " ",IF(INDEX($AM$2:$BM$1001,MATCH(ROWS($AF$2:AF646),$AF$2:$AF$1001,0),MATCH(COLUMNS($AM$1006:AW1006),$AM$1006:$BM$1006,0)), HYPERLINK("#",""), HYPERLINK(CONCATENATE("#metadata!", ADDRESS(INDEX($AH$2:$AH$1001,MATCH(ROWS($AF$2:AF646),$AF$2:$AF$1001,0),0), INDEX($AM$1004:$BM$1004,1,MATCH(COLUMNS($AM$1006:AW1006),$AM$1006:$BM$1006,0)))),"Fix")))</f>
        <v xml:space="preserve"> </v>
      </c>
      <c r="M646" s="4" t="str">
        <f ca="1">IF(OR(INDEX($AG$2:$AG$1001,MATCH(ROWS($AF$2:AF646),$AF$2:$AF$1001,0),1)&gt;=100000,INDEX($AM$1005:$BM$1005,1,MATCH(COLUMNS($AM$1006:AX1006),$AM$1006:$BM$1006,0))&gt;=100000), " ",IF(INDEX($AM$2:$BM$1001,MATCH(ROWS($AF$2:AF646),$AF$2:$AF$1001,0),MATCH(COLUMNS($AM$1006:AX1006),$AM$1006:$BM$1006,0)), HYPERLINK("#",""), HYPERLINK(CONCATENATE("#metadata!", ADDRESS(INDEX($AH$2:$AH$1001,MATCH(ROWS($AF$2:AF646),$AF$2:$AF$1001,0),0), INDEX($AM$1004:$BM$1004,1,MATCH(COLUMNS($AM$1006:AX1006),$AM$1006:$BM$1006,0)))),"Fix")))</f>
        <v xml:space="preserve"> </v>
      </c>
      <c r="N646" s="4" t="str">
        <f ca="1">IF(OR(INDEX($AG$2:$AG$1001,MATCH(ROWS($AF$2:AF646),$AF$2:$AF$1001,0),1)&gt;=100000,INDEX($AM$1005:$BM$1005,1,MATCH(COLUMNS($AM$1006:AY1006),$AM$1006:$BM$1006,0))&gt;=100000), " ",IF(INDEX($AM$2:$BM$1001,MATCH(ROWS($AF$2:AF646),$AF$2:$AF$1001,0),MATCH(COLUMNS($AM$1006:AY1006),$AM$1006:$BM$1006,0)), HYPERLINK("#",""), HYPERLINK(CONCATENATE("#metadata!", ADDRESS(INDEX($AH$2:$AH$1001,MATCH(ROWS($AF$2:AF646),$AF$2:$AF$1001,0),0), INDEX($AM$1004:$BM$1004,1,MATCH(COLUMNS($AM$1006:AY1006),$AM$1006:$BM$1006,0)))),"Fix")))</f>
        <v xml:space="preserve"> </v>
      </c>
      <c r="O646" s="4" t="str">
        <f ca="1">IF(OR(INDEX($AG$2:$AG$1001,MATCH(ROWS($AF$2:AF646),$AF$2:$AF$1001,0),1)&gt;=100000,INDEX($AM$1005:$BM$1005,1,MATCH(COLUMNS($AM$1006:AZ1006),$AM$1006:$BM$1006,0))&gt;=100000), " ",IF(INDEX($AM$2:$BM$1001,MATCH(ROWS($AF$2:AF646),$AF$2:$AF$1001,0),MATCH(COLUMNS($AM$1006:AZ1006),$AM$1006:$BM$1006,0)), HYPERLINK("#",""), HYPERLINK(CONCATENATE("#metadata!", ADDRESS(INDEX($AH$2:$AH$1001,MATCH(ROWS($AF$2:AF646),$AF$2:$AF$1001,0),0), INDEX($AM$1004:$BM$1004,1,MATCH(COLUMNS($AM$1006:AZ1006),$AM$1006:$BM$1006,0)))),"Fix")))</f>
        <v xml:space="preserve"> </v>
      </c>
      <c r="P646" s="4" t="str">
        <f ca="1">IF(OR(INDEX($AG$2:$AG$1001,MATCH(ROWS($AF$2:AF646),$AF$2:$AF$1001,0),1)&gt;=100000,INDEX($AM$1005:$BM$1005,1,MATCH(COLUMNS($AM$1006:BA1006),$AM$1006:$BM$1006,0))&gt;=100000), " ",IF(INDEX($AM$2:$BM$1001,MATCH(ROWS($AF$2:AF646),$AF$2:$AF$1001,0),MATCH(COLUMNS($AM$1006:BA1006),$AM$1006:$BM$1006,0)), HYPERLINK("#",""), HYPERLINK(CONCATENATE("#metadata!", ADDRESS(INDEX($AH$2:$AH$1001,MATCH(ROWS($AF$2:AF646),$AF$2:$AF$1001,0),0), INDEX($AM$1004:$BM$1004,1,MATCH(COLUMNS($AM$1006:BA1006),$AM$1006:$BM$1006,0)))),"Fix")))</f>
        <v xml:space="preserve"> </v>
      </c>
      <c r="Q646" s="4" t="str">
        <f ca="1">IF(OR(INDEX($AG$2:$AG$1001,MATCH(ROWS($AF$2:AF646),$AF$2:$AF$1001,0),1)&gt;=100000,INDEX($AM$1005:$BM$1005,1,MATCH(COLUMNS($AM$1006:BB1006),$AM$1006:$BM$1006,0))&gt;=100000), " ",IF(INDEX($AM$2:$BM$1001,MATCH(ROWS($AF$2:AF646),$AF$2:$AF$1001,0),MATCH(COLUMNS($AM$1006:BB1006),$AM$1006:$BM$1006,0)), HYPERLINK("#",""), HYPERLINK(CONCATENATE("#metadata!", ADDRESS(INDEX($AH$2:$AH$1001,MATCH(ROWS($AF$2:AF646),$AF$2:$AF$1001,0),0), INDEX($AM$1004:$BM$1004,1,MATCH(COLUMNS($AM$1006:BB1006),$AM$1006:$BM$1006,0)))),"Fix")))</f>
        <v xml:space="preserve"> </v>
      </c>
      <c r="R646" s="4" t="str">
        <f ca="1">IF(OR(INDEX($AG$2:$AG$1001,MATCH(ROWS($AF$2:AF646),$AF$2:$AF$1001,0),1)&gt;=100000,INDEX($AM$1005:$BM$1005,1,MATCH(COLUMNS($AM$1006:BC1006),$AM$1006:$BM$1006,0))&gt;=100000), " ",IF(INDEX($AM$2:$BM$1001,MATCH(ROWS($AF$2:AF646),$AF$2:$AF$1001,0),MATCH(COLUMNS($AM$1006:BC1006),$AM$1006:$BM$1006,0)), HYPERLINK("#",""), HYPERLINK(CONCATENATE("#metadata!", ADDRESS(INDEX($AH$2:$AH$1001,MATCH(ROWS($AF$2:AF646),$AF$2:$AF$1001,0),0), INDEX($AM$1004:$BM$1004,1,MATCH(COLUMNS($AM$1006:BC1006),$AM$1006:$BM$1006,0)))),"Fix")))</f>
        <v xml:space="preserve"> </v>
      </c>
      <c r="S646" s="4" t="str">
        <f ca="1">IF(OR(INDEX($AG$2:$AG$1001,MATCH(ROWS($AF$2:AF646),$AF$2:$AF$1001,0),1)&gt;=100000,INDEX($AM$1005:$BM$1005,1,MATCH(COLUMNS($AM$1006:BD1006),$AM$1006:$BM$1006,0))&gt;=100000), " ",IF(INDEX($AM$2:$BM$1001,MATCH(ROWS($AF$2:AF646),$AF$2:$AF$1001,0),MATCH(COLUMNS($AM$1006:BD1006),$AM$1006:$BM$1006,0)), HYPERLINK("#",""), HYPERLINK(CONCATENATE("#metadata!", ADDRESS(INDEX($AH$2:$AH$1001,MATCH(ROWS($AF$2:AF646),$AF$2:$AF$1001,0),0), INDEX($AM$1004:$BM$1004,1,MATCH(COLUMNS($AM$1006:BD1006),$AM$1006:$BM$1006,0)))),"Fix")))</f>
        <v xml:space="preserve"> </v>
      </c>
      <c r="T646" s="4" t="str">
        <f ca="1">IF(OR(INDEX($AG$2:$AG$1001,MATCH(ROWS($AF$2:AF646),$AF$2:$AF$1001,0),1)&gt;=100000,INDEX($AM$1005:$BM$1005,1,MATCH(COLUMNS($AM$1006:BE1006),$AM$1006:$BM$1006,0))&gt;=100000), " ",IF(INDEX($AM$2:$BM$1001,MATCH(ROWS($AF$2:AF646),$AF$2:$AF$1001,0),MATCH(COLUMNS($AM$1006:BE1006),$AM$1006:$BM$1006,0)), HYPERLINK("#",""), HYPERLINK(CONCATENATE("#metadata!", ADDRESS(INDEX($AH$2:$AH$1001,MATCH(ROWS($AF$2:AF646),$AF$2:$AF$1001,0),0), INDEX($AM$1004:$BM$1004,1,MATCH(COLUMNS($AM$1006:BE1006),$AM$1006:$BM$1006,0)))),"Fix")))</f>
        <v xml:space="preserve"> </v>
      </c>
      <c r="U646" s="4" t="str">
        <f ca="1">IF(OR(INDEX($AG$2:$AG$1001,MATCH(ROWS($AF$2:AF646),$AF$2:$AF$1001,0),1)&gt;=100000,INDEX($AM$1005:$BM$1005,1,MATCH(COLUMNS($AM$1006:BF1006),$AM$1006:$BM$1006,0))&gt;=100000), " ",IF(INDEX($AM$2:$BM$1001,MATCH(ROWS($AF$2:AF646),$AF$2:$AF$1001,0),MATCH(COLUMNS($AM$1006:BF1006),$AM$1006:$BM$1006,0)), HYPERLINK("#",""), HYPERLINK(CONCATENATE("#metadata!", ADDRESS(INDEX($AH$2:$AH$1001,MATCH(ROWS($AF$2:AF646),$AF$2:$AF$1001,0),0), INDEX($AM$1004:$BM$1004,1,MATCH(COLUMNS($AM$1006:BF1006),$AM$1006:$BM$1006,0)))),"Fix")))</f>
        <v xml:space="preserve"> </v>
      </c>
      <c r="V646" s="4" t="str">
        <f ca="1">IF(OR(INDEX($AG$2:$AG$1001,MATCH(ROWS($AF$2:AF646),$AF$2:$AF$1001,0),1)&gt;=100000,INDEX($AM$1005:$BM$1005,1,MATCH(COLUMNS($AM$1006:BG1006),$AM$1006:$BM$1006,0))&gt;=100000), " ",IF(INDEX($AM$2:$BM$1001,MATCH(ROWS($AF$2:AF646),$AF$2:$AF$1001,0),MATCH(COLUMNS($AM$1006:BG1006),$AM$1006:$BM$1006,0)), HYPERLINK("#",""), HYPERLINK(CONCATENATE("#metadata!", ADDRESS(INDEX($AH$2:$AH$1001,MATCH(ROWS($AF$2:AF646),$AF$2:$AF$1001,0),0), INDEX($AM$1004:$BM$1004,1,MATCH(COLUMNS($AM$1006:BG1006),$AM$1006:$BM$1006,0)))),"Fix")))</f>
        <v xml:space="preserve"> </v>
      </c>
      <c r="W646" s="4" t="str">
        <f ca="1">IF(OR(INDEX($AG$2:$AG$1001,MATCH(ROWS($AF$2:AF646),$AF$2:$AF$1001,0),1)&gt;=100000,INDEX($AM$1005:$BM$1005,1,MATCH(COLUMNS($AM$1006:BH1006),$AM$1006:$BM$1006,0))&gt;=100000), " ",IF(INDEX($AM$2:$BM$1001,MATCH(ROWS($AF$2:AF646),$AF$2:$AF$1001,0),MATCH(COLUMNS($AM$1006:BH1006),$AM$1006:$BM$1006,0)), HYPERLINK("#",""), HYPERLINK(CONCATENATE("#metadata!", ADDRESS(INDEX($AH$2:$AH$1001,MATCH(ROWS($AF$2:AF646),$AF$2:$AF$1001,0),0), INDEX($AM$1004:$BM$1004,1,MATCH(COLUMNS($AM$1006:BH1006),$AM$1006:$BM$1006,0)))),"Fix")))</f>
        <v xml:space="preserve"> </v>
      </c>
      <c r="X646" s="4" t="str">
        <f ca="1">IF(OR(INDEX($AG$2:$AG$1001,MATCH(ROWS($AF$2:AF646),$AF$2:$AF$1001,0),1)&gt;=100000,INDEX($AM$1005:$BM$1005,1,MATCH(COLUMNS($AM$1006:BI1006),$AM$1006:$BM$1006,0))&gt;=100000), " ",IF(INDEX($AM$2:$BM$1001,MATCH(ROWS($AF$2:AF646),$AF$2:$AF$1001,0),MATCH(COLUMNS($AM$1006:BI1006),$AM$1006:$BM$1006,0)), HYPERLINK("#",""), HYPERLINK(CONCATENATE("#metadata!", ADDRESS(INDEX($AH$2:$AH$1001,MATCH(ROWS($AF$2:AF646),$AF$2:$AF$1001,0),0), INDEX($AM$1004:$BM$1004,1,MATCH(COLUMNS($AM$1006:BI1006),$AM$1006:$BM$1006,0)))),"Fix")))</f>
        <v xml:space="preserve"> </v>
      </c>
      <c r="Y646" s="4" t="str">
        <f ca="1">IF(OR(INDEX($AG$2:$AG$1001,MATCH(ROWS($AF$2:AF646),$AF$2:$AF$1001,0),1)&gt;=100000,INDEX($AM$1005:$BM$1005,1,MATCH(COLUMNS($AM$1006:BJ1006),$AM$1006:$BM$1006,0))&gt;=100000), " ",IF(INDEX($AM$2:$BM$1001,MATCH(ROWS($AF$2:AF646),$AF$2:$AF$1001,0),MATCH(COLUMNS($AM$1006:BJ1006),$AM$1006:$BM$1006,0)), HYPERLINK("#",""), HYPERLINK(CONCATENATE("#metadata!", ADDRESS(INDEX($AH$2:$AH$1001,MATCH(ROWS($AF$2:AF646),$AF$2:$AF$1001,0),0), INDEX($AM$1004:$BM$1004,1,MATCH(COLUMNS($AM$1006:BJ1006),$AM$1006:$BM$1006,0)))),"Fix")))</f>
        <v xml:space="preserve"> </v>
      </c>
      <c r="Z646" s="4" t="str">
        <f ca="1">IF(OR(INDEX($AG$2:$AG$1001,MATCH(ROWS($AF$2:AF646),$AF$2:$AF$1001,0),1)&gt;=100000,INDEX($AM$1005:$BM$1005,1,MATCH(COLUMNS($AM$1006:BK1006),$AM$1006:$BM$1006,0))&gt;=100000), " ",IF(INDEX($AM$2:$BM$1001,MATCH(ROWS($AF$2:AF646),$AF$2:$AF$1001,0),MATCH(COLUMNS($AM$1006:BK1006),$AM$1006:$BM$1006,0)), HYPERLINK("#",""), HYPERLINK(CONCATENATE("#metadata!", ADDRESS(INDEX($AH$2:$AH$1001,MATCH(ROWS($AF$2:AF646),$AF$2:$AF$1001,0),0), INDEX($AM$1004:$BM$1004,1,MATCH(COLUMNS($AM$1006:BK1006),$AM$1006:$BM$1006,0)))),"Fix")))</f>
        <v xml:space="preserve"> </v>
      </c>
      <c r="AA646" s="4" t="str">
        <f ca="1">IF(OR(INDEX($AG$2:$AG$1001,MATCH(ROWS($AF$2:AF646),$AF$2:$AF$1001,0),1)&gt;=100000,INDEX($AM$1005:$BM$1005,1,MATCH(COLUMNS($AM$1006:BL1006),$AM$1006:$BM$1006,0))&gt;=100000), " ",IF(INDEX($AM$2:$BM$1001,MATCH(ROWS($AF$2:AF646),$AF$2:$AF$1001,0),MATCH(COLUMNS($AM$1006:BL1006),$AM$1006:$BM$1006,0)), HYPERLINK("#",""), HYPERLINK(CONCATENATE("#metadata!", ADDRESS(INDEX($AH$2:$AH$1001,MATCH(ROWS($AF$2:AF646),$AF$2:$AF$1001,0),0), INDEX($AM$1004:$BM$1004,1,MATCH(COLUMNS($AM$1006:BL1006),$AM$1006:$BM$1006,0)))),"Fix")))</f>
        <v xml:space="preserve"> </v>
      </c>
      <c r="AB646" s="4" t="str">
        <f ca="1">IF(OR(INDEX($AG$2:$AG$1001,MATCH(ROWS($AF$2:AF646),$AF$2:$AF$1001,0),1)&gt;=100000,INDEX($AM$1005:$BM$1005,1,MATCH(COLUMNS($AM$1006:BM1006),$AM$1006:$BM$1006,0))&gt;=100000), " ",IF(INDEX($AM$2:$BM$1001,MATCH(ROWS($AF$2:AF646),$AF$2:$AF$1001,0),MATCH(COLUMNS($AM$1006:BM1006),$AM$1006:$BM$1006,0)), HYPERLINK("#",""), HYPERLINK(CONCATENATE("#metadata!", ADDRESS(INDEX($AH$2:$AH$1001,MATCH(ROWS($AF$2:AF646),$AF$2:$AF$1001,0),0), INDEX($AM$1004:$BM$1004,1,MATCH(COLUMNS($AM$1006:BM1006),$AM$1006:$BM$1006,0)))),"Fix")))</f>
        <v xml:space="preserve"> </v>
      </c>
      <c r="AF646">
        <v>645</v>
      </c>
      <c r="AG646">
        <v>100646</v>
      </c>
      <c r="AH646">
        <v>646</v>
      </c>
      <c r="AI646" t="b">
        <f t="shared" si="10"/>
        <v>1</v>
      </c>
      <c r="AJ646" t="b">
        <f>COUNTBLANK(metadata!B646:AB646)=COLUMNS(metadata!B646:AB646)</f>
        <v>1</v>
      </c>
      <c r="AK646" t="str">
        <v/>
      </c>
      <c r="AM646" t="b">
        <f ca="1">AND(IF(metadata!B646="",FALSE,TRUE),COUNTIF(metadata!B:B, metadata!B646) = 1,NOT(ISERROR(SUMPRODUCT(SEARCH(MID(metadata!B646,ROW(INDIRECT("1:"&amp;LEN(metadata!B646))), 1),"0123456789abcdefghijklmnopqrstuvwxyzABCDEFGHIJKLMNOPQRSTUVWXYZ.")))))</f>
        <v>0</v>
      </c>
      <c r="AN646" t="b">
        <f ca="1">OR(AND(IF(metadata!C646="",FALSE,TRUE),OR(EXACT(metadata!C646,"missing: not collected"),EXACT(metadata!C646,"missing: not provided"),EXACT(metadata!C646,"missing: restricted access"))),AND(IF(metadata!C646="",FALSE,TRUE),AND(AND(IFERROR(INT(LEFT(metadata!C646,4))&gt;1900,FALSE),IFERROR(INT(LEFT(metadata!C646,4))&lt;=YEAR(NOW()),FALSE)), OR(MID(metadata!C646,5,1)="", AND(AND(MID(metadata!C646,5,1)="-",IFERROR(INT(MID(metadata!C646,6,1))&gt;=0,FALSE),IFERROR(INT(MID(metadata!C646,6,1))&lt;=1,FALSE),NOT(MID(metadata!C646,7,1)=""),IFERROR(INT(MID(metadata!C646,6,2))&gt;=1,FALSE),IFERROR(INT(MID(metadata!C646,6,2))&lt;=12,FALSE)), OR(MID(metadata!C646,8,1)="", AND(AND(MID(metadata!C646,8,1)="-",IFERROR(INT(MID(metadata!C646,9,1))&gt;=0,FALSE),IFERROR(INT(MID(metadata!C646,9,1))&lt;=3,FALSE),NOT(MID(metadata!C646,10,1)=""),IFERROR(INT(MID(metadata!C646,9,2))&gt;=1,FALSE),IFERROR(INT(MID(metadata!C646,9,2))&lt;=31,FALSE)), OR(MID(metadata!C646,11,1)="", AND(AND(MID(metadata!C646,11,1)=" ",IFERROR(INT(MID(metadata!C646,12,1))&gt;=0,FALSE),IFERROR(INT(MID(metadata!C646,12,1))&lt;=2,FALSE),NOT(MID(metadata!C646,13,1)=""),IFERROR(INT(MID(metadata!C646,12,2))&gt;=0,FALSE),IFERROR(INT(MID(metadata!C646,12,2))&lt;=23,FALSE)), OR(MID(metadata!C646,14,1)="", AND(AND(MID(metadata!C646,14,1)=":",IFERROR(INT(MID(metadata!C646,15,1))&gt;=0,FALSE),IFERROR(INT(MID(metadata!C646,15,1))&lt;=5,FALSE),NOT(MID(metadata!C646,16,1)=""),IFERROR(INT(MID(metadata!C646,15,2))&gt;=0,FALSE),IFERROR(INT(MID(metadata!C646,15,2))&lt;=59,FALSE)), OR(MID(metadata!C646,17,1)="", AND(AND(MID(metadata!C646,17,1)=":",IFERROR(INT(MID(metadata!C646,18,1))&gt;=0,FALSE),IFERROR(INT(MID(metadata!C646,18,1))&lt;=5,FALSE),NOT(MID(metadata!C646,19,1)=""),IFERROR(INT(MID(metadata!C646,18,2))&gt;=0,FALSE),IFERROR(INT(MID(metadata!C646,18,2))&lt;=59,FALSE)), LEN(metadata!C646)&lt;=19)))))))))))))</f>
        <v>0</v>
      </c>
      <c r="AO646" t="b">
        <f>AND(IF(metadata!D646="",FALSE,TRUE),EXACT(metadata!D646,"Not applicable"))</f>
        <v>0</v>
      </c>
      <c r="AP646" t="b">
        <f>IF(metadata!E646="",FALSE,TRUE)</f>
        <v>0</v>
      </c>
      <c r="AQ646" t="b">
        <f>OR(AND(IF(metadata!F646="",FALSE,TRUE),OR(EXACT(metadata!F646,"missing: not collected"),EXACT(metadata!F646,"missing: not provided"))),AND(IF(metadata!F646="",FALSE,TRUE),OR(EXACT(metadata!F646,"TRUE"),EXACT(metadata!F646,"FALSE"))))</f>
        <v>0</v>
      </c>
      <c r="AR646" t="b">
        <f>OR(AND(IF(metadata!G646="",FALSE,TRUE),OR(EXACT(metadata!G646,"missing: not collected"),EXACT(metadata!G646,"missing: not provided"),EXACT(metadata!G646,"missing: restricted access"))),AND(IF(metadata!G646="",FALSE,ISNUMBER(VALUE(metadata!G646))),metadata!G646&gt;=-413))</f>
        <v>0</v>
      </c>
      <c r="AS646" t="b">
        <f>AND(IF(metadata!H646="",FALSE,TRUE),EXACT(metadata!H646,"meters"))</f>
        <v>0</v>
      </c>
      <c r="AT646" t="b">
        <f>AND(IF(metadata!I646="",FALSE,TRUE),OR(EXACT(metadata!I646,"Host-associated"),EXACT(metadata!I646,"Free-living")))</f>
        <v>0</v>
      </c>
      <c r="AU646" t="b">
        <f>AND(IF(metadata!J646="",FALSE,TRUE),OR(EXACT(metadata!J646,"Animal"),EXACT(metadata!J646,"Fungus"),EXACT(metadata!J646,"Plant"),EXACT(metadata!J646,"Saline"),EXACT(metadata!J646,"Non-saline")))</f>
        <v>0</v>
      </c>
      <c r="AV646" t="b">
        <f>AND(IF(metadata!K646="",FALSE,TRUE),OR(EXACT(metadata!K646,"Plant secretion"),EXACT(metadata!K646,"Plant rhizosphere"),EXACT(metadata!K646,"Plant surface"),EXACT(metadata!K646,"Plant corpus"),EXACT(metadata!K646,"Fungus surface"),EXACT(metadata!K646,"Fungus corpus"),EXACT(metadata!K646,"Animal surface"),EXACT(metadata!K646,"Animal proximal gut"),EXACT(metadata!K646,"Animal corpus"),EXACT(metadata!K646,"Animal distal gut"),EXACT(metadata!K646,"Animal secretion"),EXACT(metadata!K646,"Sub-surface (non-saline)"),EXACT(metadata!K646,"Surface (non-saline)"),EXACT(metadata!K646,"Water (non-saline)"),EXACT(metadata!K646,"Soil (non-saline)"),EXACT(metadata!K646,"Aerosol (non-saline)"),EXACT(metadata!K646,"Sediment (non-saline)"),EXACT(metadata!K646,"Surface (saline)"),EXACT(metadata!K646,"Water (saline)"),EXACT(metadata!K646,"Hypersaline (saline)"),EXACT(metadata!K646,"Aerosol (saline)"),EXACT(metadata!K646,"Sediment (saline)")))</f>
        <v>0</v>
      </c>
      <c r="AW646" t="b">
        <f>IF(metadata!L646="",FALSE,TRUE)</f>
        <v>0</v>
      </c>
      <c r="AX646" t="b">
        <f>IF(metadata!M646="",FALSE,TRUE)</f>
        <v>0</v>
      </c>
      <c r="AY646" t="b">
        <f>IF(metadata!N646="",FALSE,TRUE)</f>
        <v>0</v>
      </c>
      <c r="AZ646" t="b">
        <f>OR(AND(IF(metadata!O646="",FALSE,TRUE),OR(EXACT(metadata!O646,"missing: not collected"),EXACT(metadata!O646,"missing: not provided"),EXACT(metadata!O646,"missing: restricted access"))),AND(IF(metadata!O646="",FALSE,TRUE),OR(EXACT(metadata!O646,"air"),EXACT(metadata!O646,"built environment"),EXACT(metadata!O646,"host-associated"),EXACT(metadata!O646,"human-associated"),EXACT(metadata!O646,"human-skin"),EXACT(metadata!O646,"human-oral"),EXACT(metadata!O646,"human-gut"),EXACT(metadata!O646,"human-vaginal"),EXACT(metadata!O646,"microbial mat/biofilm"),EXACT(metadata!O646,"misc environment"),EXACT(metadata!O646,"plant-associated"),EXACT(metadata!O646,"sediment"),EXACT(metadata!O646,"soil"),EXACT(metadata!O646,"wastewater/sludge"),EXACT(metadata!O646,"water"))))</f>
        <v>0</v>
      </c>
      <c r="BA646" t="b">
        <f>IF(metadata!P646="",FALSE,TRUE)</f>
        <v>0</v>
      </c>
      <c r="BB646" t="b">
        <f>IF(metadata!Q646="",FALSE,TRUE)</f>
        <v>0</v>
      </c>
      <c r="BC646" t="b">
        <f>OR(AND(IF(metadata!R646="",FALSE,TRUE),OR(EXACT(metadata!R646,"missing: not collected"),EXACT(metadata!R646,"missing: not provided"),EXACT(metadata!R646,"missing: restricted access"))),AND(IF(metadata!R646="",FALSE,ISNUMBER(VALUE(metadata!R646))),metadata!R646&gt;=-90,metadata!R646&lt;=90))</f>
        <v>0</v>
      </c>
      <c r="BD646" t="b">
        <f>AND(IF(metadata!S646="",FALSE,TRUE),EXACT(metadata!S646,"Decimal degrees"))</f>
        <v>0</v>
      </c>
      <c r="BE646" t="b">
        <f>OR(AND(IF(metadata!T646="",FALSE,TRUE),OR(EXACT(metadata!T646,"missing: not collected"),EXACT(metadata!T646,"missing: not provided"),EXACT(metadata!T646,"missing: restricted access"))),AND(IF(metadata!T646="",FALSE,ISNUMBER(VALUE(metadata!T646))),metadata!T646&gt;=-180,metadata!T646&lt;=180))</f>
        <v>0</v>
      </c>
      <c r="BF646" t="b">
        <f>AND(IF(metadata!U646="",FALSE,TRUE),EXACT(metadata!U646,"Decimal degrees"))</f>
        <v>0</v>
      </c>
      <c r="BG646" t="b">
        <f>IF(metadata!V646="",FALSE,TRUE)</f>
        <v>0</v>
      </c>
      <c r="BH646" t="b">
        <f>OR(AND(IF(metadata!W646="",FALSE,TRUE),OR(EXACT(metadata!W646,"missing: not collected"),EXACT(metadata!W646,"missing: not provided"),EXACT(metadata!W646,"missing: restricted access"))),AND(IF(metadata!W646="",FALSE,TRUE),OR(EXACT(metadata!W646,"TRUE"),EXACT(metadata!W646,"FALSE"))))</f>
        <v>0</v>
      </c>
      <c r="BI646" t="b">
        <f>AND(IF(metadata!X646="",FALSE,TRUE),EXACT(metadata!X646,"other"))</f>
        <v>0</v>
      </c>
      <c r="BJ646" t="b">
        <f>IF(metadata!Y646="",FALSE,TRUE)</f>
        <v>0</v>
      </c>
      <c r="BK646" t="b">
        <f>OR(AND(IF(metadata!Z646="",FALSE,TRUE),OR(EXACT(metadata!Z646,"missing: not collected"),EXACT(metadata!Z646,"missing: not provided"))),AND(IF(metadata!Z646="",FALSE,IF(ISERROR(INT(metadata!Z646)),FALSE,INT(metadata!Z646)=metadata!Z646)),metadata!Z646&gt;0))</f>
        <v>0</v>
      </c>
      <c r="BL646" t="b">
        <f>AND(IF(metadata!AA646="",FALSE,TRUE),EXACT(metadata!AA646,"Not applicable"))</f>
        <v>0</v>
      </c>
      <c r="BM646" t="b">
        <f>IF(metadata!AB646="",FALSE,TRUE)</f>
        <v>0</v>
      </c>
    </row>
    <row r="647" spans="1:65" x14ac:dyDescent="0.2">
      <c r="A647" s="5" t="str">
        <f ca="1">IF(B647=" "," ",HYPERLINK(CONCATENATE("#metadata!",ADDRESS(INDEX($AH$2:$AH$1001,MATCH(ROWS($AF$2:AF647),$AF$2:$AF$1001,0),0),1)),INDEX($AK$2:$AK$1001,MATCH(ROWS($AF$2:AF647),$AF$2:$AF$1001,0),0)))</f>
        <v xml:space="preserve"> </v>
      </c>
      <c r="B647" s="4" t="str">
        <f ca="1">IF(OR(INDEX($AG$2:$AG$1001,MATCH(ROWS($AF$2:AF647),$AF$2:$AF$1001,0),1)&gt;=100000,INDEX($AM$1005:$BM$1005,1,MATCH(COLUMNS($AM$1006:AM1006),$AM$1006:$BM$1006,0))&gt;=100000), " ",IF(INDEX($AM$2:$BM$1001,MATCH(ROWS($AF$2:AF647),$AF$2:$AF$1001,0),MATCH(COLUMNS($AM$1006:AM1006),$AM$1006:$BM$1006,0)), HYPERLINK("#",""), HYPERLINK(CONCATENATE("#metadata!", ADDRESS(INDEX($AH$2:$AH$1001,MATCH(ROWS($AF$2:AF647),$AF$2:$AF$1001,0),0), INDEX($AM$1004:$BM$1004,1,MATCH(COLUMNS($AM$1006:AM1006),$AM$1006:$BM$1006,0)))),"Fix")))</f>
        <v xml:space="preserve"> </v>
      </c>
      <c r="C647" s="4" t="str">
        <f ca="1">IF(OR(INDEX($AG$2:$AG$1001,MATCH(ROWS($AF$2:AF647),$AF$2:$AF$1001,0),1)&gt;=100000,INDEX($AM$1005:$BM$1005,1,MATCH(COLUMNS($AM$1006:AN1006),$AM$1006:$BM$1006,0))&gt;=100000), " ",IF(INDEX($AM$2:$BM$1001,MATCH(ROWS($AF$2:AF647),$AF$2:$AF$1001,0),MATCH(COLUMNS($AM$1006:AN1006),$AM$1006:$BM$1006,0)), HYPERLINK("#",""), HYPERLINK(CONCATENATE("#metadata!", ADDRESS(INDEX($AH$2:$AH$1001,MATCH(ROWS($AF$2:AF647),$AF$2:$AF$1001,0),0), INDEX($AM$1004:$BM$1004,1,MATCH(COLUMNS($AM$1006:AN1006),$AM$1006:$BM$1006,0)))),"Fix")))</f>
        <v xml:space="preserve"> </v>
      </c>
      <c r="D647" s="4" t="str">
        <f ca="1">IF(OR(INDEX($AG$2:$AG$1001,MATCH(ROWS($AF$2:AF647),$AF$2:$AF$1001,0),1)&gt;=100000,INDEX($AM$1005:$BM$1005,1,MATCH(COLUMNS($AM$1006:AO1006),$AM$1006:$BM$1006,0))&gt;=100000), " ",IF(INDEX($AM$2:$BM$1001,MATCH(ROWS($AF$2:AF647),$AF$2:$AF$1001,0),MATCH(COLUMNS($AM$1006:AO1006),$AM$1006:$BM$1006,0)), HYPERLINK("#",""), HYPERLINK(CONCATENATE("#metadata!", ADDRESS(INDEX($AH$2:$AH$1001,MATCH(ROWS($AF$2:AF647),$AF$2:$AF$1001,0),0), INDEX($AM$1004:$BM$1004,1,MATCH(COLUMNS($AM$1006:AO1006),$AM$1006:$BM$1006,0)))),"Fix")))</f>
        <v xml:space="preserve"> </v>
      </c>
      <c r="E647" s="4" t="str">
        <f ca="1">IF(OR(INDEX($AG$2:$AG$1001,MATCH(ROWS($AF$2:AF647),$AF$2:$AF$1001,0),1)&gt;=100000,INDEX($AM$1005:$BM$1005,1,MATCH(COLUMNS($AM$1006:AP1006),$AM$1006:$BM$1006,0))&gt;=100000), " ",IF(INDEX($AM$2:$BM$1001,MATCH(ROWS($AF$2:AF647),$AF$2:$AF$1001,0),MATCH(COLUMNS($AM$1006:AP1006),$AM$1006:$BM$1006,0)), HYPERLINK("#",""), HYPERLINK(CONCATENATE("#metadata!", ADDRESS(INDEX($AH$2:$AH$1001,MATCH(ROWS($AF$2:AF647),$AF$2:$AF$1001,0),0), INDEX($AM$1004:$BM$1004,1,MATCH(COLUMNS($AM$1006:AP1006),$AM$1006:$BM$1006,0)))),"Fix")))</f>
        <v xml:space="preserve"> </v>
      </c>
      <c r="F647" s="4" t="str">
        <f ca="1">IF(OR(INDEX($AG$2:$AG$1001,MATCH(ROWS($AF$2:AF647),$AF$2:$AF$1001,0),1)&gt;=100000,INDEX($AM$1005:$BM$1005,1,MATCH(COLUMNS($AM$1006:AQ1006),$AM$1006:$BM$1006,0))&gt;=100000), " ",IF(INDEX($AM$2:$BM$1001,MATCH(ROWS($AF$2:AF647),$AF$2:$AF$1001,0),MATCH(COLUMNS($AM$1006:AQ1006),$AM$1006:$BM$1006,0)), HYPERLINK("#",""), HYPERLINK(CONCATENATE("#metadata!", ADDRESS(INDEX($AH$2:$AH$1001,MATCH(ROWS($AF$2:AF647),$AF$2:$AF$1001,0),0), INDEX($AM$1004:$BM$1004,1,MATCH(COLUMNS($AM$1006:AQ1006),$AM$1006:$BM$1006,0)))),"Fix")))</f>
        <v xml:space="preserve"> </v>
      </c>
      <c r="G647" s="4" t="str">
        <f ca="1">IF(OR(INDEX($AG$2:$AG$1001,MATCH(ROWS($AF$2:AF647),$AF$2:$AF$1001,0),1)&gt;=100000,INDEX($AM$1005:$BM$1005,1,MATCH(COLUMNS($AM$1006:AR1006),$AM$1006:$BM$1006,0))&gt;=100000), " ",IF(INDEX($AM$2:$BM$1001,MATCH(ROWS($AF$2:AF647),$AF$2:$AF$1001,0),MATCH(COLUMNS($AM$1006:AR1006),$AM$1006:$BM$1006,0)), HYPERLINK("#",""), HYPERLINK(CONCATENATE("#metadata!", ADDRESS(INDEX($AH$2:$AH$1001,MATCH(ROWS($AF$2:AF647),$AF$2:$AF$1001,0),0), INDEX($AM$1004:$BM$1004,1,MATCH(COLUMNS($AM$1006:AR1006),$AM$1006:$BM$1006,0)))),"Fix")))</f>
        <v xml:space="preserve"> </v>
      </c>
      <c r="H647" s="4" t="str">
        <f ca="1">IF(OR(INDEX($AG$2:$AG$1001,MATCH(ROWS($AF$2:AF647),$AF$2:$AF$1001,0),1)&gt;=100000,INDEX($AM$1005:$BM$1005,1,MATCH(COLUMNS($AM$1006:AS1006),$AM$1006:$BM$1006,0))&gt;=100000), " ",IF(INDEX($AM$2:$BM$1001,MATCH(ROWS($AF$2:AF647),$AF$2:$AF$1001,0),MATCH(COLUMNS($AM$1006:AS1006),$AM$1006:$BM$1006,0)), HYPERLINK("#",""), HYPERLINK(CONCATENATE("#metadata!", ADDRESS(INDEX($AH$2:$AH$1001,MATCH(ROWS($AF$2:AF647),$AF$2:$AF$1001,0),0), INDEX($AM$1004:$BM$1004,1,MATCH(COLUMNS($AM$1006:AS1006),$AM$1006:$BM$1006,0)))),"Fix")))</f>
        <v xml:space="preserve"> </v>
      </c>
      <c r="I647" s="4" t="str">
        <f ca="1">IF(OR(INDEX($AG$2:$AG$1001,MATCH(ROWS($AF$2:AF647),$AF$2:$AF$1001,0),1)&gt;=100000,INDEX($AM$1005:$BM$1005,1,MATCH(COLUMNS($AM$1006:AT1006),$AM$1006:$BM$1006,0))&gt;=100000), " ",IF(INDEX($AM$2:$BM$1001,MATCH(ROWS($AF$2:AF647),$AF$2:$AF$1001,0),MATCH(COLUMNS($AM$1006:AT1006),$AM$1006:$BM$1006,0)), HYPERLINK("#",""), HYPERLINK(CONCATENATE("#metadata!", ADDRESS(INDEX($AH$2:$AH$1001,MATCH(ROWS($AF$2:AF647),$AF$2:$AF$1001,0),0), INDEX($AM$1004:$BM$1004,1,MATCH(COLUMNS($AM$1006:AT1006),$AM$1006:$BM$1006,0)))),"Fix")))</f>
        <v xml:space="preserve"> </v>
      </c>
      <c r="J647" s="4" t="str">
        <f ca="1">IF(OR(INDEX($AG$2:$AG$1001,MATCH(ROWS($AF$2:AF647),$AF$2:$AF$1001,0),1)&gt;=100000,INDEX($AM$1005:$BM$1005,1,MATCH(COLUMNS($AM$1006:AU1006),$AM$1006:$BM$1006,0))&gt;=100000), " ",IF(INDEX($AM$2:$BM$1001,MATCH(ROWS($AF$2:AF647),$AF$2:$AF$1001,0),MATCH(COLUMNS($AM$1006:AU1006),$AM$1006:$BM$1006,0)), HYPERLINK("#",""), HYPERLINK(CONCATENATE("#metadata!", ADDRESS(INDEX($AH$2:$AH$1001,MATCH(ROWS($AF$2:AF647),$AF$2:$AF$1001,0),0), INDEX($AM$1004:$BM$1004,1,MATCH(COLUMNS($AM$1006:AU1006),$AM$1006:$BM$1006,0)))),"Fix")))</f>
        <v xml:space="preserve"> </v>
      </c>
      <c r="K647" s="4" t="str">
        <f ca="1">IF(OR(INDEX($AG$2:$AG$1001,MATCH(ROWS($AF$2:AF647),$AF$2:$AF$1001,0),1)&gt;=100000,INDEX($AM$1005:$BM$1005,1,MATCH(COLUMNS($AM$1006:AV1006),$AM$1006:$BM$1006,0))&gt;=100000), " ",IF(INDEX($AM$2:$BM$1001,MATCH(ROWS($AF$2:AF647),$AF$2:$AF$1001,0),MATCH(COLUMNS($AM$1006:AV1006),$AM$1006:$BM$1006,0)), HYPERLINK("#",""), HYPERLINK(CONCATENATE("#metadata!", ADDRESS(INDEX($AH$2:$AH$1001,MATCH(ROWS($AF$2:AF647),$AF$2:$AF$1001,0),0), INDEX($AM$1004:$BM$1004,1,MATCH(COLUMNS($AM$1006:AV1006),$AM$1006:$BM$1006,0)))),"Fix")))</f>
        <v xml:space="preserve"> </v>
      </c>
      <c r="L647" s="4" t="str">
        <f ca="1">IF(OR(INDEX($AG$2:$AG$1001,MATCH(ROWS($AF$2:AF647),$AF$2:$AF$1001,0),1)&gt;=100000,INDEX($AM$1005:$BM$1005,1,MATCH(COLUMNS($AM$1006:AW1006),$AM$1006:$BM$1006,0))&gt;=100000), " ",IF(INDEX($AM$2:$BM$1001,MATCH(ROWS($AF$2:AF647),$AF$2:$AF$1001,0),MATCH(COLUMNS($AM$1006:AW1006),$AM$1006:$BM$1006,0)), HYPERLINK("#",""), HYPERLINK(CONCATENATE("#metadata!", ADDRESS(INDEX($AH$2:$AH$1001,MATCH(ROWS($AF$2:AF647),$AF$2:$AF$1001,0),0), INDEX($AM$1004:$BM$1004,1,MATCH(COLUMNS($AM$1006:AW1006),$AM$1006:$BM$1006,0)))),"Fix")))</f>
        <v xml:space="preserve"> </v>
      </c>
      <c r="M647" s="4" t="str">
        <f ca="1">IF(OR(INDEX($AG$2:$AG$1001,MATCH(ROWS($AF$2:AF647),$AF$2:$AF$1001,0),1)&gt;=100000,INDEX($AM$1005:$BM$1005,1,MATCH(COLUMNS($AM$1006:AX1006),$AM$1006:$BM$1006,0))&gt;=100000), " ",IF(INDEX($AM$2:$BM$1001,MATCH(ROWS($AF$2:AF647),$AF$2:$AF$1001,0),MATCH(COLUMNS($AM$1006:AX1006),$AM$1006:$BM$1006,0)), HYPERLINK("#",""), HYPERLINK(CONCATENATE("#metadata!", ADDRESS(INDEX($AH$2:$AH$1001,MATCH(ROWS($AF$2:AF647),$AF$2:$AF$1001,0),0), INDEX($AM$1004:$BM$1004,1,MATCH(COLUMNS($AM$1006:AX1006),$AM$1006:$BM$1006,0)))),"Fix")))</f>
        <v xml:space="preserve"> </v>
      </c>
      <c r="N647" s="4" t="str">
        <f ca="1">IF(OR(INDEX($AG$2:$AG$1001,MATCH(ROWS($AF$2:AF647),$AF$2:$AF$1001,0),1)&gt;=100000,INDEX($AM$1005:$BM$1005,1,MATCH(COLUMNS($AM$1006:AY1006),$AM$1006:$BM$1006,0))&gt;=100000), " ",IF(INDEX($AM$2:$BM$1001,MATCH(ROWS($AF$2:AF647),$AF$2:$AF$1001,0),MATCH(COLUMNS($AM$1006:AY1006),$AM$1006:$BM$1006,0)), HYPERLINK("#",""), HYPERLINK(CONCATENATE("#metadata!", ADDRESS(INDEX($AH$2:$AH$1001,MATCH(ROWS($AF$2:AF647),$AF$2:$AF$1001,0),0), INDEX($AM$1004:$BM$1004,1,MATCH(COLUMNS($AM$1006:AY1006),$AM$1006:$BM$1006,0)))),"Fix")))</f>
        <v xml:space="preserve"> </v>
      </c>
      <c r="O647" s="4" t="str">
        <f ca="1">IF(OR(INDEX($AG$2:$AG$1001,MATCH(ROWS($AF$2:AF647),$AF$2:$AF$1001,0),1)&gt;=100000,INDEX($AM$1005:$BM$1005,1,MATCH(COLUMNS($AM$1006:AZ1006),$AM$1006:$BM$1006,0))&gt;=100000), " ",IF(INDEX($AM$2:$BM$1001,MATCH(ROWS($AF$2:AF647),$AF$2:$AF$1001,0),MATCH(COLUMNS($AM$1006:AZ1006),$AM$1006:$BM$1006,0)), HYPERLINK("#",""), HYPERLINK(CONCATENATE("#metadata!", ADDRESS(INDEX($AH$2:$AH$1001,MATCH(ROWS($AF$2:AF647),$AF$2:$AF$1001,0),0), INDEX($AM$1004:$BM$1004,1,MATCH(COLUMNS($AM$1006:AZ1006),$AM$1006:$BM$1006,0)))),"Fix")))</f>
        <v xml:space="preserve"> </v>
      </c>
      <c r="P647" s="4" t="str">
        <f ca="1">IF(OR(INDEX($AG$2:$AG$1001,MATCH(ROWS($AF$2:AF647),$AF$2:$AF$1001,0),1)&gt;=100000,INDEX($AM$1005:$BM$1005,1,MATCH(COLUMNS($AM$1006:BA1006),$AM$1006:$BM$1006,0))&gt;=100000), " ",IF(INDEX($AM$2:$BM$1001,MATCH(ROWS($AF$2:AF647),$AF$2:$AF$1001,0),MATCH(COLUMNS($AM$1006:BA1006),$AM$1006:$BM$1006,0)), HYPERLINK("#",""), HYPERLINK(CONCATENATE("#metadata!", ADDRESS(INDEX($AH$2:$AH$1001,MATCH(ROWS($AF$2:AF647),$AF$2:$AF$1001,0),0), INDEX($AM$1004:$BM$1004,1,MATCH(COLUMNS($AM$1006:BA1006),$AM$1006:$BM$1006,0)))),"Fix")))</f>
        <v xml:space="preserve"> </v>
      </c>
      <c r="Q647" s="4" t="str">
        <f ca="1">IF(OR(INDEX($AG$2:$AG$1001,MATCH(ROWS($AF$2:AF647),$AF$2:$AF$1001,0),1)&gt;=100000,INDEX($AM$1005:$BM$1005,1,MATCH(COLUMNS($AM$1006:BB1006),$AM$1006:$BM$1006,0))&gt;=100000), " ",IF(INDEX($AM$2:$BM$1001,MATCH(ROWS($AF$2:AF647),$AF$2:$AF$1001,0),MATCH(COLUMNS($AM$1006:BB1006),$AM$1006:$BM$1006,0)), HYPERLINK("#",""), HYPERLINK(CONCATENATE("#metadata!", ADDRESS(INDEX($AH$2:$AH$1001,MATCH(ROWS($AF$2:AF647),$AF$2:$AF$1001,0),0), INDEX($AM$1004:$BM$1004,1,MATCH(COLUMNS($AM$1006:BB1006),$AM$1006:$BM$1006,0)))),"Fix")))</f>
        <v xml:space="preserve"> </v>
      </c>
      <c r="R647" s="4" t="str">
        <f ca="1">IF(OR(INDEX($AG$2:$AG$1001,MATCH(ROWS($AF$2:AF647),$AF$2:$AF$1001,0),1)&gt;=100000,INDEX($AM$1005:$BM$1005,1,MATCH(COLUMNS($AM$1006:BC1006),$AM$1006:$BM$1006,0))&gt;=100000), " ",IF(INDEX($AM$2:$BM$1001,MATCH(ROWS($AF$2:AF647),$AF$2:$AF$1001,0),MATCH(COLUMNS($AM$1006:BC1006),$AM$1006:$BM$1006,0)), HYPERLINK("#",""), HYPERLINK(CONCATENATE("#metadata!", ADDRESS(INDEX($AH$2:$AH$1001,MATCH(ROWS($AF$2:AF647),$AF$2:$AF$1001,0),0), INDEX($AM$1004:$BM$1004,1,MATCH(COLUMNS($AM$1006:BC1006),$AM$1006:$BM$1006,0)))),"Fix")))</f>
        <v xml:space="preserve"> </v>
      </c>
      <c r="S647" s="4" t="str">
        <f ca="1">IF(OR(INDEX($AG$2:$AG$1001,MATCH(ROWS($AF$2:AF647),$AF$2:$AF$1001,0),1)&gt;=100000,INDEX($AM$1005:$BM$1005,1,MATCH(COLUMNS($AM$1006:BD1006),$AM$1006:$BM$1006,0))&gt;=100000), " ",IF(INDEX($AM$2:$BM$1001,MATCH(ROWS($AF$2:AF647),$AF$2:$AF$1001,0),MATCH(COLUMNS($AM$1006:BD1006),$AM$1006:$BM$1006,0)), HYPERLINK("#",""), HYPERLINK(CONCATENATE("#metadata!", ADDRESS(INDEX($AH$2:$AH$1001,MATCH(ROWS($AF$2:AF647),$AF$2:$AF$1001,0),0), INDEX($AM$1004:$BM$1004,1,MATCH(COLUMNS($AM$1006:BD1006),$AM$1006:$BM$1006,0)))),"Fix")))</f>
        <v xml:space="preserve"> </v>
      </c>
      <c r="T647" s="4" t="str">
        <f ca="1">IF(OR(INDEX($AG$2:$AG$1001,MATCH(ROWS($AF$2:AF647),$AF$2:$AF$1001,0),1)&gt;=100000,INDEX($AM$1005:$BM$1005,1,MATCH(COLUMNS($AM$1006:BE1006),$AM$1006:$BM$1006,0))&gt;=100000), " ",IF(INDEX($AM$2:$BM$1001,MATCH(ROWS($AF$2:AF647),$AF$2:$AF$1001,0),MATCH(COLUMNS($AM$1006:BE1006),$AM$1006:$BM$1006,0)), HYPERLINK("#",""), HYPERLINK(CONCATENATE("#metadata!", ADDRESS(INDEX($AH$2:$AH$1001,MATCH(ROWS($AF$2:AF647),$AF$2:$AF$1001,0),0), INDEX($AM$1004:$BM$1004,1,MATCH(COLUMNS($AM$1006:BE1006),$AM$1006:$BM$1006,0)))),"Fix")))</f>
        <v xml:space="preserve"> </v>
      </c>
      <c r="U647" s="4" t="str">
        <f ca="1">IF(OR(INDEX($AG$2:$AG$1001,MATCH(ROWS($AF$2:AF647),$AF$2:$AF$1001,0),1)&gt;=100000,INDEX($AM$1005:$BM$1005,1,MATCH(COLUMNS($AM$1006:BF1006),$AM$1006:$BM$1006,0))&gt;=100000), " ",IF(INDEX($AM$2:$BM$1001,MATCH(ROWS($AF$2:AF647),$AF$2:$AF$1001,0),MATCH(COLUMNS($AM$1006:BF1006),$AM$1006:$BM$1006,0)), HYPERLINK("#",""), HYPERLINK(CONCATENATE("#metadata!", ADDRESS(INDEX($AH$2:$AH$1001,MATCH(ROWS($AF$2:AF647),$AF$2:$AF$1001,0),0), INDEX($AM$1004:$BM$1004,1,MATCH(COLUMNS($AM$1006:BF1006),$AM$1006:$BM$1006,0)))),"Fix")))</f>
        <v xml:space="preserve"> </v>
      </c>
      <c r="V647" s="4" t="str">
        <f ca="1">IF(OR(INDEX($AG$2:$AG$1001,MATCH(ROWS($AF$2:AF647),$AF$2:$AF$1001,0),1)&gt;=100000,INDEX($AM$1005:$BM$1005,1,MATCH(COLUMNS($AM$1006:BG1006),$AM$1006:$BM$1006,0))&gt;=100000), " ",IF(INDEX($AM$2:$BM$1001,MATCH(ROWS($AF$2:AF647),$AF$2:$AF$1001,0),MATCH(COLUMNS($AM$1006:BG1006),$AM$1006:$BM$1006,0)), HYPERLINK("#",""), HYPERLINK(CONCATENATE("#metadata!", ADDRESS(INDEX($AH$2:$AH$1001,MATCH(ROWS($AF$2:AF647),$AF$2:$AF$1001,0),0), INDEX($AM$1004:$BM$1004,1,MATCH(COLUMNS($AM$1006:BG1006),$AM$1006:$BM$1006,0)))),"Fix")))</f>
        <v xml:space="preserve"> </v>
      </c>
      <c r="W647" s="4" t="str">
        <f ca="1">IF(OR(INDEX($AG$2:$AG$1001,MATCH(ROWS($AF$2:AF647),$AF$2:$AF$1001,0),1)&gt;=100000,INDEX($AM$1005:$BM$1005,1,MATCH(COLUMNS($AM$1006:BH1006),$AM$1006:$BM$1006,0))&gt;=100000), " ",IF(INDEX($AM$2:$BM$1001,MATCH(ROWS($AF$2:AF647),$AF$2:$AF$1001,0),MATCH(COLUMNS($AM$1006:BH1006),$AM$1006:$BM$1006,0)), HYPERLINK("#",""), HYPERLINK(CONCATENATE("#metadata!", ADDRESS(INDEX($AH$2:$AH$1001,MATCH(ROWS($AF$2:AF647),$AF$2:$AF$1001,0),0), INDEX($AM$1004:$BM$1004,1,MATCH(COLUMNS($AM$1006:BH1006),$AM$1006:$BM$1006,0)))),"Fix")))</f>
        <v xml:space="preserve"> </v>
      </c>
      <c r="X647" s="4" t="str">
        <f ca="1">IF(OR(INDEX($AG$2:$AG$1001,MATCH(ROWS($AF$2:AF647),$AF$2:$AF$1001,0),1)&gt;=100000,INDEX($AM$1005:$BM$1005,1,MATCH(COLUMNS($AM$1006:BI1006),$AM$1006:$BM$1006,0))&gt;=100000), " ",IF(INDEX($AM$2:$BM$1001,MATCH(ROWS($AF$2:AF647),$AF$2:$AF$1001,0),MATCH(COLUMNS($AM$1006:BI1006),$AM$1006:$BM$1006,0)), HYPERLINK("#",""), HYPERLINK(CONCATENATE("#metadata!", ADDRESS(INDEX($AH$2:$AH$1001,MATCH(ROWS($AF$2:AF647),$AF$2:$AF$1001,0),0), INDEX($AM$1004:$BM$1004,1,MATCH(COLUMNS($AM$1006:BI1006),$AM$1006:$BM$1006,0)))),"Fix")))</f>
        <v xml:space="preserve"> </v>
      </c>
      <c r="Y647" s="4" t="str">
        <f ca="1">IF(OR(INDEX($AG$2:$AG$1001,MATCH(ROWS($AF$2:AF647),$AF$2:$AF$1001,0),1)&gt;=100000,INDEX($AM$1005:$BM$1005,1,MATCH(COLUMNS($AM$1006:BJ1006),$AM$1006:$BM$1006,0))&gt;=100000), " ",IF(INDEX($AM$2:$BM$1001,MATCH(ROWS($AF$2:AF647),$AF$2:$AF$1001,0),MATCH(COLUMNS($AM$1006:BJ1006),$AM$1006:$BM$1006,0)), HYPERLINK("#",""), HYPERLINK(CONCATENATE("#metadata!", ADDRESS(INDEX($AH$2:$AH$1001,MATCH(ROWS($AF$2:AF647),$AF$2:$AF$1001,0),0), INDEX($AM$1004:$BM$1004,1,MATCH(COLUMNS($AM$1006:BJ1006),$AM$1006:$BM$1006,0)))),"Fix")))</f>
        <v xml:space="preserve"> </v>
      </c>
      <c r="Z647" s="4" t="str">
        <f ca="1">IF(OR(INDEX($AG$2:$AG$1001,MATCH(ROWS($AF$2:AF647),$AF$2:$AF$1001,0),1)&gt;=100000,INDEX($AM$1005:$BM$1005,1,MATCH(COLUMNS($AM$1006:BK1006),$AM$1006:$BM$1006,0))&gt;=100000), " ",IF(INDEX($AM$2:$BM$1001,MATCH(ROWS($AF$2:AF647),$AF$2:$AF$1001,0),MATCH(COLUMNS($AM$1006:BK1006),$AM$1006:$BM$1006,0)), HYPERLINK("#",""), HYPERLINK(CONCATENATE("#metadata!", ADDRESS(INDEX($AH$2:$AH$1001,MATCH(ROWS($AF$2:AF647),$AF$2:$AF$1001,0),0), INDEX($AM$1004:$BM$1004,1,MATCH(COLUMNS($AM$1006:BK1006),$AM$1006:$BM$1006,0)))),"Fix")))</f>
        <v xml:space="preserve"> </v>
      </c>
      <c r="AA647" s="4" t="str">
        <f ca="1">IF(OR(INDEX($AG$2:$AG$1001,MATCH(ROWS($AF$2:AF647),$AF$2:$AF$1001,0),1)&gt;=100000,INDEX($AM$1005:$BM$1005,1,MATCH(COLUMNS($AM$1006:BL1006),$AM$1006:$BM$1006,0))&gt;=100000), " ",IF(INDEX($AM$2:$BM$1001,MATCH(ROWS($AF$2:AF647),$AF$2:$AF$1001,0),MATCH(COLUMNS($AM$1006:BL1006),$AM$1006:$BM$1006,0)), HYPERLINK("#",""), HYPERLINK(CONCATENATE("#metadata!", ADDRESS(INDEX($AH$2:$AH$1001,MATCH(ROWS($AF$2:AF647),$AF$2:$AF$1001,0),0), INDEX($AM$1004:$BM$1004,1,MATCH(COLUMNS($AM$1006:BL1006),$AM$1006:$BM$1006,0)))),"Fix")))</f>
        <v xml:space="preserve"> </v>
      </c>
      <c r="AB647" s="4" t="str">
        <f ca="1">IF(OR(INDEX($AG$2:$AG$1001,MATCH(ROWS($AF$2:AF647),$AF$2:$AF$1001,0),1)&gt;=100000,INDEX($AM$1005:$BM$1005,1,MATCH(COLUMNS($AM$1006:BM1006),$AM$1006:$BM$1006,0))&gt;=100000), " ",IF(INDEX($AM$2:$BM$1001,MATCH(ROWS($AF$2:AF647),$AF$2:$AF$1001,0),MATCH(COLUMNS($AM$1006:BM1006),$AM$1006:$BM$1006,0)), HYPERLINK("#",""), HYPERLINK(CONCATENATE("#metadata!", ADDRESS(INDEX($AH$2:$AH$1001,MATCH(ROWS($AF$2:AF647),$AF$2:$AF$1001,0),0), INDEX($AM$1004:$BM$1004,1,MATCH(COLUMNS($AM$1006:BM1006),$AM$1006:$BM$1006,0)))),"Fix")))</f>
        <v xml:space="preserve"> </v>
      </c>
      <c r="AF647">
        <v>646</v>
      </c>
      <c r="AG647">
        <v>100647</v>
      </c>
      <c r="AH647">
        <v>647</v>
      </c>
      <c r="AI647" t="b">
        <f t="shared" si="10"/>
        <v>1</v>
      </c>
      <c r="AJ647" t="b">
        <f>COUNTBLANK(metadata!B647:AB647)=COLUMNS(metadata!B647:AB647)</f>
        <v>1</v>
      </c>
      <c r="AK647" t="str">
        <v/>
      </c>
      <c r="AM647" t="b">
        <f ca="1">AND(IF(metadata!B647="",FALSE,TRUE),COUNTIF(metadata!B:B, metadata!B647) = 1,NOT(ISERROR(SUMPRODUCT(SEARCH(MID(metadata!B647,ROW(INDIRECT("1:"&amp;LEN(metadata!B647))), 1),"0123456789abcdefghijklmnopqrstuvwxyzABCDEFGHIJKLMNOPQRSTUVWXYZ.")))))</f>
        <v>0</v>
      </c>
      <c r="AN647" t="b">
        <f ca="1">OR(AND(IF(metadata!C647="",FALSE,TRUE),OR(EXACT(metadata!C647,"missing: not collected"),EXACT(metadata!C647,"missing: not provided"),EXACT(metadata!C647,"missing: restricted access"))),AND(IF(metadata!C647="",FALSE,TRUE),AND(AND(IFERROR(INT(LEFT(metadata!C647,4))&gt;1900,FALSE),IFERROR(INT(LEFT(metadata!C647,4))&lt;=YEAR(NOW()),FALSE)), OR(MID(metadata!C647,5,1)="", AND(AND(MID(metadata!C647,5,1)="-",IFERROR(INT(MID(metadata!C647,6,1))&gt;=0,FALSE),IFERROR(INT(MID(metadata!C647,6,1))&lt;=1,FALSE),NOT(MID(metadata!C647,7,1)=""),IFERROR(INT(MID(metadata!C647,6,2))&gt;=1,FALSE),IFERROR(INT(MID(metadata!C647,6,2))&lt;=12,FALSE)), OR(MID(metadata!C647,8,1)="", AND(AND(MID(metadata!C647,8,1)="-",IFERROR(INT(MID(metadata!C647,9,1))&gt;=0,FALSE),IFERROR(INT(MID(metadata!C647,9,1))&lt;=3,FALSE),NOT(MID(metadata!C647,10,1)=""),IFERROR(INT(MID(metadata!C647,9,2))&gt;=1,FALSE),IFERROR(INT(MID(metadata!C647,9,2))&lt;=31,FALSE)), OR(MID(metadata!C647,11,1)="", AND(AND(MID(metadata!C647,11,1)=" ",IFERROR(INT(MID(metadata!C647,12,1))&gt;=0,FALSE),IFERROR(INT(MID(metadata!C647,12,1))&lt;=2,FALSE),NOT(MID(metadata!C647,13,1)=""),IFERROR(INT(MID(metadata!C647,12,2))&gt;=0,FALSE),IFERROR(INT(MID(metadata!C647,12,2))&lt;=23,FALSE)), OR(MID(metadata!C647,14,1)="", AND(AND(MID(metadata!C647,14,1)=":",IFERROR(INT(MID(metadata!C647,15,1))&gt;=0,FALSE),IFERROR(INT(MID(metadata!C647,15,1))&lt;=5,FALSE),NOT(MID(metadata!C647,16,1)=""),IFERROR(INT(MID(metadata!C647,15,2))&gt;=0,FALSE),IFERROR(INT(MID(metadata!C647,15,2))&lt;=59,FALSE)), OR(MID(metadata!C647,17,1)="", AND(AND(MID(metadata!C647,17,1)=":",IFERROR(INT(MID(metadata!C647,18,1))&gt;=0,FALSE),IFERROR(INT(MID(metadata!C647,18,1))&lt;=5,FALSE),NOT(MID(metadata!C647,19,1)=""),IFERROR(INT(MID(metadata!C647,18,2))&gt;=0,FALSE),IFERROR(INT(MID(metadata!C647,18,2))&lt;=59,FALSE)), LEN(metadata!C647)&lt;=19)))))))))))))</f>
        <v>0</v>
      </c>
      <c r="AO647" t="b">
        <f>AND(IF(metadata!D647="",FALSE,TRUE),EXACT(metadata!D647,"Not applicable"))</f>
        <v>0</v>
      </c>
      <c r="AP647" t="b">
        <f>IF(metadata!E647="",FALSE,TRUE)</f>
        <v>0</v>
      </c>
      <c r="AQ647" t="b">
        <f>OR(AND(IF(metadata!F647="",FALSE,TRUE),OR(EXACT(metadata!F647,"missing: not collected"),EXACT(metadata!F647,"missing: not provided"))),AND(IF(metadata!F647="",FALSE,TRUE),OR(EXACT(metadata!F647,"TRUE"),EXACT(metadata!F647,"FALSE"))))</f>
        <v>0</v>
      </c>
      <c r="AR647" t="b">
        <f>OR(AND(IF(metadata!G647="",FALSE,TRUE),OR(EXACT(metadata!G647,"missing: not collected"),EXACT(metadata!G647,"missing: not provided"),EXACT(metadata!G647,"missing: restricted access"))),AND(IF(metadata!G647="",FALSE,ISNUMBER(VALUE(metadata!G647))),metadata!G647&gt;=-413))</f>
        <v>0</v>
      </c>
      <c r="AS647" t="b">
        <f>AND(IF(metadata!H647="",FALSE,TRUE),EXACT(metadata!H647,"meters"))</f>
        <v>0</v>
      </c>
      <c r="AT647" t="b">
        <f>AND(IF(metadata!I647="",FALSE,TRUE),OR(EXACT(metadata!I647,"Host-associated"),EXACT(metadata!I647,"Free-living")))</f>
        <v>0</v>
      </c>
      <c r="AU647" t="b">
        <f>AND(IF(metadata!J647="",FALSE,TRUE),OR(EXACT(metadata!J647,"Animal"),EXACT(metadata!J647,"Fungus"),EXACT(metadata!J647,"Plant"),EXACT(metadata!J647,"Saline"),EXACT(metadata!J647,"Non-saline")))</f>
        <v>0</v>
      </c>
      <c r="AV647" t="b">
        <f>AND(IF(metadata!K647="",FALSE,TRUE),OR(EXACT(metadata!K647,"Plant secretion"),EXACT(metadata!K647,"Plant rhizosphere"),EXACT(metadata!K647,"Plant surface"),EXACT(metadata!K647,"Plant corpus"),EXACT(metadata!K647,"Fungus surface"),EXACT(metadata!K647,"Fungus corpus"),EXACT(metadata!K647,"Animal surface"),EXACT(metadata!K647,"Animal proximal gut"),EXACT(metadata!K647,"Animal corpus"),EXACT(metadata!K647,"Animal distal gut"),EXACT(metadata!K647,"Animal secretion"),EXACT(metadata!K647,"Sub-surface (non-saline)"),EXACT(metadata!K647,"Surface (non-saline)"),EXACT(metadata!K647,"Water (non-saline)"),EXACT(metadata!K647,"Soil (non-saline)"),EXACT(metadata!K647,"Aerosol (non-saline)"),EXACT(metadata!K647,"Sediment (non-saline)"),EXACT(metadata!K647,"Surface (saline)"),EXACT(metadata!K647,"Water (saline)"),EXACT(metadata!K647,"Hypersaline (saline)"),EXACT(metadata!K647,"Aerosol (saline)"),EXACT(metadata!K647,"Sediment (saline)")))</f>
        <v>0</v>
      </c>
      <c r="AW647" t="b">
        <f>IF(metadata!L647="",FALSE,TRUE)</f>
        <v>0</v>
      </c>
      <c r="AX647" t="b">
        <f>IF(metadata!M647="",FALSE,TRUE)</f>
        <v>0</v>
      </c>
      <c r="AY647" t="b">
        <f>IF(metadata!N647="",FALSE,TRUE)</f>
        <v>0</v>
      </c>
      <c r="AZ647" t="b">
        <f>OR(AND(IF(metadata!O647="",FALSE,TRUE),OR(EXACT(metadata!O647,"missing: not collected"),EXACT(metadata!O647,"missing: not provided"),EXACT(metadata!O647,"missing: restricted access"))),AND(IF(metadata!O647="",FALSE,TRUE),OR(EXACT(metadata!O647,"air"),EXACT(metadata!O647,"built environment"),EXACT(metadata!O647,"host-associated"),EXACT(metadata!O647,"human-associated"),EXACT(metadata!O647,"human-skin"),EXACT(metadata!O647,"human-oral"),EXACT(metadata!O647,"human-gut"),EXACT(metadata!O647,"human-vaginal"),EXACT(metadata!O647,"microbial mat/biofilm"),EXACT(metadata!O647,"misc environment"),EXACT(metadata!O647,"plant-associated"),EXACT(metadata!O647,"sediment"),EXACT(metadata!O647,"soil"),EXACT(metadata!O647,"wastewater/sludge"),EXACT(metadata!O647,"water"))))</f>
        <v>0</v>
      </c>
      <c r="BA647" t="b">
        <f>IF(metadata!P647="",FALSE,TRUE)</f>
        <v>0</v>
      </c>
      <c r="BB647" t="b">
        <f>IF(metadata!Q647="",FALSE,TRUE)</f>
        <v>0</v>
      </c>
      <c r="BC647" t="b">
        <f>OR(AND(IF(metadata!R647="",FALSE,TRUE),OR(EXACT(metadata!R647,"missing: not collected"),EXACT(metadata!R647,"missing: not provided"),EXACT(metadata!R647,"missing: restricted access"))),AND(IF(metadata!R647="",FALSE,ISNUMBER(VALUE(metadata!R647))),metadata!R647&gt;=-90,metadata!R647&lt;=90))</f>
        <v>0</v>
      </c>
      <c r="BD647" t="b">
        <f>AND(IF(metadata!S647="",FALSE,TRUE),EXACT(metadata!S647,"Decimal degrees"))</f>
        <v>0</v>
      </c>
      <c r="BE647" t="b">
        <f>OR(AND(IF(metadata!T647="",FALSE,TRUE),OR(EXACT(metadata!T647,"missing: not collected"),EXACT(metadata!T647,"missing: not provided"),EXACT(metadata!T647,"missing: restricted access"))),AND(IF(metadata!T647="",FALSE,ISNUMBER(VALUE(metadata!T647))),metadata!T647&gt;=-180,metadata!T647&lt;=180))</f>
        <v>0</v>
      </c>
      <c r="BF647" t="b">
        <f>AND(IF(metadata!U647="",FALSE,TRUE),EXACT(metadata!U647,"Decimal degrees"))</f>
        <v>0</v>
      </c>
      <c r="BG647" t="b">
        <f>IF(metadata!V647="",FALSE,TRUE)</f>
        <v>0</v>
      </c>
      <c r="BH647" t="b">
        <f>OR(AND(IF(metadata!W647="",FALSE,TRUE),OR(EXACT(metadata!W647,"missing: not collected"),EXACT(metadata!W647,"missing: not provided"),EXACT(metadata!W647,"missing: restricted access"))),AND(IF(metadata!W647="",FALSE,TRUE),OR(EXACT(metadata!W647,"TRUE"),EXACT(metadata!W647,"FALSE"))))</f>
        <v>0</v>
      </c>
      <c r="BI647" t="b">
        <f>AND(IF(metadata!X647="",FALSE,TRUE),EXACT(metadata!X647,"other"))</f>
        <v>0</v>
      </c>
      <c r="BJ647" t="b">
        <f>IF(metadata!Y647="",FALSE,TRUE)</f>
        <v>0</v>
      </c>
      <c r="BK647" t="b">
        <f>OR(AND(IF(metadata!Z647="",FALSE,TRUE),OR(EXACT(metadata!Z647,"missing: not collected"),EXACT(metadata!Z647,"missing: not provided"))),AND(IF(metadata!Z647="",FALSE,IF(ISERROR(INT(metadata!Z647)),FALSE,INT(metadata!Z647)=metadata!Z647)),metadata!Z647&gt;0))</f>
        <v>0</v>
      </c>
      <c r="BL647" t="b">
        <f>AND(IF(metadata!AA647="",FALSE,TRUE),EXACT(metadata!AA647,"Not applicable"))</f>
        <v>0</v>
      </c>
      <c r="BM647" t="b">
        <f>IF(metadata!AB647="",FALSE,TRUE)</f>
        <v>0</v>
      </c>
    </row>
    <row r="648" spans="1:65" x14ac:dyDescent="0.2">
      <c r="A648" s="5" t="str">
        <f ca="1">IF(B648=" "," ",HYPERLINK(CONCATENATE("#metadata!",ADDRESS(INDEX($AH$2:$AH$1001,MATCH(ROWS($AF$2:AF648),$AF$2:$AF$1001,0),0),1)),INDEX($AK$2:$AK$1001,MATCH(ROWS($AF$2:AF648),$AF$2:$AF$1001,0),0)))</f>
        <v xml:space="preserve"> </v>
      </c>
      <c r="B648" s="4" t="str">
        <f ca="1">IF(OR(INDEX($AG$2:$AG$1001,MATCH(ROWS($AF$2:AF648),$AF$2:$AF$1001,0),1)&gt;=100000,INDEX($AM$1005:$BM$1005,1,MATCH(COLUMNS($AM$1006:AM1006),$AM$1006:$BM$1006,0))&gt;=100000), " ",IF(INDEX($AM$2:$BM$1001,MATCH(ROWS($AF$2:AF648),$AF$2:$AF$1001,0),MATCH(COLUMNS($AM$1006:AM1006),$AM$1006:$BM$1006,0)), HYPERLINK("#",""), HYPERLINK(CONCATENATE("#metadata!", ADDRESS(INDEX($AH$2:$AH$1001,MATCH(ROWS($AF$2:AF648),$AF$2:$AF$1001,0),0), INDEX($AM$1004:$BM$1004,1,MATCH(COLUMNS($AM$1006:AM1006),$AM$1006:$BM$1006,0)))),"Fix")))</f>
        <v xml:space="preserve"> </v>
      </c>
      <c r="C648" s="4" t="str">
        <f ca="1">IF(OR(INDEX($AG$2:$AG$1001,MATCH(ROWS($AF$2:AF648),$AF$2:$AF$1001,0),1)&gt;=100000,INDEX($AM$1005:$BM$1005,1,MATCH(COLUMNS($AM$1006:AN1006),$AM$1006:$BM$1006,0))&gt;=100000), " ",IF(INDEX($AM$2:$BM$1001,MATCH(ROWS($AF$2:AF648),$AF$2:$AF$1001,0),MATCH(COLUMNS($AM$1006:AN1006),$AM$1006:$BM$1006,0)), HYPERLINK("#",""), HYPERLINK(CONCATENATE("#metadata!", ADDRESS(INDEX($AH$2:$AH$1001,MATCH(ROWS($AF$2:AF648),$AF$2:$AF$1001,0),0), INDEX($AM$1004:$BM$1004,1,MATCH(COLUMNS($AM$1006:AN1006),$AM$1006:$BM$1006,0)))),"Fix")))</f>
        <v xml:space="preserve"> </v>
      </c>
      <c r="D648" s="4" t="str">
        <f ca="1">IF(OR(INDEX($AG$2:$AG$1001,MATCH(ROWS($AF$2:AF648),$AF$2:$AF$1001,0),1)&gt;=100000,INDEX($AM$1005:$BM$1005,1,MATCH(COLUMNS($AM$1006:AO1006),$AM$1006:$BM$1006,0))&gt;=100000), " ",IF(INDEX($AM$2:$BM$1001,MATCH(ROWS($AF$2:AF648),$AF$2:$AF$1001,0),MATCH(COLUMNS($AM$1006:AO1006),$AM$1006:$BM$1006,0)), HYPERLINK("#",""), HYPERLINK(CONCATENATE("#metadata!", ADDRESS(INDEX($AH$2:$AH$1001,MATCH(ROWS($AF$2:AF648),$AF$2:$AF$1001,0),0), INDEX($AM$1004:$BM$1004,1,MATCH(COLUMNS($AM$1006:AO1006),$AM$1006:$BM$1006,0)))),"Fix")))</f>
        <v xml:space="preserve"> </v>
      </c>
      <c r="E648" s="4" t="str">
        <f ca="1">IF(OR(INDEX($AG$2:$AG$1001,MATCH(ROWS($AF$2:AF648),$AF$2:$AF$1001,0),1)&gt;=100000,INDEX($AM$1005:$BM$1005,1,MATCH(COLUMNS($AM$1006:AP1006),$AM$1006:$BM$1006,0))&gt;=100000), " ",IF(INDEX($AM$2:$BM$1001,MATCH(ROWS($AF$2:AF648),$AF$2:$AF$1001,0),MATCH(COLUMNS($AM$1006:AP1006),$AM$1006:$BM$1006,0)), HYPERLINK("#",""), HYPERLINK(CONCATENATE("#metadata!", ADDRESS(INDEX($AH$2:$AH$1001,MATCH(ROWS($AF$2:AF648),$AF$2:$AF$1001,0),0), INDEX($AM$1004:$BM$1004,1,MATCH(COLUMNS($AM$1006:AP1006),$AM$1006:$BM$1006,0)))),"Fix")))</f>
        <v xml:space="preserve"> </v>
      </c>
      <c r="F648" s="4" t="str">
        <f ca="1">IF(OR(INDEX($AG$2:$AG$1001,MATCH(ROWS($AF$2:AF648),$AF$2:$AF$1001,0),1)&gt;=100000,INDEX($AM$1005:$BM$1005,1,MATCH(COLUMNS($AM$1006:AQ1006),$AM$1006:$BM$1006,0))&gt;=100000), " ",IF(INDEX($AM$2:$BM$1001,MATCH(ROWS($AF$2:AF648),$AF$2:$AF$1001,0),MATCH(COLUMNS($AM$1006:AQ1006),$AM$1006:$BM$1006,0)), HYPERLINK("#",""), HYPERLINK(CONCATENATE("#metadata!", ADDRESS(INDEX($AH$2:$AH$1001,MATCH(ROWS($AF$2:AF648),$AF$2:$AF$1001,0),0), INDEX($AM$1004:$BM$1004,1,MATCH(COLUMNS($AM$1006:AQ1006),$AM$1006:$BM$1006,0)))),"Fix")))</f>
        <v xml:space="preserve"> </v>
      </c>
      <c r="G648" s="4" t="str">
        <f ca="1">IF(OR(INDEX($AG$2:$AG$1001,MATCH(ROWS($AF$2:AF648),$AF$2:$AF$1001,0),1)&gt;=100000,INDEX($AM$1005:$BM$1005,1,MATCH(COLUMNS($AM$1006:AR1006),$AM$1006:$BM$1006,0))&gt;=100000), " ",IF(INDEX($AM$2:$BM$1001,MATCH(ROWS($AF$2:AF648),$AF$2:$AF$1001,0),MATCH(COLUMNS($AM$1006:AR1006),$AM$1006:$BM$1006,0)), HYPERLINK("#",""), HYPERLINK(CONCATENATE("#metadata!", ADDRESS(INDEX($AH$2:$AH$1001,MATCH(ROWS($AF$2:AF648),$AF$2:$AF$1001,0),0), INDEX($AM$1004:$BM$1004,1,MATCH(COLUMNS($AM$1006:AR1006),$AM$1006:$BM$1006,0)))),"Fix")))</f>
        <v xml:space="preserve"> </v>
      </c>
      <c r="H648" s="4" t="str">
        <f ca="1">IF(OR(INDEX($AG$2:$AG$1001,MATCH(ROWS($AF$2:AF648),$AF$2:$AF$1001,0),1)&gt;=100000,INDEX($AM$1005:$BM$1005,1,MATCH(COLUMNS($AM$1006:AS1006),$AM$1006:$BM$1006,0))&gt;=100000), " ",IF(INDEX($AM$2:$BM$1001,MATCH(ROWS($AF$2:AF648),$AF$2:$AF$1001,0),MATCH(COLUMNS($AM$1006:AS1006),$AM$1006:$BM$1006,0)), HYPERLINK("#",""), HYPERLINK(CONCATENATE("#metadata!", ADDRESS(INDEX($AH$2:$AH$1001,MATCH(ROWS($AF$2:AF648),$AF$2:$AF$1001,0),0), INDEX($AM$1004:$BM$1004,1,MATCH(COLUMNS($AM$1006:AS1006),$AM$1006:$BM$1006,0)))),"Fix")))</f>
        <v xml:space="preserve"> </v>
      </c>
      <c r="I648" s="4" t="str">
        <f ca="1">IF(OR(INDEX($AG$2:$AG$1001,MATCH(ROWS($AF$2:AF648),$AF$2:$AF$1001,0),1)&gt;=100000,INDEX($AM$1005:$BM$1005,1,MATCH(COLUMNS($AM$1006:AT1006),$AM$1006:$BM$1006,0))&gt;=100000), " ",IF(INDEX($AM$2:$BM$1001,MATCH(ROWS($AF$2:AF648),$AF$2:$AF$1001,0),MATCH(COLUMNS($AM$1006:AT1006),$AM$1006:$BM$1006,0)), HYPERLINK("#",""), HYPERLINK(CONCATENATE("#metadata!", ADDRESS(INDEX($AH$2:$AH$1001,MATCH(ROWS($AF$2:AF648),$AF$2:$AF$1001,0),0), INDEX($AM$1004:$BM$1004,1,MATCH(COLUMNS($AM$1006:AT1006),$AM$1006:$BM$1006,0)))),"Fix")))</f>
        <v xml:space="preserve"> </v>
      </c>
      <c r="J648" s="4" t="str">
        <f ca="1">IF(OR(INDEX($AG$2:$AG$1001,MATCH(ROWS($AF$2:AF648),$AF$2:$AF$1001,0),1)&gt;=100000,INDEX($AM$1005:$BM$1005,1,MATCH(COLUMNS($AM$1006:AU1006),$AM$1006:$BM$1006,0))&gt;=100000), " ",IF(INDEX($AM$2:$BM$1001,MATCH(ROWS($AF$2:AF648),$AF$2:$AF$1001,0),MATCH(COLUMNS($AM$1006:AU1006),$AM$1006:$BM$1006,0)), HYPERLINK("#",""), HYPERLINK(CONCATENATE("#metadata!", ADDRESS(INDEX($AH$2:$AH$1001,MATCH(ROWS($AF$2:AF648),$AF$2:$AF$1001,0),0), INDEX($AM$1004:$BM$1004,1,MATCH(COLUMNS($AM$1006:AU1006),$AM$1006:$BM$1006,0)))),"Fix")))</f>
        <v xml:space="preserve"> </v>
      </c>
      <c r="K648" s="4" t="str">
        <f ca="1">IF(OR(INDEX($AG$2:$AG$1001,MATCH(ROWS($AF$2:AF648),$AF$2:$AF$1001,0),1)&gt;=100000,INDEX($AM$1005:$BM$1005,1,MATCH(COLUMNS($AM$1006:AV1006),$AM$1006:$BM$1006,0))&gt;=100000), " ",IF(INDEX($AM$2:$BM$1001,MATCH(ROWS($AF$2:AF648),$AF$2:$AF$1001,0),MATCH(COLUMNS($AM$1006:AV1006),$AM$1006:$BM$1006,0)), HYPERLINK("#",""), HYPERLINK(CONCATENATE("#metadata!", ADDRESS(INDEX($AH$2:$AH$1001,MATCH(ROWS($AF$2:AF648),$AF$2:$AF$1001,0),0), INDEX($AM$1004:$BM$1004,1,MATCH(COLUMNS($AM$1006:AV1006),$AM$1006:$BM$1006,0)))),"Fix")))</f>
        <v xml:space="preserve"> </v>
      </c>
      <c r="L648" s="4" t="str">
        <f ca="1">IF(OR(INDEX($AG$2:$AG$1001,MATCH(ROWS($AF$2:AF648),$AF$2:$AF$1001,0),1)&gt;=100000,INDEX($AM$1005:$BM$1005,1,MATCH(COLUMNS($AM$1006:AW1006),$AM$1006:$BM$1006,0))&gt;=100000), " ",IF(INDEX($AM$2:$BM$1001,MATCH(ROWS($AF$2:AF648),$AF$2:$AF$1001,0),MATCH(COLUMNS($AM$1006:AW1006),$AM$1006:$BM$1006,0)), HYPERLINK("#",""), HYPERLINK(CONCATENATE("#metadata!", ADDRESS(INDEX($AH$2:$AH$1001,MATCH(ROWS($AF$2:AF648),$AF$2:$AF$1001,0),0), INDEX($AM$1004:$BM$1004,1,MATCH(COLUMNS($AM$1006:AW1006),$AM$1006:$BM$1006,0)))),"Fix")))</f>
        <v xml:space="preserve"> </v>
      </c>
      <c r="M648" s="4" t="str">
        <f ca="1">IF(OR(INDEX($AG$2:$AG$1001,MATCH(ROWS($AF$2:AF648),$AF$2:$AF$1001,0),1)&gt;=100000,INDEX($AM$1005:$BM$1005,1,MATCH(COLUMNS($AM$1006:AX1006),$AM$1006:$BM$1006,0))&gt;=100000), " ",IF(INDEX($AM$2:$BM$1001,MATCH(ROWS($AF$2:AF648),$AF$2:$AF$1001,0),MATCH(COLUMNS($AM$1006:AX1006),$AM$1006:$BM$1006,0)), HYPERLINK("#",""), HYPERLINK(CONCATENATE("#metadata!", ADDRESS(INDEX($AH$2:$AH$1001,MATCH(ROWS($AF$2:AF648),$AF$2:$AF$1001,0),0), INDEX($AM$1004:$BM$1004,1,MATCH(COLUMNS($AM$1006:AX1006),$AM$1006:$BM$1006,0)))),"Fix")))</f>
        <v xml:space="preserve"> </v>
      </c>
      <c r="N648" s="4" t="str">
        <f ca="1">IF(OR(INDEX($AG$2:$AG$1001,MATCH(ROWS($AF$2:AF648),$AF$2:$AF$1001,0),1)&gt;=100000,INDEX($AM$1005:$BM$1005,1,MATCH(COLUMNS($AM$1006:AY1006),$AM$1006:$BM$1006,0))&gt;=100000), " ",IF(INDEX($AM$2:$BM$1001,MATCH(ROWS($AF$2:AF648),$AF$2:$AF$1001,0),MATCH(COLUMNS($AM$1006:AY1006),$AM$1006:$BM$1006,0)), HYPERLINK("#",""), HYPERLINK(CONCATENATE("#metadata!", ADDRESS(INDEX($AH$2:$AH$1001,MATCH(ROWS($AF$2:AF648),$AF$2:$AF$1001,0),0), INDEX($AM$1004:$BM$1004,1,MATCH(COLUMNS($AM$1006:AY1006),$AM$1006:$BM$1006,0)))),"Fix")))</f>
        <v xml:space="preserve"> </v>
      </c>
      <c r="O648" s="4" t="str">
        <f ca="1">IF(OR(INDEX($AG$2:$AG$1001,MATCH(ROWS($AF$2:AF648),$AF$2:$AF$1001,0),1)&gt;=100000,INDEX($AM$1005:$BM$1005,1,MATCH(COLUMNS($AM$1006:AZ1006),$AM$1006:$BM$1006,0))&gt;=100000), " ",IF(INDEX($AM$2:$BM$1001,MATCH(ROWS($AF$2:AF648),$AF$2:$AF$1001,0),MATCH(COLUMNS($AM$1006:AZ1006),$AM$1006:$BM$1006,0)), HYPERLINK("#",""), HYPERLINK(CONCATENATE("#metadata!", ADDRESS(INDEX($AH$2:$AH$1001,MATCH(ROWS($AF$2:AF648),$AF$2:$AF$1001,0),0), INDEX($AM$1004:$BM$1004,1,MATCH(COLUMNS($AM$1006:AZ1006),$AM$1006:$BM$1006,0)))),"Fix")))</f>
        <v xml:space="preserve"> </v>
      </c>
      <c r="P648" s="4" t="str">
        <f ca="1">IF(OR(INDEX($AG$2:$AG$1001,MATCH(ROWS($AF$2:AF648),$AF$2:$AF$1001,0),1)&gt;=100000,INDEX($AM$1005:$BM$1005,1,MATCH(COLUMNS($AM$1006:BA1006),$AM$1006:$BM$1006,0))&gt;=100000), " ",IF(INDEX($AM$2:$BM$1001,MATCH(ROWS($AF$2:AF648),$AF$2:$AF$1001,0),MATCH(COLUMNS($AM$1006:BA1006),$AM$1006:$BM$1006,0)), HYPERLINK("#",""), HYPERLINK(CONCATENATE("#metadata!", ADDRESS(INDEX($AH$2:$AH$1001,MATCH(ROWS($AF$2:AF648),$AF$2:$AF$1001,0),0), INDEX($AM$1004:$BM$1004,1,MATCH(COLUMNS($AM$1006:BA1006),$AM$1006:$BM$1006,0)))),"Fix")))</f>
        <v xml:space="preserve"> </v>
      </c>
      <c r="Q648" s="4" t="str">
        <f ca="1">IF(OR(INDEX($AG$2:$AG$1001,MATCH(ROWS($AF$2:AF648),$AF$2:$AF$1001,0),1)&gt;=100000,INDEX($AM$1005:$BM$1005,1,MATCH(COLUMNS($AM$1006:BB1006),$AM$1006:$BM$1006,0))&gt;=100000), " ",IF(INDEX($AM$2:$BM$1001,MATCH(ROWS($AF$2:AF648),$AF$2:$AF$1001,0),MATCH(COLUMNS($AM$1006:BB1006),$AM$1006:$BM$1006,0)), HYPERLINK("#",""), HYPERLINK(CONCATENATE("#metadata!", ADDRESS(INDEX($AH$2:$AH$1001,MATCH(ROWS($AF$2:AF648),$AF$2:$AF$1001,0),0), INDEX($AM$1004:$BM$1004,1,MATCH(COLUMNS($AM$1006:BB1006),$AM$1006:$BM$1006,0)))),"Fix")))</f>
        <v xml:space="preserve"> </v>
      </c>
      <c r="R648" s="4" t="str">
        <f ca="1">IF(OR(INDEX($AG$2:$AG$1001,MATCH(ROWS($AF$2:AF648),$AF$2:$AF$1001,0),1)&gt;=100000,INDEX($AM$1005:$BM$1005,1,MATCH(COLUMNS($AM$1006:BC1006),$AM$1006:$BM$1006,0))&gt;=100000), " ",IF(INDEX($AM$2:$BM$1001,MATCH(ROWS($AF$2:AF648),$AF$2:$AF$1001,0),MATCH(COLUMNS($AM$1006:BC1006),$AM$1006:$BM$1006,0)), HYPERLINK("#",""), HYPERLINK(CONCATENATE("#metadata!", ADDRESS(INDEX($AH$2:$AH$1001,MATCH(ROWS($AF$2:AF648),$AF$2:$AF$1001,0),0), INDEX($AM$1004:$BM$1004,1,MATCH(COLUMNS($AM$1006:BC1006),$AM$1006:$BM$1006,0)))),"Fix")))</f>
        <v xml:space="preserve"> </v>
      </c>
      <c r="S648" s="4" t="str">
        <f ca="1">IF(OR(INDEX($AG$2:$AG$1001,MATCH(ROWS($AF$2:AF648),$AF$2:$AF$1001,0),1)&gt;=100000,INDEX($AM$1005:$BM$1005,1,MATCH(COLUMNS($AM$1006:BD1006),$AM$1006:$BM$1006,0))&gt;=100000), " ",IF(INDEX($AM$2:$BM$1001,MATCH(ROWS($AF$2:AF648),$AF$2:$AF$1001,0),MATCH(COLUMNS($AM$1006:BD1006),$AM$1006:$BM$1006,0)), HYPERLINK("#",""), HYPERLINK(CONCATENATE("#metadata!", ADDRESS(INDEX($AH$2:$AH$1001,MATCH(ROWS($AF$2:AF648),$AF$2:$AF$1001,0),0), INDEX($AM$1004:$BM$1004,1,MATCH(COLUMNS($AM$1006:BD1006),$AM$1006:$BM$1006,0)))),"Fix")))</f>
        <v xml:space="preserve"> </v>
      </c>
      <c r="T648" s="4" t="str">
        <f ca="1">IF(OR(INDEX($AG$2:$AG$1001,MATCH(ROWS($AF$2:AF648),$AF$2:$AF$1001,0),1)&gt;=100000,INDEX($AM$1005:$BM$1005,1,MATCH(COLUMNS($AM$1006:BE1006),$AM$1006:$BM$1006,0))&gt;=100000), " ",IF(INDEX($AM$2:$BM$1001,MATCH(ROWS($AF$2:AF648),$AF$2:$AF$1001,0),MATCH(COLUMNS($AM$1006:BE1006),$AM$1006:$BM$1006,0)), HYPERLINK("#",""), HYPERLINK(CONCATENATE("#metadata!", ADDRESS(INDEX($AH$2:$AH$1001,MATCH(ROWS($AF$2:AF648),$AF$2:$AF$1001,0),0), INDEX($AM$1004:$BM$1004,1,MATCH(COLUMNS($AM$1006:BE1006),$AM$1006:$BM$1006,0)))),"Fix")))</f>
        <v xml:space="preserve"> </v>
      </c>
      <c r="U648" s="4" t="str">
        <f ca="1">IF(OR(INDEX($AG$2:$AG$1001,MATCH(ROWS($AF$2:AF648),$AF$2:$AF$1001,0),1)&gt;=100000,INDEX($AM$1005:$BM$1005,1,MATCH(COLUMNS($AM$1006:BF1006),$AM$1006:$BM$1006,0))&gt;=100000), " ",IF(INDEX($AM$2:$BM$1001,MATCH(ROWS($AF$2:AF648),$AF$2:$AF$1001,0),MATCH(COLUMNS($AM$1006:BF1006),$AM$1006:$BM$1006,0)), HYPERLINK("#",""), HYPERLINK(CONCATENATE("#metadata!", ADDRESS(INDEX($AH$2:$AH$1001,MATCH(ROWS($AF$2:AF648),$AF$2:$AF$1001,0),0), INDEX($AM$1004:$BM$1004,1,MATCH(COLUMNS($AM$1006:BF1006),$AM$1006:$BM$1006,0)))),"Fix")))</f>
        <v xml:space="preserve"> </v>
      </c>
      <c r="V648" s="4" t="str">
        <f ca="1">IF(OR(INDEX($AG$2:$AG$1001,MATCH(ROWS($AF$2:AF648),$AF$2:$AF$1001,0),1)&gt;=100000,INDEX($AM$1005:$BM$1005,1,MATCH(COLUMNS($AM$1006:BG1006),$AM$1006:$BM$1006,0))&gt;=100000), " ",IF(INDEX($AM$2:$BM$1001,MATCH(ROWS($AF$2:AF648),$AF$2:$AF$1001,0),MATCH(COLUMNS($AM$1006:BG1006),$AM$1006:$BM$1006,0)), HYPERLINK("#",""), HYPERLINK(CONCATENATE("#metadata!", ADDRESS(INDEX($AH$2:$AH$1001,MATCH(ROWS($AF$2:AF648),$AF$2:$AF$1001,0),0), INDEX($AM$1004:$BM$1004,1,MATCH(COLUMNS($AM$1006:BG1006),$AM$1006:$BM$1006,0)))),"Fix")))</f>
        <v xml:space="preserve"> </v>
      </c>
      <c r="W648" s="4" t="str">
        <f ca="1">IF(OR(INDEX($AG$2:$AG$1001,MATCH(ROWS($AF$2:AF648),$AF$2:$AF$1001,0),1)&gt;=100000,INDEX($AM$1005:$BM$1005,1,MATCH(COLUMNS($AM$1006:BH1006),$AM$1006:$BM$1006,0))&gt;=100000), " ",IF(INDEX($AM$2:$BM$1001,MATCH(ROWS($AF$2:AF648),$AF$2:$AF$1001,0),MATCH(COLUMNS($AM$1006:BH1006),$AM$1006:$BM$1006,0)), HYPERLINK("#",""), HYPERLINK(CONCATENATE("#metadata!", ADDRESS(INDEX($AH$2:$AH$1001,MATCH(ROWS($AF$2:AF648),$AF$2:$AF$1001,0),0), INDEX($AM$1004:$BM$1004,1,MATCH(COLUMNS($AM$1006:BH1006),$AM$1006:$BM$1006,0)))),"Fix")))</f>
        <v xml:space="preserve"> </v>
      </c>
      <c r="X648" s="4" t="str">
        <f ca="1">IF(OR(INDEX($AG$2:$AG$1001,MATCH(ROWS($AF$2:AF648),$AF$2:$AF$1001,0),1)&gt;=100000,INDEX($AM$1005:$BM$1005,1,MATCH(COLUMNS($AM$1006:BI1006),$AM$1006:$BM$1006,0))&gt;=100000), " ",IF(INDEX($AM$2:$BM$1001,MATCH(ROWS($AF$2:AF648),$AF$2:$AF$1001,0),MATCH(COLUMNS($AM$1006:BI1006),$AM$1006:$BM$1006,0)), HYPERLINK("#",""), HYPERLINK(CONCATENATE("#metadata!", ADDRESS(INDEX($AH$2:$AH$1001,MATCH(ROWS($AF$2:AF648),$AF$2:$AF$1001,0),0), INDEX($AM$1004:$BM$1004,1,MATCH(COLUMNS($AM$1006:BI1006),$AM$1006:$BM$1006,0)))),"Fix")))</f>
        <v xml:space="preserve"> </v>
      </c>
      <c r="Y648" s="4" t="str">
        <f ca="1">IF(OR(INDEX($AG$2:$AG$1001,MATCH(ROWS($AF$2:AF648),$AF$2:$AF$1001,0),1)&gt;=100000,INDEX($AM$1005:$BM$1005,1,MATCH(COLUMNS($AM$1006:BJ1006),$AM$1006:$BM$1006,0))&gt;=100000), " ",IF(INDEX($AM$2:$BM$1001,MATCH(ROWS($AF$2:AF648),$AF$2:$AF$1001,0),MATCH(COLUMNS($AM$1006:BJ1006),$AM$1006:$BM$1006,0)), HYPERLINK("#",""), HYPERLINK(CONCATENATE("#metadata!", ADDRESS(INDEX($AH$2:$AH$1001,MATCH(ROWS($AF$2:AF648),$AF$2:$AF$1001,0),0), INDEX($AM$1004:$BM$1004,1,MATCH(COLUMNS($AM$1006:BJ1006),$AM$1006:$BM$1006,0)))),"Fix")))</f>
        <v xml:space="preserve"> </v>
      </c>
      <c r="Z648" s="4" t="str">
        <f ca="1">IF(OR(INDEX($AG$2:$AG$1001,MATCH(ROWS($AF$2:AF648),$AF$2:$AF$1001,0),1)&gt;=100000,INDEX($AM$1005:$BM$1005,1,MATCH(COLUMNS($AM$1006:BK1006),$AM$1006:$BM$1006,0))&gt;=100000), " ",IF(INDEX($AM$2:$BM$1001,MATCH(ROWS($AF$2:AF648),$AF$2:$AF$1001,0),MATCH(COLUMNS($AM$1006:BK1006),$AM$1006:$BM$1006,0)), HYPERLINK("#",""), HYPERLINK(CONCATENATE("#metadata!", ADDRESS(INDEX($AH$2:$AH$1001,MATCH(ROWS($AF$2:AF648),$AF$2:$AF$1001,0),0), INDEX($AM$1004:$BM$1004,1,MATCH(COLUMNS($AM$1006:BK1006),$AM$1006:$BM$1006,0)))),"Fix")))</f>
        <v xml:space="preserve"> </v>
      </c>
      <c r="AA648" s="4" t="str">
        <f ca="1">IF(OR(INDEX($AG$2:$AG$1001,MATCH(ROWS($AF$2:AF648),$AF$2:$AF$1001,0),1)&gt;=100000,INDEX($AM$1005:$BM$1005,1,MATCH(COLUMNS($AM$1006:BL1006),$AM$1006:$BM$1006,0))&gt;=100000), " ",IF(INDEX($AM$2:$BM$1001,MATCH(ROWS($AF$2:AF648),$AF$2:$AF$1001,0),MATCH(COLUMNS($AM$1006:BL1006),$AM$1006:$BM$1006,0)), HYPERLINK("#",""), HYPERLINK(CONCATENATE("#metadata!", ADDRESS(INDEX($AH$2:$AH$1001,MATCH(ROWS($AF$2:AF648),$AF$2:$AF$1001,0),0), INDEX($AM$1004:$BM$1004,1,MATCH(COLUMNS($AM$1006:BL1006),$AM$1006:$BM$1006,0)))),"Fix")))</f>
        <v xml:space="preserve"> </v>
      </c>
      <c r="AB648" s="4" t="str">
        <f ca="1">IF(OR(INDEX($AG$2:$AG$1001,MATCH(ROWS($AF$2:AF648),$AF$2:$AF$1001,0),1)&gt;=100000,INDEX($AM$1005:$BM$1005,1,MATCH(COLUMNS($AM$1006:BM1006),$AM$1006:$BM$1006,0))&gt;=100000), " ",IF(INDEX($AM$2:$BM$1001,MATCH(ROWS($AF$2:AF648),$AF$2:$AF$1001,0),MATCH(COLUMNS($AM$1006:BM1006),$AM$1006:$BM$1006,0)), HYPERLINK("#",""), HYPERLINK(CONCATENATE("#metadata!", ADDRESS(INDEX($AH$2:$AH$1001,MATCH(ROWS($AF$2:AF648),$AF$2:$AF$1001,0),0), INDEX($AM$1004:$BM$1004,1,MATCH(COLUMNS($AM$1006:BM1006),$AM$1006:$BM$1006,0)))),"Fix")))</f>
        <v xml:space="preserve"> </v>
      </c>
      <c r="AF648">
        <v>647</v>
      </c>
      <c r="AG648">
        <v>100648</v>
      </c>
      <c r="AH648">
        <v>648</v>
      </c>
      <c r="AI648" t="b">
        <f t="shared" si="10"/>
        <v>1</v>
      </c>
      <c r="AJ648" t="b">
        <f>COUNTBLANK(metadata!B648:AB648)=COLUMNS(metadata!B648:AB648)</f>
        <v>1</v>
      </c>
      <c r="AK648" t="str">
        <v/>
      </c>
      <c r="AM648" t="b">
        <f ca="1">AND(IF(metadata!B648="",FALSE,TRUE),COUNTIF(metadata!B:B, metadata!B648) = 1,NOT(ISERROR(SUMPRODUCT(SEARCH(MID(metadata!B648,ROW(INDIRECT("1:"&amp;LEN(metadata!B648))), 1),"0123456789abcdefghijklmnopqrstuvwxyzABCDEFGHIJKLMNOPQRSTUVWXYZ.")))))</f>
        <v>0</v>
      </c>
      <c r="AN648" t="b">
        <f ca="1">OR(AND(IF(metadata!C648="",FALSE,TRUE),OR(EXACT(metadata!C648,"missing: not collected"),EXACT(metadata!C648,"missing: not provided"),EXACT(metadata!C648,"missing: restricted access"))),AND(IF(metadata!C648="",FALSE,TRUE),AND(AND(IFERROR(INT(LEFT(metadata!C648,4))&gt;1900,FALSE),IFERROR(INT(LEFT(metadata!C648,4))&lt;=YEAR(NOW()),FALSE)), OR(MID(metadata!C648,5,1)="", AND(AND(MID(metadata!C648,5,1)="-",IFERROR(INT(MID(metadata!C648,6,1))&gt;=0,FALSE),IFERROR(INT(MID(metadata!C648,6,1))&lt;=1,FALSE),NOT(MID(metadata!C648,7,1)=""),IFERROR(INT(MID(metadata!C648,6,2))&gt;=1,FALSE),IFERROR(INT(MID(metadata!C648,6,2))&lt;=12,FALSE)), OR(MID(metadata!C648,8,1)="", AND(AND(MID(metadata!C648,8,1)="-",IFERROR(INT(MID(metadata!C648,9,1))&gt;=0,FALSE),IFERROR(INT(MID(metadata!C648,9,1))&lt;=3,FALSE),NOT(MID(metadata!C648,10,1)=""),IFERROR(INT(MID(metadata!C648,9,2))&gt;=1,FALSE),IFERROR(INT(MID(metadata!C648,9,2))&lt;=31,FALSE)), OR(MID(metadata!C648,11,1)="", AND(AND(MID(metadata!C648,11,1)=" ",IFERROR(INT(MID(metadata!C648,12,1))&gt;=0,FALSE),IFERROR(INT(MID(metadata!C648,12,1))&lt;=2,FALSE),NOT(MID(metadata!C648,13,1)=""),IFERROR(INT(MID(metadata!C648,12,2))&gt;=0,FALSE),IFERROR(INT(MID(metadata!C648,12,2))&lt;=23,FALSE)), OR(MID(metadata!C648,14,1)="", AND(AND(MID(metadata!C648,14,1)=":",IFERROR(INT(MID(metadata!C648,15,1))&gt;=0,FALSE),IFERROR(INT(MID(metadata!C648,15,1))&lt;=5,FALSE),NOT(MID(metadata!C648,16,1)=""),IFERROR(INT(MID(metadata!C648,15,2))&gt;=0,FALSE),IFERROR(INT(MID(metadata!C648,15,2))&lt;=59,FALSE)), OR(MID(metadata!C648,17,1)="", AND(AND(MID(metadata!C648,17,1)=":",IFERROR(INT(MID(metadata!C648,18,1))&gt;=0,FALSE),IFERROR(INT(MID(metadata!C648,18,1))&lt;=5,FALSE),NOT(MID(metadata!C648,19,1)=""),IFERROR(INT(MID(metadata!C648,18,2))&gt;=0,FALSE),IFERROR(INT(MID(metadata!C648,18,2))&lt;=59,FALSE)), LEN(metadata!C648)&lt;=19)))))))))))))</f>
        <v>0</v>
      </c>
      <c r="AO648" t="b">
        <f>AND(IF(metadata!D648="",FALSE,TRUE),EXACT(metadata!D648,"Not applicable"))</f>
        <v>0</v>
      </c>
      <c r="AP648" t="b">
        <f>IF(metadata!E648="",FALSE,TRUE)</f>
        <v>0</v>
      </c>
      <c r="AQ648" t="b">
        <f>OR(AND(IF(metadata!F648="",FALSE,TRUE),OR(EXACT(metadata!F648,"missing: not collected"),EXACT(metadata!F648,"missing: not provided"))),AND(IF(metadata!F648="",FALSE,TRUE),OR(EXACT(metadata!F648,"TRUE"),EXACT(metadata!F648,"FALSE"))))</f>
        <v>0</v>
      </c>
      <c r="AR648" t="b">
        <f>OR(AND(IF(metadata!G648="",FALSE,TRUE),OR(EXACT(metadata!G648,"missing: not collected"),EXACT(metadata!G648,"missing: not provided"),EXACT(metadata!G648,"missing: restricted access"))),AND(IF(metadata!G648="",FALSE,ISNUMBER(VALUE(metadata!G648))),metadata!G648&gt;=-413))</f>
        <v>0</v>
      </c>
      <c r="AS648" t="b">
        <f>AND(IF(metadata!H648="",FALSE,TRUE),EXACT(metadata!H648,"meters"))</f>
        <v>0</v>
      </c>
      <c r="AT648" t="b">
        <f>AND(IF(metadata!I648="",FALSE,TRUE),OR(EXACT(metadata!I648,"Host-associated"),EXACT(metadata!I648,"Free-living")))</f>
        <v>0</v>
      </c>
      <c r="AU648" t="b">
        <f>AND(IF(metadata!J648="",FALSE,TRUE),OR(EXACT(metadata!J648,"Animal"),EXACT(metadata!J648,"Fungus"),EXACT(metadata!J648,"Plant"),EXACT(metadata!J648,"Saline"),EXACT(metadata!J648,"Non-saline")))</f>
        <v>0</v>
      </c>
      <c r="AV648" t="b">
        <f>AND(IF(metadata!K648="",FALSE,TRUE),OR(EXACT(metadata!K648,"Plant secretion"),EXACT(metadata!K648,"Plant rhizosphere"),EXACT(metadata!K648,"Plant surface"),EXACT(metadata!K648,"Plant corpus"),EXACT(metadata!K648,"Fungus surface"),EXACT(metadata!K648,"Fungus corpus"),EXACT(metadata!K648,"Animal surface"),EXACT(metadata!K648,"Animal proximal gut"),EXACT(metadata!K648,"Animal corpus"),EXACT(metadata!K648,"Animal distal gut"),EXACT(metadata!K648,"Animal secretion"),EXACT(metadata!K648,"Sub-surface (non-saline)"),EXACT(metadata!K648,"Surface (non-saline)"),EXACT(metadata!K648,"Water (non-saline)"),EXACT(metadata!K648,"Soil (non-saline)"),EXACT(metadata!K648,"Aerosol (non-saline)"),EXACT(metadata!K648,"Sediment (non-saline)"),EXACT(metadata!K648,"Surface (saline)"),EXACT(metadata!K648,"Water (saline)"),EXACT(metadata!K648,"Hypersaline (saline)"),EXACT(metadata!K648,"Aerosol (saline)"),EXACT(metadata!K648,"Sediment (saline)")))</f>
        <v>0</v>
      </c>
      <c r="AW648" t="b">
        <f>IF(metadata!L648="",FALSE,TRUE)</f>
        <v>0</v>
      </c>
      <c r="AX648" t="b">
        <f>IF(metadata!M648="",FALSE,TRUE)</f>
        <v>0</v>
      </c>
      <c r="AY648" t="b">
        <f>IF(metadata!N648="",FALSE,TRUE)</f>
        <v>0</v>
      </c>
      <c r="AZ648" t="b">
        <f>OR(AND(IF(metadata!O648="",FALSE,TRUE),OR(EXACT(metadata!O648,"missing: not collected"),EXACT(metadata!O648,"missing: not provided"),EXACT(metadata!O648,"missing: restricted access"))),AND(IF(metadata!O648="",FALSE,TRUE),OR(EXACT(metadata!O648,"air"),EXACT(metadata!O648,"built environment"),EXACT(metadata!O648,"host-associated"),EXACT(metadata!O648,"human-associated"),EXACT(metadata!O648,"human-skin"),EXACT(metadata!O648,"human-oral"),EXACT(metadata!O648,"human-gut"),EXACT(metadata!O648,"human-vaginal"),EXACT(metadata!O648,"microbial mat/biofilm"),EXACT(metadata!O648,"misc environment"),EXACT(metadata!O648,"plant-associated"),EXACT(metadata!O648,"sediment"),EXACT(metadata!O648,"soil"),EXACT(metadata!O648,"wastewater/sludge"),EXACT(metadata!O648,"water"))))</f>
        <v>0</v>
      </c>
      <c r="BA648" t="b">
        <f>IF(metadata!P648="",FALSE,TRUE)</f>
        <v>0</v>
      </c>
      <c r="BB648" t="b">
        <f>IF(metadata!Q648="",FALSE,TRUE)</f>
        <v>0</v>
      </c>
      <c r="BC648" t="b">
        <f>OR(AND(IF(metadata!R648="",FALSE,TRUE),OR(EXACT(metadata!R648,"missing: not collected"),EXACT(metadata!R648,"missing: not provided"),EXACT(metadata!R648,"missing: restricted access"))),AND(IF(metadata!R648="",FALSE,ISNUMBER(VALUE(metadata!R648))),metadata!R648&gt;=-90,metadata!R648&lt;=90))</f>
        <v>0</v>
      </c>
      <c r="BD648" t="b">
        <f>AND(IF(metadata!S648="",FALSE,TRUE),EXACT(metadata!S648,"Decimal degrees"))</f>
        <v>0</v>
      </c>
      <c r="BE648" t="b">
        <f>OR(AND(IF(metadata!T648="",FALSE,TRUE),OR(EXACT(metadata!T648,"missing: not collected"),EXACT(metadata!T648,"missing: not provided"),EXACT(metadata!T648,"missing: restricted access"))),AND(IF(metadata!T648="",FALSE,ISNUMBER(VALUE(metadata!T648))),metadata!T648&gt;=-180,metadata!T648&lt;=180))</f>
        <v>0</v>
      </c>
      <c r="BF648" t="b">
        <f>AND(IF(metadata!U648="",FALSE,TRUE),EXACT(metadata!U648,"Decimal degrees"))</f>
        <v>0</v>
      </c>
      <c r="BG648" t="b">
        <f>IF(metadata!V648="",FALSE,TRUE)</f>
        <v>0</v>
      </c>
      <c r="BH648" t="b">
        <f>OR(AND(IF(metadata!W648="",FALSE,TRUE),OR(EXACT(metadata!W648,"missing: not collected"),EXACT(metadata!W648,"missing: not provided"),EXACT(metadata!W648,"missing: restricted access"))),AND(IF(metadata!W648="",FALSE,TRUE),OR(EXACT(metadata!W648,"TRUE"),EXACT(metadata!W648,"FALSE"))))</f>
        <v>0</v>
      </c>
      <c r="BI648" t="b">
        <f>AND(IF(metadata!X648="",FALSE,TRUE),EXACT(metadata!X648,"other"))</f>
        <v>0</v>
      </c>
      <c r="BJ648" t="b">
        <f>IF(metadata!Y648="",FALSE,TRUE)</f>
        <v>0</v>
      </c>
      <c r="BK648" t="b">
        <f>OR(AND(IF(metadata!Z648="",FALSE,TRUE),OR(EXACT(metadata!Z648,"missing: not collected"),EXACT(metadata!Z648,"missing: not provided"))),AND(IF(metadata!Z648="",FALSE,IF(ISERROR(INT(metadata!Z648)),FALSE,INT(metadata!Z648)=metadata!Z648)),metadata!Z648&gt;0))</f>
        <v>0</v>
      </c>
      <c r="BL648" t="b">
        <f>AND(IF(metadata!AA648="",FALSE,TRUE),EXACT(metadata!AA648,"Not applicable"))</f>
        <v>0</v>
      </c>
      <c r="BM648" t="b">
        <f>IF(metadata!AB648="",FALSE,TRUE)</f>
        <v>0</v>
      </c>
    </row>
    <row r="649" spans="1:65" x14ac:dyDescent="0.2">
      <c r="A649" s="5" t="str">
        <f ca="1">IF(B649=" "," ",HYPERLINK(CONCATENATE("#metadata!",ADDRESS(INDEX($AH$2:$AH$1001,MATCH(ROWS($AF$2:AF649),$AF$2:$AF$1001,0),0),1)),INDEX($AK$2:$AK$1001,MATCH(ROWS($AF$2:AF649),$AF$2:$AF$1001,0),0)))</f>
        <v xml:space="preserve"> </v>
      </c>
      <c r="B649" s="4" t="str">
        <f ca="1">IF(OR(INDEX($AG$2:$AG$1001,MATCH(ROWS($AF$2:AF649),$AF$2:$AF$1001,0),1)&gt;=100000,INDEX($AM$1005:$BM$1005,1,MATCH(COLUMNS($AM$1006:AM1006),$AM$1006:$BM$1006,0))&gt;=100000), " ",IF(INDEX($AM$2:$BM$1001,MATCH(ROWS($AF$2:AF649),$AF$2:$AF$1001,0),MATCH(COLUMNS($AM$1006:AM1006),$AM$1006:$BM$1006,0)), HYPERLINK("#",""), HYPERLINK(CONCATENATE("#metadata!", ADDRESS(INDEX($AH$2:$AH$1001,MATCH(ROWS($AF$2:AF649),$AF$2:$AF$1001,0),0), INDEX($AM$1004:$BM$1004,1,MATCH(COLUMNS($AM$1006:AM1006),$AM$1006:$BM$1006,0)))),"Fix")))</f>
        <v xml:space="preserve"> </v>
      </c>
      <c r="C649" s="4" t="str">
        <f ca="1">IF(OR(INDEX($AG$2:$AG$1001,MATCH(ROWS($AF$2:AF649),$AF$2:$AF$1001,0),1)&gt;=100000,INDEX($AM$1005:$BM$1005,1,MATCH(COLUMNS($AM$1006:AN1006),$AM$1006:$BM$1006,0))&gt;=100000), " ",IF(INDEX($AM$2:$BM$1001,MATCH(ROWS($AF$2:AF649),$AF$2:$AF$1001,0),MATCH(COLUMNS($AM$1006:AN1006),$AM$1006:$BM$1006,0)), HYPERLINK("#",""), HYPERLINK(CONCATENATE("#metadata!", ADDRESS(INDEX($AH$2:$AH$1001,MATCH(ROWS($AF$2:AF649),$AF$2:$AF$1001,0),0), INDEX($AM$1004:$BM$1004,1,MATCH(COLUMNS($AM$1006:AN1006),$AM$1006:$BM$1006,0)))),"Fix")))</f>
        <v xml:space="preserve"> </v>
      </c>
      <c r="D649" s="4" t="str">
        <f ca="1">IF(OR(INDEX($AG$2:$AG$1001,MATCH(ROWS($AF$2:AF649),$AF$2:$AF$1001,0),1)&gt;=100000,INDEX($AM$1005:$BM$1005,1,MATCH(COLUMNS($AM$1006:AO1006),$AM$1006:$BM$1006,0))&gt;=100000), " ",IF(INDEX($AM$2:$BM$1001,MATCH(ROWS($AF$2:AF649),$AF$2:$AF$1001,0),MATCH(COLUMNS($AM$1006:AO1006),$AM$1006:$BM$1006,0)), HYPERLINK("#",""), HYPERLINK(CONCATENATE("#metadata!", ADDRESS(INDEX($AH$2:$AH$1001,MATCH(ROWS($AF$2:AF649),$AF$2:$AF$1001,0),0), INDEX($AM$1004:$BM$1004,1,MATCH(COLUMNS($AM$1006:AO1006),$AM$1006:$BM$1006,0)))),"Fix")))</f>
        <v xml:space="preserve"> </v>
      </c>
      <c r="E649" s="4" t="str">
        <f ca="1">IF(OR(INDEX($AG$2:$AG$1001,MATCH(ROWS($AF$2:AF649),$AF$2:$AF$1001,0),1)&gt;=100000,INDEX($AM$1005:$BM$1005,1,MATCH(COLUMNS($AM$1006:AP1006),$AM$1006:$BM$1006,0))&gt;=100000), " ",IF(INDEX($AM$2:$BM$1001,MATCH(ROWS($AF$2:AF649),$AF$2:$AF$1001,0),MATCH(COLUMNS($AM$1006:AP1006),$AM$1006:$BM$1006,0)), HYPERLINK("#",""), HYPERLINK(CONCATENATE("#metadata!", ADDRESS(INDEX($AH$2:$AH$1001,MATCH(ROWS($AF$2:AF649),$AF$2:$AF$1001,0),0), INDEX($AM$1004:$BM$1004,1,MATCH(COLUMNS($AM$1006:AP1006),$AM$1006:$BM$1006,0)))),"Fix")))</f>
        <v xml:space="preserve"> </v>
      </c>
      <c r="F649" s="4" t="str">
        <f ca="1">IF(OR(INDEX($AG$2:$AG$1001,MATCH(ROWS($AF$2:AF649),$AF$2:$AF$1001,0),1)&gt;=100000,INDEX($AM$1005:$BM$1005,1,MATCH(COLUMNS($AM$1006:AQ1006),$AM$1006:$BM$1006,0))&gt;=100000), " ",IF(INDEX($AM$2:$BM$1001,MATCH(ROWS($AF$2:AF649),$AF$2:$AF$1001,0),MATCH(COLUMNS($AM$1006:AQ1006),$AM$1006:$BM$1006,0)), HYPERLINK("#",""), HYPERLINK(CONCATENATE("#metadata!", ADDRESS(INDEX($AH$2:$AH$1001,MATCH(ROWS($AF$2:AF649),$AF$2:$AF$1001,0),0), INDEX($AM$1004:$BM$1004,1,MATCH(COLUMNS($AM$1006:AQ1006),$AM$1006:$BM$1006,0)))),"Fix")))</f>
        <v xml:space="preserve"> </v>
      </c>
      <c r="G649" s="4" t="str">
        <f ca="1">IF(OR(INDEX($AG$2:$AG$1001,MATCH(ROWS($AF$2:AF649),$AF$2:$AF$1001,0),1)&gt;=100000,INDEX($AM$1005:$BM$1005,1,MATCH(COLUMNS($AM$1006:AR1006),$AM$1006:$BM$1006,0))&gt;=100000), " ",IF(INDEX($AM$2:$BM$1001,MATCH(ROWS($AF$2:AF649),$AF$2:$AF$1001,0),MATCH(COLUMNS($AM$1006:AR1006),$AM$1006:$BM$1006,0)), HYPERLINK("#",""), HYPERLINK(CONCATENATE("#metadata!", ADDRESS(INDEX($AH$2:$AH$1001,MATCH(ROWS($AF$2:AF649),$AF$2:$AF$1001,0),0), INDEX($AM$1004:$BM$1004,1,MATCH(COLUMNS($AM$1006:AR1006),$AM$1006:$BM$1006,0)))),"Fix")))</f>
        <v xml:space="preserve"> </v>
      </c>
      <c r="H649" s="4" t="str">
        <f ca="1">IF(OR(INDEX($AG$2:$AG$1001,MATCH(ROWS($AF$2:AF649),$AF$2:$AF$1001,0),1)&gt;=100000,INDEX($AM$1005:$BM$1005,1,MATCH(COLUMNS($AM$1006:AS1006),$AM$1006:$BM$1006,0))&gt;=100000), " ",IF(INDEX($AM$2:$BM$1001,MATCH(ROWS($AF$2:AF649),$AF$2:$AF$1001,0),MATCH(COLUMNS($AM$1006:AS1006),$AM$1006:$BM$1006,0)), HYPERLINK("#",""), HYPERLINK(CONCATENATE("#metadata!", ADDRESS(INDEX($AH$2:$AH$1001,MATCH(ROWS($AF$2:AF649),$AF$2:$AF$1001,0),0), INDEX($AM$1004:$BM$1004,1,MATCH(COLUMNS($AM$1006:AS1006),$AM$1006:$BM$1006,0)))),"Fix")))</f>
        <v xml:space="preserve"> </v>
      </c>
      <c r="I649" s="4" t="str">
        <f ca="1">IF(OR(INDEX($AG$2:$AG$1001,MATCH(ROWS($AF$2:AF649),$AF$2:$AF$1001,0),1)&gt;=100000,INDEX($AM$1005:$BM$1005,1,MATCH(COLUMNS($AM$1006:AT1006),$AM$1006:$BM$1006,0))&gt;=100000), " ",IF(INDEX($AM$2:$BM$1001,MATCH(ROWS($AF$2:AF649),$AF$2:$AF$1001,0),MATCH(COLUMNS($AM$1006:AT1006),$AM$1006:$BM$1006,0)), HYPERLINK("#",""), HYPERLINK(CONCATENATE("#metadata!", ADDRESS(INDEX($AH$2:$AH$1001,MATCH(ROWS($AF$2:AF649),$AF$2:$AF$1001,0),0), INDEX($AM$1004:$BM$1004,1,MATCH(COLUMNS($AM$1006:AT1006),$AM$1006:$BM$1006,0)))),"Fix")))</f>
        <v xml:space="preserve"> </v>
      </c>
      <c r="J649" s="4" t="str">
        <f ca="1">IF(OR(INDEX($AG$2:$AG$1001,MATCH(ROWS($AF$2:AF649),$AF$2:$AF$1001,0),1)&gt;=100000,INDEX($AM$1005:$BM$1005,1,MATCH(COLUMNS($AM$1006:AU1006),$AM$1006:$BM$1006,0))&gt;=100000), " ",IF(INDEX($AM$2:$BM$1001,MATCH(ROWS($AF$2:AF649),$AF$2:$AF$1001,0),MATCH(COLUMNS($AM$1006:AU1006),$AM$1006:$BM$1006,0)), HYPERLINK("#",""), HYPERLINK(CONCATENATE("#metadata!", ADDRESS(INDEX($AH$2:$AH$1001,MATCH(ROWS($AF$2:AF649),$AF$2:$AF$1001,0),0), INDEX($AM$1004:$BM$1004,1,MATCH(COLUMNS($AM$1006:AU1006),$AM$1006:$BM$1006,0)))),"Fix")))</f>
        <v xml:space="preserve"> </v>
      </c>
      <c r="K649" s="4" t="str">
        <f ca="1">IF(OR(INDEX($AG$2:$AG$1001,MATCH(ROWS($AF$2:AF649),$AF$2:$AF$1001,0),1)&gt;=100000,INDEX($AM$1005:$BM$1005,1,MATCH(COLUMNS($AM$1006:AV1006),$AM$1006:$BM$1006,0))&gt;=100000), " ",IF(INDEX($AM$2:$BM$1001,MATCH(ROWS($AF$2:AF649),$AF$2:$AF$1001,0),MATCH(COLUMNS($AM$1006:AV1006),$AM$1006:$BM$1006,0)), HYPERLINK("#",""), HYPERLINK(CONCATENATE("#metadata!", ADDRESS(INDEX($AH$2:$AH$1001,MATCH(ROWS($AF$2:AF649),$AF$2:$AF$1001,0),0), INDEX($AM$1004:$BM$1004,1,MATCH(COLUMNS($AM$1006:AV1006),$AM$1006:$BM$1006,0)))),"Fix")))</f>
        <v xml:space="preserve"> </v>
      </c>
      <c r="L649" s="4" t="str">
        <f ca="1">IF(OR(INDEX($AG$2:$AG$1001,MATCH(ROWS($AF$2:AF649),$AF$2:$AF$1001,0),1)&gt;=100000,INDEX($AM$1005:$BM$1005,1,MATCH(COLUMNS($AM$1006:AW1006),$AM$1006:$BM$1006,0))&gt;=100000), " ",IF(INDEX($AM$2:$BM$1001,MATCH(ROWS($AF$2:AF649),$AF$2:$AF$1001,0),MATCH(COLUMNS($AM$1006:AW1006),$AM$1006:$BM$1006,0)), HYPERLINK("#",""), HYPERLINK(CONCATENATE("#metadata!", ADDRESS(INDEX($AH$2:$AH$1001,MATCH(ROWS($AF$2:AF649),$AF$2:$AF$1001,0),0), INDEX($AM$1004:$BM$1004,1,MATCH(COLUMNS($AM$1006:AW1006),$AM$1006:$BM$1006,0)))),"Fix")))</f>
        <v xml:space="preserve"> </v>
      </c>
      <c r="M649" s="4" t="str">
        <f ca="1">IF(OR(INDEX($AG$2:$AG$1001,MATCH(ROWS($AF$2:AF649),$AF$2:$AF$1001,0),1)&gt;=100000,INDEX($AM$1005:$BM$1005,1,MATCH(COLUMNS($AM$1006:AX1006),$AM$1006:$BM$1006,0))&gt;=100000), " ",IF(INDEX($AM$2:$BM$1001,MATCH(ROWS($AF$2:AF649),$AF$2:$AF$1001,0),MATCH(COLUMNS($AM$1006:AX1006),$AM$1006:$BM$1006,0)), HYPERLINK("#",""), HYPERLINK(CONCATENATE("#metadata!", ADDRESS(INDEX($AH$2:$AH$1001,MATCH(ROWS($AF$2:AF649),$AF$2:$AF$1001,0),0), INDEX($AM$1004:$BM$1004,1,MATCH(COLUMNS($AM$1006:AX1006),$AM$1006:$BM$1006,0)))),"Fix")))</f>
        <v xml:space="preserve"> </v>
      </c>
      <c r="N649" s="4" t="str">
        <f ca="1">IF(OR(INDEX($AG$2:$AG$1001,MATCH(ROWS($AF$2:AF649),$AF$2:$AF$1001,0),1)&gt;=100000,INDEX($AM$1005:$BM$1005,1,MATCH(COLUMNS($AM$1006:AY1006),$AM$1006:$BM$1006,0))&gt;=100000), " ",IF(INDEX($AM$2:$BM$1001,MATCH(ROWS($AF$2:AF649),$AF$2:$AF$1001,0),MATCH(COLUMNS($AM$1006:AY1006),$AM$1006:$BM$1006,0)), HYPERLINK("#",""), HYPERLINK(CONCATENATE("#metadata!", ADDRESS(INDEX($AH$2:$AH$1001,MATCH(ROWS($AF$2:AF649),$AF$2:$AF$1001,0),0), INDEX($AM$1004:$BM$1004,1,MATCH(COLUMNS($AM$1006:AY1006),$AM$1006:$BM$1006,0)))),"Fix")))</f>
        <v xml:space="preserve"> </v>
      </c>
      <c r="O649" s="4" t="str">
        <f ca="1">IF(OR(INDEX($AG$2:$AG$1001,MATCH(ROWS($AF$2:AF649),$AF$2:$AF$1001,0),1)&gt;=100000,INDEX($AM$1005:$BM$1005,1,MATCH(COLUMNS($AM$1006:AZ1006),$AM$1006:$BM$1006,0))&gt;=100000), " ",IF(INDEX($AM$2:$BM$1001,MATCH(ROWS($AF$2:AF649),$AF$2:$AF$1001,0),MATCH(COLUMNS($AM$1006:AZ1006),$AM$1006:$BM$1006,0)), HYPERLINK("#",""), HYPERLINK(CONCATENATE("#metadata!", ADDRESS(INDEX($AH$2:$AH$1001,MATCH(ROWS($AF$2:AF649),$AF$2:$AF$1001,0),0), INDEX($AM$1004:$BM$1004,1,MATCH(COLUMNS($AM$1006:AZ1006),$AM$1006:$BM$1006,0)))),"Fix")))</f>
        <v xml:space="preserve"> </v>
      </c>
      <c r="P649" s="4" t="str">
        <f ca="1">IF(OR(INDEX($AG$2:$AG$1001,MATCH(ROWS($AF$2:AF649),$AF$2:$AF$1001,0),1)&gt;=100000,INDEX($AM$1005:$BM$1005,1,MATCH(COLUMNS($AM$1006:BA1006),$AM$1006:$BM$1006,0))&gt;=100000), " ",IF(INDEX($AM$2:$BM$1001,MATCH(ROWS($AF$2:AF649),$AF$2:$AF$1001,0),MATCH(COLUMNS($AM$1006:BA1006),$AM$1006:$BM$1006,0)), HYPERLINK("#",""), HYPERLINK(CONCATENATE("#metadata!", ADDRESS(INDEX($AH$2:$AH$1001,MATCH(ROWS($AF$2:AF649),$AF$2:$AF$1001,0),0), INDEX($AM$1004:$BM$1004,1,MATCH(COLUMNS($AM$1006:BA1006),$AM$1006:$BM$1006,0)))),"Fix")))</f>
        <v xml:space="preserve"> </v>
      </c>
      <c r="Q649" s="4" t="str">
        <f ca="1">IF(OR(INDEX($AG$2:$AG$1001,MATCH(ROWS($AF$2:AF649),$AF$2:$AF$1001,0),1)&gt;=100000,INDEX($AM$1005:$BM$1005,1,MATCH(COLUMNS($AM$1006:BB1006),$AM$1006:$BM$1006,0))&gt;=100000), " ",IF(INDEX($AM$2:$BM$1001,MATCH(ROWS($AF$2:AF649),$AF$2:$AF$1001,0),MATCH(COLUMNS($AM$1006:BB1006),$AM$1006:$BM$1006,0)), HYPERLINK("#",""), HYPERLINK(CONCATENATE("#metadata!", ADDRESS(INDEX($AH$2:$AH$1001,MATCH(ROWS($AF$2:AF649),$AF$2:$AF$1001,0),0), INDEX($AM$1004:$BM$1004,1,MATCH(COLUMNS($AM$1006:BB1006),$AM$1006:$BM$1006,0)))),"Fix")))</f>
        <v xml:space="preserve"> </v>
      </c>
      <c r="R649" s="4" t="str">
        <f ca="1">IF(OR(INDEX($AG$2:$AG$1001,MATCH(ROWS($AF$2:AF649),$AF$2:$AF$1001,0),1)&gt;=100000,INDEX($AM$1005:$BM$1005,1,MATCH(COLUMNS($AM$1006:BC1006),$AM$1006:$BM$1006,0))&gt;=100000), " ",IF(INDEX($AM$2:$BM$1001,MATCH(ROWS($AF$2:AF649),$AF$2:$AF$1001,0),MATCH(COLUMNS($AM$1006:BC1006),$AM$1006:$BM$1006,0)), HYPERLINK("#",""), HYPERLINK(CONCATENATE("#metadata!", ADDRESS(INDEX($AH$2:$AH$1001,MATCH(ROWS($AF$2:AF649),$AF$2:$AF$1001,0),0), INDEX($AM$1004:$BM$1004,1,MATCH(COLUMNS($AM$1006:BC1006),$AM$1006:$BM$1006,0)))),"Fix")))</f>
        <v xml:space="preserve"> </v>
      </c>
      <c r="S649" s="4" t="str">
        <f ca="1">IF(OR(INDEX($AG$2:$AG$1001,MATCH(ROWS($AF$2:AF649),$AF$2:$AF$1001,0),1)&gt;=100000,INDEX($AM$1005:$BM$1005,1,MATCH(COLUMNS($AM$1006:BD1006),$AM$1006:$BM$1006,0))&gt;=100000), " ",IF(INDEX($AM$2:$BM$1001,MATCH(ROWS($AF$2:AF649),$AF$2:$AF$1001,0),MATCH(COLUMNS($AM$1006:BD1006),$AM$1006:$BM$1006,0)), HYPERLINK("#",""), HYPERLINK(CONCATENATE("#metadata!", ADDRESS(INDEX($AH$2:$AH$1001,MATCH(ROWS($AF$2:AF649),$AF$2:$AF$1001,0),0), INDEX($AM$1004:$BM$1004,1,MATCH(COLUMNS($AM$1006:BD1006),$AM$1006:$BM$1006,0)))),"Fix")))</f>
        <v xml:space="preserve"> </v>
      </c>
      <c r="T649" s="4" t="str">
        <f ca="1">IF(OR(INDEX($AG$2:$AG$1001,MATCH(ROWS($AF$2:AF649),$AF$2:$AF$1001,0),1)&gt;=100000,INDEX($AM$1005:$BM$1005,1,MATCH(COLUMNS($AM$1006:BE1006),$AM$1006:$BM$1006,0))&gt;=100000), " ",IF(INDEX($AM$2:$BM$1001,MATCH(ROWS($AF$2:AF649),$AF$2:$AF$1001,0),MATCH(COLUMNS($AM$1006:BE1006),$AM$1006:$BM$1006,0)), HYPERLINK("#",""), HYPERLINK(CONCATENATE("#metadata!", ADDRESS(INDEX($AH$2:$AH$1001,MATCH(ROWS($AF$2:AF649),$AF$2:$AF$1001,0),0), INDEX($AM$1004:$BM$1004,1,MATCH(COLUMNS($AM$1006:BE1006),$AM$1006:$BM$1006,0)))),"Fix")))</f>
        <v xml:space="preserve"> </v>
      </c>
      <c r="U649" s="4" t="str">
        <f ca="1">IF(OR(INDEX($AG$2:$AG$1001,MATCH(ROWS($AF$2:AF649),$AF$2:$AF$1001,0),1)&gt;=100000,INDEX($AM$1005:$BM$1005,1,MATCH(COLUMNS($AM$1006:BF1006),$AM$1006:$BM$1006,0))&gt;=100000), " ",IF(INDEX($AM$2:$BM$1001,MATCH(ROWS($AF$2:AF649),$AF$2:$AF$1001,0),MATCH(COLUMNS($AM$1006:BF1006),$AM$1006:$BM$1006,0)), HYPERLINK("#",""), HYPERLINK(CONCATENATE("#metadata!", ADDRESS(INDEX($AH$2:$AH$1001,MATCH(ROWS($AF$2:AF649),$AF$2:$AF$1001,0),0), INDEX($AM$1004:$BM$1004,1,MATCH(COLUMNS($AM$1006:BF1006),$AM$1006:$BM$1006,0)))),"Fix")))</f>
        <v xml:space="preserve"> </v>
      </c>
      <c r="V649" s="4" t="str">
        <f ca="1">IF(OR(INDEX($AG$2:$AG$1001,MATCH(ROWS($AF$2:AF649),$AF$2:$AF$1001,0),1)&gt;=100000,INDEX($AM$1005:$BM$1005,1,MATCH(COLUMNS($AM$1006:BG1006),$AM$1006:$BM$1006,0))&gt;=100000), " ",IF(INDEX($AM$2:$BM$1001,MATCH(ROWS($AF$2:AF649),$AF$2:$AF$1001,0),MATCH(COLUMNS($AM$1006:BG1006),$AM$1006:$BM$1006,0)), HYPERLINK("#",""), HYPERLINK(CONCATENATE("#metadata!", ADDRESS(INDEX($AH$2:$AH$1001,MATCH(ROWS($AF$2:AF649),$AF$2:$AF$1001,0),0), INDEX($AM$1004:$BM$1004,1,MATCH(COLUMNS($AM$1006:BG1006),$AM$1006:$BM$1006,0)))),"Fix")))</f>
        <v xml:space="preserve"> </v>
      </c>
      <c r="W649" s="4" t="str">
        <f ca="1">IF(OR(INDEX($AG$2:$AG$1001,MATCH(ROWS($AF$2:AF649),$AF$2:$AF$1001,0),1)&gt;=100000,INDEX($AM$1005:$BM$1005,1,MATCH(COLUMNS($AM$1006:BH1006),$AM$1006:$BM$1006,0))&gt;=100000), " ",IF(INDEX($AM$2:$BM$1001,MATCH(ROWS($AF$2:AF649),$AF$2:$AF$1001,0),MATCH(COLUMNS($AM$1006:BH1006),$AM$1006:$BM$1006,0)), HYPERLINK("#",""), HYPERLINK(CONCATENATE("#metadata!", ADDRESS(INDEX($AH$2:$AH$1001,MATCH(ROWS($AF$2:AF649),$AF$2:$AF$1001,0),0), INDEX($AM$1004:$BM$1004,1,MATCH(COLUMNS($AM$1006:BH1006),$AM$1006:$BM$1006,0)))),"Fix")))</f>
        <v xml:space="preserve"> </v>
      </c>
      <c r="X649" s="4" t="str">
        <f ca="1">IF(OR(INDEX($AG$2:$AG$1001,MATCH(ROWS($AF$2:AF649),$AF$2:$AF$1001,0),1)&gt;=100000,INDEX($AM$1005:$BM$1005,1,MATCH(COLUMNS($AM$1006:BI1006),$AM$1006:$BM$1006,0))&gt;=100000), " ",IF(INDEX($AM$2:$BM$1001,MATCH(ROWS($AF$2:AF649),$AF$2:$AF$1001,0),MATCH(COLUMNS($AM$1006:BI1006),$AM$1006:$BM$1006,0)), HYPERLINK("#",""), HYPERLINK(CONCATENATE("#metadata!", ADDRESS(INDEX($AH$2:$AH$1001,MATCH(ROWS($AF$2:AF649),$AF$2:$AF$1001,0),0), INDEX($AM$1004:$BM$1004,1,MATCH(COLUMNS($AM$1006:BI1006),$AM$1006:$BM$1006,0)))),"Fix")))</f>
        <v xml:space="preserve"> </v>
      </c>
      <c r="Y649" s="4" t="str">
        <f ca="1">IF(OR(INDEX($AG$2:$AG$1001,MATCH(ROWS($AF$2:AF649),$AF$2:$AF$1001,0),1)&gt;=100000,INDEX($AM$1005:$BM$1005,1,MATCH(COLUMNS($AM$1006:BJ1006),$AM$1006:$BM$1006,0))&gt;=100000), " ",IF(INDEX($AM$2:$BM$1001,MATCH(ROWS($AF$2:AF649),$AF$2:$AF$1001,0),MATCH(COLUMNS($AM$1006:BJ1006),$AM$1006:$BM$1006,0)), HYPERLINK("#",""), HYPERLINK(CONCATENATE("#metadata!", ADDRESS(INDEX($AH$2:$AH$1001,MATCH(ROWS($AF$2:AF649),$AF$2:$AF$1001,0),0), INDEX($AM$1004:$BM$1004,1,MATCH(COLUMNS($AM$1006:BJ1006),$AM$1006:$BM$1006,0)))),"Fix")))</f>
        <v xml:space="preserve"> </v>
      </c>
      <c r="Z649" s="4" t="str">
        <f ca="1">IF(OR(INDEX($AG$2:$AG$1001,MATCH(ROWS($AF$2:AF649),$AF$2:$AF$1001,0),1)&gt;=100000,INDEX($AM$1005:$BM$1005,1,MATCH(COLUMNS($AM$1006:BK1006),$AM$1006:$BM$1006,0))&gt;=100000), " ",IF(INDEX($AM$2:$BM$1001,MATCH(ROWS($AF$2:AF649),$AF$2:$AF$1001,0),MATCH(COLUMNS($AM$1006:BK1006),$AM$1006:$BM$1006,0)), HYPERLINK("#",""), HYPERLINK(CONCATENATE("#metadata!", ADDRESS(INDEX($AH$2:$AH$1001,MATCH(ROWS($AF$2:AF649),$AF$2:$AF$1001,0),0), INDEX($AM$1004:$BM$1004,1,MATCH(COLUMNS($AM$1006:BK1006),$AM$1006:$BM$1006,0)))),"Fix")))</f>
        <v xml:space="preserve"> </v>
      </c>
      <c r="AA649" s="4" t="str">
        <f ca="1">IF(OR(INDEX($AG$2:$AG$1001,MATCH(ROWS($AF$2:AF649),$AF$2:$AF$1001,0),1)&gt;=100000,INDEX($AM$1005:$BM$1005,1,MATCH(COLUMNS($AM$1006:BL1006),$AM$1006:$BM$1006,0))&gt;=100000), " ",IF(INDEX($AM$2:$BM$1001,MATCH(ROWS($AF$2:AF649),$AF$2:$AF$1001,0),MATCH(COLUMNS($AM$1006:BL1006),$AM$1006:$BM$1006,0)), HYPERLINK("#",""), HYPERLINK(CONCATENATE("#metadata!", ADDRESS(INDEX($AH$2:$AH$1001,MATCH(ROWS($AF$2:AF649),$AF$2:$AF$1001,0),0), INDEX($AM$1004:$BM$1004,1,MATCH(COLUMNS($AM$1006:BL1006),$AM$1006:$BM$1006,0)))),"Fix")))</f>
        <v xml:space="preserve"> </v>
      </c>
      <c r="AB649" s="4" t="str">
        <f ca="1">IF(OR(INDEX($AG$2:$AG$1001,MATCH(ROWS($AF$2:AF649),$AF$2:$AF$1001,0),1)&gt;=100000,INDEX($AM$1005:$BM$1005,1,MATCH(COLUMNS($AM$1006:BM1006),$AM$1006:$BM$1006,0))&gt;=100000), " ",IF(INDEX($AM$2:$BM$1001,MATCH(ROWS($AF$2:AF649),$AF$2:$AF$1001,0),MATCH(COLUMNS($AM$1006:BM1006),$AM$1006:$BM$1006,0)), HYPERLINK("#",""), HYPERLINK(CONCATENATE("#metadata!", ADDRESS(INDEX($AH$2:$AH$1001,MATCH(ROWS($AF$2:AF649),$AF$2:$AF$1001,0),0), INDEX($AM$1004:$BM$1004,1,MATCH(COLUMNS($AM$1006:BM1006),$AM$1006:$BM$1006,0)))),"Fix")))</f>
        <v xml:space="preserve"> </v>
      </c>
      <c r="AF649">
        <v>648</v>
      </c>
      <c r="AG649">
        <v>100649</v>
      </c>
      <c r="AH649">
        <v>649</v>
      </c>
      <c r="AI649" t="b">
        <f t="shared" si="10"/>
        <v>1</v>
      </c>
      <c r="AJ649" t="b">
        <f>COUNTBLANK(metadata!B649:AB649)=COLUMNS(metadata!B649:AB649)</f>
        <v>1</v>
      </c>
      <c r="AK649" t="str">
        <v/>
      </c>
      <c r="AM649" t="b">
        <f ca="1">AND(IF(metadata!B649="",FALSE,TRUE),COUNTIF(metadata!B:B, metadata!B649) = 1,NOT(ISERROR(SUMPRODUCT(SEARCH(MID(metadata!B649,ROW(INDIRECT("1:"&amp;LEN(metadata!B649))), 1),"0123456789abcdefghijklmnopqrstuvwxyzABCDEFGHIJKLMNOPQRSTUVWXYZ.")))))</f>
        <v>0</v>
      </c>
      <c r="AN649" t="b">
        <f ca="1">OR(AND(IF(metadata!C649="",FALSE,TRUE),OR(EXACT(metadata!C649,"missing: not collected"),EXACT(metadata!C649,"missing: not provided"),EXACT(metadata!C649,"missing: restricted access"))),AND(IF(metadata!C649="",FALSE,TRUE),AND(AND(IFERROR(INT(LEFT(metadata!C649,4))&gt;1900,FALSE),IFERROR(INT(LEFT(metadata!C649,4))&lt;=YEAR(NOW()),FALSE)), OR(MID(metadata!C649,5,1)="", AND(AND(MID(metadata!C649,5,1)="-",IFERROR(INT(MID(metadata!C649,6,1))&gt;=0,FALSE),IFERROR(INT(MID(metadata!C649,6,1))&lt;=1,FALSE),NOT(MID(metadata!C649,7,1)=""),IFERROR(INT(MID(metadata!C649,6,2))&gt;=1,FALSE),IFERROR(INT(MID(metadata!C649,6,2))&lt;=12,FALSE)), OR(MID(metadata!C649,8,1)="", AND(AND(MID(metadata!C649,8,1)="-",IFERROR(INT(MID(metadata!C649,9,1))&gt;=0,FALSE),IFERROR(INT(MID(metadata!C649,9,1))&lt;=3,FALSE),NOT(MID(metadata!C649,10,1)=""),IFERROR(INT(MID(metadata!C649,9,2))&gt;=1,FALSE),IFERROR(INT(MID(metadata!C649,9,2))&lt;=31,FALSE)), OR(MID(metadata!C649,11,1)="", AND(AND(MID(metadata!C649,11,1)=" ",IFERROR(INT(MID(metadata!C649,12,1))&gt;=0,FALSE),IFERROR(INT(MID(metadata!C649,12,1))&lt;=2,FALSE),NOT(MID(metadata!C649,13,1)=""),IFERROR(INT(MID(metadata!C649,12,2))&gt;=0,FALSE),IFERROR(INT(MID(metadata!C649,12,2))&lt;=23,FALSE)), OR(MID(metadata!C649,14,1)="", AND(AND(MID(metadata!C649,14,1)=":",IFERROR(INT(MID(metadata!C649,15,1))&gt;=0,FALSE),IFERROR(INT(MID(metadata!C649,15,1))&lt;=5,FALSE),NOT(MID(metadata!C649,16,1)=""),IFERROR(INT(MID(metadata!C649,15,2))&gt;=0,FALSE),IFERROR(INT(MID(metadata!C649,15,2))&lt;=59,FALSE)), OR(MID(metadata!C649,17,1)="", AND(AND(MID(metadata!C649,17,1)=":",IFERROR(INT(MID(metadata!C649,18,1))&gt;=0,FALSE),IFERROR(INT(MID(metadata!C649,18,1))&lt;=5,FALSE),NOT(MID(metadata!C649,19,1)=""),IFERROR(INT(MID(metadata!C649,18,2))&gt;=0,FALSE),IFERROR(INT(MID(metadata!C649,18,2))&lt;=59,FALSE)), LEN(metadata!C649)&lt;=19)))))))))))))</f>
        <v>0</v>
      </c>
      <c r="AO649" t="b">
        <f>AND(IF(metadata!D649="",FALSE,TRUE),EXACT(metadata!D649,"Not applicable"))</f>
        <v>0</v>
      </c>
      <c r="AP649" t="b">
        <f>IF(metadata!E649="",FALSE,TRUE)</f>
        <v>0</v>
      </c>
      <c r="AQ649" t="b">
        <f>OR(AND(IF(metadata!F649="",FALSE,TRUE),OR(EXACT(metadata!F649,"missing: not collected"),EXACT(metadata!F649,"missing: not provided"))),AND(IF(metadata!F649="",FALSE,TRUE),OR(EXACT(metadata!F649,"TRUE"),EXACT(metadata!F649,"FALSE"))))</f>
        <v>0</v>
      </c>
      <c r="AR649" t="b">
        <f>OR(AND(IF(metadata!G649="",FALSE,TRUE),OR(EXACT(metadata!G649,"missing: not collected"),EXACT(metadata!G649,"missing: not provided"),EXACT(metadata!G649,"missing: restricted access"))),AND(IF(metadata!G649="",FALSE,ISNUMBER(VALUE(metadata!G649))),metadata!G649&gt;=-413))</f>
        <v>0</v>
      </c>
      <c r="AS649" t="b">
        <f>AND(IF(metadata!H649="",FALSE,TRUE),EXACT(metadata!H649,"meters"))</f>
        <v>0</v>
      </c>
      <c r="AT649" t="b">
        <f>AND(IF(metadata!I649="",FALSE,TRUE),OR(EXACT(metadata!I649,"Host-associated"),EXACT(metadata!I649,"Free-living")))</f>
        <v>0</v>
      </c>
      <c r="AU649" t="b">
        <f>AND(IF(metadata!J649="",FALSE,TRUE),OR(EXACT(metadata!J649,"Animal"),EXACT(metadata!J649,"Fungus"),EXACT(metadata!J649,"Plant"),EXACT(metadata!J649,"Saline"),EXACT(metadata!J649,"Non-saline")))</f>
        <v>0</v>
      </c>
      <c r="AV649" t="b">
        <f>AND(IF(metadata!K649="",FALSE,TRUE),OR(EXACT(metadata!K649,"Plant secretion"),EXACT(metadata!K649,"Plant rhizosphere"),EXACT(metadata!K649,"Plant surface"),EXACT(metadata!K649,"Plant corpus"),EXACT(metadata!K649,"Fungus surface"),EXACT(metadata!K649,"Fungus corpus"),EXACT(metadata!K649,"Animal surface"),EXACT(metadata!K649,"Animal proximal gut"),EXACT(metadata!K649,"Animal corpus"),EXACT(metadata!K649,"Animal distal gut"),EXACT(metadata!K649,"Animal secretion"),EXACT(metadata!K649,"Sub-surface (non-saline)"),EXACT(metadata!K649,"Surface (non-saline)"),EXACT(metadata!K649,"Water (non-saline)"),EXACT(metadata!K649,"Soil (non-saline)"),EXACT(metadata!K649,"Aerosol (non-saline)"),EXACT(metadata!K649,"Sediment (non-saline)"),EXACT(metadata!K649,"Surface (saline)"),EXACT(metadata!K649,"Water (saline)"),EXACT(metadata!K649,"Hypersaline (saline)"),EXACT(metadata!K649,"Aerosol (saline)"),EXACT(metadata!K649,"Sediment (saline)")))</f>
        <v>0</v>
      </c>
      <c r="AW649" t="b">
        <f>IF(metadata!L649="",FALSE,TRUE)</f>
        <v>0</v>
      </c>
      <c r="AX649" t="b">
        <f>IF(metadata!M649="",FALSE,TRUE)</f>
        <v>0</v>
      </c>
      <c r="AY649" t="b">
        <f>IF(metadata!N649="",FALSE,TRUE)</f>
        <v>0</v>
      </c>
      <c r="AZ649" t="b">
        <f>OR(AND(IF(metadata!O649="",FALSE,TRUE),OR(EXACT(metadata!O649,"missing: not collected"),EXACT(metadata!O649,"missing: not provided"),EXACT(metadata!O649,"missing: restricted access"))),AND(IF(metadata!O649="",FALSE,TRUE),OR(EXACT(metadata!O649,"air"),EXACT(metadata!O649,"built environment"),EXACT(metadata!O649,"host-associated"),EXACT(metadata!O649,"human-associated"),EXACT(metadata!O649,"human-skin"),EXACT(metadata!O649,"human-oral"),EXACT(metadata!O649,"human-gut"),EXACT(metadata!O649,"human-vaginal"),EXACT(metadata!O649,"microbial mat/biofilm"),EXACT(metadata!O649,"misc environment"),EXACT(metadata!O649,"plant-associated"),EXACT(metadata!O649,"sediment"),EXACT(metadata!O649,"soil"),EXACT(metadata!O649,"wastewater/sludge"),EXACT(metadata!O649,"water"))))</f>
        <v>0</v>
      </c>
      <c r="BA649" t="b">
        <f>IF(metadata!P649="",FALSE,TRUE)</f>
        <v>0</v>
      </c>
      <c r="BB649" t="b">
        <f>IF(metadata!Q649="",FALSE,TRUE)</f>
        <v>0</v>
      </c>
      <c r="BC649" t="b">
        <f>OR(AND(IF(metadata!R649="",FALSE,TRUE),OR(EXACT(metadata!R649,"missing: not collected"),EXACT(metadata!R649,"missing: not provided"),EXACT(metadata!R649,"missing: restricted access"))),AND(IF(metadata!R649="",FALSE,ISNUMBER(VALUE(metadata!R649))),metadata!R649&gt;=-90,metadata!R649&lt;=90))</f>
        <v>0</v>
      </c>
      <c r="BD649" t="b">
        <f>AND(IF(metadata!S649="",FALSE,TRUE),EXACT(metadata!S649,"Decimal degrees"))</f>
        <v>0</v>
      </c>
      <c r="BE649" t="b">
        <f>OR(AND(IF(metadata!T649="",FALSE,TRUE),OR(EXACT(metadata!T649,"missing: not collected"),EXACT(metadata!T649,"missing: not provided"),EXACT(metadata!T649,"missing: restricted access"))),AND(IF(metadata!T649="",FALSE,ISNUMBER(VALUE(metadata!T649))),metadata!T649&gt;=-180,metadata!T649&lt;=180))</f>
        <v>0</v>
      </c>
      <c r="BF649" t="b">
        <f>AND(IF(metadata!U649="",FALSE,TRUE),EXACT(metadata!U649,"Decimal degrees"))</f>
        <v>0</v>
      </c>
      <c r="BG649" t="b">
        <f>IF(metadata!V649="",FALSE,TRUE)</f>
        <v>0</v>
      </c>
      <c r="BH649" t="b">
        <f>OR(AND(IF(metadata!W649="",FALSE,TRUE),OR(EXACT(metadata!W649,"missing: not collected"),EXACT(metadata!W649,"missing: not provided"),EXACT(metadata!W649,"missing: restricted access"))),AND(IF(metadata!W649="",FALSE,TRUE),OR(EXACT(metadata!W649,"TRUE"),EXACT(metadata!W649,"FALSE"))))</f>
        <v>0</v>
      </c>
      <c r="BI649" t="b">
        <f>AND(IF(metadata!X649="",FALSE,TRUE),EXACT(metadata!X649,"other"))</f>
        <v>0</v>
      </c>
      <c r="BJ649" t="b">
        <f>IF(metadata!Y649="",FALSE,TRUE)</f>
        <v>0</v>
      </c>
      <c r="BK649" t="b">
        <f>OR(AND(IF(metadata!Z649="",FALSE,TRUE),OR(EXACT(metadata!Z649,"missing: not collected"),EXACT(metadata!Z649,"missing: not provided"))),AND(IF(metadata!Z649="",FALSE,IF(ISERROR(INT(metadata!Z649)),FALSE,INT(metadata!Z649)=metadata!Z649)),metadata!Z649&gt;0))</f>
        <v>0</v>
      </c>
      <c r="BL649" t="b">
        <f>AND(IF(metadata!AA649="",FALSE,TRUE),EXACT(metadata!AA649,"Not applicable"))</f>
        <v>0</v>
      </c>
      <c r="BM649" t="b">
        <f>IF(metadata!AB649="",FALSE,TRUE)</f>
        <v>0</v>
      </c>
    </row>
    <row r="650" spans="1:65" x14ac:dyDescent="0.2">
      <c r="A650" s="5" t="str">
        <f ca="1">IF(B650=" "," ",HYPERLINK(CONCATENATE("#metadata!",ADDRESS(INDEX($AH$2:$AH$1001,MATCH(ROWS($AF$2:AF650),$AF$2:$AF$1001,0),0),1)),INDEX($AK$2:$AK$1001,MATCH(ROWS($AF$2:AF650),$AF$2:$AF$1001,0),0)))</f>
        <v xml:space="preserve"> </v>
      </c>
      <c r="B650" s="4" t="str">
        <f ca="1">IF(OR(INDEX($AG$2:$AG$1001,MATCH(ROWS($AF$2:AF650),$AF$2:$AF$1001,0),1)&gt;=100000,INDEX($AM$1005:$BM$1005,1,MATCH(COLUMNS($AM$1006:AM1006),$AM$1006:$BM$1006,0))&gt;=100000), " ",IF(INDEX($AM$2:$BM$1001,MATCH(ROWS($AF$2:AF650),$AF$2:$AF$1001,0),MATCH(COLUMNS($AM$1006:AM1006),$AM$1006:$BM$1006,0)), HYPERLINK("#",""), HYPERLINK(CONCATENATE("#metadata!", ADDRESS(INDEX($AH$2:$AH$1001,MATCH(ROWS($AF$2:AF650),$AF$2:$AF$1001,0),0), INDEX($AM$1004:$BM$1004,1,MATCH(COLUMNS($AM$1006:AM1006),$AM$1006:$BM$1006,0)))),"Fix")))</f>
        <v xml:space="preserve"> </v>
      </c>
      <c r="C650" s="4" t="str">
        <f ca="1">IF(OR(INDEX($AG$2:$AG$1001,MATCH(ROWS($AF$2:AF650),$AF$2:$AF$1001,0),1)&gt;=100000,INDEX($AM$1005:$BM$1005,1,MATCH(COLUMNS($AM$1006:AN1006),$AM$1006:$BM$1006,0))&gt;=100000), " ",IF(INDEX($AM$2:$BM$1001,MATCH(ROWS($AF$2:AF650),$AF$2:$AF$1001,0),MATCH(COLUMNS($AM$1006:AN1006),$AM$1006:$BM$1006,0)), HYPERLINK("#",""), HYPERLINK(CONCATENATE("#metadata!", ADDRESS(INDEX($AH$2:$AH$1001,MATCH(ROWS($AF$2:AF650),$AF$2:$AF$1001,0),0), INDEX($AM$1004:$BM$1004,1,MATCH(COLUMNS($AM$1006:AN1006),$AM$1006:$BM$1006,0)))),"Fix")))</f>
        <v xml:space="preserve"> </v>
      </c>
      <c r="D650" s="4" t="str">
        <f ca="1">IF(OR(INDEX($AG$2:$AG$1001,MATCH(ROWS($AF$2:AF650),$AF$2:$AF$1001,0),1)&gt;=100000,INDEX($AM$1005:$BM$1005,1,MATCH(COLUMNS($AM$1006:AO1006),$AM$1006:$BM$1006,0))&gt;=100000), " ",IF(INDEX($AM$2:$BM$1001,MATCH(ROWS($AF$2:AF650),$AF$2:$AF$1001,0),MATCH(COLUMNS($AM$1006:AO1006),$AM$1006:$BM$1006,0)), HYPERLINK("#",""), HYPERLINK(CONCATENATE("#metadata!", ADDRESS(INDEX($AH$2:$AH$1001,MATCH(ROWS($AF$2:AF650),$AF$2:$AF$1001,0),0), INDEX($AM$1004:$BM$1004,1,MATCH(COLUMNS($AM$1006:AO1006),$AM$1006:$BM$1006,0)))),"Fix")))</f>
        <v xml:space="preserve"> </v>
      </c>
      <c r="E650" s="4" t="str">
        <f ca="1">IF(OR(INDEX($AG$2:$AG$1001,MATCH(ROWS($AF$2:AF650),$AF$2:$AF$1001,0),1)&gt;=100000,INDEX($AM$1005:$BM$1005,1,MATCH(COLUMNS($AM$1006:AP1006),$AM$1006:$BM$1006,0))&gt;=100000), " ",IF(INDEX($AM$2:$BM$1001,MATCH(ROWS($AF$2:AF650),$AF$2:$AF$1001,0),MATCH(COLUMNS($AM$1006:AP1006),$AM$1006:$BM$1006,0)), HYPERLINK("#",""), HYPERLINK(CONCATENATE("#metadata!", ADDRESS(INDEX($AH$2:$AH$1001,MATCH(ROWS($AF$2:AF650),$AF$2:$AF$1001,0),0), INDEX($AM$1004:$BM$1004,1,MATCH(COLUMNS($AM$1006:AP1006),$AM$1006:$BM$1006,0)))),"Fix")))</f>
        <v xml:space="preserve"> </v>
      </c>
      <c r="F650" s="4" t="str">
        <f ca="1">IF(OR(INDEX($AG$2:$AG$1001,MATCH(ROWS($AF$2:AF650),$AF$2:$AF$1001,0),1)&gt;=100000,INDEX($AM$1005:$BM$1005,1,MATCH(COLUMNS($AM$1006:AQ1006),$AM$1006:$BM$1006,0))&gt;=100000), " ",IF(INDEX($AM$2:$BM$1001,MATCH(ROWS($AF$2:AF650),$AF$2:$AF$1001,0),MATCH(COLUMNS($AM$1006:AQ1006),$AM$1006:$BM$1006,0)), HYPERLINK("#",""), HYPERLINK(CONCATENATE("#metadata!", ADDRESS(INDEX($AH$2:$AH$1001,MATCH(ROWS($AF$2:AF650),$AF$2:$AF$1001,0),0), INDEX($AM$1004:$BM$1004,1,MATCH(COLUMNS($AM$1006:AQ1006),$AM$1006:$BM$1006,0)))),"Fix")))</f>
        <v xml:space="preserve"> </v>
      </c>
      <c r="G650" s="4" t="str">
        <f ca="1">IF(OR(INDEX($AG$2:$AG$1001,MATCH(ROWS($AF$2:AF650),$AF$2:$AF$1001,0),1)&gt;=100000,INDEX($AM$1005:$BM$1005,1,MATCH(COLUMNS($AM$1006:AR1006),$AM$1006:$BM$1006,0))&gt;=100000), " ",IF(INDEX($AM$2:$BM$1001,MATCH(ROWS($AF$2:AF650),$AF$2:$AF$1001,0),MATCH(COLUMNS($AM$1006:AR1006),$AM$1006:$BM$1006,0)), HYPERLINK("#",""), HYPERLINK(CONCATENATE("#metadata!", ADDRESS(INDEX($AH$2:$AH$1001,MATCH(ROWS($AF$2:AF650),$AF$2:$AF$1001,0),0), INDEX($AM$1004:$BM$1004,1,MATCH(COLUMNS($AM$1006:AR1006),$AM$1006:$BM$1006,0)))),"Fix")))</f>
        <v xml:space="preserve"> </v>
      </c>
      <c r="H650" s="4" t="str">
        <f ca="1">IF(OR(INDEX($AG$2:$AG$1001,MATCH(ROWS($AF$2:AF650),$AF$2:$AF$1001,0),1)&gt;=100000,INDEX($AM$1005:$BM$1005,1,MATCH(COLUMNS($AM$1006:AS1006),$AM$1006:$BM$1006,0))&gt;=100000), " ",IF(INDEX($AM$2:$BM$1001,MATCH(ROWS($AF$2:AF650),$AF$2:$AF$1001,0),MATCH(COLUMNS($AM$1006:AS1006),$AM$1006:$BM$1006,0)), HYPERLINK("#",""), HYPERLINK(CONCATENATE("#metadata!", ADDRESS(INDEX($AH$2:$AH$1001,MATCH(ROWS($AF$2:AF650),$AF$2:$AF$1001,0),0), INDEX($AM$1004:$BM$1004,1,MATCH(COLUMNS($AM$1006:AS1006),$AM$1006:$BM$1006,0)))),"Fix")))</f>
        <v xml:space="preserve"> </v>
      </c>
      <c r="I650" s="4" t="str">
        <f ca="1">IF(OR(INDEX($AG$2:$AG$1001,MATCH(ROWS($AF$2:AF650),$AF$2:$AF$1001,0),1)&gt;=100000,INDEX($AM$1005:$BM$1005,1,MATCH(COLUMNS($AM$1006:AT1006),$AM$1006:$BM$1006,0))&gt;=100000), " ",IF(INDEX($AM$2:$BM$1001,MATCH(ROWS($AF$2:AF650),$AF$2:$AF$1001,0),MATCH(COLUMNS($AM$1006:AT1006),$AM$1006:$BM$1006,0)), HYPERLINK("#",""), HYPERLINK(CONCATENATE("#metadata!", ADDRESS(INDEX($AH$2:$AH$1001,MATCH(ROWS($AF$2:AF650),$AF$2:$AF$1001,0),0), INDEX($AM$1004:$BM$1004,1,MATCH(COLUMNS($AM$1006:AT1006),$AM$1006:$BM$1006,0)))),"Fix")))</f>
        <v xml:space="preserve"> </v>
      </c>
      <c r="J650" s="4" t="str">
        <f ca="1">IF(OR(INDEX($AG$2:$AG$1001,MATCH(ROWS($AF$2:AF650),$AF$2:$AF$1001,0),1)&gt;=100000,INDEX($AM$1005:$BM$1005,1,MATCH(COLUMNS($AM$1006:AU1006),$AM$1006:$BM$1006,0))&gt;=100000), " ",IF(INDEX($AM$2:$BM$1001,MATCH(ROWS($AF$2:AF650),$AF$2:$AF$1001,0),MATCH(COLUMNS($AM$1006:AU1006),$AM$1006:$BM$1006,0)), HYPERLINK("#",""), HYPERLINK(CONCATENATE("#metadata!", ADDRESS(INDEX($AH$2:$AH$1001,MATCH(ROWS($AF$2:AF650),$AF$2:$AF$1001,0),0), INDEX($AM$1004:$BM$1004,1,MATCH(COLUMNS($AM$1006:AU1006),$AM$1006:$BM$1006,0)))),"Fix")))</f>
        <v xml:space="preserve"> </v>
      </c>
      <c r="K650" s="4" t="str">
        <f ca="1">IF(OR(INDEX($AG$2:$AG$1001,MATCH(ROWS($AF$2:AF650),$AF$2:$AF$1001,0),1)&gt;=100000,INDEX($AM$1005:$BM$1005,1,MATCH(COLUMNS($AM$1006:AV1006),$AM$1006:$BM$1006,0))&gt;=100000), " ",IF(INDEX($AM$2:$BM$1001,MATCH(ROWS($AF$2:AF650),$AF$2:$AF$1001,0),MATCH(COLUMNS($AM$1006:AV1006),$AM$1006:$BM$1006,0)), HYPERLINK("#",""), HYPERLINK(CONCATENATE("#metadata!", ADDRESS(INDEX($AH$2:$AH$1001,MATCH(ROWS($AF$2:AF650),$AF$2:$AF$1001,0),0), INDEX($AM$1004:$BM$1004,1,MATCH(COLUMNS($AM$1006:AV1006),$AM$1006:$BM$1006,0)))),"Fix")))</f>
        <v xml:space="preserve"> </v>
      </c>
      <c r="L650" s="4" t="str">
        <f ca="1">IF(OR(INDEX($AG$2:$AG$1001,MATCH(ROWS($AF$2:AF650),$AF$2:$AF$1001,0),1)&gt;=100000,INDEX($AM$1005:$BM$1005,1,MATCH(COLUMNS($AM$1006:AW1006),$AM$1006:$BM$1006,0))&gt;=100000), " ",IF(INDEX($AM$2:$BM$1001,MATCH(ROWS($AF$2:AF650),$AF$2:$AF$1001,0),MATCH(COLUMNS($AM$1006:AW1006),$AM$1006:$BM$1006,0)), HYPERLINK("#",""), HYPERLINK(CONCATENATE("#metadata!", ADDRESS(INDEX($AH$2:$AH$1001,MATCH(ROWS($AF$2:AF650),$AF$2:$AF$1001,0),0), INDEX($AM$1004:$BM$1004,1,MATCH(COLUMNS($AM$1006:AW1006),$AM$1006:$BM$1006,0)))),"Fix")))</f>
        <v xml:space="preserve"> </v>
      </c>
      <c r="M650" s="4" t="str">
        <f ca="1">IF(OR(INDEX($AG$2:$AG$1001,MATCH(ROWS($AF$2:AF650),$AF$2:$AF$1001,0),1)&gt;=100000,INDEX($AM$1005:$BM$1005,1,MATCH(COLUMNS($AM$1006:AX1006),$AM$1006:$BM$1006,0))&gt;=100000), " ",IF(INDEX($AM$2:$BM$1001,MATCH(ROWS($AF$2:AF650),$AF$2:$AF$1001,0),MATCH(COLUMNS($AM$1006:AX1006),$AM$1006:$BM$1006,0)), HYPERLINK("#",""), HYPERLINK(CONCATENATE("#metadata!", ADDRESS(INDEX($AH$2:$AH$1001,MATCH(ROWS($AF$2:AF650),$AF$2:$AF$1001,0),0), INDEX($AM$1004:$BM$1004,1,MATCH(COLUMNS($AM$1006:AX1006),$AM$1006:$BM$1006,0)))),"Fix")))</f>
        <v xml:space="preserve"> </v>
      </c>
      <c r="N650" s="4" t="str">
        <f ca="1">IF(OR(INDEX($AG$2:$AG$1001,MATCH(ROWS($AF$2:AF650),$AF$2:$AF$1001,0),1)&gt;=100000,INDEX($AM$1005:$BM$1005,1,MATCH(COLUMNS($AM$1006:AY1006),$AM$1006:$BM$1006,0))&gt;=100000), " ",IF(INDEX($AM$2:$BM$1001,MATCH(ROWS($AF$2:AF650),$AF$2:$AF$1001,0),MATCH(COLUMNS($AM$1006:AY1006),$AM$1006:$BM$1006,0)), HYPERLINK("#",""), HYPERLINK(CONCATENATE("#metadata!", ADDRESS(INDEX($AH$2:$AH$1001,MATCH(ROWS($AF$2:AF650),$AF$2:$AF$1001,0),0), INDEX($AM$1004:$BM$1004,1,MATCH(COLUMNS($AM$1006:AY1006),$AM$1006:$BM$1006,0)))),"Fix")))</f>
        <v xml:space="preserve"> </v>
      </c>
      <c r="O650" s="4" t="str">
        <f ca="1">IF(OR(INDEX($AG$2:$AG$1001,MATCH(ROWS($AF$2:AF650),$AF$2:$AF$1001,0),1)&gt;=100000,INDEX($AM$1005:$BM$1005,1,MATCH(COLUMNS($AM$1006:AZ1006),$AM$1006:$BM$1006,0))&gt;=100000), " ",IF(INDEX($AM$2:$BM$1001,MATCH(ROWS($AF$2:AF650),$AF$2:$AF$1001,0),MATCH(COLUMNS($AM$1006:AZ1006),$AM$1006:$BM$1006,0)), HYPERLINK("#",""), HYPERLINK(CONCATENATE("#metadata!", ADDRESS(INDEX($AH$2:$AH$1001,MATCH(ROWS($AF$2:AF650),$AF$2:$AF$1001,0),0), INDEX($AM$1004:$BM$1004,1,MATCH(COLUMNS($AM$1006:AZ1006),$AM$1006:$BM$1006,0)))),"Fix")))</f>
        <v xml:space="preserve"> </v>
      </c>
      <c r="P650" s="4" t="str">
        <f ca="1">IF(OR(INDEX($AG$2:$AG$1001,MATCH(ROWS($AF$2:AF650),$AF$2:$AF$1001,0),1)&gt;=100000,INDEX($AM$1005:$BM$1005,1,MATCH(COLUMNS($AM$1006:BA1006),$AM$1006:$BM$1006,0))&gt;=100000), " ",IF(INDEX($AM$2:$BM$1001,MATCH(ROWS($AF$2:AF650),$AF$2:$AF$1001,0),MATCH(COLUMNS($AM$1006:BA1006),$AM$1006:$BM$1006,0)), HYPERLINK("#",""), HYPERLINK(CONCATENATE("#metadata!", ADDRESS(INDEX($AH$2:$AH$1001,MATCH(ROWS($AF$2:AF650),$AF$2:$AF$1001,0),0), INDEX($AM$1004:$BM$1004,1,MATCH(COLUMNS($AM$1006:BA1006),$AM$1006:$BM$1006,0)))),"Fix")))</f>
        <v xml:space="preserve"> </v>
      </c>
      <c r="Q650" s="4" t="str">
        <f ca="1">IF(OR(INDEX($AG$2:$AG$1001,MATCH(ROWS($AF$2:AF650),$AF$2:$AF$1001,0),1)&gt;=100000,INDEX($AM$1005:$BM$1005,1,MATCH(COLUMNS($AM$1006:BB1006),$AM$1006:$BM$1006,0))&gt;=100000), " ",IF(INDEX($AM$2:$BM$1001,MATCH(ROWS($AF$2:AF650),$AF$2:$AF$1001,0),MATCH(COLUMNS($AM$1006:BB1006),$AM$1006:$BM$1006,0)), HYPERLINK("#",""), HYPERLINK(CONCATENATE("#metadata!", ADDRESS(INDEX($AH$2:$AH$1001,MATCH(ROWS($AF$2:AF650),$AF$2:$AF$1001,0),0), INDEX($AM$1004:$BM$1004,1,MATCH(COLUMNS($AM$1006:BB1006),$AM$1006:$BM$1006,0)))),"Fix")))</f>
        <v xml:space="preserve"> </v>
      </c>
      <c r="R650" s="4" t="str">
        <f ca="1">IF(OR(INDEX($AG$2:$AG$1001,MATCH(ROWS($AF$2:AF650),$AF$2:$AF$1001,0),1)&gt;=100000,INDEX($AM$1005:$BM$1005,1,MATCH(COLUMNS($AM$1006:BC1006),$AM$1006:$BM$1006,0))&gt;=100000), " ",IF(INDEX($AM$2:$BM$1001,MATCH(ROWS($AF$2:AF650),$AF$2:$AF$1001,0),MATCH(COLUMNS($AM$1006:BC1006),$AM$1006:$BM$1006,0)), HYPERLINK("#",""), HYPERLINK(CONCATENATE("#metadata!", ADDRESS(INDEX($AH$2:$AH$1001,MATCH(ROWS($AF$2:AF650),$AF$2:$AF$1001,0),0), INDEX($AM$1004:$BM$1004,1,MATCH(COLUMNS($AM$1006:BC1006),$AM$1006:$BM$1006,0)))),"Fix")))</f>
        <v xml:space="preserve"> </v>
      </c>
      <c r="S650" s="4" t="str">
        <f ca="1">IF(OR(INDEX($AG$2:$AG$1001,MATCH(ROWS($AF$2:AF650),$AF$2:$AF$1001,0),1)&gt;=100000,INDEX($AM$1005:$BM$1005,1,MATCH(COLUMNS($AM$1006:BD1006),$AM$1006:$BM$1006,0))&gt;=100000), " ",IF(INDEX($AM$2:$BM$1001,MATCH(ROWS($AF$2:AF650),$AF$2:$AF$1001,0),MATCH(COLUMNS($AM$1006:BD1006),$AM$1006:$BM$1006,0)), HYPERLINK("#",""), HYPERLINK(CONCATENATE("#metadata!", ADDRESS(INDEX($AH$2:$AH$1001,MATCH(ROWS($AF$2:AF650),$AF$2:$AF$1001,0),0), INDEX($AM$1004:$BM$1004,1,MATCH(COLUMNS($AM$1006:BD1006),$AM$1006:$BM$1006,0)))),"Fix")))</f>
        <v xml:space="preserve"> </v>
      </c>
      <c r="T650" s="4" t="str">
        <f ca="1">IF(OR(INDEX($AG$2:$AG$1001,MATCH(ROWS($AF$2:AF650),$AF$2:$AF$1001,0),1)&gt;=100000,INDEX($AM$1005:$BM$1005,1,MATCH(COLUMNS($AM$1006:BE1006),$AM$1006:$BM$1006,0))&gt;=100000), " ",IF(INDEX($AM$2:$BM$1001,MATCH(ROWS($AF$2:AF650),$AF$2:$AF$1001,0),MATCH(COLUMNS($AM$1006:BE1006),$AM$1006:$BM$1006,0)), HYPERLINK("#",""), HYPERLINK(CONCATENATE("#metadata!", ADDRESS(INDEX($AH$2:$AH$1001,MATCH(ROWS($AF$2:AF650),$AF$2:$AF$1001,0),0), INDEX($AM$1004:$BM$1004,1,MATCH(COLUMNS($AM$1006:BE1006),$AM$1006:$BM$1006,0)))),"Fix")))</f>
        <v xml:space="preserve"> </v>
      </c>
      <c r="U650" s="4" t="str">
        <f ca="1">IF(OR(INDEX($AG$2:$AG$1001,MATCH(ROWS($AF$2:AF650),$AF$2:$AF$1001,0),1)&gt;=100000,INDEX($AM$1005:$BM$1005,1,MATCH(COLUMNS($AM$1006:BF1006),$AM$1006:$BM$1006,0))&gt;=100000), " ",IF(INDEX($AM$2:$BM$1001,MATCH(ROWS($AF$2:AF650),$AF$2:$AF$1001,0),MATCH(COLUMNS($AM$1006:BF1006),$AM$1006:$BM$1006,0)), HYPERLINK("#",""), HYPERLINK(CONCATENATE("#metadata!", ADDRESS(INDEX($AH$2:$AH$1001,MATCH(ROWS($AF$2:AF650),$AF$2:$AF$1001,0),0), INDEX($AM$1004:$BM$1004,1,MATCH(COLUMNS($AM$1006:BF1006),$AM$1006:$BM$1006,0)))),"Fix")))</f>
        <v xml:space="preserve"> </v>
      </c>
      <c r="V650" s="4" t="str">
        <f ca="1">IF(OR(INDEX($AG$2:$AG$1001,MATCH(ROWS($AF$2:AF650),$AF$2:$AF$1001,0),1)&gt;=100000,INDEX($AM$1005:$BM$1005,1,MATCH(COLUMNS($AM$1006:BG1006),$AM$1006:$BM$1006,0))&gt;=100000), " ",IF(INDEX($AM$2:$BM$1001,MATCH(ROWS($AF$2:AF650),$AF$2:$AF$1001,0),MATCH(COLUMNS($AM$1006:BG1006),$AM$1006:$BM$1006,0)), HYPERLINK("#",""), HYPERLINK(CONCATENATE("#metadata!", ADDRESS(INDEX($AH$2:$AH$1001,MATCH(ROWS($AF$2:AF650),$AF$2:$AF$1001,0),0), INDEX($AM$1004:$BM$1004,1,MATCH(COLUMNS($AM$1006:BG1006),$AM$1006:$BM$1006,0)))),"Fix")))</f>
        <v xml:space="preserve"> </v>
      </c>
      <c r="W650" s="4" t="str">
        <f ca="1">IF(OR(INDEX($AG$2:$AG$1001,MATCH(ROWS($AF$2:AF650),$AF$2:$AF$1001,0),1)&gt;=100000,INDEX($AM$1005:$BM$1005,1,MATCH(COLUMNS($AM$1006:BH1006),$AM$1006:$BM$1006,0))&gt;=100000), " ",IF(INDEX($AM$2:$BM$1001,MATCH(ROWS($AF$2:AF650),$AF$2:$AF$1001,0),MATCH(COLUMNS($AM$1006:BH1006),$AM$1006:$BM$1006,0)), HYPERLINK("#",""), HYPERLINK(CONCATENATE("#metadata!", ADDRESS(INDEX($AH$2:$AH$1001,MATCH(ROWS($AF$2:AF650),$AF$2:$AF$1001,0),0), INDEX($AM$1004:$BM$1004,1,MATCH(COLUMNS($AM$1006:BH1006),$AM$1006:$BM$1006,0)))),"Fix")))</f>
        <v xml:space="preserve"> </v>
      </c>
      <c r="X650" s="4" t="str">
        <f ca="1">IF(OR(INDEX($AG$2:$AG$1001,MATCH(ROWS($AF$2:AF650),$AF$2:$AF$1001,0),1)&gt;=100000,INDEX($AM$1005:$BM$1005,1,MATCH(COLUMNS($AM$1006:BI1006),$AM$1006:$BM$1006,0))&gt;=100000), " ",IF(INDEX($AM$2:$BM$1001,MATCH(ROWS($AF$2:AF650),$AF$2:$AF$1001,0),MATCH(COLUMNS($AM$1006:BI1006),$AM$1006:$BM$1006,0)), HYPERLINK("#",""), HYPERLINK(CONCATENATE("#metadata!", ADDRESS(INDEX($AH$2:$AH$1001,MATCH(ROWS($AF$2:AF650),$AF$2:$AF$1001,0),0), INDEX($AM$1004:$BM$1004,1,MATCH(COLUMNS($AM$1006:BI1006),$AM$1006:$BM$1006,0)))),"Fix")))</f>
        <v xml:space="preserve"> </v>
      </c>
      <c r="Y650" s="4" t="str">
        <f ca="1">IF(OR(INDEX($AG$2:$AG$1001,MATCH(ROWS($AF$2:AF650),$AF$2:$AF$1001,0),1)&gt;=100000,INDEX($AM$1005:$BM$1005,1,MATCH(COLUMNS($AM$1006:BJ1006),$AM$1006:$BM$1006,0))&gt;=100000), " ",IF(INDEX($AM$2:$BM$1001,MATCH(ROWS($AF$2:AF650),$AF$2:$AF$1001,0),MATCH(COLUMNS($AM$1006:BJ1006),$AM$1006:$BM$1006,0)), HYPERLINK("#",""), HYPERLINK(CONCATENATE("#metadata!", ADDRESS(INDEX($AH$2:$AH$1001,MATCH(ROWS($AF$2:AF650),$AF$2:$AF$1001,0),0), INDEX($AM$1004:$BM$1004,1,MATCH(COLUMNS($AM$1006:BJ1006),$AM$1006:$BM$1006,0)))),"Fix")))</f>
        <v xml:space="preserve"> </v>
      </c>
      <c r="Z650" s="4" t="str">
        <f ca="1">IF(OR(INDEX($AG$2:$AG$1001,MATCH(ROWS($AF$2:AF650),$AF$2:$AF$1001,0),1)&gt;=100000,INDEX($AM$1005:$BM$1005,1,MATCH(COLUMNS($AM$1006:BK1006),$AM$1006:$BM$1006,0))&gt;=100000), " ",IF(INDEX($AM$2:$BM$1001,MATCH(ROWS($AF$2:AF650),$AF$2:$AF$1001,0),MATCH(COLUMNS($AM$1006:BK1006),$AM$1006:$BM$1006,0)), HYPERLINK("#",""), HYPERLINK(CONCATENATE("#metadata!", ADDRESS(INDEX($AH$2:$AH$1001,MATCH(ROWS($AF$2:AF650),$AF$2:$AF$1001,0),0), INDEX($AM$1004:$BM$1004,1,MATCH(COLUMNS($AM$1006:BK1006),$AM$1006:$BM$1006,0)))),"Fix")))</f>
        <v xml:space="preserve"> </v>
      </c>
      <c r="AA650" s="4" t="str">
        <f ca="1">IF(OR(INDEX($AG$2:$AG$1001,MATCH(ROWS($AF$2:AF650),$AF$2:$AF$1001,0),1)&gt;=100000,INDEX($AM$1005:$BM$1005,1,MATCH(COLUMNS($AM$1006:BL1006),$AM$1006:$BM$1006,0))&gt;=100000), " ",IF(INDEX($AM$2:$BM$1001,MATCH(ROWS($AF$2:AF650),$AF$2:$AF$1001,0),MATCH(COLUMNS($AM$1006:BL1006),$AM$1006:$BM$1006,0)), HYPERLINK("#",""), HYPERLINK(CONCATENATE("#metadata!", ADDRESS(INDEX($AH$2:$AH$1001,MATCH(ROWS($AF$2:AF650),$AF$2:$AF$1001,0),0), INDEX($AM$1004:$BM$1004,1,MATCH(COLUMNS($AM$1006:BL1006),$AM$1006:$BM$1006,0)))),"Fix")))</f>
        <v xml:space="preserve"> </v>
      </c>
      <c r="AB650" s="4" t="str">
        <f ca="1">IF(OR(INDEX($AG$2:$AG$1001,MATCH(ROWS($AF$2:AF650),$AF$2:$AF$1001,0),1)&gt;=100000,INDEX($AM$1005:$BM$1005,1,MATCH(COLUMNS($AM$1006:BM1006),$AM$1006:$BM$1006,0))&gt;=100000), " ",IF(INDEX($AM$2:$BM$1001,MATCH(ROWS($AF$2:AF650),$AF$2:$AF$1001,0),MATCH(COLUMNS($AM$1006:BM1006),$AM$1006:$BM$1006,0)), HYPERLINK("#",""), HYPERLINK(CONCATENATE("#metadata!", ADDRESS(INDEX($AH$2:$AH$1001,MATCH(ROWS($AF$2:AF650),$AF$2:$AF$1001,0),0), INDEX($AM$1004:$BM$1004,1,MATCH(COLUMNS($AM$1006:BM1006),$AM$1006:$BM$1006,0)))),"Fix")))</f>
        <v xml:space="preserve"> </v>
      </c>
      <c r="AF650">
        <v>649</v>
      </c>
      <c r="AG650">
        <v>100650</v>
      </c>
      <c r="AH650">
        <v>650</v>
      </c>
      <c r="AI650" t="b">
        <f t="shared" si="10"/>
        <v>1</v>
      </c>
      <c r="AJ650" t="b">
        <f>COUNTBLANK(metadata!B650:AB650)=COLUMNS(metadata!B650:AB650)</f>
        <v>1</v>
      </c>
      <c r="AK650" t="str">
        <v/>
      </c>
      <c r="AM650" t="b">
        <f ca="1">AND(IF(metadata!B650="",FALSE,TRUE),COUNTIF(metadata!B:B, metadata!B650) = 1,NOT(ISERROR(SUMPRODUCT(SEARCH(MID(metadata!B650,ROW(INDIRECT("1:"&amp;LEN(metadata!B650))), 1),"0123456789abcdefghijklmnopqrstuvwxyzABCDEFGHIJKLMNOPQRSTUVWXYZ.")))))</f>
        <v>0</v>
      </c>
      <c r="AN650" t="b">
        <f ca="1">OR(AND(IF(metadata!C650="",FALSE,TRUE),OR(EXACT(metadata!C650,"missing: not collected"),EXACT(metadata!C650,"missing: not provided"),EXACT(metadata!C650,"missing: restricted access"))),AND(IF(metadata!C650="",FALSE,TRUE),AND(AND(IFERROR(INT(LEFT(metadata!C650,4))&gt;1900,FALSE),IFERROR(INT(LEFT(metadata!C650,4))&lt;=YEAR(NOW()),FALSE)), OR(MID(metadata!C650,5,1)="", AND(AND(MID(metadata!C650,5,1)="-",IFERROR(INT(MID(metadata!C650,6,1))&gt;=0,FALSE),IFERROR(INT(MID(metadata!C650,6,1))&lt;=1,FALSE),NOT(MID(metadata!C650,7,1)=""),IFERROR(INT(MID(metadata!C650,6,2))&gt;=1,FALSE),IFERROR(INT(MID(metadata!C650,6,2))&lt;=12,FALSE)), OR(MID(metadata!C650,8,1)="", AND(AND(MID(metadata!C650,8,1)="-",IFERROR(INT(MID(metadata!C650,9,1))&gt;=0,FALSE),IFERROR(INT(MID(metadata!C650,9,1))&lt;=3,FALSE),NOT(MID(metadata!C650,10,1)=""),IFERROR(INT(MID(metadata!C650,9,2))&gt;=1,FALSE),IFERROR(INT(MID(metadata!C650,9,2))&lt;=31,FALSE)), OR(MID(metadata!C650,11,1)="", AND(AND(MID(metadata!C650,11,1)=" ",IFERROR(INT(MID(metadata!C650,12,1))&gt;=0,FALSE),IFERROR(INT(MID(metadata!C650,12,1))&lt;=2,FALSE),NOT(MID(metadata!C650,13,1)=""),IFERROR(INT(MID(metadata!C650,12,2))&gt;=0,FALSE),IFERROR(INT(MID(metadata!C650,12,2))&lt;=23,FALSE)), OR(MID(metadata!C650,14,1)="", AND(AND(MID(metadata!C650,14,1)=":",IFERROR(INT(MID(metadata!C650,15,1))&gt;=0,FALSE),IFERROR(INT(MID(metadata!C650,15,1))&lt;=5,FALSE),NOT(MID(metadata!C650,16,1)=""),IFERROR(INT(MID(metadata!C650,15,2))&gt;=0,FALSE),IFERROR(INT(MID(metadata!C650,15,2))&lt;=59,FALSE)), OR(MID(metadata!C650,17,1)="", AND(AND(MID(metadata!C650,17,1)=":",IFERROR(INT(MID(metadata!C650,18,1))&gt;=0,FALSE),IFERROR(INT(MID(metadata!C650,18,1))&lt;=5,FALSE),NOT(MID(metadata!C650,19,1)=""),IFERROR(INT(MID(metadata!C650,18,2))&gt;=0,FALSE),IFERROR(INT(MID(metadata!C650,18,2))&lt;=59,FALSE)), LEN(metadata!C650)&lt;=19)))))))))))))</f>
        <v>0</v>
      </c>
      <c r="AO650" t="b">
        <f>AND(IF(metadata!D650="",FALSE,TRUE),EXACT(metadata!D650,"Not applicable"))</f>
        <v>0</v>
      </c>
      <c r="AP650" t="b">
        <f>IF(metadata!E650="",FALSE,TRUE)</f>
        <v>0</v>
      </c>
      <c r="AQ650" t="b">
        <f>OR(AND(IF(metadata!F650="",FALSE,TRUE),OR(EXACT(metadata!F650,"missing: not collected"),EXACT(metadata!F650,"missing: not provided"))),AND(IF(metadata!F650="",FALSE,TRUE),OR(EXACT(metadata!F650,"TRUE"),EXACT(metadata!F650,"FALSE"))))</f>
        <v>0</v>
      </c>
      <c r="AR650" t="b">
        <f>OR(AND(IF(metadata!G650="",FALSE,TRUE),OR(EXACT(metadata!G650,"missing: not collected"),EXACT(metadata!G650,"missing: not provided"),EXACT(metadata!G650,"missing: restricted access"))),AND(IF(metadata!G650="",FALSE,ISNUMBER(VALUE(metadata!G650))),metadata!G650&gt;=-413))</f>
        <v>0</v>
      </c>
      <c r="AS650" t="b">
        <f>AND(IF(metadata!H650="",FALSE,TRUE),EXACT(metadata!H650,"meters"))</f>
        <v>0</v>
      </c>
      <c r="AT650" t="b">
        <f>AND(IF(metadata!I650="",FALSE,TRUE),OR(EXACT(metadata!I650,"Host-associated"),EXACT(metadata!I650,"Free-living")))</f>
        <v>0</v>
      </c>
      <c r="AU650" t="b">
        <f>AND(IF(metadata!J650="",FALSE,TRUE),OR(EXACT(metadata!J650,"Animal"),EXACT(metadata!J650,"Fungus"),EXACT(metadata!J650,"Plant"),EXACT(metadata!J650,"Saline"),EXACT(metadata!J650,"Non-saline")))</f>
        <v>0</v>
      </c>
      <c r="AV650" t="b">
        <f>AND(IF(metadata!K650="",FALSE,TRUE),OR(EXACT(metadata!K650,"Plant secretion"),EXACT(metadata!K650,"Plant rhizosphere"),EXACT(metadata!K650,"Plant surface"),EXACT(metadata!K650,"Plant corpus"),EXACT(metadata!K650,"Fungus surface"),EXACT(metadata!K650,"Fungus corpus"),EXACT(metadata!K650,"Animal surface"),EXACT(metadata!K650,"Animal proximal gut"),EXACT(metadata!K650,"Animal corpus"),EXACT(metadata!K650,"Animal distal gut"),EXACT(metadata!K650,"Animal secretion"),EXACT(metadata!K650,"Sub-surface (non-saline)"),EXACT(metadata!K650,"Surface (non-saline)"),EXACT(metadata!K650,"Water (non-saline)"),EXACT(metadata!K650,"Soil (non-saline)"),EXACT(metadata!K650,"Aerosol (non-saline)"),EXACT(metadata!K650,"Sediment (non-saline)"),EXACT(metadata!K650,"Surface (saline)"),EXACT(metadata!K650,"Water (saline)"),EXACT(metadata!K650,"Hypersaline (saline)"),EXACT(metadata!K650,"Aerosol (saline)"),EXACT(metadata!K650,"Sediment (saline)")))</f>
        <v>0</v>
      </c>
      <c r="AW650" t="b">
        <f>IF(metadata!L650="",FALSE,TRUE)</f>
        <v>0</v>
      </c>
      <c r="AX650" t="b">
        <f>IF(metadata!M650="",FALSE,TRUE)</f>
        <v>0</v>
      </c>
      <c r="AY650" t="b">
        <f>IF(metadata!N650="",FALSE,TRUE)</f>
        <v>0</v>
      </c>
      <c r="AZ650" t="b">
        <f>OR(AND(IF(metadata!O650="",FALSE,TRUE),OR(EXACT(metadata!O650,"missing: not collected"),EXACT(metadata!O650,"missing: not provided"),EXACT(metadata!O650,"missing: restricted access"))),AND(IF(metadata!O650="",FALSE,TRUE),OR(EXACT(metadata!O650,"air"),EXACT(metadata!O650,"built environment"),EXACT(metadata!O650,"host-associated"),EXACT(metadata!O650,"human-associated"),EXACT(metadata!O650,"human-skin"),EXACT(metadata!O650,"human-oral"),EXACT(metadata!O650,"human-gut"),EXACT(metadata!O650,"human-vaginal"),EXACT(metadata!O650,"microbial mat/biofilm"),EXACT(metadata!O650,"misc environment"),EXACT(metadata!O650,"plant-associated"),EXACT(metadata!O650,"sediment"),EXACT(metadata!O650,"soil"),EXACT(metadata!O650,"wastewater/sludge"),EXACT(metadata!O650,"water"))))</f>
        <v>0</v>
      </c>
      <c r="BA650" t="b">
        <f>IF(metadata!P650="",FALSE,TRUE)</f>
        <v>0</v>
      </c>
      <c r="BB650" t="b">
        <f>IF(metadata!Q650="",FALSE,TRUE)</f>
        <v>0</v>
      </c>
      <c r="BC650" t="b">
        <f>OR(AND(IF(metadata!R650="",FALSE,TRUE),OR(EXACT(metadata!R650,"missing: not collected"),EXACT(metadata!R650,"missing: not provided"),EXACT(metadata!R650,"missing: restricted access"))),AND(IF(metadata!R650="",FALSE,ISNUMBER(VALUE(metadata!R650))),metadata!R650&gt;=-90,metadata!R650&lt;=90))</f>
        <v>0</v>
      </c>
      <c r="BD650" t="b">
        <f>AND(IF(metadata!S650="",FALSE,TRUE),EXACT(metadata!S650,"Decimal degrees"))</f>
        <v>0</v>
      </c>
      <c r="BE650" t="b">
        <f>OR(AND(IF(metadata!T650="",FALSE,TRUE),OR(EXACT(metadata!T650,"missing: not collected"),EXACT(metadata!T650,"missing: not provided"),EXACT(metadata!T650,"missing: restricted access"))),AND(IF(metadata!T650="",FALSE,ISNUMBER(VALUE(metadata!T650))),metadata!T650&gt;=-180,metadata!T650&lt;=180))</f>
        <v>0</v>
      </c>
      <c r="BF650" t="b">
        <f>AND(IF(metadata!U650="",FALSE,TRUE),EXACT(metadata!U650,"Decimal degrees"))</f>
        <v>0</v>
      </c>
      <c r="BG650" t="b">
        <f>IF(metadata!V650="",FALSE,TRUE)</f>
        <v>0</v>
      </c>
      <c r="BH650" t="b">
        <f>OR(AND(IF(metadata!W650="",FALSE,TRUE),OR(EXACT(metadata!W650,"missing: not collected"),EXACT(metadata!W650,"missing: not provided"),EXACT(metadata!W650,"missing: restricted access"))),AND(IF(metadata!W650="",FALSE,TRUE),OR(EXACT(metadata!W650,"TRUE"),EXACT(metadata!W650,"FALSE"))))</f>
        <v>0</v>
      </c>
      <c r="BI650" t="b">
        <f>AND(IF(metadata!X650="",FALSE,TRUE),EXACT(metadata!X650,"other"))</f>
        <v>0</v>
      </c>
      <c r="BJ650" t="b">
        <f>IF(metadata!Y650="",FALSE,TRUE)</f>
        <v>0</v>
      </c>
      <c r="BK650" t="b">
        <f>OR(AND(IF(metadata!Z650="",FALSE,TRUE),OR(EXACT(metadata!Z650,"missing: not collected"),EXACT(metadata!Z650,"missing: not provided"))),AND(IF(metadata!Z650="",FALSE,IF(ISERROR(INT(metadata!Z650)),FALSE,INT(metadata!Z650)=metadata!Z650)),metadata!Z650&gt;0))</f>
        <v>0</v>
      </c>
      <c r="BL650" t="b">
        <f>AND(IF(metadata!AA650="",FALSE,TRUE),EXACT(metadata!AA650,"Not applicable"))</f>
        <v>0</v>
      </c>
      <c r="BM650" t="b">
        <f>IF(metadata!AB650="",FALSE,TRUE)</f>
        <v>0</v>
      </c>
    </row>
    <row r="651" spans="1:65" x14ac:dyDescent="0.2">
      <c r="A651" s="5" t="str">
        <f ca="1">IF(B651=" "," ",HYPERLINK(CONCATENATE("#metadata!",ADDRESS(INDEX($AH$2:$AH$1001,MATCH(ROWS($AF$2:AF651),$AF$2:$AF$1001,0),0),1)),INDEX($AK$2:$AK$1001,MATCH(ROWS($AF$2:AF651),$AF$2:$AF$1001,0),0)))</f>
        <v xml:space="preserve"> </v>
      </c>
      <c r="B651" s="4" t="str">
        <f ca="1">IF(OR(INDEX($AG$2:$AG$1001,MATCH(ROWS($AF$2:AF651),$AF$2:$AF$1001,0),1)&gt;=100000,INDEX($AM$1005:$BM$1005,1,MATCH(COLUMNS($AM$1006:AM1006),$AM$1006:$BM$1006,0))&gt;=100000), " ",IF(INDEX($AM$2:$BM$1001,MATCH(ROWS($AF$2:AF651),$AF$2:$AF$1001,0),MATCH(COLUMNS($AM$1006:AM1006),$AM$1006:$BM$1006,0)), HYPERLINK("#",""), HYPERLINK(CONCATENATE("#metadata!", ADDRESS(INDEX($AH$2:$AH$1001,MATCH(ROWS($AF$2:AF651),$AF$2:$AF$1001,0),0), INDEX($AM$1004:$BM$1004,1,MATCH(COLUMNS($AM$1006:AM1006),$AM$1006:$BM$1006,0)))),"Fix")))</f>
        <v xml:space="preserve"> </v>
      </c>
      <c r="C651" s="4" t="str">
        <f ca="1">IF(OR(INDEX($AG$2:$AG$1001,MATCH(ROWS($AF$2:AF651),$AF$2:$AF$1001,0),1)&gt;=100000,INDEX($AM$1005:$BM$1005,1,MATCH(COLUMNS($AM$1006:AN1006),$AM$1006:$BM$1006,0))&gt;=100000), " ",IF(INDEX($AM$2:$BM$1001,MATCH(ROWS($AF$2:AF651),$AF$2:$AF$1001,0),MATCH(COLUMNS($AM$1006:AN1006),$AM$1006:$BM$1006,0)), HYPERLINK("#",""), HYPERLINK(CONCATENATE("#metadata!", ADDRESS(INDEX($AH$2:$AH$1001,MATCH(ROWS($AF$2:AF651),$AF$2:$AF$1001,0),0), INDEX($AM$1004:$BM$1004,1,MATCH(COLUMNS($AM$1006:AN1006),$AM$1006:$BM$1006,0)))),"Fix")))</f>
        <v xml:space="preserve"> </v>
      </c>
      <c r="D651" s="4" t="str">
        <f ca="1">IF(OR(INDEX($AG$2:$AG$1001,MATCH(ROWS($AF$2:AF651),$AF$2:$AF$1001,0),1)&gt;=100000,INDEX($AM$1005:$BM$1005,1,MATCH(COLUMNS($AM$1006:AO1006),$AM$1006:$BM$1006,0))&gt;=100000), " ",IF(INDEX($AM$2:$BM$1001,MATCH(ROWS($AF$2:AF651),$AF$2:$AF$1001,0),MATCH(COLUMNS($AM$1006:AO1006),$AM$1006:$BM$1006,0)), HYPERLINK("#",""), HYPERLINK(CONCATENATE("#metadata!", ADDRESS(INDEX($AH$2:$AH$1001,MATCH(ROWS($AF$2:AF651),$AF$2:$AF$1001,0),0), INDEX($AM$1004:$BM$1004,1,MATCH(COLUMNS($AM$1006:AO1006),$AM$1006:$BM$1006,0)))),"Fix")))</f>
        <v xml:space="preserve"> </v>
      </c>
      <c r="E651" s="4" t="str">
        <f ca="1">IF(OR(INDEX($AG$2:$AG$1001,MATCH(ROWS($AF$2:AF651),$AF$2:$AF$1001,0),1)&gt;=100000,INDEX($AM$1005:$BM$1005,1,MATCH(COLUMNS($AM$1006:AP1006),$AM$1006:$BM$1006,0))&gt;=100000), " ",IF(INDEX($AM$2:$BM$1001,MATCH(ROWS($AF$2:AF651),$AF$2:$AF$1001,0),MATCH(COLUMNS($AM$1006:AP1006),$AM$1006:$BM$1006,0)), HYPERLINK("#",""), HYPERLINK(CONCATENATE("#metadata!", ADDRESS(INDEX($AH$2:$AH$1001,MATCH(ROWS($AF$2:AF651),$AF$2:$AF$1001,0),0), INDEX($AM$1004:$BM$1004,1,MATCH(COLUMNS($AM$1006:AP1006),$AM$1006:$BM$1006,0)))),"Fix")))</f>
        <v xml:space="preserve"> </v>
      </c>
      <c r="F651" s="4" t="str">
        <f ca="1">IF(OR(INDEX($AG$2:$AG$1001,MATCH(ROWS($AF$2:AF651),$AF$2:$AF$1001,0),1)&gt;=100000,INDEX($AM$1005:$BM$1005,1,MATCH(COLUMNS($AM$1006:AQ1006),$AM$1006:$BM$1006,0))&gt;=100000), " ",IF(INDEX($AM$2:$BM$1001,MATCH(ROWS($AF$2:AF651),$AF$2:$AF$1001,0),MATCH(COLUMNS($AM$1006:AQ1006),$AM$1006:$BM$1006,0)), HYPERLINK("#",""), HYPERLINK(CONCATENATE("#metadata!", ADDRESS(INDEX($AH$2:$AH$1001,MATCH(ROWS($AF$2:AF651),$AF$2:$AF$1001,0),0), INDEX($AM$1004:$BM$1004,1,MATCH(COLUMNS($AM$1006:AQ1006),$AM$1006:$BM$1006,0)))),"Fix")))</f>
        <v xml:space="preserve"> </v>
      </c>
      <c r="G651" s="4" t="str">
        <f ca="1">IF(OR(INDEX($AG$2:$AG$1001,MATCH(ROWS($AF$2:AF651),$AF$2:$AF$1001,0),1)&gt;=100000,INDEX($AM$1005:$BM$1005,1,MATCH(COLUMNS($AM$1006:AR1006),$AM$1006:$BM$1006,0))&gt;=100000), " ",IF(INDEX($AM$2:$BM$1001,MATCH(ROWS($AF$2:AF651),$AF$2:$AF$1001,0),MATCH(COLUMNS($AM$1006:AR1006),$AM$1006:$BM$1006,0)), HYPERLINK("#",""), HYPERLINK(CONCATENATE("#metadata!", ADDRESS(INDEX($AH$2:$AH$1001,MATCH(ROWS($AF$2:AF651),$AF$2:$AF$1001,0),0), INDEX($AM$1004:$BM$1004,1,MATCH(COLUMNS($AM$1006:AR1006),$AM$1006:$BM$1006,0)))),"Fix")))</f>
        <v xml:space="preserve"> </v>
      </c>
      <c r="H651" s="4" t="str">
        <f ca="1">IF(OR(INDEX($AG$2:$AG$1001,MATCH(ROWS($AF$2:AF651),$AF$2:$AF$1001,0),1)&gt;=100000,INDEX($AM$1005:$BM$1005,1,MATCH(COLUMNS($AM$1006:AS1006),$AM$1006:$BM$1006,0))&gt;=100000), " ",IF(INDEX($AM$2:$BM$1001,MATCH(ROWS($AF$2:AF651),$AF$2:$AF$1001,0),MATCH(COLUMNS($AM$1006:AS1006),$AM$1006:$BM$1006,0)), HYPERLINK("#",""), HYPERLINK(CONCATENATE("#metadata!", ADDRESS(INDEX($AH$2:$AH$1001,MATCH(ROWS($AF$2:AF651),$AF$2:$AF$1001,0),0), INDEX($AM$1004:$BM$1004,1,MATCH(COLUMNS($AM$1006:AS1006),$AM$1006:$BM$1006,0)))),"Fix")))</f>
        <v xml:space="preserve"> </v>
      </c>
      <c r="I651" s="4" t="str">
        <f ca="1">IF(OR(INDEX($AG$2:$AG$1001,MATCH(ROWS($AF$2:AF651),$AF$2:$AF$1001,0),1)&gt;=100000,INDEX($AM$1005:$BM$1005,1,MATCH(COLUMNS($AM$1006:AT1006),$AM$1006:$BM$1006,0))&gt;=100000), " ",IF(INDEX($AM$2:$BM$1001,MATCH(ROWS($AF$2:AF651),$AF$2:$AF$1001,0),MATCH(COLUMNS($AM$1006:AT1006),$AM$1006:$BM$1006,0)), HYPERLINK("#",""), HYPERLINK(CONCATENATE("#metadata!", ADDRESS(INDEX($AH$2:$AH$1001,MATCH(ROWS($AF$2:AF651),$AF$2:$AF$1001,0),0), INDEX($AM$1004:$BM$1004,1,MATCH(COLUMNS($AM$1006:AT1006),$AM$1006:$BM$1006,0)))),"Fix")))</f>
        <v xml:space="preserve"> </v>
      </c>
      <c r="J651" s="4" t="str">
        <f ca="1">IF(OR(INDEX($AG$2:$AG$1001,MATCH(ROWS($AF$2:AF651),$AF$2:$AF$1001,0),1)&gt;=100000,INDEX($AM$1005:$BM$1005,1,MATCH(COLUMNS($AM$1006:AU1006),$AM$1006:$BM$1006,0))&gt;=100000), " ",IF(INDEX($AM$2:$BM$1001,MATCH(ROWS($AF$2:AF651),$AF$2:$AF$1001,0),MATCH(COLUMNS($AM$1006:AU1006),$AM$1006:$BM$1006,0)), HYPERLINK("#",""), HYPERLINK(CONCATENATE("#metadata!", ADDRESS(INDEX($AH$2:$AH$1001,MATCH(ROWS($AF$2:AF651),$AF$2:$AF$1001,0),0), INDEX($AM$1004:$BM$1004,1,MATCH(COLUMNS($AM$1006:AU1006),$AM$1006:$BM$1006,0)))),"Fix")))</f>
        <v xml:space="preserve"> </v>
      </c>
      <c r="K651" s="4" t="str">
        <f ca="1">IF(OR(INDEX($AG$2:$AG$1001,MATCH(ROWS($AF$2:AF651),$AF$2:$AF$1001,0),1)&gt;=100000,INDEX($AM$1005:$BM$1005,1,MATCH(COLUMNS($AM$1006:AV1006),$AM$1006:$BM$1006,0))&gt;=100000), " ",IF(INDEX($AM$2:$BM$1001,MATCH(ROWS($AF$2:AF651),$AF$2:$AF$1001,0),MATCH(COLUMNS($AM$1006:AV1006),$AM$1006:$BM$1006,0)), HYPERLINK("#",""), HYPERLINK(CONCATENATE("#metadata!", ADDRESS(INDEX($AH$2:$AH$1001,MATCH(ROWS($AF$2:AF651),$AF$2:$AF$1001,0),0), INDEX($AM$1004:$BM$1004,1,MATCH(COLUMNS($AM$1006:AV1006),$AM$1006:$BM$1006,0)))),"Fix")))</f>
        <v xml:space="preserve"> </v>
      </c>
      <c r="L651" s="4" t="str">
        <f ca="1">IF(OR(INDEX($AG$2:$AG$1001,MATCH(ROWS($AF$2:AF651),$AF$2:$AF$1001,0),1)&gt;=100000,INDEX($AM$1005:$BM$1005,1,MATCH(COLUMNS($AM$1006:AW1006),$AM$1006:$BM$1006,0))&gt;=100000), " ",IF(INDEX($AM$2:$BM$1001,MATCH(ROWS($AF$2:AF651),$AF$2:$AF$1001,0),MATCH(COLUMNS($AM$1006:AW1006),$AM$1006:$BM$1006,0)), HYPERLINK("#",""), HYPERLINK(CONCATENATE("#metadata!", ADDRESS(INDEX($AH$2:$AH$1001,MATCH(ROWS($AF$2:AF651),$AF$2:$AF$1001,0),0), INDEX($AM$1004:$BM$1004,1,MATCH(COLUMNS($AM$1006:AW1006),$AM$1006:$BM$1006,0)))),"Fix")))</f>
        <v xml:space="preserve"> </v>
      </c>
      <c r="M651" s="4" t="str">
        <f ca="1">IF(OR(INDEX($AG$2:$AG$1001,MATCH(ROWS($AF$2:AF651),$AF$2:$AF$1001,0),1)&gt;=100000,INDEX($AM$1005:$BM$1005,1,MATCH(COLUMNS($AM$1006:AX1006),$AM$1006:$BM$1006,0))&gt;=100000), " ",IF(INDEX($AM$2:$BM$1001,MATCH(ROWS($AF$2:AF651),$AF$2:$AF$1001,0),MATCH(COLUMNS($AM$1006:AX1006),$AM$1006:$BM$1006,0)), HYPERLINK("#",""), HYPERLINK(CONCATENATE("#metadata!", ADDRESS(INDEX($AH$2:$AH$1001,MATCH(ROWS($AF$2:AF651),$AF$2:$AF$1001,0),0), INDEX($AM$1004:$BM$1004,1,MATCH(COLUMNS($AM$1006:AX1006),$AM$1006:$BM$1006,0)))),"Fix")))</f>
        <v xml:space="preserve"> </v>
      </c>
      <c r="N651" s="4" t="str">
        <f ca="1">IF(OR(INDEX($AG$2:$AG$1001,MATCH(ROWS($AF$2:AF651),$AF$2:$AF$1001,0),1)&gt;=100000,INDEX($AM$1005:$BM$1005,1,MATCH(COLUMNS($AM$1006:AY1006),$AM$1006:$BM$1006,0))&gt;=100000), " ",IF(INDEX($AM$2:$BM$1001,MATCH(ROWS($AF$2:AF651),$AF$2:$AF$1001,0),MATCH(COLUMNS($AM$1006:AY1006),$AM$1006:$BM$1006,0)), HYPERLINK("#",""), HYPERLINK(CONCATENATE("#metadata!", ADDRESS(INDEX($AH$2:$AH$1001,MATCH(ROWS($AF$2:AF651),$AF$2:$AF$1001,0),0), INDEX($AM$1004:$BM$1004,1,MATCH(COLUMNS($AM$1006:AY1006),$AM$1006:$BM$1006,0)))),"Fix")))</f>
        <v xml:space="preserve"> </v>
      </c>
      <c r="O651" s="4" t="str">
        <f ca="1">IF(OR(INDEX($AG$2:$AG$1001,MATCH(ROWS($AF$2:AF651),$AF$2:$AF$1001,0),1)&gt;=100000,INDEX($AM$1005:$BM$1005,1,MATCH(COLUMNS($AM$1006:AZ1006),$AM$1006:$BM$1006,0))&gt;=100000), " ",IF(INDEX($AM$2:$BM$1001,MATCH(ROWS($AF$2:AF651),$AF$2:$AF$1001,0),MATCH(COLUMNS($AM$1006:AZ1006),$AM$1006:$BM$1006,0)), HYPERLINK("#",""), HYPERLINK(CONCATENATE("#metadata!", ADDRESS(INDEX($AH$2:$AH$1001,MATCH(ROWS($AF$2:AF651),$AF$2:$AF$1001,0),0), INDEX($AM$1004:$BM$1004,1,MATCH(COLUMNS($AM$1006:AZ1006),$AM$1006:$BM$1006,0)))),"Fix")))</f>
        <v xml:space="preserve"> </v>
      </c>
      <c r="P651" s="4" t="str">
        <f ca="1">IF(OR(INDEX($AG$2:$AG$1001,MATCH(ROWS($AF$2:AF651),$AF$2:$AF$1001,0),1)&gt;=100000,INDEX($AM$1005:$BM$1005,1,MATCH(COLUMNS($AM$1006:BA1006),$AM$1006:$BM$1006,0))&gt;=100000), " ",IF(INDEX($AM$2:$BM$1001,MATCH(ROWS($AF$2:AF651),$AF$2:$AF$1001,0),MATCH(COLUMNS($AM$1006:BA1006),$AM$1006:$BM$1006,0)), HYPERLINK("#",""), HYPERLINK(CONCATENATE("#metadata!", ADDRESS(INDEX($AH$2:$AH$1001,MATCH(ROWS($AF$2:AF651),$AF$2:$AF$1001,0),0), INDEX($AM$1004:$BM$1004,1,MATCH(COLUMNS($AM$1006:BA1006),$AM$1006:$BM$1006,0)))),"Fix")))</f>
        <v xml:space="preserve"> </v>
      </c>
      <c r="Q651" s="4" t="str">
        <f ca="1">IF(OR(INDEX($AG$2:$AG$1001,MATCH(ROWS($AF$2:AF651),$AF$2:$AF$1001,0),1)&gt;=100000,INDEX($AM$1005:$BM$1005,1,MATCH(COLUMNS($AM$1006:BB1006),$AM$1006:$BM$1006,0))&gt;=100000), " ",IF(INDEX($AM$2:$BM$1001,MATCH(ROWS($AF$2:AF651),$AF$2:$AF$1001,0),MATCH(COLUMNS($AM$1006:BB1006),$AM$1006:$BM$1006,0)), HYPERLINK("#",""), HYPERLINK(CONCATENATE("#metadata!", ADDRESS(INDEX($AH$2:$AH$1001,MATCH(ROWS($AF$2:AF651),$AF$2:$AF$1001,0),0), INDEX($AM$1004:$BM$1004,1,MATCH(COLUMNS($AM$1006:BB1006),$AM$1006:$BM$1006,0)))),"Fix")))</f>
        <v xml:space="preserve"> </v>
      </c>
      <c r="R651" s="4" t="str">
        <f ca="1">IF(OR(INDEX($AG$2:$AG$1001,MATCH(ROWS($AF$2:AF651),$AF$2:$AF$1001,0),1)&gt;=100000,INDEX($AM$1005:$BM$1005,1,MATCH(COLUMNS($AM$1006:BC1006),$AM$1006:$BM$1006,0))&gt;=100000), " ",IF(INDEX($AM$2:$BM$1001,MATCH(ROWS($AF$2:AF651),$AF$2:$AF$1001,0),MATCH(COLUMNS($AM$1006:BC1006),$AM$1006:$BM$1006,0)), HYPERLINK("#",""), HYPERLINK(CONCATENATE("#metadata!", ADDRESS(INDEX($AH$2:$AH$1001,MATCH(ROWS($AF$2:AF651),$AF$2:$AF$1001,0),0), INDEX($AM$1004:$BM$1004,1,MATCH(COLUMNS($AM$1006:BC1006),$AM$1006:$BM$1006,0)))),"Fix")))</f>
        <v xml:space="preserve"> </v>
      </c>
      <c r="S651" s="4" t="str">
        <f ca="1">IF(OR(INDEX($AG$2:$AG$1001,MATCH(ROWS($AF$2:AF651),$AF$2:$AF$1001,0),1)&gt;=100000,INDEX($AM$1005:$BM$1005,1,MATCH(COLUMNS($AM$1006:BD1006),$AM$1006:$BM$1006,0))&gt;=100000), " ",IF(INDEX($AM$2:$BM$1001,MATCH(ROWS($AF$2:AF651),$AF$2:$AF$1001,0),MATCH(COLUMNS($AM$1006:BD1006),$AM$1006:$BM$1006,0)), HYPERLINK("#",""), HYPERLINK(CONCATENATE("#metadata!", ADDRESS(INDEX($AH$2:$AH$1001,MATCH(ROWS($AF$2:AF651),$AF$2:$AF$1001,0),0), INDEX($AM$1004:$BM$1004,1,MATCH(COLUMNS($AM$1006:BD1006),$AM$1006:$BM$1006,0)))),"Fix")))</f>
        <v xml:space="preserve"> </v>
      </c>
      <c r="T651" s="4" t="str">
        <f ca="1">IF(OR(INDEX($AG$2:$AG$1001,MATCH(ROWS($AF$2:AF651),$AF$2:$AF$1001,0),1)&gt;=100000,INDEX($AM$1005:$BM$1005,1,MATCH(COLUMNS($AM$1006:BE1006),$AM$1006:$BM$1006,0))&gt;=100000), " ",IF(INDEX($AM$2:$BM$1001,MATCH(ROWS($AF$2:AF651),$AF$2:$AF$1001,0),MATCH(COLUMNS($AM$1006:BE1006),$AM$1006:$BM$1006,0)), HYPERLINK("#",""), HYPERLINK(CONCATENATE("#metadata!", ADDRESS(INDEX($AH$2:$AH$1001,MATCH(ROWS($AF$2:AF651),$AF$2:$AF$1001,0),0), INDEX($AM$1004:$BM$1004,1,MATCH(COLUMNS($AM$1006:BE1006),$AM$1006:$BM$1006,0)))),"Fix")))</f>
        <v xml:space="preserve"> </v>
      </c>
      <c r="U651" s="4" t="str">
        <f ca="1">IF(OR(INDEX($AG$2:$AG$1001,MATCH(ROWS($AF$2:AF651),$AF$2:$AF$1001,0),1)&gt;=100000,INDEX($AM$1005:$BM$1005,1,MATCH(COLUMNS($AM$1006:BF1006),$AM$1006:$BM$1006,0))&gt;=100000), " ",IF(INDEX($AM$2:$BM$1001,MATCH(ROWS($AF$2:AF651),$AF$2:$AF$1001,0),MATCH(COLUMNS($AM$1006:BF1006),$AM$1006:$BM$1006,0)), HYPERLINK("#",""), HYPERLINK(CONCATENATE("#metadata!", ADDRESS(INDEX($AH$2:$AH$1001,MATCH(ROWS($AF$2:AF651),$AF$2:$AF$1001,0),0), INDEX($AM$1004:$BM$1004,1,MATCH(COLUMNS($AM$1006:BF1006),$AM$1006:$BM$1006,0)))),"Fix")))</f>
        <v xml:space="preserve"> </v>
      </c>
      <c r="V651" s="4" t="str">
        <f ca="1">IF(OR(INDEX($AG$2:$AG$1001,MATCH(ROWS($AF$2:AF651),$AF$2:$AF$1001,0),1)&gt;=100000,INDEX($AM$1005:$BM$1005,1,MATCH(COLUMNS($AM$1006:BG1006),$AM$1006:$BM$1006,0))&gt;=100000), " ",IF(INDEX($AM$2:$BM$1001,MATCH(ROWS($AF$2:AF651),$AF$2:$AF$1001,0),MATCH(COLUMNS($AM$1006:BG1006),$AM$1006:$BM$1006,0)), HYPERLINK("#",""), HYPERLINK(CONCATENATE("#metadata!", ADDRESS(INDEX($AH$2:$AH$1001,MATCH(ROWS($AF$2:AF651),$AF$2:$AF$1001,0),0), INDEX($AM$1004:$BM$1004,1,MATCH(COLUMNS($AM$1006:BG1006),$AM$1006:$BM$1006,0)))),"Fix")))</f>
        <v xml:space="preserve"> </v>
      </c>
      <c r="W651" s="4" t="str">
        <f ca="1">IF(OR(INDEX($AG$2:$AG$1001,MATCH(ROWS($AF$2:AF651),$AF$2:$AF$1001,0),1)&gt;=100000,INDEX($AM$1005:$BM$1005,1,MATCH(COLUMNS($AM$1006:BH1006),$AM$1006:$BM$1006,0))&gt;=100000), " ",IF(INDEX($AM$2:$BM$1001,MATCH(ROWS($AF$2:AF651),$AF$2:$AF$1001,0),MATCH(COLUMNS($AM$1006:BH1006),$AM$1006:$BM$1006,0)), HYPERLINK("#",""), HYPERLINK(CONCATENATE("#metadata!", ADDRESS(INDEX($AH$2:$AH$1001,MATCH(ROWS($AF$2:AF651),$AF$2:$AF$1001,0),0), INDEX($AM$1004:$BM$1004,1,MATCH(COLUMNS($AM$1006:BH1006),$AM$1006:$BM$1006,0)))),"Fix")))</f>
        <v xml:space="preserve"> </v>
      </c>
      <c r="X651" s="4" t="str">
        <f ca="1">IF(OR(INDEX($AG$2:$AG$1001,MATCH(ROWS($AF$2:AF651),$AF$2:$AF$1001,0),1)&gt;=100000,INDEX($AM$1005:$BM$1005,1,MATCH(COLUMNS($AM$1006:BI1006),$AM$1006:$BM$1006,0))&gt;=100000), " ",IF(INDEX($AM$2:$BM$1001,MATCH(ROWS($AF$2:AF651),$AF$2:$AF$1001,0),MATCH(COLUMNS($AM$1006:BI1006),$AM$1006:$BM$1006,0)), HYPERLINK("#",""), HYPERLINK(CONCATENATE("#metadata!", ADDRESS(INDEX($AH$2:$AH$1001,MATCH(ROWS($AF$2:AF651),$AF$2:$AF$1001,0),0), INDEX($AM$1004:$BM$1004,1,MATCH(COLUMNS($AM$1006:BI1006),$AM$1006:$BM$1006,0)))),"Fix")))</f>
        <v xml:space="preserve"> </v>
      </c>
      <c r="Y651" s="4" t="str">
        <f ca="1">IF(OR(INDEX($AG$2:$AG$1001,MATCH(ROWS($AF$2:AF651),$AF$2:$AF$1001,0),1)&gt;=100000,INDEX($AM$1005:$BM$1005,1,MATCH(COLUMNS($AM$1006:BJ1006),$AM$1006:$BM$1006,0))&gt;=100000), " ",IF(INDEX($AM$2:$BM$1001,MATCH(ROWS($AF$2:AF651),$AF$2:$AF$1001,0),MATCH(COLUMNS($AM$1006:BJ1006),$AM$1006:$BM$1006,0)), HYPERLINK("#",""), HYPERLINK(CONCATENATE("#metadata!", ADDRESS(INDEX($AH$2:$AH$1001,MATCH(ROWS($AF$2:AF651),$AF$2:$AF$1001,0),0), INDEX($AM$1004:$BM$1004,1,MATCH(COLUMNS($AM$1006:BJ1006),$AM$1006:$BM$1006,0)))),"Fix")))</f>
        <v xml:space="preserve"> </v>
      </c>
      <c r="Z651" s="4" t="str">
        <f ca="1">IF(OR(INDEX($AG$2:$AG$1001,MATCH(ROWS($AF$2:AF651),$AF$2:$AF$1001,0),1)&gt;=100000,INDEX($AM$1005:$BM$1005,1,MATCH(COLUMNS($AM$1006:BK1006),$AM$1006:$BM$1006,0))&gt;=100000), " ",IF(INDEX($AM$2:$BM$1001,MATCH(ROWS($AF$2:AF651),$AF$2:$AF$1001,0),MATCH(COLUMNS($AM$1006:BK1006),$AM$1006:$BM$1006,0)), HYPERLINK("#",""), HYPERLINK(CONCATENATE("#metadata!", ADDRESS(INDEX($AH$2:$AH$1001,MATCH(ROWS($AF$2:AF651),$AF$2:$AF$1001,0),0), INDEX($AM$1004:$BM$1004,1,MATCH(COLUMNS($AM$1006:BK1006),$AM$1006:$BM$1006,0)))),"Fix")))</f>
        <v xml:space="preserve"> </v>
      </c>
      <c r="AA651" s="4" t="str">
        <f ca="1">IF(OR(INDEX($AG$2:$AG$1001,MATCH(ROWS($AF$2:AF651),$AF$2:$AF$1001,0),1)&gt;=100000,INDEX($AM$1005:$BM$1005,1,MATCH(COLUMNS($AM$1006:BL1006),$AM$1006:$BM$1006,0))&gt;=100000), " ",IF(INDEX($AM$2:$BM$1001,MATCH(ROWS($AF$2:AF651),$AF$2:$AF$1001,0),MATCH(COLUMNS($AM$1006:BL1006),$AM$1006:$BM$1006,0)), HYPERLINK("#",""), HYPERLINK(CONCATENATE("#metadata!", ADDRESS(INDEX($AH$2:$AH$1001,MATCH(ROWS($AF$2:AF651),$AF$2:$AF$1001,0),0), INDEX($AM$1004:$BM$1004,1,MATCH(COLUMNS($AM$1006:BL1006),$AM$1006:$BM$1006,0)))),"Fix")))</f>
        <v xml:space="preserve"> </v>
      </c>
      <c r="AB651" s="4" t="str">
        <f ca="1">IF(OR(INDEX($AG$2:$AG$1001,MATCH(ROWS($AF$2:AF651),$AF$2:$AF$1001,0),1)&gt;=100000,INDEX($AM$1005:$BM$1005,1,MATCH(COLUMNS($AM$1006:BM1006),$AM$1006:$BM$1006,0))&gt;=100000), " ",IF(INDEX($AM$2:$BM$1001,MATCH(ROWS($AF$2:AF651),$AF$2:$AF$1001,0),MATCH(COLUMNS($AM$1006:BM1006),$AM$1006:$BM$1006,0)), HYPERLINK("#",""), HYPERLINK(CONCATENATE("#metadata!", ADDRESS(INDEX($AH$2:$AH$1001,MATCH(ROWS($AF$2:AF651),$AF$2:$AF$1001,0),0), INDEX($AM$1004:$BM$1004,1,MATCH(COLUMNS($AM$1006:BM1006),$AM$1006:$BM$1006,0)))),"Fix")))</f>
        <v xml:space="preserve"> </v>
      </c>
      <c r="AF651">
        <v>650</v>
      </c>
      <c r="AG651">
        <v>100651</v>
      </c>
      <c r="AH651">
        <v>651</v>
      </c>
      <c r="AI651" t="b">
        <f t="shared" si="10"/>
        <v>1</v>
      </c>
      <c r="AJ651" t="b">
        <f>COUNTBLANK(metadata!B651:AB651)=COLUMNS(metadata!B651:AB651)</f>
        <v>1</v>
      </c>
      <c r="AK651" t="str">
        <v/>
      </c>
      <c r="AM651" t="b">
        <f ca="1">AND(IF(metadata!B651="",FALSE,TRUE),COUNTIF(metadata!B:B, metadata!B651) = 1,NOT(ISERROR(SUMPRODUCT(SEARCH(MID(metadata!B651,ROW(INDIRECT("1:"&amp;LEN(metadata!B651))), 1),"0123456789abcdefghijklmnopqrstuvwxyzABCDEFGHIJKLMNOPQRSTUVWXYZ.")))))</f>
        <v>0</v>
      </c>
      <c r="AN651" t="b">
        <f ca="1">OR(AND(IF(metadata!C651="",FALSE,TRUE),OR(EXACT(metadata!C651,"missing: not collected"),EXACT(metadata!C651,"missing: not provided"),EXACT(metadata!C651,"missing: restricted access"))),AND(IF(metadata!C651="",FALSE,TRUE),AND(AND(IFERROR(INT(LEFT(metadata!C651,4))&gt;1900,FALSE),IFERROR(INT(LEFT(metadata!C651,4))&lt;=YEAR(NOW()),FALSE)), OR(MID(metadata!C651,5,1)="", AND(AND(MID(metadata!C651,5,1)="-",IFERROR(INT(MID(metadata!C651,6,1))&gt;=0,FALSE),IFERROR(INT(MID(metadata!C651,6,1))&lt;=1,FALSE),NOT(MID(metadata!C651,7,1)=""),IFERROR(INT(MID(metadata!C651,6,2))&gt;=1,FALSE),IFERROR(INT(MID(metadata!C651,6,2))&lt;=12,FALSE)), OR(MID(metadata!C651,8,1)="", AND(AND(MID(metadata!C651,8,1)="-",IFERROR(INT(MID(metadata!C651,9,1))&gt;=0,FALSE),IFERROR(INT(MID(metadata!C651,9,1))&lt;=3,FALSE),NOT(MID(metadata!C651,10,1)=""),IFERROR(INT(MID(metadata!C651,9,2))&gt;=1,FALSE),IFERROR(INT(MID(metadata!C651,9,2))&lt;=31,FALSE)), OR(MID(metadata!C651,11,1)="", AND(AND(MID(metadata!C651,11,1)=" ",IFERROR(INT(MID(metadata!C651,12,1))&gt;=0,FALSE),IFERROR(INT(MID(metadata!C651,12,1))&lt;=2,FALSE),NOT(MID(metadata!C651,13,1)=""),IFERROR(INT(MID(metadata!C651,12,2))&gt;=0,FALSE),IFERROR(INT(MID(metadata!C651,12,2))&lt;=23,FALSE)), OR(MID(metadata!C651,14,1)="", AND(AND(MID(metadata!C651,14,1)=":",IFERROR(INT(MID(metadata!C651,15,1))&gt;=0,FALSE),IFERROR(INT(MID(metadata!C651,15,1))&lt;=5,FALSE),NOT(MID(metadata!C651,16,1)=""),IFERROR(INT(MID(metadata!C651,15,2))&gt;=0,FALSE),IFERROR(INT(MID(metadata!C651,15,2))&lt;=59,FALSE)), OR(MID(metadata!C651,17,1)="", AND(AND(MID(metadata!C651,17,1)=":",IFERROR(INT(MID(metadata!C651,18,1))&gt;=0,FALSE),IFERROR(INT(MID(metadata!C651,18,1))&lt;=5,FALSE),NOT(MID(metadata!C651,19,1)=""),IFERROR(INT(MID(metadata!C651,18,2))&gt;=0,FALSE),IFERROR(INT(MID(metadata!C651,18,2))&lt;=59,FALSE)), LEN(metadata!C651)&lt;=19)))))))))))))</f>
        <v>0</v>
      </c>
      <c r="AO651" t="b">
        <f>AND(IF(metadata!D651="",FALSE,TRUE),EXACT(metadata!D651,"Not applicable"))</f>
        <v>0</v>
      </c>
      <c r="AP651" t="b">
        <f>IF(metadata!E651="",FALSE,TRUE)</f>
        <v>0</v>
      </c>
      <c r="AQ651" t="b">
        <f>OR(AND(IF(metadata!F651="",FALSE,TRUE),OR(EXACT(metadata!F651,"missing: not collected"),EXACT(metadata!F651,"missing: not provided"))),AND(IF(metadata!F651="",FALSE,TRUE),OR(EXACT(metadata!F651,"TRUE"),EXACT(metadata!F651,"FALSE"))))</f>
        <v>0</v>
      </c>
      <c r="AR651" t="b">
        <f>OR(AND(IF(metadata!G651="",FALSE,TRUE),OR(EXACT(metadata!G651,"missing: not collected"),EXACT(metadata!G651,"missing: not provided"),EXACT(metadata!G651,"missing: restricted access"))),AND(IF(metadata!G651="",FALSE,ISNUMBER(VALUE(metadata!G651))),metadata!G651&gt;=-413))</f>
        <v>0</v>
      </c>
      <c r="AS651" t="b">
        <f>AND(IF(metadata!H651="",FALSE,TRUE),EXACT(metadata!H651,"meters"))</f>
        <v>0</v>
      </c>
      <c r="AT651" t="b">
        <f>AND(IF(metadata!I651="",FALSE,TRUE),OR(EXACT(metadata!I651,"Host-associated"),EXACT(metadata!I651,"Free-living")))</f>
        <v>0</v>
      </c>
      <c r="AU651" t="b">
        <f>AND(IF(metadata!J651="",FALSE,TRUE),OR(EXACT(metadata!J651,"Animal"),EXACT(metadata!J651,"Fungus"),EXACT(metadata!J651,"Plant"),EXACT(metadata!J651,"Saline"),EXACT(metadata!J651,"Non-saline")))</f>
        <v>0</v>
      </c>
      <c r="AV651" t="b">
        <f>AND(IF(metadata!K651="",FALSE,TRUE),OR(EXACT(metadata!K651,"Plant secretion"),EXACT(metadata!K651,"Plant rhizosphere"),EXACT(metadata!K651,"Plant surface"),EXACT(metadata!K651,"Plant corpus"),EXACT(metadata!K651,"Fungus surface"),EXACT(metadata!K651,"Fungus corpus"),EXACT(metadata!K651,"Animal surface"),EXACT(metadata!K651,"Animal proximal gut"),EXACT(metadata!K651,"Animal corpus"),EXACT(metadata!K651,"Animal distal gut"),EXACT(metadata!K651,"Animal secretion"),EXACT(metadata!K651,"Sub-surface (non-saline)"),EXACT(metadata!K651,"Surface (non-saline)"),EXACT(metadata!K651,"Water (non-saline)"),EXACT(metadata!K651,"Soil (non-saline)"),EXACT(metadata!K651,"Aerosol (non-saline)"),EXACT(metadata!K651,"Sediment (non-saline)"),EXACT(metadata!K651,"Surface (saline)"),EXACT(metadata!K651,"Water (saline)"),EXACT(metadata!K651,"Hypersaline (saline)"),EXACT(metadata!K651,"Aerosol (saline)"),EXACT(metadata!K651,"Sediment (saline)")))</f>
        <v>0</v>
      </c>
      <c r="AW651" t="b">
        <f>IF(metadata!L651="",FALSE,TRUE)</f>
        <v>0</v>
      </c>
      <c r="AX651" t="b">
        <f>IF(metadata!M651="",FALSE,TRUE)</f>
        <v>0</v>
      </c>
      <c r="AY651" t="b">
        <f>IF(metadata!N651="",FALSE,TRUE)</f>
        <v>0</v>
      </c>
      <c r="AZ651" t="b">
        <f>OR(AND(IF(metadata!O651="",FALSE,TRUE),OR(EXACT(metadata!O651,"missing: not collected"),EXACT(metadata!O651,"missing: not provided"),EXACT(metadata!O651,"missing: restricted access"))),AND(IF(metadata!O651="",FALSE,TRUE),OR(EXACT(metadata!O651,"air"),EXACT(metadata!O651,"built environment"),EXACT(metadata!O651,"host-associated"),EXACT(metadata!O651,"human-associated"),EXACT(metadata!O651,"human-skin"),EXACT(metadata!O651,"human-oral"),EXACT(metadata!O651,"human-gut"),EXACT(metadata!O651,"human-vaginal"),EXACT(metadata!O651,"microbial mat/biofilm"),EXACT(metadata!O651,"misc environment"),EXACT(metadata!O651,"plant-associated"),EXACT(metadata!O651,"sediment"),EXACT(metadata!O651,"soil"),EXACT(metadata!O651,"wastewater/sludge"),EXACT(metadata!O651,"water"))))</f>
        <v>0</v>
      </c>
      <c r="BA651" t="b">
        <f>IF(metadata!P651="",FALSE,TRUE)</f>
        <v>0</v>
      </c>
      <c r="BB651" t="b">
        <f>IF(metadata!Q651="",FALSE,TRUE)</f>
        <v>0</v>
      </c>
      <c r="BC651" t="b">
        <f>OR(AND(IF(metadata!R651="",FALSE,TRUE),OR(EXACT(metadata!R651,"missing: not collected"),EXACT(metadata!R651,"missing: not provided"),EXACT(metadata!R651,"missing: restricted access"))),AND(IF(metadata!R651="",FALSE,ISNUMBER(VALUE(metadata!R651))),metadata!R651&gt;=-90,metadata!R651&lt;=90))</f>
        <v>0</v>
      </c>
      <c r="BD651" t="b">
        <f>AND(IF(metadata!S651="",FALSE,TRUE),EXACT(metadata!S651,"Decimal degrees"))</f>
        <v>0</v>
      </c>
      <c r="BE651" t="b">
        <f>OR(AND(IF(metadata!T651="",FALSE,TRUE),OR(EXACT(metadata!T651,"missing: not collected"),EXACT(metadata!T651,"missing: not provided"),EXACT(metadata!T651,"missing: restricted access"))),AND(IF(metadata!T651="",FALSE,ISNUMBER(VALUE(metadata!T651))),metadata!T651&gt;=-180,metadata!T651&lt;=180))</f>
        <v>0</v>
      </c>
      <c r="BF651" t="b">
        <f>AND(IF(metadata!U651="",FALSE,TRUE),EXACT(metadata!U651,"Decimal degrees"))</f>
        <v>0</v>
      </c>
      <c r="BG651" t="b">
        <f>IF(metadata!V651="",FALSE,TRUE)</f>
        <v>0</v>
      </c>
      <c r="BH651" t="b">
        <f>OR(AND(IF(metadata!W651="",FALSE,TRUE),OR(EXACT(metadata!W651,"missing: not collected"),EXACT(metadata!W651,"missing: not provided"),EXACT(metadata!W651,"missing: restricted access"))),AND(IF(metadata!W651="",FALSE,TRUE),OR(EXACT(metadata!W651,"TRUE"),EXACT(metadata!W651,"FALSE"))))</f>
        <v>0</v>
      </c>
      <c r="BI651" t="b">
        <f>AND(IF(metadata!X651="",FALSE,TRUE),EXACT(metadata!X651,"other"))</f>
        <v>0</v>
      </c>
      <c r="BJ651" t="b">
        <f>IF(metadata!Y651="",FALSE,TRUE)</f>
        <v>0</v>
      </c>
      <c r="BK651" t="b">
        <f>OR(AND(IF(metadata!Z651="",FALSE,TRUE),OR(EXACT(metadata!Z651,"missing: not collected"),EXACT(metadata!Z651,"missing: not provided"))),AND(IF(metadata!Z651="",FALSE,IF(ISERROR(INT(metadata!Z651)),FALSE,INT(metadata!Z651)=metadata!Z651)),metadata!Z651&gt;0))</f>
        <v>0</v>
      </c>
      <c r="BL651" t="b">
        <f>AND(IF(metadata!AA651="",FALSE,TRUE),EXACT(metadata!AA651,"Not applicable"))</f>
        <v>0</v>
      </c>
      <c r="BM651" t="b">
        <f>IF(metadata!AB651="",FALSE,TRUE)</f>
        <v>0</v>
      </c>
    </row>
    <row r="652" spans="1:65" x14ac:dyDescent="0.2">
      <c r="A652" s="5" t="str">
        <f ca="1">IF(B652=" "," ",HYPERLINK(CONCATENATE("#metadata!",ADDRESS(INDEX($AH$2:$AH$1001,MATCH(ROWS($AF$2:AF652),$AF$2:$AF$1001,0),0),1)),INDEX($AK$2:$AK$1001,MATCH(ROWS($AF$2:AF652),$AF$2:$AF$1001,0),0)))</f>
        <v xml:space="preserve"> </v>
      </c>
      <c r="B652" s="4" t="str">
        <f ca="1">IF(OR(INDEX($AG$2:$AG$1001,MATCH(ROWS($AF$2:AF652),$AF$2:$AF$1001,0),1)&gt;=100000,INDEX($AM$1005:$BM$1005,1,MATCH(COLUMNS($AM$1006:AM1006),$AM$1006:$BM$1006,0))&gt;=100000), " ",IF(INDEX($AM$2:$BM$1001,MATCH(ROWS($AF$2:AF652),$AF$2:$AF$1001,0),MATCH(COLUMNS($AM$1006:AM1006),$AM$1006:$BM$1006,0)), HYPERLINK("#",""), HYPERLINK(CONCATENATE("#metadata!", ADDRESS(INDEX($AH$2:$AH$1001,MATCH(ROWS($AF$2:AF652),$AF$2:$AF$1001,0),0), INDEX($AM$1004:$BM$1004,1,MATCH(COLUMNS($AM$1006:AM1006),$AM$1006:$BM$1006,0)))),"Fix")))</f>
        <v xml:space="preserve"> </v>
      </c>
      <c r="C652" s="4" t="str">
        <f ca="1">IF(OR(INDEX($AG$2:$AG$1001,MATCH(ROWS($AF$2:AF652),$AF$2:$AF$1001,0),1)&gt;=100000,INDEX($AM$1005:$BM$1005,1,MATCH(COLUMNS($AM$1006:AN1006),$AM$1006:$BM$1006,0))&gt;=100000), " ",IF(INDEX($AM$2:$BM$1001,MATCH(ROWS($AF$2:AF652),$AF$2:$AF$1001,0),MATCH(COLUMNS($AM$1006:AN1006),$AM$1006:$BM$1006,0)), HYPERLINK("#",""), HYPERLINK(CONCATENATE("#metadata!", ADDRESS(INDEX($AH$2:$AH$1001,MATCH(ROWS($AF$2:AF652),$AF$2:$AF$1001,0),0), INDEX($AM$1004:$BM$1004,1,MATCH(COLUMNS($AM$1006:AN1006),$AM$1006:$BM$1006,0)))),"Fix")))</f>
        <v xml:space="preserve"> </v>
      </c>
      <c r="D652" s="4" t="str">
        <f ca="1">IF(OR(INDEX($AG$2:$AG$1001,MATCH(ROWS($AF$2:AF652),$AF$2:$AF$1001,0),1)&gt;=100000,INDEX($AM$1005:$BM$1005,1,MATCH(COLUMNS($AM$1006:AO1006),$AM$1006:$BM$1006,0))&gt;=100000), " ",IF(INDEX($AM$2:$BM$1001,MATCH(ROWS($AF$2:AF652),$AF$2:$AF$1001,0),MATCH(COLUMNS($AM$1006:AO1006),$AM$1006:$BM$1006,0)), HYPERLINK("#",""), HYPERLINK(CONCATENATE("#metadata!", ADDRESS(INDEX($AH$2:$AH$1001,MATCH(ROWS($AF$2:AF652),$AF$2:$AF$1001,0),0), INDEX($AM$1004:$BM$1004,1,MATCH(COLUMNS($AM$1006:AO1006),$AM$1006:$BM$1006,0)))),"Fix")))</f>
        <v xml:space="preserve"> </v>
      </c>
      <c r="E652" s="4" t="str">
        <f ca="1">IF(OR(INDEX($AG$2:$AG$1001,MATCH(ROWS($AF$2:AF652),$AF$2:$AF$1001,0),1)&gt;=100000,INDEX($AM$1005:$BM$1005,1,MATCH(COLUMNS($AM$1006:AP1006),$AM$1006:$BM$1006,0))&gt;=100000), " ",IF(INDEX($AM$2:$BM$1001,MATCH(ROWS($AF$2:AF652),$AF$2:$AF$1001,0),MATCH(COLUMNS($AM$1006:AP1006),$AM$1006:$BM$1006,0)), HYPERLINK("#",""), HYPERLINK(CONCATENATE("#metadata!", ADDRESS(INDEX($AH$2:$AH$1001,MATCH(ROWS($AF$2:AF652),$AF$2:$AF$1001,0),0), INDEX($AM$1004:$BM$1004,1,MATCH(COLUMNS($AM$1006:AP1006),$AM$1006:$BM$1006,0)))),"Fix")))</f>
        <v xml:space="preserve"> </v>
      </c>
      <c r="F652" s="4" t="str">
        <f ca="1">IF(OR(INDEX($AG$2:$AG$1001,MATCH(ROWS($AF$2:AF652),$AF$2:$AF$1001,0),1)&gt;=100000,INDEX($AM$1005:$BM$1005,1,MATCH(COLUMNS($AM$1006:AQ1006),$AM$1006:$BM$1006,0))&gt;=100000), " ",IF(INDEX($AM$2:$BM$1001,MATCH(ROWS($AF$2:AF652),$AF$2:$AF$1001,0),MATCH(COLUMNS($AM$1006:AQ1006),$AM$1006:$BM$1006,0)), HYPERLINK("#",""), HYPERLINK(CONCATENATE("#metadata!", ADDRESS(INDEX($AH$2:$AH$1001,MATCH(ROWS($AF$2:AF652),$AF$2:$AF$1001,0),0), INDEX($AM$1004:$BM$1004,1,MATCH(COLUMNS($AM$1006:AQ1006),$AM$1006:$BM$1006,0)))),"Fix")))</f>
        <v xml:space="preserve"> </v>
      </c>
      <c r="G652" s="4" t="str">
        <f ca="1">IF(OR(INDEX($AG$2:$AG$1001,MATCH(ROWS($AF$2:AF652),$AF$2:$AF$1001,0),1)&gt;=100000,INDEX($AM$1005:$BM$1005,1,MATCH(COLUMNS($AM$1006:AR1006),$AM$1006:$BM$1006,0))&gt;=100000), " ",IF(INDEX($AM$2:$BM$1001,MATCH(ROWS($AF$2:AF652),$AF$2:$AF$1001,0),MATCH(COLUMNS($AM$1006:AR1006),$AM$1006:$BM$1006,0)), HYPERLINK("#",""), HYPERLINK(CONCATENATE("#metadata!", ADDRESS(INDEX($AH$2:$AH$1001,MATCH(ROWS($AF$2:AF652),$AF$2:$AF$1001,0),0), INDEX($AM$1004:$BM$1004,1,MATCH(COLUMNS($AM$1006:AR1006),$AM$1006:$BM$1006,0)))),"Fix")))</f>
        <v xml:space="preserve"> </v>
      </c>
      <c r="H652" s="4" t="str">
        <f ca="1">IF(OR(INDEX($AG$2:$AG$1001,MATCH(ROWS($AF$2:AF652),$AF$2:$AF$1001,0),1)&gt;=100000,INDEX($AM$1005:$BM$1005,1,MATCH(COLUMNS($AM$1006:AS1006),$AM$1006:$BM$1006,0))&gt;=100000), " ",IF(INDEX($AM$2:$BM$1001,MATCH(ROWS($AF$2:AF652),$AF$2:$AF$1001,0),MATCH(COLUMNS($AM$1006:AS1006),$AM$1006:$BM$1006,0)), HYPERLINK("#",""), HYPERLINK(CONCATENATE("#metadata!", ADDRESS(INDEX($AH$2:$AH$1001,MATCH(ROWS($AF$2:AF652),$AF$2:$AF$1001,0),0), INDEX($AM$1004:$BM$1004,1,MATCH(COLUMNS($AM$1006:AS1006),$AM$1006:$BM$1006,0)))),"Fix")))</f>
        <v xml:space="preserve"> </v>
      </c>
      <c r="I652" s="4" t="str">
        <f ca="1">IF(OR(INDEX($AG$2:$AG$1001,MATCH(ROWS($AF$2:AF652),$AF$2:$AF$1001,0),1)&gt;=100000,INDEX($AM$1005:$BM$1005,1,MATCH(COLUMNS($AM$1006:AT1006),$AM$1006:$BM$1006,0))&gt;=100000), " ",IF(INDEX($AM$2:$BM$1001,MATCH(ROWS($AF$2:AF652),$AF$2:$AF$1001,0),MATCH(COLUMNS($AM$1006:AT1006),$AM$1006:$BM$1006,0)), HYPERLINK("#",""), HYPERLINK(CONCATENATE("#metadata!", ADDRESS(INDEX($AH$2:$AH$1001,MATCH(ROWS($AF$2:AF652),$AF$2:$AF$1001,0),0), INDEX($AM$1004:$BM$1004,1,MATCH(COLUMNS($AM$1006:AT1006),$AM$1006:$BM$1006,0)))),"Fix")))</f>
        <v xml:space="preserve"> </v>
      </c>
      <c r="J652" s="4" t="str">
        <f ca="1">IF(OR(INDEX($AG$2:$AG$1001,MATCH(ROWS($AF$2:AF652),$AF$2:$AF$1001,0),1)&gt;=100000,INDEX($AM$1005:$BM$1005,1,MATCH(COLUMNS($AM$1006:AU1006),$AM$1006:$BM$1006,0))&gt;=100000), " ",IF(INDEX($AM$2:$BM$1001,MATCH(ROWS($AF$2:AF652),$AF$2:$AF$1001,0),MATCH(COLUMNS($AM$1006:AU1006),$AM$1006:$BM$1006,0)), HYPERLINK("#",""), HYPERLINK(CONCATENATE("#metadata!", ADDRESS(INDEX($AH$2:$AH$1001,MATCH(ROWS($AF$2:AF652),$AF$2:$AF$1001,0),0), INDEX($AM$1004:$BM$1004,1,MATCH(COLUMNS($AM$1006:AU1006),$AM$1006:$BM$1006,0)))),"Fix")))</f>
        <v xml:space="preserve"> </v>
      </c>
      <c r="K652" s="4" t="str">
        <f ca="1">IF(OR(INDEX($AG$2:$AG$1001,MATCH(ROWS($AF$2:AF652),$AF$2:$AF$1001,0),1)&gt;=100000,INDEX($AM$1005:$BM$1005,1,MATCH(COLUMNS($AM$1006:AV1006),$AM$1006:$BM$1006,0))&gt;=100000), " ",IF(INDEX($AM$2:$BM$1001,MATCH(ROWS($AF$2:AF652),$AF$2:$AF$1001,0),MATCH(COLUMNS($AM$1006:AV1006),$AM$1006:$BM$1006,0)), HYPERLINK("#",""), HYPERLINK(CONCATENATE("#metadata!", ADDRESS(INDEX($AH$2:$AH$1001,MATCH(ROWS($AF$2:AF652),$AF$2:$AF$1001,0),0), INDEX($AM$1004:$BM$1004,1,MATCH(COLUMNS($AM$1006:AV1006),$AM$1006:$BM$1006,0)))),"Fix")))</f>
        <v xml:space="preserve"> </v>
      </c>
      <c r="L652" s="4" t="str">
        <f ca="1">IF(OR(INDEX($AG$2:$AG$1001,MATCH(ROWS($AF$2:AF652),$AF$2:$AF$1001,0),1)&gt;=100000,INDEX($AM$1005:$BM$1005,1,MATCH(COLUMNS($AM$1006:AW1006),$AM$1006:$BM$1006,0))&gt;=100000), " ",IF(INDEX($AM$2:$BM$1001,MATCH(ROWS($AF$2:AF652),$AF$2:$AF$1001,0),MATCH(COLUMNS($AM$1006:AW1006),$AM$1006:$BM$1006,0)), HYPERLINK("#",""), HYPERLINK(CONCATENATE("#metadata!", ADDRESS(INDEX($AH$2:$AH$1001,MATCH(ROWS($AF$2:AF652),$AF$2:$AF$1001,0),0), INDEX($AM$1004:$BM$1004,1,MATCH(COLUMNS($AM$1006:AW1006),$AM$1006:$BM$1006,0)))),"Fix")))</f>
        <v xml:space="preserve"> </v>
      </c>
      <c r="M652" s="4" t="str">
        <f ca="1">IF(OR(INDEX($AG$2:$AG$1001,MATCH(ROWS($AF$2:AF652),$AF$2:$AF$1001,0),1)&gt;=100000,INDEX($AM$1005:$BM$1005,1,MATCH(COLUMNS($AM$1006:AX1006),$AM$1006:$BM$1006,0))&gt;=100000), " ",IF(INDEX($AM$2:$BM$1001,MATCH(ROWS($AF$2:AF652),$AF$2:$AF$1001,0),MATCH(COLUMNS($AM$1006:AX1006),$AM$1006:$BM$1006,0)), HYPERLINK("#",""), HYPERLINK(CONCATENATE("#metadata!", ADDRESS(INDEX($AH$2:$AH$1001,MATCH(ROWS($AF$2:AF652),$AF$2:$AF$1001,0),0), INDEX($AM$1004:$BM$1004,1,MATCH(COLUMNS($AM$1006:AX1006),$AM$1006:$BM$1006,0)))),"Fix")))</f>
        <v xml:space="preserve"> </v>
      </c>
      <c r="N652" s="4" t="str">
        <f ca="1">IF(OR(INDEX($AG$2:$AG$1001,MATCH(ROWS($AF$2:AF652),$AF$2:$AF$1001,0),1)&gt;=100000,INDEX($AM$1005:$BM$1005,1,MATCH(COLUMNS($AM$1006:AY1006),$AM$1006:$BM$1006,0))&gt;=100000), " ",IF(INDEX($AM$2:$BM$1001,MATCH(ROWS($AF$2:AF652),$AF$2:$AF$1001,0),MATCH(COLUMNS($AM$1006:AY1006),$AM$1006:$BM$1006,0)), HYPERLINK("#",""), HYPERLINK(CONCATENATE("#metadata!", ADDRESS(INDEX($AH$2:$AH$1001,MATCH(ROWS($AF$2:AF652),$AF$2:$AF$1001,0),0), INDEX($AM$1004:$BM$1004,1,MATCH(COLUMNS($AM$1006:AY1006),$AM$1006:$BM$1006,0)))),"Fix")))</f>
        <v xml:space="preserve"> </v>
      </c>
      <c r="O652" s="4" t="str">
        <f ca="1">IF(OR(INDEX($AG$2:$AG$1001,MATCH(ROWS($AF$2:AF652),$AF$2:$AF$1001,0),1)&gt;=100000,INDEX($AM$1005:$BM$1005,1,MATCH(COLUMNS($AM$1006:AZ1006),$AM$1006:$BM$1006,0))&gt;=100000), " ",IF(INDEX($AM$2:$BM$1001,MATCH(ROWS($AF$2:AF652),$AF$2:$AF$1001,0),MATCH(COLUMNS($AM$1006:AZ1006),$AM$1006:$BM$1006,0)), HYPERLINK("#",""), HYPERLINK(CONCATENATE("#metadata!", ADDRESS(INDEX($AH$2:$AH$1001,MATCH(ROWS($AF$2:AF652),$AF$2:$AF$1001,0),0), INDEX($AM$1004:$BM$1004,1,MATCH(COLUMNS($AM$1006:AZ1006),$AM$1006:$BM$1006,0)))),"Fix")))</f>
        <v xml:space="preserve"> </v>
      </c>
      <c r="P652" s="4" t="str">
        <f ca="1">IF(OR(INDEX($AG$2:$AG$1001,MATCH(ROWS($AF$2:AF652),$AF$2:$AF$1001,0),1)&gt;=100000,INDEX($AM$1005:$BM$1005,1,MATCH(COLUMNS($AM$1006:BA1006),$AM$1006:$BM$1006,0))&gt;=100000), " ",IF(INDEX($AM$2:$BM$1001,MATCH(ROWS($AF$2:AF652),$AF$2:$AF$1001,0),MATCH(COLUMNS($AM$1006:BA1006),$AM$1006:$BM$1006,0)), HYPERLINK("#",""), HYPERLINK(CONCATENATE("#metadata!", ADDRESS(INDEX($AH$2:$AH$1001,MATCH(ROWS($AF$2:AF652),$AF$2:$AF$1001,0),0), INDEX($AM$1004:$BM$1004,1,MATCH(COLUMNS($AM$1006:BA1006),$AM$1006:$BM$1006,0)))),"Fix")))</f>
        <v xml:space="preserve"> </v>
      </c>
      <c r="Q652" s="4" t="str">
        <f ca="1">IF(OR(INDEX($AG$2:$AG$1001,MATCH(ROWS($AF$2:AF652),$AF$2:$AF$1001,0),1)&gt;=100000,INDEX($AM$1005:$BM$1005,1,MATCH(COLUMNS($AM$1006:BB1006),$AM$1006:$BM$1006,0))&gt;=100000), " ",IF(INDEX($AM$2:$BM$1001,MATCH(ROWS($AF$2:AF652),$AF$2:$AF$1001,0),MATCH(COLUMNS($AM$1006:BB1006),$AM$1006:$BM$1006,0)), HYPERLINK("#",""), HYPERLINK(CONCATENATE("#metadata!", ADDRESS(INDEX($AH$2:$AH$1001,MATCH(ROWS($AF$2:AF652),$AF$2:$AF$1001,0),0), INDEX($AM$1004:$BM$1004,1,MATCH(COLUMNS($AM$1006:BB1006),$AM$1006:$BM$1006,0)))),"Fix")))</f>
        <v xml:space="preserve"> </v>
      </c>
      <c r="R652" s="4" t="str">
        <f ca="1">IF(OR(INDEX($AG$2:$AG$1001,MATCH(ROWS($AF$2:AF652),$AF$2:$AF$1001,0),1)&gt;=100000,INDEX($AM$1005:$BM$1005,1,MATCH(COLUMNS($AM$1006:BC1006),$AM$1006:$BM$1006,0))&gt;=100000), " ",IF(INDEX($AM$2:$BM$1001,MATCH(ROWS($AF$2:AF652),$AF$2:$AF$1001,0),MATCH(COLUMNS($AM$1006:BC1006),$AM$1006:$BM$1006,0)), HYPERLINK("#",""), HYPERLINK(CONCATENATE("#metadata!", ADDRESS(INDEX($AH$2:$AH$1001,MATCH(ROWS($AF$2:AF652),$AF$2:$AF$1001,0),0), INDEX($AM$1004:$BM$1004,1,MATCH(COLUMNS($AM$1006:BC1006),$AM$1006:$BM$1006,0)))),"Fix")))</f>
        <v xml:space="preserve"> </v>
      </c>
      <c r="S652" s="4" t="str">
        <f ca="1">IF(OR(INDEX($AG$2:$AG$1001,MATCH(ROWS($AF$2:AF652),$AF$2:$AF$1001,0),1)&gt;=100000,INDEX($AM$1005:$BM$1005,1,MATCH(COLUMNS($AM$1006:BD1006),$AM$1006:$BM$1006,0))&gt;=100000), " ",IF(INDEX($AM$2:$BM$1001,MATCH(ROWS($AF$2:AF652),$AF$2:$AF$1001,0),MATCH(COLUMNS($AM$1006:BD1006),$AM$1006:$BM$1006,0)), HYPERLINK("#",""), HYPERLINK(CONCATENATE("#metadata!", ADDRESS(INDEX($AH$2:$AH$1001,MATCH(ROWS($AF$2:AF652),$AF$2:$AF$1001,0),0), INDEX($AM$1004:$BM$1004,1,MATCH(COLUMNS($AM$1006:BD1006),$AM$1006:$BM$1006,0)))),"Fix")))</f>
        <v xml:space="preserve"> </v>
      </c>
      <c r="T652" s="4" t="str">
        <f ca="1">IF(OR(INDEX($AG$2:$AG$1001,MATCH(ROWS($AF$2:AF652),$AF$2:$AF$1001,0),1)&gt;=100000,INDEX($AM$1005:$BM$1005,1,MATCH(COLUMNS($AM$1006:BE1006),$AM$1006:$BM$1006,0))&gt;=100000), " ",IF(INDEX($AM$2:$BM$1001,MATCH(ROWS($AF$2:AF652),$AF$2:$AF$1001,0),MATCH(COLUMNS($AM$1006:BE1006),$AM$1006:$BM$1006,0)), HYPERLINK("#",""), HYPERLINK(CONCATENATE("#metadata!", ADDRESS(INDEX($AH$2:$AH$1001,MATCH(ROWS($AF$2:AF652),$AF$2:$AF$1001,0),0), INDEX($AM$1004:$BM$1004,1,MATCH(COLUMNS($AM$1006:BE1006),$AM$1006:$BM$1006,0)))),"Fix")))</f>
        <v xml:space="preserve"> </v>
      </c>
      <c r="U652" s="4" t="str">
        <f ca="1">IF(OR(INDEX($AG$2:$AG$1001,MATCH(ROWS($AF$2:AF652),$AF$2:$AF$1001,0),1)&gt;=100000,INDEX($AM$1005:$BM$1005,1,MATCH(COLUMNS($AM$1006:BF1006),$AM$1006:$BM$1006,0))&gt;=100000), " ",IF(INDEX($AM$2:$BM$1001,MATCH(ROWS($AF$2:AF652),$AF$2:$AF$1001,0),MATCH(COLUMNS($AM$1006:BF1006),$AM$1006:$BM$1006,0)), HYPERLINK("#",""), HYPERLINK(CONCATENATE("#metadata!", ADDRESS(INDEX($AH$2:$AH$1001,MATCH(ROWS($AF$2:AF652),$AF$2:$AF$1001,0),0), INDEX($AM$1004:$BM$1004,1,MATCH(COLUMNS($AM$1006:BF1006),$AM$1006:$BM$1006,0)))),"Fix")))</f>
        <v xml:space="preserve"> </v>
      </c>
      <c r="V652" s="4" t="str">
        <f ca="1">IF(OR(INDEX($AG$2:$AG$1001,MATCH(ROWS($AF$2:AF652),$AF$2:$AF$1001,0),1)&gt;=100000,INDEX($AM$1005:$BM$1005,1,MATCH(COLUMNS($AM$1006:BG1006),$AM$1006:$BM$1006,0))&gt;=100000), " ",IF(INDEX($AM$2:$BM$1001,MATCH(ROWS($AF$2:AF652),$AF$2:$AF$1001,0),MATCH(COLUMNS($AM$1006:BG1006),$AM$1006:$BM$1006,0)), HYPERLINK("#",""), HYPERLINK(CONCATENATE("#metadata!", ADDRESS(INDEX($AH$2:$AH$1001,MATCH(ROWS($AF$2:AF652),$AF$2:$AF$1001,0),0), INDEX($AM$1004:$BM$1004,1,MATCH(COLUMNS($AM$1006:BG1006),$AM$1006:$BM$1006,0)))),"Fix")))</f>
        <v xml:space="preserve"> </v>
      </c>
      <c r="W652" s="4" t="str">
        <f ca="1">IF(OR(INDEX($AG$2:$AG$1001,MATCH(ROWS($AF$2:AF652),$AF$2:$AF$1001,0),1)&gt;=100000,INDEX($AM$1005:$BM$1005,1,MATCH(COLUMNS($AM$1006:BH1006),$AM$1006:$BM$1006,0))&gt;=100000), " ",IF(INDEX($AM$2:$BM$1001,MATCH(ROWS($AF$2:AF652),$AF$2:$AF$1001,0),MATCH(COLUMNS($AM$1006:BH1006),$AM$1006:$BM$1006,0)), HYPERLINK("#",""), HYPERLINK(CONCATENATE("#metadata!", ADDRESS(INDEX($AH$2:$AH$1001,MATCH(ROWS($AF$2:AF652),$AF$2:$AF$1001,0),0), INDEX($AM$1004:$BM$1004,1,MATCH(COLUMNS($AM$1006:BH1006),$AM$1006:$BM$1006,0)))),"Fix")))</f>
        <v xml:space="preserve"> </v>
      </c>
      <c r="X652" s="4" t="str">
        <f ca="1">IF(OR(INDEX($AG$2:$AG$1001,MATCH(ROWS($AF$2:AF652),$AF$2:$AF$1001,0),1)&gt;=100000,INDEX($AM$1005:$BM$1005,1,MATCH(COLUMNS($AM$1006:BI1006),$AM$1006:$BM$1006,0))&gt;=100000), " ",IF(INDEX($AM$2:$BM$1001,MATCH(ROWS($AF$2:AF652),$AF$2:$AF$1001,0),MATCH(COLUMNS($AM$1006:BI1006),$AM$1006:$BM$1006,0)), HYPERLINK("#",""), HYPERLINK(CONCATENATE("#metadata!", ADDRESS(INDEX($AH$2:$AH$1001,MATCH(ROWS($AF$2:AF652),$AF$2:$AF$1001,0),0), INDEX($AM$1004:$BM$1004,1,MATCH(COLUMNS($AM$1006:BI1006),$AM$1006:$BM$1006,0)))),"Fix")))</f>
        <v xml:space="preserve"> </v>
      </c>
      <c r="Y652" s="4" t="str">
        <f ca="1">IF(OR(INDEX($AG$2:$AG$1001,MATCH(ROWS($AF$2:AF652),$AF$2:$AF$1001,0),1)&gt;=100000,INDEX($AM$1005:$BM$1005,1,MATCH(COLUMNS($AM$1006:BJ1006),$AM$1006:$BM$1006,0))&gt;=100000), " ",IF(INDEX($AM$2:$BM$1001,MATCH(ROWS($AF$2:AF652),$AF$2:$AF$1001,0),MATCH(COLUMNS($AM$1006:BJ1006),$AM$1006:$BM$1006,0)), HYPERLINK("#",""), HYPERLINK(CONCATENATE("#metadata!", ADDRESS(INDEX($AH$2:$AH$1001,MATCH(ROWS($AF$2:AF652),$AF$2:$AF$1001,0),0), INDEX($AM$1004:$BM$1004,1,MATCH(COLUMNS($AM$1006:BJ1006),$AM$1006:$BM$1006,0)))),"Fix")))</f>
        <v xml:space="preserve"> </v>
      </c>
      <c r="Z652" s="4" t="str">
        <f ca="1">IF(OR(INDEX($AG$2:$AG$1001,MATCH(ROWS($AF$2:AF652),$AF$2:$AF$1001,0),1)&gt;=100000,INDEX($AM$1005:$BM$1005,1,MATCH(COLUMNS($AM$1006:BK1006),$AM$1006:$BM$1006,0))&gt;=100000), " ",IF(INDEX($AM$2:$BM$1001,MATCH(ROWS($AF$2:AF652),$AF$2:$AF$1001,0),MATCH(COLUMNS($AM$1006:BK1006),$AM$1006:$BM$1006,0)), HYPERLINK("#",""), HYPERLINK(CONCATENATE("#metadata!", ADDRESS(INDEX($AH$2:$AH$1001,MATCH(ROWS($AF$2:AF652),$AF$2:$AF$1001,0),0), INDEX($AM$1004:$BM$1004,1,MATCH(COLUMNS($AM$1006:BK1006),$AM$1006:$BM$1006,0)))),"Fix")))</f>
        <v xml:space="preserve"> </v>
      </c>
      <c r="AA652" s="4" t="str">
        <f ca="1">IF(OR(INDEX($AG$2:$AG$1001,MATCH(ROWS($AF$2:AF652),$AF$2:$AF$1001,0),1)&gt;=100000,INDEX($AM$1005:$BM$1005,1,MATCH(COLUMNS($AM$1006:BL1006),$AM$1006:$BM$1006,0))&gt;=100000), " ",IF(INDEX($AM$2:$BM$1001,MATCH(ROWS($AF$2:AF652),$AF$2:$AF$1001,0),MATCH(COLUMNS($AM$1006:BL1006),$AM$1006:$BM$1006,0)), HYPERLINK("#",""), HYPERLINK(CONCATENATE("#metadata!", ADDRESS(INDEX($AH$2:$AH$1001,MATCH(ROWS($AF$2:AF652),$AF$2:$AF$1001,0),0), INDEX($AM$1004:$BM$1004,1,MATCH(COLUMNS($AM$1006:BL1006),$AM$1006:$BM$1006,0)))),"Fix")))</f>
        <v xml:space="preserve"> </v>
      </c>
      <c r="AB652" s="4" t="str">
        <f ca="1">IF(OR(INDEX($AG$2:$AG$1001,MATCH(ROWS($AF$2:AF652),$AF$2:$AF$1001,0),1)&gt;=100000,INDEX($AM$1005:$BM$1005,1,MATCH(COLUMNS($AM$1006:BM1006),$AM$1006:$BM$1006,0))&gt;=100000), " ",IF(INDEX($AM$2:$BM$1001,MATCH(ROWS($AF$2:AF652),$AF$2:$AF$1001,0),MATCH(COLUMNS($AM$1006:BM1006),$AM$1006:$BM$1006,0)), HYPERLINK("#",""), HYPERLINK(CONCATENATE("#metadata!", ADDRESS(INDEX($AH$2:$AH$1001,MATCH(ROWS($AF$2:AF652),$AF$2:$AF$1001,0),0), INDEX($AM$1004:$BM$1004,1,MATCH(COLUMNS($AM$1006:BM1006),$AM$1006:$BM$1006,0)))),"Fix")))</f>
        <v xml:space="preserve"> </v>
      </c>
      <c r="AF652">
        <v>651</v>
      </c>
      <c r="AG652">
        <v>100652</v>
      </c>
      <c r="AH652">
        <v>652</v>
      </c>
      <c r="AI652" t="b">
        <f t="shared" si="10"/>
        <v>1</v>
      </c>
      <c r="AJ652" t="b">
        <f>COUNTBLANK(metadata!B652:AB652)=COLUMNS(metadata!B652:AB652)</f>
        <v>1</v>
      </c>
      <c r="AK652" t="str">
        <v/>
      </c>
      <c r="AM652" t="b">
        <f ca="1">AND(IF(metadata!B652="",FALSE,TRUE),COUNTIF(metadata!B:B, metadata!B652) = 1,NOT(ISERROR(SUMPRODUCT(SEARCH(MID(metadata!B652,ROW(INDIRECT("1:"&amp;LEN(metadata!B652))), 1),"0123456789abcdefghijklmnopqrstuvwxyzABCDEFGHIJKLMNOPQRSTUVWXYZ.")))))</f>
        <v>0</v>
      </c>
      <c r="AN652" t="b">
        <f ca="1">OR(AND(IF(metadata!C652="",FALSE,TRUE),OR(EXACT(metadata!C652,"missing: not collected"),EXACT(metadata!C652,"missing: not provided"),EXACT(metadata!C652,"missing: restricted access"))),AND(IF(metadata!C652="",FALSE,TRUE),AND(AND(IFERROR(INT(LEFT(metadata!C652,4))&gt;1900,FALSE),IFERROR(INT(LEFT(metadata!C652,4))&lt;=YEAR(NOW()),FALSE)), OR(MID(metadata!C652,5,1)="", AND(AND(MID(metadata!C652,5,1)="-",IFERROR(INT(MID(metadata!C652,6,1))&gt;=0,FALSE),IFERROR(INT(MID(metadata!C652,6,1))&lt;=1,FALSE),NOT(MID(metadata!C652,7,1)=""),IFERROR(INT(MID(metadata!C652,6,2))&gt;=1,FALSE),IFERROR(INT(MID(metadata!C652,6,2))&lt;=12,FALSE)), OR(MID(metadata!C652,8,1)="", AND(AND(MID(metadata!C652,8,1)="-",IFERROR(INT(MID(metadata!C652,9,1))&gt;=0,FALSE),IFERROR(INT(MID(metadata!C652,9,1))&lt;=3,FALSE),NOT(MID(metadata!C652,10,1)=""),IFERROR(INT(MID(metadata!C652,9,2))&gt;=1,FALSE),IFERROR(INT(MID(metadata!C652,9,2))&lt;=31,FALSE)), OR(MID(metadata!C652,11,1)="", AND(AND(MID(metadata!C652,11,1)=" ",IFERROR(INT(MID(metadata!C652,12,1))&gt;=0,FALSE),IFERROR(INT(MID(metadata!C652,12,1))&lt;=2,FALSE),NOT(MID(metadata!C652,13,1)=""),IFERROR(INT(MID(metadata!C652,12,2))&gt;=0,FALSE),IFERROR(INT(MID(metadata!C652,12,2))&lt;=23,FALSE)), OR(MID(metadata!C652,14,1)="", AND(AND(MID(metadata!C652,14,1)=":",IFERROR(INT(MID(metadata!C652,15,1))&gt;=0,FALSE),IFERROR(INT(MID(metadata!C652,15,1))&lt;=5,FALSE),NOT(MID(metadata!C652,16,1)=""),IFERROR(INT(MID(metadata!C652,15,2))&gt;=0,FALSE),IFERROR(INT(MID(metadata!C652,15,2))&lt;=59,FALSE)), OR(MID(metadata!C652,17,1)="", AND(AND(MID(metadata!C652,17,1)=":",IFERROR(INT(MID(metadata!C652,18,1))&gt;=0,FALSE),IFERROR(INT(MID(metadata!C652,18,1))&lt;=5,FALSE),NOT(MID(metadata!C652,19,1)=""),IFERROR(INT(MID(metadata!C652,18,2))&gt;=0,FALSE),IFERROR(INT(MID(metadata!C652,18,2))&lt;=59,FALSE)), LEN(metadata!C652)&lt;=19)))))))))))))</f>
        <v>0</v>
      </c>
      <c r="AO652" t="b">
        <f>AND(IF(metadata!D652="",FALSE,TRUE),EXACT(metadata!D652,"Not applicable"))</f>
        <v>0</v>
      </c>
      <c r="AP652" t="b">
        <f>IF(metadata!E652="",FALSE,TRUE)</f>
        <v>0</v>
      </c>
      <c r="AQ652" t="b">
        <f>OR(AND(IF(metadata!F652="",FALSE,TRUE),OR(EXACT(metadata!F652,"missing: not collected"),EXACT(metadata!F652,"missing: not provided"))),AND(IF(metadata!F652="",FALSE,TRUE),OR(EXACT(metadata!F652,"TRUE"),EXACT(metadata!F652,"FALSE"))))</f>
        <v>0</v>
      </c>
      <c r="AR652" t="b">
        <f>OR(AND(IF(metadata!G652="",FALSE,TRUE),OR(EXACT(metadata!G652,"missing: not collected"),EXACT(metadata!G652,"missing: not provided"),EXACT(metadata!G652,"missing: restricted access"))),AND(IF(metadata!G652="",FALSE,ISNUMBER(VALUE(metadata!G652))),metadata!G652&gt;=-413))</f>
        <v>0</v>
      </c>
      <c r="AS652" t="b">
        <f>AND(IF(metadata!H652="",FALSE,TRUE),EXACT(metadata!H652,"meters"))</f>
        <v>0</v>
      </c>
      <c r="AT652" t="b">
        <f>AND(IF(metadata!I652="",FALSE,TRUE),OR(EXACT(metadata!I652,"Host-associated"),EXACT(metadata!I652,"Free-living")))</f>
        <v>0</v>
      </c>
      <c r="AU652" t="b">
        <f>AND(IF(metadata!J652="",FALSE,TRUE),OR(EXACT(metadata!J652,"Animal"),EXACT(metadata!J652,"Fungus"),EXACT(metadata!J652,"Plant"),EXACT(metadata!J652,"Saline"),EXACT(metadata!J652,"Non-saline")))</f>
        <v>0</v>
      </c>
      <c r="AV652" t="b">
        <f>AND(IF(metadata!K652="",FALSE,TRUE),OR(EXACT(metadata!K652,"Plant secretion"),EXACT(metadata!K652,"Plant rhizosphere"),EXACT(metadata!K652,"Plant surface"),EXACT(metadata!K652,"Plant corpus"),EXACT(metadata!K652,"Fungus surface"),EXACT(metadata!K652,"Fungus corpus"),EXACT(metadata!K652,"Animal surface"),EXACT(metadata!K652,"Animal proximal gut"),EXACT(metadata!K652,"Animal corpus"),EXACT(metadata!K652,"Animal distal gut"),EXACT(metadata!K652,"Animal secretion"),EXACT(metadata!K652,"Sub-surface (non-saline)"),EXACT(metadata!K652,"Surface (non-saline)"),EXACT(metadata!K652,"Water (non-saline)"),EXACT(metadata!K652,"Soil (non-saline)"),EXACT(metadata!K652,"Aerosol (non-saline)"),EXACT(metadata!K652,"Sediment (non-saline)"),EXACT(metadata!K652,"Surface (saline)"),EXACT(metadata!K652,"Water (saline)"),EXACT(metadata!K652,"Hypersaline (saline)"),EXACT(metadata!K652,"Aerosol (saline)"),EXACT(metadata!K652,"Sediment (saline)")))</f>
        <v>0</v>
      </c>
      <c r="AW652" t="b">
        <f>IF(metadata!L652="",FALSE,TRUE)</f>
        <v>0</v>
      </c>
      <c r="AX652" t="b">
        <f>IF(metadata!M652="",FALSE,TRUE)</f>
        <v>0</v>
      </c>
      <c r="AY652" t="b">
        <f>IF(metadata!N652="",FALSE,TRUE)</f>
        <v>0</v>
      </c>
      <c r="AZ652" t="b">
        <f>OR(AND(IF(metadata!O652="",FALSE,TRUE),OR(EXACT(metadata!O652,"missing: not collected"),EXACT(metadata!O652,"missing: not provided"),EXACT(metadata!O652,"missing: restricted access"))),AND(IF(metadata!O652="",FALSE,TRUE),OR(EXACT(metadata!O652,"air"),EXACT(metadata!O652,"built environment"),EXACT(metadata!O652,"host-associated"),EXACT(metadata!O652,"human-associated"),EXACT(metadata!O652,"human-skin"),EXACT(metadata!O652,"human-oral"),EXACT(metadata!O652,"human-gut"),EXACT(metadata!O652,"human-vaginal"),EXACT(metadata!O652,"microbial mat/biofilm"),EXACT(metadata!O652,"misc environment"),EXACT(metadata!O652,"plant-associated"),EXACT(metadata!O652,"sediment"),EXACT(metadata!O652,"soil"),EXACT(metadata!O652,"wastewater/sludge"),EXACT(metadata!O652,"water"))))</f>
        <v>0</v>
      </c>
      <c r="BA652" t="b">
        <f>IF(metadata!P652="",FALSE,TRUE)</f>
        <v>0</v>
      </c>
      <c r="BB652" t="b">
        <f>IF(metadata!Q652="",FALSE,TRUE)</f>
        <v>0</v>
      </c>
      <c r="BC652" t="b">
        <f>OR(AND(IF(metadata!R652="",FALSE,TRUE),OR(EXACT(metadata!R652,"missing: not collected"),EXACT(metadata!R652,"missing: not provided"),EXACT(metadata!R652,"missing: restricted access"))),AND(IF(metadata!R652="",FALSE,ISNUMBER(VALUE(metadata!R652))),metadata!R652&gt;=-90,metadata!R652&lt;=90))</f>
        <v>0</v>
      </c>
      <c r="BD652" t="b">
        <f>AND(IF(metadata!S652="",FALSE,TRUE),EXACT(metadata!S652,"Decimal degrees"))</f>
        <v>0</v>
      </c>
      <c r="BE652" t="b">
        <f>OR(AND(IF(metadata!T652="",FALSE,TRUE),OR(EXACT(metadata!T652,"missing: not collected"),EXACT(metadata!T652,"missing: not provided"),EXACT(metadata!T652,"missing: restricted access"))),AND(IF(metadata!T652="",FALSE,ISNUMBER(VALUE(metadata!T652))),metadata!T652&gt;=-180,metadata!T652&lt;=180))</f>
        <v>0</v>
      </c>
      <c r="BF652" t="b">
        <f>AND(IF(metadata!U652="",FALSE,TRUE),EXACT(metadata!U652,"Decimal degrees"))</f>
        <v>0</v>
      </c>
      <c r="BG652" t="b">
        <f>IF(metadata!V652="",FALSE,TRUE)</f>
        <v>0</v>
      </c>
      <c r="BH652" t="b">
        <f>OR(AND(IF(metadata!W652="",FALSE,TRUE),OR(EXACT(metadata!W652,"missing: not collected"),EXACT(metadata!W652,"missing: not provided"),EXACT(metadata!W652,"missing: restricted access"))),AND(IF(metadata!W652="",FALSE,TRUE),OR(EXACT(metadata!W652,"TRUE"),EXACT(metadata!W652,"FALSE"))))</f>
        <v>0</v>
      </c>
      <c r="BI652" t="b">
        <f>AND(IF(metadata!X652="",FALSE,TRUE),EXACT(metadata!X652,"other"))</f>
        <v>0</v>
      </c>
      <c r="BJ652" t="b">
        <f>IF(metadata!Y652="",FALSE,TRUE)</f>
        <v>0</v>
      </c>
      <c r="BK652" t="b">
        <f>OR(AND(IF(metadata!Z652="",FALSE,TRUE),OR(EXACT(metadata!Z652,"missing: not collected"),EXACT(metadata!Z652,"missing: not provided"))),AND(IF(metadata!Z652="",FALSE,IF(ISERROR(INT(metadata!Z652)),FALSE,INT(metadata!Z652)=metadata!Z652)),metadata!Z652&gt;0))</f>
        <v>0</v>
      </c>
      <c r="BL652" t="b">
        <f>AND(IF(metadata!AA652="",FALSE,TRUE),EXACT(metadata!AA652,"Not applicable"))</f>
        <v>0</v>
      </c>
      <c r="BM652" t="b">
        <f>IF(metadata!AB652="",FALSE,TRUE)</f>
        <v>0</v>
      </c>
    </row>
    <row r="653" spans="1:65" x14ac:dyDescent="0.2">
      <c r="A653" s="5" t="str">
        <f ca="1">IF(B653=" "," ",HYPERLINK(CONCATENATE("#metadata!",ADDRESS(INDEX($AH$2:$AH$1001,MATCH(ROWS($AF$2:AF653),$AF$2:$AF$1001,0),0),1)),INDEX($AK$2:$AK$1001,MATCH(ROWS($AF$2:AF653),$AF$2:$AF$1001,0),0)))</f>
        <v xml:space="preserve"> </v>
      </c>
      <c r="B653" s="4" t="str">
        <f ca="1">IF(OR(INDEX($AG$2:$AG$1001,MATCH(ROWS($AF$2:AF653),$AF$2:$AF$1001,0),1)&gt;=100000,INDEX($AM$1005:$BM$1005,1,MATCH(COLUMNS($AM$1006:AM1006),$AM$1006:$BM$1006,0))&gt;=100000), " ",IF(INDEX($AM$2:$BM$1001,MATCH(ROWS($AF$2:AF653),$AF$2:$AF$1001,0),MATCH(COLUMNS($AM$1006:AM1006),$AM$1006:$BM$1006,0)), HYPERLINK("#",""), HYPERLINK(CONCATENATE("#metadata!", ADDRESS(INDEX($AH$2:$AH$1001,MATCH(ROWS($AF$2:AF653),$AF$2:$AF$1001,0),0), INDEX($AM$1004:$BM$1004,1,MATCH(COLUMNS($AM$1006:AM1006),$AM$1006:$BM$1006,0)))),"Fix")))</f>
        <v xml:space="preserve"> </v>
      </c>
      <c r="C653" s="4" t="str">
        <f ca="1">IF(OR(INDEX($AG$2:$AG$1001,MATCH(ROWS($AF$2:AF653),$AF$2:$AF$1001,0),1)&gt;=100000,INDEX($AM$1005:$BM$1005,1,MATCH(COLUMNS($AM$1006:AN1006),$AM$1006:$BM$1006,0))&gt;=100000), " ",IF(INDEX($AM$2:$BM$1001,MATCH(ROWS($AF$2:AF653),$AF$2:$AF$1001,0),MATCH(COLUMNS($AM$1006:AN1006),$AM$1006:$BM$1006,0)), HYPERLINK("#",""), HYPERLINK(CONCATENATE("#metadata!", ADDRESS(INDEX($AH$2:$AH$1001,MATCH(ROWS($AF$2:AF653),$AF$2:$AF$1001,0),0), INDEX($AM$1004:$BM$1004,1,MATCH(COLUMNS($AM$1006:AN1006),$AM$1006:$BM$1006,0)))),"Fix")))</f>
        <v xml:space="preserve"> </v>
      </c>
      <c r="D653" s="4" t="str">
        <f ca="1">IF(OR(INDEX($AG$2:$AG$1001,MATCH(ROWS($AF$2:AF653),$AF$2:$AF$1001,0),1)&gt;=100000,INDEX($AM$1005:$BM$1005,1,MATCH(COLUMNS($AM$1006:AO1006),$AM$1006:$BM$1006,0))&gt;=100000), " ",IF(INDEX($AM$2:$BM$1001,MATCH(ROWS($AF$2:AF653),$AF$2:$AF$1001,0),MATCH(COLUMNS($AM$1006:AO1006),$AM$1006:$BM$1006,0)), HYPERLINK("#",""), HYPERLINK(CONCATENATE("#metadata!", ADDRESS(INDEX($AH$2:$AH$1001,MATCH(ROWS($AF$2:AF653),$AF$2:$AF$1001,0),0), INDEX($AM$1004:$BM$1004,1,MATCH(COLUMNS($AM$1006:AO1006),$AM$1006:$BM$1006,0)))),"Fix")))</f>
        <v xml:space="preserve"> </v>
      </c>
      <c r="E653" s="4" t="str">
        <f ca="1">IF(OR(INDEX($AG$2:$AG$1001,MATCH(ROWS($AF$2:AF653),$AF$2:$AF$1001,0),1)&gt;=100000,INDEX($AM$1005:$BM$1005,1,MATCH(COLUMNS($AM$1006:AP1006),$AM$1006:$BM$1006,0))&gt;=100000), " ",IF(INDEX($AM$2:$BM$1001,MATCH(ROWS($AF$2:AF653),$AF$2:$AF$1001,0),MATCH(COLUMNS($AM$1006:AP1006),$AM$1006:$BM$1006,0)), HYPERLINK("#",""), HYPERLINK(CONCATENATE("#metadata!", ADDRESS(INDEX($AH$2:$AH$1001,MATCH(ROWS($AF$2:AF653),$AF$2:$AF$1001,0),0), INDEX($AM$1004:$BM$1004,1,MATCH(COLUMNS($AM$1006:AP1006),$AM$1006:$BM$1006,0)))),"Fix")))</f>
        <v xml:space="preserve"> </v>
      </c>
      <c r="F653" s="4" t="str">
        <f ca="1">IF(OR(INDEX($AG$2:$AG$1001,MATCH(ROWS($AF$2:AF653),$AF$2:$AF$1001,0),1)&gt;=100000,INDEX($AM$1005:$BM$1005,1,MATCH(COLUMNS($AM$1006:AQ1006),$AM$1006:$BM$1006,0))&gt;=100000), " ",IF(INDEX($AM$2:$BM$1001,MATCH(ROWS($AF$2:AF653),$AF$2:$AF$1001,0),MATCH(COLUMNS($AM$1006:AQ1006),$AM$1006:$BM$1006,0)), HYPERLINK("#",""), HYPERLINK(CONCATENATE("#metadata!", ADDRESS(INDEX($AH$2:$AH$1001,MATCH(ROWS($AF$2:AF653),$AF$2:$AF$1001,0),0), INDEX($AM$1004:$BM$1004,1,MATCH(COLUMNS($AM$1006:AQ1006),$AM$1006:$BM$1006,0)))),"Fix")))</f>
        <v xml:space="preserve"> </v>
      </c>
      <c r="G653" s="4" t="str">
        <f ca="1">IF(OR(INDEX($AG$2:$AG$1001,MATCH(ROWS($AF$2:AF653),$AF$2:$AF$1001,0),1)&gt;=100000,INDEX($AM$1005:$BM$1005,1,MATCH(COLUMNS($AM$1006:AR1006),$AM$1006:$BM$1006,0))&gt;=100000), " ",IF(INDEX($AM$2:$BM$1001,MATCH(ROWS($AF$2:AF653),$AF$2:$AF$1001,0),MATCH(COLUMNS($AM$1006:AR1006),$AM$1006:$BM$1006,0)), HYPERLINK("#",""), HYPERLINK(CONCATENATE("#metadata!", ADDRESS(INDEX($AH$2:$AH$1001,MATCH(ROWS($AF$2:AF653),$AF$2:$AF$1001,0),0), INDEX($AM$1004:$BM$1004,1,MATCH(COLUMNS($AM$1006:AR1006),$AM$1006:$BM$1006,0)))),"Fix")))</f>
        <v xml:space="preserve"> </v>
      </c>
      <c r="H653" s="4" t="str">
        <f ca="1">IF(OR(INDEX($AG$2:$AG$1001,MATCH(ROWS($AF$2:AF653),$AF$2:$AF$1001,0),1)&gt;=100000,INDEX($AM$1005:$BM$1005,1,MATCH(COLUMNS($AM$1006:AS1006),$AM$1006:$BM$1006,0))&gt;=100000), " ",IF(INDEX($AM$2:$BM$1001,MATCH(ROWS($AF$2:AF653),$AF$2:$AF$1001,0),MATCH(COLUMNS($AM$1006:AS1006),$AM$1006:$BM$1006,0)), HYPERLINK("#",""), HYPERLINK(CONCATENATE("#metadata!", ADDRESS(INDEX($AH$2:$AH$1001,MATCH(ROWS($AF$2:AF653),$AF$2:$AF$1001,0),0), INDEX($AM$1004:$BM$1004,1,MATCH(COLUMNS($AM$1006:AS1006),$AM$1006:$BM$1006,0)))),"Fix")))</f>
        <v xml:space="preserve"> </v>
      </c>
      <c r="I653" s="4" t="str">
        <f ca="1">IF(OR(INDEX($AG$2:$AG$1001,MATCH(ROWS($AF$2:AF653),$AF$2:$AF$1001,0),1)&gt;=100000,INDEX($AM$1005:$BM$1005,1,MATCH(COLUMNS($AM$1006:AT1006),$AM$1006:$BM$1006,0))&gt;=100000), " ",IF(INDEX($AM$2:$BM$1001,MATCH(ROWS($AF$2:AF653),$AF$2:$AF$1001,0),MATCH(COLUMNS($AM$1006:AT1006),$AM$1006:$BM$1006,0)), HYPERLINK("#",""), HYPERLINK(CONCATENATE("#metadata!", ADDRESS(INDEX($AH$2:$AH$1001,MATCH(ROWS($AF$2:AF653),$AF$2:$AF$1001,0),0), INDEX($AM$1004:$BM$1004,1,MATCH(COLUMNS($AM$1006:AT1006),$AM$1006:$BM$1006,0)))),"Fix")))</f>
        <v xml:space="preserve"> </v>
      </c>
      <c r="J653" s="4" t="str">
        <f ca="1">IF(OR(INDEX($AG$2:$AG$1001,MATCH(ROWS($AF$2:AF653),$AF$2:$AF$1001,0),1)&gt;=100000,INDEX($AM$1005:$BM$1005,1,MATCH(COLUMNS($AM$1006:AU1006),$AM$1006:$BM$1006,0))&gt;=100000), " ",IF(INDEX($AM$2:$BM$1001,MATCH(ROWS($AF$2:AF653),$AF$2:$AF$1001,0),MATCH(COLUMNS($AM$1006:AU1006),$AM$1006:$BM$1006,0)), HYPERLINK("#",""), HYPERLINK(CONCATENATE("#metadata!", ADDRESS(INDEX($AH$2:$AH$1001,MATCH(ROWS($AF$2:AF653),$AF$2:$AF$1001,0),0), INDEX($AM$1004:$BM$1004,1,MATCH(COLUMNS($AM$1006:AU1006),$AM$1006:$BM$1006,0)))),"Fix")))</f>
        <v xml:space="preserve"> </v>
      </c>
      <c r="K653" s="4" t="str">
        <f ca="1">IF(OR(INDEX($AG$2:$AG$1001,MATCH(ROWS($AF$2:AF653),$AF$2:$AF$1001,0),1)&gt;=100000,INDEX($AM$1005:$BM$1005,1,MATCH(COLUMNS($AM$1006:AV1006),$AM$1006:$BM$1006,0))&gt;=100000), " ",IF(INDEX($AM$2:$BM$1001,MATCH(ROWS($AF$2:AF653),$AF$2:$AF$1001,0),MATCH(COLUMNS($AM$1006:AV1006),$AM$1006:$BM$1006,0)), HYPERLINK("#",""), HYPERLINK(CONCATENATE("#metadata!", ADDRESS(INDEX($AH$2:$AH$1001,MATCH(ROWS($AF$2:AF653),$AF$2:$AF$1001,0),0), INDEX($AM$1004:$BM$1004,1,MATCH(COLUMNS($AM$1006:AV1006),$AM$1006:$BM$1006,0)))),"Fix")))</f>
        <v xml:space="preserve"> </v>
      </c>
      <c r="L653" s="4" t="str">
        <f ca="1">IF(OR(INDEX($AG$2:$AG$1001,MATCH(ROWS($AF$2:AF653),$AF$2:$AF$1001,0),1)&gt;=100000,INDEX($AM$1005:$BM$1005,1,MATCH(COLUMNS($AM$1006:AW1006),$AM$1006:$BM$1006,0))&gt;=100000), " ",IF(INDEX($AM$2:$BM$1001,MATCH(ROWS($AF$2:AF653),$AF$2:$AF$1001,0),MATCH(COLUMNS($AM$1006:AW1006),$AM$1006:$BM$1006,0)), HYPERLINK("#",""), HYPERLINK(CONCATENATE("#metadata!", ADDRESS(INDEX($AH$2:$AH$1001,MATCH(ROWS($AF$2:AF653),$AF$2:$AF$1001,0),0), INDEX($AM$1004:$BM$1004,1,MATCH(COLUMNS($AM$1006:AW1006),$AM$1006:$BM$1006,0)))),"Fix")))</f>
        <v xml:space="preserve"> </v>
      </c>
      <c r="M653" s="4" t="str">
        <f ca="1">IF(OR(INDEX($AG$2:$AG$1001,MATCH(ROWS($AF$2:AF653),$AF$2:$AF$1001,0),1)&gt;=100000,INDEX($AM$1005:$BM$1005,1,MATCH(COLUMNS($AM$1006:AX1006),$AM$1006:$BM$1006,0))&gt;=100000), " ",IF(INDEX($AM$2:$BM$1001,MATCH(ROWS($AF$2:AF653),$AF$2:$AF$1001,0),MATCH(COLUMNS($AM$1006:AX1006),$AM$1006:$BM$1006,0)), HYPERLINK("#",""), HYPERLINK(CONCATENATE("#metadata!", ADDRESS(INDEX($AH$2:$AH$1001,MATCH(ROWS($AF$2:AF653),$AF$2:$AF$1001,0),0), INDEX($AM$1004:$BM$1004,1,MATCH(COLUMNS($AM$1006:AX1006),$AM$1006:$BM$1006,0)))),"Fix")))</f>
        <v xml:space="preserve"> </v>
      </c>
      <c r="N653" s="4" t="str">
        <f ca="1">IF(OR(INDEX($AG$2:$AG$1001,MATCH(ROWS($AF$2:AF653),$AF$2:$AF$1001,0),1)&gt;=100000,INDEX($AM$1005:$BM$1005,1,MATCH(COLUMNS($AM$1006:AY1006),$AM$1006:$BM$1006,0))&gt;=100000), " ",IF(INDEX($AM$2:$BM$1001,MATCH(ROWS($AF$2:AF653),$AF$2:$AF$1001,0),MATCH(COLUMNS($AM$1006:AY1006),$AM$1006:$BM$1006,0)), HYPERLINK("#",""), HYPERLINK(CONCATENATE("#metadata!", ADDRESS(INDEX($AH$2:$AH$1001,MATCH(ROWS($AF$2:AF653),$AF$2:$AF$1001,0),0), INDEX($AM$1004:$BM$1004,1,MATCH(COLUMNS($AM$1006:AY1006),$AM$1006:$BM$1006,0)))),"Fix")))</f>
        <v xml:space="preserve"> </v>
      </c>
      <c r="O653" s="4" t="str">
        <f ca="1">IF(OR(INDEX($AG$2:$AG$1001,MATCH(ROWS($AF$2:AF653),$AF$2:$AF$1001,0),1)&gt;=100000,INDEX($AM$1005:$BM$1005,1,MATCH(COLUMNS($AM$1006:AZ1006),$AM$1006:$BM$1006,0))&gt;=100000), " ",IF(INDEX($AM$2:$BM$1001,MATCH(ROWS($AF$2:AF653),$AF$2:$AF$1001,0),MATCH(COLUMNS($AM$1006:AZ1006),$AM$1006:$BM$1006,0)), HYPERLINK("#",""), HYPERLINK(CONCATENATE("#metadata!", ADDRESS(INDEX($AH$2:$AH$1001,MATCH(ROWS($AF$2:AF653),$AF$2:$AF$1001,0),0), INDEX($AM$1004:$BM$1004,1,MATCH(COLUMNS($AM$1006:AZ1006),$AM$1006:$BM$1006,0)))),"Fix")))</f>
        <v xml:space="preserve"> </v>
      </c>
      <c r="P653" s="4" t="str">
        <f ca="1">IF(OR(INDEX($AG$2:$AG$1001,MATCH(ROWS($AF$2:AF653),$AF$2:$AF$1001,0),1)&gt;=100000,INDEX($AM$1005:$BM$1005,1,MATCH(COLUMNS($AM$1006:BA1006),$AM$1006:$BM$1006,0))&gt;=100000), " ",IF(INDEX($AM$2:$BM$1001,MATCH(ROWS($AF$2:AF653),$AF$2:$AF$1001,0),MATCH(COLUMNS($AM$1006:BA1006),$AM$1006:$BM$1006,0)), HYPERLINK("#",""), HYPERLINK(CONCATENATE("#metadata!", ADDRESS(INDEX($AH$2:$AH$1001,MATCH(ROWS($AF$2:AF653),$AF$2:$AF$1001,0),0), INDEX($AM$1004:$BM$1004,1,MATCH(COLUMNS($AM$1006:BA1006),$AM$1006:$BM$1006,0)))),"Fix")))</f>
        <v xml:space="preserve"> </v>
      </c>
      <c r="Q653" s="4" t="str">
        <f ca="1">IF(OR(INDEX($AG$2:$AG$1001,MATCH(ROWS($AF$2:AF653),$AF$2:$AF$1001,0),1)&gt;=100000,INDEX($AM$1005:$BM$1005,1,MATCH(COLUMNS($AM$1006:BB1006),$AM$1006:$BM$1006,0))&gt;=100000), " ",IF(INDEX($AM$2:$BM$1001,MATCH(ROWS($AF$2:AF653),$AF$2:$AF$1001,0),MATCH(COLUMNS($AM$1006:BB1006),$AM$1006:$BM$1006,0)), HYPERLINK("#",""), HYPERLINK(CONCATENATE("#metadata!", ADDRESS(INDEX($AH$2:$AH$1001,MATCH(ROWS($AF$2:AF653),$AF$2:$AF$1001,0),0), INDEX($AM$1004:$BM$1004,1,MATCH(COLUMNS($AM$1006:BB1006),$AM$1006:$BM$1006,0)))),"Fix")))</f>
        <v xml:space="preserve"> </v>
      </c>
      <c r="R653" s="4" t="str">
        <f ca="1">IF(OR(INDEX($AG$2:$AG$1001,MATCH(ROWS($AF$2:AF653),$AF$2:$AF$1001,0),1)&gt;=100000,INDEX($AM$1005:$BM$1005,1,MATCH(COLUMNS($AM$1006:BC1006),$AM$1006:$BM$1006,0))&gt;=100000), " ",IF(INDEX($AM$2:$BM$1001,MATCH(ROWS($AF$2:AF653),$AF$2:$AF$1001,0),MATCH(COLUMNS($AM$1006:BC1006),$AM$1006:$BM$1006,0)), HYPERLINK("#",""), HYPERLINK(CONCATENATE("#metadata!", ADDRESS(INDEX($AH$2:$AH$1001,MATCH(ROWS($AF$2:AF653),$AF$2:$AF$1001,0),0), INDEX($AM$1004:$BM$1004,1,MATCH(COLUMNS($AM$1006:BC1006),$AM$1006:$BM$1006,0)))),"Fix")))</f>
        <v xml:space="preserve"> </v>
      </c>
      <c r="S653" s="4" t="str">
        <f ca="1">IF(OR(INDEX($AG$2:$AG$1001,MATCH(ROWS($AF$2:AF653),$AF$2:$AF$1001,0),1)&gt;=100000,INDEX($AM$1005:$BM$1005,1,MATCH(COLUMNS($AM$1006:BD1006),$AM$1006:$BM$1006,0))&gt;=100000), " ",IF(INDEX($AM$2:$BM$1001,MATCH(ROWS($AF$2:AF653),$AF$2:$AF$1001,0),MATCH(COLUMNS($AM$1006:BD1006),$AM$1006:$BM$1006,0)), HYPERLINK("#",""), HYPERLINK(CONCATENATE("#metadata!", ADDRESS(INDEX($AH$2:$AH$1001,MATCH(ROWS($AF$2:AF653),$AF$2:$AF$1001,0),0), INDEX($AM$1004:$BM$1004,1,MATCH(COLUMNS($AM$1006:BD1006),$AM$1006:$BM$1006,0)))),"Fix")))</f>
        <v xml:space="preserve"> </v>
      </c>
      <c r="T653" s="4" t="str">
        <f ca="1">IF(OR(INDEX($AG$2:$AG$1001,MATCH(ROWS($AF$2:AF653),$AF$2:$AF$1001,0),1)&gt;=100000,INDEX($AM$1005:$BM$1005,1,MATCH(COLUMNS($AM$1006:BE1006),$AM$1006:$BM$1006,0))&gt;=100000), " ",IF(INDEX($AM$2:$BM$1001,MATCH(ROWS($AF$2:AF653),$AF$2:$AF$1001,0),MATCH(COLUMNS($AM$1006:BE1006),$AM$1006:$BM$1006,0)), HYPERLINK("#",""), HYPERLINK(CONCATENATE("#metadata!", ADDRESS(INDEX($AH$2:$AH$1001,MATCH(ROWS($AF$2:AF653),$AF$2:$AF$1001,0),0), INDEX($AM$1004:$BM$1004,1,MATCH(COLUMNS($AM$1006:BE1006),$AM$1006:$BM$1006,0)))),"Fix")))</f>
        <v xml:space="preserve"> </v>
      </c>
      <c r="U653" s="4" t="str">
        <f ca="1">IF(OR(INDEX($AG$2:$AG$1001,MATCH(ROWS($AF$2:AF653),$AF$2:$AF$1001,0),1)&gt;=100000,INDEX($AM$1005:$BM$1005,1,MATCH(COLUMNS($AM$1006:BF1006),$AM$1006:$BM$1006,0))&gt;=100000), " ",IF(INDEX($AM$2:$BM$1001,MATCH(ROWS($AF$2:AF653),$AF$2:$AF$1001,0),MATCH(COLUMNS($AM$1006:BF1006),$AM$1006:$BM$1006,0)), HYPERLINK("#",""), HYPERLINK(CONCATENATE("#metadata!", ADDRESS(INDEX($AH$2:$AH$1001,MATCH(ROWS($AF$2:AF653),$AF$2:$AF$1001,0),0), INDEX($AM$1004:$BM$1004,1,MATCH(COLUMNS($AM$1006:BF1006),$AM$1006:$BM$1006,0)))),"Fix")))</f>
        <v xml:space="preserve"> </v>
      </c>
      <c r="V653" s="4" t="str">
        <f ca="1">IF(OR(INDEX($AG$2:$AG$1001,MATCH(ROWS($AF$2:AF653),$AF$2:$AF$1001,0),1)&gt;=100000,INDEX($AM$1005:$BM$1005,1,MATCH(COLUMNS($AM$1006:BG1006),$AM$1006:$BM$1006,0))&gt;=100000), " ",IF(INDEX($AM$2:$BM$1001,MATCH(ROWS($AF$2:AF653),$AF$2:$AF$1001,0),MATCH(COLUMNS($AM$1006:BG1006),$AM$1006:$BM$1006,0)), HYPERLINK("#",""), HYPERLINK(CONCATENATE("#metadata!", ADDRESS(INDEX($AH$2:$AH$1001,MATCH(ROWS($AF$2:AF653),$AF$2:$AF$1001,0),0), INDEX($AM$1004:$BM$1004,1,MATCH(COLUMNS($AM$1006:BG1006),$AM$1006:$BM$1006,0)))),"Fix")))</f>
        <v xml:space="preserve"> </v>
      </c>
      <c r="W653" s="4" t="str">
        <f ca="1">IF(OR(INDEX($AG$2:$AG$1001,MATCH(ROWS($AF$2:AF653),$AF$2:$AF$1001,0),1)&gt;=100000,INDEX($AM$1005:$BM$1005,1,MATCH(COLUMNS($AM$1006:BH1006),$AM$1006:$BM$1006,0))&gt;=100000), " ",IF(INDEX($AM$2:$BM$1001,MATCH(ROWS($AF$2:AF653),$AF$2:$AF$1001,0),MATCH(COLUMNS($AM$1006:BH1006),$AM$1006:$BM$1006,0)), HYPERLINK("#",""), HYPERLINK(CONCATENATE("#metadata!", ADDRESS(INDEX($AH$2:$AH$1001,MATCH(ROWS($AF$2:AF653),$AF$2:$AF$1001,0),0), INDEX($AM$1004:$BM$1004,1,MATCH(COLUMNS($AM$1006:BH1006),$AM$1006:$BM$1006,0)))),"Fix")))</f>
        <v xml:space="preserve"> </v>
      </c>
      <c r="X653" s="4" t="str">
        <f ca="1">IF(OR(INDEX($AG$2:$AG$1001,MATCH(ROWS($AF$2:AF653),$AF$2:$AF$1001,0),1)&gt;=100000,INDEX($AM$1005:$BM$1005,1,MATCH(COLUMNS($AM$1006:BI1006),$AM$1006:$BM$1006,0))&gt;=100000), " ",IF(INDEX($AM$2:$BM$1001,MATCH(ROWS($AF$2:AF653),$AF$2:$AF$1001,0),MATCH(COLUMNS($AM$1006:BI1006),$AM$1006:$BM$1006,0)), HYPERLINK("#",""), HYPERLINK(CONCATENATE("#metadata!", ADDRESS(INDEX($AH$2:$AH$1001,MATCH(ROWS($AF$2:AF653),$AF$2:$AF$1001,0),0), INDEX($AM$1004:$BM$1004,1,MATCH(COLUMNS($AM$1006:BI1006),$AM$1006:$BM$1006,0)))),"Fix")))</f>
        <v xml:space="preserve"> </v>
      </c>
      <c r="Y653" s="4" t="str">
        <f ca="1">IF(OR(INDEX($AG$2:$AG$1001,MATCH(ROWS($AF$2:AF653),$AF$2:$AF$1001,0),1)&gt;=100000,INDEX($AM$1005:$BM$1005,1,MATCH(COLUMNS($AM$1006:BJ1006),$AM$1006:$BM$1006,0))&gt;=100000), " ",IF(INDEX($AM$2:$BM$1001,MATCH(ROWS($AF$2:AF653),$AF$2:$AF$1001,0),MATCH(COLUMNS($AM$1006:BJ1006),$AM$1006:$BM$1006,0)), HYPERLINK("#",""), HYPERLINK(CONCATENATE("#metadata!", ADDRESS(INDEX($AH$2:$AH$1001,MATCH(ROWS($AF$2:AF653),$AF$2:$AF$1001,0),0), INDEX($AM$1004:$BM$1004,1,MATCH(COLUMNS($AM$1006:BJ1006),$AM$1006:$BM$1006,0)))),"Fix")))</f>
        <v xml:space="preserve"> </v>
      </c>
      <c r="Z653" s="4" t="str">
        <f ca="1">IF(OR(INDEX($AG$2:$AG$1001,MATCH(ROWS($AF$2:AF653),$AF$2:$AF$1001,0),1)&gt;=100000,INDEX($AM$1005:$BM$1005,1,MATCH(COLUMNS($AM$1006:BK1006),$AM$1006:$BM$1006,0))&gt;=100000), " ",IF(INDEX($AM$2:$BM$1001,MATCH(ROWS($AF$2:AF653),$AF$2:$AF$1001,0),MATCH(COLUMNS($AM$1006:BK1006),$AM$1006:$BM$1006,0)), HYPERLINK("#",""), HYPERLINK(CONCATENATE("#metadata!", ADDRESS(INDEX($AH$2:$AH$1001,MATCH(ROWS($AF$2:AF653),$AF$2:$AF$1001,0),0), INDEX($AM$1004:$BM$1004,1,MATCH(COLUMNS($AM$1006:BK1006),$AM$1006:$BM$1006,0)))),"Fix")))</f>
        <v xml:space="preserve"> </v>
      </c>
      <c r="AA653" s="4" t="str">
        <f ca="1">IF(OR(INDEX($AG$2:$AG$1001,MATCH(ROWS($AF$2:AF653),$AF$2:$AF$1001,0),1)&gt;=100000,INDEX($AM$1005:$BM$1005,1,MATCH(COLUMNS($AM$1006:BL1006),$AM$1006:$BM$1006,0))&gt;=100000), " ",IF(INDEX($AM$2:$BM$1001,MATCH(ROWS($AF$2:AF653),$AF$2:$AF$1001,0),MATCH(COLUMNS($AM$1006:BL1006),$AM$1006:$BM$1006,0)), HYPERLINK("#",""), HYPERLINK(CONCATENATE("#metadata!", ADDRESS(INDEX($AH$2:$AH$1001,MATCH(ROWS($AF$2:AF653),$AF$2:$AF$1001,0),0), INDEX($AM$1004:$BM$1004,1,MATCH(COLUMNS($AM$1006:BL1006),$AM$1006:$BM$1006,0)))),"Fix")))</f>
        <v xml:space="preserve"> </v>
      </c>
      <c r="AB653" s="4" t="str">
        <f ca="1">IF(OR(INDEX($AG$2:$AG$1001,MATCH(ROWS($AF$2:AF653),$AF$2:$AF$1001,0),1)&gt;=100000,INDEX($AM$1005:$BM$1005,1,MATCH(COLUMNS($AM$1006:BM1006),$AM$1006:$BM$1006,0))&gt;=100000), " ",IF(INDEX($AM$2:$BM$1001,MATCH(ROWS($AF$2:AF653),$AF$2:$AF$1001,0),MATCH(COLUMNS($AM$1006:BM1006),$AM$1006:$BM$1006,0)), HYPERLINK("#",""), HYPERLINK(CONCATENATE("#metadata!", ADDRESS(INDEX($AH$2:$AH$1001,MATCH(ROWS($AF$2:AF653),$AF$2:$AF$1001,0),0), INDEX($AM$1004:$BM$1004,1,MATCH(COLUMNS($AM$1006:BM1006),$AM$1006:$BM$1006,0)))),"Fix")))</f>
        <v xml:space="preserve"> </v>
      </c>
      <c r="AF653">
        <v>652</v>
      </c>
      <c r="AG653">
        <v>100653</v>
      </c>
      <c r="AH653">
        <v>653</v>
      </c>
      <c r="AI653" t="b">
        <f t="shared" si="10"/>
        <v>1</v>
      </c>
      <c r="AJ653" t="b">
        <f>COUNTBLANK(metadata!B653:AB653)=COLUMNS(metadata!B653:AB653)</f>
        <v>1</v>
      </c>
      <c r="AK653" t="str">
        <v/>
      </c>
      <c r="AM653" t="b">
        <f ca="1">AND(IF(metadata!B653="",FALSE,TRUE),COUNTIF(metadata!B:B, metadata!B653) = 1,NOT(ISERROR(SUMPRODUCT(SEARCH(MID(metadata!B653,ROW(INDIRECT("1:"&amp;LEN(metadata!B653))), 1),"0123456789abcdefghijklmnopqrstuvwxyzABCDEFGHIJKLMNOPQRSTUVWXYZ.")))))</f>
        <v>0</v>
      </c>
      <c r="AN653" t="b">
        <f ca="1">OR(AND(IF(metadata!C653="",FALSE,TRUE),OR(EXACT(metadata!C653,"missing: not collected"),EXACT(metadata!C653,"missing: not provided"),EXACT(metadata!C653,"missing: restricted access"))),AND(IF(metadata!C653="",FALSE,TRUE),AND(AND(IFERROR(INT(LEFT(metadata!C653,4))&gt;1900,FALSE),IFERROR(INT(LEFT(metadata!C653,4))&lt;=YEAR(NOW()),FALSE)), OR(MID(metadata!C653,5,1)="", AND(AND(MID(metadata!C653,5,1)="-",IFERROR(INT(MID(metadata!C653,6,1))&gt;=0,FALSE),IFERROR(INT(MID(metadata!C653,6,1))&lt;=1,FALSE),NOT(MID(metadata!C653,7,1)=""),IFERROR(INT(MID(metadata!C653,6,2))&gt;=1,FALSE),IFERROR(INT(MID(metadata!C653,6,2))&lt;=12,FALSE)), OR(MID(metadata!C653,8,1)="", AND(AND(MID(metadata!C653,8,1)="-",IFERROR(INT(MID(metadata!C653,9,1))&gt;=0,FALSE),IFERROR(INT(MID(metadata!C653,9,1))&lt;=3,FALSE),NOT(MID(metadata!C653,10,1)=""),IFERROR(INT(MID(metadata!C653,9,2))&gt;=1,FALSE),IFERROR(INT(MID(metadata!C653,9,2))&lt;=31,FALSE)), OR(MID(metadata!C653,11,1)="", AND(AND(MID(metadata!C653,11,1)=" ",IFERROR(INT(MID(metadata!C653,12,1))&gt;=0,FALSE),IFERROR(INT(MID(metadata!C653,12,1))&lt;=2,FALSE),NOT(MID(metadata!C653,13,1)=""),IFERROR(INT(MID(metadata!C653,12,2))&gt;=0,FALSE),IFERROR(INT(MID(metadata!C653,12,2))&lt;=23,FALSE)), OR(MID(metadata!C653,14,1)="", AND(AND(MID(metadata!C653,14,1)=":",IFERROR(INT(MID(metadata!C653,15,1))&gt;=0,FALSE),IFERROR(INT(MID(metadata!C653,15,1))&lt;=5,FALSE),NOT(MID(metadata!C653,16,1)=""),IFERROR(INT(MID(metadata!C653,15,2))&gt;=0,FALSE),IFERROR(INT(MID(metadata!C653,15,2))&lt;=59,FALSE)), OR(MID(metadata!C653,17,1)="", AND(AND(MID(metadata!C653,17,1)=":",IFERROR(INT(MID(metadata!C653,18,1))&gt;=0,FALSE),IFERROR(INT(MID(metadata!C653,18,1))&lt;=5,FALSE),NOT(MID(metadata!C653,19,1)=""),IFERROR(INT(MID(metadata!C653,18,2))&gt;=0,FALSE),IFERROR(INT(MID(metadata!C653,18,2))&lt;=59,FALSE)), LEN(metadata!C653)&lt;=19)))))))))))))</f>
        <v>0</v>
      </c>
      <c r="AO653" t="b">
        <f>AND(IF(metadata!D653="",FALSE,TRUE),EXACT(metadata!D653,"Not applicable"))</f>
        <v>0</v>
      </c>
      <c r="AP653" t="b">
        <f>IF(metadata!E653="",FALSE,TRUE)</f>
        <v>0</v>
      </c>
      <c r="AQ653" t="b">
        <f>OR(AND(IF(metadata!F653="",FALSE,TRUE),OR(EXACT(metadata!F653,"missing: not collected"),EXACT(metadata!F653,"missing: not provided"))),AND(IF(metadata!F653="",FALSE,TRUE),OR(EXACT(metadata!F653,"TRUE"),EXACT(metadata!F653,"FALSE"))))</f>
        <v>0</v>
      </c>
      <c r="AR653" t="b">
        <f>OR(AND(IF(metadata!G653="",FALSE,TRUE),OR(EXACT(metadata!G653,"missing: not collected"),EXACT(metadata!G653,"missing: not provided"),EXACT(metadata!G653,"missing: restricted access"))),AND(IF(metadata!G653="",FALSE,ISNUMBER(VALUE(metadata!G653))),metadata!G653&gt;=-413))</f>
        <v>0</v>
      </c>
      <c r="AS653" t="b">
        <f>AND(IF(metadata!H653="",FALSE,TRUE),EXACT(metadata!H653,"meters"))</f>
        <v>0</v>
      </c>
      <c r="AT653" t="b">
        <f>AND(IF(metadata!I653="",FALSE,TRUE),OR(EXACT(metadata!I653,"Host-associated"),EXACT(metadata!I653,"Free-living")))</f>
        <v>0</v>
      </c>
      <c r="AU653" t="b">
        <f>AND(IF(metadata!J653="",FALSE,TRUE),OR(EXACT(metadata!J653,"Animal"),EXACT(metadata!J653,"Fungus"),EXACT(metadata!J653,"Plant"),EXACT(metadata!J653,"Saline"),EXACT(metadata!J653,"Non-saline")))</f>
        <v>0</v>
      </c>
      <c r="AV653" t="b">
        <f>AND(IF(metadata!K653="",FALSE,TRUE),OR(EXACT(metadata!K653,"Plant secretion"),EXACT(metadata!K653,"Plant rhizosphere"),EXACT(metadata!K653,"Plant surface"),EXACT(metadata!K653,"Plant corpus"),EXACT(metadata!K653,"Fungus surface"),EXACT(metadata!K653,"Fungus corpus"),EXACT(metadata!K653,"Animal surface"),EXACT(metadata!K653,"Animal proximal gut"),EXACT(metadata!K653,"Animal corpus"),EXACT(metadata!K653,"Animal distal gut"),EXACT(metadata!K653,"Animal secretion"),EXACT(metadata!K653,"Sub-surface (non-saline)"),EXACT(metadata!K653,"Surface (non-saline)"),EXACT(metadata!K653,"Water (non-saline)"),EXACT(metadata!K653,"Soil (non-saline)"),EXACT(metadata!K653,"Aerosol (non-saline)"),EXACT(metadata!K653,"Sediment (non-saline)"),EXACT(metadata!K653,"Surface (saline)"),EXACT(metadata!K653,"Water (saline)"),EXACT(metadata!K653,"Hypersaline (saline)"),EXACT(metadata!K653,"Aerosol (saline)"),EXACT(metadata!K653,"Sediment (saline)")))</f>
        <v>0</v>
      </c>
      <c r="AW653" t="b">
        <f>IF(metadata!L653="",FALSE,TRUE)</f>
        <v>0</v>
      </c>
      <c r="AX653" t="b">
        <f>IF(metadata!M653="",FALSE,TRUE)</f>
        <v>0</v>
      </c>
      <c r="AY653" t="b">
        <f>IF(metadata!N653="",FALSE,TRUE)</f>
        <v>0</v>
      </c>
      <c r="AZ653" t="b">
        <f>OR(AND(IF(metadata!O653="",FALSE,TRUE),OR(EXACT(metadata!O653,"missing: not collected"),EXACT(metadata!O653,"missing: not provided"),EXACT(metadata!O653,"missing: restricted access"))),AND(IF(metadata!O653="",FALSE,TRUE),OR(EXACT(metadata!O653,"air"),EXACT(metadata!O653,"built environment"),EXACT(metadata!O653,"host-associated"),EXACT(metadata!O653,"human-associated"),EXACT(metadata!O653,"human-skin"),EXACT(metadata!O653,"human-oral"),EXACT(metadata!O653,"human-gut"),EXACT(metadata!O653,"human-vaginal"),EXACT(metadata!O653,"microbial mat/biofilm"),EXACT(metadata!O653,"misc environment"),EXACT(metadata!O653,"plant-associated"),EXACT(metadata!O653,"sediment"),EXACT(metadata!O653,"soil"),EXACT(metadata!O653,"wastewater/sludge"),EXACT(metadata!O653,"water"))))</f>
        <v>0</v>
      </c>
      <c r="BA653" t="b">
        <f>IF(metadata!P653="",FALSE,TRUE)</f>
        <v>0</v>
      </c>
      <c r="BB653" t="b">
        <f>IF(metadata!Q653="",FALSE,TRUE)</f>
        <v>0</v>
      </c>
      <c r="BC653" t="b">
        <f>OR(AND(IF(metadata!R653="",FALSE,TRUE),OR(EXACT(metadata!R653,"missing: not collected"),EXACT(metadata!R653,"missing: not provided"),EXACT(metadata!R653,"missing: restricted access"))),AND(IF(metadata!R653="",FALSE,ISNUMBER(VALUE(metadata!R653))),metadata!R653&gt;=-90,metadata!R653&lt;=90))</f>
        <v>0</v>
      </c>
      <c r="BD653" t="b">
        <f>AND(IF(metadata!S653="",FALSE,TRUE),EXACT(metadata!S653,"Decimal degrees"))</f>
        <v>0</v>
      </c>
      <c r="BE653" t="b">
        <f>OR(AND(IF(metadata!T653="",FALSE,TRUE),OR(EXACT(metadata!T653,"missing: not collected"),EXACT(metadata!T653,"missing: not provided"),EXACT(metadata!T653,"missing: restricted access"))),AND(IF(metadata!T653="",FALSE,ISNUMBER(VALUE(metadata!T653))),metadata!T653&gt;=-180,metadata!T653&lt;=180))</f>
        <v>0</v>
      </c>
      <c r="BF653" t="b">
        <f>AND(IF(metadata!U653="",FALSE,TRUE),EXACT(metadata!U653,"Decimal degrees"))</f>
        <v>0</v>
      </c>
      <c r="BG653" t="b">
        <f>IF(metadata!V653="",FALSE,TRUE)</f>
        <v>0</v>
      </c>
      <c r="BH653" t="b">
        <f>OR(AND(IF(metadata!W653="",FALSE,TRUE),OR(EXACT(metadata!W653,"missing: not collected"),EXACT(metadata!W653,"missing: not provided"),EXACT(metadata!W653,"missing: restricted access"))),AND(IF(metadata!W653="",FALSE,TRUE),OR(EXACT(metadata!W653,"TRUE"),EXACT(metadata!W653,"FALSE"))))</f>
        <v>0</v>
      </c>
      <c r="BI653" t="b">
        <f>AND(IF(metadata!X653="",FALSE,TRUE),EXACT(metadata!X653,"other"))</f>
        <v>0</v>
      </c>
      <c r="BJ653" t="b">
        <f>IF(metadata!Y653="",FALSE,TRUE)</f>
        <v>0</v>
      </c>
      <c r="BK653" t="b">
        <f>OR(AND(IF(metadata!Z653="",FALSE,TRUE),OR(EXACT(metadata!Z653,"missing: not collected"),EXACT(metadata!Z653,"missing: not provided"))),AND(IF(metadata!Z653="",FALSE,IF(ISERROR(INT(metadata!Z653)),FALSE,INT(metadata!Z653)=metadata!Z653)),metadata!Z653&gt;0))</f>
        <v>0</v>
      </c>
      <c r="BL653" t="b">
        <f>AND(IF(metadata!AA653="",FALSE,TRUE),EXACT(metadata!AA653,"Not applicable"))</f>
        <v>0</v>
      </c>
      <c r="BM653" t="b">
        <f>IF(metadata!AB653="",FALSE,TRUE)</f>
        <v>0</v>
      </c>
    </row>
    <row r="654" spans="1:65" x14ac:dyDescent="0.2">
      <c r="A654" s="5" t="str">
        <f ca="1">IF(B654=" "," ",HYPERLINK(CONCATENATE("#metadata!",ADDRESS(INDEX($AH$2:$AH$1001,MATCH(ROWS($AF$2:AF654),$AF$2:$AF$1001,0),0),1)),INDEX($AK$2:$AK$1001,MATCH(ROWS($AF$2:AF654),$AF$2:$AF$1001,0),0)))</f>
        <v xml:space="preserve"> </v>
      </c>
      <c r="B654" s="4" t="str">
        <f ca="1">IF(OR(INDEX($AG$2:$AG$1001,MATCH(ROWS($AF$2:AF654),$AF$2:$AF$1001,0),1)&gt;=100000,INDEX($AM$1005:$BM$1005,1,MATCH(COLUMNS($AM$1006:AM1006),$AM$1006:$BM$1006,0))&gt;=100000), " ",IF(INDEX($AM$2:$BM$1001,MATCH(ROWS($AF$2:AF654),$AF$2:$AF$1001,0),MATCH(COLUMNS($AM$1006:AM1006),$AM$1006:$BM$1006,0)), HYPERLINK("#",""), HYPERLINK(CONCATENATE("#metadata!", ADDRESS(INDEX($AH$2:$AH$1001,MATCH(ROWS($AF$2:AF654),$AF$2:$AF$1001,0),0), INDEX($AM$1004:$BM$1004,1,MATCH(COLUMNS($AM$1006:AM1006),$AM$1006:$BM$1006,0)))),"Fix")))</f>
        <v xml:space="preserve"> </v>
      </c>
      <c r="C654" s="4" t="str">
        <f ca="1">IF(OR(INDEX($AG$2:$AG$1001,MATCH(ROWS($AF$2:AF654),$AF$2:$AF$1001,0),1)&gt;=100000,INDEX($AM$1005:$BM$1005,1,MATCH(COLUMNS($AM$1006:AN1006),$AM$1006:$BM$1006,0))&gt;=100000), " ",IF(INDEX($AM$2:$BM$1001,MATCH(ROWS($AF$2:AF654),$AF$2:$AF$1001,0),MATCH(COLUMNS($AM$1006:AN1006),$AM$1006:$BM$1006,0)), HYPERLINK("#",""), HYPERLINK(CONCATENATE("#metadata!", ADDRESS(INDEX($AH$2:$AH$1001,MATCH(ROWS($AF$2:AF654),$AF$2:$AF$1001,0),0), INDEX($AM$1004:$BM$1004,1,MATCH(COLUMNS($AM$1006:AN1006),$AM$1006:$BM$1006,0)))),"Fix")))</f>
        <v xml:space="preserve"> </v>
      </c>
      <c r="D654" s="4" t="str">
        <f ca="1">IF(OR(INDEX($AG$2:$AG$1001,MATCH(ROWS($AF$2:AF654),$AF$2:$AF$1001,0),1)&gt;=100000,INDEX($AM$1005:$BM$1005,1,MATCH(COLUMNS($AM$1006:AO1006),$AM$1006:$BM$1006,0))&gt;=100000), " ",IF(INDEX($AM$2:$BM$1001,MATCH(ROWS($AF$2:AF654),$AF$2:$AF$1001,0),MATCH(COLUMNS($AM$1006:AO1006),$AM$1006:$BM$1006,0)), HYPERLINK("#",""), HYPERLINK(CONCATENATE("#metadata!", ADDRESS(INDEX($AH$2:$AH$1001,MATCH(ROWS($AF$2:AF654),$AF$2:$AF$1001,0),0), INDEX($AM$1004:$BM$1004,1,MATCH(COLUMNS($AM$1006:AO1006),$AM$1006:$BM$1006,0)))),"Fix")))</f>
        <v xml:space="preserve"> </v>
      </c>
      <c r="E654" s="4" t="str">
        <f ca="1">IF(OR(INDEX($AG$2:$AG$1001,MATCH(ROWS($AF$2:AF654),$AF$2:$AF$1001,0),1)&gt;=100000,INDEX($AM$1005:$BM$1005,1,MATCH(COLUMNS($AM$1006:AP1006),$AM$1006:$BM$1006,0))&gt;=100000), " ",IF(INDEX($AM$2:$BM$1001,MATCH(ROWS($AF$2:AF654),$AF$2:$AF$1001,0),MATCH(COLUMNS($AM$1006:AP1006),$AM$1006:$BM$1006,0)), HYPERLINK("#",""), HYPERLINK(CONCATENATE("#metadata!", ADDRESS(INDEX($AH$2:$AH$1001,MATCH(ROWS($AF$2:AF654),$AF$2:$AF$1001,0),0), INDEX($AM$1004:$BM$1004,1,MATCH(COLUMNS($AM$1006:AP1006),$AM$1006:$BM$1006,0)))),"Fix")))</f>
        <v xml:space="preserve"> </v>
      </c>
      <c r="F654" s="4" t="str">
        <f ca="1">IF(OR(INDEX($AG$2:$AG$1001,MATCH(ROWS($AF$2:AF654),$AF$2:$AF$1001,0),1)&gt;=100000,INDEX($AM$1005:$BM$1005,1,MATCH(COLUMNS($AM$1006:AQ1006),$AM$1006:$BM$1006,0))&gt;=100000), " ",IF(INDEX($AM$2:$BM$1001,MATCH(ROWS($AF$2:AF654),$AF$2:$AF$1001,0),MATCH(COLUMNS($AM$1006:AQ1006),$AM$1006:$BM$1006,0)), HYPERLINK("#",""), HYPERLINK(CONCATENATE("#metadata!", ADDRESS(INDEX($AH$2:$AH$1001,MATCH(ROWS($AF$2:AF654),$AF$2:$AF$1001,0),0), INDEX($AM$1004:$BM$1004,1,MATCH(COLUMNS($AM$1006:AQ1006),$AM$1006:$BM$1006,0)))),"Fix")))</f>
        <v xml:space="preserve"> </v>
      </c>
      <c r="G654" s="4" t="str">
        <f ca="1">IF(OR(INDEX($AG$2:$AG$1001,MATCH(ROWS($AF$2:AF654),$AF$2:$AF$1001,0),1)&gt;=100000,INDEX($AM$1005:$BM$1005,1,MATCH(COLUMNS($AM$1006:AR1006),$AM$1006:$BM$1006,0))&gt;=100000), " ",IF(INDEX($AM$2:$BM$1001,MATCH(ROWS($AF$2:AF654),$AF$2:$AF$1001,0),MATCH(COLUMNS($AM$1006:AR1006),$AM$1006:$BM$1006,0)), HYPERLINK("#",""), HYPERLINK(CONCATENATE("#metadata!", ADDRESS(INDEX($AH$2:$AH$1001,MATCH(ROWS($AF$2:AF654),$AF$2:$AF$1001,0),0), INDEX($AM$1004:$BM$1004,1,MATCH(COLUMNS($AM$1006:AR1006),$AM$1006:$BM$1006,0)))),"Fix")))</f>
        <v xml:space="preserve"> </v>
      </c>
      <c r="H654" s="4" t="str">
        <f ca="1">IF(OR(INDEX($AG$2:$AG$1001,MATCH(ROWS($AF$2:AF654),$AF$2:$AF$1001,0),1)&gt;=100000,INDEX($AM$1005:$BM$1005,1,MATCH(COLUMNS($AM$1006:AS1006),$AM$1006:$BM$1006,0))&gt;=100000), " ",IF(INDEX($AM$2:$BM$1001,MATCH(ROWS($AF$2:AF654),$AF$2:$AF$1001,0),MATCH(COLUMNS($AM$1006:AS1006),$AM$1006:$BM$1006,0)), HYPERLINK("#",""), HYPERLINK(CONCATENATE("#metadata!", ADDRESS(INDEX($AH$2:$AH$1001,MATCH(ROWS($AF$2:AF654),$AF$2:$AF$1001,0),0), INDEX($AM$1004:$BM$1004,1,MATCH(COLUMNS($AM$1006:AS1006),$AM$1006:$BM$1006,0)))),"Fix")))</f>
        <v xml:space="preserve"> </v>
      </c>
      <c r="I654" s="4" t="str">
        <f ca="1">IF(OR(INDEX($AG$2:$AG$1001,MATCH(ROWS($AF$2:AF654),$AF$2:$AF$1001,0),1)&gt;=100000,INDEX($AM$1005:$BM$1005,1,MATCH(COLUMNS($AM$1006:AT1006),$AM$1006:$BM$1006,0))&gt;=100000), " ",IF(INDEX($AM$2:$BM$1001,MATCH(ROWS($AF$2:AF654),$AF$2:$AF$1001,0),MATCH(COLUMNS($AM$1006:AT1006),$AM$1006:$BM$1006,0)), HYPERLINK("#",""), HYPERLINK(CONCATENATE("#metadata!", ADDRESS(INDEX($AH$2:$AH$1001,MATCH(ROWS($AF$2:AF654),$AF$2:$AF$1001,0),0), INDEX($AM$1004:$BM$1004,1,MATCH(COLUMNS($AM$1006:AT1006),$AM$1006:$BM$1006,0)))),"Fix")))</f>
        <v xml:space="preserve"> </v>
      </c>
      <c r="J654" s="4" t="str">
        <f ca="1">IF(OR(INDEX($AG$2:$AG$1001,MATCH(ROWS($AF$2:AF654),$AF$2:$AF$1001,0),1)&gt;=100000,INDEX($AM$1005:$BM$1005,1,MATCH(COLUMNS($AM$1006:AU1006),$AM$1006:$BM$1006,0))&gt;=100000), " ",IF(INDEX($AM$2:$BM$1001,MATCH(ROWS($AF$2:AF654),$AF$2:$AF$1001,0),MATCH(COLUMNS($AM$1006:AU1006),$AM$1006:$BM$1006,0)), HYPERLINK("#",""), HYPERLINK(CONCATENATE("#metadata!", ADDRESS(INDEX($AH$2:$AH$1001,MATCH(ROWS($AF$2:AF654),$AF$2:$AF$1001,0),0), INDEX($AM$1004:$BM$1004,1,MATCH(COLUMNS($AM$1006:AU1006),$AM$1006:$BM$1006,0)))),"Fix")))</f>
        <v xml:space="preserve"> </v>
      </c>
      <c r="K654" s="4" t="str">
        <f ca="1">IF(OR(INDEX($AG$2:$AG$1001,MATCH(ROWS($AF$2:AF654),$AF$2:$AF$1001,0),1)&gt;=100000,INDEX($AM$1005:$BM$1005,1,MATCH(COLUMNS($AM$1006:AV1006),$AM$1006:$BM$1006,0))&gt;=100000), " ",IF(INDEX($AM$2:$BM$1001,MATCH(ROWS($AF$2:AF654),$AF$2:$AF$1001,0),MATCH(COLUMNS($AM$1006:AV1006),$AM$1006:$BM$1006,0)), HYPERLINK("#",""), HYPERLINK(CONCATENATE("#metadata!", ADDRESS(INDEX($AH$2:$AH$1001,MATCH(ROWS($AF$2:AF654),$AF$2:$AF$1001,0),0), INDEX($AM$1004:$BM$1004,1,MATCH(COLUMNS($AM$1006:AV1006),$AM$1006:$BM$1006,0)))),"Fix")))</f>
        <v xml:space="preserve"> </v>
      </c>
      <c r="L654" s="4" t="str">
        <f ca="1">IF(OR(INDEX($AG$2:$AG$1001,MATCH(ROWS($AF$2:AF654),$AF$2:$AF$1001,0),1)&gt;=100000,INDEX($AM$1005:$BM$1005,1,MATCH(COLUMNS($AM$1006:AW1006),$AM$1006:$BM$1006,0))&gt;=100000), " ",IF(INDEX($AM$2:$BM$1001,MATCH(ROWS($AF$2:AF654),$AF$2:$AF$1001,0),MATCH(COLUMNS($AM$1006:AW1006),$AM$1006:$BM$1006,0)), HYPERLINK("#",""), HYPERLINK(CONCATENATE("#metadata!", ADDRESS(INDEX($AH$2:$AH$1001,MATCH(ROWS($AF$2:AF654),$AF$2:$AF$1001,0),0), INDEX($AM$1004:$BM$1004,1,MATCH(COLUMNS($AM$1006:AW1006),$AM$1006:$BM$1006,0)))),"Fix")))</f>
        <v xml:space="preserve"> </v>
      </c>
      <c r="M654" s="4" t="str">
        <f ca="1">IF(OR(INDEX($AG$2:$AG$1001,MATCH(ROWS($AF$2:AF654),$AF$2:$AF$1001,0),1)&gt;=100000,INDEX($AM$1005:$BM$1005,1,MATCH(COLUMNS($AM$1006:AX1006),$AM$1006:$BM$1006,0))&gt;=100000), " ",IF(INDEX($AM$2:$BM$1001,MATCH(ROWS($AF$2:AF654),$AF$2:$AF$1001,0),MATCH(COLUMNS($AM$1006:AX1006),$AM$1006:$BM$1006,0)), HYPERLINK("#",""), HYPERLINK(CONCATENATE("#metadata!", ADDRESS(INDEX($AH$2:$AH$1001,MATCH(ROWS($AF$2:AF654),$AF$2:$AF$1001,0),0), INDEX($AM$1004:$BM$1004,1,MATCH(COLUMNS($AM$1006:AX1006),$AM$1006:$BM$1006,0)))),"Fix")))</f>
        <v xml:space="preserve"> </v>
      </c>
      <c r="N654" s="4" t="str">
        <f ca="1">IF(OR(INDEX($AG$2:$AG$1001,MATCH(ROWS($AF$2:AF654),$AF$2:$AF$1001,0),1)&gt;=100000,INDEX($AM$1005:$BM$1005,1,MATCH(COLUMNS($AM$1006:AY1006),$AM$1006:$BM$1006,0))&gt;=100000), " ",IF(INDEX($AM$2:$BM$1001,MATCH(ROWS($AF$2:AF654),$AF$2:$AF$1001,0),MATCH(COLUMNS($AM$1006:AY1006),$AM$1006:$BM$1006,0)), HYPERLINK("#",""), HYPERLINK(CONCATENATE("#metadata!", ADDRESS(INDEX($AH$2:$AH$1001,MATCH(ROWS($AF$2:AF654),$AF$2:$AF$1001,0),0), INDEX($AM$1004:$BM$1004,1,MATCH(COLUMNS($AM$1006:AY1006),$AM$1006:$BM$1006,0)))),"Fix")))</f>
        <v xml:space="preserve"> </v>
      </c>
      <c r="O654" s="4" t="str">
        <f ca="1">IF(OR(INDEX($AG$2:$AG$1001,MATCH(ROWS($AF$2:AF654),$AF$2:$AF$1001,0),1)&gt;=100000,INDEX($AM$1005:$BM$1005,1,MATCH(COLUMNS($AM$1006:AZ1006),$AM$1006:$BM$1006,0))&gt;=100000), " ",IF(INDEX($AM$2:$BM$1001,MATCH(ROWS($AF$2:AF654),$AF$2:$AF$1001,0),MATCH(COLUMNS($AM$1006:AZ1006),$AM$1006:$BM$1006,0)), HYPERLINK("#",""), HYPERLINK(CONCATENATE("#metadata!", ADDRESS(INDEX($AH$2:$AH$1001,MATCH(ROWS($AF$2:AF654),$AF$2:$AF$1001,0),0), INDEX($AM$1004:$BM$1004,1,MATCH(COLUMNS($AM$1006:AZ1006),$AM$1006:$BM$1006,0)))),"Fix")))</f>
        <v xml:space="preserve"> </v>
      </c>
      <c r="P654" s="4" t="str">
        <f ca="1">IF(OR(INDEX($AG$2:$AG$1001,MATCH(ROWS($AF$2:AF654),$AF$2:$AF$1001,0),1)&gt;=100000,INDEX($AM$1005:$BM$1005,1,MATCH(COLUMNS($AM$1006:BA1006),$AM$1006:$BM$1006,0))&gt;=100000), " ",IF(INDEX($AM$2:$BM$1001,MATCH(ROWS($AF$2:AF654),$AF$2:$AF$1001,0),MATCH(COLUMNS($AM$1006:BA1006),$AM$1006:$BM$1006,0)), HYPERLINK("#",""), HYPERLINK(CONCATENATE("#metadata!", ADDRESS(INDEX($AH$2:$AH$1001,MATCH(ROWS($AF$2:AF654),$AF$2:$AF$1001,0),0), INDEX($AM$1004:$BM$1004,1,MATCH(COLUMNS($AM$1006:BA1006),$AM$1006:$BM$1006,0)))),"Fix")))</f>
        <v xml:space="preserve"> </v>
      </c>
      <c r="Q654" s="4" t="str">
        <f ca="1">IF(OR(INDEX($AG$2:$AG$1001,MATCH(ROWS($AF$2:AF654),$AF$2:$AF$1001,0),1)&gt;=100000,INDEX($AM$1005:$BM$1005,1,MATCH(COLUMNS($AM$1006:BB1006),$AM$1006:$BM$1006,0))&gt;=100000), " ",IF(INDEX($AM$2:$BM$1001,MATCH(ROWS($AF$2:AF654),$AF$2:$AF$1001,0),MATCH(COLUMNS($AM$1006:BB1006),$AM$1006:$BM$1006,0)), HYPERLINK("#",""), HYPERLINK(CONCATENATE("#metadata!", ADDRESS(INDEX($AH$2:$AH$1001,MATCH(ROWS($AF$2:AF654),$AF$2:$AF$1001,0),0), INDEX($AM$1004:$BM$1004,1,MATCH(COLUMNS($AM$1006:BB1006),$AM$1006:$BM$1006,0)))),"Fix")))</f>
        <v xml:space="preserve"> </v>
      </c>
      <c r="R654" s="4" t="str">
        <f ca="1">IF(OR(INDEX($AG$2:$AG$1001,MATCH(ROWS($AF$2:AF654),$AF$2:$AF$1001,0),1)&gt;=100000,INDEX($AM$1005:$BM$1005,1,MATCH(COLUMNS($AM$1006:BC1006),$AM$1006:$BM$1006,0))&gt;=100000), " ",IF(INDEX($AM$2:$BM$1001,MATCH(ROWS($AF$2:AF654),$AF$2:$AF$1001,0),MATCH(COLUMNS($AM$1006:BC1006),$AM$1006:$BM$1006,0)), HYPERLINK("#",""), HYPERLINK(CONCATENATE("#metadata!", ADDRESS(INDEX($AH$2:$AH$1001,MATCH(ROWS($AF$2:AF654),$AF$2:$AF$1001,0),0), INDEX($AM$1004:$BM$1004,1,MATCH(COLUMNS($AM$1006:BC1006),$AM$1006:$BM$1006,0)))),"Fix")))</f>
        <v xml:space="preserve"> </v>
      </c>
      <c r="S654" s="4" t="str">
        <f ca="1">IF(OR(INDEX($AG$2:$AG$1001,MATCH(ROWS($AF$2:AF654),$AF$2:$AF$1001,0),1)&gt;=100000,INDEX($AM$1005:$BM$1005,1,MATCH(COLUMNS($AM$1006:BD1006),$AM$1006:$BM$1006,0))&gt;=100000), " ",IF(INDEX($AM$2:$BM$1001,MATCH(ROWS($AF$2:AF654),$AF$2:$AF$1001,0),MATCH(COLUMNS($AM$1006:BD1006),$AM$1006:$BM$1006,0)), HYPERLINK("#",""), HYPERLINK(CONCATENATE("#metadata!", ADDRESS(INDEX($AH$2:$AH$1001,MATCH(ROWS($AF$2:AF654),$AF$2:$AF$1001,0),0), INDEX($AM$1004:$BM$1004,1,MATCH(COLUMNS($AM$1006:BD1006),$AM$1006:$BM$1006,0)))),"Fix")))</f>
        <v xml:space="preserve"> </v>
      </c>
      <c r="T654" s="4" t="str">
        <f ca="1">IF(OR(INDEX($AG$2:$AG$1001,MATCH(ROWS($AF$2:AF654),$AF$2:$AF$1001,0),1)&gt;=100000,INDEX($AM$1005:$BM$1005,1,MATCH(COLUMNS($AM$1006:BE1006),$AM$1006:$BM$1006,0))&gt;=100000), " ",IF(INDEX($AM$2:$BM$1001,MATCH(ROWS($AF$2:AF654),$AF$2:$AF$1001,0),MATCH(COLUMNS($AM$1006:BE1006),$AM$1006:$BM$1006,0)), HYPERLINK("#",""), HYPERLINK(CONCATENATE("#metadata!", ADDRESS(INDEX($AH$2:$AH$1001,MATCH(ROWS($AF$2:AF654),$AF$2:$AF$1001,0),0), INDEX($AM$1004:$BM$1004,1,MATCH(COLUMNS($AM$1006:BE1006),$AM$1006:$BM$1006,0)))),"Fix")))</f>
        <v xml:space="preserve"> </v>
      </c>
      <c r="U654" s="4" t="str">
        <f ca="1">IF(OR(INDEX($AG$2:$AG$1001,MATCH(ROWS($AF$2:AF654),$AF$2:$AF$1001,0),1)&gt;=100000,INDEX($AM$1005:$BM$1005,1,MATCH(COLUMNS($AM$1006:BF1006),$AM$1006:$BM$1006,0))&gt;=100000), " ",IF(INDEX($AM$2:$BM$1001,MATCH(ROWS($AF$2:AF654),$AF$2:$AF$1001,0),MATCH(COLUMNS($AM$1006:BF1006),$AM$1006:$BM$1006,0)), HYPERLINK("#",""), HYPERLINK(CONCATENATE("#metadata!", ADDRESS(INDEX($AH$2:$AH$1001,MATCH(ROWS($AF$2:AF654),$AF$2:$AF$1001,0),0), INDEX($AM$1004:$BM$1004,1,MATCH(COLUMNS($AM$1006:BF1006),$AM$1006:$BM$1006,0)))),"Fix")))</f>
        <v xml:space="preserve"> </v>
      </c>
      <c r="V654" s="4" t="str">
        <f ca="1">IF(OR(INDEX($AG$2:$AG$1001,MATCH(ROWS($AF$2:AF654),$AF$2:$AF$1001,0),1)&gt;=100000,INDEX($AM$1005:$BM$1005,1,MATCH(COLUMNS($AM$1006:BG1006),$AM$1006:$BM$1006,0))&gt;=100000), " ",IF(INDEX($AM$2:$BM$1001,MATCH(ROWS($AF$2:AF654),$AF$2:$AF$1001,0),MATCH(COLUMNS($AM$1006:BG1006),$AM$1006:$BM$1006,0)), HYPERLINK("#",""), HYPERLINK(CONCATENATE("#metadata!", ADDRESS(INDEX($AH$2:$AH$1001,MATCH(ROWS($AF$2:AF654),$AF$2:$AF$1001,0),0), INDEX($AM$1004:$BM$1004,1,MATCH(COLUMNS($AM$1006:BG1006),$AM$1006:$BM$1006,0)))),"Fix")))</f>
        <v xml:space="preserve"> </v>
      </c>
      <c r="W654" s="4" t="str">
        <f ca="1">IF(OR(INDEX($AG$2:$AG$1001,MATCH(ROWS($AF$2:AF654),$AF$2:$AF$1001,0),1)&gt;=100000,INDEX($AM$1005:$BM$1005,1,MATCH(COLUMNS($AM$1006:BH1006),$AM$1006:$BM$1006,0))&gt;=100000), " ",IF(INDEX($AM$2:$BM$1001,MATCH(ROWS($AF$2:AF654),$AF$2:$AF$1001,0),MATCH(COLUMNS($AM$1006:BH1006),$AM$1006:$BM$1006,0)), HYPERLINK("#",""), HYPERLINK(CONCATENATE("#metadata!", ADDRESS(INDEX($AH$2:$AH$1001,MATCH(ROWS($AF$2:AF654),$AF$2:$AF$1001,0),0), INDEX($AM$1004:$BM$1004,1,MATCH(COLUMNS($AM$1006:BH1006),$AM$1006:$BM$1006,0)))),"Fix")))</f>
        <v xml:space="preserve"> </v>
      </c>
      <c r="X654" s="4" t="str">
        <f ca="1">IF(OR(INDEX($AG$2:$AG$1001,MATCH(ROWS($AF$2:AF654),$AF$2:$AF$1001,0),1)&gt;=100000,INDEX($AM$1005:$BM$1005,1,MATCH(COLUMNS($AM$1006:BI1006),$AM$1006:$BM$1006,0))&gt;=100000), " ",IF(INDEX($AM$2:$BM$1001,MATCH(ROWS($AF$2:AF654),$AF$2:$AF$1001,0),MATCH(COLUMNS($AM$1006:BI1006),$AM$1006:$BM$1006,0)), HYPERLINK("#",""), HYPERLINK(CONCATENATE("#metadata!", ADDRESS(INDEX($AH$2:$AH$1001,MATCH(ROWS($AF$2:AF654),$AF$2:$AF$1001,0),0), INDEX($AM$1004:$BM$1004,1,MATCH(COLUMNS($AM$1006:BI1006),$AM$1006:$BM$1006,0)))),"Fix")))</f>
        <v xml:space="preserve"> </v>
      </c>
      <c r="Y654" s="4" t="str">
        <f ca="1">IF(OR(INDEX($AG$2:$AG$1001,MATCH(ROWS($AF$2:AF654),$AF$2:$AF$1001,0),1)&gt;=100000,INDEX($AM$1005:$BM$1005,1,MATCH(COLUMNS($AM$1006:BJ1006),$AM$1006:$BM$1006,0))&gt;=100000), " ",IF(INDEX($AM$2:$BM$1001,MATCH(ROWS($AF$2:AF654),$AF$2:$AF$1001,0),MATCH(COLUMNS($AM$1006:BJ1006),$AM$1006:$BM$1006,0)), HYPERLINK("#",""), HYPERLINK(CONCATENATE("#metadata!", ADDRESS(INDEX($AH$2:$AH$1001,MATCH(ROWS($AF$2:AF654),$AF$2:$AF$1001,0),0), INDEX($AM$1004:$BM$1004,1,MATCH(COLUMNS($AM$1006:BJ1006),$AM$1006:$BM$1006,0)))),"Fix")))</f>
        <v xml:space="preserve"> </v>
      </c>
      <c r="Z654" s="4" t="str">
        <f ca="1">IF(OR(INDEX($AG$2:$AG$1001,MATCH(ROWS($AF$2:AF654),$AF$2:$AF$1001,0),1)&gt;=100000,INDEX($AM$1005:$BM$1005,1,MATCH(COLUMNS($AM$1006:BK1006),$AM$1006:$BM$1006,0))&gt;=100000), " ",IF(INDEX($AM$2:$BM$1001,MATCH(ROWS($AF$2:AF654),$AF$2:$AF$1001,0),MATCH(COLUMNS($AM$1006:BK1006),$AM$1006:$BM$1006,0)), HYPERLINK("#",""), HYPERLINK(CONCATENATE("#metadata!", ADDRESS(INDEX($AH$2:$AH$1001,MATCH(ROWS($AF$2:AF654),$AF$2:$AF$1001,0),0), INDEX($AM$1004:$BM$1004,1,MATCH(COLUMNS($AM$1006:BK1006),$AM$1006:$BM$1006,0)))),"Fix")))</f>
        <v xml:space="preserve"> </v>
      </c>
      <c r="AA654" s="4" t="str">
        <f ca="1">IF(OR(INDEX($AG$2:$AG$1001,MATCH(ROWS($AF$2:AF654),$AF$2:$AF$1001,0),1)&gt;=100000,INDEX($AM$1005:$BM$1005,1,MATCH(COLUMNS($AM$1006:BL1006),$AM$1006:$BM$1006,0))&gt;=100000), " ",IF(INDEX($AM$2:$BM$1001,MATCH(ROWS($AF$2:AF654),$AF$2:$AF$1001,0),MATCH(COLUMNS($AM$1006:BL1006),$AM$1006:$BM$1006,0)), HYPERLINK("#",""), HYPERLINK(CONCATENATE("#metadata!", ADDRESS(INDEX($AH$2:$AH$1001,MATCH(ROWS($AF$2:AF654),$AF$2:$AF$1001,0),0), INDEX($AM$1004:$BM$1004,1,MATCH(COLUMNS($AM$1006:BL1006),$AM$1006:$BM$1006,0)))),"Fix")))</f>
        <v xml:space="preserve"> </v>
      </c>
      <c r="AB654" s="4" t="str">
        <f ca="1">IF(OR(INDEX($AG$2:$AG$1001,MATCH(ROWS($AF$2:AF654),$AF$2:$AF$1001,0),1)&gt;=100000,INDEX($AM$1005:$BM$1005,1,MATCH(COLUMNS($AM$1006:BM1006),$AM$1006:$BM$1006,0))&gt;=100000), " ",IF(INDEX($AM$2:$BM$1001,MATCH(ROWS($AF$2:AF654),$AF$2:$AF$1001,0),MATCH(COLUMNS($AM$1006:BM1006),$AM$1006:$BM$1006,0)), HYPERLINK("#",""), HYPERLINK(CONCATENATE("#metadata!", ADDRESS(INDEX($AH$2:$AH$1001,MATCH(ROWS($AF$2:AF654),$AF$2:$AF$1001,0),0), INDEX($AM$1004:$BM$1004,1,MATCH(COLUMNS($AM$1006:BM1006),$AM$1006:$BM$1006,0)))),"Fix")))</f>
        <v xml:space="preserve"> </v>
      </c>
      <c r="AF654">
        <v>653</v>
      </c>
      <c r="AG654">
        <v>100654</v>
      </c>
      <c r="AH654">
        <v>654</v>
      </c>
      <c r="AI654" t="b">
        <f t="shared" si="10"/>
        <v>1</v>
      </c>
      <c r="AJ654" t="b">
        <f>COUNTBLANK(metadata!B654:AB654)=COLUMNS(metadata!B654:AB654)</f>
        <v>1</v>
      </c>
      <c r="AK654" t="str">
        <v/>
      </c>
      <c r="AM654" t="b">
        <f ca="1">AND(IF(metadata!B654="",FALSE,TRUE),COUNTIF(metadata!B:B, metadata!B654) = 1,NOT(ISERROR(SUMPRODUCT(SEARCH(MID(metadata!B654,ROW(INDIRECT("1:"&amp;LEN(metadata!B654))), 1),"0123456789abcdefghijklmnopqrstuvwxyzABCDEFGHIJKLMNOPQRSTUVWXYZ.")))))</f>
        <v>0</v>
      </c>
      <c r="AN654" t="b">
        <f ca="1">OR(AND(IF(metadata!C654="",FALSE,TRUE),OR(EXACT(metadata!C654,"missing: not collected"),EXACT(metadata!C654,"missing: not provided"),EXACT(metadata!C654,"missing: restricted access"))),AND(IF(metadata!C654="",FALSE,TRUE),AND(AND(IFERROR(INT(LEFT(metadata!C654,4))&gt;1900,FALSE),IFERROR(INT(LEFT(metadata!C654,4))&lt;=YEAR(NOW()),FALSE)), OR(MID(metadata!C654,5,1)="", AND(AND(MID(metadata!C654,5,1)="-",IFERROR(INT(MID(metadata!C654,6,1))&gt;=0,FALSE),IFERROR(INT(MID(metadata!C654,6,1))&lt;=1,FALSE),NOT(MID(metadata!C654,7,1)=""),IFERROR(INT(MID(metadata!C654,6,2))&gt;=1,FALSE),IFERROR(INT(MID(metadata!C654,6,2))&lt;=12,FALSE)), OR(MID(metadata!C654,8,1)="", AND(AND(MID(metadata!C654,8,1)="-",IFERROR(INT(MID(metadata!C654,9,1))&gt;=0,FALSE),IFERROR(INT(MID(metadata!C654,9,1))&lt;=3,FALSE),NOT(MID(metadata!C654,10,1)=""),IFERROR(INT(MID(metadata!C654,9,2))&gt;=1,FALSE),IFERROR(INT(MID(metadata!C654,9,2))&lt;=31,FALSE)), OR(MID(metadata!C654,11,1)="", AND(AND(MID(metadata!C654,11,1)=" ",IFERROR(INT(MID(metadata!C654,12,1))&gt;=0,FALSE),IFERROR(INT(MID(metadata!C654,12,1))&lt;=2,FALSE),NOT(MID(metadata!C654,13,1)=""),IFERROR(INT(MID(metadata!C654,12,2))&gt;=0,FALSE),IFERROR(INT(MID(metadata!C654,12,2))&lt;=23,FALSE)), OR(MID(metadata!C654,14,1)="", AND(AND(MID(metadata!C654,14,1)=":",IFERROR(INT(MID(metadata!C654,15,1))&gt;=0,FALSE),IFERROR(INT(MID(metadata!C654,15,1))&lt;=5,FALSE),NOT(MID(metadata!C654,16,1)=""),IFERROR(INT(MID(metadata!C654,15,2))&gt;=0,FALSE),IFERROR(INT(MID(metadata!C654,15,2))&lt;=59,FALSE)), OR(MID(metadata!C654,17,1)="", AND(AND(MID(metadata!C654,17,1)=":",IFERROR(INT(MID(metadata!C654,18,1))&gt;=0,FALSE),IFERROR(INT(MID(metadata!C654,18,1))&lt;=5,FALSE),NOT(MID(metadata!C654,19,1)=""),IFERROR(INT(MID(metadata!C654,18,2))&gt;=0,FALSE),IFERROR(INT(MID(metadata!C654,18,2))&lt;=59,FALSE)), LEN(metadata!C654)&lt;=19)))))))))))))</f>
        <v>0</v>
      </c>
      <c r="AO654" t="b">
        <f>AND(IF(metadata!D654="",FALSE,TRUE),EXACT(metadata!D654,"Not applicable"))</f>
        <v>0</v>
      </c>
      <c r="AP654" t="b">
        <f>IF(metadata!E654="",FALSE,TRUE)</f>
        <v>0</v>
      </c>
      <c r="AQ654" t="b">
        <f>OR(AND(IF(metadata!F654="",FALSE,TRUE),OR(EXACT(metadata!F654,"missing: not collected"),EXACT(metadata!F654,"missing: not provided"))),AND(IF(metadata!F654="",FALSE,TRUE),OR(EXACT(metadata!F654,"TRUE"),EXACT(metadata!F654,"FALSE"))))</f>
        <v>0</v>
      </c>
      <c r="AR654" t="b">
        <f>OR(AND(IF(metadata!G654="",FALSE,TRUE),OR(EXACT(metadata!G654,"missing: not collected"),EXACT(metadata!G654,"missing: not provided"),EXACT(metadata!G654,"missing: restricted access"))),AND(IF(metadata!G654="",FALSE,ISNUMBER(VALUE(metadata!G654))),metadata!G654&gt;=-413))</f>
        <v>0</v>
      </c>
      <c r="AS654" t="b">
        <f>AND(IF(metadata!H654="",FALSE,TRUE),EXACT(metadata!H654,"meters"))</f>
        <v>0</v>
      </c>
      <c r="AT654" t="b">
        <f>AND(IF(metadata!I654="",FALSE,TRUE),OR(EXACT(metadata!I654,"Host-associated"),EXACT(metadata!I654,"Free-living")))</f>
        <v>0</v>
      </c>
      <c r="AU654" t="b">
        <f>AND(IF(metadata!J654="",FALSE,TRUE),OR(EXACT(metadata!J654,"Animal"),EXACT(metadata!J654,"Fungus"),EXACT(metadata!J654,"Plant"),EXACT(metadata!J654,"Saline"),EXACT(metadata!J654,"Non-saline")))</f>
        <v>0</v>
      </c>
      <c r="AV654" t="b">
        <f>AND(IF(metadata!K654="",FALSE,TRUE),OR(EXACT(metadata!K654,"Plant secretion"),EXACT(metadata!K654,"Plant rhizosphere"),EXACT(metadata!K654,"Plant surface"),EXACT(metadata!K654,"Plant corpus"),EXACT(metadata!K654,"Fungus surface"),EXACT(metadata!K654,"Fungus corpus"),EXACT(metadata!K654,"Animal surface"),EXACT(metadata!K654,"Animal proximal gut"),EXACT(metadata!K654,"Animal corpus"),EXACT(metadata!K654,"Animal distal gut"),EXACT(metadata!K654,"Animal secretion"),EXACT(metadata!K654,"Sub-surface (non-saline)"),EXACT(metadata!K654,"Surface (non-saline)"),EXACT(metadata!K654,"Water (non-saline)"),EXACT(metadata!K654,"Soil (non-saline)"),EXACT(metadata!K654,"Aerosol (non-saline)"),EXACT(metadata!K654,"Sediment (non-saline)"),EXACT(metadata!K654,"Surface (saline)"),EXACT(metadata!K654,"Water (saline)"),EXACT(metadata!K654,"Hypersaline (saline)"),EXACT(metadata!K654,"Aerosol (saline)"),EXACT(metadata!K654,"Sediment (saline)")))</f>
        <v>0</v>
      </c>
      <c r="AW654" t="b">
        <f>IF(metadata!L654="",FALSE,TRUE)</f>
        <v>0</v>
      </c>
      <c r="AX654" t="b">
        <f>IF(metadata!M654="",FALSE,TRUE)</f>
        <v>0</v>
      </c>
      <c r="AY654" t="b">
        <f>IF(metadata!N654="",FALSE,TRUE)</f>
        <v>0</v>
      </c>
      <c r="AZ654" t="b">
        <f>OR(AND(IF(metadata!O654="",FALSE,TRUE),OR(EXACT(metadata!O654,"missing: not collected"),EXACT(metadata!O654,"missing: not provided"),EXACT(metadata!O654,"missing: restricted access"))),AND(IF(metadata!O654="",FALSE,TRUE),OR(EXACT(metadata!O654,"air"),EXACT(metadata!O654,"built environment"),EXACT(metadata!O654,"host-associated"),EXACT(metadata!O654,"human-associated"),EXACT(metadata!O654,"human-skin"),EXACT(metadata!O654,"human-oral"),EXACT(metadata!O654,"human-gut"),EXACT(metadata!O654,"human-vaginal"),EXACT(metadata!O654,"microbial mat/biofilm"),EXACT(metadata!O654,"misc environment"),EXACT(metadata!O654,"plant-associated"),EXACT(metadata!O654,"sediment"),EXACT(metadata!O654,"soil"),EXACT(metadata!O654,"wastewater/sludge"),EXACT(metadata!O654,"water"))))</f>
        <v>0</v>
      </c>
      <c r="BA654" t="b">
        <f>IF(metadata!P654="",FALSE,TRUE)</f>
        <v>0</v>
      </c>
      <c r="BB654" t="b">
        <f>IF(metadata!Q654="",FALSE,TRUE)</f>
        <v>0</v>
      </c>
      <c r="BC654" t="b">
        <f>OR(AND(IF(metadata!R654="",FALSE,TRUE),OR(EXACT(metadata!R654,"missing: not collected"),EXACT(metadata!R654,"missing: not provided"),EXACT(metadata!R654,"missing: restricted access"))),AND(IF(metadata!R654="",FALSE,ISNUMBER(VALUE(metadata!R654))),metadata!R654&gt;=-90,metadata!R654&lt;=90))</f>
        <v>0</v>
      </c>
      <c r="BD654" t="b">
        <f>AND(IF(metadata!S654="",FALSE,TRUE),EXACT(metadata!S654,"Decimal degrees"))</f>
        <v>0</v>
      </c>
      <c r="BE654" t="b">
        <f>OR(AND(IF(metadata!T654="",FALSE,TRUE),OR(EXACT(metadata!T654,"missing: not collected"),EXACT(metadata!T654,"missing: not provided"),EXACT(metadata!T654,"missing: restricted access"))),AND(IF(metadata!T654="",FALSE,ISNUMBER(VALUE(metadata!T654))),metadata!T654&gt;=-180,metadata!T654&lt;=180))</f>
        <v>0</v>
      </c>
      <c r="BF654" t="b">
        <f>AND(IF(metadata!U654="",FALSE,TRUE),EXACT(metadata!U654,"Decimal degrees"))</f>
        <v>0</v>
      </c>
      <c r="BG654" t="b">
        <f>IF(metadata!V654="",FALSE,TRUE)</f>
        <v>0</v>
      </c>
      <c r="BH654" t="b">
        <f>OR(AND(IF(metadata!W654="",FALSE,TRUE),OR(EXACT(metadata!W654,"missing: not collected"),EXACT(metadata!W654,"missing: not provided"),EXACT(metadata!W654,"missing: restricted access"))),AND(IF(metadata!W654="",FALSE,TRUE),OR(EXACT(metadata!W654,"TRUE"),EXACT(metadata!W654,"FALSE"))))</f>
        <v>0</v>
      </c>
      <c r="BI654" t="b">
        <f>AND(IF(metadata!X654="",FALSE,TRUE),EXACT(metadata!X654,"other"))</f>
        <v>0</v>
      </c>
      <c r="BJ654" t="b">
        <f>IF(metadata!Y654="",FALSE,TRUE)</f>
        <v>0</v>
      </c>
      <c r="BK654" t="b">
        <f>OR(AND(IF(metadata!Z654="",FALSE,TRUE),OR(EXACT(metadata!Z654,"missing: not collected"),EXACT(metadata!Z654,"missing: not provided"))),AND(IF(metadata!Z654="",FALSE,IF(ISERROR(INT(metadata!Z654)),FALSE,INT(metadata!Z654)=metadata!Z654)),metadata!Z654&gt;0))</f>
        <v>0</v>
      </c>
      <c r="BL654" t="b">
        <f>AND(IF(metadata!AA654="",FALSE,TRUE),EXACT(metadata!AA654,"Not applicable"))</f>
        <v>0</v>
      </c>
      <c r="BM654" t="b">
        <f>IF(metadata!AB654="",FALSE,TRUE)</f>
        <v>0</v>
      </c>
    </row>
    <row r="655" spans="1:65" x14ac:dyDescent="0.2">
      <c r="A655" s="5" t="str">
        <f ca="1">IF(B655=" "," ",HYPERLINK(CONCATENATE("#metadata!",ADDRESS(INDEX($AH$2:$AH$1001,MATCH(ROWS($AF$2:AF655),$AF$2:$AF$1001,0),0),1)),INDEX($AK$2:$AK$1001,MATCH(ROWS($AF$2:AF655),$AF$2:$AF$1001,0),0)))</f>
        <v xml:space="preserve"> </v>
      </c>
      <c r="B655" s="4" t="str">
        <f ca="1">IF(OR(INDEX($AG$2:$AG$1001,MATCH(ROWS($AF$2:AF655),$AF$2:$AF$1001,0),1)&gt;=100000,INDEX($AM$1005:$BM$1005,1,MATCH(COLUMNS($AM$1006:AM1006),$AM$1006:$BM$1006,0))&gt;=100000), " ",IF(INDEX($AM$2:$BM$1001,MATCH(ROWS($AF$2:AF655),$AF$2:$AF$1001,0),MATCH(COLUMNS($AM$1006:AM1006),$AM$1006:$BM$1006,0)), HYPERLINK("#",""), HYPERLINK(CONCATENATE("#metadata!", ADDRESS(INDEX($AH$2:$AH$1001,MATCH(ROWS($AF$2:AF655),$AF$2:$AF$1001,0),0), INDEX($AM$1004:$BM$1004,1,MATCH(COLUMNS($AM$1006:AM1006),$AM$1006:$BM$1006,0)))),"Fix")))</f>
        <v xml:space="preserve"> </v>
      </c>
      <c r="C655" s="4" t="str">
        <f ca="1">IF(OR(INDEX($AG$2:$AG$1001,MATCH(ROWS($AF$2:AF655),$AF$2:$AF$1001,0),1)&gt;=100000,INDEX($AM$1005:$BM$1005,1,MATCH(COLUMNS($AM$1006:AN1006),$AM$1006:$BM$1006,0))&gt;=100000), " ",IF(INDEX($AM$2:$BM$1001,MATCH(ROWS($AF$2:AF655),$AF$2:$AF$1001,0),MATCH(COLUMNS($AM$1006:AN1006),$AM$1006:$BM$1006,0)), HYPERLINK("#",""), HYPERLINK(CONCATENATE("#metadata!", ADDRESS(INDEX($AH$2:$AH$1001,MATCH(ROWS($AF$2:AF655),$AF$2:$AF$1001,0),0), INDEX($AM$1004:$BM$1004,1,MATCH(COLUMNS($AM$1006:AN1006),$AM$1006:$BM$1006,0)))),"Fix")))</f>
        <v xml:space="preserve"> </v>
      </c>
      <c r="D655" s="4" t="str">
        <f ca="1">IF(OR(INDEX($AG$2:$AG$1001,MATCH(ROWS($AF$2:AF655),$AF$2:$AF$1001,0),1)&gt;=100000,INDEX($AM$1005:$BM$1005,1,MATCH(COLUMNS($AM$1006:AO1006),$AM$1006:$BM$1006,0))&gt;=100000), " ",IF(INDEX($AM$2:$BM$1001,MATCH(ROWS($AF$2:AF655),$AF$2:$AF$1001,0),MATCH(COLUMNS($AM$1006:AO1006),$AM$1006:$BM$1006,0)), HYPERLINK("#",""), HYPERLINK(CONCATENATE("#metadata!", ADDRESS(INDEX($AH$2:$AH$1001,MATCH(ROWS($AF$2:AF655),$AF$2:$AF$1001,0),0), INDEX($AM$1004:$BM$1004,1,MATCH(COLUMNS($AM$1006:AO1006),$AM$1006:$BM$1006,0)))),"Fix")))</f>
        <v xml:space="preserve"> </v>
      </c>
      <c r="E655" s="4" t="str">
        <f ca="1">IF(OR(INDEX($AG$2:$AG$1001,MATCH(ROWS($AF$2:AF655),$AF$2:$AF$1001,0),1)&gt;=100000,INDEX($AM$1005:$BM$1005,1,MATCH(COLUMNS($AM$1006:AP1006),$AM$1006:$BM$1006,0))&gt;=100000), " ",IF(INDEX($AM$2:$BM$1001,MATCH(ROWS($AF$2:AF655),$AF$2:$AF$1001,0),MATCH(COLUMNS($AM$1006:AP1006),$AM$1006:$BM$1006,0)), HYPERLINK("#",""), HYPERLINK(CONCATENATE("#metadata!", ADDRESS(INDEX($AH$2:$AH$1001,MATCH(ROWS($AF$2:AF655),$AF$2:$AF$1001,0),0), INDEX($AM$1004:$BM$1004,1,MATCH(COLUMNS($AM$1006:AP1006),$AM$1006:$BM$1006,0)))),"Fix")))</f>
        <v xml:space="preserve"> </v>
      </c>
      <c r="F655" s="4" t="str">
        <f ca="1">IF(OR(INDEX($AG$2:$AG$1001,MATCH(ROWS($AF$2:AF655),$AF$2:$AF$1001,0),1)&gt;=100000,INDEX($AM$1005:$BM$1005,1,MATCH(COLUMNS($AM$1006:AQ1006),$AM$1006:$BM$1006,0))&gt;=100000), " ",IF(INDEX($AM$2:$BM$1001,MATCH(ROWS($AF$2:AF655),$AF$2:$AF$1001,0),MATCH(COLUMNS($AM$1006:AQ1006),$AM$1006:$BM$1006,0)), HYPERLINK("#",""), HYPERLINK(CONCATENATE("#metadata!", ADDRESS(INDEX($AH$2:$AH$1001,MATCH(ROWS($AF$2:AF655),$AF$2:$AF$1001,0),0), INDEX($AM$1004:$BM$1004,1,MATCH(COLUMNS($AM$1006:AQ1006),$AM$1006:$BM$1006,0)))),"Fix")))</f>
        <v xml:space="preserve"> </v>
      </c>
      <c r="G655" s="4" t="str">
        <f ca="1">IF(OR(INDEX($AG$2:$AG$1001,MATCH(ROWS($AF$2:AF655),$AF$2:$AF$1001,0),1)&gt;=100000,INDEX($AM$1005:$BM$1005,1,MATCH(COLUMNS($AM$1006:AR1006),$AM$1006:$BM$1006,0))&gt;=100000), " ",IF(INDEX($AM$2:$BM$1001,MATCH(ROWS($AF$2:AF655),$AF$2:$AF$1001,0),MATCH(COLUMNS($AM$1006:AR1006),$AM$1006:$BM$1006,0)), HYPERLINK("#",""), HYPERLINK(CONCATENATE("#metadata!", ADDRESS(INDEX($AH$2:$AH$1001,MATCH(ROWS($AF$2:AF655),$AF$2:$AF$1001,0),0), INDEX($AM$1004:$BM$1004,1,MATCH(COLUMNS($AM$1006:AR1006),$AM$1006:$BM$1006,0)))),"Fix")))</f>
        <v xml:space="preserve"> </v>
      </c>
      <c r="H655" s="4" t="str">
        <f ca="1">IF(OR(INDEX($AG$2:$AG$1001,MATCH(ROWS($AF$2:AF655),$AF$2:$AF$1001,0),1)&gt;=100000,INDEX($AM$1005:$BM$1005,1,MATCH(COLUMNS($AM$1006:AS1006),$AM$1006:$BM$1006,0))&gt;=100000), " ",IF(INDEX($AM$2:$BM$1001,MATCH(ROWS($AF$2:AF655),$AF$2:$AF$1001,0),MATCH(COLUMNS($AM$1006:AS1006),$AM$1006:$BM$1006,0)), HYPERLINK("#",""), HYPERLINK(CONCATENATE("#metadata!", ADDRESS(INDEX($AH$2:$AH$1001,MATCH(ROWS($AF$2:AF655),$AF$2:$AF$1001,0),0), INDEX($AM$1004:$BM$1004,1,MATCH(COLUMNS($AM$1006:AS1006),$AM$1006:$BM$1006,0)))),"Fix")))</f>
        <v xml:space="preserve"> </v>
      </c>
      <c r="I655" s="4" t="str">
        <f ca="1">IF(OR(INDEX($AG$2:$AG$1001,MATCH(ROWS($AF$2:AF655),$AF$2:$AF$1001,0),1)&gt;=100000,INDEX($AM$1005:$BM$1005,1,MATCH(COLUMNS($AM$1006:AT1006),$AM$1006:$BM$1006,0))&gt;=100000), " ",IF(INDEX($AM$2:$BM$1001,MATCH(ROWS($AF$2:AF655),$AF$2:$AF$1001,0),MATCH(COLUMNS($AM$1006:AT1006),$AM$1006:$BM$1006,0)), HYPERLINK("#",""), HYPERLINK(CONCATENATE("#metadata!", ADDRESS(INDEX($AH$2:$AH$1001,MATCH(ROWS($AF$2:AF655),$AF$2:$AF$1001,0),0), INDEX($AM$1004:$BM$1004,1,MATCH(COLUMNS($AM$1006:AT1006),$AM$1006:$BM$1006,0)))),"Fix")))</f>
        <v xml:space="preserve"> </v>
      </c>
      <c r="J655" s="4" t="str">
        <f ca="1">IF(OR(INDEX($AG$2:$AG$1001,MATCH(ROWS($AF$2:AF655),$AF$2:$AF$1001,0),1)&gt;=100000,INDEX($AM$1005:$BM$1005,1,MATCH(COLUMNS($AM$1006:AU1006),$AM$1006:$BM$1006,0))&gt;=100000), " ",IF(INDEX($AM$2:$BM$1001,MATCH(ROWS($AF$2:AF655),$AF$2:$AF$1001,0),MATCH(COLUMNS($AM$1006:AU1006),$AM$1006:$BM$1006,0)), HYPERLINK("#",""), HYPERLINK(CONCATENATE("#metadata!", ADDRESS(INDEX($AH$2:$AH$1001,MATCH(ROWS($AF$2:AF655),$AF$2:$AF$1001,0),0), INDEX($AM$1004:$BM$1004,1,MATCH(COLUMNS($AM$1006:AU1006),$AM$1006:$BM$1006,0)))),"Fix")))</f>
        <v xml:space="preserve"> </v>
      </c>
      <c r="K655" s="4" t="str">
        <f ca="1">IF(OR(INDEX($AG$2:$AG$1001,MATCH(ROWS($AF$2:AF655),$AF$2:$AF$1001,0),1)&gt;=100000,INDEX($AM$1005:$BM$1005,1,MATCH(COLUMNS($AM$1006:AV1006),$AM$1006:$BM$1006,0))&gt;=100000), " ",IF(INDEX($AM$2:$BM$1001,MATCH(ROWS($AF$2:AF655),$AF$2:$AF$1001,0),MATCH(COLUMNS($AM$1006:AV1006),$AM$1006:$BM$1006,0)), HYPERLINK("#",""), HYPERLINK(CONCATENATE("#metadata!", ADDRESS(INDEX($AH$2:$AH$1001,MATCH(ROWS($AF$2:AF655),$AF$2:$AF$1001,0),0), INDEX($AM$1004:$BM$1004,1,MATCH(COLUMNS($AM$1006:AV1006),$AM$1006:$BM$1006,0)))),"Fix")))</f>
        <v xml:space="preserve"> </v>
      </c>
      <c r="L655" s="4" t="str">
        <f ca="1">IF(OR(INDEX($AG$2:$AG$1001,MATCH(ROWS($AF$2:AF655),$AF$2:$AF$1001,0),1)&gt;=100000,INDEX($AM$1005:$BM$1005,1,MATCH(COLUMNS($AM$1006:AW1006),$AM$1006:$BM$1006,0))&gt;=100000), " ",IF(INDEX($AM$2:$BM$1001,MATCH(ROWS($AF$2:AF655),$AF$2:$AF$1001,0),MATCH(COLUMNS($AM$1006:AW1006),$AM$1006:$BM$1006,0)), HYPERLINK("#",""), HYPERLINK(CONCATENATE("#metadata!", ADDRESS(INDEX($AH$2:$AH$1001,MATCH(ROWS($AF$2:AF655),$AF$2:$AF$1001,0),0), INDEX($AM$1004:$BM$1004,1,MATCH(COLUMNS($AM$1006:AW1006),$AM$1006:$BM$1006,0)))),"Fix")))</f>
        <v xml:space="preserve"> </v>
      </c>
      <c r="M655" s="4" t="str">
        <f ca="1">IF(OR(INDEX($AG$2:$AG$1001,MATCH(ROWS($AF$2:AF655),$AF$2:$AF$1001,0),1)&gt;=100000,INDEX($AM$1005:$BM$1005,1,MATCH(COLUMNS($AM$1006:AX1006),$AM$1006:$BM$1006,0))&gt;=100000), " ",IF(INDEX($AM$2:$BM$1001,MATCH(ROWS($AF$2:AF655),$AF$2:$AF$1001,0),MATCH(COLUMNS($AM$1006:AX1006),$AM$1006:$BM$1006,0)), HYPERLINK("#",""), HYPERLINK(CONCATENATE("#metadata!", ADDRESS(INDEX($AH$2:$AH$1001,MATCH(ROWS($AF$2:AF655),$AF$2:$AF$1001,0),0), INDEX($AM$1004:$BM$1004,1,MATCH(COLUMNS($AM$1006:AX1006),$AM$1006:$BM$1006,0)))),"Fix")))</f>
        <v xml:space="preserve"> </v>
      </c>
      <c r="N655" s="4" t="str">
        <f ca="1">IF(OR(INDEX($AG$2:$AG$1001,MATCH(ROWS($AF$2:AF655),$AF$2:$AF$1001,0),1)&gt;=100000,INDEX($AM$1005:$BM$1005,1,MATCH(COLUMNS($AM$1006:AY1006),$AM$1006:$BM$1006,0))&gt;=100000), " ",IF(INDEX($AM$2:$BM$1001,MATCH(ROWS($AF$2:AF655),$AF$2:$AF$1001,0),MATCH(COLUMNS($AM$1006:AY1006),$AM$1006:$BM$1006,0)), HYPERLINK("#",""), HYPERLINK(CONCATENATE("#metadata!", ADDRESS(INDEX($AH$2:$AH$1001,MATCH(ROWS($AF$2:AF655),$AF$2:$AF$1001,0),0), INDEX($AM$1004:$BM$1004,1,MATCH(COLUMNS($AM$1006:AY1006),$AM$1006:$BM$1006,0)))),"Fix")))</f>
        <v xml:space="preserve"> </v>
      </c>
      <c r="O655" s="4" t="str">
        <f ca="1">IF(OR(INDEX($AG$2:$AG$1001,MATCH(ROWS($AF$2:AF655),$AF$2:$AF$1001,0),1)&gt;=100000,INDEX($AM$1005:$BM$1005,1,MATCH(COLUMNS($AM$1006:AZ1006),$AM$1006:$BM$1006,0))&gt;=100000), " ",IF(INDEX($AM$2:$BM$1001,MATCH(ROWS($AF$2:AF655),$AF$2:$AF$1001,0),MATCH(COLUMNS($AM$1006:AZ1006),$AM$1006:$BM$1006,0)), HYPERLINK("#",""), HYPERLINK(CONCATENATE("#metadata!", ADDRESS(INDEX($AH$2:$AH$1001,MATCH(ROWS($AF$2:AF655),$AF$2:$AF$1001,0),0), INDEX($AM$1004:$BM$1004,1,MATCH(COLUMNS($AM$1006:AZ1006),$AM$1006:$BM$1006,0)))),"Fix")))</f>
        <v xml:space="preserve"> </v>
      </c>
      <c r="P655" s="4" t="str">
        <f ca="1">IF(OR(INDEX($AG$2:$AG$1001,MATCH(ROWS($AF$2:AF655),$AF$2:$AF$1001,0),1)&gt;=100000,INDEX($AM$1005:$BM$1005,1,MATCH(COLUMNS($AM$1006:BA1006),$AM$1006:$BM$1006,0))&gt;=100000), " ",IF(INDEX($AM$2:$BM$1001,MATCH(ROWS($AF$2:AF655),$AF$2:$AF$1001,0),MATCH(COLUMNS($AM$1006:BA1006),$AM$1006:$BM$1006,0)), HYPERLINK("#",""), HYPERLINK(CONCATENATE("#metadata!", ADDRESS(INDEX($AH$2:$AH$1001,MATCH(ROWS($AF$2:AF655),$AF$2:$AF$1001,0),0), INDEX($AM$1004:$BM$1004,1,MATCH(COLUMNS($AM$1006:BA1006),$AM$1006:$BM$1006,0)))),"Fix")))</f>
        <v xml:space="preserve"> </v>
      </c>
      <c r="Q655" s="4" t="str">
        <f ca="1">IF(OR(INDEX($AG$2:$AG$1001,MATCH(ROWS($AF$2:AF655),$AF$2:$AF$1001,0),1)&gt;=100000,INDEX($AM$1005:$BM$1005,1,MATCH(COLUMNS($AM$1006:BB1006),$AM$1006:$BM$1006,0))&gt;=100000), " ",IF(INDEX($AM$2:$BM$1001,MATCH(ROWS($AF$2:AF655),$AF$2:$AF$1001,0),MATCH(COLUMNS($AM$1006:BB1006),$AM$1006:$BM$1006,0)), HYPERLINK("#",""), HYPERLINK(CONCATENATE("#metadata!", ADDRESS(INDEX($AH$2:$AH$1001,MATCH(ROWS($AF$2:AF655),$AF$2:$AF$1001,0),0), INDEX($AM$1004:$BM$1004,1,MATCH(COLUMNS($AM$1006:BB1006),$AM$1006:$BM$1006,0)))),"Fix")))</f>
        <v xml:space="preserve"> </v>
      </c>
      <c r="R655" s="4" t="str">
        <f ca="1">IF(OR(INDEX($AG$2:$AG$1001,MATCH(ROWS($AF$2:AF655),$AF$2:$AF$1001,0),1)&gt;=100000,INDEX($AM$1005:$BM$1005,1,MATCH(COLUMNS($AM$1006:BC1006),$AM$1006:$BM$1006,0))&gt;=100000), " ",IF(INDEX($AM$2:$BM$1001,MATCH(ROWS($AF$2:AF655),$AF$2:$AF$1001,0),MATCH(COLUMNS($AM$1006:BC1006),$AM$1006:$BM$1006,0)), HYPERLINK("#",""), HYPERLINK(CONCATENATE("#metadata!", ADDRESS(INDEX($AH$2:$AH$1001,MATCH(ROWS($AF$2:AF655),$AF$2:$AF$1001,0),0), INDEX($AM$1004:$BM$1004,1,MATCH(COLUMNS($AM$1006:BC1006),$AM$1006:$BM$1006,0)))),"Fix")))</f>
        <v xml:space="preserve"> </v>
      </c>
      <c r="S655" s="4" t="str">
        <f ca="1">IF(OR(INDEX($AG$2:$AG$1001,MATCH(ROWS($AF$2:AF655),$AF$2:$AF$1001,0),1)&gt;=100000,INDEX($AM$1005:$BM$1005,1,MATCH(COLUMNS($AM$1006:BD1006),$AM$1006:$BM$1006,0))&gt;=100000), " ",IF(INDEX($AM$2:$BM$1001,MATCH(ROWS($AF$2:AF655),$AF$2:$AF$1001,0),MATCH(COLUMNS($AM$1006:BD1006),$AM$1006:$BM$1006,0)), HYPERLINK("#",""), HYPERLINK(CONCATENATE("#metadata!", ADDRESS(INDEX($AH$2:$AH$1001,MATCH(ROWS($AF$2:AF655),$AF$2:$AF$1001,0),0), INDEX($AM$1004:$BM$1004,1,MATCH(COLUMNS($AM$1006:BD1006),$AM$1006:$BM$1006,0)))),"Fix")))</f>
        <v xml:space="preserve"> </v>
      </c>
      <c r="T655" s="4" t="str">
        <f ca="1">IF(OR(INDEX($AG$2:$AG$1001,MATCH(ROWS($AF$2:AF655),$AF$2:$AF$1001,0),1)&gt;=100000,INDEX($AM$1005:$BM$1005,1,MATCH(COLUMNS($AM$1006:BE1006),$AM$1006:$BM$1006,0))&gt;=100000), " ",IF(INDEX($AM$2:$BM$1001,MATCH(ROWS($AF$2:AF655),$AF$2:$AF$1001,0),MATCH(COLUMNS($AM$1006:BE1006),$AM$1006:$BM$1006,0)), HYPERLINK("#",""), HYPERLINK(CONCATENATE("#metadata!", ADDRESS(INDEX($AH$2:$AH$1001,MATCH(ROWS($AF$2:AF655),$AF$2:$AF$1001,0),0), INDEX($AM$1004:$BM$1004,1,MATCH(COLUMNS($AM$1006:BE1006),$AM$1006:$BM$1006,0)))),"Fix")))</f>
        <v xml:space="preserve"> </v>
      </c>
      <c r="U655" s="4" t="str">
        <f ca="1">IF(OR(INDEX($AG$2:$AG$1001,MATCH(ROWS($AF$2:AF655),$AF$2:$AF$1001,0),1)&gt;=100000,INDEX($AM$1005:$BM$1005,1,MATCH(COLUMNS($AM$1006:BF1006),$AM$1006:$BM$1006,0))&gt;=100000), " ",IF(INDEX($AM$2:$BM$1001,MATCH(ROWS($AF$2:AF655),$AF$2:$AF$1001,0),MATCH(COLUMNS($AM$1006:BF1006),$AM$1006:$BM$1006,0)), HYPERLINK("#",""), HYPERLINK(CONCATENATE("#metadata!", ADDRESS(INDEX($AH$2:$AH$1001,MATCH(ROWS($AF$2:AF655),$AF$2:$AF$1001,0),0), INDEX($AM$1004:$BM$1004,1,MATCH(COLUMNS($AM$1006:BF1006),$AM$1006:$BM$1006,0)))),"Fix")))</f>
        <v xml:space="preserve"> </v>
      </c>
      <c r="V655" s="4" t="str">
        <f ca="1">IF(OR(INDEX($AG$2:$AG$1001,MATCH(ROWS($AF$2:AF655),$AF$2:$AF$1001,0),1)&gt;=100000,INDEX($AM$1005:$BM$1005,1,MATCH(COLUMNS($AM$1006:BG1006),$AM$1006:$BM$1006,0))&gt;=100000), " ",IF(INDEX($AM$2:$BM$1001,MATCH(ROWS($AF$2:AF655),$AF$2:$AF$1001,0),MATCH(COLUMNS($AM$1006:BG1006),$AM$1006:$BM$1006,0)), HYPERLINK("#",""), HYPERLINK(CONCATENATE("#metadata!", ADDRESS(INDEX($AH$2:$AH$1001,MATCH(ROWS($AF$2:AF655),$AF$2:$AF$1001,0),0), INDEX($AM$1004:$BM$1004,1,MATCH(COLUMNS($AM$1006:BG1006),$AM$1006:$BM$1006,0)))),"Fix")))</f>
        <v xml:space="preserve"> </v>
      </c>
      <c r="W655" s="4" t="str">
        <f ca="1">IF(OR(INDEX($AG$2:$AG$1001,MATCH(ROWS($AF$2:AF655),$AF$2:$AF$1001,0),1)&gt;=100000,INDEX($AM$1005:$BM$1005,1,MATCH(COLUMNS($AM$1006:BH1006),$AM$1006:$BM$1006,0))&gt;=100000), " ",IF(INDEX($AM$2:$BM$1001,MATCH(ROWS($AF$2:AF655),$AF$2:$AF$1001,0),MATCH(COLUMNS($AM$1006:BH1006),$AM$1006:$BM$1006,0)), HYPERLINK("#",""), HYPERLINK(CONCATENATE("#metadata!", ADDRESS(INDEX($AH$2:$AH$1001,MATCH(ROWS($AF$2:AF655),$AF$2:$AF$1001,0),0), INDEX($AM$1004:$BM$1004,1,MATCH(COLUMNS($AM$1006:BH1006),$AM$1006:$BM$1006,0)))),"Fix")))</f>
        <v xml:space="preserve"> </v>
      </c>
      <c r="X655" s="4" t="str">
        <f ca="1">IF(OR(INDEX($AG$2:$AG$1001,MATCH(ROWS($AF$2:AF655),$AF$2:$AF$1001,0),1)&gt;=100000,INDEX($AM$1005:$BM$1005,1,MATCH(COLUMNS($AM$1006:BI1006),$AM$1006:$BM$1006,0))&gt;=100000), " ",IF(INDEX($AM$2:$BM$1001,MATCH(ROWS($AF$2:AF655),$AF$2:$AF$1001,0),MATCH(COLUMNS($AM$1006:BI1006),$AM$1006:$BM$1006,0)), HYPERLINK("#",""), HYPERLINK(CONCATENATE("#metadata!", ADDRESS(INDEX($AH$2:$AH$1001,MATCH(ROWS($AF$2:AF655),$AF$2:$AF$1001,0),0), INDEX($AM$1004:$BM$1004,1,MATCH(COLUMNS($AM$1006:BI1006),$AM$1006:$BM$1006,0)))),"Fix")))</f>
        <v xml:space="preserve"> </v>
      </c>
      <c r="Y655" s="4" t="str">
        <f ca="1">IF(OR(INDEX($AG$2:$AG$1001,MATCH(ROWS($AF$2:AF655),$AF$2:$AF$1001,0),1)&gt;=100000,INDEX($AM$1005:$BM$1005,1,MATCH(COLUMNS($AM$1006:BJ1006),$AM$1006:$BM$1006,0))&gt;=100000), " ",IF(INDEX($AM$2:$BM$1001,MATCH(ROWS($AF$2:AF655),$AF$2:$AF$1001,0),MATCH(COLUMNS($AM$1006:BJ1006),$AM$1006:$BM$1006,0)), HYPERLINK("#",""), HYPERLINK(CONCATENATE("#metadata!", ADDRESS(INDEX($AH$2:$AH$1001,MATCH(ROWS($AF$2:AF655),$AF$2:$AF$1001,0),0), INDEX($AM$1004:$BM$1004,1,MATCH(COLUMNS($AM$1006:BJ1006),$AM$1006:$BM$1006,0)))),"Fix")))</f>
        <v xml:space="preserve"> </v>
      </c>
      <c r="Z655" s="4" t="str">
        <f ca="1">IF(OR(INDEX($AG$2:$AG$1001,MATCH(ROWS($AF$2:AF655),$AF$2:$AF$1001,0),1)&gt;=100000,INDEX($AM$1005:$BM$1005,1,MATCH(COLUMNS($AM$1006:BK1006),$AM$1006:$BM$1006,0))&gt;=100000), " ",IF(INDEX($AM$2:$BM$1001,MATCH(ROWS($AF$2:AF655),$AF$2:$AF$1001,0),MATCH(COLUMNS($AM$1006:BK1006),$AM$1006:$BM$1006,0)), HYPERLINK("#",""), HYPERLINK(CONCATENATE("#metadata!", ADDRESS(INDEX($AH$2:$AH$1001,MATCH(ROWS($AF$2:AF655),$AF$2:$AF$1001,0),0), INDEX($AM$1004:$BM$1004,1,MATCH(COLUMNS($AM$1006:BK1006),$AM$1006:$BM$1006,0)))),"Fix")))</f>
        <v xml:space="preserve"> </v>
      </c>
      <c r="AA655" s="4" t="str">
        <f ca="1">IF(OR(INDEX($AG$2:$AG$1001,MATCH(ROWS($AF$2:AF655),$AF$2:$AF$1001,0),1)&gt;=100000,INDEX($AM$1005:$BM$1005,1,MATCH(COLUMNS($AM$1006:BL1006),$AM$1006:$BM$1006,0))&gt;=100000), " ",IF(INDEX($AM$2:$BM$1001,MATCH(ROWS($AF$2:AF655),$AF$2:$AF$1001,0),MATCH(COLUMNS($AM$1006:BL1006),$AM$1006:$BM$1006,0)), HYPERLINK("#",""), HYPERLINK(CONCATENATE("#metadata!", ADDRESS(INDEX($AH$2:$AH$1001,MATCH(ROWS($AF$2:AF655),$AF$2:$AF$1001,0),0), INDEX($AM$1004:$BM$1004,1,MATCH(COLUMNS($AM$1006:BL1006),$AM$1006:$BM$1006,0)))),"Fix")))</f>
        <v xml:space="preserve"> </v>
      </c>
      <c r="AB655" s="4" t="str">
        <f ca="1">IF(OR(INDEX($AG$2:$AG$1001,MATCH(ROWS($AF$2:AF655),$AF$2:$AF$1001,0),1)&gt;=100000,INDEX($AM$1005:$BM$1005,1,MATCH(COLUMNS($AM$1006:BM1006),$AM$1006:$BM$1006,0))&gt;=100000), " ",IF(INDEX($AM$2:$BM$1001,MATCH(ROWS($AF$2:AF655),$AF$2:$AF$1001,0),MATCH(COLUMNS($AM$1006:BM1006),$AM$1006:$BM$1006,0)), HYPERLINK("#",""), HYPERLINK(CONCATENATE("#metadata!", ADDRESS(INDEX($AH$2:$AH$1001,MATCH(ROWS($AF$2:AF655),$AF$2:$AF$1001,0),0), INDEX($AM$1004:$BM$1004,1,MATCH(COLUMNS($AM$1006:BM1006),$AM$1006:$BM$1006,0)))),"Fix")))</f>
        <v xml:space="preserve"> </v>
      </c>
      <c r="AF655">
        <v>654</v>
      </c>
      <c r="AG655">
        <v>100655</v>
      </c>
      <c r="AH655">
        <v>655</v>
      </c>
      <c r="AI655" t="b">
        <f t="shared" si="10"/>
        <v>1</v>
      </c>
      <c r="AJ655" t="b">
        <f>COUNTBLANK(metadata!B655:AB655)=COLUMNS(metadata!B655:AB655)</f>
        <v>1</v>
      </c>
      <c r="AK655" t="str">
        <v/>
      </c>
      <c r="AM655" t="b">
        <f ca="1">AND(IF(metadata!B655="",FALSE,TRUE),COUNTIF(metadata!B:B, metadata!B655) = 1,NOT(ISERROR(SUMPRODUCT(SEARCH(MID(metadata!B655,ROW(INDIRECT("1:"&amp;LEN(metadata!B655))), 1),"0123456789abcdefghijklmnopqrstuvwxyzABCDEFGHIJKLMNOPQRSTUVWXYZ.")))))</f>
        <v>0</v>
      </c>
      <c r="AN655" t="b">
        <f ca="1">OR(AND(IF(metadata!C655="",FALSE,TRUE),OR(EXACT(metadata!C655,"missing: not collected"),EXACT(metadata!C655,"missing: not provided"),EXACT(metadata!C655,"missing: restricted access"))),AND(IF(metadata!C655="",FALSE,TRUE),AND(AND(IFERROR(INT(LEFT(metadata!C655,4))&gt;1900,FALSE),IFERROR(INT(LEFT(metadata!C655,4))&lt;=YEAR(NOW()),FALSE)), OR(MID(metadata!C655,5,1)="", AND(AND(MID(metadata!C655,5,1)="-",IFERROR(INT(MID(metadata!C655,6,1))&gt;=0,FALSE),IFERROR(INT(MID(metadata!C655,6,1))&lt;=1,FALSE),NOT(MID(metadata!C655,7,1)=""),IFERROR(INT(MID(metadata!C655,6,2))&gt;=1,FALSE),IFERROR(INT(MID(metadata!C655,6,2))&lt;=12,FALSE)), OR(MID(metadata!C655,8,1)="", AND(AND(MID(metadata!C655,8,1)="-",IFERROR(INT(MID(metadata!C655,9,1))&gt;=0,FALSE),IFERROR(INT(MID(metadata!C655,9,1))&lt;=3,FALSE),NOT(MID(metadata!C655,10,1)=""),IFERROR(INT(MID(metadata!C655,9,2))&gt;=1,FALSE),IFERROR(INT(MID(metadata!C655,9,2))&lt;=31,FALSE)), OR(MID(metadata!C655,11,1)="", AND(AND(MID(metadata!C655,11,1)=" ",IFERROR(INT(MID(metadata!C655,12,1))&gt;=0,FALSE),IFERROR(INT(MID(metadata!C655,12,1))&lt;=2,FALSE),NOT(MID(metadata!C655,13,1)=""),IFERROR(INT(MID(metadata!C655,12,2))&gt;=0,FALSE),IFERROR(INT(MID(metadata!C655,12,2))&lt;=23,FALSE)), OR(MID(metadata!C655,14,1)="", AND(AND(MID(metadata!C655,14,1)=":",IFERROR(INT(MID(metadata!C655,15,1))&gt;=0,FALSE),IFERROR(INT(MID(metadata!C655,15,1))&lt;=5,FALSE),NOT(MID(metadata!C655,16,1)=""),IFERROR(INT(MID(metadata!C655,15,2))&gt;=0,FALSE),IFERROR(INT(MID(metadata!C655,15,2))&lt;=59,FALSE)), OR(MID(metadata!C655,17,1)="", AND(AND(MID(metadata!C655,17,1)=":",IFERROR(INT(MID(metadata!C655,18,1))&gt;=0,FALSE),IFERROR(INT(MID(metadata!C655,18,1))&lt;=5,FALSE),NOT(MID(metadata!C655,19,1)=""),IFERROR(INT(MID(metadata!C655,18,2))&gt;=0,FALSE),IFERROR(INT(MID(metadata!C655,18,2))&lt;=59,FALSE)), LEN(metadata!C655)&lt;=19)))))))))))))</f>
        <v>0</v>
      </c>
      <c r="AO655" t="b">
        <f>AND(IF(metadata!D655="",FALSE,TRUE),EXACT(metadata!D655,"Not applicable"))</f>
        <v>0</v>
      </c>
      <c r="AP655" t="b">
        <f>IF(metadata!E655="",FALSE,TRUE)</f>
        <v>0</v>
      </c>
      <c r="AQ655" t="b">
        <f>OR(AND(IF(metadata!F655="",FALSE,TRUE),OR(EXACT(metadata!F655,"missing: not collected"),EXACT(metadata!F655,"missing: not provided"))),AND(IF(metadata!F655="",FALSE,TRUE),OR(EXACT(metadata!F655,"TRUE"),EXACT(metadata!F655,"FALSE"))))</f>
        <v>0</v>
      </c>
      <c r="AR655" t="b">
        <f>OR(AND(IF(metadata!G655="",FALSE,TRUE),OR(EXACT(metadata!G655,"missing: not collected"),EXACT(metadata!G655,"missing: not provided"),EXACT(metadata!G655,"missing: restricted access"))),AND(IF(metadata!G655="",FALSE,ISNUMBER(VALUE(metadata!G655))),metadata!G655&gt;=-413))</f>
        <v>0</v>
      </c>
      <c r="AS655" t="b">
        <f>AND(IF(metadata!H655="",FALSE,TRUE),EXACT(metadata!H655,"meters"))</f>
        <v>0</v>
      </c>
      <c r="AT655" t="b">
        <f>AND(IF(metadata!I655="",FALSE,TRUE),OR(EXACT(metadata!I655,"Host-associated"),EXACT(metadata!I655,"Free-living")))</f>
        <v>0</v>
      </c>
      <c r="AU655" t="b">
        <f>AND(IF(metadata!J655="",FALSE,TRUE),OR(EXACT(metadata!J655,"Animal"),EXACT(metadata!J655,"Fungus"),EXACT(metadata!J655,"Plant"),EXACT(metadata!J655,"Saline"),EXACT(metadata!J655,"Non-saline")))</f>
        <v>0</v>
      </c>
      <c r="AV655" t="b">
        <f>AND(IF(metadata!K655="",FALSE,TRUE),OR(EXACT(metadata!K655,"Plant secretion"),EXACT(metadata!K655,"Plant rhizosphere"),EXACT(metadata!K655,"Plant surface"),EXACT(metadata!K655,"Plant corpus"),EXACT(metadata!K655,"Fungus surface"),EXACT(metadata!K655,"Fungus corpus"),EXACT(metadata!K655,"Animal surface"),EXACT(metadata!K655,"Animal proximal gut"),EXACT(metadata!K655,"Animal corpus"),EXACT(metadata!K655,"Animal distal gut"),EXACT(metadata!K655,"Animal secretion"),EXACT(metadata!K655,"Sub-surface (non-saline)"),EXACT(metadata!K655,"Surface (non-saline)"),EXACT(metadata!K655,"Water (non-saline)"),EXACT(metadata!K655,"Soil (non-saline)"),EXACT(metadata!K655,"Aerosol (non-saline)"),EXACT(metadata!K655,"Sediment (non-saline)"),EXACT(metadata!K655,"Surface (saline)"),EXACT(metadata!K655,"Water (saline)"),EXACT(metadata!K655,"Hypersaline (saline)"),EXACT(metadata!K655,"Aerosol (saline)"),EXACT(metadata!K655,"Sediment (saline)")))</f>
        <v>0</v>
      </c>
      <c r="AW655" t="b">
        <f>IF(metadata!L655="",FALSE,TRUE)</f>
        <v>0</v>
      </c>
      <c r="AX655" t="b">
        <f>IF(metadata!M655="",FALSE,TRUE)</f>
        <v>0</v>
      </c>
      <c r="AY655" t="b">
        <f>IF(metadata!N655="",FALSE,TRUE)</f>
        <v>0</v>
      </c>
      <c r="AZ655" t="b">
        <f>OR(AND(IF(metadata!O655="",FALSE,TRUE),OR(EXACT(metadata!O655,"missing: not collected"),EXACT(metadata!O655,"missing: not provided"),EXACT(metadata!O655,"missing: restricted access"))),AND(IF(metadata!O655="",FALSE,TRUE),OR(EXACT(metadata!O655,"air"),EXACT(metadata!O655,"built environment"),EXACT(metadata!O655,"host-associated"),EXACT(metadata!O655,"human-associated"),EXACT(metadata!O655,"human-skin"),EXACT(metadata!O655,"human-oral"),EXACT(metadata!O655,"human-gut"),EXACT(metadata!O655,"human-vaginal"),EXACT(metadata!O655,"microbial mat/biofilm"),EXACT(metadata!O655,"misc environment"),EXACT(metadata!O655,"plant-associated"),EXACT(metadata!O655,"sediment"),EXACT(metadata!O655,"soil"),EXACT(metadata!O655,"wastewater/sludge"),EXACT(metadata!O655,"water"))))</f>
        <v>0</v>
      </c>
      <c r="BA655" t="b">
        <f>IF(metadata!P655="",FALSE,TRUE)</f>
        <v>0</v>
      </c>
      <c r="BB655" t="b">
        <f>IF(metadata!Q655="",FALSE,TRUE)</f>
        <v>0</v>
      </c>
      <c r="BC655" t="b">
        <f>OR(AND(IF(metadata!R655="",FALSE,TRUE),OR(EXACT(metadata!R655,"missing: not collected"),EXACT(metadata!R655,"missing: not provided"),EXACT(metadata!R655,"missing: restricted access"))),AND(IF(metadata!R655="",FALSE,ISNUMBER(VALUE(metadata!R655))),metadata!R655&gt;=-90,metadata!R655&lt;=90))</f>
        <v>0</v>
      </c>
      <c r="BD655" t="b">
        <f>AND(IF(metadata!S655="",FALSE,TRUE),EXACT(metadata!S655,"Decimal degrees"))</f>
        <v>0</v>
      </c>
      <c r="BE655" t="b">
        <f>OR(AND(IF(metadata!T655="",FALSE,TRUE),OR(EXACT(metadata!T655,"missing: not collected"),EXACT(metadata!T655,"missing: not provided"),EXACT(metadata!T655,"missing: restricted access"))),AND(IF(metadata!T655="",FALSE,ISNUMBER(VALUE(metadata!T655))),metadata!T655&gt;=-180,metadata!T655&lt;=180))</f>
        <v>0</v>
      </c>
      <c r="BF655" t="b">
        <f>AND(IF(metadata!U655="",FALSE,TRUE),EXACT(metadata!U655,"Decimal degrees"))</f>
        <v>0</v>
      </c>
      <c r="BG655" t="b">
        <f>IF(metadata!V655="",FALSE,TRUE)</f>
        <v>0</v>
      </c>
      <c r="BH655" t="b">
        <f>OR(AND(IF(metadata!W655="",FALSE,TRUE),OR(EXACT(metadata!W655,"missing: not collected"),EXACT(metadata!W655,"missing: not provided"),EXACT(metadata!W655,"missing: restricted access"))),AND(IF(metadata!W655="",FALSE,TRUE),OR(EXACT(metadata!W655,"TRUE"),EXACT(metadata!W655,"FALSE"))))</f>
        <v>0</v>
      </c>
      <c r="BI655" t="b">
        <f>AND(IF(metadata!X655="",FALSE,TRUE),EXACT(metadata!X655,"other"))</f>
        <v>0</v>
      </c>
      <c r="BJ655" t="b">
        <f>IF(metadata!Y655="",FALSE,TRUE)</f>
        <v>0</v>
      </c>
      <c r="BK655" t="b">
        <f>OR(AND(IF(metadata!Z655="",FALSE,TRUE),OR(EXACT(metadata!Z655,"missing: not collected"),EXACT(metadata!Z655,"missing: not provided"))),AND(IF(metadata!Z655="",FALSE,IF(ISERROR(INT(metadata!Z655)),FALSE,INT(metadata!Z655)=metadata!Z655)),metadata!Z655&gt;0))</f>
        <v>0</v>
      </c>
      <c r="BL655" t="b">
        <f>AND(IF(metadata!AA655="",FALSE,TRUE),EXACT(metadata!AA655,"Not applicable"))</f>
        <v>0</v>
      </c>
      <c r="BM655" t="b">
        <f>IF(metadata!AB655="",FALSE,TRUE)</f>
        <v>0</v>
      </c>
    </row>
    <row r="656" spans="1:65" x14ac:dyDescent="0.2">
      <c r="A656" s="5" t="str">
        <f ca="1">IF(B656=" "," ",HYPERLINK(CONCATENATE("#metadata!",ADDRESS(INDEX($AH$2:$AH$1001,MATCH(ROWS($AF$2:AF656),$AF$2:$AF$1001,0),0),1)),INDEX($AK$2:$AK$1001,MATCH(ROWS($AF$2:AF656),$AF$2:$AF$1001,0),0)))</f>
        <v xml:space="preserve"> </v>
      </c>
      <c r="B656" s="4" t="str">
        <f ca="1">IF(OR(INDEX($AG$2:$AG$1001,MATCH(ROWS($AF$2:AF656),$AF$2:$AF$1001,0),1)&gt;=100000,INDEX($AM$1005:$BM$1005,1,MATCH(COLUMNS($AM$1006:AM1006),$AM$1006:$BM$1006,0))&gt;=100000), " ",IF(INDEX($AM$2:$BM$1001,MATCH(ROWS($AF$2:AF656),$AF$2:$AF$1001,0),MATCH(COLUMNS($AM$1006:AM1006),$AM$1006:$BM$1006,0)), HYPERLINK("#",""), HYPERLINK(CONCATENATE("#metadata!", ADDRESS(INDEX($AH$2:$AH$1001,MATCH(ROWS($AF$2:AF656),$AF$2:$AF$1001,0),0), INDEX($AM$1004:$BM$1004,1,MATCH(COLUMNS($AM$1006:AM1006),$AM$1006:$BM$1006,0)))),"Fix")))</f>
        <v xml:space="preserve"> </v>
      </c>
      <c r="C656" s="4" t="str">
        <f ca="1">IF(OR(INDEX($AG$2:$AG$1001,MATCH(ROWS($AF$2:AF656),$AF$2:$AF$1001,0),1)&gt;=100000,INDEX($AM$1005:$BM$1005,1,MATCH(COLUMNS($AM$1006:AN1006),$AM$1006:$BM$1006,0))&gt;=100000), " ",IF(INDEX($AM$2:$BM$1001,MATCH(ROWS($AF$2:AF656),$AF$2:$AF$1001,0),MATCH(COLUMNS($AM$1006:AN1006),$AM$1006:$BM$1006,0)), HYPERLINK("#",""), HYPERLINK(CONCATENATE("#metadata!", ADDRESS(INDEX($AH$2:$AH$1001,MATCH(ROWS($AF$2:AF656),$AF$2:$AF$1001,0),0), INDEX($AM$1004:$BM$1004,1,MATCH(COLUMNS($AM$1006:AN1006),$AM$1006:$BM$1006,0)))),"Fix")))</f>
        <v xml:space="preserve"> </v>
      </c>
      <c r="D656" s="4" t="str">
        <f ca="1">IF(OR(INDEX($AG$2:$AG$1001,MATCH(ROWS($AF$2:AF656),$AF$2:$AF$1001,0),1)&gt;=100000,INDEX($AM$1005:$BM$1005,1,MATCH(COLUMNS($AM$1006:AO1006),$AM$1006:$BM$1006,0))&gt;=100000), " ",IF(INDEX($AM$2:$BM$1001,MATCH(ROWS($AF$2:AF656),$AF$2:$AF$1001,0),MATCH(COLUMNS($AM$1006:AO1006),$AM$1006:$BM$1006,0)), HYPERLINK("#",""), HYPERLINK(CONCATENATE("#metadata!", ADDRESS(INDEX($AH$2:$AH$1001,MATCH(ROWS($AF$2:AF656),$AF$2:$AF$1001,0),0), INDEX($AM$1004:$BM$1004,1,MATCH(COLUMNS($AM$1006:AO1006),$AM$1006:$BM$1006,0)))),"Fix")))</f>
        <v xml:space="preserve"> </v>
      </c>
      <c r="E656" s="4" t="str">
        <f ca="1">IF(OR(INDEX($AG$2:$AG$1001,MATCH(ROWS($AF$2:AF656),$AF$2:$AF$1001,0),1)&gt;=100000,INDEX($AM$1005:$BM$1005,1,MATCH(COLUMNS($AM$1006:AP1006),$AM$1006:$BM$1006,0))&gt;=100000), " ",IF(INDEX($AM$2:$BM$1001,MATCH(ROWS($AF$2:AF656),$AF$2:$AF$1001,0),MATCH(COLUMNS($AM$1006:AP1006),$AM$1006:$BM$1006,0)), HYPERLINK("#",""), HYPERLINK(CONCATENATE("#metadata!", ADDRESS(INDEX($AH$2:$AH$1001,MATCH(ROWS($AF$2:AF656),$AF$2:$AF$1001,0),0), INDEX($AM$1004:$BM$1004,1,MATCH(COLUMNS($AM$1006:AP1006),$AM$1006:$BM$1006,0)))),"Fix")))</f>
        <v xml:space="preserve"> </v>
      </c>
      <c r="F656" s="4" t="str">
        <f ca="1">IF(OR(INDEX($AG$2:$AG$1001,MATCH(ROWS($AF$2:AF656),$AF$2:$AF$1001,0),1)&gt;=100000,INDEX($AM$1005:$BM$1005,1,MATCH(COLUMNS($AM$1006:AQ1006),$AM$1006:$BM$1006,0))&gt;=100000), " ",IF(INDEX($AM$2:$BM$1001,MATCH(ROWS($AF$2:AF656),$AF$2:$AF$1001,0),MATCH(COLUMNS($AM$1006:AQ1006),$AM$1006:$BM$1006,0)), HYPERLINK("#",""), HYPERLINK(CONCATENATE("#metadata!", ADDRESS(INDEX($AH$2:$AH$1001,MATCH(ROWS($AF$2:AF656),$AF$2:$AF$1001,0),0), INDEX($AM$1004:$BM$1004,1,MATCH(COLUMNS($AM$1006:AQ1006),$AM$1006:$BM$1006,0)))),"Fix")))</f>
        <v xml:space="preserve"> </v>
      </c>
      <c r="G656" s="4" t="str">
        <f ca="1">IF(OR(INDEX($AG$2:$AG$1001,MATCH(ROWS($AF$2:AF656),$AF$2:$AF$1001,0),1)&gt;=100000,INDEX($AM$1005:$BM$1005,1,MATCH(COLUMNS($AM$1006:AR1006),$AM$1006:$BM$1006,0))&gt;=100000), " ",IF(INDEX($AM$2:$BM$1001,MATCH(ROWS($AF$2:AF656),$AF$2:$AF$1001,0),MATCH(COLUMNS($AM$1006:AR1006),$AM$1006:$BM$1006,0)), HYPERLINK("#",""), HYPERLINK(CONCATENATE("#metadata!", ADDRESS(INDEX($AH$2:$AH$1001,MATCH(ROWS($AF$2:AF656),$AF$2:$AF$1001,0),0), INDEX($AM$1004:$BM$1004,1,MATCH(COLUMNS($AM$1006:AR1006),$AM$1006:$BM$1006,0)))),"Fix")))</f>
        <v xml:space="preserve"> </v>
      </c>
      <c r="H656" s="4" t="str">
        <f ca="1">IF(OR(INDEX($AG$2:$AG$1001,MATCH(ROWS($AF$2:AF656),$AF$2:$AF$1001,0),1)&gt;=100000,INDEX($AM$1005:$BM$1005,1,MATCH(COLUMNS($AM$1006:AS1006),$AM$1006:$BM$1006,0))&gt;=100000), " ",IF(INDEX($AM$2:$BM$1001,MATCH(ROWS($AF$2:AF656),$AF$2:$AF$1001,0),MATCH(COLUMNS($AM$1006:AS1006),$AM$1006:$BM$1006,0)), HYPERLINK("#",""), HYPERLINK(CONCATENATE("#metadata!", ADDRESS(INDEX($AH$2:$AH$1001,MATCH(ROWS($AF$2:AF656),$AF$2:$AF$1001,0),0), INDEX($AM$1004:$BM$1004,1,MATCH(COLUMNS($AM$1006:AS1006),$AM$1006:$BM$1006,0)))),"Fix")))</f>
        <v xml:space="preserve"> </v>
      </c>
      <c r="I656" s="4" t="str">
        <f ca="1">IF(OR(INDEX($AG$2:$AG$1001,MATCH(ROWS($AF$2:AF656),$AF$2:$AF$1001,0),1)&gt;=100000,INDEX($AM$1005:$BM$1005,1,MATCH(COLUMNS($AM$1006:AT1006),$AM$1006:$BM$1006,0))&gt;=100000), " ",IF(INDEX($AM$2:$BM$1001,MATCH(ROWS($AF$2:AF656),$AF$2:$AF$1001,0),MATCH(COLUMNS($AM$1006:AT1006),$AM$1006:$BM$1006,0)), HYPERLINK("#",""), HYPERLINK(CONCATENATE("#metadata!", ADDRESS(INDEX($AH$2:$AH$1001,MATCH(ROWS($AF$2:AF656),$AF$2:$AF$1001,0),0), INDEX($AM$1004:$BM$1004,1,MATCH(COLUMNS($AM$1006:AT1006),$AM$1006:$BM$1006,0)))),"Fix")))</f>
        <v xml:space="preserve"> </v>
      </c>
      <c r="J656" s="4" t="str">
        <f ca="1">IF(OR(INDEX($AG$2:$AG$1001,MATCH(ROWS($AF$2:AF656),$AF$2:$AF$1001,0),1)&gt;=100000,INDEX($AM$1005:$BM$1005,1,MATCH(COLUMNS($AM$1006:AU1006),$AM$1006:$BM$1006,0))&gt;=100000), " ",IF(INDEX($AM$2:$BM$1001,MATCH(ROWS($AF$2:AF656),$AF$2:$AF$1001,0),MATCH(COLUMNS($AM$1006:AU1006),$AM$1006:$BM$1006,0)), HYPERLINK("#",""), HYPERLINK(CONCATENATE("#metadata!", ADDRESS(INDEX($AH$2:$AH$1001,MATCH(ROWS($AF$2:AF656),$AF$2:$AF$1001,0),0), INDEX($AM$1004:$BM$1004,1,MATCH(COLUMNS($AM$1006:AU1006),$AM$1006:$BM$1006,0)))),"Fix")))</f>
        <v xml:space="preserve"> </v>
      </c>
      <c r="K656" s="4" t="str">
        <f ca="1">IF(OR(INDEX($AG$2:$AG$1001,MATCH(ROWS($AF$2:AF656),$AF$2:$AF$1001,0),1)&gt;=100000,INDEX($AM$1005:$BM$1005,1,MATCH(COLUMNS($AM$1006:AV1006),$AM$1006:$BM$1006,0))&gt;=100000), " ",IF(INDEX($AM$2:$BM$1001,MATCH(ROWS($AF$2:AF656),$AF$2:$AF$1001,0),MATCH(COLUMNS($AM$1006:AV1006),$AM$1006:$BM$1006,0)), HYPERLINK("#",""), HYPERLINK(CONCATENATE("#metadata!", ADDRESS(INDEX($AH$2:$AH$1001,MATCH(ROWS($AF$2:AF656),$AF$2:$AF$1001,0),0), INDEX($AM$1004:$BM$1004,1,MATCH(COLUMNS($AM$1006:AV1006),$AM$1006:$BM$1006,0)))),"Fix")))</f>
        <v xml:space="preserve"> </v>
      </c>
      <c r="L656" s="4" t="str">
        <f ca="1">IF(OR(INDEX($AG$2:$AG$1001,MATCH(ROWS($AF$2:AF656),$AF$2:$AF$1001,0),1)&gt;=100000,INDEX($AM$1005:$BM$1005,1,MATCH(COLUMNS($AM$1006:AW1006),$AM$1006:$BM$1006,0))&gt;=100000), " ",IF(INDEX($AM$2:$BM$1001,MATCH(ROWS($AF$2:AF656),$AF$2:$AF$1001,0),MATCH(COLUMNS($AM$1006:AW1006),$AM$1006:$BM$1006,0)), HYPERLINK("#",""), HYPERLINK(CONCATENATE("#metadata!", ADDRESS(INDEX($AH$2:$AH$1001,MATCH(ROWS($AF$2:AF656),$AF$2:$AF$1001,0),0), INDEX($AM$1004:$BM$1004,1,MATCH(COLUMNS($AM$1006:AW1006),$AM$1006:$BM$1006,0)))),"Fix")))</f>
        <v xml:space="preserve"> </v>
      </c>
      <c r="M656" s="4" t="str">
        <f ca="1">IF(OR(INDEX($AG$2:$AG$1001,MATCH(ROWS($AF$2:AF656),$AF$2:$AF$1001,0),1)&gt;=100000,INDEX($AM$1005:$BM$1005,1,MATCH(COLUMNS($AM$1006:AX1006),$AM$1006:$BM$1006,0))&gt;=100000), " ",IF(INDEX($AM$2:$BM$1001,MATCH(ROWS($AF$2:AF656),$AF$2:$AF$1001,0),MATCH(COLUMNS($AM$1006:AX1006),$AM$1006:$BM$1006,0)), HYPERLINK("#",""), HYPERLINK(CONCATENATE("#metadata!", ADDRESS(INDEX($AH$2:$AH$1001,MATCH(ROWS($AF$2:AF656),$AF$2:$AF$1001,0),0), INDEX($AM$1004:$BM$1004,1,MATCH(COLUMNS($AM$1006:AX1006),$AM$1006:$BM$1006,0)))),"Fix")))</f>
        <v xml:space="preserve"> </v>
      </c>
      <c r="N656" s="4" t="str">
        <f ca="1">IF(OR(INDEX($AG$2:$AG$1001,MATCH(ROWS($AF$2:AF656),$AF$2:$AF$1001,0),1)&gt;=100000,INDEX($AM$1005:$BM$1005,1,MATCH(COLUMNS($AM$1006:AY1006),$AM$1006:$BM$1006,0))&gt;=100000), " ",IF(INDEX($AM$2:$BM$1001,MATCH(ROWS($AF$2:AF656),$AF$2:$AF$1001,0),MATCH(COLUMNS($AM$1006:AY1006),$AM$1006:$BM$1006,0)), HYPERLINK("#",""), HYPERLINK(CONCATENATE("#metadata!", ADDRESS(INDEX($AH$2:$AH$1001,MATCH(ROWS($AF$2:AF656),$AF$2:$AF$1001,0),0), INDEX($AM$1004:$BM$1004,1,MATCH(COLUMNS($AM$1006:AY1006),$AM$1006:$BM$1006,0)))),"Fix")))</f>
        <v xml:space="preserve"> </v>
      </c>
      <c r="O656" s="4" t="str">
        <f ca="1">IF(OR(INDEX($AG$2:$AG$1001,MATCH(ROWS($AF$2:AF656),$AF$2:$AF$1001,0),1)&gt;=100000,INDEX($AM$1005:$BM$1005,1,MATCH(COLUMNS($AM$1006:AZ1006),$AM$1006:$BM$1006,0))&gt;=100000), " ",IF(INDEX($AM$2:$BM$1001,MATCH(ROWS($AF$2:AF656),$AF$2:$AF$1001,0),MATCH(COLUMNS($AM$1006:AZ1006),$AM$1006:$BM$1006,0)), HYPERLINK("#",""), HYPERLINK(CONCATENATE("#metadata!", ADDRESS(INDEX($AH$2:$AH$1001,MATCH(ROWS($AF$2:AF656),$AF$2:$AF$1001,0),0), INDEX($AM$1004:$BM$1004,1,MATCH(COLUMNS($AM$1006:AZ1006),$AM$1006:$BM$1006,0)))),"Fix")))</f>
        <v xml:space="preserve"> </v>
      </c>
      <c r="P656" s="4" t="str">
        <f ca="1">IF(OR(INDEX($AG$2:$AG$1001,MATCH(ROWS($AF$2:AF656),$AF$2:$AF$1001,0),1)&gt;=100000,INDEX($AM$1005:$BM$1005,1,MATCH(COLUMNS($AM$1006:BA1006),$AM$1006:$BM$1006,0))&gt;=100000), " ",IF(INDEX($AM$2:$BM$1001,MATCH(ROWS($AF$2:AF656),$AF$2:$AF$1001,0),MATCH(COLUMNS($AM$1006:BA1006),$AM$1006:$BM$1006,0)), HYPERLINK("#",""), HYPERLINK(CONCATENATE("#metadata!", ADDRESS(INDEX($AH$2:$AH$1001,MATCH(ROWS($AF$2:AF656),$AF$2:$AF$1001,0),0), INDEX($AM$1004:$BM$1004,1,MATCH(COLUMNS($AM$1006:BA1006),$AM$1006:$BM$1006,0)))),"Fix")))</f>
        <v xml:space="preserve"> </v>
      </c>
      <c r="Q656" s="4" t="str">
        <f ca="1">IF(OR(INDEX($AG$2:$AG$1001,MATCH(ROWS($AF$2:AF656),$AF$2:$AF$1001,0),1)&gt;=100000,INDEX($AM$1005:$BM$1005,1,MATCH(COLUMNS($AM$1006:BB1006),$AM$1006:$BM$1006,0))&gt;=100000), " ",IF(INDEX($AM$2:$BM$1001,MATCH(ROWS($AF$2:AF656),$AF$2:$AF$1001,0),MATCH(COLUMNS($AM$1006:BB1006),$AM$1006:$BM$1006,0)), HYPERLINK("#",""), HYPERLINK(CONCATENATE("#metadata!", ADDRESS(INDEX($AH$2:$AH$1001,MATCH(ROWS($AF$2:AF656),$AF$2:$AF$1001,0),0), INDEX($AM$1004:$BM$1004,1,MATCH(COLUMNS($AM$1006:BB1006),$AM$1006:$BM$1006,0)))),"Fix")))</f>
        <v xml:space="preserve"> </v>
      </c>
      <c r="R656" s="4" t="str">
        <f ca="1">IF(OR(INDEX($AG$2:$AG$1001,MATCH(ROWS($AF$2:AF656),$AF$2:$AF$1001,0),1)&gt;=100000,INDEX($AM$1005:$BM$1005,1,MATCH(COLUMNS($AM$1006:BC1006),$AM$1006:$BM$1006,0))&gt;=100000), " ",IF(INDEX($AM$2:$BM$1001,MATCH(ROWS($AF$2:AF656),$AF$2:$AF$1001,0),MATCH(COLUMNS($AM$1006:BC1006),$AM$1006:$BM$1006,0)), HYPERLINK("#",""), HYPERLINK(CONCATENATE("#metadata!", ADDRESS(INDEX($AH$2:$AH$1001,MATCH(ROWS($AF$2:AF656),$AF$2:$AF$1001,0),0), INDEX($AM$1004:$BM$1004,1,MATCH(COLUMNS($AM$1006:BC1006),$AM$1006:$BM$1006,0)))),"Fix")))</f>
        <v xml:space="preserve"> </v>
      </c>
      <c r="S656" s="4" t="str">
        <f ca="1">IF(OR(INDEX($AG$2:$AG$1001,MATCH(ROWS($AF$2:AF656),$AF$2:$AF$1001,0),1)&gt;=100000,INDEX($AM$1005:$BM$1005,1,MATCH(COLUMNS($AM$1006:BD1006),$AM$1006:$BM$1006,0))&gt;=100000), " ",IF(INDEX($AM$2:$BM$1001,MATCH(ROWS($AF$2:AF656),$AF$2:$AF$1001,0),MATCH(COLUMNS($AM$1006:BD1006),$AM$1006:$BM$1006,0)), HYPERLINK("#",""), HYPERLINK(CONCATENATE("#metadata!", ADDRESS(INDEX($AH$2:$AH$1001,MATCH(ROWS($AF$2:AF656),$AF$2:$AF$1001,0),0), INDEX($AM$1004:$BM$1004,1,MATCH(COLUMNS($AM$1006:BD1006),$AM$1006:$BM$1006,0)))),"Fix")))</f>
        <v xml:space="preserve"> </v>
      </c>
      <c r="T656" s="4" t="str">
        <f ca="1">IF(OR(INDEX($AG$2:$AG$1001,MATCH(ROWS($AF$2:AF656),$AF$2:$AF$1001,0),1)&gt;=100000,INDEX($AM$1005:$BM$1005,1,MATCH(COLUMNS($AM$1006:BE1006),$AM$1006:$BM$1006,0))&gt;=100000), " ",IF(INDEX($AM$2:$BM$1001,MATCH(ROWS($AF$2:AF656),$AF$2:$AF$1001,0),MATCH(COLUMNS($AM$1006:BE1006),$AM$1006:$BM$1006,0)), HYPERLINK("#",""), HYPERLINK(CONCATENATE("#metadata!", ADDRESS(INDEX($AH$2:$AH$1001,MATCH(ROWS($AF$2:AF656),$AF$2:$AF$1001,0),0), INDEX($AM$1004:$BM$1004,1,MATCH(COLUMNS($AM$1006:BE1006),$AM$1006:$BM$1006,0)))),"Fix")))</f>
        <v xml:space="preserve"> </v>
      </c>
      <c r="U656" s="4" t="str">
        <f ca="1">IF(OR(INDEX($AG$2:$AG$1001,MATCH(ROWS($AF$2:AF656),$AF$2:$AF$1001,0),1)&gt;=100000,INDEX($AM$1005:$BM$1005,1,MATCH(COLUMNS($AM$1006:BF1006),$AM$1006:$BM$1006,0))&gt;=100000), " ",IF(INDEX($AM$2:$BM$1001,MATCH(ROWS($AF$2:AF656),$AF$2:$AF$1001,0),MATCH(COLUMNS($AM$1006:BF1006),$AM$1006:$BM$1006,0)), HYPERLINK("#",""), HYPERLINK(CONCATENATE("#metadata!", ADDRESS(INDEX($AH$2:$AH$1001,MATCH(ROWS($AF$2:AF656),$AF$2:$AF$1001,0),0), INDEX($AM$1004:$BM$1004,1,MATCH(COLUMNS($AM$1006:BF1006),$AM$1006:$BM$1006,0)))),"Fix")))</f>
        <v xml:space="preserve"> </v>
      </c>
      <c r="V656" s="4" t="str">
        <f ca="1">IF(OR(INDEX($AG$2:$AG$1001,MATCH(ROWS($AF$2:AF656),$AF$2:$AF$1001,0),1)&gt;=100000,INDEX($AM$1005:$BM$1005,1,MATCH(COLUMNS($AM$1006:BG1006),$AM$1006:$BM$1006,0))&gt;=100000), " ",IF(INDEX($AM$2:$BM$1001,MATCH(ROWS($AF$2:AF656),$AF$2:$AF$1001,0),MATCH(COLUMNS($AM$1006:BG1006),$AM$1006:$BM$1006,0)), HYPERLINK("#",""), HYPERLINK(CONCATENATE("#metadata!", ADDRESS(INDEX($AH$2:$AH$1001,MATCH(ROWS($AF$2:AF656),$AF$2:$AF$1001,0),0), INDEX($AM$1004:$BM$1004,1,MATCH(COLUMNS($AM$1006:BG1006),$AM$1006:$BM$1006,0)))),"Fix")))</f>
        <v xml:space="preserve"> </v>
      </c>
      <c r="W656" s="4" t="str">
        <f ca="1">IF(OR(INDEX($AG$2:$AG$1001,MATCH(ROWS($AF$2:AF656),$AF$2:$AF$1001,0),1)&gt;=100000,INDEX($AM$1005:$BM$1005,1,MATCH(COLUMNS($AM$1006:BH1006),$AM$1006:$BM$1006,0))&gt;=100000), " ",IF(INDEX($AM$2:$BM$1001,MATCH(ROWS($AF$2:AF656),$AF$2:$AF$1001,0),MATCH(COLUMNS($AM$1006:BH1006),$AM$1006:$BM$1006,0)), HYPERLINK("#",""), HYPERLINK(CONCATENATE("#metadata!", ADDRESS(INDEX($AH$2:$AH$1001,MATCH(ROWS($AF$2:AF656),$AF$2:$AF$1001,0),0), INDEX($AM$1004:$BM$1004,1,MATCH(COLUMNS($AM$1006:BH1006),$AM$1006:$BM$1006,0)))),"Fix")))</f>
        <v xml:space="preserve"> </v>
      </c>
      <c r="X656" s="4" t="str">
        <f ca="1">IF(OR(INDEX($AG$2:$AG$1001,MATCH(ROWS($AF$2:AF656),$AF$2:$AF$1001,0),1)&gt;=100000,INDEX($AM$1005:$BM$1005,1,MATCH(COLUMNS($AM$1006:BI1006),$AM$1006:$BM$1006,0))&gt;=100000), " ",IF(INDEX($AM$2:$BM$1001,MATCH(ROWS($AF$2:AF656),$AF$2:$AF$1001,0),MATCH(COLUMNS($AM$1006:BI1006),$AM$1006:$BM$1006,0)), HYPERLINK("#",""), HYPERLINK(CONCATENATE("#metadata!", ADDRESS(INDEX($AH$2:$AH$1001,MATCH(ROWS($AF$2:AF656),$AF$2:$AF$1001,0),0), INDEX($AM$1004:$BM$1004,1,MATCH(COLUMNS($AM$1006:BI1006),$AM$1006:$BM$1006,0)))),"Fix")))</f>
        <v xml:space="preserve"> </v>
      </c>
      <c r="Y656" s="4" t="str">
        <f ca="1">IF(OR(INDEX($AG$2:$AG$1001,MATCH(ROWS($AF$2:AF656),$AF$2:$AF$1001,0),1)&gt;=100000,INDEX($AM$1005:$BM$1005,1,MATCH(COLUMNS($AM$1006:BJ1006),$AM$1006:$BM$1006,0))&gt;=100000), " ",IF(INDEX($AM$2:$BM$1001,MATCH(ROWS($AF$2:AF656),$AF$2:$AF$1001,0),MATCH(COLUMNS($AM$1006:BJ1006),$AM$1006:$BM$1006,0)), HYPERLINK("#",""), HYPERLINK(CONCATENATE("#metadata!", ADDRESS(INDEX($AH$2:$AH$1001,MATCH(ROWS($AF$2:AF656),$AF$2:$AF$1001,0),0), INDEX($AM$1004:$BM$1004,1,MATCH(COLUMNS($AM$1006:BJ1006),$AM$1006:$BM$1006,0)))),"Fix")))</f>
        <v xml:space="preserve"> </v>
      </c>
      <c r="Z656" s="4" t="str">
        <f ca="1">IF(OR(INDEX($AG$2:$AG$1001,MATCH(ROWS($AF$2:AF656),$AF$2:$AF$1001,0),1)&gt;=100000,INDEX($AM$1005:$BM$1005,1,MATCH(COLUMNS($AM$1006:BK1006),$AM$1006:$BM$1006,0))&gt;=100000), " ",IF(INDEX($AM$2:$BM$1001,MATCH(ROWS($AF$2:AF656),$AF$2:$AF$1001,0),MATCH(COLUMNS($AM$1006:BK1006),$AM$1006:$BM$1006,0)), HYPERLINK("#",""), HYPERLINK(CONCATENATE("#metadata!", ADDRESS(INDEX($AH$2:$AH$1001,MATCH(ROWS($AF$2:AF656),$AF$2:$AF$1001,0),0), INDEX($AM$1004:$BM$1004,1,MATCH(COLUMNS($AM$1006:BK1006),$AM$1006:$BM$1006,0)))),"Fix")))</f>
        <v xml:space="preserve"> </v>
      </c>
      <c r="AA656" s="4" t="str">
        <f ca="1">IF(OR(INDEX($AG$2:$AG$1001,MATCH(ROWS($AF$2:AF656),$AF$2:$AF$1001,0),1)&gt;=100000,INDEX($AM$1005:$BM$1005,1,MATCH(COLUMNS($AM$1006:BL1006),$AM$1006:$BM$1006,0))&gt;=100000), " ",IF(INDEX($AM$2:$BM$1001,MATCH(ROWS($AF$2:AF656),$AF$2:$AF$1001,0),MATCH(COLUMNS($AM$1006:BL1006),$AM$1006:$BM$1006,0)), HYPERLINK("#",""), HYPERLINK(CONCATENATE("#metadata!", ADDRESS(INDEX($AH$2:$AH$1001,MATCH(ROWS($AF$2:AF656),$AF$2:$AF$1001,0),0), INDEX($AM$1004:$BM$1004,1,MATCH(COLUMNS($AM$1006:BL1006),$AM$1006:$BM$1006,0)))),"Fix")))</f>
        <v xml:space="preserve"> </v>
      </c>
      <c r="AB656" s="4" t="str">
        <f ca="1">IF(OR(INDEX($AG$2:$AG$1001,MATCH(ROWS($AF$2:AF656),$AF$2:$AF$1001,0),1)&gt;=100000,INDEX($AM$1005:$BM$1005,1,MATCH(COLUMNS($AM$1006:BM1006),$AM$1006:$BM$1006,0))&gt;=100000), " ",IF(INDEX($AM$2:$BM$1001,MATCH(ROWS($AF$2:AF656),$AF$2:$AF$1001,0),MATCH(COLUMNS($AM$1006:BM1006),$AM$1006:$BM$1006,0)), HYPERLINK("#",""), HYPERLINK(CONCATENATE("#metadata!", ADDRESS(INDEX($AH$2:$AH$1001,MATCH(ROWS($AF$2:AF656),$AF$2:$AF$1001,0),0), INDEX($AM$1004:$BM$1004,1,MATCH(COLUMNS($AM$1006:BM1006),$AM$1006:$BM$1006,0)))),"Fix")))</f>
        <v xml:space="preserve"> </v>
      </c>
      <c r="AF656">
        <v>655</v>
      </c>
      <c r="AG656">
        <v>100656</v>
      </c>
      <c r="AH656">
        <v>656</v>
      </c>
      <c r="AI656" t="b">
        <f t="shared" si="10"/>
        <v>1</v>
      </c>
      <c r="AJ656" t="b">
        <f>COUNTBLANK(metadata!B656:AB656)=COLUMNS(metadata!B656:AB656)</f>
        <v>1</v>
      </c>
      <c r="AK656" t="str">
        <v/>
      </c>
      <c r="AM656" t="b">
        <f ca="1">AND(IF(metadata!B656="",FALSE,TRUE),COUNTIF(metadata!B:B, metadata!B656) = 1,NOT(ISERROR(SUMPRODUCT(SEARCH(MID(metadata!B656,ROW(INDIRECT("1:"&amp;LEN(metadata!B656))), 1),"0123456789abcdefghijklmnopqrstuvwxyzABCDEFGHIJKLMNOPQRSTUVWXYZ.")))))</f>
        <v>0</v>
      </c>
      <c r="AN656" t="b">
        <f ca="1">OR(AND(IF(metadata!C656="",FALSE,TRUE),OR(EXACT(metadata!C656,"missing: not collected"),EXACT(metadata!C656,"missing: not provided"),EXACT(metadata!C656,"missing: restricted access"))),AND(IF(metadata!C656="",FALSE,TRUE),AND(AND(IFERROR(INT(LEFT(metadata!C656,4))&gt;1900,FALSE),IFERROR(INT(LEFT(metadata!C656,4))&lt;=YEAR(NOW()),FALSE)), OR(MID(metadata!C656,5,1)="", AND(AND(MID(metadata!C656,5,1)="-",IFERROR(INT(MID(metadata!C656,6,1))&gt;=0,FALSE),IFERROR(INT(MID(metadata!C656,6,1))&lt;=1,FALSE),NOT(MID(metadata!C656,7,1)=""),IFERROR(INT(MID(metadata!C656,6,2))&gt;=1,FALSE),IFERROR(INT(MID(metadata!C656,6,2))&lt;=12,FALSE)), OR(MID(metadata!C656,8,1)="", AND(AND(MID(metadata!C656,8,1)="-",IFERROR(INT(MID(metadata!C656,9,1))&gt;=0,FALSE),IFERROR(INT(MID(metadata!C656,9,1))&lt;=3,FALSE),NOT(MID(metadata!C656,10,1)=""),IFERROR(INT(MID(metadata!C656,9,2))&gt;=1,FALSE),IFERROR(INT(MID(metadata!C656,9,2))&lt;=31,FALSE)), OR(MID(metadata!C656,11,1)="", AND(AND(MID(metadata!C656,11,1)=" ",IFERROR(INT(MID(metadata!C656,12,1))&gt;=0,FALSE),IFERROR(INT(MID(metadata!C656,12,1))&lt;=2,FALSE),NOT(MID(metadata!C656,13,1)=""),IFERROR(INT(MID(metadata!C656,12,2))&gt;=0,FALSE),IFERROR(INT(MID(metadata!C656,12,2))&lt;=23,FALSE)), OR(MID(metadata!C656,14,1)="", AND(AND(MID(metadata!C656,14,1)=":",IFERROR(INT(MID(metadata!C656,15,1))&gt;=0,FALSE),IFERROR(INT(MID(metadata!C656,15,1))&lt;=5,FALSE),NOT(MID(metadata!C656,16,1)=""),IFERROR(INT(MID(metadata!C656,15,2))&gt;=0,FALSE),IFERROR(INT(MID(metadata!C656,15,2))&lt;=59,FALSE)), OR(MID(metadata!C656,17,1)="", AND(AND(MID(metadata!C656,17,1)=":",IFERROR(INT(MID(metadata!C656,18,1))&gt;=0,FALSE),IFERROR(INT(MID(metadata!C656,18,1))&lt;=5,FALSE),NOT(MID(metadata!C656,19,1)=""),IFERROR(INT(MID(metadata!C656,18,2))&gt;=0,FALSE),IFERROR(INT(MID(metadata!C656,18,2))&lt;=59,FALSE)), LEN(metadata!C656)&lt;=19)))))))))))))</f>
        <v>0</v>
      </c>
      <c r="AO656" t="b">
        <f>AND(IF(metadata!D656="",FALSE,TRUE),EXACT(metadata!D656,"Not applicable"))</f>
        <v>0</v>
      </c>
      <c r="AP656" t="b">
        <f>IF(metadata!E656="",FALSE,TRUE)</f>
        <v>0</v>
      </c>
      <c r="AQ656" t="b">
        <f>OR(AND(IF(metadata!F656="",FALSE,TRUE),OR(EXACT(metadata!F656,"missing: not collected"),EXACT(metadata!F656,"missing: not provided"))),AND(IF(metadata!F656="",FALSE,TRUE),OR(EXACT(metadata!F656,"TRUE"),EXACT(metadata!F656,"FALSE"))))</f>
        <v>0</v>
      </c>
      <c r="AR656" t="b">
        <f>OR(AND(IF(metadata!G656="",FALSE,TRUE),OR(EXACT(metadata!G656,"missing: not collected"),EXACT(metadata!G656,"missing: not provided"),EXACT(metadata!G656,"missing: restricted access"))),AND(IF(metadata!G656="",FALSE,ISNUMBER(VALUE(metadata!G656))),metadata!G656&gt;=-413))</f>
        <v>0</v>
      </c>
      <c r="AS656" t="b">
        <f>AND(IF(metadata!H656="",FALSE,TRUE),EXACT(metadata!H656,"meters"))</f>
        <v>0</v>
      </c>
      <c r="AT656" t="b">
        <f>AND(IF(metadata!I656="",FALSE,TRUE),OR(EXACT(metadata!I656,"Host-associated"),EXACT(metadata!I656,"Free-living")))</f>
        <v>0</v>
      </c>
      <c r="AU656" t="b">
        <f>AND(IF(metadata!J656="",FALSE,TRUE),OR(EXACT(metadata!J656,"Animal"),EXACT(metadata!J656,"Fungus"),EXACT(metadata!J656,"Plant"),EXACT(metadata!J656,"Saline"),EXACT(metadata!J656,"Non-saline")))</f>
        <v>0</v>
      </c>
      <c r="AV656" t="b">
        <f>AND(IF(metadata!K656="",FALSE,TRUE),OR(EXACT(metadata!K656,"Plant secretion"),EXACT(metadata!K656,"Plant rhizosphere"),EXACT(metadata!K656,"Plant surface"),EXACT(metadata!K656,"Plant corpus"),EXACT(metadata!K656,"Fungus surface"),EXACT(metadata!K656,"Fungus corpus"),EXACT(metadata!K656,"Animal surface"),EXACT(metadata!K656,"Animal proximal gut"),EXACT(metadata!K656,"Animal corpus"),EXACT(metadata!K656,"Animal distal gut"),EXACT(metadata!K656,"Animal secretion"),EXACT(metadata!K656,"Sub-surface (non-saline)"),EXACT(metadata!K656,"Surface (non-saline)"),EXACT(metadata!K656,"Water (non-saline)"),EXACT(metadata!K656,"Soil (non-saline)"),EXACT(metadata!K656,"Aerosol (non-saline)"),EXACT(metadata!K656,"Sediment (non-saline)"),EXACT(metadata!K656,"Surface (saline)"),EXACT(metadata!K656,"Water (saline)"),EXACT(metadata!K656,"Hypersaline (saline)"),EXACT(metadata!K656,"Aerosol (saline)"),EXACT(metadata!K656,"Sediment (saline)")))</f>
        <v>0</v>
      </c>
      <c r="AW656" t="b">
        <f>IF(metadata!L656="",FALSE,TRUE)</f>
        <v>0</v>
      </c>
      <c r="AX656" t="b">
        <f>IF(metadata!M656="",FALSE,TRUE)</f>
        <v>0</v>
      </c>
      <c r="AY656" t="b">
        <f>IF(metadata!N656="",FALSE,TRUE)</f>
        <v>0</v>
      </c>
      <c r="AZ656" t="b">
        <f>OR(AND(IF(metadata!O656="",FALSE,TRUE),OR(EXACT(metadata!O656,"missing: not collected"),EXACT(metadata!O656,"missing: not provided"),EXACT(metadata!O656,"missing: restricted access"))),AND(IF(metadata!O656="",FALSE,TRUE),OR(EXACT(metadata!O656,"air"),EXACT(metadata!O656,"built environment"),EXACT(metadata!O656,"host-associated"),EXACT(metadata!O656,"human-associated"),EXACT(metadata!O656,"human-skin"),EXACT(metadata!O656,"human-oral"),EXACT(metadata!O656,"human-gut"),EXACT(metadata!O656,"human-vaginal"),EXACT(metadata!O656,"microbial mat/biofilm"),EXACT(metadata!O656,"misc environment"),EXACT(metadata!O656,"plant-associated"),EXACT(metadata!O656,"sediment"),EXACT(metadata!O656,"soil"),EXACT(metadata!O656,"wastewater/sludge"),EXACT(metadata!O656,"water"))))</f>
        <v>0</v>
      </c>
      <c r="BA656" t="b">
        <f>IF(metadata!P656="",FALSE,TRUE)</f>
        <v>0</v>
      </c>
      <c r="BB656" t="b">
        <f>IF(metadata!Q656="",FALSE,TRUE)</f>
        <v>0</v>
      </c>
      <c r="BC656" t="b">
        <f>OR(AND(IF(metadata!R656="",FALSE,TRUE),OR(EXACT(metadata!R656,"missing: not collected"),EXACT(metadata!R656,"missing: not provided"),EXACT(metadata!R656,"missing: restricted access"))),AND(IF(metadata!R656="",FALSE,ISNUMBER(VALUE(metadata!R656))),metadata!R656&gt;=-90,metadata!R656&lt;=90))</f>
        <v>0</v>
      </c>
      <c r="BD656" t="b">
        <f>AND(IF(metadata!S656="",FALSE,TRUE),EXACT(metadata!S656,"Decimal degrees"))</f>
        <v>0</v>
      </c>
      <c r="BE656" t="b">
        <f>OR(AND(IF(metadata!T656="",FALSE,TRUE),OR(EXACT(metadata!T656,"missing: not collected"),EXACT(metadata!T656,"missing: not provided"),EXACT(metadata!T656,"missing: restricted access"))),AND(IF(metadata!T656="",FALSE,ISNUMBER(VALUE(metadata!T656))),metadata!T656&gt;=-180,metadata!T656&lt;=180))</f>
        <v>0</v>
      </c>
      <c r="BF656" t="b">
        <f>AND(IF(metadata!U656="",FALSE,TRUE),EXACT(metadata!U656,"Decimal degrees"))</f>
        <v>0</v>
      </c>
      <c r="BG656" t="b">
        <f>IF(metadata!V656="",FALSE,TRUE)</f>
        <v>0</v>
      </c>
      <c r="BH656" t="b">
        <f>OR(AND(IF(metadata!W656="",FALSE,TRUE),OR(EXACT(metadata!W656,"missing: not collected"),EXACT(metadata!W656,"missing: not provided"),EXACT(metadata!W656,"missing: restricted access"))),AND(IF(metadata!W656="",FALSE,TRUE),OR(EXACT(metadata!W656,"TRUE"),EXACT(metadata!W656,"FALSE"))))</f>
        <v>0</v>
      </c>
      <c r="BI656" t="b">
        <f>AND(IF(metadata!X656="",FALSE,TRUE),EXACT(metadata!X656,"other"))</f>
        <v>0</v>
      </c>
      <c r="BJ656" t="b">
        <f>IF(metadata!Y656="",FALSE,TRUE)</f>
        <v>0</v>
      </c>
      <c r="BK656" t="b">
        <f>OR(AND(IF(metadata!Z656="",FALSE,TRUE),OR(EXACT(metadata!Z656,"missing: not collected"),EXACT(metadata!Z656,"missing: not provided"))),AND(IF(metadata!Z656="",FALSE,IF(ISERROR(INT(metadata!Z656)),FALSE,INT(metadata!Z656)=metadata!Z656)),metadata!Z656&gt;0))</f>
        <v>0</v>
      </c>
      <c r="BL656" t="b">
        <f>AND(IF(metadata!AA656="",FALSE,TRUE),EXACT(metadata!AA656,"Not applicable"))</f>
        <v>0</v>
      </c>
      <c r="BM656" t="b">
        <f>IF(metadata!AB656="",FALSE,TRUE)</f>
        <v>0</v>
      </c>
    </row>
    <row r="657" spans="1:65" x14ac:dyDescent="0.2">
      <c r="A657" s="5" t="str">
        <f ca="1">IF(B657=" "," ",HYPERLINK(CONCATENATE("#metadata!",ADDRESS(INDEX($AH$2:$AH$1001,MATCH(ROWS($AF$2:AF657),$AF$2:$AF$1001,0),0),1)),INDEX($AK$2:$AK$1001,MATCH(ROWS($AF$2:AF657),$AF$2:$AF$1001,0),0)))</f>
        <v xml:space="preserve"> </v>
      </c>
      <c r="B657" s="4" t="str">
        <f ca="1">IF(OR(INDEX($AG$2:$AG$1001,MATCH(ROWS($AF$2:AF657),$AF$2:$AF$1001,0),1)&gt;=100000,INDEX($AM$1005:$BM$1005,1,MATCH(COLUMNS($AM$1006:AM1006),$AM$1006:$BM$1006,0))&gt;=100000), " ",IF(INDEX($AM$2:$BM$1001,MATCH(ROWS($AF$2:AF657),$AF$2:$AF$1001,0),MATCH(COLUMNS($AM$1006:AM1006),$AM$1006:$BM$1006,0)), HYPERLINK("#",""), HYPERLINK(CONCATENATE("#metadata!", ADDRESS(INDEX($AH$2:$AH$1001,MATCH(ROWS($AF$2:AF657),$AF$2:$AF$1001,0),0), INDEX($AM$1004:$BM$1004,1,MATCH(COLUMNS($AM$1006:AM1006),$AM$1006:$BM$1006,0)))),"Fix")))</f>
        <v xml:space="preserve"> </v>
      </c>
      <c r="C657" s="4" t="str">
        <f ca="1">IF(OR(INDEX($AG$2:$AG$1001,MATCH(ROWS($AF$2:AF657),$AF$2:$AF$1001,0),1)&gt;=100000,INDEX($AM$1005:$BM$1005,1,MATCH(COLUMNS($AM$1006:AN1006),$AM$1006:$BM$1006,0))&gt;=100000), " ",IF(INDEX($AM$2:$BM$1001,MATCH(ROWS($AF$2:AF657),$AF$2:$AF$1001,0),MATCH(COLUMNS($AM$1006:AN1006),$AM$1006:$BM$1006,0)), HYPERLINK("#",""), HYPERLINK(CONCATENATE("#metadata!", ADDRESS(INDEX($AH$2:$AH$1001,MATCH(ROWS($AF$2:AF657),$AF$2:$AF$1001,0),0), INDEX($AM$1004:$BM$1004,1,MATCH(COLUMNS($AM$1006:AN1006),$AM$1006:$BM$1006,0)))),"Fix")))</f>
        <v xml:space="preserve"> </v>
      </c>
      <c r="D657" s="4" t="str">
        <f ca="1">IF(OR(INDEX($AG$2:$AG$1001,MATCH(ROWS($AF$2:AF657),$AF$2:$AF$1001,0),1)&gt;=100000,INDEX($AM$1005:$BM$1005,1,MATCH(COLUMNS($AM$1006:AO1006),$AM$1006:$BM$1006,0))&gt;=100000), " ",IF(INDEX($AM$2:$BM$1001,MATCH(ROWS($AF$2:AF657),$AF$2:$AF$1001,0),MATCH(COLUMNS($AM$1006:AO1006),$AM$1006:$BM$1006,0)), HYPERLINK("#",""), HYPERLINK(CONCATENATE("#metadata!", ADDRESS(INDEX($AH$2:$AH$1001,MATCH(ROWS($AF$2:AF657),$AF$2:$AF$1001,0),0), INDEX($AM$1004:$BM$1004,1,MATCH(COLUMNS($AM$1006:AO1006),$AM$1006:$BM$1006,0)))),"Fix")))</f>
        <v xml:space="preserve"> </v>
      </c>
      <c r="E657" s="4" t="str">
        <f ca="1">IF(OR(INDEX($AG$2:$AG$1001,MATCH(ROWS($AF$2:AF657),$AF$2:$AF$1001,0),1)&gt;=100000,INDEX($AM$1005:$BM$1005,1,MATCH(COLUMNS($AM$1006:AP1006),$AM$1006:$BM$1006,0))&gt;=100000), " ",IF(INDEX($AM$2:$BM$1001,MATCH(ROWS($AF$2:AF657),$AF$2:$AF$1001,0),MATCH(COLUMNS($AM$1006:AP1006),$AM$1006:$BM$1006,0)), HYPERLINK("#",""), HYPERLINK(CONCATENATE("#metadata!", ADDRESS(INDEX($AH$2:$AH$1001,MATCH(ROWS($AF$2:AF657),$AF$2:$AF$1001,0),0), INDEX($AM$1004:$BM$1004,1,MATCH(COLUMNS($AM$1006:AP1006),$AM$1006:$BM$1006,0)))),"Fix")))</f>
        <v xml:space="preserve"> </v>
      </c>
      <c r="F657" s="4" t="str">
        <f ca="1">IF(OR(INDEX($AG$2:$AG$1001,MATCH(ROWS($AF$2:AF657),$AF$2:$AF$1001,0),1)&gt;=100000,INDEX($AM$1005:$BM$1005,1,MATCH(COLUMNS($AM$1006:AQ1006),$AM$1006:$BM$1006,0))&gt;=100000), " ",IF(INDEX($AM$2:$BM$1001,MATCH(ROWS($AF$2:AF657),$AF$2:$AF$1001,0),MATCH(COLUMNS($AM$1006:AQ1006),$AM$1006:$BM$1006,0)), HYPERLINK("#",""), HYPERLINK(CONCATENATE("#metadata!", ADDRESS(INDEX($AH$2:$AH$1001,MATCH(ROWS($AF$2:AF657),$AF$2:$AF$1001,0),0), INDEX($AM$1004:$BM$1004,1,MATCH(COLUMNS($AM$1006:AQ1006),$AM$1006:$BM$1006,0)))),"Fix")))</f>
        <v xml:space="preserve"> </v>
      </c>
      <c r="G657" s="4" t="str">
        <f ca="1">IF(OR(INDEX($AG$2:$AG$1001,MATCH(ROWS($AF$2:AF657),$AF$2:$AF$1001,0),1)&gt;=100000,INDEX($AM$1005:$BM$1005,1,MATCH(COLUMNS($AM$1006:AR1006),$AM$1006:$BM$1006,0))&gt;=100000), " ",IF(INDEX($AM$2:$BM$1001,MATCH(ROWS($AF$2:AF657),$AF$2:$AF$1001,0),MATCH(COLUMNS($AM$1006:AR1006),$AM$1006:$BM$1006,0)), HYPERLINK("#",""), HYPERLINK(CONCATENATE("#metadata!", ADDRESS(INDEX($AH$2:$AH$1001,MATCH(ROWS($AF$2:AF657),$AF$2:$AF$1001,0),0), INDEX($AM$1004:$BM$1004,1,MATCH(COLUMNS($AM$1006:AR1006),$AM$1006:$BM$1006,0)))),"Fix")))</f>
        <v xml:space="preserve"> </v>
      </c>
      <c r="H657" s="4" t="str">
        <f ca="1">IF(OR(INDEX($AG$2:$AG$1001,MATCH(ROWS($AF$2:AF657),$AF$2:$AF$1001,0),1)&gt;=100000,INDEX($AM$1005:$BM$1005,1,MATCH(COLUMNS($AM$1006:AS1006),$AM$1006:$BM$1006,0))&gt;=100000), " ",IF(INDEX($AM$2:$BM$1001,MATCH(ROWS($AF$2:AF657),$AF$2:$AF$1001,0),MATCH(COLUMNS($AM$1006:AS1006),$AM$1006:$BM$1006,0)), HYPERLINK("#",""), HYPERLINK(CONCATENATE("#metadata!", ADDRESS(INDEX($AH$2:$AH$1001,MATCH(ROWS($AF$2:AF657),$AF$2:$AF$1001,0),0), INDEX($AM$1004:$BM$1004,1,MATCH(COLUMNS($AM$1006:AS1006),$AM$1006:$BM$1006,0)))),"Fix")))</f>
        <v xml:space="preserve"> </v>
      </c>
      <c r="I657" s="4" t="str">
        <f ca="1">IF(OR(INDEX($AG$2:$AG$1001,MATCH(ROWS($AF$2:AF657),$AF$2:$AF$1001,0),1)&gt;=100000,INDEX($AM$1005:$BM$1005,1,MATCH(COLUMNS($AM$1006:AT1006),$AM$1006:$BM$1006,0))&gt;=100000), " ",IF(INDEX($AM$2:$BM$1001,MATCH(ROWS($AF$2:AF657),$AF$2:$AF$1001,0),MATCH(COLUMNS($AM$1006:AT1006),$AM$1006:$BM$1006,0)), HYPERLINK("#",""), HYPERLINK(CONCATENATE("#metadata!", ADDRESS(INDEX($AH$2:$AH$1001,MATCH(ROWS($AF$2:AF657),$AF$2:$AF$1001,0),0), INDEX($AM$1004:$BM$1004,1,MATCH(COLUMNS($AM$1006:AT1006),$AM$1006:$BM$1006,0)))),"Fix")))</f>
        <v xml:space="preserve"> </v>
      </c>
      <c r="J657" s="4" t="str">
        <f ca="1">IF(OR(INDEX($AG$2:$AG$1001,MATCH(ROWS($AF$2:AF657),$AF$2:$AF$1001,0),1)&gt;=100000,INDEX($AM$1005:$BM$1005,1,MATCH(COLUMNS($AM$1006:AU1006),$AM$1006:$BM$1006,0))&gt;=100000), " ",IF(INDEX($AM$2:$BM$1001,MATCH(ROWS($AF$2:AF657),$AF$2:$AF$1001,0),MATCH(COLUMNS($AM$1006:AU1006),$AM$1006:$BM$1006,0)), HYPERLINK("#",""), HYPERLINK(CONCATENATE("#metadata!", ADDRESS(INDEX($AH$2:$AH$1001,MATCH(ROWS($AF$2:AF657),$AF$2:$AF$1001,0),0), INDEX($AM$1004:$BM$1004,1,MATCH(COLUMNS($AM$1006:AU1006),$AM$1006:$BM$1006,0)))),"Fix")))</f>
        <v xml:space="preserve"> </v>
      </c>
      <c r="K657" s="4" t="str">
        <f ca="1">IF(OR(INDEX($AG$2:$AG$1001,MATCH(ROWS($AF$2:AF657),$AF$2:$AF$1001,0),1)&gt;=100000,INDEX($AM$1005:$BM$1005,1,MATCH(COLUMNS($AM$1006:AV1006),$AM$1006:$BM$1006,0))&gt;=100000), " ",IF(INDEX($AM$2:$BM$1001,MATCH(ROWS($AF$2:AF657),$AF$2:$AF$1001,0),MATCH(COLUMNS($AM$1006:AV1006),$AM$1006:$BM$1006,0)), HYPERLINK("#",""), HYPERLINK(CONCATENATE("#metadata!", ADDRESS(INDEX($AH$2:$AH$1001,MATCH(ROWS($AF$2:AF657),$AF$2:$AF$1001,0),0), INDEX($AM$1004:$BM$1004,1,MATCH(COLUMNS($AM$1006:AV1006),$AM$1006:$BM$1006,0)))),"Fix")))</f>
        <v xml:space="preserve"> </v>
      </c>
      <c r="L657" s="4" t="str">
        <f ca="1">IF(OR(INDEX($AG$2:$AG$1001,MATCH(ROWS($AF$2:AF657),$AF$2:$AF$1001,0),1)&gt;=100000,INDEX($AM$1005:$BM$1005,1,MATCH(COLUMNS($AM$1006:AW1006),$AM$1006:$BM$1006,0))&gt;=100000), " ",IF(INDEX($AM$2:$BM$1001,MATCH(ROWS($AF$2:AF657),$AF$2:$AF$1001,0),MATCH(COLUMNS($AM$1006:AW1006),$AM$1006:$BM$1006,0)), HYPERLINK("#",""), HYPERLINK(CONCATENATE("#metadata!", ADDRESS(INDEX($AH$2:$AH$1001,MATCH(ROWS($AF$2:AF657),$AF$2:$AF$1001,0),0), INDEX($AM$1004:$BM$1004,1,MATCH(COLUMNS($AM$1006:AW1006),$AM$1006:$BM$1006,0)))),"Fix")))</f>
        <v xml:space="preserve"> </v>
      </c>
      <c r="M657" s="4" t="str">
        <f ca="1">IF(OR(INDEX($AG$2:$AG$1001,MATCH(ROWS($AF$2:AF657),$AF$2:$AF$1001,0),1)&gt;=100000,INDEX($AM$1005:$BM$1005,1,MATCH(COLUMNS($AM$1006:AX1006),$AM$1006:$BM$1006,0))&gt;=100000), " ",IF(INDEX($AM$2:$BM$1001,MATCH(ROWS($AF$2:AF657),$AF$2:$AF$1001,0),MATCH(COLUMNS($AM$1006:AX1006),$AM$1006:$BM$1006,0)), HYPERLINK("#",""), HYPERLINK(CONCATENATE("#metadata!", ADDRESS(INDEX($AH$2:$AH$1001,MATCH(ROWS($AF$2:AF657),$AF$2:$AF$1001,0),0), INDEX($AM$1004:$BM$1004,1,MATCH(COLUMNS($AM$1006:AX1006),$AM$1006:$BM$1006,0)))),"Fix")))</f>
        <v xml:space="preserve"> </v>
      </c>
      <c r="N657" s="4" t="str">
        <f ca="1">IF(OR(INDEX($AG$2:$AG$1001,MATCH(ROWS($AF$2:AF657),$AF$2:$AF$1001,0),1)&gt;=100000,INDEX($AM$1005:$BM$1005,1,MATCH(COLUMNS($AM$1006:AY1006),$AM$1006:$BM$1006,0))&gt;=100000), " ",IF(INDEX($AM$2:$BM$1001,MATCH(ROWS($AF$2:AF657),$AF$2:$AF$1001,0),MATCH(COLUMNS($AM$1006:AY1006),$AM$1006:$BM$1006,0)), HYPERLINK("#",""), HYPERLINK(CONCATENATE("#metadata!", ADDRESS(INDEX($AH$2:$AH$1001,MATCH(ROWS($AF$2:AF657),$AF$2:$AF$1001,0),0), INDEX($AM$1004:$BM$1004,1,MATCH(COLUMNS($AM$1006:AY1006),$AM$1006:$BM$1006,0)))),"Fix")))</f>
        <v xml:space="preserve"> </v>
      </c>
      <c r="O657" s="4" t="str">
        <f ca="1">IF(OR(INDEX($AG$2:$AG$1001,MATCH(ROWS($AF$2:AF657),$AF$2:$AF$1001,0),1)&gt;=100000,INDEX($AM$1005:$BM$1005,1,MATCH(COLUMNS($AM$1006:AZ1006),$AM$1006:$BM$1006,0))&gt;=100000), " ",IF(INDEX($AM$2:$BM$1001,MATCH(ROWS($AF$2:AF657),$AF$2:$AF$1001,0),MATCH(COLUMNS($AM$1006:AZ1006),$AM$1006:$BM$1006,0)), HYPERLINK("#",""), HYPERLINK(CONCATENATE("#metadata!", ADDRESS(INDEX($AH$2:$AH$1001,MATCH(ROWS($AF$2:AF657),$AF$2:$AF$1001,0),0), INDEX($AM$1004:$BM$1004,1,MATCH(COLUMNS($AM$1006:AZ1006),$AM$1006:$BM$1006,0)))),"Fix")))</f>
        <v xml:space="preserve"> </v>
      </c>
      <c r="P657" s="4" t="str">
        <f ca="1">IF(OR(INDEX($AG$2:$AG$1001,MATCH(ROWS($AF$2:AF657),$AF$2:$AF$1001,0),1)&gt;=100000,INDEX($AM$1005:$BM$1005,1,MATCH(COLUMNS($AM$1006:BA1006),$AM$1006:$BM$1006,0))&gt;=100000), " ",IF(INDEX($AM$2:$BM$1001,MATCH(ROWS($AF$2:AF657),$AF$2:$AF$1001,0),MATCH(COLUMNS($AM$1006:BA1006),$AM$1006:$BM$1006,0)), HYPERLINK("#",""), HYPERLINK(CONCATENATE("#metadata!", ADDRESS(INDEX($AH$2:$AH$1001,MATCH(ROWS($AF$2:AF657),$AF$2:$AF$1001,0),0), INDEX($AM$1004:$BM$1004,1,MATCH(COLUMNS($AM$1006:BA1006),$AM$1006:$BM$1006,0)))),"Fix")))</f>
        <v xml:space="preserve"> </v>
      </c>
      <c r="Q657" s="4" t="str">
        <f ca="1">IF(OR(INDEX($AG$2:$AG$1001,MATCH(ROWS($AF$2:AF657),$AF$2:$AF$1001,0),1)&gt;=100000,INDEX($AM$1005:$BM$1005,1,MATCH(COLUMNS($AM$1006:BB1006),$AM$1006:$BM$1006,0))&gt;=100000), " ",IF(INDEX($AM$2:$BM$1001,MATCH(ROWS($AF$2:AF657),$AF$2:$AF$1001,0),MATCH(COLUMNS($AM$1006:BB1006),$AM$1006:$BM$1006,0)), HYPERLINK("#",""), HYPERLINK(CONCATENATE("#metadata!", ADDRESS(INDEX($AH$2:$AH$1001,MATCH(ROWS($AF$2:AF657),$AF$2:$AF$1001,0),0), INDEX($AM$1004:$BM$1004,1,MATCH(COLUMNS($AM$1006:BB1006),$AM$1006:$BM$1006,0)))),"Fix")))</f>
        <v xml:space="preserve"> </v>
      </c>
      <c r="R657" s="4" t="str">
        <f ca="1">IF(OR(INDEX($AG$2:$AG$1001,MATCH(ROWS($AF$2:AF657),$AF$2:$AF$1001,0),1)&gt;=100000,INDEX($AM$1005:$BM$1005,1,MATCH(COLUMNS($AM$1006:BC1006),$AM$1006:$BM$1006,0))&gt;=100000), " ",IF(INDEX($AM$2:$BM$1001,MATCH(ROWS($AF$2:AF657),$AF$2:$AF$1001,0),MATCH(COLUMNS($AM$1006:BC1006),$AM$1006:$BM$1006,0)), HYPERLINK("#",""), HYPERLINK(CONCATENATE("#metadata!", ADDRESS(INDEX($AH$2:$AH$1001,MATCH(ROWS($AF$2:AF657),$AF$2:$AF$1001,0),0), INDEX($AM$1004:$BM$1004,1,MATCH(COLUMNS($AM$1006:BC1006),$AM$1006:$BM$1006,0)))),"Fix")))</f>
        <v xml:space="preserve"> </v>
      </c>
      <c r="S657" s="4" t="str">
        <f ca="1">IF(OR(INDEX($AG$2:$AG$1001,MATCH(ROWS($AF$2:AF657),$AF$2:$AF$1001,0),1)&gt;=100000,INDEX($AM$1005:$BM$1005,1,MATCH(COLUMNS($AM$1006:BD1006),$AM$1006:$BM$1006,0))&gt;=100000), " ",IF(INDEX($AM$2:$BM$1001,MATCH(ROWS($AF$2:AF657),$AF$2:$AF$1001,0),MATCH(COLUMNS($AM$1006:BD1006),$AM$1006:$BM$1006,0)), HYPERLINK("#",""), HYPERLINK(CONCATENATE("#metadata!", ADDRESS(INDEX($AH$2:$AH$1001,MATCH(ROWS($AF$2:AF657),$AF$2:$AF$1001,0),0), INDEX($AM$1004:$BM$1004,1,MATCH(COLUMNS($AM$1006:BD1006),$AM$1006:$BM$1006,0)))),"Fix")))</f>
        <v xml:space="preserve"> </v>
      </c>
      <c r="T657" s="4" t="str">
        <f ca="1">IF(OR(INDEX($AG$2:$AG$1001,MATCH(ROWS($AF$2:AF657),$AF$2:$AF$1001,0),1)&gt;=100000,INDEX($AM$1005:$BM$1005,1,MATCH(COLUMNS($AM$1006:BE1006),$AM$1006:$BM$1006,0))&gt;=100000), " ",IF(INDEX($AM$2:$BM$1001,MATCH(ROWS($AF$2:AF657),$AF$2:$AF$1001,0),MATCH(COLUMNS($AM$1006:BE1006),$AM$1006:$BM$1006,0)), HYPERLINK("#",""), HYPERLINK(CONCATENATE("#metadata!", ADDRESS(INDEX($AH$2:$AH$1001,MATCH(ROWS($AF$2:AF657),$AF$2:$AF$1001,0),0), INDEX($AM$1004:$BM$1004,1,MATCH(COLUMNS($AM$1006:BE1006),$AM$1006:$BM$1006,0)))),"Fix")))</f>
        <v xml:space="preserve"> </v>
      </c>
      <c r="U657" s="4" t="str">
        <f ca="1">IF(OR(INDEX($AG$2:$AG$1001,MATCH(ROWS($AF$2:AF657),$AF$2:$AF$1001,0),1)&gt;=100000,INDEX($AM$1005:$BM$1005,1,MATCH(COLUMNS($AM$1006:BF1006),$AM$1006:$BM$1006,0))&gt;=100000), " ",IF(INDEX($AM$2:$BM$1001,MATCH(ROWS($AF$2:AF657),$AF$2:$AF$1001,0),MATCH(COLUMNS($AM$1006:BF1006),$AM$1006:$BM$1006,0)), HYPERLINK("#",""), HYPERLINK(CONCATENATE("#metadata!", ADDRESS(INDEX($AH$2:$AH$1001,MATCH(ROWS($AF$2:AF657),$AF$2:$AF$1001,0),0), INDEX($AM$1004:$BM$1004,1,MATCH(COLUMNS($AM$1006:BF1006),$AM$1006:$BM$1006,0)))),"Fix")))</f>
        <v xml:space="preserve"> </v>
      </c>
      <c r="V657" s="4" t="str">
        <f ca="1">IF(OR(INDEX($AG$2:$AG$1001,MATCH(ROWS($AF$2:AF657),$AF$2:$AF$1001,0),1)&gt;=100000,INDEX($AM$1005:$BM$1005,1,MATCH(COLUMNS($AM$1006:BG1006),$AM$1006:$BM$1006,0))&gt;=100000), " ",IF(INDEX($AM$2:$BM$1001,MATCH(ROWS($AF$2:AF657),$AF$2:$AF$1001,0),MATCH(COLUMNS($AM$1006:BG1006),$AM$1006:$BM$1006,0)), HYPERLINK("#",""), HYPERLINK(CONCATENATE("#metadata!", ADDRESS(INDEX($AH$2:$AH$1001,MATCH(ROWS($AF$2:AF657),$AF$2:$AF$1001,0),0), INDEX($AM$1004:$BM$1004,1,MATCH(COLUMNS($AM$1006:BG1006),$AM$1006:$BM$1006,0)))),"Fix")))</f>
        <v xml:space="preserve"> </v>
      </c>
      <c r="W657" s="4" t="str">
        <f ca="1">IF(OR(INDEX($AG$2:$AG$1001,MATCH(ROWS($AF$2:AF657),$AF$2:$AF$1001,0),1)&gt;=100000,INDEX($AM$1005:$BM$1005,1,MATCH(COLUMNS($AM$1006:BH1006),$AM$1006:$BM$1006,0))&gt;=100000), " ",IF(INDEX($AM$2:$BM$1001,MATCH(ROWS($AF$2:AF657),$AF$2:$AF$1001,0),MATCH(COLUMNS($AM$1006:BH1006),$AM$1006:$BM$1006,0)), HYPERLINK("#",""), HYPERLINK(CONCATENATE("#metadata!", ADDRESS(INDEX($AH$2:$AH$1001,MATCH(ROWS($AF$2:AF657),$AF$2:$AF$1001,0),0), INDEX($AM$1004:$BM$1004,1,MATCH(COLUMNS($AM$1006:BH1006),$AM$1006:$BM$1006,0)))),"Fix")))</f>
        <v xml:space="preserve"> </v>
      </c>
      <c r="X657" s="4" t="str">
        <f ca="1">IF(OR(INDEX($AG$2:$AG$1001,MATCH(ROWS($AF$2:AF657),$AF$2:$AF$1001,0),1)&gt;=100000,INDEX($AM$1005:$BM$1005,1,MATCH(COLUMNS($AM$1006:BI1006),$AM$1006:$BM$1006,0))&gt;=100000), " ",IF(INDEX($AM$2:$BM$1001,MATCH(ROWS($AF$2:AF657),$AF$2:$AF$1001,0),MATCH(COLUMNS($AM$1006:BI1006),$AM$1006:$BM$1006,0)), HYPERLINK("#",""), HYPERLINK(CONCATENATE("#metadata!", ADDRESS(INDEX($AH$2:$AH$1001,MATCH(ROWS($AF$2:AF657),$AF$2:$AF$1001,0),0), INDEX($AM$1004:$BM$1004,1,MATCH(COLUMNS($AM$1006:BI1006),$AM$1006:$BM$1006,0)))),"Fix")))</f>
        <v xml:space="preserve"> </v>
      </c>
      <c r="Y657" s="4" t="str">
        <f ca="1">IF(OR(INDEX($AG$2:$AG$1001,MATCH(ROWS($AF$2:AF657),$AF$2:$AF$1001,0),1)&gt;=100000,INDEX($AM$1005:$BM$1005,1,MATCH(COLUMNS($AM$1006:BJ1006),$AM$1006:$BM$1006,0))&gt;=100000), " ",IF(INDEX($AM$2:$BM$1001,MATCH(ROWS($AF$2:AF657),$AF$2:$AF$1001,0),MATCH(COLUMNS($AM$1006:BJ1006),$AM$1006:$BM$1006,0)), HYPERLINK("#",""), HYPERLINK(CONCATENATE("#metadata!", ADDRESS(INDEX($AH$2:$AH$1001,MATCH(ROWS($AF$2:AF657),$AF$2:$AF$1001,0),0), INDEX($AM$1004:$BM$1004,1,MATCH(COLUMNS($AM$1006:BJ1006),$AM$1006:$BM$1006,0)))),"Fix")))</f>
        <v xml:space="preserve"> </v>
      </c>
      <c r="Z657" s="4" t="str">
        <f ca="1">IF(OR(INDEX($AG$2:$AG$1001,MATCH(ROWS($AF$2:AF657),$AF$2:$AF$1001,0),1)&gt;=100000,INDEX($AM$1005:$BM$1005,1,MATCH(COLUMNS($AM$1006:BK1006),$AM$1006:$BM$1006,0))&gt;=100000), " ",IF(INDEX($AM$2:$BM$1001,MATCH(ROWS($AF$2:AF657),$AF$2:$AF$1001,0),MATCH(COLUMNS($AM$1006:BK1006),$AM$1006:$BM$1006,0)), HYPERLINK("#",""), HYPERLINK(CONCATENATE("#metadata!", ADDRESS(INDEX($AH$2:$AH$1001,MATCH(ROWS($AF$2:AF657),$AF$2:$AF$1001,0),0), INDEX($AM$1004:$BM$1004,1,MATCH(COLUMNS($AM$1006:BK1006),$AM$1006:$BM$1006,0)))),"Fix")))</f>
        <v xml:space="preserve"> </v>
      </c>
      <c r="AA657" s="4" t="str">
        <f ca="1">IF(OR(INDEX($AG$2:$AG$1001,MATCH(ROWS($AF$2:AF657),$AF$2:$AF$1001,0),1)&gt;=100000,INDEX($AM$1005:$BM$1005,1,MATCH(COLUMNS($AM$1006:BL1006),$AM$1006:$BM$1006,0))&gt;=100000), " ",IF(INDEX($AM$2:$BM$1001,MATCH(ROWS($AF$2:AF657),$AF$2:$AF$1001,0),MATCH(COLUMNS($AM$1006:BL1006),$AM$1006:$BM$1006,0)), HYPERLINK("#",""), HYPERLINK(CONCATENATE("#metadata!", ADDRESS(INDEX($AH$2:$AH$1001,MATCH(ROWS($AF$2:AF657),$AF$2:$AF$1001,0),0), INDEX($AM$1004:$BM$1004,1,MATCH(COLUMNS($AM$1006:BL1006),$AM$1006:$BM$1006,0)))),"Fix")))</f>
        <v xml:space="preserve"> </v>
      </c>
      <c r="AB657" s="4" t="str">
        <f ca="1">IF(OR(INDEX($AG$2:$AG$1001,MATCH(ROWS($AF$2:AF657),$AF$2:$AF$1001,0),1)&gt;=100000,INDEX($AM$1005:$BM$1005,1,MATCH(COLUMNS($AM$1006:BM1006),$AM$1006:$BM$1006,0))&gt;=100000), " ",IF(INDEX($AM$2:$BM$1001,MATCH(ROWS($AF$2:AF657),$AF$2:$AF$1001,0),MATCH(COLUMNS($AM$1006:BM1006),$AM$1006:$BM$1006,0)), HYPERLINK("#",""), HYPERLINK(CONCATENATE("#metadata!", ADDRESS(INDEX($AH$2:$AH$1001,MATCH(ROWS($AF$2:AF657),$AF$2:$AF$1001,0),0), INDEX($AM$1004:$BM$1004,1,MATCH(COLUMNS($AM$1006:BM1006),$AM$1006:$BM$1006,0)))),"Fix")))</f>
        <v xml:space="preserve"> </v>
      </c>
      <c r="AF657">
        <v>656</v>
      </c>
      <c r="AG657">
        <v>100657</v>
      </c>
      <c r="AH657">
        <v>657</v>
      </c>
      <c r="AI657" t="b">
        <f t="shared" si="10"/>
        <v>1</v>
      </c>
      <c r="AJ657" t="b">
        <f>COUNTBLANK(metadata!B657:AB657)=COLUMNS(metadata!B657:AB657)</f>
        <v>1</v>
      </c>
      <c r="AK657" t="str">
        <v/>
      </c>
      <c r="AM657" t="b">
        <f ca="1">AND(IF(metadata!B657="",FALSE,TRUE),COUNTIF(metadata!B:B, metadata!B657) = 1,NOT(ISERROR(SUMPRODUCT(SEARCH(MID(metadata!B657,ROW(INDIRECT("1:"&amp;LEN(metadata!B657))), 1),"0123456789abcdefghijklmnopqrstuvwxyzABCDEFGHIJKLMNOPQRSTUVWXYZ.")))))</f>
        <v>0</v>
      </c>
      <c r="AN657" t="b">
        <f ca="1">OR(AND(IF(metadata!C657="",FALSE,TRUE),OR(EXACT(metadata!C657,"missing: not collected"),EXACT(metadata!C657,"missing: not provided"),EXACT(metadata!C657,"missing: restricted access"))),AND(IF(metadata!C657="",FALSE,TRUE),AND(AND(IFERROR(INT(LEFT(metadata!C657,4))&gt;1900,FALSE),IFERROR(INT(LEFT(metadata!C657,4))&lt;=YEAR(NOW()),FALSE)), OR(MID(metadata!C657,5,1)="", AND(AND(MID(metadata!C657,5,1)="-",IFERROR(INT(MID(metadata!C657,6,1))&gt;=0,FALSE),IFERROR(INT(MID(metadata!C657,6,1))&lt;=1,FALSE),NOT(MID(metadata!C657,7,1)=""),IFERROR(INT(MID(metadata!C657,6,2))&gt;=1,FALSE),IFERROR(INT(MID(metadata!C657,6,2))&lt;=12,FALSE)), OR(MID(metadata!C657,8,1)="", AND(AND(MID(metadata!C657,8,1)="-",IFERROR(INT(MID(metadata!C657,9,1))&gt;=0,FALSE),IFERROR(INT(MID(metadata!C657,9,1))&lt;=3,FALSE),NOT(MID(metadata!C657,10,1)=""),IFERROR(INT(MID(metadata!C657,9,2))&gt;=1,FALSE),IFERROR(INT(MID(metadata!C657,9,2))&lt;=31,FALSE)), OR(MID(metadata!C657,11,1)="", AND(AND(MID(metadata!C657,11,1)=" ",IFERROR(INT(MID(metadata!C657,12,1))&gt;=0,FALSE),IFERROR(INT(MID(metadata!C657,12,1))&lt;=2,FALSE),NOT(MID(metadata!C657,13,1)=""),IFERROR(INT(MID(metadata!C657,12,2))&gt;=0,FALSE),IFERROR(INT(MID(metadata!C657,12,2))&lt;=23,FALSE)), OR(MID(metadata!C657,14,1)="", AND(AND(MID(metadata!C657,14,1)=":",IFERROR(INT(MID(metadata!C657,15,1))&gt;=0,FALSE),IFERROR(INT(MID(metadata!C657,15,1))&lt;=5,FALSE),NOT(MID(metadata!C657,16,1)=""),IFERROR(INT(MID(metadata!C657,15,2))&gt;=0,FALSE),IFERROR(INT(MID(metadata!C657,15,2))&lt;=59,FALSE)), OR(MID(metadata!C657,17,1)="", AND(AND(MID(metadata!C657,17,1)=":",IFERROR(INT(MID(metadata!C657,18,1))&gt;=0,FALSE),IFERROR(INT(MID(metadata!C657,18,1))&lt;=5,FALSE),NOT(MID(metadata!C657,19,1)=""),IFERROR(INT(MID(metadata!C657,18,2))&gt;=0,FALSE),IFERROR(INT(MID(metadata!C657,18,2))&lt;=59,FALSE)), LEN(metadata!C657)&lt;=19)))))))))))))</f>
        <v>0</v>
      </c>
      <c r="AO657" t="b">
        <f>AND(IF(metadata!D657="",FALSE,TRUE),EXACT(metadata!D657,"Not applicable"))</f>
        <v>0</v>
      </c>
      <c r="AP657" t="b">
        <f>IF(metadata!E657="",FALSE,TRUE)</f>
        <v>0</v>
      </c>
      <c r="AQ657" t="b">
        <f>OR(AND(IF(metadata!F657="",FALSE,TRUE),OR(EXACT(metadata!F657,"missing: not collected"),EXACT(metadata!F657,"missing: not provided"))),AND(IF(metadata!F657="",FALSE,TRUE),OR(EXACT(metadata!F657,"TRUE"),EXACT(metadata!F657,"FALSE"))))</f>
        <v>0</v>
      </c>
      <c r="AR657" t="b">
        <f>OR(AND(IF(metadata!G657="",FALSE,TRUE),OR(EXACT(metadata!G657,"missing: not collected"),EXACT(metadata!G657,"missing: not provided"),EXACT(metadata!G657,"missing: restricted access"))),AND(IF(metadata!G657="",FALSE,ISNUMBER(VALUE(metadata!G657))),metadata!G657&gt;=-413))</f>
        <v>0</v>
      </c>
      <c r="AS657" t="b">
        <f>AND(IF(metadata!H657="",FALSE,TRUE),EXACT(metadata!H657,"meters"))</f>
        <v>0</v>
      </c>
      <c r="AT657" t="b">
        <f>AND(IF(metadata!I657="",FALSE,TRUE),OR(EXACT(metadata!I657,"Host-associated"),EXACT(metadata!I657,"Free-living")))</f>
        <v>0</v>
      </c>
      <c r="AU657" t="b">
        <f>AND(IF(metadata!J657="",FALSE,TRUE),OR(EXACT(metadata!J657,"Animal"),EXACT(metadata!J657,"Fungus"),EXACT(metadata!J657,"Plant"),EXACT(metadata!J657,"Saline"),EXACT(metadata!J657,"Non-saline")))</f>
        <v>0</v>
      </c>
      <c r="AV657" t="b">
        <f>AND(IF(metadata!K657="",FALSE,TRUE),OR(EXACT(metadata!K657,"Plant secretion"),EXACT(metadata!K657,"Plant rhizosphere"),EXACT(metadata!K657,"Plant surface"),EXACT(metadata!K657,"Plant corpus"),EXACT(metadata!K657,"Fungus surface"),EXACT(metadata!K657,"Fungus corpus"),EXACT(metadata!K657,"Animal surface"),EXACT(metadata!K657,"Animal proximal gut"),EXACT(metadata!K657,"Animal corpus"),EXACT(metadata!K657,"Animal distal gut"),EXACT(metadata!K657,"Animal secretion"),EXACT(metadata!K657,"Sub-surface (non-saline)"),EXACT(metadata!K657,"Surface (non-saline)"),EXACT(metadata!K657,"Water (non-saline)"),EXACT(metadata!K657,"Soil (non-saline)"),EXACT(metadata!K657,"Aerosol (non-saline)"),EXACT(metadata!K657,"Sediment (non-saline)"),EXACT(metadata!K657,"Surface (saline)"),EXACT(metadata!K657,"Water (saline)"),EXACT(metadata!K657,"Hypersaline (saline)"),EXACT(metadata!K657,"Aerosol (saline)"),EXACT(metadata!K657,"Sediment (saline)")))</f>
        <v>0</v>
      </c>
      <c r="AW657" t="b">
        <f>IF(metadata!L657="",FALSE,TRUE)</f>
        <v>0</v>
      </c>
      <c r="AX657" t="b">
        <f>IF(metadata!M657="",FALSE,TRUE)</f>
        <v>0</v>
      </c>
      <c r="AY657" t="b">
        <f>IF(metadata!N657="",FALSE,TRUE)</f>
        <v>0</v>
      </c>
      <c r="AZ657" t="b">
        <f>OR(AND(IF(metadata!O657="",FALSE,TRUE),OR(EXACT(metadata!O657,"missing: not collected"),EXACT(metadata!O657,"missing: not provided"),EXACT(metadata!O657,"missing: restricted access"))),AND(IF(metadata!O657="",FALSE,TRUE),OR(EXACT(metadata!O657,"air"),EXACT(metadata!O657,"built environment"),EXACT(metadata!O657,"host-associated"),EXACT(metadata!O657,"human-associated"),EXACT(metadata!O657,"human-skin"),EXACT(metadata!O657,"human-oral"),EXACT(metadata!O657,"human-gut"),EXACT(metadata!O657,"human-vaginal"),EXACT(metadata!O657,"microbial mat/biofilm"),EXACT(metadata!O657,"misc environment"),EXACT(metadata!O657,"plant-associated"),EXACT(metadata!O657,"sediment"),EXACT(metadata!O657,"soil"),EXACT(metadata!O657,"wastewater/sludge"),EXACT(metadata!O657,"water"))))</f>
        <v>0</v>
      </c>
      <c r="BA657" t="b">
        <f>IF(metadata!P657="",FALSE,TRUE)</f>
        <v>0</v>
      </c>
      <c r="BB657" t="b">
        <f>IF(metadata!Q657="",FALSE,TRUE)</f>
        <v>0</v>
      </c>
      <c r="BC657" t="b">
        <f>OR(AND(IF(metadata!R657="",FALSE,TRUE),OR(EXACT(metadata!R657,"missing: not collected"),EXACT(metadata!R657,"missing: not provided"),EXACT(metadata!R657,"missing: restricted access"))),AND(IF(metadata!R657="",FALSE,ISNUMBER(VALUE(metadata!R657))),metadata!R657&gt;=-90,metadata!R657&lt;=90))</f>
        <v>0</v>
      </c>
      <c r="BD657" t="b">
        <f>AND(IF(metadata!S657="",FALSE,TRUE),EXACT(metadata!S657,"Decimal degrees"))</f>
        <v>0</v>
      </c>
      <c r="BE657" t="b">
        <f>OR(AND(IF(metadata!T657="",FALSE,TRUE),OR(EXACT(metadata!T657,"missing: not collected"),EXACT(metadata!T657,"missing: not provided"),EXACT(metadata!T657,"missing: restricted access"))),AND(IF(metadata!T657="",FALSE,ISNUMBER(VALUE(metadata!T657))),metadata!T657&gt;=-180,metadata!T657&lt;=180))</f>
        <v>0</v>
      </c>
      <c r="BF657" t="b">
        <f>AND(IF(metadata!U657="",FALSE,TRUE),EXACT(metadata!U657,"Decimal degrees"))</f>
        <v>0</v>
      </c>
      <c r="BG657" t="b">
        <f>IF(metadata!V657="",FALSE,TRUE)</f>
        <v>0</v>
      </c>
      <c r="BH657" t="b">
        <f>OR(AND(IF(metadata!W657="",FALSE,TRUE),OR(EXACT(metadata!W657,"missing: not collected"),EXACT(metadata!W657,"missing: not provided"),EXACT(metadata!W657,"missing: restricted access"))),AND(IF(metadata!W657="",FALSE,TRUE),OR(EXACT(metadata!W657,"TRUE"),EXACT(metadata!W657,"FALSE"))))</f>
        <v>0</v>
      </c>
      <c r="BI657" t="b">
        <f>AND(IF(metadata!X657="",FALSE,TRUE),EXACT(metadata!X657,"other"))</f>
        <v>0</v>
      </c>
      <c r="BJ657" t="b">
        <f>IF(metadata!Y657="",FALSE,TRUE)</f>
        <v>0</v>
      </c>
      <c r="BK657" t="b">
        <f>OR(AND(IF(metadata!Z657="",FALSE,TRUE),OR(EXACT(metadata!Z657,"missing: not collected"),EXACT(metadata!Z657,"missing: not provided"))),AND(IF(metadata!Z657="",FALSE,IF(ISERROR(INT(metadata!Z657)),FALSE,INT(metadata!Z657)=metadata!Z657)),metadata!Z657&gt;0))</f>
        <v>0</v>
      </c>
      <c r="BL657" t="b">
        <f>AND(IF(metadata!AA657="",FALSE,TRUE),EXACT(metadata!AA657,"Not applicable"))</f>
        <v>0</v>
      </c>
      <c r="BM657" t="b">
        <f>IF(metadata!AB657="",FALSE,TRUE)</f>
        <v>0</v>
      </c>
    </row>
    <row r="658" spans="1:65" x14ac:dyDescent="0.2">
      <c r="A658" s="5" t="str">
        <f ca="1">IF(B658=" "," ",HYPERLINK(CONCATENATE("#metadata!",ADDRESS(INDEX($AH$2:$AH$1001,MATCH(ROWS($AF$2:AF658),$AF$2:$AF$1001,0),0),1)),INDEX($AK$2:$AK$1001,MATCH(ROWS($AF$2:AF658),$AF$2:$AF$1001,0),0)))</f>
        <v xml:space="preserve"> </v>
      </c>
      <c r="B658" s="4" t="str">
        <f ca="1">IF(OR(INDEX($AG$2:$AG$1001,MATCH(ROWS($AF$2:AF658),$AF$2:$AF$1001,0),1)&gt;=100000,INDEX($AM$1005:$BM$1005,1,MATCH(COLUMNS($AM$1006:AM1006),$AM$1006:$BM$1006,0))&gt;=100000), " ",IF(INDEX($AM$2:$BM$1001,MATCH(ROWS($AF$2:AF658),$AF$2:$AF$1001,0),MATCH(COLUMNS($AM$1006:AM1006),$AM$1006:$BM$1006,0)), HYPERLINK("#",""), HYPERLINK(CONCATENATE("#metadata!", ADDRESS(INDEX($AH$2:$AH$1001,MATCH(ROWS($AF$2:AF658),$AF$2:$AF$1001,0),0), INDEX($AM$1004:$BM$1004,1,MATCH(COLUMNS($AM$1006:AM1006),$AM$1006:$BM$1006,0)))),"Fix")))</f>
        <v xml:space="preserve"> </v>
      </c>
      <c r="C658" s="4" t="str">
        <f ca="1">IF(OR(INDEX($AG$2:$AG$1001,MATCH(ROWS($AF$2:AF658),$AF$2:$AF$1001,0),1)&gt;=100000,INDEX($AM$1005:$BM$1005,1,MATCH(COLUMNS($AM$1006:AN1006),$AM$1006:$BM$1006,0))&gt;=100000), " ",IF(INDEX($AM$2:$BM$1001,MATCH(ROWS($AF$2:AF658),$AF$2:$AF$1001,0),MATCH(COLUMNS($AM$1006:AN1006),$AM$1006:$BM$1006,0)), HYPERLINK("#",""), HYPERLINK(CONCATENATE("#metadata!", ADDRESS(INDEX($AH$2:$AH$1001,MATCH(ROWS($AF$2:AF658),$AF$2:$AF$1001,0),0), INDEX($AM$1004:$BM$1004,1,MATCH(COLUMNS($AM$1006:AN1006),$AM$1006:$BM$1006,0)))),"Fix")))</f>
        <v xml:space="preserve"> </v>
      </c>
      <c r="D658" s="4" t="str">
        <f ca="1">IF(OR(INDEX($AG$2:$AG$1001,MATCH(ROWS($AF$2:AF658),$AF$2:$AF$1001,0),1)&gt;=100000,INDEX($AM$1005:$BM$1005,1,MATCH(COLUMNS($AM$1006:AO1006),$AM$1006:$BM$1006,0))&gt;=100000), " ",IF(INDEX($AM$2:$BM$1001,MATCH(ROWS($AF$2:AF658),$AF$2:$AF$1001,0),MATCH(COLUMNS($AM$1006:AO1006),$AM$1006:$BM$1006,0)), HYPERLINK("#",""), HYPERLINK(CONCATENATE("#metadata!", ADDRESS(INDEX($AH$2:$AH$1001,MATCH(ROWS($AF$2:AF658),$AF$2:$AF$1001,0),0), INDEX($AM$1004:$BM$1004,1,MATCH(COLUMNS($AM$1006:AO1006),$AM$1006:$BM$1006,0)))),"Fix")))</f>
        <v xml:space="preserve"> </v>
      </c>
      <c r="E658" s="4" t="str">
        <f ca="1">IF(OR(INDEX($AG$2:$AG$1001,MATCH(ROWS($AF$2:AF658),$AF$2:$AF$1001,0),1)&gt;=100000,INDEX($AM$1005:$BM$1005,1,MATCH(COLUMNS($AM$1006:AP1006),$AM$1006:$BM$1006,0))&gt;=100000), " ",IF(INDEX($AM$2:$BM$1001,MATCH(ROWS($AF$2:AF658),$AF$2:$AF$1001,0),MATCH(COLUMNS($AM$1006:AP1006),$AM$1006:$BM$1006,0)), HYPERLINK("#",""), HYPERLINK(CONCATENATE("#metadata!", ADDRESS(INDEX($AH$2:$AH$1001,MATCH(ROWS($AF$2:AF658),$AF$2:$AF$1001,0),0), INDEX($AM$1004:$BM$1004,1,MATCH(COLUMNS($AM$1006:AP1006),$AM$1006:$BM$1006,0)))),"Fix")))</f>
        <v xml:space="preserve"> </v>
      </c>
      <c r="F658" s="4" t="str">
        <f ca="1">IF(OR(INDEX($AG$2:$AG$1001,MATCH(ROWS($AF$2:AF658),$AF$2:$AF$1001,0),1)&gt;=100000,INDEX($AM$1005:$BM$1005,1,MATCH(COLUMNS($AM$1006:AQ1006),$AM$1006:$BM$1006,0))&gt;=100000), " ",IF(INDEX($AM$2:$BM$1001,MATCH(ROWS($AF$2:AF658),$AF$2:$AF$1001,0),MATCH(COLUMNS($AM$1006:AQ1006),$AM$1006:$BM$1006,0)), HYPERLINK("#",""), HYPERLINK(CONCATENATE("#metadata!", ADDRESS(INDEX($AH$2:$AH$1001,MATCH(ROWS($AF$2:AF658),$AF$2:$AF$1001,0),0), INDEX($AM$1004:$BM$1004,1,MATCH(COLUMNS($AM$1006:AQ1006),$AM$1006:$BM$1006,0)))),"Fix")))</f>
        <v xml:space="preserve"> </v>
      </c>
      <c r="G658" s="4" t="str">
        <f ca="1">IF(OR(INDEX($AG$2:$AG$1001,MATCH(ROWS($AF$2:AF658),$AF$2:$AF$1001,0),1)&gt;=100000,INDEX($AM$1005:$BM$1005,1,MATCH(COLUMNS($AM$1006:AR1006),$AM$1006:$BM$1006,0))&gt;=100000), " ",IF(INDEX($AM$2:$BM$1001,MATCH(ROWS($AF$2:AF658),$AF$2:$AF$1001,0),MATCH(COLUMNS($AM$1006:AR1006),$AM$1006:$BM$1006,0)), HYPERLINK("#",""), HYPERLINK(CONCATENATE("#metadata!", ADDRESS(INDEX($AH$2:$AH$1001,MATCH(ROWS($AF$2:AF658),$AF$2:$AF$1001,0),0), INDEX($AM$1004:$BM$1004,1,MATCH(COLUMNS($AM$1006:AR1006),$AM$1006:$BM$1006,0)))),"Fix")))</f>
        <v xml:space="preserve"> </v>
      </c>
      <c r="H658" s="4" t="str">
        <f ca="1">IF(OR(INDEX($AG$2:$AG$1001,MATCH(ROWS($AF$2:AF658),$AF$2:$AF$1001,0),1)&gt;=100000,INDEX($AM$1005:$BM$1005,1,MATCH(COLUMNS($AM$1006:AS1006),$AM$1006:$BM$1006,0))&gt;=100000), " ",IF(INDEX($AM$2:$BM$1001,MATCH(ROWS($AF$2:AF658),$AF$2:$AF$1001,0),MATCH(COLUMNS($AM$1006:AS1006),$AM$1006:$BM$1006,0)), HYPERLINK("#",""), HYPERLINK(CONCATENATE("#metadata!", ADDRESS(INDEX($AH$2:$AH$1001,MATCH(ROWS($AF$2:AF658),$AF$2:$AF$1001,0),0), INDEX($AM$1004:$BM$1004,1,MATCH(COLUMNS($AM$1006:AS1006),$AM$1006:$BM$1006,0)))),"Fix")))</f>
        <v xml:space="preserve"> </v>
      </c>
      <c r="I658" s="4" t="str">
        <f ca="1">IF(OR(INDEX($AG$2:$AG$1001,MATCH(ROWS($AF$2:AF658),$AF$2:$AF$1001,0),1)&gt;=100000,INDEX($AM$1005:$BM$1005,1,MATCH(COLUMNS($AM$1006:AT1006),$AM$1006:$BM$1006,0))&gt;=100000), " ",IF(INDEX($AM$2:$BM$1001,MATCH(ROWS($AF$2:AF658),$AF$2:$AF$1001,0),MATCH(COLUMNS($AM$1006:AT1006),$AM$1006:$BM$1006,0)), HYPERLINK("#",""), HYPERLINK(CONCATENATE("#metadata!", ADDRESS(INDEX($AH$2:$AH$1001,MATCH(ROWS($AF$2:AF658),$AF$2:$AF$1001,0),0), INDEX($AM$1004:$BM$1004,1,MATCH(COLUMNS($AM$1006:AT1006),$AM$1006:$BM$1006,0)))),"Fix")))</f>
        <v xml:space="preserve"> </v>
      </c>
      <c r="J658" s="4" t="str">
        <f ca="1">IF(OR(INDEX($AG$2:$AG$1001,MATCH(ROWS($AF$2:AF658),$AF$2:$AF$1001,0),1)&gt;=100000,INDEX($AM$1005:$BM$1005,1,MATCH(COLUMNS($AM$1006:AU1006),$AM$1006:$BM$1006,0))&gt;=100000), " ",IF(INDEX($AM$2:$BM$1001,MATCH(ROWS($AF$2:AF658),$AF$2:$AF$1001,0),MATCH(COLUMNS($AM$1006:AU1006),$AM$1006:$BM$1006,0)), HYPERLINK("#",""), HYPERLINK(CONCATENATE("#metadata!", ADDRESS(INDEX($AH$2:$AH$1001,MATCH(ROWS($AF$2:AF658),$AF$2:$AF$1001,0),0), INDEX($AM$1004:$BM$1004,1,MATCH(COLUMNS($AM$1006:AU1006),$AM$1006:$BM$1006,0)))),"Fix")))</f>
        <v xml:space="preserve"> </v>
      </c>
      <c r="K658" s="4" t="str">
        <f ca="1">IF(OR(INDEX($AG$2:$AG$1001,MATCH(ROWS($AF$2:AF658),$AF$2:$AF$1001,0),1)&gt;=100000,INDEX($AM$1005:$BM$1005,1,MATCH(COLUMNS($AM$1006:AV1006),$AM$1006:$BM$1006,0))&gt;=100000), " ",IF(INDEX($AM$2:$BM$1001,MATCH(ROWS($AF$2:AF658),$AF$2:$AF$1001,0),MATCH(COLUMNS($AM$1006:AV1006),$AM$1006:$BM$1006,0)), HYPERLINK("#",""), HYPERLINK(CONCATENATE("#metadata!", ADDRESS(INDEX($AH$2:$AH$1001,MATCH(ROWS($AF$2:AF658),$AF$2:$AF$1001,0),0), INDEX($AM$1004:$BM$1004,1,MATCH(COLUMNS($AM$1006:AV1006),$AM$1006:$BM$1006,0)))),"Fix")))</f>
        <v xml:space="preserve"> </v>
      </c>
      <c r="L658" s="4" t="str">
        <f ca="1">IF(OR(INDEX($AG$2:$AG$1001,MATCH(ROWS($AF$2:AF658),$AF$2:$AF$1001,0),1)&gt;=100000,INDEX($AM$1005:$BM$1005,1,MATCH(COLUMNS($AM$1006:AW1006),$AM$1006:$BM$1006,0))&gt;=100000), " ",IF(INDEX($AM$2:$BM$1001,MATCH(ROWS($AF$2:AF658),$AF$2:$AF$1001,0),MATCH(COLUMNS($AM$1006:AW1006),$AM$1006:$BM$1006,0)), HYPERLINK("#",""), HYPERLINK(CONCATENATE("#metadata!", ADDRESS(INDEX($AH$2:$AH$1001,MATCH(ROWS($AF$2:AF658),$AF$2:$AF$1001,0),0), INDEX($AM$1004:$BM$1004,1,MATCH(COLUMNS($AM$1006:AW1006),$AM$1006:$BM$1006,0)))),"Fix")))</f>
        <v xml:space="preserve"> </v>
      </c>
      <c r="M658" s="4" t="str">
        <f ca="1">IF(OR(INDEX($AG$2:$AG$1001,MATCH(ROWS($AF$2:AF658),$AF$2:$AF$1001,0),1)&gt;=100000,INDEX($AM$1005:$BM$1005,1,MATCH(COLUMNS($AM$1006:AX1006),$AM$1006:$BM$1006,0))&gt;=100000), " ",IF(INDEX($AM$2:$BM$1001,MATCH(ROWS($AF$2:AF658),$AF$2:$AF$1001,0),MATCH(COLUMNS($AM$1006:AX1006),$AM$1006:$BM$1006,0)), HYPERLINK("#",""), HYPERLINK(CONCATENATE("#metadata!", ADDRESS(INDEX($AH$2:$AH$1001,MATCH(ROWS($AF$2:AF658),$AF$2:$AF$1001,0),0), INDEX($AM$1004:$BM$1004,1,MATCH(COLUMNS($AM$1006:AX1006),$AM$1006:$BM$1006,0)))),"Fix")))</f>
        <v xml:space="preserve"> </v>
      </c>
      <c r="N658" s="4" t="str">
        <f ca="1">IF(OR(INDEX($AG$2:$AG$1001,MATCH(ROWS($AF$2:AF658),$AF$2:$AF$1001,0),1)&gt;=100000,INDEX($AM$1005:$BM$1005,1,MATCH(COLUMNS($AM$1006:AY1006),$AM$1006:$BM$1006,0))&gt;=100000), " ",IF(INDEX($AM$2:$BM$1001,MATCH(ROWS($AF$2:AF658),$AF$2:$AF$1001,0),MATCH(COLUMNS($AM$1006:AY1006),$AM$1006:$BM$1006,0)), HYPERLINK("#",""), HYPERLINK(CONCATENATE("#metadata!", ADDRESS(INDEX($AH$2:$AH$1001,MATCH(ROWS($AF$2:AF658),$AF$2:$AF$1001,0),0), INDEX($AM$1004:$BM$1004,1,MATCH(COLUMNS($AM$1006:AY1006),$AM$1006:$BM$1006,0)))),"Fix")))</f>
        <v xml:space="preserve"> </v>
      </c>
      <c r="O658" s="4" t="str">
        <f ca="1">IF(OR(INDEX($AG$2:$AG$1001,MATCH(ROWS($AF$2:AF658),$AF$2:$AF$1001,0),1)&gt;=100000,INDEX($AM$1005:$BM$1005,1,MATCH(COLUMNS($AM$1006:AZ1006),$AM$1006:$BM$1006,0))&gt;=100000), " ",IF(INDEX($AM$2:$BM$1001,MATCH(ROWS($AF$2:AF658),$AF$2:$AF$1001,0),MATCH(COLUMNS($AM$1006:AZ1006),$AM$1006:$BM$1006,0)), HYPERLINK("#",""), HYPERLINK(CONCATENATE("#metadata!", ADDRESS(INDEX($AH$2:$AH$1001,MATCH(ROWS($AF$2:AF658),$AF$2:$AF$1001,0),0), INDEX($AM$1004:$BM$1004,1,MATCH(COLUMNS($AM$1006:AZ1006),$AM$1006:$BM$1006,0)))),"Fix")))</f>
        <v xml:space="preserve"> </v>
      </c>
      <c r="P658" s="4" t="str">
        <f ca="1">IF(OR(INDEX($AG$2:$AG$1001,MATCH(ROWS($AF$2:AF658),$AF$2:$AF$1001,0),1)&gt;=100000,INDEX($AM$1005:$BM$1005,1,MATCH(COLUMNS($AM$1006:BA1006),$AM$1006:$BM$1006,0))&gt;=100000), " ",IF(INDEX($AM$2:$BM$1001,MATCH(ROWS($AF$2:AF658),$AF$2:$AF$1001,0),MATCH(COLUMNS($AM$1006:BA1006),$AM$1006:$BM$1006,0)), HYPERLINK("#",""), HYPERLINK(CONCATENATE("#metadata!", ADDRESS(INDEX($AH$2:$AH$1001,MATCH(ROWS($AF$2:AF658),$AF$2:$AF$1001,0),0), INDEX($AM$1004:$BM$1004,1,MATCH(COLUMNS($AM$1006:BA1006),$AM$1006:$BM$1006,0)))),"Fix")))</f>
        <v xml:space="preserve"> </v>
      </c>
      <c r="Q658" s="4" t="str">
        <f ca="1">IF(OR(INDEX($AG$2:$AG$1001,MATCH(ROWS($AF$2:AF658),$AF$2:$AF$1001,0),1)&gt;=100000,INDEX($AM$1005:$BM$1005,1,MATCH(COLUMNS($AM$1006:BB1006),$AM$1006:$BM$1006,0))&gt;=100000), " ",IF(INDEX($AM$2:$BM$1001,MATCH(ROWS($AF$2:AF658),$AF$2:$AF$1001,0),MATCH(COLUMNS($AM$1006:BB1006),$AM$1006:$BM$1006,0)), HYPERLINK("#",""), HYPERLINK(CONCATENATE("#metadata!", ADDRESS(INDEX($AH$2:$AH$1001,MATCH(ROWS($AF$2:AF658),$AF$2:$AF$1001,0),0), INDEX($AM$1004:$BM$1004,1,MATCH(COLUMNS($AM$1006:BB1006),$AM$1006:$BM$1006,0)))),"Fix")))</f>
        <v xml:space="preserve"> </v>
      </c>
      <c r="R658" s="4" t="str">
        <f ca="1">IF(OR(INDEX($AG$2:$AG$1001,MATCH(ROWS($AF$2:AF658),$AF$2:$AF$1001,0),1)&gt;=100000,INDEX($AM$1005:$BM$1005,1,MATCH(COLUMNS($AM$1006:BC1006),$AM$1006:$BM$1006,0))&gt;=100000), " ",IF(INDEX($AM$2:$BM$1001,MATCH(ROWS($AF$2:AF658),$AF$2:$AF$1001,0),MATCH(COLUMNS($AM$1006:BC1006),$AM$1006:$BM$1006,0)), HYPERLINK("#",""), HYPERLINK(CONCATENATE("#metadata!", ADDRESS(INDEX($AH$2:$AH$1001,MATCH(ROWS($AF$2:AF658),$AF$2:$AF$1001,0),0), INDEX($AM$1004:$BM$1004,1,MATCH(COLUMNS($AM$1006:BC1006),$AM$1006:$BM$1006,0)))),"Fix")))</f>
        <v xml:space="preserve"> </v>
      </c>
      <c r="S658" s="4" t="str">
        <f ca="1">IF(OR(INDEX($AG$2:$AG$1001,MATCH(ROWS($AF$2:AF658),$AF$2:$AF$1001,0),1)&gt;=100000,INDEX($AM$1005:$BM$1005,1,MATCH(COLUMNS($AM$1006:BD1006),$AM$1006:$BM$1006,0))&gt;=100000), " ",IF(INDEX($AM$2:$BM$1001,MATCH(ROWS($AF$2:AF658),$AF$2:$AF$1001,0),MATCH(COLUMNS($AM$1006:BD1006),$AM$1006:$BM$1006,0)), HYPERLINK("#",""), HYPERLINK(CONCATENATE("#metadata!", ADDRESS(INDEX($AH$2:$AH$1001,MATCH(ROWS($AF$2:AF658),$AF$2:$AF$1001,0),0), INDEX($AM$1004:$BM$1004,1,MATCH(COLUMNS($AM$1006:BD1006),$AM$1006:$BM$1006,0)))),"Fix")))</f>
        <v xml:space="preserve"> </v>
      </c>
      <c r="T658" s="4" t="str">
        <f ca="1">IF(OR(INDEX($AG$2:$AG$1001,MATCH(ROWS($AF$2:AF658),$AF$2:$AF$1001,0),1)&gt;=100000,INDEX($AM$1005:$BM$1005,1,MATCH(COLUMNS($AM$1006:BE1006),$AM$1006:$BM$1006,0))&gt;=100000), " ",IF(INDEX($AM$2:$BM$1001,MATCH(ROWS($AF$2:AF658),$AF$2:$AF$1001,0),MATCH(COLUMNS($AM$1006:BE1006),$AM$1006:$BM$1006,0)), HYPERLINK("#",""), HYPERLINK(CONCATENATE("#metadata!", ADDRESS(INDEX($AH$2:$AH$1001,MATCH(ROWS($AF$2:AF658),$AF$2:$AF$1001,0),0), INDEX($AM$1004:$BM$1004,1,MATCH(COLUMNS($AM$1006:BE1006),$AM$1006:$BM$1006,0)))),"Fix")))</f>
        <v xml:space="preserve"> </v>
      </c>
      <c r="U658" s="4" t="str">
        <f ca="1">IF(OR(INDEX($AG$2:$AG$1001,MATCH(ROWS($AF$2:AF658),$AF$2:$AF$1001,0),1)&gt;=100000,INDEX($AM$1005:$BM$1005,1,MATCH(COLUMNS($AM$1006:BF1006),$AM$1006:$BM$1006,0))&gt;=100000), " ",IF(INDEX($AM$2:$BM$1001,MATCH(ROWS($AF$2:AF658),$AF$2:$AF$1001,0),MATCH(COLUMNS($AM$1006:BF1006),$AM$1006:$BM$1006,0)), HYPERLINK("#",""), HYPERLINK(CONCATENATE("#metadata!", ADDRESS(INDEX($AH$2:$AH$1001,MATCH(ROWS($AF$2:AF658),$AF$2:$AF$1001,0),0), INDEX($AM$1004:$BM$1004,1,MATCH(COLUMNS($AM$1006:BF1006),$AM$1006:$BM$1006,0)))),"Fix")))</f>
        <v xml:space="preserve"> </v>
      </c>
      <c r="V658" s="4" t="str">
        <f ca="1">IF(OR(INDEX($AG$2:$AG$1001,MATCH(ROWS($AF$2:AF658),$AF$2:$AF$1001,0),1)&gt;=100000,INDEX($AM$1005:$BM$1005,1,MATCH(COLUMNS($AM$1006:BG1006),$AM$1006:$BM$1006,0))&gt;=100000), " ",IF(INDEX($AM$2:$BM$1001,MATCH(ROWS($AF$2:AF658),$AF$2:$AF$1001,0),MATCH(COLUMNS($AM$1006:BG1006),$AM$1006:$BM$1006,0)), HYPERLINK("#",""), HYPERLINK(CONCATENATE("#metadata!", ADDRESS(INDEX($AH$2:$AH$1001,MATCH(ROWS($AF$2:AF658),$AF$2:$AF$1001,0),0), INDEX($AM$1004:$BM$1004,1,MATCH(COLUMNS($AM$1006:BG1006),$AM$1006:$BM$1006,0)))),"Fix")))</f>
        <v xml:space="preserve"> </v>
      </c>
      <c r="W658" s="4" t="str">
        <f ca="1">IF(OR(INDEX($AG$2:$AG$1001,MATCH(ROWS($AF$2:AF658),$AF$2:$AF$1001,0),1)&gt;=100000,INDEX($AM$1005:$BM$1005,1,MATCH(COLUMNS($AM$1006:BH1006),$AM$1006:$BM$1006,0))&gt;=100000), " ",IF(INDEX($AM$2:$BM$1001,MATCH(ROWS($AF$2:AF658),$AF$2:$AF$1001,0),MATCH(COLUMNS($AM$1006:BH1006),$AM$1006:$BM$1006,0)), HYPERLINK("#",""), HYPERLINK(CONCATENATE("#metadata!", ADDRESS(INDEX($AH$2:$AH$1001,MATCH(ROWS($AF$2:AF658),$AF$2:$AF$1001,0),0), INDEX($AM$1004:$BM$1004,1,MATCH(COLUMNS($AM$1006:BH1006),$AM$1006:$BM$1006,0)))),"Fix")))</f>
        <v xml:space="preserve"> </v>
      </c>
      <c r="X658" s="4" t="str">
        <f ca="1">IF(OR(INDEX($AG$2:$AG$1001,MATCH(ROWS($AF$2:AF658),$AF$2:$AF$1001,0),1)&gt;=100000,INDEX($AM$1005:$BM$1005,1,MATCH(COLUMNS($AM$1006:BI1006),$AM$1006:$BM$1006,0))&gt;=100000), " ",IF(INDEX($AM$2:$BM$1001,MATCH(ROWS($AF$2:AF658),$AF$2:$AF$1001,0),MATCH(COLUMNS($AM$1006:BI1006),$AM$1006:$BM$1006,0)), HYPERLINK("#",""), HYPERLINK(CONCATENATE("#metadata!", ADDRESS(INDEX($AH$2:$AH$1001,MATCH(ROWS($AF$2:AF658),$AF$2:$AF$1001,0),0), INDEX($AM$1004:$BM$1004,1,MATCH(COLUMNS($AM$1006:BI1006),$AM$1006:$BM$1006,0)))),"Fix")))</f>
        <v xml:space="preserve"> </v>
      </c>
      <c r="Y658" s="4" t="str">
        <f ca="1">IF(OR(INDEX($AG$2:$AG$1001,MATCH(ROWS($AF$2:AF658),$AF$2:$AF$1001,0),1)&gt;=100000,INDEX($AM$1005:$BM$1005,1,MATCH(COLUMNS($AM$1006:BJ1006),$AM$1006:$BM$1006,0))&gt;=100000), " ",IF(INDEX($AM$2:$BM$1001,MATCH(ROWS($AF$2:AF658),$AF$2:$AF$1001,0),MATCH(COLUMNS($AM$1006:BJ1006),$AM$1006:$BM$1006,0)), HYPERLINK("#",""), HYPERLINK(CONCATENATE("#metadata!", ADDRESS(INDEX($AH$2:$AH$1001,MATCH(ROWS($AF$2:AF658),$AF$2:$AF$1001,0),0), INDEX($AM$1004:$BM$1004,1,MATCH(COLUMNS($AM$1006:BJ1006),$AM$1006:$BM$1006,0)))),"Fix")))</f>
        <v xml:space="preserve"> </v>
      </c>
      <c r="Z658" s="4" t="str">
        <f ca="1">IF(OR(INDEX($AG$2:$AG$1001,MATCH(ROWS($AF$2:AF658),$AF$2:$AF$1001,0),1)&gt;=100000,INDEX($AM$1005:$BM$1005,1,MATCH(COLUMNS($AM$1006:BK1006),$AM$1006:$BM$1006,0))&gt;=100000), " ",IF(INDEX($AM$2:$BM$1001,MATCH(ROWS($AF$2:AF658),$AF$2:$AF$1001,0),MATCH(COLUMNS($AM$1006:BK1006),$AM$1006:$BM$1006,0)), HYPERLINK("#",""), HYPERLINK(CONCATENATE("#metadata!", ADDRESS(INDEX($AH$2:$AH$1001,MATCH(ROWS($AF$2:AF658),$AF$2:$AF$1001,0),0), INDEX($AM$1004:$BM$1004,1,MATCH(COLUMNS($AM$1006:BK1006),$AM$1006:$BM$1006,0)))),"Fix")))</f>
        <v xml:space="preserve"> </v>
      </c>
      <c r="AA658" s="4" t="str">
        <f ca="1">IF(OR(INDEX($AG$2:$AG$1001,MATCH(ROWS($AF$2:AF658),$AF$2:$AF$1001,0),1)&gt;=100000,INDEX($AM$1005:$BM$1005,1,MATCH(COLUMNS($AM$1006:BL1006),$AM$1006:$BM$1006,0))&gt;=100000), " ",IF(INDEX($AM$2:$BM$1001,MATCH(ROWS($AF$2:AF658),$AF$2:$AF$1001,0),MATCH(COLUMNS($AM$1006:BL1006),$AM$1006:$BM$1006,0)), HYPERLINK("#",""), HYPERLINK(CONCATENATE("#metadata!", ADDRESS(INDEX($AH$2:$AH$1001,MATCH(ROWS($AF$2:AF658),$AF$2:$AF$1001,0),0), INDEX($AM$1004:$BM$1004,1,MATCH(COLUMNS($AM$1006:BL1006),$AM$1006:$BM$1006,0)))),"Fix")))</f>
        <v xml:space="preserve"> </v>
      </c>
      <c r="AB658" s="4" t="str">
        <f ca="1">IF(OR(INDEX($AG$2:$AG$1001,MATCH(ROWS($AF$2:AF658),$AF$2:$AF$1001,0),1)&gt;=100000,INDEX($AM$1005:$BM$1005,1,MATCH(COLUMNS($AM$1006:BM1006),$AM$1006:$BM$1006,0))&gt;=100000), " ",IF(INDEX($AM$2:$BM$1001,MATCH(ROWS($AF$2:AF658),$AF$2:$AF$1001,0),MATCH(COLUMNS($AM$1006:BM1006),$AM$1006:$BM$1006,0)), HYPERLINK("#",""), HYPERLINK(CONCATENATE("#metadata!", ADDRESS(INDEX($AH$2:$AH$1001,MATCH(ROWS($AF$2:AF658),$AF$2:$AF$1001,0),0), INDEX($AM$1004:$BM$1004,1,MATCH(COLUMNS($AM$1006:BM1006),$AM$1006:$BM$1006,0)))),"Fix")))</f>
        <v xml:space="preserve"> </v>
      </c>
      <c r="AF658">
        <v>657</v>
      </c>
      <c r="AG658">
        <v>100658</v>
      </c>
      <c r="AH658">
        <v>658</v>
      </c>
      <c r="AI658" t="b">
        <f t="shared" si="10"/>
        <v>1</v>
      </c>
      <c r="AJ658" t="b">
        <f>COUNTBLANK(metadata!B658:AB658)=COLUMNS(metadata!B658:AB658)</f>
        <v>1</v>
      </c>
      <c r="AK658" t="str">
        <v/>
      </c>
      <c r="AM658" t="b">
        <f ca="1">AND(IF(metadata!B658="",FALSE,TRUE),COUNTIF(metadata!B:B, metadata!B658) = 1,NOT(ISERROR(SUMPRODUCT(SEARCH(MID(metadata!B658,ROW(INDIRECT("1:"&amp;LEN(metadata!B658))), 1),"0123456789abcdefghijklmnopqrstuvwxyzABCDEFGHIJKLMNOPQRSTUVWXYZ.")))))</f>
        <v>0</v>
      </c>
      <c r="AN658" t="b">
        <f ca="1">OR(AND(IF(metadata!C658="",FALSE,TRUE),OR(EXACT(metadata!C658,"missing: not collected"),EXACT(metadata!C658,"missing: not provided"),EXACT(metadata!C658,"missing: restricted access"))),AND(IF(metadata!C658="",FALSE,TRUE),AND(AND(IFERROR(INT(LEFT(metadata!C658,4))&gt;1900,FALSE),IFERROR(INT(LEFT(metadata!C658,4))&lt;=YEAR(NOW()),FALSE)), OR(MID(metadata!C658,5,1)="", AND(AND(MID(metadata!C658,5,1)="-",IFERROR(INT(MID(metadata!C658,6,1))&gt;=0,FALSE),IFERROR(INT(MID(metadata!C658,6,1))&lt;=1,FALSE),NOT(MID(metadata!C658,7,1)=""),IFERROR(INT(MID(metadata!C658,6,2))&gt;=1,FALSE),IFERROR(INT(MID(metadata!C658,6,2))&lt;=12,FALSE)), OR(MID(metadata!C658,8,1)="", AND(AND(MID(metadata!C658,8,1)="-",IFERROR(INT(MID(metadata!C658,9,1))&gt;=0,FALSE),IFERROR(INT(MID(metadata!C658,9,1))&lt;=3,FALSE),NOT(MID(metadata!C658,10,1)=""),IFERROR(INT(MID(metadata!C658,9,2))&gt;=1,FALSE),IFERROR(INT(MID(metadata!C658,9,2))&lt;=31,FALSE)), OR(MID(metadata!C658,11,1)="", AND(AND(MID(metadata!C658,11,1)=" ",IFERROR(INT(MID(metadata!C658,12,1))&gt;=0,FALSE),IFERROR(INT(MID(metadata!C658,12,1))&lt;=2,FALSE),NOT(MID(metadata!C658,13,1)=""),IFERROR(INT(MID(metadata!C658,12,2))&gt;=0,FALSE),IFERROR(INT(MID(metadata!C658,12,2))&lt;=23,FALSE)), OR(MID(metadata!C658,14,1)="", AND(AND(MID(metadata!C658,14,1)=":",IFERROR(INT(MID(metadata!C658,15,1))&gt;=0,FALSE),IFERROR(INT(MID(metadata!C658,15,1))&lt;=5,FALSE),NOT(MID(metadata!C658,16,1)=""),IFERROR(INT(MID(metadata!C658,15,2))&gt;=0,FALSE),IFERROR(INT(MID(metadata!C658,15,2))&lt;=59,FALSE)), OR(MID(metadata!C658,17,1)="", AND(AND(MID(metadata!C658,17,1)=":",IFERROR(INT(MID(metadata!C658,18,1))&gt;=0,FALSE),IFERROR(INT(MID(metadata!C658,18,1))&lt;=5,FALSE),NOT(MID(metadata!C658,19,1)=""),IFERROR(INT(MID(metadata!C658,18,2))&gt;=0,FALSE),IFERROR(INT(MID(metadata!C658,18,2))&lt;=59,FALSE)), LEN(metadata!C658)&lt;=19)))))))))))))</f>
        <v>0</v>
      </c>
      <c r="AO658" t="b">
        <f>AND(IF(metadata!D658="",FALSE,TRUE),EXACT(metadata!D658,"Not applicable"))</f>
        <v>0</v>
      </c>
      <c r="AP658" t="b">
        <f>IF(metadata!E658="",FALSE,TRUE)</f>
        <v>0</v>
      </c>
      <c r="AQ658" t="b">
        <f>OR(AND(IF(metadata!F658="",FALSE,TRUE),OR(EXACT(metadata!F658,"missing: not collected"),EXACT(metadata!F658,"missing: not provided"))),AND(IF(metadata!F658="",FALSE,TRUE),OR(EXACT(metadata!F658,"TRUE"),EXACT(metadata!F658,"FALSE"))))</f>
        <v>0</v>
      </c>
      <c r="AR658" t="b">
        <f>OR(AND(IF(metadata!G658="",FALSE,TRUE),OR(EXACT(metadata!G658,"missing: not collected"),EXACT(metadata!G658,"missing: not provided"),EXACT(metadata!G658,"missing: restricted access"))),AND(IF(metadata!G658="",FALSE,ISNUMBER(VALUE(metadata!G658))),metadata!G658&gt;=-413))</f>
        <v>0</v>
      </c>
      <c r="AS658" t="b">
        <f>AND(IF(metadata!H658="",FALSE,TRUE),EXACT(metadata!H658,"meters"))</f>
        <v>0</v>
      </c>
      <c r="AT658" t="b">
        <f>AND(IF(metadata!I658="",FALSE,TRUE),OR(EXACT(metadata!I658,"Host-associated"),EXACT(metadata!I658,"Free-living")))</f>
        <v>0</v>
      </c>
      <c r="AU658" t="b">
        <f>AND(IF(metadata!J658="",FALSE,TRUE),OR(EXACT(metadata!J658,"Animal"),EXACT(metadata!J658,"Fungus"),EXACT(metadata!J658,"Plant"),EXACT(metadata!J658,"Saline"),EXACT(metadata!J658,"Non-saline")))</f>
        <v>0</v>
      </c>
      <c r="AV658" t="b">
        <f>AND(IF(metadata!K658="",FALSE,TRUE),OR(EXACT(metadata!K658,"Plant secretion"),EXACT(metadata!K658,"Plant rhizosphere"),EXACT(metadata!K658,"Plant surface"),EXACT(metadata!K658,"Plant corpus"),EXACT(metadata!K658,"Fungus surface"),EXACT(metadata!K658,"Fungus corpus"),EXACT(metadata!K658,"Animal surface"),EXACT(metadata!K658,"Animal proximal gut"),EXACT(metadata!K658,"Animal corpus"),EXACT(metadata!K658,"Animal distal gut"),EXACT(metadata!K658,"Animal secretion"),EXACT(metadata!K658,"Sub-surface (non-saline)"),EXACT(metadata!K658,"Surface (non-saline)"),EXACT(metadata!K658,"Water (non-saline)"),EXACT(metadata!K658,"Soil (non-saline)"),EXACT(metadata!K658,"Aerosol (non-saline)"),EXACT(metadata!K658,"Sediment (non-saline)"),EXACT(metadata!K658,"Surface (saline)"),EXACT(metadata!K658,"Water (saline)"),EXACT(metadata!K658,"Hypersaline (saline)"),EXACT(metadata!K658,"Aerosol (saline)"),EXACT(metadata!K658,"Sediment (saline)")))</f>
        <v>0</v>
      </c>
      <c r="AW658" t="b">
        <f>IF(metadata!L658="",FALSE,TRUE)</f>
        <v>0</v>
      </c>
      <c r="AX658" t="b">
        <f>IF(metadata!M658="",FALSE,TRUE)</f>
        <v>0</v>
      </c>
      <c r="AY658" t="b">
        <f>IF(metadata!N658="",FALSE,TRUE)</f>
        <v>0</v>
      </c>
      <c r="AZ658" t="b">
        <f>OR(AND(IF(metadata!O658="",FALSE,TRUE),OR(EXACT(metadata!O658,"missing: not collected"),EXACT(metadata!O658,"missing: not provided"),EXACT(metadata!O658,"missing: restricted access"))),AND(IF(metadata!O658="",FALSE,TRUE),OR(EXACT(metadata!O658,"air"),EXACT(metadata!O658,"built environment"),EXACT(metadata!O658,"host-associated"),EXACT(metadata!O658,"human-associated"),EXACT(metadata!O658,"human-skin"),EXACT(metadata!O658,"human-oral"),EXACT(metadata!O658,"human-gut"),EXACT(metadata!O658,"human-vaginal"),EXACT(metadata!O658,"microbial mat/biofilm"),EXACT(metadata!O658,"misc environment"),EXACT(metadata!O658,"plant-associated"),EXACT(metadata!O658,"sediment"),EXACT(metadata!O658,"soil"),EXACT(metadata!O658,"wastewater/sludge"),EXACT(metadata!O658,"water"))))</f>
        <v>0</v>
      </c>
      <c r="BA658" t="b">
        <f>IF(metadata!P658="",FALSE,TRUE)</f>
        <v>0</v>
      </c>
      <c r="BB658" t="b">
        <f>IF(metadata!Q658="",FALSE,TRUE)</f>
        <v>0</v>
      </c>
      <c r="BC658" t="b">
        <f>OR(AND(IF(metadata!R658="",FALSE,TRUE),OR(EXACT(metadata!R658,"missing: not collected"),EXACT(metadata!R658,"missing: not provided"),EXACT(metadata!R658,"missing: restricted access"))),AND(IF(metadata!R658="",FALSE,ISNUMBER(VALUE(metadata!R658))),metadata!R658&gt;=-90,metadata!R658&lt;=90))</f>
        <v>0</v>
      </c>
      <c r="BD658" t="b">
        <f>AND(IF(metadata!S658="",FALSE,TRUE),EXACT(metadata!S658,"Decimal degrees"))</f>
        <v>0</v>
      </c>
      <c r="BE658" t="b">
        <f>OR(AND(IF(metadata!T658="",FALSE,TRUE),OR(EXACT(metadata!T658,"missing: not collected"),EXACT(metadata!T658,"missing: not provided"),EXACT(metadata!T658,"missing: restricted access"))),AND(IF(metadata!T658="",FALSE,ISNUMBER(VALUE(metadata!T658))),metadata!T658&gt;=-180,metadata!T658&lt;=180))</f>
        <v>0</v>
      </c>
      <c r="BF658" t="b">
        <f>AND(IF(metadata!U658="",FALSE,TRUE),EXACT(metadata!U658,"Decimal degrees"))</f>
        <v>0</v>
      </c>
      <c r="BG658" t="b">
        <f>IF(metadata!V658="",FALSE,TRUE)</f>
        <v>0</v>
      </c>
      <c r="BH658" t="b">
        <f>OR(AND(IF(metadata!W658="",FALSE,TRUE),OR(EXACT(metadata!W658,"missing: not collected"),EXACT(metadata!W658,"missing: not provided"),EXACT(metadata!W658,"missing: restricted access"))),AND(IF(metadata!W658="",FALSE,TRUE),OR(EXACT(metadata!W658,"TRUE"),EXACT(metadata!W658,"FALSE"))))</f>
        <v>0</v>
      </c>
      <c r="BI658" t="b">
        <f>AND(IF(metadata!X658="",FALSE,TRUE),EXACT(metadata!X658,"other"))</f>
        <v>0</v>
      </c>
      <c r="BJ658" t="b">
        <f>IF(metadata!Y658="",FALSE,TRUE)</f>
        <v>0</v>
      </c>
      <c r="BK658" t="b">
        <f>OR(AND(IF(metadata!Z658="",FALSE,TRUE),OR(EXACT(metadata!Z658,"missing: not collected"),EXACT(metadata!Z658,"missing: not provided"))),AND(IF(metadata!Z658="",FALSE,IF(ISERROR(INT(metadata!Z658)),FALSE,INT(metadata!Z658)=metadata!Z658)),metadata!Z658&gt;0))</f>
        <v>0</v>
      </c>
      <c r="BL658" t="b">
        <f>AND(IF(metadata!AA658="",FALSE,TRUE),EXACT(metadata!AA658,"Not applicable"))</f>
        <v>0</v>
      </c>
      <c r="BM658" t="b">
        <f>IF(metadata!AB658="",FALSE,TRUE)</f>
        <v>0</v>
      </c>
    </row>
    <row r="659" spans="1:65" x14ac:dyDescent="0.2">
      <c r="A659" s="5" t="str">
        <f ca="1">IF(B659=" "," ",HYPERLINK(CONCATENATE("#metadata!",ADDRESS(INDEX($AH$2:$AH$1001,MATCH(ROWS($AF$2:AF659),$AF$2:$AF$1001,0),0),1)),INDEX($AK$2:$AK$1001,MATCH(ROWS($AF$2:AF659),$AF$2:$AF$1001,0),0)))</f>
        <v xml:space="preserve"> </v>
      </c>
      <c r="B659" s="4" t="str">
        <f ca="1">IF(OR(INDEX($AG$2:$AG$1001,MATCH(ROWS($AF$2:AF659),$AF$2:$AF$1001,0),1)&gt;=100000,INDEX($AM$1005:$BM$1005,1,MATCH(COLUMNS($AM$1006:AM1006),$AM$1006:$BM$1006,0))&gt;=100000), " ",IF(INDEX($AM$2:$BM$1001,MATCH(ROWS($AF$2:AF659),$AF$2:$AF$1001,0),MATCH(COLUMNS($AM$1006:AM1006),$AM$1006:$BM$1006,0)), HYPERLINK("#",""), HYPERLINK(CONCATENATE("#metadata!", ADDRESS(INDEX($AH$2:$AH$1001,MATCH(ROWS($AF$2:AF659),$AF$2:$AF$1001,0),0), INDEX($AM$1004:$BM$1004,1,MATCH(COLUMNS($AM$1006:AM1006),$AM$1006:$BM$1006,0)))),"Fix")))</f>
        <v xml:space="preserve"> </v>
      </c>
      <c r="C659" s="4" t="str">
        <f ca="1">IF(OR(INDEX($AG$2:$AG$1001,MATCH(ROWS($AF$2:AF659),$AF$2:$AF$1001,0),1)&gt;=100000,INDEX($AM$1005:$BM$1005,1,MATCH(COLUMNS($AM$1006:AN1006),$AM$1006:$BM$1006,0))&gt;=100000), " ",IF(INDEX($AM$2:$BM$1001,MATCH(ROWS($AF$2:AF659),$AF$2:$AF$1001,0),MATCH(COLUMNS($AM$1006:AN1006),$AM$1006:$BM$1006,0)), HYPERLINK("#",""), HYPERLINK(CONCATENATE("#metadata!", ADDRESS(INDEX($AH$2:$AH$1001,MATCH(ROWS($AF$2:AF659),$AF$2:$AF$1001,0),0), INDEX($AM$1004:$BM$1004,1,MATCH(COLUMNS($AM$1006:AN1006),$AM$1006:$BM$1006,0)))),"Fix")))</f>
        <v xml:space="preserve"> </v>
      </c>
      <c r="D659" s="4" t="str">
        <f ca="1">IF(OR(INDEX($AG$2:$AG$1001,MATCH(ROWS($AF$2:AF659),$AF$2:$AF$1001,0),1)&gt;=100000,INDEX($AM$1005:$BM$1005,1,MATCH(COLUMNS($AM$1006:AO1006),$AM$1006:$BM$1006,0))&gt;=100000), " ",IF(INDEX($AM$2:$BM$1001,MATCH(ROWS($AF$2:AF659),$AF$2:$AF$1001,0),MATCH(COLUMNS($AM$1006:AO1006),$AM$1006:$BM$1006,0)), HYPERLINK("#",""), HYPERLINK(CONCATENATE("#metadata!", ADDRESS(INDEX($AH$2:$AH$1001,MATCH(ROWS($AF$2:AF659),$AF$2:$AF$1001,0),0), INDEX($AM$1004:$BM$1004,1,MATCH(COLUMNS($AM$1006:AO1006),$AM$1006:$BM$1006,0)))),"Fix")))</f>
        <v xml:space="preserve"> </v>
      </c>
      <c r="E659" s="4" t="str">
        <f ca="1">IF(OR(INDEX($AG$2:$AG$1001,MATCH(ROWS($AF$2:AF659),$AF$2:$AF$1001,0),1)&gt;=100000,INDEX($AM$1005:$BM$1005,1,MATCH(COLUMNS($AM$1006:AP1006),$AM$1006:$BM$1006,0))&gt;=100000), " ",IF(INDEX($AM$2:$BM$1001,MATCH(ROWS($AF$2:AF659),$AF$2:$AF$1001,0),MATCH(COLUMNS($AM$1006:AP1006),$AM$1006:$BM$1006,0)), HYPERLINK("#",""), HYPERLINK(CONCATENATE("#metadata!", ADDRESS(INDEX($AH$2:$AH$1001,MATCH(ROWS($AF$2:AF659),$AF$2:$AF$1001,0),0), INDEX($AM$1004:$BM$1004,1,MATCH(COLUMNS($AM$1006:AP1006),$AM$1006:$BM$1006,0)))),"Fix")))</f>
        <v xml:space="preserve"> </v>
      </c>
      <c r="F659" s="4" t="str">
        <f ca="1">IF(OR(INDEX($AG$2:$AG$1001,MATCH(ROWS($AF$2:AF659),$AF$2:$AF$1001,0),1)&gt;=100000,INDEX($AM$1005:$BM$1005,1,MATCH(COLUMNS($AM$1006:AQ1006),$AM$1006:$BM$1006,0))&gt;=100000), " ",IF(INDEX($AM$2:$BM$1001,MATCH(ROWS($AF$2:AF659),$AF$2:$AF$1001,0),MATCH(COLUMNS($AM$1006:AQ1006),$AM$1006:$BM$1006,0)), HYPERLINK("#",""), HYPERLINK(CONCATENATE("#metadata!", ADDRESS(INDEX($AH$2:$AH$1001,MATCH(ROWS($AF$2:AF659),$AF$2:$AF$1001,0),0), INDEX($AM$1004:$BM$1004,1,MATCH(COLUMNS($AM$1006:AQ1006),$AM$1006:$BM$1006,0)))),"Fix")))</f>
        <v xml:space="preserve"> </v>
      </c>
      <c r="G659" s="4" t="str">
        <f ca="1">IF(OR(INDEX($AG$2:$AG$1001,MATCH(ROWS($AF$2:AF659),$AF$2:$AF$1001,0),1)&gt;=100000,INDEX($AM$1005:$BM$1005,1,MATCH(COLUMNS($AM$1006:AR1006),$AM$1006:$BM$1006,0))&gt;=100000), " ",IF(INDEX($AM$2:$BM$1001,MATCH(ROWS($AF$2:AF659),$AF$2:$AF$1001,0),MATCH(COLUMNS($AM$1006:AR1006),$AM$1006:$BM$1006,0)), HYPERLINK("#",""), HYPERLINK(CONCATENATE("#metadata!", ADDRESS(INDEX($AH$2:$AH$1001,MATCH(ROWS($AF$2:AF659),$AF$2:$AF$1001,0),0), INDEX($AM$1004:$BM$1004,1,MATCH(COLUMNS($AM$1006:AR1006),$AM$1006:$BM$1006,0)))),"Fix")))</f>
        <v xml:space="preserve"> </v>
      </c>
      <c r="H659" s="4" t="str">
        <f ca="1">IF(OR(INDEX($AG$2:$AG$1001,MATCH(ROWS($AF$2:AF659),$AF$2:$AF$1001,0),1)&gt;=100000,INDEX($AM$1005:$BM$1005,1,MATCH(COLUMNS($AM$1006:AS1006),$AM$1006:$BM$1006,0))&gt;=100000), " ",IF(INDEX($AM$2:$BM$1001,MATCH(ROWS($AF$2:AF659),$AF$2:$AF$1001,0),MATCH(COLUMNS($AM$1006:AS1006),$AM$1006:$BM$1006,0)), HYPERLINK("#",""), HYPERLINK(CONCATENATE("#metadata!", ADDRESS(INDEX($AH$2:$AH$1001,MATCH(ROWS($AF$2:AF659),$AF$2:$AF$1001,0),0), INDEX($AM$1004:$BM$1004,1,MATCH(COLUMNS($AM$1006:AS1006),$AM$1006:$BM$1006,0)))),"Fix")))</f>
        <v xml:space="preserve"> </v>
      </c>
      <c r="I659" s="4" t="str">
        <f ca="1">IF(OR(INDEX($AG$2:$AG$1001,MATCH(ROWS($AF$2:AF659),$AF$2:$AF$1001,0),1)&gt;=100000,INDEX($AM$1005:$BM$1005,1,MATCH(COLUMNS($AM$1006:AT1006),$AM$1006:$BM$1006,0))&gt;=100000), " ",IF(INDEX($AM$2:$BM$1001,MATCH(ROWS($AF$2:AF659),$AF$2:$AF$1001,0),MATCH(COLUMNS($AM$1006:AT1006),$AM$1006:$BM$1006,0)), HYPERLINK("#",""), HYPERLINK(CONCATENATE("#metadata!", ADDRESS(INDEX($AH$2:$AH$1001,MATCH(ROWS($AF$2:AF659),$AF$2:$AF$1001,0),0), INDEX($AM$1004:$BM$1004,1,MATCH(COLUMNS($AM$1006:AT1006),$AM$1006:$BM$1006,0)))),"Fix")))</f>
        <v xml:space="preserve"> </v>
      </c>
      <c r="J659" s="4" t="str">
        <f ca="1">IF(OR(INDEX($AG$2:$AG$1001,MATCH(ROWS($AF$2:AF659),$AF$2:$AF$1001,0),1)&gt;=100000,INDEX($AM$1005:$BM$1005,1,MATCH(COLUMNS($AM$1006:AU1006),$AM$1006:$BM$1006,0))&gt;=100000), " ",IF(INDEX($AM$2:$BM$1001,MATCH(ROWS($AF$2:AF659),$AF$2:$AF$1001,0),MATCH(COLUMNS($AM$1006:AU1006),$AM$1006:$BM$1006,0)), HYPERLINK("#",""), HYPERLINK(CONCATENATE("#metadata!", ADDRESS(INDEX($AH$2:$AH$1001,MATCH(ROWS($AF$2:AF659),$AF$2:$AF$1001,0),0), INDEX($AM$1004:$BM$1004,1,MATCH(COLUMNS($AM$1006:AU1006),$AM$1006:$BM$1006,0)))),"Fix")))</f>
        <v xml:space="preserve"> </v>
      </c>
      <c r="K659" s="4" t="str">
        <f ca="1">IF(OR(INDEX($AG$2:$AG$1001,MATCH(ROWS($AF$2:AF659),$AF$2:$AF$1001,0),1)&gt;=100000,INDEX($AM$1005:$BM$1005,1,MATCH(COLUMNS($AM$1006:AV1006),$AM$1006:$BM$1006,0))&gt;=100000), " ",IF(INDEX($AM$2:$BM$1001,MATCH(ROWS($AF$2:AF659),$AF$2:$AF$1001,0),MATCH(COLUMNS($AM$1006:AV1006),$AM$1006:$BM$1006,0)), HYPERLINK("#",""), HYPERLINK(CONCATENATE("#metadata!", ADDRESS(INDEX($AH$2:$AH$1001,MATCH(ROWS($AF$2:AF659),$AF$2:$AF$1001,0),0), INDEX($AM$1004:$BM$1004,1,MATCH(COLUMNS($AM$1006:AV1006),$AM$1006:$BM$1006,0)))),"Fix")))</f>
        <v xml:space="preserve"> </v>
      </c>
      <c r="L659" s="4" t="str">
        <f ca="1">IF(OR(INDEX($AG$2:$AG$1001,MATCH(ROWS($AF$2:AF659),$AF$2:$AF$1001,0),1)&gt;=100000,INDEX($AM$1005:$BM$1005,1,MATCH(COLUMNS($AM$1006:AW1006),$AM$1006:$BM$1006,0))&gt;=100000), " ",IF(INDEX($AM$2:$BM$1001,MATCH(ROWS($AF$2:AF659),$AF$2:$AF$1001,0),MATCH(COLUMNS($AM$1006:AW1006),$AM$1006:$BM$1006,0)), HYPERLINK("#",""), HYPERLINK(CONCATENATE("#metadata!", ADDRESS(INDEX($AH$2:$AH$1001,MATCH(ROWS($AF$2:AF659),$AF$2:$AF$1001,0),0), INDEX($AM$1004:$BM$1004,1,MATCH(COLUMNS($AM$1006:AW1006),$AM$1006:$BM$1006,0)))),"Fix")))</f>
        <v xml:space="preserve"> </v>
      </c>
      <c r="M659" s="4" t="str">
        <f ca="1">IF(OR(INDEX($AG$2:$AG$1001,MATCH(ROWS($AF$2:AF659),$AF$2:$AF$1001,0),1)&gt;=100000,INDEX($AM$1005:$BM$1005,1,MATCH(COLUMNS($AM$1006:AX1006),$AM$1006:$BM$1006,0))&gt;=100000), " ",IF(INDEX($AM$2:$BM$1001,MATCH(ROWS($AF$2:AF659),$AF$2:$AF$1001,0),MATCH(COLUMNS($AM$1006:AX1006),$AM$1006:$BM$1006,0)), HYPERLINK("#",""), HYPERLINK(CONCATENATE("#metadata!", ADDRESS(INDEX($AH$2:$AH$1001,MATCH(ROWS($AF$2:AF659),$AF$2:$AF$1001,0),0), INDEX($AM$1004:$BM$1004,1,MATCH(COLUMNS($AM$1006:AX1006),$AM$1006:$BM$1006,0)))),"Fix")))</f>
        <v xml:space="preserve"> </v>
      </c>
      <c r="N659" s="4" t="str">
        <f ca="1">IF(OR(INDEX($AG$2:$AG$1001,MATCH(ROWS($AF$2:AF659),$AF$2:$AF$1001,0),1)&gt;=100000,INDEX($AM$1005:$BM$1005,1,MATCH(COLUMNS($AM$1006:AY1006),$AM$1006:$BM$1006,0))&gt;=100000), " ",IF(INDEX($AM$2:$BM$1001,MATCH(ROWS($AF$2:AF659),$AF$2:$AF$1001,0),MATCH(COLUMNS($AM$1006:AY1006),$AM$1006:$BM$1006,0)), HYPERLINK("#",""), HYPERLINK(CONCATENATE("#metadata!", ADDRESS(INDEX($AH$2:$AH$1001,MATCH(ROWS($AF$2:AF659),$AF$2:$AF$1001,0),0), INDEX($AM$1004:$BM$1004,1,MATCH(COLUMNS($AM$1006:AY1006),$AM$1006:$BM$1006,0)))),"Fix")))</f>
        <v xml:space="preserve"> </v>
      </c>
      <c r="O659" s="4" t="str">
        <f ca="1">IF(OR(INDEX($AG$2:$AG$1001,MATCH(ROWS($AF$2:AF659),$AF$2:$AF$1001,0),1)&gt;=100000,INDEX($AM$1005:$BM$1005,1,MATCH(COLUMNS($AM$1006:AZ1006),$AM$1006:$BM$1006,0))&gt;=100000), " ",IF(INDEX($AM$2:$BM$1001,MATCH(ROWS($AF$2:AF659),$AF$2:$AF$1001,0),MATCH(COLUMNS($AM$1006:AZ1006),$AM$1006:$BM$1006,0)), HYPERLINK("#",""), HYPERLINK(CONCATENATE("#metadata!", ADDRESS(INDEX($AH$2:$AH$1001,MATCH(ROWS($AF$2:AF659),$AF$2:$AF$1001,0),0), INDEX($AM$1004:$BM$1004,1,MATCH(COLUMNS($AM$1006:AZ1006),$AM$1006:$BM$1006,0)))),"Fix")))</f>
        <v xml:space="preserve"> </v>
      </c>
      <c r="P659" s="4" t="str">
        <f ca="1">IF(OR(INDEX($AG$2:$AG$1001,MATCH(ROWS($AF$2:AF659),$AF$2:$AF$1001,0),1)&gt;=100000,INDEX($AM$1005:$BM$1005,1,MATCH(COLUMNS($AM$1006:BA1006),$AM$1006:$BM$1006,0))&gt;=100000), " ",IF(INDEX($AM$2:$BM$1001,MATCH(ROWS($AF$2:AF659),$AF$2:$AF$1001,0),MATCH(COLUMNS($AM$1006:BA1006),$AM$1006:$BM$1006,0)), HYPERLINK("#",""), HYPERLINK(CONCATENATE("#metadata!", ADDRESS(INDEX($AH$2:$AH$1001,MATCH(ROWS($AF$2:AF659),$AF$2:$AF$1001,0),0), INDEX($AM$1004:$BM$1004,1,MATCH(COLUMNS($AM$1006:BA1006),$AM$1006:$BM$1006,0)))),"Fix")))</f>
        <v xml:space="preserve"> </v>
      </c>
      <c r="Q659" s="4" t="str">
        <f ca="1">IF(OR(INDEX($AG$2:$AG$1001,MATCH(ROWS($AF$2:AF659),$AF$2:$AF$1001,0),1)&gt;=100000,INDEX($AM$1005:$BM$1005,1,MATCH(COLUMNS($AM$1006:BB1006),$AM$1006:$BM$1006,0))&gt;=100000), " ",IF(INDEX($AM$2:$BM$1001,MATCH(ROWS($AF$2:AF659),$AF$2:$AF$1001,0),MATCH(COLUMNS($AM$1006:BB1006),$AM$1006:$BM$1006,0)), HYPERLINK("#",""), HYPERLINK(CONCATENATE("#metadata!", ADDRESS(INDEX($AH$2:$AH$1001,MATCH(ROWS($AF$2:AF659),$AF$2:$AF$1001,0),0), INDEX($AM$1004:$BM$1004,1,MATCH(COLUMNS($AM$1006:BB1006),$AM$1006:$BM$1006,0)))),"Fix")))</f>
        <v xml:space="preserve"> </v>
      </c>
      <c r="R659" s="4" t="str">
        <f ca="1">IF(OR(INDEX($AG$2:$AG$1001,MATCH(ROWS($AF$2:AF659),$AF$2:$AF$1001,0),1)&gt;=100000,INDEX($AM$1005:$BM$1005,1,MATCH(COLUMNS($AM$1006:BC1006),$AM$1006:$BM$1006,0))&gt;=100000), " ",IF(INDEX($AM$2:$BM$1001,MATCH(ROWS($AF$2:AF659),$AF$2:$AF$1001,0),MATCH(COLUMNS($AM$1006:BC1006),$AM$1006:$BM$1006,0)), HYPERLINK("#",""), HYPERLINK(CONCATENATE("#metadata!", ADDRESS(INDEX($AH$2:$AH$1001,MATCH(ROWS($AF$2:AF659),$AF$2:$AF$1001,0),0), INDEX($AM$1004:$BM$1004,1,MATCH(COLUMNS($AM$1006:BC1006),$AM$1006:$BM$1006,0)))),"Fix")))</f>
        <v xml:space="preserve"> </v>
      </c>
      <c r="S659" s="4" t="str">
        <f ca="1">IF(OR(INDEX($AG$2:$AG$1001,MATCH(ROWS($AF$2:AF659),$AF$2:$AF$1001,0),1)&gt;=100000,INDEX($AM$1005:$BM$1005,1,MATCH(COLUMNS($AM$1006:BD1006),$AM$1006:$BM$1006,0))&gt;=100000), " ",IF(INDEX($AM$2:$BM$1001,MATCH(ROWS($AF$2:AF659),$AF$2:$AF$1001,0),MATCH(COLUMNS($AM$1006:BD1006),$AM$1006:$BM$1006,0)), HYPERLINK("#",""), HYPERLINK(CONCATENATE("#metadata!", ADDRESS(INDEX($AH$2:$AH$1001,MATCH(ROWS($AF$2:AF659),$AF$2:$AF$1001,0),0), INDEX($AM$1004:$BM$1004,1,MATCH(COLUMNS($AM$1006:BD1006),$AM$1006:$BM$1006,0)))),"Fix")))</f>
        <v xml:space="preserve"> </v>
      </c>
      <c r="T659" s="4" t="str">
        <f ca="1">IF(OR(INDEX($AG$2:$AG$1001,MATCH(ROWS($AF$2:AF659),$AF$2:$AF$1001,0),1)&gt;=100000,INDEX($AM$1005:$BM$1005,1,MATCH(COLUMNS($AM$1006:BE1006),$AM$1006:$BM$1006,0))&gt;=100000), " ",IF(INDEX($AM$2:$BM$1001,MATCH(ROWS($AF$2:AF659),$AF$2:$AF$1001,0),MATCH(COLUMNS($AM$1006:BE1006),$AM$1006:$BM$1006,0)), HYPERLINK("#",""), HYPERLINK(CONCATENATE("#metadata!", ADDRESS(INDEX($AH$2:$AH$1001,MATCH(ROWS($AF$2:AF659),$AF$2:$AF$1001,0),0), INDEX($AM$1004:$BM$1004,1,MATCH(COLUMNS($AM$1006:BE1006),$AM$1006:$BM$1006,0)))),"Fix")))</f>
        <v xml:space="preserve"> </v>
      </c>
      <c r="U659" s="4" t="str">
        <f ca="1">IF(OR(INDEX($AG$2:$AG$1001,MATCH(ROWS($AF$2:AF659),$AF$2:$AF$1001,0),1)&gt;=100000,INDEX($AM$1005:$BM$1005,1,MATCH(COLUMNS($AM$1006:BF1006),$AM$1006:$BM$1006,0))&gt;=100000), " ",IF(INDEX($AM$2:$BM$1001,MATCH(ROWS($AF$2:AF659),$AF$2:$AF$1001,0),MATCH(COLUMNS($AM$1006:BF1006),$AM$1006:$BM$1006,0)), HYPERLINK("#",""), HYPERLINK(CONCATENATE("#metadata!", ADDRESS(INDEX($AH$2:$AH$1001,MATCH(ROWS($AF$2:AF659),$AF$2:$AF$1001,0),0), INDEX($AM$1004:$BM$1004,1,MATCH(COLUMNS($AM$1006:BF1006),$AM$1006:$BM$1006,0)))),"Fix")))</f>
        <v xml:space="preserve"> </v>
      </c>
      <c r="V659" s="4" t="str">
        <f ca="1">IF(OR(INDEX($AG$2:$AG$1001,MATCH(ROWS($AF$2:AF659),$AF$2:$AF$1001,0),1)&gt;=100000,INDEX($AM$1005:$BM$1005,1,MATCH(COLUMNS($AM$1006:BG1006),$AM$1006:$BM$1006,0))&gt;=100000), " ",IF(INDEX($AM$2:$BM$1001,MATCH(ROWS($AF$2:AF659),$AF$2:$AF$1001,0),MATCH(COLUMNS($AM$1006:BG1006),$AM$1006:$BM$1006,0)), HYPERLINK("#",""), HYPERLINK(CONCATENATE("#metadata!", ADDRESS(INDEX($AH$2:$AH$1001,MATCH(ROWS($AF$2:AF659),$AF$2:$AF$1001,0),0), INDEX($AM$1004:$BM$1004,1,MATCH(COLUMNS($AM$1006:BG1006),$AM$1006:$BM$1006,0)))),"Fix")))</f>
        <v xml:space="preserve"> </v>
      </c>
      <c r="W659" s="4" t="str">
        <f ca="1">IF(OR(INDEX($AG$2:$AG$1001,MATCH(ROWS($AF$2:AF659),$AF$2:$AF$1001,0),1)&gt;=100000,INDEX($AM$1005:$BM$1005,1,MATCH(COLUMNS($AM$1006:BH1006),$AM$1006:$BM$1006,0))&gt;=100000), " ",IF(INDEX($AM$2:$BM$1001,MATCH(ROWS($AF$2:AF659),$AF$2:$AF$1001,0),MATCH(COLUMNS($AM$1006:BH1006),$AM$1006:$BM$1006,0)), HYPERLINK("#",""), HYPERLINK(CONCATENATE("#metadata!", ADDRESS(INDEX($AH$2:$AH$1001,MATCH(ROWS($AF$2:AF659),$AF$2:$AF$1001,0),0), INDEX($AM$1004:$BM$1004,1,MATCH(COLUMNS($AM$1006:BH1006),$AM$1006:$BM$1006,0)))),"Fix")))</f>
        <v xml:space="preserve"> </v>
      </c>
      <c r="X659" s="4" t="str">
        <f ca="1">IF(OR(INDEX($AG$2:$AG$1001,MATCH(ROWS($AF$2:AF659),$AF$2:$AF$1001,0),1)&gt;=100000,INDEX($AM$1005:$BM$1005,1,MATCH(COLUMNS($AM$1006:BI1006),$AM$1006:$BM$1006,0))&gt;=100000), " ",IF(INDEX($AM$2:$BM$1001,MATCH(ROWS($AF$2:AF659),$AF$2:$AF$1001,0),MATCH(COLUMNS($AM$1006:BI1006),$AM$1006:$BM$1006,0)), HYPERLINK("#",""), HYPERLINK(CONCATENATE("#metadata!", ADDRESS(INDEX($AH$2:$AH$1001,MATCH(ROWS($AF$2:AF659),$AF$2:$AF$1001,0),0), INDEX($AM$1004:$BM$1004,1,MATCH(COLUMNS($AM$1006:BI1006),$AM$1006:$BM$1006,0)))),"Fix")))</f>
        <v xml:space="preserve"> </v>
      </c>
      <c r="Y659" s="4" t="str">
        <f ca="1">IF(OR(INDEX($AG$2:$AG$1001,MATCH(ROWS($AF$2:AF659),$AF$2:$AF$1001,0),1)&gt;=100000,INDEX($AM$1005:$BM$1005,1,MATCH(COLUMNS($AM$1006:BJ1006),$AM$1006:$BM$1006,0))&gt;=100000), " ",IF(INDEX($AM$2:$BM$1001,MATCH(ROWS($AF$2:AF659),$AF$2:$AF$1001,0),MATCH(COLUMNS($AM$1006:BJ1006),$AM$1006:$BM$1006,0)), HYPERLINK("#",""), HYPERLINK(CONCATENATE("#metadata!", ADDRESS(INDEX($AH$2:$AH$1001,MATCH(ROWS($AF$2:AF659),$AF$2:$AF$1001,0),0), INDEX($AM$1004:$BM$1004,1,MATCH(COLUMNS($AM$1006:BJ1006),$AM$1006:$BM$1006,0)))),"Fix")))</f>
        <v xml:space="preserve"> </v>
      </c>
      <c r="Z659" s="4" t="str">
        <f ca="1">IF(OR(INDEX($AG$2:$AG$1001,MATCH(ROWS($AF$2:AF659),$AF$2:$AF$1001,0),1)&gt;=100000,INDEX($AM$1005:$BM$1005,1,MATCH(COLUMNS($AM$1006:BK1006),$AM$1006:$BM$1006,0))&gt;=100000), " ",IF(INDEX($AM$2:$BM$1001,MATCH(ROWS($AF$2:AF659),$AF$2:$AF$1001,0),MATCH(COLUMNS($AM$1006:BK1006),$AM$1006:$BM$1006,0)), HYPERLINK("#",""), HYPERLINK(CONCATENATE("#metadata!", ADDRESS(INDEX($AH$2:$AH$1001,MATCH(ROWS($AF$2:AF659),$AF$2:$AF$1001,0),0), INDEX($AM$1004:$BM$1004,1,MATCH(COLUMNS($AM$1006:BK1006),$AM$1006:$BM$1006,0)))),"Fix")))</f>
        <v xml:space="preserve"> </v>
      </c>
      <c r="AA659" s="4" t="str">
        <f ca="1">IF(OR(INDEX($AG$2:$AG$1001,MATCH(ROWS($AF$2:AF659),$AF$2:$AF$1001,0),1)&gt;=100000,INDEX($AM$1005:$BM$1005,1,MATCH(COLUMNS($AM$1006:BL1006),$AM$1006:$BM$1006,0))&gt;=100000), " ",IF(INDEX($AM$2:$BM$1001,MATCH(ROWS($AF$2:AF659),$AF$2:$AF$1001,0),MATCH(COLUMNS($AM$1006:BL1006),$AM$1006:$BM$1006,0)), HYPERLINK("#",""), HYPERLINK(CONCATENATE("#metadata!", ADDRESS(INDEX($AH$2:$AH$1001,MATCH(ROWS($AF$2:AF659),$AF$2:$AF$1001,0),0), INDEX($AM$1004:$BM$1004,1,MATCH(COLUMNS($AM$1006:BL1006),$AM$1006:$BM$1006,0)))),"Fix")))</f>
        <v xml:space="preserve"> </v>
      </c>
      <c r="AB659" s="4" t="str">
        <f ca="1">IF(OR(INDEX($AG$2:$AG$1001,MATCH(ROWS($AF$2:AF659),$AF$2:$AF$1001,0),1)&gt;=100000,INDEX($AM$1005:$BM$1005,1,MATCH(COLUMNS($AM$1006:BM1006),$AM$1006:$BM$1006,0))&gt;=100000), " ",IF(INDEX($AM$2:$BM$1001,MATCH(ROWS($AF$2:AF659),$AF$2:$AF$1001,0),MATCH(COLUMNS($AM$1006:BM1006),$AM$1006:$BM$1006,0)), HYPERLINK("#",""), HYPERLINK(CONCATENATE("#metadata!", ADDRESS(INDEX($AH$2:$AH$1001,MATCH(ROWS($AF$2:AF659),$AF$2:$AF$1001,0),0), INDEX($AM$1004:$BM$1004,1,MATCH(COLUMNS($AM$1006:BM1006),$AM$1006:$BM$1006,0)))),"Fix")))</f>
        <v xml:space="preserve"> </v>
      </c>
      <c r="AF659">
        <v>658</v>
      </c>
      <c r="AG659">
        <v>100659</v>
      </c>
      <c r="AH659">
        <v>659</v>
      </c>
      <c r="AI659" t="b">
        <f t="shared" si="10"/>
        <v>1</v>
      </c>
      <c r="AJ659" t="b">
        <f>COUNTBLANK(metadata!B659:AB659)=COLUMNS(metadata!B659:AB659)</f>
        <v>1</v>
      </c>
      <c r="AK659" t="str">
        <v/>
      </c>
      <c r="AM659" t="b">
        <f ca="1">AND(IF(metadata!B659="",FALSE,TRUE),COUNTIF(metadata!B:B, metadata!B659) = 1,NOT(ISERROR(SUMPRODUCT(SEARCH(MID(metadata!B659,ROW(INDIRECT("1:"&amp;LEN(metadata!B659))), 1),"0123456789abcdefghijklmnopqrstuvwxyzABCDEFGHIJKLMNOPQRSTUVWXYZ.")))))</f>
        <v>0</v>
      </c>
      <c r="AN659" t="b">
        <f ca="1">OR(AND(IF(metadata!C659="",FALSE,TRUE),OR(EXACT(metadata!C659,"missing: not collected"),EXACT(metadata!C659,"missing: not provided"),EXACT(metadata!C659,"missing: restricted access"))),AND(IF(metadata!C659="",FALSE,TRUE),AND(AND(IFERROR(INT(LEFT(metadata!C659,4))&gt;1900,FALSE),IFERROR(INT(LEFT(metadata!C659,4))&lt;=YEAR(NOW()),FALSE)), OR(MID(metadata!C659,5,1)="", AND(AND(MID(metadata!C659,5,1)="-",IFERROR(INT(MID(metadata!C659,6,1))&gt;=0,FALSE),IFERROR(INT(MID(metadata!C659,6,1))&lt;=1,FALSE),NOT(MID(metadata!C659,7,1)=""),IFERROR(INT(MID(metadata!C659,6,2))&gt;=1,FALSE),IFERROR(INT(MID(metadata!C659,6,2))&lt;=12,FALSE)), OR(MID(metadata!C659,8,1)="", AND(AND(MID(metadata!C659,8,1)="-",IFERROR(INT(MID(metadata!C659,9,1))&gt;=0,FALSE),IFERROR(INT(MID(metadata!C659,9,1))&lt;=3,FALSE),NOT(MID(metadata!C659,10,1)=""),IFERROR(INT(MID(metadata!C659,9,2))&gt;=1,FALSE),IFERROR(INT(MID(metadata!C659,9,2))&lt;=31,FALSE)), OR(MID(metadata!C659,11,1)="", AND(AND(MID(metadata!C659,11,1)=" ",IFERROR(INT(MID(metadata!C659,12,1))&gt;=0,FALSE),IFERROR(INT(MID(metadata!C659,12,1))&lt;=2,FALSE),NOT(MID(metadata!C659,13,1)=""),IFERROR(INT(MID(metadata!C659,12,2))&gt;=0,FALSE),IFERROR(INT(MID(metadata!C659,12,2))&lt;=23,FALSE)), OR(MID(metadata!C659,14,1)="", AND(AND(MID(metadata!C659,14,1)=":",IFERROR(INT(MID(metadata!C659,15,1))&gt;=0,FALSE),IFERROR(INT(MID(metadata!C659,15,1))&lt;=5,FALSE),NOT(MID(metadata!C659,16,1)=""),IFERROR(INT(MID(metadata!C659,15,2))&gt;=0,FALSE),IFERROR(INT(MID(metadata!C659,15,2))&lt;=59,FALSE)), OR(MID(metadata!C659,17,1)="", AND(AND(MID(metadata!C659,17,1)=":",IFERROR(INT(MID(metadata!C659,18,1))&gt;=0,FALSE),IFERROR(INT(MID(metadata!C659,18,1))&lt;=5,FALSE),NOT(MID(metadata!C659,19,1)=""),IFERROR(INT(MID(metadata!C659,18,2))&gt;=0,FALSE),IFERROR(INT(MID(metadata!C659,18,2))&lt;=59,FALSE)), LEN(metadata!C659)&lt;=19)))))))))))))</f>
        <v>0</v>
      </c>
      <c r="AO659" t="b">
        <f>AND(IF(metadata!D659="",FALSE,TRUE),EXACT(metadata!D659,"Not applicable"))</f>
        <v>0</v>
      </c>
      <c r="AP659" t="b">
        <f>IF(metadata!E659="",FALSE,TRUE)</f>
        <v>0</v>
      </c>
      <c r="AQ659" t="b">
        <f>OR(AND(IF(metadata!F659="",FALSE,TRUE),OR(EXACT(metadata!F659,"missing: not collected"),EXACT(metadata!F659,"missing: not provided"))),AND(IF(metadata!F659="",FALSE,TRUE),OR(EXACT(metadata!F659,"TRUE"),EXACT(metadata!F659,"FALSE"))))</f>
        <v>0</v>
      </c>
      <c r="AR659" t="b">
        <f>OR(AND(IF(metadata!G659="",FALSE,TRUE),OR(EXACT(metadata!G659,"missing: not collected"),EXACT(metadata!G659,"missing: not provided"),EXACT(metadata!G659,"missing: restricted access"))),AND(IF(metadata!G659="",FALSE,ISNUMBER(VALUE(metadata!G659))),metadata!G659&gt;=-413))</f>
        <v>0</v>
      </c>
      <c r="AS659" t="b">
        <f>AND(IF(metadata!H659="",FALSE,TRUE),EXACT(metadata!H659,"meters"))</f>
        <v>0</v>
      </c>
      <c r="AT659" t="b">
        <f>AND(IF(metadata!I659="",FALSE,TRUE),OR(EXACT(metadata!I659,"Host-associated"),EXACT(metadata!I659,"Free-living")))</f>
        <v>0</v>
      </c>
      <c r="AU659" t="b">
        <f>AND(IF(metadata!J659="",FALSE,TRUE),OR(EXACT(metadata!J659,"Animal"),EXACT(metadata!J659,"Fungus"),EXACT(metadata!J659,"Plant"),EXACT(metadata!J659,"Saline"),EXACT(metadata!J659,"Non-saline")))</f>
        <v>0</v>
      </c>
      <c r="AV659" t="b">
        <f>AND(IF(metadata!K659="",FALSE,TRUE),OR(EXACT(metadata!K659,"Plant secretion"),EXACT(metadata!K659,"Plant rhizosphere"),EXACT(metadata!K659,"Plant surface"),EXACT(metadata!K659,"Plant corpus"),EXACT(metadata!K659,"Fungus surface"),EXACT(metadata!K659,"Fungus corpus"),EXACT(metadata!K659,"Animal surface"),EXACT(metadata!K659,"Animal proximal gut"),EXACT(metadata!K659,"Animal corpus"),EXACT(metadata!K659,"Animal distal gut"),EXACT(metadata!K659,"Animal secretion"),EXACT(metadata!K659,"Sub-surface (non-saline)"),EXACT(metadata!K659,"Surface (non-saline)"),EXACT(metadata!K659,"Water (non-saline)"),EXACT(metadata!K659,"Soil (non-saline)"),EXACT(metadata!K659,"Aerosol (non-saline)"),EXACT(metadata!K659,"Sediment (non-saline)"),EXACT(metadata!K659,"Surface (saline)"),EXACT(metadata!K659,"Water (saline)"),EXACT(metadata!K659,"Hypersaline (saline)"),EXACT(metadata!K659,"Aerosol (saline)"),EXACT(metadata!K659,"Sediment (saline)")))</f>
        <v>0</v>
      </c>
      <c r="AW659" t="b">
        <f>IF(metadata!L659="",FALSE,TRUE)</f>
        <v>0</v>
      </c>
      <c r="AX659" t="b">
        <f>IF(metadata!M659="",FALSE,TRUE)</f>
        <v>0</v>
      </c>
      <c r="AY659" t="b">
        <f>IF(metadata!N659="",FALSE,TRUE)</f>
        <v>0</v>
      </c>
      <c r="AZ659" t="b">
        <f>OR(AND(IF(metadata!O659="",FALSE,TRUE),OR(EXACT(metadata!O659,"missing: not collected"),EXACT(metadata!O659,"missing: not provided"),EXACT(metadata!O659,"missing: restricted access"))),AND(IF(metadata!O659="",FALSE,TRUE),OR(EXACT(metadata!O659,"air"),EXACT(metadata!O659,"built environment"),EXACT(metadata!O659,"host-associated"),EXACT(metadata!O659,"human-associated"),EXACT(metadata!O659,"human-skin"),EXACT(metadata!O659,"human-oral"),EXACT(metadata!O659,"human-gut"),EXACT(metadata!O659,"human-vaginal"),EXACT(metadata!O659,"microbial mat/biofilm"),EXACT(metadata!O659,"misc environment"),EXACT(metadata!O659,"plant-associated"),EXACT(metadata!O659,"sediment"),EXACT(metadata!O659,"soil"),EXACT(metadata!O659,"wastewater/sludge"),EXACT(metadata!O659,"water"))))</f>
        <v>0</v>
      </c>
      <c r="BA659" t="b">
        <f>IF(metadata!P659="",FALSE,TRUE)</f>
        <v>0</v>
      </c>
      <c r="BB659" t="b">
        <f>IF(metadata!Q659="",FALSE,TRUE)</f>
        <v>0</v>
      </c>
      <c r="BC659" t="b">
        <f>OR(AND(IF(metadata!R659="",FALSE,TRUE),OR(EXACT(metadata!R659,"missing: not collected"),EXACT(metadata!R659,"missing: not provided"),EXACT(metadata!R659,"missing: restricted access"))),AND(IF(metadata!R659="",FALSE,ISNUMBER(VALUE(metadata!R659))),metadata!R659&gt;=-90,metadata!R659&lt;=90))</f>
        <v>0</v>
      </c>
      <c r="BD659" t="b">
        <f>AND(IF(metadata!S659="",FALSE,TRUE),EXACT(metadata!S659,"Decimal degrees"))</f>
        <v>0</v>
      </c>
      <c r="BE659" t="b">
        <f>OR(AND(IF(metadata!T659="",FALSE,TRUE),OR(EXACT(metadata!T659,"missing: not collected"),EXACT(metadata!T659,"missing: not provided"),EXACT(metadata!T659,"missing: restricted access"))),AND(IF(metadata!T659="",FALSE,ISNUMBER(VALUE(metadata!T659))),metadata!T659&gt;=-180,metadata!T659&lt;=180))</f>
        <v>0</v>
      </c>
      <c r="BF659" t="b">
        <f>AND(IF(metadata!U659="",FALSE,TRUE),EXACT(metadata!U659,"Decimal degrees"))</f>
        <v>0</v>
      </c>
      <c r="BG659" t="b">
        <f>IF(metadata!V659="",FALSE,TRUE)</f>
        <v>0</v>
      </c>
      <c r="BH659" t="b">
        <f>OR(AND(IF(metadata!W659="",FALSE,TRUE),OR(EXACT(metadata!W659,"missing: not collected"),EXACT(metadata!W659,"missing: not provided"),EXACT(metadata!W659,"missing: restricted access"))),AND(IF(metadata!W659="",FALSE,TRUE),OR(EXACT(metadata!W659,"TRUE"),EXACT(metadata!W659,"FALSE"))))</f>
        <v>0</v>
      </c>
      <c r="BI659" t="b">
        <f>AND(IF(metadata!X659="",FALSE,TRUE),EXACT(metadata!X659,"other"))</f>
        <v>0</v>
      </c>
      <c r="BJ659" t="b">
        <f>IF(metadata!Y659="",FALSE,TRUE)</f>
        <v>0</v>
      </c>
      <c r="BK659" t="b">
        <f>OR(AND(IF(metadata!Z659="",FALSE,TRUE),OR(EXACT(metadata!Z659,"missing: not collected"),EXACT(metadata!Z659,"missing: not provided"))),AND(IF(metadata!Z659="",FALSE,IF(ISERROR(INT(metadata!Z659)),FALSE,INT(metadata!Z659)=metadata!Z659)),metadata!Z659&gt;0))</f>
        <v>0</v>
      </c>
      <c r="BL659" t="b">
        <f>AND(IF(metadata!AA659="",FALSE,TRUE),EXACT(metadata!AA659,"Not applicable"))</f>
        <v>0</v>
      </c>
      <c r="BM659" t="b">
        <f>IF(metadata!AB659="",FALSE,TRUE)</f>
        <v>0</v>
      </c>
    </row>
    <row r="660" spans="1:65" x14ac:dyDescent="0.2">
      <c r="A660" s="5" t="str">
        <f ca="1">IF(B660=" "," ",HYPERLINK(CONCATENATE("#metadata!",ADDRESS(INDEX($AH$2:$AH$1001,MATCH(ROWS($AF$2:AF660),$AF$2:$AF$1001,0),0),1)),INDEX($AK$2:$AK$1001,MATCH(ROWS($AF$2:AF660),$AF$2:$AF$1001,0),0)))</f>
        <v xml:space="preserve"> </v>
      </c>
      <c r="B660" s="4" t="str">
        <f ca="1">IF(OR(INDEX($AG$2:$AG$1001,MATCH(ROWS($AF$2:AF660),$AF$2:$AF$1001,0),1)&gt;=100000,INDEX($AM$1005:$BM$1005,1,MATCH(COLUMNS($AM$1006:AM1006),$AM$1006:$BM$1006,0))&gt;=100000), " ",IF(INDEX($AM$2:$BM$1001,MATCH(ROWS($AF$2:AF660),$AF$2:$AF$1001,0),MATCH(COLUMNS($AM$1006:AM1006),$AM$1006:$BM$1006,0)), HYPERLINK("#",""), HYPERLINK(CONCATENATE("#metadata!", ADDRESS(INDEX($AH$2:$AH$1001,MATCH(ROWS($AF$2:AF660),$AF$2:$AF$1001,0),0), INDEX($AM$1004:$BM$1004,1,MATCH(COLUMNS($AM$1006:AM1006),$AM$1006:$BM$1006,0)))),"Fix")))</f>
        <v xml:space="preserve"> </v>
      </c>
      <c r="C660" s="4" t="str">
        <f ca="1">IF(OR(INDEX($AG$2:$AG$1001,MATCH(ROWS($AF$2:AF660),$AF$2:$AF$1001,0),1)&gt;=100000,INDEX($AM$1005:$BM$1005,1,MATCH(COLUMNS($AM$1006:AN1006),$AM$1006:$BM$1006,0))&gt;=100000), " ",IF(INDEX($AM$2:$BM$1001,MATCH(ROWS($AF$2:AF660),$AF$2:$AF$1001,0),MATCH(COLUMNS($AM$1006:AN1006),$AM$1006:$BM$1006,0)), HYPERLINK("#",""), HYPERLINK(CONCATENATE("#metadata!", ADDRESS(INDEX($AH$2:$AH$1001,MATCH(ROWS($AF$2:AF660),$AF$2:$AF$1001,0),0), INDEX($AM$1004:$BM$1004,1,MATCH(COLUMNS($AM$1006:AN1006),$AM$1006:$BM$1006,0)))),"Fix")))</f>
        <v xml:space="preserve"> </v>
      </c>
      <c r="D660" s="4" t="str">
        <f ca="1">IF(OR(INDEX($AG$2:$AG$1001,MATCH(ROWS($AF$2:AF660),$AF$2:$AF$1001,0),1)&gt;=100000,INDEX($AM$1005:$BM$1005,1,MATCH(COLUMNS($AM$1006:AO1006),$AM$1006:$BM$1006,0))&gt;=100000), " ",IF(INDEX($AM$2:$BM$1001,MATCH(ROWS($AF$2:AF660),$AF$2:$AF$1001,0),MATCH(COLUMNS($AM$1006:AO1006),$AM$1006:$BM$1006,0)), HYPERLINK("#",""), HYPERLINK(CONCATENATE("#metadata!", ADDRESS(INDEX($AH$2:$AH$1001,MATCH(ROWS($AF$2:AF660),$AF$2:$AF$1001,0),0), INDEX($AM$1004:$BM$1004,1,MATCH(COLUMNS($AM$1006:AO1006),$AM$1006:$BM$1006,0)))),"Fix")))</f>
        <v xml:space="preserve"> </v>
      </c>
      <c r="E660" s="4" t="str">
        <f ca="1">IF(OR(INDEX($AG$2:$AG$1001,MATCH(ROWS($AF$2:AF660),$AF$2:$AF$1001,0),1)&gt;=100000,INDEX($AM$1005:$BM$1005,1,MATCH(COLUMNS($AM$1006:AP1006),$AM$1006:$BM$1006,0))&gt;=100000), " ",IF(INDEX($AM$2:$BM$1001,MATCH(ROWS($AF$2:AF660),$AF$2:$AF$1001,0),MATCH(COLUMNS($AM$1006:AP1006),$AM$1006:$BM$1006,0)), HYPERLINK("#",""), HYPERLINK(CONCATENATE("#metadata!", ADDRESS(INDEX($AH$2:$AH$1001,MATCH(ROWS($AF$2:AF660),$AF$2:$AF$1001,0),0), INDEX($AM$1004:$BM$1004,1,MATCH(COLUMNS($AM$1006:AP1006),$AM$1006:$BM$1006,0)))),"Fix")))</f>
        <v xml:space="preserve"> </v>
      </c>
      <c r="F660" s="4" t="str">
        <f ca="1">IF(OR(INDEX($AG$2:$AG$1001,MATCH(ROWS($AF$2:AF660),$AF$2:$AF$1001,0),1)&gt;=100000,INDEX($AM$1005:$BM$1005,1,MATCH(COLUMNS($AM$1006:AQ1006),$AM$1006:$BM$1006,0))&gt;=100000), " ",IF(INDEX($AM$2:$BM$1001,MATCH(ROWS($AF$2:AF660),$AF$2:$AF$1001,0),MATCH(COLUMNS($AM$1006:AQ1006),$AM$1006:$BM$1006,0)), HYPERLINK("#",""), HYPERLINK(CONCATENATE("#metadata!", ADDRESS(INDEX($AH$2:$AH$1001,MATCH(ROWS($AF$2:AF660),$AF$2:$AF$1001,0),0), INDEX($AM$1004:$BM$1004,1,MATCH(COLUMNS($AM$1006:AQ1006),$AM$1006:$BM$1006,0)))),"Fix")))</f>
        <v xml:space="preserve"> </v>
      </c>
      <c r="G660" s="4" t="str">
        <f ca="1">IF(OR(INDEX($AG$2:$AG$1001,MATCH(ROWS($AF$2:AF660),$AF$2:$AF$1001,0),1)&gt;=100000,INDEX($AM$1005:$BM$1005,1,MATCH(COLUMNS($AM$1006:AR1006),$AM$1006:$BM$1006,0))&gt;=100000), " ",IF(INDEX($AM$2:$BM$1001,MATCH(ROWS($AF$2:AF660),$AF$2:$AF$1001,0),MATCH(COLUMNS($AM$1006:AR1006),$AM$1006:$BM$1006,0)), HYPERLINK("#",""), HYPERLINK(CONCATENATE("#metadata!", ADDRESS(INDEX($AH$2:$AH$1001,MATCH(ROWS($AF$2:AF660),$AF$2:$AF$1001,0),0), INDEX($AM$1004:$BM$1004,1,MATCH(COLUMNS($AM$1006:AR1006),$AM$1006:$BM$1006,0)))),"Fix")))</f>
        <v xml:space="preserve"> </v>
      </c>
      <c r="H660" s="4" t="str">
        <f ca="1">IF(OR(INDEX($AG$2:$AG$1001,MATCH(ROWS($AF$2:AF660),$AF$2:$AF$1001,0),1)&gt;=100000,INDEX($AM$1005:$BM$1005,1,MATCH(COLUMNS($AM$1006:AS1006),$AM$1006:$BM$1006,0))&gt;=100000), " ",IF(INDEX($AM$2:$BM$1001,MATCH(ROWS($AF$2:AF660),$AF$2:$AF$1001,0),MATCH(COLUMNS($AM$1006:AS1006),$AM$1006:$BM$1006,0)), HYPERLINK("#",""), HYPERLINK(CONCATENATE("#metadata!", ADDRESS(INDEX($AH$2:$AH$1001,MATCH(ROWS($AF$2:AF660),$AF$2:$AF$1001,0),0), INDEX($AM$1004:$BM$1004,1,MATCH(COLUMNS($AM$1006:AS1006),$AM$1006:$BM$1006,0)))),"Fix")))</f>
        <v xml:space="preserve"> </v>
      </c>
      <c r="I660" s="4" t="str">
        <f ca="1">IF(OR(INDEX($AG$2:$AG$1001,MATCH(ROWS($AF$2:AF660),$AF$2:$AF$1001,0),1)&gt;=100000,INDEX($AM$1005:$BM$1005,1,MATCH(COLUMNS($AM$1006:AT1006),$AM$1006:$BM$1006,0))&gt;=100000), " ",IF(INDEX($AM$2:$BM$1001,MATCH(ROWS($AF$2:AF660),$AF$2:$AF$1001,0),MATCH(COLUMNS($AM$1006:AT1006),$AM$1006:$BM$1006,0)), HYPERLINK("#",""), HYPERLINK(CONCATENATE("#metadata!", ADDRESS(INDEX($AH$2:$AH$1001,MATCH(ROWS($AF$2:AF660),$AF$2:$AF$1001,0),0), INDEX($AM$1004:$BM$1004,1,MATCH(COLUMNS($AM$1006:AT1006),$AM$1006:$BM$1006,0)))),"Fix")))</f>
        <v xml:space="preserve"> </v>
      </c>
      <c r="J660" s="4" t="str">
        <f ca="1">IF(OR(INDEX($AG$2:$AG$1001,MATCH(ROWS($AF$2:AF660),$AF$2:$AF$1001,0),1)&gt;=100000,INDEX($AM$1005:$BM$1005,1,MATCH(COLUMNS($AM$1006:AU1006),$AM$1006:$BM$1006,0))&gt;=100000), " ",IF(INDEX($AM$2:$BM$1001,MATCH(ROWS($AF$2:AF660),$AF$2:$AF$1001,0),MATCH(COLUMNS($AM$1006:AU1006),$AM$1006:$BM$1006,0)), HYPERLINK("#",""), HYPERLINK(CONCATENATE("#metadata!", ADDRESS(INDEX($AH$2:$AH$1001,MATCH(ROWS($AF$2:AF660),$AF$2:$AF$1001,0),0), INDEX($AM$1004:$BM$1004,1,MATCH(COLUMNS($AM$1006:AU1006),$AM$1006:$BM$1006,0)))),"Fix")))</f>
        <v xml:space="preserve"> </v>
      </c>
      <c r="K660" s="4" t="str">
        <f ca="1">IF(OR(INDEX($AG$2:$AG$1001,MATCH(ROWS($AF$2:AF660),$AF$2:$AF$1001,0),1)&gt;=100000,INDEX($AM$1005:$BM$1005,1,MATCH(COLUMNS($AM$1006:AV1006),$AM$1006:$BM$1006,0))&gt;=100000), " ",IF(INDEX($AM$2:$BM$1001,MATCH(ROWS($AF$2:AF660),$AF$2:$AF$1001,0),MATCH(COLUMNS($AM$1006:AV1006),$AM$1006:$BM$1006,0)), HYPERLINK("#",""), HYPERLINK(CONCATENATE("#metadata!", ADDRESS(INDEX($AH$2:$AH$1001,MATCH(ROWS($AF$2:AF660),$AF$2:$AF$1001,0),0), INDEX($AM$1004:$BM$1004,1,MATCH(COLUMNS($AM$1006:AV1006),$AM$1006:$BM$1006,0)))),"Fix")))</f>
        <v xml:space="preserve"> </v>
      </c>
      <c r="L660" s="4" t="str">
        <f ca="1">IF(OR(INDEX($AG$2:$AG$1001,MATCH(ROWS($AF$2:AF660),$AF$2:$AF$1001,0),1)&gt;=100000,INDEX($AM$1005:$BM$1005,1,MATCH(COLUMNS($AM$1006:AW1006),$AM$1006:$BM$1006,0))&gt;=100000), " ",IF(INDEX($AM$2:$BM$1001,MATCH(ROWS($AF$2:AF660),$AF$2:$AF$1001,0),MATCH(COLUMNS($AM$1006:AW1006),$AM$1006:$BM$1006,0)), HYPERLINK("#",""), HYPERLINK(CONCATENATE("#metadata!", ADDRESS(INDEX($AH$2:$AH$1001,MATCH(ROWS($AF$2:AF660),$AF$2:$AF$1001,0),0), INDEX($AM$1004:$BM$1004,1,MATCH(COLUMNS($AM$1006:AW1006),$AM$1006:$BM$1006,0)))),"Fix")))</f>
        <v xml:space="preserve"> </v>
      </c>
      <c r="M660" s="4" t="str">
        <f ca="1">IF(OR(INDEX($AG$2:$AG$1001,MATCH(ROWS($AF$2:AF660),$AF$2:$AF$1001,0),1)&gt;=100000,INDEX($AM$1005:$BM$1005,1,MATCH(COLUMNS($AM$1006:AX1006),$AM$1006:$BM$1006,0))&gt;=100000), " ",IF(INDEX($AM$2:$BM$1001,MATCH(ROWS($AF$2:AF660),$AF$2:$AF$1001,0),MATCH(COLUMNS($AM$1006:AX1006),$AM$1006:$BM$1006,0)), HYPERLINK("#",""), HYPERLINK(CONCATENATE("#metadata!", ADDRESS(INDEX($AH$2:$AH$1001,MATCH(ROWS($AF$2:AF660),$AF$2:$AF$1001,0),0), INDEX($AM$1004:$BM$1004,1,MATCH(COLUMNS($AM$1006:AX1006),$AM$1006:$BM$1006,0)))),"Fix")))</f>
        <v xml:space="preserve"> </v>
      </c>
      <c r="N660" s="4" t="str">
        <f ca="1">IF(OR(INDEX($AG$2:$AG$1001,MATCH(ROWS($AF$2:AF660),$AF$2:$AF$1001,0),1)&gt;=100000,INDEX($AM$1005:$BM$1005,1,MATCH(COLUMNS($AM$1006:AY1006),$AM$1006:$BM$1006,0))&gt;=100000), " ",IF(INDEX($AM$2:$BM$1001,MATCH(ROWS($AF$2:AF660),$AF$2:$AF$1001,0),MATCH(COLUMNS($AM$1006:AY1006),$AM$1006:$BM$1006,0)), HYPERLINK("#",""), HYPERLINK(CONCATENATE("#metadata!", ADDRESS(INDEX($AH$2:$AH$1001,MATCH(ROWS($AF$2:AF660),$AF$2:$AF$1001,0),0), INDEX($AM$1004:$BM$1004,1,MATCH(COLUMNS($AM$1006:AY1006),$AM$1006:$BM$1006,0)))),"Fix")))</f>
        <v xml:space="preserve"> </v>
      </c>
      <c r="O660" s="4" t="str">
        <f ca="1">IF(OR(INDEX($AG$2:$AG$1001,MATCH(ROWS($AF$2:AF660),$AF$2:$AF$1001,0),1)&gt;=100000,INDEX($AM$1005:$BM$1005,1,MATCH(COLUMNS($AM$1006:AZ1006),$AM$1006:$BM$1006,0))&gt;=100000), " ",IF(INDEX($AM$2:$BM$1001,MATCH(ROWS($AF$2:AF660),$AF$2:$AF$1001,0),MATCH(COLUMNS($AM$1006:AZ1006),$AM$1006:$BM$1006,0)), HYPERLINK("#",""), HYPERLINK(CONCATENATE("#metadata!", ADDRESS(INDEX($AH$2:$AH$1001,MATCH(ROWS($AF$2:AF660),$AF$2:$AF$1001,0),0), INDEX($AM$1004:$BM$1004,1,MATCH(COLUMNS($AM$1006:AZ1006),$AM$1006:$BM$1006,0)))),"Fix")))</f>
        <v xml:space="preserve"> </v>
      </c>
      <c r="P660" s="4" t="str">
        <f ca="1">IF(OR(INDEX($AG$2:$AG$1001,MATCH(ROWS($AF$2:AF660),$AF$2:$AF$1001,0),1)&gt;=100000,INDEX($AM$1005:$BM$1005,1,MATCH(COLUMNS($AM$1006:BA1006),$AM$1006:$BM$1006,0))&gt;=100000), " ",IF(INDEX($AM$2:$BM$1001,MATCH(ROWS($AF$2:AF660),$AF$2:$AF$1001,0),MATCH(COLUMNS($AM$1006:BA1006),$AM$1006:$BM$1006,0)), HYPERLINK("#",""), HYPERLINK(CONCATENATE("#metadata!", ADDRESS(INDEX($AH$2:$AH$1001,MATCH(ROWS($AF$2:AF660),$AF$2:$AF$1001,0),0), INDEX($AM$1004:$BM$1004,1,MATCH(COLUMNS($AM$1006:BA1006),$AM$1006:$BM$1006,0)))),"Fix")))</f>
        <v xml:space="preserve"> </v>
      </c>
      <c r="Q660" s="4" t="str">
        <f ca="1">IF(OR(INDEX($AG$2:$AG$1001,MATCH(ROWS($AF$2:AF660),$AF$2:$AF$1001,0),1)&gt;=100000,INDEX($AM$1005:$BM$1005,1,MATCH(COLUMNS($AM$1006:BB1006),$AM$1006:$BM$1006,0))&gt;=100000), " ",IF(INDEX($AM$2:$BM$1001,MATCH(ROWS($AF$2:AF660),$AF$2:$AF$1001,0),MATCH(COLUMNS($AM$1006:BB1006),$AM$1006:$BM$1006,0)), HYPERLINK("#",""), HYPERLINK(CONCATENATE("#metadata!", ADDRESS(INDEX($AH$2:$AH$1001,MATCH(ROWS($AF$2:AF660),$AF$2:$AF$1001,0),0), INDEX($AM$1004:$BM$1004,1,MATCH(COLUMNS($AM$1006:BB1006),$AM$1006:$BM$1006,0)))),"Fix")))</f>
        <v xml:space="preserve"> </v>
      </c>
      <c r="R660" s="4" t="str">
        <f ca="1">IF(OR(INDEX($AG$2:$AG$1001,MATCH(ROWS($AF$2:AF660),$AF$2:$AF$1001,0),1)&gt;=100000,INDEX($AM$1005:$BM$1005,1,MATCH(COLUMNS($AM$1006:BC1006),$AM$1006:$BM$1006,0))&gt;=100000), " ",IF(INDEX($AM$2:$BM$1001,MATCH(ROWS($AF$2:AF660),$AF$2:$AF$1001,0),MATCH(COLUMNS($AM$1006:BC1006),$AM$1006:$BM$1006,0)), HYPERLINK("#",""), HYPERLINK(CONCATENATE("#metadata!", ADDRESS(INDEX($AH$2:$AH$1001,MATCH(ROWS($AF$2:AF660),$AF$2:$AF$1001,0),0), INDEX($AM$1004:$BM$1004,1,MATCH(COLUMNS($AM$1006:BC1006),$AM$1006:$BM$1006,0)))),"Fix")))</f>
        <v xml:space="preserve"> </v>
      </c>
      <c r="S660" s="4" t="str">
        <f ca="1">IF(OR(INDEX($AG$2:$AG$1001,MATCH(ROWS($AF$2:AF660),$AF$2:$AF$1001,0),1)&gt;=100000,INDEX($AM$1005:$BM$1005,1,MATCH(COLUMNS($AM$1006:BD1006),$AM$1006:$BM$1006,0))&gt;=100000), " ",IF(INDEX($AM$2:$BM$1001,MATCH(ROWS($AF$2:AF660),$AF$2:$AF$1001,0),MATCH(COLUMNS($AM$1006:BD1006),$AM$1006:$BM$1006,0)), HYPERLINK("#",""), HYPERLINK(CONCATENATE("#metadata!", ADDRESS(INDEX($AH$2:$AH$1001,MATCH(ROWS($AF$2:AF660),$AF$2:$AF$1001,0),0), INDEX($AM$1004:$BM$1004,1,MATCH(COLUMNS($AM$1006:BD1006),$AM$1006:$BM$1006,0)))),"Fix")))</f>
        <v xml:space="preserve"> </v>
      </c>
      <c r="T660" s="4" t="str">
        <f ca="1">IF(OR(INDEX($AG$2:$AG$1001,MATCH(ROWS($AF$2:AF660),$AF$2:$AF$1001,0),1)&gt;=100000,INDEX($AM$1005:$BM$1005,1,MATCH(COLUMNS($AM$1006:BE1006),$AM$1006:$BM$1006,0))&gt;=100000), " ",IF(INDEX($AM$2:$BM$1001,MATCH(ROWS($AF$2:AF660),$AF$2:$AF$1001,0),MATCH(COLUMNS($AM$1006:BE1006),$AM$1006:$BM$1006,0)), HYPERLINK("#",""), HYPERLINK(CONCATENATE("#metadata!", ADDRESS(INDEX($AH$2:$AH$1001,MATCH(ROWS($AF$2:AF660),$AF$2:$AF$1001,0),0), INDEX($AM$1004:$BM$1004,1,MATCH(COLUMNS($AM$1006:BE1006),$AM$1006:$BM$1006,0)))),"Fix")))</f>
        <v xml:space="preserve"> </v>
      </c>
      <c r="U660" s="4" t="str">
        <f ca="1">IF(OR(INDEX($AG$2:$AG$1001,MATCH(ROWS($AF$2:AF660),$AF$2:$AF$1001,0),1)&gt;=100000,INDEX($AM$1005:$BM$1005,1,MATCH(COLUMNS($AM$1006:BF1006),$AM$1006:$BM$1006,0))&gt;=100000), " ",IF(INDEX($AM$2:$BM$1001,MATCH(ROWS($AF$2:AF660),$AF$2:$AF$1001,0),MATCH(COLUMNS($AM$1006:BF1006),$AM$1006:$BM$1006,0)), HYPERLINK("#",""), HYPERLINK(CONCATENATE("#metadata!", ADDRESS(INDEX($AH$2:$AH$1001,MATCH(ROWS($AF$2:AF660),$AF$2:$AF$1001,0),0), INDEX($AM$1004:$BM$1004,1,MATCH(COLUMNS($AM$1006:BF1006),$AM$1006:$BM$1006,0)))),"Fix")))</f>
        <v xml:space="preserve"> </v>
      </c>
      <c r="V660" s="4" t="str">
        <f ca="1">IF(OR(INDEX($AG$2:$AG$1001,MATCH(ROWS($AF$2:AF660),$AF$2:$AF$1001,0),1)&gt;=100000,INDEX($AM$1005:$BM$1005,1,MATCH(COLUMNS($AM$1006:BG1006),$AM$1006:$BM$1006,0))&gt;=100000), " ",IF(INDEX($AM$2:$BM$1001,MATCH(ROWS($AF$2:AF660),$AF$2:$AF$1001,0),MATCH(COLUMNS($AM$1006:BG1006),$AM$1006:$BM$1006,0)), HYPERLINK("#",""), HYPERLINK(CONCATENATE("#metadata!", ADDRESS(INDEX($AH$2:$AH$1001,MATCH(ROWS($AF$2:AF660),$AF$2:$AF$1001,0),0), INDEX($AM$1004:$BM$1004,1,MATCH(COLUMNS($AM$1006:BG1006),$AM$1006:$BM$1006,0)))),"Fix")))</f>
        <v xml:space="preserve"> </v>
      </c>
      <c r="W660" s="4" t="str">
        <f ca="1">IF(OR(INDEX($AG$2:$AG$1001,MATCH(ROWS($AF$2:AF660),$AF$2:$AF$1001,0),1)&gt;=100000,INDEX($AM$1005:$BM$1005,1,MATCH(COLUMNS($AM$1006:BH1006),$AM$1006:$BM$1006,0))&gt;=100000), " ",IF(INDEX($AM$2:$BM$1001,MATCH(ROWS($AF$2:AF660),$AF$2:$AF$1001,0),MATCH(COLUMNS($AM$1006:BH1006),$AM$1006:$BM$1006,0)), HYPERLINK("#",""), HYPERLINK(CONCATENATE("#metadata!", ADDRESS(INDEX($AH$2:$AH$1001,MATCH(ROWS($AF$2:AF660),$AF$2:$AF$1001,0),0), INDEX($AM$1004:$BM$1004,1,MATCH(COLUMNS($AM$1006:BH1006),$AM$1006:$BM$1006,0)))),"Fix")))</f>
        <v xml:space="preserve"> </v>
      </c>
      <c r="X660" s="4" t="str">
        <f ca="1">IF(OR(INDEX($AG$2:$AG$1001,MATCH(ROWS($AF$2:AF660),$AF$2:$AF$1001,0),1)&gt;=100000,INDEX($AM$1005:$BM$1005,1,MATCH(COLUMNS($AM$1006:BI1006),$AM$1006:$BM$1006,0))&gt;=100000), " ",IF(INDEX($AM$2:$BM$1001,MATCH(ROWS($AF$2:AF660),$AF$2:$AF$1001,0),MATCH(COLUMNS($AM$1006:BI1006),$AM$1006:$BM$1006,0)), HYPERLINK("#",""), HYPERLINK(CONCATENATE("#metadata!", ADDRESS(INDEX($AH$2:$AH$1001,MATCH(ROWS($AF$2:AF660),$AF$2:$AF$1001,0),0), INDEX($AM$1004:$BM$1004,1,MATCH(COLUMNS($AM$1006:BI1006),$AM$1006:$BM$1006,0)))),"Fix")))</f>
        <v xml:space="preserve"> </v>
      </c>
      <c r="Y660" s="4" t="str">
        <f ca="1">IF(OR(INDEX($AG$2:$AG$1001,MATCH(ROWS($AF$2:AF660),$AF$2:$AF$1001,0),1)&gt;=100000,INDEX($AM$1005:$BM$1005,1,MATCH(COLUMNS($AM$1006:BJ1006),$AM$1006:$BM$1006,0))&gt;=100000), " ",IF(INDEX($AM$2:$BM$1001,MATCH(ROWS($AF$2:AF660),$AF$2:$AF$1001,0),MATCH(COLUMNS($AM$1006:BJ1006),$AM$1006:$BM$1006,0)), HYPERLINK("#",""), HYPERLINK(CONCATENATE("#metadata!", ADDRESS(INDEX($AH$2:$AH$1001,MATCH(ROWS($AF$2:AF660),$AF$2:$AF$1001,0),0), INDEX($AM$1004:$BM$1004,1,MATCH(COLUMNS($AM$1006:BJ1006),$AM$1006:$BM$1006,0)))),"Fix")))</f>
        <v xml:space="preserve"> </v>
      </c>
      <c r="Z660" s="4" t="str">
        <f ca="1">IF(OR(INDEX($AG$2:$AG$1001,MATCH(ROWS($AF$2:AF660),$AF$2:$AF$1001,0),1)&gt;=100000,INDEX($AM$1005:$BM$1005,1,MATCH(COLUMNS($AM$1006:BK1006),$AM$1006:$BM$1006,0))&gt;=100000), " ",IF(INDEX($AM$2:$BM$1001,MATCH(ROWS($AF$2:AF660),$AF$2:$AF$1001,0),MATCH(COLUMNS($AM$1006:BK1006),$AM$1006:$BM$1006,0)), HYPERLINK("#",""), HYPERLINK(CONCATENATE("#metadata!", ADDRESS(INDEX($AH$2:$AH$1001,MATCH(ROWS($AF$2:AF660),$AF$2:$AF$1001,0),0), INDEX($AM$1004:$BM$1004,1,MATCH(COLUMNS($AM$1006:BK1006),$AM$1006:$BM$1006,0)))),"Fix")))</f>
        <v xml:space="preserve"> </v>
      </c>
      <c r="AA660" s="4" t="str">
        <f ca="1">IF(OR(INDEX($AG$2:$AG$1001,MATCH(ROWS($AF$2:AF660),$AF$2:$AF$1001,0),1)&gt;=100000,INDEX($AM$1005:$BM$1005,1,MATCH(COLUMNS($AM$1006:BL1006),$AM$1006:$BM$1006,0))&gt;=100000), " ",IF(INDEX($AM$2:$BM$1001,MATCH(ROWS($AF$2:AF660),$AF$2:$AF$1001,0),MATCH(COLUMNS($AM$1006:BL1006),$AM$1006:$BM$1006,0)), HYPERLINK("#",""), HYPERLINK(CONCATENATE("#metadata!", ADDRESS(INDEX($AH$2:$AH$1001,MATCH(ROWS($AF$2:AF660),$AF$2:$AF$1001,0),0), INDEX($AM$1004:$BM$1004,1,MATCH(COLUMNS($AM$1006:BL1006),$AM$1006:$BM$1006,0)))),"Fix")))</f>
        <v xml:space="preserve"> </v>
      </c>
      <c r="AB660" s="4" t="str">
        <f ca="1">IF(OR(INDEX($AG$2:$AG$1001,MATCH(ROWS($AF$2:AF660),$AF$2:$AF$1001,0),1)&gt;=100000,INDEX($AM$1005:$BM$1005,1,MATCH(COLUMNS($AM$1006:BM1006),$AM$1006:$BM$1006,0))&gt;=100000), " ",IF(INDEX($AM$2:$BM$1001,MATCH(ROWS($AF$2:AF660),$AF$2:$AF$1001,0),MATCH(COLUMNS($AM$1006:BM1006),$AM$1006:$BM$1006,0)), HYPERLINK("#",""), HYPERLINK(CONCATENATE("#metadata!", ADDRESS(INDEX($AH$2:$AH$1001,MATCH(ROWS($AF$2:AF660),$AF$2:$AF$1001,0),0), INDEX($AM$1004:$BM$1004,1,MATCH(COLUMNS($AM$1006:BM1006),$AM$1006:$BM$1006,0)))),"Fix")))</f>
        <v xml:space="preserve"> </v>
      </c>
      <c r="AF660">
        <v>659</v>
      </c>
      <c r="AG660">
        <v>100660</v>
      </c>
      <c r="AH660">
        <v>660</v>
      </c>
      <c r="AI660" t="b">
        <f t="shared" si="10"/>
        <v>1</v>
      </c>
      <c r="AJ660" t="b">
        <f>COUNTBLANK(metadata!B660:AB660)=COLUMNS(metadata!B660:AB660)</f>
        <v>1</v>
      </c>
      <c r="AK660" t="str">
        <v/>
      </c>
      <c r="AM660" t="b">
        <f ca="1">AND(IF(metadata!B660="",FALSE,TRUE),COUNTIF(metadata!B:B, metadata!B660) = 1,NOT(ISERROR(SUMPRODUCT(SEARCH(MID(metadata!B660,ROW(INDIRECT("1:"&amp;LEN(metadata!B660))), 1),"0123456789abcdefghijklmnopqrstuvwxyzABCDEFGHIJKLMNOPQRSTUVWXYZ.")))))</f>
        <v>0</v>
      </c>
      <c r="AN660" t="b">
        <f ca="1">OR(AND(IF(metadata!C660="",FALSE,TRUE),OR(EXACT(metadata!C660,"missing: not collected"),EXACT(metadata!C660,"missing: not provided"),EXACT(metadata!C660,"missing: restricted access"))),AND(IF(metadata!C660="",FALSE,TRUE),AND(AND(IFERROR(INT(LEFT(metadata!C660,4))&gt;1900,FALSE),IFERROR(INT(LEFT(metadata!C660,4))&lt;=YEAR(NOW()),FALSE)), OR(MID(metadata!C660,5,1)="", AND(AND(MID(metadata!C660,5,1)="-",IFERROR(INT(MID(metadata!C660,6,1))&gt;=0,FALSE),IFERROR(INT(MID(metadata!C660,6,1))&lt;=1,FALSE),NOT(MID(metadata!C660,7,1)=""),IFERROR(INT(MID(metadata!C660,6,2))&gt;=1,FALSE),IFERROR(INT(MID(metadata!C660,6,2))&lt;=12,FALSE)), OR(MID(metadata!C660,8,1)="", AND(AND(MID(metadata!C660,8,1)="-",IFERROR(INT(MID(metadata!C660,9,1))&gt;=0,FALSE),IFERROR(INT(MID(metadata!C660,9,1))&lt;=3,FALSE),NOT(MID(metadata!C660,10,1)=""),IFERROR(INT(MID(metadata!C660,9,2))&gt;=1,FALSE),IFERROR(INT(MID(metadata!C660,9,2))&lt;=31,FALSE)), OR(MID(metadata!C660,11,1)="", AND(AND(MID(metadata!C660,11,1)=" ",IFERROR(INT(MID(metadata!C660,12,1))&gt;=0,FALSE),IFERROR(INT(MID(metadata!C660,12,1))&lt;=2,FALSE),NOT(MID(metadata!C660,13,1)=""),IFERROR(INT(MID(metadata!C660,12,2))&gt;=0,FALSE),IFERROR(INT(MID(metadata!C660,12,2))&lt;=23,FALSE)), OR(MID(metadata!C660,14,1)="", AND(AND(MID(metadata!C660,14,1)=":",IFERROR(INT(MID(metadata!C660,15,1))&gt;=0,FALSE),IFERROR(INT(MID(metadata!C660,15,1))&lt;=5,FALSE),NOT(MID(metadata!C660,16,1)=""),IFERROR(INT(MID(metadata!C660,15,2))&gt;=0,FALSE),IFERROR(INT(MID(metadata!C660,15,2))&lt;=59,FALSE)), OR(MID(metadata!C660,17,1)="", AND(AND(MID(metadata!C660,17,1)=":",IFERROR(INT(MID(metadata!C660,18,1))&gt;=0,FALSE),IFERROR(INT(MID(metadata!C660,18,1))&lt;=5,FALSE),NOT(MID(metadata!C660,19,1)=""),IFERROR(INT(MID(metadata!C660,18,2))&gt;=0,FALSE),IFERROR(INT(MID(metadata!C660,18,2))&lt;=59,FALSE)), LEN(metadata!C660)&lt;=19)))))))))))))</f>
        <v>0</v>
      </c>
      <c r="AO660" t="b">
        <f>AND(IF(metadata!D660="",FALSE,TRUE),EXACT(metadata!D660,"Not applicable"))</f>
        <v>0</v>
      </c>
      <c r="AP660" t="b">
        <f>IF(metadata!E660="",FALSE,TRUE)</f>
        <v>0</v>
      </c>
      <c r="AQ660" t="b">
        <f>OR(AND(IF(metadata!F660="",FALSE,TRUE),OR(EXACT(metadata!F660,"missing: not collected"),EXACT(metadata!F660,"missing: not provided"))),AND(IF(metadata!F660="",FALSE,TRUE),OR(EXACT(metadata!F660,"TRUE"),EXACT(metadata!F660,"FALSE"))))</f>
        <v>0</v>
      </c>
      <c r="AR660" t="b">
        <f>OR(AND(IF(metadata!G660="",FALSE,TRUE),OR(EXACT(metadata!G660,"missing: not collected"),EXACT(metadata!G660,"missing: not provided"),EXACT(metadata!G660,"missing: restricted access"))),AND(IF(metadata!G660="",FALSE,ISNUMBER(VALUE(metadata!G660))),metadata!G660&gt;=-413))</f>
        <v>0</v>
      </c>
      <c r="AS660" t="b">
        <f>AND(IF(metadata!H660="",FALSE,TRUE),EXACT(metadata!H660,"meters"))</f>
        <v>0</v>
      </c>
      <c r="AT660" t="b">
        <f>AND(IF(metadata!I660="",FALSE,TRUE),OR(EXACT(metadata!I660,"Host-associated"),EXACT(metadata!I660,"Free-living")))</f>
        <v>0</v>
      </c>
      <c r="AU660" t="b">
        <f>AND(IF(metadata!J660="",FALSE,TRUE),OR(EXACT(metadata!J660,"Animal"),EXACT(metadata!J660,"Fungus"),EXACT(metadata!J660,"Plant"),EXACT(metadata!J660,"Saline"),EXACT(metadata!J660,"Non-saline")))</f>
        <v>0</v>
      </c>
      <c r="AV660" t="b">
        <f>AND(IF(metadata!K660="",FALSE,TRUE),OR(EXACT(metadata!K660,"Plant secretion"),EXACT(metadata!K660,"Plant rhizosphere"),EXACT(metadata!K660,"Plant surface"),EXACT(metadata!K660,"Plant corpus"),EXACT(metadata!K660,"Fungus surface"),EXACT(metadata!K660,"Fungus corpus"),EXACT(metadata!K660,"Animal surface"),EXACT(metadata!K660,"Animal proximal gut"),EXACT(metadata!K660,"Animal corpus"),EXACT(metadata!K660,"Animal distal gut"),EXACT(metadata!K660,"Animal secretion"),EXACT(metadata!K660,"Sub-surface (non-saline)"),EXACT(metadata!K660,"Surface (non-saline)"),EXACT(metadata!K660,"Water (non-saline)"),EXACT(metadata!K660,"Soil (non-saline)"),EXACT(metadata!K660,"Aerosol (non-saline)"),EXACT(metadata!K660,"Sediment (non-saline)"),EXACT(metadata!K660,"Surface (saline)"),EXACT(metadata!K660,"Water (saline)"),EXACT(metadata!K660,"Hypersaline (saline)"),EXACT(metadata!K660,"Aerosol (saline)"),EXACT(metadata!K660,"Sediment (saline)")))</f>
        <v>0</v>
      </c>
      <c r="AW660" t="b">
        <f>IF(metadata!L660="",FALSE,TRUE)</f>
        <v>0</v>
      </c>
      <c r="AX660" t="b">
        <f>IF(metadata!M660="",FALSE,TRUE)</f>
        <v>0</v>
      </c>
      <c r="AY660" t="b">
        <f>IF(metadata!N660="",FALSE,TRUE)</f>
        <v>0</v>
      </c>
      <c r="AZ660" t="b">
        <f>OR(AND(IF(metadata!O660="",FALSE,TRUE),OR(EXACT(metadata!O660,"missing: not collected"),EXACT(metadata!O660,"missing: not provided"),EXACT(metadata!O660,"missing: restricted access"))),AND(IF(metadata!O660="",FALSE,TRUE),OR(EXACT(metadata!O660,"air"),EXACT(metadata!O660,"built environment"),EXACT(metadata!O660,"host-associated"),EXACT(metadata!O660,"human-associated"),EXACT(metadata!O660,"human-skin"),EXACT(metadata!O660,"human-oral"),EXACT(metadata!O660,"human-gut"),EXACT(metadata!O660,"human-vaginal"),EXACT(metadata!O660,"microbial mat/biofilm"),EXACT(metadata!O660,"misc environment"),EXACT(metadata!O660,"plant-associated"),EXACT(metadata!O660,"sediment"),EXACT(metadata!O660,"soil"),EXACT(metadata!O660,"wastewater/sludge"),EXACT(metadata!O660,"water"))))</f>
        <v>0</v>
      </c>
      <c r="BA660" t="b">
        <f>IF(metadata!P660="",FALSE,TRUE)</f>
        <v>0</v>
      </c>
      <c r="BB660" t="b">
        <f>IF(metadata!Q660="",FALSE,TRUE)</f>
        <v>0</v>
      </c>
      <c r="BC660" t="b">
        <f>OR(AND(IF(metadata!R660="",FALSE,TRUE),OR(EXACT(metadata!R660,"missing: not collected"),EXACT(metadata!R660,"missing: not provided"),EXACT(metadata!R660,"missing: restricted access"))),AND(IF(metadata!R660="",FALSE,ISNUMBER(VALUE(metadata!R660))),metadata!R660&gt;=-90,metadata!R660&lt;=90))</f>
        <v>0</v>
      </c>
      <c r="BD660" t="b">
        <f>AND(IF(metadata!S660="",FALSE,TRUE),EXACT(metadata!S660,"Decimal degrees"))</f>
        <v>0</v>
      </c>
      <c r="BE660" t="b">
        <f>OR(AND(IF(metadata!T660="",FALSE,TRUE),OR(EXACT(metadata!T660,"missing: not collected"),EXACT(metadata!T660,"missing: not provided"),EXACT(metadata!T660,"missing: restricted access"))),AND(IF(metadata!T660="",FALSE,ISNUMBER(VALUE(metadata!T660))),metadata!T660&gt;=-180,metadata!T660&lt;=180))</f>
        <v>0</v>
      </c>
      <c r="BF660" t="b">
        <f>AND(IF(metadata!U660="",FALSE,TRUE),EXACT(metadata!U660,"Decimal degrees"))</f>
        <v>0</v>
      </c>
      <c r="BG660" t="b">
        <f>IF(metadata!V660="",FALSE,TRUE)</f>
        <v>0</v>
      </c>
      <c r="BH660" t="b">
        <f>OR(AND(IF(metadata!W660="",FALSE,TRUE),OR(EXACT(metadata!W660,"missing: not collected"),EXACT(metadata!W660,"missing: not provided"),EXACT(metadata!W660,"missing: restricted access"))),AND(IF(metadata!W660="",FALSE,TRUE),OR(EXACT(metadata!W660,"TRUE"),EXACT(metadata!W660,"FALSE"))))</f>
        <v>0</v>
      </c>
      <c r="BI660" t="b">
        <f>AND(IF(metadata!X660="",FALSE,TRUE),EXACT(metadata!X660,"other"))</f>
        <v>0</v>
      </c>
      <c r="BJ660" t="b">
        <f>IF(metadata!Y660="",FALSE,TRUE)</f>
        <v>0</v>
      </c>
      <c r="BK660" t="b">
        <f>OR(AND(IF(metadata!Z660="",FALSE,TRUE),OR(EXACT(metadata!Z660,"missing: not collected"),EXACT(metadata!Z660,"missing: not provided"))),AND(IF(metadata!Z660="",FALSE,IF(ISERROR(INT(metadata!Z660)),FALSE,INT(metadata!Z660)=metadata!Z660)),metadata!Z660&gt;0))</f>
        <v>0</v>
      </c>
      <c r="BL660" t="b">
        <f>AND(IF(metadata!AA660="",FALSE,TRUE),EXACT(metadata!AA660,"Not applicable"))</f>
        <v>0</v>
      </c>
      <c r="BM660" t="b">
        <f>IF(metadata!AB660="",FALSE,TRUE)</f>
        <v>0</v>
      </c>
    </row>
    <row r="661" spans="1:65" x14ac:dyDescent="0.2">
      <c r="A661" s="5" t="str">
        <f ca="1">IF(B661=" "," ",HYPERLINK(CONCATENATE("#metadata!",ADDRESS(INDEX($AH$2:$AH$1001,MATCH(ROWS($AF$2:AF661),$AF$2:$AF$1001,0),0),1)),INDEX($AK$2:$AK$1001,MATCH(ROWS($AF$2:AF661),$AF$2:$AF$1001,0),0)))</f>
        <v xml:space="preserve"> </v>
      </c>
      <c r="B661" s="4" t="str">
        <f ca="1">IF(OR(INDEX($AG$2:$AG$1001,MATCH(ROWS($AF$2:AF661),$AF$2:$AF$1001,0),1)&gt;=100000,INDEX($AM$1005:$BM$1005,1,MATCH(COLUMNS($AM$1006:AM1006),$AM$1006:$BM$1006,0))&gt;=100000), " ",IF(INDEX($AM$2:$BM$1001,MATCH(ROWS($AF$2:AF661),$AF$2:$AF$1001,0),MATCH(COLUMNS($AM$1006:AM1006),$AM$1006:$BM$1006,0)), HYPERLINK("#",""), HYPERLINK(CONCATENATE("#metadata!", ADDRESS(INDEX($AH$2:$AH$1001,MATCH(ROWS($AF$2:AF661),$AF$2:$AF$1001,0),0), INDEX($AM$1004:$BM$1004,1,MATCH(COLUMNS($AM$1006:AM1006),$AM$1006:$BM$1006,0)))),"Fix")))</f>
        <v xml:space="preserve"> </v>
      </c>
      <c r="C661" s="4" t="str">
        <f ca="1">IF(OR(INDEX($AG$2:$AG$1001,MATCH(ROWS($AF$2:AF661),$AF$2:$AF$1001,0),1)&gt;=100000,INDEX($AM$1005:$BM$1005,1,MATCH(COLUMNS($AM$1006:AN1006),$AM$1006:$BM$1006,0))&gt;=100000), " ",IF(INDEX($AM$2:$BM$1001,MATCH(ROWS($AF$2:AF661),$AF$2:$AF$1001,0),MATCH(COLUMNS($AM$1006:AN1006),$AM$1006:$BM$1006,0)), HYPERLINK("#",""), HYPERLINK(CONCATENATE("#metadata!", ADDRESS(INDEX($AH$2:$AH$1001,MATCH(ROWS($AF$2:AF661),$AF$2:$AF$1001,0),0), INDEX($AM$1004:$BM$1004,1,MATCH(COLUMNS($AM$1006:AN1006),$AM$1006:$BM$1006,0)))),"Fix")))</f>
        <v xml:space="preserve"> </v>
      </c>
      <c r="D661" s="4" t="str">
        <f ca="1">IF(OR(INDEX($AG$2:$AG$1001,MATCH(ROWS($AF$2:AF661),$AF$2:$AF$1001,0),1)&gt;=100000,INDEX($AM$1005:$BM$1005,1,MATCH(COLUMNS($AM$1006:AO1006),$AM$1006:$BM$1006,0))&gt;=100000), " ",IF(INDEX($AM$2:$BM$1001,MATCH(ROWS($AF$2:AF661),$AF$2:$AF$1001,0),MATCH(COLUMNS($AM$1006:AO1006),$AM$1006:$BM$1006,0)), HYPERLINK("#",""), HYPERLINK(CONCATENATE("#metadata!", ADDRESS(INDEX($AH$2:$AH$1001,MATCH(ROWS($AF$2:AF661),$AF$2:$AF$1001,0),0), INDEX($AM$1004:$BM$1004,1,MATCH(COLUMNS($AM$1006:AO1006),$AM$1006:$BM$1006,0)))),"Fix")))</f>
        <v xml:space="preserve"> </v>
      </c>
      <c r="E661" s="4" t="str">
        <f ca="1">IF(OR(INDEX($AG$2:$AG$1001,MATCH(ROWS($AF$2:AF661),$AF$2:$AF$1001,0),1)&gt;=100000,INDEX($AM$1005:$BM$1005,1,MATCH(COLUMNS($AM$1006:AP1006),$AM$1006:$BM$1006,0))&gt;=100000), " ",IF(INDEX($AM$2:$BM$1001,MATCH(ROWS($AF$2:AF661),$AF$2:$AF$1001,0),MATCH(COLUMNS($AM$1006:AP1006),$AM$1006:$BM$1006,0)), HYPERLINK("#",""), HYPERLINK(CONCATENATE("#metadata!", ADDRESS(INDEX($AH$2:$AH$1001,MATCH(ROWS($AF$2:AF661),$AF$2:$AF$1001,0),0), INDEX($AM$1004:$BM$1004,1,MATCH(COLUMNS($AM$1006:AP1006),$AM$1006:$BM$1006,0)))),"Fix")))</f>
        <v xml:space="preserve"> </v>
      </c>
      <c r="F661" s="4" t="str">
        <f ca="1">IF(OR(INDEX($AG$2:$AG$1001,MATCH(ROWS($AF$2:AF661),$AF$2:$AF$1001,0),1)&gt;=100000,INDEX($AM$1005:$BM$1005,1,MATCH(COLUMNS($AM$1006:AQ1006),$AM$1006:$BM$1006,0))&gt;=100000), " ",IF(INDEX($AM$2:$BM$1001,MATCH(ROWS($AF$2:AF661),$AF$2:$AF$1001,0),MATCH(COLUMNS($AM$1006:AQ1006),$AM$1006:$BM$1006,0)), HYPERLINK("#",""), HYPERLINK(CONCATENATE("#metadata!", ADDRESS(INDEX($AH$2:$AH$1001,MATCH(ROWS($AF$2:AF661),$AF$2:$AF$1001,0),0), INDEX($AM$1004:$BM$1004,1,MATCH(COLUMNS($AM$1006:AQ1006),$AM$1006:$BM$1006,0)))),"Fix")))</f>
        <v xml:space="preserve"> </v>
      </c>
      <c r="G661" s="4" t="str">
        <f ca="1">IF(OR(INDEX($AG$2:$AG$1001,MATCH(ROWS($AF$2:AF661),$AF$2:$AF$1001,0),1)&gt;=100000,INDEX($AM$1005:$BM$1005,1,MATCH(COLUMNS($AM$1006:AR1006),$AM$1006:$BM$1006,0))&gt;=100000), " ",IF(INDEX($AM$2:$BM$1001,MATCH(ROWS($AF$2:AF661),$AF$2:$AF$1001,0),MATCH(COLUMNS($AM$1006:AR1006),$AM$1006:$BM$1006,0)), HYPERLINK("#",""), HYPERLINK(CONCATENATE("#metadata!", ADDRESS(INDEX($AH$2:$AH$1001,MATCH(ROWS($AF$2:AF661),$AF$2:$AF$1001,0),0), INDEX($AM$1004:$BM$1004,1,MATCH(COLUMNS($AM$1006:AR1006),$AM$1006:$BM$1006,0)))),"Fix")))</f>
        <v xml:space="preserve"> </v>
      </c>
      <c r="H661" s="4" t="str">
        <f ca="1">IF(OR(INDEX($AG$2:$AG$1001,MATCH(ROWS($AF$2:AF661),$AF$2:$AF$1001,0),1)&gt;=100000,INDEX($AM$1005:$BM$1005,1,MATCH(COLUMNS($AM$1006:AS1006),$AM$1006:$BM$1006,0))&gt;=100000), " ",IF(INDEX($AM$2:$BM$1001,MATCH(ROWS($AF$2:AF661),$AF$2:$AF$1001,0),MATCH(COLUMNS($AM$1006:AS1006),$AM$1006:$BM$1006,0)), HYPERLINK("#",""), HYPERLINK(CONCATENATE("#metadata!", ADDRESS(INDEX($AH$2:$AH$1001,MATCH(ROWS($AF$2:AF661),$AF$2:$AF$1001,0),0), INDEX($AM$1004:$BM$1004,1,MATCH(COLUMNS($AM$1006:AS1006),$AM$1006:$BM$1006,0)))),"Fix")))</f>
        <v xml:space="preserve"> </v>
      </c>
      <c r="I661" s="4" t="str">
        <f ca="1">IF(OR(INDEX($AG$2:$AG$1001,MATCH(ROWS($AF$2:AF661),$AF$2:$AF$1001,0),1)&gt;=100000,INDEX($AM$1005:$BM$1005,1,MATCH(COLUMNS($AM$1006:AT1006),$AM$1006:$BM$1006,0))&gt;=100000), " ",IF(INDEX($AM$2:$BM$1001,MATCH(ROWS($AF$2:AF661),$AF$2:$AF$1001,0),MATCH(COLUMNS($AM$1006:AT1006),$AM$1006:$BM$1006,0)), HYPERLINK("#",""), HYPERLINK(CONCATENATE("#metadata!", ADDRESS(INDEX($AH$2:$AH$1001,MATCH(ROWS($AF$2:AF661),$AF$2:$AF$1001,0),0), INDEX($AM$1004:$BM$1004,1,MATCH(COLUMNS($AM$1006:AT1006),$AM$1006:$BM$1006,0)))),"Fix")))</f>
        <v xml:space="preserve"> </v>
      </c>
      <c r="J661" s="4" t="str">
        <f ca="1">IF(OR(INDEX($AG$2:$AG$1001,MATCH(ROWS($AF$2:AF661),$AF$2:$AF$1001,0),1)&gt;=100000,INDEX($AM$1005:$BM$1005,1,MATCH(COLUMNS($AM$1006:AU1006),$AM$1006:$BM$1006,0))&gt;=100000), " ",IF(INDEX($AM$2:$BM$1001,MATCH(ROWS($AF$2:AF661),$AF$2:$AF$1001,0),MATCH(COLUMNS($AM$1006:AU1006),$AM$1006:$BM$1006,0)), HYPERLINK("#",""), HYPERLINK(CONCATENATE("#metadata!", ADDRESS(INDEX($AH$2:$AH$1001,MATCH(ROWS($AF$2:AF661),$AF$2:$AF$1001,0),0), INDEX($AM$1004:$BM$1004,1,MATCH(COLUMNS($AM$1006:AU1006),$AM$1006:$BM$1006,0)))),"Fix")))</f>
        <v xml:space="preserve"> </v>
      </c>
      <c r="K661" s="4" t="str">
        <f ca="1">IF(OR(INDEX($AG$2:$AG$1001,MATCH(ROWS($AF$2:AF661),$AF$2:$AF$1001,0),1)&gt;=100000,INDEX($AM$1005:$BM$1005,1,MATCH(COLUMNS($AM$1006:AV1006),$AM$1006:$BM$1006,0))&gt;=100000), " ",IF(INDEX($AM$2:$BM$1001,MATCH(ROWS($AF$2:AF661),$AF$2:$AF$1001,0),MATCH(COLUMNS($AM$1006:AV1006),$AM$1006:$BM$1006,0)), HYPERLINK("#",""), HYPERLINK(CONCATENATE("#metadata!", ADDRESS(INDEX($AH$2:$AH$1001,MATCH(ROWS($AF$2:AF661),$AF$2:$AF$1001,0),0), INDEX($AM$1004:$BM$1004,1,MATCH(COLUMNS($AM$1006:AV1006),$AM$1006:$BM$1006,0)))),"Fix")))</f>
        <v xml:space="preserve"> </v>
      </c>
      <c r="L661" s="4" t="str">
        <f ca="1">IF(OR(INDEX($AG$2:$AG$1001,MATCH(ROWS($AF$2:AF661),$AF$2:$AF$1001,0),1)&gt;=100000,INDEX($AM$1005:$BM$1005,1,MATCH(COLUMNS($AM$1006:AW1006),$AM$1006:$BM$1006,0))&gt;=100000), " ",IF(INDEX($AM$2:$BM$1001,MATCH(ROWS($AF$2:AF661),$AF$2:$AF$1001,0),MATCH(COLUMNS($AM$1006:AW1006),$AM$1006:$BM$1006,0)), HYPERLINK("#",""), HYPERLINK(CONCATENATE("#metadata!", ADDRESS(INDEX($AH$2:$AH$1001,MATCH(ROWS($AF$2:AF661),$AF$2:$AF$1001,0),0), INDEX($AM$1004:$BM$1004,1,MATCH(COLUMNS($AM$1006:AW1006),$AM$1006:$BM$1006,0)))),"Fix")))</f>
        <v xml:space="preserve"> </v>
      </c>
      <c r="M661" s="4" t="str">
        <f ca="1">IF(OR(INDEX($AG$2:$AG$1001,MATCH(ROWS($AF$2:AF661),$AF$2:$AF$1001,0),1)&gt;=100000,INDEX($AM$1005:$BM$1005,1,MATCH(COLUMNS($AM$1006:AX1006),$AM$1006:$BM$1006,0))&gt;=100000), " ",IF(INDEX($AM$2:$BM$1001,MATCH(ROWS($AF$2:AF661),$AF$2:$AF$1001,0),MATCH(COLUMNS($AM$1006:AX1006),$AM$1006:$BM$1006,0)), HYPERLINK("#",""), HYPERLINK(CONCATENATE("#metadata!", ADDRESS(INDEX($AH$2:$AH$1001,MATCH(ROWS($AF$2:AF661),$AF$2:$AF$1001,0),0), INDEX($AM$1004:$BM$1004,1,MATCH(COLUMNS($AM$1006:AX1006),$AM$1006:$BM$1006,0)))),"Fix")))</f>
        <v xml:space="preserve"> </v>
      </c>
      <c r="N661" s="4" t="str">
        <f ca="1">IF(OR(INDEX($AG$2:$AG$1001,MATCH(ROWS($AF$2:AF661),$AF$2:$AF$1001,0),1)&gt;=100000,INDEX($AM$1005:$BM$1005,1,MATCH(COLUMNS($AM$1006:AY1006),$AM$1006:$BM$1006,0))&gt;=100000), " ",IF(INDEX($AM$2:$BM$1001,MATCH(ROWS($AF$2:AF661),$AF$2:$AF$1001,0),MATCH(COLUMNS($AM$1006:AY1006),$AM$1006:$BM$1006,0)), HYPERLINK("#",""), HYPERLINK(CONCATENATE("#metadata!", ADDRESS(INDEX($AH$2:$AH$1001,MATCH(ROWS($AF$2:AF661),$AF$2:$AF$1001,0),0), INDEX($AM$1004:$BM$1004,1,MATCH(COLUMNS($AM$1006:AY1006),$AM$1006:$BM$1006,0)))),"Fix")))</f>
        <v xml:space="preserve"> </v>
      </c>
      <c r="O661" s="4" t="str">
        <f ca="1">IF(OR(INDEX($AG$2:$AG$1001,MATCH(ROWS($AF$2:AF661),$AF$2:$AF$1001,0),1)&gt;=100000,INDEX($AM$1005:$BM$1005,1,MATCH(COLUMNS($AM$1006:AZ1006),$AM$1006:$BM$1006,0))&gt;=100000), " ",IF(INDEX($AM$2:$BM$1001,MATCH(ROWS($AF$2:AF661),$AF$2:$AF$1001,0),MATCH(COLUMNS($AM$1006:AZ1006),$AM$1006:$BM$1006,0)), HYPERLINK("#",""), HYPERLINK(CONCATENATE("#metadata!", ADDRESS(INDEX($AH$2:$AH$1001,MATCH(ROWS($AF$2:AF661),$AF$2:$AF$1001,0),0), INDEX($AM$1004:$BM$1004,1,MATCH(COLUMNS($AM$1006:AZ1006),$AM$1006:$BM$1006,0)))),"Fix")))</f>
        <v xml:space="preserve"> </v>
      </c>
      <c r="P661" s="4" t="str">
        <f ca="1">IF(OR(INDEX($AG$2:$AG$1001,MATCH(ROWS($AF$2:AF661),$AF$2:$AF$1001,0),1)&gt;=100000,INDEX($AM$1005:$BM$1005,1,MATCH(COLUMNS($AM$1006:BA1006),$AM$1006:$BM$1006,0))&gt;=100000), " ",IF(INDEX($AM$2:$BM$1001,MATCH(ROWS($AF$2:AF661),$AF$2:$AF$1001,0),MATCH(COLUMNS($AM$1006:BA1006),$AM$1006:$BM$1006,0)), HYPERLINK("#",""), HYPERLINK(CONCATENATE("#metadata!", ADDRESS(INDEX($AH$2:$AH$1001,MATCH(ROWS($AF$2:AF661),$AF$2:$AF$1001,0),0), INDEX($AM$1004:$BM$1004,1,MATCH(COLUMNS($AM$1006:BA1006),$AM$1006:$BM$1006,0)))),"Fix")))</f>
        <v xml:space="preserve"> </v>
      </c>
      <c r="Q661" s="4" t="str">
        <f ca="1">IF(OR(INDEX($AG$2:$AG$1001,MATCH(ROWS($AF$2:AF661),$AF$2:$AF$1001,0),1)&gt;=100000,INDEX($AM$1005:$BM$1005,1,MATCH(COLUMNS($AM$1006:BB1006),$AM$1006:$BM$1006,0))&gt;=100000), " ",IF(INDEX($AM$2:$BM$1001,MATCH(ROWS($AF$2:AF661),$AF$2:$AF$1001,0),MATCH(COLUMNS($AM$1006:BB1006),$AM$1006:$BM$1006,0)), HYPERLINK("#",""), HYPERLINK(CONCATENATE("#metadata!", ADDRESS(INDEX($AH$2:$AH$1001,MATCH(ROWS($AF$2:AF661),$AF$2:$AF$1001,0),0), INDEX($AM$1004:$BM$1004,1,MATCH(COLUMNS($AM$1006:BB1006),$AM$1006:$BM$1006,0)))),"Fix")))</f>
        <v xml:space="preserve"> </v>
      </c>
      <c r="R661" s="4" t="str">
        <f ca="1">IF(OR(INDEX($AG$2:$AG$1001,MATCH(ROWS($AF$2:AF661),$AF$2:$AF$1001,0),1)&gt;=100000,INDEX($AM$1005:$BM$1005,1,MATCH(COLUMNS($AM$1006:BC1006),$AM$1006:$BM$1006,0))&gt;=100000), " ",IF(INDEX($AM$2:$BM$1001,MATCH(ROWS($AF$2:AF661),$AF$2:$AF$1001,0),MATCH(COLUMNS($AM$1006:BC1006),$AM$1006:$BM$1006,0)), HYPERLINK("#",""), HYPERLINK(CONCATENATE("#metadata!", ADDRESS(INDEX($AH$2:$AH$1001,MATCH(ROWS($AF$2:AF661),$AF$2:$AF$1001,0),0), INDEX($AM$1004:$BM$1004,1,MATCH(COLUMNS($AM$1006:BC1006),$AM$1006:$BM$1006,0)))),"Fix")))</f>
        <v xml:space="preserve"> </v>
      </c>
      <c r="S661" s="4" t="str">
        <f ca="1">IF(OR(INDEX($AG$2:$AG$1001,MATCH(ROWS($AF$2:AF661),$AF$2:$AF$1001,0),1)&gt;=100000,INDEX($AM$1005:$BM$1005,1,MATCH(COLUMNS($AM$1006:BD1006),$AM$1006:$BM$1006,0))&gt;=100000), " ",IF(INDEX($AM$2:$BM$1001,MATCH(ROWS($AF$2:AF661),$AF$2:$AF$1001,0),MATCH(COLUMNS($AM$1006:BD1006),$AM$1006:$BM$1006,0)), HYPERLINK("#",""), HYPERLINK(CONCATENATE("#metadata!", ADDRESS(INDEX($AH$2:$AH$1001,MATCH(ROWS($AF$2:AF661),$AF$2:$AF$1001,0),0), INDEX($AM$1004:$BM$1004,1,MATCH(COLUMNS($AM$1006:BD1006),$AM$1006:$BM$1006,0)))),"Fix")))</f>
        <v xml:space="preserve"> </v>
      </c>
      <c r="T661" s="4" t="str">
        <f ca="1">IF(OR(INDEX($AG$2:$AG$1001,MATCH(ROWS($AF$2:AF661),$AF$2:$AF$1001,0),1)&gt;=100000,INDEX($AM$1005:$BM$1005,1,MATCH(COLUMNS($AM$1006:BE1006),$AM$1006:$BM$1006,0))&gt;=100000), " ",IF(INDEX($AM$2:$BM$1001,MATCH(ROWS($AF$2:AF661),$AF$2:$AF$1001,0),MATCH(COLUMNS($AM$1006:BE1006),$AM$1006:$BM$1006,0)), HYPERLINK("#",""), HYPERLINK(CONCATENATE("#metadata!", ADDRESS(INDEX($AH$2:$AH$1001,MATCH(ROWS($AF$2:AF661),$AF$2:$AF$1001,0),0), INDEX($AM$1004:$BM$1004,1,MATCH(COLUMNS($AM$1006:BE1006),$AM$1006:$BM$1006,0)))),"Fix")))</f>
        <v xml:space="preserve"> </v>
      </c>
      <c r="U661" s="4" t="str">
        <f ca="1">IF(OR(INDEX($AG$2:$AG$1001,MATCH(ROWS($AF$2:AF661),$AF$2:$AF$1001,0),1)&gt;=100000,INDEX($AM$1005:$BM$1005,1,MATCH(COLUMNS($AM$1006:BF1006),$AM$1006:$BM$1006,0))&gt;=100000), " ",IF(INDEX($AM$2:$BM$1001,MATCH(ROWS($AF$2:AF661),$AF$2:$AF$1001,0),MATCH(COLUMNS($AM$1006:BF1006),$AM$1006:$BM$1006,0)), HYPERLINK("#",""), HYPERLINK(CONCATENATE("#metadata!", ADDRESS(INDEX($AH$2:$AH$1001,MATCH(ROWS($AF$2:AF661),$AF$2:$AF$1001,0),0), INDEX($AM$1004:$BM$1004,1,MATCH(COLUMNS($AM$1006:BF1006),$AM$1006:$BM$1006,0)))),"Fix")))</f>
        <v xml:space="preserve"> </v>
      </c>
      <c r="V661" s="4" t="str">
        <f ca="1">IF(OR(INDEX($AG$2:$AG$1001,MATCH(ROWS($AF$2:AF661),$AF$2:$AF$1001,0),1)&gt;=100000,INDEX($AM$1005:$BM$1005,1,MATCH(COLUMNS($AM$1006:BG1006),$AM$1006:$BM$1006,0))&gt;=100000), " ",IF(INDEX($AM$2:$BM$1001,MATCH(ROWS($AF$2:AF661),$AF$2:$AF$1001,0),MATCH(COLUMNS($AM$1006:BG1006),$AM$1006:$BM$1006,0)), HYPERLINK("#",""), HYPERLINK(CONCATENATE("#metadata!", ADDRESS(INDEX($AH$2:$AH$1001,MATCH(ROWS($AF$2:AF661),$AF$2:$AF$1001,0),0), INDEX($AM$1004:$BM$1004,1,MATCH(COLUMNS($AM$1006:BG1006),$AM$1006:$BM$1006,0)))),"Fix")))</f>
        <v xml:space="preserve"> </v>
      </c>
      <c r="W661" s="4" t="str">
        <f ca="1">IF(OR(INDEX($AG$2:$AG$1001,MATCH(ROWS($AF$2:AF661),$AF$2:$AF$1001,0),1)&gt;=100000,INDEX($AM$1005:$BM$1005,1,MATCH(COLUMNS($AM$1006:BH1006),$AM$1006:$BM$1006,0))&gt;=100000), " ",IF(INDEX($AM$2:$BM$1001,MATCH(ROWS($AF$2:AF661),$AF$2:$AF$1001,0),MATCH(COLUMNS($AM$1006:BH1006),$AM$1006:$BM$1006,0)), HYPERLINK("#",""), HYPERLINK(CONCATENATE("#metadata!", ADDRESS(INDEX($AH$2:$AH$1001,MATCH(ROWS($AF$2:AF661),$AF$2:$AF$1001,0),0), INDEX($AM$1004:$BM$1004,1,MATCH(COLUMNS($AM$1006:BH1006),$AM$1006:$BM$1006,0)))),"Fix")))</f>
        <v xml:space="preserve"> </v>
      </c>
      <c r="X661" s="4" t="str">
        <f ca="1">IF(OR(INDEX($AG$2:$AG$1001,MATCH(ROWS($AF$2:AF661),$AF$2:$AF$1001,0),1)&gt;=100000,INDEX($AM$1005:$BM$1005,1,MATCH(COLUMNS($AM$1006:BI1006),$AM$1006:$BM$1006,0))&gt;=100000), " ",IF(INDEX($AM$2:$BM$1001,MATCH(ROWS($AF$2:AF661),$AF$2:$AF$1001,0),MATCH(COLUMNS($AM$1006:BI1006),$AM$1006:$BM$1006,0)), HYPERLINK("#",""), HYPERLINK(CONCATENATE("#metadata!", ADDRESS(INDEX($AH$2:$AH$1001,MATCH(ROWS($AF$2:AF661),$AF$2:$AF$1001,0),0), INDEX($AM$1004:$BM$1004,1,MATCH(COLUMNS($AM$1006:BI1006),$AM$1006:$BM$1006,0)))),"Fix")))</f>
        <v xml:space="preserve"> </v>
      </c>
      <c r="Y661" s="4" t="str">
        <f ca="1">IF(OR(INDEX($AG$2:$AG$1001,MATCH(ROWS($AF$2:AF661),$AF$2:$AF$1001,0),1)&gt;=100000,INDEX($AM$1005:$BM$1005,1,MATCH(COLUMNS($AM$1006:BJ1006),$AM$1006:$BM$1006,0))&gt;=100000), " ",IF(INDEX($AM$2:$BM$1001,MATCH(ROWS($AF$2:AF661),$AF$2:$AF$1001,0),MATCH(COLUMNS($AM$1006:BJ1006),$AM$1006:$BM$1006,0)), HYPERLINK("#",""), HYPERLINK(CONCATENATE("#metadata!", ADDRESS(INDEX($AH$2:$AH$1001,MATCH(ROWS($AF$2:AF661),$AF$2:$AF$1001,0),0), INDEX($AM$1004:$BM$1004,1,MATCH(COLUMNS($AM$1006:BJ1006),$AM$1006:$BM$1006,0)))),"Fix")))</f>
        <v xml:space="preserve"> </v>
      </c>
      <c r="Z661" s="4" t="str">
        <f ca="1">IF(OR(INDEX($AG$2:$AG$1001,MATCH(ROWS($AF$2:AF661),$AF$2:$AF$1001,0),1)&gt;=100000,INDEX($AM$1005:$BM$1005,1,MATCH(COLUMNS($AM$1006:BK1006),$AM$1006:$BM$1006,0))&gt;=100000), " ",IF(INDEX($AM$2:$BM$1001,MATCH(ROWS($AF$2:AF661),$AF$2:$AF$1001,0),MATCH(COLUMNS($AM$1006:BK1006),$AM$1006:$BM$1006,0)), HYPERLINK("#",""), HYPERLINK(CONCATENATE("#metadata!", ADDRESS(INDEX($AH$2:$AH$1001,MATCH(ROWS($AF$2:AF661),$AF$2:$AF$1001,0),0), INDEX($AM$1004:$BM$1004,1,MATCH(COLUMNS($AM$1006:BK1006),$AM$1006:$BM$1006,0)))),"Fix")))</f>
        <v xml:space="preserve"> </v>
      </c>
      <c r="AA661" s="4" t="str">
        <f ca="1">IF(OR(INDEX($AG$2:$AG$1001,MATCH(ROWS($AF$2:AF661),$AF$2:$AF$1001,0),1)&gt;=100000,INDEX($AM$1005:$BM$1005,1,MATCH(COLUMNS($AM$1006:BL1006),$AM$1006:$BM$1006,0))&gt;=100000), " ",IF(INDEX($AM$2:$BM$1001,MATCH(ROWS($AF$2:AF661),$AF$2:$AF$1001,0),MATCH(COLUMNS($AM$1006:BL1006),$AM$1006:$BM$1006,0)), HYPERLINK("#",""), HYPERLINK(CONCATENATE("#metadata!", ADDRESS(INDEX($AH$2:$AH$1001,MATCH(ROWS($AF$2:AF661),$AF$2:$AF$1001,0),0), INDEX($AM$1004:$BM$1004,1,MATCH(COLUMNS($AM$1006:BL1006),$AM$1006:$BM$1006,0)))),"Fix")))</f>
        <v xml:space="preserve"> </v>
      </c>
      <c r="AB661" s="4" t="str">
        <f ca="1">IF(OR(INDEX($AG$2:$AG$1001,MATCH(ROWS($AF$2:AF661),$AF$2:$AF$1001,0),1)&gt;=100000,INDEX($AM$1005:$BM$1005,1,MATCH(COLUMNS($AM$1006:BM1006),$AM$1006:$BM$1006,0))&gt;=100000), " ",IF(INDEX($AM$2:$BM$1001,MATCH(ROWS($AF$2:AF661),$AF$2:$AF$1001,0),MATCH(COLUMNS($AM$1006:BM1006),$AM$1006:$BM$1006,0)), HYPERLINK("#",""), HYPERLINK(CONCATENATE("#metadata!", ADDRESS(INDEX($AH$2:$AH$1001,MATCH(ROWS($AF$2:AF661),$AF$2:$AF$1001,0),0), INDEX($AM$1004:$BM$1004,1,MATCH(COLUMNS($AM$1006:BM1006),$AM$1006:$BM$1006,0)))),"Fix")))</f>
        <v xml:space="preserve"> </v>
      </c>
      <c r="AF661">
        <v>660</v>
      </c>
      <c r="AG661">
        <v>100661</v>
      </c>
      <c r="AH661">
        <v>661</v>
      </c>
      <c r="AI661" t="b">
        <f t="shared" si="10"/>
        <v>1</v>
      </c>
      <c r="AJ661" t="b">
        <f>COUNTBLANK(metadata!B661:AB661)=COLUMNS(metadata!B661:AB661)</f>
        <v>1</v>
      </c>
      <c r="AK661" t="str">
        <v/>
      </c>
      <c r="AM661" t="b">
        <f ca="1">AND(IF(metadata!B661="",FALSE,TRUE),COUNTIF(metadata!B:B, metadata!B661) = 1,NOT(ISERROR(SUMPRODUCT(SEARCH(MID(metadata!B661,ROW(INDIRECT("1:"&amp;LEN(metadata!B661))), 1),"0123456789abcdefghijklmnopqrstuvwxyzABCDEFGHIJKLMNOPQRSTUVWXYZ.")))))</f>
        <v>0</v>
      </c>
      <c r="AN661" t="b">
        <f ca="1">OR(AND(IF(metadata!C661="",FALSE,TRUE),OR(EXACT(metadata!C661,"missing: not collected"),EXACT(metadata!C661,"missing: not provided"),EXACT(metadata!C661,"missing: restricted access"))),AND(IF(metadata!C661="",FALSE,TRUE),AND(AND(IFERROR(INT(LEFT(metadata!C661,4))&gt;1900,FALSE),IFERROR(INT(LEFT(metadata!C661,4))&lt;=YEAR(NOW()),FALSE)), OR(MID(metadata!C661,5,1)="", AND(AND(MID(metadata!C661,5,1)="-",IFERROR(INT(MID(metadata!C661,6,1))&gt;=0,FALSE),IFERROR(INT(MID(metadata!C661,6,1))&lt;=1,FALSE),NOT(MID(metadata!C661,7,1)=""),IFERROR(INT(MID(metadata!C661,6,2))&gt;=1,FALSE),IFERROR(INT(MID(metadata!C661,6,2))&lt;=12,FALSE)), OR(MID(metadata!C661,8,1)="", AND(AND(MID(metadata!C661,8,1)="-",IFERROR(INT(MID(metadata!C661,9,1))&gt;=0,FALSE),IFERROR(INT(MID(metadata!C661,9,1))&lt;=3,FALSE),NOT(MID(metadata!C661,10,1)=""),IFERROR(INT(MID(metadata!C661,9,2))&gt;=1,FALSE),IFERROR(INT(MID(metadata!C661,9,2))&lt;=31,FALSE)), OR(MID(metadata!C661,11,1)="", AND(AND(MID(metadata!C661,11,1)=" ",IFERROR(INT(MID(metadata!C661,12,1))&gt;=0,FALSE),IFERROR(INT(MID(metadata!C661,12,1))&lt;=2,FALSE),NOT(MID(metadata!C661,13,1)=""),IFERROR(INT(MID(metadata!C661,12,2))&gt;=0,FALSE),IFERROR(INT(MID(metadata!C661,12,2))&lt;=23,FALSE)), OR(MID(metadata!C661,14,1)="", AND(AND(MID(metadata!C661,14,1)=":",IFERROR(INT(MID(metadata!C661,15,1))&gt;=0,FALSE),IFERROR(INT(MID(metadata!C661,15,1))&lt;=5,FALSE),NOT(MID(metadata!C661,16,1)=""),IFERROR(INT(MID(metadata!C661,15,2))&gt;=0,FALSE),IFERROR(INT(MID(metadata!C661,15,2))&lt;=59,FALSE)), OR(MID(metadata!C661,17,1)="", AND(AND(MID(metadata!C661,17,1)=":",IFERROR(INT(MID(metadata!C661,18,1))&gt;=0,FALSE),IFERROR(INT(MID(metadata!C661,18,1))&lt;=5,FALSE),NOT(MID(metadata!C661,19,1)=""),IFERROR(INT(MID(metadata!C661,18,2))&gt;=0,FALSE),IFERROR(INT(MID(metadata!C661,18,2))&lt;=59,FALSE)), LEN(metadata!C661)&lt;=19)))))))))))))</f>
        <v>0</v>
      </c>
      <c r="AO661" t="b">
        <f>AND(IF(metadata!D661="",FALSE,TRUE),EXACT(metadata!D661,"Not applicable"))</f>
        <v>0</v>
      </c>
      <c r="AP661" t="b">
        <f>IF(metadata!E661="",FALSE,TRUE)</f>
        <v>0</v>
      </c>
      <c r="AQ661" t="b">
        <f>OR(AND(IF(metadata!F661="",FALSE,TRUE),OR(EXACT(metadata!F661,"missing: not collected"),EXACT(metadata!F661,"missing: not provided"))),AND(IF(metadata!F661="",FALSE,TRUE),OR(EXACT(metadata!F661,"TRUE"),EXACT(metadata!F661,"FALSE"))))</f>
        <v>0</v>
      </c>
      <c r="AR661" t="b">
        <f>OR(AND(IF(metadata!G661="",FALSE,TRUE),OR(EXACT(metadata!G661,"missing: not collected"),EXACT(metadata!G661,"missing: not provided"),EXACT(metadata!G661,"missing: restricted access"))),AND(IF(metadata!G661="",FALSE,ISNUMBER(VALUE(metadata!G661))),metadata!G661&gt;=-413))</f>
        <v>0</v>
      </c>
      <c r="AS661" t="b">
        <f>AND(IF(metadata!H661="",FALSE,TRUE),EXACT(metadata!H661,"meters"))</f>
        <v>0</v>
      </c>
      <c r="AT661" t="b">
        <f>AND(IF(metadata!I661="",FALSE,TRUE),OR(EXACT(metadata!I661,"Host-associated"),EXACT(metadata!I661,"Free-living")))</f>
        <v>0</v>
      </c>
      <c r="AU661" t="b">
        <f>AND(IF(metadata!J661="",FALSE,TRUE),OR(EXACT(metadata!J661,"Animal"),EXACT(metadata!J661,"Fungus"),EXACT(metadata!J661,"Plant"),EXACT(metadata!J661,"Saline"),EXACT(metadata!J661,"Non-saline")))</f>
        <v>0</v>
      </c>
      <c r="AV661" t="b">
        <f>AND(IF(metadata!K661="",FALSE,TRUE),OR(EXACT(metadata!K661,"Plant secretion"),EXACT(metadata!K661,"Plant rhizosphere"),EXACT(metadata!K661,"Plant surface"),EXACT(metadata!K661,"Plant corpus"),EXACT(metadata!K661,"Fungus surface"),EXACT(metadata!K661,"Fungus corpus"),EXACT(metadata!K661,"Animal surface"),EXACT(metadata!K661,"Animal proximal gut"),EXACT(metadata!K661,"Animal corpus"),EXACT(metadata!K661,"Animal distal gut"),EXACT(metadata!K661,"Animal secretion"),EXACT(metadata!K661,"Sub-surface (non-saline)"),EXACT(metadata!K661,"Surface (non-saline)"),EXACT(metadata!K661,"Water (non-saline)"),EXACT(metadata!K661,"Soil (non-saline)"),EXACT(metadata!K661,"Aerosol (non-saline)"),EXACT(metadata!K661,"Sediment (non-saline)"),EXACT(metadata!K661,"Surface (saline)"),EXACT(metadata!K661,"Water (saline)"),EXACT(metadata!K661,"Hypersaline (saline)"),EXACT(metadata!K661,"Aerosol (saline)"),EXACT(metadata!K661,"Sediment (saline)")))</f>
        <v>0</v>
      </c>
      <c r="AW661" t="b">
        <f>IF(metadata!L661="",FALSE,TRUE)</f>
        <v>0</v>
      </c>
      <c r="AX661" t="b">
        <f>IF(metadata!M661="",FALSE,TRUE)</f>
        <v>0</v>
      </c>
      <c r="AY661" t="b">
        <f>IF(metadata!N661="",FALSE,TRUE)</f>
        <v>0</v>
      </c>
      <c r="AZ661" t="b">
        <f>OR(AND(IF(metadata!O661="",FALSE,TRUE),OR(EXACT(metadata!O661,"missing: not collected"),EXACT(metadata!O661,"missing: not provided"),EXACT(metadata!O661,"missing: restricted access"))),AND(IF(metadata!O661="",FALSE,TRUE),OR(EXACT(metadata!O661,"air"),EXACT(metadata!O661,"built environment"),EXACT(metadata!O661,"host-associated"),EXACT(metadata!O661,"human-associated"),EXACT(metadata!O661,"human-skin"),EXACT(metadata!O661,"human-oral"),EXACT(metadata!O661,"human-gut"),EXACT(metadata!O661,"human-vaginal"),EXACT(metadata!O661,"microbial mat/biofilm"),EXACT(metadata!O661,"misc environment"),EXACT(metadata!O661,"plant-associated"),EXACT(metadata!O661,"sediment"),EXACT(metadata!O661,"soil"),EXACT(metadata!O661,"wastewater/sludge"),EXACT(metadata!O661,"water"))))</f>
        <v>0</v>
      </c>
      <c r="BA661" t="b">
        <f>IF(metadata!P661="",FALSE,TRUE)</f>
        <v>0</v>
      </c>
      <c r="BB661" t="b">
        <f>IF(metadata!Q661="",FALSE,TRUE)</f>
        <v>0</v>
      </c>
      <c r="BC661" t="b">
        <f>OR(AND(IF(metadata!R661="",FALSE,TRUE),OR(EXACT(metadata!R661,"missing: not collected"),EXACT(metadata!R661,"missing: not provided"),EXACT(metadata!R661,"missing: restricted access"))),AND(IF(metadata!R661="",FALSE,ISNUMBER(VALUE(metadata!R661))),metadata!R661&gt;=-90,metadata!R661&lt;=90))</f>
        <v>0</v>
      </c>
      <c r="BD661" t="b">
        <f>AND(IF(metadata!S661="",FALSE,TRUE),EXACT(metadata!S661,"Decimal degrees"))</f>
        <v>0</v>
      </c>
      <c r="BE661" t="b">
        <f>OR(AND(IF(metadata!T661="",FALSE,TRUE),OR(EXACT(metadata!T661,"missing: not collected"),EXACT(metadata!T661,"missing: not provided"),EXACT(metadata!T661,"missing: restricted access"))),AND(IF(metadata!T661="",FALSE,ISNUMBER(VALUE(metadata!T661))),metadata!T661&gt;=-180,metadata!T661&lt;=180))</f>
        <v>0</v>
      </c>
      <c r="BF661" t="b">
        <f>AND(IF(metadata!U661="",FALSE,TRUE),EXACT(metadata!U661,"Decimal degrees"))</f>
        <v>0</v>
      </c>
      <c r="BG661" t="b">
        <f>IF(metadata!V661="",FALSE,TRUE)</f>
        <v>0</v>
      </c>
      <c r="BH661" t="b">
        <f>OR(AND(IF(metadata!W661="",FALSE,TRUE),OR(EXACT(metadata!W661,"missing: not collected"),EXACT(metadata!W661,"missing: not provided"),EXACT(metadata!W661,"missing: restricted access"))),AND(IF(metadata!W661="",FALSE,TRUE),OR(EXACT(metadata!W661,"TRUE"),EXACT(metadata!W661,"FALSE"))))</f>
        <v>0</v>
      </c>
      <c r="BI661" t="b">
        <f>AND(IF(metadata!X661="",FALSE,TRUE),EXACT(metadata!X661,"other"))</f>
        <v>0</v>
      </c>
      <c r="BJ661" t="b">
        <f>IF(metadata!Y661="",FALSE,TRUE)</f>
        <v>0</v>
      </c>
      <c r="BK661" t="b">
        <f>OR(AND(IF(metadata!Z661="",FALSE,TRUE),OR(EXACT(metadata!Z661,"missing: not collected"),EXACT(metadata!Z661,"missing: not provided"))),AND(IF(metadata!Z661="",FALSE,IF(ISERROR(INT(metadata!Z661)),FALSE,INT(metadata!Z661)=metadata!Z661)),metadata!Z661&gt;0))</f>
        <v>0</v>
      </c>
      <c r="BL661" t="b">
        <f>AND(IF(metadata!AA661="",FALSE,TRUE),EXACT(metadata!AA661,"Not applicable"))</f>
        <v>0</v>
      </c>
      <c r="BM661" t="b">
        <f>IF(metadata!AB661="",FALSE,TRUE)</f>
        <v>0</v>
      </c>
    </row>
    <row r="662" spans="1:65" x14ac:dyDescent="0.2">
      <c r="A662" s="5" t="str">
        <f ca="1">IF(B662=" "," ",HYPERLINK(CONCATENATE("#metadata!",ADDRESS(INDEX($AH$2:$AH$1001,MATCH(ROWS($AF$2:AF662),$AF$2:$AF$1001,0),0),1)),INDEX($AK$2:$AK$1001,MATCH(ROWS($AF$2:AF662),$AF$2:$AF$1001,0),0)))</f>
        <v xml:space="preserve"> </v>
      </c>
      <c r="B662" s="4" t="str">
        <f ca="1">IF(OR(INDEX($AG$2:$AG$1001,MATCH(ROWS($AF$2:AF662),$AF$2:$AF$1001,0),1)&gt;=100000,INDEX($AM$1005:$BM$1005,1,MATCH(COLUMNS($AM$1006:AM1006),$AM$1006:$BM$1006,0))&gt;=100000), " ",IF(INDEX($AM$2:$BM$1001,MATCH(ROWS($AF$2:AF662),$AF$2:$AF$1001,0),MATCH(COLUMNS($AM$1006:AM1006),$AM$1006:$BM$1006,0)), HYPERLINK("#",""), HYPERLINK(CONCATENATE("#metadata!", ADDRESS(INDEX($AH$2:$AH$1001,MATCH(ROWS($AF$2:AF662),$AF$2:$AF$1001,0),0), INDEX($AM$1004:$BM$1004,1,MATCH(COLUMNS($AM$1006:AM1006),$AM$1006:$BM$1006,0)))),"Fix")))</f>
        <v xml:space="preserve"> </v>
      </c>
      <c r="C662" s="4" t="str">
        <f ca="1">IF(OR(INDEX($AG$2:$AG$1001,MATCH(ROWS($AF$2:AF662),$AF$2:$AF$1001,0),1)&gt;=100000,INDEX($AM$1005:$BM$1005,1,MATCH(COLUMNS($AM$1006:AN1006),$AM$1006:$BM$1006,0))&gt;=100000), " ",IF(INDEX($AM$2:$BM$1001,MATCH(ROWS($AF$2:AF662),$AF$2:$AF$1001,0),MATCH(COLUMNS($AM$1006:AN1006),$AM$1006:$BM$1006,0)), HYPERLINK("#",""), HYPERLINK(CONCATENATE("#metadata!", ADDRESS(INDEX($AH$2:$AH$1001,MATCH(ROWS($AF$2:AF662),$AF$2:$AF$1001,0),0), INDEX($AM$1004:$BM$1004,1,MATCH(COLUMNS($AM$1006:AN1006),$AM$1006:$BM$1006,0)))),"Fix")))</f>
        <v xml:space="preserve"> </v>
      </c>
      <c r="D662" s="4" t="str">
        <f ca="1">IF(OR(INDEX($AG$2:$AG$1001,MATCH(ROWS($AF$2:AF662),$AF$2:$AF$1001,0),1)&gt;=100000,INDEX($AM$1005:$BM$1005,1,MATCH(COLUMNS($AM$1006:AO1006),$AM$1006:$BM$1006,0))&gt;=100000), " ",IF(INDEX($AM$2:$BM$1001,MATCH(ROWS($AF$2:AF662),$AF$2:$AF$1001,0),MATCH(COLUMNS($AM$1006:AO1006),$AM$1006:$BM$1006,0)), HYPERLINK("#",""), HYPERLINK(CONCATENATE("#metadata!", ADDRESS(INDEX($AH$2:$AH$1001,MATCH(ROWS($AF$2:AF662),$AF$2:$AF$1001,0),0), INDEX($AM$1004:$BM$1004,1,MATCH(COLUMNS($AM$1006:AO1006),$AM$1006:$BM$1006,0)))),"Fix")))</f>
        <v xml:space="preserve"> </v>
      </c>
      <c r="E662" s="4" t="str">
        <f ca="1">IF(OR(INDEX($AG$2:$AG$1001,MATCH(ROWS($AF$2:AF662),$AF$2:$AF$1001,0),1)&gt;=100000,INDEX($AM$1005:$BM$1005,1,MATCH(COLUMNS($AM$1006:AP1006),$AM$1006:$BM$1006,0))&gt;=100000), " ",IF(INDEX($AM$2:$BM$1001,MATCH(ROWS($AF$2:AF662),$AF$2:$AF$1001,0),MATCH(COLUMNS($AM$1006:AP1006),$AM$1006:$BM$1006,0)), HYPERLINK("#",""), HYPERLINK(CONCATENATE("#metadata!", ADDRESS(INDEX($AH$2:$AH$1001,MATCH(ROWS($AF$2:AF662),$AF$2:$AF$1001,0),0), INDEX($AM$1004:$BM$1004,1,MATCH(COLUMNS($AM$1006:AP1006),$AM$1006:$BM$1006,0)))),"Fix")))</f>
        <v xml:space="preserve"> </v>
      </c>
      <c r="F662" s="4" t="str">
        <f ca="1">IF(OR(INDEX($AG$2:$AG$1001,MATCH(ROWS($AF$2:AF662),$AF$2:$AF$1001,0),1)&gt;=100000,INDEX($AM$1005:$BM$1005,1,MATCH(COLUMNS($AM$1006:AQ1006),$AM$1006:$BM$1006,0))&gt;=100000), " ",IF(INDEX($AM$2:$BM$1001,MATCH(ROWS($AF$2:AF662),$AF$2:$AF$1001,0),MATCH(COLUMNS($AM$1006:AQ1006),$AM$1006:$BM$1006,0)), HYPERLINK("#",""), HYPERLINK(CONCATENATE("#metadata!", ADDRESS(INDEX($AH$2:$AH$1001,MATCH(ROWS($AF$2:AF662),$AF$2:$AF$1001,0),0), INDEX($AM$1004:$BM$1004,1,MATCH(COLUMNS($AM$1006:AQ1006),$AM$1006:$BM$1006,0)))),"Fix")))</f>
        <v xml:space="preserve"> </v>
      </c>
      <c r="G662" s="4" t="str">
        <f ca="1">IF(OR(INDEX($AG$2:$AG$1001,MATCH(ROWS($AF$2:AF662),$AF$2:$AF$1001,0),1)&gt;=100000,INDEX($AM$1005:$BM$1005,1,MATCH(COLUMNS($AM$1006:AR1006),$AM$1006:$BM$1006,0))&gt;=100000), " ",IF(INDEX($AM$2:$BM$1001,MATCH(ROWS($AF$2:AF662),$AF$2:$AF$1001,0),MATCH(COLUMNS($AM$1006:AR1006),$AM$1006:$BM$1006,0)), HYPERLINK("#",""), HYPERLINK(CONCATENATE("#metadata!", ADDRESS(INDEX($AH$2:$AH$1001,MATCH(ROWS($AF$2:AF662),$AF$2:$AF$1001,0),0), INDEX($AM$1004:$BM$1004,1,MATCH(COLUMNS($AM$1006:AR1006),$AM$1006:$BM$1006,0)))),"Fix")))</f>
        <v xml:space="preserve"> </v>
      </c>
      <c r="H662" s="4" t="str">
        <f ca="1">IF(OR(INDEX($AG$2:$AG$1001,MATCH(ROWS($AF$2:AF662),$AF$2:$AF$1001,0),1)&gt;=100000,INDEX($AM$1005:$BM$1005,1,MATCH(COLUMNS($AM$1006:AS1006),$AM$1006:$BM$1006,0))&gt;=100000), " ",IF(INDEX($AM$2:$BM$1001,MATCH(ROWS($AF$2:AF662),$AF$2:$AF$1001,0),MATCH(COLUMNS($AM$1006:AS1006),$AM$1006:$BM$1006,0)), HYPERLINK("#",""), HYPERLINK(CONCATENATE("#metadata!", ADDRESS(INDEX($AH$2:$AH$1001,MATCH(ROWS($AF$2:AF662),$AF$2:$AF$1001,0),0), INDEX($AM$1004:$BM$1004,1,MATCH(COLUMNS($AM$1006:AS1006),$AM$1006:$BM$1006,0)))),"Fix")))</f>
        <v xml:space="preserve"> </v>
      </c>
      <c r="I662" s="4" t="str">
        <f ca="1">IF(OR(INDEX($AG$2:$AG$1001,MATCH(ROWS($AF$2:AF662),$AF$2:$AF$1001,0),1)&gt;=100000,INDEX($AM$1005:$BM$1005,1,MATCH(COLUMNS($AM$1006:AT1006),$AM$1006:$BM$1006,0))&gt;=100000), " ",IF(INDEX($AM$2:$BM$1001,MATCH(ROWS($AF$2:AF662),$AF$2:$AF$1001,0),MATCH(COLUMNS($AM$1006:AT1006),$AM$1006:$BM$1006,0)), HYPERLINK("#",""), HYPERLINK(CONCATENATE("#metadata!", ADDRESS(INDEX($AH$2:$AH$1001,MATCH(ROWS($AF$2:AF662),$AF$2:$AF$1001,0),0), INDEX($AM$1004:$BM$1004,1,MATCH(COLUMNS($AM$1006:AT1006),$AM$1006:$BM$1006,0)))),"Fix")))</f>
        <v xml:space="preserve"> </v>
      </c>
      <c r="J662" s="4" t="str">
        <f ca="1">IF(OR(INDEX($AG$2:$AG$1001,MATCH(ROWS($AF$2:AF662),$AF$2:$AF$1001,0),1)&gt;=100000,INDEX($AM$1005:$BM$1005,1,MATCH(COLUMNS($AM$1006:AU1006),$AM$1006:$BM$1006,0))&gt;=100000), " ",IF(INDEX($AM$2:$BM$1001,MATCH(ROWS($AF$2:AF662),$AF$2:$AF$1001,0),MATCH(COLUMNS($AM$1006:AU1006),$AM$1006:$BM$1006,0)), HYPERLINK("#",""), HYPERLINK(CONCATENATE("#metadata!", ADDRESS(INDEX($AH$2:$AH$1001,MATCH(ROWS($AF$2:AF662),$AF$2:$AF$1001,0),0), INDEX($AM$1004:$BM$1004,1,MATCH(COLUMNS($AM$1006:AU1006),$AM$1006:$BM$1006,0)))),"Fix")))</f>
        <v xml:space="preserve"> </v>
      </c>
      <c r="K662" s="4" t="str">
        <f ca="1">IF(OR(INDEX($AG$2:$AG$1001,MATCH(ROWS($AF$2:AF662),$AF$2:$AF$1001,0),1)&gt;=100000,INDEX($AM$1005:$BM$1005,1,MATCH(COLUMNS($AM$1006:AV1006),$AM$1006:$BM$1006,0))&gt;=100000), " ",IF(INDEX($AM$2:$BM$1001,MATCH(ROWS($AF$2:AF662),$AF$2:$AF$1001,0),MATCH(COLUMNS($AM$1006:AV1006),$AM$1006:$BM$1006,0)), HYPERLINK("#",""), HYPERLINK(CONCATENATE("#metadata!", ADDRESS(INDEX($AH$2:$AH$1001,MATCH(ROWS($AF$2:AF662),$AF$2:$AF$1001,0),0), INDEX($AM$1004:$BM$1004,1,MATCH(COLUMNS($AM$1006:AV1006),$AM$1006:$BM$1006,0)))),"Fix")))</f>
        <v xml:space="preserve"> </v>
      </c>
      <c r="L662" s="4" t="str">
        <f ca="1">IF(OR(INDEX($AG$2:$AG$1001,MATCH(ROWS($AF$2:AF662),$AF$2:$AF$1001,0),1)&gt;=100000,INDEX($AM$1005:$BM$1005,1,MATCH(COLUMNS($AM$1006:AW1006),$AM$1006:$BM$1006,0))&gt;=100000), " ",IF(INDEX($AM$2:$BM$1001,MATCH(ROWS($AF$2:AF662),$AF$2:$AF$1001,0),MATCH(COLUMNS($AM$1006:AW1006),$AM$1006:$BM$1006,0)), HYPERLINK("#",""), HYPERLINK(CONCATENATE("#metadata!", ADDRESS(INDEX($AH$2:$AH$1001,MATCH(ROWS($AF$2:AF662),$AF$2:$AF$1001,0),0), INDEX($AM$1004:$BM$1004,1,MATCH(COLUMNS($AM$1006:AW1006),$AM$1006:$BM$1006,0)))),"Fix")))</f>
        <v xml:space="preserve"> </v>
      </c>
      <c r="M662" s="4" t="str">
        <f ca="1">IF(OR(INDEX($AG$2:$AG$1001,MATCH(ROWS($AF$2:AF662),$AF$2:$AF$1001,0),1)&gt;=100000,INDEX($AM$1005:$BM$1005,1,MATCH(COLUMNS($AM$1006:AX1006),$AM$1006:$BM$1006,0))&gt;=100000), " ",IF(INDEX($AM$2:$BM$1001,MATCH(ROWS($AF$2:AF662),$AF$2:$AF$1001,0),MATCH(COLUMNS($AM$1006:AX1006),$AM$1006:$BM$1006,0)), HYPERLINK("#",""), HYPERLINK(CONCATENATE("#metadata!", ADDRESS(INDEX($AH$2:$AH$1001,MATCH(ROWS($AF$2:AF662),$AF$2:$AF$1001,0),0), INDEX($AM$1004:$BM$1004,1,MATCH(COLUMNS($AM$1006:AX1006),$AM$1006:$BM$1006,0)))),"Fix")))</f>
        <v xml:space="preserve"> </v>
      </c>
      <c r="N662" s="4" t="str">
        <f ca="1">IF(OR(INDEX($AG$2:$AG$1001,MATCH(ROWS($AF$2:AF662),$AF$2:$AF$1001,0),1)&gt;=100000,INDEX($AM$1005:$BM$1005,1,MATCH(COLUMNS($AM$1006:AY1006),$AM$1006:$BM$1006,0))&gt;=100000), " ",IF(INDEX($AM$2:$BM$1001,MATCH(ROWS($AF$2:AF662),$AF$2:$AF$1001,0),MATCH(COLUMNS($AM$1006:AY1006),$AM$1006:$BM$1006,0)), HYPERLINK("#",""), HYPERLINK(CONCATENATE("#metadata!", ADDRESS(INDEX($AH$2:$AH$1001,MATCH(ROWS($AF$2:AF662),$AF$2:$AF$1001,0),0), INDEX($AM$1004:$BM$1004,1,MATCH(COLUMNS($AM$1006:AY1006),$AM$1006:$BM$1006,0)))),"Fix")))</f>
        <v xml:space="preserve"> </v>
      </c>
      <c r="O662" s="4" t="str">
        <f ca="1">IF(OR(INDEX($AG$2:$AG$1001,MATCH(ROWS($AF$2:AF662),$AF$2:$AF$1001,0),1)&gt;=100000,INDEX($AM$1005:$BM$1005,1,MATCH(COLUMNS($AM$1006:AZ1006),$AM$1006:$BM$1006,0))&gt;=100000), " ",IF(INDEX($AM$2:$BM$1001,MATCH(ROWS($AF$2:AF662),$AF$2:$AF$1001,0),MATCH(COLUMNS($AM$1006:AZ1006),$AM$1006:$BM$1006,0)), HYPERLINK("#",""), HYPERLINK(CONCATENATE("#metadata!", ADDRESS(INDEX($AH$2:$AH$1001,MATCH(ROWS($AF$2:AF662),$AF$2:$AF$1001,0),0), INDEX($AM$1004:$BM$1004,1,MATCH(COLUMNS($AM$1006:AZ1006),$AM$1006:$BM$1006,0)))),"Fix")))</f>
        <v xml:space="preserve"> </v>
      </c>
      <c r="P662" s="4" t="str">
        <f ca="1">IF(OR(INDEX($AG$2:$AG$1001,MATCH(ROWS($AF$2:AF662),$AF$2:$AF$1001,0),1)&gt;=100000,INDEX($AM$1005:$BM$1005,1,MATCH(COLUMNS($AM$1006:BA1006),$AM$1006:$BM$1006,0))&gt;=100000), " ",IF(INDEX($AM$2:$BM$1001,MATCH(ROWS($AF$2:AF662),$AF$2:$AF$1001,0),MATCH(COLUMNS($AM$1006:BA1006),$AM$1006:$BM$1006,0)), HYPERLINK("#",""), HYPERLINK(CONCATENATE("#metadata!", ADDRESS(INDEX($AH$2:$AH$1001,MATCH(ROWS($AF$2:AF662),$AF$2:$AF$1001,0),0), INDEX($AM$1004:$BM$1004,1,MATCH(COLUMNS($AM$1006:BA1006),$AM$1006:$BM$1006,0)))),"Fix")))</f>
        <v xml:space="preserve"> </v>
      </c>
      <c r="Q662" s="4" t="str">
        <f ca="1">IF(OR(INDEX($AG$2:$AG$1001,MATCH(ROWS($AF$2:AF662),$AF$2:$AF$1001,0),1)&gt;=100000,INDEX($AM$1005:$BM$1005,1,MATCH(COLUMNS($AM$1006:BB1006),$AM$1006:$BM$1006,0))&gt;=100000), " ",IF(INDEX($AM$2:$BM$1001,MATCH(ROWS($AF$2:AF662),$AF$2:$AF$1001,0),MATCH(COLUMNS($AM$1006:BB1006),$AM$1006:$BM$1006,0)), HYPERLINK("#",""), HYPERLINK(CONCATENATE("#metadata!", ADDRESS(INDEX($AH$2:$AH$1001,MATCH(ROWS($AF$2:AF662),$AF$2:$AF$1001,0),0), INDEX($AM$1004:$BM$1004,1,MATCH(COLUMNS($AM$1006:BB1006),$AM$1006:$BM$1006,0)))),"Fix")))</f>
        <v xml:space="preserve"> </v>
      </c>
      <c r="R662" s="4" t="str">
        <f ca="1">IF(OR(INDEX($AG$2:$AG$1001,MATCH(ROWS($AF$2:AF662),$AF$2:$AF$1001,0),1)&gt;=100000,INDEX($AM$1005:$BM$1005,1,MATCH(COLUMNS($AM$1006:BC1006),$AM$1006:$BM$1006,0))&gt;=100000), " ",IF(INDEX($AM$2:$BM$1001,MATCH(ROWS($AF$2:AF662),$AF$2:$AF$1001,0),MATCH(COLUMNS($AM$1006:BC1006),$AM$1006:$BM$1006,0)), HYPERLINK("#",""), HYPERLINK(CONCATENATE("#metadata!", ADDRESS(INDEX($AH$2:$AH$1001,MATCH(ROWS($AF$2:AF662),$AF$2:$AF$1001,0),0), INDEX($AM$1004:$BM$1004,1,MATCH(COLUMNS($AM$1006:BC1006),$AM$1006:$BM$1006,0)))),"Fix")))</f>
        <v xml:space="preserve"> </v>
      </c>
      <c r="S662" s="4" t="str">
        <f ca="1">IF(OR(INDEX($AG$2:$AG$1001,MATCH(ROWS($AF$2:AF662),$AF$2:$AF$1001,0),1)&gt;=100000,INDEX($AM$1005:$BM$1005,1,MATCH(COLUMNS($AM$1006:BD1006),$AM$1006:$BM$1006,0))&gt;=100000), " ",IF(INDEX($AM$2:$BM$1001,MATCH(ROWS($AF$2:AF662),$AF$2:$AF$1001,0),MATCH(COLUMNS($AM$1006:BD1006),$AM$1006:$BM$1006,0)), HYPERLINK("#",""), HYPERLINK(CONCATENATE("#metadata!", ADDRESS(INDEX($AH$2:$AH$1001,MATCH(ROWS($AF$2:AF662),$AF$2:$AF$1001,0),0), INDEX($AM$1004:$BM$1004,1,MATCH(COLUMNS($AM$1006:BD1006),$AM$1006:$BM$1006,0)))),"Fix")))</f>
        <v xml:space="preserve"> </v>
      </c>
      <c r="T662" s="4" t="str">
        <f ca="1">IF(OR(INDEX($AG$2:$AG$1001,MATCH(ROWS($AF$2:AF662),$AF$2:$AF$1001,0),1)&gt;=100000,INDEX($AM$1005:$BM$1005,1,MATCH(COLUMNS($AM$1006:BE1006),$AM$1006:$BM$1006,0))&gt;=100000), " ",IF(INDEX($AM$2:$BM$1001,MATCH(ROWS($AF$2:AF662),$AF$2:$AF$1001,0),MATCH(COLUMNS($AM$1006:BE1006),$AM$1006:$BM$1006,0)), HYPERLINK("#",""), HYPERLINK(CONCATENATE("#metadata!", ADDRESS(INDEX($AH$2:$AH$1001,MATCH(ROWS($AF$2:AF662),$AF$2:$AF$1001,0),0), INDEX($AM$1004:$BM$1004,1,MATCH(COLUMNS($AM$1006:BE1006),$AM$1006:$BM$1006,0)))),"Fix")))</f>
        <v xml:space="preserve"> </v>
      </c>
      <c r="U662" s="4" t="str">
        <f ca="1">IF(OR(INDEX($AG$2:$AG$1001,MATCH(ROWS($AF$2:AF662),$AF$2:$AF$1001,0),1)&gt;=100000,INDEX($AM$1005:$BM$1005,1,MATCH(COLUMNS($AM$1006:BF1006),$AM$1006:$BM$1006,0))&gt;=100000), " ",IF(INDEX($AM$2:$BM$1001,MATCH(ROWS($AF$2:AF662),$AF$2:$AF$1001,0),MATCH(COLUMNS($AM$1006:BF1006),$AM$1006:$BM$1006,0)), HYPERLINK("#",""), HYPERLINK(CONCATENATE("#metadata!", ADDRESS(INDEX($AH$2:$AH$1001,MATCH(ROWS($AF$2:AF662),$AF$2:$AF$1001,0),0), INDEX($AM$1004:$BM$1004,1,MATCH(COLUMNS($AM$1006:BF1006),$AM$1006:$BM$1006,0)))),"Fix")))</f>
        <v xml:space="preserve"> </v>
      </c>
      <c r="V662" s="4" t="str">
        <f ca="1">IF(OR(INDEX($AG$2:$AG$1001,MATCH(ROWS($AF$2:AF662),$AF$2:$AF$1001,0),1)&gt;=100000,INDEX($AM$1005:$BM$1005,1,MATCH(COLUMNS($AM$1006:BG1006),$AM$1006:$BM$1006,0))&gt;=100000), " ",IF(INDEX($AM$2:$BM$1001,MATCH(ROWS($AF$2:AF662),$AF$2:$AF$1001,0),MATCH(COLUMNS($AM$1006:BG1006),$AM$1006:$BM$1006,0)), HYPERLINK("#",""), HYPERLINK(CONCATENATE("#metadata!", ADDRESS(INDEX($AH$2:$AH$1001,MATCH(ROWS($AF$2:AF662),$AF$2:$AF$1001,0),0), INDEX($AM$1004:$BM$1004,1,MATCH(COLUMNS($AM$1006:BG1006),$AM$1006:$BM$1006,0)))),"Fix")))</f>
        <v xml:space="preserve"> </v>
      </c>
      <c r="W662" s="4" t="str">
        <f ca="1">IF(OR(INDEX($AG$2:$AG$1001,MATCH(ROWS($AF$2:AF662),$AF$2:$AF$1001,0),1)&gt;=100000,INDEX($AM$1005:$BM$1005,1,MATCH(COLUMNS($AM$1006:BH1006),$AM$1006:$BM$1006,0))&gt;=100000), " ",IF(INDEX($AM$2:$BM$1001,MATCH(ROWS($AF$2:AF662),$AF$2:$AF$1001,0),MATCH(COLUMNS($AM$1006:BH1006),$AM$1006:$BM$1006,0)), HYPERLINK("#",""), HYPERLINK(CONCATENATE("#metadata!", ADDRESS(INDEX($AH$2:$AH$1001,MATCH(ROWS($AF$2:AF662),$AF$2:$AF$1001,0),0), INDEX($AM$1004:$BM$1004,1,MATCH(COLUMNS($AM$1006:BH1006),$AM$1006:$BM$1006,0)))),"Fix")))</f>
        <v xml:space="preserve"> </v>
      </c>
      <c r="X662" s="4" t="str">
        <f ca="1">IF(OR(INDEX($AG$2:$AG$1001,MATCH(ROWS($AF$2:AF662),$AF$2:$AF$1001,0),1)&gt;=100000,INDEX($AM$1005:$BM$1005,1,MATCH(COLUMNS($AM$1006:BI1006),$AM$1006:$BM$1006,0))&gt;=100000), " ",IF(INDEX($AM$2:$BM$1001,MATCH(ROWS($AF$2:AF662),$AF$2:$AF$1001,0),MATCH(COLUMNS($AM$1006:BI1006),$AM$1006:$BM$1006,0)), HYPERLINK("#",""), HYPERLINK(CONCATENATE("#metadata!", ADDRESS(INDEX($AH$2:$AH$1001,MATCH(ROWS($AF$2:AF662),$AF$2:$AF$1001,0),0), INDEX($AM$1004:$BM$1004,1,MATCH(COLUMNS($AM$1006:BI1006),$AM$1006:$BM$1006,0)))),"Fix")))</f>
        <v xml:space="preserve"> </v>
      </c>
      <c r="Y662" s="4" t="str">
        <f ca="1">IF(OR(INDEX($AG$2:$AG$1001,MATCH(ROWS($AF$2:AF662),$AF$2:$AF$1001,0),1)&gt;=100000,INDEX($AM$1005:$BM$1005,1,MATCH(COLUMNS($AM$1006:BJ1006),$AM$1006:$BM$1006,0))&gt;=100000), " ",IF(INDEX($AM$2:$BM$1001,MATCH(ROWS($AF$2:AF662),$AF$2:$AF$1001,0),MATCH(COLUMNS($AM$1006:BJ1006),$AM$1006:$BM$1006,0)), HYPERLINK("#",""), HYPERLINK(CONCATENATE("#metadata!", ADDRESS(INDEX($AH$2:$AH$1001,MATCH(ROWS($AF$2:AF662),$AF$2:$AF$1001,0),0), INDEX($AM$1004:$BM$1004,1,MATCH(COLUMNS($AM$1006:BJ1006),$AM$1006:$BM$1006,0)))),"Fix")))</f>
        <v xml:space="preserve"> </v>
      </c>
      <c r="Z662" s="4" t="str">
        <f ca="1">IF(OR(INDEX($AG$2:$AG$1001,MATCH(ROWS($AF$2:AF662),$AF$2:$AF$1001,0),1)&gt;=100000,INDEX($AM$1005:$BM$1005,1,MATCH(COLUMNS($AM$1006:BK1006),$AM$1006:$BM$1006,0))&gt;=100000), " ",IF(INDEX($AM$2:$BM$1001,MATCH(ROWS($AF$2:AF662),$AF$2:$AF$1001,0),MATCH(COLUMNS($AM$1006:BK1006),$AM$1006:$BM$1006,0)), HYPERLINK("#",""), HYPERLINK(CONCATENATE("#metadata!", ADDRESS(INDEX($AH$2:$AH$1001,MATCH(ROWS($AF$2:AF662),$AF$2:$AF$1001,0),0), INDEX($AM$1004:$BM$1004,1,MATCH(COLUMNS($AM$1006:BK1006),$AM$1006:$BM$1006,0)))),"Fix")))</f>
        <v xml:space="preserve"> </v>
      </c>
      <c r="AA662" s="4" t="str">
        <f ca="1">IF(OR(INDEX($AG$2:$AG$1001,MATCH(ROWS($AF$2:AF662),$AF$2:$AF$1001,0),1)&gt;=100000,INDEX($AM$1005:$BM$1005,1,MATCH(COLUMNS($AM$1006:BL1006),$AM$1006:$BM$1006,0))&gt;=100000), " ",IF(INDEX($AM$2:$BM$1001,MATCH(ROWS($AF$2:AF662),$AF$2:$AF$1001,0),MATCH(COLUMNS($AM$1006:BL1006),$AM$1006:$BM$1006,0)), HYPERLINK("#",""), HYPERLINK(CONCATENATE("#metadata!", ADDRESS(INDEX($AH$2:$AH$1001,MATCH(ROWS($AF$2:AF662),$AF$2:$AF$1001,0),0), INDEX($AM$1004:$BM$1004,1,MATCH(COLUMNS($AM$1006:BL1006),$AM$1006:$BM$1006,0)))),"Fix")))</f>
        <v xml:space="preserve"> </v>
      </c>
      <c r="AB662" s="4" t="str">
        <f ca="1">IF(OR(INDEX($AG$2:$AG$1001,MATCH(ROWS($AF$2:AF662),$AF$2:$AF$1001,0),1)&gt;=100000,INDEX($AM$1005:$BM$1005,1,MATCH(COLUMNS($AM$1006:BM1006),$AM$1006:$BM$1006,0))&gt;=100000), " ",IF(INDEX($AM$2:$BM$1001,MATCH(ROWS($AF$2:AF662),$AF$2:$AF$1001,0),MATCH(COLUMNS($AM$1006:BM1006),$AM$1006:$BM$1006,0)), HYPERLINK("#",""), HYPERLINK(CONCATENATE("#metadata!", ADDRESS(INDEX($AH$2:$AH$1001,MATCH(ROWS($AF$2:AF662),$AF$2:$AF$1001,0),0), INDEX($AM$1004:$BM$1004,1,MATCH(COLUMNS($AM$1006:BM1006),$AM$1006:$BM$1006,0)))),"Fix")))</f>
        <v xml:space="preserve"> </v>
      </c>
      <c r="AF662">
        <v>661</v>
      </c>
      <c r="AG662">
        <v>100662</v>
      </c>
      <c r="AH662">
        <v>662</v>
      </c>
      <c r="AI662" t="b">
        <f t="shared" si="10"/>
        <v>1</v>
      </c>
      <c r="AJ662" t="b">
        <f>COUNTBLANK(metadata!B662:AB662)=COLUMNS(metadata!B662:AB662)</f>
        <v>1</v>
      </c>
      <c r="AK662" t="str">
        <v/>
      </c>
      <c r="AM662" t="b">
        <f ca="1">AND(IF(metadata!B662="",FALSE,TRUE),COUNTIF(metadata!B:B, metadata!B662) = 1,NOT(ISERROR(SUMPRODUCT(SEARCH(MID(metadata!B662,ROW(INDIRECT("1:"&amp;LEN(metadata!B662))), 1),"0123456789abcdefghijklmnopqrstuvwxyzABCDEFGHIJKLMNOPQRSTUVWXYZ.")))))</f>
        <v>0</v>
      </c>
      <c r="AN662" t="b">
        <f ca="1">OR(AND(IF(metadata!C662="",FALSE,TRUE),OR(EXACT(metadata!C662,"missing: not collected"),EXACT(metadata!C662,"missing: not provided"),EXACT(metadata!C662,"missing: restricted access"))),AND(IF(metadata!C662="",FALSE,TRUE),AND(AND(IFERROR(INT(LEFT(metadata!C662,4))&gt;1900,FALSE),IFERROR(INT(LEFT(metadata!C662,4))&lt;=YEAR(NOW()),FALSE)), OR(MID(metadata!C662,5,1)="", AND(AND(MID(metadata!C662,5,1)="-",IFERROR(INT(MID(metadata!C662,6,1))&gt;=0,FALSE),IFERROR(INT(MID(metadata!C662,6,1))&lt;=1,FALSE),NOT(MID(metadata!C662,7,1)=""),IFERROR(INT(MID(metadata!C662,6,2))&gt;=1,FALSE),IFERROR(INT(MID(metadata!C662,6,2))&lt;=12,FALSE)), OR(MID(metadata!C662,8,1)="", AND(AND(MID(metadata!C662,8,1)="-",IFERROR(INT(MID(metadata!C662,9,1))&gt;=0,FALSE),IFERROR(INT(MID(metadata!C662,9,1))&lt;=3,FALSE),NOT(MID(metadata!C662,10,1)=""),IFERROR(INT(MID(metadata!C662,9,2))&gt;=1,FALSE),IFERROR(INT(MID(metadata!C662,9,2))&lt;=31,FALSE)), OR(MID(metadata!C662,11,1)="", AND(AND(MID(metadata!C662,11,1)=" ",IFERROR(INT(MID(metadata!C662,12,1))&gt;=0,FALSE),IFERROR(INT(MID(metadata!C662,12,1))&lt;=2,FALSE),NOT(MID(metadata!C662,13,1)=""),IFERROR(INT(MID(metadata!C662,12,2))&gt;=0,FALSE),IFERROR(INT(MID(metadata!C662,12,2))&lt;=23,FALSE)), OR(MID(metadata!C662,14,1)="", AND(AND(MID(metadata!C662,14,1)=":",IFERROR(INT(MID(metadata!C662,15,1))&gt;=0,FALSE),IFERROR(INT(MID(metadata!C662,15,1))&lt;=5,FALSE),NOT(MID(metadata!C662,16,1)=""),IFERROR(INT(MID(metadata!C662,15,2))&gt;=0,FALSE),IFERROR(INT(MID(metadata!C662,15,2))&lt;=59,FALSE)), OR(MID(metadata!C662,17,1)="", AND(AND(MID(metadata!C662,17,1)=":",IFERROR(INT(MID(metadata!C662,18,1))&gt;=0,FALSE),IFERROR(INT(MID(metadata!C662,18,1))&lt;=5,FALSE),NOT(MID(metadata!C662,19,1)=""),IFERROR(INT(MID(metadata!C662,18,2))&gt;=0,FALSE),IFERROR(INT(MID(metadata!C662,18,2))&lt;=59,FALSE)), LEN(metadata!C662)&lt;=19)))))))))))))</f>
        <v>0</v>
      </c>
      <c r="AO662" t="b">
        <f>AND(IF(metadata!D662="",FALSE,TRUE),EXACT(metadata!D662,"Not applicable"))</f>
        <v>0</v>
      </c>
      <c r="AP662" t="b">
        <f>IF(metadata!E662="",FALSE,TRUE)</f>
        <v>0</v>
      </c>
      <c r="AQ662" t="b">
        <f>OR(AND(IF(metadata!F662="",FALSE,TRUE),OR(EXACT(metadata!F662,"missing: not collected"),EXACT(metadata!F662,"missing: not provided"))),AND(IF(metadata!F662="",FALSE,TRUE),OR(EXACT(metadata!F662,"TRUE"),EXACT(metadata!F662,"FALSE"))))</f>
        <v>0</v>
      </c>
      <c r="AR662" t="b">
        <f>OR(AND(IF(metadata!G662="",FALSE,TRUE),OR(EXACT(metadata!G662,"missing: not collected"),EXACT(metadata!G662,"missing: not provided"),EXACT(metadata!G662,"missing: restricted access"))),AND(IF(metadata!G662="",FALSE,ISNUMBER(VALUE(metadata!G662))),metadata!G662&gt;=-413))</f>
        <v>0</v>
      </c>
      <c r="AS662" t="b">
        <f>AND(IF(metadata!H662="",FALSE,TRUE),EXACT(metadata!H662,"meters"))</f>
        <v>0</v>
      </c>
      <c r="AT662" t="b">
        <f>AND(IF(metadata!I662="",FALSE,TRUE),OR(EXACT(metadata!I662,"Host-associated"),EXACT(metadata!I662,"Free-living")))</f>
        <v>0</v>
      </c>
      <c r="AU662" t="b">
        <f>AND(IF(metadata!J662="",FALSE,TRUE),OR(EXACT(metadata!J662,"Animal"),EXACT(metadata!J662,"Fungus"),EXACT(metadata!J662,"Plant"),EXACT(metadata!J662,"Saline"),EXACT(metadata!J662,"Non-saline")))</f>
        <v>0</v>
      </c>
      <c r="AV662" t="b">
        <f>AND(IF(metadata!K662="",FALSE,TRUE),OR(EXACT(metadata!K662,"Plant secretion"),EXACT(metadata!K662,"Plant rhizosphere"),EXACT(metadata!K662,"Plant surface"),EXACT(metadata!K662,"Plant corpus"),EXACT(metadata!K662,"Fungus surface"),EXACT(metadata!K662,"Fungus corpus"),EXACT(metadata!K662,"Animal surface"),EXACT(metadata!K662,"Animal proximal gut"),EXACT(metadata!K662,"Animal corpus"),EXACT(metadata!K662,"Animal distal gut"),EXACT(metadata!K662,"Animal secretion"),EXACT(metadata!K662,"Sub-surface (non-saline)"),EXACT(metadata!K662,"Surface (non-saline)"),EXACT(metadata!K662,"Water (non-saline)"),EXACT(metadata!K662,"Soil (non-saline)"),EXACT(metadata!K662,"Aerosol (non-saline)"),EXACT(metadata!K662,"Sediment (non-saline)"),EXACT(metadata!K662,"Surface (saline)"),EXACT(metadata!K662,"Water (saline)"),EXACT(metadata!K662,"Hypersaline (saline)"),EXACT(metadata!K662,"Aerosol (saline)"),EXACT(metadata!K662,"Sediment (saline)")))</f>
        <v>0</v>
      </c>
      <c r="AW662" t="b">
        <f>IF(metadata!L662="",FALSE,TRUE)</f>
        <v>0</v>
      </c>
      <c r="AX662" t="b">
        <f>IF(metadata!M662="",FALSE,TRUE)</f>
        <v>0</v>
      </c>
      <c r="AY662" t="b">
        <f>IF(metadata!N662="",FALSE,TRUE)</f>
        <v>0</v>
      </c>
      <c r="AZ662" t="b">
        <f>OR(AND(IF(metadata!O662="",FALSE,TRUE),OR(EXACT(metadata!O662,"missing: not collected"),EXACT(metadata!O662,"missing: not provided"),EXACT(metadata!O662,"missing: restricted access"))),AND(IF(metadata!O662="",FALSE,TRUE),OR(EXACT(metadata!O662,"air"),EXACT(metadata!O662,"built environment"),EXACT(metadata!O662,"host-associated"),EXACT(metadata!O662,"human-associated"),EXACT(metadata!O662,"human-skin"),EXACT(metadata!O662,"human-oral"),EXACT(metadata!O662,"human-gut"),EXACT(metadata!O662,"human-vaginal"),EXACT(metadata!O662,"microbial mat/biofilm"),EXACT(metadata!O662,"misc environment"),EXACT(metadata!O662,"plant-associated"),EXACT(metadata!O662,"sediment"),EXACT(metadata!O662,"soil"),EXACT(metadata!O662,"wastewater/sludge"),EXACT(metadata!O662,"water"))))</f>
        <v>0</v>
      </c>
      <c r="BA662" t="b">
        <f>IF(metadata!P662="",FALSE,TRUE)</f>
        <v>0</v>
      </c>
      <c r="BB662" t="b">
        <f>IF(metadata!Q662="",FALSE,TRUE)</f>
        <v>0</v>
      </c>
      <c r="BC662" t="b">
        <f>OR(AND(IF(metadata!R662="",FALSE,TRUE),OR(EXACT(metadata!R662,"missing: not collected"),EXACT(metadata!R662,"missing: not provided"),EXACT(metadata!R662,"missing: restricted access"))),AND(IF(metadata!R662="",FALSE,ISNUMBER(VALUE(metadata!R662))),metadata!R662&gt;=-90,metadata!R662&lt;=90))</f>
        <v>0</v>
      </c>
      <c r="BD662" t="b">
        <f>AND(IF(metadata!S662="",FALSE,TRUE),EXACT(metadata!S662,"Decimal degrees"))</f>
        <v>0</v>
      </c>
      <c r="BE662" t="b">
        <f>OR(AND(IF(metadata!T662="",FALSE,TRUE),OR(EXACT(metadata!T662,"missing: not collected"),EXACT(metadata!T662,"missing: not provided"),EXACT(metadata!T662,"missing: restricted access"))),AND(IF(metadata!T662="",FALSE,ISNUMBER(VALUE(metadata!T662))),metadata!T662&gt;=-180,metadata!T662&lt;=180))</f>
        <v>0</v>
      </c>
      <c r="BF662" t="b">
        <f>AND(IF(metadata!U662="",FALSE,TRUE),EXACT(metadata!U662,"Decimal degrees"))</f>
        <v>0</v>
      </c>
      <c r="BG662" t="b">
        <f>IF(metadata!V662="",FALSE,TRUE)</f>
        <v>0</v>
      </c>
      <c r="BH662" t="b">
        <f>OR(AND(IF(metadata!W662="",FALSE,TRUE),OR(EXACT(metadata!W662,"missing: not collected"),EXACT(metadata!W662,"missing: not provided"),EXACT(metadata!W662,"missing: restricted access"))),AND(IF(metadata!W662="",FALSE,TRUE),OR(EXACT(metadata!W662,"TRUE"),EXACT(metadata!W662,"FALSE"))))</f>
        <v>0</v>
      </c>
      <c r="BI662" t="b">
        <f>AND(IF(metadata!X662="",FALSE,TRUE),EXACT(metadata!X662,"other"))</f>
        <v>0</v>
      </c>
      <c r="BJ662" t="b">
        <f>IF(metadata!Y662="",FALSE,TRUE)</f>
        <v>0</v>
      </c>
      <c r="BK662" t="b">
        <f>OR(AND(IF(metadata!Z662="",FALSE,TRUE),OR(EXACT(metadata!Z662,"missing: not collected"),EXACT(metadata!Z662,"missing: not provided"))),AND(IF(metadata!Z662="",FALSE,IF(ISERROR(INT(metadata!Z662)),FALSE,INT(metadata!Z662)=metadata!Z662)),metadata!Z662&gt;0))</f>
        <v>0</v>
      </c>
      <c r="BL662" t="b">
        <f>AND(IF(metadata!AA662="",FALSE,TRUE),EXACT(metadata!AA662,"Not applicable"))</f>
        <v>0</v>
      </c>
      <c r="BM662" t="b">
        <f>IF(metadata!AB662="",FALSE,TRUE)</f>
        <v>0</v>
      </c>
    </row>
    <row r="663" spans="1:65" x14ac:dyDescent="0.2">
      <c r="A663" s="5" t="str">
        <f ca="1">IF(B663=" "," ",HYPERLINK(CONCATENATE("#metadata!",ADDRESS(INDEX($AH$2:$AH$1001,MATCH(ROWS($AF$2:AF663),$AF$2:$AF$1001,0),0),1)),INDEX($AK$2:$AK$1001,MATCH(ROWS($AF$2:AF663),$AF$2:$AF$1001,0),0)))</f>
        <v xml:space="preserve"> </v>
      </c>
      <c r="B663" s="4" t="str">
        <f ca="1">IF(OR(INDEX($AG$2:$AG$1001,MATCH(ROWS($AF$2:AF663),$AF$2:$AF$1001,0),1)&gt;=100000,INDEX($AM$1005:$BM$1005,1,MATCH(COLUMNS($AM$1006:AM1006),$AM$1006:$BM$1006,0))&gt;=100000), " ",IF(INDEX($AM$2:$BM$1001,MATCH(ROWS($AF$2:AF663),$AF$2:$AF$1001,0),MATCH(COLUMNS($AM$1006:AM1006),$AM$1006:$BM$1006,0)), HYPERLINK("#",""), HYPERLINK(CONCATENATE("#metadata!", ADDRESS(INDEX($AH$2:$AH$1001,MATCH(ROWS($AF$2:AF663),$AF$2:$AF$1001,0),0), INDEX($AM$1004:$BM$1004,1,MATCH(COLUMNS($AM$1006:AM1006),$AM$1006:$BM$1006,0)))),"Fix")))</f>
        <v xml:space="preserve"> </v>
      </c>
      <c r="C663" s="4" t="str">
        <f ca="1">IF(OR(INDEX($AG$2:$AG$1001,MATCH(ROWS($AF$2:AF663),$AF$2:$AF$1001,0),1)&gt;=100000,INDEX($AM$1005:$BM$1005,1,MATCH(COLUMNS($AM$1006:AN1006),$AM$1006:$BM$1006,0))&gt;=100000), " ",IF(INDEX($AM$2:$BM$1001,MATCH(ROWS($AF$2:AF663),$AF$2:$AF$1001,0),MATCH(COLUMNS($AM$1006:AN1006),$AM$1006:$BM$1006,0)), HYPERLINK("#",""), HYPERLINK(CONCATENATE("#metadata!", ADDRESS(INDEX($AH$2:$AH$1001,MATCH(ROWS($AF$2:AF663),$AF$2:$AF$1001,0),0), INDEX($AM$1004:$BM$1004,1,MATCH(COLUMNS($AM$1006:AN1006),$AM$1006:$BM$1006,0)))),"Fix")))</f>
        <v xml:space="preserve"> </v>
      </c>
      <c r="D663" s="4" t="str">
        <f ca="1">IF(OR(INDEX($AG$2:$AG$1001,MATCH(ROWS($AF$2:AF663),$AF$2:$AF$1001,0),1)&gt;=100000,INDEX($AM$1005:$BM$1005,1,MATCH(COLUMNS($AM$1006:AO1006),$AM$1006:$BM$1006,0))&gt;=100000), " ",IF(INDEX($AM$2:$BM$1001,MATCH(ROWS($AF$2:AF663),$AF$2:$AF$1001,0),MATCH(COLUMNS($AM$1006:AO1006),$AM$1006:$BM$1006,0)), HYPERLINK("#",""), HYPERLINK(CONCATENATE("#metadata!", ADDRESS(INDEX($AH$2:$AH$1001,MATCH(ROWS($AF$2:AF663),$AF$2:$AF$1001,0),0), INDEX($AM$1004:$BM$1004,1,MATCH(COLUMNS($AM$1006:AO1006),$AM$1006:$BM$1006,0)))),"Fix")))</f>
        <v xml:space="preserve"> </v>
      </c>
      <c r="E663" s="4" t="str">
        <f ca="1">IF(OR(INDEX($AG$2:$AG$1001,MATCH(ROWS($AF$2:AF663),$AF$2:$AF$1001,0),1)&gt;=100000,INDEX($AM$1005:$BM$1005,1,MATCH(COLUMNS($AM$1006:AP1006),$AM$1006:$BM$1006,0))&gt;=100000), " ",IF(INDEX($AM$2:$BM$1001,MATCH(ROWS($AF$2:AF663),$AF$2:$AF$1001,0),MATCH(COLUMNS($AM$1006:AP1006),$AM$1006:$BM$1006,0)), HYPERLINK("#",""), HYPERLINK(CONCATENATE("#metadata!", ADDRESS(INDEX($AH$2:$AH$1001,MATCH(ROWS($AF$2:AF663),$AF$2:$AF$1001,0),0), INDEX($AM$1004:$BM$1004,1,MATCH(COLUMNS($AM$1006:AP1006),$AM$1006:$BM$1006,0)))),"Fix")))</f>
        <v xml:space="preserve"> </v>
      </c>
      <c r="F663" s="4" t="str">
        <f ca="1">IF(OR(INDEX($AG$2:$AG$1001,MATCH(ROWS($AF$2:AF663),$AF$2:$AF$1001,0),1)&gt;=100000,INDEX($AM$1005:$BM$1005,1,MATCH(COLUMNS($AM$1006:AQ1006),$AM$1006:$BM$1006,0))&gt;=100000), " ",IF(INDEX($AM$2:$BM$1001,MATCH(ROWS($AF$2:AF663),$AF$2:$AF$1001,0),MATCH(COLUMNS($AM$1006:AQ1006),$AM$1006:$BM$1006,0)), HYPERLINK("#",""), HYPERLINK(CONCATENATE("#metadata!", ADDRESS(INDEX($AH$2:$AH$1001,MATCH(ROWS($AF$2:AF663),$AF$2:$AF$1001,0),0), INDEX($AM$1004:$BM$1004,1,MATCH(COLUMNS($AM$1006:AQ1006),$AM$1006:$BM$1006,0)))),"Fix")))</f>
        <v xml:space="preserve"> </v>
      </c>
      <c r="G663" s="4" t="str">
        <f ca="1">IF(OR(INDEX($AG$2:$AG$1001,MATCH(ROWS($AF$2:AF663),$AF$2:$AF$1001,0),1)&gt;=100000,INDEX($AM$1005:$BM$1005,1,MATCH(COLUMNS($AM$1006:AR1006),$AM$1006:$BM$1006,0))&gt;=100000), " ",IF(INDEX($AM$2:$BM$1001,MATCH(ROWS($AF$2:AF663),$AF$2:$AF$1001,0),MATCH(COLUMNS($AM$1006:AR1006),$AM$1006:$BM$1006,0)), HYPERLINK("#",""), HYPERLINK(CONCATENATE("#metadata!", ADDRESS(INDEX($AH$2:$AH$1001,MATCH(ROWS($AF$2:AF663),$AF$2:$AF$1001,0),0), INDEX($AM$1004:$BM$1004,1,MATCH(COLUMNS($AM$1006:AR1006),$AM$1006:$BM$1006,0)))),"Fix")))</f>
        <v xml:space="preserve"> </v>
      </c>
      <c r="H663" s="4" t="str">
        <f ca="1">IF(OR(INDEX($AG$2:$AG$1001,MATCH(ROWS($AF$2:AF663),$AF$2:$AF$1001,0),1)&gt;=100000,INDEX($AM$1005:$BM$1005,1,MATCH(COLUMNS($AM$1006:AS1006),$AM$1006:$BM$1006,0))&gt;=100000), " ",IF(INDEX($AM$2:$BM$1001,MATCH(ROWS($AF$2:AF663),$AF$2:$AF$1001,0),MATCH(COLUMNS($AM$1006:AS1006),$AM$1006:$BM$1006,0)), HYPERLINK("#",""), HYPERLINK(CONCATENATE("#metadata!", ADDRESS(INDEX($AH$2:$AH$1001,MATCH(ROWS($AF$2:AF663),$AF$2:$AF$1001,0),0), INDEX($AM$1004:$BM$1004,1,MATCH(COLUMNS($AM$1006:AS1006),$AM$1006:$BM$1006,0)))),"Fix")))</f>
        <v xml:space="preserve"> </v>
      </c>
      <c r="I663" s="4" t="str">
        <f ca="1">IF(OR(INDEX($AG$2:$AG$1001,MATCH(ROWS($AF$2:AF663),$AF$2:$AF$1001,0),1)&gt;=100000,INDEX($AM$1005:$BM$1005,1,MATCH(COLUMNS($AM$1006:AT1006),$AM$1006:$BM$1006,0))&gt;=100000), " ",IF(INDEX($AM$2:$BM$1001,MATCH(ROWS($AF$2:AF663),$AF$2:$AF$1001,0),MATCH(COLUMNS($AM$1006:AT1006),$AM$1006:$BM$1006,0)), HYPERLINK("#",""), HYPERLINK(CONCATENATE("#metadata!", ADDRESS(INDEX($AH$2:$AH$1001,MATCH(ROWS($AF$2:AF663),$AF$2:$AF$1001,0),0), INDEX($AM$1004:$BM$1004,1,MATCH(COLUMNS($AM$1006:AT1006),$AM$1006:$BM$1006,0)))),"Fix")))</f>
        <v xml:space="preserve"> </v>
      </c>
      <c r="J663" s="4" t="str">
        <f ca="1">IF(OR(INDEX($AG$2:$AG$1001,MATCH(ROWS($AF$2:AF663),$AF$2:$AF$1001,0),1)&gt;=100000,INDEX($AM$1005:$BM$1005,1,MATCH(COLUMNS($AM$1006:AU1006),$AM$1006:$BM$1006,0))&gt;=100000), " ",IF(INDEX($AM$2:$BM$1001,MATCH(ROWS($AF$2:AF663),$AF$2:$AF$1001,0),MATCH(COLUMNS($AM$1006:AU1006),$AM$1006:$BM$1006,0)), HYPERLINK("#",""), HYPERLINK(CONCATENATE("#metadata!", ADDRESS(INDEX($AH$2:$AH$1001,MATCH(ROWS($AF$2:AF663),$AF$2:$AF$1001,0),0), INDEX($AM$1004:$BM$1004,1,MATCH(COLUMNS($AM$1006:AU1006),$AM$1006:$BM$1006,0)))),"Fix")))</f>
        <v xml:space="preserve"> </v>
      </c>
      <c r="K663" s="4" t="str">
        <f ca="1">IF(OR(INDEX($AG$2:$AG$1001,MATCH(ROWS($AF$2:AF663),$AF$2:$AF$1001,0),1)&gt;=100000,INDEX($AM$1005:$BM$1005,1,MATCH(COLUMNS($AM$1006:AV1006),$AM$1006:$BM$1006,0))&gt;=100000), " ",IF(INDEX($AM$2:$BM$1001,MATCH(ROWS($AF$2:AF663),$AF$2:$AF$1001,0),MATCH(COLUMNS($AM$1006:AV1006),$AM$1006:$BM$1006,0)), HYPERLINK("#",""), HYPERLINK(CONCATENATE("#metadata!", ADDRESS(INDEX($AH$2:$AH$1001,MATCH(ROWS($AF$2:AF663),$AF$2:$AF$1001,0),0), INDEX($AM$1004:$BM$1004,1,MATCH(COLUMNS($AM$1006:AV1006),$AM$1006:$BM$1006,0)))),"Fix")))</f>
        <v xml:space="preserve"> </v>
      </c>
      <c r="L663" s="4" t="str">
        <f ca="1">IF(OR(INDEX($AG$2:$AG$1001,MATCH(ROWS($AF$2:AF663),$AF$2:$AF$1001,0),1)&gt;=100000,INDEX($AM$1005:$BM$1005,1,MATCH(COLUMNS($AM$1006:AW1006),$AM$1006:$BM$1006,0))&gt;=100000), " ",IF(INDEX($AM$2:$BM$1001,MATCH(ROWS($AF$2:AF663),$AF$2:$AF$1001,0),MATCH(COLUMNS($AM$1006:AW1006),$AM$1006:$BM$1006,0)), HYPERLINK("#",""), HYPERLINK(CONCATENATE("#metadata!", ADDRESS(INDEX($AH$2:$AH$1001,MATCH(ROWS($AF$2:AF663),$AF$2:$AF$1001,0),0), INDEX($AM$1004:$BM$1004,1,MATCH(COLUMNS($AM$1006:AW1006),$AM$1006:$BM$1006,0)))),"Fix")))</f>
        <v xml:space="preserve"> </v>
      </c>
      <c r="M663" s="4" t="str">
        <f ca="1">IF(OR(INDEX($AG$2:$AG$1001,MATCH(ROWS($AF$2:AF663),$AF$2:$AF$1001,0),1)&gt;=100000,INDEX($AM$1005:$BM$1005,1,MATCH(COLUMNS($AM$1006:AX1006),$AM$1006:$BM$1006,0))&gt;=100000), " ",IF(INDEX($AM$2:$BM$1001,MATCH(ROWS($AF$2:AF663),$AF$2:$AF$1001,0),MATCH(COLUMNS($AM$1006:AX1006),$AM$1006:$BM$1006,0)), HYPERLINK("#",""), HYPERLINK(CONCATENATE("#metadata!", ADDRESS(INDEX($AH$2:$AH$1001,MATCH(ROWS($AF$2:AF663),$AF$2:$AF$1001,0),0), INDEX($AM$1004:$BM$1004,1,MATCH(COLUMNS($AM$1006:AX1006),$AM$1006:$BM$1006,0)))),"Fix")))</f>
        <v xml:space="preserve"> </v>
      </c>
      <c r="N663" s="4" t="str">
        <f ca="1">IF(OR(INDEX($AG$2:$AG$1001,MATCH(ROWS($AF$2:AF663),$AF$2:$AF$1001,0),1)&gt;=100000,INDEX($AM$1005:$BM$1005,1,MATCH(COLUMNS($AM$1006:AY1006),$AM$1006:$BM$1006,0))&gt;=100000), " ",IF(INDEX($AM$2:$BM$1001,MATCH(ROWS($AF$2:AF663),$AF$2:$AF$1001,0),MATCH(COLUMNS($AM$1006:AY1006),$AM$1006:$BM$1006,0)), HYPERLINK("#",""), HYPERLINK(CONCATENATE("#metadata!", ADDRESS(INDEX($AH$2:$AH$1001,MATCH(ROWS($AF$2:AF663),$AF$2:$AF$1001,0),0), INDEX($AM$1004:$BM$1004,1,MATCH(COLUMNS($AM$1006:AY1006),$AM$1006:$BM$1006,0)))),"Fix")))</f>
        <v xml:space="preserve"> </v>
      </c>
      <c r="O663" s="4" t="str">
        <f ca="1">IF(OR(INDEX($AG$2:$AG$1001,MATCH(ROWS($AF$2:AF663),$AF$2:$AF$1001,0),1)&gt;=100000,INDEX($AM$1005:$BM$1005,1,MATCH(COLUMNS($AM$1006:AZ1006),$AM$1006:$BM$1006,0))&gt;=100000), " ",IF(INDEX($AM$2:$BM$1001,MATCH(ROWS($AF$2:AF663),$AF$2:$AF$1001,0),MATCH(COLUMNS($AM$1006:AZ1006),$AM$1006:$BM$1006,0)), HYPERLINK("#",""), HYPERLINK(CONCATENATE("#metadata!", ADDRESS(INDEX($AH$2:$AH$1001,MATCH(ROWS($AF$2:AF663),$AF$2:$AF$1001,0),0), INDEX($AM$1004:$BM$1004,1,MATCH(COLUMNS($AM$1006:AZ1006),$AM$1006:$BM$1006,0)))),"Fix")))</f>
        <v xml:space="preserve"> </v>
      </c>
      <c r="P663" s="4" t="str">
        <f ca="1">IF(OR(INDEX($AG$2:$AG$1001,MATCH(ROWS($AF$2:AF663),$AF$2:$AF$1001,0),1)&gt;=100000,INDEX($AM$1005:$BM$1005,1,MATCH(COLUMNS($AM$1006:BA1006),$AM$1006:$BM$1006,0))&gt;=100000), " ",IF(INDEX($AM$2:$BM$1001,MATCH(ROWS($AF$2:AF663),$AF$2:$AF$1001,0),MATCH(COLUMNS($AM$1006:BA1006),$AM$1006:$BM$1006,0)), HYPERLINK("#",""), HYPERLINK(CONCATENATE("#metadata!", ADDRESS(INDEX($AH$2:$AH$1001,MATCH(ROWS($AF$2:AF663),$AF$2:$AF$1001,0),0), INDEX($AM$1004:$BM$1004,1,MATCH(COLUMNS($AM$1006:BA1006),$AM$1006:$BM$1006,0)))),"Fix")))</f>
        <v xml:space="preserve"> </v>
      </c>
      <c r="Q663" s="4" t="str">
        <f ca="1">IF(OR(INDEX($AG$2:$AG$1001,MATCH(ROWS($AF$2:AF663),$AF$2:$AF$1001,0),1)&gt;=100000,INDEX($AM$1005:$BM$1005,1,MATCH(COLUMNS($AM$1006:BB1006),$AM$1006:$BM$1006,0))&gt;=100000), " ",IF(INDEX($AM$2:$BM$1001,MATCH(ROWS($AF$2:AF663),$AF$2:$AF$1001,0),MATCH(COLUMNS($AM$1006:BB1006),$AM$1006:$BM$1006,0)), HYPERLINK("#",""), HYPERLINK(CONCATENATE("#metadata!", ADDRESS(INDEX($AH$2:$AH$1001,MATCH(ROWS($AF$2:AF663),$AF$2:$AF$1001,0),0), INDEX($AM$1004:$BM$1004,1,MATCH(COLUMNS($AM$1006:BB1006),$AM$1006:$BM$1006,0)))),"Fix")))</f>
        <v xml:space="preserve"> </v>
      </c>
      <c r="R663" s="4" t="str">
        <f ca="1">IF(OR(INDEX($AG$2:$AG$1001,MATCH(ROWS($AF$2:AF663),$AF$2:$AF$1001,0),1)&gt;=100000,INDEX($AM$1005:$BM$1005,1,MATCH(COLUMNS($AM$1006:BC1006),$AM$1006:$BM$1006,0))&gt;=100000), " ",IF(INDEX($AM$2:$BM$1001,MATCH(ROWS($AF$2:AF663),$AF$2:$AF$1001,0),MATCH(COLUMNS($AM$1006:BC1006),$AM$1006:$BM$1006,0)), HYPERLINK("#",""), HYPERLINK(CONCATENATE("#metadata!", ADDRESS(INDEX($AH$2:$AH$1001,MATCH(ROWS($AF$2:AF663),$AF$2:$AF$1001,0),0), INDEX($AM$1004:$BM$1004,1,MATCH(COLUMNS($AM$1006:BC1006),$AM$1006:$BM$1006,0)))),"Fix")))</f>
        <v xml:space="preserve"> </v>
      </c>
      <c r="S663" s="4" t="str">
        <f ca="1">IF(OR(INDEX($AG$2:$AG$1001,MATCH(ROWS($AF$2:AF663),$AF$2:$AF$1001,0),1)&gt;=100000,INDEX($AM$1005:$BM$1005,1,MATCH(COLUMNS($AM$1006:BD1006),$AM$1006:$BM$1006,0))&gt;=100000), " ",IF(INDEX($AM$2:$BM$1001,MATCH(ROWS($AF$2:AF663),$AF$2:$AF$1001,0),MATCH(COLUMNS($AM$1006:BD1006),$AM$1006:$BM$1006,0)), HYPERLINK("#",""), HYPERLINK(CONCATENATE("#metadata!", ADDRESS(INDEX($AH$2:$AH$1001,MATCH(ROWS($AF$2:AF663),$AF$2:$AF$1001,0),0), INDEX($AM$1004:$BM$1004,1,MATCH(COLUMNS($AM$1006:BD1006),$AM$1006:$BM$1006,0)))),"Fix")))</f>
        <v xml:space="preserve"> </v>
      </c>
      <c r="T663" s="4" t="str">
        <f ca="1">IF(OR(INDEX($AG$2:$AG$1001,MATCH(ROWS($AF$2:AF663),$AF$2:$AF$1001,0),1)&gt;=100000,INDEX($AM$1005:$BM$1005,1,MATCH(COLUMNS($AM$1006:BE1006),$AM$1006:$BM$1006,0))&gt;=100000), " ",IF(INDEX($AM$2:$BM$1001,MATCH(ROWS($AF$2:AF663),$AF$2:$AF$1001,0),MATCH(COLUMNS($AM$1006:BE1006),$AM$1006:$BM$1006,0)), HYPERLINK("#",""), HYPERLINK(CONCATENATE("#metadata!", ADDRESS(INDEX($AH$2:$AH$1001,MATCH(ROWS($AF$2:AF663),$AF$2:$AF$1001,0),0), INDEX($AM$1004:$BM$1004,1,MATCH(COLUMNS($AM$1006:BE1006),$AM$1006:$BM$1006,0)))),"Fix")))</f>
        <v xml:space="preserve"> </v>
      </c>
      <c r="U663" s="4" t="str">
        <f ca="1">IF(OR(INDEX($AG$2:$AG$1001,MATCH(ROWS($AF$2:AF663),$AF$2:$AF$1001,0),1)&gt;=100000,INDEX($AM$1005:$BM$1005,1,MATCH(COLUMNS($AM$1006:BF1006),$AM$1006:$BM$1006,0))&gt;=100000), " ",IF(INDEX($AM$2:$BM$1001,MATCH(ROWS($AF$2:AF663),$AF$2:$AF$1001,0),MATCH(COLUMNS($AM$1006:BF1006),$AM$1006:$BM$1006,0)), HYPERLINK("#",""), HYPERLINK(CONCATENATE("#metadata!", ADDRESS(INDEX($AH$2:$AH$1001,MATCH(ROWS($AF$2:AF663),$AF$2:$AF$1001,0),0), INDEX($AM$1004:$BM$1004,1,MATCH(COLUMNS($AM$1006:BF1006),$AM$1006:$BM$1006,0)))),"Fix")))</f>
        <v xml:space="preserve"> </v>
      </c>
      <c r="V663" s="4" t="str">
        <f ca="1">IF(OR(INDEX($AG$2:$AG$1001,MATCH(ROWS($AF$2:AF663),$AF$2:$AF$1001,0),1)&gt;=100000,INDEX($AM$1005:$BM$1005,1,MATCH(COLUMNS($AM$1006:BG1006),$AM$1006:$BM$1006,0))&gt;=100000), " ",IF(INDEX($AM$2:$BM$1001,MATCH(ROWS($AF$2:AF663),$AF$2:$AF$1001,0),MATCH(COLUMNS($AM$1006:BG1006),$AM$1006:$BM$1006,0)), HYPERLINK("#",""), HYPERLINK(CONCATENATE("#metadata!", ADDRESS(INDEX($AH$2:$AH$1001,MATCH(ROWS($AF$2:AF663),$AF$2:$AF$1001,0),0), INDEX($AM$1004:$BM$1004,1,MATCH(COLUMNS($AM$1006:BG1006),$AM$1006:$BM$1006,0)))),"Fix")))</f>
        <v xml:space="preserve"> </v>
      </c>
      <c r="W663" s="4" t="str">
        <f ca="1">IF(OR(INDEX($AG$2:$AG$1001,MATCH(ROWS($AF$2:AF663),$AF$2:$AF$1001,0),1)&gt;=100000,INDEX($AM$1005:$BM$1005,1,MATCH(COLUMNS($AM$1006:BH1006),$AM$1006:$BM$1006,0))&gt;=100000), " ",IF(INDEX($AM$2:$BM$1001,MATCH(ROWS($AF$2:AF663),$AF$2:$AF$1001,0),MATCH(COLUMNS($AM$1006:BH1006),$AM$1006:$BM$1006,0)), HYPERLINK("#",""), HYPERLINK(CONCATENATE("#metadata!", ADDRESS(INDEX($AH$2:$AH$1001,MATCH(ROWS($AF$2:AF663),$AF$2:$AF$1001,0),0), INDEX($AM$1004:$BM$1004,1,MATCH(COLUMNS($AM$1006:BH1006),$AM$1006:$BM$1006,0)))),"Fix")))</f>
        <v xml:space="preserve"> </v>
      </c>
      <c r="X663" s="4" t="str">
        <f ca="1">IF(OR(INDEX($AG$2:$AG$1001,MATCH(ROWS($AF$2:AF663),$AF$2:$AF$1001,0),1)&gt;=100000,INDEX($AM$1005:$BM$1005,1,MATCH(COLUMNS($AM$1006:BI1006),$AM$1006:$BM$1006,0))&gt;=100000), " ",IF(INDEX($AM$2:$BM$1001,MATCH(ROWS($AF$2:AF663),$AF$2:$AF$1001,0),MATCH(COLUMNS($AM$1006:BI1006),$AM$1006:$BM$1006,0)), HYPERLINK("#",""), HYPERLINK(CONCATENATE("#metadata!", ADDRESS(INDEX($AH$2:$AH$1001,MATCH(ROWS($AF$2:AF663),$AF$2:$AF$1001,0),0), INDEX($AM$1004:$BM$1004,1,MATCH(COLUMNS($AM$1006:BI1006),$AM$1006:$BM$1006,0)))),"Fix")))</f>
        <v xml:space="preserve"> </v>
      </c>
      <c r="Y663" s="4" t="str">
        <f ca="1">IF(OR(INDEX($AG$2:$AG$1001,MATCH(ROWS($AF$2:AF663),$AF$2:$AF$1001,0),1)&gt;=100000,INDEX($AM$1005:$BM$1005,1,MATCH(COLUMNS($AM$1006:BJ1006),$AM$1006:$BM$1006,0))&gt;=100000), " ",IF(INDEX($AM$2:$BM$1001,MATCH(ROWS($AF$2:AF663),$AF$2:$AF$1001,0),MATCH(COLUMNS($AM$1006:BJ1006),$AM$1006:$BM$1006,0)), HYPERLINK("#",""), HYPERLINK(CONCATENATE("#metadata!", ADDRESS(INDEX($AH$2:$AH$1001,MATCH(ROWS($AF$2:AF663),$AF$2:$AF$1001,0),0), INDEX($AM$1004:$BM$1004,1,MATCH(COLUMNS($AM$1006:BJ1006),$AM$1006:$BM$1006,0)))),"Fix")))</f>
        <v xml:space="preserve"> </v>
      </c>
      <c r="Z663" s="4" t="str">
        <f ca="1">IF(OR(INDEX($AG$2:$AG$1001,MATCH(ROWS($AF$2:AF663),$AF$2:$AF$1001,0),1)&gt;=100000,INDEX($AM$1005:$BM$1005,1,MATCH(COLUMNS($AM$1006:BK1006),$AM$1006:$BM$1006,0))&gt;=100000), " ",IF(INDEX($AM$2:$BM$1001,MATCH(ROWS($AF$2:AF663),$AF$2:$AF$1001,0),MATCH(COLUMNS($AM$1006:BK1006),$AM$1006:$BM$1006,0)), HYPERLINK("#",""), HYPERLINK(CONCATENATE("#metadata!", ADDRESS(INDEX($AH$2:$AH$1001,MATCH(ROWS($AF$2:AF663),$AF$2:$AF$1001,0),0), INDEX($AM$1004:$BM$1004,1,MATCH(COLUMNS($AM$1006:BK1006),$AM$1006:$BM$1006,0)))),"Fix")))</f>
        <v xml:space="preserve"> </v>
      </c>
      <c r="AA663" s="4" t="str">
        <f ca="1">IF(OR(INDEX($AG$2:$AG$1001,MATCH(ROWS($AF$2:AF663),$AF$2:$AF$1001,0),1)&gt;=100000,INDEX($AM$1005:$BM$1005,1,MATCH(COLUMNS($AM$1006:BL1006),$AM$1006:$BM$1006,0))&gt;=100000), " ",IF(INDEX($AM$2:$BM$1001,MATCH(ROWS($AF$2:AF663),$AF$2:$AF$1001,0),MATCH(COLUMNS($AM$1006:BL1006),$AM$1006:$BM$1006,0)), HYPERLINK("#",""), HYPERLINK(CONCATENATE("#metadata!", ADDRESS(INDEX($AH$2:$AH$1001,MATCH(ROWS($AF$2:AF663),$AF$2:$AF$1001,0),0), INDEX($AM$1004:$BM$1004,1,MATCH(COLUMNS($AM$1006:BL1006),$AM$1006:$BM$1006,0)))),"Fix")))</f>
        <v xml:space="preserve"> </v>
      </c>
      <c r="AB663" s="4" t="str">
        <f ca="1">IF(OR(INDEX($AG$2:$AG$1001,MATCH(ROWS($AF$2:AF663),$AF$2:$AF$1001,0),1)&gt;=100000,INDEX($AM$1005:$BM$1005,1,MATCH(COLUMNS($AM$1006:BM1006),$AM$1006:$BM$1006,0))&gt;=100000), " ",IF(INDEX($AM$2:$BM$1001,MATCH(ROWS($AF$2:AF663),$AF$2:$AF$1001,0),MATCH(COLUMNS($AM$1006:BM1006),$AM$1006:$BM$1006,0)), HYPERLINK("#",""), HYPERLINK(CONCATENATE("#metadata!", ADDRESS(INDEX($AH$2:$AH$1001,MATCH(ROWS($AF$2:AF663),$AF$2:$AF$1001,0),0), INDEX($AM$1004:$BM$1004,1,MATCH(COLUMNS($AM$1006:BM1006),$AM$1006:$BM$1006,0)))),"Fix")))</f>
        <v xml:space="preserve"> </v>
      </c>
      <c r="AF663">
        <v>662</v>
      </c>
      <c r="AG663">
        <v>100663</v>
      </c>
      <c r="AH663">
        <v>663</v>
      </c>
      <c r="AI663" t="b">
        <f t="shared" si="10"/>
        <v>1</v>
      </c>
      <c r="AJ663" t="b">
        <f>COUNTBLANK(metadata!B663:AB663)=COLUMNS(metadata!B663:AB663)</f>
        <v>1</v>
      </c>
      <c r="AK663" t="str">
        <v/>
      </c>
      <c r="AM663" t="b">
        <f ca="1">AND(IF(metadata!B663="",FALSE,TRUE),COUNTIF(metadata!B:B, metadata!B663) = 1,NOT(ISERROR(SUMPRODUCT(SEARCH(MID(metadata!B663,ROW(INDIRECT("1:"&amp;LEN(metadata!B663))), 1),"0123456789abcdefghijklmnopqrstuvwxyzABCDEFGHIJKLMNOPQRSTUVWXYZ.")))))</f>
        <v>0</v>
      </c>
      <c r="AN663" t="b">
        <f ca="1">OR(AND(IF(metadata!C663="",FALSE,TRUE),OR(EXACT(metadata!C663,"missing: not collected"),EXACT(metadata!C663,"missing: not provided"),EXACT(metadata!C663,"missing: restricted access"))),AND(IF(metadata!C663="",FALSE,TRUE),AND(AND(IFERROR(INT(LEFT(metadata!C663,4))&gt;1900,FALSE),IFERROR(INT(LEFT(metadata!C663,4))&lt;=YEAR(NOW()),FALSE)), OR(MID(metadata!C663,5,1)="", AND(AND(MID(metadata!C663,5,1)="-",IFERROR(INT(MID(metadata!C663,6,1))&gt;=0,FALSE),IFERROR(INT(MID(metadata!C663,6,1))&lt;=1,FALSE),NOT(MID(metadata!C663,7,1)=""),IFERROR(INT(MID(metadata!C663,6,2))&gt;=1,FALSE),IFERROR(INT(MID(metadata!C663,6,2))&lt;=12,FALSE)), OR(MID(metadata!C663,8,1)="", AND(AND(MID(metadata!C663,8,1)="-",IFERROR(INT(MID(metadata!C663,9,1))&gt;=0,FALSE),IFERROR(INT(MID(metadata!C663,9,1))&lt;=3,FALSE),NOT(MID(metadata!C663,10,1)=""),IFERROR(INT(MID(metadata!C663,9,2))&gt;=1,FALSE),IFERROR(INT(MID(metadata!C663,9,2))&lt;=31,FALSE)), OR(MID(metadata!C663,11,1)="", AND(AND(MID(metadata!C663,11,1)=" ",IFERROR(INT(MID(metadata!C663,12,1))&gt;=0,FALSE),IFERROR(INT(MID(metadata!C663,12,1))&lt;=2,FALSE),NOT(MID(metadata!C663,13,1)=""),IFERROR(INT(MID(metadata!C663,12,2))&gt;=0,FALSE),IFERROR(INT(MID(metadata!C663,12,2))&lt;=23,FALSE)), OR(MID(metadata!C663,14,1)="", AND(AND(MID(metadata!C663,14,1)=":",IFERROR(INT(MID(metadata!C663,15,1))&gt;=0,FALSE),IFERROR(INT(MID(metadata!C663,15,1))&lt;=5,FALSE),NOT(MID(metadata!C663,16,1)=""),IFERROR(INT(MID(metadata!C663,15,2))&gt;=0,FALSE),IFERROR(INT(MID(metadata!C663,15,2))&lt;=59,FALSE)), OR(MID(metadata!C663,17,1)="", AND(AND(MID(metadata!C663,17,1)=":",IFERROR(INT(MID(metadata!C663,18,1))&gt;=0,FALSE),IFERROR(INT(MID(metadata!C663,18,1))&lt;=5,FALSE),NOT(MID(metadata!C663,19,1)=""),IFERROR(INT(MID(metadata!C663,18,2))&gt;=0,FALSE),IFERROR(INT(MID(metadata!C663,18,2))&lt;=59,FALSE)), LEN(metadata!C663)&lt;=19)))))))))))))</f>
        <v>0</v>
      </c>
      <c r="AO663" t="b">
        <f>AND(IF(metadata!D663="",FALSE,TRUE),EXACT(metadata!D663,"Not applicable"))</f>
        <v>0</v>
      </c>
      <c r="AP663" t="b">
        <f>IF(metadata!E663="",FALSE,TRUE)</f>
        <v>0</v>
      </c>
      <c r="AQ663" t="b">
        <f>OR(AND(IF(metadata!F663="",FALSE,TRUE),OR(EXACT(metadata!F663,"missing: not collected"),EXACT(metadata!F663,"missing: not provided"))),AND(IF(metadata!F663="",FALSE,TRUE),OR(EXACT(metadata!F663,"TRUE"),EXACT(metadata!F663,"FALSE"))))</f>
        <v>0</v>
      </c>
      <c r="AR663" t="b">
        <f>OR(AND(IF(metadata!G663="",FALSE,TRUE),OR(EXACT(metadata!G663,"missing: not collected"),EXACT(metadata!G663,"missing: not provided"),EXACT(metadata!G663,"missing: restricted access"))),AND(IF(metadata!G663="",FALSE,ISNUMBER(VALUE(metadata!G663))),metadata!G663&gt;=-413))</f>
        <v>0</v>
      </c>
      <c r="AS663" t="b">
        <f>AND(IF(metadata!H663="",FALSE,TRUE),EXACT(metadata!H663,"meters"))</f>
        <v>0</v>
      </c>
      <c r="AT663" t="b">
        <f>AND(IF(metadata!I663="",FALSE,TRUE),OR(EXACT(metadata!I663,"Host-associated"),EXACT(metadata!I663,"Free-living")))</f>
        <v>0</v>
      </c>
      <c r="AU663" t="b">
        <f>AND(IF(metadata!J663="",FALSE,TRUE),OR(EXACT(metadata!J663,"Animal"),EXACT(metadata!J663,"Fungus"),EXACT(metadata!J663,"Plant"),EXACT(metadata!J663,"Saline"),EXACT(metadata!J663,"Non-saline")))</f>
        <v>0</v>
      </c>
      <c r="AV663" t="b">
        <f>AND(IF(metadata!K663="",FALSE,TRUE),OR(EXACT(metadata!K663,"Plant secretion"),EXACT(metadata!K663,"Plant rhizosphere"),EXACT(metadata!K663,"Plant surface"),EXACT(metadata!K663,"Plant corpus"),EXACT(metadata!K663,"Fungus surface"),EXACT(metadata!K663,"Fungus corpus"),EXACT(metadata!K663,"Animal surface"),EXACT(metadata!K663,"Animal proximal gut"),EXACT(metadata!K663,"Animal corpus"),EXACT(metadata!K663,"Animal distal gut"),EXACT(metadata!K663,"Animal secretion"),EXACT(metadata!K663,"Sub-surface (non-saline)"),EXACT(metadata!K663,"Surface (non-saline)"),EXACT(metadata!K663,"Water (non-saline)"),EXACT(metadata!K663,"Soil (non-saline)"),EXACT(metadata!K663,"Aerosol (non-saline)"),EXACT(metadata!K663,"Sediment (non-saline)"),EXACT(metadata!K663,"Surface (saline)"),EXACT(metadata!K663,"Water (saline)"),EXACT(metadata!K663,"Hypersaline (saline)"),EXACT(metadata!K663,"Aerosol (saline)"),EXACT(metadata!K663,"Sediment (saline)")))</f>
        <v>0</v>
      </c>
      <c r="AW663" t="b">
        <f>IF(metadata!L663="",FALSE,TRUE)</f>
        <v>0</v>
      </c>
      <c r="AX663" t="b">
        <f>IF(metadata!M663="",FALSE,TRUE)</f>
        <v>0</v>
      </c>
      <c r="AY663" t="b">
        <f>IF(metadata!N663="",FALSE,TRUE)</f>
        <v>0</v>
      </c>
      <c r="AZ663" t="b">
        <f>OR(AND(IF(metadata!O663="",FALSE,TRUE),OR(EXACT(metadata!O663,"missing: not collected"),EXACT(metadata!O663,"missing: not provided"),EXACT(metadata!O663,"missing: restricted access"))),AND(IF(metadata!O663="",FALSE,TRUE),OR(EXACT(metadata!O663,"air"),EXACT(metadata!O663,"built environment"),EXACT(metadata!O663,"host-associated"),EXACT(metadata!O663,"human-associated"),EXACT(metadata!O663,"human-skin"),EXACT(metadata!O663,"human-oral"),EXACT(metadata!O663,"human-gut"),EXACT(metadata!O663,"human-vaginal"),EXACT(metadata!O663,"microbial mat/biofilm"),EXACT(metadata!O663,"misc environment"),EXACT(metadata!O663,"plant-associated"),EXACT(metadata!O663,"sediment"),EXACT(metadata!O663,"soil"),EXACT(metadata!O663,"wastewater/sludge"),EXACT(metadata!O663,"water"))))</f>
        <v>0</v>
      </c>
      <c r="BA663" t="b">
        <f>IF(metadata!P663="",FALSE,TRUE)</f>
        <v>0</v>
      </c>
      <c r="BB663" t="b">
        <f>IF(metadata!Q663="",FALSE,TRUE)</f>
        <v>0</v>
      </c>
      <c r="BC663" t="b">
        <f>OR(AND(IF(metadata!R663="",FALSE,TRUE),OR(EXACT(metadata!R663,"missing: not collected"),EXACT(metadata!R663,"missing: not provided"),EXACT(metadata!R663,"missing: restricted access"))),AND(IF(metadata!R663="",FALSE,ISNUMBER(VALUE(metadata!R663))),metadata!R663&gt;=-90,metadata!R663&lt;=90))</f>
        <v>0</v>
      </c>
      <c r="BD663" t="b">
        <f>AND(IF(metadata!S663="",FALSE,TRUE),EXACT(metadata!S663,"Decimal degrees"))</f>
        <v>0</v>
      </c>
      <c r="BE663" t="b">
        <f>OR(AND(IF(metadata!T663="",FALSE,TRUE),OR(EXACT(metadata!T663,"missing: not collected"),EXACT(metadata!T663,"missing: not provided"),EXACT(metadata!T663,"missing: restricted access"))),AND(IF(metadata!T663="",FALSE,ISNUMBER(VALUE(metadata!T663))),metadata!T663&gt;=-180,metadata!T663&lt;=180))</f>
        <v>0</v>
      </c>
      <c r="BF663" t="b">
        <f>AND(IF(metadata!U663="",FALSE,TRUE),EXACT(metadata!U663,"Decimal degrees"))</f>
        <v>0</v>
      </c>
      <c r="BG663" t="b">
        <f>IF(metadata!V663="",FALSE,TRUE)</f>
        <v>0</v>
      </c>
      <c r="BH663" t="b">
        <f>OR(AND(IF(metadata!W663="",FALSE,TRUE),OR(EXACT(metadata!W663,"missing: not collected"),EXACT(metadata!W663,"missing: not provided"),EXACT(metadata!W663,"missing: restricted access"))),AND(IF(metadata!W663="",FALSE,TRUE),OR(EXACT(metadata!W663,"TRUE"),EXACT(metadata!W663,"FALSE"))))</f>
        <v>0</v>
      </c>
      <c r="BI663" t="b">
        <f>AND(IF(metadata!X663="",FALSE,TRUE),EXACT(metadata!X663,"other"))</f>
        <v>0</v>
      </c>
      <c r="BJ663" t="b">
        <f>IF(metadata!Y663="",FALSE,TRUE)</f>
        <v>0</v>
      </c>
      <c r="BK663" t="b">
        <f>OR(AND(IF(metadata!Z663="",FALSE,TRUE),OR(EXACT(metadata!Z663,"missing: not collected"),EXACT(metadata!Z663,"missing: not provided"))),AND(IF(metadata!Z663="",FALSE,IF(ISERROR(INT(metadata!Z663)),FALSE,INT(metadata!Z663)=metadata!Z663)),metadata!Z663&gt;0))</f>
        <v>0</v>
      </c>
      <c r="BL663" t="b">
        <f>AND(IF(metadata!AA663="",FALSE,TRUE),EXACT(metadata!AA663,"Not applicable"))</f>
        <v>0</v>
      </c>
      <c r="BM663" t="b">
        <f>IF(metadata!AB663="",FALSE,TRUE)</f>
        <v>0</v>
      </c>
    </row>
    <row r="664" spans="1:65" x14ac:dyDescent="0.2">
      <c r="A664" s="5" t="str">
        <f ca="1">IF(B664=" "," ",HYPERLINK(CONCATENATE("#metadata!",ADDRESS(INDEX($AH$2:$AH$1001,MATCH(ROWS($AF$2:AF664),$AF$2:$AF$1001,0),0),1)),INDEX($AK$2:$AK$1001,MATCH(ROWS($AF$2:AF664),$AF$2:$AF$1001,0),0)))</f>
        <v xml:space="preserve"> </v>
      </c>
      <c r="B664" s="4" t="str">
        <f ca="1">IF(OR(INDEX($AG$2:$AG$1001,MATCH(ROWS($AF$2:AF664),$AF$2:$AF$1001,0),1)&gt;=100000,INDEX($AM$1005:$BM$1005,1,MATCH(COLUMNS($AM$1006:AM1006),$AM$1006:$BM$1006,0))&gt;=100000), " ",IF(INDEX($AM$2:$BM$1001,MATCH(ROWS($AF$2:AF664),$AF$2:$AF$1001,0),MATCH(COLUMNS($AM$1006:AM1006),$AM$1006:$BM$1006,0)), HYPERLINK("#",""), HYPERLINK(CONCATENATE("#metadata!", ADDRESS(INDEX($AH$2:$AH$1001,MATCH(ROWS($AF$2:AF664),$AF$2:$AF$1001,0),0), INDEX($AM$1004:$BM$1004,1,MATCH(COLUMNS($AM$1006:AM1006),$AM$1006:$BM$1006,0)))),"Fix")))</f>
        <v xml:space="preserve"> </v>
      </c>
      <c r="C664" s="4" t="str">
        <f ca="1">IF(OR(INDEX($AG$2:$AG$1001,MATCH(ROWS($AF$2:AF664),$AF$2:$AF$1001,0),1)&gt;=100000,INDEX($AM$1005:$BM$1005,1,MATCH(COLUMNS($AM$1006:AN1006),$AM$1006:$BM$1006,0))&gt;=100000), " ",IF(INDEX($AM$2:$BM$1001,MATCH(ROWS($AF$2:AF664),$AF$2:$AF$1001,0),MATCH(COLUMNS($AM$1006:AN1006),$AM$1006:$BM$1006,0)), HYPERLINK("#",""), HYPERLINK(CONCATENATE("#metadata!", ADDRESS(INDEX($AH$2:$AH$1001,MATCH(ROWS($AF$2:AF664),$AF$2:$AF$1001,0),0), INDEX($AM$1004:$BM$1004,1,MATCH(COLUMNS($AM$1006:AN1006),$AM$1006:$BM$1006,0)))),"Fix")))</f>
        <v xml:space="preserve"> </v>
      </c>
      <c r="D664" s="4" t="str">
        <f ca="1">IF(OR(INDEX($AG$2:$AG$1001,MATCH(ROWS($AF$2:AF664),$AF$2:$AF$1001,0),1)&gt;=100000,INDEX($AM$1005:$BM$1005,1,MATCH(COLUMNS($AM$1006:AO1006),$AM$1006:$BM$1006,0))&gt;=100000), " ",IF(INDEX($AM$2:$BM$1001,MATCH(ROWS($AF$2:AF664),$AF$2:$AF$1001,0),MATCH(COLUMNS($AM$1006:AO1006),$AM$1006:$BM$1006,0)), HYPERLINK("#",""), HYPERLINK(CONCATENATE("#metadata!", ADDRESS(INDEX($AH$2:$AH$1001,MATCH(ROWS($AF$2:AF664),$AF$2:$AF$1001,0),0), INDEX($AM$1004:$BM$1004,1,MATCH(COLUMNS($AM$1006:AO1006),$AM$1006:$BM$1006,0)))),"Fix")))</f>
        <v xml:space="preserve"> </v>
      </c>
      <c r="E664" s="4" t="str">
        <f ca="1">IF(OR(INDEX($AG$2:$AG$1001,MATCH(ROWS($AF$2:AF664),$AF$2:$AF$1001,0),1)&gt;=100000,INDEX($AM$1005:$BM$1005,1,MATCH(COLUMNS($AM$1006:AP1006),$AM$1006:$BM$1006,0))&gt;=100000), " ",IF(INDEX($AM$2:$BM$1001,MATCH(ROWS($AF$2:AF664),$AF$2:$AF$1001,0),MATCH(COLUMNS($AM$1006:AP1006),$AM$1006:$BM$1006,0)), HYPERLINK("#",""), HYPERLINK(CONCATENATE("#metadata!", ADDRESS(INDEX($AH$2:$AH$1001,MATCH(ROWS($AF$2:AF664),$AF$2:$AF$1001,0),0), INDEX($AM$1004:$BM$1004,1,MATCH(COLUMNS($AM$1006:AP1006),$AM$1006:$BM$1006,0)))),"Fix")))</f>
        <v xml:space="preserve"> </v>
      </c>
      <c r="F664" s="4" t="str">
        <f ca="1">IF(OR(INDEX($AG$2:$AG$1001,MATCH(ROWS($AF$2:AF664),$AF$2:$AF$1001,0),1)&gt;=100000,INDEX($AM$1005:$BM$1005,1,MATCH(COLUMNS($AM$1006:AQ1006),$AM$1006:$BM$1006,0))&gt;=100000), " ",IF(INDEX($AM$2:$BM$1001,MATCH(ROWS($AF$2:AF664),$AF$2:$AF$1001,0),MATCH(COLUMNS($AM$1006:AQ1006),$AM$1006:$BM$1006,0)), HYPERLINK("#",""), HYPERLINK(CONCATENATE("#metadata!", ADDRESS(INDEX($AH$2:$AH$1001,MATCH(ROWS($AF$2:AF664),$AF$2:$AF$1001,0),0), INDEX($AM$1004:$BM$1004,1,MATCH(COLUMNS($AM$1006:AQ1006),$AM$1006:$BM$1006,0)))),"Fix")))</f>
        <v xml:space="preserve"> </v>
      </c>
      <c r="G664" s="4" t="str">
        <f ca="1">IF(OR(INDEX($AG$2:$AG$1001,MATCH(ROWS($AF$2:AF664),$AF$2:$AF$1001,0),1)&gt;=100000,INDEX($AM$1005:$BM$1005,1,MATCH(COLUMNS($AM$1006:AR1006),$AM$1006:$BM$1006,0))&gt;=100000), " ",IF(INDEX($AM$2:$BM$1001,MATCH(ROWS($AF$2:AF664),$AF$2:$AF$1001,0),MATCH(COLUMNS($AM$1006:AR1006),$AM$1006:$BM$1006,0)), HYPERLINK("#",""), HYPERLINK(CONCATENATE("#metadata!", ADDRESS(INDEX($AH$2:$AH$1001,MATCH(ROWS($AF$2:AF664),$AF$2:$AF$1001,0),0), INDEX($AM$1004:$BM$1004,1,MATCH(COLUMNS($AM$1006:AR1006),$AM$1006:$BM$1006,0)))),"Fix")))</f>
        <v xml:space="preserve"> </v>
      </c>
      <c r="H664" s="4" t="str">
        <f ca="1">IF(OR(INDEX($AG$2:$AG$1001,MATCH(ROWS($AF$2:AF664),$AF$2:$AF$1001,0),1)&gt;=100000,INDEX($AM$1005:$BM$1005,1,MATCH(COLUMNS($AM$1006:AS1006),$AM$1006:$BM$1006,0))&gt;=100000), " ",IF(INDEX($AM$2:$BM$1001,MATCH(ROWS($AF$2:AF664),$AF$2:$AF$1001,0),MATCH(COLUMNS($AM$1006:AS1006),$AM$1006:$BM$1006,0)), HYPERLINK("#",""), HYPERLINK(CONCATENATE("#metadata!", ADDRESS(INDEX($AH$2:$AH$1001,MATCH(ROWS($AF$2:AF664),$AF$2:$AF$1001,0),0), INDEX($AM$1004:$BM$1004,1,MATCH(COLUMNS($AM$1006:AS1006),$AM$1006:$BM$1006,0)))),"Fix")))</f>
        <v xml:space="preserve"> </v>
      </c>
      <c r="I664" s="4" t="str">
        <f ca="1">IF(OR(INDEX($AG$2:$AG$1001,MATCH(ROWS($AF$2:AF664),$AF$2:$AF$1001,0),1)&gt;=100000,INDEX($AM$1005:$BM$1005,1,MATCH(COLUMNS($AM$1006:AT1006),$AM$1006:$BM$1006,0))&gt;=100000), " ",IF(INDEX($AM$2:$BM$1001,MATCH(ROWS($AF$2:AF664),$AF$2:$AF$1001,0),MATCH(COLUMNS($AM$1006:AT1006),$AM$1006:$BM$1006,0)), HYPERLINK("#",""), HYPERLINK(CONCATENATE("#metadata!", ADDRESS(INDEX($AH$2:$AH$1001,MATCH(ROWS($AF$2:AF664),$AF$2:$AF$1001,0),0), INDEX($AM$1004:$BM$1004,1,MATCH(COLUMNS($AM$1006:AT1006),$AM$1006:$BM$1006,0)))),"Fix")))</f>
        <v xml:space="preserve"> </v>
      </c>
      <c r="J664" s="4" t="str">
        <f ca="1">IF(OR(INDEX($AG$2:$AG$1001,MATCH(ROWS($AF$2:AF664),$AF$2:$AF$1001,0),1)&gt;=100000,INDEX($AM$1005:$BM$1005,1,MATCH(COLUMNS($AM$1006:AU1006),$AM$1006:$BM$1006,0))&gt;=100000), " ",IF(INDEX($AM$2:$BM$1001,MATCH(ROWS($AF$2:AF664),$AF$2:$AF$1001,0),MATCH(COLUMNS($AM$1006:AU1006),$AM$1006:$BM$1006,0)), HYPERLINK("#",""), HYPERLINK(CONCATENATE("#metadata!", ADDRESS(INDEX($AH$2:$AH$1001,MATCH(ROWS($AF$2:AF664),$AF$2:$AF$1001,0),0), INDEX($AM$1004:$BM$1004,1,MATCH(COLUMNS($AM$1006:AU1006),$AM$1006:$BM$1006,0)))),"Fix")))</f>
        <v xml:space="preserve"> </v>
      </c>
      <c r="K664" s="4" t="str">
        <f ca="1">IF(OR(INDEX($AG$2:$AG$1001,MATCH(ROWS($AF$2:AF664),$AF$2:$AF$1001,0),1)&gt;=100000,INDEX($AM$1005:$BM$1005,1,MATCH(COLUMNS($AM$1006:AV1006),$AM$1006:$BM$1006,0))&gt;=100000), " ",IF(INDEX($AM$2:$BM$1001,MATCH(ROWS($AF$2:AF664),$AF$2:$AF$1001,0),MATCH(COLUMNS($AM$1006:AV1006),$AM$1006:$BM$1006,0)), HYPERLINK("#",""), HYPERLINK(CONCATENATE("#metadata!", ADDRESS(INDEX($AH$2:$AH$1001,MATCH(ROWS($AF$2:AF664),$AF$2:$AF$1001,0),0), INDEX($AM$1004:$BM$1004,1,MATCH(COLUMNS($AM$1006:AV1006),$AM$1006:$BM$1006,0)))),"Fix")))</f>
        <v xml:space="preserve"> </v>
      </c>
      <c r="L664" s="4" t="str">
        <f ca="1">IF(OR(INDEX($AG$2:$AG$1001,MATCH(ROWS($AF$2:AF664),$AF$2:$AF$1001,0),1)&gt;=100000,INDEX($AM$1005:$BM$1005,1,MATCH(COLUMNS($AM$1006:AW1006),$AM$1006:$BM$1006,0))&gt;=100000), " ",IF(INDEX($AM$2:$BM$1001,MATCH(ROWS($AF$2:AF664),$AF$2:$AF$1001,0),MATCH(COLUMNS($AM$1006:AW1006),$AM$1006:$BM$1006,0)), HYPERLINK("#",""), HYPERLINK(CONCATENATE("#metadata!", ADDRESS(INDEX($AH$2:$AH$1001,MATCH(ROWS($AF$2:AF664),$AF$2:$AF$1001,0),0), INDEX($AM$1004:$BM$1004,1,MATCH(COLUMNS($AM$1006:AW1006),$AM$1006:$BM$1006,0)))),"Fix")))</f>
        <v xml:space="preserve"> </v>
      </c>
      <c r="M664" s="4" t="str">
        <f ca="1">IF(OR(INDEX($AG$2:$AG$1001,MATCH(ROWS($AF$2:AF664),$AF$2:$AF$1001,0),1)&gt;=100000,INDEX($AM$1005:$BM$1005,1,MATCH(COLUMNS($AM$1006:AX1006),$AM$1006:$BM$1006,0))&gt;=100000), " ",IF(INDEX($AM$2:$BM$1001,MATCH(ROWS($AF$2:AF664),$AF$2:$AF$1001,0),MATCH(COLUMNS($AM$1006:AX1006),$AM$1006:$BM$1006,0)), HYPERLINK("#",""), HYPERLINK(CONCATENATE("#metadata!", ADDRESS(INDEX($AH$2:$AH$1001,MATCH(ROWS($AF$2:AF664),$AF$2:$AF$1001,0),0), INDEX($AM$1004:$BM$1004,1,MATCH(COLUMNS($AM$1006:AX1006),$AM$1006:$BM$1006,0)))),"Fix")))</f>
        <v xml:space="preserve"> </v>
      </c>
      <c r="N664" s="4" t="str">
        <f ca="1">IF(OR(INDEX($AG$2:$AG$1001,MATCH(ROWS($AF$2:AF664),$AF$2:$AF$1001,0),1)&gt;=100000,INDEX($AM$1005:$BM$1005,1,MATCH(COLUMNS($AM$1006:AY1006),$AM$1006:$BM$1006,0))&gt;=100000), " ",IF(INDEX($AM$2:$BM$1001,MATCH(ROWS($AF$2:AF664),$AF$2:$AF$1001,0),MATCH(COLUMNS($AM$1006:AY1006),$AM$1006:$BM$1006,0)), HYPERLINK("#",""), HYPERLINK(CONCATENATE("#metadata!", ADDRESS(INDEX($AH$2:$AH$1001,MATCH(ROWS($AF$2:AF664),$AF$2:$AF$1001,0),0), INDEX($AM$1004:$BM$1004,1,MATCH(COLUMNS($AM$1006:AY1006),$AM$1006:$BM$1006,0)))),"Fix")))</f>
        <v xml:space="preserve"> </v>
      </c>
      <c r="O664" s="4" t="str">
        <f ca="1">IF(OR(INDEX($AG$2:$AG$1001,MATCH(ROWS($AF$2:AF664),$AF$2:$AF$1001,0),1)&gt;=100000,INDEX($AM$1005:$BM$1005,1,MATCH(COLUMNS($AM$1006:AZ1006),$AM$1006:$BM$1006,0))&gt;=100000), " ",IF(INDEX($AM$2:$BM$1001,MATCH(ROWS($AF$2:AF664),$AF$2:$AF$1001,0),MATCH(COLUMNS($AM$1006:AZ1006),$AM$1006:$BM$1006,0)), HYPERLINK("#",""), HYPERLINK(CONCATENATE("#metadata!", ADDRESS(INDEX($AH$2:$AH$1001,MATCH(ROWS($AF$2:AF664),$AF$2:$AF$1001,0),0), INDEX($AM$1004:$BM$1004,1,MATCH(COLUMNS($AM$1006:AZ1006),$AM$1006:$BM$1006,0)))),"Fix")))</f>
        <v xml:space="preserve"> </v>
      </c>
      <c r="P664" s="4" t="str">
        <f ca="1">IF(OR(INDEX($AG$2:$AG$1001,MATCH(ROWS($AF$2:AF664),$AF$2:$AF$1001,0),1)&gt;=100000,INDEX($AM$1005:$BM$1005,1,MATCH(COLUMNS($AM$1006:BA1006),$AM$1006:$BM$1006,0))&gt;=100000), " ",IF(INDEX($AM$2:$BM$1001,MATCH(ROWS($AF$2:AF664),$AF$2:$AF$1001,0),MATCH(COLUMNS($AM$1006:BA1006),$AM$1006:$BM$1006,0)), HYPERLINK("#",""), HYPERLINK(CONCATENATE("#metadata!", ADDRESS(INDEX($AH$2:$AH$1001,MATCH(ROWS($AF$2:AF664),$AF$2:$AF$1001,0),0), INDEX($AM$1004:$BM$1004,1,MATCH(COLUMNS($AM$1006:BA1006),$AM$1006:$BM$1006,0)))),"Fix")))</f>
        <v xml:space="preserve"> </v>
      </c>
      <c r="Q664" s="4" t="str">
        <f ca="1">IF(OR(INDEX($AG$2:$AG$1001,MATCH(ROWS($AF$2:AF664),$AF$2:$AF$1001,0),1)&gt;=100000,INDEX($AM$1005:$BM$1005,1,MATCH(COLUMNS($AM$1006:BB1006),$AM$1006:$BM$1006,0))&gt;=100000), " ",IF(INDEX($AM$2:$BM$1001,MATCH(ROWS($AF$2:AF664),$AF$2:$AF$1001,0),MATCH(COLUMNS($AM$1006:BB1006),$AM$1006:$BM$1006,0)), HYPERLINK("#",""), HYPERLINK(CONCATENATE("#metadata!", ADDRESS(INDEX($AH$2:$AH$1001,MATCH(ROWS($AF$2:AF664),$AF$2:$AF$1001,0),0), INDEX($AM$1004:$BM$1004,1,MATCH(COLUMNS($AM$1006:BB1006),$AM$1006:$BM$1006,0)))),"Fix")))</f>
        <v xml:space="preserve"> </v>
      </c>
      <c r="R664" s="4" t="str">
        <f ca="1">IF(OR(INDEX($AG$2:$AG$1001,MATCH(ROWS($AF$2:AF664),$AF$2:$AF$1001,0),1)&gt;=100000,INDEX($AM$1005:$BM$1005,1,MATCH(COLUMNS($AM$1006:BC1006),$AM$1006:$BM$1006,0))&gt;=100000), " ",IF(INDEX($AM$2:$BM$1001,MATCH(ROWS($AF$2:AF664),$AF$2:$AF$1001,0),MATCH(COLUMNS($AM$1006:BC1006),$AM$1006:$BM$1006,0)), HYPERLINK("#",""), HYPERLINK(CONCATENATE("#metadata!", ADDRESS(INDEX($AH$2:$AH$1001,MATCH(ROWS($AF$2:AF664),$AF$2:$AF$1001,0),0), INDEX($AM$1004:$BM$1004,1,MATCH(COLUMNS($AM$1006:BC1006),$AM$1006:$BM$1006,0)))),"Fix")))</f>
        <v xml:space="preserve"> </v>
      </c>
      <c r="S664" s="4" t="str">
        <f ca="1">IF(OR(INDEX($AG$2:$AG$1001,MATCH(ROWS($AF$2:AF664),$AF$2:$AF$1001,0),1)&gt;=100000,INDEX($AM$1005:$BM$1005,1,MATCH(COLUMNS($AM$1006:BD1006),$AM$1006:$BM$1006,0))&gt;=100000), " ",IF(INDEX($AM$2:$BM$1001,MATCH(ROWS($AF$2:AF664),$AF$2:$AF$1001,0),MATCH(COLUMNS($AM$1006:BD1006),$AM$1006:$BM$1006,0)), HYPERLINK("#",""), HYPERLINK(CONCATENATE("#metadata!", ADDRESS(INDEX($AH$2:$AH$1001,MATCH(ROWS($AF$2:AF664),$AF$2:$AF$1001,0),0), INDEX($AM$1004:$BM$1004,1,MATCH(COLUMNS($AM$1006:BD1006),$AM$1006:$BM$1006,0)))),"Fix")))</f>
        <v xml:space="preserve"> </v>
      </c>
      <c r="T664" s="4" t="str">
        <f ca="1">IF(OR(INDEX($AG$2:$AG$1001,MATCH(ROWS($AF$2:AF664),$AF$2:$AF$1001,0),1)&gt;=100000,INDEX($AM$1005:$BM$1005,1,MATCH(COLUMNS($AM$1006:BE1006),$AM$1006:$BM$1006,0))&gt;=100000), " ",IF(INDEX($AM$2:$BM$1001,MATCH(ROWS($AF$2:AF664),$AF$2:$AF$1001,0),MATCH(COLUMNS($AM$1006:BE1006),$AM$1006:$BM$1006,0)), HYPERLINK("#",""), HYPERLINK(CONCATENATE("#metadata!", ADDRESS(INDEX($AH$2:$AH$1001,MATCH(ROWS($AF$2:AF664),$AF$2:$AF$1001,0),0), INDEX($AM$1004:$BM$1004,1,MATCH(COLUMNS($AM$1006:BE1006),$AM$1006:$BM$1006,0)))),"Fix")))</f>
        <v xml:space="preserve"> </v>
      </c>
      <c r="U664" s="4" t="str">
        <f ca="1">IF(OR(INDEX($AG$2:$AG$1001,MATCH(ROWS($AF$2:AF664),$AF$2:$AF$1001,0),1)&gt;=100000,INDEX($AM$1005:$BM$1005,1,MATCH(COLUMNS($AM$1006:BF1006),$AM$1006:$BM$1006,0))&gt;=100000), " ",IF(INDEX($AM$2:$BM$1001,MATCH(ROWS($AF$2:AF664),$AF$2:$AF$1001,0),MATCH(COLUMNS($AM$1006:BF1006),$AM$1006:$BM$1006,0)), HYPERLINK("#",""), HYPERLINK(CONCATENATE("#metadata!", ADDRESS(INDEX($AH$2:$AH$1001,MATCH(ROWS($AF$2:AF664),$AF$2:$AF$1001,0),0), INDEX($AM$1004:$BM$1004,1,MATCH(COLUMNS($AM$1006:BF1006),$AM$1006:$BM$1006,0)))),"Fix")))</f>
        <v xml:space="preserve"> </v>
      </c>
      <c r="V664" s="4" t="str">
        <f ca="1">IF(OR(INDEX($AG$2:$AG$1001,MATCH(ROWS($AF$2:AF664),$AF$2:$AF$1001,0),1)&gt;=100000,INDEX($AM$1005:$BM$1005,1,MATCH(COLUMNS($AM$1006:BG1006),$AM$1006:$BM$1006,0))&gt;=100000), " ",IF(INDEX($AM$2:$BM$1001,MATCH(ROWS($AF$2:AF664),$AF$2:$AF$1001,0),MATCH(COLUMNS($AM$1006:BG1006),$AM$1006:$BM$1006,0)), HYPERLINK("#",""), HYPERLINK(CONCATENATE("#metadata!", ADDRESS(INDEX($AH$2:$AH$1001,MATCH(ROWS($AF$2:AF664),$AF$2:$AF$1001,0),0), INDEX($AM$1004:$BM$1004,1,MATCH(COLUMNS($AM$1006:BG1006),$AM$1006:$BM$1006,0)))),"Fix")))</f>
        <v xml:space="preserve"> </v>
      </c>
      <c r="W664" s="4" t="str">
        <f ca="1">IF(OR(INDEX($AG$2:$AG$1001,MATCH(ROWS($AF$2:AF664),$AF$2:$AF$1001,0),1)&gt;=100000,INDEX($AM$1005:$BM$1005,1,MATCH(COLUMNS($AM$1006:BH1006),$AM$1006:$BM$1006,0))&gt;=100000), " ",IF(INDEX($AM$2:$BM$1001,MATCH(ROWS($AF$2:AF664),$AF$2:$AF$1001,0),MATCH(COLUMNS($AM$1006:BH1006),$AM$1006:$BM$1006,0)), HYPERLINK("#",""), HYPERLINK(CONCATENATE("#metadata!", ADDRESS(INDEX($AH$2:$AH$1001,MATCH(ROWS($AF$2:AF664),$AF$2:$AF$1001,0),0), INDEX($AM$1004:$BM$1004,1,MATCH(COLUMNS($AM$1006:BH1006),$AM$1006:$BM$1006,0)))),"Fix")))</f>
        <v xml:space="preserve"> </v>
      </c>
      <c r="X664" s="4" t="str">
        <f ca="1">IF(OR(INDEX($AG$2:$AG$1001,MATCH(ROWS($AF$2:AF664),$AF$2:$AF$1001,0),1)&gt;=100000,INDEX($AM$1005:$BM$1005,1,MATCH(COLUMNS($AM$1006:BI1006),$AM$1006:$BM$1006,0))&gt;=100000), " ",IF(INDEX($AM$2:$BM$1001,MATCH(ROWS($AF$2:AF664),$AF$2:$AF$1001,0),MATCH(COLUMNS($AM$1006:BI1006),$AM$1006:$BM$1006,0)), HYPERLINK("#",""), HYPERLINK(CONCATENATE("#metadata!", ADDRESS(INDEX($AH$2:$AH$1001,MATCH(ROWS($AF$2:AF664),$AF$2:$AF$1001,0),0), INDEX($AM$1004:$BM$1004,1,MATCH(COLUMNS($AM$1006:BI1006),$AM$1006:$BM$1006,0)))),"Fix")))</f>
        <v xml:space="preserve"> </v>
      </c>
      <c r="Y664" s="4" t="str">
        <f ca="1">IF(OR(INDEX($AG$2:$AG$1001,MATCH(ROWS($AF$2:AF664),$AF$2:$AF$1001,0),1)&gt;=100000,INDEX($AM$1005:$BM$1005,1,MATCH(COLUMNS($AM$1006:BJ1006),$AM$1006:$BM$1006,0))&gt;=100000), " ",IF(INDEX($AM$2:$BM$1001,MATCH(ROWS($AF$2:AF664),$AF$2:$AF$1001,0),MATCH(COLUMNS($AM$1006:BJ1006),$AM$1006:$BM$1006,0)), HYPERLINK("#",""), HYPERLINK(CONCATENATE("#metadata!", ADDRESS(INDEX($AH$2:$AH$1001,MATCH(ROWS($AF$2:AF664),$AF$2:$AF$1001,0),0), INDEX($AM$1004:$BM$1004,1,MATCH(COLUMNS($AM$1006:BJ1006),$AM$1006:$BM$1006,0)))),"Fix")))</f>
        <v xml:space="preserve"> </v>
      </c>
      <c r="Z664" s="4" t="str">
        <f ca="1">IF(OR(INDEX($AG$2:$AG$1001,MATCH(ROWS($AF$2:AF664),$AF$2:$AF$1001,0),1)&gt;=100000,INDEX($AM$1005:$BM$1005,1,MATCH(COLUMNS($AM$1006:BK1006),$AM$1006:$BM$1006,0))&gt;=100000), " ",IF(INDEX($AM$2:$BM$1001,MATCH(ROWS($AF$2:AF664),$AF$2:$AF$1001,0),MATCH(COLUMNS($AM$1006:BK1006),$AM$1006:$BM$1006,0)), HYPERLINK("#",""), HYPERLINK(CONCATENATE("#metadata!", ADDRESS(INDEX($AH$2:$AH$1001,MATCH(ROWS($AF$2:AF664),$AF$2:$AF$1001,0),0), INDEX($AM$1004:$BM$1004,1,MATCH(COLUMNS($AM$1006:BK1006),$AM$1006:$BM$1006,0)))),"Fix")))</f>
        <v xml:space="preserve"> </v>
      </c>
      <c r="AA664" s="4" t="str">
        <f ca="1">IF(OR(INDEX($AG$2:$AG$1001,MATCH(ROWS($AF$2:AF664),$AF$2:$AF$1001,0),1)&gt;=100000,INDEX($AM$1005:$BM$1005,1,MATCH(COLUMNS($AM$1006:BL1006),$AM$1006:$BM$1006,0))&gt;=100000), " ",IF(INDEX($AM$2:$BM$1001,MATCH(ROWS($AF$2:AF664),$AF$2:$AF$1001,0),MATCH(COLUMNS($AM$1006:BL1006),$AM$1006:$BM$1006,0)), HYPERLINK("#",""), HYPERLINK(CONCATENATE("#metadata!", ADDRESS(INDEX($AH$2:$AH$1001,MATCH(ROWS($AF$2:AF664),$AF$2:$AF$1001,0),0), INDEX($AM$1004:$BM$1004,1,MATCH(COLUMNS($AM$1006:BL1006),$AM$1006:$BM$1006,0)))),"Fix")))</f>
        <v xml:space="preserve"> </v>
      </c>
      <c r="AB664" s="4" t="str">
        <f ca="1">IF(OR(INDEX($AG$2:$AG$1001,MATCH(ROWS($AF$2:AF664),$AF$2:$AF$1001,0),1)&gt;=100000,INDEX($AM$1005:$BM$1005,1,MATCH(COLUMNS($AM$1006:BM1006),$AM$1006:$BM$1006,0))&gt;=100000), " ",IF(INDEX($AM$2:$BM$1001,MATCH(ROWS($AF$2:AF664),$AF$2:$AF$1001,0),MATCH(COLUMNS($AM$1006:BM1006),$AM$1006:$BM$1006,0)), HYPERLINK("#",""), HYPERLINK(CONCATENATE("#metadata!", ADDRESS(INDEX($AH$2:$AH$1001,MATCH(ROWS($AF$2:AF664),$AF$2:$AF$1001,0),0), INDEX($AM$1004:$BM$1004,1,MATCH(COLUMNS($AM$1006:BM1006),$AM$1006:$BM$1006,0)))),"Fix")))</f>
        <v xml:space="preserve"> </v>
      </c>
      <c r="AF664">
        <v>663</v>
      </c>
      <c r="AG664">
        <v>100664</v>
      </c>
      <c r="AH664">
        <v>664</v>
      </c>
      <c r="AI664" t="b">
        <f t="shared" si="10"/>
        <v>1</v>
      </c>
      <c r="AJ664" t="b">
        <f>COUNTBLANK(metadata!B664:AB664)=COLUMNS(metadata!B664:AB664)</f>
        <v>1</v>
      </c>
      <c r="AK664" t="str">
        <v/>
      </c>
      <c r="AM664" t="b">
        <f ca="1">AND(IF(metadata!B664="",FALSE,TRUE),COUNTIF(metadata!B:B, metadata!B664) = 1,NOT(ISERROR(SUMPRODUCT(SEARCH(MID(metadata!B664,ROW(INDIRECT("1:"&amp;LEN(metadata!B664))), 1),"0123456789abcdefghijklmnopqrstuvwxyzABCDEFGHIJKLMNOPQRSTUVWXYZ.")))))</f>
        <v>0</v>
      </c>
      <c r="AN664" t="b">
        <f ca="1">OR(AND(IF(metadata!C664="",FALSE,TRUE),OR(EXACT(metadata!C664,"missing: not collected"),EXACT(metadata!C664,"missing: not provided"),EXACT(metadata!C664,"missing: restricted access"))),AND(IF(metadata!C664="",FALSE,TRUE),AND(AND(IFERROR(INT(LEFT(metadata!C664,4))&gt;1900,FALSE),IFERROR(INT(LEFT(metadata!C664,4))&lt;=YEAR(NOW()),FALSE)), OR(MID(metadata!C664,5,1)="", AND(AND(MID(metadata!C664,5,1)="-",IFERROR(INT(MID(metadata!C664,6,1))&gt;=0,FALSE),IFERROR(INT(MID(metadata!C664,6,1))&lt;=1,FALSE),NOT(MID(metadata!C664,7,1)=""),IFERROR(INT(MID(metadata!C664,6,2))&gt;=1,FALSE),IFERROR(INT(MID(metadata!C664,6,2))&lt;=12,FALSE)), OR(MID(metadata!C664,8,1)="", AND(AND(MID(metadata!C664,8,1)="-",IFERROR(INT(MID(metadata!C664,9,1))&gt;=0,FALSE),IFERROR(INT(MID(metadata!C664,9,1))&lt;=3,FALSE),NOT(MID(metadata!C664,10,1)=""),IFERROR(INT(MID(metadata!C664,9,2))&gt;=1,FALSE),IFERROR(INT(MID(metadata!C664,9,2))&lt;=31,FALSE)), OR(MID(metadata!C664,11,1)="", AND(AND(MID(metadata!C664,11,1)=" ",IFERROR(INT(MID(metadata!C664,12,1))&gt;=0,FALSE),IFERROR(INT(MID(metadata!C664,12,1))&lt;=2,FALSE),NOT(MID(metadata!C664,13,1)=""),IFERROR(INT(MID(metadata!C664,12,2))&gt;=0,FALSE),IFERROR(INT(MID(metadata!C664,12,2))&lt;=23,FALSE)), OR(MID(metadata!C664,14,1)="", AND(AND(MID(metadata!C664,14,1)=":",IFERROR(INT(MID(metadata!C664,15,1))&gt;=0,FALSE),IFERROR(INT(MID(metadata!C664,15,1))&lt;=5,FALSE),NOT(MID(metadata!C664,16,1)=""),IFERROR(INT(MID(metadata!C664,15,2))&gt;=0,FALSE),IFERROR(INT(MID(metadata!C664,15,2))&lt;=59,FALSE)), OR(MID(metadata!C664,17,1)="", AND(AND(MID(metadata!C664,17,1)=":",IFERROR(INT(MID(metadata!C664,18,1))&gt;=0,FALSE),IFERROR(INT(MID(metadata!C664,18,1))&lt;=5,FALSE),NOT(MID(metadata!C664,19,1)=""),IFERROR(INT(MID(metadata!C664,18,2))&gt;=0,FALSE),IFERROR(INT(MID(metadata!C664,18,2))&lt;=59,FALSE)), LEN(metadata!C664)&lt;=19)))))))))))))</f>
        <v>0</v>
      </c>
      <c r="AO664" t="b">
        <f>AND(IF(metadata!D664="",FALSE,TRUE),EXACT(metadata!D664,"Not applicable"))</f>
        <v>0</v>
      </c>
      <c r="AP664" t="b">
        <f>IF(metadata!E664="",FALSE,TRUE)</f>
        <v>0</v>
      </c>
      <c r="AQ664" t="b">
        <f>OR(AND(IF(metadata!F664="",FALSE,TRUE),OR(EXACT(metadata!F664,"missing: not collected"),EXACT(metadata!F664,"missing: not provided"))),AND(IF(metadata!F664="",FALSE,TRUE),OR(EXACT(metadata!F664,"TRUE"),EXACT(metadata!F664,"FALSE"))))</f>
        <v>0</v>
      </c>
      <c r="AR664" t="b">
        <f>OR(AND(IF(metadata!G664="",FALSE,TRUE),OR(EXACT(metadata!G664,"missing: not collected"),EXACT(metadata!G664,"missing: not provided"),EXACT(metadata!G664,"missing: restricted access"))),AND(IF(metadata!G664="",FALSE,ISNUMBER(VALUE(metadata!G664))),metadata!G664&gt;=-413))</f>
        <v>0</v>
      </c>
      <c r="AS664" t="b">
        <f>AND(IF(metadata!H664="",FALSE,TRUE),EXACT(metadata!H664,"meters"))</f>
        <v>0</v>
      </c>
      <c r="AT664" t="b">
        <f>AND(IF(metadata!I664="",FALSE,TRUE),OR(EXACT(metadata!I664,"Host-associated"),EXACT(metadata!I664,"Free-living")))</f>
        <v>0</v>
      </c>
      <c r="AU664" t="b">
        <f>AND(IF(metadata!J664="",FALSE,TRUE),OR(EXACT(metadata!J664,"Animal"),EXACT(metadata!J664,"Fungus"),EXACT(metadata!J664,"Plant"),EXACT(metadata!J664,"Saline"),EXACT(metadata!J664,"Non-saline")))</f>
        <v>0</v>
      </c>
      <c r="AV664" t="b">
        <f>AND(IF(metadata!K664="",FALSE,TRUE),OR(EXACT(metadata!K664,"Plant secretion"),EXACT(metadata!K664,"Plant rhizosphere"),EXACT(metadata!K664,"Plant surface"),EXACT(metadata!K664,"Plant corpus"),EXACT(metadata!K664,"Fungus surface"),EXACT(metadata!K664,"Fungus corpus"),EXACT(metadata!K664,"Animal surface"),EXACT(metadata!K664,"Animal proximal gut"),EXACT(metadata!K664,"Animal corpus"),EXACT(metadata!K664,"Animal distal gut"),EXACT(metadata!K664,"Animal secretion"),EXACT(metadata!K664,"Sub-surface (non-saline)"),EXACT(metadata!K664,"Surface (non-saline)"),EXACT(metadata!K664,"Water (non-saline)"),EXACT(metadata!K664,"Soil (non-saline)"),EXACT(metadata!K664,"Aerosol (non-saline)"),EXACT(metadata!K664,"Sediment (non-saline)"),EXACT(metadata!K664,"Surface (saline)"),EXACT(metadata!K664,"Water (saline)"),EXACT(metadata!K664,"Hypersaline (saline)"),EXACT(metadata!K664,"Aerosol (saline)"),EXACT(metadata!K664,"Sediment (saline)")))</f>
        <v>0</v>
      </c>
      <c r="AW664" t="b">
        <f>IF(metadata!L664="",FALSE,TRUE)</f>
        <v>0</v>
      </c>
      <c r="AX664" t="b">
        <f>IF(metadata!M664="",FALSE,TRUE)</f>
        <v>0</v>
      </c>
      <c r="AY664" t="b">
        <f>IF(metadata!N664="",FALSE,TRUE)</f>
        <v>0</v>
      </c>
      <c r="AZ664" t="b">
        <f>OR(AND(IF(metadata!O664="",FALSE,TRUE),OR(EXACT(metadata!O664,"missing: not collected"),EXACT(metadata!O664,"missing: not provided"),EXACT(metadata!O664,"missing: restricted access"))),AND(IF(metadata!O664="",FALSE,TRUE),OR(EXACT(metadata!O664,"air"),EXACT(metadata!O664,"built environment"),EXACT(metadata!O664,"host-associated"),EXACT(metadata!O664,"human-associated"),EXACT(metadata!O664,"human-skin"),EXACT(metadata!O664,"human-oral"),EXACT(metadata!O664,"human-gut"),EXACT(metadata!O664,"human-vaginal"),EXACT(metadata!O664,"microbial mat/biofilm"),EXACT(metadata!O664,"misc environment"),EXACT(metadata!O664,"plant-associated"),EXACT(metadata!O664,"sediment"),EXACT(metadata!O664,"soil"),EXACT(metadata!O664,"wastewater/sludge"),EXACT(metadata!O664,"water"))))</f>
        <v>0</v>
      </c>
      <c r="BA664" t="b">
        <f>IF(metadata!P664="",FALSE,TRUE)</f>
        <v>0</v>
      </c>
      <c r="BB664" t="b">
        <f>IF(metadata!Q664="",FALSE,TRUE)</f>
        <v>0</v>
      </c>
      <c r="BC664" t="b">
        <f>OR(AND(IF(metadata!R664="",FALSE,TRUE),OR(EXACT(metadata!R664,"missing: not collected"),EXACT(metadata!R664,"missing: not provided"),EXACT(metadata!R664,"missing: restricted access"))),AND(IF(metadata!R664="",FALSE,ISNUMBER(VALUE(metadata!R664))),metadata!R664&gt;=-90,metadata!R664&lt;=90))</f>
        <v>0</v>
      </c>
      <c r="BD664" t="b">
        <f>AND(IF(metadata!S664="",FALSE,TRUE),EXACT(metadata!S664,"Decimal degrees"))</f>
        <v>0</v>
      </c>
      <c r="BE664" t="b">
        <f>OR(AND(IF(metadata!T664="",FALSE,TRUE),OR(EXACT(metadata!T664,"missing: not collected"),EXACT(metadata!T664,"missing: not provided"),EXACT(metadata!T664,"missing: restricted access"))),AND(IF(metadata!T664="",FALSE,ISNUMBER(VALUE(metadata!T664))),metadata!T664&gt;=-180,metadata!T664&lt;=180))</f>
        <v>0</v>
      </c>
      <c r="BF664" t="b">
        <f>AND(IF(metadata!U664="",FALSE,TRUE),EXACT(metadata!U664,"Decimal degrees"))</f>
        <v>0</v>
      </c>
      <c r="BG664" t="b">
        <f>IF(metadata!V664="",FALSE,TRUE)</f>
        <v>0</v>
      </c>
      <c r="BH664" t="b">
        <f>OR(AND(IF(metadata!W664="",FALSE,TRUE),OR(EXACT(metadata!W664,"missing: not collected"),EXACT(metadata!W664,"missing: not provided"),EXACT(metadata!W664,"missing: restricted access"))),AND(IF(metadata!W664="",FALSE,TRUE),OR(EXACT(metadata!W664,"TRUE"),EXACT(metadata!W664,"FALSE"))))</f>
        <v>0</v>
      </c>
      <c r="BI664" t="b">
        <f>AND(IF(metadata!X664="",FALSE,TRUE),EXACT(metadata!X664,"other"))</f>
        <v>0</v>
      </c>
      <c r="BJ664" t="b">
        <f>IF(metadata!Y664="",FALSE,TRUE)</f>
        <v>0</v>
      </c>
      <c r="BK664" t="b">
        <f>OR(AND(IF(metadata!Z664="",FALSE,TRUE),OR(EXACT(metadata!Z664,"missing: not collected"),EXACT(metadata!Z664,"missing: not provided"))),AND(IF(metadata!Z664="",FALSE,IF(ISERROR(INT(metadata!Z664)),FALSE,INT(metadata!Z664)=metadata!Z664)),metadata!Z664&gt;0))</f>
        <v>0</v>
      </c>
      <c r="BL664" t="b">
        <f>AND(IF(metadata!AA664="",FALSE,TRUE),EXACT(metadata!AA664,"Not applicable"))</f>
        <v>0</v>
      </c>
      <c r="BM664" t="b">
        <f>IF(metadata!AB664="",FALSE,TRUE)</f>
        <v>0</v>
      </c>
    </row>
    <row r="665" spans="1:65" x14ac:dyDescent="0.2">
      <c r="A665" s="5" t="str">
        <f ca="1">IF(B665=" "," ",HYPERLINK(CONCATENATE("#metadata!",ADDRESS(INDEX($AH$2:$AH$1001,MATCH(ROWS($AF$2:AF665),$AF$2:$AF$1001,0),0),1)),INDEX($AK$2:$AK$1001,MATCH(ROWS($AF$2:AF665),$AF$2:$AF$1001,0),0)))</f>
        <v xml:space="preserve"> </v>
      </c>
      <c r="B665" s="4" t="str">
        <f ca="1">IF(OR(INDEX($AG$2:$AG$1001,MATCH(ROWS($AF$2:AF665),$AF$2:$AF$1001,0),1)&gt;=100000,INDEX($AM$1005:$BM$1005,1,MATCH(COLUMNS($AM$1006:AM1006),$AM$1006:$BM$1006,0))&gt;=100000), " ",IF(INDEX($AM$2:$BM$1001,MATCH(ROWS($AF$2:AF665),$AF$2:$AF$1001,0),MATCH(COLUMNS($AM$1006:AM1006),$AM$1006:$BM$1006,0)), HYPERLINK("#",""), HYPERLINK(CONCATENATE("#metadata!", ADDRESS(INDEX($AH$2:$AH$1001,MATCH(ROWS($AF$2:AF665),$AF$2:$AF$1001,0),0), INDEX($AM$1004:$BM$1004,1,MATCH(COLUMNS($AM$1006:AM1006),$AM$1006:$BM$1006,0)))),"Fix")))</f>
        <v xml:space="preserve"> </v>
      </c>
      <c r="C665" s="4" t="str">
        <f ca="1">IF(OR(INDEX($AG$2:$AG$1001,MATCH(ROWS($AF$2:AF665),$AF$2:$AF$1001,0),1)&gt;=100000,INDEX($AM$1005:$BM$1005,1,MATCH(COLUMNS($AM$1006:AN1006),$AM$1006:$BM$1006,0))&gt;=100000), " ",IF(INDEX($AM$2:$BM$1001,MATCH(ROWS($AF$2:AF665),$AF$2:$AF$1001,0),MATCH(COLUMNS($AM$1006:AN1006),$AM$1006:$BM$1006,0)), HYPERLINK("#",""), HYPERLINK(CONCATENATE("#metadata!", ADDRESS(INDEX($AH$2:$AH$1001,MATCH(ROWS($AF$2:AF665),$AF$2:$AF$1001,0),0), INDEX($AM$1004:$BM$1004,1,MATCH(COLUMNS($AM$1006:AN1006),$AM$1006:$BM$1006,0)))),"Fix")))</f>
        <v xml:space="preserve"> </v>
      </c>
      <c r="D665" s="4" t="str">
        <f ca="1">IF(OR(INDEX($AG$2:$AG$1001,MATCH(ROWS($AF$2:AF665),$AF$2:$AF$1001,0),1)&gt;=100000,INDEX($AM$1005:$BM$1005,1,MATCH(COLUMNS($AM$1006:AO1006),$AM$1006:$BM$1006,0))&gt;=100000), " ",IF(INDEX($AM$2:$BM$1001,MATCH(ROWS($AF$2:AF665),$AF$2:$AF$1001,0),MATCH(COLUMNS($AM$1006:AO1006),$AM$1006:$BM$1006,0)), HYPERLINK("#",""), HYPERLINK(CONCATENATE("#metadata!", ADDRESS(INDEX($AH$2:$AH$1001,MATCH(ROWS($AF$2:AF665),$AF$2:$AF$1001,0),0), INDEX($AM$1004:$BM$1004,1,MATCH(COLUMNS($AM$1006:AO1006),$AM$1006:$BM$1006,0)))),"Fix")))</f>
        <v xml:space="preserve"> </v>
      </c>
      <c r="E665" s="4" t="str">
        <f ca="1">IF(OR(INDEX($AG$2:$AG$1001,MATCH(ROWS($AF$2:AF665),$AF$2:$AF$1001,0),1)&gt;=100000,INDEX($AM$1005:$BM$1005,1,MATCH(COLUMNS($AM$1006:AP1006),$AM$1006:$BM$1006,0))&gt;=100000), " ",IF(INDEX($AM$2:$BM$1001,MATCH(ROWS($AF$2:AF665),$AF$2:$AF$1001,0),MATCH(COLUMNS($AM$1006:AP1006),$AM$1006:$BM$1006,0)), HYPERLINK("#",""), HYPERLINK(CONCATENATE("#metadata!", ADDRESS(INDEX($AH$2:$AH$1001,MATCH(ROWS($AF$2:AF665),$AF$2:$AF$1001,0),0), INDEX($AM$1004:$BM$1004,1,MATCH(COLUMNS($AM$1006:AP1006),$AM$1006:$BM$1006,0)))),"Fix")))</f>
        <v xml:space="preserve"> </v>
      </c>
      <c r="F665" s="4" t="str">
        <f ca="1">IF(OR(INDEX($AG$2:$AG$1001,MATCH(ROWS($AF$2:AF665),$AF$2:$AF$1001,0),1)&gt;=100000,INDEX($AM$1005:$BM$1005,1,MATCH(COLUMNS($AM$1006:AQ1006),$AM$1006:$BM$1006,0))&gt;=100000), " ",IF(INDEX($AM$2:$BM$1001,MATCH(ROWS($AF$2:AF665),$AF$2:$AF$1001,0),MATCH(COLUMNS($AM$1006:AQ1006),$AM$1006:$BM$1006,0)), HYPERLINK("#",""), HYPERLINK(CONCATENATE("#metadata!", ADDRESS(INDEX($AH$2:$AH$1001,MATCH(ROWS($AF$2:AF665),$AF$2:$AF$1001,0),0), INDEX($AM$1004:$BM$1004,1,MATCH(COLUMNS($AM$1006:AQ1006),$AM$1006:$BM$1006,0)))),"Fix")))</f>
        <v xml:space="preserve"> </v>
      </c>
      <c r="G665" s="4" t="str">
        <f ca="1">IF(OR(INDEX($AG$2:$AG$1001,MATCH(ROWS($AF$2:AF665),$AF$2:$AF$1001,0),1)&gt;=100000,INDEX($AM$1005:$BM$1005,1,MATCH(COLUMNS($AM$1006:AR1006),$AM$1006:$BM$1006,0))&gt;=100000), " ",IF(INDEX($AM$2:$BM$1001,MATCH(ROWS($AF$2:AF665),$AF$2:$AF$1001,0),MATCH(COLUMNS($AM$1006:AR1006),$AM$1006:$BM$1006,0)), HYPERLINK("#",""), HYPERLINK(CONCATENATE("#metadata!", ADDRESS(INDEX($AH$2:$AH$1001,MATCH(ROWS($AF$2:AF665),$AF$2:$AF$1001,0),0), INDEX($AM$1004:$BM$1004,1,MATCH(COLUMNS($AM$1006:AR1006),$AM$1006:$BM$1006,0)))),"Fix")))</f>
        <v xml:space="preserve"> </v>
      </c>
      <c r="H665" s="4" t="str">
        <f ca="1">IF(OR(INDEX($AG$2:$AG$1001,MATCH(ROWS($AF$2:AF665),$AF$2:$AF$1001,0),1)&gt;=100000,INDEX($AM$1005:$BM$1005,1,MATCH(COLUMNS($AM$1006:AS1006),$AM$1006:$BM$1006,0))&gt;=100000), " ",IF(INDEX($AM$2:$BM$1001,MATCH(ROWS($AF$2:AF665),$AF$2:$AF$1001,0),MATCH(COLUMNS($AM$1006:AS1006),$AM$1006:$BM$1006,0)), HYPERLINK("#",""), HYPERLINK(CONCATENATE("#metadata!", ADDRESS(INDEX($AH$2:$AH$1001,MATCH(ROWS($AF$2:AF665),$AF$2:$AF$1001,0),0), INDEX($AM$1004:$BM$1004,1,MATCH(COLUMNS($AM$1006:AS1006),$AM$1006:$BM$1006,0)))),"Fix")))</f>
        <v xml:space="preserve"> </v>
      </c>
      <c r="I665" s="4" t="str">
        <f ca="1">IF(OR(INDEX($AG$2:$AG$1001,MATCH(ROWS($AF$2:AF665),$AF$2:$AF$1001,0),1)&gt;=100000,INDEX($AM$1005:$BM$1005,1,MATCH(COLUMNS($AM$1006:AT1006),$AM$1006:$BM$1006,0))&gt;=100000), " ",IF(INDEX($AM$2:$BM$1001,MATCH(ROWS($AF$2:AF665),$AF$2:$AF$1001,0),MATCH(COLUMNS($AM$1006:AT1006),$AM$1006:$BM$1006,0)), HYPERLINK("#",""), HYPERLINK(CONCATENATE("#metadata!", ADDRESS(INDEX($AH$2:$AH$1001,MATCH(ROWS($AF$2:AF665),$AF$2:$AF$1001,0),0), INDEX($AM$1004:$BM$1004,1,MATCH(COLUMNS($AM$1006:AT1006),$AM$1006:$BM$1006,0)))),"Fix")))</f>
        <v xml:space="preserve"> </v>
      </c>
      <c r="J665" s="4" t="str">
        <f ca="1">IF(OR(INDEX($AG$2:$AG$1001,MATCH(ROWS($AF$2:AF665),$AF$2:$AF$1001,0),1)&gt;=100000,INDEX($AM$1005:$BM$1005,1,MATCH(COLUMNS($AM$1006:AU1006),$AM$1006:$BM$1006,0))&gt;=100000), " ",IF(INDEX($AM$2:$BM$1001,MATCH(ROWS($AF$2:AF665),$AF$2:$AF$1001,0),MATCH(COLUMNS($AM$1006:AU1006),$AM$1006:$BM$1006,0)), HYPERLINK("#",""), HYPERLINK(CONCATENATE("#metadata!", ADDRESS(INDEX($AH$2:$AH$1001,MATCH(ROWS($AF$2:AF665),$AF$2:$AF$1001,0),0), INDEX($AM$1004:$BM$1004,1,MATCH(COLUMNS($AM$1006:AU1006),$AM$1006:$BM$1006,0)))),"Fix")))</f>
        <v xml:space="preserve"> </v>
      </c>
      <c r="K665" s="4" t="str">
        <f ca="1">IF(OR(INDEX($AG$2:$AG$1001,MATCH(ROWS($AF$2:AF665),$AF$2:$AF$1001,0),1)&gt;=100000,INDEX($AM$1005:$BM$1005,1,MATCH(COLUMNS($AM$1006:AV1006),$AM$1006:$BM$1006,0))&gt;=100000), " ",IF(INDEX($AM$2:$BM$1001,MATCH(ROWS($AF$2:AF665),$AF$2:$AF$1001,0),MATCH(COLUMNS($AM$1006:AV1006),$AM$1006:$BM$1006,0)), HYPERLINK("#",""), HYPERLINK(CONCATENATE("#metadata!", ADDRESS(INDEX($AH$2:$AH$1001,MATCH(ROWS($AF$2:AF665),$AF$2:$AF$1001,0),0), INDEX($AM$1004:$BM$1004,1,MATCH(COLUMNS($AM$1006:AV1006),$AM$1006:$BM$1006,0)))),"Fix")))</f>
        <v xml:space="preserve"> </v>
      </c>
      <c r="L665" s="4" t="str">
        <f ca="1">IF(OR(INDEX($AG$2:$AG$1001,MATCH(ROWS($AF$2:AF665),$AF$2:$AF$1001,0),1)&gt;=100000,INDEX($AM$1005:$BM$1005,1,MATCH(COLUMNS($AM$1006:AW1006),$AM$1006:$BM$1006,0))&gt;=100000), " ",IF(INDEX($AM$2:$BM$1001,MATCH(ROWS($AF$2:AF665),$AF$2:$AF$1001,0),MATCH(COLUMNS($AM$1006:AW1006),$AM$1006:$BM$1006,0)), HYPERLINK("#",""), HYPERLINK(CONCATENATE("#metadata!", ADDRESS(INDEX($AH$2:$AH$1001,MATCH(ROWS($AF$2:AF665),$AF$2:$AF$1001,0),0), INDEX($AM$1004:$BM$1004,1,MATCH(COLUMNS($AM$1006:AW1006),$AM$1006:$BM$1006,0)))),"Fix")))</f>
        <v xml:space="preserve"> </v>
      </c>
      <c r="M665" s="4" t="str">
        <f ca="1">IF(OR(INDEX($AG$2:$AG$1001,MATCH(ROWS($AF$2:AF665),$AF$2:$AF$1001,0),1)&gt;=100000,INDEX($AM$1005:$BM$1005,1,MATCH(COLUMNS($AM$1006:AX1006),$AM$1006:$BM$1006,0))&gt;=100000), " ",IF(INDEX($AM$2:$BM$1001,MATCH(ROWS($AF$2:AF665),$AF$2:$AF$1001,0),MATCH(COLUMNS($AM$1006:AX1006),$AM$1006:$BM$1006,0)), HYPERLINK("#",""), HYPERLINK(CONCATENATE("#metadata!", ADDRESS(INDEX($AH$2:$AH$1001,MATCH(ROWS($AF$2:AF665),$AF$2:$AF$1001,0),0), INDEX($AM$1004:$BM$1004,1,MATCH(COLUMNS($AM$1006:AX1006),$AM$1006:$BM$1006,0)))),"Fix")))</f>
        <v xml:space="preserve"> </v>
      </c>
      <c r="N665" s="4" t="str">
        <f ca="1">IF(OR(INDEX($AG$2:$AG$1001,MATCH(ROWS($AF$2:AF665),$AF$2:$AF$1001,0),1)&gt;=100000,INDEX($AM$1005:$BM$1005,1,MATCH(COLUMNS($AM$1006:AY1006),$AM$1006:$BM$1006,0))&gt;=100000), " ",IF(INDEX($AM$2:$BM$1001,MATCH(ROWS($AF$2:AF665),$AF$2:$AF$1001,0),MATCH(COLUMNS($AM$1006:AY1006),$AM$1006:$BM$1006,0)), HYPERLINK("#",""), HYPERLINK(CONCATENATE("#metadata!", ADDRESS(INDEX($AH$2:$AH$1001,MATCH(ROWS($AF$2:AF665),$AF$2:$AF$1001,0),0), INDEX($AM$1004:$BM$1004,1,MATCH(COLUMNS($AM$1006:AY1006),$AM$1006:$BM$1006,0)))),"Fix")))</f>
        <v xml:space="preserve"> </v>
      </c>
      <c r="O665" s="4" t="str">
        <f ca="1">IF(OR(INDEX($AG$2:$AG$1001,MATCH(ROWS($AF$2:AF665),$AF$2:$AF$1001,0),1)&gt;=100000,INDEX($AM$1005:$BM$1005,1,MATCH(COLUMNS($AM$1006:AZ1006),$AM$1006:$BM$1006,0))&gt;=100000), " ",IF(INDEX($AM$2:$BM$1001,MATCH(ROWS($AF$2:AF665),$AF$2:$AF$1001,0),MATCH(COLUMNS($AM$1006:AZ1006),$AM$1006:$BM$1006,0)), HYPERLINK("#",""), HYPERLINK(CONCATENATE("#metadata!", ADDRESS(INDEX($AH$2:$AH$1001,MATCH(ROWS($AF$2:AF665),$AF$2:$AF$1001,0),0), INDEX($AM$1004:$BM$1004,1,MATCH(COLUMNS($AM$1006:AZ1006),$AM$1006:$BM$1006,0)))),"Fix")))</f>
        <v xml:space="preserve"> </v>
      </c>
      <c r="P665" s="4" t="str">
        <f ca="1">IF(OR(INDEX($AG$2:$AG$1001,MATCH(ROWS($AF$2:AF665),$AF$2:$AF$1001,0),1)&gt;=100000,INDEX($AM$1005:$BM$1005,1,MATCH(COLUMNS($AM$1006:BA1006),$AM$1006:$BM$1006,0))&gt;=100000), " ",IF(INDEX($AM$2:$BM$1001,MATCH(ROWS($AF$2:AF665),$AF$2:$AF$1001,0),MATCH(COLUMNS($AM$1006:BA1006),$AM$1006:$BM$1006,0)), HYPERLINK("#",""), HYPERLINK(CONCATENATE("#metadata!", ADDRESS(INDEX($AH$2:$AH$1001,MATCH(ROWS($AF$2:AF665),$AF$2:$AF$1001,0),0), INDEX($AM$1004:$BM$1004,1,MATCH(COLUMNS($AM$1006:BA1006),$AM$1006:$BM$1006,0)))),"Fix")))</f>
        <v xml:space="preserve"> </v>
      </c>
      <c r="Q665" s="4" t="str">
        <f ca="1">IF(OR(INDEX($AG$2:$AG$1001,MATCH(ROWS($AF$2:AF665),$AF$2:$AF$1001,0),1)&gt;=100000,INDEX($AM$1005:$BM$1005,1,MATCH(COLUMNS($AM$1006:BB1006),$AM$1006:$BM$1006,0))&gt;=100000), " ",IF(INDEX($AM$2:$BM$1001,MATCH(ROWS($AF$2:AF665),$AF$2:$AF$1001,0),MATCH(COLUMNS($AM$1006:BB1006),$AM$1006:$BM$1006,0)), HYPERLINK("#",""), HYPERLINK(CONCATENATE("#metadata!", ADDRESS(INDEX($AH$2:$AH$1001,MATCH(ROWS($AF$2:AF665),$AF$2:$AF$1001,0),0), INDEX($AM$1004:$BM$1004,1,MATCH(COLUMNS($AM$1006:BB1006),$AM$1006:$BM$1006,0)))),"Fix")))</f>
        <v xml:space="preserve"> </v>
      </c>
      <c r="R665" s="4" t="str">
        <f ca="1">IF(OR(INDEX($AG$2:$AG$1001,MATCH(ROWS($AF$2:AF665),$AF$2:$AF$1001,0),1)&gt;=100000,INDEX($AM$1005:$BM$1005,1,MATCH(COLUMNS($AM$1006:BC1006),$AM$1006:$BM$1006,0))&gt;=100000), " ",IF(INDEX($AM$2:$BM$1001,MATCH(ROWS($AF$2:AF665),$AF$2:$AF$1001,0),MATCH(COLUMNS($AM$1006:BC1006),$AM$1006:$BM$1006,0)), HYPERLINK("#",""), HYPERLINK(CONCATENATE("#metadata!", ADDRESS(INDEX($AH$2:$AH$1001,MATCH(ROWS($AF$2:AF665),$AF$2:$AF$1001,0),0), INDEX($AM$1004:$BM$1004,1,MATCH(COLUMNS($AM$1006:BC1006),$AM$1006:$BM$1006,0)))),"Fix")))</f>
        <v xml:space="preserve"> </v>
      </c>
      <c r="S665" s="4" t="str">
        <f ca="1">IF(OR(INDEX($AG$2:$AG$1001,MATCH(ROWS($AF$2:AF665),$AF$2:$AF$1001,0),1)&gt;=100000,INDEX($AM$1005:$BM$1005,1,MATCH(COLUMNS($AM$1006:BD1006),$AM$1006:$BM$1006,0))&gt;=100000), " ",IF(INDEX($AM$2:$BM$1001,MATCH(ROWS($AF$2:AF665),$AF$2:$AF$1001,0),MATCH(COLUMNS($AM$1006:BD1006),$AM$1006:$BM$1006,0)), HYPERLINK("#",""), HYPERLINK(CONCATENATE("#metadata!", ADDRESS(INDEX($AH$2:$AH$1001,MATCH(ROWS($AF$2:AF665),$AF$2:$AF$1001,0),0), INDEX($AM$1004:$BM$1004,1,MATCH(COLUMNS($AM$1006:BD1006),$AM$1006:$BM$1006,0)))),"Fix")))</f>
        <v xml:space="preserve"> </v>
      </c>
      <c r="T665" s="4" t="str">
        <f ca="1">IF(OR(INDEX($AG$2:$AG$1001,MATCH(ROWS($AF$2:AF665),$AF$2:$AF$1001,0),1)&gt;=100000,INDEX($AM$1005:$BM$1005,1,MATCH(COLUMNS($AM$1006:BE1006),$AM$1006:$BM$1006,0))&gt;=100000), " ",IF(INDEX($AM$2:$BM$1001,MATCH(ROWS($AF$2:AF665),$AF$2:$AF$1001,0),MATCH(COLUMNS($AM$1006:BE1006),$AM$1006:$BM$1006,0)), HYPERLINK("#",""), HYPERLINK(CONCATENATE("#metadata!", ADDRESS(INDEX($AH$2:$AH$1001,MATCH(ROWS($AF$2:AF665),$AF$2:$AF$1001,0),0), INDEX($AM$1004:$BM$1004,1,MATCH(COLUMNS($AM$1006:BE1006),$AM$1006:$BM$1006,0)))),"Fix")))</f>
        <v xml:space="preserve"> </v>
      </c>
      <c r="U665" s="4" t="str">
        <f ca="1">IF(OR(INDEX($AG$2:$AG$1001,MATCH(ROWS($AF$2:AF665),$AF$2:$AF$1001,0),1)&gt;=100000,INDEX($AM$1005:$BM$1005,1,MATCH(COLUMNS($AM$1006:BF1006),$AM$1006:$BM$1006,0))&gt;=100000), " ",IF(INDEX($AM$2:$BM$1001,MATCH(ROWS($AF$2:AF665),$AF$2:$AF$1001,0),MATCH(COLUMNS($AM$1006:BF1006),$AM$1006:$BM$1006,0)), HYPERLINK("#",""), HYPERLINK(CONCATENATE("#metadata!", ADDRESS(INDEX($AH$2:$AH$1001,MATCH(ROWS($AF$2:AF665),$AF$2:$AF$1001,0),0), INDEX($AM$1004:$BM$1004,1,MATCH(COLUMNS($AM$1006:BF1006),$AM$1006:$BM$1006,0)))),"Fix")))</f>
        <v xml:space="preserve"> </v>
      </c>
      <c r="V665" s="4" t="str">
        <f ca="1">IF(OR(INDEX($AG$2:$AG$1001,MATCH(ROWS($AF$2:AF665),$AF$2:$AF$1001,0),1)&gt;=100000,INDEX($AM$1005:$BM$1005,1,MATCH(COLUMNS($AM$1006:BG1006),$AM$1006:$BM$1006,0))&gt;=100000), " ",IF(INDEX($AM$2:$BM$1001,MATCH(ROWS($AF$2:AF665),$AF$2:$AF$1001,0),MATCH(COLUMNS($AM$1006:BG1006),$AM$1006:$BM$1006,0)), HYPERLINK("#",""), HYPERLINK(CONCATENATE("#metadata!", ADDRESS(INDEX($AH$2:$AH$1001,MATCH(ROWS($AF$2:AF665),$AF$2:$AF$1001,0),0), INDEX($AM$1004:$BM$1004,1,MATCH(COLUMNS($AM$1006:BG1006),$AM$1006:$BM$1006,0)))),"Fix")))</f>
        <v xml:space="preserve"> </v>
      </c>
      <c r="W665" s="4" t="str">
        <f ca="1">IF(OR(INDEX($AG$2:$AG$1001,MATCH(ROWS($AF$2:AF665),$AF$2:$AF$1001,0),1)&gt;=100000,INDEX($AM$1005:$BM$1005,1,MATCH(COLUMNS($AM$1006:BH1006),$AM$1006:$BM$1006,0))&gt;=100000), " ",IF(INDEX($AM$2:$BM$1001,MATCH(ROWS($AF$2:AF665),$AF$2:$AF$1001,0),MATCH(COLUMNS($AM$1006:BH1006),$AM$1006:$BM$1006,0)), HYPERLINK("#",""), HYPERLINK(CONCATENATE("#metadata!", ADDRESS(INDEX($AH$2:$AH$1001,MATCH(ROWS($AF$2:AF665),$AF$2:$AF$1001,0),0), INDEX($AM$1004:$BM$1004,1,MATCH(COLUMNS($AM$1006:BH1006),$AM$1006:$BM$1006,0)))),"Fix")))</f>
        <v xml:space="preserve"> </v>
      </c>
      <c r="X665" s="4" t="str">
        <f ca="1">IF(OR(INDEX($AG$2:$AG$1001,MATCH(ROWS($AF$2:AF665),$AF$2:$AF$1001,0),1)&gt;=100000,INDEX($AM$1005:$BM$1005,1,MATCH(COLUMNS($AM$1006:BI1006),$AM$1006:$BM$1006,0))&gt;=100000), " ",IF(INDEX($AM$2:$BM$1001,MATCH(ROWS($AF$2:AF665),$AF$2:$AF$1001,0),MATCH(COLUMNS($AM$1006:BI1006),$AM$1006:$BM$1006,0)), HYPERLINK("#",""), HYPERLINK(CONCATENATE("#metadata!", ADDRESS(INDEX($AH$2:$AH$1001,MATCH(ROWS($AF$2:AF665),$AF$2:$AF$1001,0),0), INDEX($AM$1004:$BM$1004,1,MATCH(COLUMNS($AM$1006:BI1006),$AM$1006:$BM$1006,0)))),"Fix")))</f>
        <v xml:space="preserve"> </v>
      </c>
      <c r="Y665" s="4" t="str">
        <f ca="1">IF(OR(INDEX($AG$2:$AG$1001,MATCH(ROWS($AF$2:AF665),$AF$2:$AF$1001,0),1)&gt;=100000,INDEX($AM$1005:$BM$1005,1,MATCH(COLUMNS($AM$1006:BJ1006),$AM$1006:$BM$1006,0))&gt;=100000), " ",IF(INDEX($AM$2:$BM$1001,MATCH(ROWS($AF$2:AF665),$AF$2:$AF$1001,0),MATCH(COLUMNS($AM$1006:BJ1006),$AM$1006:$BM$1006,0)), HYPERLINK("#",""), HYPERLINK(CONCATENATE("#metadata!", ADDRESS(INDEX($AH$2:$AH$1001,MATCH(ROWS($AF$2:AF665),$AF$2:$AF$1001,0),0), INDEX($AM$1004:$BM$1004,1,MATCH(COLUMNS($AM$1006:BJ1006),$AM$1006:$BM$1006,0)))),"Fix")))</f>
        <v xml:space="preserve"> </v>
      </c>
      <c r="Z665" s="4" t="str">
        <f ca="1">IF(OR(INDEX($AG$2:$AG$1001,MATCH(ROWS($AF$2:AF665),$AF$2:$AF$1001,0),1)&gt;=100000,INDEX($AM$1005:$BM$1005,1,MATCH(COLUMNS($AM$1006:BK1006),$AM$1006:$BM$1006,0))&gt;=100000), " ",IF(INDEX($AM$2:$BM$1001,MATCH(ROWS($AF$2:AF665),$AF$2:$AF$1001,0),MATCH(COLUMNS($AM$1006:BK1006),$AM$1006:$BM$1006,0)), HYPERLINK("#",""), HYPERLINK(CONCATENATE("#metadata!", ADDRESS(INDEX($AH$2:$AH$1001,MATCH(ROWS($AF$2:AF665),$AF$2:$AF$1001,0),0), INDEX($AM$1004:$BM$1004,1,MATCH(COLUMNS($AM$1006:BK1006),$AM$1006:$BM$1006,0)))),"Fix")))</f>
        <v xml:space="preserve"> </v>
      </c>
      <c r="AA665" s="4" t="str">
        <f ca="1">IF(OR(INDEX($AG$2:$AG$1001,MATCH(ROWS($AF$2:AF665),$AF$2:$AF$1001,0),1)&gt;=100000,INDEX($AM$1005:$BM$1005,1,MATCH(COLUMNS($AM$1006:BL1006),$AM$1006:$BM$1006,0))&gt;=100000), " ",IF(INDEX($AM$2:$BM$1001,MATCH(ROWS($AF$2:AF665),$AF$2:$AF$1001,0),MATCH(COLUMNS($AM$1006:BL1006),$AM$1006:$BM$1006,0)), HYPERLINK("#",""), HYPERLINK(CONCATENATE("#metadata!", ADDRESS(INDEX($AH$2:$AH$1001,MATCH(ROWS($AF$2:AF665),$AF$2:$AF$1001,0),0), INDEX($AM$1004:$BM$1004,1,MATCH(COLUMNS($AM$1006:BL1006),$AM$1006:$BM$1006,0)))),"Fix")))</f>
        <v xml:space="preserve"> </v>
      </c>
      <c r="AB665" s="4" t="str">
        <f ca="1">IF(OR(INDEX($AG$2:$AG$1001,MATCH(ROWS($AF$2:AF665),$AF$2:$AF$1001,0),1)&gt;=100000,INDEX($AM$1005:$BM$1005,1,MATCH(COLUMNS($AM$1006:BM1006),$AM$1006:$BM$1006,0))&gt;=100000), " ",IF(INDEX($AM$2:$BM$1001,MATCH(ROWS($AF$2:AF665),$AF$2:$AF$1001,0),MATCH(COLUMNS($AM$1006:BM1006),$AM$1006:$BM$1006,0)), HYPERLINK("#",""), HYPERLINK(CONCATENATE("#metadata!", ADDRESS(INDEX($AH$2:$AH$1001,MATCH(ROWS($AF$2:AF665),$AF$2:$AF$1001,0),0), INDEX($AM$1004:$BM$1004,1,MATCH(COLUMNS($AM$1006:BM1006),$AM$1006:$BM$1006,0)))),"Fix")))</f>
        <v xml:space="preserve"> </v>
      </c>
      <c r="AF665">
        <v>664</v>
      </c>
      <c r="AG665">
        <v>100665</v>
      </c>
      <c r="AH665">
        <v>665</v>
      </c>
      <c r="AI665" t="b">
        <f t="shared" si="10"/>
        <v>1</v>
      </c>
      <c r="AJ665" t="b">
        <f>COUNTBLANK(metadata!B665:AB665)=COLUMNS(metadata!B665:AB665)</f>
        <v>1</v>
      </c>
      <c r="AK665" t="str">
        <v/>
      </c>
      <c r="AM665" t="b">
        <f ca="1">AND(IF(metadata!B665="",FALSE,TRUE),COUNTIF(metadata!B:B, metadata!B665) = 1,NOT(ISERROR(SUMPRODUCT(SEARCH(MID(metadata!B665,ROW(INDIRECT("1:"&amp;LEN(metadata!B665))), 1),"0123456789abcdefghijklmnopqrstuvwxyzABCDEFGHIJKLMNOPQRSTUVWXYZ.")))))</f>
        <v>0</v>
      </c>
      <c r="AN665" t="b">
        <f ca="1">OR(AND(IF(metadata!C665="",FALSE,TRUE),OR(EXACT(metadata!C665,"missing: not collected"),EXACT(metadata!C665,"missing: not provided"),EXACT(metadata!C665,"missing: restricted access"))),AND(IF(metadata!C665="",FALSE,TRUE),AND(AND(IFERROR(INT(LEFT(metadata!C665,4))&gt;1900,FALSE),IFERROR(INT(LEFT(metadata!C665,4))&lt;=YEAR(NOW()),FALSE)), OR(MID(metadata!C665,5,1)="", AND(AND(MID(metadata!C665,5,1)="-",IFERROR(INT(MID(metadata!C665,6,1))&gt;=0,FALSE),IFERROR(INT(MID(metadata!C665,6,1))&lt;=1,FALSE),NOT(MID(metadata!C665,7,1)=""),IFERROR(INT(MID(metadata!C665,6,2))&gt;=1,FALSE),IFERROR(INT(MID(metadata!C665,6,2))&lt;=12,FALSE)), OR(MID(metadata!C665,8,1)="", AND(AND(MID(metadata!C665,8,1)="-",IFERROR(INT(MID(metadata!C665,9,1))&gt;=0,FALSE),IFERROR(INT(MID(metadata!C665,9,1))&lt;=3,FALSE),NOT(MID(metadata!C665,10,1)=""),IFERROR(INT(MID(metadata!C665,9,2))&gt;=1,FALSE),IFERROR(INT(MID(metadata!C665,9,2))&lt;=31,FALSE)), OR(MID(metadata!C665,11,1)="", AND(AND(MID(metadata!C665,11,1)=" ",IFERROR(INT(MID(metadata!C665,12,1))&gt;=0,FALSE),IFERROR(INT(MID(metadata!C665,12,1))&lt;=2,FALSE),NOT(MID(metadata!C665,13,1)=""),IFERROR(INT(MID(metadata!C665,12,2))&gt;=0,FALSE),IFERROR(INT(MID(metadata!C665,12,2))&lt;=23,FALSE)), OR(MID(metadata!C665,14,1)="", AND(AND(MID(metadata!C665,14,1)=":",IFERROR(INT(MID(metadata!C665,15,1))&gt;=0,FALSE),IFERROR(INT(MID(metadata!C665,15,1))&lt;=5,FALSE),NOT(MID(metadata!C665,16,1)=""),IFERROR(INT(MID(metadata!C665,15,2))&gt;=0,FALSE),IFERROR(INT(MID(metadata!C665,15,2))&lt;=59,FALSE)), OR(MID(metadata!C665,17,1)="", AND(AND(MID(metadata!C665,17,1)=":",IFERROR(INT(MID(metadata!C665,18,1))&gt;=0,FALSE),IFERROR(INT(MID(metadata!C665,18,1))&lt;=5,FALSE),NOT(MID(metadata!C665,19,1)=""),IFERROR(INT(MID(metadata!C665,18,2))&gt;=0,FALSE),IFERROR(INT(MID(metadata!C665,18,2))&lt;=59,FALSE)), LEN(metadata!C665)&lt;=19)))))))))))))</f>
        <v>0</v>
      </c>
      <c r="AO665" t="b">
        <f>AND(IF(metadata!D665="",FALSE,TRUE),EXACT(metadata!D665,"Not applicable"))</f>
        <v>0</v>
      </c>
      <c r="AP665" t="b">
        <f>IF(metadata!E665="",FALSE,TRUE)</f>
        <v>0</v>
      </c>
      <c r="AQ665" t="b">
        <f>OR(AND(IF(metadata!F665="",FALSE,TRUE),OR(EXACT(metadata!F665,"missing: not collected"),EXACT(metadata!F665,"missing: not provided"))),AND(IF(metadata!F665="",FALSE,TRUE),OR(EXACT(metadata!F665,"TRUE"),EXACT(metadata!F665,"FALSE"))))</f>
        <v>0</v>
      </c>
      <c r="AR665" t="b">
        <f>OR(AND(IF(metadata!G665="",FALSE,TRUE),OR(EXACT(metadata!G665,"missing: not collected"),EXACT(metadata!G665,"missing: not provided"),EXACT(metadata!G665,"missing: restricted access"))),AND(IF(metadata!G665="",FALSE,ISNUMBER(VALUE(metadata!G665))),metadata!G665&gt;=-413))</f>
        <v>0</v>
      </c>
      <c r="AS665" t="b">
        <f>AND(IF(metadata!H665="",FALSE,TRUE),EXACT(metadata!H665,"meters"))</f>
        <v>0</v>
      </c>
      <c r="AT665" t="b">
        <f>AND(IF(metadata!I665="",FALSE,TRUE),OR(EXACT(metadata!I665,"Host-associated"),EXACT(metadata!I665,"Free-living")))</f>
        <v>0</v>
      </c>
      <c r="AU665" t="b">
        <f>AND(IF(metadata!J665="",FALSE,TRUE),OR(EXACT(metadata!J665,"Animal"),EXACT(metadata!J665,"Fungus"),EXACT(metadata!J665,"Plant"),EXACT(metadata!J665,"Saline"),EXACT(metadata!J665,"Non-saline")))</f>
        <v>0</v>
      </c>
      <c r="AV665" t="b">
        <f>AND(IF(metadata!K665="",FALSE,TRUE),OR(EXACT(metadata!K665,"Plant secretion"),EXACT(metadata!K665,"Plant rhizosphere"),EXACT(metadata!K665,"Plant surface"),EXACT(metadata!K665,"Plant corpus"),EXACT(metadata!K665,"Fungus surface"),EXACT(metadata!K665,"Fungus corpus"),EXACT(metadata!K665,"Animal surface"),EXACT(metadata!K665,"Animal proximal gut"),EXACT(metadata!K665,"Animal corpus"),EXACT(metadata!K665,"Animal distal gut"),EXACT(metadata!K665,"Animal secretion"),EXACT(metadata!K665,"Sub-surface (non-saline)"),EXACT(metadata!K665,"Surface (non-saline)"),EXACT(metadata!K665,"Water (non-saline)"),EXACT(metadata!K665,"Soil (non-saline)"),EXACT(metadata!K665,"Aerosol (non-saline)"),EXACT(metadata!K665,"Sediment (non-saline)"),EXACT(metadata!K665,"Surface (saline)"),EXACT(metadata!K665,"Water (saline)"),EXACT(metadata!K665,"Hypersaline (saline)"),EXACT(metadata!K665,"Aerosol (saline)"),EXACT(metadata!K665,"Sediment (saline)")))</f>
        <v>0</v>
      </c>
      <c r="AW665" t="b">
        <f>IF(metadata!L665="",FALSE,TRUE)</f>
        <v>0</v>
      </c>
      <c r="AX665" t="b">
        <f>IF(metadata!M665="",FALSE,TRUE)</f>
        <v>0</v>
      </c>
      <c r="AY665" t="b">
        <f>IF(metadata!N665="",FALSE,TRUE)</f>
        <v>0</v>
      </c>
      <c r="AZ665" t="b">
        <f>OR(AND(IF(metadata!O665="",FALSE,TRUE),OR(EXACT(metadata!O665,"missing: not collected"),EXACT(metadata!O665,"missing: not provided"),EXACT(metadata!O665,"missing: restricted access"))),AND(IF(metadata!O665="",FALSE,TRUE),OR(EXACT(metadata!O665,"air"),EXACT(metadata!O665,"built environment"),EXACT(metadata!O665,"host-associated"),EXACT(metadata!O665,"human-associated"),EXACT(metadata!O665,"human-skin"),EXACT(metadata!O665,"human-oral"),EXACT(metadata!O665,"human-gut"),EXACT(metadata!O665,"human-vaginal"),EXACT(metadata!O665,"microbial mat/biofilm"),EXACT(metadata!O665,"misc environment"),EXACT(metadata!O665,"plant-associated"),EXACT(metadata!O665,"sediment"),EXACT(metadata!O665,"soil"),EXACT(metadata!O665,"wastewater/sludge"),EXACT(metadata!O665,"water"))))</f>
        <v>0</v>
      </c>
      <c r="BA665" t="b">
        <f>IF(metadata!P665="",FALSE,TRUE)</f>
        <v>0</v>
      </c>
      <c r="BB665" t="b">
        <f>IF(metadata!Q665="",FALSE,TRUE)</f>
        <v>0</v>
      </c>
      <c r="BC665" t="b">
        <f>OR(AND(IF(metadata!R665="",FALSE,TRUE),OR(EXACT(metadata!R665,"missing: not collected"),EXACT(metadata!R665,"missing: not provided"),EXACT(metadata!R665,"missing: restricted access"))),AND(IF(metadata!R665="",FALSE,ISNUMBER(VALUE(metadata!R665))),metadata!R665&gt;=-90,metadata!R665&lt;=90))</f>
        <v>0</v>
      </c>
      <c r="BD665" t="b">
        <f>AND(IF(metadata!S665="",FALSE,TRUE),EXACT(metadata!S665,"Decimal degrees"))</f>
        <v>0</v>
      </c>
      <c r="BE665" t="b">
        <f>OR(AND(IF(metadata!T665="",FALSE,TRUE),OR(EXACT(metadata!T665,"missing: not collected"),EXACT(metadata!T665,"missing: not provided"),EXACT(metadata!T665,"missing: restricted access"))),AND(IF(metadata!T665="",FALSE,ISNUMBER(VALUE(metadata!T665))),metadata!T665&gt;=-180,metadata!T665&lt;=180))</f>
        <v>0</v>
      </c>
      <c r="BF665" t="b">
        <f>AND(IF(metadata!U665="",FALSE,TRUE),EXACT(metadata!U665,"Decimal degrees"))</f>
        <v>0</v>
      </c>
      <c r="BG665" t="b">
        <f>IF(metadata!V665="",FALSE,TRUE)</f>
        <v>0</v>
      </c>
      <c r="BH665" t="b">
        <f>OR(AND(IF(metadata!W665="",FALSE,TRUE),OR(EXACT(metadata!W665,"missing: not collected"),EXACT(metadata!W665,"missing: not provided"),EXACT(metadata!W665,"missing: restricted access"))),AND(IF(metadata!W665="",FALSE,TRUE),OR(EXACT(metadata!W665,"TRUE"),EXACT(metadata!W665,"FALSE"))))</f>
        <v>0</v>
      </c>
      <c r="BI665" t="b">
        <f>AND(IF(metadata!X665="",FALSE,TRUE),EXACT(metadata!X665,"other"))</f>
        <v>0</v>
      </c>
      <c r="BJ665" t="b">
        <f>IF(metadata!Y665="",FALSE,TRUE)</f>
        <v>0</v>
      </c>
      <c r="BK665" t="b">
        <f>OR(AND(IF(metadata!Z665="",FALSE,TRUE),OR(EXACT(metadata!Z665,"missing: not collected"),EXACT(metadata!Z665,"missing: not provided"))),AND(IF(metadata!Z665="",FALSE,IF(ISERROR(INT(metadata!Z665)),FALSE,INT(metadata!Z665)=metadata!Z665)),metadata!Z665&gt;0))</f>
        <v>0</v>
      </c>
      <c r="BL665" t="b">
        <f>AND(IF(metadata!AA665="",FALSE,TRUE),EXACT(metadata!AA665,"Not applicable"))</f>
        <v>0</v>
      </c>
      <c r="BM665" t="b">
        <f>IF(metadata!AB665="",FALSE,TRUE)</f>
        <v>0</v>
      </c>
    </row>
    <row r="666" spans="1:65" x14ac:dyDescent="0.2">
      <c r="A666" s="5" t="str">
        <f ca="1">IF(B666=" "," ",HYPERLINK(CONCATENATE("#metadata!",ADDRESS(INDEX($AH$2:$AH$1001,MATCH(ROWS($AF$2:AF666),$AF$2:$AF$1001,0),0),1)),INDEX($AK$2:$AK$1001,MATCH(ROWS($AF$2:AF666),$AF$2:$AF$1001,0),0)))</f>
        <v xml:space="preserve"> </v>
      </c>
      <c r="B666" s="4" t="str">
        <f ca="1">IF(OR(INDEX($AG$2:$AG$1001,MATCH(ROWS($AF$2:AF666),$AF$2:$AF$1001,0),1)&gt;=100000,INDEX($AM$1005:$BM$1005,1,MATCH(COLUMNS($AM$1006:AM1006),$AM$1006:$BM$1006,0))&gt;=100000), " ",IF(INDEX($AM$2:$BM$1001,MATCH(ROWS($AF$2:AF666),$AF$2:$AF$1001,0),MATCH(COLUMNS($AM$1006:AM1006),$AM$1006:$BM$1006,0)), HYPERLINK("#",""), HYPERLINK(CONCATENATE("#metadata!", ADDRESS(INDEX($AH$2:$AH$1001,MATCH(ROWS($AF$2:AF666),$AF$2:$AF$1001,0),0), INDEX($AM$1004:$BM$1004,1,MATCH(COLUMNS($AM$1006:AM1006),$AM$1006:$BM$1006,0)))),"Fix")))</f>
        <v xml:space="preserve"> </v>
      </c>
      <c r="C666" s="4" t="str">
        <f ca="1">IF(OR(INDEX($AG$2:$AG$1001,MATCH(ROWS($AF$2:AF666),$AF$2:$AF$1001,0),1)&gt;=100000,INDEX($AM$1005:$BM$1005,1,MATCH(COLUMNS($AM$1006:AN1006),$AM$1006:$BM$1006,0))&gt;=100000), " ",IF(INDEX($AM$2:$BM$1001,MATCH(ROWS($AF$2:AF666),$AF$2:$AF$1001,0),MATCH(COLUMNS($AM$1006:AN1006),$AM$1006:$BM$1006,0)), HYPERLINK("#",""), HYPERLINK(CONCATENATE("#metadata!", ADDRESS(INDEX($AH$2:$AH$1001,MATCH(ROWS($AF$2:AF666),$AF$2:$AF$1001,0),0), INDEX($AM$1004:$BM$1004,1,MATCH(COLUMNS($AM$1006:AN1006),$AM$1006:$BM$1006,0)))),"Fix")))</f>
        <v xml:space="preserve"> </v>
      </c>
      <c r="D666" s="4" t="str">
        <f ca="1">IF(OR(INDEX($AG$2:$AG$1001,MATCH(ROWS($AF$2:AF666),$AF$2:$AF$1001,0),1)&gt;=100000,INDEX($AM$1005:$BM$1005,1,MATCH(COLUMNS($AM$1006:AO1006),$AM$1006:$BM$1006,0))&gt;=100000), " ",IF(INDEX($AM$2:$BM$1001,MATCH(ROWS($AF$2:AF666),$AF$2:$AF$1001,0),MATCH(COLUMNS($AM$1006:AO1006),$AM$1006:$BM$1006,0)), HYPERLINK("#",""), HYPERLINK(CONCATENATE("#metadata!", ADDRESS(INDEX($AH$2:$AH$1001,MATCH(ROWS($AF$2:AF666),$AF$2:$AF$1001,0),0), INDEX($AM$1004:$BM$1004,1,MATCH(COLUMNS($AM$1006:AO1006),$AM$1006:$BM$1006,0)))),"Fix")))</f>
        <v xml:space="preserve"> </v>
      </c>
      <c r="E666" s="4" t="str">
        <f ca="1">IF(OR(INDEX($AG$2:$AG$1001,MATCH(ROWS($AF$2:AF666),$AF$2:$AF$1001,0),1)&gt;=100000,INDEX($AM$1005:$BM$1005,1,MATCH(COLUMNS($AM$1006:AP1006),$AM$1006:$BM$1006,0))&gt;=100000), " ",IF(INDEX($AM$2:$BM$1001,MATCH(ROWS($AF$2:AF666),$AF$2:$AF$1001,0),MATCH(COLUMNS($AM$1006:AP1006),$AM$1006:$BM$1006,0)), HYPERLINK("#",""), HYPERLINK(CONCATENATE("#metadata!", ADDRESS(INDEX($AH$2:$AH$1001,MATCH(ROWS($AF$2:AF666),$AF$2:$AF$1001,0),0), INDEX($AM$1004:$BM$1004,1,MATCH(COLUMNS($AM$1006:AP1006),$AM$1006:$BM$1006,0)))),"Fix")))</f>
        <v xml:space="preserve"> </v>
      </c>
      <c r="F666" s="4" t="str">
        <f ca="1">IF(OR(INDEX($AG$2:$AG$1001,MATCH(ROWS($AF$2:AF666),$AF$2:$AF$1001,0),1)&gt;=100000,INDEX($AM$1005:$BM$1005,1,MATCH(COLUMNS($AM$1006:AQ1006),$AM$1006:$BM$1006,0))&gt;=100000), " ",IF(INDEX($AM$2:$BM$1001,MATCH(ROWS($AF$2:AF666),$AF$2:$AF$1001,0),MATCH(COLUMNS($AM$1006:AQ1006),$AM$1006:$BM$1006,0)), HYPERLINK("#",""), HYPERLINK(CONCATENATE("#metadata!", ADDRESS(INDEX($AH$2:$AH$1001,MATCH(ROWS($AF$2:AF666),$AF$2:$AF$1001,0),0), INDEX($AM$1004:$BM$1004,1,MATCH(COLUMNS($AM$1006:AQ1006),$AM$1006:$BM$1006,0)))),"Fix")))</f>
        <v xml:space="preserve"> </v>
      </c>
      <c r="G666" s="4" t="str">
        <f ca="1">IF(OR(INDEX($AG$2:$AG$1001,MATCH(ROWS($AF$2:AF666),$AF$2:$AF$1001,0),1)&gt;=100000,INDEX($AM$1005:$BM$1005,1,MATCH(COLUMNS($AM$1006:AR1006),$AM$1006:$BM$1006,0))&gt;=100000), " ",IF(INDEX($AM$2:$BM$1001,MATCH(ROWS($AF$2:AF666),$AF$2:$AF$1001,0),MATCH(COLUMNS($AM$1006:AR1006),$AM$1006:$BM$1006,0)), HYPERLINK("#",""), HYPERLINK(CONCATENATE("#metadata!", ADDRESS(INDEX($AH$2:$AH$1001,MATCH(ROWS($AF$2:AF666),$AF$2:$AF$1001,0),0), INDEX($AM$1004:$BM$1004,1,MATCH(COLUMNS($AM$1006:AR1006),$AM$1006:$BM$1006,0)))),"Fix")))</f>
        <v xml:space="preserve"> </v>
      </c>
      <c r="H666" s="4" t="str">
        <f ca="1">IF(OR(INDEX($AG$2:$AG$1001,MATCH(ROWS($AF$2:AF666),$AF$2:$AF$1001,0),1)&gt;=100000,INDEX($AM$1005:$BM$1005,1,MATCH(COLUMNS($AM$1006:AS1006),$AM$1006:$BM$1006,0))&gt;=100000), " ",IF(INDEX($AM$2:$BM$1001,MATCH(ROWS($AF$2:AF666),$AF$2:$AF$1001,0),MATCH(COLUMNS($AM$1006:AS1006),$AM$1006:$BM$1006,0)), HYPERLINK("#",""), HYPERLINK(CONCATENATE("#metadata!", ADDRESS(INDEX($AH$2:$AH$1001,MATCH(ROWS($AF$2:AF666),$AF$2:$AF$1001,0),0), INDEX($AM$1004:$BM$1004,1,MATCH(COLUMNS($AM$1006:AS1006),$AM$1006:$BM$1006,0)))),"Fix")))</f>
        <v xml:space="preserve"> </v>
      </c>
      <c r="I666" s="4" t="str">
        <f ca="1">IF(OR(INDEX($AG$2:$AG$1001,MATCH(ROWS($AF$2:AF666),$AF$2:$AF$1001,0),1)&gt;=100000,INDEX($AM$1005:$BM$1005,1,MATCH(COLUMNS($AM$1006:AT1006),$AM$1006:$BM$1006,0))&gt;=100000), " ",IF(INDEX($AM$2:$BM$1001,MATCH(ROWS($AF$2:AF666),$AF$2:$AF$1001,0),MATCH(COLUMNS($AM$1006:AT1006),$AM$1006:$BM$1006,0)), HYPERLINK("#",""), HYPERLINK(CONCATENATE("#metadata!", ADDRESS(INDEX($AH$2:$AH$1001,MATCH(ROWS($AF$2:AF666),$AF$2:$AF$1001,0),0), INDEX($AM$1004:$BM$1004,1,MATCH(COLUMNS($AM$1006:AT1006),$AM$1006:$BM$1006,0)))),"Fix")))</f>
        <v xml:space="preserve"> </v>
      </c>
      <c r="J666" s="4" t="str">
        <f ca="1">IF(OR(INDEX($AG$2:$AG$1001,MATCH(ROWS($AF$2:AF666),$AF$2:$AF$1001,0),1)&gt;=100000,INDEX($AM$1005:$BM$1005,1,MATCH(COLUMNS($AM$1006:AU1006),$AM$1006:$BM$1006,0))&gt;=100000), " ",IF(INDEX($AM$2:$BM$1001,MATCH(ROWS($AF$2:AF666),$AF$2:$AF$1001,0),MATCH(COLUMNS($AM$1006:AU1006),$AM$1006:$BM$1006,0)), HYPERLINK("#",""), HYPERLINK(CONCATENATE("#metadata!", ADDRESS(INDEX($AH$2:$AH$1001,MATCH(ROWS($AF$2:AF666),$AF$2:$AF$1001,0),0), INDEX($AM$1004:$BM$1004,1,MATCH(COLUMNS($AM$1006:AU1006),$AM$1006:$BM$1006,0)))),"Fix")))</f>
        <v xml:space="preserve"> </v>
      </c>
      <c r="K666" s="4" t="str">
        <f ca="1">IF(OR(INDEX($AG$2:$AG$1001,MATCH(ROWS($AF$2:AF666),$AF$2:$AF$1001,0),1)&gt;=100000,INDEX($AM$1005:$BM$1005,1,MATCH(COLUMNS($AM$1006:AV1006),$AM$1006:$BM$1006,0))&gt;=100000), " ",IF(INDEX($AM$2:$BM$1001,MATCH(ROWS($AF$2:AF666),$AF$2:$AF$1001,0),MATCH(COLUMNS($AM$1006:AV1006),$AM$1006:$BM$1006,0)), HYPERLINK("#",""), HYPERLINK(CONCATENATE("#metadata!", ADDRESS(INDEX($AH$2:$AH$1001,MATCH(ROWS($AF$2:AF666),$AF$2:$AF$1001,0),0), INDEX($AM$1004:$BM$1004,1,MATCH(COLUMNS($AM$1006:AV1006),$AM$1006:$BM$1006,0)))),"Fix")))</f>
        <v xml:space="preserve"> </v>
      </c>
      <c r="L666" s="4" t="str">
        <f ca="1">IF(OR(INDEX($AG$2:$AG$1001,MATCH(ROWS($AF$2:AF666),$AF$2:$AF$1001,0),1)&gt;=100000,INDEX($AM$1005:$BM$1005,1,MATCH(COLUMNS($AM$1006:AW1006),$AM$1006:$BM$1006,0))&gt;=100000), " ",IF(INDEX($AM$2:$BM$1001,MATCH(ROWS($AF$2:AF666),$AF$2:$AF$1001,0),MATCH(COLUMNS($AM$1006:AW1006),$AM$1006:$BM$1006,0)), HYPERLINK("#",""), HYPERLINK(CONCATENATE("#metadata!", ADDRESS(INDEX($AH$2:$AH$1001,MATCH(ROWS($AF$2:AF666),$AF$2:$AF$1001,0),0), INDEX($AM$1004:$BM$1004,1,MATCH(COLUMNS($AM$1006:AW1006),$AM$1006:$BM$1006,0)))),"Fix")))</f>
        <v xml:space="preserve"> </v>
      </c>
      <c r="M666" s="4" t="str">
        <f ca="1">IF(OR(INDEX($AG$2:$AG$1001,MATCH(ROWS($AF$2:AF666),$AF$2:$AF$1001,0),1)&gt;=100000,INDEX($AM$1005:$BM$1005,1,MATCH(COLUMNS($AM$1006:AX1006),$AM$1006:$BM$1006,0))&gt;=100000), " ",IF(INDEX($AM$2:$BM$1001,MATCH(ROWS($AF$2:AF666),$AF$2:$AF$1001,0),MATCH(COLUMNS($AM$1006:AX1006),$AM$1006:$BM$1006,0)), HYPERLINK("#",""), HYPERLINK(CONCATENATE("#metadata!", ADDRESS(INDEX($AH$2:$AH$1001,MATCH(ROWS($AF$2:AF666),$AF$2:$AF$1001,0),0), INDEX($AM$1004:$BM$1004,1,MATCH(COLUMNS($AM$1006:AX1006),$AM$1006:$BM$1006,0)))),"Fix")))</f>
        <v xml:space="preserve"> </v>
      </c>
      <c r="N666" s="4" t="str">
        <f ca="1">IF(OR(INDEX($AG$2:$AG$1001,MATCH(ROWS($AF$2:AF666),$AF$2:$AF$1001,0),1)&gt;=100000,INDEX($AM$1005:$BM$1005,1,MATCH(COLUMNS($AM$1006:AY1006),$AM$1006:$BM$1006,0))&gt;=100000), " ",IF(INDEX($AM$2:$BM$1001,MATCH(ROWS($AF$2:AF666),$AF$2:$AF$1001,0),MATCH(COLUMNS($AM$1006:AY1006),$AM$1006:$BM$1006,0)), HYPERLINK("#",""), HYPERLINK(CONCATENATE("#metadata!", ADDRESS(INDEX($AH$2:$AH$1001,MATCH(ROWS($AF$2:AF666),$AF$2:$AF$1001,0),0), INDEX($AM$1004:$BM$1004,1,MATCH(COLUMNS($AM$1006:AY1006),$AM$1006:$BM$1006,0)))),"Fix")))</f>
        <v xml:space="preserve"> </v>
      </c>
      <c r="O666" s="4" t="str">
        <f ca="1">IF(OR(INDEX($AG$2:$AG$1001,MATCH(ROWS($AF$2:AF666),$AF$2:$AF$1001,0),1)&gt;=100000,INDEX($AM$1005:$BM$1005,1,MATCH(COLUMNS($AM$1006:AZ1006),$AM$1006:$BM$1006,0))&gt;=100000), " ",IF(INDEX($AM$2:$BM$1001,MATCH(ROWS($AF$2:AF666),$AF$2:$AF$1001,0),MATCH(COLUMNS($AM$1006:AZ1006),$AM$1006:$BM$1006,0)), HYPERLINK("#",""), HYPERLINK(CONCATENATE("#metadata!", ADDRESS(INDEX($AH$2:$AH$1001,MATCH(ROWS($AF$2:AF666),$AF$2:$AF$1001,0),0), INDEX($AM$1004:$BM$1004,1,MATCH(COLUMNS($AM$1006:AZ1006),$AM$1006:$BM$1006,0)))),"Fix")))</f>
        <v xml:space="preserve"> </v>
      </c>
      <c r="P666" s="4" t="str">
        <f ca="1">IF(OR(INDEX($AG$2:$AG$1001,MATCH(ROWS($AF$2:AF666),$AF$2:$AF$1001,0),1)&gt;=100000,INDEX($AM$1005:$BM$1005,1,MATCH(COLUMNS($AM$1006:BA1006),$AM$1006:$BM$1006,0))&gt;=100000), " ",IF(INDEX($AM$2:$BM$1001,MATCH(ROWS($AF$2:AF666),$AF$2:$AF$1001,0),MATCH(COLUMNS($AM$1006:BA1006),$AM$1006:$BM$1006,0)), HYPERLINK("#",""), HYPERLINK(CONCATENATE("#metadata!", ADDRESS(INDEX($AH$2:$AH$1001,MATCH(ROWS($AF$2:AF666),$AF$2:$AF$1001,0),0), INDEX($AM$1004:$BM$1004,1,MATCH(COLUMNS($AM$1006:BA1006),$AM$1006:$BM$1006,0)))),"Fix")))</f>
        <v xml:space="preserve"> </v>
      </c>
      <c r="Q666" s="4" t="str">
        <f ca="1">IF(OR(INDEX($AG$2:$AG$1001,MATCH(ROWS($AF$2:AF666),$AF$2:$AF$1001,0),1)&gt;=100000,INDEX($AM$1005:$BM$1005,1,MATCH(COLUMNS($AM$1006:BB1006),$AM$1006:$BM$1006,0))&gt;=100000), " ",IF(INDEX($AM$2:$BM$1001,MATCH(ROWS($AF$2:AF666),$AF$2:$AF$1001,0),MATCH(COLUMNS($AM$1006:BB1006),$AM$1006:$BM$1006,0)), HYPERLINK("#",""), HYPERLINK(CONCATENATE("#metadata!", ADDRESS(INDEX($AH$2:$AH$1001,MATCH(ROWS($AF$2:AF666),$AF$2:$AF$1001,0),0), INDEX($AM$1004:$BM$1004,1,MATCH(COLUMNS($AM$1006:BB1006),$AM$1006:$BM$1006,0)))),"Fix")))</f>
        <v xml:space="preserve"> </v>
      </c>
      <c r="R666" s="4" t="str">
        <f ca="1">IF(OR(INDEX($AG$2:$AG$1001,MATCH(ROWS($AF$2:AF666),$AF$2:$AF$1001,0),1)&gt;=100000,INDEX($AM$1005:$BM$1005,1,MATCH(COLUMNS($AM$1006:BC1006),$AM$1006:$BM$1006,0))&gt;=100000), " ",IF(INDEX($AM$2:$BM$1001,MATCH(ROWS($AF$2:AF666),$AF$2:$AF$1001,0),MATCH(COLUMNS($AM$1006:BC1006),$AM$1006:$BM$1006,0)), HYPERLINK("#",""), HYPERLINK(CONCATENATE("#metadata!", ADDRESS(INDEX($AH$2:$AH$1001,MATCH(ROWS($AF$2:AF666),$AF$2:$AF$1001,0),0), INDEX($AM$1004:$BM$1004,1,MATCH(COLUMNS($AM$1006:BC1006),$AM$1006:$BM$1006,0)))),"Fix")))</f>
        <v xml:space="preserve"> </v>
      </c>
      <c r="S666" s="4" t="str">
        <f ca="1">IF(OR(INDEX($AG$2:$AG$1001,MATCH(ROWS($AF$2:AF666),$AF$2:$AF$1001,0),1)&gt;=100000,INDEX($AM$1005:$BM$1005,1,MATCH(COLUMNS($AM$1006:BD1006),$AM$1006:$BM$1006,0))&gt;=100000), " ",IF(INDEX($AM$2:$BM$1001,MATCH(ROWS($AF$2:AF666),$AF$2:$AF$1001,0),MATCH(COLUMNS($AM$1006:BD1006),$AM$1006:$BM$1006,0)), HYPERLINK("#",""), HYPERLINK(CONCATENATE("#metadata!", ADDRESS(INDEX($AH$2:$AH$1001,MATCH(ROWS($AF$2:AF666),$AF$2:$AF$1001,0),0), INDEX($AM$1004:$BM$1004,1,MATCH(COLUMNS($AM$1006:BD1006),$AM$1006:$BM$1006,0)))),"Fix")))</f>
        <v xml:space="preserve"> </v>
      </c>
      <c r="T666" s="4" t="str">
        <f ca="1">IF(OR(INDEX($AG$2:$AG$1001,MATCH(ROWS($AF$2:AF666),$AF$2:$AF$1001,0),1)&gt;=100000,INDEX($AM$1005:$BM$1005,1,MATCH(COLUMNS($AM$1006:BE1006),$AM$1006:$BM$1006,0))&gt;=100000), " ",IF(INDEX($AM$2:$BM$1001,MATCH(ROWS($AF$2:AF666),$AF$2:$AF$1001,0),MATCH(COLUMNS($AM$1006:BE1006),$AM$1006:$BM$1006,0)), HYPERLINK("#",""), HYPERLINK(CONCATENATE("#metadata!", ADDRESS(INDEX($AH$2:$AH$1001,MATCH(ROWS($AF$2:AF666),$AF$2:$AF$1001,0),0), INDEX($AM$1004:$BM$1004,1,MATCH(COLUMNS($AM$1006:BE1006),$AM$1006:$BM$1006,0)))),"Fix")))</f>
        <v xml:space="preserve"> </v>
      </c>
      <c r="U666" s="4" t="str">
        <f ca="1">IF(OR(INDEX($AG$2:$AG$1001,MATCH(ROWS($AF$2:AF666),$AF$2:$AF$1001,0),1)&gt;=100000,INDEX($AM$1005:$BM$1005,1,MATCH(COLUMNS($AM$1006:BF1006),$AM$1006:$BM$1006,0))&gt;=100000), " ",IF(INDEX($AM$2:$BM$1001,MATCH(ROWS($AF$2:AF666),$AF$2:$AF$1001,0),MATCH(COLUMNS($AM$1006:BF1006),$AM$1006:$BM$1006,0)), HYPERLINK("#",""), HYPERLINK(CONCATENATE("#metadata!", ADDRESS(INDEX($AH$2:$AH$1001,MATCH(ROWS($AF$2:AF666),$AF$2:$AF$1001,0),0), INDEX($AM$1004:$BM$1004,1,MATCH(COLUMNS($AM$1006:BF1006),$AM$1006:$BM$1006,0)))),"Fix")))</f>
        <v xml:space="preserve"> </v>
      </c>
      <c r="V666" s="4" t="str">
        <f ca="1">IF(OR(INDEX($AG$2:$AG$1001,MATCH(ROWS($AF$2:AF666),$AF$2:$AF$1001,0),1)&gt;=100000,INDEX($AM$1005:$BM$1005,1,MATCH(COLUMNS($AM$1006:BG1006),$AM$1006:$BM$1006,0))&gt;=100000), " ",IF(INDEX($AM$2:$BM$1001,MATCH(ROWS($AF$2:AF666),$AF$2:$AF$1001,0),MATCH(COLUMNS($AM$1006:BG1006),$AM$1006:$BM$1006,0)), HYPERLINK("#",""), HYPERLINK(CONCATENATE("#metadata!", ADDRESS(INDEX($AH$2:$AH$1001,MATCH(ROWS($AF$2:AF666),$AF$2:$AF$1001,0),0), INDEX($AM$1004:$BM$1004,1,MATCH(COLUMNS($AM$1006:BG1006),$AM$1006:$BM$1006,0)))),"Fix")))</f>
        <v xml:space="preserve"> </v>
      </c>
      <c r="W666" s="4" t="str">
        <f ca="1">IF(OR(INDEX($AG$2:$AG$1001,MATCH(ROWS($AF$2:AF666),$AF$2:$AF$1001,0),1)&gt;=100000,INDEX($AM$1005:$BM$1005,1,MATCH(COLUMNS($AM$1006:BH1006),$AM$1006:$BM$1006,0))&gt;=100000), " ",IF(INDEX($AM$2:$BM$1001,MATCH(ROWS($AF$2:AF666),$AF$2:$AF$1001,0),MATCH(COLUMNS($AM$1006:BH1006),$AM$1006:$BM$1006,0)), HYPERLINK("#",""), HYPERLINK(CONCATENATE("#metadata!", ADDRESS(INDEX($AH$2:$AH$1001,MATCH(ROWS($AF$2:AF666),$AF$2:$AF$1001,0),0), INDEX($AM$1004:$BM$1004,1,MATCH(COLUMNS($AM$1006:BH1006),$AM$1006:$BM$1006,0)))),"Fix")))</f>
        <v xml:space="preserve"> </v>
      </c>
      <c r="X666" s="4" t="str">
        <f ca="1">IF(OR(INDEX($AG$2:$AG$1001,MATCH(ROWS($AF$2:AF666),$AF$2:$AF$1001,0),1)&gt;=100000,INDEX($AM$1005:$BM$1005,1,MATCH(COLUMNS($AM$1006:BI1006),$AM$1006:$BM$1006,0))&gt;=100000), " ",IF(INDEX($AM$2:$BM$1001,MATCH(ROWS($AF$2:AF666),$AF$2:$AF$1001,0),MATCH(COLUMNS($AM$1006:BI1006),$AM$1006:$BM$1006,0)), HYPERLINK("#",""), HYPERLINK(CONCATENATE("#metadata!", ADDRESS(INDEX($AH$2:$AH$1001,MATCH(ROWS($AF$2:AF666),$AF$2:$AF$1001,0),0), INDEX($AM$1004:$BM$1004,1,MATCH(COLUMNS($AM$1006:BI1006),$AM$1006:$BM$1006,0)))),"Fix")))</f>
        <v xml:space="preserve"> </v>
      </c>
      <c r="Y666" s="4" t="str">
        <f ca="1">IF(OR(INDEX($AG$2:$AG$1001,MATCH(ROWS($AF$2:AF666),$AF$2:$AF$1001,0),1)&gt;=100000,INDEX($AM$1005:$BM$1005,1,MATCH(COLUMNS($AM$1006:BJ1006),$AM$1006:$BM$1006,0))&gt;=100000), " ",IF(INDEX($AM$2:$BM$1001,MATCH(ROWS($AF$2:AF666),$AF$2:$AF$1001,0),MATCH(COLUMNS($AM$1006:BJ1006),$AM$1006:$BM$1006,0)), HYPERLINK("#",""), HYPERLINK(CONCATENATE("#metadata!", ADDRESS(INDEX($AH$2:$AH$1001,MATCH(ROWS($AF$2:AF666),$AF$2:$AF$1001,0),0), INDEX($AM$1004:$BM$1004,1,MATCH(COLUMNS($AM$1006:BJ1006),$AM$1006:$BM$1006,0)))),"Fix")))</f>
        <v xml:space="preserve"> </v>
      </c>
      <c r="Z666" s="4" t="str">
        <f ca="1">IF(OR(INDEX($AG$2:$AG$1001,MATCH(ROWS($AF$2:AF666),$AF$2:$AF$1001,0),1)&gt;=100000,INDEX($AM$1005:$BM$1005,1,MATCH(COLUMNS($AM$1006:BK1006),$AM$1006:$BM$1006,0))&gt;=100000), " ",IF(INDEX($AM$2:$BM$1001,MATCH(ROWS($AF$2:AF666),$AF$2:$AF$1001,0),MATCH(COLUMNS($AM$1006:BK1006),$AM$1006:$BM$1006,0)), HYPERLINK("#",""), HYPERLINK(CONCATENATE("#metadata!", ADDRESS(INDEX($AH$2:$AH$1001,MATCH(ROWS($AF$2:AF666),$AF$2:$AF$1001,0),0), INDEX($AM$1004:$BM$1004,1,MATCH(COLUMNS($AM$1006:BK1006),$AM$1006:$BM$1006,0)))),"Fix")))</f>
        <v xml:space="preserve"> </v>
      </c>
      <c r="AA666" s="4" t="str">
        <f ca="1">IF(OR(INDEX($AG$2:$AG$1001,MATCH(ROWS($AF$2:AF666),$AF$2:$AF$1001,0),1)&gt;=100000,INDEX($AM$1005:$BM$1005,1,MATCH(COLUMNS($AM$1006:BL1006),$AM$1006:$BM$1006,0))&gt;=100000), " ",IF(INDEX($AM$2:$BM$1001,MATCH(ROWS($AF$2:AF666),$AF$2:$AF$1001,0),MATCH(COLUMNS($AM$1006:BL1006),$AM$1006:$BM$1006,0)), HYPERLINK("#",""), HYPERLINK(CONCATENATE("#metadata!", ADDRESS(INDEX($AH$2:$AH$1001,MATCH(ROWS($AF$2:AF666),$AF$2:$AF$1001,0),0), INDEX($AM$1004:$BM$1004,1,MATCH(COLUMNS($AM$1006:BL1006),$AM$1006:$BM$1006,0)))),"Fix")))</f>
        <v xml:space="preserve"> </v>
      </c>
      <c r="AB666" s="4" t="str">
        <f ca="1">IF(OR(INDEX($AG$2:$AG$1001,MATCH(ROWS($AF$2:AF666),$AF$2:$AF$1001,0),1)&gt;=100000,INDEX($AM$1005:$BM$1005,1,MATCH(COLUMNS($AM$1006:BM1006),$AM$1006:$BM$1006,0))&gt;=100000), " ",IF(INDEX($AM$2:$BM$1001,MATCH(ROWS($AF$2:AF666),$AF$2:$AF$1001,0),MATCH(COLUMNS($AM$1006:BM1006),$AM$1006:$BM$1006,0)), HYPERLINK("#",""), HYPERLINK(CONCATENATE("#metadata!", ADDRESS(INDEX($AH$2:$AH$1001,MATCH(ROWS($AF$2:AF666),$AF$2:$AF$1001,0),0), INDEX($AM$1004:$BM$1004,1,MATCH(COLUMNS($AM$1006:BM1006),$AM$1006:$BM$1006,0)))),"Fix")))</f>
        <v xml:space="preserve"> </v>
      </c>
      <c r="AF666">
        <v>665</v>
      </c>
      <c r="AG666">
        <v>100666</v>
      </c>
      <c r="AH666">
        <v>666</v>
      </c>
      <c r="AI666" t="b">
        <f t="shared" si="10"/>
        <v>1</v>
      </c>
      <c r="AJ666" t="b">
        <f>COUNTBLANK(metadata!B666:AB666)=COLUMNS(metadata!B666:AB666)</f>
        <v>1</v>
      </c>
      <c r="AK666" t="str">
        <v/>
      </c>
      <c r="AM666" t="b">
        <f ca="1">AND(IF(metadata!B666="",FALSE,TRUE),COUNTIF(metadata!B:B, metadata!B666) = 1,NOT(ISERROR(SUMPRODUCT(SEARCH(MID(metadata!B666,ROW(INDIRECT("1:"&amp;LEN(metadata!B666))), 1),"0123456789abcdefghijklmnopqrstuvwxyzABCDEFGHIJKLMNOPQRSTUVWXYZ.")))))</f>
        <v>0</v>
      </c>
      <c r="AN666" t="b">
        <f ca="1">OR(AND(IF(metadata!C666="",FALSE,TRUE),OR(EXACT(metadata!C666,"missing: not collected"),EXACT(metadata!C666,"missing: not provided"),EXACT(metadata!C666,"missing: restricted access"))),AND(IF(metadata!C666="",FALSE,TRUE),AND(AND(IFERROR(INT(LEFT(metadata!C666,4))&gt;1900,FALSE),IFERROR(INT(LEFT(metadata!C666,4))&lt;=YEAR(NOW()),FALSE)), OR(MID(metadata!C666,5,1)="", AND(AND(MID(metadata!C666,5,1)="-",IFERROR(INT(MID(metadata!C666,6,1))&gt;=0,FALSE),IFERROR(INT(MID(metadata!C666,6,1))&lt;=1,FALSE),NOT(MID(metadata!C666,7,1)=""),IFERROR(INT(MID(metadata!C666,6,2))&gt;=1,FALSE),IFERROR(INT(MID(metadata!C666,6,2))&lt;=12,FALSE)), OR(MID(metadata!C666,8,1)="", AND(AND(MID(metadata!C666,8,1)="-",IFERROR(INT(MID(metadata!C666,9,1))&gt;=0,FALSE),IFERROR(INT(MID(metadata!C666,9,1))&lt;=3,FALSE),NOT(MID(metadata!C666,10,1)=""),IFERROR(INT(MID(metadata!C666,9,2))&gt;=1,FALSE),IFERROR(INT(MID(metadata!C666,9,2))&lt;=31,FALSE)), OR(MID(metadata!C666,11,1)="", AND(AND(MID(metadata!C666,11,1)=" ",IFERROR(INT(MID(metadata!C666,12,1))&gt;=0,FALSE),IFERROR(INT(MID(metadata!C666,12,1))&lt;=2,FALSE),NOT(MID(metadata!C666,13,1)=""),IFERROR(INT(MID(metadata!C666,12,2))&gt;=0,FALSE),IFERROR(INT(MID(metadata!C666,12,2))&lt;=23,FALSE)), OR(MID(metadata!C666,14,1)="", AND(AND(MID(metadata!C666,14,1)=":",IFERROR(INT(MID(metadata!C666,15,1))&gt;=0,FALSE),IFERROR(INT(MID(metadata!C666,15,1))&lt;=5,FALSE),NOT(MID(metadata!C666,16,1)=""),IFERROR(INT(MID(metadata!C666,15,2))&gt;=0,FALSE),IFERROR(INT(MID(metadata!C666,15,2))&lt;=59,FALSE)), OR(MID(metadata!C666,17,1)="", AND(AND(MID(metadata!C666,17,1)=":",IFERROR(INT(MID(metadata!C666,18,1))&gt;=0,FALSE),IFERROR(INT(MID(metadata!C666,18,1))&lt;=5,FALSE),NOT(MID(metadata!C666,19,1)=""),IFERROR(INT(MID(metadata!C666,18,2))&gt;=0,FALSE),IFERROR(INT(MID(metadata!C666,18,2))&lt;=59,FALSE)), LEN(metadata!C666)&lt;=19)))))))))))))</f>
        <v>0</v>
      </c>
      <c r="AO666" t="b">
        <f>AND(IF(metadata!D666="",FALSE,TRUE),EXACT(metadata!D666,"Not applicable"))</f>
        <v>0</v>
      </c>
      <c r="AP666" t="b">
        <f>IF(metadata!E666="",FALSE,TRUE)</f>
        <v>0</v>
      </c>
      <c r="AQ666" t="b">
        <f>OR(AND(IF(metadata!F666="",FALSE,TRUE),OR(EXACT(metadata!F666,"missing: not collected"),EXACT(metadata!F666,"missing: not provided"))),AND(IF(metadata!F666="",FALSE,TRUE),OR(EXACT(metadata!F666,"TRUE"),EXACT(metadata!F666,"FALSE"))))</f>
        <v>0</v>
      </c>
      <c r="AR666" t="b">
        <f>OR(AND(IF(metadata!G666="",FALSE,TRUE),OR(EXACT(metadata!G666,"missing: not collected"),EXACT(metadata!G666,"missing: not provided"),EXACT(metadata!G666,"missing: restricted access"))),AND(IF(metadata!G666="",FALSE,ISNUMBER(VALUE(metadata!G666))),metadata!G666&gt;=-413))</f>
        <v>0</v>
      </c>
      <c r="AS666" t="b">
        <f>AND(IF(metadata!H666="",FALSE,TRUE),EXACT(metadata!H666,"meters"))</f>
        <v>0</v>
      </c>
      <c r="AT666" t="b">
        <f>AND(IF(metadata!I666="",FALSE,TRUE),OR(EXACT(metadata!I666,"Host-associated"),EXACT(metadata!I666,"Free-living")))</f>
        <v>0</v>
      </c>
      <c r="AU666" t="b">
        <f>AND(IF(metadata!J666="",FALSE,TRUE),OR(EXACT(metadata!J666,"Animal"),EXACT(metadata!J666,"Fungus"),EXACT(metadata!J666,"Plant"),EXACT(metadata!J666,"Saline"),EXACT(metadata!J666,"Non-saline")))</f>
        <v>0</v>
      </c>
      <c r="AV666" t="b">
        <f>AND(IF(metadata!K666="",FALSE,TRUE),OR(EXACT(metadata!K666,"Plant secretion"),EXACT(metadata!K666,"Plant rhizosphere"),EXACT(metadata!K666,"Plant surface"),EXACT(metadata!K666,"Plant corpus"),EXACT(metadata!K666,"Fungus surface"),EXACT(metadata!K666,"Fungus corpus"),EXACT(metadata!K666,"Animal surface"),EXACT(metadata!K666,"Animal proximal gut"),EXACT(metadata!K666,"Animal corpus"),EXACT(metadata!K666,"Animal distal gut"),EXACT(metadata!K666,"Animal secretion"),EXACT(metadata!K666,"Sub-surface (non-saline)"),EXACT(metadata!K666,"Surface (non-saline)"),EXACT(metadata!K666,"Water (non-saline)"),EXACT(metadata!K666,"Soil (non-saline)"),EXACT(metadata!K666,"Aerosol (non-saline)"),EXACT(metadata!K666,"Sediment (non-saline)"),EXACT(metadata!K666,"Surface (saline)"),EXACT(metadata!K666,"Water (saline)"),EXACT(metadata!K666,"Hypersaline (saline)"),EXACT(metadata!K666,"Aerosol (saline)"),EXACT(metadata!K666,"Sediment (saline)")))</f>
        <v>0</v>
      </c>
      <c r="AW666" t="b">
        <f>IF(metadata!L666="",FALSE,TRUE)</f>
        <v>0</v>
      </c>
      <c r="AX666" t="b">
        <f>IF(metadata!M666="",FALSE,TRUE)</f>
        <v>0</v>
      </c>
      <c r="AY666" t="b">
        <f>IF(metadata!N666="",FALSE,TRUE)</f>
        <v>0</v>
      </c>
      <c r="AZ666" t="b">
        <f>OR(AND(IF(metadata!O666="",FALSE,TRUE),OR(EXACT(metadata!O666,"missing: not collected"),EXACT(metadata!O666,"missing: not provided"),EXACT(metadata!O666,"missing: restricted access"))),AND(IF(metadata!O666="",FALSE,TRUE),OR(EXACT(metadata!O666,"air"),EXACT(metadata!O666,"built environment"),EXACT(metadata!O666,"host-associated"),EXACT(metadata!O666,"human-associated"),EXACT(metadata!O666,"human-skin"),EXACT(metadata!O666,"human-oral"),EXACT(metadata!O666,"human-gut"),EXACT(metadata!O666,"human-vaginal"),EXACT(metadata!O666,"microbial mat/biofilm"),EXACT(metadata!O666,"misc environment"),EXACT(metadata!O666,"plant-associated"),EXACT(metadata!O666,"sediment"),EXACT(metadata!O666,"soil"),EXACT(metadata!O666,"wastewater/sludge"),EXACT(metadata!O666,"water"))))</f>
        <v>0</v>
      </c>
      <c r="BA666" t="b">
        <f>IF(metadata!P666="",FALSE,TRUE)</f>
        <v>0</v>
      </c>
      <c r="BB666" t="b">
        <f>IF(metadata!Q666="",FALSE,TRUE)</f>
        <v>0</v>
      </c>
      <c r="BC666" t="b">
        <f>OR(AND(IF(metadata!R666="",FALSE,TRUE),OR(EXACT(metadata!R666,"missing: not collected"),EXACT(metadata!R666,"missing: not provided"),EXACT(metadata!R666,"missing: restricted access"))),AND(IF(metadata!R666="",FALSE,ISNUMBER(VALUE(metadata!R666))),metadata!R666&gt;=-90,metadata!R666&lt;=90))</f>
        <v>0</v>
      </c>
      <c r="BD666" t="b">
        <f>AND(IF(metadata!S666="",FALSE,TRUE),EXACT(metadata!S666,"Decimal degrees"))</f>
        <v>0</v>
      </c>
      <c r="BE666" t="b">
        <f>OR(AND(IF(metadata!T666="",FALSE,TRUE),OR(EXACT(metadata!T666,"missing: not collected"),EXACT(metadata!T666,"missing: not provided"),EXACT(metadata!T666,"missing: restricted access"))),AND(IF(metadata!T666="",FALSE,ISNUMBER(VALUE(metadata!T666))),metadata!T666&gt;=-180,metadata!T666&lt;=180))</f>
        <v>0</v>
      </c>
      <c r="BF666" t="b">
        <f>AND(IF(metadata!U666="",FALSE,TRUE),EXACT(metadata!U666,"Decimal degrees"))</f>
        <v>0</v>
      </c>
      <c r="BG666" t="b">
        <f>IF(metadata!V666="",FALSE,TRUE)</f>
        <v>0</v>
      </c>
      <c r="BH666" t="b">
        <f>OR(AND(IF(metadata!W666="",FALSE,TRUE),OR(EXACT(metadata!W666,"missing: not collected"),EXACT(metadata!W666,"missing: not provided"),EXACT(metadata!W666,"missing: restricted access"))),AND(IF(metadata!W666="",FALSE,TRUE),OR(EXACT(metadata!W666,"TRUE"),EXACT(metadata!W666,"FALSE"))))</f>
        <v>0</v>
      </c>
      <c r="BI666" t="b">
        <f>AND(IF(metadata!X666="",FALSE,TRUE),EXACT(metadata!X666,"other"))</f>
        <v>0</v>
      </c>
      <c r="BJ666" t="b">
        <f>IF(metadata!Y666="",FALSE,TRUE)</f>
        <v>0</v>
      </c>
      <c r="BK666" t="b">
        <f>OR(AND(IF(metadata!Z666="",FALSE,TRUE),OR(EXACT(metadata!Z666,"missing: not collected"),EXACT(metadata!Z666,"missing: not provided"))),AND(IF(metadata!Z666="",FALSE,IF(ISERROR(INT(metadata!Z666)),FALSE,INT(metadata!Z666)=metadata!Z666)),metadata!Z666&gt;0))</f>
        <v>0</v>
      </c>
      <c r="BL666" t="b">
        <f>AND(IF(metadata!AA666="",FALSE,TRUE),EXACT(metadata!AA666,"Not applicable"))</f>
        <v>0</v>
      </c>
      <c r="BM666" t="b">
        <f>IF(metadata!AB666="",FALSE,TRUE)</f>
        <v>0</v>
      </c>
    </row>
    <row r="667" spans="1:65" x14ac:dyDescent="0.2">
      <c r="A667" s="5" t="str">
        <f ca="1">IF(B667=" "," ",HYPERLINK(CONCATENATE("#metadata!",ADDRESS(INDEX($AH$2:$AH$1001,MATCH(ROWS($AF$2:AF667),$AF$2:$AF$1001,0),0),1)),INDEX($AK$2:$AK$1001,MATCH(ROWS($AF$2:AF667),$AF$2:$AF$1001,0),0)))</f>
        <v xml:space="preserve"> </v>
      </c>
      <c r="B667" s="4" t="str">
        <f ca="1">IF(OR(INDEX($AG$2:$AG$1001,MATCH(ROWS($AF$2:AF667),$AF$2:$AF$1001,0),1)&gt;=100000,INDEX($AM$1005:$BM$1005,1,MATCH(COLUMNS($AM$1006:AM1006),$AM$1006:$BM$1006,0))&gt;=100000), " ",IF(INDEX($AM$2:$BM$1001,MATCH(ROWS($AF$2:AF667),$AF$2:$AF$1001,0),MATCH(COLUMNS($AM$1006:AM1006),$AM$1006:$BM$1006,0)), HYPERLINK("#",""), HYPERLINK(CONCATENATE("#metadata!", ADDRESS(INDEX($AH$2:$AH$1001,MATCH(ROWS($AF$2:AF667),$AF$2:$AF$1001,0),0), INDEX($AM$1004:$BM$1004,1,MATCH(COLUMNS($AM$1006:AM1006),$AM$1006:$BM$1006,0)))),"Fix")))</f>
        <v xml:space="preserve"> </v>
      </c>
      <c r="C667" s="4" t="str">
        <f ca="1">IF(OR(INDEX($AG$2:$AG$1001,MATCH(ROWS($AF$2:AF667),$AF$2:$AF$1001,0),1)&gt;=100000,INDEX($AM$1005:$BM$1005,1,MATCH(COLUMNS($AM$1006:AN1006),$AM$1006:$BM$1006,0))&gt;=100000), " ",IF(INDEX($AM$2:$BM$1001,MATCH(ROWS($AF$2:AF667),$AF$2:$AF$1001,0),MATCH(COLUMNS($AM$1006:AN1006),$AM$1006:$BM$1006,0)), HYPERLINK("#",""), HYPERLINK(CONCATENATE("#metadata!", ADDRESS(INDEX($AH$2:$AH$1001,MATCH(ROWS($AF$2:AF667),$AF$2:$AF$1001,0),0), INDEX($AM$1004:$BM$1004,1,MATCH(COLUMNS($AM$1006:AN1006),$AM$1006:$BM$1006,0)))),"Fix")))</f>
        <v xml:space="preserve"> </v>
      </c>
      <c r="D667" s="4" t="str">
        <f ca="1">IF(OR(INDEX($AG$2:$AG$1001,MATCH(ROWS($AF$2:AF667),$AF$2:$AF$1001,0),1)&gt;=100000,INDEX($AM$1005:$BM$1005,1,MATCH(COLUMNS($AM$1006:AO1006),$AM$1006:$BM$1006,0))&gt;=100000), " ",IF(INDEX($AM$2:$BM$1001,MATCH(ROWS($AF$2:AF667),$AF$2:$AF$1001,0),MATCH(COLUMNS($AM$1006:AO1006),$AM$1006:$BM$1006,0)), HYPERLINK("#",""), HYPERLINK(CONCATENATE("#metadata!", ADDRESS(INDEX($AH$2:$AH$1001,MATCH(ROWS($AF$2:AF667),$AF$2:$AF$1001,0),0), INDEX($AM$1004:$BM$1004,1,MATCH(COLUMNS($AM$1006:AO1006),$AM$1006:$BM$1006,0)))),"Fix")))</f>
        <v xml:space="preserve"> </v>
      </c>
      <c r="E667" s="4" t="str">
        <f ca="1">IF(OR(INDEX($AG$2:$AG$1001,MATCH(ROWS($AF$2:AF667),$AF$2:$AF$1001,0),1)&gt;=100000,INDEX($AM$1005:$BM$1005,1,MATCH(COLUMNS($AM$1006:AP1006),$AM$1006:$BM$1006,0))&gt;=100000), " ",IF(INDEX($AM$2:$BM$1001,MATCH(ROWS($AF$2:AF667),$AF$2:$AF$1001,0),MATCH(COLUMNS($AM$1006:AP1006),$AM$1006:$BM$1006,0)), HYPERLINK("#",""), HYPERLINK(CONCATENATE("#metadata!", ADDRESS(INDEX($AH$2:$AH$1001,MATCH(ROWS($AF$2:AF667),$AF$2:$AF$1001,0),0), INDEX($AM$1004:$BM$1004,1,MATCH(COLUMNS($AM$1006:AP1006),$AM$1006:$BM$1006,0)))),"Fix")))</f>
        <v xml:space="preserve"> </v>
      </c>
      <c r="F667" s="4" t="str">
        <f ca="1">IF(OR(INDEX($AG$2:$AG$1001,MATCH(ROWS($AF$2:AF667),$AF$2:$AF$1001,0),1)&gt;=100000,INDEX($AM$1005:$BM$1005,1,MATCH(COLUMNS($AM$1006:AQ1006),$AM$1006:$BM$1006,0))&gt;=100000), " ",IF(INDEX($AM$2:$BM$1001,MATCH(ROWS($AF$2:AF667),$AF$2:$AF$1001,0),MATCH(COLUMNS($AM$1006:AQ1006),$AM$1006:$BM$1006,0)), HYPERLINK("#",""), HYPERLINK(CONCATENATE("#metadata!", ADDRESS(INDEX($AH$2:$AH$1001,MATCH(ROWS($AF$2:AF667),$AF$2:$AF$1001,0),0), INDEX($AM$1004:$BM$1004,1,MATCH(COLUMNS($AM$1006:AQ1006),$AM$1006:$BM$1006,0)))),"Fix")))</f>
        <v xml:space="preserve"> </v>
      </c>
      <c r="G667" s="4" t="str">
        <f ca="1">IF(OR(INDEX($AG$2:$AG$1001,MATCH(ROWS($AF$2:AF667),$AF$2:$AF$1001,0),1)&gt;=100000,INDEX($AM$1005:$BM$1005,1,MATCH(COLUMNS($AM$1006:AR1006),$AM$1006:$BM$1006,0))&gt;=100000), " ",IF(INDEX($AM$2:$BM$1001,MATCH(ROWS($AF$2:AF667),$AF$2:$AF$1001,0),MATCH(COLUMNS($AM$1006:AR1006),$AM$1006:$BM$1006,0)), HYPERLINK("#",""), HYPERLINK(CONCATENATE("#metadata!", ADDRESS(INDEX($AH$2:$AH$1001,MATCH(ROWS($AF$2:AF667),$AF$2:$AF$1001,0),0), INDEX($AM$1004:$BM$1004,1,MATCH(COLUMNS($AM$1006:AR1006),$AM$1006:$BM$1006,0)))),"Fix")))</f>
        <v xml:space="preserve"> </v>
      </c>
      <c r="H667" s="4" t="str">
        <f ca="1">IF(OR(INDEX($AG$2:$AG$1001,MATCH(ROWS($AF$2:AF667),$AF$2:$AF$1001,0),1)&gt;=100000,INDEX($AM$1005:$BM$1005,1,MATCH(COLUMNS($AM$1006:AS1006),$AM$1006:$BM$1006,0))&gt;=100000), " ",IF(INDEX($AM$2:$BM$1001,MATCH(ROWS($AF$2:AF667),$AF$2:$AF$1001,0),MATCH(COLUMNS($AM$1006:AS1006),$AM$1006:$BM$1006,0)), HYPERLINK("#",""), HYPERLINK(CONCATENATE("#metadata!", ADDRESS(INDEX($AH$2:$AH$1001,MATCH(ROWS($AF$2:AF667),$AF$2:$AF$1001,0),0), INDEX($AM$1004:$BM$1004,1,MATCH(COLUMNS($AM$1006:AS1006),$AM$1006:$BM$1006,0)))),"Fix")))</f>
        <v xml:space="preserve"> </v>
      </c>
      <c r="I667" s="4" t="str">
        <f ca="1">IF(OR(INDEX($AG$2:$AG$1001,MATCH(ROWS($AF$2:AF667),$AF$2:$AF$1001,0),1)&gt;=100000,INDEX($AM$1005:$BM$1005,1,MATCH(COLUMNS($AM$1006:AT1006),$AM$1006:$BM$1006,0))&gt;=100000), " ",IF(INDEX($AM$2:$BM$1001,MATCH(ROWS($AF$2:AF667),$AF$2:$AF$1001,0),MATCH(COLUMNS($AM$1006:AT1006),$AM$1006:$BM$1006,0)), HYPERLINK("#",""), HYPERLINK(CONCATENATE("#metadata!", ADDRESS(INDEX($AH$2:$AH$1001,MATCH(ROWS($AF$2:AF667),$AF$2:$AF$1001,0),0), INDEX($AM$1004:$BM$1004,1,MATCH(COLUMNS($AM$1006:AT1006),$AM$1006:$BM$1006,0)))),"Fix")))</f>
        <v xml:space="preserve"> </v>
      </c>
      <c r="J667" s="4" t="str">
        <f ca="1">IF(OR(INDEX($AG$2:$AG$1001,MATCH(ROWS($AF$2:AF667),$AF$2:$AF$1001,0),1)&gt;=100000,INDEX($AM$1005:$BM$1005,1,MATCH(COLUMNS($AM$1006:AU1006),$AM$1006:$BM$1006,0))&gt;=100000), " ",IF(INDEX($AM$2:$BM$1001,MATCH(ROWS($AF$2:AF667),$AF$2:$AF$1001,0),MATCH(COLUMNS($AM$1006:AU1006),$AM$1006:$BM$1006,0)), HYPERLINK("#",""), HYPERLINK(CONCATENATE("#metadata!", ADDRESS(INDEX($AH$2:$AH$1001,MATCH(ROWS($AF$2:AF667),$AF$2:$AF$1001,0),0), INDEX($AM$1004:$BM$1004,1,MATCH(COLUMNS($AM$1006:AU1006),$AM$1006:$BM$1006,0)))),"Fix")))</f>
        <v xml:space="preserve"> </v>
      </c>
      <c r="K667" s="4" t="str">
        <f ca="1">IF(OR(INDEX($AG$2:$AG$1001,MATCH(ROWS($AF$2:AF667),$AF$2:$AF$1001,0),1)&gt;=100000,INDEX($AM$1005:$BM$1005,1,MATCH(COLUMNS($AM$1006:AV1006),$AM$1006:$BM$1006,0))&gt;=100000), " ",IF(INDEX($AM$2:$BM$1001,MATCH(ROWS($AF$2:AF667),$AF$2:$AF$1001,0),MATCH(COLUMNS($AM$1006:AV1006),$AM$1006:$BM$1006,0)), HYPERLINK("#",""), HYPERLINK(CONCATENATE("#metadata!", ADDRESS(INDEX($AH$2:$AH$1001,MATCH(ROWS($AF$2:AF667),$AF$2:$AF$1001,0),0), INDEX($AM$1004:$BM$1004,1,MATCH(COLUMNS($AM$1006:AV1006),$AM$1006:$BM$1006,0)))),"Fix")))</f>
        <v xml:space="preserve"> </v>
      </c>
      <c r="L667" s="4" t="str">
        <f ca="1">IF(OR(INDEX($AG$2:$AG$1001,MATCH(ROWS($AF$2:AF667),$AF$2:$AF$1001,0),1)&gt;=100000,INDEX($AM$1005:$BM$1005,1,MATCH(COLUMNS($AM$1006:AW1006),$AM$1006:$BM$1006,0))&gt;=100000), " ",IF(INDEX($AM$2:$BM$1001,MATCH(ROWS($AF$2:AF667),$AF$2:$AF$1001,0),MATCH(COLUMNS($AM$1006:AW1006),$AM$1006:$BM$1006,0)), HYPERLINK("#",""), HYPERLINK(CONCATENATE("#metadata!", ADDRESS(INDEX($AH$2:$AH$1001,MATCH(ROWS($AF$2:AF667),$AF$2:$AF$1001,0),0), INDEX($AM$1004:$BM$1004,1,MATCH(COLUMNS($AM$1006:AW1006),$AM$1006:$BM$1006,0)))),"Fix")))</f>
        <v xml:space="preserve"> </v>
      </c>
      <c r="M667" s="4" t="str">
        <f ca="1">IF(OR(INDEX($AG$2:$AG$1001,MATCH(ROWS($AF$2:AF667),$AF$2:$AF$1001,0),1)&gt;=100000,INDEX($AM$1005:$BM$1005,1,MATCH(COLUMNS($AM$1006:AX1006),$AM$1006:$BM$1006,0))&gt;=100000), " ",IF(INDEX($AM$2:$BM$1001,MATCH(ROWS($AF$2:AF667),$AF$2:$AF$1001,0),MATCH(COLUMNS($AM$1006:AX1006),$AM$1006:$BM$1006,0)), HYPERLINK("#",""), HYPERLINK(CONCATENATE("#metadata!", ADDRESS(INDEX($AH$2:$AH$1001,MATCH(ROWS($AF$2:AF667),$AF$2:$AF$1001,0),0), INDEX($AM$1004:$BM$1004,1,MATCH(COLUMNS($AM$1006:AX1006),$AM$1006:$BM$1006,0)))),"Fix")))</f>
        <v xml:space="preserve"> </v>
      </c>
      <c r="N667" s="4" t="str">
        <f ca="1">IF(OR(INDEX($AG$2:$AG$1001,MATCH(ROWS($AF$2:AF667),$AF$2:$AF$1001,0),1)&gt;=100000,INDEX($AM$1005:$BM$1005,1,MATCH(COLUMNS($AM$1006:AY1006),$AM$1006:$BM$1006,0))&gt;=100000), " ",IF(INDEX($AM$2:$BM$1001,MATCH(ROWS($AF$2:AF667),$AF$2:$AF$1001,0),MATCH(COLUMNS($AM$1006:AY1006),$AM$1006:$BM$1006,0)), HYPERLINK("#",""), HYPERLINK(CONCATENATE("#metadata!", ADDRESS(INDEX($AH$2:$AH$1001,MATCH(ROWS($AF$2:AF667),$AF$2:$AF$1001,0),0), INDEX($AM$1004:$BM$1004,1,MATCH(COLUMNS($AM$1006:AY1006),$AM$1006:$BM$1006,0)))),"Fix")))</f>
        <v xml:space="preserve"> </v>
      </c>
      <c r="O667" s="4" t="str">
        <f ca="1">IF(OR(INDEX($AG$2:$AG$1001,MATCH(ROWS($AF$2:AF667),$AF$2:$AF$1001,0),1)&gt;=100000,INDEX($AM$1005:$BM$1005,1,MATCH(COLUMNS($AM$1006:AZ1006),$AM$1006:$BM$1006,0))&gt;=100000), " ",IF(INDEX($AM$2:$BM$1001,MATCH(ROWS($AF$2:AF667),$AF$2:$AF$1001,0),MATCH(COLUMNS($AM$1006:AZ1006),$AM$1006:$BM$1006,0)), HYPERLINK("#",""), HYPERLINK(CONCATENATE("#metadata!", ADDRESS(INDEX($AH$2:$AH$1001,MATCH(ROWS($AF$2:AF667),$AF$2:$AF$1001,0),0), INDEX($AM$1004:$BM$1004,1,MATCH(COLUMNS($AM$1006:AZ1006),$AM$1006:$BM$1006,0)))),"Fix")))</f>
        <v xml:space="preserve"> </v>
      </c>
      <c r="P667" s="4" t="str">
        <f ca="1">IF(OR(INDEX($AG$2:$AG$1001,MATCH(ROWS($AF$2:AF667),$AF$2:$AF$1001,0),1)&gt;=100000,INDEX($AM$1005:$BM$1005,1,MATCH(COLUMNS($AM$1006:BA1006),$AM$1006:$BM$1006,0))&gt;=100000), " ",IF(INDEX($AM$2:$BM$1001,MATCH(ROWS($AF$2:AF667),$AF$2:$AF$1001,0),MATCH(COLUMNS($AM$1006:BA1006),$AM$1006:$BM$1006,0)), HYPERLINK("#",""), HYPERLINK(CONCATENATE("#metadata!", ADDRESS(INDEX($AH$2:$AH$1001,MATCH(ROWS($AF$2:AF667),$AF$2:$AF$1001,0),0), INDEX($AM$1004:$BM$1004,1,MATCH(COLUMNS($AM$1006:BA1006),$AM$1006:$BM$1006,0)))),"Fix")))</f>
        <v xml:space="preserve"> </v>
      </c>
      <c r="Q667" s="4" t="str">
        <f ca="1">IF(OR(INDEX($AG$2:$AG$1001,MATCH(ROWS($AF$2:AF667),$AF$2:$AF$1001,0),1)&gt;=100000,INDEX($AM$1005:$BM$1005,1,MATCH(COLUMNS($AM$1006:BB1006),$AM$1006:$BM$1006,0))&gt;=100000), " ",IF(INDEX($AM$2:$BM$1001,MATCH(ROWS($AF$2:AF667),$AF$2:$AF$1001,0),MATCH(COLUMNS($AM$1006:BB1006),$AM$1006:$BM$1006,0)), HYPERLINK("#",""), HYPERLINK(CONCATENATE("#metadata!", ADDRESS(INDEX($AH$2:$AH$1001,MATCH(ROWS($AF$2:AF667),$AF$2:$AF$1001,0),0), INDEX($AM$1004:$BM$1004,1,MATCH(COLUMNS($AM$1006:BB1006),$AM$1006:$BM$1006,0)))),"Fix")))</f>
        <v xml:space="preserve"> </v>
      </c>
      <c r="R667" s="4" t="str">
        <f ca="1">IF(OR(INDEX($AG$2:$AG$1001,MATCH(ROWS($AF$2:AF667),$AF$2:$AF$1001,0),1)&gt;=100000,INDEX($AM$1005:$BM$1005,1,MATCH(COLUMNS($AM$1006:BC1006),$AM$1006:$BM$1006,0))&gt;=100000), " ",IF(INDEX($AM$2:$BM$1001,MATCH(ROWS($AF$2:AF667),$AF$2:$AF$1001,0),MATCH(COLUMNS($AM$1006:BC1006),$AM$1006:$BM$1006,0)), HYPERLINK("#",""), HYPERLINK(CONCATENATE("#metadata!", ADDRESS(INDEX($AH$2:$AH$1001,MATCH(ROWS($AF$2:AF667),$AF$2:$AF$1001,0),0), INDEX($AM$1004:$BM$1004,1,MATCH(COLUMNS($AM$1006:BC1006),$AM$1006:$BM$1006,0)))),"Fix")))</f>
        <v xml:space="preserve"> </v>
      </c>
      <c r="S667" s="4" t="str">
        <f ca="1">IF(OR(INDEX($AG$2:$AG$1001,MATCH(ROWS($AF$2:AF667),$AF$2:$AF$1001,0),1)&gt;=100000,INDEX($AM$1005:$BM$1005,1,MATCH(COLUMNS($AM$1006:BD1006),$AM$1006:$BM$1006,0))&gt;=100000), " ",IF(INDEX($AM$2:$BM$1001,MATCH(ROWS($AF$2:AF667),$AF$2:$AF$1001,0),MATCH(COLUMNS($AM$1006:BD1006),$AM$1006:$BM$1006,0)), HYPERLINK("#",""), HYPERLINK(CONCATENATE("#metadata!", ADDRESS(INDEX($AH$2:$AH$1001,MATCH(ROWS($AF$2:AF667),$AF$2:$AF$1001,0),0), INDEX($AM$1004:$BM$1004,1,MATCH(COLUMNS($AM$1006:BD1006),$AM$1006:$BM$1006,0)))),"Fix")))</f>
        <v xml:space="preserve"> </v>
      </c>
      <c r="T667" s="4" t="str">
        <f ca="1">IF(OR(INDEX($AG$2:$AG$1001,MATCH(ROWS($AF$2:AF667),$AF$2:$AF$1001,0),1)&gt;=100000,INDEX($AM$1005:$BM$1005,1,MATCH(COLUMNS($AM$1006:BE1006),$AM$1006:$BM$1006,0))&gt;=100000), " ",IF(INDEX($AM$2:$BM$1001,MATCH(ROWS($AF$2:AF667),$AF$2:$AF$1001,0),MATCH(COLUMNS($AM$1006:BE1006),$AM$1006:$BM$1006,0)), HYPERLINK("#",""), HYPERLINK(CONCATENATE("#metadata!", ADDRESS(INDEX($AH$2:$AH$1001,MATCH(ROWS($AF$2:AF667),$AF$2:$AF$1001,0),0), INDEX($AM$1004:$BM$1004,1,MATCH(COLUMNS($AM$1006:BE1006),$AM$1006:$BM$1006,0)))),"Fix")))</f>
        <v xml:space="preserve"> </v>
      </c>
      <c r="U667" s="4" t="str">
        <f ca="1">IF(OR(INDEX($AG$2:$AG$1001,MATCH(ROWS($AF$2:AF667),$AF$2:$AF$1001,0),1)&gt;=100000,INDEX($AM$1005:$BM$1005,1,MATCH(COLUMNS($AM$1006:BF1006),$AM$1006:$BM$1006,0))&gt;=100000), " ",IF(INDEX($AM$2:$BM$1001,MATCH(ROWS($AF$2:AF667),$AF$2:$AF$1001,0),MATCH(COLUMNS($AM$1006:BF1006),$AM$1006:$BM$1006,0)), HYPERLINK("#",""), HYPERLINK(CONCATENATE("#metadata!", ADDRESS(INDEX($AH$2:$AH$1001,MATCH(ROWS($AF$2:AF667),$AF$2:$AF$1001,0),0), INDEX($AM$1004:$BM$1004,1,MATCH(COLUMNS($AM$1006:BF1006),$AM$1006:$BM$1006,0)))),"Fix")))</f>
        <v xml:space="preserve"> </v>
      </c>
      <c r="V667" s="4" t="str">
        <f ca="1">IF(OR(INDEX($AG$2:$AG$1001,MATCH(ROWS($AF$2:AF667),$AF$2:$AF$1001,0),1)&gt;=100000,INDEX($AM$1005:$BM$1005,1,MATCH(COLUMNS($AM$1006:BG1006),$AM$1006:$BM$1006,0))&gt;=100000), " ",IF(INDEX($AM$2:$BM$1001,MATCH(ROWS($AF$2:AF667),$AF$2:$AF$1001,0),MATCH(COLUMNS($AM$1006:BG1006),$AM$1006:$BM$1006,0)), HYPERLINK("#",""), HYPERLINK(CONCATENATE("#metadata!", ADDRESS(INDEX($AH$2:$AH$1001,MATCH(ROWS($AF$2:AF667),$AF$2:$AF$1001,0),0), INDEX($AM$1004:$BM$1004,1,MATCH(COLUMNS($AM$1006:BG1006),$AM$1006:$BM$1006,0)))),"Fix")))</f>
        <v xml:space="preserve"> </v>
      </c>
      <c r="W667" s="4" t="str">
        <f ca="1">IF(OR(INDEX($AG$2:$AG$1001,MATCH(ROWS($AF$2:AF667),$AF$2:$AF$1001,0),1)&gt;=100000,INDEX($AM$1005:$BM$1005,1,MATCH(COLUMNS($AM$1006:BH1006),$AM$1006:$BM$1006,0))&gt;=100000), " ",IF(INDEX($AM$2:$BM$1001,MATCH(ROWS($AF$2:AF667),$AF$2:$AF$1001,0),MATCH(COLUMNS($AM$1006:BH1006),$AM$1006:$BM$1006,0)), HYPERLINK("#",""), HYPERLINK(CONCATENATE("#metadata!", ADDRESS(INDEX($AH$2:$AH$1001,MATCH(ROWS($AF$2:AF667),$AF$2:$AF$1001,0),0), INDEX($AM$1004:$BM$1004,1,MATCH(COLUMNS($AM$1006:BH1006),$AM$1006:$BM$1006,0)))),"Fix")))</f>
        <v xml:space="preserve"> </v>
      </c>
      <c r="X667" s="4" t="str">
        <f ca="1">IF(OR(INDEX($AG$2:$AG$1001,MATCH(ROWS($AF$2:AF667),$AF$2:$AF$1001,0),1)&gt;=100000,INDEX($AM$1005:$BM$1005,1,MATCH(COLUMNS($AM$1006:BI1006),$AM$1006:$BM$1006,0))&gt;=100000), " ",IF(INDEX($AM$2:$BM$1001,MATCH(ROWS($AF$2:AF667),$AF$2:$AF$1001,0),MATCH(COLUMNS($AM$1006:BI1006),$AM$1006:$BM$1006,0)), HYPERLINK("#",""), HYPERLINK(CONCATENATE("#metadata!", ADDRESS(INDEX($AH$2:$AH$1001,MATCH(ROWS($AF$2:AF667),$AF$2:$AF$1001,0),0), INDEX($AM$1004:$BM$1004,1,MATCH(COLUMNS($AM$1006:BI1006),$AM$1006:$BM$1006,0)))),"Fix")))</f>
        <v xml:space="preserve"> </v>
      </c>
      <c r="Y667" s="4" t="str">
        <f ca="1">IF(OR(INDEX($AG$2:$AG$1001,MATCH(ROWS($AF$2:AF667),$AF$2:$AF$1001,0),1)&gt;=100000,INDEX($AM$1005:$BM$1005,1,MATCH(COLUMNS($AM$1006:BJ1006),$AM$1006:$BM$1006,0))&gt;=100000), " ",IF(INDEX($AM$2:$BM$1001,MATCH(ROWS($AF$2:AF667),$AF$2:$AF$1001,0),MATCH(COLUMNS($AM$1006:BJ1006),$AM$1006:$BM$1006,0)), HYPERLINK("#",""), HYPERLINK(CONCATENATE("#metadata!", ADDRESS(INDEX($AH$2:$AH$1001,MATCH(ROWS($AF$2:AF667),$AF$2:$AF$1001,0),0), INDEX($AM$1004:$BM$1004,1,MATCH(COLUMNS($AM$1006:BJ1006),$AM$1006:$BM$1006,0)))),"Fix")))</f>
        <v xml:space="preserve"> </v>
      </c>
      <c r="Z667" s="4" t="str">
        <f ca="1">IF(OR(INDEX($AG$2:$AG$1001,MATCH(ROWS($AF$2:AF667),$AF$2:$AF$1001,0),1)&gt;=100000,INDEX($AM$1005:$BM$1005,1,MATCH(COLUMNS($AM$1006:BK1006),$AM$1006:$BM$1006,0))&gt;=100000), " ",IF(INDEX($AM$2:$BM$1001,MATCH(ROWS($AF$2:AF667),$AF$2:$AF$1001,0),MATCH(COLUMNS($AM$1006:BK1006),$AM$1006:$BM$1006,0)), HYPERLINK("#",""), HYPERLINK(CONCATENATE("#metadata!", ADDRESS(INDEX($AH$2:$AH$1001,MATCH(ROWS($AF$2:AF667),$AF$2:$AF$1001,0),0), INDEX($AM$1004:$BM$1004,1,MATCH(COLUMNS($AM$1006:BK1006),$AM$1006:$BM$1006,0)))),"Fix")))</f>
        <v xml:space="preserve"> </v>
      </c>
      <c r="AA667" s="4" t="str">
        <f ca="1">IF(OR(INDEX($AG$2:$AG$1001,MATCH(ROWS($AF$2:AF667),$AF$2:$AF$1001,0),1)&gt;=100000,INDEX($AM$1005:$BM$1005,1,MATCH(COLUMNS($AM$1006:BL1006),$AM$1006:$BM$1006,0))&gt;=100000), " ",IF(INDEX($AM$2:$BM$1001,MATCH(ROWS($AF$2:AF667),$AF$2:$AF$1001,0),MATCH(COLUMNS($AM$1006:BL1006),$AM$1006:$BM$1006,0)), HYPERLINK("#",""), HYPERLINK(CONCATENATE("#metadata!", ADDRESS(INDEX($AH$2:$AH$1001,MATCH(ROWS($AF$2:AF667),$AF$2:$AF$1001,0),0), INDEX($AM$1004:$BM$1004,1,MATCH(COLUMNS($AM$1006:BL1006),$AM$1006:$BM$1006,0)))),"Fix")))</f>
        <v xml:space="preserve"> </v>
      </c>
      <c r="AB667" s="4" t="str">
        <f ca="1">IF(OR(INDEX($AG$2:$AG$1001,MATCH(ROWS($AF$2:AF667),$AF$2:$AF$1001,0),1)&gt;=100000,INDEX($AM$1005:$BM$1005,1,MATCH(COLUMNS($AM$1006:BM1006),$AM$1006:$BM$1006,0))&gt;=100000), " ",IF(INDEX($AM$2:$BM$1001,MATCH(ROWS($AF$2:AF667),$AF$2:$AF$1001,0),MATCH(COLUMNS($AM$1006:BM1006),$AM$1006:$BM$1006,0)), HYPERLINK("#",""), HYPERLINK(CONCATENATE("#metadata!", ADDRESS(INDEX($AH$2:$AH$1001,MATCH(ROWS($AF$2:AF667),$AF$2:$AF$1001,0),0), INDEX($AM$1004:$BM$1004,1,MATCH(COLUMNS($AM$1006:BM1006),$AM$1006:$BM$1006,0)))),"Fix")))</f>
        <v xml:space="preserve"> </v>
      </c>
      <c r="AF667">
        <v>666</v>
      </c>
      <c r="AG667">
        <v>100667</v>
      </c>
      <c r="AH667">
        <v>667</v>
      </c>
      <c r="AI667" t="b">
        <f t="shared" si="10"/>
        <v>1</v>
      </c>
      <c r="AJ667" t="b">
        <f>COUNTBLANK(metadata!B667:AB667)=COLUMNS(metadata!B667:AB667)</f>
        <v>1</v>
      </c>
      <c r="AK667" t="str">
        <v/>
      </c>
      <c r="AM667" t="b">
        <f ca="1">AND(IF(metadata!B667="",FALSE,TRUE),COUNTIF(metadata!B:B, metadata!B667) = 1,NOT(ISERROR(SUMPRODUCT(SEARCH(MID(metadata!B667,ROW(INDIRECT("1:"&amp;LEN(metadata!B667))), 1),"0123456789abcdefghijklmnopqrstuvwxyzABCDEFGHIJKLMNOPQRSTUVWXYZ.")))))</f>
        <v>0</v>
      </c>
      <c r="AN667" t="b">
        <f ca="1">OR(AND(IF(metadata!C667="",FALSE,TRUE),OR(EXACT(metadata!C667,"missing: not collected"),EXACT(metadata!C667,"missing: not provided"),EXACT(metadata!C667,"missing: restricted access"))),AND(IF(metadata!C667="",FALSE,TRUE),AND(AND(IFERROR(INT(LEFT(metadata!C667,4))&gt;1900,FALSE),IFERROR(INT(LEFT(metadata!C667,4))&lt;=YEAR(NOW()),FALSE)), OR(MID(metadata!C667,5,1)="", AND(AND(MID(metadata!C667,5,1)="-",IFERROR(INT(MID(metadata!C667,6,1))&gt;=0,FALSE),IFERROR(INT(MID(metadata!C667,6,1))&lt;=1,FALSE),NOT(MID(metadata!C667,7,1)=""),IFERROR(INT(MID(metadata!C667,6,2))&gt;=1,FALSE),IFERROR(INT(MID(metadata!C667,6,2))&lt;=12,FALSE)), OR(MID(metadata!C667,8,1)="", AND(AND(MID(metadata!C667,8,1)="-",IFERROR(INT(MID(metadata!C667,9,1))&gt;=0,FALSE),IFERROR(INT(MID(metadata!C667,9,1))&lt;=3,FALSE),NOT(MID(metadata!C667,10,1)=""),IFERROR(INT(MID(metadata!C667,9,2))&gt;=1,FALSE),IFERROR(INT(MID(metadata!C667,9,2))&lt;=31,FALSE)), OR(MID(metadata!C667,11,1)="", AND(AND(MID(metadata!C667,11,1)=" ",IFERROR(INT(MID(metadata!C667,12,1))&gt;=0,FALSE),IFERROR(INT(MID(metadata!C667,12,1))&lt;=2,FALSE),NOT(MID(metadata!C667,13,1)=""),IFERROR(INT(MID(metadata!C667,12,2))&gt;=0,FALSE),IFERROR(INT(MID(metadata!C667,12,2))&lt;=23,FALSE)), OR(MID(metadata!C667,14,1)="", AND(AND(MID(metadata!C667,14,1)=":",IFERROR(INT(MID(metadata!C667,15,1))&gt;=0,FALSE),IFERROR(INT(MID(metadata!C667,15,1))&lt;=5,FALSE),NOT(MID(metadata!C667,16,1)=""),IFERROR(INT(MID(metadata!C667,15,2))&gt;=0,FALSE),IFERROR(INT(MID(metadata!C667,15,2))&lt;=59,FALSE)), OR(MID(metadata!C667,17,1)="", AND(AND(MID(metadata!C667,17,1)=":",IFERROR(INT(MID(metadata!C667,18,1))&gt;=0,FALSE),IFERROR(INT(MID(metadata!C667,18,1))&lt;=5,FALSE),NOT(MID(metadata!C667,19,1)=""),IFERROR(INT(MID(metadata!C667,18,2))&gt;=0,FALSE),IFERROR(INT(MID(metadata!C667,18,2))&lt;=59,FALSE)), LEN(metadata!C667)&lt;=19)))))))))))))</f>
        <v>0</v>
      </c>
      <c r="AO667" t="b">
        <f>AND(IF(metadata!D667="",FALSE,TRUE),EXACT(metadata!D667,"Not applicable"))</f>
        <v>0</v>
      </c>
      <c r="AP667" t="b">
        <f>IF(metadata!E667="",FALSE,TRUE)</f>
        <v>0</v>
      </c>
      <c r="AQ667" t="b">
        <f>OR(AND(IF(metadata!F667="",FALSE,TRUE),OR(EXACT(metadata!F667,"missing: not collected"),EXACT(metadata!F667,"missing: not provided"))),AND(IF(metadata!F667="",FALSE,TRUE),OR(EXACT(metadata!F667,"TRUE"),EXACT(metadata!F667,"FALSE"))))</f>
        <v>0</v>
      </c>
      <c r="AR667" t="b">
        <f>OR(AND(IF(metadata!G667="",FALSE,TRUE),OR(EXACT(metadata!G667,"missing: not collected"),EXACT(metadata!G667,"missing: not provided"),EXACT(metadata!G667,"missing: restricted access"))),AND(IF(metadata!G667="",FALSE,ISNUMBER(VALUE(metadata!G667))),metadata!G667&gt;=-413))</f>
        <v>0</v>
      </c>
      <c r="AS667" t="b">
        <f>AND(IF(metadata!H667="",FALSE,TRUE),EXACT(metadata!H667,"meters"))</f>
        <v>0</v>
      </c>
      <c r="AT667" t="b">
        <f>AND(IF(metadata!I667="",FALSE,TRUE),OR(EXACT(metadata!I667,"Host-associated"),EXACT(metadata!I667,"Free-living")))</f>
        <v>0</v>
      </c>
      <c r="AU667" t="b">
        <f>AND(IF(metadata!J667="",FALSE,TRUE),OR(EXACT(metadata!J667,"Animal"),EXACT(metadata!J667,"Fungus"),EXACT(metadata!J667,"Plant"),EXACT(metadata!J667,"Saline"),EXACT(metadata!J667,"Non-saline")))</f>
        <v>0</v>
      </c>
      <c r="AV667" t="b">
        <f>AND(IF(metadata!K667="",FALSE,TRUE),OR(EXACT(metadata!K667,"Plant secretion"),EXACT(metadata!K667,"Plant rhizosphere"),EXACT(metadata!K667,"Plant surface"),EXACT(metadata!K667,"Plant corpus"),EXACT(metadata!K667,"Fungus surface"),EXACT(metadata!K667,"Fungus corpus"),EXACT(metadata!K667,"Animal surface"),EXACT(metadata!K667,"Animal proximal gut"),EXACT(metadata!K667,"Animal corpus"),EXACT(metadata!K667,"Animal distal gut"),EXACT(metadata!K667,"Animal secretion"),EXACT(metadata!K667,"Sub-surface (non-saline)"),EXACT(metadata!K667,"Surface (non-saline)"),EXACT(metadata!K667,"Water (non-saline)"),EXACT(metadata!K667,"Soil (non-saline)"),EXACT(metadata!K667,"Aerosol (non-saline)"),EXACT(metadata!K667,"Sediment (non-saline)"),EXACT(metadata!K667,"Surface (saline)"),EXACT(metadata!K667,"Water (saline)"),EXACT(metadata!K667,"Hypersaline (saline)"),EXACT(metadata!K667,"Aerosol (saline)"),EXACT(metadata!K667,"Sediment (saline)")))</f>
        <v>0</v>
      </c>
      <c r="AW667" t="b">
        <f>IF(metadata!L667="",FALSE,TRUE)</f>
        <v>0</v>
      </c>
      <c r="AX667" t="b">
        <f>IF(metadata!M667="",FALSE,TRUE)</f>
        <v>0</v>
      </c>
      <c r="AY667" t="b">
        <f>IF(metadata!N667="",FALSE,TRUE)</f>
        <v>0</v>
      </c>
      <c r="AZ667" t="b">
        <f>OR(AND(IF(metadata!O667="",FALSE,TRUE),OR(EXACT(metadata!O667,"missing: not collected"),EXACT(metadata!O667,"missing: not provided"),EXACT(metadata!O667,"missing: restricted access"))),AND(IF(metadata!O667="",FALSE,TRUE),OR(EXACT(metadata!O667,"air"),EXACT(metadata!O667,"built environment"),EXACT(metadata!O667,"host-associated"),EXACT(metadata!O667,"human-associated"),EXACT(metadata!O667,"human-skin"),EXACT(metadata!O667,"human-oral"),EXACT(metadata!O667,"human-gut"),EXACT(metadata!O667,"human-vaginal"),EXACT(metadata!O667,"microbial mat/biofilm"),EXACT(metadata!O667,"misc environment"),EXACT(metadata!O667,"plant-associated"),EXACT(metadata!O667,"sediment"),EXACT(metadata!O667,"soil"),EXACT(metadata!O667,"wastewater/sludge"),EXACT(metadata!O667,"water"))))</f>
        <v>0</v>
      </c>
      <c r="BA667" t="b">
        <f>IF(metadata!P667="",FALSE,TRUE)</f>
        <v>0</v>
      </c>
      <c r="BB667" t="b">
        <f>IF(metadata!Q667="",FALSE,TRUE)</f>
        <v>0</v>
      </c>
      <c r="BC667" t="b">
        <f>OR(AND(IF(metadata!R667="",FALSE,TRUE),OR(EXACT(metadata!R667,"missing: not collected"),EXACT(metadata!R667,"missing: not provided"),EXACT(metadata!R667,"missing: restricted access"))),AND(IF(metadata!R667="",FALSE,ISNUMBER(VALUE(metadata!R667))),metadata!R667&gt;=-90,metadata!R667&lt;=90))</f>
        <v>0</v>
      </c>
      <c r="BD667" t="b">
        <f>AND(IF(metadata!S667="",FALSE,TRUE),EXACT(metadata!S667,"Decimal degrees"))</f>
        <v>0</v>
      </c>
      <c r="BE667" t="b">
        <f>OR(AND(IF(metadata!T667="",FALSE,TRUE),OR(EXACT(metadata!T667,"missing: not collected"),EXACT(metadata!T667,"missing: not provided"),EXACT(metadata!T667,"missing: restricted access"))),AND(IF(metadata!T667="",FALSE,ISNUMBER(VALUE(metadata!T667))),metadata!T667&gt;=-180,metadata!T667&lt;=180))</f>
        <v>0</v>
      </c>
      <c r="BF667" t="b">
        <f>AND(IF(metadata!U667="",FALSE,TRUE),EXACT(metadata!U667,"Decimal degrees"))</f>
        <v>0</v>
      </c>
      <c r="BG667" t="b">
        <f>IF(metadata!V667="",FALSE,TRUE)</f>
        <v>0</v>
      </c>
      <c r="BH667" t="b">
        <f>OR(AND(IF(metadata!W667="",FALSE,TRUE),OR(EXACT(metadata!W667,"missing: not collected"),EXACT(metadata!W667,"missing: not provided"),EXACT(metadata!W667,"missing: restricted access"))),AND(IF(metadata!W667="",FALSE,TRUE),OR(EXACT(metadata!W667,"TRUE"),EXACT(metadata!W667,"FALSE"))))</f>
        <v>0</v>
      </c>
      <c r="BI667" t="b">
        <f>AND(IF(metadata!X667="",FALSE,TRUE),EXACT(metadata!X667,"other"))</f>
        <v>0</v>
      </c>
      <c r="BJ667" t="b">
        <f>IF(metadata!Y667="",FALSE,TRUE)</f>
        <v>0</v>
      </c>
      <c r="BK667" t="b">
        <f>OR(AND(IF(metadata!Z667="",FALSE,TRUE),OR(EXACT(metadata!Z667,"missing: not collected"),EXACT(metadata!Z667,"missing: not provided"))),AND(IF(metadata!Z667="",FALSE,IF(ISERROR(INT(metadata!Z667)),FALSE,INT(metadata!Z667)=metadata!Z667)),metadata!Z667&gt;0))</f>
        <v>0</v>
      </c>
      <c r="BL667" t="b">
        <f>AND(IF(metadata!AA667="",FALSE,TRUE),EXACT(metadata!AA667,"Not applicable"))</f>
        <v>0</v>
      </c>
      <c r="BM667" t="b">
        <f>IF(metadata!AB667="",FALSE,TRUE)</f>
        <v>0</v>
      </c>
    </row>
    <row r="668" spans="1:65" x14ac:dyDescent="0.2">
      <c r="A668" s="5" t="str">
        <f ca="1">IF(B668=" "," ",HYPERLINK(CONCATENATE("#metadata!",ADDRESS(INDEX($AH$2:$AH$1001,MATCH(ROWS($AF$2:AF668),$AF$2:$AF$1001,0),0),1)),INDEX($AK$2:$AK$1001,MATCH(ROWS($AF$2:AF668),$AF$2:$AF$1001,0),0)))</f>
        <v xml:space="preserve"> </v>
      </c>
      <c r="B668" s="4" t="str">
        <f ca="1">IF(OR(INDEX($AG$2:$AG$1001,MATCH(ROWS($AF$2:AF668),$AF$2:$AF$1001,0),1)&gt;=100000,INDEX($AM$1005:$BM$1005,1,MATCH(COLUMNS($AM$1006:AM1006),$AM$1006:$BM$1006,0))&gt;=100000), " ",IF(INDEX($AM$2:$BM$1001,MATCH(ROWS($AF$2:AF668),$AF$2:$AF$1001,0),MATCH(COLUMNS($AM$1006:AM1006),$AM$1006:$BM$1006,0)), HYPERLINK("#",""), HYPERLINK(CONCATENATE("#metadata!", ADDRESS(INDEX($AH$2:$AH$1001,MATCH(ROWS($AF$2:AF668),$AF$2:$AF$1001,0),0), INDEX($AM$1004:$BM$1004,1,MATCH(COLUMNS($AM$1006:AM1006),$AM$1006:$BM$1006,0)))),"Fix")))</f>
        <v xml:space="preserve"> </v>
      </c>
      <c r="C668" s="4" t="str">
        <f ca="1">IF(OR(INDEX($AG$2:$AG$1001,MATCH(ROWS($AF$2:AF668),$AF$2:$AF$1001,0),1)&gt;=100000,INDEX($AM$1005:$BM$1005,1,MATCH(COLUMNS($AM$1006:AN1006),$AM$1006:$BM$1006,0))&gt;=100000), " ",IF(INDEX($AM$2:$BM$1001,MATCH(ROWS($AF$2:AF668),$AF$2:$AF$1001,0),MATCH(COLUMNS($AM$1006:AN1006),$AM$1006:$BM$1006,0)), HYPERLINK("#",""), HYPERLINK(CONCATENATE("#metadata!", ADDRESS(INDEX($AH$2:$AH$1001,MATCH(ROWS($AF$2:AF668),$AF$2:$AF$1001,0),0), INDEX($AM$1004:$BM$1004,1,MATCH(COLUMNS($AM$1006:AN1006),$AM$1006:$BM$1006,0)))),"Fix")))</f>
        <v xml:space="preserve"> </v>
      </c>
      <c r="D668" s="4" t="str">
        <f ca="1">IF(OR(INDEX($AG$2:$AG$1001,MATCH(ROWS($AF$2:AF668),$AF$2:$AF$1001,0),1)&gt;=100000,INDEX($AM$1005:$BM$1005,1,MATCH(COLUMNS($AM$1006:AO1006),$AM$1006:$BM$1006,0))&gt;=100000), " ",IF(INDEX($AM$2:$BM$1001,MATCH(ROWS($AF$2:AF668),$AF$2:$AF$1001,0),MATCH(COLUMNS($AM$1006:AO1006),$AM$1006:$BM$1006,0)), HYPERLINK("#",""), HYPERLINK(CONCATENATE("#metadata!", ADDRESS(INDEX($AH$2:$AH$1001,MATCH(ROWS($AF$2:AF668),$AF$2:$AF$1001,0),0), INDEX($AM$1004:$BM$1004,1,MATCH(COLUMNS($AM$1006:AO1006),$AM$1006:$BM$1006,0)))),"Fix")))</f>
        <v xml:space="preserve"> </v>
      </c>
      <c r="E668" s="4" t="str">
        <f ca="1">IF(OR(INDEX($AG$2:$AG$1001,MATCH(ROWS($AF$2:AF668),$AF$2:$AF$1001,0),1)&gt;=100000,INDEX($AM$1005:$BM$1005,1,MATCH(COLUMNS($AM$1006:AP1006),$AM$1006:$BM$1006,0))&gt;=100000), " ",IF(INDEX($AM$2:$BM$1001,MATCH(ROWS($AF$2:AF668),$AF$2:$AF$1001,0),MATCH(COLUMNS($AM$1006:AP1006),$AM$1006:$BM$1006,0)), HYPERLINK("#",""), HYPERLINK(CONCATENATE("#metadata!", ADDRESS(INDEX($AH$2:$AH$1001,MATCH(ROWS($AF$2:AF668),$AF$2:$AF$1001,0),0), INDEX($AM$1004:$BM$1004,1,MATCH(COLUMNS($AM$1006:AP1006),$AM$1006:$BM$1006,0)))),"Fix")))</f>
        <v xml:space="preserve"> </v>
      </c>
      <c r="F668" s="4" t="str">
        <f ca="1">IF(OR(INDEX($AG$2:$AG$1001,MATCH(ROWS($AF$2:AF668),$AF$2:$AF$1001,0),1)&gt;=100000,INDEX($AM$1005:$BM$1005,1,MATCH(COLUMNS($AM$1006:AQ1006),$AM$1006:$BM$1006,0))&gt;=100000), " ",IF(INDEX($AM$2:$BM$1001,MATCH(ROWS($AF$2:AF668),$AF$2:$AF$1001,0),MATCH(COLUMNS($AM$1006:AQ1006),$AM$1006:$BM$1006,0)), HYPERLINK("#",""), HYPERLINK(CONCATENATE("#metadata!", ADDRESS(INDEX($AH$2:$AH$1001,MATCH(ROWS($AF$2:AF668),$AF$2:$AF$1001,0),0), INDEX($AM$1004:$BM$1004,1,MATCH(COLUMNS($AM$1006:AQ1006),$AM$1006:$BM$1006,0)))),"Fix")))</f>
        <v xml:space="preserve"> </v>
      </c>
      <c r="G668" s="4" t="str">
        <f ca="1">IF(OR(INDEX($AG$2:$AG$1001,MATCH(ROWS($AF$2:AF668),$AF$2:$AF$1001,0),1)&gt;=100000,INDEX($AM$1005:$BM$1005,1,MATCH(COLUMNS($AM$1006:AR1006),$AM$1006:$BM$1006,0))&gt;=100000), " ",IF(INDEX($AM$2:$BM$1001,MATCH(ROWS($AF$2:AF668),$AF$2:$AF$1001,0),MATCH(COLUMNS($AM$1006:AR1006),$AM$1006:$BM$1006,0)), HYPERLINK("#",""), HYPERLINK(CONCATENATE("#metadata!", ADDRESS(INDEX($AH$2:$AH$1001,MATCH(ROWS($AF$2:AF668),$AF$2:$AF$1001,0),0), INDEX($AM$1004:$BM$1004,1,MATCH(COLUMNS($AM$1006:AR1006),$AM$1006:$BM$1006,0)))),"Fix")))</f>
        <v xml:space="preserve"> </v>
      </c>
      <c r="H668" s="4" t="str">
        <f ca="1">IF(OR(INDEX($AG$2:$AG$1001,MATCH(ROWS($AF$2:AF668),$AF$2:$AF$1001,0),1)&gt;=100000,INDEX($AM$1005:$BM$1005,1,MATCH(COLUMNS($AM$1006:AS1006),$AM$1006:$BM$1006,0))&gt;=100000), " ",IF(INDEX($AM$2:$BM$1001,MATCH(ROWS($AF$2:AF668),$AF$2:$AF$1001,0),MATCH(COLUMNS($AM$1006:AS1006),$AM$1006:$BM$1006,0)), HYPERLINK("#",""), HYPERLINK(CONCATENATE("#metadata!", ADDRESS(INDEX($AH$2:$AH$1001,MATCH(ROWS($AF$2:AF668),$AF$2:$AF$1001,0),0), INDEX($AM$1004:$BM$1004,1,MATCH(COLUMNS($AM$1006:AS1006),$AM$1006:$BM$1006,0)))),"Fix")))</f>
        <v xml:space="preserve"> </v>
      </c>
      <c r="I668" s="4" t="str">
        <f ca="1">IF(OR(INDEX($AG$2:$AG$1001,MATCH(ROWS($AF$2:AF668),$AF$2:$AF$1001,0),1)&gt;=100000,INDEX($AM$1005:$BM$1005,1,MATCH(COLUMNS($AM$1006:AT1006),$AM$1006:$BM$1006,0))&gt;=100000), " ",IF(INDEX($AM$2:$BM$1001,MATCH(ROWS($AF$2:AF668),$AF$2:$AF$1001,0),MATCH(COLUMNS($AM$1006:AT1006),$AM$1006:$BM$1006,0)), HYPERLINK("#",""), HYPERLINK(CONCATENATE("#metadata!", ADDRESS(INDEX($AH$2:$AH$1001,MATCH(ROWS($AF$2:AF668),$AF$2:$AF$1001,0),0), INDEX($AM$1004:$BM$1004,1,MATCH(COLUMNS($AM$1006:AT1006),$AM$1006:$BM$1006,0)))),"Fix")))</f>
        <v xml:space="preserve"> </v>
      </c>
      <c r="J668" s="4" t="str">
        <f ca="1">IF(OR(INDEX($AG$2:$AG$1001,MATCH(ROWS($AF$2:AF668),$AF$2:$AF$1001,0),1)&gt;=100000,INDEX($AM$1005:$BM$1005,1,MATCH(COLUMNS($AM$1006:AU1006),$AM$1006:$BM$1006,0))&gt;=100000), " ",IF(INDEX($AM$2:$BM$1001,MATCH(ROWS($AF$2:AF668),$AF$2:$AF$1001,0),MATCH(COLUMNS($AM$1006:AU1006),$AM$1006:$BM$1006,0)), HYPERLINK("#",""), HYPERLINK(CONCATENATE("#metadata!", ADDRESS(INDEX($AH$2:$AH$1001,MATCH(ROWS($AF$2:AF668),$AF$2:$AF$1001,0),0), INDEX($AM$1004:$BM$1004,1,MATCH(COLUMNS($AM$1006:AU1006),$AM$1006:$BM$1006,0)))),"Fix")))</f>
        <v xml:space="preserve"> </v>
      </c>
      <c r="K668" s="4" t="str">
        <f ca="1">IF(OR(INDEX($AG$2:$AG$1001,MATCH(ROWS($AF$2:AF668),$AF$2:$AF$1001,0),1)&gt;=100000,INDEX($AM$1005:$BM$1005,1,MATCH(COLUMNS($AM$1006:AV1006),$AM$1006:$BM$1006,0))&gt;=100000), " ",IF(INDEX($AM$2:$BM$1001,MATCH(ROWS($AF$2:AF668),$AF$2:$AF$1001,0),MATCH(COLUMNS($AM$1006:AV1006),$AM$1006:$BM$1006,0)), HYPERLINK("#",""), HYPERLINK(CONCATENATE("#metadata!", ADDRESS(INDEX($AH$2:$AH$1001,MATCH(ROWS($AF$2:AF668),$AF$2:$AF$1001,0),0), INDEX($AM$1004:$BM$1004,1,MATCH(COLUMNS($AM$1006:AV1006),$AM$1006:$BM$1006,0)))),"Fix")))</f>
        <v xml:space="preserve"> </v>
      </c>
      <c r="L668" s="4" t="str">
        <f ca="1">IF(OR(INDEX($AG$2:$AG$1001,MATCH(ROWS($AF$2:AF668),$AF$2:$AF$1001,0),1)&gt;=100000,INDEX($AM$1005:$BM$1005,1,MATCH(COLUMNS($AM$1006:AW1006),$AM$1006:$BM$1006,0))&gt;=100000), " ",IF(INDEX($AM$2:$BM$1001,MATCH(ROWS($AF$2:AF668),$AF$2:$AF$1001,0),MATCH(COLUMNS($AM$1006:AW1006),$AM$1006:$BM$1006,0)), HYPERLINK("#",""), HYPERLINK(CONCATENATE("#metadata!", ADDRESS(INDEX($AH$2:$AH$1001,MATCH(ROWS($AF$2:AF668),$AF$2:$AF$1001,0),0), INDEX($AM$1004:$BM$1004,1,MATCH(COLUMNS($AM$1006:AW1006),$AM$1006:$BM$1006,0)))),"Fix")))</f>
        <v xml:space="preserve"> </v>
      </c>
      <c r="M668" s="4" t="str">
        <f ca="1">IF(OR(INDEX($AG$2:$AG$1001,MATCH(ROWS($AF$2:AF668),$AF$2:$AF$1001,0),1)&gt;=100000,INDEX($AM$1005:$BM$1005,1,MATCH(COLUMNS($AM$1006:AX1006),$AM$1006:$BM$1006,0))&gt;=100000), " ",IF(INDEX($AM$2:$BM$1001,MATCH(ROWS($AF$2:AF668),$AF$2:$AF$1001,0),MATCH(COLUMNS($AM$1006:AX1006),$AM$1006:$BM$1006,0)), HYPERLINK("#",""), HYPERLINK(CONCATENATE("#metadata!", ADDRESS(INDEX($AH$2:$AH$1001,MATCH(ROWS($AF$2:AF668),$AF$2:$AF$1001,0),0), INDEX($AM$1004:$BM$1004,1,MATCH(COLUMNS($AM$1006:AX1006),$AM$1006:$BM$1006,0)))),"Fix")))</f>
        <v xml:space="preserve"> </v>
      </c>
      <c r="N668" s="4" t="str">
        <f ca="1">IF(OR(INDEX($AG$2:$AG$1001,MATCH(ROWS($AF$2:AF668),$AF$2:$AF$1001,0),1)&gt;=100000,INDEX($AM$1005:$BM$1005,1,MATCH(COLUMNS($AM$1006:AY1006),$AM$1006:$BM$1006,0))&gt;=100000), " ",IF(INDEX($AM$2:$BM$1001,MATCH(ROWS($AF$2:AF668),$AF$2:$AF$1001,0),MATCH(COLUMNS($AM$1006:AY1006),$AM$1006:$BM$1006,0)), HYPERLINK("#",""), HYPERLINK(CONCATENATE("#metadata!", ADDRESS(INDEX($AH$2:$AH$1001,MATCH(ROWS($AF$2:AF668),$AF$2:$AF$1001,0),0), INDEX($AM$1004:$BM$1004,1,MATCH(COLUMNS($AM$1006:AY1006),$AM$1006:$BM$1006,0)))),"Fix")))</f>
        <v xml:space="preserve"> </v>
      </c>
      <c r="O668" s="4" t="str">
        <f ca="1">IF(OR(INDEX($AG$2:$AG$1001,MATCH(ROWS($AF$2:AF668),$AF$2:$AF$1001,0),1)&gt;=100000,INDEX($AM$1005:$BM$1005,1,MATCH(COLUMNS($AM$1006:AZ1006),$AM$1006:$BM$1006,0))&gt;=100000), " ",IF(INDEX($AM$2:$BM$1001,MATCH(ROWS($AF$2:AF668),$AF$2:$AF$1001,0),MATCH(COLUMNS($AM$1006:AZ1006),$AM$1006:$BM$1006,0)), HYPERLINK("#",""), HYPERLINK(CONCATENATE("#metadata!", ADDRESS(INDEX($AH$2:$AH$1001,MATCH(ROWS($AF$2:AF668),$AF$2:$AF$1001,0),0), INDEX($AM$1004:$BM$1004,1,MATCH(COLUMNS($AM$1006:AZ1006),$AM$1006:$BM$1006,0)))),"Fix")))</f>
        <v xml:space="preserve"> </v>
      </c>
      <c r="P668" s="4" t="str">
        <f ca="1">IF(OR(INDEX($AG$2:$AG$1001,MATCH(ROWS($AF$2:AF668),$AF$2:$AF$1001,0),1)&gt;=100000,INDEX($AM$1005:$BM$1005,1,MATCH(COLUMNS($AM$1006:BA1006),$AM$1006:$BM$1006,0))&gt;=100000), " ",IF(INDEX($AM$2:$BM$1001,MATCH(ROWS($AF$2:AF668),$AF$2:$AF$1001,0),MATCH(COLUMNS($AM$1006:BA1006),$AM$1006:$BM$1006,0)), HYPERLINK("#",""), HYPERLINK(CONCATENATE("#metadata!", ADDRESS(INDEX($AH$2:$AH$1001,MATCH(ROWS($AF$2:AF668),$AF$2:$AF$1001,0),0), INDEX($AM$1004:$BM$1004,1,MATCH(COLUMNS($AM$1006:BA1006),$AM$1006:$BM$1006,0)))),"Fix")))</f>
        <v xml:space="preserve"> </v>
      </c>
      <c r="Q668" s="4" t="str">
        <f ca="1">IF(OR(INDEX($AG$2:$AG$1001,MATCH(ROWS($AF$2:AF668),$AF$2:$AF$1001,0),1)&gt;=100000,INDEX($AM$1005:$BM$1005,1,MATCH(COLUMNS($AM$1006:BB1006),$AM$1006:$BM$1006,0))&gt;=100000), " ",IF(INDEX($AM$2:$BM$1001,MATCH(ROWS($AF$2:AF668),$AF$2:$AF$1001,0),MATCH(COLUMNS($AM$1006:BB1006),$AM$1006:$BM$1006,0)), HYPERLINK("#",""), HYPERLINK(CONCATENATE("#metadata!", ADDRESS(INDEX($AH$2:$AH$1001,MATCH(ROWS($AF$2:AF668),$AF$2:$AF$1001,0),0), INDEX($AM$1004:$BM$1004,1,MATCH(COLUMNS($AM$1006:BB1006),$AM$1006:$BM$1006,0)))),"Fix")))</f>
        <v xml:space="preserve"> </v>
      </c>
      <c r="R668" s="4" t="str">
        <f ca="1">IF(OR(INDEX($AG$2:$AG$1001,MATCH(ROWS($AF$2:AF668),$AF$2:$AF$1001,0),1)&gt;=100000,INDEX($AM$1005:$BM$1005,1,MATCH(COLUMNS($AM$1006:BC1006),$AM$1006:$BM$1006,0))&gt;=100000), " ",IF(INDEX($AM$2:$BM$1001,MATCH(ROWS($AF$2:AF668),$AF$2:$AF$1001,0),MATCH(COLUMNS($AM$1006:BC1006),$AM$1006:$BM$1006,0)), HYPERLINK("#",""), HYPERLINK(CONCATENATE("#metadata!", ADDRESS(INDEX($AH$2:$AH$1001,MATCH(ROWS($AF$2:AF668),$AF$2:$AF$1001,0),0), INDEX($AM$1004:$BM$1004,1,MATCH(COLUMNS($AM$1006:BC1006),$AM$1006:$BM$1006,0)))),"Fix")))</f>
        <v xml:space="preserve"> </v>
      </c>
      <c r="S668" s="4" t="str">
        <f ca="1">IF(OR(INDEX($AG$2:$AG$1001,MATCH(ROWS($AF$2:AF668),$AF$2:$AF$1001,0),1)&gt;=100000,INDEX($AM$1005:$BM$1005,1,MATCH(COLUMNS($AM$1006:BD1006),$AM$1006:$BM$1006,0))&gt;=100000), " ",IF(INDEX($AM$2:$BM$1001,MATCH(ROWS($AF$2:AF668),$AF$2:$AF$1001,0),MATCH(COLUMNS($AM$1006:BD1006),$AM$1006:$BM$1006,0)), HYPERLINK("#",""), HYPERLINK(CONCATENATE("#metadata!", ADDRESS(INDEX($AH$2:$AH$1001,MATCH(ROWS($AF$2:AF668),$AF$2:$AF$1001,0),0), INDEX($AM$1004:$BM$1004,1,MATCH(COLUMNS($AM$1006:BD1006),$AM$1006:$BM$1006,0)))),"Fix")))</f>
        <v xml:space="preserve"> </v>
      </c>
      <c r="T668" s="4" t="str">
        <f ca="1">IF(OR(INDEX($AG$2:$AG$1001,MATCH(ROWS($AF$2:AF668),$AF$2:$AF$1001,0),1)&gt;=100000,INDEX($AM$1005:$BM$1005,1,MATCH(COLUMNS($AM$1006:BE1006),$AM$1006:$BM$1006,0))&gt;=100000), " ",IF(INDEX($AM$2:$BM$1001,MATCH(ROWS($AF$2:AF668),$AF$2:$AF$1001,0),MATCH(COLUMNS($AM$1006:BE1006),$AM$1006:$BM$1006,0)), HYPERLINK("#",""), HYPERLINK(CONCATENATE("#metadata!", ADDRESS(INDEX($AH$2:$AH$1001,MATCH(ROWS($AF$2:AF668),$AF$2:$AF$1001,0),0), INDEX($AM$1004:$BM$1004,1,MATCH(COLUMNS($AM$1006:BE1006),$AM$1006:$BM$1006,0)))),"Fix")))</f>
        <v xml:space="preserve"> </v>
      </c>
      <c r="U668" s="4" t="str">
        <f ca="1">IF(OR(INDEX($AG$2:$AG$1001,MATCH(ROWS($AF$2:AF668),$AF$2:$AF$1001,0),1)&gt;=100000,INDEX($AM$1005:$BM$1005,1,MATCH(COLUMNS($AM$1006:BF1006),$AM$1006:$BM$1006,0))&gt;=100000), " ",IF(INDEX($AM$2:$BM$1001,MATCH(ROWS($AF$2:AF668),$AF$2:$AF$1001,0),MATCH(COLUMNS($AM$1006:BF1006),$AM$1006:$BM$1006,0)), HYPERLINK("#",""), HYPERLINK(CONCATENATE("#metadata!", ADDRESS(INDEX($AH$2:$AH$1001,MATCH(ROWS($AF$2:AF668),$AF$2:$AF$1001,0),0), INDEX($AM$1004:$BM$1004,1,MATCH(COLUMNS($AM$1006:BF1006),$AM$1006:$BM$1006,0)))),"Fix")))</f>
        <v xml:space="preserve"> </v>
      </c>
      <c r="V668" s="4" t="str">
        <f ca="1">IF(OR(INDEX($AG$2:$AG$1001,MATCH(ROWS($AF$2:AF668),$AF$2:$AF$1001,0),1)&gt;=100000,INDEX($AM$1005:$BM$1005,1,MATCH(COLUMNS($AM$1006:BG1006),$AM$1006:$BM$1006,0))&gt;=100000), " ",IF(INDEX($AM$2:$BM$1001,MATCH(ROWS($AF$2:AF668),$AF$2:$AF$1001,0),MATCH(COLUMNS($AM$1006:BG1006),$AM$1006:$BM$1006,0)), HYPERLINK("#",""), HYPERLINK(CONCATENATE("#metadata!", ADDRESS(INDEX($AH$2:$AH$1001,MATCH(ROWS($AF$2:AF668),$AF$2:$AF$1001,0),0), INDEX($AM$1004:$BM$1004,1,MATCH(COLUMNS($AM$1006:BG1006),$AM$1006:$BM$1006,0)))),"Fix")))</f>
        <v xml:space="preserve"> </v>
      </c>
      <c r="W668" s="4" t="str">
        <f ca="1">IF(OR(INDEX($AG$2:$AG$1001,MATCH(ROWS($AF$2:AF668),$AF$2:$AF$1001,0),1)&gt;=100000,INDEX($AM$1005:$BM$1005,1,MATCH(COLUMNS($AM$1006:BH1006),$AM$1006:$BM$1006,0))&gt;=100000), " ",IF(INDEX($AM$2:$BM$1001,MATCH(ROWS($AF$2:AF668),$AF$2:$AF$1001,0),MATCH(COLUMNS($AM$1006:BH1006),$AM$1006:$BM$1006,0)), HYPERLINK("#",""), HYPERLINK(CONCATENATE("#metadata!", ADDRESS(INDEX($AH$2:$AH$1001,MATCH(ROWS($AF$2:AF668),$AF$2:$AF$1001,0),0), INDEX($AM$1004:$BM$1004,1,MATCH(COLUMNS($AM$1006:BH1006),$AM$1006:$BM$1006,0)))),"Fix")))</f>
        <v xml:space="preserve"> </v>
      </c>
      <c r="X668" s="4" t="str">
        <f ca="1">IF(OR(INDEX($AG$2:$AG$1001,MATCH(ROWS($AF$2:AF668),$AF$2:$AF$1001,0),1)&gt;=100000,INDEX($AM$1005:$BM$1005,1,MATCH(COLUMNS($AM$1006:BI1006),$AM$1006:$BM$1006,0))&gt;=100000), " ",IF(INDEX($AM$2:$BM$1001,MATCH(ROWS($AF$2:AF668),$AF$2:$AF$1001,0),MATCH(COLUMNS($AM$1006:BI1006),$AM$1006:$BM$1006,0)), HYPERLINK("#",""), HYPERLINK(CONCATENATE("#metadata!", ADDRESS(INDEX($AH$2:$AH$1001,MATCH(ROWS($AF$2:AF668),$AF$2:$AF$1001,0),0), INDEX($AM$1004:$BM$1004,1,MATCH(COLUMNS($AM$1006:BI1006),$AM$1006:$BM$1006,0)))),"Fix")))</f>
        <v xml:space="preserve"> </v>
      </c>
      <c r="Y668" s="4" t="str">
        <f ca="1">IF(OR(INDEX($AG$2:$AG$1001,MATCH(ROWS($AF$2:AF668),$AF$2:$AF$1001,0),1)&gt;=100000,INDEX($AM$1005:$BM$1005,1,MATCH(COLUMNS($AM$1006:BJ1006),$AM$1006:$BM$1006,0))&gt;=100000), " ",IF(INDEX($AM$2:$BM$1001,MATCH(ROWS($AF$2:AF668),$AF$2:$AF$1001,0),MATCH(COLUMNS($AM$1006:BJ1006),$AM$1006:$BM$1006,0)), HYPERLINK("#",""), HYPERLINK(CONCATENATE("#metadata!", ADDRESS(INDEX($AH$2:$AH$1001,MATCH(ROWS($AF$2:AF668),$AF$2:$AF$1001,0),0), INDEX($AM$1004:$BM$1004,1,MATCH(COLUMNS($AM$1006:BJ1006),$AM$1006:$BM$1006,0)))),"Fix")))</f>
        <v xml:space="preserve"> </v>
      </c>
      <c r="Z668" s="4" t="str">
        <f ca="1">IF(OR(INDEX($AG$2:$AG$1001,MATCH(ROWS($AF$2:AF668),$AF$2:$AF$1001,0),1)&gt;=100000,INDEX($AM$1005:$BM$1005,1,MATCH(COLUMNS($AM$1006:BK1006),$AM$1006:$BM$1006,0))&gt;=100000), " ",IF(INDEX($AM$2:$BM$1001,MATCH(ROWS($AF$2:AF668),$AF$2:$AF$1001,0),MATCH(COLUMNS($AM$1006:BK1006),$AM$1006:$BM$1006,0)), HYPERLINK("#",""), HYPERLINK(CONCATENATE("#metadata!", ADDRESS(INDEX($AH$2:$AH$1001,MATCH(ROWS($AF$2:AF668),$AF$2:$AF$1001,0),0), INDEX($AM$1004:$BM$1004,1,MATCH(COLUMNS($AM$1006:BK1006),$AM$1006:$BM$1006,0)))),"Fix")))</f>
        <v xml:space="preserve"> </v>
      </c>
      <c r="AA668" s="4" t="str">
        <f ca="1">IF(OR(INDEX($AG$2:$AG$1001,MATCH(ROWS($AF$2:AF668),$AF$2:$AF$1001,0),1)&gt;=100000,INDEX($AM$1005:$BM$1005,1,MATCH(COLUMNS($AM$1006:BL1006),$AM$1006:$BM$1006,0))&gt;=100000), " ",IF(INDEX($AM$2:$BM$1001,MATCH(ROWS($AF$2:AF668),$AF$2:$AF$1001,0),MATCH(COLUMNS($AM$1006:BL1006),$AM$1006:$BM$1006,0)), HYPERLINK("#",""), HYPERLINK(CONCATENATE("#metadata!", ADDRESS(INDEX($AH$2:$AH$1001,MATCH(ROWS($AF$2:AF668),$AF$2:$AF$1001,0),0), INDEX($AM$1004:$BM$1004,1,MATCH(COLUMNS($AM$1006:BL1006),$AM$1006:$BM$1006,0)))),"Fix")))</f>
        <v xml:space="preserve"> </v>
      </c>
      <c r="AB668" s="4" t="str">
        <f ca="1">IF(OR(INDEX($AG$2:$AG$1001,MATCH(ROWS($AF$2:AF668),$AF$2:$AF$1001,0),1)&gt;=100000,INDEX($AM$1005:$BM$1005,1,MATCH(COLUMNS($AM$1006:BM1006),$AM$1006:$BM$1006,0))&gt;=100000), " ",IF(INDEX($AM$2:$BM$1001,MATCH(ROWS($AF$2:AF668),$AF$2:$AF$1001,0),MATCH(COLUMNS($AM$1006:BM1006),$AM$1006:$BM$1006,0)), HYPERLINK("#",""), HYPERLINK(CONCATENATE("#metadata!", ADDRESS(INDEX($AH$2:$AH$1001,MATCH(ROWS($AF$2:AF668),$AF$2:$AF$1001,0),0), INDEX($AM$1004:$BM$1004,1,MATCH(COLUMNS($AM$1006:BM1006),$AM$1006:$BM$1006,0)))),"Fix")))</f>
        <v xml:space="preserve"> </v>
      </c>
      <c r="AF668">
        <v>667</v>
      </c>
      <c r="AG668">
        <v>100668</v>
      </c>
      <c r="AH668">
        <v>668</v>
      </c>
      <c r="AI668" t="b">
        <f t="shared" si="10"/>
        <v>1</v>
      </c>
      <c r="AJ668" t="b">
        <f>COUNTBLANK(metadata!B668:AB668)=COLUMNS(metadata!B668:AB668)</f>
        <v>1</v>
      </c>
      <c r="AK668" t="str">
        <v/>
      </c>
      <c r="AM668" t="b">
        <f ca="1">AND(IF(metadata!B668="",FALSE,TRUE),COUNTIF(metadata!B:B, metadata!B668) = 1,NOT(ISERROR(SUMPRODUCT(SEARCH(MID(metadata!B668,ROW(INDIRECT("1:"&amp;LEN(metadata!B668))), 1),"0123456789abcdefghijklmnopqrstuvwxyzABCDEFGHIJKLMNOPQRSTUVWXYZ.")))))</f>
        <v>0</v>
      </c>
      <c r="AN668" t="b">
        <f ca="1">OR(AND(IF(metadata!C668="",FALSE,TRUE),OR(EXACT(metadata!C668,"missing: not collected"),EXACT(metadata!C668,"missing: not provided"),EXACT(metadata!C668,"missing: restricted access"))),AND(IF(metadata!C668="",FALSE,TRUE),AND(AND(IFERROR(INT(LEFT(metadata!C668,4))&gt;1900,FALSE),IFERROR(INT(LEFT(metadata!C668,4))&lt;=YEAR(NOW()),FALSE)), OR(MID(metadata!C668,5,1)="", AND(AND(MID(metadata!C668,5,1)="-",IFERROR(INT(MID(metadata!C668,6,1))&gt;=0,FALSE),IFERROR(INT(MID(metadata!C668,6,1))&lt;=1,FALSE),NOT(MID(metadata!C668,7,1)=""),IFERROR(INT(MID(metadata!C668,6,2))&gt;=1,FALSE),IFERROR(INT(MID(metadata!C668,6,2))&lt;=12,FALSE)), OR(MID(metadata!C668,8,1)="", AND(AND(MID(metadata!C668,8,1)="-",IFERROR(INT(MID(metadata!C668,9,1))&gt;=0,FALSE),IFERROR(INT(MID(metadata!C668,9,1))&lt;=3,FALSE),NOT(MID(metadata!C668,10,1)=""),IFERROR(INT(MID(metadata!C668,9,2))&gt;=1,FALSE),IFERROR(INT(MID(metadata!C668,9,2))&lt;=31,FALSE)), OR(MID(metadata!C668,11,1)="", AND(AND(MID(metadata!C668,11,1)=" ",IFERROR(INT(MID(metadata!C668,12,1))&gt;=0,FALSE),IFERROR(INT(MID(metadata!C668,12,1))&lt;=2,FALSE),NOT(MID(metadata!C668,13,1)=""),IFERROR(INT(MID(metadata!C668,12,2))&gt;=0,FALSE),IFERROR(INT(MID(metadata!C668,12,2))&lt;=23,FALSE)), OR(MID(metadata!C668,14,1)="", AND(AND(MID(metadata!C668,14,1)=":",IFERROR(INT(MID(metadata!C668,15,1))&gt;=0,FALSE),IFERROR(INT(MID(metadata!C668,15,1))&lt;=5,FALSE),NOT(MID(metadata!C668,16,1)=""),IFERROR(INT(MID(metadata!C668,15,2))&gt;=0,FALSE),IFERROR(INT(MID(metadata!C668,15,2))&lt;=59,FALSE)), OR(MID(metadata!C668,17,1)="", AND(AND(MID(metadata!C668,17,1)=":",IFERROR(INT(MID(metadata!C668,18,1))&gt;=0,FALSE),IFERROR(INT(MID(metadata!C668,18,1))&lt;=5,FALSE),NOT(MID(metadata!C668,19,1)=""),IFERROR(INT(MID(metadata!C668,18,2))&gt;=0,FALSE),IFERROR(INT(MID(metadata!C668,18,2))&lt;=59,FALSE)), LEN(metadata!C668)&lt;=19)))))))))))))</f>
        <v>0</v>
      </c>
      <c r="AO668" t="b">
        <f>AND(IF(metadata!D668="",FALSE,TRUE),EXACT(metadata!D668,"Not applicable"))</f>
        <v>0</v>
      </c>
      <c r="AP668" t="b">
        <f>IF(metadata!E668="",FALSE,TRUE)</f>
        <v>0</v>
      </c>
      <c r="AQ668" t="b">
        <f>OR(AND(IF(metadata!F668="",FALSE,TRUE),OR(EXACT(metadata!F668,"missing: not collected"),EXACT(metadata!F668,"missing: not provided"))),AND(IF(metadata!F668="",FALSE,TRUE),OR(EXACT(metadata!F668,"TRUE"),EXACT(metadata!F668,"FALSE"))))</f>
        <v>0</v>
      </c>
      <c r="AR668" t="b">
        <f>OR(AND(IF(metadata!G668="",FALSE,TRUE),OR(EXACT(metadata!G668,"missing: not collected"),EXACT(metadata!G668,"missing: not provided"),EXACT(metadata!G668,"missing: restricted access"))),AND(IF(metadata!G668="",FALSE,ISNUMBER(VALUE(metadata!G668))),metadata!G668&gt;=-413))</f>
        <v>0</v>
      </c>
      <c r="AS668" t="b">
        <f>AND(IF(metadata!H668="",FALSE,TRUE),EXACT(metadata!H668,"meters"))</f>
        <v>0</v>
      </c>
      <c r="AT668" t="b">
        <f>AND(IF(metadata!I668="",FALSE,TRUE),OR(EXACT(metadata!I668,"Host-associated"),EXACT(metadata!I668,"Free-living")))</f>
        <v>0</v>
      </c>
      <c r="AU668" t="b">
        <f>AND(IF(metadata!J668="",FALSE,TRUE),OR(EXACT(metadata!J668,"Animal"),EXACT(metadata!J668,"Fungus"),EXACT(metadata!J668,"Plant"),EXACT(metadata!J668,"Saline"),EXACT(metadata!J668,"Non-saline")))</f>
        <v>0</v>
      </c>
      <c r="AV668" t="b">
        <f>AND(IF(metadata!K668="",FALSE,TRUE),OR(EXACT(metadata!K668,"Plant secretion"),EXACT(metadata!K668,"Plant rhizosphere"),EXACT(metadata!K668,"Plant surface"),EXACT(metadata!K668,"Plant corpus"),EXACT(metadata!K668,"Fungus surface"),EXACT(metadata!K668,"Fungus corpus"),EXACT(metadata!K668,"Animal surface"),EXACT(metadata!K668,"Animal proximal gut"),EXACT(metadata!K668,"Animal corpus"),EXACT(metadata!K668,"Animal distal gut"),EXACT(metadata!K668,"Animal secretion"),EXACT(metadata!K668,"Sub-surface (non-saline)"),EXACT(metadata!K668,"Surface (non-saline)"),EXACT(metadata!K668,"Water (non-saline)"),EXACT(metadata!K668,"Soil (non-saline)"),EXACT(metadata!K668,"Aerosol (non-saline)"),EXACT(metadata!K668,"Sediment (non-saline)"),EXACT(metadata!K668,"Surface (saline)"),EXACT(metadata!K668,"Water (saline)"),EXACT(metadata!K668,"Hypersaline (saline)"),EXACT(metadata!K668,"Aerosol (saline)"),EXACT(metadata!K668,"Sediment (saline)")))</f>
        <v>0</v>
      </c>
      <c r="AW668" t="b">
        <f>IF(metadata!L668="",FALSE,TRUE)</f>
        <v>0</v>
      </c>
      <c r="AX668" t="b">
        <f>IF(metadata!M668="",FALSE,TRUE)</f>
        <v>0</v>
      </c>
      <c r="AY668" t="b">
        <f>IF(metadata!N668="",FALSE,TRUE)</f>
        <v>0</v>
      </c>
      <c r="AZ668" t="b">
        <f>OR(AND(IF(metadata!O668="",FALSE,TRUE),OR(EXACT(metadata!O668,"missing: not collected"),EXACT(metadata!O668,"missing: not provided"),EXACT(metadata!O668,"missing: restricted access"))),AND(IF(metadata!O668="",FALSE,TRUE),OR(EXACT(metadata!O668,"air"),EXACT(metadata!O668,"built environment"),EXACT(metadata!O668,"host-associated"),EXACT(metadata!O668,"human-associated"),EXACT(metadata!O668,"human-skin"),EXACT(metadata!O668,"human-oral"),EXACT(metadata!O668,"human-gut"),EXACT(metadata!O668,"human-vaginal"),EXACT(metadata!O668,"microbial mat/biofilm"),EXACT(metadata!O668,"misc environment"),EXACT(metadata!O668,"plant-associated"),EXACT(metadata!O668,"sediment"),EXACT(metadata!O668,"soil"),EXACT(metadata!O668,"wastewater/sludge"),EXACT(metadata!O668,"water"))))</f>
        <v>0</v>
      </c>
      <c r="BA668" t="b">
        <f>IF(metadata!P668="",FALSE,TRUE)</f>
        <v>0</v>
      </c>
      <c r="BB668" t="b">
        <f>IF(metadata!Q668="",FALSE,TRUE)</f>
        <v>0</v>
      </c>
      <c r="BC668" t="b">
        <f>OR(AND(IF(metadata!R668="",FALSE,TRUE),OR(EXACT(metadata!R668,"missing: not collected"),EXACT(metadata!R668,"missing: not provided"),EXACT(metadata!R668,"missing: restricted access"))),AND(IF(metadata!R668="",FALSE,ISNUMBER(VALUE(metadata!R668))),metadata!R668&gt;=-90,metadata!R668&lt;=90))</f>
        <v>0</v>
      </c>
      <c r="BD668" t="b">
        <f>AND(IF(metadata!S668="",FALSE,TRUE),EXACT(metadata!S668,"Decimal degrees"))</f>
        <v>0</v>
      </c>
      <c r="BE668" t="b">
        <f>OR(AND(IF(metadata!T668="",FALSE,TRUE),OR(EXACT(metadata!T668,"missing: not collected"),EXACT(metadata!T668,"missing: not provided"),EXACT(metadata!T668,"missing: restricted access"))),AND(IF(metadata!T668="",FALSE,ISNUMBER(VALUE(metadata!T668))),metadata!T668&gt;=-180,metadata!T668&lt;=180))</f>
        <v>0</v>
      </c>
      <c r="BF668" t="b">
        <f>AND(IF(metadata!U668="",FALSE,TRUE),EXACT(metadata!U668,"Decimal degrees"))</f>
        <v>0</v>
      </c>
      <c r="BG668" t="b">
        <f>IF(metadata!V668="",FALSE,TRUE)</f>
        <v>0</v>
      </c>
      <c r="BH668" t="b">
        <f>OR(AND(IF(metadata!W668="",FALSE,TRUE),OR(EXACT(metadata!W668,"missing: not collected"),EXACT(metadata!W668,"missing: not provided"),EXACT(metadata!W668,"missing: restricted access"))),AND(IF(metadata!W668="",FALSE,TRUE),OR(EXACT(metadata!W668,"TRUE"),EXACT(metadata!W668,"FALSE"))))</f>
        <v>0</v>
      </c>
      <c r="BI668" t="b">
        <f>AND(IF(metadata!X668="",FALSE,TRUE),EXACT(metadata!X668,"other"))</f>
        <v>0</v>
      </c>
      <c r="BJ668" t="b">
        <f>IF(metadata!Y668="",FALSE,TRUE)</f>
        <v>0</v>
      </c>
      <c r="BK668" t="b">
        <f>OR(AND(IF(metadata!Z668="",FALSE,TRUE),OR(EXACT(metadata!Z668,"missing: not collected"),EXACT(metadata!Z668,"missing: not provided"))),AND(IF(metadata!Z668="",FALSE,IF(ISERROR(INT(metadata!Z668)),FALSE,INT(metadata!Z668)=metadata!Z668)),metadata!Z668&gt;0))</f>
        <v>0</v>
      </c>
      <c r="BL668" t="b">
        <f>AND(IF(metadata!AA668="",FALSE,TRUE),EXACT(metadata!AA668,"Not applicable"))</f>
        <v>0</v>
      </c>
      <c r="BM668" t="b">
        <f>IF(metadata!AB668="",FALSE,TRUE)</f>
        <v>0</v>
      </c>
    </row>
    <row r="669" spans="1:65" x14ac:dyDescent="0.2">
      <c r="A669" s="5" t="str">
        <f ca="1">IF(B669=" "," ",HYPERLINK(CONCATENATE("#metadata!",ADDRESS(INDEX($AH$2:$AH$1001,MATCH(ROWS($AF$2:AF669),$AF$2:$AF$1001,0),0),1)),INDEX($AK$2:$AK$1001,MATCH(ROWS($AF$2:AF669),$AF$2:$AF$1001,0),0)))</f>
        <v xml:space="preserve"> </v>
      </c>
      <c r="B669" s="4" t="str">
        <f ca="1">IF(OR(INDEX($AG$2:$AG$1001,MATCH(ROWS($AF$2:AF669),$AF$2:$AF$1001,0),1)&gt;=100000,INDEX($AM$1005:$BM$1005,1,MATCH(COLUMNS($AM$1006:AM1006),$AM$1006:$BM$1006,0))&gt;=100000), " ",IF(INDEX($AM$2:$BM$1001,MATCH(ROWS($AF$2:AF669),$AF$2:$AF$1001,0),MATCH(COLUMNS($AM$1006:AM1006),$AM$1006:$BM$1006,0)), HYPERLINK("#",""), HYPERLINK(CONCATENATE("#metadata!", ADDRESS(INDEX($AH$2:$AH$1001,MATCH(ROWS($AF$2:AF669),$AF$2:$AF$1001,0),0), INDEX($AM$1004:$BM$1004,1,MATCH(COLUMNS($AM$1006:AM1006),$AM$1006:$BM$1006,0)))),"Fix")))</f>
        <v xml:space="preserve"> </v>
      </c>
      <c r="C669" s="4" t="str">
        <f ca="1">IF(OR(INDEX($AG$2:$AG$1001,MATCH(ROWS($AF$2:AF669),$AF$2:$AF$1001,0),1)&gt;=100000,INDEX($AM$1005:$BM$1005,1,MATCH(COLUMNS($AM$1006:AN1006),$AM$1006:$BM$1006,0))&gt;=100000), " ",IF(INDEX($AM$2:$BM$1001,MATCH(ROWS($AF$2:AF669),$AF$2:$AF$1001,0),MATCH(COLUMNS($AM$1006:AN1006),$AM$1006:$BM$1006,0)), HYPERLINK("#",""), HYPERLINK(CONCATENATE("#metadata!", ADDRESS(INDEX($AH$2:$AH$1001,MATCH(ROWS($AF$2:AF669),$AF$2:$AF$1001,0),0), INDEX($AM$1004:$BM$1004,1,MATCH(COLUMNS($AM$1006:AN1006),$AM$1006:$BM$1006,0)))),"Fix")))</f>
        <v xml:space="preserve"> </v>
      </c>
      <c r="D669" s="4" t="str">
        <f ca="1">IF(OR(INDEX($AG$2:$AG$1001,MATCH(ROWS($AF$2:AF669),$AF$2:$AF$1001,0),1)&gt;=100000,INDEX($AM$1005:$BM$1005,1,MATCH(COLUMNS($AM$1006:AO1006),$AM$1006:$BM$1006,0))&gt;=100000), " ",IF(INDEX($AM$2:$BM$1001,MATCH(ROWS($AF$2:AF669),$AF$2:$AF$1001,0),MATCH(COLUMNS($AM$1006:AO1006),$AM$1006:$BM$1006,0)), HYPERLINK("#",""), HYPERLINK(CONCATENATE("#metadata!", ADDRESS(INDEX($AH$2:$AH$1001,MATCH(ROWS($AF$2:AF669),$AF$2:$AF$1001,0),0), INDEX($AM$1004:$BM$1004,1,MATCH(COLUMNS($AM$1006:AO1006),$AM$1006:$BM$1006,0)))),"Fix")))</f>
        <v xml:space="preserve"> </v>
      </c>
      <c r="E669" s="4" t="str">
        <f ca="1">IF(OR(INDEX($AG$2:$AG$1001,MATCH(ROWS($AF$2:AF669),$AF$2:$AF$1001,0),1)&gt;=100000,INDEX($AM$1005:$BM$1005,1,MATCH(COLUMNS($AM$1006:AP1006),$AM$1006:$BM$1006,0))&gt;=100000), " ",IF(INDEX($AM$2:$BM$1001,MATCH(ROWS($AF$2:AF669),$AF$2:$AF$1001,0),MATCH(COLUMNS($AM$1006:AP1006),$AM$1006:$BM$1006,0)), HYPERLINK("#",""), HYPERLINK(CONCATENATE("#metadata!", ADDRESS(INDEX($AH$2:$AH$1001,MATCH(ROWS($AF$2:AF669),$AF$2:$AF$1001,0),0), INDEX($AM$1004:$BM$1004,1,MATCH(COLUMNS($AM$1006:AP1006),$AM$1006:$BM$1006,0)))),"Fix")))</f>
        <v xml:space="preserve"> </v>
      </c>
      <c r="F669" s="4" t="str">
        <f ca="1">IF(OR(INDEX($AG$2:$AG$1001,MATCH(ROWS($AF$2:AF669),$AF$2:$AF$1001,0),1)&gt;=100000,INDEX($AM$1005:$BM$1005,1,MATCH(COLUMNS($AM$1006:AQ1006),$AM$1006:$BM$1006,0))&gt;=100000), " ",IF(INDEX($AM$2:$BM$1001,MATCH(ROWS($AF$2:AF669),$AF$2:$AF$1001,0),MATCH(COLUMNS($AM$1006:AQ1006),$AM$1006:$BM$1006,0)), HYPERLINK("#",""), HYPERLINK(CONCATENATE("#metadata!", ADDRESS(INDEX($AH$2:$AH$1001,MATCH(ROWS($AF$2:AF669),$AF$2:$AF$1001,0),0), INDEX($AM$1004:$BM$1004,1,MATCH(COLUMNS($AM$1006:AQ1006),$AM$1006:$BM$1006,0)))),"Fix")))</f>
        <v xml:space="preserve"> </v>
      </c>
      <c r="G669" s="4" t="str">
        <f ca="1">IF(OR(INDEX($AG$2:$AG$1001,MATCH(ROWS($AF$2:AF669),$AF$2:$AF$1001,0),1)&gt;=100000,INDEX($AM$1005:$BM$1005,1,MATCH(COLUMNS($AM$1006:AR1006),$AM$1006:$BM$1006,0))&gt;=100000), " ",IF(INDEX($AM$2:$BM$1001,MATCH(ROWS($AF$2:AF669),$AF$2:$AF$1001,0),MATCH(COLUMNS($AM$1006:AR1006),$AM$1006:$BM$1006,0)), HYPERLINK("#",""), HYPERLINK(CONCATENATE("#metadata!", ADDRESS(INDEX($AH$2:$AH$1001,MATCH(ROWS($AF$2:AF669),$AF$2:$AF$1001,0),0), INDEX($AM$1004:$BM$1004,1,MATCH(COLUMNS($AM$1006:AR1006),$AM$1006:$BM$1006,0)))),"Fix")))</f>
        <v xml:space="preserve"> </v>
      </c>
      <c r="H669" s="4" t="str">
        <f ca="1">IF(OR(INDEX($AG$2:$AG$1001,MATCH(ROWS($AF$2:AF669),$AF$2:$AF$1001,0),1)&gt;=100000,INDEX($AM$1005:$BM$1005,1,MATCH(COLUMNS($AM$1006:AS1006),$AM$1006:$BM$1006,0))&gt;=100000), " ",IF(INDEX($AM$2:$BM$1001,MATCH(ROWS($AF$2:AF669),$AF$2:$AF$1001,0),MATCH(COLUMNS($AM$1006:AS1006),$AM$1006:$BM$1006,0)), HYPERLINK("#",""), HYPERLINK(CONCATENATE("#metadata!", ADDRESS(INDEX($AH$2:$AH$1001,MATCH(ROWS($AF$2:AF669),$AF$2:$AF$1001,0),0), INDEX($AM$1004:$BM$1004,1,MATCH(COLUMNS($AM$1006:AS1006),$AM$1006:$BM$1006,0)))),"Fix")))</f>
        <v xml:space="preserve"> </v>
      </c>
      <c r="I669" s="4" t="str">
        <f ca="1">IF(OR(INDEX($AG$2:$AG$1001,MATCH(ROWS($AF$2:AF669),$AF$2:$AF$1001,0),1)&gt;=100000,INDEX($AM$1005:$BM$1005,1,MATCH(COLUMNS($AM$1006:AT1006),$AM$1006:$BM$1006,0))&gt;=100000), " ",IF(INDEX($AM$2:$BM$1001,MATCH(ROWS($AF$2:AF669),$AF$2:$AF$1001,0),MATCH(COLUMNS($AM$1006:AT1006),$AM$1006:$BM$1006,0)), HYPERLINK("#",""), HYPERLINK(CONCATENATE("#metadata!", ADDRESS(INDEX($AH$2:$AH$1001,MATCH(ROWS($AF$2:AF669),$AF$2:$AF$1001,0),0), INDEX($AM$1004:$BM$1004,1,MATCH(COLUMNS($AM$1006:AT1006),$AM$1006:$BM$1006,0)))),"Fix")))</f>
        <v xml:space="preserve"> </v>
      </c>
      <c r="J669" s="4" t="str">
        <f ca="1">IF(OR(INDEX($AG$2:$AG$1001,MATCH(ROWS($AF$2:AF669),$AF$2:$AF$1001,0),1)&gt;=100000,INDEX($AM$1005:$BM$1005,1,MATCH(COLUMNS($AM$1006:AU1006),$AM$1006:$BM$1006,0))&gt;=100000), " ",IF(INDEX($AM$2:$BM$1001,MATCH(ROWS($AF$2:AF669),$AF$2:$AF$1001,0),MATCH(COLUMNS($AM$1006:AU1006),$AM$1006:$BM$1006,0)), HYPERLINK("#",""), HYPERLINK(CONCATENATE("#metadata!", ADDRESS(INDEX($AH$2:$AH$1001,MATCH(ROWS($AF$2:AF669),$AF$2:$AF$1001,0),0), INDEX($AM$1004:$BM$1004,1,MATCH(COLUMNS($AM$1006:AU1006),$AM$1006:$BM$1006,0)))),"Fix")))</f>
        <v xml:space="preserve"> </v>
      </c>
      <c r="K669" s="4" t="str">
        <f ca="1">IF(OR(INDEX($AG$2:$AG$1001,MATCH(ROWS($AF$2:AF669),$AF$2:$AF$1001,0),1)&gt;=100000,INDEX($AM$1005:$BM$1005,1,MATCH(COLUMNS($AM$1006:AV1006),$AM$1006:$BM$1006,0))&gt;=100000), " ",IF(INDEX($AM$2:$BM$1001,MATCH(ROWS($AF$2:AF669),$AF$2:$AF$1001,0),MATCH(COLUMNS($AM$1006:AV1006),$AM$1006:$BM$1006,0)), HYPERLINK("#",""), HYPERLINK(CONCATENATE("#metadata!", ADDRESS(INDEX($AH$2:$AH$1001,MATCH(ROWS($AF$2:AF669),$AF$2:$AF$1001,0),0), INDEX($AM$1004:$BM$1004,1,MATCH(COLUMNS($AM$1006:AV1006),$AM$1006:$BM$1006,0)))),"Fix")))</f>
        <v xml:space="preserve"> </v>
      </c>
      <c r="L669" s="4" t="str">
        <f ca="1">IF(OR(INDEX($AG$2:$AG$1001,MATCH(ROWS($AF$2:AF669),$AF$2:$AF$1001,0),1)&gt;=100000,INDEX($AM$1005:$BM$1005,1,MATCH(COLUMNS($AM$1006:AW1006),$AM$1006:$BM$1006,0))&gt;=100000), " ",IF(INDEX($AM$2:$BM$1001,MATCH(ROWS($AF$2:AF669),$AF$2:$AF$1001,0),MATCH(COLUMNS($AM$1006:AW1006),$AM$1006:$BM$1006,0)), HYPERLINK("#",""), HYPERLINK(CONCATENATE("#metadata!", ADDRESS(INDEX($AH$2:$AH$1001,MATCH(ROWS($AF$2:AF669),$AF$2:$AF$1001,0),0), INDEX($AM$1004:$BM$1004,1,MATCH(COLUMNS($AM$1006:AW1006),$AM$1006:$BM$1006,0)))),"Fix")))</f>
        <v xml:space="preserve"> </v>
      </c>
      <c r="M669" s="4" t="str">
        <f ca="1">IF(OR(INDEX($AG$2:$AG$1001,MATCH(ROWS($AF$2:AF669),$AF$2:$AF$1001,0),1)&gt;=100000,INDEX($AM$1005:$BM$1005,1,MATCH(COLUMNS($AM$1006:AX1006),$AM$1006:$BM$1006,0))&gt;=100000), " ",IF(INDEX($AM$2:$BM$1001,MATCH(ROWS($AF$2:AF669),$AF$2:$AF$1001,0),MATCH(COLUMNS($AM$1006:AX1006),$AM$1006:$BM$1006,0)), HYPERLINK("#",""), HYPERLINK(CONCATENATE("#metadata!", ADDRESS(INDEX($AH$2:$AH$1001,MATCH(ROWS($AF$2:AF669),$AF$2:$AF$1001,0),0), INDEX($AM$1004:$BM$1004,1,MATCH(COLUMNS($AM$1006:AX1006),$AM$1006:$BM$1006,0)))),"Fix")))</f>
        <v xml:space="preserve"> </v>
      </c>
      <c r="N669" s="4" t="str">
        <f ca="1">IF(OR(INDEX($AG$2:$AG$1001,MATCH(ROWS($AF$2:AF669),$AF$2:$AF$1001,0),1)&gt;=100000,INDEX($AM$1005:$BM$1005,1,MATCH(COLUMNS($AM$1006:AY1006),$AM$1006:$BM$1006,0))&gt;=100000), " ",IF(INDEX($AM$2:$BM$1001,MATCH(ROWS($AF$2:AF669),$AF$2:$AF$1001,0),MATCH(COLUMNS($AM$1006:AY1006),$AM$1006:$BM$1006,0)), HYPERLINK("#",""), HYPERLINK(CONCATENATE("#metadata!", ADDRESS(INDEX($AH$2:$AH$1001,MATCH(ROWS($AF$2:AF669),$AF$2:$AF$1001,0),0), INDEX($AM$1004:$BM$1004,1,MATCH(COLUMNS($AM$1006:AY1006),$AM$1006:$BM$1006,0)))),"Fix")))</f>
        <v xml:space="preserve"> </v>
      </c>
      <c r="O669" s="4" t="str">
        <f ca="1">IF(OR(INDEX($AG$2:$AG$1001,MATCH(ROWS($AF$2:AF669),$AF$2:$AF$1001,0),1)&gt;=100000,INDEX($AM$1005:$BM$1005,1,MATCH(COLUMNS($AM$1006:AZ1006),$AM$1006:$BM$1006,0))&gt;=100000), " ",IF(INDEX($AM$2:$BM$1001,MATCH(ROWS($AF$2:AF669),$AF$2:$AF$1001,0),MATCH(COLUMNS($AM$1006:AZ1006),$AM$1006:$BM$1006,0)), HYPERLINK("#",""), HYPERLINK(CONCATENATE("#metadata!", ADDRESS(INDEX($AH$2:$AH$1001,MATCH(ROWS($AF$2:AF669),$AF$2:$AF$1001,0),0), INDEX($AM$1004:$BM$1004,1,MATCH(COLUMNS($AM$1006:AZ1006),$AM$1006:$BM$1006,0)))),"Fix")))</f>
        <v xml:space="preserve"> </v>
      </c>
      <c r="P669" s="4" t="str">
        <f ca="1">IF(OR(INDEX($AG$2:$AG$1001,MATCH(ROWS($AF$2:AF669),$AF$2:$AF$1001,0),1)&gt;=100000,INDEX($AM$1005:$BM$1005,1,MATCH(COLUMNS($AM$1006:BA1006),$AM$1006:$BM$1006,0))&gt;=100000), " ",IF(INDEX($AM$2:$BM$1001,MATCH(ROWS($AF$2:AF669),$AF$2:$AF$1001,0),MATCH(COLUMNS($AM$1006:BA1006),$AM$1006:$BM$1006,0)), HYPERLINK("#",""), HYPERLINK(CONCATENATE("#metadata!", ADDRESS(INDEX($AH$2:$AH$1001,MATCH(ROWS($AF$2:AF669),$AF$2:$AF$1001,0),0), INDEX($AM$1004:$BM$1004,1,MATCH(COLUMNS($AM$1006:BA1006),$AM$1006:$BM$1006,0)))),"Fix")))</f>
        <v xml:space="preserve"> </v>
      </c>
      <c r="Q669" s="4" t="str">
        <f ca="1">IF(OR(INDEX($AG$2:$AG$1001,MATCH(ROWS($AF$2:AF669),$AF$2:$AF$1001,0),1)&gt;=100000,INDEX($AM$1005:$BM$1005,1,MATCH(COLUMNS($AM$1006:BB1006),$AM$1006:$BM$1006,0))&gt;=100000), " ",IF(INDEX($AM$2:$BM$1001,MATCH(ROWS($AF$2:AF669),$AF$2:$AF$1001,0),MATCH(COLUMNS($AM$1006:BB1006),$AM$1006:$BM$1006,0)), HYPERLINK("#",""), HYPERLINK(CONCATENATE("#metadata!", ADDRESS(INDEX($AH$2:$AH$1001,MATCH(ROWS($AF$2:AF669),$AF$2:$AF$1001,0),0), INDEX($AM$1004:$BM$1004,1,MATCH(COLUMNS($AM$1006:BB1006),$AM$1006:$BM$1006,0)))),"Fix")))</f>
        <v xml:space="preserve"> </v>
      </c>
      <c r="R669" s="4" t="str">
        <f ca="1">IF(OR(INDEX($AG$2:$AG$1001,MATCH(ROWS($AF$2:AF669),$AF$2:$AF$1001,0),1)&gt;=100000,INDEX($AM$1005:$BM$1005,1,MATCH(COLUMNS($AM$1006:BC1006),$AM$1006:$BM$1006,0))&gt;=100000), " ",IF(INDEX($AM$2:$BM$1001,MATCH(ROWS($AF$2:AF669),$AF$2:$AF$1001,0),MATCH(COLUMNS($AM$1006:BC1006),$AM$1006:$BM$1006,0)), HYPERLINK("#",""), HYPERLINK(CONCATENATE("#metadata!", ADDRESS(INDEX($AH$2:$AH$1001,MATCH(ROWS($AF$2:AF669),$AF$2:$AF$1001,0),0), INDEX($AM$1004:$BM$1004,1,MATCH(COLUMNS($AM$1006:BC1006),$AM$1006:$BM$1006,0)))),"Fix")))</f>
        <v xml:space="preserve"> </v>
      </c>
      <c r="S669" s="4" t="str">
        <f ca="1">IF(OR(INDEX($AG$2:$AG$1001,MATCH(ROWS($AF$2:AF669),$AF$2:$AF$1001,0),1)&gt;=100000,INDEX($AM$1005:$BM$1005,1,MATCH(COLUMNS($AM$1006:BD1006),$AM$1006:$BM$1006,0))&gt;=100000), " ",IF(INDEX($AM$2:$BM$1001,MATCH(ROWS($AF$2:AF669),$AF$2:$AF$1001,0),MATCH(COLUMNS($AM$1006:BD1006),$AM$1006:$BM$1006,0)), HYPERLINK("#",""), HYPERLINK(CONCATENATE("#metadata!", ADDRESS(INDEX($AH$2:$AH$1001,MATCH(ROWS($AF$2:AF669),$AF$2:$AF$1001,0),0), INDEX($AM$1004:$BM$1004,1,MATCH(COLUMNS($AM$1006:BD1006),$AM$1006:$BM$1006,0)))),"Fix")))</f>
        <v xml:space="preserve"> </v>
      </c>
      <c r="T669" s="4" t="str">
        <f ca="1">IF(OR(INDEX($AG$2:$AG$1001,MATCH(ROWS($AF$2:AF669),$AF$2:$AF$1001,0),1)&gt;=100000,INDEX($AM$1005:$BM$1005,1,MATCH(COLUMNS($AM$1006:BE1006),$AM$1006:$BM$1006,0))&gt;=100000), " ",IF(INDEX($AM$2:$BM$1001,MATCH(ROWS($AF$2:AF669),$AF$2:$AF$1001,0),MATCH(COLUMNS($AM$1006:BE1006),$AM$1006:$BM$1006,0)), HYPERLINK("#",""), HYPERLINK(CONCATENATE("#metadata!", ADDRESS(INDEX($AH$2:$AH$1001,MATCH(ROWS($AF$2:AF669),$AF$2:$AF$1001,0),0), INDEX($AM$1004:$BM$1004,1,MATCH(COLUMNS($AM$1006:BE1006),$AM$1006:$BM$1006,0)))),"Fix")))</f>
        <v xml:space="preserve"> </v>
      </c>
      <c r="U669" s="4" t="str">
        <f ca="1">IF(OR(INDEX($AG$2:$AG$1001,MATCH(ROWS($AF$2:AF669),$AF$2:$AF$1001,0),1)&gt;=100000,INDEX($AM$1005:$BM$1005,1,MATCH(COLUMNS($AM$1006:BF1006),$AM$1006:$BM$1006,0))&gt;=100000), " ",IF(INDEX($AM$2:$BM$1001,MATCH(ROWS($AF$2:AF669),$AF$2:$AF$1001,0),MATCH(COLUMNS($AM$1006:BF1006),$AM$1006:$BM$1006,0)), HYPERLINK("#",""), HYPERLINK(CONCATENATE("#metadata!", ADDRESS(INDEX($AH$2:$AH$1001,MATCH(ROWS($AF$2:AF669),$AF$2:$AF$1001,0),0), INDEX($AM$1004:$BM$1004,1,MATCH(COLUMNS($AM$1006:BF1006),$AM$1006:$BM$1006,0)))),"Fix")))</f>
        <v xml:space="preserve"> </v>
      </c>
      <c r="V669" s="4" t="str">
        <f ca="1">IF(OR(INDEX($AG$2:$AG$1001,MATCH(ROWS($AF$2:AF669),$AF$2:$AF$1001,0),1)&gt;=100000,INDEX($AM$1005:$BM$1005,1,MATCH(COLUMNS($AM$1006:BG1006),$AM$1006:$BM$1006,0))&gt;=100000), " ",IF(INDEX($AM$2:$BM$1001,MATCH(ROWS($AF$2:AF669),$AF$2:$AF$1001,0),MATCH(COLUMNS($AM$1006:BG1006),$AM$1006:$BM$1006,0)), HYPERLINK("#",""), HYPERLINK(CONCATENATE("#metadata!", ADDRESS(INDEX($AH$2:$AH$1001,MATCH(ROWS($AF$2:AF669),$AF$2:$AF$1001,0),0), INDEX($AM$1004:$BM$1004,1,MATCH(COLUMNS($AM$1006:BG1006),$AM$1006:$BM$1006,0)))),"Fix")))</f>
        <v xml:space="preserve"> </v>
      </c>
      <c r="W669" s="4" t="str">
        <f ca="1">IF(OR(INDEX($AG$2:$AG$1001,MATCH(ROWS($AF$2:AF669),$AF$2:$AF$1001,0),1)&gt;=100000,INDEX($AM$1005:$BM$1005,1,MATCH(COLUMNS($AM$1006:BH1006),$AM$1006:$BM$1006,0))&gt;=100000), " ",IF(INDEX($AM$2:$BM$1001,MATCH(ROWS($AF$2:AF669),$AF$2:$AF$1001,0),MATCH(COLUMNS($AM$1006:BH1006),$AM$1006:$BM$1006,0)), HYPERLINK("#",""), HYPERLINK(CONCATENATE("#metadata!", ADDRESS(INDEX($AH$2:$AH$1001,MATCH(ROWS($AF$2:AF669),$AF$2:$AF$1001,0),0), INDEX($AM$1004:$BM$1004,1,MATCH(COLUMNS($AM$1006:BH1006),$AM$1006:$BM$1006,0)))),"Fix")))</f>
        <v xml:space="preserve"> </v>
      </c>
      <c r="X669" s="4" t="str">
        <f ca="1">IF(OR(INDEX($AG$2:$AG$1001,MATCH(ROWS($AF$2:AF669),$AF$2:$AF$1001,0),1)&gt;=100000,INDEX($AM$1005:$BM$1005,1,MATCH(COLUMNS($AM$1006:BI1006),$AM$1006:$BM$1006,0))&gt;=100000), " ",IF(INDEX($AM$2:$BM$1001,MATCH(ROWS($AF$2:AF669),$AF$2:$AF$1001,0),MATCH(COLUMNS($AM$1006:BI1006),$AM$1006:$BM$1006,0)), HYPERLINK("#",""), HYPERLINK(CONCATENATE("#metadata!", ADDRESS(INDEX($AH$2:$AH$1001,MATCH(ROWS($AF$2:AF669),$AF$2:$AF$1001,0),0), INDEX($AM$1004:$BM$1004,1,MATCH(COLUMNS($AM$1006:BI1006),$AM$1006:$BM$1006,0)))),"Fix")))</f>
        <v xml:space="preserve"> </v>
      </c>
      <c r="Y669" s="4" t="str">
        <f ca="1">IF(OR(INDEX($AG$2:$AG$1001,MATCH(ROWS($AF$2:AF669),$AF$2:$AF$1001,0),1)&gt;=100000,INDEX($AM$1005:$BM$1005,1,MATCH(COLUMNS($AM$1006:BJ1006),$AM$1006:$BM$1006,0))&gt;=100000), " ",IF(INDEX($AM$2:$BM$1001,MATCH(ROWS($AF$2:AF669),$AF$2:$AF$1001,0),MATCH(COLUMNS($AM$1006:BJ1006),$AM$1006:$BM$1006,0)), HYPERLINK("#",""), HYPERLINK(CONCATENATE("#metadata!", ADDRESS(INDEX($AH$2:$AH$1001,MATCH(ROWS($AF$2:AF669),$AF$2:$AF$1001,0),0), INDEX($AM$1004:$BM$1004,1,MATCH(COLUMNS($AM$1006:BJ1006),$AM$1006:$BM$1006,0)))),"Fix")))</f>
        <v xml:space="preserve"> </v>
      </c>
      <c r="Z669" s="4" t="str">
        <f ca="1">IF(OR(INDEX($AG$2:$AG$1001,MATCH(ROWS($AF$2:AF669),$AF$2:$AF$1001,0),1)&gt;=100000,INDEX($AM$1005:$BM$1005,1,MATCH(COLUMNS($AM$1006:BK1006),$AM$1006:$BM$1006,0))&gt;=100000), " ",IF(INDEX($AM$2:$BM$1001,MATCH(ROWS($AF$2:AF669),$AF$2:$AF$1001,0),MATCH(COLUMNS($AM$1006:BK1006),$AM$1006:$BM$1006,0)), HYPERLINK("#",""), HYPERLINK(CONCATENATE("#metadata!", ADDRESS(INDEX($AH$2:$AH$1001,MATCH(ROWS($AF$2:AF669),$AF$2:$AF$1001,0),0), INDEX($AM$1004:$BM$1004,1,MATCH(COLUMNS($AM$1006:BK1006),$AM$1006:$BM$1006,0)))),"Fix")))</f>
        <v xml:space="preserve"> </v>
      </c>
      <c r="AA669" s="4" t="str">
        <f ca="1">IF(OR(INDEX($AG$2:$AG$1001,MATCH(ROWS($AF$2:AF669),$AF$2:$AF$1001,0),1)&gt;=100000,INDEX($AM$1005:$BM$1005,1,MATCH(COLUMNS($AM$1006:BL1006),$AM$1006:$BM$1006,0))&gt;=100000), " ",IF(INDEX($AM$2:$BM$1001,MATCH(ROWS($AF$2:AF669),$AF$2:$AF$1001,0),MATCH(COLUMNS($AM$1006:BL1006),$AM$1006:$BM$1006,0)), HYPERLINK("#",""), HYPERLINK(CONCATENATE("#metadata!", ADDRESS(INDEX($AH$2:$AH$1001,MATCH(ROWS($AF$2:AF669),$AF$2:$AF$1001,0),0), INDEX($AM$1004:$BM$1004,1,MATCH(COLUMNS($AM$1006:BL1006),$AM$1006:$BM$1006,0)))),"Fix")))</f>
        <v xml:space="preserve"> </v>
      </c>
      <c r="AB669" s="4" t="str">
        <f ca="1">IF(OR(INDEX($AG$2:$AG$1001,MATCH(ROWS($AF$2:AF669),$AF$2:$AF$1001,0),1)&gt;=100000,INDEX($AM$1005:$BM$1005,1,MATCH(COLUMNS($AM$1006:BM1006),$AM$1006:$BM$1006,0))&gt;=100000), " ",IF(INDEX($AM$2:$BM$1001,MATCH(ROWS($AF$2:AF669),$AF$2:$AF$1001,0),MATCH(COLUMNS($AM$1006:BM1006),$AM$1006:$BM$1006,0)), HYPERLINK("#",""), HYPERLINK(CONCATENATE("#metadata!", ADDRESS(INDEX($AH$2:$AH$1001,MATCH(ROWS($AF$2:AF669),$AF$2:$AF$1001,0),0), INDEX($AM$1004:$BM$1004,1,MATCH(COLUMNS($AM$1006:BM1006),$AM$1006:$BM$1006,0)))),"Fix")))</f>
        <v xml:space="preserve"> </v>
      </c>
      <c r="AF669">
        <v>668</v>
      </c>
      <c r="AG669">
        <v>100669</v>
      </c>
      <c r="AH669">
        <v>669</v>
      </c>
      <c r="AI669" t="b">
        <f t="shared" si="10"/>
        <v>1</v>
      </c>
      <c r="AJ669" t="b">
        <f>COUNTBLANK(metadata!B669:AB669)=COLUMNS(metadata!B669:AB669)</f>
        <v>1</v>
      </c>
      <c r="AK669" t="str">
        <v/>
      </c>
      <c r="AM669" t="b">
        <f ca="1">AND(IF(metadata!B669="",FALSE,TRUE),COUNTIF(metadata!B:B, metadata!B669) = 1,NOT(ISERROR(SUMPRODUCT(SEARCH(MID(metadata!B669,ROW(INDIRECT("1:"&amp;LEN(metadata!B669))), 1),"0123456789abcdefghijklmnopqrstuvwxyzABCDEFGHIJKLMNOPQRSTUVWXYZ.")))))</f>
        <v>0</v>
      </c>
      <c r="AN669" t="b">
        <f ca="1">OR(AND(IF(metadata!C669="",FALSE,TRUE),OR(EXACT(metadata!C669,"missing: not collected"),EXACT(metadata!C669,"missing: not provided"),EXACT(metadata!C669,"missing: restricted access"))),AND(IF(metadata!C669="",FALSE,TRUE),AND(AND(IFERROR(INT(LEFT(metadata!C669,4))&gt;1900,FALSE),IFERROR(INT(LEFT(metadata!C669,4))&lt;=YEAR(NOW()),FALSE)), OR(MID(metadata!C669,5,1)="", AND(AND(MID(metadata!C669,5,1)="-",IFERROR(INT(MID(metadata!C669,6,1))&gt;=0,FALSE),IFERROR(INT(MID(metadata!C669,6,1))&lt;=1,FALSE),NOT(MID(metadata!C669,7,1)=""),IFERROR(INT(MID(metadata!C669,6,2))&gt;=1,FALSE),IFERROR(INT(MID(metadata!C669,6,2))&lt;=12,FALSE)), OR(MID(metadata!C669,8,1)="", AND(AND(MID(metadata!C669,8,1)="-",IFERROR(INT(MID(metadata!C669,9,1))&gt;=0,FALSE),IFERROR(INT(MID(metadata!C669,9,1))&lt;=3,FALSE),NOT(MID(metadata!C669,10,1)=""),IFERROR(INT(MID(metadata!C669,9,2))&gt;=1,FALSE),IFERROR(INT(MID(metadata!C669,9,2))&lt;=31,FALSE)), OR(MID(metadata!C669,11,1)="", AND(AND(MID(metadata!C669,11,1)=" ",IFERROR(INT(MID(metadata!C669,12,1))&gt;=0,FALSE),IFERROR(INT(MID(metadata!C669,12,1))&lt;=2,FALSE),NOT(MID(metadata!C669,13,1)=""),IFERROR(INT(MID(metadata!C669,12,2))&gt;=0,FALSE),IFERROR(INT(MID(metadata!C669,12,2))&lt;=23,FALSE)), OR(MID(metadata!C669,14,1)="", AND(AND(MID(metadata!C669,14,1)=":",IFERROR(INT(MID(metadata!C669,15,1))&gt;=0,FALSE),IFERROR(INT(MID(metadata!C669,15,1))&lt;=5,FALSE),NOT(MID(metadata!C669,16,1)=""),IFERROR(INT(MID(metadata!C669,15,2))&gt;=0,FALSE),IFERROR(INT(MID(metadata!C669,15,2))&lt;=59,FALSE)), OR(MID(metadata!C669,17,1)="", AND(AND(MID(metadata!C669,17,1)=":",IFERROR(INT(MID(metadata!C669,18,1))&gt;=0,FALSE),IFERROR(INT(MID(metadata!C669,18,1))&lt;=5,FALSE),NOT(MID(metadata!C669,19,1)=""),IFERROR(INT(MID(metadata!C669,18,2))&gt;=0,FALSE),IFERROR(INT(MID(metadata!C669,18,2))&lt;=59,FALSE)), LEN(metadata!C669)&lt;=19)))))))))))))</f>
        <v>0</v>
      </c>
      <c r="AO669" t="b">
        <f>AND(IF(metadata!D669="",FALSE,TRUE),EXACT(metadata!D669,"Not applicable"))</f>
        <v>0</v>
      </c>
      <c r="AP669" t="b">
        <f>IF(metadata!E669="",FALSE,TRUE)</f>
        <v>0</v>
      </c>
      <c r="AQ669" t="b">
        <f>OR(AND(IF(metadata!F669="",FALSE,TRUE),OR(EXACT(metadata!F669,"missing: not collected"),EXACT(metadata!F669,"missing: not provided"))),AND(IF(metadata!F669="",FALSE,TRUE),OR(EXACT(metadata!F669,"TRUE"),EXACT(metadata!F669,"FALSE"))))</f>
        <v>0</v>
      </c>
      <c r="AR669" t="b">
        <f>OR(AND(IF(metadata!G669="",FALSE,TRUE),OR(EXACT(metadata!G669,"missing: not collected"),EXACT(metadata!G669,"missing: not provided"),EXACT(metadata!G669,"missing: restricted access"))),AND(IF(metadata!G669="",FALSE,ISNUMBER(VALUE(metadata!G669))),metadata!G669&gt;=-413))</f>
        <v>0</v>
      </c>
      <c r="AS669" t="b">
        <f>AND(IF(metadata!H669="",FALSE,TRUE),EXACT(metadata!H669,"meters"))</f>
        <v>0</v>
      </c>
      <c r="AT669" t="b">
        <f>AND(IF(metadata!I669="",FALSE,TRUE),OR(EXACT(metadata!I669,"Host-associated"),EXACT(metadata!I669,"Free-living")))</f>
        <v>0</v>
      </c>
      <c r="AU669" t="b">
        <f>AND(IF(metadata!J669="",FALSE,TRUE),OR(EXACT(metadata!J669,"Animal"),EXACT(metadata!J669,"Fungus"),EXACT(metadata!J669,"Plant"),EXACT(metadata!J669,"Saline"),EXACT(metadata!J669,"Non-saline")))</f>
        <v>0</v>
      </c>
      <c r="AV669" t="b">
        <f>AND(IF(metadata!K669="",FALSE,TRUE),OR(EXACT(metadata!K669,"Plant secretion"),EXACT(metadata!K669,"Plant rhizosphere"),EXACT(metadata!K669,"Plant surface"),EXACT(metadata!K669,"Plant corpus"),EXACT(metadata!K669,"Fungus surface"),EXACT(metadata!K669,"Fungus corpus"),EXACT(metadata!K669,"Animal surface"),EXACT(metadata!K669,"Animal proximal gut"),EXACT(metadata!K669,"Animal corpus"),EXACT(metadata!K669,"Animal distal gut"),EXACT(metadata!K669,"Animal secretion"),EXACT(metadata!K669,"Sub-surface (non-saline)"),EXACT(metadata!K669,"Surface (non-saline)"),EXACT(metadata!K669,"Water (non-saline)"),EXACT(metadata!K669,"Soil (non-saline)"),EXACT(metadata!K669,"Aerosol (non-saline)"),EXACT(metadata!K669,"Sediment (non-saline)"),EXACT(metadata!K669,"Surface (saline)"),EXACT(metadata!K669,"Water (saline)"),EXACT(metadata!K669,"Hypersaline (saline)"),EXACT(metadata!K669,"Aerosol (saline)"),EXACT(metadata!K669,"Sediment (saline)")))</f>
        <v>0</v>
      </c>
      <c r="AW669" t="b">
        <f>IF(metadata!L669="",FALSE,TRUE)</f>
        <v>0</v>
      </c>
      <c r="AX669" t="b">
        <f>IF(metadata!M669="",FALSE,TRUE)</f>
        <v>0</v>
      </c>
      <c r="AY669" t="b">
        <f>IF(metadata!N669="",FALSE,TRUE)</f>
        <v>0</v>
      </c>
      <c r="AZ669" t="b">
        <f>OR(AND(IF(metadata!O669="",FALSE,TRUE),OR(EXACT(metadata!O669,"missing: not collected"),EXACT(metadata!O669,"missing: not provided"),EXACT(metadata!O669,"missing: restricted access"))),AND(IF(metadata!O669="",FALSE,TRUE),OR(EXACT(metadata!O669,"air"),EXACT(metadata!O669,"built environment"),EXACT(metadata!O669,"host-associated"),EXACT(metadata!O669,"human-associated"),EXACT(metadata!O669,"human-skin"),EXACT(metadata!O669,"human-oral"),EXACT(metadata!O669,"human-gut"),EXACT(metadata!O669,"human-vaginal"),EXACT(metadata!O669,"microbial mat/biofilm"),EXACT(metadata!O669,"misc environment"),EXACT(metadata!O669,"plant-associated"),EXACT(metadata!O669,"sediment"),EXACT(metadata!O669,"soil"),EXACT(metadata!O669,"wastewater/sludge"),EXACT(metadata!O669,"water"))))</f>
        <v>0</v>
      </c>
      <c r="BA669" t="b">
        <f>IF(metadata!P669="",FALSE,TRUE)</f>
        <v>0</v>
      </c>
      <c r="BB669" t="b">
        <f>IF(metadata!Q669="",FALSE,TRUE)</f>
        <v>0</v>
      </c>
      <c r="BC669" t="b">
        <f>OR(AND(IF(metadata!R669="",FALSE,TRUE),OR(EXACT(metadata!R669,"missing: not collected"),EXACT(metadata!R669,"missing: not provided"),EXACT(metadata!R669,"missing: restricted access"))),AND(IF(metadata!R669="",FALSE,ISNUMBER(VALUE(metadata!R669))),metadata!R669&gt;=-90,metadata!R669&lt;=90))</f>
        <v>0</v>
      </c>
      <c r="BD669" t="b">
        <f>AND(IF(metadata!S669="",FALSE,TRUE),EXACT(metadata!S669,"Decimal degrees"))</f>
        <v>0</v>
      </c>
      <c r="BE669" t="b">
        <f>OR(AND(IF(metadata!T669="",FALSE,TRUE),OR(EXACT(metadata!T669,"missing: not collected"),EXACT(metadata!T669,"missing: not provided"),EXACT(metadata!T669,"missing: restricted access"))),AND(IF(metadata!T669="",FALSE,ISNUMBER(VALUE(metadata!T669))),metadata!T669&gt;=-180,metadata!T669&lt;=180))</f>
        <v>0</v>
      </c>
      <c r="BF669" t="b">
        <f>AND(IF(metadata!U669="",FALSE,TRUE),EXACT(metadata!U669,"Decimal degrees"))</f>
        <v>0</v>
      </c>
      <c r="BG669" t="b">
        <f>IF(metadata!V669="",FALSE,TRUE)</f>
        <v>0</v>
      </c>
      <c r="BH669" t="b">
        <f>OR(AND(IF(metadata!W669="",FALSE,TRUE),OR(EXACT(metadata!W669,"missing: not collected"),EXACT(metadata!W669,"missing: not provided"),EXACT(metadata!W669,"missing: restricted access"))),AND(IF(metadata!W669="",FALSE,TRUE),OR(EXACT(metadata!W669,"TRUE"),EXACT(metadata!W669,"FALSE"))))</f>
        <v>0</v>
      </c>
      <c r="BI669" t="b">
        <f>AND(IF(metadata!X669="",FALSE,TRUE),EXACT(metadata!X669,"other"))</f>
        <v>0</v>
      </c>
      <c r="BJ669" t="b">
        <f>IF(metadata!Y669="",FALSE,TRUE)</f>
        <v>0</v>
      </c>
      <c r="BK669" t="b">
        <f>OR(AND(IF(metadata!Z669="",FALSE,TRUE),OR(EXACT(metadata!Z669,"missing: not collected"),EXACT(metadata!Z669,"missing: not provided"))),AND(IF(metadata!Z669="",FALSE,IF(ISERROR(INT(metadata!Z669)),FALSE,INT(metadata!Z669)=metadata!Z669)),metadata!Z669&gt;0))</f>
        <v>0</v>
      </c>
      <c r="BL669" t="b">
        <f>AND(IF(metadata!AA669="",FALSE,TRUE),EXACT(metadata!AA669,"Not applicable"))</f>
        <v>0</v>
      </c>
      <c r="BM669" t="b">
        <f>IF(metadata!AB669="",FALSE,TRUE)</f>
        <v>0</v>
      </c>
    </row>
    <row r="670" spans="1:65" x14ac:dyDescent="0.2">
      <c r="A670" s="5" t="str">
        <f ca="1">IF(B670=" "," ",HYPERLINK(CONCATENATE("#metadata!",ADDRESS(INDEX($AH$2:$AH$1001,MATCH(ROWS($AF$2:AF670),$AF$2:$AF$1001,0),0),1)),INDEX($AK$2:$AK$1001,MATCH(ROWS($AF$2:AF670),$AF$2:$AF$1001,0),0)))</f>
        <v xml:space="preserve"> </v>
      </c>
      <c r="B670" s="4" t="str">
        <f ca="1">IF(OR(INDEX($AG$2:$AG$1001,MATCH(ROWS($AF$2:AF670),$AF$2:$AF$1001,0),1)&gt;=100000,INDEX($AM$1005:$BM$1005,1,MATCH(COLUMNS($AM$1006:AM1006),$AM$1006:$BM$1006,0))&gt;=100000), " ",IF(INDEX($AM$2:$BM$1001,MATCH(ROWS($AF$2:AF670),$AF$2:$AF$1001,0),MATCH(COLUMNS($AM$1006:AM1006),$AM$1006:$BM$1006,0)), HYPERLINK("#",""), HYPERLINK(CONCATENATE("#metadata!", ADDRESS(INDEX($AH$2:$AH$1001,MATCH(ROWS($AF$2:AF670),$AF$2:$AF$1001,0),0), INDEX($AM$1004:$BM$1004,1,MATCH(COLUMNS($AM$1006:AM1006),$AM$1006:$BM$1006,0)))),"Fix")))</f>
        <v xml:space="preserve"> </v>
      </c>
      <c r="C670" s="4" t="str">
        <f ca="1">IF(OR(INDEX($AG$2:$AG$1001,MATCH(ROWS($AF$2:AF670),$AF$2:$AF$1001,0),1)&gt;=100000,INDEX($AM$1005:$BM$1005,1,MATCH(COLUMNS($AM$1006:AN1006),$AM$1006:$BM$1006,0))&gt;=100000), " ",IF(INDEX($AM$2:$BM$1001,MATCH(ROWS($AF$2:AF670),$AF$2:$AF$1001,0),MATCH(COLUMNS($AM$1006:AN1006),$AM$1006:$BM$1006,0)), HYPERLINK("#",""), HYPERLINK(CONCATENATE("#metadata!", ADDRESS(INDEX($AH$2:$AH$1001,MATCH(ROWS($AF$2:AF670),$AF$2:$AF$1001,0),0), INDEX($AM$1004:$BM$1004,1,MATCH(COLUMNS($AM$1006:AN1006),$AM$1006:$BM$1006,0)))),"Fix")))</f>
        <v xml:space="preserve"> </v>
      </c>
      <c r="D670" s="4" t="str">
        <f ca="1">IF(OR(INDEX($AG$2:$AG$1001,MATCH(ROWS($AF$2:AF670),$AF$2:$AF$1001,0),1)&gt;=100000,INDEX($AM$1005:$BM$1005,1,MATCH(COLUMNS($AM$1006:AO1006),$AM$1006:$BM$1006,0))&gt;=100000), " ",IF(INDEX($AM$2:$BM$1001,MATCH(ROWS($AF$2:AF670),$AF$2:$AF$1001,0),MATCH(COLUMNS($AM$1006:AO1006),$AM$1006:$BM$1006,0)), HYPERLINK("#",""), HYPERLINK(CONCATENATE("#metadata!", ADDRESS(INDEX($AH$2:$AH$1001,MATCH(ROWS($AF$2:AF670),$AF$2:$AF$1001,0),0), INDEX($AM$1004:$BM$1004,1,MATCH(COLUMNS($AM$1006:AO1006),$AM$1006:$BM$1006,0)))),"Fix")))</f>
        <v xml:space="preserve"> </v>
      </c>
      <c r="E670" s="4" t="str">
        <f ca="1">IF(OR(INDEX($AG$2:$AG$1001,MATCH(ROWS($AF$2:AF670),$AF$2:$AF$1001,0),1)&gt;=100000,INDEX($AM$1005:$BM$1005,1,MATCH(COLUMNS($AM$1006:AP1006),$AM$1006:$BM$1006,0))&gt;=100000), " ",IF(INDEX($AM$2:$BM$1001,MATCH(ROWS($AF$2:AF670),$AF$2:$AF$1001,0),MATCH(COLUMNS($AM$1006:AP1006),$AM$1006:$BM$1006,0)), HYPERLINK("#",""), HYPERLINK(CONCATENATE("#metadata!", ADDRESS(INDEX($AH$2:$AH$1001,MATCH(ROWS($AF$2:AF670),$AF$2:$AF$1001,0),0), INDEX($AM$1004:$BM$1004,1,MATCH(COLUMNS($AM$1006:AP1006),$AM$1006:$BM$1006,0)))),"Fix")))</f>
        <v xml:space="preserve"> </v>
      </c>
      <c r="F670" s="4" t="str">
        <f ca="1">IF(OR(INDEX($AG$2:$AG$1001,MATCH(ROWS($AF$2:AF670),$AF$2:$AF$1001,0),1)&gt;=100000,INDEX($AM$1005:$BM$1005,1,MATCH(COLUMNS($AM$1006:AQ1006),$AM$1006:$BM$1006,0))&gt;=100000), " ",IF(INDEX($AM$2:$BM$1001,MATCH(ROWS($AF$2:AF670),$AF$2:$AF$1001,0),MATCH(COLUMNS($AM$1006:AQ1006),$AM$1006:$BM$1006,0)), HYPERLINK("#",""), HYPERLINK(CONCATENATE("#metadata!", ADDRESS(INDEX($AH$2:$AH$1001,MATCH(ROWS($AF$2:AF670),$AF$2:$AF$1001,0),0), INDEX($AM$1004:$BM$1004,1,MATCH(COLUMNS($AM$1006:AQ1006),$AM$1006:$BM$1006,0)))),"Fix")))</f>
        <v xml:space="preserve"> </v>
      </c>
      <c r="G670" s="4" t="str">
        <f ca="1">IF(OR(INDEX($AG$2:$AG$1001,MATCH(ROWS($AF$2:AF670),$AF$2:$AF$1001,0),1)&gt;=100000,INDEX($AM$1005:$BM$1005,1,MATCH(COLUMNS($AM$1006:AR1006),$AM$1006:$BM$1006,0))&gt;=100000), " ",IF(INDEX($AM$2:$BM$1001,MATCH(ROWS($AF$2:AF670),$AF$2:$AF$1001,0),MATCH(COLUMNS($AM$1006:AR1006),$AM$1006:$BM$1006,0)), HYPERLINK("#",""), HYPERLINK(CONCATENATE("#metadata!", ADDRESS(INDEX($AH$2:$AH$1001,MATCH(ROWS($AF$2:AF670),$AF$2:$AF$1001,0),0), INDEX($AM$1004:$BM$1004,1,MATCH(COLUMNS($AM$1006:AR1006),$AM$1006:$BM$1006,0)))),"Fix")))</f>
        <v xml:space="preserve"> </v>
      </c>
      <c r="H670" s="4" t="str">
        <f ca="1">IF(OR(INDEX($AG$2:$AG$1001,MATCH(ROWS($AF$2:AF670),$AF$2:$AF$1001,0),1)&gt;=100000,INDEX($AM$1005:$BM$1005,1,MATCH(COLUMNS($AM$1006:AS1006),$AM$1006:$BM$1006,0))&gt;=100000), " ",IF(INDEX($AM$2:$BM$1001,MATCH(ROWS($AF$2:AF670),$AF$2:$AF$1001,0),MATCH(COLUMNS($AM$1006:AS1006),$AM$1006:$BM$1006,0)), HYPERLINK("#",""), HYPERLINK(CONCATENATE("#metadata!", ADDRESS(INDEX($AH$2:$AH$1001,MATCH(ROWS($AF$2:AF670),$AF$2:$AF$1001,0),0), INDEX($AM$1004:$BM$1004,1,MATCH(COLUMNS($AM$1006:AS1006),$AM$1006:$BM$1006,0)))),"Fix")))</f>
        <v xml:space="preserve"> </v>
      </c>
      <c r="I670" s="4" t="str">
        <f ca="1">IF(OR(INDEX($AG$2:$AG$1001,MATCH(ROWS($AF$2:AF670),$AF$2:$AF$1001,0),1)&gt;=100000,INDEX($AM$1005:$BM$1005,1,MATCH(COLUMNS($AM$1006:AT1006),$AM$1006:$BM$1006,0))&gt;=100000), " ",IF(INDEX($AM$2:$BM$1001,MATCH(ROWS($AF$2:AF670),$AF$2:$AF$1001,0),MATCH(COLUMNS($AM$1006:AT1006),$AM$1006:$BM$1006,0)), HYPERLINK("#",""), HYPERLINK(CONCATENATE("#metadata!", ADDRESS(INDEX($AH$2:$AH$1001,MATCH(ROWS($AF$2:AF670),$AF$2:$AF$1001,0),0), INDEX($AM$1004:$BM$1004,1,MATCH(COLUMNS($AM$1006:AT1006),$AM$1006:$BM$1006,0)))),"Fix")))</f>
        <v xml:space="preserve"> </v>
      </c>
      <c r="J670" s="4" t="str">
        <f ca="1">IF(OR(INDEX($AG$2:$AG$1001,MATCH(ROWS($AF$2:AF670),$AF$2:$AF$1001,0),1)&gt;=100000,INDEX($AM$1005:$BM$1005,1,MATCH(COLUMNS($AM$1006:AU1006),$AM$1006:$BM$1006,0))&gt;=100000), " ",IF(INDEX($AM$2:$BM$1001,MATCH(ROWS($AF$2:AF670),$AF$2:$AF$1001,0),MATCH(COLUMNS($AM$1006:AU1006),$AM$1006:$BM$1006,0)), HYPERLINK("#",""), HYPERLINK(CONCATENATE("#metadata!", ADDRESS(INDEX($AH$2:$AH$1001,MATCH(ROWS($AF$2:AF670),$AF$2:$AF$1001,0),0), INDEX($AM$1004:$BM$1004,1,MATCH(COLUMNS($AM$1006:AU1006),$AM$1006:$BM$1006,0)))),"Fix")))</f>
        <v xml:space="preserve"> </v>
      </c>
      <c r="K670" s="4" t="str">
        <f ca="1">IF(OR(INDEX($AG$2:$AG$1001,MATCH(ROWS($AF$2:AF670),$AF$2:$AF$1001,0),1)&gt;=100000,INDEX($AM$1005:$BM$1005,1,MATCH(COLUMNS($AM$1006:AV1006),$AM$1006:$BM$1006,0))&gt;=100000), " ",IF(INDEX($AM$2:$BM$1001,MATCH(ROWS($AF$2:AF670),$AF$2:$AF$1001,0),MATCH(COLUMNS($AM$1006:AV1006),$AM$1006:$BM$1006,0)), HYPERLINK("#",""), HYPERLINK(CONCATENATE("#metadata!", ADDRESS(INDEX($AH$2:$AH$1001,MATCH(ROWS($AF$2:AF670),$AF$2:$AF$1001,0),0), INDEX($AM$1004:$BM$1004,1,MATCH(COLUMNS($AM$1006:AV1006),$AM$1006:$BM$1006,0)))),"Fix")))</f>
        <v xml:space="preserve"> </v>
      </c>
      <c r="L670" s="4" t="str">
        <f ca="1">IF(OR(INDEX($AG$2:$AG$1001,MATCH(ROWS($AF$2:AF670),$AF$2:$AF$1001,0),1)&gt;=100000,INDEX($AM$1005:$BM$1005,1,MATCH(COLUMNS($AM$1006:AW1006),$AM$1006:$BM$1006,0))&gt;=100000), " ",IF(INDEX($AM$2:$BM$1001,MATCH(ROWS($AF$2:AF670),$AF$2:$AF$1001,0),MATCH(COLUMNS($AM$1006:AW1006),$AM$1006:$BM$1006,0)), HYPERLINK("#",""), HYPERLINK(CONCATENATE("#metadata!", ADDRESS(INDEX($AH$2:$AH$1001,MATCH(ROWS($AF$2:AF670),$AF$2:$AF$1001,0),0), INDEX($AM$1004:$BM$1004,1,MATCH(COLUMNS($AM$1006:AW1006),$AM$1006:$BM$1006,0)))),"Fix")))</f>
        <v xml:space="preserve"> </v>
      </c>
      <c r="M670" s="4" t="str">
        <f ca="1">IF(OR(INDEX($AG$2:$AG$1001,MATCH(ROWS($AF$2:AF670),$AF$2:$AF$1001,0),1)&gt;=100000,INDEX($AM$1005:$BM$1005,1,MATCH(COLUMNS($AM$1006:AX1006),$AM$1006:$BM$1006,0))&gt;=100000), " ",IF(INDEX($AM$2:$BM$1001,MATCH(ROWS($AF$2:AF670),$AF$2:$AF$1001,0),MATCH(COLUMNS($AM$1006:AX1006),$AM$1006:$BM$1006,0)), HYPERLINK("#",""), HYPERLINK(CONCATENATE("#metadata!", ADDRESS(INDEX($AH$2:$AH$1001,MATCH(ROWS($AF$2:AF670),$AF$2:$AF$1001,0),0), INDEX($AM$1004:$BM$1004,1,MATCH(COLUMNS($AM$1006:AX1006),$AM$1006:$BM$1006,0)))),"Fix")))</f>
        <v xml:space="preserve"> </v>
      </c>
      <c r="N670" s="4" t="str">
        <f ca="1">IF(OR(INDEX($AG$2:$AG$1001,MATCH(ROWS($AF$2:AF670),$AF$2:$AF$1001,0),1)&gt;=100000,INDEX($AM$1005:$BM$1005,1,MATCH(COLUMNS($AM$1006:AY1006),$AM$1006:$BM$1006,0))&gt;=100000), " ",IF(INDEX($AM$2:$BM$1001,MATCH(ROWS($AF$2:AF670),$AF$2:$AF$1001,0),MATCH(COLUMNS($AM$1006:AY1006),$AM$1006:$BM$1006,0)), HYPERLINK("#",""), HYPERLINK(CONCATENATE("#metadata!", ADDRESS(INDEX($AH$2:$AH$1001,MATCH(ROWS($AF$2:AF670),$AF$2:$AF$1001,0),0), INDEX($AM$1004:$BM$1004,1,MATCH(COLUMNS($AM$1006:AY1006),$AM$1006:$BM$1006,0)))),"Fix")))</f>
        <v xml:space="preserve"> </v>
      </c>
      <c r="O670" s="4" t="str">
        <f ca="1">IF(OR(INDEX($AG$2:$AG$1001,MATCH(ROWS($AF$2:AF670),$AF$2:$AF$1001,0),1)&gt;=100000,INDEX($AM$1005:$BM$1005,1,MATCH(COLUMNS($AM$1006:AZ1006),$AM$1006:$BM$1006,0))&gt;=100000), " ",IF(INDEX($AM$2:$BM$1001,MATCH(ROWS($AF$2:AF670),$AF$2:$AF$1001,0),MATCH(COLUMNS($AM$1006:AZ1006),$AM$1006:$BM$1006,0)), HYPERLINK("#",""), HYPERLINK(CONCATENATE("#metadata!", ADDRESS(INDEX($AH$2:$AH$1001,MATCH(ROWS($AF$2:AF670),$AF$2:$AF$1001,0),0), INDEX($AM$1004:$BM$1004,1,MATCH(COLUMNS($AM$1006:AZ1006),$AM$1006:$BM$1006,0)))),"Fix")))</f>
        <v xml:space="preserve"> </v>
      </c>
      <c r="P670" s="4" t="str">
        <f ca="1">IF(OR(INDEX($AG$2:$AG$1001,MATCH(ROWS($AF$2:AF670),$AF$2:$AF$1001,0),1)&gt;=100000,INDEX($AM$1005:$BM$1005,1,MATCH(COLUMNS($AM$1006:BA1006),$AM$1006:$BM$1006,0))&gt;=100000), " ",IF(INDEX($AM$2:$BM$1001,MATCH(ROWS($AF$2:AF670),$AF$2:$AF$1001,0),MATCH(COLUMNS($AM$1006:BA1006),$AM$1006:$BM$1006,0)), HYPERLINK("#",""), HYPERLINK(CONCATENATE("#metadata!", ADDRESS(INDEX($AH$2:$AH$1001,MATCH(ROWS($AF$2:AF670),$AF$2:$AF$1001,0),0), INDEX($AM$1004:$BM$1004,1,MATCH(COLUMNS($AM$1006:BA1006),$AM$1006:$BM$1006,0)))),"Fix")))</f>
        <v xml:space="preserve"> </v>
      </c>
      <c r="Q670" s="4" t="str">
        <f ca="1">IF(OR(INDEX($AG$2:$AG$1001,MATCH(ROWS($AF$2:AF670),$AF$2:$AF$1001,0),1)&gt;=100000,INDEX($AM$1005:$BM$1005,1,MATCH(COLUMNS($AM$1006:BB1006),$AM$1006:$BM$1006,0))&gt;=100000), " ",IF(INDEX($AM$2:$BM$1001,MATCH(ROWS($AF$2:AF670),$AF$2:$AF$1001,0),MATCH(COLUMNS($AM$1006:BB1006),$AM$1006:$BM$1006,0)), HYPERLINK("#",""), HYPERLINK(CONCATENATE("#metadata!", ADDRESS(INDEX($AH$2:$AH$1001,MATCH(ROWS($AF$2:AF670),$AF$2:$AF$1001,0),0), INDEX($AM$1004:$BM$1004,1,MATCH(COLUMNS($AM$1006:BB1006),$AM$1006:$BM$1006,0)))),"Fix")))</f>
        <v xml:space="preserve"> </v>
      </c>
      <c r="R670" s="4" t="str">
        <f ca="1">IF(OR(INDEX($AG$2:$AG$1001,MATCH(ROWS($AF$2:AF670),$AF$2:$AF$1001,0),1)&gt;=100000,INDEX($AM$1005:$BM$1005,1,MATCH(COLUMNS($AM$1006:BC1006),$AM$1006:$BM$1006,0))&gt;=100000), " ",IF(INDEX($AM$2:$BM$1001,MATCH(ROWS($AF$2:AF670),$AF$2:$AF$1001,0),MATCH(COLUMNS($AM$1006:BC1006),$AM$1006:$BM$1006,0)), HYPERLINK("#",""), HYPERLINK(CONCATENATE("#metadata!", ADDRESS(INDEX($AH$2:$AH$1001,MATCH(ROWS($AF$2:AF670),$AF$2:$AF$1001,0),0), INDEX($AM$1004:$BM$1004,1,MATCH(COLUMNS($AM$1006:BC1006),$AM$1006:$BM$1006,0)))),"Fix")))</f>
        <v xml:space="preserve"> </v>
      </c>
      <c r="S670" s="4" t="str">
        <f ca="1">IF(OR(INDEX($AG$2:$AG$1001,MATCH(ROWS($AF$2:AF670),$AF$2:$AF$1001,0),1)&gt;=100000,INDEX($AM$1005:$BM$1005,1,MATCH(COLUMNS($AM$1006:BD1006),$AM$1006:$BM$1006,0))&gt;=100000), " ",IF(INDEX($AM$2:$BM$1001,MATCH(ROWS($AF$2:AF670),$AF$2:$AF$1001,0),MATCH(COLUMNS($AM$1006:BD1006),$AM$1006:$BM$1006,0)), HYPERLINK("#",""), HYPERLINK(CONCATENATE("#metadata!", ADDRESS(INDEX($AH$2:$AH$1001,MATCH(ROWS($AF$2:AF670),$AF$2:$AF$1001,0),0), INDEX($AM$1004:$BM$1004,1,MATCH(COLUMNS($AM$1006:BD1006),$AM$1006:$BM$1006,0)))),"Fix")))</f>
        <v xml:space="preserve"> </v>
      </c>
      <c r="T670" s="4" t="str">
        <f ca="1">IF(OR(INDEX($AG$2:$AG$1001,MATCH(ROWS($AF$2:AF670),$AF$2:$AF$1001,0),1)&gt;=100000,INDEX($AM$1005:$BM$1005,1,MATCH(COLUMNS($AM$1006:BE1006),$AM$1006:$BM$1006,0))&gt;=100000), " ",IF(INDEX($AM$2:$BM$1001,MATCH(ROWS($AF$2:AF670),$AF$2:$AF$1001,0),MATCH(COLUMNS($AM$1006:BE1006),$AM$1006:$BM$1006,0)), HYPERLINK("#",""), HYPERLINK(CONCATENATE("#metadata!", ADDRESS(INDEX($AH$2:$AH$1001,MATCH(ROWS($AF$2:AF670),$AF$2:$AF$1001,0),0), INDEX($AM$1004:$BM$1004,1,MATCH(COLUMNS($AM$1006:BE1006),$AM$1006:$BM$1006,0)))),"Fix")))</f>
        <v xml:space="preserve"> </v>
      </c>
      <c r="U670" s="4" t="str">
        <f ca="1">IF(OR(INDEX($AG$2:$AG$1001,MATCH(ROWS($AF$2:AF670),$AF$2:$AF$1001,0),1)&gt;=100000,INDEX($AM$1005:$BM$1005,1,MATCH(COLUMNS($AM$1006:BF1006),$AM$1006:$BM$1006,0))&gt;=100000), " ",IF(INDEX($AM$2:$BM$1001,MATCH(ROWS($AF$2:AF670),$AF$2:$AF$1001,0),MATCH(COLUMNS($AM$1006:BF1006),$AM$1006:$BM$1006,0)), HYPERLINK("#",""), HYPERLINK(CONCATENATE("#metadata!", ADDRESS(INDEX($AH$2:$AH$1001,MATCH(ROWS($AF$2:AF670),$AF$2:$AF$1001,0),0), INDEX($AM$1004:$BM$1004,1,MATCH(COLUMNS($AM$1006:BF1006),$AM$1006:$BM$1006,0)))),"Fix")))</f>
        <v xml:space="preserve"> </v>
      </c>
      <c r="V670" s="4" t="str">
        <f ca="1">IF(OR(INDEX($AG$2:$AG$1001,MATCH(ROWS($AF$2:AF670),$AF$2:$AF$1001,0),1)&gt;=100000,INDEX($AM$1005:$BM$1005,1,MATCH(COLUMNS($AM$1006:BG1006),$AM$1006:$BM$1006,0))&gt;=100000), " ",IF(INDEX($AM$2:$BM$1001,MATCH(ROWS($AF$2:AF670),$AF$2:$AF$1001,0),MATCH(COLUMNS($AM$1006:BG1006),$AM$1006:$BM$1006,0)), HYPERLINK("#",""), HYPERLINK(CONCATENATE("#metadata!", ADDRESS(INDEX($AH$2:$AH$1001,MATCH(ROWS($AF$2:AF670),$AF$2:$AF$1001,0),0), INDEX($AM$1004:$BM$1004,1,MATCH(COLUMNS($AM$1006:BG1006),$AM$1006:$BM$1006,0)))),"Fix")))</f>
        <v xml:space="preserve"> </v>
      </c>
      <c r="W670" s="4" t="str">
        <f ca="1">IF(OR(INDEX($AG$2:$AG$1001,MATCH(ROWS($AF$2:AF670),$AF$2:$AF$1001,0),1)&gt;=100000,INDEX($AM$1005:$BM$1005,1,MATCH(COLUMNS($AM$1006:BH1006),$AM$1006:$BM$1006,0))&gt;=100000), " ",IF(INDEX($AM$2:$BM$1001,MATCH(ROWS($AF$2:AF670),$AF$2:$AF$1001,0),MATCH(COLUMNS($AM$1006:BH1006),$AM$1006:$BM$1006,0)), HYPERLINK("#",""), HYPERLINK(CONCATENATE("#metadata!", ADDRESS(INDEX($AH$2:$AH$1001,MATCH(ROWS($AF$2:AF670),$AF$2:$AF$1001,0),0), INDEX($AM$1004:$BM$1004,1,MATCH(COLUMNS($AM$1006:BH1006),$AM$1006:$BM$1006,0)))),"Fix")))</f>
        <v xml:space="preserve"> </v>
      </c>
      <c r="X670" s="4" t="str">
        <f ca="1">IF(OR(INDEX($AG$2:$AG$1001,MATCH(ROWS($AF$2:AF670),$AF$2:$AF$1001,0),1)&gt;=100000,INDEX($AM$1005:$BM$1005,1,MATCH(COLUMNS($AM$1006:BI1006),$AM$1006:$BM$1006,0))&gt;=100000), " ",IF(INDEX($AM$2:$BM$1001,MATCH(ROWS($AF$2:AF670),$AF$2:$AF$1001,0),MATCH(COLUMNS($AM$1006:BI1006),$AM$1006:$BM$1006,0)), HYPERLINK("#",""), HYPERLINK(CONCATENATE("#metadata!", ADDRESS(INDEX($AH$2:$AH$1001,MATCH(ROWS($AF$2:AF670),$AF$2:$AF$1001,0),0), INDEX($AM$1004:$BM$1004,1,MATCH(COLUMNS($AM$1006:BI1006),$AM$1006:$BM$1006,0)))),"Fix")))</f>
        <v xml:space="preserve"> </v>
      </c>
      <c r="Y670" s="4" t="str">
        <f ca="1">IF(OR(INDEX($AG$2:$AG$1001,MATCH(ROWS($AF$2:AF670),$AF$2:$AF$1001,0),1)&gt;=100000,INDEX($AM$1005:$BM$1005,1,MATCH(COLUMNS($AM$1006:BJ1006),$AM$1006:$BM$1006,0))&gt;=100000), " ",IF(INDEX($AM$2:$BM$1001,MATCH(ROWS($AF$2:AF670),$AF$2:$AF$1001,0),MATCH(COLUMNS($AM$1006:BJ1006),$AM$1006:$BM$1006,0)), HYPERLINK("#",""), HYPERLINK(CONCATENATE("#metadata!", ADDRESS(INDEX($AH$2:$AH$1001,MATCH(ROWS($AF$2:AF670),$AF$2:$AF$1001,0),0), INDEX($AM$1004:$BM$1004,1,MATCH(COLUMNS($AM$1006:BJ1006),$AM$1006:$BM$1006,0)))),"Fix")))</f>
        <v xml:space="preserve"> </v>
      </c>
      <c r="Z670" s="4" t="str">
        <f ca="1">IF(OR(INDEX($AG$2:$AG$1001,MATCH(ROWS($AF$2:AF670),$AF$2:$AF$1001,0),1)&gt;=100000,INDEX($AM$1005:$BM$1005,1,MATCH(COLUMNS($AM$1006:BK1006),$AM$1006:$BM$1006,0))&gt;=100000), " ",IF(INDEX($AM$2:$BM$1001,MATCH(ROWS($AF$2:AF670),$AF$2:$AF$1001,0),MATCH(COLUMNS($AM$1006:BK1006),$AM$1006:$BM$1006,0)), HYPERLINK("#",""), HYPERLINK(CONCATENATE("#metadata!", ADDRESS(INDEX($AH$2:$AH$1001,MATCH(ROWS($AF$2:AF670),$AF$2:$AF$1001,0),0), INDEX($AM$1004:$BM$1004,1,MATCH(COLUMNS($AM$1006:BK1006),$AM$1006:$BM$1006,0)))),"Fix")))</f>
        <v xml:space="preserve"> </v>
      </c>
      <c r="AA670" s="4" t="str">
        <f ca="1">IF(OR(INDEX($AG$2:$AG$1001,MATCH(ROWS($AF$2:AF670),$AF$2:$AF$1001,0),1)&gt;=100000,INDEX($AM$1005:$BM$1005,1,MATCH(COLUMNS($AM$1006:BL1006),$AM$1006:$BM$1006,0))&gt;=100000), " ",IF(INDEX($AM$2:$BM$1001,MATCH(ROWS($AF$2:AF670),$AF$2:$AF$1001,0),MATCH(COLUMNS($AM$1006:BL1006),$AM$1006:$BM$1006,0)), HYPERLINK("#",""), HYPERLINK(CONCATENATE("#metadata!", ADDRESS(INDEX($AH$2:$AH$1001,MATCH(ROWS($AF$2:AF670),$AF$2:$AF$1001,0),0), INDEX($AM$1004:$BM$1004,1,MATCH(COLUMNS($AM$1006:BL1006),$AM$1006:$BM$1006,0)))),"Fix")))</f>
        <v xml:space="preserve"> </v>
      </c>
      <c r="AB670" s="4" t="str">
        <f ca="1">IF(OR(INDEX($AG$2:$AG$1001,MATCH(ROWS($AF$2:AF670),$AF$2:$AF$1001,0),1)&gt;=100000,INDEX($AM$1005:$BM$1005,1,MATCH(COLUMNS($AM$1006:BM1006),$AM$1006:$BM$1006,0))&gt;=100000), " ",IF(INDEX($AM$2:$BM$1001,MATCH(ROWS($AF$2:AF670),$AF$2:$AF$1001,0),MATCH(COLUMNS($AM$1006:BM1006),$AM$1006:$BM$1006,0)), HYPERLINK("#",""), HYPERLINK(CONCATENATE("#metadata!", ADDRESS(INDEX($AH$2:$AH$1001,MATCH(ROWS($AF$2:AF670),$AF$2:$AF$1001,0),0), INDEX($AM$1004:$BM$1004,1,MATCH(COLUMNS($AM$1006:BM1006),$AM$1006:$BM$1006,0)))),"Fix")))</f>
        <v xml:space="preserve"> </v>
      </c>
      <c r="AF670">
        <v>669</v>
      </c>
      <c r="AG670">
        <v>100670</v>
      </c>
      <c r="AH670">
        <v>670</v>
      </c>
      <c r="AI670" t="b">
        <f t="shared" si="10"/>
        <v>1</v>
      </c>
      <c r="AJ670" t="b">
        <f>COUNTBLANK(metadata!B670:AB670)=COLUMNS(metadata!B670:AB670)</f>
        <v>1</v>
      </c>
      <c r="AK670" t="str">
        <v/>
      </c>
      <c r="AM670" t="b">
        <f ca="1">AND(IF(metadata!B670="",FALSE,TRUE),COUNTIF(metadata!B:B, metadata!B670) = 1,NOT(ISERROR(SUMPRODUCT(SEARCH(MID(metadata!B670,ROW(INDIRECT("1:"&amp;LEN(metadata!B670))), 1),"0123456789abcdefghijklmnopqrstuvwxyzABCDEFGHIJKLMNOPQRSTUVWXYZ.")))))</f>
        <v>0</v>
      </c>
      <c r="AN670" t="b">
        <f ca="1">OR(AND(IF(metadata!C670="",FALSE,TRUE),OR(EXACT(metadata!C670,"missing: not collected"),EXACT(metadata!C670,"missing: not provided"),EXACT(metadata!C670,"missing: restricted access"))),AND(IF(metadata!C670="",FALSE,TRUE),AND(AND(IFERROR(INT(LEFT(metadata!C670,4))&gt;1900,FALSE),IFERROR(INT(LEFT(metadata!C670,4))&lt;=YEAR(NOW()),FALSE)), OR(MID(metadata!C670,5,1)="", AND(AND(MID(metadata!C670,5,1)="-",IFERROR(INT(MID(metadata!C670,6,1))&gt;=0,FALSE),IFERROR(INT(MID(metadata!C670,6,1))&lt;=1,FALSE),NOT(MID(metadata!C670,7,1)=""),IFERROR(INT(MID(metadata!C670,6,2))&gt;=1,FALSE),IFERROR(INT(MID(metadata!C670,6,2))&lt;=12,FALSE)), OR(MID(metadata!C670,8,1)="", AND(AND(MID(metadata!C670,8,1)="-",IFERROR(INT(MID(metadata!C670,9,1))&gt;=0,FALSE),IFERROR(INT(MID(metadata!C670,9,1))&lt;=3,FALSE),NOT(MID(metadata!C670,10,1)=""),IFERROR(INT(MID(metadata!C670,9,2))&gt;=1,FALSE),IFERROR(INT(MID(metadata!C670,9,2))&lt;=31,FALSE)), OR(MID(metadata!C670,11,1)="", AND(AND(MID(metadata!C670,11,1)=" ",IFERROR(INT(MID(metadata!C670,12,1))&gt;=0,FALSE),IFERROR(INT(MID(metadata!C670,12,1))&lt;=2,FALSE),NOT(MID(metadata!C670,13,1)=""),IFERROR(INT(MID(metadata!C670,12,2))&gt;=0,FALSE),IFERROR(INT(MID(metadata!C670,12,2))&lt;=23,FALSE)), OR(MID(metadata!C670,14,1)="", AND(AND(MID(metadata!C670,14,1)=":",IFERROR(INT(MID(metadata!C670,15,1))&gt;=0,FALSE),IFERROR(INT(MID(metadata!C670,15,1))&lt;=5,FALSE),NOT(MID(metadata!C670,16,1)=""),IFERROR(INT(MID(metadata!C670,15,2))&gt;=0,FALSE),IFERROR(INT(MID(metadata!C670,15,2))&lt;=59,FALSE)), OR(MID(metadata!C670,17,1)="", AND(AND(MID(metadata!C670,17,1)=":",IFERROR(INT(MID(metadata!C670,18,1))&gt;=0,FALSE),IFERROR(INT(MID(metadata!C670,18,1))&lt;=5,FALSE),NOT(MID(metadata!C670,19,1)=""),IFERROR(INT(MID(metadata!C670,18,2))&gt;=0,FALSE),IFERROR(INT(MID(metadata!C670,18,2))&lt;=59,FALSE)), LEN(metadata!C670)&lt;=19)))))))))))))</f>
        <v>0</v>
      </c>
      <c r="AO670" t="b">
        <f>AND(IF(metadata!D670="",FALSE,TRUE),EXACT(metadata!D670,"Not applicable"))</f>
        <v>0</v>
      </c>
      <c r="AP670" t="b">
        <f>IF(metadata!E670="",FALSE,TRUE)</f>
        <v>0</v>
      </c>
      <c r="AQ670" t="b">
        <f>OR(AND(IF(metadata!F670="",FALSE,TRUE),OR(EXACT(metadata!F670,"missing: not collected"),EXACT(metadata!F670,"missing: not provided"))),AND(IF(metadata!F670="",FALSE,TRUE),OR(EXACT(metadata!F670,"TRUE"),EXACT(metadata!F670,"FALSE"))))</f>
        <v>0</v>
      </c>
      <c r="AR670" t="b">
        <f>OR(AND(IF(metadata!G670="",FALSE,TRUE),OR(EXACT(metadata!G670,"missing: not collected"),EXACT(metadata!G670,"missing: not provided"),EXACT(metadata!G670,"missing: restricted access"))),AND(IF(metadata!G670="",FALSE,ISNUMBER(VALUE(metadata!G670))),metadata!G670&gt;=-413))</f>
        <v>0</v>
      </c>
      <c r="AS670" t="b">
        <f>AND(IF(metadata!H670="",FALSE,TRUE),EXACT(metadata!H670,"meters"))</f>
        <v>0</v>
      </c>
      <c r="AT670" t="b">
        <f>AND(IF(metadata!I670="",FALSE,TRUE),OR(EXACT(metadata!I670,"Host-associated"),EXACT(metadata!I670,"Free-living")))</f>
        <v>0</v>
      </c>
      <c r="AU670" t="b">
        <f>AND(IF(metadata!J670="",FALSE,TRUE),OR(EXACT(metadata!J670,"Animal"),EXACT(metadata!J670,"Fungus"),EXACT(metadata!J670,"Plant"),EXACT(metadata!J670,"Saline"),EXACT(metadata!J670,"Non-saline")))</f>
        <v>0</v>
      </c>
      <c r="AV670" t="b">
        <f>AND(IF(metadata!K670="",FALSE,TRUE),OR(EXACT(metadata!K670,"Plant secretion"),EXACT(metadata!K670,"Plant rhizosphere"),EXACT(metadata!K670,"Plant surface"),EXACT(metadata!K670,"Plant corpus"),EXACT(metadata!K670,"Fungus surface"),EXACT(metadata!K670,"Fungus corpus"),EXACT(metadata!K670,"Animal surface"),EXACT(metadata!K670,"Animal proximal gut"),EXACT(metadata!K670,"Animal corpus"),EXACT(metadata!K670,"Animal distal gut"),EXACT(metadata!K670,"Animal secretion"),EXACT(metadata!K670,"Sub-surface (non-saline)"),EXACT(metadata!K670,"Surface (non-saline)"),EXACT(metadata!K670,"Water (non-saline)"),EXACT(metadata!K670,"Soil (non-saline)"),EXACT(metadata!K670,"Aerosol (non-saline)"),EXACT(metadata!K670,"Sediment (non-saline)"),EXACT(metadata!K670,"Surface (saline)"),EXACT(metadata!K670,"Water (saline)"),EXACT(metadata!K670,"Hypersaline (saline)"),EXACT(metadata!K670,"Aerosol (saline)"),EXACT(metadata!K670,"Sediment (saline)")))</f>
        <v>0</v>
      </c>
      <c r="AW670" t="b">
        <f>IF(metadata!L670="",FALSE,TRUE)</f>
        <v>0</v>
      </c>
      <c r="AX670" t="b">
        <f>IF(metadata!M670="",FALSE,TRUE)</f>
        <v>0</v>
      </c>
      <c r="AY670" t="b">
        <f>IF(metadata!N670="",FALSE,TRUE)</f>
        <v>0</v>
      </c>
      <c r="AZ670" t="b">
        <f>OR(AND(IF(metadata!O670="",FALSE,TRUE),OR(EXACT(metadata!O670,"missing: not collected"),EXACT(metadata!O670,"missing: not provided"),EXACT(metadata!O670,"missing: restricted access"))),AND(IF(metadata!O670="",FALSE,TRUE),OR(EXACT(metadata!O670,"air"),EXACT(metadata!O670,"built environment"),EXACT(metadata!O670,"host-associated"),EXACT(metadata!O670,"human-associated"),EXACT(metadata!O670,"human-skin"),EXACT(metadata!O670,"human-oral"),EXACT(metadata!O670,"human-gut"),EXACT(metadata!O670,"human-vaginal"),EXACT(metadata!O670,"microbial mat/biofilm"),EXACT(metadata!O670,"misc environment"),EXACT(metadata!O670,"plant-associated"),EXACT(metadata!O670,"sediment"),EXACT(metadata!O670,"soil"),EXACT(metadata!O670,"wastewater/sludge"),EXACT(metadata!O670,"water"))))</f>
        <v>0</v>
      </c>
      <c r="BA670" t="b">
        <f>IF(metadata!P670="",FALSE,TRUE)</f>
        <v>0</v>
      </c>
      <c r="BB670" t="b">
        <f>IF(metadata!Q670="",FALSE,TRUE)</f>
        <v>0</v>
      </c>
      <c r="BC670" t="b">
        <f>OR(AND(IF(metadata!R670="",FALSE,TRUE),OR(EXACT(metadata!R670,"missing: not collected"),EXACT(metadata!R670,"missing: not provided"),EXACT(metadata!R670,"missing: restricted access"))),AND(IF(metadata!R670="",FALSE,ISNUMBER(VALUE(metadata!R670))),metadata!R670&gt;=-90,metadata!R670&lt;=90))</f>
        <v>0</v>
      </c>
      <c r="BD670" t="b">
        <f>AND(IF(metadata!S670="",FALSE,TRUE),EXACT(metadata!S670,"Decimal degrees"))</f>
        <v>0</v>
      </c>
      <c r="BE670" t="b">
        <f>OR(AND(IF(metadata!T670="",FALSE,TRUE),OR(EXACT(metadata!T670,"missing: not collected"),EXACT(metadata!T670,"missing: not provided"),EXACT(metadata!T670,"missing: restricted access"))),AND(IF(metadata!T670="",FALSE,ISNUMBER(VALUE(metadata!T670))),metadata!T670&gt;=-180,metadata!T670&lt;=180))</f>
        <v>0</v>
      </c>
      <c r="BF670" t="b">
        <f>AND(IF(metadata!U670="",FALSE,TRUE),EXACT(metadata!U670,"Decimal degrees"))</f>
        <v>0</v>
      </c>
      <c r="BG670" t="b">
        <f>IF(metadata!V670="",FALSE,TRUE)</f>
        <v>0</v>
      </c>
      <c r="BH670" t="b">
        <f>OR(AND(IF(metadata!W670="",FALSE,TRUE),OR(EXACT(metadata!W670,"missing: not collected"),EXACT(metadata!W670,"missing: not provided"),EXACT(metadata!W670,"missing: restricted access"))),AND(IF(metadata!W670="",FALSE,TRUE),OR(EXACT(metadata!W670,"TRUE"),EXACT(metadata!W670,"FALSE"))))</f>
        <v>0</v>
      </c>
      <c r="BI670" t="b">
        <f>AND(IF(metadata!X670="",FALSE,TRUE),EXACT(metadata!X670,"other"))</f>
        <v>0</v>
      </c>
      <c r="BJ670" t="b">
        <f>IF(metadata!Y670="",FALSE,TRUE)</f>
        <v>0</v>
      </c>
      <c r="BK670" t="b">
        <f>OR(AND(IF(metadata!Z670="",FALSE,TRUE),OR(EXACT(metadata!Z670,"missing: not collected"),EXACT(metadata!Z670,"missing: not provided"))),AND(IF(metadata!Z670="",FALSE,IF(ISERROR(INT(metadata!Z670)),FALSE,INT(metadata!Z670)=metadata!Z670)),metadata!Z670&gt;0))</f>
        <v>0</v>
      </c>
      <c r="BL670" t="b">
        <f>AND(IF(metadata!AA670="",FALSE,TRUE),EXACT(metadata!AA670,"Not applicable"))</f>
        <v>0</v>
      </c>
      <c r="BM670" t="b">
        <f>IF(metadata!AB670="",FALSE,TRUE)</f>
        <v>0</v>
      </c>
    </row>
    <row r="671" spans="1:65" x14ac:dyDescent="0.2">
      <c r="A671" s="5" t="str">
        <f ca="1">IF(B671=" "," ",HYPERLINK(CONCATENATE("#metadata!",ADDRESS(INDEX($AH$2:$AH$1001,MATCH(ROWS($AF$2:AF671),$AF$2:$AF$1001,0),0),1)),INDEX($AK$2:$AK$1001,MATCH(ROWS($AF$2:AF671),$AF$2:$AF$1001,0),0)))</f>
        <v xml:space="preserve"> </v>
      </c>
      <c r="B671" s="4" t="str">
        <f ca="1">IF(OR(INDEX($AG$2:$AG$1001,MATCH(ROWS($AF$2:AF671),$AF$2:$AF$1001,0),1)&gt;=100000,INDEX($AM$1005:$BM$1005,1,MATCH(COLUMNS($AM$1006:AM1006),$AM$1006:$BM$1006,0))&gt;=100000), " ",IF(INDEX($AM$2:$BM$1001,MATCH(ROWS($AF$2:AF671),$AF$2:$AF$1001,0),MATCH(COLUMNS($AM$1006:AM1006),$AM$1006:$BM$1006,0)), HYPERLINK("#",""), HYPERLINK(CONCATENATE("#metadata!", ADDRESS(INDEX($AH$2:$AH$1001,MATCH(ROWS($AF$2:AF671),$AF$2:$AF$1001,0),0), INDEX($AM$1004:$BM$1004,1,MATCH(COLUMNS($AM$1006:AM1006),$AM$1006:$BM$1006,0)))),"Fix")))</f>
        <v xml:space="preserve"> </v>
      </c>
      <c r="C671" s="4" t="str">
        <f ca="1">IF(OR(INDEX($AG$2:$AG$1001,MATCH(ROWS($AF$2:AF671),$AF$2:$AF$1001,0),1)&gt;=100000,INDEX($AM$1005:$BM$1005,1,MATCH(COLUMNS($AM$1006:AN1006),$AM$1006:$BM$1006,0))&gt;=100000), " ",IF(INDEX($AM$2:$BM$1001,MATCH(ROWS($AF$2:AF671),$AF$2:$AF$1001,0),MATCH(COLUMNS($AM$1006:AN1006),$AM$1006:$BM$1006,0)), HYPERLINK("#",""), HYPERLINK(CONCATENATE("#metadata!", ADDRESS(INDEX($AH$2:$AH$1001,MATCH(ROWS($AF$2:AF671),$AF$2:$AF$1001,0),0), INDEX($AM$1004:$BM$1004,1,MATCH(COLUMNS($AM$1006:AN1006),$AM$1006:$BM$1006,0)))),"Fix")))</f>
        <v xml:space="preserve"> </v>
      </c>
      <c r="D671" s="4" t="str">
        <f ca="1">IF(OR(INDEX($AG$2:$AG$1001,MATCH(ROWS($AF$2:AF671),$AF$2:$AF$1001,0),1)&gt;=100000,INDEX($AM$1005:$BM$1005,1,MATCH(COLUMNS($AM$1006:AO1006),$AM$1006:$BM$1006,0))&gt;=100000), " ",IF(INDEX($AM$2:$BM$1001,MATCH(ROWS($AF$2:AF671),$AF$2:$AF$1001,0),MATCH(COLUMNS($AM$1006:AO1006),$AM$1006:$BM$1006,0)), HYPERLINK("#",""), HYPERLINK(CONCATENATE("#metadata!", ADDRESS(INDEX($AH$2:$AH$1001,MATCH(ROWS($AF$2:AF671),$AF$2:$AF$1001,0),0), INDEX($AM$1004:$BM$1004,1,MATCH(COLUMNS($AM$1006:AO1006),$AM$1006:$BM$1006,0)))),"Fix")))</f>
        <v xml:space="preserve"> </v>
      </c>
      <c r="E671" s="4" t="str">
        <f ca="1">IF(OR(INDEX($AG$2:$AG$1001,MATCH(ROWS($AF$2:AF671),$AF$2:$AF$1001,0),1)&gt;=100000,INDEX($AM$1005:$BM$1005,1,MATCH(COLUMNS($AM$1006:AP1006),$AM$1006:$BM$1006,0))&gt;=100000), " ",IF(INDEX($AM$2:$BM$1001,MATCH(ROWS($AF$2:AF671),$AF$2:$AF$1001,0),MATCH(COLUMNS($AM$1006:AP1006),$AM$1006:$BM$1006,0)), HYPERLINK("#",""), HYPERLINK(CONCATENATE("#metadata!", ADDRESS(INDEX($AH$2:$AH$1001,MATCH(ROWS($AF$2:AF671),$AF$2:$AF$1001,0),0), INDEX($AM$1004:$BM$1004,1,MATCH(COLUMNS($AM$1006:AP1006),$AM$1006:$BM$1006,0)))),"Fix")))</f>
        <v xml:space="preserve"> </v>
      </c>
      <c r="F671" s="4" t="str">
        <f ca="1">IF(OR(INDEX($AG$2:$AG$1001,MATCH(ROWS($AF$2:AF671),$AF$2:$AF$1001,0),1)&gt;=100000,INDEX($AM$1005:$BM$1005,1,MATCH(COLUMNS($AM$1006:AQ1006),$AM$1006:$BM$1006,0))&gt;=100000), " ",IF(INDEX($AM$2:$BM$1001,MATCH(ROWS($AF$2:AF671),$AF$2:$AF$1001,0),MATCH(COLUMNS($AM$1006:AQ1006),$AM$1006:$BM$1006,0)), HYPERLINK("#",""), HYPERLINK(CONCATENATE("#metadata!", ADDRESS(INDEX($AH$2:$AH$1001,MATCH(ROWS($AF$2:AF671),$AF$2:$AF$1001,0),0), INDEX($AM$1004:$BM$1004,1,MATCH(COLUMNS($AM$1006:AQ1006),$AM$1006:$BM$1006,0)))),"Fix")))</f>
        <v xml:space="preserve"> </v>
      </c>
      <c r="G671" s="4" t="str">
        <f ca="1">IF(OR(INDEX($AG$2:$AG$1001,MATCH(ROWS($AF$2:AF671),$AF$2:$AF$1001,0),1)&gt;=100000,INDEX($AM$1005:$BM$1005,1,MATCH(COLUMNS($AM$1006:AR1006),$AM$1006:$BM$1006,0))&gt;=100000), " ",IF(INDEX($AM$2:$BM$1001,MATCH(ROWS($AF$2:AF671),$AF$2:$AF$1001,0),MATCH(COLUMNS($AM$1006:AR1006),$AM$1006:$BM$1006,0)), HYPERLINK("#",""), HYPERLINK(CONCATENATE("#metadata!", ADDRESS(INDEX($AH$2:$AH$1001,MATCH(ROWS($AF$2:AF671),$AF$2:$AF$1001,0),0), INDEX($AM$1004:$BM$1004,1,MATCH(COLUMNS($AM$1006:AR1006),$AM$1006:$BM$1006,0)))),"Fix")))</f>
        <v xml:space="preserve"> </v>
      </c>
      <c r="H671" s="4" t="str">
        <f ca="1">IF(OR(INDEX($AG$2:$AG$1001,MATCH(ROWS($AF$2:AF671),$AF$2:$AF$1001,0),1)&gt;=100000,INDEX($AM$1005:$BM$1005,1,MATCH(COLUMNS($AM$1006:AS1006),$AM$1006:$BM$1006,0))&gt;=100000), " ",IF(INDEX($AM$2:$BM$1001,MATCH(ROWS($AF$2:AF671),$AF$2:$AF$1001,0),MATCH(COLUMNS($AM$1006:AS1006),$AM$1006:$BM$1006,0)), HYPERLINK("#",""), HYPERLINK(CONCATENATE("#metadata!", ADDRESS(INDEX($AH$2:$AH$1001,MATCH(ROWS($AF$2:AF671),$AF$2:$AF$1001,0),0), INDEX($AM$1004:$BM$1004,1,MATCH(COLUMNS($AM$1006:AS1006),$AM$1006:$BM$1006,0)))),"Fix")))</f>
        <v xml:space="preserve"> </v>
      </c>
      <c r="I671" s="4" t="str">
        <f ca="1">IF(OR(INDEX($AG$2:$AG$1001,MATCH(ROWS($AF$2:AF671),$AF$2:$AF$1001,0),1)&gt;=100000,INDEX($AM$1005:$BM$1005,1,MATCH(COLUMNS($AM$1006:AT1006),$AM$1006:$BM$1006,0))&gt;=100000), " ",IF(INDEX($AM$2:$BM$1001,MATCH(ROWS($AF$2:AF671),$AF$2:$AF$1001,0),MATCH(COLUMNS($AM$1006:AT1006),$AM$1006:$BM$1006,0)), HYPERLINK("#",""), HYPERLINK(CONCATENATE("#metadata!", ADDRESS(INDEX($AH$2:$AH$1001,MATCH(ROWS($AF$2:AF671),$AF$2:$AF$1001,0),0), INDEX($AM$1004:$BM$1004,1,MATCH(COLUMNS($AM$1006:AT1006),$AM$1006:$BM$1006,0)))),"Fix")))</f>
        <v xml:space="preserve"> </v>
      </c>
      <c r="J671" s="4" t="str">
        <f ca="1">IF(OR(INDEX($AG$2:$AG$1001,MATCH(ROWS($AF$2:AF671),$AF$2:$AF$1001,0),1)&gt;=100000,INDEX($AM$1005:$BM$1005,1,MATCH(COLUMNS($AM$1006:AU1006),$AM$1006:$BM$1006,0))&gt;=100000), " ",IF(INDEX($AM$2:$BM$1001,MATCH(ROWS($AF$2:AF671),$AF$2:$AF$1001,0),MATCH(COLUMNS($AM$1006:AU1006),$AM$1006:$BM$1006,0)), HYPERLINK("#",""), HYPERLINK(CONCATENATE("#metadata!", ADDRESS(INDEX($AH$2:$AH$1001,MATCH(ROWS($AF$2:AF671),$AF$2:$AF$1001,0),0), INDEX($AM$1004:$BM$1004,1,MATCH(COLUMNS($AM$1006:AU1006),$AM$1006:$BM$1006,0)))),"Fix")))</f>
        <v xml:space="preserve"> </v>
      </c>
      <c r="K671" s="4" t="str">
        <f ca="1">IF(OR(INDEX($AG$2:$AG$1001,MATCH(ROWS($AF$2:AF671),$AF$2:$AF$1001,0),1)&gt;=100000,INDEX($AM$1005:$BM$1005,1,MATCH(COLUMNS($AM$1006:AV1006),$AM$1006:$BM$1006,0))&gt;=100000), " ",IF(INDEX($AM$2:$BM$1001,MATCH(ROWS($AF$2:AF671),$AF$2:$AF$1001,0),MATCH(COLUMNS($AM$1006:AV1006),$AM$1006:$BM$1006,0)), HYPERLINK("#",""), HYPERLINK(CONCATENATE("#metadata!", ADDRESS(INDEX($AH$2:$AH$1001,MATCH(ROWS($AF$2:AF671),$AF$2:$AF$1001,0),0), INDEX($AM$1004:$BM$1004,1,MATCH(COLUMNS($AM$1006:AV1006),$AM$1006:$BM$1006,0)))),"Fix")))</f>
        <v xml:space="preserve"> </v>
      </c>
      <c r="L671" s="4" t="str">
        <f ca="1">IF(OR(INDEX($AG$2:$AG$1001,MATCH(ROWS($AF$2:AF671),$AF$2:$AF$1001,0),1)&gt;=100000,INDEX($AM$1005:$BM$1005,1,MATCH(COLUMNS($AM$1006:AW1006),$AM$1006:$BM$1006,0))&gt;=100000), " ",IF(INDEX($AM$2:$BM$1001,MATCH(ROWS($AF$2:AF671),$AF$2:$AF$1001,0),MATCH(COLUMNS($AM$1006:AW1006),$AM$1006:$BM$1006,0)), HYPERLINK("#",""), HYPERLINK(CONCATENATE("#metadata!", ADDRESS(INDEX($AH$2:$AH$1001,MATCH(ROWS($AF$2:AF671),$AF$2:$AF$1001,0),0), INDEX($AM$1004:$BM$1004,1,MATCH(COLUMNS($AM$1006:AW1006),$AM$1006:$BM$1006,0)))),"Fix")))</f>
        <v xml:space="preserve"> </v>
      </c>
      <c r="M671" s="4" t="str">
        <f ca="1">IF(OR(INDEX($AG$2:$AG$1001,MATCH(ROWS($AF$2:AF671),$AF$2:$AF$1001,0),1)&gt;=100000,INDEX($AM$1005:$BM$1005,1,MATCH(COLUMNS($AM$1006:AX1006),$AM$1006:$BM$1006,0))&gt;=100000), " ",IF(INDEX($AM$2:$BM$1001,MATCH(ROWS($AF$2:AF671),$AF$2:$AF$1001,0),MATCH(COLUMNS($AM$1006:AX1006),$AM$1006:$BM$1006,0)), HYPERLINK("#",""), HYPERLINK(CONCATENATE("#metadata!", ADDRESS(INDEX($AH$2:$AH$1001,MATCH(ROWS($AF$2:AF671),$AF$2:$AF$1001,0),0), INDEX($AM$1004:$BM$1004,1,MATCH(COLUMNS($AM$1006:AX1006),$AM$1006:$BM$1006,0)))),"Fix")))</f>
        <v xml:space="preserve"> </v>
      </c>
      <c r="N671" s="4" t="str">
        <f ca="1">IF(OR(INDEX($AG$2:$AG$1001,MATCH(ROWS($AF$2:AF671),$AF$2:$AF$1001,0),1)&gt;=100000,INDEX($AM$1005:$BM$1005,1,MATCH(COLUMNS($AM$1006:AY1006),$AM$1006:$BM$1006,0))&gt;=100000), " ",IF(INDEX($AM$2:$BM$1001,MATCH(ROWS($AF$2:AF671),$AF$2:$AF$1001,0),MATCH(COLUMNS($AM$1006:AY1006),$AM$1006:$BM$1006,0)), HYPERLINK("#",""), HYPERLINK(CONCATENATE("#metadata!", ADDRESS(INDEX($AH$2:$AH$1001,MATCH(ROWS($AF$2:AF671),$AF$2:$AF$1001,0),0), INDEX($AM$1004:$BM$1004,1,MATCH(COLUMNS($AM$1006:AY1006),$AM$1006:$BM$1006,0)))),"Fix")))</f>
        <v xml:space="preserve"> </v>
      </c>
      <c r="O671" s="4" t="str">
        <f ca="1">IF(OR(INDEX($AG$2:$AG$1001,MATCH(ROWS($AF$2:AF671),$AF$2:$AF$1001,0),1)&gt;=100000,INDEX($AM$1005:$BM$1005,1,MATCH(COLUMNS($AM$1006:AZ1006),$AM$1006:$BM$1006,0))&gt;=100000), " ",IF(INDEX($AM$2:$BM$1001,MATCH(ROWS($AF$2:AF671),$AF$2:$AF$1001,0),MATCH(COLUMNS($AM$1006:AZ1006),$AM$1006:$BM$1006,0)), HYPERLINK("#",""), HYPERLINK(CONCATENATE("#metadata!", ADDRESS(INDEX($AH$2:$AH$1001,MATCH(ROWS($AF$2:AF671),$AF$2:$AF$1001,0),0), INDEX($AM$1004:$BM$1004,1,MATCH(COLUMNS($AM$1006:AZ1006),$AM$1006:$BM$1006,0)))),"Fix")))</f>
        <v xml:space="preserve"> </v>
      </c>
      <c r="P671" s="4" t="str">
        <f ca="1">IF(OR(INDEX($AG$2:$AG$1001,MATCH(ROWS($AF$2:AF671),$AF$2:$AF$1001,0),1)&gt;=100000,INDEX($AM$1005:$BM$1005,1,MATCH(COLUMNS($AM$1006:BA1006),$AM$1006:$BM$1006,0))&gt;=100000), " ",IF(INDEX($AM$2:$BM$1001,MATCH(ROWS($AF$2:AF671),$AF$2:$AF$1001,0),MATCH(COLUMNS($AM$1006:BA1006),$AM$1006:$BM$1006,0)), HYPERLINK("#",""), HYPERLINK(CONCATENATE("#metadata!", ADDRESS(INDEX($AH$2:$AH$1001,MATCH(ROWS($AF$2:AF671),$AF$2:$AF$1001,0),0), INDEX($AM$1004:$BM$1004,1,MATCH(COLUMNS($AM$1006:BA1006),$AM$1006:$BM$1006,0)))),"Fix")))</f>
        <v xml:space="preserve"> </v>
      </c>
      <c r="Q671" s="4" t="str">
        <f ca="1">IF(OR(INDEX($AG$2:$AG$1001,MATCH(ROWS($AF$2:AF671),$AF$2:$AF$1001,0),1)&gt;=100000,INDEX($AM$1005:$BM$1005,1,MATCH(COLUMNS($AM$1006:BB1006),$AM$1006:$BM$1006,0))&gt;=100000), " ",IF(INDEX($AM$2:$BM$1001,MATCH(ROWS($AF$2:AF671),$AF$2:$AF$1001,0),MATCH(COLUMNS($AM$1006:BB1006),$AM$1006:$BM$1006,0)), HYPERLINK("#",""), HYPERLINK(CONCATENATE("#metadata!", ADDRESS(INDEX($AH$2:$AH$1001,MATCH(ROWS($AF$2:AF671),$AF$2:$AF$1001,0),0), INDEX($AM$1004:$BM$1004,1,MATCH(COLUMNS($AM$1006:BB1006),$AM$1006:$BM$1006,0)))),"Fix")))</f>
        <v xml:space="preserve"> </v>
      </c>
      <c r="R671" s="4" t="str">
        <f ca="1">IF(OR(INDEX($AG$2:$AG$1001,MATCH(ROWS($AF$2:AF671),$AF$2:$AF$1001,0),1)&gt;=100000,INDEX($AM$1005:$BM$1005,1,MATCH(COLUMNS($AM$1006:BC1006),$AM$1006:$BM$1006,0))&gt;=100000), " ",IF(INDEX($AM$2:$BM$1001,MATCH(ROWS($AF$2:AF671),$AF$2:$AF$1001,0),MATCH(COLUMNS($AM$1006:BC1006),$AM$1006:$BM$1006,0)), HYPERLINK("#",""), HYPERLINK(CONCATENATE("#metadata!", ADDRESS(INDEX($AH$2:$AH$1001,MATCH(ROWS($AF$2:AF671),$AF$2:$AF$1001,0),0), INDEX($AM$1004:$BM$1004,1,MATCH(COLUMNS($AM$1006:BC1006),$AM$1006:$BM$1006,0)))),"Fix")))</f>
        <v xml:space="preserve"> </v>
      </c>
      <c r="S671" s="4" t="str">
        <f ca="1">IF(OR(INDEX($AG$2:$AG$1001,MATCH(ROWS($AF$2:AF671),$AF$2:$AF$1001,0),1)&gt;=100000,INDEX($AM$1005:$BM$1005,1,MATCH(COLUMNS($AM$1006:BD1006),$AM$1006:$BM$1006,0))&gt;=100000), " ",IF(INDEX($AM$2:$BM$1001,MATCH(ROWS($AF$2:AF671),$AF$2:$AF$1001,0),MATCH(COLUMNS($AM$1006:BD1006),$AM$1006:$BM$1006,0)), HYPERLINK("#",""), HYPERLINK(CONCATENATE("#metadata!", ADDRESS(INDEX($AH$2:$AH$1001,MATCH(ROWS($AF$2:AF671),$AF$2:$AF$1001,0),0), INDEX($AM$1004:$BM$1004,1,MATCH(COLUMNS($AM$1006:BD1006),$AM$1006:$BM$1006,0)))),"Fix")))</f>
        <v xml:space="preserve"> </v>
      </c>
      <c r="T671" s="4" t="str">
        <f ca="1">IF(OR(INDEX($AG$2:$AG$1001,MATCH(ROWS($AF$2:AF671),$AF$2:$AF$1001,0),1)&gt;=100000,INDEX($AM$1005:$BM$1005,1,MATCH(COLUMNS($AM$1006:BE1006),$AM$1006:$BM$1006,0))&gt;=100000), " ",IF(INDEX($AM$2:$BM$1001,MATCH(ROWS($AF$2:AF671),$AF$2:$AF$1001,0),MATCH(COLUMNS($AM$1006:BE1006),$AM$1006:$BM$1006,0)), HYPERLINK("#",""), HYPERLINK(CONCATENATE("#metadata!", ADDRESS(INDEX($AH$2:$AH$1001,MATCH(ROWS($AF$2:AF671),$AF$2:$AF$1001,0),0), INDEX($AM$1004:$BM$1004,1,MATCH(COLUMNS($AM$1006:BE1006),$AM$1006:$BM$1006,0)))),"Fix")))</f>
        <v xml:space="preserve"> </v>
      </c>
      <c r="U671" s="4" t="str">
        <f ca="1">IF(OR(INDEX($AG$2:$AG$1001,MATCH(ROWS($AF$2:AF671),$AF$2:$AF$1001,0),1)&gt;=100000,INDEX($AM$1005:$BM$1005,1,MATCH(COLUMNS($AM$1006:BF1006),$AM$1006:$BM$1006,0))&gt;=100000), " ",IF(INDEX($AM$2:$BM$1001,MATCH(ROWS($AF$2:AF671),$AF$2:$AF$1001,0),MATCH(COLUMNS($AM$1006:BF1006),$AM$1006:$BM$1006,0)), HYPERLINK("#",""), HYPERLINK(CONCATENATE("#metadata!", ADDRESS(INDEX($AH$2:$AH$1001,MATCH(ROWS($AF$2:AF671),$AF$2:$AF$1001,0),0), INDEX($AM$1004:$BM$1004,1,MATCH(COLUMNS($AM$1006:BF1006),$AM$1006:$BM$1006,0)))),"Fix")))</f>
        <v xml:space="preserve"> </v>
      </c>
      <c r="V671" s="4" t="str">
        <f ca="1">IF(OR(INDEX($AG$2:$AG$1001,MATCH(ROWS($AF$2:AF671),$AF$2:$AF$1001,0),1)&gt;=100000,INDEX($AM$1005:$BM$1005,1,MATCH(COLUMNS($AM$1006:BG1006),$AM$1006:$BM$1006,0))&gt;=100000), " ",IF(INDEX($AM$2:$BM$1001,MATCH(ROWS($AF$2:AF671),$AF$2:$AF$1001,0),MATCH(COLUMNS($AM$1006:BG1006),$AM$1006:$BM$1006,0)), HYPERLINK("#",""), HYPERLINK(CONCATENATE("#metadata!", ADDRESS(INDEX($AH$2:$AH$1001,MATCH(ROWS($AF$2:AF671),$AF$2:$AF$1001,0),0), INDEX($AM$1004:$BM$1004,1,MATCH(COLUMNS($AM$1006:BG1006),$AM$1006:$BM$1006,0)))),"Fix")))</f>
        <v xml:space="preserve"> </v>
      </c>
      <c r="W671" s="4" t="str">
        <f ca="1">IF(OR(INDEX($AG$2:$AG$1001,MATCH(ROWS($AF$2:AF671),$AF$2:$AF$1001,0),1)&gt;=100000,INDEX($AM$1005:$BM$1005,1,MATCH(COLUMNS($AM$1006:BH1006),$AM$1006:$BM$1006,0))&gt;=100000), " ",IF(INDEX($AM$2:$BM$1001,MATCH(ROWS($AF$2:AF671),$AF$2:$AF$1001,0),MATCH(COLUMNS($AM$1006:BH1006),$AM$1006:$BM$1006,0)), HYPERLINK("#",""), HYPERLINK(CONCATENATE("#metadata!", ADDRESS(INDEX($AH$2:$AH$1001,MATCH(ROWS($AF$2:AF671),$AF$2:$AF$1001,0),0), INDEX($AM$1004:$BM$1004,1,MATCH(COLUMNS($AM$1006:BH1006),$AM$1006:$BM$1006,0)))),"Fix")))</f>
        <v xml:space="preserve"> </v>
      </c>
      <c r="X671" s="4" t="str">
        <f ca="1">IF(OR(INDEX($AG$2:$AG$1001,MATCH(ROWS($AF$2:AF671),$AF$2:$AF$1001,0),1)&gt;=100000,INDEX($AM$1005:$BM$1005,1,MATCH(COLUMNS($AM$1006:BI1006),$AM$1006:$BM$1006,0))&gt;=100000), " ",IF(INDEX($AM$2:$BM$1001,MATCH(ROWS($AF$2:AF671),$AF$2:$AF$1001,0),MATCH(COLUMNS($AM$1006:BI1006),$AM$1006:$BM$1006,0)), HYPERLINK("#",""), HYPERLINK(CONCATENATE("#metadata!", ADDRESS(INDEX($AH$2:$AH$1001,MATCH(ROWS($AF$2:AF671),$AF$2:$AF$1001,0),0), INDEX($AM$1004:$BM$1004,1,MATCH(COLUMNS($AM$1006:BI1006),$AM$1006:$BM$1006,0)))),"Fix")))</f>
        <v xml:space="preserve"> </v>
      </c>
      <c r="Y671" s="4" t="str">
        <f ca="1">IF(OR(INDEX($AG$2:$AG$1001,MATCH(ROWS($AF$2:AF671),$AF$2:$AF$1001,0),1)&gt;=100000,INDEX($AM$1005:$BM$1005,1,MATCH(COLUMNS($AM$1006:BJ1006),$AM$1006:$BM$1006,0))&gt;=100000), " ",IF(INDEX($AM$2:$BM$1001,MATCH(ROWS($AF$2:AF671),$AF$2:$AF$1001,0),MATCH(COLUMNS($AM$1006:BJ1006),$AM$1006:$BM$1006,0)), HYPERLINK("#",""), HYPERLINK(CONCATENATE("#metadata!", ADDRESS(INDEX($AH$2:$AH$1001,MATCH(ROWS($AF$2:AF671),$AF$2:$AF$1001,0),0), INDEX($AM$1004:$BM$1004,1,MATCH(COLUMNS($AM$1006:BJ1006),$AM$1006:$BM$1006,0)))),"Fix")))</f>
        <v xml:space="preserve"> </v>
      </c>
      <c r="Z671" s="4" t="str">
        <f ca="1">IF(OR(INDEX($AG$2:$AG$1001,MATCH(ROWS($AF$2:AF671),$AF$2:$AF$1001,0),1)&gt;=100000,INDEX($AM$1005:$BM$1005,1,MATCH(COLUMNS($AM$1006:BK1006),$AM$1006:$BM$1006,0))&gt;=100000), " ",IF(INDEX($AM$2:$BM$1001,MATCH(ROWS($AF$2:AF671),$AF$2:$AF$1001,0),MATCH(COLUMNS($AM$1006:BK1006),$AM$1006:$BM$1006,0)), HYPERLINK("#",""), HYPERLINK(CONCATENATE("#metadata!", ADDRESS(INDEX($AH$2:$AH$1001,MATCH(ROWS($AF$2:AF671),$AF$2:$AF$1001,0),0), INDEX($AM$1004:$BM$1004,1,MATCH(COLUMNS($AM$1006:BK1006),$AM$1006:$BM$1006,0)))),"Fix")))</f>
        <v xml:space="preserve"> </v>
      </c>
      <c r="AA671" s="4" t="str">
        <f ca="1">IF(OR(INDEX($AG$2:$AG$1001,MATCH(ROWS($AF$2:AF671),$AF$2:$AF$1001,0),1)&gt;=100000,INDEX($AM$1005:$BM$1005,1,MATCH(COLUMNS($AM$1006:BL1006),$AM$1006:$BM$1006,0))&gt;=100000), " ",IF(INDEX($AM$2:$BM$1001,MATCH(ROWS($AF$2:AF671),$AF$2:$AF$1001,0),MATCH(COLUMNS($AM$1006:BL1006),$AM$1006:$BM$1006,0)), HYPERLINK("#",""), HYPERLINK(CONCATENATE("#metadata!", ADDRESS(INDEX($AH$2:$AH$1001,MATCH(ROWS($AF$2:AF671),$AF$2:$AF$1001,0),0), INDEX($AM$1004:$BM$1004,1,MATCH(COLUMNS($AM$1006:BL1006),$AM$1006:$BM$1006,0)))),"Fix")))</f>
        <v xml:space="preserve"> </v>
      </c>
      <c r="AB671" s="4" t="str">
        <f ca="1">IF(OR(INDEX($AG$2:$AG$1001,MATCH(ROWS($AF$2:AF671),$AF$2:$AF$1001,0),1)&gt;=100000,INDEX($AM$1005:$BM$1005,1,MATCH(COLUMNS($AM$1006:BM1006),$AM$1006:$BM$1006,0))&gt;=100000), " ",IF(INDEX($AM$2:$BM$1001,MATCH(ROWS($AF$2:AF671),$AF$2:$AF$1001,0),MATCH(COLUMNS($AM$1006:BM1006),$AM$1006:$BM$1006,0)), HYPERLINK("#",""), HYPERLINK(CONCATENATE("#metadata!", ADDRESS(INDEX($AH$2:$AH$1001,MATCH(ROWS($AF$2:AF671),$AF$2:$AF$1001,0),0), INDEX($AM$1004:$BM$1004,1,MATCH(COLUMNS($AM$1006:BM1006),$AM$1006:$BM$1006,0)))),"Fix")))</f>
        <v xml:space="preserve"> </v>
      </c>
      <c r="AF671">
        <v>670</v>
      </c>
      <c r="AG671">
        <v>100671</v>
      </c>
      <c r="AH671">
        <v>671</v>
      </c>
      <c r="AI671" t="b">
        <f t="shared" si="10"/>
        <v>1</v>
      </c>
      <c r="AJ671" t="b">
        <f>COUNTBLANK(metadata!B671:AB671)=COLUMNS(metadata!B671:AB671)</f>
        <v>1</v>
      </c>
      <c r="AK671" t="str">
        <v/>
      </c>
      <c r="AM671" t="b">
        <f ca="1">AND(IF(metadata!B671="",FALSE,TRUE),COUNTIF(metadata!B:B, metadata!B671) = 1,NOT(ISERROR(SUMPRODUCT(SEARCH(MID(metadata!B671,ROW(INDIRECT("1:"&amp;LEN(metadata!B671))), 1),"0123456789abcdefghijklmnopqrstuvwxyzABCDEFGHIJKLMNOPQRSTUVWXYZ.")))))</f>
        <v>0</v>
      </c>
      <c r="AN671" t="b">
        <f ca="1">OR(AND(IF(metadata!C671="",FALSE,TRUE),OR(EXACT(metadata!C671,"missing: not collected"),EXACT(metadata!C671,"missing: not provided"),EXACT(metadata!C671,"missing: restricted access"))),AND(IF(metadata!C671="",FALSE,TRUE),AND(AND(IFERROR(INT(LEFT(metadata!C671,4))&gt;1900,FALSE),IFERROR(INT(LEFT(metadata!C671,4))&lt;=YEAR(NOW()),FALSE)), OR(MID(metadata!C671,5,1)="", AND(AND(MID(metadata!C671,5,1)="-",IFERROR(INT(MID(metadata!C671,6,1))&gt;=0,FALSE),IFERROR(INT(MID(metadata!C671,6,1))&lt;=1,FALSE),NOT(MID(metadata!C671,7,1)=""),IFERROR(INT(MID(metadata!C671,6,2))&gt;=1,FALSE),IFERROR(INT(MID(metadata!C671,6,2))&lt;=12,FALSE)), OR(MID(metadata!C671,8,1)="", AND(AND(MID(metadata!C671,8,1)="-",IFERROR(INT(MID(metadata!C671,9,1))&gt;=0,FALSE),IFERROR(INT(MID(metadata!C671,9,1))&lt;=3,FALSE),NOT(MID(metadata!C671,10,1)=""),IFERROR(INT(MID(metadata!C671,9,2))&gt;=1,FALSE),IFERROR(INT(MID(metadata!C671,9,2))&lt;=31,FALSE)), OR(MID(metadata!C671,11,1)="", AND(AND(MID(metadata!C671,11,1)=" ",IFERROR(INT(MID(metadata!C671,12,1))&gt;=0,FALSE),IFERROR(INT(MID(metadata!C671,12,1))&lt;=2,FALSE),NOT(MID(metadata!C671,13,1)=""),IFERROR(INT(MID(metadata!C671,12,2))&gt;=0,FALSE),IFERROR(INT(MID(metadata!C671,12,2))&lt;=23,FALSE)), OR(MID(metadata!C671,14,1)="", AND(AND(MID(metadata!C671,14,1)=":",IFERROR(INT(MID(metadata!C671,15,1))&gt;=0,FALSE),IFERROR(INT(MID(metadata!C671,15,1))&lt;=5,FALSE),NOT(MID(metadata!C671,16,1)=""),IFERROR(INT(MID(metadata!C671,15,2))&gt;=0,FALSE),IFERROR(INT(MID(metadata!C671,15,2))&lt;=59,FALSE)), OR(MID(metadata!C671,17,1)="", AND(AND(MID(metadata!C671,17,1)=":",IFERROR(INT(MID(metadata!C671,18,1))&gt;=0,FALSE),IFERROR(INT(MID(metadata!C671,18,1))&lt;=5,FALSE),NOT(MID(metadata!C671,19,1)=""),IFERROR(INT(MID(metadata!C671,18,2))&gt;=0,FALSE),IFERROR(INT(MID(metadata!C671,18,2))&lt;=59,FALSE)), LEN(metadata!C671)&lt;=19)))))))))))))</f>
        <v>0</v>
      </c>
      <c r="AO671" t="b">
        <f>AND(IF(metadata!D671="",FALSE,TRUE),EXACT(metadata!D671,"Not applicable"))</f>
        <v>0</v>
      </c>
      <c r="AP671" t="b">
        <f>IF(metadata!E671="",FALSE,TRUE)</f>
        <v>0</v>
      </c>
      <c r="AQ671" t="b">
        <f>OR(AND(IF(metadata!F671="",FALSE,TRUE),OR(EXACT(metadata!F671,"missing: not collected"),EXACT(metadata!F671,"missing: not provided"))),AND(IF(metadata!F671="",FALSE,TRUE),OR(EXACT(metadata!F671,"TRUE"),EXACT(metadata!F671,"FALSE"))))</f>
        <v>0</v>
      </c>
      <c r="AR671" t="b">
        <f>OR(AND(IF(metadata!G671="",FALSE,TRUE),OR(EXACT(metadata!G671,"missing: not collected"),EXACT(metadata!G671,"missing: not provided"),EXACT(metadata!G671,"missing: restricted access"))),AND(IF(metadata!G671="",FALSE,ISNUMBER(VALUE(metadata!G671))),metadata!G671&gt;=-413))</f>
        <v>0</v>
      </c>
      <c r="AS671" t="b">
        <f>AND(IF(metadata!H671="",FALSE,TRUE),EXACT(metadata!H671,"meters"))</f>
        <v>0</v>
      </c>
      <c r="AT671" t="b">
        <f>AND(IF(metadata!I671="",FALSE,TRUE),OR(EXACT(metadata!I671,"Host-associated"),EXACT(metadata!I671,"Free-living")))</f>
        <v>0</v>
      </c>
      <c r="AU671" t="b">
        <f>AND(IF(metadata!J671="",FALSE,TRUE),OR(EXACT(metadata!J671,"Animal"),EXACT(metadata!J671,"Fungus"),EXACT(metadata!J671,"Plant"),EXACT(metadata!J671,"Saline"),EXACT(metadata!J671,"Non-saline")))</f>
        <v>0</v>
      </c>
      <c r="AV671" t="b">
        <f>AND(IF(metadata!K671="",FALSE,TRUE),OR(EXACT(metadata!K671,"Plant secretion"),EXACT(metadata!K671,"Plant rhizosphere"),EXACT(metadata!K671,"Plant surface"),EXACT(metadata!K671,"Plant corpus"),EXACT(metadata!K671,"Fungus surface"),EXACT(metadata!K671,"Fungus corpus"),EXACT(metadata!K671,"Animal surface"),EXACT(metadata!K671,"Animal proximal gut"),EXACT(metadata!K671,"Animal corpus"),EXACT(metadata!K671,"Animal distal gut"),EXACT(metadata!K671,"Animal secretion"),EXACT(metadata!K671,"Sub-surface (non-saline)"),EXACT(metadata!K671,"Surface (non-saline)"),EXACT(metadata!K671,"Water (non-saline)"),EXACT(metadata!K671,"Soil (non-saline)"),EXACT(metadata!K671,"Aerosol (non-saline)"),EXACT(metadata!K671,"Sediment (non-saline)"),EXACT(metadata!K671,"Surface (saline)"),EXACT(metadata!K671,"Water (saline)"),EXACT(metadata!K671,"Hypersaline (saline)"),EXACT(metadata!K671,"Aerosol (saline)"),EXACT(metadata!K671,"Sediment (saline)")))</f>
        <v>0</v>
      </c>
      <c r="AW671" t="b">
        <f>IF(metadata!L671="",FALSE,TRUE)</f>
        <v>0</v>
      </c>
      <c r="AX671" t="b">
        <f>IF(metadata!M671="",FALSE,TRUE)</f>
        <v>0</v>
      </c>
      <c r="AY671" t="b">
        <f>IF(metadata!N671="",FALSE,TRUE)</f>
        <v>0</v>
      </c>
      <c r="AZ671" t="b">
        <f>OR(AND(IF(metadata!O671="",FALSE,TRUE),OR(EXACT(metadata!O671,"missing: not collected"),EXACT(metadata!O671,"missing: not provided"),EXACT(metadata!O671,"missing: restricted access"))),AND(IF(metadata!O671="",FALSE,TRUE),OR(EXACT(metadata!O671,"air"),EXACT(metadata!O671,"built environment"),EXACT(metadata!O671,"host-associated"),EXACT(metadata!O671,"human-associated"),EXACT(metadata!O671,"human-skin"),EXACT(metadata!O671,"human-oral"),EXACT(metadata!O671,"human-gut"),EXACT(metadata!O671,"human-vaginal"),EXACT(metadata!O671,"microbial mat/biofilm"),EXACT(metadata!O671,"misc environment"),EXACT(metadata!O671,"plant-associated"),EXACT(metadata!O671,"sediment"),EXACT(metadata!O671,"soil"),EXACT(metadata!O671,"wastewater/sludge"),EXACT(metadata!O671,"water"))))</f>
        <v>0</v>
      </c>
      <c r="BA671" t="b">
        <f>IF(metadata!P671="",FALSE,TRUE)</f>
        <v>0</v>
      </c>
      <c r="BB671" t="b">
        <f>IF(metadata!Q671="",FALSE,TRUE)</f>
        <v>0</v>
      </c>
      <c r="BC671" t="b">
        <f>OR(AND(IF(metadata!R671="",FALSE,TRUE),OR(EXACT(metadata!R671,"missing: not collected"),EXACT(metadata!R671,"missing: not provided"),EXACT(metadata!R671,"missing: restricted access"))),AND(IF(metadata!R671="",FALSE,ISNUMBER(VALUE(metadata!R671))),metadata!R671&gt;=-90,metadata!R671&lt;=90))</f>
        <v>0</v>
      </c>
      <c r="BD671" t="b">
        <f>AND(IF(metadata!S671="",FALSE,TRUE),EXACT(metadata!S671,"Decimal degrees"))</f>
        <v>0</v>
      </c>
      <c r="BE671" t="b">
        <f>OR(AND(IF(metadata!T671="",FALSE,TRUE),OR(EXACT(metadata!T671,"missing: not collected"),EXACT(metadata!T671,"missing: not provided"),EXACT(metadata!T671,"missing: restricted access"))),AND(IF(metadata!T671="",FALSE,ISNUMBER(VALUE(metadata!T671))),metadata!T671&gt;=-180,metadata!T671&lt;=180))</f>
        <v>0</v>
      </c>
      <c r="BF671" t="b">
        <f>AND(IF(metadata!U671="",FALSE,TRUE),EXACT(metadata!U671,"Decimal degrees"))</f>
        <v>0</v>
      </c>
      <c r="BG671" t="b">
        <f>IF(metadata!V671="",FALSE,TRUE)</f>
        <v>0</v>
      </c>
      <c r="BH671" t="b">
        <f>OR(AND(IF(metadata!W671="",FALSE,TRUE),OR(EXACT(metadata!W671,"missing: not collected"),EXACT(metadata!W671,"missing: not provided"),EXACT(metadata!W671,"missing: restricted access"))),AND(IF(metadata!W671="",FALSE,TRUE),OR(EXACT(metadata!W671,"TRUE"),EXACT(metadata!W671,"FALSE"))))</f>
        <v>0</v>
      </c>
      <c r="BI671" t="b">
        <f>AND(IF(metadata!X671="",FALSE,TRUE),EXACT(metadata!X671,"other"))</f>
        <v>0</v>
      </c>
      <c r="BJ671" t="b">
        <f>IF(metadata!Y671="",FALSE,TRUE)</f>
        <v>0</v>
      </c>
      <c r="BK671" t="b">
        <f>OR(AND(IF(metadata!Z671="",FALSE,TRUE),OR(EXACT(metadata!Z671,"missing: not collected"),EXACT(metadata!Z671,"missing: not provided"))),AND(IF(metadata!Z671="",FALSE,IF(ISERROR(INT(metadata!Z671)),FALSE,INT(metadata!Z671)=metadata!Z671)),metadata!Z671&gt;0))</f>
        <v>0</v>
      </c>
      <c r="BL671" t="b">
        <f>AND(IF(metadata!AA671="",FALSE,TRUE),EXACT(metadata!AA671,"Not applicable"))</f>
        <v>0</v>
      </c>
      <c r="BM671" t="b">
        <f>IF(metadata!AB671="",FALSE,TRUE)</f>
        <v>0</v>
      </c>
    </row>
    <row r="672" spans="1:65" x14ac:dyDescent="0.2">
      <c r="A672" s="5" t="str">
        <f ca="1">IF(B672=" "," ",HYPERLINK(CONCATENATE("#metadata!",ADDRESS(INDEX($AH$2:$AH$1001,MATCH(ROWS($AF$2:AF672),$AF$2:$AF$1001,0),0),1)),INDEX($AK$2:$AK$1001,MATCH(ROWS($AF$2:AF672),$AF$2:$AF$1001,0),0)))</f>
        <v xml:space="preserve"> </v>
      </c>
      <c r="B672" s="4" t="str">
        <f ca="1">IF(OR(INDEX($AG$2:$AG$1001,MATCH(ROWS($AF$2:AF672),$AF$2:$AF$1001,0),1)&gt;=100000,INDEX($AM$1005:$BM$1005,1,MATCH(COLUMNS($AM$1006:AM1006),$AM$1006:$BM$1006,0))&gt;=100000), " ",IF(INDEX($AM$2:$BM$1001,MATCH(ROWS($AF$2:AF672),$AF$2:$AF$1001,0),MATCH(COLUMNS($AM$1006:AM1006),$AM$1006:$BM$1006,0)), HYPERLINK("#",""), HYPERLINK(CONCATENATE("#metadata!", ADDRESS(INDEX($AH$2:$AH$1001,MATCH(ROWS($AF$2:AF672),$AF$2:$AF$1001,0),0), INDEX($AM$1004:$BM$1004,1,MATCH(COLUMNS($AM$1006:AM1006),$AM$1006:$BM$1006,0)))),"Fix")))</f>
        <v xml:space="preserve"> </v>
      </c>
      <c r="C672" s="4" t="str">
        <f ca="1">IF(OR(INDEX($AG$2:$AG$1001,MATCH(ROWS($AF$2:AF672),$AF$2:$AF$1001,0),1)&gt;=100000,INDEX($AM$1005:$BM$1005,1,MATCH(COLUMNS($AM$1006:AN1006),$AM$1006:$BM$1006,0))&gt;=100000), " ",IF(INDEX($AM$2:$BM$1001,MATCH(ROWS($AF$2:AF672),$AF$2:$AF$1001,0),MATCH(COLUMNS($AM$1006:AN1006),$AM$1006:$BM$1006,0)), HYPERLINK("#",""), HYPERLINK(CONCATENATE("#metadata!", ADDRESS(INDEX($AH$2:$AH$1001,MATCH(ROWS($AF$2:AF672),$AF$2:$AF$1001,0),0), INDEX($AM$1004:$BM$1004,1,MATCH(COLUMNS($AM$1006:AN1006),$AM$1006:$BM$1006,0)))),"Fix")))</f>
        <v xml:space="preserve"> </v>
      </c>
      <c r="D672" s="4" t="str">
        <f ca="1">IF(OR(INDEX($AG$2:$AG$1001,MATCH(ROWS($AF$2:AF672),$AF$2:$AF$1001,0),1)&gt;=100000,INDEX($AM$1005:$BM$1005,1,MATCH(COLUMNS($AM$1006:AO1006),$AM$1006:$BM$1006,0))&gt;=100000), " ",IF(INDEX($AM$2:$BM$1001,MATCH(ROWS($AF$2:AF672),$AF$2:$AF$1001,0),MATCH(COLUMNS($AM$1006:AO1006),$AM$1006:$BM$1006,0)), HYPERLINK("#",""), HYPERLINK(CONCATENATE("#metadata!", ADDRESS(INDEX($AH$2:$AH$1001,MATCH(ROWS($AF$2:AF672),$AF$2:$AF$1001,0),0), INDEX($AM$1004:$BM$1004,1,MATCH(COLUMNS($AM$1006:AO1006),$AM$1006:$BM$1006,0)))),"Fix")))</f>
        <v xml:space="preserve"> </v>
      </c>
      <c r="E672" s="4" t="str">
        <f ca="1">IF(OR(INDEX($AG$2:$AG$1001,MATCH(ROWS($AF$2:AF672),$AF$2:$AF$1001,0),1)&gt;=100000,INDEX($AM$1005:$BM$1005,1,MATCH(COLUMNS($AM$1006:AP1006),$AM$1006:$BM$1006,0))&gt;=100000), " ",IF(INDEX($AM$2:$BM$1001,MATCH(ROWS($AF$2:AF672),$AF$2:$AF$1001,0),MATCH(COLUMNS($AM$1006:AP1006),$AM$1006:$BM$1006,0)), HYPERLINK("#",""), HYPERLINK(CONCATENATE("#metadata!", ADDRESS(INDEX($AH$2:$AH$1001,MATCH(ROWS($AF$2:AF672),$AF$2:$AF$1001,0),0), INDEX($AM$1004:$BM$1004,1,MATCH(COLUMNS($AM$1006:AP1006),$AM$1006:$BM$1006,0)))),"Fix")))</f>
        <v xml:space="preserve"> </v>
      </c>
      <c r="F672" s="4" t="str">
        <f ca="1">IF(OR(INDEX($AG$2:$AG$1001,MATCH(ROWS($AF$2:AF672),$AF$2:$AF$1001,0),1)&gt;=100000,INDEX($AM$1005:$BM$1005,1,MATCH(COLUMNS($AM$1006:AQ1006),$AM$1006:$BM$1006,0))&gt;=100000), " ",IF(INDEX($AM$2:$BM$1001,MATCH(ROWS($AF$2:AF672),$AF$2:$AF$1001,0),MATCH(COLUMNS($AM$1006:AQ1006),$AM$1006:$BM$1006,0)), HYPERLINK("#",""), HYPERLINK(CONCATENATE("#metadata!", ADDRESS(INDEX($AH$2:$AH$1001,MATCH(ROWS($AF$2:AF672),$AF$2:$AF$1001,0),0), INDEX($AM$1004:$BM$1004,1,MATCH(COLUMNS($AM$1006:AQ1006),$AM$1006:$BM$1006,0)))),"Fix")))</f>
        <v xml:space="preserve"> </v>
      </c>
      <c r="G672" s="4" t="str">
        <f ca="1">IF(OR(INDEX($AG$2:$AG$1001,MATCH(ROWS($AF$2:AF672),$AF$2:$AF$1001,0),1)&gt;=100000,INDEX($AM$1005:$BM$1005,1,MATCH(COLUMNS($AM$1006:AR1006),$AM$1006:$BM$1006,0))&gt;=100000), " ",IF(INDEX($AM$2:$BM$1001,MATCH(ROWS($AF$2:AF672),$AF$2:$AF$1001,0),MATCH(COLUMNS($AM$1006:AR1006),$AM$1006:$BM$1006,0)), HYPERLINK("#",""), HYPERLINK(CONCATENATE("#metadata!", ADDRESS(INDEX($AH$2:$AH$1001,MATCH(ROWS($AF$2:AF672),$AF$2:$AF$1001,0),0), INDEX($AM$1004:$BM$1004,1,MATCH(COLUMNS($AM$1006:AR1006),$AM$1006:$BM$1006,0)))),"Fix")))</f>
        <v xml:space="preserve"> </v>
      </c>
      <c r="H672" s="4" t="str">
        <f ca="1">IF(OR(INDEX($AG$2:$AG$1001,MATCH(ROWS($AF$2:AF672),$AF$2:$AF$1001,0),1)&gt;=100000,INDEX($AM$1005:$BM$1005,1,MATCH(COLUMNS($AM$1006:AS1006),$AM$1006:$BM$1006,0))&gt;=100000), " ",IF(INDEX($AM$2:$BM$1001,MATCH(ROWS($AF$2:AF672),$AF$2:$AF$1001,0),MATCH(COLUMNS($AM$1006:AS1006),$AM$1006:$BM$1006,0)), HYPERLINK("#",""), HYPERLINK(CONCATENATE("#metadata!", ADDRESS(INDEX($AH$2:$AH$1001,MATCH(ROWS($AF$2:AF672),$AF$2:$AF$1001,0),0), INDEX($AM$1004:$BM$1004,1,MATCH(COLUMNS($AM$1006:AS1006),$AM$1006:$BM$1006,0)))),"Fix")))</f>
        <v xml:space="preserve"> </v>
      </c>
      <c r="I672" s="4" t="str">
        <f ca="1">IF(OR(INDEX($AG$2:$AG$1001,MATCH(ROWS($AF$2:AF672),$AF$2:$AF$1001,0),1)&gt;=100000,INDEX($AM$1005:$BM$1005,1,MATCH(COLUMNS($AM$1006:AT1006),$AM$1006:$BM$1006,0))&gt;=100000), " ",IF(INDEX($AM$2:$BM$1001,MATCH(ROWS($AF$2:AF672),$AF$2:$AF$1001,0),MATCH(COLUMNS($AM$1006:AT1006),$AM$1006:$BM$1006,0)), HYPERLINK("#",""), HYPERLINK(CONCATENATE("#metadata!", ADDRESS(INDEX($AH$2:$AH$1001,MATCH(ROWS($AF$2:AF672),$AF$2:$AF$1001,0),0), INDEX($AM$1004:$BM$1004,1,MATCH(COLUMNS($AM$1006:AT1006),$AM$1006:$BM$1006,0)))),"Fix")))</f>
        <v xml:space="preserve"> </v>
      </c>
      <c r="J672" s="4" t="str">
        <f ca="1">IF(OR(INDEX($AG$2:$AG$1001,MATCH(ROWS($AF$2:AF672),$AF$2:$AF$1001,0),1)&gt;=100000,INDEX($AM$1005:$BM$1005,1,MATCH(COLUMNS($AM$1006:AU1006),$AM$1006:$BM$1006,0))&gt;=100000), " ",IF(INDEX($AM$2:$BM$1001,MATCH(ROWS($AF$2:AF672),$AF$2:$AF$1001,0),MATCH(COLUMNS($AM$1006:AU1006),$AM$1006:$BM$1006,0)), HYPERLINK("#",""), HYPERLINK(CONCATENATE("#metadata!", ADDRESS(INDEX($AH$2:$AH$1001,MATCH(ROWS($AF$2:AF672),$AF$2:$AF$1001,0),0), INDEX($AM$1004:$BM$1004,1,MATCH(COLUMNS($AM$1006:AU1006),$AM$1006:$BM$1006,0)))),"Fix")))</f>
        <v xml:space="preserve"> </v>
      </c>
      <c r="K672" s="4" t="str">
        <f ca="1">IF(OR(INDEX($AG$2:$AG$1001,MATCH(ROWS($AF$2:AF672),$AF$2:$AF$1001,0),1)&gt;=100000,INDEX($AM$1005:$BM$1005,1,MATCH(COLUMNS($AM$1006:AV1006),$AM$1006:$BM$1006,0))&gt;=100000), " ",IF(INDEX($AM$2:$BM$1001,MATCH(ROWS($AF$2:AF672),$AF$2:$AF$1001,0),MATCH(COLUMNS($AM$1006:AV1006),$AM$1006:$BM$1006,0)), HYPERLINK("#",""), HYPERLINK(CONCATENATE("#metadata!", ADDRESS(INDEX($AH$2:$AH$1001,MATCH(ROWS($AF$2:AF672),$AF$2:$AF$1001,0),0), INDEX($AM$1004:$BM$1004,1,MATCH(COLUMNS($AM$1006:AV1006),$AM$1006:$BM$1006,0)))),"Fix")))</f>
        <v xml:space="preserve"> </v>
      </c>
      <c r="L672" s="4" t="str">
        <f ca="1">IF(OR(INDEX($AG$2:$AG$1001,MATCH(ROWS($AF$2:AF672),$AF$2:$AF$1001,0),1)&gt;=100000,INDEX($AM$1005:$BM$1005,1,MATCH(COLUMNS($AM$1006:AW1006),$AM$1006:$BM$1006,0))&gt;=100000), " ",IF(INDEX($AM$2:$BM$1001,MATCH(ROWS($AF$2:AF672),$AF$2:$AF$1001,0),MATCH(COLUMNS($AM$1006:AW1006),$AM$1006:$BM$1006,0)), HYPERLINK("#",""), HYPERLINK(CONCATENATE("#metadata!", ADDRESS(INDEX($AH$2:$AH$1001,MATCH(ROWS($AF$2:AF672),$AF$2:$AF$1001,0),0), INDEX($AM$1004:$BM$1004,1,MATCH(COLUMNS($AM$1006:AW1006),$AM$1006:$BM$1006,0)))),"Fix")))</f>
        <v xml:space="preserve"> </v>
      </c>
      <c r="M672" s="4" t="str">
        <f ca="1">IF(OR(INDEX($AG$2:$AG$1001,MATCH(ROWS($AF$2:AF672),$AF$2:$AF$1001,0),1)&gt;=100000,INDEX($AM$1005:$BM$1005,1,MATCH(COLUMNS($AM$1006:AX1006),$AM$1006:$BM$1006,0))&gt;=100000), " ",IF(INDEX($AM$2:$BM$1001,MATCH(ROWS($AF$2:AF672),$AF$2:$AF$1001,0),MATCH(COLUMNS($AM$1006:AX1006),$AM$1006:$BM$1006,0)), HYPERLINK("#",""), HYPERLINK(CONCATENATE("#metadata!", ADDRESS(INDEX($AH$2:$AH$1001,MATCH(ROWS($AF$2:AF672),$AF$2:$AF$1001,0),0), INDEX($AM$1004:$BM$1004,1,MATCH(COLUMNS($AM$1006:AX1006),$AM$1006:$BM$1006,0)))),"Fix")))</f>
        <v xml:space="preserve"> </v>
      </c>
      <c r="N672" s="4" t="str">
        <f ca="1">IF(OR(INDEX($AG$2:$AG$1001,MATCH(ROWS($AF$2:AF672),$AF$2:$AF$1001,0),1)&gt;=100000,INDEX($AM$1005:$BM$1005,1,MATCH(COLUMNS($AM$1006:AY1006),$AM$1006:$BM$1006,0))&gt;=100000), " ",IF(INDEX($AM$2:$BM$1001,MATCH(ROWS($AF$2:AF672),$AF$2:$AF$1001,0),MATCH(COLUMNS($AM$1006:AY1006),$AM$1006:$BM$1006,0)), HYPERLINK("#",""), HYPERLINK(CONCATENATE("#metadata!", ADDRESS(INDEX($AH$2:$AH$1001,MATCH(ROWS($AF$2:AF672),$AF$2:$AF$1001,0),0), INDEX($AM$1004:$BM$1004,1,MATCH(COLUMNS($AM$1006:AY1006),$AM$1006:$BM$1006,0)))),"Fix")))</f>
        <v xml:space="preserve"> </v>
      </c>
      <c r="O672" s="4" t="str">
        <f ca="1">IF(OR(INDEX($AG$2:$AG$1001,MATCH(ROWS($AF$2:AF672),$AF$2:$AF$1001,0),1)&gt;=100000,INDEX($AM$1005:$BM$1005,1,MATCH(COLUMNS($AM$1006:AZ1006),$AM$1006:$BM$1006,0))&gt;=100000), " ",IF(INDEX($AM$2:$BM$1001,MATCH(ROWS($AF$2:AF672),$AF$2:$AF$1001,0),MATCH(COLUMNS($AM$1006:AZ1006),$AM$1006:$BM$1006,0)), HYPERLINK("#",""), HYPERLINK(CONCATENATE("#metadata!", ADDRESS(INDEX($AH$2:$AH$1001,MATCH(ROWS($AF$2:AF672),$AF$2:$AF$1001,0),0), INDEX($AM$1004:$BM$1004,1,MATCH(COLUMNS($AM$1006:AZ1006),$AM$1006:$BM$1006,0)))),"Fix")))</f>
        <v xml:space="preserve"> </v>
      </c>
      <c r="P672" s="4" t="str">
        <f ca="1">IF(OR(INDEX($AG$2:$AG$1001,MATCH(ROWS($AF$2:AF672),$AF$2:$AF$1001,0),1)&gt;=100000,INDEX($AM$1005:$BM$1005,1,MATCH(COLUMNS($AM$1006:BA1006),$AM$1006:$BM$1006,0))&gt;=100000), " ",IF(INDEX($AM$2:$BM$1001,MATCH(ROWS($AF$2:AF672),$AF$2:$AF$1001,0),MATCH(COLUMNS($AM$1006:BA1006),$AM$1006:$BM$1006,0)), HYPERLINK("#",""), HYPERLINK(CONCATENATE("#metadata!", ADDRESS(INDEX($AH$2:$AH$1001,MATCH(ROWS($AF$2:AF672),$AF$2:$AF$1001,0),0), INDEX($AM$1004:$BM$1004,1,MATCH(COLUMNS($AM$1006:BA1006),$AM$1006:$BM$1006,0)))),"Fix")))</f>
        <v xml:space="preserve"> </v>
      </c>
      <c r="Q672" s="4" t="str">
        <f ca="1">IF(OR(INDEX($AG$2:$AG$1001,MATCH(ROWS($AF$2:AF672),$AF$2:$AF$1001,0),1)&gt;=100000,INDEX($AM$1005:$BM$1005,1,MATCH(COLUMNS($AM$1006:BB1006),$AM$1006:$BM$1006,0))&gt;=100000), " ",IF(INDEX($AM$2:$BM$1001,MATCH(ROWS($AF$2:AF672),$AF$2:$AF$1001,0),MATCH(COLUMNS($AM$1006:BB1006),$AM$1006:$BM$1006,0)), HYPERLINK("#",""), HYPERLINK(CONCATENATE("#metadata!", ADDRESS(INDEX($AH$2:$AH$1001,MATCH(ROWS($AF$2:AF672),$AF$2:$AF$1001,0),0), INDEX($AM$1004:$BM$1004,1,MATCH(COLUMNS($AM$1006:BB1006),$AM$1006:$BM$1006,0)))),"Fix")))</f>
        <v xml:space="preserve"> </v>
      </c>
      <c r="R672" s="4" t="str">
        <f ca="1">IF(OR(INDEX($AG$2:$AG$1001,MATCH(ROWS($AF$2:AF672),$AF$2:$AF$1001,0),1)&gt;=100000,INDEX($AM$1005:$BM$1005,1,MATCH(COLUMNS($AM$1006:BC1006),$AM$1006:$BM$1006,0))&gt;=100000), " ",IF(INDEX($AM$2:$BM$1001,MATCH(ROWS($AF$2:AF672),$AF$2:$AF$1001,0),MATCH(COLUMNS($AM$1006:BC1006),$AM$1006:$BM$1006,0)), HYPERLINK("#",""), HYPERLINK(CONCATENATE("#metadata!", ADDRESS(INDEX($AH$2:$AH$1001,MATCH(ROWS($AF$2:AF672),$AF$2:$AF$1001,0),0), INDEX($AM$1004:$BM$1004,1,MATCH(COLUMNS($AM$1006:BC1006),$AM$1006:$BM$1006,0)))),"Fix")))</f>
        <v xml:space="preserve"> </v>
      </c>
      <c r="S672" s="4" t="str">
        <f ca="1">IF(OR(INDEX($AG$2:$AG$1001,MATCH(ROWS($AF$2:AF672),$AF$2:$AF$1001,0),1)&gt;=100000,INDEX($AM$1005:$BM$1005,1,MATCH(COLUMNS($AM$1006:BD1006),$AM$1006:$BM$1006,0))&gt;=100000), " ",IF(INDEX($AM$2:$BM$1001,MATCH(ROWS($AF$2:AF672),$AF$2:$AF$1001,0),MATCH(COLUMNS($AM$1006:BD1006),$AM$1006:$BM$1006,0)), HYPERLINK("#",""), HYPERLINK(CONCATENATE("#metadata!", ADDRESS(INDEX($AH$2:$AH$1001,MATCH(ROWS($AF$2:AF672),$AF$2:$AF$1001,0),0), INDEX($AM$1004:$BM$1004,1,MATCH(COLUMNS($AM$1006:BD1006),$AM$1006:$BM$1006,0)))),"Fix")))</f>
        <v xml:space="preserve"> </v>
      </c>
      <c r="T672" s="4" t="str">
        <f ca="1">IF(OR(INDEX($AG$2:$AG$1001,MATCH(ROWS($AF$2:AF672),$AF$2:$AF$1001,0),1)&gt;=100000,INDEX($AM$1005:$BM$1005,1,MATCH(COLUMNS($AM$1006:BE1006),$AM$1006:$BM$1006,0))&gt;=100000), " ",IF(INDEX($AM$2:$BM$1001,MATCH(ROWS($AF$2:AF672),$AF$2:$AF$1001,0),MATCH(COLUMNS($AM$1006:BE1006),$AM$1006:$BM$1006,0)), HYPERLINK("#",""), HYPERLINK(CONCATENATE("#metadata!", ADDRESS(INDEX($AH$2:$AH$1001,MATCH(ROWS($AF$2:AF672),$AF$2:$AF$1001,0),0), INDEX($AM$1004:$BM$1004,1,MATCH(COLUMNS($AM$1006:BE1006),$AM$1006:$BM$1006,0)))),"Fix")))</f>
        <v xml:space="preserve"> </v>
      </c>
      <c r="U672" s="4" t="str">
        <f ca="1">IF(OR(INDEX($AG$2:$AG$1001,MATCH(ROWS($AF$2:AF672),$AF$2:$AF$1001,0),1)&gt;=100000,INDEX($AM$1005:$BM$1005,1,MATCH(COLUMNS($AM$1006:BF1006),$AM$1006:$BM$1006,0))&gt;=100000), " ",IF(INDEX($AM$2:$BM$1001,MATCH(ROWS($AF$2:AF672),$AF$2:$AF$1001,0),MATCH(COLUMNS($AM$1006:BF1006),$AM$1006:$BM$1006,0)), HYPERLINK("#",""), HYPERLINK(CONCATENATE("#metadata!", ADDRESS(INDEX($AH$2:$AH$1001,MATCH(ROWS($AF$2:AF672),$AF$2:$AF$1001,0),0), INDEX($AM$1004:$BM$1004,1,MATCH(COLUMNS($AM$1006:BF1006),$AM$1006:$BM$1006,0)))),"Fix")))</f>
        <v xml:space="preserve"> </v>
      </c>
      <c r="V672" s="4" t="str">
        <f ca="1">IF(OR(INDEX($AG$2:$AG$1001,MATCH(ROWS($AF$2:AF672),$AF$2:$AF$1001,0),1)&gt;=100000,INDEX($AM$1005:$BM$1005,1,MATCH(COLUMNS($AM$1006:BG1006),$AM$1006:$BM$1006,0))&gt;=100000), " ",IF(INDEX($AM$2:$BM$1001,MATCH(ROWS($AF$2:AF672),$AF$2:$AF$1001,0),MATCH(COLUMNS($AM$1006:BG1006),$AM$1006:$BM$1006,0)), HYPERLINK("#",""), HYPERLINK(CONCATENATE("#metadata!", ADDRESS(INDEX($AH$2:$AH$1001,MATCH(ROWS($AF$2:AF672),$AF$2:$AF$1001,0),0), INDEX($AM$1004:$BM$1004,1,MATCH(COLUMNS($AM$1006:BG1006),$AM$1006:$BM$1006,0)))),"Fix")))</f>
        <v xml:space="preserve"> </v>
      </c>
      <c r="W672" s="4" t="str">
        <f ca="1">IF(OR(INDEX($AG$2:$AG$1001,MATCH(ROWS($AF$2:AF672),$AF$2:$AF$1001,0),1)&gt;=100000,INDEX($AM$1005:$BM$1005,1,MATCH(COLUMNS($AM$1006:BH1006),$AM$1006:$BM$1006,0))&gt;=100000), " ",IF(INDEX($AM$2:$BM$1001,MATCH(ROWS($AF$2:AF672),$AF$2:$AF$1001,0),MATCH(COLUMNS($AM$1006:BH1006),$AM$1006:$BM$1006,0)), HYPERLINK("#",""), HYPERLINK(CONCATENATE("#metadata!", ADDRESS(INDEX($AH$2:$AH$1001,MATCH(ROWS($AF$2:AF672),$AF$2:$AF$1001,0),0), INDEX($AM$1004:$BM$1004,1,MATCH(COLUMNS($AM$1006:BH1006),$AM$1006:$BM$1006,0)))),"Fix")))</f>
        <v xml:space="preserve"> </v>
      </c>
      <c r="X672" s="4" t="str">
        <f ca="1">IF(OR(INDEX($AG$2:$AG$1001,MATCH(ROWS($AF$2:AF672),$AF$2:$AF$1001,0),1)&gt;=100000,INDEX($AM$1005:$BM$1005,1,MATCH(COLUMNS($AM$1006:BI1006),$AM$1006:$BM$1006,0))&gt;=100000), " ",IF(INDEX($AM$2:$BM$1001,MATCH(ROWS($AF$2:AF672),$AF$2:$AF$1001,0),MATCH(COLUMNS($AM$1006:BI1006),$AM$1006:$BM$1006,0)), HYPERLINK("#",""), HYPERLINK(CONCATENATE("#metadata!", ADDRESS(INDEX($AH$2:$AH$1001,MATCH(ROWS($AF$2:AF672),$AF$2:$AF$1001,0),0), INDEX($AM$1004:$BM$1004,1,MATCH(COLUMNS($AM$1006:BI1006),$AM$1006:$BM$1006,0)))),"Fix")))</f>
        <v xml:space="preserve"> </v>
      </c>
      <c r="Y672" s="4" t="str">
        <f ca="1">IF(OR(INDEX($AG$2:$AG$1001,MATCH(ROWS($AF$2:AF672),$AF$2:$AF$1001,0),1)&gt;=100000,INDEX($AM$1005:$BM$1005,1,MATCH(COLUMNS($AM$1006:BJ1006),$AM$1006:$BM$1006,0))&gt;=100000), " ",IF(INDEX($AM$2:$BM$1001,MATCH(ROWS($AF$2:AF672),$AF$2:$AF$1001,0),MATCH(COLUMNS($AM$1006:BJ1006),$AM$1006:$BM$1006,0)), HYPERLINK("#",""), HYPERLINK(CONCATENATE("#metadata!", ADDRESS(INDEX($AH$2:$AH$1001,MATCH(ROWS($AF$2:AF672),$AF$2:$AF$1001,0),0), INDEX($AM$1004:$BM$1004,1,MATCH(COLUMNS($AM$1006:BJ1006),$AM$1006:$BM$1006,0)))),"Fix")))</f>
        <v xml:space="preserve"> </v>
      </c>
      <c r="Z672" s="4" t="str">
        <f ca="1">IF(OR(INDEX($AG$2:$AG$1001,MATCH(ROWS($AF$2:AF672),$AF$2:$AF$1001,0),1)&gt;=100000,INDEX($AM$1005:$BM$1005,1,MATCH(COLUMNS($AM$1006:BK1006),$AM$1006:$BM$1006,0))&gt;=100000), " ",IF(INDEX($AM$2:$BM$1001,MATCH(ROWS($AF$2:AF672),$AF$2:$AF$1001,0),MATCH(COLUMNS($AM$1006:BK1006),$AM$1006:$BM$1006,0)), HYPERLINK("#",""), HYPERLINK(CONCATENATE("#metadata!", ADDRESS(INDEX($AH$2:$AH$1001,MATCH(ROWS($AF$2:AF672),$AF$2:$AF$1001,0),0), INDEX($AM$1004:$BM$1004,1,MATCH(COLUMNS($AM$1006:BK1006),$AM$1006:$BM$1006,0)))),"Fix")))</f>
        <v xml:space="preserve"> </v>
      </c>
      <c r="AA672" s="4" t="str">
        <f ca="1">IF(OR(INDEX($AG$2:$AG$1001,MATCH(ROWS($AF$2:AF672),$AF$2:$AF$1001,0),1)&gt;=100000,INDEX($AM$1005:$BM$1005,1,MATCH(COLUMNS($AM$1006:BL1006),$AM$1006:$BM$1006,0))&gt;=100000), " ",IF(INDEX($AM$2:$BM$1001,MATCH(ROWS($AF$2:AF672),$AF$2:$AF$1001,0),MATCH(COLUMNS($AM$1006:BL1006),$AM$1006:$BM$1006,0)), HYPERLINK("#",""), HYPERLINK(CONCATENATE("#metadata!", ADDRESS(INDEX($AH$2:$AH$1001,MATCH(ROWS($AF$2:AF672),$AF$2:$AF$1001,0),0), INDEX($AM$1004:$BM$1004,1,MATCH(COLUMNS($AM$1006:BL1006),$AM$1006:$BM$1006,0)))),"Fix")))</f>
        <v xml:space="preserve"> </v>
      </c>
      <c r="AB672" s="4" t="str">
        <f ca="1">IF(OR(INDEX($AG$2:$AG$1001,MATCH(ROWS($AF$2:AF672),$AF$2:$AF$1001,0),1)&gt;=100000,INDEX($AM$1005:$BM$1005,1,MATCH(COLUMNS($AM$1006:BM1006),$AM$1006:$BM$1006,0))&gt;=100000), " ",IF(INDEX($AM$2:$BM$1001,MATCH(ROWS($AF$2:AF672),$AF$2:$AF$1001,0),MATCH(COLUMNS($AM$1006:BM1006),$AM$1006:$BM$1006,0)), HYPERLINK("#",""), HYPERLINK(CONCATENATE("#metadata!", ADDRESS(INDEX($AH$2:$AH$1001,MATCH(ROWS($AF$2:AF672),$AF$2:$AF$1001,0),0), INDEX($AM$1004:$BM$1004,1,MATCH(COLUMNS($AM$1006:BM1006),$AM$1006:$BM$1006,0)))),"Fix")))</f>
        <v xml:space="preserve"> </v>
      </c>
      <c r="AF672">
        <v>671</v>
      </c>
      <c r="AG672">
        <v>100672</v>
      </c>
      <c r="AH672">
        <v>672</v>
      </c>
      <c r="AI672" t="b">
        <f t="shared" si="10"/>
        <v>1</v>
      </c>
      <c r="AJ672" t="b">
        <f>COUNTBLANK(metadata!B672:AB672)=COLUMNS(metadata!B672:AB672)</f>
        <v>1</v>
      </c>
      <c r="AK672" t="str">
        <v/>
      </c>
      <c r="AM672" t="b">
        <f ca="1">AND(IF(metadata!B672="",FALSE,TRUE),COUNTIF(metadata!B:B, metadata!B672) = 1,NOT(ISERROR(SUMPRODUCT(SEARCH(MID(metadata!B672,ROW(INDIRECT("1:"&amp;LEN(metadata!B672))), 1),"0123456789abcdefghijklmnopqrstuvwxyzABCDEFGHIJKLMNOPQRSTUVWXYZ.")))))</f>
        <v>0</v>
      </c>
      <c r="AN672" t="b">
        <f ca="1">OR(AND(IF(metadata!C672="",FALSE,TRUE),OR(EXACT(metadata!C672,"missing: not collected"),EXACT(metadata!C672,"missing: not provided"),EXACT(metadata!C672,"missing: restricted access"))),AND(IF(metadata!C672="",FALSE,TRUE),AND(AND(IFERROR(INT(LEFT(metadata!C672,4))&gt;1900,FALSE),IFERROR(INT(LEFT(metadata!C672,4))&lt;=YEAR(NOW()),FALSE)), OR(MID(metadata!C672,5,1)="", AND(AND(MID(metadata!C672,5,1)="-",IFERROR(INT(MID(metadata!C672,6,1))&gt;=0,FALSE),IFERROR(INT(MID(metadata!C672,6,1))&lt;=1,FALSE),NOT(MID(metadata!C672,7,1)=""),IFERROR(INT(MID(metadata!C672,6,2))&gt;=1,FALSE),IFERROR(INT(MID(metadata!C672,6,2))&lt;=12,FALSE)), OR(MID(metadata!C672,8,1)="", AND(AND(MID(metadata!C672,8,1)="-",IFERROR(INT(MID(metadata!C672,9,1))&gt;=0,FALSE),IFERROR(INT(MID(metadata!C672,9,1))&lt;=3,FALSE),NOT(MID(metadata!C672,10,1)=""),IFERROR(INT(MID(metadata!C672,9,2))&gt;=1,FALSE),IFERROR(INT(MID(metadata!C672,9,2))&lt;=31,FALSE)), OR(MID(metadata!C672,11,1)="", AND(AND(MID(metadata!C672,11,1)=" ",IFERROR(INT(MID(metadata!C672,12,1))&gt;=0,FALSE),IFERROR(INT(MID(metadata!C672,12,1))&lt;=2,FALSE),NOT(MID(metadata!C672,13,1)=""),IFERROR(INT(MID(metadata!C672,12,2))&gt;=0,FALSE),IFERROR(INT(MID(metadata!C672,12,2))&lt;=23,FALSE)), OR(MID(metadata!C672,14,1)="", AND(AND(MID(metadata!C672,14,1)=":",IFERROR(INT(MID(metadata!C672,15,1))&gt;=0,FALSE),IFERROR(INT(MID(metadata!C672,15,1))&lt;=5,FALSE),NOT(MID(metadata!C672,16,1)=""),IFERROR(INT(MID(metadata!C672,15,2))&gt;=0,FALSE),IFERROR(INT(MID(metadata!C672,15,2))&lt;=59,FALSE)), OR(MID(metadata!C672,17,1)="", AND(AND(MID(metadata!C672,17,1)=":",IFERROR(INT(MID(metadata!C672,18,1))&gt;=0,FALSE),IFERROR(INT(MID(metadata!C672,18,1))&lt;=5,FALSE),NOT(MID(metadata!C672,19,1)=""),IFERROR(INT(MID(metadata!C672,18,2))&gt;=0,FALSE),IFERROR(INT(MID(metadata!C672,18,2))&lt;=59,FALSE)), LEN(metadata!C672)&lt;=19)))))))))))))</f>
        <v>0</v>
      </c>
      <c r="AO672" t="b">
        <f>AND(IF(metadata!D672="",FALSE,TRUE),EXACT(metadata!D672,"Not applicable"))</f>
        <v>0</v>
      </c>
      <c r="AP672" t="b">
        <f>IF(metadata!E672="",FALSE,TRUE)</f>
        <v>0</v>
      </c>
      <c r="AQ672" t="b">
        <f>OR(AND(IF(metadata!F672="",FALSE,TRUE),OR(EXACT(metadata!F672,"missing: not collected"),EXACT(metadata!F672,"missing: not provided"))),AND(IF(metadata!F672="",FALSE,TRUE),OR(EXACT(metadata!F672,"TRUE"),EXACT(metadata!F672,"FALSE"))))</f>
        <v>0</v>
      </c>
      <c r="AR672" t="b">
        <f>OR(AND(IF(metadata!G672="",FALSE,TRUE),OR(EXACT(metadata!G672,"missing: not collected"),EXACT(metadata!G672,"missing: not provided"),EXACT(metadata!G672,"missing: restricted access"))),AND(IF(metadata!G672="",FALSE,ISNUMBER(VALUE(metadata!G672))),metadata!G672&gt;=-413))</f>
        <v>0</v>
      </c>
      <c r="AS672" t="b">
        <f>AND(IF(metadata!H672="",FALSE,TRUE),EXACT(metadata!H672,"meters"))</f>
        <v>0</v>
      </c>
      <c r="AT672" t="b">
        <f>AND(IF(metadata!I672="",FALSE,TRUE),OR(EXACT(metadata!I672,"Host-associated"),EXACT(metadata!I672,"Free-living")))</f>
        <v>0</v>
      </c>
      <c r="AU672" t="b">
        <f>AND(IF(metadata!J672="",FALSE,TRUE),OR(EXACT(metadata!J672,"Animal"),EXACT(metadata!J672,"Fungus"),EXACT(metadata!J672,"Plant"),EXACT(metadata!J672,"Saline"),EXACT(metadata!J672,"Non-saline")))</f>
        <v>0</v>
      </c>
      <c r="AV672" t="b">
        <f>AND(IF(metadata!K672="",FALSE,TRUE),OR(EXACT(metadata!K672,"Plant secretion"),EXACT(metadata!K672,"Plant rhizosphere"),EXACT(metadata!K672,"Plant surface"),EXACT(metadata!K672,"Plant corpus"),EXACT(metadata!K672,"Fungus surface"),EXACT(metadata!K672,"Fungus corpus"),EXACT(metadata!K672,"Animal surface"),EXACT(metadata!K672,"Animal proximal gut"),EXACT(metadata!K672,"Animal corpus"),EXACT(metadata!K672,"Animal distal gut"),EXACT(metadata!K672,"Animal secretion"),EXACT(metadata!K672,"Sub-surface (non-saline)"),EXACT(metadata!K672,"Surface (non-saline)"),EXACT(metadata!K672,"Water (non-saline)"),EXACT(metadata!K672,"Soil (non-saline)"),EXACT(metadata!K672,"Aerosol (non-saline)"),EXACT(metadata!K672,"Sediment (non-saline)"),EXACT(metadata!K672,"Surface (saline)"),EXACT(metadata!K672,"Water (saline)"),EXACT(metadata!K672,"Hypersaline (saline)"),EXACT(metadata!K672,"Aerosol (saline)"),EXACT(metadata!K672,"Sediment (saline)")))</f>
        <v>0</v>
      </c>
      <c r="AW672" t="b">
        <f>IF(metadata!L672="",FALSE,TRUE)</f>
        <v>0</v>
      </c>
      <c r="AX672" t="b">
        <f>IF(metadata!M672="",FALSE,TRUE)</f>
        <v>0</v>
      </c>
      <c r="AY672" t="b">
        <f>IF(metadata!N672="",FALSE,TRUE)</f>
        <v>0</v>
      </c>
      <c r="AZ672" t="b">
        <f>OR(AND(IF(metadata!O672="",FALSE,TRUE),OR(EXACT(metadata!O672,"missing: not collected"),EXACT(metadata!O672,"missing: not provided"),EXACT(metadata!O672,"missing: restricted access"))),AND(IF(metadata!O672="",FALSE,TRUE),OR(EXACT(metadata!O672,"air"),EXACT(metadata!O672,"built environment"),EXACT(metadata!O672,"host-associated"),EXACT(metadata!O672,"human-associated"),EXACT(metadata!O672,"human-skin"),EXACT(metadata!O672,"human-oral"),EXACT(metadata!O672,"human-gut"),EXACT(metadata!O672,"human-vaginal"),EXACT(metadata!O672,"microbial mat/biofilm"),EXACT(metadata!O672,"misc environment"),EXACT(metadata!O672,"plant-associated"),EXACT(metadata!O672,"sediment"),EXACT(metadata!O672,"soil"),EXACT(metadata!O672,"wastewater/sludge"),EXACT(metadata!O672,"water"))))</f>
        <v>0</v>
      </c>
      <c r="BA672" t="b">
        <f>IF(metadata!P672="",FALSE,TRUE)</f>
        <v>0</v>
      </c>
      <c r="BB672" t="b">
        <f>IF(metadata!Q672="",FALSE,TRUE)</f>
        <v>0</v>
      </c>
      <c r="BC672" t="b">
        <f>OR(AND(IF(metadata!R672="",FALSE,TRUE),OR(EXACT(metadata!R672,"missing: not collected"),EXACT(metadata!R672,"missing: not provided"),EXACT(metadata!R672,"missing: restricted access"))),AND(IF(metadata!R672="",FALSE,ISNUMBER(VALUE(metadata!R672))),metadata!R672&gt;=-90,metadata!R672&lt;=90))</f>
        <v>0</v>
      </c>
      <c r="BD672" t="b">
        <f>AND(IF(metadata!S672="",FALSE,TRUE),EXACT(metadata!S672,"Decimal degrees"))</f>
        <v>0</v>
      </c>
      <c r="BE672" t="b">
        <f>OR(AND(IF(metadata!T672="",FALSE,TRUE),OR(EXACT(metadata!T672,"missing: not collected"),EXACT(metadata!T672,"missing: not provided"),EXACT(metadata!T672,"missing: restricted access"))),AND(IF(metadata!T672="",FALSE,ISNUMBER(VALUE(metadata!T672))),metadata!T672&gt;=-180,metadata!T672&lt;=180))</f>
        <v>0</v>
      </c>
      <c r="BF672" t="b">
        <f>AND(IF(metadata!U672="",FALSE,TRUE),EXACT(metadata!U672,"Decimal degrees"))</f>
        <v>0</v>
      </c>
      <c r="BG672" t="b">
        <f>IF(metadata!V672="",FALSE,TRUE)</f>
        <v>0</v>
      </c>
      <c r="BH672" t="b">
        <f>OR(AND(IF(metadata!W672="",FALSE,TRUE),OR(EXACT(metadata!W672,"missing: not collected"),EXACT(metadata!W672,"missing: not provided"),EXACT(metadata!W672,"missing: restricted access"))),AND(IF(metadata!W672="",FALSE,TRUE),OR(EXACT(metadata!W672,"TRUE"),EXACT(metadata!W672,"FALSE"))))</f>
        <v>0</v>
      </c>
      <c r="BI672" t="b">
        <f>AND(IF(metadata!X672="",FALSE,TRUE),EXACT(metadata!X672,"other"))</f>
        <v>0</v>
      </c>
      <c r="BJ672" t="b">
        <f>IF(metadata!Y672="",FALSE,TRUE)</f>
        <v>0</v>
      </c>
      <c r="BK672" t="b">
        <f>OR(AND(IF(metadata!Z672="",FALSE,TRUE),OR(EXACT(metadata!Z672,"missing: not collected"),EXACT(metadata!Z672,"missing: not provided"))),AND(IF(metadata!Z672="",FALSE,IF(ISERROR(INT(metadata!Z672)),FALSE,INT(metadata!Z672)=metadata!Z672)),metadata!Z672&gt;0))</f>
        <v>0</v>
      </c>
      <c r="BL672" t="b">
        <f>AND(IF(metadata!AA672="",FALSE,TRUE),EXACT(metadata!AA672,"Not applicable"))</f>
        <v>0</v>
      </c>
      <c r="BM672" t="b">
        <f>IF(metadata!AB672="",FALSE,TRUE)</f>
        <v>0</v>
      </c>
    </row>
    <row r="673" spans="1:65" x14ac:dyDescent="0.2">
      <c r="A673" s="5" t="str">
        <f ca="1">IF(B673=" "," ",HYPERLINK(CONCATENATE("#metadata!",ADDRESS(INDEX($AH$2:$AH$1001,MATCH(ROWS($AF$2:AF673),$AF$2:$AF$1001,0),0),1)),INDEX($AK$2:$AK$1001,MATCH(ROWS($AF$2:AF673),$AF$2:$AF$1001,0),0)))</f>
        <v xml:space="preserve"> </v>
      </c>
      <c r="B673" s="4" t="str">
        <f ca="1">IF(OR(INDEX($AG$2:$AG$1001,MATCH(ROWS($AF$2:AF673),$AF$2:$AF$1001,0),1)&gt;=100000,INDEX($AM$1005:$BM$1005,1,MATCH(COLUMNS($AM$1006:AM1006),$AM$1006:$BM$1006,0))&gt;=100000), " ",IF(INDEX($AM$2:$BM$1001,MATCH(ROWS($AF$2:AF673),$AF$2:$AF$1001,0),MATCH(COLUMNS($AM$1006:AM1006),$AM$1006:$BM$1006,0)), HYPERLINK("#",""), HYPERLINK(CONCATENATE("#metadata!", ADDRESS(INDEX($AH$2:$AH$1001,MATCH(ROWS($AF$2:AF673),$AF$2:$AF$1001,0),0), INDEX($AM$1004:$BM$1004,1,MATCH(COLUMNS($AM$1006:AM1006),$AM$1006:$BM$1006,0)))),"Fix")))</f>
        <v xml:space="preserve"> </v>
      </c>
      <c r="C673" s="4" t="str">
        <f ca="1">IF(OR(INDEX($AG$2:$AG$1001,MATCH(ROWS($AF$2:AF673),$AF$2:$AF$1001,0),1)&gt;=100000,INDEX($AM$1005:$BM$1005,1,MATCH(COLUMNS($AM$1006:AN1006),$AM$1006:$BM$1006,0))&gt;=100000), " ",IF(INDEX($AM$2:$BM$1001,MATCH(ROWS($AF$2:AF673),$AF$2:$AF$1001,0),MATCH(COLUMNS($AM$1006:AN1006),$AM$1006:$BM$1006,0)), HYPERLINK("#",""), HYPERLINK(CONCATENATE("#metadata!", ADDRESS(INDEX($AH$2:$AH$1001,MATCH(ROWS($AF$2:AF673),$AF$2:$AF$1001,0),0), INDEX($AM$1004:$BM$1004,1,MATCH(COLUMNS($AM$1006:AN1006),$AM$1006:$BM$1006,0)))),"Fix")))</f>
        <v xml:space="preserve"> </v>
      </c>
      <c r="D673" s="4" t="str">
        <f ca="1">IF(OR(INDEX($AG$2:$AG$1001,MATCH(ROWS($AF$2:AF673),$AF$2:$AF$1001,0),1)&gt;=100000,INDEX($AM$1005:$BM$1005,1,MATCH(COLUMNS($AM$1006:AO1006),$AM$1006:$BM$1006,0))&gt;=100000), " ",IF(INDEX($AM$2:$BM$1001,MATCH(ROWS($AF$2:AF673),$AF$2:$AF$1001,0),MATCH(COLUMNS($AM$1006:AO1006),$AM$1006:$BM$1006,0)), HYPERLINK("#",""), HYPERLINK(CONCATENATE("#metadata!", ADDRESS(INDEX($AH$2:$AH$1001,MATCH(ROWS($AF$2:AF673),$AF$2:$AF$1001,0),0), INDEX($AM$1004:$BM$1004,1,MATCH(COLUMNS($AM$1006:AO1006),$AM$1006:$BM$1006,0)))),"Fix")))</f>
        <v xml:space="preserve"> </v>
      </c>
      <c r="E673" s="4" t="str">
        <f ca="1">IF(OR(INDEX($AG$2:$AG$1001,MATCH(ROWS($AF$2:AF673),$AF$2:$AF$1001,0),1)&gt;=100000,INDEX($AM$1005:$BM$1005,1,MATCH(COLUMNS($AM$1006:AP1006),$AM$1006:$BM$1006,0))&gt;=100000), " ",IF(INDEX($AM$2:$BM$1001,MATCH(ROWS($AF$2:AF673),$AF$2:$AF$1001,0),MATCH(COLUMNS($AM$1006:AP1006),$AM$1006:$BM$1006,0)), HYPERLINK("#",""), HYPERLINK(CONCATENATE("#metadata!", ADDRESS(INDEX($AH$2:$AH$1001,MATCH(ROWS($AF$2:AF673),$AF$2:$AF$1001,0),0), INDEX($AM$1004:$BM$1004,1,MATCH(COLUMNS($AM$1006:AP1006),$AM$1006:$BM$1006,0)))),"Fix")))</f>
        <v xml:space="preserve"> </v>
      </c>
      <c r="F673" s="4" t="str">
        <f ca="1">IF(OR(INDEX($AG$2:$AG$1001,MATCH(ROWS($AF$2:AF673),$AF$2:$AF$1001,0),1)&gt;=100000,INDEX($AM$1005:$BM$1005,1,MATCH(COLUMNS($AM$1006:AQ1006),$AM$1006:$BM$1006,0))&gt;=100000), " ",IF(INDEX($AM$2:$BM$1001,MATCH(ROWS($AF$2:AF673),$AF$2:$AF$1001,0),MATCH(COLUMNS($AM$1006:AQ1006),$AM$1006:$BM$1006,0)), HYPERLINK("#",""), HYPERLINK(CONCATENATE("#metadata!", ADDRESS(INDEX($AH$2:$AH$1001,MATCH(ROWS($AF$2:AF673),$AF$2:$AF$1001,0),0), INDEX($AM$1004:$BM$1004,1,MATCH(COLUMNS($AM$1006:AQ1006),$AM$1006:$BM$1006,0)))),"Fix")))</f>
        <v xml:space="preserve"> </v>
      </c>
      <c r="G673" s="4" t="str">
        <f ca="1">IF(OR(INDEX($AG$2:$AG$1001,MATCH(ROWS($AF$2:AF673),$AF$2:$AF$1001,0),1)&gt;=100000,INDEX($AM$1005:$BM$1005,1,MATCH(COLUMNS($AM$1006:AR1006),$AM$1006:$BM$1006,0))&gt;=100000), " ",IF(INDEX($AM$2:$BM$1001,MATCH(ROWS($AF$2:AF673),$AF$2:$AF$1001,0),MATCH(COLUMNS($AM$1006:AR1006),$AM$1006:$BM$1006,0)), HYPERLINK("#",""), HYPERLINK(CONCATENATE("#metadata!", ADDRESS(INDEX($AH$2:$AH$1001,MATCH(ROWS($AF$2:AF673),$AF$2:$AF$1001,0),0), INDEX($AM$1004:$BM$1004,1,MATCH(COLUMNS($AM$1006:AR1006),$AM$1006:$BM$1006,0)))),"Fix")))</f>
        <v xml:space="preserve"> </v>
      </c>
      <c r="H673" s="4" t="str">
        <f ca="1">IF(OR(INDEX($AG$2:$AG$1001,MATCH(ROWS($AF$2:AF673),$AF$2:$AF$1001,0),1)&gt;=100000,INDEX($AM$1005:$BM$1005,1,MATCH(COLUMNS($AM$1006:AS1006),$AM$1006:$BM$1006,0))&gt;=100000), " ",IF(INDEX($AM$2:$BM$1001,MATCH(ROWS($AF$2:AF673),$AF$2:$AF$1001,0),MATCH(COLUMNS($AM$1006:AS1006),$AM$1006:$BM$1006,0)), HYPERLINK("#",""), HYPERLINK(CONCATENATE("#metadata!", ADDRESS(INDEX($AH$2:$AH$1001,MATCH(ROWS($AF$2:AF673),$AF$2:$AF$1001,0),0), INDEX($AM$1004:$BM$1004,1,MATCH(COLUMNS($AM$1006:AS1006),$AM$1006:$BM$1006,0)))),"Fix")))</f>
        <v xml:space="preserve"> </v>
      </c>
      <c r="I673" s="4" t="str">
        <f ca="1">IF(OR(INDEX($AG$2:$AG$1001,MATCH(ROWS($AF$2:AF673),$AF$2:$AF$1001,0),1)&gt;=100000,INDEX($AM$1005:$BM$1005,1,MATCH(COLUMNS($AM$1006:AT1006),$AM$1006:$BM$1006,0))&gt;=100000), " ",IF(INDEX($AM$2:$BM$1001,MATCH(ROWS($AF$2:AF673),$AF$2:$AF$1001,0),MATCH(COLUMNS($AM$1006:AT1006),$AM$1006:$BM$1006,0)), HYPERLINK("#",""), HYPERLINK(CONCATENATE("#metadata!", ADDRESS(INDEX($AH$2:$AH$1001,MATCH(ROWS($AF$2:AF673),$AF$2:$AF$1001,0),0), INDEX($AM$1004:$BM$1004,1,MATCH(COLUMNS($AM$1006:AT1006),$AM$1006:$BM$1006,0)))),"Fix")))</f>
        <v xml:space="preserve"> </v>
      </c>
      <c r="J673" s="4" t="str">
        <f ca="1">IF(OR(INDEX($AG$2:$AG$1001,MATCH(ROWS($AF$2:AF673),$AF$2:$AF$1001,0),1)&gt;=100000,INDEX($AM$1005:$BM$1005,1,MATCH(COLUMNS($AM$1006:AU1006),$AM$1006:$BM$1006,0))&gt;=100000), " ",IF(INDEX($AM$2:$BM$1001,MATCH(ROWS($AF$2:AF673),$AF$2:$AF$1001,0),MATCH(COLUMNS($AM$1006:AU1006),$AM$1006:$BM$1006,0)), HYPERLINK("#",""), HYPERLINK(CONCATENATE("#metadata!", ADDRESS(INDEX($AH$2:$AH$1001,MATCH(ROWS($AF$2:AF673),$AF$2:$AF$1001,0),0), INDEX($AM$1004:$BM$1004,1,MATCH(COLUMNS($AM$1006:AU1006),$AM$1006:$BM$1006,0)))),"Fix")))</f>
        <v xml:space="preserve"> </v>
      </c>
      <c r="K673" s="4" t="str">
        <f ca="1">IF(OR(INDEX($AG$2:$AG$1001,MATCH(ROWS($AF$2:AF673),$AF$2:$AF$1001,0),1)&gt;=100000,INDEX($AM$1005:$BM$1005,1,MATCH(COLUMNS($AM$1006:AV1006),$AM$1006:$BM$1006,0))&gt;=100000), " ",IF(INDEX($AM$2:$BM$1001,MATCH(ROWS($AF$2:AF673),$AF$2:$AF$1001,0),MATCH(COLUMNS($AM$1006:AV1006),$AM$1006:$BM$1006,0)), HYPERLINK("#",""), HYPERLINK(CONCATENATE("#metadata!", ADDRESS(INDEX($AH$2:$AH$1001,MATCH(ROWS($AF$2:AF673),$AF$2:$AF$1001,0),0), INDEX($AM$1004:$BM$1004,1,MATCH(COLUMNS($AM$1006:AV1006),$AM$1006:$BM$1006,0)))),"Fix")))</f>
        <v xml:space="preserve"> </v>
      </c>
      <c r="L673" s="4" t="str">
        <f ca="1">IF(OR(INDEX($AG$2:$AG$1001,MATCH(ROWS($AF$2:AF673),$AF$2:$AF$1001,0),1)&gt;=100000,INDEX($AM$1005:$BM$1005,1,MATCH(COLUMNS($AM$1006:AW1006),$AM$1006:$BM$1006,0))&gt;=100000), " ",IF(INDEX($AM$2:$BM$1001,MATCH(ROWS($AF$2:AF673),$AF$2:$AF$1001,0),MATCH(COLUMNS($AM$1006:AW1006),$AM$1006:$BM$1006,0)), HYPERLINK("#",""), HYPERLINK(CONCATENATE("#metadata!", ADDRESS(INDEX($AH$2:$AH$1001,MATCH(ROWS($AF$2:AF673),$AF$2:$AF$1001,0),0), INDEX($AM$1004:$BM$1004,1,MATCH(COLUMNS($AM$1006:AW1006),$AM$1006:$BM$1006,0)))),"Fix")))</f>
        <v xml:space="preserve"> </v>
      </c>
      <c r="M673" s="4" t="str">
        <f ca="1">IF(OR(INDEX($AG$2:$AG$1001,MATCH(ROWS($AF$2:AF673),$AF$2:$AF$1001,0),1)&gt;=100000,INDEX($AM$1005:$BM$1005,1,MATCH(COLUMNS($AM$1006:AX1006),$AM$1006:$BM$1006,0))&gt;=100000), " ",IF(INDEX($AM$2:$BM$1001,MATCH(ROWS($AF$2:AF673),$AF$2:$AF$1001,0),MATCH(COLUMNS($AM$1006:AX1006),$AM$1006:$BM$1006,0)), HYPERLINK("#",""), HYPERLINK(CONCATENATE("#metadata!", ADDRESS(INDEX($AH$2:$AH$1001,MATCH(ROWS($AF$2:AF673),$AF$2:$AF$1001,0),0), INDEX($AM$1004:$BM$1004,1,MATCH(COLUMNS($AM$1006:AX1006),$AM$1006:$BM$1006,0)))),"Fix")))</f>
        <v xml:space="preserve"> </v>
      </c>
      <c r="N673" s="4" t="str">
        <f ca="1">IF(OR(INDEX($AG$2:$AG$1001,MATCH(ROWS($AF$2:AF673),$AF$2:$AF$1001,0),1)&gt;=100000,INDEX($AM$1005:$BM$1005,1,MATCH(COLUMNS($AM$1006:AY1006),$AM$1006:$BM$1006,0))&gt;=100000), " ",IF(INDEX($AM$2:$BM$1001,MATCH(ROWS($AF$2:AF673),$AF$2:$AF$1001,0),MATCH(COLUMNS($AM$1006:AY1006),$AM$1006:$BM$1006,0)), HYPERLINK("#",""), HYPERLINK(CONCATENATE("#metadata!", ADDRESS(INDEX($AH$2:$AH$1001,MATCH(ROWS($AF$2:AF673),$AF$2:$AF$1001,0),0), INDEX($AM$1004:$BM$1004,1,MATCH(COLUMNS($AM$1006:AY1006),$AM$1006:$BM$1006,0)))),"Fix")))</f>
        <v xml:space="preserve"> </v>
      </c>
      <c r="O673" s="4" t="str">
        <f ca="1">IF(OR(INDEX($AG$2:$AG$1001,MATCH(ROWS($AF$2:AF673),$AF$2:$AF$1001,0),1)&gt;=100000,INDEX($AM$1005:$BM$1005,1,MATCH(COLUMNS($AM$1006:AZ1006),$AM$1006:$BM$1006,0))&gt;=100000), " ",IF(INDEX($AM$2:$BM$1001,MATCH(ROWS($AF$2:AF673),$AF$2:$AF$1001,0),MATCH(COLUMNS($AM$1006:AZ1006),$AM$1006:$BM$1006,0)), HYPERLINK("#",""), HYPERLINK(CONCATENATE("#metadata!", ADDRESS(INDEX($AH$2:$AH$1001,MATCH(ROWS($AF$2:AF673),$AF$2:$AF$1001,0),0), INDEX($AM$1004:$BM$1004,1,MATCH(COLUMNS($AM$1006:AZ1006),$AM$1006:$BM$1006,0)))),"Fix")))</f>
        <v xml:space="preserve"> </v>
      </c>
      <c r="P673" s="4" t="str">
        <f ca="1">IF(OR(INDEX($AG$2:$AG$1001,MATCH(ROWS($AF$2:AF673),$AF$2:$AF$1001,0),1)&gt;=100000,INDEX($AM$1005:$BM$1005,1,MATCH(COLUMNS($AM$1006:BA1006),$AM$1006:$BM$1006,0))&gt;=100000), " ",IF(INDEX($AM$2:$BM$1001,MATCH(ROWS($AF$2:AF673),$AF$2:$AF$1001,0),MATCH(COLUMNS($AM$1006:BA1006),$AM$1006:$BM$1006,0)), HYPERLINK("#",""), HYPERLINK(CONCATENATE("#metadata!", ADDRESS(INDEX($AH$2:$AH$1001,MATCH(ROWS($AF$2:AF673),$AF$2:$AF$1001,0),0), INDEX($AM$1004:$BM$1004,1,MATCH(COLUMNS($AM$1006:BA1006),$AM$1006:$BM$1006,0)))),"Fix")))</f>
        <v xml:space="preserve"> </v>
      </c>
      <c r="Q673" s="4" t="str">
        <f ca="1">IF(OR(INDEX($AG$2:$AG$1001,MATCH(ROWS($AF$2:AF673),$AF$2:$AF$1001,0),1)&gt;=100000,INDEX($AM$1005:$BM$1005,1,MATCH(COLUMNS($AM$1006:BB1006),$AM$1006:$BM$1006,0))&gt;=100000), " ",IF(INDEX($AM$2:$BM$1001,MATCH(ROWS($AF$2:AF673),$AF$2:$AF$1001,0),MATCH(COLUMNS($AM$1006:BB1006),$AM$1006:$BM$1006,0)), HYPERLINK("#",""), HYPERLINK(CONCATENATE("#metadata!", ADDRESS(INDEX($AH$2:$AH$1001,MATCH(ROWS($AF$2:AF673),$AF$2:$AF$1001,0),0), INDEX($AM$1004:$BM$1004,1,MATCH(COLUMNS($AM$1006:BB1006),$AM$1006:$BM$1006,0)))),"Fix")))</f>
        <v xml:space="preserve"> </v>
      </c>
      <c r="R673" s="4" t="str">
        <f ca="1">IF(OR(INDEX($AG$2:$AG$1001,MATCH(ROWS($AF$2:AF673),$AF$2:$AF$1001,0),1)&gt;=100000,INDEX($AM$1005:$BM$1005,1,MATCH(COLUMNS($AM$1006:BC1006),$AM$1006:$BM$1006,0))&gt;=100000), " ",IF(INDEX($AM$2:$BM$1001,MATCH(ROWS($AF$2:AF673),$AF$2:$AF$1001,0),MATCH(COLUMNS($AM$1006:BC1006),$AM$1006:$BM$1006,0)), HYPERLINK("#",""), HYPERLINK(CONCATENATE("#metadata!", ADDRESS(INDEX($AH$2:$AH$1001,MATCH(ROWS($AF$2:AF673),$AF$2:$AF$1001,0),0), INDEX($AM$1004:$BM$1004,1,MATCH(COLUMNS($AM$1006:BC1006),$AM$1006:$BM$1006,0)))),"Fix")))</f>
        <v xml:space="preserve"> </v>
      </c>
      <c r="S673" s="4" t="str">
        <f ca="1">IF(OR(INDEX($AG$2:$AG$1001,MATCH(ROWS($AF$2:AF673),$AF$2:$AF$1001,0),1)&gt;=100000,INDEX($AM$1005:$BM$1005,1,MATCH(COLUMNS($AM$1006:BD1006),$AM$1006:$BM$1006,0))&gt;=100000), " ",IF(INDEX($AM$2:$BM$1001,MATCH(ROWS($AF$2:AF673),$AF$2:$AF$1001,0),MATCH(COLUMNS($AM$1006:BD1006),$AM$1006:$BM$1006,0)), HYPERLINK("#",""), HYPERLINK(CONCATENATE("#metadata!", ADDRESS(INDEX($AH$2:$AH$1001,MATCH(ROWS($AF$2:AF673),$AF$2:$AF$1001,0),0), INDEX($AM$1004:$BM$1004,1,MATCH(COLUMNS($AM$1006:BD1006),$AM$1006:$BM$1006,0)))),"Fix")))</f>
        <v xml:space="preserve"> </v>
      </c>
      <c r="T673" s="4" t="str">
        <f ca="1">IF(OR(INDEX($AG$2:$AG$1001,MATCH(ROWS($AF$2:AF673),$AF$2:$AF$1001,0),1)&gt;=100000,INDEX($AM$1005:$BM$1005,1,MATCH(COLUMNS($AM$1006:BE1006),$AM$1006:$BM$1006,0))&gt;=100000), " ",IF(INDEX($AM$2:$BM$1001,MATCH(ROWS($AF$2:AF673),$AF$2:$AF$1001,0),MATCH(COLUMNS($AM$1006:BE1006),$AM$1006:$BM$1006,0)), HYPERLINK("#",""), HYPERLINK(CONCATENATE("#metadata!", ADDRESS(INDEX($AH$2:$AH$1001,MATCH(ROWS($AF$2:AF673),$AF$2:$AF$1001,0),0), INDEX($AM$1004:$BM$1004,1,MATCH(COLUMNS($AM$1006:BE1006),$AM$1006:$BM$1006,0)))),"Fix")))</f>
        <v xml:space="preserve"> </v>
      </c>
      <c r="U673" s="4" t="str">
        <f ca="1">IF(OR(INDEX($AG$2:$AG$1001,MATCH(ROWS($AF$2:AF673),$AF$2:$AF$1001,0),1)&gt;=100000,INDEX($AM$1005:$BM$1005,1,MATCH(COLUMNS($AM$1006:BF1006),$AM$1006:$BM$1006,0))&gt;=100000), " ",IF(INDEX($AM$2:$BM$1001,MATCH(ROWS($AF$2:AF673),$AF$2:$AF$1001,0),MATCH(COLUMNS($AM$1006:BF1006),$AM$1006:$BM$1006,0)), HYPERLINK("#",""), HYPERLINK(CONCATENATE("#metadata!", ADDRESS(INDEX($AH$2:$AH$1001,MATCH(ROWS($AF$2:AF673),$AF$2:$AF$1001,0),0), INDEX($AM$1004:$BM$1004,1,MATCH(COLUMNS($AM$1006:BF1006),$AM$1006:$BM$1006,0)))),"Fix")))</f>
        <v xml:space="preserve"> </v>
      </c>
      <c r="V673" s="4" t="str">
        <f ca="1">IF(OR(INDEX($AG$2:$AG$1001,MATCH(ROWS($AF$2:AF673),$AF$2:$AF$1001,0),1)&gt;=100000,INDEX($AM$1005:$BM$1005,1,MATCH(COLUMNS($AM$1006:BG1006),$AM$1006:$BM$1006,0))&gt;=100000), " ",IF(INDEX($AM$2:$BM$1001,MATCH(ROWS($AF$2:AF673),$AF$2:$AF$1001,0),MATCH(COLUMNS($AM$1006:BG1006),$AM$1006:$BM$1006,0)), HYPERLINK("#",""), HYPERLINK(CONCATENATE("#metadata!", ADDRESS(INDEX($AH$2:$AH$1001,MATCH(ROWS($AF$2:AF673),$AF$2:$AF$1001,0),0), INDEX($AM$1004:$BM$1004,1,MATCH(COLUMNS($AM$1006:BG1006),$AM$1006:$BM$1006,0)))),"Fix")))</f>
        <v xml:space="preserve"> </v>
      </c>
      <c r="W673" s="4" t="str">
        <f ca="1">IF(OR(INDEX($AG$2:$AG$1001,MATCH(ROWS($AF$2:AF673),$AF$2:$AF$1001,0),1)&gt;=100000,INDEX($AM$1005:$BM$1005,1,MATCH(COLUMNS($AM$1006:BH1006),$AM$1006:$BM$1006,0))&gt;=100000), " ",IF(INDEX($AM$2:$BM$1001,MATCH(ROWS($AF$2:AF673),$AF$2:$AF$1001,0),MATCH(COLUMNS($AM$1006:BH1006),$AM$1006:$BM$1006,0)), HYPERLINK("#",""), HYPERLINK(CONCATENATE("#metadata!", ADDRESS(INDEX($AH$2:$AH$1001,MATCH(ROWS($AF$2:AF673),$AF$2:$AF$1001,0),0), INDEX($AM$1004:$BM$1004,1,MATCH(COLUMNS($AM$1006:BH1006),$AM$1006:$BM$1006,0)))),"Fix")))</f>
        <v xml:space="preserve"> </v>
      </c>
      <c r="X673" s="4" t="str">
        <f ca="1">IF(OR(INDEX($AG$2:$AG$1001,MATCH(ROWS($AF$2:AF673),$AF$2:$AF$1001,0),1)&gt;=100000,INDEX($AM$1005:$BM$1005,1,MATCH(COLUMNS($AM$1006:BI1006),$AM$1006:$BM$1006,0))&gt;=100000), " ",IF(INDEX($AM$2:$BM$1001,MATCH(ROWS($AF$2:AF673),$AF$2:$AF$1001,0),MATCH(COLUMNS($AM$1006:BI1006),$AM$1006:$BM$1006,0)), HYPERLINK("#",""), HYPERLINK(CONCATENATE("#metadata!", ADDRESS(INDEX($AH$2:$AH$1001,MATCH(ROWS($AF$2:AF673),$AF$2:$AF$1001,0),0), INDEX($AM$1004:$BM$1004,1,MATCH(COLUMNS($AM$1006:BI1006),$AM$1006:$BM$1006,0)))),"Fix")))</f>
        <v xml:space="preserve"> </v>
      </c>
      <c r="Y673" s="4" t="str">
        <f ca="1">IF(OR(INDEX($AG$2:$AG$1001,MATCH(ROWS($AF$2:AF673),$AF$2:$AF$1001,0),1)&gt;=100000,INDEX($AM$1005:$BM$1005,1,MATCH(COLUMNS($AM$1006:BJ1006),$AM$1006:$BM$1006,0))&gt;=100000), " ",IF(INDEX($AM$2:$BM$1001,MATCH(ROWS($AF$2:AF673),$AF$2:$AF$1001,0),MATCH(COLUMNS($AM$1006:BJ1006),$AM$1006:$BM$1006,0)), HYPERLINK("#",""), HYPERLINK(CONCATENATE("#metadata!", ADDRESS(INDEX($AH$2:$AH$1001,MATCH(ROWS($AF$2:AF673),$AF$2:$AF$1001,0),0), INDEX($AM$1004:$BM$1004,1,MATCH(COLUMNS($AM$1006:BJ1006),$AM$1006:$BM$1006,0)))),"Fix")))</f>
        <v xml:space="preserve"> </v>
      </c>
      <c r="Z673" s="4" t="str">
        <f ca="1">IF(OR(INDEX($AG$2:$AG$1001,MATCH(ROWS($AF$2:AF673),$AF$2:$AF$1001,0),1)&gt;=100000,INDEX($AM$1005:$BM$1005,1,MATCH(COLUMNS($AM$1006:BK1006),$AM$1006:$BM$1006,0))&gt;=100000), " ",IF(INDEX($AM$2:$BM$1001,MATCH(ROWS($AF$2:AF673),$AF$2:$AF$1001,0),MATCH(COLUMNS($AM$1006:BK1006),$AM$1006:$BM$1006,0)), HYPERLINK("#",""), HYPERLINK(CONCATENATE("#metadata!", ADDRESS(INDEX($AH$2:$AH$1001,MATCH(ROWS($AF$2:AF673),$AF$2:$AF$1001,0),0), INDEX($AM$1004:$BM$1004,1,MATCH(COLUMNS($AM$1006:BK1006),$AM$1006:$BM$1006,0)))),"Fix")))</f>
        <v xml:space="preserve"> </v>
      </c>
      <c r="AA673" s="4" t="str">
        <f ca="1">IF(OR(INDEX($AG$2:$AG$1001,MATCH(ROWS($AF$2:AF673),$AF$2:$AF$1001,0),1)&gt;=100000,INDEX($AM$1005:$BM$1005,1,MATCH(COLUMNS($AM$1006:BL1006),$AM$1006:$BM$1006,0))&gt;=100000), " ",IF(INDEX($AM$2:$BM$1001,MATCH(ROWS($AF$2:AF673),$AF$2:$AF$1001,0),MATCH(COLUMNS($AM$1006:BL1006),$AM$1006:$BM$1006,0)), HYPERLINK("#",""), HYPERLINK(CONCATENATE("#metadata!", ADDRESS(INDEX($AH$2:$AH$1001,MATCH(ROWS($AF$2:AF673),$AF$2:$AF$1001,0),0), INDEX($AM$1004:$BM$1004,1,MATCH(COLUMNS($AM$1006:BL1006),$AM$1006:$BM$1006,0)))),"Fix")))</f>
        <v xml:space="preserve"> </v>
      </c>
      <c r="AB673" s="4" t="str">
        <f ca="1">IF(OR(INDEX($AG$2:$AG$1001,MATCH(ROWS($AF$2:AF673),$AF$2:$AF$1001,0),1)&gt;=100000,INDEX($AM$1005:$BM$1005,1,MATCH(COLUMNS($AM$1006:BM1006),$AM$1006:$BM$1006,0))&gt;=100000), " ",IF(INDEX($AM$2:$BM$1001,MATCH(ROWS($AF$2:AF673),$AF$2:$AF$1001,0),MATCH(COLUMNS($AM$1006:BM1006),$AM$1006:$BM$1006,0)), HYPERLINK("#",""), HYPERLINK(CONCATENATE("#metadata!", ADDRESS(INDEX($AH$2:$AH$1001,MATCH(ROWS($AF$2:AF673),$AF$2:$AF$1001,0),0), INDEX($AM$1004:$BM$1004,1,MATCH(COLUMNS($AM$1006:BM1006),$AM$1006:$BM$1006,0)))),"Fix")))</f>
        <v xml:space="preserve"> </v>
      </c>
      <c r="AF673">
        <v>672</v>
      </c>
      <c r="AG673">
        <v>100673</v>
      </c>
      <c r="AH673">
        <v>673</v>
      </c>
      <c r="AI673" t="b">
        <f t="shared" si="10"/>
        <v>1</v>
      </c>
      <c r="AJ673" t="b">
        <f>COUNTBLANK(metadata!B673:AB673)=COLUMNS(metadata!B673:AB673)</f>
        <v>1</v>
      </c>
      <c r="AK673" t="str">
        <v/>
      </c>
      <c r="AM673" t="b">
        <f ca="1">AND(IF(metadata!B673="",FALSE,TRUE),COUNTIF(metadata!B:B, metadata!B673) = 1,NOT(ISERROR(SUMPRODUCT(SEARCH(MID(metadata!B673,ROW(INDIRECT("1:"&amp;LEN(metadata!B673))), 1),"0123456789abcdefghijklmnopqrstuvwxyzABCDEFGHIJKLMNOPQRSTUVWXYZ.")))))</f>
        <v>0</v>
      </c>
      <c r="AN673" t="b">
        <f ca="1">OR(AND(IF(metadata!C673="",FALSE,TRUE),OR(EXACT(metadata!C673,"missing: not collected"),EXACT(metadata!C673,"missing: not provided"),EXACT(metadata!C673,"missing: restricted access"))),AND(IF(metadata!C673="",FALSE,TRUE),AND(AND(IFERROR(INT(LEFT(metadata!C673,4))&gt;1900,FALSE),IFERROR(INT(LEFT(metadata!C673,4))&lt;=YEAR(NOW()),FALSE)), OR(MID(metadata!C673,5,1)="", AND(AND(MID(metadata!C673,5,1)="-",IFERROR(INT(MID(metadata!C673,6,1))&gt;=0,FALSE),IFERROR(INT(MID(metadata!C673,6,1))&lt;=1,FALSE),NOT(MID(metadata!C673,7,1)=""),IFERROR(INT(MID(metadata!C673,6,2))&gt;=1,FALSE),IFERROR(INT(MID(metadata!C673,6,2))&lt;=12,FALSE)), OR(MID(metadata!C673,8,1)="", AND(AND(MID(metadata!C673,8,1)="-",IFERROR(INT(MID(metadata!C673,9,1))&gt;=0,FALSE),IFERROR(INT(MID(metadata!C673,9,1))&lt;=3,FALSE),NOT(MID(metadata!C673,10,1)=""),IFERROR(INT(MID(metadata!C673,9,2))&gt;=1,FALSE),IFERROR(INT(MID(metadata!C673,9,2))&lt;=31,FALSE)), OR(MID(metadata!C673,11,1)="", AND(AND(MID(metadata!C673,11,1)=" ",IFERROR(INT(MID(metadata!C673,12,1))&gt;=0,FALSE),IFERROR(INT(MID(metadata!C673,12,1))&lt;=2,FALSE),NOT(MID(metadata!C673,13,1)=""),IFERROR(INT(MID(metadata!C673,12,2))&gt;=0,FALSE),IFERROR(INT(MID(metadata!C673,12,2))&lt;=23,FALSE)), OR(MID(metadata!C673,14,1)="", AND(AND(MID(metadata!C673,14,1)=":",IFERROR(INT(MID(metadata!C673,15,1))&gt;=0,FALSE),IFERROR(INT(MID(metadata!C673,15,1))&lt;=5,FALSE),NOT(MID(metadata!C673,16,1)=""),IFERROR(INT(MID(metadata!C673,15,2))&gt;=0,FALSE),IFERROR(INT(MID(metadata!C673,15,2))&lt;=59,FALSE)), OR(MID(metadata!C673,17,1)="", AND(AND(MID(metadata!C673,17,1)=":",IFERROR(INT(MID(metadata!C673,18,1))&gt;=0,FALSE),IFERROR(INT(MID(metadata!C673,18,1))&lt;=5,FALSE),NOT(MID(metadata!C673,19,1)=""),IFERROR(INT(MID(metadata!C673,18,2))&gt;=0,FALSE),IFERROR(INT(MID(metadata!C673,18,2))&lt;=59,FALSE)), LEN(metadata!C673)&lt;=19)))))))))))))</f>
        <v>0</v>
      </c>
      <c r="AO673" t="b">
        <f>AND(IF(metadata!D673="",FALSE,TRUE),EXACT(metadata!D673,"Not applicable"))</f>
        <v>0</v>
      </c>
      <c r="AP673" t="b">
        <f>IF(metadata!E673="",FALSE,TRUE)</f>
        <v>0</v>
      </c>
      <c r="AQ673" t="b">
        <f>OR(AND(IF(metadata!F673="",FALSE,TRUE),OR(EXACT(metadata!F673,"missing: not collected"),EXACT(metadata!F673,"missing: not provided"))),AND(IF(metadata!F673="",FALSE,TRUE),OR(EXACT(metadata!F673,"TRUE"),EXACT(metadata!F673,"FALSE"))))</f>
        <v>0</v>
      </c>
      <c r="AR673" t="b">
        <f>OR(AND(IF(metadata!G673="",FALSE,TRUE),OR(EXACT(metadata!G673,"missing: not collected"),EXACT(metadata!G673,"missing: not provided"),EXACT(metadata!G673,"missing: restricted access"))),AND(IF(metadata!G673="",FALSE,ISNUMBER(VALUE(metadata!G673))),metadata!G673&gt;=-413))</f>
        <v>0</v>
      </c>
      <c r="AS673" t="b">
        <f>AND(IF(metadata!H673="",FALSE,TRUE),EXACT(metadata!H673,"meters"))</f>
        <v>0</v>
      </c>
      <c r="AT673" t="b">
        <f>AND(IF(metadata!I673="",FALSE,TRUE),OR(EXACT(metadata!I673,"Host-associated"),EXACT(metadata!I673,"Free-living")))</f>
        <v>0</v>
      </c>
      <c r="AU673" t="b">
        <f>AND(IF(metadata!J673="",FALSE,TRUE),OR(EXACT(metadata!J673,"Animal"),EXACT(metadata!J673,"Fungus"),EXACT(metadata!J673,"Plant"),EXACT(metadata!J673,"Saline"),EXACT(metadata!J673,"Non-saline")))</f>
        <v>0</v>
      </c>
      <c r="AV673" t="b">
        <f>AND(IF(metadata!K673="",FALSE,TRUE),OR(EXACT(metadata!K673,"Plant secretion"),EXACT(metadata!K673,"Plant rhizosphere"),EXACT(metadata!K673,"Plant surface"),EXACT(metadata!K673,"Plant corpus"),EXACT(metadata!K673,"Fungus surface"),EXACT(metadata!K673,"Fungus corpus"),EXACT(metadata!K673,"Animal surface"),EXACT(metadata!K673,"Animal proximal gut"),EXACT(metadata!K673,"Animal corpus"),EXACT(metadata!K673,"Animal distal gut"),EXACT(metadata!K673,"Animal secretion"),EXACT(metadata!K673,"Sub-surface (non-saline)"),EXACT(metadata!K673,"Surface (non-saline)"),EXACT(metadata!K673,"Water (non-saline)"),EXACT(metadata!K673,"Soil (non-saline)"),EXACT(metadata!K673,"Aerosol (non-saline)"),EXACT(metadata!K673,"Sediment (non-saline)"),EXACT(metadata!K673,"Surface (saline)"),EXACT(metadata!K673,"Water (saline)"),EXACT(metadata!K673,"Hypersaline (saline)"),EXACT(metadata!K673,"Aerosol (saline)"),EXACT(metadata!K673,"Sediment (saline)")))</f>
        <v>0</v>
      </c>
      <c r="AW673" t="b">
        <f>IF(metadata!L673="",FALSE,TRUE)</f>
        <v>0</v>
      </c>
      <c r="AX673" t="b">
        <f>IF(metadata!M673="",FALSE,TRUE)</f>
        <v>0</v>
      </c>
      <c r="AY673" t="b">
        <f>IF(metadata!N673="",FALSE,TRUE)</f>
        <v>0</v>
      </c>
      <c r="AZ673" t="b">
        <f>OR(AND(IF(metadata!O673="",FALSE,TRUE),OR(EXACT(metadata!O673,"missing: not collected"),EXACT(metadata!O673,"missing: not provided"),EXACT(metadata!O673,"missing: restricted access"))),AND(IF(metadata!O673="",FALSE,TRUE),OR(EXACT(metadata!O673,"air"),EXACT(metadata!O673,"built environment"),EXACT(metadata!O673,"host-associated"),EXACT(metadata!O673,"human-associated"),EXACT(metadata!O673,"human-skin"),EXACT(metadata!O673,"human-oral"),EXACT(metadata!O673,"human-gut"),EXACT(metadata!O673,"human-vaginal"),EXACT(metadata!O673,"microbial mat/biofilm"),EXACT(metadata!O673,"misc environment"),EXACT(metadata!O673,"plant-associated"),EXACT(metadata!O673,"sediment"),EXACT(metadata!O673,"soil"),EXACT(metadata!O673,"wastewater/sludge"),EXACT(metadata!O673,"water"))))</f>
        <v>0</v>
      </c>
      <c r="BA673" t="b">
        <f>IF(metadata!P673="",FALSE,TRUE)</f>
        <v>0</v>
      </c>
      <c r="BB673" t="b">
        <f>IF(metadata!Q673="",FALSE,TRUE)</f>
        <v>0</v>
      </c>
      <c r="BC673" t="b">
        <f>OR(AND(IF(metadata!R673="",FALSE,TRUE),OR(EXACT(metadata!R673,"missing: not collected"),EXACT(metadata!R673,"missing: not provided"),EXACT(metadata!R673,"missing: restricted access"))),AND(IF(metadata!R673="",FALSE,ISNUMBER(VALUE(metadata!R673))),metadata!R673&gt;=-90,metadata!R673&lt;=90))</f>
        <v>0</v>
      </c>
      <c r="BD673" t="b">
        <f>AND(IF(metadata!S673="",FALSE,TRUE),EXACT(metadata!S673,"Decimal degrees"))</f>
        <v>0</v>
      </c>
      <c r="BE673" t="b">
        <f>OR(AND(IF(metadata!T673="",FALSE,TRUE),OR(EXACT(metadata!T673,"missing: not collected"),EXACT(metadata!T673,"missing: not provided"),EXACT(metadata!T673,"missing: restricted access"))),AND(IF(metadata!T673="",FALSE,ISNUMBER(VALUE(metadata!T673))),metadata!T673&gt;=-180,metadata!T673&lt;=180))</f>
        <v>0</v>
      </c>
      <c r="BF673" t="b">
        <f>AND(IF(metadata!U673="",FALSE,TRUE),EXACT(metadata!U673,"Decimal degrees"))</f>
        <v>0</v>
      </c>
      <c r="BG673" t="b">
        <f>IF(metadata!V673="",FALSE,TRUE)</f>
        <v>0</v>
      </c>
      <c r="BH673" t="b">
        <f>OR(AND(IF(metadata!W673="",FALSE,TRUE),OR(EXACT(metadata!W673,"missing: not collected"),EXACT(metadata!W673,"missing: not provided"),EXACT(metadata!W673,"missing: restricted access"))),AND(IF(metadata!W673="",FALSE,TRUE),OR(EXACT(metadata!W673,"TRUE"),EXACT(metadata!W673,"FALSE"))))</f>
        <v>0</v>
      </c>
      <c r="BI673" t="b">
        <f>AND(IF(metadata!X673="",FALSE,TRUE),EXACT(metadata!X673,"other"))</f>
        <v>0</v>
      </c>
      <c r="BJ673" t="b">
        <f>IF(metadata!Y673="",FALSE,TRUE)</f>
        <v>0</v>
      </c>
      <c r="BK673" t="b">
        <f>OR(AND(IF(metadata!Z673="",FALSE,TRUE),OR(EXACT(metadata!Z673,"missing: not collected"),EXACT(metadata!Z673,"missing: not provided"))),AND(IF(metadata!Z673="",FALSE,IF(ISERROR(INT(metadata!Z673)),FALSE,INT(metadata!Z673)=metadata!Z673)),metadata!Z673&gt;0))</f>
        <v>0</v>
      </c>
      <c r="BL673" t="b">
        <f>AND(IF(metadata!AA673="",FALSE,TRUE),EXACT(metadata!AA673,"Not applicable"))</f>
        <v>0</v>
      </c>
      <c r="BM673" t="b">
        <f>IF(metadata!AB673="",FALSE,TRUE)</f>
        <v>0</v>
      </c>
    </row>
    <row r="674" spans="1:65" x14ac:dyDescent="0.2">
      <c r="A674" s="5" t="str">
        <f ca="1">IF(B674=" "," ",HYPERLINK(CONCATENATE("#metadata!",ADDRESS(INDEX($AH$2:$AH$1001,MATCH(ROWS($AF$2:AF674),$AF$2:$AF$1001,0),0),1)),INDEX($AK$2:$AK$1001,MATCH(ROWS($AF$2:AF674),$AF$2:$AF$1001,0),0)))</f>
        <v xml:space="preserve"> </v>
      </c>
      <c r="B674" s="4" t="str">
        <f ca="1">IF(OR(INDEX($AG$2:$AG$1001,MATCH(ROWS($AF$2:AF674),$AF$2:$AF$1001,0),1)&gt;=100000,INDEX($AM$1005:$BM$1005,1,MATCH(COLUMNS($AM$1006:AM1006),$AM$1006:$BM$1006,0))&gt;=100000), " ",IF(INDEX($AM$2:$BM$1001,MATCH(ROWS($AF$2:AF674),$AF$2:$AF$1001,0),MATCH(COLUMNS($AM$1006:AM1006),$AM$1006:$BM$1006,0)), HYPERLINK("#",""), HYPERLINK(CONCATENATE("#metadata!", ADDRESS(INDEX($AH$2:$AH$1001,MATCH(ROWS($AF$2:AF674),$AF$2:$AF$1001,0),0), INDEX($AM$1004:$BM$1004,1,MATCH(COLUMNS($AM$1006:AM1006),$AM$1006:$BM$1006,0)))),"Fix")))</f>
        <v xml:space="preserve"> </v>
      </c>
      <c r="C674" s="4" t="str">
        <f ca="1">IF(OR(INDEX($AG$2:$AG$1001,MATCH(ROWS($AF$2:AF674),$AF$2:$AF$1001,0),1)&gt;=100000,INDEX($AM$1005:$BM$1005,1,MATCH(COLUMNS($AM$1006:AN1006),$AM$1006:$BM$1006,0))&gt;=100000), " ",IF(INDEX($AM$2:$BM$1001,MATCH(ROWS($AF$2:AF674),$AF$2:$AF$1001,0),MATCH(COLUMNS($AM$1006:AN1006),$AM$1006:$BM$1006,0)), HYPERLINK("#",""), HYPERLINK(CONCATENATE("#metadata!", ADDRESS(INDEX($AH$2:$AH$1001,MATCH(ROWS($AF$2:AF674),$AF$2:$AF$1001,0),0), INDEX($AM$1004:$BM$1004,1,MATCH(COLUMNS($AM$1006:AN1006),$AM$1006:$BM$1006,0)))),"Fix")))</f>
        <v xml:space="preserve"> </v>
      </c>
      <c r="D674" s="4" t="str">
        <f ca="1">IF(OR(INDEX($AG$2:$AG$1001,MATCH(ROWS($AF$2:AF674),$AF$2:$AF$1001,0),1)&gt;=100000,INDEX($AM$1005:$BM$1005,1,MATCH(COLUMNS($AM$1006:AO1006),$AM$1006:$BM$1006,0))&gt;=100000), " ",IF(INDEX($AM$2:$BM$1001,MATCH(ROWS($AF$2:AF674),$AF$2:$AF$1001,0),MATCH(COLUMNS($AM$1006:AO1006),$AM$1006:$BM$1006,0)), HYPERLINK("#",""), HYPERLINK(CONCATENATE("#metadata!", ADDRESS(INDEX($AH$2:$AH$1001,MATCH(ROWS($AF$2:AF674),$AF$2:$AF$1001,0),0), INDEX($AM$1004:$BM$1004,1,MATCH(COLUMNS($AM$1006:AO1006),$AM$1006:$BM$1006,0)))),"Fix")))</f>
        <v xml:space="preserve"> </v>
      </c>
      <c r="E674" s="4" t="str">
        <f ca="1">IF(OR(INDEX($AG$2:$AG$1001,MATCH(ROWS($AF$2:AF674),$AF$2:$AF$1001,0),1)&gt;=100000,INDEX($AM$1005:$BM$1005,1,MATCH(COLUMNS($AM$1006:AP1006),$AM$1006:$BM$1006,0))&gt;=100000), " ",IF(INDEX($AM$2:$BM$1001,MATCH(ROWS($AF$2:AF674),$AF$2:$AF$1001,0),MATCH(COLUMNS($AM$1006:AP1006),$AM$1006:$BM$1006,0)), HYPERLINK("#",""), HYPERLINK(CONCATENATE("#metadata!", ADDRESS(INDEX($AH$2:$AH$1001,MATCH(ROWS($AF$2:AF674),$AF$2:$AF$1001,0),0), INDEX($AM$1004:$BM$1004,1,MATCH(COLUMNS($AM$1006:AP1006),$AM$1006:$BM$1006,0)))),"Fix")))</f>
        <v xml:space="preserve"> </v>
      </c>
      <c r="F674" s="4" t="str">
        <f ca="1">IF(OR(INDEX($AG$2:$AG$1001,MATCH(ROWS($AF$2:AF674),$AF$2:$AF$1001,0),1)&gt;=100000,INDEX($AM$1005:$BM$1005,1,MATCH(COLUMNS($AM$1006:AQ1006),$AM$1006:$BM$1006,0))&gt;=100000), " ",IF(INDEX($AM$2:$BM$1001,MATCH(ROWS($AF$2:AF674),$AF$2:$AF$1001,0),MATCH(COLUMNS($AM$1006:AQ1006),$AM$1006:$BM$1006,0)), HYPERLINK("#",""), HYPERLINK(CONCATENATE("#metadata!", ADDRESS(INDEX($AH$2:$AH$1001,MATCH(ROWS($AF$2:AF674),$AF$2:$AF$1001,0),0), INDEX($AM$1004:$BM$1004,1,MATCH(COLUMNS($AM$1006:AQ1006),$AM$1006:$BM$1006,0)))),"Fix")))</f>
        <v xml:space="preserve"> </v>
      </c>
      <c r="G674" s="4" t="str">
        <f ca="1">IF(OR(INDEX($AG$2:$AG$1001,MATCH(ROWS($AF$2:AF674),$AF$2:$AF$1001,0),1)&gt;=100000,INDEX($AM$1005:$BM$1005,1,MATCH(COLUMNS($AM$1006:AR1006),$AM$1006:$BM$1006,0))&gt;=100000), " ",IF(INDEX($AM$2:$BM$1001,MATCH(ROWS($AF$2:AF674),$AF$2:$AF$1001,0),MATCH(COLUMNS($AM$1006:AR1006),$AM$1006:$BM$1006,0)), HYPERLINK("#",""), HYPERLINK(CONCATENATE("#metadata!", ADDRESS(INDEX($AH$2:$AH$1001,MATCH(ROWS($AF$2:AF674),$AF$2:$AF$1001,0),0), INDEX($AM$1004:$BM$1004,1,MATCH(COLUMNS($AM$1006:AR1006),$AM$1006:$BM$1006,0)))),"Fix")))</f>
        <v xml:space="preserve"> </v>
      </c>
      <c r="H674" s="4" t="str">
        <f ca="1">IF(OR(INDEX($AG$2:$AG$1001,MATCH(ROWS($AF$2:AF674),$AF$2:$AF$1001,0),1)&gt;=100000,INDEX($AM$1005:$BM$1005,1,MATCH(COLUMNS($AM$1006:AS1006),$AM$1006:$BM$1006,0))&gt;=100000), " ",IF(INDEX($AM$2:$BM$1001,MATCH(ROWS($AF$2:AF674),$AF$2:$AF$1001,0),MATCH(COLUMNS($AM$1006:AS1006),$AM$1006:$BM$1006,0)), HYPERLINK("#",""), HYPERLINK(CONCATENATE("#metadata!", ADDRESS(INDEX($AH$2:$AH$1001,MATCH(ROWS($AF$2:AF674),$AF$2:$AF$1001,0),0), INDEX($AM$1004:$BM$1004,1,MATCH(COLUMNS($AM$1006:AS1006),$AM$1006:$BM$1006,0)))),"Fix")))</f>
        <v xml:space="preserve"> </v>
      </c>
      <c r="I674" s="4" t="str">
        <f ca="1">IF(OR(INDEX($AG$2:$AG$1001,MATCH(ROWS($AF$2:AF674),$AF$2:$AF$1001,0),1)&gt;=100000,INDEX($AM$1005:$BM$1005,1,MATCH(COLUMNS($AM$1006:AT1006),$AM$1006:$BM$1006,0))&gt;=100000), " ",IF(INDEX($AM$2:$BM$1001,MATCH(ROWS($AF$2:AF674),$AF$2:$AF$1001,0),MATCH(COLUMNS($AM$1006:AT1006),$AM$1006:$BM$1006,0)), HYPERLINK("#",""), HYPERLINK(CONCATENATE("#metadata!", ADDRESS(INDEX($AH$2:$AH$1001,MATCH(ROWS($AF$2:AF674),$AF$2:$AF$1001,0),0), INDEX($AM$1004:$BM$1004,1,MATCH(COLUMNS($AM$1006:AT1006),$AM$1006:$BM$1006,0)))),"Fix")))</f>
        <v xml:space="preserve"> </v>
      </c>
      <c r="J674" s="4" t="str">
        <f ca="1">IF(OR(INDEX($AG$2:$AG$1001,MATCH(ROWS($AF$2:AF674),$AF$2:$AF$1001,0),1)&gt;=100000,INDEX($AM$1005:$BM$1005,1,MATCH(COLUMNS($AM$1006:AU1006),$AM$1006:$BM$1006,0))&gt;=100000), " ",IF(INDEX($AM$2:$BM$1001,MATCH(ROWS($AF$2:AF674),$AF$2:$AF$1001,0),MATCH(COLUMNS($AM$1006:AU1006),$AM$1006:$BM$1006,0)), HYPERLINK("#",""), HYPERLINK(CONCATENATE("#metadata!", ADDRESS(INDEX($AH$2:$AH$1001,MATCH(ROWS($AF$2:AF674),$AF$2:$AF$1001,0),0), INDEX($AM$1004:$BM$1004,1,MATCH(COLUMNS($AM$1006:AU1006),$AM$1006:$BM$1006,0)))),"Fix")))</f>
        <v xml:space="preserve"> </v>
      </c>
      <c r="K674" s="4" t="str">
        <f ca="1">IF(OR(INDEX($AG$2:$AG$1001,MATCH(ROWS($AF$2:AF674),$AF$2:$AF$1001,0),1)&gt;=100000,INDEX($AM$1005:$BM$1005,1,MATCH(COLUMNS($AM$1006:AV1006),$AM$1006:$BM$1006,0))&gt;=100000), " ",IF(INDEX($AM$2:$BM$1001,MATCH(ROWS($AF$2:AF674),$AF$2:$AF$1001,0),MATCH(COLUMNS($AM$1006:AV1006),$AM$1006:$BM$1006,0)), HYPERLINK("#",""), HYPERLINK(CONCATENATE("#metadata!", ADDRESS(INDEX($AH$2:$AH$1001,MATCH(ROWS($AF$2:AF674),$AF$2:$AF$1001,0),0), INDEX($AM$1004:$BM$1004,1,MATCH(COLUMNS($AM$1006:AV1006),$AM$1006:$BM$1006,0)))),"Fix")))</f>
        <v xml:space="preserve"> </v>
      </c>
      <c r="L674" s="4" t="str">
        <f ca="1">IF(OR(INDEX($AG$2:$AG$1001,MATCH(ROWS($AF$2:AF674),$AF$2:$AF$1001,0),1)&gt;=100000,INDEX($AM$1005:$BM$1005,1,MATCH(COLUMNS($AM$1006:AW1006),$AM$1006:$BM$1006,0))&gt;=100000), " ",IF(INDEX($AM$2:$BM$1001,MATCH(ROWS($AF$2:AF674),$AF$2:$AF$1001,0),MATCH(COLUMNS($AM$1006:AW1006),$AM$1006:$BM$1006,0)), HYPERLINK("#",""), HYPERLINK(CONCATENATE("#metadata!", ADDRESS(INDEX($AH$2:$AH$1001,MATCH(ROWS($AF$2:AF674),$AF$2:$AF$1001,0),0), INDEX($AM$1004:$BM$1004,1,MATCH(COLUMNS($AM$1006:AW1006),$AM$1006:$BM$1006,0)))),"Fix")))</f>
        <v xml:space="preserve"> </v>
      </c>
      <c r="M674" s="4" t="str">
        <f ca="1">IF(OR(INDEX($AG$2:$AG$1001,MATCH(ROWS($AF$2:AF674),$AF$2:$AF$1001,0),1)&gt;=100000,INDEX($AM$1005:$BM$1005,1,MATCH(COLUMNS($AM$1006:AX1006),$AM$1006:$BM$1006,0))&gt;=100000), " ",IF(INDEX($AM$2:$BM$1001,MATCH(ROWS($AF$2:AF674),$AF$2:$AF$1001,0),MATCH(COLUMNS($AM$1006:AX1006),$AM$1006:$BM$1006,0)), HYPERLINK("#",""), HYPERLINK(CONCATENATE("#metadata!", ADDRESS(INDEX($AH$2:$AH$1001,MATCH(ROWS($AF$2:AF674),$AF$2:$AF$1001,0),0), INDEX($AM$1004:$BM$1004,1,MATCH(COLUMNS($AM$1006:AX1006),$AM$1006:$BM$1006,0)))),"Fix")))</f>
        <v xml:space="preserve"> </v>
      </c>
      <c r="N674" s="4" t="str">
        <f ca="1">IF(OR(INDEX($AG$2:$AG$1001,MATCH(ROWS($AF$2:AF674),$AF$2:$AF$1001,0),1)&gt;=100000,INDEX($AM$1005:$BM$1005,1,MATCH(COLUMNS($AM$1006:AY1006),$AM$1006:$BM$1006,0))&gt;=100000), " ",IF(INDEX($AM$2:$BM$1001,MATCH(ROWS($AF$2:AF674),$AF$2:$AF$1001,0),MATCH(COLUMNS($AM$1006:AY1006),$AM$1006:$BM$1006,0)), HYPERLINK("#",""), HYPERLINK(CONCATENATE("#metadata!", ADDRESS(INDEX($AH$2:$AH$1001,MATCH(ROWS($AF$2:AF674),$AF$2:$AF$1001,0),0), INDEX($AM$1004:$BM$1004,1,MATCH(COLUMNS($AM$1006:AY1006),$AM$1006:$BM$1006,0)))),"Fix")))</f>
        <v xml:space="preserve"> </v>
      </c>
      <c r="O674" s="4" t="str">
        <f ca="1">IF(OR(INDEX($AG$2:$AG$1001,MATCH(ROWS($AF$2:AF674),$AF$2:$AF$1001,0),1)&gt;=100000,INDEX($AM$1005:$BM$1005,1,MATCH(COLUMNS($AM$1006:AZ1006),$AM$1006:$BM$1006,0))&gt;=100000), " ",IF(INDEX($AM$2:$BM$1001,MATCH(ROWS($AF$2:AF674),$AF$2:$AF$1001,0),MATCH(COLUMNS($AM$1006:AZ1006),$AM$1006:$BM$1006,0)), HYPERLINK("#",""), HYPERLINK(CONCATENATE("#metadata!", ADDRESS(INDEX($AH$2:$AH$1001,MATCH(ROWS($AF$2:AF674),$AF$2:$AF$1001,0),0), INDEX($AM$1004:$BM$1004,1,MATCH(COLUMNS($AM$1006:AZ1006),$AM$1006:$BM$1006,0)))),"Fix")))</f>
        <v xml:space="preserve"> </v>
      </c>
      <c r="P674" s="4" t="str">
        <f ca="1">IF(OR(INDEX($AG$2:$AG$1001,MATCH(ROWS($AF$2:AF674),$AF$2:$AF$1001,0),1)&gt;=100000,INDEX($AM$1005:$BM$1005,1,MATCH(COLUMNS($AM$1006:BA1006),$AM$1006:$BM$1006,0))&gt;=100000), " ",IF(INDEX($AM$2:$BM$1001,MATCH(ROWS($AF$2:AF674),$AF$2:$AF$1001,0),MATCH(COLUMNS($AM$1006:BA1006),$AM$1006:$BM$1006,0)), HYPERLINK("#",""), HYPERLINK(CONCATENATE("#metadata!", ADDRESS(INDEX($AH$2:$AH$1001,MATCH(ROWS($AF$2:AF674),$AF$2:$AF$1001,0),0), INDEX($AM$1004:$BM$1004,1,MATCH(COLUMNS($AM$1006:BA1006),$AM$1006:$BM$1006,0)))),"Fix")))</f>
        <v xml:space="preserve"> </v>
      </c>
      <c r="Q674" s="4" t="str">
        <f ca="1">IF(OR(INDEX($AG$2:$AG$1001,MATCH(ROWS($AF$2:AF674),$AF$2:$AF$1001,0),1)&gt;=100000,INDEX($AM$1005:$BM$1005,1,MATCH(COLUMNS($AM$1006:BB1006),$AM$1006:$BM$1006,0))&gt;=100000), " ",IF(INDEX($AM$2:$BM$1001,MATCH(ROWS($AF$2:AF674),$AF$2:$AF$1001,0),MATCH(COLUMNS($AM$1006:BB1006),$AM$1006:$BM$1006,0)), HYPERLINK("#",""), HYPERLINK(CONCATENATE("#metadata!", ADDRESS(INDEX($AH$2:$AH$1001,MATCH(ROWS($AF$2:AF674),$AF$2:$AF$1001,0),0), INDEX($AM$1004:$BM$1004,1,MATCH(COLUMNS($AM$1006:BB1006),$AM$1006:$BM$1006,0)))),"Fix")))</f>
        <v xml:space="preserve"> </v>
      </c>
      <c r="R674" s="4" t="str">
        <f ca="1">IF(OR(INDEX($AG$2:$AG$1001,MATCH(ROWS($AF$2:AF674),$AF$2:$AF$1001,0),1)&gt;=100000,INDEX($AM$1005:$BM$1005,1,MATCH(COLUMNS($AM$1006:BC1006),$AM$1006:$BM$1006,0))&gt;=100000), " ",IF(INDEX($AM$2:$BM$1001,MATCH(ROWS($AF$2:AF674),$AF$2:$AF$1001,0),MATCH(COLUMNS($AM$1006:BC1006),$AM$1006:$BM$1006,0)), HYPERLINK("#",""), HYPERLINK(CONCATENATE("#metadata!", ADDRESS(INDEX($AH$2:$AH$1001,MATCH(ROWS($AF$2:AF674),$AF$2:$AF$1001,0),0), INDEX($AM$1004:$BM$1004,1,MATCH(COLUMNS($AM$1006:BC1006),$AM$1006:$BM$1006,0)))),"Fix")))</f>
        <v xml:space="preserve"> </v>
      </c>
      <c r="S674" s="4" t="str">
        <f ca="1">IF(OR(INDEX($AG$2:$AG$1001,MATCH(ROWS($AF$2:AF674),$AF$2:$AF$1001,0),1)&gt;=100000,INDEX($AM$1005:$BM$1005,1,MATCH(COLUMNS($AM$1006:BD1006),$AM$1006:$BM$1006,0))&gt;=100000), " ",IF(INDEX($AM$2:$BM$1001,MATCH(ROWS($AF$2:AF674),$AF$2:$AF$1001,0),MATCH(COLUMNS($AM$1006:BD1006),$AM$1006:$BM$1006,0)), HYPERLINK("#",""), HYPERLINK(CONCATENATE("#metadata!", ADDRESS(INDEX($AH$2:$AH$1001,MATCH(ROWS($AF$2:AF674),$AF$2:$AF$1001,0),0), INDEX($AM$1004:$BM$1004,1,MATCH(COLUMNS($AM$1006:BD1006),$AM$1006:$BM$1006,0)))),"Fix")))</f>
        <v xml:space="preserve"> </v>
      </c>
      <c r="T674" s="4" t="str">
        <f ca="1">IF(OR(INDEX($AG$2:$AG$1001,MATCH(ROWS($AF$2:AF674),$AF$2:$AF$1001,0),1)&gt;=100000,INDEX($AM$1005:$BM$1005,1,MATCH(COLUMNS($AM$1006:BE1006),$AM$1006:$BM$1006,0))&gt;=100000), " ",IF(INDEX($AM$2:$BM$1001,MATCH(ROWS($AF$2:AF674),$AF$2:$AF$1001,0),MATCH(COLUMNS($AM$1006:BE1006),$AM$1006:$BM$1006,0)), HYPERLINK("#",""), HYPERLINK(CONCATENATE("#metadata!", ADDRESS(INDEX($AH$2:$AH$1001,MATCH(ROWS($AF$2:AF674),$AF$2:$AF$1001,0),0), INDEX($AM$1004:$BM$1004,1,MATCH(COLUMNS($AM$1006:BE1006),$AM$1006:$BM$1006,0)))),"Fix")))</f>
        <v xml:space="preserve"> </v>
      </c>
      <c r="U674" s="4" t="str">
        <f ca="1">IF(OR(INDEX($AG$2:$AG$1001,MATCH(ROWS($AF$2:AF674),$AF$2:$AF$1001,0),1)&gt;=100000,INDEX($AM$1005:$BM$1005,1,MATCH(COLUMNS($AM$1006:BF1006),$AM$1006:$BM$1006,0))&gt;=100000), " ",IF(INDEX($AM$2:$BM$1001,MATCH(ROWS($AF$2:AF674),$AF$2:$AF$1001,0),MATCH(COLUMNS($AM$1006:BF1006),$AM$1006:$BM$1006,0)), HYPERLINK("#",""), HYPERLINK(CONCATENATE("#metadata!", ADDRESS(INDEX($AH$2:$AH$1001,MATCH(ROWS($AF$2:AF674),$AF$2:$AF$1001,0),0), INDEX($AM$1004:$BM$1004,1,MATCH(COLUMNS($AM$1006:BF1006),$AM$1006:$BM$1006,0)))),"Fix")))</f>
        <v xml:space="preserve"> </v>
      </c>
      <c r="V674" s="4" t="str">
        <f ca="1">IF(OR(INDEX($AG$2:$AG$1001,MATCH(ROWS($AF$2:AF674),$AF$2:$AF$1001,0),1)&gt;=100000,INDEX($AM$1005:$BM$1005,1,MATCH(COLUMNS($AM$1006:BG1006),$AM$1006:$BM$1006,0))&gt;=100000), " ",IF(INDEX($AM$2:$BM$1001,MATCH(ROWS($AF$2:AF674),$AF$2:$AF$1001,0),MATCH(COLUMNS($AM$1006:BG1006),$AM$1006:$BM$1006,0)), HYPERLINK("#",""), HYPERLINK(CONCATENATE("#metadata!", ADDRESS(INDEX($AH$2:$AH$1001,MATCH(ROWS($AF$2:AF674),$AF$2:$AF$1001,0),0), INDEX($AM$1004:$BM$1004,1,MATCH(COLUMNS($AM$1006:BG1006),$AM$1006:$BM$1006,0)))),"Fix")))</f>
        <v xml:space="preserve"> </v>
      </c>
      <c r="W674" s="4" t="str">
        <f ca="1">IF(OR(INDEX($AG$2:$AG$1001,MATCH(ROWS($AF$2:AF674),$AF$2:$AF$1001,0),1)&gt;=100000,INDEX($AM$1005:$BM$1005,1,MATCH(COLUMNS($AM$1006:BH1006),$AM$1006:$BM$1006,0))&gt;=100000), " ",IF(INDEX($AM$2:$BM$1001,MATCH(ROWS($AF$2:AF674),$AF$2:$AF$1001,0),MATCH(COLUMNS($AM$1006:BH1006),$AM$1006:$BM$1006,0)), HYPERLINK("#",""), HYPERLINK(CONCATENATE("#metadata!", ADDRESS(INDEX($AH$2:$AH$1001,MATCH(ROWS($AF$2:AF674),$AF$2:$AF$1001,0),0), INDEX($AM$1004:$BM$1004,1,MATCH(COLUMNS($AM$1006:BH1006),$AM$1006:$BM$1006,0)))),"Fix")))</f>
        <v xml:space="preserve"> </v>
      </c>
      <c r="X674" s="4" t="str">
        <f ca="1">IF(OR(INDEX($AG$2:$AG$1001,MATCH(ROWS($AF$2:AF674),$AF$2:$AF$1001,0),1)&gt;=100000,INDEX($AM$1005:$BM$1005,1,MATCH(COLUMNS($AM$1006:BI1006),$AM$1006:$BM$1006,0))&gt;=100000), " ",IF(INDEX($AM$2:$BM$1001,MATCH(ROWS($AF$2:AF674),$AF$2:$AF$1001,0),MATCH(COLUMNS($AM$1006:BI1006),$AM$1006:$BM$1006,0)), HYPERLINK("#",""), HYPERLINK(CONCATENATE("#metadata!", ADDRESS(INDEX($AH$2:$AH$1001,MATCH(ROWS($AF$2:AF674),$AF$2:$AF$1001,0),0), INDEX($AM$1004:$BM$1004,1,MATCH(COLUMNS($AM$1006:BI1006),$AM$1006:$BM$1006,0)))),"Fix")))</f>
        <v xml:space="preserve"> </v>
      </c>
      <c r="Y674" s="4" t="str">
        <f ca="1">IF(OR(INDEX($AG$2:$AG$1001,MATCH(ROWS($AF$2:AF674),$AF$2:$AF$1001,0),1)&gt;=100000,INDEX($AM$1005:$BM$1005,1,MATCH(COLUMNS($AM$1006:BJ1006),$AM$1006:$BM$1006,0))&gt;=100000), " ",IF(INDEX($AM$2:$BM$1001,MATCH(ROWS($AF$2:AF674),$AF$2:$AF$1001,0),MATCH(COLUMNS($AM$1006:BJ1006),$AM$1006:$BM$1006,0)), HYPERLINK("#",""), HYPERLINK(CONCATENATE("#metadata!", ADDRESS(INDEX($AH$2:$AH$1001,MATCH(ROWS($AF$2:AF674),$AF$2:$AF$1001,0),0), INDEX($AM$1004:$BM$1004,1,MATCH(COLUMNS($AM$1006:BJ1006),$AM$1006:$BM$1006,0)))),"Fix")))</f>
        <v xml:space="preserve"> </v>
      </c>
      <c r="Z674" s="4" t="str">
        <f ca="1">IF(OR(INDEX($AG$2:$AG$1001,MATCH(ROWS($AF$2:AF674),$AF$2:$AF$1001,0),1)&gt;=100000,INDEX($AM$1005:$BM$1005,1,MATCH(COLUMNS($AM$1006:BK1006),$AM$1006:$BM$1006,0))&gt;=100000), " ",IF(INDEX($AM$2:$BM$1001,MATCH(ROWS($AF$2:AF674),$AF$2:$AF$1001,0),MATCH(COLUMNS($AM$1006:BK1006),$AM$1006:$BM$1006,0)), HYPERLINK("#",""), HYPERLINK(CONCATENATE("#metadata!", ADDRESS(INDEX($AH$2:$AH$1001,MATCH(ROWS($AF$2:AF674),$AF$2:$AF$1001,0),0), INDEX($AM$1004:$BM$1004,1,MATCH(COLUMNS($AM$1006:BK1006),$AM$1006:$BM$1006,0)))),"Fix")))</f>
        <v xml:space="preserve"> </v>
      </c>
      <c r="AA674" s="4" t="str">
        <f ca="1">IF(OR(INDEX($AG$2:$AG$1001,MATCH(ROWS($AF$2:AF674),$AF$2:$AF$1001,0),1)&gt;=100000,INDEX($AM$1005:$BM$1005,1,MATCH(COLUMNS($AM$1006:BL1006),$AM$1006:$BM$1006,0))&gt;=100000), " ",IF(INDEX($AM$2:$BM$1001,MATCH(ROWS($AF$2:AF674),$AF$2:$AF$1001,0),MATCH(COLUMNS($AM$1006:BL1006),$AM$1006:$BM$1006,0)), HYPERLINK("#",""), HYPERLINK(CONCATENATE("#metadata!", ADDRESS(INDEX($AH$2:$AH$1001,MATCH(ROWS($AF$2:AF674),$AF$2:$AF$1001,0),0), INDEX($AM$1004:$BM$1004,1,MATCH(COLUMNS($AM$1006:BL1006),$AM$1006:$BM$1006,0)))),"Fix")))</f>
        <v xml:space="preserve"> </v>
      </c>
      <c r="AB674" s="4" t="str">
        <f ca="1">IF(OR(INDEX($AG$2:$AG$1001,MATCH(ROWS($AF$2:AF674),$AF$2:$AF$1001,0),1)&gt;=100000,INDEX($AM$1005:$BM$1005,1,MATCH(COLUMNS($AM$1006:BM1006),$AM$1006:$BM$1006,0))&gt;=100000), " ",IF(INDEX($AM$2:$BM$1001,MATCH(ROWS($AF$2:AF674),$AF$2:$AF$1001,0),MATCH(COLUMNS($AM$1006:BM1006),$AM$1006:$BM$1006,0)), HYPERLINK("#",""), HYPERLINK(CONCATENATE("#metadata!", ADDRESS(INDEX($AH$2:$AH$1001,MATCH(ROWS($AF$2:AF674),$AF$2:$AF$1001,0),0), INDEX($AM$1004:$BM$1004,1,MATCH(COLUMNS($AM$1006:BM1006),$AM$1006:$BM$1006,0)))),"Fix")))</f>
        <v xml:space="preserve"> </v>
      </c>
      <c r="AF674">
        <v>673</v>
      </c>
      <c r="AG674">
        <v>100674</v>
      </c>
      <c r="AH674">
        <v>674</v>
      </c>
      <c r="AI674" t="b">
        <f t="shared" si="10"/>
        <v>1</v>
      </c>
      <c r="AJ674" t="b">
        <f>COUNTBLANK(metadata!B674:AB674)=COLUMNS(metadata!B674:AB674)</f>
        <v>1</v>
      </c>
      <c r="AK674" t="str">
        <v/>
      </c>
      <c r="AM674" t="b">
        <f ca="1">AND(IF(metadata!B674="",FALSE,TRUE),COUNTIF(metadata!B:B, metadata!B674) = 1,NOT(ISERROR(SUMPRODUCT(SEARCH(MID(metadata!B674,ROW(INDIRECT("1:"&amp;LEN(metadata!B674))), 1),"0123456789abcdefghijklmnopqrstuvwxyzABCDEFGHIJKLMNOPQRSTUVWXYZ.")))))</f>
        <v>0</v>
      </c>
      <c r="AN674" t="b">
        <f ca="1">OR(AND(IF(metadata!C674="",FALSE,TRUE),OR(EXACT(metadata!C674,"missing: not collected"),EXACT(metadata!C674,"missing: not provided"),EXACT(metadata!C674,"missing: restricted access"))),AND(IF(metadata!C674="",FALSE,TRUE),AND(AND(IFERROR(INT(LEFT(metadata!C674,4))&gt;1900,FALSE),IFERROR(INT(LEFT(metadata!C674,4))&lt;=YEAR(NOW()),FALSE)), OR(MID(metadata!C674,5,1)="", AND(AND(MID(metadata!C674,5,1)="-",IFERROR(INT(MID(metadata!C674,6,1))&gt;=0,FALSE),IFERROR(INT(MID(metadata!C674,6,1))&lt;=1,FALSE),NOT(MID(metadata!C674,7,1)=""),IFERROR(INT(MID(metadata!C674,6,2))&gt;=1,FALSE),IFERROR(INT(MID(metadata!C674,6,2))&lt;=12,FALSE)), OR(MID(metadata!C674,8,1)="", AND(AND(MID(metadata!C674,8,1)="-",IFERROR(INT(MID(metadata!C674,9,1))&gt;=0,FALSE),IFERROR(INT(MID(metadata!C674,9,1))&lt;=3,FALSE),NOT(MID(metadata!C674,10,1)=""),IFERROR(INT(MID(metadata!C674,9,2))&gt;=1,FALSE),IFERROR(INT(MID(metadata!C674,9,2))&lt;=31,FALSE)), OR(MID(metadata!C674,11,1)="", AND(AND(MID(metadata!C674,11,1)=" ",IFERROR(INT(MID(metadata!C674,12,1))&gt;=0,FALSE),IFERROR(INT(MID(metadata!C674,12,1))&lt;=2,FALSE),NOT(MID(metadata!C674,13,1)=""),IFERROR(INT(MID(metadata!C674,12,2))&gt;=0,FALSE),IFERROR(INT(MID(metadata!C674,12,2))&lt;=23,FALSE)), OR(MID(metadata!C674,14,1)="", AND(AND(MID(metadata!C674,14,1)=":",IFERROR(INT(MID(metadata!C674,15,1))&gt;=0,FALSE),IFERROR(INT(MID(metadata!C674,15,1))&lt;=5,FALSE),NOT(MID(metadata!C674,16,1)=""),IFERROR(INT(MID(metadata!C674,15,2))&gt;=0,FALSE),IFERROR(INT(MID(metadata!C674,15,2))&lt;=59,FALSE)), OR(MID(metadata!C674,17,1)="", AND(AND(MID(metadata!C674,17,1)=":",IFERROR(INT(MID(metadata!C674,18,1))&gt;=0,FALSE),IFERROR(INT(MID(metadata!C674,18,1))&lt;=5,FALSE),NOT(MID(metadata!C674,19,1)=""),IFERROR(INT(MID(metadata!C674,18,2))&gt;=0,FALSE),IFERROR(INT(MID(metadata!C674,18,2))&lt;=59,FALSE)), LEN(metadata!C674)&lt;=19)))))))))))))</f>
        <v>0</v>
      </c>
      <c r="AO674" t="b">
        <f>AND(IF(metadata!D674="",FALSE,TRUE),EXACT(metadata!D674,"Not applicable"))</f>
        <v>0</v>
      </c>
      <c r="AP674" t="b">
        <f>IF(metadata!E674="",FALSE,TRUE)</f>
        <v>0</v>
      </c>
      <c r="AQ674" t="b">
        <f>OR(AND(IF(metadata!F674="",FALSE,TRUE),OR(EXACT(metadata!F674,"missing: not collected"),EXACT(metadata!F674,"missing: not provided"))),AND(IF(metadata!F674="",FALSE,TRUE),OR(EXACT(metadata!F674,"TRUE"),EXACT(metadata!F674,"FALSE"))))</f>
        <v>0</v>
      </c>
      <c r="AR674" t="b">
        <f>OR(AND(IF(metadata!G674="",FALSE,TRUE),OR(EXACT(metadata!G674,"missing: not collected"),EXACT(metadata!G674,"missing: not provided"),EXACT(metadata!G674,"missing: restricted access"))),AND(IF(metadata!G674="",FALSE,ISNUMBER(VALUE(metadata!G674))),metadata!G674&gt;=-413))</f>
        <v>0</v>
      </c>
      <c r="AS674" t="b">
        <f>AND(IF(metadata!H674="",FALSE,TRUE),EXACT(metadata!H674,"meters"))</f>
        <v>0</v>
      </c>
      <c r="AT674" t="b">
        <f>AND(IF(metadata!I674="",FALSE,TRUE),OR(EXACT(metadata!I674,"Host-associated"),EXACT(metadata!I674,"Free-living")))</f>
        <v>0</v>
      </c>
      <c r="AU674" t="b">
        <f>AND(IF(metadata!J674="",FALSE,TRUE),OR(EXACT(metadata!J674,"Animal"),EXACT(metadata!J674,"Fungus"),EXACT(metadata!J674,"Plant"),EXACT(metadata!J674,"Saline"),EXACT(metadata!J674,"Non-saline")))</f>
        <v>0</v>
      </c>
      <c r="AV674" t="b">
        <f>AND(IF(metadata!K674="",FALSE,TRUE),OR(EXACT(metadata!K674,"Plant secretion"),EXACT(metadata!K674,"Plant rhizosphere"),EXACT(metadata!K674,"Plant surface"),EXACT(metadata!K674,"Plant corpus"),EXACT(metadata!K674,"Fungus surface"),EXACT(metadata!K674,"Fungus corpus"),EXACT(metadata!K674,"Animal surface"),EXACT(metadata!K674,"Animal proximal gut"),EXACT(metadata!K674,"Animal corpus"),EXACT(metadata!K674,"Animal distal gut"),EXACT(metadata!K674,"Animal secretion"),EXACT(metadata!K674,"Sub-surface (non-saline)"),EXACT(metadata!K674,"Surface (non-saline)"),EXACT(metadata!K674,"Water (non-saline)"),EXACT(metadata!K674,"Soil (non-saline)"),EXACT(metadata!K674,"Aerosol (non-saline)"),EXACT(metadata!K674,"Sediment (non-saline)"),EXACT(metadata!K674,"Surface (saline)"),EXACT(metadata!K674,"Water (saline)"),EXACT(metadata!K674,"Hypersaline (saline)"),EXACT(metadata!K674,"Aerosol (saline)"),EXACT(metadata!K674,"Sediment (saline)")))</f>
        <v>0</v>
      </c>
      <c r="AW674" t="b">
        <f>IF(metadata!L674="",FALSE,TRUE)</f>
        <v>0</v>
      </c>
      <c r="AX674" t="b">
        <f>IF(metadata!M674="",FALSE,TRUE)</f>
        <v>0</v>
      </c>
      <c r="AY674" t="b">
        <f>IF(metadata!N674="",FALSE,TRUE)</f>
        <v>0</v>
      </c>
      <c r="AZ674" t="b">
        <f>OR(AND(IF(metadata!O674="",FALSE,TRUE),OR(EXACT(metadata!O674,"missing: not collected"),EXACT(metadata!O674,"missing: not provided"),EXACT(metadata!O674,"missing: restricted access"))),AND(IF(metadata!O674="",FALSE,TRUE),OR(EXACT(metadata!O674,"air"),EXACT(metadata!O674,"built environment"),EXACT(metadata!O674,"host-associated"),EXACT(metadata!O674,"human-associated"),EXACT(metadata!O674,"human-skin"),EXACT(metadata!O674,"human-oral"),EXACT(metadata!O674,"human-gut"),EXACT(metadata!O674,"human-vaginal"),EXACT(metadata!O674,"microbial mat/biofilm"),EXACT(metadata!O674,"misc environment"),EXACT(metadata!O674,"plant-associated"),EXACT(metadata!O674,"sediment"),EXACT(metadata!O674,"soil"),EXACT(metadata!O674,"wastewater/sludge"),EXACT(metadata!O674,"water"))))</f>
        <v>0</v>
      </c>
      <c r="BA674" t="b">
        <f>IF(metadata!P674="",FALSE,TRUE)</f>
        <v>0</v>
      </c>
      <c r="BB674" t="b">
        <f>IF(metadata!Q674="",FALSE,TRUE)</f>
        <v>0</v>
      </c>
      <c r="BC674" t="b">
        <f>OR(AND(IF(metadata!R674="",FALSE,TRUE),OR(EXACT(metadata!R674,"missing: not collected"),EXACT(metadata!R674,"missing: not provided"),EXACT(metadata!R674,"missing: restricted access"))),AND(IF(metadata!R674="",FALSE,ISNUMBER(VALUE(metadata!R674))),metadata!R674&gt;=-90,metadata!R674&lt;=90))</f>
        <v>0</v>
      </c>
      <c r="BD674" t="b">
        <f>AND(IF(metadata!S674="",FALSE,TRUE),EXACT(metadata!S674,"Decimal degrees"))</f>
        <v>0</v>
      </c>
      <c r="BE674" t="b">
        <f>OR(AND(IF(metadata!T674="",FALSE,TRUE),OR(EXACT(metadata!T674,"missing: not collected"),EXACT(metadata!T674,"missing: not provided"),EXACT(metadata!T674,"missing: restricted access"))),AND(IF(metadata!T674="",FALSE,ISNUMBER(VALUE(metadata!T674))),metadata!T674&gt;=-180,metadata!T674&lt;=180))</f>
        <v>0</v>
      </c>
      <c r="BF674" t="b">
        <f>AND(IF(metadata!U674="",FALSE,TRUE),EXACT(metadata!U674,"Decimal degrees"))</f>
        <v>0</v>
      </c>
      <c r="BG674" t="b">
        <f>IF(metadata!V674="",FALSE,TRUE)</f>
        <v>0</v>
      </c>
      <c r="BH674" t="b">
        <f>OR(AND(IF(metadata!W674="",FALSE,TRUE),OR(EXACT(metadata!W674,"missing: not collected"),EXACT(metadata!W674,"missing: not provided"),EXACT(metadata!W674,"missing: restricted access"))),AND(IF(metadata!W674="",FALSE,TRUE),OR(EXACT(metadata!W674,"TRUE"),EXACT(metadata!W674,"FALSE"))))</f>
        <v>0</v>
      </c>
      <c r="BI674" t="b">
        <f>AND(IF(metadata!X674="",FALSE,TRUE),EXACT(metadata!X674,"other"))</f>
        <v>0</v>
      </c>
      <c r="BJ674" t="b">
        <f>IF(metadata!Y674="",FALSE,TRUE)</f>
        <v>0</v>
      </c>
      <c r="BK674" t="b">
        <f>OR(AND(IF(metadata!Z674="",FALSE,TRUE),OR(EXACT(metadata!Z674,"missing: not collected"),EXACT(metadata!Z674,"missing: not provided"))),AND(IF(metadata!Z674="",FALSE,IF(ISERROR(INT(metadata!Z674)),FALSE,INT(metadata!Z674)=metadata!Z674)),metadata!Z674&gt;0))</f>
        <v>0</v>
      </c>
      <c r="BL674" t="b">
        <f>AND(IF(metadata!AA674="",FALSE,TRUE),EXACT(metadata!AA674,"Not applicable"))</f>
        <v>0</v>
      </c>
      <c r="BM674" t="b">
        <f>IF(metadata!AB674="",FALSE,TRUE)</f>
        <v>0</v>
      </c>
    </row>
    <row r="675" spans="1:65" x14ac:dyDescent="0.2">
      <c r="A675" s="5" t="str">
        <f ca="1">IF(B675=" "," ",HYPERLINK(CONCATENATE("#metadata!",ADDRESS(INDEX($AH$2:$AH$1001,MATCH(ROWS($AF$2:AF675),$AF$2:$AF$1001,0),0),1)),INDEX($AK$2:$AK$1001,MATCH(ROWS($AF$2:AF675),$AF$2:$AF$1001,0),0)))</f>
        <v xml:space="preserve"> </v>
      </c>
      <c r="B675" s="4" t="str">
        <f ca="1">IF(OR(INDEX($AG$2:$AG$1001,MATCH(ROWS($AF$2:AF675),$AF$2:$AF$1001,0),1)&gt;=100000,INDEX($AM$1005:$BM$1005,1,MATCH(COLUMNS($AM$1006:AM1006),$AM$1006:$BM$1006,0))&gt;=100000), " ",IF(INDEX($AM$2:$BM$1001,MATCH(ROWS($AF$2:AF675),$AF$2:$AF$1001,0),MATCH(COLUMNS($AM$1006:AM1006),$AM$1006:$BM$1006,0)), HYPERLINK("#",""), HYPERLINK(CONCATENATE("#metadata!", ADDRESS(INDEX($AH$2:$AH$1001,MATCH(ROWS($AF$2:AF675),$AF$2:$AF$1001,0),0), INDEX($AM$1004:$BM$1004,1,MATCH(COLUMNS($AM$1006:AM1006),$AM$1006:$BM$1006,0)))),"Fix")))</f>
        <v xml:space="preserve"> </v>
      </c>
      <c r="C675" s="4" t="str">
        <f ca="1">IF(OR(INDEX($AG$2:$AG$1001,MATCH(ROWS($AF$2:AF675),$AF$2:$AF$1001,0),1)&gt;=100000,INDEX($AM$1005:$BM$1005,1,MATCH(COLUMNS($AM$1006:AN1006),$AM$1006:$BM$1006,0))&gt;=100000), " ",IF(INDEX($AM$2:$BM$1001,MATCH(ROWS($AF$2:AF675),$AF$2:$AF$1001,0),MATCH(COLUMNS($AM$1006:AN1006),$AM$1006:$BM$1006,0)), HYPERLINK("#",""), HYPERLINK(CONCATENATE("#metadata!", ADDRESS(INDEX($AH$2:$AH$1001,MATCH(ROWS($AF$2:AF675),$AF$2:$AF$1001,0),0), INDEX($AM$1004:$BM$1004,1,MATCH(COLUMNS($AM$1006:AN1006),$AM$1006:$BM$1006,0)))),"Fix")))</f>
        <v xml:space="preserve"> </v>
      </c>
      <c r="D675" s="4" t="str">
        <f ca="1">IF(OR(INDEX($AG$2:$AG$1001,MATCH(ROWS($AF$2:AF675),$AF$2:$AF$1001,0),1)&gt;=100000,INDEX($AM$1005:$BM$1005,1,MATCH(COLUMNS($AM$1006:AO1006),$AM$1006:$BM$1006,0))&gt;=100000), " ",IF(INDEX($AM$2:$BM$1001,MATCH(ROWS($AF$2:AF675),$AF$2:$AF$1001,0),MATCH(COLUMNS($AM$1006:AO1006),$AM$1006:$BM$1006,0)), HYPERLINK("#",""), HYPERLINK(CONCATENATE("#metadata!", ADDRESS(INDEX($AH$2:$AH$1001,MATCH(ROWS($AF$2:AF675),$AF$2:$AF$1001,0),0), INDEX($AM$1004:$BM$1004,1,MATCH(COLUMNS($AM$1006:AO1006),$AM$1006:$BM$1006,0)))),"Fix")))</f>
        <v xml:space="preserve"> </v>
      </c>
      <c r="E675" s="4" t="str">
        <f ca="1">IF(OR(INDEX($AG$2:$AG$1001,MATCH(ROWS($AF$2:AF675),$AF$2:$AF$1001,0),1)&gt;=100000,INDEX($AM$1005:$BM$1005,1,MATCH(COLUMNS($AM$1006:AP1006),$AM$1006:$BM$1006,0))&gt;=100000), " ",IF(INDEX($AM$2:$BM$1001,MATCH(ROWS($AF$2:AF675),$AF$2:$AF$1001,0),MATCH(COLUMNS($AM$1006:AP1006),$AM$1006:$BM$1006,0)), HYPERLINK("#",""), HYPERLINK(CONCATENATE("#metadata!", ADDRESS(INDEX($AH$2:$AH$1001,MATCH(ROWS($AF$2:AF675),$AF$2:$AF$1001,0),0), INDEX($AM$1004:$BM$1004,1,MATCH(COLUMNS($AM$1006:AP1006),$AM$1006:$BM$1006,0)))),"Fix")))</f>
        <v xml:space="preserve"> </v>
      </c>
      <c r="F675" s="4" t="str">
        <f ca="1">IF(OR(INDEX($AG$2:$AG$1001,MATCH(ROWS($AF$2:AF675),$AF$2:$AF$1001,0),1)&gt;=100000,INDEX($AM$1005:$BM$1005,1,MATCH(COLUMNS($AM$1006:AQ1006),$AM$1006:$BM$1006,0))&gt;=100000), " ",IF(INDEX($AM$2:$BM$1001,MATCH(ROWS($AF$2:AF675),$AF$2:$AF$1001,0),MATCH(COLUMNS($AM$1006:AQ1006),$AM$1006:$BM$1006,0)), HYPERLINK("#",""), HYPERLINK(CONCATENATE("#metadata!", ADDRESS(INDEX($AH$2:$AH$1001,MATCH(ROWS($AF$2:AF675),$AF$2:$AF$1001,0),0), INDEX($AM$1004:$BM$1004,1,MATCH(COLUMNS($AM$1006:AQ1006),$AM$1006:$BM$1006,0)))),"Fix")))</f>
        <v xml:space="preserve"> </v>
      </c>
      <c r="G675" s="4" t="str">
        <f ca="1">IF(OR(INDEX($AG$2:$AG$1001,MATCH(ROWS($AF$2:AF675),$AF$2:$AF$1001,0),1)&gt;=100000,INDEX($AM$1005:$BM$1005,1,MATCH(COLUMNS($AM$1006:AR1006),$AM$1006:$BM$1006,0))&gt;=100000), " ",IF(INDEX($AM$2:$BM$1001,MATCH(ROWS($AF$2:AF675),$AF$2:$AF$1001,0),MATCH(COLUMNS($AM$1006:AR1006),$AM$1006:$BM$1006,0)), HYPERLINK("#",""), HYPERLINK(CONCATENATE("#metadata!", ADDRESS(INDEX($AH$2:$AH$1001,MATCH(ROWS($AF$2:AF675),$AF$2:$AF$1001,0),0), INDEX($AM$1004:$BM$1004,1,MATCH(COLUMNS($AM$1006:AR1006),$AM$1006:$BM$1006,0)))),"Fix")))</f>
        <v xml:space="preserve"> </v>
      </c>
      <c r="H675" s="4" t="str">
        <f ca="1">IF(OR(INDEX($AG$2:$AG$1001,MATCH(ROWS($AF$2:AF675),$AF$2:$AF$1001,0),1)&gt;=100000,INDEX($AM$1005:$BM$1005,1,MATCH(COLUMNS($AM$1006:AS1006),$AM$1006:$BM$1006,0))&gt;=100000), " ",IF(INDEX($AM$2:$BM$1001,MATCH(ROWS($AF$2:AF675),$AF$2:$AF$1001,0),MATCH(COLUMNS($AM$1006:AS1006),$AM$1006:$BM$1006,0)), HYPERLINK("#",""), HYPERLINK(CONCATENATE("#metadata!", ADDRESS(INDEX($AH$2:$AH$1001,MATCH(ROWS($AF$2:AF675),$AF$2:$AF$1001,0),0), INDEX($AM$1004:$BM$1004,1,MATCH(COLUMNS($AM$1006:AS1006),$AM$1006:$BM$1006,0)))),"Fix")))</f>
        <v xml:space="preserve"> </v>
      </c>
      <c r="I675" s="4" t="str">
        <f ca="1">IF(OR(INDEX($AG$2:$AG$1001,MATCH(ROWS($AF$2:AF675),$AF$2:$AF$1001,0),1)&gt;=100000,INDEX($AM$1005:$BM$1005,1,MATCH(COLUMNS($AM$1006:AT1006),$AM$1006:$BM$1006,0))&gt;=100000), " ",IF(INDEX($AM$2:$BM$1001,MATCH(ROWS($AF$2:AF675),$AF$2:$AF$1001,0),MATCH(COLUMNS($AM$1006:AT1006),$AM$1006:$BM$1006,0)), HYPERLINK("#",""), HYPERLINK(CONCATENATE("#metadata!", ADDRESS(INDEX($AH$2:$AH$1001,MATCH(ROWS($AF$2:AF675),$AF$2:$AF$1001,0),0), INDEX($AM$1004:$BM$1004,1,MATCH(COLUMNS($AM$1006:AT1006),$AM$1006:$BM$1006,0)))),"Fix")))</f>
        <v xml:space="preserve"> </v>
      </c>
      <c r="J675" s="4" t="str">
        <f ca="1">IF(OR(INDEX($AG$2:$AG$1001,MATCH(ROWS($AF$2:AF675),$AF$2:$AF$1001,0),1)&gt;=100000,INDEX($AM$1005:$BM$1005,1,MATCH(COLUMNS($AM$1006:AU1006),$AM$1006:$BM$1006,0))&gt;=100000), " ",IF(INDEX($AM$2:$BM$1001,MATCH(ROWS($AF$2:AF675),$AF$2:$AF$1001,0),MATCH(COLUMNS($AM$1006:AU1006),$AM$1006:$BM$1006,0)), HYPERLINK("#",""), HYPERLINK(CONCATENATE("#metadata!", ADDRESS(INDEX($AH$2:$AH$1001,MATCH(ROWS($AF$2:AF675),$AF$2:$AF$1001,0),0), INDEX($AM$1004:$BM$1004,1,MATCH(COLUMNS($AM$1006:AU1006),$AM$1006:$BM$1006,0)))),"Fix")))</f>
        <v xml:space="preserve"> </v>
      </c>
      <c r="K675" s="4" t="str">
        <f ca="1">IF(OR(INDEX($AG$2:$AG$1001,MATCH(ROWS($AF$2:AF675),$AF$2:$AF$1001,0),1)&gt;=100000,INDEX($AM$1005:$BM$1005,1,MATCH(COLUMNS($AM$1006:AV1006),$AM$1006:$BM$1006,0))&gt;=100000), " ",IF(INDEX($AM$2:$BM$1001,MATCH(ROWS($AF$2:AF675),$AF$2:$AF$1001,0),MATCH(COLUMNS($AM$1006:AV1006),$AM$1006:$BM$1006,0)), HYPERLINK("#",""), HYPERLINK(CONCATENATE("#metadata!", ADDRESS(INDEX($AH$2:$AH$1001,MATCH(ROWS($AF$2:AF675),$AF$2:$AF$1001,0),0), INDEX($AM$1004:$BM$1004,1,MATCH(COLUMNS($AM$1006:AV1006),$AM$1006:$BM$1006,0)))),"Fix")))</f>
        <v xml:space="preserve"> </v>
      </c>
      <c r="L675" s="4" t="str">
        <f ca="1">IF(OR(INDEX($AG$2:$AG$1001,MATCH(ROWS($AF$2:AF675),$AF$2:$AF$1001,0),1)&gt;=100000,INDEX($AM$1005:$BM$1005,1,MATCH(COLUMNS($AM$1006:AW1006),$AM$1006:$BM$1006,0))&gt;=100000), " ",IF(INDEX($AM$2:$BM$1001,MATCH(ROWS($AF$2:AF675),$AF$2:$AF$1001,0),MATCH(COLUMNS($AM$1006:AW1006),$AM$1006:$BM$1006,0)), HYPERLINK("#",""), HYPERLINK(CONCATENATE("#metadata!", ADDRESS(INDEX($AH$2:$AH$1001,MATCH(ROWS($AF$2:AF675),$AF$2:$AF$1001,0),0), INDEX($AM$1004:$BM$1004,1,MATCH(COLUMNS($AM$1006:AW1006),$AM$1006:$BM$1006,0)))),"Fix")))</f>
        <v xml:space="preserve"> </v>
      </c>
      <c r="M675" s="4" t="str">
        <f ca="1">IF(OR(INDEX($AG$2:$AG$1001,MATCH(ROWS($AF$2:AF675),$AF$2:$AF$1001,0),1)&gt;=100000,INDEX($AM$1005:$BM$1005,1,MATCH(COLUMNS($AM$1006:AX1006),$AM$1006:$BM$1006,0))&gt;=100000), " ",IF(INDEX($AM$2:$BM$1001,MATCH(ROWS($AF$2:AF675),$AF$2:$AF$1001,0),MATCH(COLUMNS($AM$1006:AX1006),$AM$1006:$BM$1006,0)), HYPERLINK("#",""), HYPERLINK(CONCATENATE("#metadata!", ADDRESS(INDEX($AH$2:$AH$1001,MATCH(ROWS($AF$2:AF675),$AF$2:$AF$1001,0),0), INDEX($AM$1004:$BM$1004,1,MATCH(COLUMNS($AM$1006:AX1006),$AM$1006:$BM$1006,0)))),"Fix")))</f>
        <v xml:space="preserve"> </v>
      </c>
      <c r="N675" s="4" t="str">
        <f ca="1">IF(OR(INDEX($AG$2:$AG$1001,MATCH(ROWS($AF$2:AF675),$AF$2:$AF$1001,0),1)&gt;=100000,INDEX($AM$1005:$BM$1005,1,MATCH(COLUMNS($AM$1006:AY1006),$AM$1006:$BM$1006,0))&gt;=100000), " ",IF(INDEX($AM$2:$BM$1001,MATCH(ROWS($AF$2:AF675),$AF$2:$AF$1001,0),MATCH(COLUMNS($AM$1006:AY1006),$AM$1006:$BM$1006,0)), HYPERLINK("#",""), HYPERLINK(CONCATENATE("#metadata!", ADDRESS(INDEX($AH$2:$AH$1001,MATCH(ROWS($AF$2:AF675),$AF$2:$AF$1001,0),0), INDEX($AM$1004:$BM$1004,1,MATCH(COLUMNS($AM$1006:AY1006),$AM$1006:$BM$1006,0)))),"Fix")))</f>
        <v xml:space="preserve"> </v>
      </c>
      <c r="O675" s="4" t="str">
        <f ca="1">IF(OR(INDEX($AG$2:$AG$1001,MATCH(ROWS($AF$2:AF675),$AF$2:$AF$1001,0),1)&gt;=100000,INDEX($AM$1005:$BM$1005,1,MATCH(COLUMNS($AM$1006:AZ1006),$AM$1006:$BM$1006,0))&gt;=100000), " ",IF(INDEX($AM$2:$BM$1001,MATCH(ROWS($AF$2:AF675),$AF$2:$AF$1001,0),MATCH(COLUMNS($AM$1006:AZ1006),$AM$1006:$BM$1006,0)), HYPERLINK("#",""), HYPERLINK(CONCATENATE("#metadata!", ADDRESS(INDEX($AH$2:$AH$1001,MATCH(ROWS($AF$2:AF675),$AF$2:$AF$1001,0),0), INDEX($AM$1004:$BM$1004,1,MATCH(COLUMNS($AM$1006:AZ1006),$AM$1006:$BM$1006,0)))),"Fix")))</f>
        <v xml:space="preserve"> </v>
      </c>
      <c r="P675" s="4" t="str">
        <f ca="1">IF(OR(INDEX($AG$2:$AG$1001,MATCH(ROWS($AF$2:AF675),$AF$2:$AF$1001,0),1)&gt;=100000,INDEX($AM$1005:$BM$1005,1,MATCH(COLUMNS($AM$1006:BA1006),$AM$1006:$BM$1006,0))&gt;=100000), " ",IF(INDEX($AM$2:$BM$1001,MATCH(ROWS($AF$2:AF675),$AF$2:$AF$1001,0),MATCH(COLUMNS($AM$1006:BA1006),$AM$1006:$BM$1006,0)), HYPERLINK("#",""), HYPERLINK(CONCATENATE("#metadata!", ADDRESS(INDEX($AH$2:$AH$1001,MATCH(ROWS($AF$2:AF675),$AF$2:$AF$1001,0),0), INDEX($AM$1004:$BM$1004,1,MATCH(COLUMNS($AM$1006:BA1006),$AM$1006:$BM$1006,0)))),"Fix")))</f>
        <v xml:space="preserve"> </v>
      </c>
      <c r="Q675" s="4" t="str">
        <f ca="1">IF(OR(INDEX($AG$2:$AG$1001,MATCH(ROWS($AF$2:AF675),$AF$2:$AF$1001,0),1)&gt;=100000,INDEX($AM$1005:$BM$1005,1,MATCH(COLUMNS($AM$1006:BB1006),$AM$1006:$BM$1006,0))&gt;=100000), " ",IF(INDEX($AM$2:$BM$1001,MATCH(ROWS($AF$2:AF675),$AF$2:$AF$1001,0),MATCH(COLUMNS($AM$1006:BB1006),$AM$1006:$BM$1006,0)), HYPERLINK("#",""), HYPERLINK(CONCATENATE("#metadata!", ADDRESS(INDEX($AH$2:$AH$1001,MATCH(ROWS($AF$2:AF675),$AF$2:$AF$1001,0),0), INDEX($AM$1004:$BM$1004,1,MATCH(COLUMNS($AM$1006:BB1006),$AM$1006:$BM$1006,0)))),"Fix")))</f>
        <v xml:space="preserve"> </v>
      </c>
      <c r="R675" s="4" t="str">
        <f ca="1">IF(OR(INDEX($AG$2:$AG$1001,MATCH(ROWS($AF$2:AF675),$AF$2:$AF$1001,0),1)&gt;=100000,INDEX($AM$1005:$BM$1005,1,MATCH(COLUMNS($AM$1006:BC1006),$AM$1006:$BM$1006,0))&gt;=100000), " ",IF(INDEX($AM$2:$BM$1001,MATCH(ROWS($AF$2:AF675),$AF$2:$AF$1001,0),MATCH(COLUMNS($AM$1006:BC1006),$AM$1006:$BM$1006,0)), HYPERLINK("#",""), HYPERLINK(CONCATENATE("#metadata!", ADDRESS(INDEX($AH$2:$AH$1001,MATCH(ROWS($AF$2:AF675),$AF$2:$AF$1001,0),0), INDEX($AM$1004:$BM$1004,1,MATCH(COLUMNS($AM$1006:BC1006),$AM$1006:$BM$1006,0)))),"Fix")))</f>
        <v xml:space="preserve"> </v>
      </c>
      <c r="S675" s="4" t="str">
        <f ca="1">IF(OR(INDEX($AG$2:$AG$1001,MATCH(ROWS($AF$2:AF675),$AF$2:$AF$1001,0),1)&gt;=100000,INDEX($AM$1005:$BM$1005,1,MATCH(COLUMNS($AM$1006:BD1006),$AM$1006:$BM$1006,0))&gt;=100000), " ",IF(INDEX($AM$2:$BM$1001,MATCH(ROWS($AF$2:AF675),$AF$2:$AF$1001,0),MATCH(COLUMNS($AM$1006:BD1006),$AM$1006:$BM$1006,0)), HYPERLINK("#",""), HYPERLINK(CONCATENATE("#metadata!", ADDRESS(INDEX($AH$2:$AH$1001,MATCH(ROWS($AF$2:AF675),$AF$2:$AF$1001,0),0), INDEX($AM$1004:$BM$1004,1,MATCH(COLUMNS($AM$1006:BD1006),$AM$1006:$BM$1006,0)))),"Fix")))</f>
        <v xml:space="preserve"> </v>
      </c>
      <c r="T675" s="4" t="str">
        <f ca="1">IF(OR(INDEX($AG$2:$AG$1001,MATCH(ROWS($AF$2:AF675),$AF$2:$AF$1001,0),1)&gt;=100000,INDEX($AM$1005:$BM$1005,1,MATCH(COLUMNS($AM$1006:BE1006),$AM$1006:$BM$1006,0))&gt;=100000), " ",IF(INDEX($AM$2:$BM$1001,MATCH(ROWS($AF$2:AF675),$AF$2:$AF$1001,0),MATCH(COLUMNS($AM$1006:BE1006),$AM$1006:$BM$1006,0)), HYPERLINK("#",""), HYPERLINK(CONCATENATE("#metadata!", ADDRESS(INDEX($AH$2:$AH$1001,MATCH(ROWS($AF$2:AF675),$AF$2:$AF$1001,0),0), INDEX($AM$1004:$BM$1004,1,MATCH(COLUMNS($AM$1006:BE1006),$AM$1006:$BM$1006,0)))),"Fix")))</f>
        <v xml:space="preserve"> </v>
      </c>
      <c r="U675" s="4" t="str">
        <f ca="1">IF(OR(INDEX($AG$2:$AG$1001,MATCH(ROWS($AF$2:AF675),$AF$2:$AF$1001,0),1)&gt;=100000,INDEX($AM$1005:$BM$1005,1,MATCH(COLUMNS($AM$1006:BF1006),$AM$1006:$BM$1006,0))&gt;=100000), " ",IF(INDEX($AM$2:$BM$1001,MATCH(ROWS($AF$2:AF675),$AF$2:$AF$1001,0),MATCH(COLUMNS($AM$1006:BF1006),$AM$1006:$BM$1006,0)), HYPERLINK("#",""), HYPERLINK(CONCATENATE("#metadata!", ADDRESS(INDEX($AH$2:$AH$1001,MATCH(ROWS($AF$2:AF675),$AF$2:$AF$1001,0),0), INDEX($AM$1004:$BM$1004,1,MATCH(COLUMNS($AM$1006:BF1006),$AM$1006:$BM$1006,0)))),"Fix")))</f>
        <v xml:space="preserve"> </v>
      </c>
      <c r="V675" s="4" t="str">
        <f ca="1">IF(OR(INDEX($AG$2:$AG$1001,MATCH(ROWS($AF$2:AF675),$AF$2:$AF$1001,0),1)&gt;=100000,INDEX($AM$1005:$BM$1005,1,MATCH(COLUMNS($AM$1006:BG1006),$AM$1006:$BM$1006,0))&gt;=100000), " ",IF(INDEX($AM$2:$BM$1001,MATCH(ROWS($AF$2:AF675),$AF$2:$AF$1001,0),MATCH(COLUMNS($AM$1006:BG1006),$AM$1006:$BM$1006,0)), HYPERLINK("#",""), HYPERLINK(CONCATENATE("#metadata!", ADDRESS(INDEX($AH$2:$AH$1001,MATCH(ROWS($AF$2:AF675),$AF$2:$AF$1001,0),0), INDEX($AM$1004:$BM$1004,1,MATCH(COLUMNS($AM$1006:BG1006),$AM$1006:$BM$1006,0)))),"Fix")))</f>
        <v xml:space="preserve"> </v>
      </c>
      <c r="W675" s="4" t="str">
        <f ca="1">IF(OR(INDEX($AG$2:$AG$1001,MATCH(ROWS($AF$2:AF675),$AF$2:$AF$1001,0),1)&gt;=100000,INDEX($AM$1005:$BM$1005,1,MATCH(COLUMNS($AM$1006:BH1006),$AM$1006:$BM$1006,0))&gt;=100000), " ",IF(INDEX($AM$2:$BM$1001,MATCH(ROWS($AF$2:AF675),$AF$2:$AF$1001,0),MATCH(COLUMNS($AM$1006:BH1006),$AM$1006:$BM$1006,0)), HYPERLINK("#",""), HYPERLINK(CONCATENATE("#metadata!", ADDRESS(INDEX($AH$2:$AH$1001,MATCH(ROWS($AF$2:AF675),$AF$2:$AF$1001,0),0), INDEX($AM$1004:$BM$1004,1,MATCH(COLUMNS($AM$1006:BH1006),$AM$1006:$BM$1006,0)))),"Fix")))</f>
        <v xml:space="preserve"> </v>
      </c>
      <c r="X675" s="4" t="str">
        <f ca="1">IF(OR(INDEX($AG$2:$AG$1001,MATCH(ROWS($AF$2:AF675),$AF$2:$AF$1001,0),1)&gt;=100000,INDEX($AM$1005:$BM$1005,1,MATCH(COLUMNS($AM$1006:BI1006),$AM$1006:$BM$1006,0))&gt;=100000), " ",IF(INDEX($AM$2:$BM$1001,MATCH(ROWS($AF$2:AF675),$AF$2:$AF$1001,0),MATCH(COLUMNS($AM$1006:BI1006),$AM$1006:$BM$1006,0)), HYPERLINK("#",""), HYPERLINK(CONCATENATE("#metadata!", ADDRESS(INDEX($AH$2:$AH$1001,MATCH(ROWS($AF$2:AF675),$AF$2:$AF$1001,0),0), INDEX($AM$1004:$BM$1004,1,MATCH(COLUMNS($AM$1006:BI1006),$AM$1006:$BM$1006,0)))),"Fix")))</f>
        <v xml:space="preserve"> </v>
      </c>
      <c r="Y675" s="4" t="str">
        <f ca="1">IF(OR(INDEX($AG$2:$AG$1001,MATCH(ROWS($AF$2:AF675),$AF$2:$AF$1001,0),1)&gt;=100000,INDEX($AM$1005:$BM$1005,1,MATCH(COLUMNS($AM$1006:BJ1006),$AM$1006:$BM$1006,0))&gt;=100000), " ",IF(INDEX($AM$2:$BM$1001,MATCH(ROWS($AF$2:AF675),$AF$2:$AF$1001,0),MATCH(COLUMNS($AM$1006:BJ1006),$AM$1006:$BM$1006,0)), HYPERLINK("#",""), HYPERLINK(CONCATENATE("#metadata!", ADDRESS(INDEX($AH$2:$AH$1001,MATCH(ROWS($AF$2:AF675),$AF$2:$AF$1001,0),0), INDEX($AM$1004:$BM$1004,1,MATCH(COLUMNS($AM$1006:BJ1006),$AM$1006:$BM$1006,0)))),"Fix")))</f>
        <v xml:space="preserve"> </v>
      </c>
      <c r="Z675" s="4" t="str">
        <f ca="1">IF(OR(INDEX($AG$2:$AG$1001,MATCH(ROWS($AF$2:AF675),$AF$2:$AF$1001,0),1)&gt;=100000,INDEX($AM$1005:$BM$1005,1,MATCH(COLUMNS($AM$1006:BK1006),$AM$1006:$BM$1006,0))&gt;=100000), " ",IF(INDEX($AM$2:$BM$1001,MATCH(ROWS($AF$2:AF675),$AF$2:$AF$1001,0),MATCH(COLUMNS($AM$1006:BK1006),$AM$1006:$BM$1006,0)), HYPERLINK("#",""), HYPERLINK(CONCATENATE("#metadata!", ADDRESS(INDEX($AH$2:$AH$1001,MATCH(ROWS($AF$2:AF675),$AF$2:$AF$1001,0),0), INDEX($AM$1004:$BM$1004,1,MATCH(COLUMNS($AM$1006:BK1006),$AM$1006:$BM$1006,0)))),"Fix")))</f>
        <v xml:space="preserve"> </v>
      </c>
      <c r="AA675" s="4" t="str">
        <f ca="1">IF(OR(INDEX($AG$2:$AG$1001,MATCH(ROWS($AF$2:AF675),$AF$2:$AF$1001,0),1)&gt;=100000,INDEX($AM$1005:$BM$1005,1,MATCH(COLUMNS($AM$1006:BL1006),$AM$1006:$BM$1006,0))&gt;=100000), " ",IF(INDEX($AM$2:$BM$1001,MATCH(ROWS($AF$2:AF675),$AF$2:$AF$1001,0),MATCH(COLUMNS($AM$1006:BL1006),$AM$1006:$BM$1006,0)), HYPERLINK("#",""), HYPERLINK(CONCATENATE("#metadata!", ADDRESS(INDEX($AH$2:$AH$1001,MATCH(ROWS($AF$2:AF675),$AF$2:$AF$1001,0),0), INDEX($AM$1004:$BM$1004,1,MATCH(COLUMNS($AM$1006:BL1006),$AM$1006:$BM$1006,0)))),"Fix")))</f>
        <v xml:space="preserve"> </v>
      </c>
      <c r="AB675" s="4" t="str">
        <f ca="1">IF(OR(INDEX($AG$2:$AG$1001,MATCH(ROWS($AF$2:AF675),$AF$2:$AF$1001,0),1)&gt;=100000,INDEX($AM$1005:$BM$1005,1,MATCH(COLUMNS($AM$1006:BM1006),$AM$1006:$BM$1006,0))&gt;=100000), " ",IF(INDEX($AM$2:$BM$1001,MATCH(ROWS($AF$2:AF675),$AF$2:$AF$1001,0),MATCH(COLUMNS($AM$1006:BM1006),$AM$1006:$BM$1006,0)), HYPERLINK("#",""), HYPERLINK(CONCATENATE("#metadata!", ADDRESS(INDEX($AH$2:$AH$1001,MATCH(ROWS($AF$2:AF675),$AF$2:$AF$1001,0),0), INDEX($AM$1004:$BM$1004,1,MATCH(COLUMNS($AM$1006:BM1006),$AM$1006:$BM$1006,0)))),"Fix")))</f>
        <v xml:space="preserve"> </v>
      </c>
      <c r="AF675">
        <v>674</v>
      </c>
      <c r="AG675">
        <v>100675</v>
      </c>
      <c r="AH675">
        <v>675</v>
      </c>
      <c r="AI675" t="b">
        <f t="shared" si="10"/>
        <v>1</v>
      </c>
      <c r="AJ675" t="b">
        <f>COUNTBLANK(metadata!B675:AB675)=COLUMNS(metadata!B675:AB675)</f>
        <v>1</v>
      </c>
      <c r="AK675" t="str">
        <v/>
      </c>
      <c r="AM675" t="b">
        <f ca="1">AND(IF(metadata!B675="",FALSE,TRUE),COUNTIF(metadata!B:B, metadata!B675) = 1,NOT(ISERROR(SUMPRODUCT(SEARCH(MID(metadata!B675,ROW(INDIRECT("1:"&amp;LEN(metadata!B675))), 1),"0123456789abcdefghijklmnopqrstuvwxyzABCDEFGHIJKLMNOPQRSTUVWXYZ.")))))</f>
        <v>0</v>
      </c>
      <c r="AN675" t="b">
        <f ca="1">OR(AND(IF(metadata!C675="",FALSE,TRUE),OR(EXACT(metadata!C675,"missing: not collected"),EXACT(metadata!C675,"missing: not provided"),EXACT(metadata!C675,"missing: restricted access"))),AND(IF(metadata!C675="",FALSE,TRUE),AND(AND(IFERROR(INT(LEFT(metadata!C675,4))&gt;1900,FALSE),IFERROR(INT(LEFT(metadata!C675,4))&lt;=YEAR(NOW()),FALSE)), OR(MID(metadata!C675,5,1)="", AND(AND(MID(metadata!C675,5,1)="-",IFERROR(INT(MID(metadata!C675,6,1))&gt;=0,FALSE),IFERROR(INT(MID(metadata!C675,6,1))&lt;=1,FALSE),NOT(MID(metadata!C675,7,1)=""),IFERROR(INT(MID(metadata!C675,6,2))&gt;=1,FALSE),IFERROR(INT(MID(metadata!C675,6,2))&lt;=12,FALSE)), OR(MID(metadata!C675,8,1)="", AND(AND(MID(metadata!C675,8,1)="-",IFERROR(INT(MID(metadata!C675,9,1))&gt;=0,FALSE),IFERROR(INT(MID(metadata!C675,9,1))&lt;=3,FALSE),NOT(MID(metadata!C675,10,1)=""),IFERROR(INT(MID(metadata!C675,9,2))&gt;=1,FALSE),IFERROR(INT(MID(metadata!C675,9,2))&lt;=31,FALSE)), OR(MID(metadata!C675,11,1)="", AND(AND(MID(metadata!C675,11,1)=" ",IFERROR(INT(MID(metadata!C675,12,1))&gt;=0,FALSE),IFERROR(INT(MID(metadata!C675,12,1))&lt;=2,FALSE),NOT(MID(metadata!C675,13,1)=""),IFERROR(INT(MID(metadata!C675,12,2))&gt;=0,FALSE),IFERROR(INT(MID(metadata!C675,12,2))&lt;=23,FALSE)), OR(MID(metadata!C675,14,1)="", AND(AND(MID(metadata!C675,14,1)=":",IFERROR(INT(MID(metadata!C675,15,1))&gt;=0,FALSE),IFERROR(INT(MID(metadata!C675,15,1))&lt;=5,FALSE),NOT(MID(metadata!C675,16,1)=""),IFERROR(INT(MID(metadata!C675,15,2))&gt;=0,FALSE),IFERROR(INT(MID(metadata!C675,15,2))&lt;=59,FALSE)), OR(MID(metadata!C675,17,1)="", AND(AND(MID(metadata!C675,17,1)=":",IFERROR(INT(MID(metadata!C675,18,1))&gt;=0,FALSE),IFERROR(INT(MID(metadata!C675,18,1))&lt;=5,FALSE),NOT(MID(metadata!C675,19,1)=""),IFERROR(INT(MID(metadata!C675,18,2))&gt;=0,FALSE),IFERROR(INT(MID(metadata!C675,18,2))&lt;=59,FALSE)), LEN(metadata!C675)&lt;=19)))))))))))))</f>
        <v>0</v>
      </c>
      <c r="AO675" t="b">
        <f>AND(IF(metadata!D675="",FALSE,TRUE),EXACT(metadata!D675,"Not applicable"))</f>
        <v>0</v>
      </c>
      <c r="AP675" t="b">
        <f>IF(metadata!E675="",FALSE,TRUE)</f>
        <v>0</v>
      </c>
      <c r="AQ675" t="b">
        <f>OR(AND(IF(metadata!F675="",FALSE,TRUE),OR(EXACT(metadata!F675,"missing: not collected"),EXACT(metadata!F675,"missing: not provided"))),AND(IF(metadata!F675="",FALSE,TRUE),OR(EXACT(metadata!F675,"TRUE"),EXACT(metadata!F675,"FALSE"))))</f>
        <v>0</v>
      </c>
      <c r="AR675" t="b">
        <f>OR(AND(IF(metadata!G675="",FALSE,TRUE),OR(EXACT(metadata!G675,"missing: not collected"),EXACT(metadata!G675,"missing: not provided"),EXACT(metadata!G675,"missing: restricted access"))),AND(IF(metadata!G675="",FALSE,ISNUMBER(VALUE(metadata!G675))),metadata!G675&gt;=-413))</f>
        <v>0</v>
      </c>
      <c r="AS675" t="b">
        <f>AND(IF(metadata!H675="",FALSE,TRUE),EXACT(metadata!H675,"meters"))</f>
        <v>0</v>
      </c>
      <c r="AT675" t="b">
        <f>AND(IF(metadata!I675="",FALSE,TRUE),OR(EXACT(metadata!I675,"Host-associated"),EXACT(metadata!I675,"Free-living")))</f>
        <v>0</v>
      </c>
      <c r="AU675" t="b">
        <f>AND(IF(metadata!J675="",FALSE,TRUE),OR(EXACT(metadata!J675,"Animal"),EXACT(metadata!J675,"Fungus"),EXACT(metadata!J675,"Plant"),EXACT(metadata!J675,"Saline"),EXACT(metadata!J675,"Non-saline")))</f>
        <v>0</v>
      </c>
      <c r="AV675" t="b">
        <f>AND(IF(metadata!K675="",FALSE,TRUE),OR(EXACT(metadata!K675,"Plant secretion"),EXACT(metadata!K675,"Plant rhizosphere"),EXACT(metadata!K675,"Plant surface"),EXACT(metadata!K675,"Plant corpus"),EXACT(metadata!K675,"Fungus surface"),EXACT(metadata!K675,"Fungus corpus"),EXACT(metadata!K675,"Animal surface"),EXACT(metadata!K675,"Animal proximal gut"),EXACT(metadata!K675,"Animal corpus"),EXACT(metadata!K675,"Animal distal gut"),EXACT(metadata!K675,"Animal secretion"),EXACT(metadata!K675,"Sub-surface (non-saline)"),EXACT(metadata!K675,"Surface (non-saline)"),EXACT(metadata!K675,"Water (non-saline)"),EXACT(metadata!K675,"Soil (non-saline)"),EXACT(metadata!K675,"Aerosol (non-saline)"),EXACT(metadata!K675,"Sediment (non-saline)"),EXACT(metadata!K675,"Surface (saline)"),EXACT(metadata!K675,"Water (saline)"),EXACT(metadata!K675,"Hypersaline (saline)"),EXACT(metadata!K675,"Aerosol (saline)"),EXACT(metadata!K675,"Sediment (saline)")))</f>
        <v>0</v>
      </c>
      <c r="AW675" t="b">
        <f>IF(metadata!L675="",FALSE,TRUE)</f>
        <v>0</v>
      </c>
      <c r="AX675" t="b">
        <f>IF(metadata!M675="",FALSE,TRUE)</f>
        <v>0</v>
      </c>
      <c r="AY675" t="b">
        <f>IF(metadata!N675="",FALSE,TRUE)</f>
        <v>0</v>
      </c>
      <c r="AZ675" t="b">
        <f>OR(AND(IF(metadata!O675="",FALSE,TRUE),OR(EXACT(metadata!O675,"missing: not collected"),EXACT(metadata!O675,"missing: not provided"),EXACT(metadata!O675,"missing: restricted access"))),AND(IF(metadata!O675="",FALSE,TRUE),OR(EXACT(metadata!O675,"air"),EXACT(metadata!O675,"built environment"),EXACT(metadata!O675,"host-associated"),EXACT(metadata!O675,"human-associated"),EXACT(metadata!O675,"human-skin"),EXACT(metadata!O675,"human-oral"),EXACT(metadata!O675,"human-gut"),EXACT(metadata!O675,"human-vaginal"),EXACT(metadata!O675,"microbial mat/biofilm"),EXACT(metadata!O675,"misc environment"),EXACT(metadata!O675,"plant-associated"),EXACT(metadata!O675,"sediment"),EXACT(metadata!O675,"soil"),EXACT(metadata!O675,"wastewater/sludge"),EXACT(metadata!O675,"water"))))</f>
        <v>0</v>
      </c>
      <c r="BA675" t="b">
        <f>IF(metadata!P675="",FALSE,TRUE)</f>
        <v>0</v>
      </c>
      <c r="BB675" t="b">
        <f>IF(metadata!Q675="",FALSE,TRUE)</f>
        <v>0</v>
      </c>
      <c r="BC675" t="b">
        <f>OR(AND(IF(metadata!R675="",FALSE,TRUE),OR(EXACT(metadata!R675,"missing: not collected"),EXACT(metadata!R675,"missing: not provided"),EXACT(metadata!R675,"missing: restricted access"))),AND(IF(metadata!R675="",FALSE,ISNUMBER(VALUE(metadata!R675))),metadata!R675&gt;=-90,metadata!R675&lt;=90))</f>
        <v>0</v>
      </c>
      <c r="BD675" t="b">
        <f>AND(IF(metadata!S675="",FALSE,TRUE),EXACT(metadata!S675,"Decimal degrees"))</f>
        <v>0</v>
      </c>
      <c r="BE675" t="b">
        <f>OR(AND(IF(metadata!T675="",FALSE,TRUE),OR(EXACT(metadata!T675,"missing: not collected"),EXACT(metadata!T675,"missing: not provided"),EXACT(metadata!T675,"missing: restricted access"))),AND(IF(metadata!T675="",FALSE,ISNUMBER(VALUE(metadata!T675))),metadata!T675&gt;=-180,metadata!T675&lt;=180))</f>
        <v>0</v>
      </c>
      <c r="BF675" t="b">
        <f>AND(IF(metadata!U675="",FALSE,TRUE),EXACT(metadata!U675,"Decimal degrees"))</f>
        <v>0</v>
      </c>
      <c r="BG675" t="b">
        <f>IF(metadata!V675="",FALSE,TRUE)</f>
        <v>0</v>
      </c>
      <c r="BH675" t="b">
        <f>OR(AND(IF(metadata!W675="",FALSE,TRUE),OR(EXACT(metadata!W675,"missing: not collected"),EXACT(metadata!W675,"missing: not provided"),EXACT(metadata!W675,"missing: restricted access"))),AND(IF(metadata!W675="",FALSE,TRUE),OR(EXACT(metadata!W675,"TRUE"),EXACT(metadata!W675,"FALSE"))))</f>
        <v>0</v>
      </c>
      <c r="BI675" t="b">
        <f>AND(IF(metadata!X675="",FALSE,TRUE),EXACT(metadata!X675,"other"))</f>
        <v>0</v>
      </c>
      <c r="BJ675" t="b">
        <f>IF(metadata!Y675="",FALSE,TRUE)</f>
        <v>0</v>
      </c>
      <c r="BK675" t="b">
        <f>OR(AND(IF(metadata!Z675="",FALSE,TRUE),OR(EXACT(metadata!Z675,"missing: not collected"),EXACT(metadata!Z675,"missing: not provided"))),AND(IF(metadata!Z675="",FALSE,IF(ISERROR(INT(metadata!Z675)),FALSE,INT(metadata!Z675)=metadata!Z675)),metadata!Z675&gt;0))</f>
        <v>0</v>
      </c>
      <c r="BL675" t="b">
        <f>AND(IF(metadata!AA675="",FALSE,TRUE),EXACT(metadata!AA675,"Not applicable"))</f>
        <v>0</v>
      </c>
      <c r="BM675" t="b">
        <f>IF(metadata!AB675="",FALSE,TRUE)</f>
        <v>0</v>
      </c>
    </row>
    <row r="676" spans="1:65" x14ac:dyDescent="0.2">
      <c r="A676" s="5" t="str">
        <f ca="1">IF(B676=" "," ",HYPERLINK(CONCATENATE("#metadata!",ADDRESS(INDEX($AH$2:$AH$1001,MATCH(ROWS($AF$2:AF676),$AF$2:$AF$1001,0),0),1)),INDEX($AK$2:$AK$1001,MATCH(ROWS($AF$2:AF676),$AF$2:$AF$1001,0),0)))</f>
        <v xml:space="preserve"> </v>
      </c>
      <c r="B676" s="4" t="str">
        <f ca="1">IF(OR(INDEX($AG$2:$AG$1001,MATCH(ROWS($AF$2:AF676),$AF$2:$AF$1001,0),1)&gt;=100000,INDEX($AM$1005:$BM$1005,1,MATCH(COLUMNS($AM$1006:AM1006),$AM$1006:$BM$1006,0))&gt;=100000), " ",IF(INDEX($AM$2:$BM$1001,MATCH(ROWS($AF$2:AF676),$AF$2:$AF$1001,0),MATCH(COLUMNS($AM$1006:AM1006),$AM$1006:$BM$1006,0)), HYPERLINK("#",""), HYPERLINK(CONCATENATE("#metadata!", ADDRESS(INDEX($AH$2:$AH$1001,MATCH(ROWS($AF$2:AF676),$AF$2:$AF$1001,0),0), INDEX($AM$1004:$BM$1004,1,MATCH(COLUMNS($AM$1006:AM1006),$AM$1006:$BM$1006,0)))),"Fix")))</f>
        <v xml:space="preserve"> </v>
      </c>
      <c r="C676" s="4" t="str">
        <f ca="1">IF(OR(INDEX($AG$2:$AG$1001,MATCH(ROWS($AF$2:AF676),$AF$2:$AF$1001,0),1)&gt;=100000,INDEX($AM$1005:$BM$1005,1,MATCH(COLUMNS($AM$1006:AN1006),$AM$1006:$BM$1006,0))&gt;=100000), " ",IF(INDEX($AM$2:$BM$1001,MATCH(ROWS($AF$2:AF676),$AF$2:$AF$1001,0),MATCH(COLUMNS($AM$1006:AN1006),$AM$1006:$BM$1006,0)), HYPERLINK("#",""), HYPERLINK(CONCATENATE("#metadata!", ADDRESS(INDEX($AH$2:$AH$1001,MATCH(ROWS($AF$2:AF676),$AF$2:$AF$1001,0),0), INDEX($AM$1004:$BM$1004,1,MATCH(COLUMNS($AM$1006:AN1006),$AM$1006:$BM$1006,0)))),"Fix")))</f>
        <v xml:space="preserve"> </v>
      </c>
      <c r="D676" s="4" t="str">
        <f ca="1">IF(OR(INDEX($AG$2:$AG$1001,MATCH(ROWS($AF$2:AF676),$AF$2:$AF$1001,0),1)&gt;=100000,INDEX($AM$1005:$BM$1005,1,MATCH(COLUMNS($AM$1006:AO1006),$AM$1006:$BM$1006,0))&gt;=100000), " ",IF(INDEX($AM$2:$BM$1001,MATCH(ROWS($AF$2:AF676),$AF$2:$AF$1001,0),MATCH(COLUMNS($AM$1006:AO1006),$AM$1006:$BM$1006,0)), HYPERLINK("#",""), HYPERLINK(CONCATENATE("#metadata!", ADDRESS(INDEX($AH$2:$AH$1001,MATCH(ROWS($AF$2:AF676),$AF$2:$AF$1001,0),0), INDEX($AM$1004:$BM$1004,1,MATCH(COLUMNS($AM$1006:AO1006),$AM$1006:$BM$1006,0)))),"Fix")))</f>
        <v xml:space="preserve"> </v>
      </c>
      <c r="E676" s="4" t="str">
        <f ca="1">IF(OR(INDEX($AG$2:$AG$1001,MATCH(ROWS($AF$2:AF676),$AF$2:$AF$1001,0),1)&gt;=100000,INDEX($AM$1005:$BM$1005,1,MATCH(COLUMNS($AM$1006:AP1006),$AM$1006:$BM$1006,0))&gt;=100000), " ",IF(INDEX($AM$2:$BM$1001,MATCH(ROWS($AF$2:AF676),$AF$2:$AF$1001,0),MATCH(COLUMNS($AM$1006:AP1006),$AM$1006:$BM$1006,0)), HYPERLINK("#",""), HYPERLINK(CONCATENATE("#metadata!", ADDRESS(INDEX($AH$2:$AH$1001,MATCH(ROWS($AF$2:AF676),$AF$2:$AF$1001,0),0), INDEX($AM$1004:$BM$1004,1,MATCH(COLUMNS($AM$1006:AP1006),$AM$1006:$BM$1006,0)))),"Fix")))</f>
        <v xml:space="preserve"> </v>
      </c>
      <c r="F676" s="4" t="str">
        <f ca="1">IF(OR(INDEX($AG$2:$AG$1001,MATCH(ROWS($AF$2:AF676),$AF$2:$AF$1001,0),1)&gt;=100000,INDEX($AM$1005:$BM$1005,1,MATCH(COLUMNS($AM$1006:AQ1006),$AM$1006:$BM$1006,0))&gt;=100000), " ",IF(INDEX($AM$2:$BM$1001,MATCH(ROWS($AF$2:AF676),$AF$2:$AF$1001,0),MATCH(COLUMNS($AM$1006:AQ1006),$AM$1006:$BM$1006,0)), HYPERLINK("#",""), HYPERLINK(CONCATENATE("#metadata!", ADDRESS(INDEX($AH$2:$AH$1001,MATCH(ROWS($AF$2:AF676),$AF$2:$AF$1001,0),0), INDEX($AM$1004:$BM$1004,1,MATCH(COLUMNS($AM$1006:AQ1006),$AM$1006:$BM$1006,0)))),"Fix")))</f>
        <v xml:space="preserve"> </v>
      </c>
      <c r="G676" s="4" t="str">
        <f ca="1">IF(OR(INDEX($AG$2:$AG$1001,MATCH(ROWS($AF$2:AF676),$AF$2:$AF$1001,0),1)&gt;=100000,INDEX($AM$1005:$BM$1005,1,MATCH(COLUMNS($AM$1006:AR1006),$AM$1006:$BM$1006,0))&gt;=100000), " ",IF(INDEX($AM$2:$BM$1001,MATCH(ROWS($AF$2:AF676),$AF$2:$AF$1001,0),MATCH(COLUMNS($AM$1006:AR1006),$AM$1006:$BM$1006,0)), HYPERLINK("#",""), HYPERLINK(CONCATENATE("#metadata!", ADDRESS(INDEX($AH$2:$AH$1001,MATCH(ROWS($AF$2:AF676),$AF$2:$AF$1001,0),0), INDEX($AM$1004:$BM$1004,1,MATCH(COLUMNS($AM$1006:AR1006),$AM$1006:$BM$1006,0)))),"Fix")))</f>
        <v xml:space="preserve"> </v>
      </c>
      <c r="H676" s="4" t="str">
        <f ca="1">IF(OR(INDEX($AG$2:$AG$1001,MATCH(ROWS($AF$2:AF676),$AF$2:$AF$1001,0),1)&gt;=100000,INDEX($AM$1005:$BM$1005,1,MATCH(COLUMNS($AM$1006:AS1006),$AM$1006:$BM$1006,0))&gt;=100000), " ",IF(INDEX($AM$2:$BM$1001,MATCH(ROWS($AF$2:AF676),$AF$2:$AF$1001,0),MATCH(COLUMNS($AM$1006:AS1006),$AM$1006:$BM$1006,0)), HYPERLINK("#",""), HYPERLINK(CONCATENATE("#metadata!", ADDRESS(INDEX($AH$2:$AH$1001,MATCH(ROWS($AF$2:AF676),$AF$2:$AF$1001,0),0), INDEX($AM$1004:$BM$1004,1,MATCH(COLUMNS($AM$1006:AS1006),$AM$1006:$BM$1006,0)))),"Fix")))</f>
        <v xml:space="preserve"> </v>
      </c>
      <c r="I676" s="4" t="str">
        <f ca="1">IF(OR(INDEX($AG$2:$AG$1001,MATCH(ROWS($AF$2:AF676),$AF$2:$AF$1001,0),1)&gt;=100000,INDEX($AM$1005:$BM$1005,1,MATCH(COLUMNS($AM$1006:AT1006),$AM$1006:$BM$1006,0))&gt;=100000), " ",IF(INDEX($AM$2:$BM$1001,MATCH(ROWS($AF$2:AF676),$AF$2:$AF$1001,0),MATCH(COLUMNS($AM$1006:AT1006),$AM$1006:$BM$1006,0)), HYPERLINK("#",""), HYPERLINK(CONCATENATE("#metadata!", ADDRESS(INDEX($AH$2:$AH$1001,MATCH(ROWS($AF$2:AF676),$AF$2:$AF$1001,0),0), INDEX($AM$1004:$BM$1004,1,MATCH(COLUMNS($AM$1006:AT1006),$AM$1006:$BM$1006,0)))),"Fix")))</f>
        <v xml:space="preserve"> </v>
      </c>
      <c r="J676" s="4" t="str">
        <f ca="1">IF(OR(INDEX($AG$2:$AG$1001,MATCH(ROWS($AF$2:AF676),$AF$2:$AF$1001,0),1)&gt;=100000,INDEX($AM$1005:$BM$1005,1,MATCH(COLUMNS($AM$1006:AU1006),$AM$1006:$BM$1006,0))&gt;=100000), " ",IF(INDEX($AM$2:$BM$1001,MATCH(ROWS($AF$2:AF676),$AF$2:$AF$1001,0),MATCH(COLUMNS($AM$1006:AU1006),$AM$1006:$BM$1006,0)), HYPERLINK("#",""), HYPERLINK(CONCATENATE("#metadata!", ADDRESS(INDEX($AH$2:$AH$1001,MATCH(ROWS($AF$2:AF676),$AF$2:$AF$1001,0),0), INDEX($AM$1004:$BM$1004,1,MATCH(COLUMNS($AM$1006:AU1006),$AM$1006:$BM$1006,0)))),"Fix")))</f>
        <v xml:space="preserve"> </v>
      </c>
      <c r="K676" s="4" t="str">
        <f ca="1">IF(OR(INDEX($AG$2:$AG$1001,MATCH(ROWS($AF$2:AF676),$AF$2:$AF$1001,0),1)&gt;=100000,INDEX($AM$1005:$BM$1005,1,MATCH(COLUMNS($AM$1006:AV1006),$AM$1006:$BM$1006,0))&gt;=100000), " ",IF(INDEX($AM$2:$BM$1001,MATCH(ROWS($AF$2:AF676),$AF$2:$AF$1001,0),MATCH(COLUMNS($AM$1006:AV1006),$AM$1006:$BM$1006,0)), HYPERLINK("#",""), HYPERLINK(CONCATENATE("#metadata!", ADDRESS(INDEX($AH$2:$AH$1001,MATCH(ROWS($AF$2:AF676),$AF$2:$AF$1001,0),0), INDEX($AM$1004:$BM$1004,1,MATCH(COLUMNS($AM$1006:AV1006),$AM$1006:$BM$1006,0)))),"Fix")))</f>
        <v xml:space="preserve"> </v>
      </c>
      <c r="L676" s="4" t="str">
        <f ca="1">IF(OR(INDEX($AG$2:$AG$1001,MATCH(ROWS($AF$2:AF676),$AF$2:$AF$1001,0),1)&gt;=100000,INDEX($AM$1005:$BM$1005,1,MATCH(COLUMNS($AM$1006:AW1006),$AM$1006:$BM$1006,0))&gt;=100000), " ",IF(INDEX($AM$2:$BM$1001,MATCH(ROWS($AF$2:AF676),$AF$2:$AF$1001,0),MATCH(COLUMNS($AM$1006:AW1006),$AM$1006:$BM$1006,0)), HYPERLINK("#",""), HYPERLINK(CONCATENATE("#metadata!", ADDRESS(INDEX($AH$2:$AH$1001,MATCH(ROWS($AF$2:AF676),$AF$2:$AF$1001,0),0), INDEX($AM$1004:$BM$1004,1,MATCH(COLUMNS($AM$1006:AW1006),$AM$1006:$BM$1006,0)))),"Fix")))</f>
        <v xml:space="preserve"> </v>
      </c>
      <c r="M676" s="4" t="str">
        <f ca="1">IF(OR(INDEX($AG$2:$AG$1001,MATCH(ROWS($AF$2:AF676),$AF$2:$AF$1001,0),1)&gt;=100000,INDEX($AM$1005:$BM$1005,1,MATCH(COLUMNS($AM$1006:AX1006),$AM$1006:$BM$1006,0))&gt;=100000), " ",IF(INDEX($AM$2:$BM$1001,MATCH(ROWS($AF$2:AF676),$AF$2:$AF$1001,0),MATCH(COLUMNS($AM$1006:AX1006),$AM$1006:$BM$1006,0)), HYPERLINK("#",""), HYPERLINK(CONCATENATE("#metadata!", ADDRESS(INDEX($AH$2:$AH$1001,MATCH(ROWS($AF$2:AF676),$AF$2:$AF$1001,0),0), INDEX($AM$1004:$BM$1004,1,MATCH(COLUMNS($AM$1006:AX1006),$AM$1006:$BM$1006,0)))),"Fix")))</f>
        <v xml:space="preserve"> </v>
      </c>
      <c r="N676" s="4" t="str">
        <f ca="1">IF(OR(INDEX($AG$2:$AG$1001,MATCH(ROWS($AF$2:AF676),$AF$2:$AF$1001,0),1)&gt;=100000,INDEX($AM$1005:$BM$1005,1,MATCH(COLUMNS($AM$1006:AY1006),$AM$1006:$BM$1006,0))&gt;=100000), " ",IF(INDEX($AM$2:$BM$1001,MATCH(ROWS($AF$2:AF676),$AF$2:$AF$1001,0),MATCH(COLUMNS($AM$1006:AY1006),$AM$1006:$BM$1006,0)), HYPERLINK("#",""), HYPERLINK(CONCATENATE("#metadata!", ADDRESS(INDEX($AH$2:$AH$1001,MATCH(ROWS($AF$2:AF676),$AF$2:$AF$1001,0),0), INDEX($AM$1004:$BM$1004,1,MATCH(COLUMNS($AM$1006:AY1006),$AM$1006:$BM$1006,0)))),"Fix")))</f>
        <v xml:space="preserve"> </v>
      </c>
      <c r="O676" s="4" t="str">
        <f ca="1">IF(OR(INDEX($AG$2:$AG$1001,MATCH(ROWS($AF$2:AF676),$AF$2:$AF$1001,0),1)&gt;=100000,INDEX($AM$1005:$BM$1005,1,MATCH(COLUMNS($AM$1006:AZ1006),$AM$1006:$BM$1006,0))&gt;=100000), " ",IF(INDEX($AM$2:$BM$1001,MATCH(ROWS($AF$2:AF676),$AF$2:$AF$1001,0),MATCH(COLUMNS($AM$1006:AZ1006),$AM$1006:$BM$1006,0)), HYPERLINK("#",""), HYPERLINK(CONCATENATE("#metadata!", ADDRESS(INDEX($AH$2:$AH$1001,MATCH(ROWS($AF$2:AF676),$AF$2:$AF$1001,0),0), INDEX($AM$1004:$BM$1004,1,MATCH(COLUMNS($AM$1006:AZ1006),$AM$1006:$BM$1006,0)))),"Fix")))</f>
        <v xml:space="preserve"> </v>
      </c>
      <c r="P676" s="4" t="str">
        <f ca="1">IF(OR(INDEX($AG$2:$AG$1001,MATCH(ROWS($AF$2:AF676),$AF$2:$AF$1001,0),1)&gt;=100000,INDEX($AM$1005:$BM$1005,1,MATCH(COLUMNS($AM$1006:BA1006),$AM$1006:$BM$1006,0))&gt;=100000), " ",IF(INDEX($AM$2:$BM$1001,MATCH(ROWS($AF$2:AF676),$AF$2:$AF$1001,0),MATCH(COLUMNS($AM$1006:BA1006),$AM$1006:$BM$1006,0)), HYPERLINK("#",""), HYPERLINK(CONCATENATE("#metadata!", ADDRESS(INDEX($AH$2:$AH$1001,MATCH(ROWS($AF$2:AF676),$AF$2:$AF$1001,0),0), INDEX($AM$1004:$BM$1004,1,MATCH(COLUMNS($AM$1006:BA1006),$AM$1006:$BM$1006,0)))),"Fix")))</f>
        <v xml:space="preserve"> </v>
      </c>
      <c r="Q676" s="4" t="str">
        <f ca="1">IF(OR(INDEX($AG$2:$AG$1001,MATCH(ROWS($AF$2:AF676),$AF$2:$AF$1001,0),1)&gt;=100000,INDEX($AM$1005:$BM$1005,1,MATCH(COLUMNS($AM$1006:BB1006),$AM$1006:$BM$1006,0))&gt;=100000), " ",IF(INDEX($AM$2:$BM$1001,MATCH(ROWS($AF$2:AF676),$AF$2:$AF$1001,0),MATCH(COLUMNS($AM$1006:BB1006),$AM$1006:$BM$1006,0)), HYPERLINK("#",""), HYPERLINK(CONCATENATE("#metadata!", ADDRESS(INDEX($AH$2:$AH$1001,MATCH(ROWS($AF$2:AF676),$AF$2:$AF$1001,0),0), INDEX($AM$1004:$BM$1004,1,MATCH(COLUMNS($AM$1006:BB1006),$AM$1006:$BM$1006,0)))),"Fix")))</f>
        <v xml:space="preserve"> </v>
      </c>
      <c r="R676" s="4" t="str">
        <f ca="1">IF(OR(INDEX($AG$2:$AG$1001,MATCH(ROWS($AF$2:AF676),$AF$2:$AF$1001,0),1)&gt;=100000,INDEX($AM$1005:$BM$1005,1,MATCH(COLUMNS($AM$1006:BC1006),$AM$1006:$BM$1006,0))&gt;=100000), " ",IF(INDEX($AM$2:$BM$1001,MATCH(ROWS($AF$2:AF676),$AF$2:$AF$1001,0),MATCH(COLUMNS($AM$1006:BC1006),$AM$1006:$BM$1006,0)), HYPERLINK("#",""), HYPERLINK(CONCATENATE("#metadata!", ADDRESS(INDEX($AH$2:$AH$1001,MATCH(ROWS($AF$2:AF676),$AF$2:$AF$1001,0),0), INDEX($AM$1004:$BM$1004,1,MATCH(COLUMNS($AM$1006:BC1006),$AM$1006:$BM$1006,0)))),"Fix")))</f>
        <v xml:space="preserve"> </v>
      </c>
      <c r="S676" s="4" t="str">
        <f ca="1">IF(OR(INDEX($AG$2:$AG$1001,MATCH(ROWS($AF$2:AF676),$AF$2:$AF$1001,0),1)&gt;=100000,INDEX($AM$1005:$BM$1005,1,MATCH(COLUMNS($AM$1006:BD1006),$AM$1006:$BM$1006,0))&gt;=100000), " ",IF(INDEX($AM$2:$BM$1001,MATCH(ROWS($AF$2:AF676),$AF$2:$AF$1001,0),MATCH(COLUMNS($AM$1006:BD1006),$AM$1006:$BM$1006,0)), HYPERLINK("#",""), HYPERLINK(CONCATENATE("#metadata!", ADDRESS(INDEX($AH$2:$AH$1001,MATCH(ROWS($AF$2:AF676),$AF$2:$AF$1001,0),0), INDEX($AM$1004:$BM$1004,1,MATCH(COLUMNS($AM$1006:BD1006),$AM$1006:$BM$1006,0)))),"Fix")))</f>
        <v xml:space="preserve"> </v>
      </c>
      <c r="T676" s="4" t="str">
        <f ca="1">IF(OR(INDEX($AG$2:$AG$1001,MATCH(ROWS($AF$2:AF676),$AF$2:$AF$1001,0),1)&gt;=100000,INDEX($AM$1005:$BM$1005,1,MATCH(COLUMNS($AM$1006:BE1006),$AM$1006:$BM$1006,0))&gt;=100000), " ",IF(INDEX($AM$2:$BM$1001,MATCH(ROWS($AF$2:AF676),$AF$2:$AF$1001,0),MATCH(COLUMNS($AM$1006:BE1006),$AM$1006:$BM$1006,0)), HYPERLINK("#",""), HYPERLINK(CONCATENATE("#metadata!", ADDRESS(INDEX($AH$2:$AH$1001,MATCH(ROWS($AF$2:AF676),$AF$2:$AF$1001,0),0), INDEX($AM$1004:$BM$1004,1,MATCH(COLUMNS($AM$1006:BE1006),$AM$1006:$BM$1006,0)))),"Fix")))</f>
        <v xml:space="preserve"> </v>
      </c>
      <c r="U676" s="4" t="str">
        <f ca="1">IF(OR(INDEX($AG$2:$AG$1001,MATCH(ROWS($AF$2:AF676),$AF$2:$AF$1001,0),1)&gt;=100000,INDEX($AM$1005:$BM$1005,1,MATCH(COLUMNS($AM$1006:BF1006),$AM$1006:$BM$1006,0))&gt;=100000), " ",IF(INDEX($AM$2:$BM$1001,MATCH(ROWS($AF$2:AF676),$AF$2:$AF$1001,0),MATCH(COLUMNS($AM$1006:BF1006),$AM$1006:$BM$1006,0)), HYPERLINK("#",""), HYPERLINK(CONCATENATE("#metadata!", ADDRESS(INDEX($AH$2:$AH$1001,MATCH(ROWS($AF$2:AF676),$AF$2:$AF$1001,0),0), INDEX($AM$1004:$BM$1004,1,MATCH(COLUMNS($AM$1006:BF1006),$AM$1006:$BM$1006,0)))),"Fix")))</f>
        <v xml:space="preserve"> </v>
      </c>
      <c r="V676" s="4" t="str">
        <f ca="1">IF(OR(INDEX($AG$2:$AG$1001,MATCH(ROWS($AF$2:AF676),$AF$2:$AF$1001,0),1)&gt;=100000,INDEX($AM$1005:$BM$1005,1,MATCH(COLUMNS($AM$1006:BG1006),$AM$1006:$BM$1006,0))&gt;=100000), " ",IF(INDEX($AM$2:$BM$1001,MATCH(ROWS($AF$2:AF676),$AF$2:$AF$1001,0),MATCH(COLUMNS($AM$1006:BG1006),$AM$1006:$BM$1006,0)), HYPERLINK("#",""), HYPERLINK(CONCATENATE("#metadata!", ADDRESS(INDEX($AH$2:$AH$1001,MATCH(ROWS($AF$2:AF676),$AF$2:$AF$1001,0),0), INDEX($AM$1004:$BM$1004,1,MATCH(COLUMNS($AM$1006:BG1006),$AM$1006:$BM$1006,0)))),"Fix")))</f>
        <v xml:space="preserve"> </v>
      </c>
      <c r="W676" s="4" t="str">
        <f ca="1">IF(OR(INDEX($AG$2:$AG$1001,MATCH(ROWS($AF$2:AF676),$AF$2:$AF$1001,0),1)&gt;=100000,INDEX($AM$1005:$BM$1005,1,MATCH(COLUMNS($AM$1006:BH1006),$AM$1006:$BM$1006,0))&gt;=100000), " ",IF(INDEX($AM$2:$BM$1001,MATCH(ROWS($AF$2:AF676),$AF$2:$AF$1001,0),MATCH(COLUMNS($AM$1006:BH1006),$AM$1006:$BM$1006,0)), HYPERLINK("#",""), HYPERLINK(CONCATENATE("#metadata!", ADDRESS(INDEX($AH$2:$AH$1001,MATCH(ROWS($AF$2:AF676),$AF$2:$AF$1001,0),0), INDEX($AM$1004:$BM$1004,1,MATCH(COLUMNS($AM$1006:BH1006),$AM$1006:$BM$1006,0)))),"Fix")))</f>
        <v xml:space="preserve"> </v>
      </c>
      <c r="X676" s="4" t="str">
        <f ca="1">IF(OR(INDEX($AG$2:$AG$1001,MATCH(ROWS($AF$2:AF676),$AF$2:$AF$1001,0),1)&gt;=100000,INDEX($AM$1005:$BM$1005,1,MATCH(COLUMNS($AM$1006:BI1006),$AM$1006:$BM$1006,0))&gt;=100000), " ",IF(INDEX($AM$2:$BM$1001,MATCH(ROWS($AF$2:AF676),$AF$2:$AF$1001,0),MATCH(COLUMNS($AM$1006:BI1006),$AM$1006:$BM$1006,0)), HYPERLINK("#",""), HYPERLINK(CONCATENATE("#metadata!", ADDRESS(INDEX($AH$2:$AH$1001,MATCH(ROWS($AF$2:AF676),$AF$2:$AF$1001,0),0), INDEX($AM$1004:$BM$1004,1,MATCH(COLUMNS($AM$1006:BI1006),$AM$1006:$BM$1006,0)))),"Fix")))</f>
        <v xml:space="preserve"> </v>
      </c>
      <c r="Y676" s="4" t="str">
        <f ca="1">IF(OR(INDEX($AG$2:$AG$1001,MATCH(ROWS($AF$2:AF676),$AF$2:$AF$1001,0),1)&gt;=100000,INDEX($AM$1005:$BM$1005,1,MATCH(COLUMNS($AM$1006:BJ1006),$AM$1006:$BM$1006,0))&gt;=100000), " ",IF(INDEX($AM$2:$BM$1001,MATCH(ROWS($AF$2:AF676),$AF$2:$AF$1001,0),MATCH(COLUMNS($AM$1006:BJ1006),$AM$1006:$BM$1006,0)), HYPERLINK("#",""), HYPERLINK(CONCATENATE("#metadata!", ADDRESS(INDEX($AH$2:$AH$1001,MATCH(ROWS($AF$2:AF676),$AF$2:$AF$1001,0),0), INDEX($AM$1004:$BM$1004,1,MATCH(COLUMNS($AM$1006:BJ1006),$AM$1006:$BM$1006,0)))),"Fix")))</f>
        <v xml:space="preserve"> </v>
      </c>
      <c r="Z676" s="4" t="str">
        <f ca="1">IF(OR(INDEX($AG$2:$AG$1001,MATCH(ROWS($AF$2:AF676),$AF$2:$AF$1001,0),1)&gt;=100000,INDEX($AM$1005:$BM$1005,1,MATCH(COLUMNS($AM$1006:BK1006),$AM$1006:$BM$1006,0))&gt;=100000), " ",IF(INDEX($AM$2:$BM$1001,MATCH(ROWS($AF$2:AF676),$AF$2:$AF$1001,0),MATCH(COLUMNS($AM$1006:BK1006),$AM$1006:$BM$1006,0)), HYPERLINK("#",""), HYPERLINK(CONCATENATE("#metadata!", ADDRESS(INDEX($AH$2:$AH$1001,MATCH(ROWS($AF$2:AF676),$AF$2:$AF$1001,0),0), INDEX($AM$1004:$BM$1004,1,MATCH(COLUMNS($AM$1006:BK1006),$AM$1006:$BM$1006,0)))),"Fix")))</f>
        <v xml:space="preserve"> </v>
      </c>
      <c r="AA676" s="4" t="str">
        <f ca="1">IF(OR(INDEX($AG$2:$AG$1001,MATCH(ROWS($AF$2:AF676),$AF$2:$AF$1001,0),1)&gt;=100000,INDEX($AM$1005:$BM$1005,1,MATCH(COLUMNS($AM$1006:BL1006),$AM$1006:$BM$1006,0))&gt;=100000), " ",IF(INDEX($AM$2:$BM$1001,MATCH(ROWS($AF$2:AF676),$AF$2:$AF$1001,0),MATCH(COLUMNS($AM$1006:BL1006),$AM$1006:$BM$1006,0)), HYPERLINK("#",""), HYPERLINK(CONCATENATE("#metadata!", ADDRESS(INDEX($AH$2:$AH$1001,MATCH(ROWS($AF$2:AF676),$AF$2:$AF$1001,0),0), INDEX($AM$1004:$BM$1004,1,MATCH(COLUMNS($AM$1006:BL1006),$AM$1006:$BM$1006,0)))),"Fix")))</f>
        <v xml:space="preserve"> </v>
      </c>
      <c r="AB676" s="4" t="str">
        <f ca="1">IF(OR(INDEX($AG$2:$AG$1001,MATCH(ROWS($AF$2:AF676),$AF$2:$AF$1001,0),1)&gt;=100000,INDEX($AM$1005:$BM$1005,1,MATCH(COLUMNS($AM$1006:BM1006),$AM$1006:$BM$1006,0))&gt;=100000), " ",IF(INDEX($AM$2:$BM$1001,MATCH(ROWS($AF$2:AF676),$AF$2:$AF$1001,0),MATCH(COLUMNS($AM$1006:BM1006),$AM$1006:$BM$1006,0)), HYPERLINK("#",""), HYPERLINK(CONCATENATE("#metadata!", ADDRESS(INDEX($AH$2:$AH$1001,MATCH(ROWS($AF$2:AF676),$AF$2:$AF$1001,0),0), INDEX($AM$1004:$BM$1004,1,MATCH(COLUMNS($AM$1006:BM1006),$AM$1006:$BM$1006,0)))),"Fix")))</f>
        <v xml:space="preserve"> </v>
      </c>
      <c r="AF676">
        <v>675</v>
      </c>
      <c r="AG676">
        <v>100676</v>
      </c>
      <c r="AH676">
        <v>676</v>
      </c>
      <c r="AI676" t="b">
        <f t="shared" si="10"/>
        <v>1</v>
      </c>
      <c r="AJ676" t="b">
        <f>COUNTBLANK(metadata!B676:AB676)=COLUMNS(metadata!B676:AB676)</f>
        <v>1</v>
      </c>
      <c r="AK676" t="str">
        <v/>
      </c>
      <c r="AM676" t="b">
        <f ca="1">AND(IF(metadata!B676="",FALSE,TRUE),COUNTIF(metadata!B:B, metadata!B676) = 1,NOT(ISERROR(SUMPRODUCT(SEARCH(MID(metadata!B676,ROW(INDIRECT("1:"&amp;LEN(metadata!B676))), 1),"0123456789abcdefghijklmnopqrstuvwxyzABCDEFGHIJKLMNOPQRSTUVWXYZ.")))))</f>
        <v>0</v>
      </c>
      <c r="AN676" t="b">
        <f ca="1">OR(AND(IF(metadata!C676="",FALSE,TRUE),OR(EXACT(metadata!C676,"missing: not collected"),EXACT(metadata!C676,"missing: not provided"),EXACT(metadata!C676,"missing: restricted access"))),AND(IF(metadata!C676="",FALSE,TRUE),AND(AND(IFERROR(INT(LEFT(metadata!C676,4))&gt;1900,FALSE),IFERROR(INT(LEFT(metadata!C676,4))&lt;=YEAR(NOW()),FALSE)), OR(MID(metadata!C676,5,1)="", AND(AND(MID(metadata!C676,5,1)="-",IFERROR(INT(MID(metadata!C676,6,1))&gt;=0,FALSE),IFERROR(INT(MID(metadata!C676,6,1))&lt;=1,FALSE),NOT(MID(metadata!C676,7,1)=""),IFERROR(INT(MID(metadata!C676,6,2))&gt;=1,FALSE),IFERROR(INT(MID(metadata!C676,6,2))&lt;=12,FALSE)), OR(MID(metadata!C676,8,1)="", AND(AND(MID(metadata!C676,8,1)="-",IFERROR(INT(MID(metadata!C676,9,1))&gt;=0,FALSE),IFERROR(INT(MID(metadata!C676,9,1))&lt;=3,FALSE),NOT(MID(metadata!C676,10,1)=""),IFERROR(INT(MID(metadata!C676,9,2))&gt;=1,FALSE),IFERROR(INT(MID(metadata!C676,9,2))&lt;=31,FALSE)), OR(MID(metadata!C676,11,1)="", AND(AND(MID(metadata!C676,11,1)=" ",IFERROR(INT(MID(metadata!C676,12,1))&gt;=0,FALSE),IFERROR(INT(MID(metadata!C676,12,1))&lt;=2,FALSE),NOT(MID(metadata!C676,13,1)=""),IFERROR(INT(MID(metadata!C676,12,2))&gt;=0,FALSE),IFERROR(INT(MID(metadata!C676,12,2))&lt;=23,FALSE)), OR(MID(metadata!C676,14,1)="", AND(AND(MID(metadata!C676,14,1)=":",IFERROR(INT(MID(metadata!C676,15,1))&gt;=0,FALSE),IFERROR(INT(MID(metadata!C676,15,1))&lt;=5,FALSE),NOT(MID(metadata!C676,16,1)=""),IFERROR(INT(MID(metadata!C676,15,2))&gt;=0,FALSE),IFERROR(INT(MID(metadata!C676,15,2))&lt;=59,FALSE)), OR(MID(metadata!C676,17,1)="", AND(AND(MID(metadata!C676,17,1)=":",IFERROR(INT(MID(metadata!C676,18,1))&gt;=0,FALSE),IFERROR(INT(MID(metadata!C676,18,1))&lt;=5,FALSE),NOT(MID(metadata!C676,19,1)=""),IFERROR(INT(MID(metadata!C676,18,2))&gt;=0,FALSE),IFERROR(INT(MID(metadata!C676,18,2))&lt;=59,FALSE)), LEN(metadata!C676)&lt;=19)))))))))))))</f>
        <v>0</v>
      </c>
      <c r="AO676" t="b">
        <f>AND(IF(metadata!D676="",FALSE,TRUE),EXACT(metadata!D676,"Not applicable"))</f>
        <v>0</v>
      </c>
      <c r="AP676" t="b">
        <f>IF(metadata!E676="",FALSE,TRUE)</f>
        <v>0</v>
      </c>
      <c r="AQ676" t="b">
        <f>OR(AND(IF(metadata!F676="",FALSE,TRUE),OR(EXACT(metadata!F676,"missing: not collected"),EXACT(metadata!F676,"missing: not provided"))),AND(IF(metadata!F676="",FALSE,TRUE),OR(EXACT(metadata!F676,"TRUE"),EXACT(metadata!F676,"FALSE"))))</f>
        <v>0</v>
      </c>
      <c r="AR676" t="b">
        <f>OR(AND(IF(metadata!G676="",FALSE,TRUE),OR(EXACT(metadata!G676,"missing: not collected"),EXACT(metadata!G676,"missing: not provided"),EXACT(metadata!G676,"missing: restricted access"))),AND(IF(metadata!G676="",FALSE,ISNUMBER(VALUE(metadata!G676))),metadata!G676&gt;=-413))</f>
        <v>0</v>
      </c>
      <c r="AS676" t="b">
        <f>AND(IF(metadata!H676="",FALSE,TRUE),EXACT(metadata!H676,"meters"))</f>
        <v>0</v>
      </c>
      <c r="AT676" t="b">
        <f>AND(IF(metadata!I676="",FALSE,TRUE),OR(EXACT(metadata!I676,"Host-associated"),EXACT(metadata!I676,"Free-living")))</f>
        <v>0</v>
      </c>
      <c r="AU676" t="b">
        <f>AND(IF(metadata!J676="",FALSE,TRUE),OR(EXACT(metadata!J676,"Animal"),EXACT(metadata!J676,"Fungus"),EXACT(metadata!J676,"Plant"),EXACT(metadata!J676,"Saline"),EXACT(metadata!J676,"Non-saline")))</f>
        <v>0</v>
      </c>
      <c r="AV676" t="b">
        <f>AND(IF(metadata!K676="",FALSE,TRUE),OR(EXACT(metadata!K676,"Plant secretion"),EXACT(metadata!K676,"Plant rhizosphere"),EXACT(metadata!K676,"Plant surface"),EXACT(metadata!K676,"Plant corpus"),EXACT(metadata!K676,"Fungus surface"),EXACT(metadata!K676,"Fungus corpus"),EXACT(metadata!K676,"Animal surface"),EXACT(metadata!K676,"Animal proximal gut"),EXACT(metadata!K676,"Animal corpus"),EXACT(metadata!K676,"Animal distal gut"),EXACT(metadata!K676,"Animal secretion"),EXACT(metadata!K676,"Sub-surface (non-saline)"),EXACT(metadata!K676,"Surface (non-saline)"),EXACT(metadata!K676,"Water (non-saline)"),EXACT(metadata!K676,"Soil (non-saline)"),EXACT(metadata!K676,"Aerosol (non-saline)"),EXACT(metadata!K676,"Sediment (non-saline)"),EXACT(metadata!K676,"Surface (saline)"),EXACT(metadata!K676,"Water (saline)"),EXACT(metadata!K676,"Hypersaline (saline)"),EXACT(metadata!K676,"Aerosol (saline)"),EXACT(metadata!K676,"Sediment (saline)")))</f>
        <v>0</v>
      </c>
      <c r="AW676" t="b">
        <f>IF(metadata!L676="",FALSE,TRUE)</f>
        <v>0</v>
      </c>
      <c r="AX676" t="b">
        <f>IF(metadata!M676="",FALSE,TRUE)</f>
        <v>0</v>
      </c>
      <c r="AY676" t="b">
        <f>IF(metadata!N676="",FALSE,TRUE)</f>
        <v>0</v>
      </c>
      <c r="AZ676" t="b">
        <f>OR(AND(IF(metadata!O676="",FALSE,TRUE),OR(EXACT(metadata!O676,"missing: not collected"),EXACT(metadata!O676,"missing: not provided"),EXACT(metadata!O676,"missing: restricted access"))),AND(IF(metadata!O676="",FALSE,TRUE),OR(EXACT(metadata!O676,"air"),EXACT(metadata!O676,"built environment"),EXACT(metadata!O676,"host-associated"),EXACT(metadata!O676,"human-associated"),EXACT(metadata!O676,"human-skin"),EXACT(metadata!O676,"human-oral"),EXACT(metadata!O676,"human-gut"),EXACT(metadata!O676,"human-vaginal"),EXACT(metadata!O676,"microbial mat/biofilm"),EXACT(metadata!O676,"misc environment"),EXACT(metadata!O676,"plant-associated"),EXACT(metadata!O676,"sediment"),EXACT(metadata!O676,"soil"),EXACT(metadata!O676,"wastewater/sludge"),EXACT(metadata!O676,"water"))))</f>
        <v>0</v>
      </c>
      <c r="BA676" t="b">
        <f>IF(metadata!P676="",FALSE,TRUE)</f>
        <v>0</v>
      </c>
      <c r="BB676" t="b">
        <f>IF(metadata!Q676="",FALSE,TRUE)</f>
        <v>0</v>
      </c>
      <c r="BC676" t="b">
        <f>OR(AND(IF(metadata!R676="",FALSE,TRUE),OR(EXACT(metadata!R676,"missing: not collected"),EXACT(metadata!R676,"missing: not provided"),EXACT(metadata!R676,"missing: restricted access"))),AND(IF(metadata!R676="",FALSE,ISNUMBER(VALUE(metadata!R676))),metadata!R676&gt;=-90,metadata!R676&lt;=90))</f>
        <v>0</v>
      </c>
      <c r="BD676" t="b">
        <f>AND(IF(metadata!S676="",FALSE,TRUE),EXACT(metadata!S676,"Decimal degrees"))</f>
        <v>0</v>
      </c>
      <c r="BE676" t="b">
        <f>OR(AND(IF(metadata!T676="",FALSE,TRUE),OR(EXACT(metadata!T676,"missing: not collected"),EXACT(metadata!T676,"missing: not provided"),EXACT(metadata!T676,"missing: restricted access"))),AND(IF(metadata!T676="",FALSE,ISNUMBER(VALUE(metadata!T676))),metadata!T676&gt;=-180,metadata!T676&lt;=180))</f>
        <v>0</v>
      </c>
      <c r="BF676" t="b">
        <f>AND(IF(metadata!U676="",FALSE,TRUE),EXACT(metadata!U676,"Decimal degrees"))</f>
        <v>0</v>
      </c>
      <c r="BG676" t="b">
        <f>IF(metadata!V676="",FALSE,TRUE)</f>
        <v>0</v>
      </c>
      <c r="BH676" t="b">
        <f>OR(AND(IF(metadata!W676="",FALSE,TRUE),OR(EXACT(metadata!W676,"missing: not collected"),EXACT(metadata!W676,"missing: not provided"),EXACT(metadata!W676,"missing: restricted access"))),AND(IF(metadata!W676="",FALSE,TRUE),OR(EXACT(metadata!W676,"TRUE"),EXACT(metadata!W676,"FALSE"))))</f>
        <v>0</v>
      </c>
      <c r="BI676" t="b">
        <f>AND(IF(metadata!X676="",FALSE,TRUE),EXACT(metadata!X676,"other"))</f>
        <v>0</v>
      </c>
      <c r="BJ676" t="b">
        <f>IF(metadata!Y676="",FALSE,TRUE)</f>
        <v>0</v>
      </c>
      <c r="BK676" t="b">
        <f>OR(AND(IF(metadata!Z676="",FALSE,TRUE),OR(EXACT(metadata!Z676,"missing: not collected"),EXACT(metadata!Z676,"missing: not provided"))),AND(IF(metadata!Z676="",FALSE,IF(ISERROR(INT(metadata!Z676)),FALSE,INT(metadata!Z676)=metadata!Z676)),metadata!Z676&gt;0))</f>
        <v>0</v>
      </c>
      <c r="BL676" t="b">
        <f>AND(IF(metadata!AA676="",FALSE,TRUE),EXACT(metadata!AA676,"Not applicable"))</f>
        <v>0</v>
      </c>
      <c r="BM676" t="b">
        <f>IF(metadata!AB676="",FALSE,TRUE)</f>
        <v>0</v>
      </c>
    </row>
    <row r="677" spans="1:65" x14ac:dyDescent="0.2">
      <c r="A677" s="5" t="str">
        <f ca="1">IF(B677=" "," ",HYPERLINK(CONCATENATE("#metadata!",ADDRESS(INDEX($AH$2:$AH$1001,MATCH(ROWS($AF$2:AF677),$AF$2:$AF$1001,0),0),1)),INDEX($AK$2:$AK$1001,MATCH(ROWS($AF$2:AF677),$AF$2:$AF$1001,0),0)))</f>
        <v xml:space="preserve"> </v>
      </c>
      <c r="B677" s="4" t="str">
        <f ca="1">IF(OR(INDEX($AG$2:$AG$1001,MATCH(ROWS($AF$2:AF677),$AF$2:$AF$1001,0),1)&gt;=100000,INDEX($AM$1005:$BM$1005,1,MATCH(COLUMNS($AM$1006:AM1006),$AM$1006:$BM$1006,0))&gt;=100000), " ",IF(INDEX($AM$2:$BM$1001,MATCH(ROWS($AF$2:AF677),$AF$2:$AF$1001,0),MATCH(COLUMNS($AM$1006:AM1006),$AM$1006:$BM$1006,0)), HYPERLINK("#",""), HYPERLINK(CONCATENATE("#metadata!", ADDRESS(INDEX($AH$2:$AH$1001,MATCH(ROWS($AF$2:AF677),$AF$2:$AF$1001,0),0), INDEX($AM$1004:$BM$1004,1,MATCH(COLUMNS($AM$1006:AM1006),$AM$1006:$BM$1006,0)))),"Fix")))</f>
        <v xml:space="preserve"> </v>
      </c>
      <c r="C677" s="4" t="str">
        <f ca="1">IF(OR(INDEX($AG$2:$AG$1001,MATCH(ROWS($AF$2:AF677),$AF$2:$AF$1001,0),1)&gt;=100000,INDEX($AM$1005:$BM$1005,1,MATCH(COLUMNS($AM$1006:AN1006),$AM$1006:$BM$1006,0))&gt;=100000), " ",IF(INDEX($AM$2:$BM$1001,MATCH(ROWS($AF$2:AF677),$AF$2:$AF$1001,0),MATCH(COLUMNS($AM$1006:AN1006),$AM$1006:$BM$1006,0)), HYPERLINK("#",""), HYPERLINK(CONCATENATE("#metadata!", ADDRESS(INDEX($AH$2:$AH$1001,MATCH(ROWS($AF$2:AF677),$AF$2:$AF$1001,0),0), INDEX($AM$1004:$BM$1004,1,MATCH(COLUMNS($AM$1006:AN1006),$AM$1006:$BM$1006,0)))),"Fix")))</f>
        <v xml:space="preserve"> </v>
      </c>
      <c r="D677" s="4" t="str">
        <f ca="1">IF(OR(INDEX($AG$2:$AG$1001,MATCH(ROWS($AF$2:AF677),$AF$2:$AF$1001,0),1)&gt;=100000,INDEX($AM$1005:$BM$1005,1,MATCH(COLUMNS($AM$1006:AO1006),$AM$1006:$BM$1006,0))&gt;=100000), " ",IF(INDEX($AM$2:$BM$1001,MATCH(ROWS($AF$2:AF677),$AF$2:$AF$1001,0),MATCH(COLUMNS($AM$1006:AO1006),$AM$1006:$BM$1006,0)), HYPERLINK("#",""), HYPERLINK(CONCATENATE("#metadata!", ADDRESS(INDEX($AH$2:$AH$1001,MATCH(ROWS($AF$2:AF677),$AF$2:$AF$1001,0),0), INDEX($AM$1004:$BM$1004,1,MATCH(COLUMNS($AM$1006:AO1006),$AM$1006:$BM$1006,0)))),"Fix")))</f>
        <v xml:space="preserve"> </v>
      </c>
      <c r="E677" s="4" t="str">
        <f ca="1">IF(OR(INDEX($AG$2:$AG$1001,MATCH(ROWS($AF$2:AF677),$AF$2:$AF$1001,0),1)&gt;=100000,INDEX($AM$1005:$BM$1005,1,MATCH(COLUMNS($AM$1006:AP1006),$AM$1006:$BM$1006,0))&gt;=100000), " ",IF(INDEX($AM$2:$BM$1001,MATCH(ROWS($AF$2:AF677),$AF$2:$AF$1001,0),MATCH(COLUMNS($AM$1006:AP1006),$AM$1006:$BM$1006,0)), HYPERLINK("#",""), HYPERLINK(CONCATENATE("#metadata!", ADDRESS(INDEX($AH$2:$AH$1001,MATCH(ROWS($AF$2:AF677),$AF$2:$AF$1001,0),0), INDEX($AM$1004:$BM$1004,1,MATCH(COLUMNS($AM$1006:AP1006),$AM$1006:$BM$1006,0)))),"Fix")))</f>
        <v xml:space="preserve"> </v>
      </c>
      <c r="F677" s="4" t="str">
        <f ca="1">IF(OR(INDEX($AG$2:$AG$1001,MATCH(ROWS($AF$2:AF677),$AF$2:$AF$1001,0),1)&gt;=100000,INDEX($AM$1005:$BM$1005,1,MATCH(COLUMNS($AM$1006:AQ1006),$AM$1006:$BM$1006,0))&gt;=100000), " ",IF(INDEX($AM$2:$BM$1001,MATCH(ROWS($AF$2:AF677),$AF$2:$AF$1001,0),MATCH(COLUMNS($AM$1006:AQ1006),$AM$1006:$BM$1006,0)), HYPERLINK("#",""), HYPERLINK(CONCATENATE("#metadata!", ADDRESS(INDEX($AH$2:$AH$1001,MATCH(ROWS($AF$2:AF677),$AF$2:$AF$1001,0),0), INDEX($AM$1004:$BM$1004,1,MATCH(COLUMNS($AM$1006:AQ1006),$AM$1006:$BM$1006,0)))),"Fix")))</f>
        <v xml:space="preserve"> </v>
      </c>
      <c r="G677" s="4" t="str">
        <f ca="1">IF(OR(INDEX($AG$2:$AG$1001,MATCH(ROWS($AF$2:AF677),$AF$2:$AF$1001,0),1)&gt;=100000,INDEX($AM$1005:$BM$1005,1,MATCH(COLUMNS($AM$1006:AR1006),$AM$1006:$BM$1006,0))&gt;=100000), " ",IF(INDEX($AM$2:$BM$1001,MATCH(ROWS($AF$2:AF677),$AF$2:$AF$1001,0),MATCH(COLUMNS($AM$1006:AR1006),$AM$1006:$BM$1006,0)), HYPERLINK("#",""), HYPERLINK(CONCATENATE("#metadata!", ADDRESS(INDEX($AH$2:$AH$1001,MATCH(ROWS($AF$2:AF677),$AF$2:$AF$1001,0),0), INDEX($AM$1004:$BM$1004,1,MATCH(COLUMNS($AM$1006:AR1006),$AM$1006:$BM$1006,0)))),"Fix")))</f>
        <v xml:space="preserve"> </v>
      </c>
      <c r="H677" s="4" t="str">
        <f ca="1">IF(OR(INDEX($AG$2:$AG$1001,MATCH(ROWS($AF$2:AF677),$AF$2:$AF$1001,0),1)&gt;=100000,INDEX($AM$1005:$BM$1005,1,MATCH(COLUMNS($AM$1006:AS1006),$AM$1006:$BM$1006,0))&gt;=100000), " ",IF(INDEX($AM$2:$BM$1001,MATCH(ROWS($AF$2:AF677),$AF$2:$AF$1001,0),MATCH(COLUMNS($AM$1006:AS1006),$AM$1006:$BM$1006,0)), HYPERLINK("#",""), HYPERLINK(CONCATENATE("#metadata!", ADDRESS(INDEX($AH$2:$AH$1001,MATCH(ROWS($AF$2:AF677),$AF$2:$AF$1001,0),0), INDEX($AM$1004:$BM$1004,1,MATCH(COLUMNS($AM$1006:AS1006),$AM$1006:$BM$1006,0)))),"Fix")))</f>
        <v xml:space="preserve"> </v>
      </c>
      <c r="I677" s="4" t="str">
        <f ca="1">IF(OR(INDEX($AG$2:$AG$1001,MATCH(ROWS($AF$2:AF677),$AF$2:$AF$1001,0),1)&gt;=100000,INDEX($AM$1005:$BM$1005,1,MATCH(COLUMNS($AM$1006:AT1006),$AM$1006:$BM$1006,0))&gt;=100000), " ",IF(INDEX($AM$2:$BM$1001,MATCH(ROWS($AF$2:AF677),$AF$2:$AF$1001,0),MATCH(COLUMNS($AM$1006:AT1006),$AM$1006:$BM$1006,0)), HYPERLINK("#",""), HYPERLINK(CONCATENATE("#metadata!", ADDRESS(INDEX($AH$2:$AH$1001,MATCH(ROWS($AF$2:AF677),$AF$2:$AF$1001,0),0), INDEX($AM$1004:$BM$1004,1,MATCH(COLUMNS($AM$1006:AT1006),$AM$1006:$BM$1006,0)))),"Fix")))</f>
        <v xml:space="preserve"> </v>
      </c>
      <c r="J677" s="4" t="str">
        <f ca="1">IF(OR(INDEX($AG$2:$AG$1001,MATCH(ROWS($AF$2:AF677),$AF$2:$AF$1001,0),1)&gt;=100000,INDEX($AM$1005:$BM$1005,1,MATCH(COLUMNS($AM$1006:AU1006),$AM$1006:$BM$1006,0))&gt;=100000), " ",IF(INDEX($AM$2:$BM$1001,MATCH(ROWS($AF$2:AF677),$AF$2:$AF$1001,0),MATCH(COLUMNS($AM$1006:AU1006),$AM$1006:$BM$1006,0)), HYPERLINK("#",""), HYPERLINK(CONCATENATE("#metadata!", ADDRESS(INDEX($AH$2:$AH$1001,MATCH(ROWS($AF$2:AF677),$AF$2:$AF$1001,0),0), INDEX($AM$1004:$BM$1004,1,MATCH(COLUMNS($AM$1006:AU1006),$AM$1006:$BM$1006,0)))),"Fix")))</f>
        <v xml:space="preserve"> </v>
      </c>
      <c r="K677" s="4" t="str">
        <f ca="1">IF(OR(INDEX($AG$2:$AG$1001,MATCH(ROWS($AF$2:AF677),$AF$2:$AF$1001,0),1)&gt;=100000,INDEX($AM$1005:$BM$1005,1,MATCH(COLUMNS($AM$1006:AV1006),$AM$1006:$BM$1006,0))&gt;=100000), " ",IF(INDEX($AM$2:$BM$1001,MATCH(ROWS($AF$2:AF677),$AF$2:$AF$1001,0),MATCH(COLUMNS($AM$1006:AV1006),$AM$1006:$BM$1006,0)), HYPERLINK("#",""), HYPERLINK(CONCATENATE("#metadata!", ADDRESS(INDEX($AH$2:$AH$1001,MATCH(ROWS($AF$2:AF677),$AF$2:$AF$1001,0),0), INDEX($AM$1004:$BM$1004,1,MATCH(COLUMNS($AM$1006:AV1006),$AM$1006:$BM$1006,0)))),"Fix")))</f>
        <v xml:space="preserve"> </v>
      </c>
      <c r="L677" s="4" t="str">
        <f ca="1">IF(OR(INDEX($AG$2:$AG$1001,MATCH(ROWS($AF$2:AF677),$AF$2:$AF$1001,0),1)&gt;=100000,INDEX($AM$1005:$BM$1005,1,MATCH(COLUMNS($AM$1006:AW1006),$AM$1006:$BM$1006,0))&gt;=100000), " ",IF(INDEX($AM$2:$BM$1001,MATCH(ROWS($AF$2:AF677),$AF$2:$AF$1001,0),MATCH(COLUMNS($AM$1006:AW1006),$AM$1006:$BM$1006,0)), HYPERLINK("#",""), HYPERLINK(CONCATENATE("#metadata!", ADDRESS(INDEX($AH$2:$AH$1001,MATCH(ROWS($AF$2:AF677),$AF$2:$AF$1001,0),0), INDEX($AM$1004:$BM$1004,1,MATCH(COLUMNS($AM$1006:AW1006),$AM$1006:$BM$1006,0)))),"Fix")))</f>
        <v xml:space="preserve"> </v>
      </c>
      <c r="M677" s="4" t="str">
        <f ca="1">IF(OR(INDEX($AG$2:$AG$1001,MATCH(ROWS($AF$2:AF677),$AF$2:$AF$1001,0),1)&gt;=100000,INDEX($AM$1005:$BM$1005,1,MATCH(COLUMNS($AM$1006:AX1006),$AM$1006:$BM$1006,0))&gt;=100000), " ",IF(INDEX($AM$2:$BM$1001,MATCH(ROWS($AF$2:AF677),$AF$2:$AF$1001,0),MATCH(COLUMNS($AM$1006:AX1006),$AM$1006:$BM$1006,0)), HYPERLINK("#",""), HYPERLINK(CONCATENATE("#metadata!", ADDRESS(INDEX($AH$2:$AH$1001,MATCH(ROWS($AF$2:AF677),$AF$2:$AF$1001,0),0), INDEX($AM$1004:$BM$1004,1,MATCH(COLUMNS($AM$1006:AX1006),$AM$1006:$BM$1006,0)))),"Fix")))</f>
        <v xml:space="preserve"> </v>
      </c>
      <c r="N677" s="4" t="str">
        <f ca="1">IF(OR(INDEX($AG$2:$AG$1001,MATCH(ROWS($AF$2:AF677),$AF$2:$AF$1001,0),1)&gt;=100000,INDEX($AM$1005:$BM$1005,1,MATCH(COLUMNS($AM$1006:AY1006),$AM$1006:$BM$1006,0))&gt;=100000), " ",IF(INDEX($AM$2:$BM$1001,MATCH(ROWS($AF$2:AF677),$AF$2:$AF$1001,0),MATCH(COLUMNS($AM$1006:AY1006),$AM$1006:$BM$1006,0)), HYPERLINK("#",""), HYPERLINK(CONCATENATE("#metadata!", ADDRESS(INDEX($AH$2:$AH$1001,MATCH(ROWS($AF$2:AF677),$AF$2:$AF$1001,0),0), INDEX($AM$1004:$BM$1004,1,MATCH(COLUMNS($AM$1006:AY1006),$AM$1006:$BM$1006,0)))),"Fix")))</f>
        <v xml:space="preserve"> </v>
      </c>
      <c r="O677" s="4" t="str">
        <f ca="1">IF(OR(INDEX($AG$2:$AG$1001,MATCH(ROWS($AF$2:AF677),$AF$2:$AF$1001,0),1)&gt;=100000,INDEX($AM$1005:$BM$1005,1,MATCH(COLUMNS($AM$1006:AZ1006),$AM$1006:$BM$1006,0))&gt;=100000), " ",IF(INDEX($AM$2:$BM$1001,MATCH(ROWS($AF$2:AF677),$AF$2:$AF$1001,0),MATCH(COLUMNS($AM$1006:AZ1006),$AM$1006:$BM$1006,0)), HYPERLINK("#",""), HYPERLINK(CONCATENATE("#metadata!", ADDRESS(INDEX($AH$2:$AH$1001,MATCH(ROWS($AF$2:AF677),$AF$2:$AF$1001,0),0), INDEX($AM$1004:$BM$1004,1,MATCH(COLUMNS($AM$1006:AZ1006),$AM$1006:$BM$1006,0)))),"Fix")))</f>
        <v xml:space="preserve"> </v>
      </c>
      <c r="P677" s="4" t="str">
        <f ca="1">IF(OR(INDEX($AG$2:$AG$1001,MATCH(ROWS($AF$2:AF677),$AF$2:$AF$1001,0),1)&gt;=100000,INDEX($AM$1005:$BM$1005,1,MATCH(COLUMNS($AM$1006:BA1006),$AM$1006:$BM$1006,0))&gt;=100000), " ",IF(INDEX($AM$2:$BM$1001,MATCH(ROWS($AF$2:AF677),$AF$2:$AF$1001,0),MATCH(COLUMNS($AM$1006:BA1006),$AM$1006:$BM$1006,0)), HYPERLINK("#",""), HYPERLINK(CONCATENATE("#metadata!", ADDRESS(INDEX($AH$2:$AH$1001,MATCH(ROWS($AF$2:AF677),$AF$2:$AF$1001,0),0), INDEX($AM$1004:$BM$1004,1,MATCH(COLUMNS($AM$1006:BA1006),$AM$1006:$BM$1006,0)))),"Fix")))</f>
        <v xml:space="preserve"> </v>
      </c>
      <c r="Q677" s="4" t="str">
        <f ca="1">IF(OR(INDEX($AG$2:$AG$1001,MATCH(ROWS($AF$2:AF677),$AF$2:$AF$1001,0),1)&gt;=100000,INDEX($AM$1005:$BM$1005,1,MATCH(COLUMNS($AM$1006:BB1006),$AM$1006:$BM$1006,0))&gt;=100000), " ",IF(INDEX($AM$2:$BM$1001,MATCH(ROWS($AF$2:AF677),$AF$2:$AF$1001,0),MATCH(COLUMNS($AM$1006:BB1006),$AM$1006:$BM$1006,0)), HYPERLINK("#",""), HYPERLINK(CONCATENATE("#metadata!", ADDRESS(INDEX($AH$2:$AH$1001,MATCH(ROWS($AF$2:AF677),$AF$2:$AF$1001,0),0), INDEX($AM$1004:$BM$1004,1,MATCH(COLUMNS($AM$1006:BB1006),$AM$1006:$BM$1006,0)))),"Fix")))</f>
        <v xml:space="preserve"> </v>
      </c>
      <c r="R677" s="4" t="str">
        <f ca="1">IF(OR(INDEX($AG$2:$AG$1001,MATCH(ROWS($AF$2:AF677),$AF$2:$AF$1001,0),1)&gt;=100000,INDEX($AM$1005:$BM$1005,1,MATCH(COLUMNS($AM$1006:BC1006),$AM$1006:$BM$1006,0))&gt;=100000), " ",IF(INDEX($AM$2:$BM$1001,MATCH(ROWS($AF$2:AF677),$AF$2:$AF$1001,0),MATCH(COLUMNS($AM$1006:BC1006),$AM$1006:$BM$1006,0)), HYPERLINK("#",""), HYPERLINK(CONCATENATE("#metadata!", ADDRESS(INDEX($AH$2:$AH$1001,MATCH(ROWS($AF$2:AF677),$AF$2:$AF$1001,0),0), INDEX($AM$1004:$BM$1004,1,MATCH(COLUMNS($AM$1006:BC1006),$AM$1006:$BM$1006,0)))),"Fix")))</f>
        <v xml:space="preserve"> </v>
      </c>
      <c r="S677" s="4" t="str">
        <f ca="1">IF(OR(INDEX($AG$2:$AG$1001,MATCH(ROWS($AF$2:AF677),$AF$2:$AF$1001,0),1)&gt;=100000,INDEX($AM$1005:$BM$1005,1,MATCH(COLUMNS($AM$1006:BD1006),$AM$1006:$BM$1006,0))&gt;=100000), " ",IF(INDEX($AM$2:$BM$1001,MATCH(ROWS($AF$2:AF677),$AF$2:$AF$1001,0),MATCH(COLUMNS($AM$1006:BD1006),$AM$1006:$BM$1006,0)), HYPERLINK("#",""), HYPERLINK(CONCATENATE("#metadata!", ADDRESS(INDEX($AH$2:$AH$1001,MATCH(ROWS($AF$2:AF677),$AF$2:$AF$1001,0),0), INDEX($AM$1004:$BM$1004,1,MATCH(COLUMNS($AM$1006:BD1006),$AM$1006:$BM$1006,0)))),"Fix")))</f>
        <v xml:space="preserve"> </v>
      </c>
      <c r="T677" s="4" t="str">
        <f ca="1">IF(OR(INDEX($AG$2:$AG$1001,MATCH(ROWS($AF$2:AF677),$AF$2:$AF$1001,0),1)&gt;=100000,INDEX($AM$1005:$BM$1005,1,MATCH(COLUMNS($AM$1006:BE1006),$AM$1006:$BM$1006,0))&gt;=100000), " ",IF(INDEX($AM$2:$BM$1001,MATCH(ROWS($AF$2:AF677),$AF$2:$AF$1001,0),MATCH(COLUMNS($AM$1006:BE1006),$AM$1006:$BM$1006,0)), HYPERLINK("#",""), HYPERLINK(CONCATENATE("#metadata!", ADDRESS(INDEX($AH$2:$AH$1001,MATCH(ROWS($AF$2:AF677),$AF$2:$AF$1001,0),0), INDEX($AM$1004:$BM$1004,1,MATCH(COLUMNS($AM$1006:BE1006),$AM$1006:$BM$1006,0)))),"Fix")))</f>
        <v xml:space="preserve"> </v>
      </c>
      <c r="U677" s="4" t="str">
        <f ca="1">IF(OR(INDEX($AG$2:$AG$1001,MATCH(ROWS($AF$2:AF677),$AF$2:$AF$1001,0),1)&gt;=100000,INDEX($AM$1005:$BM$1005,1,MATCH(COLUMNS($AM$1006:BF1006),$AM$1006:$BM$1006,0))&gt;=100000), " ",IF(INDEX($AM$2:$BM$1001,MATCH(ROWS($AF$2:AF677),$AF$2:$AF$1001,0),MATCH(COLUMNS($AM$1006:BF1006),$AM$1006:$BM$1006,0)), HYPERLINK("#",""), HYPERLINK(CONCATENATE("#metadata!", ADDRESS(INDEX($AH$2:$AH$1001,MATCH(ROWS($AF$2:AF677),$AF$2:$AF$1001,0),0), INDEX($AM$1004:$BM$1004,1,MATCH(COLUMNS($AM$1006:BF1006),$AM$1006:$BM$1006,0)))),"Fix")))</f>
        <v xml:space="preserve"> </v>
      </c>
      <c r="V677" s="4" t="str">
        <f ca="1">IF(OR(INDEX($AG$2:$AG$1001,MATCH(ROWS($AF$2:AF677),$AF$2:$AF$1001,0),1)&gt;=100000,INDEX($AM$1005:$BM$1005,1,MATCH(COLUMNS($AM$1006:BG1006),$AM$1006:$BM$1006,0))&gt;=100000), " ",IF(INDEX($AM$2:$BM$1001,MATCH(ROWS($AF$2:AF677),$AF$2:$AF$1001,0),MATCH(COLUMNS($AM$1006:BG1006),$AM$1006:$BM$1006,0)), HYPERLINK("#",""), HYPERLINK(CONCATENATE("#metadata!", ADDRESS(INDEX($AH$2:$AH$1001,MATCH(ROWS($AF$2:AF677),$AF$2:$AF$1001,0),0), INDEX($AM$1004:$BM$1004,1,MATCH(COLUMNS($AM$1006:BG1006),$AM$1006:$BM$1006,0)))),"Fix")))</f>
        <v xml:space="preserve"> </v>
      </c>
      <c r="W677" s="4" t="str">
        <f ca="1">IF(OR(INDEX($AG$2:$AG$1001,MATCH(ROWS($AF$2:AF677),$AF$2:$AF$1001,0),1)&gt;=100000,INDEX($AM$1005:$BM$1005,1,MATCH(COLUMNS($AM$1006:BH1006),$AM$1006:$BM$1006,0))&gt;=100000), " ",IF(INDEX($AM$2:$BM$1001,MATCH(ROWS($AF$2:AF677),$AF$2:$AF$1001,0),MATCH(COLUMNS($AM$1006:BH1006),$AM$1006:$BM$1006,0)), HYPERLINK("#",""), HYPERLINK(CONCATENATE("#metadata!", ADDRESS(INDEX($AH$2:$AH$1001,MATCH(ROWS($AF$2:AF677),$AF$2:$AF$1001,0),0), INDEX($AM$1004:$BM$1004,1,MATCH(COLUMNS($AM$1006:BH1006),$AM$1006:$BM$1006,0)))),"Fix")))</f>
        <v xml:space="preserve"> </v>
      </c>
      <c r="X677" s="4" t="str">
        <f ca="1">IF(OR(INDEX($AG$2:$AG$1001,MATCH(ROWS($AF$2:AF677),$AF$2:$AF$1001,0),1)&gt;=100000,INDEX($AM$1005:$BM$1005,1,MATCH(COLUMNS($AM$1006:BI1006),$AM$1006:$BM$1006,0))&gt;=100000), " ",IF(INDEX($AM$2:$BM$1001,MATCH(ROWS($AF$2:AF677),$AF$2:$AF$1001,0),MATCH(COLUMNS($AM$1006:BI1006),$AM$1006:$BM$1006,0)), HYPERLINK("#",""), HYPERLINK(CONCATENATE("#metadata!", ADDRESS(INDEX($AH$2:$AH$1001,MATCH(ROWS($AF$2:AF677),$AF$2:$AF$1001,0),0), INDEX($AM$1004:$BM$1004,1,MATCH(COLUMNS($AM$1006:BI1006),$AM$1006:$BM$1006,0)))),"Fix")))</f>
        <v xml:space="preserve"> </v>
      </c>
      <c r="Y677" s="4" t="str">
        <f ca="1">IF(OR(INDEX($AG$2:$AG$1001,MATCH(ROWS($AF$2:AF677),$AF$2:$AF$1001,0),1)&gt;=100000,INDEX($AM$1005:$BM$1005,1,MATCH(COLUMNS($AM$1006:BJ1006),$AM$1006:$BM$1006,0))&gt;=100000), " ",IF(INDEX($AM$2:$BM$1001,MATCH(ROWS($AF$2:AF677),$AF$2:$AF$1001,0),MATCH(COLUMNS($AM$1006:BJ1006),$AM$1006:$BM$1006,0)), HYPERLINK("#",""), HYPERLINK(CONCATENATE("#metadata!", ADDRESS(INDEX($AH$2:$AH$1001,MATCH(ROWS($AF$2:AF677),$AF$2:$AF$1001,0),0), INDEX($AM$1004:$BM$1004,1,MATCH(COLUMNS($AM$1006:BJ1006),$AM$1006:$BM$1006,0)))),"Fix")))</f>
        <v xml:space="preserve"> </v>
      </c>
      <c r="Z677" s="4" t="str">
        <f ca="1">IF(OR(INDEX($AG$2:$AG$1001,MATCH(ROWS($AF$2:AF677),$AF$2:$AF$1001,0),1)&gt;=100000,INDEX($AM$1005:$BM$1005,1,MATCH(COLUMNS($AM$1006:BK1006),$AM$1006:$BM$1006,0))&gt;=100000), " ",IF(INDEX($AM$2:$BM$1001,MATCH(ROWS($AF$2:AF677),$AF$2:$AF$1001,0),MATCH(COLUMNS($AM$1006:BK1006),$AM$1006:$BM$1006,0)), HYPERLINK("#",""), HYPERLINK(CONCATENATE("#metadata!", ADDRESS(INDEX($AH$2:$AH$1001,MATCH(ROWS($AF$2:AF677),$AF$2:$AF$1001,0),0), INDEX($AM$1004:$BM$1004,1,MATCH(COLUMNS($AM$1006:BK1006),$AM$1006:$BM$1006,0)))),"Fix")))</f>
        <v xml:space="preserve"> </v>
      </c>
      <c r="AA677" s="4" t="str">
        <f ca="1">IF(OR(INDEX($AG$2:$AG$1001,MATCH(ROWS($AF$2:AF677),$AF$2:$AF$1001,0),1)&gt;=100000,INDEX($AM$1005:$BM$1005,1,MATCH(COLUMNS($AM$1006:BL1006),$AM$1006:$BM$1006,0))&gt;=100000), " ",IF(INDEX($AM$2:$BM$1001,MATCH(ROWS($AF$2:AF677),$AF$2:$AF$1001,0),MATCH(COLUMNS($AM$1006:BL1006),$AM$1006:$BM$1006,0)), HYPERLINK("#",""), HYPERLINK(CONCATENATE("#metadata!", ADDRESS(INDEX($AH$2:$AH$1001,MATCH(ROWS($AF$2:AF677),$AF$2:$AF$1001,0),0), INDEX($AM$1004:$BM$1004,1,MATCH(COLUMNS($AM$1006:BL1006),$AM$1006:$BM$1006,0)))),"Fix")))</f>
        <v xml:space="preserve"> </v>
      </c>
      <c r="AB677" s="4" t="str">
        <f ca="1">IF(OR(INDEX($AG$2:$AG$1001,MATCH(ROWS($AF$2:AF677),$AF$2:$AF$1001,0),1)&gt;=100000,INDEX($AM$1005:$BM$1005,1,MATCH(COLUMNS($AM$1006:BM1006),$AM$1006:$BM$1006,0))&gt;=100000), " ",IF(INDEX($AM$2:$BM$1001,MATCH(ROWS($AF$2:AF677),$AF$2:$AF$1001,0),MATCH(COLUMNS($AM$1006:BM1006),$AM$1006:$BM$1006,0)), HYPERLINK("#",""), HYPERLINK(CONCATENATE("#metadata!", ADDRESS(INDEX($AH$2:$AH$1001,MATCH(ROWS($AF$2:AF677),$AF$2:$AF$1001,0),0), INDEX($AM$1004:$BM$1004,1,MATCH(COLUMNS($AM$1006:BM1006),$AM$1006:$BM$1006,0)))),"Fix")))</f>
        <v xml:space="preserve"> </v>
      </c>
      <c r="AF677">
        <v>676</v>
      </c>
      <c r="AG677">
        <v>100677</v>
      </c>
      <c r="AH677">
        <v>677</v>
      </c>
      <c r="AI677" t="b">
        <f t="shared" si="10"/>
        <v>1</v>
      </c>
      <c r="AJ677" t="b">
        <f>COUNTBLANK(metadata!B677:AB677)=COLUMNS(metadata!B677:AB677)</f>
        <v>1</v>
      </c>
      <c r="AK677" t="str">
        <v/>
      </c>
      <c r="AM677" t="b">
        <f ca="1">AND(IF(metadata!B677="",FALSE,TRUE),COUNTIF(metadata!B:B, metadata!B677) = 1,NOT(ISERROR(SUMPRODUCT(SEARCH(MID(metadata!B677,ROW(INDIRECT("1:"&amp;LEN(metadata!B677))), 1),"0123456789abcdefghijklmnopqrstuvwxyzABCDEFGHIJKLMNOPQRSTUVWXYZ.")))))</f>
        <v>0</v>
      </c>
      <c r="AN677" t="b">
        <f ca="1">OR(AND(IF(metadata!C677="",FALSE,TRUE),OR(EXACT(metadata!C677,"missing: not collected"),EXACT(metadata!C677,"missing: not provided"),EXACT(metadata!C677,"missing: restricted access"))),AND(IF(metadata!C677="",FALSE,TRUE),AND(AND(IFERROR(INT(LEFT(metadata!C677,4))&gt;1900,FALSE),IFERROR(INT(LEFT(metadata!C677,4))&lt;=YEAR(NOW()),FALSE)), OR(MID(metadata!C677,5,1)="", AND(AND(MID(metadata!C677,5,1)="-",IFERROR(INT(MID(metadata!C677,6,1))&gt;=0,FALSE),IFERROR(INT(MID(metadata!C677,6,1))&lt;=1,FALSE),NOT(MID(metadata!C677,7,1)=""),IFERROR(INT(MID(metadata!C677,6,2))&gt;=1,FALSE),IFERROR(INT(MID(metadata!C677,6,2))&lt;=12,FALSE)), OR(MID(metadata!C677,8,1)="", AND(AND(MID(metadata!C677,8,1)="-",IFERROR(INT(MID(metadata!C677,9,1))&gt;=0,FALSE),IFERROR(INT(MID(metadata!C677,9,1))&lt;=3,FALSE),NOT(MID(metadata!C677,10,1)=""),IFERROR(INT(MID(metadata!C677,9,2))&gt;=1,FALSE),IFERROR(INT(MID(metadata!C677,9,2))&lt;=31,FALSE)), OR(MID(metadata!C677,11,1)="", AND(AND(MID(metadata!C677,11,1)=" ",IFERROR(INT(MID(metadata!C677,12,1))&gt;=0,FALSE),IFERROR(INT(MID(metadata!C677,12,1))&lt;=2,FALSE),NOT(MID(metadata!C677,13,1)=""),IFERROR(INT(MID(metadata!C677,12,2))&gt;=0,FALSE),IFERROR(INT(MID(metadata!C677,12,2))&lt;=23,FALSE)), OR(MID(metadata!C677,14,1)="", AND(AND(MID(metadata!C677,14,1)=":",IFERROR(INT(MID(metadata!C677,15,1))&gt;=0,FALSE),IFERROR(INT(MID(metadata!C677,15,1))&lt;=5,FALSE),NOT(MID(metadata!C677,16,1)=""),IFERROR(INT(MID(metadata!C677,15,2))&gt;=0,FALSE),IFERROR(INT(MID(metadata!C677,15,2))&lt;=59,FALSE)), OR(MID(metadata!C677,17,1)="", AND(AND(MID(metadata!C677,17,1)=":",IFERROR(INT(MID(metadata!C677,18,1))&gt;=0,FALSE),IFERROR(INT(MID(metadata!C677,18,1))&lt;=5,FALSE),NOT(MID(metadata!C677,19,1)=""),IFERROR(INT(MID(metadata!C677,18,2))&gt;=0,FALSE),IFERROR(INT(MID(metadata!C677,18,2))&lt;=59,FALSE)), LEN(metadata!C677)&lt;=19)))))))))))))</f>
        <v>0</v>
      </c>
      <c r="AO677" t="b">
        <f>AND(IF(metadata!D677="",FALSE,TRUE),EXACT(metadata!D677,"Not applicable"))</f>
        <v>0</v>
      </c>
      <c r="AP677" t="b">
        <f>IF(metadata!E677="",FALSE,TRUE)</f>
        <v>0</v>
      </c>
      <c r="AQ677" t="b">
        <f>OR(AND(IF(metadata!F677="",FALSE,TRUE),OR(EXACT(metadata!F677,"missing: not collected"),EXACT(metadata!F677,"missing: not provided"))),AND(IF(metadata!F677="",FALSE,TRUE),OR(EXACT(metadata!F677,"TRUE"),EXACT(metadata!F677,"FALSE"))))</f>
        <v>0</v>
      </c>
      <c r="AR677" t="b">
        <f>OR(AND(IF(metadata!G677="",FALSE,TRUE),OR(EXACT(metadata!G677,"missing: not collected"),EXACT(metadata!G677,"missing: not provided"),EXACT(metadata!G677,"missing: restricted access"))),AND(IF(metadata!G677="",FALSE,ISNUMBER(VALUE(metadata!G677))),metadata!G677&gt;=-413))</f>
        <v>0</v>
      </c>
      <c r="AS677" t="b">
        <f>AND(IF(metadata!H677="",FALSE,TRUE),EXACT(metadata!H677,"meters"))</f>
        <v>0</v>
      </c>
      <c r="AT677" t="b">
        <f>AND(IF(metadata!I677="",FALSE,TRUE),OR(EXACT(metadata!I677,"Host-associated"),EXACT(metadata!I677,"Free-living")))</f>
        <v>0</v>
      </c>
      <c r="AU677" t="b">
        <f>AND(IF(metadata!J677="",FALSE,TRUE),OR(EXACT(metadata!J677,"Animal"),EXACT(metadata!J677,"Fungus"),EXACT(metadata!J677,"Plant"),EXACT(metadata!J677,"Saline"),EXACT(metadata!J677,"Non-saline")))</f>
        <v>0</v>
      </c>
      <c r="AV677" t="b">
        <f>AND(IF(metadata!K677="",FALSE,TRUE),OR(EXACT(metadata!K677,"Plant secretion"),EXACT(metadata!K677,"Plant rhizosphere"),EXACT(metadata!K677,"Plant surface"),EXACT(metadata!K677,"Plant corpus"),EXACT(metadata!K677,"Fungus surface"),EXACT(metadata!K677,"Fungus corpus"),EXACT(metadata!K677,"Animal surface"),EXACT(metadata!K677,"Animal proximal gut"),EXACT(metadata!K677,"Animal corpus"),EXACT(metadata!K677,"Animal distal gut"),EXACT(metadata!K677,"Animal secretion"),EXACT(metadata!K677,"Sub-surface (non-saline)"),EXACT(metadata!K677,"Surface (non-saline)"),EXACT(metadata!K677,"Water (non-saline)"),EXACT(metadata!K677,"Soil (non-saline)"),EXACT(metadata!K677,"Aerosol (non-saline)"),EXACT(metadata!K677,"Sediment (non-saline)"),EXACT(metadata!K677,"Surface (saline)"),EXACT(metadata!K677,"Water (saline)"),EXACT(metadata!K677,"Hypersaline (saline)"),EXACT(metadata!K677,"Aerosol (saline)"),EXACT(metadata!K677,"Sediment (saline)")))</f>
        <v>0</v>
      </c>
      <c r="AW677" t="b">
        <f>IF(metadata!L677="",FALSE,TRUE)</f>
        <v>0</v>
      </c>
      <c r="AX677" t="b">
        <f>IF(metadata!M677="",FALSE,TRUE)</f>
        <v>0</v>
      </c>
      <c r="AY677" t="b">
        <f>IF(metadata!N677="",FALSE,TRUE)</f>
        <v>0</v>
      </c>
      <c r="AZ677" t="b">
        <f>OR(AND(IF(metadata!O677="",FALSE,TRUE),OR(EXACT(metadata!O677,"missing: not collected"),EXACT(metadata!O677,"missing: not provided"),EXACT(metadata!O677,"missing: restricted access"))),AND(IF(metadata!O677="",FALSE,TRUE),OR(EXACT(metadata!O677,"air"),EXACT(metadata!O677,"built environment"),EXACT(metadata!O677,"host-associated"),EXACT(metadata!O677,"human-associated"),EXACT(metadata!O677,"human-skin"),EXACT(metadata!O677,"human-oral"),EXACT(metadata!O677,"human-gut"),EXACT(metadata!O677,"human-vaginal"),EXACT(metadata!O677,"microbial mat/biofilm"),EXACT(metadata!O677,"misc environment"),EXACT(metadata!O677,"plant-associated"),EXACT(metadata!O677,"sediment"),EXACT(metadata!O677,"soil"),EXACT(metadata!O677,"wastewater/sludge"),EXACT(metadata!O677,"water"))))</f>
        <v>0</v>
      </c>
      <c r="BA677" t="b">
        <f>IF(metadata!P677="",FALSE,TRUE)</f>
        <v>0</v>
      </c>
      <c r="BB677" t="b">
        <f>IF(metadata!Q677="",FALSE,TRUE)</f>
        <v>0</v>
      </c>
      <c r="BC677" t="b">
        <f>OR(AND(IF(metadata!R677="",FALSE,TRUE),OR(EXACT(metadata!R677,"missing: not collected"),EXACT(metadata!R677,"missing: not provided"),EXACT(metadata!R677,"missing: restricted access"))),AND(IF(metadata!R677="",FALSE,ISNUMBER(VALUE(metadata!R677))),metadata!R677&gt;=-90,metadata!R677&lt;=90))</f>
        <v>0</v>
      </c>
      <c r="BD677" t="b">
        <f>AND(IF(metadata!S677="",FALSE,TRUE),EXACT(metadata!S677,"Decimal degrees"))</f>
        <v>0</v>
      </c>
      <c r="BE677" t="b">
        <f>OR(AND(IF(metadata!T677="",FALSE,TRUE),OR(EXACT(metadata!T677,"missing: not collected"),EXACT(metadata!T677,"missing: not provided"),EXACT(metadata!T677,"missing: restricted access"))),AND(IF(metadata!T677="",FALSE,ISNUMBER(VALUE(metadata!T677))),metadata!T677&gt;=-180,metadata!T677&lt;=180))</f>
        <v>0</v>
      </c>
      <c r="BF677" t="b">
        <f>AND(IF(metadata!U677="",FALSE,TRUE),EXACT(metadata!U677,"Decimal degrees"))</f>
        <v>0</v>
      </c>
      <c r="BG677" t="b">
        <f>IF(metadata!V677="",FALSE,TRUE)</f>
        <v>0</v>
      </c>
      <c r="BH677" t="b">
        <f>OR(AND(IF(metadata!W677="",FALSE,TRUE),OR(EXACT(metadata!W677,"missing: not collected"),EXACT(metadata!W677,"missing: not provided"),EXACT(metadata!W677,"missing: restricted access"))),AND(IF(metadata!W677="",FALSE,TRUE),OR(EXACT(metadata!W677,"TRUE"),EXACT(metadata!W677,"FALSE"))))</f>
        <v>0</v>
      </c>
      <c r="BI677" t="b">
        <f>AND(IF(metadata!X677="",FALSE,TRUE),EXACT(metadata!X677,"other"))</f>
        <v>0</v>
      </c>
      <c r="BJ677" t="b">
        <f>IF(metadata!Y677="",FALSE,TRUE)</f>
        <v>0</v>
      </c>
      <c r="BK677" t="b">
        <f>OR(AND(IF(metadata!Z677="",FALSE,TRUE),OR(EXACT(metadata!Z677,"missing: not collected"),EXACT(metadata!Z677,"missing: not provided"))),AND(IF(metadata!Z677="",FALSE,IF(ISERROR(INT(metadata!Z677)),FALSE,INT(metadata!Z677)=metadata!Z677)),metadata!Z677&gt;0))</f>
        <v>0</v>
      </c>
      <c r="BL677" t="b">
        <f>AND(IF(metadata!AA677="",FALSE,TRUE),EXACT(metadata!AA677,"Not applicable"))</f>
        <v>0</v>
      </c>
      <c r="BM677" t="b">
        <f>IF(metadata!AB677="",FALSE,TRUE)</f>
        <v>0</v>
      </c>
    </row>
    <row r="678" spans="1:65" x14ac:dyDescent="0.2">
      <c r="A678" s="5" t="str">
        <f ca="1">IF(B678=" "," ",HYPERLINK(CONCATENATE("#metadata!",ADDRESS(INDEX($AH$2:$AH$1001,MATCH(ROWS($AF$2:AF678),$AF$2:$AF$1001,0),0),1)),INDEX($AK$2:$AK$1001,MATCH(ROWS($AF$2:AF678),$AF$2:$AF$1001,0),0)))</f>
        <v xml:space="preserve"> </v>
      </c>
      <c r="B678" s="4" t="str">
        <f ca="1">IF(OR(INDEX($AG$2:$AG$1001,MATCH(ROWS($AF$2:AF678),$AF$2:$AF$1001,0),1)&gt;=100000,INDEX($AM$1005:$BM$1005,1,MATCH(COLUMNS($AM$1006:AM1006),$AM$1006:$BM$1006,0))&gt;=100000), " ",IF(INDEX($AM$2:$BM$1001,MATCH(ROWS($AF$2:AF678),$AF$2:$AF$1001,0),MATCH(COLUMNS($AM$1006:AM1006),$AM$1006:$BM$1006,0)), HYPERLINK("#",""), HYPERLINK(CONCATENATE("#metadata!", ADDRESS(INDEX($AH$2:$AH$1001,MATCH(ROWS($AF$2:AF678),$AF$2:$AF$1001,0),0), INDEX($AM$1004:$BM$1004,1,MATCH(COLUMNS($AM$1006:AM1006),$AM$1006:$BM$1006,0)))),"Fix")))</f>
        <v xml:space="preserve"> </v>
      </c>
      <c r="C678" s="4" t="str">
        <f ca="1">IF(OR(INDEX($AG$2:$AG$1001,MATCH(ROWS($AF$2:AF678),$AF$2:$AF$1001,0),1)&gt;=100000,INDEX($AM$1005:$BM$1005,1,MATCH(COLUMNS($AM$1006:AN1006),$AM$1006:$BM$1006,0))&gt;=100000), " ",IF(INDEX($AM$2:$BM$1001,MATCH(ROWS($AF$2:AF678),$AF$2:$AF$1001,0),MATCH(COLUMNS($AM$1006:AN1006),$AM$1006:$BM$1006,0)), HYPERLINK("#",""), HYPERLINK(CONCATENATE("#metadata!", ADDRESS(INDEX($AH$2:$AH$1001,MATCH(ROWS($AF$2:AF678),$AF$2:$AF$1001,0),0), INDEX($AM$1004:$BM$1004,1,MATCH(COLUMNS($AM$1006:AN1006),$AM$1006:$BM$1006,0)))),"Fix")))</f>
        <v xml:space="preserve"> </v>
      </c>
      <c r="D678" s="4" t="str">
        <f ca="1">IF(OR(INDEX($AG$2:$AG$1001,MATCH(ROWS($AF$2:AF678),$AF$2:$AF$1001,0),1)&gt;=100000,INDEX($AM$1005:$BM$1005,1,MATCH(COLUMNS($AM$1006:AO1006),$AM$1006:$BM$1006,0))&gt;=100000), " ",IF(INDEX($AM$2:$BM$1001,MATCH(ROWS($AF$2:AF678),$AF$2:$AF$1001,0),MATCH(COLUMNS($AM$1006:AO1006),$AM$1006:$BM$1006,0)), HYPERLINK("#",""), HYPERLINK(CONCATENATE("#metadata!", ADDRESS(INDEX($AH$2:$AH$1001,MATCH(ROWS($AF$2:AF678),$AF$2:$AF$1001,0),0), INDEX($AM$1004:$BM$1004,1,MATCH(COLUMNS($AM$1006:AO1006),$AM$1006:$BM$1006,0)))),"Fix")))</f>
        <v xml:space="preserve"> </v>
      </c>
      <c r="E678" s="4" t="str">
        <f ca="1">IF(OR(INDEX($AG$2:$AG$1001,MATCH(ROWS($AF$2:AF678),$AF$2:$AF$1001,0),1)&gt;=100000,INDEX($AM$1005:$BM$1005,1,MATCH(COLUMNS($AM$1006:AP1006),$AM$1006:$BM$1006,0))&gt;=100000), " ",IF(INDEX($AM$2:$BM$1001,MATCH(ROWS($AF$2:AF678),$AF$2:$AF$1001,0),MATCH(COLUMNS($AM$1006:AP1006),$AM$1006:$BM$1006,0)), HYPERLINK("#",""), HYPERLINK(CONCATENATE("#metadata!", ADDRESS(INDEX($AH$2:$AH$1001,MATCH(ROWS($AF$2:AF678),$AF$2:$AF$1001,0),0), INDEX($AM$1004:$BM$1004,1,MATCH(COLUMNS($AM$1006:AP1006),$AM$1006:$BM$1006,0)))),"Fix")))</f>
        <v xml:space="preserve"> </v>
      </c>
      <c r="F678" s="4" t="str">
        <f ca="1">IF(OR(INDEX($AG$2:$AG$1001,MATCH(ROWS($AF$2:AF678),$AF$2:$AF$1001,0),1)&gt;=100000,INDEX($AM$1005:$BM$1005,1,MATCH(COLUMNS($AM$1006:AQ1006),$AM$1006:$BM$1006,0))&gt;=100000), " ",IF(INDEX($AM$2:$BM$1001,MATCH(ROWS($AF$2:AF678),$AF$2:$AF$1001,0),MATCH(COLUMNS($AM$1006:AQ1006),$AM$1006:$BM$1006,0)), HYPERLINK("#",""), HYPERLINK(CONCATENATE("#metadata!", ADDRESS(INDEX($AH$2:$AH$1001,MATCH(ROWS($AF$2:AF678),$AF$2:$AF$1001,0),0), INDEX($AM$1004:$BM$1004,1,MATCH(COLUMNS($AM$1006:AQ1006),$AM$1006:$BM$1006,0)))),"Fix")))</f>
        <v xml:space="preserve"> </v>
      </c>
      <c r="G678" s="4" t="str">
        <f ca="1">IF(OR(INDEX($AG$2:$AG$1001,MATCH(ROWS($AF$2:AF678),$AF$2:$AF$1001,0),1)&gt;=100000,INDEX($AM$1005:$BM$1005,1,MATCH(COLUMNS($AM$1006:AR1006),$AM$1006:$BM$1006,0))&gt;=100000), " ",IF(INDEX($AM$2:$BM$1001,MATCH(ROWS($AF$2:AF678),$AF$2:$AF$1001,0),MATCH(COLUMNS($AM$1006:AR1006),$AM$1006:$BM$1006,0)), HYPERLINK("#",""), HYPERLINK(CONCATENATE("#metadata!", ADDRESS(INDEX($AH$2:$AH$1001,MATCH(ROWS($AF$2:AF678),$AF$2:$AF$1001,0),0), INDEX($AM$1004:$BM$1004,1,MATCH(COLUMNS($AM$1006:AR1006),$AM$1006:$BM$1006,0)))),"Fix")))</f>
        <v xml:space="preserve"> </v>
      </c>
      <c r="H678" s="4" t="str">
        <f ca="1">IF(OR(INDEX($AG$2:$AG$1001,MATCH(ROWS($AF$2:AF678),$AF$2:$AF$1001,0),1)&gt;=100000,INDEX($AM$1005:$BM$1005,1,MATCH(COLUMNS($AM$1006:AS1006),$AM$1006:$BM$1006,0))&gt;=100000), " ",IF(INDEX($AM$2:$BM$1001,MATCH(ROWS($AF$2:AF678),$AF$2:$AF$1001,0),MATCH(COLUMNS($AM$1006:AS1006),$AM$1006:$BM$1006,0)), HYPERLINK("#",""), HYPERLINK(CONCATENATE("#metadata!", ADDRESS(INDEX($AH$2:$AH$1001,MATCH(ROWS($AF$2:AF678),$AF$2:$AF$1001,0),0), INDEX($AM$1004:$BM$1004,1,MATCH(COLUMNS($AM$1006:AS1006),$AM$1006:$BM$1006,0)))),"Fix")))</f>
        <v xml:space="preserve"> </v>
      </c>
      <c r="I678" s="4" t="str">
        <f ca="1">IF(OR(INDEX($AG$2:$AG$1001,MATCH(ROWS($AF$2:AF678),$AF$2:$AF$1001,0),1)&gt;=100000,INDEX($AM$1005:$BM$1005,1,MATCH(COLUMNS($AM$1006:AT1006),$AM$1006:$BM$1006,0))&gt;=100000), " ",IF(INDEX($AM$2:$BM$1001,MATCH(ROWS($AF$2:AF678),$AF$2:$AF$1001,0),MATCH(COLUMNS($AM$1006:AT1006),$AM$1006:$BM$1006,0)), HYPERLINK("#",""), HYPERLINK(CONCATENATE("#metadata!", ADDRESS(INDEX($AH$2:$AH$1001,MATCH(ROWS($AF$2:AF678),$AF$2:$AF$1001,0),0), INDEX($AM$1004:$BM$1004,1,MATCH(COLUMNS($AM$1006:AT1006),$AM$1006:$BM$1006,0)))),"Fix")))</f>
        <v xml:space="preserve"> </v>
      </c>
      <c r="J678" s="4" t="str">
        <f ca="1">IF(OR(INDEX($AG$2:$AG$1001,MATCH(ROWS($AF$2:AF678),$AF$2:$AF$1001,0),1)&gt;=100000,INDEX($AM$1005:$BM$1005,1,MATCH(COLUMNS($AM$1006:AU1006),$AM$1006:$BM$1006,0))&gt;=100000), " ",IF(INDEX($AM$2:$BM$1001,MATCH(ROWS($AF$2:AF678),$AF$2:$AF$1001,0),MATCH(COLUMNS($AM$1006:AU1006),$AM$1006:$BM$1006,0)), HYPERLINK("#",""), HYPERLINK(CONCATENATE("#metadata!", ADDRESS(INDEX($AH$2:$AH$1001,MATCH(ROWS($AF$2:AF678),$AF$2:$AF$1001,0),0), INDEX($AM$1004:$BM$1004,1,MATCH(COLUMNS($AM$1006:AU1006),$AM$1006:$BM$1006,0)))),"Fix")))</f>
        <v xml:space="preserve"> </v>
      </c>
      <c r="K678" s="4" t="str">
        <f ca="1">IF(OR(INDEX($AG$2:$AG$1001,MATCH(ROWS($AF$2:AF678),$AF$2:$AF$1001,0),1)&gt;=100000,INDEX($AM$1005:$BM$1005,1,MATCH(COLUMNS($AM$1006:AV1006),$AM$1006:$BM$1006,0))&gt;=100000), " ",IF(INDEX($AM$2:$BM$1001,MATCH(ROWS($AF$2:AF678),$AF$2:$AF$1001,0),MATCH(COLUMNS($AM$1006:AV1006),$AM$1006:$BM$1006,0)), HYPERLINK("#",""), HYPERLINK(CONCATENATE("#metadata!", ADDRESS(INDEX($AH$2:$AH$1001,MATCH(ROWS($AF$2:AF678),$AF$2:$AF$1001,0),0), INDEX($AM$1004:$BM$1004,1,MATCH(COLUMNS($AM$1006:AV1006),$AM$1006:$BM$1006,0)))),"Fix")))</f>
        <v xml:space="preserve"> </v>
      </c>
      <c r="L678" s="4" t="str">
        <f ca="1">IF(OR(INDEX($AG$2:$AG$1001,MATCH(ROWS($AF$2:AF678),$AF$2:$AF$1001,0),1)&gt;=100000,INDEX($AM$1005:$BM$1005,1,MATCH(COLUMNS($AM$1006:AW1006),$AM$1006:$BM$1006,0))&gt;=100000), " ",IF(INDEX($AM$2:$BM$1001,MATCH(ROWS($AF$2:AF678),$AF$2:$AF$1001,0),MATCH(COLUMNS($AM$1006:AW1006),$AM$1006:$BM$1006,0)), HYPERLINK("#",""), HYPERLINK(CONCATENATE("#metadata!", ADDRESS(INDEX($AH$2:$AH$1001,MATCH(ROWS($AF$2:AF678),$AF$2:$AF$1001,0),0), INDEX($AM$1004:$BM$1004,1,MATCH(COLUMNS($AM$1006:AW1006),$AM$1006:$BM$1006,0)))),"Fix")))</f>
        <v xml:space="preserve"> </v>
      </c>
      <c r="M678" s="4" t="str">
        <f ca="1">IF(OR(INDEX($AG$2:$AG$1001,MATCH(ROWS($AF$2:AF678),$AF$2:$AF$1001,0),1)&gt;=100000,INDEX($AM$1005:$BM$1005,1,MATCH(COLUMNS($AM$1006:AX1006),$AM$1006:$BM$1006,0))&gt;=100000), " ",IF(INDEX($AM$2:$BM$1001,MATCH(ROWS($AF$2:AF678),$AF$2:$AF$1001,0),MATCH(COLUMNS($AM$1006:AX1006),$AM$1006:$BM$1006,0)), HYPERLINK("#",""), HYPERLINK(CONCATENATE("#metadata!", ADDRESS(INDEX($AH$2:$AH$1001,MATCH(ROWS($AF$2:AF678),$AF$2:$AF$1001,0),0), INDEX($AM$1004:$BM$1004,1,MATCH(COLUMNS($AM$1006:AX1006),$AM$1006:$BM$1006,0)))),"Fix")))</f>
        <v xml:space="preserve"> </v>
      </c>
      <c r="N678" s="4" t="str">
        <f ca="1">IF(OR(INDEX($AG$2:$AG$1001,MATCH(ROWS($AF$2:AF678),$AF$2:$AF$1001,0),1)&gt;=100000,INDEX($AM$1005:$BM$1005,1,MATCH(COLUMNS($AM$1006:AY1006),$AM$1006:$BM$1006,0))&gt;=100000), " ",IF(INDEX($AM$2:$BM$1001,MATCH(ROWS($AF$2:AF678),$AF$2:$AF$1001,0),MATCH(COLUMNS($AM$1006:AY1006),$AM$1006:$BM$1006,0)), HYPERLINK("#",""), HYPERLINK(CONCATENATE("#metadata!", ADDRESS(INDEX($AH$2:$AH$1001,MATCH(ROWS($AF$2:AF678),$AF$2:$AF$1001,0),0), INDEX($AM$1004:$BM$1004,1,MATCH(COLUMNS($AM$1006:AY1006),$AM$1006:$BM$1006,0)))),"Fix")))</f>
        <v xml:space="preserve"> </v>
      </c>
      <c r="O678" s="4" t="str">
        <f ca="1">IF(OR(INDEX($AG$2:$AG$1001,MATCH(ROWS($AF$2:AF678),$AF$2:$AF$1001,0),1)&gt;=100000,INDEX($AM$1005:$BM$1005,1,MATCH(COLUMNS($AM$1006:AZ1006),$AM$1006:$BM$1006,0))&gt;=100000), " ",IF(INDEX($AM$2:$BM$1001,MATCH(ROWS($AF$2:AF678),$AF$2:$AF$1001,0),MATCH(COLUMNS($AM$1006:AZ1006),$AM$1006:$BM$1006,0)), HYPERLINK("#",""), HYPERLINK(CONCATENATE("#metadata!", ADDRESS(INDEX($AH$2:$AH$1001,MATCH(ROWS($AF$2:AF678),$AF$2:$AF$1001,0),0), INDEX($AM$1004:$BM$1004,1,MATCH(COLUMNS($AM$1006:AZ1006),$AM$1006:$BM$1006,0)))),"Fix")))</f>
        <v xml:space="preserve"> </v>
      </c>
      <c r="P678" s="4" t="str">
        <f ca="1">IF(OR(INDEX($AG$2:$AG$1001,MATCH(ROWS($AF$2:AF678),$AF$2:$AF$1001,0),1)&gt;=100000,INDEX($AM$1005:$BM$1005,1,MATCH(COLUMNS($AM$1006:BA1006),$AM$1006:$BM$1006,0))&gt;=100000), " ",IF(INDEX($AM$2:$BM$1001,MATCH(ROWS($AF$2:AF678),$AF$2:$AF$1001,0),MATCH(COLUMNS($AM$1006:BA1006),$AM$1006:$BM$1006,0)), HYPERLINK("#",""), HYPERLINK(CONCATENATE("#metadata!", ADDRESS(INDEX($AH$2:$AH$1001,MATCH(ROWS($AF$2:AF678),$AF$2:$AF$1001,0),0), INDEX($AM$1004:$BM$1004,1,MATCH(COLUMNS($AM$1006:BA1006),$AM$1006:$BM$1006,0)))),"Fix")))</f>
        <v xml:space="preserve"> </v>
      </c>
      <c r="Q678" s="4" t="str">
        <f ca="1">IF(OR(INDEX($AG$2:$AG$1001,MATCH(ROWS($AF$2:AF678),$AF$2:$AF$1001,0),1)&gt;=100000,INDEX($AM$1005:$BM$1005,1,MATCH(COLUMNS($AM$1006:BB1006),$AM$1006:$BM$1006,0))&gt;=100000), " ",IF(INDEX($AM$2:$BM$1001,MATCH(ROWS($AF$2:AF678),$AF$2:$AF$1001,0),MATCH(COLUMNS($AM$1006:BB1006),$AM$1006:$BM$1006,0)), HYPERLINK("#",""), HYPERLINK(CONCATENATE("#metadata!", ADDRESS(INDEX($AH$2:$AH$1001,MATCH(ROWS($AF$2:AF678),$AF$2:$AF$1001,0),0), INDEX($AM$1004:$BM$1004,1,MATCH(COLUMNS($AM$1006:BB1006),$AM$1006:$BM$1006,0)))),"Fix")))</f>
        <v xml:space="preserve"> </v>
      </c>
      <c r="R678" s="4" t="str">
        <f ca="1">IF(OR(INDEX($AG$2:$AG$1001,MATCH(ROWS($AF$2:AF678),$AF$2:$AF$1001,0),1)&gt;=100000,INDEX($AM$1005:$BM$1005,1,MATCH(COLUMNS($AM$1006:BC1006),$AM$1006:$BM$1006,0))&gt;=100000), " ",IF(INDEX($AM$2:$BM$1001,MATCH(ROWS($AF$2:AF678),$AF$2:$AF$1001,0),MATCH(COLUMNS($AM$1006:BC1006),$AM$1006:$BM$1006,0)), HYPERLINK("#",""), HYPERLINK(CONCATENATE("#metadata!", ADDRESS(INDEX($AH$2:$AH$1001,MATCH(ROWS($AF$2:AF678),$AF$2:$AF$1001,0),0), INDEX($AM$1004:$BM$1004,1,MATCH(COLUMNS($AM$1006:BC1006),$AM$1006:$BM$1006,0)))),"Fix")))</f>
        <v xml:space="preserve"> </v>
      </c>
      <c r="S678" s="4" t="str">
        <f ca="1">IF(OR(INDEX($AG$2:$AG$1001,MATCH(ROWS($AF$2:AF678),$AF$2:$AF$1001,0),1)&gt;=100000,INDEX($AM$1005:$BM$1005,1,MATCH(COLUMNS($AM$1006:BD1006),$AM$1006:$BM$1006,0))&gt;=100000), " ",IF(INDEX($AM$2:$BM$1001,MATCH(ROWS($AF$2:AF678),$AF$2:$AF$1001,0),MATCH(COLUMNS($AM$1006:BD1006),$AM$1006:$BM$1006,0)), HYPERLINK("#",""), HYPERLINK(CONCATENATE("#metadata!", ADDRESS(INDEX($AH$2:$AH$1001,MATCH(ROWS($AF$2:AF678),$AF$2:$AF$1001,0),0), INDEX($AM$1004:$BM$1004,1,MATCH(COLUMNS($AM$1006:BD1006),$AM$1006:$BM$1006,0)))),"Fix")))</f>
        <v xml:space="preserve"> </v>
      </c>
      <c r="T678" s="4" t="str">
        <f ca="1">IF(OR(INDEX($AG$2:$AG$1001,MATCH(ROWS($AF$2:AF678),$AF$2:$AF$1001,0),1)&gt;=100000,INDEX($AM$1005:$BM$1005,1,MATCH(COLUMNS($AM$1006:BE1006),$AM$1006:$BM$1006,0))&gt;=100000), " ",IF(INDEX($AM$2:$BM$1001,MATCH(ROWS($AF$2:AF678),$AF$2:$AF$1001,0),MATCH(COLUMNS($AM$1006:BE1006),$AM$1006:$BM$1006,0)), HYPERLINK("#",""), HYPERLINK(CONCATENATE("#metadata!", ADDRESS(INDEX($AH$2:$AH$1001,MATCH(ROWS($AF$2:AF678),$AF$2:$AF$1001,0),0), INDEX($AM$1004:$BM$1004,1,MATCH(COLUMNS($AM$1006:BE1006),$AM$1006:$BM$1006,0)))),"Fix")))</f>
        <v xml:space="preserve"> </v>
      </c>
      <c r="U678" s="4" t="str">
        <f ca="1">IF(OR(INDEX($AG$2:$AG$1001,MATCH(ROWS($AF$2:AF678),$AF$2:$AF$1001,0),1)&gt;=100000,INDEX($AM$1005:$BM$1005,1,MATCH(COLUMNS($AM$1006:BF1006),$AM$1006:$BM$1006,0))&gt;=100000), " ",IF(INDEX($AM$2:$BM$1001,MATCH(ROWS($AF$2:AF678),$AF$2:$AF$1001,0),MATCH(COLUMNS($AM$1006:BF1006),$AM$1006:$BM$1006,0)), HYPERLINK("#",""), HYPERLINK(CONCATENATE("#metadata!", ADDRESS(INDEX($AH$2:$AH$1001,MATCH(ROWS($AF$2:AF678),$AF$2:$AF$1001,0),0), INDEX($AM$1004:$BM$1004,1,MATCH(COLUMNS($AM$1006:BF1006),$AM$1006:$BM$1006,0)))),"Fix")))</f>
        <v xml:space="preserve"> </v>
      </c>
      <c r="V678" s="4" t="str">
        <f ca="1">IF(OR(INDEX($AG$2:$AG$1001,MATCH(ROWS($AF$2:AF678),$AF$2:$AF$1001,0),1)&gt;=100000,INDEX($AM$1005:$BM$1005,1,MATCH(COLUMNS($AM$1006:BG1006),$AM$1006:$BM$1006,0))&gt;=100000), " ",IF(INDEX($AM$2:$BM$1001,MATCH(ROWS($AF$2:AF678),$AF$2:$AF$1001,0),MATCH(COLUMNS($AM$1006:BG1006),$AM$1006:$BM$1006,0)), HYPERLINK("#",""), HYPERLINK(CONCATENATE("#metadata!", ADDRESS(INDEX($AH$2:$AH$1001,MATCH(ROWS($AF$2:AF678),$AF$2:$AF$1001,0),0), INDEX($AM$1004:$BM$1004,1,MATCH(COLUMNS($AM$1006:BG1006),$AM$1006:$BM$1006,0)))),"Fix")))</f>
        <v xml:space="preserve"> </v>
      </c>
      <c r="W678" s="4" t="str">
        <f ca="1">IF(OR(INDEX($AG$2:$AG$1001,MATCH(ROWS($AF$2:AF678),$AF$2:$AF$1001,0),1)&gt;=100000,INDEX($AM$1005:$BM$1005,1,MATCH(COLUMNS($AM$1006:BH1006),$AM$1006:$BM$1006,0))&gt;=100000), " ",IF(INDEX($AM$2:$BM$1001,MATCH(ROWS($AF$2:AF678),$AF$2:$AF$1001,0),MATCH(COLUMNS($AM$1006:BH1006),$AM$1006:$BM$1006,0)), HYPERLINK("#",""), HYPERLINK(CONCATENATE("#metadata!", ADDRESS(INDEX($AH$2:$AH$1001,MATCH(ROWS($AF$2:AF678),$AF$2:$AF$1001,0),0), INDEX($AM$1004:$BM$1004,1,MATCH(COLUMNS($AM$1006:BH1006),$AM$1006:$BM$1006,0)))),"Fix")))</f>
        <v xml:space="preserve"> </v>
      </c>
      <c r="X678" s="4" t="str">
        <f ca="1">IF(OR(INDEX($AG$2:$AG$1001,MATCH(ROWS($AF$2:AF678),$AF$2:$AF$1001,0),1)&gt;=100000,INDEX($AM$1005:$BM$1005,1,MATCH(COLUMNS($AM$1006:BI1006),$AM$1006:$BM$1006,0))&gt;=100000), " ",IF(INDEX($AM$2:$BM$1001,MATCH(ROWS($AF$2:AF678),$AF$2:$AF$1001,0),MATCH(COLUMNS($AM$1006:BI1006),$AM$1006:$BM$1006,0)), HYPERLINK("#",""), HYPERLINK(CONCATENATE("#metadata!", ADDRESS(INDEX($AH$2:$AH$1001,MATCH(ROWS($AF$2:AF678),$AF$2:$AF$1001,0),0), INDEX($AM$1004:$BM$1004,1,MATCH(COLUMNS($AM$1006:BI1006),$AM$1006:$BM$1006,0)))),"Fix")))</f>
        <v xml:space="preserve"> </v>
      </c>
      <c r="Y678" s="4" t="str">
        <f ca="1">IF(OR(INDEX($AG$2:$AG$1001,MATCH(ROWS($AF$2:AF678),$AF$2:$AF$1001,0),1)&gt;=100000,INDEX($AM$1005:$BM$1005,1,MATCH(COLUMNS($AM$1006:BJ1006),$AM$1006:$BM$1006,0))&gt;=100000), " ",IF(INDEX($AM$2:$BM$1001,MATCH(ROWS($AF$2:AF678),$AF$2:$AF$1001,0),MATCH(COLUMNS($AM$1006:BJ1006),$AM$1006:$BM$1006,0)), HYPERLINK("#",""), HYPERLINK(CONCATENATE("#metadata!", ADDRESS(INDEX($AH$2:$AH$1001,MATCH(ROWS($AF$2:AF678),$AF$2:$AF$1001,0),0), INDEX($AM$1004:$BM$1004,1,MATCH(COLUMNS($AM$1006:BJ1006),$AM$1006:$BM$1006,0)))),"Fix")))</f>
        <v xml:space="preserve"> </v>
      </c>
      <c r="Z678" s="4" t="str">
        <f ca="1">IF(OR(INDEX($AG$2:$AG$1001,MATCH(ROWS($AF$2:AF678),$AF$2:$AF$1001,0),1)&gt;=100000,INDEX($AM$1005:$BM$1005,1,MATCH(COLUMNS($AM$1006:BK1006),$AM$1006:$BM$1006,0))&gt;=100000), " ",IF(INDEX($AM$2:$BM$1001,MATCH(ROWS($AF$2:AF678),$AF$2:$AF$1001,0),MATCH(COLUMNS($AM$1006:BK1006),$AM$1006:$BM$1006,0)), HYPERLINK("#",""), HYPERLINK(CONCATENATE("#metadata!", ADDRESS(INDEX($AH$2:$AH$1001,MATCH(ROWS($AF$2:AF678),$AF$2:$AF$1001,0),0), INDEX($AM$1004:$BM$1004,1,MATCH(COLUMNS($AM$1006:BK1006),$AM$1006:$BM$1006,0)))),"Fix")))</f>
        <v xml:space="preserve"> </v>
      </c>
      <c r="AA678" s="4" t="str">
        <f ca="1">IF(OR(INDEX($AG$2:$AG$1001,MATCH(ROWS($AF$2:AF678),$AF$2:$AF$1001,0),1)&gt;=100000,INDEX($AM$1005:$BM$1005,1,MATCH(COLUMNS($AM$1006:BL1006),$AM$1006:$BM$1006,0))&gt;=100000), " ",IF(INDEX($AM$2:$BM$1001,MATCH(ROWS($AF$2:AF678),$AF$2:$AF$1001,0),MATCH(COLUMNS($AM$1006:BL1006),$AM$1006:$BM$1006,0)), HYPERLINK("#",""), HYPERLINK(CONCATENATE("#metadata!", ADDRESS(INDEX($AH$2:$AH$1001,MATCH(ROWS($AF$2:AF678),$AF$2:$AF$1001,0),0), INDEX($AM$1004:$BM$1004,1,MATCH(COLUMNS($AM$1006:BL1006),$AM$1006:$BM$1006,0)))),"Fix")))</f>
        <v xml:space="preserve"> </v>
      </c>
      <c r="AB678" s="4" t="str">
        <f ca="1">IF(OR(INDEX($AG$2:$AG$1001,MATCH(ROWS($AF$2:AF678),$AF$2:$AF$1001,0),1)&gt;=100000,INDEX($AM$1005:$BM$1005,1,MATCH(COLUMNS($AM$1006:BM1006),$AM$1006:$BM$1006,0))&gt;=100000), " ",IF(INDEX($AM$2:$BM$1001,MATCH(ROWS($AF$2:AF678),$AF$2:$AF$1001,0),MATCH(COLUMNS($AM$1006:BM1006),$AM$1006:$BM$1006,0)), HYPERLINK("#",""), HYPERLINK(CONCATENATE("#metadata!", ADDRESS(INDEX($AH$2:$AH$1001,MATCH(ROWS($AF$2:AF678),$AF$2:$AF$1001,0),0), INDEX($AM$1004:$BM$1004,1,MATCH(COLUMNS($AM$1006:BM1006),$AM$1006:$BM$1006,0)))),"Fix")))</f>
        <v xml:space="preserve"> </v>
      </c>
      <c r="AF678">
        <v>677</v>
      </c>
      <c r="AG678">
        <v>100678</v>
      </c>
      <c r="AH678">
        <v>678</v>
      </c>
      <c r="AI678" t="b">
        <f t="shared" si="10"/>
        <v>1</v>
      </c>
      <c r="AJ678" t="b">
        <f>COUNTBLANK(metadata!B678:AB678)=COLUMNS(metadata!B678:AB678)</f>
        <v>1</v>
      </c>
      <c r="AK678" t="str">
        <v/>
      </c>
      <c r="AM678" t="b">
        <f ca="1">AND(IF(metadata!B678="",FALSE,TRUE),COUNTIF(metadata!B:B, metadata!B678) = 1,NOT(ISERROR(SUMPRODUCT(SEARCH(MID(metadata!B678,ROW(INDIRECT("1:"&amp;LEN(metadata!B678))), 1),"0123456789abcdefghijklmnopqrstuvwxyzABCDEFGHIJKLMNOPQRSTUVWXYZ.")))))</f>
        <v>0</v>
      </c>
      <c r="AN678" t="b">
        <f ca="1">OR(AND(IF(metadata!C678="",FALSE,TRUE),OR(EXACT(metadata!C678,"missing: not collected"),EXACT(metadata!C678,"missing: not provided"),EXACT(metadata!C678,"missing: restricted access"))),AND(IF(metadata!C678="",FALSE,TRUE),AND(AND(IFERROR(INT(LEFT(metadata!C678,4))&gt;1900,FALSE),IFERROR(INT(LEFT(metadata!C678,4))&lt;=YEAR(NOW()),FALSE)), OR(MID(metadata!C678,5,1)="", AND(AND(MID(metadata!C678,5,1)="-",IFERROR(INT(MID(metadata!C678,6,1))&gt;=0,FALSE),IFERROR(INT(MID(metadata!C678,6,1))&lt;=1,FALSE),NOT(MID(metadata!C678,7,1)=""),IFERROR(INT(MID(metadata!C678,6,2))&gt;=1,FALSE),IFERROR(INT(MID(metadata!C678,6,2))&lt;=12,FALSE)), OR(MID(metadata!C678,8,1)="", AND(AND(MID(metadata!C678,8,1)="-",IFERROR(INT(MID(metadata!C678,9,1))&gt;=0,FALSE),IFERROR(INT(MID(metadata!C678,9,1))&lt;=3,FALSE),NOT(MID(metadata!C678,10,1)=""),IFERROR(INT(MID(metadata!C678,9,2))&gt;=1,FALSE),IFERROR(INT(MID(metadata!C678,9,2))&lt;=31,FALSE)), OR(MID(metadata!C678,11,1)="", AND(AND(MID(metadata!C678,11,1)=" ",IFERROR(INT(MID(metadata!C678,12,1))&gt;=0,FALSE),IFERROR(INT(MID(metadata!C678,12,1))&lt;=2,FALSE),NOT(MID(metadata!C678,13,1)=""),IFERROR(INT(MID(metadata!C678,12,2))&gt;=0,FALSE),IFERROR(INT(MID(metadata!C678,12,2))&lt;=23,FALSE)), OR(MID(metadata!C678,14,1)="", AND(AND(MID(metadata!C678,14,1)=":",IFERROR(INT(MID(metadata!C678,15,1))&gt;=0,FALSE),IFERROR(INT(MID(metadata!C678,15,1))&lt;=5,FALSE),NOT(MID(metadata!C678,16,1)=""),IFERROR(INT(MID(metadata!C678,15,2))&gt;=0,FALSE),IFERROR(INT(MID(metadata!C678,15,2))&lt;=59,FALSE)), OR(MID(metadata!C678,17,1)="", AND(AND(MID(metadata!C678,17,1)=":",IFERROR(INT(MID(metadata!C678,18,1))&gt;=0,FALSE),IFERROR(INT(MID(metadata!C678,18,1))&lt;=5,FALSE),NOT(MID(metadata!C678,19,1)=""),IFERROR(INT(MID(metadata!C678,18,2))&gt;=0,FALSE),IFERROR(INT(MID(metadata!C678,18,2))&lt;=59,FALSE)), LEN(metadata!C678)&lt;=19)))))))))))))</f>
        <v>0</v>
      </c>
      <c r="AO678" t="b">
        <f>AND(IF(metadata!D678="",FALSE,TRUE),EXACT(metadata!D678,"Not applicable"))</f>
        <v>0</v>
      </c>
      <c r="AP678" t="b">
        <f>IF(metadata!E678="",FALSE,TRUE)</f>
        <v>0</v>
      </c>
      <c r="AQ678" t="b">
        <f>OR(AND(IF(metadata!F678="",FALSE,TRUE),OR(EXACT(metadata!F678,"missing: not collected"),EXACT(metadata!F678,"missing: not provided"))),AND(IF(metadata!F678="",FALSE,TRUE),OR(EXACT(metadata!F678,"TRUE"),EXACT(metadata!F678,"FALSE"))))</f>
        <v>0</v>
      </c>
      <c r="AR678" t="b">
        <f>OR(AND(IF(metadata!G678="",FALSE,TRUE),OR(EXACT(metadata!G678,"missing: not collected"),EXACT(metadata!G678,"missing: not provided"),EXACT(metadata!G678,"missing: restricted access"))),AND(IF(metadata!G678="",FALSE,ISNUMBER(VALUE(metadata!G678))),metadata!G678&gt;=-413))</f>
        <v>0</v>
      </c>
      <c r="AS678" t="b">
        <f>AND(IF(metadata!H678="",FALSE,TRUE),EXACT(metadata!H678,"meters"))</f>
        <v>0</v>
      </c>
      <c r="AT678" t="b">
        <f>AND(IF(metadata!I678="",FALSE,TRUE),OR(EXACT(metadata!I678,"Host-associated"),EXACT(metadata!I678,"Free-living")))</f>
        <v>0</v>
      </c>
      <c r="AU678" t="b">
        <f>AND(IF(metadata!J678="",FALSE,TRUE),OR(EXACT(metadata!J678,"Animal"),EXACT(metadata!J678,"Fungus"),EXACT(metadata!J678,"Plant"),EXACT(metadata!J678,"Saline"),EXACT(metadata!J678,"Non-saline")))</f>
        <v>0</v>
      </c>
      <c r="AV678" t="b">
        <f>AND(IF(metadata!K678="",FALSE,TRUE),OR(EXACT(metadata!K678,"Plant secretion"),EXACT(metadata!K678,"Plant rhizosphere"),EXACT(metadata!K678,"Plant surface"),EXACT(metadata!K678,"Plant corpus"),EXACT(metadata!K678,"Fungus surface"),EXACT(metadata!K678,"Fungus corpus"),EXACT(metadata!K678,"Animal surface"),EXACT(metadata!K678,"Animal proximal gut"),EXACT(metadata!K678,"Animal corpus"),EXACT(metadata!K678,"Animal distal gut"),EXACT(metadata!K678,"Animal secretion"),EXACT(metadata!K678,"Sub-surface (non-saline)"),EXACT(metadata!K678,"Surface (non-saline)"),EXACT(metadata!K678,"Water (non-saline)"),EXACT(metadata!K678,"Soil (non-saline)"),EXACT(metadata!K678,"Aerosol (non-saline)"),EXACT(metadata!K678,"Sediment (non-saline)"),EXACT(metadata!K678,"Surface (saline)"),EXACT(metadata!K678,"Water (saline)"),EXACT(metadata!K678,"Hypersaline (saline)"),EXACT(metadata!K678,"Aerosol (saline)"),EXACT(metadata!K678,"Sediment (saline)")))</f>
        <v>0</v>
      </c>
      <c r="AW678" t="b">
        <f>IF(metadata!L678="",FALSE,TRUE)</f>
        <v>0</v>
      </c>
      <c r="AX678" t="b">
        <f>IF(metadata!M678="",FALSE,TRUE)</f>
        <v>0</v>
      </c>
      <c r="AY678" t="b">
        <f>IF(metadata!N678="",FALSE,TRUE)</f>
        <v>0</v>
      </c>
      <c r="AZ678" t="b">
        <f>OR(AND(IF(metadata!O678="",FALSE,TRUE),OR(EXACT(metadata!O678,"missing: not collected"),EXACT(metadata!O678,"missing: not provided"),EXACT(metadata!O678,"missing: restricted access"))),AND(IF(metadata!O678="",FALSE,TRUE),OR(EXACT(metadata!O678,"air"),EXACT(metadata!O678,"built environment"),EXACT(metadata!O678,"host-associated"),EXACT(metadata!O678,"human-associated"),EXACT(metadata!O678,"human-skin"),EXACT(metadata!O678,"human-oral"),EXACT(metadata!O678,"human-gut"),EXACT(metadata!O678,"human-vaginal"),EXACT(metadata!O678,"microbial mat/biofilm"),EXACT(metadata!O678,"misc environment"),EXACT(metadata!O678,"plant-associated"),EXACT(metadata!O678,"sediment"),EXACT(metadata!O678,"soil"),EXACT(metadata!O678,"wastewater/sludge"),EXACT(metadata!O678,"water"))))</f>
        <v>0</v>
      </c>
      <c r="BA678" t="b">
        <f>IF(metadata!P678="",FALSE,TRUE)</f>
        <v>0</v>
      </c>
      <c r="BB678" t="b">
        <f>IF(metadata!Q678="",FALSE,TRUE)</f>
        <v>0</v>
      </c>
      <c r="BC678" t="b">
        <f>OR(AND(IF(metadata!R678="",FALSE,TRUE),OR(EXACT(metadata!R678,"missing: not collected"),EXACT(metadata!R678,"missing: not provided"),EXACT(metadata!R678,"missing: restricted access"))),AND(IF(metadata!R678="",FALSE,ISNUMBER(VALUE(metadata!R678))),metadata!R678&gt;=-90,metadata!R678&lt;=90))</f>
        <v>0</v>
      </c>
      <c r="BD678" t="b">
        <f>AND(IF(metadata!S678="",FALSE,TRUE),EXACT(metadata!S678,"Decimal degrees"))</f>
        <v>0</v>
      </c>
      <c r="BE678" t="b">
        <f>OR(AND(IF(metadata!T678="",FALSE,TRUE),OR(EXACT(metadata!T678,"missing: not collected"),EXACT(metadata!T678,"missing: not provided"),EXACT(metadata!T678,"missing: restricted access"))),AND(IF(metadata!T678="",FALSE,ISNUMBER(VALUE(metadata!T678))),metadata!T678&gt;=-180,metadata!T678&lt;=180))</f>
        <v>0</v>
      </c>
      <c r="BF678" t="b">
        <f>AND(IF(metadata!U678="",FALSE,TRUE),EXACT(metadata!U678,"Decimal degrees"))</f>
        <v>0</v>
      </c>
      <c r="BG678" t="b">
        <f>IF(metadata!V678="",FALSE,TRUE)</f>
        <v>0</v>
      </c>
      <c r="BH678" t="b">
        <f>OR(AND(IF(metadata!W678="",FALSE,TRUE),OR(EXACT(metadata!W678,"missing: not collected"),EXACT(metadata!W678,"missing: not provided"),EXACT(metadata!W678,"missing: restricted access"))),AND(IF(metadata!W678="",FALSE,TRUE),OR(EXACT(metadata!W678,"TRUE"),EXACT(metadata!W678,"FALSE"))))</f>
        <v>0</v>
      </c>
      <c r="BI678" t="b">
        <f>AND(IF(metadata!X678="",FALSE,TRUE),EXACT(metadata!X678,"other"))</f>
        <v>0</v>
      </c>
      <c r="BJ678" t="b">
        <f>IF(metadata!Y678="",FALSE,TRUE)</f>
        <v>0</v>
      </c>
      <c r="BK678" t="b">
        <f>OR(AND(IF(metadata!Z678="",FALSE,TRUE),OR(EXACT(metadata!Z678,"missing: not collected"),EXACT(metadata!Z678,"missing: not provided"))),AND(IF(metadata!Z678="",FALSE,IF(ISERROR(INT(metadata!Z678)),FALSE,INT(metadata!Z678)=metadata!Z678)),metadata!Z678&gt;0))</f>
        <v>0</v>
      </c>
      <c r="BL678" t="b">
        <f>AND(IF(metadata!AA678="",FALSE,TRUE),EXACT(metadata!AA678,"Not applicable"))</f>
        <v>0</v>
      </c>
      <c r="BM678" t="b">
        <f>IF(metadata!AB678="",FALSE,TRUE)</f>
        <v>0</v>
      </c>
    </row>
    <row r="679" spans="1:65" x14ac:dyDescent="0.2">
      <c r="A679" s="5" t="str">
        <f ca="1">IF(B679=" "," ",HYPERLINK(CONCATENATE("#metadata!",ADDRESS(INDEX($AH$2:$AH$1001,MATCH(ROWS($AF$2:AF679),$AF$2:$AF$1001,0),0),1)),INDEX($AK$2:$AK$1001,MATCH(ROWS($AF$2:AF679),$AF$2:$AF$1001,0),0)))</f>
        <v xml:space="preserve"> </v>
      </c>
      <c r="B679" s="4" t="str">
        <f ca="1">IF(OR(INDEX($AG$2:$AG$1001,MATCH(ROWS($AF$2:AF679),$AF$2:$AF$1001,0),1)&gt;=100000,INDEX($AM$1005:$BM$1005,1,MATCH(COLUMNS($AM$1006:AM1006),$AM$1006:$BM$1006,0))&gt;=100000), " ",IF(INDEX($AM$2:$BM$1001,MATCH(ROWS($AF$2:AF679),$AF$2:$AF$1001,0),MATCH(COLUMNS($AM$1006:AM1006),$AM$1006:$BM$1006,0)), HYPERLINK("#",""), HYPERLINK(CONCATENATE("#metadata!", ADDRESS(INDEX($AH$2:$AH$1001,MATCH(ROWS($AF$2:AF679),$AF$2:$AF$1001,0),0), INDEX($AM$1004:$BM$1004,1,MATCH(COLUMNS($AM$1006:AM1006),$AM$1006:$BM$1006,0)))),"Fix")))</f>
        <v xml:space="preserve"> </v>
      </c>
      <c r="C679" s="4" t="str">
        <f ca="1">IF(OR(INDEX($AG$2:$AG$1001,MATCH(ROWS($AF$2:AF679),$AF$2:$AF$1001,0),1)&gt;=100000,INDEX($AM$1005:$BM$1005,1,MATCH(COLUMNS($AM$1006:AN1006),$AM$1006:$BM$1006,0))&gt;=100000), " ",IF(INDEX($AM$2:$BM$1001,MATCH(ROWS($AF$2:AF679),$AF$2:$AF$1001,0),MATCH(COLUMNS($AM$1006:AN1006),$AM$1006:$BM$1006,0)), HYPERLINK("#",""), HYPERLINK(CONCATENATE("#metadata!", ADDRESS(INDEX($AH$2:$AH$1001,MATCH(ROWS($AF$2:AF679),$AF$2:$AF$1001,0),0), INDEX($AM$1004:$BM$1004,1,MATCH(COLUMNS($AM$1006:AN1006),$AM$1006:$BM$1006,0)))),"Fix")))</f>
        <v xml:space="preserve"> </v>
      </c>
      <c r="D679" s="4" t="str">
        <f ca="1">IF(OR(INDEX($AG$2:$AG$1001,MATCH(ROWS($AF$2:AF679),$AF$2:$AF$1001,0),1)&gt;=100000,INDEX($AM$1005:$BM$1005,1,MATCH(COLUMNS($AM$1006:AO1006),$AM$1006:$BM$1006,0))&gt;=100000), " ",IF(INDEX($AM$2:$BM$1001,MATCH(ROWS($AF$2:AF679),$AF$2:$AF$1001,0),MATCH(COLUMNS($AM$1006:AO1006),$AM$1006:$BM$1006,0)), HYPERLINK("#",""), HYPERLINK(CONCATENATE("#metadata!", ADDRESS(INDEX($AH$2:$AH$1001,MATCH(ROWS($AF$2:AF679),$AF$2:$AF$1001,0),0), INDEX($AM$1004:$BM$1004,1,MATCH(COLUMNS($AM$1006:AO1006),$AM$1006:$BM$1006,0)))),"Fix")))</f>
        <v xml:space="preserve"> </v>
      </c>
      <c r="E679" s="4" t="str">
        <f ca="1">IF(OR(INDEX($AG$2:$AG$1001,MATCH(ROWS($AF$2:AF679),$AF$2:$AF$1001,0),1)&gt;=100000,INDEX($AM$1005:$BM$1005,1,MATCH(COLUMNS($AM$1006:AP1006),$AM$1006:$BM$1006,0))&gt;=100000), " ",IF(INDEX($AM$2:$BM$1001,MATCH(ROWS($AF$2:AF679),$AF$2:$AF$1001,0),MATCH(COLUMNS($AM$1006:AP1006),$AM$1006:$BM$1006,0)), HYPERLINK("#",""), HYPERLINK(CONCATENATE("#metadata!", ADDRESS(INDEX($AH$2:$AH$1001,MATCH(ROWS($AF$2:AF679),$AF$2:$AF$1001,0),0), INDEX($AM$1004:$BM$1004,1,MATCH(COLUMNS($AM$1006:AP1006),$AM$1006:$BM$1006,0)))),"Fix")))</f>
        <v xml:space="preserve"> </v>
      </c>
      <c r="F679" s="4" t="str">
        <f ca="1">IF(OR(INDEX($AG$2:$AG$1001,MATCH(ROWS($AF$2:AF679),$AF$2:$AF$1001,0),1)&gt;=100000,INDEX($AM$1005:$BM$1005,1,MATCH(COLUMNS($AM$1006:AQ1006),$AM$1006:$BM$1006,0))&gt;=100000), " ",IF(INDEX($AM$2:$BM$1001,MATCH(ROWS($AF$2:AF679),$AF$2:$AF$1001,0),MATCH(COLUMNS($AM$1006:AQ1006),$AM$1006:$BM$1006,0)), HYPERLINK("#",""), HYPERLINK(CONCATENATE("#metadata!", ADDRESS(INDEX($AH$2:$AH$1001,MATCH(ROWS($AF$2:AF679),$AF$2:$AF$1001,0),0), INDEX($AM$1004:$BM$1004,1,MATCH(COLUMNS($AM$1006:AQ1006),$AM$1006:$BM$1006,0)))),"Fix")))</f>
        <v xml:space="preserve"> </v>
      </c>
      <c r="G679" s="4" t="str">
        <f ca="1">IF(OR(INDEX($AG$2:$AG$1001,MATCH(ROWS($AF$2:AF679),$AF$2:$AF$1001,0),1)&gt;=100000,INDEX($AM$1005:$BM$1005,1,MATCH(COLUMNS($AM$1006:AR1006),$AM$1006:$BM$1006,0))&gt;=100000), " ",IF(INDEX($AM$2:$BM$1001,MATCH(ROWS($AF$2:AF679),$AF$2:$AF$1001,0),MATCH(COLUMNS($AM$1006:AR1006),$AM$1006:$BM$1006,0)), HYPERLINK("#",""), HYPERLINK(CONCATENATE("#metadata!", ADDRESS(INDEX($AH$2:$AH$1001,MATCH(ROWS($AF$2:AF679),$AF$2:$AF$1001,0),0), INDEX($AM$1004:$BM$1004,1,MATCH(COLUMNS($AM$1006:AR1006),$AM$1006:$BM$1006,0)))),"Fix")))</f>
        <v xml:space="preserve"> </v>
      </c>
      <c r="H679" s="4" t="str">
        <f ca="1">IF(OR(INDEX($AG$2:$AG$1001,MATCH(ROWS($AF$2:AF679),$AF$2:$AF$1001,0),1)&gt;=100000,INDEX($AM$1005:$BM$1005,1,MATCH(COLUMNS($AM$1006:AS1006),$AM$1006:$BM$1006,0))&gt;=100000), " ",IF(INDEX($AM$2:$BM$1001,MATCH(ROWS($AF$2:AF679),$AF$2:$AF$1001,0),MATCH(COLUMNS($AM$1006:AS1006),$AM$1006:$BM$1006,0)), HYPERLINK("#",""), HYPERLINK(CONCATENATE("#metadata!", ADDRESS(INDEX($AH$2:$AH$1001,MATCH(ROWS($AF$2:AF679),$AF$2:$AF$1001,0),0), INDEX($AM$1004:$BM$1004,1,MATCH(COLUMNS($AM$1006:AS1006),$AM$1006:$BM$1006,0)))),"Fix")))</f>
        <v xml:space="preserve"> </v>
      </c>
      <c r="I679" s="4" t="str">
        <f ca="1">IF(OR(INDEX($AG$2:$AG$1001,MATCH(ROWS($AF$2:AF679),$AF$2:$AF$1001,0),1)&gt;=100000,INDEX($AM$1005:$BM$1005,1,MATCH(COLUMNS($AM$1006:AT1006),$AM$1006:$BM$1006,0))&gt;=100000), " ",IF(INDEX($AM$2:$BM$1001,MATCH(ROWS($AF$2:AF679),$AF$2:$AF$1001,0),MATCH(COLUMNS($AM$1006:AT1006),$AM$1006:$BM$1006,0)), HYPERLINK("#",""), HYPERLINK(CONCATENATE("#metadata!", ADDRESS(INDEX($AH$2:$AH$1001,MATCH(ROWS($AF$2:AF679),$AF$2:$AF$1001,0),0), INDEX($AM$1004:$BM$1004,1,MATCH(COLUMNS($AM$1006:AT1006),$AM$1006:$BM$1006,0)))),"Fix")))</f>
        <v xml:space="preserve"> </v>
      </c>
      <c r="J679" s="4" t="str">
        <f ca="1">IF(OR(INDEX($AG$2:$AG$1001,MATCH(ROWS($AF$2:AF679),$AF$2:$AF$1001,0),1)&gt;=100000,INDEX($AM$1005:$BM$1005,1,MATCH(COLUMNS($AM$1006:AU1006),$AM$1006:$BM$1006,0))&gt;=100000), " ",IF(INDEX($AM$2:$BM$1001,MATCH(ROWS($AF$2:AF679),$AF$2:$AF$1001,0),MATCH(COLUMNS($AM$1006:AU1006),$AM$1006:$BM$1006,0)), HYPERLINK("#",""), HYPERLINK(CONCATENATE("#metadata!", ADDRESS(INDEX($AH$2:$AH$1001,MATCH(ROWS($AF$2:AF679),$AF$2:$AF$1001,0),0), INDEX($AM$1004:$BM$1004,1,MATCH(COLUMNS($AM$1006:AU1006),$AM$1006:$BM$1006,0)))),"Fix")))</f>
        <v xml:space="preserve"> </v>
      </c>
      <c r="K679" s="4" t="str">
        <f ca="1">IF(OR(INDEX($AG$2:$AG$1001,MATCH(ROWS($AF$2:AF679),$AF$2:$AF$1001,0),1)&gt;=100000,INDEX($AM$1005:$BM$1005,1,MATCH(COLUMNS($AM$1006:AV1006),$AM$1006:$BM$1006,0))&gt;=100000), " ",IF(INDEX($AM$2:$BM$1001,MATCH(ROWS($AF$2:AF679),$AF$2:$AF$1001,0),MATCH(COLUMNS($AM$1006:AV1006),$AM$1006:$BM$1006,0)), HYPERLINK("#",""), HYPERLINK(CONCATENATE("#metadata!", ADDRESS(INDEX($AH$2:$AH$1001,MATCH(ROWS($AF$2:AF679),$AF$2:$AF$1001,0),0), INDEX($AM$1004:$BM$1004,1,MATCH(COLUMNS($AM$1006:AV1006),$AM$1006:$BM$1006,0)))),"Fix")))</f>
        <v xml:space="preserve"> </v>
      </c>
      <c r="L679" s="4" t="str">
        <f ca="1">IF(OR(INDEX($AG$2:$AG$1001,MATCH(ROWS($AF$2:AF679),$AF$2:$AF$1001,0),1)&gt;=100000,INDEX($AM$1005:$BM$1005,1,MATCH(COLUMNS($AM$1006:AW1006),$AM$1006:$BM$1006,0))&gt;=100000), " ",IF(INDEX($AM$2:$BM$1001,MATCH(ROWS($AF$2:AF679),$AF$2:$AF$1001,0),MATCH(COLUMNS($AM$1006:AW1006),$AM$1006:$BM$1006,0)), HYPERLINK("#",""), HYPERLINK(CONCATENATE("#metadata!", ADDRESS(INDEX($AH$2:$AH$1001,MATCH(ROWS($AF$2:AF679),$AF$2:$AF$1001,0),0), INDEX($AM$1004:$BM$1004,1,MATCH(COLUMNS($AM$1006:AW1006),$AM$1006:$BM$1006,0)))),"Fix")))</f>
        <v xml:space="preserve"> </v>
      </c>
      <c r="M679" s="4" t="str">
        <f ca="1">IF(OR(INDEX($AG$2:$AG$1001,MATCH(ROWS($AF$2:AF679),$AF$2:$AF$1001,0),1)&gt;=100000,INDEX($AM$1005:$BM$1005,1,MATCH(COLUMNS($AM$1006:AX1006),$AM$1006:$BM$1006,0))&gt;=100000), " ",IF(INDEX($AM$2:$BM$1001,MATCH(ROWS($AF$2:AF679),$AF$2:$AF$1001,0),MATCH(COLUMNS($AM$1006:AX1006),$AM$1006:$BM$1006,0)), HYPERLINK("#",""), HYPERLINK(CONCATENATE("#metadata!", ADDRESS(INDEX($AH$2:$AH$1001,MATCH(ROWS($AF$2:AF679),$AF$2:$AF$1001,0),0), INDEX($AM$1004:$BM$1004,1,MATCH(COLUMNS($AM$1006:AX1006),$AM$1006:$BM$1006,0)))),"Fix")))</f>
        <v xml:space="preserve"> </v>
      </c>
      <c r="N679" s="4" t="str">
        <f ca="1">IF(OR(INDEX($AG$2:$AG$1001,MATCH(ROWS($AF$2:AF679),$AF$2:$AF$1001,0),1)&gt;=100000,INDEX($AM$1005:$BM$1005,1,MATCH(COLUMNS($AM$1006:AY1006),$AM$1006:$BM$1006,0))&gt;=100000), " ",IF(INDEX($AM$2:$BM$1001,MATCH(ROWS($AF$2:AF679),$AF$2:$AF$1001,0),MATCH(COLUMNS($AM$1006:AY1006),$AM$1006:$BM$1006,0)), HYPERLINK("#",""), HYPERLINK(CONCATENATE("#metadata!", ADDRESS(INDEX($AH$2:$AH$1001,MATCH(ROWS($AF$2:AF679),$AF$2:$AF$1001,0),0), INDEX($AM$1004:$BM$1004,1,MATCH(COLUMNS($AM$1006:AY1006),$AM$1006:$BM$1006,0)))),"Fix")))</f>
        <v xml:space="preserve"> </v>
      </c>
      <c r="O679" s="4" t="str">
        <f ca="1">IF(OR(INDEX($AG$2:$AG$1001,MATCH(ROWS($AF$2:AF679),$AF$2:$AF$1001,0),1)&gt;=100000,INDEX($AM$1005:$BM$1005,1,MATCH(COLUMNS($AM$1006:AZ1006),$AM$1006:$BM$1006,0))&gt;=100000), " ",IF(INDEX($AM$2:$BM$1001,MATCH(ROWS($AF$2:AF679),$AF$2:$AF$1001,0),MATCH(COLUMNS($AM$1006:AZ1006),$AM$1006:$BM$1006,0)), HYPERLINK("#",""), HYPERLINK(CONCATENATE("#metadata!", ADDRESS(INDEX($AH$2:$AH$1001,MATCH(ROWS($AF$2:AF679),$AF$2:$AF$1001,0),0), INDEX($AM$1004:$BM$1004,1,MATCH(COLUMNS($AM$1006:AZ1006),$AM$1006:$BM$1006,0)))),"Fix")))</f>
        <v xml:space="preserve"> </v>
      </c>
      <c r="P679" s="4" t="str">
        <f ca="1">IF(OR(INDEX($AG$2:$AG$1001,MATCH(ROWS($AF$2:AF679),$AF$2:$AF$1001,0),1)&gt;=100000,INDEX($AM$1005:$BM$1005,1,MATCH(COLUMNS($AM$1006:BA1006),$AM$1006:$BM$1006,0))&gt;=100000), " ",IF(INDEX($AM$2:$BM$1001,MATCH(ROWS($AF$2:AF679),$AF$2:$AF$1001,0),MATCH(COLUMNS($AM$1006:BA1006),$AM$1006:$BM$1006,0)), HYPERLINK("#",""), HYPERLINK(CONCATENATE("#metadata!", ADDRESS(INDEX($AH$2:$AH$1001,MATCH(ROWS($AF$2:AF679),$AF$2:$AF$1001,0),0), INDEX($AM$1004:$BM$1004,1,MATCH(COLUMNS($AM$1006:BA1006),$AM$1006:$BM$1006,0)))),"Fix")))</f>
        <v xml:space="preserve"> </v>
      </c>
      <c r="Q679" s="4" t="str">
        <f ca="1">IF(OR(INDEX($AG$2:$AG$1001,MATCH(ROWS($AF$2:AF679),$AF$2:$AF$1001,0),1)&gt;=100000,INDEX($AM$1005:$BM$1005,1,MATCH(COLUMNS($AM$1006:BB1006),$AM$1006:$BM$1006,0))&gt;=100000), " ",IF(INDEX($AM$2:$BM$1001,MATCH(ROWS($AF$2:AF679),$AF$2:$AF$1001,0),MATCH(COLUMNS($AM$1006:BB1006),$AM$1006:$BM$1006,0)), HYPERLINK("#",""), HYPERLINK(CONCATENATE("#metadata!", ADDRESS(INDEX($AH$2:$AH$1001,MATCH(ROWS($AF$2:AF679),$AF$2:$AF$1001,0),0), INDEX($AM$1004:$BM$1004,1,MATCH(COLUMNS($AM$1006:BB1006),$AM$1006:$BM$1006,0)))),"Fix")))</f>
        <v xml:space="preserve"> </v>
      </c>
      <c r="R679" s="4" t="str">
        <f ca="1">IF(OR(INDEX($AG$2:$AG$1001,MATCH(ROWS($AF$2:AF679),$AF$2:$AF$1001,0),1)&gt;=100000,INDEX($AM$1005:$BM$1005,1,MATCH(COLUMNS($AM$1006:BC1006),$AM$1006:$BM$1006,0))&gt;=100000), " ",IF(INDEX($AM$2:$BM$1001,MATCH(ROWS($AF$2:AF679),$AF$2:$AF$1001,0),MATCH(COLUMNS($AM$1006:BC1006),$AM$1006:$BM$1006,0)), HYPERLINK("#",""), HYPERLINK(CONCATENATE("#metadata!", ADDRESS(INDEX($AH$2:$AH$1001,MATCH(ROWS($AF$2:AF679),$AF$2:$AF$1001,0),0), INDEX($AM$1004:$BM$1004,1,MATCH(COLUMNS($AM$1006:BC1006),$AM$1006:$BM$1006,0)))),"Fix")))</f>
        <v xml:space="preserve"> </v>
      </c>
      <c r="S679" s="4" t="str">
        <f ca="1">IF(OR(INDEX($AG$2:$AG$1001,MATCH(ROWS($AF$2:AF679),$AF$2:$AF$1001,0),1)&gt;=100000,INDEX($AM$1005:$BM$1005,1,MATCH(COLUMNS($AM$1006:BD1006),$AM$1006:$BM$1006,0))&gt;=100000), " ",IF(INDEX($AM$2:$BM$1001,MATCH(ROWS($AF$2:AF679),$AF$2:$AF$1001,0),MATCH(COLUMNS($AM$1006:BD1006),$AM$1006:$BM$1006,0)), HYPERLINK("#",""), HYPERLINK(CONCATENATE("#metadata!", ADDRESS(INDEX($AH$2:$AH$1001,MATCH(ROWS($AF$2:AF679),$AF$2:$AF$1001,0),0), INDEX($AM$1004:$BM$1004,1,MATCH(COLUMNS($AM$1006:BD1006),$AM$1006:$BM$1006,0)))),"Fix")))</f>
        <v xml:space="preserve"> </v>
      </c>
      <c r="T679" s="4" t="str">
        <f ca="1">IF(OR(INDEX($AG$2:$AG$1001,MATCH(ROWS($AF$2:AF679),$AF$2:$AF$1001,0),1)&gt;=100000,INDEX($AM$1005:$BM$1005,1,MATCH(COLUMNS($AM$1006:BE1006),$AM$1006:$BM$1006,0))&gt;=100000), " ",IF(INDEX($AM$2:$BM$1001,MATCH(ROWS($AF$2:AF679),$AF$2:$AF$1001,0),MATCH(COLUMNS($AM$1006:BE1006),$AM$1006:$BM$1006,0)), HYPERLINK("#",""), HYPERLINK(CONCATENATE("#metadata!", ADDRESS(INDEX($AH$2:$AH$1001,MATCH(ROWS($AF$2:AF679),$AF$2:$AF$1001,0),0), INDEX($AM$1004:$BM$1004,1,MATCH(COLUMNS($AM$1006:BE1006),$AM$1006:$BM$1006,0)))),"Fix")))</f>
        <v xml:space="preserve"> </v>
      </c>
      <c r="U679" s="4" t="str">
        <f ca="1">IF(OR(INDEX($AG$2:$AG$1001,MATCH(ROWS($AF$2:AF679),$AF$2:$AF$1001,0),1)&gt;=100000,INDEX($AM$1005:$BM$1005,1,MATCH(COLUMNS($AM$1006:BF1006),$AM$1006:$BM$1006,0))&gt;=100000), " ",IF(INDEX($AM$2:$BM$1001,MATCH(ROWS($AF$2:AF679),$AF$2:$AF$1001,0),MATCH(COLUMNS($AM$1006:BF1006),$AM$1006:$BM$1006,0)), HYPERLINK("#",""), HYPERLINK(CONCATENATE("#metadata!", ADDRESS(INDEX($AH$2:$AH$1001,MATCH(ROWS($AF$2:AF679),$AF$2:$AF$1001,0),0), INDEX($AM$1004:$BM$1004,1,MATCH(COLUMNS($AM$1006:BF1006),$AM$1006:$BM$1006,0)))),"Fix")))</f>
        <v xml:space="preserve"> </v>
      </c>
      <c r="V679" s="4" t="str">
        <f ca="1">IF(OR(INDEX($AG$2:$AG$1001,MATCH(ROWS($AF$2:AF679),$AF$2:$AF$1001,0),1)&gt;=100000,INDEX($AM$1005:$BM$1005,1,MATCH(COLUMNS($AM$1006:BG1006),$AM$1006:$BM$1006,0))&gt;=100000), " ",IF(INDEX($AM$2:$BM$1001,MATCH(ROWS($AF$2:AF679),$AF$2:$AF$1001,0),MATCH(COLUMNS($AM$1006:BG1006),$AM$1006:$BM$1006,0)), HYPERLINK("#",""), HYPERLINK(CONCATENATE("#metadata!", ADDRESS(INDEX($AH$2:$AH$1001,MATCH(ROWS($AF$2:AF679),$AF$2:$AF$1001,0),0), INDEX($AM$1004:$BM$1004,1,MATCH(COLUMNS($AM$1006:BG1006),$AM$1006:$BM$1006,0)))),"Fix")))</f>
        <v xml:space="preserve"> </v>
      </c>
      <c r="W679" s="4" t="str">
        <f ca="1">IF(OR(INDEX($AG$2:$AG$1001,MATCH(ROWS($AF$2:AF679),$AF$2:$AF$1001,0),1)&gt;=100000,INDEX($AM$1005:$BM$1005,1,MATCH(COLUMNS($AM$1006:BH1006),$AM$1006:$BM$1006,0))&gt;=100000), " ",IF(INDEX($AM$2:$BM$1001,MATCH(ROWS($AF$2:AF679),$AF$2:$AF$1001,0),MATCH(COLUMNS($AM$1006:BH1006),$AM$1006:$BM$1006,0)), HYPERLINK("#",""), HYPERLINK(CONCATENATE("#metadata!", ADDRESS(INDEX($AH$2:$AH$1001,MATCH(ROWS($AF$2:AF679),$AF$2:$AF$1001,0),0), INDEX($AM$1004:$BM$1004,1,MATCH(COLUMNS($AM$1006:BH1006),$AM$1006:$BM$1006,0)))),"Fix")))</f>
        <v xml:space="preserve"> </v>
      </c>
      <c r="X679" s="4" t="str">
        <f ca="1">IF(OR(INDEX($AG$2:$AG$1001,MATCH(ROWS($AF$2:AF679),$AF$2:$AF$1001,0),1)&gt;=100000,INDEX($AM$1005:$BM$1005,1,MATCH(COLUMNS($AM$1006:BI1006),$AM$1006:$BM$1006,0))&gt;=100000), " ",IF(INDEX($AM$2:$BM$1001,MATCH(ROWS($AF$2:AF679),$AF$2:$AF$1001,0),MATCH(COLUMNS($AM$1006:BI1006),$AM$1006:$BM$1006,0)), HYPERLINK("#",""), HYPERLINK(CONCATENATE("#metadata!", ADDRESS(INDEX($AH$2:$AH$1001,MATCH(ROWS($AF$2:AF679),$AF$2:$AF$1001,0),0), INDEX($AM$1004:$BM$1004,1,MATCH(COLUMNS($AM$1006:BI1006),$AM$1006:$BM$1006,0)))),"Fix")))</f>
        <v xml:space="preserve"> </v>
      </c>
      <c r="Y679" s="4" t="str">
        <f ca="1">IF(OR(INDEX($AG$2:$AG$1001,MATCH(ROWS($AF$2:AF679),$AF$2:$AF$1001,0),1)&gt;=100000,INDEX($AM$1005:$BM$1005,1,MATCH(COLUMNS($AM$1006:BJ1006),$AM$1006:$BM$1006,0))&gt;=100000), " ",IF(INDEX($AM$2:$BM$1001,MATCH(ROWS($AF$2:AF679),$AF$2:$AF$1001,0),MATCH(COLUMNS($AM$1006:BJ1006),$AM$1006:$BM$1006,0)), HYPERLINK("#",""), HYPERLINK(CONCATENATE("#metadata!", ADDRESS(INDEX($AH$2:$AH$1001,MATCH(ROWS($AF$2:AF679),$AF$2:$AF$1001,0),0), INDEX($AM$1004:$BM$1004,1,MATCH(COLUMNS($AM$1006:BJ1006),$AM$1006:$BM$1006,0)))),"Fix")))</f>
        <v xml:space="preserve"> </v>
      </c>
      <c r="Z679" s="4" t="str">
        <f ca="1">IF(OR(INDEX($AG$2:$AG$1001,MATCH(ROWS($AF$2:AF679),$AF$2:$AF$1001,0),1)&gt;=100000,INDEX($AM$1005:$BM$1005,1,MATCH(COLUMNS($AM$1006:BK1006),$AM$1006:$BM$1006,0))&gt;=100000), " ",IF(INDEX($AM$2:$BM$1001,MATCH(ROWS($AF$2:AF679),$AF$2:$AF$1001,0),MATCH(COLUMNS($AM$1006:BK1006),$AM$1006:$BM$1006,0)), HYPERLINK("#",""), HYPERLINK(CONCATENATE("#metadata!", ADDRESS(INDEX($AH$2:$AH$1001,MATCH(ROWS($AF$2:AF679),$AF$2:$AF$1001,0),0), INDEX($AM$1004:$BM$1004,1,MATCH(COLUMNS($AM$1006:BK1006),$AM$1006:$BM$1006,0)))),"Fix")))</f>
        <v xml:space="preserve"> </v>
      </c>
      <c r="AA679" s="4" t="str">
        <f ca="1">IF(OR(INDEX($AG$2:$AG$1001,MATCH(ROWS($AF$2:AF679),$AF$2:$AF$1001,0),1)&gt;=100000,INDEX($AM$1005:$BM$1005,1,MATCH(COLUMNS($AM$1006:BL1006),$AM$1006:$BM$1006,0))&gt;=100000), " ",IF(INDEX($AM$2:$BM$1001,MATCH(ROWS($AF$2:AF679),$AF$2:$AF$1001,0),MATCH(COLUMNS($AM$1006:BL1006),$AM$1006:$BM$1006,0)), HYPERLINK("#",""), HYPERLINK(CONCATENATE("#metadata!", ADDRESS(INDEX($AH$2:$AH$1001,MATCH(ROWS($AF$2:AF679),$AF$2:$AF$1001,0),0), INDEX($AM$1004:$BM$1004,1,MATCH(COLUMNS($AM$1006:BL1006),$AM$1006:$BM$1006,0)))),"Fix")))</f>
        <v xml:space="preserve"> </v>
      </c>
      <c r="AB679" s="4" t="str">
        <f ca="1">IF(OR(INDEX($AG$2:$AG$1001,MATCH(ROWS($AF$2:AF679),$AF$2:$AF$1001,0),1)&gt;=100000,INDEX($AM$1005:$BM$1005,1,MATCH(COLUMNS($AM$1006:BM1006),$AM$1006:$BM$1006,0))&gt;=100000), " ",IF(INDEX($AM$2:$BM$1001,MATCH(ROWS($AF$2:AF679),$AF$2:$AF$1001,0),MATCH(COLUMNS($AM$1006:BM1006),$AM$1006:$BM$1006,0)), HYPERLINK("#",""), HYPERLINK(CONCATENATE("#metadata!", ADDRESS(INDEX($AH$2:$AH$1001,MATCH(ROWS($AF$2:AF679),$AF$2:$AF$1001,0),0), INDEX($AM$1004:$BM$1004,1,MATCH(COLUMNS($AM$1006:BM1006),$AM$1006:$BM$1006,0)))),"Fix")))</f>
        <v xml:space="preserve"> </v>
      </c>
      <c r="AF679">
        <v>678</v>
      </c>
      <c r="AG679">
        <v>100679</v>
      </c>
      <c r="AH679">
        <v>679</v>
      </c>
      <c r="AI679" t="b">
        <f t="shared" si="10"/>
        <v>1</v>
      </c>
      <c r="AJ679" t="b">
        <f>COUNTBLANK(metadata!B679:AB679)=COLUMNS(metadata!B679:AB679)</f>
        <v>1</v>
      </c>
      <c r="AK679" t="str">
        <v/>
      </c>
      <c r="AM679" t="b">
        <f ca="1">AND(IF(metadata!B679="",FALSE,TRUE),COUNTIF(metadata!B:B, metadata!B679) = 1,NOT(ISERROR(SUMPRODUCT(SEARCH(MID(metadata!B679,ROW(INDIRECT("1:"&amp;LEN(metadata!B679))), 1),"0123456789abcdefghijklmnopqrstuvwxyzABCDEFGHIJKLMNOPQRSTUVWXYZ.")))))</f>
        <v>0</v>
      </c>
      <c r="AN679" t="b">
        <f ca="1">OR(AND(IF(metadata!C679="",FALSE,TRUE),OR(EXACT(metadata!C679,"missing: not collected"),EXACT(metadata!C679,"missing: not provided"),EXACT(metadata!C679,"missing: restricted access"))),AND(IF(metadata!C679="",FALSE,TRUE),AND(AND(IFERROR(INT(LEFT(metadata!C679,4))&gt;1900,FALSE),IFERROR(INT(LEFT(metadata!C679,4))&lt;=YEAR(NOW()),FALSE)), OR(MID(metadata!C679,5,1)="", AND(AND(MID(metadata!C679,5,1)="-",IFERROR(INT(MID(metadata!C679,6,1))&gt;=0,FALSE),IFERROR(INT(MID(metadata!C679,6,1))&lt;=1,FALSE),NOT(MID(metadata!C679,7,1)=""),IFERROR(INT(MID(metadata!C679,6,2))&gt;=1,FALSE),IFERROR(INT(MID(metadata!C679,6,2))&lt;=12,FALSE)), OR(MID(metadata!C679,8,1)="", AND(AND(MID(metadata!C679,8,1)="-",IFERROR(INT(MID(metadata!C679,9,1))&gt;=0,FALSE),IFERROR(INT(MID(metadata!C679,9,1))&lt;=3,FALSE),NOT(MID(metadata!C679,10,1)=""),IFERROR(INT(MID(metadata!C679,9,2))&gt;=1,FALSE),IFERROR(INT(MID(metadata!C679,9,2))&lt;=31,FALSE)), OR(MID(metadata!C679,11,1)="", AND(AND(MID(metadata!C679,11,1)=" ",IFERROR(INT(MID(metadata!C679,12,1))&gt;=0,FALSE),IFERROR(INT(MID(metadata!C679,12,1))&lt;=2,FALSE),NOT(MID(metadata!C679,13,1)=""),IFERROR(INT(MID(metadata!C679,12,2))&gt;=0,FALSE),IFERROR(INT(MID(metadata!C679,12,2))&lt;=23,FALSE)), OR(MID(metadata!C679,14,1)="", AND(AND(MID(metadata!C679,14,1)=":",IFERROR(INT(MID(metadata!C679,15,1))&gt;=0,FALSE),IFERROR(INT(MID(metadata!C679,15,1))&lt;=5,FALSE),NOT(MID(metadata!C679,16,1)=""),IFERROR(INT(MID(metadata!C679,15,2))&gt;=0,FALSE),IFERROR(INT(MID(metadata!C679,15,2))&lt;=59,FALSE)), OR(MID(metadata!C679,17,1)="", AND(AND(MID(metadata!C679,17,1)=":",IFERROR(INT(MID(metadata!C679,18,1))&gt;=0,FALSE),IFERROR(INT(MID(metadata!C679,18,1))&lt;=5,FALSE),NOT(MID(metadata!C679,19,1)=""),IFERROR(INT(MID(metadata!C679,18,2))&gt;=0,FALSE),IFERROR(INT(MID(metadata!C679,18,2))&lt;=59,FALSE)), LEN(metadata!C679)&lt;=19)))))))))))))</f>
        <v>0</v>
      </c>
      <c r="AO679" t="b">
        <f>AND(IF(metadata!D679="",FALSE,TRUE),EXACT(metadata!D679,"Not applicable"))</f>
        <v>0</v>
      </c>
      <c r="AP679" t="b">
        <f>IF(metadata!E679="",FALSE,TRUE)</f>
        <v>0</v>
      </c>
      <c r="AQ679" t="b">
        <f>OR(AND(IF(metadata!F679="",FALSE,TRUE),OR(EXACT(metadata!F679,"missing: not collected"),EXACT(metadata!F679,"missing: not provided"))),AND(IF(metadata!F679="",FALSE,TRUE),OR(EXACT(metadata!F679,"TRUE"),EXACT(metadata!F679,"FALSE"))))</f>
        <v>0</v>
      </c>
      <c r="AR679" t="b">
        <f>OR(AND(IF(metadata!G679="",FALSE,TRUE),OR(EXACT(metadata!G679,"missing: not collected"),EXACT(metadata!G679,"missing: not provided"),EXACT(metadata!G679,"missing: restricted access"))),AND(IF(metadata!G679="",FALSE,ISNUMBER(VALUE(metadata!G679))),metadata!G679&gt;=-413))</f>
        <v>0</v>
      </c>
      <c r="AS679" t="b">
        <f>AND(IF(metadata!H679="",FALSE,TRUE),EXACT(metadata!H679,"meters"))</f>
        <v>0</v>
      </c>
      <c r="AT679" t="b">
        <f>AND(IF(metadata!I679="",FALSE,TRUE),OR(EXACT(metadata!I679,"Host-associated"),EXACT(metadata!I679,"Free-living")))</f>
        <v>0</v>
      </c>
      <c r="AU679" t="b">
        <f>AND(IF(metadata!J679="",FALSE,TRUE),OR(EXACT(metadata!J679,"Animal"),EXACT(metadata!J679,"Fungus"),EXACT(metadata!J679,"Plant"),EXACT(metadata!J679,"Saline"),EXACT(metadata!J679,"Non-saline")))</f>
        <v>0</v>
      </c>
      <c r="AV679" t="b">
        <f>AND(IF(metadata!K679="",FALSE,TRUE),OR(EXACT(metadata!K679,"Plant secretion"),EXACT(metadata!K679,"Plant rhizosphere"),EXACT(metadata!K679,"Plant surface"),EXACT(metadata!K679,"Plant corpus"),EXACT(metadata!K679,"Fungus surface"),EXACT(metadata!K679,"Fungus corpus"),EXACT(metadata!K679,"Animal surface"),EXACT(metadata!K679,"Animal proximal gut"),EXACT(metadata!K679,"Animal corpus"),EXACT(metadata!K679,"Animal distal gut"),EXACT(metadata!K679,"Animal secretion"),EXACT(metadata!K679,"Sub-surface (non-saline)"),EXACT(metadata!K679,"Surface (non-saline)"),EXACT(metadata!K679,"Water (non-saline)"),EXACT(metadata!K679,"Soil (non-saline)"),EXACT(metadata!K679,"Aerosol (non-saline)"),EXACT(metadata!K679,"Sediment (non-saline)"),EXACT(metadata!K679,"Surface (saline)"),EXACT(metadata!K679,"Water (saline)"),EXACT(metadata!K679,"Hypersaline (saline)"),EXACT(metadata!K679,"Aerosol (saline)"),EXACT(metadata!K679,"Sediment (saline)")))</f>
        <v>0</v>
      </c>
      <c r="AW679" t="b">
        <f>IF(metadata!L679="",FALSE,TRUE)</f>
        <v>0</v>
      </c>
      <c r="AX679" t="b">
        <f>IF(metadata!M679="",FALSE,TRUE)</f>
        <v>0</v>
      </c>
      <c r="AY679" t="b">
        <f>IF(metadata!N679="",FALSE,TRUE)</f>
        <v>0</v>
      </c>
      <c r="AZ679" t="b">
        <f>OR(AND(IF(metadata!O679="",FALSE,TRUE),OR(EXACT(metadata!O679,"missing: not collected"),EXACT(metadata!O679,"missing: not provided"),EXACT(metadata!O679,"missing: restricted access"))),AND(IF(metadata!O679="",FALSE,TRUE),OR(EXACT(metadata!O679,"air"),EXACT(metadata!O679,"built environment"),EXACT(metadata!O679,"host-associated"),EXACT(metadata!O679,"human-associated"),EXACT(metadata!O679,"human-skin"),EXACT(metadata!O679,"human-oral"),EXACT(metadata!O679,"human-gut"),EXACT(metadata!O679,"human-vaginal"),EXACT(metadata!O679,"microbial mat/biofilm"),EXACT(metadata!O679,"misc environment"),EXACT(metadata!O679,"plant-associated"),EXACT(metadata!O679,"sediment"),EXACT(metadata!O679,"soil"),EXACT(metadata!O679,"wastewater/sludge"),EXACT(metadata!O679,"water"))))</f>
        <v>0</v>
      </c>
      <c r="BA679" t="b">
        <f>IF(metadata!P679="",FALSE,TRUE)</f>
        <v>0</v>
      </c>
      <c r="BB679" t="b">
        <f>IF(metadata!Q679="",FALSE,TRUE)</f>
        <v>0</v>
      </c>
      <c r="BC679" t="b">
        <f>OR(AND(IF(metadata!R679="",FALSE,TRUE),OR(EXACT(metadata!R679,"missing: not collected"),EXACT(metadata!R679,"missing: not provided"),EXACT(metadata!R679,"missing: restricted access"))),AND(IF(metadata!R679="",FALSE,ISNUMBER(VALUE(metadata!R679))),metadata!R679&gt;=-90,metadata!R679&lt;=90))</f>
        <v>0</v>
      </c>
      <c r="BD679" t="b">
        <f>AND(IF(metadata!S679="",FALSE,TRUE),EXACT(metadata!S679,"Decimal degrees"))</f>
        <v>0</v>
      </c>
      <c r="BE679" t="b">
        <f>OR(AND(IF(metadata!T679="",FALSE,TRUE),OR(EXACT(metadata!T679,"missing: not collected"),EXACT(metadata!T679,"missing: not provided"),EXACT(metadata!T679,"missing: restricted access"))),AND(IF(metadata!T679="",FALSE,ISNUMBER(VALUE(metadata!T679))),metadata!T679&gt;=-180,metadata!T679&lt;=180))</f>
        <v>0</v>
      </c>
      <c r="BF679" t="b">
        <f>AND(IF(metadata!U679="",FALSE,TRUE),EXACT(metadata!U679,"Decimal degrees"))</f>
        <v>0</v>
      </c>
      <c r="BG679" t="b">
        <f>IF(metadata!V679="",FALSE,TRUE)</f>
        <v>0</v>
      </c>
      <c r="BH679" t="b">
        <f>OR(AND(IF(metadata!W679="",FALSE,TRUE),OR(EXACT(metadata!W679,"missing: not collected"),EXACT(metadata!W679,"missing: not provided"),EXACT(metadata!W679,"missing: restricted access"))),AND(IF(metadata!W679="",FALSE,TRUE),OR(EXACT(metadata!W679,"TRUE"),EXACT(metadata!W679,"FALSE"))))</f>
        <v>0</v>
      </c>
      <c r="BI679" t="b">
        <f>AND(IF(metadata!X679="",FALSE,TRUE),EXACT(metadata!X679,"other"))</f>
        <v>0</v>
      </c>
      <c r="BJ679" t="b">
        <f>IF(metadata!Y679="",FALSE,TRUE)</f>
        <v>0</v>
      </c>
      <c r="BK679" t="b">
        <f>OR(AND(IF(metadata!Z679="",FALSE,TRUE),OR(EXACT(metadata!Z679,"missing: not collected"),EXACT(metadata!Z679,"missing: not provided"))),AND(IF(metadata!Z679="",FALSE,IF(ISERROR(INT(metadata!Z679)),FALSE,INT(metadata!Z679)=metadata!Z679)),metadata!Z679&gt;0))</f>
        <v>0</v>
      </c>
      <c r="BL679" t="b">
        <f>AND(IF(metadata!AA679="",FALSE,TRUE),EXACT(metadata!AA679,"Not applicable"))</f>
        <v>0</v>
      </c>
      <c r="BM679" t="b">
        <f>IF(metadata!AB679="",FALSE,TRUE)</f>
        <v>0</v>
      </c>
    </row>
    <row r="680" spans="1:65" x14ac:dyDescent="0.2">
      <c r="A680" s="5" t="str">
        <f ca="1">IF(B680=" "," ",HYPERLINK(CONCATENATE("#metadata!",ADDRESS(INDEX($AH$2:$AH$1001,MATCH(ROWS($AF$2:AF680),$AF$2:$AF$1001,0),0),1)),INDEX($AK$2:$AK$1001,MATCH(ROWS($AF$2:AF680),$AF$2:$AF$1001,0),0)))</f>
        <v xml:space="preserve"> </v>
      </c>
      <c r="B680" s="4" t="str">
        <f ca="1">IF(OR(INDEX($AG$2:$AG$1001,MATCH(ROWS($AF$2:AF680),$AF$2:$AF$1001,0),1)&gt;=100000,INDEX($AM$1005:$BM$1005,1,MATCH(COLUMNS($AM$1006:AM1006),$AM$1006:$BM$1006,0))&gt;=100000), " ",IF(INDEX($AM$2:$BM$1001,MATCH(ROWS($AF$2:AF680),$AF$2:$AF$1001,0),MATCH(COLUMNS($AM$1006:AM1006),$AM$1006:$BM$1006,0)), HYPERLINK("#",""), HYPERLINK(CONCATENATE("#metadata!", ADDRESS(INDEX($AH$2:$AH$1001,MATCH(ROWS($AF$2:AF680),$AF$2:$AF$1001,0),0), INDEX($AM$1004:$BM$1004,1,MATCH(COLUMNS($AM$1006:AM1006),$AM$1006:$BM$1006,0)))),"Fix")))</f>
        <v xml:space="preserve"> </v>
      </c>
      <c r="C680" s="4" t="str">
        <f ca="1">IF(OR(INDEX($AG$2:$AG$1001,MATCH(ROWS($AF$2:AF680),$AF$2:$AF$1001,0),1)&gt;=100000,INDEX($AM$1005:$BM$1005,1,MATCH(COLUMNS($AM$1006:AN1006),$AM$1006:$BM$1006,0))&gt;=100000), " ",IF(INDEX($AM$2:$BM$1001,MATCH(ROWS($AF$2:AF680),$AF$2:$AF$1001,0),MATCH(COLUMNS($AM$1006:AN1006),$AM$1006:$BM$1006,0)), HYPERLINK("#",""), HYPERLINK(CONCATENATE("#metadata!", ADDRESS(INDEX($AH$2:$AH$1001,MATCH(ROWS($AF$2:AF680),$AF$2:$AF$1001,0),0), INDEX($AM$1004:$BM$1004,1,MATCH(COLUMNS($AM$1006:AN1006),$AM$1006:$BM$1006,0)))),"Fix")))</f>
        <v xml:space="preserve"> </v>
      </c>
      <c r="D680" s="4" t="str">
        <f ca="1">IF(OR(INDEX($AG$2:$AG$1001,MATCH(ROWS($AF$2:AF680),$AF$2:$AF$1001,0),1)&gt;=100000,INDEX($AM$1005:$BM$1005,1,MATCH(COLUMNS($AM$1006:AO1006),$AM$1006:$BM$1006,0))&gt;=100000), " ",IF(INDEX($AM$2:$BM$1001,MATCH(ROWS($AF$2:AF680),$AF$2:$AF$1001,0),MATCH(COLUMNS($AM$1006:AO1006),$AM$1006:$BM$1006,0)), HYPERLINK("#",""), HYPERLINK(CONCATENATE("#metadata!", ADDRESS(INDEX($AH$2:$AH$1001,MATCH(ROWS($AF$2:AF680),$AF$2:$AF$1001,0),0), INDEX($AM$1004:$BM$1004,1,MATCH(COLUMNS($AM$1006:AO1006),$AM$1006:$BM$1006,0)))),"Fix")))</f>
        <v xml:space="preserve"> </v>
      </c>
      <c r="E680" s="4" t="str">
        <f ca="1">IF(OR(INDEX($AG$2:$AG$1001,MATCH(ROWS($AF$2:AF680),$AF$2:$AF$1001,0),1)&gt;=100000,INDEX($AM$1005:$BM$1005,1,MATCH(COLUMNS($AM$1006:AP1006),$AM$1006:$BM$1006,0))&gt;=100000), " ",IF(INDEX($AM$2:$BM$1001,MATCH(ROWS($AF$2:AF680),$AF$2:$AF$1001,0),MATCH(COLUMNS($AM$1006:AP1006),$AM$1006:$BM$1006,0)), HYPERLINK("#",""), HYPERLINK(CONCATENATE("#metadata!", ADDRESS(INDEX($AH$2:$AH$1001,MATCH(ROWS($AF$2:AF680),$AF$2:$AF$1001,0),0), INDEX($AM$1004:$BM$1004,1,MATCH(COLUMNS($AM$1006:AP1006),$AM$1006:$BM$1006,0)))),"Fix")))</f>
        <v xml:space="preserve"> </v>
      </c>
      <c r="F680" s="4" t="str">
        <f ca="1">IF(OR(INDEX($AG$2:$AG$1001,MATCH(ROWS($AF$2:AF680),$AF$2:$AF$1001,0),1)&gt;=100000,INDEX($AM$1005:$BM$1005,1,MATCH(COLUMNS($AM$1006:AQ1006),$AM$1006:$BM$1006,0))&gt;=100000), " ",IF(INDEX($AM$2:$BM$1001,MATCH(ROWS($AF$2:AF680),$AF$2:$AF$1001,0),MATCH(COLUMNS($AM$1006:AQ1006),$AM$1006:$BM$1006,0)), HYPERLINK("#",""), HYPERLINK(CONCATENATE("#metadata!", ADDRESS(INDEX($AH$2:$AH$1001,MATCH(ROWS($AF$2:AF680),$AF$2:$AF$1001,0),0), INDEX($AM$1004:$BM$1004,1,MATCH(COLUMNS($AM$1006:AQ1006),$AM$1006:$BM$1006,0)))),"Fix")))</f>
        <v xml:space="preserve"> </v>
      </c>
      <c r="G680" s="4" t="str">
        <f ca="1">IF(OR(INDEX($AG$2:$AG$1001,MATCH(ROWS($AF$2:AF680),$AF$2:$AF$1001,0),1)&gt;=100000,INDEX($AM$1005:$BM$1005,1,MATCH(COLUMNS($AM$1006:AR1006),$AM$1006:$BM$1006,0))&gt;=100000), " ",IF(INDEX($AM$2:$BM$1001,MATCH(ROWS($AF$2:AF680),$AF$2:$AF$1001,0),MATCH(COLUMNS($AM$1006:AR1006),$AM$1006:$BM$1006,0)), HYPERLINK("#",""), HYPERLINK(CONCATENATE("#metadata!", ADDRESS(INDEX($AH$2:$AH$1001,MATCH(ROWS($AF$2:AF680),$AF$2:$AF$1001,0),0), INDEX($AM$1004:$BM$1004,1,MATCH(COLUMNS($AM$1006:AR1006),$AM$1006:$BM$1006,0)))),"Fix")))</f>
        <v xml:space="preserve"> </v>
      </c>
      <c r="H680" s="4" t="str">
        <f ca="1">IF(OR(INDEX($AG$2:$AG$1001,MATCH(ROWS($AF$2:AF680),$AF$2:$AF$1001,0),1)&gt;=100000,INDEX($AM$1005:$BM$1005,1,MATCH(COLUMNS($AM$1006:AS1006),$AM$1006:$BM$1006,0))&gt;=100000), " ",IF(INDEX($AM$2:$BM$1001,MATCH(ROWS($AF$2:AF680),$AF$2:$AF$1001,0),MATCH(COLUMNS($AM$1006:AS1006),$AM$1006:$BM$1006,0)), HYPERLINK("#",""), HYPERLINK(CONCATENATE("#metadata!", ADDRESS(INDEX($AH$2:$AH$1001,MATCH(ROWS($AF$2:AF680),$AF$2:$AF$1001,0),0), INDEX($AM$1004:$BM$1004,1,MATCH(COLUMNS($AM$1006:AS1006),$AM$1006:$BM$1006,0)))),"Fix")))</f>
        <v xml:space="preserve"> </v>
      </c>
      <c r="I680" s="4" t="str">
        <f ca="1">IF(OR(INDEX($AG$2:$AG$1001,MATCH(ROWS($AF$2:AF680),$AF$2:$AF$1001,0),1)&gt;=100000,INDEX($AM$1005:$BM$1005,1,MATCH(COLUMNS($AM$1006:AT1006),$AM$1006:$BM$1006,0))&gt;=100000), " ",IF(INDEX($AM$2:$BM$1001,MATCH(ROWS($AF$2:AF680),$AF$2:$AF$1001,0),MATCH(COLUMNS($AM$1006:AT1006),$AM$1006:$BM$1006,0)), HYPERLINK("#",""), HYPERLINK(CONCATENATE("#metadata!", ADDRESS(INDEX($AH$2:$AH$1001,MATCH(ROWS($AF$2:AF680),$AF$2:$AF$1001,0),0), INDEX($AM$1004:$BM$1004,1,MATCH(COLUMNS($AM$1006:AT1006),$AM$1006:$BM$1006,0)))),"Fix")))</f>
        <v xml:space="preserve"> </v>
      </c>
      <c r="J680" s="4" t="str">
        <f ca="1">IF(OR(INDEX($AG$2:$AG$1001,MATCH(ROWS($AF$2:AF680),$AF$2:$AF$1001,0),1)&gt;=100000,INDEX($AM$1005:$BM$1005,1,MATCH(COLUMNS($AM$1006:AU1006),$AM$1006:$BM$1006,0))&gt;=100000), " ",IF(INDEX($AM$2:$BM$1001,MATCH(ROWS($AF$2:AF680),$AF$2:$AF$1001,0),MATCH(COLUMNS($AM$1006:AU1006),$AM$1006:$BM$1006,0)), HYPERLINK("#",""), HYPERLINK(CONCATENATE("#metadata!", ADDRESS(INDEX($AH$2:$AH$1001,MATCH(ROWS($AF$2:AF680),$AF$2:$AF$1001,0),0), INDEX($AM$1004:$BM$1004,1,MATCH(COLUMNS($AM$1006:AU1006),$AM$1006:$BM$1006,0)))),"Fix")))</f>
        <v xml:space="preserve"> </v>
      </c>
      <c r="K680" s="4" t="str">
        <f ca="1">IF(OR(INDEX($AG$2:$AG$1001,MATCH(ROWS($AF$2:AF680),$AF$2:$AF$1001,0),1)&gt;=100000,INDEX($AM$1005:$BM$1005,1,MATCH(COLUMNS($AM$1006:AV1006),$AM$1006:$BM$1006,0))&gt;=100000), " ",IF(INDEX($AM$2:$BM$1001,MATCH(ROWS($AF$2:AF680),$AF$2:$AF$1001,0),MATCH(COLUMNS($AM$1006:AV1006),$AM$1006:$BM$1006,0)), HYPERLINK("#",""), HYPERLINK(CONCATENATE("#metadata!", ADDRESS(INDEX($AH$2:$AH$1001,MATCH(ROWS($AF$2:AF680),$AF$2:$AF$1001,0),0), INDEX($AM$1004:$BM$1004,1,MATCH(COLUMNS($AM$1006:AV1006),$AM$1006:$BM$1006,0)))),"Fix")))</f>
        <v xml:space="preserve"> </v>
      </c>
      <c r="L680" s="4" t="str">
        <f ca="1">IF(OR(INDEX($AG$2:$AG$1001,MATCH(ROWS($AF$2:AF680),$AF$2:$AF$1001,0),1)&gt;=100000,INDEX($AM$1005:$BM$1005,1,MATCH(COLUMNS($AM$1006:AW1006),$AM$1006:$BM$1006,0))&gt;=100000), " ",IF(INDEX($AM$2:$BM$1001,MATCH(ROWS($AF$2:AF680),$AF$2:$AF$1001,0),MATCH(COLUMNS($AM$1006:AW1006),$AM$1006:$BM$1006,0)), HYPERLINK("#",""), HYPERLINK(CONCATENATE("#metadata!", ADDRESS(INDEX($AH$2:$AH$1001,MATCH(ROWS($AF$2:AF680),$AF$2:$AF$1001,0),0), INDEX($AM$1004:$BM$1004,1,MATCH(COLUMNS($AM$1006:AW1006),$AM$1006:$BM$1006,0)))),"Fix")))</f>
        <v xml:space="preserve"> </v>
      </c>
      <c r="M680" s="4" t="str">
        <f ca="1">IF(OR(INDEX($AG$2:$AG$1001,MATCH(ROWS($AF$2:AF680),$AF$2:$AF$1001,0),1)&gt;=100000,INDEX($AM$1005:$BM$1005,1,MATCH(COLUMNS($AM$1006:AX1006),$AM$1006:$BM$1006,0))&gt;=100000), " ",IF(INDEX($AM$2:$BM$1001,MATCH(ROWS($AF$2:AF680),$AF$2:$AF$1001,0),MATCH(COLUMNS($AM$1006:AX1006),$AM$1006:$BM$1006,0)), HYPERLINK("#",""), HYPERLINK(CONCATENATE("#metadata!", ADDRESS(INDEX($AH$2:$AH$1001,MATCH(ROWS($AF$2:AF680),$AF$2:$AF$1001,0),0), INDEX($AM$1004:$BM$1004,1,MATCH(COLUMNS($AM$1006:AX1006),$AM$1006:$BM$1006,0)))),"Fix")))</f>
        <v xml:space="preserve"> </v>
      </c>
      <c r="N680" s="4" t="str">
        <f ca="1">IF(OR(INDEX($AG$2:$AG$1001,MATCH(ROWS($AF$2:AF680),$AF$2:$AF$1001,0),1)&gt;=100000,INDEX($AM$1005:$BM$1005,1,MATCH(COLUMNS($AM$1006:AY1006),$AM$1006:$BM$1006,0))&gt;=100000), " ",IF(INDEX($AM$2:$BM$1001,MATCH(ROWS($AF$2:AF680),$AF$2:$AF$1001,0),MATCH(COLUMNS($AM$1006:AY1006),$AM$1006:$BM$1006,0)), HYPERLINK("#",""), HYPERLINK(CONCATENATE("#metadata!", ADDRESS(INDEX($AH$2:$AH$1001,MATCH(ROWS($AF$2:AF680),$AF$2:$AF$1001,0),0), INDEX($AM$1004:$BM$1004,1,MATCH(COLUMNS($AM$1006:AY1006),$AM$1006:$BM$1006,0)))),"Fix")))</f>
        <v xml:space="preserve"> </v>
      </c>
      <c r="O680" s="4" t="str">
        <f ca="1">IF(OR(INDEX($AG$2:$AG$1001,MATCH(ROWS($AF$2:AF680),$AF$2:$AF$1001,0),1)&gt;=100000,INDEX($AM$1005:$BM$1005,1,MATCH(COLUMNS($AM$1006:AZ1006),$AM$1006:$BM$1006,0))&gt;=100000), " ",IF(INDEX($AM$2:$BM$1001,MATCH(ROWS($AF$2:AF680),$AF$2:$AF$1001,0),MATCH(COLUMNS($AM$1006:AZ1006),$AM$1006:$BM$1006,0)), HYPERLINK("#",""), HYPERLINK(CONCATENATE("#metadata!", ADDRESS(INDEX($AH$2:$AH$1001,MATCH(ROWS($AF$2:AF680),$AF$2:$AF$1001,0),0), INDEX($AM$1004:$BM$1004,1,MATCH(COLUMNS($AM$1006:AZ1006),$AM$1006:$BM$1006,0)))),"Fix")))</f>
        <v xml:space="preserve"> </v>
      </c>
      <c r="P680" s="4" t="str">
        <f ca="1">IF(OR(INDEX($AG$2:$AG$1001,MATCH(ROWS($AF$2:AF680),$AF$2:$AF$1001,0),1)&gt;=100000,INDEX($AM$1005:$BM$1005,1,MATCH(COLUMNS($AM$1006:BA1006),$AM$1006:$BM$1006,0))&gt;=100000), " ",IF(INDEX($AM$2:$BM$1001,MATCH(ROWS($AF$2:AF680),$AF$2:$AF$1001,0),MATCH(COLUMNS($AM$1006:BA1006),$AM$1006:$BM$1006,0)), HYPERLINK("#",""), HYPERLINK(CONCATENATE("#metadata!", ADDRESS(INDEX($AH$2:$AH$1001,MATCH(ROWS($AF$2:AF680),$AF$2:$AF$1001,0),0), INDEX($AM$1004:$BM$1004,1,MATCH(COLUMNS($AM$1006:BA1006),$AM$1006:$BM$1006,0)))),"Fix")))</f>
        <v xml:space="preserve"> </v>
      </c>
      <c r="Q680" s="4" t="str">
        <f ca="1">IF(OR(INDEX($AG$2:$AG$1001,MATCH(ROWS($AF$2:AF680),$AF$2:$AF$1001,0),1)&gt;=100000,INDEX($AM$1005:$BM$1005,1,MATCH(COLUMNS($AM$1006:BB1006),$AM$1006:$BM$1006,0))&gt;=100000), " ",IF(INDEX($AM$2:$BM$1001,MATCH(ROWS($AF$2:AF680),$AF$2:$AF$1001,0),MATCH(COLUMNS($AM$1006:BB1006),$AM$1006:$BM$1006,0)), HYPERLINK("#",""), HYPERLINK(CONCATENATE("#metadata!", ADDRESS(INDEX($AH$2:$AH$1001,MATCH(ROWS($AF$2:AF680),$AF$2:$AF$1001,0),0), INDEX($AM$1004:$BM$1004,1,MATCH(COLUMNS($AM$1006:BB1006),$AM$1006:$BM$1006,0)))),"Fix")))</f>
        <v xml:space="preserve"> </v>
      </c>
      <c r="R680" s="4" t="str">
        <f ca="1">IF(OR(INDEX($AG$2:$AG$1001,MATCH(ROWS($AF$2:AF680),$AF$2:$AF$1001,0),1)&gt;=100000,INDEX($AM$1005:$BM$1005,1,MATCH(COLUMNS($AM$1006:BC1006),$AM$1006:$BM$1006,0))&gt;=100000), " ",IF(INDEX($AM$2:$BM$1001,MATCH(ROWS($AF$2:AF680),$AF$2:$AF$1001,0),MATCH(COLUMNS($AM$1006:BC1006),$AM$1006:$BM$1006,0)), HYPERLINK("#",""), HYPERLINK(CONCATENATE("#metadata!", ADDRESS(INDEX($AH$2:$AH$1001,MATCH(ROWS($AF$2:AF680),$AF$2:$AF$1001,0),0), INDEX($AM$1004:$BM$1004,1,MATCH(COLUMNS($AM$1006:BC1006),$AM$1006:$BM$1006,0)))),"Fix")))</f>
        <v xml:space="preserve"> </v>
      </c>
      <c r="S680" s="4" t="str">
        <f ca="1">IF(OR(INDEX($AG$2:$AG$1001,MATCH(ROWS($AF$2:AF680),$AF$2:$AF$1001,0),1)&gt;=100000,INDEX($AM$1005:$BM$1005,1,MATCH(COLUMNS($AM$1006:BD1006),$AM$1006:$BM$1006,0))&gt;=100000), " ",IF(INDEX($AM$2:$BM$1001,MATCH(ROWS($AF$2:AF680),$AF$2:$AF$1001,0),MATCH(COLUMNS($AM$1006:BD1006),$AM$1006:$BM$1006,0)), HYPERLINK("#",""), HYPERLINK(CONCATENATE("#metadata!", ADDRESS(INDEX($AH$2:$AH$1001,MATCH(ROWS($AF$2:AF680),$AF$2:$AF$1001,0),0), INDEX($AM$1004:$BM$1004,1,MATCH(COLUMNS($AM$1006:BD1006),$AM$1006:$BM$1006,0)))),"Fix")))</f>
        <v xml:space="preserve"> </v>
      </c>
      <c r="T680" s="4" t="str">
        <f ca="1">IF(OR(INDEX($AG$2:$AG$1001,MATCH(ROWS($AF$2:AF680),$AF$2:$AF$1001,0),1)&gt;=100000,INDEX($AM$1005:$BM$1005,1,MATCH(COLUMNS($AM$1006:BE1006),$AM$1006:$BM$1006,0))&gt;=100000), " ",IF(INDEX($AM$2:$BM$1001,MATCH(ROWS($AF$2:AF680),$AF$2:$AF$1001,0),MATCH(COLUMNS($AM$1006:BE1006),$AM$1006:$BM$1006,0)), HYPERLINK("#",""), HYPERLINK(CONCATENATE("#metadata!", ADDRESS(INDEX($AH$2:$AH$1001,MATCH(ROWS($AF$2:AF680),$AF$2:$AF$1001,0),0), INDEX($AM$1004:$BM$1004,1,MATCH(COLUMNS($AM$1006:BE1006),$AM$1006:$BM$1006,0)))),"Fix")))</f>
        <v xml:space="preserve"> </v>
      </c>
      <c r="U680" s="4" t="str">
        <f ca="1">IF(OR(INDEX($AG$2:$AG$1001,MATCH(ROWS($AF$2:AF680),$AF$2:$AF$1001,0),1)&gt;=100000,INDEX($AM$1005:$BM$1005,1,MATCH(COLUMNS($AM$1006:BF1006),$AM$1006:$BM$1006,0))&gt;=100000), " ",IF(INDEX($AM$2:$BM$1001,MATCH(ROWS($AF$2:AF680),$AF$2:$AF$1001,0),MATCH(COLUMNS($AM$1006:BF1006),$AM$1006:$BM$1006,0)), HYPERLINK("#",""), HYPERLINK(CONCATENATE("#metadata!", ADDRESS(INDEX($AH$2:$AH$1001,MATCH(ROWS($AF$2:AF680),$AF$2:$AF$1001,0),0), INDEX($AM$1004:$BM$1004,1,MATCH(COLUMNS($AM$1006:BF1006),$AM$1006:$BM$1006,0)))),"Fix")))</f>
        <v xml:space="preserve"> </v>
      </c>
      <c r="V680" s="4" t="str">
        <f ca="1">IF(OR(INDEX($AG$2:$AG$1001,MATCH(ROWS($AF$2:AF680),$AF$2:$AF$1001,0),1)&gt;=100000,INDEX($AM$1005:$BM$1005,1,MATCH(COLUMNS($AM$1006:BG1006),$AM$1006:$BM$1006,0))&gt;=100000), " ",IF(INDEX($AM$2:$BM$1001,MATCH(ROWS($AF$2:AF680),$AF$2:$AF$1001,0),MATCH(COLUMNS($AM$1006:BG1006),$AM$1006:$BM$1006,0)), HYPERLINK("#",""), HYPERLINK(CONCATENATE("#metadata!", ADDRESS(INDEX($AH$2:$AH$1001,MATCH(ROWS($AF$2:AF680),$AF$2:$AF$1001,0),0), INDEX($AM$1004:$BM$1004,1,MATCH(COLUMNS($AM$1006:BG1006),$AM$1006:$BM$1006,0)))),"Fix")))</f>
        <v xml:space="preserve"> </v>
      </c>
      <c r="W680" s="4" t="str">
        <f ca="1">IF(OR(INDEX($AG$2:$AG$1001,MATCH(ROWS($AF$2:AF680),$AF$2:$AF$1001,0),1)&gt;=100000,INDEX($AM$1005:$BM$1005,1,MATCH(COLUMNS($AM$1006:BH1006),$AM$1006:$BM$1006,0))&gt;=100000), " ",IF(INDEX($AM$2:$BM$1001,MATCH(ROWS($AF$2:AF680),$AF$2:$AF$1001,0),MATCH(COLUMNS($AM$1006:BH1006),$AM$1006:$BM$1006,0)), HYPERLINK("#",""), HYPERLINK(CONCATENATE("#metadata!", ADDRESS(INDEX($AH$2:$AH$1001,MATCH(ROWS($AF$2:AF680),$AF$2:$AF$1001,0),0), INDEX($AM$1004:$BM$1004,1,MATCH(COLUMNS($AM$1006:BH1006),$AM$1006:$BM$1006,0)))),"Fix")))</f>
        <v xml:space="preserve"> </v>
      </c>
      <c r="X680" s="4" t="str">
        <f ca="1">IF(OR(INDEX($AG$2:$AG$1001,MATCH(ROWS($AF$2:AF680),$AF$2:$AF$1001,0),1)&gt;=100000,INDEX($AM$1005:$BM$1005,1,MATCH(COLUMNS($AM$1006:BI1006),$AM$1006:$BM$1006,0))&gt;=100000), " ",IF(INDEX($AM$2:$BM$1001,MATCH(ROWS($AF$2:AF680),$AF$2:$AF$1001,0),MATCH(COLUMNS($AM$1006:BI1006),$AM$1006:$BM$1006,0)), HYPERLINK("#",""), HYPERLINK(CONCATENATE("#metadata!", ADDRESS(INDEX($AH$2:$AH$1001,MATCH(ROWS($AF$2:AF680),$AF$2:$AF$1001,0),0), INDEX($AM$1004:$BM$1004,1,MATCH(COLUMNS($AM$1006:BI1006),$AM$1006:$BM$1006,0)))),"Fix")))</f>
        <v xml:space="preserve"> </v>
      </c>
      <c r="Y680" s="4" t="str">
        <f ca="1">IF(OR(INDEX($AG$2:$AG$1001,MATCH(ROWS($AF$2:AF680),$AF$2:$AF$1001,0),1)&gt;=100000,INDEX($AM$1005:$BM$1005,1,MATCH(COLUMNS($AM$1006:BJ1006),$AM$1006:$BM$1006,0))&gt;=100000), " ",IF(INDEX($AM$2:$BM$1001,MATCH(ROWS($AF$2:AF680),$AF$2:$AF$1001,0),MATCH(COLUMNS($AM$1006:BJ1006),$AM$1006:$BM$1006,0)), HYPERLINK("#",""), HYPERLINK(CONCATENATE("#metadata!", ADDRESS(INDEX($AH$2:$AH$1001,MATCH(ROWS($AF$2:AF680),$AF$2:$AF$1001,0),0), INDEX($AM$1004:$BM$1004,1,MATCH(COLUMNS($AM$1006:BJ1006),$AM$1006:$BM$1006,0)))),"Fix")))</f>
        <v xml:space="preserve"> </v>
      </c>
      <c r="Z680" s="4" t="str">
        <f ca="1">IF(OR(INDEX($AG$2:$AG$1001,MATCH(ROWS($AF$2:AF680),$AF$2:$AF$1001,0),1)&gt;=100000,INDEX($AM$1005:$BM$1005,1,MATCH(COLUMNS($AM$1006:BK1006),$AM$1006:$BM$1006,0))&gt;=100000), " ",IF(INDEX($AM$2:$BM$1001,MATCH(ROWS($AF$2:AF680),$AF$2:$AF$1001,0),MATCH(COLUMNS($AM$1006:BK1006),$AM$1006:$BM$1006,0)), HYPERLINK("#",""), HYPERLINK(CONCATENATE("#metadata!", ADDRESS(INDEX($AH$2:$AH$1001,MATCH(ROWS($AF$2:AF680),$AF$2:$AF$1001,0),0), INDEX($AM$1004:$BM$1004,1,MATCH(COLUMNS($AM$1006:BK1006),$AM$1006:$BM$1006,0)))),"Fix")))</f>
        <v xml:space="preserve"> </v>
      </c>
      <c r="AA680" s="4" t="str">
        <f ca="1">IF(OR(INDEX($AG$2:$AG$1001,MATCH(ROWS($AF$2:AF680),$AF$2:$AF$1001,0),1)&gt;=100000,INDEX($AM$1005:$BM$1005,1,MATCH(COLUMNS($AM$1006:BL1006),$AM$1006:$BM$1006,0))&gt;=100000), " ",IF(INDEX($AM$2:$BM$1001,MATCH(ROWS($AF$2:AF680),$AF$2:$AF$1001,0),MATCH(COLUMNS($AM$1006:BL1006),$AM$1006:$BM$1006,0)), HYPERLINK("#",""), HYPERLINK(CONCATENATE("#metadata!", ADDRESS(INDEX($AH$2:$AH$1001,MATCH(ROWS($AF$2:AF680),$AF$2:$AF$1001,0),0), INDEX($AM$1004:$BM$1004,1,MATCH(COLUMNS($AM$1006:BL1006),$AM$1006:$BM$1006,0)))),"Fix")))</f>
        <v xml:space="preserve"> </v>
      </c>
      <c r="AB680" s="4" t="str">
        <f ca="1">IF(OR(INDEX($AG$2:$AG$1001,MATCH(ROWS($AF$2:AF680),$AF$2:$AF$1001,0),1)&gt;=100000,INDEX($AM$1005:$BM$1005,1,MATCH(COLUMNS($AM$1006:BM1006),$AM$1006:$BM$1006,0))&gt;=100000), " ",IF(INDEX($AM$2:$BM$1001,MATCH(ROWS($AF$2:AF680),$AF$2:$AF$1001,0),MATCH(COLUMNS($AM$1006:BM1006),$AM$1006:$BM$1006,0)), HYPERLINK("#",""), HYPERLINK(CONCATENATE("#metadata!", ADDRESS(INDEX($AH$2:$AH$1001,MATCH(ROWS($AF$2:AF680),$AF$2:$AF$1001,0),0), INDEX($AM$1004:$BM$1004,1,MATCH(COLUMNS($AM$1006:BM1006),$AM$1006:$BM$1006,0)))),"Fix")))</f>
        <v xml:space="preserve"> </v>
      </c>
      <c r="AF680">
        <v>679</v>
      </c>
      <c r="AG680">
        <v>100680</v>
      </c>
      <c r="AH680">
        <v>680</v>
      </c>
      <c r="AI680" t="b">
        <f t="shared" si="10"/>
        <v>1</v>
      </c>
      <c r="AJ680" t="b">
        <f>COUNTBLANK(metadata!B680:AB680)=COLUMNS(metadata!B680:AB680)</f>
        <v>1</v>
      </c>
      <c r="AK680" t="str">
        <v/>
      </c>
      <c r="AM680" t="b">
        <f ca="1">AND(IF(metadata!B680="",FALSE,TRUE),COUNTIF(metadata!B:B, metadata!B680) = 1,NOT(ISERROR(SUMPRODUCT(SEARCH(MID(metadata!B680,ROW(INDIRECT("1:"&amp;LEN(metadata!B680))), 1),"0123456789abcdefghijklmnopqrstuvwxyzABCDEFGHIJKLMNOPQRSTUVWXYZ.")))))</f>
        <v>0</v>
      </c>
      <c r="AN680" t="b">
        <f ca="1">OR(AND(IF(metadata!C680="",FALSE,TRUE),OR(EXACT(metadata!C680,"missing: not collected"),EXACT(metadata!C680,"missing: not provided"),EXACT(metadata!C680,"missing: restricted access"))),AND(IF(metadata!C680="",FALSE,TRUE),AND(AND(IFERROR(INT(LEFT(metadata!C680,4))&gt;1900,FALSE),IFERROR(INT(LEFT(metadata!C680,4))&lt;=YEAR(NOW()),FALSE)), OR(MID(metadata!C680,5,1)="", AND(AND(MID(metadata!C680,5,1)="-",IFERROR(INT(MID(metadata!C680,6,1))&gt;=0,FALSE),IFERROR(INT(MID(metadata!C680,6,1))&lt;=1,FALSE),NOT(MID(metadata!C680,7,1)=""),IFERROR(INT(MID(metadata!C680,6,2))&gt;=1,FALSE),IFERROR(INT(MID(metadata!C680,6,2))&lt;=12,FALSE)), OR(MID(metadata!C680,8,1)="", AND(AND(MID(metadata!C680,8,1)="-",IFERROR(INT(MID(metadata!C680,9,1))&gt;=0,FALSE),IFERROR(INT(MID(metadata!C680,9,1))&lt;=3,FALSE),NOT(MID(metadata!C680,10,1)=""),IFERROR(INT(MID(metadata!C680,9,2))&gt;=1,FALSE),IFERROR(INT(MID(metadata!C680,9,2))&lt;=31,FALSE)), OR(MID(metadata!C680,11,1)="", AND(AND(MID(metadata!C680,11,1)=" ",IFERROR(INT(MID(metadata!C680,12,1))&gt;=0,FALSE),IFERROR(INT(MID(metadata!C680,12,1))&lt;=2,FALSE),NOT(MID(metadata!C680,13,1)=""),IFERROR(INT(MID(metadata!C680,12,2))&gt;=0,FALSE),IFERROR(INT(MID(metadata!C680,12,2))&lt;=23,FALSE)), OR(MID(metadata!C680,14,1)="", AND(AND(MID(metadata!C680,14,1)=":",IFERROR(INT(MID(metadata!C680,15,1))&gt;=0,FALSE),IFERROR(INT(MID(metadata!C680,15,1))&lt;=5,FALSE),NOT(MID(metadata!C680,16,1)=""),IFERROR(INT(MID(metadata!C680,15,2))&gt;=0,FALSE),IFERROR(INT(MID(metadata!C680,15,2))&lt;=59,FALSE)), OR(MID(metadata!C680,17,1)="", AND(AND(MID(metadata!C680,17,1)=":",IFERROR(INT(MID(metadata!C680,18,1))&gt;=0,FALSE),IFERROR(INT(MID(metadata!C680,18,1))&lt;=5,FALSE),NOT(MID(metadata!C680,19,1)=""),IFERROR(INT(MID(metadata!C680,18,2))&gt;=0,FALSE),IFERROR(INT(MID(metadata!C680,18,2))&lt;=59,FALSE)), LEN(metadata!C680)&lt;=19)))))))))))))</f>
        <v>0</v>
      </c>
      <c r="AO680" t="b">
        <f>AND(IF(metadata!D680="",FALSE,TRUE),EXACT(metadata!D680,"Not applicable"))</f>
        <v>0</v>
      </c>
      <c r="AP680" t="b">
        <f>IF(metadata!E680="",FALSE,TRUE)</f>
        <v>0</v>
      </c>
      <c r="AQ680" t="b">
        <f>OR(AND(IF(metadata!F680="",FALSE,TRUE),OR(EXACT(metadata!F680,"missing: not collected"),EXACT(metadata!F680,"missing: not provided"))),AND(IF(metadata!F680="",FALSE,TRUE),OR(EXACT(metadata!F680,"TRUE"),EXACT(metadata!F680,"FALSE"))))</f>
        <v>0</v>
      </c>
      <c r="AR680" t="b">
        <f>OR(AND(IF(metadata!G680="",FALSE,TRUE),OR(EXACT(metadata!G680,"missing: not collected"),EXACT(metadata!G680,"missing: not provided"),EXACT(metadata!G680,"missing: restricted access"))),AND(IF(metadata!G680="",FALSE,ISNUMBER(VALUE(metadata!G680))),metadata!G680&gt;=-413))</f>
        <v>0</v>
      </c>
      <c r="AS680" t="b">
        <f>AND(IF(metadata!H680="",FALSE,TRUE),EXACT(metadata!H680,"meters"))</f>
        <v>0</v>
      </c>
      <c r="AT680" t="b">
        <f>AND(IF(metadata!I680="",FALSE,TRUE),OR(EXACT(metadata!I680,"Host-associated"),EXACT(metadata!I680,"Free-living")))</f>
        <v>0</v>
      </c>
      <c r="AU680" t="b">
        <f>AND(IF(metadata!J680="",FALSE,TRUE),OR(EXACT(metadata!J680,"Animal"),EXACT(metadata!J680,"Fungus"),EXACT(metadata!J680,"Plant"),EXACT(metadata!J680,"Saline"),EXACT(metadata!J680,"Non-saline")))</f>
        <v>0</v>
      </c>
      <c r="AV680" t="b">
        <f>AND(IF(metadata!K680="",FALSE,TRUE),OR(EXACT(metadata!K680,"Plant secretion"),EXACT(metadata!K680,"Plant rhizosphere"),EXACT(metadata!K680,"Plant surface"),EXACT(metadata!K680,"Plant corpus"),EXACT(metadata!K680,"Fungus surface"),EXACT(metadata!K680,"Fungus corpus"),EXACT(metadata!K680,"Animal surface"),EXACT(metadata!K680,"Animal proximal gut"),EXACT(metadata!K680,"Animal corpus"),EXACT(metadata!K680,"Animal distal gut"),EXACT(metadata!K680,"Animal secretion"),EXACT(metadata!K680,"Sub-surface (non-saline)"),EXACT(metadata!K680,"Surface (non-saline)"),EXACT(metadata!K680,"Water (non-saline)"),EXACT(metadata!K680,"Soil (non-saline)"),EXACT(metadata!K680,"Aerosol (non-saline)"),EXACT(metadata!K680,"Sediment (non-saline)"),EXACT(metadata!K680,"Surface (saline)"),EXACT(metadata!K680,"Water (saline)"),EXACT(metadata!K680,"Hypersaline (saline)"),EXACT(metadata!K680,"Aerosol (saline)"),EXACT(metadata!K680,"Sediment (saline)")))</f>
        <v>0</v>
      </c>
      <c r="AW680" t="b">
        <f>IF(metadata!L680="",FALSE,TRUE)</f>
        <v>0</v>
      </c>
      <c r="AX680" t="b">
        <f>IF(metadata!M680="",FALSE,TRUE)</f>
        <v>0</v>
      </c>
      <c r="AY680" t="b">
        <f>IF(metadata!N680="",FALSE,TRUE)</f>
        <v>0</v>
      </c>
      <c r="AZ680" t="b">
        <f>OR(AND(IF(metadata!O680="",FALSE,TRUE),OR(EXACT(metadata!O680,"missing: not collected"),EXACT(metadata!O680,"missing: not provided"),EXACT(metadata!O680,"missing: restricted access"))),AND(IF(metadata!O680="",FALSE,TRUE),OR(EXACT(metadata!O680,"air"),EXACT(metadata!O680,"built environment"),EXACT(metadata!O680,"host-associated"),EXACT(metadata!O680,"human-associated"),EXACT(metadata!O680,"human-skin"),EXACT(metadata!O680,"human-oral"),EXACT(metadata!O680,"human-gut"),EXACT(metadata!O680,"human-vaginal"),EXACT(metadata!O680,"microbial mat/biofilm"),EXACT(metadata!O680,"misc environment"),EXACT(metadata!O680,"plant-associated"),EXACT(metadata!O680,"sediment"),EXACT(metadata!O680,"soil"),EXACT(metadata!O680,"wastewater/sludge"),EXACT(metadata!O680,"water"))))</f>
        <v>0</v>
      </c>
      <c r="BA680" t="b">
        <f>IF(metadata!P680="",FALSE,TRUE)</f>
        <v>0</v>
      </c>
      <c r="BB680" t="b">
        <f>IF(metadata!Q680="",FALSE,TRUE)</f>
        <v>0</v>
      </c>
      <c r="BC680" t="b">
        <f>OR(AND(IF(metadata!R680="",FALSE,TRUE),OR(EXACT(metadata!R680,"missing: not collected"),EXACT(metadata!R680,"missing: not provided"),EXACT(metadata!R680,"missing: restricted access"))),AND(IF(metadata!R680="",FALSE,ISNUMBER(VALUE(metadata!R680))),metadata!R680&gt;=-90,metadata!R680&lt;=90))</f>
        <v>0</v>
      </c>
      <c r="BD680" t="b">
        <f>AND(IF(metadata!S680="",FALSE,TRUE),EXACT(metadata!S680,"Decimal degrees"))</f>
        <v>0</v>
      </c>
      <c r="BE680" t="b">
        <f>OR(AND(IF(metadata!T680="",FALSE,TRUE),OR(EXACT(metadata!T680,"missing: not collected"),EXACT(metadata!T680,"missing: not provided"),EXACT(metadata!T680,"missing: restricted access"))),AND(IF(metadata!T680="",FALSE,ISNUMBER(VALUE(metadata!T680))),metadata!T680&gt;=-180,metadata!T680&lt;=180))</f>
        <v>0</v>
      </c>
      <c r="BF680" t="b">
        <f>AND(IF(metadata!U680="",FALSE,TRUE),EXACT(metadata!U680,"Decimal degrees"))</f>
        <v>0</v>
      </c>
      <c r="BG680" t="b">
        <f>IF(metadata!V680="",FALSE,TRUE)</f>
        <v>0</v>
      </c>
      <c r="BH680" t="b">
        <f>OR(AND(IF(metadata!W680="",FALSE,TRUE),OR(EXACT(metadata!W680,"missing: not collected"),EXACT(metadata!W680,"missing: not provided"),EXACT(metadata!W680,"missing: restricted access"))),AND(IF(metadata!W680="",FALSE,TRUE),OR(EXACT(metadata!W680,"TRUE"),EXACT(metadata!W680,"FALSE"))))</f>
        <v>0</v>
      </c>
      <c r="BI680" t="b">
        <f>AND(IF(metadata!X680="",FALSE,TRUE),EXACT(metadata!X680,"other"))</f>
        <v>0</v>
      </c>
      <c r="BJ680" t="b">
        <f>IF(metadata!Y680="",FALSE,TRUE)</f>
        <v>0</v>
      </c>
      <c r="BK680" t="b">
        <f>OR(AND(IF(metadata!Z680="",FALSE,TRUE),OR(EXACT(metadata!Z680,"missing: not collected"),EXACT(metadata!Z680,"missing: not provided"))),AND(IF(metadata!Z680="",FALSE,IF(ISERROR(INT(metadata!Z680)),FALSE,INT(metadata!Z680)=metadata!Z680)),metadata!Z680&gt;0))</f>
        <v>0</v>
      </c>
      <c r="BL680" t="b">
        <f>AND(IF(metadata!AA680="",FALSE,TRUE),EXACT(metadata!AA680,"Not applicable"))</f>
        <v>0</v>
      </c>
      <c r="BM680" t="b">
        <f>IF(metadata!AB680="",FALSE,TRUE)</f>
        <v>0</v>
      </c>
    </row>
    <row r="681" spans="1:65" x14ac:dyDescent="0.2">
      <c r="A681" s="5" t="str">
        <f ca="1">IF(B681=" "," ",HYPERLINK(CONCATENATE("#metadata!",ADDRESS(INDEX($AH$2:$AH$1001,MATCH(ROWS($AF$2:AF681),$AF$2:$AF$1001,0),0),1)),INDEX($AK$2:$AK$1001,MATCH(ROWS($AF$2:AF681),$AF$2:$AF$1001,0),0)))</f>
        <v xml:space="preserve"> </v>
      </c>
      <c r="B681" s="4" t="str">
        <f ca="1">IF(OR(INDEX($AG$2:$AG$1001,MATCH(ROWS($AF$2:AF681),$AF$2:$AF$1001,0),1)&gt;=100000,INDEX($AM$1005:$BM$1005,1,MATCH(COLUMNS($AM$1006:AM1006),$AM$1006:$BM$1006,0))&gt;=100000), " ",IF(INDEX($AM$2:$BM$1001,MATCH(ROWS($AF$2:AF681),$AF$2:$AF$1001,0),MATCH(COLUMNS($AM$1006:AM1006),$AM$1006:$BM$1006,0)), HYPERLINK("#",""), HYPERLINK(CONCATENATE("#metadata!", ADDRESS(INDEX($AH$2:$AH$1001,MATCH(ROWS($AF$2:AF681),$AF$2:$AF$1001,0),0), INDEX($AM$1004:$BM$1004,1,MATCH(COLUMNS($AM$1006:AM1006),$AM$1006:$BM$1006,0)))),"Fix")))</f>
        <v xml:space="preserve"> </v>
      </c>
      <c r="C681" s="4" t="str">
        <f ca="1">IF(OR(INDEX($AG$2:$AG$1001,MATCH(ROWS($AF$2:AF681),$AF$2:$AF$1001,0),1)&gt;=100000,INDEX($AM$1005:$BM$1005,1,MATCH(COLUMNS($AM$1006:AN1006),$AM$1006:$BM$1006,0))&gt;=100000), " ",IF(INDEX($AM$2:$BM$1001,MATCH(ROWS($AF$2:AF681),$AF$2:$AF$1001,0),MATCH(COLUMNS($AM$1006:AN1006),$AM$1006:$BM$1006,0)), HYPERLINK("#",""), HYPERLINK(CONCATENATE("#metadata!", ADDRESS(INDEX($AH$2:$AH$1001,MATCH(ROWS($AF$2:AF681),$AF$2:$AF$1001,0),0), INDEX($AM$1004:$BM$1004,1,MATCH(COLUMNS($AM$1006:AN1006),$AM$1006:$BM$1006,0)))),"Fix")))</f>
        <v xml:space="preserve"> </v>
      </c>
      <c r="D681" s="4" t="str">
        <f ca="1">IF(OR(INDEX($AG$2:$AG$1001,MATCH(ROWS($AF$2:AF681),$AF$2:$AF$1001,0),1)&gt;=100000,INDEX($AM$1005:$BM$1005,1,MATCH(COLUMNS($AM$1006:AO1006),$AM$1006:$BM$1006,0))&gt;=100000), " ",IF(INDEX($AM$2:$BM$1001,MATCH(ROWS($AF$2:AF681),$AF$2:$AF$1001,0),MATCH(COLUMNS($AM$1006:AO1006),$AM$1006:$BM$1006,0)), HYPERLINK("#",""), HYPERLINK(CONCATENATE("#metadata!", ADDRESS(INDEX($AH$2:$AH$1001,MATCH(ROWS($AF$2:AF681),$AF$2:$AF$1001,0),0), INDEX($AM$1004:$BM$1004,1,MATCH(COLUMNS($AM$1006:AO1006),$AM$1006:$BM$1006,0)))),"Fix")))</f>
        <v xml:space="preserve"> </v>
      </c>
      <c r="E681" s="4" t="str">
        <f ca="1">IF(OR(INDEX($AG$2:$AG$1001,MATCH(ROWS($AF$2:AF681),$AF$2:$AF$1001,0),1)&gt;=100000,INDEX($AM$1005:$BM$1005,1,MATCH(COLUMNS($AM$1006:AP1006),$AM$1006:$BM$1006,0))&gt;=100000), " ",IF(INDEX($AM$2:$BM$1001,MATCH(ROWS($AF$2:AF681),$AF$2:$AF$1001,0),MATCH(COLUMNS($AM$1006:AP1006),$AM$1006:$BM$1006,0)), HYPERLINK("#",""), HYPERLINK(CONCATENATE("#metadata!", ADDRESS(INDEX($AH$2:$AH$1001,MATCH(ROWS($AF$2:AF681),$AF$2:$AF$1001,0),0), INDEX($AM$1004:$BM$1004,1,MATCH(COLUMNS($AM$1006:AP1006),$AM$1006:$BM$1006,0)))),"Fix")))</f>
        <v xml:space="preserve"> </v>
      </c>
      <c r="F681" s="4" t="str">
        <f ca="1">IF(OR(INDEX($AG$2:$AG$1001,MATCH(ROWS($AF$2:AF681),$AF$2:$AF$1001,0),1)&gt;=100000,INDEX($AM$1005:$BM$1005,1,MATCH(COLUMNS($AM$1006:AQ1006),$AM$1006:$BM$1006,0))&gt;=100000), " ",IF(INDEX($AM$2:$BM$1001,MATCH(ROWS($AF$2:AF681),$AF$2:$AF$1001,0),MATCH(COLUMNS($AM$1006:AQ1006),$AM$1006:$BM$1006,0)), HYPERLINK("#",""), HYPERLINK(CONCATENATE("#metadata!", ADDRESS(INDEX($AH$2:$AH$1001,MATCH(ROWS($AF$2:AF681),$AF$2:$AF$1001,0),0), INDEX($AM$1004:$BM$1004,1,MATCH(COLUMNS($AM$1006:AQ1006),$AM$1006:$BM$1006,0)))),"Fix")))</f>
        <v xml:space="preserve"> </v>
      </c>
      <c r="G681" s="4" t="str">
        <f ca="1">IF(OR(INDEX($AG$2:$AG$1001,MATCH(ROWS($AF$2:AF681),$AF$2:$AF$1001,0),1)&gt;=100000,INDEX($AM$1005:$BM$1005,1,MATCH(COLUMNS($AM$1006:AR1006),$AM$1006:$BM$1006,0))&gt;=100000), " ",IF(INDEX($AM$2:$BM$1001,MATCH(ROWS($AF$2:AF681),$AF$2:$AF$1001,0),MATCH(COLUMNS($AM$1006:AR1006),$AM$1006:$BM$1006,0)), HYPERLINK("#",""), HYPERLINK(CONCATENATE("#metadata!", ADDRESS(INDEX($AH$2:$AH$1001,MATCH(ROWS($AF$2:AF681),$AF$2:$AF$1001,0),0), INDEX($AM$1004:$BM$1004,1,MATCH(COLUMNS($AM$1006:AR1006),$AM$1006:$BM$1006,0)))),"Fix")))</f>
        <v xml:space="preserve"> </v>
      </c>
      <c r="H681" s="4" t="str">
        <f ca="1">IF(OR(INDEX($AG$2:$AG$1001,MATCH(ROWS($AF$2:AF681),$AF$2:$AF$1001,0),1)&gt;=100000,INDEX($AM$1005:$BM$1005,1,MATCH(COLUMNS($AM$1006:AS1006),$AM$1006:$BM$1006,0))&gt;=100000), " ",IF(INDEX($AM$2:$BM$1001,MATCH(ROWS($AF$2:AF681),$AF$2:$AF$1001,0),MATCH(COLUMNS($AM$1006:AS1006),$AM$1006:$BM$1006,0)), HYPERLINK("#",""), HYPERLINK(CONCATENATE("#metadata!", ADDRESS(INDEX($AH$2:$AH$1001,MATCH(ROWS($AF$2:AF681),$AF$2:$AF$1001,0),0), INDEX($AM$1004:$BM$1004,1,MATCH(COLUMNS($AM$1006:AS1006),$AM$1006:$BM$1006,0)))),"Fix")))</f>
        <v xml:space="preserve"> </v>
      </c>
      <c r="I681" s="4" t="str">
        <f ca="1">IF(OR(INDEX($AG$2:$AG$1001,MATCH(ROWS($AF$2:AF681),$AF$2:$AF$1001,0),1)&gt;=100000,INDEX($AM$1005:$BM$1005,1,MATCH(COLUMNS($AM$1006:AT1006),$AM$1006:$BM$1006,0))&gt;=100000), " ",IF(INDEX($AM$2:$BM$1001,MATCH(ROWS($AF$2:AF681),$AF$2:$AF$1001,0),MATCH(COLUMNS($AM$1006:AT1006),$AM$1006:$BM$1006,0)), HYPERLINK("#",""), HYPERLINK(CONCATENATE("#metadata!", ADDRESS(INDEX($AH$2:$AH$1001,MATCH(ROWS($AF$2:AF681),$AF$2:$AF$1001,0),0), INDEX($AM$1004:$BM$1004,1,MATCH(COLUMNS($AM$1006:AT1006),$AM$1006:$BM$1006,0)))),"Fix")))</f>
        <v xml:space="preserve"> </v>
      </c>
      <c r="J681" s="4" t="str">
        <f ca="1">IF(OR(INDEX($AG$2:$AG$1001,MATCH(ROWS($AF$2:AF681),$AF$2:$AF$1001,0),1)&gt;=100000,INDEX($AM$1005:$BM$1005,1,MATCH(COLUMNS($AM$1006:AU1006),$AM$1006:$BM$1006,0))&gt;=100000), " ",IF(INDEX($AM$2:$BM$1001,MATCH(ROWS($AF$2:AF681),$AF$2:$AF$1001,0),MATCH(COLUMNS($AM$1006:AU1006),$AM$1006:$BM$1006,0)), HYPERLINK("#",""), HYPERLINK(CONCATENATE("#metadata!", ADDRESS(INDEX($AH$2:$AH$1001,MATCH(ROWS($AF$2:AF681),$AF$2:$AF$1001,0),0), INDEX($AM$1004:$BM$1004,1,MATCH(COLUMNS($AM$1006:AU1006),$AM$1006:$BM$1006,0)))),"Fix")))</f>
        <v xml:space="preserve"> </v>
      </c>
      <c r="K681" s="4" t="str">
        <f ca="1">IF(OR(INDEX($AG$2:$AG$1001,MATCH(ROWS($AF$2:AF681),$AF$2:$AF$1001,0),1)&gt;=100000,INDEX($AM$1005:$BM$1005,1,MATCH(COLUMNS($AM$1006:AV1006),$AM$1006:$BM$1006,0))&gt;=100000), " ",IF(INDEX($AM$2:$BM$1001,MATCH(ROWS($AF$2:AF681),$AF$2:$AF$1001,0),MATCH(COLUMNS($AM$1006:AV1006),$AM$1006:$BM$1006,0)), HYPERLINK("#",""), HYPERLINK(CONCATENATE("#metadata!", ADDRESS(INDEX($AH$2:$AH$1001,MATCH(ROWS($AF$2:AF681),$AF$2:$AF$1001,0),0), INDEX($AM$1004:$BM$1004,1,MATCH(COLUMNS($AM$1006:AV1006),$AM$1006:$BM$1006,0)))),"Fix")))</f>
        <v xml:space="preserve"> </v>
      </c>
      <c r="L681" s="4" t="str">
        <f ca="1">IF(OR(INDEX($AG$2:$AG$1001,MATCH(ROWS($AF$2:AF681),$AF$2:$AF$1001,0),1)&gt;=100000,INDEX($AM$1005:$BM$1005,1,MATCH(COLUMNS($AM$1006:AW1006),$AM$1006:$BM$1006,0))&gt;=100000), " ",IF(INDEX($AM$2:$BM$1001,MATCH(ROWS($AF$2:AF681),$AF$2:$AF$1001,0),MATCH(COLUMNS($AM$1006:AW1006),$AM$1006:$BM$1006,0)), HYPERLINK("#",""), HYPERLINK(CONCATENATE("#metadata!", ADDRESS(INDEX($AH$2:$AH$1001,MATCH(ROWS($AF$2:AF681),$AF$2:$AF$1001,0),0), INDEX($AM$1004:$BM$1004,1,MATCH(COLUMNS($AM$1006:AW1006),$AM$1006:$BM$1006,0)))),"Fix")))</f>
        <v xml:space="preserve"> </v>
      </c>
      <c r="M681" s="4" t="str">
        <f ca="1">IF(OR(INDEX($AG$2:$AG$1001,MATCH(ROWS($AF$2:AF681),$AF$2:$AF$1001,0),1)&gt;=100000,INDEX($AM$1005:$BM$1005,1,MATCH(COLUMNS($AM$1006:AX1006),$AM$1006:$BM$1006,0))&gt;=100000), " ",IF(INDEX($AM$2:$BM$1001,MATCH(ROWS($AF$2:AF681),$AF$2:$AF$1001,0),MATCH(COLUMNS($AM$1006:AX1006),$AM$1006:$BM$1006,0)), HYPERLINK("#",""), HYPERLINK(CONCATENATE("#metadata!", ADDRESS(INDEX($AH$2:$AH$1001,MATCH(ROWS($AF$2:AF681),$AF$2:$AF$1001,0),0), INDEX($AM$1004:$BM$1004,1,MATCH(COLUMNS($AM$1006:AX1006),$AM$1006:$BM$1006,0)))),"Fix")))</f>
        <v xml:space="preserve"> </v>
      </c>
      <c r="N681" s="4" t="str">
        <f ca="1">IF(OR(INDEX($AG$2:$AG$1001,MATCH(ROWS($AF$2:AF681),$AF$2:$AF$1001,0),1)&gt;=100000,INDEX($AM$1005:$BM$1005,1,MATCH(COLUMNS($AM$1006:AY1006),$AM$1006:$BM$1006,0))&gt;=100000), " ",IF(INDEX($AM$2:$BM$1001,MATCH(ROWS($AF$2:AF681),$AF$2:$AF$1001,0),MATCH(COLUMNS($AM$1006:AY1006),$AM$1006:$BM$1006,0)), HYPERLINK("#",""), HYPERLINK(CONCATENATE("#metadata!", ADDRESS(INDEX($AH$2:$AH$1001,MATCH(ROWS($AF$2:AF681),$AF$2:$AF$1001,0),0), INDEX($AM$1004:$BM$1004,1,MATCH(COLUMNS($AM$1006:AY1006),$AM$1006:$BM$1006,0)))),"Fix")))</f>
        <v xml:space="preserve"> </v>
      </c>
      <c r="O681" s="4" t="str">
        <f ca="1">IF(OR(INDEX($AG$2:$AG$1001,MATCH(ROWS($AF$2:AF681),$AF$2:$AF$1001,0),1)&gt;=100000,INDEX($AM$1005:$BM$1005,1,MATCH(COLUMNS($AM$1006:AZ1006),$AM$1006:$BM$1006,0))&gt;=100000), " ",IF(INDEX($AM$2:$BM$1001,MATCH(ROWS($AF$2:AF681),$AF$2:$AF$1001,0),MATCH(COLUMNS($AM$1006:AZ1006),$AM$1006:$BM$1006,0)), HYPERLINK("#",""), HYPERLINK(CONCATENATE("#metadata!", ADDRESS(INDEX($AH$2:$AH$1001,MATCH(ROWS($AF$2:AF681),$AF$2:$AF$1001,0),0), INDEX($AM$1004:$BM$1004,1,MATCH(COLUMNS($AM$1006:AZ1006),$AM$1006:$BM$1006,0)))),"Fix")))</f>
        <v xml:space="preserve"> </v>
      </c>
      <c r="P681" s="4" t="str">
        <f ca="1">IF(OR(INDEX($AG$2:$AG$1001,MATCH(ROWS($AF$2:AF681),$AF$2:$AF$1001,0),1)&gt;=100000,INDEX($AM$1005:$BM$1005,1,MATCH(COLUMNS($AM$1006:BA1006),$AM$1006:$BM$1006,0))&gt;=100000), " ",IF(INDEX($AM$2:$BM$1001,MATCH(ROWS($AF$2:AF681),$AF$2:$AF$1001,0),MATCH(COLUMNS($AM$1006:BA1006),$AM$1006:$BM$1006,0)), HYPERLINK("#",""), HYPERLINK(CONCATENATE("#metadata!", ADDRESS(INDEX($AH$2:$AH$1001,MATCH(ROWS($AF$2:AF681),$AF$2:$AF$1001,0),0), INDEX($AM$1004:$BM$1004,1,MATCH(COLUMNS($AM$1006:BA1006),$AM$1006:$BM$1006,0)))),"Fix")))</f>
        <v xml:space="preserve"> </v>
      </c>
      <c r="Q681" s="4" t="str">
        <f ca="1">IF(OR(INDEX($AG$2:$AG$1001,MATCH(ROWS($AF$2:AF681),$AF$2:$AF$1001,0),1)&gt;=100000,INDEX($AM$1005:$BM$1005,1,MATCH(COLUMNS($AM$1006:BB1006),$AM$1006:$BM$1006,0))&gt;=100000), " ",IF(INDEX($AM$2:$BM$1001,MATCH(ROWS($AF$2:AF681),$AF$2:$AF$1001,0),MATCH(COLUMNS($AM$1006:BB1006),$AM$1006:$BM$1006,0)), HYPERLINK("#",""), HYPERLINK(CONCATENATE("#metadata!", ADDRESS(INDEX($AH$2:$AH$1001,MATCH(ROWS($AF$2:AF681),$AF$2:$AF$1001,0),0), INDEX($AM$1004:$BM$1004,1,MATCH(COLUMNS($AM$1006:BB1006),$AM$1006:$BM$1006,0)))),"Fix")))</f>
        <v xml:space="preserve"> </v>
      </c>
      <c r="R681" s="4" t="str">
        <f ca="1">IF(OR(INDEX($AG$2:$AG$1001,MATCH(ROWS($AF$2:AF681),$AF$2:$AF$1001,0),1)&gt;=100000,INDEX($AM$1005:$BM$1005,1,MATCH(COLUMNS($AM$1006:BC1006),$AM$1006:$BM$1006,0))&gt;=100000), " ",IF(INDEX($AM$2:$BM$1001,MATCH(ROWS($AF$2:AF681),$AF$2:$AF$1001,0),MATCH(COLUMNS($AM$1006:BC1006),$AM$1006:$BM$1006,0)), HYPERLINK("#",""), HYPERLINK(CONCATENATE("#metadata!", ADDRESS(INDEX($AH$2:$AH$1001,MATCH(ROWS($AF$2:AF681),$AF$2:$AF$1001,0),0), INDEX($AM$1004:$BM$1004,1,MATCH(COLUMNS($AM$1006:BC1006),$AM$1006:$BM$1006,0)))),"Fix")))</f>
        <v xml:space="preserve"> </v>
      </c>
      <c r="S681" s="4" t="str">
        <f ca="1">IF(OR(INDEX($AG$2:$AG$1001,MATCH(ROWS($AF$2:AF681),$AF$2:$AF$1001,0),1)&gt;=100000,INDEX($AM$1005:$BM$1005,1,MATCH(COLUMNS($AM$1006:BD1006),$AM$1006:$BM$1006,0))&gt;=100000), " ",IF(INDEX($AM$2:$BM$1001,MATCH(ROWS($AF$2:AF681),$AF$2:$AF$1001,0),MATCH(COLUMNS($AM$1006:BD1006),$AM$1006:$BM$1006,0)), HYPERLINK("#",""), HYPERLINK(CONCATENATE("#metadata!", ADDRESS(INDEX($AH$2:$AH$1001,MATCH(ROWS($AF$2:AF681),$AF$2:$AF$1001,0),0), INDEX($AM$1004:$BM$1004,1,MATCH(COLUMNS($AM$1006:BD1006),$AM$1006:$BM$1006,0)))),"Fix")))</f>
        <v xml:space="preserve"> </v>
      </c>
      <c r="T681" s="4" t="str">
        <f ca="1">IF(OR(INDEX($AG$2:$AG$1001,MATCH(ROWS($AF$2:AF681),$AF$2:$AF$1001,0),1)&gt;=100000,INDEX($AM$1005:$BM$1005,1,MATCH(COLUMNS($AM$1006:BE1006),$AM$1006:$BM$1006,0))&gt;=100000), " ",IF(INDEX($AM$2:$BM$1001,MATCH(ROWS($AF$2:AF681),$AF$2:$AF$1001,0),MATCH(COLUMNS($AM$1006:BE1006),$AM$1006:$BM$1006,0)), HYPERLINK("#",""), HYPERLINK(CONCATENATE("#metadata!", ADDRESS(INDEX($AH$2:$AH$1001,MATCH(ROWS($AF$2:AF681),$AF$2:$AF$1001,0),0), INDEX($AM$1004:$BM$1004,1,MATCH(COLUMNS($AM$1006:BE1006),$AM$1006:$BM$1006,0)))),"Fix")))</f>
        <v xml:space="preserve"> </v>
      </c>
      <c r="U681" s="4" t="str">
        <f ca="1">IF(OR(INDEX($AG$2:$AG$1001,MATCH(ROWS($AF$2:AF681),$AF$2:$AF$1001,0),1)&gt;=100000,INDEX($AM$1005:$BM$1005,1,MATCH(COLUMNS($AM$1006:BF1006),$AM$1006:$BM$1006,0))&gt;=100000), " ",IF(INDEX($AM$2:$BM$1001,MATCH(ROWS($AF$2:AF681),$AF$2:$AF$1001,0),MATCH(COLUMNS($AM$1006:BF1006),$AM$1006:$BM$1006,0)), HYPERLINK("#",""), HYPERLINK(CONCATENATE("#metadata!", ADDRESS(INDEX($AH$2:$AH$1001,MATCH(ROWS($AF$2:AF681),$AF$2:$AF$1001,0),0), INDEX($AM$1004:$BM$1004,1,MATCH(COLUMNS($AM$1006:BF1006),$AM$1006:$BM$1006,0)))),"Fix")))</f>
        <v xml:space="preserve"> </v>
      </c>
      <c r="V681" s="4" t="str">
        <f ca="1">IF(OR(INDEX($AG$2:$AG$1001,MATCH(ROWS($AF$2:AF681),$AF$2:$AF$1001,0),1)&gt;=100000,INDEX($AM$1005:$BM$1005,1,MATCH(COLUMNS($AM$1006:BG1006),$AM$1006:$BM$1006,0))&gt;=100000), " ",IF(INDEX($AM$2:$BM$1001,MATCH(ROWS($AF$2:AF681),$AF$2:$AF$1001,0),MATCH(COLUMNS($AM$1006:BG1006),$AM$1006:$BM$1006,0)), HYPERLINK("#",""), HYPERLINK(CONCATENATE("#metadata!", ADDRESS(INDEX($AH$2:$AH$1001,MATCH(ROWS($AF$2:AF681),$AF$2:$AF$1001,0),0), INDEX($AM$1004:$BM$1004,1,MATCH(COLUMNS($AM$1006:BG1006),$AM$1006:$BM$1006,0)))),"Fix")))</f>
        <v xml:space="preserve"> </v>
      </c>
      <c r="W681" s="4" t="str">
        <f ca="1">IF(OR(INDEX($AG$2:$AG$1001,MATCH(ROWS($AF$2:AF681),$AF$2:$AF$1001,0),1)&gt;=100000,INDEX($AM$1005:$BM$1005,1,MATCH(COLUMNS($AM$1006:BH1006),$AM$1006:$BM$1006,0))&gt;=100000), " ",IF(INDEX($AM$2:$BM$1001,MATCH(ROWS($AF$2:AF681),$AF$2:$AF$1001,0),MATCH(COLUMNS($AM$1006:BH1006),$AM$1006:$BM$1006,0)), HYPERLINK("#",""), HYPERLINK(CONCATENATE("#metadata!", ADDRESS(INDEX($AH$2:$AH$1001,MATCH(ROWS($AF$2:AF681),$AF$2:$AF$1001,0),0), INDEX($AM$1004:$BM$1004,1,MATCH(COLUMNS($AM$1006:BH1006),$AM$1006:$BM$1006,0)))),"Fix")))</f>
        <v xml:space="preserve"> </v>
      </c>
      <c r="X681" s="4" t="str">
        <f ca="1">IF(OR(INDEX($AG$2:$AG$1001,MATCH(ROWS($AF$2:AF681),$AF$2:$AF$1001,0),1)&gt;=100000,INDEX($AM$1005:$BM$1005,1,MATCH(COLUMNS($AM$1006:BI1006),$AM$1006:$BM$1006,0))&gt;=100000), " ",IF(INDEX($AM$2:$BM$1001,MATCH(ROWS($AF$2:AF681),$AF$2:$AF$1001,0),MATCH(COLUMNS($AM$1006:BI1006),$AM$1006:$BM$1006,0)), HYPERLINK("#",""), HYPERLINK(CONCATENATE("#metadata!", ADDRESS(INDEX($AH$2:$AH$1001,MATCH(ROWS($AF$2:AF681),$AF$2:$AF$1001,0),0), INDEX($AM$1004:$BM$1004,1,MATCH(COLUMNS($AM$1006:BI1006),$AM$1006:$BM$1006,0)))),"Fix")))</f>
        <v xml:space="preserve"> </v>
      </c>
      <c r="Y681" s="4" t="str">
        <f ca="1">IF(OR(INDEX($AG$2:$AG$1001,MATCH(ROWS($AF$2:AF681),$AF$2:$AF$1001,0),1)&gt;=100000,INDEX($AM$1005:$BM$1005,1,MATCH(COLUMNS($AM$1006:BJ1006),$AM$1006:$BM$1006,0))&gt;=100000), " ",IF(INDEX($AM$2:$BM$1001,MATCH(ROWS($AF$2:AF681),$AF$2:$AF$1001,0),MATCH(COLUMNS($AM$1006:BJ1006),$AM$1006:$BM$1006,0)), HYPERLINK("#",""), HYPERLINK(CONCATENATE("#metadata!", ADDRESS(INDEX($AH$2:$AH$1001,MATCH(ROWS($AF$2:AF681),$AF$2:$AF$1001,0),0), INDEX($AM$1004:$BM$1004,1,MATCH(COLUMNS($AM$1006:BJ1006),$AM$1006:$BM$1006,0)))),"Fix")))</f>
        <v xml:space="preserve"> </v>
      </c>
      <c r="Z681" s="4" t="str">
        <f ca="1">IF(OR(INDEX($AG$2:$AG$1001,MATCH(ROWS($AF$2:AF681),$AF$2:$AF$1001,0),1)&gt;=100000,INDEX($AM$1005:$BM$1005,1,MATCH(COLUMNS($AM$1006:BK1006),$AM$1006:$BM$1006,0))&gt;=100000), " ",IF(INDEX($AM$2:$BM$1001,MATCH(ROWS($AF$2:AF681),$AF$2:$AF$1001,0),MATCH(COLUMNS($AM$1006:BK1006),$AM$1006:$BM$1006,0)), HYPERLINK("#",""), HYPERLINK(CONCATENATE("#metadata!", ADDRESS(INDEX($AH$2:$AH$1001,MATCH(ROWS($AF$2:AF681),$AF$2:$AF$1001,0),0), INDEX($AM$1004:$BM$1004,1,MATCH(COLUMNS($AM$1006:BK1006),$AM$1006:$BM$1006,0)))),"Fix")))</f>
        <v xml:space="preserve"> </v>
      </c>
      <c r="AA681" s="4" t="str">
        <f ca="1">IF(OR(INDEX($AG$2:$AG$1001,MATCH(ROWS($AF$2:AF681),$AF$2:$AF$1001,0),1)&gt;=100000,INDEX($AM$1005:$BM$1005,1,MATCH(COLUMNS($AM$1006:BL1006),$AM$1006:$BM$1006,0))&gt;=100000), " ",IF(INDEX($AM$2:$BM$1001,MATCH(ROWS($AF$2:AF681),$AF$2:$AF$1001,0),MATCH(COLUMNS($AM$1006:BL1006),$AM$1006:$BM$1006,0)), HYPERLINK("#",""), HYPERLINK(CONCATENATE("#metadata!", ADDRESS(INDEX($AH$2:$AH$1001,MATCH(ROWS($AF$2:AF681),$AF$2:$AF$1001,0),0), INDEX($AM$1004:$BM$1004,1,MATCH(COLUMNS($AM$1006:BL1006),$AM$1006:$BM$1006,0)))),"Fix")))</f>
        <v xml:space="preserve"> </v>
      </c>
      <c r="AB681" s="4" t="str">
        <f ca="1">IF(OR(INDEX($AG$2:$AG$1001,MATCH(ROWS($AF$2:AF681),$AF$2:$AF$1001,0),1)&gt;=100000,INDEX($AM$1005:$BM$1005,1,MATCH(COLUMNS($AM$1006:BM1006),$AM$1006:$BM$1006,0))&gt;=100000), " ",IF(INDEX($AM$2:$BM$1001,MATCH(ROWS($AF$2:AF681),$AF$2:$AF$1001,0),MATCH(COLUMNS($AM$1006:BM1006),$AM$1006:$BM$1006,0)), HYPERLINK("#",""), HYPERLINK(CONCATENATE("#metadata!", ADDRESS(INDEX($AH$2:$AH$1001,MATCH(ROWS($AF$2:AF681),$AF$2:$AF$1001,0),0), INDEX($AM$1004:$BM$1004,1,MATCH(COLUMNS($AM$1006:BM1006),$AM$1006:$BM$1006,0)))),"Fix")))</f>
        <v xml:space="preserve"> </v>
      </c>
      <c r="AF681">
        <v>680</v>
      </c>
      <c r="AG681">
        <v>100681</v>
      </c>
      <c r="AH681">
        <v>681</v>
      </c>
      <c r="AI681" t="b">
        <f t="shared" si="10"/>
        <v>1</v>
      </c>
      <c r="AJ681" t="b">
        <f>COUNTBLANK(metadata!B681:AB681)=COLUMNS(metadata!B681:AB681)</f>
        <v>1</v>
      </c>
      <c r="AK681" t="str">
        <v/>
      </c>
      <c r="AM681" t="b">
        <f ca="1">AND(IF(metadata!B681="",FALSE,TRUE),COUNTIF(metadata!B:B, metadata!B681) = 1,NOT(ISERROR(SUMPRODUCT(SEARCH(MID(metadata!B681,ROW(INDIRECT("1:"&amp;LEN(metadata!B681))), 1),"0123456789abcdefghijklmnopqrstuvwxyzABCDEFGHIJKLMNOPQRSTUVWXYZ.")))))</f>
        <v>0</v>
      </c>
      <c r="AN681" t="b">
        <f ca="1">OR(AND(IF(metadata!C681="",FALSE,TRUE),OR(EXACT(metadata!C681,"missing: not collected"),EXACT(metadata!C681,"missing: not provided"),EXACT(metadata!C681,"missing: restricted access"))),AND(IF(metadata!C681="",FALSE,TRUE),AND(AND(IFERROR(INT(LEFT(metadata!C681,4))&gt;1900,FALSE),IFERROR(INT(LEFT(metadata!C681,4))&lt;=YEAR(NOW()),FALSE)), OR(MID(metadata!C681,5,1)="", AND(AND(MID(metadata!C681,5,1)="-",IFERROR(INT(MID(metadata!C681,6,1))&gt;=0,FALSE),IFERROR(INT(MID(metadata!C681,6,1))&lt;=1,FALSE),NOT(MID(metadata!C681,7,1)=""),IFERROR(INT(MID(metadata!C681,6,2))&gt;=1,FALSE),IFERROR(INT(MID(metadata!C681,6,2))&lt;=12,FALSE)), OR(MID(metadata!C681,8,1)="", AND(AND(MID(metadata!C681,8,1)="-",IFERROR(INT(MID(metadata!C681,9,1))&gt;=0,FALSE),IFERROR(INT(MID(metadata!C681,9,1))&lt;=3,FALSE),NOT(MID(metadata!C681,10,1)=""),IFERROR(INT(MID(metadata!C681,9,2))&gt;=1,FALSE),IFERROR(INT(MID(metadata!C681,9,2))&lt;=31,FALSE)), OR(MID(metadata!C681,11,1)="", AND(AND(MID(metadata!C681,11,1)=" ",IFERROR(INT(MID(metadata!C681,12,1))&gt;=0,FALSE),IFERROR(INT(MID(metadata!C681,12,1))&lt;=2,FALSE),NOT(MID(metadata!C681,13,1)=""),IFERROR(INT(MID(metadata!C681,12,2))&gt;=0,FALSE),IFERROR(INT(MID(metadata!C681,12,2))&lt;=23,FALSE)), OR(MID(metadata!C681,14,1)="", AND(AND(MID(metadata!C681,14,1)=":",IFERROR(INT(MID(metadata!C681,15,1))&gt;=0,FALSE),IFERROR(INT(MID(metadata!C681,15,1))&lt;=5,FALSE),NOT(MID(metadata!C681,16,1)=""),IFERROR(INT(MID(metadata!C681,15,2))&gt;=0,FALSE),IFERROR(INT(MID(metadata!C681,15,2))&lt;=59,FALSE)), OR(MID(metadata!C681,17,1)="", AND(AND(MID(metadata!C681,17,1)=":",IFERROR(INT(MID(metadata!C681,18,1))&gt;=0,FALSE),IFERROR(INT(MID(metadata!C681,18,1))&lt;=5,FALSE),NOT(MID(metadata!C681,19,1)=""),IFERROR(INT(MID(metadata!C681,18,2))&gt;=0,FALSE),IFERROR(INT(MID(metadata!C681,18,2))&lt;=59,FALSE)), LEN(metadata!C681)&lt;=19)))))))))))))</f>
        <v>0</v>
      </c>
      <c r="AO681" t="b">
        <f>AND(IF(metadata!D681="",FALSE,TRUE),EXACT(metadata!D681,"Not applicable"))</f>
        <v>0</v>
      </c>
      <c r="AP681" t="b">
        <f>IF(metadata!E681="",FALSE,TRUE)</f>
        <v>0</v>
      </c>
      <c r="AQ681" t="b">
        <f>OR(AND(IF(metadata!F681="",FALSE,TRUE),OR(EXACT(metadata!F681,"missing: not collected"),EXACT(metadata!F681,"missing: not provided"))),AND(IF(metadata!F681="",FALSE,TRUE),OR(EXACT(metadata!F681,"TRUE"),EXACT(metadata!F681,"FALSE"))))</f>
        <v>0</v>
      </c>
      <c r="AR681" t="b">
        <f>OR(AND(IF(metadata!G681="",FALSE,TRUE),OR(EXACT(metadata!G681,"missing: not collected"),EXACT(metadata!G681,"missing: not provided"),EXACT(metadata!G681,"missing: restricted access"))),AND(IF(metadata!G681="",FALSE,ISNUMBER(VALUE(metadata!G681))),metadata!G681&gt;=-413))</f>
        <v>0</v>
      </c>
      <c r="AS681" t="b">
        <f>AND(IF(metadata!H681="",FALSE,TRUE),EXACT(metadata!H681,"meters"))</f>
        <v>0</v>
      </c>
      <c r="AT681" t="b">
        <f>AND(IF(metadata!I681="",FALSE,TRUE),OR(EXACT(metadata!I681,"Host-associated"),EXACT(metadata!I681,"Free-living")))</f>
        <v>0</v>
      </c>
      <c r="AU681" t="b">
        <f>AND(IF(metadata!J681="",FALSE,TRUE),OR(EXACT(metadata!J681,"Animal"),EXACT(metadata!J681,"Fungus"),EXACT(metadata!J681,"Plant"),EXACT(metadata!J681,"Saline"),EXACT(metadata!J681,"Non-saline")))</f>
        <v>0</v>
      </c>
      <c r="AV681" t="b">
        <f>AND(IF(metadata!K681="",FALSE,TRUE),OR(EXACT(metadata!K681,"Plant secretion"),EXACT(metadata!K681,"Plant rhizosphere"),EXACT(metadata!K681,"Plant surface"),EXACT(metadata!K681,"Plant corpus"),EXACT(metadata!K681,"Fungus surface"),EXACT(metadata!K681,"Fungus corpus"),EXACT(metadata!K681,"Animal surface"),EXACT(metadata!K681,"Animal proximal gut"),EXACT(metadata!K681,"Animal corpus"),EXACT(metadata!K681,"Animal distal gut"),EXACT(metadata!K681,"Animal secretion"),EXACT(metadata!K681,"Sub-surface (non-saline)"),EXACT(metadata!K681,"Surface (non-saline)"),EXACT(metadata!K681,"Water (non-saline)"),EXACT(metadata!K681,"Soil (non-saline)"),EXACT(metadata!K681,"Aerosol (non-saline)"),EXACT(metadata!K681,"Sediment (non-saline)"),EXACT(metadata!K681,"Surface (saline)"),EXACT(metadata!K681,"Water (saline)"),EXACT(metadata!K681,"Hypersaline (saline)"),EXACT(metadata!K681,"Aerosol (saline)"),EXACT(metadata!K681,"Sediment (saline)")))</f>
        <v>0</v>
      </c>
      <c r="AW681" t="b">
        <f>IF(metadata!L681="",FALSE,TRUE)</f>
        <v>0</v>
      </c>
      <c r="AX681" t="b">
        <f>IF(metadata!M681="",FALSE,TRUE)</f>
        <v>0</v>
      </c>
      <c r="AY681" t="b">
        <f>IF(metadata!N681="",FALSE,TRUE)</f>
        <v>0</v>
      </c>
      <c r="AZ681" t="b">
        <f>OR(AND(IF(metadata!O681="",FALSE,TRUE),OR(EXACT(metadata!O681,"missing: not collected"),EXACT(metadata!O681,"missing: not provided"),EXACT(metadata!O681,"missing: restricted access"))),AND(IF(metadata!O681="",FALSE,TRUE),OR(EXACT(metadata!O681,"air"),EXACT(metadata!O681,"built environment"),EXACT(metadata!O681,"host-associated"),EXACT(metadata!O681,"human-associated"),EXACT(metadata!O681,"human-skin"),EXACT(metadata!O681,"human-oral"),EXACT(metadata!O681,"human-gut"),EXACT(metadata!O681,"human-vaginal"),EXACT(metadata!O681,"microbial mat/biofilm"),EXACT(metadata!O681,"misc environment"),EXACT(metadata!O681,"plant-associated"),EXACT(metadata!O681,"sediment"),EXACT(metadata!O681,"soil"),EXACT(metadata!O681,"wastewater/sludge"),EXACT(metadata!O681,"water"))))</f>
        <v>0</v>
      </c>
      <c r="BA681" t="b">
        <f>IF(metadata!P681="",FALSE,TRUE)</f>
        <v>0</v>
      </c>
      <c r="BB681" t="b">
        <f>IF(metadata!Q681="",FALSE,TRUE)</f>
        <v>0</v>
      </c>
      <c r="BC681" t="b">
        <f>OR(AND(IF(metadata!R681="",FALSE,TRUE),OR(EXACT(metadata!R681,"missing: not collected"),EXACT(metadata!R681,"missing: not provided"),EXACT(metadata!R681,"missing: restricted access"))),AND(IF(metadata!R681="",FALSE,ISNUMBER(VALUE(metadata!R681))),metadata!R681&gt;=-90,metadata!R681&lt;=90))</f>
        <v>0</v>
      </c>
      <c r="BD681" t="b">
        <f>AND(IF(metadata!S681="",FALSE,TRUE),EXACT(metadata!S681,"Decimal degrees"))</f>
        <v>0</v>
      </c>
      <c r="BE681" t="b">
        <f>OR(AND(IF(metadata!T681="",FALSE,TRUE),OR(EXACT(metadata!T681,"missing: not collected"),EXACT(metadata!T681,"missing: not provided"),EXACT(metadata!T681,"missing: restricted access"))),AND(IF(metadata!T681="",FALSE,ISNUMBER(VALUE(metadata!T681))),metadata!T681&gt;=-180,metadata!T681&lt;=180))</f>
        <v>0</v>
      </c>
      <c r="BF681" t="b">
        <f>AND(IF(metadata!U681="",FALSE,TRUE),EXACT(metadata!U681,"Decimal degrees"))</f>
        <v>0</v>
      </c>
      <c r="BG681" t="b">
        <f>IF(metadata!V681="",FALSE,TRUE)</f>
        <v>0</v>
      </c>
      <c r="BH681" t="b">
        <f>OR(AND(IF(metadata!W681="",FALSE,TRUE),OR(EXACT(metadata!W681,"missing: not collected"),EXACT(metadata!W681,"missing: not provided"),EXACT(metadata!W681,"missing: restricted access"))),AND(IF(metadata!W681="",FALSE,TRUE),OR(EXACT(metadata!W681,"TRUE"),EXACT(metadata!W681,"FALSE"))))</f>
        <v>0</v>
      </c>
      <c r="BI681" t="b">
        <f>AND(IF(metadata!X681="",FALSE,TRUE),EXACT(metadata!X681,"other"))</f>
        <v>0</v>
      </c>
      <c r="BJ681" t="b">
        <f>IF(metadata!Y681="",FALSE,TRUE)</f>
        <v>0</v>
      </c>
      <c r="BK681" t="b">
        <f>OR(AND(IF(metadata!Z681="",FALSE,TRUE),OR(EXACT(metadata!Z681,"missing: not collected"),EXACT(metadata!Z681,"missing: not provided"))),AND(IF(metadata!Z681="",FALSE,IF(ISERROR(INT(metadata!Z681)),FALSE,INT(metadata!Z681)=metadata!Z681)),metadata!Z681&gt;0))</f>
        <v>0</v>
      </c>
      <c r="BL681" t="b">
        <f>AND(IF(metadata!AA681="",FALSE,TRUE),EXACT(metadata!AA681,"Not applicable"))</f>
        <v>0</v>
      </c>
      <c r="BM681" t="b">
        <f>IF(metadata!AB681="",FALSE,TRUE)</f>
        <v>0</v>
      </c>
    </row>
    <row r="682" spans="1:65" x14ac:dyDescent="0.2">
      <c r="A682" s="5" t="str">
        <f ca="1">IF(B682=" "," ",HYPERLINK(CONCATENATE("#metadata!",ADDRESS(INDEX($AH$2:$AH$1001,MATCH(ROWS($AF$2:AF682),$AF$2:$AF$1001,0),0),1)),INDEX($AK$2:$AK$1001,MATCH(ROWS($AF$2:AF682),$AF$2:$AF$1001,0),0)))</f>
        <v xml:space="preserve"> </v>
      </c>
      <c r="B682" s="4" t="str">
        <f ca="1">IF(OR(INDEX($AG$2:$AG$1001,MATCH(ROWS($AF$2:AF682),$AF$2:$AF$1001,0),1)&gt;=100000,INDEX($AM$1005:$BM$1005,1,MATCH(COLUMNS($AM$1006:AM1006),$AM$1006:$BM$1006,0))&gt;=100000), " ",IF(INDEX($AM$2:$BM$1001,MATCH(ROWS($AF$2:AF682),$AF$2:$AF$1001,0),MATCH(COLUMNS($AM$1006:AM1006),$AM$1006:$BM$1006,0)), HYPERLINK("#",""), HYPERLINK(CONCATENATE("#metadata!", ADDRESS(INDEX($AH$2:$AH$1001,MATCH(ROWS($AF$2:AF682),$AF$2:$AF$1001,0),0), INDEX($AM$1004:$BM$1004,1,MATCH(COLUMNS($AM$1006:AM1006),$AM$1006:$BM$1006,0)))),"Fix")))</f>
        <v xml:space="preserve"> </v>
      </c>
      <c r="C682" s="4" t="str">
        <f ca="1">IF(OR(INDEX($AG$2:$AG$1001,MATCH(ROWS($AF$2:AF682),$AF$2:$AF$1001,0),1)&gt;=100000,INDEX($AM$1005:$BM$1005,1,MATCH(COLUMNS($AM$1006:AN1006),$AM$1006:$BM$1006,0))&gt;=100000), " ",IF(INDEX($AM$2:$BM$1001,MATCH(ROWS($AF$2:AF682),$AF$2:$AF$1001,0),MATCH(COLUMNS($AM$1006:AN1006),$AM$1006:$BM$1006,0)), HYPERLINK("#",""), HYPERLINK(CONCATENATE("#metadata!", ADDRESS(INDEX($AH$2:$AH$1001,MATCH(ROWS($AF$2:AF682),$AF$2:$AF$1001,0),0), INDEX($AM$1004:$BM$1004,1,MATCH(COLUMNS($AM$1006:AN1006),$AM$1006:$BM$1006,0)))),"Fix")))</f>
        <v xml:space="preserve"> </v>
      </c>
      <c r="D682" s="4" t="str">
        <f ca="1">IF(OR(INDEX($AG$2:$AG$1001,MATCH(ROWS($AF$2:AF682),$AF$2:$AF$1001,0),1)&gt;=100000,INDEX($AM$1005:$BM$1005,1,MATCH(COLUMNS($AM$1006:AO1006),$AM$1006:$BM$1006,0))&gt;=100000), " ",IF(INDEX($AM$2:$BM$1001,MATCH(ROWS($AF$2:AF682),$AF$2:$AF$1001,0),MATCH(COLUMNS($AM$1006:AO1006),$AM$1006:$BM$1006,0)), HYPERLINK("#",""), HYPERLINK(CONCATENATE("#metadata!", ADDRESS(INDEX($AH$2:$AH$1001,MATCH(ROWS($AF$2:AF682),$AF$2:$AF$1001,0),0), INDEX($AM$1004:$BM$1004,1,MATCH(COLUMNS($AM$1006:AO1006),$AM$1006:$BM$1006,0)))),"Fix")))</f>
        <v xml:space="preserve"> </v>
      </c>
      <c r="E682" s="4" t="str">
        <f ca="1">IF(OR(INDEX($AG$2:$AG$1001,MATCH(ROWS($AF$2:AF682),$AF$2:$AF$1001,0),1)&gt;=100000,INDEX($AM$1005:$BM$1005,1,MATCH(COLUMNS($AM$1006:AP1006),$AM$1006:$BM$1006,0))&gt;=100000), " ",IF(INDEX($AM$2:$BM$1001,MATCH(ROWS($AF$2:AF682),$AF$2:$AF$1001,0),MATCH(COLUMNS($AM$1006:AP1006),$AM$1006:$BM$1006,0)), HYPERLINK("#",""), HYPERLINK(CONCATENATE("#metadata!", ADDRESS(INDEX($AH$2:$AH$1001,MATCH(ROWS($AF$2:AF682),$AF$2:$AF$1001,0),0), INDEX($AM$1004:$BM$1004,1,MATCH(COLUMNS($AM$1006:AP1006),$AM$1006:$BM$1006,0)))),"Fix")))</f>
        <v xml:space="preserve"> </v>
      </c>
      <c r="F682" s="4" t="str">
        <f ca="1">IF(OR(INDEX($AG$2:$AG$1001,MATCH(ROWS($AF$2:AF682),$AF$2:$AF$1001,0),1)&gt;=100000,INDEX($AM$1005:$BM$1005,1,MATCH(COLUMNS($AM$1006:AQ1006),$AM$1006:$BM$1006,0))&gt;=100000), " ",IF(INDEX($AM$2:$BM$1001,MATCH(ROWS($AF$2:AF682),$AF$2:$AF$1001,0),MATCH(COLUMNS($AM$1006:AQ1006),$AM$1006:$BM$1006,0)), HYPERLINK("#",""), HYPERLINK(CONCATENATE("#metadata!", ADDRESS(INDEX($AH$2:$AH$1001,MATCH(ROWS($AF$2:AF682),$AF$2:$AF$1001,0),0), INDEX($AM$1004:$BM$1004,1,MATCH(COLUMNS($AM$1006:AQ1006),$AM$1006:$BM$1006,0)))),"Fix")))</f>
        <v xml:space="preserve"> </v>
      </c>
      <c r="G682" s="4" t="str">
        <f ca="1">IF(OR(INDEX($AG$2:$AG$1001,MATCH(ROWS($AF$2:AF682),$AF$2:$AF$1001,0),1)&gt;=100000,INDEX($AM$1005:$BM$1005,1,MATCH(COLUMNS($AM$1006:AR1006),$AM$1006:$BM$1006,0))&gt;=100000), " ",IF(INDEX($AM$2:$BM$1001,MATCH(ROWS($AF$2:AF682),$AF$2:$AF$1001,0),MATCH(COLUMNS($AM$1006:AR1006),$AM$1006:$BM$1006,0)), HYPERLINK("#",""), HYPERLINK(CONCATENATE("#metadata!", ADDRESS(INDEX($AH$2:$AH$1001,MATCH(ROWS($AF$2:AF682),$AF$2:$AF$1001,0),0), INDEX($AM$1004:$BM$1004,1,MATCH(COLUMNS($AM$1006:AR1006),$AM$1006:$BM$1006,0)))),"Fix")))</f>
        <v xml:space="preserve"> </v>
      </c>
      <c r="H682" s="4" t="str">
        <f ca="1">IF(OR(INDEX($AG$2:$AG$1001,MATCH(ROWS($AF$2:AF682),$AF$2:$AF$1001,0),1)&gt;=100000,INDEX($AM$1005:$BM$1005,1,MATCH(COLUMNS($AM$1006:AS1006),$AM$1006:$BM$1006,0))&gt;=100000), " ",IF(INDEX($AM$2:$BM$1001,MATCH(ROWS($AF$2:AF682),$AF$2:$AF$1001,0),MATCH(COLUMNS($AM$1006:AS1006),$AM$1006:$BM$1006,0)), HYPERLINK("#",""), HYPERLINK(CONCATENATE("#metadata!", ADDRESS(INDEX($AH$2:$AH$1001,MATCH(ROWS($AF$2:AF682),$AF$2:$AF$1001,0),0), INDEX($AM$1004:$BM$1004,1,MATCH(COLUMNS($AM$1006:AS1006),$AM$1006:$BM$1006,0)))),"Fix")))</f>
        <v xml:space="preserve"> </v>
      </c>
      <c r="I682" s="4" t="str">
        <f ca="1">IF(OR(INDEX($AG$2:$AG$1001,MATCH(ROWS($AF$2:AF682),$AF$2:$AF$1001,0),1)&gt;=100000,INDEX($AM$1005:$BM$1005,1,MATCH(COLUMNS($AM$1006:AT1006),$AM$1006:$BM$1006,0))&gt;=100000), " ",IF(INDEX($AM$2:$BM$1001,MATCH(ROWS($AF$2:AF682),$AF$2:$AF$1001,0),MATCH(COLUMNS($AM$1006:AT1006),$AM$1006:$BM$1006,0)), HYPERLINK("#",""), HYPERLINK(CONCATENATE("#metadata!", ADDRESS(INDEX($AH$2:$AH$1001,MATCH(ROWS($AF$2:AF682),$AF$2:$AF$1001,0),0), INDEX($AM$1004:$BM$1004,1,MATCH(COLUMNS($AM$1006:AT1006),$AM$1006:$BM$1006,0)))),"Fix")))</f>
        <v xml:space="preserve"> </v>
      </c>
      <c r="J682" s="4" t="str">
        <f ca="1">IF(OR(INDEX($AG$2:$AG$1001,MATCH(ROWS($AF$2:AF682),$AF$2:$AF$1001,0),1)&gt;=100000,INDEX($AM$1005:$BM$1005,1,MATCH(COLUMNS($AM$1006:AU1006),$AM$1006:$BM$1006,0))&gt;=100000), " ",IF(INDEX($AM$2:$BM$1001,MATCH(ROWS($AF$2:AF682),$AF$2:$AF$1001,0),MATCH(COLUMNS($AM$1006:AU1006),$AM$1006:$BM$1006,0)), HYPERLINK("#",""), HYPERLINK(CONCATENATE("#metadata!", ADDRESS(INDEX($AH$2:$AH$1001,MATCH(ROWS($AF$2:AF682),$AF$2:$AF$1001,0),0), INDEX($AM$1004:$BM$1004,1,MATCH(COLUMNS($AM$1006:AU1006),$AM$1006:$BM$1006,0)))),"Fix")))</f>
        <v xml:space="preserve"> </v>
      </c>
      <c r="K682" s="4" t="str">
        <f ca="1">IF(OR(INDEX($AG$2:$AG$1001,MATCH(ROWS($AF$2:AF682),$AF$2:$AF$1001,0),1)&gt;=100000,INDEX($AM$1005:$BM$1005,1,MATCH(COLUMNS($AM$1006:AV1006),$AM$1006:$BM$1006,0))&gt;=100000), " ",IF(INDEX($AM$2:$BM$1001,MATCH(ROWS($AF$2:AF682),$AF$2:$AF$1001,0),MATCH(COLUMNS($AM$1006:AV1006),$AM$1006:$BM$1006,0)), HYPERLINK("#",""), HYPERLINK(CONCATENATE("#metadata!", ADDRESS(INDEX($AH$2:$AH$1001,MATCH(ROWS($AF$2:AF682),$AF$2:$AF$1001,0),0), INDEX($AM$1004:$BM$1004,1,MATCH(COLUMNS($AM$1006:AV1006),$AM$1006:$BM$1006,0)))),"Fix")))</f>
        <v xml:space="preserve"> </v>
      </c>
      <c r="L682" s="4" t="str">
        <f ca="1">IF(OR(INDEX($AG$2:$AG$1001,MATCH(ROWS($AF$2:AF682),$AF$2:$AF$1001,0),1)&gt;=100000,INDEX($AM$1005:$BM$1005,1,MATCH(COLUMNS($AM$1006:AW1006),$AM$1006:$BM$1006,0))&gt;=100000), " ",IF(INDEX($AM$2:$BM$1001,MATCH(ROWS($AF$2:AF682),$AF$2:$AF$1001,0),MATCH(COLUMNS($AM$1006:AW1006),$AM$1006:$BM$1006,0)), HYPERLINK("#",""), HYPERLINK(CONCATENATE("#metadata!", ADDRESS(INDEX($AH$2:$AH$1001,MATCH(ROWS($AF$2:AF682),$AF$2:$AF$1001,0),0), INDEX($AM$1004:$BM$1004,1,MATCH(COLUMNS($AM$1006:AW1006),$AM$1006:$BM$1006,0)))),"Fix")))</f>
        <v xml:space="preserve"> </v>
      </c>
      <c r="M682" s="4" t="str">
        <f ca="1">IF(OR(INDEX($AG$2:$AG$1001,MATCH(ROWS($AF$2:AF682),$AF$2:$AF$1001,0),1)&gt;=100000,INDEX($AM$1005:$BM$1005,1,MATCH(COLUMNS($AM$1006:AX1006),$AM$1006:$BM$1006,0))&gt;=100000), " ",IF(INDEX($AM$2:$BM$1001,MATCH(ROWS($AF$2:AF682),$AF$2:$AF$1001,0),MATCH(COLUMNS($AM$1006:AX1006),$AM$1006:$BM$1006,0)), HYPERLINK("#",""), HYPERLINK(CONCATENATE("#metadata!", ADDRESS(INDEX($AH$2:$AH$1001,MATCH(ROWS($AF$2:AF682),$AF$2:$AF$1001,0),0), INDEX($AM$1004:$BM$1004,1,MATCH(COLUMNS($AM$1006:AX1006),$AM$1006:$BM$1006,0)))),"Fix")))</f>
        <v xml:space="preserve"> </v>
      </c>
      <c r="N682" s="4" t="str">
        <f ca="1">IF(OR(INDEX($AG$2:$AG$1001,MATCH(ROWS($AF$2:AF682),$AF$2:$AF$1001,0),1)&gt;=100000,INDEX($AM$1005:$BM$1005,1,MATCH(COLUMNS($AM$1006:AY1006),$AM$1006:$BM$1006,0))&gt;=100000), " ",IF(INDEX($AM$2:$BM$1001,MATCH(ROWS($AF$2:AF682),$AF$2:$AF$1001,0),MATCH(COLUMNS($AM$1006:AY1006),$AM$1006:$BM$1006,0)), HYPERLINK("#",""), HYPERLINK(CONCATENATE("#metadata!", ADDRESS(INDEX($AH$2:$AH$1001,MATCH(ROWS($AF$2:AF682),$AF$2:$AF$1001,0),0), INDEX($AM$1004:$BM$1004,1,MATCH(COLUMNS($AM$1006:AY1006),$AM$1006:$BM$1006,0)))),"Fix")))</f>
        <v xml:space="preserve"> </v>
      </c>
      <c r="O682" s="4" t="str">
        <f ca="1">IF(OR(INDEX($AG$2:$AG$1001,MATCH(ROWS($AF$2:AF682),$AF$2:$AF$1001,0),1)&gt;=100000,INDEX($AM$1005:$BM$1005,1,MATCH(COLUMNS($AM$1006:AZ1006),$AM$1006:$BM$1006,0))&gt;=100000), " ",IF(INDEX($AM$2:$BM$1001,MATCH(ROWS($AF$2:AF682),$AF$2:$AF$1001,0),MATCH(COLUMNS($AM$1006:AZ1006),$AM$1006:$BM$1006,0)), HYPERLINK("#",""), HYPERLINK(CONCATENATE("#metadata!", ADDRESS(INDEX($AH$2:$AH$1001,MATCH(ROWS($AF$2:AF682),$AF$2:$AF$1001,0),0), INDEX($AM$1004:$BM$1004,1,MATCH(COLUMNS($AM$1006:AZ1006),$AM$1006:$BM$1006,0)))),"Fix")))</f>
        <v xml:space="preserve"> </v>
      </c>
      <c r="P682" s="4" t="str">
        <f ca="1">IF(OR(INDEX($AG$2:$AG$1001,MATCH(ROWS($AF$2:AF682),$AF$2:$AF$1001,0),1)&gt;=100000,INDEX($AM$1005:$BM$1005,1,MATCH(COLUMNS($AM$1006:BA1006),$AM$1006:$BM$1006,0))&gt;=100000), " ",IF(INDEX($AM$2:$BM$1001,MATCH(ROWS($AF$2:AF682),$AF$2:$AF$1001,0),MATCH(COLUMNS($AM$1006:BA1006),$AM$1006:$BM$1006,0)), HYPERLINK("#",""), HYPERLINK(CONCATENATE("#metadata!", ADDRESS(INDEX($AH$2:$AH$1001,MATCH(ROWS($AF$2:AF682),$AF$2:$AF$1001,0),0), INDEX($AM$1004:$BM$1004,1,MATCH(COLUMNS($AM$1006:BA1006),$AM$1006:$BM$1006,0)))),"Fix")))</f>
        <v xml:space="preserve"> </v>
      </c>
      <c r="Q682" s="4" t="str">
        <f ca="1">IF(OR(INDEX($AG$2:$AG$1001,MATCH(ROWS($AF$2:AF682),$AF$2:$AF$1001,0),1)&gt;=100000,INDEX($AM$1005:$BM$1005,1,MATCH(COLUMNS($AM$1006:BB1006),$AM$1006:$BM$1006,0))&gt;=100000), " ",IF(INDEX($AM$2:$BM$1001,MATCH(ROWS($AF$2:AF682),$AF$2:$AF$1001,0),MATCH(COLUMNS($AM$1006:BB1006),$AM$1006:$BM$1006,0)), HYPERLINK("#",""), HYPERLINK(CONCATENATE("#metadata!", ADDRESS(INDEX($AH$2:$AH$1001,MATCH(ROWS($AF$2:AF682),$AF$2:$AF$1001,0),0), INDEX($AM$1004:$BM$1004,1,MATCH(COLUMNS($AM$1006:BB1006),$AM$1006:$BM$1006,0)))),"Fix")))</f>
        <v xml:space="preserve"> </v>
      </c>
      <c r="R682" s="4" t="str">
        <f ca="1">IF(OR(INDEX($AG$2:$AG$1001,MATCH(ROWS($AF$2:AF682),$AF$2:$AF$1001,0),1)&gt;=100000,INDEX($AM$1005:$BM$1005,1,MATCH(COLUMNS($AM$1006:BC1006),$AM$1006:$BM$1006,0))&gt;=100000), " ",IF(INDEX($AM$2:$BM$1001,MATCH(ROWS($AF$2:AF682),$AF$2:$AF$1001,0),MATCH(COLUMNS($AM$1006:BC1006),$AM$1006:$BM$1006,0)), HYPERLINK("#",""), HYPERLINK(CONCATENATE("#metadata!", ADDRESS(INDEX($AH$2:$AH$1001,MATCH(ROWS($AF$2:AF682),$AF$2:$AF$1001,0),0), INDEX($AM$1004:$BM$1004,1,MATCH(COLUMNS($AM$1006:BC1006),$AM$1006:$BM$1006,0)))),"Fix")))</f>
        <v xml:space="preserve"> </v>
      </c>
      <c r="S682" s="4" t="str">
        <f ca="1">IF(OR(INDEX($AG$2:$AG$1001,MATCH(ROWS($AF$2:AF682),$AF$2:$AF$1001,0),1)&gt;=100000,INDEX($AM$1005:$BM$1005,1,MATCH(COLUMNS($AM$1006:BD1006),$AM$1006:$BM$1006,0))&gt;=100000), " ",IF(INDEX($AM$2:$BM$1001,MATCH(ROWS($AF$2:AF682),$AF$2:$AF$1001,0),MATCH(COLUMNS($AM$1006:BD1006),$AM$1006:$BM$1006,0)), HYPERLINK("#",""), HYPERLINK(CONCATENATE("#metadata!", ADDRESS(INDEX($AH$2:$AH$1001,MATCH(ROWS($AF$2:AF682),$AF$2:$AF$1001,0),0), INDEX($AM$1004:$BM$1004,1,MATCH(COLUMNS($AM$1006:BD1006),$AM$1006:$BM$1006,0)))),"Fix")))</f>
        <v xml:space="preserve"> </v>
      </c>
      <c r="T682" s="4" t="str">
        <f ca="1">IF(OR(INDEX($AG$2:$AG$1001,MATCH(ROWS($AF$2:AF682),$AF$2:$AF$1001,0),1)&gt;=100000,INDEX($AM$1005:$BM$1005,1,MATCH(COLUMNS($AM$1006:BE1006),$AM$1006:$BM$1006,0))&gt;=100000), " ",IF(INDEX($AM$2:$BM$1001,MATCH(ROWS($AF$2:AF682),$AF$2:$AF$1001,0),MATCH(COLUMNS($AM$1006:BE1006),$AM$1006:$BM$1006,0)), HYPERLINK("#",""), HYPERLINK(CONCATENATE("#metadata!", ADDRESS(INDEX($AH$2:$AH$1001,MATCH(ROWS($AF$2:AF682),$AF$2:$AF$1001,0),0), INDEX($AM$1004:$BM$1004,1,MATCH(COLUMNS($AM$1006:BE1006),$AM$1006:$BM$1006,0)))),"Fix")))</f>
        <v xml:space="preserve"> </v>
      </c>
      <c r="U682" s="4" t="str">
        <f ca="1">IF(OR(INDEX($AG$2:$AG$1001,MATCH(ROWS($AF$2:AF682),$AF$2:$AF$1001,0),1)&gt;=100000,INDEX($AM$1005:$BM$1005,1,MATCH(COLUMNS($AM$1006:BF1006),$AM$1006:$BM$1006,0))&gt;=100000), " ",IF(INDEX($AM$2:$BM$1001,MATCH(ROWS($AF$2:AF682),$AF$2:$AF$1001,0),MATCH(COLUMNS($AM$1006:BF1006),$AM$1006:$BM$1006,0)), HYPERLINK("#",""), HYPERLINK(CONCATENATE("#metadata!", ADDRESS(INDEX($AH$2:$AH$1001,MATCH(ROWS($AF$2:AF682),$AF$2:$AF$1001,0),0), INDEX($AM$1004:$BM$1004,1,MATCH(COLUMNS($AM$1006:BF1006),$AM$1006:$BM$1006,0)))),"Fix")))</f>
        <v xml:space="preserve"> </v>
      </c>
      <c r="V682" s="4" t="str">
        <f ca="1">IF(OR(INDEX($AG$2:$AG$1001,MATCH(ROWS($AF$2:AF682),$AF$2:$AF$1001,0),1)&gt;=100000,INDEX($AM$1005:$BM$1005,1,MATCH(COLUMNS($AM$1006:BG1006),$AM$1006:$BM$1006,0))&gt;=100000), " ",IF(INDEX($AM$2:$BM$1001,MATCH(ROWS($AF$2:AF682),$AF$2:$AF$1001,0),MATCH(COLUMNS($AM$1006:BG1006),$AM$1006:$BM$1006,0)), HYPERLINK("#",""), HYPERLINK(CONCATENATE("#metadata!", ADDRESS(INDEX($AH$2:$AH$1001,MATCH(ROWS($AF$2:AF682),$AF$2:$AF$1001,0),0), INDEX($AM$1004:$BM$1004,1,MATCH(COLUMNS($AM$1006:BG1006),$AM$1006:$BM$1006,0)))),"Fix")))</f>
        <v xml:space="preserve"> </v>
      </c>
      <c r="W682" s="4" t="str">
        <f ca="1">IF(OR(INDEX($AG$2:$AG$1001,MATCH(ROWS($AF$2:AF682),$AF$2:$AF$1001,0),1)&gt;=100000,INDEX($AM$1005:$BM$1005,1,MATCH(COLUMNS($AM$1006:BH1006),$AM$1006:$BM$1006,0))&gt;=100000), " ",IF(INDEX($AM$2:$BM$1001,MATCH(ROWS($AF$2:AF682),$AF$2:$AF$1001,0),MATCH(COLUMNS($AM$1006:BH1006),$AM$1006:$BM$1006,0)), HYPERLINK("#",""), HYPERLINK(CONCATENATE("#metadata!", ADDRESS(INDEX($AH$2:$AH$1001,MATCH(ROWS($AF$2:AF682),$AF$2:$AF$1001,0),0), INDEX($AM$1004:$BM$1004,1,MATCH(COLUMNS($AM$1006:BH1006),$AM$1006:$BM$1006,0)))),"Fix")))</f>
        <v xml:space="preserve"> </v>
      </c>
      <c r="X682" s="4" t="str">
        <f ca="1">IF(OR(INDEX($AG$2:$AG$1001,MATCH(ROWS($AF$2:AF682),$AF$2:$AF$1001,0),1)&gt;=100000,INDEX($AM$1005:$BM$1005,1,MATCH(COLUMNS($AM$1006:BI1006),$AM$1006:$BM$1006,0))&gt;=100000), " ",IF(INDEX($AM$2:$BM$1001,MATCH(ROWS($AF$2:AF682),$AF$2:$AF$1001,0),MATCH(COLUMNS($AM$1006:BI1006),$AM$1006:$BM$1006,0)), HYPERLINK("#",""), HYPERLINK(CONCATENATE("#metadata!", ADDRESS(INDEX($AH$2:$AH$1001,MATCH(ROWS($AF$2:AF682),$AF$2:$AF$1001,0),0), INDEX($AM$1004:$BM$1004,1,MATCH(COLUMNS($AM$1006:BI1006),$AM$1006:$BM$1006,0)))),"Fix")))</f>
        <v xml:space="preserve"> </v>
      </c>
      <c r="Y682" s="4" t="str">
        <f ca="1">IF(OR(INDEX($AG$2:$AG$1001,MATCH(ROWS($AF$2:AF682),$AF$2:$AF$1001,0),1)&gt;=100000,INDEX($AM$1005:$BM$1005,1,MATCH(COLUMNS($AM$1006:BJ1006),$AM$1006:$BM$1006,0))&gt;=100000), " ",IF(INDEX($AM$2:$BM$1001,MATCH(ROWS($AF$2:AF682),$AF$2:$AF$1001,0),MATCH(COLUMNS($AM$1006:BJ1006),$AM$1006:$BM$1006,0)), HYPERLINK("#",""), HYPERLINK(CONCATENATE("#metadata!", ADDRESS(INDEX($AH$2:$AH$1001,MATCH(ROWS($AF$2:AF682),$AF$2:$AF$1001,0),0), INDEX($AM$1004:$BM$1004,1,MATCH(COLUMNS($AM$1006:BJ1006),$AM$1006:$BM$1006,0)))),"Fix")))</f>
        <v xml:space="preserve"> </v>
      </c>
      <c r="Z682" s="4" t="str">
        <f ca="1">IF(OR(INDEX($AG$2:$AG$1001,MATCH(ROWS($AF$2:AF682),$AF$2:$AF$1001,0),1)&gt;=100000,INDEX($AM$1005:$BM$1005,1,MATCH(COLUMNS($AM$1006:BK1006),$AM$1006:$BM$1006,0))&gt;=100000), " ",IF(INDEX($AM$2:$BM$1001,MATCH(ROWS($AF$2:AF682),$AF$2:$AF$1001,0),MATCH(COLUMNS($AM$1006:BK1006),$AM$1006:$BM$1006,0)), HYPERLINK("#",""), HYPERLINK(CONCATENATE("#metadata!", ADDRESS(INDEX($AH$2:$AH$1001,MATCH(ROWS($AF$2:AF682),$AF$2:$AF$1001,0),0), INDEX($AM$1004:$BM$1004,1,MATCH(COLUMNS($AM$1006:BK1006),$AM$1006:$BM$1006,0)))),"Fix")))</f>
        <v xml:space="preserve"> </v>
      </c>
      <c r="AA682" s="4" t="str">
        <f ca="1">IF(OR(INDEX($AG$2:$AG$1001,MATCH(ROWS($AF$2:AF682),$AF$2:$AF$1001,0),1)&gt;=100000,INDEX($AM$1005:$BM$1005,1,MATCH(COLUMNS($AM$1006:BL1006),$AM$1006:$BM$1006,0))&gt;=100000), " ",IF(INDEX($AM$2:$BM$1001,MATCH(ROWS($AF$2:AF682),$AF$2:$AF$1001,0),MATCH(COLUMNS($AM$1006:BL1006),$AM$1006:$BM$1006,0)), HYPERLINK("#",""), HYPERLINK(CONCATENATE("#metadata!", ADDRESS(INDEX($AH$2:$AH$1001,MATCH(ROWS($AF$2:AF682),$AF$2:$AF$1001,0),0), INDEX($AM$1004:$BM$1004,1,MATCH(COLUMNS($AM$1006:BL1006),$AM$1006:$BM$1006,0)))),"Fix")))</f>
        <v xml:space="preserve"> </v>
      </c>
      <c r="AB682" s="4" t="str">
        <f ca="1">IF(OR(INDEX($AG$2:$AG$1001,MATCH(ROWS($AF$2:AF682),$AF$2:$AF$1001,0),1)&gt;=100000,INDEX($AM$1005:$BM$1005,1,MATCH(COLUMNS($AM$1006:BM1006),$AM$1006:$BM$1006,0))&gt;=100000), " ",IF(INDEX($AM$2:$BM$1001,MATCH(ROWS($AF$2:AF682),$AF$2:$AF$1001,0),MATCH(COLUMNS($AM$1006:BM1006),$AM$1006:$BM$1006,0)), HYPERLINK("#",""), HYPERLINK(CONCATENATE("#metadata!", ADDRESS(INDEX($AH$2:$AH$1001,MATCH(ROWS($AF$2:AF682),$AF$2:$AF$1001,0),0), INDEX($AM$1004:$BM$1004,1,MATCH(COLUMNS($AM$1006:BM1006),$AM$1006:$BM$1006,0)))),"Fix")))</f>
        <v xml:space="preserve"> </v>
      </c>
      <c r="AF682">
        <v>681</v>
      </c>
      <c r="AG682">
        <v>100682</v>
      </c>
      <c r="AH682">
        <v>682</v>
      </c>
      <c r="AI682" t="b">
        <f t="shared" si="10"/>
        <v>1</v>
      </c>
      <c r="AJ682" t="b">
        <f>COUNTBLANK(metadata!B682:AB682)=COLUMNS(metadata!B682:AB682)</f>
        <v>1</v>
      </c>
      <c r="AK682" t="str">
        <v/>
      </c>
      <c r="AM682" t="b">
        <f ca="1">AND(IF(metadata!B682="",FALSE,TRUE),COUNTIF(metadata!B:B, metadata!B682) = 1,NOT(ISERROR(SUMPRODUCT(SEARCH(MID(metadata!B682,ROW(INDIRECT("1:"&amp;LEN(metadata!B682))), 1),"0123456789abcdefghijklmnopqrstuvwxyzABCDEFGHIJKLMNOPQRSTUVWXYZ.")))))</f>
        <v>0</v>
      </c>
      <c r="AN682" t="b">
        <f ca="1">OR(AND(IF(metadata!C682="",FALSE,TRUE),OR(EXACT(metadata!C682,"missing: not collected"),EXACT(metadata!C682,"missing: not provided"),EXACT(metadata!C682,"missing: restricted access"))),AND(IF(metadata!C682="",FALSE,TRUE),AND(AND(IFERROR(INT(LEFT(metadata!C682,4))&gt;1900,FALSE),IFERROR(INT(LEFT(metadata!C682,4))&lt;=YEAR(NOW()),FALSE)), OR(MID(metadata!C682,5,1)="", AND(AND(MID(metadata!C682,5,1)="-",IFERROR(INT(MID(metadata!C682,6,1))&gt;=0,FALSE),IFERROR(INT(MID(metadata!C682,6,1))&lt;=1,FALSE),NOT(MID(metadata!C682,7,1)=""),IFERROR(INT(MID(metadata!C682,6,2))&gt;=1,FALSE),IFERROR(INT(MID(metadata!C682,6,2))&lt;=12,FALSE)), OR(MID(metadata!C682,8,1)="", AND(AND(MID(metadata!C682,8,1)="-",IFERROR(INT(MID(metadata!C682,9,1))&gt;=0,FALSE),IFERROR(INT(MID(metadata!C682,9,1))&lt;=3,FALSE),NOT(MID(metadata!C682,10,1)=""),IFERROR(INT(MID(metadata!C682,9,2))&gt;=1,FALSE),IFERROR(INT(MID(metadata!C682,9,2))&lt;=31,FALSE)), OR(MID(metadata!C682,11,1)="", AND(AND(MID(metadata!C682,11,1)=" ",IFERROR(INT(MID(metadata!C682,12,1))&gt;=0,FALSE),IFERROR(INT(MID(metadata!C682,12,1))&lt;=2,FALSE),NOT(MID(metadata!C682,13,1)=""),IFERROR(INT(MID(metadata!C682,12,2))&gt;=0,FALSE),IFERROR(INT(MID(metadata!C682,12,2))&lt;=23,FALSE)), OR(MID(metadata!C682,14,1)="", AND(AND(MID(metadata!C682,14,1)=":",IFERROR(INT(MID(metadata!C682,15,1))&gt;=0,FALSE),IFERROR(INT(MID(metadata!C682,15,1))&lt;=5,FALSE),NOT(MID(metadata!C682,16,1)=""),IFERROR(INT(MID(metadata!C682,15,2))&gt;=0,FALSE),IFERROR(INT(MID(metadata!C682,15,2))&lt;=59,FALSE)), OR(MID(metadata!C682,17,1)="", AND(AND(MID(metadata!C682,17,1)=":",IFERROR(INT(MID(metadata!C682,18,1))&gt;=0,FALSE),IFERROR(INT(MID(metadata!C682,18,1))&lt;=5,FALSE),NOT(MID(metadata!C682,19,1)=""),IFERROR(INT(MID(metadata!C682,18,2))&gt;=0,FALSE),IFERROR(INT(MID(metadata!C682,18,2))&lt;=59,FALSE)), LEN(metadata!C682)&lt;=19)))))))))))))</f>
        <v>0</v>
      </c>
      <c r="AO682" t="b">
        <f>AND(IF(metadata!D682="",FALSE,TRUE),EXACT(metadata!D682,"Not applicable"))</f>
        <v>0</v>
      </c>
      <c r="AP682" t="b">
        <f>IF(metadata!E682="",FALSE,TRUE)</f>
        <v>0</v>
      </c>
      <c r="AQ682" t="b">
        <f>OR(AND(IF(metadata!F682="",FALSE,TRUE),OR(EXACT(metadata!F682,"missing: not collected"),EXACT(metadata!F682,"missing: not provided"))),AND(IF(metadata!F682="",FALSE,TRUE),OR(EXACT(metadata!F682,"TRUE"),EXACT(metadata!F682,"FALSE"))))</f>
        <v>0</v>
      </c>
      <c r="AR682" t="b">
        <f>OR(AND(IF(metadata!G682="",FALSE,TRUE),OR(EXACT(metadata!G682,"missing: not collected"),EXACT(metadata!G682,"missing: not provided"),EXACT(metadata!G682,"missing: restricted access"))),AND(IF(metadata!G682="",FALSE,ISNUMBER(VALUE(metadata!G682))),metadata!G682&gt;=-413))</f>
        <v>0</v>
      </c>
      <c r="AS682" t="b">
        <f>AND(IF(metadata!H682="",FALSE,TRUE),EXACT(metadata!H682,"meters"))</f>
        <v>0</v>
      </c>
      <c r="AT682" t="b">
        <f>AND(IF(metadata!I682="",FALSE,TRUE),OR(EXACT(metadata!I682,"Host-associated"),EXACT(metadata!I682,"Free-living")))</f>
        <v>0</v>
      </c>
      <c r="AU682" t="b">
        <f>AND(IF(metadata!J682="",FALSE,TRUE),OR(EXACT(metadata!J682,"Animal"),EXACT(metadata!J682,"Fungus"),EXACT(metadata!J682,"Plant"),EXACT(metadata!J682,"Saline"),EXACT(metadata!J682,"Non-saline")))</f>
        <v>0</v>
      </c>
      <c r="AV682" t="b">
        <f>AND(IF(metadata!K682="",FALSE,TRUE),OR(EXACT(metadata!K682,"Plant secretion"),EXACT(metadata!K682,"Plant rhizosphere"),EXACT(metadata!K682,"Plant surface"),EXACT(metadata!K682,"Plant corpus"),EXACT(metadata!K682,"Fungus surface"),EXACT(metadata!K682,"Fungus corpus"),EXACT(metadata!K682,"Animal surface"),EXACT(metadata!K682,"Animal proximal gut"),EXACT(metadata!K682,"Animal corpus"),EXACT(metadata!K682,"Animal distal gut"),EXACT(metadata!K682,"Animal secretion"),EXACT(metadata!K682,"Sub-surface (non-saline)"),EXACT(metadata!K682,"Surface (non-saline)"),EXACT(metadata!K682,"Water (non-saline)"),EXACT(metadata!K682,"Soil (non-saline)"),EXACT(metadata!K682,"Aerosol (non-saline)"),EXACT(metadata!K682,"Sediment (non-saline)"),EXACT(metadata!K682,"Surface (saline)"),EXACT(metadata!K682,"Water (saline)"),EXACT(metadata!K682,"Hypersaline (saline)"),EXACT(metadata!K682,"Aerosol (saline)"),EXACT(metadata!K682,"Sediment (saline)")))</f>
        <v>0</v>
      </c>
      <c r="AW682" t="b">
        <f>IF(metadata!L682="",FALSE,TRUE)</f>
        <v>0</v>
      </c>
      <c r="AX682" t="b">
        <f>IF(metadata!M682="",FALSE,TRUE)</f>
        <v>0</v>
      </c>
      <c r="AY682" t="b">
        <f>IF(metadata!N682="",FALSE,TRUE)</f>
        <v>0</v>
      </c>
      <c r="AZ682" t="b">
        <f>OR(AND(IF(metadata!O682="",FALSE,TRUE),OR(EXACT(metadata!O682,"missing: not collected"),EXACT(metadata!O682,"missing: not provided"),EXACT(metadata!O682,"missing: restricted access"))),AND(IF(metadata!O682="",FALSE,TRUE),OR(EXACT(metadata!O682,"air"),EXACT(metadata!O682,"built environment"),EXACT(metadata!O682,"host-associated"),EXACT(metadata!O682,"human-associated"),EXACT(metadata!O682,"human-skin"),EXACT(metadata!O682,"human-oral"),EXACT(metadata!O682,"human-gut"),EXACT(metadata!O682,"human-vaginal"),EXACT(metadata!O682,"microbial mat/biofilm"),EXACT(metadata!O682,"misc environment"),EXACT(metadata!O682,"plant-associated"),EXACT(metadata!O682,"sediment"),EXACT(metadata!O682,"soil"),EXACT(metadata!O682,"wastewater/sludge"),EXACT(metadata!O682,"water"))))</f>
        <v>0</v>
      </c>
      <c r="BA682" t="b">
        <f>IF(metadata!P682="",FALSE,TRUE)</f>
        <v>0</v>
      </c>
      <c r="BB682" t="b">
        <f>IF(metadata!Q682="",FALSE,TRUE)</f>
        <v>0</v>
      </c>
      <c r="BC682" t="b">
        <f>OR(AND(IF(metadata!R682="",FALSE,TRUE),OR(EXACT(metadata!R682,"missing: not collected"),EXACT(metadata!R682,"missing: not provided"),EXACT(metadata!R682,"missing: restricted access"))),AND(IF(metadata!R682="",FALSE,ISNUMBER(VALUE(metadata!R682))),metadata!R682&gt;=-90,metadata!R682&lt;=90))</f>
        <v>0</v>
      </c>
      <c r="BD682" t="b">
        <f>AND(IF(metadata!S682="",FALSE,TRUE),EXACT(metadata!S682,"Decimal degrees"))</f>
        <v>0</v>
      </c>
      <c r="BE682" t="b">
        <f>OR(AND(IF(metadata!T682="",FALSE,TRUE),OR(EXACT(metadata!T682,"missing: not collected"),EXACT(metadata!T682,"missing: not provided"),EXACT(metadata!T682,"missing: restricted access"))),AND(IF(metadata!T682="",FALSE,ISNUMBER(VALUE(metadata!T682))),metadata!T682&gt;=-180,metadata!T682&lt;=180))</f>
        <v>0</v>
      </c>
      <c r="BF682" t="b">
        <f>AND(IF(metadata!U682="",FALSE,TRUE),EXACT(metadata!U682,"Decimal degrees"))</f>
        <v>0</v>
      </c>
      <c r="BG682" t="b">
        <f>IF(metadata!V682="",FALSE,TRUE)</f>
        <v>0</v>
      </c>
      <c r="BH682" t="b">
        <f>OR(AND(IF(metadata!W682="",FALSE,TRUE),OR(EXACT(metadata!W682,"missing: not collected"),EXACT(metadata!W682,"missing: not provided"),EXACT(metadata!W682,"missing: restricted access"))),AND(IF(metadata!W682="",FALSE,TRUE),OR(EXACT(metadata!W682,"TRUE"),EXACT(metadata!W682,"FALSE"))))</f>
        <v>0</v>
      </c>
      <c r="BI682" t="b">
        <f>AND(IF(metadata!X682="",FALSE,TRUE),EXACT(metadata!X682,"other"))</f>
        <v>0</v>
      </c>
      <c r="BJ682" t="b">
        <f>IF(metadata!Y682="",FALSE,TRUE)</f>
        <v>0</v>
      </c>
      <c r="BK682" t="b">
        <f>OR(AND(IF(metadata!Z682="",FALSE,TRUE),OR(EXACT(metadata!Z682,"missing: not collected"),EXACT(metadata!Z682,"missing: not provided"))),AND(IF(metadata!Z682="",FALSE,IF(ISERROR(INT(metadata!Z682)),FALSE,INT(metadata!Z682)=metadata!Z682)),metadata!Z682&gt;0))</f>
        <v>0</v>
      </c>
      <c r="BL682" t="b">
        <f>AND(IF(metadata!AA682="",FALSE,TRUE),EXACT(metadata!AA682,"Not applicable"))</f>
        <v>0</v>
      </c>
      <c r="BM682" t="b">
        <f>IF(metadata!AB682="",FALSE,TRUE)</f>
        <v>0</v>
      </c>
    </row>
    <row r="683" spans="1:65" x14ac:dyDescent="0.2">
      <c r="A683" s="5" t="str">
        <f ca="1">IF(B683=" "," ",HYPERLINK(CONCATENATE("#metadata!",ADDRESS(INDEX($AH$2:$AH$1001,MATCH(ROWS($AF$2:AF683),$AF$2:$AF$1001,0),0),1)),INDEX($AK$2:$AK$1001,MATCH(ROWS($AF$2:AF683),$AF$2:$AF$1001,0),0)))</f>
        <v xml:space="preserve"> </v>
      </c>
      <c r="B683" s="4" t="str">
        <f ca="1">IF(OR(INDEX($AG$2:$AG$1001,MATCH(ROWS($AF$2:AF683),$AF$2:$AF$1001,0),1)&gt;=100000,INDEX($AM$1005:$BM$1005,1,MATCH(COLUMNS($AM$1006:AM1006),$AM$1006:$BM$1006,0))&gt;=100000), " ",IF(INDEX($AM$2:$BM$1001,MATCH(ROWS($AF$2:AF683),$AF$2:$AF$1001,0),MATCH(COLUMNS($AM$1006:AM1006),$AM$1006:$BM$1006,0)), HYPERLINK("#",""), HYPERLINK(CONCATENATE("#metadata!", ADDRESS(INDEX($AH$2:$AH$1001,MATCH(ROWS($AF$2:AF683),$AF$2:$AF$1001,0),0), INDEX($AM$1004:$BM$1004,1,MATCH(COLUMNS($AM$1006:AM1006),$AM$1006:$BM$1006,0)))),"Fix")))</f>
        <v xml:space="preserve"> </v>
      </c>
      <c r="C683" s="4" t="str">
        <f ca="1">IF(OR(INDEX($AG$2:$AG$1001,MATCH(ROWS($AF$2:AF683),$AF$2:$AF$1001,0),1)&gt;=100000,INDEX($AM$1005:$BM$1005,1,MATCH(COLUMNS($AM$1006:AN1006),$AM$1006:$BM$1006,0))&gt;=100000), " ",IF(INDEX($AM$2:$BM$1001,MATCH(ROWS($AF$2:AF683),$AF$2:$AF$1001,0),MATCH(COLUMNS($AM$1006:AN1006),$AM$1006:$BM$1006,0)), HYPERLINK("#",""), HYPERLINK(CONCATENATE("#metadata!", ADDRESS(INDEX($AH$2:$AH$1001,MATCH(ROWS($AF$2:AF683),$AF$2:$AF$1001,0),0), INDEX($AM$1004:$BM$1004,1,MATCH(COLUMNS($AM$1006:AN1006),$AM$1006:$BM$1006,0)))),"Fix")))</f>
        <v xml:space="preserve"> </v>
      </c>
      <c r="D683" s="4" t="str">
        <f ca="1">IF(OR(INDEX($AG$2:$AG$1001,MATCH(ROWS($AF$2:AF683),$AF$2:$AF$1001,0),1)&gt;=100000,INDEX($AM$1005:$BM$1005,1,MATCH(COLUMNS($AM$1006:AO1006),$AM$1006:$BM$1006,0))&gt;=100000), " ",IF(INDEX($AM$2:$BM$1001,MATCH(ROWS($AF$2:AF683),$AF$2:$AF$1001,0),MATCH(COLUMNS($AM$1006:AO1006),$AM$1006:$BM$1006,0)), HYPERLINK("#",""), HYPERLINK(CONCATENATE("#metadata!", ADDRESS(INDEX($AH$2:$AH$1001,MATCH(ROWS($AF$2:AF683),$AF$2:$AF$1001,0),0), INDEX($AM$1004:$BM$1004,1,MATCH(COLUMNS($AM$1006:AO1006),$AM$1006:$BM$1006,0)))),"Fix")))</f>
        <v xml:space="preserve"> </v>
      </c>
      <c r="E683" s="4" t="str">
        <f ca="1">IF(OR(INDEX($AG$2:$AG$1001,MATCH(ROWS($AF$2:AF683),$AF$2:$AF$1001,0),1)&gt;=100000,INDEX($AM$1005:$BM$1005,1,MATCH(COLUMNS($AM$1006:AP1006),$AM$1006:$BM$1006,0))&gt;=100000), " ",IF(INDEX($AM$2:$BM$1001,MATCH(ROWS($AF$2:AF683),$AF$2:$AF$1001,0),MATCH(COLUMNS($AM$1006:AP1006),$AM$1006:$BM$1006,0)), HYPERLINK("#",""), HYPERLINK(CONCATENATE("#metadata!", ADDRESS(INDEX($AH$2:$AH$1001,MATCH(ROWS($AF$2:AF683),$AF$2:$AF$1001,0),0), INDEX($AM$1004:$BM$1004,1,MATCH(COLUMNS($AM$1006:AP1006),$AM$1006:$BM$1006,0)))),"Fix")))</f>
        <v xml:space="preserve"> </v>
      </c>
      <c r="F683" s="4" t="str">
        <f ca="1">IF(OR(INDEX($AG$2:$AG$1001,MATCH(ROWS($AF$2:AF683),$AF$2:$AF$1001,0),1)&gt;=100000,INDEX($AM$1005:$BM$1005,1,MATCH(COLUMNS($AM$1006:AQ1006),$AM$1006:$BM$1006,0))&gt;=100000), " ",IF(INDEX($AM$2:$BM$1001,MATCH(ROWS($AF$2:AF683),$AF$2:$AF$1001,0),MATCH(COLUMNS($AM$1006:AQ1006),$AM$1006:$BM$1006,0)), HYPERLINK("#",""), HYPERLINK(CONCATENATE("#metadata!", ADDRESS(INDEX($AH$2:$AH$1001,MATCH(ROWS($AF$2:AF683),$AF$2:$AF$1001,0),0), INDEX($AM$1004:$BM$1004,1,MATCH(COLUMNS($AM$1006:AQ1006),$AM$1006:$BM$1006,0)))),"Fix")))</f>
        <v xml:space="preserve"> </v>
      </c>
      <c r="G683" s="4" t="str">
        <f ca="1">IF(OR(INDEX($AG$2:$AG$1001,MATCH(ROWS($AF$2:AF683),$AF$2:$AF$1001,0),1)&gt;=100000,INDEX($AM$1005:$BM$1005,1,MATCH(COLUMNS($AM$1006:AR1006),$AM$1006:$BM$1006,0))&gt;=100000), " ",IF(INDEX($AM$2:$BM$1001,MATCH(ROWS($AF$2:AF683),$AF$2:$AF$1001,0),MATCH(COLUMNS($AM$1006:AR1006),$AM$1006:$BM$1006,0)), HYPERLINK("#",""), HYPERLINK(CONCATENATE("#metadata!", ADDRESS(INDEX($AH$2:$AH$1001,MATCH(ROWS($AF$2:AF683),$AF$2:$AF$1001,0),0), INDEX($AM$1004:$BM$1004,1,MATCH(COLUMNS($AM$1006:AR1006),$AM$1006:$BM$1006,0)))),"Fix")))</f>
        <v xml:space="preserve"> </v>
      </c>
      <c r="H683" s="4" t="str">
        <f ca="1">IF(OR(INDEX($AG$2:$AG$1001,MATCH(ROWS($AF$2:AF683),$AF$2:$AF$1001,0),1)&gt;=100000,INDEX($AM$1005:$BM$1005,1,MATCH(COLUMNS($AM$1006:AS1006),$AM$1006:$BM$1006,0))&gt;=100000), " ",IF(INDEX($AM$2:$BM$1001,MATCH(ROWS($AF$2:AF683),$AF$2:$AF$1001,0),MATCH(COLUMNS($AM$1006:AS1006),$AM$1006:$BM$1006,0)), HYPERLINK("#",""), HYPERLINK(CONCATENATE("#metadata!", ADDRESS(INDEX($AH$2:$AH$1001,MATCH(ROWS($AF$2:AF683),$AF$2:$AF$1001,0),0), INDEX($AM$1004:$BM$1004,1,MATCH(COLUMNS($AM$1006:AS1006),$AM$1006:$BM$1006,0)))),"Fix")))</f>
        <v xml:space="preserve"> </v>
      </c>
      <c r="I683" s="4" t="str">
        <f ca="1">IF(OR(INDEX($AG$2:$AG$1001,MATCH(ROWS($AF$2:AF683),$AF$2:$AF$1001,0),1)&gt;=100000,INDEX($AM$1005:$BM$1005,1,MATCH(COLUMNS($AM$1006:AT1006),$AM$1006:$BM$1006,0))&gt;=100000), " ",IF(INDEX($AM$2:$BM$1001,MATCH(ROWS($AF$2:AF683),$AF$2:$AF$1001,0),MATCH(COLUMNS($AM$1006:AT1006),$AM$1006:$BM$1006,0)), HYPERLINK("#",""), HYPERLINK(CONCATENATE("#metadata!", ADDRESS(INDEX($AH$2:$AH$1001,MATCH(ROWS($AF$2:AF683),$AF$2:$AF$1001,0),0), INDEX($AM$1004:$BM$1004,1,MATCH(COLUMNS($AM$1006:AT1006),$AM$1006:$BM$1006,0)))),"Fix")))</f>
        <v xml:space="preserve"> </v>
      </c>
      <c r="J683" s="4" t="str">
        <f ca="1">IF(OR(INDEX($AG$2:$AG$1001,MATCH(ROWS($AF$2:AF683),$AF$2:$AF$1001,0),1)&gt;=100000,INDEX($AM$1005:$BM$1005,1,MATCH(COLUMNS($AM$1006:AU1006),$AM$1006:$BM$1006,0))&gt;=100000), " ",IF(INDEX($AM$2:$BM$1001,MATCH(ROWS($AF$2:AF683),$AF$2:$AF$1001,0),MATCH(COLUMNS($AM$1006:AU1006),$AM$1006:$BM$1006,0)), HYPERLINK("#",""), HYPERLINK(CONCATENATE("#metadata!", ADDRESS(INDEX($AH$2:$AH$1001,MATCH(ROWS($AF$2:AF683),$AF$2:$AF$1001,0),0), INDEX($AM$1004:$BM$1004,1,MATCH(COLUMNS($AM$1006:AU1006),$AM$1006:$BM$1006,0)))),"Fix")))</f>
        <v xml:space="preserve"> </v>
      </c>
      <c r="K683" s="4" t="str">
        <f ca="1">IF(OR(INDEX($AG$2:$AG$1001,MATCH(ROWS($AF$2:AF683),$AF$2:$AF$1001,0),1)&gt;=100000,INDEX($AM$1005:$BM$1005,1,MATCH(COLUMNS($AM$1006:AV1006),$AM$1006:$BM$1006,0))&gt;=100000), " ",IF(INDEX($AM$2:$BM$1001,MATCH(ROWS($AF$2:AF683),$AF$2:$AF$1001,0),MATCH(COLUMNS($AM$1006:AV1006),$AM$1006:$BM$1006,0)), HYPERLINK("#",""), HYPERLINK(CONCATENATE("#metadata!", ADDRESS(INDEX($AH$2:$AH$1001,MATCH(ROWS($AF$2:AF683),$AF$2:$AF$1001,0),0), INDEX($AM$1004:$BM$1004,1,MATCH(COLUMNS($AM$1006:AV1006),$AM$1006:$BM$1006,0)))),"Fix")))</f>
        <v xml:space="preserve"> </v>
      </c>
      <c r="L683" s="4" t="str">
        <f ca="1">IF(OR(INDEX($AG$2:$AG$1001,MATCH(ROWS($AF$2:AF683),$AF$2:$AF$1001,0),1)&gt;=100000,INDEX($AM$1005:$BM$1005,1,MATCH(COLUMNS($AM$1006:AW1006),$AM$1006:$BM$1006,0))&gt;=100000), " ",IF(INDEX($AM$2:$BM$1001,MATCH(ROWS($AF$2:AF683),$AF$2:$AF$1001,0),MATCH(COLUMNS($AM$1006:AW1006),$AM$1006:$BM$1006,0)), HYPERLINK("#",""), HYPERLINK(CONCATENATE("#metadata!", ADDRESS(INDEX($AH$2:$AH$1001,MATCH(ROWS($AF$2:AF683),$AF$2:$AF$1001,0),0), INDEX($AM$1004:$BM$1004,1,MATCH(COLUMNS($AM$1006:AW1006),$AM$1006:$BM$1006,0)))),"Fix")))</f>
        <v xml:space="preserve"> </v>
      </c>
      <c r="M683" s="4" t="str">
        <f ca="1">IF(OR(INDEX($AG$2:$AG$1001,MATCH(ROWS($AF$2:AF683),$AF$2:$AF$1001,0),1)&gt;=100000,INDEX($AM$1005:$BM$1005,1,MATCH(COLUMNS($AM$1006:AX1006),$AM$1006:$BM$1006,0))&gt;=100000), " ",IF(INDEX($AM$2:$BM$1001,MATCH(ROWS($AF$2:AF683),$AF$2:$AF$1001,0),MATCH(COLUMNS($AM$1006:AX1006),$AM$1006:$BM$1006,0)), HYPERLINK("#",""), HYPERLINK(CONCATENATE("#metadata!", ADDRESS(INDEX($AH$2:$AH$1001,MATCH(ROWS($AF$2:AF683),$AF$2:$AF$1001,0),0), INDEX($AM$1004:$BM$1004,1,MATCH(COLUMNS($AM$1006:AX1006),$AM$1006:$BM$1006,0)))),"Fix")))</f>
        <v xml:space="preserve"> </v>
      </c>
      <c r="N683" s="4" t="str">
        <f ca="1">IF(OR(INDEX($AG$2:$AG$1001,MATCH(ROWS($AF$2:AF683),$AF$2:$AF$1001,0),1)&gt;=100000,INDEX($AM$1005:$BM$1005,1,MATCH(COLUMNS($AM$1006:AY1006),$AM$1006:$BM$1006,0))&gt;=100000), " ",IF(INDEX($AM$2:$BM$1001,MATCH(ROWS($AF$2:AF683),$AF$2:$AF$1001,0),MATCH(COLUMNS($AM$1006:AY1006),$AM$1006:$BM$1006,0)), HYPERLINK("#",""), HYPERLINK(CONCATENATE("#metadata!", ADDRESS(INDEX($AH$2:$AH$1001,MATCH(ROWS($AF$2:AF683),$AF$2:$AF$1001,0),0), INDEX($AM$1004:$BM$1004,1,MATCH(COLUMNS($AM$1006:AY1006),$AM$1006:$BM$1006,0)))),"Fix")))</f>
        <v xml:space="preserve"> </v>
      </c>
      <c r="O683" s="4" t="str">
        <f ca="1">IF(OR(INDEX($AG$2:$AG$1001,MATCH(ROWS($AF$2:AF683),$AF$2:$AF$1001,0),1)&gt;=100000,INDEX($AM$1005:$BM$1005,1,MATCH(COLUMNS($AM$1006:AZ1006),$AM$1006:$BM$1006,0))&gt;=100000), " ",IF(INDEX($AM$2:$BM$1001,MATCH(ROWS($AF$2:AF683),$AF$2:$AF$1001,0),MATCH(COLUMNS($AM$1006:AZ1006),$AM$1006:$BM$1006,0)), HYPERLINK("#",""), HYPERLINK(CONCATENATE("#metadata!", ADDRESS(INDEX($AH$2:$AH$1001,MATCH(ROWS($AF$2:AF683),$AF$2:$AF$1001,0),0), INDEX($AM$1004:$BM$1004,1,MATCH(COLUMNS($AM$1006:AZ1006),$AM$1006:$BM$1006,0)))),"Fix")))</f>
        <v xml:space="preserve"> </v>
      </c>
      <c r="P683" s="4" t="str">
        <f ca="1">IF(OR(INDEX($AG$2:$AG$1001,MATCH(ROWS($AF$2:AF683),$AF$2:$AF$1001,0),1)&gt;=100000,INDEX($AM$1005:$BM$1005,1,MATCH(COLUMNS($AM$1006:BA1006),$AM$1006:$BM$1006,0))&gt;=100000), " ",IF(INDEX($AM$2:$BM$1001,MATCH(ROWS($AF$2:AF683),$AF$2:$AF$1001,0),MATCH(COLUMNS($AM$1006:BA1006),$AM$1006:$BM$1006,0)), HYPERLINK("#",""), HYPERLINK(CONCATENATE("#metadata!", ADDRESS(INDEX($AH$2:$AH$1001,MATCH(ROWS($AF$2:AF683),$AF$2:$AF$1001,0),0), INDEX($AM$1004:$BM$1004,1,MATCH(COLUMNS($AM$1006:BA1006),$AM$1006:$BM$1006,0)))),"Fix")))</f>
        <v xml:space="preserve"> </v>
      </c>
      <c r="Q683" s="4" t="str">
        <f ca="1">IF(OR(INDEX($AG$2:$AG$1001,MATCH(ROWS($AF$2:AF683),$AF$2:$AF$1001,0),1)&gt;=100000,INDEX($AM$1005:$BM$1005,1,MATCH(COLUMNS($AM$1006:BB1006),$AM$1006:$BM$1006,0))&gt;=100000), " ",IF(INDEX($AM$2:$BM$1001,MATCH(ROWS($AF$2:AF683),$AF$2:$AF$1001,0),MATCH(COLUMNS($AM$1006:BB1006),$AM$1006:$BM$1006,0)), HYPERLINK("#",""), HYPERLINK(CONCATENATE("#metadata!", ADDRESS(INDEX($AH$2:$AH$1001,MATCH(ROWS($AF$2:AF683),$AF$2:$AF$1001,0),0), INDEX($AM$1004:$BM$1004,1,MATCH(COLUMNS($AM$1006:BB1006),$AM$1006:$BM$1006,0)))),"Fix")))</f>
        <v xml:space="preserve"> </v>
      </c>
      <c r="R683" s="4" t="str">
        <f ca="1">IF(OR(INDEX($AG$2:$AG$1001,MATCH(ROWS($AF$2:AF683),$AF$2:$AF$1001,0),1)&gt;=100000,INDEX($AM$1005:$BM$1005,1,MATCH(COLUMNS($AM$1006:BC1006),$AM$1006:$BM$1006,0))&gt;=100000), " ",IF(INDEX($AM$2:$BM$1001,MATCH(ROWS($AF$2:AF683),$AF$2:$AF$1001,0),MATCH(COLUMNS($AM$1006:BC1006),$AM$1006:$BM$1006,0)), HYPERLINK("#",""), HYPERLINK(CONCATENATE("#metadata!", ADDRESS(INDEX($AH$2:$AH$1001,MATCH(ROWS($AF$2:AF683),$AF$2:$AF$1001,0),0), INDEX($AM$1004:$BM$1004,1,MATCH(COLUMNS($AM$1006:BC1006),$AM$1006:$BM$1006,0)))),"Fix")))</f>
        <v xml:space="preserve"> </v>
      </c>
      <c r="S683" s="4" t="str">
        <f ca="1">IF(OR(INDEX($AG$2:$AG$1001,MATCH(ROWS($AF$2:AF683),$AF$2:$AF$1001,0),1)&gt;=100000,INDEX($AM$1005:$BM$1005,1,MATCH(COLUMNS($AM$1006:BD1006),$AM$1006:$BM$1006,0))&gt;=100000), " ",IF(INDEX($AM$2:$BM$1001,MATCH(ROWS($AF$2:AF683),$AF$2:$AF$1001,0),MATCH(COLUMNS($AM$1006:BD1006),$AM$1006:$BM$1006,0)), HYPERLINK("#",""), HYPERLINK(CONCATENATE("#metadata!", ADDRESS(INDEX($AH$2:$AH$1001,MATCH(ROWS($AF$2:AF683),$AF$2:$AF$1001,0),0), INDEX($AM$1004:$BM$1004,1,MATCH(COLUMNS($AM$1006:BD1006),$AM$1006:$BM$1006,0)))),"Fix")))</f>
        <v xml:space="preserve"> </v>
      </c>
      <c r="T683" s="4" t="str">
        <f ca="1">IF(OR(INDEX($AG$2:$AG$1001,MATCH(ROWS($AF$2:AF683),$AF$2:$AF$1001,0),1)&gt;=100000,INDEX($AM$1005:$BM$1005,1,MATCH(COLUMNS($AM$1006:BE1006),$AM$1006:$BM$1006,0))&gt;=100000), " ",IF(INDEX($AM$2:$BM$1001,MATCH(ROWS($AF$2:AF683),$AF$2:$AF$1001,0),MATCH(COLUMNS($AM$1006:BE1006),$AM$1006:$BM$1006,0)), HYPERLINK("#",""), HYPERLINK(CONCATENATE("#metadata!", ADDRESS(INDEX($AH$2:$AH$1001,MATCH(ROWS($AF$2:AF683),$AF$2:$AF$1001,0),0), INDEX($AM$1004:$BM$1004,1,MATCH(COLUMNS($AM$1006:BE1006),$AM$1006:$BM$1006,0)))),"Fix")))</f>
        <v xml:space="preserve"> </v>
      </c>
      <c r="U683" s="4" t="str">
        <f ca="1">IF(OR(INDEX($AG$2:$AG$1001,MATCH(ROWS($AF$2:AF683),$AF$2:$AF$1001,0),1)&gt;=100000,INDEX($AM$1005:$BM$1005,1,MATCH(COLUMNS($AM$1006:BF1006),$AM$1006:$BM$1006,0))&gt;=100000), " ",IF(INDEX($AM$2:$BM$1001,MATCH(ROWS($AF$2:AF683),$AF$2:$AF$1001,0),MATCH(COLUMNS($AM$1006:BF1006),$AM$1006:$BM$1006,0)), HYPERLINK("#",""), HYPERLINK(CONCATENATE("#metadata!", ADDRESS(INDEX($AH$2:$AH$1001,MATCH(ROWS($AF$2:AF683),$AF$2:$AF$1001,0),0), INDEX($AM$1004:$BM$1004,1,MATCH(COLUMNS($AM$1006:BF1006),$AM$1006:$BM$1006,0)))),"Fix")))</f>
        <v xml:space="preserve"> </v>
      </c>
      <c r="V683" s="4" t="str">
        <f ca="1">IF(OR(INDEX($AG$2:$AG$1001,MATCH(ROWS($AF$2:AF683),$AF$2:$AF$1001,0),1)&gt;=100000,INDEX($AM$1005:$BM$1005,1,MATCH(COLUMNS($AM$1006:BG1006),$AM$1006:$BM$1006,0))&gt;=100000), " ",IF(INDEX($AM$2:$BM$1001,MATCH(ROWS($AF$2:AF683),$AF$2:$AF$1001,0),MATCH(COLUMNS($AM$1006:BG1006),$AM$1006:$BM$1006,0)), HYPERLINK("#",""), HYPERLINK(CONCATENATE("#metadata!", ADDRESS(INDEX($AH$2:$AH$1001,MATCH(ROWS($AF$2:AF683),$AF$2:$AF$1001,0),0), INDEX($AM$1004:$BM$1004,1,MATCH(COLUMNS($AM$1006:BG1006),$AM$1006:$BM$1006,0)))),"Fix")))</f>
        <v xml:space="preserve"> </v>
      </c>
      <c r="W683" s="4" t="str">
        <f ca="1">IF(OR(INDEX($AG$2:$AG$1001,MATCH(ROWS($AF$2:AF683),$AF$2:$AF$1001,0),1)&gt;=100000,INDEX($AM$1005:$BM$1005,1,MATCH(COLUMNS($AM$1006:BH1006),$AM$1006:$BM$1006,0))&gt;=100000), " ",IF(INDEX($AM$2:$BM$1001,MATCH(ROWS($AF$2:AF683),$AF$2:$AF$1001,0),MATCH(COLUMNS($AM$1006:BH1006),$AM$1006:$BM$1006,0)), HYPERLINK("#",""), HYPERLINK(CONCATENATE("#metadata!", ADDRESS(INDEX($AH$2:$AH$1001,MATCH(ROWS($AF$2:AF683),$AF$2:$AF$1001,0),0), INDEX($AM$1004:$BM$1004,1,MATCH(COLUMNS($AM$1006:BH1006),$AM$1006:$BM$1006,0)))),"Fix")))</f>
        <v xml:space="preserve"> </v>
      </c>
      <c r="X683" s="4" t="str">
        <f ca="1">IF(OR(INDEX($AG$2:$AG$1001,MATCH(ROWS($AF$2:AF683),$AF$2:$AF$1001,0),1)&gt;=100000,INDEX($AM$1005:$BM$1005,1,MATCH(COLUMNS($AM$1006:BI1006),$AM$1006:$BM$1006,0))&gt;=100000), " ",IF(INDEX($AM$2:$BM$1001,MATCH(ROWS($AF$2:AF683),$AF$2:$AF$1001,0),MATCH(COLUMNS($AM$1006:BI1006),$AM$1006:$BM$1006,0)), HYPERLINK("#",""), HYPERLINK(CONCATENATE("#metadata!", ADDRESS(INDEX($AH$2:$AH$1001,MATCH(ROWS($AF$2:AF683),$AF$2:$AF$1001,0),0), INDEX($AM$1004:$BM$1004,1,MATCH(COLUMNS($AM$1006:BI1006),$AM$1006:$BM$1006,0)))),"Fix")))</f>
        <v xml:space="preserve"> </v>
      </c>
      <c r="Y683" s="4" t="str">
        <f ca="1">IF(OR(INDEX($AG$2:$AG$1001,MATCH(ROWS($AF$2:AF683),$AF$2:$AF$1001,0),1)&gt;=100000,INDEX($AM$1005:$BM$1005,1,MATCH(COLUMNS($AM$1006:BJ1006),$AM$1006:$BM$1006,0))&gt;=100000), " ",IF(INDEX($AM$2:$BM$1001,MATCH(ROWS($AF$2:AF683),$AF$2:$AF$1001,0),MATCH(COLUMNS($AM$1006:BJ1006),$AM$1006:$BM$1006,0)), HYPERLINK("#",""), HYPERLINK(CONCATENATE("#metadata!", ADDRESS(INDEX($AH$2:$AH$1001,MATCH(ROWS($AF$2:AF683),$AF$2:$AF$1001,0),0), INDEX($AM$1004:$BM$1004,1,MATCH(COLUMNS($AM$1006:BJ1006),$AM$1006:$BM$1006,0)))),"Fix")))</f>
        <v xml:space="preserve"> </v>
      </c>
      <c r="Z683" s="4" t="str">
        <f ca="1">IF(OR(INDEX($AG$2:$AG$1001,MATCH(ROWS($AF$2:AF683),$AF$2:$AF$1001,0),1)&gt;=100000,INDEX($AM$1005:$BM$1005,1,MATCH(COLUMNS($AM$1006:BK1006),$AM$1006:$BM$1006,0))&gt;=100000), " ",IF(INDEX($AM$2:$BM$1001,MATCH(ROWS($AF$2:AF683),$AF$2:$AF$1001,0),MATCH(COLUMNS($AM$1006:BK1006),$AM$1006:$BM$1006,0)), HYPERLINK("#",""), HYPERLINK(CONCATENATE("#metadata!", ADDRESS(INDEX($AH$2:$AH$1001,MATCH(ROWS($AF$2:AF683),$AF$2:$AF$1001,0),0), INDEX($AM$1004:$BM$1004,1,MATCH(COLUMNS($AM$1006:BK1006),$AM$1006:$BM$1006,0)))),"Fix")))</f>
        <v xml:space="preserve"> </v>
      </c>
      <c r="AA683" s="4" t="str">
        <f ca="1">IF(OR(INDEX($AG$2:$AG$1001,MATCH(ROWS($AF$2:AF683),$AF$2:$AF$1001,0),1)&gt;=100000,INDEX($AM$1005:$BM$1005,1,MATCH(COLUMNS($AM$1006:BL1006),$AM$1006:$BM$1006,0))&gt;=100000), " ",IF(INDEX($AM$2:$BM$1001,MATCH(ROWS($AF$2:AF683),$AF$2:$AF$1001,0),MATCH(COLUMNS($AM$1006:BL1006),$AM$1006:$BM$1006,0)), HYPERLINK("#",""), HYPERLINK(CONCATENATE("#metadata!", ADDRESS(INDEX($AH$2:$AH$1001,MATCH(ROWS($AF$2:AF683),$AF$2:$AF$1001,0),0), INDEX($AM$1004:$BM$1004,1,MATCH(COLUMNS($AM$1006:BL1006),$AM$1006:$BM$1006,0)))),"Fix")))</f>
        <v xml:space="preserve"> </v>
      </c>
      <c r="AB683" s="4" t="str">
        <f ca="1">IF(OR(INDEX($AG$2:$AG$1001,MATCH(ROWS($AF$2:AF683),$AF$2:$AF$1001,0),1)&gt;=100000,INDEX($AM$1005:$BM$1005,1,MATCH(COLUMNS($AM$1006:BM1006),$AM$1006:$BM$1006,0))&gt;=100000), " ",IF(INDEX($AM$2:$BM$1001,MATCH(ROWS($AF$2:AF683),$AF$2:$AF$1001,0),MATCH(COLUMNS($AM$1006:BM1006),$AM$1006:$BM$1006,0)), HYPERLINK("#",""), HYPERLINK(CONCATENATE("#metadata!", ADDRESS(INDEX($AH$2:$AH$1001,MATCH(ROWS($AF$2:AF683),$AF$2:$AF$1001,0),0), INDEX($AM$1004:$BM$1004,1,MATCH(COLUMNS($AM$1006:BM1006),$AM$1006:$BM$1006,0)))),"Fix")))</f>
        <v xml:space="preserve"> </v>
      </c>
      <c r="AF683">
        <v>682</v>
      </c>
      <c r="AG683">
        <v>100683</v>
      </c>
      <c r="AH683">
        <v>683</v>
      </c>
      <c r="AI683" t="b">
        <f t="shared" si="10"/>
        <v>1</v>
      </c>
      <c r="AJ683" t="b">
        <f>COUNTBLANK(metadata!B683:AB683)=COLUMNS(metadata!B683:AB683)</f>
        <v>1</v>
      </c>
      <c r="AK683" t="str">
        <v/>
      </c>
      <c r="AM683" t="b">
        <f ca="1">AND(IF(metadata!B683="",FALSE,TRUE),COUNTIF(metadata!B:B, metadata!B683) = 1,NOT(ISERROR(SUMPRODUCT(SEARCH(MID(metadata!B683,ROW(INDIRECT("1:"&amp;LEN(metadata!B683))), 1),"0123456789abcdefghijklmnopqrstuvwxyzABCDEFGHIJKLMNOPQRSTUVWXYZ.")))))</f>
        <v>0</v>
      </c>
      <c r="AN683" t="b">
        <f ca="1">OR(AND(IF(metadata!C683="",FALSE,TRUE),OR(EXACT(metadata!C683,"missing: not collected"),EXACT(metadata!C683,"missing: not provided"),EXACT(metadata!C683,"missing: restricted access"))),AND(IF(metadata!C683="",FALSE,TRUE),AND(AND(IFERROR(INT(LEFT(metadata!C683,4))&gt;1900,FALSE),IFERROR(INT(LEFT(metadata!C683,4))&lt;=YEAR(NOW()),FALSE)), OR(MID(metadata!C683,5,1)="", AND(AND(MID(metadata!C683,5,1)="-",IFERROR(INT(MID(metadata!C683,6,1))&gt;=0,FALSE),IFERROR(INT(MID(metadata!C683,6,1))&lt;=1,FALSE),NOT(MID(metadata!C683,7,1)=""),IFERROR(INT(MID(metadata!C683,6,2))&gt;=1,FALSE),IFERROR(INT(MID(metadata!C683,6,2))&lt;=12,FALSE)), OR(MID(metadata!C683,8,1)="", AND(AND(MID(metadata!C683,8,1)="-",IFERROR(INT(MID(metadata!C683,9,1))&gt;=0,FALSE),IFERROR(INT(MID(metadata!C683,9,1))&lt;=3,FALSE),NOT(MID(metadata!C683,10,1)=""),IFERROR(INT(MID(metadata!C683,9,2))&gt;=1,FALSE),IFERROR(INT(MID(metadata!C683,9,2))&lt;=31,FALSE)), OR(MID(metadata!C683,11,1)="", AND(AND(MID(metadata!C683,11,1)=" ",IFERROR(INT(MID(metadata!C683,12,1))&gt;=0,FALSE),IFERROR(INT(MID(metadata!C683,12,1))&lt;=2,FALSE),NOT(MID(metadata!C683,13,1)=""),IFERROR(INT(MID(metadata!C683,12,2))&gt;=0,FALSE),IFERROR(INT(MID(metadata!C683,12,2))&lt;=23,FALSE)), OR(MID(metadata!C683,14,1)="", AND(AND(MID(metadata!C683,14,1)=":",IFERROR(INT(MID(metadata!C683,15,1))&gt;=0,FALSE),IFERROR(INT(MID(metadata!C683,15,1))&lt;=5,FALSE),NOT(MID(metadata!C683,16,1)=""),IFERROR(INT(MID(metadata!C683,15,2))&gt;=0,FALSE),IFERROR(INT(MID(metadata!C683,15,2))&lt;=59,FALSE)), OR(MID(metadata!C683,17,1)="", AND(AND(MID(metadata!C683,17,1)=":",IFERROR(INT(MID(metadata!C683,18,1))&gt;=0,FALSE),IFERROR(INT(MID(metadata!C683,18,1))&lt;=5,FALSE),NOT(MID(metadata!C683,19,1)=""),IFERROR(INT(MID(metadata!C683,18,2))&gt;=0,FALSE),IFERROR(INT(MID(metadata!C683,18,2))&lt;=59,FALSE)), LEN(metadata!C683)&lt;=19)))))))))))))</f>
        <v>0</v>
      </c>
      <c r="AO683" t="b">
        <f>AND(IF(metadata!D683="",FALSE,TRUE),EXACT(metadata!D683,"Not applicable"))</f>
        <v>0</v>
      </c>
      <c r="AP683" t="b">
        <f>IF(metadata!E683="",FALSE,TRUE)</f>
        <v>0</v>
      </c>
      <c r="AQ683" t="b">
        <f>OR(AND(IF(metadata!F683="",FALSE,TRUE),OR(EXACT(metadata!F683,"missing: not collected"),EXACT(metadata!F683,"missing: not provided"))),AND(IF(metadata!F683="",FALSE,TRUE),OR(EXACT(metadata!F683,"TRUE"),EXACT(metadata!F683,"FALSE"))))</f>
        <v>0</v>
      </c>
      <c r="AR683" t="b">
        <f>OR(AND(IF(metadata!G683="",FALSE,TRUE),OR(EXACT(metadata!G683,"missing: not collected"),EXACT(metadata!G683,"missing: not provided"),EXACT(metadata!G683,"missing: restricted access"))),AND(IF(metadata!G683="",FALSE,ISNUMBER(VALUE(metadata!G683))),metadata!G683&gt;=-413))</f>
        <v>0</v>
      </c>
      <c r="AS683" t="b">
        <f>AND(IF(metadata!H683="",FALSE,TRUE),EXACT(metadata!H683,"meters"))</f>
        <v>0</v>
      </c>
      <c r="AT683" t="b">
        <f>AND(IF(metadata!I683="",FALSE,TRUE),OR(EXACT(metadata!I683,"Host-associated"),EXACT(metadata!I683,"Free-living")))</f>
        <v>0</v>
      </c>
      <c r="AU683" t="b">
        <f>AND(IF(metadata!J683="",FALSE,TRUE),OR(EXACT(metadata!J683,"Animal"),EXACT(metadata!J683,"Fungus"),EXACT(metadata!J683,"Plant"),EXACT(metadata!J683,"Saline"),EXACT(metadata!J683,"Non-saline")))</f>
        <v>0</v>
      </c>
      <c r="AV683" t="b">
        <f>AND(IF(metadata!K683="",FALSE,TRUE),OR(EXACT(metadata!K683,"Plant secretion"),EXACT(metadata!K683,"Plant rhizosphere"),EXACT(metadata!K683,"Plant surface"),EXACT(metadata!K683,"Plant corpus"),EXACT(metadata!K683,"Fungus surface"),EXACT(metadata!K683,"Fungus corpus"),EXACT(metadata!K683,"Animal surface"),EXACT(metadata!K683,"Animal proximal gut"),EXACT(metadata!K683,"Animal corpus"),EXACT(metadata!K683,"Animal distal gut"),EXACT(metadata!K683,"Animal secretion"),EXACT(metadata!K683,"Sub-surface (non-saline)"),EXACT(metadata!K683,"Surface (non-saline)"),EXACT(metadata!K683,"Water (non-saline)"),EXACT(metadata!K683,"Soil (non-saline)"),EXACT(metadata!K683,"Aerosol (non-saline)"),EXACT(metadata!K683,"Sediment (non-saline)"),EXACT(metadata!K683,"Surface (saline)"),EXACT(metadata!K683,"Water (saline)"),EXACT(metadata!K683,"Hypersaline (saline)"),EXACT(metadata!K683,"Aerosol (saline)"),EXACT(metadata!K683,"Sediment (saline)")))</f>
        <v>0</v>
      </c>
      <c r="AW683" t="b">
        <f>IF(metadata!L683="",FALSE,TRUE)</f>
        <v>0</v>
      </c>
      <c r="AX683" t="b">
        <f>IF(metadata!M683="",FALSE,TRUE)</f>
        <v>0</v>
      </c>
      <c r="AY683" t="b">
        <f>IF(metadata!N683="",FALSE,TRUE)</f>
        <v>0</v>
      </c>
      <c r="AZ683" t="b">
        <f>OR(AND(IF(metadata!O683="",FALSE,TRUE),OR(EXACT(metadata!O683,"missing: not collected"),EXACT(metadata!O683,"missing: not provided"),EXACT(metadata!O683,"missing: restricted access"))),AND(IF(metadata!O683="",FALSE,TRUE),OR(EXACT(metadata!O683,"air"),EXACT(metadata!O683,"built environment"),EXACT(metadata!O683,"host-associated"),EXACT(metadata!O683,"human-associated"),EXACT(metadata!O683,"human-skin"),EXACT(metadata!O683,"human-oral"),EXACT(metadata!O683,"human-gut"),EXACT(metadata!O683,"human-vaginal"),EXACT(metadata!O683,"microbial mat/biofilm"),EXACT(metadata!O683,"misc environment"),EXACT(metadata!O683,"plant-associated"),EXACT(metadata!O683,"sediment"),EXACT(metadata!O683,"soil"),EXACT(metadata!O683,"wastewater/sludge"),EXACT(metadata!O683,"water"))))</f>
        <v>0</v>
      </c>
      <c r="BA683" t="b">
        <f>IF(metadata!P683="",FALSE,TRUE)</f>
        <v>0</v>
      </c>
      <c r="BB683" t="b">
        <f>IF(metadata!Q683="",FALSE,TRUE)</f>
        <v>0</v>
      </c>
      <c r="BC683" t="b">
        <f>OR(AND(IF(metadata!R683="",FALSE,TRUE),OR(EXACT(metadata!R683,"missing: not collected"),EXACT(metadata!R683,"missing: not provided"),EXACT(metadata!R683,"missing: restricted access"))),AND(IF(metadata!R683="",FALSE,ISNUMBER(VALUE(metadata!R683))),metadata!R683&gt;=-90,metadata!R683&lt;=90))</f>
        <v>0</v>
      </c>
      <c r="BD683" t="b">
        <f>AND(IF(metadata!S683="",FALSE,TRUE),EXACT(metadata!S683,"Decimal degrees"))</f>
        <v>0</v>
      </c>
      <c r="BE683" t="b">
        <f>OR(AND(IF(metadata!T683="",FALSE,TRUE),OR(EXACT(metadata!T683,"missing: not collected"),EXACT(metadata!T683,"missing: not provided"),EXACT(metadata!T683,"missing: restricted access"))),AND(IF(metadata!T683="",FALSE,ISNUMBER(VALUE(metadata!T683))),metadata!T683&gt;=-180,metadata!T683&lt;=180))</f>
        <v>0</v>
      </c>
      <c r="BF683" t="b">
        <f>AND(IF(metadata!U683="",FALSE,TRUE),EXACT(metadata!U683,"Decimal degrees"))</f>
        <v>0</v>
      </c>
      <c r="BG683" t="b">
        <f>IF(metadata!V683="",FALSE,TRUE)</f>
        <v>0</v>
      </c>
      <c r="BH683" t="b">
        <f>OR(AND(IF(metadata!W683="",FALSE,TRUE),OR(EXACT(metadata!W683,"missing: not collected"),EXACT(metadata!W683,"missing: not provided"),EXACT(metadata!W683,"missing: restricted access"))),AND(IF(metadata!W683="",FALSE,TRUE),OR(EXACT(metadata!W683,"TRUE"),EXACT(metadata!W683,"FALSE"))))</f>
        <v>0</v>
      </c>
      <c r="BI683" t="b">
        <f>AND(IF(metadata!X683="",FALSE,TRUE),EXACT(metadata!X683,"other"))</f>
        <v>0</v>
      </c>
      <c r="BJ683" t="b">
        <f>IF(metadata!Y683="",FALSE,TRUE)</f>
        <v>0</v>
      </c>
      <c r="BK683" t="b">
        <f>OR(AND(IF(metadata!Z683="",FALSE,TRUE),OR(EXACT(metadata!Z683,"missing: not collected"),EXACT(metadata!Z683,"missing: not provided"))),AND(IF(metadata!Z683="",FALSE,IF(ISERROR(INT(metadata!Z683)),FALSE,INT(metadata!Z683)=metadata!Z683)),metadata!Z683&gt;0))</f>
        <v>0</v>
      </c>
      <c r="BL683" t="b">
        <f>AND(IF(metadata!AA683="",FALSE,TRUE),EXACT(metadata!AA683,"Not applicable"))</f>
        <v>0</v>
      </c>
      <c r="BM683" t="b">
        <f>IF(metadata!AB683="",FALSE,TRUE)</f>
        <v>0</v>
      </c>
    </row>
    <row r="684" spans="1:65" x14ac:dyDescent="0.2">
      <c r="A684" s="5" t="str">
        <f ca="1">IF(B684=" "," ",HYPERLINK(CONCATENATE("#metadata!",ADDRESS(INDEX($AH$2:$AH$1001,MATCH(ROWS($AF$2:AF684),$AF$2:$AF$1001,0),0),1)),INDEX($AK$2:$AK$1001,MATCH(ROWS($AF$2:AF684),$AF$2:$AF$1001,0),0)))</f>
        <v xml:space="preserve"> </v>
      </c>
      <c r="B684" s="4" t="str">
        <f ca="1">IF(OR(INDEX($AG$2:$AG$1001,MATCH(ROWS($AF$2:AF684),$AF$2:$AF$1001,0),1)&gt;=100000,INDEX($AM$1005:$BM$1005,1,MATCH(COLUMNS($AM$1006:AM1006),$AM$1006:$BM$1006,0))&gt;=100000), " ",IF(INDEX($AM$2:$BM$1001,MATCH(ROWS($AF$2:AF684),$AF$2:$AF$1001,0),MATCH(COLUMNS($AM$1006:AM1006),$AM$1006:$BM$1006,0)), HYPERLINK("#",""), HYPERLINK(CONCATENATE("#metadata!", ADDRESS(INDEX($AH$2:$AH$1001,MATCH(ROWS($AF$2:AF684),$AF$2:$AF$1001,0),0), INDEX($AM$1004:$BM$1004,1,MATCH(COLUMNS($AM$1006:AM1006),$AM$1006:$BM$1006,0)))),"Fix")))</f>
        <v xml:space="preserve"> </v>
      </c>
      <c r="C684" s="4" t="str">
        <f ca="1">IF(OR(INDEX($AG$2:$AG$1001,MATCH(ROWS($AF$2:AF684),$AF$2:$AF$1001,0),1)&gt;=100000,INDEX($AM$1005:$BM$1005,1,MATCH(COLUMNS($AM$1006:AN1006),$AM$1006:$BM$1006,0))&gt;=100000), " ",IF(INDEX($AM$2:$BM$1001,MATCH(ROWS($AF$2:AF684),$AF$2:$AF$1001,0),MATCH(COLUMNS($AM$1006:AN1006),$AM$1006:$BM$1006,0)), HYPERLINK("#",""), HYPERLINK(CONCATENATE("#metadata!", ADDRESS(INDEX($AH$2:$AH$1001,MATCH(ROWS($AF$2:AF684),$AF$2:$AF$1001,0),0), INDEX($AM$1004:$BM$1004,1,MATCH(COLUMNS($AM$1006:AN1006),$AM$1006:$BM$1006,0)))),"Fix")))</f>
        <v xml:space="preserve"> </v>
      </c>
      <c r="D684" s="4" t="str">
        <f ca="1">IF(OR(INDEX($AG$2:$AG$1001,MATCH(ROWS($AF$2:AF684),$AF$2:$AF$1001,0),1)&gt;=100000,INDEX($AM$1005:$BM$1005,1,MATCH(COLUMNS($AM$1006:AO1006),$AM$1006:$BM$1006,0))&gt;=100000), " ",IF(INDEX($AM$2:$BM$1001,MATCH(ROWS($AF$2:AF684),$AF$2:$AF$1001,0),MATCH(COLUMNS($AM$1006:AO1006),$AM$1006:$BM$1006,0)), HYPERLINK("#",""), HYPERLINK(CONCATENATE("#metadata!", ADDRESS(INDEX($AH$2:$AH$1001,MATCH(ROWS($AF$2:AF684),$AF$2:$AF$1001,0),0), INDEX($AM$1004:$BM$1004,1,MATCH(COLUMNS($AM$1006:AO1006),$AM$1006:$BM$1006,0)))),"Fix")))</f>
        <v xml:space="preserve"> </v>
      </c>
      <c r="E684" s="4" t="str">
        <f ca="1">IF(OR(INDEX($AG$2:$AG$1001,MATCH(ROWS($AF$2:AF684),$AF$2:$AF$1001,0),1)&gt;=100000,INDEX($AM$1005:$BM$1005,1,MATCH(COLUMNS($AM$1006:AP1006),$AM$1006:$BM$1006,0))&gt;=100000), " ",IF(INDEX($AM$2:$BM$1001,MATCH(ROWS($AF$2:AF684),$AF$2:$AF$1001,0),MATCH(COLUMNS($AM$1006:AP1006),$AM$1006:$BM$1006,0)), HYPERLINK("#",""), HYPERLINK(CONCATENATE("#metadata!", ADDRESS(INDEX($AH$2:$AH$1001,MATCH(ROWS($AF$2:AF684),$AF$2:$AF$1001,0),0), INDEX($AM$1004:$BM$1004,1,MATCH(COLUMNS($AM$1006:AP1006),$AM$1006:$BM$1006,0)))),"Fix")))</f>
        <v xml:space="preserve"> </v>
      </c>
      <c r="F684" s="4" t="str">
        <f ca="1">IF(OR(INDEX($AG$2:$AG$1001,MATCH(ROWS($AF$2:AF684),$AF$2:$AF$1001,0),1)&gt;=100000,INDEX($AM$1005:$BM$1005,1,MATCH(COLUMNS($AM$1006:AQ1006),$AM$1006:$BM$1006,0))&gt;=100000), " ",IF(INDEX($AM$2:$BM$1001,MATCH(ROWS($AF$2:AF684),$AF$2:$AF$1001,0),MATCH(COLUMNS($AM$1006:AQ1006),$AM$1006:$BM$1006,0)), HYPERLINK("#",""), HYPERLINK(CONCATENATE("#metadata!", ADDRESS(INDEX($AH$2:$AH$1001,MATCH(ROWS($AF$2:AF684),$AF$2:$AF$1001,0),0), INDEX($AM$1004:$BM$1004,1,MATCH(COLUMNS($AM$1006:AQ1006),$AM$1006:$BM$1006,0)))),"Fix")))</f>
        <v xml:space="preserve"> </v>
      </c>
      <c r="G684" s="4" t="str">
        <f ca="1">IF(OR(INDEX($AG$2:$AG$1001,MATCH(ROWS($AF$2:AF684),$AF$2:$AF$1001,0),1)&gt;=100000,INDEX($AM$1005:$BM$1005,1,MATCH(COLUMNS($AM$1006:AR1006),$AM$1006:$BM$1006,0))&gt;=100000), " ",IF(INDEX($AM$2:$BM$1001,MATCH(ROWS($AF$2:AF684),$AF$2:$AF$1001,0),MATCH(COLUMNS($AM$1006:AR1006),$AM$1006:$BM$1006,0)), HYPERLINK("#",""), HYPERLINK(CONCATENATE("#metadata!", ADDRESS(INDEX($AH$2:$AH$1001,MATCH(ROWS($AF$2:AF684),$AF$2:$AF$1001,0),0), INDEX($AM$1004:$BM$1004,1,MATCH(COLUMNS($AM$1006:AR1006),$AM$1006:$BM$1006,0)))),"Fix")))</f>
        <v xml:space="preserve"> </v>
      </c>
      <c r="H684" s="4" t="str">
        <f ca="1">IF(OR(INDEX($AG$2:$AG$1001,MATCH(ROWS($AF$2:AF684),$AF$2:$AF$1001,0),1)&gt;=100000,INDEX($AM$1005:$BM$1005,1,MATCH(COLUMNS($AM$1006:AS1006),$AM$1006:$BM$1006,0))&gt;=100000), " ",IF(INDEX($AM$2:$BM$1001,MATCH(ROWS($AF$2:AF684),$AF$2:$AF$1001,0),MATCH(COLUMNS($AM$1006:AS1006),$AM$1006:$BM$1006,0)), HYPERLINK("#",""), HYPERLINK(CONCATENATE("#metadata!", ADDRESS(INDEX($AH$2:$AH$1001,MATCH(ROWS($AF$2:AF684),$AF$2:$AF$1001,0),0), INDEX($AM$1004:$BM$1004,1,MATCH(COLUMNS($AM$1006:AS1006),$AM$1006:$BM$1006,0)))),"Fix")))</f>
        <v xml:space="preserve"> </v>
      </c>
      <c r="I684" s="4" t="str">
        <f ca="1">IF(OR(INDEX($AG$2:$AG$1001,MATCH(ROWS($AF$2:AF684),$AF$2:$AF$1001,0),1)&gt;=100000,INDEX($AM$1005:$BM$1005,1,MATCH(COLUMNS($AM$1006:AT1006),$AM$1006:$BM$1006,0))&gt;=100000), " ",IF(INDEX($AM$2:$BM$1001,MATCH(ROWS($AF$2:AF684),$AF$2:$AF$1001,0),MATCH(COLUMNS($AM$1006:AT1006),$AM$1006:$BM$1006,0)), HYPERLINK("#",""), HYPERLINK(CONCATENATE("#metadata!", ADDRESS(INDEX($AH$2:$AH$1001,MATCH(ROWS($AF$2:AF684),$AF$2:$AF$1001,0),0), INDEX($AM$1004:$BM$1004,1,MATCH(COLUMNS($AM$1006:AT1006),$AM$1006:$BM$1006,0)))),"Fix")))</f>
        <v xml:space="preserve"> </v>
      </c>
      <c r="J684" s="4" t="str">
        <f ca="1">IF(OR(INDEX($AG$2:$AG$1001,MATCH(ROWS($AF$2:AF684),$AF$2:$AF$1001,0),1)&gt;=100000,INDEX($AM$1005:$BM$1005,1,MATCH(COLUMNS($AM$1006:AU1006),$AM$1006:$BM$1006,0))&gt;=100000), " ",IF(INDEX($AM$2:$BM$1001,MATCH(ROWS($AF$2:AF684),$AF$2:$AF$1001,0),MATCH(COLUMNS($AM$1006:AU1006),$AM$1006:$BM$1006,0)), HYPERLINK("#",""), HYPERLINK(CONCATENATE("#metadata!", ADDRESS(INDEX($AH$2:$AH$1001,MATCH(ROWS($AF$2:AF684),$AF$2:$AF$1001,0),0), INDEX($AM$1004:$BM$1004,1,MATCH(COLUMNS($AM$1006:AU1006),$AM$1006:$BM$1006,0)))),"Fix")))</f>
        <v xml:space="preserve"> </v>
      </c>
      <c r="K684" s="4" t="str">
        <f ca="1">IF(OR(INDEX($AG$2:$AG$1001,MATCH(ROWS($AF$2:AF684),$AF$2:$AF$1001,0),1)&gt;=100000,INDEX($AM$1005:$BM$1005,1,MATCH(COLUMNS($AM$1006:AV1006),$AM$1006:$BM$1006,0))&gt;=100000), " ",IF(INDEX($AM$2:$BM$1001,MATCH(ROWS($AF$2:AF684),$AF$2:$AF$1001,0),MATCH(COLUMNS($AM$1006:AV1006),$AM$1006:$BM$1006,0)), HYPERLINK("#",""), HYPERLINK(CONCATENATE("#metadata!", ADDRESS(INDEX($AH$2:$AH$1001,MATCH(ROWS($AF$2:AF684),$AF$2:$AF$1001,0),0), INDEX($AM$1004:$BM$1004,1,MATCH(COLUMNS($AM$1006:AV1006),$AM$1006:$BM$1006,0)))),"Fix")))</f>
        <v xml:space="preserve"> </v>
      </c>
      <c r="L684" s="4" t="str">
        <f ca="1">IF(OR(INDEX($AG$2:$AG$1001,MATCH(ROWS($AF$2:AF684),$AF$2:$AF$1001,0),1)&gt;=100000,INDEX($AM$1005:$BM$1005,1,MATCH(COLUMNS($AM$1006:AW1006),$AM$1006:$BM$1006,0))&gt;=100000), " ",IF(INDEX($AM$2:$BM$1001,MATCH(ROWS($AF$2:AF684),$AF$2:$AF$1001,0),MATCH(COLUMNS($AM$1006:AW1006),$AM$1006:$BM$1006,0)), HYPERLINK("#",""), HYPERLINK(CONCATENATE("#metadata!", ADDRESS(INDEX($AH$2:$AH$1001,MATCH(ROWS($AF$2:AF684),$AF$2:$AF$1001,0),0), INDEX($AM$1004:$BM$1004,1,MATCH(COLUMNS($AM$1006:AW1006),$AM$1006:$BM$1006,0)))),"Fix")))</f>
        <v xml:space="preserve"> </v>
      </c>
      <c r="M684" s="4" t="str">
        <f ca="1">IF(OR(INDEX($AG$2:$AG$1001,MATCH(ROWS($AF$2:AF684),$AF$2:$AF$1001,0),1)&gt;=100000,INDEX($AM$1005:$BM$1005,1,MATCH(COLUMNS($AM$1006:AX1006),$AM$1006:$BM$1006,0))&gt;=100000), " ",IF(INDEX($AM$2:$BM$1001,MATCH(ROWS($AF$2:AF684),$AF$2:$AF$1001,0),MATCH(COLUMNS($AM$1006:AX1006),$AM$1006:$BM$1006,0)), HYPERLINK("#",""), HYPERLINK(CONCATENATE("#metadata!", ADDRESS(INDEX($AH$2:$AH$1001,MATCH(ROWS($AF$2:AF684),$AF$2:$AF$1001,0),0), INDEX($AM$1004:$BM$1004,1,MATCH(COLUMNS($AM$1006:AX1006),$AM$1006:$BM$1006,0)))),"Fix")))</f>
        <v xml:space="preserve"> </v>
      </c>
      <c r="N684" s="4" t="str">
        <f ca="1">IF(OR(INDEX($AG$2:$AG$1001,MATCH(ROWS($AF$2:AF684),$AF$2:$AF$1001,0),1)&gt;=100000,INDEX($AM$1005:$BM$1005,1,MATCH(COLUMNS($AM$1006:AY1006),$AM$1006:$BM$1006,0))&gt;=100000), " ",IF(INDEX($AM$2:$BM$1001,MATCH(ROWS($AF$2:AF684),$AF$2:$AF$1001,0),MATCH(COLUMNS($AM$1006:AY1006),$AM$1006:$BM$1006,0)), HYPERLINK("#",""), HYPERLINK(CONCATENATE("#metadata!", ADDRESS(INDEX($AH$2:$AH$1001,MATCH(ROWS($AF$2:AF684),$AF$2:$AF$1001,0),0), INDEX($AM$1004:$BM$1004,1,MATCH(COLUMNS($AM$1006:AY1006),$AM$1006:$BM$1006,0)))),"Fix")))</f>
        <v xml:space="preserve"> </v>
      </c>
      <c r="O684" s="4" t="str">
        <f ca="1">IF(OR(INDEX($AG$2:$AG$1001,MATCH(ROWS($AF$2:AF684),$AF$2:$AF$1001,0),1)&gt;=100000,INDEX($AM$1005:$BM$1005,1,MATCH(COLUMNS($AM$1006:AZ1006),$AM$1006:$BM$1006,0))&gt;=100000), " ",IF(INDEX($AM$2:$BM$1001,MATCH(ROWS($AF$2:AF684),$AF$2:$AF$1001,0),MATCH(COLUMNS($AM$1006:AZ1006),$AM$1006:$BM$1006,0)), HYPERLINK("#",""), HYPERLINK(CONCATENATE("#metadata!", ADDRESS(INDEX($AH$2:$AH$1001,MATCH(ROWS($AF$2:AF684),$AF$2:$AF$1001,0),0), INDEX($AM$1004:$BM$1004,1,MATCH(COLUMNS($AM$1006:AZ1006),$AM$1006:$BM$1006,0)))),"Fix")))</f>
        <v xml:space="preserve"> </v>
      </c>
      <c r="P684" s="4" t="str">
        <f ca="1">IF(OR(INDEX($AG$2:$AG$1001,MATCH(ROWS($AF$2:AF684),$AF$2:$AF$1001,0),1)&gt;=100000,INDEX($AM$1005:$BM$1005,1,MATCH(COLUMNS($AM$1006:BA1006),$AM$1006:$BM$1006,0))&gt;=100000), " ",IF(INDEX($AM$2:$BM$1001,MATCH(ROWS($AF$2:AF684),$AF$2:$AF$1001,0),MATCH(COLUMNS($AM$1006:BA1006),$AM$1006:$BM$1006,0)), HYPERLINK("#",""), HYPERLINK(CONCATENATE("#metadata!", ADDRESS(INDEX($AH$2:$AH$1001,MATCH(ROWS($AF$2:AF684),$AF$2:$AF$1001,0),0), INDEX($AM$1004:$BM$1004,1,MATCH(COLUMNS($AM$1006:BA1006),$AM$1006:$BM$1006,0)))),"Fix")))</f>
        <v xml:space="preserve"> </v>
      </c>
      <c r="Q684" s="4" t="str">
        <f ca="1">IF(OR(INDEX($AG$2:$AG$1001,MATCH(ROWS($AF$2:AF684),$AF$2:$AF$1001,0),1)&gt;=100000,INDEX($AM$1005:$BM$1005,1,MATCH(COLUMNS($AM$1006:BB1006),$AM$1006:$BM$1006,0))&gt;=100000), " ",IF(INDEX($AM$2:$BM$1001,MATCH(ROWS($AF$2:AF684),$AF$2:$AF$1001,0),MATCH(COLUMNS($AM$1006:BB1006),$AM$1006:$BM$1006,0)), HYPERLINK("#",""), HYPERLINK(CONCATENATE("#metadata!", ADDRESS(INDEX($AH$2:$AH$1001,MATCH(ROWS($AF$2:AF684),$AF$2:$AF$1001,0),0), INDEX($AM$1004:$BM$1004,1,MATCH(COLUMNS($AM$1006:BB1006),$AM$1006:$BM$1006,0)))),"Fix")))</f>
        <v xml:space="preserve"> </v>
      </c>
      <c r="R684" s="4" t="str">
        <f ca="1">IF(OR(INDEX($AG$2:$AG$1001,MATCH(ROWS($AF$2:AF684),$AF$2:$AF$1001,0),1)&gt;=100000,INDEX($AM$1005:$BM$1005,1,MATCH(COLUMNS($AM$1006:BC1006),$AM$1006:$BM$1006,0))&gt;=100000), " ",IF(INDEX($AM$2:$BM$1001,MATCH(ROWS($AF$2:AF684),$AF$2:$AF$1001,0),MATCH(COLUMNS($AM$1006:BC1006),$AM$1006:$BM$1006,0)), HYPERLINK("#",""), HYPERLINK(CONCATENATE("#metadata!", ADDRESS(INDEX($AH$2:$AH$1001,MATCH(ROWS($AF$2:AF684),$AF$2:$AF$1001,0),0), INDEX($AM$1004:$BM$1004,1,MATCH(COLUMNS($AM$1006:BC1006),$AM$1006:$BM$1006,0)))),"Fix")))</f>
        <v xml:space="preserve"> </v>
      </c>
      <c r="S684" s="4" t="str">
        <f ca="1">IF(OR(INDEX($AG$2:$AG$1001,MATCH(ROWS($AF$2:AF684),$AF$2:$AF$1001,0),1)&gt;=100000,INDEX($AM$1005:$BM$1005,1,MATCH(COLUMNS($AM$1006:BD1006),$AM$1006:$BM$1006,0))&gt;=100000), " ",IF(INDEX($AM$2:$BM$1001,MATCH(ROWS($AF$2:AF684),$AF$2:$AF$1001,0),MATCH(COLUMNS($AM$1006:BD1006),$AM$1006:$BM$1006,0)), HYPERLINK("#",""), HYPERLINK(CONCATENATE("#metadata!", ADDRESS(INDEX($AH$2:$AH$1001,MATCH(ROWS($AF$2:AF684),$AF$2:$AF$1001,0),0), INDEX($AM$1004:$BM$1004,1,MATCH(COLUMNS($AM$1006:BD1006),$AM$1006:$BM$1006,0)))),"Fix")))</f>
        <v xml:space="preserve"> </v>
      </c>
      <c r="T684" s="4" t="str">
        <f ca="1">IF(OR(INDEX($AG$2:$AG$1001,MATCH(ROWS($AF$2:AF684),$AF$2:$AF$1001,0),1)&gt;=100000,INDEX($AM$1005:$BM$1005,1,MATCH(COLUMNS($AM$1006:BE1006),$AM$1006:$BM$1006,0))&gt;=100000), " ",IF(INDEX($AM$2:$BM$1001,MATCH(ROWS($AF$2:AF684),$AF$2:$AF$1001,0),MATCH(COLUMNS($AM$1006:BE1006),$AM$1006:$BM$1006,0)), HYPERLINK("#",""), HYPERLINK(CONCATENATE("#metadata!", ADDRESS(INDEX($AH$2:$AH$1001,MATCH(ROWS($AF$2:AF684),$AF$2:$AF$1001,0),0), INDEX($AM$1004:$BM$1004,1,MATCH(COLUMNS($AM$1006:BE1006),$AM$1006:$BM$1006,0)))),"Fix")))</f>
        <v xml:space="preserve"> </v>
      </c>
      <c r="U684" s="4" t="str">
        <f ca="1">IF(OR(INDEX($AG$2:$AG$1001,MATCH(ROWS($AF$2:AF684),$AF$2:$AF$1001,0),1)&gt;=100000,INDEX($AM$1005:$BM$1005,1,MATCH(COLUMNS($AM$1006:BF1006),$AM$1006:$BM$1006,0))&gt;=100000), " ",IF(INDEX($AM$2:$BM$1001,MATCH(ROWS($AF$2:AF684),$AF$2:$AF$1001,0),MATCH(COLUMNS($AM$1006:BF1006),$AM$1006:$BM$1006,0)), HYPERLINK("#",""), HYPERLINK(CONCATENATE("#metadata!", ADDRESS(INDEX($AH$2:$AH$1001,MATCH(ROWS($AF$2:AF684),$AF$2:$AF$1001,0),0), INDEX($AM$1004:$BM$1004,1,MATCH(COLUMNS($AM$1006:BF1006),$AM$1006:$BM$1006,0)))),"Fix")))</f>
        <v xml:space="preserve"> </v>
      </c>
      <c r="V684" s="4" t="str">
        <f ca="1">IF(OR(INDEX($AG$2:$AG$1001,MATCH(ROWS($AF$2:AF684),$AF$2:$AF$1001,0),1)&gt;=100000,INDEX($AM$1005:$BM$1005,1,MATCH(COLUMNS($AM$1006:BG1006),$AM$1006:$BM$1006,0))&gt;=100000), " ",IF(INDEX($AM$2:$BM$1001,MATCH(ROWS($AF$2:AF684),$AF$2:$AF$1001,0),MATCH(COLUMNS($AM$1006:BG1006),$AM$1006:$BM$1006,0)), HYPERLINK("#",""), HYPERLINK(CONCATENATE("#metadata!", ADDRESS(INDEX($AH$2:$AH$1001,MATCH(ROWS($AF$2:AF684),$AF$2:$AF$1001,0),0), INDEX($AM$1004:$BM$1004,1,MATCH(COLUMNS($AM$1006:BG1006),$AM$1006:$BM$1006,0)))),"Fix")))</f>
        <v xml:space="preserve"> </v>
      </c>
      <c r="W684" s="4" t="str">
        <f ca="1">IF(OR(INDEX($AG$2:$AG$1001,MATCH(ROWS($AF$2:AF684),$AF$2:$AF$1001,0),1)&gt;=100000,INDEX($AM$1005:$BM$1005,1,MATCH(COLUMNS($AM$1006:BH1006),$AM$1006:$BM$1006,0))&gt;=100000), " ",IF(INDEX($AM$2:$BM$1001,MATCH(ROWS($AF$2:AF684),$AF$2:$AF$1001,0),MATCH(COLUMNS($AM$1006:BH1006),$AM$1006:$BM$1006,0)), HYPERLINK("#",""), HYPERLINK(CONCATENATE("#metadata!", ADDRESS(INDEX($AH$2:$AH$1001,MATCH(ROWS($AF$2:AF684),$AF$2:$AF$1001,0),0), INDEX($AM$1004:$BM$1004,1,MATCH(COLUMNS($AM$1006:BH1006),$AM$1006:$BM$1006,0)))),"Fix")))</f>
        <v xml:space="preserve"> </v>
      </c>
      <c r="X684" s="4" t="str">
        <f ca="1">IF(OR(INDEX($AG$2:$AG$1001,MATCH(ROWS($AF$2:AF684),$AF$2:$AF$1001,0),1)&gt;=100000,INDEX($AM$1005:$BM$1005,1,MATCH(COLUMNS($AM$1006:BI1006),$AM$1006:$BM$1006,0))&gt;=100000), " ",IF(INDEX($AM$2:$BM$1001,MATCH(ROWS($AF$2:AF684),$AF$2:$AF$1001,0),MATCH(COLUMNS($AM$1006:BI1006),$AM$1006:$BM$1006,0)), HYPERLINK("#",""), HYPERLINK(CONCATENATE("#metadata!", ADDRESS(INDEX($AH$2:$AH$1001,MATCH(ROWS($AF$2:AF684),$AF$2:$AF$1001,0),0), INDEX($AM$1004:$BM$1004,1,MATCH(COLUMNS($AM$1006:BI1006),$AM$1006:$BM$1006,0)))),"Fix")))</f>
        <v xml:space="preserve"> </v>
      </c>
      <c r="Y684" s="4" t="str">
        <f ca="1">IF(OR(INDEX($AG$2:$AG$1001,MATCH(ROWS($AF$2:AF684),$AF$2:$AF$1001,0),1)&gt;=100000,INDEX($AM$1005:$BM$1005,1,MATCH(COLUMNS($AM$1006:BJ1006),$AM$1006:$BM$1006,0))&gt;=100000), " ",IF(INDEX($AM$2:$BM$1001,MATCH(ROWS($AF$2:AF684),$AF$2:$AF$1001,0),MATCH(COLUMNS($AM$1006:BJ1006),$AM$1006:$BM$1006,0)), HYPERLINK("#",""), HYPERLINK(CONCATENATE("#metadata!", ADDRESS(INDEX($AH$2:$AH$1001,MATCH(ROWS($AF$2:AF684),$AF$2:$AF$1001,0),0), INDEX($AM$1004:$BM$1004,1,MATCH(COLUMNS($AM$1006:BJ1006),$AM$1006:$BM$1006,0)))),"Fix")))</f>
        <v xml:space="preserve"> </v>
      </c>
      <c r="Z684" s="4" t="str">
        <f ca="1">IF(OR(INDEX($AG$2:$AG$1001,MATCH(ROWS($AF$2:AF684),$AF$2:$AF$1001,0),1)&gt;=100000,INDEX($AM$1005:$BM$1005,1,MATCH(COLUMNS($AM$1006:BK1006),$AM$1006:$BM$1006,0))&gt;=100000), " ",IF(INDEX($AM$2:$BM$1001,MATCH(ROWS($AF$2:AF684),$AF$2:$AF$1001,0),MATCH(COLUMNS($AM$1006:BK1006),$AM$1006:$BM$1006,0)), HYPERLINK("#",""), HYPERLINK(CONCATENATE("#metadata!", ADDRESS(INDEX($AH$2:$AH$1001,MATCH(ROWS($AF$2:AF684),$AF$2:$AF$1001,0),0), INDEX($AM$1004:$BM$1004,1,MATCH(COLUMNS($AM$1006:BK1006),$AM$1006:$BM$1006,0)))),"Fix")))</f>
        <v xml:space="preserve"> </v>
      </c>
      <c r="AA684" s="4" t="str">
        <f ca="1">IF(OR(INDEX($AG$2:$AG$1001,MATCH(ROWS($AF$2:AF684),$AF$2:$AF$1001,0),1)&gt;=100000,INDEX($AM$1005:$BM$1005,1,MATCH(COLUMNS($AM$1006:BL1006),$AM$1006:$BM$1006,0))&gt;=100000), " ",IF(INDEX($AM$2:$BM$1001,MATCH(ROWS($AF$2:AF684),$AF$2:$AF$1001,0),MATCH(COLUMNS($AM$1006:BL1006),$AM$1006:$BM$1006,0)), HYPERLINK("#",""), HYPERLINK(CONCATENATE("#metadata!", ADDRESS(INDEX($AH$2:$AH$1001,MATCH(ROWS($AF$2:AF684),$AF$2:$AF$1001,0),0), INDEX($AM$1004:$BM$1004,1,MATCH(COLUMNS($AM$1006:BL1006),$AM$1006:$BM$1006,0)))),"Fix")))</f>
        <v xml:space="preserve"> </v>
      </c>
      <c r="AB684" s="4" t="str">
        <f ca="1">IF(OR(INDEX($AG$2:$AG$1001,MATCH(ROWS($AF$2:AF684),$AF$2:$AF$1001,0),1)&gt;=100000,INDEX($AM$1005:$BM$1005,1,MATCH(COLUMNS($AM$1006:BM1006),$AM$1006:$BM$1006,0))&gt;=100000), " ",IF(INDEX($AM$2:$BM$1001,MATCH(ROWS($AF$2:AF684),$AF$2:$AF$1001,0),MATCH(COLUMNS($AM$1006:BM1006),$AM$1006:$BM$1006,0)), HYPERLINK("#",""), HYPERLINK(CONCATENATE("#metadata!", ADDRESS(INDEX($AH$2:$AH$1001,MATCH(ROWS($AF$2:AF684),$AF$2:$AF$1001,0),0), INDEX($AM$1004:$BM$1004,1,MATCH(COLUMNS($AM$1006:BM1006),$AM$1006:$BM$1006,0)))),"Fix")))</f>
        <v xml:space="preserve"> </v>
      </c>
      <c r="AF684">
        <v>683</v>
      </c>
      <c r="AG684">
        <v>100684</v>
      </c>
      <c r="AH684">
        <v>684</v>
      </c>
      <c r="AI684" t="b">
        <f t="shared" si="10"/>
        <v>1</v>
      </c>
      <c r="AJ684" t="b">
        <f>COUNTBLANK(metadata!B684:AB684)=COLUMNS(metadata!B684:AB684)</f>
        <v>1</v>
      </c>
      <c r="AK684" t="str">
        <v/>
      </c>
      <c r="AM684" t="b">
        <f ca="1">AND(IF(metadata!B684="",FALSE,TRUE),COUNTIF(metadata!B:B, metadata!B684) = 1,NOT(ISERROR(SUMPRODUCT(SEARCH(MID(metadata!B684,ROW(INDIRECT("1:"&amp;LEN(metadata!B684))), 1),"0123456789abcdefghijklmnopqrstuvwxyzABCDEFGHIJKLMNOPQRSTUVWXYZ.")))))</f>
        <v>0</v>
      </c>
      <c r="AN684" t="b">
        <f ca="1">OR(AND(IF(metadata!C684="",FALSE,TRUE),OR(EXACT(metadata!C684,"missing: not collected"),EXACT(metadata!C684,"missing: not provided"),EXACT(metadata!C684,"missing: restricted access"))),AND(IF(metadata!C684="",FALSE,TRUE),AND(AND(IFERROR(INT(LEFT(metadata!C684,4))&gt;1900,FALSE),IFERROR(INT(LEFT(metadata!C684,4))&lt;=YEAR(NOW()),FALSE)), OR(MID(metadata!C684,5,1)="", AND(AND(MID(metadata!C684,5,1)="-",IFERROR(INT(MID(metadata!C684,6,1))&gt;=0,FALSE),IFERROR(INT(MID(metadata!C684,6,1))&lt;=1,FALSE),NOT(MID(metadata!C684,7,1)=""),IFERROR(INT(MID(metadata!C684,6,2))&gt;=1,FALSE),IFERROR(INT(MID(metadata!C684,6,2))&lt;=12,FALSE)), OR(MID(metadata!C684,8,1)="", AND(AND(MID(metadata!C684,8,1)="-",IFERROR(INT(MID(metadata!C684,9,1))&gt;=0,FALSE),IFERROR(INT(MID(metadata!C684,9,1))&lt;=3,FALSE),NOT(MID(metadata!C684,10,1)=""),IFERROR(INT(MID(metadata!C684,9,2))&gt;=1,FALSE),IFERROR(INT(MID(metadata!C684,9,2))&lt;=31,FALSE)), OR(MID(metadata!C684,11,1)="", AND(AND(MID(metadata!C684,11,1)=" ",IFERROR(INT(MID(metadata!C684,12,1))&gt;=0,FALSE),IFERROR(INT(MID(metadata!C684,12,1))&lt;=2,FALSE),NOT(MID(metadata!C684,13,1)=""),IFERROR(INT(MID(metadata!C684,12,2))&gt;=0,FALSE),IFERROR(INT(MID(metadata!C684,12,2))&lt;=23,FALSE)), OR(MID(metadata!C684,14,1)="", AND(AND(MID(metadata!C684,14,1)=":",IFERROR(INT(MID(metadata!C684,15,1))&gt;=0,FALSE),IFERROR(INT(MID(metadata!C684,15,1))&lt;=5,FALSE),NOT(MID(metadata!C684,16,1)=""),IFERROR(INT(MID(metadata!C684,15,2))&gt;=0,FALSE),IFERROR(INT(MID(metadata!C684,15,2))&lt;=59,FALSE)), OR(MID(metadata!C684,17,1)="", AND(AND(MID(metadata!C684,17,1)=":",IFERROR(INT(MID(metadata!C684,18,1))&gt;=0,FALSE),IFERROR(INT(MID(metadata!C684,18,1))&lt;=5,FALSE),NOT(MID(metadata!C684,19,1)=""),IFERROR(INT(MID(metadata!C684,18,2))&gt;=0,FALSE),IFERROR(INT(MID(metadata!C684,18,2))&lt;=59,FALSE)), LEN(metadata!C684)&lt;=19)))))))))))))</f>
        <v>0</v>
      </c>
      <c r="AO684" t="b">
        <f>AND(IF(metadata!D684="",FALSE,TRUE),EXACT(metadata!D684,"Not applicable"))</f>
        <v>0</v>
      </c>
      <c r="AP684" t="b">
        <f>IF(metadata!E684="",FALSE,TRUE)</f>
        <v>0</v>
      </c>
      <c r="AQ684" t="b">
        <f>OR(AND(IF(metadata!F684="",FALSE,TRUE),OR(EXACT(metadata!F684,"missing: not collected"),EXACT(metadata!F684,"missing: not provided"))),AND(IF(metadata!F684="",FALSE,TRUE),OR(EXACT(metadata!F684,"TRUE"),EXACT(metadata!F684,"FALSE"))))</f>
        <v>0</v>
      </c>
      <c r="AR684" t="b">
        <f>OR(AND(IF(metadata!G684="",FALSE,TRUE),OR(EXACT(metadata!G684,"missing: not collected"),EXACT(metadata!G684,"missing: not provided"),EXACT(metadata!G684,"missing: restricted access"))),AND(IF(metadata!G684="",FALSE,ISNUMBER(VALUE(metadata!G684))),metadata!G684&gt;=-413))</f>
        <v>0</v>
      </c>
      <c r="AS684" t="b">
        <f>AND(IF(metadata!H684="",FALSE,TRUE),EXACT(metadata!H684,"meters"))</f>
        <v>0</v>
      </c>
      <c r="AT684" t="b">
        <f>AND(IF(metadata!I684="",FALSE,TRUE),OR(EXACT(metadata!I684,"Host-associated"),EXACT(metadata!I684,"Free-living")))</f>
        <v>0</v>
      </c>
      <c r="AU684" t="b">
        <f>AND(IF(metadata!J684="",FALSE,TRUE),OR(EXACT(metadata!J684,"Animal"),EXACT(metadata!J684,"Fungus"),EXACT(metadata!J684,"Plant"),EXACT(metadata!J684,"Saline"),EXACT(metadata!J684,"Non-saline")))</f>
        <v>0</v>
      </c>
      <c r="AV684" t="b">
        <f>AND(IF(metadata!K684="",FALSE,TRUE),OR(EXACT(metadata!K684,"Plant secretion"),EXACT(metadata!K684,"Plant rhizosphere"),EXACT(metadata!K684,"Plant surface"),EXACT(metadata!K684,"Plant corpus"),EXACT(metadata!K684,"Fungus surface"),EXACT(metadata!K684,"Fungus corpus"),EXACT(metadata!K684,"Animal surface"),EXACT(metadata!K684,"Animal proximal gut"),EXACT(metadata!K684,"Animal corpus"),EXACT(metadata!K684,"Animal distal gut"),EXACT(metadata!K684,"Animal secretion"),EXACT(metadata!K684,"Sub-surface (non-saline)"),EXACT(metadata!K684,"Surface (non-saline)"),EXACT(metadata!K684,"Water (non-saline)"),EXACT(metadata!K684,"Soil (non-saline)"),EXACT(metadata!K684,"Aerosol (non-saline)"),EXACT(metadata!K684,"Sediment (non-saline)"),EXACT(metadata!K684,"Surface (saline)"),EXACT(metadata!K684,"Water (saline)"),EXACT(metadata!K684,"Hypersaline (saline)"),EXACT(metadata!K684,"Aerosol (saline)"),EXACT(metadata!K684,"Sediment (saline)")))</f>
        <v>0</v>
      </c>
      <c r="AW684" t="b">
        <f>IF(metadata!L684="",FALSE,TRUE)</f>
        <v>0</v>
      </c>
      <c r="AX684" t="b">
        <f>IF(metadata!M684="",FALSE,TRUE)</f>
        <v>0</v>
      </c>
      <c r="AY684" t="b">
        <f>IF(metadata!N684="",FALSE,TRUE)</f>
        <v>0</v>
      </c>
      <c r="AZ684" t="b">
        <f>OR(AND(IF(metadata!O684="",FALSE,TRUE),OR(EXACT(metadata!O684,"missing: not collected"),EXACT(metadata!O684,"missing: not provided"),EXACT(metadata!O684,"missing: restricted access"))),AND(IF(metadata!O684="",FALSE,TRUE),OR(EXACT(metadata!O684,"air"),EXACT(metadata!O684,"built environment"),EXACT(metadata!O684,"host-associated"),EXACT(metadata!O684,"human-associated"),EXACT(metadata!O684,"human-skin"),EXACT(metadata!O684,"human-oral"),EXACT(metadata!O684,"human-gut"),EXACT(metadata!O684,"human-vaginal"),EXACT(metadata!O684,"microbial mat/biofilm"),EXACT(metadata!O684,"misc environment"),EXACT(metadata!O684,"plant-associated"),EXACT(metadata!O684,"sediment"),EXACT(metadata!O684,"soil"),EXACT(metadata!O684,"wastewater/sludge"),EXACT(metadata!O684,"water"))))</f>
        <v>0</v>
      </c>
      <c r="BA684" t="b">
        <f>IF(metadata!P684="",FALSE,TRUE)</f>
        <v>0</v>
      </c>
      <c r="BB684" t="b">
        <f>IF(metadata!Q684="",FALSE,TRUE)</f>
        <v>0</v>
      </c>
      <c r="BC684" t="b">
        <f>OR(AND(IF(metadata!R684="",FALSE,TRUE),OR(EXACT(metadata!R684,"missing: not collected"),EXACT(metadata!R684,"missing: not provided"),EXACT(metadata!R684,"missing: restricted access"))),AND(IF(metadata!R684="",FALSE,ISNUMBER(VALUE(metadata!R684))),metadata!R684&gt;=-90,metadata!R684&lt;=90))</f>
        <v>0</v>
      </c>
      <c r="BD684" t="b">
        <f>AND(IF(metadata!S684="",FALSE,TRUE),EXACT(metadata!S684,"Decimal degrees"))</f>
        <v>0</v>
      </c>
      <c r="BE684" t="b">
        <f>OR(AND(IF(metadata!T684="",FALSE,TRUE),OR(EXACT(metadata!T684,"missing: not collected"),EXACT(metadata!T684,"missing: not provided"),EXACT(metadata!T684,"missing: restricted access"))),AND(IF(metadata!T684="",FALSE,ISNUMBER(VALUE(metadata!T684))),metadata!T684&gt;=-180,metadata!T684&lt;=180))</f>
        <v>0</v>
      </c>
      <c r="BF684" t="b">
        <f>AND(IF(metadata!U684="",FALSE,TRUE),EXACT(metadata!U684,"Decimal degrees"))</f>
        <v>0</v>
      </c>
      <c r="BG684" t="b">
        <f>IF(metadata!V684="",FALSE,TRUE)</f>
        <v>0</v>
      </c>
      <c r="BH684" t="b">
        <f>OR(AND(IF(metadata!W684="",FALSE,TRUE),OR(EXACT(metadata!W684,"missing: not collected"),EXACT(metadata!W684,"missing: not provided"),EXACT(metadata!W684,"missing: restricted access"))),AND(IF(metadata!W684="",FALSE,TRUE),OR(EXACT(metadata!W684,"TRUE"),EXACT(metadata!W684,"FALSE"))))</f>
        <v>0</v>
      </c>
      <c r="BI684" t="b">
        <f>AND(IF(metadata!X684="",FALSE,TRUE),EXACT(metadata!X684,"other"))</f>
        <v>0</v>
      </c>
      <c r="BJ684" t="b">
        <f>IF(metadata!Y684="",FALSE,TRUE)</f>
        <v>0</v>
      </c>
      <c r="BK684" t="b">
        <f>OR(AND(IF(metadata!Z684="",FALSE,TRUE),OR(EXACT(metadata!Z684,"missing: not collected"),EXACT(metadata!Z684,"missing: not provided"))),AND(IF(metadata!Z684="",FALSE,IF(ISERROR(INT(metadata!Z684)),FALSE,INT(metadata!Z684)=metadata!Z684)),metadata!Z684&gt;0))</f>
        <v>0</v>
      </c>
      <c r="BL684" t="b">
        <f>AND(IF(metadata!AA684="",FALSE,TRUE),EXACT(metadata!AA684,"Not applicable"))</f>
        <v>0</v>
      </c>
      <c r="BM684" t="b">
        <f>IF(metadata!AB684="",FALSE,TRUE)</f>
        <v>0</v>
      </c>
    </row>
    <row r="685" spans="1:65" x14ac:dyDescent="0.2">
      <c r="A685" s="5" t="str">
        <f ca="1">IF(B685=" "," ",HYPERLINK(CONCATENATE("#metadata!",ADDRESS(INDEX($AH$2:$AH$1001,MATCH(ROWS($AF$2:AF685),$AF$2:$AF$1001,0),0),1)),INDEX($AK$2:$AK$1001,MATCH(ROWS($AF$2:AF685),$AF$2:$AF$1001,0),0)))</f>
        <v xml:space="preserve"> </v>
      </c>
      <c r="B685" s="4" t="str">
        <f ca="1">IF(OR(INDEX($AG$2:$AG$1001,MATCH(ROWS($AF$2:AF685),$AF$2:$AF$1001,0),1)&gt;=100000,INDEX($AM$1005:$BM$1005,1,MATCH(COLUMNS($AM$1006:AM1006),$AM$1006:$BM$1006,0))&gt;=100000), " ",IF(INDEX($AM$2:$BM$1001,MATCH(ROWS($AF$2:AF685),$AF$2:$AF$1001,0),MATCH(COLUMNS($AM$1006:AM1006),$AM$1006:$BM$1006,0)), HYPERLINK("#",""), HYPERLINK(CONCATENATE("#metadata!", ADDRESS(INDEX($AH$2:$AH$1001,MATCH(ROWS($AF$2:AF685),$AF$2:$AF$1001,0),0), INDEX($AM$1004:$BM$1004,1,MATCH(COLUMNS($AM$1006:AM1006),$AM$1006:$BM$1006,0)))),"Fix")))</f>
        <v xml:space="preserve"> </v>
      </c>
      <c r="C685" s="4" t="str">
        <f ca="1">IF(OR(INDEX($AG$2:$AG$1001,MATCH(ROWS($AF$2:AF685),$AF$2:$AF$1001,0),1)&gt;=100000,INDEX($AM$1005:$BM$1005,1,MATCH(COLUMNS($AM$1006:AN1006),$AM$1006:$BM$1006,0))&gt;=100000), " ",IF(INDEX($AM$2:$BM$1001,MATCH(ROWS($AF$2:AF685),$AF$2:$AF$1001,0),MATCH(COLUMNS($AM$1006:AN1006),$AM$1006:$BM$1006,0)), HYPERLINK("#",""), HYPERLINK(CONCATENATE("#metadata!", ADDRESS(INDEX($AH$2:$AH$1001,MATCH(ROWS($AF$2:AF685),$AF$2:$AF$1001,0),0), INDEX($AM$1004:$BM$1004,1,MATCH(COLUMNS($AM$1006:AN1006),$AM$1006:$BM$1006,0)))),"Fix")))</f>
        <v xml:space="preserve"> </v>
      </c>
      <c r="D685" s="4" t="str">
        <f ca="1">IF(OR(INDEX($AG$2:$AG$1001,MATCH(ROWS($AF$2:AF685),$AF$2:$AF$1001,0),1)&gt;=100000,INDEX($AM$1005:$BM$1005,1,MATCH(COLUMNS($AM$1006:AO1006),$AM$1006:$BM$1006,0))&gt;=100000), " ",IF(INDEX($AM$2:$BM$1001,MATCH(ROWS($AF$2:AF685),$AF$2:$AF$1001,0),MATCH(COLUMNS($AM$1006:AO1006),$AM$1006:$BM$1006,0)), HYPERLINK("#",""), HYPERLINK(CONCATENATE("#metadata!", ADDRESS(INDEX($AH$2:$AH$1001,MATCH(ROWS($AF$2:AF685),$AF$2:$AF$1001,0),0), INDEX($AM$1004:$BM$1004,1,MATCH(COLUMNS($AM$1006:AO1006),$AM$1006:$BM$1006,0)))),"Fix")))</f>
        <v xml:space="preserve"> </v>
      </c>
      <c r="E685" s="4" t="str">
        <f ca="1">IF(OR(INDEX($AG$2:$AG$1001,MATCH(ROWS($AF$2:AF685),$AF$2:$AF$1001,0),1)&gt;=100000,INDEX($AM$1005:$BM$1005,1,MATCH(COLUMNS($AM$1006:AP1006),$AM$1006:$BM$1006,0))&gt;=100000), " ",IF(INDEX($AM$2:$BM$1001,MATCH(ROWS($AF$2:AF685),$AF$2:$AF$1001,0),MATCH(COLUMNS($AM$1006:AP1006),$AM$1006:$BM$1006,0)), HYPERLINK("#",""), HYPERLINK(CONCATENATE("#metadata!", ADDRESS(INDEX($AH$2:$AH$1001,MATCH(ROWS($AF$2:AF685),$AF$2:$AF$1001,0),0), INDEX($AM$1004:$BM$1004,1,MATCH(COLUMNS($AM$1006:AP1006),$AM$1006:$BM$1006,0)))),"Fix")))</f>
        <v xml:space="preserve"> </v>
      </c>
      <c r="F685" s="4" t="str">
        <f ca="1">IF(OR(INDEX($AG$2:$AG$1001,MATCH(ROWS($AF$2:AF685),$AF$2:$AF$1001,0),1)&gt;=100000,INDEX($AM$1005:$BM$1005,1,MATCH(COLUMNS($AM$1006:AQ1006),$AM$1006:$BM$1006,0))&gt;=100000), " ",IF(INDEX($AM$2:$BM$1001,MATCH(ROWS($AF$2:AF685),$AF$2:$AF$1001,0),MATCH(COLUMNS($AM$1006:AQ1006),$AM$1006:$BM$1006,0)), HYPERLINK("#",""), HYPERLINK(CONCATENATE("#metadata!", ADDRESS(INDEX($AH$2:$AH$1001,MATCH(ROWS($AF$2:AF685),$AF$2:$AF$1001,0),0), INDEX($AM$1004:$BM$1004,1,MATCH(COLUMNS($AM$1006:AQ1006),$AM$1006:$BM$1006,0)))),"Fix")))</f>
        <v xml:space="preserve"> </v>
      </c>
      <c r="G685" s="4" t="str">
        <f ca="1">IF(OR(INDEX($AG$2:$AG$1001,MATCH(ROWS($AF$2:AF685),$AF$2:$AF$1001,0),1)&gt;=100000,INDEX($AM$1005:$BM$1005,1,MATCH(COLUMNS($AM$1006:AR1006),$AM$1006:$BM$1006,0))&gt;=100000), " ",IF(INDEX($AM$2:$BM$1001,MATCH(ROWS($AF$2:AF685),$AF$2:$AF$1001,0),MATCH(COLUMNS($AM$1006:AR1006),$AM$1006:$BM$1006,0)), HYPERLINK("#",""), HYPERLINK(CONCATENATE("#metadata!", ADDRESS(INDEX($AH$2:$AH$1001,MATCH(ROWS($AF$2:AF685),$AF$2:$AF$1001,0),0), INDEX($AM$1004:$BM$1004,1,MATCH(COLUMNS($AM$1006:AR1006),$AM$1006:$BM$1006,0)))),"Fix")))</f>
        <v xml:space="preserve"> </v>
      </c>
      <c r="H685" s="4" t="str">
        <f ca="1">IF(OR(INDEX($AG$2:$AG$1001,MATCH(ROWS($AF$2:AF685),$AF$2:$AF$1001,0),1)&gt;=100000,INDEX($AM$1005:$BM$1005,1,MATCH(COLUMNS($AM$1006:AS1006),$AM$1006:$BM$1006,0))&gt;=100000), " ",IF(INDEX($AM$2:$BM$1001,MATCH(ROWS($AF$2:AF685),$AF$2:$AF$1001,0),MATCH(COLUMNS($AM$1006:AS1006),$AM$1006:$BM$1006,0)), HYPERLINK("#",""), HYPERLINK(CONCATENATE("#metadata!", ADDRESS(INDEX($AH$2:$AH$1001,MATCH(ROWS($AF$2:AF685),$AF$2:$AF$1001,0),0), INDEX($AM$1004:$BM$1004,1,MATCH(COLUMNS($AM$1006:AS1006),$AM$1006:$BM$1006,0)))),"Fix")))</f>
        <v xml:space="preserve"> </v>
      </c>
      <c r="I685" s="4" t="str">
        <f ca="1">IF(OR(INDEX($AG$2:$AG$1001,MATCH(ROWS($AF$2:AF685),$AF$2:$AF$1001,0),1)&gt;=100000,INDEX($AM$1005:$BM$1005,1,MATCH(COLUMNS($AM$1006:AT1006),$AM$1006:$BM$1006,0))&gt;=100000), " ",IF(INDEX($AM$2:$BM$1001,MATCH(ROWS($AF$2:AF685),$AF$2:$AF$1001,0),MATCH(COLUMNS($AM$1006:AT1006),$AM$1006:$BM$1006,0)), HYPERLINK("#",""), HYPERLINK(CONCATENATE("#metadata!", ADDRESS(INDEX($AH$2:$AH$1001,MATCH(ROWS($AF$2:AF685),$AF$2:$AF$1001,0),0), INDEX($AM$1004:$BM$1004,1,MATCH(COLUMNS($AM$1006:AT1006),$AM$1006:$BM$1006,0)))),"Fix")))</f>
        <v xml:space="preserve"> </v>
      </c>
      <c r="J685" s="4" t="str">
        <f ca="1">IF(OR(INDEX($AG$2:$AG$1001,MATCH(ROWS($AF$2:AF685),$AF$2:$AF$1001,0),1)&gt;=100000,INDEX($AM$1005:$BM$1005,1,MATCH(COLUMNS($AM$1006:AU1006),$AM$1006:$BM$1006,0))&gt;=100000), " ",IF(INDEX($AM$2:$BM$1001,MATCH(ROWS($AF$2:AF685),$AF$2:$AF$1001,0),MATCH(COLUMNS($AM$1006:AU1006),$AM$1006:$BM$1006,0)), HYPERLINK("#",""), HYPERLINK(CONCATENATE("#metadata!", ADDRESS(INDEX($AH$2:$AH$1001,MATCH(ROWS($AF$2:AF685),$AF$2:$AF$1001,0),0), INDEX($AM$1004:$BM$1004,1,MATCH(COLUMNS($AM$1006:AU1006),$AM$1006:$BM$1006,0)))),"Fix")))</f>
        <v xml:space="preserve"> </v>
      </c>
      <c r="K685" s="4" t="str">
        <f ca="1">IF(OR(INDEX($AG$2:$AG$1001,MATCH(ROWS($AF$2:AF685),$AF$2:$AF$1001,0),1)&gt;=100000,INDEX($AM$1005:$BM$1005,1,MATCH(COLUMNS($AM$1006:AV1006),$AM$1006:$BM$1006,0))&gt;=100000), " ",IF(INDEX($AM$2:$BM$1001,MATCH(ROWS($AF$2:AF685),$AF$2:$AF$1001,0),MATCH(COLUMNS($AM$1006:AV1006),$AM$1006:$BM$1006,0)), HYPERLINK("#",""), HYPERLINK(CONCATENATE("#metadata!", ADDRESS(INDEX($AH$2:$AH$1001,MATCH(ROWS($AF$2:AF685),$AF$2:$AF$1001,0),0), INDEX($AM$1004:$BM$1004,1,MATCH(COLUMNS($AM$1006:AV1006),$AM$1006:$BM$1006,0)))),"Fix")))</f>
        <v xml:space="preserve"> </v>
      </c>
      <c r="L685" s="4" t="str">
        <f ca="1">IF(OR(INDEX($AG$2:$AG$1001,MATCH(ROWS($AF$2:AF685),$AF$2:$AF$1001,0),1)&gt;=100000,INDEX($AM$1005:$BM$1005,1,MATCH(COLUMNS($AM$1006:AW1006),$AM$1006:$BM$1006,0))&gt;=100000), " ",IF(INDEX($AM$2:$BM$1001,MATCH(ROWS($AF$2:AF685),$AF$2:$AF$1001,0),MATCH(COLUMNS($AM$1006:AW1006),$AM$1006:$BM$1006,0)), HYPERLINK("#",""), HYPERLINK(CONCATENATE("#metadata!", ADDRESS(INDEX($AH$2:$AH$1001,MATCH(ROWS($AF$2:AF685),$AF$2:$AF$1001,0),0), INDEX($AM$1004:$BM$1004,1,MATCH(COLUMNS($AM$1006:AW1006),$AM$1006:$BM$1006,0)))),"Fix")))</f>
        <v xml:space="preserve"> </v>
      </c>
      <c r="M685" s="4" t="str">
        <f ca="1">IF(OR(INDEX($AG$2:$AG$1001,MATCH(ROWS($AF$2:AF685),$AF$2:$AF$1001,0),1)&gt;=100000,INDEX($AM$1005:$BM$1005,1,MATCH(COLUMNS($AM$1006:AX1006),$AM$1006:$BM$1006,0))&gt;=100000), " ",IF(INDEX($AM$2:$BM$1001,MATCH(ROWS($AF$2:AF685),$AF$2:$AF$1001,0),MATCH(COLUMNS($AM$1006:AX1006),$AM$1006:$BM$1006,0)), HYPERLINK("#",""), HYPERLINK(CONCATENATE("#metadata!", ADDRESS(INDEX($AH$2:$AH$1001,MATCH(ROWS($AF$2:AF685),$AF$2:$AF$1001,0),0), INDEX($AM$1004:$BM$1004,1,MATCH(COLUMNS($AM$1006:AX1006),$AM$1006:$BM$1006,0)))),"Fix")))</f>
        <v xml:space="preserve"> </v>
      </c>
      <c r="N685" s="4" t="str">
        <f ca="1">IF(OR(INDEX($AG$2:$AG$1001,MATCH(ROWS($AF$2:AF685),$AF$2:$AF$1001,0),1)&gt;=100000,INDEX($AM$1005:$BM$1005,1,MATCH(COLUMNS($AM$1006:AY1006),$AM$1006:$BM$1006,0))&gt;=100000), " ",IF(INDEX($AM$2:$BM$1001,MATCH(ROWS($AF$2:AF685),$AF$2:$AF$1001,0),MATCH(COLUMNS($AM$1006:AY1006),$AM$1006:$BM$1006,0)), HYPERLINK("#",""), HYPERLINK(CONCATENATE("#metadata!", ADDRESS(INDEX($AH$2:$AH$1001,MATCH(ROWS($AF$2:AF685),$AF$2:$AF$1001,0),0), INDEX($AM$1004:$BM$1004,1,MATCH(COLUMNS($AM$1006:AY1006),$AM$1006:$BM$1006,0)))),"Fix")))</f>
        <v xml:space="preserve"> </v>
      </c>
      <c r="O685" s="4" t="str">
        <f ca="1">IF(OR(INDEX($AG$2:$AG$1001,MATCH(ROWS($AF$2:AF685),$AF$2:$AF$1001,0),1)&gt;=100000,INDEX($AM$1005:$BM$1005,1,MATCH(COLUMNS($AM$1006:AZ1006),$AM$1006:$BM$1006,0))&gt;=100000), " ",IF(INDEX($AM$2:$BM$1001,MATCH(ROWS($AF$2:AF685),$AF$2:$AF$1001,0),MATCH(COLUMNS($AM$1006:AZ1006),$AM$1006:$BM$1006,0)), HYPERLINK("#",""), HYPERLINK(CONCATENATE("#metadata!", ADDRESS(INDEX($AH$2:$AH$1001,MATCH(ROWS($AF$2:AF685),$AF$2:$AF$1001,0),0), INDEX($AM$1004:$BM$1004,1,MATCH(COLUMNS($AM$1006:AZ1006),$AM$1006:$BM$1006,0)))),"Fix")))</f>
        <v xml:space="preserve"> </v>
      </c>
      <c r="P685" s="4" t="str">
        <f ca="1">IF(OR(INDEX($AG$2:$AG$1001,MATCH(ROWS($AF$2:AF685),$AF$2:$AF$1001,0),1)&gt;=100000,INDEX($AM$1005:$BM$1005,1,MATCH(COLUMNS($AM$1006:BA1006),$AM$1006:$BM$1006,0))&gt;=100000), " ",IF(INDEX($AM$2:$BM$1001,MATCH(ROWS($AF$2:AF685),$AF$2:$AF$1001,0),MATCH(COLUMNS($AM$1006:BA1006),$AM$1006:$BM$1006,0)), HYPERLINK("#",""), HYPERLINK(CONCATENATE("#metadata!", ADDRESS(INDEX($AH$2:$AH$1001,MATCH(ROWS($AF$2:AF685),$AF$2:$AF$1001,0),0), INDEX($AM$1004:$BM$1004,1,MATCH(COLUMNS($AM$1006:BA1006),$AM$1006:$BM$1006,0)))),"Fix")))</f>
        <v xml:space="preserve"> </v>
      </c>
      <c r="Q685" s="4" t="str">
        <f ca="1">IF(OR(INDEX($AG$2:$AG$1001,MATCH(ROWS($AF$2:AF685),$AF$2:$AF$1001,0),1)&gt;=100000,INDEX($AM$1005:$BM$1005,1,MATCH(COLUMNS($AM$1006:BB1006),$AM$1006:$BM$1006,0))&gt;=100000), " ",IF(INDEX($AM$2:$BM$1001,MATCH(ROWS($AF$2:AF685),$AF$2:$AF$1001,0),MATCH(COLUMNS($AM$1006:BB1006),$AM$1006:$BM$1006,0)), HYPERLINK("#",""), HYPERLINK(CONCATENATE("#metadata!", ADDRESS(INDEX($AH$2:$AH$1001,MATCH(ROWS($AF$2:AF685),$AF$2:$AF$1001,0),0), INDEX($AM$1004:$BM$1004,1,MATCH(COLUMNS($AM$1006:BB1006),$AM$1006:$BM$1006,0)))),"Fix")))</f>
        <v xml:space="preserve"> </v>
      </c>
      <c r="R685" s="4" t="str">
        <f ca="1">IF(OR(INDEX($AG$2:$AG$1001,MATCH(ROWS($AF$2:AF685),$AF$2:$AF$1001,0),1)&gt;=100000,INDEX($AM$1005:$BM$1005,1,MATCH(COLUMNS($AM$1006:BC1006),$AM$1006:$BM$1006,0))&gt;=100000), " ",IF(INDEX($AM$2:$BM$1001,MATCH(ROWS($AF$2:AF685),$AF$2:$AF$1001,0),MATCH(COLUMNS($AM$1006:BC1006),$AM$1006:$BM$1006,0)), HYPERLINK("#",""), HYPERLINK(CONCATENATE("#metadata!", ADDRESS(INDEX($AH$2:$AH$1001,MATCH(ROWS($AF$2:AF685),$AF$2:$AF$1001,0),0), INDEX($AM$1004:$BM$1004,1,MATCH(COLUMNS($AM$1006:BC1006),$AM$1006:$BM$1006,0)))),"Fix")))</f>
        <v xml:space="preserve"> </v>
      </c>
      <c r="S685" s="4" t="str">
        <f ca="1">IF(OR(INDEX($AG$2:$AG$1001,MATCH(ROWS($AF$2:AF685),$AF$2:$AF$1001,0),1)&gt;=100000,INDEX($AM$1005:$BM$1005,1,MATCH(COLUMNS($AM$1006:BD1006),$AM$1006:$BM$1006,0))&gt;=100000), " ",IF(INDEX($AM$2:$BM$1001,MATCH(ROWS($AF$2:AF685),$AF$2:$AF$1001,0),MATCH(COLUMNS($AM$1006:BD1006),$AM$1006:$BM$1006,0)), HYPERLINK("#",""), HYPERLINK(CONCATENATE("#metadata!", ADDRESS(INDEX($AH$2:$AH$1001,MATCH(ROWS($AF$2:AF685),$AF$2:$AF$1001,0),0), INDEX($AM$1004:$BM$1004,1,MATCH(COLUMNS($AM$1006:BD1006),$AM$1006:$BM$1006,0)))),"Fix")))</f>
        <v xml:space="preserve"> </v>
      </c>
      <c r="T685" s="4" t="str">
        <f ca="1">IF(OR(INDEX($AG$2:$AG$1001,MATCH(ROWS($AF$2:AF685),$AF$2:$AF$1001,0),1)&gt;=100000,INDEX($AM$1005:$BM$1005,1,MATCH(COLUMNS($AM$1006:BE1006),$AM$1006:$BM$1006,0))&gt;=100000), " ",IF(INDEX($AM$2:$BM$1001,MATCH(ROWS($AF$2:AF685),$AF$2:$AF$1001,0),MATCH(COLUMNS($AM$1006:BE1006),$AM$1006:$BM$1006,0)), HYPERLINK("#",""), HYPERLINK(CONCATENATE("#metadata!", ADDRESS(INDEX($AH$2:$AH$1001,MATCH(ROWS($AF$2:AF685),$AF$2:$AF$1001,0),0), INDEX($AM$1004:$BM$1004,1,MATCH(COLUMNS($AM$1006:BE1006),$AM$1006:$BM$1006,0)))),"Fix")))</f>
        <v xml:space="preserve"> </v>
      </c>
      <c r="U685" s="4" t="str">
        <f ca="1">IF(OR(INDEX($AG$2:$AG$1001,MATCH(ROWS($AF$2:AF685),$AF$2:$AF$1001,0),1)&gt;=100000,INDEX($AM$1005:$BM$1005,1,MATCH(COLUMNS($AM$1006:BF1006),$AM$1006:$BM$1006,0))&gt;=100000), " ",IF(INDEX($AM$2:$BM$1001,MATCH(ROWS($AF$2:AF685),$AF$2:$AF$1001,0),MATCH(COLUMNS($AM$1006:BF1006),$AM$1006:$BM$1006,0)), HYPERLINK("#",""), HYPERLINK(CONCATENATE("#metadata!", ADDRESS(INDEX($AH$2:$AH$1001,MATCH(ROWS($AF$2:AF685),$AF$2:$AF$1001,0),0), INDEX($AM$1004:$BM$1004,1,MATCH(COLUMNS($AM$1006:BF1006),$AM$1006:$BM$1006,0)))),"Fix")))</f>
        <v xml:space="preserve"> </v>
      </c>
      <c r="V685" s="4" t="str">
        <f ca="1">IF(OR(INDEX($AG$2:$AG$1001,MATCH(ROWS($AF$2:AF685),$AF$2:$AF$1001,0),1)&gt;=100000,INDEX($AM$1005:$BM$1005,1,MATCH(COLUMNS($AM$1006:BG1006),$AM$1006:$BM$1006,0))&gt;=100000), " ",IF(INDEX($AM$2:$BM$1001,MATCH(ROWS($AF$2:AF685),$AF$2:$AF$1001,0),MATCH(COLUMNS($AM$1006:BG1006),$AM$1006:$BM$1006,0)), HYPERLINK("#",""), HYPERLINK(CONCATENATE("#metadata!", ADDRESS(INDEX($AH$2:$AH$1001,MATCH(ROWS($AF$2:AF685),$AF$2:$AF$1001,0),0), INDEX($AM$1004:$BM$1004,1,MATCH(COLUMNS($AM$1006:BG1006),$AM$1006:$BM$1006,0)))),"Fix")))</f>
        <v xml:space="preserve"> </v>
      </c>
      <c r="W685" s="4" t="str">
        <f ca="1">IF(OR(INDEX($AG$2:$AG$1001,MATCH(ROWS($AF$2:AF685),$AF$2:$AF$1001,0),1)&gt;=100000,INDEX($AM$1005:$BM$1005,1,MATCH(COLUMNS($AM$1006:BH1006),$AM$1006:$BM$1006,0))&gt;=100000), " ",IF(INDEX($AM$2:$BM$1001,MATCH(ROWS($AF$2:AF685),$AF$2:$AF$1001,0),MATCH(COLUMNS($AM$1006:BH1006),$AM$1006:$BM$1006,0)), HYPERLINK("#",""), HYPERLINK(CONCATENATE("#metadata!", ADDRESS(INDEX($AH$2:$AH$1001,MATCH(ROWS($AF$2:AF685),$AF$2:$AF$1001,0),0), INDEX($AM$1004:$BM$1004,1,MATCH(COLUMNS($AM$1006:BH1006),$AM$1006:$BM$1006,0)))),"Fix")))</f>
        <v xml:space="preserve"> </v>
      </c>
      <c r="X685" s="4" t="str">
        <f ca="1">IF(OR(INDEX($AG$2:$AG$1001,MATCH(ROWS($AF$2:AF685),$AF$2:$AF$1001,0),1)&gt;=100000,INDEX($AM$1005:$BM$1005,1,MATCH(COLUMNS($AM$1006:BI1006),$AM$1006:$BM$1006,0))&gt;=100000), " ",IF(INDEX($AM$2:$BM$1001,MATCH(ROWS($AF$2:AF685),$AF$2:$AF$1001,0),MATCH(COLUMNS($AM$1006:BI1006),$AM$1006:$BM$1006,0)), HYPERLINK("#",""), HYPERLINK(CONCATENATE("#metadata!", ADDRESS(INDEX($AH$2:$AH$1001,MATCH(ROWS($AF$2:AF685),$AF$2:$AF$1001,0),0), INDEX($AM$1004:$BM$1004,1,MATCH(COLUMNS($AM$1006:BI1006),$AM$1006:$BM$1006,0)))),"Fix")))</f>
        <v xml:space="preserve"> </v>
      </c>
      <c r="Y685" s="4" t="str">
        <f ca="1">IF(OR(INDEX($AG$2:$AG$1001,MATCH(ROWS($AF$2:AF685),$AF$2:$AF$1001,0),1)&gt;=100000,INDEX($AM$1005:$BM$1005,1,MATCH(COLUMNS($AM$1006:BJ1006),$AM$1006:$BM$1006,0))&gt;=100000), " ",IF(INDEX($AM$2:$BM$1001,MATCH(ROWS($AF$2:AF685),$AF$2:$AF$1001,0),MATCH(COLUMNS($AM$1006:BJ1006),$AM$1006:$BM$1006,0)), HYPERLINK("#",""), HYPERLINK(CONCATENATE("#metadata!", ADDRESS(INDEX($AH$2:$AH$1001,MATCH(ROWS($AF$2:AF685),$AF$2:$AF$1001,0),0), INDEX($AM$1004:$BM$1004,1,MATCH(COLUMNS($AM$1006:BJ1006),$AM$1006:$BM$1006,0)))),"Fix")))</f>
        <v xml:space="preserve"> </v>
      </c>
      <c r="Z685" s="4" t="str">
        <f ca="1">IF(OR(INDEX($AG$2:$AG$1001,MATCH(ROWS($AF$2:AF685),$AF$2:$AF$1001,0),1)&gt;=100000,INDEX($AM$1005:$BM$1005,1,MATCH(COLUMNS($AM$1006:BK1006),$AM$1006:$BM$1006,0))&gt;=100000), " ",IF(INDEX($AM$2:$BM$1001,MATCH(ROWS($AF$2:AF685),$AF$2:$AF$1001,0),MATCH(COLUMNS($AM$1006:BK1006),$AM$1006:$BM$1006,0)), HYPERLINK("#",""), HYPERLINK(CONCATENATE("#metadata!", ADDRESS(INDEX($AH$2:$AH$1001,MATCH(ROWS($AF$2:AF685),$AF$2:$AF$1001,0),0), INDEX($AM$1004:$BM$1004,1,MATCH(COLUMNS($AM$1006:BK1006),$AM$1006:$BM$1006,0)))),"Fix")))</f>
        <v xml:space="preserve"> </v>
      </c>
      <c r="AA685" s="4" t="str">
        <f ca="1">IF(OR(INDEX($AG$2:$AG$1001,MATCH(ROWS($AF$2:AF685),$AF$2:$AF$1001,0),1)&gt;=100000,INDEX($AM$1005:$BM$1005,1,MATCH(COLUMNS($AM$1006:BL1006),$AM$1006:$BM$1006,0))&gt;=100000), " ",IF(INDEX($AM$2:$BM$1001,MATCH(ROWS($AF$2:AF685),$AF$2:$AF$1001,0),MATCH(COLUMNS($AM$1006:BL1006),$AM$1006:$BM$1006,0)), HYPERLINK("#",""), HYPERLINK(CONCATENATE("#metadata!", ADDRESS(INDEX($AH$2:$AH$1001,MATCH(ROWS($AF$2:AF685),$AF$2:$AF$1001,0),0), INDEX($AM$1004:$BM$1004,1,MATCH(COLUMNS($AM$1006:BL1006),$AM$1006:$BM$1006,0)))),"Fix")))</f>
        <v xml:space="preserve"> </v>
      </c>
      <c r="AB685" s="4" t="str">
        <f ca="1">IF(OR(INDEX($AG$2:$AG$1001,MATCH(ROWS($AF$2:AF685),$AF$2:$AF$1001,0),1)&gt;=100000,INDEX($AM$1005:$BM$1005,1,MATCH(COLUMNS($AM$1006:BM1006),$AM$1006:$BM$1006,0))&gt;=100000), " ",IF(INDEX($AM$2:$BM$1001,MATCH(ROWS($AF$2:AF685),$AF$2:$AF$1001,0),MATCH(COLUMNS($AM$1006:BM1006),$AM$1006:$BM$1006,0)), HYPERLINK("#",""), HYPERLINK(CONCATENATE("#metadata!", ADDRESS(INDEX($AH$2:$AH$1001,MATCH(ROWS($AF$2:AF685),$AF$2:$AF$1001,0),0), INDEX($AM$1004:$BM$1004,1,MATCH(COLUMNS($AM$1006:BM1006),$AM$1006:$BM$1006,0)))),"Fix")))</f>
        <v xml:space="preserve"> </v>
      </c>
      <c r="AF685">
        <v>684</v>
      </c>
      <c r="AG685">
        <v>100685</v>
      </c>
      <c r="AH685">
        <v>685</v>
      </c>
      <c r="AI685" t="b">
        <f t="shared" si="10"/>
        <v>1</v>
      </c>
      <c r="AJ685" t="b">
        <f>COUNTBLANK(metadata!B685:AB685)=COLUMNS(metadata!B685:AB685)</f>
        <v>1</v>
      </c>
      <c r="AK685" t="str">
        <v/>
      </c>
      <c r="AM685" t="b">
        <f ca="1">AND(IF(metadata!B685="",FALSE,TRUE),COUNTIF(metadata!B:B, metadata!B685) = 1,NOT(ISERROR(SUMPRODUCT(SEARCH(MID(metadata!B685,ROW(INDIRECT("1:"&amp;LEN(metadata!B685))), 1),"0123456789abcdefghijklmnopqrstuvwxyzABCDEFGHIJKLMNOPQRSTUVWXYZ.")))))</f>
        <v>0</v>
      </c>
      <c r="AN685" t="b">
        <f ca="1">OR(AND(IF(metadata!C685="",FALSE,TRUE),OR(EXACT(metadata!C685,"missing: not collected"),EXACT(metadata!C685,"missing: not provided"),EXACT(metadata!C685,"missing: restricted access"))),AND(IF(metadata!C685="",FALSE,TRUE),AND(AND(IFERROR(INT(LEFT(metadata!C685,4))&gt;1900,FALSE),IFERROR(INT(LEFT(metadata!C685,4))&lt;=YEAR(NOW()),FALSE)), OR(MID(metadata!C685,5,1)="", AND(AND(MID(metadata!C685,5,1)="-",IFERROR(INT(MID(metadata!C685,6,1))&gt;=0,FALSE),IFERROR(INT(MID(metadata!C685,6,1))&lt;=1,FALSE),NOT(MID(metadata!C685,7,1)=""),IFERROR(INT(MID(metadata!C685,6,2))&gt;=1,FALSE),IFERROR(INT(MID(metadata!C685,6,2))&lt;=12,FALSE)), OR(MID(metadata!C685,8,1)="", AND(AND(MID(metadata!C685,8,1)="-",IFERROR(INT(MID(metadata!C685,9,1))&gt;=0,FALSE),IFERROR(INT(MID(metadata!C685,9,1))&lt;=3,FALSE),NOT(MID(metadata!C685,10,1)=""),IFERROR(INT(MID(metadata!C685,9,2))&gt;=1,FALSE),IFERROR(INT(MID(metadata!C685,9,2))&lt;=31,FALSE)), OR(MID(metadata!C685,11,1)="", AND(AND(MID(metadata!C685,11,1)=" ",IFERROR(INT(MID(metadata!C685,12,1))&gt;=0,FALSE),IFERROR(INT(MID(metadata!C685,12,1))&lt;=2,FALSE),NOT(MID(metadata!C685,13,1)=""),IFERROR(INT(MID(metadata!C685,12,2))&gt;=0,FALSE),IFERROR(INT(MID(metadata!C685,12,2))&lt;=23,FALSE)), OR(MID(metadata!C685,14,1)="", AND(AND(MID(metadata!C685,14,1)=":",IFERROR(INT(MID(metadata!C685,15,1))&gt;=0,FALSE),IFERROR(INT(MID(metadata!C685,15,1))&lt;=5,FALSE),NOT(MID(metadata!C685,16,1)=""),IFERROR(INT(MID(metadata!C685,15,2))&gt;=0,FALSE),IFERROR(INT(MID(metadata!C685,15,2))&lt;=59,FALSE)), OR(MID(metadata!C685,17,1)="", AND(AND(MID(metadata!C685,17,1)=":",IFERROR(INT(MID(metadata!C685,18,1))&gt;=0,FALSE),IFERROR(INT(MID(metadata!C685,18,1))&lt;=5,FALSE),NOT(MID(metadata!C685,19,1)=""),IFERROR(INT(MID(metadata!C685,18,2))&gt;=0,FALSE),IFERROR(INT(MID(metadata!C685,18,2))&lt;=59,FALSE)), LEN(metadata!C685)&lt;=19)))))))))))))</f>
        <v>0</v>
      </c>
      <c r="AO685" t="b">
        <f>AND(IF(metadata!D685="",FALSE,TRUE),EXACT(metadata!D685,"Not applicable"))</f>
        <v>0</v>
      </c>
      <c r="AP685" t="b">
        <f>IF(metadata!E685="",FALSE,TRUE)</f>
        <v>0</v>
      </c>
      <c r="AQ685" t="b">
        <f>OR(AND(IF(metadata!F685="",FALSE,TRUE),OR(EXACT(metadata!F685,"missing: not collected"),EXACT(metadata!F685,"missing: not provided"))),AND(IF(metadata!F685="",FALSE,TRUE),OR(EXACT(metadata!F685,"TRUE"),EXACT(metadata!F685,"FALSE"))))</f>
        <v>0</v>
      </c>
      <c r="AR685" t="b">
        <f>OR(AND(IF(metadata!G685="",FALSE,TRUE),OR(EXACT(metadata!G685,"missing: not collected"),EXACT(metadata!G685,"missing: not provided"),EXACT(metadata!G685,"missing: restricted access"))),AND(IF(metadata!G685="",FALSE,ISNUMBER(VALUE(metadata!G685))),metadata!G685&gt;=-413))</f>
        <v>0</v>
      </c>
      <c r="AS685" t="b">
        <f>AND(IF(metadata!H685="",FALSE,TRUE),EXACT(metadata!H685,"meters"))</f>
        <v>0</v>
      </c>
      <c r="AT685" t="b">
        <f>AND(IF(metadata!I685="",FALSE,TRUE),OR(EXACT(metadata!I685,"Host-associated"),EXACT(metadata!I685,"Free-living")))</f>
        <v>0</v>
      </c>
      <c r="AU685" t="b">
        <f>AND(IF(metadata!J685="",FALSE,TRUE),OR(EXACT(metadata!J685,"Animal"),EXACT(metadata!J685,"Fungus"),EXACT(metadata!J685,"Plant"),EXACT(metadata!J685,"Saline"),EXACT(metadata!J685,"Non-saline")))</f>
        <v>0</v>
      </c>
      <c r="AV685" t="b">
        <f>AND(IF(metadata!K685="",FALSE,TRUE),OR(EXACT(metadata!K685,"Plant secretion"),EXACT(metadata!K685,"Plant rhizosphere"),EXACT(metadata!K685,"Plant surface"),EXACT(metadata!K685,"Plant corpus"),EXACT(metadata!K685,"Fungus surface"),EXACT(metadata!K685,"Fungus corpus"),EXACT(metadata!K685,"Animal surface"),EXACT(metadata!K685,"Animal proximal gut"),EXACT(metadata!K685,"Animal corpus"),EXACT(metadata!K685,"Animal distal gut"),EXACT(metadata!K685,"Animal secretion"),EXACT(metadata!K685,"Sub-surface (non-saline)"),EXACT(metadata!K685,"Surface (non-saline)"),EXACT(metadata!K685,"Water (non-saline)"),EXACT(metadata!K685,"Soil (non-saline)"),EXACT(metadata!K685,"Aerosol (non-saline)"),EXACT(metadata!K685,"Sediment (non-saline)"),EXACT(metadata!K685,"Surface (saline)"),EXACT(metadata!K685,"Water (saline)"),EXACT(metadata!K685,"Hypersaline (saline)"),EXACT(metadata!K685,"Aerosol (saline)"),EXACT(metadata!K685,"Sediment (saline)")))</f>
        <v>0</v>
      </c>
      <c r="AW685" t="b">
        <f>IF(metadata!L685="",FALSE,TRUE)</f>
        <v>0</v>
      </c>
      <c r="AX685" t="b">
        <f>IF(metadata!M685="",FALSE,TRUE)</f>
        <v>0</v>
      </c>
      <c r="AY685" t="b">
        <f>IF(metadata!N685="",FALSE,TRUE)</f>
        <v>0</v>
      </c>
      <c r="AZ685" t="b">
        <f>OR(AND(IF(metadata!O685="",FALSE,TRUE),OR(EXACT(metadata!O685,"missing: not collected"),EXACT(metadata!O685,"missing: not provided"),EXACT(metadata!O685,"missing: restricted access"))),AND(IF(metadata!O685="",FALSE,TRUE),OR(EXACT(metadata!O685,"air"),EXACT(metadata!O685,"built environment"),EXACT(metadata!O685,"host-associated"),EXACT(metadata!O685,"human-associated"),EXACT(metadata!O685,"human-skin"),EXACT(metadata!O685,"human-oral"),EXACT(metadata!O685,"human-gut"),EXACT(metadata!O685,"human-vaginal"),EXACT(metadata!O685,"microbial mat/biofilm"),EXACT(metadata!O685,"misc environment"),EXACT(metadata!O685,"plant-associated"),EXACT(metadata!O685,"sediment"),EXACT(metadata!O685,"soil"),EXACT(metadata!O685,"wastewater/sludge"),EXACT(metadata!O685,"water"))))</f>
        <v>0</v>
      </c>
      <c r="BA685" t="b">
        <f>IF(metadata!P685="",FALSE,TRUE)</f>
        <v>0</v>
      </c>
      <c r="BB685" t="b">
        <f>IF(metadata!Q685="",FALSE,TRUE)</f>
        <v>0</v>
      </c>
      <c r="BC685" t="b">
        <f>OR(AND(IF(metadata!R685="",FALSE,TRUE),OR(EXACT(metadata!R685,"missing: not collected"),EXACT(metadata!R685,"missing: not provided"),EXACT(metadata!R685,"missing: restricted access"))),AND(IF(metadata!R685="",FALSE,ISNUMBER(VALUE(metadata!R685))),metadata!R685&gt;=-90,metadata!R685&lt;=90))</f>
        <v>0</v>
      </c>
      <c r="BD685" t="b">
        <f>AND(IF(metadata!S685="",FALSE,TRUE),EXACT(metadata!S685,"Decimal degrees"))</f>
        <v>0</v>
      </c>
      <c r="BE685" t="b">
        <f>OR(AND(IF(metadata!T685="",FALSE,TRUE),OR(EXACT(metadata!T685,"missing: not collected"),EXACT(metadata!T685,"missing: not provided"),EXACT(metadata!T685,"missing: restricted access"))),AND(IF(metadata!T685="",FALSE,ISNUMBER(VALUE(metadata!T685))),metadata!T685&gt;=-180,metadata!T685&lt;=180))</f>
        <v>0</v>
      </c>
      <c r="BF685" t="b">
        <f>AND(IF(metadata!U685="",FALSE,TRUE),EXACT(metadata!U685,"Decimal degrees"))</f>
        <v>0</v>
      </c>
      <c r="BG685" t="b">
        <f>IF(metadata!V685="",FALSE,TRUE)</f>
        <v>0</v>
      </c>
      <c r="BH685" t="b">
        <f>OR(AND(IF(metadata!W685="",FALSE,TRUE),OR(EXACT(metadata!W685,"missing: not collected"),EXACT(metadata!W685,"missing: not provided"),EXACT(metadata!W685,"missing: restricted access"))),AND(IF(metadata!W685="",FALSE,TRUE),OR(EXACT(metadata!W685,"TRUE"),EXACT(metadata!W685,"FALSE"))))</f>
        <v>0</v>
      </c>
      <c r="BI685" t="b">
        <f>AND(IF(metadata!X685="",FALSE,TRUE),EXACT(metadata!X685,"other"))</f>
        <v>0</v>
      </c>
      <c r="BJ685" t="b">
        <f>IF(metadata!Y685="",FALSE,TRUE)</f>
        <v>0</v>
      </c>
      <c r="BK685" t="b">
        <f>OR(AND(IF(metadata!Z685="",FALSE,TRUE),OR(EXACT(metadata!Z685,"missing: not collected"),EXACT(metadata!Z685,"missing: not provided"))),AND(IF(metadata!Z685="",FALSE,IF(ISERROR(INT(metadata!Z685)),FALSE,INT(metadata!Z685)=metadata!Z685)),metadata!Z685&gt;0))</f>
        <v>0</v>
      </c>
      <c r="BL685" t="b">
        <f>AND(IF(metadata!AA685="",FALSE,TRUE),EXACT(metadata!AA685,"Not applicable"))</f>
        <v>0</v>
      </c>
      <c r="BM685" t="b">
        <f>IF(metadata!AB685="",FALSE,TRUE)</f>
        <v>0</v>
      </c>
    </row>
    <row r="686" spans="1:65" x14ac:dyDescent="0.2">
      <c r="A686" s="5" t="str">
        <f ca="1">IF(B686=" "," ",HYPERLINK(CONCATENATE("#metadata!",ADDRESS(INDEX($AH$2:$AH$1001,MATCH(ROWS($AF$2:AF686),$AF$2:$AF$1001,0),0),1)),INDEX($AK$2:$AK$1001,MATCH(ROWS($AF$2:AF686),$AF$2:$AF$1001,0),0)))</f>
        <v xml:space="preserve"> </v>
      </c>
      <c r="B686" s="4" t="str">
        <f ca="1">IF(OR(INDEX($AG$2:$AG$1001,MATCH(ROWS($AF$2:AF686),$AF$2:$AF$1001,0),1)&gt;=100000,INDEX($AM$1005:$BM$1005,1,MATCH(COLUMNS($AM$1006:AM1006),$AM$1006:$BM$1006,0))&gt;=100000), " ",IF(INDEX($AM$2:$BM$1001,MATCH(ROWS($AF$2:AF686),$AF$2:$AF$1001,0),MATCH(COLUMNS($AM$1006:AM1006),$AM$1006:$BM$1006,0)), HYPERLINK("#",""), HYPERLINK(CONCATENATE("#metadata!", ADDRESS(INDEX($AH$2:$AH$1001,MATCH(ROWS($AF$2:AF686),$AF$2:$AF$1001,0),0), INDEX($AM$1004:$BM$1004,1,MATCH(COLUMNS($AM$1006:AM1006),$AM$1006:$BM$1006,0)))),"Fix")))</f>
        <v xml:space="preserve"> </v>
      </c>
      <c r="C686" s="4" t="str">
        <f ca="1">IF(OR(INDEX($AG$2:$AG$1001,MATCH(ROWS($AF$2:AF686),$AF$2:$AF$1001,0),1)&gt;=100000,INDEX($AM$1005:$BM$1005,1,MATCH(COLUMNS($AM$1006:AN1006),$AM$1006:$BM$1006,0))&gt;=100000), " ",IF(INDEX($AM$2:$BM$1001,MATCH(ROWS($AF$2:AF686),$AF$2:$AF$1001,0),MATCH(COLUMNS($AM$1006:AN1006),$AM$1006:$BM$1006,0)), HYPERLINK("#",""), HYPERLINK(CONCATENATE("#metadata!", ADDRESS(INDEX($AH$2:$AH$1001,MATCH(ROWS($AF$2:AF686),$AF$2:$AF$1001,0),0), INDEX($AM$1004:$BM$1004,1,MATCH(COLUMNS($AM$1006:AN1006),$AM$1006:$BM$1006,0)))),"Fix")))</f>
        <v xml:space="preserve"> </v>
      </c>
      <c r="D686" s="4" t="str">
        <f ca="1">IF(OR(INDEX($AG$2:$AG$1001,MATCH(ROWS($AF$2:AF686),$AF$2:$AF$1001,0),1)&gt;=100000,INDEX($AM$1005:$BM$1005,1,MATCH(COLUMNS($AM$1006:AO1006),$AM$1006:$BM$1006,0))&gt;=100000), " ",IF(INDEX($AM$2:$BM$1001,MATCH(ROWS($AF$2:AF686),$AF$2:$AF$1001,0),MATCH(COLUMNS($AM$1006:AO1006),$AM$1006:$BM$1006,0)), HYPERLINK("#",""), HYPERLINK(CONCATENATE("#metadata!", ADDRESS(INDEX($AH$2:$AH$1001,MATCH(ROWS($AF$2:AF686),$AF$2:$AF$1001,0),0), INDEX($AM$1004:$BM$1004,1,MATCH(COLUMNS($AM$1006:AO1006),$AM$1006:$BM$1006,0)))),"Fix")))</f>
        <v xml:space="preserve"> </v>
      </c>
      <c r="E686" s="4" t="str">
        <f ca="1">IF(OR(INDEX($AG$2:$AG$1001,MATCH(ROWS($AF$2:AF686),$AF$2:$AF$1001,0),1)&gt;=100000,INDEX($AM$1005:$BM$1005,1,MATCH(COLUMNS($AM$1006:AP1006),$AM$1006:$BM$1006,0))&gt;=100000), " ",IF(INDEX($AM$2:$BM$1001,MATCH(ROWS($AF$2:AF686),$AF$2:$AF$1001,0),MATCH(COLUMNS($AM$1006:AP1006),$AM$1006:$BM$1006,0)), HYPERLINK("#",""), HYPERLINK(CONCATENATE("#metadata!", ADDRESS(INDEX($AH$2:$AH$1001,MATCH(ROWS($AF$2:AF686),$AF$2:$AF$1001,0),0), INDEX($AM$1004:$BM$1004,1,MATCH(COLUMNS($AM$1006:AP1006),$AM$1006:$BM$1006,0)))),"Fix")))</f>
        <v xml:space="preserve"> </v>
      </c>
      <c r="F686" s="4" t="str">
        <f ca="1">IF(OR(INDEX($AG$2:$AG$1001,MATCH(ROWS($AF$2:AF686),$AF$2:$AF$1001,0),1)&gt;=100000,INDEX($AM$1005:$BM$1005,1,MATCH(COLUMNS($AM$1006:AQ1006),$AM$1006:$BM$1006,0))&gt;=100000), " ",IF(INDEX($AM$2:$BM$1001,MATCH(ROWS($AF$2:AF686),$AF$2:$AF$1001,0),MATCH(COLUMNS($AM$1006:AQ1006),$AM$1006:$BM$1006,0)), HYPERLINK("#",""), HYPERLINK(CONCATENATE("#metadata!", ADDRESS(INDEX($AH$2:$AH$1001,MATCH(ROWS($AF$2:AF686),$AF$2:$AF$1001,0),0), INDEX($AM$1004:$BM$1004,1,MATCH(COLUMNS($AM$1006:AQ1006),$AM$1006:$BM$1006,0)))),"Fix")))</f>
        <v xml:space="preserve"> </v>
      </c>
      <c r="G686" s="4" t="str">
        <f ca="1">IF(OR(INDEX($AG$2:$AG$1001,MATCH(ROWS($AF$2:AF686),$AF$2:$AF$1001,0),1)&gt;=100000,INDEX($AM$1005:$BM$1005,1,MATCH(COLUMNS($AM$1006:AR1006),$AM$1006:$BM$1006,0))&gt;=100000), " ",IF(INDEX($AM$2:$BM$1001,MATCH(ROWS($AF$2:AF686),$AF$2:$AF$1001,0),MATCH(COLUMNS($AM$1006:AR1006),$AM$1006:$BM$1006,0)), HYPERLINK("#",""), HYPERLINK(CONCATENATE("#metadata!", ADDRESS(INDEX($AH$2:$AH$1001,MATCH(ROWS($AF$2:AF686),$AF$2:$AF$1001,0),0), INDEX($AM$1004:$BM$1004,1,MATCH(COLUMNS($AM$1006:AR1006),$AM$1006:$BM$1006,0)))),"Fix")))</f>
        <v xml:space="preserve"> </v>
      </c>
      <c r="H686" s="4" t="str">
        <f ca="1">IF(OR(INDEX($AG$2:$AG$1001,MATCH(ROWS($AF$2:AF686),$AF$2:$AF$1001,0),1)&gt;=100000,INDEX($AM$1005:$BM$1005,1,MATCH(COLUMNS($AM$1006:AS1006),$AM$1006:$BM$1006,0))&gt;=100000), " ",IF(INDEX($AM$2:$BM$1001,MATCH(ROWS($AF$2:AF686),$AF$2:$AF$1001,0),MATCH(COLUMNS($AM$1006:AS1006),$AM$1006:$BM$1006,0)), HYPERLINK("#",""), HYPERLINK(CONCATENATE("#metadata!", ADDRESS(INDEX($AH$2:$AH$1001,MATCH(ROWS($AF$2:AF686),$AF$2:$AF$1001,0),0), INDEX($AM$1004:$BM$1004,1,MATCH(COLUMNS($AM$1006:AS1006),$AM$1006:$BM$1006,0)))),"Fix")))</f>
        <v xml:space="preserve"> </v>
      </c>
      <c r="I686" s="4" t="str">
        <f ca="1">IF(OR(INDEX($AG$2:$AG$1001,MATCH(ROWS($AF$2:AF686),$AF$2:$AF$1001,0),1)&gt;=100000,INDEX($AM$1005:$BM$1005,1,MATCH(COLUMNS($AM$1006:AT1006),$AM$1006:$BM$1006,0))&gt;=100000), " ",IF(INDEX($AM$2:$BM$1001,MATCH(ROWS($AF$2:AF686),$AF$2:$AF$1001,0),MATCH(COLUMNS($AM$1006:AT1006),$AM$1006:$BM$1006,0)), HYPERLINK("#",""), HYPERLINK(CONCATENATE("#metadata!", ADDRESS(INDEX($AH$2:$AH$1001,MATCH(ROWS($AF$2:AF686),$AF$2:$AF$1001,0),0), INDEX($AM$1004:$BM$1004,1,MATCH(COLUMNS($AM$1006:AT1006),$AM$1006:$BM$1006,0)))),"Fix")))</f>
        <v xml:space="preserve"> </v>
      </c>
      <c r="J686" s="4" t="str">
        <f ca="1">IF(OR(INDEX($AG$2:$AG$1001,MATCH(ROWS($AF$2:AF686),$AF$2:$AF$1001,0),1)&gt;=100000,INDEX($AM$1005:$BM$1005,1,MATCH(COLUMNS($AM$1006:AU1006),$AM$1006:$BM$1006,0))&gt;=100000), " ",IF(INDEX($AM$2:$BM$1001,MATCH(ROWS($AF$2:AF686),$AF$2:$AF$1001,0),MATCH(COLUMNS($AM$1006:AU1006),$AM$1006:$BM$1006,0)), HYPERLINK("#",""), HYPERLINK(CONCATENATE("#metadata!", ADDRESS(INDEX($AH$2:$AH$1001,MATCH(ROWS($AF$2:AF686),$AF$2:$AF$1001,0),0), INDEX($AM$1004:$BM$1004,1,MATCH(COLUMNS($AM$1006:AU1006),$AM$1006:$BM$1006,0)))),"Fix")))</f>
        <v xml:space="preserve"> </v>
      </c>
      <c r="K686" s="4" t="str">
        <f ca="1">IF(OR(INDEX($AG$2:$AG$1001,MATCH(ROWS($AF$2:AF686),$AF$2:$AF$1001,0),1)&gt;=100000,INDEX($AM$1005:$BM$1005,1,MATCH(COLUMNS($AM$1006:AV1006),$AM$1006:$BM$1006,0))&gt;=100000), " ",IF(INDEX($AM$2:$BM$1001,MATCH(ROWS($AF$2:AF686),$AF$2:$AF$1001,0),MATCH(COLUMNS($AM$1006:AV1006),$AM$1006:$BM$1006,0)), HYPERLINK("#",""), HYPERLINK(CONCATENATE("#metadata!", ADDRESS(INDEX($AH$2:$AH$1001,MATCH(ROWS($AF$2:AF686),$AF$2:$AF$1001,0),0), INDEX($AM$1004:$BM$1004,1,MATCH(COLUMNS($AM$1006:AV1006),$AM$1006:$BM$1006,0)))),"Fix")))</f>
        <v xml:space="preserve"> </v>
      </c>
      <c r="L686" s="4" t="str">
        <f ca="1">IF(OR(INDEX($AG$2:$AG$1001,MATCH(ROWS($AF$2:AF686),$AF$2:$AF$1001,0),1)&gt;=100000,INDEX($AM$1005:$BM$1005,1,MATCH(COLUMNS($AM$1006:AW1006),$AM$1006:$BM$1006,0))&gt;=100000), " ",IF(INDEX($AM$2:$BM$1001,MATCH(ROWS($AF$2:AF686),$AF$2:$AF$1001,0),MATCH(COLUMNS($AM$1006:AW1006),$AM$1006:$BM$1006,0)), HYPERLINK("#",""), HYPERLINK(CONCATENATE("#metadata!", ADDRESS(INDEX($AH$2:$AH$1001,MATCH(ROWS($AF$2:AF686),$AF$2:$AF$1001,0),0), INDEX($AM$1004:$BM$1004,1,MATCH(COLUMNS($AM$1006:AW1006),$AM$1006:$BM$1006,0)))),"Fix")))</f>
        <v xml:space="preserve"> </v>
      </c>
      <c r="M686" s="4" t="str">
        <f ca="1">IF(OR(INDEX($AG$2:$AG$1001,MATCH(ROWS($AF$2:AF686),$AF$2:$AF$1001,0),1)&gt;=100000,INDEX($AM$1005:$BM$1005,1,MATCH(COLUMNS($AM$1006:AX1006),$AM$1006:$BM$1006,0))&gt;=100000), " ",IF(INDEX($AM$2:$BM$1001,MATCH(ROWS($AF$2:AF686),$AF$2:$AF$1001,0),MATCH(COLUMNS($AM$1006:AX1006),$AM$1006:$BM$1006,0)), HYPERLINK("#",""), HYPERLINK(CONCATENATE("#metadata!", ADDRESS(INDEX($AH$2:$AH$1001,MATCH(ROWS($AF$2:AF686),$AF$2:$AF$1001,0),0), INDEX($AM$1004:$BM$1004,1,MATCH(COLUMNS($AM$1006:AX1006),$AM$1006:$BM$1006,0)))),"Fix")))</f>
        <v xml:space="preserve"> </v>
      </c>
      <c r="N686" s="4" t="str">
        <f ca="1">IF(OR(INDEX($AG$2:$AG$1001,MATCH(ROWS($AF$2:AF686),$AF$2:$AF$1001,0),1)&gt;=100000,INDEX($AM$1005:$BM$1005,1,MATCH(COLUMNS($AM$1006:AY1006),$AM$1006:$BM$1006,0))&gt;=100000), " ",IF(INDEX($AM$2:$BM$1001,MATCH(ROWS($AF$2:AF686),$AF$2:$AF$1001,0),MATCH(COLUMNS($AM$1006:AY1006),$AM$1006:$BM$1006,0)), HYPERLINK("#",""), HYPERLINK(CONCATENATE("#metadata!", ADDRESS(INDEX($AH$2:$AH$1001,MATCH(ROWS($AF$2:AF686),$AF$2:$AF$1001,0),0), INDEX($AM$1004:$BM$1004,1,MATCH(COLUMNS($AM$1006:AY1006),$AM$1006:$BM$1006,0)))),"Fix")))</f>
        <v xml:space="preserve"> </v>
      </c>
      <c r="O686" s="4" t="str">
        <f ca="1">IF(OR(INDEX($AG$2:$AG$1001,MATCH(ROWS($AF$2:AF686),$AF$2:$AF$1001,0),1)&gt;=100000,INDEX($AM$1005:$BM$1005,1,MATCH(COLUMNS($AM$1006:AZ1006),$AM$1006:$BM$1006,0))&gt;=100000), " ",IF(INDEX($AM$2:$BM$1001,MATCH(ROWS($AF$2:AF686),$AF$2:$AF$1001,0),MATCH(COLUMNS($AM$1006:AZ1006),$AM$1006:$BM$1006,0)), HYPERLINK("#",""), HYPERLINK(CONCATENATE("#metadata!", ADDRESS(INDEX($AH$2:$AH$1001,MATCH(ROWS($AF$2:AF686),$AF$2:$AF$1001,0),0), INDEX($AM$1004:$BM$1004,1,MATCH(COLUMNS($AM$1006:AZ1006),$AM$1006:$BM$1006,0)))),"Fix")))</f>
        <v xml:space="preserve"> </v>
      </c>
      <c r="P686" s="4" t="str">
        <f ca="1">IF(OR(INDEX($AG$2:$AG$1001,MATCH(ROWS($AF$2:AF686),$AF$2:$AF$1001,0),1)&gt;=100000,INDEX($AM$1005:$BM$1005,1,MATCH(COLUMNS($AM$1006:BA1006),$AM$1006:$BM$1006,0))&gt;=100000), " ",IF(INDEX($AM$2:$BM$1001,MATCH(ROWS($AF$2:AF686),$AF$2:$AF$1001,0),MATCH(COLUMNS($AM$1006:BA1006),$AM$1006:$BM$1006,0)), HYPERLINK("#",""), HYPERLINK(CONCATENATE("#metadata!", ADDRESS(INDEX($AH$2:$AH$1001,MATCH(ROWS($AF$2:AF686),$AF$2:$AF$1001,0),0), INDEX($AM$1004:$BM$1004,1,MATCH(COLUMNS($AM$1006:BA1006),$AM$1006:$BM$1006,0)))),"Fix")))</f>
        <v xml:space="preserve"> </v>
      </c>
      <c r="Q686" s="4" t="str">
        <f ca="1">IF(OR(INDEX($AG$2:$AG$1001,MATCH(ROWS($AF$2:AF686),$AF$2:$AF$1001,0),1)&gt;=100000,INDEX($AM$1005:$BM$1005,1,MATCH(COLUMNS($AM$1006:BB1006),$AM$1006:$BM$1006,0))&gt;=100000), " ",IF(INDEX($AM$2:$BM$1001,MATCH(ROWS($AF$2:AF686),$AF$2:$AF$1001,0),MATCH(COLUMNS($AM$1006:BB1006),$AM$1006:$BM$1006,0)), HYPERLINK("#",""), HYPERLINK(CONCATENATE("#metadata!", ADDRESS(INDEX($AH$2:$AH$1001,MATCH(ROWS($AF$2:AF686),$AF$2:$AF$1001,0),0), INDEX($AM$1004:$BM$1004,1,MATCH(COLUMNS($AM$1006:BB1006),$AM$1006:$BM$1006,0)))),"Fix")))</f>
        <v xml:space="preserve"> </v>
      </c>
      <c r="R686" s="4" t="str">
        <f ca="1">IF(OR(INDEX($AG$2:$AG$1001,MATCH(ROWS($AF$2:AF686),$AF$2:$AF$1001,0),1)&gt;=100000,INDEX($AM$1005:$BM$1005,1,MATCH(COLUMNS($AM$1006:BC1006),$AM$1006:$BM$1006,0))&gt;=100000), " ",IF(INDEX($AM$2:$BM$1001,MATCH(ROWS($AF$2:AF686),$AF$2:$AF$1001,0),MATCH(COLUMNS($AM$1006:BC1006),$AM$1006:$BM$1006,0)), HYPERLINK("#",""), HYPERLINK(CONCATENATE("#metadata!", ADDRESS(INDEX($AH$2:$AH$1001,MATCH(ROWS($AF$2:AF686),$AF$2:$AF$1001,0),0), INDEX($AM$1004:$BM$1004,1,MATCH(COLUMNS($AM$1006:BC1006),$AM$1006:$BM$1006,0)))),"Fix")))</f>
        <v xml:space="preserve"> </v>
      </c>
      <c r="S686" s="4" t="str">
        <f ca="1">IF(OR(INDEX($AG$2:$AG$1001,MATCH(ROWS($AF$2:AF686),$AF$2:$AF$1001,0),1)&gt;=100000,INDEX($AM$1005:$BM$1005,1,MATCH(COLUMNS($AM$1006:BD1006),$AM$1006:$BM$1006,0))&gt;=100000), " ",IF(INDEX($AM$2:$BM$1001,MATCH(ROWS($AF$2:AF686),$AF$2:$AF$1001,0),MATCH(COLUMNS($AM$1006:BD1006),$AM$1006:$BM$1006,0)), HYPERLINK("#",""), HYPERLINK(CONCATENATE("#metadata!", ADDRESS(INDEX($AH$2:$AH$1001,MATCH(ROWS($AF$2:AF686),$AF$2:$AF$1001,0),0), INDEX($AM$1004:$BM$1004,1,MATCH(COLUMNS($AM$1006:BD1006),$AM$1006:$BM$1006,0)))),"Fix")))</f>
        <v xml:space="preserve"> </v>
      </c>
      <c r="T686" s="4" t="str">
        <f ca="1">IF(OR(INDEX($AG$2:$AG$1001,MATCH(ROWS($AF$2:AF686),$AF$2:$AF$1001,0),1)&gt;=100000,INDEX($AM$1005:$BM$1005,1,MATCH(COLUMNS($AM$1006:BE1006),$AM$1006:$BM$1006,0))&gt;=100000), " ",IF(INDEX($AM$2:$BM$1001,MATCH(ROWS($AF$2:AF686),$AF$2:$AF$1001,0),MATCH(COLUMNS($AM$1006:BE1006),$AM$1006:$BM$1006,0)), HYPERLINK("#",""), HYPERLINK(CONCATENATE("#metadata!", ADDRESS(INDEX($AH$2:$AH$1001,MATCH(ROWS($AF$2:AF686),$AF$2:$AF$1001,0),0), INDEX($AM$1004:$BM$1004,1,MATCH(COLUMNS($AM$1006:BE1006),$AM$1006:$BM$1006,0)))),"Fix")))</f>
        <v xml:space="preserve"> </v>
      </c>
      <c r="U686" s="4" t="str">
        <f ca="1">IF(OR(INDEX($AG$2:$AG$1001,MATCH(ROWS($AF$2:AF686),$AF$2:$AF$1001,0),1)&gt;=100000,INDEX($AM$1005:$BM$1005,1,MATCH(COLUMNS($AM$1006:BF1006),$AM$1006:$BM$1006,0))&gt;=100000), " ",IF(INDEX($AM$2:$BM$1001,MATCH(ROWS($AF$2:AF686),$AF$2:$AF$1001,0),MATCH(COLUMNS($AM$1006:BF1006),$AM$1006:$BM$1006,0)), HYPERLINK("#",""), HYPERLINK(CONCATENATE("#metadata!", ADDRESS(INDEX($AH$2:$AH$1001,MATCH(ROWS($AF$2:AF686),$AF$2:$AF$1001,0),0), INDEX($AM$1004:$BM$1004,1,MATCH(COLUMNS($AM$1006:BF1006),$AM$1006:$BM$1006,0)))),"Fix")))</f>
        <v xml:space="preserve"> </v>
      </c>
      <c r="V686" s="4" t="str">
        <f ca="1">IF(OR(INDEX($AG$2:$AG$1001,MATCH(ROWS($AF$2:AF686),$AF$2:$AF$1001,0),1)&gt;=100000,INDEX($AM$1005:$BM$1005,1,MATCH(COLUMNS($AM$1006:BG1006),$AM$1006:$BM$1006,0))&gt;=100000), " ",IF(INDEX($AM$2:$BM$1001,MATCH(ROWS($AF$2:AF686),$AF$2:$AF$1001,0),MATCH(COLUMNS($AM$1006:BG1006),$AM$1006:$BM$1006,0)), HYPERLINK("#",""), HYPERLINK(CONCATENATE("#metadata!", ADDRESS(INDEX($AH$2:$AH$1001,MATCH(ROWS($AF$2:AF686),$AF$2:$AF$1001,0),0), INDEX($AM$1004:$BM$1004,1,MATCH(COLUMNS($AM$1006:BG1006),$AM$1006:$BM$1006,0)))),"Fix")))</f>
        <v xml:space="preserve"> </v>
      </c>
      <c r="W686" s="4" t="str">
        <f ca="1">IF(OR(INDEX($AG$2:$AG$1001,MATCH(ROWS($AF$2:AF686),$AF$2:$AF$1001,0),1)&gt;=100000,INDEX($AM$1005:$BM$1005,1,MATCH(COLUMNS($AM$1006:BH1006),$AM$1006:$BM$1006,0))&gt;=100000), " ",IF(INDEX($AM$2:$BM$1001,MATCH(ROWS($AF$2:AF686),$AF$2:$AF$1001,0),MATCH(COLUMNS($AM$1006:BH1006),$AM$1006:$BM$1006,0)), HYPERLINK("#",""), HYPERLINK(CONCATENATE("#metadata!", ADDRESS(INDEX($AH$2:$AH$1001,MATCH(ROWS($AF$2:AF686),$AF$2:$AF$1001,0),0), INDEX($AM$1004:$BM$1004,1,MATCH(COLUMNS($AM$1006:BH1006),$AM$1006:$BM$1006,0)))),"Fix")))</f>
        <v xml:space="preserve"> </v>
      </c>
      <c r="X686" s="4" t="str">
        <f ca="1">IF(OR(INDEX($AG$2:$AG$1001,MATCH(ROWS($AF$2:AF686),$AF$2:$AF$1001,0),1)&gt;=100000,INDEX($AM$1005:$BM$1005,1,MATCH(COLUMNS($AM$1006:BI1006),$AM$1006:$BM$1006,0))&gt;=100000), " ",IF(INDEX($AM$2:$BM$1001,MATCH(ROWS($AF$2:AF686),$AF$2:$AF$1001,0),MATCH(COLUMNS($AM$1006:BI1006),$AM$1006:$BM$1006,0)), HYPERLINK("#",""), HYPERLINK(CONCATENATE("#metadata!", ADDRESS(INDEX($AH$2:$AH$1001,MATCH(ROWS($AF$2:AF686),$AF$2:$AF$1001,0),0), INDEX($AM$1004:$BM$1004,1,MATCH(COLUMNS($AM$1006:BI1006),$AM$1006:$BM$1006,0)))),"Fix")))</f>
        <v xml:space="preserve"> </v>
      </c>
      <c r="Y686" s="4" t="str">
        <f ca="1">IF(OR(INDEX($AG$2:$AG$1001,MATCH(ROWS($AF$2:AF686),$AF$2:$AF$1001,0),1)&gt;=100000,INDEX($AM$1005:$BM$1005,1,MATCH(COLUMNS($AM$1006:BJ1006),$AM$1006:$BM$1006,0))&gt;=100000), " ",IF(INDEX($AM$2:$BM$1001,MATCH(ROWS($AF$2:AF686),$AF$2:$AF$1001,0),MATCH(COLUMNS($AM$1006:BJ1006),$AM$1006:$BM$1006,0)), HYPERLINK("#",""), HYPERLINK(CONCATENATE("#metadata!", ADDRESS(INDEX($AH$2:$AH$1001,MATCH(ROWS($AF$2:AF686),$AF$2:$AF$1001,0),0), INDEX($AM$1004:$BM$1004,1,MATCH(COLUMNS($AM$1006:BJ1006),$AM$1006:$BM$1006,0)))),"Fix")))</f>
        <v xml:space="preserve"> </v>
      </c>
      <c r="Z686" s="4" t="str">
        <f ca="1">IF(OR(INDEX($AG$2:$AG$1001,MATCH(ROWS($AF$2:AF686),$AF$2:$AF$1001,0),1)&gt;=100000,INDEX($AM$1005:$BM$1005,1,MATCH(COLUMNS($AM$1006:BK1006),$AM$1006:$BM$1006,0))&gt;=100000), " ",IF(INDEX($AM$2:$BM$1001,MATCH(ROWS($AF$2:AF686),$AF$2:$AF$1001,0),MATCH(COLUMNS($AM$1006:BK1006),$AM$1006:$BM$1006,0)), HYPERLINK("#",""), HYPERLINK(CONCATENATE("#metadata!", ADDRESS(INDEX($AH$2:$AH$1001,MATCH(ROWS($AF$2:AF686),$AF$2:$AF$1001,0),0), INDEX($AM$1004:$BM$1004,1,MATCH(COLUMNS($AM$1006:BK1006),$AM$1006:$BM$1006,0)))),"Fix")))</f>
        <v xml:space="preserve"> </v>
      </c>
      <c r="AA686" s="4" t="str">
        <f ca="1">IF(OR(INDEX($AG$2:$AG$1001,MATCH(ROWS($AF$2:AF686),$AF$2:$AF$1001,0),1)&gt;=100000,INDEX($AM$1005:$BM$1005,1,MATCH(COLUMNS($AM$1006:BL1006),$AM$1006:$BM$1006,0))&gt;=100000), " ",IF(INDEX($AM$2:$BM$1001,MATCH(ROWS($AF$2:AF686),$AF$2:$AF$1001,0),MATCH(COLUMNS($AM$1006:BL1006),$AM$1006:$BM$1006,0)), HYPERLINK("#",""), HYPERLINK(CONCATENATE("#metadata!", ADDRESS(INDEX($AH$2:$AH$1001,MATCH(ROWS($AF$2:AF686),$AF$2:$AF$1001,0),0), INDEX($AM$1004:$BM$1004,1,MATCH(COLUMNS($AM$1006:BL1006),$AM$1006:$BM$1006,0)))),"Fix")))</f>
        <v xml:space="preserve"> </v>
      </c>
      <c r="AB686" s="4" t="str">
        <f ca="1">IF(OR(INDEX($AG$2:$AG$1001,MATCH(ROWS($AF$2:AF686),$AF$2:$AF$1001,0),1)&gt;=100000,INDEX($AM$1005:$BM$1005,1,MATCH(COLUMNS($AM$1006:BM1006),$AM$1006:$BM$1006,0))&gt;=100000), " ",IF(INDEX($AM$2:$BM$1001,MATCH(ROWS($AF$2:AF686),$AF$2:$AF$1001,0),MATCH(COLUMNS($AM$1006:BM1006),$AM$1006:$BM$1006,0)), HYPERLINK("#",""), HYPERLINK(CONCATENATE("#metadata!", ADDRESS(INDEX($AH$2:$AH$1001,MATCH(ROWS($AF$2:AF686),$AF$2:$AF$1001,0),0), INDEX($AM$1004:$BM$1004,1,MATCH(COLUMNS($AM$1006:BM1006),$AM$1006:$BM$1006,0)))),"Fix")))</f>
        <v xml:space="preserve"> </v>
      </c>
      <c r="AF686">
        <v>685</v>
      </c>
      <c r="AG686">
        <v>100686</v>
      </c>
      <c r="AH686">
        <v>686</v>
      </c>
      <c r="AI686" t="b">
        <f t="shared" si="10"/>
        <v>1</v>
      </c>
      <c r="AJ686" t="b">
        <f>COUNTBLANK(metadata!B686:AB686)=COLUMNS(metadata!B686:AB686)</f>
        <v>1</v>
      </c>
      <c r="AK686" t="str">
        <v/>
      </c>
      <c r="AM686" t="b">
        <f ca="1">AND(IF(metadata!B686="",FALSE,TRUE),COUNTIF(metadata!B:B, metadata!B686) = 1,NOT(ISERROR(SUMPRODUCT(SEARCH(MID(metadata!B686,ROW(INDIRECT("1:"&amp;LEN(metadata!B686))), 1),"0123456789abcdefghijklmnopqrstuvwxyzABCDEFGHIJKLMNOPQRSTUVWXYZ.")))))</f>
        <v>0</v>
      </c>
      <c r="AN686" t="b">
        <f ca="1">OR(AND(IF(metadata!C686="",FALSE,TRUE),OR(EXACT(metadata!C686,"missing: not collected"),EXACT(metadata!C686,"missing: not provided"),EXACT(metadata!C686,"missing: restricted access"))),AND(IF(metadata!C686="",FALSE,TRUE),AND(AND(IFERROR(INT(LEFT(metadata!C686,4))&gt;1900,FALSE),IFERROR(INT(LEFT(metadata!C686,4))&lt;=YEAR(NOW()),FALSE)), OR(MID(metadata!C686,5,1)="", AND(AND(MID(metadata!C686,5,1)="-",IFERROR(INT(MID(metadata!C686,6,1))&gt;=0,FALSE),IFERROR(INT(MID(metadata!C686,6,1))&lt;=1,FALSE),NOT(MID(metadata!C686,7,1)=""),IFERROR(INT(MID(metadata!C686,6,2))&gt;=1,FALSE),IFERROR(INT(MID(metadata!C686,6,2))&lt;=12,FALSE)), OR(MID(metadata!C686,8,1)="", AND(AND(MID(metadata!C686,8,1)="-",IFERROR(INT(MID(metadata!C686,9,1))&gt;=0,FALSE),IFERROR(INT(MID(metadata!C686,9,1))&lt;=3,FALSE),NOT(MID(metadata!C686,10,1)=""),IFERROR(INT(MID(metadata!C686,9,2))&gt;=1,FALSE),IFERROR(INT(MID(metadata!C686,9,2))&lt;=31,FALSE)), OR(MID(metadata!C686,11,1)="", AND(AND(MID(metadata!C686,11,1)=" ",IFERROR(INT(MID(metadata!C686,12,1))&gt;=0,FALSE),IFERROR(INT(MID(metadata!C686,12,1))&lt;=2,FALSE),NOT(MID(metadata!C686,13,1)=""),IFERROR(INT(MID(metadata!C686,12,2))&gt;=0,FALSE),IFERROR(INT(MID(metadata!C686,12,2))&lt;=23,FALSE)), OR(MID(metadata!C686,14,1)="", AND(AND(MID(metadata!C686,14,1)=":",IFERROR(INT(MID(metadata!C686,15,1))&gt;=0,FALSE),IFERROR(INT(MID(metadata!C686,15,1))&lt;=5,FALSE),NOT(MID(metadata!C686,16,1)=""),IFERROR(INT(MID(metadata!C686,15,2))&gt;=0,FALSE),IFERROR(INT(MID(metadata!C686,15,2))&lt;=59,FALSE)), OR(MID(metadata!C686,17,1)="", AND(AND(MID(metadata!C686,17,1)=":",IFERROR(INT(MID(metadata!C686,18,1))&gt;=0,FALSE),IFERROR(INT(MID(metadata!C686,18,1))&lt;=5,FALSE),NOT(MID(metadata!C686,19,1)=""),IFERROR(INT(MID(metadata!C686,18,2))&gt;=0,FALSE),IFERROR(INT(MID(metadata!C686,18,2))&lt;=59,FALSE)), LEN(metadata!C686)&lt;=19)))))))))))))</f>
        <v>0</v>
      </c>
      <c r="AO686" t="b">
        <f>AND(IF(metadata!D686="",FALSE,TRUE),EXACT(metadata!D686,"Not applicable"))</f>
        <v>0</v>
      </c>
      <c r="AP686" t="b">
        <f>IF(metadata!E686="",FALSE,TRUE)</f>
        <v>0</v>
      </c>
      <c r="AQ686" t="b">
        <f>OR(AND(IF(metadata!F686="",FALSE,TRUE),OR(EXACT(metadata!F686,"missing: not collected"),EXACT(metadata!F686,"missing: not provided"))),AND(IF(metadata!F686="",FALSE,TRUE),OR(EXACT(metadata!F686,"TRUE"),EXACT(metadata!F686,"FALSE"))))</f>
        <v>0</v>
      </c>
      <c r="AR686" t="b">
        <f>OR(AND(IF(metadata!G686="",FALSE,TRUE),OR(EXACT(metadata!G686,"missing: not collected"),EXACT(metadata!G686,"missing: not provided"),EXACT(metadata!G686,"missing: restricted access"))),AND(IF(metadata!G686="",FALSE,ISNUMBER(VALUE(metadata!G686))),metadata!G686&gt;=-413))</f>
        <v>0</v>
      </c>
      <c r="AS686" t="b">
        <f>AND(IF(metadata!H686="",FALSE,TRUE),EXACT(metadata!H686,"meters"))</f>
        <v>0</v>
      </c>
      <c r="AT686" t="b">
        <f>AND(IF(metadata!I686="",FALSE,TRUE),OR(EXACT(metadata!I686,"Host-associated"),EXACT(metadata!I686,"Free-living")))</f>
        <v>0</v>
      </c>
      <c r="AU686" t="b">
        <f>AND(IF(metadata!J686="",FALSE,TRUE),OR(EXACT(metadata!J686,"Animal"),EXACT(metadata!J686,"Fungus"),EXACT(metadata!J686,"Plant"),EXACT(metadata!J686,"Saline"),EXACT(metadata!J686,"Non-saline")))</f>
        <v>0</v>
      </c>
      <c r="AV686" t="b">
        <f>AND(IF(metadata!K686="",FALSE,TRUE),OR(EXACT(metadata!K686,"Plant secretion"),EXACT(metadata!K686,"Plant rhizosphere"),EXACT(metadata!K686,"Plant surface"),EXACT(metadata!K686,"Plant corpus"),EXACT(metadata!K686,"Fungus surface"),EXACT(metadata!K686,"Fungus corpus"),EXACT(metadata!K686,"Animal surface"),EXACT(metadata!K686,"Animal proximal gut"),EXACT(metadata!K686,"Animal corpus"),EXACT(metadata!K686,"Animal distal gut"),EXACT(metadata!K686,"Animal secretion"),EXACT(metadata!K686,"Sub-surface (non-saline)"),EXACT(metadata!K686,"Surface (non-saline)"),EXACT(metadata!K686,"Water (non-saline)"),EXACT(metadata!K686,"Soil (non-saline)"),EXACT(metadata!K686,"Aerosol (non-saline)"),EXACT(metadata!K686,"Sediment (non-saline)"),EXACT(metadata!K686,"Surface (saline)"),EXACT(metadata!K686,"Water (saline)"),EXACT(metadata!K686,"Hypersaline (saline)"),EXACT(metadata!K686,"Aerosol (saline)"),EXACT(metadata!K686,"Sediment (saline)")))</f>
        <v>0</v>
      </c>
      <c r="AW686" t="b">
        <f>IF(metadata!L686="",FALSE,TRUE)</f>
        <v>0</v>
      </c>
      <c r="AX686" t="b">
        <f>IF(metadata!M686="",FALSE,TRUE)</f>
        <v>0</v>
      </c>
      <c r="AY686" t="b">
        <f>IF(metadata!N686="",FALSE,TRUE)</f>
        <v>0</v>
      </c>
      <c r="AZ686" t="b">
        <f>OR(AND(IF(metadata!O686="",FALSE,TRUE),OR(EXACT(metadata!O686,"missing: not collected"),EXACT(metadata!O686,"missing: not provided"),EXACT(metadata!O686,"missing: restricted access"))),AND(IF(metadata!O686="",FALSE,TRUE),OR(EXACT(metadata!O686,"air"),EXACT(metadata!O686,"built environment"),EXACT(metadata!O686,"host-associated"),EXACT(metadata!O686,"human-associated"),EXACT(metadata!O686,"human-skin"),EXACT(metadata!O686,"human-oral"),EXACT(metadata!O686,"human-gut"),EXACT(metadata!O686,"human-vaginal"),EXACT(metadata!O686,"microbial mat/biofilm"),EXACT(metadata!O686,"misc environment"),EXACT(metadata!O686,"plant-associated"),EXACT(metadata!O686,"sediment"),EXACT(metadata!O686,"soil"),EXACT(metadata!O686,"wastewater/sludge"),EXACT(metadata!O686,"water"))))</f>
        <v>0</v>
      </c>
      <c r="BA686" t="b">
        <f>IF(metadata!P686="",FALSE,TRUE)</f>
        <v>0</v>
      </c>
      <c r="BB686" t="b">
        <f>IF(metadata!Q686="",FALSE,TRUE)</f>
        <v>0</v>
      </c>
      <c r="BC686" t="b">
        <f>OR(AND(IF(metadata!R686="",FALSE,TRUE),OR(EXACT(metadata!R686,"missing: not collected"),EXACT(metadata!R686,"missing: not provided"),EXACT(metadata!R686,"missing: restricted access"))),AND(IF(metadata!R686="",FALSE,ISNUMBER(VALUE(metadata!R686))),metadata!R686&gt;=-90,metadata!R686&lt;=90))</f>
        <v>0</v>
      </c>
      <c r="BD686" t="b">
        <f>AND(IF(metadata!S686="",FALSE,TRUE),EXACT(metadata!S686,"Decimal degrees"))</f>
        <v>0</v>
      </c>
      <c r="BE686" t="b">
        <f>OR(AND(IF(metadata!T686="",FALSE,TRUE),OR(EXACT(metadata!T686,"missing: not collected"),EXACT(metadata!T686,"missing: not provided"),EXACT(metadata!T686,"missing: restricted access"))),AND(IF(metadata!T686="",FALSE,ISNUMBER(VALUE(metadata!T686))),metadata!T686&gt;=-180,metadata!T686&lt;=180))</f>
        <v>0</v>
      </c>
      <c r="BF686" t="b">
        <f>AND(IF(metadata!U686="",FALSE,TRUE),EXACT(metadata!U686,"Decimal degrees"))</f>
        <v>0</v>
      </c>
      <c r="BG686" t="b">
        <f>IF(metadata!V686="",FALSE,TRUE)</f>
        <v>0</v>
      </c>
      <c r="BH686" t="b">
        <f>OR(AND(IF(metadata!W686="",FALSE,TRUE),OR(EXACT(metadata!W686,"missing: not collected"),EXACT(metadata!W686,"missing: not provided"),EXACT(metadata!W686,"missing: restricted access"))),AND(IF(metadata!W686="",FALSE,TRUE),OR(EXACT(metadata!W686,"TRUE"),EXACT(metadata!W686,"FALSE"))))</f>
        <v>0</v>
      </c>
      <c r="BI686" t="b">
        <f>AND(IF(metadata!X686="",FALSE,TRUE),EXACT(metadata!X686,"other"))</f>
        <v>0</v>
      </c>
      <c r="BJ686" t="b">
        <f>IF(metadata!Y686="",FALSE,TRUE)</f>
        <v>0</v>
      </c>
      <c r="BK686" t="b">
        <f>OR(AND(IF(metadata!Z686="",FALSE,TRUE),OR(EXACT(metadata!Z686,"missing: not collected"),EXACT(metadata!Z686,"missing: not provided"))),AND(IF(metadata!Z686="",FALSE,IF(ISERROR(INT(metadata!Z686)),FALSE,INT(metadata!Z686)=metadata!Z686)),metadata!Z686&gt;0))</f>
        <v>0</v>
      </c>
      <c r="BL686" t="b">
        <f>AND(IF(metadata!AA686="",FALSE,TRUE),EXACT(metadata!AA686,"Not applicable"))</f>
        <v>0</v>
      </c>
      <c r="BM686" t="b">
        <f>IF(metadata!AB686="",FALSE,TRUE)</f>
        <v>0</v>
      </c>
    </row>
    <row r="687" spans="1:65" x14ac:dyDescent="0.2">
      <c r="A687" s="5" t="str">
        <f ca="1">IF(B687=" "," ",HYPERLINK(CONCATENATE("#metadata!",ADDRESS(INDEX($AH$2:$AH$1001,MATCH(ROWS($AF$2:AF687),$AF$2:$AF$1001,0),0),1)),INDEX($AK$2:$AK$1001,MATCH(ROWS($AF$2:AF687),$AF$2:$AF$1001,0),0)))</f>
        <v xml:space="preserve"> </v>
      </c>
      <c r="B687" s="4" t="str">
        <f ca="1">IF(OR(INDEX($AG$2:$AG$1001,MATCH(ROWS($AF$2:AF687),$AF$2:$AF$1001,0),1)&gt;=100000,INDEX($AM$1005:$BM$1005,1,MATCH(COLUMNS($AM$1006:AM1006),$AM$1006:$BM$1006,0))&gt;=100000), " ",IF(INDEX($AM$2:$BM$1001,MATCH(ROWS($AF$2:AF687),$AF$2:$AF$1001,0),MATCH(COLUMNS($AM$1006:AM1006),$AM$1006:$BM$1006,0)), HYPERLINK("#",""), HYPERLINK(CONCATENATE("#metadata!", ADDRESS(INDEX($AH$2:$AH$1001,MATCH(ROWS($AF$2:AF687),$AF$2:$AF$1001,0),0), INDEX($AM$1004:$BM$1004,1,MATCH(COLUMNS($AM$1006:AM1006),$AM$1006:$BM$1006,0)))),"Fix")))</f>
        <v xml:space="preserve"> </v>
      </c>
      <c r="C687" s="4" t="str">
        <f ca="1">IF(OR(INDEX($AG$2:$AG$1001,MATCH(ROWS($AF$2:AF687),$AF$2:$AF$1001,0),1)&gt;=100000,INDEX($AM$1005:$BM$1005,1,MATCH(COLUMNS($AM$1006:AN1006),$AM$1006:$BM$1006,0))&gt;=100000), " ",IF(INDEX($AM$2:$BM$1001,MATCH(ROWS($AF$2:AF687),$AF$2:$AF$1001,0),MATCH(COLUMNS($AM$1006:AN1006),$AM$1006:$BM$1006,0)), HYPERLINK("#",""), HYPERLINK(CONCATENATE("#metadata!", ADDRESS(INDEX($AH$2:$AH$1001,MATCH(ROWS($AF$2:AF687),$AF$2:$AF$1001,0),0), INDEX($AM$1004:$BM$1004,1,MATCH(COLUMNS($AM$1006:AN1006),$AM$1006:$BM$1006,0)))),"Fix")))</f>
        <v xml:space="preserve"> </v>
      </c>
      <c r="D687" s="4" t="str">
        <f ca="1">IF(OR(INDEX($AG$2:$AG$1001,MATCH(ROWS($AF$2:AF687),$AF$2:$AF$1001,0),1)&gt;=100000,INDEX($AM$1005:$BM$1005,1,MATCH(COLUMNS($AM$1006:AO1006),$AM$1006:$BM$1006,0))&gt;=100000), " ",IF(INDEX($AM$2:$BM$1001,MATCH(ROWS($AF$2:AF687),$AF$2:$AF$1001,0),MATCH(COLUMNS($AM$1006:AO1006),$AM$1006:$BM$1006,0)), HYPERLINK("#",""), HYPERLINK(CONCATENATE("#metadata!", ADDRESS(INDEX($AH$2:$AH$1001,MATCH(ROWS($AF$2:AF687),$AF$2:$AF$1001,0),0), INDEX($AM$1004:$BM$1004,1,MATCH(COLUMNS($AM$1006:AO1006),$AM$1006:$BM$1006,0)))),"Fix")))</f>
        <v xml:space="preserve"> </v>
      </c>
      <c r="E687" s="4" t="str">
        <f ca="1">IF(OR(INDEX($AG$2:$AG$1001,MATCH(ROWS($AF$2:AF687),$AF$2:$AF$1001,0),1)&gt;=100000,INDEX($AM$1005:$BM$1005,1,MATCH(COLUMNS($AM$1006:AP1006),$AM$1006:$BM$1006,0))&gt;=100000), " ",IF(INDEX($AM$2:$BM$1001,MATCH(ROWS($AF$2:AF687),$AF$2:$AF$1001,0),MATCH(COLUMNS($AM$1006:AP1006),$AM$1006:$BM$1006,0)), HYPERLINK("#",""), HYPERLINK(CONCATENATE("#metadata!", ADDRESS(INDEX($AH$2:$AH$1001,MATCH(ROWS($AF$2:AF687),$AF$2:$AF$1001,0),0), INDEX($AM$1004:$BM$1004,1,MATCH(COLUMNS($AM$1006:AP1006),$AM$1006:$BM$1006,0)))),"Fix")))</f>
        <v xml:space="preserve"> </v>
      </c>
      <c r="F687" s="4" t="str">
        <f ca="1">IF(OR(INDEX($AG$2:$AG$1001,MATCH(ROWS($AF$2:AF687),$AF$2:$AF$1001,0),1)&gt;=100000,INDEX($AM$1005:$BM$1005,1,MATCH(COLUMNS($AM$1006:AQ1006),$AM$1006:$BM$1006,0))&gt;=100000), " ",IF(INDEX($AM$2:$BM$1001,MATCH(ROWS($AF$2:AF687),$AF$2:$AF$1001,0),MATCH(COLUMNS($AM$1006:AQ1006),$AM$1006:$BM$1006,0)), HYPERLINK("#",""), HYPERLINK(CONCATENATE("#metadata!", ADDRESS(INDEX($AH$2:$AH$1001,MATCH(ROWS($AF$2:AF687),$AF$2:$AF$1001,0),0), INDEX($AM$1004:$BM$1004,1,MATCH(COLUMNS($AM$1006:AQ1006),$AM$1006:$BM$1006,0)))),"Fix")))</f>
        <v xml:space="preserve"> </v>
      </c>
      <c r="G687" s="4" t="str">
        <f ca="1">IF(OR(INDEX($AG$2:$AG$1001,MATCH(ROWS($AF$2:AF687),$AF$2:$AF$1001,0),1)&gt;=100000,INDEX($AM$1005:$BM$1005,1,MATCH(COLUMNS($AM$1006:AR1006),$AM$1006:$BM$1006,0))&gt;=100000), " ",IF(INDEX($AM$2:$BM$1001,MATCH(ROWS($AF$2:AF687),$AF$2:$AF$1001,0),MATCH(COLUMNS($AM$1006:AR1006),$AM$1006:$BM$1006,0)), HYPERLINK("#",""), HYPERLINK(CONCATENATE("#metadata!", ADDRESS(INDEX($AH$2:$AH$1001,MATCH(ROWS($AF$2:AF687),$AF$2:$AF$1001,0),0), INDEX($AM$1004:$BM$1004,1,MATCH(COLUMNS($AM$1006:AR1006),$AM$1006:$BM$1006,0)))),"Fix")))</f>
        <v xml:space="preserve"> </v>
      </c>
      <c r="H687" s="4" t="str">
        <f ca="1">IF(OR(INDEX($AG$2:$AG$1001,MATCH(ROWS($AF$2:AF687),$AF$2:$AF$1001,0),1)&gt;=100000,INDEX($AM$1005:$BM$1005,1,MATCH(COLUMNS($AM$1006:AS1006),$AM$1006:$BM$1006,0))&gt;=100000), " ",IF(INDEX($AM$2:$BM$1001,MATCH(ROWS($AF$2:AF687),$AF$2:$AF$1001,0),MATCH(COLUMNS($AM$1006:AS1006),$AM$1006:$BM$1006,0)), HYPERLINK("#",""), HYPERLINK(CONCATENATE("#metadata!", ADDRESS(INDEX($AH$2:$AH$1001,MATCH(ROWS($AF$2:AF687),$AF$2:$AF$1001,0),0), INDEX($AM$1004:$BM$1004,1,MATCH(COLUMNS($AM$1006:AS1006),$AM$1006:$BM$1006,0)))),"Fix")))</f>
        <v xml:space="preserve"> </v>
      </c>
      <c r="I687" s="4" t="str">
        <f ca="1">IF(OR(INDEX($AG$2:$AG$1001,MATCH(ROWS($AF$2:AF687),$AF$2:$AF$1001,0),1)&gt;=100000,INDEX($AM$1005:$BM$1005,1,MATCH(COLUMNS($AM$1006:AT1006),$AM$1006:$BM$1006,0))&gt;=100000), " ",IF(INDEX($AM$2:$BM$1001,MATCH(ROWS($AF$2:AF687),$AF$2:$AF$1001,0),MATCH(COLUMNS($AM$1006:AT1006),$AM$1006:$BM$1006,0)), HYPERLINK("#",""), HYPERLINK(CONCATENATE("#metadata!", ADDRESS(INDEX($AH$2:$AH$1001,MATCH(ROWS($AF$2:AF687),$AF$2:$AF$1001,0),0), INDEX($AM$1004:$BM$1004,1,MATCH(COLUMNS($AM$1006:AT1006),$AM$1006:$BM$1006,0)))),"Fix")))</f>
        <v xml:space="preserve"> </v>
      </c>
      <c r="J687" s="4" t="str">
        <f ca="1">IF(OR(INDEX($AG$2:$AG$1001,MATCH(ROWS($AF$2:AF687),$AF$2:$AF$1001,0),1)&gt;=100000,INDEX($AM$1005:$BM$1005,1,MATCH(COLUMNS($AM$1006:AU1006),$AM$1006:$BM$1006,0))&gt;=100000), " ",IF(INDEX($AM$2:$BM$1001,MATCH(ROWS($AF$2:AF687),$AF$2:$AF$1001,0),MATCH(COLUMNS($AM$1006:AU1006),$AM$1006:$BM$1006,0)), HYPERLINK("#",""), HYPERLINK(CONCATENATE("#metadata!", ADDRESS(INDEX($AH$2:$AH$1001,MATCH(ROWS($AF$2:AF687),$AF$2:$AF$1001,0),0), INDEX($AM$1004:$BM$1004,1,MATCH(COLUMNS($AM$1006:AU1006),$AM$1006:$BM$1006,0)))),"Fix")))</f>
        <v xml:space="preserve"> </v>
      </c>
      <c r="K687" s="4" t="str">
        <f ca="1">IF(OR(INDEX($AG$2:$AG$1001,MATCH(ROWS($AF$2:AF687),$AF$2:$AF$1001,0),1)&gt;=100000,INDEX($AM$1005:$BM$1005,1,MATCH(COLUMNS($AM$1006:AV1006),$AM$1006:$BM$1006,0))&gt;=100000), " ",IF(INDEX($AM$2:$BM$1001,MATCH(ROWS($AF$2:AF687),$AF$2:$AF$1001,0),MATCH(COLUMNS($AM$1006:AV1006),$AM$1006:$BM$1006,0)), HYPERLINK("#",""), HYPERLINK(CONCATENATE("#metadata!", ADDRESS(INDEX($AH$2:$AH$1001,MATCH(ROWS($AF$2:AF687),$AF$2:$AF$1001,0),0), INDEX($AM$1004:$BM$1004,1,MATCH(COLUMNS($AM$1006:AV1006),$AM$1006:$BM$1006,0)))),"Fix")))</f>
        <v xml:space="preserve"> </v>
      </c>
      <c r="L687" s="4" t="str">
        <f ca="1">IF(OR(INDEX($AG$2:$AG$1001,MATCH(ROWS($AF$2:AF687),$AF$2:$AF$1001,0),1)&gt;=100000,INDEX($AM$1005:$BM$1005,1,MATCH(COLUMNS($AM$1006:AW1006),$AM$1006:$BM$1006,0))&gt;=100000), " ",IF(INDEX($AM$2:$BM$1001,MATCH(ROWS($AF$2:AF687),$AF$2:$AF$1001,0),MATCH(COLUMNS($AM$1006:AW1006),$AM$1006:$BM$1006,0)), HYPERLINK("#",""), HYPERLINK(CONCATENATE("#metadata!", ADDRESS(INDEX($AH$2:$AH$1001,MATCH(ROWS($AF$2:AF687),$AF$2:$AF$1001,0),0), INDEX($AM$1004:$BM$1004,1,MATCH(COLUMNS($AM$1006:AW1006),$AM$1006:$BM$1006,0)))),"Fix")))</f>
        <v xml:space="preserve"> </v>
      </c>
      <c r="M687" s="4" t="str">
        <f ca="1">IF(OR(INDEX($AG$2:$AG$1001,MATCH(ROWS($AF$2:AF687),$AF$2:$AF$1001,0),1)&gt;=100000,INDEX($AM$1005:$BM$1005,1,MATCH(COLUMNS($AM$1006:AX1006),$AM$1006:$BM$1006,0))&gt;=100000), " ",IF(INDEX($AM$2:$BM$1001,MATCH(ROWS($AF$2:AF687),$AF$2:$AF$1001,0),MATCH(COLUMNS($AM$1006:AX1006),$AM$1006:$BM$1006,0)), HYPERLINK("#",""), HYPERLINK(CONCATENATE("#metadata!", ADDRESS(INDEX($AH$2:$AH$1001,MATCH(ROWS($AF$2:AF687),$AF$2:$AF$1001,0),0), INDEX($AM$1004:$BM$1004,1,MATCH(COLUMNS($AM$1006:AX1006),$AM$1006:$BM$1006,0)))),"Fix")))</f>
        <v xml:space="preserve"> </v>
      </c>
      <c r="N687" s="4" t="str">
        <f ca="1">IF(OR(INDEX($AG$2:$AG$1001,MATCH(ROWS($AF$2:AF687),$AF$2:$AF$1001,0),1)&gt;=100000,INDEX($AM$1005:$BM$1005,1,MATCH(COLUMNS($AM$1006:AY1006),$AM$1006:$BM$1006,0))&gt;=100000), " ",IF(INDEX($AM$2:$BM$1001,MATCH(ROWS($AF$2:AF687),$AF$2:$AF$1001,0),MATCH(COLUMNS($AM$1006:AY1006),$AM$1006:$BM$1006,0)), HYPERLINK("#",""), HYPERLINK(CONCATENATE("#metadata!", ADDRESS(INDEX($AH$2:$AH$1001,MATCH(ROWS($AF$2:AF687),$AF$2:$AF$1001,0),0), INDEX($AM$1004:$BM$1004,1,MATCH(COLUMNS($AM$1006:AY1006),$AM$1006:$BM$1006,0)))),"Fix")))</f>
        <v xml:space="preserve"> </v>
      </c>
      <c r="O687" s="4" t="str">
        <f ca="1">IF(OR(INDEX($AG$2:$AG$1001,MATCH(ROWS($AF$2:AF687),$AF$2:$AF$1001,0),1)&gt;=100000,INDEX($AM$1005:$BM$1005,1,MATCH(COLUMNS($AM$1006:AZ1006),$AM$1006:$BM$1006,0))&gt;=100000), " ",IF(INDEX($AM$2:$BM$1001,MATCH(ROWS($AF$2:AF687),$AF$2:$AF$1001,0),MATCH(COLUMNS($AM$1006:AZ1006),$AM$1006:$BM$1006,0)), HYPERLINK("#",""), HYPERLINK(CONCATENATE("#metadata!", ADDRESS(INDEX($AH$2:$AH$1001,MATCH(ROWS($AF$2:AF687),$AF$2:$AF$1001,0),0), INDEX($AM$1004:$BM$1004,1,MATCH(COLUMNS($AM$1006:AZ1006),$AM$1006:$BM$1006,0)))),"Fix")))</f>
        <v xml:space="preserve"> </v>
      </c>
      <c r="P687" s="4" t="str">
        <f ca="1">IF(OR(INDEX($AG$2:$AG$1001,MATCH(ROWS($AF$2:AF687),$AF$2:$AF$1001,0),1)&gt;=100000,INDEX($AM$1005:$BM$1005,1,MATCH(COLUMNS($AM$1006:BA1006),$AM$1006:$BM$1006,0))&gt;=100000), " ",IF(INDEX($AM$2:$BM$1001,MATCH(ROWS($AF$2:AF687),$AF$2:$AF$1001,0),MATCH(COLUMNS($AM$1006:BA1006),$AM$1006:$BM$1006,0)), HYPERLINK("#",""), HYPERLINK(CONCATENATE("#metadata!", ADDRESS(INDEX($AH$2:$AH$1001,MATCH(ROWS($AF$2:AF687),$AF$2:$AF$1001,0),0), INDEX($AM$1004:$BM$1004,1,MATCH(COLUMNS($AM$1006:BA1006),$AM$1006:$BM$1006,0)))),"Fix")))</f>
        <v xml:space="preserve"> </v>
      </c>
      <c r="Q687" s="4" t="str">
        <f ca="1">IF(OR(INDEX($AG$2:$AG$1001,MATCH(ROWS($AF$2:AF687),$AF$2:$AF$1001,0),1)&gt;=100000,INDEX($AM$1005:$BM$1005,1,MATCH(COLUMNS($AM$1006:BB1006),$AM$1006:$BM$1006,0))&gt;=100000), " ",IF(INDEX($AM$2:$BM$1001,MATCH(ROWS($AF$2:AF687),$AF$2:$AF$1001,0),MATCH(COLUMNS($AM$1006:BB1006),$AM$1006:$BM$1006,0)), HYPERLINK("#",""), HYPERLINK(CONCATENATE("#metadata!", ADDRESS(INDEX($AH$2:$AH$1001,MATCH(ROWS($AF$2:AF687),$AF$2:$AF$1001,0),0), INDEX($AM$1004:$BM$1004,1,MATCH(COLUMNS($AM$1006:BB1006),$AM$1006:$BM$1006,0)))),"Fix")))</f>
        <v xml:space="preserve"> </v>
      </c>
      <c r="R687" s="4" t="str">
        <f ca="1">IF(OR(INDEX($AG$2:$AG$1001,MATCH(ROWS($AF$2:AF687),$AF$2:$AF$1001,0),1)&gt;=100000,INDEX($AM$1005:$BM$1005,1,MATCH(COLUMNS($AM$1006:BC1006),$AM$1006:$BM$1006,0))&gt;=100000), " ",IF(INDEX($AM$2:$BM$1001,MATCH(ROWS($AF$2:AF687),$AF$2:$AF$1001,0),MATCH(COLUMNS($AM$1006:BC1006),$AM$1006:$BM$1006,0)), HYPERLINK("#",""), HYPERLINK(CONCATENATE("#metadata!", ADDRESS(INDEX($AH$2:$AH$1001,MATCH(ROWS($AF$2:AF687),$AF$2:$AF$1001,0),0), INDEX($AM$1004:$BM$1004,1,MATCH(COLUMNS($AM$1006:BC1006),$AM$1006:$BM$1006,0)))),"Fix")))</f>
        <v xml:space="preserve"> </v>
      </c>
      <c r="S687" s="4" t="str">
        <f ca="1">IF(OR(INDEX($AG$2:$AG$1001,MATCH(ROWS($AF$2:AF687),$AF$2:$AF$1001,0),1)&gt;=100000,INDEX($AM$1005:$BM$1005,1,MATCH(COLUMNS($AM$1006:BD1006),$AM$1006:$BM$1006,0))&gt;=100000), " ",IF(INDEX($AM$2:$BM$1001,MATCH(ROWS($AF$2:AF687),$AF$2:$AF$1001,0),MATCH(COLUMNS($AM$1006:BD1006),$AM$1006:$BM$1006,0)), HYPERLINK("#",""), HYPERLINK(CONCATENATE("#metadata!", ADDRESS(INDEX($AH$2:$AH$1001,MATCH(ROWS($AF$2:AF687),$AF$2:$AF$1001,0),0), INDEX($AM$1004:$BM$1004,1,MATCH(COLUMNS($AM$1006:BD1006),$AM$1006:$BM$1006,0)))),"Fix")))</f>
        <v xml:space="preserve"> </v>
      </c>
      <c r="T687" s="4" t="str">
        <f ca="1">IF(OR(INDEX($AG$2:$AG$1001,MATCH(ROWS($AF$2:AF687),$AF$2:$AF$1001,0),1)&gt;=100000,INDEX($AM$1005:$BM$1005,1,MATCH(COLUMNS($AM$1006:BE1006),$AM$1006:$BM$1006,0))&gt;=100000), " ",IF(INDEX($AM$2:$BM$1001,MATCH(ROWS($AF$2:AF687),$AF$2:$AF$1001,0),MATCH(COLUMNS($AM$1006:BE1006),$AM$1006:$BM$1006,0)), HYPERLINK("#",""), HYPERLINK(CONCATENATE("#metadata!", ADDRESS(INDEX($AH$2:$AH$1001,MATCH(ROWS($AF$2:AF687),$AF$2:$AF$1001,0),0), INDEX($AM$1004:$BM$1004,1,MATCH(COLUMNS($AM$1006:BE1006),$AM$1006:$BM$1006,0)))),"Fix")))</f>
        <v xml:space="preserve"> </v>
      </c>
      <c r="U687" s="4" t="str">
        <f ca="1">IF(OR(INDEX($AG$2:$AG$1001,MATCH(ROWS($AF$2:AF687),$AF$2:$AF$1001,0),1)&gt;=100000,INDEX($AM$1005:$BM$1005,1,MATCH(COLUMNS($AM$1006:BF1006),$AM$1006:$BM$1006,0))&gt;=100000), " ",IF(INDEX($AM$2:$BM$1001,MATCH(ROWS($AF$2:AF687),$AF$2:$AF$1001,0),MATCH(COLUMNS($AM$1006:BF1006),$AM$1006:$BM$1006,0)), HYPERLINK("#",""), HYPERLINK(CONCATENATE("#metadata!", ADDRESS(INDEX($AH$2:$AH$1001,MATCH(ROWS($AF$2:AF687),$AF$2:$AF$1001,0),0), INDEX($AM$1004:$BM$1004,1,MATCH(COLUMNS($AM$1006:BF1006),$AM$1006:$BM$1006,0)))),"Fix")))</f>
        <v xml:space="preserve"> </v>
      </c>
      <c r="V687" s="4" t="str">
        <f ca="1">IF(OR(INDEX($AG$2:$AG$1001,MATCH(ROWS($AF$2:AF687),$AF$2:$AF$1001,0),1)&gt;=100000,INDEX($AM$1005:$BM$1005,1,MATCH(COLUMNS($AM$1006:BG1006),$AM$1006:$BM$1006,0))&gt;=100000), " ",IF(INDEX($AM$2:$BM$1001,MATCH(ROWS($AF$2:AF687),$AF$2:$AF$1001,0),MATCH(COLUMNS($AM$1006:BG1006),$AM$1006:$BM$1006,0)), HYPERLINK("#",""), HYPERLINK(CONCATENATE("#metadata!", ADDRESS(INDEX($AH$2:$AH$1001,MATCH(ROWS($AF$2:AF687),$AF$2:$AF$1001,0),0), INDEX($AM$1004:$BM$1004,1,MATCH(COLUMNS($AM$1006:BG1006),$AM$1006:$BM$1006,0)))),"Fix")))</f>
        <v xml:space="preserve"> </v>
      </c>
      <c r="W687" s="4" t="str">
        <f ca="1">IF(OR(INDEX($AG$2:$AG$1001,MATCH(ROWS($AF$2:AF687),$AF$2:$AF$1001,0),1)&gt;=100000,INDEX($AM$1005:$BM$1005,1,MATCH(COLUMNS($AM$1006:BH1006),$AM$1006:$BM$1006,0))&gt;=100000), " ",IF(INDEX($AM$2:$BM$1001,MATCH(ROWS($AF$2:AF687),$AF$2:$AF$1001,0),MATCH(COLUMNS($AM$1006:BH1006),$AM$1006:$BM$1006,0)), HYPERLINK("#",""), HYPERLINK(CONCATENATE("#metadata!", ADDRESS(INDEX($AH$2:$AH$1001,MATCH(ROWS($AF$2:AF687),$AF$2:$AF$1001,0),0), INDEX($AM$1004:$BM$1004,1,MATCH(COLUMNS($AM$1006:BH1006),$AM$1006:$BM$1006,0)))),"Fix")))</f>
        <v xml:space="preserve"> </v>
      </c>
      <c r="X687" s="4" t="str">
        <f ca="1">IF(OR(INDEX($AG$2:$AG$1001,MATCH(ROWS($AF$2:AF687),$AF$2:$AF$1001,0),1)&gt;=100000,INDEX($AM$1005:$BM$1005,1,MATCH(COLUMNS($AM$1006:BI1006),$AM$1006:$BM$1006,0))&gt;=100000), " ",IF(INDEX($AM$2:$BM$1001,MATCH(ROWS($AF$2:AF687),$AF$2:$AF$1001,0),MATCH(COLUMNS($AM$1006:BI1006),$AM$1006:$BM$1006,0)), HYPERLINK("#",""), HYPERLINK(CONCATENATE("#metadata!", ADDRESS(INDEX($AH$2:$AH$1001,MATCH(ROWS($AF$2:AF687),$AF$2:$AF$1001,0),0), INDEX($AM$1004:$BM$1004,1,MATCH(COLUMNS($AM$1006:BI1006),$AM$1006:$BM$1006,0)))),"Fix")))</f>
        <v xml:space="preserve"> </v>
      </c>
      <c r="Y687" s="4" t="str">
        <f ca="1">IF(OR(INDEX($AG$2:$AG$1001,MATCH(ROWS($AF$2:AF687),$AF$2:$AF$1001,0),1)&gt;=100000,INDEX($AM$1005:$BM$1005,1,MATCH(COLUMNS($AM$1006:BJ1006),$AM$1006:$BM$1006,0))&gt;=100000), " ",IF(INDEX($AM$2:$BM$1001,MATCH(ROWS($AF$2:AF687),$AF$2:$AF$1001,0),MATCH(COLUMNS($AM$1006:BJ1006),$AM$1006:$BM$1006,0)), HYPERLINK("#",""), HYPERLINK(CONCATENATE("#metadata!", ADDRESS(INDEX($AH$2:$AH$1001,MATCH(ROWS($AF$2:AF687),$AF$2:$AF$1001,0),0), INDEX($AM$1004:$BM$1004,1,MATCH(COLUMNS($AM$1006:BJ1006),$AM$1006:$BM$1006,0)))),"Fix")))</f>
        <v xml:space="preserve"> </v>
      </c>
      <c r="Z687" s="4" t="str">
        <f ca="1">IF(OR(INDEX($AG$2:$AG$1001,MATCH(ROWS($AF$2:AF687),$AF$2:$AF$1001,0),1)&gt;=100000,INDEX($AM$1005:$BM$1005,1,MATCH(COLUMNS($AM$1006:BK1006),$AM$1006:$BM$1006,0))&gt;=100000), " ",IF(INDEX($AM$2:$BM$1001,MATCH(ROWS($AF$2:AF687),$AF$2:$AF$1001,0),MATCH(COLUMNS($AM$1006:BK1006),$AM$1006:$BM$1006,0)), HYPERLINK("#",""), HYPERLINK(CONCATENATE("#metadata!", ADDRESS(INDEX($AH$2:$AH$1001,MATCH(ROWS($AF$2:AF687),$AF$2:$AF$1001,0),0), INDEX($AM$1004:$BM$1004,1,MATCH(COLUMNS($AM$1006:BK1006),$AM$1006:$BM$1006,0)))),"Fix")))</f>
        <v xml:space="preserve"> </v>
      </c>
      <c r="AA687" s="4" t="str">
        <f ca="1">IF(OR(INDEX($AG$2:$AG$1001,MATCH(ROWS($AF$2:AF687),$AF$2:$AF$1001,0),1)&gt;=100000,INDEX($AM$1005:$BM$1005,1,MATCH(COLUMNS($AM$1006:BL1006),$AM$1006:$BM$1006,0))&gt;=100000), " ",IF(INDEX($AM$2:$BM$1001,MATCH(ROWS($AF$2:AF687),$AF$2:$AF$1001,0),MATCH(COLUMNS($AM$1006:BL1006),$AM$1006:$BM$1006,0)), HYPERLINK("#",""), HYPERLINK(CONCATENATE("#metadata!", ADDRESS(INDEX($AH$2:$AH$1001,MATCH(ROWS($AF$2:AF687),$AF$2:$AF$1001,0),0), INDEX($AM$1004:$BM$1004,1,MATCH(COLUMNS($AM$1006:BL1006),$AM$1006:$BM$1006,0)))),"Fix")))</f>
        <v xml:space="preserve"> </v>
      </c>
      <c r="AB687" s="4" t="str">
        <f ca="1">IF(OR(INDEX($AG$2:$AG$1001,MATCH(ROWS($AF$2:AF687),$AF$2:$AF$1001,0),1)&gt;=100000,INDEX($AM$1005:$BM$1005,1,MATCH(COLUMNS($AM$1006:BM1006),$AM$1006:$BM$1006,0))&gt;=100000), " ",IF(INDEX($AM$2:$BM$1001,MATCH(ROWS($AF$2:AF687),$AF$2:$AF$1001,0),MATCH(COLUMNS($AM$1006:BM1006),$AM$1006:$BM$1006,0)), HYPERLINK("#",""), HYPERLINK(CONCATENATE("#metadata!", ADDRESS(INDEX($AH$2:$AH$1001,MATCH(ROWS($AF$2:AF687),$AF$2:$AF$1001,0),0), INDEX($AM$1004:$BM$1004,1,MATCH(COLUMNS($AM$1006:BM1006),$AM$1006:$BM$1006,0)))),"Fix")))</f>
        <v xml:space="preserve"> </v>
      </c>
      <c r="AF687">
        <v>686</v>
      </c>
      <c r="AG687">
        <v>100687</v>
      </c>
      <c r="AH687">
        <v>687</v>
      </c>
      <c r="AI687" t="b">
        <f t="shared" si="10"/>
        <v>1</v>
      </c>
      <c r="AJ687" t="b">
        <f>COUNTBLANK(metadata!B687:AB687)=COLUMNS(metadata!B687:AB687)</f>
        <v>1</v>
      </c>
      <c r="AK687" t="str">
        <v/>
      </c>
      <c r="AM687" t="b">
        <f ca="1">AND(IF(metadata!B687="",FALSE,TRUE),COUNTIF(metadata!B:B, metadata!B687) = 1,NOT(ISERROR(SUMPRODUCT(SEARCH(MID(metadata!B687,ROW(INDIRECT("1:"&amp;LEN(metadata!B687))), 1),"0123456789abcdefghijklmnopqrstuvwxyzABCDEFGHIJKLMNOPQRSTUVWXYZ.")))))</f>
        <v>0</v>
      </c>
      <c r="AN687" t="b">
        <f ca="1">OR(AND(IF(metadata!C687="",FALSE,TRUE),OR(EXACT(metadata!C687,"missing: not collected"),EXACT(metadata!C687,"missing: not provided"),EXACT(metadata!C687,"missing: restricted access"))),AND(IF(metadata!C687="",FALSE,TRUE),AND(AND(IFERROR(INT(LEFT(metadata!C687,4))&gt;1900,FALSE),IFERROR(INT(LEFT(metadata!C687,4))&lt;=YEAR(NOW()),FALSE)), OR(MID(metadata!C687,5,1)="", AND(AND(MID(metadata!C687,5,1)="-",IFERROR(INT(MID(metadata!C687,6,1))&gt;=0,FALSE),IFERROR(INT(MID(metadata!C687,6,1))&lt;=1,FALSE),NOT(MID(metadata!C687,7,1)=""),IFERROR(INT(MID(metadata!C687,6,2))&gt;=1,FALSE),IFERROR(INT(MID(metadata!C687,6,2))&lt;=12,FALSE)), OR(MID(metadata!C687,8,1)="", AND(AND(MID(metadata!C687,8,1)="-",IFERROR(INT(MID(metadata!C687,9,1))&gt;=0,FALSE),IFERROR(INT(MID(metadata!C687,9,1))&lt;=3,FALSE),NOT(MID(metadata!C687,10,1)=""),IFERROR(INT(MID(metadata!C687,9,2))&gt;=1,FALSE),IFERROR(INT(MID(metadata!C687,9,2))&lt;=31,FALSE)), OR(MID(metadata!C687,11,1)="", AND(AND(MID(metadata!C687,11,1)=" ",IFERROR(INT(MID(metadata!C687,12,1))&gt;=0,FALSE),IFERROR(INT(MID(metadata!C687,12,1))&lt;=2,FALSE),NOT(MID(metadata!C687,13,1)=""),IFERROR(INT(MID(metadata!C687,12,2))&gt;=0,FALSE),IFERROR(INT(MID(metadata!C687,12,2))&lt;=23,FALSE)), OR(MID(metadata!C687,14,1)="", AND(AND(MID(metadata!C687,14,1)=":",IFERROR(INT(MID(metadata!C687,15,1))&gt;=0,FALSE),IFERROR(INT(MID(metadata!C687,15,1))&lt;=5,FALSE),NOT(MID(metadata!C687,16,1)=""),IFERROR(INT(MID(metadata!C687,15,2))&gt;=0,FALSE),IFERROR(INT(MID(metadata!C687,15,2))&lt;=59,FALSE)), OR(MID(metadata!C687,17,1)="", AND(AND(MID(metadata!C687,17,1)=":",IFERROR(INT(MID(metadata!C687,18,1))&gt;=0,FALSE),IFERROR(INT(MID(metadata!C687,18,1))&lt;=5,FALSE),NOT(MID(metadata!C687,19,1)=""),IFERROR(INT(MID(metadata!C687,18,2))&gt;=0,FALSE),IFERROR(INT(MID(metadata!C687,18,2))&lt;=59,FALSE)), LEN(metadata!C687)&lt;=19)))))))))))))</f>
        <v>0</v>
      </c>
      <c r="AO687" t="b">
        <f>AND(IF(metadata!D687="",FALSE,TRUE),EXACT(metadata!D687,"Not applicable"))</f>
        <v>0</v>
      </c>
      <c r="AP687" t="b">
        <f>IF(metadata!E687="",FALSE,TRUE)</f>
        <v>0</v>
      </c>
      <c r="AQ687" t="b">
        <f>OR(AND(IF(metadata!F687="",FALSE,TRUE),OR(EXACT(metadata!F687,"missing: not collected"),EXACT(metadata!F687,"missing: not provided"))),AND(IF(metadata!F687="",FALSE,TRUE),OR(EXACT(metadata!F687,"TRUE"),EXACT(metadata!F687,"FALSE"))))</f>
        <v>0</v>
      </c>
      <c r="AR687" t="b">
        <f>OR(AND(IF(metadata!G687="",FALSE,TRUE),OR(EXACT(metadata!G687,"missing: not collected"),EXACT(metadata!G687,"missing: not provided"),EXACT(metadata!G687,"missing: restricted access"))),AND(IF(metadata!G687="",FALSE,ISNUMBER(VALUE(metadata!G687))),metadata!G687&gt;=-413))</f>
        <v>0</v>
      </c>
      <c r="AS687" t="b">
        <f>AND(IF(metadata!H687="",FALSE,TRUE),EXACT(metadata!H687,"meters"))</f>
        <v>0</v>
      </c>
      <c r="AT687" t="b">
        <f>AND(IF(metadata!I687="",FALSE,TRUE),OR(EXACT(metadata!I687,"Host-associated"),EXACT(metadata!I687,"Free-living")))</f>
        <v>0</v>
      </c>
      <c r="AU687" t="b">
        <f>AND(IF(metadata!J687="",FALSE,TRUE),OR(EXACT(metadata!J687,"Animal"),EXACT(metadata!J687,"Fungus"),EXACT(metadata!J687,"Plant"),EXACT(metadata!J687,"Saline"),EXACT(metadata!J687,"Non-saline")))</f>
        <v>0</v>
      </c>
      <c r="AV687" t="b">
        <f>AND(IF(metadata!K687="",FALSE,TRUE),OR(EXACT(metadata!K687,"Plant secretion"),EXACT(metadata!K687,"Plant rhizosphere"),EXACT(metadata!K687,"Plant surface"),EXACT(metadata!K687,"Plant corpus"),EXACT(metadata!K687,"Fungus surface"),EXACT(metadata!K687,"Fungus corpus"),EXACT(metadata!K687,"Animal surface"),EXACT(metadata!K687,"Animal proximal gut"),EXACT(metadata!K687,"Animal corpus"),EXACT(metadata!K687,"Animal distal gut"),EXACT(metadata!K687,"Animal secretion"),EXACT(metadata!K687,"Sub-surface (non-saline)"),EXACT(metadata!K687,"Surface (non-saline)"),EXACT(metadata!K687,"Water (non-saline)"),EXACT(metadata!K687,"Soil (non-saline)"),EXACT(metadata!K687,"Aerosol (non-saline)"),EXACT(metadata!K687,"Sediment (non-saline)"),EXACT(metadata!K687,"Surface (saline)"),EXACT(metadata!K687,"Water (saline)"),EXACT(metadata!K687,"Hypersaline (saline)"),EXACT(metadata!K687,"Aerosol (saline)"),EXACT(metadata!K687,"Sediment (saline)")))</f>
        <v>0</v>
      </c>
      <c r="AW687" t="b">
        <f>IF(metadata!L687="",FALSE,TRUE)</f>
        <v>0</v>
      </c>
      <c r="AX687" t="b">
        <f>IF(metadata!M687="",FALSE,TRUE)</f>
        <v>0</v>
      </c>
      <c r="AY687" t="b">
        <f>IF(metadata!N687="",FALSE,TRUE)</f>
        <v>0</v>
      </c>
      <c r="AZ687" t="b">
        <f>OR(AND(IF(metadata!O687="",FALSE,TRUE),OR(EXACT(metadata!O687,"missing: not collected"),EXACT(metadata!O687,"missing: not provided"),EXACT(metadata!O687,"missing: restricted access"))),AND(IF(metadata!O687="",FALSE,TRUE),OR(EXACT(metadata!O687,"air"),EXACT(metadata!O687,"built environment"),EXACT(metadata!O687,"host-associated"),EXACT(metadata!O687,"human-associated"),EXACT(metadata!O687,"human-skin"),EXACT(metadata!O687,"human-oral"),EXACT(metadata!O687,"human-gut"),EXACT(metadata!O687,"human-vaginal"),EXACT(metadata!O687,"microbial mat/biofilm"),EXACT(metadata!O687,"misc environment"),EXACT(metadata!O687,"plant-associated"),EXACT(metadata!O687,"sediment"),EXACT(metadata!O687,"soil"),EXACT(metadata!O687,"wastewater/sludge"),EXACT(metadata!O687,"water"))))</f>
        <v>0</v>
      </c>
      <c r="BA687" t="b">
        <f>IF(metadata!P687="",FALSE,TRUE)</f>
        <v>0</v>
      </c>
      <c r="BB687" t="b">
        <f>IF(metadata!Q687="",FALSE,TRUE)</f>
        <v>0</v>
      </c>
      <c r="BC687" t="b">
        <f>OR(AND(IF(metadata!R687="",FALSE,TRUE),OR(EXACT(metadata!R687,"missing: not collected"),EXACT(metadata!R687,"missing: not provided"),EXACT(metadata!R687,"missing: restricted access"))),AND(IF(metadata!R687="",FALSE,ISNUMBER(VALUE(metadata!R687))),metadata!R687&gt;=-90,metadata!R687&lt;=90))</f>
        <v>0</v>
      </c>
      <c r="BD687" t="b">
        <f>AND(IF(metadata!S687="",FALSE,TRUE),EXACT(metadata!S687,"Decimal degrees"))</f>
        <v>0</v>
      </c>
      <c r="BE687" t="b">
        <f>OR(AND(IF(metadata!T687="",FALSE,TRUE),OR(EXACT(metadata!T687,"missing: not collected"),EXACT(metadata!T687,"missing: not provided"),EXACT(metadata!T687,"missing: restricted access"))),AND(IF(metadata!T687="",FALSE,ISNUMBER(VALUE(metadata!T687))),metadata!T687&gt;=-180,metadata!T687&lt;=180))</f>
        <v>0</v>
      </c>
      <c r="BF687" t="b">
        <f>AND(IF(metadata!U687="",FALSE,TRUE),EXACT(metadata!U687,"Decimal degrees"))</f>
        <v>0</v>
      </c>
      <c r="BG687" t="b">
        <f>IF(metadata!V687="",FALSE,TRUE)</f>
        <v>0</v>
      </c>
      <c r="BH687" t="b">
        <f>OR(AND(IF(metadata!W687="",FALSE,TRUE),OR(EXACT(metadata!W687,"missing: not collected"),EXACT(metadata!W687,"missing: not provided"),EXACT(metadata!W687,"missing: restricted access"))),AND(IF(metadata!W687="",FALSE,TRUE),OR(EXACT(metadata!W687,"TRUE"),EXACT(metadata!W687,"FALSE"))))</f>
        <v>0</v>
      </c>
      <c r="BI687" t="b">
        <f>AND(IF(metadata!X687="",FALSE,TRUE),EXACT(metadata!X687,"other"))</f>
        <v>0</v>
      </c>
      <c r="BJ687" t="b">
        <f>IF(metadata!Y687="",FALSE,TRUE)</f>
        <v>0</v>
      </c>
      <c r="BK687" t="b">
        <f>OR(AND(IF(metadata!Z687="",FALSE,TRUE),OR(EXACT(metadata!Z687,"missing: not collected"),EXACT(metadata!Z687,"missing: not provided"))),AND(IF(metadata!Z687="",FALSE,IF(ISERROR(INT(metadata!Z687)),FALSE,INT(metadata!Z687)=metadata!Z687)),metadata!Z687&gt;0))</f>
        <v>0</v>
      </c>
      <c r="BL687" t="b">
        <f>AND(IF(metadata!AA687="",FALSE,TRUE),EXACT(metadata!AA687,"Not applicable"))</f>
        <v>0</v>
      </c>
      <c r="BM687" t="b">
        <f>IF(metadata!AB687="",FALSE,TRUE)</f>
        <v>0</v>
      </c>
    </row>
    <row r="688" spans="1:65" x14ac:dyDescent="0.2">
      <c r="A688" s="5" t="str">
        <f ca="1">IF(B688=" "," ",HYPERLINK(CONCATENATE("#metadata!",ADDRESS(INDEX($AH$2:$AH$1001,MATCH(ROWS($AF$2:AF688),$AF$2:$AF$1001,0),0),1)),INDEX($AK$2:$AK$1001,MATCH(ROWS($AF$2:AF688),$AF$2:$AF$1001,0),0)))</f>
        <v xml:space="preserve"> </v>
      </c>
      <c r="B688" s="4" t="str">
        <f ca="1">IF(OR(INDEX($AG$2:$AG$1001,MATCH(ROWS($AF$2:AF688),$AF$2:$AF$1001,0),1)&gt;=100000,INDEX($AM$1005:$BM$1005,1,MATCH(COLUMNS($AM$1006:AM1006),$AM$1006:$BM$1006,0))&gt;=100000), " ",IF(INDEX($AM$2:$BM$1001,MATCH(ROWS($AF$2:AF688),$AF$2:$AF$1001,0),MATCH(COLUMNS($AM$1006:AM1006),$AM$1006:$BM$1006,0)), HYPERLINK("#",""), HYPERLINK(CONCATENATE("#metadata!", ADDRESS(INDEX($AH$2:$AH$1001,MATCH(ROWS($AF$2:AF688),$AF$2:$AF$1001,0),0), INDEX($AM$1004:$BM$1004,1,MATCH(COLUMNS($AM$1006:AM1006),$AM$1006:$BM$1006,0)))),"Fix")))</f>
        <v xml:space="preserve"> </v>
      </c>
      <c r="C688" s="4" t="str">
        <f ca="1">IF(OR(INDEX($AG$2:$AG$1001,MATCH(ROWS($AF$2:AF688),$AF$2:$AF$1001,0),1)&gt;=100000,INDEX($AM$1005:$BM$1005,1,MATCH(COLUMNS($AM$1006:AN1006),$AM$1006:$BM$1006,0))&gt;=100000), " ",IF(INDEX($AM$2:$BM$1001,MATCH(ROWS($AF$2:AF688),$AF$2:$AF$1001,0),MATCH(COLUMNS($AM$1006:AN1006),$AM$1006:$BM$1006,0)), HYPERLINK("#",""), HYPERLINK(CONCATENATE("#metadata!", ADDRESS(INDEX($AH$2:$AH$1001,MATCH(ROWS($AF$2:AF688),$AF$2:$AF$1001,0),0), INDEX($AM$1004:$BM$1004,1,MATCH(COLUMNS($AM$1006:AN1006),$AM$1006:$BM$1006,0)))),"Fix")))</f>
        <v xml:space="preserve"> </v>
      </c>
      <c r="D688" s="4" t="str">
        <f ca="1">IF(OR(INDEX($AG$2:$AG$1001,MATCH(ROWS($AF$2:AF688),$AF$2:$AF$1001,0),1)&gt;=100000,INDEX($AM$1005:$BM$1005,1,MATCH(COLUMNS($AM$1006:AO1006),$AM$1006:$BM$1006,0))&gt;=100000), " ",IF(INDEX($AM$2:$BM$1001,MATCH(ROWS($AF$2:AF688),$AF$2:$AF$1001,0),MATCH(COLUMNS($AM$1006:AO1006),$AM$1006:$BM$1006,0)), HYPERLINK("#",""), HYPERLINK(CONCATENATE("#metadata!", ADDRESS(INDEX($AH$2:$AH$1001,MATCH(ROWS($AF$2:AF688),$AF$2:$AF$1001,0),0), INDEX($AM$1004:$BM$1004,1,MATCH(COLUMNS($AM$1006:AO1006),$AM$1006:$BM$1006,0)))),"Fix")))</f>
        <v xml:space="preserve"> </v>
      </c>
      <c r="E688" s="4" t="str">
        <f ca="1">IF(OR(INDEX($AG$2:$AG$1001,MATCH(ROWS($AF$2:AF688),$AF$2:$AF$1001,0),1)&gt;=100000,INDEX($AM$1005:$BM$1005,1,MATCH(COLUMNS($AM$1006:AP1006),$AM$1006:$BM$1006,0))&gt;=100000), " ",IF(INDEX($AM$2:$BM$1001,MATCH(ROWS($AF$2:AF688),$AF$2:$AF$1001,0),MATCH(COLUMNS($AM$1006:AP1006),$AM$1006:$BM$1006,0)), HYPERLINK("#",""), HYPERLINK(CONCATENATE("#metadata!", ADDRESS(INDEX($AH$2:$AH$1001,MATCH(ROWS($AF$2:AF688),$AF$2:$AF$1001,0),0), INDEX($AM$1004:$BM$1004,1,MATCH(COLUMNS($AM$1006:AP1006),$AM$1006:$BM$1006,0)))),"Fix")))</f>
        <v xml:space="preserve"> </v>
      </c>
      <c r="F688" s="4" t="str">
        <f ca="1">IF(OR(INDEX($AG$2:$AG$1001,MATCH(ROWS($AF$2:AF688),$AF$2:$AF$1001,0),1)&gt;=100000,INDEX($AM$1005:$BM$1005,1,MATCH(COLUMNS($AM$1006:AQ1006),$AM$1006:$BM$1006,0))&gt;=100000), " ",IF(INDEX($AM$2:$BM$1001,MATCH(ROWS($AF$2:AF688),$AF$2:$AF$1001,0),MATCH(COLUMNS($AM$1006:AQ1006),$AM$1006:$BM$1006,0)), HYPERLINK("#",""), HYPERLINK(CONCATENATE("#metadata!", ADDRESS(INDEX($AH$2:$AH$1001,MATCH(ROWS($AF$2:AF688),$AF$2:$AF$1001,0),0), INDEX($AM$1004:$BM$1004,1,MATCH(COLUMNS($AM$1006:AQ1006),$AM$1006:$BM$1006,0)))),"Fix")))</f>
        <v xml:space="preserve"> </v>
      </c>
      <c r="G688" s="4" t="str">
        <f ca="1">IF(OR(INDEX($AG$2:$AG$1001,MATCH(ROWS($AF$2:AF688),$AF$2:$AF$1001,0),1)&gt;=100000,INDEX($AM$1005:$BM$1005,1,MATCH(COLUMNS($AM$1006:AR1006),$AM$1006:$BM$1006,0))&gt;=100000), " ",IF(INDEX($AM$2:$BM$1001,MATCH(ROWS($AF$2:AF688),$AF$2:$AF$1001,0),MATCH(COLUMNS($AM$1006:AR1006),$AM$1006:$BM$1006,0)), HYPERLINK("#",""), HYPERLINK(CONCATENATE("#metadata!", ADDRESS(INDEX($AH$2:$AH$1001,MATCH(ROWS($AF$2:AF688),$AF$2:$AF$1001,0),0), INDEX($AM$1004:$BM$1004,1,MATCH(COLUMNS($AM$1006:AR1006),$AM$1006:$BM$1006,0)))),"Fix")))</f>
        <v xml:space="preserve"> </v>
      </c>
      <c r="H688" s="4" t="str">
        <f ca="1">IF(OR(INDEX($AG$2:$AG$1001,MATCH(ROWS($AF$2:AF688),$AF$2:$AF$1001,0),1)&gt;=100000,INDEX($AM$1005:$BM$1005,1,MATCH(COLUMNS($AM$1006:AS1006),$AM$1006:$BM$1006,0))&gt;=100000), " ",IF(INDEX($AM$2:$BM$1001,MATCH(ROWS($AF$2:AF688),$AF$2:$AF$1001,0),MATCH(COLUMNS($AM$1006:AS1006),$AM$1006:$BM$1006,0)), HYPERLINK("#",""), HYPERLINK(CONCATENATE("#metadata!", ADDRESS(INDEX($AH$2:$AH$1001,MATCH(ROWS($AF$2:AF688),$AF$2:$AF$1001,0),0), INDEX($AM$1004:$BM$1004,1,MATCH(COLUMNS($AM$1006:AS1006),$AM$1006:$BM$1006,0)))),"Fix")))</f>
        <v xml:space="preserve"> </v>
      </c>
      <c r="I688" s="4" t="str">
        <f ca="1">IF(OR(INDEX($AG$2:$AG$1001,MATCH(ROWS($AF$2:AF688),$AF$2:$AF$1001,0),1)&gt;=100000,INDEX($AM$1005:$BM$1005,1,MATCH(COLUMNS($AM$1006:AT1006),$AM$1006:$BM$1006,0))&gt;=100000), " ",IF(INDEX($AM$2:$BM$1001,MATCH(ROWS($AF$2:AF688),$AF$2:$AF$1001,0),MATCH(COLUMNS($AM$1006:AT1006),$AM$1006:$BM$1006,0)), HYPERLINK("#",""), HYPERLINK(CONCATENATE("#metadata!", ADDRESS(INDEX($AH$2:$AH$1001,MATCH(ROWS($AF$2:AF688),$AF$2:$AF$1001,0),0), INDEX($AM$1004:$BM$1004,1,MATCH(COLUMNS($AM$1006:AT1006),$AM$1006:$BM$1006,0)))),"Fix")))</f>
        <v xml:space="preserve"> </v>
      </c>
      <c r="J688" s="4" t="str">
        <f ca="1">IF(OR(INDEX($AG$2:$AG$1001,MATCH(ROWS($AF$2:AF688),$AF$2:$AF$1001,0),1)&gt;=100000,INDEX($AM$1005:$BM$1005,1,MATCH(COLUMNS($AM$1006:AU1006),$AM$1006:$BM$1006,0))&gt;=100000), " ",IF(INDEX($AM$2:$BM$1001,MATCH(ROWS($AF$2:AF688),$AF$2:$AF$1001,0),MATCH(COLUMNS($AM$1006:AU1006),$AM$1006:$BM$1006,0)), HYPERLINK("#",""), HYPERLINK(CONCATENATE("#metadata!", ADDRESS(INDEX($AH$2:$AH$1001,MATCH(ROWS($AF$2:AF688),$AF$2:$AF$1001,0),0), INDEX($AM$1004:$BM$1004,1,MATCH(COLUMNS($AM$1006:AU1006),$AM$1006:$BM$1006,0)))),"Fix")))</f>
        <v xml:space="preserve"> </v>
      </c>
      <c r="K688" s="4" t="str">
        <f ca="1">IF(OR(INDEX($AG$2:$AG$1001,MATCH(ROWS($AF$2:AF688),$AF$2:$AF$1001,0),1)&gt;=100000,INDEX($AM$1005:$BM$1005,1,MATCH(COLUMNS($AM$1006:AV1006),$AM$1006:$BM$1006,0))&gt;=100000), " ",IF(INDEX($AM$2:$BM$1001,MATCH(ROWS($AF$2:AF688),$AF$2:$AF$1001,0),MATCH(COLUMNS($AM$1006:AV1006),$AM$1006:$BM$1006,0)), HYPERLINK("#",""), HYPERLINK(CONCATENATE("#metadata!", ADDRESS(INDEX($AH$2:$AH$1001,MATCH(ROWS($AF$2:AF688),$AF$2:$AF$1001,0),0), INDEX($AM$1004:$BM$1004,1,MATCH(COLUMNS($AM$1006:AV1006),$AM$1006:$BM$1006,0)))),"Fix")))</f>
        <v xml:space="preserve"> </v>
      </c>
      <c r="L688" s="4" t="str">
        <f ca="1">IF(OR(INDEX($AG$2:$AG$1001,MATCH(ROWS($AF$2:AF688),$AF$2:$AF$1001,0),1)&gt;=100000,INDEX($AM$1005:$BM$1005,1,MATCH(COLUMNS($AM$1006:AW1006),$AM$1006:$BM$1006,0))&gt;=100000), " ",IF(INDEX($AM$2:$BM$1001,MATCH(ROWS($AF$2:AF688),$AF$2:$AF$1001,0),MATCH(COLUMNS($AM$1006:AW1006),$AM$1006:$BM$1006,0)), HYPERLINK("#",""), HYPERLINK(CONCATENATE("#metadata!", ADDRESS(INDEX($AH$2:$AH$1001,MATCH(ROWS($AF$2:AF688),$AF$2:$AF$1001,0),0), INDEX($AM$1004:$BM$1004,1,MATCH(COLUMNS($AM$1006:AW1006),$AM$1006:$BM$1006,0)))),"Fix")))</f>
        <v xml:space="preserve"> </v>
      </c>
      <c r="M688" s="4" t="str">
        <f ca="1">IF(OR(INDEX($AG$2:$AG$1001,MATCH(ROWS($AF$2:AF688),$AF$2:$AF$1001,0),1)&gt;=100000,INDEX($AM$1005:$BM$1005,1,MATCH(COLUMNS($AM$1006:AX1006),$AM$1006:$BM$1006,0))&gt;=100000), " ",IF(INDEX($AM$2:$BM$1001,MATCH(ROWS($AF$2:AF688),$AF$2:$AF$1001,0),MATCH(COLUMNS($AM$1006:AX1006),$AM$1006:$BM$1006,0)), HYPERLINK("#",""), HYPERLINK(CONCATENATE("#metadata!", ADDRESS(INDEX($AH$2:$AH$1001,MATCH(ROWS($AF$2:AF688),$AF$2:$AF$1001,0),0), INDEX($AM$1004:$BM$1004,1,MATCH(COLUMNS($AM$1006:AX1006),$AM$1006:$BM$1006,0)))),"Fix")))</f>
        <v xml:space="preserve"> </v>
      </c>
      <c r="N688" s="4" t="str">
        <f ca="1">IF(OR(INDEX($AG$2:$AG$1001,MATCH(ROWS($AF$2:AF688),$AF$2:$AF$1001,0),1)&gt;=100000,INDEX($AM$1005:$BM$1005,1,MATCH(COLUMNS($AM$1006:AY1006),$AM$1006:$BM$1006,0))&gt;=100000), " ",IF(INDEX($AM$2:$BM$1001,MATCH(ROWS($AF$2:AF688),$AF$2:$AF$1001,0),MATCH(COLUMNS($AM$1006:AY1006),$AM$1006:$BM$1006,0)), HYPERLINK("#",""), HYPERLINK(CONCATENATE("#metadata!", ADDRESS(INDEX($AH$2:$AH$1001,MATCH(ROWS($AF$2:AF688),$AF$2:$AF$1001,0),0), INDEX($AM$1004:$BM$1004,1,MATCH(COLUMNS($AM$1006:AY1006),$AM$1006:$BM$1006,0)))),"Fix")))</f>
        <v xml:space="preserve"> </v>
      </c>
      <c r="O688" s="4" t="str">
        <f ca="1">IF(OR(INDEX($AG$2:$AG$1001,MATCH(ROWS($AF$2:AF688),$AF$2:$AF$1001,0),1)&gt;=100000,INDEX($AM$1005:$BM$1005,1,MATCH(COLUMNS($AM$1006:AZ1006),$AM$1006:$BM$1006,0))&gt;=100000), " ",IF(INDEX($AM$2:$BM$1001,MATCH(ROWS($AF$2:AF688),$AF$2:$AF$1001,0),MATCH(COLUMNS($AM$1006:AZ1006),$AM$1006:$BM$1006,0)), HYPERLINK("#",""), HYPERLINK(CONCATENATE("#metadata!", ADDRESS(INDEX($AH$2:$AH$1001,MATCH(ROWS($AF$2:AF688),$AF$2:$AF$1001,0),0), INDEX($AM$1004:$BM$1004,1,MATCH(COLUMNS($AM$1006:AZ1006),$AM$1006:$BM$1006,0)))),"Fix")))</f>
        <v xml:space="preserve"> </v>
      </c>
      <c r="P688" s="4" t="str">
        <f ca="1">IF(OR(INDEX($AG$2:$AG$1001,MATCH(ROWS($AF$2:AF688),$AF$2:$AF$1001,0),1)&gt;=100000,INDEX($AM$1005:$BM$1005,1,MATCH(COLUMNS($AM$1006:BA1006),$AM$1006:$BM$1006,0))&gt;=100000), " ",IF(INDEX($AM$2:$BM$1001,MATCH(ROWS($AF$2:AF688),$AF$2:$AF$1001,0),MATCH(COLUMNS($AM$1006:BA1006),$AM$1006:$BM$1006,0)), HYPERLINK("#",""), HYPERLINK(CONCATENATE("#metadata!", ADDRESS(INDEX($AH$2:$AH$1001,MATCH(ROWS($AF$2:AF688),$AF$2:$AF$1001,0),0), INDEX($AM$1004:$BM$1004,1,MATCH(COLUMNS($AM$1006:BA1006),$AM$1006:$BM$1006,0)))),"Fix")))</f>
        <v xml:space="preserve"> </v>
      </c>
      <c r="Q688" s="4" t="str">
        <f ca="1">IF(OR(INDEX($AG$2:$AG$1001,MATCH(ROWS($AF$2:AF688),$AF$2:$AF$1001,0),1)&gt;=100000,INDEX($AM$1005:$BM$1005,1,MATCH(COLUMNS($AM$1006:BB1006),$AM$1006:$BM$1006,0))&gt;=100000), " ",IF(INDEX($AM$2:$BM$1001,MATCH(ROWS($AF$2:AF688),$AF$2:$AF$1001,0),MATCH(COLUMNS($AM$1006:BB1006),$AM$1006:$BM$1006,0)), HYPERLINK("#",""), HYPERLINK(CONCATENATE("#metadata!", ADDRESS(INDEX($AH$2:$AH$1001,MATCH(ROWS($AF$2:AF688),$AF$2:$AF$1001,0),0), INDEX($AM$1004:$BM$1004,1,MATCH(COLUMNS($AM$1006:BB1006),$AM$1006:$BM$1006,0)))),"Fix")))</f>
        <v xml:space="preserve"> </v>
      </c>
      <c r="R688" s="4" t="str">
        <f ca="1">IF(OR(INDEX($AG$2:$AG$1001,MATCH(ROWS($AF$2:AF688),$AF$2:$AF$1001,0),1)&gt;=100000,INDEX($AM$1005:$BM$1005,1,MATCH(COLUMNS($AM$1006:BC1006),$AM$1006:$BM$1006,0))&gt;=100000), " ",IF(INDEX($AM$2:$BM$1001,MATCH(ROWS($AF$2:AF688),$AF$2:$AF$1001,0),MATCH(COLUMNS($AM$1006:BC1006),$AM$1006:$BM$1006,0)), HYPERLINK("#",""), HYPERLINK(CONCATENATE("#metadata!", ADDRESS(INDEX($AH$2:$AH$1001,MATCH(ROWS($AF$2:AF688),$AF$2:$AF$1001,0),0), INDEX($AM$1004:$BM$1004,1,MATCH(COLUMNS($AM$1006:BC1006),$AM$1006:$BM$1006,0)))),"Fix")))</f>
        <v xml:space="preserve"> </v>
      </c>
      <c r="S688" s="4" t="str">
        <f ca="1">IF(OR(INDEX($AG$2:$AG$1001,MATCH(ROWS($AF$2:AF688),$AF$2:$AF$1001,0),1)&gt;=100000,INDEX($AM$1005:$BM$1005,1,MATCH(COLUMNS($AM$1006:BD1006),$AM$1006:$BM$1006,0))&gt;=100000), " ",IF(INDEX($AM$2:$BM$1001,MATCH(ROWS($AF$2:AF688),$AF$2:$AF$1001,0),MATCH(COLUMNS($AM$1006:BD1006),$AM$1006:$BM$1006,0)), HYPERLINK("#",""), HYPERLINK(CONCATENATE("#metadata!", ADDRESS(INDEX($AH$2:$AH$1001,MATCH(ROWS($AF$2:AF688),$AF$2:$AF$1001,0),0), INDEX($AM$1004:$BM$1004,1,MATCH(COLUMNS($AM$1006:BD1006),$AM$1006:$BM$1006,0)))),"Fix")))</f>
        <v xml:space="preserve"> </v>
      </c>
      <c r="T688" s="4" t="str">
        <f ca="1">IF(OR(INDEX($AG$2:$AG$1001,MATCH(ROWS($AF$2:AF688),$AF$2:$AF$1001,0),1)&gt;=100000,INDEX($AM$1005:$BM$1005,1,MATCH(COLUMNS($AM$1006:BE1006),$AM$1006:$BM$1006,0))&gt;=100000), " ",IF(INDEX($AM$2:$BM$1001,MATCH(ROWS($AF$2:AF688),$AF$2:$AF$1001,0),MATCH(COLUMNS($AM$1006:BE1006),$AM$1006:$BM$1006,0)), HYPERLINK("#",""), HYPERLINK(CONCATENATE("#metadata!", ADDRESS(INDEX($AH$2:$AH$1001,MATCH(ROWS($AF$2:AF688),$AF$2:$AF$1001,0),0), INDEX($AM$1004:$BM$1004,1,MATCH(COLUMNS($AM$1006:BE1006),$AM$1006:$BM$1006,0)))),"Fix")))</f>
        <v xml:space="preserve"> </v>
      </c>
      <c r="U688" s="4" t="str">
        <f ca="1">IF(OR(INDEX($AG$2:$AG$1001,MATCH(ROWS($AF$2:AF688),$AF$2:$AF$1001,0),1)&gt;=100000,INDEX($AM$1005:$BM$1005,1,MATCH(COLUMNS($AM$1006:BF1006),$AM$1006:$BM$1006,0))&gt;=100000), " ",IF(INDEX($AM$2:$BM$1001,MATCH(ROWS($AF$2:AF688),$AF$2:$AF$1001,0),MATCH(COLUMNS($AM$1006:BF1006),$AM$1006:$BM$1006,0)), HYPERLINK("#",""), HYPERLINK(CONCATENATE("#metadata!", ADDRESS(INDEX($AH$2:$AH$1001,MATCH(ROWS($AF$2:AF688),$AF$2:$AF$1001,0),0), INDEX($AM$1004:$BM$1004,1,MATCH(COLUMNS($AM$1006:BF1006),$AM$1006:$BM$1006,0)))),"Fix")))</f>
        <v xml:space="preserve"> </v>
      </c>
      <c r="V688" s="4" t="str">
        <f ca="1">IF(OR(INDEX($AG$2:$AG$1001,MATCH(ROWS($AF$2:AF688),$AF$2:$AF$1001,0),1)&gt;=100000,INDEX($AM$1005:$BM$1005,1,MATCH(COLUMNS($AM$1006:BG1006),$AM$1006:$BM$1006,0))&gt;=100000), " ",IF(INDEX($AM$2:$BM$1001,MATCH(ROWS($AF$2:AF688),$AF$2:$AF$1001,0),MATCH(COLUMNS($AM$1006:BG1006),$AM$1006:$BM$1006,0)), HYPERLINK("#",""), HYPERLINK(CONCATENATE("#metadata!", ADDRESS(INDEX($AH$2:$AH$1001,MATCH(ROWS($AF$2:AF688),$AF$2:$AF$1001,0),0), INDEX($AM$1004:$BM$1004,1,MATCH(COLUMNS($AM$1006:BG1006),$AM$1006:$BM$1006,0)))),"Fix")))</f>
        <v xml:space="preserve"> </v>
      </c>
      <c r="W688" s="4" t="str">
        <f ca="1">IF(OR(INDEX($AG$2:$AG$1001,MATCH(ROWS($AF$2:AF688),$AF$2:$AF$1001,0),1)&gt;=100000,INDEX($AM$1005:$BM$1005,1,MATCH(COLUMNS($AM$1006:BH1006),$AM$1006:$BM$1006,0))&gt;=100000), " ",IF(INDEX($AM$2:$BM$1001,MATCH(ROWS($AF$2:AF688),$AF$2:$AF$1001,0),MATCH(COLUMNS($AM$1006:BH1006),$AM$1006:$BM$1006,0)), HYPERLINK("#",""), HYPERLINK(CONCATENATE("#metadata!", ADDRESS(INDEX($AH$2:$AH$1001,MATCH(ROWS($AF$2:AF688),$AF$2:$AF$1001,0),0), INDEX($AM$1004:$BM$1004,1,MATCH(COLUMNS($AM$1006:BH1006),$AM$1006:$BM$1006,0)))),"Fix")))</f>
        <v xml:space="preserve"> </v>
      </c>
      <c r="X688" s="4" t="str">
        <f ca="1">IF(OR(INDEX($AG$2:$AG$1001,MATCH(ROWS($AF$2:AF688),$AF$2:$AF$1001,0),1)&gt;=100000,INDEX($AM$1005:$BM$1005,1,MATCH(COLUMNS($AM$1006:BI1006),$AM$1006:$BM$1006,0))&gt;=100000), " ",IF(INDEX($AM$2:$BM$1001,MATCH(ROWS($AF$2:AF688),$AF$2:$AF$1001,0),MATCH(COLUMNS($AM$1006:BI1006),$AM$1006:$BM$1006,0)), HYPERLINK("#",""), HYPERLINK(CONCATENATE("#metadata!", ADDRESS(INDEX($AH$2:$AH$1001,MATCH(ROWS($AF$2:AF688),$AF$2:$AF$1001,0),0), INDEX($AM$1004:$BM$1004,1,MATCH(COLUMNS($AM$1006:BI1006),$AM$1006:$BM$1006,0)))),"Fix")))</f>
        <v xml:space="preserve"> </v>
      </c>
      <c r="Y688" s="4" t="str">
        <f ca="1">IF(OR(INDEX($AG$2:$AG$1001,MATCH(ROWS($AF$2:AF688),$AF$2:$AF$1001,0),1)&gt;=100000,INDEX($AM$1005:$BM$1005,1,MATCH(COLUMNS($AM$1006:BJ1006),$AM$1006:$BM$1006,0))&gt;=100000), " ",IF(INDEX($AM$2:$BM$1001,MATCH(ROWS($AF$2:AF688),$AF$2:$AF$1001,0),MATCH(COLUMNS($AM$1006:BJ1006),$AM$1006:$BM$1006,0)), HYPERLINK("#",""), HYPERLINK(CONCATENATE("#metadata!", ADDRESS(INDEX($AH$2:$AH$1001,MATCH(ROWS($AF$2:AF688),$AF$2:$AF$1001,0),0), INDEX($AM$1004:$BM$1004,1,MATCH(COLUMNS($AM$1006:BJ1006),$AM$1006:$BM$1006,0)))),"Fix")))</f>
        <v xml:space="preserve"> </v>
      </c>
      <c r="Z688" s="4" t="str">
        <f ca="1">IF(OR(INDEX($AG$2:$AG$1001,MATCH(ROWS($AF$2:AF688),$AF$2:$AF$1001,0),1)&gt;=100000,INDEX($AM$1005:$BM$1005,1,MATCH(COLUMNS($AM$1006:BK1006),$AM$1006:$BM$1006,0))&gt;=100000), " ",IF(INDEX($AM$2:$BM$1001,MATCH(ROWS($AF$2:AF688),$AF$2:$AF$1001,0),MATCH(COLUMNS($AM$1006:BK1006),$AM$1006:$BM$1006,0)), HYPERLINK("#",""), HYPERLINK(CONCATENATE("#metadata!", ADDRESS(INDEX($AH$2:$AH$1001,MATCH(ROWS($AF$2:AF688),$AF$2:$AF$1001,0),0), INDEX($AM$1004:$BM$1004,1,MATCH(COLUMNS($AM$1006:BK1006),$AM$1006:$BM$1006,0)))),"Fix")))</f>
        <v xml:space="preserve"> </v>
      </c>
      <c r="AA688" s="4" t="str">
        <f ca="1">IF(OR(INDEX($AG$2:$AG$1001,MATCH(ROWS($AF$2:AF688),$AF$2:$AF$1001,0),1)&gt;=100000,INDEX($AM$1005:$BM$1005,1,MATCH(COLUMNS($AM$1006:BL1006),$AM$1006:$BM$1006,0))&gt;=100000), " ",IF(INDEX($AM$2:$BM$1001,MATCH(ROWS($AF$2:AF688),$AF$2:$AF$1001,0),MATCH(COLUMNS($AM$1006:BL1006),$AM$1006:$BM$1006,0)), HYPERLINK("#",""), HYPERLINK(CONCATENATE("#metadata!", ADDRESS(INDEX($AH$2:$AH$1001,MATCH(ROWS($AF$2:AF688),$AF$2:$AF$1001,0),0), INDEX($AM$1004:$BM$1004,1,MATCH(COLUMNS($AM$1006:BL1006),$AM$1006:$BM$1006,0)))),"Fix")))</f>
        <v xml:space="preserve"> </v>
      </c>
      <c r="AB688" s="4" t="str">
        <f ca="1">IF(OR(INDEX($AG$2:$AG$1001,MATCH(ROWS($AF$2:AF688),$AF$2:$AF$1001,0),1)&gt;=100000,INDEX($AM$1005:$BM$1005,1,MATCH(COLUMNS($AM$1006:BM1006),$AM$1006:$BM$1006,0))&gt;=100000), " ",IF(INDEX($AM$2:$BM$1001,MATCH(ROWS($AF$2:AF688),$AF$2:$AF$1001,0),MATCH(COLUMNS($AM$1006:BM1006),$AM$1006:$BM$1006,0)), HYPERLINK("#",""), HYPERLINK(CONCATENATE("#metadata!", ADDRESS(INDEX($AH$2:$AH$1001,MATCH(ROWS($AF$2:AF688),$AF$2:$AF$1001,0),0), INDEX($AM$1004:$BM$1004,1,MATCH(COLUMNS($AM$1006:BM1006),$AM$1006:$BM$1006,0)))),"Fix")))</f>
        <v xml:space="preserve"> </v>
      </c>
      <c r="AF688">
        <v>687</v>
      </c>
      <c r="AG688">
        <v>100688</v>
      </c>
      <c r="AH688">
        <v>688</v>
      </c>
      <c r="AI688" t="b">
        <f t="shared" si="10"/>
        <v>1</v>
      </c>
      <c r="AJ688" t="b">
        <f>COUNTBLANK(metadata!B688:AB688)=COLUMNS(metadata!B688:AB688)</f>
        <v>1</v>
      </c>
      <c r="AK688" t="str">
        <v/>
      </c>
      <c r="AM688" t="b">
        <f ca="1">AND(IF(metadata!B688="",FALSE,TRUE),COUNTIF(metadata!B:B, metadata!B688) = 1,NOT(ISERROR(SUMPRODUCT(SEARCH(MID(metadata!B688,ROW(INDIRECT("1:"&amp;LEN(metadata!B688))), 1),"0123456789abcdefghijklmnopqrstuvwxyzABCDEFGHIJKLMNOPQRSTUVWXYZ.")))))</f>
        <v>0</v>
      </c>
      <c r="AN688" t="b">
        <f ca="1">OR(AND(IF(metadata!C688="",FALSE,TRUE),OR(EXACT(metadata!C688,"missing: not collected"),EXACT(metadata!C688,"missing: not provided"),EXACT(metadata!C688,"missing: restricted access"))),AND(IF(metadata!C688="",FALSE,TRUE),AND(AND(IFERROR(INT(LEFT(metadata!C688,4))&gt;1900,FALSE),IFERROR(INT(LEFT(metadata!C688,4))&lt;=YEAR(NOW()),FALSE)), OR(MID(metadata!C688,5,1)="", AND(AND(MID(metadata!C688,5,1)="-",IFERROR(INT(MID(metadata!C688,6,1))&gt;=0,FALSE),IFERROR(INT(MID(metadata!C688,6,1))&lt;=1,FALSE),NOT(MID(metadata!C688,7,1)=""),IFERROR(INT(MID(metadata!C688,6,2))&gt;=1,FALSE),IFERROR(INT(MID(metadata!C688,6,2))&lt;=12,FALSE)), OR(MID(metadata!C688,8,1)="", AND(AND(MID(metadata!C688,8,1)="-",IFERROR(INT(MID(metadata!C688,9,1))&gt;=0,FALSE),IFERROR(INT(MID(metadata!C688,9,1))&lt;=3,FALSE),NOT(MID(metadata!C688,10,1)=""),IFERROR(INT(MID(metadata!C688,9,2))&gt;=1,FALSE),IFERROR(INT(MID(metadata!C688,9,2))&lt;=31,FALSE)), OR(MID(metadata!C688,11,1)="", AND(AND(MID(metadata!C688,11,1)=" ",IFERROR(INT(MID(metadata!C688,12,1))&gt;=0,FALSE),IFERROR(INT(MID(metadata!C688,12,1))&lt;=2,FALSE),NOT(MID(metadata!C688,13,1)=""),IFERROR(INT(MID(metadata!C688,12,2))&gt;=0,FALSE),IFERROR(INT(MID(metadata!C688,12,2))&lt;=23,FALSE)), OR(MID(metadata!C688,14,1)="", AND(AND(MID(metadata!C688,14,1)=":",IFERROR(INT(MID(metadata!C688,15,1))&gt;=0,FALSE),IFERROR(INT(MID(metadata!C688,15,1))&lt;=5,FALSE),NOT(MID(metadata!C688,16,1)=""),IFERROR(INT(MID(metadata!C688,15,2))&gt;=0,FALSE),IFERROR(INT(MID(metadata!C688,15,2))&lt;=59,FALSE)), OR(MID(metadata!C688,17,1)="", AND(AND(MID(metadata!C688,17,1)=":",IFERROR(INT(MID(metadata!C688,18,1))&gt;=0,FALSE),IFERROR(INT(MID(metadata!C688,18,1))&lt;=5,FALSE),NOT(MID(metadata!C688,19,1)=""),IFERROR(INT(MID(metadata!C688,18,2))&gt;=0,FALSE),IFERROR(INT(MID(metadata!C688,18,2))&lt;=59,FALSE)), LEN(metadata!C688)&lt;=19)))))))))))))</f>
        <v>0</v>
      </c>
      <c r="AO688" t="b">
        <f>AND(IF(metadata!D688="",FALSE,TRUE),EXACT(metadata!D688,"Not applicable"))</f>
        <v>0</v>
      </c>
      <c r="AP688" t="b">
        <f>IF(metadata!E688="",FALSE,TRUE)</f>
        <v>0</v>
      </c>
      <c r="AQ688" t="b">
        <f>OR(AND(IF(metadata!F688="",FALSE,TRUE),OR(EXACT(metadata!F688,"missing: not collected"),EXACT(metadata!F688,"missing: not provided"))),AND(IF(metadata!F688="",FALSE,TRUE),OR(EXACT(metadata!F688,"TRUE"),EXACT(metadata!F688,"FALSE"))))</f>
        <v>0</v>
      </c>
      <c r="AR688" t="b">
        <f>OR(AND(IF(metadata!G688="",FALSE,TRUE),OR(EXACT(metadata!G688,"missing: not collected"),EXACT(metadata!G688,"missing: not provided"),EXACT(metadata!G688,"missing: restricted access"))),AND(IF(metadata!G688="",FALSE,ISNUMBER(VALUE(metadata!G688))),metadata!G688&gt;=-413))</f>
        <v>0</v>
      </c>
      <c r="AS688" t="b">
        <f>AND(IF(metadata!H688="",FALSE,TRUE),EXACT(metadata!H688,"meters"))</f>
        <v>0</v>
      </c>
      <c r="AT688" t="b">
        <f>AND(IF(metadata!I688="",FALSE,TRUE),OR(EXACT(metadata!I688,"Host-associated"),EXACT(metadata!I688,"Free-living")))</f>
        <v>0</v>
      </c>
      <c r="AU688" t="b">
        <f>AND(IF(metadata!J688="",FALSE,TRUE),OR(EXACT(metadata!J688,"Animal"),EXACT(metadata!J688,"Fungus"),EXACT(metadata!J688,"Plant"),EXACT(metadata!J688,"Saline"),EXACT(metadata!J688,"Non-saline")))</f>
        <v>0</v>
      </c>
      <c r="AV688" t="b">
        <f>AND(IF(metadata!K688="",FALSE,TRUE),OR(EXACT(metadata!K688,"Plant secretion"),EXACT(metadata!K688,"Plant rhizosphere"),EXACT(metadata!K688,"Plant surface"),EXACT(metadata!K688,"Plant corpus"),EXACT(metadata!K688,"Fungus surface"),EXACT(metadata!K688,"Fungus corpus"),EXACT(metadata!K688,"Animal surface"),EXACT(metadata!K688,"Animal proximal gut"),EXACT(metadata!K688,"Animal corpus"),EXACT(metadata!K688,"Animal distal gut"),EXACT(metadata!K688,"Animal secretion"),EXACT(metadata!K688,"Sub-surface (non-saline)"),EXACT(metadata!K688,"Surface (non-saline)"),EXACT(metadata!K688,"Water (non-saline)"),EXACT(metadata!K688,"Soil (non-saline)"),EXACT(metadata!K688,"Aerosol (non-saline)"),EXACT(metadata!K688,"Sediment (non-saline)"),EXACT(metadata!K688,"Surface (saline)"),EXACT(metadata!K688,"Water (saline)"),EXACT(metadata!K688,"Hypersaline (saline)"),EXACT(metadata!K688,"Aerosol (saline)"),EXACT(metadata!K688,"Sediment (saline)")))</f>
        <v>0</v>
      </c>
      <c r="AW688" t="b">
        <f>IF(metadata!L688="",FALSE,TRUE)</f>
        <v>0</v>
      </c>
      <c r="AX688" t="b">
        <f>IF(metadata!M688="",FALSE,TRUE)</f>
        <v>0</v>
      </c>
      <c r="AY688" t="b">
        <f>IF(metadata!N688="",FALSE,TRUE)</f>
        <v>0</v>
      </c>
      <c r="AZ688" t="b">
        <f>OR(AND(IF(metadata!O688="",FALSE,TRUE),OR(EXACT(metadata!O688,"missing: not collected"),EXACT(metadata!O688,"missing: not provided"),EXACT(metadata!O688,"missing: restricted access"))),AND(IF(metadata!O688="",FALSE,TRUE),OR(EXACT(metadata!O688,"air"),EXACT(metadata!O688,"built environment"),EXACT(metadata!O688,"host-associated"),EXACT(metadata!O688,"human-associated"),EXACT(metadata!O688,"human-skin"),EXACT(metadata!O688,"human-oral"),EXACT(metadata!O688,"human-gut"),EXACT(metadata!O688,"human-vaginal"),EXACT(metadata!O688,"microbial mat/biofilm"),EXACT(metadata!O688,"misc environment"),EXACT(metadata!O688,"plant-associated"),EXACT(metadata!O688,"sediment"),EXACT(metadata!O688,"soil"),EXACT(metadata!O688,"wastewater/sludge"),EXACT(metadata!O688,"water"))))</f>
        <v>0</v>
      </c>
      <c r="BA688" t="b">
        <f>IF(metadata!P688="",FALSE,TRUE)</f>
        <v>0</v>
      </c>
      <c r="BB688" t="b">
        <f>IF(metadata!Q688="",FALSE,TRUE)</f>
        <v>0</v>
      </c>
      <c r="BC688" t="b">
        <f>OR(AND(IF(metadata!R688="",FALSE,TRUE),OR(EXACT(metadata!R688,"missing: not collected"),EXACT(metadata!R688,"missing: not provided"),EXACT(metadata!R688,"missing: restricted access"))),AND(IF(metadata!R688="",FALSE,ISNUMBER(VALUE(metadata!R688))),metadata!R688&gt;=-90,metadata!R688&lt;=90))</f>
        <v>0</v>
      </c>
      <c r="BD688" t="b">
        <f>AND(IF(metadata!S688="",FALSE,TRUE),EXACT(metadata!S688,"Decimal degrees"))</f>
        <v>0</v>
      </c>
      <c r="BE688" t="b">
        <f>OR(AND(IF(metadata!T688="",FALSE,TRUE),OR(EXACT(metadata!T688,"missing: not collected"),EXACT(metadata!T688,"missing: not provided"),EXACT(metadata!T688,"missing: restricted access"))),AND(IF(metadata!T688="",FALSE,ISNUMBER(VALUE(metadata!T688))),metadata!T688&gt;=-180,metadata!T688&lt;=180))</f>
        <v>0</v>
      </c>
      <c r="BF688" t="b">
        <f>AND(IF(metadata!U688="",FALSE,TRUE),EXACT(metadata!U688,"Decimal degrees"))</f>
        <v>0</v>
      </c>
      <c r="BG688" t="b">
        <f>IF(metadata!V688="",FALSE,TRUE)</f>
        <v>0</v>
      </c>
      <c r="BH688" t="b">
        <f>OR(AND(IF(metadata!W688="",FALSE,TRUE),OR(EXACT(metadata!W688,"missing: not collected"),EXACT(metadata!W688,"missing: not provided"),EXACT(metadata!W688,"missing: restricted access"))),AND(IF(metadata!W688="",FALSE,TRUE),OR(EXACT(metadata!W688,"TRUE"),EXACT(metadata!W688,"FALSE"))))</f>
        <v>0</v>
      </c>
      <c r="BI688" t="b">
        <f>AND(IF(metadata!X688="",FALSE,TRUE),EXACT(metadata!X688,"other"))</f>
        <v>0</v>
      </c>
      <c r="BJ688" t="b">
        <f>IF(metadata!Y688="",FALSE,TRUE)</f>
        <v>0</v>
      </c>
      <c r="BK688" t="b">
        <f>OR(AND(IF(metadata!Z688="",FALSE,TRUE),OR(EXACT(metadata!Z688,"missing: not collected"),EXACT(metadata!Z688,"missing: not provided"))),AND(IF(metadata!Z688="",FALSE,IF(ISERROR(INT(metadata!Z688)),FALSE,INT(metadata!Z688)=metadata!Z688)),metadata!Z688&gt;0))</f>
        <v>0</v>
      </c>
      <c r="BL688" t="b">
        <f>AND(IF(metadata!AA688="",FALSE,TRUE),EXACT(metadata!AA688,"Not applicable"))</f>
        <v>0</v>
      </c>
      <c r="BM688" t="b">
        <f>IF(metadata!AB688="",FALSE,TRUE)</f>
        <v>0</v>
      </c>
    </row>
    <row r="689" spans="1:65" x14ac:dyDescent="0.2">
      <c r="A689" s="5" t="str">
        <f ca="1">IF(B689=" "," ",HYPERLINK(CONCATENATE("#metadata!",ADDRESS(INDEX($AH$2:$AH$1001,MATCH(ROWS($AF$2:AF689),$AF$2:$AF$1001,0),0),1)),INDEX($AK$2:$AK$1001,MATCH(ROWS($AF$2:AF689),$AF$2:$AF$1001,0),0)))</f>
        <v xml:space="preserve"> </v>
      </c>
      <c r="B689" s="4" t="str">
        <f ca="1">IF(OR(INDEX($AG$2:$AG$1001,MATCH(ROWS($AF$2:AF689),$AF$2:$AF$1001,0),1)&gt;=100000,INDEX($AM$1005:$BM$1005,1,MATCH(COLUMNS($AM$1006:AM1006),$AM$1006:$BM$1006,0))&gt;=100000), " ",IF(INDEX($AM$2:$BM$1001,MATCH(ROWS($AF$2:AF689),$AF$2:$AF$1001,0),MATCH(COLUMNS($AM$1006:AM1006),$AM$1006:$BM$1006,0)), HYPERLINK("#",""), HYPERLINK(CONCATENATE("#metadata!", ADDRESS(INDEX($AH$2:$AH$1001,MATCH(ROWS($AF$2:AF689),$AF$2:$AF$1001,0),0), INDEX($AM$1004:$BM$1004,1,MATCH(COLUMNS($AM$1006:AM1006),$AM$1006:$BM$1006,0)))),"Fix")))</f>
        <v xml:space="preserve"> </v>
      </c>
      <c r="C689" s="4" t="str">
        <f ca="1">IF(OR(INDEX($AG$2:$AG$1001,MATCH(ROWS($AF$2:AF689),$AF$2:$AF$1001,0),1)&gt;=100000,INDEX($AM$1005:$BM$1005,1,MATCH(COLUMNS($AM$1006:AN1006),$AM$1006:$BM$1006,0))&gt;=100000), " ",IF(INDEX($AM$2:$BM$1001,MATCH(ROWS($AF$2:AF689),$AF$2:$AF$1001,0),MATCH(COLUMNS($AM$1006:AN1006),$AM$1006:$BM$1006,0)), HYPERLINK("#",""), HYPERLINK(CONCATENATE("#metadata!", ADDRESS(INDEX($AH$2:$AH$1001,MATCH(ROWS($AF$2:AF689),$AF$2:$AF$1001,0),0), INDEX($AM$1004:$BM$1004,1,MATCH(COLUMNS($AM$1006:AN1006),$AM$1006:$BM$1006,0)))),"Fix")))</f>
        <v xml:space="preserve"> </v>
      </c>
      <c r="D689" s="4" t="str">
        <f ca="1">IF(OR(INDEX($AG$2:$AG$1001,MATCH(ROWS($AF$2:AF689),$AF$2:$AF$1001,0),1)&gt;=100000,INDEX($AM$1005:$BM$1005,1,MATCH(COLUMNS($AM$1006:AO1006),$AM$1006:$BM$1006,0))&gt;=100000), " ",IF(INDEX($AM$2:$BM$1001,MATCH(ROWS($AF$2:AF689),$AF$2:$AF$1001,0),MATCH(COLUMNS($AM$1006:AO1006),$AM$1006:$BM$1006,0)), HYPERLINK("#",""), HYPERLINK(CONCATENATE("#metadata!", ADDRESS(INDEX($AH$2:$AH$1001,MATCH(ROWS($AF$2:AF689),$AF$2:$AF$1001,0),0), INDEX($AM$1004:$BM$1004,1,MATCH(COLUMNS($AM$1006:AO1006),$AM$1006:$BM$1006,0)))),"Fix")))</f>
        <v xml:space="preserve"> </v>
      </c>
      <c r="E689" s="4" t="str">
        <f ca="1">IF(OR(INDEX($AG$2:$AG$1001,MATCH(ROWS($AF$2:AF689),$AF$2:$AF$1001,0),1)&gt;=100000,INDEX($AM$1005:$BM$1005,1,MATCH(COLUMNS($AM$1006:AP1006),$AM$1006:$BM$1006,0))&gt;=100000), " ",IF(INDEX($AM$2:$BM$1001,MATCH(ROWS($AF$2:AF689),$AF$2:$AF$1001,0),MATCH(COLUMNS($AM$1006:AP1006),$AM$1006:$BM$1006,0)), HYPERLINK("#",""), HYPERLINK(CONCATENATE("#metadata!", ADDRESS(INDEX($AH$2:$AH$1001,MATCH(ROWS($AF$2:AF689),$AF$2:$AF$1001,0),0), INDEX($AM$1004:$BM$1004,1,MATCH(COLUMNS($AM$1006:AP1006),$AM$1006:$BM$1006,0)))),"Fix")))</f>
        <v xml:space="preserve"> </v>
      </c>
      <c r="F689" s="4" t="str">
        <f ca="1">IF(OR(INDEX($AG$2:$AG$1001,MATCH(ROWS($AF$2:AF689),$AF$2:$AF$1001,0),1)&gt;=100000,INDEX($AM$1005:$BM$1005,1,MATCH(COLUMNS($AM$1006:AQ1006),$AM$1006:$BM$1006,0))&gt;=100000), " ",IF(INDEX($AM$2:$BM$1001,MATCH(ROWS($AF$2:AF689),$AF$2:$AF$1001,0),MATCH(COLUMNS($AM$1006:AQ1006),$AM$1006:$BM$1006,0)), HYPERLINK("#",""), HYPERLINK(CONCATENATE("#metadata!", ADDRESS(INDEX($AH$2:$AH$1001,MATCH(ROWS($AF$2:AF689),$AF$2:$AF$1001,0),0), INDEX($AM$1004:$BM$1004,1,MATCH(COLUMNS($AM$1006:AQ1006),$AM$1006:$BM$1006,0)))),"Fix")))</f>
        <v xml:space="preserve"> </v>
      </c>
      <c r="G689" s="4" t="str">
        <f ca="1">IF(OR(INDEX($AG$2:$AG$1001,MATCH(ROWS($AF$2:AF689),$AF$2:$AF$1001,0),1)&gt;=100000,INDEX($AM$1005:$BM$1005,1,MATCH(COLUMNS($AM$1006:AR1006),$AM$1006:$BM$1006,0))&gt;=100000), " ",IF(INDEX($AM$2:$BM$1001,MATCH(ROWS($AF$2:AF689),$AF$2:$AF$1001,0),MATCH(COLUMNS($AM$1006:AR1006),$AM$1006:$BM$1006,0)), HYPERLINK("#",""), HYPERLINK(CONCATENATE("#metadata!", ADDRESS(INDEX($AH$2:$AH$1001,MATCH(ROWS($AF$2:AF689),$AF$2:$AF$1001,0),0), INDEX($AM$1004:$BM$1004,1,MATCH(COLUMNS($AM$1006:AR1006),$AM$1006:$BM$1006,0)))),"Fix")))</f>
        <v xml:space="preserve"> </v>
      </c>
      <c r="H689" s="4" t="str">
        <f ca="1">IF(OR(INDEX($AG$2:$AG$1001,MATCH(ROWS($AF$2:AF689),$AF$2:$AF$1001,0),1)&gt;=100000,INDEX($AM$1005:$BM$1005,1,MATCH(COLUMNS($AM$1006:AS1006),$AM$1006:$BM$1006,0))&gt;=100000), " ",IF(INDEX($AM$2:$BM$1001,MATCH(ROWS($AF$2:AF689),$AF$2:$AF$1001,0),MATCH(COLUMNS($AM$1006:AS1006),$AM$1006:$BM$1006,0)), HYPERLINK("#",""), HYPERLINK(CONCATENATE("#metadata!", ADDRESS(INDEX($AH$2:$AH$1001,MATCH(ROWS($AF$2:AF689),$AF$2:$AF$1001,0),0), INDEX($AM$1004:$BM$1004,1,MATCH(COLUMNS($AM$1006:AS1006),$AM$1006:$BM$1006,0)))),"Fix")))</f>
        <v xml:space="preserve"> </v>
      </c>
      <c r="I689" s="4" t="str">
        <f ca="1">IF(OR(INDEX($AG$2:$AG$1001,MATCH(ROWS($AF$2:AF689),$AF$2:$AF$1001,0),1)&gt;=100000,INDEX($AM$1005:$BM$1005,1,MATCH(COLUMNS($AM$1006:AT1006),$AM$1006:$BM$1006,0))&gt;=100000), " ",IF(INDEX($AM$2:$BM$1001,MATCH(ROWS($AF$2:AF689),$AF$2:$AF$1001,0),MATCH(COLUMNS($AM$1006:AT1006),$AM$1006:$BM$1006,0)), HYPERLINK("#",""), HYPERLINK(CONCATENATE("#metadata!", ADDRESS(INDEX($AH$2:$AH$1001,MATCH(ROWS($AF$2:AF689),$AF$2:$AF$1001,0),0), INDEX($AM$1004:$BM$1004,1,MATCH(COLUMNS($AM$1006:AT1006),$AM$1006:$BM$1006,0)))),"Fix")))</f>
        <v xml:space="preserve"> </v>
      </c>
      <c r="J689" s="4" t="str">
        <f ca="1">IF(OR(INDEX($AG$2:$AG$1001,MATCH(ROWS($AF$2:AF689),$AF$2:$AF$1001,0),1)&gt;=100000,INDEX($AM$1005:$BM$1005,1,MATCH(COLUMNS($AM$1006:AU1006),$AM$1006:$BM$1006,0))&gt;=100000), " ",IF(INDEX($AM$2:$BM$1001,MATCH(ROWS($AF$2:AF689),$AF$2:$AF$1001,0),MATCH(COLUMNS($AM$1006:AU1006),$AM$1006:$BM$1006,0)), HYPERLINK("#",""), HYPERLINK(CONCATENATE("#metadata!", ADDRESS(INDEX($AH$2:$AH$1001,MATCH(ROWS($AF$2:AF689),$AF$2:$AF$1001,0),0), INDEX($AM$1004:$BM$1004,1,MATCH(COLUMNS($AM$1006:AU1006),$AM$1006:$BM$1006,0)))),"Fix")))</f>
        <v xml:space="preserve"> </v>
      </c>
      <c r="K689" s="4" t="str">
        <f ca="1">IF(OR(INDEX($AG$2:$AG$1001,MATCH(ROWS($AF$2:AF689),$AF$2:$AF$1001,0),1)&gt;=100000,INDEX($AM$1005:$BM$1005,1,MATCH(COLUMNS($AM$1006:AV1006),$AM$1006:$BM$1006,0))&gt;=100000), " ",IF(INDEX($AM$2:$BM$1001,MATCH(ROWS($AF$2:AF689),$AF$2:$AF$1001,0),MATCH(COLUMNS($AM$1006:AV1006),$AM$1006:$BM$1006,0)), HYPERLINK("#",""), HYPERLINK(CONCATENATE("#metadata!", ADDRESS(INDEX($AH$2:$AH$1001,MATCH(ROWS($AF$2:AF689),$AF$2:$AF$1001,0),0), INDEX($AM$1004:$BM$1004,1,MATCH(COLUMNS($AM$1006:AV1006),$AM$1006:$BM$1006,0)))),"Fix")))</f>
        <v xml:space="preserve"> </v>
      </c>
      <c r="L689" s="4" t="str">
        <f ca="1">IF(OR(INDEX($AG$2:$AG$1001,MATCH(ROWS($AF$2:AF689),$AF$2:$AF$1001,0),1)&gt;=100000,INDEX($AM$1005:$BM$1005,1,MATCH(COLUMNS($AM$1006:AW1006),$AM$1006:$BM$1006,0))&gt;=100000), " ",IF(INDEX($AM$2:$BM$1001,MATCH(ROWS($AF$2:AF689),$AF$2:$AF$1001,0),MATCH(COLUMNS($AM$1006:AW1006),$AM$1006:$BM$1006,0)), HYPERLINK("#",""), HYPERLINK(CONCATENATE("#metadata!", ADDRESS(INDEX($AH$2:$AH$1001,MATCH(ROWS($AF$2:AF689),$AF$2:$AF$1001,0),0), INDEX($AM$1004:$BM$1004,1,MATCH(COLUMNS($AM$1006:AW1006),$AM$1006:$BM$1006,0)))),"Fix")))</f>
        <v xml:space="preserve"> </v>
      </c>
      <c r="M689" s="4" t="str">
        <f ca="1">IF(OR(INDEX($AG$2:$AG$1001,MATCH(ROWS($AF$2:AF689),$AF$2:$AF$1001,0),1)&gt;=100000,INDEX($AM$1005:$BM$1005,1,MATCH(COLUMNS($AM$1006:AX1006),$AM$1006:$BM$1006,0))&gt;=100000), " ",IF(INDEX($AM$2:$BM$1001,MATCH(ROWS($AF$2:AF689),$AF$2:$AF$1001,0),MATCH(COLUMNS($AM$1006:AX1006),$AM$1006:$BM$1006,0)), HYPERLINK("#",""), HYPERLINK(CONCATENATE("#metadata!", ADDRESS(INDEX($AH$2:$AH$1001,MATCH(ROWS($AF$2:AF689),$AF$2:$AF$1001,0),0), INDEX($AM$1004:$BM$1004,1,MATCH(COLUMNS($AM$1006:AX1006),$AM$1006:$BM$1006,0)))),"Fix")))</f>
        <v xml:space="preserve"> </v>
      </c>
      <c r="N689" s="4" t="str">
        <f ca="1">IF(OR(INDEX($AG$2:$AG$1001,MATCH(ROWS($AF$2:AF689),$AF$2:$AF$1001,0),1)&gt;=100000,INDEX($AM$1005:$BM$1005,1,MATCH(COLUMNS($AM$1006:AY1006),$AM$1006:$BM$1006,0))&gt;=100000), " ",IF(INDEX($AM$2:$BM$1001,MATCH(ROWS($AF$2:AF689),$AF$2:$AF$1001,0),MATCH(COLUMNS($AM$1006:AY1006),$AM$1006:$BM$1006,0)), HYPERLINK("#",""), HYPERLINK(CONCATENATE("#metadata!", ADDRESS(INDEX($AH$2:$AH$1001,MATCH(ROWS($AF$2:AF689),$AF$2:$AF$1001,0),0), INDEX($AM$1004:$BM$1004,1,MATCH(COLUMNS($AM$1006:AY1006),$AM$1006:$BM$1006,0)))),"Fix")))</f>
        <v xml:space="preserve"> </v>
      </c>
      <c r="O689" s="4" t="str">
        <f ca="1">IF(OR(INDEX($AG$2:$AG$1001,MATCH(ROWS($AF$2:AF689),$AF$2:$AF$1001,0),1)&gt;=100000,INDEX($AM$1005:$BM$1005,1,MATCH(COLUMNS($AM$1006:AZ1006),$AM$1006:$BM$1006,0))&gt;=100000), " ",IF(INDEX($AM$2:$BM$1001,MATCH(ROWS($AF$2:AF689),$AF$2:$AF$1001,0),MATCH(COLUMNS($AM$1006:AZ1006),$AM$1006:$BM$1006,0)), HYPERLINK("#",""), HYPERLINK(CONCATENATE("#metadata!", ADDRESS(INDEX($AH$2:$AH$1001,MATCH(ROWS($AF$2:AF689),$AF$2:$AF$1001,0),0), INDEX($AM$1004:$BM$1004,1,MATCH(COLUMNS($AM$1006:AZ1006),$AM$1006:$BM$1006,0)))),"Fix")))</f>
        <v xml:space="preserve"> </v>
      </c>
      <c r="P689" s="4" t="str">
        <f ca="1">IF(OR(INDEX($AG$2:$AG$1001,MATCH(ROWS($AF$2:AF689),$AF$2:$AF$1001,0),1)&gt;=100000,INDEX($AM$1005:$BM$1005,1,MATCH(COLUMNS($AM$1006:BA1006),$AM$1006:$BM$1006,0))&gt;=100000), " ",IF(INDEX($AM$2:$BM$1001,MATCH(ROWS($AF$2:AF689),$AF$2:$AF$1001,0),MATCH(COLUMNS($AM$1006:BA1006),$AM$1006:$BM$1006,0)), HYPERLINK("#",""), HYPERLINK(CONCATENATE("#metadata!", ADDRESS(INDEX($AH$2:$AH$1001,MATCH(ROWS($AF$2:AF689),$AF$2:$AF$1001,0),0), INDEX($AM$1004:$BM$1004,1,MATCH(COLUMNS($AM$1006:BA1006),$AM$1006:$BM$1006,0)))),"Fix")))</f>
        <v xml:space="preserve"> </v>
      </c>
      <c r="Q689" s="4" t="str">
        <f ca="1">IF(OR(INDEX($AG$2:$AG$1001,MATCH(ROWS($AF$2:AF689),$AF$2:$AF$1001,0),1)&gt;=100000,INDEX($AM$1005:$BM$1005,1,MATCH(COLUMNS($AM$1006:BB1006),$AM$1006:$BM$1006,0))&gt;=100000), " ",IF(INDEX($AM$2:$BM$1001,MATCH(ROWS($AF$2:AF689),$AF$2:$AF$1001,0),MATCH(COLUMNS($AM$1006:BB1006),$AM$1006:$BM$1006,0)), HYPERLINK("#",""), HYPERLINK(CONCATENATE("#metadata!", ADDRESS(INDEX($AH$2:$AH$1001,MATCH(ROWS($AF$2:AF689),$AF$2:$AF$1001,0),0), INDEX($AM$1004:$BM$1004,1,MATCH(COLUMNS($AM$1006:BB1006),$AM$1006:$BM$1006,0)))),"Fix")))</f>
        <v xml:space="preserve"> </v>
      </c>
      <c r="R689" s="4" t="str">
        <f ca="1">IF(OR(INDEX($AG$2:$AG$1001,MATCH(ROWS($AF$2:AF689),$AF$2:$AF$1001,0),1)&gt;=100000,INDEX($AM$1005:$BM$1005,1,MATCH(COLUMNS($AM$1006:BC1006),$AM$1006:$BM$1006,0))&gt;=100000), " ",IF(INDEX($AM$2:$BM$1001,MATCH(ROWS($AF$2:AF689),$AF$2:$AF$1001,0),MATCH(COLUMNS($AM$1006:BC1006),$AM$1006:$BM$1006,0)), HYPERLINK("#",""), HYPERLINK(CONCATENATE("#metadata!", ADDRESS(INDEX($AH$2:$AH$1001,MATCH(ROWS($AF$2:AF689),$AF$2:$AF$1001,0),0), INDEX($AM$1004:$BM$1004,1,MATCH(COLUMNS($AM$1006:BC1006),$AM$1006:$BM$1006,0)))),"Fix")))</f>
        <v xml:space="preserve"> </v>
      </c>
      <c r="S689" s="4" t="str">
        <f ca="1">IF(OR(INDEX($AG$2:$AG$1001,MATCH(ROWS($AF$2:AF689),$AF$2:$AF$1001,0),1)&gt;=100000,INDEX($AM$1005:$BM$1005,1,MATCH(COLUMNS($AM$1006:BD1006),$AM$1006:$BM$1006,0))&gt;=100000), " ",IF(INDEX($AM$2:$BM$1001,MATCH(ROWS($AF$2:AF689),$AF$2:$AF$1001,0),MATCH(COLUMNS($AM$1006:BD1006),$AM$1006:$BM$1006,0)), HYPERLINK("#",""), HYPERLINK(CONCATENATE("#metadata!", ADDRESS(INDEX($AH$2:$AH$1001,MATCH(ROWS($AF$2:AF689),$AF$2:$AF$1001,0),0), INDEX($AM$1004:$BM$1004,1,MATCH(COLUMNS($AM$1006:BD1006),$AM$1006:$BM$1006,0)))),"Fix")))</f>
        <v xml:space="preserve"> </v>
      </c>
      <c r="T689" s="4" t="str">
        <f ca="1">IF(OR(INDEX($AG$2:$AG$1001,MATCH(ROWS($AF$2:AF689),$AF$2:$AF$1001,0),1)&gt;=100000,INDEX($AM$1005:$BM$1005,1,MATCH(COLUMNS($AM$1006:BE1006),$AM$1006:$BM$1006,0))&gt;=100000), " ",IF(INDEX($AM$2:$BM$1001,MATCH(ROWS($AF$2:AF689),$AF$2:$AF$1001,0),MATCH(COLUMNS($AM$1006:BE1006),$AM$1006:$BM$1006,0)), HYPERLINK("#",""), HYPERLINK(CONCATENATE("#metadata!", ADDRESS(INDEX($AH$2:$AH$1001,MATCH(ROWS($AF$2:AF689),$AF$2:$AF$1001,0),0), INDEX($AM$1004:$BM$1004,1,MATCH(COLUMNS($AM$1006:BE1006),$AM$1006:$BM$1006,0)))),"Fix")))</f>
        <v xml:space="preserve"> </v>
      </c>
      <c r="U689" s="4" t="str">
        <f ca="1">IF(OR(INDEX($AG$2:$AG$1001,MATCH(ROWS($AF$2:AF689),$AF$2:$AF$1001,0),1)&gt;=100000,INDEX($AM$1005:$BM$1005,1,MATCH(COLUMNS($AM$1006:BF1006),$AM$1006:$BM$1006,0))&gt;=100000), " ",IF(INDEX($AM$2:$BM$1001,MATCH(ROWS($AF$2:AF689),$AF$2:$AF$1001,0),MATCH(COLUMNS($AM$1006:BF1006),$AM$1006:$BM$1006,0)), HYPERLINK("#",""), HYPERLINK(CONCATENATE("#metadata!", ADDRESS(INDEX($AH$2:$AH$1001,MATCH(ROWS($AF$2:AF689),$AF$2:$AF$1001,0),0), INDEX($AM$1004:$BM$1004,1,MATCH(COLUMNS($AM$1006:BF1006),$AM$1006:$BM$1006,0)))),"Fix")))</f>
        <v xml:space="preserve"> </v>
      </c>
      <c r="V689" s="4" t="str">
        <f ca="1">IF(OR(INDEX($AG$2:$AG$1001,MATCH(ROWS($AF$2:AF689),$AF$2:$AF$1001,0),1)&gt;=100000,INDEX($AM$1005:$BM$1005,1,MATCH(COLUMNS($AM$1006:BG1006),$AM$1006:$BM$1006,0))&gt;=100000), " ",IF(INDEX($AM$2:$BM$1001,MATCH(ROWS($AF$2:AF689),$AF$2:$AF$1001,0),MATCH(COLUMNS($AM$1006:BG1006),$AM$1006:$BM$1006,0)), HYPERLINK("#",""), HYPERLINK(CONCATENATE("#metadata!", ADDRESS(INDEX($AH$2:$AH$1001,MATCH(ROWS($AF$2:AF689),$AF$2:$AF$1001,0),0), INDEX($AM$1004:$BM$1004,1,MATCH(COLUMNS($AM$1006:BG1006),$AM$1006:$BM$1006,0)))),"Fix")))</f>
        <v xml:space="preserve"> </v>
      </c>
      <c r="W689" s="4" t="str">
        <f ca="1">IF(OR(INDEX($AG$2:$AG$1001,MATCH(ROWS($AF$2:AF689),$AF$2:$AF$1001,0),1)&gt;=100000,INDEX($AM$1005:$BM$1005,1,MATCH(COLUMNS($AM$1006:BH1006),$AM$1006:$BM$1006,0))&gt;=100000), " ",IF(INDEX($AM$2:$BM$1001,MATCH(ROWS($AF$2:AF689),$AF$2:$AF$1001,0),MATCH(COLUMNS($AM$1006:BH1006),$AM$1006:$BM$1006,0)), HYPERLINK("#",""), HYPERLINK(CONCATENATE("#metadata!", ADDRESS(INDEX($AH$2:$AH$1001,MATCH(ROWS($AF$2:AF689),$AF$2:$AF$1001,0),0), INDEX($AM$1004:$BM$1004,1,MATCH(COLUMNS($AM$1006:BH1006),$AM$1006:$BM$1006,0)))),"Fix")))</f>
        <v xml:space="preserve"> </v>
      </c>
      <c r="X689" s="4" t="str">
        <f ca="1">IF(OR(INDEX($AG$2:$AG$1001,MATCH(ROWS($AF$2:AF689),$AF$2:$AF$1001,0),1)&gt;=100000,INDEX($AM$1005:$BM$1005,1,MATCH(COLUMNS($AM$1006:BI1006),$AM$1006:$BM$1006,0))&gt;=100000), " ",IF(INDEX($AM$2:$BM$1001,MATCH(ROWS($AF$2:AF689),$AF$2:$AF$1001,0),MATCH(COLUMNS($AM$1006:BI1006),$AM$1006:$BM$1006,0)), HYPERLINK("#",""), HYPERLINK(CONCATENATE("#metadata!", ADDRESS(INDEX($AH$2:$AH$1001,MATCH(ROWS($AF$2:AF689),$AF$2:$AF$1001,0),0), INDEX($AM$1004:$BM$1004,1,MATCH(COLUMNS($AM$1006:BI1006),$AM$1006:$BM$1006,0)))),"Fix")))</f>
        <v xml:space="preserve"> </v>
      </c>
      <c r="Y689" s="4" t="str">
        <f ca="1">IF(OR(INDEX($AG$2:$AG$1001,MATCH(ROWS($AF$2:AF689),$AF$2:$AF$1001,0),1)&gt;=100000,INDEX($AM$1005:$BM$1005,1,MATCH(COLUMNS($AM$1006:BJ1006),$AM$1006:$BM$1006,0))&gt;=100000), " ",IF(INDEX($AM$2:$BM$1001,MATCH(ROWS($AF$2:AF689),$AF$2:$AF$1001,0),MATCH(COLUMNS($AM$1006:BJ1006),$AM$1006:$BM$1006,0)), HYPERLINK("#",""), HYPERLINK(CONCATENATE("#metadata!", ADDRESS(INDEX($AH$2:$AH$1001,MATCH(ROWS($AF$2:AF689),$AF$2:$AF$1001,0),0), INDEX($AM$1004:$BM$1004,1,MATCH(COLUMNS($AM$1006:BJ1006),$AM$1006:$BM$1006,0)))),"Fix")))</f>
        <v xml:space="preserve"> </v>
      </c>
      <c r="Z689" s="4" t="str">
        <f ca="1">IF(OR(INDEX($AG$2:$AG$1001,MATCH(ROWS($AF$2:AF689),$AF$2:$AF$1001,0),1)&gt;=100000,INDEX($AM$1005:$BM$1005,1,MATCH(COLUMNS($AM$1006:BK1006),$AM$1006:$BM$1006,0))&gt;=100000), " ",IF(INDEX($AM$2:$BM$1001,MATCH(ROWS($AF$2:AF689),$AF$2:$AF$1001,0),MATCH(COLUMNS($AM$1006:BK1006),$AM$1006:$BM$1006,0)), HYPERLINK("#",""), HYPERLINK(CONCATENATE("#metadata!", ADDRESS(INDEX($AH$2:$AH$1001,MATCH(ROWS($AF$2:AF689),$AF$2:$AF$1001,0),0), INDEX($AM$1004:$BM$1004,1,MATCH(COLUMNS($AM$1006:BK1006),$AM$1006:$BM$1006,0)))),"Fix")))</f>
        <v xml:space="preserve"> </v>
      </c>
      <c r="AA689" s="4" t="str">
        <f ca="1">IF(OR(INDEX($AG$2:$AG$1001,MATCH(ROWS($AF$2:AF689),$AF$2:$AF$1001,0),1)&gt;=100000,INDEX($AM$1005:$BM$1005,1,MATCH(COLUMNS($AM$1006:BL1006),$AM$1006:$BM$1006,0))&gt;=100000), " ",IF(INDEX($AM$2:$BM$1001,MATCH(ROWS($AF$2:AF689),$AF$2:$AF$1001,0),MATCH(COLUMNS($AM$1006:BL1006),$AM$1006:$BM$1006,0)), HYPERLINK("#",""), HYPERLINK(CONCATENATE("#metadata!", ADDRESS(INDEX($AH$2:$AH$1001,MATCH(ROWS($AF$2:AF689),$AF$2:$AF$1001,0),0), INDEX($AM$1004:$BM$1004,1,MATCH(COLUMNS($AM$1006:BL1006),$AM$1006:$BM$1006,0)))),"Fix")))</f>
        <v xml:space="preserve"> </v>
      </c>
      <c r="AB689" s="4" t="str">
        <f ca="1">IF(OR(INDEX($AG$2:$AG$1001,MATCH(ROWS($AF$2:AF689),$AF$2:$AF$1001,0),1)&gt;=100000,INDEX($AM$1005:$BM$1005,1,MATCH(COLUMNS($AM$1006:BM1006),$AM$1006:$BM$1006,0))&gt;=100000), " ",IF(INDEX($AM$2:$BM$1001,MATCH(ROWS($AF$2:AF689),$AF$2:$AF$1001,0),MATCH(COLUMNS($AM$1006:BM1006),$AM$1006:$BM$1006,0)), HYPERLINK("#",""), HYPERLINK(CONCATENATE("#metadata!", ADDRESS(INDEX($AH$2:$AH$1001,MATCH(ROWS($AF$2:AF689),$AF$2:$AF$1001,0),0), INDEX($AM$1004:$BM$1004,1,MATCH(COLUMNS($AM$1006:BM1006),$AM$1006:$BM$1006,0)))),"Fix")))</f>
        <v xml:space="preserve"> </v>
      </c>
      <c r="AF689">
        <v>688</v>
      </c>
      <c r="AG689">
        <v>100689</v>
      </c>
      <c r="AH689">
        <v>689</v>
      </c>
      <c r="AI689" t="b">
        <f t="shared" si="10"/>
        <v>1</v>
      </c>
      <c r="AJ689" t="b">
        <f>COUNTBLANK(metadata!B689:AB689)=COLUMNS(metadata!B689:AB689)</f>
        <v>1</v>
      </c>
      <c r="AK689" t="str">
        <v/>
      </c>
      <c r="AM689" t="b">
        <f ca="1">AND(IF(metadata!B689="",FALSE,TRUE),COUNTIF(metadata!B:B, metadata!B689) = 1,NOT(ISERROR(SUMPRODUCT(SEARCH(MID(metadata!B689,ROW(INDIRECT("1:"&amp;LEN(metadata!B689))), 1),"0123456789abcdefghijklmnopqrstuvwxyzABCDEFGHIJKLMNOPQRSTUVWXYZ.")))))</f>
        <v>0</v>
      </c>
      <c r="AN689" t="b">
        <f ca="1">OR(AND(IF(metadata!C689="",FALSE,TRUE),OR(EXACT(metadata!C689,"missing: not collected"),EXACT(metadata!C689,"missing: not provided"),EXACT(metadata!C689,"missing: restricted access"))),AND(IF(metadata!C689="",FALSE,TRUE),AND(AND(IFERROR(INT(LEFT(metadata!C689,4))&gt;1900,FALSE),IFERROR(INT(LEFT(metadata!C689,4))&lt;=YEAR(NOW()),FALSE)), OR(MID(metadata!C689,5,1)="", AND(AND(MID(metadata!C689,5,1)="-",IFERROR(INT(MID(metadata!C689,6,1))&gt;=0,FALSE),IFERROR(INT(MID(metadata!C689,6,1))&lt;=1,FALSE),NOT(MID(metadata!C689,7,1)=""),IFERROR(INT(MID(metadata!C689,6,2))&gt;=1,FALSE),IFERROR(INT(MID(metadata!C689,6,2))&lt;=12,FALSE)), OR(MID(metadata!C689,8,1)="", AND(AND(MID(metadata!C689,8,1)="-",IFERROR(INT(MID(metadata!C689,9,1))&gt;=0,FALSE),IFERROR(INT(MID(metadata!C689,9,1))&lt;=3,FALSE),NOT(MID(metadata!C689,10,1)=""),IFERROR(INT(MID(metadata!C689,9,2))&gt;=1,FALSE),IFERROR(INT(MID(metadata!C689,9,2))&lt;=31,FALSE)), OR(MID(metadata!C689,11,1)="", AND(AND(MID(metadata!C689,11,1)=" ",IFERROR(INT(MID(metadata!C689,12,1))&gt;=0,FALSE),IFERROR(INT(MID(metadata!C689,12,1))&lt;=2,FALSE),NOT(MID(metadata!C689,13,1)=""),IFERROR(INT(MID(metadata!C689,12,2))&gt;=0,FALSE),IFERROR(INT(MID(metadata!C689,12,2))&lt;=23,FALSE)), OR(MID(metadata!C689,14,1)="", AND(AND(MID(metadata!C689,14,1)=":",IFERROR(INT(MID(metadata!C689,15,1))&gt;=0,FALSE),IFERROR(INT(MID(metadata!C689,15,1))&lt;=5,FALSE),NOT(MID(metadata!C689,16,1)=""),IFERROR(INT(MID(metadata!C689,15,2))&gt;=0,FALSE),IFERROR(INT(MID(metadata!C689,15,2))&lt;=59,FALSE)), OR(MID(metadata!C689,17,1)="", AND(AND(MID(metadata!C689,17,1)=":",IFERROR(INT(MID(metadata!C689,18,1))&gt;=0,FALSE),IFERROR(INT(MID(metadata!C689,18,1))&lt;=5,FALSE),NOT(MID(metadata!C689,19,1)=""),IFERROR(INT(MID(metadata!C689,18,2))&gt;=0,FALSE),IFERROR(INT(MID(metadata!C689,18,2))&lt;=59,FALSE)), LEN(metadata!C689)&lt;=19)))))))))))))</f>
        <v>0</v>
      </c>
      <c r="AO689" t="b">
        <f>AND(IF(metadata!D689="",FALSE,TRUE),EXACT(metadata!D689,"Not applicable"))</f>
        <v>0</v>
      </c>
      <c r="AP689" t="b">
        <f>IF(metadata!E689="",FALSE,TRUE)</f>
        <v>0</v>
      </c>
      <c r="AQ689" t="b">
        <f>OR(AND(IF(metadata!F689="",FALSE,TRUE),OR(EXACT(metadata!F689,"missing: not collected"),EXACT(metadata!F689,"missing: not provided"))),AND(IF(metadata!F689="",FALSE,TRUE),OR(EXACT(metadata!F689,"TRUE"),EXACT(metadata!F689,"FALSE"))))</f>
        <v>0</v>
      </c>
      <c r="AR689" t="b">
        <f>OR(AND(IF(metadata!G689="",FALSE,TRUE),OR(EXACT(metadata!G689,"missing: not collected"),EXACT(metadata!G689,"missing: not provided"),EXACT(metadata!G689,"missing: restricted access"))),AND(IF(metadata!G689="",FALSE,ISNUMBER(VALUE(metadata!G689))),metadata!G689&gt;=-413))</f>
        <v>0</v>
      </c>
      <c r="AS689" t="b">
        <f>AND(IF(metadata!H689="",FALSE,TRUE),EXACT(metadata!H689,"meters"))</f>
        <v>0</v>
      </c>
      <c r="AT689" t="b">
        <f>AND(IF(metadata!I689="",FALSE,TRUE),OR(EXACT(metadata!I689,"Host-associated"),EXACT(metadata!I689,"Free-living")))</f>
        <v>0</v>
      </c>
      <c r="AU689" t="b">
        <f>AND(IF(metadata!J689="",FALSE,TRUE),OR(EXACT(metadata!J689,"Animal"),EXACT(metadata!J689,"Fungus"),EXACT(metadata!J689,"Plant"),EXACT(metadata!J689,"Saline"),EXACT(metadata!J689,"Non-saline")))</f>
        <v>0</v>
      </c>
      <c r="AV689" t="b">
        <f>AND(IF(metadata!K689="",FALSE,TRUE),OR(EXACT(metadata!K689,"Plant secretion"),EXACT(metadata!K689,"Plant rhizosphere"),EXACT(metadata!K689,"Plant surface"),EXACT(metadata!K689,"Plant corpus"),EXACT(metadata!K689,"Fungus surface"),EXACT(metadata!K689,"Fungus corpus"),EXACT(metadata!K689,"Animal surface"),EXACT(metadata!K689,"Animal proximal gut"),EXACT(metadata!K689,"Animal corpus"),EXACT(metadata!K689,"Animal distal gut"),EXACT(metadata!K689,"Animal secretion"),EXACT(metadata!K689,"Sub-surface (non-saline)"),EXACT(metadata!K689,"Surface (non-saline)"),EXACT(metadata!K689,"Water (non-saline)"),EXACT(metadata!K689,"Soil (non-saline)"),EXACT(metadata!K689,"Aerosol (non-saline)"),EXACT(metadata!K689,"Sediment (non-saline)"),EXACT(metadata!K689,"Surface (saline)"),EXACT(metadata!K689,"Water (saline)"),EXACT(metadata!K689,"Hypersaline (saline)"),EXACT(metadata!K689,"Aerosol (saline)"),EXACT(metadata!K689,"Sediment (saline)")))</f>
        <v>0</v>
      </c>
      <c r="AW689" t="b">
        <f>IF(metadata!L689="",FALSE,TRUE)</f>
        <v>0</v>
      </c>
      <c r="AX689" t="b">
        <f>IF(metadata!M689="",FALSE,TRUE)</f>
        <v>0</v>
      </c>
      <c r="AY689" t="b">
        <f>IF(metadata!N689="",FALSE,TRUE)</f>
        <v>0</v>
      </c>
      <c r="AZ689" t="b">
        <f>OR(AND(IF(metadata!O689="",FALSE,TRUE),OR(EXACT(metadata!O689,"missing: not collected"),EXACT(metadata!O689,"missing: not provided"),EXACT(metadata!O689,"missing: restricted access"))),AND(IF(metadata!O689="",FALSE,TRUE),OR(EXACT(metadata!O689,"air"),EXACT(metadata!O689,"built environment"),EXACT(metadata!O689,"host-associated"),EXACT(metadata!O689,"human-associated"),EXACT(metadata!O689,"human-skin"),EXACT(metadata!O689,"human-oral"),EXACT(metadata!O689,"human-gut"),EXACT(metadata!O689,"human-vaginal"),EXACT(metadata!O689,"microbial mat/biofilm"),EXACT(metadata!O689,"misc environment"),EXACT(metadata!O689,"plant-associated"),EXACT(metadata!O689,"sediment"),EXACT(metadata!O689,"soil"),EXACT(metadata!O689,"wastewater/sludge"),EXACT(metadata!O689,"water"))))</f>
        <v>0</v>
      </c>
      <c r="BA689" t="b">
        <f>IF(metadata!P689="",FALSE,TRUE)</f>
        <v>0</v>
      </c>
      <c r="BB689" t="b">
        <f>IF(metadata!Q689="",FALSE,TRUE)</f>
        <v>0</v>
      </c>
      <c r="BC689" t="b">
        <f>OR(AND(IF(metadata!R689="",FALSE,TRUE),OR(EXACT(metadata!R689,"missing: not collected"),EXACT(metadata!R689,"missing: not provided"),EXACT(metadata!R689,"missing: restricted access"))),AND(IF(metadata!R689="",FALSE,ISNUMBER(VALUE(metadata!R689))),metadata!R689&gt;=-90,metadata!R689&lt;=90))</f>
        <v>0</v>
      </c>
      <c r="BD689" t="b">
        <f>AND(IF(metadata!S689="",FALSE,TRUE),EXACT(metadata!S689,"Decimal degrees"))</f>
        <v>0</v>
      </c>
      <c r="BE689" t="b">
        <f>OR(AND(IF(metadata!T689="",FALSE,TRUE),OR(EXACT(metadata!T689,"missing: not collected"),EXACT(metadata!T689,"missing: not provided"),EXACT(metadata!T689,"missing: restricted access"))),AND(IF(metadata!T689="",FALSE,ISNUMBER(VALUE(metadata!T689))),metadata!T689&gt;=-180,metadata!T689&lt;=180))</f>
        <v>0</v>
      </c>
      <c r="BF689" t="b">
        <f>AND(IF(metadata!U689="",FALSE,TRUE),EXACT(metadata!U689,"Decimal degrees"))</f>
        <v>0</v>
      </c>
      <c r="BG689" t="b">
        <f>IF(metadata!V689="",FALSE,TRUE)</f>
        <v>0</v>
      </c>
      <c r="BH689" t="b">
        <f>OR(AND(IF(metadata!W689="",FALSE,TRUE),OR(EXACT(metadata!W689,"missing: not collected"),EXACT(metadata!W689,"missing: not provided"),EXACT(metadata!W689,"missing: restricted access"))),AND(IF(metadata!W689="",FALSE,TRUE),OR(EXACT(metadata!W689,"TRUE"),EXACT(metadata!W689,"FALSE"))))</f>
        <v>0</v>
      </c>
      <c r="BI689" t="b">
        <f>AND(IF(metadata!X689="",FALSE,TRUE),EXACT(metadata!X689,"other"))</f>
        <v>0</v>
      </c>
      <c r="BJ689" t="b">
        <f>IF(metadata!Y689="",FALSE,TRUE)</f>
        <v>0</v>
      </c>
      <c r="BK689" t="b">
        <f>OR(AND(IF(metadata!Z689="",FALSE,TRUE),OR(EXACT(metadata!Z689,"missing: not collected"),EXACT(metadata!Z689,"missing: not provided"))),AND(IF(metadata!Z689="",FALSE,IF(ISERROR(INT(metadata!Z689)),FALSE,INT(metadata!Z689)=metadata!Z689)),metadata!Z689&gt;0))</f>
        <v>0</v>
      </c>
      <c r="BL689" t="b">
        <f>AND(IF(metadata!AA689="",FALSE,TRUE),EXACT(metadata!AA689,"Not applicable"))</f>
        <v>0</v>
      </c>
      <c r="BM689" t="b">
        <f>IF(metadata!AB689="",FALSE,TRUE)</f>
        <v>0</v>
      </c>
    </row>
    <row r="690" spans="1:65" x14ac:dyDescent="0.2">
      <c r="A690" s="5" t="str">
        <f ca="1">IF(B690=" "," ",HYPERLINK(CONCATENATE("#metadata!",ADDRESS(INDEX($AH$2:$AH$1001,MATCH(ROWS($AF$2:AF690),$AF$2:$AF$1001,0),0),1)),INDEX($AK$2:$AK$1001,MATCH(ROWS($AF$2:AF690),$AF$2:$AF$1001,0),0)))</f>
        <v xml:space="preserve"> </v>
      </c>
      <c r="B690" s="4" t="str">
        <f ca="1">IF(OR(INDEX($AG$2:$AG$1001,MATCH(ROWS($AF$2:AF690),$AF$2:$AF$1001,0),1)&gt;=100000,INDEX($AM$1005:$BM$1005,1,MATCH(COLUMNS($AM$1006:AM1006),$AM$1006:$BM$1006,0))&gt;=100000), " ",IF(INDEX($AM$2:$BM$1001,MATCH(ROWS($AF$2:AF690),$AF$2:$AF$1001,0),MATCH(COLUMNS($AM$1006:AM1006),$AM$1006:$BM$1006,0)), HYPERLINK("#",""), HYPERLINK(CONCATENATE("#metadata!", ADDRESS(INDEX($AH$2:$AH$1001,MATCH(ROWS($AF$2:AF690),$AF$2:$AF$1001,0),0), INDEX($AM$1004:$BM$1004,1,MATCH(COLUMNS($AM$1006:AM1006),$AM$1006:$BM$1006,0)))),"Fix")))</f>
        <v xml:space="preserve"> </v>
      </c>
      <c r="C690" s="4" t="str">
        <f ca="1">IF(OR(INDEX($AG$2:$AG$1001,MATCH(ROWS($AF$2:AF690),$AF$2:$AF$1001,0),1)&gt;=100000,INDEX($AM$1005:$BM$1005,1,MATCH(COLUMNS($AM$1006:AN1006),$AM$1006:$BM$1006,0))&gt;=100000), " ",IF(INDEX($AM$2:$BM$1001,MATCH(ROWS($AF$2:AF690),$AF$2:$AF$1001,0),MATCH(COLUMNS($AM$1006:AN1006),$AM$1006:$BM$1006,0)), HYPERLINK("#",""), HYPERLINK(CONCATENATE("#metadata!", ADDRESS(INDEX($AH$2:$AH$1001,MATCH(ROWS($AF$2:AF690),$AF$2:$AF$1001,0),0), INDEX($AM$1004:$BM$1004,1,MATCH(COLUMNS($AM$1006:AN1006),$AM$1006:$BM$1006,0)))),"Fix")))</f>
        <v xml:space="preserve"> </v>
      </c>
      <c r="D690" s="4" t="str">
        <f ca="1">IF(OR(INDEX($AG$2:$AG$1001,MATCH(ROWS($AF$2:AF690),$AF$2:$AF$1001,0),1)&gt;=100000,INDEX($AM$1005:$BM$1005,1,MATCH(COLUMNS($AM$1006:AO1006),$AM$1006:$BM$1006,0))&gt;=100000), " ",IF(INDEX($AM$2:$BM$1001,MATCH(ROWS($AF$2:AF690),$AF$2:$AF$1001,0),MATCH(COLUMNS($AM$1006:AO1006),$AM$1006:$BM$1006,0)), HYPERLINK("#",""), HYPERLINK(CONCATENATE("#metadata!", ADDRESS(INDEX($AH$2:$AH$1001,MATCH(ROWS($AF$2:AF690),$AF$2:$AF$1001,0),0), INDEX($AM$1004:$BM$1004,1,MATCH(COLUMNS($AM$1006:AO1006),$AM$1006:$BM$1006,0)))),"Fix")))</f>
        <v xml:space="preserve"> </v>
      </c>
      <c r="E690" s="4" t="str">
        <f ca="1">IF(OR(INDEX($AG$2:$AG$1001,MATCH(ROWS($AF$2:AF690),$AF$2:$AF$1001,0),1)&gt;=100000,INDEX($AM$1005:$BM$1005,1,MATCH(COLUMNS($AM$1006:AP1006),$AM$1006:$BM$1006,0))&gt;=100000), " ",IF(INDEX($AM$2:$BM$1001,MATCH(ROWS($AF$2:AF690),$AF$2:$AF$1001,0),MATCH(COLUMNS($AM$1006:AP1006),$AM$1006:$BM$1006,0)), HYPERLINK("#",""), HYPERLINK(CONCATENATE("#metadata!", ADDRESS(INDEX($AH$2:$AH$1001,MATCH(ROWS($AF$2:AF690),$AF$2:$AF$1001,0),0), INDEX($AM$1004:$BM$1004,1,MATCH(COLUMNS($AM$1006:AP1006),$AM$1006:$BM$1006,0)))),"Fix")))</f>
        <v xml:space="preserve"> </v>
      </c>
      <c r="F690" s="4" t="str">
        <f ca="1">IF(OR(INDEX($AG$2:$AG$1001,MATCH(ROWS($AF$2:AF690),$AF$2:$AF$1001,0),1)&gt;=100000,INDEX($AM$1005:$BM$1005,1,MATCH(COLUMNS($AM$1006:AQ1006),$AM$1006:$BM$1006,0))&gt;=100000), " ",IF(INDEX($AM$2:$BM$1001,MATCH(ROWS($AF$2:AF690),$AF$2:$AF$1001,0),MATCH(COLUMNS($AM$1006:AQ1006),$AM$1006:$BM$1006,0)), HYPERLINK("#",""), HYPERLINK(CONCATENATE("#metadata!", ADDRESS(INDEX($AH$2:$AH$1001,MATCH(ROWS($AF$2:AF690),$AF$2:$AF$1001,0),0), INDEX($AM$1004:$BM$1004,1,MATCH(COLUMNS($AM$1006:AQ1006),$AM$1006:$BM$1006,0)))),"Fix")))</f>
        <v xml:space="preserve"> </v>
      </c>
      <c r="G690" s="4" t="str">
        <f ca="1">IF(OR(INDEX($AG$2:$AG$1001,MATCH(ROWS($AF$2:AF690),$AF$2:$AF$1001,0),1)&gt;=100000,INDEX($AM$1005:$BM$1005,1,MATCH(COLUMNS($AM$1006:AR1006),$AM$1006:$BM$1006,0))&gt;=100000), " ",IF(INDEX($AM$2:$BM$1001,MATCH(ROWS($AF$2:AF690),$AF$2:$AF$1001,0),MATCH(COLUMNS($AM$1006:AR1006),$AM$1006:$BM$1006,0)), HYPERLINK("#",""), HYPERLINK(CONCATENATE("#metadata!", ADDRESS(INDEX($AH$2:$AH$1001,MATCH(ROWS($AF$2:AF690),$AF$2:$AF$1001,0),0), INDEX($AM$1004:$BM$1004,1,MATCH(COLUMNS($AM$1006:AR1006),$AM$1006:$BM$1006,0)))),"Fix")))</f>
        <v xml:space="preserve"> </v>
      </c>
      <c r="H690" s="4" t="str">
        <f ca="1">IF(OR(INDEX($AG$2:$AG$1001,MATCH(ROWS($AF$2:AF690),$AF$2:$AF$1001,0),1)&gt;=100000,INDEX($AM$1005:$BM$1005,1,MATCH(COLUMNS($AM$1006:AS1006),$AM$1006:$BM$1006,0))&gt;=100000), " ",IF(INDEX($AM$2:$BM$1001,MATCH(ROWS($AF$2:AF690),$AF$2:$AF$1001,0),MATCH(COLUMNS($AM$1006:AS1006),$AM$1006:$BM$1006,0)), HYPERLINK("#",""), HYPERLINK(CONCATENATE("#metadata!", ADDRESS(INDEX($AH$2:$AH$1001,MATCH(ROWS($AF$2:AF690),$AF$2:$AF$1001,0),0), INDEX($AM$1004:$BM$1004,1,MATCH(COLUMNS($AM$1006:AS1006),$AM$1006:$BM$1006,0)))),"Fix")))</f>
        <v xml:space="preserve"> </v>
      </c>
      <c r="I690" s="4" t="str">
        <f ca="1">IF(OR(INDEX($AG$2:$AG$1001,MATCH(ROWS($AF$2:AF690),$AF$2:$AF$1001,0),1)&gt;=100000,INDEX($AM$1005:$BM$1005,1,MATCH(COLUMNS($AM$1006:AT1006),$AM$1006:$BM$1006,0))&gt;=100000), " ",IF(INDEX($AM$2:$BM$1001,MATCH(ROWS($AF$2:AF690),$AF$2:$AF$1001,0),MATCH(COLUMNS($AM$1006:AT1006),$AM$1006:$BM$1006,0)), HYPERLINK("#",""), HYPERLINK(CONCATENATE("#metadata!", ADDRESS(INDEX($AH$2:$AH$1001,MATCH(ROWS($AF$2:AF690),$AF$2:$AF$1001,0),0), INDEX($AM$1004:$BM$1004,1,MATCH(COLUMNS($AM$1006:AT1006),$AM$1006:$BM$1006,0)))),"Fix")))</f>
        <v xml:space="preserve"> </v>
      </c>
      <c r="J690" s="4" t="str">
        <f ca="1">IF(OR(INDEX($AG$2:$AG$1001,MATCH(ROWS($AF$2:AF690),$AF$2:$AF$1001,0),1)&gt;=100000,INDEX($AM$1005:$BM$1005,1,MATCH(COLUMNS($AM$1006:AU1006),$AM$1006:$BM$1006,0))&gt;=100000), " ",IF(INDEX($AM$2:$BM$1001,MATCH(ROWS($AF$2:AF690),$AF$2:$AF$1001,0),MATCH(COLUMNS($AM$1006:AU1006),$AM$1006:$BM$1006,0)), HYPERLINK("#",""), HYPERLINK(CONCATENATE("#metadata!", ADDRESS(INDEX($AH$2:$AH$1001,MATCH(ROWS($AF$2:AF690),$AF$2:$AF$1001,0),0), INDEX($AM$1004:$BM$1004,1,MATCH(COLUMNS($AM$1006:AU1006),$AM$1006:$BM$1006,0)))),"Fix")))</f>
        <v xml:space="preserve"> </v>
      </c>
      <c r="K690" s="4" t="str">
        <f ca="1">IF(OR(INDEX($AG$2:$AG$1001,MATCH(ROWS($AF$2:AF690),$AF$2:$AF$1001,0),1)&gt;=100000,INDEX($AM$1005:$BM$1005,1,MATCH(COLUMNS($AM$1006:AV1006),$AM$1006:$BM$1006,0))&gt;=100000), " ",IF(INDEX($AM$2:$BM$1001,MATCH(ROWS($AF$2:AF690),$AF$2:$AF$1001,0),MATCH(COLUMNS($AM$1006:AV1006),$AM$1006:$BM$1006,0)), HYPERLINK("#",""), HYPERLINK(CONCATENATE("#metadata!", ADDRESS(INDEX($AH$2:$AH$1001,MATCH(ROWS($AF$2:AF690),$AF$2:$AF$1001,0),0), INDEX($AM$1004:$BM$1004,1,MATCH(COLUMNS($AM$1006:AV1006),$AM$1006:$BM$1006,0)))),"Fix")))</f>
        <v xml:space="preserve"> </v>
      </c>
      <c r="L690" s="4" t="str">
        <f ca="1">IF(OR(INDEX($AG$2:$AG$1001,MATCH(ROWS($AF$2:AF690),$AF$2:$AF$1001,0),1)&gt;=100000,INDEX($AM$1005:$BM$1005,1,MATCH(COLUMNS($AM$1006:AW1006),$AM$1006:$BM$1006,0))&gt;=100000), " ",IF(INDEX($AM$2:$BM$1001,MATCH(ROWS($AF$2:AF690),$AF$2:$AF$1001,0),MATCH(COLUMNS($AM$1006:AW1006),$AM$1006:$BM$1006,0)), HYPERLINK("#",""), HYPERLINK(CONCATENATE("#metadata!", ADDRESS(INDEX($AH$2:$AH$1001,MATCH(ROWS($AF$2:AF690),$AF$2:$AF$1001,0),0), INDEX($AM$1004:$BM$1004,1,MATCH(COLUMNS($AM$1006:AW1006),$AM$1006:$BM$1006,0)))),"Fix")))</f>
        <v xml:space="preserve"> </v>
      </c>
      <c r="M690" s="4" t="str">
        <f ca="1">IF(OR(INDEX($AG$2:$AG$1001,MATCH(ROWS($AF$2:AF690),$AF$2:$AF$1001,0),1)&gt;=100000,INDEX($AM$1005:$BM$1005,1,MATCH(COLUMNS($AM$1006:AX1006),$AM$1006:$BM$1006,0))&gt;=100000), " ",IF(INDEX($AM$2:$BM$1001,MATCH(ROWS($AF$2:AF690),$AF$2:$AF$1001,0),MATCH(COLUMNS($AM$1006:AX1006),$AM$1006:$BM$1006,0)), HYPERLINK("#",""), HYPERLINK(CONCATENATE("#metadata!", ADDRESS(INDEX($AH$2:$AH$1001,MATCH(ROWS($AF$2:AF690),$AF$2:$AF$1001,0),0), INDEX($AM$1004:$BM$1004,1,MATCH(COLUMNS($AM$1006:AX1006),$AM$1006:$BM$1006,0)))),"Fix")))</f>
        <v xml:space="preserve"> </v>
      </c>
      <c r="N690" s="4" t="str">
        <f ca="1">IF(OR(INDEX($AG$2:$AG$1001,MATCH(ROWS($AF$2:AF690),$AF$2:$AF$1001,0),1)&gt;=100000,INDEX($AM$1005:$BM$1005,1,MATCH(COLUMNS($AM$1006:AY1006),$AM$1006:$BM$1006,0))&gt;=100000), " ",IF(INDEX($AM$2:$BM$1001,MATCH(ROWS($AF$2:AF690),$AF$2:$AF$1001,0),MATCH(COLUMNS($AM$1006:AY1006),$AM$1006:$BM$1006,0)), HYPERLINK("#",""), HYPERLINK(CONCATENATE("#metadata!", ADDRESS(INDEX($AH$2:$AH$1001,MATCH(ROWS($AF$2:AF690),$AF$2:$AF$1001,0),0), INDEX($AM$1004:$BM$1004,1,MATCH(COLUMNS($AM$1006:AY1006),$AM$1006:$BM$1006,0)))),"Fix")))</f>
        <v xml:space="preserve"> </v>
      </c>
      <c r="O690" s="4" t="str">
        <f ca="1">IF(OR(INDEX($AG$2:$AG$1001,MATCH(ROWS($AF$2:AF690),$AF$2:$AF$1001,0),1)&gt;=100000,INDEX($AM$1005:$BM$1005,1,MATCH(COLUMNS($AM$1006:AZ1006),$AM$1006:$BM$1006,0))&gt;=100000), " ",IF(INDEX($AM$2:$BM$1001,MATCH(ROWS($AF$2:AF690),$AF$2:$AF$1001,0),MATCH(COLUMNS($AM$1006:AZ1006),$AM$1006:$BM$1006,0)), HYPERLINK("#",""), HYPERLINK(CONCATENATE("#metadata!", ADDRESS(INDEX($AH$2:$AH$1001,MATCH(ROWS($AF$2:AF690),$AF$2:$AF$1001,0),0), INDEX($AM$1004:$BM$1004,1,MATCH(COLUMNS($AM$1006:AZ1006),$AM$1006:$BM$1006,0)))),"Fix")))</f>
        <v xml:space="preserve"> </v>
      </c>
      <c r="P690" s="4" t="str">
        <f ca="1">IF(OR(INDEX($AG$2:$AG$1001,MATCH(ROWS($AF$2:AF690),$AF$2:$AF$1001,0),1)&gt;=100000,INDEX($AM$1005:$BM$1005,1,MATCH(COLUMNS($AM$1006:BA1006),$AM$1006:$BM$1006,0))&gt;=100000), " ",IF(INDEX($AM$2:$BM$1001,MATCH(ROWS($AF$2:AF690),$AF$2:$AF$1001,0),MATCH(COLUMNS($AM$1006:BA1006),$AM$1006:$BM$1006,0)), HYPERLINK("#",""), HYPERLINK(CONCATENATE("#metadata!", ADDRESS(INDEX($AH$2:$AH$1001,MATCH(ROWS($AF$2:AF690),$AF$2:$AF$1001,0),0), INDEX($AM$1004:$BM$1004,1,MATCH(COLUMNS($AM$1006:BA1006),$AM$1006:$BM$1006,0)))),"Fix")))</f>
        <v xml:space="preserve"> </v>
      </c>
      <c r="Q690" s="4" t="str">
        <f ca="1">IF(OR(INDEX($AG$2:$AG$1001,MATCH(ROWS($AF$2:AF690),$AF$2:$AF$1001,0),1)&gt;=100000,INDEX($AM$1005:$BM$1005,1,MATCH(COLUMNS($AM$1006:BB1006),$AM$1006:$BM$1006,0))&gt;=100000), " ",IF(INDEX($AM$2:$BM$1001,MATCH(ROWS($AF$2:AF690),$AF$2:$AF$1001,0),MATCH(COLUMNS($AM$1006:BB1006),$AM$1006:$BM$1006,0)), HYPERLINK("#",""), HYPERLINK(CONCATENATE("#metadata!", ADDRESS(INDEX($AH$2:$AH$1001,MATCH(ROWS($AF$2:AF690),$AF$2:$AF$1001,0),0), INDEX($AM$1004:$BM$1004,1,MATCH(COLUMNS($AM$1006:BB1006),$AM$1006:$BM$1006,0)))),"Fix")))</f>
        <v xml:space="preserve"> </v>
      </c>
      <c r="R690" s="4" t="str">
        <f ca="1">IF(OR(INDEX($AG$2:$AG$1001,MATCH(ROWS($AF$2:AF690),$AF$2:$AF$1001,0),1)&gt;=100000,INDEX($AM$1005:$BM$1005,1,MATCH(COLUMNS($AM$1006:BC1006),$AM$1006:$BM$1006,0))&gt;=100000), " ",IF(INDEX($AM$2:$BM$1001,MATCH(ROWS($AF$2:AF690),$AF$2:$AF$1001,0),MATCH(COLUMNS($AM$1006:BC1006),$AM$1006:$BM$1006,0)), HYPERLINK("#",""), HYPERLINK(CONCATENATE("#metadata!", ADDRESS(INDEX($AH$2:$AH$1001,MATCH(ROWS($AF$2:AF690),$AF$2:$AF$1001,0),0), INDEX($AM$1004:$BM$1004,1,MATCH(COLUMNS($AM$1006:BC1006),$AM$1006:$BM$1006,0)))),"Fix")))</f>
        <v xml:space="preserve"> </v>
      </c>
      <c r="S690" s="4" t="str">
        <f ca="1">IF(OR(INDEX($AG$2:$AG$1001,MATCH(ROWS($AF$2:AF690),$AF$2:$AF$1001,0),1)&gt;=100000,INDEX($AM$1005:$BM$1005,1,MATCH(COLUMNS($AM$1006:BD1006),$AM$1006:$BM$1006,0))&gt;=100000), " ",IF(INDEX($AM$2:$BM$1001,MATCH(ROWS($AF$2:AF690),$AF$2:$AF$1001,0),MATCH(COLUMNS($AM$1006:BD1006),$AM$1006:$BM$1006,0)), HYPERLINK("#",""), HYPERLINK(CONCATENATE("#metadata!", ADDRESS(INDEX($AH$2:$AH$1001,MATCH(ROWS($AF$2:AF690),$AF$2:$AF$1001,0),0), INDEX($AM$1004:$BM$1004,1,MATCH(COLUMNS($AM$1006:BD1006),$AM$1006:$BM$1006,0)))),"Fix")))</f>
        <v xml:space="preserve"> </v>
      </c>
      <c r="T690" s="4" t="str">
        <f ca="1">IF(OR(INDEX($AG$2:$AG$1001,MATCH(ROWS($AF$2:AF690),$AF$2:$AF$1001,0),1)&gt;=100000,INDEX($AM$1005:$BM$1005,1,MATCH(COLUMNS($AM$1006:BE1006),$AM$1006:$BM$1006,0))&gt;=100000), " ",IF(INDEX($AM$2:$BM$1001,MATCH(ROWS($AF$2:AF690),$AF$2:$AF$1001,0),MATCH(COLUMNS($AM$1006:BE1006),$AM$1006:$BM$1006,0)), HYPERLINK("#",""), HYPERLINK(CONCATENATE("#metadata!", ADDRESS(INDEX($AH$2:$AH$1001,MATCH(ROWS($AF$2:AF690),$AF$2:$AF$1001,0),0), INDEX($AM$1004:$BM$1004,1,MATCH(COLUMNS($AM$1006:BE1006),$AM$1006:$BM$1006,0)))),"Fix")))</f>
        <v xml:space="preserve"> </v>
      </c>
      <c r="U690" s="4" t="str">
        <f ca="1">IF(OR(INDEX($AG$2:$AG$1001,MATCH(ROWS($AF$2:AF690),$AF$2:$AF$1001,0),1)&gt;=100000,INDEX($AM$1005:$BM$1005,1,MATCH(COLUMNS($AM$1006:BF1006),$AM$1006:$BM$1006,0))&gt;=100000), " ",IF(INDEX($AM$2:$BM$1001,MATCH(ROWS($AF$2:AF690),$AF$2:$AF$1001,0),MATCH(COLUMNS($AM$1006:BF1006),$AM$1006:$BM$1006,0)), HYPERLINK("#",""), HYPERLINK(CONCATENATE("#metadata!", ADDRESS(INDEX($AH$2:$AH$1001,MATCH(ROWS($AF$2:AF690),$AF$2:$AF$1001,0),0), INDEX($AM$1004:$BM$1004,1,MATCH(COLUMNS($AM$1006:BF1006),$AM$1006:$BM$1006,0)))),"Fix")))</f>
        <v xml:space="preserve"> </v>
      </c>
      <c r="V690" s="4" t="str">
        <f ca="1">IF(OR(INDEX($AG$2:$AG$1001,MATCH(ROWS($AF$2:AF690),$AF$2:$AF$1001,0),1)&gt;=100000,INDEX($AM$1005:$BM$1005,1,MATCH(COLUMNS($AM$1006:BG1006),$AM$1006:$BM$1006,0))&gt;=100000), " ",IF(INDEX($AM$2:$BM$1001,MATCH(ROWS($AF$2:AF690),$AF$2:$AF$1001,0),MATCH(COLUMNS($AM$1006:BG1006),$AM$1006:$BM$1006,0)), HYPERLINK("#",""), HYPERLINK(CONCATENATE("#metadata!", ADDRESS(INDEX($AH$2:$AH$1001,MATCH(ROWS($AF$2:AF690),$AF$2:$AF$1001,0),0), INDEX($AM$1004:$BM$1004,1,MATCH(COLUMNS($AM$1006:BG1006),$AM$1006:$BM$1006,0)))),"Fix")))</f>
        <v xml:space="preserve"> </v>
      </c>
      <c r="W690" s="4" t="str">
        <f ca="1">IF(OR(INDEX($AG$2:$AG$1001,MATCH(ROWS($AF$2:AF690),$AF$2:$AF$1001,0),1)&gt;=100000,INDEX($AM$1005:$BM$1005,1,MATCH(COLUMNS($AM$1006:BH1006),$AM$1006:$BM$1006,0))&gt;=100000), " ",IF(INDEX($AM$2:$BM$1001,MATCH(ROWS($AF$2:AF690),$AF$2:$AF$1001,0),MATCH(COLUMNS($AM$1006:BH1006),$AM$1006:$BM$1006,0)), HYPERLINK("#",""), HYPERLINK(CONCATENATE("#metadata!", ADDRESS(INDEX($AH$2:$AH$1001,MATCH(ROWS($AF$2:AF690),$AF$2:$AF$1001,0),0), INDEX($AM$1004:$BM$1004,1,MATCH(COLUMNS($AM$1006:BH1006),$AM$1006:$BM$1006,0)))),"Fix")))</f>
        <v xml:space="preserve"> </v>
      </c>
      <c r="X690" s="4" t="str">
        <f ca="1">IF(OR(INDEX($AG$2:$AG$1001,MATCH(ROWS($AF$2:AF690),$AF$2:$AF$1001,0),1)&gt;=100000,INDEX($AM$1005:$BM$1005,1,MATCH(COLUMNS($AM$1006:BI1006),$AM$1006:$BM$1006,0))&gt;=100000), " ",IF(INDEX($AM$2:$BM$1001,MATCH(ROWS($AF$2:AF690),$AF$2:$AF$1001,0),MATCH(COLUMNS($AM$1006:BI1006),$AM$1006:$BM$1006,0)), HYPERLINK("#",""), HYPERLINK(CONCATENATE("#metadata!", ADDRESS(INDEX($AH$2:$AH$1001,MATCH(ROWS($AF$2:AF690),$AF$2:$AF$1001,0),0), INDEX($AM$1004:$BM$1004,1,MATCH(COLUMNS($AM$1006:BI1006),$AM$1006:$BM$1006,0)))),"Fix")))</f>
        <v xml:space="preserve"> </v>
      </c>
      <c r="Y690" s="4" t="str">
        <f ca="1">IF(OR(INDEX($AG$2:$AG$1001,MATCH(ROWS($AF$2:AF690),$AF$2:$AF$1001,0),1)&gt;=100000,INDEX($AM$1005:$BM$1005,1,MATCH(COLUMNS($AM$1006:BJ1006),$AM$1006:$BM$1006,0))&gt;=100000), " ",IF(INDEX($AM$2:$BM$1001,MATCH(ROWS($AF$2:AF690),$AF$2:$AF$1001,0),MATCH(COLUMNS($AM$1006:BJ1006),$AM$1006:$BM$1006,0)), HYPERLINK("#",""), HYPERLINK(CONCATENATE("#metadata!", ADDRESS(INDEX($AH$2:$AH$1001,MATCH(ROWS($AF$2:AF690),$AF$2:$AF$1001,0),0), INDEX($AM$1004:$BM$1004,1,MATCH(COLUMNS($AM$1006:BJ1006),$AM$1006:$BM$1006,0)))),"Fix")))</f>
        <v xml:space="preserve"> </v>
      </c>
      <c r="Z690" s="4" t="str">
        <f ca="1">IF(OR(INDEX($AG$2:$AG$1001,MATCH(ROWS($AF$2:AF690),$AF$2:$AF$1001,0),1)&gt;=100000,INDEX($AM$1005:$BM$1005,1,MATCH(COLUMNS($AM$1006:BK1006),$AM$1006:$BM$1006,0))&gt;=100000), " ",IF(INDEX($AM$2:$BM$1001,MATCH(ROWS($AF$2:AF690),$AF$2:$AF$1001,0),MATCH(COLUMNS($AM$1006:BK1006),$AM$1006:$BM$1006,0)), HYPERLINK("#",""), HYPERLINK(CONCATENATE("#metadata!", ADDRESS(INDEX($AH$2:$AH$1001,MATCH(ROWS($AF$2:AF690),$AF$2:$AF$1001,0),0), INDEX($AM$1004:$BM$1004,1,MATCH(COLUMNS($AM$1006:BK1006),$AM$1006:$BM$1006,0)))),"Fix")))</f>
        <v xml:space="preserve"> </v>
      </c>
      <c r="AA690" s="4" t="str">
        <f ca="1">IF(OR(INDEX($AG$2:$AG$1001,MATCH(ROWS($AF$2:AF690),$AF$2:$AF$1001,0),1)&gt;=100000,INDEX($AM$1005:$BM$1005,1,MATCH(COLUMNS($AM$1006:BL1006),$AM$1006:$BM$1006,0))&gt;=100000), " ",IF(INDEX($AM$2:$BM$1001,MATCH(ROWS($AF$2:AF690),$AF$2:$AF$1001,0),MATCH(COLUMNS($AM$1006:BL1006),$AM$1006:$BM$1006,0)), HYPERLINK("#",""), HYPERLINK(CONCATENATE("#metadata!", ADDRESS(INDEX($AH$2:$AH$1001,MATCH(ROWS($AF$2:AF690),$AF$2:$AF$1001,0),0), INDEX($AM$1004:$BM$1004,1,MATCH(COLUMNS($AM$1006:BL1006),$AM$1006:$BM$1006,0)))),"Fix")))</f>
        <v xml:space="preserve"> </v>
      </c>
      <c r="AB690" s="4" t="str">
        <f ca="1">IF(OR(INDEX($AG$2:$AG$1001,MATCH(ROWS($AF$2:AF690),$AF$2:$AF$1001,0),1)&gt;=100000,INDEX($AM$1005:$BM$1005,1,MATCH(COLUMNS($AM$1006:BM1006),$AM$1006:$BM$1006,0))&gt;=100000), " ",IF(INDEX($AM$2:$BM$1001,MATCH(ROWS($AF$2:AF690),$AF$2:$AF$1001,0),MATCH(COLUMNS($AM$1006:BM1006),$AM$1006:$BM$1006,0)), HYPERLINK("#",""), HYPERLINK(CONCATENATE("#metadata!", ADDRESS(INDEX($AH$2:$AH$1001,MATCH(ROWS($AF$2:AF690),$AF$2:$AF$1001,0),0), INDEX($AM$1004:$BM$1004,1,MATCH(COLUMNS($AM$1006:BM1006),$AM$1006:$BM$1006,0)))),"Fix")))</f>
        <v xml:space="preserve"> </v>
      </c>
      <c r="AF690">
        <v>689</v>
      </c>
      <c r="AG690">
        <v>100690</v>
      </c>
      <c r="AH690">
        <v>690</v>
      </c>
      <c r="AI690" t="b">
        <f t="shared" si="10"/>
        <v>1</v>
      </c>
      <c r="AJ690" t="b">
        <f>COUNTBLANK(metadata!B690:AB690)=COLUMNS(metadata!B690:AB690)</f>
        <v>1</v>
      </c>
      <c r="AK690" t="str">
        <v/>
      </c>
      <c r="AM690" t="b">
        <f ca="1">AND(IF(metadata!B690="",FALSE,TRUE),COUNTIF(metadata!B:B, metadata!B690) = 1,NOT(ISERROR(SUMPRODUCT(SEARCH(MID(metadata!B690,ROW(INDIRECT("1:"&amp;LEN(metadata!B690))), 1),"0123456789abcdefghijklmnopqrstuvwxyzABCDEFGHIJKLMNOPQRSTUVWXYZ.")))))</f>
        <v>0</v>
      </c>
      <c r="AN690" t="b">
        <f ca="1">OR(AND(IF(metadata!C690="",FALSE,TRUE),OR(EXACT(metadata!C690,"missing: not collected"),EXACT(metadata!C690,"missing: not provided"),EXACT(metadata!C690,"missing: restricted access"))),AND(IF(metadata!C690="",FALSE,TRUE),AND(AND(IFERROR(INT(LEFT(metadata!C690,4))&gt;1900,FALSE),IFERROR(INT(LEFT(metadata!C690,4))&lt;=YEAR(NOW()),FALSE)), OR(MID(metadata!C690,5,1)="", AND(AND(MID(metadata!C690,5,1)="-",IFERROR(INT(MID(metadata!C690,6,1))&gt;=0,FALSE),IFERROR(INT(MID(metadata!C690,6,1))&lt;=1,FALSE),NOT(MID(metadata!C690,7,1)=""),IFERROR(INT(MID(metadata!C690,6,2))&gt;=1,FALSE),IFERROR(INT(MID(metadata!C690,6,2))&lt;=12,FALSE)), OR(MID(metadata!C690,8,1)="", AND(AND(MID(metadata!C690,8,1)="-",IFERROR(INT(MID(metadata!C690,9,1))&gt;=0,FALSE),IFERROR(INT(MID(metadata!C690,9,1))&lt;=3,FALSE),NOT(MID(metadata!C690,10,1)=""),IFERROR(INT(MID(metadata!C690,9,2))&gt;=1,FALSE),IFERROR(INT(MID(metadata!C690,9,2))&lt;=31,FALSE)), OR(MID(metadata!C690,11,1)="", AND(AND(MID(metadata!C690,11,1)=" ",IFERROR(INT(MID(metadata!C690,12,1))&gt;=0,FALSE),IFERROR(INT(MID(metadata!C690,12,1))&lt;=2,FALSE),NOT(MID(metadata!C690,13,1)=""),IFERROR(INT(MID(metadata!C690,12,2))&gt;=0,FALSE),IFERROR(INT(MID(metadata!C690,12,2))&lt;=23,FALSE)), OR(MID(metadata!C690,14,1)="", AND(AND(MID(metadata!C690,14,1)=":",IFERROR(INT(MID(metadata!C690,15,1))&gt;=0,FALSE),IFERROR(INT(MID(metadata!C690,15,1))&lt;=5,FALSE),NOT(MID(metadata!C690,16,1)=""),IFERROR(INT(MID(metadata!C690,15,2))&gt;=0,FALSE),IFERROR(INT(MID(metadata!C690,15,2))&lt;=59,FALSE)), OR(MID(metadata!C690,17,1)="", AND(AND(MID(metadata!C690,17,1)=":",IFERROR(INT(MID(metadata!C690,18,1))&gt;=0,FALSE),IFERROR(INT(MID(metadata!C690,18,1))&lt;=5,FALSE),NOT(MID(metadata!C690,19,1)=""),IFERROR(INT(MID(metadata!C690,18,2))&gt;=0,FALSE),IFERROR(INT(MID(metadata!C690,18,2))&lt;=59,FALSE)), LEN(metadata!C690)&lt;=19)))))))))))))</f>
        <v>0</v>
      </c>
      <c r="AO690" t="b">
        <f>AND(IF(metadata!D690="",FALSE,TRUE),EXACT(metadata!D690,"Not applicable"))</f>
        <v>0</v>
      </c>
      <c r="AP690" t="b">
        <f>IF(metadata!E690="",FALSE,TRUE)</f>
        <v>0</v>
      </c>
      <c r="AQ690" t="b">
        <f>OR(AND(IF(metadata!F690="",FALSE,TRUE),OR(EXACT(metadata!F690,"missing: not collected"),EXACT(metadata!F690,"missing: not provided"))),AND(IF(metadata!F690="",FALSE,TRUE),OR(EXACT(metadata!F690,"TRUE"),EXACT(metadata!F690,"FALSE"))))</f>
        <v>0</v>
      </c>
      <c r="AR690" t="b">
        <f>OR(AND(IF(metadata!G690="",FALSE,TRUE),OR(EXACT(metadata!G690,"missing: not collected"),EXACT(metadata!G690,"missing: not provided"),EXACT(metadata!G690,"missing: restricted access"))),AND(IF(metadata!G690="",FALSE,ISNUMBER(VALUE(metadata!G690))),metadata!G690&gt;=-413))</f>
        <v>0</v>
      </c>
      <c r="AS690" t="b">
        <f>AND(IF(metadata!H690="",FALSE,TRUE),EXACT(metadata!H690,"meters"))</f>
        <v>0</v>
      </c>
      <c r="AT690" t="b">
        <f>AND(IF(metadata!I690="",FALSE,TRUE),OR(EXACT(metadata!I690,"Host-associated"),EXACT(metadata!I690,"Free-living")))</f>
        <v>0</v>
      </c>
      <c r="AU690" t="b">
        <f>AND(IF(metadata!J690="",FALSE,TRUE),OR(EXACT(metadata!J690,"Animal"),EXACT(metadata!J690,"Fungus"),EXACT(metadata!J690,"Plant"),EXACT(metadata!J690,"Saline"),EXACT(metadata!J690,"Non-saline")))</f>
        <v>0</v>
      </c>
      <c r="AV690" t="b">
        <f>AND(IF(metadata!K690="",FALSE,TRUE),OR(EXACT(metadata!K690,"Plant secretion"),EXACT(metadata!K690,"Plant rhizosphere"),EXACT(metadata!K690,"Plant surface"),EXACT(metadata!K690,"Plant corpus"),EXACT(metadata!K690,"Fungus surface"),EXACT(metadata!K690,"Fungus corpus"),EXACT(metadata!K690,"Animal surface"),EXACT(metadata!K690,"Animal proximal gut"),EXACT(metadata!K690,"Animal corpus"),EXACT(metadata!K690,"Animal distal gut"),EXACT(metadata!K690,"Animal secretion"),EXACT(metadata!K690,"Sub-surface (non-saline)"),EXACT(metadata!K690,"Surface (non-saline)"),EXACT(metadata!K690,"Water (non-saline)"),EXACT(metadata!K690,"Soil (non-saline)"),EXACT(metadata!K690,"Aerosol (non-saline)"),EXACT(metadata!K690,"Sediment (non-saline)"),EXACT(metadata!K690,"Surface (saline)"),EXACT(metadata!K690,"Water (saline)"),EXACT(metadata!K690,"Hypersaline (saline)"),EXACT(metadata!K690,"Aerosol (saline)"),EXACT(metadata!K690,"Sediment (saline)")))</f>
        <v>0</v>
      </c>
      <c r="AW690" t="b">
        <f>IF(metadata!L690="",FALSE,TRUE)</f>
        <v>0</v>
      </c>
      <c r="AX690" t="b">
        <f>IF(metadata!M690="",FALSE,TRUE)</f>
        <v>0</v>
      </c>
      <c r="AY690" t="b">
        <f>IF(metadata!N690="",FALSE,TRUE)</f>
        <v>0</v>
      </c>
      <c r="AZ690" t="b">
        <f>OR(AND(IF(metadata!O690="",FALSE,TRUE),OR(EXACT(metadata!O690,"missing: not collected"),EXACT(metadata!O690,"missing: not provided"),EXACT(metadata!O690,"missing: restricted access"))),AND(IF(metadata!O690="",FALSE,TRUE),OR(EXACT(metadata!O690,"air"),EXACT(metadata!O690,"built environment"),EXACT(metadata!O690,"host-associated"),EXACT(metadata!O690,"human-associated"),EXACT(metadata!O690,"human-skin"),EXACT(metadata!O690,"human-oral"),EXACT(metadata!O690,"human-gut"),EXACT(metadata!O690,"human-vaginal"),EXACT(metadata!O690,"microbial mat/biofilm"),EXACT(metadata!O690,"misc environment"),EXACT(metadata!O690,"plant-associated"),EXACT(metadata!O690,"sediment"),EXACT(metadata!O690,"soil"),EXACT(metadata!O690,"wastewater/sludge"),EXACT(metadata!O690,"water"))))</f>
        <v>0</v>
      </c>
      <c r="BA690" t="b">
        <f>IF(metadata!P690="",FALSE,TRUE)</f>
        <v>0</v>
      </c>
      <c r="BB690" t="b">
        <f>IF(metadata!Q690="",FALSE,TRUE)</f>
        <v>0</v>
      </c>
      <c r="BC690" t="b">
        <f>OR(AND(IF(metadata!R690="",FALSE,TRUE),OR(EXACT(metadata!R690,"missing: not collected"),EXACT(metadata!R690,"missing: not provided"),EXACT(metadata!R690,"missing: restricted access"))),AND(IF(metadata!R690="",FALSE,ISNUMBER(VALUE(metadata!R690))),metadata!R690&gt;=-90,metadata!R690&lt;=90))</f>
        <v>0</v>
      </c>
      <c r="BD690" t="b">
        <f>AND(IF(metadata!S690="",FALSE,TRUE),EXACT(metadata!S690,"Decimal degrees"))</f>
        <v>0</v>
      </c>
      <c r="BE690" t="b">
        <f>OR(AND(IF(metadata!T690="",FALSE,TRUE),OR(EXACT(metadata!T690,"missing: not collected"),EXACT(metadata!T690,"missing: not provided"),EXACT(metadata!T690,"missing: restricted access"))),AND(IF(metadata!T690="",FALSE,ISNUMBER(VALUE(metadata!T690))),metadata!T690&gt;=-180,metadata!T690&lt;=180))</f>
        <v>0</v>
      </c>
      <c r="BF690" t="b">
        <f>AND(IF(metadata!U690="",FALSE,TRUE),EXACT(metadata!U690,"Decimal degrees"))</f>
        <v>0</v>
      </c>
      <c r="BG690" t="b">
        <f>IF(metadata!V690="",FALSE,TRUE)</f>
        <v>0</v>
      </c>
      <c r="BH690" t="b">
        <f>OR(AND(IF(metadata!W690="",FALSE,TRUE),OR(EXACT(metadata!W690,"missing: not collected"),EXACT(metadata!W690,"missing: not provided"),EXACT(metadata!W690,"missing: restricted access"))),AND(IF(metadata!W690="",FALSE,TRUE),OR(EXACT(metadata!W690,"TRUE"),EXACT(metadata!W690,"FALSE"))))</f>
        <v>0</v>
      </c>
      <c r="BI690" t="b">
        <f>AND(IF(metadata!X690="",FALSE,TRUE),EXACT(metadata!X690,"other"))</f>
        <v>0</v>
      </c>
      <c r="BJ690" t="b">
        <f>IF(metadata!Y690="",FALSE,TRUE)</f>
        <v>0</v>
      </c>
      <c r="BK690" t="b">
        <f>OR(AND(IF(metadata!Z690="",FALSE,TRUE),OR(EXACT(metadata!Z690,"missing: not collected"),EXACT(metadata!Z690,"missing: not provided"))),AND(IF(metadata!Z690="",FALSE,IF(ISERROR(INT(metadata!Z690)),FALSE,INT(metadata!Z690)=metadata!Z690)),metadata!Z690&gt;0))</f>
        <v>0</v>
      </c>
      <c r="BL690" t="b">
        <f>AND(IF(metadata!AA690="",FALSE,TRUE),EXACT(metadata!AA690,"Not applicable"))</f>
        <v>0</v>
      </c>
      <c r="BM690" t="b">
        <f>IF(metadata!AB690="",FALSE,TRUE)</f>
        <v>0</v>
      </c>
    </row>
    <row r="691" spans="1:65" x14ac:dyDescent="0.2">
      <c r="A691" s="5" t="str">
        <f ca="1">IF(B691=" "," ",HYPERLINK(CONCATENATE("#metadata!",ADDRESS(INDEX($AH$2:$AH$1001,MATCH(ROWS($AF$2:AF691),$AF$2:$AF$1001,0),0),1)),INDEX($AK$2:$AK$1001,MATCH(ROWS($AF$2:AF691),$AF$2:$AF$1001,0),0)))</f>
        <v xml:space="preserve"> </v>
      </c>
      <c r="B691" s="4" t="str">
        <f ca="1">IF(OR(INDEX($AG$2:$AG$1001,MATCH(ROWS($AF$2:AF691),$AF$2:$AF$1001,0),1)&gt;=100000,INDEX($AM$1005:$BM$1005,1,MATCH(COLUMNS($AM$1006:AM1006),$AM$1006:$BM$1006,0))&gt;=100000), " ",IF(INDEX($AM$2:$BM$1001,MATCH(ROWS($AF$2:AF691),$AF$2:$AF$1001,0),MATCH(COLUMNS($AM$1006:AM1006),$AM$1006:$BM$1006,0)), HYPERLINK("#",""), HYPERLINK(CONCATENATE("#metadata!", ADDRESS(INDEX($AH$2:$AH$1001,MATCH(ROWS($AF$2:AF691),$AF$2:$AF$1001,0),0), INDEX($AM$1004:$BM$1004,1,MATCH(COLUMNS($AM$1006:AM1006),$AM$1006:$BM$1006,0)))),"Fix")))</f>
        <v xml:space="preserve"> </v>
      </c>
      <c r="C691" s="4" t="str">
        <f ca="1">IF(OR(INDEX($AG$2:$AG$1001,MATCH(ROWS($AF$2:AF691),$AF$2:$AF$1001,0),1)&gt;=100000,INDEX($AM$1005:$BM$1005,1,MATCH(COLUMNS($AM$1006:AN1006),$AM$1006:$BM$1006,0))&gt;=100000), " ",IF(INDEX($AM$2:$BM$1001,MATCH(ROWS($AF$2:AF691),$AF$2:$AF$1001,0),MATCH(COLUMNS($AM$1006:AN1006),$AM$1006:$BM$1006,0)), HYPERLINK("#",""), HYPERLINK(CONCATENATE("#metadata!", ADDRESS(INDEX($AH$2:$AH$1001,MATCH(ROWS($AF$2:AF691),$AF$2:$AF$1001,0),0), INDEX($AM$1004:$BM$1004,1,MATCH(COLUMNS($AM$1006:AN1006),$AM$1006:$BM$1006,0)))),"Fix")))</f>
        <v xml:space="preserve"> </v>
      </c>
      <c r="D691" s="4" t="str">
        <f ca="1">IF(OR(INDEX($AG$2:$AG$1001,MATCH(ROWS($AF$2:AF691),$AF$2:$AF$1001,0),1)&gt;=100000,INDEX($AM$1005:$BM$1005,1,MATCH(COLUMNS($AM$1006:AO1006),$AM$1006:$BM$1006,0))&gt;=100000), " ",IF(INDEX($AM$2:$BM$1001,MATCH(ROWS($AF$2:AF691),$AF$2:$AF$1001,0),MATCH(COLUMNS($AM$1006:AO1006),$AM$1006:$BM$1006,0)), HYPERLINK("#",""), HYPERLINK(CONCATENATE("#metadata!", ADDRESS(INDEX($AH$2:$AH$1001,MATCH(ROWS($AF$2:AF691),$AF$2:$AF$1001,0),0), INDEX($AM$1004:$BM$1004,1,MATCH(COLUMNS($AM$1006:AO1006),$AM$1006:$BM$1006,0)))),"Fix")))</f>
        <v xml:space="preserve"> </v>
      </c>
      <c r="E691" s="4" t="str">
        <f ca="1">IF(OR(INDEX($AG$2:$AG$1001,MATCH(ROWS($AF$2:AF691),$AF$2:$AF$1001,0),1)&gt;=100000,INDEX($AM$1005:$BM$1005,1,MATCH(COLUMNS($AM$1006:AP1006),$AM$1006:$BM$1006,0))&gt;=100000), " ",IF(INDEX($AM$2:$BM$1001,MATCH(ROWS($AF$2:AF691),$AF$2:$AF$1001,0),MATCH(COLUMNS($AM$1006:AP1006),$AM$1006:$BM$1006,0)), HYPERLINK("#",""), HYPERLINK(CONCATENATE("#metadata!", ADDRESS(INDEX($AH$2:$AH$1001,MATCH(ROWS($AF$2:AF691),$AF$2:$AF$1001,0),0), INDEX($AM$1004:$BM$1004,1,MATCH(COLUMNS($AM$1006:AP1006),$AM$1006:$BM$1006,0)))),"Fix")))</f>
        <v xml:space="preserve"> </v>
      </c>
      <c r="F691" s="4" t="str">
        <f ca="1">IF(OR(INDEX($AG$2:$AG$1001,MATCH(ROWS($AF$2:AF691),$AF$2:$AF$1001,0),1)&gt;=100000,INDEX($AM$1005:$BM$1005,1,MATCH(COLUMNS($AM$1006:AQ1006),$AM$1006:$BM$1006,0))&gt;=100000), " ",IF(INDEX($AM$2:$BM$1001,MATCH(ROWS($AF$2:AF691),$AF$2:$AF$1001,0),MATCH(COLUMNS($AM$1006:AQ1006),$AM$1006:$BM$1006,0)), HYPERLINK("#",""), HYPERLINK(CONCATENATE("#metadata!", ADDRESS(INDEX($AH$2:$AH$1001,MATCH(ROWS($AF$2:AF691),$AF$2:$AF$1001,0),0), INDEX($AM$1004:$BM$1004,1,MATCH(COLUMNS($AM$1006:AQ1006),$AM$1006:$BM$1006,0)))),"Fix")))</f>
        <v xml:space="preserve"> </v>
      </c>
      <c r="G691" s="4" t="str">
        <f ca="1">IF(OR(INDEX($AG$2:$AG$1001,MATCH(ROWS($AF$2:AF691),$AF$2:$AF$1001,0),1)&gt;=100000,INDEX($AM$1005:$BM$1005,1,MATCH(COLUMNS($AM$1006:AR1006),$AM$1006:$BM$1006,0))&gt;=100000), " ",IF(INDEX($AM$2:$BM$1001,MATCH(ROWS($AF$2:AF691),$AF$2:$AF$1001,0),MATCH(COLUMNS($AM$1006:AR1006),$AM$1006:$BM$1006,0)), HYPERLINK("#",""), HYPERLINK(CONCATENATE("#metadata!", ADDRESS(INDEX($AH$2:$AH$1001,MATCH(ROWS($AF$2:AF691),$AF$2:$AF$1001,0),0), INDEX($AM$1004:$BM$1004,1,MATCH(COLUMNS($AM$1006:AR1006),$AM$1006:$BM$1006,0)))),"Fix")))</f>
        <v xml:space="preserve"> </v>
      </c>
      <c r="H691" s="4" t="str">
        <f ca="1">IF(OR(INDEX($AG$2:$AG$1001,MATCH(ROWS($AF$2:AF691),$AF$2:$AF$1001,0),1)&gt;=100000,INDEX($AM$1005:$BM$1005,1,MATCH(COLUMNS($AM$1006:AS1006),$AM$1006:$BM$1006,0))&gt;=100000), " ",IF(INDEX($AM$2:$BM$1001,MATCH(ROWS($AF$2:AF691),$AF$2:$AF$1001,0),MATCH(COLUMNS($AM$1006:AS1006),$AM$1006:$BM$1006,0)), HYPERLINK("#",""), HYPERLINK(CONCATENATE("#metadata!", ADDRESS(INDEX($AH$2:$AH$1001,MATCH(ROWS($AF$2:AF691),$AF$2:$AF$1001,0),0), INDEX($AM$1004:$BM$1004,1,MATCH(COLUMNS($AM$1006:AS1006),$AM$1006:$BM$1006,0)))),"Fix")))</f>
        <v xml:space="preserve"> </v>
      </c>
      <c r="I691" s="4" t="str">
        <f ca="1">IF(OR(INDEX($AG$2:$AG$1001,MATCH(ROWS($AF$2:AF691),$AF$2:$AF$1001,0),1)&gt;=100000,INDEX($AM$1005:$BM$1005,1,MATCH(COLUMNS($AM$1006:AT1006),$AM$1006:$BM$1006,0))&gt;=100000), " ",IF(INDEX($AM$2:$BM$1001,MATCH(ROWS($AF$2:AF691),$AF$2:$AF$1001,0),MATCH(COLUMNS($AM$1006:AT1006),$AM$1006:$BM$1006,0)), HYPERLINK("#",""), HYPERLINK(CONCATENATE("#metadata!", ADDRESS(INDEX($AH$2:$AH$1001,MATCH(ROWS($AF$2:AF691),$AF$2:$AF$1001,0),0), INDEX($AM$1004:$BM$1004,1,MATCH(COLUMNS($AM$1006:AT1006),$AM$1006:$BM$1006,0)))),"Fix")))</f>
        <v xml:space="preserve"> </v>
      </c>
      <c r="J691" s="4" t="str">
        <f ca="1">IF(OR(INDEX($AG$2:$AG$1001,MATCH(ROWS($AF$2:AF691),$AF$2:$AF$1001,0),1)&gt;=100000,INDEX($AM$1005:$BM$1005,1,MATCH(COLUMNS($AM$1006:AU1006),$AM$1006:$BM$1006,0))&gt;=100000), " ",IF(INDEX($AM$2:$BM$1001,MATCH(ROWS($AF$2:AF691),$AF$2:$AF$1001,0),MATCH(COLUMNS($AM$1006:AU1006),$AM$1006:$BM$1006,0)), HYPERLINK("#",""), HYPERLINK(CONCATENATE("#metadata!", ADDRESS(INDEX($AH$2:$AH$1001,MATCH(ROWS($AF$2:AF691),$AF$2:$AF$1001,0),0), INDEX($AM$1004:$BM$1004,1,MATCH(COLUMNS($AM$1006:AU1006),$AM$1006:$BM$1006,0)))),"Fix")))</f>
        <v xml:space="preserve"> </v>
      </c>
      <c r="K691" s="4" t="str">
        <f ca="1">IF(OR(INDEX($AG$2:$AG$1001,MATCH(ROWS($AF$2:AF691),$AF$2:$AF$1001,0),1)&gt;=100000,INDEX($AM$1005:$BM$1005,1,MATCH(COLUMNS($AM$1006:AV1006),$AM$1006:$BM$1006,0))&gt;=100000), " ",IF(INDEX($AM$2:$BM$1001,MATCH(ROWS($AF$2:AF691),$AF$2:$AF$1001,0),MATCH(COLUMNS($AM$1006:AV1006),$AM$1006:$BM$1006,0)), HYPERLINK("#",""), HYPERLINK(CONCATENATE("#metadata!", ADDRESS(INDEX($AH$2:$AH$1001,MATCH(ROWS($AF$2:AF691),$AF$2:$AF$1001,0),0), INDEX($AM$1004:$BM$1004,1,MATCH(COLUMNS($AM$1006:AV1006),$AM$1006:$BM$1006,0)))),"Fix")))</f>
        <v xml:space="preserve"> </v>
      </c>
      <c r="L691" s="4" t="str">
        <f ca="1">IF(OR(INDEX($AG$2:$AG$1001,MATCH(ROWS($AF$2:AF691),$AF$2:$AF$1001,0),1)&gt;=100000,INDEX($AM$1005:$BM$1005,1,MATCH(COLUMNS($AM$1006:AW1006),$AM$1006:$BM$1006,0))&gt;=100000), " ",IF(INDEX($AM$2:$BM$1001,MATCH(ROWS($AF$2:AF691),$AF$2:$AF$1001,0),MATCH(COLUMNS($AM$1006:AW1006),$AM$1006:$BM$1006,0)), HYPERLINK("#",""), HYPERLINK(CONCATENATE("#metadata!", ADDRESS(INDEX($AH$2:$AH$1001,MATCH(ROWS($AF$2:AF691),$AF$2:$AF$1001,0),0), INDEX($AM$1004:$BM$1004,1,MATCH(COLUMNS($AM$1006:AW1006),$AM$1006:$BM$1006,0)))),"Fix")))</f>
        <v xml:space="preserve"> </v>
      </c>
      <c r="M691" s="4" t="str">
        <f ca="1">IF(OR(INDEX($AG$2:$AG$1001,MATCH(ROWS($AF$2:AF691),$AF$2:$AF$1001,0),1)&gt;=100000,INDEX($AM$1005:$BM$1005,1,MATCH(COLUMNS($AM$1006:AX1006),$AM$1006:$BM$1006,0))&gt;=100000), " ",IF(INDEX($AM$2:$BM$1001,MATCH(ROWS($AF$2:AF691),$AF$2:$AF$1001,0),MATCH(COLUMNS($AM$1006:AX1006),$AM$1006:$BM$1006,0)), HYPERLINK("#",""), HYPERLINK(CONCATENATE("#metadata!", ADDRESS(INDEX($AH$2:$AH$1001,MATCH(ROWS($AF$2:AF691),$AF$2:$AF$1001,0),0), INDEX($AM$1004:$BM$1004,1,MATCH(COLUMNS($AM$1006:AX1006),$AM$1006:$BM$1006,0)))),"Fix")))</f>
        <v xml:space="preserve"> </v>
      </c>
      <c r="N691" s="4" t="str">
        <f ca="1">IF(OR(INDEX($AG$2:$AG$1001,MATCH(ROWS($AF$2:AF691),$AF$2:$AF$1001,0),1)&gt;=100000,INDEX($AM$1005:$BM$1005,1,MATCH(COLUMNS($AM$1006:AY1006),$AM$1006:$BM$1006,0))&gt;=100000), " ",IF(INDEX($AM$2:$BM$1001,MATCH(ROWS($AF$2:AF691),$AF$2:$AF$1001,0),MATCH(COLUMNS($AM$1006:AY1006),$AM$1006:$BM$1006,0)), HYPERLINK("#",""), HYPERLINK(CONCATENATE("#metadata!", ADDRESS(INDEX($AH$2:$AH$1001,MATCH(ROWS($AF$2:AF691),$AF$2:$AF$1001,0),0), INDEX($AM$1004:$BM$1004,1,MATCH(COLUMNS($AM$1006:AY1006),$AM$1006:$BM$1006,0)))),"Fix")))</f>
        <v xml:space="preserve"> </v>
      </c>
      <c r="O691" s="4" t="str">
        <f ca="1">IF(OR(INDEX($AG$2:$AG$1001,MATCH(ROWS($AF$2:AF691),$AF$2:$AF$1001,0),1)&gt;=100000,INDEX($AM$1005:$BM$1005,1,MATCH(COLUMNS($AM$1006:AZ1006),$AM$1006:$BM$1006,0))&gt;=100000), " ",IF(INDEX($AM$2:$BM$1001,MATCH(ROWS($AF$2:AF691),$AF$2:$AF$1001,0),MATCH(COLUMNS($AM$1006:AZ1006),$AM$1006:$BM$1006,0)), HYPERLINK("#",""), HYPERLINK(CONCATENATE("#metadata!", ADDRESS(INDEX($AH$2:$AH$1001,MATCH(ROWS($AF$2:AF691),$AF$2:$AF$1001,0),0), INDEX($AM$1004:$BM$1004,1,MATCH(COLUMNS($AM$1006:AZ1006),$AM$1006:$BM$1006,0)))),"Fix")))</f>
        <v xml:space="preserve"> </v>
      </c>
      <c r="P691" s="4" t="str">
        <f ca="1">IF(OR(INDEX($AG$2:$AG$1001,MATCH(ROWS($AF$2:AF691),$AF$2:$AF$1001,0),1)&gt;=100000,INDEX($AM$1005:$BM$1005,1,MATCH(COLUMNS($AM$1006:BA1006),$AM$1006:$BM$1006,0))&gt;=100000), " ",IF(INDEX($AM$2:$BM$1001,MATCH(ROWS($AF$2:AF691),$AF$2:$AF$1001,0),MATCH(COLUMNS($AM$1006:BA1006),$AM$1006:$BM$1006,0)), HYPERLINK("#",""), HYPERLINK(CONCATENATE("#metadata!", ADDRESS(INDEX($AH$2:$AH$1001,MATCH(ROWS($AF$2:AF691),$AF$2:$AF$1001,0),0), INDEX($AM$1004:$BM$1004,1,MATCH(COLUMNS($AM$1006:BA1006),$AM$1006:$BM$1006,0)))),"Fix")))</f>
        <v xml:space="preserve"> </v>
      </c>
      <c r="Q691" s="4" t="str">
        <f ca="1">IF(OR(INDEX($AG$2:$AG$1001,MATCH(ROWS($AF$2:AF691),$AF$2:$AF$1001,0),1)&gt;=100000,INDEX($AM$1005:$BM$1005,1,MATCH(COLUMNS($AM$1006:BB1006),$AM$1006:$BM$1006,0))&gt;=100000), " ",IF(INDEX($AM$2:$BM$1001,MATCH(ROWS($AF$2:AF691),$AF$2:$AF$1001,0),MATCH(COLUMNS($AM$1006:BB1006),$AM$1006:$BM$1006,0)), HYPERLINK("#",""), HYPERLINK(CONCATENATE("#metadata!", ADDRESS(INDEX($AH$2:$AH$1001,MATCH(ROWS($AF$2:AF691),$AF$2:$AF$1001,0),0), INDEX($AM$1004:$BM$1004,1,MATCH(COLUMNS($AM$1006:BB1006),$AM$1006:$BM$1006,0)))),"Fix")))</f>
        <v xml:space="preserve"> </v>
      </c>
      <c r="R691" s="4" t="str">
        <f ca="1">IF(OR(INDEX($AG$2:$AG$1001,MATCH(ROWS($AF$2:AF691),$AF$2:$AF$1001,0),1)&gt;=100000,INDEX($AM$1005:$BM$1005,1,MATCH(COLUMNS($AM$1006:BC1006),$AM$1006:$BM$1006,0))&gt;=100000), " ",IF(INDEX($AM$2:$BM$1001,MATCH(ROWS($AF$2:AF691),$AF$2:$AF$1001,0),MATCH(COLUMNS($AM$1006:BC1006),$AM$1006:$BM$1006,0)), HYPERLINK("#",""), HYPERLINK(CONCATENATE("#metadata!", ADDRESS(INDEX($AH$2:$AH$1001,MATCH(ROWS($AF$2:AF691),$AF$2:$AF$1001,0),0), INDEX($AM$1004:$BM$1004,1,MATCH(COLUMNS($AM$1006:BC1006),$AM$1006:$BM$1006,0)))),"Fix")))</f>
        <v xml:space="preserve"> </v>
      </c>
      <c r="S691" s="4" t="str">
        <f ca="1">IF(OR(INDEX($AG$2:$AG$1001,MATCH(ROWS($AF$2:AF691),$AF$2:$AF$1001,0),1)&gt;=100000,INDEX($AM$1005:$BM$1005,1,MATCH(COLUMNS($AM$1006:BD1006),$AM$1006:$BM$1006,0))&gt;=100000), " ",IF(INDEX($AM$2:$BM$1001,MATCH(ROWS($AF$2:AF691),$AF$2:$AF$1001,0),MATCH(COLUMNS($AM$1006:BD1006),$AM$1006:$BM$1006,0)), HYPERLINK("#",""), HYPERLINK(CONCATENATE("#metadata!", ADDRESS(INDEX($AH$2:$AH$1001,MATCH(ROWS($AF$2:AF691),$AF$2:$AF$1001,0),0), INDEX($AM$1004:$BM$1004,1,MATCH(COLUMNS($AM$1006:BD1006),$AM$1006:$BM$1006,0)))),"Fix")))</f>
        <v xml:space="preserve"> </v>
      </c>
      <c r="T691" s="4" t="str">
        <f ca="1">IF(OR(INDEX($AG$2:$AG$1001,MATCH(ROWS($AF$2:AF691),$AF$2:$AF$1001,0),1)&gt;=100000,INDEX($AM$1005:$BM$1005,1,MATCH(COLUMNS($AM$1006:BE1006),$AM$1006:$BM$1006,0))&gt;=100000), " ",IF(INDEX($AM$2:$BM$1001,MATCH(ROWS($AF$2:AF691),$AF$2:$AF$1001,0),MATCH(COLUMNS($AM$1006:BE1006),$AM$1006:$BM$1006,0)), HYPERLINK("#",""), HYPERLINK(CONCATENATE("#metadata!", ADDRESS(INDEX($AH$2:$AH$1001,MATCH(ROWS($AF$2:AF691),$AF$2:$AF$1001,0),0), INDEX($AM$1004:$BM$1004,1,MATCH(COLUMNS($AM$1006:BE1006),$AM$1006:$BM$1006,0)))),"Fix")))</f>
        <v xml:space="preserve"> </v>
      </c>
      <c r="U691" s="4" t="str">
        <f ca="1">IF(OR(INDEX($AG$2:$AG$1001,MATCH(ROWS($AF$2:AF691),$AF$2:$AF$1001,0),1)&gt;=100000,INDEX($AM$1005:$BM$1005,1,MATCH(COLUMNS($AM$1006:BF1006),$AM$1006:$BM$1006,0))&gt;=100000), " ",IF(INDEX($AM$2:$BM$1001,MATCH(ROWS($AF$2:AF691),$AF$2:$AF$1001,0),MATCH(COLUMNS($AM$1006:BF1006),$AM$1006:$BM$1006,0)), HYPERLINK("#",""), HYPERLINK(CONCATENATE("#metadata!", ADDRESS(INDEX($AH$2:$AH$1001,MATCH(ROWS($AF$2:AF691),$AF$2:$AF$1001,0),0), INDEX($AM$1004:$BM$1004,1,MATCH(COLUMNS($AM$1006:BF1006),$AM$1006:$BM$1006,0)))),"Fix")))</f>
        <v xml:space="preserve"> </v>
      </c>
      <c r="V691" s="4" t="str">
        <f ca="1">IF(OR(INDEX($AG$2:$AG$1001,MATCH(ROWS($AF$2:AF691),$AF$2:$AF$1001,0),1)&gt;=100000,INDEX($AM$1005:$BM$1005,1,MATCH(COLUMNS($AM$1006:BG1006),$AM$1006:$BM$1006,0))&gt;=100000), " ",IF(INDEX($AM$2:$BM$1001,MATCH(ROWS($AF$2:AF691),$AF$2:$AF$1001,0),MATCH(COLUMNS($AM$1006:BG1006),$AM$1006:$BM$1006,0)), HYPERLINK("#",""), HYPERLINK(CONCATENATE("#metadata!", ADDRESS(INDEX($AH$2:$AH$1001,MATCH(ROWS($AF$2:AF691),$AF$2:$AF$1001,0),0), INDEX($AM$1004:$BM$1004,1,MATCH(COLUMNS($AM$1006:BG1006),$AM$1006:$BM$1006,0)))),"Fix")))</f>
        <v xml:space="preserve"> </v>
      </c>
      <c r="W691" s="4" t="str">
        <f ca="1">IF(OR(INDEX($AG$2:$AG$1001,MATCH(ROWS($AF$2:AF691),$AF$2:$AF$1001,0),1)&gt;=100000,INDEX($AM$1005:$BM$1005,1,MATCH(COLUMNS($AM$1006:BH1006),$AM$1006:$BM$1006,0))&gt;=100000), " ",IF(INDEX($AM$2:$BM$1001,MATCH(ROWS($AF$2:AF691),$AF$2:$AF$1001,0),MATCH(COLUMNS($AM$1006:BH1006),$AM$1006:$BM$1006,0)), HYPERLINK("#",""), HYPERLINK(CONCATENATE("#metadata!", ADDRESS(INDEX($AH$2:$AH$1001,MATCH(ROWS($AF$2:AF691),$AF$2:$AF$1001,0),0), INDEX($AM$1004:$BM$1004,1,MATCH(COLUMNS($AM$1006:BH1006),$AM$1006:$BM$1006,0)))),"Fix")))</f>
        <v xml:space="preserve"> </v>
      </c>
      <c r="X691" s="4" t="str">
        <f ca="1">IF(OR(INDEX($AG$2:$AG$1001,MATCH(ROWS($AF$2:AF691),$AF$2:$AF$1001,0),1)&gt;=100000,INDEX($AM$1005:$BM$1005,1,MATCH(COLUMNS($AM$1006:BI1006),$AM$1006:$BM$1006,0))&gt;=100000), " ",IF(INDEX($AM$2:$BM$1001,MATCH(ROWS($AF$2:AF691),$AF$2:$AF$1001,0),MATCH(COLUMNS($AM$1006:BI1006),$AM$1006:$BM$1006,0)), HYPERLINK("#",""), HYPERLINK(CONCATENATE("#metadata!", ADDRESS(INDEX($AH$2:$AH$1001,MATCH(ROWS($AF$2:AF691),$AF$2:$AF$1001,0),0), INDEX($AM$1004:$BM$1004,1,MATCH(COLUMNS($AM$1006:BI1006),$AM$1006:$BM$1006,0)))),"Fix")))</f>
        <v xml:space="preserve"> </v>
      </c>
      <c r="Y691" s="4" t="str">
        <f ca="1">IF(OR(INDEX($AG$2:$AG$1001,MATCH(ROWS($AF$2:AF691),$AF$2:$AF$1001,0),1)&gt;=100000,INDEX($AM$1005:$BM$1005,1,MATCH(COLUMNS($AM$1006:BJ1006),$AM$1006:$BM$1006,0))&gt;=100000), " ",IF(INDEX($AM$2:$BM$1001,MATCH(ROWS($AF$2:AF691),$AF$2:$AF$1001,0),MATCH(COLUMNS($AM$1006:BJ1006),$AM$1006:$BM$1006,0)), HYPERLINK("#",""), HYPERLINK(CONCATENATE("#metadata!", ADDRESS(INDEX($AH$2:$AH$1001,MATCH(ROWS($AF$2:AF691),$AF$2:$AF$1001,0),0), INDEX($AM$1004:$BM$1004,1,MATCH(COLUMNS($AM$1006:BJ1006),$AM$1006:$BM$1006,0)))),"Fix")))</f>
        <v xml:space="preserve"> </v>
      </c>
      <c r="Z691" s="4" t="str">
        <f ca="1">IF(OR(INDEX($AG$2:$AG$1001,MATCH(ROWS($AF$2:AF691),$AF$2:$AF$1001,0),1)&gt;=100000,INDEX($AM$1005:$BM$1005,1,MATCH(COLUMNS($AM$1006:BK1006),$AM$1006:$BM$1006,0))&gt;=100000), " ",IF(INDEX($AM$2:$BM$1001,MATCH(ROWS($AF$2:AF691),$AF$2:$AF$1001,0),MATCH(COLUMNS($AM$1006:BK1006),$AM$1006:$BM$1006,0)), HYPERLINK("#",""), HYPERLINK(CONCATENATE("#metadata!", ADDRESS(INDEX($AH$2:$AH$1001,MATCH(ROWS($AF$2:AF691),$AF$2:$AF$1001,0),0), INDEX($AM$1004:$BM$1004,1,MATCH(COLUMNS($AM$1006:BK1006),$AM$1006:$BM$1006,0)))),"Fix")))</f>
        <v xml:space="preserve"> </v>
      </c>
      <c r="AA691" s="4" t="str">
        <f ca="1">IF(OR(INDEX($AG$2:$AG$1001,MATCH(ROWS($AF$2:AF691),$AF$2:$AF$1001,0),1)&gt;=100000,INDEX($AM$1005:$BM$1005,1,MATCH(COLUMNS($AM$1006:BL1006),$AM$1006:$BM$1006,0))&gt;=100000), " ",IF(INDEX($AM$2:$BM$1001,MATCH(ROWS($AF$2:AF691),$AF$2:$AF$1001,0),MATCH(COLUMNS($AM$1006:BL1006),$AM$1006:$BM$1006,0)), HYPERLINK("#",""), HYPERLINK(CONCATENATE("#metadata!", ADDRESS(INDEX($AH$2:$AH$1001,MATCH(ROWS($AF$2:AF691),$AF$2:$AF$1001,0),0), INDEX($AM$1004:$BM$1004,1,MATCH(COLUMNS($AM$1006:BL1006),$AM$1006:$BM$1006,0)))),"Fix")))</f>
        <v xml:space="preserve"> </v>
      </c>
      <c r="AB691" s="4" t="str">
        <f ca="1">IF(OR(INDEX($AG$2:$AG$1001,MATCH(ROWS($AF$2:AF691),$AF$2:$AF$1001,0),1)&gt;=100000,INDEX($AM$1005:$BM$1005,1,MATCH(COLUMNS($AM$1006:BM1006),$AM$1006:$BM$1006,0))&gt;=100000), " ",IF(INDEX($AM$2:$BM$1001,MATCH(ROWS($AF$2:AF691),$AF$2:$AF$1001,0),MATCH(COLUMNS($AM$1006:BM1006),$AM$1006:$BM$1006,0)), HYPERLINK("#",""), HYPERLINK(CONCATENATE("#metadata!", ADDRESS(INDEX($AH$2:$AH$1001,MATCH(ROWS($AF$2:AF691),$AF$2:$AF$1001,0),0), INDEX($AM$1004:$BM$1004,1,MATCH(COLUMNS($AM$1006:BM1006),$AM$1006:$BM$1006,0)))),"Fix")))</f>
        <v xml:space="preserve"> </v>
      </c>
      <c r="AF691">
        <v>690</v>
      </c>
      <c r="AG691">
        <v>100691</v>
      </c>
      <c r="AH691">
        <v>691</v>
      </c>
      <c r="AI691" t="b">
        <f t="shared" si="10"/>
        <v>1</v>
      </c>
      <c r="AJ691" t="b">
        <f>COUNTBLANK(metadata!B691:AB691)=COLUMNS(metadata!B691:AB691)</f>
        <v>1</v>
      </c>
      <c r="AK691" t="str">
        <v/>
      </c>
      <c r="AM691" t="b">
        <f ca="1">AND(IF(metadata!B691="",FALSE,TRUE),COUNTIF(metadata!B:B, metadata!B691) = 1,NOT(ISERROR(SUMPRODUCT(SEARCH(MID(metadata!B691,ROW(INDIRECT("1:"&amp;LEN(metadata!B691))), 1),"0123456789abcdefghijklmnopqrstuvwxyzABCDEFGHIJKLMNOPQRSTUVWXYZ.")))))</f>
        <v>0</v>
      </c>
      <c r="AN691" t="b">
        <f ca="1">OR(AND(IF(metadata!C691="",FALSE,TRUE),OR(EXACT(metadata!C691,"missing: not collected"),EXACT(metadata!C691,"missing: not provided"),EXACT(metadata!C691,"missing: restricted access"))),AND(IF(metadata!C691="",FALSE,TRUE),AND(AND(IFERROR(INT(LEFT(metadata!C691,4))&gt;1900,FALSE),IFERROR(INT(LEFT(metadata!C691,4))&lt;=YEAR(NOW()),FALSE)), OR(MID(metadata!C691,5,1)="", AND(AND(MID(metadata!C691,5,1)="-",IFERROR(INT(MID(metadata!C691,6,1))&gt;=0,FALSE),IFERROR(INT(MID(metadata!C691,6,1))&lt;=1,FALSE),NOT(MID(metadata!C691,7,1)=""),IFERROR(INT(MID(metadata!C691,6,2))&gt;=1,FALSE),IFERROR(INT(MID(metadata!C691,6,2))&lt;=12,FALSE)), OR(MID(metadata!C691,8,1)="", AND(AND(MID(metadata!C691,8,1)="-",IFERROR(INT(MID(metadata!C691,9,1))&gt;=0,FALSE),IFERROR(INT(MID(metadata!C691,9,1))&lt;=3,FALSE),NOT(MID(metadata!C691,10,1)=""),IFERROR(INT(MID(metadata!C691,9,2))&gt;=1,FALSE),IFERROR(INT(MID(metadata!C691,9,2))&lt;=31,FALSE)), OR(MID(metadata!C691,11,1)="", AND(AND(MID(metadata!C691,11,1)=" ",IFERROR(INT(MID(metadata!C691,12,1))&gt;=0,FALSE),IFERROR(INT(MID(metadata!C691,12,1))&lt;=2,FALSE),NOT(MID(metadata!C691,13,1)=""),IFERROR(INT(MID(metadata!C691,12,2))&gt;=0,FALSE),IFERROR(INT(MID(metadata!C691,12,2))&lt;=23,FALSE)), OR(MID(metadata!C691,14,1)="", AND(AND(MID(metadata!C691,14,1)=":",IFERROR(INT(MID(metadata!C691,15,1))&gt;=0,FALSE),IFERROR(INT(MID(metadata!C691,15,1))&lt;=5,FALSE),NOT(MID(metadata!C691,16,1)=""),IFERROR(INT(MID(metadata!C691,15,2))&gt;=0,FALSE),IFERROR(INT(MID(metadata!C691,15,2))&lt;=59,FALSE)), OR(MID(metadata!C691,17,1)="", AND(AND(MID(metadata!C691,17,1)=":",IFERROR(INT(MID(metadata!C691,18,1))&gt;=0,FALSE),IFERROR(INT(MID(metadata!C691,18,1))&lt;=5,FALSE),NOT(MID(metadata!C691,19,1)=""),IFERROR(INT(MID(metadata!C691,18,2))&gt;=0,FALSE),IFERROR(INT(MID(metadata!C691,18,2))&lt;=59,FALSE)), LEN(metadata!C691)&lt;=19)))))))))))))</f>
        <v>0</v>
      </c>
      <c r="AO691" t="b">
        <f>AND(IF(metadata!D691="",FALSE,TRUE),EXACT(metadata!D691,"Not applicable"))</f>
        <v>0</v>
      </c>
      <c r="AP691" t="b">
        <f>IF(metadata!E691="",FALSE,TRUE)</f>
        <v>0</v>
      </c>
      <c r="AQ691" t="b">
        <f>OR(AND(IF(metadata!F691="",FALSE,TRUE),OR(EXACT(metadata!F691,"missing: not collected"),EXACT(metadata!F691,"missing: not provided"))),AND(IF(metadata!F691="",FALSE,TRUE),OR(EXACT(metadata!F691,"TRUE"),EXACT(metadata!F691,"FALSE"))))</f>
        <v>0</v>
      </c>
      <c r="AR691" t="b">
        <f>OR(AND(IF(metadata!G691="",FALSE,TRUE),OR(EXACT(metadata!G691,"missing: not collected"),EXACT(metadata!G691,"missing: not provided"),EXACT(metadata!G691,"missing: restricted access"))),AND(IF(metadata!G691="",FALSE,ISNUMBER(VALUE(metadata!G691))),metadata!G691&gt;=-413))</f>
        <v>0</v>
      </c>
      <c r="AS691" t="b">
        <f>AND(IF(metadata!H691="",FALSE,TRUE),EXACT(metadata!H691,"meters"))</f>
        <v>0</v>
      </c>
      <c r="AT691" t="b">
        <f>AND(IF(metadata!I691="",FALSE,TRUE),OR(EXACT(metadata!I691,"Host-associated"),EXACT(metadata!I691,"Free-living")))</f>
        <v>0</v>
      </c>
      <c r="AU691" t="b">
        <f>AND(IF(metadata!J691="",FALSE,TRUE),OR(EXACT(metadata!J691,"Animal"),EXACT(metadata!J691,"Fungus"),EXACT(metadata!J691,"Plant"),EXACT(metadata!J691,"Saline"),EXACT(metadata!J691,"Non-saline")))</f>
        <v>0</v>
      </c>
      <c r="AV691" t="b">
        <f>AND(IF(metadata!K691="",FALSE,TRUE),OR(EXACT(metadata!K691,"Plant secretion"),EXACT(metadata!K691,"Plant rhizosphere"),EXACT(metadata!K691,"Plant surface"),EXACT(metadata!K691,"Plant corpus"),EXACT(metadata!K691,"Fungus surface"),EXACT(metadata!K691,"Fungus corpus"),EXACT(metadata!K691,"Animal surface"),EXACT(metadata!K691,"Animal proximal gut"),EXACT(metadata!K691,"Animal corpus"),EXACT(metadata!K691,"Animal distal gut"),EXACT(metadata!K691,"Animal secretion"),EXACT(metadata!K691,"Sub-surface (non-saline)"),EXACT(metadata!K691,"Surface (non-saline)"),EXACT(metadata!K691,"Water (non-saline)"),EXACT(metadata!K691,"Soil (non-saline)"),EXACT(metadata!K691,"Aerosol (non-saline)"),EXACT(metadata!K691,"Sediment (non-saline)"),EXACT(metadata!K691,"Surface (saline)"),EXACT(metadata!K691,"Water (saline)"),EXACT(metadata!K691,"Hypersaline (saline)"),EXACT(metadata!K691,"Aerosol (saline)"),EXACT(metadata!K691,"Sediment (saline)")))</f>
        <v>0</v>
      </c>
      <c r="AW691" t="b">
        <f>IF(metadata!L691="",FALSE,TRUE)</f>
        <v>0</v>
      </c>
      <c r="AX691" t="b">
        <f>IF(metadata!M691="",FALSE,TRUE)</f>
        <v>0</v>
      </c>
      <c r="AY691" t="b">
        <f>IF(metadata!N691="",FALSE,TRUE)</f>
        <v>0</v>
      </c>
      <c r="AZ691" t="b">
        <f>OR(AND(IF(metadata!O691="",FALSE,TRUE),OR(EXACT(metadata!O691,"missing: not collected"),EXACT(metadata!O691,"missing: not provided"),EXACT(metadata!O691,"missing: restricted access"))),AND(IF(metadata!O691="",FALSE,TRUE),OR(EXACT(metadata!O691,"air"),EXACT(metadata!O691,"built environment"),EXACT(metadata!O691,"host-associated"),EXACT(metadata!O691,"human-associated"),EXACT(metadata!O691,"human-skin"),EXACT(metadata!O691,"human-oral"),EXACT(metadata!O691,"human-gut"),EXACT(metadata!O691,"human-vaginal"),EXACT(metadata!O691,"microbial mat/biofilm"),EXACT(metadata!O691,"misc environment"),EXACT(metadata!O691,"plant-associated"),EXACT(metadata!O691,"sediment"),EXACT(metadata!O691,"soil"),EXACT(metadata!O691,"wastewater/sludge"),EXACT(metadata!O691,"water"))))</f>
        <v>0</v>
      </c>
      <c r="BA691" t="b">
        <f>IF(metadata!P691="",FALSE,TRUE)</f>
        <v>0</v>
      </c>
      <c r="BB691" t="b">
        <f>IF(metadata!Q691="",FALSE,TRUE)</f>
        <v>0</v>
      </c>
      <c r="BC691" t="b">
        <f>OR(AND(IF(metadata!R691="",FALSE,TRUE),OR(EXACT(metadata!R691,"missing: not collected"),EXACT(metadata!R691,"missing: not provided"),EXACT(metadata!R691,"missing: restricted access"))),AND(IF(metadata!R691="",FALSE,ISNUMBER(VALUE(metadata!R691))),metadata!R691&gt;=-90,metadata!R691&lt;=90))</f>
        <v>0</v>
      </c>
      <c r="BD691" t="b">
        <f>AND(IF(metadata!S691="",FALSE,TRUE),EXACT(metadata!S691,"Decimal degrees"))</f>
        <v>0</v>
      </c>
      <c r="BE691" t="b">
        <f>OR(AND(IF(metadata!T691="",FALSE,TRUE),OR(EXACT(metadata!T691,"missing: not collected"),EXACT(metadata!T691,"missing: not provided"),EXACT(metadata!T691,"missing: restricted access"))),AND(IF(metadata!T691="",FALSE,ISNUMBER(VALUE(metadata!T691))),metadata!T691&gt;=-180,metadata!T691&lt;=180))</f>
        <v>0</v>
      </c>
      <c r="BF691" t="b">
        <f>AND(IF(metadata!U691="",FALSE,TRUE),EXACT(metadata!U691,"Decimal degrees"))</f>
        <v>0</v>
      </c>
      <c r="BG691" t="b">
        <f>IF(metadata!V691="",FALSE,TRUE)</f>
        <v>0</v>
      </c>
      <c r="BH691" t="b">
        <f>OR(AND(IF(metadata!W691="",FALSE,TRUE),OR(EXACT(metadata!W691,"missing: not collected"),EXACT(metadata!W691,"missing: not provided"),EXACT(metadata!W691,"missing: restricted access"))),AND(IF(metadata!W691="",FALSE,TRUE),OR(EXACT(metadata!W691,"TRUE"),EXACT(metadata!W691,"FALSE"))))</f>
        <v>0</v>
      </c>
      <c r="BI691" t="b">
        <f>AND(IF(metadata!X691="",FALSE,TRUE),EXACT(metadata!X691,"other"))</f>
        <v>0</v>
      </c>
      <c r="BJ691" t="b">
        <f>IF(metadata!Y691="",FALSE,TRUE)</f>
        <v>0</v>
      </c>
      <c r="BK691" t="b">
        <f>OR(AND(IF(metadata!Z691="",FALSE,TRUE),OR(EXACT(metadata!Z691,"missing: not collected"),EXACT(metadata!Z691,"missing: not provided"))),AND(IF(metadata!Z691="",FALSE,IF(ISERROR(INT(metadata!Z691)),FALSE,INT(metadata!Z691)=metadata!Z691)),metadata!Z691&gt;0))</f>
        <v>0</v>
      </c>
      <c r="BL691" t="b">
        <f>AND(IF(metadata!AA691="",FALSE,TRUE),EXACT(metadata!AA691,"Not applicable"))</f>
        <v>0</v>
      </c>
      <c r="BM691" t="b">
        <f>IF(metadata!AB691="",FALSE,TRUE)</f>
        <v>0</v>
      </c>
    </row>
    <row r="692" spans="1:65" x14ac:dyDescent="0.2">
      <c r="A692" s="5" t="str">
        <f ca="1">IF(B692=" "," ",HYPERLINK(CONCATENATE("#metadata!",ADDRESS(INDEX($AH$2:$AH$1001,MATCH(ROWS($AF$2:AF692),$AF$2:$AF$1001,0),0),1)),INDEX($AK$2:$AK$1001,MATCH(ROWS($AF$2:AF692),$AF$2:$AF$1001,0),0)))</f>
        <v xml:space="preserve"> </v>
      </c>
      <c r="B692" s="4" t="str">
        <f ca="1">IF(OR(INDEX($AG$2:$AG$1001,MATCH(ROWS($AF$2:AF692),$AF$2:$AF$1001,0),1)&gt;=100000,INDEX($AM$1005:$BM$1005,1,MATCH(COLUMNS($AM$1006:AM1006),$AM$1006:$BM$1006,0))&gt;=100000), " ",IF(INDEX($AM$2:$BM$1001,MATCH(ROWS($AF$2:AF692),$AF$2:$AF$1001,0),MATCH(COLUMNS($AM$1006:AM1006),$AM$1006:$BM$1006,0)), HYPERLINK("#",""), HYPERLINK(CONCATENATE("#metadata!", ADDRESS(INDEX($AH$2:$AH$1001,MATCH(ROWS($AF$2:AF692),$AF$2:$AF$1001,0),0), INDEX($AM$1004:$BM$1004,1,MATCH(COLUMNS($AM$1006:AM1006),$AM$1006:$BM$1006,0)))),"Fix")))</f>
        <v xml:space="preserve"> </v>
      </c>
      <c r="C692" s="4" t="str">
        <f ca="1">IF(OR(INDEX($AG$2:$AG$1001,MATCH(ROWS($AF$2:AF692),$AF$2:$AF$1001,0),1)&gt;=100000,INDEX($AM$1005:$BM$1005,1,MATCH(COLUMNS($AM$1006:AN1006),$AM$1006:$BM$1006,0))&gt;=100000), " ",IF(INDEX($AM$2:$BM$1001,MATCH(ROWS($AF$2:AF692),$AF$2:$AF$1001,0),MATCH(COLUMNS($AM$1006:AN1006),$AM$1006:$BM$1006,0)), HYPERLINK("#",""), HYPERLINK(CONCATENATE("#metadata!", ADDRESS(INDEX($AH$2:$AH$1001,MATCH(ROWS($AF$2:AF692),$AF$2:$AF$1001,0),0), INDEX($AM$1004:$BM$1004,1,MATCH(COLUMNS($AM$1006:AN1006),$AM$1006:$BM$1006,0)))),"Fix")))</f>
        <v xml:space="preserve"> </v>
      </c>
      <c r="D692" s="4" t="str">
        <f ca="1">IF(OR(INDEX($AG$2:$AG$1001,MATCH(ROWS($AF$2:AF692),$AF$2:$AF$1001,0),1)&gt;=100000,INDEX($AM$1005:$BM$1005,1,MATCH(COLUMNS($AM$1006:AO1006),$AM$1006:$BM$1006,0))&gt;=100000), " ",IF(INDEX($AM$2:$BM$1001,MATCH(ROWS($AF$2:AF692),$AF$2:$AF$1001,0),MATCH(COLUMNS($AM$1006:AO1006),$AM$1006:$BM$1006,0)), HYPERLINK("#",""), HYPERLINK(CONCATENATE("#metadata!", ADDRESS(INDEX($AH$2:$AH$1001,MATCH(ROWS($AF$2:AF692),$AF$2:$AF$1001,0),0), INDEX($AM$1004:$BM$1004,1,MATCH(COLUMNS($AM$1006:AO1006),$AM$1006:$BM$1006,0)))),"Fix")))</f>
        <v xml:space="preserve"> </v>
      </c>
      <c r="E692" s="4" t="str">
        <f ca="1">IF(OR(INDEX($AG$2:$AG$1001,MATCH(ROWS($AF$2:AF692),$AF$2:$AF$1001,0),1)&gt;=100000,INDEX($AM$1005:$BM$1005,1,MATCH(COLUMNS($AM$1006:AP1006),$AM$1006:$BM$1006,0))&gt;=100000), " ",IF(INDEX($AM$2:$BM$1001,MATCH(ROWS($AF$2:AF692),$AF$2:$AF$1001,0),MATCH(COLUMNS($AM$1006:AP1006),$AM$1006:$BM$1006,0)), HYPERLINK("#",""), HYPERLINK(CONCATENATE("#metadata!", ADDRESS(INDEX($AH$2:$AH$1001,MATCH(ROWS($AF$2:AF692),$AF$2:$AF$1001,0),0), INDEX($AM$1004:$BM$1004,1,MATCH(COLUMNS($AM$1006:AP1006),$AM$1006:$BM$1006,0)))),"Fix")))</f>
        <v xml:space="preserve"> </v>
      </c>
      <c r="F692" s="4" t="str">
        <f ca="1">IF(OR(INDEX($AG$2:$AG$1001,MATCH(ROWS($AF$2:AF692),$AF$2:$AF$1001,0),1)&gt;=100000,INDEX($AM$1005:$BM$1005,1,MATCH(COLUMNS($AM$1006:AQ1006),$AM$1006:$BM$1006,0))&gt;=100000), " ",IF(INDEX($AM$2:$BM$1001,MATCH(ROWS($AF$2:AF692),$AF$2:$AF$1001,0),MATCH(COLUMNS($AM$1006:AQ1006),$AM$1006:$BM$1006,0)), HYPERLINK("#",""), HYPERLINK(CONCATENATE("#metadata!", ADDRESS(INDEX($AH$2:$AH$1001,MATCH(ROWS($AF$2:AF692),$AF$2:$AF$1001,0),0), INDEX($AM$1004:$BM$1004,1,MATCH(COLUMNS($AM$1006:AQ1006),$AM$1006:$BM$1006,0)))),"Fix")))</f>
        <v xml:space="preserve"> </v>
      </c>
      <c r="G692" s="4" t="str">
        <f ca="1">IF(OR(INDEX($AG$2:$AG$1001,MATCH(ROWS($AF$2:AF692),$AF$2:$AF$1001,0),1)&gt;=100000,INDEX($AM$1005:$BM$1005,1,MATCH(COLUMNS($AM$1006:AR1006),$AM$1006:$BM$1006,0))&gt;=100000), " ",IF(INDEX($AM$2:$BM$1001,MATCH(ROWS($AF$2:AF692),$AF$2:$AF$1001,0),MATCH(COLUMNS($AM$1006:AR1006),$AM$1006:$BM$1006,0)), HYPERLINK("#",""), HYPERLINK(CONCATENATE("#metadata!", ADDRESS(INDEX($AH$2:$AH$1001,MATCH(ROWS($AF$2:AF692),$AF$2:$AF$1001,0),0), INDEX($AM$1004:$BM$1004,1,MATCH(COLUMNS($AM$1006:AR1006),$AM$1006:$BM$1006,0)))),"Fix")))</f>
        <v xml:space="preserve"> </v>
      </c>
      <c r="H692" s="4" t="str">
        <f ca="1">IF(OR(INDEX($AG$2:$AG$1001,MATCH(ROWS($AF$2:AF692),$AF$2:$AF$1001,0),1)&gt;=100000,INDEX($AM$1005:$BM$1005,1,MATCH(COLUMNS($AM$1006:AS1006),$AM$1006:$BM$1006,0))&gt;=100000), " ",IF(INDEX($AM$2:$BM$1001,MATCH(ROWS($AF$2:AF692),$AF$2:$AF$1001,0),MATCH(COLUMNS($AM$1006:AS1006),$AM$1006:$BM$1006,0)), HYPERLINK("#",""), HYPERLINK(CONCATENATE("#metadata!", ADDRESS(INDEX($AH$2:$AH$1001,MATCH(ROWS($AF$2:AF692),$AF$2:$AF$1001,0),0), INDEX($AM$1004:$BM$1004,1,MATCH(COLUMNS($AM$1006:AS1006),$AM$1006:$BM$1006,0)))),"Fix")))</f>
        <v xml:space="preserve"> </v>
      </c>
      <c r="I692" s="4" t="str">
        <f ca="1">IF(OR(INDEX($AG$2:$AG$1001,MATCH(ROWS($AF$2:AF692),$AF$2:$AF$1001,0),1)&gt;=100000,INDEX($AM$1005:$BM$1005,1,MATCH(COLUMNS($AM$1006:AT1006),$AM$1006:$BM$1006,0))&gt;=100000), " ",IF(INDEX($AM$2:$BM$1001,MATCH(ROWS($AF$2:AF692),$AF$2:$AF$1001,0),MATCH(COLUMNS($AM$1006:AT1006),$AM$1006:$BM$1006,0)), HYPERLINK("#",""), HYPERLINK(CONCATENATE("#metadata!", ADDRESS(INDEX($AH$2:$AH$1001,MATCH(ROWS($AF$2:AF692),$AF$2:$AF$1001,0),0), INDEX($AM$1004:$BM$1004,1,MATCH(COLUMNS($AM$1006:AT1006),$AM$1006:$BM$1006,0)))),"Fix")))</f>
        <v xml:space="preserve"> </v>
      </c>
      <c r="J692" s="4" t="str">
        <f ca="1">IF(OR(INDEX($AG$2:$AG$1001,MATCH(ROWS($AF$2:AF692),$AF$2:$AF$1001,0),1)&gt;=100000,INDEX($AM$1005:$BM$1005,1,MATCH(COLUMNS($AM$1006:AU1006),$AM$1006:$BM$1006,0))&gt;=100000), " ",IF(INDEX($AM$2:$BM$1001,MATCH(ROWS($AF$2:AF692),$AF$2:$AF$1001,0),MATCH(COLUMNS($AM$1006:AU1006),$AM$1006:$BM$1006,0)), HYPERLINK("#",""), HYPERLINK(CONCATENATE("#metadata!", ADDRESS(INDEX($AH$2:$AH$1001,MATCH(ROWS($AF$2:AF692),$AF$2:$AF$1001,0),0), INDEX($AM$1004:$BM$1004,1,MATCH(COLUMNS($AM$1006:AU1006),$AM$1006:$BM$1006,0)))),"Fix")))</f>
        <v xml:space="preserve"> </v>
      </c>
      <c r="K692" s="4" t="str">
        <f ca="1">IF(OR(INDEX($AG$2:$AG$1001,MATCH(ROWS($AF$2:AF692),$AF$2:$AF$1001,0),1)&gt;=100000,INDEX($AM$1005:$BM$1005,1,MATCH(COLUMNS($AM$1006:AV1006),$AM$1006:$BM$1006,0))&gt;=100000), " ",IF(INDEX($AM$2:$BM$1001,MATCH(ROWS($AF$2:AF692),$AF$2:$AF$1001,0),MATCH(COLUMNS($AM$1006:AV1006),$AM$1006:$BM$1006,0)), HYPERLINK("#",""), HYPERLINK(CONCATENATE("#metadata!", ADDRESS(INDEX($AH$2:$AH$1001,MATCH(ROWS($AF$2:AF692),$AF$2:$AF$1001,0),0), INDEX($AM$1004:$BM$1004,1,MATCH(COLUMNS($AM$1006:AV1006),$AM$1006:$BM$1006,0)))),"Fix")))</f>
        <v xml:space="preserve"> </v>
      </c>
      <c r="L692" s="4" t="str">
        <f ca="1">IF(OR(INDEX($AG$2:$AG$1001,MATCH(ROWS($AF$2:AF692),$AF$2:$AF$1001,0),1)&gt;=100000,INDEX($AM$1005:$BM$1005,1,MATCH(COLUMNS($AM$1006:AW1006),$AM$1006:$BM$1006,0))&gt;=100000), " ",IF(INDEX($AM$2:$BM$1001,MATCH(ROWS($AF$2:AF692),$AF$2:$AF$1001,0),MATCH(COLUMNS($AM$1006:AW1006),$AM$1006:$BM$1006,0)), HYPERLINK("#",""), HYPERLINK(CONCATENATE("#metadata!", ADDRESS(INDEX($AH$2:$AH$1001,MATCH(ROWS($AF$2:AF692),$AF$2:$AF$1001,0),0), INDEX($AM$1004:$BM$1004,1,MATCH(COLUMNS($AM$1006:AW1006),$AM$1006:$BM$1006,0)))),"Fix")))</f>
        <v xml:space="preserve"> </v>
      </c>
      <c r="M692" s="4" t="str">
        <f ca="1">IF(OR(INDEX($AG$2:$AG$1001,MATCH(ROWS($AF$2:AF692),$AF$2:$AF$1001,0),1)&gt;=100000,INDEX($AM$1005:$BM$1005,1,MATCH(COLUMNS($AM$1006:AX1006),$AM$1006:$BM$1006,0))&gt;=100000), " ",IF(INDEX($AM$2:$BM$1001,MATCH(ROWS($AF$2:AF692),$AF$2:$AF$1001,0),MATCH(COLUMNS($AM$1006:AX1006),$AM$1006:$BM$1006,0)), HYPERLINK("#",""), HYPERLINK(CONCATENATE("#metadata!", ADDRESS(INDEX($AH$2:$AH$1001,MATCH(ROWS($AF$2:AF692),$AF$2:$AF$1001,0),0), INDEX($AM$1004:$BM$1004,1,MATCH(COLUMNS($AM$1006:AX1006),$AM$1006:$BM$1006,0)))),"Fix")))</f>
        <v xml:space="preserve"> </v>
      </c>
      <c r="N692" s="4" t="str">
        <f ca="1">IF(OR(INDEX($AG$2:$AG$1001,MATCH(ROWS($AF$2:AF692),$AF$2:$AF$1001,0),1)&gt;=100000,INDEX($AM$1005:$BM$1005,1,MATCH(COLUMNS($AM$1006:AY1006),$AM$1006:$BM$1006,0))&gt;=100000), " ",IF(INDEX($AM$2:$BM$1001,MATCH(ROWS($AF$2:AF692),$AF$2:$AF$1001,0),MATCH(COLUMNS($AM$1006:AY1006),$AM$1006:$BM$1006,0)), HYPERLINK("#",""), HYPERLINK(CONCATENATE("#metadata!", ADDRESS(INDEX($AH$2:$AH$1001,MATCH(ROWS($AF$2:AF692),$AF$2:$AF$1001,0),0), INDEX($AM$1004:$BM$1004,1,MATCH(COLUMNS($AM$1006:AY1006),$AM$1006:$BM$1006,0)))),"Fix")))</f>
        <v xml:space="preserve"> </v>
      </c>
      <c r="O692" s="4" t="str">
        <f ca="1">IF(OR(INDEX($AG$2:$AG$1001,MATCH(ROWS($AF$2:AF692),$AF$2:$AF$1001,0),1)&gt;=100000,INDEX($AM$1005:$BM$1005,1,MATCH(COLUMNS($AM$1006:AZ1006),$AM$1006:$BM$1006,0))&gt;=100000), " ",IF(INDEX($AM$2:$BM$1001,MATCH(ROWS($AF$2:AF692),$AF$2:$AF$1001,0),MATCH(COLUMNS($AM$1006:AZ1006),$AM$1006:$BM$1006,0)), HYPERLINK("#",""), HYPERLINK(CONCATENATE("#metadata!", ADDRESS(INDEX($AH$2:$AH$1001,MATCH(ROWS($AF$2:AF692),$AF$2:$AF$1001,0),0), INDEX($AM$1004:$BM$1004,1,MATCH(COLUMNS($AM$1006:AZ1006),$AM$1006:$BM$1006,0)))),"Fix")))</f>
        <v xml:space="preserve"> </v>
      </c>
      <c r="P692" s="4" t="str">
        <f ca="1">IF(OR(INDEX($AG$2:$AG$1001,MATCH(ROWS($AF$2:AF692),$AF$2:$AF$1001,0),1)&gt;=100000,INDEX($AM$1005:$BM$1005,1,MATCH(COLUMNS($AM$1006:BA1006),$AM$1006:$BM$1006,0))&gt;=100000), " ",IF(INDEX($AM$2:$BM$1001,MATCH(ROWS($AF$2:AF692),$AF$2:$AF$1001,0),MATCH(COLUMNS($AM$1006:BA1006),$AM$1006:$BM$1006,0)), HYPERLINK("#",""), HYPERLINK(CONCATENATE("#metadata!", ADDRESS(INDEX($AH$2:$AH$1001,MATCH(ROWS($AF$2:AF692),$AF$2:$AF$1001,0),0), INDEX($AM$1004:$BM$1004,1,MATCH(COLUMNS($AM$1006:BA1006),$AM$1006:$BM$1006,0)))),"Fix")))</f>
        <v xml:space="preserve"> </v>
      </c>
      <c r="Q692" s="4" t="str">
        <f ca="1">IF(OR(INDEX($AG$2:$AG$1001,MATCH(ROWS($AF$2:AF692),$AF$2:$AF$1001,0),1)&gt;=100000,INDEX($AM$1005:$BM$1005,1,MATCH(COLUMNS($AM$1006:BB1006),$AM$1006:$BM$1006,0))&gt;=100000), " ",IF(INDEX($AM$2:$BM$1001,MATCH(ROWS($AF$2:AF692),$AF$2:$AF$1001,0),MATCH(COLUMNS($AM$1006:BB1006),$AM$1006:$BM$1006,0)), HYPERLINK("#",""), HYPERLINK(CONCATENATE("#metadata!", ADDRESS(INDEX($AH$2:$AH$1001,MATCH(ROWS($AF$2:AF692),$AF$2:$AF$1001,0),0), INDEX($AM$1004:$BM$1004,1,MATCH(COLUMNS($AM$1006:BB1006),$AM$1006:$BM$1006,0)))),"Fix")))</f>
        <v xml:space="preserve"> </v>
      </c>
      <c r="R692" s="4" t="str">
        <f ca="1">IF(OR(INDEX($AG$2:$AG$1001,MATCH(ROWS($AF$2:AF692),$AF$2:$AF$1001,0),1)&gt;=100000,INDEX($AM$1005:$BM$1005,1,MATCH(COLUMNS($AM$1006:BC1006),$AM$1006:$BM$1006,0))&gt;=100000), " ",IF(INDEX($AM$2:$BM$1001,MATCH(ROWS($AF$2:AF692),$AF$2:$AF$1001,0),MATCH(COLUMNS($AM$1006:BC1006),$AM$1006:$BM$1006,0)), HYPERLINK("#",""), HYPERLINK(CONCATENATE("#metadata!", ADDRESS(INDEX($AH$2:$AH$1001,MATCH(ROWS($AF$2:AF692),$AF$2:$AF$1001,0),0), INDEX($AM$1004:$BM$1004,1,MATCH(COLUMNS($AM$1006:BC1006),$AM$1006:$BM$1006,0)))),"Fix")))</f>
        <v xml:space="preserve"> </v>
      </c>
      <c r="S692" s="4" t="str">
        <f ca="1">IF(OR(INDEX($AG$2:$AG$1001,MATCH(ROWS($AF$2:AF692),$AF$2:$AF$1001,0),1)&gt;=100000,INDEX($AM$1005:$BM$1005,1,MATCH(COLUMNS($AM$1006:BD1006),$AM$1006:$BM$1006,0))&gt;=100000), " ",IF(INDEX($AM$2:$BM$1001,MATCH(ROWS($AF$2:AF692),$AF$2:$AF$1001,0),MATCH(COLUMNS($AM$1006:BD1006),$AM$1006:$BM$1006,0)), HYPERLINK("#",""), HYPERLINK(CONCATENATE("#metadata!", ADDRESS(INDEX($AH$2:$AH$1001,MATCH(ROWS($AF$2:AF692),$AF$2:$AF$1001,0),0), INDEX($AM$1004:$BM$1004,1,MATCH(COLUMNS($AM$1006:BD1006),$AM$1006:$BM$1006,0)))),"Fix")))</f>
        <v xml:space="preserve"> </v>
      </c>
      <c r="T692" s="4" t="str">
        <f ca="1">IF(OR(INDEX($AG$2:$AG$1001,MATCH(ROWS($AF$2:AF692),$AF$2:$AF$1001,0),1)&gt;=100000,INDEX($AM$1005:$BM$1005,1,MATCH(COLUMNS($AM$1006:BE1006),$AM$1006:$BM$1006,0))&gt;=100000), " ",IF(INDEX($AM$2:$BM$1001,MATCH(ROWS($AF$2:AF692),$AF$2:$AF$1001,0),MATCH(COLUMNS($AM$1006:BE1006),$AM$1006:$BM$1006,0)), HYPERLINK("#",""), HYPERLINK(CONCATENATE("#metadata!", ADDRESS(INDEX($AH$2:$AH$1001,MATCH(ROWS($AF$2:AF692),$AF$2:$AF$1001,0),0), INDEX($AM$1004:$BM$1004,1,MATCH(COLUMNS($AM$1006:BE1006),$AM$1006:$BM$1006,0)))),"Fix")))</f>
        <v xml:space="preserve"> </v>
      </c>
      <c r="U692" s="4" t="str">
        <f ca="1">IF(OR(INDEX($AG$2:$AG$1001,MATCH(ROWS($AF$2:AF692),$AF$2:$AF$1001,0),1)&gt;=100000,INDEX($AM$1005:$BM$1005,1,MATCH(COLUMNS($AM$1006:BF1006),$AM$1006:$BM$1006,0))&gt;=100000), " ",IF(INDEX($AM$2:$BM$1001,MATCH(ROWS($AF$2:AF692),$AF$2:$AF$1001,0),MATCH(COLUMNS($AM$1006:BF1006),$AM$1006:$BM$1006,0)), HYPERLINK("#",""), HYPERLINK(CONCATENATE("#metadata!", ADDRESS(INDEX($AH$2:$AH$1001,MATCH(ROWS($AF$2:AF692),$AF$2:$AF$1001,0),0), INDEX($AM$1004:$BM$1004,1,MATCH(COLUMNS($AM$1006:BF1006),$AM$1006:$BM$1006,0)))),"Fix")))</f>
        <v xml:space="preserve"> </v>
      </c>
      <c r="V692" s="4" t="str">
        <f ca="1">IF(OR(INDEX($AG$2:$AG$1001,MATCH(ROWS($AF$2:AF692),$AF$2:$AF$1001,0),1)&gt;=100000,INDEX($AM$1005:$BM$1005,1,MATCH(COLUMNS($AM$1006:BG1006),$AM$1006:$BM$1006,0))&gt;=100000), " ",IF(INDEX($AM$2:$BM$1001,MATCH(ROWS($AF$2:AF692),$AF$2:$AF$1001,0),MATCH(COLUMNS($AM$1006:BG1006),$AM$1006:$BM$1006,0)), HYPERLINK("#",""), HYPERLINK(CONCATENATE("#metadata!", ADDRESS(INDEX($AH$2:$AH$1001,MATCH(ROWS($AF$2:AF692),$AF$2:$AF$1001,0),0), INDEX($AM$1004:$BM$1004,1,MATCH(COLUMNS($AM$1006:BG1006),$AM$1006:$BM$1006,0)))),"Fix")))</f>
        <v xml:space="preserve"> </v>
      </c>
      <c r="W692" s="4" t="str">
        <f ca="1">IF(OR(INDEX($AG$2:$AG$1001,MATCH(ROWS($AF$2:AF692),$AF$2:$AF$1001,0),1)&gt;=100000,INDEX($AM$1005:$BM$1005,1,MATCH(COLUMNS($AM$1006:BH1006),$AM$1006:$BM$1006,0))&gt;=100000), " ",IF(INDEX($AM$2:$BM$1001,MATCH(ROWS($AF$2:AF692),$AF$2:$AF$1001,0),MATCH(COLUMNS($AM$1006:BH1006),$AM$1006:$BM$1006,0)), HYPERLINK("#",""), HYPERLINK(CONCATENATE("#metadata!", ADDRESS(INDEX($AH$2:$AH$1001,MATCH(ROWS($AF$2:AF692),$AF$2:$AF$1001,0),0), INDEX($AM$1004:$BM$1004,1,MATCH(COLUMNS($AM$1006:BH1006),$AM$1006:$BM$1006,0)))),"Fix")))</f>
        <v xml:space="preserve"> </v>
      </c>
      <c r="X692" s="4" t="str">
        <f ca="1">IF(OR(INDEX($AG$2:$AG$1001,MATCH(ROWS($AF$2:AF692),$AF$2:$AF$1001,0),1)&gt;=100000,INDEX($AM$1005:$BM$1005,1,MATCH(COLUMNS($AM$1006:BI1006),$AM$1006:$BM$1006,0))&gt;=100000), " ",IF(INDEX($AM$2:$BM$1001,MATCH(ROWS($AF$2:AF692),$AF$2:$AF$1001,0),MATCH(COLUMNS($AM$1006:BI1006),$AM$1006:$BM$1006,0)), HYPERLINK("#",""), HYPERLINK(CONCATENATE("#metadata!", ADDRESS(INDEX($AH$2:$AH$1001,MATCH(ROWS($AF$2:AF692),$AF$2:$AF$1001,0),0), INDEX($AM$1004:$BM$1004,1,MATCH(COLUMNS($AM$1006:BI1006),$AM$1006:$BM$1006,0)))),"Fix")))</f>
        <v xml:space="preserve"> </v>
      </c>
      <c r="Y692" s="4" t="str">
        <f ca="1">IF(OR(INDEX($AG$2:$AG$1001,MATCH(ROWS($AF$2:AF692),$AF$2:$AF$1001,0),1)&gt;=100000,INDEX($AM$1005:$BM$1005,1,MATCH(COLUMNS($AM$1006:BJ1006),$AM$1006:$BM$1006,0))&gt;=100000), " ",IF(INDEX($AM$2:$BM$1001,MATCH(ROWS($AF$2:AF692),$AF$2:$AF$1001,0),MATCH(COLUMNS($AM$1006:BJ1006),$AM$1006:$BM$1006,0)), HYPERLINK("#",""), HYPERLINK(CONCATENATE("#metadata!", ADDRESS(INDEX($AH$2:$AH$1001,MATCH(ROWS($AF$2:AF692),$AF$2:$AF$1001,0),0), INDEX($AM$1004:$BM$1004,1,MATCH(COLUMNS($AM$1006:BJ1006),$AM$1006:$BM$1006,0)))),"Fix")))</f>
        <v xml:space="preserve"> </v>
      </c>
      <c r="Z692" s="4" t="str">
        <f ca="1">IF(OR(INDEX($AG$2:$AG$1001,MATCH(ROWS($AF$2:AF692),$AF$2:$AF$1001,0),1)&gt;=100000,INDEX($AM$1005:$BM$1005,1,MATCH(COLUMNS($AM$1006:BK1006),$AM$1006:$BM$1006,0))&gt;=100000), " ",IF(INDEX($AM$2:$BM$1001,MATCH(ROWS($AF$2:AF692),$AF$2:$AF$1001,0),MATCH(COLUMNS($AM$1006:BK1006),$AM$1006:$BM$1006,0)), HYPERLINK("#",""), HYPERLINK(CONCATENATE("#metadata!", ADDRESS(INDEX($AH$2:$AH$1001,MATCH(ROWS($AF$2:AF692),$AF$2:$AF$1001,0),0), INDEX($AM$1004:$BM$1004,1,MATCH(COLUMNS($AM$1006:BK1006),$AM$1006:$BM$1006,0)))),"Fix")))</f>
        <v xml:space="preserve"> </v>
      </c>
      <c r="AA692" s="4" t="str">
        <f ca="1">IF(OR(INDEX($AG$2:$AG$1001,MATCH(ROWS($AF$2:AF692),$AF$2:$AF$1001,0),1)&gt;=100000,INDEX($AM$1005:$BM$1005,1,MATCH(COLUMNS($AM$1006:BL1006),$AM$1006:$BM$1006,0))&gt;=100000), " ",IF(INDEX($AM$2:$BM$1001,MATCH(ROWS($AF$2:AF692),$AF$2:$AF$1001,0),MATCH(COLUMNS($AM$1006:BL1006),$AM$1006:$BM$1006,0)), HYPERLINK("#",""), HYPERLINK(CONCATENATE("#metadata!", ADDRESS(INDEX($AH$2:$AH$1001,MATCH(ROWS($AF$2:AF692),$AF$2:$AF$1001,0),0), INDEX($AM$1004:$BM$1004,1,MATCH(COLUMNS($AM$1006:BL1006),$AM$1006:$BM$1006,0)))),"Fix")))</f>
        <v xml:space="preserve"> </v>
      </c>
      <c r="AB692" s="4" t="str">
        <f ca="1">IF(OR(INDEX($AG$2:$AG$1001,MATCH(ROWS($AF$2:AF692),$AF$2:$AF$1001,0),1)&gt;=100000,INDEX($AM$1005:$BM$1005,1,MATCH(COLUMNS($AM$1006:BM1006),$AM$1006:$BM$1006,0))&gt;=100000), " ",IF(INDEX($AM$2:$BM$1001,MATCH(ROWS($AF$2:AF692),$AF$2:$AF$1001,0),MATCH(COLUMNS($AM$1006:BM1006),$AM$1006:$BM$1006,0)), HYPERLINK("#",""), HYPERLINK(CONCATENATE("#metadata!", ADDRESS(INDEX($AH$2:$AH$1001,MATCH(ROWS($AF$2:AF692),$AF$2:$AF$1001,0),0), INDEX($AM$1004:$BM$1004,1,MATCH(COLUMNS($AM$1006:BM1006),$AM$1006:$BM$1006,0)))),"Fix")))</f>
        <v xml:space="preserve"> </v>
      </c>
      <c r="AF692">
        <v>691</v>
      </c>
      <c r="AG692">
        <v>100692</v>
      </c>
      <c r="AH692">
        <v>692</v>
      </c>
      <c r="AI692" t="b">
        <f t="shared" si="10"/>
        <v>1</v>
      </c>
      <c r="AJ692" t="b">
        <f>COUNTBLANK(metadata!B692:AB692)=COLUMNS(metadata!B692:AB692)</f>
        <v>1</v>
      </c>
      <c r="AK692" t="str">
        <v/>
      </c>
      <c r="AM692" t="b">
        <f ca="1">AND(IF(metadata!B692="",FALSE,TRUE),COUNTIF(metadata!B:B, metadata!B692) = 1,NOT(ISERROR(SUMPRODUCT(SEARCH(MID(metadata!B692,ROW(INDIRECT("1:"&amp;LEN(metadata!B692))), 1),"0123456789abcdefghijklmnopqrstuvwxyzABCDEFGHIJKLMNOPQRSTUVWXYZ.")))))</f>
        <v>0</v>
      </c>
      <c r="AN692" t="b">
        <f ca="1">OR(AND(IF(metadata!C692="",FALSE,TRUE),OR(EXACT(metadata!C692,"missing: not collected"),EXACT(metadata!C692,"missing: not provided"),EXACT(metadata!C692,"missing: restricted access"))),AND(IF(metadata!C692="",FALSE,TRUE),AND(AND(IFERROR(INT(LEFT(metadata!C692,4))&gt;1900,FALSE),IFERROR(INT(LEFT(metadata!C692,4))&lt;=YEAR(NOW()),FALSE)), OR(MID(metadata!C692,5,1)="", AND(AND(MID(metadata!C692,5,1)="-",IFERROR(INT(MID(metadata!C692,6,1))&gt;=0,FALSE),IFERROR(INT(MID(metadata!C692,6,1))&lt;=1,FALSE),NOT(MID(metadata!C692,7,1)=""),IFERROR(INT(MID(metadata!C692,6,2))&gt;=1,FALSE),IFERROR(INT(MID(metadata!C692,6,2))&lt;=12,FALSE)), OR(MID(metadata!C692,8,1)="", AND(AND(MID(metadata!C692,8,1)="-",IFERROR(INT(MID(metadata!C692,9,1))&gt;=0,FALSE),IFERROR(INT(MID(metadata!C692,9,1))&lt;=3,FALSE),NOT(MID(metadata!C692,10,1)=""),IFERROR(INT(MID(metadata!C692,9,2))&gt;=1,FALSE),IFERROR(INT(MID(metadata!C692,9,2))&lt;=31,FALSE)), OR(MID(metadata!C692,11,1)="", AND(AND(MID(metadata!C692,11,1)=" ",IFERROR(INT(MID(metadata!C692,12,1))&gt;=0,FALSE),IFERROR(INT(MID(metadata!C692,12,1))&lt;=2,FALSE),NOT(MID(metadata!C692,13,1)=""),IFERROR(INT(MID(metadata!C692,12,2))&gt;=0,FALSE),IFERROR(INT(MID(metadata!C692,12,2))&lt;=23,FALSE)), OR(MID(metadata!C692,14,1)="", AND(AND(MID(metadata!C692,14,1)=":",IFERROR(INT(MID(metadata!C692,15,1))&gt;=0,FALSE),IFERROR(INT(MID(metadata!C692,15,1))&lt;=5,FALSE),NOT(MID(metadata!C692,16,1)=""),IFERROR(INT(MID(metadata!C692,15,2))&gt;=0,FALSE),IFERROR(INT(MID(metadata!C692,15,2))&lt;=59,FALSE)), OR(MID(metadata!C692,17,1)="", AND(AND(MID(metadata!C692,17,1)=":",IFERROR(INT(MID(metadata!C692,18,1))&gt;=0,FALSE),IFERROR(INT(MID(metadata!C692,18,1))&lt;=5,FALSE),NOT(MID(metadata!C692,19,1)=""),IFERROR(INT(MID(metadata!C692,18,2))&gt;=0,FALSE),IFERROR(INT(MID(metadata!C692,18,2))&lt;=59,FALSE)), LEN(metadata!C692)&lt;=19)))))))))))))</f>
        <v>0</v>
      </c>
      <c r="AO692" t="b">
        <f>AND(IF(metadata!D692="",FALSE,TRUE),EXACT(metadata!D692,"Not applicable"))</f>
        <v>0</v>
      </c>
      <c r="AP692" t="b">
        <f>IF(metadata!E692="",FALSE,TRUE)</f>
        <v>0</v>
      </c>
      <c r="AQ692" t="b">
        <f>OR(AND(IF(metadata!F692="",FALSE,TRUE),OR(EXACT(metadata!F692,"missing: not collected"),EXACT(metadata!F692,"missing: not provided"))),AND(IF(metadata!F692="",FALSE,TRUE),OR(EXACT(metadata!F692,"TRUE"),EXACT(metadata!F692,"FALSE"))))</f>
        <v>0</v>
      </c>
      <c r="AR692" t="b">
        <f>OR(AND(IF(metadata!G692="",FALSE,TRUE),OR(EXACT(metadata!G692,"missing: not collected"),EXACT(metadata!G692,"missing: not provided"),EXACT(metadata!G692,"missing: restricted access"))),AND(IF(metadata!G692="",FALSE,ISNUMBER(VALUE(metadata!G692))),metadata!G692&gt;=-413))</f>
        <v>0</v>
      </c>
      <c r="AS692" t="b">
        <f>AND(IF(metadata!H692="",FALSE,TRUE),EXACT(metadata!H692,"meters"))</f>
        <v>0</v>
      </c>
      <c r="AT692" t="b">
        <f>AND(IF(metadata!I692="",FALSE,TRUE),OR(EXACT(metadata!I692,"Host-associated"),EXACT(metadata!I692,"Free-living")))</f>
        <v>0</v>
      </c>
      <c r="AU692" t="b">
        <f>AND(IF(metadata!J692="",FALSE,TRUE),OR(EXACT(metadata!J692,"Animal"),EXACT(metadata!J692,"Fungus"),EXACT(metadata!J692,"Plant"),EXACT(metadata!J692,"Saline"),EXACT(metadata!J692,"Non-saline")))</f>
        <v>0</v>
      </c>
      <c r="AV692" t="b">
        <f>AND(IF(metadata!K692="",FALSE,TRUE),OR(EXACT(metadata!K692,"Plant secretion"),EXACT(metadata!K692,"Plant rhizosphere"),EXACT(metadata!K692,"Plant surface"),EXACT(metadata!K692,"Plant corpus"),EXACT(metadata!K692,"Fungus surface"),EXACT(metadata!K692,"Fungus corpus"),EXACT(metadata!K692,"Animal surface"),EXACT(metadata!K692,"Animal proximal gut"),EXACT(metadata!K692,"Animal corpus"),EXACT(metadata!K692,"Animal distal gut"),EXACT(metadata!K692,"Animal secretion"),EXACT(metadata!K692,"Sub-surface (non-saline)"),EXACT(metadata!K692,"Surface (non-saline)"),EXACT(metadata!K692,"Water (non-saline)"),EXACT(metadata!K692,"Soil (non-saline)"),EXACT(metadata!K692,"Aerosol (non-saline)"),EXACT(metadata!K692,"Sediment (non-saline)"),EXACT(metadata!K692,"Surface (saline)"),EXACT(metadata!K692,"Water (saline)"),EXACT(metadata!K692,"Hypersaline (saline)"),EXACT(metadata!K692,"Aerosol (saline)"),EXACT(metadata!K692,"Sediment (saline)")))</f>
        <v>0</v>
      </c>
      <c r="AW692" t="b">
        <f>IF(metadata!L692="",FALSE,TRUE)</f>
        <v>0</v>
      </c>
      <c r="AX692" t="b">
        <f>IF(metadata!M692="",FALSE,TRUE)</f>
        <v>0</v>
      </c>
      <c r="AY692" t="b">
        <f>IF(metadata!N692="",FALSE,TRUE)</f>
        <v>0</v>
      </c>
      <c r="AZ692" t="b">
        <f>OR(AND(IF(metadata!O692="",FALSE,TRUE),OR(EXACT(metadata!O692,"missing: not collected"),EXACT(metadata!O692,"missing: not provided"),EXACT(metadata!O692,"missing: restricted access"))),AND(IF(metadata!O692="",FALSE,TRUE),OR(EXACT(metadata!O692,"air"),EXACT(metadata!O692,"built environment"),EXACT(metadata!O692,"host-associated"),EXACT(metadata!O692,"human-associated"),EXACT(metadata!O692,"human-skin"),EXACT(metadata!O692,"human-oral"),EXACT(metadata!O692,"human-gut"),EXACT(metadata!O692,"human-vaginal"),EXACT(metadata!O692,"microbial mat/biofilm"),EXACT(metadata!O692,"misc environment"),EXACT(metadata!O692,"plant-associated"),EXACT(metadata!O692,"sediment"),EXACT(metadata!O692,"soil"),EXACT(metadata!O692,"wastewater/sludge"),EXACT(metadata!O692,"water"))))</f>
        <v>0</v>
      </c>
      <c r="BA692" t="b">
        <f>IF(metadata!P692="",FALSE,TRUE)</f>
        <v>0</v>
      </c>
      <c r="BB692" t="b">
        <f>IF(metadata!Q692="",FALSE,TRUE)</f>
        <v>0</v>
      </c>
      <c r="BC692" t="b">
        <f>OR(AND(IF(metadata!R692="",FALSE,TRUE),OR(EXACT(metadata!R692,"missing: not collected"),EXACT(metadata!R692,"missing: not provided"),EXACT(metadata!R692,"missing: restricted access"))),AND(IF(metadata!R692="",FALSE,ISNUMBER(VALUE(metadata!R692))),metadata!R692&gt;=-90,metadata!R692&lt;=90))</f>
        <v>0</v>
      </c>
      <c r="BD692" t="b">
        <f>AND(IF(metadata!S692="",FALSE,TRUE),EXACT(metadata!S692,"Decimal degrees"))</f>
        <v>0</v>
      </c>
      <c r="BE692" t="b">
        <f>OR(AND(IF(metadata!T692="",FALSE,TRUE),OR(EXACT(metadata!T692,"missing: not collected"),EXACT(metadata!T692,"missing: not provided"),EXACT(metadata!T692,"missing: restricted access"))),AND(IF(metadata!T692="",FALSE,ISNUMBER(VALUE(metadata!T692))),metadata!T692&gt;=-180,metadata!T692&lt;=180))</f>
        <v>0</v>
      </c>
      <c r="BF692" t="b">
        <f>AND(IF(metadata!U692="",FALSE,TRUE),EXACT(metadata!U692,"Decimal degrees"))</f>
        <v>0</v>
      </c>
      <c r="BG692" t="b">
        <f>IF(metadata!V692="",FALSE,TRUE)</f>
        <v>0</v>
      </c>
      <c r="BH692" t="b">
        <f>OR(AND(IF(metadata!W692="",FALSE,TRUE),OR(EXACT(metadata!W692,"missing: not collected"),EXACT(metadata!W692,"missing: not provided"),EXACT(metadata!W692,"missing: restricted access"))),AND(IF(metadata!W692="",FALSE,TRUE),OR(EXACT(metadata!W692,"TRUE"),EXACT(metadata!W692,"FALSE"))))</f>
        <v>0</v>
      </c>
      <c r="BI692" t="b">
        <f>AND(IF(metadata!X692="",FALSE,TRUE),EXACT(metadata!X692,"other"))</f>
        <v>0</v>
      </c>
      <c r="BJ692" t="b">
        <f>IF(metadata!Y692="",FALSE,TRUE)</f>
        <v>0</v>
      </c>
      <c r="BK692" t="b">
        <f>OR(AND(IF(metadata!Z692="",FALSE,TRUE),OR(EXACT(metadata!Z692,"missing: not collected"),EXACT(metadata!Z692,"missing: not provided"))),AND(IF(metadata!Z692="",FALSE,IF(ISERROR(INT(metadata!Z692)),FALSE,INT(metadata!Z692)=metadata!Z692)),metadata!Z692&gt;0))</f>
        <v>0</v>
      </c>
      <c r="BL692" t="b">
        <f>AND(IF(metadata!AA692="",FALSE,TRUE),EXACT(metadata!AA692,"Not applicable"))</f>
        <v>0</v>
      </c>
      <c r="BM692" t="b">
        <f>IF(metadata!AB692="",FALSE,TRUE)</f>
        <v>0</v>
      </c>
    </row>
    <row r="693" spans="1:65" x14ac:dyDescent="0.2">
      <c r="A693" s="5" t="str">
        <f ca="1">IF(B693=" "," ",HYPERLINK(CONCATENATE("#metadata!",ADDRESS(INDEX($AH$2:$AH$1001,MATCH(ROWS($AF$2:AF693),$AF$2:$AF$1001,0),0),1)),INDEX($AK$2:$AK$1001,MATCH(ROWS($AF$2:AF693),$AF$2:$AF$1001,0),0)))</f>
        <v xml:space="preserve"> </v>
      </c>
      <c r="B693" s="4" t="str">
        <f ca="1">IF(OR(INDEX($AG$2:$AG$1001,MATCH(ROWS($AF$2:AF693),$AF$2:$AF$1001,0),1)&gt;=100000,INDEX($AM$1005:$BM$1005,1,MATCH(COLUMNS($AM$1006:AM1006),$AM$1006:$BM$1006,0))&gt;=100000), " ",IF(INDEX($AM$2:$BM$1001,MATCH(ROWS($AF$2:AF693),$AF$2:$AF$1001,0),MATCH(COLUMNS($AM$1006:AM1006),$AM$1006:$BM$1006,0)), HYPERLINK("#",""), HYPERLINK(CONCATENATE("#metadata!", ADDRESS(INDEX($AH$2:$AH$1001,MATCH(ROWS($AF$2:AF693),$AF$2:$AF$1001,0),0), INDEX($AM$1004:$BM$1004,1,MATCH(COLUMNS($AM$1006:AM1006),$AM$1006:$BM$1006,0)))),"Fix")))</f>
        <v xml:space="preserve"> </v>
      </c>
      <c r="C693" s="4" t="str">
        <f ca="1">IF(OR(INDEX($AG$2:$AG$1001,MATCH(ROWS($AF$2:AF693),$AF$2:$AF$1001,0),1)&gt;=100000,INDEX($AM$1005:$BM$1005,1,MATCH(COLUMNS($AM$1006:AN1006),$AM$1006:$BM$1006,0))&gt;=100000), " ",IF(INDEX($AM$2:$BM$1001,MATCH(ROWS($AF$2:AF693),$AF$2:$AF$1001,0),MATCH(COLUMNS($AM$1006:AN1006),$AM$1006:$BM$1006,0)), HYPERLINK("#",""), HYPERLINK(CONCATENATE("#metadata!", ADDRESS(INDEX($AH$2:$AH$1001,MATCH(ROWS($AF$2:AF693),$AF$2:$AF$1001,0),0), INDEX($AM$1004:$BM$1004,1,MATCH(COLUMNS($AM$1006:AN1006),$AM$1006:$BM$1006,0)))),"Fix")))</f>
        <v xml:space="preserve"> </v>
      </c>
      <c r="D693" s="4" t="str">
        <f ca="1">IF(OR(INDEX($AG$2:$AG$1001,MATCH(ROWS($AF$2:AF693),$AF$2:$AF$1001,0),1)&gt;=100000,INDEX($AM$1005:$BM$1005,1,MATCH(COLUMNS($AM$1006:AO1006),$AM$1006:$BM$1006,0))&gt;=100000), " ",IF(INDEX($AM$2:$BM$1001,MATCH(ROWS($AF$2:AF693),$AF$2:$AF$1001,0),MATCH(COLUMNS($AM$1006:AO1006),$AM$1006:$BM$1006,0)), HYPERLINK("#",""), HYPERLINK(CONCATENATE("#metadata!", ADDRESS(INDEX($AH$2:$AH$1001,MATCH(ROWS($AF$2:AF693),$AF$2:$AF$1001,0),0), INDEX($AM$1004:$BM$1004,1,MATCH(COLUMNS($AM$1006:AO1006),$AM$1006:$BM$1006,0)))),"Fix")))</f>
        <v xml:space="preserve"> </v>
      </c>
      <c r="E693" s="4" t="str">
        <f ca="1">IF(OR(INDEX($AG$2:$AG$1001,MATCH(ROWS($AF$2:AF693),$AF$2:$AF$1001,0),1)&gt;=100000,INDEX($AM$1005:$BM$1005,1,MATCH(COLUMNS($AM$1006:AP1006),$AM$1006:$BM$1006,0))&gt;=100000), " ",IF(INDEX($AM$2:$BM$1001,MATCH(ROWS($AF$2:AF693),$AF$2:$AF$1001,0),MATCH(COLUMNS($AM$1006:AP1006),$AM$1006:$BM$1006,0)), HYPERLINK("#",""), HYPERLINK(CONCATENATE("#metadata!", ADDRESS(INDEX($AH$2:$AH$1001,MATCH(ROWS($AF$2:AF693),$AF$2:$AF$1001,0),0), INDEX($AM$1004:$BM$1004,1,MATCH(COLUMNS($AM$1006:AP1006),$AM$1006:$BM$1006,0)))),"Fix")))</f>
        <v xml:space="preserve"> </v>
      </c>
      <c r="F693" s="4" t="str">
        <f ca="1">IF(OR(INDEX($AG$2:$AG$1001,MATCH(ROWS($AF$2:AF693),$AF$2:$AF$1001,0),1)&gt;=100000,INDEX($AM$1005:$BM$1005,1,MATCH(COLUMNS($AM$1006:AQ1006),$AM$1006:$BM$1006,0))&gt;=100000), " ",IF(INDEX($AM$2:$BM$1001,MATCH(ROWS($AF$2:AF693),$AF$2:$AF$1001,0),MATCH(COLUMNS($AM$1006:AQ1006),$AM$1006:$BM$1006,0)), HYPERLINK("#",""), HYPERLINK(CONCATENATE("#metadata!", ADDRESS(INDEX($AH$2:$AH$1001,MATCH(ROWS($AF$2:AF693),$AF$2:$AF$1001,0),0), INDEX($AM$1004:$BM$1004,1,MATCH(COLUMNS($AM$1006:AQ1006),$AM$1006:$BM$1006,0)))),"Fix")))</f>
        <v xml:space="preserve"> </v>
      </c>
      <c r="G693" s="4" t="str">
        <f ca="1">IF(OR(INDEX($AG$2:$AG$1001,MATCH(ROWS($AF$2:AF693),$AF$2:$AF$1001,0),1)&gt;=100000,INDEX($AM$1005:$BM$1005,1,MATCH(COLUMNS($AM$1006:AR1006),$AM$1006:$BM$1006,0))&gt;=100000), " ",IF(INDEX($AM$2:$BM$1001,MATCH(ROWS($AF$2:AF693),$AF$2:$AF$1001,0),MATCH(COLUMNS($AM$1006:AR1006),$AM$1006:$BM$1006,0)), HYPERLINK("#",""), HYPERLINK(CONCATENATE("#metadata!", ADDRESS(INDEX($AH$2:$AH$1001,MATCH(ROWS($AF$2:AF693),$AF$2:$AF$1001,0),0), INDEX($AM$1004:$BM$1004,1,MATCH(COLUMNS($AM$1006:AR1006),$AM$1006:$BM$1006,0)))),"Fix")))</f>
        <v xml:space="preserve"> </v>
      </c>
      <c r="H693" s="4" t="str">
        <f ca="1">IF(OR(INDEX($AG$2:$AG$1001,MATCH(ROWS($AF$2:AF693),$AF$2:$AF$1001,0),1)&gt;=100000,INDEX($AM$1005:$BM$1005,1,MATCH(COLUMNS($AM$1006:AS1006),$AM$1006:$BM$1006,0))&gt;=100000), " ",IF(INDEX($AM$2:$BM$1001,MATCH(ROWS($AF$2:AF693),$AF$2:$AF$1001,0),MATCH(COLUMNS($AM$1006:AS1006),$AM$1006:$BM$1006,0)), HYPERLINK("#",""), HYPERLINK(CONCATENATE("#metadata!", ADDRESS(INDEX($AH$2:$AH$1001,MATCH(ROWS($AF$2:AF693),$AF$2:$AF$1001,0),0), INDEX($AM$1004:$BM$1004,1,MATCH(COLUMNS($AM$1006:AS1006),$AM$1006:$BM$1006,0)))),"Fix")))</f>
        <v xml:space="preserve"> </v>
      </c>
      <c r="I693" s="4" t="str">
        <f ca="1">IF(OR(INDEX($AG$2:$AG$1001,MATCH(ROWS($AF$2:AF693),$AF$2:$AF$1001,0),1)&gt;=100000,INDEX($AM$1005:$BM$1005,1,MATCH(COLUMNS($AM$1006:AT1006),$AM$1006:$BM$1006,0))&gt;=100000), " ",IF(INDEX($AM$2:$BM$1001,MATCH(ROWS($AF$2:AF693),$AF$2:$AF$1001,0),MATCH(COLUMNS($AM$1006:AT1006),$AM$1006:$BM$1006,0)), HYPERLINK("#",""), HYPERLINK(CONCATENATE("#metadata!", ADDRESS(INDEX($AH$2:$AH$1001,MATCH(ROWS($AF$2:AF693),$AF$2:$AF$1001,0),0), INDEX($AM$1004:$BM$1004,1,MATCH(COLUMNS($AM$1006:AT1006),$AM$1006:$BM$1006,0)))),"Fix")))</f>
        <v xml:space="preserve"> </v>
      </c>
      <c r="J693" s="4" t="str">
        <f ca="1">IF(OR(INDEX($AG$2:$AG$1001,MATCH(ROWS($AF$2:AF693),$AF$2:$AF$1001,0),1)&gt;=100000,INDEX($AM$1005:$BM$1005,1,MATCH(COLUMNS($AM$1006:AU1006),$AM$1006:$BM$1006,0))&gt;=100000), " ",IF(INDEX($AM$2:$BM$1001,MATCH(ROWS($AF$2:AF693),$AF$2:$AF$1001,0),MATCH(COLUMNS($AM$1006:AU1006),$AM$1006:$BM$1006,0)), HYPERLINK("#",""), HYPERLINK(CONCATENATE("#metadata!", ADDRESS(INDEX($AH$2:$AH$1001,MATCH(ROWS($AF$2:AF693),$AF$2:$AF$1001,0),0), INDEX($AM$1004:$BM$1004,1,MATCH(COLUMNS($AM$1006:AU1006),$AM$1006:$BM$1006,0)))),"Fix")))</f>
        <v xml:space="preserve"> </v>
      </c>
      <c r="K693" s="4" t="str">
        <f ca="1">IF(OR(INDEX($AG$2:$AG$1001,MATCH(ROWS($AF$2:AF693),$AF$2:$AF$1001,0),1)&gt;=100000,INDEX($AM$1005:$BM$1005,1,MATCH(COLUMNS($AM$1006:AV1006),$AM$1006:$BM$1006,0))&gt;=100000), " ",IF(INDEX($AM$2:$BM$1001,MATCH(ROWS($AF$2:AF693),$AF$2:$AF$1001,0),MATCH(COLUMNS($AM$1006:AV1006),$AM$1006:$BM$1006,0)), HYPERLINK("#",""), HYPERLINK(CONCATENATE("#metadata!", ADDRESS(INDEX($AH$2:$AH$1001,MATCH(ROWS($AF$2:AF693),$AF$2:$AF$1001,0),0), INDEX($AM$1004:$BM$1004,1,MATCH(COLUMNS($AM$1006:AV1006),$AM$1006:$BM$1006,0)))),"Fix")))</f>
        <v xml:space="preserve"> </v>
      </c>
      <c r="L693" s="4" t="str">
        <f ca="1">IF(OR(INDEX($AG$2:$AG$1001,MATCH(ROWS($AF$2:AF693),$AF$2:$AF$1001,0),1)&gt;=100000,INDEX($AM$1005:$BM$1005,1,MATCH(COLUMNS($AM$1006:AW1006),$AM$1006:$BM$1006,0))&gt;=100000), " ",IF(INDEX($AM$2:$BM$1001,MATCH(ROWS($AF$2:AF693),$AF$2:$AF$1001,0),MATCH(COLUMNS($AM$1006:AW1006),$AM$1006:$BM$1006,0)), HYPERLINK("#",""), HYPERLINK(CONCATENATE("#metadata!", ADDRESS(INDEX($AH$2:$AH$1001,MATCH(ROWS($AF$2:AF693),$AF$2:$AF$1001,0),0), INDEX($AM$1004:$BM$1004,1,MATCH(COLUMNS($AM$1006:AW1006),$AM$1006:$BM$1006,0)))),"Fix")))</f>
        <v xml:space="preserve"> </v>
      </c>
      <c r="M693" s="4" t="str">
        <f ca="1">IF(OR(INDEX($AG$2:$AG$1001,MATCH(ROWS($AF$2:AF693),$AF$2:$AF$1001,0),1)&gt;=100000,INDEX($AM$1005:$BM$1005,1,MATCH(COLUMNS($AM$1006:AX1006),$AM$1006:$BM$1006,0))&gt;=100000), " ",IF(INDEX($AM$2:$BM$1001,MATCH(ROWS($AF$2:AF693),$AF$2:$AF$1001,0),MATCH(COLUMNS($AM$1006:AX1006),$AM$1006:$BM$1006,0)), HYPERLINK("#",""), HYPERLINK(CONCATENATE("#metadata!", ADDRESS(INDEX($AH$2:$AH$1001,MATCH(ROWS($AF$2:AF693),$AF$2:$AF$1001,0),0), INDEX($AM$1004:$BM$1004,1,MATCH(COLUMNS($AM$1006:AX1006),$AM$1006:$BM$1006,0)))),"Fix")))</f>
        <v xml:space="preserve"> </v>
      </c>
      <c r="N693" s="4" t="str">
        <f ca="1">IF(OR(INDEX($AG$2:$AG$1001,MATCH(ROWS($AF$2:AF693),$AF$2:$AF$1001,0),1)&gt;=100000,INDEX($AM$1005:$BM$1005,1,MATCH(COLUMNS($AM$1006:AY1006),$AM$1006:$BM$1006,0))&gt;=100000), " ",IF(INDEX($AM$2:$BM$1001,MATCH(ROWS($AF$2:AF693),$AF$2:$AF$1001,0),MATCH(COLUMNS($AM$1006:AY1006),$AM$1006:$BM$1006,0)), HYPERLINK("#",""), HYPERLINK(CONCATENATE("#metadata!", ADDRESS(INDEX($AH$2:$AH$1001,MATCH(ROWS($AF$2:AF693),$AF$2:$AF$1001,0),0), INDEX($AM$1004:$BM$1004,1,MATCH(COLUMNS($AM$1006:AY1006),$AM$1006:$BM$1006,0)))),"Fix")))</f>
        <v xml:space="preserve"> </v>
      </c>
      <c r="O693" s="4" t="str">
        <f ca="1">IF(OR(INDEX($AG$2:$AG$1001,MATCH(ROWS($AF$2:AF693),$AF$2:$AF$1001,0),1)&gt;=100000,INDEX($AM$1005:$BM$1005,1,MATCH(COLUMNS($AM$1006:AZ1006),$AM$1006:$BM$1006,0))&gt;=100000), " ",IF(INDEX($AM$2:$BM$1001,MATCH(ROWS($AF$2:AF693),$AF$2:$AF$1001,0),MATCH(COLUMNS($AM$1006:AZ1006),$AM$1006:$BM$1006,0)), HYPERLINK("#",""), HYPERLINK(CONCATENATE("#metadata!", ADDRESS(INDEX($AH$2:$AH$1001,MATCH(ROWS($AF$2:AF693),$AF$2:$AF$1001,0),0), INDEX($AM$1004:$BM$1004,1,MATCH(COLUMNS($AM$1006:AZ1006),$AM$1006:$BM$1006,0)))),"Fix")))</f>
        <v xml:space="preserve"> </v>
      </c>
      <c r="P693" s="4" t="str">
        <f ca="1">IF(OR(INDEX($AG$2:$AG$1001,MATCH(ROWS($AF$2:AF693),$AF$2:$AF$1001,0),1)&gt;=100000,INDEX($AM$1005:$BM$1005,1,MATCH(COLUMNS($AM$1006:BA1006),$AM$1006:$BM$1006,0))&gt;=100000), " ",IF(INDEX($AM$2:$BM$1001,MATCH(ROWS($AF$2:AF693),$AF$2:$AF$1001,0),MATCH(COLUMNS($AM$1006:BA1006),$AM$1006:$BM$1006,0)), HYPERLINK("#",""), HYPERLINK(CONCATENATE("#metadata!", ADDRESS(INDEX($AH$2:$AH$1001,MATCH(ROWS($AF$2:AF693),$AF$2:$AF$1001,0),0), INDEX($AM$1004:$BM$1004,1,MATCH(COLUMNS($AM$1006:BA1006),$AM$1006:$BM$1006,0)))),"Fix")))</f>
        <v xml:space="preserve"> </v>
      </c>
      <c r="Q693" s="4" t="str">
        <f ca="1">IF(OR(INDEX($AG$2:$AG$1001,MATCH(ROWS($AF$2:AF693),$AF$2:$AF$1001,0),1)&gt;=100000,INDEX($AM$1005:$BM$1005,1,MATCH(COLUMNS($AM$1006:BB1006),$AM$1006:$BM$1006,0))&gt;=100000), " ",IF(INDEX($AM$2:$BM$1001,MATCH(ROWS($AF$2:AF693),$AF$2:$AF$1001,0),MATCH(COLUMNS($AM$1006:BB1006),$AM$1006:$BM$1006,0)), HYPERLINK("#",""), HYPERLINK(CONCATENATE("#metadata!", ADDRESS(INDEX($AH$2:$AH$1001,MATCH(ROWS($AF$2:AF693),$AF$2:$AF$1001,0),0), INDEX($AM$1004:$BM$1004,1,MATCH(COLUMNS($AM$1006:BB1006),$AM$1006:$BM$1006,0)))),"Fix")))</f>
        <v xml:space="preserve"> </v>
      </c>
      <c r="R693" s="4" t="str">
        <f ca="1">IF(OR(INDEX($AG$2:$AG$1001,MATCH(ROWS($AF$2:AF693),$AF$2:$AF$1001,0),1)&gt;=100000,INDEX($AM$1005:$BM$1005,1,MATCH(COLUMNS($AM$1006:BC1006),$AM$1006:$BM$1006,0))&gt;=100000), " ",IF(INDEX($AM$2:$BM$1001,MATCH(ROWS($AF$2:AF693),$AF$2:$AF$1001,0),MATCH(COLUMNS($AM$1006:BC1006),$AM$1006:$BM$1006,0)), HYPERLINK("#",""), HYPERLINK(CONCATENATE("#metadata!", ADDRESS(INDEX($AH$2:$AH$1001,MATCH(ROWS($AF$2:AF693),$AF$2:$AF$1001,0),0), INDEX($AM$1004:$BM$1004,1,MATCH(COLUMNS($AM$1006:BC1006),$AM$1006:$BM$1006,0)))),"Fix")))</f>
        <v xml:space="preserve"> </v>
      </c>
      <c r="S693" s="4" t="str">
        <f ca="1">IF(OR(INDEX($AG$2:$AG$1001,MATCH(ROWS($AF$2:AF693),$AF$2:$AF$1001,0),1)&gt;=100000,INDEX($AM$1005:$BM$1005,1,MATCH(COLUMNS($AM$1006:BD1006),$AM$1006:$BM$1006,0))&gt;=100000), " ",IF(INDEX($AM$2:$BM$1001,MATCH(ROWS($AF$2:AF693),$AF$2:$AF$1001,0),MATCH(COLUMNS($AM$1006:BD1006),$AM$1006:$BM$1006,0)), HYPERLINK("#",""), HYPERLINK(CONCATENATE("#metadata!", ADDRESS(INDEX($AH$2:$AH$1001,MATCH(ROWS($AF$2:AF693),$AF$2:$AF$1001,0),0), INDEX($AM$1004:$BM$1004,1,MATCH(COLUMNS($AM$1006:BD1006),$AM$1006:$BM$1006,0)))),"Fix")))</f>
        <v xml:space="preserve"> </v>
      </c>
      <c r="T693" s="4" t="str">
        <f ca="1">IF(OR(INDEX($AG$2:$AG$1001,MATCH(ROWS($AF$2:AF693),$AF$2:$AF$1001,0),1)&gt;=100000,INDEX($AM$1005:$BM$1005,1,MATCH(COLUMNS($AM$1006:BE1006),$AM$1006:$BM$1006,0))&gt;=100000), " ",IF(INDEX($AM$2:$BM$1001,MATCH(ROWS($AF$2:AF693),$AF$2:$AF$1001,0),MATCH(COLUMNS($AM$1006:BE1006),$AM$1006:$BM$1006,0)), HYPERLINK("#",""), HYPERLINK(CONCATENATE("#metadata!", ADDRESS(INDEX($AH$2:$AH$1001,MATCH(ROWS($AF$2:AF693),$AF$2:$AF$1001,0),0), INDEX($AM$1004:$BM$1004,1,MATCH(COLUMNS($AM$1006:BE1006),$AM$1006:$BM$1006,0)))),"Fix")))</f>
        <v xml:space="preserve"> </v>
      </c>
      <c r="U693" s="4" t="str">
        <f ca="1">IF(OR(INDEX($AG$2:$AG$1001,MATCH(ROWS($AF$2:AF693),$AF$2:$AF$1001,0),1)&gt;=100000,INDEX($AM$1005:$BM$1005,1,MATCH(COLUMNS($AM$1006:BF1006),$AM$1006:$BM$1006,0))&gt;=100000), " ",IF(INDEX($AM$2:$BM$1001,MATCH(ROWS($AF$2:AF693),$AF$2:$AF$1001,0),MATCH(COLUMNS($AM$1006:BF1006),$AM$1006:$BM$1006,0)), HYPERLINK("#",""), HYPERLINK(CONCATENATE("#metadata!", ADDRESS(INDEX($AH$2:$AH$1001,MATCH(ROWS($AF$2:AF693),$AF$2:$AF$1001,0),0), INDEX($AM$1004:$BM$1004,1,MATCH(COLUMNS($AM$1006:BF1006),$AM$1006:$BM$1006,0)))),"Fix")))</f>
        <v xml:space="preserve"> </v>
      </c>
      <c r="V693" s="4" t="str">
        <f ca="1">IF(OR(INDEX($AG$2:$AG$1001,MATCH(ROWS($AF$2:AF693),$AF$2:$AF$1001,0),1)&gt;=100000,INDEX($AM$1005:$BM$1005,1,MATCH(COLUMNS($AM$1006:BG1006),$AM$1006:$BM$1006,0))&gt;=100000), " ",IF(INDEX($AM$2:$BM$1001,MATCH(ROWS($AF$2:AF693),$AF$2:$AF$1001,0),MATCH(COLUMNS($AM$1006:BG1006),$AM$1006:$BM$1006,0)), HYPERLINK("#",""), HYPERLINK(CONCATENATE("#metadata!", ADDRESS(INDEX($AH$2:$AH$1001,MATCH(ROWS($AF$2:AF693),$AF$2:$AF$1001,0),0), INDEX($AM$1004:$BM$1004,1,MATCH(COLUMNS($AM$1006:BG1006),$AM$1006:$BM$1006,0)))),"Fix")))</f>
        <v xml:space="preserve"> </v>
      </c>
      <c r="W693" s="4" t="str">
        <f ca="1">IF(OR(INDEX($AG$2:$AG$1001,MATCH(ROWS($AF$2:AF693),$AF$2:$AF$1001,0),1)&gt;=100000,INDEX($AM$1005:$BM$1005,1,MATCH(COLUMNS($AM$1006:BH1006),$AM$1006:$BM$1006,0))&gt;=100000), " ",IF(INDEX($AM$2:$BM$1001,MATCH(ROWS($AF$2:AF693),$AF$2:$AF$1001,0),MATCH(COLUMNS($AM$1006:BH1006),$AM$1006:$BM$1006,0)), HYPERLINK("#",""), HYPERLINK(CONCATENATE("#metadata!", ADDRESS(INDEX($AH$2:$AH$1001,MATCH(ROWS($AF$2:AF693),$AF$2:$AF$1001,0),0), INDEX($AM$1004:$BM$1004,1,MATCH(COLUMNS($AM$1006:BH1006),$AM$1006:$BM$1006,0)))),"Fix")))</f>
        <v xml:space="preserve"> </v>
      </c>
      <c r="X693" s="4" t="str">
        <f ca="1">IF(OR(INDEX($AG$2:$AG$1001,MATCH(ROWS($AF$2:AF693),$AF$2:$AF$1001,0),1)&gt;=100000,INDEX($AM$1005:$BM$1005,1,MATCH(COLUMNS($AM$1006:BI1006),$AM$1006:$BM$1006,0))&gt;=100000), " ",IF(INDEX($AM$2:$BM$1001,MATCH(ROWS($AF$2:AF693),$AF$2:$AF$1001,0),MATCH(COLUMNS($AM$1006:BI1006),$AM$1006:$BM$1006,0)), HYPERLINK("#",""), HYPERLINK(CONCATENATE("#metadata!", ADDRESS(INDEX($AH$2:$AH$1001,MATCH(ROWS($AF$2:AF693),$AF$2:$AF$1001,0),0), INDEX($AM$1004:$BM$1004,1,MATCH(COLUMNS($AM$1006:BI1006),$AM$1006:$BM$1006,0)))),"Fix")))</f>
        <v xml:space="preserve"> </v>
      </c>
      <c r="Y693" s="4" t="str">
        <f ca="1">IF(OR(INDEX($AG$2:$AG$1001,MATCH(ROWS($AF$2:AF693),$AF$2:$AF$1001,0),1)&gt;=100000,INDEX($AM$1005:$BM$1005,1,MATCH(COLUMNS($AM$1006:BJ1006),$AM$1006:$BM$1006,0))&gt;=100000), " ",IF(INDEX($AM$2:$BM$1001,MATCH(ROWS($AF$2:AF693),$AF$2:$AF$1001,0),MATCH(COLUMNS($AM$1006:BJ1006),$AM$1006:$BM$1006,0)), HYPERLINK("#",""), HYPERLINK(CONCATENATE("#metadata!", ADDRESS(INDEX($AH$2:$AH$1001,MATCH(ROWS($AF$2:AF693),$AF$2:$AF$1001,0),0), INDEX($AM$1004:$BM$1004,1,MATCH(COLUMNS($AM$1006:BJ1006),$AM$1006:$BM$1006,0)))),"Fix")))</f>
        <v xml:space="preserve"> </v>
      </c>
      <c r="Z693" s="4" t="str">
        <f ca="1">IF(OR(INDEX($AG$2:$AG$1001,MATCH(ROWS($AF$2:AF693),$AF$2:$AF$1001,0),1)&gt;=100000,INDEX($AM$1005:$BM$1005,1,MATCH(COLUMNS($AM$1006:BK1006),$AM$1006:$BM$1006,0))&gt;=100000), " ",IF(INDEX($AM$2:$BM$1001,MATCH(ROWS($AF$2:AF693),$AF$2:$AF$1001,0),MATCH(COLUMNS($AM$1006:BK1006),$AM$1006:$BM$1006,0)), HYPERLINK("#",""), HYPERLINK(CONCATENATE("#metadata!", ADDRESS(INDEX($AH$2:$AH$1001,MATCH(ROWS($AF$2:AF693),$AF$2:$AF$1001,0),0), INDEX($AM$1004:$BM$1004,1,MATCH(COLUMNS($AM$1006:BK1006),$AM$1006:$BM$1006,0)))),"Fix")))</f>
        <v xml:space="preserve"> </v>
      </c>
      <c r="AA693" s="4" t="str">
        <f ca="1">IF(OR(INDEX($AG$2:$AG$1001,MATCH(ROWS($AF$2:AF693),$AF$2:$AF$1001,0),1)&gt;=100000,INDEX($AM$1005:$BM$1005,1,MATCH(COLUMNS($AM$1006:BL1006),$AM$1006:$BM$1006,0))&gt;=100000), " ",IF(INDEX($AM$2:$BM$1001,MATCH(ROWS($AF$2:AF693),$AF$2:$AF$1001,0),MATCH(COLUMNS($AM$1006:BL1006),$AM$1006:$BM$1006,0)), HYPERLINK("#",""), HYPERLINK(CONCATENATE("#metadata!", ADDRESS(INDEX($AH$2:$AH$1001,MATCH(ROWS($AF$2:AF693),$AF$2:$AF$1001,0),0), INDEX($AM$1004:$BM$1004,1,MATCH(COLUMNS($AM$1006:BL1006),$AM$1006:$BM$1006,0)))),"Fix")))</f>
        <v xml:space="preserve"> </v>
      </c>
      <c r="AB693" s="4" t="str">
        <f ca="1">IF(OR(INDEX($AG$2:$AG$1001,MATCH(ROWS($AF$2:AF693),$AF$2:$AF$1001,0),1)&gt;=100000,INDEX($AM$1005:$BM$1005,1,MATCH(COLUMNS($AM$1006:BM1006),$AM$1006:$BM$1006,0))&gt;=100000), " ",IF(INDEX($AM$2:$BM$1001,MATCH(ROWS($AF$2:AF693),$AF$2:$AF$1001,0),MATCH(COLUMNS($AM$1006:BM1006),$AM$1006:$BM$1006,0)), HYPERLINK("#",""), HYPERLINK(CONCATENATE("#metadata!", ADDRESS(INDEX($AH$2:$AH$1001,MATCH(ROWS($AF$2:AF693),$AF$2:$AF$1001,0),0), INDEX($AM$1004:$BM$1004,1,MATCH(COLUMNS($AM$1006:BM1006),$AM$1006:$BM$1006,0)))),"Fix")))</f>
        <v xml:space="preserve"> </v>
      </c>
      <c r="AF693">
        <v>692</v>
      </c>
      <c r="AG693">
        <v>100693</v>
      </c>
      <c r="AH693">
        <v>693</v>
      </c>
      <c r="AI693" t="b">
        <f t="shared" si="10"/>
        <v>1</v>
      </c>
      <c r="AJ693" t="b">
        <f>COUNTBLANK(metadata!B693:AB693)=COLUMNS(metadata!B693:AB693)</f>
        <v>1</v>
      </c>
      <c r="AK693" t="str">
        <v/>
      </c>
      <c r="AM693" t="b">
        <f ca="1">AND(IF(metadata!B693="",FALSE,TRUE),COUNTIF(metadata!B:B, metadata!B693) = 1,NOT(ISERROR(SUMPRODUCT(SEARCH(MID(metadata!B693,ROW(INDIRECT("1:"&amp;LEN(metadata!B693))), 1),"0123456789abcdefghijklmnopqrstuvwxyzABCDEFGHIJKLMNOPQRSTUVWXYZ.")))))</f>
        <v>0</v>
      </c>
      <c r="AN693" t="b">
        <f ca="1">OR(AND(IF(metadata!C693="",FALSE,TRUE),OR(EXACT(metadata!C693,"missing: not collected"),EXACT(metadata!C693,"missing: not provided"),EXACT(metadata!C693,"missing: restricted access"))),AND(IF(metadata!C693="",FALSE,TRUE),AND(AND(IFERROR(INT(LEFT(metadata!C693,4))&gt;1900,FALSE),IFERROR(INT(LEFT(metadata!C693,4))&lt;=YEAR(NOW()),FALSE)), OR(MID(metadata!C693,5,1)="", AND(AND(MID(metadata!C693,5,1)="-",IFERROR(INT(MID(metadata!C693,6,1))&gt;=0,FALSE),IFERROR(INT(MID(metadata!C693,6,1))&lt;=1,FALSE),NOT(MID(metadata!C693,7,1)=""),IFERROR(INT(MID(metadata!C693,6,2))&gt;=1,FALSE),IFERROR(INT(MID(metadata!C693,6,2))&lt;=12,FALSE)), OR(MID(metadata!C693,8,1)="", AND(AND(MID(metadata!C693,8,1)="-",IFERROR(INT(MID(metadata!C693,9,1))&gt;=0,FALSE),IFERROR(INT(MID(metadata!C693,9,1))&lt;=3,FALSE),NOT(MID(metadata!C693,10,1)=""),IFERROR(INT(MID(metadata!C693,9,2))&gt;=1,FALSE),IFERROR(INT(MID(metadata!C693,9,2))&lt;=31,FALSE)), OR(MID(metadata!C693,11,1)="", AND(AND(MID(metadata!C693,11,1)=" ",IFERROR(INT(MID(metadata!C693,12,1))&gt;=0,FALSE),IFERROR(INT(MID(metadata!C693,12,1))&lt;=2,FALSE),NOT(MID(metadata!C693,13,1)=""),IFERROR(INT(MID(metadata!C693,12,2))&gt;=0,FALSE),IFERROR(INT(MID(metadata!C693,12,2))&lt;=23,FALSE)), OR(MID(metadata!C693,14,1)="", AND(AND(MID(metadata!C693,14,1)=":",IFERROR(INT(MID(metadata!C693,15,1))&gt;=0,FALSE),IFERROR(INT(MID(metadata!C693,15,1))&lt;=5,FALSE),NOT(MID(metadata!C693,16,1)=""),IFERROR(INT(MID(metadata!C693,15,2))&gt;=0,FALSE),IFERROR(INT(MID(metadata!C693,15,2))&lt;=59,FALSE)), OR(MID(metadata!C693,17,1)="", AND(AND(MID(metadata!C693,17,1)=":",IFERROR(INT(MID(metadata!C693,18,1))&gt;=0,FALSE),IFERROR(INT(MID(metadata!C693,18,1))&lt;=5,FALSE),NOT(MID(metadata!C693,19,1)=""),IFERROR(INT(MID(metadata!C693,18,2))&gt;=0,FALSE),IFERROR(INT(MID(metadata!C693,18,2))&lt;=59,FALSE)), LEN(metadata!C693)&lt;=19)))))))))))))</f>
        <v>0</v>
      </c>
      <c r="AO693" t="b">
        <f>AND(IF(metadata!D693="",FALSE,TRUE),EXACT(metadata!D693,"Not applicable"))</f>
        <v>0</v>
      </c>
      <c r="AP693" t="b">
        <f>IF(metadata!E693="",FALSE,TRUE)</f>
        <v>0</v>
      </c>
      <c r="AQ693" t="b">
        <f>OR(AND(IF(metadata!F693="",FALSE,TRUE),OR(EXACT(metadata!F693,"missing: not collected"),EXACT(metadata!F693,"missing: not provided"))),AND(IF(metadata!F693="",FALSE,TRUE),OR(EXACT(metadata!F693,"TRUE"),EXACT(metadata!F693,"FALSE"))))</f>
        <v>0</v>
      </c>
      <c r="AR693" t="b">
        <f>OR(AND(IF(metadata!G693="",FALSE,TRUE),OR(EXACT(metadata!G693,"missing: not collected"),EXACT(metadata!G693,"missing: not provided"),EXACT(metadata!G693,"missing: restricted access"))),AND(IF(metadata!G693="",FALSE,ISNUMBER(VALUE(metadata!G693))),metadata!G693&gt;=-413))</f>
        <v>0</v>
      </c>
      <c r="AS693" t="b">
        <f>AND(IF(metadata!H693="",FALSE,TRUE),EXACT(metadata!H693,"meters"))</f>
        <v>0</v>
      </c>
      <c r="AT693" t="b">
        <f>AND(IF(metadata!I693="",FALSE,TRUE),OR(EXACT(metadata!I693,"Host-associated"),EXACT(metadata!I693,"Free-living")))</f>
        <v>0</v>
      </c>
      <c r="AU693" t="b">
        <f>AND(IF(metadata!J693="",FALSE,TRUE),OR(EXACT(metadata!J693,"Animal"),EXACT(metadata!J693,"Fungus"),EXACT(metadata!J693,"Plant"),EXACT(metadata!J693,"Saline"),EXACT(metadata!J693,"Non-saline")))</f>
        <v>0</v>
      </c>
      <c r="AV693" t="b">
        <f>AND(IF(metadata!K693="",FALSE,TRUE),OR(EXACT(metadata!K693,"Plant secretion"),EXACT(metadata!K693,"Plant rhizosphere"),EXACT(metadata!K693,"Plant surface"),EXACT(metadata!K693,"Plant corpus"),EXACT(metadata!K693,"Fungus surface"),EXACT(metadata!K693,"Fungus corpus"),EXACT(metadata!K693,"Animal surface"),EXACT(metadata!K693,"Animal proximal gut"),EXACT(metadata!K693,"Animal corpus"),EXACT(metadata!K693,"Animal distal gut"),EXACT(metadata!K693,"Animal secretion"),EXACT(metadata!K693,"Sub-surface (non-saline)"),EXACT(metadata!K693,"Surface (non-saline)"),EXACT(metadata!K693,"Water (non-saline)"),EXACT(metadata!K693,"Soil (non-saline)"),EXACT(metadata!K693,"Aerosol (non-saline)"),EXACT(metadata!K693,"Sediment (non-saline)"),EXACT(metadata!K693,"Surface (saline)"),EXACT(metadata!K693,"Water (saline)"),EXACT(metadata!K693,"Hypersaline (saline)"),EXACT(metadata!K693,"Aerosol (saline)"),EXACT(metadata!K693,"Sediment (saline)")))</f>
        <v>0</v>
      </c>
      <c r="AW693" t="b">
        <f>IF(metadata!L693="",FALSE,TRUE)</f>
        <v>0</v>
      </c>
      <c r="AX693" t="b">
        <f>IF(metadata!M693="",FALSE,TRUE)</f>
        <v>0</v>
      </c>
      <c r="AY693" t="b">
        <f>IF(metadata!N693="",FALSE,TRUE)</f>
        <v>0</v>
      </c>
      <c r="AZ693" t="b">
        <f>OR(AND(IF(metadata!O693="",FALSE,TRUE),OR(EXACT(metadata!O693,"missing: not collected"),EXACT(metadata!O693,"missing: not provided"),EXACT(metadata!O693,"missing: restricted access"))),AND(IF(metadata!O693="",FALSE,TRUE),OR(EXACT(metadata!O693,"air"),EXACT(metadata!O693,"built environment"),EXACT(metadata!O693,"host-associated"),EXACT(metadata!O693,"human-associated"),EXACT(metadata!O693,"human-skin"),EXACT(metadata!O693,"human-oral"),EXACT(metadata!O693,"human-gut"),EXACT(metadata!O693,"human-vaginal"),EXACT(metadata!O693,"microbial mat/biofilm"),EXACT(metadata!O693,"misc environment"),EXACT(metadata!O693,"plant-associated"),EXACT(metadata!O693,"sediment"),EXACT(metadata!O693,"soil"),EXACT(metadata!O693,"wastewater/sludge"),EXACT(metadata!O693,"water"))))</f>
        <v>0</v>
      </c>
      <c r="BA693" t="b">
        <f>IF(metadata!P693="",FALSE,TRUE)</f>
        <v>0</v>
      </c>
      <c r="BB693" t="b">
        <f>IF(metadata!Q693="",FALSE,TRUE)</f>
        <v>0</v>
      </c>
      <c r="BC693" t="b">
        <f>OR(AND(IF(metadata!R693="",FALSE,TRUE),OR(EXACT(metadata!R693,"missing: not collected"),EXACT(metadata!R693,"missing: not provided"),EXACT(metadata!R693,"missing: restricted access"))),AND(IF(metadata!R693="",FALSE,ISNUMBER(VALUE(metadata!R693))),metadata!R693&gt;=-90,metadata!R693&lt;=90))</f>
        <v>0</v>
      </c>
      <c r="BD693" t="b">
        <f>AND(IF(metadata!S693="",FALSE,TRUE),EXACT(metadata!S693,"Decimal degrees"))</f>
        <v>0</v>
      </c>
      <c r="BE693" t="b">
        <f>OR(AND(IF(metadata!T693="",FALSE,TRUE),OR(EXACT(metadata!T693,"missing: not collected"),EXACT(metadata!T693,"missing: not provided"),EXACT(metadata!T693,"missing: restricted access"))),AND(IF(metadata!T693="",FALSE,ISNUMBER(VALUE(metadata!T693))),metadata!T693&gt;=-180,metadata!T693&lt;=180))</f>
        <v>0</v>
      </c>
      <c r="BF693" t="b">
        <f>AND(IF(metadata!U693="",FALSE,TRUE),EXACT(metadata!U693,"Decimal degrees"))</f>
        <v>0</v>
      </c>
      <c r="BG693" t="b">
        <f>IF(metadata!V693="",FALSE,TRUE)</f>
        <v>0</v>
      </c>
      <c r="BH693" t="b">
        <f>OR(AND(IF(metadata!W693="",FALSE,TRUE),OR(EXACT(metadata!W693,"missing: not collected"),EXACT(metadata!W693,"missing: not provided"),EXACT(metadata!W693,"missing: restricted access"))),AND(IF(metadata!W693="",FALSE,TRUE),OR(EXACT(metadata!W693,"TRUE"),EXACT(metadata!W693,"FALSE"))))</f>
        <v>0</v>
      </c>
      <c r="BI693" t="b">
        <f>AND(IF(metadata!X693="",FALSE,TRUE),EXACT(metadata!X693,"other"))</f>
        <v>0</v>
      </c>
      <c r="BJ693" t="b">
        <f>IF(metadata!Y693="",FALSE,TRUE)</f>
        <v>0</v>
      </c>
      <c r="BK693" t="b">
        <f>OR(AND(IF(metadata!Z693="",FALSE,TRUE),OR(EXACT(metadata!Z693,"missing: not collected"),EXACT(metadata!Z693,"missing: not provided"))),AND(IF(metadata!Z693="",FALSE,IF(ISERROR(INT(metadata!Z693)),FALSE,INT(metadata!Z693)=metadata!Z693)),metadata!Z693&gt;0))</f>
        <v>0</v>
      </c>
      <c r="BL693" t="b">
        <f>AND(IF(metadata!AA693="",FALSE,TRUE),EXACT(metadata!AA693,"Not applicable"))</f>
        <v>0</v>
      </c>
      <c r="BM693" t="b">
        <f>IF(metadata!AB693="",FALSE,TRUE)</f>
        <v>0</v>
      </c>
    </row>
    <row r="694" spans="1:65" x14ac:dyDescent="0.2">
      <c r="A694" s="5" t="str">
        <f ca="1">IF(B694=" "," ",HYPERLINK(CONCATENATE("#metadata!",ADDRESS(INDEX($AH$2:$AH$1001,MATCH(ROWS($AF$2:AF694),$AF$2:$AF$1001,0),0),1)),INDEX($AK$2:$AK$1001,MATCH(ROWS($AF$2:AF694),$AF$2:$AF$1001,0),0)))</f>
        <v xml:space="preserve"> </v>
      </c>
      <c r="B694" s="4" t="str">
        <f ca="1">IF(OR(INDEX($AG$2:$AG$1001,MATCH(ROWS($AF$2:AF694),$AF$2:$AF$1001,0),1)&gt;=100000,INDEX($AM$1005:$BM$1005,1,MATCH(COLUMNS($AM$1006:AM1006),$AM$1006:$BM$1006,0))&gt;=100000), " ",IF(INDEX($AM$2:$BM$1001,MATCH(ROWS($AF$2:AF694),$AF$2:$AF$1001,0),MATCH(COLUMNS($AM$1006:AM1006),$AM$1006:$BM$1006,0)), HYPERLINK("#",""), HYPERLINK(CONCATENATE("#metadata!", ADDRESS(INDEX($AH$2:$AH$1001,MATCH(ROWS($AF$2:AF694),$AF$2:$AF$1001,0),0), INDEX($AM$1004:$BM$1004,1,MATCH(COLUMNS($AM$1006:AM1006),$AM$1006:$BM$1006,0)))),"Fix")))</f>
        <v xml:space="preserve"> </v>
      </c>
      <c r="C694" s="4" t="str">
        <f ca="1">IF(OR(INDEX($AG$2:$AG$1001,MATCH(ROWS($AF$2:AF694),$AF$2:$AF$1001,0),1)&gt;=100000,INDEX($AM$1005:$BM$1005,1,MATCH(COLUMNS($AM$1006:AN1006),$AM$1006:$BM$1006,0))&gt;=100000), " ",IF(INDEX($AM$2:$BM$1001,MATCH(ROWS($AF$2:AF694),$AF$2:$AF$1001,0),MATCH(COLUMNS($AM$1006:AN1006),$AM$1006:$BM$1006,0)), HYPERLINK("#",""), HYPERLINK(CONCATENATE("#metadata!", ADDRESS(INDEX($AH$2:$AH$1001,MATCH(ROWS($AF$2:AF694),$AF$2:$AF$1001,0),0), INDEX($AM$1004:$BM$1004,1,MATCH(COLUMNS($AM$1006:AN1006),$AM$1006:$BM$1006,0)))),"Fix")))</f>
        <v xml:space="preserve"> </v>
      </c>
      <c r="D694" s="4" t="str">
        <f ca="1">IF(OR(INDEX($AG$2:$AG$1001,MATCH(ROWS($AF$2:AF694),$AF$2:$AF$1001,0),1)&gt;=100000,INDEX($AM$1005:$BM$1005,1,MATCH(COLUMNS($AM$1006:AO1006),$AM$1006:$BM$1006,0))&gt;=100000), " ",IF(INDEX($AM$2:$BM$1001,MATCH(ROWS($AF$2:AF694),$AF$2:$AF$1001,0),MATCH(COLUMNS($AM$1006:AO1006),$AM$1006:$BM$1006,0)), HYPERLINK("#",""), HYPERLINK(CONCATENATE("#metadata!", ADDRESS(INDEX($AH$2:$AH$1001,MATCH(ROWS($AF$2:AF694),$AF$2:$AF$1001,0),0), INDEX($AM$1004:$BM$1004,1,MATCH(COLUMNS($AM$1006:AO1006),$AM$1006:$BM$1006,0)))),"Fix")))</f>
        <v xml:space="preserve"> </v>
      </c>
      <c r="E694" s="4" t="str">
        <f ca="1">IF(OR(INDEX($AG$2:$AG$1001,MATCH(ROWS($AF$2:AF694),$AF$2:$AF$1001,0),1)&gt;=100000,INDEX($AM$1005:$BM$1005,1,MATCH(COLUMNS($AM$1006:AP1006),$AM$1006:$BM$1006,0))&gt;=100000), " ",IF(INDEX($AM$2:$BM$1001,MATCH(ROWS($AF$2:AF694),$AF$2:$AF$1001,0),MATCH(COLUMNS($AM$1006:AP1006),$AM$1006:$BM$1006,0)), HYPERLINK("#",""), HYPERLINK(CONCATENATE("#metadata!", ADDRESS(INDEX($AH$2:$AH$1001,MATCH(ROWS($AF$2:AF694),$AF$2:$AF$1001,0),0), INDEX($AM$1004:$BM$1004,1,MATCH(COLUMNS($AM$1006:AP1006),$AM$1006:$BM$1006,0)))),"Fix")))</f>
        <v xml:space="preserve"> </v>
      </c>
      <c r="F694" s="4" t="str">
        <f ca="1">IF(OR(INDEX($AG$2:$AG$1001,MATCH(ROWS($AF$2:AF694),$AF$2:$AF$1001,0),1)&gt;=100000,INDEX($AM$1005:$BM$1005,1,MATCH(COLUMNS($AM$1006:AQ1006),$AM$1006:$BM$1006,0))&gt;=100000), " ",IF(INDEX($AM$2:$BM$1001,MATCH(ROWS($AF$2:AF694),$AF$2:$AF$1001,0),MATCH(COLUMNS($AM$1006:AQ1006),$AM$1006:$BM$1006,0)), HYPERLINK("#",""), HYPERLINK(CONCATENATE("#metadata!", ADDRESS(INDEX($AH$2:$AH$1001,MATCH(ROWS($AF$2:AF694),$AF$2:$AF$1001,0),0), INDEX($AM$1004:$BM$1004,1,MATCH(COLUMNS($AM$1006:AQ1006),$AM$1006:$BM$1006,0)))),"Fix")))</f>
        <v xml:space="preserve"> </v>
      </c>
      <c r="G694" s="4" t="str">
        <f ca="1">IF(OR(INDEX($AG$2:$AG$1001,MATCH(ROWS($AF$2:AF694),$AF$2:$AF$1001,0),1)&gt;=100000,INDEX($AM$1005:$BM$1005,1,MATCH(COLUMNS($AM$1006:AR1006),$AM$1006:$BM$1006,0))&gt;=100000), " ",IF(INDEX($AM$2:$BM$1001,MATCH(ROWS($AF$2:AF694),$AF$2:$AF$1001,0),MATCH(COLUMNS($AM$1006:AR1006),$AM$1006:$BM$1006,0)), HYPERLINK("#",""), HYPERLINK(CONCATENATE("#metadata!", ADDRESS(INDEX($AH$2:$AH$1001,MATCH(ROWS($AF$2:AF694),$AF$2:$AF$1001,0),0), INDEX($AM$1004:$BM$1004,1,MATCH(COLUMNS($AM$1006:AR1006),$AM$1006:$BM$1006,0)))),"Fix")))</f>
        <v xml:space="preserve"> </v>
      </c>
      <c r="H694" s="4" t="str">
        <f ca="1">IF(OR(INDEX($AG$2:$AG$1001,MATCH(ROWS($AF$2:AF694),$AF$2:$AF$1001,0),1)&gt;=100000,INDEX($AM$1005:$BM$1005,1,MATCH(COLUMNS($AM$1006:AS1006),$AM$1006:$BM$1006,0))&gt;=100000), " ",IF(INDEX($AM$2:$BM$1001,MATCH(ROWS($AF$2:AF694),$AF$2:$AF$1001,0),MATCH(COLUMNS($AM$1006:AS1006),$AM$1006:$BM$1006,0)), HYPERLINK("#",""), HYPERLINK(CONCATENATE("#metadata!", ADDRESS(INDEX($AH$2:$AH$1001,MATCH(ROWS($AF$2:AF694),$AF$2:$AF$1001,0),0), INDEX($AM$1004:$BM$1004,1,MATCH(COLUMNS($AM$1006:AS1006),$AM$1006:$BM$1006,0)))),"Fix")))</f>
        <v xml:space="preserve"> </v>
      </c>
      <c r="I694" s="4" t="str">
        <f ca="1">IF(OR(INDEX($AG$2:$AG$1001,MATCH(ROWS($AF$2:AF694),$AF$2:$AF$1001,0),1)&gt;=100000,INDEX($AM$1005:$BM$1005,1,MATCH(COLUMNS($AM$1006:AT1006),$AM$1006:$BM$1006,0))&gt;=100000), " ",IF(INDEX($AM$2:$BM$1001,MATCH(ROWS($AF$2:AF694),$AF$2:$AF$1001,0),MATCH(COLUMNS($AM$1006:AT1006),$AM$1006:$BM$1006,0)), HYPERLINK("#",""), HYPERLINK(CONCATENATE("#metadata!", ADDRESS(INDEX($AH$2:$AH$1001,MATCH(ROWS($AF$2:AF694),$AF$2:$AF$1001,0),0), INDEX($AM$1004:$BM$1004,1,MATCH(COLUMNS($AM$1006:AT1006),$AM$1006:$BM$1006,0)))),"Fix")))</f>
        <v xml:space="preserve"> </v>
      </c>
      <c r="J694" s="4" t="str">
        <f ca="1">IF(OR(INDEX($AG$2:$AG$1001,MATCH(ROWS($AF$2:AF694),$AF$2:$AF$1001,0),1)&gt;=100000,INDEX($AM$1005:$BM$1005,1,MATCH(COLUMNS($AM$1006:AU1006),$AM$1006:$BM$1006,0))&gt;=100000), " ",IF(INDEX($AM$2:$BM$1001,MATCH(ROWS($AF$2:AF694),$AF$2:$AF$1001,0),MATCH(COLUMNS($AM$1006:AU1006),$AM$1006:$BM$1006,0)), HYPERLINK("#",""), HYPERLINK(CONCATENATE("#metadata!", ADDRESS(INDEX($AH$2:$AH$1001,MATCH(ROWS($AF$2:AF694),$AF$2:$AF$1001,0),0), INDEX($AM$1004:$BM$1004,1,MATCH(COLUMNS($AM$1006:AU1006),$AM$1006:$BM$1006,0)))),"Fix")))</f>
        <v xml:space="preserve"> </v>
      </c>
      <c r="K694" s="4" t="str">
        <f ca="1">IF(OR(INDEX($AG$2:$AG$1001,MATCH(ROWS($AF$2:AF694),$AF$2:$AF$1001,0),1)&gt;=100000,INDEX($AM$1005:$BM$1005,1,MATCH(COLUMNS($AM$1006:AV1006),$AM$1006:$BM$1006,0))&gt;=100000), " ",IF(INDEX($AM$2:$BM$1001,MATCH(ROWS($AF$2:AF694),$AF$2:$AF$1001,0),MATCH(COLUMNS($AM$1006:AV1006),$AM$1006:$BM$1006,0)), HYPERLINK("#",""), HYPERLINK(CONCATENATE("#metadata!", ADDRESS(INDEX($AH$2:$AH$1001,MATCH(ROWS($AF$2:AF694),$AF$2:$AF$1001,0),0), INDEX($AM$1004:$BM$1004,1,MATCH(COLUMNS($AM$1006:AV1006),$AM$1006:$BM$1006,0)))),"Fix")))</f>
        <v xml:space="preserve"> </v>
      </c>
      <c r="L694" s="4" t="str">
        <f ca="1">IF(OR(INDEX($AG$2:$AG$1001,MATCH(ROWS($AF$2:AF694),$AF$2:$AF$1001,0),1)&gt;=100000,INDEX($AM$1005:$BM$1005,1,MATCH(COLUMNS($AM$1006:AW1006),$AM$1006:$BM$1006,0))&gt;=100000), " ",IF(INDEX($AM$2:$BM$1001,MATCH(ROWS($AF$2:AF694),$AF$2:$AF$1001,0),MATCH(COLUMNS($AM$1006:AW1006),$AM$1006:$BM$1006,0)), HYPERLINK("#",""), HYPERLINK(CONCATENATE("#metadata!", ADDRESS(INDEX($AH$2:$AH$1001,MATCH(ROWS($AF$2:AF694),$AF$2:$AF$1001,0),0), INDEX($AM$1004:$BM$1004,1,MATCH(COLUMNS($AM$1006:AW1006),$AM$1006:$BM$1006,0)))),"Fix")))</f>
        <v xml:space="preserve"> </v>
      </c>
      <c r="M694" s="4" t="str">
        <f ca="1">IF(OR(INDEX($AG$2:$AG$1001,MATCH(ROWS($AF$2:AF694),$AF$2:$AF$1001,0),1)&gt;=100000,INDEX($AM$1005:$BM$1005,1,MATCH(COLUMNS($AM$1006:AX1006),$AM$1006:$BM$1006,0))&gt;=100000), " ",IF(INDEX($AM$2:$BM$1001,MATCH(ROWS($AF$2:AF694),$AF$2:$AF$1001,0),MATCH(COLUMNS($AM$1006:AX1006),$AM$1006:$BM$1006,0)), HYPERLINK("#",""), HYPERLINK(CONCATENATE("#metadata!", ADDRESS(INDEX($AH$2:$AH$1001,MATCH(ROWS($AF$2:AF694),$AF$2:$AF$1001,0),0), INDEX($AM$1004:$BM$1004,1,MATCH(COLUMNS($AM$1006:AX1006),$AM$1006:$BM$1006,0)))),"Fix")))</f>
        <v xml:space="preserve"> </v>
      </c>
      <c r="N694" s="4" t="str">
        <f ca="1">IF(OR(INDEX($AG$2:$AG$1001,MATCH(ROWS($AF$2:AF694),$AF$2:$AF$1001,0),1)&gt;=100000,INDEX($AM$1005:$BM$1005,1,MATCH(COLUMNS($AM$1006:AY1006),$AM$1006:$BM$1006,0))&gt;=100000), " ",IF(INDEX($AM$2:$BM$1001,MATCH(ROWS($AF$2:AF694),$AF$2:$AF$1001,0),MATCH(COLUMNS($AM$1006:AY1006),$AM$1006:$BM$1006,0)), HYPERLINK("#",""), HYPERLINK(CONCATENATE("#metadata!", ADDRESS(INDEX($AH$2:$AH$1001,MATCH(ROWS($AF$2:AF694),$AF$2:$AF$1001,0),0), INDEX($AM$1004:$BM$1004,1,MATCH(COLUMNS($AM$1006:AY1006),$AM$1006:$BM$1006,0)))),"Fix")))</f>
        <v xml:space="preserve"> </v>
      </c>
      <c r="O694" s="4" t="str">
        <f ca="1">IF(OR(INDEX($AG$2:$AG$1001,MATCH(ROWS($AF$2:AF694),$AF$2:$AF$1001,0),1)&gt;=100000,INDEX($AM$1005:$BM$1005,1,MATCH(COLUMNS($AM$1006:AZ1006),$AM$1006:$BM$1006,0))&gt;=100000), " ",IF(INDEX($AM$2:$BM$1001,MATCH(ROWS($AF$2:AF694),$AF$2:$AF$1001,0),MATCH(COLUMNS($AM$1006:AZ1006),$AM$1006:$BM$1006,0)), HYPERLINK("#",""), HYPERLINK(CONCATENATE("#metadata!", ADDRESS(INDEX($AH$2:$AH$1001,MATCH(ROWS($AF$2:AF694),$AF$2:$AF$1001,0),0), INDEX($AM$1004:$BM$1004,1,MATCH(COLUMNS($AM$1006:AZ1006),$AM$1006:$BM$1006,0)))),"Fix")))</f>
        <v xml:space="preserve"> </v>
      </c>
      <c r="P694" s="4" t="str">
        <f ca="1">IF(OR(INDEX($AG$2:$AG$1001,MATCH(ROWS($AF$2:AF694),$AF$2:$AF$1001,0),1)&gt;=100000,INDEX($AM$1005:$BM$1005,1,MATCH(COLUMNS($AM$1006:BA1006),$AM$1006:$BM$1006,0))&gt;=100000), " ",IF(INDEX($AM$2:$BM$1001,MATCH(ROWS($AF$2:AF694),$AF$2:$AF$1001,0),MATCH(COLUMNS($AM$1006:BA1006),$AM$1006:$BM$1006,0)), HYPERLINK("#",""), HYPERLINK(CONCATENATE("#metadata!", ADDRESS(INDEX($AH$2:$AH$1001,MATCH(ROWS($AF$2:AF694),$AF$2:$AF$1001,0),0), INDEX($AM$1004:$BM$1004,1,MATCH(COLUMNS($AM$1006:BA1006),$AM$1006:$BM$1006,0)))),"Fix")))</f>
        <v xml:space="preserve"> </v>
      </c>
      <c r="Q694" s="4" t="str">
        <f ca="1">IF(OR(INDEX($AG$2:$AG$1001,MATCH(ROWS($AF$2:AF694),$AF$2:$AF$1001,0),1)&gt;=100000,INDEX($AM$1005:$BM$1005,1,MATCH(COLUMNS($AM$1006:BB1006),$AM$1006:$BM$1006,0))&gt;=100000), " ",IF(INDEX($AM$2:$BM$1001,MATCH(ROWS($AF$2:AF694),$AF$2:$AF$1001,0),MATCH(COLUMNS($AM$1006:BB1006),$AM$1006:$BM$1006,0)), HYPERLINK("#",""), HYPERLINK(CONCATENATE("#metadata!", ADDRESS(INDEX($AH$2:$AH$1001,MATCH(ROWS($AF$2:AF694),$AF$2:$AF$1001,0),0), INDEX($AM$1004:$BM$1004,1,MATCH(COLUMNS($AM$1006:BB1006),$AM$1006:$BM$1006,0)))),"Fix")))</f>
        <v xml:space="preserve"> </v>
      </c>
      <c r="R694" s="4" t="str">
        <f ca="1">IF(OR(INDEX($AG$2:$AG$1001,MATCH(ROWS($AF$2:AF694),$AF$2:$AF$1001,0),1)&gt;=100000,INDEX($AM$1005:$BM$1005,1,MATCH(COLUMNS($AM$1006:BC1006),$AM$1006:$BM$1006,0))&gt;=100000), " ",IF(INDEX($AM$2:$BM$1001,MATCH(ROWS($AF$2:AF694),$AF$2:$AF$1001,0),MATCH(COLUMNS($AM$1006:BC1006),$AM$1006:$BM$1006,0)), HYPERLINK("#",""), HYPERLINK(CONCATENATE("#metadata!", ADDRESS(INDEX($AH$2:$AH$1001,MATCH(ROWS($AF$2:AF694),$AF$2:$AF$1001,0),0), INDEX($AM$1004:$BM$1004,1,MATCH(COLUMNS($AM$1006:BC1006),$AM$1006:$BM$1006,0)))),"Fix")))</f>
        <v xml:space="preserve"> </v>
      </c>
      <c r="S694" s="4" t="str">
        <f ca="1">IF(OR(INDEX($AG$2:$AG$1001,MATCH(ROWS($AF$2:AF694),$AF$2:$AF$1001,0),1)&gt;=100000,INDEX($AM$1005:$BM$1005,1,MATCH(COLUMNS($AM$1006:BD1006),$AM$1006:$BM$1006,0))&gt;=100000), " ",IF(INDEX($AM$2:$BM$1001,MATCH(ROWS($AF$2:AF694),$AF$2:$AF$1001,0),MATCH(COLUMNS($AM$1006:BD1006),$AM$1006:$BM$1006,0)), HYPERLINK("#",""), HYPERLINK(CONCATENATE("#metadata!", ADDRESS(INDEX($AH$2:$AH$1001,MATCH(ROWS($AF$2:AF694),$AF$2:$AF$1001,0),0), INDEX($AM$1004:$BM$1004,1,MATCH(COLUMNS($AM$1006:BD1006),$AM$1006:$BM$1006,0)))),"Fix")))</f>
        <v xml:space="preserve"> </v>
      </c>
      <c r="T694" s="4" t="str">
        <f ca="1">IF(OR(INDEX($AG$2:$AG$1001,MATCH(ROWS($AF$2:AF694),$AF$2:$AF$1001,0),1)&gt;=100000,INDEX($AM$1005:$BM$1005,1,MATCH(COLUMNS($AM$1006:BE1006),$AM$1006:$BM$1006,0))&gt;=100000), " ",IF(INDEX($AM$2:$BM$1001,MATCH(ROWS($AF$2:AF694),$AF$2:$AF$1001,0),MATCH(COLUMNS($AM$1006:BE1006),$AM$1006:$BM$1006,0)), HYPERLINK("#",""), HYPERLINK(CONCATENATE("#metadata!", ADDRESS(INDEX($AH$2:$AH$1001,MATCH(ROWS($AF$2:AF694),$AF$2:$AF$1001,0),0), INDEX($AM$1004:$BM$1004,1,MATCH(COLUMNS($AM$1006:BE1006),$AM$1006:$BM$1006,0)))),"Fix")))</f>
        <v xml:space="preserve"> </v>
      </c>
      <c r="U694" s="4" t="str">
        <f ca="1">IF(OR(INDEX($AG$2:$AG$1001,MATCH(ROWS($AF$2:AF694),$AF$2:$AF$1001,0),1)&gt;=100000,INDEX($AM$1005:$BM$1005,1,MATCH(COLUMNS($AM$1006:BF1006),$AM$1006:$BM$1006,0))&gt;=100000), " ",IF(INDEX($AM$2:$BM$1001,MATCH(ROWS($AF$2:AF694),$AF$2:$AF$1001,0),MATCH(COLUMNS($AM$1006:BF1006),$AM$1006:$BM$1006,0)), HYPERLINK("#",""), HYPERLINK(CONCATENATE("#metadata!", ADDRESS(INDEX($AH$2:$AH$1001,MATCH(ROWS($AF$2:AF694),$AF$2:$AF$1001,0),0), INDEX($AM$1004:$BM$1004,1,MATCH(COLUMNS($AM$1006:BF1006),$AM$1006:$BM$1006,0)))),"Fix")))</f>
        <v xml:space="preserve"> </v>
      </c>
      <c r="V694" s="4" t="str">
        <f ca="1">IF(OR(INDEX($AG$2:$AG$1001,MATCH(ROWS($AF$2:AF694),$AF$2:$AF$1001,0),1)&gt;=100000,INDEX($AM$1005:$BM$1005,1,MATCH(COLUMNS($AM$1006:BG1006),$AM$1006:$BM$1006,0))&gt;=100000), " ",IF(INDEX($AM$2:$BM$1001,MATCH(ROWS($AF$2:AF694),$AF$2:$AF$1001,0),MATCH(COLUMNS($AM$1006:BG1006),$AM$1006:$BM$1006,0)), HYPERLINK("#",""), HYPERLINK(CONCATENATE("#metadata!", ADDRESS(INDEX($AH$2:$AH$1001,MATCH(ROWS($AF$2:AF694),$AF$2:$AF$1001,0),0), INDEX($AM$1004:$BM$1004,1,MATCH(COLUMNS($AM$1006:BG1006),$AM$1006:$BM$1006,0)))),"Fix")))</f>
        <v xml:space="preserve"> </v>
      </c>
      <c r="W694" s="4" t="str">
        <f ca="1">IF(OR(INDEX($AG$2:$AG$1001,MATCH(ROWS($AF$2:AF694),$AF$2:$AF$1001,0),1)&gt;=100000,INDEX($AM$1005:$BM$1005,1,MATCH(COLUMNS($AM$1006:BH1006),$AM$1006:$BM$1006,0))&gt;=100000), " ",IF(INDEX($AM$2:$BM$1001,MATCH(ROWS($AF$2:AF694),$AF$2:$AF$1001,0),MATCH(COLUMNS($AM$1006:BH1006),$AM$1006:$BM$1006,0)), HYPERLINK("#",""), HYPERLINK(CONCATENATE("#metadata!", ADDRESS(INDEX($AH$2:$AH$1001,MATCH(ROWS($AF$2:AF694),$AF$2:$AF$1001,0),0), INDEX($AM$1004:$BM$1004,1,MATCH(COLUMNS($AM$1006:BH1006),$AM$1006:$BM$1006,0)))),"Fix")))</f>
        <v xml:space="preserve"> </v>
      </c>
      <c r="X694" s="4" t="str">
        <f ca="1">IF(OR(INDEX($AG$2:$AG$1001,MATCH(ROWS($AF$2:AF694),$AF$2:$AF$1001,0),1)&gt;=100000,INDEX($AM$1005:$BM$1005,1,MATCH(COLUMNS($AM$1006:BI1006),$AM$1006:$BM$1006,0))&gt;=100000), " ",IF(INDEX($AM$2:$BM$1001,MATCH(ROWS($AF$2:AF694),$AF$2:$AF$1001,0),MATCH(COLUMNS($AM$1006:BI1006),$AM$1006:$BM$1006,0)), HYPERLINK("#",""), HYPERLINK(CONCATENATE("#metadata!", ADDRESS(INDEX($AH$2:$AH$1001,MATCH(ROWS($AF$2:AF694),$AF$2:$AF$1001,0),0), INDEX($AM$1004:$BM$1004,1,MATCH(COLUMNS($AM$1006:BI1006),$AM$1006:$BM$1006,0)))),"Fix")))</f>
        <v xml:space="preserve"> </v>
      </c>
      <c r="Y694" s="4" t="str">
        <f ca="1">IF(OR(INDEX($AG$2:$AG$1001,MATCH(ROWS($AF$2:AF694),$AF$2:$AF$1001,0),1)&gt;=100000,INDEX($AM$1005:$BM$1005,1,MATCH(COLUMNS($AM$1006:BJ1006),$AM$1006:$BM$1006,0))&gt;=100000), " ",IF(INDEX($AM$2:$BM$1001,MATCH(ROWS($AF$2:AF694),$AF$2:$AF$1001,0),MATCH(COLUMNS($AM$1006:BJ1006),$AM$1006:$BM$1006,0)), HYPERLINK("#",""), HYPERLINK(CONCATENATE("#metadata!", ADDRESS(INDEX($AH$2:$AH$1001,MATCH(ROWS($AF$2:AF694),$AF$2:$AF$1001,0),0), INDEX($AM$1004:$BM$1004,1,MATCH(COLUMNS($AM$1006:BJ1006),$AM$1006:$BM$1006,0)))),"Fix")))</f>
        <v xml:space="preserve"> </v>
      </c>
      <c r="Z694" s="4" t="str">
        <f ca="1">IF(OR(INDEX($AG$2:$AG$1001,MATCH(ROWS($AF$2:AF694),$AF$2:$AF$1001,0),1)&gt;=100000,INDEX($AM$1005:$BM$1005,1,MATCH(COLUMNS($AM$1006:BK1006),$AM$1006:$BM$1006,0))&gt;=100000), " ",IF(INDEX($AM$2:$BM$1001,MATCH(ROWS($AF$2:AF694),$AF$2:$AF$1001,0),MATCH(COLUMNS($AM$1006:BK1006),$AM$1006:$BM$1006,0)), HYPERLINK("#",""), HYPERLINK(CONCATENATE("#metadata!", ADDRESS(INDEX($AH$2:$AH$1001,MATCH(ROWS($AF$2:AF694),$AF$2:$AF$1001,0),0), INDEX($AM$1004:$BM$1004,1,MATCH(COLUMNS($AM$1006:BK1006),$AM$1006:$BM$1006,0)))),"Fix")))</f>
        <v xml:space="preserve"> </v>
      </c>
      <c r="AA694" s="4" t="str">
        <f ca="1">IF(OR(INDEX($AG$2:$AG$1001,MATCH(ROWS($AF$2:AF694),$AF$2:$AF$1001,0),1)&gt;=100000,INDEX($AM$1005:$BM$1005,1,MATCH(COLUMNS($AM$1006:BL1006),$AM$1006:$BM$1006,0))&gt;=100000), " ",IF(INDEX($AM$2:$BM$1001,MATCH(ROWS($AF$2:AF694),$AF$2:$AF$1001,0),MATCH(COLUMNS($AM$1006:BL1006),$AM$1006:$BM$1006,0)), HYPERLINK("#",""), HYPERLINK(CONCATENATE("#metadata!", ADDRESS(INDEX($AH$2:$AH$1001,MATCH(ROWS($AF$2:AF694),$AF$2:$AF$1001,0),0), INDEX($AM$1004:$BM$1004,1,MATCH(COLUMNS($AM$1006:BL1006),$AM$1006:$BM$1006,0)))),"Fix")))</f>
        <v xml:space="preserve"> </v>
      </c>
      <c r="AB694" s="4" t="str">
        <f ca="1">IF(OR(INDEX($AG$2:$AG$1001,MATCH(ROWS($AF$2:AF694),$AF$2:$AF$1001,0),1)&gt;=100000,INDEX($AM$1005:$BM$1005,1,MATCH(COLUMNS($AM$1006:BM1006),$AM$1006:$BM$1006,0))&gt;=100000), " ",IF(INDEX($AM$2:$BM$1001,MATCH(ROWS($AF$2:AF694),$AF$2:$AF$1001,0),MATCH(COLUMNS($AM$1006:BM1006),$AM$1006:$BM$1006,0)), HYPERLINK("#",""), HYPERLINK(CONCATENATE("#metadata!", ADDRESS(INDEX($AH$2:$AH$1001,MATCH(ROWS($AF$2:AF694),$AF$2:$AF$1001,0),0), INDEX($AM$1004:$BM$1004,1,MATCH(COLUMNS($AM$1006:BM1006),$AM$1006:$BM$1006,0)))),"Fix")))</f>
        <v xml:space="preserve"> </v>
      </c>
      <c r="AF694">
        <v>693</v>
      </c>
      <c r="AG694">
        <v>100694</v>
      </c>
      <c r="AH694">
        <v>694</v>
      </c>
      <c r="AI694" t="b">
        <f t="shared" si="10"/>
        <v>1</v>
      </c>
      <c r="AJ694" t="b">
        <f>COUNTBLANK(metadata!B694:AB694)=COLUMNS(metadata!B694:AB694)</f>
        <v>1</v>
      </c>
      <c r="AK694" t="str">
        <v/>
      </c>
      <c r="AM694" t="b">
        <f ca="1">AND(IF(metadata!B694="",FALSE,TRUE),COUNTIF(metadata!B:B, metadata!B694) = 1,NOT(ISERROR(SUMPRODUCT(SEARCH(MID(metadata!B694,ROW(INDIRECT("1:"&amp;LEN(metadata!B694))), 1),"0123456789abcdefghijklmnopqrstuvwxyzABCDEFGHIJKLMNOPQRSTUVWXYZ.")))))</f>
        <v>0</v>
      </c>
      <c r="AN694" t="b">
        <f ca="1">OR(AND(IF(metadata!C694="",FALSE,TRUE),OR(EXACT(metadata!C694,"missing: not collected"),EXACT(metadata!C694,"missing: not provided"),EXACT(metadata!C694,"missing: restricted access"))),AND(IF(metadata!C694="",FALSE,TRUE),AND(AND(IFERROR(INT(LEFT(metadata!C694,4))&gt;1900,FALSE),IFERROR(INT(LEFT(metadata!C694,4))&lt;=YEAR(NOW()),FALSE)), OR(MID(metadata!C694,5,1)="", AND(AND(MID(metadata!C694,5,1)="-",IFERROR(INT(MID(metadata!C694,6,1))&gt;=0,FALSE),IFERROR(INT(MID(metadata!C694,6,1))&lt;=1,FALSE),NOT(MID(metadata!C694,7,1)=""),IFERROR(INT(MID(metadata!C694,6,2))&gt;=1,FALSE),IFERROR(INT(MID(metadata!C694,6,2))&lt;=12,FALSE)), OR(MID(metadata!C694,8,1)="", AND(AND(MID(metadata!C694,8,1)="-",IFERROR(INT(MID(metadata!C694,9,1))&gt;=0,FALSE),IFERROR(INT(MID(metadata!C694,9,1))&lt;=3,FALSE),NOT(MID(metadata!C694,10,1)=""),IFERROR(INT(MID(metadata!C694,9,2))&gt;=1,FALSE),IFERROR(INT(MID(metadata!C694,9,2))&lt;=31,FALSE)), OR(MID(metadata!C694,11,1)="", AND(AND(MID(metadata!C694,11,1)=" ",IFERROR(INT(MID(metadata!C694,12,1))&gt;=0,FALSE),IFERROR(INT(MID(metadata!C694,12,1))&lt;=2,FALSE),NOT(MID(metadata!C694,13,1)=""),IFERROR(INT(MID(metadata!C694,12,2))&gt;=0,FALSE),IFERROR(INT(MID(metadata!C694,12,2))&lt;=23,FALSE)), OR(MID(metadata!C694,14,1)="", AND(AND(MID(metadata!C694,14,1)=":",IFERROR(INT(MID(metadata!C694,15,1))&gt;=0,FALSE),IFERROR(INT(MID(metadata!C694,15,1))&lt;=5,FALSE),NOT(MID(metadata!C694,16,1)=""),IFERROR(INT(MID(metadata!C694,15,2))&gt;=0,FALSE),IFERROR(INT(MID(metadata!C694,15,2))&lt;=59,FALSE)), OR(MID(metadata!C694,17,1)="", AND(AND(MID(metadata!C694,17,1)=":",IFERROR(INT(MID(metadata!C694,18,1))&gt;=0,FALSE),IFERROR(INT(MID(metadata!C694,18,1))&lt;=5,FALSE),NOT(MID(metadata!C694,19,1)=""),IFERROR(INT(MID(metadata!C694,18,2))&gt;=0,FALSE),IFERROR(INT(MID(metadata!C694,18,2))&lt;=59,FALSE)), LEN(metadata!C694)&lt;=19)))))))))))))</f>
        <v>0</v>
      </c>
      <c r="AO694" t="b">
        <f>AND(IF(metadata!D694="",FALSE,TRUE),EXACT(metadata!D694,"Not applicable"))</f>
        <v>0</v>
      </c>
      <c r="AP694" t="b">
        <f>IF(metadata!E694="",FALSE,TRUE)</f>
        <v>0</v>
      </c>
      <c r="AQ694" t="b">
        <f>OR(AND(IF(metadata!F694="",FALSE,TRUE),OR(EXACT(metadata!F694,"missing: not collected"),EXACT(metadata!F694,"missing: not provided"))),AND(IF(metadata!F694="",FALSE,TRUE),OR(EXACT(metadata!F694,"TRUE"),EXACT(metadata!F694,"FALSE"))))</f>
        <v>0</v>
      </c>
      <c r="AR694" t="b">
        <f>OR(AND(IF(metadata!G694="",FALSE,TRUE),OR(EXACT(metadata!G694,"missing: not collected"),EXACT(metadata!G694,"missing: not provided"),EXACT(metadata!G694,"missing: restricted access"))),AND(IF(metadata!G694="",FALSE,ISNUMBER(VALUE(metadata!G694))),metadata!G694&gt;=-413))</f>
        <v>0</v>
      </c>
      <c r="AS694" t="b">
        <f>AND(IF(metadata!H694="",FALSE,TRUE),EXACT(metadata!H694,"meters"))</f>
        <v>0</v>
      </c>
      <c r="AT694" t="b">
        <f>AND(IF(metadata!I694="",FALSE,TRUE),OR(EXACT(metadata!I694,"Host-associated"),EXACT(metadata!I694,"Free-living")))</f>
        <v>0</v>
      </c>
      <c r="AU694" t="b">
        <f>AND(IF(metadata!J694="",FALSE,TRUE),OR(EXACT(metadata!J694,"Animal"),EXACT(metadata!J694,"Fungus"),EXACT(metadata!J694,"Plant"),EXACT(metadata!J694,"Saline"),EXACT(metadata!J694,"Non-saline")))</f>
        <v>0</v>
      </c>
      <c r="AV694" t="b">
        <f>AND(IF(metadata!K694="",FALSE,TRUE),OR(EXACT(metadata!K694,"Plant secretion"),EXACT(metadata!K694,"Plant rhizosphere"),EXACT(metadata!K694,"Plant surface"),EXACT(metadata!K694,"Plant corpus"),EXACT(metadata!K694,"Fungus surface"),EXACT(metadata!K694,"Fungus corpus"),EXACT(metadata!K694,"Animal surface"),EXACT(metadata!K694,"Animal proximal gut"),EXACT(metadata!K694,"Animal corpus"),EXACT(metadata!K694,"Animal distal gut"),EXACT(metadata!K694,"Animal secretion"),EXACT(metadata!K694,"Sub-surface (non-saline)"),EXACT(metadata!K694,"Surface (non-saline)"),EXACT(metadata!K694,"Water (non-saline)"),EXACT(metadata!K694,"Soil (non-saline)"),EXACT(metadata!K694,"Aerosol (non-saline)"),EXACT(metadata!K694,"Sediment (non-saline)"),EXACT(metadata!K694,"Surface (saline)"),EXACT(metadata!K694,"Water (saline)"),EXACT(metadata!K694,"Hypersaline (saline)"),EXACT(metadata!K694,"Aerosol (saline)"),EXACT(metadata!K694,"Sediment (saline)")))</f>
        <v>0</v>
      </c>
      <c r="AW694" t="b">
        <f>IF(metadata!L694="",FALSE,TRUE)</f>
        <v>0</v>
      </c>
      <c r="AX694" t="b">
        <f>IF(metadata!M694="",FALSE,TRUE)</f>
        <v>0</v>
      </c>
      <c r="AY694" t="b">
        <f>IF(metadata!N694="",FALSE,TRUE)</f>
        <v>0</v>
      </c>
      <c r="AZ694" t="b">
        <f>OR(AND(IF(metadata!O694="",FALSE,TRUE),OR(EXACT(metadata!O694,"missing: not collected"),EXACT(metadata!O694,"missing: not provided"),EXACT(metadata!O694,"missing: restricted access"))),AND(IF(metadata!O694="",FALSE,TRUE),OR(EXACT(metadata!O694,"air"),EXACT(metadata!O694,"built environment"),EXACT(metadata!O694,"host-associated"),EXACT(metadata!O694,"human-associated"),EXACT(metadata!O694,"human-skin"),EXACT(metadata!O694,"human-oral"),EXACT(metadata!O694,"human-gut"),EXACT(metadata!O694,"human-vaginal"),EXACT(metadata!O694,"microbial mat/biofilm"),EXACT(metadata!O694,"misc environment"),EXACT(metadata!O694,"plant-associated"),EXACT(metadata!O694,"sediment"),EXACT(metadata!O694,"soil"),EXACT(metadata!O694,"wastewater/sludge"),EXACT(metadata!O694,"water"))))</f>
        <v>0</v>
      </c>
      <c r="BA694" t="b">
        <f>IF(metadata!P694="",FALSE,TRUE)</f>
        <v>0</v>
      </c>
      <c r="BB694" t="b">
        <f>IF(metadata!Q694="",FALSE,TRUE)</f>
        <v>0</v>
      </c>
      <c r="BC694" t="b">
        <f>OR(AND(IF(metadata!R694="",FALSE,TRUE),OR(EXACT(metadata!R694,"missing: not collected"),EXACT(metadata!R694,"missing: not provided"),EXACT(metadata!R694,"missing: restricted access"))),AND(IF(metadata!R694="",FALSE,ISNUMBER(VALUE(metadata!R694))),metadata!R694&gt;=-90,metadata!R694&lt;=90))</f>
        <v>0</v>
      </c>
      <c r="BD694" t="b">
        <f>AND(IF(metadata!S694="",FALSE,TRUE),EXACT(metadata!S694,"Decimal degrees"))</f>
        <v>0</v>
      </c>
      <c r="BE694" t="b">
        <f>OR(AND(IF(metadata!T694="",FALSE,TRUE),OR(EXACT(metadata!T694,"missing: not collected"),EXACT(metadata!T694,"missing: not provided"),EXACT(metadata!T694,"missing: restricted access"))),AND(IF(metadata!T694="",FALSE,ISNUMBER(VALUE(metadata!T694))),metadata!T694&gt;=-180,metadata!T694&lt;=180))</f>
        <v>0</v>
      </c>
      <c r="BF694" t="b">
        <f>AND(IF(metadata!U694="",FALSE,TRUE),EXACT(metadata!U694,"Decimal degrees"))</f>
        <v>0</v>
      </c>
      <c r="BG694" t="b">
        <f>IF(metadata!V694="",FALSE,TRUE)</f>
        <v>0</v>
      </c>
      <c r="BH694" t="b">
        <f>OR(AND(IF(metadata!W694="",FALSE,TRUE),OR(EXACT(metadata!W694,"missing: not collected"),EXACT(metadata!W694,"missing: not provided"),EXACT(metadata!W694,"missing: restricted access"))),AND(IF(metadata!W694="",FALSE,TRUE),OR(EXACT(metadata!W694,"TRUE"),EXACT(metadata!W694,"FALSE"))))</f>
        <v>0</v>
      </c>
      <c r="BI694" t="b">
        <f>AND(IF(metadata!X694="",FALSE,TRUE),EXACT(metadata!X694,"other"))</f>
        <v>0</v>
      </c>
      <c r="BJ694" t="b">
        <f>IF(metadata!Y694="",FALSE,TRUE)</f>
        <v>0</v>
      </c>
      <c r="BK694" t="b">
        <f>OR(AND(IF(metadata!Z694="",FALSE,TRUE),OR(EXACT(metadata!Z694,"missing: not collected"),EXACT(metadata!Z694,"missing: not provided"))),AND(IF(metadata!Z694="",FALSE,IF(ISERROR(INT(metadata!Z694)),FALSE,INT(metadata!Z694)=metadata!Z694)),metadata!Z694&gt;0))</f>
        <v>0</v>
      </c>
      <c r="BL694" t="b">
        <f>AND(IF(metadata!AA694="",FALSE,TRUE),EXACT(metadata!AA694,"Not applicable"))</f>
        <v>0</v>
      </c>
      <c r="BM694" t="b">
        <f>IF(metadata!AB694="",FALSE,TRUE)</f>
        <v>0</v>
      </c>
    </row>
    <row r="695" spans="1:65" x14ac:dyDescent="0.2">
      <c r="A695" s="5" t="str">
        <f ca="1">IF(B695=" "," ",HYPERLINK(CONCATENATE("#metadata!",ADDRESS(INDEX($AH$2:$AH$1001,MATCH(ROWS($AF$2:AF695),$AF$2:$AF$1001,0),0),1)),INDEX($AK$2:$AK$1001,MATCH(ROWS($AF$2:AF695),$AF$2:$AF$1001,0),0)))</f>
        <v xml:space="preserve"> </v>
      </c>
      <c r="B695" s="4" t="str">
        <f ca="1">IF(OR(INDEX($AG$2:$AG$1001,MATCH(ROWS($AF$2:AF695),$AF$2:$AF$1001,0),1)&gt;=100000,INDEX($AM$1005:$BM$1005,1,MATCH(COLUMNS($AM$1006:AM1006),$AM$1006:$BM$1006,0))&gt;=100000), " ",IF(INDEX($AM$2:$BM$1001,MATCH(ROWS($AF$2:AF695),$AF$2:$AF$1001,0),MATCH(COLUMNS($AM$1006:AM1006),$AM$1006:$BM$1006,0)), HYPERLINK("#",""), HYPERLINK(CONCATENATE("#metadata!", ADDRESS(INDEX($AH$2:$AH$1001,MATCH(ROWS($AF$2:AF695),$AF$2:$AF$1001,0),0), INDEX($AM$1004:$BM$1004,1,MATCH(COLUMNS($AM$1006:AM1006),$AM$1006:$BM$1006,0)))),"Fix")))</f>
        <v xml:space="preserve"> </v>
      </c>
      <c r="C695" s="4" t="str">
        <f ca="1">IF(OR(INDEX($AG$2:$AG$1001,MATCH(ROWS($AF$2:AF695),$AF$2:$AF$1001,0),1)&gt;=100000,INDEX($AM$1005:$BM$1005,1,MATCH(COLUMNS($AM$1006:AN1006),$AM$1006:$BM$1006,0))&gt;=100000), " ",IF(INDEX($AM$2:$BM$1001,MATCH(ROWS($AF$2:AF695),$AF$2:$AF$1001,0),MATCH(COLUMNS($AM$1006:AN1006),$AM$1006:$BM$1006,0)), HYPERLINK("#",""), HYPERLINK(CONCATENATE("#metadata!", ADDRESS(INDEX($AH$2:$AH$1001,MATCH(ROWS($AF$2:AF695),$AF$2:$AF$1001,0),0), INDEX($AM$1004:$BM$1004,1,MATCH(COLUMNS($AM$1006:AN1006),$AM$1006:$BM$1006,0)))),"Fix")))</f>
        <v xml:space="preserve"> </v>
      </c>
      <c r="D695" s="4" t="str">
        <f ca="1">IF(OR(INDEX($AG$2:$AG$1001,MATCH(ROWS($AF$2:AF695),$AF$2:$AF$1001,0),1)&gt;=100000,INDEX($AM$1005:$BM$1005,1,MATCH(COLUMNS($AM$1006:AO1006),$AM$1006:$BM$1006,0))&gt;=100000), " ",IF(INDEX($AM$2:$BM$1001,MATCH(ROWS($AF$2:AF695),$AF$2:$AF$1001,0),MATCH(COLUMNS($AM$1006:AO1006),$AM$1006:$BM$1006,0)), HYPERLINK("#",""), HYPERLINK(CONCATENATE("#metadata!", ADDRESS(INDEX($AH$2:$AH$1001,MATCH(ROWS($AF$2:AF695),$AF$2:$AF$1001,0),0), INDEX($AM$1004:$BM$1004,1,MATCH(COLUMNS($AM$1006:AO1006),$AM$1006:$BM$1006,0)))),"Fix")))</f>
        <v xml:space="preserve"> </v>
      </c>
      <c r="E695" s="4" t="str">
        <f ca="1">IF(OR(INDEX($AG$2:$AG$1001,MATCH(ROWS($AF$2:AF695),$AF$2:$AF$1001,0),1)&gt;=100000,INDEX($AM$1005:$BM$1005,1,MATCH(COLUMNS($AM$1006:AP1006),$AM$1006:$BM$1006,0))&gt;=100000), " ",IF(INDEX($AM$2:$BM$1001,MATCH(ROWS($AF$2:AF695),$AF$2:$AF$1001,0),MATCH(COLUMNS($AM$1006:AP1006),$AM$1006:$BM$1006,0)), HYPERLINK("#",""), HYPERLINK(CONCATENATE("#metadata!", ADDRESS(INDEX($AH$2:$AH$1001,MATCH(ROWS($AF$2:AF695),$AF$2:$AF$1001,0),0), INDEX($AM$1004:$BM$1004,1,MATCH(COLUMNS($AM$1006:AP1006),$AM$1006:$BM$1006,0)))),"Fix")))</f>
        <v xml:space="preserve"> </v>
      </c>
      <c r="F695" s="4" t="str">
        <f ca="1">IF(OR(INDEX($AG$2:$AG$1001,MATCH(ROWS($AF$2:AF695),$AF$2:$AF$1001,0),1)&gt;=100000,INDEX($AM$1005:$BM$1005,1,MATCH(COLUMNS($AM$1006:AQ1006),$AM$1006:$BM$1006,0))&gt;=100000), " ",IF(INDEX($AM$2:$BM$1001,MATCH(ROWS($AF$2:AF695),$AF$2:$AF$1001,0),MATCH(COLUMNS($AM$1006:AQ1006),$AM$1006:$BM$1006,0)), HYPERLINK("#",""), HYPERLINK(CONCATENATE("#metadata!", ADDRESS(INDEX($AH$2:$AH$1001,MATCH(ROWS($AF$2:AF695),$AF$2:$AF$1001,0),0), INDEX($AM$1004:$BM$1004,1,MATCH(COLUMNS($AM$1006:AQ1006),$AM$1006:$BM$1006,0)))),"Fix")))</f>
        <v xml:space="preserve"> </v>
      </c>
      <c r="G695" s="4" t="str">
        <f ca="1">IF(OR(INDEX($AG$2:$AG$1001,MATCH(ROWS($AF$2:AF695),$AF$2:$AF$1001,0),1)&gt;=100000,INDEX($AM$1005:$BM$1005,1,MATCH(COLUMNS($AM$1006:AR1006),$AM$1006:$BM$1006,0))&gt;=100000), " ",IF(INDEX($AM$2:$BM$1001,MATCH(ROWS($AF$2:AF695),$AF$2:$AF$1001,0),MATCH(COLUMNS($AM$1006:AR1006),$AM$1006:$BM$1006,0)), HYPERLINK("#",""), HYPERLINK(CONCATENATE("#metadata!", ADDRESS(INDEX($AH$2:$AH$1001,MATCH(ROWS($AF$2:AF695),$AF$2:$AF$1001,0),0), INDEX($AM$1004:$BM$1004,1,MATCH(COLUMNS($AM$1006:AR1006),$AM$1006:$BM$1006,0)))),"Fix")))</f>
        <v xml:space="preserve"> </v>
      </c>
      <c r="H695" s="4" t="str">
        <f ca="1">IF(OR(INDEX($AG$2:$AG$1001,MATCH(ROWS($AF$2:AF695),$AF$2:$AF$1001,0),1)&gt;=100000,INDEX($AM$1005:$BM$1005,1,MATCH(COLUMNS($AM$1006:AS1006),$AM$1006:$BM$1006,0))&gt;=100000), " ",IF(INDEX($AM$2:$BM$1001,MATCH(ROWS($AF$2:AF695),$AF$2:$AF$1001,0),MATCH(COLUMNS($AM$1006:AS1006),$AM$1006:$BM$1006,0)), HYPERLINK("#",""), HYPERLINK(CONCATENATE("#metadata!", ADDRESS(INDEX($AH$2:$AH$1001,MATCH(ROWS($AF$2:AF695),$AF$2:$AF$1001,0),0), INDEX($AM$1004:$BM$1004,1,MATCH(COLUMNS($AM$1006:AS1006),$AM$1006:$BM$1006,0)))),"Fix")))</f>
        <v xml:space="preserve"> </v>
      </c>
      <c r="I695" s="4" t="str">
        <f ca="1">IF(OR(INDEX($AG$2:$AG$1001,MATCH(ROWS($AF$2:AF695),$AF$2:$AF$1001,0),1)&gt;=100000,INDEX($AM$1005:$BM$1005,1,MATCH(COLUMNS($AM$1006:AT1006),$AM$1006:$BM$1006,0))&gt;=100000), " ",IF(INDEX($AM$2:$BM$1001,MATCH(ROWS($AF$2:AF695),$AF$2:$AF$1001,0),MATCH(COLUMNS($AM$1006:AT1006),$AM$1006:$BM$1006,0)), HYPERLINK("#",""), HYPERLINK(CONCATENATE("#metadata!", ADDRESS(INDEX($AH$2:$AH$1001,MATCH(ROWS($AF$2:AF695),$AF$2:$AF$1001,0),0), INDEX($AM$1004:$BM$1004,1,MATCH(COLUMNS($AM$1006:AT1006),$AM$1006:$BM$1006,0)))),"Fix")))</f>
        <v xml:space="preserve"> </v>
      </c>
      <c r="J695" s="4" t="str">
        <f ca="1">IF(OR(INDEX($AG$2:$AG$1001,MATCH(ROWS($AF$2:AF695),$AF$2:$AF$1001,0),1)&gt;=100000,INDEX($AM$1005:$BM$1005,1,MATCH(COLUMNS($AM$1006:AU1006),$AM$1006:$BM$1006,0))&gt;=100000), " ",IF(INDEX($AM$2:$BM$1001,MATCH(ROWS($AF$2:AF695),$AF$2:$AF$1001,0),MATCH(COLUMNS($AM$1006:AU1006),$AM$1006:$BM$1006,0)), HYPERLINK("#",""), HYPERLINK(CONCATENATE("#metadata!", ADDRESS(INDEX($AH$2:$AH$1001,MATCH(ROWS($AF$2:AF695),$AF$2:$AF$1001,0),0), INDEX($AM$1004:$BM$1004,1,MATCH(COLUMNS($AM$1006:AU1006),$AM$1006:$BM$1006,0)))),"Fix")))</f>
        <v xml:space="preserve"> </v>
      </c>
      <c r="K695" s="4" t="str">
        <f ca="1">IF(OR(INDEX($AG$2:$AG$1001,MATCH(ROWS($AF$2:AF695),$AF$2:$AF$1001,0),1)&gt;=100000,INDEX($AM$1005:$BM$1005,1,MATCH(COLUMNS($AM$1006:AV1006),$AM$1006:$BM$1006,0))&gt;=100000), " ",IF(INDEX($AM$2:$BM$1001,MATCH(ROWS($AF$2:AF695),$AF$2:$AF$1001,0),MATCH(COLUMNS($AM$1006:AV1006),$AM$1006:$BM$1006,0)), HYPERLINK("#",""), HYPERLINK(CONCATENATE("#metadata!", ADDRESS(INDEX($AH$2:$AH$1001,MATCH(ROWS($AF$2:AF695),$AF$2:$AF$1001,0),0), INDEX($AM$1004:$BM$1004,1,MATCH(COLUMNS($AM$1006:AV1006),$AM$1006:$BM$1006,0)))),"Fix")))</f>
        <v xml:space="preserve"> </v>
      </c>
      <c r="L695" s="4" t="str">
        <f ca="1">IF(OR(INDEX($AG$2:$AG$1001,MATCH(ROWS($AF$2:AF695),$AF$2:$AF$1001,0),1)&gt;=100000,INDEX($AM$1005:$BM$1005,1,MATCH(COLUMNS($AM$1006:AW1006),$AM$1006:$BM$1006,0))&gt;=100000), " ",IF(INDEX($AM$2:$BM$1001,MATCH(ROWS($AF$2:AF695),$AF$2:$AF$1001,0),MATCH(COLUMNS($AM$1006:AW1006),$AM$1006:$BM$1006,0)), HYPERLINK("#",""), HYPERLINK(CONCATENATE("#metadata!", ADDRESS(INDEX($AH$2:$AH$1001,MATCH(ROWS($AF$2:AF695),$AF$2:$AF$1001,0),0), INDEX($AM$1004:$BM$1004,1,MATCH(COLUMNS($AM$1006:AW1006),$AM$1006:$BM$1006,0)))),"Fix")))</f>
        <v xml:space="preserve"> </v>
      </c>
      <c r="M695" s="4" t="str">
        <f ca="1">IF(OR(INDEX($AG$2:$AG$1001,MATCH(ROWS($AF$2:AF695),$AF$2:$AF$1001,0),1)&gt;=100000,INDEX($AM$1005:$BM$1005,1,MATCH(COLUMNS($AM$1006:AX1006),$AM$1006:$BM$1006,0))&gt;=100000), " ",IF(INDEX($AM$2:$BM$1001,MATCH(ROWS($AF$2:AF695),$AF$2:$AF$1001,0),MATCH(COLUMNS($AM$1006:AX1006),$AM$1006:$BM$1006,0)), HYPERLINK("#",""), HYPERLINK(CONCATENATE("#metadata!", ADDRESS(INDEX($AH$2:$AH$1001,MATCH(ROWS($AF$2:AF695),$AF$2:$AF$1001,0),0), INDEX($AM$1004:$BM$1004,1,MATCH(COLUMNS($AM$1006:AX1006),$AM$1006:$BM$1006,0)))),"Fix")))</f>
        <v xml:space="preserve"> </v>
      </c>
      <c r="N695" s="4" t="str">
        <f ca="1">IF(OR(INDEX($AG$2:$AG$1001,MATCH(ROWS($AF$2:AF695),$AF$2:$AF$1001,0),1)&gt;=100000,INDEX($AM$1005:$BM$1005,1,MATCH(COLUMNS($AM$1006:AY1006),$AM$1006:$BM$1006,0))&gt;=100000), " ",IF(INDEX($AM$2:$BM$1001,MATCH(ROWS($AF$2:AF695),$AF$2:$AF$1001,0),MATCH(COLUMNS($AM$1006:AY1006),$AM$1006:$BM$1006,0)), HYPERLINK("#",""), HYPERLINK(CONCATENATE("#metadata!", ADDRESS(INDEX($AH$2:$AH$1001,MATCH(ROWS($AF$2:AF695),$AF$2:$AF$1001,0),0), INDEX($AM$1004:$BM$1004,1,MATCH(COLUMNS($AM$1006:AY1006),$AM$1006:$BM$1006,0)))),"Fix")))</f>
        <v xml:space="preserve"> </v>
      </c>
      <c r="O695" s="4" t="str">
        <f ca="1">IF(OR(INDEX($AG$2:$AG$1001,MATCH(ROWS($AF$2:AF695),$AF$2:$AF$1001,0),1)&gt;=100000,INDEX($AM$1005:$BM$1005,1,MATCH(COLUMNS($AM$1006:AZ1006),$AM$1006:$BM$1006,0))&gt;=100000), " ",IF(INDEX($AM$2:$BM$1001,MATCH(ROWS($AF$2:AF695),$AF$2:$AF$1001,0),MATCH(COLUMNS($AM$1006:AZ1006),$AM$1006:$BM$1006,0)), HYPERLINK("#",""), HYPERLINK(CONCATENATE("#metadata!", ADDRESS(INDEX($AH$2:$AH$1001,MATCH(ROWS($AF$2:AF695),$AF$2:$AF$1001,0),0), INDEX($AM$1004:$BM$1004,1,MATCH(COLUMNS($AM$1006:AZ1006),$AM$1006:$BM$1006,0)))),"Fix")))</f>
        <v xml:space="preserve"> </v>
      </c>
      <c r="P695" s="4" t="str">
        <f ca="1">IF(OR(INDEX($AG$2:$AG$1001,MATCH(ROWS($AF$2:AF695),$AF$2:$AF$1001,0),1)&gt;=100000,INDEX($AM$1005:$BM$1005,1,MATCH(COLUMNS($AM$1006:BA1006),$AM$1006:$BM$1006,0))&gt;=100000), " ",IF(INDEX($AM$2:$BM$1001,MATCH(ROWS($AF$2:AF695),$AF$2:$AF$1001,0),MATCH(COLUMNS($AM$1006:BA1006),$AM$1006:$BM$1006,0)), HYPERLINK("#",""), HYPERLINK(CONCATENATE("#metadata!", ADDRESS(INDEX($AH$2:$AH$1001,MATCH(ROWS($AF$2:AF695),$AF$2:$AF$1001,0),0), INDEX($AM$1004:$BM$1004,1,MATCH(COLUMNS($AM$1006:BA1006),$AM$1006:$BM$1006,0)))),"Fix")))</f>
        <v xml:space="preserve"> </v>
      </c>
      <c r="Q695" s="4" t="str">
        <f ca="1">IF(OR(INDEX($AG$2:$AG$1001,MATCH(ROWS($AF$2:AF695),$AF$2:$AF$1001,0),1)&gt;=100000,INDEX($AM$1005:$BM$1005,1,MATCH(COLUMNS($AM$1006:BB1006),$AM$1006:$BM$1006,0))&gt;=100000), " ",IF(INDEX($AM$2:$BM$1001,MATCH(ROWS($AF$2:AF695),$AF$2:$AF$1001,0),MATCH(COLUMNS($AM$1006:BB1006),$AM$1006:$BM$1006,0)), HYPERLINK("#",""), HYPERLINK(CONCATENATE("#metadata!", ADDRESS(INDEX($AH$2:$AH$1001,MATCH(ROWS($AF$2:AF695),$AF$2:$AF$1001,0),0), INDEX($AM$1004:$BM$1004,1,MATCH(COLUMNS($AM$1006:BB1006),$AM$1006:$BM$1006,0)))),"Fix")))</f>
        <v xml:space="preserve"> </v>
      </c>
      <c r="R695" s="4" t="str">
        <f ca="1">IF(OR(INDEX($AG$2:$AG$1001,MATCH(ROWS($AF$2:AF695),$AF$2:$AF$1001,0),1)&gt;=100000,INDEX($AM$1005:$BM$1005,1,MATCH(COLUMNS($AM$1006:BC1006),$AM$1006:$BM$1006,0))&gt;=100000), " ",IF(INDEX($AM$2:$BM$1001,MATCH(ROWS($AF$2:AF695),$AF$2:$AF$1001,0),MATCH(COLUMNS($AM$1006:BC1006),$AM$1006:$BM$1006,0)), HYPERLINK("#",""), HYPERLINK(CONCATENATE("#metadata!", ADDRESS(INDEX($AH$2:$AH$1001,MATCH(ROWS($AF$2:AF695),$AF$2:$AF$1001,0),0), INDEX($AM$1004:$BM$1004,1,MATCH(COLUMNS($AM$1006:BC1006),$AM$1006:$BM$1006,0)))),"Fix")))</f>
        <v xml:space="preserve"> </v>
      </c>
      <c r="S695" s="4" t="str">
        <f ca="1">IF(OR(INDEX($AG$2:$AG$1001,MATCH(ROWS($AF$2:AF695),$AF$2:$AF$1001,0),1)&gt;=100000,INDEX($AM$1005:$BM$1005,1,MATCH(COLUMNS($AM$1006:BD1006),$AM$1006:$BM$1006,0))&gt;=100000), " ",IF(INDEX($AM$2:$BM$1001,MATCH(ROWS($AF$2:AF695),$AF$2:$AF$1001,0),MATCH(COLUMNS($AM$1006:BD1006),$AM$1006:$BM$1006,0)), HYPERLINK("#",""), HYPERLINK(CONCATENATE("#metadata!", ADDRESS(INDEX($AH$2:$AH$1001,MATCH(ROWS($AF$2:AF695),$AF$2:$AF$1001,0),0), INDEX($AM$1004:$BM$1004,1,MATCH(COLUMNS($AM$1006:BD1006),$AM$1006:$BM$1006,0)))),"Fix")))</f>
        <v xml:space="preserve"> </v>
      </c>
      <c r="T695" s="4" t="str">
        <f ca="1">IF(OR(INDEX($AG$2:$AG$1001,MATCH(ROWS($AF$2:AF695),$AF$2:$AF$1001,0),1)&gt;=100000,INDEX($AM$1005:$BM$1005,1,MATCH(COLUMNS($AM$1006:BE1006),$AM$1006:$BM$1006,0))&gt;=100000), " ",IF(INDEX($AM$2:$BM$1001,MATCH(ROWS($AF$2:AF695),$AF$2:$AF$1001,0),MATCH(COLUMNS($AM$1006:BE1006),$AM$1006:$BM$1006,0)), HYPERLINK("#",""), HYPERLINK(CONCATENATE("#metadata!", ADDRESS(INDEX($AH$2:$AH$1001,MATCH(ROWS($AF$2:AF695),$AF$2:$AF$1001,0),0), INDEX($AM$1004:$BM$1004,1,MATCH(COLUMNS($AM$1006:BE1006),$AM$1006:$BM$1006,0)))),"Fix")))</f>
        <v xml:space="preserve"> </v>
      </c>
      <c r="U695" s="4" t="str">
        <f ca="1">IF(OR(INDEX($AG$2:$AG$1001,MATCH(ROWS($AF$2:AF695),$AF$2:$AF$1001,0),1)&gt;=100000,INDEX($AM$1005:$BM$1005,1,MATCH(COLUMNS($AM$1006:BF1006),$AM$1006:$BM$1006,0))&gt;=100000), " ",IF(INDEX($AM$2:$BM$1001,MATCH(ROWS($AF$2:AF695),$AF$2:$AF$1001,0),MATCH(COLUMNS($AM$1006:BF1006),$AM$1006:$BM$1006,0)), HYPERLINK("#",""), HYPERLINK(CONCATENATE("#metadata!", ADDRESS(INDEX($AH$2:$AH$1001,MATCH(ROWS($AF$2:AF695),$AF$2:$AF$1001,0),0), INDEX($AM$1004:$BM$1004,1,MATCH(COLUMNS($AM$1006:BF1006),$AM$1006:$BM$1006,0)))),"Fix")))</f>
        <v xml:space="preserve"> </v>
      </c>
      <c r="V695" s="4" t="str">
        <f ca="1">IF(OR(INDEX($AG$2:$AG$1001,MATCH(ROWS($AF$2:AF695),$AF$2:$AF$1001,0),1)&gt;=100000,INDEX($AM$1005:$BM$1005,1,MATCH(COLUMNS($AM$1006:BG1006),$AM$1006:$BM$1006,0))&gt;=100000), " ",IF(INDEX($AM$2:$BM$1001,MATCH(ROWS($AF$2:AF695),$AF$2:$AF$1001,0),MATCH(COLUMNS($AM$1006:BG1006),$AM$1006:$BM$1006,0)), HYPERLINK("#",""), HYPERLINK(CONCATENATE("#metadata!", ADDRESS(INDEX($AH$2:$AH$1001,MATCH(ROWS($AF$2:AF695),$AF$2:$AF$1001,0),0), INDEX($AM$1004:$BM$1004,1,MATCH(COLUMNS($AM$1006:BG1006),$AM$1006:$BM$1006,0)))),"Fix")))</f>
        <v xml:space="preserve"> </v>
      </c>
      <c r="W695" s="4" t="str">
        <f ca="1">IF(OR(INDEX($AG$2:$AG$1001,MATCH(ROWS($AF$2:AF695),$AF$2:$AF$1001,0),1)&gt;=100000,INDEX($AM$1005:$BM$1005,1,MATCH(COLUMNS($AM$1006:BH1006),$AM$1006:$BM$1006,0))&gt;=100000), " ",IF(INDEX($AM$2:$BM$1001,MATCH(ROWS($AF$2:AF695),$AF$2:$AF$1001,0),MATCH(COLUMNS($AM$1006:BH1006),$AM$1006:$BM$1006,0)), HYPERLINK("#",""), HYPERLINK(CONCATENATE("#metadata!", ADDRESS(INDEX($AH$2:$AH$1001,MATCH(ROWS($AF$2:AF695),$AF$2:$AF$1001,0),0), INDEX($AM$1004:$BM$1004,1,MATCH(COLUMNS($AM$1006:BH1006),$AM$1006:$BM$1006,0)))),"Fix")))</f>
        <v xml:space="preserve"> </v>
      </c>
      <c r="X695" s="4" t="str">
        <f ca="1">IF(OR(INDEX($AG$2:$AG$1001,MATCH(ROWS($AF$2:AF695),$AF$2:$AF$1001,0),1)&gt;=100000,INDEX($AM$1005:$BM$1005,1,MATCH(COLUMNS($AM$1006:BI1006),$AM$1006:$BM$1006,0))&gt;=100000), " ",IF(INDEX($AM$2:$BM$1001,MATCH(ROWS($AF$2:AF695),$AF$2:$AF$1001,0),MATCH(COLUMNS($AM$1006:BI1006),$AM$1006:$BM$1006,0)), HYPERLINK("#",""), HYPERLINK(CONCATENATE("#metadata!", ADDRESS(INDEX($AH$2:$AH$1001,MATCH(ROWS($AF$2:AF695),$AF$2:$AF$1001,0),0), INDEX($AM$1004:$BM$1004,1,MATCH(COLUMNS($AM$1006:BI1006),$AM$1006:$BM$1006,0)))),"Fix")))</f>
        <v xml:space="preserve"> </v>
      </c>
      <c r="Y695" s="4" t="str">
        <f ca="1">IF(OR(INDEX($AG$2:$AG$1001,MATCH(ROWS($AF$2:AF695),$AF$2:$AF$1001,0),1)&gt;=100000,INDEX($AM$1005:$BM$1005,1,MATCH(COLUMNS($AM$1006:BJ1006),$AM$1006:$BM$1006,0))&gt;=100000), " ",IF(INDEX($AM$2:$BM$1001,MATCH(ROWS($AF$2:AF695),$AF$2:$AF$1001,0),MATCH(COLUMNS($AM$1006:BJ1006),$AM$1006:$BM$1006,0)), HYPERLINK("#",""), HYPERLINK(CONCATENATE("#metadata!", ADDRESS(INDEX($AH$2:$AH$1001,MATCH(ROWS($AF$2:AF695),$AF$2:$AF$1001,0),0), INDEX($AM$1004:$BM$1004,1,MATCH(COLUMNS($AM$1006:BJ1006),$AM$1006:$BM$1006,0)))),"Fix")))</f>
        <v xml:space="preserve"> </v>
      </c>
      <c r="Z695" s="4" t="str">
        <f ca="1">IF(OR(INDEX($AG$2:$AG$1001,MATCH(ROWS($AF$2:AF695),$AF$2:$AF$1001,0),1)&gt;=100000,INDEX($AM$1005:$BM$1005,1,MATCH(COLUMNS($AM$1006:BK1006),$AM$1006:$BM$1006,0))&gt;=100000), " ",IF(INDEX($AM$2:$BM$1001,MATCH(ROWS($AF$2:AF695),$AF$2:$AF$1001,0),MATCH(COLUMNS($AM$1006:BK1006),$AM$1006:$BM$1006,0)), HYPERLINK("#",""), HYPERLINK(CONCATENATE("#metadata!", ADDRESS(INDEX($AH$2:$AH$1001,MATCH(ROWS($AF$2:AF695),$AF$2:$AF$1001,0),0), INDEX($AM$1004:$BM$1004,1,MATCH(COLUMNS($AM$1006:BK1006),$AM$1006:$BM$1006,0)))),"Fix")))</f>
        <v xml:space="preserve"> </v>
      </c>
      <c r="AA695" s="4" t="str">
        <f ca="1">IF(OR(INDEX($AG$2:$AG$1001,MATCH(ROWS($AF$2:AF695),$AF$2:$AF$1001,0),1)&gt;=100000,INDEX($AM$1005:$BM$1005,1,MATCH(COLUMNS($AM$1006:BL1006),$AM$1006:$BM$1006,0))&gt;=100000), " ",IF(INDEX($AM$2:$BM$1001,MATCH(ROWS($AF$2:AF695),$AF$2:$AF$1001,0),MATCH(COLUMNS($AM$1006:BL1006),$AM$1006:$BM$1006,0)), HYPERLINK("#",""), HYPERLINK(CONCATENATE("#metadata!", ADDRESS(INDEX($AH$2:$AH$1001,MATCH(ROWS($AF$2:AF695),$AF$2:$AF$1001,0),0), INDEX($AM$1004:$BM$1004,1,MATCH(COLUMNS($AM$1006:BL1006),$AM$1006:$BM$1006,0)))),"Fix")))</f>
        <v xml:space="preserve"> </v>
      </c>
      <c r="AB695" s="4" t="str">
        <f ca="1">IF(OR(INDEX($AG$2:$AG$1001,MATCH(ROWS($AF$2:AF695),$AF$2:$AF$1001,0),1)&gt;=100000,INDEX($AM$1005:$BM$1005,1,MATCH(COLUMNS($AM$1006:BM1006),$AM$1006:$BM$1006,0))&gt;=100000), " ",IF(INDEX($AM$2:$BM$1001,MATCH(ROWS($AF$2:AF695),$AF$2:$AF$1001,0),MATCH(COLUMNS($AM$1006:BM1006),$AM$1006:$BM$1006,0)), HYPERLINK("#",""), HYPERLINK(CONCATENATE("#metadata!", ADDRESS(INDEX($AH$2:$AH$1001,MATCH(ROWS($AF$2:AF695),$AF$2:$AF$1001,0),0), INDEX($AM$1004:$BM$1004,1,MATCH(COLUMNS($AM$1006:BM1006),$AM$1006:$BM$1006,0)))),"Fix")))</f>
        <v xml:space="preserve"> </v>
      </c>
      <c r="AF695">
        <v>694</v>
      </c>
      <c r="AG695">
        <v>100695</v>
      </c>
      <c r="AH695">
        <v>695</v>
      </c>
      <c r="AI695" t="b">
        <f t="shared" si="10"/>
        <v>1</v>
      </c>
      <c r="AJ695" t="b">
        <f>COUNTBLANK(metadata!B695:AB695)=COLUMNS(metadata!B695:AB695)</f>
        <v>1</v>
      </c>
      <c r="AK695" t="str">
        <v/>
      </c>
      <c r="AM695" t="b">
        <f ca="1">AND(IF(metadata!B695="",FALSE,TRUE),COUNTIF(metadata!B:B, metadata!B695) = 1,NOT(ISERROR(SUMPRODUCT(SEARCH(MID(metadata!B695,ROW(INDIRECT("1:"&amp;LEN(metadata!B695))), 1),"0123456789abcdefghijklmnopqrstuvwxyzABCDEFGHIJKLMNOPQRSTUVWXYZ.")))))</f>
        <v>0</v>
      </c>
      <c r="AN695" t="b">
        <f ca="1">OR(AND(IF(metadata!C695="",FALSE,TRUE),OR(EXACT(metadata!C695,"missing: not collected"),EXACT(metadata!C695,"missing: not provided"),EXACT(metadata!C695,"missing: restricted access"))),AND(IF(metadata!C695="",FALSE,TRUE),AND(AND(IFERROR(INT(LEFT(metadata!C695,4))&gt;1900,FALSE),IFERROR(INT(LEFT(metadata!C695,4))&lt;=YEAR(NOW()),FALSE)), OR(MID(metadata!C695,5,1)="", AND(AND(MID(metadata!C695,5,1)="-",IFERROR(INT(MID(metadata!C695,6,1))&gt;=0,FALSE),IFERROR(INT(MID(metadata!C695,6,1))&lt;=1,FALSE),NOT(MID(metadata!C695,7,1)=""),IFERROR(INT(MID(metadata!C695,6,2))&gt;=1,FALSE),IFERROR(INT(MID(metadata!C695,6,2))&lt;=12,FALSE)), OR(MID(metadata!C695,8,1)="", AND(AND(MID(metadata!C695,8,1)="-",IFERROR(INT(MID(metadata!C695,9,1))&gt;=0,FALSE),IFERROR(INT(MID(metadata!C695,9,1))&lt;=3,FALSE),NOT(MID(metadata!C695,10,1)=""),IFERROR(INT(MID(metadata!C695,9,2))&gt;=1,FALSE),IFERROR(INT(MID(metadata!C695,9,2))&lt;=31,FALSE)), OR(MID(metadata!C695,11,1)="", AND(AND(MID(metadata!C695,11,1)=" ",IFERROR(INT(MID(metadata!C695,12,1))&gt;=0,FALSE),IFERROR(INT(MID(metadata!C695,12,1))&lt;=2,FALSE),NOT(MID(metadata!C695,13,1)=""),IFERROR(INT(MID(metadata!C695,12,2))&gt;=0,FALSE),IFERROR(INT(MID(metadata!C695,12,2))&lt;=23,FALSE)), OR(MID(metadata!C695,14,1)="", AND(AND(MID(metadata!C695,14,1)=":",IFERROR(INT(MID(metadata!C695,15,1))&gt;=0,FALSE),IFERROR(INT(MID(metadata!C695,15,1))&lt;=5,FALSE),NOT(MID(metadata!C695,16,1)=""),IFERROR(INT(MID(metadata!C695,15,2))&gt;=0,FALSE),IFERROR(INT(MID(metadata!C695,15,2))&lt;=59,FALSE)), OR(MID(metadata!C695,17,1)="", AND(AND(MID(metadata!C695,17,1)=":",IFERROR(INT(MID(metadata!C695,18,1))&gt;=0,FALSE),IFERROR(INT(MID(metadata!C695,18,1))&lt;=5,FALSE),NOT(MID(metadata!C695,19,1)=""),IFERROR(INT(MID(metadata!C695,18,2))&gt;=0,FALSE),IFERROR(INT(MID(metadata!C695,18,2))&lt;=59,FALSE)), LEN(metadata!C695)&lt;=19)))))))))))))</f>
        <v>0</v>
      </c>
      <c r="AO695" t="b">
        <f>AND(IF(metadata!D695="",FALSE,TRUE),EXACT(metadata!D695,"Not applicable"))</f>
        <v>0</v>
      </c>
      <c r="AP695" t="b">
        <f>IF(metadata!E695="",FALSE,TRUE)</f>
        <v>0</v>
      </c>
      <c r="AQ695" t="b">
        <f>OR(AND(IF(metadata!F695="",FALSE,TRUE),OR(EXACT(metadata!F695,"missing: not collected"),EXACT(metadata!F695,"missing: not provided"))),AND(IF(metadata!F695="",FALSE,TRUE),OR(EXACT(metadata!F695,"TRUE"),EXACT(metadata!F695,"FALSE"))))</f>
        <v>0</v>
      </c>
      <c r="AR695" t="b">
        <f>OR(AND(IF(metadata!G695="",FALSE,TRUE),OR(EXACT(metadata!G695,"missing: not collected"),EXACT(metadata!G695,"missing: not provided"),EXACT(metadata!G695,"missing: restricted access"))),AND(IF(metadata!G695="",FALSE,ISNUMBER(VALUE(metadata!G695))),metadata!G695&gt;=-413))</f>
        <v>0</v>
      </c>
      <c r="AS695" t="b">
        <f>AND(IF(metadata!H695="",FALSE,TRUE),EXACT(metadata!H695,"meters"))</f>
        <v>0</v>
      </c>
      <c r="AT695" t="b">
        <f>AND(IF(metadata!I695="",FALSE,TRUE),OR(EXACT(metadata!I695,"Host-associated"),EXACT(metadata!I695,"Free-living")))</f>
        <v>0</v>
      </c>
      <c r="AU695" t="b">
        <f>AND(IF(metadata!J695="",FALSE,TRUE),OR(EXACT(metadata!J695,"Animal"),EXACT(metadata!J695,"Fungus"),EXACT(metadata!J695,"Plant"),EXACT(metadata!J695,"Saline"),EXACT(metadata!J695,"Non-saline")))</f>
        <v>0</v>
      </c>
      <c r="AV695" t="b">
        <f>AND(IF(metadata!K695="",FALSE,TRUE),OR(EXACT(metadata!K695,"Plant secretion"),EXACT(metadata!K695,"Plant rhizosphere"),EXACT(metadata!K695,"Plant surface"),EXACT(metadata!K695,"Plant corpus"),EXACT(metadata!K695,"Fungus surface"),EXACT(metadata!K695,"Fungus corpus"),EXACT(metadata!K695,"Animal surface"),EXACT(metadata!K695,"Animal proximal gut"),EXACT(metadata!K695,"Animal corpus"),EXACT(metadata!K695,"Animal distal gut"),EXACT(metadata!K695,"Animal secretion"),EXACT(metadata!K695,"Sub-surface (non-saline)"),EXACT(metadata!K695,"Surface (non-saline)"),EXACT(metadata!K695,"Water (non-saline)"),EXACT(metadata!K695,"Soil (non-saline)"),EXACT(metadata!K695,"Aerosol (non-saline)"),EXACT(metadata!K695,"Sediment (non-saline)"),EXACT(metadata!K695,"Surface (saline)"),EXACT(metadata!K695,"Water (saline)"),EXACT(metadata!K695,"Hypersaline (saline)"),EXACT(metadata!K695,"Aerosol (saline)"),EXACT(metadata!K695,"Sediment (saline)")))</f>
        <v>0</v>
      </c>
      <c r="AW695" t="b">
        <f>IF(metadata!L695="",FALSE,TRUE)</f>
        <v>0</v>
      </c>
      <c r="AX695" t="b">
        <f>IF(metadata!M695="",FALSE,TRUE)</f>
        <v>0</v>
      </c>
      <c r="AY695" t="b">
        <f>IF(metadata!N695="",FALSE,TRUE)</f>
        <v>0</v>
      </c>
      <c r="AZ695" t="b">
        <f>OR(AND(IF(metadata!O695="",FALSE,TRUE),OR(EXACT(metadata!O695,"missing: not collected"),EXACT(metadata!O695,"missing: not provided"),EXACT(metadata!O695,"missing: restricted access"))),AND(IF(metadata!O695="",FALSE,TRUE),OR(EXACT(metadata!O695,"air"),EXACT(metadata!O695,"built environment"),EXACT(metadata!O695,"host-associated"),EXACT(metadata!O695,"human-associated"),EXACT(metadata!O695,"human-skin"),EXACT(metadata!O695,"human-oral"),EXACT(metadata!O695,"human-gut"),EXACT(metadata!O695,"human-vaginal"),EXACT(metadata!O695,"microbial mat/biofilm"),EXACT(metadata!O695,"misc environment"),EXACT(metadata!O695,"plant-associated"),EXACT(metadata!O695,"sediment"),EXACT(metadata!O695,"soil"),EXACT(metadata!O695,"wastewater/sludge"),EXACT(metadata!O695,"water"))))</f>
        <v>0</v>
      </c>
      <c r="BA695" t="b">
        <f>IF(metadata!P695="",FALSE,TRUE)</f>
        <v>0</v>
      </c>
      <c r="BB695" t="b">
        <f>IF(metadata!Q695="",FALSE,TRUE)</f>
        <v>0</v>
      </c>
      <c r="BC695" t="b">
        <f>OR(AND(IF(metadata!R695="",FALSE,TRUE),OR(EXACT(metadata!R695,"missing: not collected"),EXACT(metadata!R695,"missing: not provided"),EXACT(metadata!R695,"missing: restricted access"))),AND(IF(metadata!R695="",FALSE,ISNUMBER(VALUE(metadata!R695))),metadata!R695&gt;=-90,metadata!R695&lt;=90))</f>
        <v>0</v>
      </c>
      <c r="BD695" t="b">
        <f>AND(IF(metadata!S695="",FALSE,TRUE),EXACT(metadata!S695,"Decimal degrees"))</f>
        <v>0</v>
      </c>
      <c r="BE695" t="b">
        <f>OR(AND(IF(metadata!T695="",FALSE,TRUE),OR(EXACT(metadata!T695,"missing: not collected"),EXACT(metadata!T695,"missing: not provided"),EXACT(metadata!T695,"missing: restricted access"))),AND(IF(metadata!T695="",FALSE,ISNUMBER(VALUE(metadata!T695))),metadata!T695&gt;=-180,metadata!T695&lt;=180))</f>
        <v>0</v>
      </c>
      <c r="BF695" t="b">
        <f>AND(IF(metadata!U695="",FALSE,TRUE),EXACT(metadata!U695,"Decimal degrees"))</f>
        <v>0</v>
      </c>
      <c r="BG695" t="b">
        <f>IF(metadata!V695="",FALSE,TRUE)</f>
        <v>0</v>
      </c>
      <c r="BH695" t="b">
        <f>OR(AND(IF(metadata!W695="",FALSE,TRUE),OR(EXACT(metadata!W695,"missing: not collected"),EXACT(metadata!W695,"missing: not provided"),EXACT(metadata!W695,"missing: restricted access"))),AND(IF(metadata!W695="",FALSE,TRUE),OR(EXACT(metadata!W695,"TRUE"),EXACT(metadata!W695,"FALSE"))))</f>
        <v>0</v>
      </c>
      <c r="BI695" t="b">
        <f>AND(IF(metadata!X695="",FALSE,TRUE),EXACT(metadata!X695,"other"))</f>
        <v>0</v>
      </c>
      <c r="BJ695" t="b">
        <f>IF(metadata!Y695="",FALSE,TRUE)</f>
        <v>0</v>
      </c>
      <c r="BK695" t="b">
        <f>OR(AND(IF(metadata!Z695="",FALSE,TRUE),OR(EXACT(metadata!Z695,"missing: not collected"),EXACT(metadata!Z695,"missing: not provided"))),AND(IF(metadata!Z695="",FALSE,IF(ISERROR(INT(metadata!Z695)),FALSE,INT(metadata!Z695)=metadata!Z695)),metadata!Z695&gt;0))</f>
        <v>0</v>
      </c>
      <c r="BL695" t="b">
        <f>AND(IF(metadata!AA695="",FALSE,TRUE),EXACT(metadata!AA695,"Not applicable"))</f>
        <v>0</v>
      </c>
      <c r="BM695" t="b">
        <f>IF(metadata!AB695="",FALSE,TRUE)</f>
        <v>0</v>
      </c>
    </row>
    <row r="696" spans="1:65" x14ac:dyDescent="0.2">
      <c r="A696" s="5" t="str">
        <f ca="1">IF(B696=" "," ",HYPERLINK(CONCATENATE("#metadata!",ADDRESS(INDEX($AH$2:$AH$1001,MATCH(ROWS($AF$2:AF696),$AF$2:$AF$1001,0),0),1)),INDEX($AK$2:$AK$1001,MATCH(ROWS($AF$2:AF696),$AF$2:$AF$1001,0),0)))</f>
        <v xml:space="preserve"> </v>
      </c>
      <c r="B696" s="4" t="str">
        <f ca="1">IF(OR(INDEX($AG$2:$AG$1001,MATCH(ROWS($AF$2:AF696),$AF$2:$AF$1001,0),1)&gt;=100000,INDEX($AM$1005:$BM$1005,1,MATCH(COLUMNS($AM$1006:AM1006),$AM$1006:$BM$1006,0))&gt;=100000), " ",IF(INDEX($AM$2:$BM$1001,MATCH(ROWS($AF$2:AF696),$AF$2:$AF$1001,0),MATCH(COLUMNS($AM$1006:AM1006),$AM$1006:$BM$1006,0)), HYPERLINK("#",""), HYPERLINK(CONCATENATE("#metadata!", ADDRESS(INDEX($AH$2:$AH$1001,MATCH(ROWS($AF$2:AF696),$AF$2:$AF$1001,0),0), INDEX($AM$1004:$BM$1004,1,MATCH(COLUMNS($AM$1006:AM1006),$AM$1006:$BM$1006,0)))),"Fix")))</f>
        <v xml:space="preserve"> </v>
      </c>
      <c r="C696" s="4" t="str">
        <f ca="1">IF(OR(INDEX($AG$2:$AG$1001,MATCH(ROWS($AF$2:AF696),$AF$2:$AF$1001,0),1)&gt;=100000,INDEX($AM$1005:$BM$1005,1,MATCH(COLUMNS($AM$1006:AN1006),$AM$1006:$BM$1006,0))&gt;=100000), " ",IF(INDEX($AM$2:$BM$1001,MATCH(ROWS($AF$2:AF696),$AF$2:$AF$1001,0),MATCH(COLUMNS($AM$1006:AN1006),$AM$1006:$BM$1006,0)), HYPERLINK("#",""), HYPERLINK(CONCATENATE("#metadata!", ADDRESS(INDEX($AH$2:$AH$1001,MATCH(ROWS($AF$2:AF696),$AF$2:$AF$1001,0),0), INDEX($AM$1004:$BM$1004,1,MATCH(COLUMNS($AM$1006:AN1006),$AM$1006:$BM$1006,0)))),"Fix")))</f>
        <v xml:space="preserve"> </v>
      </c>
      <c r="D696" s="4" t="str">
        <f ca="1">IF(OR(INDEX($AG$2:$AG$1001,MATCH(ROWS($AF$2:AF696),$AF$2:$AF$1001,0),1)&gt;=100000,INDEX($AM$1005:$BM$1005,1,MATCH(COLUMNS($AM$1006:AO1006),$AM$1006:$BM$1006,0))&gt;=100000), " ",IF(INDEX($AM$2:$BM$1001,MATCH(ROWS($AF$2:AF696),$AF$2:$AF$1001,0),MATCH(COLUMNS($AM$1006:AO1006),$AM$1006:$BM$1006,0)), HYPERLINK("#",""), HYPERLINK(CONCATENATE("#metadata!", ADDRESS(INDEX($AH$2:$AH$1001,MATCH(ROWS($AF$2:AF696),$AF$2:$AF$1001,0),0), INDEX($AM$1004:$BM$1004,1,MATCH(COLUMNS($AM$1006:AO1006),$AM$1006:$BM$1006,0)))),"Fix")))</f>
        <v xml:space="preserve"> </v>
      </c>
      <c r="E696" s="4" t="str">
        <f ca="1">IF(OR(INDEX($AG$2:$AG$1001,MATCH(ROWS($AF$2:AF696),$AF$2:$AF$1001,0),1)&gt;=100000,INDEX($AM$1005:$BM$1005,1,MATCH(COLUMNS($AM$1006:AP1006),$AM$1006:$BM$1006,0))&gt;=100000), " ",IF(INDEX($AM$2:$BM$1001,MATCH(ROWS($AF$2:AF696),$AF$2:$AF$1001,0),MATCH(COLUMNS($AM$1006:AP1006),$AM$1006:$BM$1006,0)), HYPERLINK("#",""), HYPERLINK(CONCATENATE("#metadata!", ADDRESS(INDEX($AH$2:$AH$1001,MATCH(ROWS($AF$2:AF696),$AF$2:$AF$1001,0),0), INDEX($AM$1004:$BM$1004,1,MATCH(COLUMNS($AM$1006:AP1006),$AM$1006:$BM$1006,0)))),"Fix")))</f>
        <v xml:space="preserve"> </v>
      </c>
      <c r="F696" s="4" t="str">
        <f ca="1">IF(OR(INDEX($AG$2:$AG$1001,MATCH(ROWS($AF$2:AF696),$AF$2:$AF$1001,0),1)&gt;=100000,INDEX($AM$1005:$BM$1005,1,MATCH(COLUMNS($AM$1006:AQ1006),$AM$1006:$BM$1006,0))&gt;=100000), " ",IF(INDEX($AM$2:$BM$1001,MATCH(ROWS($AF$2:AF696),$AF$2:$AF$1001,0),MATCH(COLUMNS($AM$1006:AQ1006),$AM$1006:$BM$1006,0)), HYPERLINK("#",""), HYPERLINK(CONCATENATE("#metadata!", ADDRESS(INDEX($AH$2:$AH$1001,MATCH(ROWS($AF$2:AF696),$AF$2:$AF$1001,0),0), INDEX($AM$1004:$BM$1004,1,MATCH(COLUMNS($AM$1006:AQ1006),$AM$1006:$BM$1006,0)))),"Fix")))</f>
        <v xml:space="preserve"> </v>
      </c>
      <c r="G696" s="4" t="str">
        <f ca="1">IF(OR(INDEX($AG$2:$AG$1001,MATCH(ROWS($AF$2:AF696),$AF$2:$AF$1001,0),1)&gt;=100000,INDEX($AM$1005:$BM$1005,1,MATCH(COLUMNS($AM$1006:AR1006),$AM$1006:$BM$1006,0))&gt;=100000), " ",IF(INDEX($AM$2:$BM$1001,MATCH(ROWS($AF$2:AF696),$AF$2:$AF$1001,0),MATCH(COLUMNS($AM$1006:AR1006),$AM$1006:$BM$1006,0)), HYPERLINK("#",""), HYPERLINK(CONCATENATE("#metadata!", ADDRESS(INDEX($AH$2:$AH$1001,MATCH(ROWS($AF$2:AF696),$AF$2:$AF$1001,0),0), INDEX($AM$1004:$BM$1004,1,MATCH(COLUMNS($AM$1006:AR1006),$AM$1006:$BM$1006,0)))),"Fix")))</f>
        <v xml:space="preserve"> </v>
      </c>
      <c r="H696" s="4" t="str">
        <f ca="1">IF(OR(INDEX($AG$2:$AG$1001,MATCH(ROWS($AF$2:AF696),$AF$2:$AF$1001,0),1)&gt;=100000,INDEX($AM$1005:$BM$1005,1,MATCH(COLUMNS($AM$1006:AS1006),$AM$1006:$BM$1006,0))&gt;=100000), " ",IF(INDEX($AM$2:$BM$1001,MATCH(ROWS($AF$2:AF696),$AF$2:$AF$1001,0),MATCH(COLUMNS($AM$1006:AS1006),$AM$1006:$BM$1006,0)), HYPERLINK("#",""), HYPERLINK(CONCATENATE("#metadata!", ADDRESS(INDEX($AH$2:$AH$1001,MATCH(ROWS($AF$2:AF696),$AF$2:$AF$1001,0),0), INDEX($AM$1004:$BM$1004,1,MATCH(COLUMNS($AM$1006:AS1006),$AM$1006:$BM$1006,0)))),"Fix")))</f>
        <v xml:space="preserve"> </v>
      </c>
      <c r="I696" s="4" t="str">
        <f ca="1">IF(OR(INDEX($AG$2:$AG$1001,MATCH(ROWS($AF$2:AF696),$AF$2:$AF$1001,0),1)&gt;=100000,INDEX($AM$1005:$BM$1005,1,MATCH(COLUMNS($AM$1006:AT1006),$AM$1006:$BM$1006,0))&gt;=100000), " ",IF(INDEX($AM$2:$BM$1001,MATCH(ROWS($AF$2:AF696),$AF$2:$AF$1001,0),MATCH(COLUMNS($AM$1006:AT1006),$AM$1006:$BM$1006,0)), HYPERLINK("#",""), HYPERLINK(CONCATENATE("#metadata!", ADDRESS(INDEX($AH$2:$AH$1001,MATCH(ROWS($AF$2:AF696),$AF$2:$AF$1001,0),0), INDEX($AM$1004:$BM$1004,1,MATCH(COLUMNS($AM$1006:AT1006),$AM$1006:$BM$1006,0)))),"Fix")))</f>
        <v xml:space="preserve"> </v>
      </c>
      <c r="J696" s="4" t="str">
        <f ca="1">IF(OR(INDEX($AG$2:$AG$1001,MATCH(ROWS($AF$2:AF696),$AF$2:$AF$1001,0),1)&gt;=100000,INDEX($AM$1005:$BM$1005,1,MATCH(COLUMNS($AM$1006:AU1006),$AM$1006:$BM$1006,0))&gt;=100000), " ",IF(INDEX($AM$2:$BM$1001,MATCH(ROWS($AF$2:AF696),$AF$2:$AF$1001,0),MATCH(COLUMNS($AM$1006:AU1006),$AM$1006:$BM$1006,0)), HYPERLINK("#",""), HYPERLINK(CONCATENATE("#metadata!", ADDRESS(INDEX($AH$2:$AH$1001,MATCH(ROWS($AF$2:AF696),$AF$2:$AF$1001,0),0), INDEX($AM$1004:$BM$1004,1,MATCH(COLUMNS($AM$1006:AU1006),$AM$1006:$BM$1006,0)))),"Fix")))</f>
        <v xml:space="preserve"> </v>
      </c>
      <c r="K696" s="4" t="str">
        <f ca="1">IF(OR(INDEX($AG$2:$AG$1001,MATCH(ROWS($AF$2:AF696),$AF$2:$AF$1001,0),1)&gt;=100000,INDEX($AM$1005:$BM$1005,1,MATCH(COLUMNS($AM$1006:AV1006),$AM$1006:$BM$1006,0))&gt;=100000), " ",IF(INDEX($AM$2:$BM$1001,MATCH(ROWS($AF$2:AF696),$AF$2:$AF$1001,0),MATCH(COLUMNS($AM$1006:AV1006),$AM$1006:$BM$1006,0)), HYPERLINK("#",""), HYPERLINK(CONCATENATE("#metadata!", ADDRESS(INDEX($AH$2:$AH$1001,MATCH(ROWS($AF$2:AF696),$AF$2:$AF$1001,0),0), INDEX($AM$1004:$BM$1004,1,MATCH(COLUMNS($AM$1006:AV1006),$AM$1006:$BM$1006,0)))),"Fix")))</f>
        <v xml:space="preserve"> </v>
      </c>
      <c r="L696" s="4" t="str">
        <f ca="1">IF(OR(INDEX($AG$2:$AG$1001,MATCH(ROWS($AF$2:AF696),$AF$2:$AF$1001,0),1)&gt;=100000,INDEX($AM$1005:$BM$1005,1,MATCH(COLUMNS($AM$1006:AW1006),$AM$1006:$BM$1006,0))&gt;=100000), " ",IF(INDEX($AM$2:$BM$1001,MATCH(ROWS($AF$2:AF696),$AF$2:$AF$1001,0),MATCH(COLUMNS($AM$1006:AW1006),$AM$1006:$BM$1006,0)), HYPERLINK("#",""), HYPERLINK(CONCATENATE("#metadata!", ADDRESS(INDEX($AH$2:$AH$1001,MATCH(ROWS($AF$2:AF696),$AF$2:$AF$1001,0),0), INDEX($AM$1004:$BM$1004,1,MATCH(COLUMNS($AM$1006:AW1006),$AM$1006:$BM$1006,0)))),"Fix")))</f>
        <v xml:space="preserve"> </v>
      </c>
      <c r="M696" s="4" t="str">
        <f ca="1">IF(OR(INDEX($AG$2:$AG$1001,MATCH(ROWS($AF$2:AF696),$AF$2:$AF$1001,0),1)&gt;=100000,INDEX($AM$1005:$BM$1005,1,MATCH(COLUMNS($AM$1006:AX1006),$AM$1006:$BM$1006,0))&gt;=100000), " ",IF(INDEX($AM$2:$BM$1001,MATCH(ROWS($AF$2:AF696),$AF$2:$AF$1001,0),MATCH(COLUMNS($AM$1006:AX1006),$AM$1006:$BM$1006,0)), HYPERLINK("#",""), HYPERLINK(CONCATENATE("#metadata!", ADDRESS(INDEX($AH$2:$AH$1001,MATCH(ROWS($AF$2:AF696),$AF$2:$AF$1001,0),0), INDEX($AM$1004:$BM$1004,1,MATCH(COLUMNS($AM$1006:AX1006),$AM$1006:$BM$1006,0)))),"Fix")))</f>
        <v xml:space="preserve"> </v>
      </c>
      <c r="N696" s="4" t="str">
        <f ca="1">IF(OR(INDEX($AG$2:$AG$1001,MATCH(ROWS($AF$2:AF696),$AF$2:$AF$1001,0),1)&gt;=100000,INDEX($AM$1005:$BM$1005,1,MATCH(COLUMNS($AM$1006:AY1006),$AM$1006:$BM$1006,0))&gt;=100000), " ",IF(INDEX($AM$2:$BM$1001,MATCH(ROWS($AF$2:AF696),$AF$2:$AF$1001,0),MATCH(COLUMNS($AM$1006:AY1006),$AM$1006:$BM$1006,0)), HYPERLINK("#",""), HYPERLINK(CONCATENATE("#metadata!", ADDRESS(INDEX($AH$2:$AH$1001,MATCH(ROWS($AF$2:AF696),$AF$2:$AF$1001,0),0), INDEX($AM$1004:$BM$1004,1,MATCH(COLUMNS($AM$1006:AY1006),$AM$1006:$BM$1006,0)))),"Fix")))</f>
        <v xml:space="preserve"> </v>
      </c>
      <c r="O696" s="4" t="str">
        <f ca="1">IF(OR(INDEX($AG$2:$AG$1001,MATCH(ROWS($AF$2:AF696),$AF$2:$AF$1001,0),1)&gt;=100000,INDEX($AM$1005:$BM$1005,1,MATCH(COLUMNS($AM$1006:AZ1006),$AM$1006:$BM$1006,0))&gt;=100000), " ",IF(INDEX($AM$2:$BM$1001,MATCH(ROWS($AF$2:AF696),$AF$2:$AF$1001,0),MATCH(COLUMNS($AM$1006:AZ1006),$AM$1006:$BM$1006,0)), HYPERLINK("#",""), HYPERLINK(CONCATENATE("#metadata!", ADDRESS(INDEX($AH$2:$AH$1001,MATCH(ROWS($AF$2:AF696),$AF$2:$AF$1001,0),0), INDEX($AM$1004:$BM$1004,1,MATCH(COLUMNS($AM$1006:AZ1006),$AM$1006:$BM$1006,0)))),"Fix")))</f>
        <v xml:space="preserve"> </v>
      </c>
      <c r="P696" s="4" t="str">
        <f ca="1">IF(OR(INDEX($AG$2:$AG$1001,MATCH(ROWS($AF$2:AF696),$AF$2:$AF$1001,0),1)&gt;=100000,INDEX($AM$1005:$BM$1005,1,MATCH(COLUMNS($AM$1006:BA1006),$AM$1006:$BM$1006,0))&gt;=100000), " ",IF(INDEX($AM$2:$BM$1001,MATCH(ROWS($AF$2:AF696),$AF$2:$AF$1001,0),MATCH(COLUMNS($AM$1006:BA1006),$AM$1006:$BM$1006,0)), HYPERLINK("#",""), HYPERLINK(CONCATENATE("#metadata!", ADDRESS(INDEX($AH$2:$AH$1001,MATCH(ROWS($AF$2:AF696),$AF$2:$AF$1001,0),0), INDEX($AM$1004:$BM$1004,1,MATCH(COLUMNS($AM$1006:BA1006),$AM$1006:$BM$1006,0)))),"Fix")))</f>
        <v xml:space="preserve"> </v>
      </c>
      <c r="Q696" s="4" t="str">
        <f ca="1">IF(OR(INDEX($AG$2:$AG$1001,MATCH(ROWS($AF$2:AF696),$AF$2:$AF$1001,0),1)&gt;=100000,INDEX($AM$1005:$BM$1005,1,MATCH(COLUMNS($AM$1006:BB1006),$AM$1006:$BM$1006,0))&gt;=100000), " ",IF(INDEX($AM$2:$BM$1001,MATCH(ROWS($AF$2:AF696),$AF$2:$AF$1001,0),MATCH(COLUMNS($AM$1006:BB1006),$AM$1006:$BM$1006,0)), HYPERLINK("#",""), HYPERLINK(CONCATENATE("#metadata!", ADDRESS(INDEX($AH$2:$AH$1001,MATCH(ROWS($AF$2:AF696),$AF$2:$AF$1001,0),0), INDEX($AM$1004:$BM$1004,1,MATCH(COLUMNS($AM$1006:BB1006),$AM$1006:$BM$1006,0)))),"Fix")))</f>
        <v xml:space="preserve"> </v>
      </c>
      <c r="R696" s="4" t="str">
        <f ca="1">IF(OR(INDEX($AG$2:$AG$1001,MATCH(ROWS($AF$2:AF696),$AF$2:$AF$1001,0),1)&gt;=100000,INDEX($AM$1005:$BM$1005,1,MATCH(COLUMNS($AM$1006:BC1006),$AM$1006:$BM$1006,0))&gt;=100000), " ",IF(INDEX($AM$2:$BM$1001,MATCH(ROWS($AF$2:AF696),$AF$2:$AF$1001,0),MATCH(COLUMNS($AM$1006:BC1006),$AM$1006:$BM$1006,0)), HYPERLINK("#",""), HYPERLINK(CONCATENATE("#metadata!", ADDRESS(INDEX($AH$2:$AH$1001,MATCH(ROWS($AF$2:AF696),$AF$2:$AF$1001,0),0), INDEX($AM$1004:$BM$1004,1,MATCH(COLUMNS($AM$1006:BC1006),$AM$1006:$BM$1006,0)))),"Fix")))</f>
        <v xml:space="preserve"> </v>
      </c>
      <c r="S696" s="4" t="str">
        <f ca="1">IF(OR(INDEX($AG$2:$AG$1001,MATCH(ROWS($AF$2:AF696),$AF$2:$AF$1001,0),1)&gt;=100000,INDEX($AM$1005:$BM$1005,1,MATCH(COLUMNS($AM$1006:BD1006),$AM$1006:$BM$1006,0))&gt;=100000), " ",IF(INDEX($AM$2:$BM$1001,MATCH(ROWS($AF$2:AF696),$AF$2:$AF$1001,0),MATCH(COLUMNS($AM$1006:BD1006),$AM$1006:$BM$1006,0)), HYPERLINK("#",""), HYPERLINK(CONCATENATE("#metadata!", ADDRESS(INDEX($AH$2:$AH$1001,MATCH(ROWS($AF$2:AF696),$AF$2:$AF$1001,0),0), INDEX($AM$1004:$BM$1004,1,MATCH(COLUMNS($AM$1006:BD1006),$AM$1006:$BM$1006,0)))),"Fix")))</f>
        <v xml:space="preserve"> </v>
      </c>
      <c r="T696" s="4" t="str">
        <f ca="1">IF(OR(INDEX($AG$2:$AG$1001,MATCH(ROWS($AF$2:AF696),$AF$2:$AF$1001,0),1)&gt;=100000,INDEX($AM$1005:$BM$1005,1,MATCH(COLUMNS($AM$1006:BE1006),$AM$1006:$BM$1006,0))&gt;=100000), " ",IF(INDEX($AM$2:$BM$1001,MATCH(ROWS($AF$2:AF696),$AF$2:$AF$1001,0),MATCH(COLUMNS($AM$1006:BE1006),$AM$1006:$BM$1006,0)), HYPERLINK("#",""), HYPERLINK(CONCATENATE("#metadata!", ADDRESS(INDEX($AH$2:$AH$1001,MATCH(ROWS($AF$2:AF696),$AF$2:$AF$1001,0),0), INDEX($AM$1004:$BM$1004,1,MATCH(COLUMNS($AM$1006:BE1006),$AM$1006:$BM$1006,0)))),"Fix")))</f>
        <v xml:space="preserve"> </v>
      </c>
      <c r="U696" s="4" t="str">
        <f ca="1">IF(OR(INDEX($AG$2:$AG$1001,MATCH(ROWS($AF$2:AF696),$AF$2:$AF$1001,0),1)&gt;=100000,INDEX($AM$1005:$BM$1005,1,MATCH(COLUMNS($AM$1006:BF1006),$AM$1006:$BM$1006,0))&gt;=100000), " ",IF(INDEX($AM$2:$BM$1001,MATCH(ROWS($AF$2:AF696),$AF$2:$AF$1001,0),MATCH(COLUMNS($AM$1006:BF1006),$AM$1006:$BM$1006,0)), HYPERLINK("#",""), HYPERLINK(CONCATENATE("#metadata!", ADDRESS(INDEX($AH$2:$AH$1001,MATCH(ROWS($AF$2:AF696),$AF$2:$AF$1001,0),0), INDEX($AM$1004:$BM$1004,1,MATCH(COLUMNS($AM$1006:BF1006),$AM$1006:$BM$1006,0)))),"Fix")))</f>
        <v xml:space="preserve"> </v>
      </c>
      <c r="V696" s="4" t="str">
        <f ca="1">IF(OR(INDEX($AG$2:$AG$1001,MATCH(ROWS($AF$2:AF696),$AF$2:$AF$1001,0),1)&gt;=100000,INDEX($AM$1005:$BM$1005,1,MATCH(COLUMNS($AM$1006:BG1006),$AM$1006:$BM$1006,0))&gt;=100000), " ",IF(INDEX($AM$2:$BM$1001,MATCH(ROWS($AF$2:AF696),$AF$2:$AF$1001,0),MATCH(COLUMNS($AM$1006:BG1006),$AM$1006:$BM$1006,0)), HYPERLINK("#",""), HYPERLINK(CONCATENATE("#metadata!", ADDRESS(INDEX($AH$2:$AH$1001,MATCH(ROWS($AF$2:AF696),$AF$2:$AF$1001,0),0), INDEX($AM$1004:$BM$1004,1,MATCH(COLUMNS($AM$1006:BG1006),$AM$1006:$BM$1006,0)))),"Fix")))</f>
        <v xml:space="preserve"> </v>
      </c>
      <c r="W696" s="4" t="str">
        <f ca="1">IF(OR(INDEX($AG$2:$AG$1001,MATCH(ROWS($AF$2:AF696),$AF$2:$AF$1001,0),1)&gt;=100000,INDEX($AM$1005:$BM$1005,1,MATCH(COLUMNS($AM$1006:BH1006),$AM$1006:$BM$1006,0))&gt;=100000), " ",IF(INDEX($AM$2:$BM$1001,MATCH(ROWS($AF$2:AF696),$AF$2:$AF$1001,0),MATCH(COLUMNS($AM$1006:BH1006),$AM$1006:$BM$1006,0)), HYPERLINK("#",""), HYPERLINK(CONCATENATE("#metadata!", ADDRESS(INDEX($AH$2:$AH$1001,MATCH(ROWS($AF$2:AF696),$AF$2:$AF$1001,0),0), INDEX($AM$1004:$BM$1004,1,MATCH(COLUMNS($AM$1006:BH1006),$AM$1006:$BM$1006,0)))),"Fix")))</f>
        <v xml:space="preserve"> </v>
      </c>
      <c r="X696" s="4" t="str">
        <f ca="1">IF(OR(INDEX($AG$2:$AG$1001,MATCH(ROWS($AF$2:AF696),$AF$2:$AF$1001,0),1)&gt;=100000,INDEX($AM$1005:$BM$1005,1,MATCH(COLUMNS($AM$1006:BI1006),$AM$1006:$BM$1006,0))&gt;=100000), " ",IF(INDEX($AM$2:$BM$1001,MATCH(ROWS($AF$2:AF696),$AF$2:$AF$1001,0),MATCH(COLUMNS($AM$1006:BI1006),$AM$1006:$BM$1006,0)), HYPERLINK("#",""), HYPERLINK(CONCATENATE("#metadata!", ADDRESS(INDEX($AH$2:$AH$1001,MATCH(ROWS($AF$2:AF696),$AF$2:$AF$1001,0),0), INDEX($AM$1004:$BM$1004,1,MATCH(COLUMNS($AM$1006:BI1006),$AM$1006:$BM$1006,0)))),"Fix")))</f>
        <v xml:space="preserve"> </v>
      </c>
      <c r="Y696" s="4" t="str">
        <f ca="1">IF(OR(INDEX($AG$2:$AG$1001,MATCH(ROWS($AF$2:AF696),$AF$2:$AF$1001,0),1)&gt;=100000,INDEX($AM$1005:$BM$1005,1,MATCH(COLUMNS($AM$1006:BJ1006),$AM$1006:$BM$1006,0))&gt;=100000), " ",IF(INDEX($AM$2:$BM$1001,MATCH(ROWS($AF$2:AF696),$AF$2:$AF$1001,0),MATCH(COLUMNS($AM$1006:BJ1006),$AM$1006:$BM$1006,0)), HYPERLINK("#",""), HYPERLINK(CONCATENATE("#metadata!", ADDRESS(INDEX($AH$2:$AH$1001,MATCH(ROWS($AF$2:AF696),$AF$2:$AF$1001,0),0), INDEX($AM$1004:$BM$1004,1,MATCH(COLUMNS($AM$1006:BJ1006),$AM$1006:$BM$1006,0)))),"Fix")))</f>
        <v xml:space="preserve"> </v>
      </c>
      <c r="Z696" s="4" t="str">
        <f ca="1">IF(OR(INDEX($AG$2:$AG$1001,MATCH(ROWS($AF$2:AF696),$AF$2:$AF$1001,0),1)&gt;=100000,INDEX($AM$1005:$BM$1005,1,MATCH(COLUMNS($AM$1006:BK1006),$AM$1006:$BM$1006,0))&gt;=100000), " ",IF(INDEX($AM$2:$BM$1001,MATCH(ROWS($AF$2:AF696),$AF$2:$AF$1001,0),MATCH(COLUMNS($AM$1006:BK1006),$AM$1006:$BM$1006,0)), HYPERLINK("#",""), HYPERLINK(CONCATENATE("#metadata!", ADDRESS(INDEX($AH$2:$AH$1001,MATCH(ROWS($AF$2:AF696),$AF$2:$AF$1001,0),0), INDEX($AM$1004:$BM$1004,1,MATCH(COLUMNS($AM$1006:BK1006),$AM$1006:$BM$1006,0)))),"Fix")))</f>
        <v xml:space="preserve"> </v>
      </c>
      <c r="AA696" s="4" t="str">
        <f ca="1">IF(OR(INDEX($AG$2:$AG$1001,MATCH(ROWS($AF$2:AF696),$AF$2:$AF$1001,0),1)&gt;=100000,INDEX($AM$1005:$BM$1005,1,MATCH(COLUMNS($AM$1006:BL1006),$AM$1006:$BM$1006,0))&gt;=100000), " ",IF(INDEX($AM$2:$BM$1001,MATCH(ROWS($AF$2:AF696),$AF$2:$AF$1001,0),MATCH(COLUMNS($AM$1006:BL1006),$AM$1006:$BM$1006,0)), HYPERLINK("#",""), HYPERLINK(CONCATENATE("#metadata!", ADDRESS(INDEX($AH$2:$AH$1001,MATCH(ROWS($AF$2:AF696),$AF$2:$AF$1001,0),0), INDEX($AM$1004:$BM$1004,1,MATCH(COLUMNS($AM$1006:BL1006),$AM$1006:$BM$1006,0)))),"Fix")))</f>
        <v xml:space="preserve"> </v>
      </c>
      <c r="AB696" s="4" t="str">
        <f ca="1">IF(OR(INDEX($AG$2:$AG$1001,MATCH(ROWS($AF$2:AF696),$AF$2:$AF$1001,0),1)&gt;=100000,INDEX($AM$1005:$BM$1005,1,MATCH(COLUMNS($AM$1006:BM1006),$AM$1006:$BM$1006,0))&gt;=100000), " ",IF(INDEX($AM$2:$BM$1001,MATCH(ROWS($AF$2:AF696),$AF$2:$AF$1001,0),MATCH(COLUMNS($AM$1006:BM1006),$AM$1006:$BM$1006,0)), HYPERLINK("#",""), HYPERLINK(CONCATENATE("#metadata!", ADDRESS(INDEX($AH$2:$AH$1001,MATCH(ROWS($AF$2:AF696),$AF$2:$AF$1001,0),0), INDEX($AM$1004:$BM$1004,1,MATCH(COLUMNS($AM$1006:BM1006),$AM$1006:$BM$1006,0)))),"Fix")))</f>
        <v xml:space="preserve"> </v>
      </c>
      <c r="AF696">
        <v>695</v>
      </c>
      <c r="AG696">
        <v>100696</v>
      </c>
      <c r="AH696">
        <v>696</v>
      </c>
      <c r="AI696" t="b">
        <f t="shared" si="10"/>
        <v>1</v>
      </c>
      <c r="AJ696" t="b">
        <f>COUNTBLANK(metadata!B696:AB696)=COLUMNS(metadata!B696:AB696)</f>
        <v>1</v>
      </c>
      <c r="AK696" t="str">
        <v/>
      </c>
      <c r="AM696" t="b">
        <f ca="1">AND(IF(metadata!B696="",FALSE,TRUE),COUNTIF(metadata!B:B, metadata!B696) = 1,NOT(ISERROR(SUMPRODUCT(SEARCH(MID(metadata!B696,ROW(INDIRECT("1:"&amp;LEN(metadata!B696))), 1),"0123456789abcdefghijklmnopqrstuvwxyzABCDEFGHIJKLMNOPQRSTUVWXYZ.")))))</f>
        <v>0</v>
      </c>
      <c r="AN696" t="b">
        <f ca="1">OR(AND(IF(metadata!C696="",FALSE,TRUE),OR(EXACT(metadata!C696,"missing: not collected"),EXACT(metadata!C696,"missing: not provided"),EXACT(metadata!C696,"missing: restricted access"))),AND(IF(metadata!C696="",FALSE,TRUE),AND(AND(IFERROR(INT(LEFT(metadata!C696,4))&gt;1900,FALSE),IFERROR(INT(LEFT(metadata!C696,4))&lt;=YEAR(NOW()),FALSE)), OR(MID(metadata!C696,5,1)="", AND(AND(MID(metadata!C696,5,1)="-",IFERROR(INT(MID(metadata!C696,6,1))&gt;=0,FALSE),IFERROR(INT(MID(metadata!C696,6,1))&lt;=1,FALSE),NOT(MID(metadata!C696,7,1)=""),IFERROR(INT(MID(metadata!C696,6,2))&gt;=1,FALSE),IFERROR(INT(MID(metadata!C696,6,2))&lt;=12,FALSE)), OR(MID(metadata!C696,8,1)="", AND(AND(MID(metadata!C696,8,1)="-",IFERROR(INT(MID(metadata!C696,9,1))&gt;=0,FALSE),IFERROR(INT(MID(metadata!C696,9,1))&lt;=3,FALSE),NOT(MID(metadata!C696,10,1)=""),IFERROR(INT(MID(metadata!C696,9,2))&gt;=1,FALSE),IFERROR(INT(MID(metadata!C696,9,2))&lt;=31,FALSE)), OR(MID(metadata!C696,11,1)="", AND(AND(MID(metadata!C696,11,1)=" ",IFERROR(INT(MID(metadata!C696,12,1))&gt;=0,FALSE),IFERROR(INT(MID(metadata!C696,12,1))&lt;=2,FALSE),NOT(MID(metadata!C696,13,1)=""),IFERROR(INT(MID(metadata!C696,12,2))&gt;=0,FALSE),IFERROR(INT(MID(metadata!C696,12,2))&lt;=23,FALSE)), OR(MID(metadata!C696,14,1)="", AND(AND(MID(metadata!C696,14,1)=":",IFERROR(INT(MID(metadata!C696,15,1))&gt;=0,FALSE),IFERROR(INT(MID(metadata!C696,15,1))&lt;=5,FALSE),NOT(MID(metadata!C696,16,1)=""),IFERROR(INT(MID(metadata!C696,15,2))&gt;=0,FALSE),IFERROR(INT(MID(metadata!C696,15,2))&lt;=59,FALSE)), OR(MID(metadata!C696,17,1)="", AND(AND(MID(metadata!C696,17,1)=":",IFERROR(INT(MID(metadata!C696,18,1))&gt;=0,FALSE),IFERROR(INT(MID(metadata!C696,18,1))&lt;=5,FALSE),NOT(MID(metadata!C696,19,1)=""),IFERROR(INT(MID(metadata!C696,18,2))&gt;=0,FALSE),IFERROR(INT(MID(metadata!C696,18,2))&lt;=59,FALSE)), LEN(metadata!C696)&lt;=19)))))))))))))</f>
        <v>0</v>
      </c>
      <c r="AO696" t="b">
        <f>AND(IF(metadata!D696="",FALSE,TRUE),EXACT(metadata!D696,"Not applicable"))</f>
        <v>0</v>
      </c>
      <c r="AP696" t="b">
        <f>IF(metadata!E696="",FALSE,TRUE)</f>
        <v>0</v>
      </c>
      <c r="AQ696" t="b">
        <f>OR(AND(IF(metadata!F696="",FALSE,TRUE),OR(EXACT(metadata!F696,"missing: not collected"),EXACT(metadata!F696,"missing: not provided"))),AND(IF(metadata!F696="",FALSE,TRUE),OR(EXACT(metadata!F696,"TRUE"),EXACT(metadata!F696,"FALSE"))))</f>
        <v>0</v>
      </c>
      <c r="AR696" t="b">
        <f>OR(AND(IF(metadata!G696="",FALSE,TRUE),OR(EXACT(metadata!G696,"missing: not collected"),EXACT(metadata!G696,"missing: not provided"),EXACT(metadata!G696,"missing: restricted access"))),AND(IF(metadata!G696="",FALSE,ISNUMBER(VALUE(metadata!G696))),metadata!G696&gt;=-413))</f>
        <v>0</v>
      </c>
      <c r="AS696" t="b">
        <f>AND(IF(metadata!H696="",FALSE,TRUE),EXACT(metadata!H696,"meters"))</f>
        <v>0</v>
      </c>
      <c r="AT696" t="b">
        <f>AND(IF(metadata!I696="",FALSE,TRUE),OR(EXACT(metadata!I696,"Host-associated"),EXACT(metadata!I696,"Free-living")))</f>
        <v>0</v>
      </c>
      <c r="AU696" t="b">
        <f>AND(IF(metadata!J696="",FALSE,TRUE),OR(EXACT(metadata!J696,"Animal"),EXACT(metadata!J696,"Fungus"),EXACT(metadata!J696,"Plant"),EXACT(metadata!J696,"Saline"),EXACT(metadata!J696,"Non-saline")))</f>
        <v>0</v>
      </c>
      <c r="AV696" t="b">
        <f>AND(IF(metadata!K696="",FALSE,TRUE),OR(EXACT(metadata!K696,"Plant secretion"),EXACT(metadata!K696,"Plant rhizosphere"),EXACT(metadata!K696,"Plant surface"),EXACT(metadata!K696,"Plant corpus"),EXACT(metadata!K696,"Fungus surface"),EXACT(metadata!K696,"Fungus corpus"),EXACT(metadata!K696,"Animal surface"),EXACT(metadata!K696,"Animal proximal gut"),EXACT(metadata!K696,"Animal corpus"),EXACT(metadata!K696,"Animal distal gut"),EXACT(metadata!K696,"Animal secretion"),EXACT(metadata!K696,"Sub-surface (non-saline)"),EXACT(metadata!K696,"Surface (non-saline)"),EXACT(metadata!K696,"Water (non-saline)"),EXACT(metadata!K696,"Soil (non-saline)"),EXACT(metadata!K696,"Aerosol (non-saline)"),EXACT(metadata!K696,"Sediment (non-saline)"),EXACT(metadata!K696,"Surface (saline)"),EXACT(metadata!K696,"Water (saline)"),EXACT(metadata!K696,"Hypersaline (saline)"),EXACT(metadata!K696,"Aerosol (saline)"),EXACT(metadata!K696,"Sediment (saline)")))</f>
        <v>0</v>
      </c>
      <c r="AW696" t="b">
        <f>IF(metadata!L696="",FALSE,TRUE)</f>
        <v>0</v>
      </c>
      <c r="AX696" t="b">
        <f>IF(metadata!M696="",FALSE,TRUE)</f>
        <v>0</v>
      </c>
      <c r="AY696" t="b">
        <f>IF(metadata!N696="",FALSE,TRUE)</f>
        <v>0</v>
      </c>
      <c r="AZ696" t="b">
        <f>OR(AND(IF(metadata!O696="",FALSE,TRUE),OR(EXACT(metadata!O696,"missing: not collected"),EXACT(metadata!O696,"missing: not provided"),EXACT(metadata!O696,"missing: restricted access"))),AND(IF(metadata!O696="",FALSE,TRUE),OR(EXACT(metadata!O696,"air"),EXACT(metadata!O696,"built environment"),EXACT(metadata!O696,"host-associated"),EXACT(metadata!O696,"human-associated"),EXACT(metadata!O696,"human-skin"),EXACT(metadata!O696,"human-oral"),EXACT(metadata!O696,"human-gut"),EXACT(metadata!O696,"human-vaginal"),EXACT(metadata!O696,"microbial mat/biofilm"),EXACT(metadata!O696,"misc environment"),EXACT(metadata!O696,"plant-associated"),EXACT(metadata!O696,"sediment"),EXACT(metadata!O696,"soil"),EXACT(metadata!O696,"wastewater/sludge"),EXACT(metadata!O696,"water"))))</f>
        <v>0</v>
      </c>
      <c r="BA696" t="b">
        <f>IF(metadata!P696="",FALSE,TRUE)</f>
        <v>0</v>
      </c>
      <c r="BB696" t="b">
        <f>IF(metadata!Q696="",FALSE,TRUE)</f>
        <v>0</v>
      </c>
      <c r="BC696" t="b">
        <f>OR(AND(IF(metadata!R696="",FALSE,TRUE),OR(EXACT(metadata!R696,"missing: not collected"),EXACT(metadata!R696,"missing: not provided"),EXACT(metadata!R696,"missing: restricted access"))),AND(IF(metadata!R696="",FALSE,ISNUMBER(VALUE(metadata!R696))),metadata!R696&gt;=-90,metadata!R696&lt;=90))</f>
        <v>0</v>
      </c>
      <c r="BD696" t="b">
        <f>AND(IF(metadata!S696="",FALSE,TRUE),EXACT(metadata!S696,"Decimal degrees"))</f>
        <v>0</v>
      </c>
      <c r="BE696" t="b">
        <f>OR(AND(IF(metadata!T696="",FALSE,TRUE),OR(EXACT(metadata!T696,"missing: not collected"),EXACT(metadata!T696,"missing: not provided"),EXACT(metadata!T696,"missing: restricted access"))),AND(IF(metadata!T696="",FALSE,ISNUMBER(VALUE(metadata!T696))),metadata!T696&gt;=-180,metadata!T696&lt;=180))</f>
        <v>0</v>
      </c>
      <c r="BF696" t="b">
        <f>AND(IF(metadata!U696="",FALSE,TRUE),EXACT(metadata!U696,"Decimal degrees"))</f>
        <v>0</v>
      </c>
      <c r="BG696" t="b">
        <f>IF(metadata!V696="",FALSE,TRUE)</f>
        <v>0</v>
      </c>
      <c r="BH696" t="b">
        <f>OR(AND(IF(metadata!W696="",FALSE,TRUE),OR(EXACT(metadata!W696,"missing: not collected"),EXACT(metadata!W696,"missing: not provided"),EXACT(metadata!W696,"missing: restricted access"))),AND(IF(metadata!W696="",FALSE,TRUE),OR(EXACT(metadata!W696,"TRUE"),EXACT(metadata!W696,"FALSE"))))</f>
        <v>0</v>
      </c>
      <c r="BI696" t="b">
        <f>AND(IF(metadata!X696="",FALSE,TRUE),EXACT(metadata!X696,"other"))</f>
        <v>0</v>
      </c>
      <c r="BJ696" t="b">
        <f>IF(metadata!Y696="",FALSE,TRUE)</f>
        <v>0</v>
      </c>
      <c r="BK696" t="b">
        <f>OR(AND(IF(metadata!Z696="",FALSE,TRUE),OR(EXACT(metadata!Z696,"missing: not collected"),EXACT(metadata!Z696,"missing: not provided"))),AND(IF(metadata!Z696="",FALSE,IF(ISERROR(INT(metadata!Z696)),FALSE,INT(metadata!Z696)=metadata!Z696)),metadata!Z696&gt;0))</f>
        <v>0</v>
      </c>
      <c r="BL696" t="b">
        <f>AND(IF(metadata!AA696="",FALSE,TRUE),EXACT(metadata!AA696,"Not applicable"))</f>
        <v>0</v>
      </c>
      <c r="BM696" t="b">
        <f>IF(metadata!AB696="",FALSE,TRUE)</f>
        <v>0</v>
      </c>
    </row>
    <row r="697" spans="1:65" x14ac:dyDescent="0.2">
      <c r="A697" s="5" t="str">
        <f ca="1">IF(B697=" "," ",HYPERLINK(CONCATENATE("#metadata!",ADDRESS(INDEX($AH$2:$AH$1001,MATCH(ROWS($AF$2:AF697),$AF$2:$AF$1001,0),0),1)),INDEX($AK$2:$AK$1001,MATCH(ROWS($AF$2:AF697),$AF$2:$AF$1001,0),0)))</f>
        <v xml:space="preserve"> </v>
      </c>
      <c r="B697" s="4" t="str">
        <f ca="1">IF(OR(INDEX($AG$2:$AG$1001,MATCH(ROWS($AF$2:AF697),$AF$2:$AF$1001,0),1)&gt;=100000,INDEX($AM$1005:$BM$1005,1,MATCH(COLUMNS($AM$1006:AM1006),$AM$1006:$BM$1006,0))&gt;=100000), " ",IF(INDEX($AM$2:$BM$1001,MATCH(ROWS($AF$2:AF697),$AF$2:$AF$1001,0),MATCH(COLUMNS($AM$1006:AM1006),$AM$1006:$BM$1006,0)), HYPERLINK("#",""), HYPERLINK(CONCATENATE("#metadata!", ADDRESS(INDEX($AH$2:$AH$1001,MATCH(ROWS($AF$2:AF697),$AF$2:$AF$1001,0),0), INDEX($AM$1004:$BM$1004,1,MATCH(COLUMNS($AM$1006:AM1006),$AM$1006:$BM$1006,0)))),"Fix")))</f>
        <v xml:space="preserve"> </v>
      </c>
      <c r="C697" s="4" t="str">
        <f ca="1">IF(OR(INDEX($AG$2:$AG$1001,MATCH(ROWS($AF$2:AF697),$AF$2:$AF$1001,0),1)&gt;=100000,INDEX($AM$1005:$BM$1005,1,MATCH(COLUMNS($AM$1006:AN1006),$AM$1006:$BM$1006,0))&gt;=100000), " ",IF(INDEX($AM$2:$BM$1001,MATCH(ROWS($AF$2:AF697),$AF$2:$AF$1001,0),MATCH(COLUMNS($AM$1006:AN1006),$AM$1006:$BM$1006,0)), HYPERLINK("#",""), HYPERLINK(CONCATENATE("#metadata!", ADDRESS(INDEX($AH$2:$AH$1001,MATCH(ROWS($AF$2:AF697),$AF$2:$AF$1001,0),0), INDEX($AM$1004:$BM$1004,1,MATCH(COLUMNS($AM$1006:AN1006),$AM$1006:$BM$1006,0)))),"Fix")))</f>
        <v xml:space="preserve"> </v>
      </c>
      <c r="D697" s="4" t="str">
        <f ca="1">IF(OR(INDEX($AG$2:$AG$1001,MATCH(ROWS($AF$2:AF697),$AF$2:$AF$1001,0),1)&gt;=100000,INDEX($AM$1005:$BM$1005,1,MATCH(COLUMNS($AM$1006:AO1006),$AM$1006:$BM$1006,0))&gt;=100000), " ",IF(INDEX($AM$2:$BM$1001,MATCH(ROWS($AF$2:AF697),$AF$2:$AF$1001,0),MATCH(COLUMNS($AM$1006:AO1006),$AM$1006:$BM$1006,0)), HYPERLINK("#",""), HYPERLINK(CONCATENATE("#metadata!", ADDRESS(INDEX($AH$2:$AH$1001,MATCH(ROWS($AF$2:AF697),$AF$2:$AF$1001,0),0), INDEX($AM$1004:$BM$1004,1,MATCH(COLUMNS($AM$1006:AO1006),$AM$1006:$BM$1006,0)))),"Fix")))</f>
        <v xml:space="preserve"> </v>
      </c>
      <c r="E697" s="4" t="str">
        <f ca="1">IF(OR(INDEX($AG$2:$AG$1001,MATCH(ROWS($AF$2:AF697),$AF$2:$AF$1001,0),1)&gt;=100000,INDEX($AM$1005:$BM$1005,1,MATCH(COLUMNS($AM$1006:AP1006),$AM$1006:$BM$1006,0))&gt;=100000), " ",IF(INDEX($AM$2:$BM$1001,MATCH(ROWS($AF$2:AF697),$AF$2:$AF$1001,0),MATCH(COLUMNS($AM$1006:AP1006),$AM$1006:$BM$1006,0)), HYPERLINK("#",""), HYPERLINK(CONCATENATE("#metadata!", ADDRESS(INDEX($AH$2:$AH$1001,MATCH(ROWS($AF$2:AF697),$AF$2:$AF$1001,0),0), INDEX($AM$1004:$BM$1004,1,MATCH(COLUMNS($AM$1006:AP1006),$AM$1006:$BM$1006,0)))),"Fix")))</f>
        <v xml:space="preserve"> </v>
      </c>
      <c r="F697" s="4" t="str">
        <f ca="1">IF(OR(INDEX($AG$2:$AG$1001,MATCH(ROWS($AF$2:AF697),$AF$2:$AF$1001,0),1)&gt;=100000,INDEX($AM$1005:$BM$1005,1,MATCH(COLUMNS($AM$1006:AQ1006),$AM$1006:$BM$1006,0))&gt;=100000), " ",IF(INDEX($AM$2:$BM$1001,MATCH(ROWS($AF$2:AF697),$AF$2:$AF$1001,0),MATCH(COLUMNS($AM$1006:AQ1006),$AM$1006:$BM$1006,0)), HYPERLINK("#",""), HYPERLINK(CONCATENATE("#metadata!", ADDRESS(INDEX($AH$2:$AH$1001,MATCH(ROWS($AF$2:AF697),$AF$2:$AF$1001,0),0), INDEX($AM$1004:$BM$1004,1,MATCH(COLUMNS($AM$1006:AQ1006),$AM$1006:$BM$1006,0)))),"Fix")))</f>
        <v xml:space="preserve"> </v>
      </c>
      <c r="G697" s="4" t="str">
        <f ca="1">IF(OR(INDEX($AG$2:$AG$1001,MATCH(ROWS($AF$2:AF697),$AF$2:$AF$1001,0),1)&gt;=100000,INDEX($AM$1005:$BM$1005,1,MATCH(COLUMNS($AM$1006:AR1006),$AM$1006:$BM$1006,0))&gt;=100000), " ",IF(INDEX($AM$2:$BM$1001,MATCH(ROWS($AF$2:AF697),$AF$2:$AF$1001,0),MATCH(COLUMNS($AM$1006:AR1006),$AM$1006:$BM$1006,0)), HYPERLINK("#",""), HYPERLINK(CONCATENATE("#metadata!", ADDRESS(INDEX($AH$2:$AH$1001,MATCH(ROWS($AF$2:AF697),$AF$2:$AF$1001,0),0), INDEX($AM$1004:$BM$1004,1,MATCH(COLUMNS($AM$1006:AR1006),$AM$1006:$BM$1006,0)))),"Fix")))</f>
        <v xml:space="preserve"> </v>
      </c>
      <c r="H697" s="4" t="str">
        <f ca="1">IF(OR(INDEX($AG$2:$AG$1001,MATCH(ROWS($AF$2:AF697),$AF$2:$AF$1001,0),1)&gt;=100000,INDEX($AM$1005:$BM$1005,1,MATCH(COLUMNS($AM$1006:AS1006),$AM$1006:$BM$1006,0))&gt;=100000), " ",IF(INDEX($AM$2:$BM$1001,MATCH(ROWS($AF$2:AF697),$AF$2:$AF$1001,0),MATCH(COLUMNS($AM$1006:AS1006),$AM$1006:$BM$1006,0)), HYPERLINK("#",""), HYPERLINK(CONCATENATE("#metadata!", ADDRESS(INDEX($AH$2:$AH$1001,MATCH(ROWS($AF$2:AF697),$AF$2:$AF$1001,0),0), INDEX($AM$1004:$BM$1004,1,MATCH(COLUMNS($AM$1006:AS1006),$AM$1006:$BM$1006,0)))),"Fix")))</f>
        <v xml:space="preserve"> </v>
      </c>
      <c r="I697" s="4" t="str">
        <f ca="1">IF(OR(INDEX($AG$2:$AG$1001,MATCH(ROWS($AF$2:AF697),$AF$2:$AF$1001,0),1)&gt;=100000,INDEX($AM$1005:$BM$1005,1,MATCH(COLUMNS($AM$1006:AT1006),$AM$1006:$BM$1006,0))&gt;=100000), " ",IF(INDEX($AM$2:$BM$1001,MATCH(ROWS($AF$2:AF697),$AF$2:$AF$1001,0),MATCH(COLUMNS($AM$1006:AT1006),$AM$1006:$BM$1006,0)), HYPERLINK("#",""), HYPERLINK(CONCATENATE("#metadata!", ADDRESS(INDEX($AH$2:$AH$1001,MATCH(ROWS($AF$2:AF697),$AF$2:$AF$1001,0),0), INDEX($AM$1004:$BM$1004,1,MATCH(COLUMNS($AM$1006:AT1006),$AM$1006:$BM$1006,0)))),"Fix")))</f>
        <v xml:space="preserve"> </v>
      </c>
      <c r="J697" s="4" t="str">
        <f ca="1">IF(OR(INDEX($AG$2:$AG$1001,MATCH(ROWS($AF$2:AF697),$AF$2:$AF$1001,0),1)&gt;=100000,INDEX($AM$1005:$BM$1005,1,MATCH(COLUMNS($AM$1006:AU1006),$AM$1006:$BM$1006,0))&gt;=100000), " ",IF(INDEX($AM$2:$BM$1001,MATCH(ROWS($AF$2:AF697),$AF$2:$AF$1001,0),MATCH(COLUMNS($AM$1006:AU1006),$AM$1006:$BM$1006,0)), HYPERLINK("#",""), HYPERLINK(CONCATENATE("#metadata!", ADDRESS(INDEX($AH$2:$AH$1001,MATCH(ROWS($AF$2:AF697),$AF$2:$AF$1001,0),0), INDEX($AM$1004:$BM$1004,1,MATCH(COLUMNS($AM$1006:AU1006),$AM$1006:$BM$1006,0)))),"Fix")))</f>
        <v xml:space="preserve"> </v>
      </c>
      <c r="K697" s="4" t="str">
        <f ca="1">IF(OR(INDEX($AG$2:$AG$1001,MATCH(ROWS($AF$2:AF697),$AF$2:$AF$1001,0),1)&gt;=100000,INDEX($AM$1005:$BM$1005,1,MATCH(COLUMNS($AM$1006:AV1006),$AM$1006:$BM$1006,0))&gt;=100000), " ",IF(INDEX($AM$2:$BM$1001,MATCH(ROWS($AF$2:AF697),$AF$2:$AF$1001,0),MATCH(COLUMNS($AM$1006:AV1006),$AM$1006:$BM$1006,0)), HYPERLINK("#",""), HYPERLINK(CONCATENATE("#metadata!", ADDRESS(INDEX($AH$2:$AH$1001,MATCH(ROWS($AF$2:AF697),$AF$2:$AF$1001,0),0), INDEX($AM$1004:$BM$1004,1,MATCH(COLUMNS($AM$1006:AV1006),$AM$1006:$BM$1006,0)))),"Fix")))</f>
        <v xml:space="preserve"> </v>
      </c>
      <c r="L697" s="4" t="str">
        <f ca="1">IF(OR(INDEX($AG$2:$AG$1001,MATCH(ROWS($AF$2:AF697),$AF$2:$AF$1001,0),1)&gt;=100000,INDEX($AM$1005:$BM$1005,1,MATCH(COLUMNS($AM$1006:AW1006),$AM$1006:$BM$1006,0))&gt;=100000), " ",IF(INDEX($AM$2:$BM$1001,MATCH(ROWS($AF$2:AF697),$AF$2:$AF$1001,0),MATCH(COLUMNS($AM$1006:AW1006),$AM$1006:$BM$1006,0)), HYPERLINK("#",""), HYPERLINK(CONCATENATE("#metadata!", ADDRESS(INDEX($AH$2:$AH$1001,MATCH(ROWS($AF$2:AF697),$AF$2:$AF$1001,0),0), INDEX($AM$1004:$BM$1004,1,MATCH(COLUMNS($AM$1006:AW1006),$AM$1006:$BM$1006,0)))),"Fix")))</f>
        <v xml:space="preserve"> </v>
      </c>
      <c r="M697" s="4" t="str">
        <f ca="1">IF(OR(INDEX($AG$2:$AG$1001,MATCH(ROWS($AF$2:AF697),$AF$2:$AF$1001,0),1)&gt;=100000,INDEX($AM$1005:$BM$1005,1,MATCH(COLUMNS($AM$1006:AX1006),$AM$1006:$BM$1006,0))&gt;=100000), " ",IF(INDEX($AM$2:$BM$1001,MATCH(ROWS($AF$2:AF697),$AF$2:$AF$1001,0),MATCH(COLUMNS($AM$1006:AX1006),$AM$1006:$BM$1006,0)), HYPERLINK("#",""), HYPERLINK(CONCATENATE("#metadata!", ADDRESS(INDEX($AH$2:$AH$1001,MATCH(ROWS($AF$2:AF697),$AF$2:$AF$1001,0),0), INDEX($AM$1004:$BM$1004,1,MATCH(COLUMNS($AM$1006:AX1006),$AM$1006:$BM$1006,0)))),"Fix")))</f>
        <v xml:space="preserve"> </v>
      </c>
      <c r="N697" s="4" t="str">
        <f ca="1">IF(OR(INDEX($AG$2:$AG$1001,MATCH(ROWS($AF$2:AF697),$AF$2:$AF$1001,0),1)&gt;=100000,INDEX($AM$1005:$BM$1005,1,MATCH(COLUMNS($AM$1006:AY1006),$AM$1006:$BM$1006,0))&gt;=100000), " ",IF(INDEX($AM$2:$BM$1001,MATCH(ROWS($AF$2:AF697),$AF$2:$AF$1001,0),MATCH(COLUMNS($AM$1006:AY1006),$AM$1006:$BM$1006,0)), HYPERLINK("#",""), HYPERLINK(CONCATENATE("#metadata!", ADDRESS(INDEX($AH$2:$AH$1001,MATCH(ROWS($AF$2:AF697),$AF$2:$AF$1001,0),0), INDEX($AM$1004:$BM$1004,1,MATCH(COLUMNS($AM$1006:AY1006),$AM$1006:$BM$1006,0)))),"Fix")))</f>
        <v xml:space="preserve"> </v>
      </c>
      <c r="O697" s="4" t="str">
        <f ca="1">IF(OR(INDEX($AG$2:$AG$1001,MATCH(ROWS($AF$2:AF697),$AF$2:$AF$1001,0),1)&gt;=100000,INDEX($AM$1005:$BM$1005,1,MATCH(COLUMNS($AM$1006:AZ1006),$AM$1006:$BM$1006,0))&gt;=100000), " ",IF(INDEX($AM$2:$BM$1001,MATCH(ROWS($AF$2:AF697),$AF$2:$AF$1001,0),MATCH(COLUMNS($AM$1006:AZ1006),$AM$1006:$BM$1006,0)), HYPERLINK("#",""), HYPERLINK(CONCATENATE("#metadata!", ADDRESS(INDEX($AH$2:$AH$1001,MATCH(ROWS($AF$2:AF697),$AF$2:$AF$1001,0),0), INDEX($AM$1004:$BM$1004,1,MATCH(COLUMNS($AM$1006:AZ1006),$AM$1006:$BM$1006,0)))),"Fix")))</f>
        <v xml:space="preserve"> </v>
      </c>
      <c r="P697" s="4" t="str">
        <f ca="1">IF(OR(INDEX($AG$2:$AG$1001,MATCH(ROWS($AF$2:AF697),$AF$2:$AF$1001,0),1)&gt;=100000,INDEX($AM$1005:$BM$1005,1,MATCH(COLUMNS($AM$1006:BA1006),$AM$1006:$BM$1006,0))&gt;=100000), " ",IF(INDEX($AM$2:$BM$1001,MATCH(ROWS($AF$2:AF697),$AF$2:$AF$1001,0),MATCH(COLUMNS($AM$1006:BA1006),$AM$1006:$BM$1006,0)), HYPERLINK("#",""), HYPERLINK(CONCATENATE("#metadata!", ADDRESS(INDEX($AH$2:$AH$1001,MATCH(ROWS($AF$2:AF697),$AF$2:$AF$1001,0),0), INDEX($AM$1004:$BM$1004,1,MATCH(COLUMNS($AM$1006:BA1006),$AM$1006:$BM$1006,0)))),"Fix")))</f>
        <v xml:space="preserve"> </v>
      </c>
      <c r="Q697" s="4" t="str">
        <f ca="1">IF(OR(INDEX($AG$2:$AG$1001,MATCH(ROWS($AF$2:AF697),$AF$2:$AF$1001,0),1)&gt;=100000,INDEX($AM$1005:$BM$1005,1,MATCH(COLUMNS($AM$1006:BB1006),$AM$1006:$BM$1006,0))&gt;=100000), " ",IF(INDEX($AM$2:$BM$1001,MATCH(ROWS($AF$2:AF697),$AF$2:$AF$1001,0),MATCH(COLUMNS($AM$1006:BB1006),$AM$1006:$BM$1006,0)), HYPERLINK("#",""), HYPERLINK(CONCATENATE("#metadata!", ADDRESS(INDEX($AH$2:$AH$1001,MATCH(ROWS($AF$2:AF697),$AF$2:$AF$1001,0),0), INDEX($AM$1004:$BM$1004,1,MATCH(COLUMNS($AM$1006:BB1006),$AM$1006:$BM$1006,0)))),"Fix")))</f>
        <v xml:space="preserve"> </v>
      </c>
      <c r="R697" s="4" t="str">
        <f ca="1">IF(OR(INDEX($AG$2:$AG$1001,MATCH(ROWS($AF$2:AF697),$AF$2:$AF$1001,0),1)&gt;=100000,INDEX($AM$1005:$BM$1005,1,MATCH(COLUMNS($AM$1006:BC1006),$AM$1006:$BM$1006,0))&gt;=100000), " ",IF(INDEX($AM$2:$BM$1001,MATCH(ROWS($AF$2:AF697),$AF$2:$AF$1001,0),MATCH(COLUMNS($AM$1006:BC1006),$AM$1006:$BM$1006,0)), HYPERLINK("#",""), HYPERLINK(CONCATENATE("#metadata!", ADDRESS(INDEX($AH$2:$AH$1001,MATCH(ROWS($AF$2:AF697),$AF$2:$AF$1001,0),0), INDEX($AM$1004:$BM$1004,1,MATCH(COLUMNS($AM$1006:BC1006),$AM$1006:$BM$1006,0)))),"Fix")))</f>
        <v xml:space="preserve"> </v>
      </c>
      <c r="S697" s="4" t="str">
        <f ca="1">IF(OR(INDEX($AG$2:$AG$1001,MATCH(ROWS($AF$2:AF697),$AF$2:$AF$1001,0),1)&gt;=100000,INDEX($AM$1005:$BM$1005,1,MATCH(COLUMNS($AM$1006:BD1006),$AM$1006:$BM$1006,0))&gt;=100000), " ",IF(INDEX($AM$2:$BM$1001,MATCH(ROWS($AF$2:AF697),$AF$2:$AF$1001,0),MATCH(COLUMNS($AM$1006:BD1006),$AM$1006:$BM$1006,0)), HYPERLINK("#",""), HYPERLINK(CONCATENATE("#metadata!", ADDRESS(INDEX($AH$2:$AH$1001,MATCH(ROWS($AF$2:AF697),$AF$2:$AF$1001,0),0), INDEX($AM$1004:$BM$1004,1,MATCH(COLUMNS($AM$1006:BD1006),$AM$1006:$BM$1006,0)))),"Fix")))</f>
        <v xml:space="preserve"> </v>
      </c>
      <c r="T697" s="4" t="str">
        <f ca="1">IF(OR(INDEX($AG$2:$AG$1001,MATCH(ROWS($AF$2:AF697),$AF$2:$AF$1001,0),1)&gt;=100000,INDEX($AM$1005:$BM$1005,1,MATCH(COLUMNS($AM$1006:BE1006),$AM$1006:$BM$1006,0))&gt;=100000), " ",IF(INDEX($AM$2:$BM$1001,MATCH(ROWS($AF$2:AF697),$AF$2:$AF$1001,0),MATCH(COLUMNS($AM$1006:BE1006),$AM$1006:$BM$1006,0)), HYPERLINK("#",""), HYPERLINK(CONCATENATE("#metadata!", ADDRESS(INDEX($AH$2:$AH$1001,MATCH(ROWS($AF$2:AF697),$AF$2:$AF$1001,0),0), INDEX($AM$1004:$BM$1004,1,MATCH(COLUMNS($AM$1006:BE1006),$AM$1006:$BM$1006,0)))),"Fix")))</f>
        <v xml:space="preserve"> </v>
      </c>
      <c r="U697" s="4" t="str">
        <f ca="1">IF(OR(INDEX($AG$2:$AG$1001,MATCH(ROWS($AF$2:AF697),$AF$2:$AF$1001,0),1)&gt;=100000,INDEX($AM$1005:$BM$1005,1,MATCH(COLUMNS($AM$1006:BF1006),$AM$1006:$BM$1006,0))&gt;=100000), " ",IF(INDEX($AM$2:$BM$1001,MATCH(ROWS($AF$2:AF697),$AF$2:$AF$1001,0),MATCH(COLUMNS($AM$1006:BF1006),$AM$1006:$BM$1006,0)), HYPERLINK("#",""), HYPERLINK(CONCATENATE("#metadata!", ADDRESS(INDEX($AH$2:$AH$1001,MATCH(ROWS($AF$2:AF697),$AF$2:$AF$1001,0),0), INDEX($AM$1004:$BM$1004,1,MATCH(COLUMNS($AM$1006:BF1006),$AM$1006:$BM$1006,0)))),"Fix")))</f>
        <v xml:space="preserve"> </v>
      </c>
      <c r="V697" s="4" t="str">
        <f ca="1">IF(OR(INDEX($AG$2:$AG$1001,MATCH(ROWS($AF$2:AF697),$AF$2:$AF$1001,0),1)&gt;=100000,INDEX($AM$1005:$BM$1005,1,MATCH(COLUMNS($AM$1006:BG1006),$AM$1006:$BM$1006,0))&gt;=100000), " ",IF(INDEX($AM$2:$BM$1001,MATCH(ROWS($AF$2:AF697),$AF$2:$AF$1001,0),MATCH(COLUMNS($AM$1006:BG1006),$AM$1006:$BM$1006,0)), HYPERLINK("#",""), HYPERLINK(CONCATENATE("#metadata!", ADDRESS(INDEX($AH$2:$AH$1001,MATCH(ROWS($AF$2:AF697),$AF$2:$AF$1001,0),0), INDEX($AM$1004:$BM$1004,1,MATCH(COLUMNS($AM$1006:BG1006),$AM$1006:$BM$1006,0)))),"Fix")))</f>
        <v xml:space="preserve"> </v>
      </c>
      <c r="W697" s="4" t="str">
        <f ca="1">IF(OR(INDEX($AG$2:$AG$1001,MATCH(ROWS($AF$2:AF697),$AF$2:$AF$1001,0),1)&gt;=100000,INDEX($AM$1005:$BM$1005,1,MATCH(COLUMNS($AM$1006:BH1006),$AM$1006:$BM$1006,0))&gt;=100000), " ",IF(INDEX($AM$2:$BM$1001,MATCH(ROWS($AF$2:AF697),$AF$2:$AF$1001,0),MATCH(COLUMNS($AM$1006:BH1006),$AM$1006:$BM$1006,0)), HYPERLINK("#",""), HYPERLINK(CONCATENATE("#metadata!", ADDRESS(INDEX($AH$2:$AH$1001,MATCH(ROWS($AF$2:AF697),$AF$2:$AF$1001,0),0), INDEX($AM$1004:$BM$1004,1,MATCH(COLUMNS($AM$1006:BH1006),$AM$1006:$BM$1006,0)))),"Fix")))</f>
        <v xml:space="preserve"> </v>
      </c>
      <c r="X697" s="4" t="str">
        <f ca="1">IF(OR(INDEX($AG$2:$AG$1001,MATCH(ROWS($AF$2:AF697),$AF$2:$AF$1001,0),1)&gt;=100000,INDEX($AM$1005:$BM$1005,1,MATCH(COLUMNS($AM$1006:BI1006),$AM$1006:$BM$1006,0))&gt;=100000), " ",IF(INDEX($AM$2:$BM$1001,MATCH(ROWS($AF$2:AF697),$AF$2:$AF$1001,0),MATCH(COLUMNS($AM$1006:BI1006),$AM$1006:$BM$1006,0)), HYPERLINK("#",""), HYPERLINK(CONCATENATE("#metadata!", ADDRESS(INDEX($AH$2:$AH$1001,MATCH(ROWS($AF$2:AF697),$AF$2:$AF$1001,0),0), INDEX($AM$1004:$BM$1004,1,MATCH(COLUMNS($AM$1006:BI1006),$AM$1006:$BM$1006,0)))),"Fix")))</f>
        <v xml:space="preserve"> </v>
      </c>
      <c r="Y697" s="4" t="str">
        <f ca="1">IF(OR(INDEX($AG$2:$AG$1001,MATCH(ROWS($AF$2:AF697),$AF$2:$AF$1001,0),1)&gt;=100000,INDEX($AM$1005:$BM$1005,1,MATCH(COLUMNS($AM$1006:BJ1006),$AM$1006:$BM$1006,0))&gt;=100000), " ",IF(INDEX($AM$2:$BM$1001,MATCH(ROWS($AF$2:AF697),$AF$2:$AF$1001,0),MATCH(COLUMNS($AM$1006:BJ1006),$AM$1006:$BM$1006,0)), HYPERLINK("#",""), HYPERLINK(CONCATENATE("#metadata!", ADDRESS(INDEX($AH$2:$AH$1001,MATCH(ROWS($AF$2:AF697),$AF$2:$AF$1001,0),0), INDEX($AM$1004:$BM$1004,1,MATCH(COLUMNS($AM$1006:BJ1006),$AM$1006:$BM$1006,0)))),"Fix")))</f>
        <v xml:space="preserve"> </v>
      </c>
      <c r="Z697" s="4" t="str">
        <f ca="1">IF(OR(INDEX($AG$2:$AG$1001,MATCH(ROWS($AF$2:AF697),$AF$2:$AF$1001,0),1)&gt;=100000,INDEX($AM$1005:$BM$1005,1,MATCH(COLUMNS($AM$1006:BK1006),$AM$1006:$BM$1006,0))&gt;=100000), " ",IF(INDEX($AM$2:$BM$1001,MATCH(ROWS($AF$2:AF697),$AF$2:$AF$1001,0),MATCH(COLUMNS($AM$1006:BK1006),$AM$1006:$BM$1006,0)), HYPERLINK("#",""), HYPERLINK(CONCATENATE("#metadata!", ADDRESS(INDEX($AH$2:$AH$1001,MATCH(ROWS($AF$2:AF697),$AF$2:$AF$1001,0),0), INDEX($AM$1004:$BM$1004,1,MATCH(COLUMNS($AM$1006:BK1006),$AM$1006:$BM$1006,0)))),"Fix")))</f>
        <v xml:space="preserve"> </v>
      </c>
      <c r="AA697" s="4" t="str">
        <f ca="1">IF(OR(INDEX($AG$2:$AG$1001,MATCH(ROWS($AF$2:AF697),$AF$2:$AF$1001,0),1)&gt;=100000,INDEX($AM$1005:$BM$1005,1,MATCH(COLUMNS($AM$1006:BL1006),$AM$1006:$BM$1006,0))&gt;=100000), " ",IF(INDEX($AM$2:$BM$1001,MATCH(ROWS($AF$2:AF697),$AF$2:$AF$1001,0),MATCH(COLUMNS($AM$1006:BL1006),$AM$1006:$BM$1006,0)), HYPERLINK("#",""), HYPERLINK(CONCATENATE("#metadata!", ADDRESS(INDEX($AH$2:$AH$1001,MATCH(ROWS($AF$2:AF697),$AF$2:$AF$1001,0),0), INDEX($AM$1004:$BM$1004,1,MATCH(COLUMNS($AM$1006:BL1006),$AM$1006:$BM$1006,0)))),"Fix")))</f>
        <v xml:space="preserve"> </v>
      </c>
      <c r="AB697" s="4" t="str">
        <f ca="1">IF(OR(INDEX($AG$2:$AG$1001,MATCH(ROWS($AF$2:AF697),$AF$2:$AF$1001,0),1)&gt;=100000,INDEX($AM$1005:$BM$1005,1,MATCH(COLUMNS($AM$1006:BM1006),$AM$1006:$BM$1006,0))&gt;=100000), " ",IF(INDEX($AM$2:$BM$1001,MATCH(ROWS($AF$2:AF697),$AF$2:$AF$1001,0),MATCH(COLUMNS($AM$1006:BM1006),$AM$1006:$BM$1006,0)), HYPERLINK("#",""), HYPERLINK(CONCATENATE("#metadata!", ADDRESS(INDEX($AH$2:$AH$1001,MATCH(ROWS($AF$2:AF697),$AF$2:$AF$1001,0),0), INDEX($AM$1004:$BM$1004,1,MATCH(COLUMNS($AM$1006:BM1006),$AM$1006:$BM$1006,0)))),"Fix")))</f>
        <v xml:space="preserve"> </v>
      </c>
      <c r="AF697">
        <v>696</v>
      </c>
      <c r="AG697">
        <v>100697</v>
      </c>
      <c r="AH697">
        <v>697</v>
      </c>
      <c r="AI697" t="b">
        <f t="shared" si="10"/>
        <v>1</v>
      </c>
      <c r="AJ697" t="b">
        <f>COUNTBLANK(metadata!B697:AB697)=COLUMNS(metadata!B697:AB697)</f>
        <v>1</v>
      </c>
      <c r="AK697" t="str">
        <v/>
      </c>
      <c r="AM697" t="b">
        <f ca="1">AND(IF(metadata!B697="",FALSE,TRUE),COUNTIF(metadata!B:B, metadata!B697) = 1,NOT(ISERROR(SUMPRODUCT(SEARCH(MID(metadata!B697,ROW(INDIRECT("1:"&amp;LEN(metadata!B697))), 1),"0123456789abcdefghijklmnopqrstuvwxyzABCDEFGHIJKLMNOPQRSTUVWXYZ.")))))</f>
        <v>0</v>
      </c>
      <c r="AN697" t="b">
        <f ca="1">OR(AND(IF(metadata!C697="",FALSE,TRUE),OR(EXACT(metadata!C697,"missing: not collected"),EXACT(metadata!C697,"missing: not provided"),EXACT(metadata!C697,"missing: restricted access"))),AND(IF(metadata!C697="",FALSE,TRUE),AND(AND(IFERROR(INT(LEFT(metadata!C697,4))&gt;1900,FALSE),IFERROR(INT(LEFT(metadata!C697,4))&lt;=YEAR(NOW()),FALSE)), OR(MID(metadata!C697,5,1)="", AND(AND(MID(metadata!C697,5,1)="-",IFERROR(INT(MID(metadata!C697,6,1))&gt;=0,FALSE),IFERROR(INT(MID(metadata!C697,6,1))&lt;=1,FALSE),NOT(MID(metadata!C697,7,1)=""),IFERROR(INT(MID(metadata!C697,6,2))&gt;=1,FALSE),IFERROR(INT(MID(metadata!C697,6,2))&lt;=12,FALSE)), OR(MID(metadata!C697,8,1)="", AND(AND(MID(metadata!C697,8,1)="-",IFERROR(INT(MID(metadata!C697,9,1))&gt;=0,FALSE),IFERROR(INT(MID(metadata!C697,9,1))&lt;=3,FALSE),NOT(MID(metadata!C697,10,1)=""),IFERROR(INT(MID(metadata!C697,9,2))&gt;=1,FALSE),IFERROR(INT(MID(metadata!C697,9,2))&lt;=31,FALSE)), OR(MID(metadata!C697,11,1)="", AND(AND(MID(metadata!C697,11,1)=" ",IFERROR(INT(MID(metadata!C697,12,1))&gt;=0,FALSE),IFERROR(INT(MID(metadata!C697,12,1))&lt;=2,FALSE),NOT(MID(metadata!C697,13,1)=""),IFERROR(INT(MID(metadata!C697,12,2))&gt;=0,FALSE),IFERROR(INT(MID(metadata!C697,12,2))&lt;=23,FALSE)), OR(MID(metadata!C697,14,1)="", AND(AND(MID(metadata!C697,14,1)=":",IFERROR(INT(MID(metadata!C697,15,1))&gt;=0,FALSE),IFERROR(INT(MID(metadata!C697,15,1))&lt;=5,FALSE),NOT(MID(metadata!C697,16,1)=""),IFERROR(INT(MID(metadata!C697,15,2))&gt;=0,FALSE),IFERROR(INT(MID(metadata!C697,15,2))&lt;=59,FALSE)), OR(MID(metadata!C697,17,1)="", AND(AND(MID(metadata!C697,17,1)=":",IFERROR(INT(MID(metadata!C697,18,1))&gt;=0,FALSE),IFERROR(INT(MID(metadata!C697,18,1))&lt;=5,FALSE),NOT(MID(metadata!C697,19,1)=""),IFERROR(INT(MID(metadata!C697,18,2))&gt;=0,FALSE),IFERROR(INT(MID(metadata!C697,18,2))&lt;=59,FALSE)), LEN(metadata!C697)&lt;=19)))))))))))))</f>
        <v>0</v>
      </c>
      <c r="AO697" t="b">
        <f>AND(IF(metadata!D697="",FALSE,TRUE),EXACT(metadata!D697,"Not applicable"))</f>
        <v>0</v>
      </c>
      <c r="AP697" t="b">
        <f>IF(metadata!E697="",FALSE,TRUE)</f>
        <v>0</v>
      </c>
      <c r="AQ697" t="b">
        <f>OR(AND(IF(metadata!F697="",FALSE,TRUE),OR(EXACT(metadata!F697,"missing: not collected"),EXACT(metadata!F697,"missing: not provided"))),AND(IF(metadata!F697="",FALSE,TRUE),OR(EXACT(metadata!F697,"TRUE"),EXACT(metadata!F697,"FALSE"))))</f>
        <v>0</v>
      </c>
      <c r="AR697" t="b">
        <f>OR(AND(IF(metadata!G697="",FALSE,TRUE),OR(EXACT(metadata!G697,"missing: not collected"),EXACT(metadata!G697,"missing: not provided"),EXACT(metadata!G697,"missing: restricted access"))),AND(IF(metadata!G697="",FALSE,ISNUMBER(VALUE(metadata!G697))),metadata!G697&gt;=-413))</f>
        <v>0</v>
      </c>
      <c r="AS697" t="b">
        <f>AND(IF(metadata!H697="",FALSE,TRUE),EXACT(metadata!H697,"meters"))</f>
        <v>0</v>
      </c>
      <c r="AT697" t="b">
        <f>AND(IF(metadata!I697="",FALSE,TRUE),OR(EXACT(metadata!I697,"Host-associated"),EXACT(metadata!I697,"Free-living")))</f>
        <v>0</v>
      </c>
      <c r="AU697" t="b">
        <f>AND(IF(metadata!J697="",FALSE,TRUE),OR(EXACT(metadata!J697,"Animal"),EXACT(metadata!J697,"Fungus"),EXACT(metadata!J697,"Plant"),EXACT(metadata!J697,"Saline"),EXACT(metadata!J697,"Non-saline")))</f>
        <v>0</v>
      </c>
      <c r="AV697" t="b">
        <f>AND(IF(metadata!K697="",FALSE,TRUE),OR(EXACT(metadata!K697,"Plant secretion"),EXACT(metadata!K697,"Plant rhizosphere"),EXACT(metadata!K697,"Plant surface"),EXACT(metadata!K697,"Plant corpus"),EXACT(metadata!K697,"Fungus surface"),EXACT(metadata!K697,"Fungus corpus"),EXACT(metadata!K697,"Animal surface"),EXACT(metadata!K697,"Animal proximal gut"),EXACT(metadata!K697,"Animal corpus"),EXACT(metadata!K697,"Animal distal gut"),EXACT(metadata!K697,"Animal secretion"),EXACT(metadata!K697,"Sub-surface (non-saline)"),EXACT(metadata!K697,"Surface (non-saline)"),EXACT(metadata!K697,"Water (non-saline)"),EXACT(metadata!K697,"Soil (non-saline)"),EXACT(metadata!K697,"Aerosol (non-saline)"),EXACT(metadata!K697,"Sediment (non-saline)"),EXACT(metadata!K697,"Surface (saline)"),EXACT(metadata!K697,"Water (saline)"),EXACT(metadata!K697,"Hypersaline (saline)"),EXACT(metadata!K697,"Aerosol (saline)"),EXACT(metadata!K697,"Sediment (saline)")))</f>
        <v>0</v>
      </c>
      <c r="AW697" t="b">
        <f>IF(metadata!L697="",FALSE,TRUE)</f>
        <v>0</v>
      </c>
      <c r="AX697" t="b">
        <f>IF(metadata!M697="",FALSE,TRUE)</f>
        <v>0</v>
      </c>
      <c r="AY697" t="b">
        <f>IF(metadata!N697="",FALSE,TRUE)</f>
        <v>0</v>
      </c>
      <c r="AZ697" t="b">
        <f>OR(AND(IF(metadata!O697="",FALSE,TRUE),OR(EXACT(metadata!O697,"missing: not collected"),EXACT(metadata!O697,"missing: not provided"),EXACT(metadata!O697,"missing: restricted access"))),AND(IF(metadata!O697="",FALSE,TRUE),OR(EXACT(metadata!O697,"air"),EXACT(metadata!O697,"built environment"),EXACT(metadata!O697,"host-associated"),EXACT(metadata!O697,"human-associated"),EXACT(metadata!O697,"human-skin"),EXACT(metadata!O697,"human-oral"),EXACT(metadata!O697,"human-gut"),EXACT(metadata!O697,"human-vaginal"),EXACT(metadata!O697,"microbial mat/biofilm"),EXACT(metadata!O697,"misc environment"),EXACT(metadata!O697,"plant-associated"),EXACT(metadata!O697,"sediment"),EXACT(metadata!O697,"soil"),EXACT(metadata!O697,"wastewater/sludge"),EXACT(metadata!O697,"water"))))</f>
        <v>0</v>
      </c>
      <c r="BA697" t="b">
        <f>IF(metadata!P697="",FALSE,TRUE)</f>
        <v>0</v>
      </c>
      <c r="BB697" t="b">
        <f>IF(metadata!Q697="",FALSE,TRUE)</f>
        <v>0</v>
      </c>
      <c r="BC697" t="b">
        <f>OR(AND(IF(metadata!R697="",FALSE,TRUE),OR(EXACT(metadata!R697,"missing: not collected"),EXACT(metadata!R697,"missing: not provided"),EXACT(metadata!R697,"missing: restricted access"))),AND(IF(metadata!R697="",FALSE,ISNUMBER(VALUE(metadata!R697))),metadata!R697&gt;=-90,metadata!R697&lt;=90))</f>
        <v>0</v>
      </c>
      <c r="BD697" t="b">
        <f>AND(IF(metadata!S697="",FALSE,TRUE),EXACT(metadata!S697,"Decimal degrees"))</f>
        <v>0</v>
      </c>
      <c r="BE697" t="b">
        <f>OR(AND(IF(metadata!T697="",FALSE,TRUE),OR(EXACT(metadata!T697,"missing: not collected"),EXACT(metadata!T697,"missing: not provided"),EXACT(metadata!T697,"missing: restricted access"))),AND(IF(metadata!T697="",FALSE,ISNUMBER(VALUE(metadata!T697))),metadata!T697&gt;=-180,metadata!T697&lt;=180))</f>
        <v>0</v>
      </c>
      <c r="BF697" t="b">
        <f>AND(IF(metadata!U697="",FALSE,TRUE),EXACT(metadata!U697,"Decimal degrees"))</f>
        <v>0</v>
      </c>
      <c r="BG697" t="b">
        <f>IF(metadata!V697="",FALSE,TRUE)</f>
        <v>0</v>
      </c>
      <c r="BH697" t="b">
        <f>OR(AND(IF(metadata!W697="",FALSE,TRUE),OR(EXACT(metadata!W697,"missing: not collected"),EXACT(metadata!W697,"missing: not provided"),EXACT(metadata!W697,"missing: restricted access"))),AND(IF(metadata!W697="",FALSE,TRUE),OR(EXACT(metadata!W697,"TRUE"),EXACT(metadata!W697,"FALSE"))))</f>
        <v>0</v>
      </c>
      <c r="BI697" t="b">
        <f>AND(IF(metadata!X697="",FALSE,TRUE),EXACT(metadata!X697,"other"))</f>
        <v>0</v>
      </c>
      <c r="BJ697" t="b">
        <f>IF(metadata!Y697="",FALSE,TRUE)</f>
        <v>0</v>
      </c>
      <c r="BK697" t="b">
        <f>OR(AND(IF(metadata!Z697="",FALSE,TRUE),OR(EXACT(metadata!Z697,"missing: not collected"),EXACT(metadata!Z697,"missing: not provided"))),AND(IF(metadata!Z697="",FALSE,IF(ISERROR(INT(metadata!Z697)),FALSE,INT(metadata!Z697)=metadata!Z697)),metadata!Z697&gt;0))</f>
        <v>0</v>
      </c>
      <c r="BL697" t="b">
        <f>AND(IF(metadata!AA697="",FALSE,TRUE),EXACT(metadata!AA697,"Not applicable"))</f>
        <v>0</v>
      </c>
      <c r="BM697" t="b">
        <f>IF(metadata!AB697="",FALSE,TRUE)</f>
        <v>0</v>
      </c>
    </row>
    <row r="698" spans="1:65" x14ac:dyDescent="0.2">
      <c r="A698" s="5" t="str">
        <f ca="1">IF(B698=" "," ",HYPERLINK(CONCATENATE("#metadata!",ADDRESS(INDEX($AH$2:$AH$1001,MATCH(ROWS($AF$2:AF698),$AF$2:$AF$1001,0),0),1)),INDEX($AK$2:$AK$1001,MATCH(ROWS($AF$2:AF698),$AF$2:$AF$1001,0),0)))</f>
        <v xml:space="preserve"> </v>
      </c>
      <c r="B698" s="4" t="str">
        <f ca="1">IF(OR(INDEX($AG$2:$AG$1001,MATCH(ROWS($AF$2:AF698),$AF$2:$AF$1001,0),1)&gt;=100000,INDEX($AM$1005:$BM$1005,1,MATCH(COLUMNS($AM$1006:AM1006),$AM$1006:$BM$1006,0))&gt;=100000), " ",IF(INDEX($AM$2:$BM$1001,MATCH(ROWS($AF$2:AF698),$AF$2:$AF$1001,0),MATCH(COLUMNS($AM$1006:AM1006),$AM$1006:$BM$1006,0)), HYPERLINK("#",""), HYPERLINK(CONCATENATE("#metadata!", ADDRESS(INDEX($AH$2:$AH$1001,MATCH(ROWS($AF$2:AF698),$AF$2:$AF$1001,0),0), INDEX($AM$1004:$BM$1004,1,MATCH(COLUMNS($AM$1006:AM1006),$AM$1006:$BM$1006,0)))),"Fix")))</f>
        <v xml:space="preserve"> </v>
      </c>
      <c r="C698" s="4" t="str">
        <f ca="1">IF(OR(INDEX($AG$2:$AG$1001,MATCH(ROWS($AF$2:AF698),$AF$2:$AF$1001,0),1)&gt;=100000,INDEX($AM$1005:$BM$1005,1,MATCH(COLUMNS($AM$1006:AN1006),$AM$1006:$BM$1006,0))&gt;=100000), " ",IF(INDEX($AM$2:$BM$1001,MATCH(ROWS($AF$2:AF698),$AF$2:$AF$1001,0),MATCH(COLUMNS($AM$1006:AN1006),$AM$1006:$BM$1006,0)), HYPERLINK("#",""), HYPERLINK(CONCATENATE("#metadata!", ADDRESS(INDEX($AH$2:$AH$1001,MATCH(ROWS($AF$2:AF698),$AF$2:$AF$1001,0),0), INDEX($AM$1004:$BM$1004,1,MATCH(COLUMNS($AM$1006:AN1006),$AM$1006:$BM$1006,0)))),"Fix")))</f>
        <v xml:space="preserve"> </v>
      </c>
      <c r="D698" s="4" t="str">
        <f ca="1">IF(OR(INDEX($AG$2:$AG$1001,MATCH(ROWS($AF$2:AF698),$AF$2:$AF$1001,0),1)&gt;=100000,INDEX($AM$1005:$BM$1005,1,MATCH(COLUMNS($AM$1006:AO1006),$AM$1006:$BM$1006,0))&gt;=100000), " ",IF(INDEX($AM$2:$BM$1001,MATCH(ROWS($AF$2:AF698),$AF$2:$AF$1001,0),MATCH(COLUMNS($AM$1006:AO1006),$AM$1006:$BM$1006,0)), HYPERLINK("#",""), HYPERLINK(CONCATENATE("#metadata!", ADDRESS(INDEX($AH$2:$AH$1001,MATCH(ROWS($AF$2:AF698),$AF$2:$AF$1001,0),0), INDEX($AM$1004:$BM$1004,1,MATCH(COLUMNS($AM$1006:AO1006),$AM$1006:$BM$1006,0)))),"Fix")))</f>
        <v xml:space="preserve"> </v>
      </c>
      <c r="E698" s="4" t="str">
        <f ca="1">IF(OR(INDEX($AG$2:$AG$1001,MATCH(ROWS($AF$2:AF698),$AF$2:$AF$1001,0),1)&gt;=100000,INDEX($AM$1005:$BM$1005,1,MATCH(COLUMNS($AM$1006:AP1006),$AM$1006:$BM$1006,0))&gt;=100000), " ",IF(INDEX($AM$2:$BM$1001,MATCH(ROWS($AF$2:AF698),$AF$2:$AF$1001,0),MATCH(COLUMNS($AM$1006:AP1006),$AM$1006:$BM$1006,0)), HYPERLINK("#",""), HYPERLINK(CONCATENATE("#metadata!", ADDRESS(INDEX($AH$2:$AH$1001,MATCH(ROWS($AF$2:AF698),$AF$2:$AF$1001,0),0), INDEX($AM$1004:$BM$1004,1,MATCH(COLUMNS($AM$1006:AP1006),$AM$1006:$BM$1006,0)))),"Fix")))</f>
        <v xml:space="preserve"> </v>
      </c>
      <c r="F698" s="4" t="str">
        <f ca="1">IF(OR(INDEX($AG$2:$AG$1001,MATCH(ROWS($AF$2:AF698),$AF$2:$AF$1001,0),1)&gt;=100000,INDEX($AM$1005:$BM$1005,1,MATCH(COLUMNS($AM$1006:AQ1006),$AM$1006:$BM$1006,0))&gt;=100000), " ",IF(INDEX($AM$2:$BM$1001,MATCH(ROWS($AF$2:AF698),$AF$2:$AF$1001,0),MATCH(COLUMNS($AM$1006:AQ1006),$AM$1006:$BM$1006,0)), HYPERLINK("#",""), HYPERLINK(CONCATENATE("#metadata!", ADDRESS(INDEX($AH$2:$AH$1001,MATCH(ROWS($AF$2:AF698),$AF$2:$AF$1001,0),0), INDEX($AM$1004:$BM$1004,1,MATCH(COLUMNS($AM$1006:AQ1006),$AM$1006:$BM$1006,0)))),"Fix")))</f>
        <v xml:space="preserve"> </v>
      </c>
      <c r="G698" s="4" t="str">
        <f ca="1">IF(OR(INDEX($AG$2:$AG$1001,MATCH(ROWS($AF$2:AF698),$AF$2:$AF$1001,0),1)&gt;=100000,INDEX($AM$1005:$BM$1005,1,MATCH(COLUMNS($AM$1006:AR1006),$AM$1006:$BM$1006,0))&gt;=100000), " ",IF(INDEX($AM$2:$BM$1001,MATCH(ROWS($AF$2:AF698),$AF$2:$AF$1001,0),MATCH(COLUMNS($AM$1006:AR1006),$AM$1006:$BM$1006,0)), HYPERLINK("#",""), HYPERLINK(CONCATENATE("#metadata!", ADDRESS(INDEX($AH$2:$AH$1001,MATCH(ROWS($AF$2:AF698),$AF$2:$AF$1001,0),0), INDEX($AM$1004:$BM$1004,1,MATCH(COLUMNS($AM$1006:AR1006),$AM$1006:$BM$1006,0)))),"Fix")))</f>
        <v xml:space="preserve"> </v>
      </c>
      <c r="H698" s="4" t="str">
        <f ca="1">IF(OR(INDEX($AG$2:$AG$1001,MATCH(ROWS($AF$2:AF698),$AF$2:$AF$1001,0),1)&gt;=100000,INDEX($AM$1005:$BM$1005,1,MATCH(COLUMNS($AM$1006:AS1006),$AM$1006:$BM$1006,0))&gt;=100000), " ",IF(INDEX($AM$2:$BM$1001,MATCH(ROWS($AF$2:AF698),$AF$2:$AF$1001,0),MATCH(COLUMNS($AM$1006:AS1006),$AM$1006:$BM$1006,0)), HYPERLINK("#",""), HYPERLINK(CONCATENATE("#metadata!", ADDRESS(INDEX($AH$2:$AH$1001,MATCH(ROWS($AF$2:AF698),$AF$2:$AF$1001,0),0), INDEX($AM$1004:$BM$1004,1,MATCH(COLUMNS($AM$1006:AS1006),$AM$1006:$BM$1006,0)))),"Fix")))</f>
        <v xml:space="preserve"> </v>
      </c>
      <c r="I698" s="4" t="str">
        <f ca="1">IF(OR(INDEX($AG$2:$AG$1001,MATCH(ROWS($AF$2:AF698),$AF$2:$AF$1001,0),1)&gt;=100000,INDEX($AM$1005:$BM$1005,1,MATCH(COLUMNS($AM$1006:AT1006),$AM$1006:$BM$1006,0))&gt;=100000), " ",IF(INDEX($AM$2:$BM$1001,MATCH(ROWS($AF$2:AF698),$AF$2:$AF$1001,0),MATCH(COLUMNS($AM$1006:AT1006),$AM$1006:$BM$1006,0)), HYPERLINK("#",""), HYPERLINK(CONCATENATE("#metadata!", ADDRESS(INDEX($AH$2:$AH$1001,MATCH(ROWS($AF$2:AF698),$AF$2:$AF$1001,0),0), INDEX($AM$1004:$BM$1004,1,MATCH(COLUMNS($AM$1006:AT1006),$AM$1006:$BM$1006,0)))),"Fix")))</f>
        <v xml:space="preserve"> </v>
      </c>
      <c r="J698" s="4" t="str">
        <f ca="1">IF(OR(INDEX($AG$2:$AG$1001,MATCH(ROWS($AF$2:AF698),$AF$2:$AF$1001,0),1)&gt;=100000,INDEX($AM$1005:$BM$1005,1,MATCH(COLUMNS($AM$1006:AU1006),$AM$1006:$BM$1006,0))&gt;=100000), " ",IF(INDEX($AM$2:$BM$1001,MATCH(ROWS($AF$2:AF698),$AF$2:$AF$1001,0),MATCH(COLUMNS($AM$1006:AU1006),$AM$1006:$BM$1006,0)), HYPERLINK("#",""), HYPERLINK(CONCATENATE("#metadata!", ADDRESS(INDEX($AH$2:$AH$1001,MATCH(ROWS($AF$2:AF698),$AF$2:$AF$1001,0),0), INDEX($AM$1004:$BM$1004,1,MATCH(COLUMNS($AM$1006:AU1006),$AM$1006:$BM$1006,0)))),"Fix")))</f>
        <v xml:space="preserve"> </v>
      </c>
      <c r="K698" s="4" t="str">
        <f ca="1">IF(OR(INDEX($AG$2:$AG$1001,MATCH(ROWS($AF$2:AF698),$AF$2:$AF$1001,0),1)&gt;=100000,INDEX($AM$1005:$BM$1005,1,MATCH(COLUMNS($AM$1006:AV1006),$AM$1006:$BM$1006,0))&gt;=100000), " ",IF(INDEX($AM$2:$BM$1001,MATCH(ROWS($AF$2:AF698),$AF$2:$AF$1001,0),MATCH(COLUMNS($AM$1006:AV1006),$AM$1006:$BM$1006,0)), HYPERLINK("#",""), HYPERLINK(CONCATENATE("#metadata!", ADDRESS(INDEX($AH$2:$AH$1001,MATCH(ROWS($AF$2:AF698),$AF$2:$AF$1001,0),0), INDEX($AM$1004:$BM$1004,1,MATCH(COLUMNS($AM$1006:AV1006),$AM$1006:$BM$1006,0)))),"Fix")))</f>
        <v xml:space="preserve"> </v>
      </c>
      <c r="L698" s="4" t="str">
        <f ca="1">IF(OR(INDEX($AG$2:$AG$1001,MATCH(ROWS($AF$2:AF698),$AF$2:$AF$1001,0),1)&gt;=100000,INDEX($AM$1005:$BM$1005,1,MATCH(COLUMNS($AM$1006:AW1006),$AM$1006:$BM$1006,0))&gt;=100000), " ",IF(INDEX($AM$2:$BM$1001,MATCH(ROWS($AF$2:AF698),$AF$2:$AF$1001,0),MATCH(COLUMNS($AM$1006:AW1006),$AM$1006:$BM$1006,0)), HYPERLINK("#",""), HYPERLINK(CONCATENATE("#metadata!", ADDRESS(INDEX($AH$2:$AH$1001,MATCH(ROWS($AF$2:AF698),$AF$2:$AF$1001,0),0), INDEX($AM$1004:$BM$1004,1,MATCH(COLUMNS($AM$1006:AW1006),$AM$1006:$BM$1006,0)))),"Fix")))</f>
        <v xml:space="preserve"> </v>
      </c>
      <c r="M698" s="4" t="str">
        <f ca="1">IF(OR(INDEX($AG$2:$AG$1001,MATCH(ROWS($AF$2:AF698),$AF$2:$AF$1001,0),1)&gt;=100000,INDEX($AM$1005:$BM$1005,1,MATCH(COLUMNS($AM$1006:AX1006),$AM$1006:$BM$1006,0))&gt;=100000), " ",IF(INDEX($AM$2:$BM$1001,MATCH(ROWS($AF$2:AF698),$AF$2:$AF$1001,0),MATCH(COLUMNS($AM$1006:AX1006),$AM$1006:$BM$1006,0)), HYPERLINK("#",""), HYPERLINK(CONCATENATE("#metadata!", ADDRESS(INDEX($AH$2:$AH$1001,MATCH(ROWS($AF$2:AF698),$AF$2:$AF$1001,0),0), INDEX($AM$1004:$BM$1004,1,MATCH(COLUMNS($AM$1006:AX1006),$AM$1006:$BM$1006,0)))),"Fix")))</f>
        <v xml:space="preserve"> </v>
      </c>
      <c r="N698" s="4" t="str">
        <f ca="1">IF(OR(INDEX($AG$2:$AG$1001,MATCH(ROWS($AF$2:AF698),$AF$2:$AF$1001,0),1)&gt;=100000,INDEX($AM$1005:$BM$1005,1,MATCH(COLUMNS($AM$1006:AY1006),$AM$1006:$BM$1006,0))&gt;=100000), " ",IF(INDEX($AM$2:$BM$1001,MATCH(ROWS($AF$2:AF698),$AF$2:$AF$1001,0),MATCH(COLUMNS($AM$1006:AY1006),$AM$1006:$BM$1006,0)), HYPERLINK("#",""), HYPERLINK(CONCATENATE("#metadata!", ADDRESS(INDEX($AH$2:$AH$1001,MATCH(ROWS($AF$2:AF698),$AF$2:$AF$1001,0),0), INDEX($AM$1004:$BM$1004,1,MATCH(COLUMNS($AM$1006:AY1006),$AM$1006:$BM$1006,0)))),"Fix")))</f>
        <v xml:space="preserve"> </v>
      </c>
      <c r="O698" s="4" t="str">
        <f ca="1">IF(OR(INDEX($AG$2:$AG$1001,MATCH(ROWS($AF$2:AF698),$AF$2:$AF$1001,0),1)&gt;=100000,INDEX($AM$1005:$BM$1005,1,MATCH(COLUMNS($AM$1006:AZ1006),$AM$1006:$BM$1006,0))&gt;=100000), " ",IF(INDEX($AM$2:$BM$1001,MATCH(ROWS($AF$2:AF698),$AF$2:$AF$1001,0),MATCH(COLUMNS($AM$1006:AZ1006),$AM$1006:$BM$1006,0)), HYPERLINK("#",""), HYPERLINK(CONCATENATE("#metadata!", ADDRESS(INDEX($AH$2:$AH$1001,MATCH(ROWS($AF$2:AF698),$AF$2:$AF$1001,0),0), INDEX($AM$1004:$BM$1004,1,MATCH(COLUMNS($AM$1006:AZ1006),$AM$1006:$BM$1006,0)))),"Fix")))</f>
        <v xml:space="preserve"> </v>
      </c>
      <c r="P698" s="4" t="str">
        <f ca="1">IF(OR(INDEX($AG$2:$AG$1001,MATCH(ROWS($AF$2:AF698),$AF$2:$AF$1001,0),1)&gt;=100000,INDEX($AM$1005:$BM$1005,1,MATCH(COLUMNS($AM$1006:BA1006),$AM$1006:$BM$1006,0))&gt;=100000), " ",IF(INDEX($AM$2:$BM$1001,MATCH(ROWS($AF$2:AF698),$AF$2:$AF$1001,0),MATCH(COLUMNS($AM$1006:BA1006),$AM$1006:$BM$1006,0)), HYPERLINK("#",""), HYPERLINK(CONCATENATE("#metadata!", ADDRESS(INDEX($AH$2:$AH$1001,MATCH(ROWS($AF$2:AF698),$AF$2:$AF$1001,0),0), INDEX($AM$1004:$BM$1004,1,MATCH(COLUMNS($AM$1006:BA1006),$AM$1006:$BM$1006,0)))),"Fix")))</f>
        <v xml:space="preserve"> </v>
      </c>
      <c r="Q698" s="4" t="str">
        <f ca="1">IF(OR(INDEX($AG$2:$AG$1001,MATCH(ROWS($AF$2:AF698),$AF$2:$AF$1001,0),1)&gt;=100000,INDEX($AM$1005:$BM$1005,1,MATCH(COLUMNS($AM$1006:BB1006),$AM$1006:$BM$1006,0))&gt;=100000), " ",IF(INDEX($AM$2:$BM$1001,MATCH(ROWS($AF$2:AF698),$AF$2:$AF$1001,0),MATCH(COLUMNS($AM$1006:BB1006),$AM$1006:$BM$1006,0)), HYPERLINK("#",""), HYPERLINK(CONCATENATE("#metadata!", ADDRESS(INDEX($AH$2:$AH$1001,MATCH(ROWS($AF$2:AF698),$AF$2:$AF$1001,0),0), INDEX($AM$1004:$BM$1004,1,MATCH(COLUMNS($AM$1006:BB1006),$AM$1006:$BM$1006,0)))),"Fix")))</f>
        <v xml:space="preserve"> </v>
      </c>
      <c r="R698" s="4" t="str">
        <f ca="1">IF(OR(INDEX($AG$2:$AG$1001,MATCH(ROWS($AF$2:AF698),$AF$2:$AF$1001,0),1)&gt;=100000,INDEX($AM$1005:$BM$1005,1,MATCH(COLUMNS($AM$1006:BC1006),$AM$1006:$BM$1006,0))&gt;=100000), " ",IF(INDEX($AM$2:$BM$1001,MATCH(ROWS($AF$2:AF698),$AF$2:$AF$1001,0),MATCH(COLUMNS($AM$1006:BC1006),$AM$1006:$BM$1006,0)), HYPERLINK("#",""), HYPERLINK(CONCATENATE("#metadata!", ADDRESS(INDEX($AH$2:$AH$1001,MATCH(ROWS($AF$2:AF698),$AF$2:$AF$1001,0),0), INDEX($AM$1004:$BM$1004,1,MATCH(COLUMNS($AM$1006:BC1006),$AM$1006:$BM$1006,0)))),"Fix")))</f>
        <v xml:space="preserve"> </v>
      </c>
      <c r="S698" s="4" t="str">
        <f ca="1">IF(OR(INDEX($AG$2:$AG$1001,MATCH(ROWS($AF$2:AF698),$AF$2:$AF$1001,0),1)&gt;=100000,INDEX($AM$1005:$BM$1005,1,MATCH(COLUMNS($AM$1006:BD1006),$AM$1006:$BM$1006,0))&gt;=100000), " ",IF(INDEX($AM$2:$BM$1001,MATCH(ROWS($AF$2:AF698),$AF$2:$AF$1001,0),MATCH(COLUMNS($AM$1006:BD1006),$AM$1006:$BM$1006,0)), HYPERLINK("#",""), HYPERLINK(CONCATENATE("#metadata!", ADDRESS(INDEX($AH$2:$AH$1001,MATCH(ROWS($AF$2:AF698),$AF$2:$AF$1001,0),0), INDEX($AM$1004:$BM$1004,1,MATCH(COLUMNS($AM$1006:BD1006),$AM$1006:$BM$1006,0)))),"Fix")))</f>
        <v xml:space="preserve"> </v>
      </c>
      <c r="T698" s="4" t="str">
        <f ca="1">IF(OR(INDEX($AG$2:$AG$1001,MATCH(ROWS($AF$2:AF698),$AF$2:$AF$1001,0),1)&gt;=100000,INDEX($AM$1005:$BM$1005,1,MATCH(COLUMNS($AM$1006:BE1006),$AM$1006:$BM$1006,0))&gt;=100000), " ",IF(INDEX($AM$2:$BM$1001,MATCH(ROWS($AF$2:AF698),$AF$2:$AF$1001,0),MATCH(COLUMNS($AM$1006:BE1006),$AM$1006:$BM$1006,0)), HYPERLINK("#",""), HYPERLINK(CONCATENATE("#metadata!", ADDRESS(INDEX($AH$2:$AH$1001,MATCH(ROWS($AF$2:AF698),$AF$2:$AF$1001,0),0), INDEX($AM$1004:$BM$1004,1,MATCH(COLUMNS($AM$1006:BE1006),$AM$1006:$BM$1006,0)))),"Fix")))</f>
        <v xml:space="preserve"> </v>
      </c>
      <c r="U698" s="4" t="str">
        <f ca="1">IF(OR(INDEX($AG$2:$AG$1001,MATCH(ROWS($AF$2:AF698),$AF$2:$AF$1001,0),1)&gt;=100000,INDEX($AM$1005:$BM$1005,1,MATCH(COLUMNS($AM$1006:BF1006),$AM$1006:$BM$1006,0))&gt;=100000), " ",IF(INDEX($AM$2:$BM$1001,MATCH(ROWS($AF$2:AF698),$AF$2:$AF$1001,0),MATCH(COLUMNS($AM$1006:BF1006),$AM$1006:$BM$1006,0)), HYPERLINK("#",""), HYPERLINK(CONCATENATE("#metadata!", ADDRESS(INDEX($AH$2:$AH$1001,MATCH(ROWS($AF$2:AF698),$AF$2:$AF$1001,0),0), INDEX($AM$1004:$BM$1004,1,MATCH(COLUMNS($AM$1006:BF1006),$AM$1006:$BM$1006,0)))),"Fix")))</f>
        <v xml:space="preserve"> </v>
      </c>
      <c r="V698" s="4" t="str">
        <f ca="1">IF(OR(INDEX($AG$2:$AG$1001,MATCH(ROWS($AF$2:AF698),$AF$2:$AF$1001,0),1)&gt;=100000,INDEX($AM$1005:$BM$1005,1,MATCH(COLUMNS($AM$1006:BG1006),$AM$1006:$BM$1006,0))&gt;=100000), " ",IF(INDEX($AM$2:$BM$1001,MATCH(ROWS($AF$2:AF698),$AF$2:$AF$1001,0),MATCH(COLUMNS($AM$1006:BG1006),$AM$1006:$BM$1006,0)), HYPERLINK("#",""), HYPERLINK(CONCATENATE("#metadata!", ADDRESS(INDEX($AH$2:$AH$1001,MATCH(ROWS($AF$2:AF698),$AF$2:$AF$1001,0),0), INDEX($AM$1004:$BM$1004,1,MATCH(COLUMNS($AM$1006:BG1006),$AM$1006:$BM$1006,0)))),"Fix")))</f>
        <v xml:space="preserve"> </v>
      </c>
      <c r="W698" s="4" t="str">
        <f ca="1">IF(OR(INDEX($AG$2:$AG$1001,MATCH(ROWS($AF$2:AF698),$AF$2:$AF$1001,0),1)&gt;=100000,INDEX($AM$1005:$BM$1005,1,MATCH(COLUMNS($AM$1006:BH1006),$AM$1006:$BM$1006,0))&gt;=100000), " ",IF(INDEX($AM$2:$BM$1001,MATCH(ROWS($AF$2:AF698),$AF$2:$AF$1001,0),MATCH(COLUMNS($AM$1006:BH1006),$AM$1006:$BM$1006,0)), HYPERLINK("#",""), HYPERLINK(CONCATENATE("#metadata!", ADDRESS(INDEX($AH$2:$AH$1001,MATCH(ROWS($AF$2:AF698),$AF$2:$AF$1001,0),0), INDEX($AM$1004:$BM$1004,1,MATCH(COLUMNS($AM$1006:BH1006),$AM$1006:$BM$1006,0)))),"Fix")))</f>
        <v xml:space="preserve"> </v>
      </c>
      <c r="X698" s="4" t="str">
        <f ca="1">IF(OR(INDEX($AG$2:$AG$1001,MATCH(ROWS($AF$2:AF698),$AF$2:$AF$1001,0),1)&gt;=100000,INDEX($AM$1005:$BM$1005,1,MATCH(COLUMNS($AM$1006:BI1006),$AM$1006:$BM$1006,0))&gt;=100000), " ",IF(INDEX($AM$2:$BM$1001,MATCH(ROWS($AF$2:AF698),$AF$2:$AF$1001,0),MATCH(COLUMNS($AM$1006:BI1006),$AM$1006:$BM$1006,0)), HYPERLINK("#",""), HYPERLINK(CONCATENATE("#metadata!", ADDRESS(INDEX($AH$2:$AH$1001,MATCH(ROWS($AF$2:AF698),$AF$2:$AF$1001,0),0), INDEX($AM$1004:$BM$1004,1,MATCH(COLUMNS($AM$1006:BI1006),$AM$1006:$BM$1006,0)))),"Fix")))</f>
        <v xml:space="preserve"> </v>
      </c>
      <c r="Y698" s="4" t="str">
        <f ca="1">IF(OR(INDEX($AG$2:$AG$1001,MATCH(ROWS($AF$2:AF698),$AF$2:$AF$1001,0),1)&gt;=100000,INDEX($AM$1005:$BM$1005,1,MATCH(COLUMNS($AM$1006:BJ1006),$AM$1006:$BM$1006,0))&gt;=100000), " ",IF(INDEX($AM$2:$BM$1001,MATCH(ROWS($AF$2:AF698),$AF$2:$AF$1001,0),MATCH(COLUMNS($AM$1006:BJ1006),$AM$1006:$BM$1006,0)), HYPERLINK("#",""), HYPERLINK(CONCATENATE("#metadata!", ADDRESS(INDEX($AH$2:$AH$1001,MATCH(ROWS($AF$2:AF698),$AF$2:$AF$1001,0),0), INDEX($AM$1004:$BM$1004,1,MATCH(COLUMNS($AM$1006:BJ1006),$AM$1006:$BM$1006,0)))),"Fix")))</f>
        <v xml:space="preserve"> </v>
      </c>
      <c r="Z698" s="4" t="str">
        <f ca="1">IF(OR(INDEX($AG$2:$AG$1001,MATCH(ROWS($AF$2:AF698),$AF$2:$AF$1001,0),1)&gt;=100000,INDEX($AM$1005:$BM$1005,1,MATCH(COLUMNS($AM$1006:BK1006),$AM$1006:$BM$1006,0))&gt;=100000), " ",IF(INDEX($AM$2:$BM$1001,MATCH(ROWS($AF$2:AF698),$AF$2:$AF$1001,0),MATCH(COLUMNS($AM$1006:BK1006),$AM$1006:$BM$1006,0)), HYPERLINK("#",""), HYPERLINK(CONCATENATE("#metadata!", ADDRESS(INDEX($AH$2:$AH$1001,MATCH(ROWS($AF$2:AF698),$AF$2:$AF$1001,0),0), INDEX($AM$1004:$BM$1004,1,MATCH(COLUMNS($AM$1006:BK1006),$AM$1006:$BM$1006,0)))),"Fix")))</f>
        <v xml:space="preserve"> </v>
      </c>
      <c r="AA698" s="4" t="str">
        <f ca="1">IF(OR(INDEX($AG$2:$AG$1001,MATCH(ROWS($AF$2:AF698),$AF$2:$AF$1001,0),1)&gt;=100000,INDEX($AM$1005:$BM$1005,1,MATCH(COLUMNS($AM$1006:BL1006),$AM$1006:$BM$1006,0))&gt;=100000), " ",IF(INDEX($AM$2:$BM$1001,MATCH(ROWS($AF$2:AF698),$AF$2:$AF$1001,0),MATCH(COLUMNS($AM$1006:BL1006),$AM$1006:$BM$1006,0)), HYPERLINK("#",""), HYPERLINK(CONCATENATE("#metadata!", ADDRESS(INDEX($AH$2:$AH$1001,MATCH(ROWS($AF$2:AF698),$AF$2:$AF$1001,0),0), INDEX($AM$1004:$BM$1004,1,MATCH(COLUMNS($AM$1006:BL1006),$AM$1006:$BM$1006,0)))),"Fix")))</f>
        <v xml:space="preserve"> </v>
      </c>
      <c r="AB698" s="4" t="str">
        <f ca="1">IF(OR(INDEX($AG$2:$AG$1001,MATCH(ROWS($AF$2:AF698),$AF$2:$AF$1001,0),1)&gt;=100000,INDEX($AM$1005:$BM$1005,1,MATCH(COLUMNS($AM$1006:BM1006),$AM$1006:$BM$1006,0))&gt;=100000), " ",IF(INDEX($AM$2:$BM$1001,MATCH(ROWS($AF$2:AF698),$AF$2:$AF$1001,0),MATCH(COLUMNS($AM$1006:BM1006),$AM$1006:$BM$1006,0)), HYPERLINK("#",""), HYPERLINK(CONCATENATE("#metadata!", ADDRESS(INDEX($AH$2:$AH$1001,MATCH(ROWS($AF$2:AF698),$AF$2:$AF$1001,0),0), INDEX($AM$1004:$BM$1004,1,MATCH(COLUMNS($AM$1006:BM1006),$AM$1006:$BM$1006,0)))),"Fix")))</f>
        <v xml:space="preserve"> </v>
      </c>
      <c r="AF698">
        <v>697</v>
      </c>
      <c r="AG698">
        <v>100698</v>
      </c>
      <c r="AH698">
        <v>698</v>
      </c>
      <c r="AI698" t="b">
        <f t="shared" si="10"/>
        <v>1</v>
      </c>
      <c r="AJ698" t="b">
        <f>COUNTBLANK(metadata!B698:AB698)=COLUMNS(metadata!B698:AB698)</f>
        <v>1</v>
      </c>
      <c r="AK698" t="str">
        <v/>
      </c>
      <c r="AM698" t="b">
        <f ca="1">AND(IF(metadata!B698="",FALSE,TRUE),COUNTIF(metadata!B:B, metadata!B698) = 1,NOT(ISERROR(SUMPRODUCT(SEARCH(MID(metadata!B698,ROW(INDIRECT("1:"&amp;LEN(metadata!B698))), 1),"0123456789abcdefghijklmnopqrstuvwxyzABCDEFGHIJKLMNOPQRSTUVWXYZ.")))))</f>
        <v>0</v>
      </c>
      <c r="AN698" t="b">
        <f ca="1">OR(AND(IF(metadata!C698="",FALSE,TRUE),OR(EXACT(metadata!C698,"missing: not collected"),EXACT(metadata!C698,"missing: not provided"),EXACT(metadata!C698,"missing: restricted access"))),AND(IF(metadata!C698="",FALSE,TRUE),AND(AND(IFERROR(INT(LEFT(metadata!C698,4))&gt;1900,FALSE),IFERROR(INT(LEFT(metadata!C698,4))&lt;=YEAR(NOW()),FALSE)), OR(MID(metadata!C698,5,1)="", AND(AND(MID(metadata!C698,5,1)="-",IFERROR(INT(MID(metadata!C698,6,1))&gt;=0,FALSE),IFERROR(INT(MID(metadata!C698,6,1))&lt;=1,FALSE),NOT(MID(metadata!C698,7,1)=""),IFERROR(INT(MID(metadata!C698,6,2))&gt;=1,FALSE),IFERROR(INT(MID(metadata!C698,6,2))&lt;=12,FALSE)), OR(MID(metadata!C698,8,1)="", AND(AND(MID(metadata!C698,8,1)="-",IFERROR(INT(MID(metadata!C698,9,1))&gt;=0,FALSE),IFERROR(INT(MID(metadata!C698,9,1))&lt;=3,FALSE),NOT(MID(metadata!C698,10,1)=""),IFERROR(INT(MID(metadata!C698,9,2))&gt;=1,FALSE),IFERROR(INT(MID(metadata!C698,9,2))&lt;=31,FALSE)), OR(MID(metadata!C698,11,1)="", AND(AND(MID(metadata!C698,11,1)=" ",IFERROR(INT(MID(metadata!C698,12,1))&gt;=0,FALSE),IFERROR(INT(MID(metadata!C698,12,1))&lt;=2,FALSE),NOT(MID(metadata!C698,13,1)=""),IFERROR(INT(MID(metadata!C698,12,2))&gt;=0,FALSE),IFERROR(INT(MID(metadata!C698,12,2))&lt;=23,FALSE)), OR(MID(metadata!C698,14,1)="", AND(AND(MID(metadata!C698,14,1)=":",IFERROR(INT(MID(metadata!C698,15,1))&gt;=0,FALSE),IFERROR(INT(MID(metadata!C698,15,1))&lt;=5,FALSE),NOT(MID(metadata!C698,16,1)=""),IFERROR(INT(MID(metadata!C698,15,2))&gt;=0,FALSE),IFERROR(INT(MID(metadata!C698,15,2))&lt;=59,FALSE)), OR(MID(metadata!C698,17,1)="", AND(AND(MID(metadata!C698,17,1)=":",IFERROR(INT(MID(metadata!C698,18,1))&gt;=0,FALSE),IFERROR(INT(MID(metadata!C698,18,1))&lt;=5,FALSE),NOT(MID(metadata!C698,19,1)=""),IFERROR(INT(MID(metadata!C698,18,2))&gt;=0,FALSE),IFERROR(INT(MID(metadata!C698,18,2))&lt;=59,FALSE)), LEN(metadata!C698)&lt;=19)))))))))))))</f>
        <v>0</v>
      </c>
      <c r="AO698" t="b">
        <f>AND(IF(metadata!D698="",FALSE,TRUE),EXACT(metadata!D698,"Not applicable"))</f>
        <v>0</v>
      </c>
      <c r="AP698" t="b">
        <f>IF(metadata!E698="",FALSE,TRUE)</f>
        <v>0</v>
      </c>
      <c r="AQ698" t="b">
        <f>OR(AND(IF(metadata!F698="",FALSE,TRUE),OR(EXACT(metadata!F698,"missing: not collected"),EXACT(metadata!F698,"missing: not provided"))),AND(IF(metadata!F698="",FALSE,TRUE),OR(EXACT(metadata!F698,"TRUE"),EXACT(metadata!F698,"FALSE"))))</f>
        <v>0</v>
      </c>
      <c r="AR698" t="b">
        <f>OR(AND(IF(metadata!G698="",FALSE,TRUE),OR(EXACT(metadata!G698,"missing: not collected"),EXACT(metadata!G698,"missing: not provided"),EXACT(metadata!G698,"missing: restricted access"))),AND(IF(metadata!G698="",FALSE,ISNUMBER(VALUE(metadata!G698))),metadata!G698&gt;=-413))</f>
        <v>0</v>
      </c>
      <c r="AS698" t="b">
        <f>AND(IF(metadata!H698="",FALSE,TRUE),EXACT(metadata!H698,"meters"))</f>
        <v>0</v>
      </c>
      <c r="AT698" t="b">
        <f>AND(IF(metadata!I698="",FALSE,TRUE),OR(EXACT(metadata!I698,"Host-associated"),EXACT(metadata!I698,"Free-living")))</f>
        <v>0</v>
      </c>
      <c r="AU698" t="b">
        <f>AND(IF(metadata!J698="",FALSE,TRUE),OR(EXACT(metadata!J698,"Animal"),EXACT(metadata!J698,"Fungus"),EXACT(metadata!J698,"Plant"),EXACT(metadata!J698,"Saline"),EXACT(metadata!J698,"Non-saline")))</f>
        <v>0</v>
      </c>
      <c r="AV698" t="b">
        <f>AND(IF(metadata!K698="",FALSE,TRUE),OR(EXACT(metadata!K698,"Plant secretion"),EXACT(metadata!K698,"Plant rhizosphere"),EXACT(metadata!K698,"Plant surface"),EXACT(metadata!K698,"Plant corpus"),EXACT(metadata!K698,"Fungus surface"),EXACT(metadata!K698,"Fungus corpus"),EXACT(metadata!K698,"Animal surface"),EXACT(metadata!K698,"Animal proximal gut"),EXACT(metadata!K698,"Animal corpus"),EXACT(metadata!K698,"Animal distal gut"),EXACT(metadata!K698,"Animal secretion"),EXACT(metadata!K698,"Sub-surface (non-saline)"),EXACT(metadata!K698,"Surface (non-saline)"),EXACT(metadata!K698,"Water (non-saline)"),EXACT(metadata!K698,"Soil (non-saline)"),EXACT(metadata!K698,"Aerosol (non-saline)"),EXACT(metadata!K698,"Sediment (non-saline)"),EXACT(metadata!K698,"Surface (saline)"),EXACT(metadata!K698,"Water (saline)"),EXACT(metadata!K698,"Hypersaline (saline)"),EXACT(metadata!K698,"Aerosol (saline)"),EXACT(metadata!K698,"Sediment (saline)")))</f>
        <v>0</v>
      </c>
      <c r="AW698" t="b">
        <f>IF(metadata!L698="",FALSE,TRUE)</f>
        <v>0</v>
      </c>
      <c r="AX698" t="b">
        <f>IF(metadata!M698="",FALSE,TRUE)</f>
        <v>0</v>
      </c>
      <c r="AY698" t="b">
        <f>IF(metadata!N698="",FALSE,TRUE)</f>
        <v>0</v>
      </c>
      <c r="AZ698" t="b">
        <f>OR(AND(IF(metadata!O698="",FALSE,TRUE),OR(EXACT(metadata!O698,"missing: not collected"),EXACT(metadata!O698,"missing: not provided"),EXACT(metadata!O698,"missing: restricted access"))),AND(IF(metadata!O698="",FALSE,TRUE),OR(EXACT(metadata!O698,"air"),EXACT(metadata!O698,"built environment"),EXACT(metadata!O698,"host-associated"),EXACT(metadata!O698,"human-associated"),EXACT(metadata!O698,"human-skin"),EXACT(metadata!O698,"human-oral"),EXACT(metadata!O698,"human-gut"),EXACT(metadata!O698,"human-vaginal"),EXACT(metadata!O698,"microbial mat/biofilm"),EXACT(metadata!O698,"misc environment"),EXACT(metadata!O698,"plant-associated"),EXACT(metadata!O698,"sediment"),EXACT(metadata!O698,"soil"),EXACT(metadata!O698,"wastewater/sludge"),EXACT(metadata!O698,"water"))))</f>
        <v>0</v>
      </c>
      <c r="BA698" t="b">
        <f>IF(metadata!P698="",FALSE,TRUE)</f>
        <v>0</v>
      </c>
      <c r="BB698" t="b">
        <f>IF(metadata!Q698="",FALSE,TRUE)</f>
        <v>0</v>
      </c>
      <c r="BC698" t="b">
        <f>OR(AND(IF(metadata!R698="",FALSE,TRUE),OR(EXACT(metadata!R698,"missing: not collected"),EXACT(metadata!R698,"missing: not provided"),EXACT(metadata!R698,"missing: restricted access"))),AND(IF(metadata!R698="",FALSE,ISNUMBER(VALUE(metadata!R698))),metadata!R698&gt;=-90,metadata!R698&lt;=90))</f>
        <v>0</v>
      </c>
      <c r="BD698" t="b">
        <f>AND(IF(metadata!S698="",FALSE,TRUE),EXACT(metadata!S698,"Decimal degrees"))</f>
        <v>0</v>
      </c>
      <c r="BE698" t="b">
        <f>OR(AND(IF(metadata!T698="",FALSE,TRUE),OR(EXACT(metadata!T698,"missing: not collected"),EXACT(metadata!T698,"missing: not provided"),EXACT(metadata!T698,"missing: restricted access"))),AND(IF(metadata!T698="",FALSE,ISNUMBER(VALUE(metadata!T698))),metadata!T698&gt;=-180,metadata!T698&lt;=180))</f>
        <v>0</v>
      </c>
      <c r="BF698" t="b">
        <f>AND(IF(metadata!U698="",FALSE,TRUE),EXACT(metadata!U698,"Decimal degrees"))</f>
        <v>0</v>
      </c>
      <c r="BG698" t="b">
        <f>IF(metadata!V698="",FALSE,TRUE)</f>
        <v>0</v>
      </c>
      <c r="BH698" t="b">
        <f>OR(AND(IF(metadata!W698="",FALSE,TRUE),OR(EXACT(metadata!W698,"missing: not collected"),EXACT(metadata!W698,"missing: not provided"),EXACT(metadata!W698,"missing: restricted access"))),AND(IF(metadata!W698="",FALSE,TRUE),OR(EXACT(metadata!W698,"TRUE"),EXACT(metadata!W698,"FALSE"))))</f>
        <v>0</v>
      </c>
      <c r="BI698" t="b">
        <f>AND(IF(metadata!X698="",FALSE,TRUE),EXACT(metadata!X698,"other"))</f>
        <v>0</v>
      </c>
      <c r="BJ698" t="b">
        <f>IF(metadata!Y698="",FALSE,TRUE)</f>
        <v>0</v>
      </c>
      <c r="BK698" t="b">
        <f>OR(AND(IF(metadata!Z698="",FALSE,TRUE),OR(EXACT(metadata!Z698,"missing: not collected"),EXACT(metadata!Z698,"missing: not provided"))),AND(IF(metadata!Z698="",FALSE,IF(ISERROR(INT(metadata!Z698)),FALSE,INT(metadata!Z698)=metadata!Z698)),metadata!Z698&gt;0))</f>
        <v>0</v>
      </c>
      <c r="BL698" t="b">
        <f>AND(IF(metadata!AA698="",FALSE,TRUE),EXACT(metadata!AA698,"Not applicable"))</f>
        <v>0</v>
      </c>
      <c r="BM698" t="b">
        <f>IF(metadata!AB698="",FALSE,TRUE)</f>
        <v>0</v>
      </c>
    </row>
    <row r="699" spans="1:65" x14ac:dyDescent="0.2">
      <c r="A699" s="5" t="str">
        <f ca="1">IF(B699=" "," ",HYPERLINK(CONCATENATE("#metadata!",ADDRESS(INDEX($AH$2:$AH$1001,MATCH(ROWS($AF$2:AF699),$AF$2:$AF$1001,0),0),1)),INDEX($AK$2:$AK$1001,MATCH(ROWS($AF$2:AF699),$AF$2:$AF$1001,0),0)))</f>
        <v xml:space="preserve"> </v>
      </c>
      <c r="B699" s="4" t="str">
        <f ca="1">IF(OR(INDEX($AG$2:$AG$1001,MATCH(ROWS($AF$2:AF699),$AF$2:$AF$1001,0),1)&gt;=100000,INDEX($AM$1005:$BM$1005,1,MATCH(COLUMNS($AM$1006:AM1006),$AM$1006:$BM$1006,0))&gt;=100000), " ",IF(INDEX($AM$2:$BM$1001,MATCH(ROWS($AF$2:AF699),$AF$2:$AF$1001,0),MATCH(COLUMNS($AM$1006:AM1006),$AM$1006:$BM$1006,0)), HYPERLINK("#",""), HYPERLINK(CONCATENATE("#metadata!", ADDRESS(INDEX($AH$2:$AH$1001,MATCH(ROWS($AF$2:AF699),$AF$2:$AF$1001,0),0), INDEX($AM$1004:$BM$1004,1,MATCH(COLUMNS($AM$1006:AM1006),$AM$1006:$BM$1006,0)))),"Fix")))</f>
        <v xml:space="preserve"> </v>
      </c>
      <c r="C699" s="4" t="str">
        <f ca="1">IF(OR(INDEX($AG$2:$AG$1001,MATCH(ROWS($AF$2:AF699),$AF$2:$AF$1001,0),1)&gt;=100000,INDEX($AM$1005:$BM$1005,1,MATCH(COLUMNS($AM$1006:AN1006),$AM$1006:$BM$1006,0))&gt;=100000), " ",IF(INDEX($AM$2:$BM$1001,MATCH(ROWS($AF$2:AF699),$AF$2:$AF$1001,0),MATCH(COLUMNS($AM$1006:AN1006),$AM$1006:$BM$1006,0)), HYPERLINK("#",""), HYPERLINK(CONCATENATE("#metadata!", ADDRESS(INDEX($AH$2:$AH$1001,MATCH(ROWS($AF$2:AF699),$AF$2:$AF$1001,0),0), INDEX($AM$1004:$BM$1004,1,MATCH(COLUMNS($AM$1006:AN1006),$AM$1006:$BM$1006,0)))),"Fix")))</f>
        <v xml:space="preserve"> </v>
      </c>
      <c r="D699" s="4" t="str">
        <f ca="1">IF(OR(INDEX($AG$2:$AG$1001,MATCH(ROWS($AF$2:AF699),$AF$2:$AF$1001,0),1)&gt;=100000,INDEX($AM$1005:$BM$1005,1,MATCH(COLUMNS($AM$1006:AO1006),$AM$1006:$BM$1006,0))&gt;=100000), " ",IF(INDEX($AM$2:$BM$1001,MATCH(ROWS($AF$2:AF699),$AF$2:$AF$1001,0),MATCH(COLUMNS($AM$1006:AO1006),$AM$1006:$BM$1006,0)), HYPERLINK("#",""), HYPERLINK(CONCATENATE("#metadata!", ADDRESS(INDEX($AH$2:$AH$1001,MATCH(ROWS($AF$2:AF699),$AF$2:$AF$1001,0),0), INDEX($AM$1004:$BM$1004,1,MATCH(COLUMNS($AM$1006:AO1006),$AM$1006:$BM$1006,0)))),"Fix")))</f>
        <v xml:space="preserve"> </v>
      </c>
      <c r="E699" s="4" t="str">
        <f ca="1">IF(OR(INDEX($AG$2:$AG$1001,MATCH(ROWS($AF$2:AF699),$AF$2:$AF$1001,0),1)&gt;=100000,INDEX($AM$1005:$BM$1005,1,MATCH(COLUMNS($AM$1006:AP1006),$AM$1006:$BM$1006,0))&gt;=100000), " ",IF(INDEX($AM$2:$BM$1001,MATCH(ROWS($AF$2:AF699),$AF$2:$AF$1001,0),MATCH(COLUMNS($AM$1006:AP1006),$AM$1006:$BM$1006,0)), HYPERLINK("#",""), HYPERLINK(CONCATENATE("#metadata!", ADDRESS(INDEX($AH$2:$AH$1001,MATCH(ROWS($AF$2:AF699),$AF$2:$AF$1001,0),0), INDEX($AM$1004:$BM$1004,1,MATCH(COLUMNS($AM$1006:AP1006),$AM$1006:$BM$1006,0)))),"Fix")))</f>
        <v xml:space="preserve"> </v>
      </c>
      <c r="F699" s="4" t="str">
        <f ca="1">IF(OR(INDEX($AG$2:$AG$1001,MATCH(ROWS($AF$2:AF699),$AF$2:$AF$1001,0),1)&gt;=100000,INDEX($AM$1005:$BM$1005,1,MATCH(COLUMNS($AM$1006:AQ1006),$AM$1006:$BM$1006,0))&gt;=100000), " ",IF(INDEX($AM$2:$BM$1001,MATCH(ROWS($AF$2:AF699),$AF$2:$AF$1001,0),MATCH(COLUMNS($AM$1006:AQ1006),$AM$1006:$BM$1006,0)), HYPERLINK("#",""), HYPERLINK(CONCATENATE("#metadata!", ADDRESS(INDEX($AH$2:$AH$1001,MATCH(ROWS($AF$2:AF699),$AF$2:$AF$1001,0),0), INDEX($AM$1004:$BM$1004,1,MATCH(COLUMNS($AM$1006:AQ1006),$AM$1006:$BM$1006,0)))),"Fix")))</f>
        <v xml:space="preserve"> </v>
      </c>
      <c r="G699" s="4" t="str">
        <f ca="1">IF(OR(INDEX($AG$2:$AG$1001,MATCH(ROWS($AF$2:AF699),$AF$2:$AF$1001,0),1)&gt;=100000,INDEX($AM$1005:$BM$1005,1,MATCH(COLUMNS($AM$1006:AR1006),$AM$1006:$BM$1006,0))&gt;=100000), " ",IF(INDEX($AM$2:$BM$1001,MATCH(ROWS($AF$2:AF699),$AF$2:$AF$1001,0),MATCH(COLUMNS($AM$1006:AR1006),$AM$1006:$BM$1006,0)), HYPERLINK("#",""), HYPERLINK(CONCATENATE("#metadata!", ADDRESS(INDEX($AH$2:$AH$1001,MATCH(ROWS($AF$2:AF699),$AF$2:$AF$1001,0),0), INDEX($AM$1004:$BM$1004,1,MATCH(COLUMNS($AM$1006:AR1006),$AM$1006:$BM$1006,0)))),"Fix")))</f>
        <v xml:space="preserve"> </v>
      </c>
      <c r="H699" s="4" t="str">
        <f ca="1">IF(OR(INDEX($AG$2:$AG$1001,MATCH(ROWS($AF$2:AF699),$AF$2:$AF$1001,0),1)&gt;=100000,INDEX($AM$1005:$BM$1005,1,MATCH(COLUMNS($AM$1006:AS1006),$AM$1006:$BM$1006,0))&gt;=100000), " ",IF(INDEX($AM$2:$BM$1001,MATCH(ROWS($AF$2:AF699),$AF$2:$AF$1001,0),MATCH(COLUMNS($AM$1006:AS1006),$AM$1006:$BM$1006,0)), HYPERLINK("#",""), HYPERLINK(CONCATENATE("#metadata!", ADDRESS(INDEX($AH$2:$AH$1001,MATCH(ROWS($AF$2:AF699),$AF$2:$AF$1001,0),0), INDEX($AM$1004:$BM$1004,1,MATCH(COLUMNS($AM$1006:AS1006),$AM$1006:$BM$1006,0)))),"Fix")))</f>
        <v xml:space="preserve"> </v>
      </c>
      <c r="I699" s="4" t="str">
        <f ca="1">IF(OR(INDEX($AG$2:$AG$1001,MATCH(ROWS($AF$2:AF699),$AF$2:$AF$1001,0),1)&gt;=100000,INDEX($AM$1005:$BM$1005,1,MATCH(COLUMNS($AM$1006:AT1006),$AM$1006:$BM$1006,0))&gt;=100000), " ",IF(INDEX($AM$2:$BM$1001,MATCH(ROWS($AF$2:AF699),$AF$2:$AF$1001,0),MATCH(COLUMNS($AM$1006:AT1006),$AM$1006:$BM$1006,0)), HYPERLINK("#",""), HYPERLINK(CONCATENATE("#metadata!", ADDRESS(INDEX($AH$2:$AH$1001,MATCH(ROWS($AF$2:AF699),$AF$2:$AF$1001,0),0), INDEX($AM$1004:$BM$1004,1,MATCH(COLUMNS($AM$1006:AT1006),$AM$1006:$BM$1006,0)))),"Fix")))</f>
        <v xml:space="preserve"> </v>
      </c>
      <c r="J699" s="4" t="str">
        <f ca="1">IF(OR(INDEX($AG$2:$AG$1001,MATCH(ROWS($AF$2:AF699),$AF$2:$AF$1001,0),1)&gt;=100000,INDEX($AM$1005:$BM$1005,1,MATCH(COLUMNS($AM$1006:AU1006),$AM$1006:$BM$1006,0))&gt;=100000), " ",IF(INDEX($AM$2:$BM$1001,MATCH(ROWS($AF$2:AF699),$AF$2:$AF$1001,0),MATCH(COLUMNS($AM$1006:AU1006),$AM$1006:$BM$1006,0)), HYPERLINK("#",""), HYPERLINK(CONCATENATE("#metadata!", ADDRESS(INDEX($AH$2:$AH$1001,MATCH(ROWS($AF$2:AF699),$AF$2:$AF$1001,0),0), INDEX($AM$1004:$BM$1004,1,MATCH(COLUMNS($AM$1006:AU1006),$AM$1006:$BM$1006,0)))),"Fix")))</f>
        <v xml:space="preserve"> </v>
      </c>
      <c r="K699" s="4" t="str">
        <f ca="1">IF(OR(INDEX($AG$2:$AG$1001,MATCH(ROWS($AF$2:AF699),$AF$2:$AF$1001,0),1)&gt;=100000,INDEX($AM$1005:$BM$1005,1,MATCH(COLUMNS($AM$1006:AV1006),$AM$1006:$BM$1006,0))&gt;=100000), " ",IF(INDEX($AM$2:$BM$1001,MATCH(ROWS($AF$2:AF699),$AF$2:$AF$1001,0),MATCH(COLUMNS($AM$1006:AV1006),$AM$1006:$BM$1006,0)), HYPERLINK("#",""), HYPERLINK(CONCATENATE("#metadata!", ADDRESS(INDEX($AH$2:$AH$1001,MATCH(ROWS($AF$2:AF699),$AF$2:$AF$1001,0),0), INDEX($AM$1004:$BM$1004,1,MATCH(COLUMNS($AM$1006:AV1006),$AM$1006:$BM$1006,0)))),"Fix")))</f>
        <v xml:space="preserve"> </v>
      </c>
      <c r="L699" s="4" t="str">
        <f ca="1">IF(OR(INDEX($AG$2:$AG$1001,MATCH(ROWS($AF$2:AF699),$AF$2:$AF$1001,0),1)&gt;=100000,INDEX($AM$1005:$BM$1005,1,MATCH(COLUMNS($AM$1006:AW1006),$AM$1006:$BM$1006,0))&gt;=100000), " ",IF(INDEX($AM$2:$BM$1001,MATCH(ROWS($AF$2:AF699),$AF$2:$AF$1001,0),MATCH(COLUMNS($AM$1006:AW1006),$AM$1006:$BM$1006,0)), HYPERLINK("#",""), HYPERLINK(CONCATENATE("#metadata!", ADDRESS(INDEX($AH$2:$AH$1001,MATCH(ROWS($AF$2:AF699),$AF$2:$AF$1001,0),0), INDEX($AM$1004:$BM$1004,1,MATCH(COLUMNS($AM$1006:AW1006),$AM$1006:$BM$1006,0)))),"Fix")))</f>
        <v xml:space="preserve"> </v>
      </c>
      <c r="M699" s="4" t="str">
        <f ca="1">IF(OR(INDEX($AG$2:$AG$1001,MATCH(ROWS($AF$2:AF699),$AF$2:$AF$1001,0),1)&gt;=100000,INDEX($AM$1005:$BM$1005,1,MATCH(COLUMNS($AM$1006:AX1006),$AM$1006:$BM$1006,0))&gt;=100000), " ",IF(INDEX($AM$2:$BM$1001,MATCH(ROWS($AF$2:AF699),$AF$2:$AF$1001,0),MATCH(COLUMNS($AM$1006:AX1006),$AM$1006:$BM$1006,0)), HYPERLINK("#",""), HYPERLINK(CONCATENATE("#metadata!", ADDRESS(INDEX($AH$2:$AH$1001,MATCH(ROWS($AF$2:AF699),$AF$2:$AF$1001,0),0), INDEX($AM$1004:$BM$1004,1,MATCH(COLUMNS($AM$1006:AX1006),$AM$1006:$BM$1006,0)))),"Fix")))</f>
        <v xml:space="preserve"> </v>
      </c>
      <c r="N699" s="4" t="str">
        <f ca="1">IF(OR(INDEX($AG$2:$AG$1001,MATCH(ROWS($AF$2:AF699),$AF$2:$AF$1001,0),1)&gt;=100000,INDEX($AM$1005:$BM$1005,1,MATCH(COLUMNS($AM$1006:AY1006),$AM$1006:$BM$1006,0))&gt;=100000), " ",IF(INDEX($AM$2:$BM$1001,MATCH(ROWS($AF$2:AF699),$AF$2:$AF$1001,0),MATCH(COLUMNS($AM$1006:AY1006),$AM$1006:$BM$1006,0)), HYPERLINK("#",""), HYPERLINK(CONCATENATE("#metadata!", ADDRESS(INDEX($AH$2:$AH$1001,MATCH(ROWS($AF$2:AF699),$AF$2:$AF$1001,0),0), INDEX($AM$1004:$BM$1004,1,MATCH(COLUMNS($AM$1006:AY1006),$AM$1006:$BM$1006,0)))),"Fix")))</f>
        <v xml:space="preserve"> </v>
      </c>
      <c r="O699" s="4" t="str">
        <f ca="1">IF(OR(INDEX($AG$2:$AG$1001,MATCH(ROWS($AF$2:AF699),$AF$2:$AF$1001,0),1)&gt;=100000,INDEX($AM$1005:$BM$1005,1,MATCH(COLUMNS($AM$1006:AZ1006),$AM$1006:$BM$1006,0))&gt;=100000), " ",IF(INDEX($AM$2:$BM$1001,MATCH(ROWS($AF$2:AF699),$AF$2:$AF$1001,0),MATCH(COLUMNS($AM$1006:AZ1006),$AM$1006:$BM$1006,0)), HYPERLINK("#",""), HYPERLINK(CONCATENATE("#metadata!", ADDRESS(INDEX($AH$2:$AH$1001,MATCH(ROWS($AF$2:AF699),$AF$2:$AF$1001,0),0), INDEX($AM$1004:$BM$1004,1,MATCH(COLUMNS($AM$1006:AZ1006),$AM$1006:$BM$1006,0)))),"Fix")))</f>
        <v xml:space="preserve"> </v>
      </c>
      <c r="P699" s="4" t="str">
        <f ca="1">IF(OR(INDEX($AG$2:$AG$1001,MATCH(ROWS($AF$2:AF699),$AF$2:$AF$1001,0),1)&gt;=100000,INDEX($AM$1005:$BM$1005,1,MATCH(COLUMNS($AM$1006:BA1006),$AM$1006:$BM$1006,0))&gt;=100000), " ",IF(INDEX($AM$2:$BM$1001,MATCH(ROWS($AF$2:AF699),$AF$2:$AF$1001,0),MATCH(COLUMNS($AM$1006:BA1006),$AM$1006:$BM$1006,0)), HYPERLINK("#",""), HYPERLINK(CONCATENATE("#metadata!", ADDRESS(INDEX($AH$2:$AH$1001,MATCH(ROWS($AF$2:AF699),$AF$2:$AF$1001,0),0), INDEX($AM$1004:$BM$1004,1,MATCH(COLUMNS($AM$1006:BA1006),$AM$1006:$BM$1006,0)))),"Fix")))</f>
        <v xml:space="preserve"> </v>
      </c>
      <c r="Q699" s="4" t="str">
        <f ca="1">IF(OR(INDEX($AG$2:$AG$1001,MATCH(ROWS($AF$2:AF699),$AF$2:$AF$1001,0),1)&gt;=100000,INDEX($AM$1005:$BM$1005,1,MATCH(COLUMNS($AM$1006:BB1006),$AM$1006:$BM$1006,0))&gt;=100000), " ",IF(INDEX($AM$2:$BM$1001,MATCH(ROWS($AF$2:AF699),$AF$2:$AF$1001,0),MATCH(COLUMNS($AM$1006:BB1006),$AM$1006:$BM$1006,0)), HYPERLINK("#",""), HYPERLINK(CONCATENATE("#metadata!", ADDRESS(INDEX($AH$2:$AH$1001,MATCH(ROWS($AF$2:AF699),$AF$2:$AF$1001,0),0), INDEX($AM$1004:$BM$1004,1,MATCH(COLUMNS($AM$1006:BB1006),$AM$1006:$BM$1006,0)))),"Fix")))</f>
        <v xml:space="preserve"> </v>
      </c>
      <c r="R699" s="4" t="str">
        <f ca="1">IF(OR(INDEX($AG$2:$AG$1001,MATCH(ROWS($AF$2:AF699),$AF$2:$AF$1001,0),1)&gt;=100000,INDEX($AM$1005:$BM$1005,1,MATCH(COLUMNS($AM$1006:BC1006),$AM$1006:$BM$1006,0))&gt;=100000), " ",IF(INDEX($AM$2:$BM$1001,MATCH(ROWS($AF$2:AF699),$AF$2:$AF$1001,0),MATCH(COLUMNS($AM$1006:BC1006),$AM$1006:$BM$1006,0)), HYPERLINK("#",""), HYPERLINK(CONCATENATE("#metadata!", ADDRESS(INDEX($AH$2:$AH$1001,MATCH(ROWS($AF$2:AF699),$AF$2:$AF$1001,0),0), INDEX($AM$1004:$BM$1004,1,MATCH(COLUMNS($AM$1006:BC1006),$AM$1006:$BM$1006,0)))),"Fix")))</f>
        <v xml:space="preserve"> </v>
      </c>
      <c r="S699" s="4" t="str">
        <f ca="1">IF(OR(INDEX($AG$2:$AG$1001,MATCH(ROWS($AF$2:AF699),$AF$2:$AF$1001,0),1)&gt;=100000,INDEX($AM$1005:$BM$1005,1,MATCH(COLUMNS($AM$1006:BD1006),$AM$1006:$BM$1006,0))&gt;=100000), " ",IF(INDEX($AM$2:$BM$1001,MATCH(ROWS($AF$2:AF699),$AF$2:$AF$1001,0),MATCH(COLUMNS($AM$1006:BD1006),$AM$1006:$BM$1006,0)), HYPERLINK("#",""), HYPERLINK(CONCATENATE("#metadata!", ADDRESS(INDEX($AH$2:$AH$1001,MATCH(ROWS($AF$2:AF699),$AF$2:$AF$1001,0),0), INDEX($AM$1004:$BM$1004,1,MATCH(COLUMNS($AM$1006:BD1006),$AM$1006:$BM$1006,0)))),"Fix")))</f>
        <v xml:space="preserve"> </v>
      </c>
      <c r="T699" s="4" t="str">
        <f ca="1">IF(OR(INDEX($AG$2:$AG$1001,MATCH(ROWS($AF$2:AF699),$AF$2:$AF$1001,0),1)&gt;=100000,INDEX($AM$1005:$BM$1005,1,MATCH(COLUMNS($AM$1006:BE1006),$AM$1006:$BM$1006,0))&gt;=100000), " ",IF(INDEX($AM$2:$BM$1001,MATCH(ROWS($AF$2:AF699),$AF$2:$AF$1001,0),MATCH(COLUMNS($AM$1006:BE1006),$AM$1006:$BM$1006,0)), HYPERLINK("#",""), HYPERLINK(CONCATENATE("#metadata!", ADDRESS(INDEX($AH$2:$AH$1001,MATCH(ROWS($AF$2:AF699),$AF$2:$AF$1001,0),0), INDEX($AM$1004:$BM$1004,1,MATCH(COLUMNS($AM$1006:BE1006),$AM$1006:$BM$1006,0)))),"Fix")))</f>
        <v xml:space="preserve"> </v>
      </c>
      <c r="U699" s="4" t="str">
        <f ca="1">IF(OR(INDEX($AG$2:$AG$1001,MATCH(ROWS($AF$2:AF699),$AF$2:$AF$1001,0),1)&gt;=100000,INDEX($AM$1005:$BM$1005,1,MATCH(COLUMNS($AM$1006:BF1006),$AM$1006:$BM$1006,0))&gt;=100000), " ",IF(INDEX($AM$2:$BM$1001,MATCH(ROWS($AF$2:AF699),$AF$2:$AF$1001,0),MATCH(COLUMNS($AM$1006:BF1006),$AM$1006:$BM$1006,0)), HYPERLINK("#",""), HYPERLINK(CONCATENATE("#metadata!", ADDRESS(INDEX($AH$2:$AH$1001,MATCH(ROWS($AF$2:AF699),$AF$2:$AF$1001,0),0), INDEX($AM$1004:$BM$1004,1,MATCH(COLUMNS($AM$1006:BF1006),$AM$1006:$BM$1006,0)))),"Fix")))</f>
        <v xml:space="preserve"> </v>
      </c>
      <c r="V699" s="4" t="str">
        <f ca="1">IF(OR(INDEX($AG$2:$AG$1001,MATCH(ROWS($AF$2:AF699),$AF$2:$AF$1001,0),1)&gt;=100000,INDEX($AM$1005:$BM$1005,1,MATCH(COLUMNS($AM$1006:BG1006),$AM$1006:$BM$1006,0))&gt;=100000), " ",IF(INDEX($AM$2:$BM$1001,MATCH(ROWS($AF$2:AF699),$AF$2:$AF$1001,0),MATCH(COLUMNS($AM$1006:BG1006),$AM$1006:$BM$1006,0)), HYPERLINK("#",""), HYPERLINK(CONCATENATE("#metadata!", ADDRESS(INDEX($AH$2:$AH$1001,MATCH(ROWS($AF$2:AF699),$AF$2:$AF$1001,0),0), INDEX($AM$1004:$BM$1004,1,MATCH(COLUMNS($AM$1006:BG1006),$AM$1006:$BM$1006,0)))),"Fix")))</f>
        <v xml:space="preserve"> </v>
      </c>
      <c r="W699" s="4" t="str">
        <f ca="1">IF(OR(INDEX($AG$2:$AG$1001,MATCH(ROWS($AF$2:AF699),$AF$2:$AF$1001,0),1)&gt;=100000,INDEX($AM$1005:$BM$1005,1,MATCH(COLUMNS($AM$1006:BH1006),$AM$1006:$BM$1006,0))&gt;=100000), " ",IF(INDEX($AM$2:$BM$1001,MATCH(ROWS($AF$2:AF699),$AF$2:$AF$1001,0),MATCH(COLUMNS($AM$1006:BH1006),$AM$1006:$BM$1006,0)), HYPERLINK("#",""), HYPERLINK(CONCATENATE("#metadata!", ADDRESS(INDEX($AH$2:$AH$1001,MATCH(ROWS($AF$2:AF699),$AF$2:$AF$1001,0),0), INDEX($AM$1004:$BM$1004,1,MATCH(COLUMNS($AM$1006:BH1006),$AM$1006:$BM$1006,0)))),"Fix")))</f>
        <v xml:space="preserve"> </v>
      </c>
      <c r="X699" s="4" t="str">
        <f ca="1">IF(OR(INDEX($AG$2:$AG$1001,MATCH(ROWS($AF$2:AF699),$AF$2:$AF$1001,0),1)&gt;=100000,INDEX($AM$1005:$BM$1005,1,MATCH(COLUMNS($AM$1006:BI1006),$AM$1006:$BM$1006,0))&gt;=100000), " ",IF(INDEX($AM$2:$BM$1001,MATCH(ROWS($AF$2:AF699),$AF$2:$AF$1001,0),MATCH(COLUMNS($AM$1006:BI1006),$AM$1006:$BM$1006,0)), HYPERLINK("#",""), HYPERLINK(CONCATENATE("#metadata!", ADDRESS(INDEX($AH$2:$AH$1001,MATCH(ROWS($AF$2:AF699),$AF$2:$AF$1001,0),0), INDEX($AM$1004:$BM$1004,1,MATCH(COLUMNS($AM$1006:BI1006),$AM$1006:$BM$1006,0)))),"Fix")))</f>
        <v xml:space="preserve"> </v>
      </c>
      <c r="Y699" s="4" t="str">
        <f ca="1">IF(OR(INDEX($AG$2:$AG$1001,MATCH(ROWS($AF$2:AF699),$AF$2:$AF$1001,0),1)&gt;=100000,INDEX($AM$1005:$BM$1005,1,MATCH(COLUMNS($AM$1006:BJ1006),$AM$1006:$BM$1006,0))&gt;=100000), " ",IF(INDEX($AM$2:$BM$1001,MATCH(ROWS($AF$2:AF699),$AF$2:$AF$1001,0),MATCH(COLUMNS($AM$1006:BJ1006),$AM$1006:$BM$1006,0)), HYPERLINK("#",""), HYPERLINK(CONCATENATE("#metadata!", ADDRESS(INDEX($AH$2:$AH$1001,MATCH(ROWS($AF$2:AF699),$AF$2:$AF$1001,0),0), INDEX($AM$1004:$BM$1004,1,MATCH(COLUMNS($AM$1006:BJ1006),$AM$1006:$BM$1006,0)))),"Fix")))</f>
        <v xml:space="preserve"> </v>
      </c>
      <c r="Z699" s="4" t="str">
        <f ca="1">IF(OR(INDEX($AG$2:$AG$1001,MATCH(ROWS($AF$2:AF699),$AF$2:$AF$1001,0),1)&gt;=100000,INDEX($AM$1005:$BM$1005,1,MATCH(COLUMNS($AM$1006:BK1006),$AM$1006:$BM$1006,0))&gt;=100000), " ",IF(INDEX($AM$2:$BM$1001,MATCH(ROWS($AF$2:AF699),$AF$2:$AF$1001,0),MATCH(COLUMNS($AM$1006:BK1006),$AM$1006:$BM$1006,0)), HYPERLINK("#",""), HYPERLINK(CONCATENATE("#metadata!", ADDRESS(INDEX($AH$2:$AH$1001,MATCH(ROWS($AF$2:AF699),$AF$2:$AF$1001,0),0), INDEX($AM$1004:$BM$1004,1,MATCH(COLUMNS($AM$1006:BK1006),$AM$1006:$BM$1006,0)))),"Fix")))</f>
        <v xml:space="preserve"> </v>
      </c>
      <c r="AA699" s="4" t="str">
        <f ca="1">IF(OR(INDEX($AG$2:$AG$1001,MATCH(ROWS($AF$2:AF699),$AF$2:$AF$1001,0),1)&gt;=100000,INDEX($AM$1005:$BM$1005,1,MATCH(COLUMNS($AM$1006:BL1006),$AM$1006:$BM$1006,0))&gt;=100000), " ",IF(INDEX($AM$2:$BM$1001,MATCH(ROWS($AF$2:AF699),$AF$2:$AF$1001,0),MATCH(COLUMNS($AM$1006:BL1006),$AM$1006:$BM$1006,0)), HYPERLINK("#",""), HYPERLINK(CONCATENATE("#metadata!", ADDRESS(INDEX($AH$2:$AH$1001,MATCH(ROWS($AF$2:AF699),$AF$2:$AF$1001,0),0), INDEX($AM$1004:$BM$1004,1,MATCH(COLUMNS($AM$1006:BL1006),$AM$1006:$BM$1006,0)))),"Fix")))</f>
        <v xml:space="preserve"> </v>
      </c>
      <c r="AB699" s="4" t="str">
        <f ca="1">IF(OR(INDEX($AG$2:$AG$1001,MATCH(ROWS($AF$2:AF699),$AF$2:$AF$1001,0),1)&gt;=100000,INDEX($AM$1005:$BM$1005,1,MATCH(COLUMNS($AM$1006:BM1006),$AM$1006:$BM$1006,0))&gt;=100000), " ",IF(INDEX($AM$2:$BM$1001,MATCH(ROWS($AF$2:AF699),$AF$2:$AF$1001,0),MATCH(COLUMNS($AM$1006:BM1006),$AM$1006:$BM$1006,0)), HYPERLINK("#",""), HYPERLINK(CONCATENATE("#metadata!", ADDRESS(INDEX($AH$2:$AH$1001,MATCH(ROWS($AF$2:AF699),$AF$2:$AF$1001,0),0), INDEX($AM$1004:$BM$1004,1,MATCH(COLUMNS($AM$1006:BM1006),$AM$1006:$BM$1006,0)))),"Fix")))</f>
        <v xml:space="preserve"> </v>
      </c>
      <c r="AF699">
        <v>698</v>
      </c>
      <c r="AG699">
        <v>100699</v>
      </c>
      <c r="AH699">
        <v>699</v>
      </c>
      <c r="AI699" t="b">
        <f t="shared" si="10"/>
        <v>1</v>
      </c>
      <c r="AJ699" t="b">
        <f>COUNTBLANK(metadata!B699:AB699)=COLUMNS(metadata!B699:AB699)</f>
        <v>1</v>
      </c>
      <c r="AK699" t="str">
        <v/>
      </c>
      <c r="AM699" t="b">
        <f ca="1">AND(IF(metadata!B699="",FALSE,TRUE),COUNTIF(metadata!B:B, metadata!B699) = 1,NOT(ISERROR(SUMPRODUCT(SEARCH(MID(metadata!B699,ROW(INDIRECT("1:"&amp;LEN(metadata!B699))), 1),"0123456789abcdefghijklmnopqrstuvwxyzABCDEFGHIJKLMNOPQRSTUVWXYZ.")))))</f>
        <v>0</v>
      </c>
      <c r="AN699" t="b">
        <f ca="1">OR(AND(IF(metadata!C699="",FALSE,TRUE),OR(EXACT(metadata!C699,"missing: not collected"),EXACT(metadata!C699,"missing: not provided"),EXACT(metadata!C699,"missing: restricted access"))),AND(IF(metadata!C699="",FALSE,TRUE),AND(AND(IFERROR(INT(LEFT(metadata!C699,4))&gt;1900,FALSE),IFERROR(INT(LEFT(metadata!C699,4))&lt;=YEAR(NOW()),FALSE)), OR(MID(metadata!C699,5,1)="", AND(AND(MID(metadata!C699,5,1)="-",IFERROR(INT(MID(metadata!C699,6,1))&gt;=0,FALSE),IFERROR(INT(MID(metadata!C699,6,1))&lt;=1,FALSE),NOT(MID(metadata!C699,7,1)=""),IFERROR(INT(MID(metadata!C699,6,2))&gt;=1,FALSE),IFERROR(INT(MID(metadata!C699,6,2))&lt;=12,FALSE)), OR(MID(metadata!C699,8,1)="", AND(AND(MID(metadata!C699,8,1)="-",IFERROR(INT(MID(metadata!C699,9,1))&gt;=0,FALSE),IFERROR(INT(MID(metadata!C699,9,1))&lt;=3,FALSE),NOT(MID(metadata!C699,10,1)=""),IFERROR(INT(MID(metadata!C699,9,2))&gt;=1,FALSE),IFERROR(INT(MID(metadata!C699,9,2))&lt;=31,FALSE)), OR(MID(metadata!C699,11,1)="", AND(AND(MID(metadata!C699,11,1)=" ",IFERROR(INT(MID(metadata!C699,12,1))&gt;=0,FALSE),IFERROR(INT(MID(metadata!C699,12,1))&lt;=2,FALSE),NOT(MID(metadata!C699,13,1)=""),IFERROR(INT(MID(metadata!C699,12,2))&gt;=0,FALSE),IFERROR(INT(MID(metadata!C699,12,2))&lt;=23,FALSE)), OR(MID(metadata!C699,14,1)="", AND(AND(MID(metadata!C699,14,1)=":",IFERROR(INT(MID(metadata!C699,15,1))&gt;=0,FALSE),IFERROR(INT(MID(metadata!C699,15,1))&lt;=5,FALSE),NOT(MID(metadata!C699,16,1)=""),IFERROR(INT(MID(metadata!C699,15,2))&gt;=0,FALSE),IFERROR(INT(MID(metadata!C699,15,2))&lt;=59,FALSE)), OR(MID(metadata!C699,17,1)="", AND(AND(MID(metadata!C699,17,1)=":",IFERROR(INT(MID(metadata!C699,18,1))&gt;=0,FALSE),IFERROR(INT(MID(metadata!C699,18,1))&lt;=5,FALSE),NOT(MID(metadata!C699,19,1)=""),IFERROR(INT(MID(metadata!C699,18,2))&gt;=0,FALSE),IFERROR(INT(MID(metadata!C699,18,2))&lt;=59,FALSE)), LEN(metadata!C699)&lt;=19)))))))))))))</f>
        <v>0</v>
      </c>
      <c r="AO699" t="b">
        <f>AND(IF(metadata!D699="",FALSE,TRUE),EXACT(metadata!D699,"Not applicable"))</f>
        <v>0</v>
      </c>
      <c r="AP699" t="b">
        <f>IF(metadata!E699="",FALSE,TRUE)</f>
        <v>0</v>
      </c>
      <c r="AQ699" t="b">
        <f>OR(AND(IF(metadata!F699="",FALSE,TRUE),OR(EXACT(metadata!F699,"missing: not collected"),EXACT(metadata!F699,"missing: not provided"))),AND(IF(metadata!F699="",FALSE,TRUE),OR(EXACT(metadata!F699,"TRUE"),EXACT(metadata!F699,"FALSE"))))</f>
        <v>0</v>
      </c>
      <c r="AR699" t="b">
        <f>OR(AND(IF(metadata!G699="",FALSE,TRUE),OR(EXACT(metadata!G699,"missing: not collected"),EXACT(metadata!G699,"missing: not provided"),EXACT(metadata!G699,"missing: restricted access"))),AND(IF(metadata!G699="",FALSE,ISNUMBER(VALUE(metadata!G699))),metadata!G699&gt;=-413))</f>
        <v>0</v>
      </c>
      <c r="AS699" t="b">
        <f>AND(IF(metadata!H699="",FALSE,TRUE),EXACT(metadata!H699,"meters"))</f>
        <v>0</v>
      </c>
      <c r="AT699" t="b">
        <f>AND(IF(metadata!I699="",FALSE,TRUE),OR(EXACT(metadata!I699,"Host-associated"),EXACT(metadata!I699,"Free-living")))</f>
        <v>0</v>
      </c>
      <c r="AU699" t="b">
        <f>AND(IF(metadata!J699="",FALSE,TRUE),OR(EXACT(metadata!J699,"Animal"),EXACT(metadata!J699,"Fungus"),EXACT(metadata!J699,"Plant"),EXACT(metadata!J699,"Saline"),EXACT(metadata!J699,"Non-saline")))</f>
        <v>0</v>
      </c>
      <c r="AV699" t="b">
        <f>AND(IF(metadata!K699="",FALSE,TRUE),OR(EXACT(metadata!K699,"Plant secretion"),EXACT(metadata!K699,"Plant rhizosphere"),EXACT(metadata!K699,"Plant surface"),EXACT(metadata!K699,"Plant corpus"),EXACT(metadata!K699,"Fungus surface"),EXACT(metadata!K699,"Fungus corpus"),EXACT(metadata!K699,"Animal surface"),EXACT(metadata!K699,"Animal proximal gut"),EXACT(metadata!K699,"Animal corpus"),EXACT(metadata!K699,"Animal distal gut"),EXACT(metadata!K699,"Animal secretion"),EXACT(metadata!K699,"Sub-surface (non-saline)"),EXACT(metadata!K699,"Surface (non-saline)"),EXACT(metadata!K699,"Water (non-saline)"),EXACT(metadata!K699,"Soil (non-saline)"),EXACT(metadata!K699,"Aerosol (non-saline)"),EXACT(metadata!K699,"Sediment (non-saline)"),EXACT(metadata!K699,"Surface (saline)"),EXACT(metadata!K699,"Water (saline)"),EXACT(metadata!K699,"Hypersaline (saline)"),EXACT(metadata!K699,"Aerosol (saline)"),EXACT(metadata!K699,"Sediment (saline)")))</f>
        <v>0</v>
      </c>
      <c r="AW699" t="b">
        <f>IF(metadata!L699="",FALSE,TRUE)</f>
        <v>0</v>
      </c>
      <c r="AX699" t="b">
        <f>IF(metadata!M699="",FALSE,TRUE)</f>
        <v>0</v>
      </c>
      <c r="AY699" t="b">
        <f>IF(metadata!N699="",FALSE,TRUE)</f>
        <v>0</v>
      </c>
      <c r="AZ699" t="b">
        <f>OR(AND(IF(metadata!O699="",FALSE,TRUE),OR(EXACT(metadata!O699,"missing: not collected"),EXACT(metadata!O699,"missing: not provided"),EXACT(metadata!O699,"missing: restricted access"))),AND(IF(metadata!O699="",FALSE,TRUE),OR(EXACT(metadata!O699,"air"),EXACT(metadata!O699,"built environment"),EXACT(metadata!O699,"host-associated"),EXACT(metadata!O699,"human-associated"),EXACT(metadata!O699,"human-skin"),EXACT(metadata!O699,"human-oral"),EXACT(metadata!O699,"human-gut"),EXACT(metadata!O699,"human-vaginal"),EXACT(metadata!O699,"microbial mat/biofilm"),EXACT(metadata!O699,"misc environment"),EXACT(metadata!O699,"plant-associated"),EXACT(metadata!O699,"sediment"),EXACT(metadata!O699,"soil"),EXACT(metadata!O699,"wastewater/sludge"),EXACT(metadata!O699,"water"))))</f>
        <v>0</v>
      </c>
      <c r="BA699" t="b">
        <f>IF(metadata!P699="",FALSE,TRUE)</f>
        <v>0</v>
      </c>
      <c r="BB699" t="b">
        <f>IF(metadata!Q699="",FALSE,TRUE)</f>
        <v>0</v>
      </c>
      <c r="BC699" t="b">
        <f>OR(AND(IF(metadata!R699="",FALSE,TRUE),OR(EXACT(metadata!R699,"missing: not collected"),EXACT(metadata!R699,"missing: not provided"),EXACT(metadata!R699,"missing: restricted access"))),AND(IF(metadata!R699="",FALSE,ISNUMBER(VALUE(metadata!R699))),metadata!R699&gt;=-90,metadata!R699&lt;=90))</f>
        <v>0</v>
      </c>
      <c r="BD699" t="b">
        <f>AND(IF(metadata!S699="",FALSE,TRUE),EXACT(metadata!S699,"Decimal degrees"))</f>
        <v>0</v>
      </c>
      <c r="BE699" t="b">
        <f>OR(AND(IF(metadata!T699="",FALSE,TRUE),OR(EXACT(metadata!T699,"missing: not collected"),EXACT(metadata!T699,"missing: not provided"),EXACT(metadata!T699,"missing: restricted access"))),AND(IF(metadata!T699="",FALSE,ISNUMBER(VALUE(metadata!T699))),metadata!T699&gt;=-180,metadata!T699&lt;=180))</f>
        <v>0</v>
      </c>
      <c r="BF699" t="b">
        <f>AND(IF(metadata!U699="",FALSE,TRUE),EXACT(metadata!U699,"Decimal degrees"))</f>
        <v>0</v>
      </c>
      <c r="BG699" t="b">
        <f>IF(metadata!V699="",FALSE,TRUE)</f>
        <v>0</v>
      </c>
      <c r="BH699" t="b">
        <f>OR(AND(IF(metadata!W699="",FALSE,TRUE),OR(EXACT(metadata!W699,"missing: not collected"),EXACT(metadata!W699,"missing: not provided"),EXACT(metadata!W699,"missing: restricted access"))),AND(IF(metadata!W699="",FALSE,TRUE),OR(EXACT(metadata!W699,"TRUE"),EXACT(metadata!W699,"FALSE"))))</f>
        <v>0</v>
      </c>
      <c r="BI699" t="b">
        <f>AND(IF(metadata!X699="",FALSE,TRUE),EXACT(metadata!X699,"other"))</f>
        <v>0</v>
      </c>
      <c r="BJ699" t="b">
        <f>IF(metadata!Y699="",FALSE,TRUE)</f>
        <v>0</v>
      </c>
      <c r="BK699" t="b">
        <f>OR(AND(IF(metadata!Z699="",FALSE,TRUE),OR(EXACT(metadata!Z699,"missing: not collected"),EXACT(metadata!Z699,"missing: not provided"))),AND(IF(metadata!Z699="",FALSE,IF(ISERROR(INT(metadata!Z699)),FALSE,INT(metadata!Z699)=metadata!Z699)),metadata!Z699&gt;0))</f>
        <v>0</v>
      </c>
      <c r="BL699" t="b">
        <f>AND(IF(metadata!AA699="",FALSE,TRUE),EXACT(metadata!AA699,"Not applicable"))</f>
        <v>0</v>
      </c>
      <c r="BM699" t="b">
        <f>IF(metadata!AB699="",FALSE,TRUE)</f>
        <v>0</v>
      </c>
    </row>
    <row r="700" spans="1:65" x14ac:dyDescent="0.2">
      <c r="A700" s="5" t="str">
        <f ca="1">IF(B700=" "," ",HYPERLINK(CONCATENATE("#metadata!",ADDRESS(INDEX($AH$2:$AH$1001,MATCH(ROWS($AF$2:AF700),$AF$2:$AF$1001,0),0),1)),INDEX($AK$2:$AK$1001,MATCH(ROWS($AF$2:AF700),$AF$2:$AF$1001,0),0)))</f>
        <v xml:space="preserve"> </v>
      </c>
      <c r="B700" s="4" t="str">
        <f ca="1">IF(OR(INDEX($AG$2:$AG$1001,MATCH(ROWS($AF$2:AF700),$AF$2:$AF$1001,0),1)&gt;=100000,INDEX($AM$1005:$BM$1005,1,MATCH(COLUMNS($AM$1006:AM1006),$AM$1006:$BM$1006,0))&gt;=100000), " ",IF(INDEX($AM$2:$BM$1001,MATCH(ROWS($AF$2:AF700),$AF$2:$AF$1001,0),MATCH(COLUMNS($AM$1006:AM1006),$AM$1006:$BM$1006,0)), HYPERLINK("#",""), HYPERLINK(CONCATENATE("#metadata!", ADDRESS(INDEX($AH$2:$AH$1001,MATCH(ROWS($AF$2:AF700),$AF$2:$AF$1001,0),0), INDEX($AM$1004:$BM$1004,1,MATCH(COLUMNS($AM$1006:AM1006),$AM$1006:$BM$1006,0)))),"Fix")))</f>
        <v xml:space="preserve"> </v>
      </c>
      <c r="C700" s="4" t="str">
        <f ca="1">IF(OR(INDEX($AG$2:$AG$1001,MATCH(ROWS($AF$2:AF700),$AF$2:$AF$1001,0),1)&gt;=100000,INDEX($AM$1005:$BM$1005,1,MATCH(COLUMNS($AM$1006:AN1006),$AM$1006:$BM$1006,0))&gt;=100000), " ",IF(INDEX($AM$2:$BM$1001,MATCH(ROWS($AF$2:AF700),$AF$2:$AF$1001,0),MATCH(COLUMNS($AM$1006:AN1006),$AM$1006:$BM$1006,0)), HYPERLINK("#",""), HYPERLINK(CONCATENATE("#metadata!", ADDRESS(INDEX($AH$2:$AH$1001,MATCH(ROWS($AF$2:AF700),$AF$2:$AF$1001,0),0), INDEX($AM$1004:$BM$1004,1,MATCH(COLUMNS($AM$1006:AN1006),$AM$1006:$BM$1006,0)))),"Fix")))</f>
        <v xml:space="preserve"> </v>
      </c>
      <c r="D700" s="4" t="str">
        <f ca="1">IF(OR(INDEX($AG$2:$AG$1001,MATCH(ROWS($AF$2:AF700),$AF$2:$AF$1001,0),1)&gt;=100000,INDEX($AM$1005:$BM$1005,1,MATCH(COLUMNS($AM$1006:AO1006),$AM$1006:$BM$1006,0))&gt;=100000), " ",IF(INDEX($AM$2:$BM$1001,MATCH(ROWS($AF$2:AF700),$AF$2:$AF$1001,0),MATCH(COLUMNS($AM$1006:AO1006),$AM$1006:$BM$1006,0)), HYPERLINK("#",""), HYPERLINK(CONCATENATE("#metadata!", ADDRESS(INDEX($AH$2:$AH$1001,MATCH(ROWS($AF$2:AF700),$AF$2:$AF$1001,0),0), INDEX($AM$1004:$BM$1004,1,MATCH(COLUMNS($AM$1006:AO1006),$AM$1006:$BM$1006,0)))),"Fix")))</f>
        <v xml:space="preserve"> </v>
      </c>
      <c r="E700" s="4" t="str">
        <f ca="1">IF(OR(INDEX($AG$2:$AG$1001,MATCH(ROWS($AF$2:AF700),$AF$2:$AF$1001,0),1)&gt;=100000,INDEX($AM$1005:$BM$1005,1,MATCH(COLUMNS($AM$1006:AP1006),$AM$1006:$BM$1006,0))&gt;=100000), " ",IF(INDEX($AM$2:$BM$1001,MATCH(ROWS($AF$2:AF700),$AF$2:$AF$1001,0),MATCH(COLUMNS($AM$1006:AP1006),$AM$1006:$BM$1006,0)), HYPERLINK("#",""), HYPERLINK(CONCATENATE("#metadata!", ADDRESS(INDEX($AH$2:$AH$1001,MATCH(ROWS($AF$2:AF700),$AF$2:$AF$1001,0),0), INDEX($AM$1004:$BM$1004,1,MATCH(COLUMNS($AM$1006:AP1006),$AM$1006:$BM$1006,0)))),"Fix")))</f>
        <v xml:space="preserve"> </v>
      </c>
      <c r="F700" s="4" t="str">
        <f ca="1">IF(OR(INDEX($AG$2:$AG$1001,MATCH(ROWS($AF$2:AF700),$AF$2:$AF$1001,0),1)&gt;=100000,INDEX($AM$1005:$BM$1005,1,MATCH(COLUMNS($AM$1006:AQ1006),$AM$1006:$BM$1006,0))&gt;=100000), " ",IF(INDEX($AM$2:$BM$1001,MATCH(ROWS($AF$2:AF700),$AF$2:$AF$1001,0),MATCH(COLUMNS($AM$1006:AQ1006),$AM$1006:$BM$1006,0)), HYPERLINK("#",""), HYPERLINK(CONCATENATE("#metadata!", ADDRESS(INDEX($AH$2:$AH$1001,MATCH(ROWS($AF$2:AF700),$AF$2:$AF$1001,0),0), INDEX($AM$1004:$BM$1004,1,MATCH(COLUMNS($AM$1006:AQ1006),$AM$1006:$BM$1006,0)))),"Fix")))</f>
        <v xml:space="preserve"> </v>
      </c>
      <c r="G700" s="4" t="str">
        <f ca="1">IF(OR(INDEX($AG$2:$AG$1001,MATCH(ROWS($AF$2:AF700),$AF$2:$AF$1001,0),1)&gt;=100000,INDEX($AM$1005:$BM$1005,1,MATCH(COLUMNS($AM$1006:AR1006),$AM$1006:$BM$1006,0))&gt;=100000), " ",IF(INDEX($AM$2:$BM$1001,MATCH(ROWS($AF$2:AF700),$AF$2:$AF$1001,0),MATCH(COLUMNS($AM$1006:AR1006),$AM$1006:$BM$1006,0)), HYPERLINK("#",""), HYPERLINK(CONCATENATE("#metadata!", ADDRESS(INDEX($AH$2:$AH$1001,MATCH(ROWS($AF$2:AF700),$AF$2:$AF$1001,0),0), INDEX($AM$1004:$BM$1004,1,MATCH(COLUMNS($AM$1006:AR1006),$AM$1006:$BM$1006,0)))),"Fix")))</f>
        <v xml:space="preserve"> </v>
      </c>
      <c r="H700" s="4" t="str">
        <f ca="1">IF(OR(INDEX($AG$2:$AG$1001,MATCH(ROWS($AF$2:AF700),$AF$2:$AF$1001,0),1)&gt;=100000,INDEX($AM$1005:$BM$1005,1,MATCH(COLUMNS($AM$1006:AS1006),$AM$1006:$BM$1006,0))&gt;=100000), " ",IF(INDEX($AM$2:$BM$1001,MATCH(ROWS($AF$2:AF700),$AF$2:$AF$1001,0),MATCH(COLUMNS($AM$1006:AS1006),$AM$1006:$BM$1006,0)), HYPERLINK("#",""), HYPERLINK(CONCATENATE("#metadata!", ADDRESS(INDEX($AH$2:$AH$1001,MATCH(ROWS($AF$2:AF700),$AF$2:$AF$1001,0),0), INDEX($AM$1004:$BM$1004,1,MATCH(COLUMNS($AM$1006:AS1006),$AM$1006:$BM$1006,0)))),"Fix")))</f>
        <v xml:space="preserve"> </v>
      </c>
      <c r="I700" s="4" t="str">
        <f ca="1">IF(OR(INDEX($AG$2:$AG$1001,MATCH(ROWS($AF$2:AF700),$AF$2:$AF$1001,0),1)&gt;=100000,INDEX($AM$1005:$BM$1005,1,MATCH(COLUMNS($AM$1006:AT1006),$AM$1006:$BM$1006,0))&gt;=100000), " ",IF(INDEX($AM$2:$BM$1001,MATCH(ROWS($AF$2:AF700),$AF$2:$AF$1001,0),MATCH(COLUMNS($AM$1006:AT1006),$AM$1006:$BM$1006,0)), HYPERLINK("#",""), HYPERLINK(CONCATENATE("#metadata!", ADDRESS(INDEX($AH$2:$AH$1001,MATCH(ROWS($AF$2:AF700),$AF$2:$AF$1001,0),0), INDEX($AM$1004:$BM$1004,1,MATCH(COLUMNS($AM$1006:AT1006),$AM$1006:$BM$1006,0)))),"Fix")))</f>
        <v xml:space="preserve"> </v>
      </c>
      <c r="J700" s="4" t="str">
        <f ca="1">IF(OR(INDEX($AG$2:$AG$1001,MATCH(ROWS($AF$2:AF700),$AF$2:$AF$1001,0),1)&gt;=100000,INDEX($AM$1005:$BM$1005,1,MATCH(COLUMNS($AM$1006:AU1006),$AM$1006:$BM$1006,0))&gt;=100000), " ",IF(INDEX($AM$2:$BM$1001,MATCH(ROWS($AF$2:AF700),$AF$2:$AF$1001,0),MATCH(COLUMNS($AM$1006:AU1006),$AM$1006:$BM$1006,0)), HYPERLINK("#",""), HYPERLINK(CONCATENATE("#metadata!", ADDRESS(INDEX($AH$2:$AH$1001,MATCH(ROWS($AF$2:AF700),$AF$2:$AF$1001,0),0), INDEX($AM$1004:$BM$1004,1,MATCH(COLUMNS($AM$1006:AU1006),$AM$1006:$BM$1006,0)))),"Fix")))</f>
        <v xml:space="preserve"> </v>
      </c>
      <c r="K700" s="4" t="str">
        <f ca="1">IF(OR(INDEX($AG$2:$AG$1001,MATCH(ROWS($AF$2:AF700),$AF$2:$AF$1001,0),1)&gt;=100000,INDEX($AM$1005:$BM$1005,1,MATCH(COLUMNS($AM$1006:AV1006),$AM$1006:$BM$1006,0))&gt;=100000), " ",IF(INDEX($AM$2:$BM$1001,MATCH(ROWS($AF$2:AF700),$AF$2:$AF$1001,0),MATCH(COLUMNS($AM$1006:AV1006),$AM$1006:$BM$1006,0)), HYPERLINK("#",""), HYPERLINK(CONCATENATE("#metadata!", ADDRESS(INDEX($AH$2:$AH$1001,MATCH(ROWS($AF$2:AF700),$AF$2:$AF$1001,0),0), INDEX($AM$1004:$BM$1004,1,MATCH(COLUMNS($AM$1006:AV1006),$AM$1006:$BM$1006,0)))),"Fix")))</f>
        <v xml:space="preserve"> </v>
      </c>
      <c r="L700" s="4" t="str">
        <f ca="1">IF(OR(INDEX($AG$2:$AG$1001,MATCH(ROWS($AF$2:AF700),$AF$2:$AF$1001,0),1)&gt;=100000,INDEX($AM$1005:$BM$1005,1,MATCH(COLUMNS($AM$1006:AW1006),$AM$1006:$BM$1006,0))&gt;=100000), " ",IF(INDEX($AM$2:$BM$1001,MATCH(ROWS($AF$2:AF700),$AF$2:$AF$1001,0),MATCH(COLUMNS($AM$1006:AW1006),$AM$1006:$BM$1006,0)), HYPERLINK("#",""), HYPERLINK(CONCATENATE("#metadata!", ADDRESS(INDEX($AH$2:$AH$1001,MATCH(ROWS($AF$2:AF700),$AF$2:$AF$1001,0),0), INDEX($AM$1004:$BM$1004,1,MATCH(COLUMNS($AM$1006:AW1006),$AM$1006:$BM$1006,0)))),"Fix")))</f>
        <v xml:space="preserve"> </v>
      </c>
      <c r="M700" s="4" t="str">
        <f ca="1">IF(OR(INDEX($AG$2:$AG$1001,MATCH(ROWS($AF$2:AF700),$AF$2:$AF$1001,0),1)&gt;=100000,INDEX($AM$1005:$BM$1005,1,MATCH(COLUMNS($AM$1006:AX1006),$AM$1006:$BM$1006,0))&gt;=100000), " ",IF(INDEX($AM$2:$BM$1001,MATCH(ROWS($AF$2:AF700),$AF$2:$AF$1001,0),MATCH(COLUMNS($AM$1006:AX1006),$AM$1006:$BM$1006,0)), HYPERLINK("#",""), HYPERLINK(CONCATENATE("#metadata!", ADDRESS(INDEX($AH$2:$AH$1001,MATCH(ROWS($AF$2:AF700),$AF$2:$AF$1001,0),0), INDEX($AM$1004:$BM$1004,1,MATCH(COLUMNS($AM$1006:AX1006),$AM$1006:$BM$1006,0)))),"Fix")))</f>
        <v xml:space="preserve"> </v>
      </c>
      <c r="N700" s="4" t="str">
        <f ca="1">IF(OR(INDEX($AG$2:$AG$1001,MATCH(ROWS($AF$2:AF700),$AF$2:$AF$1001,0),1)&gt;=100000,INDEX($AM$1005:$BM$1005,1,MATCH(COLUMNS($AM$1006:AY1006),$AM$1006:$BM$1006,0))&gt;=100000), " ",IF(INDEX($AM$2:$BM$1001,MATCH(ROWS($AF$2:AF700),$AF$2:$AF$1001,0),MATCH(COLUMNS($AM$1006:AY1006),$AM$1006:$BM$1006,0)), HYPERLINK("#",""), HYPERLINK(CONCATENATE("#metadata!", ADDRESS(INDEX($AH$2:$AH$1001,MATCH(ROWS($AF$2:AF700),$AF$2:$AF$1001,0),0), INDEX($AM$1004:$BM$1004,1,MATCH(COLUMNS($AM$1006:AY1006),$AM$1006:$BM$1006,0)))),"Fix")))</f>
        <v xml:space="preserve"> </v>
      </c>
      <c r="O700" s="4" t="str">
        <f ca="1">IF(OR(INDEX($AG$2:$AG$1001,MATCH(ROWS($AF$2:AF700),$AF$2:$AF$1001,0),1)&gt;=100000,INDEX($AM$1005:$BM$1005,1,MATCH(COLUMNS($AM$1006:AZ1006),$AM$1006:$BM$1006,0))&gt;=100000), " ",IF(INDEX($AM$2:$BM$1001,MATCH(ROWS($AF$2:AF700),$AF$2:$AF$1001,0),MATCH(COLUMNS($AM$1006:AZ1006),$AM$1006:$BM$1006,0)), HYPERLINK("#",""), HYPERLINK(CONCATENATE("#metadata!", ADDRESS(INDEX($AH$2:$AH$1001,MATCH(ROWS($AF$2:AF700),$AF$2:$AF$1001,0),0), INDEX($AM$1004:$BM$1004,1,MATCH(COLUMNS($AM$1006:AZ1006),$AM$1006:$BM$1006,0)))),"Fix")))</f>
        <v xml:space="preserve"> </v>
      </c>
      <c r="P700" s="4" t="str">
        <f ca="1">IF(OR(INDEX($AG$2:$AG$1001,MATCH(ROWS($AF$2:AF700),$AF$2:$AF$1001,0),1)&gt;=100000,INDEX($AM$1005:$BM$1005,1,MATCH(COLUMNS($AM$1006:BA1006),$AM$1006:$BM$1006,0))&gt;=100000), " ",IF(INDEX($AM$2:$BM$1001,MATCH(ROWS($AF$2:AF700),$AF$2:$AF$1001,0),MATCH(COLUMNS($AM$1006:BA1006),$AM$1006:$BM$1006,0)), HYPERLINK("#",""), HYPERLINK(CONCATENATE("#metadata!", ADDRESS(INDEX($AH$2:$AH$1001,MATCH(ROWS($AF$2:AF700),$AF$2:$AF$1001,0),0), INDEX($AM$1004:$BM$1004,1,MATCH(COLUMNS($AM$1006:BA1006),$AM$1006:$BM$1006,0)))),"Fix")))</f>
        <v xml:space="preserve"> </v>
      </c>
      <c r="Q700" s="4" t="str">
        <f ca="1">IF(OR(INDEX($AG$2:$AG$1001,MATCH(ROWS($AF$2:AF700),$AF$2:$AF$1001,0),1)&gt;=100000,INDEX($AM$1005:$BM$1005,1,MATCH(COLUMNS($AM$1006:BB1006),$AM$1006:$BM$1006,0))&gt;=100000), " ",IF(INDEX($AM$2:$BM$1001,MATCH(ROWS($AF$2:AF700),$AF$2:$AF$1001,0),MATCH(COLUMNS($AM$1006:BB1006),$AM$1006:$BM$1006,0)), HYPERLINK("#",""), HYPERLINK(CONCATENATE("#metadata!", ADDRESS(INDEX($AH$2:$AH$1001,MATCH(ROWS($AF$2:AF700),$AF$2:$AF$1001,0),0), INDEX($AM$1004:$BM$1004,1,MATCH(COLUMNS($AM$1006:BB1006),$AM$1006:$BM$1006,0)))),"Fix")))</f>
        <v xml:space="preserve"> </v>
      </c>
      <c r="R700" s="4" t="str">
        <f ca="1">IF(OR(INDEX($AG$2:$AG$1001,MATCH(ROWS($AF$2:AF700),$AF$2:$AF$1001,0),1)&gt;=100000,INDEX($AM$1005:$BM$1005,1,MATCH(COLUMNS($AM$1006:BC1006),$AM$1006:$BM$1006,0))&gt;=100000), " ",IF(INDEX($AM$2:$BM$1001,MATCH(ROWS($AF$2:AF700),$AF$2:$AF$1001,0),MATCH(COLUMNS($AM$1006:BC1006),$AM$1006:$BM$1006,0)), HYPERLINK("#",""), HYPERLINK(CONCATENATE("#metadata!", ADDRESS(INDEX($AH$2:$AH$1001,MATCH(ROWS($AF$2:AF700),$AF$2:$AF$1001,0),0), INDEX($AM$1004:$BM$1004,1,MATCH(COLUMNS($AM$1006:BC1006),$AM$1006:$BM$1006,0)))),"Fix")))</f>
        <v xml:space="preserve"> </v>
      </c>
      <c r="S700" s="4" t="str">
        <f ca="1">IF(OR(INDEX($AG$2:$AG$1001,MATCH(ROWS($AF$2:AF700),$AF$2:$AF$1001,0),1)&gt;=100000,INDEX($AM$1005:$BM$1005,1,MATCH(COLUMNS($AM$1006:BD1006),$AM$1006:$BM$1006,0))&gt;=100000), " ",IF(INDEX($AM$2:$BM$1001,MATCH(ROWS($AF$2:AF700),$AF$2:$AF$1001,0),MATCH(COLUMNS($AM$1006:BD1006),$AM$1006:$BM$1006,0)), HYPERLINK("#",""), HYPERLINK(CONCATENATE("#metadata!", ADDRESS(INDEX($AH$2:$AH$1001,MATCH(ROWS($AF$2:AF700),$AF$2:$AF$1001,0),0), INDEX($AM$1004:$BM$1004,1,MATCH(COLUMNS($AM$1006:BD1006),$AM$1006:$BM$1006,0)))),"Fix")))</f>
        <v xml:space="preserve"> </v>
      </c>
      <c r="T700" s="4" t="str">
        <f ca="1">IF(OR(INDEX($AG$2:$AG$1001,MATCH(ROWS($AF$2:AF700),$AF$2:$AF$1001,0),1)&gt;=100000,INDEX($AM$1005:$BM$1005,1,MATCH(COLUMNS($AM$1006:BE1006),$AM$1006:$BM$1006,0))&gt;=100000), " ",IF(INDEX($AM$2:$BM$1001,MATCH(ROWS($AF$2:AF700),$AF$2:$AF$1001,0),MATCH(COLUMNS($AM$1006:BE1006),$AM$1006:$BM$1006,0)), HYPERLINK("#",""), HYPERLINK(CONCATENATE("#metadata!", ADDRESS(INDEX($AH$2:$AH$1001,MATCH(ROWS($AF$2:AF700),$AF$2:$AF$1001,0),0), INDEX($AM$1004:$BM$1004,1,MATCH(COLUMNS($AM$1006:BE1006),$AM$1006:$BM$1006,0)))),"Fix")))</f>
        <v xml:space="preserve"> </v>
      </c>
      <c r="U700" s="4" t="str">
        <f ca="1">IF(OR(INDEX($AG$2:$AG$1001,MATCH(ROWS($AF$2:AF700),$AF$2:$AF$1001,0),1)&gt;=100000,INDEX($AM$1005:$BM$1005,1,MATCH(COLUMNS($AM$1006:BF1006),$AM$1006:$BM$1006,0))&gt;=100000), " ",IF(INDEX($AM$2:$BM$1001,MATCH(ROWS($AF$2:AF700),$AF$2:$AF$1001,0),MATCH(COLUMNS($AM$1006:BF1006),$AM$1006:$BM$1006,0)), HYPERLINK("#",""), HYPERLINK(CONCATENATE("#metadata!", ADDRESS(INDEX($AH$2:$AH$1001,MATCH(ROWS($AF$2:AF700),$AF$2:$AF$1001,0),0), INDEX($AM$1004:$BM$1004,1,MATCH(COLUMNS($AM$1006:BF1006),$AM$1006:$BM$1006,0)))),"Fix")))</f>
        <v xml:space="preserve"> </v>
      </c>
      <c r="V700" s="4" t="str">
        <f ca="1">IF(OR(INDEX($AG$2:$AG$1001,MATCH(ROWS($AF$2:AF700),$AF$2:$AF$1001,0),1)&gt;=100000,INDEX($AM$1005:$BM$1005,1,MATCH(COLUMNS($AM$1006:BG1006),$AM$1006:$BM$1006,0))&gt;=100000), " ",IF(INDEX($AM$2:$BM$1001,MATCH(ROWS($AF$2:AF700),$AF$2:$AF$1001,0),MATCH(COLUMNS($AM$1006:BG1006),$AM$1006:$BM$1006,0)), HYPERLINK("#",""), HYPERLINK(CONCATENATE("#metadata!", ADDRESS(INDEX($AH$2:$AH$1001,MATCH(ROWS($AF$2:AF700),$AF$2:$AF$1001,0),0), INDEX($AM$1004:$BM$1004,1,MATCH(COLUMNS($AM$1006:BG1006),$AM$1006:$BM$1006,0)))),"Fix")))</f>
        <v xml:space="preserve"> </v>
      </c>
      <c r="W700" s="4" t="str">
        <f ca="1">IF(OR(INDEX($AG$2:$AG$1001,MATCH(ROWS($AF$2:AF700),$AF$2:$AF$1001,0),1)&gt;=100000,INDEX($AM$1005:$BM$1005,1,MATCH(COLUMNS($AM$1006:BH1006),$AM$1006:$BM$1006,0))&gt;=100000), " ",IF(INDEX($AM$2:$BM$1001,MATCH(ROWS($AF$2:AF700),$AF$2:$AF$1001,0),MATCH(COLUMNS($AM$1006:BH1006),$AM$1006:$BM$1006,0)), HYPERLINK("#",""), HYPERLINK(CONCATENATE("#metadata!", ADDRESS(INDEX($AH$2:$AH$1001,MATCH(ROWS($AF$2:AF700),$AF$2:$AF$1001,0),0), INDEX($AM$1004:$BM$1004,1,MATCH(COLUMNS($AM$1006:BH1006),$AM$1006:$BM$1006,0)))),"Fix")))</f>
        <v xml:space="preserve"> </v>
      </c>
      <c r="X700" s="4" t="str">
        <f ca="1">IF(OR(INDEX($AG$2:$AG$1001,MATCH(ROWS($AF$2:AF700),$AF$2:$AF$1001,0),1)&gt;=100000,INDEX($AM$1005:$BM$1005,1,MATCH(COLUMNS($AM$1006:BI1006),$AM$1006:$BM$1006,0))&gt;=100000), " ",IF(INDEX($AM$2:$BM$1001,MATCH(ROWS($AF$2:AF700),$AF$2:$AF$1001,0),MATCH(COLUMNS($AM$1006:BI1006),$AM$1006:$BM$1006,0)), HYPERLINK("#",""), HYPERLINK(CONCATENATE("#metadata!", ADDRESS(INDEX($AH$2:$AH$1001,MATCH(ROWS($AF$2:AF700),$AF$2:$AF$1001,0),0), INDEX($AM$1004:$BM$1004,1,MATCH(COLUMNS($AM$1006:BI1006),$AM$1006:$BM$1006,0)))),"Fix")))</f>
        <v xml:space="preserve"> </v>
      </c>
      <c r="Y700" s="4" t="str">
        <f ca="1">IF(OR(INDEX($AG$2:$AG$1001,MATCH(ROWS($AF$2:AF700),$AF$2:$AF$1001,0),1)&gt;=100000,INDEX($AM$1005:$BM$1005,1,MATCH(COLUMNS($AM$1006:BJ1006),$AM$1006:$BM$1006,0))&gt;=100000), " ",IF(INDEX($AM$2:$BM$1001,MATCH(ROWS($AF$2:AF700),$AF$2:$AF$1001,0),MATCH(COLUMNS($AM$1006:BJ1006),$AM$1006:$BM$1006,0)), HYPERLINK("#",""), HYPERLINK(CONCATENATE("#metadata!", ADDRESS(INDEX($AH$2:$AH$1001,MATCH(ROWS($AF$2:AF700),$AF$2:$AF$1001,0),0), INDEX($AM$1004:$BM$1004,1,MATCH(COLUMNS($AM$1006:BJ1006),$AM$1006:$BM$1006,0)))),"Fix")))</f>
        <v xml:space="preserve"> </v>
      </c>
      <c r="Z700" s="4" t="str">
        <f ca="1">IF(OR(INDEX($AG$2:$AG$1001,MATCH(ROWS($AF$2:AF700),$AF$2:$AF$1001,0),1)&gt;=100000,INDEX($AM$1005:$BM$1005,1,MATCH(COLUMNS($AM$1006:BK1006),$AM$1006:$BM$1006,0))&gt;=100000), " ",IF(INDEX($AM$2:$BM$1001,MATCH(ROWS($AF$2:AF700),$AF$2:$AF$1001,0),MATCH(COLUMNS($AM$1006:BK1006),$AM$1006:$BM$1006,0)), HYPERLINK("#",""), HYPERLINK(CONCATENATE("#metadata!", ADDRESS(INDEX($AH$2:$AH$1001,MATCH(ROWS($AF$2:AF700),$AF$2:$AF$1001,0),0), INDEX($AM$1004:$BM$1004,1,MATCH(COLUMNS($AM$1006:BK1006),$AM$1006:$BM$1006,0)))),"Fix")))</f>
        <v xml:space="preserve"> </v>
      </c>
      <c r="AA700" s="4" t="str">
        <f ca="1">IF(OR(INDEX($AG$2:$AG$1001,MATCH(ROWS($AF$2:AF700),$AF$2:$AF$1001,0),1)&gt;=100000,INDEX($AM$1005:$BM$1005,1,MATCH(COLUMNS($AM$1006:BL1006),$AM$1006:$BM$1006,0))&gt;=100000), " ",IF(INDEX($AM$2:$BM$1001,MATCH(ROWS($AF$2:AF700),$AF$2:$AF$1001,0),MATCH(COLUMNS($AM$1006:BL1006),$AM$1006:$BM$1006,0)), HYPERLINK("#",""), HYPERLINK(CONCATENATE("#metadata!", ADDRESS(INDEX($AH$2:$AH$1001,MATCH(ROWS($AF$2:AF700),$AF$2:$AF$1001,0),0), INDEX($AM$1004:$BM$1004,1,MATCH(COLUMNS($AM$1006:BL1006),$AM$1006:$BM$1006,0)))),"Fix")))</f>
        <v xml:space="preserve"> </v>
      </c>
      <c r="AB700" s="4" t="str">
        <f ca="1">IF(OR(INDEX($AG$2:$AG$1001,MATCH(ROWS($AF$2:AF700),$AF$2:$AF$1001,0),1)&gt;=100000,INDEX($AM$1005:$BM$1005,1,MATCH(COLUMNS($AM$1006:BM1006),$AM$1006:$BM$1006,0))&gt;=100000), " ",IF(INDEX($AM$2:$BM$1001,MATCH(ROWS($AF$2:AF700),$AF$2:$AF$1001,0),MATCH(COLUMNS($AM$1006:BM1006),$AM$1006:$BM$1006,0)), HYPERLINK("#",""), HYPERLINK(CONCATENATE("#metadata!", ADDRESS(INDEX($AH$2:$AH$1001,MATCH(ROWS($AF$2:AF700),$AF$2:$AF$1001,0),0), INDEX($AM$1004:$BM$1004,1,MATCH(COLUMNS($AM$1006:BM1006),$AM$1006:$BM$1006,0)))),"Fix")))</f>
        <v xml:space="preserve"> </v>
      </c>
      <c r="AF700">
        <v>699</v>
      </c>
      <c r="AG700">
        <v>100700</v>
      </c>
      <c r="AH700">
        <v>700</v>
      </c>
      <c r="AI700" t="b">
        <f t="shared" si="10"/>
        <v>1</v>
      </c>
      <c r="AJ700" t="b">
        <f>COUNTBLANK(metadata!B700:AB700)=COLUMNS(metadata!B700:AB700)</f>
        <v>1</v>
      </c>
      <c r="AK700" t="str">
        <v/>
      </c>
      <c r="AM700" t="b">
        <f ca="1">AND(IF(metadata!B700="",FALSE,TRUE),COUNTIF(metadata!B:B, metadata!B700) = 1,NOT(ISERROR(SUMPRODUCT(SEARCH(MID(metadata!B700,ROW(INDIRECT("1:"&amp;LEN(metadata!B700))), 1),"0123456789abcdefghijklmnopqrstuvwxyzABCDEFGHIJKLMNOPQRSTUVWXYZ.")))))</f>
        <v>0</v>
      </c>
      <c r="AN700" t="b">
        <f ca="1">OR(AND(IF(metadata!C700="",FALSE,TRUE),OR(EXACT(metadata!C700,"missing: not collected"),EXACT(metadata!C700,"missing: not provided"),EXACT(metadata!C700,"missing: restricted access"))),AND(IF(metadata!C700="",FALSE,TRUE),AND(AND(IFERROR(INT(LEFT(metadata!C700,4))&gt;1900,FALSE),IFERROR(INT(LEFT(metadata!C700,4))&lt;=YEAR(NOW()),FALSE)), OR(MID(metadata!C700,5,1)="", AND(AND(MID(metadata!C700,5,1)="-",IFERROR(INT(MID(metadata!C700,6,1))&gt;=0,FALSE),IFERROR(INT(MID(metadata!C700,6,1))&lt;=1,FALSE),NOT(MID(metadata!C700,7,1)=""),IFERROR(INT(MID(metadata!C700,6,2))&gt;=1,FALSE),IFERROR(INT(MID(metadata!C700,6,2))&lt;=12,FALSE)), OR(MID(metadata!C700,8,1)="", AND(AND(MID(metadata!C700,8,1)="-",IFERROR(INT(MID(metadata!C700,9,1))&gt;=0,FALSE),IFERROR(INT(MID(metadata!C700,9,1))&lt;=3,FALSE),NOT(MID(metadata!C700,10,1)=""),IFERROR(INT(MID(metadata!C700,9,2))&gt;=1,FALSE),IFERROR(INT(MID(metadata!C700,9,2))&lt;=31,FALSE)), OR(MID(metadata!C700,11,1)="", AND(AND(MID(metadata!C700,11,1)=" ",IFERROR(INT(MID(metadata!C700,12,1))&gt;=0,FALSE),IFERROR(INT(MID(metadata!C700,12,1))&lt;=2,FALSE),NOT(MID(metadata!C700,13,1)=""),IFERROR(INT(MID(metadata!C700,12,2))&gt;=0,FALSE),IFERROR(INT(MID(metadata!C700,12,2))&lt;=23,FALSE)), OR(MID(metadata!C700,14,1)="", AND(AND(MID(metadata!C700,14,1)=":",IFERROR(INT(MID(metadata!C700,15,1))&gt;=0,FALSE),IFERROR(INT(MID(metadata!C700,15,1))&lt;=5,FALSE),NOT(MID(metadata!C700,16,1)=""),IFERROR(INT(MID(metadata!C700,15,2))&gt;=0,FALSE),IFERROR(INT(MID(metadata!C700,15,2))&lt;=59,FALSE)), OR(MID(metadata!C700,17,1)="", AND(AND(MID(metadata!C700,17,1)=":",IFERROR(INT(MID(metadata!C700,18,1))&gt;=0,FALSE),IFERROR(INT(MID(metadata!C700,18,1))&lt;=5,FALSE),NOT(MID(metadata!C700,19,1)=""),IFERROR(INT(MID(metadata!C700,18,2))&gt;=0,FALSE),IFERROR(INT(MID(metadata!C700,18,2))&lt;=59,FALSE)), LEN(metadata!C700)&lt;=19)))))))))))))</f>
        <v>0</v>
      </c>
      <c r="AO700" t="b">
        <f>AND(IF(metadata!D700="",FALSE,TRUE),EXACT(metadata!D700,"Not applicable"))</f>
        <v>0</v>
      </c>
      <c r="AP700" t="b">
        <f>IF(metadata!E700="",FALSE,TRUE)</f>
        <v>0</v>
      </c>
      <c r="AQ700" t="b">
        <f>OR(AND(IF(metadata!F700="",FALSE,TRUE),OR(EXACT(metadata!F700,"missing: not collected"),EXACT(metadata!F700,"missing: not provided"))),AND(IF(metadata!F700="",FALSE,TRUE),OR(EXACT(metadata!F700,"TRUE"),EXACT(metadata!F700,"FALSE"))))</f>
        <v>0</v>
      </c>
      <c r="AR700" t="b">
        <f>OR(AND(IF(metadata!G700="",FALSE,TRUE),OR(EXACT(metadata!G700,"missing: not collected"),EXACT(metadata!G700,"missing: not provided"),EXACT(metadata!G700,"missing: restricted access"))),AND(IF(metadata!G700="",FALSE,ISNUMBER(VALUE(metadata!G700))),metadata!G700&gt;=-413))</f>
        <v>0</v>
      </c>
      <c r="AS700" t="b">
        <f>AND(IF(metadata!H700="",FALSE,TRUE),EXACT(metadata!H700,"meters"))</f>
        <v>0</v>
      </c>
      <c r="AT700" t="b">
        <f>AND(IF(metadata!I700="",FALSE,TRUE),OR(EXACT(metadata!I700,"Host-associated"),EXACT(metadata!I700,"Free-living")))</f>
        <v>0</v>
      </c>
      <c r="AU700" t="b">
        <f>AND(IF(metadata!J700="",FALSE,TRUE),OR(EXACT(metadata!J700,"Animal"),EXACT(metadata!J700,"Fungus"),EXACT(metadata!J700,"Plant"),EXACT(metadata!J700,"Saline"),EXACT(metadata!J700,"Non-saline")))</f>
        <v>0</v>
      </c>
      <c r="AV700" t="b">
        <f>AND(IF(metadata!K700="",FALSE,TRUE),OR(EXACT(metadata!K700,"Plant secretion"),EXACT(metadata!K700,"Plant rhizosphere"),EXACT(metadata!K700,"Plant surface"),EXACT(metadata!K700,"Plant corpus"),EXACT(metadata!K700,"Fungus surface"),EXACT(metadata!K700,"Fungus corpus"),EXACT(metadata!K700,"Animal surface"),EXACT(metadata!K700,"Animal proximal gut"),EXACT(metadata!K700,"Animal corpus"),EXACT(metadata!K700,"Animal distal gut"),EXACT(metadata!K700,"Animal secretion"),EXACT(metadata!K700,"Sub-surface (non-saline)"),EXACT(metadata!K700,"Surface (non-saline)"),EXACT(metadata!K700,"Water (non-saline)"),EXACT(metadata!K700,"Soil (non-saline)"),EXACT(metadata!K700,"Aerosol (non-saline)"),EXACT(metadata!K700,"Sediment (non-saline)"),EXACT(metadata!K700,"Surface (saline)"),EXACT(metadata!K700,"Water (saline)"),EXACT(metadata!K700,"Hypersaline (saline)"),EXACT(metadata!K700,"Aerosol (saline)"),EXACT(metadata!K700,"Sediment (saline)")))</f>
        <v>0</v>
      </c>
      <c r="AW700" t="b">
        <f>IF(metadata!L700="",FALSE,TRUE)</f>
        <v>0</v>
      </c>
      <c r="AX700" t="b">
        <f>IF(metadata!M700="",FALSE,TRUE)</f>
        <v>0</v>
      </c>
      <c r="AY700" t="b">
        <f>IF(metadata!N700="",FALSE,TRUE)</f>
        <v>0</v>
      </c>
      <c r="AZ700" t="b">
        <f>OR(AND(IF(metadata!O700="",FALSE,TRUE),OR(EXACT(metadata!O700,"missing: not collected"),EXACT(metadata!O700,"missing: not provided"),EXACT(metadata!O700,"missing: restricted access"))),AND(IF(metadata!O700="",FALSE,TRUE),OR(EXACT(metadata!O700,"air"),EXACT(metadata!O700,"built environment"),EXACT(metadata!O700,"host-associated"),EXACT(metadata!O700,"human-associated"),EXACT(metadata!O700,"human-skin"),EXACT(metadata!O700,"human-oral"),EXACT(metadata!O700,"human-gut"),EXACT(metadata!O700,"human-vaginal"),EXACT(metadata!O700,"microbial mat/biofilm"),EXACT(metadata!O700,"misc environment"),EXACT(metadata!O700,"plant-associated"),EXACT(metadata!O700,"sediment"),EXACT(metadata!O700,"soil"),EXACT(metadata!O700,"wastewater/sludge"),EXACT(metadata!O700,"water"))))</f>
        <v>0</v>
      </c>
      <c r="BA700" t="b">
        <f>IF(metadata!P700="",FALSE,TRUE)</f>
        <v>0</v>
      </c>
      <c r="BB700" t="b">
        <f>IF(metadata!Q700="",FALSE,TRUE)</f>
        <v>0</v>
      </c>
      <c r="BC700" t="b">
        <f>OR(AND(IF(metadata!R700="",FALSE,TRUE),OR(EXACT(metadata!R700,"missing: not collected"),EXACT(metadata!R700,"missing: not provided"),EXACT(metadata!R700,"missing: restricted access"))),AND(IF(metadata!R700="",FALSE,ISNUMBER(VALUE(metadata!R700))),metadata!R700&gt;=-90,metadata!R700&lt;=90))</f>
        <v>0</v>
      </c>
      <c r="BD700" t="b">
        <f>AND(IF(metadata!S700="",FALSE,TRUE),EXACT(metadata!S700,"Decimal degrees"))</f>
        <v>0</v>
      </c>
      <c r="BE700" t="b">
        <f>OR(AND(IF(metadata!T700="",FALSE,TRUE),OR(EXACT(metadata!T700,"missing: not collected"),EXACT(metadata!T700,"missing: not provided"),EXACT(metadata!T700,"missing: restricted access"))),AND(IF(metadata!T700="",FALSE,ISNUMBER(VALUE(metadata!T700))),metadata!T700&gt;=-180,metadata!T700&lt;=180))</f>
        <v>0</v>
      </c>
      <c r="BF700" t="b">
        <f>AND(IF(metadata!U700="",FALSE,TRUE),EXACT(metadata!U700,"Decimal degrees"))</f>
        <v>0</v>
      </c>
      <c r="BG700" t="b">
        <f>IF(metadata!V700="",FALSE,TRUE)</f>
        <v>0</v>
      </c>
      <c r="BH700" t="b">
        <f>OR(AND(IF(metadata!W700="",FALSE,TRUE),OR(EXACT(metadata!W700,"missing: not collected"),EXACT(metadata!W700,"missing: not provided"),EXACT(metadata!W700,"missing: restricted access"))),AND(IF(metadata!W700="",FALSE,TRUE),OR(EXACT(metadata!W700,"TRUE"),EXACT(metadata!W700,"FALSE"))))</f>
        <v>0</v>
      </c>
      <c r="BI700" t="b">
        <f>AND(IF(metadata!X700="",FALSE,TRUE),EXACT(metadata!X700,"other"))</f>
        <v>0</v>
      </c>
      <c r="BJ700" t="b">
        <f>IF(metadata!Y700="",FALSE,TRUE)</f>
        <v>0</v>
      </c>
      <c r="BK700" t="b">
        <f>OR(AND(IF(metadata!Z700="",FALSE,TRUE),OR(EXACT(metadata!Z700,"missing: not collected"),EXACT(metadata!Z700,"missing: not provided"))),AND(IF(metadata!Z700="",FALSE,IF(ISERROR(INT(metadata!Z700)),FALSE,INT(metadata!Z700)=metadata!Z700)),metadata!Z700&gt;0))</f>
        <v>0</v>
      </c>
      <c r="BL700" t="b">
        <f>AND(IF(metadata!AA700="",FALSE,TRUE),EXACT(metadata!AA700,"Not applicable"))</f>
        <v>0</v>
      </c>
      <c r="BM700" t="b">
        <f>IF(metadata!AB700="",FALSE,TRUE)</f>
        <v>0</v>
      </c>
    </row>
    <row r="701" spans="1:65" x14ac:dyDescent="0.2">
      <c r="A701" s="5" t="str">
        <f ca="1">IF(B701=" "," ",HYPERLINK(CONCATENATE("#metadata!",ADDRESS(INDEX($AH$2:$AH$1001,MATCH(ROWS($AF$2:AF701),$AF$2:$AF$1001,0),0),1)),INDEX($AK$2:$AK$1001,MATCH(ROWS($AF$2:AF701),$AF$2:$AF$1001,0),0)))</f>
        <v xml:space="preserve"> </v>
      </c>
      <c r="B701" s="4" t="str">
        <f ca="1">IF(OR(INDEX($AG$2:$AG$1001,MATCH(ROWS($AF$2:AF701),$AF$2:$AF$1001,0),1)&gt;=100000,INDEX($AM$1005:$BM$1005,1,MATCH(COLUMNS($AM$1006:AM1006),$AM$1006:$BM$1006,0))&gt;=100000), " ",IF(INDEX($AM$2:$BM$1001,MATCH(ROWS($AF$2:AF701),$AF$2:$AF$1001,0),MATCH(COLUMNS($AM$1006:AM1006),$AM$1006:$BM$1006,0)), HYPERLINK("#",""), HYPERLINK(CONCATENATE("#metadata!", ADDRESS(INDEX($AH$2:$AH$1001,MATCH(ROWS($AF$2:AF701),$AF$2:$AF$1001,0),0), INDEX($AM$1004:$BM$1004,1,MATCH(COLUMNS($AM$1006:AM1006),$AM$1006:$BM$1006,0)))),"Fix")))</f>
        <v xml:space="preserve"> </v>
      </c>
      <c r="C701" s="4" t="str">
        <f ca="1">IF(OR(INDEX($AG$2:$AG$1001,MATCH(ROWS($AF$2:AF701),$AF$2:$AF$1001,0),1)&gt;=100000,INDEX($AM$1005:$BM$1005,1,MATCH(COLUMNS($AM$1006:AN1006),$AM$1006:$BM$1006,0))&gt;=100000), " ",IF(INDEX($AM$2:$BM$1001,MATCH(ROWS($AF$2:AF701),$AF$2:$AF$1001,0),MATCH(COLUMNS($AM$1006:AN1006),$AM$1006:$BM$1006,0)), HYPERLINK("#",""), HYPERLINK(CONCATENATE("#metadata!", ADDRESS(INDEX($AH$2:$AH$1001,MATCH(ROWS($AF$2:AF701),$AF$2:$AF$1001,0),0), INDEX($AM$1004:$BM$1004,1,MATCH(COLUMNS($AM$1006:AN1006),$AM$1006:$BM$1006,0)))),"Fix")))</f>
        <v xml:space="preserve"> </v>
      </c>
      <c r="D701" s="4" t="str">
        <f ca="1">IF(OR(INDEX($AG$2:$AG$1001,MATCH(ROWS($AF$2:AF701),$AF$2:$AF$1001,0),1)&gt;=100000,INDEX($AM$1005:$BM$1005,1,MATCH(COLUMNS($AM$1006:AO1006),$AM$1006:$BM$1006,0))&gt;=100000), " ",IF(INDEX($AM$2:$BM$1001,MATCH(ROWS($AF$2:AF701),$AF$2:$AF$1001,0),MATCH(COLUMNS($AM$1006:AO1006),$AM$1006:$BM$1006,0)), HYPERLINK("#",""), HYPERLINK(CONCATENATE("#metadata!", ADDRESS(INDEX($AH$2:$AH$1001,MATCH(ROWS($AF$2:AF701),$AF$2:$AF$1001,0),0), INDEX($AM$1004:$BM$1004,1,MATCH(COLUMNS($AM$1006:AO1006),$AM$1006:$BM$1006,0)))),"Fix")))</f>
        <v xml:space="preserve"> </v>
      </c>
      <c r="E701" s="4" t="str">
        <f ca="1">IF(OR(INDEX($AG$2:$AG$1001,MATCH(ROWS($AF$2:AF701),$AF$2:$AF$1001,0),1)&gt;=100000,INDEX($AM$1005:$BM$1005,1,MATCH(COLUMNS($AM$1006:AP1006),$AM$1006:$BM$1006,0))&gt;=100000), " ",IF(INDEX($AM$2:$BM$1001,MATCH(ROWS($AF$2:AF701),$AF$2:$AF$1001,0),MATCH(COLUMNS($AM$1006:AP1006),$AM$1006:$BM$1006,0)), HYPERLINK("#",""), HYPERLINK(CONCATENATE("#metadata!", ADDRESS(INDEX($AH$2:$AH$1001,MATCH(ROWS($AF$2:AF701),$AF$2:$AF$1001,0),0), INDEX($AM$1004:$BM$1004,1,MATCH(COLUMNS($AM$1006:AP1006),$AM$1006:$BM$1006,0)))),"Fix")))</f>
        <v xml:space="preserve"> </v>
      </c>
      <c r="F701" s="4" t="str">
        <f ca="1">IF(OR(INDEX($AG$2:$AG$1001,MATCH(ROWS($AF$2:AF701),$AF$2:$AF$1001,0),1)&gt;=100000,INDEX($AM$1005:$BM$1005,1,MATCH(COLUMNS($AM$1006:AQ1006),$AM$1006:$BM$1006,0))&gt;=100000), " ",IF(INDEX($AM$2:$BM$1001,MATCH(ROWS($AF$2:AF701),$AF$2:$AF$1001,0),MATCH(COLUMNS($AM$1006:AQ1006),$AM$1006:$BM$1006,0)), HYPERLINK("#",""), HYPERLINK(CONCATENATE("#metadata!", ADDRESS(INDEX($AH$2:$AH$1001,MATCH(ROWS($AF$2:AF701),$AF$2:$AF$1001,0),0), INDEX($AM$1004:$BM$1004,1,MATCH(COLUMNS($AM$1006:AQ1006),$AM$1006:$BM$1006,0)))),"Fix")))</f>
        <v xml:space="preserve"> </v>
      </c>
      <c r="G701" s="4" t="str">
        <f ca="1">IF(OR(INDEX($AG$2:$AG$1001,MATCH(ROWS($AF$2:AF701),$AF$2:$AF$1001,0),1)&gt;=100000,INDEX($AM$1005:$BM$1005,1,MATCH(COLUMNS($AM$1006:AR1006),$AM$1006:$BM$1006,0))&gt;=100000), " ",IF(INDEX($AM$2:$BM$1001,MATCH(ROWS($AF$2:AF701),$AF$2:$AF$1001,0),MATCH(COLUMNS($AM$1006:AR1006),$AM$1006:$BM$1006,0)), HYPERLINK("#",""), HYPERLINK(CONCATENATE("#metadata!", ADDRESS(INDEX($AH$2:$AH$1001,MATCH(ROWS($AF$2:AF701),$AF$2:$AF$1001,0),0), INDEX($AM$1004:$BM$1004,1,MATCH(COLUMNS($AM$1006:AR1006),$AM$1006:$BM$1006,0)))),"Fix")))</f>
        <v xml:space="preserve"> </v>
      </c>
      <c r="H701" s="4" t="str">
        <f ca="1">IF(OR(INDEX($AG$2:$AG$1001,MATCH(ROWS($AF$2:AF701),$AF$2:$AF$1001,0),1)&gt;=100000,INDEX($AM$1005:$BM$1005,1,MATCH(COLUMNS($AM$1006:AS1006),$AM$1006:$BM$1006,0))&gt;=100000), " ",IF(INDEX($AM$2:$BM$1001,MATCH(ROWS($AF$2:AF701),$AF$2:$AF$1001,0),MATCH(COLUMNS($AM$1006:AS1006),$AM$1006:$BM$1006,0)), HYPERLINK("#",""), HYPERLINK(CONCATENATE("#metadata!", ADDRESS(INDEX($AH$2:$AH$1001,MATCH(ROWS($AF$2:AF701),$AF$2:$AF$1001,0),0), INDEX($AM$1004:$BM$1004,1,MATCH(COLUMNS($AM$1006:AS1006),$AM$1006:$BM$1006,0)))),"Fix")))</f>
        <v xml:space="preserve"> </v>
      </c>
      <c r="I701" s="4" t="str">
        <f ca="1">IF(OR(INDEX($AG$2:$AG$1001,MATCH(ROWS($AF$2:AF701),$AF$2:$AF$1001,0),1)&gt;=100000,INDEX($AM$1005:$BM$1005,1,MATCH(COLUMNS($AM$1006:AT1006),$AM$1006:$BM$1006,0))&gt;=100000), " ",IF(INDEX($AM$2:$BM$1001,MATCH(ROWS($AF$2:AF701),$AF$2:$AF$1001,0),MATCH(COLUMNS($AM$1006:AT1006),$AM$1006:$BM$1006,0)), HYPERLINK("#",""), HYPERLINK(CONCATENATE("#metadata!", ADDRESS(INDEX($AH$2:$AH$1001,MATCH(ROWS($AF$2:AF701),$AF$2:$AF$1001,0),0), INDEX($AM$1004:$BM$1004,1,MATCH(COLUMNS($AM$1006:AT1006),$AM$1006:$BM$1006,0)))),"Fix")))</f>
        <v xml:space="preserve"> </v>
      </c>
      <c r="J701" s="4" t="str">
        <f ca="1">IF(OR(INDEX($AG$2:$AG$1001,MATCH(ROWS($AF$2:AF701),$AF$2:$AF$1001,0),1)&gt;=100000,INDEX($AM$1005:$BM$1005,1,MATCH(COLUMNS($AM$1006:AU1006),$AM$1006:$BM$1006,0))&gt;=100000), " ",IF(INDEX($AM$2:$BM$1001,MATCH(ROWS($AF$2:AF701),$AF$2:$AF$1001,0),MATCH(COLUMNS($AM$1006:AU1006),$AM$1006:$BM$1006,0)), HYPERLINK("#",""), HYPERLINK(CONCATENATE("#metadata!", ADDRESS(INDEX($AH$2:$AH$1001,MATCH(ROWS($AF$2:AF701),$AF$2:$AF$1001,0),0), INDEX($AM$1004:$BM$1004,1,MATCH(COLUMNS($AM$1006:AU1006),$AM$1006:$BM$1006,0)))),"Fix")))</f>
        <v xml:space="preserve"> </v>
      </c>
      <c r="K701" s="4" t="str">
        <f ca="1">IF(OR(INDEX($AG$2:$AG$1001,MATCH(ROWS($AF$2:AF701),$AF$2:$AF$1001,0),1)&gt;=100000,INDEX($AM$1005:$BM$1005,1,MATCH(COLUMNS($AM$1006:AV1006),$AM$1006:$BM$1006,0))&gt;=100000), " ",IF(INDEX($AM$2:$BM$1001,MATCH(ROWS($AF$2:AF701),$AF$2:$AF$1001,0),MATCH(COLUMNS($AM$1006:AV1006),$AM$1006:$BM$1006,0)), HYPERLINK("#",""), HYPERLINK(CONCATENATE("#metadata!", ADDRESS(INDEX($AH$2:$AH$1001,MATCH(ROWS($AF$2:AF701),$AF$2:$AF$1001,0),0), INDEX($AM$1004:$BM$1004,1,MATCH(COLUMNS($AM$1006:AV1006),$AM$1006:$BM$1006,0)))),"Fix")))</f>
        <v xml:space="preserve"> </v>
      </c>
      <c r="L701" s="4" t="str">
        <f ca="1">IF(OR(INDEX($AG$2:$AG$1001,MATCH(ROWS($AF$2:AF701),$AF$2:$AF$1001,0),1)&gt;=100000,INDEX($AM$1005:$BM$1005,1,MATCH(COLUMNS($AM$1006:AW1006),$AM$1006:$BM$1006,0))&gt;=100000), " ",IF(INDEX($AM$2:$BM$1001,MATCH(ROWS($AF$2:AF701),$AF$2:$AF$1001,0),MATCH(COLUMNS($AM$1006:AW1006),$AM$1006:$BM$1006,0)), HYPERLINK("#",""), HYPERLINK(CONCATENATE("#metadata!", ADDRESS(INDEX($AH$2:$AH$1001,MATCH(ROWS($AF$2:AF701),$AF$2:$AF$1001,0),0), INDEX($AM$1004:$BM$1004,1,MATCH(COLUMNS($AM$1006:AW1006),$AM$1006:$BM$1006,0)))),"Fix")))</f>
        <v xml:space="preserve"> </v>
      </c>
      <c r="M701" s="4" t="str">
        <f ca="1">IF(OR(INDEX($AG$2:$AG$1001,MATCH(ROWS($AF$2:AF701),$AF$2:$AF$1001,0),1)&gt;=100000,INDEX($AM$1005:$BM$1005,1,MATCH(COLUMNS($AM$1006:AX1006),$AM$1006:$BM$1006,0))&gt;=100000), " ",IF(INDEX($AM$2:$BM$1001,MATCH(ROWS($AF$2:AF701),$AF$2:$AF$1001,0),MATCH(COLUMNS($AM$1006:AX1006),$AM$1006:$BM$1006,0)), HYPERLINK("#",""), HYPERLINK(CONCATENATE("#metadata!", ADDRESS(INDEX($AH$2:$AH$1001,MATCH(ROWS($AF$2:AF701),$AF$2:$AF$1001,0),0), INDEX($AM$1004:$BM$1004,1,MATCH(COLUMNS($AM$1006:AX1006),$AM$1006:$BM$1006,0)))),"Fix")))</f>
        <v xml:space="preserve"> </v>
      </c>
      <c r="N701" s="4" t="str">
        <f ca="1">IF(OR(INDEX($AG$2:$AG$1001,MATCH(ROWS($AF$2:AF701),$AF$2:$AF$1001,0),1)&gt;=100000,INDEX($AM$1005:$BM$1005,1,MATCH(COLUMNS($AM$1006:AY1006),$AM$1006:$BM$1006,0))&gt;=100000), " ",IF(INDEX($AM$2:$BM$1001,MATCH(ROWS($AF$2:AF701),$AF$2:$AF$1001,0),MATCH(COLUMNS($AM$1006:AY1006),$AM$1006:$BM$1006,0)), HYPERLINK("#",""), HYPERLINK(CONCATENATE("#metadata!", ADDRESS(INDEX($AH$2:$AH$1001,MATCH(ROWS($AF$2:AF701),$AF$2:$AF$1001,0),0), INDEX($AM$1004:$BM$1004,1,MATCH(COLUMNS($AM$1006:AY1006),$AM$1006:$BM$1006,0)))),"Fix")))</f>
        <v xml:space="preserve"> </v>
      </c>
      <c r="O701" s="4" t="str">
        <f ca="1">IF(OR(INDEX($AG$2:$AG$1001,MATCH(ROWS($AF$2:AF701),$AF$2:$AF$1001,0),1)&gt;=100000,INDEX($AM$1005:$BM$1005,1,MATCH(COLUMNS($AM$1006:AZ1006),$AM$1006:$BM$1006,0))&gt;=100000), " ",IF(INDEX($AM$2:$BM$1001,MATCH(ROWS($AF$2:AF701),$AF$2:$AF$1001,0),MATCH(COLUMNS($AM$1006:AZ1006),$AM$1006:$BM$1006,0)), HYPERLINK("#",""), HYPERLINK(CONCATENATE("#metadata!", ADDRESS(INDEX($AH$2:$AH$1001,MATCH(ROWS($AF$2:AF701),$AF$2:$AF$1001,0),0), INDEX($AM$1004:$BM$1004,1,MATCH(COLUMNS($AM$1006:AZ1006),$AM$1006:$BM$1006,0)))),"Fix")))</f>
        <v xml:space="preserve"> </v>
      </c>
      <c r="P701" s="4" t="str">
        <f ca="1">IF(OR(INDEX($AG$2:$AG$1001,MATCH(ROWS($AF$2:AF701),$AF$2:$AF$1001,0),1)&gt;=100000,INDEX($AM$1005:$BM$1005,1,MATCH(COLUMNS($AM$1006:BA1006),$AM$1006:$BM$1006,0))&gt;=100000), " ",IF(INDEX($AM$2:$BM$1001,MATCH(ROWS($AF$2:AF701),$AF$2:$AF$1001,0),MATCH(COLUMNS($AM$1006:BA1006),$AM$1006:$BM$1006,0)), HYPERLINK("#",""), HYPERLINK(CONCATENATE("#metadata!", ADDRESS(INDEX($AH$2:$AH$1001,MATCH(ROWS($AF$2:AF701),$AF$2:$AF$1001,0),0), INDEX($AM$1004:$BM$1004,1,MATCH(COLUMNS($AM$1006:BA1006),$AM$1006:$BM$1006,0)))),"Fix")))</f>
        <v xml:space="preserve"> </v>
      </c>
      <c r="Q701" s="4" t="str">
        <f ca="1">IF(OR(INDEX($AG$2:$AG$1001,MATCH(ROWS($AF$2:AF701),$AF$2:$AF$1001,0),1)&gt;=100000,INDEX($AM$1005:$BM$1005,1,MATCH(COLUMNS($AM$1006:BB1006),$AM$1006:$BM$1006,0))&gt;=100000), " ",IF(INDEX($AM$2:$BM$1001,MATCH(ROWS($AF$2:AF701),$AF$2:$AF$1001,0),MATCH(COLUMNS($AM$1006:BB1006),$AM$1006:$BM$1006,0)), HYPERLINK("#",""), HYPERLINK(CONCATENATE("#metadata!", ADDRESS(INDEX($AH$2:$AH$1001,MATCH(ROWS($AF$2:AF701),$AF$2:$AF$1001,0),0), INDEX($AM$1004:$BM$1004,1,MATCH(COLUMNS($AM$1006:BB1006),$AM$1006:$BM$1006,0)))),"Fix")))</f>
        <v xml:space="preserve"> </v>
      </c>
      <c r="R701" s="4" t="str">
        <f ca="1">IF(OR(INDEX($AG$2:$AG$1001,MATCH(ROWS($AF$2:AF701),$AF$2:$AF$1001,0),1)&gt;=100000,INDEX($AM$1005:$BM$1005,1,MATCH(COLUMNS($AM$1006:BC1006),$AM$1006:$BM$1006,0))&gt;=100000), " ",IF(INDEX($AM$2:$BM$1001,MATCH(ROWS($AF$2:AF701),$AF$2:$AF$1001,0),MATCH(COLUMNS($AM$1006:BC1006),$AM$1006:$BM$1006,0)), HYPERLINK("#",""), HYPERLINK(CONCATENATE("#metadata!", ADDRESS(INDEX($AH$2:$AH$1001,MATCH(ROWS($AF$2:AF701),$AF$2:$AF$1001,0),0), INDEX($AM$1004:$BM$1004,1,MATCH(COLUMNS($AM$1006:BC1006),$AM$1006:$BM$1006,0)))),"Fix")))</f>
        <v xml:space="preserve"> </v>
      </c>
      <c r="S701" s="4" t="str">
        <f ca="1">IF(OR(INDEX($AG$2:$AG$1001,MATCH(ROWS($AF$2:AF701),$AF$2:$AF$1001,0),1)&gt;=100000,INDEX($AM$1005:$BM$1005,1,MATCH(COLUMNS($AM$1006:BD1006),$AM$1006:$BM$1006,0))&gt;=100000), " ",IF(INDEX($AM$2:$BM$1001,MATCH(ROWS($AF$2:AF701),$AF$2:$AF$1001,0),MATCH(COLUMNS($AM$1006:BD1006),$AM$1006:$BM$1006,0)), HYPERLINK("#",""), HYPERLINK(CONCATENATE("#metadata!", ADDRESS(INDEX($AH$2:$AH$1001,MATCH(ROWS($AF$2:AF701),$AF$2:$AF$1001,0),0), INDEX($AM$1004:$BM$1004,1,MATCH(COLUMNS($AM$1006:BD1006),$AM$1006:$BM$1006,0)))),"Fix")))</f>
        <v xml:space="preserve"> </v>
      </c>
      <c r="T701" s="4" t="str">
        <f ca="1">IF(OR(INDEX($AG$2:$AG$1001,MATCH(ROWS($AF$2:AF701),$AF$2:$AF$1001,0),1)&gt;=100000,INDEX($AM$1005:$BM$1005,1,MATCH(COLUMNS($AM$1006:BE1006),$AM$1006:$BM$1006,0))&gt;=100000), " ",IF(INDEX($AM$2:$BM$1001,MATCH(ROWS($AF$2:AF701),$AF$2:$AF$1001,0),MATCH(COLUMNS($AM$1006:BE1006),$AM$1006:$BM$1006,0)), HYPERLINK("#",""), HYPERLINK(CONCATENATE("#metadata!", ADDRESS(INDEX($AH$2:$AH$1001,MATCH(ROWS($AF$2:AF701),$AF$2:$AF$1001,0),0), INDEX($AM$1004:$BM$1004,1,MATCH(COLUMNS($AM$1006:BE1006),$AM$1006:$BM$1006,0)))),"Fix")))</f>
        <v xml:space="preserve"> </v>
      </c>
      <c r="U701" s="4" t="str">
        <f ca="1">IF(OR(INDEX($AG$2:$AG$1001,MATCH(ROWS($AF$2:AF701),$AF$2:$AF$1001,0),1)&gt;=100000,INDEX($AM$1005:$BM$1005,1,MATCH(COLUMNS($AM$1006:BF1006),$AM$1006:$BM$1006,0))&gt;=100000), " ",IF(INDEX($AM$2:$BM$1001,MATCH(ROWS($AF$2:AF701),$AF$2:$AF$1001,0),MATCH(COLUMNS($AM$1006:BF1006),$AM$1006:$BM$1006,0)), HYPERLINK("#",""), HYPERLINK(CONCATENATE("#metadata!", ADDRESS(INDEX($AH$2:$AH$1001,MATCH(ROWS($AF$2:AF701),$AF$2:$AF$1001,0),0), INDEX($AM$1004:$BM$1004,1,MATCH(COLUMNS($AM$1006:BF1006),$AM$1006:$BM$1006,0)))),"Fix")))</f>
        <v xml:space="preserve"> </v>
      </c>
      <c r="V701" s="4" t="str">
        <f ca="1">IF(OR(INDEX($AG$2:$AG$1001,MATCH(ROWS($AF$2:AF701),$AF$2:$AF$1001,0),1)&gt;=100000,INDEX($AM$1005:$BM$1005,1,MATCH(COLUMNS($AM$1006:BG1006),$AM$1006:$BM$1006,0))&gt;=100000), " ",IF(INDEX($AM$2:$BM$1001,MATCH(ROWS($AF$2:AF701),$AF$2:$AF$1001,0),MATCH(COLUMNS($AM$1006:BG1006),$AM$1006:$BM$1006,0)), HYPERLINK("#",""), HYPERLINK(CONCATENATE("#metadata!", ADDRESS(INDEX($AH$2:$AH$1001,MATCH(ROWS($AF$2:AF701),$AF$2:$AF$1001,0),0), INDEX($AM$1004:$BM$1004,1,MATCH(COLUMNS($AM$1006:BG1006),$AM$1006:$BM$1006,0)))),"Fix")))</f>
        <v xml:space="preserve"> </v>
      </c>
      <c r="W701" s="4" t="str">
        <f ca="1">IF(OR(INDEX($AG$2:$AG$1001,MATCH(ROWS($AF$2:AF701),$AF$2:$AF$1001,0),1)&gt;=100000,INDEX($AM$1005:$BM$1005,1,MATCH(COLUMNS($AM$1006:BH1006),$AM$1006:$BM$1006,0))&gt;=100000), " ",IF(INDEX($AM$2:$BM$1001,MATCH(ROWS($AF$2:AF701),$AF$2:$AF$1001,0),MATCH(COLUMNS($AM$1006:BH1006),$AM$1006:$BM$1006,0)), HYPERLINK("#",""), HYPERLINK(CONCATENATE("#metadata!", ADDRESS(INDEX($AH$2:$AH$1001,MATCH(ROWS($AF$2:AF701),$AF$2:$AF$1001,0),0), INDEX($AM$1004:$BM$1004,1,MATCH(COLUMNS($AM$1006:BH1006),$AM$1006:$BM$1006,0)))),"Fix")))</f>
        <v xml:space="preserve"> </v>
      </c>
      <c r="X701" s="4" t="str">
        <f ca="1">IF(OR(INDEX($AG$2:$AG$1001,MATCH(ROWS($AF$2:AF701),$AF$2:$AF$1001,0),1)&gt;=100000,INDEX($AM$1005:$BM$1005,1,MATCH(COLUMNS($AM$1006:BI1006),$AM$1006:$BM$1006,0))&gt;=100000), " ",IF(INDEX($AM$2:$BM$1001,MATCH(ROWS($AF$2:AF701),$AF$2:$AF$1001,0),MATCH(COLUMNS($AM$1006:BI1006),$AM$1006:$BM$1006,0)), HYPERLINK("#",""), HYPERLINK(CONCATENATE("#metadata!", ADDRESS(INDEX($AH$2:$AH$1001,MATCH(ROWS($AF$2:AF701),$AF$2:$AF$1001,0),0), INDEX($AM$1004:$BM$1004,1,MATCH(COLUMNS($AM$1006:BI1006),$AM$1006:$BM$1006,0)))),"Fix")))</f>
        <v xml:space="preserve"> </v>
      </c>
      <c r="Y701" s="4" t="str">
        <f ca="1">IF(OR(INDEX($AG$2:$AG$1001,MATCH(ROWS($AF$2:AF701),$AF$2:$AF$1001,0),1)&gt;=100000,INDEX($AM$1005:$BM$1005,1,MATCH(COLUMNS($AM$1006:BJ1006),$AM$1006:$BM$1006,0))&gt;=100000), " ",IF(INDEX($AM$2:$BM$1001,MATCH(ROWS($AF$2:AF701),$AF$2:$AF$1001,0),MATCH(COLUMNS($AM$1006:BJ1006),$AM$1006:$BM$1006,0)), HYPERLINK("#",""), HYPERLINK(CONCATENATE("#metadata!", ADDRESS(INDEX($AH$2:$AH$1001,MATCH(ROWS($AF$2:AF701),$AF$2:$AF$1001,0),0), INDEX($AM$1004:$BM$1004,1,MATCH(COLUMNS($AM$1006:BJ1006),$AM$1006:$BM$1006,0)))),"Fix")))</f>
        <v xml:space="preserve"> </v>
      </c>
      <c r="Z701" s="4" t="str">
        <f ca="1">IF(OR(INDEX($AG$2:$AG$1001,MATCH(ROWS($AF$2:AF701),$AF$2:$AF$1001,0),1)&gt;=100000,INDEX($AM$1005:$BM$1005,1,MATCH(COLUMNS($AM$1006:BK1006),$AM$1006:$BM$1006,0))&gt;=100000), " ",IF(INDEX($AM$2:$BM$1001,MATCH(ROWS($AF$2:AF701),$AF$2:$AF$1001,0),MATCH(COLUMNS($AM$1006:BK1006),$AM$1006:$BM$1006,0)), HYPERLINK("#",""), HYPERLINK(CONCATENATE("#metadata!", ADDRESS(INDEX($AH$2:$AH$1001,MATCH(ROWS($AF$2:AF701),$AF$2:$AF$1001,0),0), INDEX($AM$1004:$BM$1004,1,MATCH(COLUMNS($AM$1006:BK1006),$AM$1006:$BM$1006,0)))),"Fix")))</f>
        <v xml:space="preserve"> </v>
      </c>
      <c r="AA701" s="4" t="str">
        <f ca="1">IF(OR(INDEX($AG$2:$AG$1001,MATCH(ROWS($AF$2:AF701),$AF$2:$AF$1001,0),1)&gt;=100000,INDEX($AM$1005:$BM$1005,1,MATCH(COLUMNS($AM$1006:BL1006),$AM$1006:$BM$1006,0))&gt;=100000), " ",IF(INDEX($AM$2:$BM$1001,MATCH(ROWS($AF$2:AF701),$AF$2:$AF$1001,0),MATCH(COLUMNS($AM$1006:BL1006),$AM$1006:$BM$1006,0)), HYPERLINK("#",""), HYPERLINK(CONCATENATE("#metadata!", ADDRESS(INDEX($AH$2:$AH$1001,MATCH(ROWS($AF$2:AF701),$AF$2:$AF$1001,0),0), INDEX($AM$1004:$BM$1004,1,MATCH(COLUMNS($AM$1006:BL1006),$AM$1006:$BM$1006,0)))),"Fix")))</f>
        <v xml:space="preserve"> </v>
      </c>
      <c r="AB701" s="4" t="str">
        <f ca="1">IF(OR(INDEX($AG$2:$AG$1001,MATCH(ROWS($AF$2:AF701),$AF$2:$AF$1001,0),1)&gt;=100000,INDEX($AM$1005:$BM$1005,1,MATCH(COLUMNS($AM$1006:BM1006),$AM$1006:$BM$1006,0))&gt;=100000), " ",IF(INDEX($AM$2:$BM$1001,MATCH(ROWS($AF$2:AF701),$AF$2:$AF$1001,0),MATCH(COLUMNS($AM$1006:BM1006),$AM$1006:$BM$1006,0)), HYPERLINK("#",""), HYPERLINK(CONCATENATE("#metadata!", ADDRESS(INDEX($AH$2:$AH$1001,MATCH(ROWS($AF$2:AF701),$AF$2:$AF$1001,0),0), INDEX($AM$1004:$BM$1004,1,MATCH(COLUMNS($AM$1006:BM1006),$AM$1006:$BM$1006,0)))),"Fix")))</f>
        <v xml:space="preserve"> </v>
      </c>
      <c r="AF701">
        <v>700</v>
      </c>
      <c r="AG701">
        <v>100701</v>
      </c>
      <c r="AH701">
        <v>701</v>
      </c>
      <c r="AI701" t="b">
        <f t="shared" si="10"/>
        <v>1</v>
      </c>
      <c r="AJ701" t="b">
        <f>COUNTBLANK(metadata!B701:AB701)=COLUMNS(metadata!B701:AB701)</f>
        <v>1</v>
      </c>
      <c r="AK701" t="str">
        <v/>
      </c>
      <c r="AM701" t="b">
        <f ca="1">AND(IF(metadata!B701="",FALSE,TRUE),COUNTIF(metadata!B:B, metadata!B701) = 1,NOT(ISERROR(SUMPRODUCT(SEARCH(MID(metadata!B701,ROW(INDIRECT("1:"&amp;LEN(metadata!B701))), 1),"0123456789abcdefghijklmnopqrstuvwxyzABCDEFGHIJKLMNOPQRSTUVWXYZ.")))))</f>
        <v>0</v>
      </c>
      <c r="AN701" t="b">
        <f ca="1">OR(AND(IF(metadata!C701="",FALSE,TRUE),OR(EXACT(metadata!C701,"missing: not collected"),EXACT(metadata!C701,"missing: not provided"),EXACT(metadata!C701,"missing: restricted access"))),AND(IF(metadata!C701="",FALSE,TRUE),AND(AND(IFERROR(INT(LEFT(metadata!C701,4))&gt;1900,FALSE),IFERROR(INT(LEFT(metadata!C701,4))&lt;=YEAR(NOW()),FALSE)), OR(MID(metadata!C701,5,1)="", AND(AND(MID(metadata!C701,5,1)="-",IFERROR(INT(MID(metadata!C701,6,1))&gt;=0,FALSE),IFERROR(INT(MID(metadata!C701,6,1))&lt;=1,FALSE),NOT(MID(metadata!C701,7,1)=""),IFERROR(INT(MID(metadata!C701,6,2))&gt;=1,FALSE),IFERROR(INT(MID(metadata!C701,6,2))&lt;=12,FALSE)), OR(MID(metadata!C701,8,1)="", AND(AND(MID(metadata!C701,8,1)="-",IFERROR(INT(MID(metadata!C701,9,1))&gt;=0,FALSE),IFERROR(INT(MID(metadata!C701,9,1))&lt;=3,FALSE),NOT(MID(metadata!C701,10,1)=""),IFERROR(INT(MID(metadata!C701,9,2))&gt;=1,FALSE),IFERROR(INT(MID(metadata!C701,9,2))&lt;=31,FALSE)), OR(MID(metadata!C701,11,1)="", AND(AND(MID(metadata!C701,11,1)=" ",IFERROR(INT(MID(metadata!C701,12,1))&gt;=0,FALSE),IFERROR(INT(MID(metadata!C701,12,1))&lt;=2,FALSE),NOT(MID(metadata!C701,13,1)=""),IFERROR(INT(MID(metadata!C701,12,2))&gt;=0,FALSE),IFERROR(INT(MID(metadata!C701,12,2))&lt;=23,FALSE)), OR(MID(metadata!C701,14,1)="", AND(AND(MID(metadata!C701,14,1)=":",IFERROR(INT(MID(metadata!C701,15,1))&gt;=0,FALSE),IFERROR(INT(MID(metadata!C701,15,1))&lt;=5,FALSE),NOT(MID(metadata!C701,16,1)=""),IFERROR(INT(MID(metadata!C701,15,2))&gt;=0,FALSE),IFERROR(INT(MID(metadata!C701,15,2))&lt;=59,FALSE)), OR(MID(metadata!C701,17,1)="", AND(AND(MID(metadata!C701,17,1)=":",IFERROR(INT(MID(metadata!C701,18,1))&gt;=0,FALSE),IFERROR(INT(MID(metadata!C701,18,1))&lt;=5,FALSE),NOT(MID(metadata!C701,19,1)=""),IFERROR(INT(MID(metadata!C701,18,2))&gt;=0,FALSE),IFERROR(INT(MID(metadata!C701,18,2))&lt;=59,FALSE)), LEN(metadata!C701)&lt;=19)))))))))))))</f>
        <v>0</v>
      </c>
      <c r="AO701" t="b">
        <f>AND(IF(metadata!D701="",FALSE,TRUE),EXACT(metadata!D701,"Not applicable"))</f>
        <v>0</v>
      </c>
      <c r="AP701" t="b">
        <f>IF(metadata!E701="",FALSE,TRUE)</f>
        <v>0</v>
      </c>
      <c r="AQ701" t="b">
        <f>OR(AND(IF(metadata!F701="",FALSE,TRUE),OR(EXACT(metadata!F701,"missing: not collected"),EXACT(metadata!F701,"missing: not provided"))),AND(IF(metadata!F701="",FALSE,TRUE),OR(EXACT(metadata!F701,"TRUE"),EXACT(metadata!F701,"FALSE"))))</f>
        <v>0</v>
      </c>
      <c r="AR701" t="b">
        <f>OR(AND(IF(metadata!G701="",FALSE,TRUE),OR(EXACT(metadata!G701,"missing: not collected"),EXACT(metadata!G701,"missing: not provided"),EXACT(metadata!G701,"missing: restricted access"))),AND(IF(metadata!G701="",FALSE,ISNUMBER(VALUE(metadata!G701))),metadata!G701&gt;=-413))</f>
        <v>0</v>
      </c>
      <c r="AS701" t="b">
        <f>AND(IF(metadata!H701="",FALSE,TRUE),EXACT(metadata!H701,"meters"))</f>
        <v>0</v>
      </c>
      <c r="AT701" t="b">
        <f>AND(IF(metadata!I701="",FALSE,TRUE),OR(EXACT(metadata!I701,"Host-associated"),EXACT(metadata!I701,"Free-living")))</f>
        <v>0</v>
      </c>
      <c r="AU701" t="b">
        <f>AND(IF(metadata!J701="",FALSE,TRUE),OR(EXACT(metadata!J701,"Animal"),EXACT(metadata!J701,"Fungus"),EXACT(metadata!J701,"Plant"),EXACT(metadata!J701,"Saline"),EXACT(metadata!J701,"Non-saline")))</f>
        <v>0</v>
      </c>
      <c r="AV701" t="b">
        <f>AND(IF(metadata!K701="",FALSE,TRUE),OR(EXACT(metadata!K701,"Plant secretion"),EXACT(metadata!K701,"Plant rhizosphere"),EXACT(metadata!K701,"Plant surface"),EXACT(metadata!K701,"Plant corpus"),EXACT(metadata!K701,"Fungus surface"),EXACT(metadata!K701,"Fungus corpus"),EXACT(metadata!K701,"Animal surface"),EXACT(metadata!K701,"Animal proximal gut"),EXACT(metadata!K701,"Animal corpus"),EXACT(metadata!K701,"Animal distal gut"),EXACT(metadata!K701,"Animal secretion"),EXACT(metadata!K701,"Sub-surface (non-saline)"),EXACT(metadata!K701,"Surface (non-saline)"),EXACT(metadata!K701,"Water (non-saline)"),EXACT(metadata!K701,"Soil (non-saline)"),EXACT(metadata!K701,"Aerosol (non-saline)"),EXACT(metadata!K701,"Sediment (non-saline)"),EXACT(metadata!K701,"Surface (saline)"),EXACT(metadata!K701,"Water (saline)"),EXACT(metadata!K701,"Hypersaline (saline)"),EXACT(metadata!K701,"Aerosol (saline)"),EXACT(metadata!K701,"Sediment (saline)")))</f>
        <v>0</v>
      </c>
      <c r="AW701" t="b">
        <f>IF(metadata!L701="",FALSE,TRUE)</f>
        <v>0</v>
      </c>
      <c r="AX701" t="b">
        <f>IF(metadata!M701="",FALSE,TRUE)</f>
        <v>0</v>
      </c>
      <c r="AY701" t="b">
        <f>IF(metadata!N701="",FALSE,TRUE)</f>
        <v>0</v>
      </c>
      <c r="AZ701" t="b">
        <f>OR(AND(IF(metadata!O701="",FALSE,TRUE),OR(EXACT(metadata!O701,"missing: not collected"),EXACT(metadata!O701,"missing: not provided"),EXACT(metadata!O701,"missing: restricted access"))),AND(IF(metadata!O701="",FALSE,TRUE),OR(EXACT(metadata!O701,"air"),EXACT(metadata!O701,"built environment"),EXACT(metadata!O701,"host-associated"),EXACT(metadata!O701,"human-associated"),EXACT(metadata!O701,"human-skin"),EXACT(metadata!O701,"human-oral"),EXACT(metadata!O701,"human-gut"),EXACT(metadata!O701,"human-vaginal"),EXACT(metadata!O701,"microbial mat/biofilm"),EXACT(metadata!O701,"misc environment"),EXACT(metadata!O701,"plant-associated"),EXACT(metadata!O701,"sediment"),EXACT(metadata!O701,"soil"),EXACT(metadata!O701,"wastewater/sludge"),EXACT(metadata!O701,"water"))))</f>
        <v>0</v>
      </c>
      <c r="BA701" t="b">
        <f>IF(metadata!P701="",FALSE,TRUE)</f>
        <v>0</v>
      </c>
      <c r="BB701" t="b">
        <f>IF(metadata!Q701="",FALSE,TRUE)</f>
        <v>0</v>
      </c>
      <c r="BC701" t="b">
        <f>OR(AND(IF(metadata!R701="",FALSE,TRUE),OR(EXACT(metadata!R701,"missing: not collected"),EXACT(metadata!R701,"missing: not provided"),EXACT(metadata!R701,"missing: restricted access"))),AND(IF(metadata!R701="",FALSE,ISNUMBER(VALUE(metadata!R701))),metadata!R701&gt;=-90,metadata!R701&lt;=90))</f>
        <v>0</v>
      </c>
      <c r="BD701" t="b">
        <f>AND(IF(metadata!S701="",FALSE,TRUE),EXACT(metadata!S701,"Decimal degrees"))</f>
        <v>0</v>
      </c>
      <c r="BE701" t="b">
        <f>OR(AND(IF(metadata!T701="",FALSE,TRUE),OR(EXACT(metadata!T701,"missing: not collected"),EXACT(metadata!T701,"missing: not provided"),EXACT(metadata!T701,"missing: restricted access"))),AND(IF(metadata!T701="",FALSE,ISNUMBER(VALUE(metadata!T701))),metadata!T701&gt;=-180,metadata!T701&lt;=180))</f>
        <v>0</v>
      </c>
      <c r="BF701" t="b">
        <f>AND(IF(metadata!U701="",FALSE,TRUE),EXACT(metadata!U701,"Decimal degrees"))</f>
        <v>0</v>
      </c>
      <c r="BG701" t="b">
        <f>IF(metadata!V701="",FALSE,TRUE)</f>
        <v>0</v>
      </c>
      <c r="BH701" t="b">
        <f>OR(AND(IF(metadata!W701="",FALSE,TRUE),OR(EXACT(metadata!W701,"missing: not collected"),EXACT(metadata!W701,"missing: not provided"),EXACT(metadata!W701,"missing: restricted access"))),AND(IF(metadata!W701="",FALSE,TRUE),OR(EXACT(metadata!W701,"TRUE"),EXACT(metadata!W701,"FALSE"))))</f>
        <v>0</v>
      </c>
      <c r="BI701" t="b">
        <f>AND(IF(metadata!X701="",FALSE,TRUE),EXACT(metadata!X701,"other"))</f>
        <v>0</v>
      </c>
      <c r="BJ701" t="b">
        <f>IF(metadata!Y701="",FALSE,TRUE)</f>
        <v>0</v>
      </c>
      <c r="BK701" t="b">
        <f>OR(AND(IF(metadata!Z701="",FALSE,TRUE),OR(EXACT(metadata!Z701,"missing: not collected"),EXACT(metadata!Z701,"missing: not provided"))),AND(IF(metadata!Z701="",FALSE,IF(ISERROR(INT(metadata!Z701)),FALSE,INT(metadata!Z701)=metadata!Z701)),metadata!Z701&gt;0))</f>
        <v>0</v>
      </c>
      <c r="BL701" t="b">
        <f>AND(IF(metadata!AA701="",FALSE,TRUE),EXACT(metadata!AA701,"Not applicable"))</f>
        <v>0</v>
      </c>
      <c r="BM701" t="b">
        <f>IF(metadata!AB701="",FALSE,TRUE)</f>
        <v>0</v>
      </c>
    </row>
    <row r="702" spans="1:65" x14ac:dyDescent="0.2">
      <c r="A702" s="5" t="str">
        <f ca="1">IF(B702=" "," ",HYPERLINK(CONCATENATE("#metadata!",ADDRESS(INDEX($AH$2:$AH$1001,MATCH(ROWS($AF$2:AF702),$AF$2:$AF$1001,0),0),1)),INDEX($AK$2:$AK$1001,MATCH(ROWS($AF$2:AF702),$AF$2:$AF$1001,0),0)))</f>
        <v xml:space="preserve"> </v>
      </c>
      <c r="B702" s="4" t="str">
        <f ca="1">IF(OR(INDEX($AG$2:$AG$1001,MATCH(ROWS($AF$2:AF702),$AF$2:$AF$1001,0),1)&gt;=100000,INDEX($AM$1005:$BM$1005,1,MATCH(COLUMNS($AM$1006:AM1006),$AM$1006:$BM$1006,0))&gt;=100000), " ",IF(INDEX($AM$2:$BM$1001,MATCH(ROWS($AF$2:AF702),$AF$2:$AF$1001,0),MATCH(COLUMNS($AM$1006:AM1006),$AM$1006:$BM$1006,0)), HYPERLINK("#",""), HYPERLINK(CONCATENATE("#metadata!", ADDRESS(INDEX($AH$2:$AH$1001,MATCH(ROWS($AF$2:AF702),$AF$2:$AF$1001,0),0), INDEX($AM$1004:$BM$1004,1,MATCH(COLUMNS($AM$1006:AM1006),$AM$1006:$BM$1006,0)))),"Fix")))</f>
        <v xml:space="preserve"> </v>
      </c>
      <c r="C702" s="4" t="str">
        <f ca="1">IF(OR(INDEX($AG$2:$AG$1001,MATCH(ROWS($AF$2:AF702),$AF$2:$AF$1001,0),1)&gt;=100000,INDEX($AM$1005:$BM$1005,1,MATCH(COLUMNS($AM$1006:AN1006),$AM$1006:$BM$1006,0))&gt;=100000), " ",IF(INDEX($AM$2:$BM$1001,MATCH(ROWS($AF$2:AF702),$AF$2:$AF$1001,0),MATCH(COLUMNS($AM$1006:AN1006),$AM$1006:$BM$1006,0)), HYPERLINK("#",""), HYPERLINK(CONCATENATE("#metadata!", ADDRESS(INDEX($AH$2:$AH$1001,MATCH(ROWS($AF$2:AF702),$AF$2:$AF$1001,0),0), INDEX($AM$1004:$BM$1004,1,MATCH(COLUMNS($AM$1006:AN1006),$AM$1006:$BM$1006,0)))),"Fix")))</f>
        <v xml:space="preserve"> </v>
      </c>
      <c r="D702" s="4" t="str">
        <f ca="1">IF(OR(INDEX($AG$2:$AG$1001,MATCH(ROWS($AF$2:AF702),$AF$2:$AF$1001,0),1)&gt;=100000,INDEX($AM$1005:$BM$1005,1,MATCH(COLUMNS($AM$1006:AO1006),$AM$1006:$BM$1006,0))&gt;=100000), " ",IF(INDEX($AM$2:$BM$1001,MATCH(ROWS($AF$2:AF702),$AF$2:$AF$1001,0),MATCH(COLUMNS($AM$1006:AO1006),$AM$1006:$BM$1006,0)), HYPERLINK("#",""), HYPERLINK(CONCATENATE("#metadata!", ADDRESS(INDEX($AH$2:$AH$1001,MATCH(ROWS($AF$2:AF702),$AF$2:$AF$1001,0),0), INDEX($AM$1004:$BM$1004,1,MATCH(COLUMNS($AM$1006:AO1006),$AM$1006:$BM$1006,0)))),"Fix")))</f>
        <v xml:space="preserve"> </v>
      </c>
      <c r="E702" s="4" t="str">
        <f ca="1">IF(OR(INDEX($AG$2:$AG$1001,MATCH(ROWS($AF$2:AF702),$AF$2:$AF$1001,0),1)&gt;=100000,INDEX($AM$1005:$BM$1005,1,MATCH(COLUMNS($AM$1006:AP1006),$AM$1006:$BM$1006,0))&gt;=100000), " ",IF(INDEX($AM$2:$BM$1001,MATCH(ROWS($AF$2:AF702),$AF$2:$AF$1001,0),MATCH(COLUMNS($AM$1006:AP1006),$AM$1006:$BM$1006,0)), HYPERLINK("#",""), HYPERLINK(CONCATENATE("#metadata!", ADDRESS(INDEX($AH$2:$AH$1001,MATCH(ROWS($AF$2:AF702),$AF$2:$AF$1001,0),0), INDEX($AM$1004:$BM$1004,1,MATCH(COLUMNS($AM$1006:AP1006),$AM$1006:$BM$1006,0)))),"Fix")))</f>
        <v xml:space="preserve"> </v>
      </c>
      <c r="F702" s="4" t="str">
        <f ca="1">IF(OR(INDEX($AG$2:$AG$1001,MATCH(ROWS($AF$2:AF702),$AF$2:$AF$1001,0),1)&gt;=100000,INDEX($AM$1005:$BM$1005,1,MATCH(COLUMNS($AM$1006:AQ1006),$AM$1006:$BM$1006,0))&gt;=100000), " ",IF(INDEX($AM$2:$BM$1001,MATCH(ROWS($AF$2:AF702),$AF$2:$AF$1001,0),MATCH(COLUMNS($AM$1006:AQ1006),$AM$1006:$BM$1006,0)), HYPERLINK("#",""), HYPERLINK(CONCATENATE("#metadata!", ADDRESS(INDEX($AH$2:$AH$1001,MATCH(ROWS($AF$2:AF702),$AF$2:$AF$1001,0),0), INDEX($AM$1004:$BM$1004,1,MATCH(COLUMNS($AM$1006:AQ1006),$AM$1006:$BM$1006,0)))),"Fix")))</f>
        <v xml:space="preserve"> </v>
      </c>
      <c r="G702" s="4" t="str">
        <f ca="1">IF(OR(INDEX($AG$2:$AG$1001,MATCH(ROWS($AF$2:AF702),$AF$2:$AF$1001,0),1)&gt;=100000,INDEX($AM$1005:$BM$1005,1,MATCH(COLUMNS($AM$1006:AR1006),$AM$1006:$BM$1006,0))&gt;=100000), " ",IF(INDEX($AM$2:$BM$1001,MATCH(ROWS($AF$2:AF702),$AF$2:$AF$1001,0),MATCH(COLUMNS($AM$1006:AR1006),$AM$1006:$BM$1006,0)), HYPERLINK("#",""), HYPERLINK(CONCATENATE("#metadata!", ADDRESS(INDEX($AH$2:$AH$1001,MATCH(ROWS($AF$2:AF702),$AF$2:$AF$1001,0),0), INDEX($AM$1004:$BM$1004,1,MATCH(COLUMNS($AM$1006:AR1006),$AM$1006:$BM$1006,0)))),"Fix")))</f>
        <v xml:space="preserve"> </v>
      </c>
      <c r="H702" s="4" t="str">
        <f ca="1">IF(OR(INDEX($AG$2:$AG$1001,MATCH(ROWS($AF$2:AF702),$AF$2:$AF$1001,0),1)&gt;=100000,INDEX($AM$1005:$BM$1005,1,MATCH(COLUMNS($AM$1006:AS1006),$AM$1006:$BM$1006,0))&gt;=100000), " ",IF(INDEX($AM$2:$BM$1001,MATCH(ROWS($AF$2:AF702),$AF$2:$AF$1001,0),MATCH(COLUMNS($AM$1006:AS1006),$AM$1006:$BM$1006,0)), HYPERLINK("#",""), HYPERLINK(CONCATENATE("#metadata!", ADDRESS(INDEX($AH$2:$AH$1001,MATCH(ROWS($AF$2:AF702),$AF$2:$AF$1001,0),0), INDEX($AM$1004:$BM$1004,1,MATCH(COLUMNS($AM$1006:AS1006),$AM$1006:$BM$1006,0)))),"Fix")))</f>
        <v xml:space="preserve"> </v>
      </c>
      <c r="I702" s="4" t="str">
        <f ca="1">IF(OR(INDEX($AG$2:$AG$1001,MATCH(ROWS($AF$2:AF702),$AF$2:$AF$1001,0),1)&gt;=100000,INDEX($AM$1005:$BM$1005,1,MATCH(COLUMNS($AM$1006:AT1006),$AM$1006:$BM$1006,0))&gt;=100000), " ",IF(INDEX($AM$2:$BM$1001,MATCH(ROWS($AF$2:AF702),$AF$2:$AF$1001,0),MATCH(COLUMNS($AM$1006:AT1006),$AM$1006:$BM$1006,0)), HYPERLINK("#",""), HYPERLINK(CONCATENATE("#metadata!", ADDRESS(INDEX($AH$2:$AH$1001,MATCH(ROWS($AF$2:AF702),$AF$2:$AF$1001,0),0), INDEX($AM$1004:$BM$1004,1,MATCH(COLUMNS($AM$1006:AT1006),$AM$1006:$BM$1006,0)))),"Fix")))</f>
        <v xml:space="preserve"> </v>
      </c>
      <c r="J702" s="4" t="str">
        <f ca="1">IF(OR(INDEX($AG$2:$AG$1001,MATCH(ROWS($AF$2:AF702),$AF$2:$AF$1001,0),1)&gt;=100000,INDEX($AM$1005:$BM$1005,1,MATCH(COLUMNS($AM$1006:AU1006),$AM$1006:$BM$1006,0))&gt;=100000), " ",IF(INDEX($AM$2:$BM$1001,MATCH(ROWS($AF$2:AF702),$AF$2:$AF$1001,0),MATCH(COLUMNS($AM$1006:AU1006),$AM$1006:$BM$1006,0)), HYPERLINK("#",""), HYPERLINK(CONCATENATE("#metadata!", ADDRESS(INDEX($AH$2:$AH$1001,MATCH(ROWS($AF$2:AF702),$AF$2:$AF$1001,0),0), INDEX($AM$1004:$BM$1004,1,MATCH(COLUMNS($AM$1006:AU1006),$AM$1006:$BM$1006,0)))),"Fix")))</f>
        <v xml:space="preserve"> </v>
      </c>
      <c r="K702" s="4" t="str">
        <f ca="1">IF(OR(INDEX($AG$2:$AG$1001,MATCH(ROWS($AF$2:AF702),$AF$2:$AF$1001,0),1)&gt;=100000,INDEX($AM$1005:$BM$1005,1,MATCH(COLUMNS($AM$1006:AV1006),$AM$1006:$BM$1006,0))&gt;=100000), " ",IF(INDEX($AM$2:$BM$1001,MATCH(ROWS($AF$2:AF702),$AF$2:$AF$1001,0),MATCH(COLUMNS($AM$1006:AV1006),$AM$1006:$BM$1006,0)), HYPERLINK("#",""), HYPERLINK(CONCATENATE("#metadata!", ADDRESS(INDEX($AH$2:$AH$1001,MATCH(ROWS($AF$2:AF702),$AF$2:$AF$1001,0),0), INDEX($AM$1004:$BM$1004,1,MATCH(COLUMNS($AM$1006:AV1006),$AM$1006:$BM$1006,0)))),"Fix")))</f>
        <v xml:space="preserve"> </v>
      </c>
      <c r="L702" s="4" t="str">
        <f ca="1">IF(OR(INDEX($AG$2:$AG$1001,MATCH(ROWS($AF$2:AF702),$AF$2:$AF$1001,0),1)&gt;=100000,INDEX($AM$1005:$BM$1005,1,MATCH(COLUMNS($AM$1006:AW1006),$AM$1006:$BM$1006,0))&gt;=100000), " ",IF(INDEX($AM$2:$BM$1001,MATCH(ROWS($AF$2:AF702),$AF$2:$AF$1001,0),MATCH(COLUMNS($AM$1006:AW1006),$AM$1006:$BM$1006,0)), HYPERLINK("#",""), HYPERLINK(CONCATENATE("#metadata!", ADDRESS(INDEX($AH$2:$AH$1001,MATCH(ROWS($AF$2:AF702),$AF$2:$AF$1001,0),0), INDEX($AM$1004:$BM$1004,1,MATCH(COLUMNS($AM$1006:AW1006),$AM$1006:$BM$1006,0)))),"Fix")))</f>
        <v xml:space="preserve"> </v>
      </c>
      <c r="M702" s="4" t="str">
        <f ca="1">IF(OR(INDEX($AG$2:$AG$1001,MATCH(ROWS($AF$2:AF702),$AF$2:$AF$1001,0),1)&gt;=100000,INDEX($AM$1005:$BM$1005,1,MATCH(COLUMNS($AM$1006:AX1006),$AM$1006:$BM$1006,0))&gt;=100000), " ",IF(INDEX($AM$2:$BM$1001,MATCH(ROWS($AF$2:AF702),$AF$2:$AF$1001,0),MATCH(COLUMNS($AM$1006:AX1006),$AM$1006:$BM$1006,0)), HYPERLINK("#",""), HYPERLINK(CONCATENATE("#metadata!", ADDRESS(INDEX($AH$2:$AH$1001,MATCH(ROWS($AF$2:AF702),$AF$2:$AF$1001,0),0), INDEX($AM$1004:$BM$1004,1,MATCH(COLUMNS($AM$1006:AX1006),$AM$1006:$BM$1006,0)))),"Fix")))</f>
        <v xml:space="preserve"> </v>
      </c>
      <c r="N702" s="4" t="str">
        <f ca="1">IF(OR(INDEX($AG$2:$AG$1001,MATCH(ROWS($AF$2:AF702),$AF$2:$AF$1001,0),1)&gt;=100000,INDEX($AM$1005:$BM$1005,1,MATCH(COLUMNS($AM$1006:AY1006),$AM$1006:$BM$1006,0))&gt;=100000), " ",IF(INDEX($AM$2:$BM$1001,MATCH(ROWS($AF$2:AF702),$AF$2:$AF$1001,0),MATCH(COLUMNS($AM$1006:AY1006),$AM$1006:$BM$1006,0)), HYPERLINK("#",""), HYPERLINK(CONCATENATE("#metadata!", ADDRESS(INDEX($AH$2:$AH$1001,MATCH(ROWS($AF$2:AF702),$AF$2:$AF$1001,0),0), INDEX($AM$1004:$BM$1004,1,MATCH(COLUMNS($AM$1006:AY1006),$AM$1006:$BM$1006,0)))),"Fix")))</f>
        <v xml:space="preserve"> </v>
      </c>
      <c r="O702" s="4" t="str">
        <f ca="1">IF(OR(INDEX($AG$2:$AG$1001,MATCH(ROWS($AF$2:AF702),$AF$2:$AF$1001,0),1)&gt;=100000,INDEX($AM$1005:$BM$1005,1,MATCH(COLUMNS($AM$1006:AZ1006),$AM$1006:$BM$1006,0))&gt;=100000), " ",IF(INDEX($AM$2:$BM$1001,MATCH(ROWS($AF$2:AF702),$AF$2:$AF$1001,0),MATCH(COLUMNS($AM$1006:AZ1006),$AM$1006:$BM$1006,0)), HYPERLINK("#",""), HYPERLINK(CONCATENATE("#metadata!", ADDRESS(INDEX($AH$2:$AH$1001,MATCH(ROWS($AF$2:AF702),$AF$2:$AF$1001,0),0), INDEX($AM$1004:$BM$1004,1,MATCH(COLUMNS($AM$1006:AZ1006),$AM$1006:$BM$1006,0)))),"Fix")))</f>
        <v xml:space="preserve"> </v>
      </c>
      <c r="P702" s="4" t="str">
        <f ca="1">IF(OR(INDEX($AG$2:$AG$1001,MATCH(ROWS($AF$2:AF702),$AF$2:$AF$1001,0),1)&gt;=100000,INDEX($AM$1005:$BM$1005,1,MATCH(COLUMNS($AM$1006:BA1006),$AM$1006:$BM$1006,0))&gt;=100000), " ",IF(INDEX($AM$2:$BM$1001,MATCH(ROWS($AF$2:AF702),$AF$2:$AF$1001,0),MATCH(COLUMNS($AM$1006:BA1006),$AM$1006:$BM$1006,0)), HYPERLINK("#",""), HYPERLINK(CONCATENATE("#metadata!", ADDRESS(INDEX($AH$2:$AH$1001,MATCH(ROWS($AF$2:AF702),$AF$2:$AF$1001,0),0), INDEX($AM$1004:$BM$1004,1,MATCH(COLUMNS($AM$1006:BA1006),$AM$1006:$BM$1006,0)))),"Fix")))</f>
        <v xml:space="preserve"> </v>
      </c>
      <c r="Q702" s="4" t="str">
        <f ca="1">IF(OR(INDEX($AG$2:$AG$1001,MATCH(ROWS($AF$2:AF702),$AF$2:$AF$1001,0),1)&gt;=100000,INDEX($AM$1005:$BM$1005,1,MATCH(COLUMNS($AM$1006:BB1006),$AM$1006:$BM$1006,0))&gt;=100000), " ",IF(INDEX($AM$2:$BM$1001,MATCH(ROWS($AF$2:AF702),$AF$2:$AF$1001,0),MATCH(COLUMNS($AM$1006:BB1006),$AM$1006:$BM$1006,0)), HYPERLINK("#",""), HYPERLINK(CONCATENATE("#metadata!", ADDRESS(INDEX($AH$2:$AH$1001,MATCH(ROWS($AF$2:AF702),$AF$2:$AF$1001,0),0), INDEX($AM$1004:$BM$1004,1,MATCH(COLUMNS($AM$1006:BB1006),$AM$1006:$BM$1006,0)))),"Fix")))</f>
        <v xml:space="preserve"> </v>
      </c>
      <c r="R702" s="4" t="str">
        <f ca="1">IF(OR(INDEX($AG$2:$AG$1001,MATCH(ROWS($AF$2:AF702),$AF$2:$AF$1001,0),1)&gt;=100000,INDEX($AM$1005:$BM$1005,1,MATCH(COLUMNS($AM$1006:BC1006),$AM$1006:$BM$1006,0))&gt;=100000), " ",IF(INDEX($AM$2:$BM$1001,MATCH(ROWS($AF$2:AF702),$AF$2:$AF$1001,0),MATCH(COLUMNS($AM$1006:BC1006),$AM$1006:$BM$1006,0)), HYPERLINK("#",""), HYPERLINK(CONCATENATE("#metadata!", ADDRESS(INDEX($AH$2:$AH$1001,MATCH(ROWS($AF$2:AF702),$AF$2:$AF$1001,0),0), INDEX($AM$1004:$BM$1004,1,MATCH(COLUMNS($AM$1006:BC1006),$AM$1006:$BM$1006,0)))),"Fix")))</f>
        <v xml:space="preserve"> </v>
      </c>
      <c r="S702" s="4" t="str">
        <f ca="1">IF(OR(INDEX($AG$2:$AG$1001,MATCH(ROWS($AF$2:AF702),$AF$2:$AF$1001,0),1)&gt;=100000,INDEX($AM$1005:$BM$1005,1,MATCH(COLUMNS($AM$1006:BD1006),$AM$1006:$BM$1006,0))&gt;=100000), " ",IF(INDEX($AM$2:$BM$1001,MATCH(ROWS($AF$2:AF702),$AF$2:$AF$1001,0),MATCH(COLUMNS($AM$1006:BD1006),$AM$1006:$BM$1006,0)), HYPERLINK("#",""), HYPERLINK(CONCATENATE("#metadata!", ADDRESS(INDEX($AH$2:$AH$1001,MATCH(ROWS($AF$2:AF702),$AF$2:$AF$1001,0),0), INDEX($AM$1004:$BM$1004,1,MATCH(COLUMNS($AM$1006:BD1006),$AM$1006:$BM$1006,0)))),"Fix")))</f>
        <v xml:space="preserve"> </v>
      </c>
      <c r="T702" s="4" t="str">
        <f ca="1">IF(OR(INDEX($AG$2:$AG$1001,MATCH(ROWS($AF$2:AF702),$AF$2:$AF$1001,0),1)&gt;=100000,INDEX($AM$1005:$BM$1005,1,MATCH(COLUMNS($AM$1006:BE1006),$AM$1006:$BM$1006,0))&gt;=100000), " ",IF(INDEX($AM$2:$BM$1001,MATCH(ROWS($AF$2:AF702),$AF$2:$AF$1001,0),MATCH(COLUMNS($AM$1006:BE1006),$AM$1006:$BM$1006,0)), HYPERLINK("#",""), HYPERLINK(CONCATENATE("#metadata!", ADDRESS(INDEX($AH$2:$AH$1001,MATCH(ROWS($AF$2:AF702),$AF$2:$AF$1001,0),0), INDEX($AM$1004:$BM$1004,1,MATCH(COLUMNS($AM$1006:BE1006),$AM$1006:$BM$1006,0)))),"Fix")))</f>
        <v xml:space="preserve"> </v>
      </c>
      <c r="U702" s="4" t="str">
        <f ca="1">IF(OR(INDEX($AG$2:$AG$1001,MATCH(ROWS($AF$2:AF702),$AF$2:$AF$1001,0),1)&gt;=100000,INDEX($AM$1005:$BM$1005,1,MATCH(COLUMNS($AM$1006:BF1006),$AM$1006:$BM$1006,0))&gt;=100000), " ",IF(INDEX($AM$2:$BM$1001,MATCH(ROWS($AF$2:AF702),$AF$2:$AF$1001,0),MATCH(COLUMNS($AM$1006:BF1006),$AM$1006:$BM$1006,0)), HYPERLINK("#",""), HYPERLINK(CONCATENATE("#metadata!", ADDRESS(INDEX($AH$2:$AH$1001,MATCH(ROWS($AF$2:AF702),$AF$2:$AF$1001,0),0), INDEX($AM$1004:$BM$1004,1,MATCH(COLUMNS($AM$1006:BF1006),$AM$1006:$BM$1006,0)))),"Fix")))</f>
        <v xml:space="preserve"> </v>
      </c>
      <c r="V702" s="4" t="str">
        <f ca="1">IF(OR(INDEX($AG$2:$AG$1001,MATCH(ROWS($AF$2:AF702),$AF$2:$AF$1001,0),1)&gt;=100000,INDEX($AM$1005:$BM$1005,1,MATCH(COLUMNS($AM$1006:BG1006),$AM$1006:$BM$1006,0))&gt;=100000), " ",IF(INDEX($AM$2:$BM$1001,MATCH(ROWS($AF$2:AF702),$AF$2:$AF$1001,0),MATCH(COLUMNS($AM$1006:BG1006),$AM$1006:$BM$1006,0)), HYPERLINK("#",""), HYPERLINK(CONCATENATE("#metadata!", ADDRESS(INDEX($AH$2:$AH$1001,MATCH(ROWS($AF$2:AF702),$AF$2:$AF$1001,0),0), INDEX($AM$1004:$BM$1004,1,MATCH(COLUMNS($AM$1006:BG1006),$AM$1006:$BM$1006,0)))),"Fix")))</f>
        <v xml:space="preserve"> </v>
      </c>
      <c r="W702" s="4" t="str">
        <f ca="1">IF(OR(INDEX($AG$2:$AG$1001,MATCH(ROWS($AF$2:AF702),$AF$2:$AF$1001,0),1)&gt;=100000,INDEX($AM$1005:$BM$1005,1,MATCH(COLUMNS($AM$1006:BH1006),$AM$1006:$BM$1006,0))&gt;=100000), " ",IF(INDEX($AM$2:$BM$1001,MATCH(ROWS($AF$2:AF702),$AF$2:$AF$1001,0),MATCH(COLUMNS($AM$1006:BH1006),$AM$1006:$BM$1006,0)), HYPERLINK("#",""), HYPERLINK(CONCATENATE("#metadata!", ADDRESS(INDEX($AH$2:$AH$1001,MATCH(ROWS($AF$2:AF702),$AF$2:$AF$1001,0),0), INDEX($AM$1004:$BM$1004,1,MATCH(COLUMNS($AM$1006:BH1006),$AM$1006:$BM$1006,0)))),"Fix")))</f>
        <v xml:space="preserve"> </v>
      </c>
      <c r="X702" s="4" t="str">
        <f ca="1">IF(OR(INDEX($AG$2:$AG$1001,MATCH(ROWS($AF$2:AF702),$AF$2:$AF$1001,0),1)&gt;=100000,INDEX($AM$1005:$BM$1005,1,MATCH(COLUMNS($AM$1006:BI1006),$AM$1006:$BM$1006,0))&gt;=100000), " ",IF(INDEX($AM$2:$BM$1001,MATCH(ROWS($AF$2:AF702),$AF$2:$AF$1001,0),MATCH(COLUMNS($AM$1006:BI1006),$AM$1006:$BM$1006,0)), HYPERLINK("#",""), HYPERLINK(CONCATENATE("#metadata!", ADDRESS(INDEX($AH$2:$AH$1001,MATCH(ROWS($AF$2:AF702),$AF$2:$AF$1001,0),0), INDEX($AM$1004:$BM$1004,1,MATCH(COLUMNS($AM$1006:BI1006),$AM$1006:$BM$1006,0)))),"Fix")))</f>
        <v xml:space="preserve"> </v>
      </c>
      <c r="Y702" s="4" t="str">
        <f ca="1">IF(OR(INDEX($AG$2:$AG$1001,MATCH(ROWS($AF$2:AF702),$AF$2:$AF$1001,0),1)&gt;=100000,INDEX($AM$1005:$BM$1005,1,MATCH(COLUMNS($AM$1006:BJ1006),$AM$1006:$BM$1006,0))&gt;=100000), " ",IF(INDEX($AM$2:$BM$1001,MATCH(ROWS($AF$2:AF702),$AF$2:$AF$1001,0),MATCH(COLUMNS($AM$1006:BJ1006),$AM$1006:$BM$1006,0)), HYPERLINK("#",""), HYPERLINK(CONCATENATE("#metadata!", ADDRESS(INDEX($AH$2:$AH$1001,MATCH(ROWS($AF$2:AF702),$AF$2:$AF$1001,0),0), INDEX($AM$1004:$BM$1004,1,MATCH(COLUMNS($AM$1006:BJ1006),$AM$1006:$BM$1006,0)))),"Fix")))</f>
        <v xml:space="preserve"> </v>
      </c>
      <c r="Z702" s="4" t="str">
        <f ca="1">IF(OR(INDEX($AG$2:$AG$1001,MATCH(ROWS($AF$2:AF702),$AF$2:$AF$1001,0),1)&gt;=100000,INDEX($AM$1005:$BM$1005,1,MATCH(COLUMNS($AM$1006:BK1006),$AM$1006:$BM$1006,0))&gt;=100000), " ",IF(INDEX($AM$2:$BM$1001,MATCH(ROWS($AF$2:AF702),$AF$2:$AF$1001,0),MATCH(COLUMNS($AM$1006:BK1006),$AM$1006:$BM$1006,0)), HYPERLINK("#",""), HYPERLINK(CONCATENATE("#metadata!", ADDRESS(INDEX($AH$2:$AH$1001,MATCH(ROWS($AF$2:AF702),$AF$2:$AF$1001,0),0), INDEX($AM$1004:$BM$1004,1,MATCH(COLUMNS($AM$1006:BK1006),$AM$1006:$BM$1006,0)))),"Fix")))</f>
        <v xml:space="preserve"> </v>
      </c>
      <c r="AA702" s="4" t="str">
        <f ca="1">IF(OR(INDEX($AG$2:$AG$1001,MATCH(ROWS($AF$2:AF702),$AF$2:$AF$1001,0),1)&gt;=100000,INDEX($AM$1005:$BM$1005,1,MATCH(COLUMNS($AM$1006:BL1006),$AM$1006:$BM$1006,0))&gt;=100000), " ",IF(INDEX($AM$2:$BM$1001,MATCH(ROWS($AF$2:AF702),$AF$2:$AF$1001,0),MATCH(COLUMNS($AM$1006:BL1006),$AM$1006:$BM$1006,0)), HYPERLINK("#",""), HYPERLINK(CONCATENATE("#metadata!", ADDRESS(INDEX($AH$2:$AH$1001,MATCH(ROWS($AF$2:AF702),$AF$2:$AF$1001,0),0), INDEX($AM$1004:$BM$1004,1,MATCH(COLUMNS($AM$1006:BL1006),$AM$1006:$BM$1006,0)))),"Fix")))</f>
        <v xml:space="preserve"> </v>
      </c>
      <c r="AB702" s="4" t="str">
        <f ca="1">IF(OR(INDEX($AG$2:$AG$1001,MATCH(ROWS($AF$2:AF702),$AF$2:$AF$1001,0),1)&gt;=100000,INDEX($AM$1005:$BM$1005,1,MATCH(COLUMNS($AM$1006:BM1006),$AM$1006:$BM$1006,0))&gt;=100000), " ",IF(INDEX($AM$2:$BM$1001,MATCH(ROWS($AF$2:AF702),$AF$2:$AF$1001,0),MATCH(COLUMNS($AM$1006:BM1006),$AM$1006:$BM$1006,0)), HYPERLINK("#",""), HYPERLINK(CONCATENATE("#metadata!", ADDRESS(INDEX($AH$2:$AH$1001,MATCH(ROWS($AF$2:AF702),$AF$2:$AF$1001,0),0), INDEX($AM$1004:$BM$1004,1,MATCH(COLUMNS($AM$1006:BM1006),$AM$1006:$BM$1006,0)))),"Fix")))</f>
        <v xml:space="preserve"> </v>
      </c>
      <c r="AF702">
        <v>701</v>
      </c>
      <c r="AG702">
        <v>100702</v>
      </c>
      <c r="AH702">
        <v>702</v>
      </c>
      <c r="AI702" t="b">
        <f t="shared" si="10"/>
        <v>1</v>
      </c>
      <c r="AJ702" t="b">
        <f>COUNTBLANK(metadata!B702:AB702)=COLUMNS(metadata!B702:AB702)</f>
        <v>1</v>
      </c>
      <c r="AK702" t="str">
        <v/>
      </c>
      <c r="AM702" t="b">
        <f ca="1">AND(IF(metadata!B702="",FALSE,TRUE),COUNTIF(metadata!B:B, metadata!B702) = 1,NOT(ISERROR(SUMPRODUCT(SEARCH(MID(metadata!B702,ROW(INDIRECT("1:"&amp;LEN(metadata!B702))), 1),"0123456789abcdefghijklmnopqrstuvwxyzABCDEFGHIJKLMNOPQRSTUVWXYZ.")))))</f>
        <v>0</v>
      </c>
      <c r="AN702" t="b">
        <f ca="1">OR(AND(IF(metadata!C702="",FALSE,TRUE),OR(EXACT(metadata!C702,"missing: not collected"),EXACT(metadata!C702,"missing: not provided"),EXACT(metadata!C702,"missing: restricted access"))),AND(IF(metadata!C702="",FALSE,TRUE),AND(AND(IFERROR(INT(LEFT(metadata!C702,4))&gt;1900,FALSE),IFERROR(INT(LEFT(metadata!C702,4))&lt;=YEAR(NOW()),FALSE)), OR(MID(metadata!C702,5,1)="", AND(AND(MID(metadata!C702,5,1)="-",IFERROR(INT(MID(metadata!C702,6,1))&gt;=0,FALSE),IFERROR(INT(MID(metadata!C702,6,1))&lt;=1,FALSE),NOT(MID(metadata!C702,7,1)=""),IFERROR(INT(MID(metadata!C702,6,2))&gt;=1,FALSE),IFERROR(INT(MID(metadata!C702,6,2))&lt;=12,FALSE)), OR(MID(metadata!C702,8,1)="", AND(AND(MID(metadata!C702,8,1)="-",IFERROR(INT(MID(metadata!C702,9,1))&gt;=0,FALSE),IFERROR(INT(MID(metadata!C702,9,1))&lt;=3,FALSE),NOT(MID(metadata!C702,10,1)=""),IFERROR(INT(MID(metadata!C702,9,2))&gt;=1,FALSE),IFERROR(INT(MID(metadata!C702,9,2))&lt;=31,FALSE)), OR(MID(metadata!C702,11,1)="", AND(AND(MID(metadata!C702,11,1)=" ",IFERROR(INT(MID(metadata!C702,12,1))&gt;=0,FALSE),IFERROR(INT(MID(metadata!C702,12,1))&lt;=2,FALSE),NOT(MID(metadata!C702,13,1)=""),IFERROR(INT(MID(metadata!C702,12,2))&gt;=0,FALSE),IFERROR(INT(MID(metadata!C702,12,2))&lt;=23,FALSE)), OR(MID(metadata!C702,14,1)="", AND(AND(MID(metadata!C702,14,1)=":",IFERROR(INT(MID(metadata!C702,15,1))&gt;=0,FALSE),IFERROR(INT(MID(metadata!C702,15,1))&lt;=5,FALSE),NOT(MID(metadata!C702,16,1)=""),IFERROR(INT(MID(metadata!C702,15,2))&gt;=0,FALSE),IFERROR(INT(MID(metadata!C702,15,2))&lt;=59,FALSE)), OR(MID(metadata!C702,17,1)="", AND(AND(MID(metadata!C702,17,1)=":",IFERROR(INT(MID(metadata!C702,18,1))&gt;=0,FALSE),IFERROR(INT(MID(metadata!C702,18,1))&lt;=5,FALSE),NOT(MID(metadata!C702,19,1)=""),IFERROR(INT(MID(metadata!C702,18,2))&gt;=0,FALSE),IFERROR(INT(MID(metadata!C702,18,2))&lt;=59,FALSE)), LEN(metadata!C702)&lt;=19)))))))))))))</f>
        <v>0</v>
      </c>
      <c r="AO702" t="b">
        <f>AND(IF(metadata!D702="",FALSE,TRUE),EXACT(metadata!D702,"Not applicable"))</f>
        <v>0</v>
      </c>
      <c r="AP702" t="b">
        <f>IF(metadata!E702="",FALSE,TRUE)</f>
        <v>0</v>
      </c>
      <c r="AQ702" t="b">
        <f>OR(AND(IF(metadata!F702="",FALSE,TRUE),OR(EXACT(metadata!F702,"missing: not collected"),EXACT(metadata!F702,"missing: not provided"))),AND(IF(metadata!F702="",FALSE,TRUE),OR(EXACT(metadata!F702,"TRUE"),EXACT(metadata!F702,"FALSE"))))</f>
        <v>0</v>
      </c>
      <c r="AR702" t="b">
        <f>OR(AND(IF(metadata!G702="",FALSE,TRUE),OR(EXACT(metadata!G702,"missing: not collected"),EXACT(metadata!G702,"missing: not provided"),EXACT(metadata!G702,"missing: restricted access"))),AND(IF(metadata!G702="",FALSE,ISNUMBER(VALUE(metadata!G702))),metadata!G702&gt;=-413))</f>
        <v>0</v>
      </c>
      <c r="AS702" t="b">
        <f>AND(IF(metadata!H702="",FALSE,TRUE),EXACT(metadata!H702,"meters"))</f>
        <v>0</v>
      </c>
      <c r="AT702" t="b">
        <f>AND(IF(metadata!I702="",FALSE,TRUE),OR(EXACT(metadata!I702,"Host-associated"),EXACT(metadata!I702,"Free-living")))</f>
        <v>0</v>
      </c>
      <c r="AU702" t="b">
        <f>AND(IF(metadata!J702="",FALSE,TRUE),OR(EXACT(metadata!J702,"Animal"),EXACT(metadata!J702,"Fungus"),EXACT(metadata!J702,"Plant"),EXACT(metadata!J702,"Saline"),EXACT(metadata!J702,"Non-saline")))</f>
        <v>0</v>
      </c>
      <c r="AV702" t="b">
        <f>AND(IF(metadata!K702="",FALSE,TRUE),OR(EXACT(metadata!K702,"Plant secretion"),EXACT(metadata!K702,"Plant rhizosphere"),EXACT(metadata!K702,"Plant surface"),EXACT(metadata!K702,"Plant corpus"),EXACT(metadata!K702,"Fungus surface"),EXACT(metadata!K702,"Fungus corpus"),EXACT(metadata!K702,"Animal surface"),EXACT(metadata!K702,"Animal proximal gut"),EXACT(metadata!K702,"Animal corpus"),EXACT(metadata!K702,"Animal distal gut"),EXACT(metadata!K702,"Animal secretion"),EXACT(metadata!K702,"Sub-surface (non-saline)"),EXACT(metadata!K702,"Surface (non-saline)"),EXACT(metadata!K702,"Water (non-saline)"),EXACT(metadata!K702,"Soil (non-saline)"),EXACT(metadata!K702,"Aerosol (non-saline)"),EXACT(metadata!K702,"Sediment (non-saline)"),EXACT(metadata!K702,"Surface (saline)"),EXACT(metadata!K702,"Water (saline)"),EXACT(metadata!K702,"Hypersaline (saline)"),EXACT(metadata!K702,"Aerosol (saline)"),EXACT(metadata!K702,"Sediment (saline)")))</f>
        <v>0</v>
      </c>
      <c r="AW702" t="b">
        <f>IF(metadata!L702="",FALSE,TRUE)</f>
        <v>0</v>
      </c>
      <c r="AX702" t="b">
        <f>IF(metadata!M702="",FALSE,TRUE)</f>
        <v>0</v>
      </c>
      <c r="AY702" t="b">
        <f>IF(metadata!N702="",FALSE,TRUE)</f>
        <v>0</v>
      </c>
      <c r="AZ702" t="b">
        <f>OR(AND(IF(metadata!O702="",FALSE,TRUE),OR(EXACT(metadata!O702,"missing: not collected"),EXACT(metadata!O702,"missing: not provided"),EXACT(metadata!O702,"missing: restricted access"))),AND(IF(metadata!O702="",FALSE,TRUE),OR(EXACT(metadata!O702,"air"),EXACT(metadata!O702,"built environment"),EXACT(metadata!O702,"host-associated"),EXACT(metadata!O702,"human-associated"),EXACT(metadata!O702,"human-skin"),EXACT(metadata!O702,"human-oral"),EXACT(metadata!O702,"human-gut"),EXACT(metadata!O702,"human-vaginal"),EXACT(metadata!O702,"microbial mat/biofilm"),EXACT(metadata!O702,"misc environment"),EXACT(metadata!O702,"plant-associated"),EXACT(metadata!O702,"sediment"),EXACT(metadata!O702,"soil"),EXACT(metadata!O702,"wastewater/sludge"),EXACT(metadata!O702,"water"))))</f>
        <v>0</v>
      </c>
      <c r="BA702" t="b">
        <f>IF(metadata!P702="",FALSE,TRUE)</f>
        <v>0</v>
      </c>
      <c r="BB702" t="b">
        <f>IF(metadata!Q702="",FALSE,TRUE)</f>
        <v>0</v>
      </c>
      <c r="BC702" t="b">
        <f>OR(AND(IF(metadata!R702="",FALSE,TRUE),OR(EXACT(metadata!R702,"missing: not collected"),EXACT(metadata!R702,"missing: not provided"),EXACT(metadata!R702,"missing: restricted access"))),AND(IF(metadata!R702="",FALSE,ISNUMBER(VALUE(metadata!R702))),metadata!R702&gt;=-90,metadata!R702&lt;=90))</f>
        <v>0</v>
      </c>
      <c r="BD702" t="b">
        <f>AND(IF(metadata!S702="",FALSE,TRUE),EXACT(metadata!S702,"Decimal degrees"))</f>
        <v>0</v>
      </c>
      <c r="BE702" t="b">
        <f>OR(AND(IF(metadata!T702="",FALSE,TRUE),OR(EXACT(metadata!T702,"missing: not collected"),EXACT(metadata!T702,"missing: not provided"),EXACT(metadata!T702,"missing: restricted access"))),AND(IF(metadata!T702="",FALSE,ISNUMBER(VALUE(metadata!T702))),metadata!T702&gt;=-180,metadata!T702&lt;=180))</f>
        <v>0</v>
      </c>
      <c r="BF702" t="b">
        <f>AND(IF(metadata!U702="",FALSE,TRUE),EXACT(metadata!U702,"Decimal degrees"))</f>
        <v>0</v>
      </c>
      <c r="BG702" t="b">
        <f>IF(metadata!V702="",FALSE,TRUE)</f>
        <v>0</v>
      </c>
      <c r="BH702" t="b">
        <f>OR(AND(IF(metadata!W702="",FALSE,TRUE),OR(EXACT(metadata!W702,"missing: not collected"),EXACT(metadata!W702,"missing: not provided"),EXACT(metadata!W702,"missing: restricted access"))),AND(IF(metadata!W702="",FALSE,TRUE),OR(EXACT(metadata!W702,"TRUE"),EXACT(metadata!W702,"FALSE"))))</f>
        <v>0</v>
      </c>
      <c r="BI702" t="b">
        <f>AND(IF(metadata!X702="",FALSE,TRUE),EXACT(metadata!X702,"other"))</f>
        <v>0</v>
      </c>
      <c r="BJ702" t="b">
        <f>IF(metadata!Y702="",FALSE,TRUE)</f>
        <v>0</v>
      </c>
      <c r="BK702" t="b">
        <f>OR(AND(IF(metadata!Z702="",FALSE,TRUE),OR(EXACT(metadata!Z702,"missing: not collected"),EXACT(metadata!Z702,"missing: not provided"))),AND(IF(metadata!Z702="",FALSE,IF(ISERROR(INT(metadata!Z702)),FALSE,INT(metadata!Z702)=metadata!Z702)),metadata!Z702&gt;0))</f>
        <v>0</v>
      </c>
      <c r="BL702" t="b">
        <f>AND(IF(metadata!AA702="",FALSE,TRUE),EXACT(metadata!AA702,"Not applicable"))</f>
        <v>0</v>
      </c>
      <c r="BM702" t="b">
        <f>IF(metadata!AB702="",FALSE,TRUE)</f>
        <v>0</v>
      </c>
    </row>
    <row r="703" spans="1:65" x14ac:dyDescent="0.2">
      <c r="A703" s="5" t="str">
        <f ca="1">IF(B703=" "," ",HYPERLINK(CONCATENATE("#metadata!",ADDRESS(INDEX($AH$2:$AH$1001,MATCH(ROWS($AF$2:AF703),$AF$2:$AF$1001,0),0),1)),INDEX($AK$2:$AK$1001,MATCH(ROWS($AF$2:AF703),$AF$2:$AF$1001,0),0)))</f>
        <v xml:space="preserve"> </v>
      </c>
      <c r="B703" s="4" t="str">
        <f ca="1">IF(OR(INDEX($AG$2:$AG$1001,MATCH(ROWS($AF$2:AF703),$AF$2:$AF$1001,0),1)&gt;=100000,INDEX($AM$1005:$BM$1005,1,MATCH(COLUMNS($AM$1006:AM1006),$AM$1006:$BM$1006,0))&gt;=100000), " ",IF(INDEX($AM$2:$BM$1001,MATCH(ROWS($AF$2:AF703),$AF$2:$AF$1001,0),MATCH(COLUMNS($AM$1006:AM1006),$AM$1006:$BM$1006,0)), HYPERLINK("#",""), HYPERLINK(CONCATENATE("#metadata!", ADDRESS(INDEX($AH$2:$AH$1001,MATCH(ROWS($AF$2:AF703),$AF$2:$AF$1001,0),0), INDEX($AM$1004:$BM$1004,1,MATCH(COLUMNS($AM$1006:AM1006),$AM$1006:$BM$1006,0)))),"Fix")))</f>
        <v xml:space="preserve"> </v>
      </c>
      <c r="C703" s="4" t="str">
        <f ca="1">IF(OR(INDEX($AG$2:$AG$1001,MATCH(ROWS($AF$2:AF703),$AF$2:$AF$1001,0),1)&gt;=100000,INDEX($AM$1005:$BM$1005,1,MATCH(COLUMNS($AM$1006:AN1006),$AM$1006:$BM$1006,0))&gt;=100000), " ",IF(INDEX($AM$2:$BM$1001,MATCH(ROWS($AF$2:AF703),$AF$2:$AF$1001,0),MATCH(COLUMNS($AM$1006:AN1006),$AM$1006:$BM$1006,0)), HYPERLINK("#",""), HYPERLINK(CONCATENATE("#metadata!", ADDRESS(INDEX($AH$2:$AH$1001,MATCH(ROWS($AF$2:AF703),$AF$2:$AF$1001,0),0), INDEX($AM$1004:$BM$1004,1,MATCH(COLUMNS($AM$1006:AN1006),$AM$1006:$BM$1006,0)))),"Fix")))</f>
        <v xml:space="preserve"> </v>
      </c>
      <c r="D703" s="4" t="str">
        <f ca="1">IF(OR(INDEX($AG$2:$AG$1001,MATCH(ROWS($AF$2:AF703),$AF$2:$AF$1001,0),1)&gt;=100000,INDEX($AM$1005:$BM$1005,1,MATCH(COLUMNS($AM$1006:AO1006),$AM$1006:$BM$1006,0))&gt;=100000), " ",IF(INDEX($AM$2:$BM$1001,MATCH(ROWS($AF$2:AF703),$AF$2:$AF$1001,0),MATCH(COLUMNS($AM$1006:AO1006),$AM$1006:$BM$1006,0)), HYPERLINK("#",""), HYPERLINK(CONCATENATE("#metadata!", ADDRESS(INDEX($AH$2:$AH$1001,MATCH(ROWS($AF$2:AF703),$AF$2:$AF$1001,0),0), INDEX($AM$1004:$BM$1004,1,MATCH(COLUMNS($AM$1006:AO1006),$AM$1006:$BM$1006,0)))),"Fix")))</f>
        <v xml:space="preserve"> </v>
      </c>
      <c r="E703" s="4" t="str">
        <f ca="1">IF(OR(INDEX($AG$2:$AG$1001,MATCH(ROWS($AF$2:AF703),$AF$2:$AF$1001,0),1)&gt;=100000,INDEX($AM$1005:$BM$1005,1,MATCH(COLUMNS($AM$1006:AP1006),$AM$1006:$BM$1006,0))&gt;=100000), " ",IF(INDEX($AM$2:$BM$1001,MATCH(ROWS($AF$2:AF703),$AF$2:$AF$1001,0),MATCH(COLUMNS($AM$1006:AP1006),$AM$1006:$BM$1006,0)), HYPERLINK("#",""), HYPERLINK(CONCATENATE("#metadata!", ADDRESS(INDEX($AH$2:$AH$1001,MATCH(ROWS($AF$2:AF703),$AF$2:$AF$1001,0),0), INDEX($AM$1004:$BM$1004,1,MATCH(COLUMNS($AM$1006:AP1006),$AM$1006:$BM$1006,0)))),"Fix")))</f>
        <v xml:space="preserve"> </v>
      </c>
      <c r="F703" s="4" t="str">
        <f ca="1">IF(OR(INDEX($AG$2:$AG$1001,MATCH(ROWS($AF$2:AF703),$AF$2:$AF$1001,0),1)&gt;=100000,INDEX($AM$1005:$BM$1005,1,MATCH(COLUMNS($AM$1006:AQ1006),$AM$1006:$BM$1006,0))&gt;=100000), " ",IF(INDEX($AM$2:$BM$1001,MATCH(ROWS($AF$2:AF703),$AF$2:$AF$1001,0),MATCH(COLUMNS($AM$1006:AQ1006),$AM$1006:$BM$1006,0)), HYPERLINK("#",""), HYPERLINK(CONCATENATE("#metadata!", ADDRESS(INDEX($AH$2:$AH$1001,MATCH(ROWS($AF$2:AF703),$AF$2:$AF$1001,0),0), INDEX($AM$1004:$BM$1004,1,MATCH(COLUMNS($AM$1006:AQ1006),$AM$1006:$BM$1006,0)))),"Fix")))</f>
        <v xml:space="preserve"> </v>
      </c>
      <c r="G703" s="4" t="str">
        <f ca="1">IF(OR(INDEX($AG$2:$AG$1001,MATCH(ROWS($AF$2:AF703),$AF$2:$AF$1001,0),1)&gt;=100000,INDEX($AM$1005:$BM$1005,1,MATCH(COLUMNS($AM$1006:AR1006),$AM$1006:$BM$1006,0))&gt;=100000), " ",IF(INDEX($AM$2:$BM$1001,MATCH(ROWS($AF$2:AF703),$AF$2:$AF$1001,0),MATCH(COLUMNS($AM$1006:AR1006),$AM$1006:$BM$1006,0)), HYPERLINK("#",""), HYPERLINK(CONCATENATE("#metadata!", ADDRESS(INDEX($AH$2:$AH$1001,MATCH(ROWS($AF$2:AF703),$AF$2:$AF$1001,0),0), INDEX($AM$1004:$BM$1004,1,MATCH(COLUMNS($AM$1006:AR1006),$AM$1006:$BM$1006,0)))),"Fix")))</f>
        <v xml:space="preserve"> </v>
      </c>
      <c r="H703" s="4" t="str">
        <f ca="1">IF(OR(INDEX($AG$2:$AG$1001,MATCH(ROWS($AF$2:AF703),$AF$2:$AF$1001,0),1)&gt;=100000,INDEX($AM$1005:$BM$1005,1,MATCH(COLUMNS($AM$1006:AS1006),$AM$1006:$BM$1006,0))&gt;=100000), " ",IF(INDEX($AM$2:$BM$1001,MATCH(ROWS($AF$2:AF703),$AF$2:$AF$1001,0),MATCH(COLUMNS($AM$1006:AS1006),$AM$1006:$BM$1006,0)), HYPERLINK("#",""), HYPERLINK(CONCATENATE("#metadata!", ADDRESS(INDEX($AH$2:$AH$1001,MATCH(ROWS($AF$2:AF703),$AF$2:$AF$1001,0),0), INDEX($AM$1004:$BM$1004,1,MATCH(COLUMNS($AM$1006:AS1006),$AM$1006:$BM$1006,0)))),"Fix")))</f>
        <v xml:space="preserve"> </v>
      </c>
      <c r="I703" s="4" t="str">
        <f ca="1">IF(OR(INDEX($AG$2:$AG$1001,MATCH(ROWS($AF$2:AF703),$AF$2:$AF$1001,0),1)&gt;=100000,INDEX($AM$1005:$BM$1005,1,MATCH(COLUMNS($AM$1006:AT1006),$AM$1006:$BM$1006,0))&gt;=100000), " ",IF(INDEX($AM$2:$BM$1001,MATCH(ROWS($AF$2:AF703),$AF$2:$AF$1001,0),MATCH(COLUMNS($AM$1006:AT1006),$AM$1006:$BM$1006,0)), HYPERLINK("#",""), HYPERLINK(CONCATENATE("#metadata!", ADDRESS(INDEX($AH$2:$AH$1001,MATCH(ROWS($AF$2:AF703),$AF$2:$AF$1001,0),0), INDEX($AM$1004:$BM$1004,1,MATCH(COLUMNS($AM$1006:AT1006),$AM$1006:$BM$1006,0)))),"Fix")))</f>
        <v xml:space="preserve"> </v>
      </c>
      <c r="J703" s="4" t="str">
        <f ca="1">IF(OR(INDEX($AG$2:$AG$1001,MATCH(ROWS($AF$2:AF703),$AF$2:$AF$1001,0),1)&gt;=100000,INDEX($AM$1005:$BM$1005,1,MATCH(COLUMNS($AM$1006:AU1006),$AM$1006:$BM$1006,0))&gt;=100000), " ",IF(INDEX($AM$2:$BM$1001,MATCH(ROWS($AF$2:AF703),$AF$2:$AF$1001,0),MATCH(COLUMNS($AM$1006:AU1006),$AM$1006:$BM$1006,0)), HYPERLINK("#",""), HYPERLINK(CONCATENATE("#metadata!", ADDRESS(INDEX($AH$2:$AH$1001,MATCH(ROWS($AF$2:AF703),$AF$2:$AF$1001,0),0), INDEX($AM$1004:$BM$1004,1,MATCH(COLUMNS($AM$1006:AU1006),$AM$1006:$BM$1006,0)))),"Fix")))</f>
        <v xml:space="preserve"> </v>
      </c>
      <c r="K703" s="4" t="str">
        <f ca="1">IF(OR(INDEX($AG$2:$AG$1001,MATCH(ROWS($AF$2:AF703),$AF$2:$AF$1001,0),1)&gt;=100000,INDEX($AM$1005:$BM$1005,1,MATCH(COLUMNS($AM$1006:AV1006),$AM$1006:$BM$1006,0))&gt;=100000), " ",IF(INDEX($AM$2:$BM$1001,MATCH(ROWS($AF$2:AF703),$AF$2:$AF$1001,0),MATCH(COLUMNS($AM$1006:AV1006),$AM$1006:$BM$1006,0)), HYPERLINK("#",""), HYPERLINK(CONCATENATE("#metadata!", ADDRESS(INDEX($AH$2:$AH$1001,MATCH(ROWS($AF$2:AF703),$AF$2:$AF$1001,0),0), INDEX($AM$1004:$BM$1004,1,MATCH(COLUMNS($AM$1006:AV1006),$AM$1006:$BM$1006,0)))),"Fix")))</f>
        <v xml:space="preserve"> </v>
      </c>
      <c r="L703" s="4" t="str">
        <f ca="1">IF(OR(INDEX($AG$2:$AG$1001,MATCH(ROWS($AF$2:AF703),$AF$2:$AF$1001,0),1)&gt;=100000,INDEX($AM$1005:$BM$1005,1,MATCH(COLUMNS($AM$1006:AW1006),$AM$1006:$BM$1006,0))&gt;=100000), " ",IF(INDEX($AM$2:$BM$1001,MATCH(ROWS($AF$2:AF703),$AF$2:$AF$1001,0),MATCH(COLUMNS($AM$1006:AW1006),$AM$1006:$BM$1006,0)), HYPERLINK("#",""), HYPERLINK(CONCATENATE("#metadata!", ADDRESS(INDEX($AH$2:$AH$1001,MATCH(ROWS($AF$2:AF703),$AF$2:$AF$1001,0),0), INDEX($AM$1004:$BM$1004,1,MATCH(COLUMNS($AM$1006:AW1006),$AM$1006:$BM$1006,0)))),"Fix")))</f>
        <v xml:space="preserve"> </v>
      </c>
      <c r="M703" s="4" t="str">
        <f ca="1">IF(OR(INDEX($AG$2:$AG$1001,MATCH(ROWS($AF$2:AF703),$AF$2:$AF$1001,0),1)&gt;=100000,INDEX($AM$1005:$BM$1005,1,MATCH(COLUMNS($AM$1006:AX1006),$AM$1006:$BM$1006,0))&gt;=100000), " ",IF(INDEX($AM$2:$BM$1001,MATCH(ROWS($AF$2:AF703),$AF$2:$AF$1001,0),MATCH(COLUMNS($AM$1006:AX1006),$AM$1006:$BM$1006,0)), HYPERLINK("#",""), HYPERLINK(CONCATENATE("#metadata!", ADDRESS(INDEX($AH$2:$AH$1001,MATCH(ROWS($AF$2:AF703),$AF$2:$AF$1001,0),0), INDEX($AM$1004:$BM$1004,1,MATCH(COLUMNS($AM$1006:AX1006),$AM$1006:$BM$1006,0)))),"Fix")))</f>
        <v xml:space="preserve"> </v>
      </c>
      <c r="N703" s="4" t="str">
        <f ca="1">IF(OR(INDEX($AG$2:$AG$1001,MATCH(ROWS($AF$2:AF703),$AF$2:$AF$1001,0),1)&gt;=100000,INDEX($AM$1005:$BM$1005,1,MATCH(COLUMNS($AM$1006:AY1006),$AM$1006:$BM$1006,0))&gt;=100000), " ",IF(INDEX($AM$2:$BM$1001,MATCH(ROWS($AF$2:AF703),$AF$2:$AF$1001,0),MATCH(COLUMNS($AM$1006:AY1006),$AM$1006:$BM$1006,0)), HYPERLINK("#",""), HYPERLINK(CONCATENATE("#metadata!", ADDRESS(INDEX($AH$2:$AH$1001,MATCH(ROWS($AF$2:AF703),$AF$2:$AF$1001,0),0), INDEX($AM$1004:$BM$1004,1,MATCH(COLUMNS($AM$1006:AY1006),$AM$1006:$BM$1006,0)))),"Fix")))</f>
        <v xml:space="preserve"> </v>
      </c>
      <c r="O703" s="4" t="str">
        <f ca="1">IF(OR(INDEX($AG$2:$AG$1001,MATCH(ROWS($AF$2:AF703),$AF$2:$AF$1001,0),1)&gt;=100000,INDEX($AM$1005:$BM$1005,1,MATCH(COLUMNS($AM$1006:AZ1006),$AM$1006:$BM$1006,0))&gt;=100000), " ",IF(INDEX($AM$2:$BM$1001,MATCH(ROWS($AF$2:AF703),$AF$2:$AF$1001,0),MATCH(COLUMNS($AM$1006:AZ1006),$AM$1006:$BM$1006,0)), HYPERLINK("#",""), HYPERLINK(CONCATENATE("#metadata!", ADDRESS(INDEX($AH$2:$AH$1001,MATCH(ROWS($AF$2:AF703),$AF$2:$AF$1001,0),0), INDEX($AM$1004:$BM$1004,1,MATCH(COLUMNS($AM$1006:AZ1006),$AM$1006:$BM$1006,0)))),"Fix")))</f>
        <v xml:space="preserve"> </v>
      </c>
      <c r="P703" s="4" t="str">
        <f ca="1">IF(OR(INDEX($AG$2:$AG$1001,MATCH(ROWS($AF$2:AF703),$AF$2:$AF$1001,0),1)&gt;=100000,INDEX($AM$1005:$BM$1005,1,MATCH(COLUMNS($AM$1006:BA1006),$AM$1006:$BM$1006,0))&gt;=100000), " ",IF(INDEX($AM$2:$BM$1001,MATCH(ROWS($AF$2:AF703),$AF$2:$AF$1001,0),MATCH(COLUMNS($AM$1006:BA1006),$AM$1006:$BM$1006,0)), HYPERLINK("#",""), HYPERLINK(CONCATENATE("#metadata!", ADDRESS(INDEX($AH$2:$AH$1001,MATCH(ROWS($AF$2:AF703),$AF$2:$AF$1001,0),0), INDEX($AM$1004:$BM$1004,1,MATCH(COLUMNS($AM$1006:BA1006),$AM$1006:$BM$1006,0)))),"Fix")))</f>
        <v xml:space="preserve"> </v>
      </c>
      <c r="Q703" s="4" t="str">
        <f ca="1">IF(OR(INDEX($AG$2:$AG$1001,MATCH(ROWS($AF$2:AF703),$AF$2:$AF$1001,0),1)&gt;=100000,INDEX($AM$1005:$BM$1005,1,MATCH(COLUMNS($AM$1006:BB1006),$AM$1006:$BM$1006,0))&gt;=100000), " ",IF(INDEX($AM$2:$BM$1001,MATCH(ROWS($AF$2:AF703),$AF$2:$AF$1001,0),MATCH(COLUMNS($AM$1006:BB1006),$AM$1006:$BM$1006,0)), HYPERLINK("#",""), HYPERLINK(CONCATENATE("#metadata!", ADDRESS(INDEX($AH$2:$AH$1001,MATCH(ROWS($AF$2:AF703),$AF$2:$AF$1001,0),0), INDEX($AM$1004:$BM$1004,1,MATCH(COLUMNS($AM$1006:BB1006),$AM$1006:$BM$1006,0)))),"Fix")))</f>
        <v xml:space="preserve"> </v>
      </c>
      <c r="R703" s="4" t="str">
        <f ca="1">IF(OR(INDEX($AG$2:$AG$1001,MATCH(ROWS($AF$2:AF703),$AF$2:$AF$1001,0),1)&gt;=100000,INDEX($AM$1005:$BM$1005,1,MATCH(COLUMNS($AM$1006:BC1006),$AM$1006:$BM$1006,0))&gt;=100000), " ",IF(INDEX($AM$2:$BM$1001,MATCH(ROWS($AF$2:AF703),$AF$2:$AF$1001,0),MATCH(COLUMNS($AM$1006:BC1006),$AM$1006:$BM$1006,0)), HYPERLINK("#",""), HYPERLINK(CONCATENATE("#metadata!", ADDRESS(INDEX($AH$2:$AH$1001,MATCH(ROWS($AF$2:AF703),$AF$2:$AF$1001,0),0), INDEX($AM$1004:$BM$1004,1,MATCH(COLUMNS($AM$1006:BC1006),$AM$1006:$BM$1006,0)))),"Fix")))</f>
        <v xml:space="preserve"> </v>
      </c>
      <c r="S703" s="4" t="str">
        <f ca="1">IF(OR(INDEX($AG$2:$AG$1001,MATCH(ROWS($AF$2:AF703),$AF$2:$AF$1001,0),1)&gt;=100000,INDEX($AM$1005:$BM$1005,1,MATCH(COLUMNS($AM$1006:BD1006),$AM$1006:$BM$1006,0))&gt;=100000), " ",IF(INDEX($AM$2:$BM$1001,MATCH(ROWS($AF$2:AF703),$AF$2:$AF$1001,0),MATCH(COLUMNS($AM$1006:BD1006),$AM$1006:$BM$1006,0)), HYPERLINK("#",""), HYPERLINK(CONCATENATE("#metadata!", ADDRESS(INDEX($AH$2:$AH$1001,MATCH(ROWS($AF$2:AF703),$AF$2:$AF$1001,0),0), INDEX($AM$1004:$BM$1004,1,MATCH(COLUMNS($AM$1006:BD1006),$AM$1006:$BM$1006,0)))),"Fix")))</f>
        <v xml:space="preserve"> </v>
      </c>
      <c r="T703" s="4" t="str">
        <f ca="1">IF(OR(INDEX($AG$2:$AG$1001,MATCH(ROWS($AF$2:AF703),$AF$2:$AF$1001,0),1)&gt;=100000,INDEX($AM$1005:$BM$1005,1,MATCH(COLUMNS($AM$1006:BE1006),$AM$1006:$BM$1006,0))&gt;=100000), " ",IF(INDEX($AM$2:$BM$1001,MATCH(ROWS($AF$2:AF703),$AF$2:$AF$1001,0),MATCH(COLUMNS($AM$1006:BE1006),$AM$1006:$BM$1006,0)), HYPERLINK("#",""), HYPERLINK(CONCATENATE("#metadata!", ADDRESS(INDEX($AH$2:$AH$1001,MATCH(ROWS($AF$2:AF703),$AF$2:$AF$1001,0),0), INDEX($AM$1004:$BM$1004,1,MATCH(COLUMNS($AM$1006:BE1006),$AM$1006:$BM$1006,0)))),"Fix")))</f>
        <v xml:space="preserve"> </v>
      </c>
      <c r="U703" s="4" t="str">
        <f ca="1">IF(OR(INDEX($AG$2:$AG$1001,MATCH(ROWS($AF$2:AF703),$AF$2:$AF$1001,0),1)&gt;=100000,INDEX($AM$1005:$BM$1005,1,MATCH(COLUMNS($AM$1006:BF1006),$AM$1006:$BM$1006,0))&gt;=100000), " ",IF(INDEX($AM$2:$BM$1001,MATCH(ROWS($AF$2:AF703),$AF$2:$AF$1001,0),MATCH(COLUMNS($AM$1006:BF1006),$AM$1006:$BM$1006,0)), HYPERLINK("#",""), HYPERLINK(CONCATENATE("#metadata!", ADDRESS(INDEX($AH$2:$AH$1001,MATCH(ROWS($AF$2:AF703),$AF$2:$AF$1001,0),0), INDEX($AM$1004:$BM$1004,1,MATCH(COLUMNS($AM$1006:BF1006),$AM$1006:$BM$1006,0)))),"Fix")))</f>
        <v xml:space="preserve"> </v>
      </c>
      <c r="V703" s="4" t="str">
        <f ca="1">IF(OR(INDEX($AG$2:$AG$1001,MATCH(ROWS($AF$2:AF703),$AF$2:$AF$1001,0),1)&gt;=100000,INDEX($AM$1005:$BM$1005,1,MATCH(COLUMNS($AM$1006:BG1006),$AM$1006:$BM$1006,0))&gt;=100000), " ",IF(INDEX($AM$2:$BM$1001,MATCH(ROWS($AF$2:AF703),$AF$2:$AF$1001,0),MATCH(COLUMNS($AM$1006:BG1006),$AM$1006:$BM$1006,0)), HYPERLINK("#",""), HYPERLINK(CONCATENATE("#metadata!", ADDRESS(INDEX($AH$2:$AH$1001,MATCH(ROWS($AF$2:AF703),$AF$2:$AF$1001,0),0), INDEX($AM$1004:$BM$1004,1,MATCH(COLUMNS($AM$1006:BG1006),$AM$1006:$BM$1006,0)))),"Fix")))</f>
        <v xml:space="preserve"> </v>
      </c>
      <c r="W703" s="4" t="str">
        <f ca="1">IF(OR(INDEX($AG$2:$AG$1001,MATCH(ROWS($AF$2:AF703),$AF$2:$AF$1001,0),1)&gt;=100000,INDEX($AM$1005:$BM$1005,1,MATCH(COLUMNS($AM$1006:BH1006),$AM$1006:$BM$1006,0))&gt;=100000), " ",IF(INDEX($AM$2:$BM$1001,MATCH(ROWS($AF$2:AF703),$AF$2:$AF$1001,0),MATCH(COLUMNS($AM$1006:BH1006),$AM$1006:$BM$1006,0)), HYPERLINK("#",""), HYPERLINK(CONCATENATE("#metadata!", ADDRESS(INDEX($AH$2:$AH$1001,MATCH(ROWS($AF$2:AF703),$AF$2:$AF$1001,0),0), INDEX($AM$1004:$BM$1004,1,MATCH(COLUMNS($AM$1006:BH1006),$AM$1006:$BM$1006,0)))),"Fix")))</f>
        <v xml:space="preserve"> </v>
      </c>
      <c r="X703" s="4" t="str">
        <f ca="1">IF(OR(INDEX($AG$2:$AG$1001,MATCH(ROWS($AF$2:AF703),$AF$2:$AF$1001,0),1)&gt;=100000,INDEX($AM$1005:$BM$1005,1,MATCH(COLUMNS($AM$1006:BI1006),$AM$1006:$BM$1006,0))&gt;=100000), " ",IF(INDEX($AM$2:$BM$1001,MATCH(ROWS($AF$2:AF703),$AF$2:$AF$1001,0),MATCH(COLUMNS($AM$1006:BI1006),$AM$1006:$BM$1006,0)), HYPERLINK("#",""), HYPERLINK(CONCATENATE("#metadata!", ADDRESS(INDEX($AH$2:$AH$1001,MATCH(ROWS($AF$2:AF703),$AF$2:$AF$1001,0),0), INDEX($AM$1004:$BM$1004,1,MATCH(COLUMNS($AM$1006:BI1006),$AM$1006:$BM$1006,0)))),"Fix")))</f>
        <v xml:space="preserve"> </v>
      </c>
      <c r="Y703" s="4" t="str">
        <f ca="1">IF(OR(INDEX($AG$2:$AG$1001,MATCH(ROWS($AF$2:AF703),$AF$2:$AF$1001,0),1)&gt;=100000,INDEX($AM$1005:$BM$1005,1,MATCH(COLUMNS($AM$1006:BJ1006),$AM$1006:$BM$1006,0))&gt;=100000), " ",IF(INDEX($AM$2:$BM$1001,MATCH(ROWS($AF$2:AF703),$AF$2:$AF$1001,0),MATCH(COLUMNS($AM$1006:BJ1006),$AM$1006:$BM$1006,0)), HYPERLINK("#",""), HYPERLINK(CONCATENATE("#metadata!", ADDRESS(INDEX($AH$2:$AH$1001,MATCH(ROWS($AF$2:AF703),$AF$2:$AF$1001,0),0), INDEX($AM$1004:$BM$1004,1,MATCH(COLUMNS($AM$1006:BJ1006),$AM$1006:$BM$1006,0)))),"Fix")))</f>
        <v xml:space="preserve"> </v>
      </c>
      <c r="Z703" s="4" t="str">
        <f ca="1">IF(OR(INDEX($AG$2:$AG$1001,MATCH(ROWS($AF$2:AF703),$AF$2:$AF$1001,0),1)&gt;=100000,INDEX($AM$1005:$BM$1005,1,MATCH(COLUMNS($AM$1006:BK1006),$AM$1006:$BM$1006,0))&gt;=100000), " ",IF(INDEX($AM$2:$BM$1001,MATCH(ROWS($AF$2:AF703),$AF$2:$AF$1001,0),MATCH(COLUMNS($AM$1006:BK1006),$AM$1006:$BM$1006,0)), HYPERLINK("#",""), HYPERLINK(CONCATENATE("#metadata!", ADDRESS(INDEX($AH$2:$AH$1001,MATCH(ROWS($AF$2:AF703),$AF$2:$AF$1001,0),0), INDEX($AM$1004:$BM$1004,1,MATCH(COLUMNS($AM$1006:BK1006),$AM$1006:$BM$1006,0)))),"Fix")))</f>
        <v xml:space="preserve"> </v>
      </c>
      <c r="AA703" s="4" t="str">
        <f ca="1">IF(OR(INDEX($AG$2:$AG$1001,MATCH(ROWS($AF$2:AF703),$AF$2:$AF$1001,0),1)&gt;=100000,INDEX($AM$1005:$BM$1005,1,MATCH(COLUMNS($AM$1006:BL1006),$AM$1006:$BM$1006,0))&gt;=100000), " ",IF(INDEX($AM$2:$BM$1001,MATCH(ROWS($AF$2:AF703),$AF$2:$AF$1001,0),MATCH(COLUMNS($AM$1006:BL1006),$AM$1006:$BM$1006,0)), HYPERLINK("#",""), HYPERLINK(CONCATENATE("#metadata!", ADDRESS(INDEX($AH$2:$AH$1001,MATCH(ROWS($AF$2:AF703),$AF$2:$AF$1001,0),0), INDEX($AM$1004:$BM$1004,1,MATCH(COLUMNS($AM$1006:BL1006),$AM$1006:$BM$1006,0)))),"Fix")))</f>
        <v xml:space="preserve"> </v>
      </c>
      <c r="AB703" s="4" t="str">
        <f ca="1">IF(OR(INDEX($AG$2:$AG$1001,MATCH(ROWS($AF$2:AF703),$AF$2:$AF$1001,0),1)&gt;=100000,INDEX($AM$1005:$BM$1005,1,MATCH(COLUMNS($AM$1006:BM1006),$AM$1006:$BM$1006,0))&gt;=100000), " ",IF(INDEX($AM$2:$BM$1001,MATCH(ROWS($AF$2:AF703),$AF$2:$AF$1001,0),MATCH(COLUMNS($AM$1006:BM1006),$AM$1006:$BM$1006,0)), HYPERLINK("#",""), HYPERLINK(CONCATENATE("#metadata!", ADDRESS(INDEX($AH$2:$AH$1001,MATCH(ROWS($AF$2:AF703),$AF$2:$AF$1001,0),0), INDEX($AM$1004:$BM$1004,1,MATCH(COLUMNS($AM$1006:BM1006),$AM$1006:$BM$1006,0)))),"Fix")))</f>
        <v xml:space="preserve"> </v>
      </c>
      <c r="AF703">
        <v>702</v>
      </c>
      <c r="AG703">
        <v>100703</v>
      </c>
      <c r="AH703">
        <v>703</v>
      </c>
      <c r="AI703" t="b">
        <f t="shared" si="10"/>
        <v>1</v>
      </c>
      <c r="AJ703" t="b">
        <f>COUNTBLANK(metadata!B703:AB703)=COLUMNS(metadata!B703:AB703)</f>
        <v>1</v>
      </c>
      <c r="AK703" t="str">
        <v/>
      </c>
      <c r="AM703" t="b">
        <f ca="1">AND(IF(metadata!B703="",FALSE,TRUE),COUNTIF(metadata!B:B, metadata!B703) = 1,NOT(ISERROR(SUMPRODUCT(SEARCH(MID(metadata!B703,ROW(INDIRECT("1:"&amp;LEN(metadata!B703))), 1),"0123456789abcdefghijklmnopqrstuvwxyzABCDEFGHIJKLMNOPQRSTUVWXYZ.")))))</f>
        <v>0</v>
      </c>
      <c r="AN703" t="b">
        <f ca="1">OR(AND(IF(metadata!C703="",FALSE,TRUE),OR(EXACT(metadata!C703,"missing: not collected"),EXACT(metadata!C703,"missing: not provided"),EXACT(metadata!C703,"missing: restricted access"))),AND(IF(metadata!C703="",FALSE,TRUE),AND(AND(IFERROR(INT(LEFT(metadata!C703,4))&gt;1900,FALSE),IFERROR(INT(LEFT(metadata!C703,4))&lt;=YEAR(NOW()),FALSE)), OR(MID(metadata!C703,5,1)="", AND(AND(MID(metadata!C703,5,1)="-",IFERROR(INT(MID(metadata!C703,6,1))&gt;=0,FALSE),IFERROR(INT(MID(metadata!C703,6,1))&lt;=1,FALSE),NOT(MID(metadata!C703,7,1)=""),IFERROR(INT(MID(metadata!C703,6,2))&gt;=1,FALSE),IFERROR(INT(MID(metadata!C703,6,2))&lt;=12,FALSE)), OR(MID(metadata!C703,8,1)="", AND(AND(MID(metadata!C703,8,1)="-",IFERROR(INT(MID(metadata!C703,9,1))&gt;=0,FALSE),IFERROR(INT(MID(metadata!C703,9,1))&lt;=3,FALSE),NOT(MID(metadata!C703,10,1)=""),IFERROR(INT(MID(metadata!C703,9,2))&gt;=1,FALSE),IFERROR(INT(MID(metadata!C703,9,2))&lt;=31,FALSE)), OR(MID(metadata!C703,11,1)="", AND(AND(MID(metadata!C703,11,1)=" ",IFERROR(INT(MID(metadata!C703,12,1))&gt;=0,FALSE),IFERROR(INT(MID(metadata!C703,12,1))&lt;=2,FALSE),NOT(MID(metadata!C703,13,1)=""),IFERROR(INT(MID(metadata!C703,12,2))&gt;=0,FALSE),IFERROR(INT(MID(metadata!C703,12,2))&lt;=23,FALSE)), OR(MID(metadata!C703,14,1)="", AND(AND(MID(metadata!C703,14,1)=":",IFERROR(INT(MID(metadata!C703,15,1))&gt;=0,FALSE),IFERROR(INT(MID(metadata!C703,15,1))&lt;=5,FALSE),NOT(MID(metadata!C703,16,1)=""),IFERROR(INT(MID(metadata!C703,15,2))&gt;=0,FALSE),IFERROR(INT(MID(metadata!C703,15,2))&lt;=59,FALSE)), OR(MID(metadata!C703,17,1)="", AND(AND(MID(metadata!C703,17,1)=":",IFERROR(INT(MID(metadata!C703,18,1))&gt;=0,FALSE),IFERROR(INT(MID(metadata!C703,18,1))&lt;=5,FALSE),NOT(MID(metadata!C703,19,1)=""),IFERROR(INT(MID(metadata!C703,18,2))&gt;=0,FALSE),IFERROR(INT(MID(metadata!C703,18,2))&lt;=59,FALSE)), LEN(metadata!C703)&lt;=19)))))))))))))</f>
        <v>0</v>
      </c>
      <c r="AO703" t="b">
        <f>AND(IF(metadata!D703="",FALSE,TRUE),EXACT(metadata!D703,"Not applicable"))</f>
        <v>0</v>
      </c>
      <c r="AP703" t="b">
        <f>IF(metadata!E703="",FALSE,TRUE)</f>
        <v>0</v>
      </c>
      <c r="AQ703" t="b">
        <f>OR(AND(IF(metadata!F703="",FALSE,TRUE),OR(EXACT(metadata!F703,"missing: not collected"),EXACT(metadata!F703,"missing: not provided"))),AND(IF(metadata!F703="",FALSE,TRUE),OR(EXACT(metadata!F703,"TRUE"),EXACT(metadata!F703,"FALSE"))))</f>
        <v>0</v>
      </c>
      <c r="AR703" t="b">
        <f>OR(AND(IF(metadata!G703="",FALSE,TRUE),OR(EXACT(metadata!G703,"missing: not collected"),EXACT(metadata!G703,"missing: not provided"),EXACT(metadata!G703,"missing: restricted access"))),AND(IF(metadata!G703="",FALSE,ISNUMBER(VALUE(metadata!G703))),metadata!G703&gt;=-413))</f>
        <v>0</v>
      </c>
      <c r="AS703" t="b">
        <f>AND(IF(metadata!H703="",FALSE,TRUE),EXACT(metadata!H703,"meters"))</f>
        <v>0</v>
      </c>
      <c r="AT703" t="b">
        <f>AND(IF(metadata!I703="",FALSE,TRUE),OR(EXACT(metadata!I703,"Host-associated"),EXACT(metadata!I703,"Free-living")))</f>
        <v>0</v>
      </c>
      <c r="AU703" t="b">
        <f>AND(IF(metadata!J703="",FALSE,TRUE),OR(EXACT(metadata!J703,"Animal"),EXACT(metadata!J703,"Fungus"),EXACT(metadata!J703,"Plant"),EXACT(metadata!J703,"Saline"),EXACT(metadata!J703,"Non-saline")))</f>
        <v>0</v>
      </c>
      <c r="AV703" t="b">
        <f>AND(IF(metadata!K703="",FALSE,TRUE),OR(EXACT(metadata!K703,"Plant secretion"),EXACT(metadata!K703,"Plant rhizosphere"),EXACT(metadata!K703,"Plant surface"),EXACT(metadata!K703,"Plant corpus"),EXACT(metadata!K703,"Fungus surface"),EXACT(metadata!K703,"Fungus corpus"),EXACT(metadata!K703,"Animal surface"),EXACT(metadata!K703,"Animal proximal gut"),EXACT(metadata!K703,"Animal corpus"),EXACT(metadata!K703,"Animal distal gut"),EXACT(metadata!K703,"Animal secretion"),EXACT(metadata!K703,"Sub-surface (non-saline)"),EXACT(metadata!K703,"Surface (non-saline)"),EXACT(metadata!K703,"Water (non-saline)"),EXACT(metadata!K703,"Soil (non-saline)"),EXACT(metadata!K703,"Aerosol (non-saline)"),EXACT(metadata!K703,"Sediment (non-saline)"),EXACT(metadata!K703,"Surface (saline)"),EXACT(metadata!K703,"Water (saline)"),EXACT(metadata!K703,"Hypersaline (saline)"),EXACT(metadata!K703,"Aerosol (saline)"),EXACT(metadata!K703,"Sediment (saline)")))</f>
        <v>0</v>
      </c>
      <c r="AW703" t="b">
        <f>IF(metadata!L703="",FALSE,TRUE)</f>
        <v>0</v>
      </c>
      <c r="AX703" t="b">
        <f>IF(metadata!M703="",FALSE,TRUE)</f>
        <v>0</v>
      </c>
      <c r="AY703" t="b">
        <f>IF(metadata!N703="",FALSE,TRUE)</f>
        <v>0</v>
      </c>
      <c r="AZ703" t="b">
        <f>OR(AND(IF(metadata!O703="",FALSE,TRUE),OR(EXACT(metadata!O703,"missing: not collected"),EXACT(metadata!O703,"missing: not provided"),EXACT(metadata!O703,"missing: restricted access"))),AND(IF(metadata!O703="",FALSE,TRUE),OR(EXACT(metadata!O703,"air"),EXACT(metadata!O703,"built environment"),EXACT(metadata!O703,"host-associated"),EXACT(metadata!O703,"human-associated"),EXACT(metadata!O703,"human-skin"),EXACT(metadata!O703,"human-oral"),EXACT(metadata!O703,"human-gut"),EXACT(metadata!O703,"human-vaginal"),EXACT(metadata!O703,"microbial mat/biofilm"),EXACT(metadata!O703,"misc environment"),EXACT(metadata!O703,"plant-associated"),EXACT(metadata!O703,"sediment"),EXACT(metadata!O703,"soil"),EXACT(metadata!O703,"wastewater/sludge"),EXACT(metadata!O703,"water"))))</f>
        <v>0</v>
      </c>
      <c r="BA703" t="b">
        <f>IF(metadata!P703="",FALSE,TRUE)</f>
        <v>0</v>
      </c>
      <c r="BB703" t="b">
        <f>IF(metadata!Q703="",FALSE,TRUE)</f>
        <v>0</v>
      </c>
      <c r="BC703" t="b">
        <f>OR(AND(IF(metadata!R703="",FALSE,TRUE),OR(EXACT(metadata!R703,"missing: not collected"),EXACT(metadata!R703,"missing: not provided"),EXACT(metadata!R703,"missing: restricted access"))),AND(IF(metadata!R703="",FALSE,ISNUMBER(VALUE(metadata!R703))),metadata!R703&gt;=-90,metadata!R703&lt;=90))</f>
        <v>0</v>
      </c>
      <c r="BD703" t="b">
        <f>AND(IF(metadata!S703="",FALSE,TRUE),EXACT(metadata!S703,"Decimal degrees"))</f>
        <v>0</v>
      </c>
      <c r="BE703" t="b">
        <f>OR(AND(IF(metadata!T703="",FALSE,TRUE),OR(EXACT(metadata!T703,"missing: not collected"),EXACT(metadata!T703,"missing: not provided"),EXACT(metadata!T703,"missing: restricted access"))),AND(IF(metadata!T703="",FALSE,ISNUMBER(VALUE(metadata!T703))),metadata!T703&gt;=-180,metadata!T703&lt;=180))</f>
        <v>0</v>
      </c>
      <c r="BF703" t="b">
        <f>AND(IF(metadata!U703="",FALSE,TRUE),EXACT(metadata!U703,"Decimal degrees"))</f>
        <v>0</v>
      </c>
      <c r="BG703" t="b">
        <f>IF(metadata!V703="",FALSE,TRUE)</f>
        <v>0</v>
      </c>
      <c r="BH703" t="b">
        <f>OR(AND(IF(metadata!W703="",FALSE,TRUE),OR(EXACT(metadata!W703,"missing: not collected"),EXACT(metadata!W703,"missing: not provided"),EXACT(metadata!W703,"missing: restricted access"))),AND(IF(metadata!W703="",FALSE,TRUE),OR(EXACT(metadata!W703,"TRUE"),EXACT(metadata!W703,"FALSE"))))</f>
        <v>0</v>
      </c>
      <c r="BI703" t="b">
        <f>AND(IF(metadata!X703="",FALSE,TRUE),EXACT(metadata!X703,"other"))</f>
        <v>0</v>
      </c>
      <c r="BJ703" t="b">
        <f>IF(metadata!Y703="",FALSE,TRUE)</f>
        <v>0</v>
      </c>
      <c r="BK703" t="b">
        <f>OR(AND(IF(metadata!Z703="",FALSE,TRUE),OR(EXACT(metadata!Z703,"missing: not collected"),EXACT(metadata!Z703,"missing: not provided"))),AND(IF(metadata!Z703="",FALSE,IF(ISERROR(INT(metadata!Z703)),FALSE,INT(metadata!Z703)=metadata!Z703)),metadata!Z703&gt;0))</f>
        <v>0</v>
      </c>
      <c r="BL703" t="b">
        <f>AND(IF(metadata!AA703="",FALSE,TRUE),EXACT(metadata!AA703,"Not applicable"))</f>
        <v>0</v>
      </c>
      <c r="BM703" t="b">
        <f>IF(metadata!AB703="",FALSE,TRUE)</f>
        <v>0</v>
      </c>
    </row>
    <row r="704" spans="1:65" x14ac:dyDescent="0.2">
      <c r="A704" s="5" t="str">
        <f ca="1">IF(B704=" "," ",HYPERLINK(CONCATENATE("#metadata!",ADDRESS(INDEX($AH$2:$AH$1001,MATCH(ROWS($AF$2:AF704),$AF$2:$AF$1001,0),0),1)),INDEX($AK$2:$AK$1001,MATCH(ROWS($AF$2:AF704),$AF$2:$AF$1001,0),0)))</f>
        <v xml:space="preserve"> </v>
      </c>
      <c r="B704" s="4" t="str">
        <f ca="1">IF(OR(INDEX($AG$2:$AG$1001,MATCH(ROWS($AF$2:AF704),$AF$2:$AF$1001,0),1)&gt;=100000,INDEX($AM$1005:$BM$1005,1,MATCH(COLUMNS($AM$1006:AM1006),$AM$1006:$BM$1006,0))&gt;=100000), " ",IF(INDEX($AM$2:$BM$1001,MATCH(ROWS($AF$2:AF704),$AF$2:$AF$1001,0),MATCH(COLUMNS($AM$1006:AM1006),$AM$1006:$BM$1006,0)), HYPERLINK("#",""), HYPERLINK(CONCATENATE("#metadata!", ADDRESS(INDEX($AH$2:$AH$1001,MATCH(ROWS($AF$2:AF704),$AF$2:$AF$1001,0),0), INDEX($AM$1004:$BM$1004,1,MATCH(COLUMNS($AM$1006:AM1006),$AM$1006:$BM$1006,0)))),"Fix")))</f>
        <v xml:space="preserve"> </v>
      </c>
      <c r="C704" s="4" t="str">
        <f ca="1">IF(OR(INDEX($AG$2:$AG$1001,MATCH(ROWS($AF$2:AF704),$AF$2:$AF$1001,0),1)&gt;=100000,INDEX($AM$1005:$BM$1005,1,MATCH(COLUMNS($AM$1006:AN1006),$AM$1006:$BM$1006,0))&gt;=100000), " ",IF(INDEX($AM$2:$BM$1001,MATCH(ROWS($AF$2:AF704),$AF$2:$AF$1001,0),MATCH(COLUMNS($AM$1006:AN1006),$AM$1006:$BM$1006,0)), HYPERLINK("#",""), HYPERLINK(CONCATENATE("#metadata!", ADDRESS(INDEX($AH$2:$AH$1001,MATCH(ROWS($AF$2:AF704),$AF$2:$AF$1001,0),0), INDEX($AM$1004:$BM$1004,1,MATCH(COLUMNS($AM$1006:AN1006),$AM$1006:$BM$1006,0)))),"Fix")))</f>
        <v xml:space="preserve"> </v>
      </c>
      <c r="D704" s="4" t="str">
        <f ca="1">IF(OR(INDEX($AG$2:$AG$1001,MATCH(ROWS($AF$2:AF704),$AF$2:$AF$1001,0),1)&gt;=100000,INDEX($AM$1005:$BM$1005,1,MATCH(COLUMNS($AM$1006:AO1006),$AM$1006:$BM$1006,0))&gt;=100000), " ",IF(INDEX($AM$2:$BM$1001,MATCH(ROWS($AF$2:AF704),$AF$2:$AF$1001,0),MATCH(COLUMNS($AM$1006:AO1006),$AM$1006:$BM$1006,0)), HYPERLINK("#",""), HYPERLINK(CONCATENATE("#metadata!", ADDRESS(INDEX($AH$2:$AH$1001,MATCH(ROWS($AF$2:AF704),$AF$2:$AF$1001,0),0), INDEX($AM$1004:$BM$1004,1,MATCH(COLUMNS($AM$1006:AO1006),$AM$1006:$BM$1006,0)))),"Fix")))</f>
        <v xml:space="preserve"> </v>
      </c>
      <c r="E704" s="4" t="str">
        <f ca="1">IF(OR(INDEX($AG$2:$AG$1001,MATCH(ROWS($AF$2:AF704),$AF$2:$AF$1001,0),1)&gt;=100000,INDEX($AM$1005:$BM$1005,1,MATCH(COLUMNS($AM$1006:AP1006),$AM$1006:$BM$1006,0))&gt;=100000), " ",IF(INDEX($AM$2:$BM$1001,MATCH(ROWS($AF$2:AF704),$AF$2:$AF$1001,0),MATCH(COLUMNS($AM$1006:AP1006),$AM$1006:$BM$1006,0)), HYPERLINK("#",""), HYPERLINK(CONCATENATE("#metadata!", ADDRESS(INDEX($AH$2:$AH$1001,MATCH(ROWS($AF$2:AF704),$AF$2:$AF$1001,0),0), INDEX($AM$1004:$BM$1004,1,MATCH(COLUMNS($AM$1006:AP1006),$AM$1006:$BM$1006,0)))),"Fix")))</f>
        <v xml:space="preserve"> </v>
      </c>
      <c r="F704" s="4" t="str">
        <f ca="1">IF(OR(INDEX($AG$2:$AG$1001,MATCH(ROWS($AF$2:AF704),$AF$2:$AF$1001,0),1)&gt;=100000,INDEX($AM$1005:$BM$1005,1,MATCH(COLUMNS($AM$1006:AQ1006),$AM$1006:$BM$1006,0))&gt;=100000), " ",IF(INDEX($AM$2:$BM$1001,MATCH(ROWS($AF$2:AF704),$AF$2:$AF$1001,0),MATCH(COLUMNS($AM$1006:AQ1006),$AM$1006:$BM$1006,0)), HYPERLINK("#",""), HYPERLINK(CONCATENATE("#metadata!", ADDRESS(INDEX($AH$2:$AH$1001,MATCH(ROWS($AF$2:AF704),$AF$2:$AF$1001,0),0), INDEX($AM$1004:$BM$1004,1,MATCH(COLUMNS($AM$1006:AQ1006),$AM$1006:$BM$1006,0)))),"Fix")))</f>
        <v xml:space="preserve"> </v>
      </c>
      <c r="G704" s="4" t="str">
        <f ca="1">IF(OR(INDEX($AG$2:$AG$1001,MATCH(ROWS($AF$2:AF704),$AF$2:$AF$1001,0),1)&gt;=100000,INDEX($AM$1005:$BM$1005,1,MATCH(COLUMNS($AM$1006:AR1006),$AM$1006:$BM$1006,0))&gt;=100000), " ",IF(INDEX($AM$2:$BM$1001,MATCH(ROWS($AF$2:AF704),$AF$2:$AF$1001,0),MATCH(COLUMNS($AM$1006:AR1006),$AM$1006:$BM$1006,0)), HYPERLINK("#",""), HYPERLINK(CONCATENATE("#metadata!", ADDRESS(INDEX($AH$2:$AH$1001,MATCH(ROWS($AF$2:AF704),$AF$2:$AF$1001,0),0), INDEX($AM$1004:$BM$1004,1,MATCH(COLUMNS($AM$1006:AR1006),$AM$1006:$BM$1006,0)))),"Fix")))</f>
        <v xml:space="preserve"> </v>
      </c>
      <c r="H704" s="4" t="str">
        <f ca="1">IF(OR(INDEX($AG$2:$AG$1001,MATCH(ROWS($AF$2:AF704),$AF$2:$AF$1001,0),1)&gt;=100000,INDEX($AM$1005:$BM$1005,1,MATCH(COLUMNS($AM$1006:AS1006),$AM$1006:$BM$1006,0))&gt;=100000), " ",IF(INDEX($AM$2:$BM$1001,MATCH(ROWS($AF$2:AF704),$AF$2:$AF$1001,0),MATCH(COLUMNS($AM$1006:AS1006),$AM$1006:$BM$1006,0)), HYPERLINK("#",""), HYPERLINK(CONCATENATE("#metadata!", ADDRESS(INDEX($AH$2:$AH$1001,MATCH(ROWS($AF$2:AF704),$AF$2:$AF$1001,0),0), INDEX($AM$1004:$BM$1004,1,MATCH(COLUMNS($AM$1006:AS1006),$AM$1006:$BM$1006,0)))),"Fix")))</f>
        <v xml:space="preserve"> </v>
      </c>
      <c r="I704" s="4" t="str">
        <f ca="1">IF(OR(INDEX($AG$2:$AG$1001,MATCH(ROWS($AF$2:AF704),$AF$2:$AF$1001,0),1)&gt;=100000,INDEX($AM$1005:$BM$1005,1,MATCH(COLUMNS($AM$1006:AT1006),$AM$1006:$BM$1006,0))&gt;=100000), " ",IF(INDEX($AM$2:$BM$1001,MATCH(ROWS($AF$2:AF704),$AF$2:$AF$1001,0),MATCH(COLUMNS($AM$1006:AT1006),$AM$1006:$BM$1006,0)), HYPERLINK("#",""), HYPERLINK(CONCATENATE("#metadata!", ADDRESS(INDEX($AH$2:$AH$1001,MATCH(ROWS($AF$2:AF704),$AF$2:$AF$1001,0),0), INDEX($AM$1004:$BM$1004,1,MATCH(COLUMNS($AM$1006:AT1006),$AM$1006:$BM$1006,0)))),"Fix")))</f>
        <v xml:space="preserve"> </v>
      </c>
      <c r="J704" s="4" t="str">
        <f ca="1">IF(OR(INDEX($AG$2:$AG$1001,MATCH(ROWS($AF$2:AF704),$AF$2:$AF$1001,0),1)&gt;=100000,INDEX($AM$1005:$BM$1005,1,MATCH(COLUMNS($AM$1006:AU1006),$AM$1006:$BM$1006,0))&gt;=100000), " ",IF(INDEX($AM$2:$BM$1001,MATCH(ROWS($AF$2:AF704),$AF$2:$AF$1001,0),MATCH(COLUMNS($AM$1006:AU1006),$AM$1006:$BM$1006,0)), HYPERLINK("#",""), HYPERLINK(CONCATENATE("#metadata!", ADDRESS(INDEX($AH$2:$AH$1001,MATCH(ROWS($AF$2:AF704),$AF$2:$AF$1001,0),0), INDEX($AM$1004:$BM$1004,1,MATCH(COLUMNS($AM$1006:AU1006),$AM$1006:$BM$1006,0)))),"Fix")))</f>
        <v xml:space="preserve"> </v>
      </c>
      <c r="K704" s="4" t="str">
        <f ca="1">IF(OR(INDEX($AG$2:$AG$1001,MATCH(ROWS($AF$2:AF704),$AF$2:$AF$1001,0),1)&gt;=100000,INDEX($AM$1005:$BM$1005,1,MATCH(COLUMNS($AM$1006:AV1006),$AM$1006:$BM$1006,0))&gt;=100000), " ",IF(INDEX($AM$2:$BM$1001,MATCH(ROWS($AF$2:AF704),$AF$2:$AF$1001,0),MATCH(COLUMNS($AM$1006:AV1006),$AM$1006:$BM$1006,0)), HYPERLINK("#",""), HYPERLINK(CONCATENATE("#metadata!", ADDRESS(INDEX($AH$2:$AH$1001,MATCH(ROWS($AF$2:AF704),$AF$2:$AF$1001,0),0), INDEX($AM$1004:$BM$1004,1,MATCH(COLUMNS($AM$1006:AV1006),$AM$1006:$BM$1006,0)))),"Fix")))</f>
        <v xml:space="preserve"> </v>
      </c>
      <c r="L704" s="4" t="str">
        <f ca="1">IF(OR(INDEX($AG$2:$AG$1001,MATCH(ROWS($AF$2:AF704),$AF$2:$AF$1001,0),1)&gt;=100000,INDEX($AM$1005:$BM$1005,1,MATCH(COLUMNS($AM$1006:AW1006),$AM$1006:$BM$1006,0))&gt;=100000), " ",IF(INDEX($AM$2:$BM$1001,MATCH(ROWS($AF$2:AF704),$AF$2:$AF$1001,0),MATCH(COLUMNS($AM$1006:AW1006),$AM$1006:$BM$1006,0)), HYPERLINK("#",""), HYPERLINK(CONCATENATE("#metadata!", ADDRESS(INDEX($AH$2:$AH$1001,MATCH(ROWS($AF$2:AF704),$AF$2:$AF$1001,0),0), INDEX($AM$1004:$BM$1004,1,MATCH(COLUMNS($AM$1006:AW1006),$AM$1006:$BM$1006,0)))),"Fix")))</f>
        <v xml:space="preserve"> </v>
      </c>
      <c r="M704" s="4" t="str">
        <f ca="1">IF(OR(INDEX($AG$2:$AG$1001,MATCH(ROWS($AF$2:AF704),$AF$2:$AF$1001,0),1)&gt;=100000,INDEX($AM$1005:$BM$1005,1,MATCH(COLUMNS($AM$1006:AX1006),$AM$1006:$BM$1006,0))&gt;=100000), " ",IF(INDEX($AM$2:$BM$1001,MATCH(ROWS($AF$2:AF704),$AF$2:$AF$1001,0),MATCH(COLUMNS($AM$1006:AX1006),$AM$1006:$BM$1006,0)), HYPERLINK("#",""), HYPERLINK(CONCATENATE("#metadata!", ADDRESS(INDEX($AH$2:$AH$1001,MATCH(ROWS($AF$2:AF704),$AF$2:$AF$1001,0),0), INDEX($AM$1004:$BM$1004,1,MATCH(COLUMNS($AM$1006:AX1006),$AM$1006:$BM$1006,0)))),"Fix")))</f>
        <v xml:space="preserve"> </v>
      </c>
      <c r="N704" s="4" t="str">
        <f ca="1">IF(OR(INDEX($AG$2:$AG$1001,MATCH(ROWS($AF$2:AF704),$AF$2:$AF$1001,0),1)&gt;=100000,INDEX($AM$1005:$BM$1005,1,MATCH(COLUMNS($AM$1006:AY1006),$AM$1006:$BM$1006,0))&gt;=100000), " ",IF(INDEX($AM$2:$BM$1001,MATCH(ROWS($AF$2:AF704),$AF$2:$AF$1001,0),MATCH(COLUMNS($AM$1006:AY1006),$AM$1006:$BM$1006,0)), HYPERLINK("#",""), HYPERLINK(CONCATENATE("#metadata!", ADDRESS(INDEX($AH$2:$AH$1001,MATCH(ROWS($AF$2:AF704),$AF$2:$AF$1001,0),0), INDEX($AM$1004:$BM$1004,1,MATCH(COLUMNS($AM$1006:AY1006),$AM$1006:$BM$1006,0)))),"Fix")))</f>
        <v xml:space="preserve"> </v>
      </c>
      <c r="O704" s="4" t="str">
        <f ca="1">IF(OR(INDEX($AG$2:$AG$1001,MATCH(ROWS($AF$2:AF704),$AF$2:$AF$1001,0),1)&gt;=100000,INDEX($AM$1005:$BM$1005,1,MATCH(COLUMNS($AM$1006:AZ1006),$AM$1006:$BM$1006,0))&gt;=100000), " ",IF(INDEX($AM$2:$BM$1001,MATCH(ROWS($AF$2:AF704),$AF$2:$AF$1001,0),MATCH(COLUMNS($AM$1006:AZ1006),$AM$1006:$BM$1006,0)), HYPERLINK("#",""), HYPERLINK(CONCATENATE("#metadata!", ADDRESS(INDEX($AH$2:$AH$1001,MATCH(ROWS($AF$2:AF704),$AF$2:$AF$1001,0),0), INDEX($AM$1004:$BM$1004,1,MATCH(COLUMNS($AM$1006:AZ1006),$AM$1006:$BM$1006,0)))),"Fix")))</f>
        <v xml:space="preserve"> </v>
      </c>
      <c r="P704" s="4" t="str">
        <f ca="1">IF(OR(INDEX($AG$2:$AG$1001,MATCH(ROWS($AF$2:AF704),$AF$2:$AF$1001,0),1)&gt;=100000,INDEX($AM$1005:$BM$1005,1,MATCH(COLUMNS($AM$1006:BA1006),$AM$1006:$BM$1006,0))&gt;=100000), " ",IF(INDEX($AM$2:$BM$1001,MATCH(ROWS($AF$2:AF704),$AF$2:$AF$1001,0),MATCH(COLUMNS($AM$1006:BA1006),$AM$1006:$BM$1006,0)), HYPERLINK("#",""), HYPERLINK(CONCATENATE("#metadata!", ADDRESS(INDEX($AH$2:$AH$1001,MATCH(ROWS($AF$2:AF704),$AF$2:$AF$1001,0),0), INDEX($AM$1004:$BM$1004,1,MATCH(COLUMNS($AM$1006:BA1006),$AM$1006:$BM$1006,0)))),"Fix")))</f>
        <v xml:space="preserve"> </v>
      </c>
      <c r="Q704" s="4" t="str">
        <f ca="1">IF(OR(INDEX($AG$2:$AG$1001,MATCH(ROWS($AF$2:AF704),$AF$2:$AF$1001,0),1)&gt;=100000,INDEX($AM$1005:$BM$1005,1,MATCH(COLUMNS($AM$1006:BB1006),$AM$1006:$BM$1006,0))&gt;=100000), " ",IF(INDEX($AM$2:$BM$1001,MATCH(ROWS($AF$2:AF704),$AF$2:$AF$1001,0),MATCH(COLUMNS($AM$1006:BB1006),$AM$1006:$BM$1006,0)), HYPERLINK("#",""), HYPERLINK(CONCATENATE("#metadata!", ADDRESS(INDEX($AH$2:$AH$1001,MATCH(ROWS($AF$2:AF704),$AF$2:$AF$1001,0),0), INDEX($AM$1004:$BM$1004,1,MATCH(COLUMNS($AM$1006:BB1006),$AM$1006:$BM$1006,0)))),"Fix")))</f>
        <v xml:space="preserve"> </v>
      </c>
      <c r="R704" s="4" t="str">
        <f ca="1">IF(OR(INDEX($AG$2:$AG$1001,MATCH(ROWS($AF$2:AF704),$AF$2:$AF$1001,0),1)&gt;=100000,INDEX($AM$1005:$BM$1005,1,MATCH(COLUMNS($AM$1006:BC1006),$AM$1006:$BM$1006,0))&gt;=100000), " ",IF(INDEX($AM$2:$BM$1001,MATCH(ROWS($AF$2:AF704),$AF$2:$AF$1001,0),MATCH(COLUMNS($AM$1006:BC1006),$AM$1006:$BM$1006,0)), HYPERLINK("#",""), HYPERLINK(CONCATENATE("#metadata!", ADDRESS(INDEX($AH$2:$AH$1001,MATCH(ROWS($AF$2:AF704),$AF$2:$AF$1001,0),0), INDEX($AM$1004:$BM$1004,1,MATCH(COLUMNS($AM$1006:BC1006),$AM$1006:$BM$1006,0)))),"Fix")))</f>
        <v xml:space="preserve"> </v>
      </c>
      <c r="S704" s="4" t="str">
        <f ca="1">IF(OR(INDEX($AG$2:$AG$1001,MATCH(ROWS($AF$2:AF704),$AF$2:$AF$1001,0),1)&gt;=100000,INDEX($AM$1005:$BM$1005,1,MATCH(COLUMNS($AM$1006:BD1006),$AM$1006:$BM$1006,0))&gt;=100000), " ",IF(INDEX($AM$2:$BM$1001,MATCH(ROWS($AF$2:AF704),$AF$2:$AF$1001,0),MATCH(COLUMNS($AM$1006:BD1006),$AM$1006:$BM$1006,0)), HYPERLINK("#",""), HYPERLINK(CONCATENATE("#metadata!", ADDRESS(INDEX($AH$2:$AH$1001,MATCH(ROWS($AF$2:AF704),$AF$2:$AF$1001,0),0), INDEX($AM$1004:$BM$1004,1,MATCH(COLUMNS($AM$1006:BD1006),$AM$1006:$BM$1006,0)))),"Fix")))</f>
        <v xml:space="preserve"> </v>
      </c>
      <c r="T704" s="4" t="str">
        <f ca="1">IF(OR(INDEX($AG$2:$AG$1001,MATCH(ROWS($AF$2:AF704),$AF$2:$AF$1001,0),1)&gt;=100000,INDEX($AM$1005:$BM$1005,1,MATCH(COLUMNS($AM$1006:BE1006),$AM$1006:$BM$1006,0))&gt;=100000), " ",IF(INDEX($AM$2:$BM$1001,MATCH(ROWS($AF$2:AF704),$AF$2:$AF$1001,0),MATCH(COLUMNS($AM$1006:BE1006),$AM$1006:$BM$1006,0)), HYPERLINK("#",""), HYPERLINK(CONCATENATE("#metadata!", ADDRESS(INDEX($AH$2:$AH$1001,MATCH(ROWS($AF$2:AF704),$AF$2:$AF$1001,0),0), INDEX($AM$1004:$BM$1004,1,MATCH(COLUMNS($AM$1006:BE1006),$AM$1006:$BM$1006,0)))),"Fix")))</f>
        <v xml:space="preserve"> </v>
      </c>
      <c r="U704" s="4" t="str">
        <f ca="1">IF(OR(INDEX($AG$2:$AG$1001,MATCH(ROWS($AF$2:AF704),$AF$2:$AF$1001,0),1)&gt;=100000,INDEX($AM$1005:$BM$1005,1,MATCH(COLUMNS($AM$1006:BF1006),$AM$1006:$BM$1006,0))&gt;=100000), " ",IF(INDEX($AM$2:$BM$1001,MATCH(ROWS($AF$2:AF704),$AF$2:$AF$1001,0),MATCH(COLUMNS($AM$1006:BF1006),$AM$1006:$BM$1006,0)), HYPERLINK("#",""), HYPERLINK(CONCATENATE("#metadata!", ADDRESS(INDEX($AH$2:$AH$1001,MATCH(ROWS($AF$2:AF704),$AF$2:$AF$1001,0),0), INDEX($AM$1004:$BM$1004,1,MATCH(COLUMNS($AM$1006:BF1006),$AM$1006:$BM$1006,0)))),"Fix")))</f>
        <v xml:space="preserve"> </v>
      </c>
      <c r="V704" s="4" t="str">
        <f ca="1">IF(OR(INDEX($AG$2:$AG$1001,MATCH(ROWS($AF$2:AF704),$AF$2:$AF$1001,0),1)&gt;=100000,INDEX($AM$1005:$BM$1005,1,MATCH(COLUMNS($AM$1006:BG1006),$AM$1006:$BM$1006,0))&gt;=100000), " ",IF(INDEX($AM$2:$BM$1001,MATCH(ROWS($AF$2:AF704),$AF$2:$AF$1001,0),MATCH(COLUMNS($AM$1006:BG1006),$AM$1006:$BM$1006,0)), HYPERLINK("#",""), HYPERLINK(CONCATENATE("#metadata!", ADDRESS(INDEX($AH$2:$AH$1001,MATCH(ROWS($AF$2:AF704),$AF$2:$AF$1001,0),0), INDEX($AM$1004:$BM$1004,1,MATCH(COLUMNS($AM$1006:BG1006),$AM$1006:$BM$1006,0)))),"Fix")))</f>
        <v xml:space="preserve"> </v>
      </c>
      <c r="W704" s="4" t="str">
        <f ca="1">IF(OR(INDEX($AG$2:$AG$1001,MATCH(ROWS($AF$2:AF704),$AF$2:$AF$1001,0),1)&gt;=100000,INDEX($AM$1005:$BM$1005,1,MATCH(COLUMNS($AM$1006:BH1006),$AM$1006:$BM$1006,0))&gt;=100000), " ",IF(INDEX($AM$2:$BM$1001,MATCH(ROWS($AF$2:AF704),$AF$2:$AF$1001,0),MATCH(COLUMNS($AM$1006:BH1006),$AM$1006:$BM$1006,0)), HYPERLINK("#",""), HYPERLINK(CONCATENATE("#metadata!", ADDRESS(INDEX($AH$2:$AH$1001,MATCH(ROWS($AF$2:AF704),$AF$2:$AF$1001,0),0), INDEX($AM$1004:$BM$1004,1,MATCH(COLUMNS($AM$1006:BH1006),$AM$1006:$BM$1006,0)))),"Fix")))</f>
        <v xml:space="preserve"> </v>
      </c>
      <c r="X704" s="4" t="str">
        <f ca="1">IF(OR(INDEX($AG$2:$AG$1001,MATCH(ROWS($AF$2:AF704),$AF$2:$AF$1001,0),1)&gt;=100000,INDEX($AM$1005:$BM$1005,1,MATCH(COLUMNS($AM$1006:BI1006),$AM$1006:$BM$1006,0))&gt;=100000), " ",IF(INDEX($AM$2:$BM$1001,MATCH(ROWS($AF$2:AF704),$AF$2:$AF$1001,0),MATCH(COLUMNS($AM$1006:BI1006),$AM$1006:$BM$1006,0)), HYPERLINK("#",""), HYPERLINK(CONCATENATE("#metadata!", ADDRESS(INDEX($AH$2:$AH$1001,MATCH(ROWS($AF$2:AF704),$AF$2:$AF$1001,0),0), INDEX($AM$1004:$BM$1004,1,MATCH(COLUMNS($AM$1006:BI1006),$AM$1006:$BM$1006,0)))),"Fix")))</f>
        <v xml:space="preserve"> </v>
      </c>
      <c r="Y704" s="4" t="str">
        <f ca="1">IF(OR(INDEX($AG$2:$AG$1001,MATCH(ROWS($AF$2:AF704),$AF$2:$AF$1001,0),1)&gt;=100000,INDEX($AM$1005:$BM$1005,1,MATCH(COLUMNS($AM$1006:BJ1006),$AM$1006:$BM$1006,0))&gt;=100000), " ",IF(INDEX($AM$2:$BM$1001,MATCH(ROWS($AF$2:AF704),$AF$2:$AF$1001,0),MATCH(COLUMNS($AM$1006:BJ1006),$AM$1006:$BM$1006,0)), HYPERLINK("#",""), HYPERLINK(CONCATENATE("#metadata!", ADDRESS(INDEX($AH$2:$AH$1001,MATCH(ROWS($AF$2:AF704),$AF$2:$AF$1001,0),0), INDEX($AM$1004:$BM$1004,1,MATCH(COLUMNS($AM$1006:BJ1006),$AM$1006:$BM$1006,0)))),"Fix")))</f>
        <v xml:space="preserve"> </v>
      </c>
      <c r="Z704" s="4" t="str">
        <f ca="1">IF(OR(INDEX($AG$2:$AG$1001,MATCH(ROWS($AF$2:AF704),$AF$2:$AF$1001,0),1)&gt;=100000,INDEX($AM$1005:$BM$1005,1,MATCH(COLUMNS($AM$1006:BK1006),$AM$1006:$BM$1006,0))&gt;=100000), " ",IF(INDEX($AM$2:$BM$1001,MATCH(ROWS($AF$2:AF704),$AF$2:$AF$1001,0),MATCH(COLUMNS($AM$1006:BK1006),$AM$1006:$BM$1006,0)), HYPERLINK("#",""), HYPERLINK(CONCATENATE("#metadata!", ADDRESS(INDEX($AH$2:$AH$1001,MATCH(ROWS($AF$2:AF704),$AF$2:$AF$1001,0),0), INDEX($AM$1004:$BM$1004,1,MATCH(COLUMNS($AM$1006:BK1006),$AM$1006:$BM$1006,0)))),"Fix")))</f>
        <v xml:space="preserve"> </v>
      </c>
      <c r="AA704" s="4" t="str">
        <f ca="1">IF(OR(INDEX($AG$2:$AG$1001,MATCH(ROWS($AF$2:AF704),$AF$2:$AF$1001,0),1)&gt;=100000,INDEX($AM$1005:$BM$1005,1,MATCH(COLUMNS($AM$1006:BL1006),$AM$1006:$BM$1006,0))&gt;=100000), " ",IF(INDEX($AM$2:$BM$1001,MATCH(ROWS($AF$2:AF704),$AF$2:$AF$1001,0),MATCH(COLUMNS($AM$1006:BL1006),$AM$1006:$BM$1006,0)), HYPERLINK("#",""), HYPERLINK(CONCATENATE("#metadata!", ADDRESS(INDEX($AH$2:$AH$1001,MATCH(ROWS($AF$2:AF704),$AF$2:$AF$1001,0),0), INDEX($AM$1004:$BM$1004,1,MATCH(COLUMNS($AM$1006:BL1006),$AM$1006:$BM$1006,0)))),"Fix")))</f>
        <v xml:space="preserve"> </v>
      </c>
      <c r="AB704" s="4" t="str">
        <f ca="1">IF(OR(INDEX($AG$2:$AG$1001,MATCH(ROWS($AF$2:AF704),$AF$2:$AF$1001,0),1)&gt;=100000,INDEX($AM$1005:$BM$1005,1,MATCH(COLUMNS($AM$1006:BM1006),$AM$1006:$BM$1006,0))&gt;=100000), " ",IF(INDEX($AM$2:$BM$1001,MATCH(ROWS($AF$2:AF704),$AF$2:$AF$1001,0),MATCH(COLUMNS($AM$1006:BM1006),$AM$1006:$BM$1006,0)), HYPERLINK("#",""), HYPERLINK(CONCATENATE("#metadata!", ADDRESS(INDEX($AH$2:$AH$1001,MATCH(ROWS($AF$2:AF704),$AF$2:$AF$1001,0),0), INDEX($AM$1004:$BM$1004,1,MATCH(COLUMNS($AM$1006:BM1006),$AM$1006:$BM$1006,0)))),"Fix")))</f>
        <v xml:space="preserve"> </v>
      </c>
      <c r="AF704">
        <v>703</v>
      </c>
      <c r="AG704">
        <v>100704</v>
      </c>
      <c r="AH704">
        <v>704</v>
      </c>
      <c r="AI704" t="b">
        <f t="shared" si="10"/>
        <v>1</v>
      </c>
      <c r="AJ704" t="b">
        <f>COUNTBLANK(metadata!B704:AB704)=COLUMNS(metadata!B704:AB704)</f>
        <v>1</v>
      </c>
      <c r="AK704" t="str">
        <v/>
      </c>
      <c r="AM704" t="b">
        <f ca="1">AND(IF(metadata!B704="",FALSE,TRUE),COUNTIF(metadata!B:B, metadata!B704) = 1,NOT(ISERROR(SUMPRODUCT(SEARCH(MID(metadata!B704,ROW(INDIRECT("1:"&amp;LEN(metadata!B704))), 1),"0123456789abcdefghijklmnopqrstuvwxyzABCDEFGHIJKLMNOPQRSTUVWXYZ.")))))</f>
        <v>0</v>
      </c>
      <c r="AN704" t="b">
        <f ca="1">OR(AND(IF(metadata!C704="",FALSE,TRUE),OR(EXACT(metadata!C704,"missing: not collected"),EXACT(metadata!C704,"missing: not provided"),EXACT(metadata!C704,"missing: restricted access"))),AND(IF(metadata!C704="",FALSE,TRUE),AND(AND(IFERROR(INT(LEFT(metadata!C704,4))&gt;1900,FALSE),IFERROR(INT(LEFT(metadata!C704,4))&lt;=YEAR(NOW()),FALSE)), OR(MID(metadata!C704,5,1)="", AND(AND(MID(metadata!C704,5,1)="-",IFERROR(INT(MID(metadata!C704,6,1))&gt;=0,FALSE),IFERROR(INT(MID(metadata!C704,6,1))&lt;=1,FALSE),NOT(MID(metadata!C704,7,1)=""),IFERROR(INT(MID(metadata!C704,6,2))&gt;=1,FALSE),IFERROR(INT(MID(metadata!C704,6,2))&lt;=12,FALSE)), OR(MID(metadata!C704,8,1)="", AND(AND(MID(metadata!C704,8,1)="-",IFERROR(INT(MID(metadata!C704,9,1))&gt;=0,FALSE),IFERROR(INT(MID(metadata!C704,9,1))&lt;=3,FALSE),NOT(MID(metadata!C704,10,1)=""),IFERROR(INT(MID(metadata!C704,9,2))&gt;=1,FALSE),IFERROR(INT(MID(metadata!C704,9,2))&lt;=31,FALSE)), OR(MID(metadata!C704,11,1)="", AND(AND(MID(metadata!C704,11,1)=" ",IFERROR(INT(MID(metadata!C704,12,1))&gt;=0,FALSE),IFERROR(INT(MID(metadata!C704,12,1))&lt;=2,FALSE),NOT(MID(metadata!C704,13,1)=""),IFERROR(INT(MID(metadata!C704,12,2))&gt;=0,FALSE),IFERROR(INT(MID(metadata!C704,12,2))&lt;=23,FALSE)), OR(MID(metadata!C704,14,1)="", AND(AND(MID(metadata!C704,14,1)=":",IFERROR(INT(MID(metadata!C704,15,1))&gt;=0,FALSE),IFERROR(INT(MID(metadata!C704,15,1))&lt;=5,FALSE),NOT(MID(metadata!C704,16,1)=""),IFERROR(INT(MID(metadata!C704,15,2))&gt;=0,FALSE),IFERROR(INT(MID(metadata!C704,15,2))&lt;=59,FALSE)), OR(MID(metadata!C704,17,1)="", AND(AND(MID(metadata!C704,17,1)=":",IFERROR(INT(MID(metadata!C704,18,1))&gt;=0,FALSE),IFERROR(INT(MID(metadata!C704,18,1))&lt;=5,FALSE),NOT(MID(metadata!C704,19,1)=""),IFERROR(INT(MID(metadata!C704,18,2))&gt;=0,FALSE),IFERROR(INT(MID(metadata!C704,18,2))&lt;=59,FALSE)), LEN(metadata!C704)&lt;=19)))))))))))))</f>
        <v>0</v>
      </c>
      <c r="AO704" t="b">
        <f>AND(IF(metadata!D704="",FALSE,TRUE),EXACT(metadata!D704,"Not applicable"))</f>
        <v>0</v>
      </c>
      <c r="AP704" t="b">
        <f>IF(metadata!E704="",FALSE,TRUE)</f>
        <v>0</v>
      </c>
      <c r="AQ704" t="b">
        <f>OR(AND(IF(metadata!F704="",FALSE,TRUE),OR(EXACT(metadata!F704,"missing: not collected"),EXACT(metadata!F704,"missing: not provided"))),AND(IF(metadata!F704="",FALSE,TRUE),OR(EXACT(metadata!F704,"TRUE"),EXACT(metadata!F704,"FALSE"))))</f>
        <v>0</v>
      </c>
      <c r="AR704" t="b">
        <f>OR(AND(IF(metadata!G704="",FALSE,TRUE),OR(EXACT(metadata!G704,"missing: not collected"),EXACT(metadata!G704,"missing: not provided"),EXACT(metadata!G704,"missing: restricted access"))),AND(IF(metadata!G704="",FALSE,ISNUMBER(VALUE(metadata!G704))),metadata!G704&gt;=-413))</f>
        <v>0</v>
      </c>
      <c r="AS704" t="b">
        <f>AND(IF(metadata!H704="",FALSE,TRUE),EXACT(metadata!H704,"meters"))</f>
        <v>0</v>
      </c>
      <c r="AT704" t="b">
        <f>AND(IF(metadata!I704="",FALSE,TRUE),OR(EXACT(metadata!I704,"Host-associated"),EXACT(metadata!I704,"Free-living")))</f>
        <v>0</v>
      </c>
      <c r="AU704" t="b">
        <f>AND(IF(metadata!J704="",FALSE,TRUE),OR(EXACT(metadata!J704,"Animal"),EXACT(metadata!J704,"Fungus"),EXACT(metadata!J704,"Plant"),EXACT(metadata!J704,"Saline"),EXACT(metadata!J704,"Non-saline")))</f>
        <v>0</v>
      </c>
      <c r="AV704" t="b">
        <f>AND(IF(metadata!K704="",FALSE,TRUE),OR(EXACT(metadata!K704,"Plant secretion"),EXACT(metadata!K704,"Plant rhizosphere"),EXACT(metadata!K704,"Plant surface"),EXACT(metadata!K704,"Plant corpus"),EXACT(metadata!K704,"Fungus surface"),EXACT(metadata!K704,"Fungus corpus"),EXACT(metadata!K704,"Animal surface"),EXACT(metadata!K704,"Animal proximal gut"),EXACT(metadata!K704,"Animal corpus"),EXACT(metadata!K704,"Animal distal gut"),EXACT(metadata!K704,"Animal secretion"),EXACT(metadata!K704,"Sub-surface (non-saline)"),EXACT(metadata!K704,"Surface (non-saline)"),EXACT(metadata!K704,"Water (non-saline)"),EXACT(metadata!K704,"Soil (non-saline)"),EXACT(metadata!K704,"Aerosol (non-saline)"),EXACT(metadata!K704,"Sediment (non-saline)"),EXACT(metadata!K704,"Surface (saline)"),EXACT(metadata!K704,"Water (saline)"),EXACT(metadata!K704,"Hypersaline (saline)"),EXACT(metadata!K704,"Aerosol (saline)"),EXACT(metadata!K704,"Sediment (saline)")))</f>
        <v>0</v>
      </c>
      <c r="AW704" t="b">
        <f>IF(metadata!L704="",FALSE,TRUE)</f>
        <v>0</v>
      </c>
      <c r="AX704" t="b">
        <f>IF(metadata!M704="",FALSE,TRUE)</f>
        <v>0</v>
      </c>
      <c r="AY704" t="b">
        <f>IF(metadata!N704="",FALSE,TRUE)</f>
        <v>0</v>
      </c>
      <c r="AZ704" t="b">
        <f>OR(AND(IF(metadata!O704="",FALSE,TRUE),OR(EXACT(metadata!O704,"missing: not collected"),EXACT(metadata!O704,"missing: not provided"),EXACT(metadata!O704,"missing: restricted access"))),AND(IF(metadata!O704="",FALSE,TRUE),OR(EXACT(metadata!O704,"air"),EXACT(metadata!O704,"built environment"),EXACT(metadata!O704,"host-associated"),EXACT(metadata!O704,"human-associated"),EXACT(metadata!O704,"human-skin"),EXACT(metadata!O704,"human-oral"),EXACT(metadata!O704,"human-gut"),EXACT(metadata!O704,"human-vaginal"),EXACT(metadata!O704,"microbial mat/biofilm"),EXACT(metadata!O704,"misc environment"),EXACT(metadata!O704,"plant-associated"),EXACT(metadata!O704,"sediment"),EXACT(metadata!O704,"soil"),EXACT(metadata!O704,"wastewater/sludge"),EXACT(metadata!O704,"water"))))</f>
        <v>0</v>
      </c>
      <c r="BA704" t="b">
        <f>IF(metadata!P704="",FALSE,TRUE)</f>
        <v>0</v>
      </c>
      <c r="BB704" t="b">
        <f>IF(metadata!Q704="",FALSE,TRUE)</f>
        <v>0</v>
      </c>
      <c r="BC704" t="b">
        <f>OR(AND(IF(metadata!R704="",FALSE,TRUE),OR(EXACT(metadata!R704,"missing: not collected"),EXACT(metadata!R704,"missing: not provided"),EXACT(metadata!R704,"missing: restricted access"))),AND(IF(metadata!R704="",FALSE,ISNUMBER(VALUE(metadata!R704))),metadata!R704&gt;=-90,metadata!R704&lt;=90))</f>
        <v>0</v>
      </c>
      <c r="BD704" t="b">
        <f>AND(IF(metadata!S704="",FALSE,TRUE),EXACT(metadata!S704,"Decimal degrees"))</f>
        <v>0</v>
      </c>
      <c r="BE704" t="b">
        <f>OR(AND(IF(metadata!T704="",FALSE,TRUE),OR(EXACT(metadata!T704,"missing: not collected"),EXACT(metadata!T704,"missing: not provided"),EXACT(metadata!T704,"missing: restricted access"))),AND(IF(metadata!T704="",FALSE,ISNUMBER(VALUE(metadata!T704))),metadata!T704&gt;=-180,metadata!T704&lt;=180))</f>
        <v>0</v>
      </c>
      <c r="BF704" t="b">
        <f>AND(IF(metadata!U704="",FALSE,TRUE),EXACT(metadata!U704,"Decimal degrees"))</f>
        <v>0</v>
      </c>
      <c r="BG704" t="b">
        <f>IF(metadata!V704="",FALSE,TRUE)</f>
        <v>0</v>
      </c>
      <c r="BH704" t="b">
        <f>OR(AND(IF(metadata!W704="",FALSE,TRUE),OR(EXACT(metadata!W704,"missing: not collected"),EXACT(metadata!W704,"missing: not provided"),EXACT(metadata!W704,"missing: restricted access"))),AND(IF(metadata!W704="",FALSE,TRUE),OR(EXACT(metadata!W704,"TRUE"),EXACT(metadata!W704,"FALSE"))))</f>
        <v>0</v>
      </c>
      <c r="BI704" t="b">
        <f>AND(IF(metadata!X704="",FALSE,TRUE),EXACT(metadata!X704,"other"))</f>
        <v>0</v>
      </c>
      <c r="BJ704" t="b">
        <f>IF(metadata!Y704="",FALSE,TRUE)</f>
        <v>0</v>
      </c>
      <c r="BK704" t="b">
        <f>OR(AND(IF(metadata!Z704="",FALSE,TRUE),OR(EXACT(metadata!Z704,"missing: not collected"),EXACT(metadata!Z704,"missing: not provided"))),AND(IF(metadata!Z704="",FALSE,IF(ISERROR(INT(metadata!Z704)),FALSE,INT(metadata!Z704)=metadata!Z704)),metadata!Z704&gt;0))</f>
        <v>0</v>
      </c>
      <c r="BL704" t="b">
        <f>AND(IF(metadata!AA704="",FALSE,TRUE),EXACT(metadata!AA704,"Not applicable"))</f>
        <v>0</v>
      </c>
      <c r="BM704" t="b">
        <f>IF(metadata!AB704="",FALSE,TRUE)</f>
        <v>0</v>
      </c>
    </row>
    <row r="705" spans="1:65" x14ac:dyDescent="0.2">
      <c r="A705" s="5" t="str">
        <f ca="1">IF(B705=" "," ",HYPERLINK(CONCATENATE("#metadata!",ADDRESS(INDEX($AH$2:$AH$1001,MATCH(ROWS($AF$2:AF705),$AF$2:$AF$1001,0),0),1)),INDEX($AK$2:$AK$1001,MATCH(ROWS($AF$2:AF705),$AF$2:$AF$1001,0),0)))</f>
        <v xml:space="preserve"> </v>
      </c>
      <c r="B705" s="4" t="str">
        <f ca="1">IF(OR(INDEX($AG$2:$AG$1001,MATCH(ROWS($AF$2:AF705),$AF$2:$AF$1001,0),1)&gt;=100000,INDEX($AM$1005:$BM$1005,1,MATCH(COLUMNS($AM$1006:AM1006),$AM$1006:$BM$1006,0))&gt;=100000), " ",IF(INDEX($AM$2:$BM$1001,MATCH(ROWS($AF$2:AF705),$AF$2:$AF$1001,0),MATCH(COLUMNS($AM$1006:AM1006),$AM$1006:$BM$1006,0)), HYPERLINK("#",""), HYPERLINK(CONCATENATE("#metadata!", ADDRESS(INDEX($AH$2:$AH$1001,MATCH(ROWS($AF$2:AF705),$AF$2:$AF$1001,0),0), INDEX($AM$1004:$BM$1004,1,MATCH(COLUMNS($AM$1006:AM1006),$AM$1006:$BM$1006,0)))),"Fix")))</f>
        <v xml:space="preserve"> </v>
      </c>
      <c r="C705" s="4" t="str">
        <f ca="1">IF(OR(INDEX($AG$2:$AG$1001,MATCH(ROWS($AF$2:AF705),$AF$2:$AF$1001,0),1)&gt;=100000,INDEX($AM$1005:$BM$1005,1,MATCH(COLUMNS($AM$1006:AN1006),$AM$1006:$BM$1006,0))&gt;=100000), " ",IF(INDEX($AM$2:$BM$1001,MATCH(ROWS($AF$2:AF705),$AF$2:$AF$1001,0),MATCH(COLUMNS($AM$1006:AN1006),$AM$1006:$BM$1006,0)), HYPERLINK("#",""), HYPERLINK(CONCATENATE("#metadata!", ADDRESS(INDEX($AH$2:$AH$1001,MATCH(ROWS($AF$2:AF705),$AF$2:$AF$1001,0),0), INDEX($AM$1004:$BM$1004,1,MATCH(COLUMNS($AM$1006:AN1006),$AM$1006:$BM$1006,0)))),"Fix")))</f>
        <v xml:space="preserve"> </v>
      </c>
      <c r="D705" s="4" t="str">
        <f ca="1">IF(OR(INDEX($AG$2:$AG$1001,MATCH(ROWS($AF$2:AF705),$AF$2:$AF$1001,0),1)&gt;=100000,INDEX($AM$1005:$BM$1005,1,MATCH(COLUMNS($AM$1006:AO1006),$AM$1006:$BM$1006,0))&gt;=100000), " ",IF(INDEX($AM$2:$BM$1001,MATCH(ROWS($AF$2:AF705),$AF$2:$AF$1001,0),MATCH(COLUMNS($AM$1006:AO1006),$AM$1006:$BM$1006,0)), HYPERLINK("#",""), HYPERLINK(CONCATENATE("#metadata!", ADDRESS(INDEX($AH$2:$AH$1001,MATCH(ROWS($AF$2:AF705),$AF$2:$AF$1001,0),0), INDEX($AM$1004:$BM$1004,1,MATCH(COLUMNS($AM$1006:AO1006),$AM$1006:$BM$1006,0)))),"Fix")))</f>
        <v xml:space="preserve"> </v>
      </c>
      <c r="E705" s="4" t="str">
        <f ca="1">IF(OR(INDEX($AG$2:$AG$1001,MATCH(ROWS($AF$2:AF705),$AF$2:$AF$1001,0),1)&gt;=100000,INDEX($AM$1005:$BM$1005,1,MATCH(COLUMNS($AM$1006:AP1006),$AM$1006:$BM$1006,0))&gt;=100000), " ",IF(INDEX($AM$2:$BM$1001,MATCH(ROWS($AF$2:AF705),$AF$2:$AF$1001,0),MATCH(COLUMNS($AM$1006:AP1006),$AM$1006:$BM$1006,0)), HYPERLINK("#",""), HYPERLINK(CONCATENATE("#metadata!", ADDRESS(INDEX($AH$2:$AH$1001,MATCH(ROWS($AF$2:AF705),$AF$2:$AF$1001,0),0), INDEX($AM$1004:$BM$1004,1,MATCH(COLUMNS($AM$1006:AP1006),$AM$1006:$BM$1006,0)))),"Fix")))</f>
        <v xml:space="preserve"> </v>
      </c>
      <c r="F705" s="4" t="str">
        <f ca="1">IF(OR(INDEX($AG$2:$AG$1001,MATCH(ROWS($AF$2:AF705),$AF$2:$AF$1001,0),1)&gt;=100000,INDEX($AM$1005:$BM$1005,1,MATCH(COLUMNS($AM$1006:AQ1006),$AM$1006:$BM$1006,0))&gt;=100000), " ",IF(INDEX($AM$2:$BM$1001,MATCH(ROWS($AF$2:AF705),$AF$2:$AF$1001,0),MATCH(COLUMNS($AM$1006:AQ1006),$AM$1006:$BM$1006,0)), HYPERLINK("#",""), HYPERLINK(CONCATENATE("#metadata!", ADDRESS(INDEX($AH$2:$AH$1001,MATCH(ROWS($AF$2:AF705),$AF$2:$AF$1001,0),0), INDEX($AM$1004:$BM$1004,1,MATCH(COLUMNS($AM$1006:AQ1006),$AM$1006:$BM$1006,0)))),"Fix")))</f>
        <v xml:space="preserve"> </v>
      </c>
      <c r="G705" s="4" t="str">
        <f ca="1">IF(OR(INDEX($AG$2:$AG$1001,MATCH(ROWS($AF$2:AF705),$AF$2:$AF$1001,0),1)&gt;=100000,INDEX($AM$1005:$BM$1005,1,MATCH(COLUMNS($AM$1006:AR1006),$AM$1006:$BM$1006,0))&gt;=100000), " ",IF(INDEX($AM$2:$BM$1001,MATCH(ROWS($AF$2:AF705),$AF$2:$AF$1001,0),MATCH(COLUMNS($AM$1006:AR1006),$AM$1006:$BM$1006,0)), HYPERLINK("#",""), HYPERLINK(CONCATENATE("#metadata!", ADDRESS(INDEX($AH$2:$AH$1001,MATCH(ROWS($AF$2:AF705),$AF$2:$AF$1001,0),0), INDEX($AM$1004:$BM$1004,1,MATCH(COLUMNS($AM$1006:AR1006),$AM$1006:$BM$1006,0)))),"Fix")))</f>
        <v xml:space="preserve"> </v>
      </c>
      <c r="H705" s="4" t="str">
        <f ca="1">IF(OR(INDEX($AG$2:$AG$1001,MATCH(ROWS($AF$2:AF705),$AF$2:$AF$1001,0),1)&gt;=100000,INDEX($AM$1005:$BM$1005,1,MATCH(COLUMNS($AM$1006:AS1006),$AM$1006:$BM$1006,0))&gt;=100000), " ",IF(INDEX($AM$2:$BM$1001,MATCH(ROWS($AF$2:AF705),$AF$2:$AF$1001,0),MATCH(COLUMNS($AM$1006:AS1006),$AM$1006:$BM$1006,0)), HYPERLINK("#",""), HYPERLINK(CONCATENATE("#metadata!", ADDRESS(INDEX($AH$2:$AH$1001,MATCH(ROWS($AF$2:AF705),$AF$2:$AF$1001,0),0), INDEX($AM$1004:$BM$1004,1,MATCH(COLUMNS($AM$1006:AS1006),$AM$1006:$BM$1006,0)))),"Fix")))</f>
        <v xml:space="preserve"> </v>
      </c>
      <c r="I705" s="4" t="str">
        <f ca="1">IF(OR(INDEX($AG$2:$AG$1001,MATCH(ROWS($AF$2:AF705),$AF$2:$AF$1001,0),1)&gt;=100000,INDEX($AM$1005:$BM$1005,1,MATCH(COLUMNS($AM$1006:AT1006),$AM$1006:$BM$1006,0))&gt;=100000), " ",IF(INDEX($AM$2:$BM$1001,MATCH(ROWS($AF$2:AF705),$AF$2:$AF$1001,0),MATCH(COLUMNS($AM$1006:AT1006),$AM$1006:$BM$1006,0)), HYPERLINK("#",""), HYPERLINK(CONCATENATE("#metadata!", ADDRESS(INDEX($AH$2:$AH$1001,MATCH(ROWS($AF$2:AF705),$AF$2:$AF$1001,0),0), INDEX($AM$1004:$BM$1004,1,MATCH(COLUMNS($AM$1006:AT1006),$AM$1006:$BM$1006,0)))),"Fix")))</f>
        <v xml:space="preserve"> </v>
      </c>
      <c r="J705" s="4" t="str">
        <f ca="1">IF(OR(INDEX($AG$2:$AG$1001,MATCH(ROWS($AF$2:AF705),$AF$2:$AF$1001,0),1)&gt;=100000,INDEX($AM$1005:$BM$1005,1,MATCH(COLUMNS($AM$1006:AU1006),$AM$1006:$BM$1006,0))&gt;=100000), " ",IF(INDEX($AM$2:$BM$1001,MATCH(ROWS($AF$2:AF705),$AF$2:$AF$1001,0),MATCH(COLUMNS($AM$1006:AU1006),$AM$1006:$BM$1006,0)), HYPERLINK("#",""), HYPERLINK(CONCATENATE("#metadata!", ADDRESS(INDEX($AH$2:$AH$1001,MATCH(ROWS($AF$2:AF705),$AF$2:$AF$1001,0),0), INDEX($AM$1004:$BM$1004,1,MATCH(COLUMNS($AM$1006:AU1006),$AM$1006:$BM$1006,0)))),"Fix")))</f>
        <v xml:space="preserve"> </v>
      </c>
      <c r="K705" s="4" t="str">
        <f ca="1">IF(OR(INDEX($AG$2:$AG$1001,MATCH(ROWS($AF$2:AF705),$AF$2:$AF$1001,0),1)&gt;=100000,INDEX($AM$1005:$BM$1005,1,MATCH(COLUMNS($AM$1006:AV1006),$AM$1006:$BM$1006,0))&gt;=100000), " ",IF(INDEX($AM$2:$BM$1001,MATCH(ROWS($AF$2:AF705),$AF$2:$AF$1001,0),MATCH(COLUMNS($AM$1006:AV1006),$AM$1006:$BM$1006,0)), HYPERLINK("#",""), HYPERLINK(CONCATENATE("#metadata!", ADDRESS(INDEX($AH$2:$AH$1001,MATCH(ROWS($AF$2:AF705),$AF$2:$AF$1001,0),0), INDEX($AM$1004:$BM$1004,1,MATCH(COLUMNS($AM$1006:AV1006),$AM$1006:$BM$1006,0)))),"Fix")))</f>
        <v xml:space="preserve"> </v>
      </c>
      <c r="L705" s="4" t="str">
        <f ca="1">IF(OR(INDEX($AG$2:$AG$1001,MATCH(ROWS($AF$2:AF705),$AF$2:$AF$1001,0),1)&gt;=100000,INDEX($AM$1005:$BM$1005,1,MATCH(COLUMNS($AM$1006:AW1006),$AM$1006:$BM$1006,0))&gt;=100000), " ",IF(INDEX($AM$2:$BM$1001,MATCH(ROWS($AF$2:AF705),$AF$2:$AF$1001,0),MATCH(COLUMNS($AM$1006:AW1006),$AM$1006:$BM$1006,0)), HYPERLINK("#",""), HYPERLINK(CONCATENATE("#metadata!", ADDRESS(INDEX($AH$2:$AH$1001,MATCH(ROWS($AF$2:AF705),$AF$2:$AF$1001,0),0), INDEX($AM$1004:$BM$1004,1,MATCH(COLUMNS($AM$1006:AW1006),$AM$1006:$BM$1006,0)))),"Fix")))</f>
        <v xml:space="preserve"> </v>
      </c>
      <c r="M705" s="4" t="str">
        <f ca="1">IF(OR(INDEX($AG$2:$AG$1001,MATCH(ROWS($AF$2:AF705),$AF$2:$AF$1001,0),1)&gt;=100000,INDEX($AM$1005:$BM$1005,1,MATCH(COLUMNS($AM$1006:AX1006),$AM$1006:$BM$1006,0))&gt;=100000), " ",IF(INDEX($AM$2:$BM$1001,MATCH(ROWS($AF$2:AF705),$AF$2:$AF$1001,0),MATCH(COLUMNS($AM$1006:AX1006),$AM$1006:$BM$1006,0)), HYPERLINK("#",""), HYPERLINK(CONCATENATE("#metadata!", ADDRESS(INDEX($AH$2:$AH$1001,MATCH(ROWS($AF$2:AF705),$AF$2:$AF$1001,0),0), INDEX($AM$1004:$BM$1004,1,MATCH(COLUMNS($AM$1006:AX1006),$AM$1006:$BM$1006,0)))),"Fix")))</f>
        <v xml:space="preserve"> </v>
      </c>
      <c r="N705" s="4" t="str">
        <f ca="1">IF(OR(INDEX($AG$2:$AG$1001,MATCH(ROWS($AF$2:AF705),$AF$2:$AF$1001,0),1)&gt;=100000,INDEX($AM$1005:$BM$1005,1,MATCH(COLUMNS($AM$1006:AY1006),$AM$1006:$BM$1006,0))&gt;=100000), " ",IF(INDEX($AM$2:$BM$1001,MATCH(ROWS($AF$2:AF705),$AF$2:$AF$1001,0),MATCH(COLUMNS($AM$1006:AY1006),$AM$1006:$BM$1006,0)), HYPERLINK("#",""), HYPERLINK(CONCATENATE("#metadata!", ADDRESS(INDEX($AH$2:$AH$1001,MATCH(ROWS($AF$2:AF705),$AF$2:$AF$1001,0),0), INDEX($AM$1004:$BM$1004,1,MATCH(COLUMNS($AM$1006:AY1006),$AM$1006:$BM$1006,0)))),"Fix")))</f>
        <v xml:space="preserve"> </v>
      </c>
      <c r="O705" s="4" t="str">
        <f ca="1">IF(OR(INDEX($AG$2:$AG$1001,MATCH(ROWS($AF$2:AF705),$AF$2:$AF$1001,0),1)&gt;=100000,INDEX($AM$1005:$BM$1005,1,MATCH(COLUMNS($AM$1006:AZ1006),$AM$1006:$BM$1006,0))&gt;=100000), " ",IF(INDEX($AM$2:$BM$1001,MATCH(ROWS($AF$2:AF705),$AF$2:$AF$1001,0),MATCH(COLUMNS($AM$1006:AZ1006),$AM$1006:$BM$1006,0)), HYPERLINK("#",""), HYPERLINK(CONCATENATE("#metadata!", ADDRESS(INDEX($AH$2:$AH$1001,MATCH(ROWS($AF$2:AF705),$AF$2:$AF$1001,0),0), INDEX($AM$1004:$BM$1004,1,MATCH(COLUMNS($AM$1006:AZ1006),$AM$1006:$BM$1006,0)))),"Fix")))</f>
        <v xml:space="preserve"> </v>
      </c>
      <c r="P705" s="4" t="str">
        <f ca="1">IF(OR(INDEX($AG$2:$AG$1001,MATCH(ROWS($AF$2:AF705),$AF$2:$AF$1001,0),1)&gt;=100000,INDEX($AM$1005:$BM$1005,1,MATCH(COLUMNS($AM$1006:BA1006),$AM$1006:$BM$1006,0))&gt;=100000), " ",IF(INDEX($AM$2:$BM$1001,MATCH(ROWS($AF$2:AF705),$AF$2:$AF$1001,0),MATCH(COLUMNS($AM$1006:BA1006),$AM$1006:$BM$1006,0)), HYPERLINK("#",""), HYPERLINK(CONCATENATE("#metadata!", ADDRESS(INDEX($AH$2:$AH$1001,MATCH(ROWS($AF$2:AF705),$AF$2:$AF$1001,0),0), INDEX($AM$1004:$BM$1004,1,MATCH(COLUMNS($AM$1006:BA1006),$AM$1006:$BM$1006,0)))),"Fix")))</f>
        <v xml:space="preserve"> </v>
      </c>
      <c r="Q705" s="4" t="str">
        <f ca="1">IF(OR(INDEX($AG$2:$AG$1001,MATCH(ROWS($AF$2:AF705),$AF$2:$AF$1001,0),1)&gt;=100000,INDEX($AM$1005:$BM$1005,1,MATCH(COLUMNS($AM$1006:BB1006),$AM$1006:$BM$1006,0))&gt;=100000), " ",IF(INDEX($AM$2:$BM$1001,MATCH(ROWS($AF$2:AF705),$AF$2:$AF$1001,0),MATCH(COLUMNS($AM$1006:BB1006),$AM$1006:$BM$1006,0)), HYPERLINK("#",""), HYPERLINK(CONCATENATE("#metadata!", ADDRESS(INDEX($AH$2:$AH$1001,MATCH(ROWS($AF$2:AF705),$AF$2:$AF$1001,0),0), INDEX($AM$1004:$BM$1004,1,MATCH(COLUMNS($AM$1006:BB1006),$AM$1006:$BM$1006,0)))),"Fix")))</f>
        <v xml:space="preserve"> </v>
      </c>
      <c r="R705" s="4" t="str">
        <f ca="1">IF(OR(INDEX($AG$2:$AG$1001,MATCH(ROWS($AF$2:AF705),$AF$2:$AF$1001,0),1)&gt;=100000,INDEX($AM$1005:$BM$1005,1,MATCH(COLUMNS($AM$1006:BC1006),$AM$1006:$BM$1006,0))&gt;=100000), " ",IF(INDEX($AM$2:$BM$1001,MATCH(ROWS($AF$2:AF705),$AF$2:$AF$1001,0),MATCH(COLUMNS($AM$1006:BC1006),$AM$1006:$BM$1006,0)), HYPERLINK("#",""), HYPERLINK(CONCATENATE("#metadata!", ADDRESS(INDEX($AH$2:$AH$1001,MATCH(ROWS($AF$2:AF705),$AF$2:$AF$1001,0),0), INDEX($AM$1004:$BM$1004,1,MATCH(COLUMNS($AM$1006:BC1006),$AM$1006:$BM$1006,0)))),"Fix")))</f>
        <v xml:space="preserve"> </v>
      </c>
      <c r="S705" s="4" t="str">
        <f ca="1">IF(OR(INDEX($AG$2:$AG$1001,MATCH(ROWS($AF$2:AF705),$AF$2:$AF$1001,0),1)&gt;=100000,INDEX($AM$1005:$BM$1005,1,MATCH(COLUMNS($AM$1006:BD1006),$AM$1006:$BM$1006,0))&gt;=100000), " ",IF(INDEX($AM$2:$BM$1001,MATCH(ROWS($AF$2:AF705),$AF$2:$AF$1001,0),MATCH(COLUMNS($AM$1006:BD1006),$AM$1006:$BM$1006,0)), HYPERLINK("#",""), HYPERLINK(CONCATENATE("#metadata!", ADDRESS(INDEX($AH$2:$AH$1001,MATCH(ROWS($AF$2:AF705),$AF$2:$AF$1001,0),0), INDEX($AM$1004:$BM$1004,1,MATCH(COLUMNS($AM$1006:BD1006),$AM$1006:$BM$1006,0)))),"Fix")))</f>
        <v xml:space="preserve"> </v>
      </c>
      <c r="T705" s="4" t="str">
        <f ca="1">IF(OR(INDEX($AG$2:$AG$1001,MATCH(ROWS($AF$2:AF705),$AF$2:$AF$1001,0),1)&gt;=100000,INDEX($AM$1005:$BM$1005,1,MATCH(COLUMNS($AM$1006:BE1006),$AM$1006:$BM$1006,0))&gt;=100000), " ",IF(INDEX($AM$2:$BM$1001,MATCH(ROWS($AF$2:AF705),$AF$2:$AF$1001,0),MATCH(COLUMNS($AM$1006:BE1006),$AM$1006:$BM$1006,0)), HYPERLINK("#",""), HYPERLINK(CONCATENATE("#metadata!", ADDRESS(INDEX($AH$2:$AH$1001,MATCH(ROWS($AF$2:AF705),$AF$2:$AF$1001,0),0), INDEX($AM$1004:$BM$1004,1,MATCH(COLUMNS($AM$1006:BE1006),$AM$1006:$BM$1006,0)))),"Fix")))</f>
        <v xml:space="preserve"> </v>
      </c>
      <c r="U705" s="4" t="str">
        <f ca="1">IF(OR(INDEX($AG$2:$AG$1001,MATCH(ROWS($AF$2:AF705),$AF$2:$AF$1001,0),1)&gt;=100000,INDEX($AM$1005:$BM$1005,1,MATCH(COLUMNS($AM$1006:BF1006),$AM$1006:$BM$1006,0))&gt;=100000), " ",IF(INDEX($AM$2:$BM$1001,MATCH(ROWS($AF$2:AF705),$AF$2:$AF$1001,0),MATCH(COLUMNS($AM$1006:BF1006),$AM$1006:$BM$1006,0)), HYPERLINK("#",""), HYPERLINK(CONCATENATE("#metadata!", ADDRESS(INDEX($AH$2:$AH$1001,MATCH(ROWS($AF$2:AF705),$AF$2:$AF$1001,0),0), INDEX($AM$1004:$BM$1004,1,MATCH(COLUMNS($AM$1006:BF1006),$AM$1006:$BM$1006,0)))),"Fix")))</f>
        <v xml:space="preserve"> </v>
      </c>
      <c r="V705" s="4" t="str">
        <f ca="1">IF(OR(INDEX($AG$2:$AG$1001,MATCH(ROWS($AF$2:AF705),$AF$2:$AF$1001,0),1)&gt;=100000,INDEX($AM$1005:$BM$1005,1,MATCH(COLUMNS($AM$1006:BG1006),$AM$1006:$BM$1006,0))&gt;=100000), " ",IF(INDEX($AM$2:$BM$1001,MATCH(ROWS($AF$2:AF705),$AF$2:$AF$1001,0),MATCH(COLUMNS($AM$1006:BG1006),$AM$1006:$BM$1006,0)), HYPERLINK("#",""), HYPERLINK(CONCATENATE("#metadata!", ADDRESS(INDEX($AH$2:$AH$1001,MATCH(ROWS($AF$2:AF705),$AF$2:$AF$1001,0),0), INDEX($AM$1004:$BM$1004,1,MATCH(COLUMNS($AM$1006:BG1006),$AM$1006:$BM$1006,0)))),"Fix")))</f>
        <v xml:space="preserve"> </v>
      </c>
      <c r="W705" s="4" t="str">
        <f ca="1">IF(OR(INDEX($AG$2:$AG$1001,MATCH(ROWS($AF$2:AF705),$AF$2:$AF$1001,0),1)&gt;=100000,INDEX($AM$1005:$BM$1005,1,MATCH(COLUMNS($AM$1006:BH1006),$AM$1006:$BM$1006,0))&gt;=100000), " ",IF(INDEX($AM$2:$BM$1001,MATCH(ROWS($AF$2:AF705),$AF$2:$AF$1001,0),MATCH(COLUMNS($AM$1006:BH1006),$AM$1006:$BM$1006,0)), HYPERLINK("#",""), HYPERLINK(CONCATENATE("#metadata!", ADDRESS(INDEX($AH$2:$AH$1001,MATCH(ROWS($AF$2:AF705),$AF$2:$AF$1001,0),0), INDEX($AM$1004:$BM$1004,1,MATCH(COLUMNS($AM$1006:BH1006),$AM$1006:$BM$1006,0)))),"Fix")))</f>
        <v xml:space="preserve"> </v>
      </c>
      <c r="X705" s="4" t="str">
        <f ca="1">IF(OR(INDEX($AG$2:$AG$1001,MATCH(ROWS($AF$2:AF705),$AF$2:$AF$1001,0),1)&gt;=100000,INDEX($AM$1005:$BM$1005,1,MATCH(COLUMNS($AM$1006:BI1006),$AM$1006:$BM$1006,0))&gt;=100000), " ",IF(INDEX($AM$2:$BM$1001,MATCH(ROWS($AF$2:AF705),$AF$2:$AF$1001,0),MATCH(COLUMNS($AM$1006:BI1006),$AM$1006:$BM$1006,0)), HYPERLINK("#",""), HYPERLINK(CONCATENATE("#metadata!", ADDRESS(INDEX($AH$2:$AH$1001,MATCH(ROWS($AF$2:AF705),$AF$2:$AF$1001,0),0), INDEX($AM$1004:$BM$1004,1,MATCH(COLUMNS($AM$1006:BI1006),$AM$1006:$BM$1006,0)))),"Fix")))</f>
        <v xml:space="preserve"> </v>
      </c>
      <c r="Y705" s="4" t="str">
        <f ca="1">IF(OR(INDEX($AG$2:$AG$1001,MATCH(ROWS($AF$2:AF705),$AF$2:$AF$1001,0),1)&gt;=100000,INDEX($AM$1005:$BM$1005,1,MATCH(COLUMNS($AM$1006:BJ1006),$AM$1006:$BM$1006,0))&gt;=100000), " ",IF(INDEX($AM$2:$BM$1001,MATCH(ROWS($AF$2:AF705),$AF$2:$AF$1001,0),MATCH(COLUMNS($AM$1006:BJ1006),$AM$1006:$BM$1006,0)), HYPERLINK("#",""), HYPERLINK(CONCATENATE("#metadata!", ADDRESS(INDEX($AH$2:$AH$1001,MATCH(ROWS($AF$2:AF705),$AF$2:$AF$1001,0),0), INDEX($AM$1004:$BM$1004,1,MATCH(COLUMNS($AM$1006:BJ1006),$AM$1006:$BM$1006,0)))),"Fix")))</f>
        <v xml:space="preserve"> </v>
      </c>
      <c r="Z705" s="4" t="str">
        <f ca="1">IF(OR(INDEX($AG$2:$AG$1001,MATCH(ROWS($AF$2:AF705),$AF$2:$AF$1001,0),1)&gt;=100000,INDEX($AM$1005:$BM$1005,1,MATCH(COLUMNS($AM$1006:BK1006),$AM$1006:$BM$1006,0))&gt;=100000), " ",IF(INDEX($AM$2:$BM$1001,MATCH(ROWS($AF$2:AF705),$AF$2:$AF$1001,0),MATCH(COLUMNS($AM$1006:BK1006),$AM$1006:$BM$1006,0)), HYPERLINK("#",""), HYPERLINK(CONCATENATE("#metadata!", ADDRESS(INDEX($AH$2:$AH$1001,MATCH(ROWS($AF$2:AF705),$AF$2:$AF$1001,0),0), INDEX($AM$1004:$BM$1004,1,MATCH(COLUMNS($AM$1006:BK1006),$AM$1006:$BM$1006,0)))),"Fix")))</f>
        <v xml:space="preserve"> </v>
      </c>
      <c r="AA705" s="4" t="str">
        <f ca="1">IF(OR(INDEX($AG$2:$AG$1001,MATCH(ROWS($AF$2:AF705),$AF$2:$AF$1001,0),1)&gt;=100000,INDEX($AM$1005:$BM$1005,1,MATCH(COLUMNS($AM$1006:BL1006),$AM$1006:$BM$1006,0))&gt;=100000), " ",IF(INDEX($AM$2:$BM$1001,MATCH(ROWS($AF$2:AF705),$AF$2:$AF$1001,0),MATCH(COLUMNS($AM$1006:BL1006),$AM$1006:$BM$1006,0)), HYPERLINK("#",""), HYPERLINK(CONCATENATE("#metadata!", ADDRESS(INDEX($AH$2:$AH$1001,MATCH(ROWS($AF$2:AF705),$AF$2:$AF$1001,0),0), INDEX($AM$1004:$BM$1004,1,MATCH(COLUMNS($AM$1006:BL1006),$AM$1006:$BM$1006,0)))),"Fix")))</f>
        <v xml:space="preserve"> </v>
      </c>
      <c r="AB705" s="4" t="str">
        <f ca="1">IF(OR(INDEX($AG$2:$AG$1001,MATCH(ROWS($AF$2:AF705),$AF$2:$AF$1001,0),1)&gt;=100000,INDEX($AM$1005:$BM$1005,1,MATCH(COLUMNS($AM$1006:BM1006),$AM$1006:$BM$1006,0))&gt;=100000), " ",IF(INDEX($AM$2:$BM$1001,MATCH(ROWS($AF$2:AF705),$AF$2:$AF$1001,0),MATCH(COLUMNS($AM$1006:BM1006),$AM$1006:$BM$1006,0)), HYPERLINK("#",""), HYPERLINK(CONCATENATE("#metadata!", ADDRESS(INDEX($AH$2:$AH$1001,MATCH(ROWS($AF$2:AF705),$AF$2:$AF$1001,0),0), INDEX($AM$1004:$BM$1004,1,MATCH(COLUMNS($AM$1006:BM1006),$AM$1006:$BM$1006,0)))),"Fix")))</f>
        <v xml:space="preserve"> </v>
      </c>
      <c r="AF705">
        <v>704</v>
      </c>
      <c r="AG705">
        <v>100705</v>
      </c>
      <c r="AH705">
        <v>705</v>
      </c>
      <c r="AI705" t="b">
        <f t="shared" si="10"/>
        <v>1</v>
      </c>
      <c r="AJ705" t="b">
        <f>COUNTBLANK(metadata!B705:AB705)=COLUMNS(metadata!B705:AB705)</f>
        <v>1</v>
      </c>
      <c r="AK705" t="str">
        <v/>
      </c>
      <c r="AM705" t="b">
        <f ca="1">AND(IF(metadata!B705="",FALSE,TRUE),COUNTIF(metadata!B:B, metadata!B705) = 1,NOT(ISERROR(SUMPRODUCT(SEARCH(MID(metadata!B705,ROW(INDIRECT("1:"&amp;LEN(metadata!B705))), 1),"0123456789abcdefghijklmnopqrstuvwxyzABCDEFGHIJKLMNOPQRSTUVWXYZ.")))))</f>
        <v>0</v>
      </c>
      <c r="AN705" t="b">
        <f ca="1">OR(AND(IF(metadata!C705="",FALSE,TRUE),OR(EXACT(metadata!C705,"missing: not collected"),EXACT(metadata!C705,"missing: not provided"),EXACT(metadata!C705,"missing: restricted access"))),AND(IF(metadata!C705="",FALSE,TRUE),AND(AND(IFERROR(INT(LEFT(metadata!C705,4))&gt;1900,FALSE),IFERROR(INT(LEFT(metadata!C705,4))&lt;=YEAR(NOW()),FALSE)), OR(MID(metadata!C705,5,1)="", AND(AND(MID(metadata!C705,5,1)="-",IFERROR(INT(MID(metadata!C705,6,1))&gt;=0,FALSE),IFERROR(INT(MID(metadata!C705,6,1))&lt;=1,FALSE),NOT(MID(metadata!C705,7,1)=""),IFERROR(INT(MID(metadata!C705,6,2))&gt;=1,FALSE),IFERROR(INT(MID(metadata!C705,6,2))&lt;=12,FALSE)), OR(MID(metadata!C705,8,1)="", AND(AND(MID(metadata!C705,8,1)="-",IFERROR(INT(MID(metadata!C705,9,1))&gt;=0,FALSE),IFERROR(INT(MID(metadata!C705,9,1))&lt;=3,FALSE),NOT(MID(metadata!C705,10,1)=""),IFERROR(INT(MID(metadata!C705,9,2))&gt;=1,FALSE),IFERROR(INT(MID(metadata!C705,9,2))&lt;=31,FALSE)), OR(MID(metadata!C705,11,1)="", AND(AND(MID(metadata!C705,11,1)=" ",IFERROR(INT(MID(metadata!C705,12,1))&gt;=0,FALSE),IFERROR(INT(MID(metadata!C705,12,1))&lt;=2,FALSE),NOT(MID(metadata!C705,13,1)=""),IFERROR(INT(MID(metadata!C705,12,2))&gt;=0,FALSE),IFERROR(INT(MID(metadata!C705,12,2))&lt;=23,FALSE)), OR(MID(metadata!C705,14,1)="", AND(AND(MID(metadata!C705,14,1)=":",IFERROR(INT(MID(metadata!C705,15,1))&gt;=0,FALSE),IFERROR(INT(MID(metadata!C705,15,1))&lt;=5,FALSE),NOT(MID(metadata!C705,16,1)=""),IFERROR(INT(MID(metadata!C705,15,2))&gt;=0,FALSE),IFERROR(INT(MID(metadata!C705,15,2))&lt;=59,FALSE)), OR(MID(metadata!C705,17,1)="", AND(AND(MID(metadata!C705,17,1)=":",IFERROR(INT(MID(metadata!C705,18,1))&gt;=0,FALSE),IFERROR(INT(MID(metadata!C705,18,1))&lt;=5,FALSE),NOT(MID(metadata!C705,19,1)=""),IFERROR(INT(MID(metadata!C705,18,2))&gt;=0,FALSE),IFERROR(INT(MID(metadata!C705,18,2))&lt;=59,FALSE)), LEN(metadata!C705)&lt;=19)))))))))))))</f>
        <v>0</v>
      </c>
      <c r="AO705" t="b">
        <f>AND(IF(metadata!D705="",FALSE,TRUE),EXACT(metadata!D705,"Not applicable"))</f>
        <v>0</v>
      </c>
      <c r="AP705" t="b">
        <f>IF(metadata!E705="",FALSE,TRUE)</f>
        <v>0</v>
      </c>
      <c r="AQ705" t="b">
        <f>OR(AND(IF(metadata!F705="",FALSE,TRUE),OR(EXACT(metadata!F705,"missing: not collected"),EXACT(metadata!F705,"missing: not provided"))),AND(IF(metadata!F705="",FALSE,TRUE),OR(EXACT(metadata!F705,"TRUE"),EXACT(metadata!F705,"FALSE"))))</f>
        <v>0</v>
      </c>
      <c r="AR705" t="b">
        <f>OR(AND(IF(metadata!G705="",FALSE,TRUE),OR(EXACT(metadata!G705,"missing: not collected"),EXACT(metadata!G705,"missing: not provided"),EXACT(metadata!G705,"missing: restricted access"))),AND(IF(metadata!G705="",FALSE,ISNUMBER(VALUE(metadata!G705))),metadata!G705&gt;=-413))</f>
        <v>0</v>
      </c>
      <c r="AS705" t="b">
        <f>AND(IF(metadata!H705="",FALSE,TRUE),EXACT(metadata!H705,"meters"))</f>
        <v>0</v>
      </c>
      <c r="AT705" t="b">
        <f>AND(IF(metadata!I705="",FALSE,TRUE),OR(EXACT(metadata!I705,"Host-associated"),EXACT(metadata!I705,"Free-living")))</f>
        <v>0</v>
      </c>
      <c r="AU705" t="b">
        <f>AND(IF(metadata!J705="",FALSE,TRUE),OR(EXACT(metadata!J705,"Animal"),EXACT(metadata!J705,"Fungus"),EXACT(metadata!J705,"Plant"),EXACT(metadata!J705,"Saline"),EXACT(metadata!J705,"Non-saline")))</f>
        <v>0</v>
      </c>
      <c r="AV705" t="b">
        <f>AND(IF(metadata!K705="",FALSE,TRUE),OR(EXACT(metadata!K705,"Plant secretion"),EXACT(metadata!K705,"Plant rhizosphere"),EXACT(metadata!K705,"Plant surface"),EXACT(metadata!K705,"Plant corpus"),EXACT(metadata!K705,"Fungus surface"),EXACT(metadata!K705,"Fungus corpus"),EXACT(metadata!K705,"Animal surface"),EXACT(metadata!K705,"Animal proximal gut"),EXACT(metadata!K705,"Animal corpus"),EXACT(metadata!K705,"Animal distal gut"),EXACT(metadata!K705,"Animal secretion"),EXACT(metadata!K705,"Sub-surface (non-saline)"),EXACT(metadata!K705,"Surface (non-saline)"),EXACT(metadata!K705,"Water (non-saline)"),EXACT(metadata!K705,"Soil (non-saline)"),EXACT(metadata!K705,"Aerosol (non-saline)"),EXACT(metadata!K705,"Sediment (non-saline)"),EXACT(metadata!K705,"Surface (saline)"),EXACT(metadata!K705,"Water (saline)"),EXACT(metadata!K705,"Hypersaline (saline)"),EXACT(metadata!K705,"Aerosol (saline)"),EXACT(metadata!K705,"Sediment (saline)")))</f>
        <v>0</v>
      </c>
      <c r="AW705" t="b">
        <f>IF(metadata!L705="",FALSE,TRUE)</f>
        <v>0</v>
      </c>
      <c r="AX705" t="b">
        <f>IF(metadata!M705="",FALSE,TRUE)</f>
        <v>0</v>
      </c>
      <c r="AY705" t="b">
        <f>IF(metadata!N705="",FALSE,TRUE)</f>
        <v>0</v>
      </c>
      <c r="AZ705" t="b">
        <f>OR(AND(IF(metadata!O705="",FALSE,TRUE),OR(EXACT(metadata!O705,"missing: not collected"),EXACT(metadata!O705,"missing: not provided"),EXACT(metadata!O705,"missing: restricted access"))),AND(IF(metadata!O705="",FALSE,TRUE),OR(EXACT(metadata!O705,"air"),EXACT(metadata!O705,"built environment"),EXACT(metadata!O705,"host-associated"),EXACT(metadata!O705,"human-associated"),EXACT(metadata!O705,"human-skin"),EXACT(metadata!O705,"human-oral"),EXACT(metadata!O705,"human-gut"),EXACT(metadata!O705,"human-vaginal"),EXACT(metadata!O705,"microbial mat/biofilm"),EXACT(metadata!O705,"misc environment"),EXACT(metadata!O705,"plant-associated"),EXACT(metadata!O705,"sediment"),EXACT(metadata!O705,"soil"),EXACT(metadata!O705,"wastewater/sludge"),EXACT(metadata!O705,"water"))))</f>
        <v>0</v>
      </c>
      <c r="BA705" t="b">
        <f>IF(metadata!P705="",FALSE,TRUE)</f>
        <v>0</v>
      </c>
      <c r="BB705" t="b">
        <f>IF(metadata!Q705="",FALSE,TRUE)</f>
        <v>0</v>
      </c>
      <c r="BC705" t="b">
        <f>OR(AND(IF(metadata!R705="",FALSE,TRUE),OR(EXACT(metadata!R705,"missing: not collected"),EXACT(metadata!R705,"missing: not provided"),EXACT(metadata!R705,"missing: restricted access"))),AND(IF(metadata!R705="",FALSE,ISNUMBER(VALUE(metadata!R705))),metadata!R705&gt;=-90,metadata!R705&lt;=90))</f>
        <v>0</v>
      </c>
      <c r="BD705" t="b">
        <f>AND(IF(metadata!S705="",FALSE,TRUE),EXACT(metadata!S705,"Decimal degrees"))</f>
        <v>0</v>
      </c>
      <c r="BE705" t="b">
        <f>OR(AND(IF(metadata!T705="",FALSE,TRUE),OR(EXACT(metadata!T705,"missing: not collected"),EXACT(metadata!T705,"missing: not provided"),EXACT(metadata!T705,"missing: restricted access"))),AND(IF(metadata!T705="",FALSE,ISNUMBER(VALUE(metadata!T705))),metadata!T705&gt;=-180,metadata!T705&lt;=180))</f>
        <v>0</v>
      </c>
      <c r="BF705" t="b">
        <f>AND(IF(metadata!U705="",FALSE,TRUE),EXACT(metadata!U705,"Decimal degrees"))</f>
        <v>0</v>
      </c>
      <c r="BG705" t="b">
        <f>IF(metadata!V705="",FALSE,TRUE)</f>
        <v>0</v>
      </c>
      <c r="BH705" t="b">
        <f>OR(AND(IF(metadata!W705="",FALSE,TRUE),OR(EXACT(metadata!W705,"missing: not collected"),EXACT(metadata!W705,"missing: not provided"),EXACT(metadata!W705,"missing: restricted access"))),AND(IF(metadata!W705="",FALSE,TRUE),OR(EXACT(metadata!W705,"TRUE"),EXACT(metadata!W705,"FALSE"))))</f>
        <v>0</v>
      </c>
      <c r="BI705" t="b">
        <f>AND(IF(metadata!X705="",FALSE,TRUE),EXACT(metadata!X705,"other"))</f>
        <v>0</v>
      </c>
      <c r="BJ705" t="b">
        <f>IF(metadata!Y705="",FALSE,TRUE)</f>
        <v>0</v>
      </c>
      <c r="BK705" t="b">
        <f>OR(AND(IF(metadata!Z705="",FALSE,TRUE),OR(EXACT(metadata!Z705,"missing: not collected"),EXACT(metadata!Z705,"missing: not provided"))),AND(IF(metadata!Z705="",FALSE,IF(ISERROR(INT(metadata!Z705)),FALSE,INT(metadata!Z705)=metadata!Z705)),metadata!Z705&gt;0))</f>
        <v>0</v>
      </c>
      <c r="BL705" t="b">
        <f>AND(IF(metadata!AA705="",FALSE,TRUE),EXACT(metadata!AA705,"Not applicable"))</f>
        <v>0</v>
      </c>
      <c r="BM705" t="b">
        <f>IF(metadata!AB705="",FALSE,TRUE)</f>
        <v>0</v>
      </c>
    </row>
    <row r="706" spans="1:65" x14ac:dyDescent="0.2">
      <c r="A706" s="5" t="str">
        <f ca="1">IF(B706=" "," ",HYPERLINK(CONCATENATE("#metadata!",ADDRESS(INDEX($AH$2:$AH$1001,MATCH(ROWS($AF$2:AF706),$AF$2:$AF$1001,0),0),1)),INDEX($AK$2:$AK$1001,MATCH(ROWS($AF$2:AF706),$AF$2:$AF$1001,0),0)))</f>
        <v xml:space="preserve"> </v>
      </c>
      <c r="B706" s="4" t="str">
        <f ca="1">IF(OR(INDEX($AG$2:$AG$1001,MATCH(ROWS($AF$2:AF706),$AF$2:$AF$1001,0),1)&gt;=100000,INDEX($AM$1005:$BM$1005,1,MATCH(COLUMNS($AM$1006:AM1006),$AM$1006:$BM$1006,0))&gt;=100000), " ",IF(INDEX($AM$2:$BM$1001,MATCH(ROWS($AF$2:AF706),$AF$2:$AF$1001,0),MATCH(COLUMNS($AM$1006:AM1006),$AM$1006:$BM$1006,0)), HYPERLINK("#",""), HYPERLINK(CONCATENATE("#metadata!", ADDRESS(INDEX($AH$2:$AH$1001,MATCH(ROWS($AF$2:AF706),$AF$2:$AF$1001,0),0), INDEX($AM$1004:$BM$1004,1,MATCH(COLUMNS($AM$1006:AM1006),$AM$1006:$BM$1006,0)))),"Fix")))</f>
        <v xml:space="preserve"> </v>
      </c>
      <c r="C706" s="4" t="str">
        <f ca="1">IF(OR(INDEX($AG$2:$AG$1001,MATCH(ROWS($AF$2:AF706),$AF$2:$AF$1001,0),1)&gt;=100000,INDEX($AM$1005:$BM$1005,1,MATCH(COLUMNS($AM$1006:AN1006),$AM$1006:$BM$1006,0))&gt;=100000), " ",IF(INDEX($AM$2:$BM$1001,MATCH(ROWS($AF$2:AF706),$AF$2:$AF$1001,0),MATCH(COLUMNS($AM$1006:AN1006),$AM$1006:$BM$1006,0)), HYPERLINK("#",""), HYPERLINK(CONCATENATE("#metadata!", ADDRESS(INDEX($AH$2:$AH$1001,MATCH(ROWS($AF$2:AF706),$AF$2:$AF$1001,0),0), INDEX($AM$1004:$BM$1004,1,MATCH(COLUMNS($AM$1006:AN1006),$AM$1006:$BM$1006,0)))),"Fix")))</f>
        <v xml:space="preserve"> </v>
      </c>
      <c r="D706" s="4" t="str">
        <f ca="1">IF(OR(INDEX($AG$2:$AG$1001,MATCH(ROWS($AF$2:AF706),$AF$2:$AF$1001,0),1)&gt;=100000,INDEX($AM$1005:$BM$1005,1,MATCH(COLUMNS($AM$1006:AO1006),$AM$1006:$BM$1006,0))&gt;=100000), " ",IF(INDEX($AM$2:$BM$1001,MATCH(ROWS($AF$2:AF706),$AF$2:$AF$1001,0),MATCH(COLUMNS($AM$1006:AO1006),$AM$1006:$BM$1006,0)), HYPERLINK("#",""), HYPERLINK(CONCATENATE("#metadata!", ADDRESS(INDEX($AH$2:$AH$1001,MATCH(ROWS($AF$2:AF706),$AF$2:$AF$1001,0),0), INDEX($AM$1004:$BM$1004,1,MATCH(COLUMNS($AM$1006:AO1006),$AM$1006:$BM$1006,0)))),"Fix")))</f>
        <v xml:space="preserve"> </v>
      </c>
      <c r="E706" s="4" t="str">
        <f ca="1">IF(OR(INDEX($AG$2:$AG$1001,MATCH(ROWS($AF$2:AF706),$AF$2:$AF$1001,0),1)&gt;=100000,INDEX($AM$1005:$BM$1005,1,MATCH(COLUMNS($AM$1006:AP1006),$AM$1006:$BM$1006,0))&gt;=100000), " ",IF(INDEX($AM$2:$BM$1001,MATCH(ROWS($AF$2:AF706),$AF$2:$AF$1001,0),MATCH(COLUMNS($AM$1006:AP1006),$AM$1006:$BM$1006,0)), HYPERLINK("#",""), HYPERLINK(CONCATENATE("#metadata!", ADDRESS(INDEX($AH$2:$AH$1001,MATCH(ROWS($AF$2:AF706),$AF$2:$AF$1001,0),0), INDEX($AM$1004:$BM$1004,1,MATCH(COLUMNS($AM$1006:AP1006),$AM$1006:$BM$1006,0)))),"Fix")))</f>
        <v xml:space="preserve"> </v>
      </c>
      <c r="F706" s="4" t="str">
        <f ca="1">IF(OR(INDEX($AG$2:$AG$1001,MATCH(ROWS($AF$2:AF706),$AF$2:$AF$1001,0),1)&gt;=100000,INDEX($AM$1005:$BM$1005,1,MATCH(COLUMNS($AM$1006:AQ1006),$AM$1006:$BM$1006,0))&gt;=100000), " ",IF(INDEX($AM$2:$BM$1001,MATCH(ROWS($AF$2:AF706),$AF$2:$AF$1001,0),MATCH(COLUMNS($AM$1006:AQ1006),$AM$1006:$BM$1006,0)), HYPERLINK("#",""), HYPERLINK(CONCATENATE("#metadata!", ADDRESS(INDEX($AH$2:$AH$1001,MATCH(ROWS($AF$2:AF706),$AF$2:$AF$1001,0),0), INDEX($AM$1004:$BM$1004,1,MATCH(COLUMNS($AM$1006:AQ1006),$AM$1006:$BM$1006,0)))),"Fix")))</f>
        <v xml:space="preserve"> </v>
      </c>
      <c r="G706" s="4" t="str">
        <f ca="1">IF(OR(INDEX($AG$2:$AG$1001,MATCH(ROWS($AF$2:AF706),$AF$2:$AF$1001,0),1)&gt;=100000,INDEX($AM$1005:$BM$1005,1,MATCH(COLUMNS($AM$1006:AR1006),$AM$1006:$BM$1006,0))&gt;=100000), " ",IF(INDEX($AM$2:$BM$1001,MATCH(ROWS($AF$2:AF706),$AF$2:$AF$1001,0),MATCH(COLUMNS($AM$1006:AR1006),$AM$1006:$BM$1006,0)), HYPERLINK("#",""), HYPERLINK(CONCATENATE("#metadata!", ADDRESS(INDEX($AH$2:$AH$1001,MATCH(ROWS($AF$2:AF706),$AF$2:$AF$1001,0),0), INDEX($AM$1004:$BM$1004,1,MATCH(COLUMNS($AM$1006:AR1006),$AM$1006:$BM$1006,0)))),"Fix")))</f>
        <v xml:space="preserve"> </v>
      </c>
      <c r="H706" s="4" t="str">
        <f ca="1">IF(OR(INDEX($AG$2:$AG$1001,MATCH(ROWS($AF$2:AF706),$AF$2:$AF$1001,0),1)&gt;=100000,INDEX($AM$1005:$BM$1005,1,MATCH(COLUMNS($AM$1006:AS1006),$AM$1006:$BM$1006,0))&gt;=100000), " ",IF(INDEX($AM$2:$BM$1001,MATCH(ROWS($AF$2:AF706),$AF$2:$AF$1001,0),MATCH(COLUMNS($AM$1006:AS1006),$AM$1006:$BM$1006,0)), HYPERLINK("#",""), HYPERLINK(CONCATENATE("#metadata!", ADDRESS(INDEX($AH$2:$AH$1001,MATCH(ROWS($AF$2:AF706),$AF$2:$AF$1001,0),0), INDEX($AM$1004:$BM$1004,1,MATCH(COLUMNS($AM$1006:AS1006),$AM$1006:$BM$1006,0)))),"Fix")))</f>
        <v xml:space="preserve"> </v>
      </c>
      <c r="I706" s="4" t="str">
        <f ca="1">IF(OR(INDEX($AG$2:$AG$1001,MATCH(ROWS($AF$2:AF706),$AF$2:$AF$1001,0),1)&gt;=100000,INDEX($AM$1005:$BM$1005,1,MATCH(COLUMNS($AM$1006:AT1006),$AM$1006:$BM$1006,0))&gt;=100000), " ",IF(INDEX($AM$2:$BM$1001,MATCH(ROWS($AF$2:AF706),$AF$2:$AF$1001,0),MATCH(COLUMNS($AM$1006:AT1006),$AM$1006:$BM$1006,0)), HYPERLINK("#",""), HYPERLINK(CONCATENATE("#metadata!", ADDRESS(INDEX($AH$2:$AH$1001,MATCH(ROWS($AF$2:AF706),$AF$2:$AF$1001,0),0), INDEX($AM$1004:$BM$1004,1,MATCH(COLUMNS($AM$1006:AT1006),$AM$1006:$BM$1006,0)))),"Fix")))</f>
        <v xml:space="preserve"> </v>
      </c>
      <c r="J706" s="4" t="str">
        <f ca="1">IF(OR(INDEX($AG$2:$AG$1001,MATCH(ROWS($AF$2:AF706),$AF$2:$AF$1001,0),1)&gt;=100000,INDEX($AM$1005:$BM$1005,1,MATCH(COLUMNS($AM$1006:AU1006),$AM$1006:$BM$1006,0))&gt;=100000), " ",IF(INDEX($AM$2:$BM$1001,MATCH(ROWS($AF$2:AF706),$AF$2:$AF$1001,0),MATCH(COLUMNS($AM$1006:AU1006),$AM$1006:$BM$1006,0)), HYPERLINK("#",""), HYPERLINK(CONCATENATE("#metadata!", ADDRESS(INDEX($AH$2:$AH$1001,MATCH(ROWS($AF$2:AF706),$AF$2:$AF$1001,0),0), INDEX($AM$1004:$BM$1004,1,MATCH(COLUMNS($AM$1006:AU1006),$AM$1006:$BM$1006,0)))),"Fix")))</f>
        <v xml:space="preserve"> </v>
      </c>
      <c r="K706" s="4" t="str">
        <f ca="1">IF(OR(INDEX($AG$2:$AG$1001,MATCH(ROWS($AF$2:AF706),$AF$2:$AF$1001,0),1)&gt;=100000,INDEX($AM$1005:$BM$1005,1,MATCH(COLUMNS($AM$1006:AV1006),$AM$1006:$BM$1006,0))&gt;=100000), " ",IF(INDEX($AM$2:$BM$1001,MATCH(ROWS($AF$2:AF706),$AF$2:$AF$1001,0),MATCH(COLUMNS($AM$1006:AV1006),$AM$1006:$BM$1006,0)), HYPERLINK("#",""), HYPERLINK(CONCATENATE("#metadata!", ADDRESS(INDEX($AH$2:$AH$1001,MATCH(ROWS($AF$2:AF706),$AF$2:$AF$1001,0),0), INDEX($AM$1004:$BM$1004,1,MATCH(COLUMNS($AM$1006:AV1006),$AM$1006:$BM$1006,0)))),"Fix")))</f>
        <v xml:space="preserve"> </v>
      </c>
      <c r="L706" s="4" t="str">
        <f ca="1">IF(OR(INDEX($AG$2:$AG$1001,MATCH(ROWS($AF$2:AF706),$AF$2:$AF$1001,0),1)&gt;=100000,INDEX($AM$1005:$BM$1005,1,MATCH(COLUMNS($AM$1006:AW1006),$AM$1006:$BM$1006,0))&gt;=100000), " ",IF(INDEX($AM$2:$BM$1001,MATCH(ROWS($AF$2:AF706),$AF$2:$AF$1001,0),MATCH(COLUMNS($AM$1006:AW1006),$AM$1006:$BM$1006,0)), HYPERLINK("#",""), HYPERLINK(CONCATENATE("#metadata!", ADDRESS(INDEX($AH$2:$AH$1001,MATCH(ROWS($AF$2:AF706),$AF$2:$AF$1001,0),0), INDEX($AM$1004:$BM$1004,1,MATCH(COLUMNS($AM$1006:AW1006),$AM$1006:$BM$1006,0)))),"Fix")))</f>
        <v xml:space="preserve"> </v>
      </c>
      <c r="M706" s="4" t="str">
        <f ca="1">IF(OR(INDEX($AG$2:$AG$1001,MATCH(ROWS($AF$2:AF706),$AF$2:$AF$1001,0),1)&gt;=100000,INDEX($AM$1005:$BM$1005,1,MATCH(COLUMNS($AM$1006:AX1006),$AM$1006:$BM$1006,0))&gt;=100000), " ",IF(INDEX($AM$2:$BM$1001,MATCH(ROWS($AF$2:AF706),$AF$2:$AF$1001,0),MATCH(COLUMNS($AM$1006:AX1006),$AM$1006:$BM$1006,0)), HYPERLINK("#",""), HYPERLINK(CONCATENATE("#metadata!", ADDRESS(INDEX($AH$2:$AH$1001,MATCH(ROWS($AF$2:AF706),$AF$2:$AF$1001,0),0), INDEX($AM$1004:$BM$1004,1,MATCH(COLUMNS($AM$1006:AX1006),$AM$1006:$BM$1006,0)))),"Fix")))</f>
        <v xml:space="preserve"> </v>
      </c>
      <c r="N706" s="4" t="str">
        <f ca="1">IF(OR(INDEX($AG$2:$AG$1001,MATCH(ROWS($AF$2:AF706),$AF$2:$AF$1001,0),1)&gt;=100000,INDEX($AM$1005:$BM$1005,1,MATCH(COLUMNS($AM$1006:AY1006),$AM$1006:$BM$1006,0))&gt;=100000), " ",IF(INDEX($AM$2:$BM$1001,MATCH(ROWS($AF$2:AF706),$AF$2:$AF$1001,0),MATCH(COLUMNS($AM$1006:AY1006),$AM$1006:$BM$1006,0)), HYPERLINK("#",""), HYPERLINK(CONCATENATE("#metadata!", ADDRESS(INDEX($AH$2:$AH$1001,MATCH(ROWS($AF$2:AF706),$AF$2:$AF$1001,0),0), INDEX($AM$1004:$BM$1004,1,MATCH(COLUMNS($AM$1006:AY1006),$AM$1006:$BM$1006,0)))),"Fix")))</f>
        <v xml:space="preserve"> </v>
      </c>
      <c r="O706" s="4" t="str">
        <f ca="1">IF(OR(INDEX($AG$2:$AG$1001,MATCH(ROWS($AF$2:AF706),$AF$2:$AF$1001,0),1)&gt;=100000,INDEX($AM$1005:$BM$1005,1,MATCH(COLUMNS($AM$1006:AZ1006),$AM$1006:$BM$1006,0))&gt;=100000), " ",IF(INDEX($AM$2:$BM$1001,MATCH(ROWS($AF$2:AF706),$AF$2:$AF$1001,0),MATCH(COLUMNS($AM$1006:AZ1006),$AM$1006:$BM$1006,0)), HYPERLINK("#",""), HYPERLINK(CONCATENATE("#metadata!", ADDRESS(INDEX($AH$2:$AH$1001,MATCH(ROWS($AF$2:AF706),$AF$2:$AF$1001,0),0), INDEX($AM$1004:$BM$1004,1,MATCH(COLUMNS($AM$1006:AZ1006),$AM$1006:$BM$1006,0)))),"Fix")))</f>
        <v xml:space="preserve"> </v>
      </c>
      <c r="P706" s="4" t="str">
        <f ca="1">IF(OR(INDEX($AG$2:$AG$1001,MATCH(ROWS($AF$2:AF706),$AF$2:$AF$1001,0),1)&gt;=100000,INDEX($AM$1005:$BM$1005,1,MATCH(COLUMNS($AM$1006:BA1006),$AM$1006:$BM$1006,0))&gt;=100000), " ",IF(INDEX($AM$2:$BM$1001,MATCH(ROWS($AF$2:AF706),$AF$2:$AF$1001,0),MATCH(COLUMNS($AM$1006:BA1006),$AM$1006:$BM$1006,0)), HYPERLINK("#",""), HYPERLINK(CONCATENATE("#metadata!", ADDRESS(INDEX($AH$2:$AH$1001,MATCH(ROWS($AF$2:AF706),$AF$2:$AF$1001,0),0), INDEX($AM$1004:$BM$1004,1,MATCH(COLUMNS($AM$1006:BA1006),$AM$1006:$BM$1006,0)))),"Fix")))</f>
        <v xml:space="preserve"> </v>
      </c>
      <c r="Q706" s="4" t="str">
        <f ca="1">IF(OR(INDEX($AG$2:$AG$1001,MATCH(ROWS($AF$2:AF706),$AF$2:$AF$1001,0),1)&gt;=100000,INDEX($AM$1005:$BM$1005,1,MATCH(COLUMNS($AM$1006:BB1006),$AM$1006:$BM$1006,0))&gt;=100000), " ",IF(INDEX($AM$2:$BM$1001,MATCH(ROWS($AF$2:AF706),$AF$2:$AF$1001,0),MATCH(COLUMNS($AM$1006:BB1006),$AM$1006:$BM$1006,0)), HYPERLINK("#",""), HYPERLINK(CONCATENATE("#metadata!", ADDRESS(INDEX($AH$2:$AH$1001,MATCH(ROWS($AF$2:AF706),$AF$2:$AF$1001,0),0), INDEX($AM$1004:$BM$1004,1,MATCH(COLUMNS($AM$1006:BB1006),$AM$1006:$BM$1006,0)))),"Fix")))</f>
        <v xml:space="preserve"> </v>
      </c>
      <c r="R706" s="4" t="str">
        <f ca="1">IF(OR(INDEX($AG$2:$AG$1001,MATCH(ROWS($AF$2:AF706),$AF$2:$AF$1001,0),1)&gt;=100000,INDEX($AM$1005:$BM$1005,1,MATCH(COLUMNS($AM$1006:BC1006),$AM$1006:$BM$1006,0))&gt;=100000), " ",IF(INDEX($AM$2:$BM$1001,MATCH(ROWS($AF$2:AF706),$AF$2:$AF$1001,0),MATCH(COLUMNS($AM$1006:BC1006),$AM$1006:$BM$1006,0)), HYPERLINK("#",""), HYPERLINK(CONCATENATE("#metadata!", ADDRESS(INDEX($AH$2:$AH$1001,MATCH(ROWS($AF$2:AF706),$AF$2:$AF$1001,0),0), INDEX($AM$1004:$BM$1004,1,MATCH(COLUMNS($AM$1006:BC1006),$AM$1006:$BM$1006,0)))),"Fix")))</f>
        <v xml:space="preserve"> </v>
      </c>
      <c r="S706" s="4" t="str">
        <f ca="1">IF(OR(INDEX($AG$2:$AG$1001,MATCH(ROWS($AF$2:AF706),$AF$2:$AF$1001,0),1)&gt;=100000,INDEX($AM$1005:$BM$1005,1,MATCH(COLUMNS($AM$1006:BD1006),$AM$1006:$BM$1006,0))&gt;=100000), " ",IF(INDEX($AM$2:$BM$1001,MATCH(ROWS($AF$2:AF706),$AF$2:$AF$1001,0),MATCH(COLUMNS($AM$1006:BD1006),$AM$1006:$BM$1006,0)), HYPERLINK("#",""), HYPERLINK(CONCATENATE("#metadata!", ADDRESS(INDEX($AH$2:$AH$1001,MATCH(ROWS($AF$2:AF706),$AF$2:$AF$1001,0),0), INDEX($AM$1004:$BM$1004,1,MATCH(COLUMNS($AM$1006:BD1006),$AM$1006:$BM$1006,0)))),"Fix")))</f>
        <v xml:space="preserve"> </v>
      </c>
      <c r="T706" s="4" t="str">
        <f ca="1">IF(OR(INDEX($AG$2:$AG$1001,MATCH(ROWS($AF$2:AF706),$AF$2:$AF$1001,0),1)&gt;=100000,INDEX($AM$1005:$BM$1005,1,MATCH(COLUMNS($AM$1006:BE1006),$AM$1006:$BM$1006,0))&gt;=100000), " ",IF(INDEX($AM$2:$BM$1001,MATCH(ROWS($AF$2:AF706),$AF$2:$AF$1001,0),MATCH(COLUMNS($AM$1006:BE1006),$AM$1006:$BM$1006,0)), HYPERLINK("#",""), HYPERLINK(CONCATENATE("#metadata!", ADDRESS(INDEX($AH$2:$AH$1001,MATCH(ROWS($AF$2:AF706),$AF$2:$AF$1001,0),0), INDEX($AM$1004:$BM$1004,1,MATCH(COLUMNS($AM$1006:BE1006),$AM$1006:$BM$1006,0)))),"Fix")))</f>
        <v xml:space="preserve"> </v>
      </c>
      <c r="U706" s="4" t="str">
        <f ca="1">IF(OR(INDEX($AG$2:$AG$1001,MATCH(ROWS($AF$2:AF706),$AF$2:$AF$1001,0),1)&gt;=100000,INDEX($AM$1005:$BM$1005,1,MATCH(COLUMNS($AM$1006:BF1006),$AM$1006:$BM$1006,0))&gt;=100000), " ",IF(INDEX($AM$2:$BM$1001,MATCH(ROWS($AF$2:AF706),$AF$2:$AF$1001,0),MATCH(COLUMNS($AM$1006:BF1006),$AM$1006:$BM$1006,0)), HYPERLINK("#",""), HYPERLINK(CONCATENATE("#metadata!", ADDRESS(INDEX($AH$2:$AH$1001,MATCH(ROWS($AF$2:AF706),$AF$2:$AF$1001,0),0), INDEX($AM$1004:$BM$1004,1,MATCH(COLUMNS($AM$1006:BF1006),$AM$1006:$BM$1006,0)))),"Fix")))</f>
        <v xml:space="preserve"> </v>
      </c>
      <c r="V706" s="4" t="str">
        <f ca="1">IF(OR(INDEX($AG$2:$AG$1001,MATCH(ROWS($AF$2:AF706),$AF$2:$AF$1001,0),1)&gt;=100000,INDEX($AM$1005:$BM$1005,1,MATCH(COLUMNS($AM$1006:BG1006),$AM$1006:$BM$1006,0))&gt;=100000), " ",IF(INDEX($AM$2:$BM$1001,MATCH(ROWS($AF$2:AF706),$AF$2:$AF$1001,0),MATCH(COLUMNS($AM$1006:BG1006),$AM$1006:$BM$1006,0)), HYPERLINK("#",""), HYPERLINK(CONCATENATE("#metadata!", ADDRESS(INDEX($AH$2:$AH$1001,MATCH(ROWS($AF$2:AF706),$AF$2:$AF$1001,0),0), INDEX($AM$1004:$BM$1004,1,MATCH(COLUMNS($AM$1006:BG1006),$AM$1006:$BM$1006,0)))),"Fix")))</f>
        <v xml:space="preserve"> </v>
      </c>
      <c r="W706" s="4" t="str">
        <f ca="1">IF(OR(INDEX($AG$2:$AG$1001,MATCH(ROWS($AF$2:AF706),$AF$2:$AF$1001,0),1)&gt;=100000,INDEX($AM$1005:$BM$1005,1,MATCH(COLUMNS($AM$1006:BH1006),$AM$1006:$BM$1006,0))&gt;=100000), " ",IF(INDEX($AM$2:$BM$1001,MATCH(ROWS($AF$2:AF706),$AF$2:$AF$1001,0),MATCH(COLUMNS($AM$1006:BH1006),$AM$1006:$BM$1006,0)), HYPERLINK("#",""), HYPERLINK(CONCATENATE("#metadata!", ADDRESS(INDEX($AH$2:$AH$1001,MATCH(ROWS($AF$2:AF706),$AF$2:$AF$1001,0),0), INDEX($AM$1004:$BM$1004,1,MATCH(COLUMNS($AM$1006:BH1006),$AM$1006:$BM$1006,0)))),"Fix")))</f>
        <v xml:space="preserve"> </v>
      </c>
      <c r="X706" s="4" t="str">
        <f ca="1">IF(OR(INDEX($AG$2:$AG$1001,MATCH(ROWS($AF$2:AF706),$AF$2:$AF$1001,0),1)&gt;=100000,INDEX($AM$1005:$BM$1005,1,MATCH(COLUMNS($AM$1006:BI1006),$AM$1006:$BM$1006,0))&gt;=100000), " ",IF(INDEX($AM$2:$BM$1001,MATCH(ROWS($AF$2:AF706),$AF$2:$AF$1001,0),MATCH(COLUMNS($AM$1006:BI1006),$AM$1006:$BM$1006,0)), HYPERLINK("#",""), HYPERLINK(CONCATENATE("#metadata!", ADDRESS(INDEX($AH$2:$AH$1001,MATCH(ROWS($AF$2:AF706),$AF$2:$AF$1001,0),0), INDEX($AM$1004:$BM$1004,1,MATCH(COLUMNS($AM$1006:BI1006),$AM$1006:$BM$1006,0)))),"Fix")))</f>
        <v xml:space="preserve"> </v>
      </c>
      <c r="Y706" s="4" t="str">
        <f ca="1">IF(OR(INDEX($AG$2:$AG$1001,MATCH(ROWS($AF$2:AF706),$AF$2:$AF$1001,0),1)&gt;=100000,INDEX($AM$1005:$BM$1005,1,MATCH(COLUMNS($AM$1006:BJ1006),$AM$1006:$BM$1006,0))&gt;=100000), " ",IF(INDEX($AM$2:$BM$1001,MATCH(ROWS($AF$2:AF706),$AF$2:$AF$1001,0),MATCH(COLUMNS($AM$1006:BJ1006),$AM$1006:$BM$1006,0)), HYPERLINK("#",""), HYPERLINK(CONCATENATE("#metadata!", ADDRESS(INDEX($AH$2:$AH$1001,MATCH(ROWS($AF$2:AF706),$AF$2:$AF$1001,0),0), INDEX($AM$1004:$BM$1004,1,MATCH(COLUMNS($AM$1006:BJ1006),$AM$1006:$BM$1006,0)))),"Fix")))</f>
        <v xml:space="preserve"> </v>
      </c>
      <c r="Z706" s="4" t="str">
        <f ca="1">IF(OR(INDEX($AG$2:$AG$1001,MATCH(ROWS($AF$2:AF706),$AF$2:$AF$1001,0),1)&gt;=100000,INDEX($AM$1005:$BM$1005,1,MATCH(COLUMNS($AM$1006:BK1006),$AM$1006:$BM$1006,0))&gt;=100000), " ",IF(INDEX($AM$2:$BM$1001,MATCH(ROWS($AF$2:AF706),$AF$2:$AF$1001,0),MATCH(COLUMNS($AM$1006:BK1006),$AM$1006:$BM$1006,0)), HYPERLINK("#",""), HYPERLINK(CONCATENATE("#metadata!", ADDRESS(INDEX($AH$2:$AH$1001,MATCH(ROWS($AF$2:AF706),$AF$2:$AF$1001,0),0), INDEX($AM$1004:$BM$1004,1,MATCH(COLUMNS($AM$1006:BK1006),$AM$1006:$BM$1006,0)))),"Fix")))</f>
        <v xml:space="preserve"> </v>
      </c>
      <c r="AA706" s="4" t="str">
        <f ca="1">IF(OR(INDEX($AG$2:$AG$1001,MATCH(ROWS($AF$2:AF706),$AF$2:$AF$1001,0),1)&gt;=100000,INDEX($AM$1005:$BM$1005,1,MATCH(COLUMNS($AM$1006:BL1006),$AM$1006:$BM$1006,0))&gt;=100000), " ",IF(INDEX($AM$2:$BM$1001,MATCH(ROWS($AF$2:AF706),$AF$2:$AF$1001,0),MATCH(COLUMNS($AM$1006:BL1006),$AM$1006:$BM$1006,0)), HYPERLINK("#",""), HYPERLINK(CONCATENATE("#metadata!", ADDRESS(INDEX($AH$2:$AH$1001,MATCH(ROWS($AF$2:AF706),$AF$2:$AF$1001,0),0), INDEX($AM$1004:$BM$1004,1,MATCH(COLUMNS($AM$1006:BL1006),$AM$1006:$BM$1006,0)))),"Fix")))</f>
        <v xml:space="preserve"> </v>
      </c>
      <c r="AB706" s="4" t="str">
        <f ca="1">IF(OR(INDEX($AG$2:$AG$1001,MATCH(ROWS($AF$2:AF706),$AF$2:$AF$1001,0),1)&gt;=100000,INDEX($AM$1005:$BM$1005,1,MATCH(COLUMNS($AM$1006:BM1006),$AM$1006:$BM$1006,0))&gt;=100000), " ",IF(INDEX($AM$2:$BM$1001,MATCH(ROWS($AF$2:AF706),$AF$2:$AF$1001,0),MATCH(COLUMNS($AM$1006:BM1006),$AM$1006:$BM$1006,0)), HYPERLINK("#",""), HYPERLINK(CONCATENATE("#metadata!", ADDRESS(INDEX($AH$2:$AH$1001,MATCH(ROWS($AF$2:AF706),$AF$2:$AF$1001,0),0), INDEX($AM$1004:$BM$1004,1,MATCH(COLUMNS($AM$1006:BM1006),$AM$1006:$BM$1006,0)))),"Fix")))</f>
        <v xml:space="preserve"> </v>
      </c>
      <c r="AF706">
        <v>705</v>
      </c>
      <c r="AG706">
        <v>100706</v>
      </c>
      <c r="AH706">
        <v>706</v>
      </c>
      <c r="AI706" t="b">
        <f t="shared" ref="AI706:AI769" si="11">IF(AJ706,TRUE,AND(AM706:BM706))</f>
        <v>1</v>
      </c>
      <c r="AJ706" t="b">
        <f>COUNTBLANK(metadata!B706:AB706)=COLUMNS(metadata!B706:AB706)</f>
        <v>1</v>
      </c>
      <c r="AK706" t="str">
        <v/>
      </c>
      <c r="AM706" t="b">
        <f ca="1">AND(IF(metadata!B706="",FALSE,TRUE),COUNTIF(metadata!B:B, metadata!B706) = 1,NOT(ISERROR(SUMPRODUCT(SEARCH(MID(metadata!B706,ROW(INDIRECT("1:"&amp;LEN(metadata!B706))), 1),"0123456789abcdefghijklmnopqrstuvwxyzABCDEFGHIJKLMNOPQRSTUVWXYZ.")))))</f>
        <v>0</v>
      </c>
      <c r="AN706" t="b">
        <f ca="1">OR(AND(IF(metadata!C706="",FALSE,TRUE),OR(EXACT(metadata!C706,"missing: not collected"),EXACT(metadata!C706,"missing: not provided"),EXACT(metadata!C706,"missing: restricted access"))),AND(IF(metadata!C706="",FALSE,TRUE),AND(AND(IFERROR(INT(LEFT(metadata!C706,4))&gt;1900,FALSE),IFERROR(INT(LEFT(metadata!C706,4))&lt;=YEAR(NOW()),FALSE)), OR(MID(metadata!C706,5,1)="", AND(AND(MID(metadata!C706,5,1)="-",IFERROR(INT(MID(metadata!C706,6,1))&gt;=0,FALSE),IFERROR(INT(MID(metadata!C706,6,1))&lt;=1,FALSE),NOT(MID(metadata!C706,7,1)=""),IFERROR(INT(MID(metadata!C706,6,2))&gt;=1,FALSE),IFERROR(INT(MID(metadata!C706,6,2))&lt;=12,FALSE)), OR(MID(metadata!C706,8,1)="", AND(AND(MID(metadata!C706,8,1)="-",IFERROR(INT(MID(metadata!C706,9,1))&gt;=0,FALSE),IFERROR(INT(MID(metadata!C706,9,1))&lt;=3,FALSE),NOT(MID(metadata!C706,10,1)=""),IFERROR(INT(MID(metadata!C706,9,2))&gt;=1,FALSE),IFERROR(INT(MID(metadata!C706,9,2))&lt;=31,FALSE)), OR(MID(metadata!C706,11,1)="", AND(AND(MID(metadata!C706,11,1)=" ",IFERROR(INT(MID(metadata!C706,12,1))&gt;=0,FALSE),IFERROR(INT(MID(metadata!C706,12,1))&lt;=2,FALSE),NOT(MID(metadata!C706,13,1)=""),IFERROR(INT(MID(metadata!C706,12,2))&gt;=0,FALSE),IFERROR(INT(MID(metadata!C706,12,2))&lt;=23,FALSE)), OR(MID(metadata!C706,14,1)="", AND(AND(MID(metadata!C706,14,1)=":",IFERROR(INT(MID(metadata!C706,15,1))&gt;=0,FALSE),IFERROR(INT(MID(metadata!C706,15,1))&lt;=5,FALSE),NOT(MID(metadata!C706,16,1)=""),IFERROR(INT(MID(metadata!C706,15,2))&gt;=0,FALSE),IFERROR(INT(MID(metadata!C706,15,2))&lt;=59,FALSE)), OR(MID(metadata!C706,17,1)="", AND(AND(MID(metadata!C706,17,1)=":",IFERROR(INT(MID(metadata!C706,18,1))&gt;=0,FALSE),IFERROR(INT(MID(metadata!C706,18,1))&lt;=5,FALSE),NOT(MID(metadata!C706,19,1)=""),IFERROR(INT(MID(metadata!C706,18,2))&gt;=0,FALSE),IFERROR(INT(MID(metadata!C706,18,2))&lt;=59,FALSE)), LEN(metadata!C706)&lt;=19)))))))))))))</f>
        <v>0</v>
      </c>
      <c r="AO706" t="b">
        <f>AND(IF(metadata!D706="",FALSE,TRUE),EXACT(metadata!D706,"Not applicable"))</f>
        <v>0</v>
      </c>
      <c r="AP706" t="b">
        <f>IF(metadata!E706="",FALSE,TRUE)</f>
        <v>0</v>
      </c>
      <c r="AQ706" t="b">
        <f>OR(AND(IF(metadata!F706="",FALSE,TRUE),OR(EXACT(metadata!F706,"missing: not collected"),EXACT(metadata!F706,"missing: not provided"))),AND(IF(metadata!F706="",FALSE,TRUE),OR(EXACT(metadata!F706,"TRUE"),EXACT(metadata!F706,"FALSE"))))</f>
        <v>0</v>
      </c>
      <c r="AR706" t="b">
        <f>OR(AND(IF(metadata!G706="",FALSE,TRUE),OR(EXACT(metadata!G706,"missing: not collected"),EXACT(metadata!G706,"missing: not provided"),EXACT(metadata!G706,"missing: restricted access"))),AND(IF(metadata!G706="",FALSE,ISNUMBER(VALUE(metadata!G706))),metadata!G706&gt;=-413))</f>
        <v>0</v>
      </c>
      <c r="AS706" t="b">
        <f>AND(IF(metadata!H706="",FALSE,TRUE),EXACT(metadata!H706,"meters"))</f>
        <v>0</v>
      </c>
      <c r="AT706" t="b">
        <f>AND(IF(metadata!I706="",FALSE,TRUE),OR(EXACT(metadata!I706,"Host-associated"),EXACT(metadata!I706,"Free-living")))</f>
        <v>0</v>
      </c>
      <c r="AU706" t="b">
        <f>AND(IF(metadata!J706="",FALSE,TRUE),OR(EXACT(metadata!J706,"Animal"),EXACT(metadata!J706,"Fungus"),EXACT(metadata!J706,"Plant"),EXACT(metadata!J706,"Saline"),EXACT(metadata!J706,"Non-saline")))</f>
        <v>0</v>
      </c>
      <c r="AV706" t="b">
        <f>AND(IF(metadata!K706="",FALSE,TRUE),OR(EXACT(metadata!K706,"Plant secretion"),EXACT(metadata!K706,"Plant rhizosphere"),EXACT(metadata!K706,"Plant surface"),EXACT(metadata!K706,"Plant corpus"),EXACT(metadata!K706,"Fungus surface"),EXACT(metadata!K706,"Fungus corpus"),EXACT(metadata!K706,"Animal surface"),EXACT(metadata!K706,"Animal proximal gut"),EXACT(metadata!K706,"Animal corpus"),EXACT(metadata!K706,"Animal distal gut"),EXACT(metadata!K706,"Animal secretion"),EXACT(metadata!K706,"Sub-surface (non-saline)"),EXACT(metadata!K706,"Surface (non-saline)"),EXACT(metadata!K706,"Water (non-saline)"),EXACT(metadata!K706,"Soil (non-saline)"),EXACT(metadata!K706,"Aerosol (non-saline)"),EXACT(metadata!K706,"Sediment (non-saline)"),EXACT(metadata!K706,"Surface (saline)"),EXACT(metadata!K706,"Water (saline)"),EXACT(metadata!K706,"Hypersaline (saline)"),EXACT(metadata!K706,"Aerosol (saline)"),EXACT(metadata!K706,"Sediment (saline)")))</f>
        <v>0</v>
      </c>
      <c r="AW706" t="b">
        <f>IF(metadata!L706="",FALSE,TRUE)</f>
        <v>0</v>
      </c>
      <c r="AX706" t="b">
        <f>IF(metadata!M706="",FALSE,TRUE)</f>
        <v>0</v>
      </c>
      <c r="AY706" t="b">
        <f>IF(metadata!N706="",FALSE,TRUE)</f>
        <v>0</v>
      </c>
      <c r="AZ706" t="b">
        <f>OR(AND(IF(metadata!O706="",FALSE,TRUE),OR(EXACT(metadata!O706,"missing: not collected"),EXACT(metadata!O706,"missing: not provided"),EXACT(metadata!O706,"missing: restricted access"))),AND(IF(metadata!O706="",FALSE,TRUE),OR(EXACT(metadata!O706,"air"),EXACT(metadata!O706,"built environment"),EXACT(metadata!O706,"host-associated"),EXACT(metadata!O706,"human-associated"),EXACT(metadata!O706,"human-skin"),EXACT(metadata!O706,"human-oral"),EXACT(metadata!O706,"human-gut"),EXACT(metadata!O706,"human-vaginal"),EXACT(metadata!O706,"microbial mat/biofilm"),EXACT(metadata!O706,"misc environment"),EXACT(metadata!O706,"plant-associated"),EXACT(metadata!O706,"sediment"),EXACT(metadata!O706,"soil"),EXACT(metadata!O706,"wastewater/sludge"),EXACT(metadata!O706,"water"))))</f>
        <v>0</v>
      </c>
      <c r="BA706" t="b">
        <f>IF(metadata!P706="",FALSE,TRUE)</f>
        <v>0</v>
      </c>
      <c r="BB706" t="b">
        <f>IF(metadata!Q706="",FALSE,TRUE)</f>
        <v>0</v>
      </c>
      <c r="BC706" t="b">
        <f>OR(AND(IF(metadata!R706="",FALSE,TRUE),OR(EXACT(metadata!R706,"missing: not collected"),EXACT(metadata!R706,"missing: not provided"),EXACT(metadata!R706,"missing: restricted access"))),AND(IF(metadata!R706="",FALSE,ISNUMBER(VALUE(metadata!R706))),metadata!R706&gt;=-90,metadata!R706&lt;=90))</f>
        <v>0</v>
      </c>
      <c r="BD706" t="b">
        <f>AND(IF(metadata!S706="",FALSE,TRUE),EXACT(metadata!S706,"Decimal degrees"))</f>
        <v>0</v>
      </c>
      <c r="BE706" t="b">
        <f>OR(AND(IF(metadata!T706="",FALSE,TRUE),OR(EXACT(metadata!T706,"missing: not collected"),EXACT(metadata!T706,"missing: not provided"),EXACT(metadata!T706,"missing: restricted access"))),AND(IF(metadata!T706="",FALSE,ISNUMBER(VALUE(metadata!T706))),metadata!T706&gt;=-180,metadata!T706&lt;=180))</f>
        <v>0</v>
      </c>
      <c r="BF706" t="b">
        <f>AND(IF(metadata!U706="",FALSE,TRUE),EXACT(metadata!U706,"Decimal degrees"))</f>
        <v>0</v>
      </c>
      <c r="BG706" t="b">
        <f>IF(metadata!V706="",FALSE,TRUE)</f>
        <v>0</v>
      </c>
      <c r="BH706" t="b">
        <f>OR(AND(IF(metadata!W706="",FALSE,TRUE),OR(EXACT(metadata!W706,"missing: not collected"),EXACT(metadata!W706,"missing: not provided"),EXACT(metadata!W706,"missing: restricted access"))),AND(IF(metadata!W706="",FALSE,TRUE),OR(EXACT(metadata!W706,"TRUE"),EXACT(metadata!W706,"FALSE"))))</f>
        <v>0</v>
      </c>
      <c r="BI706" t="b">
        <f>AND(IF(metadata!X706="",FALSE,TRUE),EXACT(metadata!X706,"other"))</f>
        <v>0</v>
      </c>
      <c r="BJ706" t="b">
        <f>IF(metadata!Y706="",FALSE,TRUE)</f>
        <v>0</v>
      </c>
      <c r="BK706" t="b">
        <f>OR(AND(IF(metadata!Z706="",FALSE,TRUE),OR(EXACT(metadata!Z706,"missing: not collected"),EXACT(metadata!Z706,"missing: not provided"))),AND(IF(metadata!Z706="",FALSE,IF(ISERROR(INT(metadata!Z706)),FALSE,INT(metadata!Z706)=metadata!Z706)),metadata!Z706&gt;0))</f>
        <v>0</v>
      </c>
      <c r="BL706" t="b">
        <f>AND(IF(metadata!AA706="",FALSE,TRUE),EXACT(metadata!AA706,"Not applicable"))</f>
        <v>0</v>
      </c>
      <c r="BM706" t="b">
        <f>IF(metadata!AB706="",FALSE,TRUE)</f>
        <v>0</v>
      </c>
    </row>
    <row r="707" spans="1:65" x14ac:dyDescent="0.2">
      <c r="A707" s="5" t="str">
        <f ca="1">IF(B707=" "," ",HYPERLINK(CONCATENATE("#metadata!",ADDRESS(INDEX($AH$2:$AH$1001,MATCH(ROWS($AF$2:AF707),$AF$2:$AF$1001,0),0),1)),INDEX($AK$2:$AK$1001,MATCH(ROWS($AF$2:AF707),$AF$2:$AF$1001,0),0)))</f>
        <v xml:space="preserve"> </v>
      </c>
      <c r="B707" s="4" t="str">
        <f ca="1">IF(OR(INDEX($AG$2:$AG$1001,MATCH(ROWS($AF$2:AF707),$AF$2:$AF$1001,0),1)&gt;=100000,INDEX($AM$1005:$BM$1005,1,MATCH(COLUMNS($AM$1006:AM1006),$AM$1006:$BM$1006,0))&gt;=100000), " ",IF(INDEX($AM$2:$BM$1001,MATCH(ROWS($AF$2:AF707),$AF$2:$AF$1001,0),MATCH(COLUMNS($AM$1006:AM1006),$AM$1006:$BM$1006,0)), HYPERLINK("#",""), HYPERLINK(CONCATENATE("#metadata!", ADDRESS(INDEX($AH$2:$AH$1001,MATCH(ROWS($AF$2:AF707),$AF$2:$AF$1001,0),0), INDEX($AM$1004:$BM$1004,1,MATCH(COLUMNS($AM$1006:AM1006),$AM$1006:$BM$1006,0)))),"Fix")))</f>
        <v xml:space="preserve"> </v>
      </c>
      <c r="C707" s="4" t="str">
        <f ca="1">IF(OR(INDEX($AG$2:$AG$1001,MATCH(ROWS($AF$2:AF707),$AF$2:$AF$1001,0),1)&gt;=100000,INDEX($AM$1005:$BM$1005,1,MATCH(COLUMNS($AM$1006:AN1006),$AM$1006:$BM$1006,0))&gt;=100000), " ",IF(INDEX($AM$2:$BM$1001,MATCH(ROWS($AF$2:AF707),$AF$2:$AF$1001,0),MATCH(COLUMNS($AM$1006:AN1006),$AM$1006:$BM$1006,0)), HYPERLINK("#",""), HYPERLINK(CONCATENATE("#metadata!", ADDRESS(INDEX($AH$2:$AH$1001,MATCH(ROWS($AF$2:AF707),$AF$2:$AF$1001,0),0), INDEX($AM$1004:$BM$1004,1,MATCH(COLUMNS($AM$1006:AN1006),$AM$1006:$BM$1006,0)))),"Fix")))</f>
        <v xml:space="preserve"> </v>
      </c>
      <c r="D707" s="4" t="str">
        <f ca="1">IF(OR(INDEX($AG$2:$AG$1001,MATCH(ROWS($AF$2:AF707),$AF$2:$AF$1001,0),1)&gt;=100000,INDEX($AM$1005:$BM$1005,1,MATCH(COLUMNS($AM$1006:AO1006),$AM$1006:$BM$1006,0))&gt;=100000), " ",IF(INDEX($AM$2:$BM$1001,MATCH(ROWS($AF$2:AF707),$AF$2:$AF$1001,0),MATCH(COLUMNS($AM$1006:AO1006),$AM$1006:$BM$1006,0)), HYPERLINK("#",""), HYPERLINK(CONCATENATE("#metadata!", ADDRESS(INDEX($AH$2:$AH$1001,MATCH(ROWS($AF$2:AF707),$AF$2:$AF$1001,0),0), INDEX($AM$1004:$BM$1004,1,MATCH(COLUMNS($AM$1006:AO1006),$AM$1006:$BM$1006,0)))),"Fix")))</f>
        <v xml:space="preserve"> </v>
      </c>
      <c r="E707" s="4" t="str">
        <f ca="1">IF(OR(INDEX($AG$2:$AG$1001,MATCH(ROWS($AF$2:AF707),$AF$2:$AF$1001,0),1)&gt;=100000,INDEX($AM$1005:$BM$1005,1,MATCH(COLUMNS($AM$1006:AP1006),$AM$1006:$BM$1006,0))&gt;=100000), " ",IF(INDEX($AM$2:$BM$1001,MATCH(ROWS($AF$2:AF707),$AF$2:$AF$1001,0),MATCH(COLUMNS($AM$1006:AP1006),$AM$1006:$BM$1006,0)), HYPERLINK("#",""), HYPERLINK(CONCATENATE("#metadata!", ADDRESS(INDEX($AH$2:$AH$1001,MATCH(ROWS($AF$2:AF707),$AF$2:$AF$1001,0),0), INDEX($AM$1004:$BM$1004,1,MATCH(COLUMNS($AM$1006:AP1006),$AM$1006:$BM$1006,0)))),"Fix")))</f>
        <v xml:space="preserve"> </v>
      </c>
      <c r="F707" s="4" t="str">
        <f ca="1">IF(OR(INDEX($AG$2:$AG$1001,MATCH(ROWS($AF$2:AF707),$AF$2:$AF$1001,0),1)&gt;=100000,INDEX($AM$1005:$BM$1005,1,MATCH(COLUMNS($AM$1006:AQ1006),$AM$1006:$BM$1006,0))&gt;=100000), " ",IF(INDEX($AM$2:$BM$1001,MATCH(ROWS($AF$2:AF707),$AF$2:$AF$1001,0),MATCH(COLUMNS($AM$1006:AQ1006),$AM$1006:$BM$1006,0)), HYPERLINK("#",""), HYPERLINK(CONCATENATE("#metadata!", ADDRESS(INDEX($AH$2:$AH$1001,MATCH(ROWS($AF$2:AF707),$AF$2:$AF$1001,0),0), INDEX($AM$1004:$BM$1004,1,MATCH(COLUMNS($AM$1006:AQ1006),$AM$1006:$BM$1006,0)))),"Fix")))</f>
        <v xml:space="preserve"> </v>
      </c>
      <c r="G707" s="4" t="str">
        <f ca="1">IF(OR(INDEX($AG$2:$AG$1001,MATCH(ROWS($AF$2:AF707),$AF$2:$AF$1001,0),1)&gt;=100000,INDEX($AM$1005:$BM$1005,1,MATCH(COLUMNS($AM$1006:AR1006),$AM$1006:$BM$1006,0))&gt;=100000), " ",IF(INDEX($AM$2:$BM$1001,MATCH(ROWS($AF$2:AF707),$AF$2:$AF$1001,0),MATCH(COLUMNS($AM$1006:AR1006),$AM$1006:$BM$1006,0)), HYPERLINK("#",""), HYPERLINK(CONCATENATE("#metadata!", ADDRESS(INDEX($AH$2:$AH$1001,MATCH(ROWS($AF$2:AF707),$AF$2:$AF$1001,0),0), INDEX($AM$1004:$BM$1004,1,MATCH(COLUMNS($AM$1006:AR1006),$AM$1006:$BM$1006,0)))),"Fix")))</f>
        <v xml:space="preserve"> </v>
      </c>
      <c r="H707" s="4" t="str">
        <f ca="1">IF(OR(INDEX($AG$2:$AG$1001,MATCH(ROWS($AF$2:AF707),$AF$2:$AF$1001,0),1)&gt;=100000,INDEX($AM$1005:$BM$1005,1,MATCH(COLUMNS($AM$1006:AS1006),$AM$1006:$BM$1006,0))&gt;=100000), " ",IF(INDEX($AM$2:$BM$1001,MATCH(ROWS($AF$2:AF707),$AF$2:$AF$1001,0),MATCH(COLUMNS($AM$1006:AS1006),$AM$1006:$BM$1006,0)), HYPERLINK("#",""), HYPERLINK(CONCATENATE("#metadata!", ADDRESS(INDEX($AH$2:$AH$1001,MATCH(ROWS($AF$2:AF707),$AF$2:$AF$1001,0),0), INDEX($AM$1004:$BM$1004,1,MATCH(COLUMNS($AM$1006:AS1006),$AM$1006:$BM$1006,0)))),"Fix")))</f>
        <v xml:space="preserve"> </v>
      </c>
      <c r="I707" s="4" t="str">
        <f ca="1">IF(OR(INDEX($AG$2:$AG$1001,MATCH(ROWS($AF$2:AF707),$AF$2:$AF$1001,0),1)&gt;=100000,INDEX($AM$1005:$BM$1005,1,MATCH(COLUMNS($AM$1006:AT1006),$AM$1006:$BM$1006,0))&gt;=100000), " ",IF(INDEX($AM$2:$BM$1001,MATCH(ROWS($AF$2:AF707),$AF$2:$AF$1001,0),MATCH(COLUMNS($AM$1006:AT1006),$AM$1006:$BM$1006,0)), HYPERLINK("#",""), HYPERLINK(CONCATENATE("#metadata!", ADDRESS(INDEX($AH$2:$AH$1001,MATCH(ROWS($AF$2:AF707),$AF$2:$AF$1001,0),0), INDEX($AM$1004:$BM$1004,1,MATCH(COLUMNS($AM$1006:AT1006),$AM$1006:$BM$1006,0)))),"Fix")))</f>
        <v xml:space="preserve"> </v>
      </c>
      <c r="J707" s="4" t="str">
        <f ca="1">IF(OR(INDEX($AG$2:$AG$1001,MATCH(ROWS($AF$2:AF707),$AF$2:$AF$1001,0),1)&gt;=100000,INDEX($AM$1005:$BM$1005,1,MATCH(COLUMNS($AM$1006:AU1006),$AM$1006:$BM$1006,0))&gt;=100000), " ",IF(INDEX($AM$2:$BM$1001,MATCH(ROWS($AF$2:AF707),$AF$2:$AF$1001,0),MATCH(COLUMNS($AM$1006:AU1006),$AM$1006:$BM$1006,0)), HYPERLINK("#",""), HYPERLINK(CONCATENATE("#metadata!", ADDRESS(INDEX($AH$2:$AH$1001,MATCH(ROWS($AF$2:AF707),$AF$2:$AF$1001,0),0), INDEX($AM$1004:$BM$1004,1,MATCH(COLUMNS($AM$1006:AU1006),$AM$1006:$BM$1006,0)))),"Fix")))</f>
        <v xml:space="preserve"> </v>
      </c>
      <c r="K707" s="4" t="str">
        <f ca="1">IF(OR(INDEX($AG$2:$AG$1001,MATCH(ROWS($AF$2:AF707),$AF$2:$AF$1001,0),1)&gt;=100000,INDEX($AM$1005:$BM$1005,1,MATCH(COLUMNS($AM$1006:AV1006),$AM$1006:$BM$1006,0))&gt;=100000), " ",IF(INDEX($AM$2:$BM$1001,MATCH(ROWS($AF$2:AF707),$AF$2:$AF$1001,0),MATCH(COLUMNS($AM$1006:AV1006),$AM$1006:$BM$1006,0)), HYPERLINK("#",""), HYPERLINK(CONCATENATE("#metadata!", ADDRESS(INDEX($AH$2:$AH$1001,MATCH(ROWS($AF$2:AF707),$AF$2:$AF$1001,0),0), INDEX($AM$1004:$BM$1004,1,MATCH(COLUMNS($AM$1006:AV1006),$AM$1006:$BM$1006,0)))),"Fix")))</f>
        <v xml:space="preserve"> </v>
      </c>
      <c r="L707" s="4" t="str">
        <f ca="1">IF(OR(INDEX($AG$2:$AG$1001,MATCH(ROWS($AF$2:AF707),$AF$2:$AF$1001,0),1)&gt;=100000,INDEX($AM$1005:$BM$1005,1,MATCH(COLUMNS($AM$1006:AW1006),$AM$1006:$BM$1006,0))&gt;=100000), " ",IF(INDEX($AM$2:$BM$1001,MATCH(ROWS($AF$2:AF707),$AF$2:$AF$1001,0),MATCH(COLUMNS($AM$1006:AW1006),$AM$1006:$BM$1006,0)), HYPERLINK("#",""), HYPERLINK(CONCATENATE("#metadata!", ADDRESS(INDEX($AH$2:$AH$1001,MATCH(ROWS($AF$2:AF707),$AF$2:$AF$1001,0),0), INDEX($AM$1004:$BM$1004,1,MATCH(COLUMNS($AM$1006:AW1006),$AM$1006:$BM$1006,0)))),"Fix")))</f>
        <v xml:space="preserve"> </v>
      </c>
      <c r="M707" s="4" t="str">
        <f ca="1">IF(OR(INDEX($AG$2:$AG$1001,MATCH(ROWS($AF$2:AF707),$AF$2:$AF$1001,0),1)&gt;=100000,INDEX($AM$1005:$BM$1005,1,MATCH(COLUMNS($AM$1006:AX1006),$AM$1006:$BM$1006,0))&gt;=100000), " ",IF(INDEX($AM$2:$BM$1001,MATCH(ROWS($AF$2:AF707),$AF$2:$AF$1001,0),MATCH(COLUMNS($AM$1006:AX1006),$AM$1006:$BM$1006,0)), HYPERLINK("#",""), HYPERLINK(CONCATENATE("#metadata!", ADDRESS(INDEX($AH$2:$AH$1001,MATCH(ROWS($AF$2:AF707),$AF$2:$AF$1001,0),0), INDEX($AM$1004:$BM$1004,1,MATCH(COLUMNS($AM$1006:AX1006),$AM$1006:$BM$1006,0)))),"Fix")))</f>
        <v xml:space="preserve"> </v>
      </c>
      <c r="N707" s="4" t="str">
        <f ca="1">IF(OR(INDEX($AG$2:$AG$1001,MATCH(ROWS($AF$2:AF707),$AF$2:$AF$1001,0),1)&gt;=100000,INDEX($AM$1005:$BM$1005,1,MATCH(COLUMNS($AM$1006:AY1006),$AM$1006:$BM$1006,0))&gt;=100000), " ",IF(INDEX($AM$2:$BM$1001,MATCH(ROWS($AF$2:AF707),$AF$2:$AF$1001,0),MATCH(COLUMNS($AM$1006:AY1006),$AM$1006:$BM$1006,0)), HYPERLINK("#",""), HYPERLINK(CONCATENATE("#metadata!", ADDRESS(INDEX($AH$2:$AH$1001,MATCH(ROWS($AF$2:AF707),$AF$2:$AF$1001,0),0), INDEX($AM$1004:$BM$1004,1,MATCH(COLUMNS($AM$1006:AY1006),$AM$1006:$BM$1006,0)))),"Fix")))</f>
        <v xml:space="preserve"> </v>
      </c>
      <c r="O707" s="4" t="str">
        <f ca="1">IF(OR(INDEX($AG$2:$AG$1001,MATCH(ROWS($AF$2:AF707),$AF$2:$AF$1001,0),1)&gt;=100000,INDEX($AM$1005:$BM$1005,1,MATCH(COLUMNS($AM$1006:AZ1006),$AM$1006:$BM$1006,0))&gt;=100000), " ",IF(INDEX($AM$2:$BM$1001,MATCH(ROWS($AF$2:AF707),$AF$2:$AF$1001,0),MATCH(COLUMNS($AM$1006:AZ1006),$AM$1006:$BM$1006,0)), HYPERLINK("#",""), HYPERLINK(CONCATENATE("#metadata!", ADDRESS(INDEX($AH$2:$AH$1001,MATCH(ROWS($AF$2:AF707),$AF$2:$AF$1001,0),0), INDEX($AM$1004:$BM$1004,1,MATCH(COLUMNS($AM$1006:AZ1006),$AM$1006:$BM$1006,0)))),"Fix")))</f>
        <v xml:space="preserve"> </v>
      </c>
      <c r="P707" s="4" t="str">
        <f ca="1">IF(OR(INDEX($AG$2:$AG$1001,MATCH(ROWS($AF$2:AF707),$AF$2:$AF$1001,0),1)&gt;=100000,INDEX($AM$1005:$BM$1005,1,MATCH(COLUMNS($AM$1006:BA1006),$AM$1006:$BM$1006,0))&gt;=100000), " ",IF(INDEX($AM$2:$BM$1001,MATCH(ROWS($AF$2:AF707),$AF$2:$AF$1001,0),MATCH(COLUMNS($AM$1006:BA1006),$AM$1006:$BM$1006,0)), HYPERLINK("#",""), HYPERLINK(CONCATENATE("#metadata!", ADDRESS(INDEX($AH$2:$AH$1001,MATCH(ROWS($AF$2:AF707),$AF$2:$AF$1001,0),0), INDEX($AM$1004:$BM$1004,1,MATCH(COLUMNS($AM$1006:BA1006),$AM$1006:$BM$1006,0)))),"Fix")))</f>
        <v xml:space="preserve"> </v>
      </c>
      <c r="Q707" s="4" t="str">
        <f ca="1">IF(OR(INDEX($AG$2:$AG$1001,MATCH(ROWS($AF$2:AF707),$AF$2:$AF$1001,0),1)&gt;=100000,INDEX($AM$1005:$BM$1005,1,MATCH(COLUMNS($AM$1006:BB1006),$AM$1006:$BM$1006,0))&gt;=100000), " ",IF(INDEX($AM$2:$BM$1001,MATCH(ROWS($AF$2:AF707),$AF$2:$AF$1001,0),MATCH(COLUMNS($AM$1006:BB1006),$AM$1006:$BM$1006,0)), HYPERLINK("#",""), HYPERLINK(CONCATENATE("#metadata!", ADDRESS(INDEX($AH$2:$AH$1001,MATCH(ROWS($AF$2:AF707),$AF$2:$AF$1001,0),0), INDEX($AM$1004:$BM$1004,1,MATCH(COLUMNS($AM$1006:BB1006),$AM$1006:$BM$1006,0)))),"Fix")))</f>
        <v xml:space="preserve"> </v>
      </c>
      <c r="R707" s="4" t="str">
        <f ca="1">IF(OR(INDEX($AG$2:$AG$1001,MATCH(ROWS($AF$2:AF707),$AF$2:$AF$1001,0),1)&gt;=100000,INDEX($AM$1005:$BM$1005,1,MATCH(COLUMNS($AM$1006:BC1006),$AM$1006:$BM$1006,0))&gt;=100000), " ",IF(INDEX($AM$2:$BM$1001,MATCH(ROWS($AF$2:AF707),$AF$2:$AF$1001,0),MATCH(COLUMNS($AM$1006:BC1006),$AM$1006:$BM$1006,0)), HYPERLINK("#",""), HYPERLINK(CONCATENATE("#metadata!", ADDRESS(INDEX($AH$2:$AH$1001,MATCH(ROWS($AF$2:AF707),$AF$2:$AF$1001,0),0), INDEX($AM$1004:$BM$1004,1,MATCH(COLUMNS($AM$1006:BC1006),$AM$1006:$BM$1006,0)))),"Fix")))</f>
        <v xml:space="preserve"> </v>
      </c>
      <c r="S707" s="4" t="str">
        <f ca="1">IF(OR(INDEX($AG$2:$AG$1001,MATCH(ROWS($AF$2:AF707),$AF$2:$AF$1001,0),1)&gt;=100000,INDEX($AM$1005:$BM$1005,1,MATCH(COLUMNS($AM$1006:BD1006),$AM$1006:$BM$1006,0))&gt;=100000), " ",IF(INDEX($AM$2:$BM$1001,MATCH(ROWS($AF$2:AF707),$AF$2:$AF$1001,0),MATCH(COLUMNS($AM$1006:BD1006),$AM$1006:$BM$1006,0)), HYPERLINK("#",""), HYPERLINK(CONCATENATE("#metadata!", ADDRESS(INDEX($AH$2:$AH$1001,MATCH(ROWS($AF$2:AF707),$AF$2:$AF$1001,0),0), INDEX($AM$1004:$BM$1004,1,MATCH(COLUMNS($AM$1006:BD1006),$AM$1006:$BM$1006,0)))),"Fix")))</f>
        <v xml:space="preserve"> </v>
      </c>
      <c r="T707" s="4" t="str">
        <f ca="1">IF(OR(INDEX($AG$2:$AG$1001,MATCH(ROWS($AF$2:AF707),$AF$2:$AF$1001,0),1)&gt;=100000,INDEX($AM$1005:$BM$1005,1,MATCH(COLUMNS($AM$1006:BE1006),$AM$1006:$BM$1006,0))&gt;=100000), " ",IF(INDEX($AM$2:$BM$1001,MATCH(ROWS($AF$2:AF707),$AF$2:$AF$1001,0),MATCH(COLUMNS($AM$1006:BE1006),$AM$1006:$BM$1006,0)), HYPERLINK("#",""), HYPERLINK(CONCATENATE("#metadata!", ADDRESS(INDEX($AH$2:$AH$1001,MATCH(ROWS($AF$2:AF707),$AF$2:$AF$1001,0),0), INDEX($AM$1004:$BM$1004,1,MATCH(COLUMNS($AM$1006:BE1006),$AM$1006:$BM$1006,0)))),"Fix")))</f>
        <v xml:space="preserve"> </v>
      </c>
      <c r="U707" s="4" t="str">
        <f ca="1">IF(OR(INDEX($AG$2:$AG$1001,MATCH(ROWS($AF$2:AF707),$AF$2:$AF$1001,0),1)&gt;=100000,INDEX($AM$1005:$BM$1005,1,MATCH(COLUMNS($AM$1006:BF1006),$AM$1006:$BM$1006,0))&gt;=100000), " ",IF(INDEX($AM$2:$BM$1001,MATCH(ROWS($AF$2:AF707),$AF$2:$AF$1001,0),MATCH(COLUMNS($AM$1006:BF1006),$AM$1006:$BM$1006,0)), HYPERLINK("#",""), HYPERLINK(CONCATENATE("#metadata!", ADDRESS(INDEX($AH$2:$AH$1001,MATCH(ROWS($AF$2:AF707),$AF$2:$AF$1001,0),0), INDEX($AM$1004:$BM$1004,1,MATCH(COLUMNS($AM$1006:BF1006),$AM$1006:$BM$1006,0)))),"Fix")))</f>
        <v xml:space="preserve"> </v>
      </c>
      <c r="V707" s="4" t="str">
        <f ca="1">IF(OR(INDEX($AG$2:$AG$1001,MATCH(ROWS($AF$2:AF707),$AF$2:$AF$1001,0),1)&gt;=100000,INDEX($AM$1005:$BM$1005,1,MATCH(COLUMNS($AM$1006:BG1006),$AM$1006:$BM$1006,0))&gt;=100000), " ",IF(INDEX($AM$2:$BM$1001,MATCH(ROWS($AF$2:AF707),$AF$2:$AF$1001,0),MATCH(COLUMNS($AM$1006:BG1006),$AM$1006:$BM$1006,0)), HYPERLINK("#",""), HYPERLINK(CONCATENATE("#metadata!", ADDRESS(INDEX($AH$2:$AH$1001,MATCH(ROWS($AF$2:AF707),$AF$2:$AF$1001,0),0), INDEX($AM$1004:$BM$1004,1,MATCH(COLUMNS($AM$1006:BG1006),$AM$1006:$BM$1006,0)))),"Fix")))</f>
        <v xml:space="preserve"> </v>
      </c>
      <c r="W707" s="4" t="str">
        <f ca="1">IF(OR(INDEX($AG$2:$AG$1001,MATCH(ROWS($AF$2:AF707),$AF$2:$AF$1001,0),1)&gt;=100000,INDEX($AM$1005:$BM$1005,1,MATCH(COLUMNS($AM$1006:BH1006),$AM$1006:$BM$1006,0))&gt;=100000), " ",IF(INDEX($AM$2:$BM$1001,MATCH(ROWS($AF$2:AF707),$AF$2:$AF$1001,0),MATCH(COLUMNS($AM$1006:BH1006),$AM$1006:$BM$1006,0)), HYPERLINK("#",""), HYPERLINK(CONCATENATE("#metadata!", ADDRESS(INDEX($AH$2:$AH$1001,MATCH(ROWS($AF$2:AF707),$AF$2:$AF$1001,0),0), INDEX($AM$1004:$BM$1004,1,MATCH(COLUMNS($AM$1006:BH1006),$AM$1006:$BM$1006,0)))),"Fix")))</f>
        <v xml:space="preserve"> </v>
      </c>
      <c r="X707" s="4" t="str">
        <f ca="1">IF(OR(INDEX($AG$2:$AG$1001,MATCH(ROWS($AF$2:AF707),$AF$2:$AF$1001,0),1)&gt;=100000,INDEX($AM$1005:$BM$1005,1,MATCH(COLUMNS($AM$1006:BI1006),$AM$1006:$BM$1006,0))&gt;=100000), " ",IF(INDEX($AM$2:$BM$1001,MATCH(ROWS($AF$2:AF707),$AF$2:$AF$1001,0),MATCH(COLUMNS($AM$1006:BI1006),$AM$1006:$BM$1006,0)), HYPERLINK("#",""), HYPERLINK(CONCATENATE("#metadata!", ADDRESS(INDEX($AH$2:$AH$1001,MATCH(ROWS($AF$2:AF707),$AF$2:$AF$1001,0),0), INDEX($AM$1004:$BM$1004,1,MATCH(COLUMNS($AM$1006:BI1006),$AM$1006:$BM$1006,0)))),"Fix")))</f>
        <v xml:space="preserve"> </v>
      </c>
      <c r="Y707" s="4" t="str">
        <f ca="1">IF(OR(INDEX($AG$2:$AG$1001,MATCH(ROWS($AF$2:AF707),$AF$2:$AF$1001,0),1)&gt;=100000,INDEX($AM$1005:$BM$1005,1,MATCH(COLUMNS($AM$1006:BJ1006),$AM$1006:$BM$1006,0))&gt;=100000), " ",IF(INDEX($AM$2:$BM$1001,MATCH(ROWS($AF$2:AF707),$AF$2:$AF$1001,0),MATCH(COLUMNS($AM$1006:BJ1006),$AM$1006:$BM$1006,0)), HYPERLINK("#",""), HYPERLINK(CONCATENATE("#metadata!", ADDRESS(INDEX($AH$2:$AH$1001,MATCH(ROWS($AF$2:AF707),$AF$2:$AF$1001,0),0), INDEX($AM$1004:$BM$1004,1,MATCH(COLUMNS($AM$1006:BJ1006),$AM$1006:$BM$1006,0)))),"Fix")))</f>
        <v xml:space="preserve"> </v>
      </c>
      <c r="Z707" s="4" t="str">
        <f ca="1">IF(OR(INDEX($AG$2:$AG$1001,MATCH(ROWS($AF$2:AF707),$AF$2:$AF$1001,0),1)&gt;=100000,INDEX($AM$1005:$BM$1005,1,MATCH(COLUMNS($AM$1006:BK1006),$AM$1006:$BM$1006,0))&gt;=100000), " ",IF(INDEX($AM$2:$BM$1001,MATCH(ROWS($AF$2:AF707),$AF$2:$AF$1001,0),MATCH(COLUMNS($AM$1006:BK1006),$AM$1006:$BM$1006,0)), HYPERLINK("#",""), HYPERLINK(CONCATENATE("#metadata!", ADDRESS(INDEX($AH$2:$AH$1001,MATCH(ROWS($AF$2:AF707),$AF$2:$AF$1001,0),0), INDEX($AM$1004:$BM$1004,1,MATCH(COLUMNS($AM$1006:BK1006),$AM$1006:$BM$1006,0)))),"Fix")))</f>
        <v xml:space="preserve"> </v>
      </c>
      <c r="AA707" s="4" t="str">
        <f ca="1">IF(OR(INDEX($AG$2:$AG$1001,MATCH(ROWS($AF$2:AF707),$AF$2:$AF$1001,0),1)&gt;=100000,INDEX($AM$1005:$BM$1005,1,MATCH(COLUMNS($AM$1006:BL1006),$AM$1006:$BM$1006,0))&gt;=100000), " ",IF(INDEX($AM$2:$BM$1001,MATCH(ROWS($AF$2:AF707),$AF$2:$AF$1001,0),MATCH(COLUMNS($AM$1006:BL1006),$AM$1006:$BM$1006,0)), HYPERLINK("#",""), HYPERLINK(CONCATENATE("#metadata!", ADDRESS(INDEX($AH$2:$AH$1001,MATCH(ROWS($AF$2:AF707),$AF$2:$AF$1001,0),0), INDEX($AM$1004:$BM$1004,1,MATCH(COLUMNS($AM$1006:BL1006),$AM$1006:$BM$1006,0)))),"Fix")))</f>
        <v xml:space="preserve"> </v>
      </c>
      <c r="AB707" s="4" t="str">
        <f ca="1">IF(OR(INDEX($AG$2:$AG$1001,MATCH(ROWS($AF$2:AF707),$AF$2:$AF$1001,0),1)&gt;=100000,INDEX($AM$1005:$BM$1005,1,MATCH(COLUMNS($AM$1006:BM1006),$AM$1006:$BM$1006,0))&gt;=100000), " ",IF(INDEX($AM$2:$BM$1001,MATCH(ROWS($AF$2:AF707),$AF$2:$AF$1001,0),MATCH(COLUMNS($AM$1006:BM1006),$AM$1006:$BM$1006,0)), HYPERLINK("#",""), HYPERLINK(CONCATENATE("#metadata!", ADDRESS(INDEX($AH$2:$AH$1001,MATCH(ROWS($AF$2:AF707),$AF$2:$AF$1001,0),0), INDEX($AM$1004:$BM$1004,1,MATCH(COLUMNS($AM$1006:BM1006),$AM$1006:$BM$1006,0)))),"Fix")))</f>
        <v xml:space="preserve"> </v>
      </c>
      <c r="AF707">
        <v>706</v>
      </c>
      <c r="AG707">
        <v>100707</v>
      </c>
      <c r="AH707">
        <v>707</v>
      </c>
      <c r="AI707" t="b">
        <f t="shared" si="11"/>
        <v>1</v>
      </c>
      <c r="AJ707" t="b">
        <f>COUNTBLANK(metadata!B707:AB707)=COLUMNS(metadata!B707:AB707)</f>
        <v>1</v>
      </c>
      <c r="AK707" t="str">
        <v/>
      </c>
      <c r="AM707" t="b">
        <f ca="1">AND(IF(metadata!B707="",FALSE,TRUE),COUNTIF(metadata!B:B, metadata!B707) = 1,NOT(ISERROR(SUMPRODUCT(SEARCH(MID(metadata!B707,ROW(INDIRECT("1:"&amp;LEN(metadata!B707))), 1),"0123456789abcdefghijklmnopqrstuvwxyzABCDEFGHIJKLMNOPQRSTUVWXYZ.")))))</f>
        <v>0</v>
      </c>
      <c r="AN707" t="b">
        <f ca="1">OR(AND(IF(metadata!C707="",FALSE,TRUE),OR(EXACT(metadata!C707,"missing: not collected"),EXACT(metadata!C707,"missing: not provided"),EXACT(metadata!C707,"missing: restricted access"))),AND(IF(metadata!C707="",FALSE,TRUE),AND(AND(IFERROR(INT(LEFT(metadata!C707,4))&gt;1900,FALSE),IFERROR(INT(LEFT(metadata!C707,4))&lt;=YEAR(NOW()),FALSE)), OR(MID(metadata!C707,5,1)="", AND(AND(MID(metadata!C707,5,1)="-",IFERROR(INT(MID(metadata!C707,6,1))&gt;=0,FALSE),IFERROR(INT(MID(metadata!C707,6,1))&lt;=1,FALSE),NOT(MID(metadata!C707,7,1)=""),IFERROR(INT(MID(metadata!C707,6,2))&gt;=1,FALSE),IFERROR(INT(MID(metadata!C707,6,2))&lt;=12,FALSE)), OR(MID(metadata!C707,8,1)="", AND(AND(MID(metadata!C707,8,1)="-",IFERROR(INT(MID(metadata!C707,9,1))&gt;=0,FALSE),IFERROR(INT(MID(metadata!C707,9,1))&lt;=3,FALSE),NOT(MID(metadata!C707,10,1)=""),IFERROR(INT(MID(metadata!C707,9,2))&gt;=1,FALSE),IFERROR(INT(MID(metadata!C707,9,2))&lt;=31,FALSE)), OR(MID(metadata!C707,11,1)="", AND(AND(MID(metadata!C707,11,1)=" ",IFERROR(INT(MID(metadata!C707,12,1))&gt;=0,FALSE),IFERROR(INT(MID(metadata!C707,12,1))&lt;=2,FALSE),NOT(MID(metadata!C707,13,1)=""),IFERROR(INT(MID(metadata!C707,12,2))&gt;=0,FALSE),IFERROR(INT(MID(metadata!C707,12,2))&lt;=23,FALSE)), OR(MID(metadata!C707,14,1)="", AND(AND(MID(metadata!C707,14,1)=":",IFERROR(INT(MID(metadata!C707,15,1))&gt;=0,FALSE),IFERROR(INT(MID(metadata!C707,15,1))&lt;=5,FALSE),NOT(MID(metadata!C707,16,1)=""),IFERROR(INT(MID(metadata!C707,15,2))&gt;=0,FALSE),IFERROR(INT(MID(metadata!C707,15,2))&lt;=59,FALSE)), OR(MID(metadata!C707,17,1)="", AND(AND(MID(metadata!C707,17,1)=":",IFERROR(INT(MID(metadata!C707,18,1))&gt;=0,FALSE),IFERROR(INT(MID(metadata!C707,18,1))&lt;=5,FALSE),NOT(MID(metadata!C707,19,1)=""),IFERROR(INT(MID(metadata!C707,18,2))&gt;=0,FALSE),IFERROR(INT(MID(metadata!C707,18,2))&lt;=59,FALSE)), LEN(metadata!C707)&lt;=19)))))))))))))</f>
        <v>0</v>
      </c>
      <c r="AO707" t="b">
        <f>AND(IF(metadata!D707="",FALSE,TRUE),EXACT(metadata!D707,"Not applicable"))</f>
        <v>0</v>
      </c>
      <c r="AP707" t="b">
        <f>IF(metadata!E707="",FALSE,TRUE)</f>
        <v>0</v>
      </c>
      <c r="AQ707" t="b">
        <f>OR(AND(IF(metadata!F707="",FALSE,TRUE),OR(EXACT(metadata!F707,"missing: not collected"),EXACT(metadata!F707,"missing: not provided"))),AND(IF(metadata!F707="",FALSE,TRUE),OR(EXACT(metadata!F707,"TRUE"),EXACT(metadata!F707,"FALSE"))))</f>
        <v>0</v>
      </c>
      <c r="AR707" t="b">
        <f>OR(AND(IF(metadata!G707="",FALSE,TRUE),OR(EXACT(metadata!G707,"missing: not collected"),EXACT(metadata!G707,"missing: not provided"),EXACT(metadata!G707,"missing: restricted access"))),AND(IF(metadata!G707="",FALSE,ISNUMBER(VALUE(metadata!G707))),metadata!G707&gt;=-413))</f>
        <v>0</v>
      </c>
      <c r="AS707" t="b">
        <f>AND(IF(metadata!H707="",FALSE,TRUE),EXACT(metadata!H707,"meters"))</f>
        <v>0</v>
      </c>
      <c r="AT707" t="b">
        <f>AND(IF(metadata!I707="",FALSE,TRUE),OR(EXACT(metadata!I707,"Host-associated"),EXACT(metadata!I707,"Free-living")))</f>
        <v>0</v>
      </c>
      <c r="AU707" t="b">
        <f>AND(IF(metadata!J707="",FALSE,TRUE),OR(EXACT(metadata!J707,"Animal"),EXACT(metadata!J707,"Fungus"),EXACT(metadata!J707,"Plant"),EXACT(metadata!J707,"Saline"),EXACT(metadata!J707,"Non-saline")))</f>
        <v>0</v>
      </c>
      <c r="AV707" t="b">
        <f>AND(IF(metadata!K707="",FALSE,TRUE),OR(EXACT(metadata!K707,"Plant secretion"),EXACT(metadata!K707,"Plant rhizosphere"),EXACT(metadata!K707,"Plant surface"),EXACT(metadata!K707,"Plant corpus"),EXACT(metadata!K707,"Fungus surface"),EXACT(metadata!K707,"Fungus corpus"),EXACT(metadata!K707,"Animal surface"),EXACT(metadata!K707,"Animal proximal gut"),EXACT(metadata!K707,"Animal corpus"),EXACT(metadata!K707,"Animal distal gut"),EXACT(metadata!K707,"Animal secretion"),EXACT(metadata!K707,"Sub-surface (non-saline)"),EXACT(metadata!K707,"Surface (non-saline)"),EXACT(metadata!K707,"Water (non-saline)"),EXACT(metadata!K707,"Soil (non-saline)"),EXACT(metadata!K707,"Aerosol (non-saline)"),EXACT(metadata!K707,"Sediment (non-saline)"),EXACT(metadata!K707,"Surface (saline)"),EXACT(metadata!K707,"Water (saline)"),EXACT(metadata!K707,"Hypersaline (saline)"),EXACT(metadata!K707,"Aerosol (saline)"),EXACT(metadata!K707,"Sediment (saline)")))</f>
        <v>0</v>
      </c>
      <c r="AW707" t="b">
        <f>IF(metadata!L707="",FALSE,TRUE)</f>
        <v>0</v>
      </c>
      <c r="AX707" t="b">
        <f>IF(metadata!M707="",FALSE,TRUE)</f>
        <v>0</v>
      </c>
      <c r="AY707" t="b">
        <f>IF(metadata!N707="",FALSE,TRUE)</f>
        <v>0</v>
      </c>
      <c r="AZ707" t="b">
        <f>OR(AND(IF(metadata!O707="",FALSE,TRUE),OR(EXACT(metadata!O707,"missing: not collected"),EXACT(metadata!O707,"missing: not provided"),EXACT(metadata!O707,"missing: restricted access"))),AND(IF(metadata!O707="",FALSE,TRUE),OR(EXACT(metadata!O707,"air"),EXACT(metadata!O707,"built environment"),EXACT(metadata!O707,"host-associated"),EXACT(metadata!O707,"human-associated"),EXACT(metadata!O707,"human-skin"),EXACT(metadata!O707,"human-oral"),EXACT(metadata!O707,"human-gut"),EXACT(metadata!O707,"human-vaginal"),EXACT(metadata!O707,"microbial mat/biofilm"),EXACT(metadata!O707,"misc environment"),EXACT(metadata!O707,"plant-associated"),EXACT(metadata!O707,"sediment"),EXACT(metadata!O707,"soil"),EXACT(metadata!O707,"wastewater/sludge"),EXACT(metadata!O707,"water"))))</f>
        <v>0</v>
      </c>
      <c r="BA707" t="b">
        <f>IF(metadata!P707="",FALSE,TRUE)</f>
        <v>0</v>
      </c>
      <c r="BB707" t="b">
        <f>IF(metadata!Q707="",FALSE,TRUE)</f>
        <v>0</v>
      </c>
      <c r="BC707" t="b">
        <f>OR(AND(IF(metadata!R707="",FALSE,TRUE),OR(EXACT(metadata!R707,"missing: not collected"),EXACT(metadata!R707,"missing: not provided"),EXACT(metadata!R707,"missing: restricted access"))),AND(IF(metadata!R707="",FALSE,ISNUMBER(VALUE(metadata!R707))),metadata!R707&gt;=-90,metadata!R707&lt;=90))</f>
        <v>0</v>
      </c>
      <c r="BD707" t="b">
        <f>AND(IF(metadata!S707="",FALSE,TRUE),EXACT(metadata!S707,"Decimal degrees"))</f>
        <v>0</v>
      </c>
      <c r="BE707" t="b">
        <f>OR(AND(IF(metadata!T707="",FALSE,TRUE),OR(EXACT(metadata!T707,"missing: not collected"),EXACT(metadata!T707,"missing: not provided"),EXACT(metadata!T707,"missing: restricted access"))),AND(IF(metadata!T707="",FALSE,ISNUMBER(VALUE(metadata!T707))),metadata!T707&gt;=-180,metadata!T707&lt;=180))</f>
        <v>0</v>
      </c>
      <c r="BF707" t="b">
        <f>AND(IF(metadata!U707="",FALSE,TRUE),EXACT(metadata!U707,"Decimal degrees"))</f>
        <v>0</v>
      </c>
      <c r="BG707" t="b">
        <f>IF(metadata!V707="",FALSE,TRUE)</f>
        <v>0</v>
      </c>
      <c r="BH707" t="b">
        <f>OR(AND(IF(metadata!W707="",FALSE,TRUE),OR(EXACT(metadata!W707,"missing: not collected"),EXACT(metadata!W707,"missing: not provided"),EXACT(metadata!W707,"missing: restricted access"))),AND(IF(metadata!W707="",FALSE,TRUE),OR(EXACT(metadata!W707,"TRUE"),EXACT(metadata!W707,"FALSE"))))</f>
        <v>0</v>
      </c>
      <c r="BI707" t="b">
        <f>AND(IF(metadata!X707="",FALSE,TRUE),EXACT(metadata!X707,"other"))</f>
        <v>0</v>
      </c>
      <c r="BJ707" t="b">
        <f>IF(metadata!Y707="",FALSE,TRUE)</f>
        <v>0</v>
      </c>
      <c r="BK707" t="b">
        <f>OR(AND(IF(metadata!Z707="",FALSE,TRUE),OR(EXACT(metadata!Z707,"missing: not collected"),EXACT(metadata!Z707,"missing: not provided"))),AND(IF(metadata!Z707="",FALSE,IF(ISERROR(INT(metadata!Z707)),FALSE,INT(metadata!Z707)=metadata!Z707)),metadata!Z707&gt;0))</f>
        <v>0</v>
      </c>
      <c r="BL707" t="b">
        <f>AND(IF(metadata!AA707="",FALSE,TRUE),EXACT(metadata!AA707,"Not applicable"))</f>
        <v>0</v>
      </c>
      <c r="BM707" t="b">
        <f>IF(metadata!AB707="",FALSE,TRUE)</f>
        <v>0</v>
      </c>
    </row>
    <row r="708" spans="1:65" x14ac:dyDescent="0.2">
      <c r="A708" s="5" t="str">
        <f ca="1">IF(B708=" "," ",HYPERLINK(CONCATENATE("#metadata!",ADDRESS(INDEX($AH$2:$AH$1001,MATCH(ROWS($AF$2:AF708),$AF$2:$AF$1001,0),0),1)),INDEX($AK$2:$AK$1001,MATCH(ROWS($AF$2:AF708),$AF$2:$AF$1001,0),0)))</f>
        <v xml:space="preserve"> </v>
      </c>
      <c r="B708" s="4" t="str">
        <f ca="1">IF(OR(INDEX($AG$2:$AG$1001,MATCH(ROWS($AF$2:AF708),$AF$2:$AF$1001,0),1)&gt;=100000,INDEX($AM$1005:$BM$1005,1,MATCH(COLUMNS($AM$1006:AM1006),$AM$1006:$BM$1006,0))&gt;=100000), " ",IF(INDEX($AM$2:$BM$1001,MATCH(ROWS($AF$2:AF708),$AF$2:$AF$1001,0),MATCH(COLUMNS($AM$1006:AM1006),$AM$1006:$BM$1006,0)), HYPERLINK("#",""), HYPERLINK(CONCATENATE("#metadata!", ADDRESS(INDEX($AH$2:$AH$1001,MATCH(ROWS($AF$2:AF708),$AF$2:$AF$1001,0),0), INDEX($AM$1004:$BM$1004,1,MATCH(COLUMNS($AM$1006:AM1006),$AM$1006:$BM$1006,0)))),"Fix")))</f>
        <v xml:space="preserve"> </v>
      </c>
      <c r="C708" s="4" t="str">
        <f ca="1">IF(OR(INDEX($AG$2:$AG$1001,MATCH(ROWS($AF$2:AF708),$AF$2:$AF$1001,0),1)&gt;=100000,INDEX($AM$1005:$BM$1005,1,MATCH(COLUMNS($AM$1006:AN1006),$AM$1006:$BM$1006,0))&gt;=100000), " ",IF(INDEX($AM$2:$BM$1001,MATCH(ROWS($AF$2:AF708),$AF$2:$AF$1001,0),MATCH(COLUMNS($AM$1006:AN1006),$AM$1006:$BM$1006,0)), HYPERLINK("#",""), HYPERLINK(CONCATENATE("#metadata!", ADDRESS(INDEX($AH$2:$AH$1001,MATCH(ROWS($AF$2:AF708),$AF$2:$AF$1001,0),0), INDEX($AM$1004:$BM$1004,1,MATCH(COLUMNS($AM$1006:AN1006),$AM$1006:$BM$1006,0)))),"Fix")))</f>
        <v xml:space="preserve"> </v>
      </c>
      <c r="D708" s="4" t="str">
        <f ca="1">IF(OR(INDEX($AG$2:$AG$1001,MATCH(ROWS($AF$2:AF708),$AF$2:$AF$1001,0),1)&gt;=100000,INDEX($AM$1005:$BM$1005,1,MATCH(COLUMNS($AM$1006:AO1006),$AM$1006:$BM$1006,0))&gt;=100000), " ",IF(INDEX($AM$2:$BM$1001,MATCH(ROWS($AF$2:AF708),$AF$2:$AF$1001,0),MATCH(COLUMNS($AM$1006:AO1006),$AM$1006:$BM$1006,0)), HYPERLINK("#",""), HYPERLINK(CONCATENATE("#metadata!", ADDRESS(INDEX($AH$2:$AH$1001,MATCH(ROWS($AF$2:AF708),$AF$2:$AF$1001,0),0), INDEX($AM$1004:$BM$1004,1,MATCH(COLUMNS($AM$1006:AO1006),$AM$1006:$BM$1006,0)))),"Fix")))</f>
        <v xml:space="preserve"> </v>
      </c>
      <c r="E708" s="4" t="str">
        <f ca="1">IF(OR(INDEX($AG$2:$AG$1001,MATCH(ROWS($AF$2:AF708),$AF$2:$AF$1001,0),1)&gt;=100000,INDEX($AM$1005:$BM$1005,1,MATCH(COLUMNS($AM$1006:AP1006),$AM$1006:$BM$1006,0))&gt;=100000), " ",IF(INDEX($AM$2:$BM$1001,MATCH(ROWS($AF$2:AF708),$AF$2:$AF$1001,0),MATCH(COLUMNS($AM$1006:AP1006),$AM$1006:$BM$1006,0)), HYPERLINK("#",""), HYPERLINK(CONCATENATE("#metadata!", ADDRESS(INDEX($AH$2:$AH$1001,MATCH(ROWS($AF$2:AF708),$AF$2:$AF$1001,0),0), INDEX($AM$1004:$BM$1004,1,MATCH(COLUMNS($AM$1006:AP1006),$AM$1006:$BM$1006,0)))),"Fix")))</f>
        <v xml:space="preserve"> </v>
      </c>
      <c r="F708" s="4" t="str">
        <f ca="1">IF(OR(INDEX($AG$2:$AG$1001,MATCH(ROWS($AF$2:AF708),$AF$2:$AF$1001,0),1)&gt;=100000,INDEX($AM$1005:$BM$1005,1,MATCH(COLUMNS($AM$1006:AQ1006),$AM$1006:$BM$1006,0))&gt;=100000), " ",IF(INDEX($AM$2:$BM$1001,MATCH(ROWS($AF$2:AF708),$AF$2:$AF$1001,0),MATCH(COLUMNS($AM$1006:AQ1006),$AM$1006:$BM$1006,0)), HYPERLINK("#",""), HYPERLINK(CONCATENATE("#metadata!", ADDRESS(INDEX($AH$2:$AH$1001,MATCH(ROWS($AF$2:AF708),$AF$2:$AF$1001,0),0), INDEX($AM$1004:$BM$1004,1,MATCH(COLUMNS($AM$1006:AQ1006),$AM$1006:$BM$1006,0)))),"Fix")))</f>
        <v xml:space="preserve"> </v>
      </c>
      <c r="G708" s="4" t="str">
        <f ca="1">IF(OR(INDEX($AG$2:$AG$1001,MATCH(ROWS($AF$2:AF708),$AF$2:$AF$1001,0),1)&gt;=100000,INDEX($AM$1005:$BM$1005,1,MATCH(COLUMNS($AM$1006:AR1006),$AM$1006:$BM$1006,0))&gt;=100000), " ",IF(INDEX($AM$2:$BM$1001,MATCH(ROWS($AF$2:AF708),$AF$2:$AF$1001,0),MATCH(COLUMNS($AM$1006:AR1006),$AM$1006:$BM$1006,0)), HYPERLINK("#",""), HYPERLINK(CONCATENATE("#metadata!", ADDRESS(INDEX($AH$2:$AH$1001,MATCH(ROWS($AF$2:AF708),$AF$2:$AF$1001,0),0), INDEX($AM$1004:$BM$1004,1,MATCH(COLUMNS($AM$1006:AR1006),$AM$1006:$BM$1006,0)))),"Fix")))</f>
        <v xml:space="preserve"> </v>
      </c>
      <c r="H708" s="4" t="str">
        <f ca="1">IF(OR(INDEX($AG$2:$AG$1001,MATCH(ROWS($AF$2:AF708),$AF$2:$AF$1001,0),1)&gt;=100000,INDEX($AM$1005:$BM$1005,1,MATCH(COLUMNS($AM$1006:AS1006),$AM$1006:$BM$1006,0))&gt;=100000), " ",IF(INDEX($AM$2:$BM$1001,MATCH(ROWS($AF$2:AF708),$AF$2:$AF$1001,0),MATCH(COLUMNS($AM$1006:AS1006),$AM$1006:$BM$1006,0)), HYPERLINK("#",""), HYPERLINK(CONCATENATE("#metadata!", ADDRESS(INDEX($AH$2:$AH$1001,MATCH(ROWS($AF$2:AF708),$AF$2:$AF$1001,0),0), INDEX($AM$1004:$BM$1004,1,MATCH(COLUMNS($AM$1006:AS1006),$AM$1006:$BM$1006,0)))),"Fix")))</f>
        <v xml:space="preserve"> </v>
      </c>
      <c r="I708" s="4" t="str">
        <f ca="1">IF(OR(INDEX($AG$2:$AG$1001,MATCH(ROWS($AF$2:AF708),$AF$2:$AF$1001,0),1)&gt;=100000,INDEX($AM$1005:$BM$1005,1,MATCH(COLUMNS($AM$1006:AT1006),$AM$1006:$BM$1006,0))&gt;=100000), " ",IF(INDEX($AM$2:$BM$1001,MATCH(ROWS($AF$2:AF708),$AF$2:$AF$1001,0),MATCH(COLUMNS($AM$1006:AT1006),$AM$1006:$BM$1006,0)), HYPERLINK("#",""), HYPERLINK(CONCATENATE("#metadata!", ADDRESS(INDEX($AH$2:$AH$1001,MATCH(ROWS($AF$2:AF708),$AF$2:$AF$1001,0),0), INDEX($AM$1004:$BM$1004,1,MATCH(COLUMNS($AM$1006:AT1006),$AM$1006:$BM$1006,0)))),"Fix")))</f>
        <v xml:space="preserve"> </v>
      </c>
      <c r="J708" s="4" t="str">
        <f ca="1">IF(OR(INDEX($AG$2:$AG$1001,MATCH(ROWS($AF$2:AF708),$AF$2:$AF$1001,0),1)&gt;=100000,INDEX($AM$1005:$BM$1005,1,MATCH(COLUMNS($AM$1006:AU1006),$AM$1006:$BM$1006,0))&gt;=100000), " ",IF(INDEX($AM$2:$BM$1001,MATCH(ROWS($AF$2:AF708),$AF$2:$AF$1001,0),MATCH(COLUMNS($AM$1006:AU1006),$AM$1006:$BM$1006,0)), HYPERLINK("#",""), HYPERLINK(CONCATENATE("#metadata!", ADDRESS(INDEX($AH$2:$AH$1001,MATCH(ROWS($AF$2:AF708),$AF$2:$AF$1001,0),0), INDEX($AM$1004:$BM$1004,1,MATCH(COLUMNS($AM$1006:AU1006),$AM$1006:$BM$1006,0)))),"Fix")))</f>
        <v xml:space="preserve"> </v>
      </c>
      <c r="K708" s="4" t="str">
        <f ca="1">IF(OR(INDEX($AG$2:$AG$1001,MATCH(ROWS($AF$2:AF708),$AF$2:$AF$1001,0),1)&gt;=100000,INDEX($AM$1005:$BM$1005,1,MATCH(COLUMNS($AM$1006:AV1006),$AM$1006:$BM$1006,0))&gt;=100000), " ",IF(INDEX($AM$2:$BM$1001,MATCH(ROWS($AF$2:AF708),$AF$2:$AF$1001,0),MATCH(COLUMNS($AM$1006:AV1006),$AM$1006:$BM$1006,0)), HYPERLINK("#",""), HYPERLINK(CONCATENATE("#metadata!", ADDRESS(INDEX($AH$2:$AH$1001,MATCH(ROWS($AF$2:AF708),$AF$2:$AF$1001,0),0), INDEX($AM$1004:$BM$1004,1,MATCH(COLUMNS($AM$1006:AV1006),$AM$1006:$BM$1006,0)))),"Fix")))</f>
        <v xml:space="preserve"> </v>
      </c>
      <c r="L708" s="4" t="str">
        <f ca="1">IF(OR(INDEX($AG$2:$AG$1001,MATCH(ROWS($AF$2:AF708),$AF$2:$AF$1001,0),1)&gt;=100000,INDEX($AM$1005:$BM$1005,1,MATCH(COLUMNS($AM$1006:AW1006),$AM$1006:$BM$1006,0))&gt;=100000), " ",IF(INDEX($AM$2:$BM$1001,MATCH(ROWS($AF$2:AF708),$AF$2:$AF$1001,0),MATCH(COLUMNS($AM$1006:AW1006),$AM$1006:$BM$1006,0)), HYPERLINK("#",""), HYPERLINK(CONCATENATE("#metadata!", ADDRESS(INDEX($AH$2:$AH$1001,MATCH(ROWS($AF$2:AF708),$AF$2:$AF$1001,0),0), INDEX($AM$1004:$BM$1004,1,MATCH(COLUMNS($AM$1006:AW1006),$AM$1006:$BM$1006,0)))),"Fix")))</f>
        <v xml:space="preserve"> </v>
      </c>
      <c r="M708" s="4" t="str">
        <f ca="1">IF(OR(INDEX($AG$2:$AG$1001,MATCH(ROWS($AF$2:AF708),$AF$2:$AF$1001,0),1)&gt;=100000,INDEX($AM$1005:$BM$1005,1,MATCH(COLUMNS($AM$1006:AX1006),$AM$1006:$BM$1006,0))&gt;=100000), " ",IF(INDEX($AM$2:$BM$1001,MATCH(ROWS($AF$2:AF708),$AF$2:$AF$1001,0),MATCH(COLUMNS($AM$1006:AX1006),$AM$1006:$BM$1006,0)), HYPERLINK("#",""), HYPERLINK(CONCATENATE("#metadata!", ADDRESS(INDEX($AH$2:$AH$1001,MATCH(ROWS($AF$2:AF708),$AF$2:$AF$1001,0),0), INDEX($AM$1004:$BM$1004,1,MATCH(COLUMNS($AM$1006:AX1006),$AM$1006:$BM$1006,0)))),"Fix")))</f>
        <v xml:space="preserve"> </v>
      </c>
      <c r="N708" s="4" t="str">
        <f ca="1">IF(OR(INDEX($AG$2:$AG$1001,MATCH(ROWS($AF$2:AF708),$AF$2:$AF$1001,0),1)&gt;=100000,INDEX($AM$1005:$BM$1005,1,MATCH(COLUMNS($AM$1006:AY1006),$AM$1006:$BM$1006,0))&gt;=100000), " ",IF(INDEX($AM$2:$BM$1001,MATCH(ROWS($AF$2:AF708),$AF$2:$AF$1001,0),MATCH(COLUMNS($AM$1006:AY1006),$AM$1006:$BM$1006,0)), HYPERLINK("#",""), HYPERLINK(CONCATENATE("#metadata!", ADDRESS(INDEX($AH$2:$AH$1001,MATCH(ROWS($AF$2:AF708),$AF$2:$AF$1001,0),0), INDEX($AM$1004:$BM$1004,1,MATCH(COLUMNS($AM$1006:AY1006),$AM$1006:$BM$1006,0)))),"Fix")))</f>
        <v xml:space="preserve"> </v>
      </c>
      <c r="O708" s="4" t="str">
        <f ca="1">IF(OR(INDEX($AG$2:$AG$1001,MATCH(ROWS($AF$2:AF708),$AF$2:$AF$1001,0),1)&gt;=100000,INDEX($AM$1005:$BM$1005,1,MATCH(COLUMNS($AM$1006:AZ1006),$AM$1006:$BM$1006,0))&gt;=100000), " ",IF(INDEX($AM$2:$BM$1001,MATCH(ROWS($AF$2:AF708),$AF$2:$AF$1001,0),MATCH(COLUMNS($AM$1006:AZ1006),$AM$1006:$BM$1006,0)), HYPERLINK("#",""), HYPERLINK(CONCATENATE("#metadata!", ADDRESS(INDEX($AH$2:$AH$1001,MATCH(ROWS($AF$2:AF708),$AF$2:$AF$1001,0),0), INDEX($AM$1004:$BM$1004,1,MATCH(COLUMNS($AM$1006:AZ1006),$AM$1006:$BM$1006,0)))),"Fix")))</f>
        <v xml:space="preserve"> </v>
      </c>
      <c r="P708" s="4" t="str">
        <f ca="1">IF(OR(INDEX($AG$2:$AG$1001,MATCH(ROWS($AF$2:AF708),$AF$2:$AF$1001,0),1)&gt;=100000,INDEX($AM$1005:$BM$1005,1,MATCH(COLUMNS($AM$1006:BA1006),$AM$1006:$BM$1006,0))&gt;=100000), " ",IF(INDEX($AM$2:$BM$1001,MATCH(ROWS($AF$2:AF708),$AF$2:$AF$1001,0),MATCH(COLUMNS($AM$1006:BA1006),$AM$1006:$BM$1006,0)), HYPERLINK("#",""), HYPERLINK(CONCATENATE("#metadata!", ADDRESS(INDEX($AH$2:$AH$1001,MATCH(ROWS($AF$2:AF708),$AF$2:$AF$1001,0),0), INDEX($AM$1004:$BM$1004,1,MATCH(COLUMNS($AM$1006:BA1006),$AM$1006:$BM$1006,0)))),"Fix")))</f>
        <v xml:space="preserve"> </v>
      </c>
      <c r="Q708" s="4" t="str">
        <f ca="1">IF(OR(INDEX($AG$2:$AG$1001,MATCH(ROWS($AF$2:AF708),$AF$2:$AF$1001,0),1)&gt;=100000,INDEX($AM$1005:$BM$1005,1,MATCH(COLUMNS($AM$1006:BB1006),$AM$1006:$BM$1006,0))&gt;=100000), " ",IF(INDEX($AM$2:$BM$1001,MATCH(ROWS($AF$2:AF708),$AF$2:$AF$1001,0),MATCH(COLUMNS($AM$1006:BB1006),$AM$1006:$BM$1006,0)), HYPERLINK("#",""), HYPERLINK(CONCATENATE("#metadata!", ADDRESS(INDEX($AH$2:$AH$1001,MATCH(ROWS($AF$2:AF708),$AF$2:$AF$1001,0),0), INDEX($AM$1004:$BM$1004,1,MATCH(COLUMNS($AM$1006:BB1006),$AM$1006:$BM$1006,0)))),"Fix")))</f>
        <v xml:space="preserve"> </v>
      </c>
      <c r="R708" s="4" t="str">
        <f ca="1">IF(OR(INDEX($AG$2:$AG$1001,MATCH(ROWS($AF$2:AF708),$AF$2:$AF$1001,0),1)&gt;=100000,INDEX($AM$1005:$BM$1005,1,MATCH(COLUMNS($AM$1006:BC1006),$AM$1006:$BM$1006,0))&gt;=100000), " ",IF(INDEX($AM$2:$BM$1001,MATCH(ROWS($AF$2:AF708),$AF$2:$AF$1001,0),MATCH(COLUMNS($AM$1006:BC1006),$AM$1006:$BM$1006,0)), HYPERLINK("#",""), HYPERLINK(CONCATENATE("#metadata!", ADDRESS(INDEX($AH$2:$AH$1001,MATCH(ROWS($AF$2:AF708),$AF$2:$AF$1001,0),0), INDEX($AM$1004:$BM$1004,1,MATCH(COLUMNS($AM$1006:BC1006),$AM$1006:$BM$1006,0)))),"Fix")))</f>
        <v xml:space="preserve"> </v>
      </c>
      <c r="S708" s="4" t="str">
        <f ca="1">IF(OR(INDEX($AG$2:$AG$1001,MATCH(ROWS($AF$2:AF708),$AF$2:$AF$1001,0),1)&gt;=100000,INDEX($AM$1005:$BM$1005,1,MATCH(COLUMNS($AM$1006:BD1006),$AM$1006:$BM$1006,0))&gt;=100000), " ",IF(INDEX($AM$2:$BM$1001,MATCH(ROWS($AF$2:AF708),$AF$2:$AF$1001,0),MATCH(COLUMNS($AM$1006:BD1006),$AM$1006:$BM$1006,0)), HYPERLINK("#",""), HYPERLINK(CONCATENATE("#metadata!", ADDRESS(INDEX($AH$2:$AH$1001,MATCH(ROWS($AF$2:AF708),$AF$2:$AF$1001,0),0), INDEX($AM$1004:$BM$1004,1,MATCH(COLUMNS($AM$1006:BD1006),$AM$1006:$BM$1006,0)))),"Fix")))</f>
        <v xml:space="preserve"> </v>
      </c>
      <c r="T708" s="4" t="str">
        <f ca="1">IF(OR(INDEX($AG$2:$AG$1001,MATCH(ROWS($AF$2:AF708),$AF$2:$AF$1001,0),1)&gt;=100000,INDEX($AM$1005:$BM$1005,1,MATCH(COLUMNS($AM$1006:BE1006),$AM$1006:$BM$1006,0))&gt;=100000), " ",IF(INDEX($AM$2:$BM$1001,MATCH(ROWS($AF$2:AF708),$AF$2:$AF$1001,0),MATCH(COLUMNS($AM$1006:BE1006),$AM$1006:$BM$1006,0)), HYPERLINK("#",""), HYPERLINK(CONCATENATE("#metadata!", ADDRESS(INDEX($AH$2:$AH$1001,MATCH(ROWS($AF$2:AF708),$AF$2:$AF$1001,0),0), INDEX($AM$1004:$BM$1004,1,MATCH(COLUMNS($AM$1006:BE1006),$AM$1006:$BM$1006,0)))),"Fix")))</f>
        <v xml:space="preserve"> </v>
      </c>
      <c r="U708" s="4" t="str">
        <f ca="1">IF(OR(INDEX($AG$2:$AG$1001,MATCH(ROWS($AF$2:AF708),$AF$2:$AF$1001,0),1)&gt;=100000,INDEX($AM$1005:$BM$1005,1,MATCH(COLUMNS($AM$1006:BF1006),$AM$1006:$BM$1006,0))&gt;=100000), " ",IF(INDEX($AM$2:$BM$1001,MATCH(ROWS($AF$2:AF708),$AF$2:$AF$1001,0),MATCH(COLUMNS($AM$1006:BF1006),$AM$1006:$BM$1006,0)), HYPERLINK("#",""), HYPERLINK(CONCATENATE("#metadata!", ADDRESS(INDEX($AH$2:$AH$1001,MATCH(ROWS($AF$2:AF708),$AF$2:$AF$1001,0),0), INDEX($AM$1004:$BM$1004,1,MATCH(COLUMNS($AM$1006:BF1006),$AM$1006:$BM$1006,0)))),"Fix")))</f>
        <v xml:space="preserve"> </v>
      </c>
      <c r="V708" s="4" t="str">
        <f ca="1">IF(OR(INDEX($AG$2:$AG$1001,MATCH(ROWS($AF$2:AF708),$AF$2:$AF$1001,0),1)&gt;=100000,INDEX($AM$1005:$BM$1005,1,MATCH(COLUMNS($AM$1006:BG1006),$AM$1006:$BM$1006,0))&gt;=100000), " ",IF(INDEX($AM$2:$BM$1001,MATCH(ROWS($AF$2:AF708),$AF$2:$AF$1001,0),MATCH(COLUMNS($AM$1006:BG1006),$AM$1006:$BM$1006,0)), HYPERLINK("#",""), HYPERLINK(CONCATENATE("#metadata!", ADDRESS(INDEX($AH$2:$AH$1001,MATCH(ROWS($AF$2:AF708),$AF$2:$AF$1001,0),0), INDEX($AM$1004:$BM$1004,1,MATCH(COLUMNS($AM$1006:BG1006),$AM$1006:$BM$1006,0)))),"Fix")))</f>
        <v xml:space="preserve"> </v>
      </c>
      <c r="W708" s="4" t="str">
        <f ca="1">IF(OR(INDEX($AG$2:$AG$1001,MATCH(ROWS($AF$2:AF708),$AF$2:$AF$1001,0),1)&gt;=100000,INDEX($AM$1005:$BM$1005,1,MATCH(COLUMNS($AM$1006:BH1006),$AM$1006:$BM$1006,0))&gt;=100000), " ",IF(INDEX($AM$2:$BM$1001,MATCH(ROWS($AF$2:AF708),$AF$2:$AF$1001,0),MATCH(COLUMNS($AM$1006:BH1006),$AM$1006:$BM$1006,0)), HYPERLINK("#",""), HYPERLINK(CONCATENATE("#metadata!", ADDRESS(INDEX($AH$2:$AH$1001,MATCH(ROWS($AF$2:AF708),$AF$2:$AF$1001,0),0), INDEX($AM$1004:$BM$1004,1,MATCH(COLUMNS($AM$1006:BH1006),$AM$1006:$BM$1006,0)))),"Fix")))</f>
        <v xml:space="preserve"> </v>
      </c>
      <c r="X708" s="4" t="str">
        <f ca="1">IF(OR(INDEX($AG$2:$AG$1001,MATCH(ROWS($AF$2:AF708),$AF$2:$AF$1001,0),1)&gt;=100000,INDEX($AM$1005:$BM$1005,1,MATCH(COLUMNS($AM$1006:BI1006),$AM$1006:$BM$1006,0))&gt;=100000), " ",IF(INDEX($AM$2:$BM$1001,MATCH(ROWS($AF$2:AF708),$AF$2:$AF$1001,0),MATCH(COLUMNS($AM$1006:BI1006),$AM$1006:$BM$1006,0)), HYPERLINK("#",""), HYPERLINK(CONCATENATE("#metadata!", ADDRESS(INDEX($AH$2:$AH$1001,MATCH(ROWS($AF$2:AF708),$AF$2:$AF$1001,0),0), INDEX($AM$1004:$BM$1004,1,MATCH(COLUMNS($AM$1006:BI1006),$AM$1006:$BM$1006,0)))),"Fix")))</f>
        <v xml:space="preserve"> </v>
      </c>
      <c r="Y708" s="4" t="str">
        <f ca="1">IF(OR(INDEX($AG$2:$AG$1001,MATCH(ROWS($AF$2:AF708),$AF$2:$AF$1001,0),1)&gt;=100000,INDEX($AM$1005:$BM$1005,1,MATCH(COLUMNS($AM$1006:BJ1006),$AM$1006:$BM$1006,0))&gt;=100000), " ",IF(INDEX($AM$2:$BM$1001,MATCH(ROWS($AF$2:AF708),$AF$2:$AF$1001,0),MATCH(COLUMNS($AM$1006:BJ1006),$AM$1006:$BM$1006,0)), HYPERLINK("#",""), HYPERLINK(CONCATENATE("#metadata!", ADDRESS(INDEX($AH$2:$AH$1001,MATCH(ROWS($AF$2:AF708),$AF$2:$AF$1001,0),0), INDEX($AM$1004:$BM$1004,1,MATCH(COLUMNS($AM$1006:BJ1006),$AM$1006:$BM$1006,0)))),"Fix")))</f>
        <v xml:space="preserve"> </v>
      </c>
      <c r="Z708" s="4" t="str">
        <f ca="1">IF(OR(INDEX($AG$2:$AG$1001,MATCH(ROWS($AF$2:AF708),$AF$2:$AF$1001,0),1)&gt;=100000,INDEX($AM$1005:$BM$1005,1,MATCH(COLUMNS($AM$1006:BK1006),$AM$1006:$BM$1006,0))&gt;=100000), " ",IF(INDEX($AM$2:$BM$1001,MATCH(ROWS($AF$2:AF708),$AF$2:$AF$1001,0),MATCH(COLUMNS($AM$1006:BK1006),$AM$1006:$BM$1006,0)), HYPERLINK("#",""), HYPERLINK(CONCATENATE("#metadata!", ADDRESS(INDEX($AH$2:$AH$1001,MATCH(ROWS($AF$2:AF708),$AF$2:$AF$1001,0),0), INDEX($AM$1004:$BM$1004,1,MATCH(COLUMNS($AM$1006:BK1006),$AM$1006:$BM$1006,0)))),"Fix")))</f>
        <v xml:space="preserve"> </v>
      </c>
      <c r="AA708" s="4" t="str">
        <f ca="1">IF(OR(INDEX($AG$2:$AG$1001,MATCH(ROWS($AF$2:AF708),$AF$2:$AF$1001,0),1)&gt;=100000,INDEX($AM$1005:$BM$1005,1,MATCH(COLUMNS($AM$1006:BL1006),$AM$1006:$BM$1006,0))&gt;=100000), " ",IF(INDEX($AM$2:$BM$1001,MATCH(ROWS($AF$2:AF708),$AF$2:$AF$1001,0),MATCH(COLUMNS($AM$1006:BL1006),$AM$1006:$BM$1006,0)), HYPERLINK("#",""), HYPERLINK(CONCATENATE("#metadata!", ADDRESS(INDEX($AH$2:$AH$1001,MATCH(ROWS($AF$2:AF708),$AF$2:$AF$1001,0),0), INDEX($AM$1004:$BM$1004,1,MATCH(COLUMNS($AM$1006:BL1006),$AM$1006:$BM$1006,0)))),"Fix")))</f>
        <v xml:space="preserve"> </v>
      </c>
      <c r="AB708" s="4" t="str">
        <f ca="1">IF(OR(INDEX($AG$2:$AG$1001,MATCH(ROWS($AF$2:AF708),$AF$2:$AF$1001,0),1)&gt;=100000,INDEX($AM$1005:$BM$1005,1,MATCH(COLUMNS($AM$1006:BM1006),$AM$1006:$BM$1006,0))&gt;=100000), " ",IF(INDEX($AM$2:$BM$1001,MATCH(ROWS($AF$2:AF708),$AF$2:$AF$1001,0),MATCH(COLUMNS($AM$1006:BM1006),$AM$1006:$BM$1006,0)), HYPERLINK("#",""), HYPERLINK(CONCATENATE("#metadata!", ADDRESS(INDEX($AH$2:$AH$1001,MATCH(ROWS($AF$2:AF708),$AF$2:$AF$1001,0),0), INDEX($AM$1004:$BM$1004,1,MATCH(COLUMNS($AM$1006:BM1006),$AM$1006:$BM$1006,0)))),"Fix")))</f>
        <v xml:space="preserve"> </v>
      </c>
      <c r="AF708">
        <v>707</v>
      </c>
      <c r="AG708">
        <v>100708</v>
      </c>
      <c r="AH708">
        <v>708</v>
      </c>
      <c r="AI708" t="b">
        <f t="shared" si="11"/>
        <v>1</v>
      </c>
      <c r="AJ708" t="b">
        <f>COUNTBLANK(metadata!B708:AB708)=COLUMNS(metadata!B708:AB708)</f>
        <v>1</v>
      </c>
      <c r="AK708" t="str">
        <v/>
      </c>
      <c r="AM708" t="b">
        <f ca="1">AND(IF(metadata!B708="",FALSE,TRUE),COUNTIF(metadata!B:B, metadata!B708) = 1,NOT(ISERROR(SUMPRODUCT(SEARCH(MID(metadata!B708,ROW(INDIRECT("1:"&amp;LEN(metadata!B708))), 1),"0123456789abcdefghijklmnopqrstuvwxyzABCDEFGHIJKLMNOPQRSTUVWXYZ.")))))</f>
        <v>0</v>
      </c>
      <c r="AN708" t="b">
        <f ca="1">OR(AND(IF(metadata!C708="",FALSE,TRUE),OR(EXACT(metadata!C708,"missing: not collected"),EXACT(metadata!C708,"missing: not provided"),EXACT(metadata!C708,"missing: restricted access"))),AND(IF(metadata!C708="",FALSE,TRUE),AND(AND(IFERROR(INT(LEFT(metadata!C708,4))&gt;1900,FALSE),IFERROR(INT(LEFT(metadata!C708,4))&lt;=YEAR(NOW()),FALSE)), OR(MID(metadata!C708,5,1)="", AND(AND(MID(metadata!C708,5,1)="-",IFERROR(INT(MID(metadata!C708,6,1))&gt;=0,FALSE),IFERROR(INT(MID(metadata!C708,6,1))&lt;=1,FALSE),NOT(MID(metadata!C708,7,1)=""),IFERROR(INT(MID(metadata!C708,6,2))&gt;=1,FALSE),IFERROR(INT(MID(metadata!C708,6,2))&lt;=12,FALSE)), OR(MID(metadata!C708,8,1)="", AND(AND(MID(metadata!C708,8,1)="-",IFERROR(INT(MID(metadata!C708,9,1))&gt;=0,FALSE),IFERROR(INT(MID(metadata!C708,9,1))&lt;=3,FALSE),NOT(MID(metadata!C708,10,1)=""),IFERROR(INT(MID(metadata!C708,9,2))&gt;=1,FALSE),IFERROR(INT(MID(metadata!C708,9,2))&lt;=31,FALSE)), OR(MID(metadata!C708,11,1)="", AND(AND(MID(metadata!C708,11,1)=" ",IFERROR(INT(MID(metadata!C708,12,1))&gt;=0,FALSE),IFERROR(INT(MID(metadata!C708,12,1))&lt;=2,FALSE),NOT(MID(metadata!C708,13,1)=""),IFERROR(INT(MID(metadata!C708,12,2))&gt;=0,FALSE),IFERROR(INT(MID(metadata!C708,12,2))&lt;=23,FALSE)), OR(MID(metadata!C708,14,1)="", AND(AND(MID(metadata!C708,14,1)=":",IFERROR(INT(MID(metadata!C708,15,1))&gt;=0,FALSE),IFERROR(INT(MID(metadata!C708,15,1))&lt;=5,FALSE),NOT(MID(metadata!C708,16,1)=""),IFERROR(INT(MID(metadata!C708,15,2))&gt;=0,FALSE),IFERROR(INT(MID(metadata!C708,15,2))&lt;=59,FALSE)), OR(MID(metadata!C708,17,1)="", AND(AND(MID(metadata!C708,17,1)=":",IFERROR(INT(MID(metadata!C708,18,1))&gt;=0,FALSE),IFERROR(INT(MID(metadata!C708,18,1))&lt;=5,FALSE),NOT(MID(metadata!C708,19,1)=""),IFERROR(INT(MID(metadata!C708,18,2))&gt;=0,FALSE),IFERROR(INT(MID(metadata!C708,18,2))&lt;=59,FALSE)), LEN(metadata!C708)&lt;=19)))))))))))))</f>
        <v>0</v>
      </c>
      <c r="AO708" t="b">
        <f>AND(IF(metadata!D708="",FALSE,TRUE),EXACT(metadata!D708,"Not applicable"))</f>
        <v>0</v>
      </c>
      <c r="AP708" t="b">
        <f>IF(metadata!E708="",FALSE,TRUE)</f>
        <v>0</v>
      </c>
      <c r="AQ708" t="b">
        <f>OR(AND(IF(metadata!F708="",FALSE,TRUE),OR(EXACT(metadata!F708,"missing: not collected"),EXACT(metadata!F708,"missing: not provided"))),AND(IF(metadata!F708="",FALSE,TRUE),OR(EXACT(metadata!F708,"TRUE"),EXACT(metadata!F708,"FALSE"))))</f>
        <v>0</v>
      </c>
      <c r="AR708" t="b">
        <f>OR(AND(IF(metadata!G708="",FALSE,TRUE),OR(EXACT(metadata!G708,"missing: not collected"),EXACT(metadata!G708,"missing: not provided"),EXACT(metadata!G708,"missing: restricted access"))),AND(IF(metadata!G708="",FALSE,ISNUMBER(VALUE(metadata!G708))),metadata!G708&gt;=-413))</f>
        <v>0</v>
      </c>
      <c r="AS708" t="b">
        <f>AND(IF(metadata!H708="",FALSE,TRUE),EXACT(metadata!H708,"meters"))</f>
        <v>0</v>
      </c>
      <c r="AT708" t="b">
        <f>AND(IF(metadata!I708="",FALSE,TRUE),OR(EXACT(metadata!I708,"Host-associated"),EXACT(metadata!I708,"Free-living")))</f>
        <v>0</v>
      </c>
      <c r="AU708" t="b">
        <f>AND(IF(metadata!J708="",FALSE,TRUE),OR(EXACT(metadata!J708,"Animal"),EXACT(metadata!J708,"Fungus"),EXACT(metadata!J708,"Plant"),EXACT(metadata!J708,"Saline"),EXACT(metadata!J708,"Non-saline")))</f>
        <v>0</v>
      </c>
      <c r="AV708" t="b">
        <f>AND(IF(metadata!K708="",FALSE,TRUE),OR(EXACT(metadata!K708,"Plant secretion"),EXACT(metadata!K708,"Plant rhizosphere"),EXACT(metadata!K708,"Plant surface"),EXACT(metadata!K708,"Plant corpus"),EXACT(metadata!K708,"Fungus surface"),EXACT(metadata!K708,"Fungus corpus"),EXACT(metadata!K708,"Animal surface"),EXACT(metadata!K708,"Animal proximal gut"),EXACT(metadata!K708,"Animal corpus"),EXACT(metadata!K708,"Animal distal gut"),EXACT(metadata!K708,"Animal secretion"),EXACT(metadata!K708,"Sub-surface (non-saline)"),EXACT(metadata!K708,"Surface (non-saline)"),EXACT(metadata!K708,"Water (non-saline)"),EXACT(metadata!K708,"Soil (non-saline)"),EXACT(metadata!K708,"Aerosol (non-saline)"),EXACT(metadata!K708,"Sediment (non-saline)"),EXACT(metadata!K708,"Surface (saline)"),EXACT(metadata!K708,"Water (saline)"),EXACT(metadata!K708,"Hypersaline (saline)"),EXACT(metadata!K708,"Aerosol (saline)"),EXACT(metadata!K708,"Sediment (saline)")))</f>
        <v>0</v>
      </c>
      <c r="AW708" t="b">
        <f>IF(metadata!L708="",FALSE,TRUE)</f>
        <v>0</v>
      </c>
      <c r="AX708" t="b">
        <f>IF(metadata!M708="",FALSE,TRUE)</f>
        <v>0</v>
      </c>
      <c r="AY708" t="b">
        <f>IF(metadata!N708="",FALSE,TRUE)</f>
        <v>0</v>
      </c>
      <c r="AZ708" t="b">
        <f>OR(AND(IF(metadata!O708="",FALSE,TRUE),OR(EXACT(metadata!O708,"missing: not collected"),EXACT(metadata!O708,"missing: not provided"),EXACT(metadata!O708,"missing: restricted access"))),AND(IF(metadata!O708="",FALSE,TRUE),OR(EXACT(metadata!O708,"air"),EXACT(metadata!O708,"built environment"),EXACT(metadata!O708,"host-associated"),EXACT(metadata!O708,"human-associated"),EXACT(metadata!O708,"human-skin"),EXACT(metadata!O708,"human-oral"),EXACT(metadata!O708,"human-gut"),EXACT(metadata!O708,"human-vaginal"),EXACT(metadata!O708,"microbial mat/biofilm"),EXACT(metadata!O708,"misc environment"),EXACT(metadata!O708,"plant-associated"),EXACT(metadata!O708,"sediment"),EXACT(metadata!O708,"soil"),EXACT(metadata!O708,"wastewater/sludge"),EXACT(metadata!O708,"water"))))</f>
        <v>0</v>
      </c>
      <c r="BA708" t="b">
        <f>IF(metadata!P708="",FALSE,TRUE)</f>
        <v>0</v>
      </c>
      <c r="BB708" t="b">
        <f>IF(metadata!Q708="",FALSE,TRUE)</f>
        <v>0</v>
      </c>
      <c r="BC708" t="b">
        <f>OR(AND(IF(metadata!R708="",FALSE,TRUE),OR(EXACT(metadata!R708,"missing: not collected"),EXACT(metadata!R708,"missing: not provided"),EXACT(metadata!R708,"missing: restricted access"))),AND(IF(metadata!R708="",FALSE,ISNUMBER(VALUE(metadata!R708))),metadata!R708&gt;=-90,metadata!R708&lt;=90))</f>
        <v>0</v>
      </c>
      <c r="BD708" t="b">
        <f>AND(IF(metadata!S708="",FALSE,TRUE),EXACT(metadata!S708,"Decimal degrees"))</f>
        <v>0</v>
      </c>
      <c r="BE708" t="b">
        <f>OR(AND(IF(metadata!T708="",FALSE,TRUE),OR(EXACT(metadata!T708,"missing: not collected"),EXACT(metadata!T708,"missing: not provided"),EXACT(metadata!T708,"missing: restricted access"))),AND(IF(metadata!T708="",FALSE,ISNUMBER(VALUE(metadata!T708))),metadata!T708&gt;=-180,metadata!T708&lt;=180))</f>
        <v>0</v>
      </c>
      <c r="BF708" t="b">
        <f>AND(IF(metadata!U708="",FALSE,TRUE),EXACT(metadata!U708,"Decimal degrees"))</f>
        <v>0</v>
      </c>
      <c r="BG708" t="b">
        <f>IF(metadata!V708="",FALSE,TRUE)</f>
        <v>0</v>
      </c>
      <c r="BH708" t="b">
        <f>OR(AND(IF(metadata!W708="",FALSE,TRUE),OR(EXACT(metadata!W708,"missing: not collected"),EXACT(metadata!W708,"missing: not provided"),EXACT(metadata!W708,"missing: restricted access"))),AND(IF(metadata!W708="",FALSE,TRUE),OR(EXACT(metadata!W708,"TRUE"),EXACT(metadata!W708,"FALSE"))))</f>
        <v>0</v>
      </c>
      <c r="BI708" t="b">
        <f>AND(IF(metadata!X708="",FALSE,TRUE),EXACT(metadata!X708,"other"))</f>
        <v>0</v>
      </c>
      <c r="BJ708" t="b">
        <f>IF(metadata!Y708="",FALSE,TRUE)</f>
        <v>0</v>
      </c>
      <c r="BK708" t="b">
        <f>OR(AND(IF(metadata!Z708="",FALSE,TRUE),OR(EXACT(metadata!Z708,"missing: not collected"),EXACT(metadata!Z708,"missing: not provided"))),AND(IF(metadata!Z708="",FALSE,IF(ISERROR(INT(metadata!Z708)),FALSE,INT(metadata!Z708)=metadata!Z708)),metadata!Z708&gt;0))</f>
        <v>0</v>
      </c>
      <c r="BL708" t="b">
        <f>AND(IF(metadata!AA708="",FALSE,TRUE),EXACT(metadata!AA708,"Not applicable"))</f>
        <v>0</v>
      </c>
      <c r="BM708" t="b">
        <f>IF(metadata!AB708="",FALSE,TRUE)</f>
        <v>0</v>
      </c>
    </row>
    <row r="709" spans="1:65" x14ac:dyDescent="0.2">
      <c r="A709" s="5" t="str">
        <f ca="1">IF(B709=" "," ",HYPERLINK(CONCATENATE("#metadata!",ADDRESS(INDEX($AH$2:$AH$1001,MATCH(ROWS($AF$2:AF709),$AF$2:$AF$1001,0),0),1)),INDEX($AK$2:$AK$1001,MATCH(ROWS($AF$2:AF709),$AF$2:$AF$1001,0),0)))</f>
        <v xml:space="preserve"> </v>
      </c>
      <c r="B709" s="4" t="str">
        <f ca="1">IF(OR(INDEX($AG$2:$AG$1001,MATCH(ROWS($AF$2:AF709),$AF$2:$AF$1001,0),1)&gt;=100000,INDEX($AM$1005:$BM$1005,1,MATCH(COLUMNS($AM$1006:AM1006),$AM$1006:$BM$1006,0))&gt;=100000), " ",IF(INDEX($AM$2:$BM$1001,MATCH(ROWS($AF$2:AF709),$AF$2:$AF$1001,0),MATCH(COLUMNS($AM$1006:AM1006),$AM$1006:$BM$1006,0)), HYPERLINK("#",""), HYPERLINK(CONCATENATE("#metadata!", ADDRESS(INDEX($AH$2:$AH$1001,MATCH(ROWS($AF$2:AF709),$AF$2:$AF$1001,0),0), INDEX($AM$1004:$BM$1004,1,MATCH(COLUMNS($AM$1006:AM1006),$AM$1006:$BM$1006,0)))),"Fix")))</f>
        <v xml:space="preserve"> </v>
      </c>
      <c r="C709" s="4" t="str">
        <f ca="1">IF(OR(INDEX($AG$2:$AG$1001,MATCH(ROWS($AF$2:AF709),$AF$2:$AF$1001,0),1)&gt;=100000,INDEX($AM$1005:$BM$1005,1,MATCH(COLUMNS($AM$1006:AN1006),$AM$1006:$BM$1006,0))&gt;=100000), " ",IF(INDEX($AM$2:$BM$1001,MATCH(ROWS($AF$2:AF709),$AF$2:$AF$1001,0),MATCH(COLUMNS($AM$1006:AN1006),$AM$1006:$BM$1006,0)), HYPERLINK("#",""), HYPERLINK(CONCATENATE("#metadata!", ADDRESS(INDEX($AH$2:$AH$1001,MATCH(ROWS($AF$2:AF709),$AF$2:$AF$1001,0),0), INDEX($AM$1004:$BM$1004,1,MATCH(COLUMNS($AM$1006:AN1006),$AM$1006:$BM$1006,0)))),"Fix")))</f>
        <v xml:space="preserve"> </v>
      </c>
      <c r="D709" s="4" t="str">
        <f ca="1">IF(OR(INDEX($AG$2:$AG$1001,MATCH(ROWS($AF$2:AF709),$AF$2:$AF$1001,0),1)&gt;=100000,INDEX($AM$1005:$BM$1005,1,MATCH(COLUMNS($AM$1006:AO1006),$AM$1006:$BM$1006,0))&gt;=100000), " ",IF(INDEX($AM$2:$BM$1001,MATCH(ROWS($AF$2:AF709),$AF$2:$AF$1001,0),MATCH(COLUMNS($AM$1006:AO1006),$AM$1006:$BM$1006,0)), HYPERLINK("#",""), HYPERLINK(CONCATENATE("#metadata!", ADDRESS(INDEX($AH$2:$AH$1001,MATCH(ROWS($AF$2:AF709),$AF$2:$AF$1001,0),0), INDEX($AM$1004:$BM$1004,1,MATCH(COLUMNS($AM$1006:AO1006),$AM$1006:$BM$1006,0)))),"Fix")))</f>
        <v xml:space="preserve"> </v>
      </c>
      <c r="E709" s="4" t="str">
        <f ca="1">IF(OR(INDEX($AG$2:$AG$1001,MATCH(ROWS($AF$2:AF709),$AF$2:$AF$1001,0),1)&gt;=100000,INDEX($AM$1005:$BM$1005,1,MATCH(COLUMNS($AM$1006:AP1006),$AM$1006:$BM$1006,0))&gt;=100000), " ",IF(INDEX($AM$2:$BM$1001,MATCH(ROWS($AF$2:AF709),$AF$2:$AF$1001,0),MATCH(COLUMNS($AM$1006:AP1006),$AM$1006:$BM$1006,0)), HYPERLINK("#",""), HYPERLINK(CONCATENATE("#metadata!", ADDRESS(INDEX($AH$2:$AH$1001,MATCH(ROWS($AF$2:AF709),$AF$2:$AF$1001,0),0), INDEX($AM$1004:$BM$1004,1,MATCH(COLUMNS($AM$1006:AP1006),$AM$1006:$BM$1006,0)))),"Fix")))</f>
        <v xml:space="preserve"> </v>
      </c>
      <c r="F709" s="4" t="str">
        <f ca="1">IF(OR(INDEX($AG$2:$AG$1001,MATCH(ROWS($AF$2:AF709),$AF$2:$AF$1001,0),1)&gt;=100000,INDEX($AM$1005:$BM$1005,1,MATCH(COLUMNS($AM$1006:AQ1006),$AM$1006:$BM$1006,0))&gt;=100000), " ",IF(INDEX($AM$2:$BM$1001,MATCH(ROWS($AF$2:AF709),$AF$2:$AF$1001,0),MATCH(COLUMNS($AM$1006:AQ1006),$AM$1006:$BM$1006,0)), HYPERLINK("#",""), HYPERLINK(CONCATENATE("#metadata!", ADDRESS(INDEX($AH$2:$AH$1001,MATCH(ROWS($AF$2:AF709),$AF$2:$AF$1001,0),0), INDEX($AM$1004:$BM$1004,1,MATCH(COLUMNS($AM$1006:AQ1006),$AM$1006:$BM$1006,0)))),"Fix")))</f>
        <v xml:space="preserve"> </v>
      </c>
      <c r="G709" s="4" t="str">
        <f ca="1">IF(OR(INDEX($AG$2:$AG$1001,MATCH(ROWS($AF$2:AF709),$AF$2:$AF$1001,0),1)&gt;=100000,INDEX($AM$1005:$BM$1005,1,MATCH(COLUMNS($AM$1006:AR1006),$AM$1006:$BM$1006,0))&gt;=100000), " ",IF(INDEX($AM$2:$BM$1001,MATCH(ROWS($AF$2:AF709),$AF$2:$AF$1001,0),MATCH(COLUMNS($AM$1006:AR1006),$AM$1006:$BM$1006,0)), HYPERLINK("#",""), HYPERLINK(CONCATENATE("#metadata!", ADDRESS(INDEX($AH$2:$AH$1001,MATCH(ROWS($AF$2:AF709),$AF$2:$AF$1001,0),0), INDEX($AM$1004:$BM$1004,1,MATCH(COLUMNS($AM$1006:AR1006),$AM$1006:$BM$1006,0)))),"Fix")))</f>
        <v xml:space="preserve"> </v>
      </c>
      <c r="H709" s="4" t="str">
        <f ca="1">IF(OR(INDEX($AG$2:$AG$1001,MATCH(ROWS($AF$2:AF709),$AF$2:$AF$1001,0),1)&gt;=100000,INDEX($AM$1005:$BM$1005,1,MATCH(COLUMNS($AM$1006:AS1006),$AM$1006:$BM$1006,0))&gt;=100000), " ",IF(INDEX($AM$2:$BM$1001,MATCH(ROWS($AF$2:AF709),$AF$2:$AF$1001,0),MATCH(COLUMNS($AM$1006:AS1006),$AM$1006:$BM$1006,0)), HYPERLINK("#",""), HYPERLINK(CONCATENATE("#metadata!", ADDRESS(INDEX($AH$2:$AH$1001,MATCH(ROWS($AF$2:AF709),$AF$2:$AF$1001,0),0), INDEX($AM$1004:$BM$1004,1,MATCH(COLUMNS($AM$1006:AS1006),$AM$1006:$BM$1006,0)))),"Fix")))</f>
        <v xml:space="preserve"> </v>
      </c>
      <c r="I709" s="4" t="str">
        <f ca="1">IF(OR(INDEX($AG$2:$AG$1001,MATCH(ROWS($AF$2:AF709),$AF$2:$AF$1001,0),1)&gt;=100000,INDEX($AM$1005:$BM$1005,1,MATCH(COLUMNS($AM$1006:AT1006),$AM$1006:$BM$1006,0))&gt;=100000), " ",IF(INDEX($AM$2:$BM$1001,MATCH(ROWS($AF$2:AF709),$AF$2:$AF$1001,0),MATCH(COLUMNS($AM$1006:AT1006),$AM$1006:$BM$1006,0)), HYPERLINK("#",""), HYPERLINK(CONCATENATE("#metadata!", ADDRESS(INDEX($AH$2:$AH$1001,MATCH(ROWS($AF$2:AF709),$AF$2:$AF$1001,0),0), INDEX($AM$1004:$BM$1004,1,MATCH(COLUMNS($AM$1006:AT1006),$AM$1006:$BM$1006,0)))),"Fix")))</f>
        <v xml:space="preserve"> </v>
      </c>
      <c r="J709" s="4" t="str">
        <f ca="1">IF(OR(INDEX($AG$2:$AG$1001,MATCH(ROWS($AF$2:AF709),$AF$2:$AF$1001,0),1)&gt;=100000,INDEX($AM$1005:$BM$1005,1,MATCH(COLUMNS($AM$1006:AU1006),$AM$1006:$BM$1006,0))&gt;=100000), " ",IF(INDEX($AM$2:$BM$1001,MATCH(ROWS($AF$2:AF709),$AF$2:$AF$1001,0),MATCH(COLUMNS($AM$1006:AU1006),$AM$1006:$BM$1006,0)), HYPERLINK("#",""), HYPERLINK(CONCATENATE("#metadata!", ADDRESS(INDEX($AH$2:$AH$1001,MATCH(ROWS($AF$2:AF709),$AF$2:$AF$1001,0),0), INDEX($AM$1004:$BM$1004,1,MATCH(COLUMNS($AM$1006:AU1006),$AM$1006:$BM$1006,0)))),"Fix")))</f>
        <v xml:space="preserve"> </v>
      </c>
      <c r="K709" s="4" t="str">
        <f ca="1">IF(OR(INDEX($AG$2:$AG$1001,MATCH(ROWS($AF$2:AF709),$AF$2:$AF$1001,0),1)&gt;=100000,INDEX($AM$1005:$BM$1005,1,MATCH(COLUMNS($AM$1006:AV1006),$AM$1006:$BM$1006,0))&gt;=100000), " ",IF(INDEX($AM$2:$BM$1001,MATCH(ROWS($AF$2:AF709),$AF$2:$AF$1001,0),MATCH(COLUMNS($AM$1006:AV1006),$AM$1006:$BM$1006,0)), HYPERLINK("#",""), HYPERLINK(CONCATENATE("#metadata!", ADDRESS(INDEX($AH$2:$AH$1001,MATCH(ROWS($AF$2:AF709),$AF$2:$AF$1001,0),0), INDEX($AM$1004:$BM$1004,1,MATCH(COLUMNS($AM$1006:AV1006),$AM$1006:$BM$1006,0)))),"Fix")))</f>
        <v xml:space="preserve"> </v>
      </c>
      <c r="L709" s="4" t="str">
        <f ca="1">IF(OR(INDEX($AG$2:$AG$1001,MATCH(ROWS($AF$2:AF709),$AF$2:$AF$1001,0),1)&gt;=100000,INDEX($AM$1005:$BM$1005,1,MATCH(COLUMNS($AM$1006:AW1006),$AM$1006:$BM$1006,0))&gt;=100000), " ",IF(INDEX($AM$2:$BM$1001,MATCH(ROWS($AF$2:AF709),$AF$2:$AF$1001,0),MATCH(COLUMNS($AM$1006:AW1006),$AM$1006:$BM$1006,0)), HYPERLINK("#",""), HYPERLINK(CONCATENATE("#metadata!", ADDRESS(INDEX($AH$2:$AH$1001,MATCH(ROWS($AF$2:AF709),$AF$2:$AF$1001,0),0), INDEX($AM$1004:$BM$1004,1,MATCH(COLUMNS($AM$1006:AW1006),$AM$1006:$BM$1006,0)))),"Fix")))</f>
        <v xml:space="preserve"> </v>
      </c>
      <c r="M709" s="4" t="str">
        <f ca="1">IF(OR(INDEX($AG$2:$AG$1001,MATCH(ROWS($AF$2:AF709),$AF$2:$AF$1001,0),1)&gt;=100000,INDEX($AM$1005:$BM$1005,1,MATCH(COLUMNS($AM$1006:AX1006),$AM$1006:$BM$1006,0))&gt;=100000), " ",IF(INDEX($AM$2:$BM$1001,MATCH(ROWS($AF$2:AF709),$AF$2:$AF$1001,0),MATCH(COLUMNS($AM$1006:AX1006),$AM$1006:$BM$1006,0)), HYPERLINK("#",""), HYPERLINK(CONCATENATE("#metadata!", ADDRESS(INDEX($AH$2:$AH$1001,MATCH(ROWS($AF$2:AF709),$AF$2:$AF$1001,0),0), INDEX($AM$1004:$BM$1004,1,MATCH(COLUMNS($AM$1006:AX1006),$AM$1006:$BM$1006,0)))),"Fix")))</f>
        <v xml:space="preserve"> </v>
      </c>
      <c r="N709" s="4" t="str">
        <f ca="1">IF(OR(INDEX($AG$2:$AG$1001,MATCH(ROWS($AF$2:AF709),$AF$2:$AF$1001,0),1)&gt;=100000,INDEX($AM$1005:$BM$1005,1,MATCH(COLUMNS($AM$1006:AY1006),$AM$1006:$BM$1006,0))&gt;=100000), " ",IF(INDEX($AM$2:$BM$1001,MATCH(ROWS($AF$2:AF709),$AF$2:$AF$1001,0),MATCH(COLUMNS($AM$1006:AY1006),$AM$1006:$BM$1006,0)), HYPERLINK("#",""), HYPERLINK(CONCATENATE("#metadata!", ADDRESS(INDEX($AH$2:$AH$1001,MATCH(ROWS($AF$2:AF709),$AF$2:$AF$1001,0),0), INDEX($AM$1004:$BM$1004,1,MATCH(COLUMNS($AM$1006:AY1006),$AM$1006:$BM$1006,0)))),"Fix")))</f>
        <v xml:space="preserve"> </v>
      </c>
      <c r="O709" s="4" t="str">
        <f ca="1">IF(OR(INDEX($AG$2:$AG$1001,MATCH(ROWS($AF$2:AF709),$AF$2:$AF$1001,0),1)&gt;=100000,INDEX($AM$1005:$BM$1005,1,MATCH(COLUMNS($AM$1006:AZ1006),$AM$1006:$BM$1006,0))&gt;=100000), " ",IF(INDEX($AM$2:$BM$1001,MATCH(ROWS($AF$2:AF709),$AF$2:$AF$1001,0),MATCH(COLUMNS($AM$1006:AZ1006),$AM$1006:$BM$1006,0)), HYPERLINK("#",""), HYPERLINK(CONCATENATE("#metadata!", ADDRESS(INDEX($AH$2:$AH$1001,MATCH(ROWS($AF$2:AF709),$AF$2:$AF$1001,0),0), INDEX($AM$1004:$BM$1004,1,MATCH(COLUMNS($AM$1006:AZ1006),$AM$1006:$BM$1006,0)))),"Fix")))</f>
        <v xml:space="preserve"> </v>
      </c>
      <c r="P709" s="4" t="str">
        <f ca="1">IF(OR(INDEX($AG$2:$AG$1001,MATCH(ROWS($AF$2:AF709),$AF$2:$AF$1001,0),1)&gt;=100000,INDEX($AM$1005:$BM$1005,1,MATCH(COLUMNS($AM$1006:BA1006),$AM$1006:$BM$1006,0))&gt;=100000), " ",IF(INDEX($AM$2:$BM$1001,MATCH(ROWS($AF$2:AF709),$AF$2:$AF$1001,0),MATCH(COLUMNS($AM$1006:BA1006),$AM$1006:$BM$1006,0)), HYPERLINK("#",""), HYPERLINK(CONCATENATE("#metadata!", ADDRESS(INDEX($AH$2:$AH$1001,MATCH(ROWS($AF$2:AF709),$AF$2:$AF$1001,0),0), INDEX($AM$1004:$BM$1004,1,MATCH(COLUMNS($AM$1006:BA1006),$AM$1006:$BM$1006,0)))),"Fix")))</f>
        <v xml:space="preserve"> </v>
      </c>
      <c r="Q709" s="4" t="str">
        <f ca="1">IF(OR(INDEX($AG$2:$AG$1001,MATCH(ROWS($AF$2:AF709),$AF$2:$AF$1001,0),1)&gt;=100000,INDEX($AM$1005:$BM$1005,1,MATCH(COLUMNS($AM$1006:BB1006),$AM$1006:$BM$1006,0))&gt;=100000), " ",IF(INDEX($AM$2:$BM$1001,MATCH(ROWS($AF$2:AF709),$AF$2:$AF$1001,0),MATCH(COLUMNS($AM$1006:BB1006),$AM$1006:$BM$1006,0)), HYPERLINK("#",""), HYPERLINK(CONCATENATE("#metadata!", ADDRESS(INDEX($AH$2:$AH$1001,MATCH(ROWS($AF$2:AF709),$AF$2:$AF$1001,0),0), INDEX($AM$1004:$BM$1004,1,MATCH(COLUMNS($AM$1006:BB1006),$AM$1006:$BM$1006,0)))),"Fix")))</f>
        <v xml:space="preserve"> </v>
      </c>
      <c r="R709" s="4" t="str">
        <f ca="1">IF(OR(INDEX($AG$2:$AG$1001,MATCH(ROWS($AF$2:AF709),$AF$2:$AF$1001,0),1)&gt;=100000,INDEX($AM$1005:$BM$1005,1,MATCH(COLUMNS($AM$1006:BC1006),$AM$1006:$BM$1006,0))&gt;=100000), " ",IF(INDEX($AM$2:$BM$1001,MATCH(ROWS($AF$2:AF709),$AF$2:$AF$1001,0),MATCH(COLUMNS($AM$1006:BC1006),$AM$1006:$BM$1006,0)), HYPERLINK("#",""), HYPERLINK(CONCATENATE("#metadata!", ADDRESS(INDEX($AH$2:$AH$1001,MATCH(ROWS($AF$2:AF709),$AF$2:$AF$1001,0),0), INDEX($AM$1004:$BM$1004,1,MATCH(COLUMNS($AM$1006:BC1006),$AM$1006:$BM$1006,0)))),"Fix")))</f>
        <v xml:space="preserve"> </v>
      </c>
      <c r="S709" s="4" t="str">
        <f ca="1">IF(OR(INDEX($AG$2:$AG$1001,MATCH(ROWS($AF$2:AF709),$AF$2:$AF$1001,0),1)&gt;=100000,INDEX($AM$1005:$BM$1005,1,MATCH(COLUMNS($AM$1006:BD1006),$AM$1006:$BM$1006,0))&gt;=100000), " ",IF(INDEX($AM$2:$BM$1001,MATCH(ROWS($AF$2:AF709),$AF$2:$AF$1001,0),MATCH(COLUMNS($AM$1006:BD1006),$AM$1006:$BM$1006,0)), HYPERLINK("#",""), HYPERLINK(CONCATENATE("#metadata!", ADDRESS(INDEX($AH$2:$AH$1001,MATCH(ROWS($AF$2:AF709),$AF$2:$AF$1001,0),0), INDEX($AM$1004:$BM$1004,1,MATCH(COLUMNS($AM$1006:BD1006),$AM$1006:$BM$1006,0)))),"Fix")))</f>
        <v xml:space="preserve"> </v>
      </c>
      <c r="T709" s="4" t="str">
        <f ca="1">IF(OR(INDEX($AG$2:$AG$1001,MATCH(ROWS($AF$2:AF709),$AF$2:$AF$1001,0),1)&gt;=100000,INDEX($AM$1005:$BM$1005,1,MATCH(COLUMNS($AM$1006:BE1006),$AM$1006:$BM$1006,0))&gt;=100000), " ",IF(INDEX($AM$2:$BM$1001,MATCH(ROWS($AF$2:AF709),$AF$2:$AF$1001,0),MATCH(COLUMNS($AM$1006:BE1006),$AM$1006:$BM$1006,0)), HYPERLINK("#",""), HYPERLINK(CONCATENATE("#metadata!", ADDRESS(INDEX($AH$2:$AH$1001,MATCH(ROWS($AF$2:AF709),$AF$2:$AF$1001,0),0), INDEX($AM$1004:$BM$1004,1,MATCH(COLUMNS($AM$1006:BE1006),$AM$1006:$BM$1006,0)))),"Fix")))</f>
        <v xml:space="preserve"> </v>
      </c>
      <c r="U709" s="4" t="str">
        <f ca="1">IF(OR(INDEX($AG$2:$AG$1001,MATCH(ROWS($AF$2:AF709),$AF$2:$AF$1001,0),1)&gt;=100000,INDEX($AM$1005:$BM$1005,1,MATCH(COLUMNS($AM$1006:BF1006),$AM$1006:$BM$1006,0))&gt;=100000), " ",IF(INDEX($AM$2:$BM$1001,MATCH(ROWS($AF$2:AF709),$AF$2:$AF$1001,0),MATCH(COLUMNS($AM$1006:BF1006),$AM$1006:$BM$1006,0)), HYPERLINK("#",""), HYPERLINK(CONCATENATE("#metadata!", ADDRESS(INDEX($AH$2:$AH$1001,MATCH(ROWS($AF$2:AF709),$AF$2:$AF$1001,0),0), INDEX($AM$1004:$BM$1004,1,MATCH(COLUMNS($AM$1006:BF1006),$AM$1006:$BM$1006,0)))),"Fix")))</f>
        <v xml:space="preserve"> </v>
      </c>
      <c r="V709" s="4" t="str">
        <f ca="1">IF(OR(INDEX($AG$2:$AG$1001,MATCH(ROWS($AF$2:AF709),$AF$2:$AF$1001,0),1)&gt;=100000,INDEX($AM$1005:$BM$1005,1,MATCH(COLUMNS($AM$1006:BG1006),$AM$1006:$BM$1006,0))&gt;=100000), " ",IF(INDEX($AM$2:$BM$1001,MATCH(ROWS($AF$2:AF709),$AF$2:$AF$1001,0),MATCH(COLUMNS($AM$1006:BG1006),$AM$1006:$BM$1006,0)), HYPERLINK("#",""), HYPERLINK(CONCATENATE("#metadata!", ADDRESS(INDEX($AH$2:$AH$1001,MATCH(ROWS($AF$2:AF709),$AF$2:$AF$1001,0),0), INDEX($AM$1004:$BM$1004,1,MATCH(COLUMNS($AM$1006:BG1006),$AM$1006:$BM$1006,0)))),"Fix")))</f>
        <v xml:space="preserve"> </v>
      </c>
      <c r="W709" s="4" t="str">
        <f ca="1">IF(OR(INDEX($AG$2:$AG$1001,MATCH(ROWS($AF$2:AF709),$AF$2:$AF$1001,0),1)&gt;=100000,INDEX($AM$1005:$BM$1005,1,MATCH(COLUMNS($AM$1006:BH1006),$AM$1006:$BM$1006,0))&gt;=100000), " ",IF(INDEX($AM$2:$BM$1001,MATCH(ROWS($AF$2:AF709),$AF$2:$AF$1001,0),MATCH(COLUMNS($AM$1006:BH1006),$AM$1006:$BM$1006,0)), HYPERLINK("#",""), HYPERLINK(CONCATENATE("#metadata!", ADDRESS(INDEX($AH$2:$AH$1001,MATCH(ROWS($AF$2:AF709),$AF$2:$AF$1001,0),0), INDEX($AM$1004:$BM$1004,1,MATCH(COLUMNS($AM$1006:BH1006),$AM$1006:$BM$1006,0)))),"Fix")))</f>
        <v xml:space="preserve"> </v>
      </c>
      <c r="X709" s="4" t="str">
        <f ca="1">IF(OR(INDEX($AG$2:$AG$1001,MATCH(ROWS($AF$2:AF709),$AF$2:$AF$1001,0),1)&gt;=100000,INDEX($AM$1005:$BM$1005,1,MATCH(COLUMNS($AM$1006:BI1006),$AM$1006:$BM$1006,0))&gt;=100000), " ",IF(INDEX($AM$2:$BM$1001,MATCH(ROWS($AF$2:AF709),$AF$2:$AF$1001,0),MATCH(COLUMNS($AM$1006:BI1006),$AM$1006:$BM$1006,0)), HYPERLINK("#",""), HYPERLINK(CONCATENATE("#metadata!", ADDRESS(INDEX($AH$2:$AH$1001,MATCH(ROWS($AF$2:AF709),$AF$2:$AF$1001,0),0), INDEX($AM$1004:$BM$1004,1,MATCH(COLUMNS($AM$1006:BI1006),$AM$1006:$BM$1006,0)))),"Fix")))</f>
        <v xml:space="preserve"> </v>
      </c>
      <c r="Y709" s="4" t="str">
        <f ca="1">IF(OR(INDEX($AG$2:$AG$1001,MATCH(ROWS($AF$2:AF709),$AF$2:$AF$1001,0),1)&gt;=100000,INDEX($AM$1005:$BM$1005,1,MATCH(COLUMNS($AM$1006:BJ1006),$AM$1006:$BM$1006,0))&gt;=100000), " ",IF(INDEX($AM$2:$BM$1001,MATCH(ROWS($AF$2:AF709),$AF$2:$AF$1001,0),MATCH(COLUMNS($AM$1006:BJ1006),$AM$1006:$BM$1006,0)), HYPERLINK("#",""), HYPERLINK(CONCATENATE("#metadata!", ADDRESS(INDEX($AH$2:$AH$1001,MATCH(ROWS($AF$2:AF709),$AF$2:$AF$1001,0),0), INDEX($AM$1004:$BM$1004,1,MATCH(COLUMNS($AM$1006:BJ1006),$AM$1006:$BM$1006,0)))),"Fix")))</f>
        <v xml:space="preserve"> </v>
      </c>
      <c r="Z709" s="4" t="str">
        <f ca="1">IF(OR(INDEX($AG$2:$AG$1001,MATCH(ROWS($AF$2:AF709),$AF$2:$AF$1001,0),1)&gt;=100000,INDEX($AM$1005:$BM$1005,1,MATCH(COLUMNS($AM$1006:BK1006),$AM$1006:$BM$1006,0))&gt;=100000), " ",IF(INDEX($AM$2:$BM$1001,MATCH(ROWS($AF$2:AF709),$AF$2:$AF$1001,0),MATCH(COLUMNS($AM$1006:BK1006),$AM$1006:$BM$1006,0)), HYPERLINK("#",""), HYPERLINK(CONCATENATE("#metadata!", ADDRESS(INDEX($AH$2:$AH$1001,MATCH(ROWS($AF$2:AF709),$AF$2:$AF$1001,0),0), INDEX($AM$1004:$BM$1004,1,MATCH(COLUMNS($AM$1006:BK1006),$AM$1006:$BM$1006,0)))),"Fix")))</f>
        <v xml:space="preserve"> </v>
      </c>
      <c r="AA709" s="4" t="str">
        <f ca="1">IF(OR(INDEX($AG$2:$AG$1001,MATCH(ROWS($AF$2:AF709),$AF$2:$AF$1001,0),1)&gt;=100000,INDEX($AM$1005:$BM$1005,1,MATCH(COLUMNS($AM$1006:BL1006),$AM$1006:$BM$1006,0))&gt;=100000), " ",IF(INDEX($AM$2:$BM$1001,MATCH(ROWS($AF$2:AF709),$AF$2:$AF$1001,0),MATCH(COLUMNS($AM$1006:BL1006),$AM$1006:$BM$1006,0)), HYPERLINK("#",""), HYPERLINK(CONCATENATE("#metadata!", ADDRESS(INDEX($AH$2:$AH$1001,MATCH(ROWS($AF$2:AF709),$AF$2:$AF$1001,0),0), INDEX($AM$1004:$BM$1004,1,MATCH(COLUMNS($AM$1006:BL1006),$AM$1006:$BM$1006,0)))),"Fix")))</f>
        <v xml:space="preserve"> </v>
      </c>
      <c r="AB709" s="4" t="str">
        <f ca="1">IF(OR(INDEX($AG$2:$AG$1001,MATCH(ROWS($AF$2:AF709),$AF$2:$AF$1001,0),1)&gt;=100000,INDEX($AM$1005:$BM$1005,1,MATCH(COLUMNS($AM$1006:BM1006),$AM$1006:$BM$1006,0))&gt;=100000), " ",IF(INDEX($AM$2:$BM$1001,MATCH(ROWS($AF$2:AF709),$AF$2:$AF$1001,0),MATCH(COLUMNS($AM$1006:BM1006),$AM$1006:$BM$1006,0)), HYPERLINK("#",""), HYPERLINK(CONCATENATE("#metadata!", ADDRESS(INDEX($AH$2:$AH$1001,MATCH(ROWS($AF$2:AF709),$AF$2:$AF$1001,0),0), INDEX($AM$1004:$BM$1004,1,MATCH(COLUMNS($AM$1006:BM1006),$AM$1006:$BM$1006,0)))),"Fix")))</f>
        <v xml:space="preserve"> </v>
      </c>
      <c r="AF709">
        <v>708</v>
      </c>
      <c r="AG709">
        <v>100709</v>
      </c>
      <c r="AH709">
        <v>709</v>
      </c>
      <c r="AI709" t="b">
        <f t="shared" si="11"/>
        <v>1</v>
      </c>
      <c r="AJ709" t="b">
        <f>COUNTBLANK(metadata!B709:AB709)=COLUMNS(metadata!B709:AB709)</f>
        <v>1</v>
      </c>
      <c r="AK709" t="str">
        <v/>
      </c>
      <c r="AM709" t="b">
        <f ca="1">AND(IF(metadata!B709="",FALSE,TRUE),COUNTIF(metadata!B:B, metadata!B709) = 1,NOT(ISERROR(SUMPRODUCT(SEARCH(MID(metadata!B709,ROW(INDIRECT("1:"&amp;LEN(metadata!B709))), 1),"0123456789abcdefghijklmnopqrstuvwxyzABCDEFGHIJKLMNOPQRSTUVWXYZ.")))))</f>
        <v>0</v>
      </c>
      <c r="AN709" t="b">
        <f ca="1">OR(AND(IF(metadata!C709="",FALSE,TRUE),OR(EXACT(metadata!C709,"missing: not collected"),EXACT(metadata!C709,"missing: not provided"),EXACT(metadata!C709,"missing: restricted access"))),AND(IF(metadata!C709="",FALSE,TRUE),AND(AND(IFERROR(INT(LEFT(metadata!C709,4))&gt;1900,FALSE),IFERROR(INT(LEFT(metadata!C709,4))&lt;=YEAR(NOW()),FALSE)), OR(MID(metadata!C709,5,1)="", AND(AND(MID(metadata!C709,5,1)="-",IFERROR(INT(MID(metadata!C709,6,1))&gt;=0,FALSE),IFERROR(INT(MID(metadata!C709,6,1))&lt;=1,FALSE),NOT(MID(metadata!C709,7,1)=""),IFERROR(INT(MID(metadata!C709,6,2))&gt;=1,FALSE),IFERROR(INT(MID(metadata!C709,6,2))&lt;=12,FALSE)), OR(MID(metadata!C709,8,1)="", AND(AND(MID(metadata!C709,8,1)="-",IFERROR(INT(MID(metadata!C709,9,1))&gt;=0,FALSE),IFERROR(INT(MID(metadata!C709,9,1))&lt;=3,FALSE),NOT(MID(metadata!C709,10,1)=""),IFERROR(INT(MID(metadata!C709,9,2))&gt;=1,FALSE),IFERROR(INT(MID(metadata!C709,9,2))&lt;=31,FALSE)), OR(MID(metadata!C709,11,1)="", AND(AND(MID(metadata!C709,11,1)=" ",IFERROR(INT(MID(metadata!C709,12,1))&gt;=0,FALSE),IFERROR(INT(MID(metadata!C709,12,1))&lt;=2,FALSE),NOT(MID(metadata!C709,13,1)=""),IFERROR(INT(MID(metadata!C709,12,2))&gt;=0,FALSE),IFERROR(INT(MID(metadata!C709,12,2))&lt;=23,FALSE)), OR(MID(metadata!C709,14,1)="", AND(AND(MID(metadata!C709,14,1)=":",IFERROR(INT(MID(metadata!C709,15,1))&gt;=0,FALSE),IFERROR(INT(MID(metadata!C709,15,1))&lt;=5,FALSE),NOT(MID(metadata!C709,16,1)=""),IFERROR(INT(MID(metadata!C709,15,2))&gt;=0,FALSE),IFERROR(INT(MID(metadata!C709,15,2))&lt;=59,FALSE)), OR(MID(metadata!C709,17,1)="", AND(AND(MID(metadata!C709,17,1)=":",IFERROR(INT(MID(metadata!C709,18,1))&gt;=0,FALSE),IFERROR(INT(MID(metadata!C709,18,1))&lt;=5,FALSE),NOT(MID(metadata!C709,19,1)=""),IFERROR(INT(MID(metadata!C709,18,2))&gt;=0,FALSE),IFERROR(INT(MID(metadata!C709,18,2))&lt;=59,FALSE)), LEN(metadata!C709)&lt;=19)))))))))))))</f>
        <v>0</v>
      </c>
      <c r="AO709" t="b">
        <f>AND(IF(metadata!D709="",FALSE,TRUE),EXACT(metadata!D709,"Not applicable"))</f>
        <v>0</v>
      </c>
      <c r="AP709" t="b">
        <f>IF(metadata!E709="",FALSE,TRUE)</f>
        <v>0</v>
      </c>
      <c r="AQ709" t="b">
        <f>OR(AND(IF(metadata!F709="",FALSE,TRUE),OR(EXACT(metadata!F709,"missing: not collected"),EXACT(metadata!F709,"missing: not provided"))),AND(IF(metadata!F709="",FALSE,TRUE),OR(EXACT(metadata!F709,"TRUE"),EXACT(metadata!F709,"FALSE"))))</f>
        <v>0</v>
      </c>
      <c r="AR709" t="b">
        <f>OR(AND(IF(metadata!G709="",FALSE,TRUE),OR(EXACT(metadata!G709,"missing: not collected"),EXACT(metadata!G709,"missing: not provided"),EXACT(metadata!G709,"missing: restricted access"))),AND(IF(metadata!G709="",FALSE,ISNUMBER(VALUE(metadata!G709))),metadata!G709&gt;=-413))</f>
        <v>0</v>
      </c>
      <c r="AS709" t="b">
        <f>AND(IF(metadata!H709="",FALSE,TRUE),EXACT(metadata!H709,"meters"))</f>
        <v>0</v>
      </c>
      <c r="AT709" t="b">
        <f>AND(IF(metadata!I709="",FALSE,TRUE),OR(EXACT(metadata!I709,"Host-associated"),EXACT(metadata!I709,"Free-living")))</f>
        <v>0</v>
      </c>
      <c r="AU709" t="b">
        <f>AND(IF(metadata!J709="",FALSE,TRUE),OR(EXACT(metadata!J709,"Animal"),EXACT(metadata!J709,"Fungus"),EXACT(metadata!J709,"Plant"),EXACT(metadata!J709,"Saline"),EXACT(metadata!J709,"Non-saline")))</f>
        <v>0</v>
      </c>
      <c r="AV709" t="b">
        <f>AND(IF(metadata!K709="",FALSE,TRUE),OR(EXACT(metadata!K709,"Plant secretion"),EXACT(metadata!K709,"Plant rhizosphere"),EXACT(metadata!K709,"Plant surface"),EXACT(metadata!K709,"Plant corpus"),EXACT(metadata!K709,"Fungus surface"),EXACT(metadata!K709,"Fungus corpus"),EXACT(metadata!K709,"Animal surface"),EXACT(metadata!K709,"Animal proximal gut"),EXACT(metadata!K709,"Animal corpus"),EXACT(metadata!K709,"Animal distal gut"),EXACT(metadata!K709,"Animal secretion"),EXACT(metadata!K709,"Sub-surface (non-saline)"),EXACT(metadata!K709,"Surface (non-saline)"),EXACT(metadata!K709,"Water (non-saline)"),EXACT(metadata!K709,"Soil (non-saline)"),EXACT(metadata!K709,"Aerosol (non-saline)"),EXACT(metadata!K709,"Sediment (non-saline)"),EXACT(metadata!K709,"Surface (saline)"),EXACT(metadata!K709,"Water (saline)"),EXACT(metadata!K709,"Hypersaline (saline)"),EXACT(metadata!K709,"Aerosol (saline)"),EXACT(metadata!K709,"Sediment (saline)")))</f>
        <v>0</v>
      </c>
      <c r="AW709" t="b">
        <f>IF(metadata!L709="",FALSE,TRUE)</f>
        <v>0</v>
      </c>
      <c r="AX709" t="b">
        <f>IF(metadata!M709="",FALSE,TRUE)</f>
        <v>0</v>
      </c>
      <c r="AY709" t="b">
        <f>IF(metadata!N709="",FALSE,TRUE)</f>
        <v>0</v>
      </c>
      <c r="AZ709" t="b">
        <f>OR(AND(IF(metadata!O709="",FALSE,TRUE),OR(EXACT(metadata!O709,"missing: not collected"),EXACT(metadata!O709,"missing: not provided"),EXACT(metadata!O709,"missing: restricted access"))),AND(IF(metadata!O709="",FALSE,TRUE),OR(EXACT(metadata!O709,"air"),EXACT(metadata!O709,"built environment"),EXACT(metadata!O709,"host-associated"),EXACT(metadata!O709,"human-associated"),EXACT(metadata!O709,"human-skin"),EXACT(metadata!O709,"human-oral"),EXACT(metadata!O709,"human-gut"),EXACT(metadata!O709,"human-vaginal"),EXACT(metadata!O709,"microbial mat/biofilm"),EXACT(metadata!O709,"misc environment"),EXACT(metadata!O709,"plant-associated"),EXACT(metadata!O709,"sediment"),EXACT(metadata!O709,"soil"),EXACT(metadata!O709,"wastewater/sludge"),EXACT(metadata!O709,"water"))))</f>
        <v>0</v>
      </c>
      <c r="BA709" t="b">
        <f>IF(metadata!P709="",FALSE,TRUE)</f>
        <v>0</v>
      </c>
      <c r="BB709" t="b">
        <f>IF(metadata!Q709="",FALSE,TRUE)</f>
        <v>0</v>
      </c>
      <c r="BC709" t="b">
        <f>OR(AND(IF(metadata!R709="",FALSE,TRUE),OR(EXACT(metadata!R709,"missing: not collected"),EXACT(metadata!R709,"missing: not provided"),EXACT(metadata!R709,"missing: restricted access"))),AND(IF(metadata!R709="",FALSE,ISNUMBER(VALUE(metadata!R709))),metadata!R709&gt;=-90,metadata!R709&lt;=90))</f>
        <v>0</v>
      </c>
      <c r="BD709" t="b">
        <f>AND(IF(metadata!S709="",FALSE,TRUE),EXACT(metadata!S709,"Decimal degrees"))</f>
        <v>0</v>
      </c>
      <c r="BE709" t="b">
        <f>OR(AND(IF(metadata!T709="",FALSE,TRUE),OR(EXACT(metadata!T709,"missing: not collected"),EXACT(metadata!T709,"missing: not provided"),EXACT(metadata!T709,"missing: restricted access"))),AND(IF(metadata!T709="",FALSE,ISNUMBER(VALUE(metadata!T709))),metadata!T709&gt;=-180,metadata!T709&lt;=180))</f>
        <v>0</v>
      </c>
      <c r="BF709" t="b">
        <f>AND(IF(metadata!U709="",FALSE,TRUE),EXACT(metadata!U709,"Decimal degrees"))</f>
        <v>0</v>
      </c>
      <c r="BG709" t="b">
        <f>IF(metadata!V709="",FALSE,TRUE)</f>
        <v>0</v>
      </c>
      <c r="BH709" t="b">
        <f>OR(AND(IF(metadata!W709="",FALSE,TRUE),OR(EXACT(metadata!W709,"missing: not collected"),EXACT(metadata!W709,"missing: not provided"),EXACT(metadata!W709,"missing: restricted access"))),AND(IF(metadata!W709="",FALSE,TRUE),OR(EXACT(metadata!W709,"TRUE"),EXACT(metadata!W709,"FALSE"))))</f>
        <v>0</v>
      </c>
      <c r="BI709" t="b">
        <f>AND(IF(metadata!X709="",FALSE,TRUE),EXACT(metadata!X709,"other"))</f>
        <v>0</v>
      </c>
      <c r="BJ709" t="b">
        <f>IF(metadata!Y709="",FALSE,TRUE)</f>
        <v>0</v>
      </c>
      <c r="BK709" t="b">
        <f>OR(AND(IF(metadata!Z709="",FALSE,TRUE),OR(EXACT(metadata!Z709,"missing: not collected"),EXACT(metadata!Z709,"missing: not provided"))),AND(IF(metadata!Z709="",FALSE,IF(ISERROR(INT(metadata!Z709)),FALSE,INT(metadata!Z709)=metadata!Z709)),metadata!Z709&gt;0))</f>
        <v>0</v>
      </c>
      <c r="BL709" t="b">
        <f>AND(IF(metadata!AA709="",FALSE,TRUE),EXACT(metadata!AA709,"Not applicable"))</f>
        <v>0</v>
      </c>
      <c r="BM709" t="b">
        <f>IF(metadata!AB709="",FALSE,TRUE)</f>
        <v>0</v>
      </c>
    </row>
    <row r="710" spans="1:65" x14ac:dyDescent="0.2">
      <c r="A710" s="5" t="str">
        <f ca="1">IF(B710=" "," ",HYPERLINK(CONCATENATE("#metadata!",ADDRESS(INDEX($AH$2:$AH$1001,MATCH(ROWS($AF$2:AF710),$AF$2:$AF$1001,0),0),1)),INDEX($AK$2:$AK$1001,MATCH(ROWS($AF$2:AF710),$AF$2:$AF$1001,0),0)))</f>
        <v xml:space="preserve"> </v>
      </c>
      <c r="B710" s="4" t="str">
        <f ca="1">IF(OR(INDEX($AG$2:$AG$1001,MATCH(ROWS($AF$2:AF710),$AF$2:$AF$1001,0),1)&gt;=100000,INDEX($AM$1005:$BM$1005,1,MATCH(COLUMNS($AM$1006:AM1006),$AM$1006:$BM$1006,0))&gt;=100000), " ",IF(INDEX($AM$2:$BM$1001,MATCH(ROWS($AF$2:AF710),$AF$2:$AF$1001,0),MATCH(COLUMNS($AM$1006:AM1006),$AM$1006:$BM$1006,0)), HYPERLINK("#",""), HYPERLINK(CONCATENATE("#metadata!", ADDRESS(INDEX($AH$2:$AH$1001,MATCH(ROWS($AF$2:AF710),$AF$2:$AF$1001,0),0), INDEX($AM$1004:$BM$1004,1,MATCH(COLUMNS($AM$1006:AM1006),$AM$1006:$BM$1006,0)))),"Fix")))</f>
        <v xml:space="preserve"> </v>
      </c>
      <c r="C710" s="4" t="str">
        <f ca="1">IF(OR(INDEX($AG$2:$AG$1001,MATCH(ROWS($AF$2:AF710),$AF$2:$AF$1001,0),1)&gt;=100000,INDEX($AM$1005:$BM$1005,1,MATCH(COLUMNS($AM$1006:AN1006),$AM$1006:$BM$1006,0))&gt;=100000), " ",IF(INDEX($AM$2:$BM$1001,MATCH(ROWS($AF$2:AF710),$AF$2:$AF$1001,0),MATCH(COLUMNS($AM$1006:AN1006),$AM$1006:$BM$1006,0)), HYPERLINK("#",""), HYPERLINK(CONCATENATE("#metadata!", ADDRESS(INDEX($AH$2:$AH$1001,MATCH(ROWS($AF$2:AF710),$AF$2:$AF$1001,0),0), INDEX($AM$1004:$BM$1004,1,MATCH(COLUMNS($AM$1006:AN1006),$AM$1006:$BM$1006,0)))),"Fix")))</f>
        <v xml:space="preserve"> </v>
      </c>
      <c r="D710" s="4" t="str">
        <f ca="1">IF(OR(INDEX($AG$2:$AG$1001,MATCH(ROWS($AF$2:AF710),$AF$2:$AF$1001,0),1)&gt;=100000,INDEX($AM$1005:$BM$1005,1,MATCH(COLUMNS($AM$1006:AO1006),$AM$1006:$BM$1006,0))&gt;=100000), " ",IF(INDEX($AM$2:$BM$1001,MATCH(ROWS($AF$2:AF710),$AF$2:$AF$1001,0),MATCH(COLUMNS($AM$1006:AO1006),$AM$1006:$BM$1006,0)), HYPERLINK("#",""), HYPERLINK(CONCATENATE("#metadata!", ADDRESS(INDEX($AH$2:$AH$1001,MATCH(ROWS($AF$2:AF710),$AF$2:$AF$1001,0),0), INDEX($AM$1004:$BM$1004,1,MATCH(COLUMNS($AM$1006:AO1006),$AM$1006:$BM$1006,0)))),"Fix")))</f>
        <v xml:space="preserve"> </v>
      </c>
      <c r="E710" s="4" t="str">
        <f ca="1">IF(OR(INDEX($AG$2:$AG$1001,MATCH(ROWS($AF$2:AF710),$AF$2:$AF$1001,0),1)&gt;=100000,INDEX($AM$1005:$BM$1005,1,MATCH(COLUMNS($AM$1006:AP1006),$AM$1006:$BM$1006,0))&gt;=100000), " ",IF(INDEX($AM$2:$BM$1001,MATCH(ROWS($AF$2:AF710),$AF$2:$AF$1001,0),MATCH(COLUMNS($AM$1006:AP1006),$AM$1006:$BM$1006,0)), HYPERLINK("#",""), HYPERLINK(CONCATENATE("#metadata!", ADDRESS(INDEX($AH$2:$AH$1001,MATCH(ROWS($AF$2:AF710),$AF$2:$AF$1001,0),0), INDEX($AM$1004:$BM$1004,1,MATCH(COLUMNS($AM$1006:AP1006),$AM$1006:$BM$1006,0)))),"Fix")))</f>
        <v xml:space="preserve"> </v>
      </c>
      <c r="F710" s="4" t="str">
        <f ca="1">IF(OR(INDEX($AG$2:$AG$1001,MATCH(ROWS($AF$2:AF710),$AF$2:$AF$1001,0),1)&gt;=100000,INDEX($AM$1005:$BM$1005,1,MATCH(COLUMNS($AM$1006:AQ1006),$AM$1006:$BM$1006,0))&gt;=100000), " ",IF(INDEX($AM$2:$BM$1001,MATCH(ROWS($AF$2:AF710),$AF$2:$AF$1001,0),MATCH(COLUMNS($AM$1006:AQ1006),$AM$1006:$BM$1006,0)), HYPERLINK("#",""), HYPERLINK(CONCATENATE("#metadata!", ADDRESS(INDEX($AH$2:$AH$1001,MATCH(ROWS($AF$2:AF710),$AF$2:$AF$1001,0),0), INDEX($AM$1004:$BM$1004,1,MATCH(COLUMNS($AM$1006:AQ1006),$AM$1006:$BM$1006,0)))),"Fix")))</f>
        <v xml:space="preserve"> </v>
      </c>
      <c r="G710" s="4" t="str">
        <f ca="1">IF(OR(INDEX($AG$2:$AG$1001,MATCH(ROWS($AF$2:AF710),$AF$2:$AF$1001,0),1)&gt;=100000,INDEX($AM$1005:$BM$1005,1,MATCH(COLUMNS($AM$1006:AR1006),$AM$1006:$BM$1006,0))&gt;=100000), " ",IF(INDEX($AM$2:$BM$1001,MATCH(ROWS($AF$2:AF710),$AF$2:$AF$1001,0),MATCH(COLUMNS($AM$1006:AR1006),$AM$1006:$BM$1006,0)), HYPERLINK("#",""), HYPERLINK(CONCATENATE("#metadata!", ADDRESS(INDEX($AH$2:$AH$1001,MATCH(ROWS($AF$2:AF710),$AF$2:$AF$1001,0),0), INDEX($AM$1004:$BM$1004,1,MATCH(COLUMNS($AM$1006:AR1006),$AM$1006:$BM$1006,0)))),"Fix")))</f>
        <v xml:space="preserve"> </v>
      </c>
      <c r="H710" s="4" t="str">
        <f ca="1">IF(OR(INDEX($AG$2:$AG$1001,MATCH(ROWS($AF$2:AF710),$AF$2:$AF$1001,0),1)&gt;=100000,INDEX($AM$1005:$BM$1005,1,MATCH(COLUMNS($AM$1006:AS1006),$AM$1006:$BM$1006,0))&gt;=100000), " ",IF(INDEX($AM$2:$BM$1001,MATCH(ROWS($AF$2:AF710),$AF$2:$AF$1001,0),MATCH(COLUMNS($AM$1006:AS1006),$AM$1006:$BM$1006,0)), HYPERLINK("#",""), HYPERLINK(CONCATENATE("#metadata!", ADDRESS(INDEX($AH$2:$AH$1001,MATCH(ROWS($AF$2:AF710),$AF$2:$AF$1001,0),0), INDEX($AM$1004:$BM$1004,1,MATCH(COLUMNS($AM$1006:AS1006),$AM$1006:$BM$1006,0)))),"Fix")))</f>
        <v xml:space="preserve"> </v>
      </c>
      <c r="I710" s="4" t="str">
        <f ca="1">IF(OR(INDEX($AG$2:$AG$1001,MATCH(ROWS($AF$2:AF710),$AF$2:$AF$1001,0),1)&gt;=100000,INDEX($AM$1005:$BM$1005,1,MATCH(COLUMNS($AM$1006:AT1006),$AM$1006:$BM$1006,0))&gt;=100000), " ",IF(INDEX($AM$2:$BM$1001,MATCH(ROWS($AF$2:AF710),$AF$2:$AF$1001,0),MATCH(COLUMNS($AM$1006:AT1006),$AM$1006:$BM$1006,0)), HYPERLINK("#",""), HYPERLINK(CONCATENATE("#metadata!", ADDRESS(INDEX($AH$2:$AH$1001,MATCH(ROWS($AF$2:AF710),$AF$2:$AF$1001,0),0), INDEX($AM$1004:$BM$1004,1,MATCH(COLUMNS($AM$1006:AT1006),$AM$1006:$BM$1006,0)))),"Fix")))</f>
        <v xml:space="preserve"> </v>
      </c>
      <c r="J710" s="4" t="str">
        <f ca="1">IF(OR(INDEX($AG$2:$AG$1001,MATCH(ROWS($AF$2:AF710),$AF$2:$AF$1001,0),1)&gt;=100000,INDEX($AM$1005:$BM$1005,1,MATCH(COLUMNS($AM$1006:AU1006),$AM$1006:$BM$1006,0))&gt;=100000), " ",IF(INDEX($AM$2:$BM$1001,MATCH(ROWS($AF$2:AF710),$AF$2:$AF$1001,0),MATCH(COLUMNS($AM$1006:AU1006),$AM$1006:$BM$1006,0)), HYPERLINK("#",""), HYPERLINK(CONCATENATE("#metadata!", ADDRESS(INDEX($AH$2:$AH$1001,MATCH(ROWS($AF$2:AF710),$AF$2:$AF$1001,0),0), INDEX($AM$1004:$BM$1004,1,MATCH(COLUMNS($AM$1006:AU1006),$AM$1006:$BM$1006,0)))),"Fix")))</f>
        <v xml:space="preserve"> </v>
      </c>
      <c r="K710" s="4" t="str">
        <f ca="1">IF(OR(INDEX($AG$2:$AG$1001,MATCH(ROWS($AF$2:AF710),$AF$2:$AF$1001,0),1)&gt;=100000,INDEX($AM$1005:$BM$1005,1,MATCH(COLUMNS($AM$1006:AV1006),$AM$1006:$BM$1006,0))&gt;=100000), " ",IF(INDEX($AM$2:$BM$1001,MATCH(ROWS($AF$2:AF710),$AF$2:$AF$1001,0),MATCH(COLUMNS($AM$1006:AV1006),$AM$1006:$BM$1006,0)), HYPERLINK("#",""), HYPERLINK(CONCATENATE("#metadata!", ADDRESS(INDEX($AH$2:$AH$1001,MATCH(ROWS($AF$2:AF710),$AF$2:$AF$1001,0),0), INDEX($AM$1004:$BM$1004,1,MATCH(COLUMNS($AM$1006:AV1006),$AM$1006:$BM$1006,0)))),"Fix")))</f>
        <v xml:space="preserve"> </v>
      </c>
      <c r="L710" s="4" t="str">
        <f ca="1">IF(OR(INDEX($AG$2:$AG$1001,MATCH(ROWS($AF$2:AF710),$AF$2:$AF$1001,0),1)&gt;=100000,INDEX($AM$1005:$BM$1005,1,MATCH(COLUMNS($AM$1006:AW1006),$AM$1006:$BM$1006,0))&gt;=100000), " ",IF(INDEX($AM$2:$BM$1001,MATCH(ROWS($AF$2:AF710),$AF$2:$AF$1001,0),MATCH(COLUMNS($AM$1006:AW1006),$AM$1006:$BM$1006,0)), HYPERLINK("#",""), HYPERLINK(CONCATENATE("#metadata!", ADDRESS(INDEX($AH$2:$AH$1001,MATCH(ROWS($AF$2:AF710),$AF$2:$AF$1001,0),0), INDEX($AM$1004:$BM$1004,1,MATCH(COLUMNS($AM$1006:AW1006),$AM$1006:$BM$1006,0)))),"Fix")))</f>
        <v xml:space="preserve"> </v>
      </c>
      <c r="M710" s="4" t="str">
        <f ca="1">IF(OR(INDEX($AG$2:$AG$1001,MATCH(ROWS($AF$2:AF710),$AF$2:$AF$1001,0),1)&gt;=100000,INDEX($AM$1005:$BM$1005,1,MATCH(COLUMNS($AM$1006:AX1006),$AM$1006:$BM$1006,0))&gt;=100000), " ",IF(INDEX($AM$2:$BM$1001,MATCH(ROWS($AF$2:AF710),$AF$2:$AF$1001,0),MATCH(COLUMNS($AM$1006:AX1006),$AM$1006:$BM$1006,0)), HYPERLINK("#",""), HYPERLINK(CONCATENATE("#metadata!", ADDRESS(INDEX($AH$2:$AH$1001,MATCH(ROWS($AF$2:AF710),$AF$2:$AF$1001,0),0), INDEX($AM$1004:$BM$1004,1,MATCH(COLUMNS($AM$1006:AX1006),$AM$1006:$BM$1006,0)))),"Fix")))</f>
        <v xml:space="preserve"> </v>
      </c>
      <c r="N710" s="4" t="str">
        <f ca="1">IF(OR(INDEX($AG$2:$AG$1001,MATCH(ROWS($AF$2:AF710),$AF$2:$AF$1001,0),1)&gt;=100000,INDEX($AM$1005:$BM$1005,1,MATCH(COLUMNS($AM$1006:AY1006),$AM$1006:$BM$1006,0))&gt;=100000), " ",IF(INDEX($AM$2:$BM$1001,MATCH(ROWS($AF$2:AF710),$AF$2:$AF$1001,0),MATCH(COLUMNS($AM$1006:AY1006),$AM$1006:$BM$1006,0)), HYPERLINK("#",""), HYPERLINK(CONCATENATE("#metadata!", ADDRESS(INDEX($AH$2:$AH$1001,MATCH(ROWS($AF$2:AF710),$AF$2:$AF$1001,0),0), INDEX($AM$1004:$BM$1004,1,MATCH(COLUMNS($AM$1006:AY1006),$AM$1006:$BM$1006,0)))),"Fix")))</f>
        <v xml:space="preserve"> </v>
      </c>
      <c r="O710" s="4" t="str">
        <f ca="1">IF(OR(INDEX($AG$2:$AG$1001,MATCH(ROWS($AF$2:AF710),$AF$2:$AF$1001,0),1)&gt;=100000,INDEX($AM$1005:$BM$1005,1,MATCH(COLUMNS($AM$1006:AZ1006),$AM$1006:$BM$1006,0))&gt;=100000), " ",IF(INDEX($AM$2:$BM$1001,MATCH(ROWS($AF$2:AF710),$AF$2:$AF$1001,0),MATCH(COLUMNS($AM$1006:AZ1006),$AM$1006:$BM$1006,0)), HYPERLINK("#",""), HYPERLINK(CONCATENATE("#metadata!", ADDRESS(INDEX($AH$2:$AH$1001,MATCH(ROWS($AF$2:AF710),$AF$2:$AF$1001,0),0), INDEX($AM$1004:$BM$1004,1,MATCH(COLUMNS($AM$1006:AZ1006),$AM$1006:$BM$1006,0)))),"Fix")))</f>
        <v xml:space="preserve"> </v>
      </c>
      <c r="P710" s="4" t="str">
        <f ca="1">IF(OR(INDEX($AG$2:$AG$1001,MATCH(ROWS($AF$2:AF710),$AF$2:$AF$1001,0),1)&gt;=100000,INDEX($AM$1005:$BM$1005,1,MATCH(COLUMNS($AM$1006:BA1006),$AM$1006:$BM$1006,0))&gt;=100000), " ",IF(INDEX($AM$2:$BM$1001,MATCH(ROWS($AF$2:AF710),$AF$2:$AF$1001,0),MATCH(COLUMNS($AM$1006:BA1006),$AM$1006:$BM$1006,0)), HYPERLINK("#",""), HYPERLINK(CONCATENATE("#metadata!", ADDRESS(INDEX($AH$2:$AH$1001,MATCH(ROWS($AF$2:AF710),$AF$2:$AF$1001,0),0), INDEX($AM$1004:$BM$1004,1,MATCH(COLUMNS($AM$1006:BA1006),$AM$1006:$BM$1006,0)))),"Fix")))</f>
        <v xml:space="preserve"> </v>
      </c>
      <c r="Q710" s="4" t="str">
        <f ca="1">IF(OR(INDEX($AG$2:$AG$1001,MATCH(ROWS($AF$2:AF710),$AF$2:$AF$1001,0),1)&gt;=100000,INDEX($AM$1005:$BM$1005,1,MATCH(COLUMNS($AM$1006:BB1006),$AM$1006:$BM$1006,0))&gt;=100000), " ",IF(INDEX($AM$2:$BM$1001,MATCH(ROWS($AF$2:AF710),$AF$2:$AF$1001,0),MATCH(COLUMNS($AM$1006:BB1006),$AM$1006:$BM$1006,0)), HYPERLINK("#",""), HYPERLINK(CONCATENATE("#metadata!", ADDRESS(INDEX($AH$2:$AH$1001,MATCH(ROWS($AF$2:AF710),$AF$2:$AF$1001,0),0), INDEX($AM$1004:$BM$1004,1,MATCH(COLUMNS($AM$1006:BB1006),$AM$1006:$BM$1006,0)))),"Fix")))</f>
        <v xml:space="preserve"> </v>
      </c>
      <c r="R710" s="4" t="str">
        <f ca="1">IF(OR(INDEX($AG$2:$AG$1001,MATCH(ROWS($AF$2:AF710),$AF$2:$AF$1001,0),1)&gt;=100000,INDEX($AM$1005:$BM$1005,1,MATCH(COLUMNS($AM$1006:BC1006),$AM$1006:$BM$1006,0))&gt;=100000), " ",IF(INDEX($AM$2:$BM$1001,MATCH(ROWS($AF$2:AF710),$AF$2:$AF$1001,0),MATCH(COLUMNS($AM$1006:BC1006),$AM$1006:$BM$1006,0)), HYPERLINK("#",""), HYPERLINK(CONCATENATE("#metadata!", ADDRESS(INDEX($AH$2:$AH$1001,MATCH(ROWS($AF$2:AF710),$AF$2:$AF$1001,0),0), INDEX($AM$1004:$BM$1004,1,MATCH(COLUMNS($AM$1006:BC1006),$AM$1006:$BM$1006,0)))),"Fix")))</f>
        <v xml:space="preserve"> </v>
      </c>
      <c r="S710" s="4" t="str">
        <f ca="1">IF(OR(INDEX($AG$2:$AG$1001,MATCH(ROWS($AF$2:AF710),$AF$2:$AF$1001,0),1)&gt;=100000,INDEX($AM$1005:$BM$1005,1,MATCH(COLUMNS($AM$1006:BD1006),$AM$1006:$BM$1006,0))&gt;=100000), " ",IF(INDEX($AM$2:$BM$1001,MATCH(ROWS($AF$2:AF710),$AF$2:$AF$1001,0),MATCH(COLUMNS($AM$1006:BD1006),$AM$1006:$BM$1006,0)), HYPERLINK("#",""), HYPERLINK(CONCATENATE("#metadata!", ADDRESS(INDEX($AH$2:$AH$1001,MATCH(ROWS($AF$2:AF710),$AF$2:$AF$1001,0),0), INDEX($AM$1004:$BM$1004,1,MATCH(COLUMNS($AM$1006:BD1006),$AM$1006:$BM$1006,0)))),"Fix")))</f>
        <v xml:space="preserve"> </v>
      </c>
      <c r="T710" s="4" t="str">
        <f ca="1">IF(OR(INDEX($AG$2:$AG$1001,MATCH(ROWS($AF$2:AF710),$AF$2:$AF$1001,0),1)&gt;=100000,INDEX($AM$1005:$BM$1005,1,MATCH(COLUMNS($AM$1006:BE1006),$AM$1006:$BM$1006,0))&gt;=100000), " ",IF(INDEX($AM$2:$BM$1001,MATCH(ROWS($AF$2:AF710),$AF$2:$AF$1001,0),MATCH(COLUMNS($AM$1006:BE1006),$AM$1006:$BM$1006,0)), HYPERLINK("#",""), HYPERLINK(CONCATENATE("#metadata!", ADDRESS(INDEX($AH$2:$AH$1001,MATCH(ROWS($AF$2:AF710),$AF$2:$AF$1001,0),0), INDEX($AM$1004:$BM$1004,1,MATCH(COLUMNS($AM$1006:BE1006),$AM$1006:$BM$1006,0)))),"Fix")))</f>
        <v xml:space="preserve"> </v>
      </c>
      <c r="U710" s="4" t="str">
        <f ca="1">IF(OR(INDEX($AG$2:$AG$1001,MATCH(ROWS($AF$2:AF710),$AF$2:$AF$1001,0),1)&gt;=100000,INDEX($AM$1005:$BM$1005,1,MATCH(COLUMNS($AM$1006:BF1006),$AM$1006:$BM$1006,0))&gt;=100000), " ",IF(INDEX($AM$2:$BM$1001,MATCH(ROWS($AF$2:AF710),$AF$2:$AF$1001,0),MATCH(COLUMNS($AM$1006:BF1006),$AM$1006:$BM$1006,0)), HYPERLINK("#",""), HYPERLINK(CONCATENATE("#metadata!", ADDRESS(INDEX($AH$2:$AH$1001,MATCH(ROWS($AF$2:AF710),$AF$2:$AF$1001,0),0), INDEX($AM$1004:$BM$1004,1,MATCH(COLUMNS($AM$1006:BF1006),$AM$1006:$BM$1006,0)))),"Fix")))</f>
        <v xml:space="preserve"> </v>
      </c>
      <c r="V710" s="4" t="str">
        <f ca="1">IF(OR(INDEX($AG$2:$AG$1001,MATCH(ROWS($AF$2:AF710),$AF$2:$AF$1001,0),1)&gt;=100000,INDEX($AM$1005:$BM$1005,1,MATCH(COLUMNS($AM$1006:BG1006),$AM$1006:$BM$1006,0))&gt;=100000), " ",IF(INDEX($AM$2:$BM$1001,MATCH(ROWS($AF$2:AF710),$AF$2:$AF$1001,0),MATCH(COLUMNS($AM$1006:BG1006),$AM$1006:$BM$1006,0)), HYPERLINK("#",""), HYPERLINK(CONCATENATE("#metadata!", ADDRESS(INDEX($AH$2:$AH$1001,MATCH(ROWS($AF$2:AF710),$AF$2:$AF$1001,0),0), INDEX($AM$1004:$BM$1004,1,MATCH(COLUMNS($AM$1006:BG1006),$AM$1006:$BM$1006,0)))),"Fix")))</f>
        <v xml:space="preserve"> </v>
      </c>
      <c r="W710" s="4" t="str">
        <f ca="1">IF(OR(INDEX($AG$2:$AG$1001,MATCH(ROWS($AF$2:AF710),$AF$2:$AF$1001,0),1)&gt;=100000,INDEX($AM$1005:$BM$1005,1,MATCH(COLUMNS($AM$1006:BH1006),$AM$1006:$BM$1006,0))&gt;=100000), " ",IF(INDEX($AM$2:$BM$1001,MATCH(ROWS($AF$2:AF710),$AF$2:$AF$1001,0),MATCH(COLUMNS($AM$1006:BH1006),$AM$1006:$BM$1006,0)), HYPERLINK("#",""), HYPERLINK(CONCATENATE("#metadata!", ADDRESS(INDEX($AH$2:$AH$1001,MATCH(ROWS($AF$2:AF710),$AF$2:$AF$1001,0),0), INDEX($AM$1004:$BM$1004,1,MATCH(COLUMNS($AM$1006:BH1006),$AM$1006:$BM$1006,0)))),"Fix")))</f>
        <v xml:space="preserve"> </v>
      </c>
      <c r="X710" s="4" t="str">
        <f ca="1">IF(OR(INDEX($AG$2:$AG$1001,MATCH(ROWS($AF$2:AF710),$AF$2:$AF$1001,0),1)&gt;=100000,INDEX($AM$1005:$BM$1005,1,MATCH(COLUMNS($AM$1006:BI1006),$AM$1006:$BM$1006,0))&gt;=100000), " ",IF(INDEX($AM$2:$BM$1001,MATCH(ROWS($AF$2:AF710),$AF$2:$AF$1001,0),MATCH(COLUMNS($AM$1006:BI1006),$AM$1006:$BM$1006,0)), HYPERLINK("#",""), HYPERLINK(CONCATENATE("#metadata!", ADDRESS(INDEX($AH$2:$AH$1001,MATCH(ROWS($AF$2:AF710),$AF$2:$AF$1001,0),0), INDEX($AM$1004:$BM$1004,1,MATCH(COLUMNS($AM$1006:BI1006),$AM$1006:$BM$1006,0)))),"Fix")))</f>
        <v xml:space="preserve"> </v>
      </c>
      <c r="Y710" s="4" t="str">
        <f ca="1">IF(OR(INDEX($AG$2:$AG$1001,MATCH(ROWS($AF$2:AF710),$AF$2:$AF$1001,0),1)&gt;=100000,INDEX($AM$1005:$BM$1005,1,MATCH(COLUMNS($AM$1006:BJ1006),$AM$1006:$BM$1006,0))&gt;=100000), " ",IF(INDEX($AM$2:$BM$1001,MATCH(ROWS($AF$2:AF710),$AF$2:$AF$1001,0),MATCH(COLUMNS($AM$1006:BJ1006),$AM$1006:$BM$1006,0)), HYPERLINK("#",""), HYPERLINK(CONCATENATE("#metadata!", ADDRESS(INDEX($AH$2:$AH$1001,MATCH(ROWS($AF$2:AF710),$AF$2:$AF$1001,0),0), INDEX($AM$1004:$BM$1004,1,MATCH(COLUMNS($AM$1006:BJ1006),$AM$1006:$BM$1006,0)))),"Fix")))</f>
        <v xml:space="preserve"> </v>
      </c>
      <c r="Z710" s="4" t="str">
        <f ca="1">IF(OR(INDEX($AG$2:$AG$1001,MATCH(ROWS($AF$2:AF710),$AF$2:$AF$1001,0),1)&gt;=100000,INDEX($AM$1005:$BM$1005,1,MATCH(COLUMNS($AM$1006:BK1006),$AM$1006:$BM$1006,0))&gt;=100000), " ",IF(INDEX($AM$2:$BM$1001,MATCH(ROWS($AF$2:AF710),$AF$2:$AF$1001,0),MATCH(COLUMNS($AM$1006:BK1006),$AM$1006:$BM$1006,0)), HYPERLINK("#",""), HYPERLINK(CONCATENATE("#metadata!", ADDRESS(INDEX($AH$2:$AH$1001,MATCH(ROWS($AF$2:AF710),$AF$2:$AF$1001,0),0), INDEX($AM$1004:$BM$1004,1,MATCH(COLUMNS($AM$1006:BK1006),$AM$1006:$BM$1006,0)))),"Fix")))</f>
        <v xml:space="preserve"> </v>
      </c>
      <c r="AA710" s="4" t="str">
        <f ca="1">IF(OR(INDEX($AG$2:$AG$1001,MATCH(ROWS($AF$2:AF710),$AF$2:$AF$1001,0),1)&gt;=100000,INDEX($AM$1005:$BM$1005,1,MATCH(COLUMNS($AM$1006:BL1006),$AM$1006:$BM$1006,0))&gt;=100000), " ",IF(INDEX($AM$2:$BM$1001,MATCH(ROWS($AF$2:AF710),$AF$2:$AF$1001,0),MATCH(COLUMNS($AM$1006:BL1006),$AM$1006:$BM$1006,0)), HYPERLINK("#",""), HYPERLINK(CONCATENATE("#metadata!", ADDRESS(INDEX($AH$2:$AH$1001,MATCH(ROWS($AF$2:AF710),$AF$2:$AF$1001,0),0), INDEX($AM$1004:$BM$1004,1,MATCH(COLUMNS($AM$1006:BL1006),$AM$1006:$BM$1006,0)))),"Fix")))</f>
        <v xml:space="preserve"> </v>
      </c>
      <c r="AB710" s="4" t="str">
        <f ca="1">IF(OR(INDEX($AG$2:$AG$1001,MATCH(ROWS($AF$2:AF710),$AF$2:$AF$1001,0),1)&gt;=100000,INDEX($AM$1005:$BM$1005,1,MATCH(COLUMNS($AM$1006:BM1006),$AM$1006:$BM$1006,0))&gt;=100000), " ",IF(INDEX($AM$2:$BM$1001,MATCH(ROWS($AF$2:AF710),$AF$2:$AF$1001,0),MATCH(COLUMNS($AM$1006:BM1006),$AM$1006:$BM$1006,0)), HYPERLINK("#",""), HYPERLINK(CONCATENATE("#metadata!", ADDRESS(INDEX($AH$2:$AH$1001,MATCH(ROWS($AF$2:AF710),$AF$2:$AF$1001,0),0), INDEX($AM$1004:$BM$1004,1,MATCH(COLUMNS($AM$1006:BM1006),$AM$1006:$BM$1006,0)))),"Fix")))</f>
        <v xml:space="preserve"> </v>
      </c>
      <c r="AF710">
        <v>709</v>
      </c>
      <c r="AG710">
        <v>100710</v>
      </c>
      <c r="AH710">
        <v>710</v>
      </c>
      <c r="AI710" t="b">
        <f t="shared" si="11"/>
        <v>1</v>
      </c>
      <c r="AJ710" t="b">
        <f>COUNTBLANK(metadata!B710:AB710)=COLUMNS(metadata!B710:AB710)</f>
        <v>1</v>
      </c>
      <c r="AK710" t="str">
        <v/>
      </c>
      <c r="AM710" t="b">
        <f ca="1">AND(IF(metadata!B710="",FALSE,TRUE),COUNTIF(metadata!B:B, metadata!B710) = 1,NOT(ISERROR(SUMPRODUCT(SEARCH(MID(metadata!B710,ROW(INDIRECT("1:"&amp;LEN(metadata!B710))), 1),"0123456789abcdefghijklmnopqrstuvwxyzABCDEFGHIJKLMNOPQRSTUVWXYZ.")))))</f>
        <v>0</v>
      </c>
      <c r="AN710" t="b">
        <f ca="1">OR(AND(IF(metadata!C710="",FALSE,TRUE),OR(EXACT(metadata!C710,"missing: not collected"),EXACT(metadata!C710,"missing: not provided"),EXACT(metadata!C710,"missing: restricted access"))),AND(IF(metadata!C710="",FALSE,TRUE),AND(AND(IFERROR(INT(LEFT(metadata!C710,4))&gt;1900,FALSE),IFERROR(INT(LEFT(metadata!C710,4))&lt;=YEAR(NOW()),FALSE)), OR(MID(metadata!C710,5,1)="", AND(AND(MID(metadata!C710,5,1)="-",IFERROR(INT(MID(metadata!C710,6,1))&gt;=0,FALSE),IFERROR(INT(MID(metadata!C710,6,1))&lt;=1,FALSE),NOT(MID(metadata!C710,7,1)=""),IFERROR(INT(MID(metadata!C710,6,2))&gt;=1,FALSE),IFERROR(INT(MID(metadata!C710,6,2))&lt;=12,FALSE)), OR(MID(metadata!C710,8,1)="", AND(AND(MID(metadata!C710,8,1)="-",IFERROR(INT(MID(metadata!C710,9,1))&gt;=0,FALSE),IFERROR(INT(MID(metadata!C710,9,1))&lt;=3,FALSE),NOT(MID(metadata!C710,10,1)=""),IFERROR(INT(MID(metadata!C710,9,2))&gt;=1,FALSE),IFERROR(INT(MID(metadata!C710,9,2))&lt;=31,FALSE)), OR(MID(metadata!C710,11,1)="", AND(AND(MID(metadata!C710,11,1)=" ",IFERROR(INT(MID(metadata!C710,12,1))&gt;=0,FALSE),IFERROR(INT(MID(metadata!C710,12,1))&lt;=2,FALSE),NOT(MID(metadata!C710,13,1)=""),IFERROR(INT(MID(metadata!C710,12,2))&gt;=0,FALSE),IFERROR(INT(MID(metadata!C710,12,2))&lt;=23,FALSE)), OR(MID(metadata!C710,14,1)="", AND(AND(MID(metadata!C710,14,1)=":",IFERROR(INT(MID(metadata!C710,15,1))&gt;=0,FALSE),IFERROR(INT(MID(metadata!C710,15,1))&lt;=5,FALSE),NOT(MID(metadata!C710,16,1)=""),IFERROR(INT(MID(metadata!C710,15,2))&gt;=0,FALSE),IFERROR(INT(MID(metadata!C710,15,2))&lt;=59,FALSE)), OR(MID(metadata!C710,17,1)="", AND(AND(MID(metadata!C710,17,1)=":",IFERROR(INT(MID(metadata!C710,18,1))&gt;=0,FALSE),IFERROR(INT(MID(metadata!C710,18,1))&lt;=5,FALSE),NOT(MID(metadata!C710,19,1)=""),IFERROR(INT(MID(metadata!C710,18,2))&gt;=0,FALSE),IFERROR(INT(MID(metadata!C710,18,2))&lt;=59,FALSE)), LEN(metadata!C710)&lt;=19)))))))))))))</f>
        <v>0</v>
      </c>
      <c r="AO710" t="b">
        <f>AND(IF(metadata!D710="",FALSE,TRUE),EXACT(metadata!D710,"Not applicable"))</f>
        <v>0</v>
      </c>
      <c r="AP710" t="b">
        <f>IF(metadata!E710="",FALSE,TRUE)</f>
        <v>0</v>
      </c>
      <c r="AQ710" t="b">
        <f>OR(AND(IF(metadata!F710="",FALSE,TRUE),OR(EXACT(metadata!F710,"missing: not collected"),EXACT(metadata!F710,"missing: not provided"))),AND(IF(metadata!F710="",FALSE,TRUE),OR(EXACT(metadata!F710,"TRUE"),EXACT(metadata!F710,"FALSE"))))</f>
        <v>0</v>
      </c>
      <c r="AR710" t="b">
        <f>OR(AND(IF(metadata!G710="",FALSE,TRUE),OR(EXACT(metadata!G710,"missing: not collected"),EXACT(metadata!G710,"missing: not provided"),EXACT(metadata!G710,"missing: restricted access"))),AND(IF(metadata!G710="",FALSE,ISNUMBER(VALUE(metadata!G710))),metadata!G710&gt;=-413))</f>
        <v>0</v>
      </c>
      <c r="AS710" t="b">
        <f>AND(IF(metadata!H710="",FALSE,TRUE),EXACT(metadata!H710,"meters"))</f>
        <v>0</v>
      </c>
      <c r="AT710" t="b">
        <f>AND(IF(metadata!I710="",FALSE,TRUE),OR(EXACT(metadata!I710,"Host-associated"),EXACT(metadata!I710,"Free-living")))</f>
        <v>0</v>
      </c>
      <c r="AU710" t="b">
        <f>AND(IF(metadata!J710="",FALSE,TRUE),OR(EXACT(metadata!J710,"Animal"),EXACT(metadata!J710,"Fungus"),EXACT(metadata!J710,"Plant"),EXACT(metadata!J710,"Saline"),EXACT(metadata!J710,"Non-saline")))</f>
        <v>0</v>
      </c>
      <c r="AV710" t="b">
        <f>AND(IF(metadata!K710="",FALSE,TRUE),OR(EXACT(metadata!K710,"Plant secretion"),EXACT(metadata!K710,"Plant rhizosphere"),EXACT(metadata!K710,"Plant surface"),EXACT(metadata!K710,"Plant corpus"),EXACT(metadata!K710,"Fungus surface"),EXACT(metadata!K710,"Fungus corpus"),EXACT(metadata!K710,"Animal surface"),EXACT(metadata!K710,"Animal proximal gut"),EXACT(metadata!K710,"Animal corpus"),EXACT(metadata!K710,"Animal distal gut"),EXACT(metadata!K710,"Animal secretion"),EXACT(metadata!K710,"Sub-surface (non-saline)"),EXACT(metadata!K710,"Surface (non-saline)"),EXACT(metadata!K710,"Water (non-saline)"),EXACT(metadata!K710,"Soil (non-saline)"),EXACT(metadata!K710,"Aerosol (non-saline)"),EXACT(metadata!K710,"Sediment (non-saline)"),EXACT(metadata!K710,"Surface (saline)"),EXACT(metadata!K710,"Water (saline)"),EXACT(metadata!K710,"Hypersaline (saline)"),EXACT(metadata!K710,"Aerosol (saline)"),EXACT(metadata!K710,"Sediment (saline)")))</f>
        <v>0</v>
      </c>
      <c r="AW710" t="b">
        <f>IF(metadata!L710="",FALSE,TRUE)</f>
        <v>0</v>
      </c>
      <c r="AX710" t="b">
        <f>IF(metadata!M710="",FALSE,TRUE)</f>
        <v>0</v>
      </c>
      <c r="AY710" t="b">
        <f>IF(metadata!N710="",FALSE,TRUE)</f>
        <v>0</v>
      </c>
      <c r="AZ710" t="b">
        <f>OR(AND(IF(metadata!O710="",FALSE,TRUE),OR(EXACT(metadata!O710,"missing: not collected"),EXACT(metadata!O710,"missing: not provided"),EXACT(metadata!O710,"missing: restricted access"))),AND(IF(metadata!O710="",FALSE,TRUE),OR(EXACT(metadata!O710,"air"),EXACT(metadata!O710,"built environment"),EXACT(metadata!O710,"host-associated"),EXACT(metadata!O710,"human-associated"),EXACT(metadata!O710,"human-skin"),EXACT(metadata!O710,"human-oral"),EXACT(metadata!O710,"human-gut"),EXACT(metadata!O710,"human-vaginal"),EXACT(metadata!O710,"microbial mat/biofilm"),EXACT(metadata!O710,"misc environment"),EXACT(metadata!O710,"plant-associated"),EXACT(metadata!O710,"sediment"),EXACT(metadata!O710,"soil"),EXACT(metadata!O710,"wastewater/sludge"),EXACT(metadata!O710,"water"))))</f>
        <v>0</v>
      </c>
      <c r="BA710" t="b">
        <f>IF(metadata!P710="",FALSE,TRUE)</f>
        <v>0</v>
      </c>
      <c r="BB710" t="b">
        <f>IF(metadata!Q710="",FALSE,TRUE)</f>
        <v>0</v>
      </c>
      <c r="BC710" t="b">
        <f>OR(AND(IF(metadata!R710="",FALSE,TRUE),OR(EXACT(metadata!R710,"missing: not collected"),EXACT(metadata!R710,"missing: not provided"),EXACT(metadata!R710,"missing: restricted access"))),AND(IF(metadata!R710="",FALSE,ISNUMBER(VALUE(metadata!R710))),metadata!R710&gt;=-90,metadata!R710&lt;=90))</f>
        <v>0</v>
      </c>
      <c r="BD710" t="b">
        <f>AND(IF(metadata!S710="",FALSE,TRUE),EXACT(metadata!S710,"Decimal degrees"))</f>
        <v>0</v>
      </c>
      <c r="BE710" t="b">
        <f>OR(AND(IF(metadata!T710="",FALSE,TRUE),OR(EXACT(metadata!T710,"missing: not collected"),EXACT(metadata!T710,"missing: not provided"),EXACT(metadata!T710,"missing: restricted access"))),AND(IF(metadata!T710="",FALSE,ISNUMBER(VALUE(metadata!T710))),metadata!T710&gt;=-180,metadata!T710&lt;=180))</f>
        <v>0</v>
      </c>
      <c r="BF710" t="b">
        <f>AND(IF(metadata!U710="",FALSE,TRUE),EXACT(metadata!U710,"Decimal degrees"))</f>
        <v>0</v>
      </c>
      <c r="BG710" t="b">
        <f>IF(metadata!V710="",FALSE,TRUE)</f>
        <v>0</v>
      </c>
      <c r="BH710" t="b">
        <f>OR(AND(IF(metadata!W710="",FALSE,TRUE),OR(EXACT(metadata!W710,"missing: not collected"),EXACT(metadata!W710,"missing: not provided"),EXACT(metadata!W710,"missing: restricted access"))),AND(IF(metadata!W710="",FALSE,TRUE),OR(EXACT(metadata!W710,"TRUE"),EXACT(metadata!W710,"FALSE"))))</f>
        <v>0</v>
      </c>
      <c r="BI710" t="b">
        <f>AND(IF(metadata!X710="",FALSE,TRUE),EXACT(metadata!X710,"other"))</f>
        <v>0</v>
      </c>
      <c r="BJ710" t="b">
        <f>IF(metadata!Y710="",FALSE,TRUE)</f>
        <v>0</v>
      </c>
      <c r="BK710" t="b">
        <f>OR(AND(IF(metadata!Z710="",FALSE,TRUE),OR(EXACT(metadata!Z710,"missing: not collected"),EXACT(metadata!Z710,"missing: not provided"))),AND(IF(metadata!Z710="",FALSE,IF(ISERROR(INT(metadata!Z710)),FALSE,INT(metadata!Z710)=metadata!Z710)),metadata!Z710&gt;0))</f>
        <v>0</v>
      </c>
      <c r="BL710" t="b">
        <f>AND(IF(metadata!AA710="",FALSE,TRUE),EXACT(metadata!AA710,"Not applicable"))</f>
        <v>0</v>
      </c>
      <c r="BM710" t="b">
        <f>IF(metadata!AB710="",FALSE,TRUE)</f>
        <v>0</v>
      </c>
    </row>
    <row r="711" spans="1:65" x14ac:dyDescent="0.2">
      <c r="A711" s="5" t="str">
        <f ca="1">IF(B711=" "," ",HYPERLINK(CONCATENATE("#metadata!",ADDRESS(INDEX($AH$2:$AH$1001,MATCH(ROWS($AF$2:AF711),$AF$2:$AF$1001,0),0),1)),INDEX($AK$2:$AK$1001,MATCH(ROWS($AF$2:AF711),$AF$2:$AF$1001,0),0)))</f>
        <v xml:space="preserve"> </v>
      </c>
      <c r="B711" s="4" t="str">
        <f ca="1">IF(OR(INDEX($AG$2:$AG$1001,MATCH(ROWS($AF$2:AF711),$AF$2:$AF$1001,0),1)&gt;=100000,INDEX($AM$1005:$BM$1005,1,MATCH(COLUMNS($AM$1006:AM1006),$AM$1006:$BM$1006,0))&gt;=100000), " ",IF(INDEX($AM$2:$BM$1001,MATCH(ROWS($AF$2:AF711),$AF$2:$AF$1001,0),MATCH(COLUMNS($AM$1006:AM1006),$AM$1006:$BM$1006,0)), HYPERLINK("#",""), HYPERLINK(CONCATENATE("#metadata!", ADDRESS(INDEX($AH$2:$AH$1001,MATCH(ROWS($AF$2:AF711),$AF$2:$AF$1001,0),0), INDEX($AM$1004:$BM$1004,1,MATCH(COLUMNS($AM$1006:AM1006),$AM$1006:$BM$1006,0)))),"Fix")))</f>
        <v xml:space="preserve"> </v>
      </c>
      <c r="C711" s="4" t="str">
        <f ca="1">IF(OR(INDEX($AG$2:$AG$1001,MATCH(ROWS($AF$2:AF711),$AF$2:$AF$1001,0),1)&gt;=100000,INDEX($AM$1005:$BM$1005,1,MATCH(COLUMNS($AM$1006:AN1006),$AM$1006:$BM$1006,0))&gt;=100000), " ",IF(INDEX($AM$2:$BM$1001,MATCH(ROWS($AF$2:AF711),$AF$2:$AF$1001,0),MATCH(COLUMNS($AM$1006:AN1006),$AM$1006:$BM$1006,0)), HYPERLINK("#",""), HYPERLINK(CONCATENATE("#metadata!", ADDRESS(INDEX($AH$2:$AH$1001,MATCH(ROWS($AF$2:AF711),$AF$2:$AF$1001,0),0), INDEX($AM$1004:$BM$1004,1,MATCH(COLUMNS($AM$1006:AN1006),$AM$1006:$BM$1006,0)))),"Fix")))</f>
        <v xml:space="preserve"> </v>
      </c>
      <c r="D711" s="4" t="str">
        <f ca="1">IF(OR(INDEX($AG$2:$AG$1001,MATCH(ROWS($AF$2:AF711),$AF$2:$AF$1001,0),1)&gt;=100000,INDEX($AM$1005:$BM$1005,1,MATCH(COLUMNS($AM$1006:AO1006),$AM$1006:$BM$1006,0))&gt;=100000), " ",IF(INDEX($AM$2:$BM$1001,MATCH(ROWS($AF$2:AF711),$AF$2:$AF$1001,0),MATCH(COLUMNS($AM$1006:AO1006),$AM$1006:$BM$1006,0)), HYPERLINK("#",""), HYPERLINK(CONCATENATE("#metadata!", ADDRESS(INDEX($AH$2:$AH$1001,MATCH(ROWS($AF$2:AF711),$AF$2:$AF$1001,0),0), INDEX($AM$1004:$BM$1004,1,MATCH(COLUMNS($AM$1006:AO1006),$AM$1006:$BM$1006,0)))),"Fix")))</f>
        <v xml:space="preserve"> </v>
      </c>
      <c r="E711" s="4" t="str">
        <f ca="1">IF(OR(INDEX($AG$2:$AG$1001,MATCH(ROWS($AF$2:AF711),$AF$2:$AF$1001,0),1)&gt;=100000,INDEX($AM$1005:$BM$1005,1,MATCH(COLUMNS($AM$1006:AP1006),$AM$1006:$BM$1006,0))&gt;=100000), " ",IF(INDEX($AM$2:$BM$1001,MATCH(ROWS($AF$2:AF711),$AF$2:$AF$1001,0),MATCH(COLUMNS($AM$1006:AP1006),$AM$1006:$BM$1006,0)), HYPERLINK("#",""), HYPERLINK(CONCATENATE("#metadata!", ADDRESS(INDEX($AH$2:$AH$1001,MATCH(ROWS($AF$2:AF711),$AF$2:$AF$1001,0),0), INDEX($AM$1004:$BM$1004,1,MATCH(COLUMNS($AM$1006:AP1006),$AM$1006:$BM$1006,0)))),"Fix")))</f>
        <v xml:space="preserve"> </v>
      </c>
      <c r="F711" s="4" t="str">
        <f ca="1">IF(OR(INDEX($AG$2:$AG$1001,MATCH(ROWS($AF$2:AF711),$AF$2:$AF$1001,0),1)&gt;=100000,INDEX($AM$1005:$BM$1005,1,MATCH(COLUMNS($AM$1006:AQ1006),$AM$1006:$BM$1006,0))&gt;=100000), " ",IF(INDEX($AM$2:$BM$1001,MATCH(ROWS($AF$2:AF711),$AF$2:$AF$1001,0),MATCH(COLUMNS($AM$1006:AQ1006),$AM$1006:$BM$1006,0)), HYPERLINK("#",""), HYPERLINK(CONCATENATE("#metadata!", ADDRESS(INDEX($AH$2:$AH$1001,MATCH(ROWS($AF$2:AF711),$AF$2:$AF$1001,0),0), INDEX($AM$1004:$BM$1004,1,MATCH(COLUMNS($AM$1006:AQ1006),$AM$1006:$BM$1006,0)))),"Fix")))</f>
        <v xml:space="preserve"> </v>
      </c>
      <c r="G711" s="4" t="str">
        <f ca="1">IF(OR(INDEX($AG$2:$AG$1001,MATCH(ROWS($AF$2:AF711),$AF$2:$AF$1001,0),1)&gt;=100000,INDEX($AM$1005:$BM$1005,1,MATCH(COLUMNS($AM$1006:AR1006),$AM$1006:$BM$1006,0))&gt;=100000), " ",IF(INDEX($AM$2:$BM$1001,MATCH(ROWS($AF$2:AF711),$AF$2:$AF$1001,0),MATCH(COLUMNS($AM$1006:AR1006),$AM$1006:$BM$1006,0)), HYPERLINK("#",""), HYPERLINK(CONCATENATE("#metadata!", ADDRESS(INDEX($AH$2:$AH$1001,MATCH(ROWS($AF$2:AF711),$AF$2:$AF$1001,0),0), INDEX($AM$1004:$BM$1004,1,MATCH(COLUMNS($AM$1006:AR1006),$AM$1006:$BM$1006,0)))),"Fix")))</f>
        <v xml:space="preserve"> </v>
      </c>
      <c r="H711" s="4" t="str">
        <f ca="1">IF(OR(INDEX($AG$2:$AG$1001,MATCH(ROWS($AF$2:AF711),$AF$2:$AF$1001,0),1)&gt;=100000,INDEX($AM$1005:$BM$1005,1,MATCH(COLUMNS($AM$1006:AS1006),$AM$1006:$BM$1006,0))&gt;=100000), " ",IF(INDEX($AM$2:$BM$1001,MATCH(ROWS($AF$2:AF711),$AF$2:$AF$1001,0),MATCH(COLUMNS($AM$1006:AS1006),$AM$1006:$BM$1006,0)), HYPERLINK("#",""), HYPERLINK(CONCATENATE("#metadata!", ADDRESS(INDEX($AH$2:$AH$1001,MATCH(ROWS($AF$2:AF711),$AF$2:$AF$1001,0),0), INDEX($AM$1004:$BM$1004,1,MATCH(COLUMNS($AM$1006:AS1006),$AM$1006:$BM$1006,0)))),"Fix")))</f>
        <v xml:space="preserve"> </v>
      </c>
      <c r="I711" s="4" t="str">
        <f ca="1">IF(OR(INDEX($AG$2:$AG$1001,MATCH(ROWS($AF$2:AF711),$AF$2:$AF$1001,0),1)&gt;=100000,INDEX($AM$1005:$BM$1005,1,MATCH(COLUMNS($AM$1006:AT1006),$AM$1006:$BM$1006,0))&gt;=100000), " ",IF(INDEX($AM$2:$BM$1001,MATCH(ROWS($AF$2:AF711),$AF$2:$AF$1001,0),MATCH(COLUMNS($AM$1006:AT1006),$AM$1006:$BM$1006,0)), HYPERLINK("#",""), HYPERLINK(CONCATENATE("#metadata!", ADDRESS(INDEX($AH$2:$AH$1001,MATCH(ROWS($AF$2:AF711),$AF$2:$AF$1001,0),0), INDEX($AM$1004:$BM$1004,1,MATCH(COLUMNS($AM$1006:AT1006),$AM$1006:$BM$1006,0)))),"Fix")))</f>
        <v xml:space="preserve"> </v>
      </c>
      <c r="J711" s="4" t="str">
        <f ca="1">IF(OR(INDEX($AG$2:$AG$1001,MATCH(ROWS($AF$2:AF711),$AF$2:$AF$1001,0),1)&gt;=100000,INDEX($AM$1005:$BM$1005,1,MATCH(COLUMNS($AM$1006:AU1006),$AM$1006:$BM$1006,0))&gt;=100000), " ",IF(INDEX($AM$2:$BM$1001,MATCH(ROWS($AF$2:AF711),$AF$2:$AF$1001,0),MATCH(COLUMNS($AM$1006:AU1006),$AM$1006:$BM$1006,0)), HYPERLINK("#",""), HYPERLINK(CONCATENATE("#metadata!", ADDRESS(INDEX($AH$2:$AH$1001,MATCH(ROWS($AF$2:AF711),$AF$2:$AF$1001,0),0), INDEX($AM$1004:$BM$1004,1,MATCH(COLUMNS($AM$1006:AU1006),$AM$1006:$BM$1006,0)))),"Fix")))</f>
        <v xml:space="preserve"> </v>
      </c>
      <c r="K711" s="4" t="str">
        <f ca="1">IF(OR(INDEX($AG$2:$AG$1001,MATCH(ROWS($AF$2:AF711),$AF$2:$AF$1001,0),1)&gt;=100000,INDEX($AM$1005:$BM$1005,1,MATCH(COLUMNS($AM$1006:AV1006),$AM$1006:$BM$1006,0))&gt;=100000), " ",IF(INDEX($AM$2:$BM$1001,MATCH(ROWS($AF$2:AF711),$AF$2:$AF$1001,0),MATCH(COLUMNS($AM$1006:AV1006),$AM$1006:$BM$1006,0)), HYPERLINK("#",""), HYPERLINK(CONCATENATE("#metadata!", ADDRESS(INDEX($AH$2:$AH$1001,MATCH(ROWS($AF$2:AF711),$AF$2:$AF$1001,0),0), INDEX($AM$1004:$BM$1004,1,MATCH(COLUMNS($AM$1006:AV1006),$AM$1006:$BM$1006,0)))),"Fix")))</f>
        <v xml:space="preserve"> </v>
      </c>
      <c r="L711" s="4" t="str">
        <f ca="1">IF(OR(INDEX($AG$2:$AG$1001,MATCH(ROWS($AF$2:AF711),$AF$2:$AF$1001,0),1)&gt;=100000,INDEX($AM$1005:$BM$1005,1,MATCH(COLUMNS($AM$1006:AW1006),$AM$1006:$BM$1006,0))&gt;=100000), " ",IF(INDEX($AM$2:$BM$1001,MATCH(ROWS($AF$2:AF711),$AF$2:$AF$1001,0),MATCH(COLUMNS($AM$1006:AW1006),$AM$1006:$BM$1006,0)), HYPERLINK("#",""), HYPERLINK(CONCATENATE("#metadata!", ADDRESS(INDEX($AH$2:$AH$1001,MATCH(ROWS($AF$2:AF711),$AF$2:$AF$1001,0),0), INDEX($AM$1004:$BM$1004,1,MATCH(COLUMNS($AM$1006:AW1006),$AM$1006:$BM$1006,0)))),"Fix")))</f>
        <v xml:space="preserve"> </v>
      </c>
      <c r="M711" s="4" t="str">
        <f ca="1">IF(OR(INDEX($AG$2:$AG$1001,MATCH(ROWS($AF$2:AF711),$AF$2:$AF$1001,0),1)&gt;=100000,INDEX($AM$1005:$BM$1005,1,MATCH(COLUMNS($AM$1006:AX1006),$AM$1006:$BM$1006,0))&gt;=100000), " ",IF(INDEX($AM$2:$BM$1001,MATCH(ROWS($AF$2:AF711),$AF$2:$AF$1001,0),MATCH(COLUMNS($AM$1006:AX1006),$AM$1006:$BM$1006,0)), HYPERLINK("#",""), HYPERLINK(CONCATENATE("#metadata!", ADDRESS(INDEX($AH$2:$AH$1001,MATCH(ROWS($AF$2:AF711),$AF$2:$AF$1001,0),0), INDEX($AM$1004:$BM$1004,1,MATCH(COLUMNS($AM$1006:AX1006),$AM$1006:$BM$1006,0)))),"Fix")))</f>
        <v xml:space="preserve"> </v>
      </c>
      <c r="N711" s="4" t="str">
        <f ca="1">IF(OR(INDEX($AG$2:$AG$1001,MATCH(ROWS($AF$2:AF711),$AF$2:$AF$1001,0),1)&gt;=100000,INDEX($AM$1005:$BM$1005,1,MATCH(COLUMNS($AM$1006:AY1006),$AM$1006:$BM$1006,0))&gt;=100000), " ",IF(INDEX($AM$2:$BM$1001,MATCH(ROWS($AF$2:AF711),$AF$2:$AF$1001,0),MATCH(COLUMNS($AM$1006:AY1006),$AM$1006:$BM$1006,0)), HYPERLINK("#",""), HYPERLINK(CONCATENATE("#metadata!", ADDRESS(INDEX($AH$2:$AH$1001,MATCH(ROWS($AF$2:AF711),$AF$2:$AF$1001,0),0), INDEX($AM$1004:$BM$1004,1,MATCH(COLUMNS($AM$1006:AY1006),$AM$1006:$BM$1006,0)))),"Fix")))</f>
        <v xml:space="preserve"> </v>
      </c>
      <c r="O711" s="4" t="str">
        <f ca="1">IF(OR(INDEX($AG$2:$AG$1001,MATCH(ROWS($AF$2:AF711),$AF$2:$AF$1001,0),1)&gt;=100000,INDEX($AM$1005:$BM$1005,1,MATCH(COLUMNS($AM$1006:AZ1006),$AM$1006:$BM$1006,0))&gt;=100000), " ",IF(INDEX($AM$2:$BM$1001,MATCH(ROWS($AF$2:AF711),$AF$2:$AF$1001,0),MATCH(COLUMNS($AM$1006:AZ1006),$AM$1006:$BM$1006,0)), HYPERLINK("#",""), HYPERLINK(CONCATENATE("#metadata!", ADDRESS(INDEX($AH$2:$AH$1001,MATCH(ROWS($AF$2:AF711),$AF$2:$AF$1001,0),0), INDEX($AM$1004:$BM$1004,1,MATCH(COLUMNS($AM$1006:AZ1006),$AM$1006:$BM$1006,0)))),"Fix")))</f>
        <v xml:space="preserve"> </v>
      </c>
      <c r="P711" s="4" t="str">
        <f ca="1">IF(OR(INDEX($AG$2:$AG$1001,MATCH(ROWS($AF$2:AF711),$AF$2:$AF$1001,0),1)&gt;=100000,INDEX($AM$1005:$BM$1005,1,MATCH(COLUMNS($AM$1006:BA1006),$AM$1006:$BM$1006,0))&gt;=100000), " ",IF(INDEX($AM$2:$BM$1001,MATCH(ROWS($AF$2:AF711),$AF$2:$AF$1001,0),MATCH(COLUMNS($AM$1006:BA1006),$AM$1006:$BM$1006,0)), HYPERLINK("#",""), HYPERLINK(CONCATENATE("#metadata!", ADDRESS(INDEX($AH$2:$AH$1001,MATCH(ROWS($AF$2:AF711),$AF$2:$AF$1001,0),0), INDEX($AM$1004:$BM$1004,1,MATCH(COLUMNS($AM$1006:BA1006),$AM$1006:$BM$1006,0)))),"Fix")))</f>
        <v xml:space="preserve"> </v>
      </c>
      <c r="Q711" s="4" t="str">
        <f ca="1">IF(OR(INDEX($AG$2:$AG$1001,MATCH(ROWS($AF$2:AF711),$AF$2:$AF$1001,0),1)&gt;=100000,INDEX($AM$1005:$BM$1005,1,MATCH(COLUMNS($AM$1006:BB1006),$AM$1006:$BM$1006,0))&gt;=100000), " ",IF(INDEX($AM$2:$BM$1001,MATCH(ROWS($AF$2:AF711),$AF$2:$AF$1001,0),MATCH(COLUMNS($AM$1006:BB1006),$AM$1006:$BM$1006,0)), HYPERLINK("#",""), HYPERLINK(CONCATENATE("#metadata!", ADDRESS(INDEX($AH$2:$AH$1001,MATCH(ROWS($AF$2:AF711),$AF$2:$AF$1001,0),0), INDEX($AM$1004:$BM$1004,1,MATCH(COLUMNS($AM$1006:BB1006),$AM$1006:$BM$1006,0)))),"Fix")))</f>
        <v xml:space="preserve"> </v>
      </c>
      <c r="R711" s="4" t="str">
        <f ca="1">IF(OR(INDEX($AG$2:$AG$1001,MATCH(ROWS($AF$2:AF711),$AF$2:$AF$1001,0),1)&gt;=100000,INDEX($AM$1005:$BM$1005,1,MATCH(COLUMNS($AM$1006:BC1006),$AM$1006:$BM$1006,0))&gt;=100000), " ",IF(INDEX($AM$2:$BM$1001,MATCH(ROWS($AF$2:AF711),$AF$2:$AF$1001,0),MATCH(COLUMNS($AM$1006:BC1006),$AM$1006:$BM$1006,0)), HYPERLINK("#",""), HYPERLINK(CONCATENATE("#metadata!", ADDRESS(INDEX($AH$2:$AH$1001,MATCH(ROWS($AF$2:AF711),$AF$2:$AF$1001,0),0), INDEX($AM$1004:$BM$1004,1,MATCH(COLUMNS($AM$1006:BC1006),$AM$1006:$BM$1006,0)))),"Fix")))</f>
        <v xml:space="preserve"> </v>
      </c>
      <c r="S711" s="4" t="str">
        <f ca="1">IF(OR(INDEX($AG$2:$AG$1001,MATCH(ROWS($AF$2:AF711),$AF$2:$AF$1001,0),1)&gt;=100000,INDEX($AM$1005:$BM$1005,1,MATCH(COLUMNS($AM$1006:BD1006),$AM$1006:$BM$1006,0))&gt;=100000), " ",IF(INDEX($AM$2:$BM$1001,MATCH(ROWS($AF$2:AF711),$AF$2:$AF$1001,0),MATCH(COLUMNS($AM$1006:BD1006),$AM$1006:$BM$1006,0)), HYPERLINK("#",""), HYPERLINK(CONCATENATE("#metadata!", ADDRESS(INDEX($AH$2:$AH$1001,MATCH(ROWS($AF$2:AF711),$AF$2:$AF$1001,0),0), INDEX($AM$1004:$BM$1004,1,MATCH(COLUMNS($AM$1006:BD1006),$AM$1006:$BM$1006,0)))),"Fix")))</f>
        <v xml:space="preserve"> </v>
      </c>
      <c r="T711" s="4" t="str">
        <f ca="1">IF(OR(INDEX($AG$2:$AG$1001,MATCH(ROWS($AF$2:AF711),$AF$2:$AF$1001,0),1)&gt;=100000,INDEX($AM$1005:$BM$1005,1,MATCH(COLUMNS($AM$1006:BE1006),$AM$1006:$BM$1006,0))&gt;=100000), " ",IF(INDEX($AM$2:$BM$1001,MATCH(ROWS($AF$2:AF711),$AF$2:$AF$1001,0),MATCH(COLUMNS($AM$1006:BE1006),$AM$1006:$BM$1006,0)), HYPERLINK("#",""), HYPERLINK(CONCATENATE("#metadata!", ADDRESS(INDEX($AH$2:$AH$1001,MATCH(ROWS($AF$2:AF711),$AF$2:$AF$1001,0),0), INDEX($AM$1004:$BM$1004,1,MATCH(COLUMNS($AM$1006:BE1006),$AM$1006:$BM$1006,0)))),"Fix")))</f>
        <v xml:space="preserve"> </v>
      </c>
      <c r="U711" s="4" t="str">
        <f ca="1">IF(OR(INDEX($AG$2:$AG$1001,MATCH(ROWS($AF$2:AF711),$AF$2:$AF$1001,0),1)&gt;=100000,INDEX($AM$1005:$BM$1005,1,MATCH(COLUMNS($AM$1006:BF1006),$AM$1006:$BM$1006,0))&gt;=100000), " ",IF(INDEX($AM$2:$BM$1001,MATCH(ROWS($AF$2:AF711),$AF$2:$AF$1001,0),MATCH(COLUMNS($AM$1006:BF1006),$AM$1006:$BM$1006,0)), HYPERLINK("#",""), HYPERLINK(CONCATENATE("#metadata!", ADDRESS(INDEX($AH$2:$AH$1001,MATCH(ROWS($AF$2:AF711),$AF$2:$AF$1001,0),0), INDEX($AM$1004:$BM$1004,1,MATCH(COLUMNS($AM$1006:BF1006),$AM$1006:$BM$1006,0)))),"Fix")))</f>
        <v xml:space="preserve"> </v>
      </c>
      <c r="V711" s="4" t="str">
        <f ca="1">IF(OR(INDEX($AG$2:$AG$1001,MATCH(ROWS($AF$2:AF711),$AF$2:$AF$1001,0),1)&gt;=100000,INDEX($AM$1005:$BM$1005,1,MATCH(COLUMNS($AM$1006:BG1006),$AM$1006:$BM$1006,0))&gt;=100000), " ",IF(INDEX($AM$2:$BM$1001,MATCH(ROWS($AF$2:AF711),$AF$2:$AF$1001,0),MATCH(COLUMNS($AM$1006:BG1006),$AM$1006:$BM$1006,0)), HYPERLINK("#",""), HYPERLINK(CONCATENATE("#metadata!", ADDRESS(INDEX($AH$2:$AH$1001,MATCH(ROWS($AF$2:AF711),$AF$2:$AF$1001,0),0), INDEX($AM$1004:$BM$1004,1,MATCH(COLUMNS($AM$1006:BG1006),$AM$1006:$BM$1006,0)))),"Fix")))</f>
        <v xml:space="preserve"> </v>
      </c>
      <c r="W711" s="4" t="str">
        <f ca="1">IF(OR(INDEX($AG$2:$AG$1001,MATCH(ROWS($AF$2:AF711),$AF$2:$AF$1001,0),1)&gt;=100000,INDEX($AM$1005:$BM$1005,1,MATCH(COLUMNS($AM$1006:BH1006),$AM$1006:$BM$1006,0))&gt;=100000), " ",IF(INDEX($AM$2:$BM$1001,MATCH(ROWS($AF$2:AF711),$AF$2:$AF$1001,0),MATCH(COLUMNS($AM$1006:BH1006),$AM$1006:$BM$1006,0)), HYPERLINK("#",""), HYPERLINK(CONCATENATE("#metadata!", ADDRESS(INDEX($AH$2:$AH$1001,MATCH(ROWS($AF$2:AF711),$AF$2:$AF$1001,0),0), INDEX($AM$1004:$BM$1004,1,MATCH(COLUMNS($AM$1006:BH1006),$AM$1006:$BM$1006,0)))),"Fix")))</f>
        <v xml:space="preserve"> </v>
      </c>
      <c r="X711" s="4" t="str">
        <f ca="1">IF(OR(INDEX($AG$2:$AG$1001,MATCH(ROWS($AF$2:AF711),$AF$2:$AF$1001,0),1)&gt;=100000,INDEX($AM$1005:$BM$1005,1,MATCH(COLUMNS($AM$1006:BI1006),$AM$1006:$BM$1006,0))&gt;=100000), " ",IF(INDEX($AM$2:$BM$1001,MATCH(ROWS($AF$2:AF711),$AF$2:$AF$1001,0),MATCH(COLUMNS($AM$1006:BI1006),$AM$1006:$BM$1006,0)), HYPERLINK("#",""), HYPERLINK(CONCATENATE("#metadata!", ADDRESS(INDEX($AH$2:$AH$1001,MATCH(ROWS($AF$2:AF711),$AF$2:$AF$1001,0),0), INDEX($AM$1004:$BM$1004,1,MATCH(COLUMNS($AM$1006:BI1006),$AM$1006:$BM$1006,0)))),"Fix")))</f>
        <v xml:space="preserve"> </v>
      </c>
      <c r="Y711" s="4" t="str">
        <f ca="1">IF(OR(INDEX($AG$2:$AG$1001,MATCH(ROWS($AF$2:AF711),$AF$2:$AF$1001,0),1)&gt;=100000,INDEX($AM$1005:$BM$1005,1,MATCH(COLUMNS($AM$1006:BJ1006),$AM$1006:$BM$1006,0))&gt;=100000), " ",IF(INDEX($AM$2:$BM$1001,MATCH(ROWS($AF$2:AF711),$AF$2:$AF$1001,0),MATCH(COLUMNS($AM$1006:BJ1006),$AM$1006:$BM$1006,0)), HYPERLINK("#",""), HYPERLINK(CONCATENATE("#metadata!", ADDRESS(INDEX($AH$2:$AH$1001,MATCH(ROWS($AF$2:AF711),$AF$2:$AF$1001,0),0), INDEX($AM$1004:$BM$1004,1,MATCH(COLUMNS($AM$1006:BJ1006),$AM$1006:$BM$1006,0)))),"Fix")))</f>
        <v xml:space="preserve"> </v>
      </c>
      <c r="Z711" s="4" t="str">
        <f ca="1">IF(OR(INDEX($AG$2:$AG$1001,MATCH(ROWS($AF$2:AF711),$AF$2:$AF$1001,0),1)&gt;=100000,INDEX($AM$1005:$BM$1005,1,MATCH(COLUMNS($AM$1006:BK1006),$AM$1006:$BM$1006,0))&gt;=100000), " ",IF(INDEX($AM$2:$BM$1001,MATCH(ROWS($AF$2:AF711),$AF$2:$AF$1001,0),MATCH(COLUMNS($AM$1006:BK1006),$AM$1006:$BM$1006,0)), HYPERLINK("#",""), HYPERLINK(CONCATENATE("#metadata!", ADDRESS(INDEX($AH$2:$AH$1001,MATCH(ROWS($AF$2:AF711),$AF$2:$AF$1001,0),0), INDEX($AM$1004:$BM$1004,1,MATCH(COLUMNS($AM$1006:BK1006),$AM$1006:$BM$1006,0)))),"Fix")))</f>
        <v xml:space="preserve"> </v>
      </c>
      <c r="AA711" s="4" t="str">
        <f ca="1">IF(OR(INDEX($AG$2:$AG$1001,MATCH(ROWS($AF$2:AF711),$AF$2:$AF$1001,0),1)&gt;=100000,INDEX($AM$1005:$BM$1005,1,MATCH(COLUMNS($AM$1006:BL1006),$AM$1006:$BM$1006,0))&gt;=100000), " ",IF(INDEX($AM$2:$BM$1001,MATCH(ROWS($AF$2:AF711),$AF$2:$AF$1001,0),MATCH(COLUMNS($AM$1006:BL1006),$AM$1006:$BM$1006,0)), HYPERLINK("#",""), HYPERLINK(CONCATENATE("#metadata!", ADDRESS(INDEX($AH$2:$AH$1001,MATCH(ROWS($AF$2:AF711),$AF$2:$AF$1001,0),0), INDEX($AM$1004:$BM$1004,1,MATCH(COLUMNS($AM$1006:BL1006),$AM$1006:$BM$1006,0)))),"Fix")))</f>
        <v xml:space="preserve"> </v>
      </c>
      <c r="AB711" s="4" t="str">
        <f ca="1">IF(OR(INDEX($AG$2:$AG$1001,MATCH(ROWS($AF$2:AF711),$AF$2:$AF$1001,0),1)&gt;=100000,INDEX($AM$1005:$BM$1005,1,MATCH(COLUMNS($AM$1006:BM1006),$AM$1006:$BM$1006,0))&gt;=100000), " ",IF(INDEX($AM$2:$BM$1001,MATCH(ROWS($AF$2:AF711),$AF$2:$AF$1001,0),MATCH(COLUMNS($AM$1006:BM1006),$AM$1006:$BM$1006,0)), HYPERLINK("#",""), HYPERLINK(CONCATENATE("#metadata!", ADDRESS(INDEX($AH$2:$AH$1001,MATCH(ROWS($AF$2:AF711),$AF$2:$AF$1001,0),0), INDEX($AM$1004:$BM$1004,1,MATCH(COLUMNS($AM$1006:BM1006),$AM$1006:$BM$1006,0)))),"Fix")))</f>
        <v xml:space="preserve"> </v>
      </c>
      <c r="AF711">
        <v>710</v>
      </c>
      <c r="AG711">
        <v>100711</v>
      </c>
      <c r="AH711">
        <v>711</v>
      </c>
      <c r="AI711" t="b">
        <f t="shared" si="11"/>
        <v>1</v>
      </c>
      <c r="AJ711" t="b">
        <f>COUNTBLANK(metadata!B711:AB711)=COLUMNS(metadata!B711:AB711)</f>
        <v>1</v>
      </c>
      <c r="AK711" t="str">
        <v/>
      </c>
      <c r="AM711" t="b">
        <f ca="1">AND(IF(metadata!B711="",FALSE,TRUE),COUNTIF(metadata!B:B, metadata!B711) = 1,NOT(ISERROR(SUMPRODUCT(SEARCH(MID(metadata!B711,ROW(INDIRECT("1:"&amp;LEN(metadata!B711))), 1),"0123456789abcdefghijklmnopqrstuvwxyzABCDEFGHIJKLMNOPQRSTUVWXYZ.")))))</f>
        <v>0</v>
      </c>
      <c r="AN711" t="b">
        <f ca="1">OR(AND(IF(metadata!C711="",FALSE,TRUE),OR(EXACT(metadata!C711,"missing: not collected"),EXACT(metadata!C711,"missing: not provided"),EXACT(metadata!C711,"missing: restricted access"))),AND(IF(metadata!C711="",FALSE,TRUE),AND(AND(IFERROR(INT(LEFT(metadata!C711,4))&gt;1900,FALSE),IFERROR(INT(LEFT(metadata!C711,4))&lt;=YEAR(NOW()),FALSE)), OR(MID(metadata!C711,5,1)="", AND(AND(MID(metadata!C711,5,1)="-",IFERROR(INT(MID(metadata!C711,6,1))&gt;=0,FALSE),IFERROR(INT(MID(metadata!C711,6,1))&lt;=1,FALSE),NOT(MID(metadata!C711,7,1)=""),IFERROR(INT(MID(metadata!C711,6,2))&gt;=1,FALSE),IFERROR(INT(MID(metadata!C711,6,2))&lt;=12,FALSE)), OR(MID(metadata!C711,8,1)="", AND(AND(MID(metadata!C711,8,1)="-",IFERROR(INT(MID(metadata!C711,9,1))&gt;=0,FALSE),IFERROR(INT(MID(metadata!C711,9,1))&lt;=3,FALSE),NOT(MID(metadata!C711,10,1)=""),IFERROR(INT(MID(metadata!C711,9,2))&gt;=1,FALSE),IFERROR(INT(MID(metadata!C711,9,2))&lt;=31,FALSE)), OR(MID(metadata!C711,11,1)="", AND(AND(MID(metadata!C711,11,1)=" ",IFERROR(INT(MID(metadata!C711,12,1))&gt;=0,FALSE),IFERROR(INT(MID(metadata!C711,12,1))&lt;=2,FALSE),NOT(MID(metadata!C711,13,1)=""),IFERROR(INT(MID(metadata!C711,12,2))&gt;=0,FALSE),IFERROR(INT(MID(metadata!C711,12,2))&lt;=23,FALSE)), OR(MID(metadata!C711,14,1)="", AND(AND(MID(metadata!C711,14,1)=":",IFERROR(INT(MID(metadata!C711,15,1))&gt;=0,FALSE),IFERROR(INT(MID(metadata!C711,15,1))&lt;=5,FALSE),NOT(MID(metadata!C711,16,1)=""),IFERROR(INT(MID(metadata!C711,15,2))&gt;=0,FALSE),IFERROR(INT(MID(metadata!C711,15,2))&lt;=59,FALSE)), OR(MID(metadata!C711,17,1)="", AND(AND(MID(metadata!C711,17,1)=":",IFERROR(INT(MID(metadata!C711,18,1))&gt;=0,FALSE),IFERROR(INT(MID(metadata!C711,18,1))&lt;=5,FALSE),NOT(MID(metadata!C711,19,1)=""),IFERROR(INT(MID(metadata!C711,18,2))&gt;=0,FALSE),IFERROR(INT(MID(metadata!C711,18,2))&lt;=59,FALSE)), LEN(metadata!C711)&lt;=19)))))))))))))</f>
        <v>0</v>
      </c>
      <c r="AO711" t="b">
        <f>AND(IF(metadata!D711="",FALSE,TRUE),EXACT(metadata!D711,"Not applicable"))</f>
        <v>0</v>
      </c>
      <c r="AP711" t="b">
        <f>IF(metadata!E711="",FALSE,TRUE)</f>
        <v>0</v>
      </c>
      <c r="AQ711" t="b">
        <f>OR(AND(IF(metadata!F711="",FALSE,TRUE),OR(EXACT(metadata!F711,"missing: not collected"),EXACT(metadata!F711,"missing: not provided"))),AND(IF(metadata!F711="",FALSE,TRUE),OR(EXACT(metadata!F711,"TRUE"),EXACT(metadata!F711,"FALSE"))))</f>
        <v>0</v>
      </c>
      <c r="AR711" t="b">
        <f>OR(AND(IF(metadata!G711="",FALSE,TRUE),OR(EXACT(metadata!G711,"missing: not collected"),EXACT(metadata!G711,"missing: not provided"),EXACT(metadata!G711,"missing: restricted access"))),AND(IF(metadata!G711="",FALSE,ISNUMBER(VALUE(metadata!G711))),metadata!G711&gt;=-413))</f>
        <v>0</v>
      </c>
      <c r="AS711" t="b">
        <f>AND(IF(metadata!H711="",FALSE,TRUE),EXACT(metadata!H711,"meters"))</f>
        <v>0</v>
      </c>
      <c r="AT711" t="b">
        <f>AND(IF(metadata!I711="",FALSE,TRUE),OR(EXACT(metadata!I711,"Host-associated"),EXACT(metadata!I711,"Free-living")))</f>
        <v>0</v>
      </c>
      <c r="AU711" t="b">
        <f>AND(IF(metadata!J711="",FALSE,TRUE),OR(EXACT(metadata!J711,"Animal"),EXACT(metadata!J711,"Fungus"),EXACT(metadata!J711,"Plant"),EXACT(metadata!J711,"Saline"),EXACT(metadata!J711,"Non-saline")))</f>
        <v>0</v>
      </c>
      <c r="AV711" t="b">
        <f>AND(IF(metadata!K711="",FALSE,TRUE),OR(EXACT(metadata!K711,"Plant secretion"),EXACT(metadata!K711,"Plant rhizosphere"),EXACT(metadata!K711,"Plant surface"),EXACT(metadata!K711,"Plant corpus"),EXACT(metadata!K711,"Fungus surface"),EXACT(metadata!K711,"Fungus corpus"),EXACT(metadata!K711,"Animal surface"),EXACT(metadata!K711,"Animal proximal gut"),EXACT(metadata!K711,"Animal corpus"),EXACT(metadata!K711,"Animal distal gut"),EXACT(metadata!K711,"Animal secretion"),EXACT(metadata!K711,"Sub-surface (non-saline)"),EXACT(metadata!K711,"Surface (non-saline)"),EXACT(metadata!K711,"Water (non-saline)"),EXACT(metadata!K711,"Soil (non-saline)"),EXACT(metadata!K711,"Aerosol (non-saline)"),EXACT(metadata!K711,"Sediment (non-saline)"),EXACT(metadata!K711,"Surface (saline)"),EXACT(metadata!K711,"Water (saline)"),EXACT(metadata!K711,"Hypersaline (saline)"),EXACT(metadata!K711,"Aerosol (saline)"),EXACT(metadata!K711,"Sediment (saline)")))</f>
        <v>0</v>
      </c>
      <c r="AW711" t="b">
        <f>IF(metadata!L711="",FALSE,TRUE)</f>
        <v>0</v>
      </c>
      <c r="AX711" t="b">
        <f>IF(metadata!M711="",FALSE,TRUE)</f>
        <v>0</v>
      </c>
      <c r="AY711" t="b">
        <f>IF(metadata!N711="",FALSE,TRUE)</f>
        <v>0</v>
      </c>
      <c r="AZ711" t="b">
        <f>OR(AND(IF(metadata!O711="",FALSE,TRUE),OR(EXACT(metadata!O711,"missing: not collected"),EXACT(metadata!O711,"missing: not provided"),EXACT(metadata!O711,"missing: restricted access"))),AND(IF(metadata!O711="",FALSE,TRUE),OR(EXACT(metadata!O711,"air"),EXACT(metadata!O711,"built environment"),EXACT(metadata!O711,"host-associated"),EXACT(metadata!O711,"human-associated"),EXACT(metadata!O711,"human-skin"),EXACT(metadata!O711,"human-oral"),EXACT(metadata!O711,"human-gut"),EXACT(metadata!O711,"human-vaginal"),EXACT(metadata!O711,"microbial mat/biofilm"),EXACT(metadata!O711,"misc environment"),EXACT(metadata!O711,"plant-associated"),EXACT(metadata!O711,"sediment"),EXACT(metadata!O711,"soil"),EXACT(metadata!O711,"wastewater/sludge"),EXACT(metadata!O711,"water"))))</f>
        <v>0</v>
      </c>
      <c r="BA711" t="b">
        <f>IF(metadata!P711="",FALSE,TRUE)</f>
        <v>0</v>
      </c>
      <c r="BB711" t="b">
        <f>IF(metadata!Q711="",FALSE,TRUE)</f>
        <v>0</v>
      </c>
      <c r="BC711" t="b">
        <f>OR(AND(IF(metadata!R711="",FALSE,TRUE),OR(EXACT(metadata!R711,"missing: not collected"),EXACT(metadata!R711,"missing: not provided"),EXACT(metadata!R711,"missing: restricted access"))),AND(IF(metadata!R711="",FALSE,ISNUMBER(VALUE(metadata!R711))),metadata!R711&gt;=-90,metadata!R711&lt;=90))</f>
        <v>0</v>
      </c>
      <c r="BD711" t="b">
        <f>AND(IF(metadata!S711="",FALSE,TRUE),EXACT(metadata!S711,"Decimal degrees"))</f>
        <v>0</v>
      </c>
      <c r="BE711" t="b">
        <f>OR(AND(IF(metadata!T711="",FALSE,TRUE),OR(EXACT(metadata!T711,"missing: not collected"),EXACT(metadata!T711,"missing: not provided"),EXACT(metadata!T711,"missing: restricted access"))),AND(IF(metadata!T711="",FALSE,ISNUMBER(VALUE(metadata!T711))),metadata!T711&gt;=-180,metadata!T711&lt;=180))</f>
        <v>0</v>
      </c>
      <c r="BF711" t="b">
        <f>AND(IF(metadata!U711="",FALSE,TRUE),EXACT(metadata!U711,"Decimal degrees"))</f>
        <v>0</v>
      </c>
      <c r="BG711" t="b">
        <f>IF(metadata!V711="",FALSE,TRUE)</f>
        <v>0</v>
      </c>
      <c r="BH711" t="b">
        <f>OR(AND(IF(metadata!W711="",FALSE,TRUE),OR(EXACT(metadata!W711,"missing: not collected"),EXACT(metadata!W711,"missing: not provided"),EXACT(metadata!W711,"missing: restricted access"))),AND(IF(metadata!W711="",FALSE,TRUE),OR(EXACT(metadata!W711,"TRUE"),EXACT(metadata!W711,"FALSE"))))</f>
        <v>0</v>
      </c>
      <c r="BI711" t="b">
        <f>AND(IF(metadata!X711="",FALSE,TRUE),EXACT(metadata!X711,"other"))</f>
        <v>0</v>
      </c>
      <c r="BJ711" t="b">
        <f>IF(metadata!Y711="",FALSE,TRUE)</f>
        <v>0</v>
      </c>
      <c r="BK711" t="b">
        <f>OR(AND(IF(metadata!Z711="",FALSE,TRUE),OR(EXACT(metadata!Z711,"missing: not collected"),EXACT(metadata!Z711,"missing: not provided"))),AND(IF(metadata!Z711="",FALSE,IF(ISERROR(INT(metadata!Z711)),FALSE,INT(metadata!Z711)=metadata!Z711)),metadata!Z711&gt;0))</f>
        <v>0</v>
      </c>
      <c r="BL711" t="b">
        <f>AND(IF(metadata!AA711="",FALSE,TRUE),EXACT(metadata!AA711,"Not applicable"))</f>
        <v>0</v>
      </c>
      <c r="BM711" t="b">
        <f>IF(metadata!AB711="",FALSE,TRUE)</f>
        <v>0</v>
      </c>
    </row>
    <row r="712" spans="1:65" x14ac:dyDescent="0.2">
      <c r="A712" s="5" t="str">
        <f ca="1">IF(B712=" "," ",HYPERLINK(CONCATENATE("#metadata!",ADDRESS(INDEX($AH$2:$AH$1001,MATCH(ROWS($AF$2:AF712),$AF$2:$AF$1001,0),0),1)),INDEX($AK$2:$AK$1001,MATCH(ROWS($AF$2:AF712),$AF$2:$AF$1001,0),0)))</f>
        <v xml:space="preserve"> </v>
      </c>
      <c r="B712" s="4" t="str">
        <f ca="1">IF(OR(INDEX($AG$2:$AG$1001,MATCH(ROWS($AF$2:AF712),$AF$2:$AF$1001,0),1)&gt;=100000,INDEX($AM$1005:$BM$1005,1,MATCH(COLUMNS($AM$1006:AM1006),$AM$1006:$BM$1006,0))&gt;=100000), " ",IF(INDEX($AM$2:$BM$1001,MATCH(ROWS($AF$2:AF712),$AF$2:$AF$1001,0),MATCH(COLUMNS($AM$1006:AM1006),$AM$1006:$BM$1006,0)), HYPERLINK("#",""), HYPERLINK(CONCATENATE("#metadata!", ADDRESS(INDEX($AH$2:$AH$1001,MATCH(ROWS($AF$2:AF712),$AF$2:$AF$1001,0),0), INDEX($AM$1004:$BM$1004,1,MATCH(COLUMNS($AM$1006:AM1006),$AM$1006:$BM$1006,0)))),"Fix")))</f>
        <v xml:space="preserve"> </v>
      </c>
      <c r="C712" s="4" t="str">
        <f ca="1">IF(OR(INDEX($AG$2:$AG$1001,MATCH(ROWS($AF$2:AF712),$AF$2:$AF$1001,0),1)&gt;=100000,INDEX($AM$1005:$BM$1005,1,MATCH(COLUMNS($AM$1006:AN1006),$AM$1006:$BM$1006,0))&gt;=100000), " ",IF(INDEX($AM$2:$BM$1001,MATCH(ROWS($AF$2:AF712),$AF$2:$AF$1001,0),MATCH(COLUMNS($AM$1006:AN1006),$AM$1006:$BM$1006,0)), HYPERLINK("#",""), HYPERLINK(CONCATENATE("#metadata!", ADDRESS(INDEX($AH$2:$AH$1001,MATCH(ROWS($AF$2:AF712),$AF$2:$AF$1001,0),0), INDEX($AM$1004:$BM$1004,1,MATCH(COLUMNS($AM$1006:AN1006),$AM$1006:$BM$1006,0)))),"Fix")))</f>
        <v xml:space="preserve"> </v>
      </c>
      <c r="D712" s="4" t="str">
        <f ca="1">IF(OR(INDEX($AG$2:$AG$1001,MATCH(ROWS($AF$2:AF712),$AF$2:$AF$1001,0),1)&gt;=100000,INDEX($AM$1005:$BM$1005,1,MATCH(COLUMNS($AM$1006:AO1006),$AM$1006:$BM$1006,0))&gt;=100000), " ",IF(INDEX($AM$2:$BM$1001,MATCH(ROWS($AF$2:AF712),$AF$2:$AF$1001,0),MATCH(COLUMNS($AM$1006:AO1006),$AM$1006:$BM$1006,0)), HYPERLINK("#",""), HYPERLINK(CONCATENATE("#metadata!", ADDRESS(INDEX($AH$2:$AH$1001,MATCH(ROWS($AF$2:AF712),$AF$2:$AF$1001,0),0), INDEX($AM$1004:$BM$1004,1,MATCH(COLUMNS($AM$1006:AO1006),$AM$1006:$BM$1006,0)))),"Fix")))</f>
        <v xml:space="preserve"> </v>
      </c>
      <c r="E712" s="4" t="str">
        <f ca="1">IF(OR(INDEX($AG$2:$AG$1001,MATCH(ROWS($AF$2:AF712),$AF$2:$AF$1001,0),1)&gt;=100000,INDEX($AM$1005:$BM$1005,1,MATCH(COLUMNS($AM$1006:AP1006),$AM$1006:$BM$1006,0))&gt;=100000), " ",IF(INDEX($AM$2:$BM$1001,MATCH(ROWS($AF$2:AF712),$AF$2:$AF$1001,0),MATCH(COLUMNS($AM$1006:AP1006),$AM$1006:$BM$1006,0)), HYPERLINK("#",""), HYPERLINK(CONCATENATE("#metadata!", ADDRESS(INDEX($AH$2:$AH$1001,MATCH(ROWS($AF$2:AF712),$AF$2:$AF$1001,0),0), INDEX($AM$1004:$BM$1004,1,MATCH(COLUMNS($AM$1006:AP1006),$AM$1006:$BM$1006,0)))),"Fix")))</f>
        <v xml:space="preserve"> </v>
      </c>
      <c r="F712" s="4" t="str">
        <f ca="1">IF(OR(INDEX($AG$2:$AG$1001,MATCH(ROWS($AF$2:AF712),$AF$2:$AF$1001,0),1)&gt;=100000,INDEX($AM$1005:$BM$1005,1,MATCH(COLUMNS($AM$1006:AQ1006),$AM$1006:$BM$1006,0))&gt;=100000), " ",IF(INDEX($AM$2:$BM$1001,MATCH(ROWS($AF$2:AF712),$AF$2:$AF$1001,0),MATCH(COLUMNS($AM$1006:AQ1006),$AM$1006:$BM$1006,0)), HYPERLINK("#",""), HYPERLINK(CONCATENATE("#metadata!", ADDRESS(INDEX($AH$2:$AH$1001,MATCH(ROWS($AF$2:AF712),$AF$2:$AF$1001,0),0), INDEX($AM$1004:$BM$1004,1,MATCH(COLUMNS($AM$1006:AQ1006),$AM$1006:$BM$1006,0)))),"Fix")))</f>
        <v xml:space="preserve"> </v>
      </c>
      <c r="G712" s="4" t="str">
        <f ca="1">IF(OR(INDEX($AG$2:$AG$1001,MATCH(ROWS($AF$2:AF712),$AF$2:$AF$1001,0),1)&gt;=100000,INDEX($AM$1005:$BM$1005,1,MATCH(COLUMNS($AM$1006:AR1006),$AM$1006:$BM$1006,0))&gt;=100000), " ",IF(INDEX($AM$2:$BM$1001,MATCH(ROWS($AF$2:AF712),$AF$2:$AF$1001,0),MATCH(COLUMNS($AM$1006:AR1006),$AM$1006:$BM$1006,0)), HYPERLINK("#",""), HYPERLINK(CONCATENATE("#metadata!", ADDRESS(INDEX($AH$2:$AH$1001,MATCH(ROWS($AF$2:AF712),$AF$2:$AF$1001,0),0), INDEX($AM$1004:$BM$1004,1,MATCH(COLUMNS($AM$1006:AR1006),$AM$1006:$BM$1006,0)))),"Fix")))</f>
        <v xml:space="preserve"> </v>
      </c>
      <c r="H712" s="4" t="str">
        <f ca="1">IF(OR(INDEX($AG$2:$AG$1001,MATCH(ROWS($AF$2:AF712),$AF$2:$AF$1001,0),1)&gt;=100000,INDEX($AM$1005:$BM$1005,1,MATCH(COLUMNS($AM$1006:AS1006),$AM$1006:$BM$1006,0))&gt;=100000), " ",IF(INDEX($AM$2:$BM$1001,MATCH(ROWS($AF$2:AF712),$AF$2:$AF$1001,0),MATCH(COLUMNS($AM$1006:AS1006),$AM$1006:$BM$1006,0)), HYPERLINK("#",""), HYPERLINK(CONCATENATE("#metadata!", ADDRESS(INDEX($AH$2:$AH$1001,MATCH(ROWS($AF$2:AF712),$AF$2:$AF$1001,0),0), INDEX($AM$1004:$BM$1004,1,MATCH(COLUMNS($AM$1006:AS1006),$AM$1006:$BM$1006,0)))),"Fix")))</f>
        <v xml:space="preserve"> </v>
      </c>
      <c r="I712" s="4" t="str">
        <f ca="1">IF(OR(INDEX($AG$2:$AG$1001,MATCH(ROWS($AF$2:AF712),$AF$2:$AF$1001,0),1)&gt;=100000,INDEX($AM$1005:$BM$1005,1,MATCH(COLUMNS($AM$1006:AT1006),$AM$1006:$BM$1006,0))&gt;=100000), " ",IF(INDEX($AM$2:$BM$1001,MATCH(ROWS($AF$2:AF712),$AF$2:$AF$1001,0),MATCH(COLUMNS($AM$1006:AT1006),$AM$1006:$BM$1006,0)), HYPERLINK("#",""), HYPERLINK(CONCATENATE("#metadata!", ADDRESS(INDEX($AH$2:$AH$1001,MATCH(ROWS($AF$2:AF712),$AF$2:$AF$1001,0),0), INDEX($AM$1004:$BM$1004,1,MATCH(COLUMNS($AM$1006:AT1006),$AM$1006:$BM$1006,0)))),"Fix")))</f>
        <v xml:space="preserve"> </v>
      </c>
      <c r="J712" s="4" t="str">
        <f ca="1">IF(OR(INDEX($AG$2:$AG$1001,MATCH(ROWS($AF$2:AF712),$AF$2:$AF$1001,0),1)&gt;=100000,INDEX($AM$1005:$BM$1005,1,MATCH(COLUMNS($AM$1006:AU1006),$AM$1006:$BM$1006,0))&gt;=100000), " ",IF(INDEX($AM$2:$BM$1001,MATCH(ROWS($AF$2:AF712),$AF$2:$AF$1001,0),MATCH(COLUMNS($AM$1006:AU1006),$AM$1006:$BM$1006,0)), HYPERLINK("#",""), HYPERLINK(CONCATENATE("#metadata!", ADDRESS(INDEX($AH$2:$AH$1001,MATCH(ROWS($AF$2:AF712),$AF$2:$AF$1001,0),0), INDEX($AM$1004:$BM$1004,1,MATCH(COLUMNS($AM$1006:AU1006),$AM$1006:$BM$1006,0)))),"Fix")))</f>
        <v xml:space="preserve"> </v>
      </c>
      <c r="K712" s="4" t="str">
        <f ca="1">IF(OR(INDEX($AG$2:$AG$1001,MATCH(ROWS($AF$2:AF712),$AF$2:$AF$1001,0),1)&gt;=100000,INDEX($AM$1005:$BM$1005,1,MATCH(COLUMNS($AM$1006:AV1006),$AM$1006:$BM$1006,0))&gt;=100000), " ",IF(INDEX($AM$2:$BM$1001,MATCH(ROWS($AF$2:AF712),$AF$2:$AF$1001,0),MATCH(COLUMNS($AM$1006:AV1006),$AM$1006:$BM$1006,0)), HYPERLINK("#",""), HYPERLINK(CONCATENATE("#metadata!", ADDRESS(INDEX($AH$2:$AH$1001,MATCH(ROWS($AF$2:AF712),$AF$2:$AF$1001,0),0), INDEX($AM$1004:$BM$1004,1,MATCH(COLUMNS($AM$1006:AV1006),$AM$1006:$BM$1006,0)))),"Fix")))</f>
        <v xml:space="preserve"> </v>
      </c>
      <c r="L712" s="4" t="str">
        <f ca="1">IF(OR(INDEX($AG$2:$AG$1001,MATCH(ROWS($AF$2:AF712),$AF$2:$AF$1001,0),1)&gt;=100000,INDEX($AM$1005:$BM$1005,1,MATCH(COLUMNS($AM$1006:AW1006),$AM$1006:$BM$1006,0))&gt;=100000), " ",IF(INDEX($AM$2:$BM$1001,MATCH(ROWS($AF$2:AF712),$AF$2:$AF$1001,0),MATCH(COLUMNS($AM$1006:AW1006),$AM$1006:$BM$1006,0)), HYPERLINK("#",""), HYPERLINK(CONCATENATE("#metadata!", ADDRESS(INDEX($AH$2:$AH$1001,MATCH(ROWS($AF$2:AF712),$AF$2:$AF$1001,0),0), INDEX($AM$1004:$BM$1004,1,MATCH(COLUMNS($AM$1006:AW1006),$AM$1006:$BM$1006,0)))),"Fix")))</f>
        <v xml:space="preserve"> </v>
      </c>
      <c r="M712" s="4" t="str">
        <f ca="1">IF(OR(INDEX($AG$2:$AG$1001,MATCH(ROWS($AF$2:AF712),$AF$2:$AF$1001,0),1)&gt;=100000,INDEX($AM$1005:$BM$1005,1,MATCH(COLUMNS($AM$1006:AX1006),$AM$1006:$BM$1006,0))&gt;=100000), " ",IF(INDEX($AM$2:$BM$1001,MATCH(ROWS($AF$2:AF712),$AF$2:$AF$1001,0),MATCH(COLUMNS($AM$1006:AX1006),$AM$1006:$BM$1006,0)), HYPERLINK("#",""), HYPERLINK(CONCATENATE("#metadata!", ADDRESS(INDEX($AH$2:$AH$1001,MATCH(ROWS($AF$2:AF712),$AF$2:$AF$1001,0),0), INDEX($AM$1004:$BM$1004,1,MATCH(COLUMNS($AM$1006:AX1006),$AM$1006:$BM$1006,0)))),"Fix")))</f>
        <v xml:space="preserve"> </v>
      </c>
      <c r="N712" s="4" t="str">
        <f ca="1">IF(OR(INDEX($AG$2:$AG$1001,MATCH(ROWS($AF$2:AF712),$AF$2:$AF$1001,0),1)&gt;=100000,INDEX($AM$1005:$BM$1005,1,MATCH(COLUMNS($AM$1006:AY1006),$AM$1006:$BM$1006,0))&gt;=100000), " ",IF(INDEX($AM$2:$BM$1001,MATCH(ROWS($AF$2:AF712),$AF$2:$AF$1001,0),MATCH(COLUMNS($AM$1006:AY1006),$AM$1006:$BM$1006,0)), HYPERLINK("#",""), HYPERLINK(CONCATENATE("#metadata!", ADDRESS(INDEX($AH$2:$AH$1001,MATCH(ROWS($AF$2:AF712),$AF$2:$AF$1001,0),0), INDEX($AM$1004:$BM$1004,1,MATCH(COLUMNS($AM$1006:AY1006),$AM$1006:$BM$1006,0)))),"Fix")))</f>
        <v xml:space="preserve"> </v>
      </c>
      <c r="O712" s="4" t="str">
        <f ca="1">IF(OR(INDEX($AG$2:$AG$1001,MATCH(ROWS($AF$2:AF712),$AF$2:$AF$1001,0),1)&gt;=100000,INDEX($AM$1005:$BM$1005,1,MATCH(COLUMNS($AM$1006:AZ1006),$AM$1006:$BM$1006,0))&gt;=100000), " ",IF(INDEX($AM$2:$BM$1001,MATCH(ROWS($AF$2:AF712),$AF$2:$AF$1001,0),MATCH(COLUMNS($AM$1006:AZ1006),$AM$1006:$BM$1006,0)), HYPERLINK("#",""), HYPERLINK(CONCATENATE("#metadata!", ADDRESS(INDEX($AH$2:$AH$1001,MATCH(ROWS($AF$2:AF712),$AF$2:$AF$1001,0),0), INDEX($AM$1004:$BM$1004,1,MATCH(COLUMNS($AM$1006:AZ1006),$AM$1006:$BM$1006,0)))),"Fix")))</f>
        <v xml:space="preserve"> </v>
      </c>
      <c r="P712" s="4" t="str">
        <f ca="1">IF(OR(INDEX($AG$2:$AG$1001,MATCH(ROWS($AF$2:AF712),$AF$2:$AF$1001,0),1)&gt;=100000,INDEX($AM$1005:$BM$1005,1,MATCH(COLUMNS($AM$1006:BA1006),$AM$1006:$BM$1006,0))&gt;=100000), " ",IF(INDEX($AM$2:$BM$1001,MATCH(ROWS($AF$2:AF712),$AF$2:$AF$1001,0),MATCH(COLUMNS($AM$1006:BA1006),$AM$1006:$BM$1006,0)), HYPERLINK("#",""), HYPERLINK(CONCATENATE("#metadata!", ADDRESS(INDEX($AH$2:$AH$1001,MATCH(ROWS($AF$2:AF712),$AF$2:$AF$1001,0),0), INDEX($AM$1004:$BM$1004,1,MATCH(COLUMNS($AM$1006:BA1006),$AM$1006:$BM$1006,0)))),"Fix")))</f>
        <v xml:space="preserve"> </v>
      </c>
      <c r="Q712" s="4" t="str">
        <f ca="1">IF(OR(INDEX($AG$2:$AG$1001,MATCH(ROWS($AF$2:AF712),$AF$2:$AF$1001,0),1)&gt;=100000,INDEX($AM$1005:$BM$1005,1,MATCH(COLUMNS($AM$1006:BB1006),$AM$1006:$BM$1006,0))&gt;=100000), " ",IF(INDEX($AM$2:$BM$1001,MATCH(ROWS($AF$2:AF712),$AF$2:$AF$1001,0),MATCH(COLUMNS($AM$1006:BB1006),$AM$1006:$BM$1006,0)), HYPERLINK("#",""), HYPERLINK(CONCATENATE("#metadata!", ADDRESS(INDEX($AH$2:$AH$1001,MATCH(ROWS($AF$2:AF712),$AF$2:$AF$1001,0),0), INDEX($AM$1004:$BM$1004,1,MATCH(COLUMNS($AM$1006:BB1006),$AM$1006:$BM$1006,0)))),"Fix")))</f>
        <v xml:space="preserve"> </v>
      </c>
      <c r="R712" s="4" t="str">
        <f ca="1">IF(OR(INDEX($AG$2:$AG$1001,MATCH(ROWS($AF$2:AF712),$AF$2:$AF$1001,0),1)&gt;=100000,INDEX($AM$1005:$BM$1005,1,MATCH(COLUMNS($AM$1006:BC1006),$AM$1006:$BM$1006,0))&gt;=100000), " ",IF(INDEX($AM$2:$BM$1001,MATCH(ROWS($AF$2:AF712),$AF$2:$AF$1001,0),MATCH(COLUMNS($AM$1006:BC1006),$AM$1006:$BM$1006,0)), HYPERLINK("#",""), HYPERLINK(CONCATENATE("#metadata!", ADDRESS(INDEX($AH$2:$AH$1001,MATCH(ROWS($AF$2:AF712),$AF$2:$AF$1001,0),0), INDEX($AM$1004:$BM$1004,1,MATCH(COLUMNS($AM$1006:BC1006),$AM$1006:$BM$1006,0)))),"Fix")))</f>
        <v xml:space="preserve"> </v>
      </c>
      <c r="S712" s="4" t="str">
        <f ca="1">IF(OR(INDEX($AG$2:$AG$1001,MATCH(ROWS($AF$2:AF712),$AF$2:$AF$1001,0),1)&gt;=100000,INDEX($AM$1005:$BM$1005,1,MATCH(COLUMNS($AM$1006:BD1006),$AM$1006:$BM$1006,0))&gt;=100000), " ",IF(INDEX($AM$2:$BM$1001,MATCH(ROWS($AF$2:AF712),$AF$2:$AF$1001,0),MATCH(COLUMNS($AM$1006:BD1006),$AM$1006:$BM$1006,0)), HYPERLINK("#",""), HYPERLINK(CONCATENATE("#metadata!", ADDRESS(INDEX($AH$2:$AH$1001,MATCH(ROWS($AF$2:AF712),$AF$2:$AF$1001,0),0), INDEX($AM$1004:$BM$1004,1,MATCH(COLUMNS($AM$1006:BD1006),$AM$1006:$BM$1006,0)))),"Fix")))</f>
        <v xml:space="preserve"> </v>
      </c>
      <c r="T712" s="4" t="str">
        <f ca="1">IF(OR(INDEX($AG$2:$AG$1001,MATCH(ROWS($AF$2:AF712),$AF$2:$AF$1001,0),1)&gt;=100000,INDEX($AM$1005:$BM$1005,1,MATCH(COLUMNS($AM$1006:BE1006),$AM$1006:$BM$1006,0))&gt;=100000), " ",IF(INDEX($AM$2:$BM$1001,MATCH(ROWS($AF$2:AF712),$AF$2:$AF$1001,0),MATCH(COLUMNS($AM$1006:BE1006),$AM$1006:$BM$1006,0)), HYPERLINK("#",""), HYPERLINK(CONCATENATE("#metadata!", ADDRESS(INDEX($AH$2:$AH$1001,MATCH(ROWS($AF$2:AF712),$AF$2:$AF$1001,0),0), INDEX($AM$1004:$BM$1004,1,MATCH(COLUMNS($AM$1006:BE1006),$AM$1006:$BM$1006,0)))),"Fix")))</f>
        <v xml:space="preserve"> </v>
      </c>
      <c r="U712" s="4" t="str">
        <f ca="1">IF(OR(INDEX($AG$2:$AG$1001,MATCH(ROWS($AF$2:AF712),$AF$2:$AF$1001,0),1)&gt;=100000,INDEX($AM$1005:$BM$1005,1,MATCH(COLUMNS($AM$1006:BF1006),$AM$1006:$BM$1006,0))&gt;=100000), " ",IF(INDEX($AM$2:$BM$1001,MATCH(ROWS($AF$2:AF712),$AF$2:$AF$1001,0),MATCH(COLUMNS($AM$1006:BF1006),$AM$1006:$BM$1006,0)), HYPERLINK("#",""), HYPERLINK(CONCATENATE("#metadata!", ADDRESS(INDEX($AH$2:$AH$1001,MATCH(ROWS($AF$2:AF712),$AF$2:$AF$1001,0),0), INDEX($AM$1004:$BM$1004,1,MATCH(COLUMNS($AM$1006:BF1006),$AM$1006:$BM$1006,0)))),"Fix")))</f>
        <v xml:space="preserve"> </v>
      </c>
      <c r="V712" s="4" t="str">
        <f ca="1">IF(OR(INDEX($AG$2:$AG$1001,MATCH(ROWS($AF$2:AF712),$AF$2:$AF$1001,0),1)&gt;=100000,INDEX($AM$1005:$BM$1005,1,MATCH(COLUMNS($AM$1006:BG1006),$AM$1006:$BM$1006,0))&gt;=100000), " ",IF(INDEX($AM$2:$BM$1001,MATCH(ROWS($AF$2:AF712),$AF$2:$AF$1001,0),MATCH(COLUMNS($AM$1006:BG1006),$AM$1006:$BM$1006,0)), HYPERLINK("#",""), HYPERLINK(CONCATENATE("#metadata!", ADDRESS(INDEX($AH$2:$AH$1001,MATCH(ROWS($AF$2:AF712),$AF$2:$AF$1001,0),0), INDEX($AM$1004:$BM$1004,1,MATCH(COLUMNS($AM$1006:BG1006),$AM$1006:$BM$1006,0)))),"Fix")))</f>
        <v xml:space="preserve"> </v>
      </c>
      <c r="W712" s="4" t="str">
        <f ca="1">IF(OR(INDEX($AG$2:$AG$1001,MATCH(ROWS($AF$2:AF712),$AF$2:$AF$1001,0),1)&gt;=100000,INDEX($AM$1005:$BM$1005,1,MATCH(COLUMNS($AM$1006:BH1006),$AM$1006:$BM$1006,0))&gt;=100000), " ",IF(INDEX($AM$2:$BM$1001,MATCH(ROWS($AF$2:AF712),$AF$2:$AF$1001,0),MATCH(COLUMNS($AM$1006:BH1006),$AM$1006:$BM$1006,0)), HYPERLINK("#",""), HYPERLINK(CONCATENATE("#metadata!", ADDRESS(INDEX($AH$2:$AH$1001,MATCH(ROWS($AF$2:AF712),$AF$2:$AF$1001,0),0), INDEX($AM$1004:$BM$1004,1,MATCH(COLUMNS($AM$1006:BH1006),$AM$1006:$BM$1006,0)))),"Fix")))</f>
        <v xml:space="preserve"> </v>
      </c>
      <c r="X712" s="4" t="str">
        <f ca="1">IF(OR(INDEX($AG$2:$AG$1001,MATCH(ROWS($AF$2:AF712),$AF$2:$AF$1001,0),1)&gt;=100000,INDEX($AM$1005:$BM$1005,1,MATCH(COLUMNS($AM$1006:BI1006),$AM$1006:$BM$1006,0))&gt;=100000), " ",IF(INDEX($AM$2:$BM$1001,MATCH(ROWS($AF$2:AF712),$AF$2:$AF$1001,0),MATCH(COLUMNS($AM$1006:BI1006),$AM$1006:$BM$1006,0)), HYPERLINK("#",""), HYPERLINK(CONCATENATE("#metadata!", ADDRESS(INDEX($AH$2:$AH$1001,MATCH(ROWS($AF$2:AF712),$AF$2:$AF$1001,0),0), INDEX($AM$1004:$BM$1004,1,MATCH(COLUMNS($AM$1006:BI1006),$AM$1006:$BM$1006,0)))),"Fix")))</f>
        <v xml:space="preserve"> </v>
      </c>
      <c r="Y712" s="4" t="str">
        <f ca="1">IF(OR(INDEX($AG$2:$AG$1001,MATCH(ROWS($AF$2:AF712),$AF$2:$AF$1001,0),1)&gt;=100000,INDEX($AM$1005:$BM$1005,1,MATCH(COLUMNS($AM$1006:BJ1006),$AM$1006:$BM$1006,0))&gt;=100000), " ",IF(INDEX($AM$2:$BM$1001,MATCH(ROWS($AF$2:AF712),$AF$2:$AF$1001,0),MATCH(COLUMNS($AM$1006:BJ1006),$AM$1006:$BM$1006,0)), HYPERLINK("#",""), HYPERLINK(CONCATENATE("#metadata!", ADDRESS(INDEX($AH$2:$AH$1001,MATCH(ROWS($AF$2:AF712),$AF$2:$AF$1001,0),0), INDEX($AM$1004:$BM$1004,1,MATCH(COLUMNS($AM$1006:BJ1006),$AM$1006:$BM$1006,0)))),"Fix")))</f>
        <v xml:space="preserve"> </v>
      </c>
      <c r="Z712" s="4" t="str">
        <f ca="1">IF(OR(INDEX($AG$2:$AG$1001,MATCH(ROWS($AF$2:AF712),$AF$2:$AF$1001,0),1)&gt;=100000,INDEX($AM$1005:$BM$1005,1,MATCH(COLUMNS($AM$1006:BK1006),$AM$1006:$BM$1006,0))&gt;=100000), " ",IF(INDEX($AM$2:$BM$1001,MATCH(ROWS($AF$2:AF712),$AF$2:$AF$1001,0),MATCH(COLUMNS($AM$1006:BK1006),$AM$1006:$BM$1006,0)), HYPERLINK("#",""), HYPERLINK(CONCATENATE("#metadata!", ADDRESS(INDEX($AH$2:$AH$1001,MATCH(ROWS($AF$2:AF712),$AF$2:$AF$1001,0),0), INDEX($AM$1004:$BM$1004,1,MATCH(COLUMNS($AM$1006:BK1006),$AM$1006:$BM$1006,0)))),"Fix")))</f>
        <v xml:space="preserve"> </v>
      </c>
      <c r="AA712" s="4" t="str">
        <f ca="1">IF(OR(INDEX($AG$2:$AG$1001,MATCH(ROWS($AF$2:AF712),$AF$2:$AF$1001,0),1)&gt;=100000,INDEX($AM$1005:$BM$1005,1,MATCH(COLUMNS($AM$1006:BL1006),$AM$1006:$BM$1006,0))&gt;=100000), " ",IF(INDEX($AM$2:$BM$1001,MATCH(ROWS($AF$2:AF712),$AF$2:$AF$1001,0),MATCH(COLUMNS($AM$1006:BL1006),$AM$1006:$BM$1006,0)), HYPERLINK("#",""), HYPERLINK(CONCATENATE("#metadata!", ADDRESS(INDEX($AH$2:$AH$1001,MATCH(ROWS($AF$2:AF712),$AF$2:$AF$1001,0),0), INDEX($AM$1004:$BM$1004,1,MATCH(COLUMNS($AM$1006:BL1006),$AM$1006:$BM$1006,0)))),"Fix")))</f>
        <v xml:space="preserve"> </v>
      </c>
      <c r="AB712" s="4" t="str">
        <f ca="1">IF(OR(INDEX($AG$2:$AG$1001,MATCH(ROWS($AF$2:AF712),$AF$2:$AF$1001,0),1)&gt;=100000,INDEX($AM$1005:$BM$1005,1,MATCH(COLUMNS($AM$1006:BM1006),$AM$1006:$BM$1006,0))&gt;=100000), " ",IF(INDEX($AM$2:$BM$1001,MATCH(ROWS($AF$2:AF712),$AF$2:$AF$1001,0),MATCH(COLUMNS($AM$1006:BM1006),$AM$1006:$BM$1006,0)), HYPERLINK("#",""), HYPERLINK(CONCATENATE("#metadata!", ADDRESS(INDEX($AH$2:$AH$1001,MATCH(ROWS($AF$2:AF712),$AF$2:$AF$1001,0),0), INDEX($AM$1004:$BM$1004,1,MATCH(COLUMNS($AM$1006:BM1006),$AM$1006:$BM$1006,0)))),"Fix")))</f>
        <v xml:space="preserve"> </v>
      </c>
      <c r="AF712">
        <v>711</v>
      </c>
      <c r="AG712">
        <v>100712</v>
      </c>
      <c r="AH712">
        <v>712</v>
      </c>
      <c r="AI712" t="b">
        <f t="shared" si="11"/>
        <v>1</v>
      </c>
      <c r="AJ712" t="b">
        <f>COUNTBLANK(metadata!B712:AB712)=COLUMNS(metadata!B712:AB712)</f>
        <v>1</v>
      </c>
      <c r="AK712" t="str">
        <v/>
      </c>
      <c r="AM712" t="b">
        <f ca="1">AND(IF(metadata!B712="",FALSE,TRUE),COUNTIF(metadata!B:B, metadata!B712) = 1,NOT(ISERROR(SUMPRODUCT(SEARCH(MID(metadata!B712,ROW(INDIRECT("1:"&amp;LEN(metadata!B712))), 1),"0123456789abcdefghijklmnopqrstuvwxyzABCDEFGHIJKLMNOPQRSTUVWXYZ.")))))</f>
        <v>0</v>
      </c>
      <c r="AN712" t="b">
        <f ca="1">OR(AND(IF(metadata!C712="",FALSE,TRUE),OR(EXACT(metadata!C712,"missing: not collected"),EXACT(metadata!C712,"missing: not provided"),EXACT(metadata!C712,"missing: restricted access"))),AND(IF(metadata!C712="",FALSE,TRUE),AND(AND(IFERROR(INT(LEFT(metadata!C712,4))&gt;1900,FALSE),IFERROR(INT(LEFT(metadata!C712,4))&lt;=YEAR(NOW()),FALSE)), OR(MID(metadata!C712,5,1)="", AND(AND(MID(metadata!C712,5,1)="-",IFERROR(INT(MID(metadata!C712,6,1))&gt;=0,FALSE),IFERROR(INT(MID(metadata!C712,6,1))&lt;=1,FALSE),NOT(MID(metadata!C712,7,1)=""),IFERROR(INT(MID(metadata!C712,6,2))&gt;=1,FALSE),IFERROR(INT(MID(metadata!C712,6,2))&lt;=12,FALSE)), OR(MID(metadata!C712,8,1)="", AND(AND(MID(metadata!C712,8,1)="-",IFERROR(INT(MID(metadata!C712,9,1))&gt;=0,FALSE),IFERROR(INT(MID(metadata!C712,9,1))&lt;=3,FALSE),NOT(MID(metadata!C712,10,1)=""),IFERROR(INT(MID(metadata!C712,9,2))&gt;=1,FALSE),IFERROR(INT(MID(metadata!C712,9,2))&lt;=31,FALSE)), OR(MID(metadata!C712,11,1)="", AND(AND(MID(metadata!C712,11,1)=" ",IFERROR(INT(MID(metadata!C712,12,1))&gt;=0,FALSE),IFERROR(INT(MID(metadata!C712,12,1))&lt;=2,FALSE),NOT(MID(metadata!C712,13,1)=""),IFERROR(INT(MID(metadata!C712,12,2))&gt;=0,FALSE),IFERROR(INT(MID(metadata!C712,12,2))&lt;=23,FALSE)), OR(MID(metadata!C712,14,1)="", AND(AND(MID(metadata!C712,14,1)=":",IFERROR(INT(MID(metadata!C712,15,1))&gt;=0,FALSE),IFERROR(INT(MID(metadata!C712,15,1))&lt;=5,FALSE),NOT(MID(metadata!C712,16,1)=""),IFERROR(INT(MID(metadata!C712,15,2))&gt;=0,FALSE),IFERROR(INT(MID(metadata!C712,15,2))&lt;=59,FALSE)), OR(MID(metadata!C712,17,1)="", AND(AND(MID(metadata!C712,17,1)=":",IFERROR(INT(MID(metadata!C712,18,1))&gt;=0,FALSE),IFERROR(INT(MID(metadata!C712,18,1))&lt;=5,FALSE),NOT(MID(metadata!C712,19,1)=""),IFERROR(INT(MID(metadata!C712,18,2))&gt;=0,FALSE),IFERROR(INT(MID(metadata!C712,18,2))&lt;=59,FALSE)), LEN(metadata!C712)&lt;=19)))))))))))))</f>
        <v>0</v>
      </c>
      <c r="AO712" t="b">
        <f>AND(IF(metadata!D712="",FALSE,TRUE),EXACT(metadata!D712,"Not applicable"))</f>
        <v>0</v>
      </c>
      <c r="AP712" t="b">
        <f>IF(metadata!E712="",FALSE,TRUE)</f>
        <v>0</v>
      </c>
      <c r="AQ712" t="b">
        <f>OR(AND(IF(metadata!F712="",FALSE,TRUE),OR(EXACT(metadata!F712,"missing: not collected"),EXACT(metadata!F712,"missing: not provided"))),AND(IF(metadata!F712="",FALSE,TRUE),OR(EXACT(metadata!F712,"TRUE"),EXACT(metadata!F712,"FALSE"))))</f>
        <v>0</v>
      </c>
      <c r="AR712" t="b">
        <f>OR(AND(IF(metadata!G712="",FALSE,TRUE),OR(EXACT(metadata!G712,"missing: not collected"),EXACT(metadata!G712,"missing: not provided"),EXACT(metadata!G712,"missing: restricted access"))),AND(IF(metadata!G712="",FALSE,ISNUMBER(VALUE(metadata!G712))),metadata!G712&gt;=-413))</f>
        <v>0</v>
      </c>
      <c r="AS712" t="b">
        <f>AND(IF(metadata!H712="",FALSE,TRUE),EXACT(metadata!H712,"meters"))</f>
        <v>0</v>
      </c>
      <c r="AT712" t="b">
        <f>AND(IF(metadata!I712="",FALSE,TRUE),OR(EXACT(metadata!I712,"Host-associated"),EXACT(metadata!I712,"Free-living")))</f>
        <v>0</v>
      </c>
      <c r="AU712" t="b">
        <f>AND(IF(metadata!J712="",FALSE,TRUE),OR(EXACT(metadata!J712,"Animal"),EXACT(metadata!J712,"Fungus"),EXACT(metadata!J712,"Plant"),EXACT(metadata!J712,"Saline"),EXACT(metadata!J712,"Non-saline")))</f>
        <v>0</v>
      </c>
      <c r="AV712" t="b">
        <f>AND(IF(metadata!K712="",FALSE,TRUE),OR(EXACT(metadata!K712,"Plant secretion"),EXACT(metadata!K712,"Plant rhizosphere"),EXACT(metadata!K712,"Plant surface"),EXACT(metadata!K712,"Plant corpus"),EXACT(metadata!K712,"Fungus surface"),EXACT(metadata!K712,"Fungus corpus"),EXACT(metadata!K712,"Animal surface"),EXACT(metadata!K712,"Animal proximal gut"),EXACT(metadata!K712,"Animal corpus"),EXACT(metadata!K712,"Animal distal gut"),EXACT(metadata!K712,"Animal secretion"),EXACT(metadata!K712,"Sub-surface (non-saline)"),EXACT(metadata!K712,"Surface (non-saline)"),EXACT(metadata!K712,"Water (non-saline)"),EXACT(metadata!K712,"Soil (non-saline)"),EXACT(metadata!K712,"Aerosol (non-saline)"),EXACT(metadata!K712,"Sediment (non-saline)"),EXACT(metadata!K712,"Surface (saline)"),EXACT(metadata!K712,"Water (saline)"),EXACT(metadata!K712,"Hypersaline (saline)"),EXACT(metadata!K712,"Aerosol (saline)"),EXACT(metadata!K712,"Sediment (saline)")))</f>
        <v>0</v>
      </c>
      <c r="AW712" t="b">
        <f>IF(metadata!L712="",FALSE,TRUE)</f>
        <v>0</v>
      </c>
      <c r="AX712" t="b">
        <f>IF(metadata!M712="",FALSE,TRUE)</f>
        <v>0</v>
      </c>
      <c r="AY712" t="b">
        <f>IF(metadata!N712="",FALSE,TRUE)</f>
        <v>0</v>
      </c>
      <c r="AZ712" t="b">
        <f>OR(AND(IF(metadata!O712="",FALSE,TRUE),OR(EXACT(metadata!O712,"missing: not collected"),EXACT(metadata!O712,"missing: not provided"),EXACT(metadata!O712,"missing: restricted access"))),AND(IF(metadata!O712="",FALSE,TRUE),OR(EXACT(metadata!O712,"air"),EXACT(metadata!O712,"built environment"),EXACT(metadata!O712,"host-associated"),EXACT(metadata!O712,"human-associated"),EXACT(metadata!O712,"human-skin"),EXACT(metadata!O712,"human-oral"),EXACT(metadata!O712,"human-gut"),EXACT(metadata!O712,"human-vaginal"),EXACT(metadata!O712,"microbial mat/biofilm"),EXACT(metadata!O712,"misc environment"),EXACT(metadata!O712,"plant-associated"),EXACT(metadata!O712,"sediment"),EXACT(metadata!O712,"soil"),EXACT(metadata!O712,"wastewater/sludge"),EXACT(metadata!O712,"water"))))</f>
        <v>0</v>
      </c>
      <c r="BA712" t="b">
        <f>IF(metadata!P712="",FALSE,TRUE)</f>
        <v>0</v>
      </c>
      <c r="BB712" t="b">
        <f>IF(metadata!Q712="",FALSE,TRUE)</f>
        <v>0</v>
      </c>
      <c r="BC712" t="b">
        <f>OR(AND(IF(metadata!R712="",FALSE,TRUE),OR(EXACT(metadata!R712,"missing: not collected"),EXACT(metadata!R712,"missing: not provided"),EXACT(metadata!R712,"missing: restricted access"))),AND(IF(metadata!R712="",FALSE,ISNUMBER(VALUE(metadata!R712))),metadata!R712&gt;=-90,metadata!R712&lt;=90))</f>
        <v>0</v>
      </c>
      <c r="BD712" t="b">
        <f>AND(IF(metadata!S712="",FALSE,TRUE),EXACT(metadata!S712,"Decimal degrees"))</f>
        <v>0</v>
      </c>
      <c r="BE712" t="b">
        <f>OR(AND(IF(metadata!T712="",FALSE,TRUE),OR(EXACT(metadata!T712,"missing: not collected"),EXACT(metadata!T712,"missing: not provided"),EXACT(metadata!T712,"missing: restricted access"))),AND(IF(metadata!T712="",FALSE,ISNUMBER(VALUE(metadata!T712))),metadata!T712&gt;=-180,metadata!T712&lt;=180))</f>
        <v>0</v>
      </c>
      <c r="BF712" t="b">
        <f>AND(IF(metadata!U712="",FALSE,TRUE),EXACT(metadata!U712,"Decimal degrees"))</f>
        <v>0</v>
      </c>
      <c r="BG712" t="b">
        <f>IF(metadata!V712="",FALSE,TRUE)</f>
        <v>0</v>
      </c>
      <c r="BH712" t="b">
        <f>OR(AND(IF(metadata!W712="",FALSE,TRUE),OR(EXACT(metadata!W712,"missing: not collected"),EXACT(metadata!W712,"missing: not provided"),EXACT(metadata!W712,"missing: restricted access"))),AND(IF(metadata!W712="",FALSE,TRUE),OR(EXACT(metadata!W712,"TRUE"),EXACT(metadata!W712,"FALSE"))))</f>
        <v>0</v>
      </c>
      <c r="BI712" t="b">
        <f>AND(IF(metadata!X712="",FALSE,TRUE),EXACT(metadata!X712,"other"))</f>
        <v>0</v>
      </c>
      <c r="BJ712" t="b">
        <f>IF(metadata!Y712="",FALSE,TRUE)</f>
        <v>0</v>
      </c>
      <c r="BK712" t="b">
        <f>OR(AND(IF(metadata!Z712="",FALSE,TRUE),OR(EXACT(metadata!Z712,"missing: not collected"),EXACT(metadata!Z712,"missing: not provided"))),AND(IF(metadata!Z712="",FALSE,IF(ISERROR(INT(metadata!Z712)),FALSE,INT(metadata!Z712)=metadata!Z712)),metadata!Z712&gt;0))</f>
        <v>0</v>
      </c>
      <c r="BL712" t="b">
        <f>AND(IF(metadata!AA712="",FALSE,TRUE),EXACT(metadata!AA712,"Not applicable"))</f>
        <v>0</v>
      </c>
      <c r="BM712" t="b">
        <f>IF(metadata!AB712="",FALSE,TRUE)</f>
        <v>0</v>
      </c>
    </row>
    <row r="713" spans="1:65" x14ac:dyDescent="0.2">
      <c r="A713" s="5" t="str">
        <f ca="1">IF(B713=" "," ",HYPERLINK(CONCATENATE("#metadata!",ADDRESS(INDEX($AH$2:$AH$1001,MATCH(ROWS($AF$2:AF713),$AF$2:$AF$1001,0),0),1)),INDEX($AK$2:$AK$1001,MATCH(ROWS($AF$2:AF713),$AF$2:$AF$1001,0),0)))</f>
        <v xml:space="preserve"> </v>
      </c>
      <c r="B713" s="4" t="str">
        <f ca="1">IF(OR(INDEX($AG$2:$AG$1001,MATCH(ROWS($AF$2:AF713),$AF$2:$AF$1001,0),1)&gt;=100000,INDEX($AM$1005:$BM$1005,1,MATCH(COLUMNS($AM$1006:AM1006),$AM$1006:$BM$1006,0))&gt;=100000), " ",IF(INDEX($AM$2:$BM$1001,MATCH(ROWS($AF$2:AF713),$AF$2:$AF$1001,0),MATCH(COLUMNS($AM$1006:AM1006),$AM$1006:$BM$1006,0)), HYPERLINK("#",""), HYPERLINK(CONCATENATE("#metadata!", ADDRESS(INDEX($AH$2:$AH$1001,MATCH(ROWS($AF$2:AF713),$AF$2:$AF$1001,0),0), INDEX($AM$1004:$BM$1004,1,MATCH(COLUMNS($AM$1006:AM1006),$AM$1006:$BM$1006,0)))),"Fix")))</f>
        <v xml:space="preserve"> </v>
      </c>
      <c r="C713" s="4" t="str">
        <f ca="1">IF(OR(INDEX($AG$2:$AG$1001,MATCH(ROWS($AF$2:AF713),$AF$2:$AF$1001,0),1)&gt;=100000,INDEX($AM$1005:$BM$1005,1,MATCH(COLUMNS($AM$1006:AN1006),$AM$1006:$BM$1006,0))&gt;=100000), " ",IF(INDEX($AM$2:$BM$1001,MATCH(ROWS($AF$2:AF713),$AF$2:$AF$1001,0),MATCH(COLUMNS($AM$1006:AN1006),$AM$1006:$BM$1006,0)), HYPERLINK("#",""), HYPERLINK(CONCATENATE("#metadata!", ADDRESS(INDEX($AH$2:$AH$1001,MATCH(ROWS($AF$2:AF713),$AF$2:$AF$1001,0),0), INDEX($AM$1004:$BM$1004,1,MATCH(COLUMNS($AM$1006:AN1006),$AM$1006:$BM$1006,0)))),"Fix")))</f>
        <v xml:space="preserve"> </v>
      </c>
      <c r="D713" s="4" t="str">
        <f ca="1">IF(OR(INDEX($AG$2:$AG$1001,MATCH(ROWS($AF$2:AF713),$AF$2:$AF$1001,0),1)&gt;=100000,INDEX($AM$1005:$BM$1005,1,MATCH(COLUMNS($AM$1006:AO1006),$AM$1006:$BM$1006,0))&gt;=100000), " ",IF(INDEX($AM$2:$BM$1001,MATCH(ROWS($AF$2:AF713),$AF$2:$AF$1001,0),MATCH(COLUMNS($AM$1006:AO1006),$AM$1006:$BM$1006,0)), HYPERLINK("#",""), HYPERLINK(CONCATENATE("#metadata!", ADDRESS(INDEX($AH$2:$AH$1001,MATCH(ROWS($AF$2:AF713),$AF$2:$AF$1001,0),0), INDEX($AM$1004:$BM$1004,1,MATCH(COLUMNS($AM$1006:AO1006),$AM$1006:$BM$1006,0)))),"Fix")))</f>
        <v xml:space="preserve"> </v>
      </c>
      <c r="E713" s="4" t="str">
        <f ca="1">IF(OR(INDEX($AG$2:$AG$1001,MATCH(ROWS($AF$2:AF713),$AF$2:$AF$1001,0),1)&gt;=100000,INDEX($AM$1005:$BM$1005,1,MATCH(COLUMNS($AM$1006:AP1006),$AM$1006:$BM$1006,0))&gt;=100000), " ",IF(INDEX($AM$2:$BM$1001,MATCH(ROWS($AF$2:AF713),$AF$2:$AF$1001,0),MATCH(COLUMNS($AM$1006:AP1006),$AM$1006:$BM$1006,0)), HYPERLINK("#",""), HYPERLINK(CONCATENATE("#metadata!", ADDRESS(INDEX($AH$2:$AH$1001,MATCH(ROWS($AF$2:AF713),$AF$2:$AF$1001,0),0), INDEX($AM$1004:$BM$1004,1,MATCH(COLUMNS($AM$1006:AP1006),$AM$1006:$BM$1006,0)))),"Fix")))</f>
        <v xml:space="preserve"> </v>
      </c>
      <c r="F713" s="4" t="str">
        <f ca="1">IF(OR(INDEX($AG$2:$AG$1001,MATCH(ROWS($AF$2:AF713),$AF$2:$AF$1001,0),1)&gt;=100000,INDEX($AM$1005:$BM$1005,1,MATCH(COLUMNS($AM$1006:AQ1006),$AM$1006:$BM$1006,0))&gt;=100000), " ",IF(INDEX($AM$2:$BM$1001,MATCH(ROWS($AF$2:AF713),$AF$2:$AF$1001,0),MATCH(COLUMNS($AM$1006:AQ1006),$AM$1006:$BM$1006,0)), HYPERLINK("#",""), HYPERLINK(CONCATENATE("#metadata!", ADDRESS(INDEX($AH$2:$AH$1001,MATCH(ROWS($AF$2:AF713),$AF$2:$AF$1001,0),0), INDEX($AM$1004:$BM$1004,1,MATCH(COLUMNS($AM$1006:AQ1006),$AM$1006:$BM$1006,0)))),"Fix")))</f>
        <v xml:space="preserve"> </v>
      </c>
      <c r="G713" s="4" t="str">
        <f ca="1">IF(OR(INDEX($AG$2:$AG$1001,MATCH(ROWS($AF$2:AF713),$AF$2:$AF$1001,0),1)&gt;=100000,INDEX($AM$1005:$BM$1005,1,MATCH(COLUMNS($AM$1006:AR1006),$AM$1006:$BM$1006,0))&gt;=100000), " ",IF(INDEX($AM$2:$BM$1001,MATCH(ROWS($AF$2:AF713),$AF$2:$AF$1001,0),MATCH(COLUMNS($AM$1006:AR1006),$AM$1006:$BM$1006,0)), HYPERLINK("#",""), HYPERLINK(CONCATENATE("#metadata!", ADDRESS(INDEX($AH$2:$AH$1001,MATCH(ROWS($AF$2:AF713),$AF$2:$AF$1001,0),0), INDEX($AM$1004:$BM$1004,1,MATCH(COLUMNS($AM$1006:AR1006),$AM$1006:$BM$1006,0)))),"Fix")))</f>
        <v xml:space="preserve"> </v>
      </c>
      <c r="H713" s="4" t="str">
        <f ca="1">IF(OR(INDEX($AG$2:$AG$1001,MATCH(ROWS($AF$2:AF713),$AF$2:$AF$1001,0),1)&gt;=100000,INDEX($AM$1005:$BM$1005,1,MATCH(COLUMNS($AM$1006:AS1006),$AM$1006:$BM$1006,0))&gt;=100000), " ",IF(INDEX($AM$2:$BM$1001,MATCH(ROWS($AF$2:AF713),$AF$2:$AF$1001,0),MATCH(COLUMNS($AM$1006:AS1006),$AM$1006:$BM$1006,0)), HYPERLINK("#",""), HYPERLINK(CONCATENATE("#metadata!", ADDRESS(INDEX($AH$2:$AH$1001,MATCH(ROWS($AF$2:AF713),$AF$2:$AF$1001,0),0), INDEX($AM$1004:$BM$1004,1,MATCH(COLUMNS($AM$1006:AS1006),$AM$1006:$BM$1006,0)))),"Fix")))</f>
        <v xml:space="preserve"> </v>
      </c>
      <c r="I713" s="4" t="str">
        <f ca="1">IF(OR(INDEX($AG$2:$AG$1001,MATCH(ROWS($AF$2:AF713),$AF$2:$AF$1001,0),1)&gt;=100000,INDEX($AM$1005:$BM$1005,1,MATCH(COLUMNS($AM$1006:AT1006),$AM$1006:$BM$1006,0))&gt;=100000), " ",IF(INDEX($AM$2:$BM$1001,MATCH(ROWS($AF$2:AF713),$AF$2:$AF$1001,0),MATCH(COLUMNS($AM$1006:AT1006),$AM$1006:$BM$1006,0)), HYPERLINK("#",""), HYPERLINK(CONCATENATE("#metadata!", ADDRESS(INDEX($AH$2:$AH$1001,MATCH(ROWS($AF$2:AF713),$AF$2:$AF$1001,0),0), INDEX($AM$1004:$BM$1004,1,MATCH(COLUMNS($AM$1006:AT1006),$AM$1006:$BM$1006,0)))),"Fix")))</f>
        <v xml:space="preserve"> </v>
      </c>
      <c r="J713" s="4" t="str">
        <f ca="1">IF(OR(INDEX($AG$2:$AG$1001,MATCH(ROWS($AF$2:AF713),$AF$2:$AF$1001,0),1)&gt;=100000,INDEX($AM$1005:$BM$1005,1,MATCH(COLUMNS($AM$1006:AU1006),$AM$1006:$BM$1006,0))&gt;=100000), " ",IF(INDEX($AM$2:$BM$1001,MATCH(ROWS($AF$2:AF713),$AF$2:$AF$1001,0),MATCH(COLUMNS($AM$1006:AU1006),$AM$1006:$BM$1006,0)), HYPERLINK("#",""), HYPERLINK(CONCATENATE("#metadata!", ADDRESS(INDEX($AH$2:$AH$1001,MATCH(ROWS($AF$2:AF713),$AF$2:$AF$1001,0),0), INDEX($AM$1004:$BM$1004,1,MATCH(COLUMNS($AM$1006:AU1006),$AM$1006:$BM$1006,0)))),"Fix")))</f>
        <v xml:space="preserve"> </v>
      </c>
      <c r="K713" s="4" t="str">
        <f ca="1">IF(OR(INDEX($AG$2:$AG$1001,MATCH(ROWS($AF$2:AF713),$AF$2:$AF$1001,0),1)&gt;=100000,INDEX($AM$1005:$BM$1005,1,MATCH(COLUMNS($AM$1006:AV1006),$AM$1006:$BM$1006,0))&gt;=100000), " ",IF(INDEX($AM$2:$BM$1001,MATCH(ROWS($AF$2:AF713),$AF$2:$AF$1001,0),MATCH(COLUMNS($AM$1006:AV1006),$AM$1006:$BM$1006,0)), HYPERLINK("#",""), HYPERLINK(CONCATENATE("#metadata!", ADDRESS(INDEX($AH$2:$AH$1001,MATCH(ROWS($AF$2:AF713),$AF$2:$AF$1001,0),0), INDEX($AM$1004:$BM$1004,1,MATCH(COLUMNS($AM$1006:AV1006),$AM$1006:$BM$1006,0)))),"Fix")))</f>
        <v xml:space="preserve"> </v>
      </c>
      <c r="L713" s="4" t="str">
        <f ca="1">IF(OR(INDEX($AG$2:$AG$1001,MATCH(ROWS($AF$2:AF713),$AF$2:$AF$1001,0),1)&gt;=100000,INDEX($AM$1005:$BM$1005,1,MATCH(COLUMNS($AM$1006:AW1006),$AM$1006:$BM$1006,0))&gt;=100000), " ",IF(INDEX($AM$2:$BM$1001,MATCH(ROWS($AF$2:AF713),$AF$2:$AF$1001,0),MATCH(COLUMNS($AM$1006:AW1006),$AM$1006:$BM$1006,0)), HYPERLINK("#",""), HYPERLINK(CONCATENATE("#metadata!", ADDRESS(INDEX($AH$2:$AH$1001,MATCH(ROWS($AF$2:AF713),$AF$2:$AF$1001,0),0), INDEX($AM$1004:$BM$1004,1,MATCH(COLUMNS($AM$1006:AW1006),$AM$1006:$BM$1006,0)))),"Fix")))</f>
        <v xml:space="preserve"> </v>
      </c>
      <c r="M713" s="4" t="str">
        <f ca="1">IF(OR(INDEX($AG$2:$AG$1001,MATCH(ROWS($AF$2:AF713),$AF$2:$AF$1001,0),1)&gt;=100000,INDEX($AM$1005:$BM$1005,1,MATCH(COLUMNS($AM$1006:AX1006),$AM$1006:$BM$1006,0))&gt;=100000), " ",IF(INDEX($AM$2:$BM$1001,MATCH(ROWS($AF$2:AF713),$AF$2:$AF$1001,0),MATCH(COLUMNS($AM$1006:AX1006),$AM$1006:$BM$1006,0)), HYPERLINK("#",""), HYPERLINK(CONCATENATE("#metadata!", ADDRESS(INDEX($AH$2:$AH$1001,MATCH(ROWS($AF$2:AF713),$AF$2:$AF$1001,0),0), INDEX($AM$1004:$BM$1004,1,MATCH(COLUMNS($AM$1006:AX1006),$AM$1006:$BM$1006,0)))),"Fix")))</f>
        <v xml:space="preserve"> </v>
      </c>
      <c r="N713" s="4" t="str">
        <f ca="1">IF(OR(INDEX($AG$2:$AG$1001,MATCH(ROWS($AF$2:AF713),$AF$2:$AF$1001,0),1)&gt;=100000,INDEX($AM$1005:$BM$1005,1,MATCH(COLUMNS($AM$1006:AY1006),$AM$1006:$BM$1006,0))&gt;=100000), " ",IF(INDEX($AM$2:$BM$1001,MATCH(ROWS($AF$2:AF713),$AF$2:$AF$1001,0),MATCH(COLUMNS($AM$1006:AY1006),$AM$1006:$BM$1006,0)), HYPERLINK("#",""), HYPERLINK(CONCATENATE("#metadata!", ADDRESS(INDEX($AH$2:$AH$1001,MATCH(ROWS($AF$2:AF713),$AF$2:$AF$1001,0),0), INDEX($AM$1004:$BM$1004,1,MATCH(COLUMNS($AM$1006:AY1006),$AM$1006:$BM$1006,0)))),"Fix")))</f>
        <v xml:space="preserve"> </v>
      </c>
      <c r="O713" s="4" t="str">
        <f ca="1">IF(OR(INDEX($AG$2:$AG$1001,MATCH(ROWS($AF$2:AF713),$AF$2:$AF$1001,0),1)&gt;=100000,INDEX($AM$1005:$BM$1005,1,MATCH(COLUMNS($AM$1006:AZ1006),$AM$1006:$BM$1006,0))&gt;=100000), " ",IF(INDEX($AM$2:$BM$1001,MATCH(ROWS($AF$2:AF713),$AF$2:$AF$1001,0),MATCH(COLUMNS($AM$1006:AZ1006),$AM$1006:$BM$1006,0)), HYPERLINK("#",""), HYPERLINK(CONCATENATE("#metadata!", ADDRESS(INDEX($AH$2:$AH$1001,MATCH(ROWS($AF$2:AF713),$AF$2:$AF$1001,0),0), INDEX($AM$1004:$BM$1004,1,MATCH(COLUMNS($AM$1006:AZ1006),$AM$1006:$BM$1006,0)))),"Fix")))</f>
        <v xml:space="preserve"> </v>
      </c>
      <c r="P713" s="4" t="str">
        <f ca="1">IF(OR(INDEX($AG$2:$AG$1001,MATCH(ROWS($AF$2:AF713),$AF$2:$AF$1001,0),1)&gt;=100000,INDEX($AM$1005:$BM$1005,1,MATCH(COLUMNS($AM$1006:BA1006),$AM$1006:$BM$1006,0))&gt;=100000), " ",IF(INDEX($AM$2:$BM$1001,MATCH(ROWS($AF$2:AF713),$AF$2:$AF$1001,0),MATCH(COLUMNS($AM$1006:BA1006),$AM$1006:$BM$1006,0)), HYPERLINK("#",""), HYPERLINK(CONCATENATE("#metadata!", ADDRESS(INDEX($AH$2:$AH$1001,MATCH(ROWS($AF$2:AF713),$AF$2:$AF$1001,0),0), INDEX($AM$1004:$BM$1004,1,MATCH(COLUMNS($AM$1006:BA1006),$AM$1006:$BM$1006,0)))),"Fix")))</f>
        <v xml:space="preserve"> </v>
      </c>
      <c r="Q713" s="4" t="str">
        <f ca="1">IF(OR(INDEX($AG$2:$AG$1001,MATCH(ROWS($AF$2:AF713),$AF$2:$AF$1001,0),1)&gt;=100000,INDEX($AM$1005:$BM$1005,1,MATCH(COLUMNS($AM$1006:BB1006),$AM$1006:$BM$1006,0))&gt;=100000), " ",IF(INDEX($AM$2:$BM$1001,MATCH(ROWS($AF$2:AF713),$AF$2:$AF$1001,0),MATCH(COLUMNS($AM$1006:BB1006),$AM$1006:$BM$1006,0)), HYPERLINK("#",""), HYPERLINK(CONCATENATE("#metadata!", ADDRESS(INDEX($AH$2:$AH$1001,MATCH(ROWS($AF$2:AF713),$AF$2:$AF$1001,0),0), INDEX($AM$1004:$BM$1004,1,MATCH(COLUMNS($AM$1006:BB1006),$AM$1006:$BM$1006,0)))),"Fix")))</f>
        <v xml:space="preserve"> </v>
      </c>
      <c r="R713" s="4" t="str">
        <f ca="1">IF(OR(INDEX($AG$2:$AG$1001,MATCH(ROWS($AF$2:AF713),$AF$2:$AF$1001,0),1)&gt;=100000,INDEX($AM$1005:$BM$1005,1,MATCH(COLUMNS($AM$1006:BC1006),$AM$1006:$BM$1006,0))&gt;=100000), " ",IF(INDEX($AM$2:$BM$1001,MATCH(ROWS($AF$2:AF713),$AF$2:$AF$1001,0),MATCH(COLUMNS($AM$1006:BC1006),$AM$1006:$BM$1006,0)), HYPERLINK("#",""), HYPERLINK(CONCATENATE("#metadata!", ADDRESS(INDEX($AH$2:$AH$1001,MATCH(ROWS($AF$2:AF713),$AF$2:$AF$1001,0),0), INDEX($AM$1004:$BM$1004,1,MATCH(COLUMNS($AM$1006:BC1006),$AM$1006:$BM$1006,0)))),"Fix")))</f>
        <v xml:space="preserve"> </v>
      </c>
      <c r="S713" s="4" t="str">
        <f ca="1">IF(OR(INDEX($AG$2:$AG$1001,MATCH(ROWS($AF$2:AF713),$AF$2:$AF$1001,0),1)&gt;=100000,INDEX($AM$1005:$BM$1005,1,MATCH(COLUMNS($AM$1006:BD1006),$AM$1006:$BM$1006,0))&gt;=100000), " ",IF(INDEX($AM$2:$BM$1001,MATCH(ROWS($AF$2:AF713),$AF$2:$AF$1001,0),MATCH(COLUMNS($AM$1006:BD1006),$AM$1006:$BM$1006,0)), HYPERLINK("#",""), HYPERLINK(CONCATENATE("#metadata!", ADDRESS(INDEX($AH$2:$AH$1001,MATCH(ROWS($AF$2:AF713),$AF$2:$AF$1001,0),0), INDEX($AM$1004:$BM$1004,1,MATCH(COLUMNS($AM$1006:BD1006),$AM$1006:$BM$1006,0)))),"Fix")))</f>
        <v xml:space="preserve"> </v>
      </c>
      <c r="T713" s="4" t="str">
        <f ca="1">IF(OR(INDEX($AG$2:$AG$1001,MATCH(ROWS($AF$2:AF713),$AF$2:$AF$1001,0),1)&gt;=100000,INDEX($AM$1005:$BM$1005,1,MATCH(COLUMNS($AM$1006:BE1006),$AM$1006:$BM$1006,0))&gt;=100000), " ",IF(INDEX($AM$2:$BM$1001,MATCH(ROWS($AF$2:AF713),$AF$2:$AF$1001,0),MATCH(COLUMNS($AM$1006:BE1006),$AM$1006:$BM$1006,0)), HYPERLINK("#",""), HYPERLINK(CONCATENATE("#metadata!", ADDRESS(INDEX($AH$2:$AH$1001,MATCH(ROWS($AF$2:AF713),$AF$2:$AF$1001,0),0), INDEX($AM$1004:$BM$1004,1,MATCH(COLUMNS($AM$1006:BE1006),$AM$1006:$BM$1006,0)))),"Fix")))</f>
        <v xml:space="preserve"> </v>
      </c>
      <c r="U713" s="4" t="str">
        <f ca="1">IF(OR(INDEX($AG$2:$AG$1001,MATCH(ROWS($AF$2:AF713),$AF$2:$AF$1001,0),1)&gt;=100000,INDEX($AM$1005:$BM$1005,1,MATCH(COLUMNS($AM$1006:BF1006),$AM$1006:$BM$1006,0))&gt;=100000), " ",IF(INDEX($AM$2:$BM$1001,MATCH(ROWS($AF$2:AF713),$AF$2:$AF$1001,0),MATCH(COLUMNS($AM$1006:BF1006),$AM$1006:$BM$1006,0)), HYPERLINK("#",""), HYPERLINK(CONCATENATE("#metadata!", ADDRESS(INDEX($AH$2:$AH$1001,MATCH(ROWS($AF$2:AF713),$AF$2:$AF$1001,0),0), INDEX($AM$1004:$BM$1004,1,MATCH(COLUMNS($AM$1006:BF1006),$AM$1006:$BM$1006,0)))),"Fix")))</f>
        <v xml:space="preserve"> </v>
      </c>
      <c r="V713" s="4" t="str">
        <f ca="1">IF(OR(INDEX($AG$2:$AG$1001,MATCH(ROWS($AF$2:AF713),$AF$2:$AF$1001,0),1)&gt;=100000,INDEX($AM$1005:$BM$1005,1,MATCH(COLUMNS($AM$1006:BG1006),$AM$1006:$BM$1006,0))&gt;=100000), " ",IF(INDEX($AM$2:$BM$1001,MATCH(ROWS($AF$2:AF713),$AF$2:$AF$1001,0),MATCH(COLUMNS($AM$1006:BG1006),$AM$1006:$BM$1006,0)), HYPERLINK("#",""), HYPERLINK(CONCATENATE("#metadata!", ADDRESS(INDEX($AH$2:$AH$1001,MATCH(ROWS($AF$2:AF713),$AF$2:$AF$1001,0),0), INDEX($AM$1004:$BM$1004,1,MATCH(COLUMNS($AM$1006:BG1006),$AM$1006:$BM$1006,0)))),"Fix")))</f>
        <v xml:space="preserve"> </v>
      </c>
      <c r="W713" s="4" t="str">
        <f ca="1">IF(OR(INDEX($AG$2:$AG$1001,MATCH(ROWS($AF$2:AF713),$AF$2:$AF$1001,0),1)&gt;=100000,INDEX($AM$1005:$BM$1005,1,MATCH(COLUMNS($AM$1006:BH1006),$AM$1006:$BM$1006,0))&gt;=100000), " ",IF(INDEX($AM$2:$BM$1001,MATCH(ROWS($AF$2:AF713),$AF$2:$AF$1001,0),MATCH(COLUMNS($AM$1006:BH1006),$AM$1006:$BM$1006,0)), HYPERLINK("#",""), HYPERLINK(CONCATENATE("#metadata!", ADDRESS(INDEX($AH$2:$AH$1001,MATCH(ROWS($AF$2:AF713),$AF$2:$AF$1001,0),0), INDEX($AM$1004:$BM$1004,1,MATCH(COLUMNS($AM$1006:BH1006),$AM$1006:$BM$1006,0)))),"Fix")))</f>
        <v xml:space="preserve"> </v>
      </c>
      <c r="X713" s="4" t="str">
        <f ca="1">IF(OR(INDEX($AG$2:$AG$1001,MATCH(ROWS($AF$2:AF713),$AF$2:$AF$1001,0),1)&gt;=100000,INDEX($AM$1005:$BM$1005,1,MATCH(COLUMNS($AM$1006:BI1006),$AM$1006:$BM$1006,0))&gt;=100000), " ",IF(INDEX($AM$2:$BM$1001,MATCH(ROWS($AF$2:AF713),$AF$2:$AF$1001,0),MATCH(COLUMNS($AM$1006:BI1006),$AM$1006:$BM$1006,0)), HYPERLINK("#",""), HYPERLINK(CONCATENATE("#metadata!", ADDRESS(INDEX($AH$2:$AH$1001,MATCH(ROWS($AF$2:AF713),$AF$2:$AF$1001,0),0), INDEX($AM$1004:$BM$1004,1,MATCH(COLUMNS($AM$1006:BI1006),$AM$1006:$BM$1006,0)))),"Fix")))</f>
        <v xml:space="preserve"> </v>
      </c>
      <c r="Y713" s="4" t="str">
        <f ca="1">IF(OR(INDEX($AG$2:$AG$1001,MATCH(ROWS($AF$2:AF713),$AF$2:$AF$1001,0),1)&gt;=100000,INDEX($AM$1005:$BM$1005,1,MATCH(COLUMNS($AM$1006:BJ1006),$AM$1006:$BM$1006,0))&gt;=100000), " ",IF(INDEX($AM$2:$BM$1001,MATCH(ROWS($AF$2:AF713),$AF$2:$AF$1001,0),MATCH(COLUMNS($AM$1006:BJ1006),$AM$1006:$BM$1006,0)), HYPERLINK("#",""), HYPERLINK(CONCATENATE("#metadata!", ADDRESS(INDEX($AH$2:$AH$1001,MATCH(ROWS($AF$2:AF713),$AF$2:$AF$1001,0),0), INDEX($AM$1004:$BM$1004,1,MATCH(COLUMNS($AM$1006:BJ1006),$AM$1006:$BM$1006,0)))),"Fix")))</f>
        <v xml:space="preserve"> </v>
      </c>
      <c r="Z713" s="4" t="str">
        <f ca="1">IF(OR(INDEX($AG$2:$AG$1001,MATCH(ROWS($AF$2:AF713),$AF$2:$AF$1001,0),1)&gt;=100000,INDEX($AM$1005:$BM$1005,1,MATCH(COLUMNS($AM$1006:BK1006),$AM$1006:$BM$1006,0))&gt;=100000), " ",IF(INDEX($AM$2:$BM$1001,MATCH(ROWS($AF$2:AF713),$AF$2:$AF$1001,0),MATCH(COLUMNS($AM$1006:BK1006),$AM$1006:$BM$1006,0)), HYPERLINK("#",""), HYPERLINK(CONCATENATE("#metadata!", ADDRESS(INDEX($AH$2:$AH$1001,MATCH(ROWS($AF$2:AF713),$AF$2:$AF$1001,0),0), INDEX($AM$1004:$BM$1004,1,MATCH(COLUMNS($AM$1006:BK1006),$AM$1006:$BM$1006,0)))),"Fix")))</f>
        <v xml:space="preserve"> </v>
      </c>
      <c r="AA713" s="4" t="str">
        <f ca="1">IF(OR(INDEX($AG$2:$AG$1001,MATCH(ROWS($AF$2:AF713),$AF$2:$AF$1001,0),1)&gt;=100000,INDEX($AM$1005:$BM$1005,1,MATCH(COLUMNS($AM$1006:BL1006),$AM$1006:$BM$1006,0))&gt;=100000), " ",IF(INDEX($AM$2:$BM$1001,MATCH(ROWS($AF$2:AF713),$AF$2:$AF$1001,0),MATCH(COLUMNS($AM$1006:BL1006),$AM$1006:$BM$1006,0)), HYPERLINK("#",""), HYPERLINK(CONCATENATE("#metadata!", ADDRESS(INDEX($AH$2:$AH$1001,MATCH(ROWS($AF$2:AF713),$AF$2:$AF$1001,0),0), INDEX($AM$1004:$BM$1004,1,MATCH(COLUMNS($AM$1006:BL1006),$AM$1006:$BM$1006,0)))),"Fix")))</f>
        <v xml:space="preserve"> </v>
      </c>
      <c r="AB713" s="4" t="str">
        <f ca="1">IF(OR(INDEX($AG$2:$AG$1001,MATCH(ROWS($AF$2:AF713),$AF$2:$AF$1001,0),1)&gt;=100000,INDEX($AM$1005:$BM$1005,1,MATCH(COLUMNS($AM$1006:BM1006),$AM$1006:$BM$1006,0))&gt;=100000), " ",IF(INDEX($AM$2:$BM$1001,MATCH(ROWS($AF$2:AF713),$AF$2:$AF$1001,0),MATCH(COLUMNS($AM$1006:BM1006),$AM$1006:$BM$1006,0)), HYPERLINK("#",""), HYPERLINK(CONCATENATE("#metadata!", ADDRESS(INDEX($AH$2:$AH$1001,MATCH(ROWS($AF$2:AF713),$AF$2:$AF$1001,0),0), INDEX($AM$1004:$BM$1004,1,MATCH(COLUMNS($AM$1006:BM1006),$AM$1006:$BM$1006,0)))),"Fix")))</f>
        <v xml:space="preserve"> </v>
      </c>
      <c r="AF713">
        <v>712</v>
      </c>
      <c r="AG713">
        <v>100713</v>
      </c>
      <c r="AH713">
        <v>713</v>
      </c>
      <c r="AI713" t="b">
        <f t="shared" si="11"/>
        <v>1</v>
      </c>
      <c r="AJ713" t="b">
        <f>COUNTBLANK(metadata!B713:AB713)=COLUMNS(metadata!B713:AB713)</f>
        <v>1</v>
      </c>
      <c r="AK713" t="str">
        <v/>
      </c>
      <c r="AM713" t="b">
        <f ca="1">AND(IF(metadata!B713="",FALSE,TRUE),COUNTIF(metadata!B:B, metadata!B713) = 1,NOT(ISERROR(SUMPRODUCT(SEARCH(MID(metadata!B713,ROW(INDIRECT("1:"&amp;LEN(metadata!B713))), 1),"0123456789abcdefghijklmnopqrstuvwxyzABCDEFGHIJKLMNOPQRSTUVWXYZ.")))))</f>
        <v>0</v>
      </c>
      <c r="AN713" t="b">
        <f ca="1">OR(AND(IF(metadata!C713="",FALSE,TRUE),OR(EXACT(metadata!C713,"missing: not collected"),EXACT(metadata!C713,"missing: not provided"),EXACT(metadata!C713,"missing: restricted access"))),AND(IF(metadata!C713="",FALSE,TRUE),AND(AND(IFERROR(INT(LEFT(metadata!C713,4))&gt;1900,FALSE),IFERROR(INT(LEFT(metadata!C713,4))&lt;=YEAR(NOW()),FALSE)), OR(MID(metadata!C713,5,1)="", AND(AND(MID(metadata!C713,5,1)="-",IFERROR(INT(MID(metadata!C713,6,1))&gt;=0,FALSE),IFERROR(INT(MID(metadata!C713,6,1))&lt;=1,FALSE),NOT(MID(metadata!C713,7,1)=""),IFERROR(INT(MID(metadata!C713,6,2))&gt;=1,FALSE),IFERROR(INT(MID(metadata!C713,6,2))&lt;=12,FALSE)), OR(MID(metadata!C713,8,1)="", AND(AND(MID(metadata!C713,8,1)="-",IFERROR(INT(MID(metadata!C713,9,1))&gt;=0,FALSE),IFERROR(INT(MID(metadata!C713,9,1))&lt;=3,FALSE),NOT(MID(metadata!C713,10,1)=""),IFERROR(INT(MID(metadata!C713,9,2))&gt;=1,FALSE),IFERROR(INT(MID(metadata!C713,9,2))&lt;=31,FALSE)), OR(MID(metadata!C713,11,1)="", AND(AND(MID(metadata!C713,11,1)=" ",IFERROR(INT(MID(metadata!C713,12,1))&gt;=0,FALSE),IFERROR(INT(MID(metadata!C713,12,1))&lt;=2,FALSE),NOT(MID(metadata!C713,13,1)=""),IFERROR(INT(MID(metadata!C713,12,2))&gt;=0,FALSE),IFERROR(INT(MID(metadata!C713,12,2))&lt;=23,FALSE)), OR(MID(metadata!C713,14,1)="", AND(AND(MID(metadata!C713,14,1)=":",IFERROR(INT(MID(metadata!C713,15,1))&gt;=0,FALSE),IFERROR(INT(MID(metadata!C713,15,1))&lt;=5,FALSE),NOT(MID(metadata!C713,16,1)=""),IFERROR(INT(MID(metadata!C713,15,2))&gt;=0,FALSE),IFERROR(INT(MID(metadata!C713,15,2))&lt;=59,FALSE)), OR(MID(metadata!C713,17,1)="", AND(AND(MID(metadata!C713,17,1)=":",IFERROR(INT(MID(metadata!C713,18,1))&gt;=0,FALSE),IFERROR(INT(MID(metadata!C713,18,1))&lt;=5,FALSE),NOT(MID(metadata!C713,19,1)=""),IFERROR(INT(MID(metadata!C713,18,2))&gt;=0,FALSE),IFERROR(INT(MID(metadata!C713,18,2))&lt;=59,FALSE)), LEN(metadata!C713)&lt;=19)))))))))))))</f>
        <v>0</v>
      </c>
      <c r="AO713" t="b">
        <f>AND(IF(metadata!D713="",FALSE,TRUE),EXACT(metadata!D713,"Not applicable"))</f>
        <v>0</v>
      </c>
      <c r="AP713" t="b">
        <f>IF(metadata!E713="",FALSE,TRUE)</f>
        <v>0</v>
      </c>
      <c r="AQ713" t="b">
        <f>OR(AND(IF(metadata!F713="",FALSE,TRUE),OR(EXACT(metadata!F713,"missing: not collected"),EXACT(metadata!F713,"missing: not provided"))),AND(IF(metadata!F713="",FALSE,TRUE),OR(EXACT(metadata!F713,"TRUE"),EXACT(metadata!F713,"FALSE"))))</f>
        <v>0</v>
      </c>
      <c r="AR713" t="b">
        <f>OR(AND(IF(metadata!G713="",FALSE,TRUE),OR(EXACT(metadata!G713,"missing: not collected"),EXACT(metadata!G713,"missing: not provided"),EXACT(metadata!G713,"missing: restricted access"))),AND(IF(metadata!G713="",FALSE,ISNUMBER(VALUE(metadata!G713))),metadata!G713&gt;=-413))</f>
        <v>0</v>
      </c>
      <c r="AS713" t="b">
        <f>AND(IF(metadata!H713="",FALSE,TRUE),EXACT(metadata!H713,"meters"))</f>
        <v>0</v>
      </c>
      <c r="AT713" t="b">
        <f>AND(IF(metadata!I713="",FALSE,TRUE),OR(EXACT(metadata!I713,"Host-associated"),EXACT(metadata!I713,"Free-living")))</f>
        <v>0</v>
      </c>
      <c r="AU713" t="b">
        <f>AND(IF(metadata!J713="",FALSE,TRUE),OR(EXACT(metadata!J713,"Animal"),EXACT(metadata!J713,"Fungus"),EXACT(metadata!J713,"Plant"),EXACT(metadata!J713,"Saline"),EXACT(metadata!J713,"Non-saline")))</f>
        <v>0</v>
      </c>
      <c r="AV713" t="b">
        <f>AND(IF(metadata!K713="",FALSE,TRUE),OR(EXACT(metadata!K713,"Plant secretion"),EXACT(metadata!K713,"Plant rhizosphere"),EXACT(metadata!K713,"Plant surface"),EXACT(metadata!K713,"Plant corpus"),EXACT(metadata!K713,"Fungus surface"),EXACT(metadata!K713,"Fungus corpus"),EXACT(metadata!K713,"Animal surface"),EXACT(metadata!K713,"Animal proximal gut"),EXACT(metadata!K713,"Animal corpus"),EXACT(metadata!K713,"Animal distal gut"),EXACT(metadata!K713,"Animal secretion"),EXACT(metadata!K713,"Sub-surface (non-saline)"),EXACT(metadata!K713,"Surface (non-saline)"),EXACT(metadata!K713,"Water (non-saline)"),EXACT(metadata!K713,"Soil (non-saline)"),EXACT(metadata!K713,"Aerosol (non-saline)"),EXACT(metadata!K713,"Sediment (non-saline)"),EXACT(metadata!K713,"Surface (saline)"),EXACT(metadata!K713,"Water (saline)"),EXACT(metadata!K713,"Hypersaline (saline)"),EXACT(metadata!K713,"Aerosol (saline)"),EXACT(metadata!K713,"Sediment (saline)")))</f>
        <v>0</v>
      </c>
      <c r="AW713" t="b">
        <f>IF(metadata!L713="",FALSE,TRUE)</f>
        <v>0</v>
      </c>
      <c r="AX713" t="b">
        <f>IF(metadata!M713="",FALSE,TRUE)</f>
        <v>0</v>
      </c>
      <c r="AY713" t="b">
        <f>IF(metadata!N713="",FALSE,TRUE)</f>
        <v>0</v>
      </c>
      <c r="AZ713" t="b">
        <f>OR(AND(IF(metadata!O713="",FALSE,TRUE),OR(EXACT(metadata!O713,"missing: not collected"),EXACT(metadata!O713,"missing: not provided"),EXACT(metadata!O713,"missing: restricted access"))),AND(IF(metadata!O713="",FALSE,TRUE),OR(EXACT(metadata!O713,"air"),EXACT(metadata!O713,"built environment"),EXACT(metadata!O713,"host-associated"),EXACT(metadata!O713,"human-associated"),EXACT(metadata!O713,"human-skin"),EXACT(metadata!O713,"human-oral"),EXACT(metadata!O713,"human-gut"),EXACT(metadata!O713,"human-vaginal"),EXACT(metadata!O713,"microbial mat/biofilm"),EXACT(metadata!O713,"misc environment"),EXACT(metadata!O713,"plant-associated"),EXACT(metadata!O713,"sediment"),EXACT(metadata!O713,"soil"),EXACT(metadata!O713,"wastewater/sludge"),EXACT(metadata!O713,"water"))))</f>
        <v>0</v>
      </c>
      <c r="BA713" t="b">
        <f>IF(metadata!P713="",FALSE,TRUE)</f>
        <v>0</v>
      </c>
      <c r="BB713" t="b">
        <f>IF(metadata!Q713="",FALSE,TRUE)</f>
        <v>0</v>
      </c>
      <c r="BC713" t="b">
        <f>OR(AND(IF(metadata!R713="",FALSE,TRUE),OR(EXACT(metadata!R713,"missing: not collected"),EXACT(metadata!R713,"missing: not provided"),EXACT(metadata!R713,"missing: restricted access"))),AND(IF(metadata!R713="",FALSE,ISNUMBER(VALUE(metadata!R713))),metadata!R713&gt;=-90,metadata!R713&lt;=90))</f>
        <v>0</v>
      </c>
      <c r="BD713" t="b">
        <f>AND(IF(metadata!S713="",FALSE,TRUE),EXACT(metadata!S713,"Decimal degrees"))</f>
        <v>0</v>
      </c>
      <c r="BE713" t="b">
        <f>OR(AND(IF(metadata!T713="",FALSE,TRUE),OR(EXACT(metadata!T713,"missing: not collected"),EXACT(metadata!T713,"missing: not provided"),EXACT(metadata!T713,"missing: restricted access"))),AND(IF(metadata!T713="",FALSE,ISNUMBER(VALUE(metadata!T713))),metadata!T713&gt;=-180,metadata!T713&lt;=180))</f>
        <v>0</v>
      </c>
      <c r="BF713" t="b">
        <f>AND(IF(metadata!U713="",FALSE,TRUE),EXACT(metadata!U713,"Decimal degrees"))</f>
        <v>0</v>
      </c>
      <c r="BG713" t="b">
        <f>IF(metadata!V713="",FALSE,TRUE)</f>
        <v>0</v>
      </c>
      <c r="BH713" t="b">
        <f>OR(AND(IF(metadata!W713="",FALSE,TRUE),OR(EXACT(metadata!W713,"missing: not collected"),EXACT(metadata!W713,"missing: not provided"),EXACT(metadata!W713,"missing: restricted access"))),AND(IF(metadata!W713="",FALSE,TRUE),OR(EXACT(metadata!W713,"TRUE"),EXACT(metadata!W713,"FALSE"))))</f>
        <v>0</v>
      </c>
      <c r="BI713" t="b">
        <f>AND(IF(metadata!X713="",FALSE,TRUE),EXACT(metadata!X713,"other"))</f>
        <v>0</v>
      </c>
      <c r="BJ713" t="b">
        <f>IF(metadata!Y713="",FALSE,TRUE)</f>
        <v>0</v>
      </c>
      <c r="BK713" t="b">
        <f>OR(AND(IF(metadata!Z713="",FALSE,TRUE),OR(EXACT(metadata!Z713,"missing: not collected"),EXACT(metadata!Z713,"missing: not provided"))),AND(IF(metadata!Z713="",FALSE,IF(ISERROR(INT(metadata!Z713)),FALSE,INT(metadata!Z713)=metadata!Z713)),metadata!Z713&gt;0))</f>
        <v>0</v>
      </c>
      <c r="BL713" t="b">
        <f>AND(IF(metadata!AA713="",FALSE,TRUE),EXACT(metadata!AA713,"Not applicable"))</f>
        <v>0</v>
      </c>
      <c r="BM713" t="b">
        <f>IF(metadata!AB713="",FALSE,TRUE)</f>
        <v>0</v>
      </c>
    </row>
    <row r="714" spans="1:65" x14ac:dyDescent="0.2">
      <c r="A714" s="5" t="str">
        <f ca="1">IF(B714=" "," ",HYPERLINK(CONCATENATE("#metadata!",ADDRESS(INDEX($AH$2:$AH$1001,MATCH(ROWS($AF$2:AF714),$AF$2:$AF$1001,0),0),1)),INDEX($AK$2:$AK$1001,MATCH(ROWS($AF$2:AF714),$AF$2:$AF$1001,0),0)))</f>
        <v xml:space="preserve"> </v>
      </c>
      <c r="B714" s="4" t="str">
        <f ca="1">IF(OR(INDEX($AG$2:$AG$1001,MATCH(ROWS($AF$2:AF714),$AF$2:$AF$1001,0),1)&gt;=100000,INDEX($AM$1005:$BM$1005,1,MATCH(COLUMNS($AM$1006:AM1006),$AM$1006:$BM$1006,0))&gt;=100000), " ",IF(INDEX($AM$2:$BM$1001,MATCH(ROWS($AF$2:AF714),$AF$2:$AF$1001,0),MATCH(COLUMNS($AM$1006:AM1006),$AM$1006:$BM$1006,0)), HYPERLINK("#",""), HYPERLINK(CONCATENATE("#metadata!", ADDRESS(INDEX($AH$2:$AH$1001,MATCH(ROWS($AF$2:AF714),$AF$2:$AF$1001,0),0), INDEX($AM$1004:$BM$1004,1,MATCH(COLUMNS($AM$1006:AM1006),$AM$1006:$BM$1006,0)))),"Fix")))</f>
        <v xml:space="preserve"> </v>
      </c>
      <c r="C714" s="4" t="str">
        <f ca="1">IF(OR(INDEX($AG$2:$AG$1001,MATCH(ROWS($AF$2:AF714),$AF$2:$AF$1001,0),1)&gt;=100000,INDEX($AM$1005:$BM$1005,1,MATCH(COLUMNS($AM$1006:AN1006),$AM$1006:$BM$1006,0))&gt;=100000), " ",IF(INDEX($AM$2:$BM$1001,MATCH(ROWS($AF$2:AF714),$AF$2:$AF$1001,0),MATCH(COLUMNS($AM$1006:AN1006),$AM$1006:$BM$1006,0)), HYPERLINK("#",""), HYPERLINK(CONCATENATE("#metadata!", ADDRESS(INDEX($AH$2:$AH$1001,MATCH(ROWS($AF$2:AF714),$AF$2:$AF$1001,0),0), INDEX($AM$1004:$BM$1004,1,MATCH(COLUMNS($AM$1006:AN1006),$AM$1006:$BM$1006,0)))),"Fix")))</f>
        <v xml:space="preserve"> </v>
      </c>
      <c r="D714" s="4" t="str">
        <f ca="1">IF(OR(INDEX($AG$2:$AG$1001,MATCH(ROWS($AF$2:AF714),$AF$2:$AF$1001,0),1)&gt;=100000,INDEX($AM$1005:$BM$1005,1,MATCH(COLUMNS($AM$1006:AO1006),$AM$1006:$BM$1006,0))&gt;=100000), " ",IF(INDEX($AM$2:$BM$1001,MATCH(ROWS($AF$2:AF714),$AF$2:$AF$1001,0),MATCH(COLUMNS($AM$1006:AO1006),$AM$1006:$BM$1006,0)), HYPERLINK("#",""), HYPERLINK(CONCATENATE("#metadata!", ADDRESS(INDEX($AH$2:$AH$1001,MATCH(ROWS($AF$2:AF714),$AF$2:$AF$1001,0),0), INDEX($AM$1004:$BM$1004,1,MATCH(COLUMNS($AM$1006:AO1006),$AM$1006:$BM$1006,0)))),"Fix")))</f>
        <v xml:space="preserve"> </v>
      </c>
      <c r="E714" s="4" t="str">
        <f ca="1">IF(OR(INDEX($AG$2:$AG$1001,MATCH(ROWS($AF$2:AF714),$AF$2:$AF$1001,0),1)&gt;=100000,INDEX($AM$1005:$BM$1005,1,MATCH(COLUMNS($AM$1006:AP1006),$AM$1006:$BM$1006,0))&gt;=100000), " ",IF(INDEX($AM$2:$BM$1001,MATCH(ROWS($AF$2:AF714),$AF$2:$AF$1001,0),MATCH(COLUMNS($AM$1006:AP1006),$AM$1006:$BM$1006,0)), HYPERLINK("#",""), HYPERLINK(CONCATENATE("#metadata!", ADDRESS(INDEX($AH$2:$AH$1001,MATCH(ROWS($AF$2:AF714),$AF$2:$AF$1001,0),0), INDEX($AM$1004:$BM$1004,1,MATCH(COLUMNS($AM$1006:AP1006),$AM$1006:$BM$1006,0)))),"Fix")))</f>
        <v xml:space="preserve"> </v>
      </c>
      <c r="F714" s="4" t="str">
        <f ca="1">IF(OR(INDEX($AG$2:$AG$1001,MATCH(ROWS($AF$2:AF714),$AF$2:$AF$1001,0),1)&gt;=100000,INDEX($AM$1005:$BM$1005,1,MATCH(COLUMNS($AM$1006:AQ1006),$AM$1006:$BM$1006,0))&gt;=100000), " ",IF(INDEX($AM$2:$BM$1001,MATCH(ROWS($AF$2:AF714),$AF$2:$AF$1001,0),MATCH(COLUMNS($AM$1006:AQ1006),$AM$1006:$BM$1006,0)), HYPERLINK("#",""), HYPERLINK(CONCATENATE("#metadata!", ADDRESS(INDEX($AH$2:$AH$1001,MATCH(ROWS($AF$2:AF714),$AF$2:$AF$1001,0),0), INDEX($AM$1004:$BM$1004,1,MATCH(COLUMNS($AM$1006:AQ1006),$AM$1006:$BM$1006,0)))),"Fix")))</f>
        <v xml:space="preserve"> </v>
      </c>
      <c r="G714" s="4" t="str">
        <f ca="1">IF(OR(INDEX($AG$2:$AG$1001,MATCH(ROWS($AF$2:AF714),$AF$2:$AF$1001,0),1)&gt;=100000,INDEX($AM$1005:$BM$1005,1,MATCH(COLUMNS($AM$1006:AR1006),$AM$1006:$BM$1006,0))&gt;=100000), " ",IF(INDEX($AM$2:$BM$1001,MATCH(ROWS($AF$2:AF714),$AF$2:$AF$1001,0),MATCH(COLUMNS($AM$1006:AR1006),$AM$1006:$BM$1006,0)), HYPERLINK("#",""), HYPERLINK(CONCATENATE("#metadata!", ADDRESS(INDEX($AH$2:$AH$1001,MATCH(ROWS($AF$2:AF714),$AF$2:$AF$1001,0),0), INDEX($AM$1004:$BM$1004,1,MATCH(COLUMNS($AM$1006:AR1006),$AM$1006:$BM$1006,0)))),"Fix")))</f>
        <v xml:space="preserve"> </v>
      </c>
      <c r="H714" s="4" t="str">
        <f ca="1">IF(OR(INDEX($AG$2:$AG$1001,MATCH(ROWS($AF$2:AF714),$AF$2:$AF$1001,0),1)&gt;=100000,INDEX($AM$1005:$BM$1005,1,MATCH(COLUMNS($AM$1006:AS1006),$AM$1006:$BM$1006,0))&gt;=100000), " ",IF(INDEX($AM$2:$BM$1001,MATCH(ROWS($AF$2:AF714),$AF$2:$AF$1001,0),MATCH(COLUMNS($AM$1006:AS1006),$AM$1006:$BM$1006,0)), HYPERLINK("#",""), HYPERLINK(CONCATENATE("#metadata!", ADDRESS(INDEX($AH$2:$AH$1001,MATCH(ROWS($AF$2:AF714),$AF$2:$AF$1001,0),0), INDEX($AM$1004:$BM$1004,1,MATCH(COLUMNS($AM$1006:AS1006),$AM$1006:$BM$1006,0)))),"Fix")))</f>
        <v xml:space="preserve"> </v>
      </c>
      <c r="I714" s="4" t="str">
        <f ca="1">IF(OR(INDEX($AG$2:$AG$1001,MATCH(ROWS($AF$2:AF714),$AF$2:$AF$1001,0),1)&gt;=100000,INDEX($AM$1005:$BM$1005,1,MATCH(COLUMNS($AM$1006:AT1006),$AM$1006:$BM$1006,0))&gt;=100000), " ",IF(INDEX($AM$2:$BM$1001,MATCH(ROWS($AF$2:AF714),$AF$2:$AF$1001,0),MATCH(COLUMNS($AM$1006:AT1006),$AM$1006:$BM$1006,0)), HYPERLINK("#",""), HYPERLINK(CONCATENATE("#metadata!", ADDRESS(INDEX($AH$2:$AH$1001,MATCH(ROWS($AF$2:AF714),$AF$2:$AF$1001,0),0), INDEX($AM$1004:$BM$1004,1,MATCH(COLUMNS($AM$1006:AT1006),$AM$1006:$BM$1006,0)))),"Fix")))</f>
        <v xml:space="preserve"> </v>
      </c>
      <c r="J714" s="4" t="str">
        <f ca="1">IF(OR(INDEX($AG$2:$AG$1001,MATCH(ROWS($AF$2:AF714),$AF$2:$AF$1001,0),1)&gt;=100000,INDEX($AM$1005:$BM$1005,1,MATCH(COLUMNS($AM$1006:AU1006),$AM$1006:$BM$1006,0))&gt;=100000), " ",IF(INDEX($AM$2:$BM$1001,MATCH(ROWS($AF$2:AF714),$AF$2:$AF$1001,0),MATCH(COLUMNS($AM$1006:AU1006),$AM$1006:$BM$1006,0)), HYPERLINK("#",""), HYPERLINK(CONCATENATE("#metadata!", ADDRESS(INDEX($AH$2:$AH$1001,MATCH(ROWS($AF$2:AF714),$AF$2:$AF$1001,0),0), INDEX($AM$1004:$BM$1004,1,MATCH(COLUMNS($AM$1006:AU1006),$AM$1006:$BM$1006,0)))),"Fix")))</f>
        <v xml:space="preserve"> </v>
      </c>
      <c r="K714" s="4" t="str">
        <f ca="1">IF(OR(INDEX($AG$2:$AG$1001,MATCH(ROWS($AF$2:AF714),$AF$2:$AF$1001,0),1)&gt;=100000,INDEX($AM$1005:$BM$1005,1,MATCH(COLUMNS($AM$1006:AV1006),$AM$1006:$BM$1006,0))&gt;=100000), " ",IF(INDEX($AM$2:$BM$1001,MATCH(ROWS($AF$2:AF714),$AF$2:$AF$1001,0),MATCH(COLUMNS($AM$1006:AV1006),$AM$1006:$BM$1006,0)), HYPERLINK("#",""), HYPERLINK(CONCATENATE("#metadata!", ADDRESS(INDEX($AH$2:$AH$1001,MATCH(ROWS($AF$2:AF714),$AF$2:$AF$1001,0),0), INDEX($AM$1004:$BM$1004,1,MATCH(COLUMNS($AM$1006:AV1006),$AM$1006:$BM$1006,0)))),"Fix")))</f>
        <v xml:space="preserve"> </v>
      </c>
      <c r="L714" s="4" t="str">
        <f ca="1">IF(OR(INDEX($AG$2:$AG$1001,MATCH(ROWS($AF$2:AF714),$AF$2:$AF$1001,0),1)&gt;=100000,INDEX($AM$1005:$BM$1005,1,MATCH(COLUMNS($AM$1006:AW1006),$AM$1006:$BM$1006,0))&gt;=100000), " ",IF(INDEX($AM$2:$BM$1001,MATCH(ROWS($AF$2:AF714),$AF$2:$AF$1001,0),MATCH(COLUMNS($AM$1006:AW1006),$AM$1006:$BM$1006,0)), HYPERLINK("#",""), HYPERLINK(CONCATENATE("#metadata!", ADDRESS(INDEX($AH$2:$AH$1001,MATCH(ROWS($AF$2:AF714),$AF$2:$AF$1001,0),0), INDEX($AM$1004:$BM$1004,1,MATCH(COLUMNS($AM$1006:AW1006),$AM$1006:$BM$1006,0)))),"Fix")))</f>
        <v xml:space="preserve"> </v>
      </c>
      <c r="M714" s="4" t="str">
        <f ca="1">IF(OR(INDEX($AG$2:$AG$1001,MATCH(ROWS($AF$2:AF714),$AF$2:$AF$1001,0),1)&gt;=100000,INDEX($AM$1005:$BM$1005,1,MATCH(COLUMNS($AM$1006:AX1006),$AM$1006:$BM$1006,0))&gt;=100000), " ",IF(INDEX($AM$2:$BM$1001,MATCH(ROWS($AF$2:AF714),$AF$2:$AF$1001,0),MATCH(COLUMNS($AM$1006:AX1006),$AM$1006:$BM$1006,0)), HYPERLINK("#",""), HYPERLINK(CONCATENATE("#metadata!", ADDRESS(INDEX($AH$2:$AH$1001,MATCH(ROWS($AF$2:AF714),$AF$2:$AF$1001,0),0), INDEX($AM$1004:$BM$1004,1,MATCH(COLUMNS($AM$1006:AX1006),$AM$1006:$BM$1006,0)))),"Fix")))</f>
        <v xml:space="preserve"> </v>
      </c>
      <c r="N714" s="4" t="str">
        <f ca="1">IF(OR(INDEX($AG$2:$AG$1001,MATCH(ROWS($AF$2:AF714),$AF$2:$AF$1001,0),1)&gt;=100000,INDEX($AM$1005:$BM$1005,1,MATCH(COLUMNS($AM$1006:AY1006),$AM$1006:$BM$1006,0))&gt;=100000), " ",IF(INDEX($AM$2:$BM$1001,MATCH(ROWS($AF$2:AF714),$AF$2:$AF$1001,0),MATCH(COLUMNS($AM$1006:AY1006),$AM$1006:$BM$1006,0)), HYPERLINK("#",""), HYPERLINK(CONCATENATE("#metadata!", ADDRESS(INDEX($AH$2:$AH$1001,MATCH(ROWS($AF$2:AF714),$AF$2:$AF$1001,0),0), INDEX($AM$1004:$BM$1004,1,MATCH(COLUMNS($AM$1006:AY1006),$AM$1006:$BM$1006,0)))),"Fix")))</f>
        <v xml:space="preserve"> </v>
      </c>
      <c r="O714" s="4" t="str">
        <f ca="1">IF(OR(INDEX($AG$2:$AG$1001,MATCH(ROWS($AF$2:AF714),$AF$2:$AF$1001,0),1)&gt;=100000,INDEX($AM$1005:$BM$1005,1,MATCH(COLUMNS($AM$1006:AZ1006),$AM$1006:$BM$1006,0))&gt;=100000), " ",IF(INDEX($AM$2:$BM$1001,MATCH(ROWS($AF$2:AF714),$AF$2:$AF$1001,0),MATCH(COLUMNS($AM$1006:AZ1006),$AM$1006:$BM$1006,0)), HYPERLINK("#",""), HYPERLINK(CONCATENATE("#metadata!", ADDRESS(INDEX($AH$2:$AH$1001,MATCH(ROWS($AF$2:AF714),$AF$2:$AF$1001,0),0), INDEX($AM$1004:$BM$1004,1,MATCH(COLUMNS($AM$1006:AZ1006),$AM$1006:$BM$1006,0)))),"Fix")))</f>
        <v xml:space="preserve"> </v>
      </c>
      <c r="P714" s="4" t="str">
        <f ca="1">IF(OR(INDEX($AG$2:$AG$1001,MATCH(ROWS($AF$2:AF714),$AF$2:$AF$1001,0),1)&gt;=100000,INDEX($AM$1005:$BM$1005,1,MATCH(COLUMNS($AM$1006:BA1006),$AM$1006:$BM$1006,0))&gt;=100000), " ",IF(INDEX($AM$2:$BM$1001,MATCH(ROWS($AF$2:AF714),$AF$2:$AF$1001,0),MATCH(COLUMNS($AM$1006:BA1006),$AM$1006:$BM$1006,0)), HYPERLINK("#",""), HYPERLINK(CONCATENATE("#metadata!", ADDRESS(INDEX($AH$2:$AH$1001,MATCH(ROWS($AF$2:AF714),$AF$2:$AF$1001,0),0), INDEX($AM$1004:$BM$1004,1,MATCH(COLUMNS($AM$1006:BA1006),$AM$1006:$BM$1006,0)))),"Fix")))</f>
        <v xml:space="preserve"> </v>
      </c>
      <c r="Q714" s="4" t="str">
        <f ca="1">IF(OR(INDEX($AG$2:$AG$1001,MATCH(ROWS($AF$2:AF714),$AF$2:$AF$1001,0),1)&gt;=100000,INDEX($AM$1005:$BM$1005,1,MATCH(COLUMNS($AM$1006:BB1006),$AM$1006:$BM$1006,0))&gt;=100000), " ",IF(INDEX($AM$2:$BM$1001,MATCH(ROWS($AF$2:AF714),$AF$2:$AF$1001,0),MATCH(COLUMNS($AM$1006:BB1006),$AM$1006:$BM$1006,0)), HYPERLINK("#",""), HYPERLINK(CONCATENATE("#metadata!", ADDRESS(INDEX($AH$2:$AH$1001,MATCH(ROWS($AF$2:AF714),$AF$2:$AF$1001,0),0), INDEX($AM$1004:$BM$1004,1,MATCH(COLUMNS($AM$1006:BB1006),$AM$1006:$BM$1006,0)))),"Fix")))</f>
        <v xml:space="preserve"> </v>
      </c>
      <c r="R714" s="4" t="str">
        <f ca="1">IF(OR(INDEX($AG$2:$AG$1001,MATCH(ROWS($AF$2:AF714),$AF$2:$AF$1001,0),1)&gt;=100000,INDEX($AM$1005:$BM$1005,1,MATCH(COLUMNS($AM$1006:BC1006),$AM$1006:$BM$1006,0))&gt;=100000), " ",IF(INDEX($AM$2:$BM$1001,MATCH(ROWS($AF$2:AF714),$AF$2:$AF$1001,0),MATCH(COLUMNS($AM$1006:BC1006),$AM$1006:$BM$1006,0)), HYPERLINK("#",""), HYPERLINK(CONCATENATE("#metadata!", ADDRESS(INDEX($AH$2:$AH$1001,MATCH(ROWS($AF$2:AF714),$AF$2:$AF$1001,0),0), INDEX($AM$1004:$BM$1004,1,MATCH(COLUMNS($AM$1006:BC1006),$AM$1006:$BM$1006,0)))),"Fix")))</f>
        <v xml:space="preserve"> </v>
      </c>
      <c r="S714" s="4" t="str">
        <f ca="1">IF(OR(INDEX($AG$2:$AG$1001,MATCH(ROWS($AF$2:AF714),$AF$2:$AF$1001,0),1)&gt;=100000,INDEX($AM$1005:$BM$1005,1,MATCH(COLUMNS($AM$1006:BD1006),$AM$1006:$BM$1006,0))&gt;=100000), " ",IF(INDEX($AM$2:$BM$1001,MATCH(ROWS($AF$2:AF714),$AF$2:$AF$1001,0),MATCH(COLUMNS($AM$1006:BD1006),$AM$1006:$BM$1006,0)), HYPERLINK("#",""), HYPERLINK(CONCATENATE("#metadata!", ADDRESS(INDEX($AH$2:$AH$1001,MATCH(ROWS($AF$2:AF714),$AF$2:$AF$1001,0),0), INDEX($AM$1004:$BM$1004,1,MATCH(COLUMNS($AM$1006:BD1006),$AM$1006:$BM$1006,0)))),"Fix")))</f>
        <v xml:space="preserve"> </v>
      </c>
      <c r="T714" s="4" t="str">
        <f ca="1">IF(OR(INDEX($AG$2:$AG$1001,MATCH(ROWS($AF$2:AF714),$AF$2:$AF$1001,0),1)&gt;=100000,INDEX($AM$1005:$BM$1005,1,MATCH(COLUMNS($AM$1006:BE1006),$AM$1006:$BM$1006,0))&gt;=100000), " ",IF(INDEX($AM$2:$BM$1001,MATCH(ROWS($AF$2:AF714),$AF$2:$AF$1001,0),MATCH(COLUMNS($AM$1006:BE1006),$AM$1006:$BM$1006,0)), HYPERLINK("#",""), HYPERLINK(CONCATENATE("#metadata!", ADDRESS(INDEX($AH$2:$AH$1001,MATCH(ROWS($AF$2:AF714),$AF$2:$AF$1001,0),0), INDEX($AM$1004:$BM$1004,1,MATCH(COLUMNS($AM$1006:BE1006),$AM$1006:$BM$1006,0)))),"Fix")))</f>
        <v xml:space="preserve"> </v>
      </c>
      <c r="U714" s="4" t="str">
        <f ca="1">IF(OR(INDEX($AG$2:$AG$1001,MATCH(ROWS($AF$2:AF714),$AF$2:$AF$1001,0),1)&gt;=100000,INDEX($AM$1005:$BM$1005,1,MATCH(COLUMNS($AM$1006:BF1006),$AM$1006:$BM$1006,0))&gt;=100000), " ",IF(INDEX($AM$2:$BM$1001,MATCH(ROWS($AF$2:AF714),$AF$2:$AF$1001,0),MATCH(COLUMNS($AM$1006:BF1006),$AM$1006:$BM$1006,0)), HYPERLINK("#",""), HYPERLINK(CONCATENATE("#metadata!", ADDRESS(INDEX($AH$2:$AH$1001,MATCH(ROWS($AF$2:AF714),$AF$2:$AF$1001,0),0), INDEX($AM$1004:$BM$1004,1,MATCH(COLUMNS($AM$1006:BF1006),$AM$1006:$BM$1006,0)))),"Fix")))</f>
        <v xml:space="preserve"> </v>
      </c>
      <c r="V714" s="4" t="str">
        <f ca="1">IF(OR(INDEX($AG$2:$AG$1001,MATCH(ROWS($AF$2:AF714),$AF$2:$AF$1001,0),1)&gt;=100000,INDEX($AM$1005:$BM$1005,1,MATCH(COLUMNS($AM$1006:BG1006),$AM$1006:$BM$1006,0))&gt;=100000), " ",IF(INDEX($AM$2:$BM$1001,MATCH(ROWS($AF$2:AF714),$AF$2:$AF$1001,0),MATCH(COLUMNS($AM$1006:BG1006),$AM$1006:$BM$1006,0)), HYPERLINK("#",""), HYPERLINK(CONCATENATE("#metadata!", ADDRESS(INDEX($AH$2:$AH$1001,MATCH(ROWS($AF$2:AF714),$AF$2:$AF$1001,0),0), INDEX($AM$1004:$BM$1004,1,MATCH(COLUMNS($AM$1006:BG1006),$AM$1006:$BM$1006,0)))),"Fix")))</f>
        <v xml:space="preserve"> </v>
      </c>
      <c r="W714" s="4" t="str">
        <f ca="1">IF(OR(INDEX($AG$2:$AG$1001,MATCH(ROWS($AF$2:AF714),$AF$2:$AF$1001,0),1)&gt;=100000,INDEX($AM$1005:$BM$1005,1,MATCH(COLUMNS($AM$1006:BH1006),$AM$1006:$BM$1006,0))&gt;=100000), " ",IF(INDEX($AM$2:$BM$1001,MATCH(ROWS($AF$2:AF714),$AF$2:$AF$1001,0),MATCH(COLUMNS($AM$1006:BH1006),$AM$1006:$BM$1006,0)), HYPERLINK("#",""), HYPERLINK(CONCATENATE("#metadata!", ADDRESS(INDEX($AH$2:$AH$1001,MATCH(ROWS($AF$2:AF714),$AF$2:$AF$1001,0),0), INDEX($AM$1004:$BM$1004,1,MATCH(COLUMNS($AM$1006:BH1006),$AM$1006:$BM$1006,0)))),"Fix")))</f>
        <v xml:space="preserve"> </v>
      </c>
      <c r="X714" s="4" t="str">
        <f ca="1">IF(OR(INDEX($AG$2:$AG$1001,MATCH(ROWS($AF$2:AF714),$AF$2:$AF$1001,0),1)&gt;=100000,INDEX($AM$1005:$BM$1005,1,MATCH(COLUMNS($AM$1006:BI1006),$AM$1006:$BM$1006,0))&gt;=100000), " ",IF(INDEX($AM$2:$BM$1001,MATCH(ROWS($AF$2:AF714),$AF$2:$AF$1001,0),MATCH(COLUMNS($AM$1006:BI1006),$AM$1006:$BM$1006,0)), HYPERLINK("#",""), HYPERLINK(CONCATENATE("#metadata!", ADDRESS(INDEX($AH$2:$AH$1001,MATCH(ROWS($AF$2:AF714),$AF$2:$AF$1001,0),0), INDEX($AM$1004:$BM$1004,1,MATCH(COLUMNS($AM$1006:BI1006),$AM$1006:$BM$1006,0)))),"Fix")))</f>
        <v xml:space="preserve"> </v>
      </c>
      <c r="Y714" s="4" t="str">
        <f ca="1">IF(OR(INDEX($AG$2:$AG$1001,MATCH(ROWS($AF$2:AF714),$AF$2:$AF$1001,0),1)&gt;=100000,INDEX($AM$1005:$BM$1005,1,MATCH(COLUMNS($AM$1006:BJ1006),$AM$1006:$BM$1006,0))&gt;=100000), " ",IF(INDEX($AM$2:$BM$1001,MATCH(ROWS($AF$2:AF714),$AF$2:$AF$1001,0),MATCH(COLUMNS($AM$1006:BJ1006),$AM$1006:$BM$1006,0)), HYPERLINK("#",""), HYPERLINK(CONCATENATE("#metadata!", ADDRESS(INDEX($AH$2:$AH$1001,MATCH(ROWS($AF$2:AF714),$AF$2:$AF$1001,0),0), INDEX($AM$1004:$BM$1004,1,MATCH(COLUMNS($AM$1006:BJ1006),$AM$1006:$BM$1006,0)))),"Fix")))</f>
        <v xml:space="preserve"> </v>
      </c>
      <c r="Z714" s="4" t="str">
        <f ca="1">IF(OR(INDEX($AG$2:$AG$1001,MATCH(ROWS($AF$2:AF714),$AF$2:$AF$1001,0),1)&gt;=100000,INDEX($AM$1005:$BM$1005,1,MATCH(COLUMNS($AM$1006:BK1006),$AM$1006:$BM$1006,0))&gt;=100000), " ",IF(INDEX($AM$2:$BM$1001,MATCH(ROWS($AF$2:AF714),$AF$2:$AF$1001,0),MATCH(COLUMNS($AM$1006:BK1006),$AM$1006:$BM$1006,0)), HYPERLINK("#",""), HYPERLINK(CONCATENATE("#metadata!", ADDRESS(INDEX($AH$2:$AH$1001,MATCH(ROWS($AF$2:AF714),$AF$2:$AF$1001,0),0), INDEX($AM$1004:$BM$1004,1,MATCH(COLUMNS($AM$1006:BK1006),$AM$1006:$BM$1006,0)))),"Fix")))</f>
        <v xml:space="preserve"> </v>
      </c>
      <c r="AA714" s="4" t="str">
        <f ca="1">IF(OR(INDEX($AG$2:$AG$1001,MATCH(ROWS($AF$2:AF714),$AF$2:$AF$1001,0),1)&gt;=100000,INDEX($AM$1005:$BM$1005,1,MATCH(COLUMNS($AM$1006:BL1006),$AM$1006:$BM$1006,0))&gt;=100000), " ",IF(INDEX($AM$2:$BM$1001,MATCH(ROWS($AF$2:AF714),$AF$2:$AF$1001,0),MATCH(COLUMNS($AM$1006:BL1006),$AM$1006:$BM$1006,0)), HYPERLINK("#",""), HYPERLINK(CONCATENATE("#metadata!", ADDRESS(INDEX($AH$2:$AH$1001,MATCH(ROWS($AF$2:AF714),$AF$2:$AF$1001,0),0), INDEX($AM$1004:$BM$1004,1,MATCH(COLUMNS($AM$1006:BL1006),$AM$1006:$BM$1006,0)))),"Fix")))</f>
        <v xml:space="preserve"> </v>
      </c>
      <c r="AB714" s="4" t="str">
        <f ca="1">IF(OR(INDEX($AG$2:$AG$1001,MATCH(ROWS($AF$2:AF714),$AF$2:$AF$1001,0),1)&gt;=100000,INDEX($AM$1005:$BM$1005,1,MATCH(COLUMNS($AM$1006:BM1006),$AM$1006:$BM$1006,0))&gt;=100000), " ",IF(INDEX($AM$2:$BM$1001,MATCH(ROWS($AF$2:AF714),$AF$2:$AF$1001,0),MATCH(COLUMNS($AM$1006:BM1006),$AM$1006:$BM$1006,0)), HYPERLINK("#",""), HYPERLINK(CONCATENATE("#metadata!", ADDRESS(INDEX($AH$2:$AH$1001,MATCH(ROWS($AF$2:AF714),$AF$2:$AF$1001,0),0), INDEX($AM$1004:$BM$1004,1,MATCH(COLUMNS($AM$1006:BM1006),$AM$1006:$BM$1006,0)))),"Fix")))</f>
        <v xml:space="preserve"> </v>
      </c>
      <c r="AF714">
        <v>713</v>
      </c>
      <c r="AG714">
        <v>100714</v>
      </c>
      <c r="AH714">
        <v>714</v>
      </c>
      <c r="AI714" t="b">
        <f t="shared" si="11"/>
        <v>1</v>
      </c>
      <c r="AJ714" t="b">
        <f>COUNTBLANK(metadata!B714:AB714)=COLUMNS(metadata!B714:AB714)</f>
        <v>1</v>
      </c>
      <c r="AK714" t="str">
        <v/>
      </c>
      <c r="AM714" t="b">
        <f ca="1">AND(IF(metadata!B714="",FALSE,TRUE),COUNTIF(metadata!B:B, metadata!B714) = 1,NOT(ISERROR(SUMPRODUCT(SEARCH(MID(metadata!B714,ROW(INDIRECT("1:"&amp;LEN(metadata!B714))), 1),"0123456789abcdefghijklmnopqrstuvwxyzABCDEFGHIJKLMNOPQRSTUVWXYZ.")))))</f>
        <v>0</v>
      </c>
      <c r="AN714" t="b">
        <f ca="1">OR(AND(IF(metadata!C714="",FALSE,TRUE),OR(EXACT(metadata!C714,"missing: not collected"),EXACT(metadata!C714,"missing: not provided"),EXACT(metadata!C714,"missing: restricted access"))),AND(IF(metadata!C714="",FALSE,TRUE),AND(AND(IFERROR(INT(LEFT(metadata!C714,4))&gt;1900,FALSE),IFERROR(INT(LEFT(metadata!C714,4))&lt;=YEAR(NOW()),FALSE)), OR(MID(metadata!C714,5,1)="", AND(AND(MID(metadata!C714,5,1)="-",IFERROR(INT(MID(metadata!C714,6,1))&gt;=0,FALSE),IFERROR(INT(MID(metadata!C714,6,1))&lt;=1,FALSE),NOT(MID(metadata!C714,7,1)=""),IFERROR(INT(MID(metadata!C714,6,2))&gt;=1,FALSE),IFERROR(INT(MID(metadata!C714,6,2))&lt;=12,FALSE)), OR(MID(metadata!C714,8,1)="", AND(AND(MID(metadata!C714,8,1)="-",IFERROR(INT(MID(metadata!C714,9,1))&gt;=0,FALSE),IFERROR(INT(MID(metadata!C714,9,1))&lt;=3,FALSE),NOT(MID(metadata!C714,10,1)=""),IFERROR(INT(MID(metadata!C714,9,2))&gt;=1,FALSE),IFERROR(INT(MID(metadata!C714,9,2))&lt;=31,FALSE)), OR(MID(metadata!C714,11,1)="", AND(AND(MID(metadata!C714,11,1)=" ",IFERROR(INT(MID(metadata!C714,12,1))&gt;=0,FALSE),IFERROR(INT(MID(metadata!C714,12,1))&lt;=2,FALSE),NOT(MID(metadata!C714,13,1)=""),IFERROR(INT(MID(metadata!C714,12,2))&gt;=0,FALSE),IFERROR(INT(MID(metadata!C714,12,2))&lt;=23,FALSE)), OR(MID(metadata!C714,14,1)="", AND(AND(MID(metadata!C714,14,1)=":",IFERROR(INT(MID(metadata!C714,15,1))&gt;=0,FALSE),IFERROR(INT(MID(metadata!C714,15,1))&lt;=5,FALSE),NOT(MID(metadata!C714,16,1)=""),IFERROR(INT(MID(metadata!C714,15,2))&gt;=0,FALSE),IFERROR(INT(MID(metadata!C714,15,2))&lt;=59,FALSE)), OR(MID(metadata!C714,17,1)="", AND(AND(MID(metadata!C714,17,1)=":",IFERROR(INT(MID(metadata!C714,18,1))&gt;=0,FALSE),IFERROR(INT(MID(metadata!C714,18,1))&lt;=5,FALSE),NOT(MID(metadata!C714,19,1)=""),IFERROR(INT(MID(metadata!C714,18,2))&gt;=0,FALSE),IFERROR(INT(MID(metadata!C714,18,2))&lt;=59,FALSE)), LEN(metadata!C714)&lt;=19)))))))))))))</f>
        <v>0</v>
      </c>
      <c r="AO714" t="b">
        <f>AND(IF(metadata!D714="",FALSE,TRUE),EXACT(metadata!D714,"Not applicable"))</f>
        <v>0</v>
      </c>
      <c r="AP714" t="b">
        <f>IF(metadata!E714="",FALSE,TRUE)</f>
        <v>0</v>
      </c>
      <c r="AQ714" t="b">
        <f>OR(AND(IF(metadata!F714="",FALSE,TRUE),OR(EXACT(metadata!F714,"missing: not collected"),EXACT(metadata!F714,"missing: not provided"))),AND(IF(metadata!F714="",FALSE,TRUE),OR(EXACT(metadata!F714,"TRUE"),EXACT(metadata!F714,"FALSE"))))</f>
        <v>0</v>
      </c>
      <c r="AR714" t="b">
        <f>OR(AND(IF(metadata!G714="",FALSE,TRUE),OR(EXACT(metadata!G714,"missing: not collected"),EXACT(metadata!G714,"missing: not provided"),EXACT(metadata!G714,"missing: restricted access"))),AND(IF(metadata!G714="",FALSE,ISNUMBER(VALUE(metadata!G714))),metadata!G714&gt;=-413))</f>
        <v>0</v>
      </c>
      <c r="AS714" t="b">
        <f>AND(IF(metadata!H714="",FALSE,TRUE),EXACT(metadata!H714,"meters"))</f>
        <v>0</v>
      </c>
      <c r="AT714" t="b">
        <f>AND(IF(metadata!I714="",FALSE,TRUE),OR(EXACT(metadata!I714,"Host-associated"),EXACT(metadata!I714,"Free-living")))</f>
        <v>0</v>
      </c>
      <c r="AU714" t="b">
        <f>AND(IF(metadata!J714="",FALSE,TRUE),OR(EXACT(metadata!J714,"Animal"),EXACT(metadata!J714,"Fungus"),EXACT(metadata!J714,"Plant"),EXACT(metadata!J714,"Saline"),EXACT(metadata!J714,"Non-saline")))</f>
        <v>0</v>
      </c>
      <c r="AV714" t="b">
        <f>AND(IF(metadata!K714="",FALSE,TRUE),OR(EXACT(metadata!K714,"Plant secretion"),EXACT(metadata!K714,"Plant rhizosphere"),EXACT(metadata!K714,"Plant surface"),EXACT(metadata!K714,"Plant corpus"),EXACT(metadata!K714,"Fungus surface"),EXACT(metadata!K714,"Fungus corpus"),EXACT(metadata!K714,"Animal surface"),EXACT(metadata!K714,"Animal proximal gut"),EXACT(metadata!K714,"Animal corpus"),EXACT(metadata!K714,"Animal distal gut"),EXACT(metadata!K714,"Animal secretion"),EXACT(metadata!K714,"Sub-surface (non-saline)"),EXACT(metadata!K714,"Surface (non-saline)"),EXACT(metadata!K714,"Water (non-saline)"),EXACT(metadata!K714,"Soil (non-saline)"),EXACT(metadata!K714,"Aerosol (non-saline)"),EXACT(metadata!K714,"Sediment (non-saline)"),EXACT(metadata!K714,"Surface (saline)"),EXACT(metadata!K714,"Water (saline)"),EXACT(metadata!K714,"Hypersaline (saline)"),EXACT(metadata!K714,"Aerosol (saline)"),EXACT(metadata!K714,"Sediment (saline)")))</f>
        <v>0</v>
      </c>
      <c r="AW714" t="b">
        <f>IF(metadata!L714="",FALSE,TRUE)</f>
        <v>0</v>
      </c>
      <c r="AX714" t="b">
        <f>IF(metadata!M714="",FALSE,TRUE)</f>
        <v>0</v>
      </c>
      <c r="AY714" t="b">
        <f>IF(metadata!N714="",FALSE,TRUE)</f>
        <v>0</v>
      </c>
      <c r="AZ714" t="b">
        <f>OR(AND(IF(metadata!O714="",FALSE,TRUE),OR(EXACT(metadata!O714,"missing: not collected"),EXACT(metadata!O714,"missing: not provided"),EXACT(metadata!O714,"missing: restricted access"))),AND(IF(metadata!O714="",FALSE,TRUE),OR(EXACT(metadata!O714,"air"),EXACT(metadata!O714,"built environment"),EXACT(metadata!O714,"host-associated"),EXACT(metadata!O714,"human-associated"),EXACT(metadata!O714,"human-skin"),EXACT(metadata!O714,"human-oral"),EXACT(metadata!O714,"human-gut"),EXACT(metadata!O714,"human-vaginal"),EXACT(metadata!O714,"microbial mat/biofilm"),EXACT(metadata!O714,"misc environment"),EXACT(metadata!O714,"plant-associated"),EXACT(metadata!O714,"sediment"),EXACT(metadata!O714,"soil"),EXACT(metadata!O714,"wastewater/sludge"),EXACT(metadata!O714,"water"))))</f>
        <v>0</v>
      </c>
      <c r="BA714" t="b">
        <f>IF(metadata!P714="",FALSE,TRUE)</f>
        <v>0</v>
      </c>
      <c r="BB714" t="b">
        <f>IF(metadata!Q714="",FALSE,TRUE)</f>
        <v>0</v>
      </c>
      <c r="BC714" t="b">
        <f>OR(AND(IF(metadata!R714="",FALSE,TRUE),OR(EXACT(metadata!R714,"missing: not collected"),EXACT(metadata!R714,"missing: not provided"),EXACT(metadata!R714,"missing: restricted access"))),AND(IF(metadata!R714="",FALSE,ISNUMBER(VALUE(metadata!R714))),metadata!R714&gt;=-90,metadata!R714&lt;=90))</f>
        <v>0</v>
      </c>
      <c r="BD714" t="b">
        <f>AND(IF(metadata!S714="",FALSE,TRUE),EXACT(metadata!S714,"Decimal degrees"))</f>
        <v>0</v>
      </c>
      <c r="BE714" t="b">
        <f>OR(AND(IF(metadata!T714="",FALSE,TRUE),OR(EXACT(metadata!T714,"missing: not collected"),EXACT(metadata!T714,"missing: not provided"),EXACT(metadata!T714,"missing: restricted access"))),AND(IF(metadata!T714="",FALSE,ISNUMBER(VALUE(metadata!T714))),metadata!T714&gt;=-180,metadata!T714&lt;=180))</f>
        <v>0</v>
      </c>
      <c r="BF714" t="b">
        <f>AND(IF(metadata!U714="",FALSE,TRUE),EXACT(metadata!U714,"Decimal degrees"))</f>
        <v>0</v>
      </c>
      <c r="BG714" t="b">
        <f>IF(metadata!V714="",FALSE,TRUE)</f>
        <v>0</v>
      </c>
      <c r="BH714" t="b">
        <f>OR(AND(IF(metadata!W714="",FALSE,TRUE),OR(EXACT(metadata!W714,"missing: not collected"),EXACT(metadata!W714,"missing: not provided"),EXACT(metadata!W714,"missing: restricted access"))),AND(IF(metadata!W714="",FALSE,TRUE),OR(EXACT(metadata!W714,"TRUE"),EXACT(metadata!W714,"FALSE"))))</f>
        <v>0</v>
      </c>
      <c r="BI714" t="b">
        <f>AND(IF(metadata!X714="",FALSE,TRUE),EXACT(metadata!X714,"other"))</f>
        <v>0</v>
      </c>
      <c r="BJ714" t="b">
        <f>IF(metadata!Y714="",FALSE,TRUE)</f>
        <v>0</v>
      </c>
      <c r="BK714" t="b">
        <f>OR(AND(IF(metadata!Z714="",FALSE,TRUE),OR(EXACT(metadata!Z714,"missing: not collected"),EXACT(metadata!Z714,"missing: not provided"))),AND(IF(metadata!Z714="",FALSE,IF(ISERROR(INT(metadata!Z714)),FALSE,INT(metadata!Z714)=metadata!Z714)),metadata!Z714&gt;0))</f>
        <v>0</v>
      </c>
      <c r="BL714" t="b">
        <f>AND(IF(metadata!AA714="",FALSE,TRUE),EXACT(metadata!AA714,"Not applicable"))</f>
        <v>0</v>
      </c>
      <c r="BM714" t="b">
        <f>IF(metadata!AB714="",FALSE,TRUE)</f>
        <v>0</v>
      </c>
    </row>
    <row r="715" spans="1:65" x14ac:dyDescent="0.2">
      <c r="A715" s="5" t="str">
        <f ca="1">IF(B715=" "," ",HYPERLINK(CONCATENATE("#metadata!",ADDRESS(INDEX($AH$2:$AH$1001,MATCH(ROWS($AF$2:AF715),$AF$2:$AF$1001,0),0),1)),INDEX($AK$2:$AK$1001,MATCH(ROWS($AF$2:AF715),$AF$2:$AF$1001,0),0)))</f>
        <v xml:space="preserve"> </v>
      </c>
      <c r="B715" s="4" t="str">
        <f ca="1">IF(OR(INDEX($AG$2:$AG$1001,MATCH(ROWS($AF$2:AF715),$AF$2:$AF$1001,0),1)&gt;=100000,INDEX($AM$1005:$BM$1005,1,MATCH(COLUMNS($AM$1006:AM1006),$AM$1006:$BM$1006,0))&gt;=100000), " ",IF(INDEX($AM$2:$BM$1001,MATCH(ROWS($AF$2:AF715),$AF$2:$AF$1001,0),MATCH(COLUMNS($AM$1006:AM1006),$AM$1006:$BM$1006,0)), HYPERLINK("#",""), HYPERLINK(CONCATENATE("#metadata!", ADDRESS(INDEX($AH$2:$AH$1001,MATCH(ROWS($AF$2:AF715),$AF$2:$AF$1001,0),0), INDEX($AM$1004:$BM$1004,1,MATCH(COLUMNS($AM$1006:AM1006),$AM$1006:$BM$1006,0)))),"Fix")))</f>
        <v xml:space="preserve"> </v>
      </c>
      <c r="C715" s="4" t="str">
        <f ca="1">IF(OR(INDEX($AG$2:$AG$1001,MATCH(ROWS($AF$2:AF715),$AF$2:$AF$1001,0),1)&gt;=100000,INDEX($AM$1005:$BM$1005,1,MATCH(COLUMNS($AM$1006:AN1006),$AM$1006:$BM$1006,0))&gt;=100000), " ",IF(INDEX($AM$2:$BM$1001,MATCH(ROWS($AF$2:AF715),$AF$2:$AF$1001,0),MATCH(COLUMNS($AM$1006:AN1006),$AM$1006:$BM$1006,0)), HYPERLINK("#",""), HYPERLINK(CONCATENATE("#metadata!", ADDRESS(INDEX($AH$2:$AH$1001,MATCH(ROWS($AF$2:AF715),$AF$2:$AF$1001,0),0), INDEX($AM$1004:$BM$1004,1,MATCH(COLUMNS($AM$1006:AN1006),$AM$1006:$BM$1006,0)))),"Fix")))</f>
        <v xml:space="preserve"> </v>
      </c>
      <c r="D715" s="4" t="str">
        <f ca="1">IF(OR(INDEX($AG$2:$AG$1001,MATCH(ROWS($AF$2:AF715),$AF$2:$AF$1001,0),1)&gt;=100000,INDEX($AM$1005:$BM$1005,1,MATCH(COLUMNS($AM$1006:AO1006),$AM$1006:$BM$1006,0))&gt;=100000), " ",IF(INDEX($AM$2:$BM$1001,MATCH(ROWS($AF$2:AF715),$AF$2:$AF$1001,0),MATCH(COLUMNS($AM$1006:AO1006),$AM$1006:$BM$1006,0)), HYPERLINK("#",""), HYPERLINK(CONCATENATE("#metadata!", ADDRESS(INDEX($AH$2:$AH$1001,MATCH(ROWS($AF$2:AF715),$AF$2:$AF$1001,0),0), INDEX($AM$1004:$BM$1004,1,MATCH(COLUMNS($AM$1006:AO1006),$AM$1006:$BM$1006,0)))),"Fix")))</f>
        <v xml:space="preserve"> </v>
      </c>
      <c r="E715" s="4" t="str">
        <f ca="1">IF(OR(INDEX($AG$2:$AG$1001,MATCH(ROWS($AF$2:AF715),$AF$2:$AF$1001,0),1)&gt;=100000,INDEX($AM$1005:$BM$1005,1,MATCH(COLUMNS($AM$1006:AP1006),$AM$1006:$BM$1006,0))&gt;=100000), " ",IF(INDEX($AM$2:$BM$1001,MATCH(ROWS($AF$2:AF715),$AF$2:$AF$1001,0),MATCH(COLUMNS($AM$1006:AP1006),$AM$1006:$BM$1006,0)), HYPERLINK("#",""), HYPERLINK(CONCATENATE("#metadata!", ADDRESS(INDEX($AH$2:$AH$1001,MATCH(ROWS($AF$2:AF715),$AF$2:$AF$1001,0),0), INDEX($AM$1004:$BM$1004,1,MATCH(COLUMNS($AM$1006:AP1006),$AM$1006:$BM$1006,0)))),"Fix")))</f>
        <v xml:space="preserve"> </v>
      </c>
      <c r="F715" s="4" t="str">
        <f ca="1">IF(OR(INDEX($AG$2:$AG$1001,MATCH(ROWS($AF$2:AF715),$AF$2:$AF$1001,0),1)&gt;=100000,INDEX($AM$1005:$BM$1005,1,MATCH(COLUMNS($AM$1006:AQ1006),$AM$1006:$BM$1006,0))&gt;=100000), " ",IF(INDEX($AM$2:$BM$1001,MATCH(ROWS($AF$2:AF715),$AF$2:$AF$1001,0),MATCH(COLUMNS($AM$1006:AQ1006),$AM$1006:$BM$1006,0)), HYPERLINK("#",""), HYPERLINK(CONCATENATE("#metadata!", ADDRESS(INDEX($AH$2:$AH$1001,MATCH(ROWS($AF$2:AF715),$AF$2:$AF$1001,0),0), INDEX($AM$1004:$BM$1004,1,MATCH(COLUMNS($AM$1006:AQ1006),$AM$1006:$BM$1006,0)))),"Fix")))</f>
        <v xml:space="preserve"> </v>
      </c>
      <c r="G715" s="4" t="str">
        <f ca="1">IF(OR(INDEX($AG$2:$AG$1001,MATCH(ROWS($AF$2:AF715),$AF$2:$AF$1001,0),1)&gt;=100000,INDEX($AM$1005:$BM$1005,1,MATCH(COLUMNS($AM$1006:AR1006),$AM$1006:$BM$1006,0))&gt;=100000), " ",IF(INDEX($AM$2:$BM$1001,MATCH(ROWS($AF$2:AF715),$AF$2:$AF$1001,0),MATCH(COLUMNS($AM$1006:AR1006),$AM$1006:$BM$1006,0)), HYPERLINK("#",""), HYPERLINK(CONCATENATE("#metadata!", ADDRESS(INDEX($AH$2:$AH$1001,MATCH(ROWS($AF$2:AF715),$AF$2:$AF$1001,0),0), INDEX($AM$1004:$BM$1004,1,MATCH(COLUMNS($AM$1006:AR1006),$AM$1006:$BM$1006,0)))),"Fix")))</f>
        <v xml:space="preserve"> </v>
      </c>
      <c r="H715" s="4" t="str">
        <f ca="1">IF(OR(INDEX($AG$2:$AG$1001,MATCH(ROWS($AF$2:AF715),$AF$2:$AF$1001,0),1)&gt;=100000,INDEX($AM$1005:$BM$1005,1,MATCH(COLUMNS($AM$1006:AS1006),$AM$1006:$BM$1006,0))&gt;=100000), " ",IF(INDEX($AM$2:$BM$1001,MATCH(ROWS($AF$2:AF715),$AF$2:$AF$1001,0),MATCH(COLUMNS($AM$1006:AS1006),$AM$1006:$BM$1006,0)), HYPERLINK("#",""), HYPERLINK(CONCATENATE("#metadata!", ADDRESS(INDEX($AH$2:$AH$1001,MATCH(ROWS($AF$2:AF715),$AF$2:$AF$1001,0),0), INDEX($AM$1004:$BM$1004,1,MATCH(COLUMNS($AM$1006:AS1006),$AM$1006:$BM$1006,0)))),"Fix")))</f>
        <v xml:space="preserve"> </v>
      </c>
      <c r="I715" s="4" t="str">
        <f ca="1">IF(OR(INDEX($AG$2:$AG$1001,MATCH(ROWS($AF$2:AF715),$AF$2:$AF$1001,0),1)&gt;=100000,INDEX($AM$1005:$BM$1005,1,MATCH(COLUMNS($AM$1006:AT1006),$AM$1006:$BM$1006,0))&gt;=100000), " ",IF(INDEX($AM$2:$BM$1001,MATCH(ROWS($AF$2:AF715),$AF$2:$AF$1001,0),MATCH(COLUMNS($AM$1006:AT1006),$AM$1006:$BM$1006,0)), HYPERLINK("#",""), HYPERLINK(CONCATENATE("#metadata!", ADDRESS(INDEX($AH$2:$AH$1001,MATCH(ROWS($AF$2:AF715),$AF$2:$AF$1001,0),0), INDEX($AM$1004:$BM$1004,1,MATCH(COLUMNS($AM$1006:AT1006),$AM$1006:$BM$1006,0)))),"Fix")))</f>
        <v xml:space="preserve"> </v>
      </c>
      <c r="J715" s="4" t="str">
        <f ca="1">IF(OR(INDEX($AG$2:$AG$1001,MATCH(ROWS($AF$2:AF715),$AF$2:$AF$1001,0),1)&gt;=100000,INDEX($AM$1005:$BM$1005,1,MATCH(COLUMNS($AM$1006:AU1006),$AM$1006:$BM$1006,0))&gt;=100000), " ",IF(INDEX($AM$2:$BM$1001,MATCH(ROWS($AF$2:AF715),$AF$2:$AF$1001,0),MATCH(COLUMNS($AM$1006:AU1006),$AM$1006:$BM$1006,0)), HYPERLINK("#",""), HYPERLINK(CONCATENATE("#metadata!", ADDRESS(INDEX($AH$2:$AH$1001,MATCH(ROWS($AF$2:AF715),$AF$2:$AF$1001,0),0), INDEX($AM$1004:$BM$1004,1,MATCH(COLUMNS($AM$1006:AU1006),$AM$1006:$BM$1006,0)))),"Fix")))</f>
        <v xml:space="preserve"> </v>
      </c>
      <c r="K715" s="4" t="str">
        <f ca="1">IF(OR(INDEX($AG$2:$AG$1001,MATCH(ROWS($AF$2:AF715),$AF$2:$AF$1001,0),1)&gt;=100000,INDEX($AM$1005:$BM$1005,1,MATCH(COLUMNS($AM$1006:AV1006),$AM$1006:$BM$1006,0))&gt;=100000), " ",IF(INDEX($AM$2:$BM$1001,MATCH(ROWS($AF$2:AF715),$AF$2:$AF$1001,0),MATCH(COLUMNS($AM$1006:AV1006),$AM$1006:$BM$1006,0)), HYPERLINK("#",""), HYPERLINK(CONCATENATE("#metadata!", ADDRESS(INDEX($AH$2:$AH$1001,MATCH(ROWS($AF$2:AF715),$AF$2:$AF$1001,0),0), INDEX($AM$1004:$BM$1004,1,MATCH(COLUMNS($AM$1006:AV1006),$AM$1006:$BM$1006,0)))),"Fix")))</f>
        <v xml:space="preserve"> </v>
      </c>
      <c r="L715" s="4" t="str">
        <f ca="1">IF(OR(INDEX($AG$2:$AG$1001,MATCH(ROWS($AF$2:AF715),$AF$2:$AF$1001,0),1)&gt;=100000,INDEX($AM$1005:$BM$1005,1,MATCH(COLUMNS($AM$1006:AW1006),$AM$1006:$BM$1006,0))&gt;=100000), " ",IF(INDEX($AM$2:$BM$1001,MATCH(ROWS($AF$2:AF715),$AF$2:$AF$1001,0),MATCH(COLUMNS($AM$1006:AW1006),$AM$1006:$BM$1006,0)), HYPERLINK("#",""), HYPERLINK(CONCATENATE("#metadata!", ADDRESS(INDEX($AH$2:$AH$1001,MATCH(ROWS($AF$2:AF715),$AF$2:$AF$1001,0),0), INDEX($AM$1004:$BM$1004,1,MATCH(COLUMNS($AM$1006:AW1006),$AM$1006:$BM$1006,0)))),"Fix")))</f>
        <v xml:space="preserve"> </v>
      </c>
      <c r="M715" s="4" t="str">
        <f ca="1">IF(OR(INDEX($AG$2:$AG$1001,MATCH(ROWS($AF$2:AF715),$AF$2:$AF$1001,0),1)&gt;=100000,INDEX($AM$1005:$BM$1005,1,MATCH(COLUMNS($AM$1006:AX1006),$AM$1006:$BM$1006,0))&gt;=100000), " ",IF(INDEX($AM$2:$BM$1001,MATCH(ROWS($AF$2:AF715),$AF$2:$AF$1001,0),MATCH(COLUMNS($AM$1006:AX1006),$AM$1006:$BM$1006,0)), HYPERLINK("#",""), HYPERLINK(CONCATENATE("#metadata!", ADDRESS(INDEX($AH$2:$AH$1001,MATCH(ROWS($AF$2:AF715),$AF$2:$AF$1001,0),0), INDEX($AM$1004:$BM$1004,1,MATCH(COLUMNS($AM$1006:AX1006),$AM$1006:$BM$1006,0)))),"Fix")))</f>
        <v xml:space="preserve"> </v>
      </c>
      <c r="N715" s="4" t="str">
        <f ca="1">IF(OR(INDEX($AG$2:$AG$1001,MATCH(ROWS($AF$2:AF715),$AF$2:$AF$1001,0),1)&gt;=100000,INDEX($AM$1005:$BM$1005,1,MATCH(COLUMNS($AM$1006:AY1006),$AM$1006:$BM$1006,0))&gt;=100000), " ",IF(INDEX($AM$2:$BM$1001,MATCH(ROWS($AF$2:AF715),$AF$2:$AF$1001,0),MATCH(COLUMNS($AM$1006:AY1006),$AM$1006:$BM$1006,0)), HYPERLINK("#",""), HYPERLINK(CONCATENATE("#metadata!", ADDRESS(INDEX($AH$2:$AH$1001,MATCH(ROWS($AF$2:AF715),$AF$2:$AF$1001,0),0), INDEX($AM$1004:$BM$1004,1,MATCH(COLUMNS($AM$1006:AY1006),$AM$1006:$BM$1006,0)))),"Fix")))</f>
        <v xml:space="preserve"> </v>
      </c>
      <c r="O715" s="4" t="str">
        <f ca="1">IF(OR(INDEX($AG$2:$AG$1001,MATCH(ROWS($AF$2:AF715),$AF$2:$AF$1001,0),1)&gt;=100000,INDEX($AM$1005:$BM$1005,1,MATCH(COLUMNS($AM$1006:AZ1006),$AM$1006:$BM$1006,0))&gt;=100000), " ",IF(INDEX($AM$2:$BM$1001,MATCH(ROWS($AF$2:AF715),$AF$2:$AF$1001,0),MATCH(COLUMNS($AM$1006:AZ1006),$AM$1006:$BM$1006,0)), HYPERLINK("#",""), HYPERLINK(CONCATENATE("#metadata!", ADDRESS(INDEX($AH$2:$AH$1001,MATCH(ROWS($AF$2:AF715),$AF$2:$AF$1001,0),0), INDEX($AM$1004:$BM$1004,1,MATCH(COLUMNS($AM$1006:AZ1006),$AM$1006:$BM$1006,0)))),"Fix")))</f>
        <v xml:space="preserve"> </v>
      </c>
      <c r="P715" s="4" t="str">
        <f ca="1">IF(OR(INDEX($AG$2:$AG$1001,MATCH(ROWS($AF$2:AF715),$AF$2:$AF$1001,0),1)&gt;=100000,INDEX($AM$1005:$BM$1005,1,MATCH(COLUMNS($AM$1006:BA1006),$AM$1006:$BM$1006,0))&gt;=100000), " ",IF(INDEX($AM$2:$BM$1001,MATCH(ROWS($AF$2:AF715),$AF$2:$AF$1001,0),MATCH(COLUMNS($AM$1006:BA1006),$AM$1006:$BM$1006,0)), HYPERLINK("#",""), HYPERLINK(CONCATENATE("#metadata!", ADDRESS(INDEX($AH$2:$AH$1001,MATCH(ROWS($AF$2:AF715),$AF$2:$AF$1001,0),0), INDEX($AM$1004:$BM$1004,1,MATCH(COLUMNS($AM$1006:BA1006),$AM$1006:$BM$1006,0)))),"Fix")))</f>
        <v xml:space="preserve"> </v>
      </c>
      <c r="Q715" s="4" t="str">
        <f ca="1">IF(OR(INDEX($AG$2:$AG$1001,MATCH(ROWS($AF$2:AF715),$AF$2:$AF$1001,0),1)&gt;=100000,INDEX($AM$1005:$BM$1005,1,MATCH(COLUMNS($AM$1006:BB1006),$AM$1006:$BM$1006,0))&gt;=100000), " ",IF(INDEX($AM$2:$BM$1001,MATCH(ROWS($AF$2:AF715),$AF$2:$AF$1001,0),MATCH(COLUMNS($AM$1006:BB1006),$AM$1006:$BM$1006,0)), HYPERLINK("#",""), HYPERLINK(CONCATENATE("#metadata!", ADDRESS(INDEX($AH$2:$AH$1001,MATCH(ROWS($AF$2:AF715),$AF$2:$AF$1001,0),0), INDEX($AM$1004:$BM$1004,1,MATCH(COLUMNS($AM$1006:BB1006),$AM$1006:$BM$1006,0)))),"Fix")))</f>
        <v xml:space="preserve"> </v>
      </c>
      <c r="R715" s="4" t="str">
        <f ca="1">IF(OR(INDEX($AG$2:$AG$1001,MATCH(ROWS($AF$2:AF715),$AF$2:$AF$1001,0),1)&gt;=100000,INDEX($AM$1005:$BM$1005,1,MATCH(COLUMNS($AM$1006:BC1006),$AM$1006:$BM$1006,0))&gt;=100000), " ",IF(INDEX($AM$2:$BM$1001,MATCH(ROWS($AF$2:AF715),$AF$2:$AF$1001,0),MATCH(COLUMNS($AM$1006:BC1006),$AM$1006:$BM$1006,0)), HYPERLINK("#",""), HYPERLINK(CONCATENATE("#metadata!", ADDRESS(INDEX($AH$2:$AH$1001,MATCH(ROWS($AF$2:AF715),$AF$2:$AF$1001,0),0), INDEX($AM$1004:$BM$1004,1,MATCH(COLUMNS($AM$1006:BC1006),$AM$1006:$BM$1006,0)))),"Fix")))</f>
        <v xml:space="preserve"> </v>
      </c>
      <c r="S715" s="4" t="str">
        <f ca="1">IF(OR(INDEX($AG$2:$AG$1001,MATCH(ROWS($AF$2:AF715),$AF$2:$AF$1001,0),1)&gt;=100000,INDEX($AM$1005:$BM$1005,1,MATCH(COLUMNS($AM$1006:BD1006),$AM$1006:$BM$1006,0))&gt;=100000), " ",IF(INDEX($AM$2:$BM$1001,MATCH(ROWS($AF$2:AF715),$AF$2:$AF$1001,0),MATCH(COLUMNS($AM$1006:BD1006),$AM$1006:$BM$1006,0)), HYPERLINK("#",""), HYPERLINK(CONCATENATE("#metadata!", ADDRESS(INDEX($AH$2:$AH$1001,MATCH(ROWS($AF$2:AF715),$AF$2:$AF$1001,0),0), INDEX($AM$1004:$BM$1004,1,MATCH(COLUMNS($AM$1006:BD1006),$AM$1006:$BM$1006,0)))),"Fix")))</f>
        <v xml:space="preserve"> </v>
      </c>
      <c r="T715" s="4" t="str">
        <f ca="1">IF(OR(INDEX($AG$2:$AG$1001,MATCH(ROWS($AF$2:AF715),$AF$2:$AF$1001,0),1)&gt;=100000,INDEX($AM$1005:$BM$1005,1,MATCH(COLUMNS($AM$1006:BE1006),$AM$1006:$BM$1006,0))&gt;=100000), " ",IF(INDEX($AM$2:$BM$1001,MATCH(ROWS($AF$2:AF715),$AF$2:$AF$1001,0),MATCH(COLUMNS($AM$1006:BE1006),$AM$1006:$BM$1006,0)), HYPERLINK("#",""), HYPERLINK(CONCATENATE("#metadata!", ADDRESS(INDEX($AH$2:$AH$1001,MATCH(ROWS($AF$2:AF715),$AF$2:$AF$1001,0),0), INDEX($AM$1004:$BM$1004,1,MATCH(COLUMNS($AM$1006:BE1006),$AM$1006:$BM$1006,0)))),"Fix")))</f>
        <v xml:space="preserve"> </v>
      </c>
      <c r="U715" s="4" t="str">
        <f ca="1">IF(OR(INDEX($AG$2:$AG$1001,MATCH(ROWS($AF$2:AF715),$AF$2:$AF$1001,0),1)&gt;=100000,INDEX($AM$1005:$BM$1005,1,MATCH(COLUMNS($AM$1006:BF1006),$AM$1006:$BM$1006,0))&gt;=100000), " ",IF(INDEX($AM$2:$BM$1001,MATCH(ROWS($AF$2:AF715),$AF$2:$AF$1001,0),MATCH(COLUMNS($AM$1006:BF1006),$AM$1006:$BM$1006,0)), HYPERLINK("#",""), HYPERLINK(CONCATENATE("#metadata!", ADDRESS(INDEX($AH$2:$AH$1001,MATCH(ROWS($AF$2:AF715),$AF$2:$AF$1001,0),0), INDEX($AM$1004:$BM$1004,1,MATCH(COLUMNS($AM$1006:BF1006),$AM$1006:$BM$1006,0)))),"Fix")))</f>
        <v xml:space="preserve"> </v>
      </c>
      <c r="V715" s="4" t="str">
        <f ca="1">IF(OR(INDEX($AG$2:$AG$1001,MATCH(ROWS($AF$2:AF715),$AF$2:$AF$1001,0),1)&gt;=100000,INDEX($AM$1005:$BM$1005,1,MATCH(COLUMNS($AM$1006:BG1006),$AM$1006:$BM$1006,0))&gt;=100000), " ",IF(INDEX($AM$2:$BM$1001,MATCH(ROWS($AF$2:AF715),$AF$2:$AF$1001,0),MATCH(COLUMNS($AM$1006:BG1006),$AM$1006:$BM$1006,0)), HYPERLINK("#",""), HYPERLINK(CONCATENATE("#metadata!", ADDRESS(INDEX($AH$2:$AH$1001,MATCH(ROWS($AF$2:AF715),$AF$2:$AF$1001,0),0), INDEX($AM$1004:$BM$1004,1,MATCH(COLUMNS($AM$1006:BG1006),$AM$1006:$BM$1006,0)))),"Fix")))</f>
        <v xml:space="preserve"> </v>
      </c>
      <c r="W715" s="4" t="str">
        <f ca="1">IF(OR(INDEX($AG$2:$AG$1001,MATCH(ROWS($AF$2:AF715),$AF$2:$AF$1001,0),1)&gt;=100000,INDEX($AM$1005:$BM$1005,1,MATCH(COLUMNS($AM$1006:BH1006),$AM$1006:$BM$1006,0))&gt;=100000), " ",IF(INDEX($AM$2:$BM$1001,MATCH(ROWS($AF$2:AF715),$AF$2:$AF$1001,0),MATCH(COLUMNS($AM$1006:BH1006),$AM$1006:$BM$1006,0)), HYPERLINK("#",""), HYPERLINK(CONCATENATE("#metadata!", ADDRESS(INDEX($AH$2:$AH$1001,MATCH(ROWS($AF$2:AF715),$AF$2:$AF$1001,0),0), INDEX($AM$1004:$BM$1004,1,MATCH(COLUMNS($AM$1006:BH1006),$AM$1006:$BM$1006,0)))),"Fix")))</f>
        <v xml:space="preserve"> </v>
      </c>
      <c r="X715" s="4" t="str">
        <f ca="1">IF(OR(INDEX($AG$2:$AG$1001,MATCH(ROWS($AF$2:AF715),$AF$2:$AF$1001,0),1)&gt;=100000,INDEX($AM$1005:$BM$1005,1,MATCH(COLUMNS($AM$1006:BI1006),$AM$1006:$BM$1006,0))&gt;=100000), " ",IF(INDEX($AM$2:$BM$1001,MATCH(ROWS($AF$2:AF715),$AF$2:$AF$1001,0),MATCH(COLUMNS($AM$1006:BI1006),$AM$1006:$BM$1006,0)), HYPERLINK("#",""), HYPERLINK(CONCATENATE("#metadata!", ADDRESS(INDEX($AH$2:$AH$1001,MATCH(ROWS($AF$2:AF715),$AF$2:$AF$1001,0),0), INDEX($AM$1004:$BM$1004,1,MATCH(COLUMNS($AM$1006:BI1006),$AM$1006:$BM$1006,0)))),"Fix")))</f>
        <v xml:space="preserve"> </v>
      </c>
      <c r="Y715" s="4" t="str">
        <f ca="1">IF(OR(INDEX($AG$2:$AG$1001,MATCH(ROWS($AF$2:AF715),$AF$2:$AF$1001,0),1)&gt;=100000,INDEX($AM$1005:$BM$1005,1,MATCH(COLUMNS($AM$1006:BJ1006),$AM$1006:$BM$1006,0))&gt;=100000), " ",IF(INDEX($AM$2:$BM$1001,MATCH(ROWS($AF$2:AF715),$AF$2:$AF$1001,0),MATCH(COLUMNS($AM$1006:BJ1006),$AM$1006:$BM$1006,0)), HYPERLINK("#",""), HYPERLINK(CONCATENATE("#metadata!", ADDRESS(INDEX($AH$2:$AH$1001,MATCH(ROWS($AF$2:AF715),$AF$2:$AF$1001,0),0), INDEX($AM$1004:$BM$1004,1,MATCH(COLUMNS($AM$1006:BJ1006),$AM$1006:$BM$1006,0)))),"Fix")))</f>
        <v xml:space="preserve"> </v>
      </c>
      <c r="Z715" s="4" t="str">
        <f ca="1">IF(OR(INDEX($AG$2:$AG$1001,MATCH(ROWS($AF$2:AF715),$AF$2:$AF$1001,0),1)&gt;=100000,INDEX($AM$1005:$BM$1005,1,MATCH(COLUMNS($AM$1006:BK1006),$AM$1006:$BM$1006,0))&gt;=100000), " ",IF(INDEX($AM$2:$BM$1001,MATCH(ROWS($AF$2:AF715),$AF$2:$AF$1001,0),MATCH(COLUMNS($AM$1006:BK1006),$AM$1006:$BM$1006,0)), HYPERLINK("#",""), HYPERLINK(CONCATENATE("#metadata!", ADDRESS(INDEX($AH$2:$AH$1001,MATCH(ROWS($AF$2:AF715),$AF$2:$AF$1001,0),0), INDEX($AM$1004:$BM$1004,1,MATCH(COLUMNS($AM$1006:BK1006),$AM$1006:$BM$1006,0)))),"Fix")))</f>
        <v xml:space="preserve"> </v>
      </c>
      <c r="AA715" s="4" t="str">
        <f ca="1">IF(OR(INDEX($AG$2:$AG$1001,MATCH(ROWS($AF$2:AF715),$AF$2:$AF$1001,0),1)&gt;=100000,INDEX($AM$1005:$BM$1005,1,MATCH(COLUMNS($AM$1006:BL1006),$AM$1006:$BM$1006,0))&gt;=100000), " ",IF(INDEX($AM$2:$BM$1001,MATCH(ROWS($AF$2:AF715),$AF$2:$AF$1001,0),MATCH(COLUMNS($AM$1006:BL1006),$AM$1006:$BM$1006,0)), HYPERLINK("#",""), HYPERLINK(CONCATENATE("#metadata!", ADDRESS(INDEX($AH$2:$AH$1001,MATCH(ROWS($AF$2:AF715),$AF$2:$AF$1001,0),0), INDEX($AM$1004:$BM$1004,1,MATCH(COLUMNS($AM$1006:BL1006),$AM$1006:$BM$1006,0)))),"Fix")))</f>
        <v xml:space="preserve"> </v>
      </c>
      <c r="AB715" s="4" t="str">
        <f ca="1">IF(OR(INDEX($AG$2:$AG$1001,MATCH(ROWS($AF$2:AF715),$AF$2:$AF$1001,0),1)&gt;=100000,INDEX($AM$1005:$BM$1005,1,MATCH(COLUMNS($AM$1006:BM1006),$AM$1006:$BM$1006,0))&gt;=100000), " ",IF(INDEX($AM$2:$BM$1001,MATCH(ROWS($AF$2:AF715),$AF$2:$AF$1001,0),MATCH(COLUMNS($AM$1006:BM1006),$AM$1006:$BM$1006,0)), HYPERLINK("#",""), HYPERLINK(CONCATENATE("#metadata!", ADDRESS(INDEX($AH$2:$AH$1001,MATCH(ROWS($AF$2:AF715),$AF$2:$AF$1001,0),0), INDEX($AM$1004:$BM$1004,1,MATCH(COLUMNS($AM$1006:BM1006),$AM$1006:$BM$1006,0)))),"Fix")))</f>
        <v xml:space="preserve"> </v>
      </c>
      <c r="AF715">
        <v>714</v>
      </c>
      <c r="AG715">
        <v>100715</v>
      </c>
      <c r="AH715">
        <v>715</v>
      </c>
      <c r="AI715" t="b">
        <f t="shared" si="11"/>
        <v>1</v>
      </c>
      <c r="AJ715" t="b">
        <f>COUNTBLANK(metadata!B715:AB715)=COLUMNS(metadata!B715:AB715)</f>
        <v>1</v>
      </c>
      <c r="AK715" t="str">
        <v/>
      </c>
      <c r="AM715" t="b">
        <f ca="1">AND(IF(metadata!B715="",FALSE,TRUE),COUNTIF(metadata!B:B, metadata!B715) = 1,NOT(ISERROR(SUMPRODUCT(SEARCH(MID(metadata!B715,ROW(INDIRECT("1:"&amp;LEN(metadata!B715))), 1),"0123456789abcdefghijklmnopqrstuvwxyzABCDEFGHIJKLMNOPQRSTUVWXYZ.")))))</f>
        <v>0</v>
      </c>
      <c r="AN715" t="b">
        <f ca="1">OR(AND(IF(metadata!C715="",FALSE,TRUE),OR(EXACT(metadata!C715,"missing: not collected"),EXACT(metadata!C715,"missing: not provided"),EXACT(metadata!C715,"missing: restricted access"))),AND(IF(metadata!C715="",FALSE,TRUE),AND(AND(IFERROR(INT(LEFT(metadata!C715,4))&gt;1900,FALSE),IFERROR(INT(LEFT(metadata!C715,4))&lt;=YEAR(NOW()),FALSE)), OR(MID(metadata!C715,5,1)="", AND(AND(MID(metadata!C715,5,1)="-",IFERROR(INT(MID(metadata!C715,6,1))&gt;=0,FALSE),IFERROR(INT(MID(metadata!C715,6,1))&lt;=1,FALSE),NOT(MID(metadata!C715,7,1)=""),IFERROR(INT(MID(metadata!C715,6,2))&gt;=1,FALSE),IFERROR(INT(MID(metadata!C715,6,2))&lt;=12,FALSE)), OR(MID(metadata!C715,8,1)="", AND(AND(MID(metadata!C715,8,1)="-",IFERROR(INT(MID(metadata!C715,9,1))&gt;=0,FALSE),IFERROR(INT(MID(metadata!C715,9,1))&lt;=3,FALSE),NOT(MID(metadata!C715,10,1)=""),IFERROR(INT(MID(metadata!C715,9,2))&gt;=1,FALSE),IFERROR(INT(MID(metadata!C715,9,2))&lt;=31,FALSE)), OR(MID(metadata!C715,11,1)="", AND(AND(MID(metadata!C715,11,1)=" ",IFERROR(INT(MID(metadata!C715,12,1))&gt;=0,FALSE),IFERROR(INT(MID(metadata!C715,12,1))&lt;=2,FALSE),NOT(MID(metadata!C715,13,1)=""),IFERROR(INT(MID(metadata!C715,12,2))&gt;=0,FALSE),IFERROR(INT(MID(metadata!C715,12,2))&lt;=23,FALSE)), OR(MID(metadata!C715,14,1)="", AND(AND(MID(metadata!C715,14,1)=":",IFERROR(INT(MID(metadata!C715,15,1))&gt;=0,FALSE),IFERROR(INT(MID(metadata!C715,15,1))&lt;=5,FALSE),NOT(MID(metadata!C715,16,1)=""),IFERROR(INT(MID(metadata!C715,15,2))&gt;=0,FALSE),IFERROR(INT(MID(metadata!C715,15,2))&lt;=59,FALSE)), OR(MID(metadata!C715,17,1)="", AND(AND(MID(metadata!C715,17,1)=":",IFERROR(INT(MID(metadata!C715,18,1))&gt;=0,FALSE),IFERROR(INT(MID(metadata!C715,18,1))&lt;=5,FALSE),NOT(MID(metadata!C715,19,1)=""),IFERROR(INT(MID(metadata!C715,18,2))&gt;=0,FALSE),IFERROR(INT(MID(metadata!C715,18,2))&lt;=59,FALSE)), LEN(metadata!C715)&lt;=19)))))))))))))</f>
        <v>0</v>
      </c>
      <c r="AO715" t="b">
        <f>AND(IF(metadata!D715="",FALSE,TRUE),EXACT(metadata!D715,"Not applicable"))</f>
        <v>0</v>
      </c>
      <c r="AP715" t="b">
        <f>IF(metadata!E715="",FALSE,TRUE)</f>
        <v>0</v>
      </c>
      <c r="AQ715" t="b">
        <f>OR(AND(IF(metadata!F715="",FALSE,TRUE),OR(EXACT(metadata!F715,"missing: not collected"),EXACT(metadata!F715,"missing: not provided"))),AND(IF(metadata!F715="",FALSE,TRUE),OR(EXACT(metadata!F715,"TRUE"),EXACT(metadata!F715,"FALSE"))))</f>
        <v>0</v>
      </c>
      <c r="AR715" t="b">
        <f>OR(AND(IF(metadata!G715="",FALSE,TRUE),OR(EXACT(metadata!G715,"missing: not collected"),EXACT(metadata!G715,"missing: not provided"),EXACT(metadata!G715,"missing: restricted access"))),AND(IF(metadata!G715="",FALSE,ISNUMBER(VALUE(metadata!G715))),metadata!G715&gt;=-413))</f>
        <v>0</v>
      </c>
      <c r="AS715" t="b">
        <f>AND(IF(metadata!H715="",FALSE,TRUE),EXACT(metadata!H715,"meters"))</f>
        <v>0</v>
      </c>
      <c r="AT715" t="b">
        <f>AND(IF(metadata!I715="",FALSE,TRUE),OR(EXACT(metadata!I715,"Host-associated"),EXACT(metadata!I715,"Free-living")))</f>
        <v>0</v>
      </c>
      <c r="AU715" t="b">
        <f>AND(IF(metadata!J715="",FALSE,TRUE),OR(EXACT(metadata!J715,"Animal"),EXACT(metadata!J715,"Fungus"),EXACT(metadata!J715,"Plant"),EXACT(metadata!J715,"Saline"),EXACT(metadata!J715,"Non-saline")))</f>
        <v>0</v>
      </c>
      <c r="AV715" t="b">
        <f>AND(IF(metadata!K715="",FALSE,TRUE),OR(EXACT(metadata!K715,"Plant secretion"),EXACT(metadata!K715,"Plant rhizosphere"),EXACT(metadata!K715,"Plant surface"),EXACT(metadata!K715,"Plant corpus"),EXACT(metadata!K715,"Fungus surface"),EXACT(metadata!K715,"Fungus corpus"),EXACT(metadata!K715,"Animal surface"),EXACT(metadata!K715,"Animal proximal gut"),EXACT(metadata!K715,"Animal corpus"),EXACT(metadata!K715,"Animal distal gut"),EXACT(metadata!K715,"Animal secretion"),EXACT(metadata!K715,"Sub-surface (non-saline)"),EXACT(metadata!K715,"Surface (non-saline)"),EXACT(metadata!K715,"Water (non-saline)"),EXACT(metadata!K715,"Soil (non-saline)"),EXACT(metadata!K715,"Aerosol (non-saline)"),EXACT(metadata!K715,"Sediment (non-saline)"),EXACT(metadata!K715,"Surface (saline)"),EXACT(metadata!K715,"Water (saline)"),EXACT(metadata!K715,"Hypersaline (saline)"),EXACT(metadata!K715,"Aerosol (saline)"),EXACT(metadata!K715,"Sediment (saline)")))</f>
        <v>0</v>
      </c>
      <c r="AW715" t="b">
        <f>IF(metadata!L715="",FALSE,TRUE)</f>
        <v>0</v>
      </c>
      <c r="AX715" t="b">
        <f>IF(metadata!M715="",FALSE,TRUE)</f>
        <v>0</v>
      </c>
      <c r="AY715" t="b">
        <f>IF(metadata!N715="",FALSE,TRUE)</f>
        <v>0</v>
      </c>
      <c r="AZ715" t="b">
        <f>OR(AND(IF(metadata!O715="",FALSE,TRUE),OR(EXACT(metadata!O715,"missing: not collected"),EXACT(metadata!O715,"missing: not provided"),EXACT(metadata!O715,"missing: restricted access"))),AND(IF(metadata!O715="",FALSE,TRUE),OR(EXACT(metadata!O715,"air"),EXACT(metadata!O715,"built environment"),EXACT(metadata!O715,"host-associated"),EXACT(metadata!O715,"human-associated"),EXACT(metadata!O715,"human-skin"),EXACT(metadata!O715,"human-oral"),EXACT(metadata!O715,"human-gut"),EXACT(metadata!O715,"human-vaginal"),EXACT(metadata!O715,"microbial mat/biofilm"),EXACT(metadata!O715,"misc environment"),EXACT(metadata!O715,"plant-associated"),EXACT(metadata!O715,"sediment"),EXACT(metadata!O715,"soil"),EXACT(metadata!O715,"wastewater/sludge"),EXACT(metadata!O715,"water"))))</f>
        <v>0</v>
      </c>
      <c r="BA715" t="b">
        <f>IF(metadata!P715="",FALSE,TRUE)</f>
        <v>0</v>
      </c>
      <c r="BB715" t="b">
        <f>IF(metadata!Q715="",FALSE,TRUE)</f>
        <v>0</v>
      </c>
      <c r="BC715" t="b">
        <f>OR(AND(IF(metadata!R715="",FALSE,TRUE),OR(EXACT(metadata!R715,"missing: not collected"),EXACT(metadata!R715,"missing: not provided"),EXACT(metadata!R715,"missing: restricted access"))),AND(IF(metadata!R715="",FALSE,ISNUMBER(VALUE(metadata!R715))),metadata!R715&gt;=-90,metadata!R715&lt;=90))</f>
        <v>0</v>
      </c>
      <c r="BD715" t="b">
        <f>AND(IF(metadata!S715="",FALSE,TRUE),EXACT(metadata!S715,"Decimal degrees"))</f>
        <v>0</v>
      </c>
      <c r="BE715" t="b">
        <f>OR(AND(IF(metadata!T715="",FALSE,TRUE),OR(EXACT(metadata!T715,"missing: not collected"),EXACT(metadata!T715,"missing: not provided"),EXACT(metadata!T715,"missing: restricted access"))),AND(IF(metadata!T715="",FALSE,ISNUMBER(VALUE(metadata!T715))),metadata!T715&gt;=-180,metadata!T715&lt;=180))</f>
        <v>0</v>
      </c>
      <c r="BF715" t="b">
        <f>AND(IF(metadata!U715="",FALSE,TRUE),EXACT(metadata!U715,"Decimal degrees"))</f>
        <v>0</v>
      </c>
      <c r="BG715" t="b">
        <f>IF(metadata!V715="",FALSE,TRUE)</f>
        <v>0</v>
      </c>
      <c r="BH715" t="b">
        <f>OR(AND(IF(metadata!W715="",FALSE,TRUE),OR(EXACT(metadata!W715,"missing: not collected"),EXACT(metadata!W715,"missing: not provided"),EXACT(metadata!W715,"missing: restricted access"))),AND(IF(metadata!W715="",FALSE,TRUE),OR(EXACT(metadata!W715,"TRUE"),EXACT(metadata!W715,"FALSE"))))</f>
        <v>0</v>
      </c>
      <c r="BI715" t="b">
        <f>AND(IF(metadata!X715="",FALSE,TRUE),EXACT(metadata!X715,"other"))</f>
        <v>0</v>
      </c>
      <c r="BJ715" t="b">
        <f>IF(metadata!Y715="",FALSE,TRUE)</f>
        <v>0</v>
      </c>
      <c r="BK715" t="b">
        <f>OR(AND(IF(metadata!Z715="",FALSE,TRUE),OR(EXACT(metadata!Z715,"missing: not collected"),EXACT(metadata!Z715,"missing: not provided"))),AND(IF(metadata!Z715="",FALSE,IF(ISERROR(INT(metadata!Z715)),FALSE,INT(metadata!Z715)=metadata!Z715)),metadata!Z715&gt;0))</f>
        <v>0</v>
      </c>
      <c r="BL715" t="b">
        <f>AND(IF(metadata!AA715="",FALSE,TRUE),EXACT(metadata!AA715,"Not applicable"))</f>
        <v>0</v>
      </c>
      <c r="BM715" t="b">
        <f>IF(metadata!AB715="",FALSE,TRUE)</f>
        <v>0</v>
      </c>
    </row>
    <row r="716" spans="1:65" x14ac:dyDescent="0.2">
      <c r="A716" s="5" t="str">
        <f ca="1">IF(B716=" "," ",HYPERLINK(CONCATENATE("#metadata!",ADDRESS(INDEX($AH$2:$AH$1001,MATCH(ROWS($AF$2:AF716),$AF$2:$AF$1001,0),0),1)),INDEX($AK$2:$AK$1001,MATCH(ROWS($AF$2:AF716),$AF$2:$AF$1001,0),0)))</f>
        <v xml:space="preserve"> </v>
      </c>
      <c r="B716" s="4" t="str">
        <f ca="1">IF(OR(INDEX($AG$2:$AG$1001,MATCH(ROWS($AF$2:AF716),$AF$2:$AF$1001,0),1)&gt;=100000,INDEX($AM$1005:$BM$1005,1,MATCH(COLUMNS($AM$1006:AM1006),$AM$1006:$BM$1006,0))&gt;=100000), " ",IF(INDEX($AM$2:$BM$1001,MATCH(ROWS($AF$2:AF716),$AF$2:$AF$1001,0),MATCH(COLUMNS($AM$1006:AM1006),$AM$1006:$BM$1006,0)), HYPERLINK("#",""), HYPERLINK(CONCATENATE("#metadata!", ADDRESS(INDEX($AH$2:$AH$1001,MATCH(ROWS($AF$2:AF716),$AF$2:$AF$1001,0),0), INDEX($AM$1004:$BM$1004,1,MATCH(COLUMNS($AM$1006:AM1006),$AM$1006:$BM$1006,0)))),"Fix")))</f>
        <v xml:space="preserve"> </v>
      </c>
      <c r="C716" s="4" t="str">
        <f ca="1">IF(OR(INDEX($AG$2:$AG$1001,MATCH(ROWS($AF$2:AF716),$AF$2:$AF$1001,0),1)&gt;=100000,INDEX($AM$1005:$BM$1005,1,MATCH(COLUMNS($AM$1006:AN1006),$AM$1006:$BM$1006,0))&gt;=100000), " ",IF(INDEX($AM$2:$BM$1001,MATCH(ROWS($AF$2:AF716),$AF$2:$AF$1001,0),MATCH(COLUMNS($AM$1006:AN1006),$AM$1006:$BM$1006,0)), HYPERLINK("#",""), HYPERLINK(CONCATENATE("#metadata!", ADDRESS(INDEX($AH$2:$AH$1001,MATCH(ROWS($AF$2:AF716),$AF$2:$AF$1001,0),0), INDEX($AM$1004:$BM$1004,1,MATCH(COLUMNS($AM$1006:AN1006),$AM$1006:$BM$1006,0)))),"Fix")))</f>
        <v xml:space="preserve"> </v>
      </c>
      <c r="D716" s="4" t="str">
        <f ca="1">IF(OR(INDEX($AG$2:$AG$1001,MATCH(ROWS($AF$2:AF716),$AF$2:$AF$1001,0),1)&gt;=100000,INDEX($AM$1005:$BM$1005,1,MATCH(COLUMNS($AM$1006:AO1006),$AM$1006:$BM$1006,0))&gt;=100000), " ",IF(INDEX($AM$2:$BM$1001,MATCH(ROWS($AF$2:AF716),$AF$2:$AF$1001,0),MATCH(COLUMNS($AM$1006:AO1006),$AM$1006:$BM$1006,0)), HYPERLINK("#",""), HYPERLINK(CONCATENATE("#metadata!", ADDRESS(INDEX($AH$2:$AH$1001,MATCH(ROWS($AF$2:AF716),$AF$2:$AF$1001,0),0), INDEX($AM$1004:$BM$1004,1,MATCH(COLUMNS($AM$1006:AO1006),$AM$1006:$BM$1006,0)))),"Fix")))</f>
        <v xml:space="preserve"> </v>
      </c>
      <c r="E716" s="4" t="str">
        <f ca="1">IF(OR(INDEX($AG$2:$AG$1001,MATCH(ROWS($AF$2:AF716),$AF$2:$AF$1001,0),1)&gt;=100000,INDEX($AM$1005:$BM$1005,1,MATCH(COLUMNS($AM$1006:AP1006),$AM$1006:$BM$1006,0))&gt;=100000), " ",IF(INDEX($AM$2:$BM$1001,MATCH(ROWS($AF$2:AF716),$AF$2:$AF$1001,0),MATCH(COLUMNS($AM$1006:AP1006),$AM$1006:$BM$1006,0)), HYPERLINK("#",""), HYPERLINK(CONCATENATE("#metadata!", ADDRESS(INDEX($AH$2:$AH$1001,MATCH(ROWS($AF$2:AF716),$AF$2:$AF$1001,0),0), INDEX($AM$1004:$BM$1004,1,MATCH(COLUMNS($AM$1006:AP1006),$AM$1006:$BM$1006,0)))),"Fix")))</f>
        <v xml:space="preserve"> </v>
      </c>
      <c r="F716" s="4" t="str">
        <f ca="1">IF(OR(INDEX($AG$2:$AG$1001,MATCH(ROWS($AF$2:AF716),$AF$2:$AF$1001,0),1)&gt;=100000,INDEX($AM$1005:$BM$1005,1,MATCH(COLUMNS($AM$1006:AQ1006),$AM$1006:$BM$1006,0))&gt;=100000), " ",IF(INDEX($AM$2:$BM$1001,MATCH(ROWS($AF$2:AF716),$AF$2:$AF$1001,0),MATCH(COLUMNS($AM$1006:AQ1006),$AM$1006:$BM$1006,0)), HYPERLINK("#",""), HYPERLINK(CONCATENATE("#metadata!", ADDRESS(INDEX($AH$2:$AH$1001,MATCH(ROWS($AF$2:AF716),$AF$2:$AF$1001,0),0), INDEX($AM$1004:$BM$1004,1,MATCH(COLUMNS($AM$1006:AQ1006),$AM$1006:$BM$1006,0)))),"Fix")))</f>
        <v xml:space="preserve"> </v>
      </c>
      <c r="G716" s="4" t="str">
        <f ca="1">IF(OR(INDEX($AG$2:$AG$1001,MATCH(ROWS($AF$2:AF716),$AF$2:$AF$1001,0),1)&gt;=100000,INDEX($AM$1005:$BM$1005,1,MATCH(COLUMNS($AM$1006:AR1006),$AM$1006:$BM$1006,0))&gt;=100000), " ",IF(INDEX($AM$2:$BM$1001,MATCH(ROWS($AF$2:AF716),$AF$2:$AF$1001,0),MATCH(COLUMNS($AM$1006:AR1006),$AM$1006:$BM$1006,0)), HYPERLINK("#",""), HYPERLINK(CONCATENATE("#metadata!", ADDRESS(INDEX($AH$2:$AH$1001,MATCH(ROWS($AF$2:AF716),$AF$2:$AF$1001,0),0), INDEX($AM$1004:$BM$1004,1,MATCH(COLUMNS($AM$1006:AR1006),$AM$1006:$BM$1006,0)))),"Fix")))</f>
        <v xml:space="preserve"> </v>
      </c>
      <c r="H716" s="4" t="str">
        <f ca="1">IF(OR(INDEX($AG$2:$AG$1001,MATCH(ROWS($AF$2:AF716),$AF$2:$AF$1001,0),1)&gt;=100000,INDEX($AM$1005:$BM$1005,1,MATCH(COLUMNS($AM$1006:AS1006),$AM$1006:$BM$1006,0))&gt;=100000), " ",IF(INDEX($AM$2:$BM$1001,MATCH(ROWS($AF$2:AF716),$AF$2:$AF$1001,0),MATCH(COLUMNS($AM$1006:AS1006),$AM$1006:$BM$1006,0)), HYPERLINK("#",""), HYPERLINK(CONCATENATE("#metadata!", ADDRESS(INDEX($AH$2:$AH$1001,MATCH(ROWS($AF$2:AF716),$AF$2:$AF$1001,0),0), INDEX($AM$1004:$BM$1004,1,MATCH(COLUMNS($AM$1006:AS1006),$AM$1006:$BM$1006,0)))),"Fix")))</f>
        <v xml:space="preserve"> </v>
      </c>
      <c r="I716" s="4" t="str">
        <f ca="1">IF(OR(INDEX($AG$2:$AG$1001,MATCH(ROWS($AF$2:AF716),$AF$2:$AF$1001,0),1)&gt;=100000,INDEX($AM$1005:$BM$1005,1,MATCH(COLUMNS($AM$1006:AT1006),$AM$1006:$BM$1006,0))&gt;=100000), " ",IF(INDEX($AM$2:$BM$1001,MATCH(ROWS($AF$2:AF716),$AF$2:$AF$1001,0),MATCH(COLUMNS($AM$1006:AT1006),$AM$1006:$BM$1006,0)), HYPERLINK("#",""), HYPERLINK(CONCATENATE("#metadata!", ADDRESS(INDEX($AH$2:$AH$1001,MATCH(ROWS($AF$2:AF716),$AF$2:$AF$1001,0),0), INDEX($AM$1004:$BM$1004,1,MATCH(COLUMNS($AM$1006:AT1006),$AM$1006:$BM$1006,0)))),"Fix")))</f>
        <v xml:space="preserve"> </v>
      </c>
      <c r="J716" s="4" t="str">
        <f ca="1">IF(OR(INDEX($AG$2:$AG$1001,MATCH(ROWS($AF$2:AF716),$AF$2:$AF$1001,0),1)&gt;=100000,INDEX($AM$1005:$BM$1005,1,MATCH(COLUMNS($AM$1006:AU1006),$AM$1006:$BM$1006,0))&gt;=100000), " ",IF(INDEX($AM$2:$BM$1001,MATCH(ROWS($AF$2:AF716),$AF$2:$AF$1001,0),MATCH(COLUMNS($AM$1006:AU1006),$AM$1006:$BM$1006,0)), HYPERLINK("#",""), HYPERLINK(CONCATENATE("#metadata!", ADDRESS(INDEX($AH$2:$AH$1001,MATCH(ROWS($AF$2:AF716),$AF$2:$AF$1001,0),0), INDEX($AM$1004:$BM$1004,1,MATCH(COLUMNS($AM$1006:AU1006),$AM$1006:$BM$1006,0)))),"Fix")))</f>
        <v xml:space="preserve"> </v>
      </c>
      <c r="K716" s="4" t="str">
        <f ca="1">IF(OR(INDEX($AG$2:$AG$1001,MATCH(ROWS($AF$2:AF716),$AF$2:$AF$1001,0),1)&gt;=100000,INDEX($AM$1005:$BM$1005,1,MATCH(COLUMNS($AM$1006:AV1006),$AM$1006:$BM$1006,0))&gt;=100000), " ",IF(INDEX($AM$2:$BM$1001,MATCH(ROWS($AF$2:AF716),$AF$2:$AF$1001,0),MATCH(COLUMNS($AM$1006:AV1006),$AM$1006:$BM$1006,0)), HYPERLINK("#",""), HYPERLINK(CONCATENATE("#metadata!", ADDRESS(INDEX($AH$2:$AH$1001,MATCH(ROWS($AF$2:AF716),$AF$2:$AF$1001,0),0), INDEX($AM$1004:$BM$1004,1,MATCH(COLUMNS($AM$1006:AV1006),$AM$1006:$BM$1006,0)))),"Fix")))</f>
        <v xml:space="preserve"> </v>
      </c>
      <c r="L716" s="4" t="str">
        <f ca="1">IF(OR(INDEX($AG$2:$AG$1001,MATCH(ROWS($AF$2:AF716),$AF$2:$AF$1001,0),1)&gt;=100000,INDEX($AM$1005:$BM$1005,1,MATCH(COLUMNS($AM$1006:AW1006),$AM$1006:$BM$1006,0))&gt;=100000), " ",IF(INDEX($AM$2:$BM$1001,MATCH(ROWS($AF$2:AF716),$AF$2:$AF$1001,0),MATCH(COLUMNS($AM$1006:AW1006),$AM$1006:$BM$1006,0)), HYPERLINK("#",""), HYPERLINK(CONCATENATE("#metadata!", ADDRESS(INDEX($AH$2:$AH$1001,MATCH(ROWS($AF$2:AF716),$AF$2:$AF$1001,0),0), INDEX($AM$1004:$BM$1004,1,MATCH(COLUMNS($AM$1006:AW1006),$AM$1006:$BM$1006,0)))),"Fix")))</f>
        <v xml:space="preserve"> </v>
      </c>
      <c r="M716" s="4" t="str">
        <f ca="1">IF(OR(INDEX($AG$2:$AG$1001,MATCH(ROWS($AF$2:AF716),$AF$2:$AF$1001,0),1)&gt;=100000,INDEX($AM$1005:$BM$1005,1,MATCH(COLUMNS($AM$1006:AX1006),$AM$1006:$BM$1006,0))&gt;=100000), " ",IF(INDEX($AM$2:$BM$1001,MATCH(ROWS($AF$2:AF716),$AF$2:$AF$1001,0),MATCH(COLUMNS($AM$1006:AX1006),$AM$1006:$BM$1006,0)), HYPERLINK("#",""), HYPERLINK(CONCATENATE("#metadata!", ADDRESS(INDEX($AH$2:$AH$1001,MATCH(ROWS($AF$2:AF716),$AF$2:$AF$1001,0),0), INDEX($AM$1004:$BM$1004,1,MATCH(COLUMNS($AM$1006:AX1006),$AM$1006:$BM$1006,0)))),"Fix")))</f>
        <v xml:space="preserve"> </v>
      </c>
      <c r="N716" s="4" t="str">
        <f ca="1">IF(OR(INDEX($AG$2:$AG$1001,MATCH(ROWS($AF$2:AF716),$AF$2:$AF$1001,0),1)&gt;=100000,INDEX($AM$1005:$BM$1005,1,MATCH(COLUMNS($AM$1006:AY1006),$AM$1006:$BM$1006,0))&gt;=100000), " ",IF(INDEX($AM$2:$BM$1001,MATCH(ROWS($AF$2:AF716),$AF$2:$AF$1001,0),MATCH(COLUMNS($AM$1006:AY1006),$AM$1006:$BM$1006,0)), HYPERLINK("#",""), HYPERLINK(CONCATENATE("#metadata!", ADDRESS(INDEX($AH$2:$AH$1001,MATCH(ROWS($AF$2:AF716),$AF$2:$AF$1001,0),0), INDEX($AM$1004:$BM$1004,1,MATCH(COLUMNS($AM$1006:AY1006),$AM$1006:$BM$1006,0)))),"Fix")))</f>
        <v xml:space="preserve"> </v>
      </c>
      <c r="O716" s="4" t="str">
        <f ca="1">IF(OR(INDEX($AG$2:$AG$1001,MATCH(ROWS($AF$2:AF716),$AF$2:$AF$1001,0),1)&gt;=100000,INDEX($AM$1005:$BM$1005,1,MATCH(COLUMNS($AM$1006:AZ1006),$AM$1006:$BM$1006,0))&gt;=100000), " ",IF(INDEX($AM$2:$BM$1001,MATCH(ROWS($AF$2:AF716),$AF$2:$AF$1001,0),MATCH(COLUMNS($AM$1006:AZ1006),$AM$1006:$BM$1006,0)), HYPERLINK("#",""), HYPERLINK(CONCATENATE("#metadata!", ADDRESS(INDEX($AH$2:$AH$1001,MATCH(ROWS($AF$2:AF716),$AF$2:$AF$1001,0),0), INDEX($AM$1004:$BM$1004,1,MATCH(COLUMNS($AM$1006:AZ1006),$AM$1006:$BM$1006,0)))),"Fix")))</f>
        <v xml:space="preserve"> </v>
      </c>
      <c r="P716" s="4" t="str">
        <f ca="1">IF(OR(INDEX($AG$2:$AG$1001,MATCH(ROWS($AF$2:AF716),$AF$2:$AF$1001,0),1)&gt;=100000,INDEX($AM$1005:$BM$1005,1,MATCH(COLUMNS($AM$1006:BA1006),$AM$1006:$BM$1006,0))&gt;=100000), " ",IF(INDEX($AM$2:$BM$1001,MATCH(ROWS($AF$2:AF716),$AF$2:$AF$1001,0),MATCH(COLUMNS($AM$1006:BA1006),$AM$1006:$BM$1006,0)), HYPERLINK("#",""), HYPERLINK(CONCATENATE("#metadata!", ADDRESS(INDEX($AH$2:$AH$1001,MATCH(ROWS($AF$2:AF716),$AF$2:$AF$1001,0),0), INDEX($AM$1004:$BM$1004,1,MATCH(COLUMNS($AM$1006:BA1006),$AM$1006:$BM$1006,0)))),"Fix")))</f>
        <v xml:space="preserve"> </v>
      </c>
      <c r="Q716" s="4" t="str">
        <f ca="1">IF(OR(INDEX($AG$2:$AG$1001,MATCH(ROWS($AF$2:AF716),$AF$2:$AF$1001,0),1)&gt;=100000,INDEX($AM$1005:$BM$1005,1,MATCH(COLUMNS($AM$1006:BB1006),$AM$1006:$BM$1006,0))&gt;=100000), " ",IF(INDEX($AM$2:$BM$1001,MATCH(ROWS($AF$2:AF716),$AF$2:$AF$1001,0),MATCH(COLUMNS($AM$1006:BB1006),$AM$1006:$BM$1006,0)), HYPERLINK("#",""), HYPERLINK(CONCATENATE("#metadata!", ADDRESS(INDEX($AH$2:$AH$1001,MATCH(ROWS($AF$2:AF716),$AF$2:$AF$1001,0),0), INDEX($AM$1004:$BM$1004,1,MATCH(COLUMNS($AM$1006:BB1006),$AM$1006:$BM$1006,0)))),"Fix")))</f>
        <v xml:space="preserve"> </v>
      </c>
      <c r="R716" s="4" t="str">
        <f ca="1">IF(OR(INDEX($AG$2:$AG$1001,MATCH(ROWS($AF$2:AF716),$AF$2:$AF$1001,0),1)&gt;=100000,INDEX($AM$1005:$BM$1005,1,MATCH(COLUMNS($AM$1006:BC1006),$AM$1006:$BM$1006,0))&gt;=100000), " ",IF(INDEX($AM$2:$BM$1001,MATCH(ROWS($AF$2:AF716),$AF$2:$AF$1001,0),MATCH(COLUMNS($AM$1006:BC1006),$AM$1006:$BM$1006,0)), HYPERLINK("#",""), HYPERLINK(CONCATENATE("#metadata!", ADDRESS(INDEX($AH$2:$AH$1001,MATCH(ROWS($AF$2:AF716),$AF$2:$AF$1001,0),0), INDEX($AM$1004:$BM$1004,1,MATCH(COLUMNS($AM$1006:BC1006),$AM$1006:$BM$1006,0)))),"Fix")))</f>
        <v xml:space="preserve"> </v>
      </c>
      <c r="S716" s="4" t="str">
        <f ca="1">IF(OR(INDEX($AG$2:$AG$1001,MATCH(ROWS($AF$2:AF716),$AF$2:$AF$1001,0),1)&gt;=100000,INDEX($AM$1005:$BM$1005,1,MATCH(COLUMNS($AM$1006:BD1006),$AM$1006:$BM$1006,0))&gt;=100000), " ",IF(INDEX($AM$2:$BM$1001,MATCH(ROWS($AF$2:AF716),$AF$2:$AF$1001,0),MATCH(COLUMNS($AM$1006:BD1006),$AM$1006:$BM$1006,0)), HYPERLINK("#",""), HYPERLINK(CONCATENATE("#metadata!", ADDRESS(INDEX($AH$2:$AH$1001,MATCH(ROWS($AF$2:AF716),$AF$2:$AF$1001,0),0), INDEX($AM$1004:$BM$1004,1,MATCH(COLUMNS($AM$1006:BD1006),$AM$1006:$BM$1006,0)))),"Fix")))</f>
        <v xml:space="preserve"> </v>
      </c>
      <c r="T716" s="4" t="str">
        <f ca="1">IF(OR(INDEX($AG$2:$AG$1001,MATCH(ROWS($AF$2:AF716),$AF$2:$AF$1001,0),1)&gt;=100000,INDEX($AM$1005:$BM$1005,1,MATCH(COLUMNS($AM$1006:BE1006),$AM$1006:$BM$1006,0))&gt;=100000), " ",IF(INDEX($AM$2:$BM$1001,MATCH(ROWS($AF$2:AF716),$AF$2:$AF$1001,0),MATCH(COLUMNS($AM$1006:BE1006),$AM$1006:$BM$1006,0)), HYPERLINK("#",""), HYPERLINK(CONCATENATE("#metadata!", ADDRESS(INDEX($AH$2:$AH$1001,MATCH(ROWS($AF$2:AF716),$AF$2:$AF$1001,0),0), INDEX($AM$1004:$BM$1004,1,MATCH(COLUMNS($AM$1006:BE1006),$AM$1006:$BM$1006,0)))),"Fix")))</f>
        <v xml:space="preserve"> </v>
      </c>
      <c r="U716" s="4" t="str">
        <f ca="1">IF(OR(INDEX($AG$2:$AG$1001,MATCH(ROWS($AF$2:AF716),$AF$2:$AF$1001,0),1)&gt;=100000,INDEX($AM$1005:$BM$1005,1,MATCH(COLUMNS($AM$1006:BF1006),$AM$1006:$BM$1006,0))&gt;=100000), " ",IF(INDEX($AM$2:$BM$1001,MATCH(ROWS($AF$2:AF716),$AF$2:$AF$1001,0),MATCH(COLUMNS($AM$1006:BF1006),$AM$1006:$BM$1006,0)), HYPERLINK("#",""), HYPERLINK(CONCATENATE("#metadata!", ADDRESS(INDEX($AH$2:$AH$1001,MATCH(ROWS($AF$2:AF716),$AF$2:$AF$1001,0),0), INDEX($AM$1004:$BM$1004,1,MATCH(COLUMNS($AM$1006:BF1006),$AM$1006:$BM$1006,0)))),"Fix")))</f>
        <v xml:space="preserve"> </v>
      </c>
      <c r="V716" s="4" t="str">
        <f ca="1">IF(OR(INDEX($AG$2:$AG$1001,MATCH(ROWS($AF$2:AF716),$AF$2:$AF$1001,0),1)&gt;=100000,INDEX($AM$1005:$BM$1005,1,MATCH(COLUMNS($AM$1006:BG1006),$AM$1006:$BM$1006,0))&gt;=100000), " ",IF(INDEX($AM$2:$BM$1001,MATCH(ROWS($AF$2:AF716),$AF$2:$AF$1001,0),MATCH(COLUMNS($AM$1006:BG1006),$AM$1006:$BM$1006,0)), HYPERLINK("#",""), HYPERLINK(CONCATENATE("#metadata!", ADDRESS(INDEX($AH$2:$AH$1001,MATCH(ROWS($AF$2:AF716),$AF$2:$AF$1001,0),0), INDEX($AM$1004:$BM$1004,1,MATCH(COLUMNS($AM$1006:BG1006),$AM$1006:$BM$1006,0)))),"Fix")))</f>
        <v xml:space="preserve"> </v>
      </c>
      <c r="W716" s="4" t="str">
        <f ca="1">IF(OR(INDEX($AG$2:$AG$1001,MATCH(ROWS($AF$2:AF716),$AF$2:$AF$1001,0),1)&gt;=100000,INDEX($AM$1005:$BM$1005,1,MATCH(COLUMNS($AM$1006:BH1006),$AM$1006:$BM$1006,0))&gt;=100000), " ",IF(INDEX($AM$2:$BM$1001,MATCH(ROWS($AF$2:AF716),$AF$2:$AF$1001,0),MATCH(COLUMNS($AM$1006:BH1006),$AM$1006:$BM$1006,0)), HYPERLINK("#",""), HYPERLINK(CONCATENATE("#metadata!", ADDRESS(INDEX($AH$2:$AH$1001,MATCH(ROWS($AF$2:AF716),$AF$2:$AF$1001,0),0), INDEX($AM$1004:$BM$1004,1,MATCH(COLUMNS($AM$1006:BH1006),$AM$1006:$BM$1006,0)))),"Fix")))</f>
        <v xml:space="preserve"> </v>
      </c>
      <c r="X716" s="4" t="str">
        <f ca="1">IF(OR(INDEX($AG$2:$AG$1001,MATCH(ROWS($AF$2:AF716),$AF$2:$AF$1001,0),1)&gt;=100000,INDEX($AM$1005:$BM$1005,1,MATCH(COLUMNS($AM$1006:BI1006),$AM$1006:$BM$1006,0))&gt;=100000), " ",IF(INDEX($AM$2:$BM$1001,MATCH(ROWS($AF$2:AF716),$AF$2:$AF$1001,0),MATCH(COLUMNS($AM$1006:BI1006),$AM$1006:$BM$1006,0)), HYPERLINK("#",""), HYPERLINK(CONCATENATE("#metadata!", ADDRESS(INDEX($AH$2:$AH$1001,MATCH(ROWS($AF$2:AF716),$AF$2:$AF$1001,0),0), INDEX($AM$1004:$BM$1004,1,MATCH(COLUMNS($AM$1006:BI1006),$AM$1006:$BM$1006,0)))),"Fix")))</f>
        <v xml:space="preserve"> </v>
      </c>
      <c r="Y716" s="4" t="str">
        <f ca="1">IF(OR(INDEX($AG$2:$AG$1001,MATCH(ROWS($AF$2:AF716),$AF$2:$AF$1001,0),1)&gt;=100000,INDEX($AM$1005:$BM$1005,1,MATCH(COLUMNS($AM$1006:BJ1006),$AM$1006:$BM$1006,0))&gt;=100000), " ",IF(INDEX($AM$2:$BM$1001,MATCH(ROWS($AF$2:AF716),$AF$2:$AF$1001,0),MATCH(COLUMNS($AM$1006:BJ1006),$AM$1006:$BM$1006,0)), HYPERLINK("#",""), HYPERLINK(CONCATENATE("#metadata!", ADDRESS(INDEX($AH$2:$AH$1001,MATCH(ROWS($AF$2:AF716),$AF$2:$AF$1001,0),0), INDEX($AM$1004:$BM$1004,1,MATCH(COLUMNS($AM$1006:BJ1006),$AM$1006:$BM$1006,0)))),"Fix")))</f>
        <v xml:space="preserve"> </v>
      </c>
      <c r="Z716" s="4" t="str">
        <f ca="1">IF(OR(INDEX($AG$2:$AG$1001,MATCH(ROWS($AF$2:AF716),$AF$2:$AF$1001,0),1)&gt;=100000,INDEX($AM$1005:$BM$1005,1,MATCH(COLUMNS($AM$1006:BK1006),$AM$1006:$BM$1006,0))&gt;=100000), " ",IF(INDEX($AM$2:$BM$1001,MATCH(ROWS($AF$2:AF716),$AF$2:$AF$1001,0),MATCH(COLUMNS($AM$1006:BK1006),$AM$1006:$BM$1006,0)), HYPERLINK("#",""), HYPERLINK(CONCATENATE("#metadata!", ADDRESS(INDEX($AH$2:$AH$1001,MATCH(ROWS($AF$2:AF716),$AF$2:$AF$1001,0),0), INDEX($AM$1004:$BM$1004,1,MATCH(COLUMNS($AM$1006:BK1006),$AM$1006:$BM$1006,0)))),"Fix")))</f>
        <v xml:space="preserve"> </v>
      </c>
      <c r="AA716" s="4" t="str">
        <f ca="1">IF(OR(INDEX($AG$2:$AG$1001,MATCH(ROWS($AF$2:AF716),$AF$2:$AF$1001,0),1)&gt;=100000,INDEX($AM$1005:$BM$1005,1,MATCH(COLUMNS($AM$1006:BL1006),$AM$1006:$BM$1006,0))&gt;=100000), " ",IF(INDEX($AM$2:$BM$1001,MATCH(ROWS($AF$2:AF716),$AF$2:$AF$1001,0),MATCH(COLUMNS($AM$1006:BL1006),$AM$1006:$BM$1006,0)), HYPERLINK("#",""), HYPERLINK(CONCATENATE("#metadata!", ADDRESS(INDEX($AH$2:$AH$1001,MATCH(ROWS($AF$2:AF716),$AF$2:$AF$1001,0),0), INDEX($AM$1004:$BM$1004,1,MATCH(COLUMNS($AM$1006:BL1006),$AM$1006:$BM$1006,0)))),"Fix")))</f>
        <v xml:space="preserve"> </v>
      </c>
      <c r="AB716" s="4" t="str">
        <f ca="1">IF(OR(INDEX($AG$2:$AG$1001,MATCH(ROWS($AF$2:AF716),$AF$2:$AF$1001,0),1)&gt;=100000,INDEX($AM$1005:$BM$1005,1,MATCH(COLUMNS($AM$1006:BM1006),$AM$1006:$BM$1006,0))&gt;=100000), " ",IF(INDEX($AM$2:$BM$1001,MATCH(ROWS($AF$2:AF716),$AF$2:$AF$1001,0),MATCH(COLUMNS($AM$1006:BM1006),$AM$1006:$BM$1006,0)), HYPERLINK("#",""), HYPERLINK(CONCATENATE("#metadata!", ADDRESS(INDEX($AH$2:$AH$1001,MATCH(ROWS($AF$2:AF716),$AF$2:$AF$1001,0),0), INDEX($AM$1004:$BM$1004,1,MATCH(COLUMNS($AM$1006:BM1006),$AM$1006:$BM$1006,0)))),"Fix")))</f>
        <v xml:space="preserve"> </v>
      </c>
      <c r="AF716">
        <v>715</v>
      </c>
      <c r="AG716">
        <v>100716</v>
      </c>
      <c r="AH716">
        <v>716</v>
      </c>
      <c r="AI716" t="b">
        <f t="shared" si="11"/>
        <v>1</v>
      </c>
      <c r="AJ716" t="b">
        <f>COUNTBLANK(metadata!B716:AB716)=COLUMNS(metadata!B716:AB716)</f>
        <v>1</v>
      </c>
      <c r="AK716" t="str">
        <v/>
      </c>
      <c r="AM716" t="b">
        <f ca="1">AND(IF(metadata!B716="",FALSE,TRUE),COUNTIF(metadata!B:B, metadata!B716) = 1,NOT(ISERROR(SUMPRODUCT(SEARCH(MID(metadata!B716,ROW(INDIRECT("1:"&amp;LEN(metadata!B716))), 1),"0123456789abcdefghijklmnopqrstuvwxyzABCDEFGHIJKLMNOPQRSTUVWXYZ.")))))</f>
        <v>0</v>
      </c>
      <c r="AN716" t="b">
        <f ca="1">OR(AND(IF(metadata!C716="",FALSE,TRUE),OR(EXACT(metadata!C716,"missing: not collected"),EXACT(metadata!C716,"missing: not provided"),EXACT(metadata!C716,"missing: restricted access"))),AND(IF(metadata!C716="",FALSE,TRUE),AND(AND(IFERROR(INT(LEFT(metadata!C716,4))&gt;1900,FALSE),IFERROR(INT(LEFT(metadata!C716,4))&lt;=YEAR(NOW()),FALSE)), OR(MID(metadata!C716,5,1)="", AND(AND(MID(metadata!C716,5,1)="-",IFERROR(INT(MID(metadata!C716,6,1))&gt;=0,FALSE),IFERROR(INT(MID(metadata!C716,6,1))&lt;=1,FALSE),NOT(MID(metadata!C716,7,1)=""),IFERROR(INT(MID(metadata!C716,6,2))&gt;=1,FALSE),IFERROR(INT(MID(metadata!C716,6,2))&lt;=12,FALSE)), OR(MID(metadata!C716,8,1)="", AND(AND(MID(metadata!C716,8,1)="-",IFERROR(INT(MID(metadata!C716,9,1))&gt;=0,FALSE),IFERROR(INT(MID(metadata!C716,9,1))&lt;=3,FALSE),NOT(MID(metadata!C716,10,1)=""),IFERROR(INT(MID(metadata!C716,9,2))&gt;=1,FALSE),IFERROR(INT(MID(metadata!C716,9,2))&lt;=31,FALSE)), OR(MID(metadata!C716,11,1)="", AND(AND(MID(metadata!C716,11,1)=" ",IFERROR(INT(MID(metadata!C716,12,1))&gt;=0,FALSE),IFERROR(INT(MID(metadata!C716,12,1))&lt;=2,FALSE),NOT(MID(metadata!C716,13,1)=""),IFERROR(INT(MID(metadata!C716,12,2))&gt;=0,FALSE),IFERROR(INT(MID(metadata!C716,12,2))&lt;=23,FALSE)), OR(MID(metadata!C716,14,1)="", AND(AND(MID(metadata!C716,14,1)=":",IFERROR(INT(MID(metadata!C716,15,1))&gt;=0,FALSE),IFERROR(INT(MID(metadata!C716,15,1))&lt;=5,FALSE),NOT(MID(metadata!C716,16,1)=""),IFERROR(INT(MID(metadata!C716,15,2))&gt;=0,FALSE),IFERROR(INT(MID(metadata!C716,15,2))&lt;=59,FALSE)), OR(MID(metadata!C716,17,1)="", AND(AND(MID(metadata!C716,17,1)=":",IFERROR(INT(MID(metadata!C716,18,1))&gt;=0,FALSE),IFERROR(INT(MID(metadata!C716,18,1))&lt;=5,FALSE),NOT(MID(metadata!C716,19,1)=""),IFERROR(INT(MID(metadata!C716,18,2))&gt;=0,FALSE),IFERROR(INT(MID(metadata!C716,18,2))&lt;=59,FALSE)), LEN(metadata!C716)&lt;=19)))))))))))))</f>
        <v>0</v>
      </c>
      <c r="AO716" t="b">
        <f>AND(IF(metadata!D716="",FALSE,TRUE),EXACT(metadata!D716,"Not applicable"))</f>
        <v>0</v>
      </c>
      <c r="AP716" t="b">
        <f>IF(metadata!E716="",FALSE,TRUE)</f>
        <v>0</v>
      </c>
      <c r="AQ716" t="b">
        <f>OR(AND(IF(metadata!F716="",FALSE,TRUE),OR(EXACT(metadata!F716,"missing: not collected"),EXACT(metadata!F716,"missing: not provided"))),AND(IF(metadata!F716="",FALSE,TRUE),OR(EXACT(metadata!F716,"TRUE"),EXACT(metadata!F716,"FALSE"))))</f>
        <v>0</v>
      </c>
      <c r="AR716" t="b">
        <f>OR(AND(IF(metadata!G716="",FALSE,TRUE),OR(EXACT(metadata!G716,"missing: not collected"),EXACT(metadata!G716,"missing: not provided"),EXACT(metadata!G716,"missing: restricted access"))),AND(IF(metadata!G716="",FALSE,ISNUMBER(VALUE(metadata!G716))),metadata!G716&gt;=-413))</f>
        <v>0</v>
      </c>
      <c r="AS716" t="b">
        <f>AND(IF(metadata!H716="",FALSE,TRUE),EXACT(metadata!H716,"meters"))</f>
        <v>0</v>
      </c>
      <c r="AT716" t="b">
        <f>AND(IF(metadata!I716="",FALSE,TRUE),OR(EXACT(metadata!I716,"Host-associated"),EXACT(metadata!I716,"Free-living")))</f>
        <v>0</v>
      </c>
      <c r="AU716" t="b">
        <f>AND(IF(metadata!J716="",FALSE,TRUE),OR(EXACT(metadata!J716,"Animal"),EXACT(metadata!J716,"Fungus"),EXACT(metadata!J716,"Plant"),EXACT(metadata!J716,"Saline"),EXACT(metadata!J716,"Non-saline")))</f>
        <v>0</v>
      </c>
      <c r="AV716" t="b">
        <f>AND(IF(metadata!K716="",FALSE,TRUE),OR(EXACT(metadata!K716,"Plant secretion"),EXACT(metadata!K716,"Plant rhizosphere"),EXACT(metadata!K716,"Plant surface"),EXACT(metadata!K716,"Plant corpus"),EXACT(metadata!K716,"Fungus surface"),EXACT(metadata!K716,"Fungus corpus"),EXACT(metadata!K716,"Animal surface"),EXACT(metadata!K716,"Animal proximal gut"),EXACT(metadata!K716,"Animal corpus"),EXACT(metadata!K716,"Animal distal gut"),EXACT(metadata!K716,"Animal secretion"),EXACT(metadata!K716,"Sub-surface (non-saline)"),EXACT(metadata!K716,"Surface (non-saline)"),EXACT(metadata!K716,"Water (non-saline)"),EXACT(metadata!K716,"Soil (non-saline)"),EXACT(metadata!K716,"Aerosol (non-saline)"),EXACT(metadata!K716,"Sediment (non-saline)"),EXACT(metadata!K716,"Surface (saline)"),EXACT(metadata!K716,"Water (saline)"),EXACT(metadata!K716,"Hypersaline (saline)"),EXACT(metadata!K716,"Aerosol (saline)"),EXACT(metadata!K716,"Sediment (saline)")))</f>
        <v>0</v>
      </c>
      <c r="AW716" t="b">
        <f>IF(metadata!L716="",FALSE,TRUE)</f>
        <v>0</v>
      </c>
      <c r="AX716" t="b">
        <f>IF(metadata!M716="",FALSE,TRUE)</f>
        <v>0</v>
      </c>
      <c r="AY716" t="b">
        <f>IF(metadata!N716="",FALSE,TRUE)</f>
        <v>0</v>
      </c>
      <c r="AZ716" t="b">
        <f>OR(AND(IF(metadata!O716="",FALSE,TRUE),OR(EXACT(metadata!O716,"missing: not collected"),EXACT(metadata!O716,"missing: not provided"),EXACT(metadata!O716,"missing: restricted access"))),AND(IF(metadata!O716="",FALSE,TRUE),OR(EXACT(metadata!O716,"air"),EXACT(metadata!O716,"built environment"),EXACT(metadata!O716,"host-associated"),EXACT(metadata!O716,"human-associated"),EXACT(metadata!O716,"human-skin"),EXACT(metadata!O716,"human-oral"),EXACT(metadata!O716,"human-gut"),EXACT(metadata!O716,"human-vaginal"),EXACT(metadata!O716,"microbial mat/biofilm"),EXACT(metadata!O716,"misc environment"),EXACT(metadata!O716,"plant-associated"),EXACT(metadata!O716,"sediment"),EXACT(metadata!O716,"soil"),EXACT(metadata!O716,"wastewater/sludge"),EXACT(metadata!O716,"water"))))</f>
        <v>0</v>
      </c>
      <c r="BA716" t="b">
        <f>IF(metadata!P716="",FALSE,TRUE)</f>
        <v>0</v>
      </c>
      <c r="BB716" t="b">
        <f>IF(metadata!Q716="",FALSE,TRUE)</f>
        <v>0</v>
      </c>
      <c r="BC716" t="b">
        <f>OR(AND(IF(metadata!R716="",FALSE,TRUE),OR(EXACT(metadata!R716,"missing: not collected"),EXACT(metadata!R716,"missing: not provided"),EXACT(metadata!R716,"missing: restricted access"))),AND(IF(metadata!R716="",FALSE,ISNUMBER(VALUE(metadata!R716))),metadata!R716&gt;=-90,metadata!R716&lt;=90))</f>
        <v>0</v>
      </c>
      <c r="BD716" t="b">
        <f>AND(IF(metadata!S716="",FALSE,TRUE),EXACT(metadata!S716,"Decimal degrees"))</f>
        <v>0</v>
      </c>
      <c r="BE716" t="b">
        <f>OR(AND(IF(metadata!T716="",FALSE,TRUE),OR(EXACT(metadata!T716,"missing: not collected"),EXACT(metadata!T716,"missing: not provided"),EXACT(metadata!T716,"missing: restricted access"))),AND(IF(metadata!T716="",FALSE,ISNUMBER(VALUE(metadata!T716))),metadata!T716&gt;=-180,metadata!T716&lt;=180))</f>
        <v>0</v>
      </c>
      <c r="BF716" t="b">
        <f>AND(IF(metadata!U716="",FALSE,TRUE),EXACT(metadata!U716,"Decimal degrees"))</f>
        <v>0</v>
      </c>
      <c r="BG716" t="b">
        <f>IF(metadata!V716="",FALSE,TRUE)</f>
        <v>0</v>
      </c>
      <c r="BH716" t="b">
        <f>OR(AND(IF(metadata!W716="",FALSE,TRUE),OR(EXACT(metadata!W716,"missing: not collected"),EXACT(metadata!W716,"missing: not provided"),EXACT(metadata!W716,"missing: restricted access"))),AND(IF(metadata!W716="",FALSE,TRUE),OR(EXACT(metadata!W716,"TRUE"),EXACT(metadata!W716,"FALSE"))))</f>
        <v>0</v>
      </c>
      <c r="BI716" t="b">
        <f>AND(IF(metadata!X716="",FALSE,TRUE),EXACT(metadata!X716,"other"))</f>
        <v>0</v>
      </c>
      <c r="BJ716" t="b">
        <f>IF(metadata!Y716="",FALSE,TRUE)</f>
        <v>0</v>
      </c>
      <c r="BK716" t="b">
        <f>OR(AND(IF(metadata!Z716="",FALSE,TRUE),OR(EXACT(metadata!Z716,"missing: not collected"),EXACT(metadata!Z716,"missing: not provided"))),AND(IF(metadata!Z716="",FALSE,IF(ISERROR(INT(metadata!Z716)),FALSE,INT(metadata!Z716)=metadata!Z716)),metadata!Z716&gt;0))</f>
        <v>0</v>
      </c>
      <c r="BL716" t="b">
        <f>AND(IF(metadata!AA716="",FALSE,TRUE),EXACT(metadata!AA716,"Not applicable"))</f>
        <v>0</v>
      </c>
      <c r="BM716" t="b">
        <f>IF(metadata!AB716="",FALSE,TRUE)</f>
        <v>0</v>
      </c>
    </row>
    <row r="717" spans="1:65" x14ac:dyDescent="0.2">
      <c r="A717" s="5" t="str">
        <f ca="1">IF(B717=" "," ",HYPERLINK(CONCATENATE("#metadata!",ADDRESS(INDEX($AH$2:$AH$1001,MATCH(ROWS($AF$2:AF717),$AF$2:$AF$1001,0),0),1)),INDEX($AK$2:$AK$1001,MATCH(ROWS($AF$2:AF717),$AF$2:$AF$1001,0),0)))</f>
        <v xml:space="preserve"> </v>
      </c>
      <c r="B717" s="4" t="str">
        <f ca="1">IF(OR(INDEX($AG$2:$AG$1001,MATCH(ROWS($AF$2:AF717),$AF$2:$AF$1001,0),1)&gt;=100000,INDEX($AM$1005:$BM$1005,1,MATCH(COLUMNS($AM$1006:AM1006),$AM$1006:$BM$1006,0))&gt;=100000), " ",IF(INDEX($AM$2:$BM$1001,MATCH(ROWS($AF$2:AF717),$AF$2:$AF$1001,0),MATCH(COLUMNS($AM$1006:AM1006),$AM$1006:$BM$1006,0)), HYPERLINK("#",""), HYPERLINK(CONCATENATE("#metadata!", ADDRESS(INDEX($AH$2:$AH$1001,MATCH(ROWS($AF$2:AF717),$AF$2:$AF$1001,0),0), INDEX($AM$1004:$BM$1004,1,MATCH(COLUMNS($AM$1006:AM1006),$AM$1006:$BM$1006,0)))),"Fix")))</f>
        <v xml:space="preserve"> </v>
      </c>
      <c r="C717" s="4" t="str">
        <f ca="1">IF(OR(INDEX($AG$2:$AG$1001,MATCH(ROWS($AF$2:AF717),$AF$2:$AF$1001,0),1)&gt;=100000,INDEX($AM$1005:$BM$1005,1,MATCH(COLUMNS($AM$1006:AN1006),$AM$1006:$BM$1006,0))&gt;=100000), " ",IF(INDEX($AM$2:$BM$1001,MATCH(ROWS($AF$2:AF717),$AF$2:$AF$1001,0),MATCH(COLUMNS($AM$1006:AN1006),$AM$1006:$BM$1006,0)), HYPERLINK("#",""), HYPERLINK(CONCATENATE("#metadata!", ADDRESS(INDEX($AH$2:$AH$1001,MATCH(ROWS($AF$2:AF717),$AF$2:$AF$1001,0),0), INDEX($AM$1004:$BM$1004,1,MATCH(COLUMNS($AM$1006:AN1006),$AM$1006:$BM$1006,0)))),"Fix")))</f>
        <v xml:space="preserve"> </v>
      </c>
      <c r="D717" s="4" t="str">
        <f ca="1">IF(OR(INDEX($AG$2:$AG$1001,MATCH(ROWS($AF$2:AF717),$AF$2:$AF$1001,0),1)&gt;=100000,INDEX($AM$1005:$BM$1005,1,MATCH(COLUMNS($AM$1006:AO1006),$AM$1006:$BM$1006,0))&gt;=100000), " ",IF(INDEX($AM$2:$BM$1001,MATCH(ROWS($AF$2:AF717),$AF$2:$AF$1001,0),MATCH(COLUMNS($AM$1006:AO1006),$AM$1006:$BM$1006,0)), HYPERLINK("#",""), HYPERLINK(CONCATENATE("#metadata!", ADDRESS(INDEX($AH$2:$AH$1001,MATCH(ROWS($AF$2:AF717),$AF$2:$AF$1001,0),0), INDEX($AM$1004:$BM$1004,1,MATCH(COLUMNS($AM$1006:AO1006),$AM$1006:$BM$1006,0)))),"Fix")))</f>
        <v xml:space="preserve"> </v>
      </c>
      <c r="E717" s="4" t="str">
        <f ca="1">IF(OR(INDEX($AG$2:$AG$1001,MATCH(ROWS($AF$2:AF717),$AF$2:$AF$1001,0),1)&gt;=100000,INDEX($AM$1005:$BM$1005,1,MATCH(COLUMNS($AM$1006:AP1006),$AM$1006:$BM$1006,0))&gt;=100000), " ",IF(INDEX($AM$2:$BM$1001,MATCH(ROWS($AF$2:AF717),$AF$2:$AF$1001,0),MATCH(COLUMNS($AM$1006:AP1006),$AM$1006:$BM$1006,0)), HYPERLINK("#",""), HYPERLINK(CONCATENATE("#metadata!", ADDRESS(INDEX($AH$2:$AH$1001,MATCH(ROWS($AF$2:AF717),$AF$2:$AF$1001,0),0), INDEX($AM$1004:$BM$1004,1,MATCH(COLUMNS($AM$1006:AP1006),$AM$1006:$BM$1006,0)))),"Fix")))</f>
        <v xml:space="preserve"> </v>
      </c>
      <c r="F717" s="4" t="str">
        <f ca="1">IF(OR(INDEX($AG$2:$AG$1001,MATCH(ROWS($AF$2:AF717),$AF$2:$AF$1001,0),1)&gt;=100000,INDEX($AM$1005:$BM$1005,1,MATCH(COLUMNS($AM$1006:AQ1006),$AM$1006:$BM$1006,0))&gt;=100000), " ",IF(INDEX($AM$2:$BM$1001,MATCH(ROWS($AF$2:AF717),$AF$2:$AF$1001,0),MATCH(COLUMNS($AM$1006:AQ1006),$AM$1006:$BM$1006,0)), HYPERLINK("#",""), HYPERLINK(CONCATENATE("#metadata!", ADDRESS(INDEX($AH$2:$AH$1001,MATCH(ROWS($AF$2:AF717),$AF$2:$AF$1001,0),0), INDEX($AM$1004:$BM$1004,1,MATCH(COLUMNS($AM$1006:AQ1006),$AM$1006:$BM$1006,0)))),"Fix")))</f>
        <v xml:space="preserve"> </v>
      </c>
      <c r="G717" s="4" t="str">
        <f ca="1">IF(OR(INDEX($AG$2:$AG$1001,MATCH(ROWS($AF$2:AF717),$AF$2:$AF$1001,0),1)&gt;=100000,INDEX($AM$1005:$BM$1005,1,MATCH(COLUMNS($AM$1006:AR1006),$AM$1006:$BM$1006,0))&gt;=100000), " ",IF(INDEX($AM$2:$BM$1001,MATCH(ROWS($AF$2:AF717),$AF$2:$AF$1001,0),MATCH(COLUMNS($AM$1006:AR1006),$AM$1006:$BM$1006,0)), HYPERLINK("#",""), HYPERLINK(CONCATENATE("#metadata!", ADDRESS(INDEX($AH$2:$AH$1001,MATCH(ROWS($AF$2:AF717),$AF$2:$AF$1001,0),0), INDEX($AM$1004:$BM$1004,1,MATCH(COLUMNS($AM$1006:AR1006),$AM$1006:$BM$1006,0)))),"Fix")))</f>
        <v xml:space="preserve"> </v>
      </c>
      <c r="H717" s="4" t="str">
        <f ca="1">IF(OR(INDEX($AG$2:$AG$1001,MATCH(ROWS($AF$2:AF717),$AF$2:$AF$1001,0),1)&gt;=100000,INDEX($AM$1005:$BM$1005,1,MATCH(COLUMNS($AM$1006:AS1006),$AM$1006:$BM$1006,0))&gt;=100000), " ",IF(INDEX($AM$2:$BM$1001,MATCH(ROWS($AF$2:AF717),$AF$2:$AF$1001,0),MATCH(COLUMNS($AM$1006:AS1006),$AM$1006:$BM$1006,0)), HYPERLINK("#",""), HYPERLINK(CONCATENATE("#metadata!", ADDRESS(INDEX($AH$2:$AH$1001,MATCH(ROWS($AF$2:AF717),$AF$2:$AF$1001,0),0), INDEX($AM$1004:$BM$1004,1,MATCH(COLUMNS($AM$1006:AS1006),$AM$1006:$BM$1006,0)))),"Fix")))</f>
        <v xml:space="preserve"> </v>
      </c>
      <c r="I717" s="4" t="str">
        <f ca="1">IF(OR(INDEX($AG$2:$AG$1001,MATCH(ROWS($AF$2:AF717),$AF$2:$AF$1001,0),1)&gt;=100000,INDEX($AM$1005:$BM$1005,1,MATCH(COLUMNS($AM$1006:AT1006),$AM$1006:$BM$1006,0))&gt;=100000), " ",IF(INDEX($AM$2:$BM$1001,MATCH(ROWS($AF$2:AF717),$AF$2:$AF$1001,0),MATCH(COLUMNS($AM$1006:AT1006),$AM$1006:$BM$1006,0)), HYPERLINK("#",""), HYPERLINK(CONCATENATE("#metadata!", ADDRESS(INDEX($AH$2:$AH$1001,MATCH(ROWS($AF$2:AF717),$AF$2:$AF$1001,0),0), INDEX($AM$1004:$BM$1004,1,MATCH(COLUMNS($AM$1006:AT1006),$AM$1006:$BM$1006,0)))),"Fix")))</f>
        <v xml:space="preserve"> </v>
      </c>
      <c r="J717" s="4" t="str">
        <f ca="1">IF(OR(INDEX($AG$2:$AG$1001,MATCH(ROWS($AF$2:AF717),$AF$2:$AF$1001,0),1)&gt;=100000,INDEX($AM$1005:$BM$1005,1,MATCH(COLUMNS($AM$1006:AU1006),$AM$1006:$BM$1006,0))&gt;=100000), " ",IF(INDEX($AM$2:$BM$1001,MATCH(ROWS($AF$2:AF717),$AF$2:$AF$1001,0),MATCH(COLUMNS($AM$1006:AU1006),$AM$1006:$BM$1006,0)), HYPERLINK("#",""), HYPERLINK(CONCATENATE("#metadata!", ADDRESS(INDEX($AH$2:$AH$1001,MATCH(ROWS($AF$2:AF717),$AF$2:$AF$1001,0),0), INDEX($AM$1004:$BM$1004,1,MATCH(COLUMNS($AM$1006:AU1006),$AM$1006:$BM$1006,0)))),"Fix")))</f>
        <v xml:space="preserve"> </v>
      </c>
      <c r="K717" s="4" t="str">
        <f ca="1">IF(OR(INDEX($AG$2:$AG$1001,MATCH(ROWS($AF$2:AF717),$AF$2:$AF$1001,0),1)&gt;=100000,INDEX($AM$1005:$BM$1005,1,MATCH(COLUMNS($AM$1006:AV1006),$AM$1006:$BM$1006,0))&gt;=100000), " ",IF(INDEX($AM$2:$BM$1001,MATCH(ROWS($AF$2:AF717),$AF$2:$AF$1001,0),MATCH(COLUMNS($AM$1006:AV1006),$AM$1006:$BM$1006,0)), HYPERLINK("#",""), HYPERLINK(CONCATENATE("#metadata!", ADDRESS(INDEX($AH$2:$AH$1001,MATCH(ROWS($AF$2:AF717),$AF$2:$AF$1001,0),0), INDEX($AM$1004:$BM$1004,1,MATCH(COLUMNS($AM$1006:AV1006),$AM$1006:$BM$1006,0)))),"Fix")))</f>
        <v xml:space="preserve"> </v>
      </c>
      <c r="L717" s="4" t="str">
        <f ca="1">IF(OR(INDEX($AG$2:$AG$1001,MATCH(ROWS($AF$2:AF717),$AF$2:$AF$1001,0),1)&gt;=100000,INDEX($AM$1005:$BM$1005,1,MATCH(COLUMNS($AM$1006:AW1006),$AM$1006:$BM$1006,0))&gt;=100000), " ",IF(INDEX($AM$2:$BM$1001,MATCH(ROWS($AF$2:AF717),$AF$2:$AF$1001,0),MATCH(COLUMNS($AM$1006:AW1006),$AM$1006:$BM$1006,0)), HYPERLINK("#",""), HYPERLINK(CONCATENATE("#metadata!", ADDRESS(INDEX($AH$2:$AH$1001,MATCH(ROWS($AF$2:AF717),$AF$2:$AF$1001,0),0), INDEX($AM$1004:$BM$1004,1,MATCH(COLUMNS($AM$1006:AW1006),$AM$1006:$BM$1006,0)))),"Fix")))</f>
        <v xml:space="preserve"> </v>
      </c>
      <c r="M717" s="4" t="str">
        <f ca="1">IF(OR(INDEX($AG$2:$AG$1001,MATCH(ROWS($AF$2:AF717),$AF$2:$AF$1001,0),1)&gt;=100000,INDEX($AM$1005:$BM$1005,1,MATCH(COLUMNS($AM$1006:AX1006),$AM$1006:$BM$1006,0))&gt;=100000), " ",IF(INDEX($AM$2:$BM$1001,MATCH(ROWS($AF$2:AF717),$AF$2:$AF$1001,0),MATCH(COLUMNS($AM$1006:AX1006),$AM$1006:$BM$1006,0)), HYPERLINK("#",""), HYPERLINK(CONCATENATE("#metadata!", ADDRESS(INDEX($AH$2:$AH$1001,MATCH(ROWS($AF$2:AF717),$AF$2:$AF$1001,0),0), INDEX($AM$1004:$BM$1004,1,MATCH(COLUMNS($AM$1006:AX1006),$AM$1006:$BM$1006,0)))),"Fix")))</f>
        <v xml:space="preserve"> </v>
      </c>
      <c r="N717" s="4" t="str">
        <f ca="1">IF(OR(INDEX($AG$2:$AG$1001,MATCH(ROWS($AF$2:AF717),$AF$2:$AF$1001,0),1)&gt;=100000,INDEX($AM$1005:$BM$1005,1,MATCH(COLUMNS($AM$1006:AY1006),$AM$1006:$BM$1006,0))&gt;=100000), " ",IF(INDEX($AM$2:$BM$1001,MATCH(ROWS($AF$2:AF717),$AF$2:$AF$1001,0),MATCH(COLUMNS($AM$1006:AY1006),$AM$1006:$BM$1006,0)), HYPERLINK("#",""), HYPERLINK(CONCATENATE("#metadata!", ADDRESS(INDEX($AH$2:$AH$1001,MATCH(ROWS($AF$2:AF717),$AF$2:$AF$1001,0),0), INDEX($AM$1004:$BM$1004,1,MATCH(COLUMNS($AM$1006:AY1006),$AM$1006:$BM$1006,0)))),"Fix")))</f>
        <v xml:space="preserve"> </v>
      </c>
      <c r="O717" s="4" t="str">
        <f ca="1">IF(OR(INDEX($AG$2:$AG$1001,MATCH(ROWS($AF$2:AF717),$AF$2:$AF$1001,0),1)&gt;=100000,INDEX($AM$1005:$BM$1005,1,MATCH(COLUMNS($AM$1006:AZ1006),$AM$1006:$BM$1006,0))&gt;=100000), " ",IF(INDEX($AM$2:$BM$1001,MATCH(ROWS($AF$2:AF717),$AF$2:$AF$1001,0),MATCH(COLUMNS($AM$1006:AZ1006),$AM$1006:$BM$1006,0)), HYPERLINK("#",""), HYPERLINK(CONCATENATE("#metadata!", ADDRESS(INDEX($AH$2:$AH$1001,MATCH(ROWS($AF$2:AF717),$AF$2:$AF$1001,0),0), INDEX($AM$1004:$BM$1004,1,MATCH(COLUMNS($AM$1006:AZ1006),$AM$1006:$BM$1006,0)))),"Fix")))</f>
        <v xml:space="preserve"> </v>
      </c>
      <c r="P717" s="4" t="str">
        <f ca="1">IF(OR(INDEX($AG$2:$AG$1001,MATCH(ROWS($AF$2:AF717),$AF$2:$AF$1001,0),1)&gt;=100000,INDEX($AM$1005:$BM$1005,1,MATCH(COLUMNS($AM$1006:BA1006),$AM$1006:$BM$1006,0))&gt;=100000), " ",IF(INDEX($AM$2:$BM$1001,MATCH(ROWS($AF$2:AF717),$AF$2:$AF$1001,0),MATCH(COLUMNS($AM$1006:BA1006),$AM$1006:$BM$1006,0)), HYPERLINK("#",""), HYPERLINK(CONCATENATE("#metadata!", ADDRESS(INDEX($AH$2:$AH$1001,MATCH(ROWS($AF$2:AF717),$AF$2:$AF$1001,0),0), INDEX($AM$1004:$BM$1004,1,MATCH(COLUMNS($AM$1006:BA1006),$AM$1006:$BM$1006,0)))),"Fix")))</f>
        <v xml:space="preserve"> </v>
      </c>
      <c r="Q717" s="4" t="str">
        <f ca="1">IF(OR(INDEX($AG$2:$AG$1001,MATCH(ROWS($AF$2:AF717),$AF$2:$AF$1001,0),1)&gt;=100000,INDEX($AM$1005:$BM$1005,1,MATCH(COLUMNS($AM$1006:BB1006),$AM$1006:$BM$1006,0))&gt;=100000), " ",IF(INDEX($AM$2:$BM$1001,MATCH(ROWS($AF$2:AF717),$AF$2:$AF$1001,0),MATCH(COLUMNS($AM$1006:BB1006),$AM$1006:$BM$1006,0)), HYPERLINK("#",""), HYPERLINK(CONCATENATE("#metadata!", ADDRESS(INDEX($AH$2:$AH$1001,MATCH(ROWS($AF$2:AF717),$AF$2:$AF$1001,0),0), INDEX($AM$1004:$BM$1004,1,MATCH(COLUMNS($AM$1006:BB1006),$AM$1006:$BM$1006,0)))),"Fix")))</f>
        <v xml:space="preserve"> </v>
      </c>
      <c r="R717" s="4" t="str">
        <f ca="1">IF(OR(INDEX($AG$2:$AG$1001,MATCH(ROWS($AF$2:AF717),$AF$2:$AF$1001,0),1)&gt;=100000,INDEX($AM$1005:$BM$1005,1,MATCH(COLUMNS($AM$1006:BC1006),$AM$1006:$BM$1006,0))&gt;=100000), " ",IF(INDEX($AM$2:$BM$1001,MATCH(ROWS($AF$2:AF717),$AF$2:$AF$1001,0),MATCH(COLUMNS($AM$1006:BC1006),$AM$1006:$BM$1006,0)), HYPERLINK("#",""), HYPERLINK(CONCATENATE("#metadata!", ADDRESS(INDEX($AH$2:$AH$1001,MATCH(ROWS($AF$2:AF717),$AF$2:$AF$1001,0),0), INDEX($AM$1004:$BM$1004,1,MATCH(COLUMNS($AM$1006:BC1006),$AM$1006:$BM$1006,0)))),"Fix")))</f>
        <v xml:space="preserve"> </v>
      </c>
      <c r="S717" s="4" t="str">
        <f ca="1">IF(OR(INDEX($AG$2:$AG$1001,MATCH(ROWS($AF$2:AF717),$AF$2:$AF$1001,0),1)&gt;=100000,INDEX($AM$1005:$BM$1005,1,MATCH(COLUMNS($AM$1006:BD1006),$AM$1006:$BM$1006,0))&gt;=100000), " ",IF(INDEX($AM$2:$BM$1001,MATCH(ROWS($AF$2:AF717),$AF$2:$AF$1001,0),MATCH(COLUMNS($AM$1006:BD1006),$AM$1006:$BM$1006,0)), HYPERLINK("#",""), HYPERLINK(CONCATENATE("#metadata!", ADDRESS(INDEX($AH$2:$AH$1001,MATCH(ROWS($AF$2:AF717),$AF$2:$AF$1001,0),0), INDEX($AM$1004:$BM$1004,1,MATCH(COLUMNS($AM$1006:BD1006),$AM$1006:$BM$1006,0)))),"Fix")))</f>
        <v xml:space="preserve"> </v>
      </c>
      <c r="T717" s="4" t="str">
        <f ca="1">IF(OR(INDEX($AG$2:$AG$1001,MATCH(ROWS($AF$2:AF717),$AF$2:$AF$1001,0),1)&gt;=100000,INDEX($AM$1005:$BM$1005,1,MATCH(COLUMNS($AM$1006:BE1006),$AM$1006:$BM$1006,0))&gt;=100000), " ",IF(INDEX($AM$2:$BM$1001,MATCH(ROWS($AF$2:AF717),$AF$2:$AF$1001,0),MATCH(COLUMNS($AM$1006:BE1006),$AM$1006:$BM$1006,0)), HYPERLINK("#",""), HYPERLINK(CONCATENATE("#metadata!", ADDRESS(INDEX($AH$2:$AH$1001,MATCH(ROWS($AF$2:AF717),$AF$2:$AF$1001,0),0), INDEX($AM$1004:$BM$1004,1,MATCH(COLUMNS($AM$1006:BE1006),$AM$1006:$BM$1006,0)))),"Fix")))</f>
        <v xml:space="preserve"> </v>
      </c>
      <c r="U717" s="4" t="str">
        <f ca="1">IF(OR(INDEX($AG$2:$AG$1001,MATCH(ROWS($AF$2:AF717),$AF$2:$AF$1001,0),1)&gt;=100000,INDEX($AM$1005:$BM$1005,1,MATCH(COLUMNS($AM$1006:BF1006),$AM$1006:$BM$1006,0))&gt;=100000), " ",IF(INDEX($AM$2:$BM$1001,MATCH(ROWS($AF$2:AF717),$AF$2:$AF$1001,0),MATCH(COLUMNS($AM$1006:BF1006),$AM$1006:$BM$1006,0)), HYPERLINK("#",""), HYPERLINK(CONCATENATE("#metadata!", ADDRESS(INDEX($AH$2:$AH$1001,MATCH(ROWS($AF$2:AF717),$AF$2:$AF$1001,0),0), INDEX($AM$1004:$BM$1004,1,MATCH(COLUMNS($AM$1006:BF1006),$AM$1006:$BM$1006,0)))),"Fix")))</f>
        <v xml:space="preserve"> </v>
      </c>
      <c r="V717" s="4" t="str">
        <f ca="1">IF(OR(INDEX($AG$2:$AG$1001,MATCH(ROWS($AF$2:AF717),$AF$2:$AF$1001,0),1)&gt;=100000,INDEX($AM$1005:$BM$1005,1,MATCH(COLUMNS($AM$1006:BG1006),$AM$1006:$BM$1006,0))&gt;=100000), " ",IF(INDEX($AM$2:$BM$1001,MATCH(ROWS($AF$2:AF717),$AF$2:$AF$1001,0),MATCH(COLUMNS($AM$1006:BG1006),$AM$1006:$BM$1006,0)), HYPERLINK("#",""), HYPERLINK(CONCATENATE("#metadata!", ADDRESS(INDEX($AH$2:$AH$1001,MATCH(ROWS($AF$2:AF717),$AF$2:$AF$1001,0),0), INDEX($AM$1004:$BM$1004,1,MATCH(COLUMNS($AM$1006:BG1006),$AM$1006:$BM$1006,0)))),"Fix")))</f>
        <v xml:space="preserve"> </v>
      </c>
      <c r="W717" s="4" t="str">
        <f ca="1">IF(OR(INDEX($AG$2:$AG$1001,MATCH(ROWS($AF$2:AF717),$AF$2:$AF$1001,0),1)&gt;=100000,INDEX($AM$1005:$BM$1005,1,MATCH(COLUMNS($AM$1006:BH1006),$AM$1006:$BM$1006,0))&gt;=100000), " ",IF(INDEX($AM$2:$BM$1001,MATCH(ROWS($AF$2:AF717),$AF$2:$AF$1001,0),MATCH(COLUMNS($AM$1006:BH1006),$AM$1006:$BM$1006,0)), HYPERLINK("#",""), HYPERLINK(CONCATENATE("#metadata!", ADDRESS(INDEX($AH$2:$AH$1001,MATCH(ROWS($AF$2:AF717),$AF$2:$AF$1001,0),0), INDEX($AM$1004:$BM$1004,1,MATCH(COLUMNS($AM$1006:BH1006),$AM$1006:$BM$1006,0)))),"Fix")))</f>
        <v xml:space="preserve"> </v>
      </c>
      <c r="X717" s="4" t="str">
        <f ca="1">IF(OR(INDEX($AG$2:$AG$1001,MATCH(ROWS($AF$2:AF717),$AF$2:$AF$1001,0),1)&gt;=100000,INDEX($AM$1005:$BM$1005,1,MATCH(COLUMNS($AM$1006:BI1006),$AM$1006:$BM$1006,0))&gt;=100000), " ",IF(INDEX($AM$2:$BM$1001,MATCH(ROWS($AF$2:AF717),$AF$2:$AF$1001,0),MATCH(COLUMNS($AM$1006:BI1006),$AM$1006:$BM$1006,0)), HYPERLINK("#",""), HYPERLINK(CONCATENATE("#metadata!", ADDRESS(INDEX($AH$2:$AH$1001,MATCH(ROWS($AF$2:AF717),$AF$2:$AF$1001,0),0), INDEX($AM$1004:$BM$1004,1,MATCH(COLUMNS($AM$1006:BI1006),$AM$1006:$BM$1006,0)))),"Fix")))</f>
        <v xml:space="preserve"> </v>
      </c>
      <c r="Y717" s="4" t="str">
        <f ca="1">IF(OR(INDEX($AG$2:$AG$1001,MATCH(ROWS($AF$2:AF717),$AF$2:$AF$1001,0),1)&gt;=100000,INDEX($AM$1005:$BM$1005,1,MATCH(COLUMNS($AM$1006:BJ1006),$AM$1006:$BM$1006,0))&gt;=100000), " ",IF(INDEX($AM$2:$BM$1001,MATCH(ROWS($AF$2:AF717),$AF$2:$AF$1001,0),MATCH(COLUMNS($AM$1006:BJ1006),$AM$1006:$BM$1006,0)), HYPERLINK("#",""), HYPERLINK(CONCATENATE("#metadata!", ADDRESS(INDEX($AH$2:$AH$1001,MATCH(ROWS($AF$2:AF717),$AF$2:$AF$1001,0),0), INDEX($AM$1004:$BM$1004,1,MATCH(COLUMNS($AM$1006:BJ1006),$AM$1006:$BM$1006,0)))),"Fix")))</f>
        <v xml:space="preserve"> </v>
      </c>
      <c r="Z717" s="4" t="str">
        <f ca="1">IF(OR(INDEX($AG$2:$AG$1001,MATCH(ROWS($AF$2:AF717),$AF$2:$AF$1001,0),1)&gt;=100000,INDEX($AM$1005:$BM$1005,1,MATCH(COLUMNS($AM$1006:BK1006),$AM$1006:$BM$1006,0))&gt;=100000), " ",IF(INDEX($AM$2:$BM$1001,MATCH(ROWS($AF$2:AF717),$AF$2:$AF$1001,0),MATCH(COLUMNS($AM$1006:BK1006),$AM$1006:$BM$1006,0)), HYPERLINK("#",""), HYPERLINK(CONCATENATE("#metadata!", ADDRESS(INDEX($AH$2:$AH$1001,MATCH(ROWS($AF$2:AF717),$AF$2:$AF$1001,0),0), INDEX($AM$1004:$BM$1004,1,MATCH(COLUMNS($AM$1006:BK1006),$AM$1006:$BM$1006,0)))),"Fix")))</f>
        <v xml:space="preserve"> </v>
      </c>
      <c r="AA717" s="4" t="str">
        <f ca="1">IF(OR(INDEX($AG$2:$AG$1001,MATCH(ROWS($AF$2:AF717),$AF$2:$AF$1001,0),1)&gt;=100000,INDEX($AM$1005:$BM$1005,1,MATCH(COLUMNS($AM$1006:BL1006),$AM$1006:$BM$1006,0))&gt;=100000), " ",IF(INDEX($AM$2:$BM$1001,MATCH(ROWS($AF$2:AF717),$AF$2:$AF$1001,0),MATCH(COLUMNS($AM$1006:BL1006),$AM$1006:$BM$1006,0)), HYPERLINK("#",""), HYPERLINK(CONCATENATE("#metadata!", ADDRESS(INDEX($AH$2:$AH$1001,MATCH(ROWS($AF$2:AF717),$AF$2:$AF$1001,0),0), INDEX($AM$1004:$BM$1004,1,MATCH(COLUMNS($AM$1006:BL1006),$AM$1006:$BM$1006,0)))),"Fix")))</f>
        <v xml:space="preserve"> </v>
      </c>
      <c r="AB717" s="4" t="str">
        <f ca="1">IF(OR(INDEX($AG$2:$AG$1001,MATCH(ROWS($AF$2:AF717),$AF$2:$AF$1001,0),1)&gt;=100000,INDEX($AM$1005:$BM$1005,1,MATCH(COLUMNS($AM$1006:BM1006),$AM$1006:$BM$1006,0))&gt;=100000), " ",IF(INDEX($AM$2:$BM$1001,MATCH(ROWS($AF$2:AF717),$AF$2:$AF$1001,0),MATCH(COLUMNS($AM$1006:BM1006),$AM$1006:$BM$1006,0)), HYPERLINK("#",""), HYPERLINK(CONCATENATE("#metadata!", ADDRESS(INDEX($AH$2:$AH$1001,MATCH(ROWS($AF$2:AF717),$AF$2:$AF$1001,0),0), INDEX($AM$1004:$BM$1004,1,MATCH(COLUMNS($AM$1006:BM1006),$AM$1006:$BM$1006,0)))),"Fix")))</f>
        <v xml:space="preserve"> </v>
      </c>
      <c r="AF717">
        <v>716</v>
      </c>
      <c r="AG717">
        <v>100717</v>
      </c>
      <c r="AH717">
        <v>717</v>
      </c>
      <c r="AI717" t="b">
        <f t="shared" si="11"/>
        <v>1</v>
      </c>
      <c r="AJ717" t="b">
        <f>COUNTBLANK(metadata!B717:AB717)=COLUMNS(metadata!B717:AB717)</f>
        <v>1</v>
      </c>
      <c r="AK717" t="str">
        <v/>
      </c>
      <c r="AM717" t="b">
        <f ca="1">AND(IF(metadata!B717="",FALSE,TRUE),COUNTIF(metadata!B:B, metadata!B717) = 1,NOT(ISERROR(SUMPRODUCT(SEARCH(MID(metadata!B717,ROW(INDIRECT("1:"&amp;LEN(metadata!B717))), 1),"0123456789abcdefghijklmnopqrstuvwxyzABCDEFGHIJKLMNOPQRSTUVWXYZ.")))))</f>
        <v>0</v>
      </c>
      <c r="AN717" t="b">
        <f ca="1">OR(AND(IF(metadata!C717="",FALSE,TRUE),OR(EXACT(metadata!C717,"missing: not collected"),EXACT(metadata!C717,"missing: not provided"),EXACT(metadata!C717,"missing: restricted access"))),AND(IF(metadata!C717="",FALSE,TRUE),AND(AND(IFERROR(INT(LEFT(metadata!C717,4))&gt;1900,FALSE),IFERROR(INT(LEFT(metadata!C717,4))&lt;=YEAR(NOW()),FALSE)), OR(MID(metadata!C717,5,1)="", AND(AND(MID(metadata!C717,5,1)="-",IFERROR(INT(MID(metadata!C717,6,1))&gt;=0,FALSE),IFERROR(INT(MID(metadata!C717,6,1))&lt;=1,FALSE),NOT(MID(metadata!C717,7,1)=""),IFERROR(INT(MID(metadata!C717,6,2))&gt;=1,FALSE),IFERROR(INT(MID(metadata!C717,6,2))&lt;=12,FALSE)), OR(MID(metadata!C717,8,1)="", AND(AND(MID(metadata!C717,8,1)="-",IFERROR(INT(MID(metadata!C717,9,1))&gt;=0,FALSE),IFERROR(INT(MID(metadata!C717,9,1))&lt;=3,FALSE),NOT(MID(metadata!C717,10,1)=""),IFERROR(INT(MID(metadata!C717,9,2))&gt;=1,FALSE),IFERROR(INT(MID(metadata!C717,9,2))&lt;=31,FALSE)), OR(MID(metadata!C717,11,1)="", AND(AND(MID(metadata!C717,11,1)=" ",IFERROR(INT(MID(metadata!C717,12,1))&gt;=0,FALSE),IFERROR(INT(MID(metadata!C717,12,1))&lt;=2,FALSE),NOT(MID(metadata!C717,13,1)=""),IFERROR(INT(MID(metadata!C717,12,2))&gt;=0,FALSE),IFERROR(INT(MID(metadata!C717,12,2))&lt;=23,FALSE)), OR(MID(metadata!C717,14,1)="", AND(AND(MID(metadata!C717,14,1)=":",IFERROR(INT(MID(metadata!C717,15,1))&gt;=0,FALSE),IFERROR(INT(MID(metadata!C717,15,1))&lt;=5,FALSE),NOT(MID(metadata!C717,16,1)=""),IFERROR(INT(MID(metadata!C717,15,2))&gt;=0,FALSE),IFERROR(INT(MID(metadata!C717,15,2))&lt;=59,FALSE)), OR(MID(metadata!C717,17,1)="", AND(AND(MID(metadata!C717,17,1)=":",IFERROR(INT(MID(metadata!C717,18,1))&gt;=0,FALSE),IFERROR(INT(MID(metadata!C717,18,1))&lt;=5,FALSE),NOT(MID(metadata!C717,19,1)=""),IFERROR(INT(MID(metadata!C717,18,2))&gt;=0,FALSE),IFERROR(INT(MID(metadata!C717,18,2))&lt;=59,FALSE)), LEN(metadata!C717)&lt;=19)))))))))))))</f>
        <v>0</v>
      </c>
      <c r="AO717" t="b">
        <f>AND(IF(metadata!D717="",FALSE,TRUE),EXACT(metadata!D717,"Not applicable"))</f>
        <v>0</v>
      </c>
      <c r="AP717" t="b">
        <f>IF(metadata!E717="",FALSE,TRUE)</f>
        <v>0</v>
      </c>
      <c r="AQ717" t="b">
        <f>OR(AND(IF(metadata!F717="",FALSE,TRUE),OR(EXACT(metadata!F717,"missing: not collected"),EXACT(metadata!F717,"missing: not provided"))),AND(IF(metadata!F717="",FALSE,TRUE),OR(EXACT(metadata!F717,"TRUE"),EXACT(metadata!F717,"FALSE"))))</f>
        <v>0</v>
      </c>
      <c r="AR717" t="b">
        <f>OR(AND(IF(metadata!G717="",FALSE,TRUE),OR(EXACT(metadata!G717,"missing: not collected"),EXACT(metadata!G717,"missing: not provided"),EXACT(metadata!G717,"missing: restricted access"))),AND(IF(metadata!G717="",FALSE,ISNUMBER(VALUE(metadata!G717))),metadata!G717&gt;=-413))</f>
        <v>0</v>
      </c>
      <c r="AS717" t="b">
        <f>AND(IF(metadata!H717="",FALSE,TRUE),EXACT(metadata!H717,"meters"))</f>
        <v>0</v>
      </c>
      <c r="AT717" t="b">
        <f>AND(IF(metadata!I717="",FALSE,TRUE),OR(EXACT(metadata!I717,"Host-associated"),EXACT(metadata!I717,"Free-living")))</f>
        <v>0</v>
      </c>
      <c r="AU717" t="b">
        <f>AND(IF(metadata!J717="",FALSE,TRUE),OR(EXACT(metadata!J717,"Animal"),EXACT(metadata!J717,"Fungus"),EXACT(metadata!J717,"Plant"),EXACT(metadata!J717,"Saline"),EXACT(metadata!J717,"Non-saline")))</f>
        <v>0</v>
      </c>
      <c r="AV717" t="b">
        <f>AND(IF(metadata!K717="",FALSE,TRUE),OR(EXACT(metadata!K717,"Plant secretion"),EXACT(metadata!K717,"Plant rhizosphere"),EXACT(metadata!K717,"Plant surface"),EXACT(metadata!K717,"Plant corpus"),EXACT(metadata!K717,"Fungus surface"),EXACT(metadata!K717,"Fungus corpus"),EXACT(metadata!K717,"Animal surface"),EXACT(metadata!K717,"Animal proximal gut"),EXACT(metadata!K717,"Animal corpus"),EXACT(metadata!K717,"Animal distal gut"),EXACT(metadata!K717,"Animal secretion"),EXACT(metadata!K717,"Sub-surface (non-saline)"),EXACT(metadata!K717,"Surface (non-saline)"),EXACT(metadata!K717,"Water (non-saline)"),EXACT(metadata!K717,"Soil (non-saline)"),EXACT(metadata!K717,"Aerosol (non-saline)"),EXACT(metadata!K717,"Sediment (non-saline)"),EXACT(metadata!K717,"Surface (saline)"),EXACT(metadata!K717,"Water (saline)"),EXACT(metadata!K717,"Hypersaline (saline)"),EXACT(metadata!K717,"Aerosol (saline)"),EXACT(metadata!K717,"Sediment (saline)")))</f>
        <v>0</v>
      </c>
      <c r="AW717" t="b">
        <f>IF(metadata!L717="",FALSE,TRUE)</f>
        <v>0</v>
      </c>
      <c r="AX717" t="b">
        <f>IF(metadata!M717="",FALSE,TRUE)</f>
        <v>0</v>
      </c>
      <c r="AY717" t="b">
        <f>IF(metadata!N717="",FALSE,TRUE)</f>
        <v>0</v>
      </c>
      <c r="AZ717" t="b">
        <f>OR(AND(IF(metadata!O717="",FALSE,TRUE),OR(EXACT(metadata!O717,"missing: not collected"),EXACT(metadata!O717,"missing: not provided"),EXACT(metadata!O717,"missing: restricted access"))),AND(IF(metadata!O717="",FALSE,TRUE),OR(EXACT(metadata!O717,"air"),EXACT(metadata!O717,"built environment"),EXACT(metadata!O717,"host-associated"),EXACT(metadata!O717,"human-associated"),EXACT(metadata!O717,"human-skin"),EXACT(metadata!O717,"human-oral"),EXACT(metadata!O717,"human-gut"),EXACT(metadata!O717,"human-vaginal"),EXACT(metadata!O717,"microbial mat/biofilm"),EXACT(metadata!O717,"misc environment"),EXACT(metadata!O717,"plant-associated"),EXACT(metadata!O717,"sediment"),EXACT(metadata!O717,"soil"),EXACT(metadata!O717,"wastewater/sludge"),EXACT(metadata!O717,"water"))))</f>
        <v>0</v>
      </c>
      <c r="BA717" t="b">
        <f>IF(metadata!P717="",FALSE,TRUE)</f>
        <v>0</v>
      </c>
      <c r="BB717" t="b">
        <f>IF(metadata!Q717="",FALSE,TRUE)</f>
        <v>0</v>
      </c>
      <c r="BC717" t="b">
        <f>OR(AND(IF(metadata!R717="",FALSE,TRUE),OR(EXACT(metadata!R717,"missing: not collected"),EXACT(metadata!R717,"missing: not provided"),EXACT(metadata!R717,"missing: restricted access"))),AND(IF(metadata!R717="",FALSE,ISNUMBER(VALUE(metadata!R717))),metadata!R717&gt;=-90,metadata!R717&lt;=90))</f>
        <v>0</v>
      </c>
      <c r="BD717" t="b">
        <f>AND(IF(metadata!S717="",FALSE,TRUE),EXACT(metadata!S717,"Decimal degrees"))</f>
        <v>0</v>
      </c>
      <c r="BE717" t="b">
        <f>OR(AND(IF(metadata!T717="",FALSE,TRUE),OR(EXACT(metadata!T717,"missing: not collected"),EXACT(metadata!T717,"missing: not provided"),EXACT(metadata!T717,"missing: restricted access"))),AND(IF(metadata!T717="",FALSE,ISNUMBER(VALUE(metadata!T717))),metadata!T717&gt;=-180,metadata!T717&lt;=180))</f>
        <v>0</v>
      </c>
      <c r="BF717" t="b">
        <f>AND(IF(metadata!U717="",FALSE,TRUE),EXACT(metadata!U717,"Decimal degrees"))</f>
        <v>0</v>
      </c>
      <c r="BG717" t="b">
        <f>IF(metadata!V717="",FALSE,TRUE)</f>
        <v>0</v>
      </c>
      <c r="BH717" t="b">
        <f>OR(AND(IF(metadata!W717="",FALSE,TRUE),OR(EXACT(metadata!W717,"missing: not collected"),EXACT(metadata!W717,"missing: not provided"),EXACT(metadata!W717,"missing: restricted access"))),AND(IF(metadata!W717="",FALSE,TRUE),OR(EXACT(metadata!W717,"TRUE"),EXACT(metadata!W717,"FALSE"))))</f>
        <v>0</v>
      </c>
      <c r="BI717" t="b">
        <f>AND(IF(metadata!X717="",FALSE,TRUE),EXACT(metadata!X717,"other"))</f>
        <v>0</v>
      </c>
      <c r="BJ717" t="b">
        <f>IF(metadata!Y717="",FALSE,TRUE)</f>
        <v>0</v>
      </c>
      <c r="BK717" t="b">
        <f>OR(AND(IF(metadata!Z717="",FALSE,TRUE),OR(EXACT(metadata!Z717,"missing: not collected"),EXACT(metadata!Z717,"missing: not provided"))),AND(IF(metadata!Z717="",FALSE,IF(ISERROR(INT(metadata!Z717)),FALSE,INT(metadata!Z717)=metadata!Z717)),metadata!Z717&gt;0))</f>
        <v>0</v>
      </c>
      <c r="BL717" t="b">
        <f>AND(IF(metadata!AA717="",FALSE,TRUE),EXACT(metadata!AA717,"Not applicable"))</f>
        <v>0</v>
      </c>
      <c r="BM717" t="b">
        <f>IF(metadata!AB717="",FALSE,TRUE)</f>
        <v>0</v>
      </c>
    </row>
    <row r="718" spans="1:65" x14ac:dyDescent="0.2">
      <c r="A718" s="5" t="str">
        <f ca="1">IF(B718=" "," ",HYPERLINK(CONCATENATE("#metadata!",ADDRESS(INDEX($AH$2:$AH$1001,MATCH(ROWS($AF$2:AF718),$AF$2:$AF$1001,0),0),1)),INDEX($AK$2:$AK$1001,MATCH(ROWS($AF$2:AF718),$AF$2:$AF$1001,0),0)))</f>
        <v xml:space="preserve"> </v>
      </c>
      <c r="B718" s="4" t="str">
        <f ca="1">IF(OR(INDEX($AG$2:$AG$1001,MATCH(ROWS($AF$2:AF718),$AF$2:$AF$1001,0),1)&gt;=100000,INDEX($AM$1005:$BM$1005,1,MATCH(COLUMNS($AM$1006:AM1006),$AM$1006:$BM$1006,0))&gt;=100000), " ",IF(INDEX($AM$2:$BM$1001,MATCH(ROWS($AF$2:AF718),$AF$2:$AF$1001,0),MATCH(COLUMNS($AM$1006:AM1006),$AM$1006:$BM$1006,0)), HYPERLINK("#",""), HYPERLINK(CONCATENATE("#metadata!", ADDRESS(INDEX($AH$2:$AH$1001,MATCH(ROWS($AF$2:AF718),$AF$2:$AF$1001,0),0), INDEX($AM$1004:$BM$1004,1,MATCH(COLUMNS($AM$1006:AM1006),$AM$1006:$BM$1006,0)))),"Fix")))</f>
        <v xml:space="preserve"> </v>
      </c>
      <c r="C718" s="4" t="str">
        <f ca="1">IF(OR(INDEX($AG$2:$AG$1001,MATCH(ROWS($AF$2:AF718),$AF$2:$AF$1001,0),1)&gt;=100000,INDEX($AM$1005:$BM$1005,1,MATCH(COLUMNS($AM$1006:AN1006),$AM$1006:$BM$1006,0))&gt;=100000), " ",IF(INDEX($AM$2:$BM$1001,MATCH(ROWS($AF$2:AF718),$AF$2:$AF$1001,0),MATCH(COLUMNS($AM$1006:AN1006),$AM$1006:$BM$1006,0)), HYPERLINK("#",""), HYPERLINK(CONCATENATE("#metadata!", ADDRESS(INDEX($AH$2:$AH$1001,MATCH(ROWS($AF$2:AF718),$AF$2:$AF$1001,0),0), INDEX($AM$1004:$BM$1004,1,MATCH(COLUMNS($AM$1006:AN1006),$AM$1006:$BM$1006,0)))),"Fix")))</f>
        <v xml:space="preserve"> </v>
      </c>
      <c r="D718" s="4" t="str">
        <f ca="1">IF(OR(INDEX($AG$2:$AG$1001,MATCH(ROWS($AF$2:AF718),$AF$2:$AF$1001,0),1)&gt;=100000,INDEX($AM$1005:$BM$1005,1,MATCH(COLUMNS($AM$1006:AO1006),$AM$1006:$BM$1006,0))&gt;=100000), " ",IF(INDEX($AM$2:$BM$1001,MATCH(ROWS($AF$2:AF718),$AF$2:$AF$1001,0),MATCH(COLUMNS($AM$1006:AO1006),$AM$1006:$BM$1006,0)), HYPERLINK("#",""), HYPERLINK(CONCATENATE("#metadata!", ADDRESS(INDEX($AH$2:$AH$1001,MATCH(ROWS($AF$2:AF718),$AF$2:$AF$1001,0),0), INDEX($AM$1004:$BM$1004,1,MATCH(COLUMNS($AM$1006:AO1006),$AM$1006:$BM$1006,0)))),"Fix")))</f>
        <v xml:space="preserve"> </v>
      </c>
      <c r="E718" s="4" t="str">
        <f ca="1">IF(OR(INDEX($AG$2:$AG$1001,MATCH(ROWS($AF$2:AF718),$AF$2:$AF$1001,0),1)&gt;=100000,INDEX($AM$1005:$BM$1005,1,MATCH(COLUMNS($AM$1006:AP1006),$AM$1006:$BM$1006,0))&gt;=100000), " ",IF(INDEX($AM$2:$BM$1001,MATCH(ROWS($AF$2:AF718),$AF$2:$AF$1001,0),MATCH(COLUMNS($AM$1006:AP1006),$AM$1006:$BM$1006,0)), HYPERLINK("#",""), HYPERLINK(CONCATENATE("#metadata!", ADDRESS(INDEX($AH$2:$AH$1001,MATCH(ROWS($AF$2:AF718),$AF$2:$AF$1001,0),0), INDEX($AM$1004:$BM$1004,1,MATCH(COLUMNS($AM$1006:AP1006),$AM$1006:$BM$1006,0)))),"Fix")))</f>
        <v xml:space="preserve"> </v>
      </c>
      <c r="F718" s="4" t="str">
        <f ca="1">IF(OR(INDEX($AG$2:$AG$1001,MATCH(ROWS($AF$2:AF718),$AF$2:$AF$1001,0),1)&gt;=100000,INDEX($AM$1005:$BM$1005,1,MATCH(COLUMNS($AM$1006:AQ1006),$AM$1006:$BM$1006,0))&gt;=100000), " ",IF(INDEX($AM$2:$BM$1001,MATCH(ROWS($AF$2:AF718),$AF$2:$AF$1001,0),MATCH(COLUMNS($AM$1006:AQ1006),$AM$1006:$BM$1006,0)), HYPERLINK("#",""), HYPERLINK(CONCATENATE("#metadata!", ADDRESS(INDEX($AH$2:$AH$1001,MATCH(ROWS($AF$2:AF718),$AF$2:$AF$1001,0),0), INDEX($AM$1004:$BM$1004,1,MATCH(COLUMNS($AM$1006:AQ1006),$AM$1006:$BM$1006,0)))),"Fix")))</f>
        <v xml:space="preserve"> </v>
      </c>
      <c r="G718" s="4" t="str">
        <f ca="1">IF(OR(INDEX($AG$2:$AG$1001,MATCH(ROWS($AF$2:AF718),$AF$2:$AF$1001,0),1)&gt;=100000,INDEX($AM$1005:$BM$1005,1,MATCH(COLUMNS($AM$1006:AR1006),$AM$1006:$BM$1006,0))&gt;=100000), " ",IF(INDEX($AM$2:$BM$1001,MATCH(ROWS($AF$2:AF718),$AF$2:$AF$1001,0),MATCH(COLUMNS($AM$1006:AR1006),$AM$1006:$BM$1006,0)), HYPERLINK("#",""), HYPERLINK(CONCATENATE("#metadata!", ADDRESS(INDEX($AH$2:$AH$1001,MATCH(ROWS($AF$2:AF718),$AF$2:$AF$1001,0),0), INDEX($AM$1004:$BM$1004,1,MATCH(COLUMNS($AM$1006:AR1006),$AM$1006:$BM$1006,0)))),"Fix")))</f>
        <v xml:space="preserve"> </v>
      </c>
      <c r="H718" s="4" t="str">
        <f ca="1">IF(OR(INDEX($AG$2:$AG$1001,MATCH(ROWS($AF$2:AF718),$AF$2:$AF$1001,0),1)&gt;=100000,INDEX($AM$1005:$BM$1005,1,MATCH(COLUMNS($AM$1006:AS1006),$AM$1006:$BM$1006,0))&gt;=100000), " ",IF(INDEX($AM$2:$BM$1001,MATCH(ROWS($AF$2:AF718),$AF$2:$AF$1001,0),MATCH(COLUMNS($AM$1006:AS1006),$AM$1006:$BM$1006,0)), HYPERLINK("#",""), HYPERLINK(CONCATENATE("#metadata!", ADDRESS(INDEX($AH$2:$AH$1001,MATCH(ROWS($AF$2:AF718),$AF$2:$AF$1001,0),0), INDEX($AM$1004:$BM$1004,1,MATCH(COLUMNS($AM$1006:AS1006),$AM$1006:$BM$1006,0)))),"Fix")))</f>
        <v xml:space="preserve"> </v>
      </c>
      <c r="I718" s="4" t="str">
        <f ca="1">IF(OR(INDEX($AG$2:$AG$1001,MATCH(ROWS($AF$2:AF718),$AF$2:$AF$1001,0),1)&gt;=100000,INDEX($AM$1005:$BM$1005,1,MATCH(COLUMNS($AM$1006:AT1006),$AM$1006:$BM$1006,0))&gt;=100000), " ",IF(INDEX($AM$2:$BM$1001,MATCH(ROWS($AF$2:AF718),$AF$2:$AF$1001,0),MATCH(COLUMNS($AM$1006:AT1006),$AM$1006:$BM$1006,0)), HYPERLINK("#",""), HYPERLINK(CONCATENATE("#metadata!", ADDRESS(INDEX($AH$2:$AH$1001,MATCH(ROWS($AF$2:AF718),$AF$2:$AF$1001,0),0), INDEX($AM$1004:$BM$1004,1,MATCH(COLUMNS($AM$1006:AT1006),$AM$1006:$BM$1006,0)))),"Fix")))</f>
        <v xml:space="preserve"> </v>
      </c>
      <c r="J718" s="4" t="str">
        <f ca="1">IF(OR(INDEX($AG$2:$AG$1001,MATCH(ROWS($AF$2:AF718),$AF$2:$AF$1001,0),1)&gt;=100000,INDEX($AM$1005:$BM$1005,1,MATCH(COLUMNS($AM$1006:AU1006),$AM$1006:$BM$1006,0))&gt;=100000), " ",IF(INDEX($AM$2:$BM$1001,MATCH(ROWS($AF$2:AF718),$AF$2:$AF$1001,0),MATCH(COLUMNS($AM$1006:AU1006),$AM$1006:$BM$1006,0)), HYPERLINK("#",""), HYPERLINK(CONCATENATE("#metadata!", ADDRESS(INDEX($AH$2:$AH$1001,MATCH(ROWS($AF$2:AF718),$AF$2:$AF$1001,0),0), INDEX($AM$1004:$BM$1004,1,MATCH(COLUMNS($AM$1006:AU1006),$AM$1006:$BM$1006,0)))),"Fix")))</f>
        <v xml:space="preserve"> </v>
      </c>
      <c r="K718" s="4" t="str">
        <f ca="1">IF(OR(INDEX($AG$2:$AG$1001,MATCH(ROWS($AF$2:AF718),$AF$2:$AF$1001,0),1)&gt;=100000,INDEX($AM$1005:$BM$1005,1,MATCH(COLUMNS($AM$1006:AV1006),$AM$1006:$BM$1006,0))&gt;=100000), " ",IF(INDEX($AM$2:$BM$1001,MATCH(ROWS($AF$2:AF718),$AF$2:$AF$1001,0),MATCH(COLUMNS($AM$1006:AV1006),$AM$1006:$BM$1006,0)), HYPERLINK("#",""), HYPERLINK(CONCATENATE("#metadata!", ADDRESS(INDEX($AH$2:$AH$1001,MATCH(ROWS($AF$2:AF718),$AF$2:$AF$1001,0),0), INDEX($AM$1004:$BM$1004,1,MATCH(COLUMNS($AM$1006:AV1006),$AM$1006:$BM$1006,0)))),"Fix")))</f>
        <v xml:space="preserve"> </v>
      </c>
      <c r="L718" s="4" t="str">
        <f ca="1">IF(OR(INDEX($AG$2:$AG$1001,MATCH(ROWS($AF$2:AF718),$AF$2:$AF$1001,0),1)&gt;=100000,INDEX($AM$1005:$BM$1005,1,MATCH(COLUMNS($AM$1006:AW1006),$AM$1006:$BM$1006,0))&gt;=100000), " ",IF(INDEX($AM$2:$BM$1001,MATCH(ROWS($AF$2:AF718),$AF$2:$AF$1001,0),MATCH(COLUMNS($AM$1006:AW1006),$AM$1006:$BM$1006,0)), HYPERLINK("#",""), HYPERLINK(CONCATENATE("#metadata!", ADDRESS(INDEX($AH$2:$AH$1001,MATCH(ROWS($AF$2:AF718),$AF$2:$AF$1001,0),0), INDEX($AM$1004:$BM$1004,1,MATCH(COLUMNS($AM$1006:AW1006),$AM$1006:$BM$1006,0)))),"Fix")))</f>
        <v xml:space="preserve"> </v>
      </c>
      <c r="M718" s="4" t="str">
        <f ca="1">IF(OR(INDEX($AG$2:$AG$1001,MATCH(ROWS($AF$2:AF718),$AF$2:$AF$1001,0),1)&gt;=100000,INDEX($AM$1005:$BM$1005,1,MATCH(COLUMNS($AM$1006:AX1006),$AM$1006:$BM$1006,0))&gt;=100000), " ",IF(INDEX($AM$2:$BM$1001,MATCH(ROWS($AF$2:AF718),$AF$2:$AF$1001,0),MATCH(COLUMNS($AM$1006:AX1006),$AM$1006:$BM$1006,0)), HYPERLINK("#",""), HYPERLINK(CONCATENATE("#metadata!", ADDRESS(INDEX($AH$2:$AH$1001,MATCH(ROWS($AF$2:AF718),$AF$2:$AF$1001,0),0), INDEX($AM$1004:$BM$1004,1,MATCH(COLUMNS($AM$1006:AX1006),$AM$1006:$BM$1006,0)))),"Fix")))</f>
        <v xml:space="preserve"> </v>
      </c>
      <c r="N718" s="4" t="str">
        <f ca="1">IF(OR(INDEX($AG$2:$AG$1001,MATCH(ROWS($AF$2:AF718),$AF$2:$AF$1001,0),1)&gt;=100000,INDEX($AM$1005:$BM$1005,1,MATCH(COLUMNS($AM$1006:AY1006),$AM$1006:$BM$1006,0))&gt;=100000), " ",IF(INDEX($AM$2:$BM$1001,MATCH(ROWS($AF$2:AF718),$AF$2:$AF$1001,0),MATCH(COLUMNS($AM$1006:AY1006),$AM$1006:$BM$1006,0)), HYPERLINK("#",""), HYPERLINK(CONCATENATE("#metadata!", ADDRESS(INDEX($AH$2:$AH$1001,MATCH(ROWS($AF$2:AF718),$AF$2:$AF$1001,0),0), INDEX($AM$1004:$BM$1004,1,MATCH(COLUMNS($AM$1006:AY1006),$AM$1006:$BM$1006,0)))),"Fix")))</f>
        <v xml:space="preserve"> </v>
      </c>
      <c r="O718" s="4" t="str">
        <f ca="1">IF(OR(INDEX($AG$2:$AG$1001,MATCH(ROWS($AF$2:AF718),$AF$2:$AF$1001,0),1)&gt;=100000,INDEX($AM$1005:$BM$1005,1,MATCH(COLUMNS($AM$1006:AZ1006),$AM$1006:$BM$1006,0))&gt;=100000), " ",IF(INDEX($AM$2:$BM$1001,MATCH(ROWS($AF$2:AF718),$AF$2:$AF$1001,0),MATCH(COLUMNS($AM$1006:AZ1006),$AM$1006:$BM$1006,0)), HYPERLINK("#",""), HYPERLINK(CONCATENATE("#metadata!", ADDRESS(INDEX($AH$2:$AH$1001,MATCH(ROWS($AF$2:AF718),$AF$2:$AF$1001,0),0), INDEX($AM$1004:$BM$1004,1,MATCH(COLUMNS($AM$1006:AZ1006),$AM$1006:$BM$1006,0)))),"Fix")))</f>
        <v xml:space="preserve"> </v>
      </c>
      <c r="P718" s="4" t="str">
        <f ca="1">IF(OR(INDEX($AG$2:$AG$1001,MATCH(ROWS($AF$2:AF718),$AF$2:$AF$1001,0),1)&gt;=100000,INDEX($AM$1005:$BM$1005,1,MATCH(COLUMNS($AM$1006:BA1006),$AM$1006:$BM$1006,0))&gt;=100000), " ",IF(INDEX($AM$2:$BM$1001,MATCH(ROWS($AF$2:AF718),$AF$2:$AF$1001,0),MATCH(COLUMNS($AM$1006:BA1006),$AM$1006:$BM$1006,0)), HYPERLINK("#",""), HYPERLINK(CONCATENATE("#metadata!", ADDRESS(INDEX($AH$2:$AH$1001,MATCH(ROWS($AF$2:AF718),$AF$2:$AF$1001,0),0), INDEX($AM$1004:$BM$1004,1,MATCH(COLUMNS($AM$1006:BA1006),$AM$1006:$BM$1006,0)))),"Fix")))</f>
        <v xml:space="preserve"> </v>
      </c>
      <c r="Q718" s="4" t="str">
        <f ca="1">IF(OR(INDEX($AG$2:$AG$1001,MATCH(ROWS($AF$2:AF718),$AF$2:$AF$1001,0),1)&gt;=100000,INDEX($AM$1005:$BM$1005,1,MATCH(COLUMNS($AM$1006:BB1006),$AM$1006:$BM$1006,0))&gt;=100000), " ",IF(INDEX($AM$2:$BM$1001,MATCH(ROWS($AF$2:AF718),$AF$2:$AF$1001,0),MATCH(COLUMNS($AM$1006:BB1006),$AM$1006:$BM$1006,0)), HYPERLINK("#",""), HYPERLINK(CONCATENATE("#metadata!", ADDRESS(INDEX($AH$2:$AH$1001,MATCH(ROWS($AF$2:AF718),$AF$2:$AF$1001,0),0), INDEX($AM$1004:$BM$1004,1,MATCH(COLUMNS($AM$1006:BB1006),$AM$1006:$BM$1006,0)))),"Fix")))</f>
        <v xml:space="preserve"> </v>
      </c>
      <c r="R718" s="4" t="str">
        <f ca="1">IF(OR(INDEX($AG$2:$AG$1001,MATCH(ROWS($AF$2:AF718),$AF$2:$AF$1001,0),1)&gt;=100000,INDEX($AM$1005:$BM$1005,1,MATCH(COLUMNS($AM$1006:BC1006),$AM$1006:$BM$1006,0))&gt;=100000), " ",IF(INDEX($AM$2:$BM$1001,MATCH(ROWS($AF$2:AF718),$AF$2:$AF$1001,0),MATCH(COLUMNS($AM$1006:BC1006),$AM$1006:$BM$1006,0)), HYPERLINK("#",""), HYPERLINK(CONCATENATE("#metadata!", ADDRESS(INDEX($AH$2:$AH$1001,MATCH(ROWS($AF$2:AF718),$AF$2:$AF$1001,0),0), INDEX($AM$1004:$BM$1004,1,MATCH(COLUMNS($AM$1006:BC1006),$AM$1006:$BM$1006,0)))),"Fix")))</f>
        <v xml:space="preserve"> </v>
      </c>
      <c r="S718" s="4" t="str">
        <f ca="1">IF(OR(INDEX($AG$2:$AG$1001,MATCH(ROWS($AF$2:AF718),$AF$2:$AF$1001,0),1)&gt;=100000,INDEX($AM$1005:$BM$1005,1,MATCH(COLUMNS($AM$1006:BD1006),$AM$1006:$BM$1006,0))&gt;=100000), " ",IF(INDEX($AM$2:$BM$1001,MATCH(ROWS($AF$2:AF718),$AF$2:$AF$1001,0),MATCH(COLUMNS($AM$1006:BD1006),$AM$1006:$BM$1006,0)), HYPERLINK("#",""), HYPERLINK(CONCATENATE("#metadata!", ADDRESS(INDEX($AH$2:$AH$1001,MATCH(ROWS($AF$2:AF718),$AF$2:$AF$1001,0),0), INDEX($AM$1004:$BM$1004,1,MATCH(COLUMNS($AM$1006:BD1006),$AM$1006:$BM$1006,0)))),"Fix")))</f>
        <v xml:space="preserve"> </v>
      </c>
      <c r="T718" s="4" t="str">
        <f ca="1">IF(OR(INDEX($AG$2:$AG$1001,MATCH(ROWS($AF$2:AF718),$AF$2:$AF$1001,0),1)&gt;=100000,INDEX($AM$1005:$BM$1005,1,MATCH(COLUMNS($AM$1006:BE1006),$AM$1006:$BM$1006,0))&gt;=100000), " ",IF(INDEX($AM$2:$BM$1001,MATCH(ROWS($AF$2:AF718),$AF$2:$AF$1001,0),MATCH(COLUMNS($AM$1006:BE1006),$AM$1006:$BM$1006,0)), HYPERLINK("#",""), HYPERLINK(CONCATENATE("#metadata!", ADDRESS(INDEX($AH$2:$AH$1001,MATCH(ROWS($AF$2:AF718),$AF$2:$AF$1001,0),0), INDEX($AM$1004:$BM$1004,1,MATCH(COLUMNS($AM$1006:BE1006),$AM$1006:$BM$1006,0)))),"Fix")))</f>
        <v xml:space="preserve"> </v>
      </c>
      <c r="U718" s="4" t="str">
        <f ca="1">IF(OR(INDEX($AG$2:$AG$1001,MATCH(ROWS($AF$2:AF718),$AF$2:$AF$1001,0),1)&gt;=100000,INDEX($AM$1005:$BM$1005,1,MATCH(COLUMNS($AM$1006:BF1006),$AM$1006:$BM$1006,0))&gt;=100000), " ",IF(INDEX($AM$2:$BM$1001,MATCH(ROWS($AF$2:AF718),$AF$2:$AF$1001,0),MATCH(COLUMNS($AM$1006:BF1006),$AM$1006:$BM$1006,0)), HYPERLINK("#",""), HYPERLINK(CONCATENATE("#metadata!", ADDRESS(INDEX($AH$2:$AH$1001,MATCH(ROWS($AF$2:AF718),$AF$2:$AF$1001,0),0), INDEX($AM$1004:$BM$1004,1,MATCH(COLUMNS($AM$1006:BF1006),$AM$1006:$BM$1006,0)))),"Fix")))</f>
        <v xml:space="preserve"> </v>
      </c>
      <c r="V718" s="4" t="str">
        <f ca="1">IF(OR(INDEX($AG$2:$AG$1001,MATCH(ROWS($AF$2:AF718),$AF$2:$AF$1001,0),1)&gt;=100000,INDEX($AM$1005:$BM$1005,1,MATCH(COLUMNS($AM$1006:BG1006),$AM$1006:$BM$1006,0))&gt;=100000), " ",IF(INDEX($AM$2:$BM$1001,MATCH(ROWS($AF$2:AF718),$AF$2:$AF$1001,0),MATCH(COLUMNS($AM$1006:BG1006),$AM$1006:$BM$1006,0)), HYPERLINK("#",""), HYPERLINK(CONCATENATE("#metadata!", ADDRESS(INDEX($AH$2:$AH$1001,MATCH(ROWS($AF$2:AF718),$AF$2:$AF$1001,0),0), INDEX($AM$1004:$BM$1004,1,MATCH(COLUMNS($AM$1006:BG1006),$AM$1006:$BM$1006,0)))),"Fix")))</f>
        <v xml:space="preserve"> </v>
      </c>
      <c r="W718" s="4" t="str">
        <f ca="1">IF(OR(INDEX($AG$2:$AG$1001,MATCH(ROWS($AF$2:AF718),$AF$2:$AF$1001,0),1)&gt;=100000,INDEX($AM$1005:$BM$1005,1,MATCH(COLUMNS($AM$1006:BH1006),$AM$1006:$BM$1006,0))&gt;=100000), " ",IF(INDEX($AM$2:$BM$1001,MATCH(ROWS($AF$2:AF718),$AF$2:$AF$1001,0),MATCH(COLUMNS($AM$1006:BH1006),$AM$1006:$BM$1006,0)), HYPERLINK("#",""), HYPERLINK(CONCATENATE("#metadata!", ADDRESS(INDEX($AH$2:$AH$1001,MATCH(ROWS($AF$2:AF718),$AF$2:$AF$1001,0),0), INDEX($AM$1004:$BM$1004,1,MATCH(COLUMNS($AM$1006:BH1006),$AM$1006:$BM$1006,0)))),"Fix")))</f>
        <v xml:space="preserve"> </v>
      </c>
      <c r="X718" s="4" t="str">
        <f ca="1">IF(OR(INDEX($AG$2:$AG$1001,MATCH(ROWS($AF$2:AF718),$AF$2:$AF$1001,0),1)&gt;=100000,INDEX($AM$1005:$BM$1005,1,MATCH(COLUMNS($AM$1006:BI1006),$AM$1006:$BM$1006,0))&gt;=100000), " ",IF(INDEX($AM$2:$BM$1001,MATCH(ROWS($AF$2:AF718),$AF$2:$AF$1001,0),MATCH(COLUMNS($AM$1006:BI1006),$AM$1006:$BM$1006,0)), HYPERLINK("#",""), HYPERLINK(CONCATENATE("#metadata!", ADDRESS(INDEX($AH$2:$AH$1001,MATCH(ROWS($AF$2:AF718),$AF$2:$AF$1001,0),0), INDEX($AM$1004:$BM$1004,1,MATCH(COLUMNS($AM$1006:BI1006),$AM$1006:$BM$1006,0)))),"Fix")))</f>
        <v xml:space="preserve"> </v>
      </c>
      <c r="Y718" s="4" t="str">
        <f ca="1">IF(OR(INDEX($AG$2:$AG$1001,MATCH(ROWS($AF$2:AF718),$AF$2:$AF$1001,0),1)&gt;=100000,INDEX($AM$1005:$BM$1005,1,MATCH(COLUMNS($AM$1006:BJ1006),$AM$1006:$BM$1006,0))&gt;=100000), " ",IF(INDEX($AM$2:$BM$1001,MATCH(ROWS($AF$2:AF718),$AF$2:$AF$1001,0),MATCH(COLUMNS($AM$1006:BJ1006),$AM$1006:$BM$1006,0)), HYPERLINK("#",""), HYPERLINK(CONCATENATE("#metadata!", ADDRESS(INDEX($AH$2:$AH$1001,MATCH(ROWS($AF$2:AF718),$AF$2:$AF$1001,0),0), INDEX($AM$1004:$BM$1004,1,MATCH(COLUMNS($AM$1006:BJ1006),$AM$1006:$BM$1006,0)))),"Fix")))</f>
        <v xml:space="preserve"> </v>
      </c>
      <c r="Z718" s="4" t="str">
        <f ca="1">IF(OR(INDEX($AG$2:$AG$1001,MATCH(ROWS($AF$2:AF718),$AF$2:$AF$1001,0),1)&gt;=100000,INDEX($AM$1005:$BM$1005,1,MATCH(COLUMNS($AM$1006:BK1006),$AM$1006:$BM$1006,0))&gt;=100000), " ",IF(INDEX($AM$2:$BM$1001,MATCH(ROWS($AF$2:AF718),$AF$2:$AF$1001,0),MATCH(COLUMNS($AM$1006:BK1006),$AM$1006:$BM$1006,0)), HYPERLINK("#",""), HYPERLINK(CONCATENATE("#metadata!", ADDRESS(INDEX($AH$2:$AH$1001,MATCH(ROWS($AF$2:AF718),$AF$2:$AF$1001,0),0), INDEX($AM$1004:$BM$1004,1,MATCH(COLUMNS($AM$1006:BK1006),$AM$1006:$BM$1006,0)))),"Fix")))</f>
        <v xml:space="preserve"> </v>
      </c>
      <c r="AA718" s="4" t="str">
        <f ca="1">IF(OR(INDEX($AG$2:$AG$1001,MATCH(ROWS($AF$2:AF718),$AF$2:$AF$1001,0),1)&gt;=100000,INDEX($AM$1005:$BM$1005,1,MATCH(COLUMNS($AM$1006:BL1006),$AM$1006:$BM$1006,0))&gt;=100000), " ",IF(INDEX($AM$2:$BM$1001,MATCH(ROWS($AF$2:AF718),$AF$2:$AF$1001,0),MATCH(COLUMNS($AM$1006:BL1006),$AM$1006:$BM$1006,0)), HYPERLINK("#",""), HYPERLINK(CONCATENATE("#metadata!", ADDRESS(INDEX($AH$2:$AH$1001,MATCH(ROWS($AF$2:AF718),$AF$2:$AF$1001,0),0), INDEX($AM$1004:$BM$1004,1,MATCH(COLUMNS($AM$1006:BL1006),$AM$1006:$BM$1006,0)))),"Fix")))</f>
        <v xml:space="preserve"> </v>
      </c>
      <c r="AB718" s="4" t="str">
        <f ca="1">IF(OR(INDEX($AG$2:$AG$1001,MATCH(ROWS($AF$2:AF718),$AF$2:$AF$1001,0),1)&gt;=100000,INDEX($AM$1005:$BM$1005,1,MATCH(COLUMNS($AM$1006:BM1006),$AM$1006:$BM$1006,0))&gt;=100000), " ",IF(INDEX($AM$2:$BM$1001,MATCH(ROWS($AF$2:AF718),$AF$2:$AF$1001,0),MATCH(COLUMNS($AM$1006:BM1006),$AM$1006:$BM$1006,0)), HYPERLINK("#",""), HYPERLINK(CONCATENATE("#metadata!", ADDRESS(INDEX($AH$2:$AH$1001,MATCH(ROWS($AF$2:AF718),$AF$2:$AF$1001,0),0), INDEX($AM$1004:$BM$1004,1,MATCH(COLUMNS($AM$1006:BM1006),$AM$1006:$BM$1006,0)))),"Fix")))</f>
        <v xml:space="preserve"> </v>
      </c>
      <c r="AF718">
        <v>717</v>
      </c>
      <c r="AG718">
        <v>100718</v>
      </c>
      <c r="AH718">
        <v>718</v>
      </c>
      <c r="AI718" t="b">
        <f t="shared" si="11"/>
        <v>1</v>
      </c>
      <c r="AJ718" t="b">
        <f>COUNTBLANK(metadata!B718:AB718)=COLUMNS(metadata!B718:AB718)</f>
        <v>1</v>
      </c>
      <c r="AK718" t="str">
        <v/>
      </c>
      <c r="AM718" t="b">
        <f ca="1">AND(IF(metadata!B718="",FALSE,TRUE),COUNTIF(metadata!B:B, metadata!B718) = 1,NOT(ISERROR(SUMPRODUCT(SEARCH(MID(metadata!B718,ROW(INDIRECT("1:"&amp;LEN(metadata!B718))), 1),"0123456789abcdefghijklmnopqrstuvwxyzABCDEFGHIJKLMNOPQRSTUVWXYZ.")))))</f>
        <v>0</v>
      </c>
      <c r="AN718" t="b">
        <f ca="1">OR(AND(IF(metadata!C718="",FALSE,TRUE),OR(EXACT(metadata!C718,"missing: not collected"),EXACT(metadata!C718,"missing: not provided"),EXACT(metadata!C718,"missing: restricted access"))),AND(IF(metadata!C718="",FALSE,TRUE),AND(AND(IFERROR(INT(LEFT(metadata!C718,4))&gt;1900,FALSE),IFERROR(INT(LEFT(metadata!C718,4))&lt;=YEAR(NOW()),FALSE)), OR(MID(metadata!C718,5,1)="", AND(AND(MID(metadata!C718,5,1)="-",IFERROR(INT(MID(metadata!C718,6,1))&gt;=0,FALSE),IFERROR(INT(MID(metadata!C718,6,1))&lt;=1,FALSE),NOT(MID(metadata!C718,7,1)=""),IFERROR(INT(MID(metadata!C718,6,2))&gt;=1,FALSE),IFERROR(INT(MID(metadata!C718,6,2))&lt;=12,FALSE)), OR(MID(metadata!C718,8,1)="", AND(AND(MID(metadata!C718,8,1)="-",IFERROR(INT(MID(metadata!C718,9,1))&gt;=0,FALSE),IFERROR(INT(MID(metadata!C718,9,1))&lt;=3,FALSE),NOT(MID(metadata!C718,10,1)=""),IFERROR(INT(MID(metadata!C718,9,2))&gt;=1,FALSE),IFERROR(INT(MID(metadata!C718,9,2))&lt;=31,FALSE)), OR(MID(metadata!C718,11,1)="", AND(AND(MID(metadata!C718,11,1)=" ",IFERROR(INT(MID(metadata!C718,12,1))&gt;=0,FALSE),IFERROR(INT(MID(metadata!C718,12,1))&lt;=2,FALSE),NOT(MID(metadata!C718,13,1)=""),IFERROR(INT(MID(metadata!C718,12,2))&gt;=0,FALSE),IFERROR(INT(MID(metadata!C718,12,2))&lt;=23,FALSE)), OR(MID(metadata!C718,14,1)="", AND(AND(MID(metadata!C718,14,1)=":",IFERROR(INT(MID(metadata!C718,15,1))&gt;=0,FALSE),IFERROR(INT(MID(metadata!C718,15,1))&lt;=5,FALSE),NOT(MID(metadata!C718,16,1)=""),IFERROR(INT(MID(metadata!C718,15,2))&gt;=0,FALSE),IFERROR(INT(MID(metadata!C718,15,2))&lt;=59,FALSE)), OR(MID(metadata!C718,17,1)="", AND(AND(MID(metadata!C718,17,1)=":",IFERROR(INT(MID(metadata!C718,18,1))&gt;=0,FALSE),IFERROR(INT(MID(metadata!C718,18,1))&lt;=5,FALSE),NOT(MID(metadata!C718,19,1)=""),IFERROR(INT(MID(metadata!C718,18,2))&gt;=0,FALSE),IFERROR(INT(MID(metadata!C718,18,2))&lt;=59,FALSE)), LEN(metadata!C718)&lt;=19)))))))))))))</f>
        <v>0</v>
      </c>
      <c r="AO718" t="b">
        <f>AND(IF(metadata!D718="",FALSE,TRUE),EXACT(metadata!D718,"Not applicable"))</f>
        <v>0</v>
      </c>
      <c r="AP718" t="b">
        <f>IF(metadata!E718="",FALSE,TRUE)</f>
        <v>0</v>
      </c>
      <c r="AQ718" t="b">
        <f>OR(AND(IF(metadata!F718="",FALSE,TRUE),OR(EXACT(metadata!F718,"missing: not collected"),EXACT(metadata!F718,"missing: not provided"))),AND(IF(metadata!F718="",FALSE,TRUE),OR(EXACT(metadata!F718,"TRUE"),EXACT(metadata!F718,"FALSE"))))</f>
        <v>0</v>
      </c>
      <c r="AR718" t="b">
        <f>OR(AND(IF(metadata!G718="",FALSE,TRUE),OR(EXACT(metadata!G718,"missing: not collected"),EXACT(metadata!G718,"missing: not provided"),EXACT(metadata!G718,"missing: restricted access"))),AND(IF(metadata!G718="",FALSE,ISNUMBER(VALUE(metadata!G718))),metadata!G718&gt;=-413))</f>
        <v>0</v>
      </c>
      <c r="AS718" t="b">
        <f>AND(IF(metadata!H718="",FALSE,TRUE),EXACT(metadata!H718,"meters"))</f>
        <v>0</v>
      </c>
      <c r="AT718" t="b">
        <f>AND(IF(metadata!I718="",FALSE,TRUE),OR(EXACT(metadata!I718,"Host-associated"),EXACT(metadata!I718,"Free-living")))</f>
        <v>0</v>
      </c>
      <c r="AU718" t="b">
        <f>AND(IF(metadata!J718="",FALSE,TRUE),OR(EXACT(metadata!J718,"Animal"),EXACT(metadata!J718,"Fungus"),EXACT(metadata!J718,"Plant"),EXACT(metadata!J718,"Saline"),EXACT(metadata!J718,"Non-saline")))</f>
        <v>0</v>
      </c>
      <c r="AV718" t="b">
        <f>AND(IF(metadata!K718="",FALSE,TRUE),OR(EXACT(metadata!K718,"Plant secretion"),EXACT(metadata!K718,"Plant rhizosphere"),EXACT(metadata!K718,"Plant surface"),EXACT(metadata!K718,"Plant corpus"),EXACT(metadata!K718,"Fungus surface"),EXACT(metadata!K718,"Fungus corpus"),EXACT(metadata!K718,"Animal surface"),EXACT(metadata!K718,"Animal proximal gut"),EXACT(metadata!K718,"Animal corpus"),EXACT(metadata!K718,"Animal distal gut"),EXACT(metadata!K718,"Animal secretion"),EXACT(metadata!K718,"Sub-surface (non-saline)"),EXACT(metadata!K718,"Surface (non-saline)"),EXACT(metadata!K718,"Water (non-saline)"),EXACT(metadata!K718,"Soil (non-saline)"),EXACT(metadata!K718,"Aerosol (non-saline)"),EXACT(metadata!K718,"Sediment (non-saline)"),EXACT(metadata!K718,"Surface (saline)"),EXACT(metadata!K718,"Water (saline)"),EXACT(metadata!K718,"Hypersaline (saline)"),EXACT(metadata!K718,"Aerosol (saline)"),EXACT(metadata!K718,"Sediment (saline)")))</f>
        <v>0</v>
      </c>
      <c r="AW718" t="b">
        <f>IF(metadata!L718="",FALSE,TRUE)</f>
        <v>0</v>
      </c>
      <c r="AX718" t="b">
        <f>IF(metadata!M718="",FALSE,TRUE)</f>
        <v>0</v>
      </c>
      <c r="AY718" t="b">
        <f>IF(metadata!N718="",FALSE,TRUE)</f>
        <v>0</v>
      </c>
      <c r="AZ718" t="b">
        <f>OR(AND(IF(metadata!O718="",FALSE,TRUE),OR(EXACT(metadata!O718,"missing: not collected"),EXACT(metadata!O718,"missing: not provided"),EXACT(metadata!O718,"missing: restricted access"))),AND(IF(metadata!O718="",FALSE,TRUE),OR(EXACT(metadata!O718,"air"),EXACT(metadata!O718,"built environment"),EXACT(metadata!O718,"host-associated"),EXACT(metadata!O718,"human-associated"),EXACT(metadata!O718,"human-skin"),EXACT(metadata!O718,"human-oral"),EXACT(metadata!O718,"human-gut"),EXACT(metadata!O718,"human-vaginal"),EXACT(metadata!O718,"microbial mat/biofilm"),EXACT(metadata!O718,"misc environment"),EXACT(metadata!O718,"plant-associated"),EXACT(metadata!O718,"sediment"),EXACT(metadata!O718,"soil"),EXACT(metadata!O718,"wastewater/sludge"),EXACT(metadata!O718,"water"))))</f>
        <v>0</v>
      </c>
      <c r="BA718" t="b">
        <f>IF(metadata!P718="",FALSE,TRUE)</f>
        <v>0</v>
      </c>
      <c r="BB718" t="b">
        <f>IF(metadata!Q718="",FALSE,TRUE)</f>
        <v>0</v>
      </c>
      <c r="BC718" t="b">
        <f>OR(AND(IF(metadata!R718="",FALSE,TRUE),OR(EXACT(metadata!R718,"missing: not collected"),EXACT(metadata!R718,"missing: not provided"),EXACT(metadata!R718,"missing: restricted access"))),AND(IF(metadata!R718="",FALSE,ISNUMBER(VALUE(metadata!R718))),metadata!R718&gt;=-90,metadata!R718&lt;=90))</f>
        <v>0</v>
      </c>
      <c r="BD718" t="b">
        <f>AND(IF(metadata!S718="",FALSE,TRUE),EXACT(metadata!S718,"Decimal degrees"))</f>
        <v>0</v>
      </c>
      <c r="BE718" t="b">
        <f>OR(AND(IF(metadata!T718="",FALSE,TRUE),OR(EXACT(metadata!T718,"missing: not collected"),EXACT(metadata!T718,"missing: not provided"),EXACT(metadata!T718,"missing: restricted access"))),AND(IF(metadata!T718="",FALSE,ISNUMBER(VALUE(metadata!T718))),metadata!T718&gt;=-180,metadata!T718&lt;=180))</f>
        <v>0</v>
      </c>
      <c r="BF718" t="b">
        <f>AND(IF(metadata!U718="",FALSE,TRUE),EXACT(metadata!U718,"Decimal degrees"))</f>
        <v>0</v>
      </c>
      <c r="BG718" t="b">
        <f>IF(metadata!V718="",FALSE,TRUE)</f>
        <v>0</v>
      </c>
      <c r="BH718" t="b">
        <f>OR(AND(IF(metadata!W718="",FALSE,TRUE),OR(EXACT(metadata!W718,"missing: not collected"),EXACT(metadata!W718,"missing: not provided"),EXACT(metadata!W718,"missing: restricted access"))),AND(IF(metadata!W718="",FALSE,TRUE),OR(EXACT(metadata!W718,"TRUE"),EXACT(metadata!W718,"FALSE"))))</f>
        <v>0</v>
      </c>
      <c r="BI718" t="b">
        <f>AND(IF(metadata!X718="",FALSE,TRUE),EXACT(metadata!X718,"other"))</f>
        <v>0</v>
      </c>
      <c r="BJ718" t="b">
        <f>IF(metadata!Y718="",FALSE,TRUE)</f>
        <v>0</v>
      </c>
      <c r="BK718" t="b">
        <f>OR(AND(IF(metadata!Z718="",FALSE,TRUE),OR(EXACT(metadata!Z718,"missing: not collected"),EXACT(metadata!Z718,"missing: not provided"))),AND(IF(metadata!Z718="",FALSE,IF(ISERROR(INT(metadata!Z718)),FALSE,INT(metadata!Z718)=metadata!Z718)),metadata!Z718&gt;0))</f>
        <v>0</v>
      </c>
      <c r="BL718" t="b">
        <f>AND(IF(metadata!AA718="",FALSE,TRUE),EXACT(metadata!AA718,"Not applicable"))</f>
        <v>0</v>
      </c>
      <c r="BM718" t="b">
        <f>IF(metadata!AB718="",FALSE,TRUE)</f>
        <v>0</v>
      </c>
    </row>
    <row r="719" spans="1:65" x14ac:dyDescent="0.2">
      <c r="A719" s="5" t="str">
        <f ca="1">IF(B719=" "," ",HYPERLINK(CONCATENATE("#metadata!",ADDRESS(INDEX($AH$2:$AH$1001,MATCH(ROWS($AF$2:AF719),$AF$2:$AF$1001,0),0),1)),INDEX($AK$2:$AK$1001,MATCH(ROWS($AF$2:AF719),$AF$2:$AF$1001,0),0)))</f>
        <v xml:space="preserve"> </v>
      </c>
      <c r="B719" s="4" t="str">
        <f ca="1">IF(OR(INDEX($AG$2:$AG$1001,MATCH(ROWS($AF$2:AF719),$AF$2:$AF$1001,0),1)&gt;=100000,INDEX($AM$1005:$BM$1005,1,MATCH(COLUMNS($AM$1006:AM1006),$AM$1006:$BM$1006,0))&gt;=100000), " ",IF(INDEX($AM$2:$BM$1001,MATCH(ROWS($AF$2:AF719),$AF$2:$AF$1001,0),MATCH(COLUMNS($AM$1006:AM1006),$AM$1006:$BM$1006,0)), HYPERLINK("#",""), HYPERLINK(CONCATENATE("#metadata!", ADDRESS(INDEX($AH$2:$AH$1001,MATCH(ROWS($AF$2:AF719),$AF$2:$AF$1001,0),0), INDEX($AM$1004:$BM$1004,1,MATCH(COLUMNS($AM$1006:AM1006),$AM$1006:$BM$1006,0)))),"Fix")))</f>
        <v xml:space="preserve"> </v>
      </c>
      <c r="C719" s="4" t="str">
        <f ca="1">IF(OR(INDEX($AG$2:$AG$1001,MATCH(ROWS($AF$2:AF719),$AF$2:$AF$1001,0),1)&gt;=100000,INDEX($AM$1005:$BM$1005,1,MATCH(COLUMNS($AM$1006:AN1006),$AM$1006:$BM$1006,0))&gt;=100000), " ",IF(INDEX($AM$2:$BM$1001,MATCH(ROWS($AF$2:AF719),$AF$2:$AF$1001,0),MATCH(COLUMNS($AM$1006:AN1006),$AM$1006:$BM$1006,0)), HYPERLINK("#",""), HYPERLINK(CONCATENATE("#metadata!", ADDRESS(INDEX($AH$2:$AH$1001,MATCH(ROWS($AF$2:AF719),$AF$2:$AF$1001,0),0), INDEX($AM$1004:$BM$1004,1,MATCH(COLUMNS($AM$1006:AN1006),$AM$1006:$BM$1006,0)))),"Fix")))</f>
        <v xml:space="preserve"> </v>
      </c>
      <c r="D719" s="4" t="str">
        <f ca="1">IF(OR(INDEX($AG$2:$AG$1001,MATCH(ROWS($AF$2:AF719),$AF$2:$AF$1001,0),1)&gt;=100000,INDEX($AM$1005:$BM$1005,1,MATCH(COLUMNS($AM$1006:AO1006),$AM$1006:$BM$1006,0))&gt;=100000), " ",IF(INDEX($AM$2:$BM$1001,MATCH(ROWS($AF$2:AF719),$AF$2:$AF$1001,0),MATCH(COLUMNS($AM$1006:AO1006),$AM$1006:$BM$1006,0)), HYPERLINK("#",""), HYPERLINK(CONCATENATE("#metadata!", ADDRESS(INDEX($AH$2:$AH$1001,MATCH(ROWS($AF$2:AF719),$AF$2:$AF$1001,0),0), INDEX($AM$1004:$BM$1004,1,MATCH(COLUMNS($AM$1006:AO1006),$AM$1006:$BM$1006,0)))),"Fix")))</f>
        <v xml:space="preserve"> </v>
      </c>
      <c r="E719" s="4" t="str">
        <f ca="1">IF(OR(INDEX($AG$2:$AG$1001,MATCH(ROWS($AF$2:AF719),$AF$2:$AF$1001,0),1)&gt;=100000,INDEX($AM$1005:$BM$1005,1,MATCH(COLUMNS($AM$1006:AP1006),$AM$1006:$BM$1006,0))&gt;=100000), " ",IF(INDEX($AM$2:$BM$1001,MATCH(ROWS($AF$2:AF719),$AF$2:$AF$1001,0),MATCH(COLUMNS($AM$1006:AP1006),$AM$1006:$BM$1006,0)), HYPERLINK("#",""), HYPERLINK(CONCATENATE("#metadata!", ADDRESS(INDEX($AH$2:$AH$1001,MATCH(ROWS($AF$2:AF719),$AF$2:$AF$1001,0),0), INDEX($AM$1004:$BM$1004,1,MATCH(COLUMNS($AM$1006:AP1006),$AM$1006:$BM$1006,0)))),"Fix")))</f>
        <v xml:space="preserve"> </v>
      </c>
      <c r="F719" s="4" t="str">
        <f ca="1">IF(OR(INDEX($AG$2:$AG$1001,MATCH(ROWS($AF$2:AF719),$AF$2:$AF$1001,0),1)&gt;=100000,INDEX($AM$1005:$BM$1005,1,MATCH(COLUMNS($AM$1006:AQ1006),$AM$1006:$BM$1006,0))&gt;=100000), " ",IF(INDEX($AM$2:$BM$1001,MATCH(ROWS($AF$2:AF719),$AF$2:$AF$1001,0),MATCH(COLUMNS($AM$1006:AQ1006),$AM$1006:$BM$1006,0)), HYPERLINK("#",""), HYPERLINK(CONCATENATE("#metadata!", ADDRESS(INDEX($AH$2:$AH$1001,MATCH(ROWS($AF$2:AF719),$AF$2:$AF$1001,0),0), INDEX($AM$1004:$BM$1004,1,MATCH(COLUMNS($AM$1006:AQ1006),$AM$1006:$BM$1006,0)))),"Fix")))</f>
        <v xml:space="preserve"> </v>
      </c>
      <c r="G719" s="4" t="str">
        <f ca="1">IF(OR(INDEX($AG$2:$AG$1001,MATCH(ROWS($AF$2:AF719),$AF$2:$AF$1001,0),1)&gt;=100000,INDEX($AM$1005:$BM$1005,1,MATCH(COLUMNS($AM$1006:AR1006),$AM$1006:$BM$1006,0))&gt;=100000), " ",IF(INDEX($AM$2:$BM$1001,MATCH(ROWS($AF$2:AF719),$AF$2:$AF$1001,0),MATCH(COLUMNS($AM$1006:AR1006),$AM$1006:$BM$1006,0)), HYPERLINK("#",""), HYPERLINK(CONCATENATE("#metadata!", ADDRESS(INDEX($AH$2:$AH$1001,MATCH(ROWS($AF$2:AF719),$AF$2:$AF$1001,0),0), INDEX($AM$1004:$BM$1004,1,MATCH(COLUMNS($AM$1006:AR1006),$AM$1006:$BM$1006,0)))),"Fix")))</f>
        <v xml:space="preserve"> </v>
      </c>
      <c r="H719" s="4" t="str">
        <f ca="1">IF(OR(INDEX($AG$2:$AG$1001,MATCH(ROWS($AF$2:AF719),$AF$2:$AF$1001,0),1)&gt;=100000,INDEX($AM$1005:$BM$1005,1,MATCH(COLUMNS($AM$1006:AS1006),$AM$1006:$BM$1006,0))&gt;=100000), " ",IF(INDEX($AM$2:$BM$1001,MATCH(ROWS($AF$2:AF719),$AF$2:$AF$1001,0),MATCH(COLUMNS($AM$1006:AS1006),$AM$1006:$BM$1006,0)), HYPERLINK("#",""), HYPERLINK(CONCATENATE("#metadata!", ADDRESS(INDEX($AH$2:$AH$1001,MATCH(ROWS($AF$2:AF719),$AF$2:$AF$1001,0),0), INDEX($AM$1004:$BM$1004,1,MATCH(COLUMNS($AM$1006:AS1006),$AM$1006:$BM$1006,0)))),"Fix")))</f>
        <v xml:space="preserve"> </v>
      </c>
      <c r="I719" s="4" t="str">
        <f ca="1">IF(OR(INDEX($AG$2:$AG$1001,MATCH(ROWS($AF$2:AF719),$AF$2:$AF$1001,0),1)&gt;=100000,INDEX($AM$1005:$BM$1005,1,MATCH(COLUMNS($AM$1006:AT1006),$AM$1006:$BM$1006,0))&gt;=100000), " ",IF(INDEX($AM$2:$BM$1001,MATCH(ROWS($AF$2:AF719),$AF$2:$AF$1001,0),MATCH(COLUMNS($AM$1006:AT1006),$AM$1006:$BM$1006,0)), HYPERLINK("#",""), HYPERLINK(CONCATENATE("#metadata!", ADDRESS(INDEX($AH$2:$AH$1001,MATCH(ROWS($AF$2:AF719),$AF$2:$AF$1001,0),0), INDEX($AM$1004:$BM$1004,1,MATCH(COLUMNS($AM$1006:AT1006),$AM$1006:$BM$1006,0)))),"Fix")))</f>
        <v xml:space="preserve"> </v>
      </c>
      <c r="J719" s="4" t="str">
        <f ca="1">IF(OR(INDEX($AG$2:$AG$1001,MATCH(ROWS($AF$2:AF719),$AF$2:$AF$1001,0),1)&gt;=100000,INDEX($AM$1005:$BM$1005,1,MATCH(COLUMNS($AM$1006:AU1006),$AM$1006:$BM$1006,0))&gt;=100000), " ",IF(INDEX($AM$2:$BM$1001,MATCH(ROWS($AF$2:AF719),$AF$2:$AF$1001,0),MATCH(COLUMNS($AM$1006:AU1006),$AM$1006:$BM$1006,0)), HYPERLINK("#",""), HYPERLINK(CONCATENATE("#metadata!", ADDRESS(INDEX($AH$2:$AH$1001,MATCH(ROWS($AF$2:AF719),$AF$2:$AF$1001,0),0), INDEX($AM$1004:$BM$1004,1,MATCH(COLUMNS($AM$1006:AU1006),$AM$1006:$BM$1006,0)))),"Fix")))</f>
        <v xml:space="preserve"> </v>
      </c>
      <c r="K719" s="4" t="str">
        <f ca="1">IF(OR(INDEX($AG$2:$AG$1001,MATCH(ROWS($AF$2:AF719),$AF$2:$AF$1001,0),1)&gt;=100000,INDEX($AM$1005:$BM$1005,1,MATCH(COLUMNS($AM$1006:AV1006),$AM$1006:$BM$1006,0))&gt;=100000), " ",IF(INDEX($AM$2:$BM$1001,MATCH(ROWS($AF$2:AF719),$AF$2:$AF$1001,0),MATCH(COLUMNS($AM$1006:AV1006),$AM$1006:$BM$1006,0)), HYPERLINK("#",""), HYPERLINK(CONCATENATE("#metadata!", ADDRESS(INDEX($AH$2:$AH$1001,MATCH(ROWS($AF$2:AF719),$AF$2:$AF$1001,0),0), INDEX($AM$1004:$BM$1004,1,MATCH(COLUMNS($AM$1006:AV1006),$AM$1006:$BM$1006,0)))),"Fix")))</f>
        <v xml:space="preserve"> </v>
      </c>
      <c r="L719" s="4" t="str">
        <f ca="1">IF(OR(INDEX($AG$2:$AG$1001,MATCH(ROWS($AF$2:AF719),$AF$2:$AF$1001,0),1)&gt;=100000,INDEX($AM$1005:$BM$1005,1,MATCH(COLUMNS($AM$1006:AW1006),$AM$1006:$BM$1006,0))&gt;=100000), " ",IF(INDEX($AM$2:$BM$1001,MATCH(ROWS($AF$2:AF719),$AF$2:$AF$1001,0),MATCH(COLUMNS($AM$1006:AW1006),$AM$1006:$BM$1006,0)), HYPERLINK("#",""), HYPERLINK(CONCATENATE("#metadata!", ADDRESS(INDEX($AH$2:$AH$1001,MATCH(ROWS($AF$2:AF719),$AF$2:$AF$1001,0),0), INDEX($AM$1004:$BM$1004,1,MATCH(COLUMNS($AM$1006:AW1006),$AM$1006:$BM$1006,0)))),"Fix")))</f>
        <v xml:space="preserve"> </v>
      </c>
      <c r="M719" s="4" t="str">
        <f ca="1">IF(OR(INDEX($AG$2:$AG$1001,MATCH(ROWS($AF$2:AF719),$AF$2:$AF$1001,0),1)&gt;=100000,INDEX($AM$1005:$BM$1005,1,MATCH(COLUMNS($AM$1006:AX1006),$AM$1006:$BM$1006,0))&gt;=100000), " ",IF(INDEX($AM$2:$BM$1001,MATCH(ROWS($AF$2:AF719),$AF$2:$AF$1001,0),MATCH(COLUMNS($AM$1006:AX1006),$AM$1006:$BM$1006,0)), HYPERLINK("#",""), HYPERLINK(CONCATENATE("#metadata!", ADDRESS(INDEX($AH$2:$AH$1001,MATCH(ROWS($AF$2:AF719),$AF$2:$AF$1001,0),0), INDEX($AM$1004:$BM$1004,1,MATCH(COLUMNS($AM$1006:AX1006),$AM$1006:$BM$1006,0)))),"Fix")))</f>
        <v xml:space="preserve"> </v>
      </c>
      <c r="N719" s="4" t="str">
        <f ca="1">IF(OR(INDEX($AG$2:$AG$1001,MATCH(ROWS($AF$2:AF719),$AF$2:$AF$1001,0),1)&gt;=100000,INDEX($AM$1005:$BM$1005,1,MATCH(COLUMNS($AM$1006:AY1006),$AM$1006:$BM$1006,0))&gt;=100000), " ",IF(INDEX($AM$2:$BM$1001,MATCH(ROWS($AF$2:AF719),$AF$2:$AF$1001,0),MATCH(COLUMNS($AM$1006:AY1006),$AM$1006:$BM$1006,0)), HYPERLINK("#",""), HYPERLINK(CONCATENATE("#metadata!", ADDRESS(INDEX($AH$2:$AH$1001,MATCH(ROWS($AF$2:AF719),$AF$2:$AF$1001,0),0), INDEX($AM$1004:$BM$1004,1,MATCH(COLUMNS($AM$1006:AY1006),$AM$1006:$BM$1006,0)))),"Fix")))</f>
        <v xml:space="preserve"> </v>
      </c>
      <c r="O719" s="4" t="str">
        <f ca="1">IF(OR(INDEX($AG$2:$AG$1001,MATCH(ROWS($AF$2:AF719),$AF$2:$AF$1001,0),1)&gt;=100000,INDEX($AM$1005:$BM$1005,1,MATCH(COLUMNS($AM$1006:AZ1006),$AM$1006:$BM$1006,0))&gt;=100000), " ",IF(INDEX($AM$2:$BM$1001,MATCH(ROWS($AF$2:AF719),$AF$2:$AF$1001,0),MATCH(COLUMNS($AM$1006:AZ1006),$AM$1006:$BM$1006,0)), HYPERLINK("#",""), HYPERLINK(CONCATENATE("#metadata!", ADDRESS(INDEX($AH$2:$AH$1001,MATCH(ROWS($AF$2:AF719),$AF$2:$AF$1001,0),0), INDEX($AM$1004:$BM$1004,1,MATCH(COLUMNS($AM$1006:AZ1006),$AM$1006:$BM$1006,0)))),"Fix")))</f>
        <v xml:space="preserve"> </v>
      </c>
      <c r="P719" s="4" t="str">
        <f ca="1">IF(OR(INDEX($AG$2:$AG$1001,MATCH(ROWS($AF$2:AF719),$AF$2:$AF$1001,0),1)&gt;=100000,INDEX($AM$1005:$BM$1005,1,MATCH(COLUMNS($AM$1006:BA1006),$AM$1006:$BM$1006,0))&gt;=100000), " ",IF(INDEX($AM$2:$BM$1001,MATCH(ROWS($AF$2:AF719),$AF$2:$AF$1001,0),MATCH(COLUMNS($AM$1006:BA1006),$AM$1006:$BM$1006,0)), HYPERLINK("#",""), HYPERLINK(CONCATENATE("#metadata!", ADDRESS(INDEX($AH$2:$AH$1001,MATCH(ROWS($AF$2:AF719),$AF$2:$AF$1001,0),0), INDEX($AM$1004:$BM$1004,1,MATCH(COLUMNS($AM$1006:BA1006),$AM$1006:$BM$1006,0)))),"Fix")))</f>
        <v xml:space="preserve"> </v>
      </c>
      <c r="Q719" s="4" t="str">
        <f ca="1">IF(OR(INDEX($AG$2:$AG$1001,MATCH(ROWS($AF$2:AF719),$AF$2:$AF$1001,0),1)&gt;=100000,INDEX($AM$1005:$BM$1005,1,MATCH(COLUMNS($AM$1006:BB1006),$AM$1006:$BM$1006,0))&gt;=100000), " ",IF(INDEX($AM$2:$BM$1001,MATCH(ROWS($AF$2:AF719),$AF$2:$AF$1001,0),MATCH(COLUMNS($AM$1006:BB1006),$AM$1006:$BM$1006,0)), HYPERLINK("#",""), HYPERLINK(CONCATENATE("#metadata!", ADDRESS(INDEX($AH$2:$AH$1001,MATCH(ROWS($AF$2:AF719),$AF$2:$AF$1001,0),0), INDEX($AM$1004:$BM$1004,1,MATCH(COLUMNS($AM$1006:BB1006),$AM$1006:$BM$1006,0)))),"Fix")))</f>
        <v xml:space="preserve"> </v>
      </c>
      <c r="R719" s="4" t="str">
        <f ca="1">IF(OR(INDEX($AG$2:$AG$1001,MATCH(ROWS($AF$2:AF719),$AF$2:$AF$1001,0),1)&gt;=100000,INDEX($AM$1005:$BM$1005,1,MATCH(COLUMNS($AM$1006:BC1006),$AM$1006:$BM$1006,0))&gt;=100000), " ",IF(INDEX($AM$2:$BM$1001,MATCH(ROWS($AF$2:AF719),$AF$2:$AF$1001,0),MATCH(COLUMNS($AM$1006:BC1006),$AM$1006:$BM$1006,0)), HYPERLINK("#",""), HYPERLINK(CONCATENATE("#metadata!", ADDRESS(INDEX($AH$2:$AH$1001,MATCH(ROWS($AF$2:AF719),$AF$2:$AF$1001,0),0), INDEX($AM$1004:$BM$1004,1,MATCH(COLUMNS($AM$1006:BC1006),$AM$1006:$BM$1006,0)))),"Fix")))</f>
        <v xml:space="preserve"> </v>
      </c>
      <c r="S719" s="4" t="str">
        <f ca="1">IF(OR(INDEX($AG$2:$AG$1001,MATCH(ROWS($AF$2:AF719),$AF$2:$AF$1001,0),1)&gt;=100000,INDEX($AM$1005:$BM$1005,1,MATCH(COLUMNS($AM$1006:BD1006),$AM$1006:$BM$1006,0))&gt;=100000), " ",IF(INDEX($AM$2:$BM$1001,MATCH(ROWS($AF$2:AF719),$AF$2:$AF$1001,0),MATCH(COLUMNS($AM$1006:BD1006),$AM$1006:$BM$1006,0)), HYPERLINK("#",""), HYPERLINK(CONCATENATE("#metadata!", ADDRESS(INDEX($AH$2:$AH$1001,MATCH(ROWS($AF$2:AF719),$AF$2:$AF$1001,0),0), INDEX($AM$1004:$BM$1004,1,MATCH(COLUMNS($AM$1006:BD1006),$AM$1006:$BM$1006,0)))),"Fix")))</f>
        <v xml:space="preserve"> </v>
      </c>
      <c r="T719" s="4" t="str">
        <f ca="1">IF(OR(INDEX($AG$2:$AG$1001,MATCH(ROWS($AF$2:AF719),$AF$2:$AF$1001,0),1)&gt;=100000,INDEX($AM$1005:$BM$1005,1,MATCH(COLUMNS($AM$1006:BE1006),$AM$1006:$BM$1006,0))&gt;=100000), " ",IF(INDEX($AM$2:$BM$1001,MATCH(ROWS($AF$2:AF719),$AF$2:$AF$1001,0),MATCH(COLUMNS($AM$1006:BE1006),$AM$1006:$BM$1006,0)), HYPERLINK("#",""), HYPERLINK(CONCATENATE("#metadata!", ADDRESS(INDEX($AH$2:$AH$1001,MATCH(ROWS($AF$2:AF719),$AF$2:$AF$1001,0),0), INDEX($AM$1004:$BM$1004,1,MATCH(COLUMNS($AM$1006:BE1006),$AM$1006:$BM$1006,0)))),"Fix")))</f>
        <v xml:space="preserve"> </v>
      </c>
      <c r="U719" s="4" t="str">
        <f ca="1">IF(OR(INDEX($AG$2:$AG$1001,MATCH(ROWS($AF$2:AF719),$AF$2:$AF$1001,0),1)&gt;=100000,INDEX($AM$1005:$BM$1005,1,MATCH(COLUMNS($AM$1006:BF1006),$AM$1006:$BM$1006,0))&gt;=100000), " ",IF(INDEX($AM$2:$BM$1001,MATCH(ROWS($AF$2:AF719),$AF$2:$AF$1001,0),MATCH(COLUMNS($AM$1006:BF1006),$AM$1006:$BM$1006,0)), HYPERLINK("#",""), HYPERLINK(CONCATENATE("#metadata!", ADDRESS(INDEX($AH$2:$AH$1001,MATCH(ROWS($AF$2:AF719),$AF$2:$AF$1001,0),0), INDEX($AM$1004:$BM$1004,1,MATCH(COLUMNS($AM$1006:BF1006),$AM$1006:$BM$1006,0)))),"Fix")))</f>
        <v xml:space="preserve"> </v>
      </c>
      <c r="V719" s="4" t="str">
        <f ca="1">IF(OR(INDEX($AG$2:$AG$1001,MATCH(ROWS($AF$2:AF719),$AF$2:$AF$1001,0),1)&gt;=100000,INDEX($AM$1005:$BM$1005,1,MATCH(COLUMNS($AM$1006:BG1006),$AM$1006:$BM$1006,0))&gt;=100000), " ",IF(INDEX($AM$2:$BM$1001,MATCH(ROWS($AF$2:AF719),$AF$2:$AF$1001,0),MATCH(COLUMNS($AM$1006:BG1006),$AM$1006:$BM$1006,0)), HYPERLINK("#",""), HYPERLINK(CONCATENATE("#metadata!", ADDRESS(INDEX($AH$2:$AH$1001,MATCH(ROWS($AF$2:AF719),$AF$2:$AF$1001,0),0), INDEX($AM$1004:$BM$1004,1,MATCH(COLUMNS($AM$1006:BG1006),$AM$1006:$BM$1006,0)))),"Fix")))</f>
        <v xml:space="preserve"> </v>
      </c>
      <c r="W719" s="4" t="str">
        <f ca="1">IF(OR(INDEX($AG$2:$AG$1001,MATCH(ROWS($AF$2:AF719),$AF$2:$AF$1001,0),1)&gt;=100000,INDEX($AM$1005:$BM$1005,1,MATCH(COLUMNS($AM$1006:BH1006),$AM$1006:$BM$1006,0))&gt;=100000), " ",IF(INDEX($AM$2:$BM$1001,MATCH(ROWS($AF$2:AF719),$AF$2:$AF$1001,0),MATCH(COLUMNS($AM$1006:BH1006),$AM$1006:$BM$1006,0)), HYPERLINK("#",""), HYPERLINK(CONCATENATE("#metadata!", ADDRESS(INDEX($AH$2:$AH$1001,MATCH(ROWS($AF$2:AF719),$AF$2:$AF$1001,0),0), INDEX($AM$1004:$BM$1004,1,MATCH(COLUMNS($AM$1006:BH1006),$AM$1006:$BM$1006,0)))),"Fix")))</f>
        <v xml:space="preserve"> </v>
      </c>
      <c r="X719" s="4" t="str">
        <f ca="1">IF(OR(INDEX($AG$2:$AG$1001,MATCH(ROWS($AF$2:AF719),$AF$2:$AF$1001,0),1)&gt;=100000,INDEX($AM$1005:$BM$1005,1,MATCH(COLUMNS($AM$1006:BI1006),$AM$1006:$BM$1006,0))&gt;=100000), " ",IF(INDEX($AM$2:$BM$1001,MATCH(ROWS($AF$2:AF719),$AF$2:$AF$1001,0),MATCH(COLUMNS($AM$1006:BI1006),$AM$1006:$BM$1006,0)), HYPERLINK("#",""), HYPERLINK(CONCATENATE("#metadata!", ADDRESS(INDEX($AH$2:$AH$1001,MATCH(ROWS($AF$2:AF719),$AF$2:$AF$1001,0),0), INDEX($AM$1004:$BM$1004,1,MATCH(COLUMNS($AM$1006:BI1006),$AM$1006:$BM$1006,0)))),"Fix")))</f>
        <v xml:space="preserve"> </v>
      </c>
      <c r="Y719" s="4" t="str">
        <f ca="1">IF(OR(INDEX($AG$2:$AG$1001,MATCH(ROWS($AF$2:AF719),$AF$2:$AF$1001,0),1)&gt;=100000,INDEX($AM$1005:$BM$1005,1,MATCH(COLUMNS($AM$1006:BJ1006),$AM$1006:$BM$1006,0))&gt;=100000), " ",IF(INDEX($AM$2:$BM$1001,MATCH(ROWS($AF$2:AF719),$AF$2:$AF$1001,0),MATCH(COLUMNS($AM$1006:BJ1006),$AM$1006:$BM$1006,0)), HYPERLINK("#",""), HYPERLINK(CONCATENATE("#metadata!", ADDRESS(INDEX($AH$2:$AH$1001,MATCH(ROWS($AF$2:AF719),$AF$2:$AF$1001,0),0), INDEX($AM$1004:$BM$1004,1,MATCH(COLUMNS($AM$1006:BJ1006),$AM$1006:$BM$1006,0)))),"Fix")))</f>
        <v xml:space="preserve"> </v>
      </c>
      <c r="Z719" s="4" t="str">
        <f ca="1">IF(OR(INDEX($AG$2:$AG$1001,MATCH(ROWS($AF$2:AF719),$AF$2:$AF$1001,0),1)&gt;=100000,INDEX($AM$1005:$BM$1005,1,MATCH(COLUMNS($AM$1006:BK1006),$AM$1006:$BM$1006,0))&gt;=100000), " ",IF(INDEX($AM$2:$BM$1001,MATCH(ROWS($AF$2:AF719),$AF$2:$AF$1001,0),MATCH(COLUMNS($AM$1006:BK1006),$AM$1006:$BM$1006,0)), HYPERLINK("#",""), HYPERLINK(CONCATENATE("#metadata!", ADDRESS(INDEX($AH$2:$AH$1001,MATCH(ROWS($AF$2:AF719),$AF$2:$AF$1001,0),0), INDEX($AM$1004:$BM$1004,1,MATCH(COLUMNS($AM$1006:BK1006),$AM$1006:$BM$1006,0)))),"Fix")))</f>
        <v xml:space="preserve"> </v>
      </c>
      <c r="AA719" s="4" t="str">
        <f ca="1">IF(OR(INDEX($AG$2:$AG$1001,MATCH(ROWS($AF$2:AF719),$AF$2:$AF$1001,0),1)&gt;=100000,INDEX($AM$1005:$BM$1005,1,MATCH(COLUMNS($AM$1006:BL1006),$AM$1006:$BM$1006,0))&gt;=100000), " ",IF(INDEX($AM$2:$BM$1001,MATCH(ROWS($AF$2:AF719),$AF$2:$AF$1001,0),MATCH(COLUMNS($AM$1006:BL1006),$AM$1006:$BM$1006,0)), HYPERLINK("#",""), HYPERLINK(CONCATENATE("#metadata!", ADDRESS(INDEX($AH$2:$AH$1001,MATCH(ROWS($AF$2:AF719),$AF$2:$AF$1001,0),0), INDEX($AM$1004:$BM$1004,1,MATCH(COLUMNS($AM$1006:BL1006),$AM$1006:$BM$1006,0)))),"Fix")))</f>
        <v xml:space="preserve"> </v>
      </c>
      <c r="AB719" s="4" t="str">
        <f ca="1">IF(OR(INDEX($AG$2:$AG$1001,MATCH(ROWS($AF$2:AF719),$AF$2:$AF$1001,0),1)&gt;=100000,INDEX($AM$1005:$BM$1005,1,MATCH(COLUMNS($AM$1006:BM1006),$AM$1006:$BM$1006,0))&gt;=100000), " ",IF(INDEX($AM$2:$BM$1001,MATCH(ROWS($AF$2:AF719),$AF$2:$AF$1001,0),MATCH(COLUMNS($AM$1006:BM1006),$AM$1006:$BM$1006,0)), HYPERLINK("#",""), HYPERLINK(CONCATENATE("#metadata!", ADDRESS(INDEX($AH$2:$AH$1001,MATCH(ROWS($AF$2:AF719),$AF$2:$AF$1001,0),0), INDEX($AM$1004:$BM$1004,1,MATCH(COLUMNS($AM$1006:BM1006),$AM$1006:$BM$1006,0)))),"Fix")))</f>
        <v xml:space="preserve"> </v>
      </c>
      <c r="AF719">
        <v>718</v>
      </c>
      <c r="AG719">
        <v>100719</v>
      </c>
      <c r="AH719">
        <v>719</v>
      </c>
      <c r="AI719" t="b">
        <f t="shared" si="11"/>
        <v>1</v>
      </c>
      <c r="AJ719" t="b">
        <f>COUNTBLANK(metadata!B719:AB719)=COLUMNS(metadata!B719:AB719)</f>
        <v>1</v>
      </c>
      <c r="AK719" t="str">
        <v/>
      </c>
      <c r="AM719" t="b">
        <f ca="1">AND(IF(metadata!B719="",FALSE,TRUE),COUNTIF(metadata!B:B, metadata!B719) = 1,NOT(ISERROR(SUMPRODUCT(SEARCH(MID(metadata!B719,ROW(INDIRECT("1:"&amp;LEN(metadata!B719))), 1),"0123456789abcdefghijklmnopqrstuvwxyzABCDEFGHIJKLMNOPQRSTUVWXYZ.")))))</f>
        <v>0</v>
      </c>
      <c r="AN719" t="b">
        <f ca="1">OR(AND(IF(metadata!C719="",FALSE,TRUE),OR(EXACT(metadata!C719,"missing: not collected"),EXACT(metadata!C719,"missing: not provided"),EXACT(metadata!C719,"missing: restricted access"))),AND(IF(metadata!C719="",FALSE,TRUE),AND(AND(IFERROR(INT(LEFT(metadata!C719,4))&gt;1900,FALSE),IFERROR(INT(LEFT(metadata!C719,4))&lt;=YEAR(NOW()),FALSE)), OR(MID(metadata!C719,5,1)="", AND(AND(MID(metadata!C719,5,1)="-",IFERROR(INT(MID(metadata!C719,6,1))&gt;=0,FALSE),IFERROR(INT(MID(metadata!C719,6,1))&lt;=1,FALSE),NOT(MID(metadata!C719,7,1)=""),IFERROR(INT(MID(metadata!C719,6,2))&gt;=1,FALSE),IFERROR(INT(MID(metadata!C719,6,2))&lt;=12,FALSE)), OR(MID(metadata!C719,8,1)="", AND(AND(MID(metadata!C719,8,1)="-",IFERROR(INT(MID(metadata!C719,9,1))&gt;=0,FALSE),IFERROR(INT(MID(metadata!C719,9,1))&lt;=3,FALSE),NOT(MID(metadata!C719,10,1)=""),IFERROR(INT(MID(metadata!C719,9,2))&gt;=1,FALSE),IFERROR(INT(MID(metadata!C719,9,2))&lt;=31,FALSE)), OR(MID(metadata!C719,11,1)="", AND(AND(MID(metadata!C719,11,1)=" ",IFERROR(INT(MID(metadata!C719,12,1))&gt;=0,FALSE),IFERROR(INT(MID(metadata!C719,12,1))&lt;=2,FALSE),NOT(MID(metadata!C719,13,1)=""),IFERROR(INT(MID(metadata!C719,12,2))&gt;=0,FALSE),IFERROR(INT(MID(metadata!C719,12,2))&lt;=23,FALSE)), OR(MID(metadata!C719,14,1)="", AND(AND(MID(metadata!C719,14,1)=":",IFERROR(INT(MID(metadata!C719,15,1))&gt;=0,FALSE),IFERROR(INT(MID(metadata!C719,15,1))&lt;=5,FALSE),NOT(MID(metadata!C719,16,1)=""),IFERROR(INT(MID(metadata!C719,15,2))&gt;=0,FALSE),IFERROR(INT(MID(metadata!C719,15,2))&lt;=59,FALSE)), OR(MID(metadata!C719,17,1)="", AND(AND(MID(metadata!C719,17,1)=":",IFERROR(INT(MID(metadata!C719,18,1))&gt;=0,FALSE),IFERROR(INT(MID(metadata!C719,18,1))&lt;=5,FALSE),NOT(MID(metadata!C719,19,1)=""),IFERROR(INT(MID(metadata!C719,18,2))&gt;=0,FALSE),IFERROR(INT(MID(metadata!C719,18,2))&lt;=59,FALSE)), LEN(metadata!C719)&lt;=19)))))))))))))</f>
        <v>0</v>
      </c>
      <c r="AO719" t="b">
        <f>AND(IF(metadata!D719="",FALSE,TRUE),EXACT(metadata!D719,"Not applicable"))</f>
        <v>0</v>
      </c>
      <c r="AP719" t="b">
        <f>IF(metadata!E719="",FALSE,TRUE)</f>
        <v>0</v>
      </c>
      <c r="AQ719" t="b">
        <f>OR(AND(IF(metadata!F719="",FALSE,TRUE),OR(EXACT(metadata!F719,"missing: not collected"),EXACT(metadata!F719,"missing: not provided"))),AND(IF(metadata!F719="",FALSE,TRUE),OR(EXACT(metadata!F719,"TRUE"),EXACT(metadata!F719,"FALSE"))))</f>
        <v>0</v>
      </c>
      <c r="AR719" t="b">
        <f>OR(AND(IF(metadata!G719="",FALSE,TRUE),OR(EXACT(metadata!G719,"missing: not collected"),EXACT(metadata!G719,"missing: not provided"),EXACT(metadata!G719,"missing: restricted access"))),AND(IF(metadata!G719="",FALSE,ISNUMBER(VALUE(metadata!G719))),metadata!G719&gt;=-413))</f>
        <v>0</v>
      </c>
      <c r="AS719" t="b">
        <f>AND(IF(metadata!H719="",FALSE,TRUE),EXACT(metadata!H719,"meters"))</f>
        <v>0</v>
      </c>
      <c r="AT719" t="b">
        <f>AND(IF(metadata!I719="",FALSE,TRUE),OR(EXACT(metadata!I719,"Host-associated"),EXACT(metadata!I719,"Free-living")))</f>
        <v>0</v>
      </c>
      <c r="AU719" t="b">
        <f>AND(IF(metadata!J719="",FALSE,TRUE),OR(EXACT(metadata!J719,"Animal"),EXACT(metadata!J719,"Fungus"),EXACT(metadata!J719,"Plant"),EXACT(metadata!J719,"Saline"),EXACT(metadata!J719,"Non-saline")))</f>
        <v>0</v>
      </c>
      <c r="AV719" t="b">
        <f>AND(IF(metadata!K719="",FALSE,TRUE),OR(EXACT(metadata!K719,"Plant secretion"),EXACT(metadata!K719,"Plant rhizosphere"),EXACT(metadata!K719,"Plant surface"),EXACT(metadata!K719,"Plant corpus"),EXACT(metadata!K719,"Fungus surface"),EXACT(metadata!K719,"Fungus corpus"),EXACT(metadata!K719,"Animal surface"),EXACT(metadata!K719,"Animal proximal gut"),EXACT(metadata!K719,"Animal corpus"),EXACT(metadata!K719,"Animal distal gut"),EXACT(metadata!K719,"Animal secretion"),EXACT(metadata!K719,"Sub-surface (non-saline)"),EXACT(metadata!K719,"Surface (non-saline)"),EXACT(metadata!K719,"Water (non-saline)"),EXACT(metadata!K719,"Soil (non-saline)"),EXACT(metadata!K719,"Aerosol (non-saline)"),EXACT(metadata!K719,"Sediment (non-saline)"),EXACT(metadata!K719,"Surface (saline)"),EXACT(metadata!K719,"Water (saline)"),EXACT(metadata!K719,"Hypersaline (saline)"),EXACT(metadata!K719,"Aerosol (saline)"),EXACT(metadata!K719,"Sediment (saline)")))</f>
        <v>0</v>
      </c>
      <c r="AW719" t="b">
        <f>IF(metadata!L719="",FALSE,TRUE)</f>
        <v>0</v>
      </c>
      <c r="AX719" t="b">
        <f>IF(metadata!M719="",FALSE,TRUE)</f>
        <v>0</v>
      </c>
      <c r="AY719" t="b">
        <f>IF(metadata!N719="",FALSE,TRUE)</f>
        <v>0</v>
      </c>
      <c r="AZ719" t="b">
        <f>OR(AND(IF(metadata!O719="",FALSE,TRUE),OR(EXACT(metadata!O719,"missing: not collected"),EXACT(metadata!O719,"missing: not provided"),EXACT(metadata!O719,"missing: restricted access"))),AND(IF(metadata!O719="",FALSE,TRUE),OR(EXACT(metadata!O719,"air"),EXACT(metadata!O719,"built environment"),EXACT(metadata!O719,"host-associated"),EXACT(metadata!O719,"human-associated"),EXACT(metadata!O719,"human-skin"),EXACT(metadata!O719,"human-oral"),EXACT(metadata!O719,"human-gut"),EXACT(metadata!O719,"human-vaginal"),EXACT(metadata!O719,"microbial mat/biofilm"),EXACT(metadata!O719,"misc environment"),EXACT(metadata!O719,"plant-associated"),EXACT(metadata!O719,"sediment"),EXACT(metadata!O719,"soil"),EXACT(metadata!O719,"wastewater/sludge"),EXACT(metadata!O719,"water"))))</f>
        <v>0</v>
      </c>
      <c r="BA719" t="b">
        <f>IF(metadata!P719="",FALSE,TRUE)</f>
        <v>0</v>
      </c>
      <c r="BB719" t="b">
        <f>IF(metadata!Q719="",FALSE,TRUE)</f>
        <v>0</v>
      </c>
      <c r="BC719" t="b">
        <f>OR(AND(IF(metadata!R719="",FALSE,TRUE),OR(EXACT(metadata!R719,"missing: not collected"),EXACT(metadata!R719,"missing: not provided"),EXACT(metadata!R719,"missing: restricted access"))),AND(IF(metadata!R719="",FALSE,ISNUMBER(VALUE(metadata!R719))),metadata!R719&gt;=-90,metadata!R719&lt;=90))</f>
        <v>0</v>
      </c>
      <c r="BD719" t="b">
        <f>AND(IF(metadata!S719="",FALSE,TRUE),EXACT(metadata!S719,"Decimal degrees"))</f>
        <v>0</v>
      </c>
      <c r="BE719" t="b">
        <f>OR(AND(IF(metadata!T719="",FALSE,TRUE),OR(EXACT(metadata!T719,"missing: not collected"),EXACT(metadata!T719,"missing: not provided"),EXACT(metadata!T719,"missing: restricted access"))),AND(IF(metadata!T719="",FALSE,ISNUMBER(VALUE(metadata!T719))),metadata!T719&gt;=-180,metadata!T719&lt;=180))</f>
        <v>0</v>
      </c>
      <c r="BF719" t="b">
        <f>AND(IF(metadata!U719="",FALSE,TRUE),EXACT(metadata!U719,"Decimal degrees"))</f>
        <v>0</v>
      </c>
      <c r="BG719" t="b">
        <f>IF(metadata!V719="",FALSE,TRUE)</f>
        <v>0</v>
      </c>
      <c r="BH719" t="b">
        <f>OR(AND(IF(metadata!W719="",FALSE,TRUE),OR(EXACT(metadata!W719,"missing: not collected"),EXACT(metadata!W719,"missing: not provided"),EXACT(metadata!W719,"missing: restricted access"))),AND(IF(metadata!W719="",FALSE,TRUE),OR(EXACT(metadata!W719,"TRUE"),EXACT(metadata!W719,"FALSE"))))</f>
        <v>0</v>
      </c>
      <c r="BI719" t="b">
        <f>AND(IF(metadata!X719="",FALSE,TRUE),EXACT(metadata!X719,"other"))</f>
        <v>0</v>
      </c>
      <c r="BJ719" t="b">
        <f>IF(metadata!Y719="",FALSE,TRUE)</f>
        <v>0</v>
      </c>
      <c r="BK719" t="b">
        <f>OR(AND(IF(metadata!Z719="",FALSE,TRUE),OR(EXACT(metadata!Z719,"missing: not collected"),EXACT(metadata!Z719,"missing: not provided"))),AND(IF(metadata!Z719="",FALSE,IF(ISERROR(INT(metadata!Z719)),FALSE,INT(metadata!Z719)=metadata!Z719)),metadata!Z719&gt;0))</f>
        <v>0</v>
      </c>
      <c r="BL719" t="b">
        <f>AND(IF(metadata!AA719="",FALSE,TRUE),EXACT(metadata!AA719,"Not applicable"))</f>
        <v>0</v>
      </c>
      <c r="BM719" t="b">
        <f>IF(metadata!AB719="",FALSE,TRUE)</f>
        <v>0</v>
      </c>
    </row>
    <row r="720" spans="1:65" x14ac:dyDescent="0.2">
      <c r="A720" s="5" t="str">
        <f ca="1">IF(B720=" "," ",HYPERLINK(CONCATENATE("#metadata!",ADDRESS(INDEX($AH$2:$AH$1001,MATCH(ROWS($AF$2:AF720),$AF$2:$AF$1001,0),0),1)),INDEX($AK$2:$AK$1001,MATCH(ROWS($AF$2:AF720),$AF$2:$AF$1001,0),0)))</f>
        <v xml:space="preserve"> </v>
      </c>
      <c r="B720" s="4" t="str">
        <f ca="1">IF(OR(INDEX($AG$2:$AG$1001,MATCH(ROWS($AF$2:AF720),$AF$2:$AF$1001,0),1)&gt;=100000,INDEX($AM$1005:$BM$1005,1,MATCH(COLUMNS($AM$1006:AM1006),$AM$1006:$BM$1006,0))&gt;=100000), " ",IF(INDEX($AM$2:$BM$1001,MATCH(ROWS($AF$2:AF720),$AF$2:$AF$1001,0),MATCH(COLUMNS($AM$1006:AM1006),$AM$1006:$BM$1006,0)), HYPERLINK("#",""), HYPERLINK(CONCATENATE("#metadata!", ADDRESS(INDEX($AH$2:$AH$1001,MATCH(ROWS($AF$2:AF720),$AF$2:$AF$1001,0),0), INDEX($AM$1004:$BM$1004,1,MATCH(COLUMNS($AM$1006:AM1006),$AM$1006:$BM$1006,0)))),"Fix")))</f>
        <v xml:space="preserve"> </v>
      </c>
      <c r="C720" s="4" t="str">
        <f ca="1">IF(OR(INDEX($AG$2:$AG$1001,MATCH(ROWS($AF$2:AF720),$AF$2:$AF$1001,0),1)&gt;=100000,INDEX($AM$1005:$BM$1005,1,MATCH(COLUMNS($AM$1006:AN1006),$AM$1006:$BM$1006,0))&gt;=100000), " ",IF(INDEX($AM$2:$BM$1001,MATCH(ROWS($AF$2:AF720),$AF$2:$AF$1001,0),MATCH(COLUMNS($AM$1006:AN1006),$AM$1006:$BM$1006,0)), HYPERLINK("#",""), HYPERLINK(CONCATENATE("#metadata!", ADDRESS(INDEX($AH$2:$AH$1001,MATCH(ROWS($AF$2:AF720),$AF$2:$AF$1001,0),0), INDEX($AM$1004:$BM$1004,1,MATCH(COLUMNS($AM$1006:AN1006),$AM$1006:$BM$1006,0)))),"Fix")))</f>
        <v xml:space="preserve"> </v>
      </c>
      <c r="D720" s="4" t="str">
        <f ca="1">IF(OR(INDEX($AG$2:$AG$1001,MATCH(ROWS($AF$2:AF720),$AF$2:$AF$1001,0),1)&gt;=100000,INDEX($AM$1005:$BM$1005,1,MATCH(COLUMNS($AM$1006:AO1006),$AM$1006:$BM$1006,0))&gt;=100000), " ",IF(INDEX($AM$2:$BM$1001,MATCH(ROWS($AF$2:AF720),$AF$2:$AF$1001,0),MATCH(COLUMNS($AM$1006:AO1006),$AM$1006:$BM$1006,0)), HYPERLINK("#",""), HYPERLINK(CONCATENATE("#metadata!", ADDRESS(INDEX($AH$2:$AH$1001,MATCH(ROWS($AF$2:AF720),$AF$2:$AF$1001,0),0), INDEX($AM$1004:$BM$1004,1,MATCH(COLUMNS($AM$1006:AO1006),$AM$1006:$BM$1006,0)))),"Fix")))</f>
        <v xml:space="preserve"> </v>
      </c>
      <c r="E720" s="4" t="str">
        <f ca="1">IF(OR(INDEX($AG$2:$AG$1001,MATCH(ROWS($AF$2:AF720),$AF$2:$AF$1001,0),1)&gt;=100000,INDEX($AM$1005:$BM$1005,1,MATCH(COLUMNS($AM$1006:AP1006),$AM$1006:$BM$1006,0))&gt;=100000), " ",IF(INDEX($AM$2:$BM$1001,MATCH(ROWS($AF$2:AF720),$AF$2:$AF$1001,0),MATCH(COLUMNS($AM$1006:AP1006),$AM$1006:$BM$1006,0)), HYPERLINK("#",""), HYPERLINK(CONCATENATE("#metadata!", ADDRESS(INDEX($AH$2:$AH$1001,MATCH(ROWS($AF$2:AF720),$AF$2:$AF$1001,0),0), INDEX($AM$1004:$BM$1004,1,MATCH(COLUMNS($AM$1006:AP1006),$AM$1006:$BM$1006,0)))),"Fix")))</f>
        <v xml:space="preserve"> </v>
      </c>
      <c r="F720" s="4" t="str">
        <f ca="1">IF(OR(INDEX($AG$2:$AG$1001,MATCH(ROWS($AF$2:AF720),$AF$2:$AF$1001,0),1)&gt;=100000,INDEX($AM$1005:$BM$1005,1,MATCH(COLUMNS($AM$1006:AQ1006),$AM$1006:$BM$1006,0))&gt;=100000), " ",IF(INDEX($AM$2:$BM$1001,MATCH(ROWS($AF$2:AF720),$AF$2:$AF$1001,0),MATCH(COLUMNS($AM$1006:AQ1006),$AM$1006:$BM$1006,0)), HYPERLINK("#",""), HYPERLINK(CONCATENATE("#metadata!", ADDRESS(INDEX($AH$2:$AH$1001,MATCH(ROWS($AF$2:AF720),$AF$2:$AF$1001,0),0), INDEX($AM$1004:$BM$1004,1,MATCH(COLUMNS($AM$1006:AQ1006),$AM$1006:$BM$1006,0)))),"Fix")))</f>
        <v xml:space="preserve"> </v>
      </c>
      <c r="G720" s="4" t="str">
        <f ca="1">IF(OR(INDEX($AG$2:$AG$1001,MATCH(ROWS($AF$2:AF720),$AF$2:$AF$1001,0),1)&gt;=100000,INDEX($AM$1005:$BM$1005,1,MATCH(COLUMNS($AM$1006:AR1006),$AM$1006:$BM$1006,0))&gt;=100000), " ",IF(INDEX($AM$2:$BM$1001,MATCH(ROWS($AF$2:AF720),$AF$2:$AF$1001,0),MATCH(COLUMNS($AM$1006:AR1006),$AM$1006:$BM$1006,0)), HYPERLINK("#",""), HYPERLINK(CONCATENATE("#metadata!", ADDRESS(INDEX($AH$2:$AH$1001,MATCH(ROWS($AF$2:AF720),$AF$2:$AF$1001,0),0), INDEX($AM$1004:$BM$1004,1,MATCH(COLUMNS($AM$1006:AR1006),$AM$1006:$BM$1006,0)))),"Fix")))</f>
        <v xml:space="preserve"> </v>
      </c>
      <c r="H720" s="4" t="str">
        <f ca="1">IF(OR(INDEX($AG$2:$AG$1001,MATCH(ROWS($AF$2:AF720),$AF$2:$AF$1001,0),1)&gt;=100000,INDEX($AM$1005:$BM$1005,1,MATCH(COLUMNS($AM$1006:AS1006),$AM$1006:$BM$1006,0))&gt;=100000), " ",IF(INDEX($AM$2:$BM$1001,MATCH(ROWS($AF$2:AF720),$AF$2:$AF$1001,0),MATCH(COLUMNS($AM$1006:AS1006),$AM$1006:$BM$1006,0)), HYPERLINK("#",""), HYPERLINK(CONCATENATE("#metadata!", ADDRESS(INDEX($AH$2:$AH$1001,MATCH(ROWS($AF$2:AF720),$AF$2:$AF$1001,0),0), INDEX($AM$1004:$BM$1004,1,MATCH(COLUMNS($AM$1006:AS1006),$AM$1006:$BM$1006,0)))),"Fix")))</f>
        <v xml:space="preserve"> </v>
      </c>
      <c r="I720" s="4" t="str">
        <f ca="1">IF(OR(INDEX($AG$2:$AG$1001,MATCH(ROWS($AF$2:AF720),$AF$2:$AF$1001,0),1)&gt;=100000,INDEX($AM$1005:$BM$1005,1,MATCH(COLUMNS($AM$1006:AT1006),$AM$1006:$BM$1006,0))&gt;=100000), " ",IF(INDEX($AM$2:$BM$1001,MATCH(ROWS($AF$2:AF720),$AF$2:$AF$1001,0),MATCH(COLUMNS($AM$1006:AT1006),$AM$1006:$BM$1006,0)), HYPERLINK("#",""), HYPERLINK(CONCATENATE("#metadata!", ADDRESS(INDEX($AH$2:$AH$1001,MATCH(ROWS($AF$2:AF720),$AF$2:$AF$1001,0),0), INDEX($AM$1004:$BM$1004,1,MATCH(COLUMNS($AM$1006:AT1006),$AM$1006:$BM$1006,0)))),"Fix")))</f>
        <v xml:space="preserve"> </v>
      </c>
      <c r="J720" s="4" t="str">
        <f ca="1">IF(OR(INDEX($AG$2:$AG$1001,MATCH(ROWS($AF$2:AF720),$AF$2:$AF$1001,0),1)&gt;=100000,INDEX($AM$1005:$BM$1005,1,MATCH(COLUMNS($AM$1006:AU1006),$AM$1006:$BM$1006,0))&gt;=100000), " ",IF(INDEX($AM$2:$BM$1001,MATCH(ROWS($AF$2:AF720),$AF$2:$AF$1001,0),MATCH(COLUMNS($AM$1006:AU1006),$AM$1006:$BM$1006,0)), HYPERLINK("#",""), HYPERLINK(CONCATENATE("#metadata!", ADDRESS(INDEX($AH$2:$AH$1001,MATCH(ROWS($AF$2:AF720),$AF$2:$AF$1001,0),0), INDEX($AM$1004:$BM$1004,1,MATCH(COLUMNS($AM$1006:AU1006),$AM$1006:$BM$1006,0)))),"Fix")))</f>
        <v xml:space="preserve"> </v>
      </c>
      <c r="K720" s="4" t="str">
        <f ca="1">IF(OR(INDEX($AG$2:$AG$1001,MATCH(ROWS($AF$2:AF720),$AF$2:$AF$1001,0),1)&gt;=100000,INDEX($AM$1005:$BM$1005,1,MATCH(COLUMNS($AM$1006:AV1006),$AM$1006:$BM$1006,0))&gt;=100000), " ",IF(INDEX($AM$2:$BM$1001,MATCH(ROWS($AF$2:AF720),$AF$2:$AF$1001,0),MATCH(COLUMNS($AM$1006:AV1006),$AM$1006:$BM$1006,0)), HYPERLINK("#",""), HYPERLINK(CONCATENATE("#metadata!", ADDRESS(INDEX($AH$2:$AH$1001,MATCH(ROWS($AF$2:AF720),$AF$2:$AF$1001,0),0), INDEX($AM$1004:$BM$1004,1,MATCH(COLUMNS($AM$1006:AV1006),$AM$1006:$BM$1006,0)))),"Fix")))</f>
        <v xml:space="preserve"> </v>
      </c>
      <c r="L720" s="4" t="str">
        <f ca="1">IF(OR(INDEX($AG$2:$AG$1001,MATCH(ROWS($AF$2:AF720),$AF$2:$AF$1001,0),1)&gt;=100000,INDEX($AM$1005:$BM$1005,1,MATCH(COLUMNS($AM$1006:AW1006),$AM$1006:$BM$1006,0))&gt;=100000), " ",IF(INDEX($AM$2:$BM$1001,MATCH(ROWS($AF$2:AF720),$AF$2:$AF$1001,0),MATCH(COLUMNS($AM$1006:AW1006),$AM$1006:$BM$1006,0)), HYPERLINK("#",""), HYPERLINK(CONCATENATE("#metadata!", ADDRESS(INDEX($AH$2:$AH$1001,MATCH(ROWS($AF$2:AF720),$AF$2:$AF$1001,0),0), INDEX($AM$1004:$BM$1004,1,MATCH(COLUMNS($AM$1006:AW1006),$AM$1006:$BM$1006,0)))),"Fix")))</f>
        <v xml:space="preserve"> </v>
      </c>
      <c r="M720" s="4" t="str">
        <f ca="1">IF(OR(INDEX($AG$2:$AG$1001,MATCH(ROWS($AF$2:AF720),$AF$2:$AF$1001,0),1)&gt;=100000,INDEX($AM$1005:$BM$1005,1,MATCH(COLUMNS($AM$1006:AX1006),$AM$1006:$BM$1006,0))&gt;=100000), " ",IF(INDEX($AM$2:$BM$1001,MATCH(ROWS($AF$2:AF720),$AF$2:$AF$1001,0),MATCH(COLUMNS($AM$1006:AX1006),$AM$1006:$BM$1006,0)), HYPERLINK("#",""), HYPERLINK(CONCATENATE("#metadata!", ADDRESS(INDEX($AH$2:$AH$1001,MATCH(ROWS($AF$2:AF720),$AF$2:$AF$1001,0),0), INDEX($AM$1004:$BM$1004,1,MATCH(COLUMNS($AM$1006:AX1006),$AM$1006:$BM$1006,0)))),"Fix")))</f>
        <v xml:space="preserve"> </v>
      </c>
      <c r="N720" s="4" t="str">
        <f ca="1">IF(OR(INDEX($AG$2:$AG$1001,MATCH(ROWS($AF$2:AF720),$AF$2:$AF$1001,0),1)&gt;=100000,INDEX($AM$1005:$BM$1005,1,MATCH(COLUMNS($AM$1006:AY1006),$AM$1006:$BM$1006,0))&gt;=100000), " ",IF(INDEX($AM$2:$BM$1001,MATCH(ROWS($AF$2:AF720),$AF$2:$AF$1001,0),MATCH(COLUMNS($AM$1006:AY1006),$AM$1006:$BM$1006,0)), HYPERLINK("#",""), HYPERLINK(CONCATENATE("#metadata!", ADDRESS(INDEX($AH$2:$AH$1001,MATCH(ROWS($AF$2:AF720),$AF$2:$AF$1001,0),0), INDEX($AM$1004:$BM$1004,1,MATCH(COLUMNS($AM$1006:AY1006),$AM$1006:$BM$1006,0)))),"Fix")))</f>
        <v xml:space="preserve"> </v>
      </c>
      <c r="O720" s="4" t="str">
        <f ca="1">IF(OR(INDEX($AG$2:$AG$1001,MATCH(ROWS($AF$2:AF720),$AF$2:$AF$1001,0),1)&gt;=100000,INDEX($AM$1005:$BM$1005,1,MATCH(COLUMNS($AM$1006:AZ1006),$AM$1006:$BM$1006,0))&gt;=100000), " ",IF(INDEX($AM$2:$BM$1001,MATCH(ROWS($AF$2:AF720),$AF$2:$AF$1001,0),MATCH(COLUMNS($AM$1006:AZ1006),$AM$1006:$BM$1006,0)), HYPERLINK("#",""), HYPERLINK(CONCATENATE("#metadata!", ADDRESS(INDEX($AH$2:$AH$1001,MATCH(ROWS($AF$2:AF720),$AF$2:$AF$1001,0),0), INDEX($AM$1004:$BM$1004,1,MATCH(COLUMNS($AM$1006:AZ1006),$AM$1006:$BM$1006,0)))),"Fix")))</f>
        <v xml:space="preserve"> </v>
      </c>
      <c r="P720" s="4" t="str">
        <f ca="1">IF(OR(INDEX($AG$2:$AG$1001,MATCH(ROWS($AF$2:AF720),$AF$2:$AF$1001,0),1)&gt;=100000,INDEX($AM$1005:$BM$1005,1,MATCH(COLUMNS($AM$1006:BA1006),$AM$1006:$BM$1006,0))&gt;=100000), " ",IF(INDEX($AM$2:$BM$1001,MATCH(ROWS($AF$2:AF720),$AF$2:$AF$1001,0),MATCH(COLUMNS($AM$1006:BA1006),$AM$1006:$BM$1006,0)), HYPERLINK("#",""), HYPERLINK(CONCATENATE("#metadata!", ADDRESS(INDEX($AH$2:$AH$1001,MATCH(ROWS($AF$2:AF720),$AF$2:$AF$1001,0),0), INDEX($AM$1004:$BM$1004,1,MATCH(COLUMNS($AM$1006:BA1006),$AM$1006:$BM$1006,0)))),"Fix")))</f>
        <v xml:space="preserve"> </v>
      </c>
      <c r="Q720" s="4" t="str">
        <f ca="1">IF(OR(INDEX($AG$2:$AG$1001,MATCH(ROWS($AF$2:AF720),$AF$2:$AF$1001,0),1)&gt;=100000,INDEX($AM$1005:$BM$1005,1,MATCH(COLUMNS($AM$1006:BB1006),$AM$1006:$BM$1006,0))&gt;=100000), " ",IF(INDEX($AM$2:$BM$1001,MATCH(ROWS($AF$2:AF720),$AF$2:$AF$1001,0),MATCH(COLUMNS($AM$1006:BB1006),$AM$1006:$BM$1006,0)), HYPERLINK("#",""), HYPERLINK(CONCATENATE("#metadata!", ADDRESS(INDEX($AH$2:$AH$1001,MATCH(ROWS($AF$2:AF720),$AF$2:$AF$1001,0),0), INDEX($AM$1004:$BM$1004,1,MATCH(COLUMNS($AM$1006:BB1006),$AM$1006:$BM$1006,0)))),"Fix")))</f>
        <v xml:space="preserve"> </v>
      </c>
      <c r="R720" s="4" t="str">
        <f ca="1">IF(OR(INDEX($AG$2:$AG$1001,MATCH(ROWS($AF$2:AF720),$AF$2:$AF$1001,0),1)&gt;=100000,INDEX($AM$1005:$BM$1005,1,MATCH(COLUMNS($AM$1006:BC1006),$AM$1006:$BM$1006,0))&gt;=100000), " ",IF(INDEX($AM$2:$BM$1001,MATCH(ROWS($AF$2:AF720),$AF$2:$AF$1001,0),MATCH(COLUMNS($AM$1006:BC1006),$AM$1006:$BM$1006,0)), HYPERLINK("#",""), HYPERLINK(CONCATENATE("#metadata!", ADDRESS(INDEX($AH$2:$AH$1001,MATCH(ROWS($AF$2:AF720),$AF$2:$AF$1001,0),0), INDEX($AM$1004:$BM$1004,1,MATCH(COLUMNS($AM$1006:BC1006),$AM$1006:$BM$1006,0)))),"Fix")))</f>
        <v xml:space="preserve"> </v>
      </c>
      <c r="S720" s="4" t="str">
        <f ca="1">IF(OR(INDEX($AG$2:$AG$1001,MATCH(ROWS($AF$2:AF720),$AF$2:$AF$1001,0),1)&gt;=100000,INDEX($AM$1005:$BM$1005,1,MATCH(COLUMNS($AM$1006:BD1006),$AM$1006:$BM$1006,0))&gt;=100000), " ",IF(INDEX($AM$2:$BM$1001,MATCH(ROWS($AF$2:AF720),$AF$2:$AF$1001,0),MATCH(COLUMNS($AM$1006:BD1006),$AM$1006:$BM$1006,0)), HYPERLINK("#",""), HYPERLINK(CONCATENATE("#metadata!", ADDRESS(INDEX($AH$2:$AH$1001,MATCH(ROWS($AF$2:AF720),$AF$2:$AF$1001,0),0), INDEX($AM$1004:$BM$1004,1,MATCH(COLUMNS($AM$1006:BD1006),$AM$1006:$BM$1006,0)))),"Fix")))</f>
        <v xml:space="preserve"> </v>
      </c>
      <c r="T720" s="4" t="str">
        <f ca="1">IF(OR(INDEX($AG$2:$AG$1001,MATCH(ROWS($AF$2:AF720),$AF$2:$AF$1001,0),1)&gt;=100000,INDEX($AM$1005:$BM$1005,1,MATCH(COLUMNS($AM$1006:BE1006),$AM$1006:$BM$1006,0))&gt;=100000), " ",IF(INDEX($AM$2:$BM$1001,MATCH(ROWS($AF$2:AF720),$AF$2:$AF$1001,0),MATCH(COLUMNS($AM$1006:BE1006),$AM$1006:$BM$1006,0)), HYPERLINK("#",""), HYPERLINK(CONCATENATE("#metadata!", ADDRESS(INDEX($AH$2:$AH$1001,MATCH(ROWS($AF$2:AF720),$AF$2:$AF$1001,0),0), INDEX($AM$1004:$BM$1004,1,MATCH(COLUMNS($AM$1006:BE1006),$AM$1006:$BM$1006,0)))),"Fix")))</f>
        <v xml:space="preserve"> </v>
      </c>
      <c r="U720" s="4" t="str">
        <f ca="1">IF(OR(INDEX($AG$2:$AG$1001,MATCH(ROWS($AF$2:AF720),$AF$2:$AF$1001,0),1)&gt;=100000,INDEX($AM$1005:$BM$1005,1,MATCH(COLUMNS($AM$1006:BF1006),$AM$1006:$BM$1006,0))&gt;=100000), " ",IF(INDEX($AM$2:$BM$1001,MATCH(ROWS($AF$2:AF720),$AF$2:$AF$1001,0),MATCH(COLUMNS($AM$1006:BF1006),$AM$1006:$BM$1006,0)), HYPERLINK("#",""), HYPERLINK(CONCATENATE("#metadata!", ADDRESS(INDEX($AH$2:$AH$1001,MATCH(ROWS($AF$2:AF720),$AF$2:$AF$1001,0),0), INDEX($AM$1004:$BM$1004,1,MATCH(COLUMNS($AM$1006:BF1006),$AM$1006:$BM$1006,0)))),"Fix")))</f>
        <v xml:space="preserve"> </v>
      </c>
      <c r="V720" s="4" t="str">
        <f ca="1">IF(OR(INDEX($AG$2:$AG$1001,MATCH(ROWS($AF$2:AF720),$AF$2:$AF$1001,0),1)&gt;=100000,INDEX($AM$1005:$BM$1005,1,MATCH(COLUMNS($AM$1006:BG1006),$AM$1006:$BM$1006,0))&gt;=100000), " ",IF(INDEX($AM$2:$BM$1001,MATCH(ROWS($AF$2:AF720),$AF$2:$AF$1001,0),MATCH(COLUMNS($AM$1006:BG1006),$AM$1006:$BM$1006,0)), HYPERLINK("#",""), HYPERLINK(CONCATENATE("#metadata!", ADDRESS(INDEX($AH$2:$AH$1001,MATCH(ROWS($AF$2:AF720),$AF$2:$AF$1001,0),0), INDEX($AM$1004:$BM$1004,1,MATCH(COLUMNS($AM$1006:BG1006),$AM$1006:$BM$1006,0)))),"Fix")))</f>
        <v xml:space="preserve"> </v>
      </c>
      <c r="W720" s="4" t="str">
        <f ca="1">IF(OR(INDEX($AG$2:$AG$1001,MATCH(ROWS($AF$2:AF720),$AF$2:$AF$1001,0),1)&gt;=100000,INDEX($AM$1005:$BM$1005,1,MATCH(COLUMNS($AM$1006:BH1006),$AM$1006:$BM$1006,0))&gt;=100000), " ",IF(INDEX($AM$2:$BM$1001,MATCH(ROWS($AF$2:AF720),$AF$2:$AF$1001,0),MATCH(COLUMNS($AM$1006:BH1006),$AM$1006:$BM$1006,0)), HYPERLINK("#",""), HYPERLINK(CONCATENATE("#metadata!", ADDRESS(INDEX($AH$2:$AH$1001,MATCH(ROWS($AF$2:AF720),$AF$2:$AF$1001,0),0), INDEX($AM$1004:$BM$1004,1,MATCH(COLUMNS($AM$1006:BH1006),$AM$1006:$BM$1006,0)))),"Fix")))</f>
        <v xml:space="preserve"> </v>
      </c>
      <c r="X720" s="4" t="str">
        <f ca="1">IF(OR(INDEX($AG$2:$AG$1001,MATCH(ROWS($AF$2:AF720),$AF$2:$AF$1001,0),1)&gt;=100000,INDEX($AM$1005:$BM$1005,1,MATCH(COLUMNS($AM$1006:BI1006),$AM$1006:$BM$1006,0))&gt;=100000), " ",IF(INDEX($AM$2:$BM$1001,MATCH(ROWS($AF$2:AF720),$AF$2:$AF$1001,0),MATCH(COLUMNS($AM$1006:BI1006),$AM$1006:$BM$1006,0)), HYPERLINK("#",""), HYPERLINK(CONCATENATE("#metadata!", ADDRESS(INDEX($AH$2:$AH$1001,MATCH(ROWS($AF$2:AF720),$AF$2:$AF$1001,0),0), INDEX($AM$1004:$BM$1004,1,MATCH(COLUMNS($AM$1006:BI1006),$AM$1006:$BM$1006,0)))),"Fix")))</f>
        <v xml:space="preserve"> </v>
      </c>
      <c r="Y720" s="4" t="str">
        <f ca="1">IF(OR(INDEX($AG$2:$AG$1001,MATCH(ROWS($AF$2:AF720),$AF$2:$AF$1001,0),1)&gt;=100000,INDEX($AM$1005:$BM$1005,1,MATCH(COLUMNS($AM$1006:BJ1006),$AM$1006:$BM$1006,0))&gt;=100000), " ",IF(INDEX($AM$2:$BM$1001,MATCH(ROWS($AF$2:AF720),$AF$2:$AF$1001,0),MATCH(COLUMNS($AM$1006:BJ1006),$AM$1006:$BM$1006,0)), HYPERLINK("#",""), HYPERLINK(CONCATENATE("#metadata!", ADDRESS(INDEX($AH$2:$AH$1001,MATCH(ROWS($AF$2:AF720),$AF$2:$AF$1001,0),0), INDEX($AM$1004:$BM$1004,1,MATCH(COLUMNS($AM$1006:BJ1006),$AM$1006:$BM$1006,0)))),"Fix")))</f>
        <v xml:space="preserve"> </v>
      </c>
      <c r="Z720" s="4" t="str">
        <f ca="1">IF(OR(INDEX($AG$2:$AG$1001,MATCH(ROWS($AF$2:AF720),$AF$2:$AF$1001,0),1)&gt;=100000,INDEX($AM$1005:$BM$1005,1,MATCH(COLUMNS($AM$1006:BK1006),$AM$1006:$BM$1006,0))&gt;=100000), " ",IF(INDEX($AM$2:$BM$1001,MATCH(ROWS($AF$2:AF720),$AF$2:$AF$1001,0),MATCH(COLUMNS($AM$1006:BK1006),$AM$1006:$BM$1006,0)), HYPERLINK("#",""), HYPERLINK(CONCATENATE("#metadata!", ADDRESS(INDEX($AH$2:$AH$1001,MATCH(ROWS($AF$2:AF720),$AF$2:$AF$1001,0),0), INDEX($AM$1004:$BM$1004,1,MATCH(COLUMNS($AM$1006:BK1006),$AM$1006:$BM$1006,0)))),"Fix")))</f>
        <v xml:space="preserve"> </v>
      </c>
      <c r="AA720" s="4" t="str">
        <f ca="1">IF(OR(INDEX($AG$2:$AG$1001,MATCH(ROWS($AF$2:AF720),$AF$2:$AF$1001,0),1)&gt;=100000,INDEX($AM$1005:$BM$1005,1,MATCH(COLUMNS($AM$1006:BL1006),$AM$1006:$BM$1006,0))&gt;=100000), " ",IF(INDEX($AM$2:$BM$1001,MATCH(ROWS($AF$2:AF720),$AF$2:$AF$1001,0),MATCH(COLUMNS($AM$1006:BL1006),$AM$1006:$BM$1006,0)), HYPERLINK("#",""), HYPERLINK(CONCATENATE("#metadata!", ADDRESS(INDEX($AH$2:$AH$1001,MATCH(ROWS($AF$2:AF720),$AF$2:$AF$1001,0),0), INDEX($AM$1004:$BM$1004,1,MATCH(COLUMNS($AM$1006:BL1006),$AM$1006:$BM$1006,0)))),"Fix")))</f>
        <v xml:space="preserve"> </v>
      </c>
      <c r="AB720" s="4" t="str">
        <f ca="1">IF(OR(INDEX($AG$2:$AG$1001,MATCH(ROWS($AF$2:AF720),$AF$2:$AF$1001,0),1)&gt;=100000,INDEX($AM$1005:$BM$1005,1,MATCH(COLUMNS($AM$1006:BM1006),$AM$1006:$BM$1006,0))&gt;=100000), " ",IF(INDEX($AM$2:$BM$1001,MATCH(ROWS($AF$2:AF720),$AF$2:$AF$1001,0),MATCH(COLUMNS($AM$1006:BM1006),$AM$1006:$BM$1006,0)), HYPERLINK("#",""), HYPERLINK(CONCATENATE("#metadata!", ADDRESS(INDEX($AH$2:$AH$1001,MATCH(ROWS($AF$2:AF720),$AF$2:$AF$1001,0),0), INDEX($AM$1004:$BM$1004,1,MATCH(COLUMNS($AM$1006:BM1006),$AM$1006:$BM$1006,0)))),"Fix")))</f>
        <v xml:space="preserve"> </v>
      </c>
      <c r="AF720">
        <v>719</v>
      </c>
      <c r="AG720">
        <v>100720</v>
      </c>
      <c r="AH720">
        <v>720</v>
      </c>
      <c r="AI720" t="b">
        <f t="shared" si="11"/>
        <v>1</v>
      </c>
      <c r="AJ720" t="b">
        <f>COUNTBLANK(metadata!B720:AB720)=COLUMNS(metadata!B720:AB720)</f>
        <v>1</v>
      </c>
      <c r="AK720" t="str">
        <v/>
      </c>
      <c r="AM720" t="b">
        <f ca="1">AND(IF(metadata!B720="",FALSE,TRUE),COUNTIF(metadata!B:B, metadata!B720) = 1,NOT(ISERROR(SUMPRODUCT(SEARCH(MID(metadata!B720,ROW(INDIRECT("1:"&amp;LEN(metadata!B720))), 1),"0123456789abcdefghijklmnopqrstuvwxyzABCDEFGHIJKLMNOPQRSTUVWXYZ.")))))</f>
        <v>0</v>
      </c>
      <c r="AN720" t="b">
        <f ca="1">OR(AND(IF(metadata!C720="",FALSE,TRUE),OR(EXACT(metadata!C720,"missing: not collected"),EXACT(metadata!C720,"missing: not provided"),EXACT(metadata!C720,"missing: restricted access"))),AND(IF(metadata!C720="",FALSE,TRUE),AND(AND(IFERROR(INT(LEFT(metadata!C720,4))&gt;1900,FALSE),IFERROR(INT(LEFT(metadata!C720,4))&lt;=YEAR(NOW()),FALSE)), OR(MID(metadata!C720,5,1)="", AND(AND(MID(metadata!C720,5,1)="-",IFERROR(INT(MID(metadata!C720,6,1))&gt;=0,FALSE),IFERROR(INT(MID(metadata!C720,6,1))&lt;=1,FALSE),NOT(MID(metadata!C720,7,1)=""),IFERROR(INT(MID(metadata!C720,6,2))&gt;=1,FALSE),IFERROR(INT(MID(metadata!C720,6,2))&lt;=12,FALSE)), OR(MID(metadata!C720,8,1)="", AND(AND(MID(metadata!C720,8,1)="-",IFERROR(INT(MID(metadata!C720,9,1))&gt;=0,FALSE),IFERROR(INT(MID(metadata!C720,9,1))&lt;=3,FALSE),NOT(MID(metadata!C720,10,1)=""),IFERROR(INT(MID(metadata!C720,9,2))&gt;=1,FALSE),IFERROR(INT(MID(metadata!C720,9,2))&lt;=31,FALSE)), OR(MID(metadata!C720,11,1)="", AND(AND(MID(metadata!C720,11,1)=" ",IFERROR(INT(MID(metadata!C720,12,1))&gt;=0,FALSE),IFERROR(INT(MID(metadata!C720,12,1))&lt;=2,FALSE),NOT(MID(metadata!C720,13,1)=""),IFERROR(INT(MID(metadata!C720,12,2))&gt;=0,FALSE),IFERROR(INT(MID(metadata!C720,12,2))&lt;=23,FALSE)), OR(MID(metadata!C720,14,1)="", AND(AND(MID(metadata!C720,14,1)=":",IFERROR(INT(MID(metadata!C720,15,1))&gt;=0,FALSE),IFERROR(INT(MID(metadata!C720,15,1))&lt;=5,FALSE),NOT(MID(metadata!C720,16,1)=""),IFERROR(INT(MID(metadata!C720,15,2))&gt;=0,FALSE),IFERROR(INT(MID(metadata!C720,15,2))&lt;=59,FALSE)), OR(MID(metadata!C720,17,1)="", AND(AND(MID(metadata!C720,17,1)=":",IFERROR(INT(MID(metadata!C720,18,1))&gt;=0,FALSE),IFERROR(INT(MID(metadata!C720,18,1))&lt;=5,FALSE),NOT(MID(metadata!C720,19,1)=""),IFERROR(INT(MID(metadata!C720,18,2))&gt;=0,FALSE),IFERROR(INT(MID(metadata!C720,18,2))&lt;=59,FALSE)), LEN(metadata!C720)&lt;=19)))))))))))))</f>
        <v>0</v>
      </c>
      <c r="AO720" t="b">
        <f>AND(IF(metadata!D720="",FALSE,TRUE),EXACT(metadata!D720,"Not applicable"))</f>
        <v>0</v>
      </c>
      <c r="AP720" t="b">
        <f>IF(metadata!E720="",FALSE,TRUE)</f>
        <v>0</v>
      </c>
      <c r="AQ720" t="b">
        <f>OR(AND(IF(metadata!F720="",FALSE,TRUE),OR(EXACT(metadata!F720,"missing: not collected"),EXACT(metadata!F720,"missing: not provided"))),AND(IF(metadata!F720="",FALSE,TRUE),OR(EXACT(metadata!F720,"TRUE"),EXACT(metadata!F720,"FALSE"))))</f>
        <v>0</v>
      </c>
      <c r="AR720" t="b">
        <f>OR(AND(IF(metadata!G720="",FALSE,TRUE),OR(EXACT(metadata!G720,"missing: not collected"),EXACT(metadata!G720,"missing: not provided"),EXACT(metadata!G720,"missing: restricted access"))),AND(IF(metadata!G720="",FALSE,ISNUMBER(VALUE(metadata!G720))),metadata!G720&gt;=-413))</f>
        <v>0</v>
      </c>
      <c r="AS720" t="b">
        <f>AND(IF(metadata!H720="",FALSE,TRUE),EXACT(metadata!H720,"meters"))</f>
        <v>0</v>
      </c>
      <c r="AT720" t="b">
        <f>AND(IF(metadata!I720="",FALSE,TRUE),OR(EXACT(metadata!I720,"Host-associated"),EXACT(metadata!I720,"Free-living")))</f>
        <v>0</v>
      </c>
      <c r="AU720" t="b">
        <f>AND(IF(metadata!J720="",FALSE,TRUE),OR(EXACT(metadata!J720,"Animal"),EXACT(metadata!J720,"Fungus"),EXACT(metadata!J720,"Plant"),EXACT(metadata!J720,"Saline"),EXACT(metadata!J720,"Non-saline")))</f>
        <v>0</v>
      </c>
      <c r="AV720" t="b">
        <f>AND(IF(metadata!K720="",FALSE,TRUE),OR(EXACT(metadata!K720,"Plant secretion"),EXACT(metadata!K720,"Plant rhizosphere"),EXACT(metadata!K720,"Plant surface"),EXACT(metadata!K720,"Plant corpus"),EXACT(metadata!K720,"Fungus surface"),EXACT(metadata!K720,"Fungus corpus"),EXACT(metadata!K720,"Animal surface"),EXACT(metadata!K720,"Animal proximal gut"),EXACT(metadata!K720,"Animal corpus"),EXACT(metadata!K720,"Animal distal gut"),EXACT(metadata!K720,"Animal secretion"),EXACT(metadata!K720,"Sub-surface (non-saline)"),EXACT(metadata!K720,"Surface (non-saline)"),EXACT(metadata!K720,"Water (non-saline)"),EXACT(metadata!K720,"Soil (non-saline)"),EXACT(metadata!K720,"Aerosol (non-saline)"),EXACT(metadata!K720,"Sediment (non-saline)"),EXACT(metadata!K720,"Surface (saline)"),EXACT(metadata!K720,"Water (saline)"),EXACT(metadata!K720,"Hypersaline (saline)"),EXACT(metadata!K720,"Aerosol (saline)"),EXACT(metadata!K720,"Sediment (saline)")))</f>
        <v>0</v>
      </c>
      <c r="AW720" t="b">
        <f>IF(metadata!L720="",FALSE,TRUE)</f>
        <v>0</v>
      </c>
      <c r="AX720" t="b">
        <f>IF(metadata!M720="",FALSE,TRUE)</f>
        <v>0</v>
      </c>
      <c r="AY720" t="b">
        <f>IF(metadata!N720="",FALSE,TRUE)</f>
        <v>0</v>
      </c>
      <c r="AZ720" t="b">
        <f>OR(AND(IF(metadata!O720="",FALSE,TRUE),OR(EXACT(metadata!O720,"missing: not collected"),EXACT(metadata!O720,"missing: not provided"),EXACT(metadata!O720,"missing: restricted access"))),AND(IF(metadata!O720="",FALSE,TRUE),OR(EXACT(metadata!O720,"air"),EXACT(metadata!O720,"built environment"),EXACT(metadata!O720,"host-associated"),EXACT(metadata!O720,"human-associated"),EXACT(metadata!O720,"human-skin"),EXACT(metadata!O720,"human-oral"),EXACT(metadata!O720,"human-gut"),EXACT(metadata!O720,"human-vaginal"),EXACT(metadata!O720,"microbial mat/biofilm"),EXACT(metadata!O720,"misc environment"),EXACT(metadata!O720,"plant-associated"),EXACT(metadata!O720,"sediment"),EXACT(metadata!O720,"soil"),EXACT(metadata!O720,"wastewater/sludge"),EXACT(metadata!O720,"water"))))</f>
        <v>0</v>
      </c>
      <c r="BA720" t="b">
        <f>IF(metadata!P720="",FALSE,TRUE)</f>
        <v>0</v>
      </c>
      <c r="BB720" t="b">
        <f>IF(metadata!Q720="",FALSE,TRUE)</f>
        <v>0</v>
      </c>
      <c r="BC720" t="b">
        <f>OR(AND(IF(metadata!R720="",FALSE,TRUE),OR(EXACT(metadata!R720,"missing: not collected"),EXACT(metadata!R720,"missing: not provided"),EXACT(metadata!R720,"missing: restricted access"))),AND(IF(metadata!R720="",FALSE,ISNUMBER(VALUE(metadata!R720))),metadata!R720&gt;=-90,metadata!R720&lt;=90))</f>
        <v>0</v>
      </c>
      <c r="BD720" t="b">
        <f>AND(IF(metadata!S720="",FALSE,TRUE),EXACT(metadata!S720,"Decimal degrees"))</f>
        <v>0</v>
      </c>
      <c r="BE720" t="b">
        <f>OR(AND(IF(metadata!T720="",FALSE,TRUE),OR(EXACT(metadata!T720,"missing: not collected"),EXACT(metadata!T720,"missing: not provided"),EXACT(metadata!T720,"missing: restricted access"))),AND(IF(metadata!T720="",FALSE,ISNUMBER(VALUE(metadata!T720))),metadata!T720&gt;=-180,metadata!T720&lt;=180))</f>
        <v>0</v>
      </c>
      <c r="BF720" t="b">
        <f>AND(IF(metadata!U720="",FALSE,TRUE),EXACT(metadata!U720,"Decimal degrees"))</f>
        <v>0</v>
      </c>
      <c r="BG720" t="b">
        <f>IF(metadata!V720="",FALSE,TRUE)</f>
        <v>0</v>
      </c>
      <c r="BH720" t="b">
        <f>OR(AND(IF(metadata!W720="",FALSE,TRUE),OR(EXACT(metadata!W720,"missing: not collected"),EXACT(metadata!W720,"missing: not provided"),EXACT(metadata!W720,"missing: restricted access"))),AND(IF(metadata!W720="",FALSE,TRUE),OR(EXACT(metadata!W720,"TRUE"),EXACT(metadata!W720,"FALSE"))))</f>
        <v>0</v>
      </c>
      <c r="BI720" t="b">
        <f>AND(IF(metadata!X720="",FALSE,TRUE),EXACT(metadata!X720,"other"))</f>
        <v>0</v>
      </c>
      <c r="BJ720" t="b">
        <f>IF(metadata!Y720="",FALSE,TRUE)</f>
        <v>0</v>
      </c>
      <c r="BK720" t="b">
        <f>OR(AND(IF(metadata!Z720="",FALSE,TRUE),OR(EXACT(metadata!Z720,"missing: not collected"),EXACT(metadata!Z720,"missing: not provided"))),AND(IF(metadata!Z720="",FALSE,IF(ISERROR(INT(metadata!Z720)),FALSE,INT(metadata!Z720)=metadata!Z720)),metadata!Z720&gt;0))</f>
        <v>0</v>
      </c>
      <c r="BL720" t="b">
        <f>AND(IF(metadata!AA720="",FALSE,TRUE),EXACT(metadata!AA720,"Not applicable"))</f>
        <v>0</v>
      </c>
      <c r="BM720" t="b">
        <f>IF(metadata!AB720="",FALSE,TRUE)</f>
        <v>0</v>
      </c>
    </row>
    <row r="721" spans="1:65" x14ac:dyDescent="0.2">
      <c r="A721" s="5" t="str">
        <f ca="1">IF(B721=" "," ",HYPERLINK(CONCATENATE("#metadata!",ADDRESS(INDEX($AH$2:$AH$1001,MATCH(ROWS($AF$2:AF721),$AF$2:$AF$1001,0),0),1)),INDEX($AK$2:$AK$1001,MATCH(ROWS($AF$2:AF721),$AF$2:$AF$1001,0),0)))</f>
        <v xml:space="preserve"> </v>
      </c>
      <c r="B721" s="4" t="str">
        <f ca="1">IF(OR(INDEX($AG$2:$AG$1001,MATCH(ROWS($AF$2:AF721),$AF$2:$AF$1001,0),1)&gt;=100000,INDEX($AM$1005:$BM$1005,1,MATCH(COLUMNS($AM$1006:AM1006),$AM$1006:$BM$1006,0))&gt;=100000), " ",IF(INDEX($AM$2:$BM$1001,MATCH(ROWS($AF$2:AF721),$AF$2:$AF$1001,0),MATCH(COLUMNS($AM$1006:AM1006),$AM$1006:$BM$1006,0)), HYPERLINK("#",""), HYPERLINK(CONCATENATE("#metadata!", ADDRESS(INDEX($AH$2:$AH$1001,MATCH(ROWS($AF$2:AF721),$AF$2:$AF$1001,0),0), INDEX($AM$1004:$BM$1004,1,MATCH(COLUMNS($AM$1006:AM1006),$AM$1006:$BM$1006,0)))),"Fix")))</f>
        <v xml:space="preserve"> </v>
      </c>
      <c r="C721" s="4" t="str">
        <f ca="1">IF(OR(INDEX($AG$2:$AG$1001,MATCH(ROWS($AF$2:AF721),$AF$2:$AF$1001,0),1)&gt;=100000,INDEX($AM$1005:$BM$1005,1,MATCH(COLUMNS($AM$1006:AN1006),$AM$1006:$BM$1006,0))&gt;=100000), " ",IF(INDEX($AM$2:$BM$1001,MATCH(ROWS($AF$2:AF721),$AF$2:$AF$1001,0),MATCH(COLUMNS($AM$1006:AN1006),$AM$1006:$BM$1006,0)), HYPERLINK("#",""), HYPERLINK(CONCATENATE("#metadata!", ADDRESS(INDEX($AH$2:$AH$1001,MATCH(ROWS($AF$2:AF721),$AF$2:$AF$1001,0),0), INDEX($AM$1004:$BM$1004,1,MATCH(COLUMNS($AM$1006:AN1006),$AM$1006:$BM$1006,0)))),"Fix")))</f>
        <v xml:space="preserve"> </v>
      </c>
      <c r="D721" s="4" t="str">
        <f ca="1">IF(OR(INDEX($AG$2:$AG$1001,MATCH(ROWS($AF$2:AF721),$AF$2:$AF$1001,0),1)&gt;=100000,INDEX($AM$1005:$BM$1005,1,MATCH(COLUMNS($AM$1006:AO1006),$AM$1006:$BM$1006,0))&gt;=100000), " ",IF(INDEX($AM$2:$BM$1001,MATCH(ROWS($AF$2:AF721),$AF$2:$AF$1001,0),MATCH(COLUMNS($AM$1006:AO1006),$AM$1006:$BM$1006,0)), HYPERLINK("#",""), HYPERLINK(CONCATENATE("#metadata!", ADDRESS(INDEX($AH$2:$AH$1001,MATCH(ROWS($AF$2:AF721),$AF$2:$AF$1001,0),0), INDEX($AM$1004:$BM$1004,1,MATCH(COLUMNS($AM$1006:AO1006),$AM$1006:$BM$1006,0)))),"Fix")))</f>
        <v xml:space="preserve"> </v>
      </c>
      <c r="E721" s="4" t="str">
        <f ca="1">IF(OR(INDEX($AG$2:$AG$1001,MATCH(ROWS($AF$2:AF721),$AF$2:$AF$1001,0),1)&gt;=100000,INDEX($AM$1005:$BM$1005,1,MATCH(COLUMNS($AM$1006:AP1006),$AM$1006:$BM$1006,0))&gt;=100000), " ",IF(INDEX($AM$2:$BM$1001,MATCH(ROWS($AF$2:AF721),$AF$2:$AF$1001,0),MATCH(COLUMNS($AM$1006:AP1006),$AM$1006:$BM$1006,0)), HYPERLINK("#",""), HYPERLINK(CONCATENATE("#metadata!", ADDRESS(INDEX($AH$2:$AH$1001,MATCH(ROWS($AF$2:AF721),$AF$2:$AF$1001,0),0), INDEX($AM$1004:$BM$1004,1,MATCH(COLUMNS($AM$1006:AP1006),$AM$1006:$BM$1006,0)))),"Fix")))</f>
        <v xml:space="preserve"> </v>
      </c>
      <c r="F721" s="4" t="str">
        <f ca="1">IF(OR(INDEX($AG$2:$AG$1001,MATCH(ROWS($AF$2:AF721),$AF$2:$AF$1001,0),1)&gt;=100000,INDEX($AM$1005:$BM$1005,1,MATCH(COLUMNS($AM$1006:AQ1006),$AM$1006:$BM$1006,0))&gt;=100000), " ",IF(INDEX($AM$2:$BM$1001,MATCH(ROWS($AF$2:AF721),$AF$2:$AF$1001,0),MATCH(COLUMNS($AM$1006:AQ1006),$AM$1006:$BM$1006,0)), HYPERLINK("#",""), HYPERLINK(CONCATENATE("#metadata!", ADDRESS(INDEX($AH$2:$AH$1001,MATCH(ROWS($AF$2:AF721),$AF$2:$AF$1001,0),0), INDEX($AM$1004:$BM$1004,1,MATCH(COLUMNS($AM$1006:AQ1006),$AM$1006:$BM$1006,0)))),"Fix")))</f>
        <v xml:space="preserve"> </v>
      </c>
      <c r="G721" s="4" t="str">
        <f ca="1">IF(OR(INDEX($AG$2:$AG$1001,MATCH(ROWS($AF$2:AF721),$AF$2:$AF$1001,0),1)&gt;=100000,INDEX($AM$1005:$BM$1005,1,MATCH(COLUMNS($AM$1006:AR1006),$AM$1006:$BM$1006,0))&gt;=100000), " ",IF(INDEX($AM$2:$BM$1001,MATCH(ROWS($AF$2:AF721),$AF$2:$AF$1001,0),MATCH(COLUMNS($AM$1006:AR1006),$AM$1006:$BM$1006,0)), HYPERLINK("#",""), HYPERLINK(CONCATENATE("#metadata!", ADDRESS(INDEX($AH$2:$AH$1001,MATCH(ROWS($AF$2:AF721),$AF$2:$AF$1001,0),0), INDEX($AM$1004:$BM$1004,1,MATCH(COLUMNS($AM$1006:AR1006),$AM$1006:$BM$1006,0)))),"Fix")))</f>
        <v xml:space="preserve"> </v>
      </c>
      <c r="H721" s="4" t="str">
        <f ca="1">IF(OR(INDEX($AG$2:$AG$1001,MATCH(ROWS($AF$2:AF721),$AF$2:$AF$1001,0),1)&gt;=100000,INDEX($AM$1005:$BM$1005,1,MATCH(COLUMNS($AM$1006:AS1006),$AM$1006:$BM$1006,0))&gt;=100000), " ",IF(INDEX($AM$2:$BM$1001,MATCH(ROWS($AF$2:AF721),$AF$2:$AF$1001,0),MATCH(COLUMNS($AM$1006:AS1006),$AM$1006:$BM$1006,0)), HYPERLINK("#",""), HYPERLINK(CONCATENATE("#metadata!", ADDRESS(INDEX($AH$2:$AH$1001,MATCH(ROWS($AF$2:AF721),$AF$2:$AF$1001,0),0), INDEX($AM$1004:$BM$1004,1,MATCH(COLUMNS($AM$1006:AS1006),$AM$1006:$BM$1006,0)))),"Fix")))</f>
        <v xml:space="preserve"> </v>
      </c>
      <c r="I721" s="4" t="str">
        <f ca="1">IF(OR(INDEX($AG$2:$AG$1001,MATCH(ROWS($AF$2:AF721),$AF$2:$AF$1001,0),1)&gt;=100000,INDEX($AM$1005:$BM$1005,1,MATCH(COLUMNS($AM$1006:AT1006),$AM$1006:$BM$1006,0))&gt;=100000), " ",IF(INDEX($AM$2:$BM$1001,MATCH(ROWS($AF$2:AF721),$AF$2:$AF$1001,0),MATCH(COLUMNS($AM$1006:AT1006),$AM$1006:$BM$1006,0)), HYPERLINK("#",""), HYPERLINK(CONCATENATE("#metadata!", ADDRESS(INDEX($AH$2:$AH$1001,MATCH(ROWS($AF$2:AF721),$AF$2:$AF$1001,0),0), INDEX($AM$1004:$BM$1004,1,MATCH(COLUMNS($AM$1006:AT1006),$AM$1006:$BM$1006,0)))),"Fix")))</f>
        <v xml:space="preserve"> </v>
      </c>
      <c r="J721" s="4" t="str">
        <f ca="1">IF(OR(INDEX($AG$2:$AG$1001,MATCH(ROWS($AF$2:AF721),$AF$2:$AF$1001,0),1)&gt;=100000,INDEX($AM$1005:$BM$1005,1,MATCH(COLUMNS($AM$1006:AU1006),$AM$1006:$BM$1006,0))&gt;=100000), " ",IF(INDEX($AM$2:$BM$1001,MATCH(ROWS($AF$2:AF721),$AF$2:$AF$1001,0),MATCH(COLUMNS($AM$1006:AU1006),$AM$1006:$BM$1006,0)), HYPERLINK("#",""), HYPERLINK(CONCATENATE("#metadata!", ADDRESS(INDEX($AH$2:$AH$1001,MATCH(ROWS($AF$2:AF721),$AF$2:$AF$1001,0),0), INDEX($AM$1004:$BM$1004,1,MATCH(COLUMNS($AM$1006:AU1006),$AM$1006:$BM$1006,0)))),"Fix")))</f>
        <v xml:space="preserve"> </v>
      </c>
      <c r="K721" s="4" t="str">
        <f ca="1">IF(OR(INDEX($AG$2:$AG$1001,MATCH(ROWS($AF$2:AF721),$AF$2:$AF$1001,0),1)&gt;=100000,INDEX($AM$1005:$BM$1005,1,MATCH(COLUMNS($AM$1006:AV1006),$AM$1006:$BM$1006,0))&gt;=100000), " ",IF(INDEX($AM$2:$BM$1001,MATCH(ROWS($AF$2:AF721),$AF$2:$AF$1001,0),MATCH(COLUMNS($AM$1006:AV1006),$AM$1006:$BM$1006,0)), HYPERLINK("#",""), HYPERLINK(CONCATENATE("#metadata!", ADDRESS(INDEX($AH$2:$AH$1001,MATCH(ROWS($AF$2:AF721),$AF$2:$AF$1001,0),0), INDEX($AM$1004:$BM$1004,1,MATCH(COLUMNS($AM$1006:AV1006),$AM$1006:$BM$1006,0)))),"Fix")))</f>
        <v xml:space="preserve"> </v>
      </c>
      <c r="L721" s="4" t="str">
        <f ca="1">IF(OR(INDEX($AG$2:$AG$1001,MATCH(ROWS($AF$2:AF721),$AF$2:$AF$1001,0),1)&gt;=100000,INDEX($AM$1005:$BM$1005,1,MATCH(COLUMNS($AM$1006:AW1006),$AM$1006:$BM$1006,0))&gt;=100000), " ",IF(INDEX($AM$2:$BM$1001,MATCH(ROWS($AF$2:AF721),$AF$2:$AF$1001,0),MATCH(COLUMNS($AM$1006:AW1006),$AM$1006:$BM$1006,0)), HYPERLINK("#",""), HYPERLINK(CONCATENATE("#metadata!", ADDRESS(INDEX($AH$2:$AH$1001,MATCH(ROWS($AF$2:AF721),$AF$2:$AF$1001,0),0), INDEX($AM$1004:$BM$1004,1,MATCH(COLUMNS($AM$1006:AW1006),$AM$1006:$BM$1006,0)))),"Fix")))</f>
        <v xml:space="preserve"> </v>
      </c>
      <c r="M721" s="4" t="str">
        <f ca="1">IF(OR(INDEX($AG$2:$AG$1001,MATCH(ROWS($AF$2:AF721),$AF$2:$AF$1001,0),1)&gt;=100000,INDEX($AM$1005:$BM$1005,1,MATCH(COLUMNS($AM$1006:AX1006),$AM$1006:$BM$1006,0))&gt;=100000), " ",IF(INDEX($AM$2:$BM$1001,MATCH(ROWS($AF$2:AF721),$AF$2:$AF$1001,0),MATCH(COLUMNS($AM$1006:AX1006),$AM$1006:$BM$1006,0)), HYPERLINK("#",""), HYPERLINK(CONCATENATE("#metadata!", ADDRESS(INDEX($AH$2:$AH$1001,MATCH(ROWS($AF$2:AF721),$AF$2:$AF$1001,0),0), INDEX($AM$1004:$BM$1004,1,MATCH(COLUMNS($AM$1006:AX1006),$AM$1006:$BM$1006,0)))),"Fix")))</f>
        <v xml:space="preserve"> </v>
      </c>
      <c r="N721" s="4" t="str">
        <f ca="1">IF(OR(INDEX($AG$2:$AG$1001,MATCH(ROWS($AF$2:AF721),$AF$2:$AF$1001,0),1)&gt;=100000,INDEX($AM$1005:$BM$1005,1,MATCH(COLUMNS($AM$1006:AY1006),$AM$1006:$BM$1006,0))&gt;=100000), " ",IF(INDEX($AM$2:$BM$1001,MATCH(ROWS($AF$2:AF721),$AF$2:$AF$1001,0),MATCH(COLUMNS($AM$1006:AY1006),$AM$1006:$BM$1006,0)), HYPERLINK("#",""), HYPERLINK(CONCATENATE("#metadata!", ADDRESS(INDEX($AH$2:$AH$1001,MATCH(ROWS($AF$2:AF721),$AF$2:$AF$1001,0),0), INDEX($AM$1004:$BM$1004,1,MATCH(COLUMNS($AM$1006:AY1006),$AM$1006:$BM$1006,0)))),"Fix")))</f>
        <v xml:space="preserve"> </v>
      </c>
      <c r="O721" s="4" t="str">
        <f ca="1">IF(OR(INDEX($AG$2:$AG$1001,MATCH(ROWS($AF$2:AF721),$AF$2:$AF$1001,0),1)&gt;=100000,INDEX($AM$1005:$BM$1005,1,MATCH(COLUMNS($AM$1006:AZ1006),$AM$1006:$BM$1006,0))&gt;=100000), " ",IF(INDEX($AM$2:$BM$1001,MATCH(ROWS($AF$2:AF721),$AF$2:$AF$1001,0),MATCH(COLUMNS($AM$1006:AZ1006),$AM$1006:$BM$1006,0)), HYPERLINK("#",""), HYPERLINK(CONCATENATE("#metadata!", ADDRESS(INDEX($AH$2:$AH$1001,MATCH(ROWS($AF$2:AF721),$AF$2:$AF$1001,0),0), INDEX($AM$1004:$BM$1004,1,MATCH(COLUMNS($AM$1006:AZ1006),$AM$1006:$BM$1006,0)))),"Fix")))</f>
        <v xml:space="preserve"> </v>
      </c>
      <c r="P721" s="4" t="str">
        <f ca="1">IF(OR(INDEX($AG$2:$AG$1001,MATCH(ROWS($AF$2:AF721),$AF$2:$AF$1001,0),1)&gt;=100000,INDEX($AM$1005:$BM$1005,1,MATCH(COLUMNS($AM$1006:BA1006),$AM$1006:$BM$1006,0))&gt;=100000), " ",IF(INDEX($AM$2:$BM$1001,MATCH(ROWS($AF$2:AF721),$AF$2:$AF$1001,0),MATCH(COLUMNS($AM$1006:BA1006),$AM$1006:$BM$1006,0)), HYPERLINK("#",""), HYPERLINK(CONCATENATE("#metadata!", ADDRESS(INDEX($AH$2:$AH$1001,MATCH(ROWS($AF$2:AF721),$AF$2:$AF$1001,0),0), INDEX($AM$1004:$BM$1004,1,MATCH(COLUMNS($AM$1006:BA1006),$AM$1006:$BM$1006,0)))),"Fix")))</f>
        <v xml:space="preserve"> </v>
      </c>
      <c r="Q721" s="4" t="str">
        <f ca="1">IF(OR(INDEX($AG$2:$AG$1001,MATCH(ROWS($AF$2:AF721),$AF$2:$AF$1001,0),1)&gt;=100000,INDEX($AM$1005:$BM$1005,1,MATCH(COLUMNS($AM$1006:BB1006),$AM$1006:$BM$1006,0))&gt;=100000), " ",IF(INDEX($AM$2:$BM$1001,MATCH(ROWS($AF$2:AF721),$AF$2:$AF$1001,0),MATCH(COLUMNS($AM$1006:BB1006),$AM$1006:$BM$1006,0)), HYPERLINK("#",""), HYPERLINK(CONCATENATE("#metadata!", ADDRESS(INDEX($AH$2:$AH$1001,MATCH(ROWS($AF$2:AF721),$AF$2:$AF$1001,0),0), INDEX($AM$1004:$BM$1004,1,MATCH(COLUMNS($AM$1006:BB1006),$AM$1006:$BM$1006,0)))),"Fix")))</f>
        <v xml:space="preserve"> </v>
      </c>
      <c r="R721" s="4" t="str">
        <f ca="1">IF(OR(INDEX($AG$2:$AG$1001,MATCH(ROWS($AF$2:AF721),$AF$2:$AF$1001,0),1)&gt;=100000,INDEX($AM$1005:$BM$1005,1,MATCH(COLUMNS($AM$1006:BC1006),$AM$1006:$BM$1006,0))&gt;=100000), " ",IF(INDEX($AM$2:$BM$1001,MATCH(ROWS($AF$2:AF721),$AF$2:$AF$1001,0),MATCH(COLUMNS($AM$1006:BC1006),$AM$1006:$BM$1006,0)), HYPERLINK("#",""), HYPERLINK(CONCATENATE("#metadata!", ADDRESS(INDEX($AH$2:$AH$1001,MATCH(ROWS($AF$2:AF721),$AF$2:$AF$1001,0),0), INDEX($AM$1004:$BM$1004,1,MATCH(COLUMNS($AM$1006:BC1006),$AM$1006:$BM$1006,0)))),"Fix")))</f>
        <v xml:space="preserve"> </v>
      </c>
      <c r="S721" s="4" t="str">
        <f ca="1">IF(OR(INDEX($AG$2:$AG$1001,MATCH(ROWS($AF$2:AF721),$AF$2:$AF$1001,0),1)&gt;=100000,INDEX($AM$1005:$BM$1005,1,MATCH(COLUMNS($AM$1006:BD1006),$AM$1006:$BM$1006,0))&gt;=100000), " ",IF(INDEX($AM$2:$BM$1001,MATCH(ROWS($AF$2:AF721),$AF$2:$AF$1001,0),MATCH(COLUMNS($AM$1006:BD1006),$AM$1006:$BM$1006,0)), HYPERLINK("#",""), HYPERLINK(CONCATENATE("#metadata!", ADDRESS(INDEX($AH$2:$AH$1001,MATCH(ROWS($AF$2:AF721),$AF$2:$AF$1001,0),0), INDEX($AM$1004:$BM$1004,1,MATCH(COLUMNS($AM$1006:BD1006),$AM$1006:$BM$1006,0)))),"Fix")))</f>
        <v xml:space="preserve"> </v>
      </c>
      <c r="T721" s="4" t="str">
        <f ca="1">IF(OR(INDEX($AG$2:$AG$1001,MATCH(ROWS($AF$2:AF721),$AF$2:$AF$1001,0),1)&gt;=100000,INDEX($AM$1005:$BM$1005,1,MATCH(COLUMNS($AM$1006:BE1006),$AM$1006:$BM$1006,0))&gt;=100000), " ",IF(INDEX($AM$2:$BM$1001,MATCH(ROWS($AF$2:AF721),$AF$2:$AF$1001,0),MATCH(COLUMNS($AM$1006:BE1006),$AM$1006:$BM$1006,0)), HYPERLINK("#",""), HYPERLINK(CONCATENATE("#metadata!", ADDRESS(INDEX($AH$2:$AH$1001,MATCH(ROWS($AF$2:AF721),$AF$2:$AF$1001,0),0), INDEX($AM$1004:$BM$1004,1,MATCH(COLUMNS($AM$1006:BE1006),$AM$1006:$BM$1006,0)))),"Fix")))</f>
        <v xml:space="preserve"> </v>
      </c>
      <c r="U721" s="4" t="str">
        <f ca="1">IF(OR(INDEX($AG$2:$AG$1001,MATCH(ROWS($AF$2:AF721),$AF$2:$AF$1001,0),1)&gt;=100000,INDEX($AM$1005:$BM$1005,1,MATCH(COLUMNS($AM$1006:BF1006),$AM$1006:$BM$1006,0))&gt;=100000), " ",IF(INDEX($AM$2:$BM$1001,MATCH(ROWS($AF$2:AF721),$AF$2:$AF$1001,0),MATCH(COLUMNS($AM$1006:BF1006),$AM$1006:$BM$1006,0)), HYPERLINK("#",""), HYPERLINK(CONCATENATE("#metadata!", ADDRESS(INDEX($AH$2:$AH$1001,MATCH(ROWS($AF$2:AF721),$AF$2:$AF$1001,0),0), INDEX($AM$1004:$BM$1004,1,MATCH(COLUMNS($AM$1006:BF1006),$AM$1006:$BM$1006,0)))),"Fix")))</f>
        <v xml:space="preserve"> </v>
      </c>
      <c r="V721" s="4" t="str">
        <f ca="1">IF(OR(INDEX($AG$2:$AG$1001,MATCH(ROWS($AF$2:AF721),$AF$2:$AF$1001,0),1)&gt;=100000,INDEX($AM$1005:$BM$1005,1,MATCH(COLUMNS($AM$1006:BG1006),$AM$1006:$BM$1006,0))&gt;=100000), " ",IF(INDEX($AM$2:$BM$1001,MATCH(ROWS($AF$2:AF721),$AF$2:$AF$1001,0),MATCH(COLUMNS($AM$1006:BG1006),$AM$1006:$BM$1006,0)), HYPERLINK("#",""), HYPERLINK(CONCATENATE("#metadata!", ADDRESS(INDEX($AH$2:$AH$1001,MATCH(ROWS($AF$2:AF721),$AF$2:$AF$1001,0),0), INDEX($AM$1004:$BM$1004,1,MATCH(COLUMNS($AM$1006:BG1006),$AM$1006:$BM$1006,0)))),"Fix")))</f>
        <v xml:space="preserve"> </v>
      </c>
      <c r="W721" s="4" t="str">
        <f ca="1">IF(OR(INDEX($AG$2:$AG$1001,MATCH(ROWS($AF$2:AF721),$AF$2:$AF$1001,0),1)&gt;=100000,INDEX($AM$1005:$BM$1005,1,MATCH(COLUMNS($AM$1006:BH1006),$AM$1006:$BM$1006,0))&gt;=100000), " ",IF(INDEX($AM$2:$BM$1001,MATCH(ROWS($AF$2:AF721),$AF$2:$AF$1001,0),MATCH(COLUMNS($AM$1006:BH1006),$AM$1006:$BM$1006,0)), HYPERLINK("#",""), HYPERLINK(CONCATENATE("#metadata!", ADDRESS(INDEX($AH$2:$AH$1001,MATCH(ROWS($AF$2:AF721),$AF$2:$AF$1001,0),0), INDEX($AM$1004:$BM$1004,1,MATCH(COLUMNS($AM$1006:BH1006),$AM$1006:$BM$1006,0)))),"Fix")))</f>
        <v xml:space="preserve"> </v>
      </c>
      <c r="X721" s="4" t="str">
        <f ca="1">IF(OR(INDEX($AG$2:$AG$1001,MATCH(ROWS($AF$2:AF721),$AF$2:$AF$1001,0),1)&gt;=100000,INDEX($AM$1005:$BM$1005,1,MATCH(COLUMNS($AM$1006:BI1006),$AM$1006:$BM$1006,0))&gt;=100000), " ",IF(INDEX($AM$2:$BM$1001,MATCH(ROWS($AF$2:AF721),$AF$2:$AF$1001,0),MATCH(COLUMNS($AM$1006:BI1006),$AM$1006:$BM$1006,0)), HYPERLINK("#",""), HYPERLINK(CONCATENATE("#metadata!", ADDRESS(INDEX($AH$2:$AH$1001,MATCH(ROWS($AF$2:AF721),$AF$2:$AF$1001,0),0), INDEX($AM$1004:$BM$1004,1,MATCH(COLUMNS($AM$1006:BI1006),$AM$1006:$BM$1006,0)))),"Fix")))</f>
        <v xml:space="preserve"> </v>
      </c>
      <c r="Y721" s="4" t="str">
        <f ca="1">IF(OR(INDEX($AG$2:$AG$1001,MATCH(ROWS($AF$2:AF721),$AF$2:$AF$1001,0),1)&gt;=100000,INDEX($AM$1005:$BM$1005,1,MATCH(COLUMNS($AM$1006:BJ1006),$AM$1006:$BM$1006,0))&gt;=100000), " ",IF(INDEX($AM$2:$BM$1001,MATCH(ROWS($AF$2:AF721),$AF$2:$AF$1001,0),MATCH(COLUMNS($AM$1006:BJ1006),$AM$1006:$BM$1006,0)), HYPERLINK("#",""), HYPERLINK(CONCATENATE("#metadata!", ADDRESS(INDEX($AH$2:$AH$1001,MATCH(ROWS($AF$2:AF721),$AF$2:$AF$1001,0),0), INDEX($AM$1004:$BM$1004,1,MATCH(COLUMNS($AM$1006:BJ1006),$AM$1006:$BM$1006,0)))),"Fix")))</f>
        <v xml:space="preserve"> </v>
      </c>
      <c r="Z721" s="4" t="str">
        <f ca="1">IF(OR(INDEX($AG$2:$AG$1001,MATCH(ROWS($AF$2:AF721),$AF$2:$AF$1001,0),1)&gt;=100000,INDEX($AM$1005:$BM$1005,1,MATCH(COLUMNS($AM$1006:BK1006),$AM$1006:$BM$1006,0))&gt;=100000), " ",IF(INDEX($AM$2:$BM$1001,MATCH(ROWS($AF$2:AF721),$AF$2:$AF$1001,0),MATCH(COLUMNS($AM$1006:BK1006),$AM$1006:$BM$1006,0)), HYPERLINK("#",""), HYPERLINK(CONCATENATE("#metadata!", ADDRESS(INDEX($AH$2:$AH$1001,MATCH(ROWS($AF$2:AF721),$AF$2:$AF$1001,0),0), INDEX($AM$1004:$BM$1004,1,MATCH(COLUMNS($AM$1006:BK1006),$AM$1006:$BM$1006,0)))),"Fix")))</f>
        <v xml:space="preserve"> </v>
      </c>
      <c r="AA721" s="4" t="str">
        <f ca="1">IF(OR(INDEX($AG$2:$AG$1001,MATCH(ROWS($AF$2:AF721),$AF$2:$AF$1001,0),1)&gt;=100000,INDEX($AM$1005:$BM$1005,1,MATCH(COLUMNS($AM$1006:BL1006),$AM$1006:$BM$1006,0))&gt;=100000), " ",IF(INDEX($AM$2:$BM$1001,MATCH(ROWS($AF$2:AF721),$AF$2:$AF$1001,0),MATCH(COLUMNS($AM$1006:BL1006),$AM$1006:$BM$1006,0)), HYPERLINK("#",""), HYPERLINK(CONCATENATE("#metadata!", ADDRESS(INDEX($AH$2:$AH$1001,MATCH(ROWS($AF$2:AF721),$AF$2:$AF$1001,0),0), INDEX($AM$1004:$BM$1004,1,MATCH(COLUMNS($AM$1006:BL1006),$AM$1006:$BM$1006,0)))),"Fix")))</f>
        <v xml:space="preserve"> </v>
      </c>
      <c r="AB721" s="4" t="str">
        <f ca="1">IF(OR(INDEX($AG$2:$AG$1001,MATCH(ROWS($AF$2:AF721),$AF$2:$AF$1001,0),1)&gt;=100000,INDEX($AM$1005:$BM$1005,1,MATCH(COLUMNS($AM$1006:BM1006),$AM$1006:$BM$1006,0))&gt;=100000), " ",IF(INDEX($AM$2:$BM$1001,MATCH(ROWS($AF$2:AF721),$AF$2:$AF$1001,0),MATCH(COLUMNS($AM$1006:BM1006),$AM$1006:$BM$1006,0)), HYPERLINK("#",""), HYPERLINK(CONCATENATE("#metadata!", ADDRESS(INDEX($AH$2:$AH$1001,MATCH(ROWS($AF$2:AF721),$AF$2:$AF$1001,0),0), INDEX($AM$1004:$BM$1004,1,MATCH(COLUMNS($AM$1006:BM1006),$AM$1006:$BM$1006,0)))),"Fix")))</f>
        <v xml:space="preserve"> </v>
      </c>
      <c r="AF721">
        <v>720</v>
      </c>
      <c r="AG721">
        <v>100721</v>
      </c>
      <c r="AH721">
        <v>721</v>
      </c>
      <c r="AI721" t="b">
        <f t="shared" si="11"/>
        <v>1</v>
      </c>
      <c r="AJ721" t="b">
        <f>COUNTBLANK(metadata!B721:AB721)=COLUMNS(metadata!B721:AB721)</f>
        <v>1</v>
      </c>
      <c r="AK721" t="str">
        <v/>
      </c>
      <c r="AM721" t="b">
        <f ca="1">AND(IF(metadata!B721="",FALSE,TRUE),COUNTIF(metadata!B:B, metadata!B721) = 1,NOT(ISERROR(SUMPRODUCT(SEARCH(MID(metadata!B721,ROW(INDIRECT("1:"&amp;LEN(metadata!B721))), 1),"0123456789abcdefghijklmnopqrstuvwxyzABCDEFGHIJKLMNOPQRSTUVWXYZ.")))))</f>
        <v>0</v>
      </c>
      <c r="AN721" t="b">
        <f ca="1">OR(AND(IF(metadata!C721="",FALSE,TRUE),OR(EXACT(metadata!C721,"missing: not collected"),EXACT(metadata!C721,"missing: not provided"),EXACT(metadata!C721,"missing: restricted access"))),AND(IF(metadata!C721="",FALSE,TRUE),AND(AND(IFERROR(INT(LEFT(metadata!C721,4))&gt;1900,FALSE),IFERROR(INT(LEFT(metadata!C721,4))&lt;=YEAR(NOW()),FALSE)), OR(MID(metadata!C721,5,1)="", AND(AND(MID(metadata!C721,5,1)="-",IFERROR(INT(MID(metadata!C721,6,1))&gt;=0,FALSE),IFERROR(INT(MID(metadata!C721,6,1))&lt;=1,FALSE),NOT(MID(metadata!C721,7,1)=""),IFERROR(INT(MID(metadata!C721,6,2))&gt;=1,FALSE),IFERROR(INT(MID(metadata!C721,6,2))&lt;=12,FALSE)), OR(MID(metadata!C721,8,1)="", AND(AND(MID(metadata!C721,8,1)="-",IFERROR(INT(MID(metadata!C721,9,1))&gt;=0,FALSE),IFERROR(INT(MID(metadata!C721,9,1))&lt;=3,FALSE),NOT(MID(metadata!C721,10,1)=""),IFERROR(INT(MID(metadata!C721,9,2))&gt;=1,FALSE),IFERROR(INT(MID(metadata!C721,9,2))&lt;=31,FALSE)), OR(MID(metadata!C721,11,1)="", AND(AND(MID(metadata!C721,11,1)=" ",IFERROR(INT(MID(metadata!C721,12,1))&gt;=0,FALSE),IFERROR(INT(MID(metadata!C721,12,1))&lt;=2,FALSE),NOT(MID(metadata!C721,13,1)=""),IFERROR(INT(MID(metadata!C721,12,2))&gt;=0,FALSE),IFERROR(INT(MID(metadata!C721,12,2))&lt;=23,FALSE)), OR(MID(metadata!C721,14,1)="", AND(AND(MID(metadata!C721,14,1)=":",IFERROR(INT(MID(metadata!C721,15,1))&gt;=0,FALSE),IFERROR(INT(MID(metadata!C721,15,1))&lt;=5,FALSE),NOT(MID(metadata!C721,16,1)=""),IFERROR(INT(MID(metadata!C721,15,2))&gt;=0,FALSE),IFERROR(INT(MID(metadata!C721,15,2))&lt;=59,FALSE)), OR(MID(metadata!C721,17,1)="", AND(AND(MID(metadata!C721,17,1)=":",IFERROR(INT(MID(metadata!C721,18,1))&gt;=0,FALSE),IFERROR(INT(MID(metadata!C721,18,1))&lt;=5,FALSE),NOT(MID(metadata!C721,19,1)=""),IFERROR(INT(MID(metadata!C721,18,2))&gt;=0,FALSE),IFERROR(INT(MID(metadata!C721,18,2))&lt;=59,FALSE)), LEN(metadata!C721)&lt;=19)))))))))))))</f>
        <v>0</v>
      </c>
      <c r="AO721" t="b">
        <f>AND(IF(metadata!D721="",FALSE,TRUE),EXACT(metadata!D721,"Not applicable"))</f>
        <v>0</v>
      </c>
      <c r="AP721" t="b">
        <f>IF(metadata!E721="",FALSE,TRUE)</f>
        <v>0</v>
      </c>
      <c r="AQ721" t="b">
        <f>OR(AND(IF(metadata!F721="",FALSE,TRUE),OR(EXACT(metadata!F721,"missing: not collected"),EXACT(metadata!F721,"missing: not provided"))),AND(IF(metadata!F721="",FALSE,TRUE),OR(EXACT(metadata!F721,"TRUE"),EXACT(metadata!F721,"FALSE"))))</f>
        <v>0</v>
      </c>
      <c r="AR721" t="b">
        <f>OR(AND(IF(metadata!G721="",FALSE,TRUE),OR(EXACT(metadata!G721,"missing: not collected"),EXACT(metadata!G721,"missing: not provided"),EXACT(metadata!G721,"missing: restricted access"))),AND(IF(metadata!G721="",FALSE,ISNUMBER(VALUE(metadata!G721))),metadata!G721&gt;=-413))</f>
        <v>0</v>
      </c>
      <c r="AS721" t="b">
        <f>AND(IF(metadata!H721="",FALSE,TRUE),EXACT(metadata!H721,"meters"))</f>
        <v>0</v>
      </c>
      <c r="AT721" t="b">
        <f>AND(IF(metadata!I721="",FALSE,TRUE),OR(EXACT(metadata!I721,"Host-associated"),EXACT(metadata!I721,"Free-living")))</f>
        <v>0</v>
      </c>
      <c r="AU721" t="b">
        <f>AND(IF(metadata!J721="",FALSE,TRUE),OR(EXACT(metadata!J721,"Animal"),EXACT(metadata!J721,"Fungus"),EXACT(metadata!J721,"Plant"),EXACT(metadata!J721,"Saline"),EXACT(metadata!J721,"Non-saline")))</f>
        <v>0</v>
      </c>
      <c r="AV721" t="b">
        <f>AND(IF(metadata!K721="",FALSE,TRUE),OR(EXACT(metadata!K721,"Plant secretion"),EXACT(metadata!K721,"Plant rhizosphere"),EXACT(metadata!K721,"Plant surface"),EXACT(metadata!K721,"Plant corpus"),EXACT(metadata!K721,"Fungus surface"),EXACT(metadata!K721,"Fungus corpus"),EXACT(metadata!K721,"Animal surface"),EXACT(metadata!K721,"Animal proximal gut"),EXACT(metadata!K721,"Animal corpus"),EXACT(metadata!K721,"Animal distal gut"),EXACT(metadata!K721,"Animal secretion"),EXACT(metadata!K721,"Sub-surface (non-saline)"),EXACT(metadata!K721,"Surface (non-saline)"),EXACT(metadata!K721,"Water (non-saline)"),EXACT(metadata!K721,"Soil (non-saline)"),EXACT(metadata!K721,"Aerosol (non-saline)"),EXACT(metadata!K721,"Sediment (non-saline)"),EXACT(metadata!K721,"Surface (saline)"),EXACT(metadata!K721,"Water (saline)"),EXACT(metadata!K721,"Hypersaline (saline)"),EXACT(metadata!K721,"Aerosol (saline)"),EXACT(metadata!K721,"Sediment (saline)")))</f>
        <v>0</v>
      </c>
      <c r="AW721" t="b">
        <f>IF(metadata!L721="",FALSE,TRUE)</f>
        <v>0</v>
      </c>
      <c r="AX721" t="b">
        <f>IF(metadata!M721="",FALSE,TRUE)</f>
        <v>0</v>
      </c>
      <c r="AY721" t="b">
        <f>IF(metadata!N721="",FALSE,TRUE)</f>
        <v>0</v>
      </c>
      <c r="AZ721" t="b">
        <f>OR(AND(IF(metadata!O721="",FALSE,TRUE),OR(EXACT(metadata!O721,"missing: not collected"),EXACT(metadata!O721,"missing: not provided"),EXACT(metadata!O721,"missing: restricted access"))),AND(IF(metadata!O721="",FALSE,TRUE),OR(EXACT(metadata!O721,"air"),EXACT(metadata!O721,"built environment"),EXACT(metadata!O721,"host-associated"),EXACT(metadata!O721,"human-associated"),EXACT(metadata!O721,"human-skin"),EXACT(metadata!O721,"human-oral"),EXACT(metadata!O721,"human-gut"),EXACT(metadata!O721,"human-vaginal"),EXACT(metadata!O721,"microbial mat/biofilm"),EXACT(metadata!O721,"misc environment"),EXACT(metadata!O721,"plant-associated"),EXACT(metadata!O721,"sediment"),EXACT(metadata!O721,"soil"),EXACT(metadata!O721,"wastewater/sludge"),EXACT(metadata!O721,"water"))))</f>
        <v>0</v>
      </c>
      <c r="BA721" t="b">
        <f>IF(metadata!P721="",FALSE,TRUE)</f>
        <v>0</v>
      </c>
      <c r="BB721" t="b">
        <f>IF(metadata!Q721="",FALSE,TRUE)</f>
        <v>0</v>
      </c>
      <c r="BC721" t="b">
        <f>OR(AND(IF(metadata!R721="",FALSE,TRUE),OR(EXACT(metadata!R721,"missing: not collected"),EXACT(metadata!R721,"missing: not provided"),EXACT(metadata!R721,"missing: restricted access"))),AND(IF(metadata!R721="",FALSE,ISNUMBER(VALUE(metadata!R721))),metadata!R721&gt;=-90,metadata!R721&lt;=90))</f>
        <v>0</v>
      </c>
      <c r="BD721" t="b">
        <f>AND(IF(metadata!S721="",FALSE,TRUE),EXACT(metadata!S721,"Decimal degrees"))</f>
        <v>0</v>
      </c>
      <c r="BE721" t="b">
        <f>OR(AND(IF(metadata!T721="",FALSE,TRUE),OR(EXACT(metadata!T721,"missing: not collected"),EXACT(metadata!T721,"missing: not provided"),EXACT(metadata!T721,"missing: restricted access"))),AND(IF(metadata!T721="",FALSE,ISNUMBER(VALUE(metadata!T721))),metadata!T721&gt;=-180,metadata!T721&lt;=180))</f>
        <v>0</v>
      </c>
      <c r="BF721" t="b">
        <f>AND(IF(metadata!U721="",FALSE,TRUE),EXACT(metadata!U721,"Decimal degrees"))</f>
        <v>0</v>
      </c>
      <c r="BG721" t="b">
        <f>IF(metadata!V721="",FALSE,TRUE)</f>
        <v>0</v>
      </c>
      <c r="BH721" t="b">
        <f>OR(AND(IF(metadata!W721="",FALSE,TRUE),OR(EXACT(metadata!W721,"missing: not collected"),EXACT(metadata!W721,"missing: not provided"),EXACT(metadata!W721,"missing: restricted access"))),AND(IF(metadata!W721="",FALSE,TRUE),OR(EXACT(metadata!W721,"TRUE"),EXACT(metadata!W721,"FALSE"))))</f>
        <v>0</v>
      </c>
      <c r="BI721" t="b">
        <f>AND(IF(metadata!X721="",FALSE,TRUE),EXACT(metadata!X721,"other"))</f>
        <v>0</v>
      </c>
      <c r="BJ721" t="b">
        <f>IF(metadata!Y721="",FALSE,TRUE)</f>
        <v>0</v>
      </c>
      <c r="BK721" t="b">
        <f>OR(AND(IF(metadata!Z721="",FALSE,TRUE),OR(EXACT(metadata!Z721,"missing: not collected"),EXACT(metadata!Z721,"missing: not provided"))),AND(IF(metadata!Z721="",FALSE,IF(ISERROR(INT(metadata!Z721)),FALSE,INT(metadata!Z721)=metadata!Z721)),metadata!Z721&gt;0))</f>
        <v>0</v>
      </c>
      <c r="BL721" t="b">
        <f>AND(IF(metadata!AA721="",FALSE,TRUE),EXACT(metadata!AA721,"Not applicable"))</f>
        <v>0</v>
      </c>
      <c r="BM721" t="b">
        <f>IF(metadata!AB721="",FALSE,TRUE)</f>
        <v>0</v>
      </c>
    </row>
    <row r="722" spans="1:65" x14ac:dyDescent="0.2">
      <c r="A722" s="5" t="str">
        <f ca="1">IF(B722=" "," ",HYPERLINK(CONCATENATE("#metadata!",ADDRESS(INDEX($AH$2:$AH$1001,MATCH(ROWS($AF$2:AF722),$AF$2:$AF$1001,0),0),1)),INDEX($AK$2:$AK$1001,MATCH(ROWS($AF$2:AF722),$AF$2:$AF$1001,0),0)))</f>
        <v xml:space="preserve"> </v>
      </c>
      <c r="B722" s="4" t="str">
        <f ca="1">IF(OR(INDEX($AG$2:$AG$1001,MATCH(ROWS($AF$2:AF722),$AF$2:$AF$1001,0),1)&gt;=100000,INDEX($AM$1005:$BM$1005,1,MATCH(COLUMNS($AM$1006:AM1006),$AM$1006:$BM$1006,0))&gt;=100000), " ",IF(INDEX($AM$2:$BM$1001,MATCH(ROWS($AF$2:AF722),$AF$2:$AF$1001,0),MATCH(COLUMNS($AM$1006:AM1006),$AM$1006:$BM$1006,0)), HYPERLINK("#",""), HYPERLINK(CONCATENATE("#metadata!", ADDRESS(INDEX($AH$2:$AH$1001,MATCH(ROWS($AF$2:AF722),$AF$2:$AF$1001,0),0), INDEX($AM$1004:$BM$1004,1,MATCH(COLUMNS($AM$1006:AM1006),$AM$1006:$BM$1006,0)))),"Fix")))</f>
        <v xml:space="preserve"> </v>
      </c>
      <c r="C722" s="4" t="str">
        <f ca="1">IF(OR(INDEX($AG$2:$AG$1001,MATCH(ROWS($AF$2:AF722),$AF$2:$AF$1001,0),1)&gt;=100000,INDEX($AM$1005:$BM$1005,1,MATCH(COLUMNS($AM$1006:AN1006),$AM$1006:$BM$1006,0))&gt;=100000), " ",IF(INDEX($AM$2:$BM$1001,MATCH(ROWS($AF$2:AF722),$AF$2:$AF$1001,0),MATCH(COLUMNS($AM$1006:AN1006),$AM$1006:$BM$1006,0)), HYPERLINK("#",""), HYPERLINK(CONCATENATE("#metadata!", ADDRESS(INDEX($AH$2:$AH$1001,MATCH(ROWS($AF$2:AF722),$AF$2:$AF$1001,0),0), INDEX($AM$1004:$BM$1004,1,MATCH(COLUMNS($AM$1006:AN1006),$AM$1006:$BM$1006,0)))),"Fix")))</f>
        <v xml:space="preserve"> </v>
      </c>
      <c r="D722" s="4" t="str">
        <f ca="1">IF(OR(INDEX($AG$2:$AG$1001,MATCH(ROWS($AF$2:AF722),$AF$2:$AF$1001,0),1)&gt;=100000,INDEX($AM$1005:$BM$1005,1,MATCH(COLUMNS($AM$1006:AO1006),$AM$1006:$BM$1006,0))&gt;=100000), " ",IF(INDEX($AM$2:$BM$1001,MATCH(ROWS($AF$2:AF722),$AF$2:$AF$1001,0),MATCH(COLUMNS($AM$1006:AO1006),$AM$1006:$BM$1006,0)), HYPERLINK("#",""), HYPERLINK(CONCATENATE("#metadata!", ADDRESS(INDEX($AH$2:$AH$1001,MATCH(ROWS($AF$2:AF722),$AF$2:$AF$1001,0),0), INDEX($AM$1004:$BM$1004,1,MATCH(COLUMNS($AM$1006:AO1006),$AM$1006:$BM$1006,0)))),"Fix")))</f>
        <v xml:space="preserve"> </v>
      </c>
      <c r="E722" s="4" t="str">
        <f ca="1">IF(OR(INDEX($AG$2:$AG$1001,MATCH(ROWS($AF$2:AF722),$AF$2:$AF$1001,0),1)&gt;=100000,INDEX($AM$1005:$BM$1005,1,MATCH(COLUMNS($AM$1006:AP1006),$AM$1006:$BM$1006,0))&gt;=100000), " ",IF(INDEX($AM$2:$BM$1001,MATCH(ROWS($AF$2:AF722),$AF$2:$AF$1001,0),MATCH(COLUMNS($AM$1006:AP1006),$AM$1006:$BM$1006,0)), HYPERLINK("#",""), HYPERLINK(CONCATENATE("#metadata!", ADDRESS(INDEX($AH$2:$AH$1001,MATCH(ROWS($AF$2:AF722),$AF$2:$AF$1001,0),0), INDEX($AM$1004:$BM$1004,1,MATCH(COLUMNS($AM$1006:AP1006),$AM$1006:$BM$1006,0)))),"Fix")))</f>
        <v xml:space="preserve"> </v>
      </c>
      <c r="F722" s="4" t="str">
        <f ca="1">IF(OR(INDEX($AG$2:$AG$1001,MATCH(ROWS($AF$2:AF722),$AF$2:$AF$1001,0),1)&gt;=100000,INDEX($AM$1005:$BM$1005,1,MATCH(COLUMNS($AM$1006:AQ1006),$AM$1006:$BM$1006,0))&gt;=100000), " ",IF(INDEX($AM$2:$BM$1001,MATCH(ROWS($AF$2:AF722),$AF$2:$AF$1001,0),MATCH(COLUMNS($AM$1006:AQ1006),$AM$1006:$BM$1006,0)), HYPERLINK("#",""), HYPERLINK(CONCATENATE("#metadata!", ADDRESS(INDEX($AH$2:$AH$1001,MATCH(ROWS($AF$2:AF722),$AF$2:$AF$1001,0),0), INDEX($AM$1004:$BM$1004,1,MATCH(COLUMNS($AM$1006:AQ1006),$AM$1006:$BM$1006,0)))),"Fix")))</f>
        <v xml:space="preserve"> </v>
      </c>
      <c r="G722" s="4" t="str">
        <f ca="1">IF(OR(INDEX($AG$2:$AG$1001,MATCH(ROWS($AF$2:AF722),$AF$2:$AF$1001,0),1)&gt;=100000,INDEX($AM$1005:$BM$1005,1,MATCH(COLUMNS($AM$1006:AR1006),$AM$1006:$BM$1006,0))&gt;=100000), " ",IF(INDEX($AM$2:$BM$1001,MATCH(ROWS($AF$2:AF722),$AF$2:$AF$1001,0),MATCH(COLUMNS($AM$1006:AR1006),$AM$1006:$BM$1006,0)), HYPERLINK("#",""), HYPERLINK(CONCATENATE("#metadata!", ADDRESS(INDEX($AH$2:$AH$1001,MATCH(ROWS($AF$2:AF722),$AF$2:$AF$1001,0),0), INDEX($AM$1004:$BM$1004,1,MATCH(COLUMNS($AM$1006:AR1006),$AM$1006:$BM$1006,0)))),"Fix")))</f>
        <v xml:space="preserve"> </v>
      </c>
      <c r="H722" s="4" t="str">
        <f ca="1">IF(OR(INDEX($AG$2:$AG$1001,MATCH(ROWS($AF$2:AF722),$AF$2:$AF$1001,0),1)&gt;=100000,INDEX($AM$1005:$BM$1005,1,MATCH(COLUMNS($AM$1006:AS1006),$AM$1006:$BM$1006,0))&gt;=100000), " ",IF(INDEX($AM$2:$BM$1001,MATCH(ROWS($AF$2:AF722),$AF$2:$AF$1001,0),MATCH(COLUMNS($AM$1006:AS1006),$AM$1006:$BM$1006,0)), HYPERLINK("#",""), HYPERLINK(CONCATENATE("#metadata!", ADDRESS(INDEX($AH$2:$AH$1001,MATCH(ROWS($AF$2:AF722),$AF$2:$AF$1001,0),0), INDEX($AM$1004:$BM$1004,1,MATCH(COLUMNS($AM$1006:AS1006),$AM$1006:$BM$1006,0)))),"Fix")))</f>
        <v xml:space="preserve"> </v>
      </c>
      <c r="I722" s="4" t="str">
        <f ca="1">IF(OR(INDEX($AG$2:$AG$1001,MATCH(ROWS($AF$2:AF722),$AF$2:$AF$1001,0),1)&gt;=100000,INDEX($AM$1005:$BM$1005,1,MATCH(COLUMNS($AM$1006:AT1006),$AM$1006:$BM$1006,0))&gt;=100000), " ",IF(INDEX($AM$2:$BM$1001,MATCH(ROWS($AF$2:AF722),$AF$2:$AF$1001,0),MATCH(COLUMNS($AM$1006:AT1006),$AM$1006:$BM$1006,0)), HYPERLINK("#",""), HYPERLINK(CONCATENATE("#metadata!", ADDRESS(INDEX($AH$2:$AH$1001,MATCH(ROWS($AF$2:AF722),$AF$2:$AF$1001,0),0), INDEX($AM$1004:$BM$1004,1,MATCH(COLUMNS($AM$1006:AT1006),$AM$1006:$BM$1006,0)))),"Fix")))</f>
        <v xml:space="preserve"> </v>
      </c>
      <c r="J722" s="4" t="str">
        <f ca="1">IF(OR(INDEX($AG$2:$AG$1001,MATCH(ROWS($AF$2:AF722),$AF$2:$AF$1001,0),1)&gt;=100000,INDEX($AM$1005:$BM$1005,1,MATCH(COLUMNS($AM$1006:AU1006),$AM$1006:$BM$1006,0))&gt;=100000), " ",IF(INDEX($AM$2:$BM$1001,MATCH(ROWS($AF$2:AF722),$AF$2:$AF$1001,0),MATCH(COLUMNS($AM$1006:AU1006),$AM$1006:$BM$1006,0)), HYPERLINK("#",""), HYPERLINK(CONCATENATE("#metadata!", ADDRESS(INDEX($AH$2:$AH$1001,MATCH(ROWS($AF$2:AF722),$AF$2:$AF$1001,0),0), INDEX($AM$1004:$BM$1004,1,MATCH(COLUMNS($AM$1006:AU1006),$AM$1006:$BM$1006,0)))),"Fix")))</f>
        <v xml:space="preserve"> </v>
      </c>
      <c r="K722" s="4" t="str">
        <f ca="1">IF(OR(INDEX($AG$2:$AG$1001,MATCH(ROWS($AF$2:AF722),$AF$2:$AF$1001,0),1)&gt;=100000,INDEX($AM$1005:$BM$1005,1,MATCH(COLUMNS($AM$1006:AV1006),$AM$1006:$BM$1006,0))&gt;=100000), " ",IF(INDEX($AM$2:$BM$1001,MATCH(ROWS($AF$2:AF722),$AF$2:$AF$1001,0),MATCH(COLUMNS($AM$1006:AV1006),$AM$1006:$BM$1006,0)), HYPERLINK("#",""), HYPERLINK(CONCATENATE("#metadata!", ADDRESS(INDEX($AH$2:$AH$1001,MATCH(ROWS($AF$2:AF722),$AF$2:$AF$1001,0),0), INDEX($AM$1004:$BM$1004,1,MATCH(COLUMNS($AM$1006:AV1006),$AM$1006:$BM$1006,0)))),"Fix")))</f>
        <v xml:space="preserve"> </v>
      </c>
      <c r="L722" s="4" t="str">
        <f ca="1">IF(OR(INDEX($AG$2:$AG$1001,MATCH(ROWS($AF$2:AF722),$AF$2:$AF$1001,0),1)&gt;=100000,INDEX($AM$1005:$BM$1005,1,MATCH(COLUMNS($AM$1006:AW1006),$AM$1006:$BM$1006,0))&gt;=100000), " ",IF(INDEX($AM$2:$BM$1001,MATCH(ROWS($AF$2:AF722),$AF$2:$AF$1001,0),MATCH(COLUMNS($AM$1006:AW1006),$AM$1006:$BM$1006,0)), HYPERLINK("#",""), HYPERLINK(CONCATENATE("#metadata!", ADDRESS(INDEX($AH$2:$AH$1001,MATCH(ROWS($AF$2:AF722),$AF$2:$AF$1001,0),0), INDEX($AM$1004:$BM$1004,1,MATCH(COLUMNS($AM$1006:AW1006),$AM$1006:$BM$1006,0)))),"Fix")))</f>
        <v xml:space="preserve"> </v>
      </c>
      <c r="M722" s="4" t="str">
        <f ca="1">IF(OR(INDEX($AG$2:$AG$1001,MATCH(ROWS($AF$2:AF722),$AF$2:$AF$1001,0),1)&gt;=100000,INDEX($AM$1005:$BM$1005,1,MATCH(COLUMNS($AM$1006:AX1006),$AM$1006:$BM$1006,0))&gt;=100000), " ",IF(INDEX($AM$2:$BM$1001,MATCH(ROWS($AF$2:AF722),$AF$2:$AF$1001,0),MATCH(COLUMNS($AM$1006:AX1006),$AM$1006:$BM$1006,0)), HYPERLINK("#",""), HYPERLINK(CONCATENATE("#metadata!", ADDRESS(INDEX($AH$2:$AH$1001,MATCH(ROWS($AF$2:AF722),$AF$2:$AF$1001,0),0), INDEX($AM$1004:$BM$1004,1,MATCH(COLUMNS($AM$1006:AX1006),$AM$1006:$BM$1006,0)))),"Fix")))</f>
        <v xml:space="preserve"> </v>
      </c>
      <c r="N722" s="4" t="str">
        <f ca="1">IF(OR(INDEX($AG$2:$AG$1001,MATCH(ROWS($AF$2:AF722),$AF$2:$AF$1001,0),1)&gt;=100000,INDEX($AM$1005:$BM$1005,1,MATCH(COLUMNS($AM$1006:AY1006),$AM$1006:$BM$1006,0))&gt;=100000), " ",IF(INDEX($AM$2:$BM$1001,MATCH(ROWS($AF$2:AF722),$AF$2:$AF$1001,0),MATCH(COLUMNS($AM$1006:AY1006),$AM$1006:$BM$1006,0)), HYPERLINK("#",""), HYPERLINK(CONCATENATE("#metadata!", ADDRESS(INDEX($AH$2:$AH$1001,MATCH(ROWS($AF$2:AF722),$AF$2:$AF$1001,0),0), INDEX($AM$1004:$BM$1004,1,MATCH(COLUMNS($AM$1006:AY1006),$AM$1006:$BM$1006,0)))),"Fix")))</f>
        <v xml:space="preserve"> </v>
      </c>
      <c r="O722" s="4" t="str">
        <f ca="1">IF(OR(INDEX($AG$2:$AG$1001,MATCH(ROWS($AF$2:AF722),$AF$2:$AF$1001,0),1)&gt;=100000,INDEX($AM$1005:$BM$1005,1,MATCH(COLUMNS($AM$1006:AZ1006),$AM$1006:$BM$1006,0))&gt;=100000), " ",IF(INDEX($AM$2:$BM$1001,MATCH(ROWS($AF$2:AF722),$AF$2:$AF$1001,0),MATCH(COLUMNS($AM$1006:AZ1006),$AM$1006:$BM$1006,0)), HYPERLINK("#",""), HYPERLINK(CONCATENATE("#metadata!", ADDRESS(INDEX($AH$2:$AH$1001,MATCH(ROWS($AF$2:AF722),$AF$2:$AF$1001,0),0), INDEX($AM$1004:$BM$1004,1,MATCH(COLUMNS($AM$1006:AZ1006),$AM$1006:$BM$1006,0)))),"Fix")))</f>
        <v xml:space="preserve"> </v>
      </c>
      <c r="P722" s="4" t="str">
        <f ca="1">IF(OR(INDEX($AG$2:$AG$1001,MATCH(ROWS($AF$2:AF722),$AF$2:$AF$1001,0),1)&gt;=100000,INDEX($AM$1005:$BM$1005,1,MATCH(COLUMNS($AM$1006:BA1006),$AM$1006:$BM$1006,0))&gt;=100000), " ",IF(INDEX($AM$2:$BM$1001,MATCH(ROWS($AF$2:AF722),$AF$2:$AF$1001,0),MATCH(COLUMNS($AM$1006:BA1006),$AM$1006:$BM$1006,0)), HYPERLINK("#",""), HYPERLINK(CONCATENATE("#metadata!", ADDRESS(INDEX($AH$2:$AH$1001,MATCH(ROWS($AF$2:AF722),$AF$2:$AF$1001,0),0), INDEX($AM$1004:$BM$1004,1,MATCH(COLUMNS($AM$1006:BA1006),$AM$1006:$BM$1006,0)))),"Fix")))</f>
        <v xml:space="preserve"> </v>
      </c>
      <c r="Q722" s="4" t="str">
        <f ca="1">IF(OR(INDEX($AG$2:$AG$1001,MATCH(ROWS($AF$2:AF722),$AF$2:$AF$1001,0),1)&gt;=100000,INDEX($AM$1005:$BM$1005,1,MATCH(COLUMNS($AM$1006:BB1006),$AM$1006:$BM$1006,0))&gt;=100000), " ",IF(INDEX($AM$2:$BM$1001,MATCH(ROWS($AF$2:AF722),$AF$2:$AF$1001,0),MATCH(COLUMNS($AM$1006:BB1006),$AM$1006:$BM$1006,0)), HYPERLINK("#",""), HYPERLINK(CONCATENATE("#metadata!", ADDRESS(INDEX($AH$2:$AH$1001,MATCH(ROWS($AF$2:AF722),$AF$2:$AF$1001,0),0), INDEX($AM$1004:$BM$1004,1,MATCH(COLUMNS($AM$1006:BB1006),$AM$1006:$BM$1006,0)))),"Fix")))</f>
        <v xml:space="preserve"> </v>
      </c>
      <c r="R722" s="4" t="str">
        <f ca="1">IF(OR(INDEX($AG$2:$AG$1001,MATCH(ROWS($AF$2:AF722),$AF$2:$AF$1001,0),1)&gt;=100000,INDEX($AM$1005:$BM$1005,1,MATCH(COLUMNS($AM$1006:BC1006),$AM$1006:$BM$1006,0))&gt;=100000), " ",IF(INDEX($AM$2:$BM$1001,MATCH(ROWS($AF$2:AF722),$AF$2:$AF$1001,0),MATCH(COLUMNS($AM$1006:BC1006),$AM$1006:$BM$1006,0)), HYPERLINK("#",""), HYPERLINK(CONCATENATE("#metadata!", ADDRESS(INDEX($AH$2:$AH$1001,MATCH(ROWS($AF$2:AF722),$AF$2:$AF$1001,0),0), INDEX($AM$1004:$BM$1004,1,MATCH(COLUMNS($AM$1006:BC1006),$AM$1006:$BM$1006,0)))),"Fix")))</f>
        <v xml:space="preserve"> </v>
      </c>
      <c r="S722" s="4" t="str">
        <f ca="1">IF(OR(INDEX($AG$2:$AG$1001,MATCH(ROWS($AF$2:AF722),$AF$2:$AF$1001,0),1)&gt;=100000,INDEX($AM$1005:$BM$1005,1,MATCH(COLUMNS($AM$1006:BD1006),$AM$1006:$BM$1006,0))&gt;=100000), " ",IF(INDEX($AM$2:$BM$1001,MATCH(ROWS($AF$2:AF722),$AF$2:$AF$1001,0),MATCH(COLUMNS($AM$1006:BD1006),$AM$1006:$BM$1006,0)), HYPERLINK("#",""), HYPERLINK(CONCATENATE("#metadata!", ADDRESS(INDEX($AH$2:$AH$1001,MATCH(ROWS($AF$2:AF722),$AF$2:$AF$1001,0),0), INDEX($AM$1004:$BM$1004,1,MATCH(COLUMNS($AM$1006:BD1006),$AM$1006:$BM$1006,0)))),"Fix")))</f>
        <v xml:space="preserve"> </v>
      </c>
      <c r="T722" s="4" t="str">
        <f ca="1">IF(OR(INDEX($AG$2:$AG$1001,MATCH(ROWS($AF$2:AF722),$AF$2:$AF$1001,0),1)&gt;=100000,INDEX($AM$1005:$BM$1005,1,MATCH(COLUMNS($AM$1006:BE1006),$AM$1006:$BM$1006,0))&gt;=100000), " ",IF(INDEX($AM$2:$BM$1001,MATCH(ROWS($AF$2:AF722),$AF$2:$AF$1001,0),MATCH(COLUMNS($AM$1006:BE1006),$AM$1006:$BM$1006,0)), HYPERLINK("#",""), HYPERLINK(CONCATENATE("#metadata!", ADDRESS(INDEX($AH$2:$AH$1001,MATCH(ROWS($AF$2:AF722),$AF$2:$AF$1001,0),0), INDEX($AM$1004:$BM$1004,1,MATCH(COLUMNS($AM$1006:BE1006),$AM$1006:$BM$1006,0)))),"Fix")))</f>
        <v xml:space="preserve"> </v>
      </c>
      <c r="U722" s="4" t="str">
        <f ca="1">IF(OR(INDEX($AG$2:$AG$1001,MATCH(ROWS($AF$2:AF722),$AF$2:$AF$1001,0),1)&gt;=100000,INDEX($AM$1005:$BM$1005,1,MATCH(COLUMNS($AM$1006:BF1006),$AM$1006:$BM$1006,0))&gt;=100000), " ",IF(INDEX($AM$2:$BM$1001,MATCH(ROWS($AF$2:AF722),$AF$2:$AF$1001,0),MATCH(COLUMNS($AM$1006:BF1006),$AM$1006:$BM$1006,0)), HYPERLINK("#",""), HYPERLINK(CONCATENATE("#metadata!", ADDRESS(INDEX($AH$2:$AH$1001,MATCH(ROWS($AF$2:AF722),$AF$2:$AF$1001,0),0), INDEX($AM$1004:$BM$1004,1,MATCH(COLUMNS($AM$1006:BF1006),$AM$1006:$BM$1006,0)))),"Fix")))</f>
        <v xml:space="preserve"> </v>
      </c>
      <c r="V722" s="4" t="str">
        <f ca="1">IF(OR(INDEX($AG$2:$AG$1001,MATCH(ROWS($AF$2:AF722),$AF$2:$AF$1001,0),1)&gt;=100000,INDEX($AM$1005:$BM$1005,1,MATCH(COLUMNS($AM$1006:BG1006),$AM$1006:$BM$1006,0))&gt;=100000), " ",IF(INDEX($AM$2:$BM$1001,MATCH(ROWS($AF$2:AF722),$AF$2:$AF$1001,0),MATCH(COLUMNS($AM$1006:BG1006),$AM$1006:$BM$1006,0)), HYPERLINK("#",""), HYPERLINK(CONCATENATE("#metadata!", ADDRESS(INDEX($AH$2:$AH$1001,MATCH(ROWS($AF$2:AF722),$AF$2:$AF$1001,0),0), INDEX($AM$1004:$BM$1004,1,MATCH(COLUMNS($AM$1006:BG1006),$AM$1006:$BM$1006,0)))),"Fix")))</f>
        <v xml:space="preserve"> </v>
      </c>
      <c r="W722" s="4" t="str">
        <f ca="1">IF(OR(INDEX($AG$2:$AG$1001,MATCH(ROWS($AF$2:AF722),$AF$2:$AF$1001,0),1)&gt;=100000,INDEX($AM$1005:$BM$1005,1,MATCH(COLUMNS($AM$1006:BH1006),$AM$1006:$BM$1006,0))&gt;=100000), " ",IF(INDEX($AM$2:$BM$1001,MATCH(ROWS($AF$2:AF722),$AF$2:$AF$1001,0),MATCH(COLUMNS($AM$1006:BH1006),$AM$1006:$BM$1006,0)), HYPERLINK("#",""), HYPERLINK(CONCATENATE("#metadata!", ADDRESS(INDEX($AH$2:$AH$1001,MATCH(ROWS($AF$2:AF722),$AF$2:$AF$1001,0),0), INDEX($AM$1004:$BM$1004,1,MATCH(COLUMNS($AM$1006:BH1006),$AM$1006:$BM$1006,0)))),"Fix")))</f>
        <v xml:space="preserve"> </v>
      </c>
      <c r="X722" s="4" t="str">
        <f ca="1">IF(OR(INDEX($AG$2:$AG$1001,MATCH(ROWS($AF$2:AF722),$AF$2:$AF$1001,0),1)&gt;=100000,INDEX($AM$1005:$BM$1005,1,MATCH(COLUMNS($AM$1006:BI1006),$AM$1006:$BM$1006,0))&gt;=100000), " ",IF(INDEX($AM$2:$BM$1001,MATCH(ROWS($AF$2:AF722),$AF$2:$AF$1001,0),MATCH(COLUMNS($AM$1006:BI1006),$AM$1006:$BM$1006,0)), HYPERLINK("#",""), HYPERLINK(CONCATENATE("#metadata!", ADDRESS(INDEX($AH$2:$AH$1001,MATCH(ROWS($AF$2:AF722),$AF$2:$AF$1001,0),0), INDEX($AM$1004:$BM$1004,1,MATCH(COLUMNS($AM$1006:BI1006),$AM$1006:$BM$1006,0)))),"Fix")))</f>
        <v xml:space="preserve"> </v>
      </c>
      <c r="Y722" s="4" t="str">
        <f ca="1">IF(OR(INDEX($AG$2:$AG$1001,MATCH(ROWS($AF$2:AF722),$AF$2:$AF$1001,0),1)&gt;=100000,INDEX($AM$1005:$BM$1005,1,MATCH(COLUMNS($AM$1006:BJ1006),$AM$1006:$BM$1006,0))&gt;=100000), " ",IF(INDEX($AM$2:$BM$1001,MATCH(ROWS($AF$2:AF722),$AF$2:$AF$1001,0),MATCH(COLUMNS($AM$1006:BJ1006),$AM$1006:$BM$1006,0)), HYPERLINK("#",""), HYPERLINK(CONCATENATE("#metadata!", ADDRESS(INDEX($AH$2:$AH$1001,MATCH(ROWS($AF$2:AF722),$AF$2:$AF$1001,0),0), INDEX($AM$1004:$BM$1004,1,MATCH(COLUMNS($AM$1006:BJ1006),$AM$1006:$BM$1006,0)))),"Fix")))</f>
        <v xml:space="preserve"> </v>
      </c>
      <c r="Z722" s="4" t="str">
        <f ca="1">IF(OR(INDEX($AG$2:$AG$1001,MATCH(ROWS($AF$2:AF722),$AF$2:$AF$1001,0),1)&gt;=100000,INDEX($AM$1005:$BM$1005,1,MATCH(COLUMNS($AM$1006:BK1006),$AM$1006:$BM$1006,0))&gt;=100000), " ",IF(INDEX($AM$2:$BM$1001,MATCH(ROWS($AF$2:AF722),$AF$2:$AF$1001,0),MATCH(COLUMNS($AM$1006:BK1006),$AM$1006:$BM$1006,0)), HYPERLINK("#",""), HYPERLINK(CONCATENATE("#metadata!", ADDRESS(INDEX($AH$2:$AH$1001,MATCH(ROWS($AF$2:AF722),$AF$2:$AF$1001,0),0), INDEX($AM$1004:$BM$1004,1,MATCH(COLUMNS($AM$1006:BK1006),$AM$1006:$BM$1006,0)))),"Fix")))</f>
        <v xml:space="preserve"> </v>
      </c>
      <c r="AA722" s="4" t="str">
        <f ca="1">IF(OR(INDEX($AG$2:$AG$1001,MATCH(ROWS($AF$2:AF722),$AF$2:$AF$1001,0),1)&gt;=100000,INDEX($AM$1005:$BM$1005,1,MATCH(COLUMNS($AM$1006:BL1006),$AM$1006:$BM$1006,0))&gt;=100000), " ",IF(INDEX($AM$2:$BM$1001,MATCH(ROWS($AF$2:AF722),$AF$2:$AF$1001,0),MATCH(COLUMNS($AM$1006:BL1006),$AM$1006:$BM$1006,0)), HYPERLINK("#",""), HYPERLINK(CONCATENATE("#metadata!", ADDRESS(INDEX($AH$2:$AH$1001,MATCH(ROWS($AF$2:AF722),$AF$2:$AF$1001,0),0), INDEX($AM$1004:$BM$1004,1,MATCH(COLUMNS($AM$1006:BL1006),$AM$1006:$BM$1006,0)))),"Fix")))</f>
        <v xml:space="preserve"> </v>
      </c>
      <c r="AB722" s="4" t="str">
        <f ca="1">IF(OR(INDEX($AG$2:$AG$1001,MATCH(ROWS($AF$2:AF722),$AF$2:$AF$1001,0),1)&gt;=100000,INDEX($AM$1005:$BM$1005,1,MATCH(COLUMNS($AM$1006:BM1006),$AM$1006:$BM$1006,0))&gt;=100000), " ",IF(INDEX($AM$2:$BM$1001,MATCH(ROWS($AF$2:AF722),$AF$2:$AF$1001,0),MATCH(COLUMNS($AM$1006:BM1006),$AM$1006:$BM$1006,0)), HYPERLINK("#",""), HYPERLINK(CONCATENATE("#metadata!", ADDRESS(INDEX($AH$2:$AH$1001,MATCH(ROWS($AF$2:AF722),$AF$2:$AF$1001,0),0), INDEX($AM$1004:$BM$1004,1,MATCH(COLUMNS($AM$1006:BM1006),$AM$1006:$BM$1006,0)))),"Fix")))</f>
        <v xml:space="preserve"> </v>
      </c>
      <c r="AF722">
        <v>721</v>
      </c>
      <c r="AG722">
        <v>100722</v>
      </c>
      <c r="AH722">
        <v>722</v>
      </c>
      <c r="AI722" t="b">
        <f t="shared" si="11"/>
        <v>1</v>
      </c>
      <c r="AJ722" t="b">
        <f>COUNTBLANK(metadata!B722:AB722)=COLUMNS(metadata!B722:AB722)</f>
        <v>1</v>
      </c>
      <c r="AK722" t="str">
        <v/>
      </c>
      <c r="AM722" t="b">
        <f ca="1">AND(IF(metadata!B722="",FALSE,TRUE),COUNTIF(metadata!B:B, metadata!B722) = 1,NOT(ISERROR(SUMPRODUCT(SEARCH(MID(metadata!B722,ROW(INDIRECT("1:"&amp;LEN(metadata!B722))), 1),"0123456789abcdefghijklmnopqrstuvwxyzABCDEFGHIJKLMNOPQRSTUVWXYZ.")))))</f>
        <v>0</v>
      </c>
      <c r="AN722" t="b">
        <f ca="1">OR(AND(IF(metadata!C722="",FALSE,TRUE),OR(EXACT(metadata!C722,"missing: not collected"),EXACT(metadata!C722,"missing: not provided"),EXACT(metadata!C722,"missing: restricted access"))),AND(IF(metadata!C722="",FALSE,TRUE),AND(AND(IFERROR(INT(LEFT(metadata!C722,4))&gt;1900,FALSE),IFERROR(INT(LEFT(metadata!C722,4))&lt;=YEAR(NOW()),FALSE)), OR(MID(metadata!C722,5,1)="", AND(AND(MID(metadata!C722,5,1)="-",IFERROR(INT(MID(metadata!C722,6,1))&gt;=0,FALSE),IFERROR(INT(MID(metadata!C722,6,1))&lt;=1,FALSE),NOT(MID(metadata!C722,7,1)=""),IFERROR(INT(MID(metadata!C722,6,2))&gt;=1,FALSE),IFERROR(INT(MID(metadata!C722,6,2))&lt;=12,FALSE)), OR(MID(metadata!C722,8,1)="", AND(AND(MID(metadata!C722,8,1)="-",IFERROR(INT(MID(metadata!C722,9,1))&gt;=0,FALSE),IFERROR(INT(MID(metadata!C722,9,1))&lt;=3,FALSE),NOT(MID(metadata!C722,10,1)=""),IFERROR(INT(MID(metadata!C722,9,2))&gt;=1,FALSE),IFERROR(INT(MID(metadata!C722,9,2))&lt;=31,FALSE)), OR(MID(metadata!C722,11,1)="", AND(AND(MID(metadata!C722,11,1)=" ",IFERROR(INT(MID(metadata!C722,12,1))&gt;=0,FALSE),IFERROR(INT(MID(metadata!C722,12,1))&lt;=2,FALSE),NOT(MID(metadata!C722,13,1)=""),IFERROR(INT(MID(metadata!C722,12,2))&gt;=0,FALSE),IFERROR(INT(MID(metadata!C722,12,2))&lt;=23,FALSE)), OR(MID(metadata!C722,14,1)="", AND(AND(MID(metadata!C722,14,1)=":",IFERROR(INT(MID(metadata!C722,15,1))&gt;=0,FALSE),IFERROR(INT(MID(metadata!C722,15,1))&lt;=5,FALSE),NOT(MID(metadata!C722,16,1)=""),IFERROR(INT(MID(metadata!C722,15,2))&gt;=0,FALSE),IFERROR(INT(MID(metadata!C722,15,2))&lt;=59,FALSE)), OR(MID(metadata!C722,17,1)="", AND(AND(MID(metadata!C722,17,1)=":",IFERROR(INT(MID(metadata!C722,18,1))&gt;=0,FALSE),IFERROR(INT(MID(metadata!C722,18,1))&lt;=5,FALSE),NOT(MID(metadata!C722,19,1)=""),IFERROR(INT(MID(metadata!C722,18,2))&gt;=0,FALSE),IFERROR(INT(MID(metadata!C722,18,2))&lt;=59,FALSE)), LEN(metadata!C722)&lt;=19)))))))))))))</f>
        <v>0</v>
      </c>
      <c r="AO722" t="b">
        <f>AND(IF(metadata!D722="",FALSE,TRUE),EXACT(metadata!D722,"Not applicable"))</f>
        <v>0</v>
      </c>
      <c r="AP722" t="b">
        <f>IF(metadata!E722="",FALSE,TRUE)</f>
        <v>0</v>
      </c>
      <c r="AQ722" t="b">
        <f>OR(AND(IF(metadata!F722="",FALSE,TRUE),OR(EXACT(metadata!F722,"missing: not collected"),EXACT(metadata!F722,"missing: not provided"))),AND(IF(metadata!F722="",FALSE,TRUE),OR(EXACT(metadata!F722,"TRUE"),EXACT(metadata!F722,"FALSE"))))</f>
        <v>0</v>
      </c>
      <c r="AR722" t="b">
        <f>OR(AND(IF(metadata!G722="",FALSE,TRUE),OR(EXACT(metadata!G722,"missing: not collected"),EXACT(metadata!G722,"missing: not provided"),EXACT(metadata!G722,"missing: restricted access"))),AND(IF(metadata!G722="",FALSE,ISNUMBER(VALUE(metadata!G722))),metadata!G722&gt;=-413))</f>
        <v>0</v>
      </c>
      <c r="AS722" t="b">
        <f>AND(IF(metadata!H722="",FALSE,TRUE),EXACT(metadata!H722,"meters"))</f>
        <v>0</v>
      </c>
      <c r="AT722" t="b">
        <f>AND(IF(metadata!I722="",FALSE,TRUE),OR(EXACT(metadata!I722,"Host-associated"),EXACT(metadata!I722,"Free-living")))</f>
        <v>0</v>
      </c>
      <c r="AU722" t="b">
        <f>AND(IF(metadata!J722="",FALSE,TRUE),OR(EXACT(metadata!J722,"Animal"),EXACT(metadata!J722,"Fungus"),EXACT(metadata!J722,"Plant"),EXACT(metadata!J722,"Saline"),EXACT(metadata!J722,"Non-saline")))</f>
        <v>0</v>
      </c>
      <c r="AV722" t="b">
        <f>AND(IF(metadata!K722="",FALSE,TRUE),OR(EXACT(metadata!K722,"Plant secretion"),EXACT(metadata!K722,"Plant rhizosphere"),EXACT(metadata!K722,"Plant surface"),EXACT(metadata!K722,"Plant corpus"),EXACT(metadata!K722,"Fungus surface"),EXACT(metadata!K722,"Fungus corpus"),EXACT(metadata!K722,"Animal surface"),EXACT(metadata!K722,"Animal proximal gut"),EXACT(metadata!K722,"Animal corpus"),EXACT(metadata!K722,"Animal distal gut"),EXACT(metadata!K722,"Animal secretion"),EXACT(metadata!K722,"Sub-surface (non-saline)"),EXACT(metadata!K722,"Surface (non-saline)"),EXACT(metadata!K722,"Water (non-saline)"),EXACT(metadata!K722,"Soil (non-saline)"),EXACT(metadata!K722,"Aerosol (non-saline)"),EXACT(metadata!K722,"Sediment (non-saline)"),EXACT(metadata!K722,"Surface (saline)"),EXACT(metadata!K722,"Water (saline)"),EXACT(metadata!K722,"Hypersaline (saline)"),EXACT(metadata!K722,"Aerosol (saline)"),EXACT(metadata!K722,"Sediment (saline)")))</f>
        <v>0</v>
      </c>
      <c r="AW722" t="b">
        <f>IF(metadata!L722="",FALSE,TRUE)</f>
        <v>0</v>
      </c>
      <c r="AX722" t="b">
        <f>IF(metadata!M722="",FALSE,TRUE)</f>
        <v>0</v>
      </c>
      <c r="AY722" t="b">
        <f>IF(metadata!N722="",FALSE,TRUE)</f>
        <v>0</v>
      </c>
      <c r="AZ722" t="b">
        <f>OR(AND(IF(metadata!O722="",FALSE,TRUE),OR(EXACT(metadata!O722,"missing: not collected"),EXACT(metadata!O722,"missing: not provided"),EXACT(metadata!O722,"missing: restricted access"))),AND(IF(metadata!O722="",FALSE,TRUE),OR(EXACT(metadata!O722,"air"),EXACT(metadata!O722,"built environment"),EXACT(metadata!O722,"host-associated"),EXACT(metadata!O722,"human-associated"),EXACT(metadata!O722,"human-skin"),EXACT(metadata!O722,"human-oral"),EXACT(metadata!O722,"human-gut"),EXACT(metadata!O722,"human-vaginal"),EXACT(metadata!O722,"microbial mat/biofilm"),EXACT(metadata!O722,"misc environment"),EXACT(metadata!O722,"plant-associated"),EXACT(metadata!O722,"sediment"),EXACT(metadata!O722,"soil"),EXACT(metadata!O722,"wastewater/sludge"),EXACT(metadata!O722,"water"))))</f>
        <v>0</v>
      </c>
      <c r="BA722" t="b">
        <f>IF(metadata!P722="",FALSE,TRUE)</f>
        <v>0</v>
      </c>
      <c r="BB722" t="b">
        <f>IF(metadata!Q722="",FALSE,TRUE)</f>
        <v>0</v>
      </c>
      <c r="BC722" t="b">
        <f>OR(AND(IF(metadata!R722="",FALSE,TRUE),OR(EXACT(metadata!R722,"missing: not collected"),EXACT(metadata!R722,"missing: not provided"),EXACT(metadata!R722,"missing: restricted access"))),AND(IF(metadata!R722="",FALSE,ISNUMBER(VALUE(metadata!R722))),metadata!R722&gt;=-90,metadata!R722&lt;=90))</f>
        <v>0</v>
      </c>
      <c r="BD722" t="b">
        <f>AND(IF(metadata!S722="",FALSE,TRUE),EXACT(metadata!S722,"Decimal degrees"))</f>
        <v>0</v>
      </c>
      <c r="BE722" t="b">
        <f>OR(AND(IF(metadata!T722="",FALSE,TRUE),OR(EXACT(metadata!T722,"missing: not collected"),EXACT(metadata!T722,"missing: not provided"),EXACT(metadata!T722,"missing: restricted access"))),AND(IF(metadata!T722="",FALSE,ISNUMBER(VALUE(metadata!T722))),metadata!T722&gt;=-180,metadata!T722&lt;=180))</f>
        <v>0</v>
      </c>
      <c r="BF722" t="b">
        <f>AND(IF(metadata!U722="",FALSE,TRUE),EXACT(metadata!U722,"Decimal degrees"))</f>
        <v>0</v>
      </c>
      <c r="BG722" t="b">
        <f>IF(metadata!V722="",FALSE,TRUE)</f>
        <v>0</v>
      </c>
      <c r="BH722" t="b">
        <f>OR(AND(IF(metadata!W722="",FALSE,TRUE),OR(EXACT(metadata!W722,"missing: not collected"),EXACT(metadata!W722,"missing: not provided"),EXACT(metadata!W722,"missing: restricted access"))),AND(IF(metadata!W722="",FALSE,TRUE),OR(EXACT(metadata!W722,"TRUE"),EXACT(metadata!W722,"FALSE"))))</f>
        <v>0</v>
      </c>
      <c r="BI722" t="b">
        <f>AND(IF(metadata!X722="",FALSE,TRUE),EXACT(metadata!X722,"other"))</f>
        <v>0</v>
      </c>
      <c r="BJ722" t="b">
        <f>IF(metadata!Y722="",FALSE,TRUE)</f>
        <v>0</v>
      </c>
      <c r="BK722" t="b">
        <f>OR(AND(IF(metadata!Z722="",FALSE,TRUE),OR(EXACT(metadata!Z722,"missing: not collected"),EXACT(metadata!Z722,"missing: not provided"))),AND(IF(metadata!Z722="",FALSE,IF(ISERROR(INT(metadata!Z722)),FALSE,INT(metadata!Z722)=metadata!Z722)),metadata!Z722&gt;0))</f>
        <v>0</v>
      </c>
      <c r="BL722" t="b">
        <f>AND(IF(metadata!AA722="",FALSE,TRUE),EXACT(metadata!AA722,"Not applicable"))</f>
        <v>0</v>
      </c>
      <c r="BM722" t="b">
        <f>IF(metadata!AB722="",FALSE,TRUE)</f>
        <v>0</v>
      </c>
    </row>
    <row r="723" spans="1:65" x14ac:dyDescent="0.2">
      <c r="A723" s="5" t="str">
        <f ca="1">IF(B723=" "," ",HYPERLINK(CONCATENATE("#metadata!",ADDRESS(INDEX($AH$2:$AH$1001,MATCH(ROWS($AF$2:AF723),$AF$2:$AF$1001,0),0),1)),INDEX($AK$2:$AK$1001,MATCH(ROWS($AF$2:AF723),$AF$2:$AF$1001,0),0)))</f>
        <v xml:space="preserve"> </v>
      </c>
      <c r="B723" s="4" t="str">
        <f ca="1">IF(OR(INDEX($AG$2:$AG$1001,MATCH(ROWS($AF$2:AF723),$AF$2:$AF$1001,0),1)&gt;=100000,INDEX($AM$1005:$BM$1005,1,MATCH(COLUMNS($AM$1006:AM1006),$AM$1006:$BM$1006,0))&gt;=100000), " ",IF(INDEX($AM$2:$BM$1001,MATCH(ROWS($AF$2:AF723),$AF$2:$AF$1001,0),MATCH(COLUMNS($AM$1006:AM1006),$AM$1006:$BM$1006,0)), HYPERLINK("#",""), HYPERLINK(CONCATENATE("#metadata!", ADDRESS(INDEX($AH$2:$AH$1001,MATCH(ROWS($AF$2:AF723),$AF$2:$AF$1001,0),0), INDEX($AM$1004:$BM$1004,1,MATCH(COLUMNS($AM$1006:AM1006),$AM$1006:$BM$1006,0)))),"Fix")))</f>
        <v xml:space="preserve"> </v>
      </c>
      <c r="C723" s="4" t="str">
        <f ca="1">IF(OR(INDEX($AG$2:$AG$1001,MATCH(ROWS($AF$2:AF723),$AF$2:$AF$1001,0),1)&gt;=100000,INDEX($AM$1005:$BM$1005,1,MATCH(COLUMNS($AM$1006:AN1006),$AM$1006:$BM$1006,0))&gt;=100000), " ",IF(INDEX($AM$2:$BM$1001,MATCH(ROWS($AF$2:AF723),$AF$2:$AF$1001,0),MATCH(COLUMNS($AM$1006:AN1006),$AM$1006:$BM$1006,0)), HYPERLINK("#",""), HYPERLINK(CONCATENATE("#metadata!", ADDRESS(INDEX($AH$2:$AH$1001,MATCH(ROWS($AF$2:AF723),$AF$2:$AF$1001,0),0), INDEX($AM$1004:$BM$1004,1,MATCH(COLUMNS($AM$1006:AN1006),$AM$1006:$BM$1006,0)))),"Fix")))</f>
        <v xml:space="preserve"> </v>
      </c>
      <c r="D723" s="4" t="str">
        <f ca="1">IF(OR(INDEX($AG$2:$AG$1001,MATCH(ROWS($AF$2:AF723),$AF$2:$AF$1001,0),1)&gt;=100000,INDEX($AM$1005:$BM$1005,1,MATCH(COLUMNS($AM$1006:AO1006),$AM$1006:$BM$1006,0))&gt;=100000), " ",IF(INDEX($AM$2:$BM$1001,MATCH(ROWS($AF$2:AF723),$AF$2:$AF$1001,0),MATCH(COLUMNS($AM$1006:AO1006),$AM$1006:$BM$1006,0)), HYPERLINK("#",""), HYPERLINK(CONCATENATE("#metadata!", ADDRESS(INDEX($AH$2:$AH$1001,MATCH(ROWS($AF$2:AF723),$AF$2:$AF$1001,0),0), INDEX($AM$1004:$BM$1004,1,MATCH(COLUMNS($AM$1006:AO1006),$AM$1006:$BM$1006,0)))),"Fix")))</f>
        <v xml:space="preserve"> </v>
      </c>
      <c r="E723" s="4" t="str">
        <f ca="1">IF(OR(INDEX($AG$2:$AG$1001,MATCH(ROWS($AF$2:AF723),$AF$2:$AF$1001,0),1)&gt;=100000,INDEX($AM$1005:$BM$1005,1,MATCH(COLUMNS($AM$1006:AP1006),$AM$1006:$BM$1006,0))&gt;=100000), " ",IF(INDEX($AM$2:$BM$1001,MATCH(ROWS($AF$2:AF723),$AF$2:$AF$1001,0),MATCH(COLUMNS($AM$1006:AP1006),$AM$1006:$BM$1006,0)), HYPERLINK("#",""), HYPERLINK(CONCATENATE("#metadata!", ADDRESS(INDEX($AH$2:$AH$1001,MATCH(ROWS($AF$2:AF723),$AF$2:$AF$1001,0),0), INDEX($AM$1004:$BM$1004,1,MATCH(COLUMNS($AM$1006:AP1006),$AM$1006:$BM$1006,0)))),"Fix")))</f>
        <v xml:space="preserve"> </v>
      </c>
      <c r="F723" s="4" t="str">
        <f ca="1">IF(OR(INDEX($AG$2:$AG$1001,MATCH(ROWS($AF$2:AF723),$AF$2:$AF$1001,0),1)&gt;=100000,INDEX($AM$1005:$BM$1005,1,MATCH(COLUMNS($AM$1006:AQ1006),$AM$1006:$BM$1006,0))&gt;=100000), " ",IF(INDEX($AM$2:$BM$1001,MATCH(ROWS($AF$2:AF723),$AF$2:$AF$1001,0),MATCH(COLUMNS($AM$1006:AQ1006),$AM$1006:$BM$1006,0)), HYPERLINK("#",""), HYPERLINK(CONCATENATE("#metadata!", ADDRESS(INDEX($AH$2:$AH$1001,MATCH(ROWS($AF$2:AF723),$AF$2:$AF$1001,0),0), INDEX($AM$1004:$BM$1004,1,MATCH(COLUMNS($AM$1006:AQ1006),$AM$1006:$BM$1006,0)))),"Fix")))</f>
        <v xml:space="preserve"> </v>
      </c>
      <c r="G723" s="4" t="str">
        <f ca="1">IF(OR(INDEX($AG$2:$AG$1001,MATCH(ROWS($AF$2:AF723),$AF$2:$AF$1001,0),1)&gt;=100000,INDEX($AM$1005:$BM$1005,1,MATCH(COLUMNS($AM$1006:AR1006),$AM$1006:$BM$1006,0))&gt;=100000), " ",IF(INDEX($AM$2:$BM$1001,MATCH(ROWS($AF$2:AF723),$AF$2:$AF$1001,0),MATCH(COLUMNS($AM$1006:AR1006),$AM$1006:$BM$1006,0)), HYPERLINK("#",""), HYPERLINK(CONCATENATE("#metadata!", ADDRESS(INDEX($AH$2:$AH$1001,MATCH(ROWS($AF$2:AF723),$AF$2:$AF$1001,0),0), INDEX($AM$1004:$BM$1004,1,MATCH(COLUMNS($AM$1006:AR1006),$AM$1006:$BM$1006,0)))),"Fix")))</f>
        <v xml:space="preserve"> </v>
      </c>
      <c r="H723" s="4" t="str">
        <f ca="1">IF(OR(INDEX($AG$2:$AG$1001,MATCH(ROWS($AF$2:AF723),$AF$2:$AF$1001,0),1)&gt;=100000,INDEX($AM$1005:$BM$1005,1,MATCH(COLUMNS($AM$1006:AS1006),$AM$1006:$BM$1006,0))&gt;=100000), " ",IF(INDEX($AM$2:$BM$1001,MATCH(ROWS($AF$2:AF723),$AF$2:$AF$1001,0),MATCH(COLUMNS($AM$1006:AS1006),$AM$1006:$BM$1006,0)), HYPERLINK("#",""), HYPERLINK(CONCATENATE("#metadata!", ADDRESS(INDEX($AH$2:$AH$1001,MATCH(ROWS($AF$2:AF723),$AF$2:$AF$1001,0),0), INDEX($AM$1004:$BM$1004,1,MATCH(COLUMNS($AM$1006:AS1006),$AM$1006:$BM$1006,0)))),"Fix")))</f>
        <v xml:space="preserve"> </v>
      </c>
      <c r="I723" s="4" t="str">
        <f ca="1">IF(OR(INDEX($AG$2:$AG$1001,MATCH(ROWS($AF$2:AF723),$AF$2:$AF$1001,0),1)&gt;=100000,INDEX($AM$1005:$BM$1005,1,MATCH(COLUMNS($AM$1006:AT1006),$AM$1006:$BM$1006,0))&gt;=100000), " ",IF(INDEX($AM$2:$BM$1001,MATCH(ROWS($AF$2:AF723),$AF$2:$AF$1001,0),MATCH(COLUMNS($AM$1006:AT1006),$AM$1006:$BM$1006,0)), HYPERLINK("#",""), HYPERLINK(CONCATENATE("#metadata!", ADDRESS(INDEX($AH$2:$AH$1001,MATCH(ROWS($AF$2:AF723),$AF$2:$AF$1001,0),0), INDEX($AM$1004:$BM$1004,1,MATCH(COLUMNS($AM$1006:AT1006),$AM$1006:$BM$1006,0)))),"Fix")))</f>
        <v xml:space="preserve"> </v>
      </c>
      <c r="J723" s="4" t="str">
        <f ca="1">IF(OR(INDEX($AG$2:$AG$1001,MATCH(ROWS($AF$2:AF723),$AF$2:$AF$1001,0),1)&gt;=100000,INDEX($AM$1005:$BM$1005,1,MATCH(COLUMNS($AM$1006:AU1006),$AM$1006:$BM$1006,0))&gt;=100000), " ",IF(INDEX($AM$2:$BM$1001,MATCH(ROWS($AF$2:AF723),$AF$2:$AF$1001,0),MATCH(COLUMNS($AM$1006:AU1006),$AM$1006:$BM$1006,0)), HYPERLINK("#",""), HYPERLINK(CONCATENATE("#metadata!", ADDRESS(INDEX($AH$2:$AH$1001,MATCH(ROWS($AF$2:AF723),$AF$2:$AF$1001,0),0), INDEX($AM$1004:$BM$1004,1,MATCH(COLUMNS($AM$1006:AU1006),$AM$1006:$BM$1006,0)))),"Fix")))</f>
        <v xml:space="preserve"> </v>
      </c>
      <c r="K723" s="4" t="str">
        <f ca="1">IF(OR(INDEX($AG$2:$AG$1001,MATCH(ROWS($AF$2:AF723),$AF$2:$AF$1001,0),1)&gt;=100000,INDEX($AM$1005:$BM$1005,1,MATCH(COLUMNS($AM$1006:AV1006),$AM$1006:$BM$1006,0))&gt;=100000), " ",IF(INDEX($AM$2:$BM$1001,MATCH(ROWS($AF$2:AF723),$AF$2:$AF$1001,0),MATCH(COLUMNS($AM$1006:AV1006),$AM$1006:$BM$1006,0)), HYPERLINK("#",""), HYPERLINK(CONCATENATE("#metadata!", ADDRESS(INDEX($AH$2:$AH$1001,MATCH(ROWS($AF$2:AF723),$AF$2:$AF$1001,0),0), INDEX($AM$1004:$BM$1004,1,MATCH(COLUMNS($AM$1006:AV1006),$AM$1006:$BM$1006,0)))),"Fix")))</f>
        <v xml:space="preserve"> </v>
      </c>
      <c r="L723" s="4" t="str">
        <f ca="1">IF(OR(INDEX($AG$2:$AG$1001,MATCH(ROWS($AF$2:AF723),$AF$2:$AF$1001,0),1)&gt;=100000,INDEX($AM$1005:$BM$1005,1,MATCH(COLUMNS($AM$1006:AW1006),$AM$1006:$BM$1006,0))&gt;=100000), " ",IF(INDEX($AM$2:$BM$1001,MATCH(ROWS($AF$2:AF723),$AF$2:$AF$1001,0),MATCH(COLUMNS($AM$1006:AW1006),$AM$1006:$BM$1006,0)), HYPERLINK("#",""), HYPERLINK(CONCATENATE("#metadata!", ADDRESS(INDEX($AH$2:$AH$1001,MATCH(ROWS($AF$2:AF723),$AF$2:$AF$1001,0),0), INDEX($AM$1004:$BM$1004,1,MATCH(COLUMNS($AM$1006:AW1006),$AM$1006:$BM$1006,0)))),"Fix")))</f>
        <v xml:space="preserve"> </v>
      </c>
      <c r="M723" s="4" t="str">
        <f ca="1">IF(OR(INDEX($AG$2:$AG$1001,MATCH(ROWS($AF$2:AF723),$AF$2:$AF$1001,0),1)&gt;=100000,INDEX($AM$1005:$BM$1005,1,MATCH(COLUMNS($AM$1006:AX1006),$AM$1006:$BM$1006,0))&gt;=100000), " ",IF(INDEX($AM$2:$BM$1001,MATCH(ROWS($AF$2:AF723),$AF$2:$AF$1001,0),MATCH(COLUMNS($AM$1006:AX1006),$AM$1006:$BM$1006,0)), HYPERLINK("#",""), HYPERLINK(CONCATENATE("#metadata!", ADDRESS(INDEX($AH$2:$AH$1001,MATCH(ROWS($AF$2:AF723),$AF$2:$AF$1001,0),0), INDEX($AM$1004:$BM$1004,1,MATCH(COLUMNS($AM$1006:AX1006),$AM$1006:$BM$1006,0)))),"Fix")))</f>
        <v xml:space="preserve"> </v>
      </c>
      <c r="N723" s="4" t="str">
        <f ca="1">IF(OR(INDEX($AG$2:$AG$1001,MATCH(ROWS($AF$2:AF723),$AF$2:$AF$1001,0),1)&gt;=100000,INDEX($AM$1005:$BM$1005,1,MATCH(COLUMNS($AM$1006:AY1006),$AM$1006:$BM$1006,0))&gt;=100000), " ",IF(INDEX($AM$2:$BM$1001,MATCH(ROWS($AF$2:AF723),$AF$2:$AF$1001,0),MATCH(COLUMNS($AM$1006:AY1006),$AM$1006:$BM$1006,0)), HYPERLINK("#",""), HYPERLINK(CONCATENATE("#metadata!", ADDRESS(INDEX($AH$2:$AH$1001,MATCH(ROWS($AF$2:AF723),$AF$2:$AF$1001,0),0), INDEX($AM$1004:$BM$1004,1,MATCH(COLUMNS($AM$1006:AY1006),$AM$1006:$BM$1006,0)))),"Fix")))</f>
        <v xml:space="preserve"> </v>
      </c>
      <c r="O723" s="4" t="str">
        <f ca="1">IF(OR(INDEX($AG$2:$AG$1001,MATCH(ROWS($AF$2:AF723),$AF$2:$AF$1001,0),1)&gt;=100000,INDEX($AM$1005:$BM$1005,1,MATCH(COLUMNS($AM$1006:AZ1006),$AM$1006:$BM$1006,0))&gt;=100000), " ",IF(INDEX($AM$2:$BM$1001,MATCH(ROWS($AF$2:AF723),$AF$2:$AF$1001,0),MATCH(COLUMNS($AM$1006:AZ1006),$AM$1006:$BM$1006,0)), HYPERLINK("#",""), HYPERLINK(CONCATENATE("#metadata!", ADDRESS(INDEX($AH$2:$AH$1001,MATCH(ROWS($AF$2:AF723),$AF$2:$AF$1001,0),0), INDEX($AM$1004:$BM$1004,1,MATCH(COLUMNS($AM$1006:AZ1006),$AM$1006:$BM$1006,0)))),"Fix")))</f>
        <v xml:space="preserve"> </v>
      </c>
      <c r="P723" s="4" t="str">
        <f ca="1">IF(OR(INDEX($AG$2:$AG$1001,MATCH(ROWS($AF$2:AF723),$AF$2:$AF$1001,0),1)&gt;=100000,INDEX($AM$1005:$BM$1005,1,MATCH(COLUMNS($AM$1006:BA1006),$AM$1006:$BM$1006,0))&gt;=100000), " ",IF(INDEX($AM$2:$BM$1001,MATCH(ROWS($AF$2:AF723),$AF$2:$AF$1001,0),MATCH(COLUMNS($AM$1006:BA1006),$AM$1006:$BM$1006,0)), HYPERLINK("#",""), HYPERLINK(CONCATENATE("#metadata!", ADDRESS(INDEX($AH$2:$AH$1001,MATCH(ROWS($AF$2:AF723),$AF$2:$AF$1001,0),0), INDEX($AM$1004:$BM$1004,1,MATCH(COLUMNS($AM$1006:BA1006),$AM$1006:$BM$1006,0)))),"Fix")))</f>
        <v xml:space="preserve"> </v>
      </c>
      <c r="Q723" s="4" t="str">
        <f ca="1">IF(OR(INDEX($AG$2:$AG$1001,MATCH(ROWS($AF$2:AF723),$AF$2:$AF$1001,0),1)&gt;=100000,INDEX($AM$1005:$BM$1005,1,MATCH(COLUMNS($AM$1006:BB1006),$AM$1006:$BM$1006,0))&gt;=100000), " ",IF(INDEX($AM$2:$BM$1001,MATCH(ROWS($AF$2:AF723),$AF$2:$AF$1001,0),MATCH(COLUMNS($AM$1006:BB1006),$AM$1006:$BM$1006,0)), HYPERLINK("#",""), HYPERLINK(CONCATENATE("#metadata!", ADDRESS(INDEX($AH$2:$AH$1001,MATCH(ROWS($AF$2:AF723),$AF$2:$AF$1001,0),0), INDEX($AM$1004:$BM$1004,1,MATCH(COLUMNS($AM$1006:BB1006),$AM$1006:$BM$1006,0)))),"Fix")))</f>
        <v xml:space="preserve"> </v>
      </c>
      <c r="R723" s="4" t="str">
        <f ca="1">IF(OR(INDEX($AG$2:$AG$1001,MATCH(ROWS($AF$2:AF723),$AF$2:$AF$1001,0),1)&gt;=100000,INDEX($AM$1005:$BM$1005,1,MATCH(COLUMNS($AM$1006:BC1006),$AM$1006:$BM$1006,0))&gt;=100000), " ",IF(INDEX($AM$2:$BM$1001,MATCH(ROWS($AF$2:AF723),$AF$2:$AF$1001,0),MATCH(COLUMNS($AM$1006:BC1006),$AM$1006:$BM$1006,0)), HYPERLINK("#",""), HYPERLINK(CONCATENATE("#metadata!", ADDRESS(INDEX($AH$2:$AH$1001,MATCH(ROWS($AF$2:AF723),$AF$2:$AF$1001,0),0), INDEX($AM$1004:$BM$1004,1,MATCH(COLUMNS($AM$1006:BC1006),$AM$1006:$BM$1006,0)))),"Fix")))</f>
        <v xml:space="preserve"> </v>
      </c>
      <c r="S723" s="4" t="str">
        <f ca="1">IF(OR(INDEX($AG$2:$AG$1001,MATCH(ROWS($AF$2:AF723),$AF$2:$AF$1001,0),1)&gt;=100000,INDEX($AM$1005:$BM$1005,1,MATCH(COLUMNS($AM$1006:BD1006),$AM$1006:$BM$1006,0))&gt;=100000), " ",IF(INDEX($AM$2:$BM$1001,MATCH(ROWS($AF$2:AF723),$AF$2:$AF$1001,0),MATCH(COLUMNS($AM$1006:BD1006),$AM$1006:$BM$1006,0)), HYPERLINK("#",""), HYPERLINK(CONCATENATE("#metadata!", ADDRESS(INDEX($AH$2:$AH$1001,MATCH(ROWS($AF$2:AF723),$AF$2:$AF$1001,0),0), INDEX($AM$1004:$BM$1004,1,MATCH(COLUMNS($AM$1006:BD1006),$AM$1006:$BM$1006,0)))),"Fix")))</f>
        <v xml:space="preserve"> </v>
      </c>
      <c r="T723" s="4" t="str">
        <f ca="1">IF(OR(INDEX($AG$2:$AG$1001,MATCH(ROWS($AF$2:AF723),$AF$2:$AF$1001,0),1)&gt;=100000,INDEX($AM$1005:$BM$1005,1,MATCH(COLUMNS($AM$1006:BE1006),$AM$1006:$BM$1006,0))&gt;=100000), " ",IF(INDEX($AM$2:$BM$1001,MATCH(ROWS($AF$2:AF723),$AF$2:$AF$1001,0),MATCH(COLUMNS($AM$1006:BE1006),$AM$1006:$BM$1006,0)), HYPERLINK("#",""), HYPERLINK(CONCATENATE("#metadata!", ADDRESS(INDEX($AH$2:$AH$1001,MATCH(ROWS($AF$2:AF723),$AF$2:$AF$1001,0),0), INDEX($AM$1004:$BM$1004,1,MATCH(COLUMNS($AM$1006:BE1006),$AM$1006:$BM$1006,0)))),"Fix")))</f>
        <v xml:space="preserve"> </v>
      </c>
      <c r="U723" s="4" t="str">
        <f ca="1">IF(OR(INDEX($AG$2:$AG$1001,MATCH(ROWS($AF$2:AF723),$AF$2:$AF$1001,0),1)&gt;=100000,INDEX($AM$1005:$BM$1005,1,MATCH(COLUMNS($AM$1006:BF1006),$AM$1006:$BM$1006,0))&gt;=100000), " ",IF(INDEX($AM$2:$BM$1001,MATCH(ROWS($AF$2:AF723),$AF$2:$AF$1001,0),MATCH(COLUMNS($AM$1006:BF1006),$AM$1006:$BM$1006,0)), HYPERLINK("#",""), HYPERLINK(CONCATENATE("#metadata!", ADDRESS(INDEX($AH$2:$AH$1001,MATCH(ROWS($AF$2:AF723),$AF$2:$AF$1001,0),0), INDEX($AM$1004:$BM$1004,1,MATCH(COLUMNS($AM$1006:BF1006),$AM$1006:$BM$1006,0)))),"Fix")))</f>
        <v xml:space="preserve"> </v>
      </c>
      <c r="V723" s="4" t="str">
        <f ca="1">IF(OR(INDEX($AG$2:$AG$1001,MATCH(ROWS($AF$2:AF723),$AF$2:$AF$1001,0),1)&gt;=100000,INDEX($AM$1005:$BM$1005,1,MATCH(COLUMNS($AM$1006:BG1006),$AM$1006:$BM$1006,0))&gt;=100000), " ",IF(INDEX($AM$2:$BM$1001,MATCH(ROWS($AF$2:AF723),$AF$2:$AF$1001,0),MATCH(COLUMNS($AM$1006:BG1006),$AM$1006:$BM$1006,0)), HYPERLINK("#",""), HYPERLINK(CONCATENATE("#metadata!", ADDRESS(INDEX($AH$2:$AH$1001,MATCH(ROWS($AF$2:AF723),$AF$2:$AF$1001,0),0), INDEX($AM$1004:$BM$1004,1,MATCH(COLUMNS($AM$1006:BG1006),$AM$1006:$BM$1006,0)))),"Fix")))</f>
        <v xml:space="preserve"> </v>
      </c>
      <c r="W723" s="4" t="str">
        <f ca="1">IF(OR(INDEX($AG$2:$AG$1001,MATCH(ROWS($AF$2:AF723),$AF$2:$AF$1001,0),1)&gt;=100000,INDEX($AM$1005:$BM$1005,1,MATCH(COLUMNS($AM$1006:BH1006),$AM$1006:$BM$1006,0))&gt;=100000), " ",IF(INDEX($AM$2:$BM$1001,MATCH(ROWS($AF$2:AF723),$AF$2:$AF$1001,0),MATCH(COLUMNS($AM$1006:BH1006),$AM$1006:$BM$1006,0)), HYPERLINK("#",""), HYPERLINK(CONCATENATE("#metadata!", ADDRESS(INDEX($AH$2:$AH$1001,MATCH(ROWS($AF$2:AF723),$AF$2:$AF$1001,0),0), INDEX($AM$1004:$BM$1004,1,MATCH(COLUMNS($AM$1006:BH1006),$AM$1006:$BM$1006,0)))),"Fix")))</f>
        <v xml:space="preserve"> </v>
      </c>
      <c r="X723" s="4" t="str">
        <f ca="1">IF(OR(INDEX($AG$2:$AG$1001,MATCH(ROWS($AF$2:AF723),$AF$2:$AF$1001,0),1)&gt;=100000,INDEX($AM$1005:$BM$1005,1,MATCH(COLUMNS($AM$1006:BI1006),$AM$1006:$BM$1006,0))&gt;=100000), " ",IF(INDEX($AM$2:$BM$1001,MATCH(ROWS($AF$2:AF723),$AF$2:$AF$1001,0),MATCH(COLUMNS($AM$1006:BI1006),$AM$1006:$BM$1006,0)), HYPERLINK("#",""), HYPERLINK(CONCATENATE("#metadata!", ADDRESS(INDEX($AH$2:$AH$1001,MATCH(ROWS($AF$2:AF723),$AF$2:$AF$1001,0),0), INDEX($AM$1004:$BM$1004,1,MATCH(COLUMNS($AM$1006:BI1006),$AM$1006:$BM$1006,0)))),"Fix")))</f>
        <v xml:space="preserve"> </v>
      </c>
      <c r="Y723" s="4" t="str">
        <f ca="1">IF(OR(INDEX($AG$2:$AG$1001,MATCH(ROWS($AF$2:AF723),$AF$2:$AF$1001,0),1)&gt;=100000,INDEX($AM$1005:$BM$1005,1,MATCH(COLUMNS($AM$1006:BJ1006),$AM$1006:$BM$1006,0))&gt;=100000), " ",IF(INDEX($AM$2:$BM$1001,MATCH(ROWS($AF$2:AF723),$AF$2:$AF$1001,0),MATCH(COLUMNS($AM$1006:BJ1006),$AM$1006:$BM$1006,0)), HYPERLINK("#",""), HYPERLINK(CONCATENATE("#metadata!", ADDRESS(INDEX($AH$2:$AH$1001,MATCH(ROWS($AF$2:AF723),$AF$2:$AF$1001,0),0), INDEX($AM$1004:$BM$1004,1,MATCH(COLUMNS($AM$1006:BJ1006),$AM$1006:$BM$1006,0)))),"Fix")))</f>
        <v xml:space="preserve"> </v>
      </c>
      <c r="Z723" s="4" t="str">
        <f ca="1">IF(OR(INDEX($AG$2:$AG$1001,MATCH(ROWS($AF$2:AF723),$AF$2:$AF$1001,0),1)&gt;=100000,INDEX($AM$1005:$BM$1005,1,MATCH(COLUMNS($AM$1006:BK1006),$AM$1006:$BM$1006,0))&gt;=100000), " ",IF(INDEX($AM$2:$BM$1001,MATCH(ROWS($AF$2:AF723),$AF$2:$AF$1001,0),MATCH(COLUMNS($AM$1006:BK1006),$AM$1006:$BM$1006,0)), HYPERLINK("#",""), HYPERLINK(CONCATENATE("#metadata!", ADDRESS(INDEX($AH$2:$AH$1001,MATCH(ROWS($AF$2:AF723),$AF$2:$AF$1001,0),0), INDEX($AM$1004:$BM$1004,1,MATCH(COLUMNS($AM$1006:BK1006),$AM$1006:$BM$1006,0)))),"Fix")))</f>
        <v xml:space="preserve"> </v>
      </c>
      <c r="AA723" s="4" t="str">
        <f ca="1">IF(OR(INDEX($AG$2:$AG$1001,MATCH(ROWS($AF$2:AF723),$AF$2:$AF$1001,0),1)&gt;=100000,INDEX($AM$1005:$BM$1005,1,MATCH(COLUMNS($AM$1006:BL1006),$AM$1006:$BM$1006,0))&gt;=100000), " ",IF(INDEX($AM$2:$BM$1001,MATCH(ROWS($AF$2:AF723),$AF$2:$AF$1001,0),MATCH(COLUMNS($AM$1006:BL1006),$AM$1006:$BM$1006,0)), HYPERLINK("#",""), HYPERLINK(CONCATENATE("#metadata!", ADDRESS(INDEX($AH$2:$AH$1001,MATCH(ROWS($AF$2:AF723),$AF$2:$AF$1001,0),0), INDEX($AM$1004:$BM$1004,1,MATCH(COLUMNS($AM$1006:BL1006),$AM$1006:$BM$1006,0)))),"Fix")))</f>
        <v xml:space="preserve"> </v>
      </c>
      <c r="AB723" s="4" t="str">
        <f ca="1">IF(OR(INDEX($AG$2:$AG$1001,MATCH(ROWS($AF$2:AF723),$AF$2:$AF$1001,0),1)&gt;=100000,INDEX($AM$1005:$BM$1005,1,MATCH(COLUMNS($AM$1006:BM1006),$AM$1006:$BM$1006,0))&gt;=100000), " ",IF(INDEX($AM$2:$BM$1001,MATCH(ROWS($AF$2:AF723),$AF$2:$AF$1001,0),MATCH(COLUMNS($AM$1006:BM1006),$AM$1006:$BM$1006,0)), HYPERLINK("#",""), HYPERLINK(CONCATENATE("#metadata!", ADDRESS(INDEX($AH$2:$AH$1001,MATCH(ROWS($AF$2:AF723),$AF$2:$AF$1001,0),0), INDEX($AM$1004:$BM$1004,1,MATCH(COLUMNS($AM$1006:BM1006),$AM$1006:$BM$1006,0)))),"Fix")))</f>
        <v xml:space="preserve"> </v>
      </c>
      <c r="AF723">
        <v>722</v>
      </c>
      <c r="AG723">
        <v>100723</v>
      </c>
      <c r="AH723">
        <v>723</v>
      </c>
      <c r="AI723" t="b">
        <f t="shared" si="11"/>
        <v>1</v>
      </c>
      <c r="AJ723" t="b">
        <f>COUNTBLANK(metadata!B723:AB723)=COLUMNS(metadata!B723:AB723)</f>
        <v>1</v>
      </c>
      <c r="AK723" t="str">
        <v/>
      </c>
      <c r="AM723" t="b">
        <f ca="1">AND(IF(metadata!B723="",FALSE,TRUE),COUNTIF(metadata!B:B, metadata!B723) = 1,NOT(ISERROR(SUMPRODUCT(SEARCH(MID(metadata!B723,ROW(INDIRECT("1:"&amp;LEN(metadata!B723))), 1),"0123456789abcdefghijklmnopqrstuvwxyzABCDEFGHIJKLMNOPQRSTUVWXYZ.")))))</f>
        <v>0</v>
      </c>
      <c r="AN723" t="b">
        <f ca="1">OR(AND(IF(metadata!C723="",FALSE,TRUE),OR(EXACT(metadata!C723,"missing: not collected"),EXACT(metadata!C723,"missing: not provided"),EXACT(metadata!C723,"missing: restricted access"))),AND(IF(metadata!C723="",FALSE,TRUE),AND(AND(IFERROR(INT(LEFT(metadata!C723,4))&gt;1900,FALSE),IFERROR(INT(LEFT(metadata!C723,4))&lt;=YEAR(NOW()),FALSE)), OR(MID(metadata!C723,5,1)="", AND(AND(MID(metadata!C723,5,1)="-",IFERROR(INT(MID(metadata!C723,6,1))&gt;=0,FALSE),IFERROR(INT(MID(metadata!C723,6,1))&lt;=1,FALSE),NOT(MID(metadata!C723,7,1)=""),IFERROR(INT(MID(metadata!C723,6,2))&gt;=1,FALSE),IFERROR(INT(MID(metadata!C723,6,2))&lt;=12,FALSE)), OR(MID(metadata!C723,8,1)="", AND(AND(MID(metadata!C723,8,1)="-",IFERROR(INT(MID(metadata!C723,9,1))&gt;=0,FALSE),IFERROR(INT(MID(metadata!C723,9,1))&lt;=3,FALSE),NOT(MID(metadata!C723,10,1)=""),IFERROR(INT(MID(metadata!C723,9,2))&gt;=1,FALSE),IFERROR(INT(MID(metadata!C723,9,2))&lt;=31,FALSE)), OR(MID(metadata!C723,11,1)="", AND(AND(MID(metadata!C723,11,1)=" ",IFERROR(INT(MID(metadata!C723,12,1))&gt;=0,FALSE),IFERROR(INT(MID(metadata!C723,12,1))&lt;=2,FALSE),NOT(MID(metadata!C723,13,1)=""),IFERROR(INT(MID(metadata!C723,12,2))&gt;=0,FALSE),IFERROR(INT(MID(metadata!C723,12,2))&lt;=23,FALSE)), OR(MID(metadata!C723,14,1)="", AND(AND(MID(metadata!C723,14,1)=":",IFERROR(INT(MID(metadata!C723,15,1))&gt;=0,FALSE),IFERROR(INT(MID(metadata!C723,15,1))&lt;=5,FALSE),NOT(MID(metadata!C723,16,1)=""),IFERROR(INT(MID(metadata!C723,15,2))&gt;=0,FALSE),IFERROR(INT(MID(metadata!C723,15,2))&lt;=59,FALSE)), OR(MID(metadata!C723,17,1)="", AND(AND(MID(metadata!C723,17,1)=":",IFERROR(INT(MID(metadata!C723,18,1))&gt;=0,FALSE),IFERROR(INT(MID(metadata!C723,18,1))&lt;=5,FALSE),NOT(MID(metadata!C723,19,1)=""),IFERROR(INT(MID(metadata!C723,18,2))&gt;=0,FALSE),IFERROR(INT(MID(metadata!C723,18,2))&lt;=59,FALSE)), LEN(metadata!C723)&lt;=19)))))))))))))</f>
        <v>0</v>
      </c>
      <c r="AO723" t="b">
        <f>AND(IF(metadata!D723="",FALSE,TRUE),EXACT(metadata!D723,"Not applicable"))</f>
        <v>0</v>
      </c>
      <c r="AP723" t="b">
        <f>IF(metadata!E723="",FALSE,TRUE)</f>
        <v>0</v>
      </c>
      <c r="AQ723" t="b">
        <f>OR(AND(IF(metadata!F723="",FALSE,TRUE),OR(EXACT(metadata!F723,"missing: not collected"),EXACT(metadata!F723,"missing: not provided"))),AND(IF(metadata!F723="",FALSE,TRUE),OR(EXACT(metadata!F723,"TRUE"),EXACT(metadata!F723,"FALSE"))))</f>
        <v>0</v>
      </c>
      <c r="AR723" t="b">
        <f>OR(AND(IF(metadata!G723="",FALSE,TRUE),OR(EXACT(metadata!G723,"missing: not collected"),EXACT(metadata!G723,"missing: not provided"),EXACT(metadata!G723,"missing: restricted access"))),AND(IF(metadata!G723="",FALSE,ISNUMBER(VALUE(metadata!G723))),metadata!G723&gt;=-413))</f>
        <v>0</v>
      </c>
      <c r="AS723" t="b">
        <f>AND(IF(metadata!H723="",FALSE,TRUE),EXACT(metadata!H723,"meters"))</f>
        <v>0</v>
      </c>
      <c r="AT723" t="b">
        <f>AND(IF(metadata!I723="",FALSE,TRUE),OR(EXACT(metadata!I723,"Host-associated"),EXACT(metadata!I723,"Free-living")))</f>
        <v>0</v>
      </c>
      <c r="AU723" t="b">
        <f>AND(IF(metadata!J723="",FALSE,TRUE),OR(EXACT(metadata!J723,"Animal"),EXACT(metadata!J723,"Fungus"),EXACT(metadata!J723,"Plant"),EXACT(metadata!J723,"Saline"),EXACT(metadata!J723,"Non-saline")))</f>
        <v>0</v>
      </c>
      <c r="AV723" t="b">
        <f>AND(IF(metadata!K723="",FALSE,TRUE),OR(EXACT(metadata!K723,"Plant secretion"),EXACT(metadata!K723,"Plant rhizosphere"),EXACT(metadata!K723,"Plant surface"),EXACT(metadata!K723,"Plant corpus"),EXACT(metadata!K723,"Fungus surface"),EXACT(metadata!K723,"Fungus corpus"),EXACT(metadata!K723,"Animal surface"),EXACT(metadata!K723,"Animal proximal gut"),EXACT(metadata!K723,"Animal corpus"),EXACT(metadata!K723,"Animal distal gut"),EXACT(metadata!K723,"Animal secretion"),EXACT(metadata!K723,"Sub-surface (non-saline)"),EXACT(metadata!K723,"Surface (non-saline)"),EXACT(metadata!K723,"Water (non-saline)"),EXACT(metadata!K723,"Soil (non-saline)"),EXACT(metadata!K723,"Aerosol (non-saline)"),EXACT(metadata!K723,"Sediment (non-saline)"),EXACT(metadata!K723,"Surface (saline)"),EXACT(metadata!K723,"Water (saline)"),EXACT(metadata!K723,"Hypersaline (saline)"),EXACT(metadata!K723,"Aerosol (saline)"),EXACT(metadata!K723,"Sediment (saline)")))</f>
        <v>0</v>
      </c>
      <c r="AW723" t="b">
        <f>IF(metadata!L723="",FALSE,TRUE)</f>
        <v>0</v>
      </c>
      <c r="AX723" t="b">
        <f>IF(metadata!M723="",FALSE,TRUE)</f>
        <v>0</v>
      </c>
      <c r="AY723" t="b">
        <f>IF(metadata!N723="",FALSE,TRUE)</f>
        <v>0</v>
      </c>
      <c r="AZ723" t="b">
        <f>OR(AND(IF(metadata!O723="",FALSE,TRUE),OR(EXACT(metadata!O723,"missing: not collected"),EXACT(metadata!O723,"missing: not provided"),EXACT(metadata!O723,"missing: restricted access"))),AND(IF(metadata!O723="",FALSE,TRUE),OR(EXACT(metadata!O723,"air"),EXACT(metadata!O723,"built environment"),EXACT(metadata!O723,"host-associated"),EXACT(metadata!O723,"human-associated"),EXACT(metadata!O723,"human-skin"),EXACT(metadata!O723,"human-oral"),EXACT(metadata!O723,"human-gut"),EXACT(metadata!O723,"human-vaginal"),EXACT(metadata!O723,"microbial mat/biofilm"),EXACT(metadata!O723,"misc environment"),EXACT(metadata!O723,"plant-associated"),EXACT(metadata!O723,"sediment"),EXACT(metadata!O723,"soil"),EXACT(metadata!O723,"wastewater/sludge"),EXACT(metadata!O723,"water"))))</f>
        <v>0</v>
      </c>
      <c r="BA723" t="b">
        <f>IF(metadata!P723="",FALSE,TRUE)</f>
        <v>0</v>
      </c>
      <c r="BB723" t="b">
        <f>IF(metadata!Q723="",FALSE,TRUE)</f>
        <v>0</v>
      </c>
      <c r="BC723" t="b">
        <f>OR(AND(IF(metadata!R723="",FALSE,TRUE),OR(EXACT(metadata!R723,"missing: not collected"),EXACT(metadata!R723,"missing: not provided"),EXACT(metadata!R723,"missing: restricted access"))),AND(IF(metadata!R723="",FALSE,ISNUMBER(VALUE(metadata!R723))),metadata!R723&gt;=-90,metadata!R723&lt;=90))</f>
        <v>0</v>
      </c>
      <c r="BD723" t="b">
        <f>AND(IF(metadata!S723="",FALSE,TRUE),EXACT(metadata!S723,"Decimal degrees"))</f>
        <v>0</v>
      </c>
      <c r="BE723" t="b">
        <f>OR(AND(IF(metadata!T723="",FALSE,TRUE),OR(EXACT(metadata!T723,"missing: not collected"),EXACT(metadata!T723,"missing: not provided"),EXACT(metadata!T723,"missing: restricted access"))),AND(IF(metadata!T723="",FALSE,ISNUMBER(VALUE(metadata!T723))),metadata!T723&gt;=-180,metadata!T723&lt;=180))</f>
        <v>0</v>
      </c>
      <c r="BF723" t="b">
        <f>AND(IF(metadata!U723="",FALSE,TRUE),EXACT(metadata!U723,"Decimal degrees"))</f>
        <v>0</v>
      </c>
      <c r="BG723" t="b">
        <f>IF(metadata!V723="",FALSE,TRUE)</f>
        <v>0</v>
      </c>
      <c r="BH723" t="b">
        <f>OR(AND(IF(metadata!W723="",FALSE,TRUE),OR(EXACT(metadata!W723,"missing: not collected"),EXACT(metadata!W723,"missing: not provided"),EXACT(metadata!W723,"missing: restricted access"))),AND(IF(metadata!W723="",FALSE,TRUE),OR(EXACT(metadata!W723,"TRUE"),EXACT(metadata!W723,"FALSE"))))</f>
        <v>0</v>
      </c>
      <c r="BI723" t="b">
        <f>AND(IF(metadata!X723="",FALSE,TRUE),EXACT(metadata!X723,"other"))</f>
        <v>0</v>
      </c>
      <c r="BJ723" t="b">
        <f>IF(metadata!Y723="",FALSE,TRUE)</f>
        <v>0</v>
      </c>
      <c r="BK723" t="b">
        <f>OR(AND(IF(metadata!Z723="",FALSE,TRUE),OR(EXACT(metadata!Z723,"missing: not collected"),EXACT(metadata!Z723,"missing: not provided"))),AND(IF(metadata!Z723="",FALSE,IF(ISERROR(INT(metadata!Z723)),FALSE,INT(metadata!Z723)=metadata!Z723)),metadata!Z723&gt;0))</f>
        <v>0</v>
      </c>
      <c r="BL723" t="b">
        <f>AND(IF(metadata!AA723="",FALSE,TRUE),EXACT(metadata!AA723,"Not applicable"))</f>
        <v>0</v>
      </c>
      <c r="BM723" t="b">
        <f>IF(metadata!AB723="",FALSE,TRUE)</f>
        <v>0</v>
      </c>
    </row>
    <row r="724" spans="1:65" x14ac:dyDescent="0.2">
      <c r="A724" s="5" t="str">
        <f ca="1">IF(B724=" "," ",HYPERLINK(CONCATENATE("#metadata!",ADDRESS(INDEX($AH$2:$AH$1001,MATCH(ROWS($AF$2:AF724),$AF$2:$AF$1001,0),0),1)),INDEX($AK$2:$AK$1001,MATCH(ROWS($AF$2:AF724),$AF$2:$AF$1001,0),0)))</f>
        <v xml:space="preserve"> </v>
      </c>
      <c r="B724" s="4" t="str">
        <f ca="1">IF(OR(INDEX($AG$2:$AG$1001,MATCH(ROWS($AF$2:AF724),$AF$2:$AF$1001,0),1)&gt;=100000,INDEX($AM$1005:$BM$1005,1,MATCH(COLUMNS($AM$1006:AM1006),$AM$1006:$BM$1006,0))&gt;=100000), " ",IF(INDEX($AM$2:$BM$1001,MATCH(ROWS($AF$2:AF724),$AF$2:$AF$1001,0),MATCH(COLUMNS($AM$1006:AM1006),$AM$1006:$BM$1006,0)), HYPERLINK("#",""), HYPERLINK(CONCATENATE("#metadata!", ADDRESS(INDEX($AH$2:$AH$1001,MATCH(ROWS($AF$2:AF724),$AF$2:$AF$1001,0),0), INDEX($AM$1004:$BM$1004,1,MATCH(COLUMNS($AM$1006:AM1006),$AM$1006:$BM$1006,0)))),"Fix")))</f>
        <v xml:space="preserve"> </v>
      </c>
      <c r="C724" s="4" t="str">
        <f ca="1">IF(OR(INDEX($AG$2:$AG$1001,MATCH(ROWS($AF$2:AF724),$AF$2:$AF$1001,0),1)&gt;=100000,INDEX($AM$1005:$BM$1005,1,MATCH(COLUMNS($AM$1006:AN1006),$AM$1006:$BM$1006,0))&gt;=100000), " ",IF(INDEX($AM$2:$BM$1001,MATCH(ROWS($AF$2:AF724),$AF$2:$AF$1001,0),MATCH(COLUMNS($AM$1006:AN1006),$AM$1006:$BM$1006,0)), HYPERLINK("#",""), HYPERLINK(CONCATENATE("#metadata!", ADDRESS(INDEX($AH$2:$AH$1001,MATCH(ROWS($AF$2:AF724),$AF$2:$AF$1001,0),0), INDEX($AM$1004:$BM$1004,1,MATCH(COLUMNS($AM$1006:AN1006),$AM$1006:$BM$1006,0)))),"Fix")))</f>
        <v xml:space="preserve"> </v>
      </c>
      <c r="D724" s="4" t="str">
        <f ca="1">IF(OR(INDEX($AG$2:$AG$1001,MATCH(ROWS($AF$2:AF724),$AF$2:$AF$1001,0),1)&gt;=100000,INDEX($AM$1005:$BM$1005,1,MATCH(COLUMNS($AM$1006:AO1006),$AM$1006:$BM$1006,0))&gt;=100000), " ",IF(INDEX($AM$2:$BM$1001,MATCH(ROWS($AF$2:AF724),$AF$2:$AF$1001,0),MATCH(COLUMNS($AM$1006:AO1006),$AM$1006:$BM$1006,0)), HYPERLINK("#",""), HYPERLINK(CONCATENATE("#metadata!", ADDRESS(INDEX($AH$2:$AH$1001,MATCH(ROWS($AF$2:AF724),$AF$2:$AF$1001,0),0), INDEX($AM$1004:$BM$1004,1,MATCH(COLUMNS($AM$1006:AO1006),$AM$1006:$BM$1006,0)))),"Fix")))</f>
        <v xml:space="preserve"> </v>
      </c>
      <c r="E724" s="4" t="str">
        <f ca="1">IF(OR(INDEX($AG$2:$AG$1001,MATCH(ROWS($AF$2:AF724),$AF$2:$AF$1001,0),1)&gt;=100000,INDEX($AM$1005:$BM$1005,1,MATCH(COLUMNS($AM$1006:AP1006),$AM$1006:$BM$1006,0))&gt;=100000), " ",IF(INDEX($AM$2:$BM$1001,MATCH(ROWS($AF$2:AF724),$AF$2:$AF$1001,0),MATCH(COLUMNS($AM$1006:AP1006),$AM$1006:$BM$1006,0)), HYPERLINK("#",""), HYPERLINK(CONCATENATE("#metadata!", ADDRESS(INDEX($AH$2:$AH$1001,MATCH(ROWS($AF$2:AF724),$AF$2:$AF$1001,0),0), INDEX($AM$1004:$BM$1004,1,MATCH(COLUMNS($AM$1006:AP1006),$AM$1006:$BM$1006,0)))),"Fix")))</f>
        <v xml:space="preserve"> </v>
      </c>
      <c r="F724" s="4" t="str">
        <f ca="1">IF(OR(INDEX($AG$2:$AG$1001,MATCH(ROWS($AF$2:AF724),$AF$2:$AF$1001,0),1)&gt;=100000,INDEX($AM$1005:$BM$1005,1,MATCH(COLUMNS($AM$1006:AQ1006),$AM$1006:$BM$1006,0))&gt;=100000), " ",IF(INDEX($AM$2:$BM$1001,MATCH(ROWS($AF$2:AF724),$AF$2:$AF$1001,0),MATCH(COLUMNS($AM$1006:AQ1006),$AM$1006:$BM$1006,0)), HYPERLINK("#",""), HYPERLINK(CONCATENATE("#metadata!", ADDRESS(INDEX($AH$2:$AH$1001,MATCH(ROWS($AF$2:AF724),$AF$2:$AF$1001,0),0), INDEX($AM$1004:$BM$1004,1,MATCH(COLUMNS($AM$1006:AQ1006),$AM$1006:$BM$1006,0)))),"Fix")))</f>
        <v xml:space="preserve"> </v>
      </c>
      <c r="G724" s="4" t="str">
        <f ca="1">IF(OR(INDEX($AG$2:$AG$1001,MATCH(ROWS($AF$2:AF724),$AF$2:$AF$1001,0),1)&gt;=100000,INDEX($AM$1005:$BM$1005,1,MATCH(COLUMNS($AM$1006:AR1006),$AM$1006:$BM$1006,0))&gt;=100000), " ",IF(INDEX($AM$2:$BM$1001,MATCH(ROWS($AF$2:AF724),$AF$2:$AF$1001,0),MATCH(COLUMNS($AM$1006:AR1006),$AM$1006:$BM$1006,0)), HYPERLINK("#",""), HYPERLINK(CONCATENATE("#metadata!", ADDRESS(INDEX($AH$2:$AH$1001,MATCH(ROWS($AF$2:AF724),$AF$2:$AF$1001,0),0), INDEX($AM$1004:$BM$1004,1,MATCH(COLUMNS($AM$1006:AR1006),$AM$1006:$BM$1006,0)))),"Fix")))</f>
        <v xml:space="preserve"> </v>
      </c>
      <c r="H724" s="4" t="str">
        <f ca="1">IF(OR(INDEX($AG$2:$AG$1001,MATCH(ROWS($AF$2:AF724),$AF$2:$AF$1001,0),1)&gt;=100000,INDEX($AM$1005:$BM$1005,1,MATCH(COLUMNS($AM$1006:AS1006),$AM$1006:$BM$1006,0))&gt;=100000), " ",IF(INDEX($AM$2:$BM$1001,MATCH(ROWS($AF$2:AF724),$AF$2:$AF$1001,0),MATCH(COLUMNS($AM$1006:AS1006),$AM$1006:$BM$1006,0)), HYPERLINK("#",""), HYPERLINK(CONCATENATE("#metadata!", ADDRESS(INDEX($AH$2:$AH$1001,MATCH(ROWS($AF$2:AF724),$AF$2:$AF$1001,0),0), INDEX($AM$1004:$BM$1004,1,MATCH(COLUMNS($AM$1006:AS1006),$AM$1006:$BM$1006,0)))),"Fix")))</f>
        <v xml:space="preserve"> </v>
      </c>
      <c r="I724" s="4" t="str">
        <f ca="1">IF(OR(INDEX($AG$2:$AG$1001,MATCH(ROWS($AF$2:AF724),$AF$2:$AF$1001,0),1)&gt;=100000,INDEX($AM$1005:$BM$1005,1,MATCH(COLUMNS($AM$1006:AT1006),$AM$1006:$BM$1006,0))&gt;=100000), " ",IF(INDEX($AM$2:$BM$1001,MATCH(ROWS($AF$2:AF724),$AF$2:$AF$1001,0),MATCH(COLUMNS($AM$1006:AT1006),$AM$1006:$BM$1006,0)), HYPERLINK("#",""), HYPERLINK(CONCATENATE("#metadata!", ADDRESS(INDEX($AH$2:$AH$1001,MATCH(ROWS($AF$2:AF724),$AF$2:$AF$1001,0),0), INDEX($AM$1004:$BM$1004,1,MATCH(COLUMNS($AM$1006:AT1006),$AM$1006:$BM$1006,0)))),"Fix")))</f>
        <v xml:space="preserve"> </v>
      </c>
      <c r="J724" s="4" t="str">
        <f ca="1">IF(OR(INDEX($AG$2:$AG$1001,MATCH(ROWS($AF$2:AF724),$AF$2:$AF$1001,0),1)&gt;=100000,INDEX($AM$1005:$BM$1005,1,MATCH(COLUMNS($AM$1006:AU1006),$AM$1006:$BM$1006,0))&gt;=100000), " ",IF(INDEX($AM$2:$BM$1001,MATCH(ROWS($AF$2:AF724),$AF$2:$AF$1001,0),MATCH(COLUMNS($AM$1006:AU1006),$AM$1006:$BM$1006,0)), HYPERLINK("#",""), HYPERLINK(CONCATENATE("#metadata!", ADDRESS(INDEX($AH$2:$AH$1001,MATCH(ROWS($AF$2:AF724),$AF$2:$AF$1001,0),0), INDEX($AM$1004:$BM$1004,1,MATCH(COLUMNS($AM$1006:AU1006),$AM$1006:$BM$1006,0)))),"Fix")))</f>
        <v xml:space="preserve"> </v>
      </c>
      <c r="K724" s="4" t="str">
        <f ca="1">IF(OR(INDEX($AG$2:$AG$1001,MATCH(ROWS($AF$2:AF724),$AF$2:$AF$1001,0),1)&gt;=100000,INDEX($AM$1005:$BM$1005,1,MATCH(COLUMNS($AM$1006:AV1006),$AM$1006:$BM$1006,0))&gt;=100000), " ",IF(INDEX($AM$2:$BM$1001,MATCH(ROWS($AF$2:AF724),$AF$2:$AF$1001,0),MATCH(COLUMNS($AM$1006:AV1006),$AM$1006:$BM$1006,0)), HYPERLINK("#",""), HYPERLINK(CONCATENATE("#metadata!", ADDRESS(INDEX($AH$2:$AH$1001,MATCH(ROWS($AF$2:AF724),$AF$2:$AF$1001,0),0), INDEX($AM$1004:$BM$1004,1,MATCH(COLUMNS($AM$1006:AV1006),$AM$1006:$BM$1006,0)))),"Fix")))</f>
        <v xml:space="preserve"> </v>
      </c>
      <c r="L724" s="4" t="str">
        <f ca="1">IF(OR(INDEX($AG$2:$AG$1001,MATCH(ROWS($AF$2:AF724),$AF$2:$AF$1001,0),1)&gt;=100000,INDEX($AM$1005:$BM$1005,1,MATCH(COLUMNS($AM$1006:AW1006),$AM$1006:$BM$1006,0))&gt;=100000), " ",IF(INDEX($AM$2:$BM$1001,MATCH(ROWS($AF$2:AF724),$AF$2:$AF$1001,0),MATCH(COLUMNS($AM$1006:AW1006),$AM$1006:$BM$1006,0)), HYPERLINK("#",""), HYPERLINK(CONCATENATE("#metadata!", ADDRESS(INDEX($AH$2:$AH$1001,MATCH(ROWS($AF$2:AF724),$AF$2:$AF$1001,0),0), INDEX($AM$1004:$BM$1004,1,MATCH(COLUMNS($AM$1006:AW1006),$AM$1006:$BM$1006,0)))),"Fix")))</f>
        <v xml:space="preserve"> </v>
      </c>
      <c r="M724" s="4" t="str">
        <f ca="1">IF(OR(INDEX($AG$2:$AG$1001,MATCH(ROWS($AF$2:AF724),$AF$2:$AF$1001,0),1)&gt;=100000,INDEX($AM$1005:$BM$1005,1,MATCH(COLUMNS($AM$1006:AX1006),$AM$1006:$BM$1006,0))&gt;=100000), " ",IF(INDEX($AM$2:$BM$1001,MATCH(ROWS($AF$2:AF724),$AF$2:$AF$1001,0),MATCH(COLUMNS($AM$1006:AX1006),$AM$1006:$BM$1006,0)), HYPERLINK("#",""), HYPERLINK(CONCATENATE("#metadata!", ADDRESS(INDEX($AH$2:$AH$1001,MATCH(ROWS($AF$2:AF724),$AF$2:$AF$1001,0),0), INDEX($AM$1004:$BM$1004,1,MATCH(COLUMNS($AM$1006:AX1006),$AM$1006:$BM$1006,0)))),"Fix")))</f>
        <v xml:space="preserve"> </v>
      </c>
      <c r="N724" s="4" t="str">
        <f ca="1">IF(OR(INDEX($AG$2:$AG$1001,MATCH(ROWS($AF$2:AF724),$AF$2:$AF$1001,0),1)&gt;=100000,INDEX($AM$1005:$BM$1005,1,MATCH(COLUMNS($AM$1006:AY1006),$AM$1006:$BM$1006,0))&gt;=100000), " ",IF(INDEX($AM$2:$BM$1001,MATCH(ROWS($AF$2:AF724),$AF$2:$AF$1001,0),MATCH(COLUMNS($AM$1006:AY1006),$AM$1006:$BM$1006,0)), HYPERLINK("#",""), HYPERLINK(CONCATENATE("#metadata!", ADDRESS(INDEX($AH$2:$AH$1001,MATCH(ROWS($AF$2:AF724),$AF$2:$AF$1001,0),0), INDEX($AM$1004:$BM$1004,1,MATCH(COLUMNS($AM$1006:AY1006),$AM$1006:$BM$1006,0)))),"Fix")))</f>
        <v xml:space="preserve"> </v>
      </c>
      <c r="O724" s="4" t="str">
        <f ca="1">IF(OR(INDEX($AG$2:$AG$1001,MATCH(ROWS($AF$2:AF724),$AF$2:$AF$1001,0),1)&gt;=100000,INDEX($AM$1005:$BM$1005,1,MATCH(COLUMNS($AM$1006:AZ1006),$AM$1006:$BM$1006,0))&gt;=100000), " ",IF(INDEX($AM$2:$BM$1001,MATCH(ROWS($AF$2:AF724),$AF$2:$AF$1001,0),MATCH(COLUMNS($AM$1006:AZ1006),$AM$1006:$BM$1006,0)), HYPERLINK("#",""), HYPERLINK(CONCATENATE("#metadata!", ADDRESS(INDEX($AH$2:$AH$1001,MATCH(ROWS($AF$2:AF724),$AF$2:$AF$1001,0),0), INDEX($AM$1004:$BM$1004,1,MATCH(COLUMNS($AM$1006:AZ1006),$AM$1006:$BM$1006,0)))),"Fix")))</f>
        <v xml:space="preserve"> </v>
      </c>
      <c r="P724" s="4" t="str">
        <f ca="1">IF(OR(INDEX($AG$2:$AG$1001,MATCH(ROWS($AF$2:AF724),$AF$2:$AF$1001,0),1)&gt;=100000,INDEX($AM$1005:$BM$1005,1,MATCH(COLUMNS($AM$1006:BA1006),$AM$1006:$BM$1006,0))&gt;=100000), " ",IF(INDEX($AM$2:$BM$1001,MATCH(ROWS($AF$2:AF724),$AF$2:$AF$1001,0),MATCH(COLUMNS($AM$1006:BA1006),$AM$1006:$BM$1006,0)), HYPERLINK("#",""), HYPERLINK(CONCATENATE("#metadata!", ADDRESS(INDEX($AH$2:$AH$1001,MATCH(ROWS($AF$2:AF724),$AF$2:$AF$1001,0),0), INDEX($AM$1004:$BM$1004,1,MATCH(COLUMNS($AM$1006:BA1006),$AM$1006:$BM$1006,0)))),"Fix")))</f>
        <v xml:space="preserve"> </v>
      </c>
      <c r="Q724" s="4" t="str">
        <f ca="1">IF(OR(INDEX($AG$2:$AG$1001,MATCH(ROWS($AF$2:AF724),$AF$2:$AF$1001,0),1)&gt;=100000,INDEX($AM$1005:$BM$1005,1,MATCH(COLUMNS($AM$1006:BB1006),$AM$1006:$BM$1006,0))&gt;=100000), " ",IF(INDEX($AM$2:$BM$1001,MATCH(ROWS($AF$2:AF724),$AF$2:$AF$1001,0),MATCH(COLUMNS($AM$1006:BB1006),$AM$1006:$BM$1006,0)), HYPERLINK("#",""), HYPERLINK(CONCATENATE("#metadata!", ADDRESS(INDEX($AH$2:$AH$1001,MATCH(ROWS($AF$2:AF724),$AF$2:$AF$1001,0),0), INDEX($AM$1004:$BM$1004,1,MATCH(COLUMNS($AM$1006:BB1006),$AM$1006:$BM$1006,0)))),"Fix")))</f>
        <v xml:space="preserve"> </v>
      </c>
      <c r="R724" s="4" t="str">
        <f ca="1">IF(OR(INDEX($AG$2:$AG$1001,MATCH(ROWS($AF$2:AF724),$AF$2:$AF$1001,0),1)&gt;=100000,INDEX($AM$1005:$BM$1005,1,MATCH(COLUMNS($AM$1006:BC1006),$AM$1006:$BM$1006,0))&gt;=100000), " ",IF(INDEX($AM$2:$BM$1001,MATCH(ROWS($AF$2:AF724),$AF$2:$AF$1001,0),MATCH(COLUMNS($AM$1006:BC1006),$AM$1006:$BM$1006,0)), HYPERLINK("#",""), HYPERLINK(CONCATENATE("#metadata!", ADDRESS(INDEX($AH$2:$AH$1001,MATCH(ROWS($AF$2:AF724),$AF$2:$AF$1001,0),0), INDEX($AM$1004:$BM$1004,1,MATCH(COLUMNS($AM$1006:BC1006),$AM$1006:$BM$1006,0)))),"Fix")))</f>
        <v xml:space="preserve"> </v>
      </c>
      <c r="S724" s="4" t="str">
        <f ca="1">IF(OR(INDEX($AG$2:$AG$1001,MATCH(ROWS($AF$2:AF724),$AF$2:$AF$1001,0),1)&gt;=100000,INDEX($AM$1005:$BM$1005,1,MATCH(COLUMNS($AM$1006:BD1006),$AM$1006:$BM$1006,0))&gt;=100000), " ",IF(INDEX($AM$2:$BM$1001,MATCH(ROWS($AF$2:AF724),$AF$2:$AF$1001,0),MATCH(COLUMNS($AM$1006:BD1006),$AM$1006:$BM$1006,0)), HYPERLINK("#",""), HYPERLINK(CONCATENATE("#metadata!", ADDRESS(INDEX($AH$2:$AH$1001,MATCH(ROWS($AF$2:AF724),$AF$2:$AF$1001,0),0), INDEX($AM$1004:$BM$1004,1,MATCH(COLUMNS($AM$1006:BD1006),$AM$1006:$BM$1006,0)))),"Fix")))</f>
        <v xml:space="preserve"> </v>
      </c>
      <c r="T724" s="4" t="str">
        <f ca="1">IF(OR(INDEX($AG$2:$AG$1001,MATCH(ROWS($AF$2:AF724),$AF$2:$AF$1001,0),1)&gt;=100000,INDEX($AM$1005:$BM$1005,1,MATCH(COLUMNS($AM$1006:BE1006),$AM$1006:$BM$1006,0))&gt;=100000), " ",IF(INDEX($AM$2:$BM$1001,MATCH(ROWS($AF$2:AF724),$AF$2:$AF$1001,0),MATCH(COLUMNS($AM$1006:BE1006),$AM$1006:$BM$1006,0)), HYPERLINK("#",""), HYPERLINK(CONCATENATE("#metadata!", ADDRESS(INDEX($AH$2:$AH$1001,MATCH(ROWS($AF$2:AF724),$AF$2:$AF$1001,0),0), INDEX($AM$1004:$BM$1004,1,MATCH(COLUMNS($AM$1006:BE1006),$AM$1006:$BM$1006,0)))),"Fix")))</f>
        <v xml:space="preserve"> </v>
      </c>
      <c r="U724" s="4" t="str">
        <f ca="1">IF(OR(INDEX($AG$2:$AG$1001,MATCH(ROWS($AF$2:AF724),$AF$2:$AF$1001,0),1)&gt;=100000,INDEX($AM$1005:$BM$1005,1,MATCH(COLUMNS($AM$1006:BF1006),$AM$1006:$BM$1006,0))&gt;=100000), " ",IF(INDEX($AM$2:$BM$1001,MATCH(ROWS($AF$2:AF724),$AF$2:$AF$1001,0),MATCH(COLUMNS($AM$1006:BF1006),$AM$1006:$BM$1006,0)), HYPERLINK("#",""), HYPERLINK(CONCATENATE("#metadata!", ADDRESS(INDEX($AH$2:$AH$1001,MATCH(ROWS($AF$2:AF724),$AF$2:$AF$1001,0),0), INDEX($AM$1004:$BM$1004,1,MATCH(COLUMNS($AM$1006:BF1006),$AM$1006:$BM$1006,0)))),"Fix")))</f>
        <v xml:space="preserve"> </v>
      </c>
      <c r="V724" s="4" t="str">
        <f ca="1">IF(OR(INDEX($AG$2:$AG$1001,MATCH(ROWS($AF$2:AF724),$AF$2:$AF$1001,0),1)&gt;=100000,INDEX($AM$1005:$BM$1005,1,MATCH(COLUMNS($AM$1006:BG1006),$AM$1006:$BM$1006,0))&gt;=100000), " ",IF(INDEX($AM$2:$BM$1001,MATCH(ROWS($AF$2:AF724),$AF$2:$AF$1001,0),MATCH(COLUMNS($AM$1006:BG1006),$AM$1006:$BM$1006,0)), HYPERLINK("#",""), HYPERLINK(CONCATENATE("#metadata!", ADDRESS(INDEX($AH$2:$AH$1001,MATCH(ROWS($AF$2:AF724),$AF$2:$AF$1001,0),0), INDEX($AM$1004:$BM$1004,1,MATCH(COLUMNS($AM$1006:BG1006),$AM$1006:$BM$1006,0)))),"Fix")))</f>
        <v xml:space="preserve"> </v>
      </c>
      <c r="W724" s="4" t="str">
        <f ca="1">IF(OR(INDEX($AG$2:$AG$1001,MATCH(ROWS($AF$2:AF724),$AF$2:$AF$1001,0),1)&gt;=100000,INDEX($AM$1005:$BM$1005,1,MATCH(COLUMNS($AM$1006:BH1006),$AM$1006:$BM$1006,0))&gt;=100000), " ",IF(INDEX($AM$2:$BM$1001,MATCH(ROWS($AF$2:AF724),$AF$2:$AF$1001,0),MATCH(COLUMNS($AM$1006:BH1006),$AM$1006:$BM$1006,0)), HYPERLINK("#",""), HYPERLINK(CONCATENATE("#metadata!", ADDRESS(INDEX($AH$2:$AH$1001,MATCH(ROWS($AF$2:AF724),$AF$2:$AF$1001,0),0), INDEX($AM$1004:$BM$1004,1,MATCH(COLUMNS($AM$1006:BH1006),$AM$1006:$BM$1006,0)))),"Fix")))</f>
        <v xml:space="preserve"> </v>
      </c>
      <c r="X724" s="4" t="str">
        <f ca="1">IF(OR(INDEX($AG$2:$AG$1001,MATCH(ROWS($AF$2:AF724),$AF$2:$AF$1001,0),1)&gt;=100000,INDEX($AM$1005:$BM$1005,1,MATCH(COLUMNS($AM$1006:BI1006),$AM$1006:$BM$1006,0))&gt;=100000), " ",IF(INDEX($AM$2:$BM$1001,MATCH(ROWS($AF$2:AF724),$AF$2:$AF$1001,0),MATCH(COLUMNS($AM$1006:BI1006),$AM$1006:$BM$1006,0)), HYPERLINK("#",""), HYPERLINK(CONCATENATE("#metadata!", ADDRESS(INDEX($AH$2:$AH$1001,MATCH(ROWS($AF$2:AF724),$AF$2:$AF$1001,0),0), INDEX($AM$1004:$BM$1004,1,MATCH(COLUMNS($AM$1006:BI1006),$AM$1006:$BM$1006,0)))),"Fix")))</f>
        <v xml:space="preserve"> </v>
      </c>
      <c r="Y724" s="4" t="str">
        <f ca="1">IF(OR(INDEX($AG$2:$AG$1001,MATCH(ROWS($AF$2:AF724),$AF$2:$AF$1001,0),1)&gt;=100000,INDEX($AM$1005:$BM$1005,1,MATCH(COLUMNS($AM$1006:BJ1006),$AM$1006:$BM$1006,0))&gt;=100000), " ",IF(INDEX($AM$2:$BM$1001,MATCH(ROWS($AF$2:AF724),$AF$2:$AF$1001,0),MATCH(COLUMNS($AM$1006:BJ1006),$AM$1006:$BM$1006,0)), HYPERLINK("#",""), HYPERLINK(CONCATENATE("#metadata!", ADDRESS(INDEX($AH$2:$AH$1001,MATCH(ROWS($AF$2:AF724),$AF$2:$AF$1001,0),0), INDEX($AM$1004:$BM$1004,1,MATCH(COLUMNS($AM$1006:BJ1006),$AM$1006:$BM$1006,0)))),"Fix")))</f>
        <v xml:space="preserve"> </v>
      </c>
      <c r="Z724" s="4" t="str">
        <f ca="1">IF(OR(INDEX($AG$2:$AG$1001,MATCH(ROWS($AF$2:AF724),$AF$2:$AF$1001,0),1)&gt;=100000,INDEX($AM$1005:$BM$1005,1,MATCH(COLUMNS($AM$1006:BK1006),$AM$1006:$BM$1006,0))&gt;=100000), " ",IF(INDEX($AM$2:$BM$1001,MATCH(ROWS($AF$2:AF724),$AF$2:$AF$1001,0),MATCH(COLUMNS($AM$1006:BK1006),$AM$1006:$BM$1006,0)), HYPERLINK("#",""), HYPERLINK(CONCATENATE("#metadata!", ADDRESS(INDEX($AH$2:$AH$1001,MATCH(ROWS($AF$2:AF724),$AF$2:$AF$1001,0),0), INDEX($AM$1004:$BM$1004,1,MATCH(COLUMNS($AM$1006:BK1006),$AM$1006:$BM$1006,0)))),"Fix")))</f>
        <v xml:space="preserve"> </v>
      </c>
      <c r="AA724" s="4" t="str">
        <f ca="1">IF(OR(INDEX($AG$2:$AG$1001,MATCH(ROWS($AF$2:AF724),$AF$2:$AF$1001,0),1)&gt;=100000,INDEX($AM$1005:$BM$1005,1,MATCH(COLUMNS($AM$1006:BL1006),$AM$1006:$BM$1006,0))&gt;=100000), " ",IF(INDEX($AM$2:$BM$1001,MATCH(ROWS($AF$2:AF724),$AF$2:$AF$1001,0),MATCH(COLUMNS($AM$1006:BL1006),$AM$1006:$BM$1006,0)), HYPERLINK("#",""), HYPERLINK(CONCATENATE("#metadata!", ADDRESS(INDEX($AH$2:$AH$1001,MATCH(ROWS($AF$2:AF724),$AF$2:$AF$1001,0),0), INDEX($AM$1004:$BM$1004,1,MATCH(COLUMNS($AM$1006:BL1006),$AM$1006:$BM$1006,0)))),"Fix")))</f>
        <v xml:space="preserve"> </v>
      </c>
      <c r="AB724" s="4" t="str">
        <f ca="1">IF(OR(INDEX($AG$2:$AG$1001,MATCH(ROWS($AF$2:AF724),$AF$2:$AF$1001,0),1)&gt;=100000,INDEX($AM$1005:$BM$1005,1,MATCH(COLUMNS($AM$1006:BM1006),$AM$1006:$BM$1006,0))&gt;=100000), " ",IF(INDEX($AM$2:$BM$1001,MATCH(ROWS($AF$2:AF724),$AF$2:$AF$1001,0),MATCH(COLUMNS($AM$1006:BM1006),$AM$1006:$BM$1006,0)), HYPERLINK("#",""), HYPERLINK(CONCATENATE("#metadata!", ADDRESS(INDEX($AH$2:$AH$1001,MATCH(ROWS($AF$2:AF724),$AF$2:$AF$1001,0),0), INDEX($AM$1004:$BM$1004,1,MATCH(COLUMNS($AM$1006:BM1006),$AM$1006:$BM$1006,0)))),"Fix")))</f>
        <v xml:space="preserve"> </v>
      </c>
      <c r="AF724">
        <v>723</v>
      </c>
      <c r="AG724">
        <v>100724</v>
      </c>
      <c r="AH724">
        <v>724</v>
      </c>
      <c r="AI724" t="b">
        <f t="shared" si="11"/>
        <v>1</v>
      </c>
      <c r="AJ724" t="b">
        <f>COUNTBLANK(metadata!B724:AB724)=COLUMNS(metadata!B724:AB724)</f>
        <v>1</v>
      </c>
      <c r="AK724" t="str">
        <v/>
      </c>
      <c r="AM724" t="b">
        <f ca="1">AND(IF(metadata!B724="",FALSE,TRUE),COUNTIF(metadata!B:B, metadata!B724) = 1,NOT(ISERROR(SUMPRODUCT(SEARCH(MID(metadata!B724,ROW(INDIRECT("1:"&amp;LEN(metadata!B724))), 1),"0123456789abcdefghijklmnopqrstuvwxyzABCDEFGHIJKLMNOPQRSTUVWXYZ.")))))</f>
        <v>0</v>
      </c>
      <c r="AN724" t="b">
        <f ca="1">OR(AND(IF(metadata!C724="",FALSE,TRUE),OR(EXACT(metadata!C724,"missing: not collected"),EXACT(metadata!C724,"missing: not provided"),EXACT(metadata!C724,"missing: restricted access"))),AND(IF(metadata!C724="",FALSE,TRUE),AND(AND(IFERROR(INT(LEFT(metadata!C724,4))&gt;1900,FALSE),IFERROR(INT(LEFT(metadata!C724,4))&lt;=YEAR(NOW()),FALSE)), OR(MID(metadata!C724,5,1)="", AND(AND(MID(metadata!C724,5,1)="-",IFERROR(INT(MID(metadata!C724,6,1))&gt;=0,FALSE),IFERROR(INT(MID(metadata!C724,6,1))&lt;=1,FALSE),NOT(MID(metadata!C724,7,1)=""),IFERROR(INT(MID(metadata!C724,6,2))&gt;=1,FALSE),IFERROR(INT(MID(metadata!C724,6,2))&lt;=12,FALSE)), OR(MID(metadata!C724,8,1)="", AND(AND(MID(metadata!C724,8,1)="-",IFERROR(INT(MID(metadata!C724,9,1))&gt;=0,FALSE),IFERROR(INT(MID(metadata!C724,9,1))&lt;=3,FALSE),NOT(MID(metadata!C724,10,1)=""),IFERROR(INT(MID(metadata!C724,9,2))&gt;=1,FALSE),IFERROR(INT(MID(metadata!C724,9,2))&lt;=31,FALSE)), OR(MID(metadata!C724,11,1)="", AND(AND(MID(metadata!C724,11,1)=" ",IFERROR(INT(MID(metadata!C724,12,1))&gt;=0,FALSE),IFERROR(INT(MID(metadata!C724,12,1))&lt;=2,FALSE),NOT(MID(metadata!C724,13,1)=""),IFERROR(INT(MID(metadata!C724,12,2))&gt;=0,FALSE),IFERROR(INT(MID(metadata!C724,12,2))&lt;=23,FALSE)), OR(MID(metadata!C724,14,1)="", AND(AND(MID(metadata!C724,14,1)=":",IFERROR(INT(MID(metadata!C724,15,1))&gt;=0,FALSE),IFERROR(INT(MID(metadata!C724,15,1))&lt;=5,FALSE),NOT(MID(metadata!C724,16,1)=""),IFERROR(INT(MID(metadata!C724,15,2))&gt;=0,FALSE),IFERROR(INT(MID(metadata!C724,15,2))&lt;=59,FALSE)), OR(MID(metadata!C724,17,1)="", AND(AND(MID(metadata!C724,17,1)=":",IFERROR(INT(MID(metadata!C724,18,1))&gt;=0,FALSE),IFERROR(INT(MID(metadata!C724,18,1))&lt;=5,FALSE),NOT(MID(metadata!C724,19,1)=""),IFERROR(INT(MID(metadata!C724,18,2))&gt;=0,FALSE),IFERROR(INT(MID(metadata!C724,18,2))&lt;=59,FALSE)), LEN(metadata!C724)&lt;=19)))))))))))))</f>
        <v>0</v>
      </c>
      <c r="AO724" t="b">
        <f>AND(IF(metadata!D724="",FALSE,TRUE),EXACT(metadata!D724,"Not applicable"))</f>
        <v>0</v>
      </c>
      <c r="AP724" t="b">
        <f>IF(metadata!E724="",FALSE,TRUE)</f>
        <v>0</v>
      </c>
      <c r="AQ724" t="b">
        <f>OR(AND(IF(metadata!F724="",FALSE,TRUE),OR(EXACT(metadata!F724,"missing: not collected"),EXACT(metadata!F724,"missing: not provided"))),AND(IF(metadata!F724="",FALSE,TRUE),OR(EXACT(metadata!F724,"TRUE"),EXACT(metadata!F724,"FALSE"))))</f>
        <v>0</v>
      </c>
      <c r="AR724" t="b">
        <f>OR(AND(IF(metadata!G724="",FALSE,TRUE),OR(EXACT(metadata!G724,"missing: not collected"),EXACT(metadata!G724,"missing: not provided"),EXACT(metadata!G724,"missing: restricted access"))),AND(IF(metadata!G724="",FALSE,ISNUMBER(VALUE(metadata!G724))),metadata!G724&gt;=-413))</f>
        <v>0</v>
      </c>
      <c r="AS724" t="b">
        <f>AND(IF(metadata!H724="",FALSE,TRUE),EXACT(metadata!H724,"meters"))</f>
        <v>0</v>
      </c>
      <c r="AT724" t="b">
        <f>AND(IF(metadata!I724="",FALSE,TRUE),OR(EXACT(metadata!I724,"Host-associated"),EXACT(metadata!I724,"Free-living")))</f>
        <v>0</v>
      </c>
      <c r="AU724" t="b">
        <f>AND(IF(metadata!J724="",FALSE,TRUE),OR(EXACT(metadata!J724,"Animal"),EXACT(metadata!J724,"Fungus"),EXACT(metadata!J724,"Plant"),EXACT(metadata!J724,"Saline"),EXACT(metadata!J724,"Non-saline")))</f>
        <v>0</v>
      </c>
      <c r="AV724" t="b">
        <f>AND(IF(metadata!K724="",FALSE,TRUE),OR(EXACT(metadata!K724,"Plant secretion"),EXACT(metadata!K724,"Plant rhizosphere"),EXACT(metadata!K724,"Plant surface"),EXACT(metadata!K724,"Plant corpus"),EXACT(metadata!K724,"Fungus surface"),EXACT(metadata!K724,"Fungus corpus"),EXACT(metadata!K724,"Animal surface"),EXACT(metadata!K724,"Animal proximal gut"),EXACT(metadata!K724,"Animal corpus"),EXACT(metadata!K724,"Animal distal gut"),EXACT(metadata!K724,"Animal secretion"),EXACT(metadata!K724,"Sub-surface (non-saline)"),EXACT(metadata!K724,"Surface (non-saline)"),EXACT(metadata!K724,"Water (non-saline)"),EXACT(metadata!K724,"Soil (non-saline)"),EXACT(metadata!K724,"Aerosol (non-saline)"),EXACT(metadata!K724,"Sediment (non-saline)"),EXACT(metadata!K724,"Surface (saline)"),EXACT(metadata!K724,"Water (saline)"),EXACT(metadata!K724,"Hypersaline (saline)"),EXACT(metadata!K724,"Aerosol (saline)"),EXACT(metadata!K724,"Sediment (saline)")))</f>
        <v>0</v>
      </c>
      <c r="AW724" t="b">
        <f>IF(metadata!L724="",FALSE,TRUE)</f>
        <v>0</v>
      </c>
      <c r="AX724" t="b">
        <f>IF(metadata!M724="",FALSE,TRUE)</f>
        <v>0</v>
      </c>
      <c r="AY724" t="b">
        <f>IF(metadata!N724="",FALSE,TRUE)</f>
        <v>0</v>
      </c>
      <c r="AZ724" t="b">
        <f>OR(AND(IF(metadata!O724="",FALSE,TRUE),OR(EXACT(metadata!O724,"missing: not collected"),EXACT(metadata!O724,"missing: not provided"),EXACT(metadata!O724,"missing: restricted access"))),AND(IF(metadata!O724="",FALSE,TRUE),OR(EXACT(metadata!O724,"air"),EXACT(metadata!O724,"built environment"),EXACT(metadata!O724,"host-associated"),EXACT(metadata!O724,"human-associated"),EXACT(metadata!O724,"human-skin"),EXACT(metadata!O724,"human-oral"),EXACT(metadata!O724,"human-gut"),EXACT(metadata!O724,"human-vaginal"),EXACT(metadata!O724,"microbial mat/biofilm"),EXACT(metadata!O724,"misc environment"),EXACT(metadata!O724,"plant-associated"),EXACT(metadata!O724,"sediment"),EXACT(metadata!O724,"soil"),EXACT(metadata!O724,"wastewater/sludge"),EXACT(metadata!O724,"water"))))</f>
        <v>0</v>
      </c>
      <c r="BA724" t="b">
        <f>IF(metadata!P724="",FALSE,TRUE)</f>
        <v>0</v>
      </c>
      <c r="BB724" t="b">
        <f>IF(metadata!Q724="",FALSE,TRUE)</f>
        <v>0</v>
      </c>
      <c r="BC724" t="b">
        <f>OR(AND(IF(metadata!R724="",FALSE,TRUE),OR(EXACT(metadata!R724,"missing: not collected"),EXACT(metadata!R724,"missing: not provided"),EXACT(metadata!R724,"missing: restricted access"))),AND(IF(metadata!R724="",FALSE,ISNUMBER(VALUE(metadata!R724))),metadata!R724&gt;=-90,metadata!R724&lt;=90))</f>
        <v>0</v>
      </c>
      <c r="BD724" t="b">
        <f>AND(IF(metadata!S724="",FALSE,TRUE),EXACT(metadata!S724,"Decimal degrees"))</f>
        <v>0</v>
      </c>
      <c r="BE724" t="b">
        <f>OR(AND(IF(metadata!T724="",FALSE,TRUE),OR(EXACT(metadata!T724,"missing: not collected"),EXACT(metadata!T724,"missing: not provided"),EXACT(metadata!T724,"missing: restricted access"))),AND(IF(metadata!T724="",FALSE,ISNUMBER(VALUE(metadata!T724))),metadata!T724&gt;=-180,metadata!T724&lt;=180))</f>
        <v>0</v>
      </c>
      <c r="BF724" t="b">
        <f>AND(IF(metadata!U724="",FALSE,TRUE),EXACT(metadata!U724,"Decimal degrees"))</f>
        <v>0</v>
      </c>
      <c r="BG724" t="b">
        <f>IF(metadata!V724="",FALSE,TRUE)</f>
        <v>0</v>
      </c>
      <c r="BH724" t="b">
        <f>OR(AND(IF(metadata!W724="",FALSE,TRUE),OR(EXACT(metadata!W724,"missing: not collected"),EXACT(metadata!W724,"missing: not provided"),EXACT(metadata!W724,"missing: restricted access"))),AND(IF(metadata!W724="",FALSE,TRUE),OR(EXACT(metadata!W724,"TRUE"),EXACT(metadata!W724,"FALSE"))))</f>
        <v>0</v>
      </c>
      <c r="BI724" t="b">
        <f>AND(IF(metadata!X724="",FALSE,TRUE),EXACT(metadata!X724,"other"))</f>
        <v>0</v>
      </c>
      <c r="BJ724" t="b">
        <f>IF(metadata!Y724="",FALSE,TRUE)</f>
        <v>0</v>
      </c>
      <c r="BK724" t="b">
        <f>OR(AND(IF(metadata!Z724="",FALSE,TRUE),OR(EXACT(metadata!Z724,"missing: not collected"),EXACT(metadata!Z724,"missing: not provided"))),AND(IF(metadata!Z724="",FALSE,IF(ISERROR(INT(metadata!Z724)),FALSE,INT(metadata!Z724)=metadata!Z724)),metadata!Z724&gt;0))</f>
        <v>0</v>
      </c>
      <c r="BL724" t="b">
        <f>AND(IF(metadata!AA724="",FALSE,TRUE),EXACT(metadata!AA724,"Not applicable"))</f>
        <v>0</v>
      </c>
      <c r="BM724" t="b">
        <f>IF(metadata!AB724="",FALSE,TRUE)</f>
        <v>0</v>
      </c>
    </row>
    <row r="725" spans="1:65" x14ac:dyDescent="0.2">
      <c r="A725" s="5" t="str">
        <f ca="1">IF(B725=" "," ",HYPERLINK(CONCATENATE("#metadata!",ADDRESS(INDEX($AH$2:$AH$1001,MATCH(ROWS($AF$2:AF725),$AF$2:$AF$1001,0),0),1)),INDEX($AK$2:$AK$1001,MATCH(ROWS($AF$2:AF725),$AF$2:$AF$1001,0),0)))</f>
        <v xml:space="preserve"> </v>
      </c>
      <c r="B725" s="4" t="str">
        <f ca="1">IF(OR(INDEX($AG$2:$AG$1001,MATCH(ROWS($AF$2:AF725),$AF$2:$AF$1001,0),1)&gt;=100000,INDEX($AM$1005:$BM$1005,1,MATCH(COLUMNS($AM$1006:AM1006),$AM$1006:$BM$1006,0))&gt;=100000), " ",IF(INDEX($AM$2:$BM$1001,MATCH(ROWS($AF$2:AF725),$AF$2:$AF$1001,0),MATCH(COLUMNS($AM$1006:AM1006),$AM$1006:$BM$1006,0)), HYPERLINK("#",""), HYPERLINK(CONCATENATE("#metadata!", ADDRESS(INDEX($AH$2:$AH$1001,MATCH(ROWS($AF$2:AF725),$AF$2:$AF$1001,0),0), INDEX($AM$1004:$BM$1004,1,MATCH(COLUMNS($AM$1006:AM1006),$AM$1006:$BM$1006,0)))),"Fix")))</f>
        <v xml:space="preserve"> </v>
      </c>
      <c r="C725" s="4" t="str">
        <f ca="1">IF(OR(INDEX($AG$2:$AG$1001,MATCH(ROWS($AF$2:AF725),$AF$2:$AF$1001,0),1)&gt;=100000,INDEX($AM$1005:$BM$1005,1,MATCH(COLUMNS($AM$1006:AN1006),$AM$1006:$BM$1006,0))&gt;=100000), " ",IF(INDEX($AM$2:$BM$1001,MATCH(ROWS($AF$2:AF725),$AF$2:$AF$1001,0),MATCH(COLUMNS($AM$1006:AN1006),$AM$1006:$BM$1006,0)), HYPERLINK("#",""), HYPERLINK(CONCATENATE("#metadata!", ADDRESS(INDEX($AH$2:$AH$1001,MATCH(ROWS($AF$2:AF725),$AF$2:$AF$1001,0),0), INDEX($AM$1004:$BM$1004,1,MATCH(COLUMNS($AM$1006:AN1006),$AM$1006:$BM$1006,0)))),"Fix")))</f>
        <v xml:space="preserve"> </v>
      </c>
      <c r="D725" s="4" t="str">
        <f ca="1">IF(OR(INDEX($AG$2:$AG$1001,MATCH(ROWS($AF$2:AF725),$AF$2:$AF$1001,0),1)&gt;=100000,INDEX($AM$1005:$BM$1005,1,MATCH(COLUMNS($AM$1006:AO1006),$AM$1006:$BM$1006,0))&gt;=100000), " ",IF(INDEX($AM$2:$BM$1001,MATCH(ROWS($AF$2:AF725),$AF$2:$AF$1001,0),MATCH(COLUMNS($AM$1006:AO1006),$AM$1006:$BM$1006,0)), HYPERLINK("#",""), HYPERLINK(CONCATENATE("#metadata!", ADDRESS(INDEX($AH$2:$AH$1001,MATCH(ROWS($AF$2:AF725),$AF$2:$AF$1001,0),0), INDEX($AM$1004:$BM$1004,1,MATCH(COLUMNS($AM$1006:AO1006),$AM$1006:$BM$1006,0)))),"Fix")))</f>
        <v xml:space="preserve"> </v>
      </c>
      <c r="E725" s="4" t="str">
        <f ca="1">IF(OR(INDEX($AG$2:$AG$1001,MATCH(ROWS($AF$2:AF725),$AF$2:$AF$1001,0),1)&gt;=100000,INDEX($AM$1005:$BM$1005,1,MATCH(COLUMNS($AM$1006:AP1006),$AM$1006:$BM$1006,0))&gt;=100000), " ",IF(INDEX($AM$2:$BM$1001,MATCH(ROWS($AF$2:AF725),$AF$2:$AF$1001,0),MATCH(COLUMNS($AM$1006:AP1006),$AM$1006:$BM$1006,0)), HYPERLINK("#",""), HYPERLINK(CONCATENATE("#metadata!", ADDRESS(INDEX($AH$2:$AH$1001,MATCH(ROWS($AF$2:AF725),$AF$2:$AF$1001,0),0), INDEX($AM$1004:$BM$1004,1,MATCH(COLUMNS($AM$1006:AP1006),$AM$1006:$BM$1006,0)))),"Fix")))</f>
        <v xml:space="preserve"> </v>
      </c>
      <c r="F725" s="4" t="str">
        <f ca="1">IF(OR(INDEX($AG$2:$AG$1001,MATCH(ROWS($AF$2:AF725),$AF$2:$AF$1001,0),1)&gt;=100000,INDEX($AM$1005:$BM$1005,1,MATCH(COLUMNS($AM$1006:AQ1006),$AM$1006:$BM$1006,0))&gt;=100000), " ",IF(INDEX($AM$2:$BM$1001,MATCH(ROWS($AF$2:AF725),$AF$2:$AF$1001,0),MATCH(COLUMNS($AM$1006:AQ1006),$AM$1006:$BM$1006,0)), HYPERLINK("#",""), HYPERLINK(CONCATENATE("#metadata!", ADDRESS(INDEX($AH$2:$AH$1001,MATCH(ROWS($AF$2:AF725),$AF$2:$AF$1001,0),0), INDEX($AM$1004:$BM$1004,1,MATCH(COLUMNS($AM$1006:AQ1006),$AM$1006:$BM$1006,0)))),"Fix")))</f>
        <v xml:space="preserve"> </v>
      </c>
      <c r="G725" s="4" t="str">
        <f ca="1">IF(OR(INDEX($AG$2:$AG$1001,MATCH(ROWS($AF$2:AF725),$AF$2:$AF$1001,0),1)&gt;=100000,INDEX($AM$1005:$BM$1005,1,MATCH(COLUMNS($AM$1006:AR1006),$AM$1006:$BM$1006,0))&gt;=100000), " ",IF(INDEX($AM$2:$BM$1001,MATCH(ROWS($AF$2:AF725),$AF$2:$AF$1001,0),MATCH(COLUMNS($AM$1006:AR1006),$AM$1006:$BM$1006,0)), HYPERLINK("#",""), HYPERLINK(CONCATENATE("#metadata!", ADDRESS(INDEX($AH$2:$AH$1001,MATCH(ROWS($AF$2:AF725),$AF$2:$AF$1001,0),0), INDEX($AM$1004:$BM$1004,1,MATCH(COLUMNS($AM$1006:AR1006),$AM$1006:$BM$1006,0)))),"Fix")))</f>
        <v xml:space="preserve"> </v>
      </c>
      <c r="H725" s="4" t="str">
        <f ca="1">IF(OR(INDEX($AG$2:$AG$1001,MATCH(ROWS($AF$2:AF725),$AF$2:$AF$1001,0),1)&gt;=100000,INDEX($AM$1005:$BM$1005,1,MATCH(COLUMNS($AM$1006:AS1006),$AM$1006:$BM$1006,0))&gt;=100000), " ",IF(INDEX($AM$2:$BM$1001,MATCH(ROWS($AF$2:AF725),$AF$2:$AF$1001,0),MATCH(COLUMNS($AM$1006:AS1006),$AM$1006:$BM$1006,0)), HYPERLINK("#",""), HYPERLINK(CONCATENATE("#metadata!", ADDRESS(INDEX($AH$2:$AH$1001,MATCH(ROWS($AF$2:AF725),$AF$2:$AF$1001,0),0), INDEX($AM$1004:$BM$1004,1,MATCH(COLUMNS($AM$1006:AS1006),$AM$1006:$BM$1006,0)))),"Fix")))</f>
        <v xml:space="preserve"> </v>
      </c>
      <c r="I725" s="4" t="str">
        <f ca="1">IF(OR(INDEX($AG$2:$AG$1001,MATCH(ROWS($AF$2:AF725),$AF$2:$AF$1001,0),1)&gt;=100000,INDEX($AM$1005:$BM$1005,1,MATCH(COLUMNS($AM$1006:AT1006),$AM$1006:$BM$1006,0))&gt;=100000), " ",IF(INDEX($AM$2:$BM$1001,MATCH(ROWS($AF$2:AF725),$AF$2:$AF$1001,0),MATCH(COLUMNS($AM$1006:AT1006),$AM$1006:$BM$1006,0)), HYPERLINK("#",""), HYPERLINK(CONCATENATE("#metadata!", ADDRESS(INDEX($AH$2:$AH$1001,MATCH(ROWS($AF$2:AF725),$AF$2:$AF$1001,0),0), INDEX($AM$1004:$BM$1004,1,MATCH(COLUMNS($AM$1006:AT1006),$AM$1006:$BM$1006,0)))),"Fix")))</f>
        <v xml:space="preserve"> </v>
      </c>
      <c r="J725" s="4" t="str">
        <f ca="1">IF(OR(INDEX($AG$2:$AG$1001,MATCH(ROWS($AF$2:AF725),$AF$2:$AF$1001,0),1)&gt;=100000,INDEX($AM$1005:$BM$1005,1,MATCH(COLUMNS($AM$1006:AU1006),$AM$1006:$BM$1006,0))&gt;=100000), " ",IF(INDEX($AM$2:$BM$1001,MATCH(ROWS($AF$2:AF725),$AF$2:$AF$1001,0),MATCH(COLUMNS($AM$1006:AU1006),$AM$1006:$BM$1006,0)), HYPERLINK("#",""), HYPERLINK(CONCATENATE("#metadata!", ADDRESS(INDEX($AH$2:$AH$1001,MATCH(ROWS($AF$2:AF725),$AF$2:$AF$1001,0),0), INDEX($AM$1004:$BM$1004,1,MATCH(COLUMNS($AM$1006:AU1006),$AM$1006:$BM$1006,0)))),"Fix")))</f>
        <v xml:space="preserve"> </v>
      </c>
      <c r="K725" s="4" t="str">
        <f ca="1">IF(OR(INDEX($AG$2:$AG$1001,MATCH(ROWS($AF$2:AF725),$AF$2:$AF$1001,0),1)&gt;=100000,INDEX($AM$1005:$BM$1005,1,MATCH(COLUMNS($AM$1006:AV1006),$AM$1006:$BM$1006,0))&gt;=100000), " ",IF(INDEX($AM$2:$BM$1001,MATCH(ROWS($AF$2:AF725),$AF$2:$AF$1001,0),MATCH(COLUMNS($AM$1006:AV1006),$AM$1006:$BM$1006,0)), HYPERLINK("#",""), HYPERLINK(CONCATENATE("#metadata!", ADDRESS(INDEX($AH$2:$AH$1001,MATCH(ROWS($AF$2:AF725),$AF$2:$AF$1001,0),0), INDEX($AM$1004:$BM$1004,1,MATCH(COLUMNS($AM$1006:AV1006),$AM$1006:$BM$1006,0)))),"Fix")))</f>
        <v xml:space="preserve"> </v>
      </c>
      <c r="L725" s="4" t="str">
        <f ca="1">IF(OR(INDEX($AG$2:$AG$1001,MATCH(ROWS($AF$2:AF725),$AF$2:$AF$1001,0),1)&gt;=100000,INDEX($AM$1005:$BM$1005,1,MATCH(COLUMNS($AM$1006:AW1006),$AM$1006:$BM$1006,0))&gt;=100000), " ",IF(INDEX($AM$2:$BM$1001,MATCH(ROWS($AF$2:AF725),$AF$2:$AF$1001,0),MATCH(COLUMNS($AM$1006:AW1006),$AM$1006:$BM$1006,0)), HYPERLINK("#",""), HYPERLINK(CONCATENATE("#metadata!", ADDRESS(INDEX($AH$2:$AH$1001,MATCH(ROWS($AF$2:AF725),$AF$2:$AF$1001,0),0), INDEX($AM$1004:$BM$1004,1,MATCH(COLUMNS($AM$1006:AW1006),$AM$1006:$BM$1006,0)))),"Fix")))</f>
        <v xml:space="preserve"> </v>
      </c>
      <c r="M725" s="4" t="str">
        <f ca="1">IF(OR(INDEX($AG$2:$AG$1001,MATCH(ROWS($AF$2:AF725),$AF$2:$AF$1001,0),1)&gt;=100000,INDEX($AM$1005:$BM$1005,1,MATCH(COLUMNS($AM$1006:AX1006),$AM$1006:$BM$1006,0))&gt;=100000), " ",IF(INDEX($AM$2:$BM$1001,MATCH(ROWS($AF$2:AF725),$AF$2:$AF$1001,0),MATCH(COLUMNS($AM$1006:AX1006),$AM$1006:$BM$1006,0)), HYPERLINK("#",""), HYPERLINK(CONCATENATE("#metadata!", ADDRESS(INDEX($AH$2:$AH$1001,MATCH(ROWS($AF$2:AF725),$AF$2:$AF$1001,0),0), INDEX($AM$1004:$BM$1004,1,MATCH(COLUMNS($AM$1006:AX1006),$AM$1006:$BM$1006,0)))),"Fix")))</f>
        <v xml:space="preserve"> </v>
      </c>
      <c r="N725" s="4" t="str">
        <f ca="1">IF(OR(INDEX($AG$2:$AG$1001,MATCH(ROWS($AF$2:AF725),$AF$2:$AF$1001,0),1)&gt;=100000,INDEX($AM$1005:$BM$1005,1,MATCH(COLUMNS($AM$1006:AY1006),$AM$1006:$BM$1006,0))&gt;=100000), " ",IF(INDEX($AM$2:$BM$1001,MATCH(ROWS($AF$2:AF725),$AF$2:$AF$1001,0),MATCH(COLUMNS($AM$1006:AY1006),$AM$1006:$BM$1006,0)), HYPERLINK("#",""), HYPERLINK(CONCATENATE("#metadata!", ADDRESS(INDEX($AH$2:$AH$1001,MATCH(ROWS($AF$2:AF725),$AF$2:$AF$1001,0),0), INDEX($AM$1004:$BM$1004,1,MATCH(COLUMNS($AM$1006:AY1006),$AM$1006:$BM$1006,0)))),"Fix")))</f>
        <v xml:space="preserve"> </v>
      </c>
      <c r="O725" s="4" t="str">
        <f ca="1">IF(OR(INDEX($AG$2:$AG$1001,MATCH(ROWS($AF$2:AF725),$AF$2:$AF$1001,0),1)&gt;=100000,INDEX($AM$1005:$BM$1005,1,MATCH(COLUMNS($AM$1006:AZ1006),$AM$1006:$BM$1006,0))&gt;=100000), " ",IF(INDEX($AM$2:$BM$1001,MATCH(ROWS($AF$2:AF725),$AF$2:$AF$1001,0),MATCH(COLUMNS($AM$1006:AZ1006),$AM$1006:$BM$1006,0)), HYPERLINK("#",""), HYPERLINK(CONCATENATE("#metadata!", ADDRESS(INDEX($AH$2:$AH$1001,MATCH(ROWS($AF$2:AF725),$AF$2:$AF$1001,0),0), INDEX($AM$1004:$BM$1004,1,MATCH(COLUMNS($AM$1006:AZ1006),$AM$1006:$BM$1006,0)))),"Fix")))</f>
        <v xml:space="preserve"> </v>
      </c>
      <c r="P725" s="4" t="str">
        <f ca="1">IF(OR(INDEX($AG$2:$AG$1001,MATCH(ROWS($AF$2:AF725),$AF$2:$AF$1001,0),1)&gt;=100000,INDEX($AM$1005:$BM$1005,1,MATCH(COLUMNS($AM$1006:BA1006),$AM$1006:$BM$1006,0))&gt;=100000), " ",IF(INDEX($AM$2:$BM$1001,MATCH(ROWS($AF$2:AF725),$AF$2:$AF$1001,0),MATCH(COLUMNS($AM$1006:BA1006),$AM$1006:$BM$1006,0)), HYPERLINK("#",""), HYPERLINK(CONCATENATE("#metadata!", ADDRESS(INDEX($AH$2:$AH$1001,MATCH(ROWS($AF$2:AF725),$AF$2:$AF$1001,0),0), INDEX($AM$1004:$BM$1004,1,MATCH(COLUMNS($AM$1006:BA1006),$AM$1006:$BM$1006,0)))),"Fix")))</f>
        <v xml:space="preserve"> </v>
      </c>
      <c r="Q725" s="4" t="str">
        <f ca="1">IF(OR(INDEX($AG$2:$AG$1001,MATCH(ROWS($AF$2:AF725),$AF$2:$AF$1001,0),1)&gt;=100000,INDEX($AM$1005:$BM$1005,1,MATCH(COLUMNS($AM$1006:BB1006),$AM$1006:$BM$1006,0))&gt;=100000), " ",IF(INDEX($AM$2:$BM$1001,MATCH(ROWS($AF$2:AF725),$AF$2:$AF$1001,0),MATCH(COLUMNS($AM$1006:BB1006),$AM$1006:$BM$1006,0)), HYPERLINK("#",""), HYPERLINK(CONCATENATE("#metadata!", ADDRESS(INDEX($AH$2:$AH$1001,MATCH(ROWS($AF$2:AF725),$AF$2:$AF$1001,0),0), INDEX($AM$1004:$BM$1004,1,MATCH(COLUMNS($AM$1006:BB1006),$AM$1006:$BM$1006,0)))),"Fix")))</f>
        <v xml:space="preserve"> </v>
      </c>
      <c r="R725" s="4" t="str">
        <f ca="1">IF(OR(INDEX($AG$2:$AG$1001,MATCH(ROWS($AF$2:AF725),$AF$2:$AF$1001,0),1)&gt;=100000,INDEX($AM$1005:$BM$1005,1,MATCH(COLUMNS($AM$1006:BC1006),$AM$1006:$BM$1006,0))&gt;=100000), " ",IF(INDEX($AM$2:$BM$1001,MATCH(ROWS($AF$2:AF725),$AF$2:$AF$1001,0),MATCH(COLUMNS($AM$1006:BC1006),$AM$1006:$BM$1006,0)), HYPERLINK("#",""), HYPERLINK(CONCATENATE("#metadata!", ADDRESS(INDEX($AH$2:$AH$1001,MATCH(ROWS($AF$2:AF725),$AF$2:$AF$1001,0),0), INDEX($AM$1004:$BM$1004,1,MATCH(COLUMNS($AM$1006:BC1006),$AM$1006:$BM$1006,0)))),"Fix")))</f>
        <v xml:space="preserve"> </v>
      </c>
      <c r="S725" s="4" t="str">
        <f ca="1">IF(OR(INDEX($AG$2:$AG$1001,MATCH(ROWS($AF$2:AF725),$AF$2:$AF$1001,0),1)&gt;=100000,INDEX($AM$1005:$BM$1005,1,MATCH(COLUMNS($AM$1006:BD1006),$AM$1006:$BM$1006,0))&gt;=100000), " ",IF(INDEX($AM$2:$BM$1001,MATCH(ROWS($AF$2:AF725),$AF$2:$AF$1001,0),MATCH(COLUMNS($AM$1006:BD1006),$AM$1006:$BM$1006,0)), HYPERLINK("#",""), HYPERLINK(CONCATENATE("#metadata!", ADDRESS(INDEX($AH$2:$AH$1001,MATCH(ROWS($AF$2:AF725),$AF$2:$AF$1001,0),0), INDEX($AM$1004:$BM$1004,1,MATCH(COLUMNS($AM$1006:BD1006),$AM$1006:$BM$1006,0)))),"Fix")))</f>
        <v xml:space="preserve"> </v>
      </c>
      <c r="T725" s="4" t="str">
        <f ca="1">IF(OR(INDEX($AG$2:$AG$1001,MATCH(ROWS($AF$2:AF725),$AF$2:$AF$1001,0),1)&gt;=100000,INDEX($AM$1005:$BM$1005,1,MATCH(COLUMNS($AM$1006:BE1006),$AM$1006:$BM$1006,0))&gt;=100000), " ",IF(INDEX($AM$2:$BM$1001,MATCH(ROWS($AF$2:AF725),$AF$2:$AF$1001,0),MATCH(COLUMNS($AM$1006:BE1006),$AM$1006:$BM$1006,0)), HYPERLINK("#",""), HYPERLINK(CONCATENATE("#metadata!", ADDRESS(INDEX($AH$2:$AH$1001,MATCH(ROWS($AF$2:AF725),$AF$2:$AF$1001,0),0), INDEX($AM$1004:$BM$1004,1,MATCH(COLUMNS($AM$1006:BE1006),$AM$1006:$BM$1006,0)))),"Fix")))</f>
        <v xml:space="preserve"> </v>
      </c>
      <c r="U725" s="4" t="str">
        <f ca="1">IF(OR(INDEX($AG$2:$AG$1001,MATCH(ROWS($AF$2:AF725),$AF$2:$AF$1001,0),1)&gt;=100000,INDEX($AM$1005:$BM$1005,1,MATCH(COLUMNS($AM$1006:BF1006),$AM$1006:$BM$1006,0))&gt;=100000), " ",IF(INDEX($AM$2:$BM$1001,MATCH(ROWS($AF$2:AF725),$AF$2:$AF$1001,0),MATCH(COLUMNS($AM$1006:BF1006),$AM$1006:$BM$1006,0)), HYPERLINK("#",""), HYPERLINK(CONCATENATE("#metadata!", ADDRESS(INDEX($AH$2:$AH$1001,MATCH(ROWS($AF$2:AF725),$AF$2:$AF$1001,0),0), INDEX($AM$1004:$BM$1004,1,MATCH(COLUMNS($AM$1006:BF1006),$AM$1006:$BM$1006,0)))),"Fix")))</f>
        <v xml:space="preserve"> </v>
      </c>
      <c r="V725" s="4" t="str">
        <f ca="1">IF(OR(INDEX($AG$2:$AG$1001,MATCH(ROWS($AF$2:AF725),$AF$2:$AF$1001,0),1)&gt;=100000,INDEX($AM$1005:$BM$1005,1,MATCH(COLUMNS($AM$1006:BG1006),$AM$1006:$BM$1006,0))&gt;=100000), " ",IF(INDEX($AM$2:$BM$1001,MATCH(ROWS($AF$2:AF725),$AF$2:$AF$1001,0),MATCH(COLUMNS($AM$1006:BG1006),$AM$1006:$BM$1006,0)), HYPERLINK("#",""), HYPERLINK(CONCATENATE("#metadata!", ADDRESS(INDEX($AH$2:$AH$1001,MATCH(ROWS($AF$2:AF725),$AF$2:$AF$1001,0),0), INDEX($AM$1004:$BM$1004,1,MATCH(COLUMNS($AM$1006:BG1006),$AM$1006:$BM$1006,0)))),"Fix")))</f>
        <v xml:space="preserve"> </v>
      </c>
      <c r="W725" s="4" t="str">
        <f ca="1">IF(OR(INDEX($AG$2:$AG$1001,MATCH(ROWS($AF$2:AF725),$AF$2:$AF$1001,0),1)&gt;=100000,INDEX($AM$1005:$BM$1005,1,MATCH(COLUMNS($AM$1006:BH1006),$AM$1006:$BM$1006,0))&gt;=100000), " ",IF(INDEX($AM$2:$BM$1001,MATCH(ROWS($AF$2:AF725),$AF$2:$AF$1001,0),MATCH(COLUMNS($AM$1006:BH1006),$AM$1006:$BM$1006,0)), HYPERLINK("#",""), HYPERLINK(CONCATENATE("#metadata!", ADDRESS(INDEX($AH$2:$AH$1001,MATCH(ROWS($AF$2:AF725),$AF$2:$AF$1001,0),0), INDEX($AM$1004:$BM$1004,1,MATCH(COLUMNS($AM$1006:BH1006),$AM$1006:$BM$1006,0)))),"Fix")))</f>
        <v xml:space="preserve"> </v>
      </c>
      <c r="X725" s="4" t="str">
        <f ca="1">IF(OR(INDEX($AG$2:$AG$1001,MATCH(ROWS($AF$2:AF725),$AF$2:$AF$1001,0),1)&gt;=100000,INDEX($AM$1005:$BM$1005,1,MATCH(COLUMNS($AM$1006:BI1006),$AM$1006:$BM$1006,0))&gt;=100000), " ",IF(INDEX($AM$2:$BM$1001,MATCH(ROWS($AF$2:AF725),$AF$2:$AF$1001,0),MATCH(COLUMNS($AM$1006:BI1006),$AM$1006:$BM$1006,0)), HYPERLINK("#",""), HYPERLINK(CONCATENATE("#metadata!", ADDRESS(INDEX($AH$2:$AH$1001,MATCH(ROWS($AF$2:AF725),$AF$2:$AF$1001,0),0), INDEX($AM$1004:$BM$1004,1,MATCH(COLUMNS($AM$1006:BI1006),$AM$1006:$BM$1006,0)))),"Fix")))</f>
        <v xml:space="preserve"> </v>
      </c>
      <c r="Y725" s="4" t="str">
        <f ca="1">IF(OR(INDEX($AG$2:$AG$1001,MATCH(ROWS($AF$2:AF725),$AF$2:$AF$1001,0),1)&gt;=100000,INDEX($AM$1005:$BM$1005,1,MATCH(COLUMNS($AM$1006:BJ1006),$AM$1006:$BM$1006,0))&gt;=100000), " ",IF(INDEX($AM$2:$BM$1001,MATCH(ROWS($AF$2:AF725),$AF$2:$AF$1001,0),MATCH(COLUMNS($AM$1006:BJ1006),$AM$1006:$BM$1006,0)), HYPERLINK("#",""), HYPERLINK(CONCATENATE("#metadata!", ADDRESS(INDEX($AH$2:$AH$1001,MATCH(ROWS($AF$2:AF725),$AF$2:$AF$1001,0),0), INDEX($AM$1004:$BM$1004,1,MATCH(COLUMNS($AM$1006:BJ1006),$AM$1006:$BM$1006,0)))),"Fix")))</f>
        <v xml:space="preserve"> </v>
      </c>
      <c r="Z725" s="4" t="str">
        <f ca="1">IF(OR(INDEX($AG$2:$AG$1001,MATCH(ROWS($AF$2:AF725),$AF$2:$AF$1001,0),1)&gt;=100000,INDEX($AM$1005:$BM$1005,1,MATCH(COLUMNS($AM$1006:BK1006),$AM$1006:$BM$1006,0))&gt;=100000), " ",IF(INDEX($AM$2:$BM$1001,MATCH(ROWS($AF$2:AF725),$AF$2:$AF$1001,0),MATCH(COLUMNS($AM$1006:BK1006),$AM$1006:$BM$1006,0)), HYPERLINK("#",""), HYPERLINK(CONCATENATE("#metadata!", ADDRESS(INDEX($AH$2:$AH$1001,MATCH(ROWS($AF$2:AF725),$AF$2:$AF$1001,0),0), INDEX($AM$1004:$BM$1004,1,MATCH(COLUMNS($AM$1006:BK1006),$AM$1006:$BM$1006,0)))),"Fix")))</f>
        <v xml:space="preserve"> </v>
      </c>
      <c r="AA725" s="4" t="str">
        <f ca="1">IF(OR(INDEX($AG$2:$AG$1001,MATCH(ROWS($AF$2:AF725),$AF$2:$AF$1001,0),1)&gt;=100000,INDEX($AM$1005:$BM$1005,1,MATCH(COLUMNS($AM$1006:BL1006),$AM$1006:$BM$1006,0))&gt;=100000), " ",IF(INDEX($AM$2:$BM$1001,MATCH(ROWS($AF$2:AF725),$AF$2:$AF$1001,0),MATCH(COLUMNS($AM$1006:BL1006),$AM$1006:$BM$1006,0)), HYPERLINK("#",""), HYPERLINK(CONCATENATE("#metadata!", ADDRESS(INDEX($AH$2:$AH$1001,MATCH(ROWS($AF$2:AF725),$AF$2:$AF$1001,0),0), INDEX($AM$1004:$BM$1004,1,MATCH(COLUMNS($AM$1006:BL1006),$AM$1006:$BM$1006,0)))),"Fix")))</f>
        <v xml:space="preserve"> </v>
      </c>
      <c r="AB725" s="4" t="str">
        <f ca="1">IF(OR(INDEX($AG$2:$AG$1001,MATCH(ROWS($AF$2:AF725),$AF$2:$AF$1001,0),1)&gt;=100000,INDEX($AM$1005:$BM$1005,1,MATCH(COLUMNS($AM$1006:BM1006),$AM$1006:$BM$1006,0))&gt;=100000), " ",IF(INDEX($AM$2:$BM$1001,MATCH(ROWS($AF$2:AF725),$AF$2:$AF$1001,0),MATCH(COLUMNS($AM$1006:BM1006),$AM$1006:$BM$1006,0)), HYPERLINK("#",""), HYPERLINK(CONCATENATE("#metadata!", ADDRESS(INDEX($AH$2:$AH$1001,MATCH(ROWS($AF$2:AF725),$AF$2:$AF$1001,0),0), INDEX($AM$1004:$BM$1004,1,MATCH(COLUMNS($AM$1006:BM1006),$AM$1006:$BM$1006,0)))),"Fix")))</f>
        <v xml:space="preserve"> </v>
      </c>
      <c r="AF725">
        <v>724</v>
      </c>
      <c r="AG725">
        <v>100725</v>
      </c>
      <c r="AH725">
        <v>725</v>
      </c>
      <c r="AI725" t="b">
        <f t="shared" si="11"/>
        <v>1</v>
      </c>
      <c r="AJ725" t="b">
        <f>COUNTBLANK(metadata!B725:AB725)=COLUMNS(metadata!B725:AB725)</f>
        <v>1</v>
      </c>
      <c r="AK725" t="str">
        <v/>
      </c>
      <c r="AM725" t="b">
        <f ca="1">AND(IF(metadata!B725="",FALSE,TRUE),COUNTIF(metadata!B:B, metadata!B725) = 1,NOT(ISERROR(SUMPRODUCT(SEARCH(MID(metadata!B725,ROW(INDIRECT("1:"&amp;LEN(metadata!B725))), 1),"0123456789abcdefghijklmnopqrstuvwxyzABCDEFGHIJKLMNOPQRSTUVWXYZ.")))))</f>
        <v>0</v>
      </c>
      <c r="AN725" t="b">
        <f ca="1">OR(AND(IF(metadata!C725="",FALSE,TRUE),OR(EXACT(metadata!C725,"missing: not collected"),EXACT(metadata!C725,"missing: not provided"),EXACT(metadata!C725,"missing: restricted access"))),AND(IF(metadata!C725="",FALSE,TRUE),AND(AND(IFERROR(INT(LEFT(metadata!C725,4))&gt;1900,FALSE),IFERROR(INT(LEFT(metadata!C725,4))&lt;=YEAR(NOW()),FALSE)), OR(MID(metadata!C725,5,1)="", AND(AND(MID(metadata!C725,5,1)="-",IFERROR(INT(MID(metadata!C725,6,1))&gt;=0,FALSE),IFERROR(INT(MID(metadata!C725,6,1))&lt;=1,FALSE),NOT(MID(metadata!C725,7,1)=""),IFERROR(INT(MID(metadata!C725,6,2))&gt;=1,FALSE),IFERROR(INT(MID(metadata!C725,6,2))&lt;=12,FALSE)), OR(MID(metadata!C725,8,1)="", AND(AND(MID(metadata!C725,8,1)="-",IFERROR(INT(MID(metadata!C725,9,1))&gt;=0,FALSE),IFERROR(INT(MID(metadata!C725,9,1))&lt;=3,FALSE),NOT(MID(metadata!C725,10,1)=""),IFERROR(INT(MID(metadata!C725,9,2))&gt;=1,FALSE),IFERROR(INT(MID(metadata!C725,9,2))&lt;=31,FALSE)), OR(MID(metadata!C725,11,1)="", AND(AND(MID(metadata!C725,11,1)=" ",IFERROR(INT(MID(metadata!C725,12,1))&gt;=0,FALSE),IFERROR(INT(MID(metadata!C725,12,1))&lt;=2,FALSE),NOT(MID(metadata!C725,13,1)=""),IFERROR(INT(MID(metadata!C725,12,2))&gt;=0,FALSE),IFERROR(INT(MID(metadata!C725,12,2))&lt;=23,FALSE)), OR(MID(metadata!C725,14,1)="", AND(AND(MID(metadata!C725,14,1)=":",IFERROR(INT(MID(metadata!C725,15,1))&gt;=0,FALSE),IFERROR(INT(MID(metadata!C725,15,1))&lt;=5,FALSE),NOT(MID(metadata!C725,16,1)=""),IFERROR(INT(MID(metadata!C725,15,2))&gt;=0,FALSE),IFERROR(INT(MID(metadata!C725,15,2))&lt;=59,FALSE)), OR(MID(metadata!C725,17,1)="", AND(AND(MID(metadata!C725,17,1)=":",IFERROR(INT(MID(metadata!C725,18,1))&gt;=0,FALSE),IFERROR(INT(MID(metadata!C725,18,1))&lt;=5,FALSE),NOT(MID(metadata!C725,19,1)=""),IFERROR(INT(MID(metadata!C725,18,2))&gt;=0,FALSE),IFERROR(INT(MID(metadata!C725,18,2))&lt;=59,FALSE)), LEN(metadata!C725)&lt;=19)))))))))))))</f>
        <v>0</v>
      </c>
      <c r="AO725" t="b">
        <f>AND(IF(metadata!D725="",FALSE,TRUE),EXACT(metadata!D725,"Not applicable"))</f>
        <v>0</v>
      </c>
      <c r="AP725" t="b">
        <f>IF(metadata!E725="",FALSE,TRUE)</f>
        <v>0</v>
      </c>
      <c r="AQ725" t="b">
        <f>OR(AND(IF(metadata!F725="",FALSE,TRUE),OR(EXACT(metadata!F725,"missing: not collected"),EXACT(metadata!F725,"missing: not provided"))),AND(IF(metadata!F725="",FALSE,TRUE),OR(EXACT(metadata!F725,"TRUE"),EXACT(metadata!F725,"FALSE"))))</f>
        <v>0</v>
      </c>
      <c r="AR725" t="b">
        <f>OR(AND(IF(metadata!G725="",FALSE,TRUE),OR(EXACT(metadata!G725,"missing: not collected"),EXACT(metadata!G725,"missing: not provided"),EXACT(metadata!G725,"missing: restricted access"))),AND(IF(metadata!G725="",FALSE,ISNUMBER(VALUE(metadata!G725))),metadata!G725&gt;=-413))</f>
        <v>0</v>
      </c>
      <c r="AS725" t="b">
        <f>AND(IF(metadata!H725="",FALSE,TRUE),EXACT(metadata!H725,"meters"))</f>
        <v>0</v>
      </c>
      <c r="AT725" t="b">
        <f>AND(IF(metadata!I725="",FALSE,TRUE),OR(EXACT(metadata!I725,"Host-associated"),EXACT(metadata!I725,"Free-living")))</f>
        <v>0</v>
      </c>
      <c r="AU725" t="b">
        <f>AND(IF(metadata!J725="",FALSE,TRUE),OR(EXACT(metadata!J725,"Animal"),EXACT(metadata!J725,"Fungus"),EXACT(metadata!J725,"Plant"),EXACT(metadata!J725,"Saline"),EXACT(metadata!J725,"Non-saline")))</f>
        <v>0</v>
      </c>
      <c r="AV725" t="b">
        <f>AND(IF(metadata!K725="",FALSE,TRUE),OR(EXACT(metadata!K725,"Plant secretion"),EXACT(metadata!K725,"Plant rhizosphere"),EXACT(metadata!K725,"Plant surface"),EXACT(metadata!K725,"Plant corpus"),EXACT(metadata!K725,"Fungus surface"),EXACT(metadata!K725,"Fungus corpus"),EXACT(metadata!K725,"Animal surface"),EXACT(metadata!K725,"Animal proximal gut"),EXACT(metadata!K725,"Animal corpus"),EXACT(metadata!K725,"Animal distal gut"),EXACT(metadata!K725,"Animal secretion"),EXACT(metadata!K725,"Sub-surface (non-saline)"),EXACT(metadata!K725,"Surface (non-saline)"),EXACT(metadata!K725,"Water (non-saline)"),EXACT(metadata!K725,"Soil (non-saline)"),EXACT(metadata!K725,"Aerosol (non-saline)"),EXACT(metadata!K725,"Sediment (non-saline)"),EXACT(metadata!K725,"Surface (saline)"),EXACT(metadata!K725,"Water (saline)"),EXACT(metadata!K725,"Hypersaline (saline)"),EXACT(metadata!K725,"Aerosol (saline)"),EXACT(metadata!K725,"Sediment (saline)")))</f>
        <v>0</v>
      </c>
      <c r="AW725" t="b">
        <f>IF(metadata!L725="",FALSE,TRUE)</f>
        <v>0</v>
      </c>
      <c r="AX725" t="b">
        <f>IF(metadata!M725="",FALSE,TRUE)</f>
        <v>0</v>
      </c>
      <c r="AY725" t="b">
        <f>IF(metadata!N725="",FALSE,TRUE)</f>
        <v>0</v>
      </c>
      <c r="AZ725" t="b">
        <f>OR(AND(IF(metadata!O725="",FALSE,TRUE),OR(EXACT(metadata!O725,"missing: not collected"),EXACT(metadata!O725,"missing: not provided"),EXACT(metadata!O725,"missing: restricted access"))),AND(IF(metadata!O725="",FALSE,TRUE),OR(EXACT(metadata!O725,"air"),EXACT(metadata!O725,"built environment"),EXACT(metadata!O725,"host-associated"),EXACT(metadata!O725,"human-associated"),EXACT(metadata!O725,"human-skin"),EXACT(metadata!O725,"human-oral"),EXACT(metadata!O725,"human-gut"),EXACT(metadata!O725,"human-vaginal"),EXACT(metadata!O725,"microbial mat/biofilm"),EXACT(metadata!O725,"misc environment"),EXACT(metadata!O725,"plant-associated"),EXACT(metadata!O725,"sediment"),EXACT(metadata!O725,"soil"),EXACT(metadata!O725,"wastewater/sludge"),EXACT(metadata!O725,"water"))))</f>
        <v>0</v>
      </c>
      <c r="BA725" t="b">
        <f>IF(metadata!P725="",FALSE,TRUE)</f>
        <v>0</v>
      </c>
      <c r="BB725" t="b">
        <f>IF(metadata!Q725="",FALSE,TRUE)</f>
        <v>0</v>
      </c>
      <c r="BC725" t="b">
        <f>OR(AND(IF(metadata!R725="",FALSE,TRUE),OR(EXACT(metadata!R725,"missing: not collected"),EXACT(metadata!R725,"missing: not provided"),EXACT(metadata!R725,"missing: restricted access"))),AND(IF(metadata!R725="",FALSE,ISNUMBER(VALUE(metadata!R725))),metadata!R725&gt;=-90,metadata!R725&lt;=90))</f>
        <v>0</v>
      </c>
      <c r="BD725" t="b">
        <f>AND(IF(metadata!S725="",FALSE,TRUE),EXACT(metadata!S725,"Decimal degrees"))</f>
        <v>0</v>
      </c>
      <c r="BE725" t="b">
        <f>OR(AND(IF(metadata!T725="",FALSE,TRUE),OR(EXACT(metadata!T725,"missing: not collected"),EXACT(metadata!T725,"missing: not provided"),EXACT(metadata!T725,"missing: restricted access"))),AND(IF(metadata!T725="",FALSE,ISNUMBER(VALUE(metadata!T725))),metadata!T725&gt;=-180,metadata!T725&lt;=180))</f>
        <v>0</v>
      </c>
      <c r="BF725" t="b">
        <f>AND(IF(metadata!U725="",FALSE,TRUE),EXACT(metadata!U725,"Decimal degrees"))</f>
        <v>0</v>
      </c>
      <c r="BG725" t="b">
        <f>IF(metadata!V725="",FALSE,TRUE)</f>
        <v>0</v>
      </c>
      <c r="BH725" t="b">
        <f>OR(AND(IF(metadata!W725="",FALSE,TRUE),OR(EXACT(metadata!W725,"missing: not collected"),EXACT(metadata!W725,"missing: not provided"),EXACT(metadata!W725,"missing: restricted access"))),AND(IF(metadata!W725="",FALSE,TRUE),OR(EXACT(metadata!W725,"TRUE"),EXACT(metadata!W725,"FALSE"))))</f>
        <v>0</v>
      </c>
      <c r="BI725" t="b">
        <f>AND(IF(metadata!X725="",FALSE,TRUE),EXACT(metadata!X725,"other"))</f>
        <v>0</v>
      </c>
      <c r="BJ725" t="b">
        <f>IF(metadata!Y725="",FALSE,TRUE)</f>
        <v>0</v>
      </c>
      <c r="BK725" t="b">
        <f>OR(AND(IF(metadata!Z725="",FALSE,TRUE),OR(EXACT(metadata!Z725,"missing: not collected"),EXACT(metadata!Z725,"missing: not provided"))),AND(IF(metadata!Z725="",FALSE,IF(ISERROR(INT(metadata!Z725)),FALSE,INT(metadata!Z725)=metadata!Z725)),metadata!Z725&gt;0))</f>
        <v>0</v>
      </c>
      <c r="BL725" t="b">
        <f>AND(IF(metadata!AA725="",FALSE,TRUE),EXACT(metadata!AA725,"Not applicable"))</f>
        <v>0</v>
      </c>
      <c r="BM725" t="b">
        <f>IF(metadata!AB725="",FALSE,TRUE)</f>
        <v>0</v>
      </c>
    </row>
    <row r="726" spans="1:65" x14ac:dyDescent="0.2">
      <c r="A726" s="5" t="str">
        <f ca="1">IF(B726=" "," ",HYPERLINK(CONCATENATE("#metadata!",ADDRESS(INDEX($AH$2:$AH$1001,MATCH(ROWS($AF$2:AF726),$AF$2:$AF$1001,0),0),1)),INDEX($AK$2:$AK$1001,MATCH(ROWS($AF$2:AF726),$AF$2:$AF$1001,0),0)))</f>
        <v xml:space="preserve"> </v>
      </c>
      <c r="B726" s="4" t="str">
        <f ca="1">IF(OR(INDEX($AG$2:$AG$1001,MATCH(ROWS($AF$2:AF726),$AF$2:$AF$1001,0),1)&gt;=100000,INDEX($AM$1005:$BM$1005,1,MATCH(COLUMNS($AM$1006:AM1006),$AM$1006:$BM$1006,0))&gt;=100000), " ",IF(INDEX($AM$2:$BM$1001,MATCH(ROWS($AF$2:AF726),$AF$2:$AF$1001,0),MATCH(COLUMNS($AM$1006:AM1006),$AM$1006:$BM$1006,0)), HYPERLINK("#",""), HYPERLINK(CONCATENATE("#metadata!", ADDRESS(INDEX($AH$2:$AH$1001,MATCH(ROWS($AF$2:AF726),$AF$2:$AF$1001,0),0), INDEX($AM$1004:$BM$1004,1,MATCH(COLUMNS($AM$1006:AM1006),$AM$1006:$BM$1006,0)))),"Fix")))</f>
        <v xml:space="preserve"> </v>
      </c>
      <c r="C726" s="4" t="str">
        <f ca="1">IF(OR(INDEX($AG$2:$AG$1001,MATCH(ROWS($AF$2:AF726),$AF$2:$AF$1001,0),1)&gt;=100000,INDEX($AM$1005:$BM$1005,1,MATCH(COLUMNS($AM$1006:AN1006),$AM$1006:$BM$1006,0))&gt;=100000), " ",IF(INDEX($AM$2:$BM$1001,MATCH(ROWS($AF$2:AF726),$AF$2:$AF$1001,0),MATCH(COLUMNS($AM$1006:AN1006),$AM$1006:$BM$1006,0)), HYPERLINK("#",""), HYPERLINK(CONCATENATE("#metadata!", ADDRESS(INDEX($AH$2:$AH$1001,MATCH(ROWS($AF$2:AF726),$AF$2:$AF$1001,0),0), INDEX($AM$1004:$BM$1004,1,MATCH(COLUMNS($AM$1006:AN1006),$AM$1006:$BM$1006,0)))),"Fix")))</f>
        <v xml:space="preserve"> </v>
      </c>
      <c r="D726" s="4" t="str">
        <f ca="1">IF(OR(INDEX($AG$2:$AG$1001,MATCH(ROWS($AF$2:AF726),$AF$2:$AF$1001,0),1)&gt;=100000,INDEX($AM$1005:$BM$1005,1,MATCH(COLUMNS($AM$1006:AO1006),$AM$1006:$BM$1006,0))&gt;=100000), " ",IF(INDEX($AM$2:$BM$1001,MATCH(ROWS($AF$2:AF726),$AF$2:$AF$1001,0),MATCH(COLUMNS($AM$1006:AO1006),$AM$1006:$BM$1006,0)), HYPERLINK("#",""), HYPERLINK(CONCATENATE("#metadata!", ADDRESS(INDEX($AH$2:$AH$1001,MATCH(ROWS($AF$2:AF726),$AF$2:$AF$1001,0),0), INDEX($AM$1004:$BM$1004,1,MATCH(COLUMNS($AM$1006:AO1006),$AM$1006:$BM$1006,0)))),"Fix")))</f>
        <v xml:space="preserve"> </v>
      </c>
      <c r="E726" s="4" t="str">
        <f ca="1">IF(OR(INDEX($AG$2:$AG$1001,MATCH(ROWS($AF$2:AF726),$AF$2:$AF$1001,0),1)&gt;=100000,INDEX($AM$1005:$BM$1005,1,MATCH(COLUMNS($AM$1006:AP1006),$AM$1006:$BM$1006,0))&gt;=100000), " ",IF(INDEX($AM$2:$BM$1001,MATCH(ROWS($AF$2:AF726),$AF$2:$AF$1001,0),MATCH(COLUMNS($AM$1006:AP1006),$AM$1006:$BM$1006,0)), HYPERLINK("#",""), HYPERLINK(CONCATENATE("#metadata!", ADDRESS(INDEX($AH$2:$AH$1001,MATCH(ROWS($AF$2:AF726),$AF$2:$AF$1001,0),0), INDEX($AM$1004:$BM$1004,1,MATCH(COLUMNS($AM$1006:AP1006),$AM$1006:$BM$1006,0)))),"Fix")))</f>
        <v xml:space="preserve"> </v>
      </c>
      <c r="F726" s="4" t="str">
        <f ca="1">IF(OR(INDEX($AG$2:$AG$1001,MATCH(ROWS($AF$2:AF726),$AF$2:$AF$1001,0),1)&gt;=100000,INDEX($AM$1005:$BM$1005,1,MATCH(COLUMNS($AM$1006:AQ1006),$AM$1006:$BM$1006,0))&gt;=100000), " ",IF(INDEX($AM$2:$BM$1001,MATCH(ROWS($AF$2:AF726),$AF$2:$AF$1001,0),MATCH(COLUMNS($AM$1006:AQ1006),$AM$1006:$BM$1006,0)), HYPERLINK("#",""), HYPERLINK(CONCATENATE("#metadata!", ADDRESS(INDEX($AH$2:$AH$1001,MATCH(ROWS($AF$2:AF726),$AF$2:$AF$1001,0),0), INDEX($AM$1004:$BM$1004,1,MATCH(COLUMNS($AM$1006:AQ1006),$AM$1006:$BM$1006,0)))),"Fix")))</f>
        <v xml:space="preserve"> </v>
      </c>
      <c r="G726" s="4" t="str">
        <f ca="1">IF(OR(INDEX($AG$2:$AG$1001,MATCH(ROWS($AF$2:AF726),$AF$2:$AF$1001,0),1)&gt;=100000,INDEX($AM$1005:$BM$1005,1,MATCH(COLUMNS($AM$1006:AR1006),$AM$1006:$BM$1006,0))&gt;=100000), " ",IF(INDEX($AM$2:$BM$1001,MATCH(ROWS($AF$2:AF726),$AF$2:$AF$1001,0),MATCH(COLUMNS($AM$1006:AR1006),$AM$1006:$BM$1006,0)), HYPERLINK("#",""), HYPERLINK(CONCATENATE("#metadata!", ADDRESS(INDEX($AH$2:$AH$1001,MATCH(ROWS($AF$2:AF726),$AF$2:$AF$1001,0),0), INDEX($AM$1004:$BM$1004,1,MATCH(COLUMNS($AM$1006:AR1006),$AM$1006:$BM$1006,0)))),"Fix")))</f>
        <v xml:space="preserve"> </v>
      </c>
      <c r="H726" s="4" t="str">
        <f ca="1">IF(OR(INDEX($AG$2:$AG$1001,MATCH(ROWS($AF$2:AF726),$AF$2:$AF$1001,0),1)&gt;=100000,INDEX($AM$1005:$BM$1005,1,MATCH(COLUMNS($AM$1006:AS1006),$AM$1006:$BM$1006,0))&gt;=100000), " ",IF(INDEX($AM$2:$BM$1001,MATCH(ROWS($AF$2:AF726),$AF$2:$AF$1001,0),MATCH(COLUMNS($AM$1006:AS1006),$AM$1006:$BM$1006,0)), HYPERLINK("#",""), HYPERLINK(CONCATENATE("#metadata!", ADDRESS(INDEX($AH$2:$AH$1001,MATCH(ROWS($AF$2:AF726),$AF$2:$AF$1001,0),0), INDEX($AM$1004:$BM$1004,1,MATCH(COLUMNS($AM$1006:AS1006),$AM$1006:$BM$1006,0)))),"Fix")))</f>
        <v xml:space="preserve"> </v>
      </c>
      <c r="I726" s="4" t="str">
        <f ca="1">IF(OR(INDEX($AG$2:$AG$1001,MATCH(ROWS($AF$2:AF726),$AF$2:$AF$1001,0),1)&gt;=100000,INDEX($AM$1005:$BM$1005,1,MATCH(COLUMNS($AM$1006:AT1006),$AM$1006:$BM$1006,0))&gt;=100000), " ",IF(INDEX($AM$2:$BM$1001,MATCH(ROWS($AF$2:AF726),$AF$2:$AF$1001,0),MATCH(COLUMNS($AM$1006:AT1006),$AM$1006:$BM$1006,0)), HYPERLINK("#",""), HYPERLINK(CONCATENATE("#metadata!", ADDRESS(INDEX($AH$2:$AH$1001,MATCH(ROWS($AF$2:AF726),$AF$2:$AF$1001,0),0), INDEX($AM$1004:$BM$1004,1,MATCH(COLUMNS($AM$1006:AT1006),$AM$1006:$BM$1006,0)))),"Fix")))</f>
        <v xml:space="preserve"> </v>
      </c>
      <c r="J726" s="4" t="str">
        <f ca="1">IF(OR(INDEX($AG$2:$AG$1001,MATCH(ROWS($AF$2:AF726),$AF$2:$AF$1001,0),1)&gt;=100000,INDEX($AM$1005:$BM$1005,1,MATCH(COLUMNS($AM$1006:AU1006),$AM$1006:$BM$1006,0))&gt;=100000), " ",IF(INDEX($AM$2:$BM$1001,MATCH(ROWS($AF$2:AF726),$AF$2:$AF$1001,0),MATCH(COLUMNS($AM$1006:AU1006),$AM$1006:$BM$1006,0)), HYPERLINK("#",""), HYPERLINK(CONCATENATE("#metadata!", ADDRESS(INDEX($AH$2:$AH$1001,MATCH(ROWS($AF$2:AF726),$AF$2:$AF$1001,0),0), INDEX($AM$1004:$BM$1004,1,MATCH(COLUMNS($AM$1006:AU1006),$AM$1006:$BM$1006,0)))),"Fix")))</f>
        <v xml:space="preserve"> </v>
      </c>
      <c r="K726" s="4" t="str">
        <f ca="1">IF(OR(INDEX($AG$2:$AG$1001,MATCH(ROWS($AF$2:AF726),$AF$2:$AF$1001,0),1)&gt;=100000,INDEX($AM$1005:$BM$1005,1,MATCH(COLUMNS($AM$1006:AV1006),$AM$1006:$BM$1006,0))&gt;=100000), " ",IF(INDEX($AM$2:$BM$1001,MATCH(ROWS($AF$2:AF726),$AF$2:$AF$1001,0),MATCH(COLUMNS($AM$1006:AV1006),$AM$1006:$BM$1006,0)), HYPERLINK("#",""), HYPERLINK(CONCATENATE("#metadata!", ADDRESS(INDEX($AH$2:$AH$1001,MATCH(ROWS($AF$2:AF726),$AF$2:$AF$1001,0),0), INDEX($AM$1004:$BM$1004,1,MATCH(COLUMNS($AM$1006:AV1006),$AM$1006:$BM$1006,0)))),"Fix")))</f>
        <v xml:space="preserve"> </v>
      </c>
      <c r="L726" s="4" t="str">
        <f ca="1">IF(OR(INDEX($AG$2:$AG$1001,MATCH(ROWS($AF$2:AF726),$AF$2:$AF$1001,0),1)&gt;=100000,INDEX($AM$1005:$BM$1005,1,MATCH(COLUMNS($AM$1006:AW1006),$AM$1006:$BM$1006,0))&gt;=100000), " ",IF(INDEX($AM$2:$BM$1001,MATCH(ROWS($AF$2:AF726),$AF$2:$AF$1001,0),MATCH(COLUMNS($AM$1006:AW1006),$AM$1006:$BM$1006,0)), HYPERLINK("#",""), HYPERLINK(CONCATENATE("#metadata!", ADDRESS(INDEX($AH$2:$AH$1001,MATCH(ROWS($AF$2:AF726),$AF$2:$AF$1001,0),0), INDEX($AM$1004:$BM$1004,1,MATCH(COLUMNS($AM$1006:AW1006),$AM$1006:$BM$1006,0)))),"Fix")))</f>
        <v xml:space="preserve"> </v>
      </c>
      <c r="M726" s="4" t="str">
        <f ca="1">IF(OR(INDEX($AG$2:$AG$1001,MATCH(ROWS($AF$2:AF726),$AF$2:$AF$1001,0),1)&gt;=100000,INDEX($AM$1005:$BM$1005,1,MATCH(COLUMNS($AM$1006:AX1006),$AM$1006:$BM$1006,0))&gt;=100000), " ",IF(INDEX($AM$2:$BM$1001,MATCH(ROWS($AF$2:AF726),$AF$2:$AF$1001,0),MATCH(COLUMNS($AM$1006:AX1006),$AM$1006:$BM$1006,0)), HYPERLINK("#",""), HYPERLINK(CONCATENATE("#metadata!", ADDRESS(INDEX($AH$2:$AH$1001,MATCH(ROWS($AF$2:AF726),$AF$2:$AF$1001,0),0), INDEX($AM$1004:$BM$1004,1,MATCH(COLUMNS($AM$1006:AX1006),$AM$1006:$BM$1006,0)))),"Fix")))</f>
        <v xml:space="preserve"> </v>
      </c>
      <c r="N726" s="4" t="str">
        <f ca="1">IF(OR(INDEX($AG$2:$AG$1001,MATCH(ROWS($AF$2:AF726),$AF$2:$AF$1001,0),1)&gt;=100000,INDEX($AM$1005:$BM$1005,1,MATCH(COLUMNS($AM$1006:AY1006),$AM$1006:$BM$1006,0))&gt;=100000), " ",IF(INDEX($AM$2:$BM$1001,MATCH(ROWS($AF$2:AF726),$AF$2:$AF$1001,0),MATCH(COLUMNS($AM$1006:AY1006),$AM$1006:$BM$1006,0)), HYPERLINK("#",""), HYPERLINK(CONCATENATE("#metadata!", ADDRESS(INDEX($AH$2:$AH$1001,MATCH(ROWS($AF$2:AF726),$AF$2:$AF$1001,0),0), INDEX($AM$1004:$BM$1004,1,MATCH(COLUMNS($AM$1006:AY1006),$AM$1006:$BM$1006,0)))),"Fix")))</f>
        <v xml:space="preserve"> </v>
      </c>
      <c r="O726" s="4" t="str">
        <f ca="1">IF(OR(INDEX($AG$2:$AG$1001,MATCH(ROWS($AF$2:AF726),$AF$2:$AF$1001,0),1)&gt;=100000,INDEX($AM$1005:$BM$1005,1,MATCH(COLUMNS($AM$1006:AZ1006),$AM$1006:$BM$1006,0))&gt;=100000), " ",IF(INDEX($AM$2:$BM$1001,MATCH(ROWS($AF$2:AF726),$AF$2:$AF$1001,0),MATCH(COLUMNS($AM$1006:AZ1006),$AM$1006:$BM$1006,0)), HYPERLINK("#",""), HYPERLINK(CONCATENATE("#metadata!", ADDRESS(INDEX($AH$2:$AH$1001,MATCH(ROWS($AF$2:AF726),$AF$2:$AF$1001,0),0), INDEX($AM$1004:$BM$1004,1,MATCH(COLUMNS($AM$1006:AZ1006),$AM$1006:$BM$1006,0)))),"Fix")))</f>
        <v xml:space="preserve"> </v>
      </c>
      <c r="P726" s="4" t="str">
        <f ca="1">IF(OR(INDEX($AG$2:$AG$1001,MATCH(ROWS($AF$2:AF726),$AF$2:$AF$1001,0),1)&gt;=100000,INDEX($AM$1005:$BM$1005,1,MATCH(COLUMNS($AM$1006:BA1006),$AM$1006:$BM$1006,0))&gt;=100000), " ",IF(INDEX($AM$2:$BM$1001,MATCH(ROWS($AF$2:AF726),$AF$2:$AF$1001,0),MATCH(COLUMNS($AM$1006:BA1006),$AM$1006:$BM$1006,0)), HYPERLINK("#",""), HYPERLINK(CONCATENATE("#metadata!", ADDRESS(INDEX($AH$2:$AH$1001,MATCH(ROWS($AF$2:AF726),$AF$2:$AF$1001,0),0), INDEX($AM$1004:$BM$1004,1,MATCH(COLUMNS($AM$1006:BA1006),$AM$1006:$BM$1006,0)))),"Fix")))</f>
        <v xml:space="preserve"> </v>
      </c>
      <c r="Q726" s="4" t="str">
        <f ca="1">IF(OR(INDEX($AG$2:$AG$1001,MATCH(ROWS($AF$2:AF726),$AF$2:$AF$1001,0),1)&gt;=100000,INDEX($AM$1005:$BM$1005,1,MATCH(COLUMNS($AM$1006:BB1006),$AM$1006:$BM$1006,0))&gt;=100000), " ",IF(INDEX($AM$2:$BM$1001,MATCH(ROWS($AF$2:AF726),$AF$2:$AF$1001,0),MATCH(COLUMNS($AM$1006:BB1006),$AM$1006:$BM$1006,0)), HYPERLINK("#",""), HYPERLINK(CONCATENATE("#metadata!", ADDRESS(INDEX($AH$2:$AH$1001,MATCH(ROWS($AF$2:AF726),$AF$2:$AF$1001,0),0), INDEX($AM$1004:$BM$1004,1,MATCH(COLUMNS($AM$1006:BB1006),$AM$1006:$BM$1006,0)))),"Fix")))</f>
        <v xml:space="preserve"> </v>
      </c>
      <c r="R726" s="4" t="str">
        <f ca="1">IF(OR(INDEX($AG$2:$AG$1001,MATCH(ROWS($AF$2:AF726),$AF$2:$AF$1001,0),1)&gt;=100000,INDEX($AM$1005:$BM$1005,1,MATCH(COLUMNS($AM$1006:BC1006),$AM$1006:$BM$1006,0))&gt;=100000), " ",IF(INDEX($AM$2:$BM$1001,MATCH(ROWS($AF$2:AF726),$AF$2:$AF$1001,0),MATCH(COLUMNS($AM$1006:BC1006),$AM$1006:$BM$1006,0)), HYPERLINK("#",""), HYPERLINK(CONCATENATE("#metadata!", ADDRESS(INDEX($AH$2:$AH$1001,MATCH(ROWS($AF$2:AF726),$AF$2:$AF$1001,0),0), INDEX($AM$1004:$BM$1004,1,MATCH(COLUMNS($AM$1006:BC1006),$AM$1006:$BM$1006,0)))),"Fix")))</f>
        <v xml:space="preserve"> </v>
      </c>
      <c r="S726" s="4" t="str">
        <f ca="1">IF(OR(INDEX($AG$2:$AG$1001,MATCH(ROWS($AF$2:AF726),$AF$2:$AF$1001,0),1)&gt;=100000,INDEX($AM$1005:$BM$1005,1,MATCH(COLUMNS($AM$1006:BD1006),$AM$1006:$BM$1006,0))&gt;=100000), " ",IF(INDEX($AM$2:$BM$1001,MATCH(ROWS($AF$2:AF726),$AF$2:$AF$1001,0),MATCH(COLUMNS($AM$1006:BD1006),$AM$1006:$BM$1006,0)), HYPERLINK("#",""), HYPERLINK(CONCATENATE("#metadata!", ADDRESS(INDEX($AH$2:$AH$1001,MATCH(ROWS($AF$2:AF726),$AF$2:$AF$1001,0),0), INDEX($AM$1004:$BM$1004,1,MATCH(COLUMNS($AM$1006:BD1006),$AM$1006:$BM$1006,0)))),"Fix")))</f>
        <v xml:space="preserve"> </v>
      </c>
      <c r="T726" s="4" t="str">
        <f ca="1">IF(OR(INDEX($AG$2:$AG$1001,MATCH(ROWS($AF$2:AF726),$AF$2:$AF$1001,0),1)&gt;=100000,INDEX($AM$1005:$BM$1005,1,MATCH(COLUMNS($AM$1006:BE1006),$AM$1006:$BM$1006,0))&gt;=100000), " ",IF(INDEX($AM$2:$BM$1001,MATCH(ROWS($AF$2:AF726),$AF$2:$AF$1001,0),MATCH(COLUMNS($AM$1006:BE1006),$AM$1006:$BM$1006,0)), HYPERLINK("#",""), HYPERLINK(CONCATENATE("#metadata!", ADDRESS(INDEX($AH$2:$AH$1001,MATCH(ROWS($AF$2:AF726),$AF$2:$AF$1001,0),0), INDEX($AM$1004:$BM$1004,1,MATCH(COLUMNS($AM$1006:BE1006),$AM$1006:$BM$1006,0)))),"Fix")))</f>
        <v xml:space="preserve"> </v>
      </c>
      <c r="U726" s="4" t="str">
        <f ca="1">IF(OR(INDEX($AG$2:$AG$1001,MATCH(ROWS($AF$2:AF726),$AF$2:$AF$1001,0),1)&gt;=100000,INDEX($AM$1005:$BM$1005,1,MATCH(COLUMNS($AM$1006:BF1006),$AM$1006:$BM$1006,0))&gt;=100000), " ",IF(INDEX($AM$2:$BM$1001,MATCH(ROWS($AF$2:AF726),$AF$2:$AF$1001,0),MATCH(COLUMNS($AM$1006:BF1006),$AM$1006:$BM$1006,0)), HYPERLINK("#",""), HYPERLINK(CONCATENATE("#metadata!", ADDRESS(INDEX($AH$2:$AH$1001,MATCH(ROWS($AF$2:AF726),$AF$2:$AF$1001,0),0), INDEX($AM$1004:$BM$1004,1,MATCH(COLUMNS($AM$1006:BF1006),$AM$1006:$BM$1006,0)))),"Fix")))</f>
        <v xml:space="preserve"> </v>
      </c>
      <c r="V726" s="4" t="str">
        <f ca="1">IF(OR(INDEX($AG$2:$AG$1001,MATCH(ROWS($AF$2:AF726),$AF$2:$AF$1001,0),1)&gt;=100000,INDEX($AM$1005:$BM$1005,1,MATCH(COLUMNS($AM$1006:BG1006),$AM$1006:$BM$1006,0))&gt;=100000), " ",IF(INDEX($AM$2:$BM$1001,MATCH(ROWS($AF$2:AF726),$AF$2:$AF$1001,0),MATCH(COLUMNS($AM$1006:BG1006),$AM$1006:$BM$1006,0)), HYPERLINK("#",""), HYPERLINK(CONCATENATE("#metadata!", ADDRESS(INDEX($AH$2:$AH$1001,MATCH(ROWS($AF$2:AF726),$AF$2:$AF$1001,0),0), INDEX($AM$1004:$BM$1004,1,MATCH(COLUMNS($AM$1006:BG1006),$AM$1006:$BM$1006,0)))),"Fix")))</f>
        <v xml:space="preserve"> </v>
      </c>
      <c r="W726" s="4" t="str">
        <f ca="1">IF(OR(INDEX($AG$2:$AG$1001,MATCH(ROWS($AF$2:AF726),$AF$2:$AF$1001,0),1)&gt;=100000,INDEX($AM$1005:$BM$1005,1,MATCH(COLUMNS($AM$1006:BH1006),$AM$1006:$BM$1006,0))&gt;=100000), " ",IF(INDEX($AM$2:$BM$1001,MATCH(ROWS($AF$2:AF726),$AF$2:$AF$1001,0),MATCH(COLUMNS($AM$1006:BH1006),$AM$1006:$BM$1006,0)), HYPERLINK("#",""), HYPERLINK(CONCATENATE("#metadata!", ADDRESS(INDEX($AH$2:$AH$1001,MATCH(ROWS($AF$2:AF726),$AF$2:$AF$1001,0),0), INDEX($AM$1004:$BM$1004,1,MATCH(COLUMNS($AM$1006:BH1006),$AM$1006:$BM$1006,0)))),"Fix")))</f>
        <v xml:space="preserve"> </v>
      </c>
      <c r="X726" s="4" t="str">
        <f ca="1">IF(OR(INDEX($AG$2:$AG$1001,MATCH(ROWS($AF$2:AF726),$AF$2:$AF$1001,0),1)&gt;=100000,INDEX($AM$1005:$BM$1005,1,MATCH(COLUMNS($AM$1006:BI1006),$AM$1006:$BM$1006,0))&gt;=100000), " ",IF(INDEX($AM$2:$BM$1001,MATCH(ROWS($AF$2:AF726),$AF$2:$AF$1001,0),MATCH(COLUMNS($AM$1006:BI1006),$AM$1006:$BM$1006,0)), HYPERLINK("#",""), HYPERLINK(CONCATENATE("#metadata!", ADDRESS(INDEX($AH$2:$AH$1001,MATCH(ROWS($AF$2:AF726),$AF$2:$AF$1001,0),0), INDEX($AM$1004:$BM$1004,1,MATCH(COLUMNS($AM$1006:BI1006),$AM$1006:$BM$1006,0)))),"Fix")))</f>
        <v xml:space="preserve"> </v>
      </c>
      <c r="Y726" s="4" t="str">
        <f ca="1">IF(OR(INDEX($AG$2:$AG$1001,MATCH(ROWS($AF$2:AF726),$AF$2:$AF$1001,0),1)&gt;=100000,INDEX($AM$1005:$BM$1005,1,MATCH(COLUMNS($AM$1006:BJ1006),$AM$1006:$BM$1006,0))&gt;=100000), " ",IF(INDEX($AM$2:$BM$1001,MATCH(ROWS($AF$2:AF726),$AF$2:$AF$1001,0),MATCH(COLUMNS($AM$1006:BJ1006),$AM$1006:$BM$1006,0)), HYPERLINK("#",""), HYPERLINK(CONCATENATE("#metadata!", ADDRESS(INDEX($AH$2:$AH$1001,MATCH(ROWS($AF$2:AF726),$AF$2:$AF$1001,0),0), INDEX($AM$1004:$BM$1004,1,MATCH(COLUMNS($AM$1006:BJ1006),$AM$1006:$BM$1006,0)))),"Fix")))</f>
        <v xml:space="preserve"> </v>
      </c>
      <c r="Z726" s="4" t="str">
        <f ca="1">IF(OR(INDEX($AG$2:$AG$1001,MATCH(ROWS($AF$2:AF726),$AF$2:$AF$1001,0),1)&gt;=100000,INDEX($AM$1005:$BM$1005,1,MATCH(COLUMNS($AM$1006:BK1006),$AM$1006:$BM$1006,0))&gt;=100000), " ",IF(INDEX($AM$2:$BM$1001,MATCH(ROWS($AF$2:AF726),$AF$2:$AF$1001,0),MATCH(COLUMNS($AM$1006:BK1006),$AM$1006:$BM$1006,0)), HYPERLINK("#",""), HYPERLINK(CONCATENATE("#metadata!", ADDRESS(INDEX($AH$2:$AH$1001,MATCH(ROWS($AF$2:AF726),$AF$2:$AF$1001,0),0), INDEX($AM$1004:$BM$1004,1,MATCH(COLUMNS($AM$1006:BK1006),$AM$1006:$BM$1006,0)))),"Fix")))</f>
        <v xml:space="preserve"> </v>
      </c>
      <c r="AA726" s="4" t="str">
        <f ca="1">IF(OR(INDEX($AG$2:$AG$1001,MATCH(ROWS($AF$2:AF726),$AF$2:$AF$1001,0),1)&gt;=100000,INDEX($AM$1005:$BM$1005,1,MATCH(COLUMNS($AM$1006:BL1006),$AM$1006:$BM$1006,0))&gt;=100000), " ",IF(INDEX($AM$2:$BM$1001,MATCH(ROWS($AF$2:AF726),$AF$2:$AF$1001,0),MATCH(COLUMNS($AM$1006:BL1006),$AM$1006:$BM$1006,0)), HYPERLINK("#",""), HYPERLINK(CONCATENATE("#metadata!", ADDRESS(INDEX($AH$2:$AH$1001,MATCH(ROWS($AF$2:AF726),$AF$2:$AF$1001,0),0), INDEX($AM$1004:$BM$1004,1,MATCH(COLUMNS($AM$1006:BL1006),$AM$1006:$BM$1006,0)))),"Fix")))</f>
        <v xml:space="preserve"> </v>
      </c>
      <c r="AB726" s="4" t="str">
        <f ca="1">IF(OR(INDEX($AG$2:$AG$1001,MATCH(ROWS($AF$2:AF726),$AF$2:$AF$1001,0),1)&gt;=100000,INDEX($AM$1005:$BM$1005,1,MATCH(COLUMNS($AM$1006:BM1006),$AM$1006:$BM$1006,0))&gt;=100000), " ",IF(INDEX($AM$2:$BM$1001,MATCH(ROWS($AF$2:AF726),$AF$2:$AF$1001,0),MATCH(COLUMNS($AM$1006:BM1006),$AM$1006:$BM$1006,0)), HYPERLINK("#",""), HYPERLINK(CONCATENATE("#metadata!", ADDRESS(INDEX($AH$2:$AH$1001,MATCH(ROWS($AF$2:AF726),$AF$2:$AF$1001,0),0), INDEX($AM$1004:$BM$1004,1,MATCH(COLUMNS($AM$1006:BM1006),$AM$1006:$BM$1006,0)))),"Fix")))</f>
        <v xml:space="preserve"> </v>
      </c>
      <c r="AF726">
        <v>725</v>
      </c>
      <c r="AG726">
        <v>100726</v>
      </c>
      <c r="AH726">
        <v>726</v>
      </c>
      <c r="AI726" t="b">
        <f t="shared" si="11"/>
        <v>1</v>
      </c>
      <c r="AJ726" t="b">
        <f>COUNTBLANK(metadata!B726:AB726)=COLUMNS(metadata!B726:AB726)</f>
        <v>1</v>
      </c>
      <c r="AK726" t="str">
        <v/>
      </c>
      <c r="AM726" t="b">
        <f ca="1">AND(IF(metadata!B726="",FALSE,TRUE),COUNTIF(metadata!B:B, metadata!B726) = 1,NOT(ISERROR(SUMPRODUCT(SEARCH(MID(metadata!B726,ROW(INDIRECT("1:"&amp;LEN(metadata!B726))), 1),"0123456789abcdefghijklmnopqrstuvwxyzABCDEFGHIJKLMNOPQRSTUVWXYZ.")))))</f>
        <v>0</v>
      </c>
      <c r="AN726" t="b">
        <f ca="1">OR(AND(IF(metadata!C726="",FALSE,TRUE),OR(EXACT(metadata!C726,"missing: not collected"),EXACT(metadata!C726,"missing: not provided"),EXACT(metadata!C726,"missing: restricted access"))),AND(IF(metadata!C726="",FALSE,TRUE),AND(AND(IFERROR(INT(LEFT(metadata!C726,4))&gt;1900,FALSE),IFERROR(INT(LEFT(metadata!C726,4))&lt;=YEAR(NOW()),FALSE)), OR(MID(metadata!C726,5,1)="", AND(AND(MID(metadata!C726,5,1)="-",IFERROR(INT(MID(metadata!C726,6,1))&gt;=0,FALSE),IFERROR(INT(MID(metadata!C726,6,1))&lt;=1,FALSE),NOT(MID(metadata!C726,7,1)=""),IFERROR(INT(MID(metadata!C726,6,2))&gt;=1,FALSE),IFERROR(INT(MID(metadata!C726,6,2))&lt;=12,FALSE)), OR(MID(metadata!C726,8,1)="", AND(AND(MID(metadata!C726,8,1)="-",IFERROR(INT(MID(metadata!C726,9,1))&gt;=0,FALSE),IFERROR(INT(MID(metadata!C726,9,1))&lt;=3,FALSE),NOT(MID(metadata!C726,10,1)=""),IFERROR(INT(MID(metadata!C726,9,2))&gt;=1,FALSE),IFERROR(INT(MID(metadata!C726,9,2))&lt;=31,FALSE)), OR(MID(metadata!C726,11,1)="", AND(AND(MID(metadata!C726,11,1)=" ",IFERROR(INT(MID(metadata!C726,12,1))&gt;=0,FALSE),IFERROR(INT(MID(metadata!C726,12,1))&lt;=2,FALSE),NOT(MID(metadata!C726,13,1)=""),IFERROR(INT(MID(metadata!C726,12,2))&gt;=0,FALSE),IFERROR(INT(MID(metadata!C726,12,2))&lt;=23,FALSE)), OR(MID(metadata!C726,14,1)="", AND(AND(MID(metadata!C726,14,1)=":",IFERROR(INT(MID(metadata!C726,15,1))&gt;=0,FALSE),IFERROR(INT(MID(metadata!C726,15,1))&lt;=5,FALSE),NOT(MID(metadata!C726,16,1)=""),IFERROR(INT(MID(metadata!C726,15,2))&gt;=0,FALSE),IFERROR(INT(MID(metadata!C726,15,2))&lt;=59,FALSE)), OR(MID(metadata!C726,17,1)="", AND(AND(MID(metadata!C726,17,1)=":",IFERROR(INT(MID(metadata!C726,18,1))&gt;=0,FALSE),IFERROR(INT(MID(metadata!C726,18,1))&lt;=5,FALSE),NOT(MID(metadata!C726,19,1)=""),IFERROR(INT(MID(metadata!C726,18,2))&gt;=0,FALSE),IFERROR(INT(MID(metadata!C726,18,2))&lt;=59,FALSE)), LEN(metadata!C726)&lt;=19)))))))))))))</f>
        <v>0</v>
      </c>
      <c r="AO726" t="b">
        <f>AND(IF(metadata!D726="",FALSE,TRUE),EXACT(metadata!D726,"Not applicable"))</f>
        <v>0</v>
      </c>
      <c r="AP726" t="b">
        <f>IF(metadata!E726="",FALSE,TRUE)</f>
        <v>0</v>
      </c>
      <c r="AQ726" t="b">
        <f>OR(AND(IF(metadata!F726="",FALSE,TRUE),OR(EXACT(metadata!F726,"missing: not collected"),EXACT(metadata!F726,"missing: not provided"))),AND(IF(metadata!F726="",FALSE,TRUE),OR(EXACT(metadata!F726,"TRUE"),EXACT(metadata!F726,"FALSE"))))</f>
        <v>0</v>
      </c>
      <c r="AR726" t="b">
        <f>OR(AND(IF(metadata!G726="",FALSE,TRUE),OR(EXACT(metadata!G726,"missing: not collected"),EXACT(metadata!G726,"missing: not provided"),EXACT(metadata!G726,"missing: restricted access"))),AND(IF(metadata!G726="",FALSE,ISNUMBER(VALUE(metadata!G726))),metadata!G726&gt;=-413))</f>
        <v>0</v>
      </c>
      <c r="AS726" t="b">
        <f>AND(IF(metadata!H726="",FALSE,TRUE),EXACT(metadata!H726,"meters"))</f>
        <v>0</v>
      </c>
      <c r="AT726" t="b">
        <f>AND(IF(metadata!I726="",FALSE,TRUE),OR(EXACT(metadata!I726,"Host-associated"),EXACT(metadata!I726,"Free-living")))</f>
        <v>0</v>
      </c>
      <c r="AU726" t="b">
        <f>AND(IF(metadata!J726="",FALSE,TRUE),OR(EXACT(metadata!J726,"Animal"),EXACT(metadata!J726,"Fungus"),EXACT(metadata!J726,"Plant"),EXACT(metadata!J726,"Saline"),EXACT(metadata!J726,"Non-saline")))</f>
        <v>0</v>
      </c>
      <c r="AV726" t="b">
        <f>AND(IF(metadata!K726="",FALSE,TRUE),OR(EXACT(metadata!K726,"Plant secretion"),EXACT(metadata!K726,"Plant rhizosphere"),EXACT(metadata!K726,"Plant surface"),EXACT(metadata!K726,"Plant corpus"),EXACT(metadata!K726,"Fungus surface"),EXACT(metadata!K726,"Fungus corpus"),EXACT(metadata!K726,"Animal surface"),EXACT(metadata!K726,"Animal proximal gut"),EXACT(metadata!K726,"Animal corpus"),EXACT(metadata!K726,"Animal distal gut"),EXACT(metadata!K726,"Animal secretion"),EXACT(metadata!K726,"Sub-surface (non-saline)"),EXACT(metadata!K726,"Surface (non-saline)"),EXACT(metadata!K726,"Water (non-saline)"),EXACT(metadata!K726,"Soil (non-saline)"),EXACT(metadata!K726,"Aerosol (non-saline)"),EXACT(metadata!K726,"Sediment (non-saline)"),EXACT(metadata!K726,"Surface (saline)"),EXACT(metadata!K726,"Water (saline)"),EXACT(metadata!K726,"Hypersaline (saline)"),EXACT(metadata!K726,"Aerosol (saline)"),EXACT(metadata!K726,"Sediment (saline)")))</f>
        <v>0</v>
      </c>
      <c r="AW726" t="b">
        <f>IF(metadata!L726="",FALSE,TRUE)</f>
        <v>0</v>
      </c>
      <c r="AX726" t="b">
        <f>IF(metadata!M726="",FALSE,TRUE)</f>
        <v>0</v>
      </c>
      <c r="AY726" t="b">
        <f>IF(metadata!N726="",FALSE,TRUE)</f>
        <v>0</v>
      </c>
      <c r="AZ726" t="b">
        <f>OR(AND(IF(metadata!O726="",FALSE,TRUE),OR(EXACT(metadata!O726,"missing: not collected"),EXACT(metadata!O726,"missing: not provided"),EXACT(metadata!O726,"missing: restricted access"))),AND(IF(metadata!O726="",FALSE,TRUE),OR(EXACT(metadata!O726,"air"),EXACT(metadata!O726,"built environment"),EXACT(metadata!O726,"host-associated"),EXACT(metadata!O726,"human-associated"),EXACT(metadata!O726,"human-skin"),EXACT(metadata!O726,"human-oral"),EXACT(metadata!O726,"human-gut"),EXACT(metadata!O726,"human-vaginal"),EXACT(metadata!O726,"microbial mat/biofilm"),EXACT(metadata!O726,"misc environment"),EXACT(metadata!O726,"plant-associated"),EXACT(metadata!O726,"sediment"),EXACT(metadata!O726,"soil"),EXACT(metadata!O726,"wastewater/sludge"),EXACT(metadata!O726,"water"))))</f>
        <v>0</v>
      </c>
      <c r="BA726" t="b">
        <f>IF(metadata!P726="",FALSE,TRUE)</f>
        <v>0</v>
      </c>
      <c r="BB726" t="b">
        <f>IF(metadata!Q726="",FALSE,TRUE)</f>
        <v>0</v>
      </c>
      <c r="BC726" t="b">
        <f>OR(AND(IF(metadata!R726="",FALSE,TRUE),OR(EXACT(metadata!R726,"missing: not collected"),EXACT(metadata!R726,"missing: not provided"),EXACT(metadata!R726,"missing: restricted access"))),AND(IF(metadata!R726="",FALSE,ISNUMBER(VALUE(metadata!R726))),metadata!R726&gt;=-90,metadata!R726&lt;=90))</f>
        <v>0</v>
      </c>
      <c r="BD726" t="b">
        <f>AND(IF(metadata!S726="",FALSE,TRUE),EXACT(metadata!S726,"Decimal degrees"))</f>
        <v>0</v>
      </c>
      <c r="BE726" t="b">
        <f>OR(AND(IF(metadata!T726="",FALSE,TRUE),OR(EXACT(metadata!T726,"missing: not collected"),EXACT(metadata!T726,"missing: not provided"),EXACT(metadata!T726,"missing: restricted access"))),AND(IF(metadata!T726="",FALSE,ISNUMBER(VALUE(metadata!T726))),metadata!T726&gt;=-180,metadata!T726&lt;=180))</f>
        <v>0</v>
      </c>
      <c r="BF726" t="b">
        <f>AND(IF(metadata!U726="",FALSE,TRUE),EXACT(metadata!U726,"Decimal degrees"))</f>
        <v>0</v>
      </c>
      <c r="BG726" t="b">
        <f>IF(metadata!V726="",FALSE,TRUE)</f>
        <v>0</v>
      </c>
      <c r="BH726" t="b">
        <f>OR(AND(IF(metadata!W726="",FALSE,TRUE),OR(EXACT(metadata!W726,"missing: not collected"),EXACT(metadata!W726,"missing: not provided"),EXACT(metadata!W726,"missing: restricted access"))),AND(IF(metadata!W726="",FALSE,TRUE),OR(EXACT(metadata!W726,"TRUE"),EXACT(metadata!W726,"FALSE"))))</f>
        <v>0</v>
      </c>
      <c r="BI726" t="b">
        <f>AND(IF(metadata!X726="",FALSE,TRUE),EXACT(metadata!X726,"other"))</f>
        <v>0</v>
      </c>
      <c r="BJ726" t="b">
        <f>IF(metadata!Y726="",FALSE,TRUE)</f>
        <v>0</v>
      </c>
      <c r="BK726" t="b">
        <f>OR(AND(IF(metadata!Z726="",FALSE,TRUE),OR(EXACT(metadata!Z726,"missing: not collected"),EXACT(metadata!Z726,"missing: not provided"))),AND(IF(metadata!Z726="",FALSE,IF(ISERROR(INT(metadata!Z726)),FALSE,INT(metadata!Z726)=metadata!Z726)),metadata!Z726&gt;0))</f>
        <v>0</v>
      </c>
      <c r="BL726" t="b">
        <f>AND(IF(metadata!AA726="",FALSE,TRUE),EXACT(metadata!AA726,"Not applicable"))</f>
        <v>0</v>
      </c>
      <c r="BM726" t="b">
        <f>IF(metadata!AB726="",FALSE,TRUE)</f>
        <v>0</v>
      </c>
    </row>
    <row r="727" spans="1:65" x14ac:dyDescent="0.2">
      <c r="A727" s="5" t="str">
        <f ca="1">IF(B727=" "," ",HYPERLINK(CONCATENATE("#metadata!",ADDRESS(INDEX($AH$2:$AH$1001,MATCH(ROWS($AF$2:AF727),$AF$2:$AF$1001,0),0),1)),INDEX($AK$2:$AK$1001,MATCH(ROWS($AF$2:AF727),$AF$2:$AF$1001,0),0)))</f>
        <v xml:space="preserve"> </v>
      </c>
      <c r="B727" s="4" t="str">
        <f ca="1">IF(OR(INDEX($AG$2:$AG$1001,MATCH(ROWS($AF$2:AF727),$AF$2:$AF$1001,0),1)&gt;=100000,INDEX($AM$1005:$BM$1005,1,MATCH(COLUMNS($AM$1006:AM1006),$AM$1006:$BM$1006,0))&gt;=100000), " ",IF(INDEX($AM$2:$BM$1001,MATCH(ROWS($AF$2:AF727),$AF$2:$AF$1001,0),MATCH(COLUMNS($AM$1006:AM1006),$AM$1006:$BM$1006,0)), HYPERLINK("#",""), HYPERLINK(CONCATENATE("#metadata!", ADDRESS(INDEX($AH$2:$AH$1001,MATCH(ROWS($AF$2:AF727),$AF$2:$AF$1001,0),0), INDEX($AM$1004:$BM$1004,1,MATCH(COLUMNS($AM$1006:AM1006),$AM$1006:$BM$1006,0)))),"Fix")))</f>
        <v xml:space="preserve"> </v>
      </c>
      <c r="C727" s="4" t="str">
        <f ca="1">IF(OR(INDEX($AG$2:$AG$1001,MATCH(ROWS($AF$2:AF727),$AF$2:$AF$1001,0),1)&gt;=100000,INDEX($AM$1005:$BM$1005,1,MATCH(COLUMNS($AM$1006:AN1006),$AM$1006:$BM$1006,0))&gt;=100000), " ",IF(INDEX($AM$2:$BM$1001,MATCH(ROWS($AF$2:AF727),$AF$2:$AF$1001,0),MATCH(COLUMNS($AM$1006:AN1006),$AM$1006:$BM$1006,0)), HYPERLINK("#",""), HYPERLINK(CONCATENATE("#metadata!", ADDRESS(INDEX($AH$2:$AH$1001,MATCH(ROWS($AF$2:AF727),$AF$2:$AF$1001,0),0), INDEX($AM$1004:$BM$1004,1,MATCH(COLUMNS($AM$1006:AN1006),$AM$1006:$BM$1006,0)))),"Fix")))</f>
        <v xml:space="preserve"> </v>
      </c>
      <c r="D727" s="4" t="str">
        <f ca="1">IF(OR(INDEX($AG$2:$AG$1001,MATCH(ROWS($AF$2:AF727),$AF$2:$AF$1001,0),1)&gt;=100000,INDEX($AM$1005:$BM$1005,1,MATCH(COLUMNS($AM$1006:AO1006),$AM$1006:$BM$1006,0))&gt;=100000), " ",IF(INDEX($AM$2:$BM$1001,MATCH(ROWS($AF$2:AF727),$AF$2:$AF$1001,0),MATCH(COLUMNS($AM$1006:AO1006),$AM$1006:$BM$1006,0)), HYPERLINK("#",""), HYPERLINK(CONCATENATE("#metadata!", ADDRESS(INDEX($AH$2:$AH$1001,MATCH(ROWS($AF$2:AF727),$AF$2:$AF$1001,0),0), INDEX($AM$1004:$BM$1004,1,MATCH(COLUMNS($AM$1006:AO1006),$AM$1006:$BM$1006,0)))),"Fix")))</f>
        <v xml:space="preserve"> </v>
      </c>
      <c r="E727" s="4" t="str">
        <f ca="1">IF(OR(INDEX($AG$2:$AG$1001,MATCH(ROWS($AF$2:AF727),$AF$2:$AF$1001,0),1)&gt;=100000,INDEX($AM$1005:$BM$1005,1,MATCH(COLUMNS($AM$1006:AP1006),$AM$1006:$BM$1006,0))&gt;=100000), " ",IF(INDEX($AM$2:$BM$1001,MATCH(ROWS($AF$2:AF727),$AF$2:$AF$1001,0),MATCH(COLUMNS($AM$1006:AP1006),$AM$1006:$BM$1006,0)), HYPERLINK("#",""), HYPERLINK(CONCATENATE("#metadata!", ADDRESS(INDEX($AH$2:$AH$1001,MATCH(ROWS($AF$2:AF727),$AF$2:$AF$1001,0),0), INDEX($AM$1004:$BM$1004,1,MATCH(COLUMNS($AM$1006:AP1006),$AM$1006:$BM$1006,0)))),"Fix")))</f>
        <v xml:space="preserve"> </v>
      </c>
      <c r="F727" s="4" t="str">
        <f ca="1">IF(OR(INDEX($AG$2:$AG$1001,MATCH(ROWS($AF$2:AF727),$AF$2:$AF$1001,0),1)&gt;=100000,INDEX($AM$1005:$BM$1005,1,MATCH(COLUMNS($AM$1006:AQ1006),$AM$1006:$BM$1006,0))&gt;=100000), " ",IF(INDEX($AM$2:$BM$1001,MATCH(ROWS($AF$2:AF727),$AF$2:$AF$1001,0),MATCH(COLUMNS($AM$1006:AQ1006),$AM$1006:$BM$1006,0)), HYPERLINK("#",""), HYPERLINK(CONCATENATE("#metadata!", ADDRESS(INDEX($AH$2:$AH$1001,MATCH(ROWS($AF$2:AF727),$AF$2:$AF$1001,0),0), INDEX($AM$1004:$BM$1004,1,MATCH(COLUMNS($AM$1006:AQ1006),$AM$1006:$BM$1006,0)))),"Fix")))</f>
        <v xml:space="preserve"> </v>
      </c>
      <c r="G727" s="4" t="str">
        <f ca="1">IF(OR(INDEX($AG$2:$AG$1001,MATCH(ROWS($AF$2:AF727),$AF$2:$AF$1001,0),1)&gt;=100000,INDEX($AM$1005:$BM$1005,1,MATCH(COLUMNS($AM$1006:AR1006),$AM$1006:$BM$1006,0))&gt;=100000), " ",IF(INDEX($AM$2:$BM$1001,MATCH(ROWS($AF$2:AF727),$AF$2:$AF$1001,0),MATCH(COLUMNS($AM$1006:AR1006),$AM$1006:$BM$1006,0)), HYPERLINK("#",""), HYPERLINK(CONCATENATE("#metadata!", ADDRESS(INDEX($AH$2:$AH$1001,MATCH(ROWS($AF$2:AF727),$AF$2:$AF$1001,0),0), INDEX($AM$1004:$BM$1004,1,MATCH(COLUMNS($AM$1006:AR1006),$AM$1006:$BM$1006,0)))),"Fix")))</f>
        <v xml:space="preserve"> </v>
      </c>
      <c r="H727" s="4" t="str">
        <f ca="1">IF(OR(INDEX($AG$2:$AG$1001,MATCH(ROWS($AF$2:AF727),$AF$2:$AF$1001,0),1)&gt;=100000,INDEX($AM$1005:$BM$1005,1,MATCH(COLUMNS($AM$1006:AS1006),$AM$1006:$BM$1006,0))&gt;=100000), " ",IF(INDEX($AM$2:$BM$1001,MATCH(ROWS($AF$2:AF727),$AF$2:$AF$1001,0),MATCH(COLUMNS($AM$1006:AS1006),$AM$1006:$BM$1006,0)), HYPERLINK("#",""), HYPERLINK(CONCATENATE("#metadata!", ADDRESS(INDEX($AH$2:$AH$1001,MATCH(ROWS($AF$2:AF727),$AF$2:$AF$1001,0),0), INDEX($AM$1004:$BM$1004,1,MATCH(COLUMNS($AM$1006:AS1006),$AM$1006:$BM$1006,0)))),"Fix")))</f>
        <v xml:space="preserve"> </v>
      </c>
      <c r="I727" s="4" t="str">
        <f ca="1">IF(OR(INDEX($AG$2:$AG$1001,MATCH(ROWS($AF$2:AF727),$AF$2:$AF$1001,0),1)&gt;=100000,INDEX($AM$1005:$BM$1005,1,MATCH(COLUMNS($AM$1006:AT1006),$AM$1006:$BM$1006,0))&gt;=100000), " ",IF(INDEX($AM$2:$BM$1001,MATCH(ROWS($AF$2:AF727),$AF$2:$AF$1001,0),MATCH(COLUMNS($AM$1006:AT1006),$AM$1006:$BM$1006,0)), HYPERLINK("#",""), HYPERLINK(CONCATENATE("#metadata!", ADDRESS(INDEX($AH$2:$AH$1001,MATCH(ROWS($AF$2:AF727),$AF$2:$AF$1001,0),0), INDEX($AM$1004:$BM$1004,1,MATCH(COLUMNS($AM$1006:AT1006),$AM$1006:$BM$1006,0)))),"Fix")))</f>
        <v xml:space="preserve"> </v>
      </c>
      <c r="J727" s="4" t="str">
        <f ca="1">IF(OR(INDEX($AG$2:$AG$1001,MATCH(ROWS($AF$2:AF727),$AF$2:$AF$1001,0),1)&gt;=100000,INDEX($AM$1005:$BM$1005,1,MATCH(COLUMNS($AM$1006:AU1006),$AM$1006:$BM$1006,0))&gt;=100000), " ",IF(INDEX($AM$2:$BM$1001,MATCH(ROWS($AF$2:AF727),$AF$2:$AF$1001,0),MATCH(COLUMNS($AM$1006:AU1006),$AM$1006:$BM$1006,0)), HYPERLINK("#",""), HYPERLINK(CONCATENATE("#metadata!", ADDRESS(INDEX($AH$2:$AH$1001,MATCH(ROWS($AF$2:AF727),$AF$2:$AF$1001,0),0), INDEX($AM$1004:$BM$1004,1,MATCH(COLUMNS($AM$1006:AU1006),$AM$1006:$BM$1006,0)))),"Fix")))</f>
        <v xml:space="preserve"> </v>
      </c>
      <c r="K727" s="4" t="str">
        <f ca="1">IF(OR(INDEX($AG$2:$AG$1001,MATCH(ROWS($AF$2:AF727),$AF$2:$AF$1001,0),1)&gt;=100000,INDEX($AM$1005:$BM$1005,1,MATCH(COLUMNS($AM$1006:AV1006),$AM$1006:$BM$1006,0))&gt;=100000), " ",IF(INDEX($AM$2:$BM$1001,MATCH(ROWS($AF$2:AF727),$AF$2:$AF$1001,0),MATCH(COLUMNS($AM$1006:AV1006),$AM$1006:$BM$1006,0)), HYPERLINK("#",""), HYPERLINK(CONCATENATE("#metadata!", ADDRESS(INDEX($AH$2:$AH$1001,MATCH(ROWS($AF$2:AF727),$AF$2:$AF$1001,0),0), INDEX($AM$1004:$BM$1004,1,MATCH(COLUMNS($AM$1006:AV1006),$AM$1006:$BM$1006,0)))),"Fix")))</f>
        <v xml:space="preserve"> </v>
      </c>
      <c r="L727" s="4" t="str">
        <f ca="1">IF(OR(INDEX($AG$2:$AG$1001,MATCH(ROWS($AF$2:AF727),$AF$2:$AF$1001,0),1)&gt;=100000,INDEX($AM$1005:$BM$1005,1,MATCH(COLUMNS($AM$1006:AW1006),$AM$1006:$BM$1006,0))&gt;=100000), " ",IF(INDEX($AM$2:$BM$1001,MATCH(ROWS($AF$2:AF727),$AF$2:$AF$1001,0),MATCH(COLUMNS($AM$1006:AW1006),$AM$1006:$BM$1006,0)), HYPERLINK("#",""), HYPERLINK(CONCATENATE("#metadata!", ADDRESS(INDEX($AH$2:$AH$1001,MATCH(ROWS($AF$2:AF727),$AF$2:$AF$1001,0),0), INDEX($AM$1004:$BM$1004,1,MATCH(COLUMNS($AM$1006:AW1006),$AM$1006:$BM$1006,0)))),"Fix")))</f>
        <v xml:space="preserve"> </v>
      </c>
      <c r="M727" s="4" t="str">
        <f ca="1">IF(OR(INDEX($AG$2:$AG$1001,MATCH(ROWS($AF$2:AF727),$AF$2:$AF$1001,0),1)&gt;=100000,INDEX($AM$1005:$BM$1005,1,MATCH(COLUMNS($AM$1006:AX1006),$AM$1006:$BM$1006,0))&gt;=100000), " ",IF(INDEX($AM$2:$BM$1001,MATCH(ROWS($AF$2:AF727),$AF$2:$AF$1001,0),MATCH(COLUMNS($AM$1006:AX1006),$AM$1006:$BM$1006,0)), HYPERLINK("#",""), HYPERLINK(CONCATENATE("#metadata!", ADDRESS(INDEX($AH$2:$AH$1001,MATCH(ROWS($AF$2:AF727),$AF$2:$AF$1001,0),0), INDEX($AM$1004:$BM$1004,1,MATCH(COLUMNS($AM$1006:AX1006),$AM$1006:$BM$1006,0)))),"Fix")))</f>
        <v xml:space="preserve"> </v>
      </c>
      <c r="N727" s="4" t="str">
        <f ca="1">IF(OR(INDEX($AG$2:$AG$1001,MATCH(ROWS($AF$2:AF727),$AF$2:$AF$1001,0),1)&gt;=100000,INDEX($AM$1005:$BM$1005,1,MATCH(COLUMNS($AM$1006:AY1006),$AM$1006:$BM$1006,0))&gt;=100000), " ",IF(INDEX($AM$2:$BM$1001,MATCH(ROWS($AF$2:AF727),$AF$2:$AF$1001,0),MATCH(COLUMNS($AM$1006:AY1006),$AM$1006:$BM$1006,0)), HYPERLINK("#",""), HYPERLINK(CONCATENATE("#metadata!", ADDRESS(INDEX($AH$2:$AH$1001,MATCH(ROWS($AF$2:AF727),$AF$2:$AF$1001,0),0), INDEX($AM$1004:$BM$1004,1,MATCH(COLUMNS($AM$1006:AY1006),$AM$1006:$BM$1006,0)))),"Fix")))</f>
        <v xml:space="preserve"> </v>
      </c>
      <c r="O727" s="4" t="str">
        <f ca="1">IF(OR(INDEX($AG$2:$AG$1001,MATCH(ROWS($AF$2:AF727),$AF$2:$AF$1001,0),1)&gt;=100000,INDEX($AM$1005:$BM$1005,1,MATCH(COLUMNS($AM$1006:AZ1006),$AM$1006:$BM$1006,0))&gt;=100000), " ",IF(INDEX($AM$2:$BM$1001,MATCH(ROWS($AF$2:AF727),$AF$2:$AF$1001,0),MATCH(COLUMNS($AM$1006:AZ1006),$AM$1006:$BM$1006,0)), HYPERLINK("#",""), HYPERLINK(CONCATENATE("#metadata!", ADDRESS(INDEX($AH$2:$AH$1001,MATCH(ROWS($AF$2:AF727),$AF$2:$AF$1001,0),0), INDEX($AM$1004:$BM$1004,1,MATCH(COLUMNS($AM$1006:AZ1006),$AM$1006:$BM$1006,0)))),"Fix")))</f>
        <v xml:space="preserve"> </v>
      </c>
      <c r="P727" s="4" t="str">
        <f ca="1">IF(OR(INDEX($AG$2:$AG$1001,MATCH(ROWS($AF$2:AF727),$AF$2:$AF$1001,0),1)&gt;=100000,INDEX($AM$1005:$BM$1005,1,MATCH(COLUMNS($AM$1006:BA1006),$AM$1006:$BM$1006,0))&gt;=100000), " ",IF(INDEX($AM$2:$BM$1001,MATCH(ROWS($AF$2:AF727),$AF$2:$AF$1001,0),MATCH(COLUMNS($AM$1006:BA1006),$AM$1006:$BM$1006,0)), HYPERLINK("#",""), HYPERLINK(CONCATENATE("#metadata!", ADDRESS(INDEX($AH$2:$AH$1001,MATCH(ROWS($AF$2:AF727),$AF$2:$AF$1001,0),0), INDEX($AM$1004:$BM$1004,1,MATCH(COLUMNS($AM$1006:BA1006),$AM$1006:$BM$1006,0)))),"Fix")))</f>
        <v xml:space="preserve"> </v>
      </c>
      <c r="Q727" s="4" t="str">
        <f ca="1">IF(OR(INDEX($AG$2:$AG$1001,MATCH(ROWS($AF$2:AF727),$AF$2:$AF$1001,0),1)&gt;=100000,INDEX($AM$1005:$BM$1005,1,MATCH(COLUMNS($AM$1006:BB1006),$AM$1006:$BM$1006,0))&gt;=100000), " ",IF(INDEX($AM$2:$BM$1001,MATCH(ROWS($AF$2:AF727),$AF$2:$AF$1001,0),MATCH(COLUMNS($AM$1006:BB1006),$AM$1006:$BM$1006,0)), HYPERLINK("#",""), HYPERLINK(CONCATENATE("#metadata!", ADDRESS(INDEX($AH$2:$AH$1001,MATCH(ROWS($AF$2:AF727),$AF$2:$AF$1001,0),0), INDEX($AM$1004:$BM$1004,1,MATCH(COLUMNS($AM$1006:BB1006),$AM$1006:$BM$1006,0)))),"Fix")))</f>
        <v xml:space="preserve"> </v>
      </c>
      <c r="R727" s="4" t="str">
        <f ca="1">IF(OR(INDEX($AG$2:$AG$1001,MATCH(ROWS($AF$2:AF727),$AF$2:$AF$1001,0),1)&gt;=100000,INDEX($AM$1005:$BM$1005,1,MATCH(COLUMNS($AM$1006:BC1006),$AM$1006:$BM$1006,0))&gt;=100000), " ",IF(INDEX($AM$2:$BM$1001,MATCH(ROWS($AF$2:AF727),$AF$2:$AF$1001,0),MATCH(COLUMNS($AM$1006:BC1006),$AM$1006:$BM$1006,0)), HYPERLINK("#",""), HYPERLINK(CONCATENATE("#metadata!", ADDRESS(INDEX($AH$2:$AH$1001,MATCH(ROWS($AF$2:AF727),$AF$2:$AF$1001,0),0), INDEX($AM$1004:$BM$1004,1,MATCH(COLUMNS($AM$1006:BC1006),$AM$1006:$BM$1006,0)))),"Fix")))</f>
        <v xml:space="preserve"> </v>
      </c>
      <c r="S727" s="4" t="str">
        <f ca="1">IF(OR(INDEX($AG$2:$AG$1001,MATCH(ROWS($AF$2:AF727),$AF$2:$AF$1001,0),1)&gt;=100000,INDEX($AM$1005:$BM$1005,1,MATCH(COLUMNS($AM$1006:BD1006),$AM$1006:$BM$1006,0))&gt;=100000), " ",IF(INDEX($AM$2:$BM$1001,MATCH(ROWS($AF$2:AF727),$AF$2:$AF$1001,0),MATCH(COLUMNS($AM$1006:BD1006),$AM$1006:$BM$1006,0)), HYPERLINK("#",""), HYPERLINK(CONCATENATE("#metadata!", ADDRESS(INDEX($AH$2:$AH$1001,MATCH(ROWS($AF$2:AF727),$AF$2:$AF$1001,0),0), INDEX($AM$1004:$BM$1004,1,MATCH(COLUMNS($AM$1006:BD1006),$AM$1006:$BM$1006,0)))),"Fix")))</f>
        <v xml:space="preserve"> </v>
      </c>
      <c r="T727" s="4" t="str">
        <f ca="1">IF(OR(INDEX($AG$2:$AG$1001,MATCH(ROWS($AF$2:AF727),$AF$2:$AF$1001,0),1)&gt;=100000,INDEX($AM$1005:$BM$1005,1,MATCH(COLUMNS($AM$1006:BE1006),$AM$1006:$BM$1006,0))&gt;=100000), " ",IF(INDEX($AM$2:$BM$1001,MATCH(ROWS($AF$2:AF727),$AF$2:$AF$1001,0),MATCH(COLUMNS($AM$1006:BE1006),$AM$1006:$BM$1006,0)), HYPERLINK("#",""), HYPERLINK(CONCATENATE("#metadata!", ADDRESS(INDEX($AH$2:$AH$1001,MATCH(ROWS($AF$2:AF727),$AF$2:$AF$1001,0),0), INDEX($AM$1004:$BM$1004,1,MATCH(COLUMNS($AM$1006:BE1006),$AM$1006:$BM$1006,0)))),"Fix")))</f>
        <v xml:space="preserve"> </v>
      </c>
      <c r="U727" s="4" t="str">
        <f ca="1">IF(OR(INDEX($AG$2:$AG$1001,MATCH(ROWS($AF$2:AF727),$AF$2:$AF$1001,0),1)&gt;=100000,INDEX($AM$1005:$BM$1005,1,MATCH(COLUMNS($AM$1006:BF1006),$AM$1006:$BM$1006,0))&gt;=100000), " ",IF(INDEX($AM$2:$BM$1001,MATCH(ROWS($AF$2:AF727),$AF$2:$AF$1001,0),MATCH(COLUMNS($AM$1006:BF1006),$AM$1006:$BM$1006,0)), HYPERLINK("#",""), HYPERLINK(CONCATENATE("#metadata!", ADDRESS(INDEX($AH$2:$AH$1001,MATCH(ROWS($AF$2:AF727),$AF$2:$AF$1001,0),0), INDEX($AM$1004:$BM$1004,1,MATCH(COLUMNS($AM$1006:BF1006),$AM$1006:$BM$1006,0)))),"Fix")))</f>
        <v xml:space="preserve"> </v>
      </c>
      <c r="V727" s="4" t="str">
        <f ca="1">IF(OR(INDEX($AG$2:$AG$1001,MATCH(ROWS($AF$2:AF727),$AF$2:$AF$1001,0),1)&gt;=100000,INDEX($AM$1005:$BM$1005,1,MATCH(COLUMNS($AM$1006:BG1006),$AM$1006:$BM$1006,0))&gt;=100000), " ",IF(INDEX($AM$2:$BM$1001,MATCH(ROWS($AF$2:AF727),$AF$2:$AF$1001,0),MATCH(COLUMNS($AM$1006:BG1006),$AM$1006:$BM$1006,0)), HYPERLINK("#",""), HYPERLINK(CONCATENATE("#metadata!", ADDRESS(INDEX($AH$2:$AH$1001,MATCH(ROWS($AF$2:AF727),$AF$2:$AF$1001,0),0), INDEX($AM$1004:$BM$1004,1,MATCH(COLUMNS($AM$1006:BG1006),$AM$1006:$BM$1006,0)))),"Fix")))</f>
        <v xml:space="preserve"> </v>
      </c>
      <c r="W727" s="4" t="str">
        <f ca="1">IF(OR(INDEX($AG$2:$AG$1001,MATCH(ROWS($AF$2:AF727),$AF$2:$AF$1001,0),1)&gt;=100000,INDEX($AM$1005:$BM$1005,1,MATCH(COLUMNS($AM$1006:BH1006),$AM$1006:$BM$1006,0))&gt;=100000), " ",IF(INDEX($AM$2:$BM$1001,MATCH(ROWS($AF$2:AF727),$AF$2:$AF$1001,0),MATCH(COLUMNS($AM$1006:BH1006),$AM$1006:$BM$1006,0)), HYPERLINK("#",""), HYPERLINK(CONCATENATE("#metadata!", ADDRESS(INDEX($AH$2:$AH$1001,MATCH(ROWS($AF$2:AF727),$AF$2:$AF$1001,0),0), INDEX($AM$1004:$BM$1004,1,MATCH(COLUMNS($AM$1006:BH1006),$AM$1006:$BM$1006,0)))),"Fix")))</f>
        <v xml:space="preserve"> </v>
      </c>
      <c r="X727" s="4" t="str">
        <f ca="1">IF(OR(INDEX($AG$2:$AG$1001,MATCH(ROWS($AF$2:AF727),$AF$2:$AF$1001,0),1)&gt;=100000,INDEX($AM$1005:$BM$1005,1,MATCH(COLUMNS($AM$1006:BI1006),$AM$1006:$BM$1006,0))&gt;=100000), " ",IF(INDEX($AM$2:$BM$1001,MATCH(ROWS($AF$2:AF727),$AF$2:$AF$1001,0),MATCH(COLUMNS($AM$1006:BI1006),$AM$1006:$BM$1006,0)), HYPERLINK("#",""), HYPERLINK(CONCATENATE("#metadata!", ADDRESS(INDEX($AH$2:$AH$1001,MATCH(ROWS($AF$2:AF727),$AF$2:$AF$1001,0),0), INDEX($AM$1004:$BM$1004,1,MATCH(COLUMNS($AM$1006:BI1006),$AM$1006:$BM$1006,0)))),"Fix")))</f>
        <v xml:space="preserve"> </v>
      </c>
      <c r="Y727" s="4" t="str">
        <f ca="1">IF(OR(INDEX($AG$2:$AG$1001,MATCH(ROWS($AF$2:AF727),$AF$2:$AF$1001,0),1)&gt;=100000,INDEX($AM$1005:$BM$1005,1,MATCH(COLUMNS($AM$1006:BJ1006),$AM$1006:$BM$1006,0))&gt;=100000), " ",IF(INDEX($AM$2:$BM$1001,MATCH(ROWS($AF$2:AF727),$AF$2:$AF$1001,0),MATCH(COLUMNS($AM$1006:BJ1006),$AM$1006:$BM$1006,0)), HYPERLINK("#",""), HYPERLINK(CONCATENATE("#metadata!", ADDRESS(INDEX($AH$2:$AH$1001,MATCH(ROWS($AF$2:AF727),$AF$2:$AF$1001,0),0), INDEX($AM$1004:$BM$1004,1,MATCH(COLUMNS($AM$1006:BJ1006),$AM$1006:$BM$1006,0)))),"Fix")))</f>
        <v xml:space="preserve"> </v>
      </c>
      <c r="Z727" s="4" t="str">
        <f ca="1">IF(OR(INDEX($AG$2:$AG$1001,MATCH(ROWS($AF$2:AF727),$AF$2:$AF$1001,0),1)&gt;=100000,INDEX($AM$1005:$BM$1005,1,MATCH(COLUMNS($AM$1006:BK1006),$AM$1006:$BM$1006,0))&gt;=100000), " ",IF(INDEX($AM$2:$BM$1001,MATCH(ROWS($AF$2:AF727),$AF$2:$AF$1001,0),MATCH(COLUMNS($AM$1006:BK1006),$AM$1006:$BM$1006,0)), HYPERLINK("#",""), HYPERLINK(CONCATENATE("#metadata!", ADDRESS(INDEX($AH$2:$AH$1001,MATCH(ROWS($AF$2:AF727),$AF$2:$AF$1001,0),0), INDEX($AM$1004:$BM$1004,1,MATCH(COLUMNS($AM$1006:BK1006),$AM$1006:$BM$1006,0)))),"Fix")))</f>
        <v xml:space="preserve"> </v>
      </c>
      <c r="AA727" s="4" t="str">
        <f ca="1">IF(OR(INDEX($AG$2:$AG$1001,MATCH(ROWS($AF$2:AF727),$AF$2:$AF$1001,0),1)&gt;=100000,INDEX($AM$1005:$BM$1005,1,MATCH(COLUMNS($AM$1006:BL1006),$AM$1006:$BM$1006,0))&gt;=100000), " ",IF(INDEX($AM$2:$BM$1001,MATCH(ROWS($AF$2:AF727),$AF$2:$AF$1001,0),MATCH(COLUMNS($AM$1006:BL1006),$AM$1006:$BM$1006,0)), HYPERLINK("#",""), HYPERLINK(CONCATENATE("#metadata!", ADDRESS(INDEX($AH$2:$AH$1001,MATCH(ROWS($AF$2:AF727),$AF$2:$AF$1001,0),0), INDEX($AM$1004:$BM$1004,1,MATCH(COLUMNS($AM$1006:BL1006),$AM$1006:$BM$1006,0)))),"Fix")))</f>
        <v xml:space="preserve"> </v>
      </c>
      <c r="AB727" s="4" t="str">
        <f ca="1">IF(OR(INDEX($AG$2:$AG$1001,MATCH(ROWS($AF$2:AF727),$AF$2:$AF$1001,0),1)&gt;=100000,INDEX($AM$1005:$BM$1005,1,MATCH(COLUMNS($AM$1006:BM1006),$AM$1006:$BM$1006,0))&gt;=100000), " ",IF(INDEX($AM$2:$BM$1001,MATCH(ROWS($AF$2:AF727),$AF$2:$AF$1001,0),MATCH(COLUMNS($AM$1006:BM1006),$AM$1006:$BM$1006,0)), HYPERLINK("#",""), HYPERLINK(CONCATENATE("#metadata!", ADDRESS(INDEX($AH$2:$AH$1001,MATCH(ROWS($AF$2:AF727),$AF$2:$AF$1001,0),0), INDEX($AM$1004:$BM$1004,1,MATCH(COLUMNS($AM$1006:BM1006),$AM$1006:$BM$1006,0)))),"Fix")))</f>
        <v xml:space="preserve"> </v>
      </c>
      <c r="AF727">
        <v>726</v>
      </c>
      <c r="AG727">
        <v>100727</v>
      </c>
      <c r="AH727">
        <v>727</v>
      </c>
      <c r="AI727" t="b">
        <f t="shared" si="11"/>
        <v>1</v>
      </c>
      <c r="AJ727" t="b">
        <f>COUNTBLANK(metadata!B727:AB727)=COLUMNS(metadata!B727:AB727)</f>
        <v>1</v>
      </c>
      <c r="AK727" t="str">
        <v/>
      </c>
      <c r="AM727" t="b">
        <f ca="1">AND(IF(metadata!B727="",FALSE,TRUE),COUNTIF(metadata!B:B, metadata!B727) = 1,NOT(ISERROR(SUMPRODUCT(SEARCH(MID(metadata!B727,ROW(INDIRECT("1:"&amp;LEN(metadata!B727))), 1),"0123456789abcdefghijklmnopqrstuvwxyzABCDEFGHIJKLMNOPQRSTUVWXYZ.")))))</f>
        <v>0</v>
      </c>
      <c r="AN727" t="b">
        <f ca="1">OR(AND(IF(metadata!C727="",FALSE,TRUE),OR(EXACT(metadata!C727,"missing: not collected"),EXACT(metadata!C727,"missing: not provided"),EXACT(metadata!C727,"missing: restricted access"))),AND(IF(metadata!C727="",FALSE,TRUE),AND(AND(IFERROR(INT(LEFT(metadata!C727,4))&gt;1900,FALSE),IFERROR(INT(LEFT(metadata!C727,4))&lt;=YEAR(NOW()),FALSE)), OR(MID(metadata!C727,5,1)="", AND(AND(MID(metadata!C727,5,1)="-",IFERROR(INT(MID(metadata!C727,6,1))&gt;=0,FALSE),IFERROR(INT(MID(metadata!C727,6,1))&lt;=1,FALSE),NOT(MID(metadata!C727,7,1)=""),IFERROR(INT(MID(metadata!C727,6,2))&gt;=1,FALSE),IFERROR(INT(MID(metadata!C727,6,2))&lt;=12,FALSE)), OR(MID(metadata!C727,8,1)="", AND(AND(MID(metadata!C727,8,1)="-",IFERROR(INT(MID(metadata!C727,9,1))&gt;=0,FALSE),IFERROR(INT(MID(metadata!C727,9,1))&lt;=3,FALSE),NOT(MID(metadata!C727,10,1)=""),IFERROR(INT(MID(metadata!C727,9,2))&gt;=1,FALSE),IFERROR(INT(MID(metadata!C727,9,2))&lt;=31,FALSE)), OR(MID(metadata!C727,11,1)="", AND(AND(MID(metadata!C727,11,1)=" ",IFERROR(INT(MID(metadata!C727,12,1))&gt;=0,FALSE),IFERROR(INT(MID(metadata!C727,12,1))&lt;=2,FALSE),NOT(MID(metadata!C727,13,1)=""),IFERROR(INT(MID(metadata!C727,12,2))&gt;=0,FALSE),IFERROR(INT(MID(metadata!C727,12,2))&lt;=23,FALSE)), OR(MID(metadata!C727,14,1)="", AND(AND(MID(metadata!C727,14,1)=":",IFERROR(INT(MID(metadata!C727,15,1))&gt;=0,FALSE),IFERROR(INT(MID(metadata!C727,15,1))&lt;=5,FALSE),NOT(MID(metadata!C727,16,1)=""),IFERROR(INT(MID(metadata!C727,15,2))&gt;=0,FALSE),IFERROR(INT(MID(metadata!C727,15,2))&lt;=59,FALSE)), OR(MID(metadata!C727,17,1)="", AND(AND(MID(metadata!C727,17,1)=":",IFERROR(INT(MID(metadata!C727,18,1))&gt;=0,FALSE),IFERROR(INT(MID(metadata!C727,18,1))&lt;=5,FALSE),NOT(MID(metadata!C727,19,1)=""),IFERROR(INT(MID(metadata!C727,18,2))&gt;=0,FALSE),IFERROR(INT(MID(metadata!C727,18,2))&lt;=59,FALSE)), LEN(metadata!C727)&lt;=19)))))))))))))</f>
        <v>0</v>
      </c>
      <c r="AO727" t="b">
        <f>AND(IF(metadata!D727="",FALSE,TRUE),EXACT(metadata!D727,"Not applicable"))</f>
        <v>0</v>
      </c>
      <c r="AP727" t="b">
        <f>IF(metadata!E727="",FALSE,TRUE)</f>
        <v>0</v>
      </c>
      <c r="AQ727" t="b">
        <f>OR(AND(IF(metadata!F727="",FALSE,TRUE),OR(EXACT(metadata!F727,"missing: not collected"),EXACT(metadata!F727,"missing: not provided"))),AND(IF(metadata!F727="",FALSE,TRUE),OR(EXACT(metadata!F727,"TRUE"),EXACT(metadata!F727,"FALSE"))))</f>
        <v>0</v>
      </c>
      <c r="AR727" t="b">
        <f>OR(AND(IF(metadata!G727="",FALSE,TRUE),OR(EXACT(metadata!G727,"missing: not collected"),EXACT(metadata!G727,"missing: not provided"),EXACT(metadata!G727,"missing: restricted access"))),AND(IF(metadata!G727="",FALSE,ISNUMBER(VALUE(metadata!G727))),metadata!G727&gt;=-413))</f>
        <v>0</v>
      </c>
      <c r="AS727" t="b">
        <f>AND(IF(metadata!H727="",FALSE,TRUE),EXACT(metadata!H727,"meters"))</f>
        <v>0</v>
      </c>
      <c r="AT727" t="b">
        <f>AND(IF(metadata!I727="",FALSE,TRUE),OR(EXACT(metadata!I727,"Host-associated"),EXACT(metadata!I727,"Free-living")))</f>
        <v>0</v>
      </c>
      <c r="AU727" t="b">
        <f>AND(IF(metadata!J727="",FALSE,TRUE),OR(EXACT(metadata!J727,"Animal"),EXACT(metadata!J727,"Fungus"),EXACT(metadata!J727,"Plant"),EXACT(metadata!J727,"Saline"),EXACT(metadata!J727,"Non-saline")))</f>
        <v>0</v>
      </c>
      <c r="AV727" t="b">
        <f>AND(IF(metadata!K727="",FALSE,TRUE),OR(EXACT(metadata!K727,"Plant secretion"),EXACT(metadata!K727,"Plant rhizosphere"),EXACT(metadata!K727,"Plant surface"),EXACT(metadata!K727,"Plant corpus"),EXACT(metadata!K727,"Fungus surface"),EXACT(metadata!K727,"Fungus corpus"),EXACT(metadata!K727,"Animal surface"),EXACT(metadata!K727,"Animal proximal gut"),EXACT(metadata!K727,"Animal corpus"),EXACT(metadata!K727,"Animal distal gut"),EXACT(metadata!K727,"Animal secretion"),EXACT(metadata!K727,"Sub-surface (non-saline)"),EXACT(metadata!K727,"Surface (non-saline)"),EXACT(metadata!K727,"Water (non-saline)"),EXACT(metadata!K727,"Soil (non-saline)"),EXACT(metadata!K727,"Aerosol (non-saline)"),EXACT(metadata!K727,"Sediment (non-saline)"),EXACT(metadata!K727,"Surface (saline)"),EXACT(metadata!K727,"Water (saline)"),EXACT(metadata!K727,"Hypersaline (saline)"),EXACT(metadata!K727,"Aerosol (saline)"),EXACT(metadata!K727,"Sediment (saline)")))</f>
        <v>0</v>
      </c>
      <c r="AW727" t="b">
        <f>IF(metadata!L727="",FALSE,TRUE)</f>
        <v>0</v>
      </c>
      <c r="AX727" t="b">
        <f>IF(metadata!M727="",FALSE,TRUE)</f>
        <v>0</v>
      </c>
      <c r="AY727" t="b">
        <f>IF(metadata!N727="",FALSE,TRUE)</f>
        <v>0</v>
      </c>
      <c r="AZ727" t="b">
        <f>OR(AND(IF(metadata!O727="",FALSE,TRUE),OR(EXACT(metadata!O727,"missing: not collected"),EXACT(metadata!O727,"missing: not provided"),EXACT(metadata!O727,"missing: restricted access"))),AND(IF(metadata!O727="",FALSE,TRUE),OR(EXACT(metadata!O727,"air"),EXACT(metadata!O727,"built environment"),EXACT(metadata!O727,"host-associated"),EXACT(metadata!O727,"human-associated"),EXACT(metadata!O727,"human-skin"),EXACT(metadata!O727,"human-oral"),EXACT(metadata!O727,"human-gut"),EXACT(metadata!O727,"human-vaginal"),EXACT(metadata!O727,"microbial mat/biofilm"),EXACT(metadata!O727,"misc environment"),EXACT(metadata!O727,"plant-associated"),EXACT(metadata!O727,"sediment"),EXACT(metadata!O727,"soil"),EXACT(metadata!O727,"wastewater/sludge"),EXACT(metadata!O727,"water"))))</f>
        <v>0</v>
      </c>
      <c r="BA727" t="b">
        <f>IF(metadata!P727="",FALSE,TRUE)</f>
        <v>0</v>
      </c>
      <c r="BB727" t="b">
        <f>IF(metadata!Q727="",FALSE,TRUE)</f>
        <v>0</v>
      </c>
      <c r="BC727" t="b">
        <f>OR(AND(IF(metadata!R727="",FALSE,TRUE),OR(EXACT(metadata!R727,"missing: not collected"),EXACT(metadata!R727,"missing: not provided"),EXACT(metadata!R727,"missing: restricted access"))),AND(IF(metadata!R727="",FALSE,ISNUMBER(VALUE(metadata!R727))),metadata!R727&gt;=-90,metadata!R727&lt;=90))</f>
        <v>0</v>
      </c>
      <c r="BD727" t="b">
        <f>AND(IF(metadata!S727="",FALSE,TRUE),EXACT(metadata!S727,"Decimal degrees"))</f>
        <v>0</v>
      </c>
      <c r="BE727" t="b">
        <f>OR(AND(IF(metadata!T727="",FALSE,TRUE),OR(EXACT(metadata!T727,"missing: not collected"),EXACT(metadata!T727,"missing: not provided"),EXACT(metadata!T727,"missing: restricted access"))),AND(IF(metadata!T727="",FALSE,ISNUMBER(VALUE(metadata!T727))),metadata!T727&gt;=-180,metadata!T727&lt;=180))</f>
        <v>0</v>
      </c>
      <c r="BF727" t="b">
        <f>AND(IF(metadata!U727="",FALSE,TRUE),EXACT(metadata!U727,"Decimal degrees"))</f>
        <v>0</v>
      </c>
      <c r="BG727" t="b">
        <f>IF(metadata!V727="",FALSE,TRUE)</f>
        <v>0</v>
      </c>
      <c r="BH727" t="b">
        <f>OR(AND(IF(metadata!W727="",FALSE,TRUE),OR(EXACT(metadata!W727,"missing: not collected"),EXACT(metadata!W727,"missing: not provided"),EXACT(metadata!W727,"missing: restricted access"))),AND(IF(metadata!W727="",FALSE,TRUE),OR(EXACT(metadata!W727,"TRUE"),EXACT(metadata!W727,"FALSE"))))</f>
        <v>0</v>
      </c>
      <c r="BI727" t="b">
        <f>AND(IF(metadata!X727="",FALSE,TRUE),EXACT(metadata!X727,"other"))</f>
        <v>0</v>
      </c>
      <c r="BJ727" t="b">
        <f>IF(metadata!Y727="",FALSE,TRUE)</f>
        <v>0</v>
      </c>
      <c r="BK727" t="b">
        <f>OR(AND(IF(metadata!Z727="",FALSE,TRUE),OR(EXACT(metadata!Z727,"missing: not collected"),EXACT(metadata!Z727,"missing: not provided"))),AND(IF(metadata!Z727="",FALSE,IF(ISERROR(INT(metadata!Z727)),FALSE,INT(metadata!Z727)=metadata!Z727)),metadata!Z727&gt;0))</f>
        <v>0</v>
      </c>
      <c r="BL727" t="b">
        <f>AND(IF(metadata!AA727="",FALSE,TRUE),EXACT(metadata!AA727,"Not applicable"))</f>
        <v>0</v>
      </c>
      <c r="BM727" t="b">
        <f>IF(metadata!AB727="",FALSE,TRUE)</f>
        <v>0</v>
      </c>
    </row>
    <row r="728" spans="1:65" x14ac:dyDescent="0.2">
      <c r="A728" s="5" t="str">
        <f ca="1">IF(B728=" "," ",HYPERLINK(CONCATENATE("#metadata!",ADDRESS(INDEX($AH$2:$AH$1001,MATCH(ROWS($AF$2:AF728),$AF$2:$AF$1001,0),0),1)),INDEX($AK$2:$AK$1001,MATCH(ROWS($AF$2:AF728),$AF$2:$AF$1001,0),0)))</f>
        <v xml:space="preserve"> </v>
      </c>
      <c r="B728" s="4" t="str">
        <f ca="1">IF(OR(INDEX($AG$2:$AG$1001,MATCH(ROWS($AF$2:AF728),$AF$2:$AF$1001,0),1)&gt;=100000,INDEX($AM$1005:$BM$1005,1,MATCH(COLUMNS($AM$1006:AM1006),$AM$1006:$BM$1006,0))&gt;=100000), " ",IF(INDEX($AM$2:$BM$1001,MATCH(ROWS($AF$2:AF728),$AF$2:$AF$1001,0),MATCH(COLUMNS($AM$1006:AM1006),$AM$1006:$BM$1006,0)), HYPERLINK("#",""), HYPERLINK(CONCATENATE("#metadata!", ADDRESS(INDEX($AH$2:$AH$1001,MATCH(ROWS($AF$2:AF728),$AF$2:$AF$1001,0),0), INDEX($AM$1004:$BM$1004,1,MATCH(COLUMNS($AM$1006:AM1006),$AM$1006:$BM$1006,0)))),"Fix")))</f>
        <v xml:space="preserve"> </v>
      </c>
      <c r="C728" s="4" t="str">
        <f ca="1">IF(OR(INDEX($AG$2:$AG$1001,MATCH(ROWS($AF$2:AF728),$AF$2:$AF$1001,0),1)&gt;=100000,INDEX($AM$1005:$BM$1005,1,MATCH(COLUMNS($AM$1006:AN1006),$AM$1006:$BM$1006,0))&gt;=100000), " ",IF(INDEX($AM$2:$BM$1001,MATCH(ROWS($AF$2:AF728),$AF$2:$AF$1001,0),MATCH(COLUMNS($AM$1006:AN1006),$AM$1006:$BM$1006,0)), HYPERLINK("#",""), HYPERLINK(CONCATENATE("#metadata!", ADDRESS(INDEX($AH$2:$AH$1001,MATCH(ROWS($AF$2:AF728),$AF$2:$AF$1001,0),0), INDEX($AM$1004:$BM$1004,1,MATCH(COLUMNS($AM$1006:AN1006),$AM$1006:$BM$1006,0)))),"Fix")))</f>
        <v xml:space="preserve"> </v>
      </c>
      <c r="D728" s="4" t="str">
        <f ca="1">IF(OR(INDEX($AG$2:$AG$1001,MATCH(ROWS($AF$2:AF728),$AF$2:$AF$1001,0),1)&gt;=100000,INDEX($AM$1005:$BM$1005,1,MATCH(COLUMNS($AM$1006:AO1006),$AM$1006:$BM$1006,0))&gt;=100000), " ",IF(INDEX($AM$2:$BM$1001,MATCH(ROWS($AF$2:AF728),$AF$2:$AF$1001,0),MATCH(COLUMNS($AM$1006:AO1006),$AM$1006:$BM$1006,0)), HYPERLINK("#",""), HYPERLINK(CONCATENATE("#metadata!", ADDRESS(INDEX($AH$2:$AH$1001,MATCH(ROWS($AF$2:AF728),$AF$2:$AF$1001,0),0), INDEX($AM$1004:$BM$1004,1,MATCH(COLUMNS($AM$1006:AO1006),$AM$1006:$BM$1006,0)))),"Fix")))</f>
        <v xml:space="preserve"> </v>
      </c>
      <c r="E728" s="4" t="str">
        <f ca="1">IF(OR(INDEX($AG$2:$AG$1001,MATCH(ROWS($AF$2:AF728),$AF$2:$AF$1001,0),1)&gt;=100000,INDEX($AM$1005:$BM$1005,1,MATCH(COLUMNS($AM$1006:AP1006),$AM$1006:$BM$1006,0))&gt;=100000), " ",IF(INDEX($AM$2:$BM$1001,MATCH(ROWS($AF$2:AF728),$AF$2:$AF$1001,0),MATCH(COLUMNS($AM$1006:AP1006),$AM$1006:$BM$1006,0)), HYPERLINK("#",""), HYPERLINK(CONCATENATE("#metadata!", ADDRESS(INDEX($AH$2:$AH$1001,MATCH(ROWS($AF$2:AF728),$AF$2:$AF$1001,0),0), INDEX($AM$1004:$BM$1004,1,MATCH(COLUMNS($AM$1006:AP1006),$AM$1006:$BM$1006,0)))),"Fix")))</f>
        <v xml:space="preserve"> </v>
      </c>
      <c r="F728" s="4" t="str">
        <f ca="1">IF(OR(INDEX($AG$2:$AG$1001,MATCH(ROWS($AF$2:AF728),$AF$2:$AF$1001,0),1)&gt;=100000,INDEX($AM$1005:$BM$1005,1,MATCH(COLUMNS($AM$1006:AQ1006),$AM$1006:$BM$1006,0))&gt;=100000), " ",IF(INDEX($AM$2:$BM$1001,MATCH(ROWS($AF$2:AF728),$AF$2:$AF$1001,0),MATCH(COLUMNS($AM$1006:AQ1006),$AM$1006:$BM$1006,0)), HYPERLINK("#",""), HYPERLINK(CONCATENATE("#metadata!", ADDRESS(INDEX($AH$2:$AH$1001,MATCH(ROWS($AF$2:AF728),$AF$2:$AF$1001,0),0), INDEX($AM$1004:$BM$1004,1,MATCH(COLUMNS($AM$1006:AQ1006),$AM$1006:$BM$1006,0)))),"Fix")))</f>
        <v xml:space="preserve"> </v>
      </c>
      <c r="G728" s="4" t="str">
        <f ca="1">IF(OR(INDEX($AG$2:$AG$1001,MATCH(ROWS($AF$2:AF728),$AF$2:$AF$1001,0),1)&gt;=100000,INDEX($AM$1005:$BM$1005,1,MATCH(COLUMNS($AM$1006:AR1006),$AM$1006:$BM$1006,0))&gt;=100000), " ",IF(INDEX($AM$2:$BM$1001,MATCH(ROWS($AF$2:AF728),$AF$2:$AF$1001,0),MATCH(COLUMNS($AM$1006:AR1006),$AM$1006:$BM$1006,0)), HYPERLINK("#",""), HYPERLINK(CONCATENATE("#metadata!", ADDRESS(INDEX($AH$2:$AH$1001,MATCH(ROWS($AF$2:AF728),$AF$2:$AF$1001,0),0), INDEX($AM$1004:$BM$1004,1,MATCH(COLUMNS($AM$1006:AR1006),$AM$1006:$BM$1006,0)))),"Fix")))</f>
        <v xml:space="preserve"> </v>
      </c>
      <c r="H728" s="4" t="str">
        <f ca="1">IF(OR(INDEX($AG$2:$AG$1001,MATCH(ROWS($AF$2:AF728),$AF$2:$AF$1001,0),1)&gt;=100000,INDEX($AM$1005:$BM$1005,1,MATCH(COLUMNS($AM$1006:AS1006),$AM$1006:$BM$1006,0))&gt;=100000), " ",IF(INDEX($AM$2:$BM$1001,MATCH(ROWS($AF$2:AF728),$AF$2:$AF$1001,0),MATCH(COLUMNS($AM$1006:AS1006),$AM$1006:$BM$1006,0)), HYPERLINK("#",""), HYPERLINK(CONCATENATE("#metadata!", ADDRESS(INDEX($AH$2:$AH$1001,MATCH(ROWS($AF$2:AF728),$AF$2:$AF$1001,0),0), INDEX($AM$1004:$BM$1004,1,MATCH(COLUMNS($AM$1006:AS1006),$AM$1006:$BM$1006,0)))),"Fix")))</f>
        <v xml:space="preserve"> </v>
      </c>
      <c r="I728" s="4" t="str">
        <f ca="1">IF(OR(INDEX($AG$2:$AG$1001,MATCH(ROWS($AF$2:AF728),$AF$2:$AF$1001,0),1)&gt;=100000,INDEX($AM$1005:$BM$1005,1,MATCH(COLUMNS($AM$1006:AT1006),$AM$1006:$BM$1006,0))&gt;=100000), " ",IF(INDEX($AM$2:$BM$1001,MATCH(ROWS($AF$2:AF728),$AF$2:$AF$1001,0),MATCH(COLUMNS($AM$1006:AT1006),$AM$1006:$BM$1006,0)), HYPERLINK("#",""), HYPERLINK(CONCATENATE("#metadata!", ADDRESS(INDEX($AH$2:$AH$1001,MATCH(ROWS($AF$2:AF728),$AF$2:$AF$1001,0),0), INDEX($AM$1004:$BM$1004,1,MATCH(COLUMNS($AM$1006:AT1006),$AM$1006:$BM$1006,0)))),"Fix")))</f>
        <v xml:space="preserve"> </v>
      </c>
      <c r="J728" s="4" t="str">
        <f ca="1">IF(OR(INDEX($AG$2:$AG$1001,MATCH(ROWS($AF$2:AF728),$AF$2:$AF$1001,0),1)&gt;=100000,INDEX($AM$1005:$BM$1005,1,MATCH(COLUMNS($AM$1006:AU1006),$AM$1006:$BM$1006,0))&gt;=100000), " ",IF(INDEX($AM$2:$BM$1001,MATCH(ROWS($AF$2:AF728),$AF$2:$AF$1001,0),MATCH(COLUMNS($AM$1006:AU1006),$AM$1006:$BM$1006,0)), HYPERLINK("#",""), HYPERLINK(CONCATENATE("#metadata!", ADDRESS(INDEX($AH$2:$AH$1001,MATCH(ROWS($AF$2:AF728),$AF$2:$AF$1001,0),0), INDEX($AM$1004:$BM$1004,1,MATCH(COLUMNS($AM$1006:AU1006),$AM$1006:$BM$1006,0)))),"Fix")))</f>
        <v xml:space="preserve"> </v>
      </c>
      <c r="K728" s="4" t="str">
        <f ca="1">IF(OR(INDEX($AG$2:$AG$1001,MATCH(ROWS($AF$2:AF728),$AF$2:$AF$1001,0),1)&gt;=100000,INDEX($AM$1005:$BM$1005,1,MATCH(COLUMNS($AM$1006:AV1006),$AM$1006:$BM$1006,0))&gt;=100000), " ",IF(INDEX($AM$2:$BM$1001,MATCH(ROWS($AF$2:AF728),$AF$2:$AF$1001,0),MATCH(COLUMNS($AM$1006:AV1006),$AM$1006:$BM$1006,0)), HYPERLINK("#",""), HYPERLINK(CONCATENATE("#metadata!", ADDRESS(INDEX($AH$2:$AH$1001,MATCH(ROWS($AF$2:AF728),$AF$2:$AF$1001,0),0), INDEX($AM$1004:$BM$1004,1,MATCH(COLUMNS($AM$1006:AV1006),$AM$1006:$BM$1006,0)))),"Fix")))</f>
        <v xml:space="preserve"> </v>
      </c>
      <c r="L728" s="4" t="str">
        <f ca="1">IF(OR(INDEX($AG$2:$AG$1001,MATCH(ROWS($AF$2:AF728),$AF$2:$AF$1001,0),1)&gt;=100000,INDEX($AM$1005:$BM$1005,1,MATCH(COLUMNS($AM$1006:AW1006),$AM$1006:$BM$1006,0))&gt;=100000), " ",IF(INDEX($AM$2:$BM$1001,MATCH(ROWS($AF$2:AF728),$AF$2:$AF$1001,0),MATCH(COLUMNS($AM$1006:AW1006),$AM$1006:$BM$1006,0)), HYPERLINK("#",""), HYPERLINK(CONCATENATE("#metadata!", ADDRESS(INDEX($AH$2:$AH$1001,MATCH(ROWS($AF$2:AF728),$AF$2:$AF$1001,0),0), INDEX($AM$1004:$BM$1004,1,MATCH(COLUMNS($AM$1006:AW1006),$AM$1006:$BM$1006,0)))),"Fix")))</f>
        <v xml:space="preserve"> </v>
      </c>
      <c r="M728" s="4" t="str">
        <f ca="1">IF(OR(INDEX($AG$2:$AG$1001,MATCH(ROWS($AF$2:AF728),$AF$2:$AF$1001,0),1)&gt;=100000,INDEX($AM$1005:$BM$1005,1,MATCH(COLUMNS($AM$1006:AX1006),$AM$1006:$BM$1006,0))&gt;=100000), " ",IF(INDEX($AM$2:$BM$1001,MATCH(ROWS($AF$2:AF728),$AF$2:$AF$1001,0),MATCH(COLUMNS($AM$1006:AX1006),$AM$1006:$BM$1006,0)), HYPERLINK("#",""), HYPERLINK(CONCATENATE("#metadata!", ADDRESS(INDEX($AH$2:$AH$1001,MATCH(ROWS($AF$2:AF728),$AF$2:$AF$1001,0),0), INDEX($AM$1004:$BM$1004,1,MATCH(COLUMNS($AM$1006:AX1006),$AM$1006:$BM$1006,0)))),"Fix")))</f>
        <v xml:space="preserve"> </v>
      </c>
      <c r="N728" s="4" t="str">
        <f ca="1">IF(OR(INDEX($AG$2:$AG$1001,MATCH(ROWS($AF$2:AF728),$AF$2:$AF$1001,0),1)&gt;=100000,INDEX($AM$1005:$BM$1005,1,MATCH(COLUMNS($AM$1006:AY1006),$AM$1006:$BM$1006,0))&gt;=100000), " ",IF(INDEX($AM$2:$BM$1001,MATCH(ROWS($AF$2:AF728),$AF$2:$AF$1001,0),MATCH(COLUMNS($AM$1006:AY1006),$AM$1006:$BM$1006,0)), HYPERLINK("#",""), HYPERLINK(CONCATENATE("#metadata!", ADDRESS(INDEX($AH$2:$AH$1001,MATCH(ROWS($AF$2:AF728),$AF$2:$AF$1001,0),0), INDEX($AM$1004:$BM$1004,1,MATCH(COLUMNS($AM$1006:AY1006),$AM$1006:$BM$1006,0)))),"Fix")))</f>
        <v xml:space="preserve"> </v>
      </c>
      <c r="O728" s="4" t="str">
        <f ca="1">IF(OR(INDEX($AG$2:$AG$1001,MATCH(ROWS($AF$2:AF728),$AF$2:$AF$1001,0),1)&gt;=100000,INDEX($AM$1005:$BM$1005,1,MATCH(COLUMNS($AM$1006:AZ1006),$AM$1006:$BM$1006,0))&gt;=100000), " ",IF(INDEX($AM$2:$BM$1001,MATCH(ROWS($AF$2:AF728),$AF$2:$AF$1001,0),MATCH(COLUMNS($AM$1006:AZ1006),$AM$1006:$BM$1006,0)), HYPERLINK("#",""), HYPERLINK(CONCATENATE("#metadata!", ADDRESS(INDEX($AH$2:$AH$1001,MATCH(ROWS($AF$2:AF728),$AF$2:$AF$1001,0),0), INDEX($AM$1004:$BM$1004,1,MATCH(COLUMNS($AM$1006:AZ1006),$AM$1006:$BM$1006,0)))),"Fix")))</f>
        <v xml:space="preserve"> </v>
      </c>
      <c r="P728" s="4" t="str">
        <f ca="1">IF(OR(INDEX($AG$2:$AG$1001,MATCH(ROWS($AF$2:AF728),$AF$2:$AF$1001,0),1)&gt;=100000,INDEX($AM$1005:$BM$1005,1,MATCH(COLUMNS($AM$1006:BA1006),$AM$1006:$BM$1006,0))&gt;=100000), " ",IF(INDEX($AM$2:$BM$1001,MATCH(ROWS($AF$2:AF728),$AF$2:$AF$1001,0),MATCH(COLUMNS($AM$1006:BA1006),$AM$1006:$BM$1006,0)), HYPERLINK("#",""), HYPERLINK(CONCATENATE("#metadata!", ADDRESS(INDEX($AH$2:$AH$1001,MATCH(ROWS($AF$2:AF728),$AF$2:$AF$1001,0),0), INDEX($AM$1004:$BM$1004,1,MATCH(COLUMNS($AM$1006:BA1006),$AM$1006:$BM$1006,0)))),"Fix")))</f>
        <v xml:space="preserve"> </v>
      </c>
      <c r="Q728" s="4" t="str">
        <f ca="1">IF(OR(INDEX($AG$2:$AG$1001,MATCH(ROWS($AF$2:AF728),$AF$2:$AF$1001,0),1)&gt;=100000,INDEX($AM$1005:$BM$1005,1,MATCH(COLUMNS($AM$1006:BB1006),$AM$1006:$BM$1006,0))&gt;=100000), " ",IF(INDEX($AM$2:$BM$1001,MATCH(ROWS($AF$2:AF728),$AF$2:$AF$1001,0),MATCH(COLUMNS($AM$1006:BB1006),$AM$1006:$BM$1006,0)), HYPERLINK("#",""), HYPERLINK(CONCATENATE("#metadata!", ADDRESS(INDEX($AH$2:$AH$1001,MATCH(ROWS($AF$2:AF728),$AF$2:$AF$1001,0),0), INDEX($AM$1004:$BM$1004,1,MATCH(COLUMNS($AM$1006:BB1006),$AM$1006:$BM$1006,0)))),"Fix")))</f>
        <v xml:space="preserve"> </v>
      </c>
      <c r="R728" s="4" t="str">
        <f ca="1">IF(OR(INDEX($AG$2:$AG$1001,MATCH(ROWS($AF$2:AF728),$AF$2:$AF$1001,0),1)&gt;=100000,INDEX($AM$1005:$BM$1005,1,MATCH(COLUMNS($AM$1006:BC1006),$AM$1006:$BM$1006,0))&gt;=100000), " ",IF(INDEX($AM$2:$BM$1001,MATCH(ROWS($AF$2:AF728),$AF$2:$AF$1001,0),MATCH(COLUMNS($AM$1006:BC1006),$AM$1006:$BM$1006,0)), HYPERLINK("#",""), HYPERLINK(CONCATENATE("#metadata!", ADDRESS(INDEX($AH$2:$AH$1001,MATCH(ROWS($AF$2:AF728),$AF$2:$AF$1001,0),0), INDEX($AM$1004:$BM$1004,1,MATCH(COLUMNS($AM$1006:BC1006),$AM$1006:$BM$1006,0)))),"Fix")))</f>
        <v xml:space="preserve"> </v>
      </c>
      <c r="S728" s="4" t="str">
        <f ca="1">IF(OR(INDEX($AG$2:$AG$1001,MATCH(ROWS($AF$2:AF728),$AF$2:$AF$1001,0),1)&gt;=100000,INDEX($AM$1005:$BM$1005,1,MATCH(COLUMNS($AM$1006:BD1006),$AM$1006:$BM$1006,0))&gt;=100000), " ",IF(INDEX($AM$2:$BM$1001,MATCH(ROWS($AF$2:AF728),$AF$2:$AF$1001,0),MATCH(COLUMNS($AM$1006:BD1006),$AM$1006:$BM$1006,0)), HYPERLINK("#",""), HYPERLINK(CONCATENATE("#metadata!", ADDRESS(INDEX($AH$2:$AH$1001,MATCH(ROWS($AF$2:AF728),$AF$2:$AF$1001,0),0), INDEX($AM$1004:$BM$1004,1,MATCH(COLUMNS($AM$1006:BD1006),$AM$1006:$BM$1006,0)))),"Fix")))</f>
        <v xml:space="preserve"> </v>
      </c>
      <c r="T728" s="4" t="str">
        <f ca="1">IF(OR(INDEX($AG$2:$AG$1001,MATCH(ROWS($AF$2:AF728),$AF$2:$AF$1001,0),1)&gt;=100000,INDEX($AM$1005:$BM$1005,1,MATCH(COLUMNS($AM$1006:BE1006),$AM$1006:$BM$1006,0))&gt;=100000), " ",IF(INDEX($AM$2:$BM$1001,MATCH(ROWS($AF$2:AF728),$AF$2:$AF$1001,0),MATCH(COLUMNS($AM$1006:BE1006),$AM$1006:$BM$1006,0)), HYPERLINK("#",""), HYPERLINK(CONCATENATE("#metadata!", ADDRESS(INDEX($AH$2:$AH$1001,MATCH(ROWS($AF$2:AF728),$AF$2:$AF$1001,0),0), INDEX($AM$1004:$BM$1004,1,MATCH(COLUMNS($AM$1006:BE1006),$AM$1006:$BM$1006,0)))),"Fix")))</f>
        <v xml:space="preserve"> </v>
      </c>
      <c r="U728" s="4" t="str">
        <f ca="1">IF(OR(INDEX($AG$2:$AG$1001,MATCH(ROWS($AF$2:AF728),$AF$2:$AF$1001,0),1)&gt;=100000,INDEX($AM$1005:$BM$1005,1,MATCH(COLUMNS($AM$1006:BF1006),$AM$1006:$BM$1006,0))&gt;=100000), " ",IF(INDEX($AM$2:$BM$1001,MATCH(ROWS($AF$2:AF728),$AF$2:$AF$1001,0),MATCH(COLUMNS($AM$1006:BF1006),$AM$1006:$BM$1006,0)), HYPERLINK("#",""), HYPERLINK(CONCATENATE("#metadata!", ADDRESS(INDEX($AH$2:$AH$1001,MATCH(ROWS($AF$2:AF728),$AF$2:$AF$1001,0),0), INDEX($AM$1004:$BM$1004,1,MATCH(COLUMNS($AM$1006:BF1006),$AM$1006:$BM$1006,0)))),"Fix")))</f>
        <v xml:space="preserve"> </v>
      </c>
      <c r="V728" s="4" t="str">
        <f ca="1">IF(OR(INDEX($AG$2:$AG$1001,MATCH(ROWS($AF$2:AF728),$AF$2:$AF$1001,0),1)&gt;=100000,INDEX($AM$1005:$BM$1005,1,MATCH(COLUMNS($AM$1006:BG1006),$AM$1006:$BM$1006,0))&gt;=100000), " ",IF(INDEX($AM$2:$BM$1001,MATCH(ROWS($AF$2:AF728),$AF$2:$AF$1001,0),MATCH(COLUMNS($AM$1006:BG1006),$AM$1006:$BM$1006,0)), HYPERLINK("#",""), HYPERLINK(CONCATENATE("#metadata!", ADDRESS(INDEX($AH$2:$AH$1001,MATCH(ROWS($AF$2:AF728),$AF$2:$AF$1001,0),0), INDEX($AM$1004:$BM$1004,1,MATCH(COLUMNS($AM$1006:BG1006),$AM$1006:$BM$1006,0)))),"Fix")))</f>
        <v xml:space="preserve"> </v>
      </c>
      <c r="W728" s="4" t="str">
        <f ca="1">IF(OR(INDEX($AG$2:$AG$1001,MATCH(ROWS($AF$2:AF728),$AF$2:$AF$1001,0),1)&gt;=100000,INDEX($AM$1005:$BM$1005,1,MATCH(COLUMNS($AM$1006:BH1006),$AM$1006:$BM$1006,0))&gt;=100000), " ",IF(INDEX($AM$2:$BM$1001,MATCH(ROWS($AF$2:AF728),$AF$2:$AF$1001,0),MATCH(COLUMNS($AM$1006:BH1006),$AM$1006:$BM$1006,0)), HYPERLINK("#",""), HYPERLINK(CONCATENATE("#metadata!", ADDRESS(INDEX($AH$2:$AH$1001,MATCH(ROWS($AF$2:AF728),$AF$2:$AF$1001,0),0), INDEX($AM$1004:$BM$1004,1,MATCH(COLUMNS($AM$1006:BH1006),$AM$1006:$BM$1006,0)))),"Fix")))</f>
        <v xml:space="preserve"> </v>
      </c>
      <c r="X728" s="4" t="str">
        <f ca="1">IF(OR(INDEX($AG$2:$AG$1001,MATCH(ROWS($AF$2:AF728),$AF$2:$AF$1001,0),1)&gt;=100000,INDEX($AM$1005:$BM$1005,1,MATCH(COLUMNS($AM$1006:BI1006),$AM$1006:$BM$1006,0))&gt;=100000), " ",IF(INDEX($AM$2:$BM$1001,MATCH(ROWS($AF$2:AF728),$AF$2:$AF$1001,0),MATCH(COLUMNS($AM$1006:BI1006),$AM$1006:$BM$1006,0)), HYPERLINK("#",""), HYPERLINK(CONCATENATE("#metadata!", ADDRESS(INDEX($AH$2:$AH$1001,MATCH(ROWS($AF$2:AF728),$AF$2:$AF$1001,0),0), INDEX($AM$1004:$BM$1004,1,MATCH(COLUMNS($AM$1006:BI1006),$AM$1006:$BM$1006,0)))),"Fix")))</f>
        <v xml:space="preserve"> </v>
      </c>
      <c r="Y728" s="4" t="str">
        <f ca="1">IF(OR(INDEX($AG$2:$AG$1001,MATCH(ROWS($AF$2:AF728),$AF$2:$AF$1001,0),1)&gt;=100000,INDEX($AM$1005:$BM$1005,1,MATCH(COLUMNS($AM$1006:BJ1006),$AM$1006:$BM$1006,0))&gt;=100000), " ",IF(INDEX($AM$2:$BM$1001,MATCH(ROWS($AF$2:AF728),$AF$2:$AF$1001,0),MATCH(COLUMNS($AM$1006:BJ1006),$AM$1006:$BM$1006,0)), HYPERLINK("#",""), HYPERLINK(CONCATENATE("#metadata!", ADDRESS(INDEX($AH$2:$AH$1001,MATCH(ROWS($AF$2:AF728),$AF$2:$AF$1001,0),0), INDEX($AM$1004:$BM$1004,1,MATCH(COLUMNS($AM$1006:BJ1006),$AM$1006:$BM$1006,0)))),"Fix")))</f>
        <v xml:space="preserve"> </v>
      </c>
      <c r="Z728" s="4" t="str">
        <f ca="1">IF(OR(INDEX($AG$2:$AG$1001,MATCH(ROWS($AF$2:AF728),$AF$2:$AF$1001,0),1)&gt;=100000,INDEX($AM$1005:$BM$1005,1,MATCH(COLUMNS($AM$1006:BK1006),$AM$1006:$BM$1006,0))&gt;=100000), " ",IF(INDEX($AM$2:$BM$1001,MATCH(ROWS($AF$2:AF728),$AF$2:$AF$1001,0),MATCH(COLUMNS($AM$1006:BK1006),$AM$1006:$BM$1006,0)), HYPERLINK("#",""), HYPERLINK(CONCATENATE("#metadata!", ADDRESS(INDEX($AH$2:$AH$1001,MATCH(ROWS($AF$2:AF728),$AF$2:$AF$1001,0),0), INDEX($AM$1004:$BM$1004,1,MATCH(COLUMNS($AM$1006:BK1006),$AM$1006:$BM$1006,0)))),"Fix")))</f>
        <v xml:space="preserve"> </v>
      </c>
      <c r="AA728" s="4" t="str">
        <f ca="1">IF(OR(INDEX($AG$2:$AG$1001,MATCH(ROWS($AF$2:AF728),$AF$2:$AF$1001,0),1)&gt;=100000,INDEX($AM$1005:$BM$1005,1,MATCH(COLUMNS($AM$1006:BL1006),$AM$1006:$BM$1006,0))&gt;=100000), " ",IF(INDEX($AM$2:$BM$1001,MATCH(ROWS($AF$2:AF728),$AF$2:$AF$1001,0),MATCH(COLUMNS($AM$1006:BL1006),$AM$1006:$BM$1006,0)), HYPERLINK("#",""), HYPERLINK(CONCATENATE("#metadata!", ADDRESS(INDEX($AH$2:$AH$1001,MATCH(ROWS($AF$2:AF728),$AF$2:$AF$1001,0),0), INDEX($AM$1004:$BM$1004,1,MATCH(COLUMNS($AM$1006:BL1006),$AM$1006:$BM$1006,0)))),"Fix")))</f>
        <v xml:space="preserve"> </v>
      </c>
      <c r="AB728" s="4" t="str">
        <f ca="1">IF(OR(INDEX($AG$2:$AG$1001,MATCH(ROWS($AF$2:AF728),$AF$2:$AF$1001,0),1)&gt;=100000,INDEX($AM$1005:$BM$1005,1,MATCH(COLUMNS($AM$1006:BM1006),$AM$1006:$BM$1006,0))&gt;=100000), " ",IF(INDEX($AM$2:$BM$1001,MATCH(ROWS($AF$2:AF728),$AF$2:$AF$1001,0),MATCH(COLUMNS($AM$1006:BM1006),$AM$1006:$BM$1006,0)), HYPERLINK("#",""), HYPERLINK(CONCATENATE("#metadata!", ADDRESS(INDEX($AH$2:$AH$1001,MATCH(ROWS($AF$2:AF728),$AF$2:$AF$1001,0),0), INDEX($AM$1004:$BM$1004,1,MATCH(COLUMNS($AM$1006:BM1006),$AM$1006:$BM$1006,0)))),"Fix")))</f>
        <v xml:space="preserve"> </v>
      </c>
      <c r="AF728">
        <v>727</v>
      </c>
      <c r="AG728">
        <v>100728</v>
      </c>
      <c r="AH728">
        <v>728</v>
      </c>
      <c r="AI728" t="b">
        <f t="shared" si="11"/>
        <v>1</v>
      </c>
      <c r="AJ728" t="b">
        <f>COUNTBLANK(metadata!B728:AB728)=COLUMNS(metadata!B728:AB728)</f>
        <v>1</v>
      </c>
      <c r="AK728" t="str">
        <v/>
      </c>
      <c r="AM728" t="b">
        <f ca="1">AND(IF(metadata!B728="",FALSE,TRUE),COUNTIF(metadata!B:B, metadata!B728) = 1,NOT(ISERROR(SUMPRODUCT(SEARCH(MID(metadata!B728,ROW(INDIRECT("1:"&amp;LEN(metadata!B728))), 1),"0123456789abcdefghijklmnopqrstuvwxyzABCDEFGHIJKLMNOPQRSTUVWXYZ.")))))</f>
        <v>0</v>
      </c>
      <c r="AN728" t="b">
        <f ca="1">OR(AND(IF(metadata!C728="",FALSE,TRUE),OR(EXACT(metadata!C728,"missing: not collected"),EXACT(metadata!C728,"missing: not provided"),EXACT(metadata!C728,"missing: restricted access"))),AND(IF(metadata!C728="",FALSE,TRUE),AND(AND(IFERROR(INT(LEFT(metadata!C728,4))&gt;1900,FALSE),IFERROR(INT(LEFT(metadata!C728,4))&lt;=YEAR(NOW()),FALSE)), OR(MID(metadata!C728,5,1)="", AND(AND(MID(metadata!C728,5,1)="-",IFERROR(INT(MID(metadata!C728,6,1))&gt;=0,FALSE),IFERROR(INT(MID(metadata!C728,6,1))&lt;=1,FALSE),NOT(MID(metadata!C728,7,1)=""),IFERROR(INT(MID(metadata!C728,6,2))&gt;=1,FALSE),IFERROR(INT(MID(metadata!C728,6,2))&lt;=12,FALSE)), OR(MID(metadata!C728,8,1)="", AND(AND(MID(metadata!C728,8,1)="-",IFERROR(INT(MID(metadata!C728,9,1))&gt;=0,FALSE),IFERROR(INT(MID(metadata!C728,9,1))&lt;=3,FALSE),NOT(MID(metadata!C728,10,1)=""),IFERROR(INT(MID(metadata!C728,9,2))&gt;=1,FALSE),IFERROR(INT(MID(metadata!C728,9,2))&lt;=31,FALSE)), OR(MID(metadata!C728,11,1)="", AND(AND(MID(metadata!C728,11,1)=" ",IFERROR(INT(MID(metadata!C728,12,1))&gt;=0,FALSE),IFERROR(INT(MID(metadata!C728,12,1))&lt;=2,FALSE),NOT(MID(metadata!C728,13,1)=""),IFERROR(INT(MID(metadata!C728,12,2))&gt;=0,FALSE),IFERROR(INT(MID(metadata!C728,12,2))&lt;=23,FALSE)), OR(MID(metadata!C728,14,1)="", AND(AND(MID(metadata!C728,14,1)=":",IFERROR(INT(MID(metadata!C728,15,1))&gt;=0,FALSE),IFERROR(INT(MID(metadata!C728,15,1))&lt;=5,FALSE),NOT(MID(metadata!C728,16,1)=""),IFERROR(INT(MID(metadata!C728,15,2))&gt;=0,FALSE),IFERROR(INT(MID(metadata!C728,15,2))&lt;=59,FALSE)), OR(MID(metadata!C728,17,1)="", AND(AND(MID(metadata!C728,17,1)=":",IFERROR(INT(MID(metadata!C728,18,1))&gt;=0,FALSE),IFERROR(INT(MID(metadata!C728,18,1))&lt;=5,FALSE),NOT(MID(metadata!C728,19,1)=""),IFERROR(INT(MID(metadata!C728,18,2))&gt;=0,FALSE),IFERROR(INT(MID(metadata!C728,18,2))&lt;=59,FALSE)), LEN(metadata!C728)&lt;=19)))))))))))))</f>
        <v>0</v>
      </c>
      <c r="AO728" t="b">
        <f>AND(IF(metadata!D728="",FALSE,TRUE),EXACT(metadata!D728,"Not applicable"))</f>
        <v>0</v>
      </c>
      <c r="AP728" t="b">
        <f>IF(metadata!E728="",FALSE,TRUE)</f>
        <v>0</v>
      </c>
      <c r="AQ728" t="b">
        <f>OR(AND(IF(metadata!F728="",FALSE,TRUE),OR(EXACT(metadata!F728,"missing: not collected"),EXACT(metadata!F728,"missing: not provided"))),AND(IF(metadata!F728="",FALSE,TRUE),OR(EXACT(metadata!F728,"TRUE"),EXACT(metadata!F728,"FALSE"))))</f>
        <v>0</v>
      </c>
      <c r="AR728" t="b">
        <f>OR(AND(IF(metadata!G728="",FALSE,TRUE),OR(EXACT(metadata!G728,"missing: not collected"),EXACT(metadata!G728,"missing: not provided"),EXACT(metadata!G728,"missing: restricted access"))),AND(IF(metadata!G728="",FALSE,ISNUMBER(VALUE(metadata!G728))),metadata!G728&gt;=-413))</f>
        <v>0</v>
      </c>
      <c r="AS728" t="b">
        <f>AND(IF(metadata!H728="",FALSE,TRUE),EXACT(metadata!H728,"meters"))</f>
        <v>0</v>
      </c>
      <c r="AT728" t="b">
        <f>AND(IF(metadata!I728="",FALSE,TRUE),OR(EXACT(metadata!I728,"Host-associated"),EXACT(metadata!I728,"Free-living")))</f>
        <v>0</v>
      </c>
      <c r="AU728" t="b">
        <f>AND(IF(metadata!J728="",FALSE,TRUE),OR(EXACT(metadata!J728,"Animal"),EXACT(metadata!J728,"Fungus"),EXACT(metadata!J728,"Plant"),EXACT(metadata!J728,"Saline"),EXACT(metadata!J728,"Non-saline")))</f>
        <v>0</v>
      </c>
      <c r="AV728" t="b">
        <f>AND(IF(metadata!K728="",FALSE,TRUE),OR(EXACT(metadata!K728,"Plant secretion"),EXACT(metadata!K728,"Plant rhizosphere"),EXACT(metadata!K728,"Plant surface"),EXACT(metadata!K728,"Plant corpus"),EXACT(metadata!K728,"Fungus surface"),EXACT(metadata!K728,"Fungus corpus"),EXACT(metadata!K728,"Animal surface"),EXACT(metadata!K728,"Animal proximal gut"),EXACT(metadata!K728,"Animal corpus"),EXACT(metadata!K728,"Animal distal gut"),EXACT(metadata!K728,"Animal secretion"),EXACT(metadata!K728,"Sub-surface (non-saline)"),EXACT(metadata!K728,"Surface (non-saline)"),EXACT(metadata!K728,"Water (non-saline)"),EXACT(metadata!K728,"Soil (non-saline)"),EXACT(metadata!K728,"Aerosol (non-saline)"),EXACT(metadata!K728,"Sediment (non-saline)"),EXACT(metadata!K728,"Surface (saline)"),EXACT(metadata!K728,"Water (saline)"),EXACT(metadata!K728,"Hypersaline (saline)"),EXACT(metadata!K728,"Aerosol (saline)"),EXACT(metadata!K728,"Sediment (saline)")))</f>
        <v>0</v>
      </c>
      <c r="AW728" t="b">
        <f>IF(metadata!L728="",FALSE,TRUE)</f>
        <v>0</v>
      </c>
      <c r="AX728" t="b">
        <f>IF(metadata!M728="",FALSE,TRUE)</f>
        <v>0</v>
      </c>
      <c r="AY728" t="b">
        <f>IF(metadata!N728="",FALSE,TRUE)</f>
        <v>0</v>
      </c>
      <c r="AZ728" t="b">
        <f>OR(AND(IF(metadata!O728="",FALSE,TRUE),OR(EXACT(metadata!O728,"missing: not collected"),EXACT(metadata!O728,"missing: not provided"),EXACT(metadata!O728,"missing: restricted access"))),AND(IF(metadata!O728="",FALSE,TRUE),OR(EXACT(metadata!O728,"air"),EXACT(metadata!O728,"built environment"),EXACT(metadata!O728,"host-associated"),EXACT(metadata!O728,"human-associated"),EXACT(metadata!O728,"human-skin"),EXACT(metadata!O728,"human-oral"),EXACT(metadata!O728,"human-gut"),EXACT(metadata!O728,"human-vaginal"),EXACT(metadata!O728,"microbial mat/biofilm"),EXACT(metadata!O728,"misc environment"),EXACT(metadata!O728,"plant-associated"),EXACT(metadata!O728,"sediment"),EXACT(metadata!O728,"soil"),EXACT(metadata!O728,"wastewater/sludge"),EXACT(metadata!O728,"water"))))</f>
        <v>0</v>
      </c>
      <c r="BA728" t="b">
        <f>IF(metadata!P728="",FALSE,TRUE)</f>
        <v>0</v>
      </c>
      <c r="BB728" t="b">
        <f>IF(metadata!Q728="",FALSE,TRUE)</f>
        <v>0</v>
      </c>
      <c r="BC728" t="b">
        <f>OR(AND(IF(metadata!R728="",FALSE,TRUE),OR(EXACT(metadata!R728,"missing: not collected"),EXACT(metadata!R728,"missing: not provided"),EXACT(metadata!R728,"missing: restricted access"))),AND(IF(metadata!R728="",FALSE,ISNUMBER(VALUE(metadata!R728))),metadata!R728&gt;=-90,metadata!R728&lt;=90))</f>
        <v>0</v>
      </c>
      <c r="BD728" t="b">
        <f>AND(IF(metadata!S728="",FALSE,TRUE),EXACT(metadata!S728,"Decimal degrees"))</f>
        <v>0</v>
      </c>
      <c r="BE728" t="b">
        <f>OR(AND(IF(metadata!T728="",FALSE,TRUE),OR(EXACT(metadata!T728,"missing: not collected"),EXACT(metadata!T728,"missing: not provided"),EXACT(metadata!T728,"missing: restricted access"))),AND(IF(metadata!T728="",FALSE,ISNUMBER(VALUE(metadata!T728))),metadata!T728&gt;=-180,metadata!T728&lt;=180))</f>
        <v>0</v>
      </c>
      <c r="BF728" t="b">
        <f>AND(IF(metadata!U728="",FALSE,TRUE),EXACT(metadata!U728,"Decimal degrees"))</f>
        <v>0</v>
      </c>
      <c r="BG728" t="b">
        <f>IF(metadata!V728="",FALSE,TRUE)</f>
        <v>0</v>
      </c>
      <c r="BH728" t="b">
        <f>OR(AND(IF(metadata!W728="",FALSE,TRUE),OR(EXACT(metadata!W728,"missing: not collected"),EXACT(metadata!W728,"missing: not provided"),EXACT(metadata!W728,"missing: restricted access"))),AND(IF(metadata!W728="",FALSE,TRUE),OR(EXACT(metadata!W728,"TRUE"),EXACT(metadata!W728,"FALSE"))))</f>
        <v>0</v>
      </c>
      <c r="BI728" t="b">
        <f>AND(IF(metadata!X728="",FALSE,TRUE),EXACT(metadata!X728,"other"))</f>
        <v>0</v>
      </c>
      <c r="BJ728" t="b">
        <f>IF(metadata!Y728="",FALSE,TRUE)</f>
        <v>0</v>
      </c>
      <c r="BK728" t="b">
        <f>OR(AND(IF(metadata!Z728="",FALSE,TRUE),OR(EXACT(metadata!Z728,"missing: not collected"),EXACT(metadata!Z728,"missing: not provided"))),AND(IF(metadata!Z728="",FALSE,IF(ISERROR(INT(metadata!Z728)),FALSE,INT(metadata!Z728)=metadata!Z728)),metadata!Z728&gt;0))</f>
        <v>0</v>
      </c>
      <c r="BL728" t="b">
        <f>AND(IF(metadata!AA728="",FALSE,TRUE),EXACT(metadata!AA728,"Not applicable"))</f>
        <v>0</v>
      </c>
      <c r="BM728" t="b">
        <f>IF(metadata!AB728="",FALSE,TRUE)</f>
        <v>0</v>
      </c>
    </row>
    <row r="729" spans="1:65" x14ac:dyDescent="0.2">
      <c r="A729" s="5" t="str">
        <f ca="1">IF(B729=" "," ",HYPERLINK(CONCATENATE("#metadata!",ADDRESS(INDEX($AH$2:$AH$1001,MATCH(ROWS($AF$2:AF729),$AF$2:$AF$1001,0),0),1)),INDEX($AK$2:$AK$1001,MATCH(ROWS($AF$2:AF729),$AF$2:$AF$1001,0),0)))</f>
        <v xml:space="preserve"> </v>
      </c>
      <c r="B729" s="4" t="str">
        <f ca="1">IF(OR(INDEX($AG$2:$AG$1001,MATCH(ROWS($AF$2:AF729),$AF$2:$AF$1001,0),1)&gt;=100000,INDEX($AM$1005:$BM$1005,1,MATCH(COLUMNS($AM$1006:AM1006),$AM$1006:$BM$1006,0))&gt;=100000), " ",IF(INDEX($AM$2:$BM$1001,MATCH(ROWS($AF$2:AF729),$AF$2:$AF$1001,0),MATCH(COLUMNS($AM$1006:AM1006),$AM$1006:$BM$1006,0)), HYPERLINK("#",""), HYPERLINK(CONCATENATE("#metadata!", ADDRESS(INDEX($AH$2:$AH$1001,MATCH(ROWS($AF$2:AF729),$AF$2:$AF$1001,0),0), INDEX($AM$1004:$BM$1004,1,MATCH(COLUMNS($AM$1006:AM1006),$AM$1006:$BM$1006,0)))),"Fix")))</f>
        <v xml:space="preserve"> </v>
      </c>
      <c r="C729" s="4" t="str">
        <f ca="1">IF(OR(INDEX($AG$2:$AG$1001,MATCH(ROWS($AF$2:AF729),$AF$2:$AF$1001,0),1)&gt;=100000,INDEX($AM$1005:$BM$1005,1,MATCH(COLUMNS($AM$1006:AN1006),$AM$1006:$BM$1006,0))&gt;=100000), " ",IF(INDEX($AM$2:$BM$1001,MATCH(ROWS($AF$2:AF729),$AF$2:$AF$1001,0),MATCH(COLUMNS($AM$1006:AN1006),$AM$1006:$BM$1006,0)), HYPERLINK("#",""), HYPERLINK(CONCATENATE("#metadata!", ADDRESS(INDEX($AH$2:$AH$1001,MATCH(ROWS($AF$2:AF729),$AF$2:$AF$1001,0),0), INDEX($AM$1004:$BM$1004,1,MATCH(COLUMNS($AM$1006:AN1006),$AM$1006:$BM$1006,0)))),"Fix")))</f>
        <v xml:space="preserve"> </v>
      </c>
      <c r="D729" s="4" t="str">
        <f ca="1">IF(OR(INDEX($AG$2:$AG$1001,MATCH(ROWS($AF$2:AF729),$AF$2:$AF$1001,0),1)&gt;=100000,INDEX($AM$1005:$BM$1005,1,MATCH(COLUMNS($AM$1006:AO1006),$AM$1006:$BM$1006,0))&gt;=100000), " ",IF(INDEX($AM$2:$BM$1001,MATCH(ROWS($AF$2:AF729),$AF$2:$AF$1001,0),MATCH(COLUMNS($AM$1006:AO1006),$AM$1006:$BM$1006,0)), HYPERLINK("#",""), HYPERLINK(CONCATENATE("#metadata!", ADDRESS(INDEX($AH$2:$AH$1001,MATCH(ROWS($AF$2:AF729),$AF$2:$AF$1001,0),0), INDEX($AM$1004:$BM$1004,1,MATCH(COLUMNS($AM$1006:AO1006),$AM$1006:$BM$1006,0)))),"Fix")))</f>
        <v xml:space="preserve"> </v>
      </c>
      <c r="E729" s="4" t="str">
        <f ca="1">IF(OR(INDEX($AG$2:$AG$1001,MATCH(ROWS($AF$2:AF729),$AF$2:$AF$1001,0),1)&gt;=100000,INDEX($AM$1005:$BM$1005,1,MATCH(COLUMNS($AM$1006:AP1006),$AM$1006:$BM$1006,0))&gt;=100000), " ",IF(INDEX($AM$2:$BM$1001,MATCH(ROWS($AF$2:AF729),$AF$2:$AF$1001,0),MATCH(COLUMNS($AM$1006:AP1006),$AM$1006:$BM$1006,0)), HYPERLINK("#",""), HYPERLINK(CONCATENATE("#metadata!", ADDRESS(INDEX($AH$2:$AH$1001,MATCH(ROWS($AF$2:AF729),$AF$2:$AF$1001,0),0), INDEX($AM$1004:$BM$1004,1,MATCH(COLUMNS($AM$1006:AP1006),$AM$1006:$BM$1006,0)))),"Fix")))</f>
        <v xml:space="preserve"> </v>
      </c>
      <c r="F729" s="4" t="str">
        <f ca="1">IF(OR(INDEX($AG$2:$AG$1001,MATCH(ROWS($AF$2:AF729),$AF$2:$AF$1001,0),1)&gt;=100000,INDEX($AM$1005:$BM$1005,1,MATCH(COLUMNS($AM$1006:AQ1006),$AM$1006:$BM$1006,0))&gt;=100000), " ",IF(INDEX($AM$2:$BM$1001,MATCH(ROWS($AF$2:AF729),$AF$2:$AF$1001,0),MATCH(COLUMNS($AM$1006:AQ1006),$AM$1006:$BM$1006,0)), HYPERLINK("#",""), HYPERLINK(CONCATENATE("#metadata!", ADDRESS(INDEX($AH$2:$AH$1001,MATCH(ROWS($AF$2:AF729),$AF$2:$AF$1001,0),0), INDEX($AM$1004:$BM$1004,1,MATCH(COLUMNS($AM$1006:AQ1006),$AM$1006:$BM$1006,0)))),"Fix")))</f>
        <v xml:space="preserve"> </v>
      </c>
      <c r="G729" s="4" t="str">
        <f ca="1">IF(OR(INDEX($AG$2:$AG$1001,MATCH(ROWS($AF$2:AF729),$AF$2:$AF$1001,0),1)&gt;=100000,INDEX($AM$1005:$BM$1005,1,MATCH(COLUMNS($AM$1006:AR1006),$AM$1006:$BM$1006,0))&gt;=100000), " ",IF(INDEX($AM$2:$BM$1001,MATCH(ROWS($AF$2:AF729),$AF$2:$AF$1001,0),MATCH(COLUMNS($AM$1006:AR1006),$AM$1006:$BM$1006,0)), HYPERLINK("#",""), HYPERLINK(CONCATENATE("#metadata!", ADDRESS(INDEX($AH$2:$AH$1001,MATCH(ROWS($AF$2:AF729),$AF$2:$AF$1001,0),0), INDEX($AM$1004:$BM$1004,1,MATCH(COLUMNS($AM$1006:AR1006),$AM$1006:$BM$1006,0)))),"Fix")))</f>
        <v xml:space="preserve"> </v>
      </c>
      <c r="H729" s="4" t="str">
        <f ca="1">IF(OR(INDEX($AG$2:$AG$1001,MATCH(ROWS($AF$2:AF729),$AF$2:$AF$1001,0),1)&gt;=100000,INDEX($AM$1005:$BM$1005,1,MATCH(COLUMNS($AM$1006:AS1006),$AM$1006:$BM$1006,0))&gt;=100000), " ",IF(INDEX($AM$2:$BM$1001,MATCH(ROWS($AF$2:AF729),$AF$2:$AF$1001,0),MATCH(COLUMNS($AM$1006:AS1006),$AM$1006:$BM$1006,0)), HYPERLINK("#",""), HYPERLINK(CONCATENATE("#metadata!", ADDRESS(INDEX($AH$2:$AH$1001,MATCH(ROWS($AF$2:AF729),$AF$2:$AF$1001,0),0), INDEX($AM$1004:$BM$1004,1,MATCH(COLUMNS($AM$1006:AS1006),$AM$1006:$BM$1006,0)))),"Fix")))</f>
        <v xml:space="preserve"> </v>
      </c>
      <c r="I729" s="4" t="str">
        <f ca="1">IF(OR(INDEX($AG$2:$AG$1001,MATCH(ROWS($AF$2:AF729),$AF$2:$AF$1001,0),1)&gt;=100000,INDEX($AM$1005:$BM$1005,1,MATCH(COLUMNS($AM$1006:AT1006),$AM$1006:$BM$1006,0))&gt;=100000), " ",IF(INDEX($AM$2:$BM$1001,MATCH(ROWS($AF$2:AF729),$AF$2:$AF$1001,0),MATCH(COLUMNS($AM$1006:AT1006),$AM$1006:$BM$1006,0)), HYPERLINK("#",""), HYPERLINK(CONCATENATE("#metadata!", ADDRESS(INDEX($AH$2:$AH$1001,MATCH(ROWS($AF$2:AF729),$AF$2:$AF$1001,0),0), INDEX($AM$1004:$BM$1004,1,MATCH(COLUMNS($AM$1006:AT1006),$AM$1006:$BM$1006,0)))),"Fix")))</f>
        <v xml:space="preserve"> </v>
      </c>
      <c r="J729" s="4" t="str">
        <f ca="1">IF(OR(INDEX($AG$2:$AG$1001,MATCH(ROWS($AF$2:AF729),$AF$2:$AF$1001,0),1)&gt;=100000,INDEX($AM$1005:$BM$1005,1,MATCH(COLUMNS($AM$1006:AU1006),$AM$1006:$BM$1006,0))&gt;=100000), " ",IF(INDEX($AM$2:$BM$1001,MATCH(ROWS($AF$2:AF729),$AF$2:$AF$1001,0),MATCH(COLUMNS($AM$1006:AU1006),$AM$1006:$BM$1006,0)), HYPERLINK("#",""), HYPERLINK(CONCATENATE("#metadata!", ADDRESS(INDEX($AH$2:$AH$1001,MATCH(ROWS($AF$2:AF729),$AF$2:$AF$1001,0),0), INDEX($AM$1004:$BM$1004,1,MATCH(COLUMNS($AM$1006:AU1006),$AM$1006:$BM$1006,0)))),"Fix")))</f>
        <v xml:space="preserve"> </v>
      </c>
      <c r="K729" s="4" t="str">
        <f ca="1">IF(OR(INDEX($AG$2:$AG$1001,MATCH(ROWS($AF$2:AF729),$AF$2:$AF$1001,0),1)&gt;=100000,INDEX($AM$1005:$BM$1005,1,MATCH(COLUMNS($AM$1006:AV1006),$AM$1006:$BM$1006,0))&gt;=100000), " ",IF(INDEX($AM$2:$BM$1001,MATCH(ROWS($AF$2:AF729),$AF$2:$AF$1001,0),MATCH(COLUMNS($AM$1006:AV1006),$AM$1006:$BM$1006,0)), HYPERLINK("#",""), HYPERLINK(CONCATENATE("#metadata!", ADDRESS(INDEX($AH$2:$AH$1001,MATCH(ROWS($AF$2:AF729),$AF$2:$AF$1001,0),0), INDEX($AM$1004:$BM$1004,1,MATCH(COLUMNS($AM$1006:AV1006),$AM$1006:$BM$1006,0)))),"Fix")))</f>
        <v xml:space="preserve"> </v>
      </c>
      <c r="L729" s="4" t="str">
        <f ca="1">IF(OR(INDEX($AG$2:$AG$1001,MATCH(ROWS($AF$2:AF729),$AF$2:$AF$1001,0),1)&gt;=100000,INDEX($AM$1005:$BM$1005,1,MATCH(COLUMNS($AM$1006:AW1006),$AM$1006:$BM$1006,0))&gt;=100000), " ",IF(INDEX($AM$2:$BM$1001,MATCH(ROWS($AF$2:AF729),$AF$2:$AF$1001,0),MATCH(COLUMNS($AM$1006:AW1006),$AM$1006:$BM$1006,0)), HYPERLINK("#",""), HYPERLINK(CONCATENATE("#metadata!", ADDRESS(INDEX($AH$2:$AH$1001,MATCH(ROWS($AF$2:AF729),$AF$2:$AF$1001,0),0), INDEX($AM$1004:$BM$1004,1,MATCH(COLUMNS($AM$1006:AW1006),$AM$1006:$BM$1006,0)))),"Fix")))</f>
        <v xml:space="preserve"> </v>
      </c>
      <c r="M729" s="4" t="str">
        <f ca="1">IF(OR(INDEX($AG$2:$AG$1001,MATCH(ROWS($AF$2:AF729),$AF$2:$AF$1001,0),1)&gt;=100000,INDEX($AM$1005:$BM$1005,1,MATCH(COLUMNS($AM$1006:AX1006),$AM$1006:$BM$1006,0))&gt;=100000), " ",IF(INDEX($AM$2:$BM$1001,MATCH(ROWS($AF$2:AF729),$AF$2:$AF$1001,0),MATCH(COLUMNS($AM$1006:AX1006),$AM$1006:$BM$1006,0)), HYPERLINK("#",""), HYPERLINK(CONCATENATE("#metadata!", ADDRESS(INDEX($AH$2:$AH$1001,MATCH(ROWS($AF$2:AF729),$AF$2:$AF$1001,0),0), INDEX($AM$1004:$BM$1004,1,MATCH(COLUMNS($AM$1006:AX1006),$AM$1006:$BM$1006,0)))),"Fix")))</f>
        <v xml:space="preserve"> </v>
      </c>
      <c r="N729" s="4" t="str">
        <f ca="1">IF(OR(INDEX($AG$2:$AG$1001,MATCH(ROWS($AF$2:AF729),$AF$2:$AF$1001,0),1)&gt;=100000,INDEX($AM$1005:$BM$1005,1,MATCH(COLUMNS($AM$1006:AY1006),$AM$1006:$BM$1006,0))&gt;=100000), " ",IF(INDEX($AM$2:$BM$1001,MATCH(ROWS($AF$2:AF729),$AF$2:$AF$1001,0),MATCH(COLUMNS($AM$1006:AY1006),$AM$1006:$BM$1006,0)), HYPERLINK("#",""), HYPERLINK(CONCATENATE("#metadata!", ADDRESS(INDEX($AH$2:$AH$1001,MATCH(ROWS($AF$2:AF729),$AF$2:$AF$1001,0),0), INDEX($AM$1004:$BM$1004,1,MATCH(COLUMNS($AM$1006:AY1006),$AM$1006:$BM$1006,0)))),"Fix")))</f>
        <v xml:space="preserve"> </v>
      </c>
      <c r="O729" s="4" t="str">
        <f ca="1">IF(OR(INDEX($AG$2:$AG$1001,MATCH(ROWS($AF$2:AF729),$AF$2:$AF$1001,0),1)&gt;=100000,INDEX($AM$1005:$BM$1005,1,MATCH(COLUMNS($AM$1006:AZ1006),$AM$1006:$BM$1006,0))&gt;=100000), " ",IF(INDEX($AM$2:$BM$1001,MATCH(ROWS($AF$2:AF729),$AF$2:$AF$1001,0),MATCH(COLUMNS($AM$1006:AZ1006),$AM$1006:$BM$1006,0)), HYPERLINK("#",""), HYPERLINK(CONCATENATE("#metadata!", ADDRESS(INDEX($AH$2:$AH$1001,MATCH(ROWS($AF$2:AF729),$AF$2:$AF$1001,0),0), INDEX($AM$1004:$BM$1004,1,MATCH(COLUMNS($AM$1006:AZ1006),$AM$1006:$BM$1006,0)))),"Fix")))</f>
        <v xml:space="preserve"> </v>
      </c>
      <c r="P729" s="4" t="str">
        <f ca="1">IF(OR(INDEX($AG$2:$AG$1001,MATCH(ROWS($AF$2:AF729),$AF$2:$AF$1001,0),1)&gt;=100000,INDEX($AM$1005:$BM$1005,1,MATCH(COLUMNS($AM$1006:BA1006),$AM$1006:$BM$1006,0))&gt;=100000), " ",IF(INDEX($AM$2:$BM$1001,MATCH(ROWS($AF$2:AF729),$AF$2:$AF$1001,0),MATCH(COLUMNS($AM$1006:BA1006),$AM$1006:$BM$1006,0)), HYPERLINK("#",""), HYPERLINK(CONCATENATE("#metadata!", ADDRESS(INDEX($AH$2:$AH$1001,MATCH(ROWS($AF$2:AF729),$AF$2:$AF$1001,0),0), INDEX($AM$1004:$BM$1004,1,MATCH(COLUMNS($AM$1006:BA1006),$AM$1006:$BM$1006,0)))),"Fix")))</f>
        <v xml:space="preserve"> </v>
      </c>
      <c r="Q729" s="4" t="str">
        <f ca="1">IF(OR(INDEX($AG$2:$AG$1001,MATCH(ROWS($AF$2:AF729),$AF$2:$AF$1001,0),1)&gt;=100000,INDEX($AM$1005:$BM$1005,1,MATCH(COLUMNS($AM$1006:BB1006),$AM$1006:$BM$1006,0))&gt;=100000), " ",IF(INDEX($AM$2:$BM$1001,MATCH(ROWS($AF$2:AF729),$AF$2:$AF$1001,0),MATCH(COLUMNS($AM$1006:BB1006),$AM$1006:$BM$1006,0)), HYPERLINK("#",""), HYPERLINK(CONCATENATE("#metadata!", ADDRESS(INDEX($AH$2:$AH$1001,MATCH(ROWS($AF$2:AF729),$AF$2:$AF$1001,0),0), INDEX($AM$1004:$BM$1004,1,MATCH(COLUMNS($AM$1006:BB1006),$AM$1006:$BM$1006,0)))),"Fix")))</f>
        <v xml:space="preserve"> </v>
      </c>
      <c r="R729" s="4" t="str">
        <f ca="1">IF(OR(INDEX($AG$2:$AG$1001,MATCH(ROWS($AF$2:AF729),$AF$2:$AF$1001,0),1)&gt;=100000,INDEX($AM$1005:$BM$1005,1,MATCH(COLUMNS($AM$1006:BC1006),$AM$1006:$BM$1006,0))&gt;=100000), " ",IF(INDEX($AM$2:$BM$1001,MATCH(ROWS($AF$2:AF729),$AF$2:$AF$1001,0),MATCH(COLUMNS($AM$1006:BC1006),$AM$1006:$BM$1006,0)), HYPERLINK("#",""), HYPERLINK(CONCATENATE("#metadata!", ADDRESS(INDEX($AH$2:$AH$1001,MATCH(ROWS($AF$2:AF729),$AF$2:$AF$1001,0),0), INDEX($AM$1004:$BM$1004,1,MATCH(COLUMNS($AM$1006:BC1006),$AM$1006:$BM$1006,0)))),"Fix")))</f>
        <v xml:space="preserve"> </v>
      </c>
      <c r="S729" s="4" t="str">
        <f ca="1">IF(OR(INDEX($AG$2:$AG$1001,MATCH(ROWS($AF$2:AF729),$AF$2:$AF$1001,0),1)&gt;=100000,INDEX($AM$1005:$BM$1005,1,MATCH(COLUMNS($AM$1006:BD1006),$AM$1006:$BM$1006,0))&gt;=100000), " ",IF(INDEX($AM$2:$BM$1001,MATCH(ROWS($AF$2:AF729),$AF$2:$AF$1001,0),MATCH(COLUMNS($AM$1006:BD1006),$AM$1006:$BM$1006,0)), HYPERLINK("#",""), HYPERLINK(CONCATENATE("#metadata!", ADDRESS(INDEX($AH$2:$AH$1001,MATCH(ROWS($AF$2:AF729),$AF$2:$AF$1001,0),0), INDEX($AM$1004:$BM$1004,1,MATCH(COLUMNS($AM$1006:BD1006),$AM$1006:$BM$1006,0)))),"Fix")))</f>
        <v xml:space="preserve"> </v>
      </c>
      <c r="T729" s="4" t="str">
        <f ca="1">IF(OR(INDEX($AG$2:$AG$1001,MATCH(ROWS($AF$2:AF729),$AF$2:$AF$1001,0),1)&gt;=100000,INDEX($AM$1005:$BM$1005,1,MATCH(COLUMNS($AM$1006:BE1006),$AM$1006:$BM$1006,0))&gt;=100000), " ",IF(INDEX($AM$2:$BM$1001,MATCH(ROWS($AF$2:AF729),$AF$2:$AF$1001,0),MATCH(COLUMNS($AM$1006:BE1006),$AM$1006:$BM$1006,0)), HYPERLINK("#",""), HYPERLINK(CONCATENATE("#metadata!", ADDRESS(INDEX($AH$2:$AH$1001,MATCH(ROWS($AF$2:AF729),$AF$2:$AF$1001,0),0), INDEX($AM$1004:$BM$1004,1,MATCH(COLUMNS($AM$1006:BE1006),$AM$1006:$BM$1006,0)))),"Fix")))</f>
        <v xml:space="preserve"> </v>
      </c>
      <c r="U729" s="4" t="str">
        <f ca="1">IF(OR(INDEX($AG$2:$AG$1001,MATCH(ROWS($AF$2:AF729),$AF$2:$AF$1001,0),1)&gt;=100000,INDEX($AM$1005:$BM$1005,1,MATCH(COLUMNS($AM$1006:BF1006),$AM$1006:$BM$1006,0))&gt;=100000), " ",IF(INDEX($AM$2:$BM$1001,MATCH(ROWS($AF$2:AF729),$AF$2:$AF$1001,0),MATCH(COLUMNS($AM$1006:BF1006),$AM$1006:$BM$1006,0)), HYPERLINK("#",""), HYPERLINK(CONCATENATE("#metadata!", ADDRESS(INDEX($AH$2:$AH$1001,MATCH(ROWS($AF$2:AF729),$AF$2:$AF$1001,0),0), INDEX($AM$1004:$BM$1004,1,MATCH(COLUMNS($AM$1006:BF1006),$AM$1006:$BM$1006,0)))),"Fix")))</f>
        <v xml:space="preserve"> </v>
      </c>
      <c r="V729" s="4" t="str">
        <f ca="1">IF(OR(INDEX($AG$2:$AG$1001,MATCH(ROWS($AF$2:AF729),$AF$2:$AF$1001,0),1)&gt;=100000,INDEX($AM$1005:$BM$1005,1,MATCH(COLUMNS($AM$1006:BG1006),$AM$1006:$BM$1006,0))&gt;=100000), " ",IF(INDEX($AM$2:$BM$1001,MATCH(ROWS($AF$2:AF729),$AF$2:$AF$1001,0),MATCH(COLUMNS($AM$1006:BG1006),$AM$1006:$BM$1006,0)), HYPERLINK("#",""), HYPERLINK(CONCATENATE("#metadata!", ADDRESS(INDEX($AH$2:$AH$1001,MATCH(ROWS($AF$2:AF729),$AF$2:$AF$1001,0),0), INDEX($AM$1004:$BM$1004,1,MATCH(COLUMNS($AM$1006:BG1006),$AM$1006:$BM$1006,0)))),"Fix")))</f>
        <v xml:space="preserve"> </v>
      </c>
      <c r="W729" s="4" t="str">
        <f ca="1">IF(OR(INDEX($AG$2:$AG$1001,MATCH(ROWS($AF$2:AF729),$AF$2:$AF$1001,0),1)&gt;=100000,INDEX($AM$1005:$BM$1005,1,MATCH(COLUMNS($AM$1006:BH1006),$AM$1006:$BM$1006,0))&gt;=100000), " ",IF(INDEX($AM$2:$BM$1001,MATCH(ROWS($AF$2:AF729),$AF$2:$AF$1001,0),MATCH(COLUMNS($AM$1006:BH1006),$AM$1006:$BM$1006,0)), HYPERLINK("#",""), HYPERLINK(CONCATENATE("#metadata!", ADDRESS(INDEX($AH$2:$AH$1001,MATCH(ROWS($AF$2:AF729),$AF$2:$AF$1001,0),0), INDEX($AM$1004:$BM$1004,1,MATCH(COLUMNS($AM$1006:BH1006),$AM$1006:$BM$1006,0)))),"Fix")))</f>
        <v xml:space="preserve"> </v>
      </c>
      <c r="X729" s="4" t="str">
        <f ca="1">IF(OR(INDEX($AG$2:$AG$1001,MATCH(ROWS($AF$2:AF729),$AF$2:$AF$1001,0),1)&gt;=100000,INDEX($AM$1005:$BM$1005,1,MATCH(COLUMNS($AM$1006:BI1006),$AM$1006:$BM$1006,0))&gt;=100000), " ",IF(INDEX($AM$2:$BM$1001,MATCH(ROWS($AF$2:AF729),$AF$2:$AF$1001,0),MATCH(COLUMNS($AM$1006:BI1006),$AM$1006:$BM$1006,0)), HYPERLINK("#",""), HYPERLINK(CONCATENATE("#metadata!", ADDRESS(INDEX($AH$2:$AH$1001,MATCH(ROWS($AF$2:AF729),$AF$2:$AF$1001,0),0), INDEX($AM$1004:$BM$1004,1,MATCH(COLUMNS($AM$1006:BI1006),$AM$1006:$BM$1006,0)))),"Fix")))</f>
        <v xml:space="preserve"> </v>
      </c>
      <c r="Y729" s="4" t="str">
        <f ca="1">IF(OR(INDEX($AG$2:$AG$1001,MATCH(ROWS($AF$2:AF729),$AF$2:$AF$1001,0),1)&gt;=100000,INDEX($AM$1005:$BM$1005,1,MATCH(COLUMNS($AM$1006:BJ1006),$AM$1006:$BM$1006,0))&gt;=100000), " ",IF(INDEX($AM$2:$BM$1001,MATCH(ROWS($AF$2:AF729),$AF$2:$AF$1001,0),MATCH(COLUMNS($AM$1006:BJ1006),$AM$1006:$BM$1006,0)), HYPERLINK("#",""), HYPERLINK(CONCATENATE("#metadata!", ADDRESS(INDEX($AH$2:$AH$1001,MATCH(ROWS($AF$2:AF729),$AF$2:$AF$1001,0),0), INDEX($AM$1004:$BM$1004,1,MATCH(COLUMNS($AM$1006:BJ1006),$AM$1006:$BM$1006,0)))),"Fix")))</f>
        <v xml:space="preserve"> </v>
      </c>
      <c r="Z729" s="4" t="str">
        <f ca="1">IF(OR(INDEX($AG$2:$AG$1001,MATCH(ROWS($AF$2:AF729),$AF$2:$AF$1001,0),1)&gt;=100000,INDEX($AM$1005:$BM$1005,1,MATCH(COLUMNS($AM$1006:BK1006),$AM$1006:$BM$1006,0))&gt;=100000), " ",IF(INDEX($AM$2:$BM$1001,MATCH(ROWS($AF$2:AF729),$AF$2:$AF$1001,0),MATCH(COLUMNS($AM$1006:BK1006),$AM$1006:$BM$1006,0)), HYPERLINK("#",""), HYPERLINK(CONCATENATE("#metadata!", ADDRESS(INDEX($AH$2:$AH$1001,MATCH(ROWS($AF$2:AF729),$AF$2:$AF$1001,0),0), INDEX($AM$1004:$BM$1004,1,MATCH(COLUMNS($AM$1006:BK1006),$AM$1006:$BM$1006,0)))),"Fix")))</f>
        <v xml:space="preserve"> </v>
      </c>
      <c r="AA729" s="4" t="str">
        <f ca="1">IF(OR(INDEX($AG$2:$AG$1001,MATCH(ROWS($AF$2:AF729),$AF$2:$AF$1001,0),1)&gt;=100000,INDEX($AM$1005:$BM$1005,1,MATCH(COLUMNS($AM$1006:BL1006),$AM$1006:$BM$1006,0))&gt;=100000), " ",IF(INDEX($AM$2:$BM$1001,MATCH(ROWS($AF$2:AF729),$AF$2:$AF$1001,0),MATCH(COLUMNS($AM$1006:BL1006),$AM$1006:$BM$1006,0)), HYPERLINK("#",""), HYPERLINK(CONCATENATE("#metadata!", ADDRESS(INDEX($AH$2:$AH$1001,MATCH(ROWS($AF$2:AF729),$AF$2:$AF$1001,0),0), INDEX($AM$1004:$BM$1004,1,MATCH(COLUMNS($AM$1006:BL1006),$AM$1006:$BM$1006,0)))),"Fix")))</f>
        <v xml:space="preserve"> </v>
      </c>
      <c r="AB729" s="4" t="str">
        <f ca="1">IF(OR(INDEX($AG$2:$AG$1001,MATCH(ROWS($AF$2:AF729),$AF$2:$AF$1001,0),1)&gt;=100000,INDEX($AM$1005:$BM$1005,1,MATCH(COLUMNS($AM$1006:BM1006),$AM$1006:$BM$1006,0))&gt;=100000), " ",IF(INDEX($AM$2:$BM$1001,MATCH(ROWS($AF$2:AF729),$AF$2:$AF$1001,0),MATCH(COLUMNS($AM$1006:BM1006),$AM$1006:$BM$1006,0)), HYPERLINK("#",""), HYPERLINK(CONCATENATE("#metadata!", ADDRESS(INDEX($AH$2:$AH$1001,MATCH(ROWS($AF$2:AF729),$AF$2:$AF$1001,0),0), INDEX($AM$1004:$BM$1004,1,MATCH(COLUMNS($AM$1006:BM1006),$AM$1006:$BM$1006,0)))),"Fix")))</f>
        <v xml:space="preserve"> </v>
      </c>
      <c r="AF729">
        <v>728</v>
      </c>
      <c r="AG729">
        <v>100729</v>
      </c>
      <c r="AH729">
        <v>729</v>
      </c>
      <c r="AI729" t="b">
        <f t="shared" si="11"/>
        <v>1</v>
      </c>
      <c r="AJ729" t="b">
        <f>COUNTBLANK(metadata!B729:AB729)=COLUMNS(metadata!B729:AB729)</f>
        <v>1</v>
      </c>
      <c r="AK729" t="str">
        <v/>
      </c>
      <c r="AM729" t="b">
        <f ca="1">AND(IF(metadata!B729="",FALSE,TRUE),COUNTIF(metadata!B:B, metadata!B729) = 1,NOT(ISERROR(SUMPRODUCT(SEARCH(MID(metadata!B729,ROW(INDIRECT("1:"&amp;LEN(metadata!B729))), 1),"0123456789abcdefghijklmnopqrstuvwxyzABCDEFGHIJKLMNOPQRSTUVWXYZ.")))))</f>
        <v>0</v>
      </c>
      <c r="AN729" t="b">
        <f ca="1">OR(AND(IF(metadata!C729="",FALSE,TRUE),OR(EXACT(metadata!C729,"missing: not collected"),EXACT(metadata!C729,"missing: not provided"),EXACT(metadata!C729,"missing: restricted access"))),AND(IF(metadata!C729="",FALSE,TRUE),AND(AND(IFERROR(INT(LEFT(metadata!C729,4))&gt;1900,FALSE),IFERROR(INT(LEFT(metadata!C729,4))&lt;=YEAR(NOW()),FALSE)), OR(MID(metadata!C729,5,1)="", AND(AND(MID(metadata!C729,5,1)="-",IFERROR(INT(MID(metadata!C729,6,1))&gt;=0,FALSE),IFERROR(INT(MID(metadata!C729,6,1))&lt;=1,FALSE),NOT(MID(metadata!C729,7,1)=""),IFERROR(INT(MID(metadata!C729,6,2))&gt;=1,FALSE),IFERROR(INT(MID(metadata!C729,6,2))&lt;=12,FALSE)), OR(MID(metadata!C729,8,1)="", AND(AND(MID(metadata!C729,8,1)="-",IFERROR(INT(MID(metadata!C729,9,1))&gt;=0,FALSE),IFERROR(INT(MID(metadata!C729,9,1))&lt;=3,FALSE),NOT(MID(metadata!C729,10,1)=""),IFERROR(INT(MID(metadata!C729,9,2))&gt;=1,FALSE),IFERROR(INT(MID(metadata!C729,9,2))&lt;=31,FALSE)), OR(MID(metadata!C729,11,1)="", AND(AND(MID(metadata!C729,11,1)=" ",IFERROR(INT(MID(metadata!C729,12,1))&gt;=0,FALSE),IFERROR(INT(MID(metadata!C729,12,1))&lt;=2,FALSE),NOT(MID(metadata!C729,13,1)=""),IFERROR(INT(MID(metadata!C729,12,2))&gt;=0,FALSE),IFERROR(INT(MID(metadata!C729,12,2))&lt;=23,FALSE)), OR(MID(metadata!C729,14,1)="", AND(AND(MID(metadata!C729,14,1)=":",IFERROR(INT(MID(metadata!C729,15,1))&gt;=0,FALSE),IFERROR(INT(MID(metadata!C729,15,1))&lt;=5,FALSE),NOT(MID(metadata!C729,16,1)=""),IFERROR(INT(MID(metadata!C729,15,2))&gt;=0,FALSE),IFERROR(INT(MID(metadata!C729,15,2))&lt;=59,FALSE)), OR(MID(metadata!C729,17,1)="", AND(AND(MID(metadata!C729,17,1)=":",IFERROR(INT(MID(metadata!C729,18,1))&gt;=0,FALSE),IFERROR(INT(MID(metadata!C729,18,1))&lt;=5,FALSE),NOT(MID(metadata!C729,19,1)=""),IFERROR(INT(MID(metadata!C729,18,2))&gt;=0,FALSE),IFERROR(INT(MID(metadata!C729,18,2))&lt;=59,FALSE)), LEN(metadata!C729)&lt;=19)))))))))))))</f>
        <v>0</v>
      </c>
      <c r="AO729" t="b">
        <f>AND(IF(metadata!D729="",FALSE,TRUE),EXACT(metadata!D729,"Not applicable"))</f>
        <v>0</v>
      </c>
      <c r="AP729" t="b">
        <f>IF(metadata!E729="",FALSE,TRUE)</f>
        <v>0</v>
      </c>
      <c r="AQ729" t="b">
        <f>OR(AND(IF(metadata!F729="",FALSE,TRUE),OR(EXACT(metadata!F729,"missing: not collected"),EXACT(metadata!F729,"missing: not provided"))),AND(IF(metadata!F729="",FALSE,TRUE),OR(EXACT(metadata!F729,"TRUE"),EXACT(metadata!F729,"FALSE"))))</f>
        <v>0</v>
      </c>
      <c r="AR729" t="b">
        <f>OR(AND(IF(metadata!G729="",FALSE,TRUE),OR(EXACT(metadata!G729,"missing: not collected"),EXACT(metadata!G729,"missing: not provided"),EXACT(metadata!G729,"missing: restricted access"))),AND(IF(metadata!G729="",FALSE,ISNUMBER(VALUE(metadata!G729))),metadata!G729&gt;=-413))</f>
        <v>0</v>
      </c>
      <c r="AS729" t="b">
        <f>AND(IF(metadata!H729="",FALSE,TRUE),EXACT(metadata!H729,"meters"))</f>
        <v>0</v>
      </c>
      <c r="AT729" t="b">
        <f>AND(IF(metadata!I729="",FALSE,TRUE),OR(EXACT(metadata!I729,"Host-associated"),EXACT(metadata!I729,"Free-living")))</f>
        <v>0</v>
      </c>
      <c r="AU729" t="b">
        <f>AND(IF(metadata!J729="",FALSE,TRUE),OR(EXACT(metadata!J729,"Animal"),EXACT(metadata!J729,"Fungus"),EXACT(metadata!J729,"Plant"),EXACT(metadata!J729,"Saline"),EXACT(metadata!J729,"Non-saline")))</f>
        <v>0</v>
      </c>
      <c r="AV729" t="b">
        <f>AND(IF(metadata!K729="",FALSE,TRUE),OR(EXACT(metadata!K729,"Plant secretion"),EXACT(metadata!K729,"Plant rhizosphere"),EXACT(metadata!K729,"Plant surface"),EXACT(metadata!K729,"Plant corpus"),EXACT(metadata!K729,"Fungus surface"),EXACT(metadata!K729,"Fungus corpus"),EXACT(metadata!K729,"Animal surface"),EXACT(metadata!K729,"Animal proximal gut"),EXACT(metadata!K729,"Animal corpus"),EXACT(metadata!K729,"Animal distal gut"),EXACT(metadata!K729,"Animal secretion"),EXACT(metadata!K729,"Sub-surface (non-saline)"),EXACT(metadata!K729,"Surface (non-saline)"),EXACT(metadata!K729,"Water (non-saline)"),EXACT(metadata!K729,"Soil (non-saline)"),EXACT(metadata!K729,"Aerosol (non-saline)"),EXACT(metadata!K729,"Sediment (non-saline)"),EXACT(metadata!K729,"Surface (saline)"),EXACT(metadata!K729,"Water (saline)"),EXACT(metadata!K729,"Hypersaline (saline)"),EXACT(metadata!K729,"Aerosol (saline)"),EXACT(metadata!K729,"Sediment (saline)")))</f>
        <v>0</v>
      </c>
      <c r="AW729" t="b">
        <f>IF(metadata!L729="",FALSE,TRUE)</f>
        <v>0</v>
      </c>
      <c r="AX729" t="b">
        <f>IF(metadata!M729="",FALSE,TRUE)</f>
        <v>0</v>
      </c>
      <c r="AY729" t="b">
        <f>IF(metadata!N729="",FALSE,TRUE)</f>
        <v>0</v>
      </c>
      <c r="AZ729" t="b">
        <f>OR(AND(IF(metadata!O729="",FALSE,TRUE),OR(EXACT(metadata!O729,"missing: not collected"),EXACT(metadata!O729,"missing: not provided"),EXACT(metadata!O729,"missing: restricted access"))),AND(IF(metadata!O729="",FALSE,TRUE),OR(EXACT(metadata!O729,"air"),EXACT(metadata!O729,"built environment"),EXACT(metadata!O729,"host-associated"),EXACT(metadata!O729,"human-associated"),EXACT(metadata!O729,"human-skin"),EXACT(metadata!O729,"human-oral"),EXACT(metadata!O729,"human-gut"),EXACT(metadata!O729,"human-vaginal"),EXACT(metadata!O729,"microbial mat/biofilm"),EXACT(metadata!O729,"misc environment"),EXACT(metadata!O729,"plant-associated"),EXACT(metadata!O729,"sediment"),EXACT(metadata!O729,"soil"),EXACT(metadata!O729,"wastewater/sludge"),EXACT(metadata!O729,"water"))))</f>
        <v>0</v>
      </c>
      <c r="BA729" t="b">
        <f>IF(metadata!P729="",FALSE,TRUE)</f>
        <v>0</v>
      </c>
      <c r="BB729" t="b">
        <f>IF(metadata!Q729="",FALSE,TRUE)</f>
        <v>0</v>
      </c>
      <c r="BC729" t="b">
        <f>OR(AND(IF(metadata!R729="",FALSE,TRUE),OR(EXACT(metadata!R729,"missing: not collected"),EXACT(metadata!R729,"missing: not provided"),EXACT(metadata!R729,"missing: restricted access"))),AND(IF(metadata!R729="",FALSE,ISNUMBER(VALUE(metadata!R729))),metadata!R729&gt;=-90,metadata!R729&lt;=90))</f>
        <v>0</v>
      </c>
      <c r="BD729" t="b">
        <f>AND(IF(metadata!S729="",FALSE,TRUE),EXACT(metadata!S729,"Decimal degrees"))</f>
        <v>0</v>
      </c>
      <c r="BE729" t="b">
        <f>OR(AND(IF(metadata!T729="",FALSE,TRUE),OR(EXACT(metadata!T729,"missing: not collected"),EXACT(metadata!T729,"missing: not provided"),EXACT(metadata!T729,"missing: restricted access"))),AND(IF(metadata!T729="",FALSE,ISNUMBER(VALUE(metadata!T729))),metadata!T729&gt;=-180,metadata!T729&lt;=180))</f>
        <v>0</v>
      </c>
      <c r="BF729" t="b">
        <f>AND(IF(metadata!U729="",FALSE,TRUE),EXACT(metadata!U729,"Decimal degrees"))</f>
        <v>0</v>
      </c>
      <c r="BG729" t="b">
        <f>IF(metadata!V729="",FALSE,TRUE)</f>
        <v>0</v>
      </c>
      <c r="BH729" t="b">
        <f>OR(AND(IF(metadata!W729="",FALSE,TRUE),OR(EXACT(metadata!W729,"missing: not collected"),EXACT(metadata!W729,"missing: not provided"),EXACT(metadata!W729,"missing: restricted access"))),AND(IF(metadata!W729="",FALSE,TRUE),OR(EXACT(metadata!W729,"TRUE"),EXACT(metadata!W729,"FALSE"))))</f>
        <v>0</v>
      </c>
      <c r="BI729" t="b">
        <f>AND(IF(metadata!X729="",FALSE,TRUE),EXACT(metadata!X729,"other"))</f>
        <v>0</v>
      </c>
      <c r="BJ729" t="b">
        <f>IF(metadata!Y729="",FALSE,TRUE)</f>
        <v>0</v>
      </c>
      <c r="BK729" t="b">
        <f>OR(AND(IF(metadata!Z729="",FALSE,TRUE),OR(EXACT(metadata!Z729,"missing: not collected"),EXACT(metadata!Z729,"missing: not provided"))),AND(IF(metadata!Z729="",FALSE,IF(ISERROR(INT(metadata!Z729)),FALSE,INT(metadata!Z729)=metadata!Z729)),metadata!Z729&gt;0))</f>
        <v>0</v>
      </c>
      <c r="BL729" t="b">
        <f>AND(IF(metadata!AA729="",FALSE,TRUE),EXACT(metadata!AA729,"Not applicable"))</f>
        <v>0</v>
      </c>
      <c r="BM729" t="b">
        <f>IF(metadata!AB729="",FALSE,TRUE)</f>
        <v>0</v>
      </c>
    </row>
    <row r="730" spans="1:65" x14ac:dyDescent="0.2">
      <c r="A730" s="5" t="str">
        <f ca="1">IF(B730=" "," ",HYPERLINK(CONCATENATE("#metadata!",ADDRESS(INDEX($AH$2:$AH$1001,MATCH(ROWS($AF$2:AF730),$AF$2:$AF$1001,0),0),1)),INDEX($AK$2:$AK$1001,MATCH(ROWS($AF$2:AF730),$AF$2:$AF$1001,0),0)))</f>
        <v xml:space="preserve"> </v>
      </c>
      <c r="B730" s="4" t="str">
        <f ca="1">IF(OR(INDEX($AG$2:$AG$1001,MATCH(ROWS($AF$2:AF730),$AF$2:$AF$1001,0),1)&gt;=100000,INDEX($AM$1005:$BM$1005,1,MATCH(COLUMNS($AM$1006:AM1006),$AM$1006:$BM$1006,0))&gt;=100000), " ",IF(INDEX($AM$2:$BM$1001,MATCH(ROWS($AF$2:AF730),$AF$2:$AF$1001,0),MATCH(COLUMNS($AM$1006:AM1006),$AM$1006:$BM$1006,0)), HYPERLINK("#",""), HYPERLINK(CONCATENATE("#metadata!", ADDRESS(INDEX($AH$2:$AH$1001,MATCH(ROWS($AF$2:AF730),$AF$2:$AF$1001,0),0), INDEX($AM$1004:$BM$1004,1,MATCH(COLUMNS($AM$1006:AM1006),$AM$1006:$BM$1006,0)))),"Fix")))</f>
        <v xml:space="preserve"> </v>
      </c>
      <c r="C730" s="4" t="str">
        <f ca="1">IF(OR(INDEX($AG$2:$AG$1001,MATCH(ROWS($AF$2:AF730),$AF$2:$AF$1001,0),1)&gt;=100000,INDEX($AM$1005:$BM$1005,1,MATCH(COLUMNS($AM$1006:AN1006),$AM$1006:$BM$1006,0))&gt;=100000), " ",IF(INDEX($AM$2:$BM$1001,MATCH(ROWS($AF$2:AF730),$AF$2:$AF$1001,0),MATCH(COLUMNS($AM$1006:AN1006),$AM$1006:$BM$1006,0)), HYPERLINK("#",""), HYPERLINK(CONCATENATE("#metadata!", ADDRESS(INDEX($AH$2:$AH$1001,MATCH(ROWS($AF$2:AF730),$AF$2:$AF$1001,0),0), INDEX($AM$1004:$BM$1004,1,MATCH(COLUMNS($AM$1006:AN1006),$AM$1006:$BM$1006,0)))),"Fix")))</f>
        <v xml:space="preserve"> </v>
      </c>
      <c r="D730" s="4" t="str">
        <f ca="1">IF(OR(INDEX($AG$2:$AG$1001,MATCH(ROWS($AF$2:AF730),$AF$2:$AF$1001,0),1)&gt;=100000,INDEX($AM$1005:$BM$1005,1,MATCH(COLUMNS($AM$1006:AO1006),$AM$1006:$BM$1006,0))&gt;=100000), " ",IF(INDEX($AM$2:$BM$1001,MATCH(ROWS($AF$2:AF730),$AF$2:$AF$1001,0),MATCH(COLUMNS($AM$1006:AO1006),$AM$1006:$BM$1006,0)), HYPERLINK("#",""), HYPERLINK(CONCATENATE("#metadata!", ADDRESS(INDEX($AH$2:$AH$1001,MATCH(ROWS($AF$2:AF730),$AF$2:$AF$1001,0),0), INDEX($AM$1004:$BM$1004,1,MATCH(COLUMNS($AM$1006:AO1006),$AM$1006:$BM$1006,0)))),"Fix")))</f>
        <v xml:space="preserve"> </v>
      </c>
      <c r="E730" s="4" t="str">
        <f ca="1">IF(OR(INDEX($AG$2:$AG$1001,MATCH(ROWS($AF$2:AF730),$AF$2:$AF$1001,0),1)&gt;=100000,INDEX($AM$1005:$BM$1005,1,MATCH(COLUMNS($AM$1006:AP1006),$AM$1006:$BM$1006,0))&gt;=100000), " ",IF(INDEX($AM$2:$BM$1001,MATCH(ROWS($AF$2:AF730),$AF$2:$AF$1001,0),MATCH(COLUMNS($AM$1006:AP1006),$AM$1006:$BM$1006,0)), HYPERLINK("#",""), HYPERLINK(CONCATENATE("#metadata!", ADDRESS(INDEX($AH$2:$AH$1001,MATCH(ROWS($AF$2:AF730),$AF$2:$AF$1001,0),0), INDEX($AM$1004:$BM$1004,1,MATCH(COLUMNS($AM$1006:AP1006),$AM$1006:$BM$1006,0)))),"Fix")))</f>
        <v xml:space="preserve"> </v>
      </c>
      <c r="F730" s="4" t="str">
        <f ca="1">IF(OR(INDEX($AG$2:$AG$1001,MATCH(ROWS($AF$2:AF730),$AF$2:$AF$1001,0),1)&gt;=100000,INDEX($AM$1005:$BM$1005,1,MATCH(COLUMNS($AM$1006:AQ1006),$AM$1006:$BM$1006,0))&gt;=100000), " ",IF(INDEX($AM$2:$BM$1001,MATCH(ROWS($AF$2:AF730),$AF$2:$AF$1001,0),MATCH(COLUMNS($AM$1006:AQ1006),$AM$1006:$BM$1006,0)), HYPERLINK("#",""), HYPERLINK(CONCATENATE("#metadata!", ADDRESS(INDEX($AH$2:$AH$1001,MATCH(ROWS($AF$2:AF730),$AF$2:$AF$1001,0),0), INDEX($AM$1004:$BM$1004,1,MATCH(COLUMNS($AM$1006:AQ1006),$AM$1006:$BM$1006,0)))),"Fix")))</f>
        <v xml:space="preserve"> </v>
      </c>
      <c r="G730" s="4" t="str">
        <f ca="1">IF(OR(INDEX($AG$2:$AG$1001,MATCH(ROWS($AF$2:AF730),$AF$2:$AF$1001,0),1)&gt;=100000,INDEX($AM$1005:$BM$1005,1,MATCH(COLUMNS($AM$1006:AR1006),$AM$1006:$BM$1006,0))&gt;=100000), " ",IF(INDEX($AM$2:$BM$1001,MATCH(ROWS($AF$2:AF730),$AF$2:$AF$1001,0),MATCH(COLUMNS($AM$1006:AR1006),$AM$1006:$BM$1006,0)), HYPERLINK("#",""), HYPERLINK(CONCATENATE("#metadata!", ADDRESS(INDEX($AH$2:$AH$1001,MATCH(ROWS($AF$2:AF730),$AF$2:$AF$1001,0),0), INDEX($AM$1004:$BM$1004,1,MATCH(COLUMNS($AM$1006:AR1006),$AM$1006:$BM$1006,0)))),"Fix")))</f>
        <v xml:space="preserve"> </v>
      </c>
      <c r="H730" s="4" t="str">
        <f ca="1">IF(OR(INDEX($AG$2:$AG$1001,MATCH(ROWS($AF$2:AF730),$AF$2:$AF$1001,0),1)&gt;=100000,INDEX($AM$1005:$BM$1005,1,MATCH(COLUMNS($AM$1006:AS1006),$AM$1006:$BM$1006,0))&gt;=100000), " ",IF(INDEX($AM$2:$BM$1001,MATCH(ROWS($AF$2:AF730),$AF$2:$AF$1001,0),MATCH(COLUMNS($AM$1006:AS1006),$AM$1006:$BM$1006,0)), HYPERLINK("#",""), HYPERLINK(CONCATENATE("#metadata!", ADDRESS(INDEX($AH$2:$AH$1001,MATCH(ROWS($AF$2:AF730),$AF$2:$AF$1001,0),0), INDEX($AM$1004:$BM$1004,1,MATCH(COLUMNS($AM$1006:AS1006),$AM$1006:$BM$1006,0)))),"Fix")))</f>
        <v xml:space="preserve"> </v>
      </c>
      <c r="I730" s="4" t="str">
        <f ca="1">IF(OR(INDEX($AG$2:$AG$1001,MATCH(ROWS($AF$2:AF730),$AF$2:$AF$1001,0),1)&gt;=100000,INDEX($AM$1005:$BM$1005,1,MATCH(COLUMNS($AM$1006:AT1006),$AM$1006:$BM$1006,0))&gt;=100000), " ",IF(INDEX($AM$2:$BM$1001,MATCH(ROWS($AF$2:AF730),$AF$2:$AF$1001,0),MATCH(COLUMNS($AM$1006:AT1006),$AM$1006:$BM$1006,0)), HYPERLINK("#",""), HYPERLINK(CONCATENATE("#metadata!", ADDRESS(INDEX($AH$2:$AH$1001,MATCH(ROWS($AF$2:AF730),$AF$2:$AF$1001,0),0), INDEX($AM$1004:$BM$1004,1,MATCH(COLUMNS($AM$1006:AT1006),$AM$1006:$BM$1006,0)))),"Fix")))</f>
        <v xml:space="preserve"> </v>
      </c>
      <c r="J730" s="4" t="str">
        <f ca="1">IF(OR(INDEX($AG$2:$AG$1001,MATCH(ROWS($AF$2:AF730),$AF$2:$AF$1001,0),1)&gt;=100000,INDEX($AM$1005:$BM$1005,1,MATCH(COLUMNS($AM$1006:AU1006),$AM$1006:$BM$1006,0))&gt;=100000), " ",IF(INDEX($AM$2:$BM$1001,MATCH(ROWS($AF$2:AF730),$AF$2:$AF$1001,0),MATCH(COLUMNS($AM$1006:AU1006),$AM$1006:$BM$1006,0)), HYPERLINK("#",""), HYPERLINK(CONCATENATE("#metadata!", ADDRESS(INDEX($AH$2:$AH$1001,MATCH(ROWS($AF$2:AF730),$AF$2:$AF$1001,0),0), INDEX($AM$1004:$BM$1004,1,MATCH(COLUMNS($AM$1006:AU1006),$AM$1006:$BM$1006,0)))),"Fix")))</f>
        <v xml:space="preserve"> </v>
      </c>
      <c r="K730" s="4" t="str">
        <f ca="1">IF(OR(INDEX($AG$2:$AG$1001,MATCH(ROWS($AF$2:AF730),$AF$2:$AF$1001,0),1)&gt;=100000,INDEX($AM$1005:$BM$1005,1,MATCH(COLUMNS($AM$1006:AV1006),$AM$1006:$BM$1006,0))&gt;=100000), " ",IF(INDEX($AM$2:$BM$1001,MATCH(ROWS($AF$2:AF730),$AF$2:$AF$1001,0),MATCH(COLUMNS($AM$1006:AV1006),$AM$1006:$BM$1006,0)), HYPERLINK("#",""), HYPERLINK(CONCATENATE("#metadata!", ADDRESS(INDEX($AH$2:$AH$1001,MATCH(ROWS($AF$2:AF730),$AF$2:$AF$1001,0),0), INDEX($AM$1004:$BM$1004,1,MATCH(COLUMNS($AM$1006:AV1006),$AM$1006:$BM$1006,0)))),"Fix")))</f>
        <v xml:space="preserve"> </v>
      </c>
      <c r="L730" s="4" t="str">
        <f ca="1">IF(OR(INDEX($AG$2:$AG$1001,MATCH(ROWS($AF$2:AF730),$AF$2:$AF$1001,0),1)&gt;=100000,INDEX($AM$1005:$BM$1005,1,MATCH(COLUMNS($AM$1006:AW1006),$AM$1006:$BM$1006,0))&gt;=100000), " ",IF(INDEX($AM$2:$BM$1001,MATCH(ROWS($AF$2:AF730),$AF$2:$AF$1001,0),MATCH(COLUMNS($AM$1006:AW1006),$AM$1006:$BM$1006,0)), HYPERLINK("#",""), HYPERLINK(CONCATENATE("#metadata!", ADDRESS(INDEX($AH$2:$AH$1001,MATCH(ROWS($AF$2:AF730),$AF$2:$AF$1001,0),0), INDEX($AM$1004:$BM$1004,1,MATCH(COLUMNS($AM$1006:AW1006),$AM$1006:$BM$1006,0)))),"Fix")))</f>
        <v xml:space="preserve"> </v>
      </c>
      <c r="M730" s="4" t="str">
        <f ca="1">IF(OR(INDEX($AG$2:$AG$1001,MATCH(ROWS($AF$2:AF730),$AF$2:$AF$1001,0),1)&gt;=100000,INDEX($AM$1005:$BM$1005,1,MATCH(COLUMNS($AM$1006:AX1006),$AM$1006:$BM$1006,0))&gt;=100000), " ",IF(INDEX($AM$2:$BM$1001,MATCH(ROWS($AF$2:AF730),$AF$2:$AF$1001,0),MATCH(COLUMNS($AM$1006:AX1006),$AM$1006:$BM$1006,0)), HYPERLINK("#",""), HYPERLINK(CONCATENATE("#metadata!", ADDRESS(INDEX($AH$2:$AH$1001,MATCH(ROWS($AF$2:AF730),$AF$2:$AF$1001,0),0), INDEX($AM$1004:$BM$1004,1,MATCH(COLUMNS($AM$1006:AX1006),$AM$1006:$BM$1006,0)))),"Fix")))</f>
        <v xml:space="preserve"> </v>
      </c>
      <c r="N730" s="4" t="str">
        <f ca="1">IF(OR(INDEX($AG$2:$AG$1001,MATCH(ROWS($AF$2:AF730),$AF$2:$AF$1001,0),1)&gt;=100000,INDEX($AM$1005:$BM$1005,1,MATCH(COLUMNS($AM$1006:AY1006),$AM$1006:$BM$1006,0))&gt;=100000), " ",IF(INDEX($AM$2:$BM$1001,MATCH(ROWS($AF$2:AF730),$AF$2:$AF$1001,0),MATCH(COLUMNS($AM$1006:AY1006),$AM$1006:$BM$1006,0)), HYPERLINK("#",""), HYPERLINK(CONCATENATE("#metadata!", ADDRESS(INDEX($AH$2:$AH$1001,MATCH(ROWS($AF$2:AF730),$AF$2:$AF$1001,0),0), INDEX($AM$1004:$BM$1004,1,MATCH(COLUMNS($AM$1006:AY1006),$AM$1006:$BM$1006,0)))),"Fix")))</f>
        <v xml:space="preserve"> </v>
      </c>
      <c r="O730" s="4" t="str">
        <f ca="1">IF(OR(INDEX($AG$2:$AG$1001,MATCH(ROWS($AF$2:AF730),$AF$2:$AF$1001,0),1)&gt;=100000,INDEX($AM$1005:$BM$1005,1,MATCH(COLUMNS($AM$1006:AZ1006),$AM$1006:$BM$1006,0))&gt;=100000), " ",IF(INDEX($AM$2:$BM$1001,MATCH(ROWS($AF$2:AF730),$AF$2:$AF$1001,0),MATCH(COLUMNS($AM$1006:AZ1006),$AM$1006:$BM$1006,0)), HYPERLINK("#",""), HYPERLINK(CONCATENATE("#metadata!", ADDRESS(INDEX($AH$2:$AH$1001,MATCH(ROWS($AF$2:AF730),$AF$2:$AF$1001,0),0), INDEX($AM$1004:$BM$1004,1,MATCH(COLUMNS($AM$1006:AZ1006),$AM$1006:$BM$1006,0)))),"Fix")))</f>
        <v xml:space="preserve"> </v>
      </c>
      <c r="P730" s="4" t="str">
        <f ca="1">IF(OR(INDEX($AG$2:$AG$1001,MATCH(ROWS($AF$2:AF730),$AF$2:$AF$1001,0),1)&gt;=100000,INDEX($AM$1005:$BM$1005,1,MATCH(COLUMNS($AM$1006:BA1006),$AM$1006:$BM$1006,0))&gt;=100000), " ",IF(INDEX($AM$2:$BM$1001,MATCH(ROWS($AF$2:AF730),$AF$2:$AF$1001,0),MATCH(COLUMNS($AM$1006:BA1006),$AM$1006:$BM$1006,0)), HYPERLINK("#",""), HYPERLINK(CONCATENATE("#metadata!", ADDRESS(INDEX($AH$2:$AH$1001,MATCH(ROWS($AF$2:AF730),$AF$2:$AF$1001,0),0), INDEX($AM$1004:$BM$1004,1,MATCH(COLUMNS($AM$1006:BA1006),$AM$1006:$BM$1006,0)))),"Fix")))</f>
        <v xml:space="preserve"> </v>
      </c>
      <c r="Q730" s="4" t="str">
        <f ca="1">IF(OR(INDEX($AG$2:$AG$1001,MATCH(ROWS($AF$2:AF730),$AF$2:$AF$1001,0),1)&gt;=100000,INDEX($AM$1005:$BM$1005,1,MATCH(COLUMNS($AM$1006:BB1006),$AM$1006:$BM$1006,0))&gt;=100000), " ",IF(INDEX($AM$2:$BM$1001,MATCH(ROWS($AF$2:AF730),$AF$2:$AF$1001,0),MATCH(COLUMNS($AM$1006:BB1006),$AM$1006:$BM$1006,0)), HYPERLINK("#",""), HYPERLINK(CONCATENATE("#metadata!", ADDRESS(INDEX($AH$2:$AH$1001,MATCH(ROWS($AF$2:AF730),$AF$2:$AF$1001,0),0), INDEX($AM$1004:$BM$1004,1,MATCH(COLUMNS($AM$1006:BB1006),$AM$1006:$BM$1006,0)))),"Fix")))</f>
        <v xml:space="preserve"> </v>
      </c>
      <c r="R730" s="4" t="str">
        <f ca="1">IF(OR(INDEX($AG$2:$AG$1001,MATCH(ROWS($AF$2:AF730),$AF$2:$AF$1001,0),1)&gt;=100000,INDEX($AM$1005:$BM$1005,1,MATCH(COLUMNS($AM$1006:BC1006),$AM$1006:$BM$1006,0))&gt;=100000), " ",IF(INDEX($AM$2:$BM$1001,MATCH(ROWS($AF$2:AF730),$AF$2:$AF$1001,0),MATCH(COLUMNS($AM$1006:BC1006),$AM$1006:$BM$1006,0)), HYPERLINK("#",""), HYPERLINK(CONCATENATE("#metadata!", ADDRESS(INDEX($AH$2:$AH$1001,MATCH(ROWS($AF$2:AF730),$AF$2:$AF$1001,0),0), INDEX($AM$1004:$BM$1004,1,MATCH(COLUMNS($AM$1006:BC1006),$AM$1006:$BM$1006,0)))),"Fix")))</f>
        <v xml:space="preserve"> </v>
      </c>
      <c r="S730" s="4" t="str">
        <f ca="1">IF(OR(INDEX($AG$2:$AG$1001,MATCH(ROWS($AF$2:AF730),$AF$2:$AF$1001,0),1)&gt;=100000,INDEX($AM$1005:$BM$1005,1,MATCH(COLUMNS($AM$1006:BD1006),$AM$1006:$BM$1006,0))&gt;=100000), " ",IF(INDEX($AM$2:$BM$1001,MATCH(ROWS($AF$2:AF730),$AF$2:$AF$1001,0),MATCH(COLUMNS($AM$1006:BD1006),$AM$1006:$BM$1006,0)), HYPERLINK("#",""), HYPERLINK(CONCATENATE("#metadata!", ADDRESS(INDEX($AH$2:$AH$1001,MATCH(ROWS($AF$2:AF730),$AF$2:$AF$1001,0),0), INDEX($AM$1004:$BM$1004,1,MATCH(COLUMNS($AM$1006:BD1006),$AM$1006:$BM$1006,0)))),"Fix")))</f>
        <v xml:space="preserve"> </v>
      </c>
      <c r="T730" s="4" t="str">
        <f ca="1">IF(OR(INDEX($AG$2:$AG$1001,MATCH(ROWS($AF$2:AF730),$AF$2:$AF$1001,0),1)&gt;=100000,INDEX($AM$1005:$BM$1005,1,MATCH(COLUMNS($AM$1006:BE1006),$AM$1006:$BM$1006,0))&gt;=100000), " ",IF(INDEX($AM$2:$BM$1001,MATCH(ROWS($AF$2:AF730),$AF$2:$AF$1001,0),MATCH(COLUMNS($AM$1006:BE1006),$AM$1006:$BM$1006,0)), HYPERLINK("#",""), HYPERLINK(CONCATENATE("#metadata!", ADDRESS(INDEX($AH$2:$AH$1001,MATCH(ROWS($AF$2:AF730),$AF$2:$AF$1001,0),0), INDEX($AM$1004:$BM$1004,1,MATCH(COLUMNS($AM$1006:BE1006),$AM$1006:$BM$1006,0)))),"Fix")))</f>
        <v xml:space="preserve"> </v>
      </c>
      <c r="U730" s="4" t="str">
        <f ca="1">IF(OR(INDEX($AG$2:$AG$1001,MATCH(ROWS($AF$2:AF730),$AF$2:$AF$1001,0),1)&gt;=100000,INDEX($AM$1005:$BM$1005,1,MATCH(COLUMNS($AM$1006:BF1006),$AM$1006:$BM$1006,0))&gt;=100000), " ",IF(INDEX($AM$2:$BM$1001,MATCH(ROWS($AF$2:AF730),$AF$2:$AF$1001,0),MATCH(COLUMNS($AM$1006:BF1006),$AM$1006:$BM$1006,0)), HYPERLINK("#",""), HYPERLINK(CONCATENATE("#metadata!", ADDRESS(INDEX($AH$2:$AH$1001,MATCH(ROWS($AF$2:AF730),$AF$2:$AF$1001,0),0), INDEX($AM$1004:$BM$1004,1,MATCH(COLUMNS($AM$1006:BF1006),$AM$1006:$BM$1006,0)))),"Fix")))</f>
        <v xml:space="preserve"> </v>
      </c>
      <c r="V730" s="4" t="str">
        <f ca="1">IF(OR(INDEX($AG$2:$AG$1001,MATCH(ROWS($AF$2:AF730),$AF$2:$AF$1001,0),1)&gt;=100000,INDEX($AM$1005:$BM$1005,1,MATCH(COLUMNS($AM$1006:BG1006),$AM$1006:$BM$1006,0))&gt;=100000), " ",IF(INDEX($AM$2:$BM$1001,MATCH(ROWS($AF$2:AF730),$AF$2:$AF$1001,0),MATCH(COLUMNS($AM$1006:BG1006),$AM$1006:$BM$1006,0)), HYPERLINK("#",""), HYPERLINK(CONCATENATE("#metadata!", ADDRESS(INDEX($AH$2:$AH$1001,MATCH(ROWS($AF$2:AF730),$AF$2:$AF$1001,0),0), INDEX($AM$1004:$BM$1004,1,MATCH(COLUMNS($AM$1006:BG1006),$AM$1006:$BM$1006,0)))),"Fix")))</f>
        <v xml:space="preserve"> </v>
      </c>
      <c r="W730" s="4" t="str">
        <f ca="1">IF(OR(INDEX($AG$2:$AG$1001,MATCH(ROWS($AF$2:AF730),$AF$2:$AF$1001,0),1)&gt;=100000,INDEX($AM$1005:$BM$1005,1,MATCH(COLUMNS($AM$1006:BH1006),$AM$1006:$BM$1006,0))&gt;=100000), " ",IF(INDEX($AM$2:$BM$1001,MATCH(ROWS($AF$2:AF730),$AF$2:$AF$1001,0),MATCH(COLUMNS($AM$1006:BH1006),$AM$1006:$BM$1006,0)), HYPERLINK("#",""), HYPERLINK(CONCATENATE("#metadata!", ADDRESS(INDEX($AH$2:$AH$1001,MATCH(ROWS($AF$2:AF730),$AF$2:$AF$1001,0),0), INDEX($AM$1004:$BM$1004,1,MATCH(COLUMNS($AM$1006:BH1006),$AM$1006:$BM$1006,0)))),"Fix")))</f>
        <v xml:space="preserve"> </v>
      </c>
      <c r="X730" s="4" t="str">
        <f ca="1">IF(OR(INDEX($AG$2:$AG$1001,MATCH(ROWS($AF$2:AF730),$AF$2:$AF$1001,0),1)&gt;=100000,INDEX($AM$1005:$BM$1005,1,MATCH(COLUMNS($AM$1006:BI1006),$AM$1006:$BM$1006,0))&gt;=100000), " ",IF(INDEX($AM$2:$BM$1001,MATCH(ROWS($AF$2:AF730),$AF$2:$AF$1001,0),MATCH(COLUMNS($AM$1006:BI1006),$AM$1006:$BM$1006,0)), HYPERLINK("#",""), HYPERLINK(CONCATENATE("#metadata!", ADDRESS(INDEX($AH$2:$AH$1001,MATCH(ROWS($AF$2:AF730),$AF$2:$AF$1001,0),0), INDEX($AM$1004:$BM$1004,1,MATCH(COLUMNS($AM$1006:BI1006),$AM$1006:$BM$1006,0)))),"Fix")))</f>
        <v xml:space="preserve"> </v>
      </c>
      <c r="Y730" s="4" t="str">
        <f ca="1">IF(OR(INDEX($AG$2:$AG$1001,MATCH(ROWS($AF$2:AF730),$AF$2:$AF$1001,0),1)&gt;=100000,INDEX($AM$1005:$BM$1005,1,MATCH(COLUMNS($AM$1006:BJ1006),$AM$1006:$BM$1006,0))&gt;=100000), " ",IF(INDEX($AM$2:$BM$1001,MATCH(ROWS($AF$2:AF730),$AF$2:$AF$1001,0),MATCH(COLUMNS($AM$1006:BJ1006),$AM$1006:$BM$1006,0)), HYPERLINK("#",""), HYPERLINK(CONCATENATE("#metadata!", ADDRESS(INDEX($AH$2:$AH$1001,MATCH(ROWS($AF$2:AF730),$AF$2:$AF$1001,0),0), INDEX($AM$1004:$BM$1004,1,MATCH(COLUMNS($AM$1006:BJ1006),$AM$1006:$BM$1006,0)))),"Fix")))</f>
        <v xml:space="preserve"> </v>
      </c>
      <c r="Z730" s="4" t="str">
        <f ca="1">IF(OR(INDEX($AG$2:$AG$1001,MATCH(ROWS($AF$2:AF730),$AF$2:$AF$1001,0),1)&gt;=100000,INDEX($AM$1005:$BM$1005,1,MATCH(COLUMNS($AM$1006:BK1006),$AM$1006:$BM$1006,0))&gt;=100000), " ",IF(INDEX($AM$2:$BM$1001,MATCH(ROWS($AF$2:AF730),$AF$2:$AF$1001,0),MATCH(COLUMNS($AM$1006:BK1006),$AM$1006:$BM$1006,0)), HYPERLINK("#",""), HYPERLINK(CONCATENATE("#metadata!", ADDRESS(INDEX($AH$2:$AH$1001,MATCH(ROWS($AF$2:AF730),$AF$2:$AF$1001,0),0), INDEX($AM$1004:$BM$1004,1,MATCH(COLUMNS($AM$1006:BK1006),$AM$1006:$BM$1006,0)))),"Fix")))</f>
        <v xml:space="preserve"> </v>
      </c>
      <c r="AA730" s="4" t="str">
        <f ca="1">IF(OR(INDEX($AG$2:$AG$1001,MATCH(ROWS($AF$2:AF730),$AF$2:$AF$1001,0),1)&gt;=100000,INDEX($AM$1005:$BM$1005,1,MATCH(COLUMNS($AM$1006:BL1006),$AM$1006:$BM$1006,0))&gt;=100000), " ",IF(INDEX($AM$2:$BM$1001,MATCH(ROWS($AF$2:AF730),$AF$2:$AF$1001,0),MATCH(COLUMNS($AM$1006:BL1006),$AM$1006:$BM$1006,0)), HYPERLINK("#",""), HYPERLINK(CONCATENATE("#metadata!", ADDRESS(INDEX($AH$2:$AH$1001,MATCH(ROWS($AF$2:AF730),$AF$2:$AF$1001,0),0), INDEX($AM$1004:$BM$1004,1,MATCH(COLUMNS($AM$1006:BL1006),$AM$1006:$BM$1006,0)))),"Fix")))</f>
        <v xml:space="preserve"> </v>
      </c>
      <c r="AB730" s="4" t="str">
        <f ca="1">IF(OR(INDEX($AG$2:$AG$1001,MATCH(ROWS($AF$2:AF730),$AF$2:$AF$1001,0),1)&gt;=100000,INDEX($AM$1005:$BM$1005,1,MATCH(COLUMNS($AM$1006:BM1006),$AM$1006:$BM$1006,0))&gt;=100000), " ",IF(INDEX($AM$2:$BM$1001,MATCH(ROWS($AF$2:AF730),$AF$2:$AF$1001,0),MATCH(COLUMNS($AM$1006:BM1006),$AM$1006:$BM$1006,0)), HYPERLINK("#",""), HYPERLINK(CONCATENATE("#metadata!", ADDRESS(INDEX($AH$2:$AH$1001,MATCH(ROWS($AF$2:AF730),$AF$2:$AF$1001,0),0), INDEX($AM$1004:$BM$1004,1,MATCH(COLUMNS($AM$1006:BM1006),$AM$1006:$BM$1006,0)))),"Fix")))</f>
        <v xml:space="preserve"> </v>
      </c>
      <c r="AF730">
        <v>729</v>
      </c>
      <c r="AG730">
        <v>100730</v>
      </c>
      <c r="AH730">
        <v>730</v>
      </c>
      <c r="AI730" t="b">
        <f t="shared" si="11"/>
        <v>1</v>
      </c>
      <c r="AJ730" t="b">
        <f>COUNTBLANK(metadata!B730:AB730)=COLUMNS(metadata!B730:AB730)</f>
        <v>1</v>
      </c>
      <c r="AK730" t="str">
        <v/>
      </c>
      <c r="AM730" t="b">
        <f ca="1">AND(IF(metadata!B730="",FALSE,TRUE),COUNTIF(metadata!B:B, metadata!B730) = 1,NOT(ISERROR(SUMPRODUCT(SEARCH(MID(metadata!B730,ROW(INDIRECT("1:"&amp;LEN(metadata!B730))), 1),"0123456789abcdefghijklmnopqrstuvwxyzABCDEFGHIJKLMNOPQRSTUVWXYZ.")))))</f>
        <v>0</v>
      </c>
      <c r="AN730" t="b">
        <f ca="1">OR(AND(IF(metadata!C730="",FALSE,TRUE),OR(EXACT(metadata!C730,"missing: not collected"),EXACT(metadata!C730,"missing: not provided"),EXACT(metadata!C730,"missing: restricted access"))),AND(IF(metadata!C730="",FALSE,TRUE),AND(AND(IFERROR(INT(LEFT(metadata!C730,4))&gt;1900,FALSE),IFERROR(INT(LEFT(metadata!C730,4))&lt;=YEAR(NOW()),FALSE)), OR(MID(metadata!C730,5,1)="", AND(AND(MID(metadata!C730,5,1)="-",IFERROR(INT(MID(metadata!C730,6,1))&gt;=0,FALSE),IFERROR(INT(MID(metadata!C730,6,1))&lt;=1,FALSE),NOT(MID(metadata!C730,7,1)=""),IFERROR(INT(MID(metadata!C730,6,2))&gt;=1,FALSE),IFERROR(INT(MID(metadata!C730,6,2))&lt;=12,FALSE)), OR(MID(metadata!C730,8,1)="", AND(AND(MID(metadata!C730,8,1)="-",IFERROR(INT(MID(metadata!C730,9,1))&gt;=0,FALSE),IFERROR(INT(MID(metadata!C730,9,1))&lt;=3,FALSE),NOT(MID(metadata!C730,10,1)=""),IFERROR(INT(MID(metadata!C730,9,2))&gt;=1,FALSE),IFERROR(INT(MID(metadata!C730,9,2))&lt;=31,FALSE)), OR(MID(metadata!C730,11,1)="", AND(AND(MID(metadata!C730,11,1)=" ",IFERROR(INT(MID(metadata!C730,12,1))&gt;=0,FALSE),IFERROR(INT(MID(metadata!C730,12,1))&lt;=2,FALSE),NOT(MID(metadata!C730,13,1)=""),IFERROR(INT(MID(metadata!C730,12,2))&gt;=0,FALSE),IFERROR(INT(MID(metadata!C730,12,2))&lt;=23,FALSE)), OR(MID(metadata!C730,14,1)="", AND(AND(MID(metadata!C730,14,1)=":",IFERROR(INT(MID(metadata!C730,15,1))&gt;=0,FALSE),IFERROR(INT(MID(metadata!C730,15,1))&lt;=5,FALSE),NOT(MID(metadata!C730,16,1)=""),IFERROR(INT(MID(metadata!C730,15,2))&gt;=0,FALSE),IFERROR(INT(MID(metadata!C730,15,2))&lt;=59,FALSE)), OR(MID(metadata!C730,17,1)="", AND(AND(MID(metadata!C730,17,1)=":",IFERROR(INT(MID(metadata!C730,18,1))&gt;=0,FALSE),IFERROR(INT(MID(metadata!C730,18,1))&lt;=5,FALSE),NOT(MID(metadata!C730,19,1)=""),IFERROR(INT(MID(metadata!C730,18,2))&gt;=0,FALSE),IFERROR(INT(MID(metadata!C730,18,2))&lt;=59,FALSE)), LEN(metadata!C730)&lt;=19)))))))))))))</f>
        <v>0</v>
      </c>
      <c r="AO730" t="b">
        <f>AND(IF(metadata!D730="",FALSE,TRUE),EXACT(metadata!D730,"Not applicable"))</f>
        <v>0</v>
      </c>
      <c r="AP730" t="b">
        <f>IF(metadata!E730="",FALSE,TRUE)</f>
        <v>0</v>
      </c>
      <c r="AQ730" t="b">
        <f>OR(AND(IF(metadata!F730="",FALSE,TRUE),OR(EXACT(metadata!F730,"missing: not collected"),EXACT(metadata!F730,"missing: not provided"))),AND(IF(metadata!F730="",FALSE,TRUE),OR(EXACT(metadata!F730,"TRUE"),EXACT(metadata!F730,"FALSE"))))</f>
        <v>0</v>
      </c>
      <c r="AR730" t="b">
        <f>OR(AND(IF(metadata!G730="",FALSE,TRUE),OR(EXACT(metadata!G730,"missing: not collected"),EXACT(metadata!G730,"missing: not provided"),EXACT(metadata!G730,"missing: restricted access"))),AND(IF(metadata!G730="",FALSE,ISNUMBER(VALUE(metadata!G730))),metadata!G730&gt;=-413))</f>
        <v>0</v>
      </c>
      <c r="AS730" t="b">
        <f>AND(IF(metadata!H730="",FALSE,TRUE),EXACT(metadata!H730,"meters"))</f>
        <v>0</v>
      </c>
      <c r="AT730" t="b">
        <f>AND(IF(metadata!I730="",FALSE,TRUE),OR(EXACT(metadata!I730,"Host-associated"),EXACT(metadata!I730,"Free-living")))</f>
        <v>0</v>
      </c>
      <c r="AU730" t="b">
        <f>AND(IF(metadata!J730="",FALSE,TRUE),OR(EXACT(metadata!J730,"Animal"),EXACT(metadata!J730,"Fungus"),EXACT(metadata!J730,"Plant"),EXACT(metadata!J730,"Saline"),EXACT(metadata!J730,"Non-saline")))</f>
        <v>0</v>
      </c>
      <c r="AV730" t="b">
        <f>AND(IF(metadata!K730="",FALSE,TRUE),OR(EXACT(metadata!K730,"Plant secretion"),EXACT(metadata!K730,"Plant rhizosphere"),EXACT(metadata!K730,"Plant surface"),EXACT(metadata!K730,"Plant corpus"),EXACT(metadata!K730,"Fungus surface"),EXACT(metadata!K730,"Fungus corpus"),EXACT(metadata!K730,"Animal surface"),EXACT(metadata!K730,"Animal proximal gut"),EXACT(metadata!K730,"Animal corpus"),EXACT(metadata!K730,"Animal distal gut"),EXACT(metadata!K730,"Animal secretion"),EXACT(metadata!K730,"Sub-surface (non-saline)"),EXACT(metadata!K730,"Surface (non-saline)"),EXACT(metadata!K730,"Water (non-saline)"),EXACT(metadata!K730,"Soil (non-saline)"),EXACT(metadata!K730,"Aerosol (non-saline)"),EXACT(metadata!K730,"Sediment (non-saline)"),EXACT(metadata!K730,"Surface (saline)"),EXACT(metadata!K730,"Water (saline)"),EXACT(metadata!K730,"Hypersaline (saline)"),EXACT(metadata!K730,"Aerosol (saline)"),EXACT(metadata!K730,"Sediment (saline)")))</f>
        <v>0</v>
      </c>
      <c r="AW730" t="b">
        <f>IF(metadata!L730="",FALSE,TRUE)</f>
        <v>0</v>
      </c>
      <c r="AX730" t="b">
        <f>IF(metadata!M730="",FALSE,TRUE)</f>
        <v>0</v>
      </c>
      <c r="AY730" t="b">
        <f>IF(metadata!N730="",FALSE,TRUE)</f>
        <v>0</v>
      </c>
      <c r="AZ730" t="b">
        <f>OR(AND(IF(metadata!O730="",FALSE,TRUE),OR(EXACT(metadata!O730,"missing: not collected"),EXACT(metadata!O730,"missing: not provided"),EXACT(metadata!O730,"missing: restricted access"))),AND(IF(metadata!O730="",FALSE,TRUE),OR(EXACT(metadata!O730,"air"),EXACT(metadata!O730,"built environment"),EXACT(metadata!O730,"host-associated"),EXACT(metadata!O730,"human-associated"),EXACT(metadata!O730,"human-skin"),EXACT(metadata!O730,"human-oral"),EXACT(metadata!O730,"human-gut"),EXACT(metadata!O730,"human-vaginal"),EXACT(metadata!O730,"microbial mat/biofilm"),EXACT(metadata!O730,"misc environment"),EXACT(metadata!O730,"plant-associated"),EXACT(metadata!O730,"sediment"),EXACT(metadata!O730,"soil"),EXACT(metadata!O730,"wastewater/sludge"),EXACT(metadata!O730,"water"))))</f>
        <v>0</v>
      </c>
      <c r="BA730" t="b">
        <f>IF(metadata!P730="",FALSE,TRUE)</f>
        <v>0</v>
      </c>
      <c r="BB730" t="b">
        <f>IF(metadata!Q730="",FALSE,TRUE)</f>
        <v>0</v>
      </c>
      <c r="BC730" t="b">
        <f>OR(AND(IF(metadata!R730="",FALSE,TRUE),OR(EXACT(metadata!R730,"missing: not collected"),EXACT(metadata!R730,"missing: not provided"),EXACT(metadata!R730,"missing: restricted access"))),AND(IF(metadata!R730="",FALSE,ISNUMBER(VALUE(metadata!R730))),metadata!R730&gt;=-90,metadata!R730&lt;=90))</f>
        <v>0</v>
      </c>
      <c r="BD730" t="b">
        <f>AND(IF(metadata!S730="",FALSE,TRUE),EXACT(metadata!S730,"Decimal degrees"))</f>
        <v>0</v>
      </c>
      <c r="BE730" t="b">
        <f>OR(AND(IF(metadata!T730="",FALSE,TRUE),OR(EXACT(metadata!T730,"missing: not collected"),EXACT(metadata!T730,"missing: not provided"),EXACT(metadata!T730,"missing: restricted access"))),AND(IF(metadata!T730="",FALSE,ISNUMBER(VALUE(metadata!T730))),metadata!T730&gt;=-180,metadata!T730&lt;=180))</f>
        <v>0</v>
      </c>
      <c r="BF730" t="b">
        <f>AND(IF(metadata!U730="",FALSE,TRUE),EXACT(metadata!U730,"Decimal degrees"))</f>
        <v>0</v>
      </c>
      <c r="BG730" t="b">
        <f>IF(metadata!V730="",FALSE,TRUE)</f>
        <v>0</v>
      </c>
      <c r="BH730" t="b">
        <f>OR(AND(IF(metadata!W730="",FALSE,TRUE),OR(EXACT(metadata!W730,"missing: not collected"),EXACT(metadata!W730,"missing: not provided"),EXACT(metadata!W730,"missing: restricted access"))),AND(IF(metadata!W730="",FALSE,TRUE),OR(EXACT(metadata!W730,"TRUE"),EXACT(metadata!W730,"FALSE"))))</f>
        <v>0</v>
      </c>
      <c r="BI730" t="b">
        <f>AND(IF(metadata!X730="",FALSE,TRUE),EXACT(metadata!X730,"other"))</f>
        <v>0</v>
      </c>
      <c r="BJ730" t="b">
        <f>IF(metadata!Y730="",FALSE,TRUE)</f>
        <v>0</v>
      </c>
      <c r="BK730" t="b">
        <f>OR(AND(IF(metadata!Z730="",FALSE,TRUE),OR(EXACT(metadata!Z730,"missing: not collected"),EXACT(metadata!Z730,"missing: not provided"))),AND(IF(metadata!Z730="",FALSE,IF(ISERROR(INT(metadata!Z730)),FALSE,INT(metadata!Z730)=metadata!Z730)),metadata!Z730&gt;0))</f>
        <v>0</v>
      </c>
      <c r="BL730" t="b">
        <f>AND(IF(metadata!AA730="",FALSE,TRUE),EXACT(metadata!AA730,"Not applicable"))</f>
        <v>0</v>
      </c>
      <c r="BM730" t="b">
        <f>IF(metadata!AB730="",FALSE,TRUE)</f>
        <v>0</v>
      </c>
    </row>
    <row r="731" spans="1:65" x14ac:dyDescent="0.2">
      <c r="A731" s="5" t="str">
        <f ca="1">IF(B731=" "," ",HYPERLINK(CONCATENATE("#metadata!",ADDRESS(INDEX($AH$2:$AH$1001,MATCH(ROWS($AF$2:AF731),$AF$2:$AF$1001,0),0),1)),INDEX($AK$2:$AK$1001,MATCH(ROWS($AF$2:AF731),$AF$2:$AF$1001,0),0)))</f>
        <v xml:space="preserve"> </v>
      </c>
      <c r="B731" s="4" t="str">
        <f ca="1">IF(OR(INDEX($AG$2:$AG$1001,MATCH(ROWS($AF$2:AF731),$AF$2:$AF$1001,0),1)&gt;=100000,INDEX($AM$1005:$BM$1005,1,MATCH(COLUMNS($AM$1006:AM1006),$AM$1006:$BM$1006,0))&gt;=100000), " ",IF(INDEX($AM$2:$BM$1001,MATCH(ROWS($AF$2:AF731),$AF$2:$AF$1001,0),MATCH(COLUMNS($AM$1006:AM1006),$AM$1006:$BM$1006,0)), HYPERLINK("#",""), HYPERLINK(CONCATENATE("#metadata!", ADDRESS(INDEX($AH$2:$AH$1001,MATCH(ROWS($AF$2:AF731),$AF$2:$AF$1001,0),0), INDEX($AM$1004:$BM$1004,1,MATCH(COLUMNS($AM$1006:AM1006),$AM$1006:$BM$1006,0)))),"Fix")))</f>
        <v xml:space="preserve"> </v>
      </c>
      <c r="C731" s="4" t="str">
        <f ca="1">IF(OR(INDEX($AG$2:$AG$1001,MATCH(ROWS($AF$2:AF731),$AF$2:$AF$1001,0),1)&gt;=100000,INDEX($AM$1005:$BM$1005,1,MATCH(COLUMNS($AM$1006:AN1006),$AM$1006:$BM$1006,0))&gt;=100000), " ",IF(INDEX($AM$2:$BM$1001,MATCH(ROWS($AF$2:AF731),$AF$2:$AF$1001,0),MATCH(COLUMNS($AM$1006:AN1006),$AM$1006:$BM$1006,0)), HYPERLINK("#",""), HYPERLINK(CONCATENATE("#metadata!", ADDRESS(INDEX($AH$2:$AH$1001,MATCH(ROWS($AF$2:AF731),$AF$2:$AF$1001,0),0), INDEX($AM$1004:$BM$1004,1,MATCH(COLUMNS($AM$1006:AN1006),$AM$1006:$BM$1006,0)))),"Fix")))</f>
        <v xml:space="preserve"> </v>
      </c>
      <c r="D731" s="4" t="str">
        <f ca="1">IF(OR(INDEX($AG$2:$AG$1001,MATCH(ROWS($AF$2:AF731),$AF$2:$AF$1001,0),1)&gt;=100000,INDEX($AM$1005:$BM$1005,1,MATCH(COLUMNS($AM$1006:AO1006),$AM$1006:$BM$1006,0))&gt;=100000), " ",IF(INDEX($AM$2:$BM$1001,MATCH(ROWS($AF$2:AF731),$AF$2:$AF$1001,0),MATCH(COLUMNS($AM$1006:AO1006),$AM$1006:$BM$1006,0)), HYPERLINK("#",""), HYPERLINK(CONCATENATE("#metadata!", ADDRESS(INDEX($AH$2:$AH$1001,MATCH(ROWS($AF$2:AF731),$AF$2:$AF$1001,0),0), INDEX($AM$1004:$BM$1004,1,MATCH(COLUMNS($AM$1006:AO1006),$AM$1006:$BM$1006,0)))),"Fix")))</f>
        <v xml:space="preserve"> </v>
      </c>
      <c r="E731" s="4" t="str">
        <f ca="1">IF(OR(INDEX($AG$2:$AG$1001,MATCH(ROWS($AF$2:AF731),$AF$2:$AF$1001,0),1)&gt;=100000,INDEX($AM$1005:$BM$1005,1,MATCH(COLUMNS($AM$1006:AP1006),$AM$1006:$BM$1006,0))&gt;=100000), " ",IF(INDEX($AM$2:$BM$1001,MATCH(ROWS($AF$2:AF731),$AF$2:$AF$1001,0),MATCH(COLUMNS($AM$1006:AP1006),$AM$1006:$BM$1006,0)), HYPERLINK("#",""), HYPERLINK(CONCATENATE("#metadata!", ADDRESS(INDEX($AH$2:$AH$1001,MATCH(ROWS($AF$2:AF731),$AF$2:$AF$1001,0),0), INDEX($AM$1004:$BM$1004,1,MATCH(COLUMNS($AM$1006:AP1006),$AM$1006:$BM$1006,0)))),"Fix")))</f>
        <v xml:space="preserve"> </v>
      </c>
      <c r="F731" s="4" t="str">
        <f ca="1">IF(OR(INDEX($AG$2:$AG$1001,MATCH(ROWS($AF$2:AF731),$AF$2:$AF$1001,0),1)&gt;=100000,INDEX($AM$1005:$BM$1005,1,MATCH(COLUMNS($AM$1006:AQ1006),$AM$1006:$BM$1006,0))&gt;=100000), " ",IF(INDEX($AM$2:$BM$1001,MATCH(ROWS($AF$2:AF731),$AF$2:$AF$1001,0),MATCH(COLUMNS($AM$1006:AQ1006),$AM$1006:$BM$1006,0)), HYPERLINK("#",""), HYPERLINK(CONCATENATE("#metadata!", ADDRESS(INDEX($AH$2:$AH$1001,MATCH(ROWS($AF$2:AF731),$AF$2:$AF$1001,0),0), INDEX($AM$1004:$BM$1004,1,MATCH(COLUMNS($AM$1006:AQ1006),$AM$1006:$BM$1006,0)))),"Fix")))</f>
        <v xml:space="preserve"> </v>
      </c>
      <c r="G731" s="4" t="str">
        <f ca="1">IF(OR(INDEX($AG$2:$AG$1001,MATCH(ROWS($AF$2:AF731),$AF$2:$AF$1001,0),1)&gt;=100000,INDEX($AM$1005:$BM$1005,1,MATCH(COLUMNS($AM$1006:AR1006),$AM$1006:$BM$1006,0))&gt;=100000), " ",IF(INDEX($AM$2:$BM$1001,MATCH(ROWS($AF$2:AF731),$AF$2:$AF$1001,0),MATCH(COLUMNS($AM$1006:AR1006),$AM$1006:$BM$1006,0)), HYPERLINK("#",""), HYPERLINK(CONCATENATE("#metadata!", ADDRESS(INDEX($AH$2:$AH$1001,MATCH(ROWS($AF$2:AF731),$AF$2:$AF$1001,0),0), INDEX($AM$1004:$BM$1004,1,MATCH(COLUMNS($AM$1006:AR1006),$AM$1006:$BM$1006,0)))),"Fix")))</f>
        <v xml:space="preserve"> </v>
      </c>
      <c r="H731" s="4" t="str">
        <f ca="1">IF(OR(INDEX($AG$2:$AG$1001,MATCH(ROWS($AF$2:AF731),$AF$2:$AF$1001,0),1)&gt;=100000,INDEX($AM$1005:$BM$1005,1,MATCH(COLUMNS($AM$1006:AS1006),$AM$1006:$BM$1006,0))&gt;=100000), " ",IF(INDEX($AM$2:$BM$1001,MATCH(ROWS($AF$2:AF731),$AF$2:$AF$1001,0),MATCH(COLUMNS($AM$1006:AS1006),$AM$1006:$BM$1006,0)), HYPERLINK("#",""), HYPERLINK(CONCATENATE("#metadata!", ADDRESS(INDEX($AH$2:$AH$1001,MATCH(ROWS($AF$2:AF731),$AF$2:$AF$1001,0),0), INDEX($AM$1004:$BM$1004,1,MATCH(COLUMNS($AM$1006:AS1006),$AM$1006:$BM$1006,0)))),"Fix")))</f>
        <v xml:space="preserve"> </v>
      </c>
      <c r="I731" s="4" t="str">
        <f ca="1">IF(OR(INDEX($AG$2:$AG$1001,MATCH(ROWS($AF$2:AF731),$AF$2:$AF$1001,0),1)&gt;=100000,INDEX($AM$1005:$BM$1005,1,MATCH(COLUMNS($AM$1006:AT1006),$AM$1006:$BM$1006,0))&gt;=100000), " ",IF(INDEX($AM$2:$BM$1001,MATCH(ROWS($AF$2:AF731),$AF$2:$AF$1001,0),MATCH(COLUMNS($AM$1006:AT1006),$AM$1006:$BM$1006,0)), HYPERLINK("#",""), HYPERLINK(CONCATENATE("#metadata!", ADDRESS(INDEX($AH$2:$AH$1001,MATCH(ROWS($AF$2:AF731),$AF$2:$AF$1001,0),0), INDEX($AM$1004:$BM$1004,1,MATCH(COLUMNS($AM$1006:AT1006),$AM$1006:$BM$1006,0)))),"Fix")))</f>
        <v xml:space="preserve"> </v>
      </c>
      <c r="J731" s="4" t="str">
        <f ca="1">IF(OR(INDEX($AG$2:$AG$1001,MATCH(ROWS($AF$2:AF731),$AF$2:$AF$1001,0),1)&gt;=100000,INDEX($AM$1005:$BM$1005,1,MATCH(COLUMNS($AM$1006:AU1006),$AM$1006:$BM$1006,0))&gt;=100000), " ",IF(INDEX($AM$2:$BM$1001,MATCH(ROWS($AF$2:AF731),$AF$2:$AF$1001,0),MATCH(COLUMNS($AM$1006:AU1006),$AM$1006:$BM$1006,0)), HYPERLINK("#",""), HYPERLINK(CONCATENATE("#metadata!", ADDRESS(INDEX($AH$2:$AH$1001,MATCH(ROWS($AF$2:AF731),$AF$2:$AF$1001,0),0), INDEX($AM$1004:$BM$1004,1,MATCH(COLUMNS($AM$1006:AU1006),$AM$1006:$BM$1006,0)))),"Fix")))</f>
        <v xml:space="preserve"> </v>
      </c>
      <c r="K731" s="4" t="str">
        <f ca="1">IF(OR(INDEX($AG$2:$AG$1001,MATCH(ROWS($AF$2:AF731),$AF$2:$AF$1001,0),1)&gt;=100000,INDEX($AM$1005:$BM$1005,1,MATCH(COLUMNS($AM$1006:AV1006),$AM$1006:$BM$1006,0))&gt;=100000), " ",IF(INDEX($AM$2:$BM$1001,MATCH(ROWS($AF$2:AF731),$AF$2:$AF$1001,0),MATCH(COLUMNS($AM$1006:AV1006),$AM$1006:$BM$1006,0)), HYPERLINK("#",""), HYPERLINK(CONCATENATE("#metadata!", ADDRESS(INDEX($AH$2:$AH$1001,MATCH(ROWS($AF$2:AF731),$AF$2:$AF$1001,0),0), INDEX($AM$1004:$BM$1004,1,MATCH(COLUMNS($AM$1006:AV1006),$AM$1006:$BM$1006,0)))),"Fix")))</f>
        <v xml:space="preserve"> </v>
      </c>
      <c r="L731" s="4" t="str">
        <f ca="1">IF(OR(INDEX($AG$2:$AG$1001,MATCH(ROWS($AF$2:AF731),$AF$2:$AF$1001,0),1)&gt;=100000,INDEX($AM$1005:$BM$1005,1,MATCH(COLUMNS($AM$1006:AW1006),$AM$1006:$BM$1006,0))&gt;=100000), " ",IF(INDEX($AM$2:$BM$1001,MATCH(ROWS($AF$2:AF731),$AF$2:$AF$1001,0),MATCH(COLUMNS($AM$1006:AW1006),$AM$1006:$BM$1006,0)), HYPERLINK("#",""), HYPERLINK(CONCATENATE("#metadata!", ADDRESS(INDEX($AH$2:$AH$1001,MATCH(ROWS($AF$2:AF731),$AF$2:$AF$1001,0),0), INDEX($AM$1004:$BM$1004,1,MATCH(COLUMNS($AM$1006:AW1006),$AM$1006:$BM$1006,0)))),"Fix")))</f>
        <v xml:space="preserve"> </v>
      </c>
      <c r="M731" s="4" t="str">
        <f ca="1">IF(OR(INDEX($AG$2:$AG$1001,MATCH(ROWS($AF$2:AF731),$AF$2:$AF$1001,0),1)&gt;=100000,INDEX($AM$1005:$BM$1005,1,MATCH(COLUMNS($AM$1006:AX1006),$AM$1006:$BM$1006,0))&gt;=100000), " ",IF(INDEX($AM$2:$BM$1001,MATCH(ROWS($AF$2:AF731),$AF$2:$AF$1001,0),MATCH(COLUMNS($AM$1006:AX1006),$AM$1006:$BM$1006,0)), HYPERLINK("#",""), HYPERLINK(CONCATENATE("#metadata!", ADDRESS(INDEX($AH$2:$AH$1001,MATCH(ROWS($AF$2:AF731),$AF$2:$AF$1001,0),0), INDEX($AM$1004:$BM$1004,1,MATCH(COLUMNS($AM$1006:AX1006),$AM$1006:$BM$1006,0)))),"Fix")))</f>
        <v xml:space="preserve"> </v>
      </c>
      <c r="N731" s="4" t="str">
        <f ca="1">IF(OR(INDEX($AG$2:$AG$1001,MATCH(ROWS($AF$2:AF731),$AF$2:$AF$1001,0),1)&gt;=100000,INDEX($AM$1005:$BM$1005,1,MATCH(COLUMNS($AM$1006:AY1006),$AM$1006:$BM$1006,0))&gt;=100000), " ",IF(INDEX($AM$2:$BM$1001,MATCH(ROWS($AF$2:AF731),$AF$2:$AF$1001,0),MATCH(COLUMNS($AM$1006:AY1006),$AM$1006:$BM$1006,0)), HYPERLINK("#",""), HYPERLINK(CONCATENATE("#metadata!", ADDRESS(INDEX($AH$2:$AH$1001,MATCH(ROWS($AF$2:AF731),$AF$2:$AF$1001,0),0), INDEX($AM$1004:$BM$1004,1,MATCH(COLUMNS($AM$1006:AY1006),$AM$1006:$BM$1006,0)))),"Fix")))</f>
        <v xml:space="preserve"> </v>
      </c>
      <c r="O731" s="4" t="str">
        <f ca="1">IF(OR(INDEX($AG$2:$AG$1001,MATCH(ROWS($AF$2:AF731),$AF$2:$AF$1001,0),1)&gt;=100000,INDEX($AM$1005:$BM$1005,1,MATCH(COLUMNS($AM$1006:AZ1006),$AM$1006:$BM$1006,0))&gt;=100000), " ",IF(INDEX($AM$2:$BM$1001,MATCH(ROWS($AF$2:AF731),$AF$2:$AF$1001,0),MATCH(COLUMNS($AM$1006:AZ1006),$AM$1006:$BM$1006,0)), HYPERLINK("#",""), HYPERLINK(CONCATENATE("#metadata!", ADDRESS(INDEX($AH$2:$AH$1001,MATCH(ROWS($AF$2:AF731),$AF$2:$AF$1001,0),0), INDEX($AM$1004:$BM$1004,1,MATCH(COLUMNS($AM$1006:AZ1006),$AM$1006:$BM$1006,0)))),"Fix")))</f>
        <v xml:space="preserve"> </v>
      </c>
      <c r="P731" s="4" t="str">
        <f ca="1">IF(OR(INDEX($AG$2:$AG$1001,MATCH(ROWS($AF$2:AF731),$AF$2:$AF$1001,0),1)&gt;=100000,INDEX($AM$1005:$BM$1005,1,MATCH(COLUMNS($AM$1006:BA1006),$AM$1006:$BM$1006,0))&gt;=100000), " ",IF(INDEX($AM$2:$BM$1001,MATCH(ROWS($AF$2:AF731),$AF$2:$AF$1001,0),MATCH(COLUMNS($AM$1006:BA1006),$AM$1006:$BM$1006,0)), HYPERLINK("#",""), HYPERLINK(CONCATENATE("#metadata!", ADDRESS(INDEX($AH$2:$AH$1001,MATCH(ROWS($AF$2:AF731),$AF$2:$AF$1001,0),0), INDEX($AM$1004:$BM$1004,1,MATCH(COLUMNS($AM$1006:BA1006),$AM$1006:$BM$1006,0)))),"Fix")))</f>
        <v xml:space="preserve"> </v>
      </c>
      <c r="Q731" s="4" t="str">
        <f ca="1">IF(OR(INDEX($AG$2:$AG$1001,MATCH(ROWS($AF$2:AF731),$AF$2:$AF$1001,0),1)&gt;=100000,INDEX($AM$1005:$BM$1005,1,MATCH(COLUMNS($AM$1006:BB1006),$AM$1006:$BM$1006,0))&gt;=100000), " ",IF(INDEX($AM$2:$BM$1001,MATCH(ROWS($AF$2:AF731),$AF$2:$AF$1001,0),MATCH(COLUMNS($AM$1006:BB1006),$AM$1006:$BM$1006,0)), HYPERLINK("#",""), HYPERLINK(CONCATENATE("#metadata!", ADDRESS(INDEX($AH$2:$AH$1001,MATCH(ROWS($AF$2:AF731),$AF$2:$AF$1001,0),0), INDEX($AM$1004:$BM$1004,1,MATCH(COLUMNS($AM$1006:BB1006),$AM$1006:$BM$1006,0)))),"Fix")))</f>
        <v xml:space="preserve"> </v>
      </c>
      <c r="R731" s="4" t="str">
        <f ca="1">IF(OR(INDEX($AG$2:$AG$1001,MATCH(ROWS($AF$2:AF731),$AF$2:$AF$1001,0),1)&gt;=100000,INDEX($AM$1005:$BM$1005,1,MATCH(COLUMNS($AM$1006:BC1006),$AM$1006:$BM$1006,0))&gt;=100000), " ",IF(INDEX($AM$2:$BM$1001,MATCH(ROWS($AF$2:AF731),$AF$2:$AF$1001,0),MATCH(COLUMNS($AM$1006:BC1006),$AM$1006:$BM$1006,0)), HYPERLINK("#",""), HYPERLINK(CONCATENATE("#metadata!", ADDRESS(INDEX($AH$2:$AH$1001,MATCH(ROWS($AF$2:AF731),$AF$2:$AF$1001,0),0), INDEX($AM$1004:$BM$1004,1,MATCH(COLUMNS($AM$1006:BC1006),$AM$1006:$BM$1006,0)))),"Fix")))</f>
        <v xml:space="preserve"> </v>
      </c>
      <c r="S731" s="4" t="str">
        <f ca="1">IF(OR(INDEX($AG$2:$AG$1001,MATCH(ROWS($AF$2:AF731),$AF$2:$AF$1001,0),1)&gt;=100000,INDEX($AM$1005:$BM$1005,1,MATCH(COLUMNS($AM$1006:BD1006),$AM$1006:$BM$1006,0))&gt;=100000), " ",IF(INDEX($AM$2:$BM$1001,MATCH(ROWS($AF$2:AF731),$AF$2:$AF$1001,0),MATCH(COLUMNS($AM$1006:BD1006),$AM$1006:$BM$1006,0)), HYPERLINK("#",""), HYPERLINK(CONCATENATE("#metadata!", ADDRESS(INDEX($AH$2:$AH$1001,MATCH(ROWS($AF$2:AF731),$AF$2:$AF$1001,0),0), INDEX($AM$1004:$BM$1004,1,MATCH(COLUMNS($AM$1006:BD1006),$AM$1006:$BM$1006,0)))),"Fix")))</f>
        <v xml:space="preserve"> </v>
      </c>
      <c r="T731" s="4" t="str">
        <f ca="1">IF(OR(INDEX($AG$2:$AG$1001,MATCH(ROWS($AF$2:AF731),$AF$2:$AF$1001,0),1)&gt;=100000,INDEX($AM$1005:$BM$1005,1,MATCH(COLUMNS($AM$1006:BE1006),$AM$1006:$BM$1006,0))&gt;=100000), " ",IF(INDEX($AM$2:$BM$1001,MATCH(ROWS($AF$2:AF731),$AF$2:$AF$1001,0),MATCH(COLUMNS($AM$1006:BE1006),$AM$1006:$BM$1006,0)), HYPERLINK("#",""), HYPERLINK(CONCATENATE("#metadata!", ADDRESS(INDEX($AH$2:$AH$1001,MATCH(ROWS($AF$2:AF731),$AF$2:$AF$1001,0),0), INDEX($AM$1004:$BM$1004,1,MATCH(COLUMNS($AM$1006:BE1006),$AM$1006:$BM$1006,0)))),"Fix")))</f>
        <v xml:space="preserve"> </v>
      </c>
      <c r="U731" s="4" t="str">
        <f ca="1">IF(OR(INDEX($AG$2:$AG$1001,MATCH(ROWS($AF$2:AF731),$AF$2:$AF$1001,0),1)&gt;=100000,INDEX($AM$1005:$BM$1005,1,MATCH(COLUMNS($AM$1006:BF1006),$AM$1006:$BM$1006,0))&gt;=100000), " ",IF(INDEX($AM$2:$BM$1001,MATCH(ROWS($AF$2:AF731),$AF$2:$AF$1001,0),MATCH(COLUMNS($AM$1006:BF1006),$AM$1006:$BM$1006,0)), HYPERLINK("#",""), HYPERLINK(CONCATENATE("#metadata!", ADDRESS(INDEX($AH$2:$AH$1001,MATCH(ROWS($AF$2:AF731),$AF$2:$AF$1001,0),0), INDEX($AM$1004:$BM$1004,1,MATCH(COLUMNS($AM$1006:BF1006),$AM$1006:$BM$1006,0)))),"Fix")))</f>
        <v xml:space="preserve"> </v>
      </c>
      <c r="V731" s="4" t="str">
        <f ca="1">IF(OR(INDEX($AG$2:$AG$1001,MATCH(ROWS($AF$2:AF731),$AF$2:$AF$1001,0),1)&gt;=100000,INDEX($AM$1005:$BM$1005,1,MATCH(COLUMNS($AM$1006:BG1006),$AM$1006:$BM$1006,0))&gt;=100000), " ",IF(INDEX($AM$2:$BM$1001,MATCH(ROWS($AF$2:AF731),$AF$2:$AF$1001,0),MATCH(COLUMNS($AM$1006:BG1006),$AM$1006:$BM$1006,0)), HYPERLINK("#",""), HYPERLINK(CONCATENATE("#metadata!", ADDRESS(INDEX($AH$2:$AH$1001,MATCH(ROWS($AF$2:AF731),$AF$2:$AF$1001,0),0), INDEX($AM$1004:$BM$1004,1,MATCH(COLUMNS($AM$1006:BG1006),$AM$1006:$BM$1006,0)))),"Fix")))</f>
        <v xml:space="preserve"> </v>
      </c>
      <c r="W731" s="4" t="str">
        <f ca="1">IF(OR(INDEX($AG$2:$AG$1001,MATCH(ROWS($AF$2:AF731),$AF$2:$AF$1001,0),1)&gt;=100000,INDEX($AM$1005:$BM$1005,1,MATCH(COLUMNS($AM$1006:BH1006),$AM$1006:$BM$1006,0))&gt;=100000), " ",IF(INDEX($AM$2:$BM$1001,MATCH(ROWS($AF$2:AF731),$AF$2:$AF$1001,0),MATCH(COLUMNS($AM$1006:BH1006),$AM$1006:$BM$1006,0)), HYPERLINK("#",""), HYPERLINK(CONCATENATE("#metadata!", ADDRESS(INDEX($AH$2:$AH$1001,MATCH(ROWS($AF$2:AF731),$AF$2:$AF$1001,0),0), INDEX($AM$1004:$BM$1004,1,MATCH(COLUMNS($AM$1006:BH1006),$AM$1006:$BM$1006,0)))),"Fix")))</f>
        <v xml:space="preserve"> </v>
      </c>
      <c r="X731" s="4" t="str">
        <f ca="1">IF(OR(INDEX($AG$2:$AG$1001,MATCH(ROWS($AF$2:AF731),$AF$2:$AF$1001,0),1)&gt;=100000,INDEX($AM$1005:$BM$1005,1,MATCH(COLUMNS($AM$1006:BI1006),$AM$1006:$BM$1006,0))&gt;=100000), " ",IF(INDEX($AM$2:$BM$1001,MATCH(ROWS($AF$2:AF731),$AF$2:$AF$1001,0),MATCH(COLUMNS($AM$1006:BI1006),$AM$1006:$BM$1006,0)), HYPERLINK("#",""), HYPERLINK(CONCATENATE("#metadata!", ADDRESS(INDEX($AH$2:$AH$1001,MATCH(ROWS($AF$2:AF731),$AF$2:$AF$1001,0),0), INDEX($AM$1004:$BM$1004,1,MATCH(COLUMNS($AM$1006:BI1006),$AM$1006:$BM$1006,0)))),"Fix")))</f>
        <v xml:space="preserve"> </v>
      </c>
      <c r="Y731" s="4" t="str">
        <f ca="1">IF(OR(INDEX($AG$2:$AG$1001,MATCH(ROWS($AF$2:AF731),$AF$2:$AF$1001,0),1)&gt;=100000,INDEX($AM$1005:$BM$1005,1,MATCH(COLUMNS($AM$1006:BJ1006),$AM$1006:$BM$1006,0))&gt;=100000), " ",IF(INDEX($AM$2:$BM$1001,MATCH(ROWS($AF$2:AF731),$AF$2:$AF$1001,0),MATCH(COLUMNS($AM$1006:BJ1006),$AM$1006:$BM$1006,0)), HYPERLINK("#",""), HYPERLINK(CONCATENATE("#metadata!", ADDRESS(INDEX($AH$2:$AH$1001,MATCH(ROWS($AF$2:AF731),$AF$2:$AF$1001,0),0), INDEX($AM$1004:$BM$1004,1,MATCH(COLUMNS($AM$1006:BJ1006),$AM$1006:$BM$1006,0)))),"Fix")))</f>
        <v xml:space="preserve"> </v>
      </c>
      <c r="Z731" s="4" t="str">
        <f ca="1">IF(OR(INDEX($AG$2:$AG$1001,MATCH(ROWS($AF$2:AF731),$AF$2:$AF$1001,0),1)&gt;=100000,INDEX($AM$1005:$BM$1005,1,MATCH(COLUMNS($AM$1006:BK1006),$AM$1006:$BM$1006,0))&gt;=100000), " ",IF(INDEX($AM$2:$BM$1001,MATCH(ROWS($AF$2:AF731),$AF$2:$AF$1001,0),MATCH(COLUMNS($AM$1006:BK1006),$AM$1006:$BM$1006,0)), HYPERLINK("#",""), HYPERLINK(CONCATENATE("#metadata!", ADDRESS(INDEX($AH$2:$AH$1001,MATCH(ROWS($AF$2:AF731),$AF$2:$AF$1001,0),0), INDEX($AM$1004:$BM$1004,1,MATCH(COLUMNS($AM$1006:BK1006),$AM$1006:$BM$1006,0)))),"Fix")))</f>
        <v xml:space="preserve"> </v>
      </c>
      <c r="AA731" s="4" t="str">
        <f ca="1">IF(OR(INDEX($AG$2:$AG$1001,MATCH(ROWS($AF$2:AF731),$AF$2:$AF$1001,0),1)&gt;=100000,INDEX($AM$1005:$BM$1005,1,MATCH(COLUMNS($AM$1006:BL1006),$AM$1006:$BM$1006,0))&gt;=100000), " ",IF(INDEX($AM$2:$BM$1001,MATCH(ROWS($AF$2:AF731),$AF$2:$AF$1001,0),MATCH(COLUMNS($AM$1006:BL1006),$AM$1006:$BM$1006,0)), HYPERLINK("#",""), HYPERLINK(CONCATENATE("#metadata!", ADDRESS(INDEX($AH$2:$AH$1001,MATCH(ROWS($AF$2:AF731),$AF$2:$AF$1001,0),0), INDEX($AM$1004:$BM$1004,1,MATCH(COLUMNS($AM$1006:BL1006),$AM$1006:$BM$1006,0)))),"Fix")))</f>
        <v xml:space="preserve"> </v>
      </c>
      <c r="AB731" s="4" t="str">
        <f ca="1">IF(OR(INDEX($AG$2:$AG$1001,MATCH(ROWS($AF$2:AF731),$AF$2:$AF$1001,0),1)&gt;=100000,INDEX($AM$1005:$BM$1005,1,MATCH(COLUMNS($AM$1006:BM1006),$AM$1006:$BM$1006,0))&gt;=100000), " ",IF(INDEX($AM$2:$BM$1001,MATCH(ROWS($AF$2:AF731),$AF$2:$AF$1001,0),MATCH(COLUMNS($AM$1006:BM1006),$AM$1006:$BM$1006,0)), HYPERLINK("#",""), HYPERLINK(CONCATENATE("#metadata!", ADDRESS(INDEX($AH$2:$AH$1001,MATCH(ROWS($AF$2:AF731),$AF$2:$AF$1001,0),0), INDEX($AM$1004:$BM$1004,1,MATCH(COLUMNS($AM$1006:BM1006),$AM$1006:$BM$1006,0)))),"Fix")))</f>
        <v xml:space="preserve"> </v>
      </c>
      <c r="AF731">
        <v>730</v>
      </c>
      <c r="AG731">
        <v>100731</v>
      </c>
      <c r="AH731">
        <v>731</v>
      </c>
      <c r="AI731" t="b">
        <f t="shared" si="11"/>
        <v>1</v>
      </c>
      <c r="AJ731" t="b">
        <f>COUNTBLANK(metadata!B731:AB731)=COLUMNS(metadata!B731:AB731)</f>
        <v>1</v>
      </c>
      <c r="AK731" t="str">
        <v/>
      </c>
      <c r="AM731" t="b">
        <f ca="1">AND(IF(metadata!B731="",FALSE,TRUE),COUNTIF(metadata!B:B, metadata!B731) = 1,NOT(ISERROR(SUMPRODUCT(SEARCH(MID(metadata!B731,ROW(INDIRECT("1:"&amp;LEN(metadata!B731))), 1),"0123456789abcdefghijklmnopqrstuvwxyzABCDEFGHIJKLMNOPQRSTUVWXYZ.")))))</f>
        <v>0</v>
      </c>
      <c r="AN731" t="b">
        <f ca="1">OR(AND(IF(metadata!C731="",FALSE,TRUE),OR(EXACT(metadata!C731,"missing: not collected"),EXACT(metadata!C731,"missing: not provided"),EXACT(metadata!C731,"missing: restricted access"))),AND(IF(metadata!C731="",FALSE,TRUE),AND(AND(IFERROR(INT(LEFT(metadata!C731,4))&gt;1900,FALSE),IFERROR(INT(LEFT(metadata!C731,4))&lt;=YEAR(NOW()),FALSE)), OR(MID(metadata!C731,5,1)="", AND(AND(MID(metadata!C731,5,1)="-",IFERROR(INT(MID(metadata!C731,6,1))&gt;=0,FALSE),IFERROR(INT(MID(metadata!C731,6,1))&lt;=1,FALSE),NOT(MID(metadata!C731,7,1)=""),IFERROR(INT(MID(metadata!C731,6,2))&gt;=1,FALSE),IFERROR(INT(MID(metadata!C731,6,2))&lt;=12,FALSE)), OR(MID(metadata!C731,8,1)="", AND(AND(MID(metadata!C731,8,1)="-",IFERROR(INT(MID(metadata!C731,9,1))&gt;=0,FALSE),IFERROR(INT(MID(metadata!C731,9,1))&lt;=3,FALSE),NOT(MID(metadata!C731,10,1)=""),IFERROR(INT(MID(metadata!C731,9,2))&gt;=1,FALSE),IFERROR(INT(MID(metadata!C731,9,2))&lt;=31,FALSE)), OR(MID(metadata!C731,11,1)="", AND(AND(MID(metadata!C731,11,1)=" ",IFERROR(INT(MID(metadata!C731,12,1))&gt;=0,FALSE),IFERROR(INT(MID(metadata!C731,12,1))&lt;=2,FALSE),NOT(MID(metadata!C731,13,1)=""),IFERROR(INT(MID(metadata!C731,12,2))&gt;=0,FALSE),IFERROR(INT(MID(metadata!C731,12,2))&lt;=23,FALSE)), OR(MID(metadata!C731,14,1)="", AND(AND(MID(metadata!C731,14,1)=":",IFERROR(INT(MID(metadata!C731,15,1))&gt;=0,FALSE),IFERROR(INT(MID(metadata!C731,15,1))&lt;=5,FALSE),NOT(MID(metadata!C731,16,1)=""),IFERROR(INT(MID(metadata!C731,15,2))&gt;=0,FALSE),IFERROR(INT(MID(metadata!C731,15,2))&lt;=59,FALSE)), OR(MID(metadata!C731,17,1)="", AND(AND(MID(metadata!C731,17,1)=":",IFERROR(INT(MID(metadata!C731,18,1))&gt;=0,FALSE),IFERROR(INT(MID(metadata!C731,18,1))&lt;=5,FALSE),NOT(MID(metadata!C731,19,1)=""),IFERROR(INT(MID(metadata!C731,18,2))&gt;=0,FALSE),IFERROR(INT(MID(metadata!C731,18,2))&lt;=59,FALSE)), LEN(metadata!C731)&lt;=19)))))))))))))</f>
        <v>0</v>
      </c>
      <c r="AO731" t="b">
        <f>AND(IF(metadata!D731="",FALSE,TRUE),EXACT(metadata!D731,"Not applicable"))</f>
        <v>0</v>
      </c>
      <c r="AP731" t="b">
        <f>IF(metadata!E731="",FALSE,TRUE)</f>
        <v>0</v>
      </c>
      <c r="AQ731" t="b">
        <f>OR(AND(IF(metadata!F731="",FALSE,TRUE),OR(EXACT(metadata!F731,"missing: not collected"),EXACT(metadata!F731,"missing: not provided"))),AND(IF(metadata!F731="",FALSE,TRUE),OR(EXACT(metadata!F731,"TRUE"),EXACT(metadata!F731,"FALSE"))))</f>
        <v>0</v>
      </c>
      <c r="AR731" t="b">
        <f>OR(AND(IF(metadata!G731="",FALSE,TRUE),OR(EXACT(metadata!G731,"missing: not collected"),EXACT(metadata!G731,"missing: not provided"),EXACT(metadata!G731,"missing: restricted access"))),AND(IF(metadata!G731="",FALSE,ISNUMBER(VALUE(metadata!G731))),metadata!G731&gt;=-413))</f>
        <v>0</v>
      </c>
      <c r="AS731" t="b">
        <f>AND(IF(metadata!H731="",FALSE,TRUE),EXACT(metadata!H731,"meters"))</f>
        <v>0</v>
      </c>
      <c r="AT731" t="b">
        <f>AND(IF(metadata!I731="",FALSE,TRUE),OR(EXACT(metadata!I731,"Host-associated"),EXACT(metadata!I731,"Free-living")))</f>
        <v>0</v>
      </c>
      <c r="AU731" t="b">
        <f>AND(IF(metadata!J731="",FALSE,TRUE),OR(EXACT(metadata!J731,"Animal"),EXACT(metadata!J731,"Fungus"),EXACT(metadata!J731,"Plant"),EXACT(metadata!J731,"Saline"),EXACT(metadata!J731,"Non-saline")))</f>
        <v>0</v>
      </c>
      <c r="AV731" t="b">
        <f>AND(IF(metadata!K731="",FALSE,TRUE),OR(EXACT(metadata!K731,"Plant secretion"),EXACT(metadata!K731,"Plant rhizosphere"),EXACT(metadata!K731,"Plant surface"),EXACT(metadata!K731,"Plant corpus"),EXACT(metadata!K731,"Fungus surface"),EXACT(metadata!K731,"Fungus corpus"),EXACT(metadata!K731,"Animal surface"),EXACT(metadata!K731,"Animal proximal gut"),EXACT(metadata!K731,"Animal corpus"),EXACT(metadata!K731,"Animal distal gut"),EXACT(metadata!K731,"Animal secretion"),EXACT(metadata!K731,"Sub-surface (non-saline)"),EXACT(metadata!K731,"Surface (non-saline)"),EXACT(metadata!K731,"Water (non-saline)"),EXACT(metadata!K731,"Soil (non-saline)"),EXACT(metadata!K731,"Aerosol (non-saline)"),EXACT(metadata!K731,"Sediment (non-saline)"),EXACT(metadata!K731,"Surface (saline)"),EXACT(metadata!K731,"Water (saline)"),EXACT(metadata!K731,"Hypersaline (saline)"),EXACT(metadata!K731,"Aerosol (saline)"),EXACT(metadata!K731,"Sediment (saline)")))</f>
        <v>0</v>
      </c>
      <c r="AW731" t="b">
        <f>IF(metadata!L731="",FALSE,TRUE)</f>
        <v>0</v>
      </c>
      <c r="AX731" t="b">
        <f>IF(metadata!M731="",FALSE,TRUE)</f>
        <v>0</v>
      </c>
      <c r="AY731" t="b">
        <f>IF(metadata!N731="",FALSE,TRUE)</f>
        <v>0</v>
      </c>
      <c r="AZ731" t="b">
        <f>OR(AND(IF(metadata!O731="",FALSE,TRUE),OR(EXACT(metadata!O731,"missing: not collected"),EXACT(metadata!O731,"missing: not provided"),EXACT(metadata!O731,"missing: restricted access"))),AND(IF(metadata!O731="",FALSE,TRUE),OR(EXACT(metadata!O731,"air"),EXACT(metadata!O731,"built environment"),EXACT(metadata!O731,"host-associated"),EXACT(metadata!O731,"human-associated"),EXACT(metadata!O731,"human-skin"),EXACT(metadata!O731,"human-oral"),EXACT(metadata!O731,"human-gut"),EXACT(metadata!O731,"human-vaginal"),EXACT(metadata!O731,"microbial mat/biofilm"),EXACT(metadata!O731,"misc environment"),EXACT(metadata!O731,"plant-associated"),EXACT(metadata!O731,"sediment"),EXACT(metadata!O731,"soil"),EXACT(metadata!O731,"wastewater/sludge"),EXACT(metadata!O731,"water"))))</f>
        <v>0</v>
      </c>
      <c r="BA731" t="b">
        <f>IF(metadata!P731="",FALSE,TRUE)</f>
        <v>0</v>
      </c>
      <c r="BB731" t="b">
        <f>IF(metadata!Q731="",FALSE,TRUE)</f>
        <v>0</v>
      </c>
      <c r="BC731" t="b">
        <f>OR(AND(IF(metadata!R731="",FALSE,TRUE),OR(EXACT(metadata!R731,"missing: not collected"),EXACT(metadata!R731,"missing: not provided"),EXACT(metadata!R731,"missing: restricted access"))),AND(IF(metadata!R731="",FALSE,ISNUMBER(VALUE(metadata!R731))),metadata!R731&gt;=-90,metadata!R731&lt;=90))</f>
        <v>0</v>
      </c>
      <c r="BD731" t="b">
        <f>AND(IF(metadata!S731="",FALSE,TRUE),EXACT(metadata!S731,"Decimal degrees"))</f>
        <v>0</v>
      </c>
      <c r="BE731" t="b">
        <f>OR(AND(IF(metadata!T731="",FALSE,TRUE),OR(EXACT(metadata!T731,"missing: not collected"),EXACT(metadata!T731,"missing: not provided"),EXACT(metadata!T731,"missing: restricted access"))),AND(IF(metadata!T731="",FALSE,ISNUMBER(VALUE(metadata!T731))),metadata!T731&gt;=-180,metadata!T731&lt;=180))</f>
        <v>0</v>
      </c>
      <c r="BF731" t="b">
        <f>AND(IF(metadata!U731="",FALSE,TRUE),EXACT(metadata!U731,"Decimal degrees"))</f>
        <v>0</v>
      </c>
      <c r="BG731" t="b">
        <f>IF(metadata!V731="",FALSE,TRUE)</f>
        <v>0</v>
      </c>
      <c r="BH731" t="b">
        <f>OR(AND(IF(metadata!W731="",FALSE,TRUE),OR(EXACT(metadata!W731,"missing: not collected"),EXACT(metadata!W731,"missing: not provided"),EXACT(metadata!W731,"missing: restricted access"))),AND(IF(metadata!W731="",FALSE,TRUE),OR(EXACT(metadata!W731,"TRUE"),EXACT(metadata!W731,"FALSE"))))</f>
        <v>0</v>
      </c>
      <c r="BI731" t="b">
        <f>AND(IF(metadata!X731="",FALSE,TRUE),EXACT(metadata!X731,"other"))</f>
        <v>0</v>
      </c>
      <c r="BJ731" t="b">
        <f>IF(metadata!Y731="",FALSE,TRUE)</f>
        <v>0</v>
      </c>
      <c r="BK731" t="b">
        <f>OR(AND(IF(metadata!Z731="",FALSE,TRUE),OR(EXACT(metadata!Z731,"missing: not collected"),EXACT(metadata!Z731,"missing: not provided"))),AND(IF(metadata!Z731="",FALSE,IF(ISERROR(INT(metadata!Z731)),FALSE,INT(metadata!Z731)=metadata!Z731)),metadata!Z731&gt;0))</f>
        <v>0</v>
      </c>
      <c r="BL731" t="b">
        <f>AND(IF(metadata!AA731="",FALSE,TRUE),EXACT(metadata!AA731,"Not applicable"))</f>
        <v>0</v>
      </c>
      <c r="BM731" t="b">
        <f>IF(metadata!AB731="",FALSE,TRUE)</f>
        <v>0</v>
      </c>
    </row>
    <row r="732" spans="1:65" x14ac:dyDescent="0.2">
      <c r="A732" s="5" t="str">
        <f ca="1">IF(B732=" "," ",HYPERLINK(CONCATENATE("#metadata!",ADDRESS(INDEX($AH$2:$AH$1001,MATCH(ROWS($AF$2:AF732),$AF$2:$AF$1001,0),0),1)),INDEX($AK$2:$AK$1001,MATCH(ROWS($AF$2:AF732),$AF$2:$AF$1001,0),0)))</f>
        <v xml:space="preserve"> </v>
      </c>
      <c r="B732" s="4" t="str">
        <f ca="1">IF(OR(INDEX($AG$2:$AG$1001,MATCH(ROWS($AF$2:AF732),$AF$2:$AF$1001,0),1)&gt;=100000,INDEX($AM$1005:$BM$1005,1,MATCH(COLUMNS($AM$1006:AM1006),$AM$1006:$BM$1006,0))&gt;=100000), " ",IF(INDEX($AM$2:$BM$1001,MATCH(ROWS($AF$2:AF732),$AF$2:$AF$1001,0),MATCH(COLUMNS($AM$1006:AM1006),$AM$1006:$BM$1006,0)), HYPERLINK("#",""), HYPERLINK(CONCATENATE("#metadata!", ADDRESS(INDEX($AH$2:$AH$1001,MATCH(ROWS($AF$2:AF732),$AF$2:$AF$1001,0),0), INDEX($AM$1004:$BM$1004,1,MATCH(COLUMNS($AM$1006:AM1006),$AM$1006:$BM$1006,0)))),"Fix")))</f>
        <v xml:space="preserve"> </v>
      </c>
      <c r="C732" s="4" t="str">
        <f ca="1">IF(OR(INDEX($AG$2:$AG$1001,MATCH(ROWS($AF$2:AF732),$AF$2:$AF$1001,0),1)&gt;=100000,INDEX($AM$1005:$BM$1005,1,MATCH(COLUMNS($AM$1006:AN1006),$AM$1006:$BM$1006,0))&gt;=100000), " ",IF(INDEX($AM$2:$BM$1001,MATCH(ROWS($AF$2:AF732),$AF$2:$AF$1001,0),MATCH(COLUMNS($AM$1006:AN1006),$AM$1006:$BM$1006,0)), HYPERLINK("#",""), HYPERLINK(CONCATENATE("#metadata!", ADDRESS(INDEX($AH$2:$AH$1001,MATCH(ROWS($AF$2:AF732),$AF$2:$AF$1001,0),0), INDEX($AM$1004:$BM$1004,1,MATCH(COLUMNS($AM$1006:AN1006),$AM$1006:$BM$1006,0)))),"Fix")))</f>
        <v xml:space="preserve"> </v>
      </c>
      <c r="D732" s="4" t="str">
        <f ca="1">IF(OR(INDEX($AG$2:$AG$1001,MATCH(ROWS($AF$2:AF732),$AF$2:$AF$1001,0),1)&gt;=100000,INDEX($AM$1005:$BM$1005,1,MATCH(COLUMNS($AM$1006:AO1006),$AM$1006:$BM$1006,0))&gt;=100000), " ",IF(INDEX($AM$2:$BM$1001,MATCH(ROWS($AF$2:AF732),$AF$2:$AF$1001,0),MATCH(COLUMNS($AM$1006:AO1006),$AM$1006:$BM$1006,0)), HYPERLINK("#",""), HYPERLINK(CONCATENATE("#metadata!", ADDRESS(INDEX($AH$2:$AH$1001,MATCH(ROWS($AF$2:AF732),$AF$2:$AF$1001,0),0), INDEX($AM$1004:$BM$1004,1,MATCH(COLUMNS($AM$1006:AO1006),$AM$1006:$BM$1006,0)))),"Fix")))</f>
        <v xml:space="preserve"> </v>
      </c>
      <c r="E732" s="4" t="str">
        <f ca="1">IF(OR(INDEX($AG$2:$AG$1001,MATCH(ROWS($AF$2:AF732),$AF$2:$AF$1001,0),1)&gt;=100000,INDEX($AM$1005:$BM$1005,1,MATCH(COLUMNS($AM$1006:AP1006),$AM$1006:$BM$1006,0))&gt;=100000), " ",IF(INDEX($AM$2:$BM$1001,MATCH(ROWS($AF$2:AF732),$AF$2:$AF$1001,0),MATCH(COLUMNS($AM$1006:AP1006),$AM$1006:$BM$1006,0)), HYPERLINK("#",""), HYPERLINK(CONCATENATE("#metadata!", ADDRESS(INDEX($AH$2:$AH$1001,MATCH(ROWS($AF$2:AF732),$AF$2:$AF$1001,0),0), INDEX($AM$1004:$BM$1004,1,MATCH(COLUMNS($AM$1006:AP1006),$AM$1006:$BM$1006,0)))),"Fix")))</f>
        <v xml:space="preserve"> </v>
      </c>
      <c r="F732" s="4" t="str">
        <f ca="1">IF(OR(INDEX($AG$2:$AG$1001,MATCH(ROWS($AF$2:AF732),$AF$2:$AF$1001,0),1)&gt;=100000,INDEX($AM$1005:$BM$1005,1,MATCH(COLUMNS($AM$1006:AQ1006),$AM$1006:$BM$1006,0))&gt;=100000), " ",IF(INDEX($AM$2:$BM$1001,MATCH(ROWS($AF$2:AF732),$AF$2:$AF$1001,0),MATCH(COLUMNS($AM$1006:AQ1006),$AM$1006:$BM$1006,0)), HYPERLINK("#",""), HYPERLINK(CONCATENATE("#metadata!", ADDRESS(INDEX($AH$2:$AH$1001,MATCH(ROWS($AF$2:AF732),$AF$2:$AF$1001,0),0), INDEX($AM$1004:$BM$1004,1,MATCH(COLUMNS($AM$1006:AQ1006),$AM$1006:$BM$1006,0)))),"Fix")))</f>
        <v xml:space="preserve"> </v>
      </c>
      <c r="G732" s="4" t="str">
        <f ca="1">IF(OR(INDEX($AG$2:$AG$1001,MATCH(ROWS($AF$2:AF732),$AF$2:$AF$1001,0),1)&gt;=100000,INDEX($AM$1005:$BM$1005,1,MATCH(COLUMNS($AM$1006:AR1006),$AM$1006:$BM$1006,0))&gt;=100000), " ",IF(INDEX($AM$2:$BM$1001,MATCH(ROWS($AF$2:AF732),$AF$2:$AF$1001,0),MATCH(COLUMNS($AM$1006:AR1006),$AM$1006:$BM$1006,0)), HYPERLINK("#",""), HYPERLINK(CONCATENATE("#metadata!", ADDRESS(INDEX($AH$2:$AH$1001,MATCH(ROWS($AF$2:AF732),$AF$2:$AF$1001,0),0), INDEX($AM$1004:$BM$1004,1,MATCH(COLUMNS($AM$1006:AR1006),$AM$1006:$BM$1006,0)))),"Fix")))</f>
        <v xml:space="preserve"> </v>
      </c>
      <c r="H732" s="4" t="str">
        <f ca="1">IF(OR(INDEX($AG$2:$AG$1001,MATCH(ROWS($AF$2:AF732),$AF$2:$AF$1001,0),1)&gt;=100000,INDEX($AM$1005:$BM$1005,1,MATCH(COLUMNS($AM$1006:AS1006),$AM$1006:$BM$1006,0))&gt;=100000), " ",IF(INDEX($AM$2:$BM$1001,MATCH(ROWS($AF$2:AF732),$AF$2:$AF$1001,0),MATCH(COLUMNS($AM$1006:AS1006),$AM$1006:$BM$1006,0)), HYPERLINK("#",""), HYPERLINK(CONCATENATE("#metadata!", ADDRESS(INDEX($AH$2:$AH$1001,MATCH(ROWS($AF$2:AF732),$AF$2:$AF$1001,0),0), INDEX($AM$1004:$BM$1004,1,MATCH(COLUMNS($AM$1006:AS1006),$AM$1006:$BM$1006,0)))),"Fix")))</f>
        <v xml:space="preserve"> </v>
      </c>
      <c r="I732" s="4" t="str">
        <f ca="1">IF(OR(INDEX($AG$2:$AG$1001,MATCH(ROWS($AF$2:AF732),$AF$2:$AF$1001,0),1)&gt;=100000,INDEX($AM$1005:$BM$1005,1,MATCH(COLUMNS($AM$1006:AT1006),$AM$1006:$BM$1006,0))&gt;=100000), " ",IF(INDEX($AM$2:$BM$1001,MATCH(ROWS($AF$2:AF732),$AF$2:$AF$1001,0),MATCH(COLUMNS($AM$1006:AT1006),$AM$1006:$BM$1006,0)), HYPERLINK("#",""), HYPERLINK(CONCATENATE("#metadata!", ADDRESS(INDEX($AH$2:$AH$1001,MATCH(ROWS($AF$2:AF732),$AF$2:$AF$1001,0),0), INDEX($AM$1004:$BM$1004,1,MATCH(COLUMNS($AM$1006:AT1006),$AM$1006:$BM$1006,0)))),"Fix")))</f>
        <v xml:space="preserve"> </v>
      </c>
      <c r="J732" s="4" t="str">
        <f ca="1">IF(OR(INDEX($AG$2:$AG$1001,MATCH(ROWS($AF$2:AF732),$AF$2:$AF$1001,0),1)&gt;=100000,INDEX($AM$1005:$BM$1005,1,MATCH(COLUMNS($AM$1006:AU1006),$AM$1006:$BM$1006,0))&gt;=100000), " ",IF(INDEX($AM$2:$BM$1001,MATCH(ROWS($AF$2:AF732),$AF$2:$AF$1001,0),MATCH(COLUMNS($AM$1006:AU1006),$AM$1006:$BM$1006,0)), HYPERLINK("#",""), HYPERLINK(CONCATENATE("#metadata!", ADDRESS(INDEX($AH$2:$AH$1001,MATCH(ROWS($AF$2:AF732),$AF$2:$AF$1001,0),0), INDEX($AM$1004:$BM$1004,1,MATCH(COLUMNS($AM$1006:AU1006),$AM$1006:$BM$1006,0)))),"Fix")))</f>
        <v xml:space="preserve"> </v>
      </c>
      <c r="K732" s="4" t="str">
        <f ca="1">IF(OR(INDEX($AG$2:$AG$1001,MATCH(ROWS($AF$2:AF732),$AF$2:$AF$1001,0),1)&gt;=100000,INDEX($AM$1005:$BM$1005,1,MATCH(COLUMNS($AM$1006:AV1006),$AM$1006:$BM$1006,0))&gt;=100000), " ",IF(INDEX($AM$2:$BM$1001,MATCH(ROWS($AF$2:AF732),$AF$2:$AF$1001,0),MATCH(COLUMNS($AM$1006:AV1006),$AM$1006:$BM$1006,0)), HYPERLINK("#",""), HYPERLINK(CONCATENATE("#metadata!", ADDRESS(INDEX($AH$2:$AH$1001,MATCH(ROWS($AF$2:AF732),$AF$2:$AF$1001,0),0), INDEX($AM$1004:$BM$1004,1,MATCH(COLUMNS($AM$1006:AV1006),$AM$1006:$BM$1006,0)))),"Fix")))</f>
        <v xml:space="preserve"> </v>
      </c>
      <c r="L732" s="4" t="str">
        <f ca="1">IF(OR(INDEX($AG$2:$AG$1001,MATCH(ROWS($AF$2:AF732),$AF$2:$AF$1001,0),1)&gt;=100000,INDEX($AM$1005:$BM$1005,1,MATCH(COLUMNS($AM$1006:AW1006),$AM$1006:$BM$1006,0))&gt;=100000), " ",IF(INDEX($AM$2:$BM$1001,MATCH(ROWS($AF$2:AF732),$AF$2:$AF$1001,0),MATCH(COLUMNS($AM$1006:AW1006),$AM$1006:$BM$1006,0)), HYPERLINK("#",""), HYPERLINK(CONCATENATE("#metadata!", ADDRESS(INDEX($AH$2:$AH$1001,MATCH(ROWS($AF$2:AF732),$AF$2:$AF$1001,0),0), INDEX($AM$1004:$BM$1004,1,MATCH(COLUMNS($AM$1006:AW1006),$AM$1006:$BM$1006,0)))),"Fix")))</f>
        <v xml:space="preserve"> </v>
      </c>
      <c r="M732" s="4" t="str">
        <f ca="1">IF(OR(INDEX($AG$2:$AG$1001,MATCH(ROWS($AF$2:AF732),$AF$2:$AF$1001,0),1)&gt;=100000,INDEX($AM$1005:$BM$1005,1,MATCH(COLUMNS($AM$1006:AX1006),$AM$1006:$BM$1006,0))&gt;=100000), " ",IF(INDEX($AM$2:$BM$1001,MATCH(ROWS($AF$2:AF732),$AF$2:$AF$1001,0),MATCH(COLUMNS($AM$1006:AX1006),$AM$1006:$BM$1006,0)), HYPERLINK("#",""), HYPERLINK(CONCATENATE("#metadata!", ADDRESS(INDEX($AH$2:$AH$1001,MATCH(ROWS($AF$2:AF732),$AF$2:$AF$1001,0),0), INDEX($AM$1004:$BM$1004,1,MATCH(COLUMNS($AM$1006:AX1006),$AM$1006:$BM$1006,0)))),"Fix")))</f>
        <v xml:space="preserve"> </v>
      </c>
      <c r="N732" s="4" t="str">
        <f ca="1">IF(OR(INDEX($AG$2:$AG$1001,MATCH(ROWS($AF$2:AF732),$AF$2:$AF$1001,0),1)&gt;=100000,INDEX($AM$1005:$BM$1005,1,MATCH(COLUMNS($AM$1006:AY1006),$AM$1006:$BM$1006,0))&gt;=100000), " ",IF(INDEX($AM$2:$BM$1001,MATCH(ROWS($AF$2:AF732),$AF$2:$AF$1001,0),MATCH(COLUMNS($AM$1006:AY1006),$AM$1006:$BM$1006,0)), HYPERLINK("#",""), HYPERLINK(CONCATENATE("#metadata!", ADDRESS(INDEX($AH$2:$AH$1001,MATCH(ROWS($AF$2:AF732),$AF$2:$AF$1001,0),0), INDEX($AM$1004:$BM$1004,1,MATCH(COLUMNS($AM$1006:AY1006),$AM$1006:$BM$1006,0)))),"Fix")))</f>
        <v xml:space="preserve"> </v>
      </c>
      <c r="O732" s="4" t="str">
        <f ca="1">IF(OR(INDEX($AG$2:$AG$1001,MATCH(ROWS($AF$2:AF732),$AF$2:$AF$1001,0),1)&gt;=100000,INDEX($AM$1005:$BM$1005,1,MATCH(COLUMNS($AM$1006:AZ1006),$AM$1006:$BM$1006,0))&gt;=100000), " ",IF(INDEX($AM$2:$BM$1001,MATCH(ROWS($AF$2:AF732),$AF$2:$AF$1001,0),MATCH(COLUMNS($AM$1006:AZ1006),$AM$1006:$BM$1006,0)), HYPERLINK("#",""), HYPERLINK(CONCATENATE("#metadata!", ADDRESS(INDEX($AH$2:$AH$1001,MATCH(ROWS($AF$2:AF732),$AF$2:$AF$1001,0),0), INDEX($AM$1004:$BM$1004,1,MATCH(COLUMNS($AM$1006:AZ1006),$AM$1006:$BM$1006,0)))),"Fix")))</f>
        <v xml:space="preserve"> </v>
      </c>
      <c r="P732" s="4" t="str">
        <f ca="1">IF(OR(INDEX($AG$2:$AG$1001,MATCH(ROWS($AF$2:AF732),$AF$2:$AF$1001,0),1)&gt;=100000,INDEX($AM$1005:$BM$1005,1,MATCH(COLUMNS($AM$1006:BA1006),$AM$1006:$BM$1006,0))&gt;=100000), " ",IF(INDEX($AM$2:$BM$1001,MATCH(ROWS($AF$2:AF732),$AF$2:$AF$1001,0),MATCH(COLUMNS($AM$1006:BA1006),$AM$1006:$BM$1006,0)), HYPERLINK("#",""), HYPERLINK(CONCATENATE("#metadata!", ADDRESS(INDEX($AH$2:$AH$1001,MATCH(ROWS($AF$2:AF732),$AF$2:$AF$1001,0),0), INDEX($AM$1004:$BM$1004,1,MATCH(COLUMNS($AM$1006:BA1006),$AM$1006:$BM$1006,0)))),"Fix")))</f>
        <v xml:space="preserve"> </v>
      </c>
      <c r="Q732" s="4" t="str">
        <f ca="1">IF(OR(INDEX($AG$2:$AG$1001,MATCH(ROWS($AF$2:AF732),$AF$2:$AF$1001,0),1)&gt;=100000,INDEX($AM$1005:$BM$1005,1,MATCH(COLUMNS($AM$1006:BB1006),$AM$1006:$BM$1006,0))&gt;=100000), " ",IF(INDEX($AM$2:$BM$1001,MATCH(ROWS($AF$2:AF732),$AF$2:$AF$1001,0),MATCH(COLUMNS($AM$1006:BB1006),$AM$1006:$BM$1006,0)), HYPERLINK("#",""), HYPERLINK(CONCATENATE("#metadata!", ADDRESS(INDEX($AH$2:$AH$1001,MATCH(ROWS($AF$2:AF732),$AF$2:$AF$1001,0),0), INDEX($AM$1004:$BM$1004,1,MATCH(COLUMNS($AM$1006:BB1006),$AM$1006:$BM$1006,0)))),"Fix")))</f>
        <v xml:space="preserve"> </v>
      </c>
      <c r="R732" s="4" t="str">
        <f ca="1">IF(OR(INDEX($AG$2:$AG$1001,MATCH(ROWS($AF$2:AF732),$AF$2:$AF$1001,0),1)&gt;=100000,INDEX($AM$1005:$BM$1005,1,MATCH(COLUMNS($AM$1006:BC1006),$AM$1006:$BM$1006,0))&gt;=100000), " ",IF(INDEX($AM$2:$BM$1001,MATCH(ROWS($AF$2:AF732),$AF$2:$AF$1001,0),MATCH(COLUMNS($AM$1006:BC1006),$AM$1006:$BM$1006,0)), HYPERLINK("#",""), HYPERLINK(CONCATENATE("#metadata!", ADDRESS(INDEX($AH$2:$AH$1001,MATCH(ROWS($AF$2:AF732),$AF$2:$AF$1001,0),0), INDEX($AM$1004:$BM$1004,1,MATCH(COLUMNS($AM$1006:BC1006),$AM$1006:$BM$1006,0)))),"Fix")))</f>
        <v xml:space="preserve"> </v>
      </c>
      <c r="S732" s="4" t="str">
        <f ca="1">IF(OR(INDEX($AG$2:$AG$1001,MATCH(ROWS($AF$2:AF732),$AF$2:$AF$1001,0),1)&gt;=100000,INDEX($AM$1005:$BM$1005,1,MATCH(COLUMNS($AM$1006:BD1006),$AM$1006:$BM$1006,0))&gt;=100000), " ",IF(INDEX($AM$2:$BM$1001,MATCH(ROWS($AF$2:AF732),$AF$2:$AF$1001,0),MATCH(COLUMNS($AM$1006:BD1006),$AM$1006:$BM$1006,0)), HYPERLINK("#",""), HYPERLINK(CONCATENATE("#metadata!", ADDRESS(INDEX($AH$2:$AH$1001,MATCH(ROWS($AF$2:AF732),$AF$2:$AF$1001,0),0), INDEX($AM$1004:$BM$1004,1,MATCH(COLUMNS($AM$1006:BD1006),$AM$1006:$BM$1006,0)))),"Fix")))</f>
        <v xml:space="preserve"> </v>
      </c>
      <c r="T732" s="4" t="str">
        <f ca="1">IF(OR(INDEX($AG$2:$AG$1001,MATCH(ROWS($AF$2:AF732),$AF$2:$AF$1001,0),1)&gt;=100000,INDEX($AM$1005:$BM$1005,1,MATCH(COLUMNS($AM$1006:BE1006),$AM$1006:$BM$1006,0))&gt;=100000), " ",IF(INDEX($AM$2:$BM$1001,MATCH(ROWS($AF$2:AF732),$AF$2:$AF$1001,0),MATCH(COLUMNS($AM$1006:BE1006),$AM$1006:$BM$1006,0)), HYPERLINK("#",""), HYPERLINK(CONCATENATE("#metadata!", ADDRESS(INDEX($AH$2:$AH$1001,MATCH(ROWS($AF$2:AF732),$AF$2:$AF$1001,0),0), INDEX($AM$1004:$BM$1004,1,MATCH(COLUMNS($AM$1006:BE1006),$AM$1006:$BM$1006,0)))),"Fix")))</f>
        <v xml:space="preserve"> </v>
      </c>
      <c r="U732" s="4" t="str">
        <f ca="1">IF(OR(INDEX($AG$2:$AG$1001,MATCH(ROWS($AF$2:AF732),$AF$2:$AF$1001,0),1)&gt;=100000,INDEX($AM$1005:$BM$1005,1,MATCH(COLUMNS($AM$1006:BF1006),$AM$1006:$BM$1006,0))&gt;=100000), " ",IF(INDEX($AM$2:$BM$1001,MATCH(ROWS($AF$2:AF732),$AF$2:$AF$1001,0),MATCH(COLUMNS($AM$1006:BF1006),$AM$1006:$BM$1006,0)), HYPERLINK("#",""), HYPERLINK(CONCATENATE("#metadata!", ADDRESS(INDEX($AH$2:$AH$1001,MATCH(ROWS($AF$2:AF732),$AF$2:$AF$1001,0),0), INDEX($AM$1004:$BM$1004,1,MATCH(COLUMNS($AM$1006:BF1006),$AM$1006:$BM$1006,0)))),"Fix")))</f>
        <v xml:space="preserve"> </v>
      </c>
      <c r="V732" s="4" t="str">
        <f ca="1">IF(OR(INDEX($AG$2:$AG$1001,MATCH(ROWS($AF$2:AF732),$AF$2:$AF$1001,0),1)&gt;=100000,INDEX($AM$1005:$BM$1005,1,MATCH(COLUMNS($AM$1006:BG1006),$AM$1006:$BM$1006,0))&gt;=100000), " ",IF(INDEX($AM$2:$BM$1001,MATCH(ROWS($AF$2:AF732),$AF$2:$AF$1001,0),MATCH(COLUMNS($AM$1006:BG1006),$AM$1006:$BM$1006,0)), HYPERLINK("#",""), HYPERLINK(CONCATENATE("#metadata!", ADDRESS(INDEX($AH$2:$AH$1001,MATCH(ROWS($AF$2:AF732),$AF$2:$AF$1001,0),0), INDEX($AM$1004:$BM$1004,1,MATCH(COLUMNS($AM$1006:BG1006),$AM$1006:$BM$1006,0)))),"Fix")))</f>
        <v xml:space="preserve"> </v>
      </c>
      <c r="W732" s="4" t="str">
        <f ca="1">IF(OR(INDEX($AG$2:$AG$1001,MATCH(ROWS($AF$2:AF732),$AF$2:$AF$1001,0),1)&gt;=100000,INDEX($AM$1005:$BM$1005,1,MATCH(COLUMNS($AM$1006:BH1006),$AM$1006:$BM$1006,0))&gt;=100000), " ",IF(INDEX($AM$2:$BM$1001,MATCH(ROWS($AF$2:AF732),$AF$2:$AF$1001,0),MATCH(COLUMNS($AM$1006:BH1006),$AM$1006:$BM$1006,0)), HYPERLINK("#",""), HYPERLINK(CONCATENATE("#metadata!", ADDRESS(INDEX($AH$2:$AH$1001,MATCH(ROWS($AF$2:AF732),$AF$2:$AF$1001,0),0), INDEX($AM$1004:$BM$1004,1,MATCH(COLUMNS($AM$1006:BH1006),$AM$1006:$BM$1006,0)))),"Fix")))</f>
        <v xml:space="preserve"> </v>
      </c>
      <c r="X732" s="4" t="str">
        <f ca="1">IF(OR(INDEX($AG$2:$AG$1001,MATCH(ROWS($AF$2:AF732),$AF$2:$AF$1001,0),1)&gt;=100000,INDEX($AM$1005:$BM$1005,1,MATCH(COLUMNS($AM$1006:BI1006),$AM$1006:$BM$1006,0))&gt;=100000), " ",IF(INDEX($AM$2:$BM$1001,MATCH(ROWS($AF$2:AF732),$AF$2:$AF$1001,0),MATCH(COLUMNS($AM$1006:BI1006),$AM$1006:$BM$1006,0)), HYPERLINK("#",""), HYPERLINK(CONCATENATE("#metadata!", ADDRESS(INDEX($AH$2:$AH$1001,MATCH(ROWS($AF$2:AF732),$AF$2:$AF$1001,0),0), INDEX($AM$1004:$BM$1004,1,MATCH(COLUMNS($AM$1006:BI1006),$AM$1006:$BM$1006,0)))),"Fix")))</f>
        <v xml:space="preserve"> </v>
      </c>
      <c r="Y732" s="4" t="str">
        <f ca="1">IF(OR(INDEX($AG$2:$AG$1001,MATCH(ROWS($AF$2:AF732),$AF$2:$AF$1001,0),1)&gt;=100000,INDEX($AM$1005:$BM$1005,1,MATCH(COLUMNS($AM$1006:BJ1006),$AM$1006:$BM$1006,0))&gt;=100000), " ",IF(INDEX($AM$2:$BM$1001,MATCH(ROWS($AF$2:AF732),$AF$2:$AF$1001,0),MATCH(COLUMNS($AM$1006:BJ1006),$AM$1006:$BM$1006,0)), HYPERLINK("#",""), HYPERLINK(CONCATENATE("#metadata!", ADDRESS(INDEX($AH$2:$AH$1001,MATCH(ROWS($AF$2:AF732),$AF$2:$AF$1001,0),0), INDEX($AM$1004:$BM$1004,1,MATCH(COLUMNS($AM$1006:BJ1006),$AM$1006:$BM$1006,0)))),"Fix")))</f>
        <v xml:space="preserve"> </v>
      </c>
      <c r="Z732" s="4" t="str">
        <f ca="1">IF(OR(INDEX($AG$2:$AG$1001,MATCH(ROWS($AF$2:AF732),$AF$2:$AF$1001,0),1)&gt;=100000,INDEX($AM$1005:$BM$1005,1,MATCH(COLUMNS($AM$1006:BK1006),$AM$1006:$BM$1006,0))&gt;=100000), " ",IF(INDEX($AM$2:$BM$1001,MATCH(ROWS($AF$2:AF732),$AF$2:$AF$1001,0),MATCH(COLUMNS($AM$1006:BK1006),$AM$1006:$BM$1006,0)), HYPERLINK("#",""), HYPERLINK(CONCATENATE("#metadata!", ADDRESS(INDEX($AH$2:$AH$1001,MATCH(ROWS($AF$2:AF732),$AF$2:$AF$1001,0),0), INDEX($AM$1004:$BM$1004,1,MATCH(COLUMNS($AM$1006:BK1006),$AM$1006:$BM$1006,0)))),"Fix")))</f>
        <v xml:space="preserve"> </v>
      </c>
      <c r="AA732" s="4" t="str">
        <f ca="1">IF(OR(INDEX($AG$2:$AG$1001,MATCH(ROWS($AF$2:AF732),$AF$2:$AF$1001,0),1)&gt;=100000,INDEX($AM$1005:$BM$1005,1,MATCH(COLUMNS($AM$1006:BL1006),$AM$1006:$BM$1006,0))&gt;=100000), " ",IF(INDEX($AM$2:$BM$1001,MATCH(ROWS($AF$2:AF732),$AF$2:$AF$1001,0),MATCH(COLUMNS($AM$1006:BL1006),$AM$1006:$BM$1006,0)), HYPERLINK("#",""), HYPERLINK(CONCATENATE("#metadata!", ADDRESS(INDEX($AH$2:$AH$1001,MATCH(ROWS($AF$2:AF732),$AF$2:$AF$1001,0),0), INDEX($AM$1004:$BM$1004,1,MATCH(COLUMNS($AM$1006:BL1006),$AM$1006:$BM$1006,0)))),"Fix")))</f>
        <v xml:space="preserve"> </v>
      </c>
      <c r="AB732" s="4" t="str">
        <f ca="1">IF(OR(INDEX($AG$2:$AG$1001,MATCH(ROWS($AF$2:AF732),$AF$2:$AF$1001,0),1)&gt;=100000,INDEX($AM$1005:$BM$1005,1,MATCH(COLUMNS($AM$1006:BM1006),$AM$1006:$BM$1006,0))&gt;=100000), " ",IF(INDEX($AM$2:$BM$1001,MATCH(ROWS($AF$2:AF732),$AF$2:$AF$1001,0),MATCH(COLUMNS($AM$1006:BM1006),$AM$1006:$BM$1006,0)), HYPERLINK("#",""), HYPERLINK(CONCATENATE("#metadata!", ADDRESS(INDEX($AH$2:$AH$1001,MATCH(ROWS($AF$2:AF732),$AF$2:$AF$1001,0),0), INDEX($AM$1004:$BM$1004,1,MATCH(COLUMNS($AM$1006:BM1006),$AM$1006:$BM$1006,0)))),"Fix")))</f>
        <v xml:space="preserve"> </v>
      </c>
      <c r="AF732">
        <v>731</v>
      </c>
      <c r="AG732">
        <v>100732</v>
      </c>
      <c r="AH732">
        <v>732</v>
      </c>
      <c r="AI732" t="b">
        <f t="shared" si="11"/>
        <v>1</v>
      </c>
      <c r="AJ732" t="b">
        <f>COUNTBLANK(metadata!B732:AB732)=COLUMNS(metadata!B732:AB732)</f>
        <v>1</v>
      </c>
      <c r="AK732" t="str">
        <v/>
      </c>
      <c r="AM732" t="b">
        <f ca="1">AND(IF(metadata!B732="",FALSE,TRUE),COUNTIF(metadata!B:B, metadata!B732) = 1,NOT(ISERROR(SUMPRODUCT(SEARCH(MID(metadata!B732,ROW(INDIRECT("1:"&amp;LEN(metadata!B732))), 1),"0123456789abcdefghijklmnopqrstuvwxyzABCDEFGHIJKLMNOPQRSTUVWXYZ.")))))</f>
        <v>0</v>
      </c>
      <c r="AN732" t="b">
        <f ca="1">OR(AND(IF(metadata!C732="",FALSE,TRUE),OR(EXACT(metadata!C732,"missing: not collected"),EXACT(metadata!C732,"missing: not provided"),EXACT(metadata!C732,"missing: restricted access"))),AND(IF(metadata!C732="",FALSE,TRUE),AND(AND(IFERROR(INT(LEFT(metadata!C732,4))&gt;1900,FALSE),IFERROR(INT(LEFT(metadata!C732,4))&lt;=YEAR(NOW()),FALSE)), OR(MID(metadata!C732,5,1)="", AND(AND(MID(metadata!C732,5,1)="-",IFERROR(INT(MID(metadata!C732,6,1))&gt;=0,FALSE),IFERROR(INT(MID(metadata!C732,6,1))&lt;=1,FALSE),NOT(MID(metadata!C732,7,1)=""),IFERROR(INT(MID(metadata!C732,6,2))&gt;=1,FALSE),IFERROR(INT(MID(metadata!C732,6,2))&lt;=12,FALSE)), OR(MID(metadata!C732,8,1)="", AND(AND(MID(metadata!C732,8,1)="-",IFERROR(INT(MID(metadata!C732,9,1))&gt;=0,FALSE),IFERROR(INT(MID(metadata!C732,9,1))&lt;=3,FALSE),NOT(MID(metadata!C732,10,1)=""),IFERROR(INT(MID(metadata!C732,9,2))&gt;=1,FALSE),IFERROR(INT(MID(metadata!C732,9,2))&lt;=31,FALSE)), OR(MID(metadata!C732,11,1)="", AND(AND(MID(metadata!C732,11,1)=" ",IFERROR(INT(MID(metadata!C732,12,1))&gt;=0,FALSE),IFERROR(INT(MID(metadata!C732,12,1))&lt;=2,FALSE),NOT(MID(metadata!C732,13,1)=""),IFERROR(INT(MID(metadata!C732,12,2))&gt;=0,FALSE),IFERROR(INT(MID(metadata!C732,12,2))&lt;=23,FALSE)), OR(MID(metadata!C732,14,1)="", AND(AND(MID(metadata!C732,14,1)=":",IFERROR(INT(MID(metadata!C732,15,1))&gt;=0,FALSE),IFERROR(INT(MID(metadata!C732,15,1))&lt;=5,FALSE),NOT(MID(metadata!C732,16,1)=""),IFERROR(INT(MID(metadata!C732,15,2))&gt;=0,FALSE),IFERROR(INT(MID(metadata!C732,15,2))&lt;=59,FALSE)), OR(MID(metadata!C732,17,1)="", AND(AND(MID(metadata!C732,17,1)=":",IFERROR(INT(MID(metadata!C732,18,1))&gt;=0,FALSE),IFERROR(INT(MID(metadata!C732,18,1))&lt;=5,FALSE),NOT(MID(metadata!C732,19,1)=""),IFERROR(INT(MID(metadata!C732,18,2))&gt;=0,FALSE),IFERROR(INT(MID(metadata!C732,18,2))&lt;=59,FALSE)), LEN(metadata!C732)&lt;=19)))))))))))))</f>
        <v>0</v>
      </c>
      <c r="AO732" t="b">
        <f>AND(IF(metadata!D732="",FALSE,TRUE),EXACT(metadata!D732,"Not applicable"))</f>
        <v>0</v>
      </c>
      <c r="AP732" t="b">
        <f>IF(metadata!E732="",FALSE,TRUE)</f>
        <v>0</v>
      </c>
      <c r="AQ732" t="b">
        <f>OR(AND(IF(metadata!F732="",FALSE,TRUE),OR(EXACT(metadata!F732,"missing: not collected"),EXACT(metadata!F732,"missing: not provided"))),AND(IF(metadata!F732="",FALSE,TRUE),OR(EXACT(metadata!F732,"TRUE"),EXACT(metadata!F732,"FALSE"))))</f>
        <v>0</v>
      </c>
      <c r="AR732" t="b">
        <f>OR(AND(IF(metadata!G732="",FALSE,TRUE),OR(EXACT(metadata!G732,"missing: not collected"),EXACT(metadata!G732,"missing: not provided"),EXACT(metadata!G732,"missing: restricted access"))),AND(IF(metadata!G732="",FALSE,ISNUMBER(VALUE(metadata!G732))),metadata!G732&gt;=-413))</f>
        <v>0</v>
      </c>
      <c r="AS732" t="b">
        <f>AND(IF(metadata!H732="",FALSE,TRUE),EXACT(metadata!H732,"meters"))</f>
        <v>0</v>
      </c>
      <c r="AT732" t="b">
        <f>AND(IF(metadata!I732="",FALSE,TRUE),OR(EXACT(metadata!I732,"Host-associated"),EXACT(metadata!I732,"Free-living")))</f>
        <v>0</v>
      </c>
      <c r="AU732" t="b">
        <f>AND(IF(metadata!J732="",FALSE,TRUE),OR(EXACT(metadata!J732,"Animal"),EXACT(metadata!J732,"Fungus"),EXACT(metadata!J732,"Plant"),EXACT(metadata!J732,"Saline"),EXACT(metadata!J732,"Non-saline")))</f>
        <v>0</v>
      </c>
      <c r="AV732" t="b">
        <f>AND(IF(metadata!K732="",FALSE,TRUE),OR(EXACT(metadata!K732,"Plant secretion"),EXACT(metadata!K732,"Plant rhizosphere"),EXACT(metadata!K732,"Plant surface"),EXACT(metadata!K732,"Plant corpus"),EXACT(metadata!K732,"Fungus surface"),EXACT(metadata!K732,"Fungus corpus"),EXACT(metadata!K732,"Animal surface"),EXACT(metadata!K732,"Animal proximal gut"),EXACT(metadata!K732,"Animal corpus"),EXACT(metadata!K732,"Animal distal gut"),EXACT(metadata!K732,"Animal secretion"),EXACT(metadata!K732,"Sub-surface (non-saline)"),EXACT(metadata!K732,"Surface (non-saline)"),EXACT(metadata!K732,"Water (non-saline)"),EXACT(metadata!K732,"Soil (non-saline)"),EXACT(metadata!K732,"Aerosol (non-saline)"),EXACT(metadata!K732,"Sediment (non-saline)"),EXACT(metadata!K732,"Surface (saline)"),EXACT(metadata!K732,"Water (saline)"),EXACT(metadata!K732,"Hypersaline (saline)"),EXACT(metadata!K732,"Aerosol (saline)"),EXACT(metadata!K732,"Sediment (saline)")))</f>
        <v>0</v>
      </c>
      <c r="AW732" t="b">
        <f>IF(metadata!L732="",FALSE,TRUE)</f>
        <v>0</v>
      </c>
      <c r="AX732" t="b">
        <f>IF(metadata!M732="",FALSE,TRUE)</f>
        <v>0</v>
      </c>
      <c r="AY732" t="b">
        <f>IF(metadata!N732="",FALSE,TRUE)</f>
        <v>0</v>
      </c>
      <c r="AZ732" t="b">
        <f>OR(AND(IF(metadata!O732="",FALSE,TRUE),OR(EXACT(metadata!O732,"missing: not collected"),EXACT(metadata!O732,"missing: not provided"),EXACT(metadata!O732,"missing: restricted access"))),AND(IF(metadata!O732="",FALSE,TRUE),OR(EXACT(metadata!O732,"air"),EXACT(metadata!O732,"built environment"),EXACT(metadata!O732,"host-associated"),EXACT(metadata!O732,"human-associated"),EXACT(metadata!O732,"human-skin"),EXACT(metadata!O732,"human-oral"),EXACT(metadata!O732,"human-gut"),EXACT(metadata!O732,"human-vaginal"),EXACT(metadata!O732,"microbial mat/biofilm"),EXACT(metadata!O732,"misc environment"),EXACT(metadata!O732,"plant-associated"),EXACT(metadata!O732,"sediment"),EXACT(metadata!O732,"soil"),EXACT(metadata!O732,"wastewater/sludge"),EXACT(metadata!O732,"water"))))</f>
        <v>0</v>
      </c>
      <c r="BA732" t="b">
        <f>IF(metadata!P732="",FALSE,TRUE)</f>
        <v>0</v>
      </c>
      <c r="BB732" t="b">
        <f>IF(metadata!Q732="",FALSE,TRUE)</f>
        <v>0</v>
      </c>
      <c r="BC732" t="b">
        <f>OR(AND(IF(metadata!R732="",FALSE,TRUE),OR(EXACT(metadata!R732,"missing: not collected"),EXACT(metadata!R732,"missing: not provided"),EXACT(metadata!R732,"missing: restricted access"))),AND(IF(metadata!R732="",FALSE,ISNUMBER(VALUE(metadata!R732))),metadata!R732&gt;=-90,metadata!R732&lt;=90))</f>
        <v>0</v>
      </c>
      <c r="BD732" t="b">
        <f>AND(IF(metadata!S732="",FALSE,TRUE),EXACT(metadata!S732,"Decimal degrees"))</f>
        <v>0</v>
      </c>
      <c r="BE732" t="b">
        <f>OR(AND(IF(metadata!T732="",FALSE,TRUE),OR(EXACT(metadata!T732,"missing: not collected"),EXACT(metadata!T732,"missing: not provided"),EXACT(metadata!T732,"missing: restricted access"))),AND(IF(metadata!T732="",FALSE,ISNUMBER(VALUE(metadata!T732))),metadata!T732&gt;=-180,metadata!T732&lt;=180))</f>
        <v>0</v>
      </c>
      <c r="BF732" t="b">
        <f>AND(IF(metadata!U732="",FALSE,TRUE),EXACT(metadata!U732,"Decimal degrees"))</f>
        <v>0</v>
      </c>
      <c r="BG732" t="b">
        <f>IF(metadata!V732="",FALSE,TRUE)</f>
        <v>0</v>
      </c>
      <c r="BH732" t="b">
        <f>OR(AND(IF(metadata!W732="",FALSE,TRUE),OR(EXACT(metadata!W732,"missing: not collected"),EXACT(metadata!W732,"missing: not provided"),EXACT(metadata!W732,"missing: restricted access"))),AND(IF(metadata!W732="",FALSE,TRUE),OR(EXACT(metadata!W732,"TRUE"),EXACT(metadata!W732,"FALSE"))))</f>
        <v>0</v>
      </c>
      <c r="BI732" t="b">
        <f>AND(IF(metadata!X732="",FALSE,TRUE),EXACT(metadata!X732,"other"))</f>
        <v>0</v>
      </c>
      <c r="BJ732" t="b">
        <f>IF(metadata!Y732="",FALSE,TRUE)</f>
        <v>0</v>
      </c>
      <c r="BK732" t="b">
        <f>OR(AND(IF(metadata!Z732="",FALSE,TRUE),OR(EXACT(metadata!Z732,"missing: not collected"),EXACT(metadata!Z732,"missing: not provided"))),AND(IF(metadata!Z732="",FALSE,IF(ISERROR(INT(metadata!Z732)),FALSE,INT(metadata!Z732)=metadata!Z732)),metadata!Z732&gt;0))</f>
        <v>0</v>
      </c>
      <c r="BL732" t="b">
        <f>AND(IF(metadata!AA732="",FALSE,TRUE),EXACT(metadata!AA732,"Not applicable"))</f>
        <v>0</v>
      </c>
      <c r="BM732" t="b">
        <f>IF(metadata!AB732="",FALSE,TRUE)</f>
        <v>0</v>
      </c>
    </row>
    <row r="733" spans="1:65" x14ac:dyDescent="0.2">
      <c r="A733" s="5" t="str">
        <f ca="1">IF(B733=" "," ",HYPERLINK(CONCATENATE("#metadata!",ADDRESS(INDEX($AH$2:$AH$1001,MATCH(ROWS($AF$2:AF733),$AF$2:$AF$1001,0),0),1)),INDEX($AK$2:$AK$1001,MATCH(ROWS($AF$2:AF733),$AF$2:$AF$1001,0),0)))</f>
        <v xml:space="preserve"> </v>
      </c>
      <c r="B733" s="4" t="str">
        <f ca="1">IF(OR(INDEX($AG$2:$AG$1001,MATCH(ROWS($AF$2:AF733),$AF$2:$AF$1001,0),1)&gt;=100000,INDEX($AM$1005:$BM$1005,1,MATCH(COLUMNS($AM$1006:AM1006),$AM$1006:$BM$1006,0))&gt;=100000), " ",IF(INDEX($AM$2:$BM$1001,MATCH(ROWS($AF$2:AF733),$AF$2:$AF$1001,0),MATCH(COLUMNS($AM$1006:AM1006),$AM$1006:$BM$1006,0)), HYPERLINK("#",""), HYPERLINK(CONCATENATE("#metadata!", ADDRESS(INDEX($AH$2:$AH$1001,MATCH(ROWS($AF$2:AF733),$AF$2:$AF$1001,0),0), INDEX($AM$1004:$BM$1004,1,MATCH(COLUMNS($AM$1006:AM1006),$AM$1006:$BM$1006,0)))),"Fix")))</f>
        <v xml:space="preserve"> </v>
      </c>
      <c r="C733" s="4" t="str">
        <f ca="1">IF(OR(INDEX($AG$2:$AG$1001,MATCH(ROWS($AF$2:AF733),$AF$2:$AF$1001,0),1)&gt;=100000,INDEX($AM$1005:$BM$1005,1,MATCH(COLUMNS($AM$1006:AN1006),$AM$1006:$BM$1006,0))&gt;=100000), " ",IF(INDEX($AM$2:$BM$1001,MATCH(ROWS($AF$2:AF733),$AF$2:$AF$1001,0),MATCH(COLUMNS($AM$1006:AN1006),$AM$1006:$BM$1006,0)), HYPERLINK("#",""), HYPERLINK(CONCATENATE("#metadata!", ADDRESS(INDEX($AH$2:$AH$1001,MATCH(ROWS($AF$2:AF733),$AF$2:$AF$1001,0),0), INDEX($AM$1004:$BM$1004,1,MATCH(COLUMNS($AM$1006:AN1006),$AM$1006:$BM$1006,0)))),"Fix")))</f>
        <v xml:space="preserve"> </v>
      </c>
      <c r="D733" s="4" t="str">
        <f ca="1">IF(OR(INDEX($AG$2:$AG$1001,MATCH(ROWS($AF$2:AF733),$AF$2:$AF$1001,0),1)&gt;=100000,INDEX($AM$1005:$BM$1005,1,MATCH(COLUMNS($AM$1006:AO1006),$AM$1006:$BM$1006,0))&gt;=100000), " ",IF(INDEX($AM$2:$BM$1001,MATCH(ROWS($AF$2:AF733),$AF$2:$AF$1001,0),MATCH(COLUMNS($AM$1006:AO1006),$AM$1006:$BM$1006,0)), HYPERLINK("#",""), HYPERLINK(CONCATENATE("#metadata!", ADDRESS(INDEX($AH$2:$AH$1001,MATCH(ROWS($AF$2:AF733),$AF$2:$AF$1001,0),0), INDEX($AM$1004:$BM$1004,1,MATCH(COLUMNS($AM$1006:AO1006),$AM$1006:$BM$1006,0)))),"Fix")))</f>
        <v xml:space="preserve"> </v>
      </c>
      <c r="E733" s="4" t="str">
        <f ca="1">IF(OR(INDEX($AG$2:$AG$1001,MATCH(ROWS($AF$2:AF733),$AF$2:$AF$1001,0),1)&gt;=100000,INDEX($AM$1005:$BM$1005,1,MATCH(COLUMNS($AM$1006:AP1006),$AM$1006:$BM$1006,0))&gt;=100000), " ",IF(INDEX($AM$2:$BM$1001,MATCH(ROWS($AF$2:AF733),$AF$2:$AF$1001,0),MATCH(COLUMNS($AM$1006:AP1006),$AM$1006:$BM$1006,0)), HYPERLINK("#",""), HYPERLINK(CONCATENATE("#metadata!", ADDRESS(INDEX($AH$2:$AH$1001,MATCH(ROWS($AF$2:AF733),$AF$2:$AF$1001,0),0), INDEX($AM$1004:$BM$1004,1,MATCH(COLUMNS($AM$1006:AP1006),$AM$1006:$BM$1006,0)))),"Fix")))</f>
        <v xml:space="preserve"> </v>
      </c>
      <c r="F733" s="4" t="str">
        <f ca="1">IF(OR(INDEX($AG$2:$AG$1001,MATCH(ROWS($AF$2:AF733),$AF$2:$AF$1001,0),1)&gt;=100000,INDEX($AM$1005:$BM$1005,1,MATCH(COLUMNS($AM$1006:AQ1006),$AM$1006:$BM$1006,0))&gt;=100000), " ",IF(INDEX($AM$2:$BM$1001,MATCH(ROWS($AF$2:AF733),$AF$2:$AF$1001,0),MATCH(COLUMNS($AM$1006:AQ1006),$AM$1006:$BM$1006,0)), HYPERLINK("#",""), HYPERLINK(CONCATENATE("#metadata!", ADDRESS(INDEX($AH$2:$AH$1001,MATCH(ROWS($AF$2:AF733),$AF$2:$AF$1001,0),0), INDEX($AM$1004:$BM$1004,1,MATCH(COLUMNS($AM$1006:AQ1006),$AM$1006:$BM$1006,0)))),"Fix")))</f>
        <v xml:space="preserve"> </v>
      </c>
      <c r="G733" s="4" t="str">
        <f ca="1">IF(OR(INDEX($AG$2:$AG$1001,MATCH(ROWS($AF$2:AF733),$AF$2:$AF$1001,0),1)&gt;=100000,INDEX($AM$1005:$BM$1005,1,MATCH(COLUMNS($AM$1006:AR1006),$AM$1006:$BM$1006,0))&gt;=100000), " ",IF(INDEX($AM$2:$BM$1001,MATCH(ROWS($AF$2:AF733),$AF$2:$AF$1001,0),MATCH(COLUMNS($AM$1006:AR1006),$AM$1006:$BM$1006,0)), HYPERLINK("#",""), HYPERLINK(CONCATENATE("#metadata!", ADDRESS(INDEX($AH$2:$AH$1001,MATCH(ROWS($AF$2:AF733),$AF$2:$AF$1001,0),0), INDEX($AM$1004:$BM$1004,1,MATCH(COLUMNS($AM$1006:AR1006),$AM$1006:$BM$1006,0)))),"Fix")))</f>
        <v xml:space="preserve"> </v>
      </c>
      <c r="H733" s="4" t="str">
        <f ca="1">IF(OR(INDEX($AG$2:$AG$1001,MATCH(ROWS($AF$2:AF733),$AF$2:$AF$1001,0),1)&gt;=100000,INDEX($AM$1005:$BM$1005,1,MATCH(COLUMNS($AM$1006:AS1006),$AM$1006:$BM$1006,0))&gt;=100000), " ",IF(INDEX($AM$2:$BM$1001,MATCH(ROWS($AF$2:AF733),$AF$2:$AF$1001,0),MATCH(COLUMNS($AM$1006:AS1006),$AM$1006:$BM$1006,0)), HYPERLINK("#",""), HYPERLINK(CONCATENATE("#metadata!", ADDRESS(INDEX($AH$2:$AH$1001,MATCH(ROWS($AF$2:AF733),$AF$2:$AF$1001,0),0), INDEX($AM$1004:$BM$1004,1,MATCH(COLUMNS($AM$1006:AS1006),$AM$1006:$BM$1006,0)))),"Fix")))</f>
        <v xml:space="preserve"> </v>
      </c>
      <c r="I733" s="4" t="str">
        <f ca="1">IF(OR(INDEX($AG$2:$AG$1001,MATCH(ROWS($AF$2:AF733),$AF$2:$AF$1001,0),1)&gt;=100000,INDEX($AM$1005:$BM$1005,1,MATCH(COLUMNS($AM$1006:AT1006),$AM$1006:$BM$1006,0))&gt;=100000), " ",IF(INDEX($AM$2:$BM$1001,MATCH(ROWS($AF$2:AF733),$AF$2:$AF$1001,0),MATCH(COLUMNS($AM$1006:AT1006),$AM$1006:$BM$1006,0)), HYPERLINK("#",""), HYPERLINK(CONCATENATE("#metadata!", ADDRESS(INDEX($AH$2:$AH$1001,MATCH(ROWS($AF$2:AF733),$AF$2:$AF$1001,0),0), INDEX($AM$1004:$BM$1004,1,MATCH(COLUMNS($AM$1006:AT1006),$AM$1006:$BM$1006,0)))),"Fix")))</f>
        <v xml:space="preserve"> </v>
      </c>
      <c r="J733" s="4" t="str">
        <f ca="1">IF(OR(INDEX($AG$2:$AG$1001,MATCH(ROWS($AF$2:AF733),$AF$2:$AF$1001,0),1)&gt;=100000,INDEX($AM$1005:$BM$1005,1,MATCH(COLUMNS($AM$1006:AU1006),$AM$1006:$BM$1006,0))&gt;=100000), " ",IF(INDEX($AM$2:$BM$1001,MATCH(ROWS($AF$2:AF733),$AF$2:$AF$1001,0),MATCH(COLUMNS($AM$1006:AU1006),$AM$1006:$BM$1006,0)), HYPERLINK("#",""), HYPERLINK(CONCATENATE("#metadata!", ADDRESS(INDEX($AH$2:$AH$1001,MATCH(ROWS($AF$2:AF733),$AF$2:$AF$1001,0),0), INDEX($AM$1004:$BM$1004,1,MATCH(COLUMNS($AM$1006:AU1006),$AM$1006:$BM$1006,0)))),"Fix")))</f>
        <v xml:space="preserve"> </v>
      </c>
      <c r="K733" s="4" t="str">
        <f ca="1">IF(OR(INDEX($AG$2:$AG$1001,MATCH(ROWS($AF$2:AF733),$AF$2:$AF$1001,0),1)&gt;=100000,INDEX($AM$1005:$BM$1005,1,MATCH(COLUMNS($AM$1006:AV1006),$AM$1006:$BM$1006,0))&gt;=100000), " ",IF(INDEX($AM$2:$BM$1001,MATCH(ROWS($AF$2:AF733),$AF$2:$AF$1001,0),MATCH(COLUMNS($AM$1006:AV1006),$AM$1006:$BM$1006,0)), HYPERLINK("#",""), HYPERLINK(CONCATENATE("#metadata!", ADDRESS(INDEX($AH$2:$AH$1001,MATCH(ROWS($AF$2:AF733),$AF$2:$AF$1001,0),0), INDEX($AM$1004:$BM$1004,1,MATCH(COLUMNS($AM$1006:AV1006),$AM$1006:$BM$1006,0)))),"Fix")))</f>
        <v xml:space="preserve"> </v>
      </c>
      <c r="L733" s="4" t="str">
        <f ca="1">IF(OR(INDEX($AG$2:$AG$1001,MATCH(ROWS($AF$2:AF733),$AF$2:$AF$1001,0),1)&gt;=100000,INDEX($AM$1005:$BM$1005,1,MATCH(COLUMNS($AM$1006:AW1006),$AM$1006:$BM$1006,0))&gt;=100000), " ",IF(INDEX($AM$2:$BM$1001,MATCH(ROWS($AF$2:AF733),$AF$2:$AF$1001,0),MATCH(COLUMNS($AM$1006:AW1006),$AM$1006:$BM$1006,0)), HYPERLINK("#",""), HYPERLINK(CONCATENATE("#metadata!", ADDRESS(INDEX($AH$2:$AH$1001,MATCH(ROWS($AF$2:AF733),$AF$2:$AF$1001,0),0), INDEX($AM$1004:$BM$1004,1,MATCH(COLUMNS($AM$1006:AW1006),$AM$1006:$BM$1006,0)))),"Fix")))</f>
        <v xml:space="preserve"> </v>
      </c>
      <c r="M733" s="4" t="str">
        <f ca="1">IF(OR(INDEX($AG$2:$AG$1001,MATCH(ROWS($AF$2:AF733),$AF$2:$AF$1001,0),1)&gt;=100000,INDEX($AM$1005:$BM$1005,1,MATCH(COLUMNS($AM$1006:AX1006),$AM$1006:$BM$1006,0))&gt;=100000), " ",IF(INDEX($AM$2:$BM$1001,MATCH(ROWS($AF$2:AF733),$AF$2:$AF$1001,0),MATCH(COLUMNS($AM$1006:AX1006),$AM$1006:$BM$1006,0)), HYPERLINK("#",""), HYPERLINK(CONCATENATE("#metadata!", ADDRESS(INDEX($AH$2:$AH$1001,MATCH(ROWS($AF$2:AF733),$AF$2:$AF$1001,0),0), INDEX($AM$1004:$BM$1004,1,MATCH(COLUMNS($AM$1006:AX1006),$AM$1006:$BM$1006,0)))),"Fix")))</f>
        <v xml:space="preserve"> </v>
      </c>
      <c r="N733" s="4" t="str">
        <f ca="1">IF(OR(INDEX($AG$2:$AG$1001,MATCH(ROWS($AF$2:AF733),$AF$2:$AF$1001,0),1)&gt;=100000,INDEX($AM$1005:$BM$1005,1,MATCH(COLUMNS($AM$1006:AY1006),$AM$1006:$BM$1006,0))&gt;=100000), " ",IF(INDEX($AM$2:$BM$1001,MATCH(ROWS($AF$2:AF733),$AF$2:$AF$1001,0),MATCH(COLUMNS($AM$1006:AY1006),$AM$1006:$BM$1006,0)), HYPERLINK("#",""), HYPERLINK(CONCATENATE("#metadata!", ADDRESS(INDEX($AH$2:$AH$1001,MATCH(ROWS($AF$2:AF733),$AF$2:$AF$1001,0),0), INDEX($AM$1004:$BM$1004,1,MATCH(COLUMNS($AM$1006:AY1006),$AM$1006:$BM$1006,0)))),"Fix")))</f>
        <v xml:space="preserve"> </v>
      </c>
      <c r="O733" s="4" t="str">
        <f ca="1">IF(OR(INDEX($AG$2:$AG$1001,MATCH(ROWS($AF$2:AF733),$AF$2:$AF$1001,0),1)&gt;=100000,INDEX($AM$1005:$BM$1005,1,MATCH(COLUMNS($AM$1006:AZ1006),$AM$1006:$BM$1006,0))&gt;=100000), " ",IF(INDEX($AM$2:$BM$1001,MATCH(ROWS($AF$2:AF733),$AF$2:$AF$1001,0),MATCH(COLUMNS($AM$1006:AZ1006),$AM$1006:$BM$1006,0)), HYPERLINK("#",""), HYPERLINK(CONCATENATE("#metadata!", ADDRESS(INDEX($AH$2:$AH$1001,MATCH(ROWS($AF$2:AF733),$AF$2:$AF$1001,0),0), INDEX($AM$1004:$BM$1004,1,MATCH(COLUMNS($AM$1006:AZ1006),$AM$1006:$BM$1006,0)))),"Fix")))</f>
        <v xml:space="preserve"> </v>
      </c>
      <c r="P733" s="4" t="str">
        <f ca="1">IF(OR(INDEX($AG$2:$AG$1001,MATCH(ROWS($AF$2:AF733),$AF$2:$AF$1001,0),1)&gt;=100000,INDEX($AM$1005:$BM$1005,1,MATCH(COLUMNS($AM$1006:BA1006),$AM$1006:$BM$1006,0))&gt;=100000), " ",IF(INDEX($AM$2:$BM$1001,MATCH(ROWS($AF$2:AF733),$AF$2:$AF$1001,0),MATCH(COLUMNS($AM$1006:BA1006),$AM$1006:$BM$1006,0)), HYPERLINK("#",""), HYPERLINK(CONCATENATE("#metadata!", ADDRESS(INDEX($AH$2:$AH$1001,MATCH(ROWS($AF$2:AF733),$AF$2:$AF$1001,0),0), INDEX($AM$1004:$BM$1004,1,MATCH(COLUMNS($AM$1006:BA1006),$AM$1006:$BM$1006,0)))),"Fix")))</f>
        <v xml:space="preserve"> </v>
      </c>
      <c r="Q733" s="4" t="str">
        <f ca="1">IF(OR(INDEX($AG$2:$AG$1001,MATCH(ROWS($AF$2:AF733),$AF$2:$AF$1001,0),1)&gt;=100000,INDEX($AM$1005:$BM$1005,1,MATCH(COLUMNS($AM$1006:BB1006),$AM$1006:$BM$1006,0))&gt;=100000), " ",IF(INDEX($AM$2:$BM$1001,MATCH(ROWS($AF$2:AF733),$AF$2:$AF$1001,0),MATCH(COLUMNS($AM$1006:BB1006),$AM$1006:$BM$1006,0)), HYPERLINK("#",""), HYPERLINK(CONCATENATE("#metadata!", ADDRESS(INDEX($AH$2:$AH$1001,MATCH(ROWS($AF$2:AF733),$AF$2:$AF$1001,0),0), INDEX($AM$1004:$BM$1004,1,MATCH(COLUMNS($AM$1006:BB1006),$AM$1006:$BM$1006,0)))),"Fix")))</f>
        <v xml:space="preserve"> </v>
      </c>
      <c r="R733" s="4" t="str">
        <f ca="1">IF(OR(INDEX($AG$2:$AG$1001,MATCH(ROWS($AF$2:AF733),$AF$2:$AF$1001,0),1)&gt;=100000,INDEX($AM$1005:$BM$1005,1,MATCH(COLUMNS($AM$1006:BC1006),$AM$1006:$BM$1006,0))&gt;=100000), " ",IF(INDEX($AM$2:$BM$1001,MATCH(ROWS($AF$2:AF733),$AF$2:$AF$1001,0),MATCH(COLUMNS($AM$1006:BC1006),$AM$1006:$BM$1006,0)), HYPERLINK("#",""), HYPERLINK(CONCATENATE("#metadata!", ADDRESS(INDEX($AH$2:$AH$1001,MATCH(ROWS($AF$2:AF733),$AF$2:$AF$1001,0),0), INDEX($AM$1004:$BM$1004,1,MATCH(COLUMNS($AM$1006:BC1006),$AM$1006:$BM$1006,0)))),"Fix")))</f>
        <v xml:space="preserve"> </v>
      </c>
      <c r="S733" s="4" t="str">
        <f ca="1">IF(OR(INDEX($AG$2:$AG$1001,MATCH(ROWS($AF$2:AF733),$AF$2:$AF$1001,0),1)&gt;=100000,INDEX($AM$1005:$BM$1005,1,MATCH(COLUMNS($AM$1006:BD1006),$AM$1006:$BM$1006,0))&gt;=100000), " ",IF(INDEX($AM$2:$BM$1001,MATCH(ROWS($AF$2:AF733),$AF$2:$AF$1001,0),MATCH(COLUMNS($AM$1006:BD1006),$AM$1006:$BM$1006,0)), HYPERLINK("#",""), HYPERLINK(CONCATENATE("#metadata!", ADDRESS(INDEX($AH$2:$AH$1001,MATCH(ROWS($AF$2:AF733),$AF$2:$AF$1001,0),0), INDEX($AM$1004:$BM$1004,1,MATCH(COLUMNS($AM$1006:BD1006),$AM$1006:$BM$1006,0)))),"Fix")))</f>
        <v xml:space="preserve"> </v>
      </c>
      <c r="T733" s="4" t="str">
        <f ca="1">IF(OR(INDEX($AG$2:$AG$1001,MATCH(ROWS($AF$2:AF733),$AF$2:$AF$1001,0),1)&gt;=100000,INDEX($AM$1005:$BM$1005,1,MATCH(COLUMNS($AM$1006:BE1006),$AM$1006:$BM$1006,0))&gt;=100000), " ",IF(INDEX($AM$2:$BM$1001,MATCH(ROWS($AF$2:AF733),$AF$2:$AF$1001,0),MATCH(COLUMNS($AM$1006:BE1006),$AM$1006:$BM$1006,0)), HYPERLINK("#",""), HYPERLINK(CONCATENATE("#metadata!", ADDRESS(INDEX($AH$2:$AH$1001,MATCH(ROWS($AF$2:AF733),$AF$2:$AF$1001,0),0), INDEX($AM$1004:$BM$1004,1,MATCH(COLUMNS($AM$1006:BE1006),$AM$1006:$BM$1006,0)))),"Fix")))</f>
        <v xml:space="preserve"> </v>
      </c>
      <c r="U733" s="4" t="str">
        <f ca="1">IF(OR(INDEX($AG$2:$AG$1001,MATCH(ROWS($AF$2:AF733),$AF$2:$AF$1001,0),1)&gt;=100000,INDEX($AM$1005:$BM$1005,1,MATCH(COLUMNS($AM$1006:BF1006),$AM$1006:$BM$1006,0))&gt;=100000), " ",IF(INDEX($AM$2:$BM$1001,MATCH(ROWS($AF$2:AF733),$AF$2:$AF$1001,0),MATCH(COLUMNS($AM$1006:BF1006),$AM$1006:$BM$1006,0)), HYPERLINK("#",""), HYPERLINK(CONCATENATE("#metadata!", ADDRESS(INDEX($AH$2:$AH$1001,MATCH(ROWS($AF$2:AF733),$AF$2:$AF$1001,0),0), INDEX($AM$1004:$BM$1004,1,MATCH(COLUMNS($AM$1006:BF1006),$AM$1006:$BM$1006,0)))),"Fix")))</f>
        <v xml:space="preserve"> </v>
      </c>
      <c r="V733" s="4" t="str">
        <f ca="1">IF(OR(INDEX($AG$2:$AG$1001,MATCH(ROWS($AF$2:AF733),$AF$2:$AF$1001,0),1)&gt;=100000,INDEX($AM$1005:$BM$1005,1,MATCH(COLUMNS($AM$1006:BG1006),$AM$1006:$BM$1006,0))&gt;=100000), " ",IF(INDEX($AM$2:$BM$1001,MATCH(ROWS($AF$2:AF733),$AF$2:$AF$1001,0),MATCH(COLUMNS($AM$1006:BG1006),$AM$1006:$BM$1006,0)), HYPERLINK("#",""), HYPERLINK(CONCATENATE("#metadata!", ADDRESS(INDEX($AH$2:$AH$1001,MATCH(ROWS($AF$2:AF733),$AF$2:$AF$1001,0),0), INDEX($AM$1004:$BM$1004,1,MATCH(COLUMNS($AM$1006:BG1006),$AM$1006:$BM$1006,0)))),"Fix")))</f>
        <v xml:space="preserve"> </v>
      </c>
      <c r="W733" s="4" t="str">
        <f ca="1">IF(OR(INDEX($AG$2:$AG$1001,MATCH(ROWS($AF$2:AF733),$AF$2:$AF$1001,0),1)&gt;=100000,INDEX($AM$1005:$BM$1005,1,MATCH(COLUMNS($AM$1006:BH1006),$AM$1006:$BM$1006,0))&gt;=100000), " ",IF(INDEX($AM$2:$BM$1001,MATCH(ROWS($AF$2:AF733),$AF$2:$AF$1001,0),MATCH(COLUMNS($AM$1006:BH1006),$AM$1006:$BM$1006,0)), HYPERLINK("#",""), HYPERLINK(CONCATENATE("#metadata!", ADDRESS(INDEX($AH$2:$AH$1001,MATCH(ROWS($AF$2:AF733),$AF$2:$AF$1001,0),0), INDEX($AM$1004:$BM$1004,1,MATCH(COLUMNS($AM$1006:BH1006),$AM$1006:$BM$1006,0)))),"Fix")))</f>
        <v xml:space="preserve"> </v>
      </c>
      <c r="X733" s="4" t="str">
        <f ca="1">IF(OR(INDEX($AG$2:$AG$1001,MATCH(ROWS($AF$2:AF733),$AF$2:$AF$1001,0),1)&gt;=100000,INDEX($AM$1005:$BM$1005,1,MATCH(COLUMNS($AM$1006:BI1006),$AM$1006:$BM$1006,0))&gt;=100000), " ",IF(INDEX($AM$2:$BM$1001,MATCH(ROWS($AF$2:AF733),$AF$2:$AF$1001,0),MATCH(COLUMNS($AM$1006:BI1006),$AM$1006:$BM$1006,0)), HYPERLINK("#",""), HYPERLINK(CONCATENATE("#metadata!", ADDRESS(INDEX($AH$2:$AH$1001,MATCH(ROWS($AF$2:AF733),$AF$2:$AF$1001,0),0), INDEX($AM$1004:$BM$1004,1,MATCH(COLUMNS($AM$1006:BI1006),$AM$1006:$BM$1006,0)))),"Fix")))</f>
        <v xml:space="preserve"> </v>
      </c>
      <c r="Y733" s="4" t="str">
        <f ca="1">IF(OR(INDEX($AG$2:$AG$1001,MATCH(ROWS($AF$2:AF733),$AF$2:$AF$1001,0),1)&gt;=100000,INDEX($AM$1005:$BM$1005,1,MATCH(COLUMNS($AM$1006:BJ1006),$AM$1006:$BM$1006,0))&gt;=100000), " ",IF(INDEX($AM$2:$BM$1001,MATCH(ROWS($AF$2:AF733),$AF$2:$AF$1001,0),MATCH(COLUMNS($AM$1006:BJ1006),$AM$1006:$BM$1006,0)), HYPERLINK("#",""), HYPERLINK(CONCATENATE("#metadata!", ADDRESS(INDEX($AH$2:$AH$1001,MATCH(ROWS($AF$2:AF733),$AF$2:$AF$1001,0),0), INDEX($AM$1004:$BM$1004,1,MATCH(COLUMNS($AM$1006:BJ1006),$AM$1006:$BM$1006,0)))),"Fix")))</f>
        <v xml:space="preserve"> </v>
      </c>
      <c r="Z733" s="4" t="str">
        <f ca="1">IF(OR(INDEX($AG$2:$AG$1001,MATCH(ROWS($AF$2:AF733),$AF$2:$AF$1001,0),1)&gt;=100000,INDEX($AM$1005:$BM$1005,1,MATCH(COLUMNS($AM$1006:BK1006),$AM$1006:$BM$1006,0))&gt;=100000), " ",IF(INDEX($AM$2:$BM$1001,MATCH(ROWS($AF$2:AF733),$AF$2:$AF$1001,0),MATCH(COLUMNS($AM$1006:BK1006),$AM$1006:$BM$1006,0)), HYPERLINK("#",""), HYPERLINK(CONCATENATE("#metadata!", ADDRESS(INDEX($AH$2:$AH$1001,MATCH(ROWS($AF$2:AF733),$AF$2:$AF$1001,0),0), INDEX($AM$1004:$BM$1004,1,MATCH(COLUMNS($AM$1006:BK1006),$AM$1006:$BM$1006,0)))),"Fix")))</f>
        <v xml:space="preserve"> </v>
      </c>
      <c r="AA733" s="4" t="str">
        <f ca="1">IF(OR(INDEX($AG$2:$AG$1001,MATCH(ROWS($AF$2:AF733),$AF$2:$AF$1001,0),1)&gt;=100000,INDEX($AM$1005:$BM$1005,1,MATCH(COLUMNS($AM$1006:BL1006),$AM$1006:$BM$1006,0))&gt;=100000), " ",IF(INDEX($AM$2:$BM$1001,MATCH(ROWS($AF$2:AF733),$AF$2:$AF$1001,0),MATCH(COLUMNS($AM$1006:BL1006),$AM$1006:$BM$1006,0)), HYPERLINK("#",""), HYPERLINK(CONCATENATE("#metadata!", ADDRESS(INDEX($AH$2:$AH$1001,MATCH(ROWS($AF$2:AF733),$AF$2:$AF$1001,0),0), INDEX($AM$1004:$BM$1004,1,MATCH(COLUMNS($AM$1006:BL1006),$AM$1006:$BM$1006,0)))),"Fix")))</f>
        <v xml:space="preserve"> </v>
      </c>
      <c r="AB733" s="4" t="str">
        <f ca="1">IF(OR(INDEX($AG$2:$AG$1001,MATCH(ROWS($AF$2:AF733),$AF$2:$AF$1001,0),1)&gt;=100000,INDEX($AM$1005:$BM$1005,1,MATCH(COLUMNS($AM$1006:BM1006),$AM$1006:$BM$1006,0))&gt;=100000), " ",IF(INDEX($AM$2:$BM$1001,MATCH(ROWS($AF$2:AF733),$AF$2:$AF$1001,0),MATCH(COLUMNS($AM$1006:BM1006),$AM$1006:$BM$1006,0)), HYPERLINK("#",""), HYPERLINK(CONCATENATE("#metadata!", ADDRESS(INDEX($AH$2:$AH$1001,MATCH(ROWS($AF$2:AF733),$AF$2:$AF$1001,0),0), INDEX($AM$1004:$BM$1004,1,MATCH(COLUMNS($AM$1006:BM1006),$AM$1006:$BM$1006,0)))),"Fix")))</f>
        <v xml:space="preserve"> </v>
      </c>
      <c r="AF733">
        <v>732</v>
      </c>
      <c r="AG733">
        <v>100733</v>
      </c>
      <c r="AH733">
        <v>733</v>
      </c>
      <c r="AI733" t="b">
        <f t="shared" si="11"/>
        <v>1</v>
      </c>
      <c r="AJ733" t="b">
        <f>COUNTBLANK(metadata!B733:AB733)=COLUMNS(metadata!B733:AB733)</f>
        <v>1</v>
      </c>
      <c r="AK733" t="str">
        <v/>
      </c>
      <c r="AM733" t="b">
        <f ca="1">AND(IF(metadata!B733="",FALSE,TRUE),COUNTIF(metadata!B:B, metadata!B733) = 1,NOT(ISERROR(SUMPRODUCT(SEARCH(MID(metadata!B733,ROW(INDIRECT("1:"&amp;LEN(metadata!B733))), 1),"0123456789abcdefghijklmnopqrstuvwxyzABCDEFGHIJKLMNOPQRSTUVWXYZ.")))))</f>
        <v>0</v>
      </c>
      <c r="AN733" t="b">
        <f ca="1">OR(AND(IF(metadata!C733="",FALSE,TRUE),OR(EXACT(metadata!C733,"missing: not collected"),EXACT(metadata!C733,"missing: not provided"),EXACT(metadata!C733,"missing: restricted access"))),AND(IF(metadata!C733="",FALSE,TRUE),AND(AND(IFERROR(INT(LEFT(metadata!C733,4))&gt;1900,FALSE),IFERROR(INT(LEFT(metadata!C733,4))&lt;=YEAR(NOW()),FALSE)), OR(MID(metadata!C733,5,1)="", AND(AND(MID(metadata!C733,5,1)="-",IFERROR(INT(MID(metadata!C733,6,1))&gt;=0,FALSE),IFERROR(INT(MID(metadata!C733,6,1))&lt;=1,FALSE),NOT(MID(metadata!C733,7,1)=""),IFERROR(INT(MID(metadata!C733,6,2))&gt;=1,FALSE),IFERROR(INT(MID(metadata!C733,6,2))&lt;=12,FALSE)), OR(MID(metadata!C733,8,1)="", AND(AND(MID(metadata!C733,8,1)="-",IFERROR(INT(MID(metadata!C733,9,1))&gt;=0,FALSE),IFERROR(INT(MID(metadata!C733,9,1))&lt;=3,FALSE),NOT(MID(metadata!C733,10,1)=""),IFERROR(INT(MID(metadata!C733,9,2))&gt;=1,FALSE),IFERROR(INT(MID(metadata!C733,9,2))&lt;=31,FALSE)), OR(MID(metadata!C733,11,1)="", AND(AND(MID(metadata!C733,11,1)=" ",IFERROR(INT(MID(metadata!C733,12,1))&gt;=0,FALSE),IFERROR(INT(MID(metadata!C733,12,1))&lt;=2,FALSE),NOT(MID(metadata!C733,13,1)=""),IFERROR(INT(MID(metadata!C733,12,2))&gt;=0,FALSE),IFERROR(INT(MID(metadata!C733,12,2))&lt;=23,FALSE)), OR(MID(metadata!C733,14,1)="", AND(AND(MID(metadata!C733,14,1)=":",IFERROR(INT(MID(metadata!C733,15,1))&gt;=0,FALSE),IFERROR(INT(MID(metadata!C733,15,1))&lt;=5,FALSE),NOT(MID(metadata!C733,16,1)=""),IFERROR(INT(MID(metadata!C733,15,2))&gt;=0,FALSE),IFERROR(INT(MID(metadata!C733,15,2))&lt;=59,FALSE)), OR(MID(metadata!C733,17,1)="", AND(AND(MID(metadata!C733,17,1)=":",IFERROR(INT(MID(metadata!C733,18,1))&gt;=0,FALSE),IFERROR(INT(MID(metadata!C733,18,1))&lt;=5,FALSE),NOT(MID(metadata!C733,19,1)=""),IFERROR(INT(MID(metadata!C733,18,2))&gt;=0,FALSE),IFERROR(INT(MID(metadata!C733,18,2))&lt;=59,FALSE)), LEN(metadata!C733)&lt;=19)))))))))))))</f>
        <v>0</v>
      </c>
      <c r="AO733" t="b">
        <f>AND(IF(metadata!D733="",FALSE,TRUE),EXACT(metadata!D733,"Not applicable"))</f>
        <v>0</v>
      </c>
      <c r="AP733" t="b">
        <f>IF(metadata!E733="",FALSE,TRUE)</f>
        <v>0</v>
      </c>
      <c r="AQ733" t="b">
        <f>OR(AND(IF(metadata!F733="",FALSE,TRUE),OR(EXACT(metadata!F733,"missing: not collected"),EXACT(metadata!F733,"missing: not provided"))),AND(IF(metadata!F733="",FALSE,TRUE),OR(EXACT(metadata!F733,"TRUE"),EXACT(metadata!F733,"FALSE"))))</f>
        <v>0</v>
      </c>
      <c r="AR733" t="b">
        <f>OR(AND(IF(metadata!G733="",FALSE,TRUE),OR(EXACT(metadata!G733,"missing: not collected"),EXACT(metadata!G733,"missing: not provided"),EXACT(metadata!G733,"missing: restricted access"))),AND(IF(metadata!G733="",FALSE,ISNUMBER(VALUE(metadata!G733))),metadata!G733&gt;=-413))</f>
        <v>0</v>
      </c>
      <c r="AS733" t="b">
        <f>AND(IF(metadata!H733="",FALSE,TRUE),EXACT(metadata!H733,"meters"))</f>
        <v>0</v>
      </c>
      <c r="AT733" t="b">
        <f>AND(IF(metadata!I733="",FALSE,TRUE),OR(EXACT(metadata!I733,"Host-associated"),EXACT(metadata!I733,"Free-living")))</f>
        <v>0</v>
      </c>
      <c r="AU733" t="b">
        <f>AND(IF(metadata!J733="",FALSE,TRUE),OR(EXACT(metadata!J733,"Animal"),EXACT(metadata!J733,"Fungus"),EXACT(metadata!J733,"Plant"),EXACT(metadata!J733,"Saline"),EXACT(metadata!J733,"Non-saline")))</f>
        <v>0</v>
      </c>
      <c r="AV733" t="b">
        <f>AND(IF(metadata!K733="",FALSE,TRUE),OR(EXACT(metadata!K733,"Plant secretion"),EXACT(metadata!K733,"Plant rhizosphere"),EXACT(metadata!K733,"Plant surface"),EXACT(metadata!K733,"Plant corpus"),EXACT(metadata!K733,"Fungus surface"),EXACT(metadata!K733,"Fungus corpus"),EXACT(metadata!K733,"Animal surface"),EXACT(metadata!K733,"Animal proximal gut"),EXACT(metadata!K733,"Animal corpus"),EXACT(metadata!K733,"Animal distal gut"),EXACT(metadata!K733,"Animal secretion"),EXACT(metadata!K733,"Sub-surface (non-saline)"),EXACT(metadata!K733,"Surface (non-saline)"),EXACT(metadata!K733,"Water (non-saline)"),EXACT(metadata!K733,"Soil (non-saline)"),EXACT(metadata!K733,"Aerosol (non-saline)"),EXACT(metadata!K733,"Sediment (non-saline)"),EXACT(metadata!K733,"Surface (saline)"),EXACT(metadata!K733,"Water (saline)"),EXACT(metadata!K733,"Hypersaline (saline)"),EXACT(metadata!K733,"Aerosol (saline)"),EXACT(metadata!K733,"Sediment (saline)")))</f>
        <v>0</v>
      </c>
      <c r="AW733" t="b">
        <f>IF(metadata!L733="",FALSE,TRUE)</f>
        <v>0</v>
      </c>
      <c r="AX733" t="b">
        <f>IF(metadata!M733="",FALSE,TRUE)</f>
        <v>0</v>
      </c>
      <c r="AY733" t="b">
        <f>IF(metadata!N733="",FALSE,TRUE)</f>
        <v>0</v>
      </c>
      <c r="AZ733" t="b">
        <f>OR(AND(IF(metadata!O733="",FALSE,TRUE),OR(EXACT(metadata!O733,"missing: not collected"),EXACT(metadata!O733,"missing: not provided"),EXACT(metadata!O733,"missing: restricted access"))),AND(IF(metadata!O733="",FALSE,TRUE),OR(EXACT(metadata!O733,"air"),EXACT(metadata!O733,"built environment"),EXACT(metadata!O733,"host-associated"),EXACT(metadata!O733,"human-associated"),EXACT(metadata!O733,"human-skin"),EXACT(metadata!O733,"human-oral"),EXACT(metadata!O733,"human-gut"),EXACT(metadata!O733,"human-vaginal"),EXACT(metadata!O733,"microbial mat/biofilm"),EXACT(metadata!O733,"misc environment"),EXACT(metadata!O733,"plant-associated"),EXACT(metadata!O733,"sediment"),EXACT(metadata!O733,"soil"),EXACT(metadata!O733,"wastewater/sludge"),EXACT(metadata!O733,"water"))))</f>
        <v>0</v>
      </c>
      <c r="BA733" t="b">
        <f>IF(metadata!P733="",FALSE,TRUE)</f>
        <v>0</v>
      </c>
      <c r="BB733" t="b">
        <f>IF(metadata!Q733="",FALSE,TRUE)</f>
        <v>0</v>
      </c>
      <c r="BC733" t="b">
        <f>OR(AND(IF(metadata!R733="",FALSE,TRUE),OR(EXACT(metadata!R733,"missing: not collected"),EXACT(metadata!R733,"missing: not provided"),EXACT(metadata!R733,"missing: restricted access"))),AND(IF(metadata!R733="",FALSE,ISNUMBER(VALUE(metadata!R733))),metadata!R733&gt;=-90,metadata!R733&lt;=90))</f>
        <v>0</v>
      </c>
      <c r="BD733" t="b">
        <f>AND(IF(metadata!S733="",FALSE,TRUE),EXACT(metadata!S733,"Decimal degrees"))</f>
        <v>0</v>
      </c>
      <c r="BE733" t="b">
        <f>OR(AND(IF(metadata!T733="",FALSE,TRUE),OR(EXACT(metadata!T733,"missing: not collected"),EXACT(metadata!T733,"missing: not provided"),EXACT(metadata!T733,"missing: restricted access"))),AND(IF(metadata!T733="",FALSE,ISNUMBER(VALUE(metadata!T733))),metadata!T733&gt;=-180,metadata!T733&lt;=180))</f>
        <v>0</v>
      </c>
      <c r="BF733" t="b">
        <f>AND(IF(metadata!U733="",FALSE,TRUE),EXACT(metadata!U733,"Decimal degrees"))</f>
        <v>0</v>
      </c>
      <c r="BG733" t="b">
        <f>IF(metadata!V733="",FALSE,TRUE)</f>
        <v>0</v>
      </c>
      <c r="BH733" t="b">
        <f>OR(AND(IF(metadata!W733="",FALSE,TRUE),OR(EXACT(metadata!W733,"missing: not collected"),EXACT(metadata!W733,"missing: not provided"),EXACT(metadata!W733,"missing: restricted access"))),AND(IF(metadata!W733="",FALSE,TRUE),OR(EXACT(metadata!W733,"TRUE"),EXACT(metadata!W733,"FALSE"))))</f>
        <v>0</v>
      </c>
      <c r="BI733" t="b">
        <f>AND(IF(metadata!X733="",FALSE,TRUE),EXACT(metadata!X733,"other"))</f>
        <v>0</v>
      </c>
      <c r="BJ733" t="b">
        <f>IF(metadata!Y733="",FALSE,TRUE)</f>
        <v>0</v>
      </c>
      <c r="BK733" t="b">
        <f>OR(AND(IF(metadata!Z733="",FALSE,TRUE),OR(EXACT(metadata!Z733,"missing: not collected"),EXACT(metadata!Z733,"missing: not provided"))),AND(IF(metadata!Z733="",FALSE,IF(ISERROR(INT(metadata!Z733)),FALSE,INT(metadata!Z733)=metadata!Z733)),metadata!Z733&gt;0))</f>
        <v>0</v>
      </c>
      <c r="BL733" t="b">
        <f>AND(IF(metadata!AA733="",FALSE,TRUE),EXACT(metadata!AA733,"Not applicable"))</f>
        <v>0</v>
      </c>
      <c r="BM733" t="b">
        <f>IF(metadata!AB733="",FALSE,TRUE)</f>
        <v>0</v>
      </c>
    </row>
    <row r="734" spans="1:65" x14ac:dyDescent="0.2">
      <c r="A734" s="5" t="str">
        <f ca="1">IF(B734=" "," ",HYPERLINK(CONCATENATE("#metadata!",ADDRESS(INDEX($AH$2:$AH$1001,MATCH(ROWS($AF$2:AF734),$AF$2:$AF$1001,0),0),1)),INDEX($AK$2:$AK$1001,MATCH(ROWS($AF$2:AF734),$AF$2:$AF$1001,0),0)))</f>
        <v xml:space="preserve"> </v>
      </c>
      <c r="B734" s="4" t="str">
        <f ca="1">IF(OR(INDEX($AG$2:$AG$1001,MATCH(ROWS($AF$2:AF734),$AF$2:$AF$1001,0),1)&gt;=100000,INDEX($AM$1005:$BM$1005,1,MATCH(COLUMNS($AM$1006:AM1006),$AM$1006:$BM$1006,0))&gt;=100000), " ",IF(INDEX($AM$2:$BM$1001,MATCH(ROWS($AF$2:AF734),$AF$2:$AF$1001,0),MATCH(COLUMNS($AM$1006:AM1006),$AM$1006:$BM$1006,0)), HYPERLINK("#",""), HYPERLINK(CONCATENATE("#metadata!", ADDRESS(INDEX($AH$2:$AH$1001,MATCH(ROWS($AF$2:AF734),$AF$2:$AF$1001,0),0), INDEX($AM$1004:$BM$1004,1,MATCH(COLUMNS($AM$1006:AM1006),$AM$1006:$BM$1006,0)))),"Fix")))</f>
        <v xml:space="preserve"> </v>
      </c>
      <c r="C734" s="4" t="str">
        <f ca="1">IF(OR(INDEX($AG$2:$AG$1001,MATCH(ROWS($AF$2:AF734),$AF$2:$AF$1001,0),1)&gt;=100000,INDEX($AM$1005:$BM$1005,1,MATCH(COLUMNS($AM$1006:AN1006),$AM$1006:$BM$1006,0))&gt;=100000), " ",IF(INDEX($AM$2:$BM$1001,MATCH(ROWS($AF$2:AF734),$AF$2:$AF$1001,0),MATCH(COLUMNS($AM$1006:AN1006),$AM$1006:$BM$1006,0)), HYPERLINK("#",""), HYPERLINK(CONCATENATE("#metadata!", ADDRESS(INDEX($AH$2:$AH$1001,MATCH(ROWS($AF$2:AF734),$AF$2:$AF$1001,0),0), INDEX($AM$1004:$BM$1004,1,MATCH(COLUMNS($AM$1006:AN1006),$AM$1006:$BM$1006,0)))),"Fix")))</f>
        <v xml:space="preserve"> </v>
      </c>
      <c r="D734" s="4" t="str">
        <f ca="1">IF(OR(INDEX($AG$2:$AG$1001,MATCH(ROWS($AF$2:AF734),$AF$2:$AF$1001,0),1)&gt;=100000,INDEX($AM$1005:$BM$1005,1,MATCH(COLUMNS($AM$1006:AO1006),$AM$1006:$BM$1006,0))&gt;=100000), " ",IF(INDEX($AM$2:$BM$1001,MATCH(ROWS($AF$2:AF734),$AF$2:$AF$1001,0),MATCH(COLUMNS($AM$1006:AO1006),$AM$1006:$BM$1006,0)), HYPERLINK("#",""), HYPERLINK(CONCATENATE("#metadata!", ADDRESS(INDEX($AH$2:$AH$1001,MATCH(ROWS($AF$2:AF734),$AF$2:$AF$1001,0),0), INDEX($AM$1004:$BM$1004,1,MATCH(COLUMNS($AM$1006:AO1006),$AM$1006:$BM$1006,0)))),"Fix")))</f>
        <v xml:space="preserve"> </v>
      </c>
      <c r="E734" s="4" t="str">
        <f ca="1">IF(OR(INDEX($AG$2:$AG$1001,MATCH(ROWS($AF$2:AF734),$AF$2:$AF$1001,0),1)&gt;=100000,INDEX($AM$1005:$BM$1005,1,MATCH(COLUMNS($AM$1006:AP1006),$AM$1006:$BM$1006,0))&gt;=100000), " ",IF(INDEX($AM$2:$BM$1001,MATCH(ROWS($AF$2:AF734),$AF$2:$AF$1001,0),MATCH(COLUMNS($AM$1006:AP1006),$AM$1006:$BM$1006,0)), HYPERLINK("#",""), HYPERLINK(CONCATENATE("#metadata!", ADDRESS(INDEX($AH$2:$AH$1001,MATCH(ROWS($AF$2:AF734),$AF$2:$AF$1001,0),0), INDEX($AM$1004:$BM$1004,1,MATCH(COLUMNS($AM$1006:AP1006),$AM$1006:$BM$1006,0)))),"Fix")))</f>
        <v xml:space="preserve"> </v>
      </c>
      <c r="F734" s="4" t="str">
        <f ca="1">IF(OR(INDEX($AG$2:$AG$1001,MATCH(ROWS($AF$2:AF734),$AF$2:$AF$1001,0),1)&gt;=100000,INDEX($AM$1005:$BM$1005,1,MATCH(COLUMNS($AM$1006:AQ1006),$AM$1006:$BM$1006,0))&gt;=100000), " ",IF(INDEX($AM$2:$BM$1001,MATCH(ROWS($AF$2:AF734),$AF$2:$AF$1001,0),MATCH(COLUMNS($AM$1006:AQ1006),$AM$1006:$BM$1006,0)), HYPERLINK("#",""), HYPERLINK(CONCATENATE("#metadata!", ADDRESS(INDEX($AH$2:$AH$1001,MATCH(ROWS($AF$2:AF734),$AF$2:$AF$1001,0),0), INDEX($AM$1004:$BM$1004,1,MATCH(COLUMNS($AM$1006:AQ1006),$AM$1006:$BM$1006,0)))),"Fix")))</f>
        <v xml:space="preserve"> </v>
      </c>
      <c r="G734" s="4" t="str">
        <f ca="1">IF(OR(INDEX($AG$2:$AG$1001,MATCH(ROWS($AF$2:AF734),$AF$2:$AF$1001,0),1)&gt;=100000,INDEX($AM$1005:$BM$1005,1,MATCH(COLUMNS($AM$1006:AR1006),$AM$1006:$BM$1006,0))&gt;=100000), " ",IF(INDEX($AM$2:$BM$1001,MATCH(ROWS($AF$2:AF734),$AF$2:$AF$1001,0),MATCH(COLUMNS($AM$1006:AR1006),$AM$1006:$BM$1006,0)), HYPERLINK("#",""), HYPERLINK(CONCATENATE("#metadata!", ADDRESS(INDEX($AH$2:$AH$1001,MATCH(ROWS($AF$2:AF734),$AF$2:$AF$1001,0),0), INDEX($AM$1004:$BM$1004,1,MATCH(COLUMNS($AM$1006:AR1006),$AM$1006:$BM$1006,0)))),"Fix")))</f>
        <v xml:space="preserve"> </v>
      </c>
      <c r="H734" s="4" t="str">
        <f ca="1">IF(OR(INDEX($AG$2:$AG$1001,MATCH(ROWS($AF$2:AF734),$AF$2:$AF$1001,0),1)&gt;=100000,INDEX($AM$1005:$BM$1005,1,MATCH(COLUMNS($AM$1006:AS1006),$AM$1006:$BM$1006,0))&gt;=100000), " ",IF(INDEX($AM$2:$BM$1001,MATCH(ROWS($AF$2:AF734),$AF$2:$AF$1001,0),MATCH(COLUMNS($AM$1006:AS1006),$AM$1006:$BM$1006,0)), HYPERLINK("#",""), HYPERLINK(CONCATENATE("#metadata!", ADDRESS(INDEX($AH$2:$AH$1001,MATCH(ROWS($AF$2:AF734),$AF$2:$AF$1001,0),0), INDEX($AM$1004:$BM$1004,1,MATCH(COLUMNS($AM$1006:AS1006),$AM$1006:$BM$1006,0)))),"Fix")))</f>
        <v xml:space="preserve"> </v>
      </c>
      <c r="I734" s="4" t="str">
        <f ca="1">IF(OR(INDEX($AG$2:$AG$1001,MATCH(ROWS($AF$2:AF734),$AF$2:$AF$1001,0),1)&gt;=100000,INDEX($AM$1005:$BM$1005,1,MATCH(COLUMNS($AM$1006:AT1006),$AM$1006:$BM$1006,0))&gt;=100000), " ",IF(INDEX($AM$2:$BM$1001,MATCH(ROWS($AF$2:AF734),$AF$2:$AF$1001,0),MATCH(COLUMNS($AM$1006:AT1006),$AM$1006:$BM$1006,0)), HYPERLINK("#",""), HYPERLINK(CONCATENATE("#metadata!", ADDRESS(INDEX($AH$2:$AH$1001,MATCH(ROWS($AF$2:AF734),$AF$2:$AF$1001,0),0), INDEX($AM$1004:$BM$1004,1,MATCH(COLUMNS($AM$1006:AT1006),$AM$1006:$BM$1006,0)))),"Fix")))</f>
        <v xml:space="preserve"> </v>
      </c>
      <c r="J734" s="4" t="str">
        <f ca="1">IF(OR(INDEX($AG$2:$AG$1001,MATCH(ROWS($AF$2:AF734),$AF$2:$AF$1001,0),1)&gt;=100000,INDEX($AM$1005:$BM$1005,1,MATCH(COLUMNS($AM$1006:AU1006),$AM$1006:$BM$1006,0))&gt;=100000), " ",IF(INDEX($AM$2:$BM$1001,MATCH(ROWS($AF$2:AF734),$AF$2:$AF$1001,0),MATCH(COLUMNS($AM$1006:AU1006),$AM$1006:$BM$1006,0)), HYPERLINK("#",""), HYPERLINK(CONCATENATE("#metadata!", ADDRESS(INDEX($AH$2:$AH$1001,MATCH(ROWS($AF$2:AF734),$AF$2:$AF$1001,0),0), INDEX($AM$1004:$BM$1004,1,MATCH(COLUMNS($AM$1006:AU1006),$AM$1006:$BM$1006,0)))),"Fix")))</f>
        <v xml:space="preserve"> </v>
      </c>
      <c r="K734" s="4" t="str">
        <f ca="1">IF(OR(INDEX($AG$2:$AG$1001,MATCH(ROWS($AF$2:AF734),$AF$2:$AF$1001,0),1)&gt;=100000,INDEX($AM$1005:$BM$1005,1,MATCH(COLUMNS($AM$1006:AV1006),$AM$1006:$BM$1006,0))&gt;=100000), " ",IF(INDEX($AM$2:$BM$1001,MATCH(ROWS($AF$2:AF734),$AF$2:$AF$1001,0),MATCH(COLUMNS($AM$1006:AV1006),$AM$1006:$BM$1006,0)), HYPERLINK("#",""), HYPERLINK(CONCATENATE("#metadata!", ADDRESS(INDEX($AH$2:$AH$1001,MATCH(ROWS($AF$2:AF734),$AF$2:$AF$1001,0),0), INDEX($AM$1004:$BM$1004,1,MATCH(COLUMNS($AM$1006:AV1006),$AM$1006:$BM$1006,0)))),"Fix")))</f>
        <v xml:space="preserve"> </v>
      </c>
      <c r="L734" s="4" t="str">
        <f ca="1">IF(OR(INDEX($AG$2:$AG$1001,MATCH(ROWS($AF$2:AF734),$AF$2:$AF$1001,0),1)&gt;=100000,INDEX($AM$1005:$BM$1005,1,MATCH(COLUMNS($AM$1006:AW1006),$AM$1006:$BM$1006,0))&gt;=100000), " ",IF(INDEX($AM$2:$BM$1001,MATCH(ROWS($AF$2:AF734),$AF$2:$AF$1001,0),MATCH(COLUMNS($AM$1006:AW1006),$AM$1006:$BM$1006,0)), HYPERLINK("#",""), HYPERLINK(CONCATENATE("#metadata!", ADDRESS(INDEX($AH$2:$AH$1001,MATCH(ROWS($AF$2:AF734),$AF$2:$AF$1001,0),0), INDEX($AM$1004:$BM$1004,1,MATCH(COLUMNS($AM$1006:AW1006),$AM$1006:$BM$1006,0)))),"Fix")))</f>
        <v xml:space="preserve"> </v>
      </c>
      <c r="M734" s="4" t="str">
        <f ca="1">IF(OR(INDEX($AG$2:$AG$1001,MATCH(ROWS($AF$2:AF734),$AF$2:$AF$1001,0),1)&gt;=100000,INDEX($AM$1005:$BM$1005,1,MATCH(COLUMNS($AM$1006:AX1006),$AM$1006:$BM$1006,0))&gt;=100000), " ",IF(INDEX($AM$2:$BM$1001,MATCH(ROWS($AF$2:AF734),$AF$2:$AF$1001,0),MATCH(COLUMNS($AM$1006:AX1006),$AM$1006:$BM$1006,0)), HYPERLINK("#",""), HYPERLINK(CONCATENATE("#metadata!", ADDRESS(INDEX($AH$2:$AH$1001,MATCH(ROWS($AF$2:AF734),$AF$2:$AF$1001,0),0), INDEX($AM$1004:$BM$1004,1,MATCH(COLUMNS($AM$1006:AX1006),$AM$1006:$BM$1006,0)))),"Fix")))</f>
        <v xml:space="preserve"> </v>
      </c>
      <c r="N734" s="4" t="str">
        <f ca="1">IF(OR(INDEX($AG$2:$AG$1001,MATCH(ROWS($AF$2:AF734),$AF$2:$AF$1001,0),1)&gt;=100000,INDEX($AM$1005:$BM$1005,1,MATCH(COLUMNS($AM$1006:AY1006),$AM$1006:$BM$1006,0))&gt;=100000), " ",IF(INDEX($AM$2:$BM$1001,MATCH(ROWS($AF$2:AF734),$AF$2:$AF$1001,0),MATCH(COLUMNS($AM$1006:AY1006),$AM$1006:$BM$1006,0)), HYPERLINK("#",""), HYPERLINK(CONCATENATE("#metadata!", ADDRESS(INDEX($AH$2:$AH$1001,MATCH(ROWS($AF$2:AF734),$AF$2:$AF$1001,0),0), INDEX($AM$1004:$BM$1004,1,MATCH(COLUMNS($AM$1006:AY1006),$AM$1006:$BM$1006,0)))),"Fix")))</f>
        <v xml:space="preserve"> </v>
      </c>
      <c r="O734" s="4" t="str">
        <f ca="1">IF(OR(INDEX($AG$2:$AG$1001,MATCH(ROWS($AF$2:AF734),$AF$2:$AF$1001,0),1)&gt;=100000,INDEX($AM$1005:$BM$1005,1,MATCH(COLUMNS($AM$1006:AZ1006),$AM$1006:$BM$1006,0))&gt;=100000), " ",IF(INDEX($AM$2:$BM$1001,MATCH(ROWS($AF$2:AF734),$AF$2:$AF$1001,0),MATCH(COLUMNS($AM$1006:AZ1006),$AM$1006:$BM$1006,0)), HYPERLINK("#",""), HYPERLINK(CONCATENATE("#metadata!", ADDRESS(INDEX($AH$2:$AH$1001,MATCH(ROWS($AF$2:AF734),$AF$2:$AF$1001,0),0), INDEX($AM$1004:$BM$1004,1,MATCH(COLUMNS($AM$1006:AZ1006),$AM$1006:$BM$1006,0)))),"Fix")))</f>
        <v xml:space="preserve"> </v>
      </c>
      <c r="P734" s="4" t="str">
        <f ca="1">IF(OR(INDEX($AG$2:$AG$1001,MATCH(ROWS($AF$2:AF734),$AF$2:$AF$1001,0),1)&gt;=100000,INDEX($AM$1005:$BM$1005,1,MATCH(COLUMNS($AM$1006:BA1006),$AM$1006:$BM$1006,0))&gt;=100000), " ",IF(INDEX($AM$2:$BM$1001,MATCH(ROWS($AF$2:AF734),$AF$2:$AF$1001,0),MATCH(COLUMNS($AM$1006:BA1006),$AM$1006:$BM$1006,0)), HYPERLINK("#",""), HYPERLINK(CONCATENATE("#metadata!", ADDRESS(INDEX($AH$2:$AH$1001,MATCH(ROWS($AF$2:AF734),$AF$2:$AF$1001,0),0), INDEX($AM$1004:$BM$1004,1,MATCH(COLUMNS($AM$1006:BA1006),$AM$1006:$BM$1006,0)))),"Fix")))</f>
        <v xml:space="preserve"> </v>
      </c>
      <c r="Q734" s="4" t="str">
        <f ca="1">IF(OR(INDEX($AG$2:$AG$1001,MATCH(ROWS($AF$2:AF734),$AF$2:$AF$1001,0),1)&gt;=100000,INDEX($AM$1005:$BM$1005,1,MATCH(COLUMNS($AM$1006:BB1006),$AM$1006:$BM$1006,0))&gt;=100000), " ",IF(INDEX($AM$2:$BM$1001,MATCH(ROWS($AF$2:AF734),$AF$2:$AF$1001,0),MATCH(COLUMNS($AM$1006:BB1006),$AM$1006:$BM$1006,0)), HYPERLINK("#",""), HYPERLINK(CONCATENATE("#metadata!", ADDRESS(INDEX($AH$2:$AH$1001,MATCH(ROWS($AF$2:AF734),$AF$2:$AF$1001,0),0), INDEX($AM$1004:$BM$1004,1,MATCH(COLUMNS($AM$1006:BB1006),$AM$1006:$BM$1006,0)))),"Fix")))</f>
        <v xml:space="preserve"> </v>
      </c>
      <c r="R734" s="4" t="str">
        <f ca="1">IF(OR(INDEX($AG$2:$AG$1001,MATCH(ROWS($AF$2:AF734),$AF$2:$AF$1001,0),1)&gt;=100000,INDEX($AM$1005:$BM$1005,1,MATCH(COLUMNS($AM$1006:BC1006),$AM$1006:$BM$1006,0))&gt;=100000), " ",IF(INDEX($AM$2:$BM$1001,MATCH(ROWS($AF$2:AF734),$AF$2:$AF$1001,0),MATCH(COLUMNS($AM$1006:BC1006),$AM$1006:$BM$1006,0)), HYPERLINK("#",""), HYPERLINK(CONCATENATE("#metadata!", ADDRESS(INDEX($AH$2:$AH$1001,MATCH(ROWS($AF$2:AF734),$AF$2:$AF$1001,0),0), INDEX($AM$1004:$BM$1004,1,MATCH(COLUMNS($AM$1006:BC1006),$AM$1006:$BM$1006,0)))),"Fix")))</f>
        <v xml:space="preserve"> </v>
      </c>
      <c r="S734" s="4" t="str">
        <f ca="1">IF(OR(INDEX($AG$2:$AG$1001,MATCH(ROWS($AF$2:AF734),$AF$2:$AF$1001,0),1)&gt;=100000,INDEX($AM$1005:$BM$1005,1,MATCH(COLUMNS($AM$1006:BD1006),$AM$1006:$BM$1006,0))&gt;=100000), " ",IF(INDEX($AM$2:$BM$1001,MATCH(ROWS($AF$2:AF734),$AF$2:$AF$1001,0),MATCH(COLUMNS($AM$1006:BD1006),$AM$1006:$BM$1006,0)), HYPERLINK("#",""), HYPERLINK(CONCATENATE("#metadata!", ADDRESS(INDEX($AH$2:$AH$1001,MATCH(ROWS($AF$2:AF734),$AF$2:$AF$1001,0),0), INDEX($AM$1004:$BM$1004,1,MATCH(COLUMNS($AM$1006:BD1006),$AM$1006:$BM$1006,0)))),"Fix")))</f>
        <v xml:space="preserve"> </v>
      </c>
      <c r="T734" s="4" t="str">
        <f ca="1">IF(OR(INDEX($AG$2:$AG$1001,MATCH(ROWS($AF$2:AF734),$AF$2:$AF$1001,0),1)&gt;=100000,INDEX($AM$1005:$BM$1005,1,MATCH(COLUMNS($AM$1006:BE1006),$AM$1006:$BM$1006,0))&gt;=100000), " ",IF(INDEX($AM$2:$BM$1001,MATCH(ROWS($AF$2:AF734),$AF$2:$AF$1001,0),MATCH(COLUMNS($AM$1006:BE1006),$AM$1006:$BM$1006,0)), HYPERLINK("#",""), HYPERLINK(CONCATENATE("#metadata!", ADDRESS(INDEX($AH$2:$AH$1001,MATCH(ROWS($AF$2:AF734),$AF$2:$AF$1001,0),0), INDEX($AM$1004:$BM$1004,1,MATCH(COLUMNS($AM$1006:BE1006),$AM$1006:$BM$1006,0)))),"Fix")))</f>
        <v xml:space="preserve"> </v>
      </c>
      <c r="U734" s="4" t="str">
        <f ca="1">IF(OR(INDEX($AG$2:$AG$1001,MATCH(ROWS($AF$2:AF734),$AF$2:$AF$1001,0),1)&gt;=100000,INDEX($AM$1005:$BM$1005,1,MATCH(COLUMNS($AM$1006:BF1006),$AM$1006:$BM$1006,0))&gt;=100000), " ",IF(INDEX($AM$2:$BM$1001,MATCH(ROWS($AF$2:AF734),$AF$2:$AF$1001,0),MATCH(COLUMNS($AM$1006:BF1006),$AM$1006:$BM$1006,0)), HYPERLINK("#",""), HYPERLINK(CONCATENATE("#metadata!", ADDRESS(INDEX($AH$2:$AH$1001,MATCH(ROWS($AF$2:AF734),$AF$2:$AF$1001,0),0), INDEX($AM$1004:$BM$1004,1,MATCH(COLUMNS($AM$1006:BF1006),$AM$1006:$BM$1006,0)))),"Fix")))</f>
        <v xml:space="preserve"> </v>
      </c>
      <c r="V734" s="4" t="str">
        <f ca="1">IF(OR(INDEX($AG$2:$AG$1001,MATCH(ROWS($AF$2:AF734),$AF$2:$AF$1001,0),1)&gt;=100000,INDEX($AM$1005:$BM$1005,1,MATCH(COLUMNS($AM$1006:BG1006),$AM$1006:$BM$1006,0))&gt;=100000), " ",IF(INDEX($AM$2:$BM$1001,MATCH(ROWS($AF$2:AF734),$AF$2:$AF$1001,0),MATCH(COLUMNS($AM$1006:BG1006),$AM$1006:$BM$1006,0)), HYPERLINK("#",""), HYPERLINK(CONCATENATE("#metadata!", ADDRESS(INDEX($AH$2:$AH$1001,MATCH(ROWS($AF$2:AF734),$AF$2:$AF$1001,0),0), INDEX($AM$1004:$BM$1004,1,MATCH(COLUMNS($AM$1006:BG1006),$AM$1006:$BM$1006,0)))),"Fix")))</f>
        <v xml:space="preserve"> </v>
      </c>
      <c r="W734" s="4" t="str">
        <f ca="1">IF(OR(INDEX($AG$2:$AG$1001,MATCH(ROWS($AF$2:AF734),$AF$2:$AF$1001,0),1)&gt;=100000,INDEX($AM$1005:$BM$1005,1,MATCH(COLUMNS($AM$1006:BH1006),$AM$1006:$BM$1006,0))&gt;=100000), " ",IF(INDEX($AM$2:$BM$1001,MATCH(ROWS($AF$2:AF734),$AF$2:$AF$1001,0),MATCH(COLUMNS($AM$1006:BH1006),$AM$1006:$BM$1006,0)), HYPERLINK("#",""), HYPERLINK(CONCATENATE("#metadata!", ADDRESS(INDEX($AH$2:$AH$1001,MATCH(ROWS($AF$2:AF734),$AF$2:$AF$1001,0),0), INDEX($AM$1004:$BM$1004,1,MATCH(COLUMNS($AM$1006:BH1006),$AM$1006:$BM$1006,0)))),"Fix")))</f>
        <v xml:space="preserve"> </v>
      </c>
      <c r="X734" s="4" t="str">
        <f ca="1">IF(OR(INDEX($AG$2:$AG$1001,MATCH(ROWS($AF$2:AF734),$AF$2:$AF$1001,0),1)&gt;=100000,INDEX($AM$1005:$BM$1005,1,MATCH(COLUMNS($AM$1006:BI1006),$AM$1006:$BM$1006,0))&gt;=100000), " ",IF(INDEX($AM$2:$BM$1001,MATCH(ROWS($AF$2:AF734),$AF$2:$AF$1001,0),MATCH(COLUMNS($AM$1006:BI1006),$AM$1006:$BM$1006,0)), HYPERLINK("#",""), HYPERLINK(CONCATENATE("#metadata!", ADDRESS(INDEX($AH$2:$AH$1001,MATCH(ROWS($AF$2:AF734),$AF$2:$AF$1001,0),0), INDEX($AM$1004:$BM$1004,1,MATCH(COLUMNS($AM$1006:BI1006),$AM$1006:$BM$1006,0)))),"Fix")))</f>
        <v xml:space="preserve"> </v>
      </c>
      <c r="Y734" s="4" t="str">
        <f ca="1">IF(OR(INDEX($AG$2:$AG$1001,MATCH(ROWS($AF$2:AF734),$AF$2:$AF$1001,0),1)&gt;=100000,INDEX($AM$1005:$BM$1005,1,MATCH(COLUMNS($AM$1006:BJ1006),$AM$1006:$BM$1006,0))&gt;=100000), " ",IF(INDEX($AM$2:$BM$1001,MATCH(ROWS($AF$2:AF734),$AF$2:$AF$1001,0),MATCH(COLUMNS($AM$1006:BJ1006),$AM$1006:$BM$1006,0)), HYPERLINK("#",""), HYPERLINK(CONCATENATE("#metadata!", ADDRESS(INDEX($AH$2:$AH$1001,MATCH(ROWS($AF$2:AF734),$AF$2:$AF$1001,0),0), INDEX($AM$1004:$BM$1004,1,MATCH(COLUMNS($AM$1006:BJ1006),$AM$1006:$BM$1006,0)))),"Fix")))</f>
        <v xml:space="preserve"> </v>
      </c>
      <c r="Z734" s="4" t="str">
        <f ca="1">IF(OR(INDEX($AG$2:$AG$1001,MATCH(ROWS($AF$2:AF734),$AF$2:$AF$1001,0),1)&gt;=100000,INDEX($AM$1005:$BM$1005,1,MATCH(COLUMNS($AM$1006:BK1006),$AM$1006:$BM$1006,0))&gt;=100000), " ",IF(INDEX($AM$2:$BM$1001,MATCH(ROWS($AF$2:AF734),$AF$2:$AF$1001,0),MATCH(COLUMNS($AM$1006:BK1006),$AM$1006:$BM$1006,0)), HYPERLINK("#",""), HYPERLINK(CONCATENATE("#metadata!", ADDRESS(INDEX($AH$2:$AH$1001,MATCH(ROWS($AF$2:AF734),$AF$2:$AF$1001,0),0), INDEX($AM$1004:$BM$1004,1,MATCH(COLUMNS($AM$1006:BK1006),$AM$1006:$BM$1006,0)))),"Fix")))</f>
        <v xml:space="preserve"> </v>
      </c>
      <c r="AA734" s="4" t="str">
        <f ca="1">IF(OR(INDEX($AG$2:$AG$1001,MATCH(ROWS($AF$2:AF734),$AF$2:$AF$1001,0),1)&gt;=100000,INDEX($AM$1005:$BM$1005,1,MATCH(COLUMNS($AM$1006:BL1006),$AM$1006:$BM$1006,0))&gt;=100000), " ",IF(INDEX($AM$2:$BM$1001,MATCH(ROWS($AF$2:AF734),$AF$2:$AF$1001,0),MATCH(COLUMNS($AM$1006:BL1006),$AM$1006:$BM$1006,0)), HYPERLINK("#",""), HYPERLINK(CONCATENATE("#metadata!", ADDRESS(INDEX($AH$2:$AH$1001,MATCH(ROWS($AF$2:AF734),$AF$2:$AF$1001,0),0), INDEX($AM$1004:$BM$1004,1,MATCH(COLUMNS($AM$1006:BL1006),$AM$1006:$BM$1006,0)))),"Fix")))</f>
        <v xml:space="preserve"> </v>
      </c>
      <c r="AB734" s="4" t="str">
        <f ca="1">IF(OR(INDEX($AG$2:$AG$1001,MATCH(ROWS($AF$2:AF734),$AF$2:$AF$1001,0),1)&gt;=100000,INDEX($AM$1005:$BM$1005,1,MATCH(COLUMNS($AM$1006:BM1006),$AM$1006:$BM$1006,0))&gt;=100000), " ",IF(INDEX($AM$2:$BM$1001,MATCH(ROWS($AF$2:AF734),$AF$2:$AF$1001,0),MATCH(COLUMNS($AM$1006:BM1006),$AM$1006:$BM$1006,0)), HYPERLINK("#",""), HYPERLINK(CONCATENATE("#metadata!", ADDRESS(INDEX($AH$2:$AH$1001,MATCH(ROWS($AF$2:AF734),$AF$2:$AF$1001,0),0), INDEX($AM$1004:$BM$1004,1,MATCH(COLUMNS($AM$1006:BM1006),$AM$1006:$BM$1006,0)))),"Fix")))</f>
        <v xml:space="preserve"> </v>
      </c>
      <c r="AF734">
        <v>733</v>
      </c>
      <c r="AG734">
        <v>100734</v>
      </c>
      <c r="AH734">
        <v>734</v>
      </c>
      <c r="AI734" t="b">
        <f t="shared" si="11"/>
        <v>1</v>
      </c>
      <c r="AJ734" t="b">
        <f>COUNTBLANK(metadata!B734:AB734)=COLUMNS(metadata!B734:AB734)</f>
        <v>1</v>
      </c>
      <c r="AK734" t="str">
        <v/>
      </c>
      <c r="AM734" t="b">
        <f ca="1">AND(IF(metadata!B734="",FALSE,TRUE),COUNTIF(metadata!B:B, metadata!B734) = 1,NOT(ISERROR(SUMPRODUCT(SEARCH(MID(metadata!B734,ROW(INDIRECT("1:"&amp;LEN(metadata!B734))), 1),"0123456789abcdefghijklmnopqrstuvwxyzABCDEFGHIJKLMNOPQRSTUVWXYZ.")))))</f>
        <v>0</v>
      </c>
      <c r="AN734" t="b">
        <f ca="1">OR(AND(IF(metadata!C734="",FALSE,TRUE),OR(EXACT(metadata!C734,"missing: not collected"),EXACT(metadata!C734,"missing: not provided"),EXACT(metadata!C734,"missing: restricted access"))),AND(IF(metadata!C734="",FALSE,TRUE),AND(AND(IFERROR(INT(LEFT(metadata!C734,4))&gt;1900,FALSE),IFERROR(INT(LEFT(metadata!C734,4))&lt;=YEAR(NOW()),FALSE)), OR(MID(metadata!C734,5,1)="", AND(AND(MID(metadata!C734,5,1)="-",IFERROR(INT(MID(metadata!C734,6,1))&gt;=0,FALSE),IFERROR(INT(MID(metadata!C734,6,1))&lt;=1,FALSE),NOT(MID(metadata!C734,7,1)=""),IFERROR(INT(MID(metadata!C734,6,2))&gt;=1,FALSE),IFERROR(INT(MID(metadata!C734,6,2))&lt;=12,FALSE)), OR(MID(metadata!C734,8,1)="", AND(AND(MID(metadata!C734,8,1)="-",IFERROR(INT(MID(metadata!C734,9,1))&gt;=0,FALSE),IFERROR(INT(MID(metadata!C734,9,1))&lt;=3,FALSE),NOT(MID(metadata!C734,10,1)=""),IFERROR(INT(MID(metadata!C734,9,2))&gt;=1,FALSE),IFERROR(INT(MID(metadata!C734,9,2))&lt;=31,FALSE)), OR(MID(metadata!C734,11,1)="", AND(AND(MID(metadata!C734,11,1)=" ",IFERROR(INT(MID(metadata!C734,12,1))&gt;=0,FALSE),IFERROR(INT(MID(metadata!C734,12,1))&lt;=2,FALSE),NOT(MID(metadata!C734,13,1)=""),IFERROR(INT(MID(metadata!C734,12,2))&gt;=0,FALSE),IFERROR(INT(MID(metadata!C734,12,2))&lt;=23,FALSE)), OR(MID(metadata!C734,14,1)="", AND(AND(MID(metadata!C734,14,1)=":",IFERROR(INT(MID(metadata!C734,15,1))&gt;=0,FALSE),IFERROR(INT(MID(metadata!C734,15,1))&lt;=5,FALSE),NOT(MID(metadata!C734,16,1)=""),IFERROR(INT(MID(metadata!C734,15,2))&gt;=0,FALSE),IFERROR(INT(MID(metadata!C734,15,2))&lt;=59,FALSE)), OR(MID(metadata!C734,17,1)="", AND(AND(MID(metadata!C734,17,1)=":",IFERROR(INT(MID(metadata!C734,18,1))&gt;=0,FALSE),IFERROR(INT(MID(metadata!C734,18,1))&lt;=5,FALSE),NOT(MID(metadata!C734,19,1)=""),IFERROR(INT(MID(metadata!C734,18,2))&gt;=0,FALSE),IFERROR(INT(MID(metadata!C734,18,2))&lt;=59,FALSE)), LEN(metadata!C734)&lt;=19)))))))))))))</f>
        <v>0</v>
      </c>
      <c r="AO734" t="b">
        <f>AND(IF(metadata!D734="",FALSE,TRUE),EXACT(metadata!D734,"Not applicable"))</f>
        <v>0</v>
      </c>
      <c r="AP734" t="b">
        <f>IF(metadata!E734="",FALSE,TRUE)</f>
        <v>0</v>
      </c>
      <c r="AQ734" t="b">
        <f>OR(AND(IF(metadata!F734="",FALSE,TRUE),OR(EXACT(metadata!F734,"missing: not collected"),EXACT(metadata!F734,"missing: not provided"))),AND(IF(metadata!F734="",FALSE,TRUE),OR(EXACT(metadata!F734,"TRUE"),EXACT(metadata!F734,"FALSE"))))</f>
        <v>0</v>
      </c>
      <c r="AR734" t="b">
        <f>OR(AND(IF(metadata!G734="",FALSE,TRUE),OR(EXACT(metadata!G734,"missing: not collected"),EXACT(metadata!G734,"missing: not provided"),EXACT(metadata!G734,"missing: restricted access"))),AND(IF(metadata!G734="",FALSE,ISNUMBER(VALUE(metadata!G734))),metadata!G734&gt;=-413))</f>
        <v>0</v>
      </c>
      <c r="AS734" t="b">
        <f>AND(IF(metadata!H734="",FALSE,TRUE),EXACT(metadata!H734,"meters"))</f>
        <v>0</v>
      </c>
      <c r="AT734" t="b">
        <f>AND(IF(metadata!I734="",FALSE,TRUE),OR(EXACT(metadata!I734,"Host-associated"),EXACT(metadata!I734,"Free-living")))</f>
        <v>0</v>
      </c>
      <c r="AU734" t="b">
        <f>AND(IF(metadata!J734="",FALSE,TRUE),OR(EXACT(metadata!J734,"Animal"),EXACT(metadata!J734,"Fungus"),EXACT(metadata!J734,"Plant"),EXACT(metadata!J734,"Saline"),EXACT(metadata!J734,"Non-saline")))</f>
        <v>0</v>
      </c>
      <c r="AV734" t="b">
        <f>AND(IF(metadata!K734="",FALSE,TRUE),OR(EXACT(metadata!K734,"Plant secretion"),EXACT(metadata!K734,"Plant rhizosphere"),EXACT(metadata!K734,"Plant surface"),EXACT(metadata!K734,"Plant corpus"),EXACT(metadata!K734,"Fungus surface"),EXACT(metadata!K734,"Fungus corpus"),EXACT(metadata!K734,"Animal surface"),EXACT(metadata!K734,"Animal proximal gut"),EXACT(metadata!K734,"Animal corpus"),EXACT(metadata!K734,"Animal distal gut"),EXACT(metadata!K734,"Animal secretion"),EXACT(metadata!K734,"Sub-surface (non-saline)"),EXACT(metadata!K734,"Surface (non-saline)"),EXACT(metadata!K734,"Water (non-saline)"),EXACT(metadata!K734,"Soil (non-saline)"),EXACT(metadata!K734,"Aerosol (non-saline)"),EXACT(metadata!K734,"Sediment (non-saline)"),EXACT(metadata!K734,"Surface (saline)"),EXACT(metadata!K734,"Water (saline)"),EXACT(metadata!K734,"Hypersaline (saline)"),EXACT(metadata!K734,"Aerosol (saline)"),EXACT(metadata!K734,"Sediment (saline)")))</f>
        <v>0</v>
      </c>
      <c r="AW734" t="b">
        <f>IF(metadata!L734="",FALSE,TRUE)</f>
        <v>0</v>
      </c>
      <c r="AX734" t="b">
        <f>IF(metadata!M734="",FALSE,TRUE)</f>
        <v>0</v>
      </c>
      <c r="AY734" t="b">
        <f>IF(metadata!N734="",FALSE,TRUE)</f>
        <v>0</v>
      </c>
      <c r="AZ734" t="b">
        <f>OR(AND(IF(metadata!O734="",FALSE,TRUE),OR(EXACT(metadata!O734,"missing: not collected"),EXACT(metadata!O734,"missing: not provided"),EXACT(metadata!O734,"missing: restricted access"))),AND(IF(metadata!O734="",FALSE,TRUE),OR(EXACT(metadata!O734,"air"),EXACT(metadata!O734,"built environment"),EXACT(metadata!O734,"host-associated"),EXACT(metadata!O734,"human-associated"),EXACT(metadata!O734,"human-skin"),EXACT(metadata!O734,"human-oral"),EXACT(metadata!O734,"human-gut"),EXACT(metadata!O734,"human-vaginal"),EXACT(metadata!O734,"microbial mat/biofilm"),EXACT(metadata!O734,"misc environment"),EXACT(metadata!O734,"plant-associated"),EXACT(metadata!O734,"sediment"),EXACT(metadata!O734,"soil"),EXACT(metadata!O734,"wastewater/sludge"),EXACT(metadata!O734,"water"))))</f>
        <v>0</v>
      </c>
      <c r="BA734" t="b">
        <f>IF(metadata!P734="",FALSE,TRUE)</f>
        <v>0</v>
      </c>
      <c r="BB734" t="b">
        <f>IF(metadata!Q734="",FALSE,TRUE)</f>
        <v>0</v>
      </c>
      <c r="BC734" t="b">
        <f>OR(AND(IF(metadata!R734="",FALSE,TRUE),OR(EXACT(metadata!R734,"missing: not collected"),EXACT(metadata!R734,"missing: not provided"),EXACT(metadata!R734,"missing: restricted access"))),AND(IF(metadata!R734="",FALSE,ISNUMBER(VALUE(metadata!R734))),metadata!R734&gt;=-90,metadata!R734&lt;=90))</f>
        <v>0</v>
      </c>
      <c r="BD734" t="b">
        <f>AND(IF(metadata!S734="",FALSE,TRUE),EXACT(metadata!S734,"Decimal degrees"))</f>
        <v>0</v>
      </c>
      <c r="BE734" t="b">
        <f>OR(AND(IF(metadata!T734="",FALSE,TRUE),OR(EXACT(metadata!T734,"missing: not collected"),EXACT(metadata!T734,"missing: not provided"),EXACT(metadata!T734,"missing: restricted access"))),AND(IF(metadata!T734="",FALSE,ISNUMBER(VALUE(metadata!T734))),metadata!T734&gt;=-180,metadata!T734&lt;=180))</f>
        <v>0</v>
      </c>
      <c r="BF734" t="b">
        <f>AND(IF(metadata!U734="",FALSE,TRUE),EXACT(metadata!U734,"Decimal degrees"))</f>
        <v>0</v>
      </c>
      <c r="BG734" t="b">
        <f>IF(metadata!V734="",FALSE,TRUE)</f>
        <v>0</v>
      </c>
      <c r="BH734" t="b">
        <f>OR(AND(IF(metadata!W734="",FALSE,TRUE),OR(EXACT(metadata!W734,"missing: not collected"),EXACT(metadata!W734,"missing: not provided"),EXACT(metadata!W734,"missing: restricted access"))),AND(IF(metadata!W734="",FALSE,TRUE),OR(EXACT(metadata!W734,"TRUE"),EXACT(metadata!W734,"FALSE"))))</f>
        <v>0</v>
      </c>
      <c r="BI734" t="b">
        <f>AND(IF(metadata!X734="",FALSE,TRUE),EXACT(metadata!X734,"other"))</f>
        <v>0</v>
      </c>
      <c r="BJ734" t="b">
        <f>IF(metadata!Y734="",FALSE,TRUE)</f>
        <v>0</v>
      </c>
      <c r="BK734" t="b">
        <f>OR(AND(IF(metadata!Z734="",FALSE,TRUE),OR(EXACT(metadata!Z734,"missing: not collected"),EXACT(metadata!Z734,"missing: not provided"))),AND(IF(metadata!Z734="",FALSE,IF(ISERROR(INT(metadata!Z734)),FALSE,INT(metadata!Z734)=metadata!Z734)),metadata!Z734&gt;0))</f>
        <v>0</v>
      </c>
      <c r="BL734" t="b">
        <f>AND(IF(metadata!AA734="",FALSE,TRUE),EXACT(metadata!AA734,"Not applicable"))</f>
        <v>0</v>
      </c>
      <c r="BM734" t="b">
        <f>IF(metadata!AB734="",FALSE,TRUE)</f>
        <v>0</v>
      </c>
    </row>
    <row r="735" spans="1:65" x14ac:dyDescent="0.2">
      <c r="A735" s="5" t="str">
        <f ca="1">IF(B735=" "," ",HYPERLINK(CONCATENATE("#metadata!",ADDRESS(INDEX($AH$2:$AH$1001,MATCH(ROWS($AF$2:AF735),$AF$2:$AF$1001,0),0),1)),INDEX($AK$2:$AK$1001,MATCH(ROWS($AF$2:AF735),$AF$2:$AF$1001,0),0)))</f>
        <v xml:space="preserve"> </v>
      </c>
      <c r="B735" s="4" t="str">
        <f ca="1">IF(OR(INDEX($AG$2:$AG$1001,MATCH(ROWS($AF$2:AF735),$AF$2:$AF$1001,0),1)&gt;=100000,INDEX($AM$1005:$BM$1005,1,MATCH(COLUMNS($AM$1006:AM1006),$AM$1006:$BM$1006,0))&gt;=100000), " ",IF(INDEX($AM$2:$BM$1001,MATCH(ROWS($AF$2:AF735),$AF$2:$AF$1001,0),MATCH(COLUMNS($AM$1006:AM1006),$AM$1006:$BM$1006,0)), HYPERLINK("#",""), HYPERLINK(CONCATENATE("#metadata!", ADDRESS(INDEX($AH$2:$AH$1001,MATCH(ROWS($AF$2:AF735),$AF$2:$AF$1001,0),0), INDEX($AM$1004:$BM$1004,1,MATCH(COLUMNS($AM$1006:AM1006),$AM$1006:$BM$1006,0)))),"Fix")))</f>
        <v xml:space="preserve"> </v>
      </c>
      <c r="C735" s="4" t="str">
        <f ca="1">IF(OR(INDEX($AG$2:$AG$1001,MATCH(ROWS($AF$2:AF735),$AF$2:$AF$1001,0),1)&gt;=100000,INDEX($AM$1005:$BM$1005,1,MATCH(COLUMNS($AM$1006:AN1006),$AM$1006:$BM$1006,0))&gt;=100000), " ",IF(INDEX($AM$2:$BM$1001,MATCH(ROWS($AF$2:AF735),$AF$2:$AF$1001,0),MATCH(COLUMNS($AM$1006:AN1006),$AM$1006:$BM$1006,0)), HYPERLINK("#",""), HYPERLINK(CONCATENATE("#metadata!", ADDRESS(INDEX($AH$2:$AH$1001,MATCH(ROWS($AF$2:AF735),$AF$2:$AF$1001,0),0), INDEX($AM$1004:$BM$1004,1,MATCH(COLUMNS($AM$1006:AN1006),$AM$1006:$BM$1006,0)))),"Fix")))</f>
        <v xml:space="preserve"> </v>
      </c>
      <c r="D735" s="4" t="str">
        <f ca="1">IF(OR(INDEX($AG$2:$AG$1001,MATCH(ROWS($AF$2:AF735),$AF$2:$AF$1001,0),1)&gt;=100000,INDEX($AM$1005:$BM$1005,1,MATCH(COLUMNS($AM$1006:AO1006),$AM$1006:$BM$1006,0))&gt;=100000), " ",IF(INDEX($AM$2:$BM$1001,MATCH(ROWS($AF$2:AF735),$AF$2:$AF$1001,0),MATCH(COLUMNS($AM$1006:AO1006),$AM$1006:$BM$1006,0)), HYPERLINK("#",""), HYPERLINK(CONCATENATE("#metadata!", ADDRESS(INDEX($AH$2:$AH$1001,MATCH(ROWS($AF$2:AF735),$AF$2:$AF$1001,0),0), INDEX($AM$1004:$BM$1004,1,MATCH(COLUMNS($AM$1006:AO1006),$AM$1006:$BM$1006,0)))),"Fix")))</f>
        <v xml:space="preserve"> </v>
      </c>
      <c r="E735" s="4" t="str">
        <f ca="1">IF(OR(INDEX($AG$2:$AG$1001,MATCH(ROWS($AF$2:AF735),$AF$2:$AF$1001,0),1)&gt;=100000,INDEX($AM$1005:$BM$1005,1,MATCH(COLUMNS($AM$1006:AP1006),$AM$1006:$BM$1006,0))&gt;=100000), " ",IF(INDEX($AM$2:$BM$1001,MATCH(ROWS($AF$2:AF735),$AF$2:$AF$1001,0),MATCH(COLUMNS($AM$1006:AP1006),$AM$1006:$BM$1006,0)), HYPERLINK("#",""), HYPERLINK(CONCATENATE("#metadata!", ADDRESS(INDEX($AH$2:$AH$1001,MATCH(ROWS($AF$2:AF735),$AF$2:$AF$1001,0),0), INDEX($AM$1004:$BM$1004,1,MATCH(COLUMNS($AM$1006:AP1006),$AM$1006:$BM$1006,0)))),"Fix")))</f>
        <v xml:space="preserve"> </v>
      </c>
      <c r="F735" s="4" t="str">
        <f ca="1">IF(OR(INDEX($AG$2:$AG$1001,MATCH(ROWS($AF$2:AF735),$AF$2:$AF$1001,0),1)&gt;=100000,INDEX($AM$1005:$BM$1005,1,MATCH(COLUMNS($AM$1006:AQ1006),$AM$1006:$BM$1006,0))&gt;=100000), " ",IF(INDEX($AM$2:$BM$1001,MATCH(ROWS($AF$2:AF735),$AF$2:$AF$1001,0),MATCH(COLUMNS($AM$1006:AQ1006),$AM$1006:$BM$1006,0)), HYPERLINK("#",""), HYPERLINK(CONCATENATE("#metadata!", ADDRESS(INDEX($AH$2:$AH$1001,MATCH(ROWS($AF$2:AF735),$AF$2:$AF$1001,0),0), INDEX($AM$1004:$BM$1004,1,MATCH(COLUMNS($AM$1006:AQ1006),$AM$1006:$BM$1006,0)))),"Fix")))</f>
        <v xml:space="preserve"> </v>
      </c>
      <c r="G735" s="4" t="str">
        <f ca="1">IF(OR(INDEX($AG$2:$AG$1001,MATCH(ROWS($AF$2:AF735),$AF$2:$AF$1001,0),1)&gt;=100000,INDEX($AM$1005:$BM$1005,1,MATCH(COLUMNS($AM$1006:AR1006),$AM$1006:$BM$1006,0))&gt;=100000), " ",IF(INDEX($AM$2:$BM$1001,MATCH(ROWS($AF$2:AF735),$AF$2:$AF$1001,0),MATCH(COLUMNS($AM$1006:AR1006),$AM$1006:$BM$1006,0)), HYPERLINK("#",""), HYPERLINK(CONCATENATE("#metadata!", ADDRESS(INDEX($AH$2:$AH$1001,MATCH(ROWS($AF$2:AF735),$AF$2:$AF$1001,0),0), INDEX($AM$1004:$BM$1004,1,MATCH(COLUMNS($AM$1006:AR1006),$AM$1006:$BM$1006,0)))),"Fix")))</f>
        <v xml:space="preserve"> </v>
      </c>
      <c r="H735" s="4" t="str">
        <f ca="1">IF(OR(INDEX($AG$2:$AG$1001,MATCH(ROWS($AF$2:AF735),$AF$2:$AF$1001,0),1)&gt;=100000,INDEX($AM$1005:$BM$1005,1,MATCH(COLUMNS($AM$1006:AS1006),$AM$1006:$BM$1006,0))&gt;=100000), " ",IF(INDEX($AM$2:$BM$1001,MATCH(ROWS($AF$2:AF735),$AF$2:$AF$1001,0),MATCH(COLUMNS($AM$1006:AS1006),$AM$1006:$BM$1006,0)), HYPERLINK("#",""), HYPERLINK(CONCATENATE("#metadata!", ADDRESS(INDEX($AH$2:$AH$1001,MATCH(ROWS($AF$2:AF735),$AF$2:$AF$1001,0),0), INDEX($AM$1004:$BM$1004,1,MATCH(COLUMNS($AM$1006:AS1006),$AM$1006:$BM$1006,0)))),"Fix")))</f>
        <v xml:space="preserve"> </v>
      </c>
      <c r="I735" s="4" t="str">
        <f ca="1">IF(OR(INDEX($AG$2:$AG$1001,MATCH(ROWS($AF$2:AF735),$AF$2:$AF$1001,0),1)&gt;=100000,INDEX($AM$1005:$BM$1005,1,MATCH(COLUMNS($AM$1006:AT1006),$AM$1006:$BM$1006,0))&gt;=100000), " ",IF(INDEX($AM$2:$BM$1001,MATCH(ROWS($AF$2:AF735),$AF$2:$AF$1001,0),MATCH(COLUMNS($AM$1006:AT1006),$AM$1006:$BM$1006,0)), HYPERLINK("#",""), HYPERLINK(CONCATENATE("#metadata!", ADDRESS(INDEX($AH$2:$AH$1001,MATCH(ROWS($AF$2:AF735),$AF$2:$AF$1001,0),0), INDEX($AM$1004:$BM$1004,1,MATCH(COLUMNS($AM$1006:AT1006),$AM$1006:$BM$1006,0)))),"Fix")))</f>
        <v xml:space="preserve"> </v>
      </c>
      <c r="J735" s="4" t="str">
        <f ca="1">IF(OR(INDEX($AG$2:$AG$1001,MATCH(ROWS($AF$2:AF735),$AF$2:$AF$1001,0),1)&gt;=100000,INDEX($AM$1005:$BM$1005,1,MATCH(COLUMNS($AM$1006:AU1006),$AM$1006:$BM$1006,0))&gt;=100000), " ",IF(INDEX($AM$2:$BM$1001,MATCH(ROWS($AF$2:AF735),$AF$2:$AF$1001,0),MATCH(COLUMNS($AM$1006:AU1006),$AM$1006:$BM$1006,0)), HYPERLINK("#",""), HYPERLINK(CONCATENATE("#metadata!", ADDRESS(INDEX($AH$2:$AH$1001,MATCH(ROWS($AF$2:AF735),$AF$2:$AF$1001,0),0), INDEX($AM$1004:$BM$1004,1,MATCH(COLUMNS($AM$1006:AU1006),$AM$1006:$BM$1006,0)))),"Fix")))</f>
        <v xml:space="preserve"> </v>
      </c>
      <c r="K735" s="4" t="str">
        <f ca="1">IF(OR(INDEX($AG$2:$AG$1001,MATCH(ROWS($AF$2:AF735),$AF$2:$AF$1001,0),1)&gt;=100000,INDEX($AM$1005:$BM$1005,1,MATCH(COLUMNS($AM$1006:AV1006),$AM$1006:$BM$1006,0))&gt;=100000), " ",IF(INDEX($AM$2:$BM$1001,MATCH(ROWS($AF$2:AF735),$AF$2:$AF$1001,0),MATCH(COLUMNS($AM$1006:AV1006),$AM$1006:$BM$1006,0)), HYPERLINK("#",""), HYPERLINK(CONCATENATE("#metadata!", ADDRESS(INDEX($AH$2:$AH$1001,MATCH(ROWS($AF$2:AF735),$AF$2:$AF$1001,0),0), INDEX($AM$1004:$BM$1004,1,MATCH(COLUMNS($AM$1006:AV1006),$AM$1006:$BM$1006,0)))),"Fix")))</f>
        <v xml:space="preserve"> </v>
      </c>
      <c r="L735" s="4" t="str">
        <f ca="1">IF(OR(INDEX($AG$2:$AG$1001,MATCH(ROWS($AF$2:AF735),$AF$2:$AF$1001,0),1)&gt;=100000,INDEX($AM$1005:$BM$1005,1,MATCH(COLUMNS($AM$1006:AW1006),$AM$1006:$BM$1006,0))&gt;=100000), " ",IF(INDEX($AM$2:$BM$1001,MATCH(ROWS($AF$2:AF735),$AF$2:$AF$1001,0),MATCH(COLUMNS($AM$1006:AW1006),$AM$1006:$BM$1006,0)), HYPERLINK("#",""), HYPERLINK(CONCATENATE("#metadata!", ADDRESS(INDEX($AH$2:$AH$1001,MATCH(ROWS($AF$2:AF735),$AF$2:$AF$1001,0),0), INDEX($AM$1004:$BM$1004,1,MATCH(COLUMNS($AM$1006:AW1006),$AM$1006:$BM$1006,0)))),"Fix")))</f>
        <v xml:space="preserve"> </v>
      </c>
      <c r="M735" s="4" t="str">
        <f ca="1">IF(OR(INDEX($AG$2:$AG$1001,MATCH(ROWS($AF$2:AF735),$AF$2:$AF$1001,0),1)&gt;=100000,INDEX($AM$1005:$BM$1005,1,MATCH(COLUMNS($AM$1006:AX1006),$AM$1006:$BM$1006,0))&gt;=100000), " ",IF(INDEX($AM$2:$BM$1001,MATCH(ROWS($AF$2:AF735),$AF$2:$AF$1001,0),MATCH(COLUMNS($AM$1006:AX1006),$AM$1006:$BM$1006,0)), HYPERLINK("#",""), HYPERLINK(CONCATENATE("#metadata!", ADDRESS(INDEX($AH$2:$AH$1001,MATCH(ROWS($AF$2:AF735),$AF$2:$AF$1001,0),0), INDEX($AM$1004:$BM$1004,1,MATCH(COLUMNS($AM$1006:AX1006),$AM$1006:$BM$1006,0)))),"Fix")))</f>
        <v xml:space="preserve"> </v>
      </c>
      <c r="N735" s="4" t="str">
        <f ca="1">IF(OR(INDEX($AG$2:$AG$1001,MATCH(ROWS($AF$2:AF735),$AF$2:$AF$1001,0),1)&gt;=100000,INDEX($AM$1005:$BM$1005,1,MATCH(COLUMNS($AM$1006:AY1006),$AM$1006:$BM$1006,0))&gt;=100000), " ",IF(INDEX($AM$2:$BM$1001,MATCH(ROWS($AF$2:AF735),$AF$2:$AF$1001,0),MATCH(COLUMNS($AM$1006:AY1006),$AM$1006:$BM$1006,0)), HYPERLINK("#",""), HYPERLINK(CONCATENATE("#metadata!", ADDRESS(INDEX($AH$2:$AH$1001,MATCH(ROWS($AF$2:AF735),$AF$2:$AF$1001,0),0), INDEX($AM$1004:$BM$1004,1,MATCH(COLUMNS($AM$1006:AY1006),$AM$1006:$BM$1006,0)))),"Fix")))</f>
        <v xml:space="preserve"> </v>
      </c>
      <c r="O735" s="4" t="str">
        <f ca="1">IF(OR(INDEX($AG$2:$AG$1001,MATCH(ROWS($AF$2:AF735),$AF$2:$AF$1001,0),1)&gt;=100000,INDEX($AM$1005:$BM$1005,1,MATCH(COLUMNS($AM$1006:AZ1006),$AM$1006:$BM$1006,0))&gt;=100000), " ",IF(INDEX($AM$2:$BM$1001,MATCH(ROWS($AF$2:AF735),$AF$2:$AF$1001,0),MATCH(COLUMNS($AM$1006:AZ1006),$AM$1006:$BM$1006,0)), HYPERLINK("#",""), HYPERLINK(CONCATENATE("#metadata!", ADDRESS(INDEX($AH$2:$AH$1001,MATCH(ROWS($AF$2:AF735),$AF$2:$AF$1001,0),0), INDEX($AM$1004:$BM$1004,1,MATCH(COLUMNS($AM$1006:AZ1006),$AM$1006:$BM$1006,0)))),"Fix")))</f>
        <v xml:space="preserve"> </v>
      </c>
      <c r="P735" s="4" t="str">
        <f ca="1">IF(OR(INDEX($AG$2:$AG$1001,MATCH(ROWS($AF$2:AF735),$AF$2:$AF$1001,0),1)&gt;=100000,INDEX($AM$1005:$BM$1005,1,MATCH(COLUMNS($AM$1006:BA1006),$AM$1006:$BM$1006,0))&gt;=100000), " ",IF(INDEX($AM$2:$BM$1001,MATCH(ROWS($AF$2:AF735),$AF$2:$AF$1001,0),MATCH(COLUMNS($AM$1006:BA1006),$AM$1006:$BM$1006,0)), HYPERLINK("#",""), HYPERLINK(CONCATENATE("#metadata!", ADDRESS(INDEX($AH$2:$AH$1001,MATCH(ROWS($AF$2:AF735),$AF$2:$AF$1001,0),0), INDEX($AM$1004:$BM$1004,1,MATCH(COLUMNS($AM$1006:BA1006),$AM$1006:$BM$1006,0)))),"Fix")))</f>
        <v xml:space="preserve"> </v>
      </c>
      <c r="Q735" s="4" t="str">
        <f ca="1">IF(OR(INDEX($AG$2:$AG$1001,MATCH(ROWS($AF$2:AF735),$AF$2:$AF$1001,0),1)&gt;=100000,INDEX($AM$1005:$BM$1005,1,MATCH(COLUMNS($AM$1006:BB1006),$AM$1006:$BM$1006,0))&gt;=100000), " ",IF(INDEX($AM$2:$BM$1001,MATCH(ROWS($AF$2:AF735),$AF$2:$AF$1001,0),MATCH(COLUMNS($AM$1006:BB1006),$AM$1006:$BM$1006,0)), HYPERLINK("#",""), HYPERLINK(CONCATENATE("#metadata!", ADDRESS(INDEX($AH$2:$AH$1001,MATCH(ROWS($AF$2:AF735),$AF$2:$AF$1001,0),0), INDEX($AM$1004:$BM$1004,1,MATCH(COLUMNS($AM$1006:BB1006),$AM$1006:$BM$1006,0)))),"Fix")))</f>
        <v xml:space="preserve"> </v>
      </c>
      <c r="R735" s="4" t="str">
        <f ca="1">IF(OR(INDEX($AG$2:$AG$1001,MATCH(ROWS($AF$2:AF735),$AF$2:$AF$1001,0),1)&gt;=100000,INDEX($AM$1005:$BM$1005,1,MATCH(COLUMNS($AM$1006:BC1006),$AM$1006:$BM$1006,0))&gt;=100000), " ",IF(INDEX($AM$2:$BM$1001,MATCH(ROWS($AF$2:AF735),$AF$2:$AF$1001,0),MATCH(COLUMNS($AM$1006:BC1006),$AM$1006:$BM$1006,0)), HYPERLINK("#",""), HYPERLINK(CONCATENATE("#metadata!", ADDRESS(INDEX($AH$2:$AH$1001,MATCH(ROWS($AF$2:AF735),$AF$2:$AF$1001,0),0), INDEX($AM$1004:$BM$1004,1,MATCH(COLUMNS($AM$1006:BC1006),$AM$1006:$BM$1006,0)))),"Fix")))</f>
        <v xml:space="preserve"> </v>
      </c>
      <c r="S735" s="4" t="str">
        <f ca="1">IF(OR(INDEX($AG$2:$AG$1001,MATCH(ROWS($AF$2:AF735),$AF$2:$AF$1001,0),1)&gt;=100000,INDEX($AM$1005:$BM$1005,1,MATCH(COLUMNS($AM$1006:BD1006),$AM$1006:$BM$1006,0))&gt;=100000), " ",IF(INDEX($AM$2:$BM$1001,MATCH(ROWS($AF$2:AF735),$AF$2:$AF$1001,0),MATCH(COLUMNS($AM$1006:BD1006),$AM$1006:$BM$1006,0)), HYPERLINK("#",""), HYPERLINK(CONCATENATE("#metadata!", ADDRESS(INDEX($AH$2:$AH$1001,MATCH(ROWS($AF$2:AF735),$AF$2:$AF$1001,0),0), INDEX($AM$1004:$BM$1004,1,MATCH(COLUMNS($AM$1006:BD1006),$AM$1006:$BM$1006,0)))),"Fix")))</f>
        <v xml:space="preserve"> </v>
      </c>
      <c r="T735" s="4" t="str">
        <f ca="1">IF(OR(INDEX($AG$2:$AG$1001,MATCH(ROWS($AF$2:AF735),$AF$2:$AF$1001,0),1)&gt;=100000,INDEX($AM$1005:$BM$1005,1,MATCH(COLUMNS($AM$1006:BE1006),$AM$1006:$BM$1006,0))&gt;=100000), " ",IF(INDEX($AM$2:$BM$1001,MATCH(ROWS($AF$2:AF735),$AF$2:$AF$1001,0),MATCH(COLUMNS($AM$1006:BE1006),$AM$1006:$BM$1006,0)), HYPERLINK("#",""), HYPERLINK(CONCATENATE("#metadata!", ADDRESS(INDEX($AH$2:$AH$1001,MATCH(ROWS($AF$2:AF735),$AF$2:$AF$1001,0),0), INDEX($AM$1004:$BM$1004,1,MATCH(COLUMNS($AM$1006:BE1006),$AM$1006:$BM$1006,0)))),"Fix")))</f>
        <v xml:space="preserve"> </v>
      </c>
      <c r="U735" s="4" t="str">
        <f ca="1">IF(OR(INDEX($AG$2:$AG$1001,MATCH(ROWS($AF$2:AF735),$AF$2:$AF$1001,0),1)&gt;=100000,INDEX($AM$1005:$BM$1005,1,MATCH(COLUMNS($AM$1006:BF1006),$AM$1006:$BM$1006,0))&gt;=100000), " ",IF(INDEX($AM$2:$BM$1001,MATCH(ROWS($AF$2:AF735),$AF$2:$AF$1001,0),MATCH(COLUMNS($AM$1006:BF1006),$AM$1006:$BM$1006,0)), HYPERLINK("#",""), HYPERLINK(CONCATENATE("#metadata!", ADDRESS(INDEX($AH$2:$AH$1001,MATCH(ROWS($AF$2:AF735),$AF$2:$AF$1001,0),0), INDEX($AM$1004:$BM$1004,1,MATCH(COLUMNS($AM$1006:BF1006),$AM$1006:$BM$1006,0)))),"Fix")))</f>
        <v xml:space="preserve"> </v>
      </c>
      <c r="V735" s="4" t="str">
        <f ca="1">IF(OR(INDEX($AG$2:$AG$1001,MATCH(ROWS($AF$2:AF735),$AF$2:$AF$1001,0),1)&gt;=100000,INDEX($AM$1005:$BM$1005,1,MATCH(COLUMNS($AM$1006:BG1006),$AM$1006:$BM$1006,0))&gt;=100000), " ",IF(INDEX($AM$2:$BM$1001,MATCH(ROWS($AF$2:AF735),$AF$2:$AF$1001,0),MATCH(COLUMNS($AM$1006:BG1006),$AM$1006:$BM$1006,0)), HYPERLINK("#",""), HYPERLINK(CONCATENATE("#metadata!", ADDRESS(INDEX($AH$2:$AH$1001,MATCH(ROWS($AF$2:AF735),$AF$2:$AF$1001,0),0), INDEX($AM$1004:$BM$1004,1,MATCH(COLUMNS($AM$1006:BG1006),$AM$1006:$BM$1006,0)))),"Fix")))</f>
        <v xml:space="preserve"> </v>
      </c>
      <c r="W735" s="4" t="str">
        <f ca="1">IF(OR(INDEX($AG$2:$AG$1001,MATCH(ROWS($AF$2:AF735),$AF$2:$AF$1001,0),1)&gt;=100000,INDEX($AM$1005:$BM$1005,1,MATCH(COLUMNS($AM$1006:BH1006),$AM$1006:$BM$1006,0))&gt;=100000), " ",IF(INDEX($AM$2:$BM$1001,MATCH(ROWS($AF$2:AF735),$AF$2:$AF$1001,0),MATCH(COLUMNS($AM$1006:BH1006),$AM$1006:$BM$1006,0)), HYPERLINK("#",""), HYPERLINK(CONCATENATE("#metadata!", ADDRESS(INDEX($AH$2:$AH$1001,MATCH(ROWS($AF$2:AF735),$AF$2:$AF$1001,0),0), INDEX($AM$1004:$BM$1004,1,MATCH(COLUMNS($AM$1006:BH1006),$AM$1006:$BM$1006,0)))),"Fix")))</f>
        <v xml:space="preserve"> </v>
      </c>
      <c r="X735" s="4" t="str">
        <f ca="1">IF(OR(INDEX($AG$2:$AG$1001,MATCH(ROWS($AF$2:AF735),$AF$2:$AF$1001,0),1)&gt;=100000,INDEX($AM$1005:$BM$1005,1,MATCH(COLUMNS($AM$1006:BI1006),$AM$1006:$BM$1006,0))&gt;=100000), " ",IF(INDEX($AM$2:$BM$1001,MATCH(ROWS($AF$2:AF735),$AF$2:$AF$1001,0),MATCH(COLUMNS($AM$1006:BI1006),$AM$1006:$BM$1006,0)), HYPERLINK("#",""), HYPERLINK(CONCATENATE("#metadata!", ADDRESS(INDEX($AH$2:$AH$1001,MATCH(ROWS($AF$2:AF735),$AF$2:$AF$1001,0),0), INDEX($AM$1004:$BM$1004,1,MATCH(COLUMNS($AM$1006:BI1006),$AM$1006:$BM$1006,0)))),"Fix")))</f>
        <v xml:space="preserve"> </v>
      </c>
      <c r="Y735" s="4" t="str">
        <f ca="1">IF(OR(INDEX($AG$2:$AG$1001,MATCH(ROWS($AF$2:AF735),$AF$2:$AF$1001,0),1)&gt;=100000,INDEX($AM$1005:$BM$1005,1,MATCH(COLUMNS($AM$1006:BJ1006),$AM$1006:$BM$1006,0))&gt;=100000), " ",IF(INDEX($AM$2:$BM$1001,MATCH(ROWS($AF$2:AF735),$AF$2:$AF$1001,0),MATCH(COLUMNS($AM$1006:BJ1006),$AM$1006:$BM$1006,0)), HYPERLINK("#",""), HYPERLINK(CONCATENATE("#metadata!", ADDRESS(INDEX($AH$2:$AH$1001,MATCH(ROWS($AF$2:AF735),$AF$2:$AF$1001,0),0), INDEX($AM$1004:$BM$1004,1,MATCH(COLUMNS($AM$1006:BJ1006),$AM$1006:$BM$1006,0)))),"Fix")))</f>
        <v xml:space="preserve"> </v>
      </c>
      <c r="Z735" s="4" t="str">
        <f ca="1">IF(OR(INDEX($AG$2:$AG$1001,MATCH(ROWS($AF$2:AF735),$AF$2:$AF$1001,0),1)&gt;=100000,INDEX($AM$1005:$BM$1005,1,MATCH(COLUMNS($AM$1006:BK1006),$AM$1006:$BM$1006,0))&gt;=100000), " ",IF(INDEX($AM$2:$BM$1001,MATCH(ROWS($AF$2:AF735),$AF$2:$AF$1001,0),MATCH(COLUMNS($AM$1006:BK1006),$AM$1006:$BM$1006,0)), HYPERLINK("#",""), HYPERLINK(CONCATENATE("#metadata!", ADDRESS(INDEX($AH$2:$AH$1001,MATCH(ROWS($AF$2:AF735),$AF$2:$AF$1001,0),0), INDEX($AM$1004:$BM$1004,1,MATCH(COLUMNS($AM$1006:BK1006),$AM$1006:$BM$1006,0)))),"Fix")))</f>
        <v xml:space="preserve"> </v>
      </c>
      <c r="AA735" s="4" t="str">
        <f ca="1">IF(OR(INDEX($AG$2:$AG$1001,MATCH(ROWS($AF$2:AF735),$AF$2:$AF$1001,0),1)&gt;=100000,INDEX($AM$1005:$BM$1005,1,MATCH(COLUMNS($AM$1006:BL1006),$AM$1006:$BM$1006,0))&gt;=100000), " ",IF(INDEX($AM$2:$BM$1001,MATCH(ROWS($AF$2:AF735),$AF$2:$AF$1001,0),MATCH(COLUMNS($AM$1006:BL1006),$AM$1006:$BM$1006,0)), HYPERLINK("#",""), HYPERLINK(CONCATENATE("#metadata!", ADDRESS(INDEX($AH$2:$AH$1001,MATCH(ROWS($AF$2:AF735),$AF$2:$AF$1001,0),0), INDEX($AM$1004:$BM$1004,1,MATCH(COLUMNS($AM$1006:BL1006),$AM$1006:$BM$1006,0)))),"Fix")))</f>
        <v xml:space="preserve"> </v>
      </c>
      <c r="AB735" s="4" t="str">
        <f ca="1">IF(OR(INDEX($AG$2:$AG$1001,MATCH(ROWS($AF$2:AF735),$AF$2:$AF$1001,0),1)&gt;=100000,INDEX($AM$1005:$BM$1005,1,MATCH(COLUMNS($AM$1006:BM1006),$AM$1006:$BM$1006,0))&gt;=100000), " ",IF(INDEX($AM$2:$BM$1001,MATCH(ROWS($AF$2:AF735),$AF$2:$AF$1001,0),MATCH(COLUMNS($AM$1006:BM1006),$AM$1006:$BM$1006,0)), HYPERLINK("#",""), HYPERLINK(CONCATENATE("#metadata!", ADDRESS(INDEX($AH$2:$AH$1001,MATCH(ROWS($AF$2:AF735),$AF$2:$AF$1001,0),0), INDEX($AM$1004:$BM$1004,1,MATCH(COLUMNS($AM$1006:BM1006),$AM$1006:$BM$1006,0)))),"Fix")))</f>
        <v xml:space="preserve"> </v>
      </c>
      <c r="AF735">
        <v>734</v>
      </c>
      <c r="AG735">
        <v>100735</v>
      </c>
      <c r="AH735">
        <v>735</v>
      </c>
      <c r="AI735" t="b">
        <f t="shared" si="11"/>
        <v>1</v>
      </c>
      <c r="AJ735" t="b">
        <f>COUNTBLANK(metadata!B735:AB735)=COLUMNS(metadata!B735:AB735)</f>
        <v>1</v>
      </c>
      <c r="AK735" t="str">
        <v/>
      </c>
      <c r="AM735" t="b">
        <f ca="1">AND(IF(metadata!B735="",FALSE,TRUE),COUNTIF(metadata!B:B, metadata!B735) = 1,NOT(ISERROR(SUMPRODUCT(SEARCH(MID(metadata!B735,ROW(INDIRECT("1:"&amp;LEN(metadata!B735))), 1),"0123456789abcdefghijklmnopqrstuvwxyzABCDEFGHIJKLMNOPQRSTUVWXYZ.")))))</f>
        <v>0</v>
      </c>
      <c r="AN735" t="b">
        <f ca="1">OR(AND(IF(metadata!C735="",FALSE,TRUE),OR(EXACT(metadata!C735,"missing: not collected"),EXACT(metadata!C735,"missing: not provided"),EXACT(metadata!C735,"missing: restricted access"))),AND(IF(metadata!C735="",FALSE,TRUE),AND(AND(IFERROR(INT(LEFT(metadata!C735,4))&gt;1900,FALSE),IFERROR(INT(LEFT(metadata!C735,4))&lt;=YEAR(NOW()),FALSE)), OR(MID(metadata!C735,5,1)="", AND(AND(MID(metadata!C735,5,1)="-",IFERROR(INT(MID(metadata!C735,6,1))&gt;=0,FALSE),IFERROR(INT(MID(metadata!C735,6,1))&lt;=1,FALSE),NOT(MID(metadata!C735,7,1)=""),IFERROR(INT(MID(metadata!C735,6,2))&gt;=1,FALSE),IFERROR(INT(MID(metadata!C735,6,2))&lt;=12,FALSE)), OR(MID(metadata!C735,8,1)="", AND(AND(MID(metadata!C735,8,1)="-",IFERROR(INT(MID(metadata!C735,9,1))&gt;=0,FALSE),IFERROR(INT(MID(metadata!C735,9,1))&lt;=3,FALSE),NOT(MID(metadata!C735,10,1)=""),IFERROR(INT(MID(metadata!C735,9,2))&gt;=1,FALSE),IFERROR(INT(MID(metadata!C735,9,2))&lt;=31,FALSE)), OR(MID(metadata!C735,11,1)="", AND(AND(MID(metadata!C735,11,1)=" ",IFERROR(INT(MID(metadata!C735,12,1))&gt;=0,FALSE),IFERROR(INT(MID(metadata!C735,12,1))&lt;=2,FALSE),NOT(MID(metadata!C735,13,1)=""),IFERROR(INT(MID(metadata!C735,12,2))&gt;=0,FALSE),IFERROR(INT(MID(metadata!C735,12,2))&lt;=23,FALSE)), OR(MID(metadata!C735,14,1)="", AND(AND(MID(metadata!C735,14,1)=":",IFERROR(INT(MID(metadata!C735,15,1))&gt;=0,FALSE),IFERROR(INT(MID(metadata!C735,15,1))&lt;=5,FALSE),NOT(MID(metadata!C735,16,1)=""),IFERROR(INT(MID(metadata!C735,15,2))&gt;=0,FALSE),IFERROR(INT(MID(metadata!C735,15,2))&lt;=59,FALSE)), OR(MID(metadata!C735,17,1)="", AND(AND(MID(metadata!C735,17,1)=":",IFERROR(INT(MID(metadata!C735,18,1))&gt;=0,FALSE),IFERROR(INT(MID(metadata!C735,18,1))&lt;=5,FALSE),NOT(MID(metadata!C735,19,1)=""),IFERROR(INT(MID(metadata!C735,18,2))&gt;=0,FALSE),IFERROR(INT(MID(metadata!C735,18,2))&lt;=59,FALSE)), LEN(metadata!C735)&lt;=19)))))))))))))</f>
        <v>0</v>
      </c>
      <c r="AO735" t="b">
        <f>AND(IF(metadata!D735="",FALSE,TRUE),EXACT(metadata!D735,"Not applicable"))</f>
        <v>0</v>
      </c>
      <c r="AP735" t="b">
        <f>IF(metadata!E735="",FALSE,TRUE)</f>
        <v>0</v>
      </c>
      <c r="AQ735" t="b">
        <f>OR(AND(IF(metadata!F735="",FALSE,TRUE),OR(EXACT(metadata!F735,"missing: not collected"),EXACT(metadata!F735,"missing: not provided"))),AND(IF(metadata!F735="",FALSE,TRUE),OR(EXACT(metadata!F735,"TRUE"),EXACT(metadata!F735,"FALSE"))))</f>
        <v>0</v>
      </c>
      <c r="AR735" t="b">
        <f>OR(AND(IF(metadata!G735="",FALSE,TRUE),OR(EXACT(metadata!G735,"missing: not collected"),EXACT(metadata!G735,"missing: not provided"),EXACT(metadata!G735,"missing: restricted access"))),AND(IF(metadata!G735="",FALSE,ISNUMBER(VALUE(metadata!G735))),metadata!G735&gt;=-413))</f>
        <v>0</v>
      </c>
      <c r="AS735" t="b">
        <f>AND(IF(metadata!H735="",FALSE,TRUE),EXACT(metadata!H735,"meters"))</f>
        <v>0</v>
      </c>
      <c r="AT735" t="b">
        <f>AND(IF(metadata!I735="",FALSE,TRUE),OR(EXACT(metadata!I735,"Host-associated"),EXACT(metadata!I735,"Free-living")))</f>
        <v>0</v>
      </c>
      <c r="AU735" t="b">
        <f>AND(IF(metadata!J735="",FALSE,TRUE),OR(EXACT(metadata!J735,"Animal"),EXACT(metadata!J735,"Fungus"),EXACT(metadata!J735,"Plant"),EXACT(metadata!J735,"Saline"),EXACT(metadata!J735,"Non-saline")))</f>
        <v>0</v>
      </c>
      <c r="AV735" t="b">
        <f>AND(IF(metadata!K735="",FALSE,TRUE),OR(EXACT(metadata!K735,"Plant secretion"),EXACT(metadata!K735,"Plant rhizosphere"),EXACT(metadata!K735,"Plant surface"),EXACT(metadata!K735,"Plant corpus"),EXACT(metadata!K735,"Fungus surface"),EXACT(metadata!K735,"Fungus corpus"),EXACT(metadata!K735,"Animal surface"),EXACT(metadata!K735,"Animal proximal gut"),EXACT(metadata!K735,"Animal corpus"),EXACT(metadata!K735,"Animal distal gut"),EXACT(metadata!K735,"Animal secretion"),EXACT(metadata!K735,"Sub-surface (non-saline)"),EXACT(metadata!K735,"Surface (non-saline)"),EXACT(metadata!K735,"Water (non-saline)"),EXACT(metadata!K735,"Soil (non-saline)"),EXACT(metadata!K735,"Aerosol (non-saline)"),EXACT(metadata!K735,"Sediment (non-saline)"),EXACT(metadata!K735,"Surface (saline)"),EXACT(metadata!K735,"Water (saline)"),EXACT(metadata!K735,"Hypersaline (saline)"),EXACT(metadata!K735,"Aerosol (saline)"),EXACT(metadata!K735,"Sediment (saline)")))</f>
        <v>0</v>
      </c>
      <c r="AW735" t="b">
        <f>IF(metadata!L735="",FALSE,TRUE)</f>
        <v>0</v>
      </c>
      <c r="AX735" t="b">
        <f>IF(metadata!M735="",FALSE,TRUE)</f>
        <v>0</v>
      </c>
      <c r="AY735" t="b">
        <f>IF(metadata!N735="",FALSE,TRUE)</f>
        <v>0</v>
      </c>
      <c r="AZ735" t="b">
        <f>OR(AND(IF(metadata!O735="",FALSE,TRUE),OR(EXACT(metadata!O735,"missing: not collected"),EXACT(metadata!O735,"missing: not provided"),EXACT(metadata!O735,"missing: restricted access"))),AND(IF(metadata!O735="",FALSE,TRUE),OR(EXACT(metadata!O735,"air"),EXACT(metadata!O735,"built environment"),EXACT(metadata!O735,"host-associated"),EXACT(metadata!O735,"human-associated"),EXACT(metadata!O735,"human-skin"),EXACT(metadata!O735,"human-oral"),EXACT(metadata!O735,"human-gut"),EXACT(metadata!O735,"human-vaginal"),EXACT(metadata!O735,"microbial mat/biofilm"),EXACT(metadata!O735,"misc environment"),EXACT(metadata!O735,"plant-associated"),EXACT(metadata!O735,"sediment"),EXACT(metadata!O735,"soil"),EXACT(metadata!O735,"wastewater/sludge"),EXACT(metadata!O735,"water"))))</f>
        <v>0</v>
      </c>
      <c r="BA735" t="b">
        <f>IF(metadata!P735="",FALSE,TRUE)</f>
        <v>0</v>
      </c>
      <c r="BB735" t="b">
        <f>IF(metadata!Q735="",FALSE,TRUE)</f>
        <v>0</v>
      </c>
      <c r="BC735" t="b">
        <f>OR(AND(IF(metadata!R735="",FALSE,TRUE),OR(EXACT(metadata!R735,"missing: not collected"),EXACT(metadata!R735,"missing: not provided"),EXACT(metadata!R735,"missing: restricted access"))),AND(IF(metadata!R735="",FALSE,ISNUMBER(VALUE(metadata!R735))),metadata!R735&gt;=-90,metadata!R735&lt;=90))</f>
        <v>0</v>
      </c>
      <c r="BD735" t="b">
        <f>AND(IF(metadata!S735="",FALSE,TRUE),EXACT(metadata!S735,"Decimal degrees"))</f>
        <v>0</v>
      </c>
      <c r="BE735" t="b">
        <f>OR(AND(IF(metadata!T735="",FALSE,TRUE),OR(EXACT(metadata!T735,"missing: not collected"),EXACT(metadata!T735,"missing: not provided"),EXACT(metadata!T735,"missing: restricted access"))),AND(IF(metadata!T735="",FALSE,ISNUMBER(VALUE(metadata!T735))),metadata!T735&gt;=-180,metadata!T735&lt;=180))</f>
        <v>0</v>
      </c>
      <c r="BF735" t="b">
        <f>AND(IF(metadata!U735="",FALSE,TRUE),EXACT(metadata!U735,"Decimal degrees"))</f>
        <v>0</v>
      </c>
      <c r="BG735" t="b">
        <f>IF(metadata!V735="",FALSE,TRUE)</f>
        <v>0</v>
      </c>
      <c r="BH735" t="b">
        <f>OR(AND(IF(metadata!W735="",FALSE,TRUE),OR(EXACT(metadata!W735,"missing: not collected"),EXACT(metadata!W735,"missing: not provided"),EXACT(metadata!W735,"missing: restricted access"))),AND(IF(metadata!W735="",FALSE,TRUE),OR(EXACT(metadata!W735,"TRUE"),EXACT(metadata!W735,"FALSE"))))</f>
        <v>0</v>
      </c>
      <c r="BI735" t="b">
        <f>AND(IF(metadata!X735="",FALSE,TRUE),EXACT(metadata!X735,"other"))</f>
        <v>0</v>
      </c>
      <c r="BJ735" t="b">
        <f>IF(metadata!Y735="",FALSE,TRUE)</f>
        <v>0</v>
      </c>
      <c r="BK735" t="b">
        <f>OR(AND(IF(metadata!Z735="",FALSE,TRUE),OR(EXACT(metadata!Z735,"missing: not collected"),EXACT(metadata!Z735,"missing: not provided"))),AND(IF(metadata!Z735="",FALSE,IF(ISERROR(INT(metadata!Z735)),FALSE,INT(metadata!Z735)=metadata!Z735)),metadata!Z735&gt;0))</f>
        <v>0</v>
      </c>
      <c r="BL735" t="b">
        <f>AND(IF(metadata!AA735="",FALSE,TRUE),EXACT(metadata!AA735,"Not applicable"))</f>
        <v>0</v>
      </c>
      <c r="BM735" t="b">
        <f>IF(metadata!AB735="",FALSE,TRUE)</f>
        <v>0</v>
      </c>
    </row>
    <row r="736" spans="1:65" x14ac:dyDescent="0.2">
      <c r="A736" s="5" t="str">
        <f ca="1">IF(B736=" "," ",HYPERLINK(CONCATENATE("#metadata!",ADDRESS(INDEX($AH$2:$AH$1001,MATCH(ROWS($AF$2:AF736),$AF$2:$AF$1001,0),0),1)),INDEX($AK$2:$AK$1001,MATCH(ROWS($AF$2:AF736),$AF$2:$AF$1001,0),0)))</f>
        <v xml:space="preserve"> </v>
      </c>
      <c r="B736" s="4" t="str">
        <f ca="1">IF(OR(INDEX($AG$2:$AG$1001,MATCH(ROWS($AF$2:AF736),$AF$2:$AF$1001,0),1)&gt;=100000,INDEX($AM$1005:$BM$1005,1,MATCH(COLUMNS($AM$1006:AM1006),$AM$1006:$BM$1006,0))&gt;=100000), " ",IF(INDEX($AM$2:$BM$1001,MATCH(ROWS($AF$2:AF736),$AF$2:$AF$1001,0),MATCH(COLUMNS($AM$1006:AM1006),$AM$1006:$BM$1006,0)), HYPERLINK("#",""), HYPERLINK(CONCATENATE("#metadata!", ADDRESS(INDEX($AH$2:$AH$1001,MATCH(ROWS($AF$2:AF736),$AF$2:$AF$1001,0),0), INDEX($AM$1004:$BM$1004,1,MATCH(COLUMNS($AM$1006:AM1006),$AM$1006:$BM$1006,0)))),"Fix")))</f>
        <v xml:space="preserve"> </v>
      </c>
      <c r="C736" s="4" t="str">
        <f ca="1">IF(OR(INDEX($AG$2:$AG$1001,MATCH(ROWS($AF$2:AF736),$AF$2:$AF$1001,0),1)&gt;=100000,INDEX($AM$1005:$BM$1005,1,MATCH(COLUMNS($AM$1006:AN1006),$AM$1006:$BM$1006,0))&gt;=100000), " ",IF(INDEX($AM$2:$BM$1001,MATCH(ROWS($AF$2:AF736),$AF$2:$AF$1001,0),MATCH(COLUMNS($AM$1006:AN1006),$AM$1006:$BM$1006,0)), HYPERLINK("#",""), HYPERLINK(CONCATENATE("#metadata!", ADDRESS(INDEX($AH$2:$AH$1001,MATCH(ROWS($AF$2:AF736),$AF$2:$AF$1001,0),0), INDEX($AM$1004:$BM$1004,1,MATCH(COLUMNS($AM$1006:AN1006),$AM$1006:$BM$1006,0)))),"Fix")))</f>
        <v xml:space="preserve"> </v>
      </c>
      <c r="D736" s="4" t="str">
        <f ca="1">IF(OR(INDEX($AG$2:$AG$1001,MATCH(ROWS($AF$2:AF736),$AF$2:$AF$1001,0),1)&gt;=100000,INDEX($AM$1005:$BM$1005,1,MATCH(COLUMNS($AM$1006:AO1006),$AM$1006:$BM$1006,0))&gt;=100000), " ",IF(INDEX($AM$2:$BM$1001,MATCH(ROWS($AF$2:AF736),$AF$2:$AF$1001,0),MATCH(COLUMNS($AM$1006:AO1006),$AM$1006:$BM$1006,0)), HYPERLINK("#",""), HYPERLINK(CONCATENATE("#metadata!", ADDRESS(INDEX($AH$2:$AH$1001,MATCH(ROWS($AF$2:AF736),$AF$2:$AF$1001,0),0), INDEX($AM$1004:$BM$1004,1,MATCH(COLUMNS($AM$1006:AO1006),$AM$1006:$BM$1006,0)))),"Fix")))</f>
        <v xml:space="preserve"> </v>
      </c>
      <c r="E736" s="4" t="str">
        <f ca="1">IF(OR(INDEX($AG$2:$AG$1001,MATCH(ROWS($AF$2:AF736),$AF$2:$AF$1001,0),1)&gt;=100000,INDEX($AM$1005:$BM$1005,1,MATCH(COLUMNS($AM$1006:AP1006),$AM$1006:$BM$1006,0))&gt;=100000), " ",IF(INDEX($AM$2:$BM$1001,MATCH(ROWS($AF$2:AF736),$AF$2:$AF$1001,0),MATCH(COLUMNS($AM$1006:AP1006),$AM$1006:$BM$1006,0)), HYPERLINK("#",""), HYPERLINK(CONCATENATE("#metadata!", ADDRESS(INDEX($AH$2:$AH$1001,MATCH(ROWS($AF$2:AF736),$AF$2:$AF$1001,0),0), INDEX($AM$1004:$BM$1004,1,MATCH(COLUMNS($AM$1006:AP1006),$AM$1006:$BM$1006,0)))),"Fix")))</f>
        <v xml:space="preserve"> </v>
      </c>
      <c r="F736" s="4" t="str">
        <f ca="1">IF(OR(INDEX($AG$2:$AG$1001,MATCH(ROWS($AF$2:AF736),$AF$2:$AF$1001,0),1)&gt;=100000,INDEX($AM$1005:$BM$1005,1,MATCH(COLUMNS($AM$1006:AQ1006),$AM$1006:$BM$1006,0))&gt;=100000), " ",IF(INDEX($AM$2:$BM$1001,MATCH(ROWS($AF$2:AF736),$AF$2:$AF$1001,0),MATCH(COLUMNS($AM$1006:AQ1006),$AM$1006:$BM$1006,0)), HYPERLINK("#",""), HYPERLINK(CONCATENATE("#metadata!", ADDRESS(INDEX($AH$2:$AH$1001,MATCH(ROWS($AF$2:AF736),$AF$2:$AF$1001,0),0), INDEX($AM$1004:$BM$1004,1,MATCH(COLUMNS($AM$1006:AQ1006),$AM$1006:$BM$1006,0)))),"Fix")))</f>
        <v xml:space="preserve"> </v>
      </c>
      <c r="G736" s="4" t="str">
        <f ca="1">IF(OR(INDEX($AG$2:$AG$1001,MATCH(ROWS($AF$2:AF736),$AF$2:$AF$1001,0),1)&gt;=100000,INDEX($AM$1005:$BM$1005,1,MATCH(COLUMNS($AM$1006:AR1006),$AM$1006:$BM$1006,0))&gt;=100000), " ",IF(INDEX($AM$2:$BM$1001,MATCH(ROWS($AF$2:AF736),$AF$2:$AF$1001,0),MATCH(COLUMNS($AM$1006:AR1006),$AM$1006:$BM$1006,0)), HYPERLINK("#",""), HYPERLINK(CONCATENATE("#metadata!", ADDRESS(INDEX($AH$2:$AH$1001,MATCH(ROWS($AF$2:AF736),$AF$2:$AF$1001,0),0), INDEX($AM$1004:$BM$1004,1,MATCH(COLUMNS($AM$1006:AR1006),$AM$1006:$BM$1006,0)))),"Fix")))</f>
        <v xml:space="preserve"> </v>
      </c>
      <c r="H736" s="4" t="str">
        <f ca="1">IF(OR(INDEX($AG$2:$AG$1001,MATCH(ROWS($AF$2:AF736),$AF$2:$AF$1001,0),1)&gt;=100000,INDEX($AM$1005:$BM$1005,1,MATCH(COLUMNS($AM$1006:AS1006),$AM$1006:$BM$1006,0))&gt;=100000), " ",IF(INDEX($AM$2:$BM$1001,MATCH(ROWS($AF$2:AF736),$AF$2:$AF$1001,0),MATCH(COLUMNS($AM$1006:AS1006),$AM$1006:$BM$1006,0)), HYPERLINK("#",""), HYPERLINK(CONCATENATE("#metadata!", ADDRESS(INDEX($AH$2:$AH$1001,MATCH(ROWS($AF$2:AF736),$AF$2:$AF$1001,0),0), INDEX($AM$1004:$BM$1004,1,MATCH(COLUMNS($AM$1006:AS1006),$AM$1006:$BM$1006,0)))),"Fix")))</f>
        <v xml:space="preserve"> </v>
      </c>
      <c r="I736" s="4" t="str">
        <f ca="1">IF(OR(INDEX($AG$2:$AG$1001,MATCH(ROWS($AF$2:AF736),$AF$2:$AF$1001,0),1)&gt;=100000,INDEX($AM$1005:$BM$1005,1,MATCH(COLUMNS($AM$1006:AT1006),$AM$1006:$BM$1006,0))&gt;=100000), " ",IF(INDEX($AM$2:$BM$1001,MATCH(ROWS($AF$2:AF736),$AF$2:$AF$1001,0),MATCH(COLUMNS($AM$1006:AT1006),$AM$1006:$BM$1006,0)), HYPERLINK("#",""), HYPERLINK(CONCATENATE("#metadata!", ADDRESS(INDEX($AH$2:$AH$1001,MATCH(ROWS($AF$2:AF736),$AF$2:$AF$1001,0),0), INDEX($AM$1004:$BM$1004,1,MATCH(COLUMNS($AM$1006:AT1006),$AM$1006:$BM$1006,0)))),"Fix")))</f>
        <v xml:space="preserve"> </v>
      </c>
      <c r="J736" s="4" t="str">
        <f ca="1">IF(OR(INDEX($AG$2:$AG$1001,MATCH(ROWS($AF$2:AF736),$AF$2:$AF$1001,0),1)&gt;=100000,INDEX($AM$1005:$BM$1005,1,MATCH(COLUMNS($AM$1006:AU1006),$AM$1006:$BM$1006,0))&gt;=100000), " ",IF(INDEX($AM$2:$BM$1001,MATCH(ROWS($AF$2:AF736),$AF$2:$AF$1001,0),MATCH(COLUMNS($AM$1006:AU1006),$AM$1006:$BM$1006,0)), HYPERLINK("#",""), HYPERLINK(CONCATENATE("#metadata!", ADDRESS(INDEX($AH$2:$AH$1001,MATCH(ROWS($AF$2:AF736),$AF$2:$AF$1001,0),0), INDEX($AM$1004:$BM$1004,1,MATCH(COLUMNS($AM$1006:AU1006),$AM$1006:$BM$1006,0)))),"Fix")))</f>
        <v xml:space="preserve"> </v>
      </c>
      <c r="K736" s="4" t="str">
        <f ca="1">IF(OR(INDEX($AG$2:$AG$1001,MATCH(ROWS($AF$2:AF736),$AF$2:$AF$1001,0),1)&gt;=100000,INDEX($AM$1005:$BM$1005,1,MATCH(COLUMNS($AM$1006:AV1006),$AM$1006:$BM$1006,0))&gt;=100000), " ",IF(INDEX($AM$2:$BM$1001,MATCH(ROWS($AF$2:AF736),$AF$2:$AF$1001,0),MATCH(COLUMNS($AM$1006:AV1006),$AM$1006:$BM$1006,0)), HYPERLINK("#",""), HYPERLINK(CONCATENATE("#metadata!", ADDRESS(INDEX($AH$2:$AH$1001,MATCH(ROWS($AF$2:AF736),$AF$2:$AF$1001,0),0), INDEX($AM$1004:$BM$1004,1,MATCH(COLUMNS($AM$1006:AV1006),$AM$1006:$BM$1006,0)))),"Fix")))</f>
        <v xml:space="preserve"> </v>
      </c>
      <c r="L736" s="4" t="str">
        <f ca="1">IF(OR(INDEX($AG$2:$AG$1001,MATCH(ROWS($AF$2:AF736),$AF$2:$AF$1001,0),1)&gt;=100000,INDEX($AM$1005:$BM$1005,1,MATCH(COLUMNS($AM$1006:AW1006),$AM$1006:$BM$1006,0))&gt;=100000), " ",IF(INDEX($AM$2:$BM$1001,MATCH(ROWS($AF$2:AF736),$AF$2:$AF$1001,0),MATCH(COLUMNS($AM$1006:AW1006),$AM$1006:$BM$1006,0)), HYPERLINK("#",""), HYPERLINK(CONCATENATE("#metadata!", ADDRESS(INDEX($AH$2:$AH$1001,MATCH(ROWS($AF$2:AF736),$AF$2:$AF$1001,0),0), INDEX($AM$1004:$BM$1004,1,MATCH(COLUMNS($AM$1006:AW1006),$AM$1006:$BM$1006,0)))),"Fix")))</f>
        <v xml:space="preserve"> </v>
      </c>
      <c r="M736" s="4" t="str">
        <f ca="1">IF(OR(INDEX($AG$2:$AG$1001,MATCH(ROWS($AF$2:AF736),$AF$2:$AF$1001,0),1)&gt;=100000,INDEX($AM$1005:$BM$1005,1,MATCH(COLUMNS($AM$1006:AX1006),$AM$1006:$BM$1006,0))&gt;=100000), " ",IF(INDEX($AM$2:$BM$1001,MATCH(ROWS($AF$2:AF736),$AF$2:$AF$1001,0),MATCH(COLUMNS($AM$1006:AX1006),$AM$1006:$BM$1006,0)), HYPERLINK("#",""), HYPERLINK(CONCATENATE("#metadata!", ADDRESS(INDEX($AH$2:$AH$1001,MATCH(ROWS($AF$2:AF736),$AF$2:$AF$1001,0),0), INDEX($AM$1004:$BM$1004,1,MATCH(COLUMNS($AM$1006:AX1006),$AM$1006:$BM$1006,0)))),"Fix")))</f>
        <v xml:space="preserve"> </v>
      </c>
      <c r="N736" s="4" t="str">
        <f ca="1">IF(OR(INDEX($AG$2:$AG$1001,MATCH(ROWS($AF$2:AF736),$AF$2:$AF$1001,0),1)&gt;=100000,INDEX($AM$1005:$BM$1005,1,MATCH(COLUMNS($AM$1006:AY1006),$AM$1006:$BM$1006,0))&gt;=100000), " ",IF(INDEX($AM$2:$BM$1001,MATCH(ROWS($AF$2:AF736),$AF$2:$AF$1001,0),MATCH(COLUMNS($AM$1006:AY1006),$AM$1006:$BM$1006,0)), HYPERLINK("#",""), HYPERLINK(CONCATENATE("#metadata!", ADDRESS(INDEX($AH$2:$AH$1001,MATCH(ROWS($AF$2:AF736),$AF$2:$AF$1001,0),0), INDEX($AM$1004:$BM$1004,1,MATCH(COLUMNS($AM$1006:AY1006),$AM$1006:$BM$1006,0)))),"Fix")))</f>
        <v xml:space="preserve"> </v>
      </c>
      <c r="O736" s="4" t="str">
        <f ca="1">IF(OR(INDEX($AG$2:$AG$1001,MATCH(ROWS($AF$2:AF736),$AF$2:$AF$1001,0),1)&gt;=100000,INDEX($AM$1005:$BM$1005,1,MATCH(COLUMNS($AM$1006:AZ1006),$AM$1006:$BM$1006,0))&gt;=100000), " ",IF(INDEX($AM$2:$BM$1001,MATCH(ROWS($AF$2:AF736),$AF$2:$AF$1001,0),MATCH(COLUMNS($AM$1006:AZ1006),$AM$1006:$BM$1006,0)), HYPERLINK("#",""), HYPERLINK(CONCATENATE("#metadata!", ADDRESS(INDEX($AH$2:$AH$1001,MATCH(ROWS($AF$2:AF736),$AF$2:$AF$1001,0),0), INDEX($AM$1004:$BM$1004,1,MATCH(COLUMNS($AM$1006:AZ1006),$AM$1006:$BM$1006,0)))),"Fix")))</f>
        <v xml:space="preserve"> </v>
      </c>
      <c r="P736" s="4" t="str">
        <f ca="1">IF(OR(INDEX($AG$2:$AG$1001,MATCH(ROWS($AF$2:AF736),$AF$2:$AF$1001,0),1)&gt;=100000,INDEX($AM$1005:$BM$1005,1,MATCH(COLUMNS($AM$1006:BA1006),$AM$1006:$BM$1006,0))&gt;=100000), " ",IF(INDEX($AM$2:$BM$1001,MATCH(ROWS($AF$2:AF736),$AF$2:$AF$1001,0),MATCH(COLUMNS($AM$1006:BA1006),$AM$1006:$BM$1006,0)), HYPERLINK("#",""), HYPERLINK(CONCATENATE("#metadata!", ADDRESS(INDEX($AH$2:$AH$1001,MATCH(ROWS($AF$2:AF736),$AF$2:$AF$1001,0),0), INDEX($AM$1004:$BM$1004,1,MATCH(COLUMNS($AM$1006:BA1006),$AM$1006:$BM$1006,0)))),"Fix")))</f>
        <v xml:space="preserve"> </v>
      </c>
      <c r="Q736" s="4" t="str">
        <f ca="1">IF(OR(INDEX($AG$2:$AG$1001,MATCH(ROWS($AF$2:AF736),$AF$2:$AF$1001,0),1)&gt;=100000,INDEX($AM$1005:$BM$1005,1,MATCH(COLUMNS($AM$1006:BB1006),$AM$1006:$BM$1006,0))&gt;=100000), " ",IF(INDEX($AM$2:$BM$1001,MATCH(ROWS($AF$2:AF736),$AF$2:$AF$1001,0),MATCH(COLUMNS($AM$1006:BB1006),$AM$1006:$BM$1006,0)), HYPERLINK("#",""), HYPERLINK(CONCATENATE("#metadata!", ADDRESS(INDEX($AH$2:$AH$1001,MATCH(ROWS($AF$2:AF736),$AF$2:$AF$1001,0),0), INDEX($AM$1004:$BM$1004,1,MATCH(COLUMNS($AM$1006:BB1006),$AM$1006:$BM$1006,0)))),"Fix")))</f>
        <v xml:space="preserve"> </v>
      </c>
      <c r="R736" s="4" t="str">
        <f ca="1">IF(OR(INDEX($AG$2:$AG$1001,MATCH(ROWS($AF$2:AF736),$AF$2:$AF$1001,0),1)&gt;=100000,INDEX($AM$1005:$BM$1005,1,MATCH(COLUMNS($AM$1006:BC1006),$AM$1006:$BM$1006,0))&gt;=100000), " ",IF(INDEX($AM$2:$BM$1001,MATCH(ROWS($AF$2:AF736),$AF$2:$AF$1001,0),MATCH(COLUMNS($AM$1006:BC1006),$AM$1006:$BM$1006,0)), HYPERLINK("#",""), HYPERLINK(CONCATENATE("#metadata!", ADDRESS(INDEX($AH$2:$AH$1001,MATCH(ROWS($AF$2:AF736),$AF$2:$AF$1001,0),0), INDEX($AM$1004:$BM$1004,1,MATCH(COLUMNS($AM$1006:BC1006),$AM$1006:$BM$1006,0)))),"Fix")))</f>
        <v xml:space="preserve"> </v>
      </c>
      <c r="S736" s="4" t="str">
        <f ca="1">IF(OR(INDEX($AG$2:$AG$1001,MATCH(ROWS($AF$2:AF736),$AF$2:$AF$1001,0),1)&gt;=100000,INDEX($AM$1005:$BM$1005,1,MATCH(COLUMNS($AM$1006:BD1006),$AM$1006:$BM$1006,0))&gt;=100000), " ",IF(INDEX($AM$2:$BM$1001,MATCH(ROWS($AF$2:AF736),$AF$2:$AF$1001,0),MATCH(COLUMNS($AM$1006:BD1006),$AM$1006:$BM$1006,0)), HYPERLINK("#",""), HYPERLINK(CONCATENATE("#metadata!", ADDRESS(INDEX($AH$2:$AH$1001,MATCH(ROWS($AF$2:AF736),$AF$2:$AF$1001,0),0), INDEX($AM$1004:$BM$1004,1,MATCH(COLUMNS($AM$1006:BD1006),$AM$1006:$BM$1006,0)))),"Fix")))</f>
        <v xml:space="preserve"> </v>
      </c>
      <c r="T736" s="4" t="str">
        <f ca="1">IF(OR(INDEX($AG$2:$AG$1001,MATCH(ROWS($AF$2:AF736),$AF$2:$AF$1001,0),1)&gt;=100000,INDEX($AM$1005:$BM$1005,1,MATCH(COLUMNS($AM$1006:BE1006),$AM$1006:$BM$1006,0))&gt;=100000), " ",IF(INDEX($AM$2:$BM$1001,MATCH(ROWS($AF$2:AF736),$AF$2:$AF$1001,0),MATCH(COLUMNS($AM$1006:BE1006),$AM$1006:$BM$1006,0)), HYPERLINK("#",""), HYPERLINK(CONCATENATE("#metadata!", ADDRESS(INDEX($AH$2:$AH$1001,MATCH(ROWS($AF$2:AF736),$AF$2:$AF$1001,0),0), INDEX($AM$1004:$BM$1004,1,MATCH(COLUMNS($AM$1006:BE1006),$AM$1006:$BM$1006,0)))),"Fix")))</f>
        <v xml:space="preserve"> </v>
      </c>
      <c r="U736" s="4" t="str">
        <f ca="1">IF(OR(INDEX($AG$2:$AG$1001,MATCH(ROWS($AF$2:AF736),$AF$2:$AF$1001,0),1)&gt;=100000,INDEX($AM$1005:$BM$1005,1,MATCH(COLUMNS($AM$1006:BF1006),$AM$1006:$BM$1006,0))&gt;=100000), " ",IF(INDEX($AM$2:$BM$1001,MATCH(ROWS($AF$2:AF736),$AF$2:$AF$1001,0),MATCH(COLUMNS($AM$1006:BF1006),$AM$1006:$BM$1006,0)), HYPERLINK("#",""), HYPERLINK(CONCATENATE("#metadata!", ADDRESS(INDEX($AH$2:$AH$1001,MATCH(ROWS($AF$2:AF736),$AF$2:$AF$1001,0),0), INDEX($AM$1004:$BM$1004,1,MATCH(COLUMNS($AM$1006:BF1006),$AM$1006:$BM$1006,0)))),"Fix")))</f>
        <v xml:space="preserve"> </v>
      </c>
      <c r="V736" s="4" t="str">
        <f ca="1">IF(OR(INDEX($AG$2:$AG$1001,MATCH(ROWS($AF$2:AF736),$AF$2:$AF$1001,0),1)&gt;=100000,INDEX($AM$1005:$BM$1005,1,MATCH(COLUMNS($AM$1006:BG1006),$AM$1006:$BM$1006,0))&gt;=100000), " ",IF(INDEX($AM$2:$BM$1001,MATCH(ROWS($AF$2:AF736),$AF$2:$AF$1001,0),MATCH(COLUMNS($AM$1006:BG1006),$AM$1006:$BM$1006,0)), HYPERLINK("#",""), HYPERLINK(CONCATENATE("#metadata!", ADDRESS(INDEX($AH$2:$AH$1001,MATCH(ROWS($AF$2:AF736),$AF$2:$AF$1001,0),0), INDEX($AM$1004:$BM$1004,1,MATCH(COLUMNS($AM$1006:BG1006),$AM$1006:$BM$1006,0)))),"Fix")))</f>
        <v xml:space="preserve"> </v>
      </c>
      <c r="W736" s="4" t="str">
        <f ca="1">IF(OR(INDEX($AG$2:$AG$1001,MATCH(ROWS($AF$2:AF736),$AF$2:$AF$1001,0),1)&gt;=100000,INDEX($AM$1005:$BM$1005,1,MATCH(COLUMNS($AM$1006:BH1006),$AM$1006:$BM$1006,0))&gt;=100000), " ",IF(INDEX($AM$2:$BM$1001,MATCH(ROWS($AF$2:AF736),$AF$2:$AF$1001,0),MATCH(COLUMNS($AM$1006:BH1006),$AM$1006:$BM$1006,0)), HYPERLINK("#",""), HYPERLINK(CONCATENATE("#metadata!", ADDRESS(INDEX($AH$2:$AH$1001,MATCH(ROWS($AF$2:AF736),$AF$2:$AF$1001,0),0), INDEX($AM$1004:$BM$1004,1,MATCH(COLUMNS($AM$1006:BH1006),$AM$1006:$BM$1006,0)))),"Fix")))</f>
        <v xml:space="preserve"> </v>
      </c>
      <c r="X736" s="4" t="str">
        <f ca="1">IF(OR(INDEX($AG$2:$AG$1001,MATCH(ROWS($AF$2:AF736),$AF$2:$AF$1001,0),1)&gt;=100000,INDEX($AM$1005:$BM$1005,1,MATCH(COLUMNS($AM$1006:BI1006),$AM$1006:$BM$1006,0))&gt;=100000), " ",IF(INDEX($AM$2:$BM$1001,MATCH(ROWS($AF$2:AF736),$AF$2:$AF$1001,0),MATCH(COLUMNS($AM$1006:BI1006),$AM$1006:$BM$1006,0)), HYPERLINK("#",""), HYPERLINK(CONCATENATE("#metadata!", ADDRESS(INDEX($AH$2:$AH$1001,MATCH(ROWS($AF$2:AF736),$AF$2:$AF$1001,0),0), INDEX($AM$1004:$BM$1004,1,MATCH(COLUMNS($AM$1006:BI1006),$AM$1006:$BM$1006,0)))),"Fix")))</f>
        <v xml:space="preserve"> </v>
      </c>
      <c r="Y736" s="4" t="str">
        <f ca="1">IF(OR(INDEX($AG$2:$AG$1001,MATCH(ROWS($AF$2:AF736),$AF$2:$AF$1001,0),1)&gt;=100000,INDEX($AM$1005:$BM$1005,1,MATCH(COLUMNS($AM$1006:BJ1006),$AM$1006:$BM$1006,0))&gt;=100000), " ",IF(INDEX($AM$2:$BM$1001,MATCH(ROWS($AF$2:AF736),$AF$2:$AF$1001,0),MATCH(COLUMNS($AM$1006:BJ1006),$AM$1006:$BM$1006,0)), HYPERLINK("#",""), HYPERLINK(CONCATENATE("#metadata!", ADDRESS(INDEX($AH$2:$AH$1001,MATCH(ROWS($AF$2:AF736),$AF$2:$AF$1001,0),0), INDEX($AM$1004:$BM$1004,1,MATCH(COLUMNS($AM$1006:BJ1006),$AM$1006:$BM$1006,0)))),"Fix")))</f>
        <v xml:space="preserve"> </v>
      </c>
      <c r="Z736" s="4" t="str">
        <f ca="1">IF(OR(INDEX($AG$2:$AG$1001,MATCH(ROWS($AF$2:AF736),$AF$2:$AF$1001,0),1)&gt;=100000,INDEX($AM$1005:$BM$1005,1,MATCH(COLUMNS($AM$1006:BK1006),$AM$1006:$BM$1006,0))&gt;=100000), " ",IF(INDEX($AM$2:$BM$1001,MATCH(ROWS($AF$2:AF736),$AF$2:$AF$1001,0),MATCH(COLUMNS($AM$1006:BK1006),$AM$1006:$BM$1006,0)), HYPERLINK("#",""), HYPERLINK(CONCATENATE("#metadata!", ADDRESS(INDEX($AH$2:$AH$1001,MATCH(ROWS($AF$2:AF736),$AF$2:$AF$1001,0),0), INDEX($AM$1004:$BM$1004,1,MATCH(COLUMNS($AM$1006:BK1006),$AM$1006:$BM$1006,0)))),"Fix")))</f>
        <v xml:space="preserve"> </v>
      </c>
      <c r="AA736" s="4" t="str">
        <f ca="1">IF(OR(INDEX($AG$2:$AG$1001,MATCH(ROWS($AF$2:AF736),$AF$2:$AF$1001,0),1)&gt;=100000,INDEX($AM$1005:$BM$1005,1,MATCH(COLUMNS($AM$1006:BL1006),$AM$1006:$BM$1006,0))&gt;=100000), " ",IF(INDEX($AM$2:$BM$1001,MATCH(ROWS($AF$2:AF736),$AF$2:$AF$1001,0),MATCH(COLUMNS($AM$1006:BL1006),$AM$1006:$BM$1006,0)), HYPERLINK("#",""), HYPERLINK(CONCATENATE("#metadata!", ADDRESS(INDEX($AH$2:$AH$1001,MATCH(ROWS($AF$2:AF736),$AF$2:$AF$1001,0),0), INDEX($AM$1004:$BM$1004,1,MATCH(COLUMNS($AM$1006:BL1006),$AM$1006:$BM$1006,0)))),"Fix")))</f>
        <v xml:space="preserve"> </v>
      </c>
      <c r="AB736" s="4" t="str">
        <f ca="1">IF(OR(INDEX($AG$2:$AG$1001,MATCH(ROWS($AF$2:AF736),$AF$2:$AF$1001,0),1)&gt;=100000,INDEX($AM$1005:$BM$1005,1,MATCH(COLUMNS($AM$1006:BM1006),$AM$1006:$BM$1006,0))&gt;=100000), " ",IF(INDEX($AM$2:$BM$1001,MATCH(ROWS($AF$2:AF736),$AF$2:$AF$1001,0),MATCH(COLUMNS($AM$1006:BM1006),$AM$1006:$BM$1006,0)), HYPERLINK("#",""), HYPERLINK(CONCATENATE("#metadata!", ADDRESS(INDEX($AH$2:$AH$1001,MATCH(ROWS($AF$2:AF736),$AF$2:$AF$1001,0),0), INDEX($AM$1004:$BM$1004,1,MATCH(COLUMNS($AM$1006:BM1006),$AM$1006:$BM$1006,0)))),"Fix")))</f>
        <v xml:space="preserve"> </v>
      </c>
      <c r="AF736">
        <v>735</v>
      </c>
      <c r="AG736">
        <v>100736</v>
      </c>
      <c r="AH736">
        <v>736</v>
      </c>
      <c r="AI736" t="b">
        <f t="shared" si="11"/>
        <v>1</v>
      </c>
      <c r="AJ736" t="b">
        <f>COUNTBLANK(metadata!B736:AB736)=COLUMNS(metadata!B736:AB736)</f>
        <v>1</v>
      </c>
      <c r="AK736" t="str">
        <v/>
      </c>
      <c r="AM736" t="b">
        <f ca="1">AND(IF(metadata!B736="",FALSE,TRUE),COUNTIF(metadata!B:B, metadata!B736) = 1,NOT(ISERROR(SUMPRODUCT(SEARCH(MID(metadata!B736,ROW(INDIRECT("1:"&amp;LEN(metadata!B736))), 1),"0123456789abcdefghijklmnopqrstuvwxyzABCDEFGHIJKLMNOPQRSTUVWXYZ.")))))</f>
        <v>0</v>
      </c>
      <c r="AN736" t="b">
        <f ca="1">OR(AND(IF(metadata!C736="",FALSE,TRUE),OR(EXACT(metadata!C736,"missing: not collected"),EXACT(metadata!C736,"missing: not provided"),EXACT(metadata!C736,"missing: restricted access"))),AND(IF(metadata!C736="",FALSE,TRUE),AND(AND(IFERROR(INT(LEFT(metadata!C736,4))&gt;1900,FALSE),IFERROR(INT(LEFT(metadata!C736,4))&lt;=YEAR(NOW()),FALSE)), OR(MID(metadata!C736,5,1)="", AND(AND(MID(metadata!C736,5,1)="-",IFERROR(INT(MID(metadata!C736,6,1))&gt;=0,FALSE),IFERROR(INT(MID(metadata!C736,6,1))&lt;=1,FALSE),NOT(MID(metadata!C736,7,1)=""),IFERROR(INT(MID(metadata!C736,6,2))&gt;=1,FALSE),IFERROR(INT(MID(metadata!C736,6,2))&lt;=12,FALSE)), OR(MID(metadata!C736,8,1)="", AND(AND(MID(metadata!C736,8,1)="-",IFERROR(INT(MID(metadata!C736,9,1))&gt;=0,FALSE),IFERROR(INT(MID(metadata!C736,9,1))&lt;=3,FALSE),NOT(MID(metadata!C736,10,1)=""),IFERROR(INT(MID(metadata!C736,9,2))&gt;=1,FALSE),IFERROR(INT(MID(metadata!C736,9,2))&lt;=31,FALSE)), OR(MID(metadata!C736,11,1)="", AND(AND(MID(metadata!C736,11,1)=" ",IFERROR(INT(MID(metadata!C736,12,1))&gt;=0,FALSE),IFERROR(INT(MID(metadata!C736,12,1))&lt;=2,FALSE),NOT(MID(metadata!C736,13,1)=""),IFERROR(INT(MID(metadata!C736,12,2))&gt;=0,FALSE),IFERROR(INT(MID(metadata!C736,12,2))&lt;=23,FALSE)), OR(MID(metadata!C736,14,1)="", AND(AND(MID(metadata!C736,14,1)=":",IFERROR(INT(MID(metadata!C736,15,1))&gt;=0,FALSE),IFERROR(INT(MID(metadata!C736,15,1))&lt;=5,FALSE),NOT(MID(metadata!C736,16,1)=""),IFERROR(INT(MID(metadata!C736,15,2))&gt;=0,FALSE),IFERROR(INT(MID(metadata!C736,15,2))&lt;=59,FALSE)), OR(MID(metadata!C736,17,1)="", AND(AND(MID(metadata!C736,17,1)=":",IFERROR(INT(MID(metadata!C736,18,1))&gt;=0,FALSE),IFERROR(INT(MID(metadata!C736,18,1))&lt;=5,FALSE),NOT(MID(metadata!C736,19,1)=""),IFERROR(INT(MID(metadata!C736,18,2))&gt;=0,FALSE),IFERROR(INT(MID(metadata!C736,18,2))&lt;=59,FALSE)), LEN(metadata!C736)&lt;=19)))))))))))))</f>
        <v>0</v>
      </c>
      <c r="AO736" t="b">
        <f>AND(IF(metadata!D736="",FALSE,TRUE),EXACT(metadata!D736,"Not applicable"))</f>
        <v>0</v>
      </c>
      <c r="AP736" t="b">
        <f>IF(metadata!E736="",FALSE,TRUE)</f>
        <v>0</v>
      </c>
      <c r="AQ736" t="b">
        <f>OR(AND(IF(metadata!F736="",FALSE,TRUE),OR(EXACT(metadata!F736,"missing: not collected"),EXACT(metadata!F736,"missing: not provided"))),AND(IF(metadata!F736="",FALSE,TRUE),OR(EXACT(metadata!F736,"TRUE"),EXACT(metadata!F736,"FALSE"))))</f>
        <v>0</v>
      </c>
      <c r="AR736" t="b">
        <f>OR(AND(IF(metadata!G736="",FALSE,TRUE),OR(EXACT(metadata!G736,"missing: not collected"),EXACT(metadata!G736,"missing: not provided"),EXACT(metadata!G736,"missing: restricted access"))),AND(IF(metadata!G736="",FALSE,ISNUMBER(VALUE(metadata!G736))),metadata!G736&gt;=-413))</f>
        <v>0</v>
      </c>
      <c r="AS736" t="b">
        <f>AND(IF(metadata!H736="",FALSE,TRUE),EXACT(metadata!H736,"meters"))</f>
        <v>0</v>
      </c>
      <c r="AT736" t="b">
        <f>AND(IF(metadata!I736="",FALSE,TRUE),OR(EXACT(metadata!I736,"Host-associated"),EXACT(metadata!I736,"Free-living")))</f>
        <v>0</v>
      </c>
      <c r="AU736" t="b">
        <f>AND(IF(metadata!J736="",FALSE,TRUE),OR(EXACT(metadata!J736,"Animal"),EXACT(metadata!J736,"Fungus"),EXACT(metadata!J736,"Plant"),EXACT(metadata!J736,"Saline"),EXACT(metadata!J736,"Non-saline")))</f>
        <v>0</v>
      </c>
      <c r="AV736" t="b">
        <f>AND(IF(metadata!K736="",FALSE,TRUE),OR(EXACT(metadata!K736,"Plant secretion"),EXACT(metadata!K736,"Plant rhizosphere"),EXACT(metadata!K736,"Plant surface"),EXACT(metadata!K736,"Plant corpus"),EXACT(metadata!K736,"Fungus surface"),EXACT(metadata!K736,"Fungus corpus"),EXACT(metadata!K736,"Animal surface"),EXACT(metadata!K736,"Animal proximal gut"),EXACT(metadata!K736,"Animal corpus"),EXACT(metadata!K736,"Animal distal gut"),EXACT(metadata!K736,"Animal secretion"),EXACT(metadata!K736,"Sub-surface (non-saline)"),EXACT(metadata!K736,"Surface (non-saline)"),EXACT(metadata!K736,"Water (non-saline)"),EXACT(metadata!K736,"Soil (non-saline)"),EXACT(metadata!K736,"Aerosol (non-saline)"),EXACT(metadata!K736,"Sediment (non-saline)"),EXACT(metadata!K736,"Surface (saline)"),EXACT(metadata!K736,"Water (saline)"),EXACT(metadata!K736,"Hypersaline (saline)"),EXACT(metadata!K736,"Aerosol (saline)"),EXACT(metadata!K736,"Sediment (saline)")))</f>
        <v>0</v>
      </c>
      <c r="AW736" t="b">
        <f>IF(metadata!L736="",FALSE,TRUE)</f>
        <v>0</v>
      </c>
      <c r="AX736" t="b">
        <f>IF(metadata!M736="",FALSE,TRUE)</f>
        <v>0</v>
      </c>
      <c r="AY736" t="b">
        <f>IF(metadata!N736="",FALSE,TRUE)</f>
        <v>0</v>
      </c>
      <c r="AZ736" t="b">
        <f>OR(AND(IF(metadata!O736="",FALSE,TRUE),OR(EXACT(metadata!O736,"missing: not collected"),EXACT(metadata!O736,"missing: not provided"),EXACT(metadata!O736,"missing: restricted access"))),AND(IF(metadata!O736="",FALSE,TRUE),OR(EXACT(metadata!O736,"air"),EXACT(metadata!O736,"built environment"),EXACT(metadata!O736,"host-associated"),EXACT(metadata!O736,"human-associated"),EXACT(metadata!O736,"human-skin"),EXACT(metadata!O736,"human-oral"),EXACT(metadata!O736,"human-gut"),EXACT(metadata!O736,"human-vaginal"),EXACT(metadata!O736,"microbial mat/biofilm"),EXACT(metadata!O736,"misc environment"),EXACT(metadata!O736,"plant-associated"),EXACT(metadata!O736,"sediment"),EXACT(metadata!O736,"soil"),EXACT(metadata!O736,"wastewater/sludge"),EXACT(metadata!O736,"water"))))</f>
        <v>0</v>
      </c>
      <c r="BA736" t="b">
        <f>IF(metadata!P736="",FALSE,TRUE)</f>
        <v>0</v>
      </c>
      <c r="BB736" t="b">
        <f>IF(metadata!Q736="",FALSE,TRUE)</f>
        <v>0</v>
      </c>
      <c r="BC736" t="b">
        <f>OR(AND(IF(metadata!R736="",FALSE,TRUE),OR(EXACT(metadata!R736,"missing: not collected"),EXACT(metadata!R736,"missing: not provided"),EXACT(metadata!R736,"missing: restricted access"))),AND(IF(metadata!R736="",FALSE,ISNUMBER(VALUE(metadata!R736))),metadata!R736&gt;=-90,metadata!R736&lt;=90))</f>
        <v>0</v>
      </c>
      <c r="BD736" t="b">
        <f>AND(IF(metadata!S736="",FALSE,TRUE),EXACT(metadata!S736,"Decimal degrees"))</f>
        <v>0</v>
      </c>
      <c r="BE736" t="b">
        <f>OR(AND(IF(metadata!T736="",FALSE,TRUE),OR(EXACT(metadata!T736,"missing: not collected"),EXACT(metadata!T736,"missing: not provided"),EXACT(metadata!T736,"missing: restricted access"))),AND(IF(metadata!T736="",FALSE,ISNUMBER(VALUE(metadata!T736))),metadata!T736&gt;=-180,metadata!T736&lt;=180))</f>
        <v>0</v>
      </c>
      <c r="BF736" t="b">
        <f>AND(IF(metadata!U736="",FALSE,TRUE),EXACT(metadata!U736,"Decimal degrees"))</f>
        <v>0</v>
      </c>
      <c r="BG736" t="b">
        <f>IF(metadata!V736="",FALSE,TRUE)</f>
        <v>0</v>
      </c>
      <c r="BH736" t="b">
        <f>OR(AND(IF(metadata!W736="",FALSE,TRUE),OR(EXACT(metadata!W736,"missing: not collected"),EXACT(metadata!W736,"missing: not provided"),EXACT(metadata!W736,"missing: restricted access"))),AND(IF(metadata!W736="",FALSE,TRUE),OR(EXACT(metadata!W736,"TRUE"),EXACT(metadata!W736,"FALSE"))))</f>
        <v>0</v>
      </c>
      <c r="BI736" t="b">
        <f>AND(IF(metadata!X736="",FALSE,TRUE),EXACT(metadata!X736,"other"))</f>
        <v>0</v>
      </c>
      <c r="BJ736" t="b">
        <f>IF(metadata!Y736="",FALSE,TRUE)</f>
        <v>0</v>
      </c>
      <c r="BK736" t="b">
        <f>OR(AND(IF(metadata!Z736="",FALSE,TRUE),OR(EXACT(metadata!Z736,"missing: not collected"),EXACT(metadata!Z736,"missing: not provided"))),AND(IF(metadata!Z736="",FALSE,IF(ISERROR(INT(metadata!Z736)),FALSE,INT(metadata!Z736)=metadata!Z736)),metadata!Z736&gt;0))</f>
        <v>0</v>
      </c>
      <c r="BL736" t="b">
        <f>AND(IF(metadata!AA736="",FALSE,TRUE),EXACT(metadata!AA736,"Not applicable"))</f>
        <v>0</v>
      </c>
      <c r="BM736" t="b">
        <f>IF(metadata!AB736="",FALSE,TRUE)</f>
        <v>0</v>
      </c>
    </row>
    <row r="737" spans="1:65" x14ac:dyDescent="0.2">
      <c r="A737" s="5" t="str">
        <f ca="1">IF(B737=" "," ",HYPERLINK(CONCATENATE("#metadata!",ADDRESS(INDEX($AH$2:$AH$1001,MATCH(ROWS($AF$2:AF737),$AF$2:$AF$1001,0),0),1)),INDEX($AK$2:$AK$1001,MATCH(ROWS($AF$2:AF737),$AF$2:$AF$1001,0),0)))</f>
        <v xml:space="preserve"> </v>
      </c>
      <c r="B737" s="4" t="str">
        <f ca="1">IF(OR(INDEX($AG$2:$AG$1001,MATCH(ROWS($AF$2:AF737),$AF$2:$AF$1001,0),1)&gt;=100000,INDEX($AM$1005:$BM$1005,1,MATCH(COLUMNS($AM$1006:AM1006),$AM$1006:$BM$1006,0))&gt;=100000), " ",IF(INDEX($AM$2:$BM$1001,MATCH(ROWS($AF$2:AF737),$AF$2:$AF$1001,0),MATCH(COLUMNS($AM$1006:AM1006),$AM$1006:$BM$1006,0)), HYPERLINK("#",""), HYPERLINK(CONCATENATE("#metadata!", ADDRESS(INDEX($AH$2:$AH$1001,MATCH(ROWS($AF$2:AF737),$AF$2:$AF$1001,0),0), INDEX($AM$1004:$BM$1004,1,MATCH(COLUMNS($AM$1006:AM1006),$AM$1006:$BM$1006,0)))),"Fix")))</f>
        <v xml:space="preserve"> </v>
      </c>
      <c r="C737" s="4" t="str">
        <f ca="1">IF(OR(INDEX($AG$2:$AG$1001,MATCH(ROWS($AF$2:AF737),$AF$2:$AF$1001,0),1)&gt;=100000,INDEX($AM$1005:$BM$1005,1,MATCH(COLUMNS($AM$1006:AN1006),$AM$1006:$BM$1006,0))&gt;=100000), " ",IF(INDEX($AM$2:$BM$1001,MATCH(ROWS($AF$2:AF737),$AF$2:$AF$1001,0),MATCH(COLUMNS($AM$1006:AN1006),$AM$1006:$BM$1006,0)), HYPERLINK("#",""), HYPERLINK(CONCATENATE("#metadata!", ADDRESS(INDEX($AH$2:$AH$1001,MATCH(ROWS($AF$2:AF737),$AF$2:$AF$1001,0),0), INDEX($AM$1004:$BM$1004,1,MATCH(COLUMNS($AM$1006:AN1006),$AM$1006:$BM$1006,0)))),"Fix")))</f>
        <v xml:space="preserve"> </v>
      </c>
      <c r="D737" s="4" t="str">
        <f ca="1">IF(OR(INDEX($AG$2:$AG$1001,MATCH(ROWS($AF$2:AF737),$AF$2:$AF$1001,0),1)&gt;=100000,INDEX($AM$1005:$BM$1005,1,MATCH(COLUMNS($AM$1006:AO1006),$AM$1006:$BM$1006,0))&gt;=100000), " ",IF(INDEX($AM$2:$BM$1001,MATCH(ROWS($AF$2:AF737),$AF$2:$AF$1001,0),MATCH(COLUMNS($AM$1006:AO1006),$AM$1006:$BM$1006,0)), HYPERLINK("#",""), HYPERLINK(CONCATENATE("#metadata!", ADDRESS(INDEX($AH$2:$AH$1001,MATCH(ROWS($AF$2:AF737),$AF$2:$AF$1001,0),0), INDEX($AM$1004:$BM$1004,1,MATCH(COLUMNS($AM$1006:AO1006),$AM$1006:$BM$1006,0)))),"Fix")))</f>
        <v xml:space="preserve"> </v>
      </c>
      <c r="E737" s="4" t="str">
        <f ca="1">IF(OR(INDEX($AG$2:$AG$1001,MATCH(ROWS($AF$2:AF737),$AF$2:$AF$1001,0),1)&gt;=100000,INDEX($AM$1005:$BM$1005,1,MATCH(COLUMNS($AM$1006:AP1006),$AM$1006:$BM$1006,0))&gt;=100000), " ",IF(INDEX($AM$2:$BM$1001,MATCH(ROWS($AF$2:AF737),$AF$2:$AF$1001,0),MATCH(COLUMNS($AM$1006:AP1006),$AM$1006:$BM$1006,0)), HYPERLINK("#",""), HYPERLINK(CONCATENATE("#metadata!", ADDRESS(INDEX($AH$2:$AH$1001,MATCH(ROWS($AF$2:AF737),$AF$2:$AF$1001,0),0), INDEX($AM$1004:$BM$1004,1,MATCH(COLUMNS($AM$1006:AP1006),$AM$1006:$BM$1006,0)))),"Fix")))</f>
        <v xml:space="preserve"> </v>
      </c>
      <c r="F737" s="4" t="str">
        <f ca="1">IF(OR(INDEX($AG$2:$AG$1001,MATCH(ROWS($AF$2:AF737),$AF$2:$AF$1001,0),1)&gt;=100000,INDEX($AM$1005:$BM$1005,1,MATCH(COLUMNS($AM$1006:AQ1006),$AM$1006:$BM$1006,0))&gt;=100000), " ",IF(INDEX($AM$2:$BM$1001,MATCH(ROWS($AF$2:AF737),$AF$2:$AF$1001,0),MATCH(COLUMNS($AM$1006:AQ1006),$AM$1006:$BM$1006,0)), HYPERLINK("#",""), HYPERLINK(CONCATENATE("#metadata!", ADDRESS(INDEX($AH$2:$AH$1001,MATCH(ROWS($AF$2:AF737),$AF$2:$AF$1001,0),0), INDEX($AM$1004:$BM$1004,1,MATCH(COLUMNS($AM$1006:AQ1006),$AM$1006:$BM$1006,0)))),"Fix")))</f>
        <v xml:space="preserve"> </v>
      </c>
      <c r="G737" s="4" t="str">
        <f ca="1">IF(OR(INDEX($AG$2:$AG$1001,MATCH(ROWS($AF$2:AF737),$AF$2:$AF$1001,0),1)&gt;=100000,INDEX($AM$1005:$BM$1005,1,MATCH(COLUMNS($AM$1006:AR1006),$AM$1006:$BM$1006,0))&gt;=100000), " ",IF(INDEX($AM$2:$BM$1001,MATCH(ROWS($AF$2:AF737),$AF$2:$AF$1001,0),MATCH(COLUMNS($AM$1006:AR1006),$AM$1006:$BM$1006,0)), HYPERLINK("#",""), HYPERLINK(CONCATENATE("#metadata!", ADDRESS(INDEX($AH$2:$AH$1001,MATCH(ROWS($AF$2:AF737),$AF$2:$AF$1001,0),0), INDEX($AM$1004:$BM$1004,1,MATCH(COLUMNS($AM$1006:AR1006),$AM$1006:$BM$1006,0)))),"Fix")))</f>
        <v xml:space="preserve"> </v>
      </c>
      <c r="H737" s="4" t="str">
        <f ca="1">IF(OR(INDEX($AG$2:$AG$1001,MATCH(ROWS($AF$2:AF737),$AF$2:$AF$1001,0),1)&gt;=100000,INDEX($AM$1005:$BM$1005,1,MATCH(COLUMNS($AM$1006:AS1006),$AM$1006:$BM$1006,0))&gt;=100000), " ",IF(INDEX($AM$2:$BM$1001,MATCH(ROWS($AF$2:AF737),$AF$2:$AF$1001,0),MATCH(COLUMNS($AM$1006:AS1006),$AM$1006:$BM$1006,0)), HYPERLINK("#",""), HYPERLINK(CONCATENATE("#metadata!", ADDRESS(INDEX($AH$2:$AH$1001,MATCH(ROWS($AF$2:AF737),$AF$2:$AF$1001,0),0), INDEX($AM$1004:$BM$1004,1,MATCH(COLUMNS($AM$1006:AS1006),$AM$1006:$BM$1006,0)))),"Fix")))</f>
        <v xml:space="preserve"> </v>
      </c>
      <c r="I737" s="4" t="str">
        <f ca="1">IF(OR(INDEX($AG$2:$AG$1001,MATCH(ROWS($AF$2:AF737),$AF$2:$AF$1001,0),1)&gt;=100000,INDEX($AM$1005:$BM$1005,1,MATCH(COLUMNS($AM$1006:AT1006),$AM$1006:$BM$1006,0))&gt;=100000), " ",IF(INDEX($AM$2:$BM$1001,MATCH(ROWS($AF$2:AF737),$AF$2:$AF$1001,0),MATCH(COLUMNS($AM$1006:AT1006),$AM$1006:$BM$1006,0)), HYPERLINK("#",""), HYPERLINK(CONCATENATE("#metadata!", ADDRESS(INDEX($AH$2:$AH$1001,MATCH(ROWS($AF$2:AF737),$AF$2:$AF$1001,0),0), INDEX($AM$1004:$BM$1004,1,MATCH(COLUMNS($AM$1006:AT1006),$AM$1006:$BM$1006,0)))),"Fix")))</f>
        <v xml:space="preserve"> </v>
      </c>
      <c r="J737" s="4" t="str">
        <f ca="1">IF(OR(INDEX($AG$2:$AG$1001,MATCH(ROWS($AF$2:AF737),$AF$2:$AF$1001,0),1)&gt;=100000,INDEX($AM$1005:$BM$1005,1,MATCH(COLUMNS($AM$1006:AU1006),$AM$1006:$BM$1006,0))&gt;=100000), " ",IF(INDEX($AM$2:$BM$1001,MATCH(ROWS($AF$2:AF737),$AF$2:$AF$1001,0),MATCH(COLUMNS($AM$1006:AU1006),$AM$1006:$BM$1006,0)), HYPERLINK("#",""), HYPERLINK(CONCATENATE("#metadata!", ADDRESS(INDEX($AH$2:$AH$1001,MATCH(ROWS($AF$2:AF737),$AF$2:$AF$1001,0),0), INDEX($AM$1004:$BM$1004,1,MATCH(COLUMNS($AM$1006:AU1006),$AM$1006:$BM$1006,0)))),"Fix")))</f>
        <v xml:space="preserve"> </v>
      </c>
      <c r="K737" s="4" t="str">
        <f ca="1">IF(OR(INDEX($AG$2:$AG$1001,MATCH(ROWS($AF$2:AF737),$AF$2:$AF$1001,0),1)&gt;=100000,INDEX($AM$1005:$BM$1005,1,MATCH(COLUMNS($AM$1006:AV1006),$AM$1006:$BM$1006,0))&gt;=100000), " ",IF(INDEX($AM$2:$BM$1001,MATCH(ROWS($AF$2:AF737),$AF$2:$AF$1001,0),MATCH(COLUMNS($AM$1006:AV1006),$AM$1006:$BM$1006,0)), HYPERLINK("#",""), HYPERLINK(CONCATENATE("#metadata!", ADDRESS(INDEX($AH$2:$AH$1001,MATCH(ROWS($AF$2:AF737),$AF$2:$AF$1001,0),0), INDEX($AM$1004:$BM$1004,1,MATCH(COLUMNS($AM$1006:AV1006),$AM$1006:$BM$1006,0)))),"Fix")))</f>
        <v xml:space="preserve"> </v>
      </c>
      <c r="L737" s="4" t="str">
        <f ca="1">IF(OR(INDEX($AG$2:$AG$1001,MATCH(ROWS($AF$2:AF737),$AF$2:$AF$1001,0),1)&gt;=100000,INDEX($AM$1005:$BM$1005,1,MATCH(COLUMNS($AM$1006:AW1006),$AM$1006:$BM$1006,0))&gt;=100000), " ",IF(INDEX($AM$2:$BM$1001,MATCH(ROWS($AF$2:AF737),$AF$2:$AF$1001,0),MATCH(COLUMNS($AM$1006:AW1006),$AM$1006:$BM$1006,0)), HYPERLINK("#",""), HYPERLINK(CONCATENATE("#metadata!", ADDRESS(INDEX($AH$2:$AH$1001,MATCH(ROWS($AF$2:AF737),$AF$2:$AF$1001,0),0), INDEX($AM$1004:$BM$1004,1,MATCH(COLUMNS($AM$1006:AW1006),$AM$1006:$BM$1006,0)))),"Fix")))</f>
        <v xml:space="preserve"> </v>
      </c>
      <c r="M737" s="4" t="str">
        <f ca="1">IF(OR(INDEX($AG$2:$AG$1001,MATCH(ROWS($AF$2:AF737),$AF$2:$AF$1001,0),1)&gt;=100000,INDEX($AM$1005:$BM$1005,1,MATCH(COLUMNS($AM$1006:AX1006),$AM$1006:$BM$1006,0))&gt;=100000), " ",IF(INDEX($AM$2:$BM$1001,MATCH(ROWS($AF$2:AF737),$AF$2:$AF$1001,0),MATCH(COLUMNS($AM$1006:AX1006),$AM$1006:$BM$1006,0)), HYPERLINK("#",""), HYPERLINK(CONCATENATE("#metadata!", ADDRESS(INDEX($AH$2:$AH$1001,MATCH(ROWS($AF$2:AF737),$AF$2:$AF$1001,0),0), INDEX($AM$1004:$BM$1004,1,MATCH(COLUMNS($AM$1006:AX1006),$AM$1006:$BM$1006,0)))),"Fix")))</f>
        <v xml:space="preserve"> </v>
      </c>
      <c r="N737" s="4" t="str">
        <f ca="1">IF(OR(INDEX($AG$2:$AG$1001,MATCH(ROWS($AF$2:AF737),$AF$2:$AF$1001,0),1)&gt;=100000,INDEX($AM$1005:$BM$1005,1,MATCH(COLUMNS($AM$1006:AY1006),$AM$1006:$BM$1006,0))&gt;=100000), " ",IF(INDEX($AM$2:$BM$1001,MATCH(ROWS($AF$2:AF737),$AF$2:$AF$1001,0),MATCH(COLUMNS($AM$1006:AY1006),$AM$1006:$BM$1006,0)), HYPERLINK("#",""), HYPERLINK(CONCATENATE("#metadata!", ADDRESS(INDEX($AH$2:$AH$1001,MATCH(ROWS($AF$2:AF737),$AF$2:$AF$1001,0),0), INDEX($AM$1004:$BM$1004,1,MATCH(COLUMNS($AM$1006:AY1006),$AM$1006:$BM$1006,0)))),"Fix")))</f>
        <v xml:space="preserve"> </v>
      </c>
      <c r="O737" s="4" t="str">
        <f ca="1">IF(OR(INDEX($AG$2:$AG$1001,MATCH(ROWS($AF$2:AF737),$AF$2:$AF$1001,0),1)&gt;=100000,INDEX($AM$1005:$BM$1005,1,MATCH(COLUMNS($AM$1006:AZ1006),$AM$1006:$BM$1006,0))&gt;=100000), " ",IF(INDEX($AM$2:$BM$1001,MATCH(ROWS($AF$2:AF737),$AF$2:$AF$1001,0),MATCH(COLUMNS($AM$1006:AZ1006),$AM$1006:$BM$1006,0)), HYPERLINK("#",""), HYPERLINK(CONCATENATE("#metadata!", ADDRESS(INDEX($AH$2:$AH$1001,MATCH(ROWS($AF$2:AF737),$AF$2:$AF$1001,0),0), INDEX($AM$1004:$BM$1004,1,MATCH(COLUMNS($AM$1006:AZ1006),$AM$1006:$BM$1006,0)))),"Fix")))</f>
        <v xml:space="preserve"> </v>
      </c>
      <c r="P737" s="4" t="str">
        <f ca="1">IF(OR(INDEX($AG$2:$AG$1001,MATCH(ROWS($AF$2:AF737),$AF$2:$AF$1001,0),1)&gt;=100000,INDEX($AM$1005:$BM$1005,1,MATCH(COLUMNS($AM$1006:BA1006),$AM$1006:$BM$1006,0))&gt;=100000), " ",IF(INDEX($AM$2:$BM$1001,MATCH(ROWS($AF$2:AF737),$AF$2:$AF$1001,0),MATCH(COLUMNS($AM$1006:BA1006),$AM$1006:$BM$1006,0)), HYPERLINK("#",""), HYPERLINK(CONCATENATE("#metadata!", ADDRESS(INDEX($AH$2:$AH$1001,MATCH(ROWS($AF$2:AF737),$AF$2:$AF$1001,0),0), INDEX($AM$1004:$BM$1004,1,MATCH(COLUMNS($AM$1006:BA1006),$AM$1006:$BM$1006,0)))),"Fix")))</f>
        <v xml:space="preserve"> </v>
      </c>
      <c r="Q737" s="4" t="str">
        <f ca="1">IF(OR(INDEX($AG$2:$AG$1001,MATCH(ROWS($AF$2:AF737),$AF$2:$AF$1001,0),1)&gt;=100000,INDEX($AM$1005:$BM$1005,1,MATCH(COLUMNS($AM$1006:BB1006),$AM$1006:$BM$1006,0))&gt;=100000), " ",IF(INDEX($AM$2:$BM$1001,MATCH(ROWS($AF$2:AF737),$AF$2:$AF$1001,0),MATCH(COLUMNS($AM$1006:BB1006),$AM$1006:$BM$1006,0)), HYPERLINK("#",""), HYPERLINK(CONCATENATE("#metadata!", ADDRESS(INDEX($AH$2:$AH$1001,MATCH(ROWS($AF$2:AF737),$AF$2:$AF$1001,0),0), INDEX($AM$1004:$BM$1004,1,MATCH(COLUMNS($AM$1006:BB1006),$AM$1006:$BM$1006,0)))),"Fix")))</f>
        <v xml:space="preserve"> </v>
      </c>
      <c r="R737" s="4" t="str">
        <f ca="1">IF(OR(INDEX($AG$2:$AG$1001,MATCH(ROWS($AF$2:AF737),$AF$2:$AF$1001,0),1)&gt;=100000,INDEX($AM$1005:$BM$1005,1,MATCH(COLUMNS($AM$1006:BC1006),$AM$1006:$BM$1006,0))&gt;=100000), " ",IF(INDEX($AM$2:$BM$1001,MATCH(ROWS($AF$2:AF737),$AF$2:$AF$1001,0),MATCH(COLUMNS($AM$1006:BC1006),$AM$1006:$BM$1006,0)), HYPERLINK("#",""), HYPERLINK(CONCATENATE("#metadata!", ADDRESS(INDEX($AH$2:$AH$1001,MATCH(ROWS($AF$2:AF737),$AF$2:$AF$1001,0),0), INDEX($AM$1004:$BM$1004,1,MATCH(COLUMNS($AM$1006:BC1006),$AM$1006:$BM$1006,0)))),"Fix")))</f>
        <v xml:space="preserve"> </v>
      </c>
      <c r="S737" s="4" t="str">
        <f ca="1">IF(OR(INDEX($AG$2:$AG$1001,MATCH(ROWS($AF$2:AF737),$AF$2:$AF$1001,0),1)&gt;=100000,INDEX($AM$1005:$BM$1005,1,MATCH(COLUMNS($AM$1006:BD1006),$AM$1006:$BM$1006,0))&gt;=100000), " ",IF(INDEX($AM$2:$BM$1001,MATCH(ROWS($AF$2:AF737),$AF$2:$AF$1001,0),MATCH(COLUMNS($AM$1006:BD1006),$AM$1006:$BM$1006,0)), HYPERLINK("#",""), HYPERLINK(CONCATENATE("#metadata!", ADDRESS(INDEX($AH$2:$AH$1001,MATCH(ROWS($AF$2:AF737),$AF$2:$AF$1001,0),0), INDEX($AM$1004:$BM$1004,1,MATCH(COLUMNS($AM$1006:BD1006),$AM$1006:$BM$1006,0)))),"Fix")))</f>
        <v xml:space="preserve"> </v>
      </c>
      <c r="T737" s="4" t="str">
        <f ca="1">IF(OR(INDEX($AG$2:$AG$1001,MATCH(ROWS($AF$2:AF737),$AF$2:$AF$1001,0),1)&gt;=100000,INDEX($AM$1005:$BM$1005,1,MATCH(COLUMNS($AM$1006:BE1006),$AM$1006:$BM$1006,0))&gt;=100000), " ",IF(INDEX($AM$2:$BM$1001,MATCH(ROWS($AF$2:AF737),$AF$2:$AF$1001,0),MATCH(COLUMNS($AM$1006:BE1006),$AM$1006:$BM$1006,0)), HYPERLINK("#",""), HYPERLINK(CONCATENATE("#metadata!", ADDRESS(INDEX($AH$2:$AH$1001,MATCH(ROWS($AF$2:AF737),$AF$2:$AF$1001,0),0), INDEX($AM$1004:$BM$1004,1,MATCH(COLUMNS($AM$1006:BE1006),$AM$1006:$BM$1006,0)))),"Fix")))</f>
        <v xml:space="preserve"> </v>
      </c>
      <c r="U737" s="4" t="str">
        <f ca="1">IF(OR(INDEX($AG$2:$AG$1001,MATCH(ROWS($AF$2:AF737),$AF$2:$AF$1001,0),1)&gt;=100000,INDEX($AM$1005:$BM$1005,1,MATCH(COLUMNS($AM$1006:BF1006),$AM$1006:$BM$1006,0))&gt;=100000), " ",IF(INDEX($AM$2:$BM$1001,MATCH(ROWS($AF$2:AF737),$AF$2:$AF$1001,0),MATCH(COLUMNS($AM$1006:BF1006),$AM$1006:$BM$1006,0)), HYPERLINK("#",""), HYPERLINK(CONCATENATE("#metadata!", ADDRESS(INDEX($AH$2:$AH$1001,MATCH(ROWS($AF$2:AF737),$AF$2:$AF$1001,0),0), INDEX($AM$1004:$BM$1004,1,MATCH(COLUMNS($AM$1006:BF1006),$AM$1006:$BM$1006,0)))),"Fix")))</f>
        <v xml:space="preserve"> </v>
      </c>
      <c r="V737" s="4" t="str">
        <f ca="1">IF(OR(INDEX($AG$2:$AG$1001,MATCH(ROWS($AF$2:AF737),$AF$2:$AF$1001,0),1)&gt;=100000,INDEX($AM$1005:$BM$1005,1,MATCH(COLUMNS($AM$1006:BG1006),$AM$1006:$BM$1006,0))&gt;=100000), " ",IF(INDEX($AM$2:$BM$1001,MATCH(ROWS($AF$2:AF737),$AF$2:$AF$1001,0),MATCH(COLUMNS($AM$1006:BG1006),$AM$1006:$BM$1006,0)), HYPERLINK("#",""), HYPERLINK(CONCATENATE("#metadata!", ADDRESS(INDEX($AH$2:$AH$1001,MATCH(ROWS($AF$2:AF737),$AF$2:$AF$1001,0),0), INDEX($AM$1004:$BM$1004,1,MATCH(COLUMNS($AM$1006:BG1006),$AM$1006:$BM$1006,0)))),"Fix")))</f>
        <v xml:space="preserve"> </v>
      </c>
      <c r="W737" s="4" t="str">
        <f ca="1">IF(OR(INDEX($AG$2:$AG$1001,MATCH(ROWS($AF$2:AF737),$AF$2:$AF$1001,0),1)&gt;=100000,INDEX($AM$1005:$BM$1005,1,MATCH(COLUMNS($AM$1006:BH1006),$AM$1006:$BM$1006,0))&gt;=100000), " ",IF(INDEX($AM$2:$BM$1001,MATCH(ROWS($AF$2:AF737),$AF$2:$AF$1001,0),MATCH(COLUMNS($AM$1006:BH1006),$AM$1006:$BM$1006,0)), HYPERLINK("#",""), HYPERLINK(CONCATENATE("#metadata!", ADDRESS(INDEX($AH$2:$AH$1001,MATCH(ROWS($AF$2:AF737),$AF$2:$AF$1001,0),0), INDEX($AM$1004:$BM$1004,1,MATCH(COLUMNS($AM$1006:BH1006),$AM$1006:$BM$1006,0)))),"Fix")))</f>
        <v xml:space="preserve"> </v>
      </c>
      <c r="X737" s="4" t="str">
        <f ca="1">IF(OR(INDEX($AG$2:$AG$1001,MATCH(ROWS($AF$2:AF737),$AF$2:$AF$1001,0),1)&gt;=100000,INDEX($AM$1005:$BM$1005,1,MATCH(COLUMNS($AM$1006:BI1006),$AM$1006:$BM$1006,0))&gt;=100000), " ",IF(INDEX($AM$2:$BM$1001,MATCH(ROWS($AF$2:AF737),$AF$2:$AF$1001,0),MATCH(COLUMNS($AM$1006:BI1006),$AM$1006:$BM$1006,0)), HYPERLINK("#",""), HYPERLINK(CONCATENATE("#metadata!", ADDRESS(INDEX($AH$2:$AH$1001,MATCH(ROWS($AF$2:AF737),$AF$2:$AF$1001,0),0), INDEX($AM$1004:$BM$1004,1,MATCH(COLUMNS($AM$1006:BI1006),$AM$1006:$BM$1006,0)))),"Fix")))</f>
        <v xml:space="preserve"> </v>
      </c>
      <c r="Y737" s="4" t="str">
        <f ca="1">IF(OR(INDEX($AG$2:$AG$1001,MATCH(ROWS($AF$2:AF737),$AF$2:$AF$1001,0),1)&gt;=100000,INDEX($AM$1005:$BM$1005,1,MATCH(COLUMNS($AM$1006:BJ1006),$AM$1006:$BM$1006,0))&gt;=100000), " ",IF(INDEX($AM$2:$BM$1001,MATCH(ROWS($AF$2:AF737),$AF$2:$AF$1001,0),MATCH(COLUMNS($AM$1006:BJ1006),$AM$1006:$BM$1006,0)), HYPERLINK("#",""), HYPERLINK(CONCATENATE("#metadata!", ADDRESS(INDEX($AH$2:$AH$1001,MATCH(ROWS($AF$2:AF737),$AF$2:$AF$1001,0),0), INDEX($AM$1004:$BM$1004,1,MATCH(COLUMNS($AM$1006:BJ1006),$AM$1006:$BM$1006,0)))),"Fix")))</f>
        <v xml:space="preserve"> </v>
      </c>
      <c r="Z737" s="4" t="str">
        <f ca="1">IF(OR(INDEX($AG$2:$AG$1001,MATCH(ROWS($AF$2:AF737),$AF$2:$AF$1001,0),1)&gt;=100000,INDEX($AM$1005:$BM$1005,1,MATCH(COLUMNS($AM$1006:BK1006),$AM$1006:$BM$1006,0))&gt;=100000), " ",IF(INDEX($AM$2:$BM$1001,MATCH(ROWS($AF$2:AF737),$AF$2:$AF$1001,0),MATCH(COLUMNS($AM$1006:BK1006),$AM$1006:$BM$1006,0)), HYPERLINK("#",""), HYPERLINK(CONCATENATE("#metadata!", ADDRESS(INDEX($AH$2:$AH$1001,MATCH(ROWS($AF$2:AF737),$AF$2:$AF$1001,0),0), INDEX($AM$1004:$BM$1004,1,MATCH(COLUMNS($AM$1006:BK1006),$AM$1006:$BM$1006,0)))),"Fix")))</f>
        <v xml:space="preserve"> </v>
      </c>
      <c r="AA737" s="4" t="str">
        <f ca="1">IF(OR(INDEX($AG$2:$AG$1001,MATCH(ROWS($AF$2:AF737),$AF$2:$AF$1001,0),1)&gt;=100000,INDEX($AM$1005:$BM$1005,1,MATCH(COLUMNS($AM$1006:BL1006),$AM$1006:$BM$1006,0))&gt;=100000), " ",IF(INDEX($AM$2:$BM$1001,MATCH(ROWS($AF$2:AF737),$AF$2:$AF$1001,0),MATCH(COLUMNS($AM$1006:BL1006),$AM$1006:$BM$1006,0)), HYPERLINK("#",""), HYPERLINK(CONCATENATE("#metadata!", ADDRESS(INDEX($AH$2:$AH$1001,MATCH(ROWS($AF$2:AF737),$AF$2:$AF$1001,0),0), INDEX($AM$1004:$BM$1004,1,MATCH(COLUMNS($AM$1006:BL1006),$AM$1006:$BM$1006,0)))),"Fix")))</f>
        <v xml:space="preserve"> </v>
      </c>
      <c r="AB737" s="4" t="str">
        <f ca="1">IF(OR(INDEX($AG$2:$AG$1001,MATCH(ROWS($AF$2:AF737),$AF$2:$AF$1001,0),1)&gt;=100000,INDEX($AM$1005:$BM$1005,1,MATCH(COLUMNS($AM$1006:BM1006),$AM$1006:$BM$1006,0))&gt;=100000), " ",IF(INDEX($AM$2:$BM$1001,MATCH(ROWS($AF$2:AF737),$AF$2:$AF$1001,0),MATCH(COLUMNS($AM$1006:BM1006),$AM$1006:$BM$1006,0)), HYPERLINK("#",""), HYPERLINK(CONCATENATE("#metadata!", ADDRESS(INDEX($AH$2:$AH$1001,MATCH(ROWS($AF$2:AF737),$AF$2:$AF$1001,0),0), INDEX($AM$1004:$BM$1004,1,MATCH(COLUMNS($AM$1006:BM1006),$AM$1006:$BM$1006,0)))),"Fix")))</f>
        <v xml:space="preserve"> </v>
      </c>
      <c r="AF737">
        <v>736</v>
      </c>
      <c r="AG737">
        <v>100737</v>
      </c>
      <c r="AH737">
        <v>737</v>
      </c>
      <c r="AI737" t="b">
        <f t="shared" si="11"/>
        <v>1</v>
      </c>
      <c r="AJ737" t="b">
        <f>COUNTBLANK(metadata!B737:AB737)=COLUMNS(metadata!B737:AB737)</f>
        <v>1</v>
      </c>
      <c r="AK737" t="str">
        <v/>
      </c>
      <c r="AM737" t="b">
        <f ca="1">AND(IF(metadata!B737="",FALSE,TRUE),COUNTIF(metadata!B:B, metadata!B737) = 1,NOT(ISERROR(SUMPRODUCT(SEARCH(MID(metadata!B737,ROW(INDIRECT("1:"&amp;LEN(metadata!B737))), 1),"0123456789abcdefghijklmnopqrstuvwxyzABCDEFGHIJKLMNOPQRSTUVWXYZ.")))))</f>
        <v>0</v>
      </c>
      <c r="AN737" t="b">
        <f ca="1">OR(AND(IF(metadata!C737="",FALSE,TRUE),OR(EXACT(metadata!C737,"missing: not collected"),EXACT(metadata!C737,"missing: not provided"),EXACT(metadata!C737,"missing: restricted access"))),AND(IF(metadata!C737="",FALSE,TRUE),AND(AND(IFERROR(INT(LEFT(metadata!C737,4))&gt;1900,FALSE),IFERROR(INT(LEFT(metadata!C737,4))&lt;=YEAR(NOW()),FALSE)), OR(MID(metadata!C737,5,1)="", AND(AND(MID(metadata!C737,5,1)="-",IFERROR(INT(MID(metadata!C737,6,1))&gt;=0,FALSE),IFERROR(INT(MID(metadata!C737,6,1))&lt;=1,FALSE),NOT(MID(metadata!C737,7,1)=""),IFERROR(INT(MID(metadata!C737,6,2))&gt;=1,FALSE),IFERROR(INT(MID(metadata!C737,6,2))&lt;=12,FALSE)), OR(MID(metadata!C737,8,1)="", AND(AND(MID(metadata!C737,8,1)="-",IFERROR(INT(MID(metadata!C737,9,1))&gt;=0,FALSE),IFERROR(INT(MID(metadata!C737,9,1))&lt;=3,FALSE),NOT(MID(metadata!C737,10,1)=""),IFERROR(INT(MID(metadata!C737,9,2))&gt;=1,FALSE),IFERROR(INT(MID(metadata!C737,9,2))&lt;=31,FALSE)), OR(MID(metadata!C737,11,1)="", AND(AND(MID(metadata!C737,11,1)=" ",IFERROR(INT(MID(metadata!C737,12,1))&gt;=0,FALSE),IFERROR(INT(MID(metadata!C737,12,1))&lt;=2,FALSE),NOT(MID(metadata!C737,13,1)=""),IFERROR(INT(MID(metadata!C737,12,2))&gt;=0,FALSE),IFERROR(INT(MID(metadata!C737,12,2))&lt;=23,FALSE)), OR(MID(metadata!C737,14,1)="", AND(AND(MID(metadata!C737,14,1)=":",IFERROR(INT(MID(metadata!C737,15,1))&gt;=0,FALSE),IFERROR(INT(MID(metadata!C737,15,1))&lt;=5,FALSE),NOT(MID(metadata!C737,16,1)=""),IFERROR(INT(MID(metadata!C737,15,2))&gt;=0,FALSE),IFERROR(INT(MID(metadata!C737,15,2))&lt;=59,FALSE)), OR(MID(metadata!C737,17,1)="", AND(AND(MID(metadata!C737,17,1)=":",IFERROR(INT(MID(metadata!C737,18,1))&gt;=0,FALSE),IFERROR(INT(MID(metadata!C737,18,1))&lt;=5,FALSE),NOT(MID(metadata!C737,19,1)=""),IFERROR(INT(MID(metadata!C737,18,2))&gt;=0,FALSE),IFERROR(INT(MID(metadata!C737,18,2))&lt;=59,FALSE)), LEN(metadata!C737)&lt;=19)))))))))))))</f>
        <v>0</v>
      </c>
      <c r="AO737" t="b">
        <f>AND(IF(metadata!D737="",FALSE,TRUE),EXACT(metadata!D737,"Not applicable"))</f>
        <v>0</v>
      </c>
      <c r="AP737" t="b">
        <f>IF(metadata!E737="",FALSE,TRUE)</f>
        <v>0</v>
      </c>
      <c r="AQ737" t="b">
        <f>OR(AND(IF(metadata!F737="",FALSE,TRUE),OR(EXACT(metadata!F737,"missing: not collected"),EXACT(metadata!F737,"missing: not provided"))),AND(IF(metadata!F737="",FALSE,TRUE),OR(EXACT(metadata!F737,"TRUE"),EXACT(metadata!F737,"FALSE"))))</f>
        <v>0</v>
      </c>
      <c r="AR737" t="b">
        <f>OR(AND(IF(metadata!G737="",FALSE,TRUE),OR(EXACT(metadata!G737,"missing: not collected"),EXACT(metadata!G737,"missing: not provided"),EXACT(metadata!G737,"missing: restricted access"))),AND(IF(metadata!G737="",FALSE,ISNUMBER(VALUE(metadata!G737))),metadata!G737&gt;=-413))</f>
        <v>0</v>
      </c>
      <c r="AS737" t="b">
        <f>AND(IF(metadata!H737="",FALSE,TRUE),EXACT(metadata!H737,"meters"))</f>
        <v>0</v>
      </c>
      <c r="AT737" t="b">
        <f>AND(IF(metadata!I737="",FALSE,TRUE),OR(EXACT(metadata!I737,"Host-associated"),EXACT(metadata!I737,"Free-living")))</f>
        <v>0</v>
      </c>
      <c r="AU737" t="b">
        <f>AND(IF(metadata!J737="",FALSE,TRUE),OR(EXACT(metadata!J737,"Animal"),EXACT(metadata!J737,"Fungus"),EXACT(metadata!J737,"Plant"),EXACT(metadata!J737,"Saline"),EXACT(metadata!J737,"Non-saline")))</f>
        <v>0</v>
      </c>
      <c r="AV737" t="b">
        <f>AND(IF(metadata!K737="",FALSE,TRUE),OR(EXACT(metadata!K737,"Plant secretion"),EXACT(metadata!K737,"Plant rhizosphere"),EXACT(metadata!K737,"Plant surface"),EXACT(metadata!K737,"Plant corpus"),EXACT(metadata!K737,"Fungus surface"),EXACT(metadata!K737,"Fungus corpus"),EXACT(metadata!K737,"Animal surface"),EXACT(metadata!K737,"Animal proximal gut"),EXACT(metadata!K737,"Animal corpus"),EXACT(metadata!K737,"Animal distal gut"),EXACT(metadata!K737,"Animal secretion"),EXACT(metadata!K737,"Sub-surface (non-saline)"),EXACT(metadata!K737,"Surface (non-saline)"),EXACT(metadata!K737,"Water (non-saline)"),EXACT(metadata!K737,"Soil (non-saline)"),EXACT(metadata!K737,"Aerosol (non-saline)"),EXACT(metadata!K737,"Sediment (non-saline)"),EXACT(metadata!K737,"Surface (saline)"),EXACT(metadata!K737,"Water (saline)"),EXACT(metadata!K737,"Hypersaline (saline)"),EXACT(metadata!K737,"Aerosol (saline)"),EXACT(metadata!K737,"Sediment (saline)")))</f>
        <v>0</v>
      </c>
      <c r="AW737" t="b">
        <f>IF(metadata!L737="",FALSE,TRUE)</f>
        <v>0</v>
      </c>
      <c r="AX737" t="b">
        <f>IF(metadata!M737="",FALSE,TRUE)</f>
        <v>0</v>
      </c>
      <c r="AY737" t="b">
        <f>IF(metadata!N737="",FALSE,TRUE)</f>
        <v>0</v>
      </c>
      <c r="AZ737" t="b">
        <f>OR(AND(IF(metadata!O737="",FALSE,TRUE),OR(EXACT(metadata!O737,"missing: not collected"),EXACT(metadata!O737,"missing: not provided"),EXACT(metadata!O737,"missing: restricted access"))),AND(IF(metadata!O737="",FALSE,TRUE),OR(EXACT(metadata!O737,"air"),EXACT(metadata!O737,"built environment"),EXACT(metadata!O737,"host-associated"),EXACT(metadata!O737,"human-associated"),EXACT(metadata!O737,"human-skin"),EXACT(metadata!O737,"human-oral"),EXACT(metadata!O737,"human-gut"),EXACT(metadata!O737,"human-vaginal"),EXACT(metadata!O737,"microbial mat/biofilm"),EXACT(metadata!O737,"misc environment"),EXACT(metadata!O737,"plant-associated"),EXACT(metadata!O737,"sediment"),EXACT(metadata!O737,"soil"),EXACT(metadata!O737,"wastewater/sludge"),EXACT(metadata!O737,"water"))))</f>
        <v>0</v>
      </c>
      <c r="BA737" t="b">
        <f>IF(metadata!P737="",FALSE,TRUE)</f>
        <v>0</v>
      </c>
      <c r="BB737" t="b">
        <f>IF(metadata!Q737="",FALSE,TRUE)</f>
        <v>0</v>
      </c>
      <c r="BC737" t="b">
        <f>OR(AND(IF(metadata!R737="",FALSE,TRUE),OR(EXACT(metadata!R737,"missing: not collected"),EXACT(metadata!R737,"missing: not provided"),EXACT(metadata!R737,"missing: restricted access"))),AND(IF(metadata!R737="",FALSE,ISNUMBER(VALUE(metadata!R737))),metadata!R737&gt;=-90,metadata!R737&lt;=90))</f>
        <v>0</v>
      </c>
      <c r="BD737" t="b">
        <f>AND(IF(metadata!S737="",FALSE,TRUE),EXACT(metadata!S737,"Decimal degrees"))</f>
        <v>0</v>
      </c>
      <c r="BE737" t="b">
        <f>OR(AND(IF(metadata!T737="",FALSE,TRUE),OR(EXACT(metadata!T737,"missing: not collected"),EXACT(metadata!T737,"missing: not provided"),EXACT(metadata!T737,"missing: restricted access"))),AND(IF(metadata!T737="",FALSE,ISNUMBER(VALUE(metadata!T737))),metadata!T737&gt;=-180,metadata!T737&lt;=180))</f>
        <v>0</v>
      </c>
      <c r="BF737" t="b">
        <f>AND(IF(metadata!U737="",FALSE,TRUE),EXACT(metadata!U737,"Decimal degrees"))</f>
        <v>0</v>
      </c>
      <c r="BG737" t="b">
        <f>IF(metadata!V737="",FALSE,TRUE)</f>
        <v>0</v>
      </c>
      <c r="BH737" t="b">
        <f>OR(AND(IF(metadata!W737="",FALSE,TRUE),OR(EXACT(metadata!W737,"missing: not collected"),EXACT(metadata!W737,"missing: not provided"),EXACT(metadata!W737,"missing: restricted access"))),AND(IF(metadata!W737="",FALSE,TRUE),OR(EXACT(metadata!W737,"TRUE"),EXACT(metadata!W737,"FALSE"))))</f>
        <v>0</v>
      </c>
      <c r="BI737" t="b">
        <f>AND(IF(metadata!X737="",FALSE,TRUE),EXACT(metadata!X737,"other"))</f>
        <v>0</v>
      </c>
      <c r="BJ737" t="b">
        <f>IF(metadata!Y737="",FALSE,TRUE)</f>
        <v>0</v>
      </c>
      <c r="BK737" t="b">
        <f>OR(AND(IF(metadata!Z737="",FALSE,TRUE),OR(EXACT(metadata!Z737,"missing: not collected"),EXACT(metadata!Z737,"missing: not provided"))),AND(IF(metadata!Z737="",FALSE,IF(ISERROR(INT(metadata!Z737)),FALSE,INT(metadata!Z737)=metadata!Z737)),metadata!Z737&gt;0))</f>
        <v>0</v>
      </c>
      <c r="BL737" t="b">
        <f>AND(IF(metadata!AA737="",FALSE,TRUE),EXACT(metadata!AA737,"Not applicable"))</f>
        <v>0</v>
      </c>
      <c r="BM737" t="b">
        <f>IF(metadata!AB737="",FALSE,TRUE)</f>
        <v>0</v>
      </c>
    </row>
    <row r="738" spans="1:65" x14ac:dyDescent="0.2">
      <c r="A738" s="5" t="str">
        <f ca="1">IF(B738=" "," ",HYPERLINK(CONCATENATE("#metadata!",ADDRESS(INDEX($AH$2:$AH$1001,MATCH(ROWS($AF$2:AF738),$AF$2:$AF$1001,0),0),1)),INDEX($AK$2:$AK$1001,MATCH(ROWS($AF$2:AF738),$AF$2:$AF$1001,0),0)))</f>
        <v xml:space="preserve"> </v>
      </c>
      <c r="B738" s="4" t="str">
        <f ca="1">IF(OR(INDEX($AG$2:$AG$1001,MATCH(ROWS($AF$2:AF738),$AF$2:$AF$1001,0),1)&gt;=100000,INDEX($AM$1005:$BM$1005,1,MATCH(COLUMNS($AM$1006:AM1006),$AM$1006:$BM$1006,0))&gt;=100000), " ",IF(INDEX($AM$2:$BM$1001,MATCH(ROWS($AF$2:AF738),$AF$2:$AF$1001,0),MATCH(COLUMNS($AM$1006:AM1006),$AM$1006:$BM$1006,0)), HYPERLINK("#",""), HYPERLINK(CONCATENATE("#metadata!", ADDRESS(INDEX($AH$2:$AH$1001,MATCH(ROWS($AF$2:AF738),$AF$2:$AF$1001,0),0), INDEX($AM$1004:$BM$1004,1,MATCH(COLUMNS($AM$1006:AM1006),$AM$1006:$BM$1006,0)))),"Fix")))</f>
        <v xml:space="preserve"> </v>
      </c>
      <c r="C738" s="4" t="str">
        <f ca="1">IF(OR(INDEX($AG$2:$AG$1001,MATCH(ROWS($AF$2:AF738),$AF$2:$AF$1001,0),1)&gt;=100000,INDEX($AM$1005:$BM$1005,1,MATCH(COLUMNS($AM$1006:AN1006),$AM$1006:$BM$1006,0))&gt;=100000), " ",IF(INDEX($AM$2:$BM$1001,MATCH(ROWS($AF$2:AF738),$AF$2:$AF$1001,0),MATCH(COLUMNS($AM$1006:AN1006),$AM$1006:$BM$1006,0)), HYPERLINK("#",""), HYPERLINK(CONCATENATE("#metadata!", ADDRESS(INDEX($AH$2:$AH$1001,MATCH(ROWS($AF$2:AF738),$AF$2:$AF$1001,0),0), INDEX($AM$1004:$BM$1004,1,MATCH(COLUMNS($AM$1006:AN1006),$AM$1006:$BM$1006,0)))),"Fix")))</f>
        <v xml:space="preserve"> </v>
      </c>
      <c r="D738" s="4" t="str">
        <f ca="1">IF(OR(INDEX($AG$2:$AG$1001,MATCH(ROWS($AF$2:AF738),$AF$2:$AF$1001,0),1)&gt;=100000,INDEX($AM$1005:$BM$1005,1,MATCH(COLUMNS($AM$1006:AO1006),$AM$1006:$BM$1006,0))&gt;=100000), " ",IF(INDEX($AM$2:$BM$1001,MATCH(ROWS($AF$2:AF738),$AF$2:$AF$1001,0),MATCH(COLUMNS($AM$1006:AO1006),$AM$1006:$BM$1006,0)), HYPERLINK("#",""), HYPERLINK(CONCATENATE("#metadata!", ADDRESS(INDEX($AH$2:$AH$1001,MATCH(ROWS($AF$2:AF738),$AF$2:$AF$1001,0),0), INDEX($AM$1004:$BM$1004,1,MATCH(COLUMNS($AM$1006:AO1006),$AM$1006:$BM$1006,0)))),"Fix")))</f>
        <v xml:space="preserve"> </v>
      </c>
      <c r="E738" s="4" t="str">
        <f ca="1">IF(OR(INDEX($AG$2:$AG$1001,MATCH(ROWS($AF$2:AF738),$AF$2:$AF$1001,0),1)&gt;=100000,INDEX($AM$1005:$BM$1005,1,MATCH(COLUMNS($AM$1006:AP1006),$AM$1006:$BM$1006,0))&gt;=100000), " ",IF(INDEX($AM$2:$BM$1001,MATCH(ROWS($AF$2:AF738),$AF$2:$AF$1001,0),MATCH(COLUMNS($AM$1006:AP1006),$AM$1006:$BM$1006,0)), HYPERLINK("#",""), HYPERLINK(CONCATENATE("#metadata!", ADDRESS(INDEX($AH$2:$AH$1001,MATCH(ROWS($AF$2:AF738),$AF$2:$AF$1001,0),0), INDEX($AM$1004:$BM$1004,1,MATCH(COLUMNS($AM$1006:AP1006),$AM$1006:$BM$1006,0)))),"Fix")))</f>
        <v xml:space="preserve"> </v>
      </c>
      <c r="F738" s="4" t="str">
        <f ca="1">IF(OR(INDEX($AG$2:$AG$1001,MATCH(ROWS($AF$2:AF738),$AF$2:$AF$1001,0),1)&gt;=100000,INDEX($AM$1005:$BM$1005,1,MATCH(COLUMNS($AM$1006:AQ1006),$AM$1006:$BM$1006,0))&gt;=100000), " ",IF(INDEX($AM$2:$BM$1001,MATCH(ROWS($AF$2:AF738),$AF$2:$AF$1001,0),MATCH(COLUMNS($AM$1006:AQ1006),$AM$1006:$BM$1006,0)), HYPERLINK("#",""), HYPERLINK(CONCATENATE("#metadata!", ADDRESS(INDEX($AH$2:$AH$1001,MATCH(ROWS($AF$2:AF738),$AF$2:$AF$1001,0),0), INDEX($AM$1004:$BM$1004,1,MATCH(COLUMNS($AM$1006:AQ1006),$AM$1006:$BM$1006,0)))),"Fix")))</f>
        <v xml:space="preserve"> </v>
      </c>
      <c r="G738" s="4" t="str">
        <f ca="1">IF(OR(INDEX($AG$2:$AG$1001,MATCH(ROWS($AF$2:AF738),$AF$2:$AF$1001,0),1)&gt;=100000,INDEX($AM$1005:$BM$1005,1,MATCH(COLUMNS($AM$1006:AR1006),$AM$1006:$BM$1006,0))&gt;=100000), " ",IF(INDEX($AM$2:$BM$1001,MATCH(ROWS($AF$2:AF738),$AF$2:$AF$1001,0),MATCH(COLUMNS($AM$1006:AR1006),$AM$1006:$BM$1006,0)), HYPERLINK("#",""), HYPERLINK(CONCATENATE("#metadata!", ADDRESS(INDEX($AH$2:$AH$1001,MATCH(ROWS($AF$2:AF738),$AF$2:$AF$1001,0),0), INDEX($AM$1004:$BM$1004,1,MATCH(COLUMNS($AM$1006:AR1006),$AM$1006:$BM$1006,0)))),"Fix")))</f>
        <v xml:space="preserve"> </v>
      </c>
      <c r="H738" s="4" t="str">
        <f ca="1">IF(OR(INDEX($AG$2:$AG$1001,MATCH(ROWS($AF$2:AF738),$AF$2:$AF$1001,0),1)&gt;=100000,INDEX($AM$1005:$BM$1005,1,MATCH(COLUMNS($AM$1006:AS1006),$AM$1006:$BM$1006,0))&gt;=100000), " ",IF(INDEX($AM$2:$BM$1001,MATCH(ROWS($AF$2:AF738),$AF$2:$AF$1001,0),MATCH(COLUMNS($AM$1006:AS1006),$AM$1006:$BM$1006,0)), HYPERLINK("#",""), HYPERLINK(CONCATENATE("#metadata!", ADDRESS(INDEX($AH$2:$AH$1001,MATCH(ROWS($AF$2:AF738),$AF$2:$AF$1001,0),0), INDEX($AM$1004:$BM$1004,1,MATCH(COLUMNS($AM$1006:AS1006),$AM$1006:$BM$1006,0)))),"Fix")))</f>
        <v xml:space="preserve"> </v>
      </c>
      <c r="I738" s="4" t="str">
        <f ca="1">IF(OR(INDEX($AG$2:$AG$1001,MATCH(ROWS($AF$2:AF738),$AF$2:$AF$1001,0),1)&gt;=100000,INDEX($AM$1005:$BM$1005,1,MATCH(COLUMNS($AM$1006:AT1006),$AM$1006:$BM$1006,0))&gt;=100000), " ",IF(INDEX($AM$2:$BM$1001,MATCH(ROWS($AF$2:AF738),$AF$2:$AF$1001,0),MATCH(COLUMNS($AM$1006:AT1006),$AM$1006:$BM$1006,0)), HYPERLINK("#",""), HYPERLINK(CONCATENATE("#metadata!", ADDRESS(INDEX($AH$2:$AH$1001,MATCH(ROWS($AF$2:AF738),$AF$2:$AF$1001,0),0), INDEX($AM$1004:$BM$1004,1,MATCH(COLUMNS($AM$1006:AT1006),$AM$1006:$BM$1006,0)))),"Fix")))</f>
        <v xml:space="preserve"> </v>
      </c>
      <c r="J738" s="4" t="str">
        <f ca="1">IF(OR(INDEX($AG$2:$AG$1001,MATCH(ROWS($AF$2:AF738),$AF$2:$AF$1001,0),1)&gt;=100000,INDEX($AM$1005:$BM$1005,1,MATCH(COLUMNS($AM$1006:AU1006),$AM$1006:$BM$1006,0))&gt;=100000), " ",IF(INDEX($AM$2:$BM$1001,MATCH(ROWS($AF$2:AF738),$AF$2:$AF$1001,0),MATCH(COLUMNS($AM$1006:AU1006),$AM$1006:$BM$1006,0)), HYPERLINK("#",""), HYPERLINK(CONCATENATE("#metadata!", ADDRESS(INDEX($AH$2:$AH$1001,MATCH(ROWS($AF$2:AF738),$AF$2:$AF$1001,0),0), INDEX($AM$1004:$BM$1004,1,MATCH(COLUMNS($AM$1006:AU1006),$AM$1006:$BM$1006,0)))),"Fix")))</f>
        <v xml:space="preserve"> </v>
      </c>
      <c r="K738" s="4" t="str">
        <f ca="1">IF(OR(INDEX($AG$2:$AG$1001,MATCH(ROWS($AF$2:AF738),$AF$2:$AF$1001,0),1)&gt;=100000,INDEX($AM$1005:$BM$1005,1,MATCH(COLUMNS($AM$1006:AV1006),$AM$1006:$BM$1006,0))&gt;=100000), " ",IF(INDEX($AM$2:$BM$1001,MATCH(ROWS($AF$2:AF738),$AF$2:$AF$1001,0),MATCH(COLUMNS($AM$1006:AV1006),$AM$1006:$BM$1006,0)), HYPERLINK("#",""), HYPERLINK(CONCATENATE("#metadata!", ADDRESS(INDEX($AH$2:$AH$1001,MATCH(ROWS($AF$2:AF738),$AF$2:$AF$1001,0),0), INDEX($AM$1004:$BM$1004,1,MATCH(COLUMNS($AM$1006:AV1006),$AM$1006:$BM$1006,0)))),"Fix")))</f>
        <v xml:space="preserve"> </v>
      </c>
      <c r="L738" s="4" t="str">
        <f ca="1">IF(OR(INDEX($AG$2:$AG$1001,MATCH(ROWS($AF$2:AF738),$AF$2:$AF$1001,0),1)&gt;=100000,INDEX($AM$1005:$BM$1005,1,MATCH(COLUMNS($AM$1006:AW1006),$AM$1006:$BM$1006,0))&gt;=100000), " ",IF(INDEX($AM$2:$BM$1001,MATCH(ROWS($AF$2:AF738),$AF$2:$AF$1001,0),MATCH(COLUMNS($AM$1006:AW1006),$AM$1006:$BM$1006,0)), HYPERLINK("#",""), HYPERLINK(CONCATENATE("#metadata!", ADDRESS(INDEX($AH$2:$AH$1001,MATCH(ROWS($AF$2:AF738),$AF$2:$AF$1001,0),0), INDEX($AM$1004:$BM$1004,1,MATCH(COLUMNS($AM$1006:AW1006),$AM$1006:$BM$1006,0)))),"Fix")))</f>
        <v xml:space="preserve"> </v>
      </c>
      <c r="M738" s="4" t="str">
        <f ca="1">IF(OR(INDEX($AG$2:$AG$1001,MATCH(ROWS($AF$2:AF738),$AF$2:$AF$1001,0),1)&gt;=100000,INDEX($AM$1005:$BM$1005,1,MATCH(COLUMNS($AM$1006:AX1006),$AM$1006:$BM$1006,0))&gt;=100000), " ",IF(INDEX($AM$2:$BM$1001,MATCH(ROWS($AF$2:AF738),$AF$2:$AF$1001,0),MATCH(COLUMNS($AM$1006:AX1006),$AM$1006:$BM$1006,0)), HYPERLINK("#",""), HYPERLINK(CONCATENATE("#metadata!", ADDRESS(INDEX($AH$2:$AH$1001,MATCH(ROWS($AF$2:AF738),$AF$2:$AF$1001,0),0), INDEX($AM$1004:$BM$1004,1,MATCH(COLUMNS($AM$1006:AX1006),$AM$1006:$BM$1006,0)))),"Fix")))</f>
        <v xml:space="preserve"> </v>
      </c>
      <c r="N738" s="4" t="str">
        <f ca="1">IF(OR(INDEX($AG$2:$AG$1001,MATCH(ROWS($AF$2:AF738),$AF$2:$AF$1001,0),1)&gt;=100000,INDEX($AM$1005:$BM$1005,1,MATCH(COLUMNS($AM$1006:AY1006),$AM$1006:$BM$1006,0))&gt;=100000), " ",IF(INDEX($AM$2:$BM$1001,MATCH(ROWS($AF$2:AF738),$AF$2:$AF$1001,0),MATCH(COLUMNS($AM$1006:AY1006),$AM$1006:$BM$1006,0)), HYPERLINK("#",""), HYPERLINK(CONCATENATE("#metadata!", ADDRESS(INDEX($AH$2:$AH$1001,MATCH(ROWS($AF$2:AF738),$AF$2:$AF$1001,0),0), INDEX($AM$1004:$BM$1004,1,MATCH(COLUMNS($AM$1006:AY1006),$AM$1006:$BM$1006,0)))),"Fix")))</f>
        <v xml:space="preserve"> </v>
      </c>
      <c r="O738" s="4" t="str">
        <f ca="1">IF(OR(INDEX($AG$2:$AG$1001,MATCH(ROWS($AF$2:AF738),$AF$2:$AF$1001,0),1)&gt;=100000,INDEX($AM$1005:$BM$1005,1,MATCH(COLUMNS($AM$1006:AZ1006),$AM$1006:$BM$1006,0))&gt;=100000), " ",IF(INDEX($AM$2:$BM$1001,MATCH(ROWS($AF$2:AF738),$AF$2:$AF$1001,0),MATCH(COLUMNS($AM$1006:AZ1006),$AM$1006:$BM$1006,0)), HYPERLINK("#",""), HYPERLINK(CONCATENATE("#metadata!", ADDRESS(INDEX($AH$2:$AH$1001,MATCH(ROWS($AF$2:AF738),$AF$2:$AF$1001,0),0), INDEX($AM$1004:$BM$1004,1,MATCH(COLUMNS($AM$1006:AZ1006),$AM$1006:$BM$1006,0)))),"Fix")))</f>
        <v xml:space="preserve"> </v>
      </c>
      <c r="P738" s="4" t="str">
        <f ca="1">IF(OR(INDEX($AG$2:$AG$1001,MATCH(ROWS($AF$2:AF738),$AF$2:$AF$1001,0),1)&gt;=100000,INDEX($AM$1005:$BM$1005,1,MATCH(COLUMNS($AM$1006:BA1006),$AM$1006:$BM$1006,0))&gt;=100000), " ",IF(INDEX($AM$2:$BM$1001,MATCH(ROWS($AF$2:AF738),$AF$2:$AF$1001,0),MATCH(COLUMNS($AM$1006:BA1006),$AM$1006:$BM$1006,0)), HYPERLINK("#",""), HYPERLINK(CONCATENATE("#metadata!", ADDRESS(INDEX($AH$2:$AH$1001,MATCH(ROWS($AF$2:AF738),$AF$2:$AF$1001,0),0), INDEX($AM$1004:$BM$1004,1,MATCH(COLUMNS($AM$1006:BA1006),$AM$1006:$BM$1006,0)))),"Fix")))</f>
        <v xml:space="preserve"> </v>
      </c>
      <c r="Q738" s="4" t="str">
        <f ca="1">IF(OR(INDEX($AG$2:$AG$1001,MATCH(ROWS($AF$2:AF738),$AF$2:$AF$1001,0),1)&gt;=100000,INDEX($AM$1005:$BM$1005,1,MATCH(COLUMNS($AM$1006:BB1006),$AM$1006:$BM$1006,0))&gt;=100000), " ",IF(INDEX($AM$2:$BM$1001,MATCH(ROWS($AF$2:AF738),$AF$2:$AF$1001,0),MATCH(COLUMNS($AM$1006:BB1006),$AM$1006:$BM$1006,0)), HYPERLINK("#",""), HYPERLINK(CONCATENATE("#metadata!", ADDRESS(INDEX($AH$2:$AH$1001,MATCH(ROWS($AF$2:AF738),$AF$2:$AF$1001,0),0), INDEX($AM$1004:$BM$1004,1,MATCH(COLUMNS($AM$1006:BB1006),$AM$1006:$BM$1006,0)))),"Fix")))</f>
        <v xml:space="preserve"> </v>
      </c>
      <c r="R738" s="4" t="str">
        <f ca="1">IF(OR(INDEX($AG$2:$AG$1001,MATCH(ROWS($AF$2:AF738),$AF$2:$AF$1001,0),1)&gt;=100000,INDEX($AM$1005:$BM$1005,1,MATCH(COLUMNS($AM$1006:BC1006),$AM$1006:$BM$1006,0))&gt;=100000), " ",IF(INDEX($AM$2:$BM$1001,MATCH(ROWS($AF$2:AF738),$AF$2:$AF$1001,0),MATCH(COLUMNS($AM$1006:BC1006),$AM$1006:$BM$1006,0)), HYPERLINK("#",""), HYPERLINK(CONCATENATE("#metadata!", ADDRESS(INDEX($AH$2:$AH$1001,MATCH(ROWS($AF$2:AF738),$AF$2:$AF$1001,0),0), INDEX($AM$1004:$BM$1004,1,MATCH(COLUMNS($AM$1006:BC1006),$AM$1006:$BM$1006,0)))),"Fix")))</f>
        <v xml:space="preserve"> </v>
      </c>
      <c r="S738" s="4" t="str">
        <f ca="1">IF(OR(INDEX($AG$2:$AG$1001,MATCH(ROWS($AF$2:AF738),$AF$2:$AF$1001,0),1)&gt;=100000,INDEX($AM$1005:$BM$1005,1,MATCH(COLUMNS($AM$1006:BD1006),$AM$1006:$BM$1006,0))&gt;=100000), " ",IF(INDEX($AM$2:$BM$1001,MATCH(ROWS($AF$2:AF738),$AF$2:$AF$1001,0),MATCH(COLUMNS($AM$1006:BD1006),$AM$1006:$BM$1006,0)), HYPERLINK("#",""), HYPERLINK(CONCATENATE("#metadata!", ADDRESS(INDEX($AH$2:$AH$1001,MATCH(ROWS($AF$2:AF738),$AF$2:$AF$1001,0),0), INDEX($AM$1004:$BM$1004,1,MATCH(COLUMNS($AM$1006:BD1006),$AM$1006:$BM$1006,0)))),"Fix")))</f>
        <v xml:space="preserve"> </v>
      </c>
      <c r="T738" s="4" t="str">
        <f ca="1">IF(OR(INDEX($AG$2:$AG$1001,MATCH(ROWS($AF$2:AF738),$AF$2:$AF$1001,0),1)&gt;=100000,INDEX($AM$1005:$BM$1005,1,MATCH(COLUMNS($AM$1006:BE1006),$AM$1006:$BM$1006,0))&gt;=100000), " ",IF(INDEX($AM$2:$BM$1001,MATCH(ROWS($AF$2:AF738),$AF$2:$AF$1001,0),MATCH(COLUMNS($AM$1006:BE1006),$AM$1006:$BM$1006,0)), HYPERLINK("#",""), HYPERLINK(CONCATENATE("#metadata!", ADDRESS(INDEX($AH$2:$AH$1001,MATCH(ROWS($AF$2:AF738),$AF$2:$AF$1001,0),0), INDEX($AM$1004:$BM$1004,1,MATCH(COLUMNS($AM$1006:BE1006),$AM$1006:$BM$1006,0)))),"Fix")))</f>
        <v xml:space="preserve"> </v>
      </c>
      <c r="U738" s="4" t="str">
        <f ca="1">IF(OR(INDEX($AG$2:$AG$1001,MATCH(ROWS($AF$2:AF738),$AF$2:$AF$1001,0),1)&gt;=100000,INDEX($AM$1005:$BM$1005,1,MATCH(COLUMNS($AM$1006:BF1006),$AM$1006:$BM$1006,0))&gt;=100000), " ",IF(INDEX($AM$2:$BM$1001,MATCH(ROWS($AF$2:AF738),$AF$2:$AF$1001,0),MATCH(COLUMNS($AM$1006:BF1006),$AM$1006:$BM$1006,0)), HYPERLINK("#",""), HYPERLINK(CONCATENATE("#metadata!", ADDRESS(INDEX($AH$2:$AH$1001,MATCH(ROWS($AF$2:AF738),$AF$2:$AF$1001,0),0), INDEX($AM$1004:$BM$1004,1,MATCH(COLUMNS($AM$1006:BF1006),$AM$1006:$BM$1006,0)))),"Fix")))</f>
        <v xml:space="preserve"> </v>
      </c>
      <c r="V738" s="4" t="str">
        <f ca="1">IF(OR(INDEX($AG$2:$AG$1001,MATCH(ROWS($AF$2:AF738),$AF$2:$AF$1001,0),1)&gt;=100000,INDEX($AM$1005:$BM$1005,1,MATCH(COLUMNS($AM$1006:BG1006),$AM$1006:$BM$1006,0))&gt;=100000), " ",IF(INDEX($AM$2:$BM$1001,MATCH(ROWS($AF$2:AF738),$AF$2:$AF$1001,0),MATCH(COLUMNS($AM$1006:BG1006),$AM$1006:$BM$1006,0)), HYPERLINK("#",""), HYPERLINK(CONCATENATE("#metadata!", ADDRESS(INDEX($AH$2:$AH$1001,MATCH(ROWS($AF$2:AF738),$AF$2:$AF$1001,0),0), INDEX($AM$1004:$BM$1004,1,MATCH(COLUMNS($AM$1006:BG1006),$AM$1006:$BM$1006,0)))),"Fix")))</f>
        <v xml:space="preserve"> </v>
      </c>
      <c r="W738" s="4" t="str">
        <f ca="1">IF(OR(INDEX($AG$2:$AG$1001,MATCH(ROWS($AF$2:AF738),$AF$2:$AF$1001,0),1)&gt;=100000,INDEX($AM$1005:$BM$1005,1,MATCH(COLUMNS($AM$1006:BH1006),$AM$1006:$BM$1006,0))&gt;=100000), " ",IF(INDEX($AM$2:$BM$1001,MATCH(ROWS($AF$2:AF738),$AF$2:$AF$1001,0),MATCH(COLUMNS($AM$1006:BH1006),$AM$1006:$BM$1006,0)), HYPERLINK("#",""), HYPERLINK(CONCATENATE("#metadata!", ADDRESS(INDEX($AH$2:$AH$1001,MATCH(ROWS($AF$2:AF738),$AF$2:$AF$1001,0),0), INDEX($AM$1004:$BM$1004,1,MATCH(COLUMNS($AM$1006:BH1006),$AM$1006:$BM$1006,0)))),"Fix")))</f>
        <v xml:space="preserve"> </v>
      </c>
      <c r="X738" s="4" t="str">
        <f ca="1">IF(OR(INDEX($AG$2:$AG$1001,MATCH(ROWS($AF$2:AF738),$AF$2:$AF$1001,0),1)&gt;=100000,INDEX($AM$1005:$BM$1005,1,MATCH(COLUMNS($AM$1006:BI1006),$AM$1006:$BM$1006,0))&gt;=100000), " ",IF(INDEX($AM$2:$BM$1001,MATCH(ROWS($AF$2:AF738),$AF$2:$AF$1001,0),MATCH(COLUMNS($AM$1006:BI1006),$AM$1006:$BM$1006,0)), HYPERLINK("#",""), HYPERLINK(CONCATENATE("#metadata!", ADDRESS(INDEX($AH$2:$AH$1001,MATCH(ROWS($AF$2:AF738),$AF$2:$AF$1001,0),0), INDEX($AM$1004:$BM$1004,1,MATCH(COLUMNS($AM$1006:BI1006),$AM$1006:$BM$1006,0)))),"Fix")))</f>
        <v xml:space="preserve"> </v>
      </c>
      <c r="Y738" s="4" t="str">
        <f ca="1">IF(OR(INDEX($AG$2:$AG$1001,MATCH(ROWS($AF$2:AF738),$AF$2:$AF$1001,0),1)&gt;=100000,INDEX($AM$1005:$BM$1005,1,MATCH(COLUMNS($AM$1006:BJ1006),$AM$1006:$BM$1006,0))&gt;=100000), " ",IF(INDEX($AM$2:$BM$1001,MATCH(ROWS($AF$2:AF738),$AF$2:$AF$1001,0),MATCH(COLUMNS($AM$1006:BJ1006),$AM$1006:$BM$1006,0)), HYPERLINK("#",""), HYPERLINK(CONCATENATE("#metadata!", ADDRESS(INDEX($AH$2:$AH$1001,MATCH(ROWS($AF$2:AF738),$AF$2:$AF$1001,0),0), INDEX($AM$1004:$BM$1004,1,MATCH(COLUMNS($AM$1006:BJ1006),$AM$1006:$BM$1006,0)))),"Fix")))</f>
        <v xml:space="preserve"> </v>
      </c>
      <c r="Z738" s="4" t="str">
        <f ca="1">IF(OR(INDEX($AG$2:$AG$1001,MATCH(ROWS($AF$2:AF738),$AF$2:$AF$1001,0),1)&gt;=100000,INDEX($AM$1005:$BM$1005,1,MATCH(COLUMNS($AM$1006:BK1006),$AM$1006:$BM$1006,0))&gt;=100000), " ",IF(INDEX($AM$2:$BM$1001,MATCH(ROWS($AF$2:AF738),$AF$2:$AF$1001,0),MATCH(COLUMNS($AM$1006:BK1006),$AM$1006:$BM$1006,0)), HYPERLINK("#",""), HYPERLINK(CONCATENATE("#metadata!", ADDRESS(INDEX($AH$2:$AH$1001,MATCH(ROWS($AF$2:AF738),$AF$2:$AF$1001,0),0), INDEX($AM$1004:$BM$1004,1,MATCH(COLUMNS($AM$1006:BK1006),$AM$1006:$BM$1006,0)))),"Fix")))</f>
        <v xml:space="preserve"> </v>
      </c>
      <c r="AA738" s="4" t="str">
        <f ca="1">IF(OR(INDEX($AG$2:$AG$1001,MATCH(ROWS($AF$2:AF738),$AF$2:$AF$1001,0),1)&gt;=100000,INDEX($AM$1005:$BM$1005,1,MATCH(COLUMNS($AM$1006:BL1006),$AM$1006:$BM$1006,0))&gt;=100000), " ",IF(INDEX($AM$2:$BM$1001,MATCH(ROWS($AF$2:AF738),$AF$2:$AF$1001,0),MATCH(COLUMNS($AM$1006:BL1006),$AM$1006:$BM$1006,0)), HYPERLINK("#",""), HYPERLINK(CONCATENATE("#metadata!", ADDRESS(INDEX($AH$2:$AH$1001,MATCH(ROWS($AF$2:AF738),$AF$2:$AF$1001,0),0), INDEX($AM$1004:$BM$1004,1,MATCH(COLUMNS($AM$1006:BL1006),$AM$1006:$BM$1006,0)))),"Fix")))</f>
        <v xml:space="preserve"> </v>
      </c>
      <c r="AB738" s="4" t="str">
        <f ca="1">IF(OR(INDEX($AG$2:$AG$1001,MATCH(ROWS($AF$2:AF738),$AF$2:$AF$1001,0),1)&gt;=100000,INDEX($AM$1005:$BM$1005,1,MATCH(COLUMNS($AM$1006:BM1006),$AM$1006:$BM$1006,0))&gt;=100000), " ",IF(INDEX($AM$2:$BM$1001,MATCH(ROWS($AF$2:AF738),$AF$2:$AF$1001,0),MATCH(COLUMNS($AM$1006:BM1006),$AM$1006:$BM$1006,0)), HYPERLINK("#",""), HYPERLINK(CONCATENATE("#metadata!", ADDRESS(INDEX($AH$2:$AH$1001,MATCH(ROWS($AF$2:AF738),$AF$2:$AF$1001,0),0), INDEX($AM$1004:$BM$1004,1,MATCH(COLUMNS($AM$1006:BM1006),$AM$1006:$BM$1006,0)))),"Fix")))</f>
        <v xml:space="preserve"> </v>
      </c>
      <c r="AF738">
        <v>737</v>
      </c>
      <c r="AG738">
        <v>100738</v>
      </c>
      <c r="AH738">
        <v>738</v>
      </c>
      <c r="AI738" t="b">
        <f t="shared" si="11"/>
        <v>1</v>
      </c>
      <c r="AJ738" t="b">
        <f>COUNTBLANK(metadata!B738:AB738)=COLUMNS(metadata!B738:AB738)</f>
        <v>1</v>
      </c>
      <c r="AK738" t="str">
        <v/>
      </c>
      <c r="AM738" t="b">
        <f ca="1">AND(IF(metadata!B738="",FALSE,TRUE),COUNTIF(metadata!B:B, metadata!B738) = 1,NOT(ISERROR(SUMPRODUCT(SEARCH(MID(metadata!B738,ROW(INDIRECT("1:"&amp;LEN(metadata!B738))), 1),"0123456789abcdefghijklmnopqrstuvwxyzABCDEFGHIJKLMNOPQRSTUVWXYZ.")))))</f>
        <v>0</v>
      </c>
      <c r="AN738" t="b">
        <f ca="1">OR(AND(IF(metadata!C738="",FALSE,TRUE),OR(EXACT(metadata!C738,"missing: not collected"),EXACT(metadata!C738,"missing: not provided"),EXACT(metadata!C738,"missing: restricted access"))),AND(IF(metadata!C738="",FALSE,TRUE),AND(AND(IFERROR(INT(LEFT(metadata!C738,4))&gt;1900,FALSE),IFERROR(INT(LEFT(metadata!C738,4))&lt;=YEAR(NOW()),FALSE)), OR(MID(metadata!C738,5,1)="", AND(AND(MID(metadata!C738,5,1)="-",IFERROR(INT(MID(metadata!C738,6,1))&gt;=0,FALSE),IFERROR(INT(MID(metadata!C738,6,1))&lt;=1,FALSE),NOT(MID(metadata!C738,7,1)=""),IFERROR(INT(MID(metadata!C738,6,2))&gt;=1,FALSE),IFERROR(INT(MID(metadata!C738,6,2))&lt;=12,FALSE)), OR(MID(metadata!C738,8,1)="", AND(AND(MID(metadata!C738,8,1)="-",IFERROR(INT(MID(metadata!C738,9,1))&gt;=0,FALSE),IFERROR(INT(MID(metadata!C738,9,1))&lt;=3,FALSE),NOT(MID(metadata!C738,10,1)=""),IFERROR(INT(MID(metadata!C738,9,2))&gt;=1,FALSE),IFERROR(INT(MID(metadata!C738,9,2))&lt;=31,FALSE)), OR(MID(metadata!C738,11,1)="", AND(AND(MID(metadata!C738,11,1)=" ",IFERROR(INT(MID(metadata!C738,12,1))&gt;=0,FALSE),IFERROR(INT(MID(metadata!C738,12,1))&lt;=2,FALSE),NOT(MID(metadata!C738,13,1)=""),IFERROR(INT(MID(metadata!C738,12,2))&gt;=0,FALSE),IFERROR(INT(MID(metadata!C738,12,2))&lt;=23,FALSE)), OR(MID(metadata!C738,14,1)="", AND(AND(MID(metadata!C738,14,1)=":",IFERROR(INT(MID(metadata!C738,15,1))&gt;=0,FALSE),IFERROR(INT(MID(metadata!C738,15,1))&lt;=5,FALSE),NOT(MID(metadata!C738,16,1)=""),IFERROR(INT(MID(metadata!C738,15,2))&gt;=0,FALSE),IFERROR(INT(MID(metadata!C738,15,2))&lt;=59,FALSE)), OR(MID(metadata!C738,17,1)="", AND(AND(MID(metadata!C738,17,1)=":",IFERROR(INT(MID(metadata!C738,18,1))&gt;=0,FALSE),IFERROR(INT(MID(metadata!C738,18,1))&lt;=5,FALSE),NOT(MID(metadata!C738,19,1)=""),IFERROR(INT(MID(metadata!C738,18,2))&gt;=0,FALSE),IFERROR(INT(MID(metadata!C738,18,2))&lt;=59,FALSE)), LEN(metadata!C738)&lt;=19)))))))))))))</f>
        <v>0</v>
      </c>
      <c r="AO738" t="b">
        <f>AND(IF(metadata!D738="",FALSE,TRUE),EXACT(metadata!D738,"Not applicable"))</f>
        <v>0</v>
      </c>
      <c r="AP738" t="b">
        <f>IF(metadata!E738="",FALSE,TRUE)</f>
        <v>0</v>
      </c>
      <c r="AQ738" t="b">
        <f>OR(AND(IF(metadata!F738="",FALSE,TRUE),OR(EXACT(metadata!F738,"missing: not collected"),EXACT(metadata!F738,"missing: not provided"))),AND(IF(metadata!F738="",FALSE,TRUE),OR(EXACT(metadata!F738,"TRUE"),EXACT(metadata!F738,"FALSE"))))</f>
        <v>0</v>
      </c>
      <c r="AR738" t="b">
        <f>OR(AND(IF(metadata!G738="",FALSE,TRUE),OR(EXACT(metadata!G738,"missing: not collected"),EXACT(metadata!G738,"missing: not provided"),EXACT(metadata!G738,"missing: restricted access"))),AND(IF(metadata!G738="",FALSE,ISNUMBER(VALUE(metadata!G738))),metadata!G738&gt;=-413))</f>
        <v>0</v>
      </c>
      <c r="AS738" t="b">
        <f>AND(IF(metadata!H738="",FALSE,TRUE),EXACT(metadata!H738,"meters"))</f>
        <v>0</v>
      </c>
      <c r="AT738" t="b">
        <f>AND(IF(metadata!I738="",FALSE,TRUE),OR(EXACT(metadata!I738,"Host-associated"),EXACT(metadata!I738,"Free-living")))</f>
        <v>0</v>
      </c>
      <c r="AU738" t="b">
        <f>AND(IF(metadata!J738="",FALSE,TRUE),OR(EXACT(metadata!J738,"Animal"),EXACT(metadata!J738,"Fungus"),EXACT(metadata!J738,"Plant"),EXACT(metadata!J738,"Saline"),EXACT(metadata!J738,"Non-saline")))</f>
        <v>0</v>
      </c>
      <c r="AV738" t="b">
        <f>AND(IF(metadata!K738="",FALSE,TRUE),OR(EXACT(metadata!K738,"Plant secretion"),EXACT(metadata!K738,"Plant rhizosphere"),EXACT(metadata!K738,"Plant surface"),EXACT(metadata!K738,"Plant corpus"),EXACT(metadata!K738,"Fungus surface"),EXACT(metadata!K738,"Fungus corpus"),EXACT(metadata!K738,"Animal surface"),EXACT(metadata!K738,"Animal proximal gut"),EXACT(metadata!K738,"Animal corpus"),EXACT(metadata!K738,"Animal distal gut"),EXACT(metadata!K738,"Animal secretion"),EXACT(metadata!K738,"Sub-surface (non-saline)"),EXACT(metadata!K738,"Surface (non-saline)"),EXACT(metadata!K738,"Water (non-saline)"),EXACT(metadata!K738,"Soil (non-saline)"),EXACT(metadata!K738,"Aerosol (non-saline)"),EXACT(metadata!K738,"Sediment (non-saline)"),EXACT(metadata!K738,"Surface (saline)"),EXACT(metadata!K738,"Water (saline)"),EXACT(metadata!K738,"Hypersaline (saline)"),EXACT(metadata!K738,"Aerosol (saline)"),EXACT(metadata!K738,"Sediment (saline)")))</f>
        <v>0</v>
      </c>
      <c r="AW738" t="b">
        <f>IF(metadata!L738="",FALSE,TRUE)</f>
        <v>0</v>
      </c>
      <c r="AX738" t="b">
        <f>IF(metadata!M738="",FALSE,TRUE)</f>
        <v>0</v>
      </c>
      <c r="AY738" t="b">
        <f>IF(metadata!N738="",FALSE,TRUE)</f>
        <v>0</v>
      </c>
      <c r="AZ738" t="b">
        <f>OR(AND(IF(metadata!O738="",FALSE,TRUE),OR(EXACT(metadata!O738,"missing: not collected"),EXACT(metadata!O738,"missing: not provided"),EXACT(metadata!O738,"missing: restricted access"))),AND(IF(metadata!O738="",FALSE,TRUE),OR(EXACT(metadata!O738,"air"),EXACT(metadata!O738,"built environment"),EXACT(metadata!O738,"host-associated"),EXACT(metadata!O738,"human-associated"),EXACT(metadata!O738,"human-skin"),EXACT(metadata!O738,"human-oral"),EXACT(metadata!O738,"human-gut"),EXACT(metadata!O738,"human-vaginal"),EXACT(metadata!O738,"microbial mat/biofilm"),EXACT(metadata!O738,"misc environment"),EXACT(metadata!O738,"plant-associated"),EXACT(metadata!O738,"sediment"),EXACT(metadata!O738,"soil"),EXACT(metadata!O738,"wastewater/sludge"),EXACT(metadata!O738,"water"))))</f>
        <v>0</v>
      </c>
      <c r="BA738" t="b">
        <f>IF(metadata!P738="",FALSE,TRUE)</f>
        <v>0</v>
      </c>
      <c r="BB738" t="b">
        <f>IF(metadata!Q738="",FALSE,TRUE)</f>
        <v>0</v>
      </c>
      <c r="BC738" t="b">
        <f>OR(AND(IF(metadata!R738="",FALSE,TRUE),OR(EXACT(metadata!R738,"missing: not collected"),EXACT(metadata!R738,"missing: not provided"),EXACT(metadata!R738,"missing: restricted access"))),AND(IF(metadata!R738="",FALSE,ISNUMBER(VALUE(metadata!R738))),metadata!R738&gt;=-90,metadata!R738&lt;=90))</f>
        <v>0</v>
      </c>
      <c r="BD738" t="b">
        <f>AND(IF(metadata!S738="",FALSE,TRUE),EXACT(metadata!S738,"Decimal degrees"))</f>
        <v>0</v>
      </c>
      <c r="BE738" t="b">
        <f>OR(AND(IF(metadata!T738="",FALSE,TRUE),OR(EXACT(metadata!T738,"missing: not collected"),EXACT(metadata!T738,"missing: not provided"),EXACT(metadata!T738,"missing: restricted access"))),AND(IF(metadata!T738="",FALSE,ISNUMBER(VALUE(metadata!T738))),metadata!T738&gt;=-180,metadata!T738&lt;=180))</f>
        <v>0</v>
      </c>
      <c r="BF738" t="b">
        <f>AND(IF(metadata!U738="",FALSE,TRUE),EXACT(metadata!U738,"Decimal degrees"))</f>
        <v>0</v>
      </c>
      <c r="BG738" t="b">
        <f>IF(metadata!V738="",FALSE,TRUE)</f>
        <v>0</v>
      </c>
      <c r="BH738" t="b">
        <f>OR(AND(IF(metadata!W738="",FALSE,TRUE),OR(EXACT(metadata!W738,"missing: not collected"),EXACT(metadata!W738,"missing: not provided"),EXACT(metadata!W738,"missing: restricted access"))),AND(IF(metadata!W738="",FALSE,TRUE),OR(EXACT(metadata!W738,"TRUE"),EXACT(metadata!W738,"FALSE"))))</f>
        <v>0</v>
      </c>
      <c r="BI738" t="b">
        <f>AND(IF(metadata!X738="",FALSE,TRUE),EXACT(metadata!X738,"other"))</f>
        <v>0</v>
      </c>
      <c r="BJ738" t="b">
        <f>IF(metadata!Y738="",FALSE,TRUE)</f>
        <v>0</v>
      </c>
      <c r="BK738" t="b">
        <f>OR(AND(IF(metadata!Z738="",FALSE,TRUE),OR(EXACT(metadata!Z738,"missing: not collected"),EXACT(metadata!Z738,"missing: not provided"))),AND(IF(metadata!Z738="",FALSE,IF(ISERROR(INT(metadata!Z738)),FALSE,INT(metadata!Z738)=metadata!Z738)),metadata!Z738&gt;0))</f>
        <v>0</v>
      </c>
      <c r="BL738" t="b">
        <f>AND(IF(metadata!AA738="",FALSE,TRUE),EXACT(metadata!AA738,"Not applicable"))</f>
        <v>0</v>
      </c>
      <c r="BM738" t="b">
        <f>IF(metadata!AB738="",FALSE,TRUE)</f>
        <v>0</v>
      </c>
    </row>
    <row r="739" spans="1:65" x14ac:dyDescent="0.2">
      <c r="A739" s="5" t="str">
        <f ca="1">IF(B739=" "," ",HYPERLINK(CONCATENATE("#metadata!",ADDRESS(INDEX($AH$2:$AH$1001,MATCH(ROWS($AF$2:AF739),$AF$2:$AF$1001,0),0),1)),INDEX($AK$2:$AK$1001,MATCH(ROWS($AF$2:AF739),$AF$2:$AF$1001,0),0)))</f>
        <v xml:space="preserve"> </v>
      </c>
      <c r="B739" s="4" t="str">
        <f ca="1">IF(OR(INDEX($AG$2:$AG$1001,MATCH(ROWS($AF$2:AF739),$AF$2:$AF$1001,0),1)&gt;=100000,INDEX($AM$1005:$BM$1005,1,MATCH(COLUMNS($AM$1006:AM1006),$AM$1006:$BM$1006,0))&gt;=100000), " ",IF(INDEX($AM$2:$BM$1001,MATCH(ROWS($AF$2:AF739),$AF$2:$AF$1001,0),MATCH(COLUMNS($AM$1006:AM1006),$AM$1006:$BM$1006,0)), HYPERLINK("#",""), HYPERLINK(CONCATENATE("#metadata!", ADDRESS(INDEX($AH$2:$AH$1001,MATCH(ROWS($AF$2:AF739),$AF$2:$AF$1001,0),0), INDEX($AM$1004:$BM$1004,1,MATCH(COLUMNS($AM$1006:AM1006),$AM$1006:$BM$1006,0)))),"Fix")))</f>
        <v xml:space="preserve"> </v>
      </c>
      <c r="C739" s="4" t="str">
        <f ca="1">IF(OR(INDEX($AG$2:$AG$1001,MATCH(ROWS($AF$2:AF739),$AF$2:$AF$1001,0),1)&gt;=100000,INDEX($AM$1005:$BM$1005,1,MATCH(COLUMNS($AM$1006:AN1006),$AM$1006:$BM$1006,0))&gt;=100000), " ",IF(INDEX($AM$2:$BM$1001,MATCH(ROWS($AF$2:AF739),$AF$2:$AF$1001,0),MATCH(COLUMNS($AM$1006:AN1006),$AM$1006:$BM$1006,0)), HYPERLINK("#",""), HYPERLINK(CONCATENATE("#metadata!", ADDRESS(INDEX($AH$2:$AH$1001,MATCH(ROWS($AF$2:AF739),$AF$2:$AF$1001,0),0), INDEX($AM$1004:$BM$1004,1,MATCH(COLUMNS($AM$1006:AN1006),$AM$1006:$BM$1006,0)))),"Fix")))</f>
        <v xml:space="preserve"> </v>
      </c>
      <c r="D739" s="4" t="str">
        <f ca="1">IF(OR(INDEX($AG$2:$AG$1001,MATCH(ROWS($AF$2:AF739),$AF$2:$AF$1001,0),1)&gt;=100000,INDEX($AM$1005:$BM$1005,1,MATCH(COLUMNS($AM$1006:AO1006),$AM$1006:$BM$1006,0))&gt;=100000), " ",IF(INDEX($AM$2:$BM$1001,MATCH(ROWS($AF$2:AF739),$AF$2:$AF$1001,0),MATCH(COLUMNS($AM$1006:AO1006),$AM$1006:$BM$1006,0)), HYPERLINK("#",""), HYPERLINK(CONCATENATE("#metadata!", ADDRESS(INDEX($AH$2:$AH$1001,MATCH(ROWS($AF$2:AF739),$AF$2:$AF$1001,0),0), INDEX($AM$1004:$BM$1004,1,MATCH(COLUMNS($AM$1006:AO1006),$AM$1006:$BM$1006,0)))),"Fix")))</f>
        <v xml:space="preserve"> </v>
      </c>
      <c r="E739" s="4" t="str">
        <f ca="1">IF(OR(INDEX($AG$2:$AG$1001,MATCH(ROWS($AF$2:AF739),$AF$2:$AF$1001,0),1)&gt;=100000,INDEX($AM$1005:$BM$1005,1,MATCH(COLUMNS($AM$1006:AP1006),$AM$1006:$BM$1006,0))&gt;=100000), " ",IF(INDEX($AM$2:$BM$1001,MATCH(ROWS($AF$2:AF739),$AF$2:$AF$1001,0),MATCH(COLUMNS($AM$1006:AP1006),$AM$1006:$BM$1006,0)), HYPERLINK("#",""), HYPERLINK(CONCATENATE("#metadata!", ADDRESS(INDEX($AH$2:$AH$1001,MATCH(ROWS($AF$2:AF739),$AF$2:$AF$1001,0),0), INDEX($AM$1004:$BM$1004,1,MATCH(COLUMNS($AM$1006:AP1006),$AM$1006:$BM$1006,0)))),"Fix")))</f>
        <v xml:space="preserve"> </v>
      </c>
      <c r="F739" s="4" t="str">
        <f ca="1">IF(OR(INDEX($AG$2:$AG$1001,MATCH(ROWS($AF$2:AF739),$AF$2:$AF$1001,0),1)&gt;=100000,INDEX($AM$1005:$BM$1005,1,MATCH(COLUMNS($AM$1006:AQ1006),$AM$1006:$BM$1006,0))&gt;=100000), " ",IF(INDEX($AM$2:$BM$1001,MATCH(ROWS($AF$2:AF739),$AF$2:$AF$1001,0),MATCH(COLUMNS($AM$1006:AQ1006),$AM$1006:$BM$1006,0)), HYPERLINK("#",""), HYPERLINK(CONCATENATE("#metadata!", ADDRESS(INDEX($AH$2:$AH$1001,MATCH(ROWS($AF$2:AF739),$AF$2:$AF$1001,0),0), INDEX($AM$1004:$BM$1004,1,MATCH(COLUMNS($AM$1006:AQ1006),$AM$1006:$BM$1006,0)))),"Fix")))</f>
        <v xml:space="preserve"> </v>
      </c>
      <c r="G739" s="4" t="str">
        <f ca="1">IF(OR(INDEX($AG$2:$AG$1001,MATCH(ROWS($AF$2:AF739),$AF$2:$AF$1001,0),1)&gt;=100000,INDEX($AM$1005:$BM$1005,1,MATCH(COLUMNS($AM$1006:AR1006),$AM$1006:$BM$1006,0))&gt;=100000), " ",IF(INDEX($AM$2:$BM$1001,MATCH(ROWS($AF$2:AF739),$AF$2:$AF$1001,0),MATCH(COLUMNS($AM$1006:AR1006),$AM$1006:$BM$1006,0)), HYPERLINK("#",""), HYPERLINK(CONCATENATE("#metadata!", ADDRESS(INDEX($AH$2:$AH$1001,MATCH(ROWS($AF$2:AF739),$AF$2:$AF$1001,0),0), INDEX($AM$1004:$BM$1004,1,MATCH(COLUMNS($AM$1006:AR1006),$AM$1006:$BM$1006,0)))),"Fix")))</f>
        <v xml:space="preserve"> </v>
      </c>
      <c r="H739" s="4" t="str">
        <f ca="1">IF(OR(INDEX($AG$2:$AG$1001,MATCH(ROWS($AF$2:AF739),$AF$2:$AF$1001,0),1)&gt;=100000,INDEX($AM$1005:$BM$1005,1,MATCH(COLUMNS($AM$1006:AS1006),$AM$1006:$BM$1006,0))&gt;=100000), " ",IF(INDEX($AM$2:$BM$1001,MATCH(ROWS($AF$2:AF739),$AF$2:$AF$1001,0),MATCH(COLUMNS($AM$1006:AS1006),$AM$1006:$BM$1006,0)), HYPERLINK("#",""), HYPERLINK(CONCATENATE("#metadata!", ADDRESS(INDEX($AH$2:$AH$1001,MATCH(ROWS($AF$2:AF739),$AF$2:$AF$1001,0),0), INDEX($AM$1004:$BM$1004,1,MATCH(COLUMNS($AM$1006:AS1006),$AM$1006:$BM$1006,0)))),"Fix")))</f>
        <v xml:space="preserve"> </v>
      </c>
      <c r="I739" s="4" t="str">
        <f ca="1">IF(OR(INDEX($AG$2:$AG$1001,MATCH(ROWS($AF$2:AF739),$AF$2:$AF$1001,0),1)&gt;=100000,INDEX($AM$1005:$BM$1005,1,MATCH(COLUMNS($AM$1006:AT1006),$AM$1006:$BM$1006,0))&gt;=100000), " ",IF(INDEX($AM$2:$BM$1001,MATCH(ROWS($AF$2:AF739),$AF$2:$AF$1001,0),MATCH(COLUMNS($AM$1006:AT1006),$AM$1006:$BM$1006,0)), HYPERLINK("#",""), HYPERLINK(CONCATENATE("#metadata!", ADDRESS(INDEX($AH$2:$AH$1001,MATCH(ROWS($AF$2:AF739),$AF$2:$AF$1001,0),0), INDEX($AM$1004:$BM$1004,1,MATCH(COLUMNS($AM$1006:AT1006),$AM$1006:$BM$1006,0)))),"Fix")))</f>
        <v xml:space="preserve"> </v>
      </c>
      <c r="J739" s="4" t="str">
        <f ca="1">IF(OR(INDEX($AG$2:$AG$1001,MATCH(ROWS($AF$2:AF739),$AF$2:$AF$1001,0),1)&gt;=100000,INDEX($AM$1005:$BM$1005,1,MATCH(COLUMNS($AM$1006:AU1006),$AM$1006:$BM$1006,0))&gt;=100000), " ",IF(INDEX($AM$2:$BM$1001,MATCH(ROWS($AF$2:AF739),$AF$2:$AF$1001,0),MATCH(COLUMNS($AM$1006:AU1006),$AM$1006:$BM$1006,0)), HYPERLINK("#",""), HYPERLINK(CONCATENATE("#metadata!", ADDRESS(INDEX($AH$2:$AH$1001,MATCH(ROWS($AF$2:AF739),$AF$2:$AF$1001,0),0), INDEX($AM$1004:$BM$1004,1,MATCH(COLUMNS($AM$1006:AU1006),$AM$1006:$BM$1006,0)))),"Fix")))</f>
        <v xml:space="preserve"> </v>
      </c>
      <c r="K739" s="4" t="str">
        <f ca="1">IF(OR(INDEX($AG$2:$AG$1001,MATCH(ROWS($AF$2:AF739),$AF$2:$AF$1001,0),1)&gt;=100000,INDEX($AM$1005:$BM$1005,1,MATCH(COLUMNS($AM$1006:AV1006),$AM$1006:$BM$1006,0))&gt;=100000), " ",IF(INDEX($AM$2:$BM$1001,MATCH(ROWS($AF$2:AF739),$AF$2:$AF$1001,0),MATCH(COLUMNS($AM$1006:AV1006),$AM$1006:$BM$1006,0)), HYPERLINK("#",""), HYPERLINK(CONCATENATE("#metadata!", ADDRESS(INDEX($AH$2:$AH$1001,MATCH(ROWS($AF$2:AF739),$AF$2:$AF$1001,0),0), INDEX($AM$1004:$BM$1004,1,MATCH(COLUMNS($AM$1006:AV1006),$AM$1006:$BM$1006,0)))),"Fix")))</f>
        <v xml:space="preserve"> </v>
      </c>
      <c r="L739" s="4" t="str">
        <f ca="1">IF(OR(INDEX($AG$2:$AG$1001,MATCH(ROWS($AF$2:AF739),$AF$2:$AF$1001,0),1)&gt;=100000,INDEX($AM$1005:$BM$1005,1,MATCH(COLUMNS($AM$1006:AW1006),$AM$1006:$BM$1006,0))&gt;=100000), " ",IF(INDEX($AM$2:$BM$1001,MATCH(ROWS($AF$2:AF739),$AF$2:$AF$1001,0),MATCH(COLUMNS($AM$1006:AW1006),$AM$1006:$BM$1006,0)), HYPERLINK("#",""), HYPERLINK(CONCATENATE("#metadata!", ADDRESS(INDEX($AH$2:$AH$1001,MATCH(ROWS($AF$2:AF739),$AF$2:$AF$1001,0),0), INDEX($AM$1004:$BM$1004,1,MATCH(COLUMNS($AM$1006:AW1006),$AM$1006:$BM$1006,0)))),"Fix")))</f>
        <v xml:space="preserve"> </v>
      </c>
      <c r="M739" s="4" t="str">
        <f ca="1">IF(OR(INDEX($AG$2:$AG$1001,MATCH(ROWS($AF$2:AF739),$AF$2:$AF$1001,0),1)&gt;=100000,INDEX($AM$1005:$BM$1005,1,MATCH(COLUMNS($AM$1006:AX1006),$AM$1006:$BM$1006,0))&gt;=100000), " ",IF(INDEX($AM$2:$BM$1001,MATCH(ROWS($AF$2:AF739),$AF$2:$AF$1001,0),MATCH(COLUMNS($AM$1006:AX1006),$AM$1006:$BM$1006,0)), HYPERLINK("#",""), HYPERLINK(CONCATENATE("#metadata!", ADDRESS(INDEX($AH$2:$AH$1001,MATCH(ROWS($AF$2:AF739),$AF$2:$AF$1001,0),0), INDEX($AM$1004:$BM$1004,1,MATCH(COLUMNS($AM$1006:AX1006),$AM$1006:$BM$1006,0)))),"Fix")))</f>
        <v xml:space="preserve"> </v>
      </c>
      <c r="N739" s="4" t="str">
        <f ca="1">IF(OR(INDEX($AG$2:$AG$1001,MATCH(ROWS($AF$2:AF739),$AF$2:$AF$1001,0),1)&gt;=100000,INDEX($AM$1005:$BM$1005,1,MATCH(COLUMNS($AM$1006:AY1006),$AM$1006:$BM$1006,0))&gt;=100000), " ",IF(INDEX($AM$2:$BM$1001,MATCH(ROWS($AF$2:AF739),$AF$2:$AF$1001,0),MATCH(COLUMNS($AM$1006:AY1006),$AM$1006:$BM$1006,0)), HYPERLINK("#",""), HYPERLINK(CONCATENATE("#metadata!", ADDRESS(INDEX($AH$2:$AH$1001,MATCH(ROWS($AF$2:AF739),$AF$2:$AF$1001,0),0), INDEX($AM$1004:$BM$1004,1,MATCH(COLUMNS($AM$1006:AY1006),$AM$1006:$BM$1006,0)))),"Fix")))</f>
        <v xml:space="preserve"> </v>
      </c>
      <c r="O739" s="4" t="str">
        <f ca="1">IF(OR(INDEX($AG$2:$AG$1001,MATCH(ROWS($AF$2:AF739),$AF$2:$AF$1001,0),1)&gt;=100000,INDEX($AM$1005:$BM$1005,1,MATCH(COLUMNS($AM$1006:AZ1006),$AM$1006:$BM$1006,0))&gt;=100000), " ",IF(INDEX($AM$2:$BM$1001,MATCH(ROWS($AF$2:AF739),$AF$2:$AF$1001,0),MATCH(COLUMNS($AM$1006:AZ1006),$AM$1006:$BM$1006,0)), HYPERLINK("#",""), HYPERLINK(CONCATENATE("#metadata!", ADDRESS(INDEX($AH$2:$AH$1001,MATCH(ROWS($AF$2:AF739),$AF$2:$AF$1001,0),0), INDEX($AM$1004:$BM$1004,1,MATCH(COLUMNS($AM$1006:AZ1006),$AM$1006:$BM$1006,0)))),"Fix")))</f>
        <v xml:space="preserve"> </v>
      </c>
      <c r="P739" s="4" t="str">
        <f ca="1">IF(OR(INDEX($AG$2:$AG$1001,MATCH(ROWS($AF$2:AF739),$AF$2:$AF$1001,0),1)&gt;=100000,INDEX($AM$1005:$BM$1005,1,MATCH(COLUMNS($AM$1006:BA1006),$AM$1006:$BM$1006,0))&gt;=100000), " ",IF(INDEX($AM$2:$BM$1001,MATCH(ROWS($AF$2:AF739),$AF$2:$AF$1001,0),MATCH(COLUMNS($AM$1006:BA1006),$AM$1006:$BM$1006,0)), HYPERLINK("#",""), HYPERLINK(CONCATENATE("#metadata!", ADDRESS(INDEX($AH$2:$AH$1001,MATCH(ROWS($AF$2:AF739),$AF$2:$AF$1001,0),0), INDEX($AM$1004:$BM$1004,1,MATCH(COLUMNS($AM$1006:BA1006),$AM$1006:$BM$1006,0)))),"Fix")))</f>
        <v xml:space="preserve"> </v>
      </c>
      <c r="Q739" s="4" t="str">
        <f ca="1">IF(OR(INDEX($AG$2:$AG$1001,MATCH(ROWS($AF$2:AF739),$AF$2:$AF$1001,0),1)&gt;=100000,INDEX($AM$1005:$BM$1005,1,MATCH(COLUMNS($AM$1006:BB1006),$AM$1006:$BM$1006,0))&gt;=100000), " ",IF(INDEX($AM$2:$BM$1001,MATCH(ROWS($AF$2:AF739),$AF$2:$AF$1001,0),MATCH(COLUMNS($AM$1006:BB1006),$AM$1006:$BM$1006,0)), HYPERLINK("#",""), HYPERLINK(CONCATENATE("#metadata!", ADDRESS(INDEX($AH$2:$AH$1001,MATCH(ROWS($AF$2:AF739),$AF$2:$AF$1001,0),0), INDEX($AM$1004:$BM$1004,1,MATCH(COLUMNS($AM$1006:BB1006),$AM$1006:$BM$1006,0)))),"Fix")))</f>
        <v xml:space="preserve"> </v>
      </c>
      <c r="R739" s="4" t="str">
        <f ca="1">IF(OR(INDEX($AG$2:$AG$1001,MATCH(ROWS($AF$2:AF739),$AF$2:$AF$1001,0),1)&gt;=100000,INDEX($AM$1005:$BM$1005,1,MATCH(COLUMNS($AM$1006:BC1006),$AM$1006:$BM$1006,0))&gt;=100000), " ",IF(INDEX($AM$2:$BM$1001,MATCH(ROWS($AF$2:AF739),$AF$2:$AF$1001,0),MATCH(COLUMNS($AM$1006:BC1006),$AM$1006:$BM$1006,0)), HYPERLINK("#",""), HYPERLINK(CONCATENATE("#metadata!", ADDRESS(INDEX($AH$2:$AH$1001,MATCH(ROWS($AF$2:AF739),$AF$2:$AF$1001,0),0), INDEX($AM$1004:$BM$1004,1,MATCH(COLUMNS($AM$1006:BC1006),$AM$1006:$BM$1006,0)))),"Fix")))</f>
        <v xml:space="preserve"> </v>
      </c>
      <c r="S739" s="4" t="str">
        <f ca="1">IF(OR(INDEX($AG$2:$AG$1001,MATCH(ROWS($AF$2:AF739),$AF$2:$AF$1001,0),1)&gt;=100000,INDEX($AM$1005:$BM$1005,1,MATCH(COLUMNS($AM$1006:BD1006),$AM$1006:$BM$1006,0))&gt;=100000), " ",IF(INDEX($AM$2:$BM$1001,MATCH(ROWS($AF$2:AF739),$AF$2:$AF$1001,0),MATCH(COLUMNS($AM$1006:BD1006),$AM$1006:$BM$1006,0)), HYPERLINK("#",""), HYPERLINK(CONCATENATE("#metadata!", ADDRESS(INDEX($AH$2:$AH$1001,MATCH(ROWS($AF$2:AF739),$AF$2:$AF$1001,0),0), INDEX($AM$1004:$BM$1004,1,MATCH(COLUMNS($AM$1006:BD1006),$AM$1006:$BM$1006,0)))),"Fix")))</f>
        <v xml:space="preserve"> </v>
      </c>
      <c r="T739" s="4" t="str">
        <f ca="1">IF(OR(INDEX($AG$2:$AG$1001,MATCH(ROWS($AF$2:AF739),$AF$2:$AF$1001,0),1)&gt;=100000,INDEX($AM$1005:$BM$1005,1,MATCH(COLUMNS($AM$1006:BE1006),$AM$1006:$BM$1006,0))&gt;=100000), " ",IF(INDEX($AM$2:$BM$1001,MATCH(ROWS($AF$2:AF739),$AF$2:$AF$1001,0),MATCH(COLUMNS($AM$1006:BE1006),$AM$1006:$BM$1006,0)), HYPERLINK("#",""), HYPERLINK(CONCATENATE("#metadata!", ADDRESS(INDEX($AH$2:$AH$1001,MATCH(ROWS($AF$2:AF739),$AF$2:$AF$1001,0),0), INDEX($AM$1004:$BM$1004,1,MATCH(COLUMNS($AM$1006:BE1006),$AM$1006:$BM$1006,0)))),"Fix")))</f>
        <v xml:space="preserve"> </v>
      </c>
      <c r="U739" s="4" t="str">
        <f ca="1">IF(OR(INDEX($AG$2:$AG$1001,MATCH(ROWS($AF$2:AF739),$AF$2:$AF$1001,0),1)&gt;=100000,INDEX($AM$1005:$BM$1005,1,MATCH(COLUMNS($AM$1006:BF1006),$AM$1006:$BM$1006,0))&gt;=100000), " ",IF(INDEX($AM$2:$BM$1001,MATCH(ROWS($AF$2:AF739),$AF$2:$AF$1001,0),MATCH(COLUMNS($AM$1006:BF1006),$AM$1006:$BM$1006,0)), HYPERLINK("#",""), HYPERLINK(CONCATENATE("#metadata!", ADDRESS(INDEX($AH$2:$AH$1001,MATCH(ROWS($AF$2:AF739),$AF$2:$AF$1001,0),0), INDEX($AM$1004:$BM$1004,1,MATCH(COLUMNS($AM$1006:BF1006),$AM$1006:$BM$1006,0)))),"Fix")))</f>
        <v xml:space="preserve"> </v>
      </c>
      <c r="V739" s="4" t="str">
        <f ca="1">IF(OR(INDEX($AG$2:$AG$1001,MATCH(ROWS($AF$2:AF739),$AF$2:$AF$1001,0),1)&gt;=100000,INDEX($AM$1005:$BM$1005,1,MATCH(COLUMNS($AM$1006:BG1006),$AM$1006:$BM$1006,0))&gt;=100000), " ",IF(INDEX($AM$2:$BM$1001,MATCH(ROWS($AF$2:AF739),$AF$2:$AF$1001,0),MATCH(COLUMNS($AM$1006:BG1006),$AM$1006:$BM$1006,0)), HYPERLINK("#",""), HYPERLINK(CONCATENATE("#metadata!", ADDRESS(INDEX($AH$2:$AH$1001,MATCH(ROWS($AF$2:AF739),$AF$2:$AF$1001,0),0), INDEX($AM$1004:$BM$1004,1,MATCH(COLUMNS($AM$1006:BG1006),$AM$1006:$BM$1006,0)))),"Fix")))</f>
        <v xml:space="preserve"> </v>
      </c>
      <c r="W739" s="4" t="str">
        <f ca="1">IF(OR(INDEX($AG$2:$AG$1001,MATCH(ROWS($AF$2:AF739),$AF$2:$AF$1001,0),1)&gt;=100000,INDEX($AM$1005:$BM$1005,1,MATCH(COLUMNS($AM$1006:BH1006),$AM$1006:$BM$1006,0))&gt;=100000), " ",IF(INDEX($AM$2:$BM$1001,MATCH(ROWS($AF$2:AF739),$AF$2:$AF$1001,0),MATCH(COLUMNS($AM$1006:BH1006),$AM$1006:$BM$1006,0)), HYPERLINK("#",""), HYPERLINK(CONCATENATE("#metadata!", ADDRESS(INDEX($AH$2:$AH$1001,MATCH(ROWS($AF$2:AF739),$AF$2:$AF$1001,0),0), INDEX($AM$1004:$BM$1004,1,MATCH(COLUMNS($AM$1006:BH1006),$AM$1006:$BM$1006,0)))),"Fix")))</f>
        <v xml:space="preserve"> </v>
      </c>
      <c r="X739" s="4" t="str">
        <f ca="1">IF(OR(INDEX($AG$2:$AG$1001,MATCH(ROWS($AF$2:AF739),$AF$2:$AF$1001,0),1)&gt;=100000,INDEX($AM$1005:$BM$1005,1,MATCH(COLUMNS($AM$1006:BI1006),$AM$1006:$BM$1006,0))&gt;=100000), " ",IF(INDEX($AM$2:$BM$1001,MATCH(ROWS($AF$2:AF739),$AF$2:$AF$1001,0),MATCH(COLUMNS($AM$1006:BI1006),$AM$1006:$BM$1006,0)), HYPERLINK("#",""), HYPERLINK(CONCATENATE("#metadata!", ADDRESS(INDEX($AH$2:$AH$1001,MATCH(ROWS($AF$2:AF739),$AF$2:$AF$1001,0),0), INDEX($AM$1004:$BM$1004,1,MATCH(COLUMNS($AM$1006:BI1006),$AM$1006:$BM$1006,0)))),"Fix")))</f>
        <v xml:space="preserve"> </v>
      </c>
      <c r="Y739" s="4" t="str">
        <f ca="1">IF(OR(INDEX($AG$2:$AG$1001,MATCH(ROWS($AF$2:AF739),$AF$2:$AF$1001,0),1)&gt;=100000,INDEX($AM$1005:$BM$1005,1,MATCH(COLUMNS($AM$1006:BJ1006),$AM$1006:$BM$1006,0))&gt;=100000), " ",IF(INDEX($AM$2:$BM$1001,MATCH(ROWS($AF$2:AF739),$AF$2:$AF$1001,0),MATCH(COLUMNS($AM$1006:BJ1006),$AM$1006:$BM$1006,0)), HYPERLINK("#",""), HYPERLINK(CONCATENATE("#metadata!", ADDRESS(INDEX($AH$2:$AH$1001,MATCH(ROWS($AF$2:AF739),$AF$2:$AF$1001,0),0), INDEX($AM$1004:$BM$1004,1,MATCH(COLUMNS($AM$1006:BJ1006),$AM$1006:$BM$1006,0)))),"Fix")))</f>
        <v xml:space="preserve"> </v>
      </c>
      <c r="Z739" s="4" t="str">
        <f ca="1">IF(OR(INDEX($AG$2:$AG$1001,MATCH(ROWS($AF$2:AF739),$AF$2:$AF$1001,0),1)&gt;=100000,INDEX($AM$1005:$BM$1005,1,MATCH(COLUMNS($AM$1006:BK1006),$AM$1006:$BM$1006,0))&gt;=100000), " ",IF(INDEX($AM$2:$BM$1001,MATCH(ROWS($AF$2:AF739),$AF$2:$AF$1001,0),MATCH(COLUMNS($AM$1006:BK1006),$AM$1006:$BM$1006,0)), HYPERLINK("#",""), HYPERLINK(CONCATENATE("#metadata!", ADDRESS(INDEX($AH$2:$AH$1001,MATCH(ROWS($AF$2:AF739),$AF$2:$AF$1001,0),0), INDEX($AM$1004:$BM$1004,1,MATCH(COLUMNS($AM$1006:BK1006),$AM$1006:$BM$1006,0)))),"Fix")))</f>
        <v xml:space="preserve"> </v>
      </c>
      <c r="AA739" s="4" t="str">
        <f ca="1">IF(OR(INDEX($AG$2:$AG$1001,MATCH(ROWS($AF$2:AF739),$AF$2:$AF$1001,0),1)&gt;=100000,INDEX($AM$1005:$BM$1005,1,MATCH(COLUMNS($AM$1006:BL1006),$AM$1006:$BM$1006,0))&gt;=100000), " ",IF(INDEX($AM$2:$BM$1001,MATCH(ROWS($AF$2:AF739),$AF$2:$AF$1001,0),MATCH(COLUMNS($AM$1006:BL1006),$AM$1006:$BM$1006,0)), HYPERLINK("#",""), HYPERLINK(CONCATENATE("#metadata!", ADDRESS(INDEX($AH$2:$AH$1001,MATCH(ROWS($AF$2:AF739),$AF$2:$AF$1001,0),0), INDEX($AM$1004:$BM$1004,1,MATCH(COLUMNS($AM$1006:BL1006),$AM$1006:$BM$1006,0)))),"Fix")))</f>
        <v xml:space="preserve"> </v>
      </c>
      <c r="AB739" s="4" t="str">
        <f ca="1">IF(OR(INDEX($AG$2:$AG$1001,MATCH(ROWS($AF$2:AF739),$AF$2:$AF$1001,0),1)&gt;=100000,INDEX($AM$1005:$BM$1005,1,MATCH(COLUMNS($AM$1006:BM1006),$AM$1006:$BM$1006,0))&gt;=100000), " ",IF(INDEX($AM$2:$BM$1001,MATCH(ROWS($AF$2:AF739),$AF$2:$AF$1001,0),MATCH(COLUMNS($AM$1006:BM1006),$AM$1006:$BM$1006,0)), HYPERLINK("#",""), HYPERLINK(CONCATENATE("#metadata!", ADDRESS(INDEX($AH$2:$AH$1001,MATCH(ROWS($AF$2:AF739),$AF$2:$AF$1001,0),0), INDEX($AM$1004:$BM$1004,1,MATCH(COLUMNS($AM$1006:BM1006),$AM$1006:$BM$1006,0)))),"Fix")))</f>
        <v xml:space="preserve"> </v>
      </c>
      <c r="AF739">
        <v>738</v>
      </c>
      <c r="AG739">
        <v>100739</v>
      </c>
      <c r="AH739">
        <v>739</v>
      </c>
      <c r="AI739" t="b">
        <f t="shared" si="11"/>
        <v>1</v>
      </c>
      <c r="AJ739" t="b">
        <f>COUNTBLANK(metadata!B739:AB739)=COLUMNS(metadata!B739:AB739)</f>
        <v>1</v>
      </c>
      <c r="AK739" t="str">
        <v/>
      </c>
      <c r="AM739" t="b">
        <f ca="1">AND(IF(metadata!B739="",FALSE,TRUE),COUNTIF(metadata!B:B, metadata!B739) = 1,NOT(ISERROR(SUMPRODUCT(SEARCH(MID(metadata!B739,ROW(INDIRECT("1:"&amp;LEN(metadata!B739))), 1),"0123456789abcdefghijklmnopqrstuvwxyzABCDEFGHIJKLMNOPQRSTUVWXYZ.")))))</f>
        <v>0</v>
      </c>
      <c r="AN739" t="b">
        <f ca="1">OR(AND(IF(metadata!C739="",FALSE,TRUE),OR(EXACT(metadata!C739,"missing: not collected"),EXACT(metadata!C739,"missing: not provided"),EXACT(metadata!C739,"missing: restricted access"))),AND(IF(metadata!C739="",FALSE,TRUE),AND(AND(IFERROR(INT(LEFT(metadata!C739,4))&gt;1900,FALSE),IFERROR(INT(LEFT(metadata!C739,4))&lt;=YEAR(NOW()),FALSE)), OR(MID(metadata!C739,5,1)="", AND(AND(MID(metadata!C739,5,1)="-",IFERROR(INT(MID(metadata!C739,6,1))&gt;=0,FALSE),IFERROR(INT(MID(metadata!C739,6,1))&lt;=1,FALSE),NOT(MID(metadata!C739,7,1)=""),IFERROR(INT(MID(metadata!C739,6,2))&gt;=1,FALSE),IFERROR(INT(MID(metadata!C739,6,2))&lt;=12,FALSE)), OR(MID(metadata!C739,8,1)="", AND(AND(MID(metadata!C739,8,1)="-",IFERROR(INT(MID(metadata!C739,9,1))&gt;=0,FALSE),IFERROR(INT(MID(metadata!C739,9,1))&lt;=3,FALSE),NOT(MID(metadata!C739,10,1)=""),IFERROR(INT(MID(metadata!C739,9,2))&gt;=1,FALSE),IFERROR(INT(MID(metadata!C739,9,2))&lt;=31,FALSE)), OR(MID(metadata!C739,11,1)="", AND(AND(MID(metadata!C739,11,1)=" ",IFERROR(INT(MID(metadata!C739,12,1))&gt;=0,FALSE),IFERROR(INT(MID(metadata!C739,12,1))&lt;=2,FALSE),NOT(MID(metadata!C739,13,1)=""),IFERROR(INT(MID(metadata!C739,12,2))&gt;=0,FALSE),IFERROR(INT(MID(metadata!C739,12,2))&lt;=23,FALSE)), OR(MID(metadata!C739,14,1)="", AND(AND(MID(metadata!C739,14,1)=":",IFERROR(INT(MID(metadata!C739,15,1))&gt;=0,FALSE),IFERROR(INT(MID(metadata!C739,15,1))&lt;=5,FALSE),NOT(MID(metadata!C739,16,1)=""),IFERROR(INT(MID(metadata!C739,15,2))&gt;=0,FALSE),IFERROR(INT(MID(metadata!C739,15,2))&lt;=59,FALSE)), OR(MID(metadata!C739,17,1)="", AND(AND(MID(metadata!C739,17,1)=":",IFERROR(INT(MID(metadata!C739,18,1))&gt;=0,FALSE),IFERROR(INT(MID(metadata!C739,18,1))&lt;=5,FALSE),NOT(MID(metadata!C739,19,1)=""),IFERROR(INT(MID(metadata!C739,18,2))&gt;=0,FALSE),IFERROR(INT(MID(metadata!C739,18,2))&lt;=59,FALSE)), LEN(metadata!C739)&lt;=19)))))))))))))</f>
        <v>0</v>
      </c>
      <c r="AO739" t="b">
        <f>AND(IF(metadata!D739="",FALSE,TRUE),EXACT(metadata!D739,"Not applicable"))</f>
        <v>0</v>
      </c>
      <c r="AP739" t="b">
        <f>IF(metadata!E739="",FALSE,TRUE)</f>
        <v>0</v>
      </c>
      <c r="AQ739" t="b">
        <f>OR(AND(IF(metadata!F739="",FALSE,TRUE),OR(EXACT(metadata!F739,"missing: not collected"),EXACT(metadata!F739,"missing: not provided"))),AND(IF(metadata!F739="",FALSE,TRUE),OR(EXACT(metadata!F739,"TRUE"),EXACT(metadata!F739,"FALSE"))))</f>
        <v>0</v>
      </c>
      <c r="AR739" t="b">
        <f>OR(AND(IF(metadata!G739="",FALSE,TRUE),OR(EXACT(metadata!G739,"missing: not collected"),EXACT(metadata!G739,"missing: not provided"),EXACT(metadata!G739,"missing: restricted access"))),AND(IF(metadata!G739="",FALSE,ISNUMBER(VALUE(metadata!G739))),metadata!G739&gt;=-413))</f>
        <v>0</v>
      </c>
      <c r="AS739" t="b">
        <f>AND(IF(metadata!H739="",FALSE,TRUE),EXACT(metadata!H739,"meters"))</f>
        <v>0</v>
      </c>
      <c r="AT739" t="b">
        <f>AND(IF(metadata!I739="",FALSE,TRUE),OR(EXACT(metadata!I739,"Host-associated"),EXACT(metadata!I739,"Free-living")))</f>
        <v>0</v>
      </c>
      <c r="AU739" t="b">
        <f>AND(IF(metadata!J739="",FALSE,TRUE),OR(EXACT(metadata!J739,"Animal"),EXACT(metadata!J739,"Fungus"),EXACT(metadata!J739,"Plant"),EXACT(metadata!J739,"Saline"),EXACT(metadata!J739,"Non-saline")))</f>
        <v>0</v>
      </c>
      <c r="AV739" t="b">
        <f>AND(IF(metadata!K739="",FALSE,TRUE),OR(EXACT(metadata!K739,"Plant secretion"),EXACT(metadata!K739,"Plant rhizosphere"),EXACT(metadata!K739,"Plant surface"),EXACT(metadata!K739,"Plant corpus"),EXACT(metadata!K739,"Fungus surface"),EXACT(metadata!K739,"Fungus corpus"),EXACT(metadata!K739,"Animal surface"),EXACT(metadata!K739,"Animal proximal gut"),EXACT(metadata!K739,"Animal corpus"),EXACT(metadata!K739,"Animal distal gut"),EXACT(metadata!K739,"Animal secretion"),EXACT(metadata!K739,"Sub-surface (non-saline)"),EXACT(metadata!K739,"Surface (non-saline)"),EXACT(metadata!K739,"Water (non-saline)"),EXACT(metadata!K739,"Soil (non-saline)"),EXACT(metadata!K739,"Aerosol (non-saline)"),EXACT(metadata!K739,"Sediment (non-saline)"),EXACT(metadata!K739,"Surface (saline)"),EXACT(metadata!K739,"Water (saline)"),EXACT(metadata!K739,"Hypersaline (saline)"),EXACT(metadata!K739,"Aerosol (saline)"),EXACT(metadata!K739,"Sediment (saline)")))</f>
        <v>0</v>
      </c>
      <c r="AW739" t="b">
        <f>IF(metadata!L739="",FALSE,TRUE)</f>
        <v>0</v>
      </c>
      <c r="AX739" t="b">
        <f>IF(metadata!M739="",FALSE,TRUE)</f>
        <v>0</v>
      </c>
      <c r="AY739" t="b">
        <f>IF(metadata!N739="",FALSE,TRUE)</f>
        <v>0</v>
      </c>
      <c r="AZ739" t="b">
        <f>OR(AND(IF(metadata!O739="",FALSE,TRUE),OR(EXACT(metadata!O739,"missing: not collected"),EXACT(metadata!O739,"missing: not provided"),EXACT(metadata!O739,"missing: restricted access"))),AND(IF(metadata!O739="",FALSE,TRUE),OR(EXACT(metadata!O739,"air"),EXACT(metadata!O739,"built environment"),EXACT(metadata!O739,"host-associated"),EXACT(metadata!O739,"human-associated"),EXACT(metadata!O739,"human-skin"),EXACT(metadata!O739,"human-oral"),EXACT(metadata!O739,"human-gut"),EXACT(metadata!O739,"human-vaginal"),EXACT(metadata!O739,"microbial mat/biofilm"),EXACT(metadata!O739,"misc environment"),EXACT(metadata!O739,"plant-associated"),EXACT(metadata!O739,"sediment"),EXACT(metadata!O739,"soil"),EXACT(metadata!O739,"wastewater/sludge"),EXACT(metadata!O739,"water"))))</f>
        <v>0</v>
      </c>
      <c r="BA739" t="b">
        <f>IF(metadata!P739="",FALSE,TRUE)</f>
        <v>0</v>
      </c>
      <c r="BB739" t="b">
        <f>IF(metadata!Q739="",FALSE,TRUE)</f>
        <v>0</v>
      </c>
      <c r="BC739" t="b">
        <f>OR(AND(IF(metadata!R739="",FALSE,TRUE),OR(EXACT(metadata!R739,"missing: not collected"),EXACT(metadata!R739,"missing: not provided"),EXACT(metadata!R739,"missing: restricted access"))),AND(IF(metadata!R739="",FALSE,ISNUMBER(VALUE(metadata!R739))),metadata!R739&gt;=-90,metadata!R739&lt;=90))</f>
        <v>0</v>
      </c>
      <c r="BD739" t="b">
        <f>AND(IF(metadata!S739="",FALSE,TRUE),EXACT(metadata!S739,"Decimal degrees"))</f>
        <v>0</v>
      </c>
      <c r="BE739" t="b">
        <f>OR(AND(IF(metadata!T739="",FALSE,TRUE),OR(EXACT(metadata!T739,"missing: not collected"),EXACT(metadata!T739,"missing: not provided"),EXACT(metadata!T739,"missing: restricted access"))),AND(IF(metadata!T739="",FALSE,ISNUMBER(VALUE(metadata!T739))),metadata!T739&gt;=-180,metadata!T739&lt;=180))</f>
        <v>0</v>
      </c>
      <c r="BF739" t="b">
        <f>AND(IF(metadata!U739="",FALSE,TRUE),EXACT(metadata!U739,"Decimal degrees"))</f>
        <v>0</v>
      </c>
      <c r="BG739" t="b">
        <f>IF(metadata!V739="",FALSE,TRUE)</f>
        <v>0</v>
      </c>
      <c r="BH739" t="b">
        <f>OR(AND(IF(metadata!W739="",FALSE,TRUE),OR(EXACT(metadata!W739,"missing: not collected"),EXACT(metadata!W739,"missing: not provided"),EXACT(metadata!W739,"missing: restricted access"))),AND(IF(metadata!W739="",FALSE,TRUE),OR(EXACT(metadata!W739,"TRUE"),EXACT(metadata!W739,"FALSE"))))</f>
        <v>0</v>
      </c>
      <c r="BI739" t="b">
        <f>AND(IF(metadata!X739="",FALSE,TRUE),EXACT(metadata!X739,"other"))</f>
        <v>0</v>
      </c>
      <c r="BJ739" t="b">
        <f>IF(metadata!Y739="",FALSE,TRUE)</f>
        <v>0</v>
      </c>
      <c r="BK739" t="b">
        <f>OR(AND(IF(metadata!Z739="",FALSE,TRUE),OR(EXACT(metadata!Z739,"missing: not collected"),EXACT(metadata!Z739,"missing: not provided"))),AND(IF(metadata!Z739="",FALSE,IF(ISERROR(INT(metadata!Z739)),FALSE,INT(metadata!Z739)=metadata!Z739)),metadata!Z739&gt;0))</f>
        <v>0</v>
      </c>
      <c r="BL739" t="b">
        <f>AND(IF(metadata!AA739="",FALSE,TRUE),EXACT(metadata!AA739,"Not applicable"))</f>
        <v>0</v>
      </c>
      <c r="BM739" t="b">
        <f>IF(metadata!AB739="",FALSE,TRUE)</f>
        <v>0</v>
      </c>
    </row>
    <row r="740" spans="1:65" x14ac:dyDescent="0.2">
      <c r="A740" s="5" t="str">
        <f ca="1">IF(B740=" "," ",HYPERLINK(CONCATENATE("#metadata!",ADDRESS(INDEX($AH$2:$AH$1001,MATCH(ROWS($AF$2:AF740),$AF$2:$AF$1001,0),0),1)),INDEX($AK$2:$AK$1001,MATCH(ROWS($AF$2:AF740),$AF$2:$AF$1001,0),0)))</f>
        <v xml:space="preserve"> </v>
      </c>
      <c r="B740" s="4" t="str">
        <f ca="1">IF(OR(INDEX($AG$2:$AG$1001,MATCH(ROWS($AF$2:AF740),$AF$2:$AF$1001,0),1)&gt;=100000,INDEX($AM$1005:$BM$1005,1,MATCH(COLUMNS($AM$1006:AM1006),$AM$1006:$BM$1006,0))&gt;=100000), " ",IF(INDEX($AM$2:$BM$1001,MATCH(ROWS($AF$2:AF740),$AF$2:$AF$1001,0),MATCH(COLUMNS($AM$1006:AM1006),$AM$1006:$BM$1006,0)), HYPERLINK("#",""), HYPERLINK(CONCATENATE("#metadata!", ADDRESS(INDEX($AH$2:$AH$1001,MATCH(ROWS($AF$2:AF740),$AF$2:$AF$1001,0),0), INDEX($AM$1004:$BM$1004,1,MATCH(COLUMNS($AM$1006:AM1006),$AM$1006:$BM$1006,0)))),"Fix")))</f>
        <v xml:space="preserve"> </v>
      </c>
      <c r="C740" s="4" t="str">
        <f ca="1">IF(OR(INDEX($AG$2:$AG$1001,MATCH(ROWS($AF$2:AF740),$AF$2:$AF$1001,0),1)&gt;=100000,INDEX($AM$1005:$BM$1005,1,MATCH(COLUMNS($AM$1006:AN1006),$AM$1006:$BM$1006,0))&gt;=100000), " ",IF(INDEX($AM$2:$BM$1001,MATCH(ROWS($AF$2:AF740),$AF$2:$AF$1001,0),MATCH(COLUMNS($AM$1006:AN1006),$AM$1006:$BM$1006,0)), HYPERLINK("#",""), HYPERLINK(CONCATENATE("#metadata!", ADDRESS(INDEX($AH$2:$AH$1001,MATCH(ROWS($AF$2:AF740),$AF$2:$AF$1001,0),0), INDEX($AM$1004:$BM$1004,1,MATCH(COLUMNS($AM$1006:AN1006),$AM$1006:$BM$1006,0)))),"Fix")))</f>
        <v xml:space="preserve"> </v>
      </c>
      <c r="D740" s="4" t="str">
        <f ca="1">IF(OR(INDEX($AG$2:$AG$1001,MATCH(ROWS($AF$2:AF740),$AF$2:$AF$1001,0),1)&gt;=100000,INDEX($AM$1005:$BM$1005,1,MATCH(COLUMNS($AM$1006:AO1006),$AM$1006:$BM$1006,0))&gt;=100000), " ",IF(INDEX($AM$2:$BM$1001,MATCH(ROWS($AF$2:AF740),$AF$2:$AF$1001,0),MATCH(COLUMNS($AM$1006:AO1006),$AM$1006:$BM$1006,0)), HYPERLINK("#",""), HYPERLINK(CONCATENATE("#metadata!", ADDRESS(INDEX($AH$2:$AH$1001,MATCH(ROWS($AF$2:AF740),$AF$2:$AF$1001,0),0), INDEX($AM$1004:$BM$1004,1,MATCH(COLUMNS($AM$1006:AO1006),$AM$1006:$BM$1006,0)))),"Fix")))</f>
        <v xml:space="preserve"> </v>
      </c>
      <c r="E740" s="4" t="str">
        <f ca="1">IF(OR(INDEX($AG$2:$AG$1001,MATCH(ROWS($AF$2:AF740),$AF$2:$AF$1001,0),1)&gt;=100000,INDEX($AM$1005:$BM$1005,1,MATCH(COLUMNS($AM$1006:AP1006),$AM$1006:$BM$1006,0))&gt;=100000), " ",IF(INDEX($AM$2:$BM$1001,MATCH(ROWS($AF$2:AF740),$AF$2:$AF$1001,0),MATCH(COLUMNS($AM$1006:AP1006),$AM$1006:$BM$1006,0)), HYPERLINK("#",""), HYPERLINK(CONCATENATE("#metadata!", ADDRESS(INDEX($AH$2:$AH$1001,MATCH(ROWS($AF$2:AF740),$AF$2:$AF$1001,0),0), INDEX($AM$1004:$BM$1004,1,MATCH(COLUMNS($AM$1006:AP1006),$AM$1006:$BM$1006,0)))),"Fix")))</f>
        <v xml:space="preserve"> </v>
      </c>
      <c r="F740" s="4" t="str">
        <f ca="1">IF(OR(INDEX($AG$2:$AG$1001,MATCH(ROWS($AF$2:AF740),$AF$2:$AF$1001,0),1)&gt;=100000,INDEX($AM$1005:$BM$1005,1,MATCH(COLUMNS($AM$1006:AQ1006),$AM$1006:$BM$1006,0))&gt;=100000), " ",IF(INDEX($AM$2:$BM$1001,MATCH(ROWS($AF$2:AF740),$AF$2:$AF$1001,0),MATCH(COLUMNS($AM$1006:AQ1006),$AM$1006:$BM$1006,0)), HYPERLINK("#",""), HYPERLINK(CONCATENATE("#metadata!", ADDRESS(INDEX($AH$2:$AH$1001,MATCH(ROWS($AF$2:AF740),$AF$2:$AF$1001,0),0), INDEX($AM$1004:$BM$1004,1,MATCH(COLUMNS($AM$1006:AQ1006),$AM$1006:$BM$1006,0)))),"Fix")))</f>
        <v xml:space="preserve"> </v>
      </c>
      <c r="G740" s="4" t="str">
        <f ca="1">IF(OR(INDEX($AG$2:$AG$1001,MATCH(ROWS($AF$2:AF740),$AF$2:$AF$1001,0),1)&gt;=100000,INDEX($AM$1005:$BM$1005,1,MATCH(COLUMNS($AM$1006:AR1006),$AM$1006:$BM$1006,0))&gt;=100000), " ",IF(INDEX($AM$2:$BM$1001,MATCH(ROWS($AF$2:AF740),$AF$2:$AF$1001,0),MATCH(COLUMNS($AM$1006:AR1006),$AM$1006:$BM$1006,0)), HYPERLINK("#",""), HYPERLINK(CONCATENATE("#metadata!", ADDRESS(INDEX($AH$2:$AH$1001,MATCH(ROWS($AF$2:AF740),$AF$2:$AF$1001,0),0), INDEX($AM$1004:$BM$1004,1,MATCH(COLUMNS($AM$1006:AR1006),$AM$1006:$BM$1006,0)))),"Fix")))</f>
        <v xml:space="preserve"> </v>
      </c>
      <c r="H740" s="4" t="str">
        <f ca="1">IF(OR(INDEX($AG$2:$AG$1001,MATCH(ROWS($AF$2:AF740),$AF$2:$AF$1001,0),1)&gt;=100000,INDEX($AM$1005:$BM$1005,1,MATCH(COLUMNS($AM$1006:AS1006),$AM$1006:$BM$1006,0))&gt;=100000), " ",IF(INDEX($AM$2:$BM$1001,MATCH(ROWS($AF$2:AF740),$AF$2:$AF$1001,0),MATCH(COLUMNS($AM$1006:AS1006),$AM$1006:$BM$1006,0)), HYPERLINK("#",""), HYPERLINK(CONCATENATE("#metadata!", ADDRESS(INDEX($AH$2:$AH$1001,MATCH(ROWS($AF$2:AF740),$AF$2:$AF$1001,0),0), INDEX($AM$1004:$BM$1004,1,MATCH(COLUMNS($AM$1006:AS1006),$AM$1006:$BM$1006,0)))),"Fix")))</f>
        <v xml:space="preserve"> </v>
      </c>
      <c r="I740" s="4" t="str">
        <f ca="1">IF(OR(INDEX($AG$2:$AG$1001,MATCH(ROWS($AF$2:AF740),$AF$2:$AF$1001,0),1)&gt;=100000,INDEX($AM$1005:$BM$1005,1,MATCH(COLUMNS($AM$1006:AT1006),$AM$1006:$BM$1006,0))&gt;=100000), " ",IF(INDEX($AM$2:$BM$1001,MATCH(ROWS($AF$2:AF740),$AF$2:$AF$1001,0),MATCH(COLUMNS($AM$1006:AT1006),$AM$1006:$BM$1006,0)), HYPERLINK("#",""), HYPERLINK(CONCATENATE("#metadata!", ADDRESS(INDEX($AH$2:$AH$1001,MATCH(ROWS($AF$2:AF740),$AF$2:$AF$1001,0),0), INDEX($AM$1004:$BM$1004,1,MATCH(COLUMNS($AM$1006:AT1006),$AM$1006:$BM$1006,0)))),"Fix")))</f>
        <v xml:space="preserve"> </v>
      </c>
      <c r="J740" s="4" t="str">
        <f ca="1">IF(OR(INDEX($AG$2:$AG$1001,MATCH(ROWS($AF$2:AF740),$AF$2:$AF$1001,0),1)&gt;=100000,INDEX($AM$1005:$BM$1005,1,MATCH(COLUMNS($AM$1006:AU1006),$AM$1006:$BM$1006,0))&gt;=100000), " ",IF(INDEX($AM$2:$BM$1001,MATCH(ROWS($AF$2:AF740),$AF$2:$AF$1001,0),MATCH(COLUMNS($AM$1006:AU1006),$AM$1006:$BM$1006,0)), HYPERLINK("#",""), HYPERLINK(CONCATENATE("#metadata!", ADDRESS(INDEX($AH$2:$AH$1001,MATCH(ROWS($AF$2:AF740),$AF$2:$AF$1001,0),0), INDEX($AM$1004:$BM$1004,1,MATCH(COLUMNS($AM$1006:AU1006),$AM$1006:$BM$1006,0)))),"Fix")))</f>
        <v xml:space="preserve"> </v>
      </c>
      <c r="K740" s="4" t="str">
        <f ca="1">IF(OR(INDEX($AG$2:$AG$1001,MATCH(ROWS($AF$2:AF740),$AF$2:$AF$1001,0),1)&gt;=100000,INDEX($AM$1005:$BM$1005,1,MATCH(COLUMNS($AM$1006:AV1006),$AM$1006:$BM$1006,0))&gt;=100000), " ",IF(INDEX($AM$2:$BM$1001,MATCH(ROWS($AF$2:AF740),$AF$2:$AF$1001,0),MATCH(COLUMNS($AM$1006:AV1006),$AM$1006:$BM$1006,0)), HYPERLINK("#",""), HYPERLINK(CONCATENATE("#metadata!", ADDRESS(INDEX($AH$2:$AH$1001,MATCH(ROWS($AF$2:AF740),$AF$2:$AF$1001,0),0), INDEX($AM$1004:$BM$1004,1,MATCH(COLUMNS($AM$1006:AV1006),$AM$1006:$BM$1006,0)))),"Fix")))</f>
        <v xml:space="preserve"> </v>
      </c>
      <c r="L740" s="4" t="str">
        <f ca="1">IF(OR(INDEX($AG$2:$AG$1001,MATCH(ROWS($AF$2:AF740),$AF$2:$AF$1001,0),1)&gt;=100000,INDEX($AM$1005:$BM$1005,1,MATCH(COLUMNS($AM$1006:AW1006),$AM$1006:$BM$1006,0))&gt;=100000), " ",IF(INDEX($AM$2:$BM$1001,MATCH(ROWS($AF$2:AF740),$AF$2:$AF$1001,0),MATCH(COLUMNS($AM$1006:AW1006),$AM$1006:$BM$1006,0)), HYPERLINK("#",""), HYPERLINK(CONCATENATE("#metadata!", ADDRESS(INDEX($AH$2:$AH$1001,MATCH(ROWS($AF$2:AF740),$AF$2:$AF$1001,0),0), INDEX($AM$1004:$BM$1004,1,MATCH(COLUMNS($AM$1006:AW1006),$AM$1006:$BM$1006,0)))),"Fix")))</f>
        <v xml:space="preserve"> </v>
      </c>
      <c r="M740" s="4" t="str">
        <f ca="1">IF(OR(INDEX($AG$2:$AG$1001,MATCH(ROWS($AF$2:AF740),$AF$2:$AF$1001,0),1)&gt;=100000,INDEX($AM$1005:$BM$1005,1,MATCH(COLUMNS($AM$1006:AX1006),$AM$1006:$BM$1006,0))&gt;=100000), " ",IF(INDEX($AM$2:$BM$1001,MATCH(ROWS($AF$2:AF740),$AF$2:$AF$1001,0),MATCH(COLUMNS($AM$1006:AX1006),$AM$1006:$BM$1006,0)), HYPERLINK("#",""), HYPERLINK(CONCATENATE("#metadata!", ADDRESS(INDEX($AH$2:$AH$1001,MATCH(ROWS($AF$2:AF740),$AF$2:$AF$1001,0),0), INDEX($AM$1004:$BM$1004,1,MATCH(COLUMNS($AM$1006:AX1006),$AM$1006:$BM$1006,0)))),"Fix")))</f>
        <v xml:space="preserve"> </v>
      </c>
      <c r="N740" s="4" t="str">
        <f ca="1">IF(OR(INDEX($AG$2:$AG$1001,MATCH(ROWS($AF$2:AF740),$AF$2:$AF$1001,0),1)&gt;=100000,INDEX($AM$1005:$BM$1005,1,MATCH(COLUMNS($AM$1006:AY1006),$AM$1006:$BM$1006,0))&gt;=100000), " ",IF(INDEX($AM$2:$BM$1001,MATCH(ROWS($AF$2:AF740),$AF$2:$AF$1001,0),MATCH(COLUMNS($AM$1006:AY1006),$AM$1006:$BM$1006,0)), HYPERLINK("#",""), HYPERLINK(CONCATENATE("#metadata!", ADDRESS(INDEX($AH$2:$AH$1001,MATCH(ROWS($AF$2:AF740),$AF$2:$AF$1001,0),0), INDEX($AM$1004:$BM$1004,1,MATCH(COLUMNS($AM$1006:AY1006),$AM$1006:$BM$1006,0)))),"Fix")))</f>
        <v xml:space="preserve"> </v>
      </c>
      <c r="O740" s="4" t="str">
        <f ca="1">IF(OR(INDEX($AG$2:$AG$1001,MATCH(ROWS($AF$2:AF740),$AF$2:$AF$1001,0),1)&gt;=100000,INDEX($AM$1005:$BM$1005,1,MATCH(COLUMNS($AM$1006:AZ1006),$AM$1006:$BM$1006,0))&gt;=100000), " ",IF(INDEX($AM$2:$BM$1001,MATCH(ROWS($AF$2:AF740),$AF$2:$AF$1001,0),MATCH(COLUMNS($AM$1006:AZ1006),$AM$1006:$BM$1006,0)), HYPERLINK("#",""), HYPERLINK(CONCATENATE("#metadata!", ADDRESS(INDEX($AH$2:$AH$1001,MATCH(ROWS($AF$2:AF740),$AF$2:$AF$1001,0),0), INDEX($AM$1004:$BM$1004,1,MATCH(COLUMNS($AM$1006:AZ1006),$AM$1006:$BM$1006,0)))),"Fix")))</f>
        <v xml:space="preserve"> </v>
      </c>
      <c r="P740" s="4" t="str">
        <f ca="1">IF(OR(INDEX($AG$2:$AG$1001,MATCH(ROWS($AF$2:AF740),$AF$2:$AF$1001,0),1)&gt;=100000,INDEX($AM$1005:$BM$1005,1,MATCH(COLUMNS($AM$1006:BA1006),$AM$1006:$BM$1006,0))&gt;=100000), " ",IF(INDEX($AM$2:$BM$1001,MATCH(ROWS($AF$2:AF740),$AF$2:$AF$1001,0),MATCH(COLUMNS($AM$1006:BA1006),$AM$1006:$BM$1006,0)), HYPERLINK("#",""), HYPERLINK(CONCATENATE("#metadata!", ADDRESS(INDEX($AH$2:$AH$1001,MATCH(ROWS($AF$2:AF740),$AF$2:$AF$1001,0),0), INDEX($AM$1004:$BM$1004,1,MATCH(COLUMNS($AM$1006:BA1006),$AM$1006:$BM$1006,0)))),"Fix")))</f>
        <v xml:space="preserve"> </v>
      </c>
      <c r="Q740" s="4" t="str">
        <f ca="1">IF(OR(INDEX($AG$2:$AG$1001,MATCH(ROWS($AF$2:AF740),$AF$2:$AF$1001,0),1)&gt;=100000,INDEX($AM$1005:$BM$1005,1,MATCH(COLUMNS($AM$1006:BB1006),$AM$1006:$BM$1006,0))&gt;=100000), " ",IF(INDEX($AM$2:$BM$1001,MATCH(ROWS($AF$2:AF740),$AF$2:$AF$1001,0),MATCH(COLUMNS($AM$1006:BB1006),$AM$1006:$BM$1006,0)), HYPERLINK("#",""), HYPERLINK(CONCATENATE("#metadata!", ADDRESS(INDEX($AH$2:$AH$1001,MATCH(ROWS($AF$2:AF740),$AF$2:$AF$1001,0),0), INDEX($AM$1004:$BM$1004,1,MATCH(COLUMNS($AM$1006:BB1006),$AM$1006:$BM$1006,0)))),"Fix")))</f>
        <v xml:space="preserve"> </v>
      </c>
      <c r="R740" s="4" t="str">
        <f ca="1">IF(OR(INDEX($AG$2:$AG$1001,MATCH(ROWS($AF$2:AF740),$AF$2:$AF$1001,0),1)&gt;=100000,INDEX($AM$1005:$BM$1005,1,MATCH(COLUMNS($AM$1006:BC1006),$AM$1006:$BM$1006,0))&gt;=100000), " ",IF(INDEX($AM$2:$BM$1001,MATCH(ROWS($AF$2:AF740),$AF$2:$AF$1001,0),MATCH(COLUMNS($AM$1006:BC1006),$AM$1006:$BM$1006,0)), HYPERLINK("#",""), HYPERLINK(CONCATENATE("#metadata!", ADDRESS(INDEX($AH$2:$AH$1001,MATCH(ROWS($AF$2:AF740),$AF$2:$AF$1001,0),0), INDEX($AM$1004:$BM$1004,1,MATCH(COLUMNS($AM$1006:BC1006),$AM$1006:$BM$1006,0)))),"Fix")))</f>
        <v xml:space="preserve"> </v>
      </c>
      <c r="S740" s="4" t="str">
        <f ca="1">IF(OR(INDEX($AG$2:$AG$1001,MATCH(ROWS($AF$2:AF740),$AF$2:$AF$1001,0),1)&gt;=100000,INDEX($AM$1005:$BM$1005,1,MATCH(COLUMNS($AM$1006:BD1006),$AM$1006:$BM$1006,0))&gt;=100000), " ",IF(INDEX($AM$2:$BM$1001,MATCH(ROWS($AF$2:AF740),$AF$2:$AF$1001,0),MATCH(COLUMNS($AM$1006:BD1006),$AM$1006:$BM$1006,0)), HYPERLINK("#",""), HYPERLINK(CONCATENATE("#metadata!", ADDRESS(INDEX($AH$2:$AH$1001,MATCH(ROWS($AF$2:AF740),$AF$2:$AF$1001,0),0), INDEX($AM$1004:$BM$1004,1,MATCH(COLUMNS($AM$1006:BD1006),$AM$1006:$BM$1006,0)))),"Fix")))</f>
        <v xml:space="preserve"> </v>
      </c>
      <c r="T740" s="4" t="str">
        <f ca="1">IF(OR(INDEX($AG$2:$AG$1001,MATCH(ROWS($AF$2:AF740),$AF$2:$AF$1001,0),1)&gt;=100000,INDEX($AM$1005:$BM$1005,1,MATCH(COLUMNS($AM$1006:BE1006),$AM$1006:$BM$1006,0))&gt;=100000), " ",IF(INDEX($AM$2:$BM$1001,MATCH(ROWS($AF$2:AF740),$AF$2:$AF$1001,0),MATCH(COLUMNS($AM$1006:BE1006),$AM$1006:$BM$1006,0)), HYPERLINK("#",""), HYPERLINK(CONCATENATE("#metadata!", ADDRESS(INDEX($AH$2:$AH$1001,MATCH(ROWS($AF$2:AF740),$AF$2:$AF$1001,0),0), INDEX($AM$1004:$BM$1004,1,MATCH(COLUMNS($AM$1006:BE1006),$AM$1006:$BM$1006,0)))),"Fix")))</f>
        <v xml:space="preserve"> </v>
      </c>
      <c r="U740" s="4" t="str">
        <f ca="1">IF(OR(INDEX($AG$2:$AG$1001,MATCH(ROWS($AF$2:AF740),$AF$2:$AF$1001,0),1)&gt;=100000,INDEX($AM$1005:$BM$1005,1,MATCH(COLUMNS($AM$1006:BF1006),$AM$1006:$BM$1006,0))&gt;=100000), " ",IF(INDEX($AM$2:$BM$1001,MATCH(ROWS($AF$2:AF740),$AF$2:$AF$1001,0),MATCH(COLUMNS($AM$1006:BF1006),$AM$1006:$BM$1006,0)), HYPERLINK("#",""), HYPERLINK(CONCATENATE("#metadata!", ADDRESS(INDEX($AH$2:$AH$1001,MATCH(ROWS($AF$2:AF740),$AF$2:$AF$1001,0),0), INDEX($AM$1004:$BM$1004,1,MATCH(COLUMNS($AM$1006:BF1006),$AM$1006:$BM$1006,0)))),"Fix")))</f>
        <v xml:space="preserve"> </v>
      </c>
      <c r="V740" s="4" t="str">
        <f ca="1">IF(OR(INDEX($AG$2:$AG$1001,MATCH(ROWS($AF$2:AF740),$AF$2:$AF$1001,0),1)&gt;=100000,INDEX($AM$1005:$BM$1005,1,MATCH(COLUMNS($AM$1006:BG1006),$AM$1006:$BM$1006,0))&gt;=100000), " ",IF(INDEX($AM$2:$BM$1001,MATCH(ROWS($AF$2:AF740),$AF$2:$AF$1001,0),MATCH(COLUMNS($AM$1006:BG1006),$AM$1006:$BM$1006,0)), HYPERLINK("#",""), HYPERLINK(CONCATENATE("#metadata!", ADDRESS(INDEX($AH$2:$AH$1001,MATCH(ROWS($AF$2:AF740),$AF$2:$AF$1001,0),0), INDEX($AM$1004:$BM$1004,1,MATCH(COLUMNS($AM$1006:BG1006),$AM$1006:$BM$1006,0)))),"Fix")))</f>
        <v xml:space="preserve"> </v>
      </c>
      <c r="W740" s="4" t="str">
        <f ca="1">IF(OR(INDEX($AG$2:$AG$1001,MATCH(ROWS($AF$2:AF740),$AF$2:$AF$1001,0),1)&gt;=100000,INDEX($AM$1005:$BM$1005,1,MATCH(COLUMNS($AM$1006:BH1006),$AM$1006:$BM$1006,0))&gt;=100000), " ",IF(INDEX($AM$2:$BM$1001,MATCH(ROWS($AF$2:AF740),$AF$2:$AF$1001,0),MATCH(COLUMNS($AM$1006:BH1006),$AM$1006:$BM$1006,0)), HYPERLINK("#",""), HYPERLINK(CONCATENATE("#metadata!", ADDRESS(INDEX($AH$2:$AH$1001,MATCH(ROWS($AF$2:AF740),$AF$2:$AF$1001,0),0), INDEX($AM$1004:$BM$1004,1,MATCH(COLUMNS($AM$1006:BH1006),$AM$1006:$BM$1006,0)))),"Fix")))</f>
        <v xml:space="preserve"> </v>
      </c>
      <c r="X740" s="4" t="str">
        <f ca="1">IF(OR(INDEX($AG$2:$AG$1001,MATCH(ROWS($AF$2:AF740),$AF$2:$AF$1001,0),1)&gt;=100000,INDEX($AM$1005:$BM$1005,1,MATCH(COLUMNS($AM$1006:BI1006),$AM$1006:$BM$1006,0))&gt;=100000), " ",IF(INDEX($AM$2:$BM$1001,MATCH(ROWS($AF$2:AF740),$AF$2:$AF$1001,0),MATCH(COLUMNS($AM$1006:BI1006),$AM$1006:$BM$1006,0)), HYPERLINK("#",""), HYPERLINK(CONCATENATE("#metadata!", ADDRESS(INDEX($AH$2:$AH$1001,MATCH(ROWS($AF$2:AF740),$AF$2:$AF$1001,0),0), INDEX($AM$1004:$BM$1004,1,MATCH(COLUMNS($AM$1006:BI1006),$AM$1006:$BM$1006,0)))),"Fix")))</f>
        <v xml:space="preserve"> </v>
      </c>
      <c r="Y740" s="4" t="str">
        <f ca="1">IF(OR(INDEX($AG$2:$AG$1001,MATCH(ROWS($AF$2:AF740),$AF$2:$AF$1001,0),1)&gt;=100000,INDEX($AM$1005:$BM$1005,1,MATCH(COLUMNS($AM$1006:BJ1006),$AM$1006:$BM$1006,0))&gt;=100000), " ",IF(INDEX($AM$2:$BM$1001,MATCH(ROWS($AF$2:AF740),$AF$2:$AF$1001,0),MATCH(COLUMNS($AM$1006:BJ1006),$AM$1006:$BM$1006,0)), HYPERLINK("#",""), HYPERLINK(CONCATENATE("#metadata!", ADDRESS(INDEX($AH$2:$AH$1001,MATCH(ROWS($AF$2:AF740),$AF$2:$AF$1001,0),0), INDEX($AM$1004:$BM$1004,1,MATCH(COLUMNS($AM$1006:BJ1006),$AM$1006:$BM$1006,0)))),"Fix")))</f>
        <v xml:space="preserve"> </v>
      </c>
      <c r="Z740" s="4" t="str">
        <f ca="1">IF(OR(INDEX($AG$2:$AG$1001,MATCH(ROWS($AF$2:AF740),$AF$2:$AF$1001,0),1)&gt;=100000,INDEX($AM$1005:$BM$1005,1,MATCH(COLUMNS($AM$1006:BK1006),$AM$1006:$BM$1006,0))&gt;=100000), " ",IF(INDEX($AM$2:$BM$1001,MATCH(ROWS($AF$2:AF740),$AF$2:$AF$1001,0),MATCH(COLUMNS($AM$1006:BK1006),$AM$1006:$BM$1006,0)), HYPERLINK("#",""), HYPERLINK(CONCATENATE("#metadata!", ADDRESS(INDEX($AH$2:$AH$1001,MATCH(ROWS($AF$2:AF740),$AF$2:$AF$1001,0),0), INDEX($AM$1004:$BM$1004,1,MATCH(COLUMNS($AM$1006:BK1006),$AM$1006:$BM$1006,0)))),"Fix")))</f>
        <v xml:space="preserve"> </v>
      </c>
      <c r="AA740" s="4" t="str">
        <f ca="1">IF(OR(INDEX($AG$2:$AG$1001,MATCH(ROWS($AF$2:AF740),$AF$2:$AF$1001,0),1)&gt;=100000,INDEX($AM$1005:$BM$1005,1,MATCH(COLUMNS($AM$1006:BL1006),$AM$1006:$BM$1006,0))&gt;=100000), " ",IF(INDEX($AM$2:$BM$1001,MATCH(ROWS($AF$2:AF740),$AF$2:$AF$1001,0),MATCH(COLUMNS($AM$1006:BL1006),$AM$1006:$BM$1006,0)), HYPERLINK("#",""), HYPERLINK(CONCATENATE("#metadata!", ADDRESS(INDEX($AH$2:$AH$1001,MATCH(ROWS($AF$2:AF740),$AF$2:$AF$1001,0),0), INDEX($AM$1004:$BM$1004,1,MATCH(COLUMNS($AM$1006:BL1006),$AM$1006:$BM$1006,0)))),"Fix")))</f>
        <v xml:space="preserve"> </v>
      </c>
      <c r="AB740" s="4" t="str">
        <f ca="1">IF(OR(INDEX($AG$2:$AG$1001,MATCH(ROWS($AF$2:AF740),$AF$2:$AF$1001,0),1)&gt;=100000,INDEX($AM$1005:$BM$1005,1,MATCH(COLUMNS($AM$1006:BM1006),$AM$1006:$BM$1006,0))&gt;=100000), " ",IF(INDEX($AM$2:$BM$1001,MATCH(ROWS($AF$2:AF740),$AF$2:$AF$1001,0),MATCH(COLUMNS($AM$1006:BM1006),$AM$1006:$BM$1006,0)), HYPERLINK("#",""), HYPERLINK(CONCATENATE("#metadata!", ADDRESS(INDEX($AH$2:$AH$1001,MATCH(ROWS($AF$2:AF740),$AF$2:$AF$1001,0),0), INDEX($AM$1004:$BM$1004,1,MATCH(COLUMNS($AM$1006:BM1006),$AM$1006:$BM$1006,0)))),"Fix")))</f>
        <v xml:space="preserve"> </v>
      </c>
      <c r="AF740">
        <v>739</v>
      </c>
      <c r="AG740">
        <v>100740</v>
      </c>
      <c r="AH740">
        <v>740</v>
      </c>
      <c r="AI740" t="b">
        <f t="shared" si="11"/>
        <v>1</v>
      </c>
      <c r="AJ740" t="b">
        <f>COUNTBLANK(metadata!B740:AB740)=COLUMNS(metadata!B740:AB740)</f>
        <v>1</v>
      </c>
      <c r="AK740" t="str">
        <v/>
      </c>
      <c r="AM740" t="b">
        <f ca="1">AND(IF(metadata!B740="",FALSE,TRUE),COUNTIF(metadata!B:B, metadata!B740) = 1,NOT(ISERROR(SUMPRODUCT(SEARCH(MID(metadata!B740,ROW(INDIRECT("1:"&amp;LEN(metadata!B740))), 1),"0123456789abcdefghijklmnopqrstuvwxyzABCDEFGHIJKLMNOPQRSTUVWXYZ.")))))</f>
        <v>0</v>
      </c>
      <c r="AN740" t="b">
        <f ca="1">OR(AND(IF(metadata!C740="",FALSE,TRUE),OR(EXACT(metadata!C740,"missing: not collected"),EXACT(metadata!C740,"missing: not provided"),EXACT(metadata!C740,"missing: restricted access"))),AND(IF(metadata!C740="",FALSE,TRUE),AND(AND(IFERROR(INT(LEFT(metadata!C740,4))&gt;1900,FALSE),IFERROR(INT(LEFT(metadata!C740,4))&lt;=YEAR(NOW()),FALSE)), OR(MID(metadata!C740,5,1)="", AND(AND(MID(metadata!C740,5,1)="-",IFERROR(INT(MID(metadata!C740,6,1))&gt;=0,FALSE),IFERROR(INT(MID(metadata!C740,6,1))&lt;=1,FALSE),NOT(MID(metadata!C740,7,1)=""),IFERROR(INT(MID(metadata!C740,6,2))&gt;=1,FALSE),IFERROR(INT(MID(metadata!C740,6,2))&lt;=12,FALSE)), OR(MID(metadata!C740,8,1)="", AND(AND(MID(metadata!C740,8,1)="-",IFERROR(INT(MID(metadata!C740,9,1))&gt;=0,FALSE),IFERROR(INT(MID(metadata!C740,9,1))&lt;=3,FALSE),NOT(MID(metadata!C740,10,1)=""),IFERROR(INT(MID(metadata!C740,9,2))&gt;=1,FALSE),IFERROR(INT(MID(metadata!C740,9,2))&lt;=31,FALSE)), OR(MID(metadata!C740,11,1)="", AND(AND(MID(metadata!C740,11,1)=" ",IFERROR(INT(MID(metadata!C740,12,1))&gt;=0,FALSE),IFERROR(INT(MID(metadata!C740,12,1))&lt;=2,FALSE),NOT(MID(metadata!C740,13,1)=""),IFERROR(INT(MID(metadata!C740,12,2))&gt;=0,FALSE),IFERROR(INT(MID(metadata!C740,12,2))&lt;=23,FALSE)), OR(MID(metadata!C740,14,1)="", AND(AND(MID(metadata!C740,14,1)=":",IFERROR(INT(MID(metadata!C740,15,1))&gt;=0,FALSE),IFERROR(INT(MID(metadata!C740,15,1))&lt;=5,FALSE),NOT(MID(metadata!C740,16,1)=""),IFERROR(INT(MID(metadata!C740,15,2))&gt;=0,FALSE),IFERROR(INT(MID(metadata!C740,15,2))&lt;=59,FALSE)), OR(MID(metadata!C740,17,1)="", AND(AND(MID(metadata!C740,17,1)=":",IFERROR(INT(MID(metadata!C740,18,1))&gt;=0,FALSE),IFERROR(INT(MID(metadata!C740,18,1))&lt;=5,FALSE),NOT(MID(metadata!C740,19,1)=""),IFERROR(INT(MID(metadata!C740,18,2))&gt;=0,FALSE),IFERROR(INT(MID(metadata!C740,18,2))&lt;=59,FALSE)), LEN(metadata!C740)&lt;=19)))))))))))))</f>
        <v>0</v>
      </c>
      <c r="AO740" t="b">
        <f>AND(IF(metadata!D740="",FALSE,TRUE),EXACT(metadata!D740,"Not applicable"))</f>
        <v>0</v>
      </c>
      <c r="AP740" t="b">
        <f>IF(metadata!E740="",FALSE,TRUE)</f>
        <v>0</v>
      </c>
      <c r="AQ740" t="b">
        <f>OR(AND(IF(metadata!F740="",FALSE,TRUE),OR(EXACT(metadata!F740,"missing: not collected"),EXACT(metadata!F740,"missing: not provided"))),AND(IF(metadata!F740="",FALSE,TRUE),OR(EXACT(metadata!F740,"TRUE"),EXACT(metadata!F740,"FALSE"))))</f>
        <v>0</v>
      </c>
      <c r="AR740" t="b">
        <f>OR(AND(IF(metadata!G740="",FALSE,TRUE),OR(EXACT(metadata!G740,"missing: not collected"),EXACT(metadata!G740,"missing: not provided"),EXACT(metadata!G740,"missing: restricted access"))),AND(IF(metadata!G740="",FALSE,ISNUMBER(VALUE(metadata!G740))),metadata!G740&gt;=-413))</f>
        <v>0</v>
      </c>
      <c r="AS740" t="b">
        <f>AND(IF(metadata!H740="",FALSE,TRUE),EXACT(metadata!H740,"meters"))</f>
        <v>0</v>
      </c>
      <c r="AT740" t="b">
        <f>AND(IF(metadata!I740="",FALSE,TRUE),OR(EXACT(metadata!I740,"Host-associated"),EXACT(metadata!I740,"Free-living")))</f>
        <v>0</v>
      </c>
      <c r="AU740" t="b">
        <f>AND(IF(metadata!J740="",FALSE,TRUE),OR(EXACT(metadata!J740,"Animal"),EXACT(metadata!J740,"Fungus"),EXACT(metadata!J740,"Plant"),EXACT(metadata!J740,"Saline"),EXACT(metadata!J740,"Non-saline")))</f>
        <v>0</v>
      </c>
      <c r="AV740" t="b">
        <f>AND(IF(metadata!K740="",FALSE,TRUE),OR(EXACT(metadata!K740,"Plant secretion"),EXACT(metadata!K740,"Plant rhizosphere"),EXACT(metadata!K740,"Plant surface"),EXACT(metadata!K740,"Plant corpus"),EXACT(metadata!K740,"Fungus surface"),EXACT(metadata!K740,"Fungus corpus"),EXACT(metadata!K740,"Animal surface"),EXACT(metadata!K740,"Animal proximal gut"),EXACT(metadata!K740,"Animal corpus"),EXACT(metadata!K740,"Animal distal gut"),EXACT(metadata!K740,"Animal secretion"),EXACT(metadata!K740,"Sub-surface (non-saline)"),EXACT(metadata!K740,"Surface (non-saline)"),EXACT(metadata!K740,"Water (non-saline)"),EXACT(metadata!K740,"Soil (non-saline)"),EXACT(metadata!K740,"Aerosol (non-saline)"),EXACT(metadata!K740,"Sediment (non-saline)"),EXACT(metadata!K740,"Surface (saline)"),EXACT(metadata!K740,"Water (saline)"),EXACT(metadata!K740,"Hypersaline (saline)"),EXACT(metadata!K740,"Aerosol (saline)"),EXACT(metadata!K740,"Sediment (saline)")))</f>
        <v>0</v>
      </c>
      <c r="AW740" t="b">
        <f>IF(metadata!L740="",FALSE,TRUE)</f>
        <v>0</v>
      </c>
      <c r="AX740" t="b">
        <f>IF(metadata!M740="",FALSE,TRUE)</f>
        <v>0</v>
      </c>
      <c r="AY740" t="b">
        <f>IF(metadata!N740="",FALSE,TRUE)</f>
        <v>0</v>
      </c>
      <c r="AZ740" t="b">
        <f>OR(AND(IF(metadata!O740="",FALSE,TRUE),OR(EXACT(metadata!O740,"missing: not collected"),EXACT(metadata!O740,"missing: not provided"),EXACT(metadata!O740,"missing: restricted access"))),AND(IF(metadata!O740="",FALSE,TRUE),OR(EXACT(metadata!O740,"air"),EXACT(metadata!O740,"built environment"),EXACT(metadata!O740,"host-associated"),EXACT(metadata!O740,"human-associated"),EXACT(metadata!O740,"human-skin"),EXACT(metadata!O740,"human-oral"),EXACT(metadata!O740,"human-gut"),EXACT(metadata!O740,"human-vaginal"),EXACT(metadata!O740,"microbial mat/biofilm"),EXACT(metadata!O740,"misc environment"),EXACT(metadata!O740,"plant-associated"),EXACT(metadata!O740,"sediment"),EXACT(metadata!O740,"soil"),EXACT(metadata!O740,"wastewater/sludge"),EXACT(metadata!O740,"water"))))</f>
        <v>0</v>
      </c>
      <c r="BA740" t="b">
        <f>IF(metadata!P740="",FALSE,TRUE)</f>
        <v>0</v>
      </c>
      <c r="BB740" t="b">
        <f>IF(metadata!Q740="",FALSE,TRUE)</f>
        <v>0</v>
      </c>
      <c r="BC740" t="b">
        <f>OR(AND(IF(metadata!R740="",FALSE,TRUE),OR(EXACT(metadata!R740,"missing: not collected"),EXACT(metadata!R740,"missing: not provided"),EXACT(metadata!R740,"missing: restricted access"))),AND(IF(metadata!R740="",FALSE,ISNUMBER(VALUE(metadata!R740))),metadata!R740&gt;=-90,metadata!R740&lt;=90))</f>
        <v>0</v>
      </c>
      <c r="BD740" t="b">
        <f>AND(IF(metadata!S740="",FALSE,TRUE),EXACT(metadata!S740,"Decimal degrees"))</f>
        <v>0</v>
      </c>
      <c r="BE740" t="b">
        <f>OR(AND(IF(metadata!T740="",FALSE,TRUE),OR(EXACT(metadata!T740,"missing: not collected"),EXACT(metadata!T740,"missing: not provided"),EXACT(metadata!T740,"missing: restricted access"))),AND(IF(metadata!T740="",FALSE,ISNUMBER(VALUE(metadata!T740))),metadata!T740&gt;=-180,metadata!T740&lt;=180))</f>
        <v>0</v>
      </c>
      <c r="BF740" t="b">
        <f>AND(IF(metadata!U740="",FALSE,TRUE),EXACT(metadata!U740,"Decimal degrees"))</f>
        <v>0</v>
      </c>
      <c r="BG740" t="b">
        <f>IF(metadata!V740="",FALSE,TRUE)</f>
        <v>0</v>
      </c>
      <c r="BH740" t="b">
        <f>OR(AND(IF(metadata!W740="",FALSE,TRUE),OR(EXACT(metadata!W740,"missing: not collected"),EXACT(metadata!W740,"missing: not provided"),EXACT(metadata!W740,"missing: restricted access"))),AND(IF(metadata!W740="",FALSE,TRUE),OR(EXACT(metadata!W740,"TRUE"),EXACT(metadata!W740,"FALSE"))))</f>
        <v>0</v>
      </c>
      <c r="BI740" t="b">
        <f>AND(IF(metadata!X740="",FALSE,TRUE),EXACT(metadata!X740,"other"))</f>
        <v>0</v>
      </c>
      <c r="BJ740" t="b">
        <f>IF(metadata!Y740="",FALSE,TRUE)</f>
        <v>0</v>
      </c>
      <c r="BK740" t="b">
        <f>OR(AND(IF(metadata!Z740="",FALSE,TRUE),OR(EXACT(metadata!Z740,"missing: not collected"),EXACT(metadata!Z740,"missing: not provided"))),AND(IF(metadata!Z740="",FALSE,IF(ISERROR(INT(metadata!Z740)),FALSE,INT(metadata!Z740)=metadata!Z740)),metadata!Z740&gt;0))</f>
        <v>0</v>
      </c>
      <c r="BL740" t="b">
        <f>AND(IF(metadata!AA740="",FALSE,TRUE),EXACT(metadata!AA740,"Not applicable"))</f>
        <v>0</v>
      </c>
      <c r="BM740" t="b">
        <f>IF(metadata!AB740="",FALSE,TRUE)</f>
        <v>0</v>
      </c>
    </row>
    <row r="741" spans="1:65" x14ac:dyDescent="0.2">
      <c r="A741" s="5" t="str">
        <f ca="1">IF(B741=" "," ",HYPERLINK(CONCATENATE("#metadata!",ADDRESS(INDEX($AH$2:$AH$1001,MATCH(ROWS($AF$2:AF741),$AF$2:$AF$1001,0),0),1)),INDEX($AK$2:$AK$1001,MATCH(ROWS($AF$2:AF741),$AF$2:$AF$1001,0),0)))</f>
        <v xml:space="preserve"> </v>
      </c>
      <c r="B741" s="4" t="str">
        <f ca="1">IF(OR(INDEX($AG$2:$AG$1001,MATCH(ROWS($AF$2:AF741),$AF$2:$AF$1001,0),1)&gt;=100000,INDEX($AM$1005:$BM$1005,1,MATCH(COLUMNS($AM$1006:AM1006),$AM$1006:$BM$1006,0))&gt;=100000), " ",IF(INDEX($AM$2:$BM$1001,MATCH(ROWS($AF$2:AF741),$AF$2:$AF$1001,0),MATCH(COLUMNS($AM$1006:AM1006),$AM$1006:$BM$1006,0)), HYPERLINK("#",""), HYPERLINK(CONCATENATE("#metadata!", ADDRESS(INDEX($AH$2:$AH$1001,MATCH(ROWS($AF$2:AF741),$AF$2:$AF$1001,0),0), INDEX($AM$1004:$BM$1004,1,MATCH(COLUMNS($AM$1006:AM1006),$AM$1006:$BM$1006,0)))),"Fix")))</f>
        <v xml:space="preserve"> </v>
      </c>
      <c r="C741" s="4" t="str">
        <f ca="1">IF(OR(INDEX($AG$2:$AG$1001,MATCH(ROWS($AF$2:AF741),$AF$2:$AF$1001,0),1)&gt;=100000,INDEX($AM$1005:$BM$1005,1,MATCH(COLUMNS($AM$1006:AN1006),$AM$1006:$BM$1006,0))&gt;=100000), " ",IF(INDEX($AM$2:$BM$1001,MATCH(ROWS($AF$2:AF741),$AF$2:$AF$1001,0),MATCH(COLUMNS($AM$1006:AN1006),$AM$1006:$BM$1006,0)), HYPERLINK("#",""), HYPERLINK(CONCATENATE("#metadata!", ADDRESS(INDEX($AH$2:$AH$1001,MATCH(ROWS($AF$2:AF741),$AF$2:$AF$1001,0),0), INDEX($AM$1004:$BM$1004,1,MATCH(COLUMNS($AM$1006:AN1006),$AM$1006:$BM$1006,0)))),"Fix")))</f>
        <v xml:space="preserve"> </v>
      </c>
      <c r="D741" s="4" t="str">
        <f ca="1">IF(OR(INDEX($AG$2:$AG$1001,MATCH(ROWS($AF$2:AF741),$AF$2:$AF$1001,0),1)&gt;=100000,INDEX($AM$1005:$BM$1005,1,MATCH(COLUMNS($AM$1006:AO1006),$AM$1006:$BM$1006,0))&gt;=100000), " ",IF(INDEX($AM$2:$BM$1001,MATCH(ROWS($AF$2:AF741),$AF$2:$AF$1001,0),MATCH(COLUMNS($AM$1006:AO1006),$AM$1006:$BM$1006,0)), HYPERLINK("#",""), HYPERLINK(CONCATENATE("#metadata!", ADDRESS(INDEX($AH$2:$AH$1001,MATCH(ROWS($AF$2:AF741),$AF$2:$AF$1001,0),0), INDEX($AM$1004:$BM$1004,1,MATCH(COLUMNS($AM$1006:AO1006),$AM$1006:$BM$1006,0)))),"Fix")))</f>
        <v xml:space="preserve"> </v>
      </c>
      <c r="E741" s="4" t="str">
        <f ca="1">IF(OR(INDEX($AG$2:$AG$1001,MATCH(ROWS($AF$2:AF741),$AF$2:$AF$1001,0),1)&gt;=100000,INDEX($AM$1005:$BM$1005,1,MATCH(COLUMNS($AM$1006:AP1006),$AM$1006:$BM$1006,0))&gt;=100000), " ",IF(INDEX($AM$2:$BM$1001,MATCH(ROWS($AF$2:AF741),$AF$2:$AF$1001,0),MATCH(COLUMNS($AM$1006:AP1006),$AM$1006:$BM$1006,0)), HYPERLINK("#",""), HYPERLINK(CONCATENATE("#metadata!", ADDRESS(INDEX($AH$2:$AH$1001,MATCH(ROWS($AF$2:AF741),$AF$2:$AF$1001,0),0), INDEX($AM$1004:$BM$1004,1,MATCH(COLUMNS($AM$1006:AP1006),$AM$1006:$BM$1006,0)))),"Fix")))</f>
        <v xml:space="preserve"> </v>
      </c>
      <c r="F741" s="4" t="str">
        <f ca="1">IF(OR(INDEX($AG$2:$AG$1001,MATCH(ROWS($AF$2:AF741),$AF$2:$AF$1001,0),1)&gt;=100000,INDEX($AM$1005:$BM$1005,1,MATCH(COLUMNS($AM$1006:AQ1006),$AM$1006:$BM$1006,0))&gt;=100000), " ",IF(INDEX($AM$2:$BM$1001,MATCH(ROWS($AF$2:AF741),$AF$2:$AF$1001,0),MATCH(COLUMNS($AM$1006:AQ1006),$AM$1006:$BM$1006,0)), HYPERLINK("#",""), HYPERLINK(CONCATENATE("#metadata!", ADDRESS(INDEX($AH$2:$AH$1001,MATCH(ROWS($AF$2:AF741),$AF$2:$AF$1001,0),0), INDEX($AM$1004:$BM$1004,1,MATCH(COLUMNS($AM$1006:AQ1006),$AM$1006:$BM$1006,0)))),"Fix")))</f>
        <v xml:space="preserve"> </v>
      </c>
      <c r="G741" s="4" t="str">
        <f ca="1">IF(OR(INDEX($AG$2:$AG$1001,MATCH(ROWS($AF$2:AF741),$AF$2:$AF$1001,0),1)&gt;=100000,INDEX($AM$1005:$BM$1005,1,MATCH(COLUMNS($AM$1006:AR1006),$AM$1006:$BM$1006,0))&gt;=100000), " ",IF(INDEX($AM$2:$BM$1001,MATCH(ROWS($AF$2:AF741),$AF$2:$AF$1001,0),MATCH(COLUMNS($AM$1006:AR1006),$AM$1006:$BM$1006,0)), HYPERLINK("#",""), HYPERLINK(CONCATENATE("#metadata!", ADDRESS(INDEX($AH$2:$AH$1001,MATCH(ROWS($AF$2:AF741),$AF$2:$AF$1001,0),0), INDEX($AM$1004:$BM$1004,1,MATCH(COLUMNS($AM$1006:AR1006),$AM$1006:$BM$1006,0)))),"Fix")))</f>
        <v xml:space="preserve"> </v>
      </c>
      <c r="H741" s="4" t="str">
        <f ca="1">IF(OR(INDEX($AG$2:$AG$1001,MATCH(ROWS($AF$2:AF741),$AF$2:$AF$1001,0),1)&gt;=100000,INDEX($AM$1005:$BM$1005,1,MATCH(COLUMNS($AM$1006:AS1006),$AM$1006:$BM$1006,0))&gt;=100000), " ",IF(INDEX($AM$2:$BM$1001,MATCH(ROWS($AF$2:AF741),$AF$2:$AF$1001,0),MATCH(COLUMNS($AM$1006:AS1006),$AM$1006:$BM$1006,0)), HYPERLINK("#",""), HYPERLINK(CONCATENATE("#metadata!", ADDRESS(INDEX($AH$2:$AH$1001,MATCH(ROWS($AF$2:AF741),$AF$2:$AF$1001,0),0), INDEX($AM$1004:$BM$1004,1,MATCH(COLUMNS($AM$1006:AS1006),$AM$1006:$BM$1006,0)))),"Fix")))</f>
        <v xml:space="preserve"> </v>
      </c>
      <c r="I741" s="4" t="str">
        <f ca="1">IF(OR(INDEX($AG$2:$AG$1001,MATCH(ROWS($AF$2:AF741),$AF$2:$AF$1001,0),1)&gt;=100000,INDEX($AM$1005:$BM$1005,1,MATCH(COLUMNS($AM$1006:AT1006),$AM$1006:$BM$1006,0))&gt;=100000), " ",IF(INDEX($AM$2:$BM$1001,MATCH(ROWS($AF$2:AF741),$AF$2:$AF$1001,0),MATCH(COLUMNS($AM$1006:AT1006),$AM$1006:$BM$1006,0)), HYPERLINK("#",""), HYPERLINK(CONCATENATE("#metadata!", ADDRESS(INDEX($AH$2:$AH$1001,MATCH(ROWS($AF$2:AF741),$AF$2:$AF$1001,0),0), INDEX($AM$1004:$BM$1004,1,MATCH(COLUMNS($AM$1006:AT1006),$AM$1006:$BM$1006,0)))),"Fix")))</f>
        <v xml:space="preserve"> </v>
      </c>
      <c r="J741" s="4" t="str">
        <f ca="1">IF(OR(INDEX($AG$2:$AG$1001,MATCH(ROWS($AF$2:AF741),$AF$2:$AF$1001,0),1)&gt;=100000,INDEX($AM$1005:$BM$1005,1,MATCH(COLUMNS($AM$1006:AU1006),$AM$1006:$BM$1006,0))&gt;=100000), " ",IF(INDEX($AM$2:$BM$1001,MATCH(ROWS($AF$2:AF741),$AF$2:$AF$1001,0),MATCH(COLUMNS($AM$1006:AU1006),$AM$1006:$BM$1006,0)), HYPERLINK("#",""), HYPERLINK(CONCATENATE("#metadata!", ADDRESS(INDEX($AH$2:$AH$1001,MATCH(ROWS($AF$2:AF741),$AF$2:$AF$1001,0),0), INDEX($AM$1004:$BM$1004,1,MATCH(COLUMNS($AM$1006:AU1006),$AM$1006:$BM$1006,0)))),"Fix")))</f>
        <v xml:space="preserve"> </v>
      </c>
      <c r="K741" s="4" t="str">
        <f ca="1">IF(OR(INDEX($AG$2:$AG$1001,MATCH(ROWS($AF$2:AF741),$AF$2:$AF$1001,0),1)&gt;=100000,INDEX($AM$1005:$BM$1005,1,MATCH(COLUMNS($AM$1006:AV1006),$AM$1006:$BM$1006,0))&gt;=100000), " ",IF(INDEX($AM$2:$BM$1001,MATCH(ROWS($AF$2:AF741),$AF$2:$AF$1001,0),MATCH(COLUMNS($AM$1006:AV1006),$AM$1006:$BM$1006,0)), HYPERLINK("#",""), HYPERLINK(CONCATENATE("#metadata!", ADDRESS(INDEX($AH$2:$AH$1001,MATCH(ROWS($AF$2:AF741),$AF$2:$AF$1001,0),0), INDEX($AM$1004:$BM$1004,1,MATCH(COLUMNS($AM$1006:AV1006),$AM$1006:$BM$1006,0)))),"Fix")))</f>
        <v xml:space="preserve"> </v>
      </c>
      <c r="L741" s="4" t="str">
        <f ca="1">IF(OR(INDEX($AG$2:$AG$1001,MATCH(ROWS($AF$2:AF741),$AF$2:$AF$1001,0),1)&gt;=100000,INDEX($AM$1005:$BM$1005,1,MATCH(COLUMNS($AM$1006:AW1006),$AM$1006:$BM$1006,0))&gt;=100000), " ",IF(INDEX($AM$2:$BM$1001,MATCH(ROWS($AF$2:AF741),$AF$2:$AF$1001,0),MATCH(COLUMNS($AM$1006:AW1006),$AM$1006:$BM$1006,0)), HYPERLINK("#",""), HYPERLINK(CONCATENATE("#metadata!", ADDRESS(INDEX($AH$2:$AH$1001,MATCH(ROWS($AF$2:AF741),$AF$2:$AF$1001,0),0), INDEX($AM$1004:$BM$1004,1,MATCH(COLUMNS($AM$1006:AW1006),$AM$1006:$BM$1006,0)))),"Fix")))</f>
        <v xml:space="preserve"> </v>
      </c>
      <c r="M741" s="4" t="str">
        <f ca="1">IF(OR(INDEX($AG$2:$AG$1001,MATCH(ROWS($AF$2:AF741),$AF$2:$AF$1001,0),1)&gt;=100000,INDEX($AM$1005:$BM$1005,1,MATCH(COLUMNS($AM$1006:AX1006),$AM$1006:$BM$1006,0))&gt;=100000), " ",IF(INDEX($AM$2:$BM$1001,MATCH(ROWS($AF$2:AF741),$AF$2:$AF$1001,0),MATCH(COLUMNS($AM$1006:AX1006),$AM$1006:$BM$1006,0)), HYPERLINK("#",""), HYPERLINK(CONCATENATE("#metadata!", ADDRESS(INDEX($AH$2:$AH$1001,MATCH(ROWS($AF$2:AF741),$AF$2:$AF$1001,0),0), INDEX($AM$1004:$BM$1004,1,MATCH(COLUMNS($AM$1006:AX1006),$AM$1006:$BM$1006,0)))),"Fix")))</f>
        <v xml:space="preserve"> </v>
      </c>
      <c r="N741" s="4" t="str">
        <f ca="1">IF(OR(INDEX($AG$2:$AG$1001,MATCH(ROWS($AF$2:AF741),$AF$2:$AF$1001,0),1)&gt;=100000,INDEX($AM$1005:$BM$1005,1,MATCH(COLUMNS($AM$1006:AY1006),$AM$1006:$BM$1006,0))&gt;=100000), " ",IF(INDEX($AM$2:$BM$1001,MATCH(ROWS($AF$2:AF741),$AF$2:$AF$1001,0),MATCH(COLUMNS($AM$1006:AY1006),$AM$1006:$BM$1006,0)), HYPERLINK("#",""), HYPERLINK(CONCATENATE("#metadata!", ADDRESS(INDEX($AH$2:$AH$1001,MATCH(ROWS($AF$2:AF741),$AF$2:$AF$1001,0),0), INDEX($AM$1004:$BM$1004,1,MATCH(COLUMNS($AM$1006:AY1006),$AM$1006:$BM$1006,0)))),"Fix")))</f>
        <v xml:space="preserve"> </v>
      </c>
      <c r="O741" s="4" t="str">
        <f ca="1">IF(OR(INDEX($AG$2:$AG$1001,MATCH(ROWS($AF$2:AF741),$AF$2:$AF$1001,0),1)&gt;=100000,INDEX($AM$1005:$BM$1005,1,MATCH(COLUMNS($AM$1006:AZ1006),$AM$1006:$BM$1006,0))&gt;=100000), " ",IF(INDEX($AM$2:$BM$1001,MATCH(ROWS($AF$2:AF741),$AF$2:$AF$1001,0),MATCH(COLUMNS($AM$1006:AZ1006),$AM$1006:$BM$1006,0)), HYPERLINK("#",""), HYPERLINK(CONCATENATE("#metadata!", ADDRESS(INDEX($AH$2:$AH$1001,MATCH(ROWS($AF$2:AF741),$AF$2:$AF$1001,0),0), INDEX($AM$1004:$BM$1004,1,MATCH(COLUMNS($AM$1006:AZ1006),$AM$1006:$BM$1006,0)))),"Fix")))</f>
        <v xml:space="preserve"> </v>
      </c>
      <c r="P741" s="4" t="str">
        <f ca="1">IF(OR(INDEX($AG$2:$AG$1001,MATCH(ROWS($AF$2:AF741),$AF$2:$AF$1001,0),1)&gt;=100000,INDEX($AM$1005:$BM$1005,1,MATCH(COLUMNS($AM$1006:BA1006),$AM$1006:$BM$1006,0))&gt;=100000), " ",IF(INDEX($AM$2:$BM$1001,MATCH(ROWS($AF$2:AF741),$AF$2:$AF$1001,0),MATCH(COLUMNS($AM$1006:BA1006),$AM$1006:$BM$1006,0)), HYPERLINK("#",""), HYPERLINK(CONCATENATE("#metadata!", ADDRESS(INDEX($AH$2:$AH$1001,MATCH(ROWS($AF$2:AF741),$AF$2:$AF$1001,0),0), INDEX($AM$1004:$BM$1004,1,MATCH(COLUMNS($AM$1006:BA1006),$AM$1006:$BM$1006,0)))),"Fix")))</f>
        <v xml:space="preserve"> </v>
      </c>
      <c r="Q741" s="4" t="str">
        <f ca="1">IF(OR(INDEX($AG$2:$AG$1001,MATCH(ROWS($AF$2:AF741),$AF$2:$AF$1001,0),1)&gt;=100000,INDEX($AM$1005:$BM$1005,1,MATCH(COLUMNS($AM$1006:BB1006),$AM$1006:$BM$1006,0))&gt;=100000), " ",IF(INDEX($AM$2:$BM$1001,MATCH(ROWS($AF$2:AF741),$AF$2:$AF$1001,0),MATCH(COLUMNS($AM$1006:BB1006),$AM$1006:$BM$1006,0)), HYPERLINK("#",""), HYPERLINK(CONCATENATE("#metadata!", ADDRESS(INDEX($AH$2:$AH$1001,MATCH(ROWS($AF$2:AF741),$AF$2:$AF$1001,0),0), INDEX($AM$1004:$BM$1004,1,MATCH(COLUMNS($AM$1006:BB1006),$AM$1006:$BM$1006,0)))),"Fix")))</f>
        <v xml:space="preserve"> </v>
      </c>
      <c r="R741" s="4" t="str">
        <f ca="1">IF(OR(INDEX($AG$2:$AG$1001,MATCH(ROWS($AF$2:AF741),$AF$2:$AF$1001,0),1)&gt;=100000,INDEX($AM$1005:$BM$1005,1,MATCH(COLUMNS($AM$1006:BC1006),$AM$1006:$BM$1006,0))&gt;=100000), " ",IF(INDEX($AM$2:$BM$1001,MATCH(ROWS($AF$2:AF741),$AF$2:$AF$1001,0),MATCH(COLUMNS($AM$1006:BC1006),$AM$1006:$BM$1006,0)), HYPERLINK("#",""), HYPERLINK(CONCATENATE("#metadata!", ADDRESS(INDEX($AH$2:$AH$1001,MATCH(ROWS($AF$2:AF741),$AF$2:$AF$1001,0),0), INDEX($AM$1004:$BM$1004,1,MATCH(COLUMNS($AM$1006:BC1006),$AM$1006:$BM$1006,0)))),"Fix")))</f>
        <v xml:space="preserve"> </v>
      </c>
      <c r="S741" s="4" t="str">
        <f ca="1">IF(OR(INDEX($AG$2:$AG$1001,MATCH(ROWS($AF$2:AF741),$AF$2:$AF$1001,0),1)&gt;=100000,INDEX($AM$1005:$BM$1005,1,MATCH(COLUMNS($AM$1006:BD1006),$AM$1006:$BM$1006,0))&gt;=100000), " ",IF(INDEX($AM$2:$BM$1001,MATCH(ROWS($AF$2:AF741),$AF$2:$AF$1001,0),MATCH(COLUMNS($AM$1006:BD1006),$AM$1006:$BM$1006,0)), HYPERLINK("#",""), HYPERLINK(CONCATENATE("#metadata!", ADDRESS(INDEX($AH$2:$AH$1001,MATCH(ROWS($AF$2:AF741),$AF$2:$AF$1001,0),0), INDEX($AM$1004:$BM$1004,1,MATCH(COLUMNS($AM$1006:BD1006),$AM$1006:$BM$1006,0)))),"Fix")))</f>
        <v xml:space="preserve"> </v>
      </c>
      <c r="T741" s="4" t="str">
        <f ca="1">IF(OR(INDEX($AG$2:$AG$1001,MATCH(ROWS($AF$2:AF741),$AF$2:$AF$1001,0),1)&gt;=100000,INDEX($AM$1005:$BM$1005,1,MATCH(COLUMNS($AM$1006:BE1006),$AM$1006:$BM$1006,0))&gt;=100000), " ",IF(INDEX($AM$2:$BM$1001,MATCH(ROWS($AF$2:AF741),$AF$2:$AF$1001,0),MATCH(COLUMNS($AM$1006:BE1006),$AM$1006:$BM$1006,0)), HYPERLINK("#",""), HYPERLINK(CONCATENATE("#metadata!", ADDRESS(INDEX($AH$2:$AH$1001,MATCH(ROWS($AF$2:AF741),$AF$2:$AF$1001,0),0), INDEX($AM$1004:$BM$1004,1,MATCH(COLUMNS($AM$1006:BE1006),$AM$1006:$BM$1006,0)))),"Fix")))</f>
        <v xml:space="preserve"> </v>
      </c>
      <c r="U741" s="4" t="str">
        <f ca="1">IF(OR(INDEX($AG$2:$AG$1001,MATCH(ROWS($AF$2:AF741),$AF$2:$AF$1001,0),1)&gt;=100000,INDEX($AM$1005:$BM$1005,1,MATCH(COLUMNS($AM$1006:BF1006),$AM$1006:$BM$1006,0))&gt;=100000), " ",IF(INDEX($AM$2:$BM$1001,MATCH(ROWS($AF$2:AF741),$AF$2:$AF$1001,0),MATCH(COLUMNS($AM$1006:BF1006),$AM$1006:$BM$1006,0)), HYPERLINK("#",""), HYPERLINK(CONCATENATE("#metadata!", ADDRESS(INDEX($AH$2:$AH$1001,MATCH(ROWS($AF$2:AF741),$AF$2:$AF$1001,0),0), INDEX($AM$1004:$BM$1004,1,MATCH(COLUMNS($AM$1006:BF1006),$AM$1006:$BM$1006,0)))),"Fix")))</f>
        <v xml:space="preserve"> </v>
      </c>
      <c r="V741" s="4" t="str">
        <f ca="1">IF(OR(INDEX($AG$2:$AG$1001,MATCH(ROWS($AF$2:AF741),$AF$2:$AF$1001,0),1)&gt;=100000,INDEX($AM$1005:$BM$1005,1,MATCH(COLUMNS($AM$1006:BG1006),$AM$1006:$BM$1006,0))&gt;=100000), " ",IF(INDEX($AM$2:$BM$1001,MATCH(ROWS($AF$2:AF741),$AF$2:$AF$1001,0),MATCH(COLUMNS($AM$1006:BG1006),$AM$1006:$BM$1006,0)), HYPERLINK("#",""), HYPERLINK(CONCATENATE("#metadata!", ADDRESS(INDEX($AH$2:$AH$1001,MATCH(ROWS($AF$2:AF741),$AF$2:$AF$1001,0),0), INDEX($AM$1004:$BM$1004,1,MATCH(COLUMNS($AM$1006:BG1006),$AM$1006:$BM$1006,0)))),"Fix")))</f>
        <v xml:space="preserve"> </v>
      </c>
      <c r="W741" s="4" t="str">
        <f ca="1">IF(OR(INDEX($AG$2:$AG$1001,MATCH(ROWS($AF$2:AF741),$AF$2:$AF$1001,0),1)&gt;=100000,INDEX($AM$1005:$BM$1005,1,MATCH(COLUMNS($AM$1006:BH1006),$AM$1006:$BM$1006,0))&gt;=100000), " ",IF(INDEX($AM$2:$BM$1001,MATCH(ROWS($AF$2:AF741),$AF$2:$AF$1001,0),MATCH(COLUMNS($AM$1006:BH1006),$AM$1006:$BM$1006,0)), HYPERLINK("#",""), HYPERLINK(CONCATENATE("#metadata!", ADDRESS(INDEX($AH$2:$AH$1001,MATCH(ROWS($AF$2:AF741),$AF$2:$AF$1001,0),0), INDEX($AM$1004:$BM$1004,1,MATCH(COLUMNS($AM$1006:BH1006),$AM$1006:$BM$1006,0)))),"Fix")))</f>
        <v xml:space="preserve"> </v>
      </c>
      <c r="X741" s="4" t="str">
        <f ca="1">IF(OR(INDEX($AG$2:$AG$1001,MATCH(ROWS($AF$2:AF741),$AF$2:$AF$1001,0),1)&gt;=100000,INDEX($AM$1005:$BM$1005,1,MATCH(COLUMNS($AM$1006:BI1006),$AM$1006:$BM$1006,0))&gt;=100000), " ",IF(INDEX($AM$2:$BM$1001,MATCH(ROWS($AF$2:AF741),$AF$2:$AF$1001,0),MATCH(COLUMNS($AM$1006:BI1006),$AM$1006:$BM$1006,0)), HYPERLINK("#",""), HYPERLINK(CONCATENATE("#metadata!", ADDRESS(INDEX($AH$2:$AH$1001,MATCH(ROWS($AF$2:AF741),$AF$2:$AF$1001,0),0), INDEX($AM$1004:$BM$1004,1,MATCH(COLUMNS($AM$1006:BI1006),$AM$1006:$BM$1006,0)))),"Fix")))</f>
        <v xml:space="preserve"> </v>
      </c>
      <c r="Y741" s="4" t="str">
        <f ca="1">IF(OR(INDEX($AG$2:$AG$1001,MATCH(ROWS($AF$2:AF741),$AF$2:$AF$1001,0),1)&gt;=100000,INDEX($AM$1005:$BM$1005,1,MATCH(COLUMNS($AM$1006:BJ1006),$AM$1006:$BM$1006,0))&gt;=100000), " ",IF(INDEX($AM$2:$BM$1001,MATCH(ROWS($AF$2:AF741),$AF$2:$AF$1001,0),MATCH(COLUMNS($AM$1006:BJ1006),$AM$1006:$BM$1006,0)), HYPERLINK("#",""), HYPERLINK(CONCATENATE("#metadata!", ADDRESS(INDEX($AH$2:$AH$1001,MATCH(ROWS($AF$2:AF741),$AF$2:$AF$1001,0),0), INDEX($AM$1004:$BM$1004,1,MATCH(COLUMNS($AM$1006:BJ1006),$AM$1006:$BM$1006,0)))),"Fix")))</f>
        <v xml:space="preserve"> </v>
      </c>
      <c r="Z741" s="4" t="str">
        <f ca="1">IF(OR(INDEX($AG$2:$AG$1001,MATCH(ROWS($AF$2:AF741),$AF$2:$AF$1001,0),1)&gt;=100000,INDEX($AM$1005:$BM$1005,1,MATCH(COLUMNS($AM$1006:BK1006),$AM$1006:$BM$1006,0))&gt;=100000), " ",IF(INDEX($AM$2:$BM$1001,MATCH(ROWS($AF$2:AF741),$AF$2:$AF$1001,0),MATCH(COLUMNS($AM$1006:BK1006),$AM$1006:$BM$1006,0)), HYPERLINK("#",""), HYPERLINK(CONCATENATE("#metadata!", ADDRESS(INDEX($AH$2:$AH$1001,MATCH(ROWS($AF$2:AF741),$AF$2:$AF$1001,0),0), INDEX($AM$1004:$BM$1004,1,MATCH(COLUMNS($AM$1006:BK1006),$AM$1006:$BM$1006,0)))),"Fix")))</f>
        <v xml:space="preserve"> </v>
      </c>
      <c r="AA741" s="4" t="str">
        <f ca="1">IF(OR(INDEX($AG$2:$AG$1001,MATCH(ROWS($AF$2:AF741),$AF$2:$AF$1001,0),1)&gt;=100000,INDEX($AM$1005:$BM$1005,1,MATCH(COLUMNS($AM$1006:BL1006),$AM$1006:$BM$1006,0))&gt;=100000), " ",IF(INDEX($AM$2:$BM$1001,MATCH(ROWS($AF$2:AF741),$AF$2:$AF$1001,0),MATCH(COLUMNS($AM$1006:BL1006),$AM$1006:$BM$1006,0)), HYPERLINK("#",""), HYPERLINK(CONCATENATE("#metadata!", ADDRESS(INDEX($AH$2:$AH$1001,MATCH(ROWS($AF$2:AF741),$AF$2:$AF$1001,0),0), INDEX($AM$1004:$BM$1004,1,MATCH(COLUMNS($AM$1006:BL1006),$AM$1006:$BM$1006,0)))),"Fix")))</f>
        <v xml:space="preserve"> </v>
      </c>
      <c r="AB741" s="4" t="str">
        <f ca="1">IF(OR(INDEX($AG$2:$AG$1001,MATCH(ROWS($AF$2:AF741),$AF$2:$AF$1001,0),1)&gt;=100000,INDEX($AM$1005:$BM$1005,1,MATCH(COLUMNS($AM$1006:BM1006),$AM$1006:$BM$1006,0))&gt;=100000), " ",IF(INDEX($AM$2:$BM$1001,MATCH(ROWS($AF$2:AF741),$AF$2:$AF$1001,0),MATCH(COLUMNS($AM$1006:BM1006),$AM$1006:$BM$1006,0)), HYPERLINK("#",""), HYPERLINK(CONCATENATE("#metadata!", ADDRESS(INDEX($AH$2:$AH$1001,MATCH(ROWS($AF$2:AF741),$AF$2:$AF$1001,0),0), INDEX($AM$1004:$BM$1004,1,MATCH(COLUMNS($AM$1006:BM1006),$AM$1006:$BM$1006,0)))),"Fix")))</f>
        <v xml:space="preserve"> </v>
      </c>
      <c r="AF741">
        <v>740</v>
      </c>
      <c r="AG741">
        <v>100741</v>
      </c>
      <c r="AH741">
        <v>741</v>
      </c>
      <c r="AI741" t="b">
        <f t="shared" si="11"/>
        <v>1</v>
      </c>
      <c r="AJ741" t="b">
        <f>COUNTBLANK(metadata!B741:AB741)=COLUMNS(metadata!B741:AB741)</f>
        <v>1</v>
      </c>
      <c r="AK741" t="str">
        <v/>
      </c>
      <c r="AM741" t="b">
        <f ca="1">AND(IF(metadata!B741="",FALSE,TRUE),COUNTIF(metadata!B:B, metadata!B741) = 1,NOT(ISERROR(SUMPRODUCT(SEARCH(MID(metadata!B741,ROW(INDIRECT("1:"&amp;LEN(metadata!B741))), 1),"0123456789abcdefghijklmnopqrstuvwxyzABCDEFGHIJKLMNOPQRSTUVWXYZ.")))))</f>
        <v>0</v>
      </c>
      <c r="AN741" t="b">
        <f ca="1">OR(AND(IF(metadata!C741="",FALSE,TRUE),OR(EXACT(metadata!C741,"missing: not collected"),EXACT(metadata!C741,"missing: not provided"),EXACT(metadata!C741,"missing: restricted access"))),AND(IF(metadata!C741="",FALSE,TRUE),AND(AND(IFERROR(INT(LEFT(metadata!C741,4))&gt;1900,FALSE),IFERROR(INT(LEFT(metadata!C741,4))&lt;=YEAR(NOW()),FALSE)), OR(MID(metadata!C741,5,1)="", AND(AND(MID(metadata!C741,5,1)="-",IFERROR(INT(MID(metadata!C741,6,1))&gt;=0,FALSE),IFERROR(INT(MID(metadata!C741,6,1))&lt;=1,FALSE),NOT(MID(metadata!C741,7,1)=""),IFERROR(INT(MID(metadata!C741,6,2))&gt;=1,FALSE),IFERROR(INT(MID(metadata!C741,6,2))&lt;=12,FALSE)), OR(MID(metadata!C741,8,1)="", AND(AND(MID(metadata!C741,8,1)="-",IFERROR(INT(MID(metadata!C741,9,1))&gt;=0,FALSE),IFERROR(INT(MID(metadata!C741,9,1))&lt;=3,FALSE),NOT(MID(metadata!C741,10,1)=""),IFERROR(INT(MID(metadata!C741,9,2))&gt;=1,FALSE),IFERROR(INT(MID(metadata!C741,9,2))&lt;=31,FALSE)), OR(MID(metadata!C741,11,1)="", AND(AND(MID(metadata!C741,11,1)=" ",IFERROR(INT(MID(metadata!C741,12,1))&gt;=0,FALSE),IFERROR(INT(MID(metadata!C741,12,1))&lt;=2,FALSE),NOT(MID(metadata!C741,13,1)=""),IFERROR(INT(MID(metadata!C741,12,2))&gt;=0,FALSE),IFERROR(INT(MID(metadata!C741,12,2))&lt;=23,FALSE)), OR(MID(metadata!C741,14,1)="", AND(AND(MID(metadata!C741,14,1)=":",IFERROR(INT(MID(metadata!C741,15,1))&gt;=0,FALSE),IFERROR(INT(MID(metadata!C741,15,1))&lt;=5,FALSE),NOT(MID(metadata!C741,16,1)=""),IFERROR(INT(MID(metadata!C741,15,2))&gt;=0,FALSE),IFERROR(INT(MID(metadata!C741,15,2))&lt;=59,FALSE)), OR(MID(metadata!C741,17,1)="", AND(AND(MID(metadata!C741,17,1)=":",IFERROR(INT(MID(metadata!C741,18,1))&gt;=0,FALSE),IFERROR(INT(MID(metadata!C741,18,1))&lt;=5,FALSE),NOT(MID(metadata!C741,19,1)=""),IFERROR(INT(MID(metadata!C741,18,2))&gt;=0,FALSE),IFERROR(INT(MID(metadata!C741,18,2))&lt;=59,FALSE)), LEN(metadata!C741)&lt;=19)))))))))))))</f>
        <v>0</v>
      </c>
      <c r="AO741" t="b">
        <f>AND(IF(metadata!D741="",FALSE,TRUE),EXACT(metadata!D741,"Not applicable"))</f>
        <v>0</v>
      </c>
      <c r="AP741" t="b">
        <f>IF(metadata!E741="",FALSE,TRUE)</f>
        <v>0</v>
      </c>
      <c r="AQ741" t="b">
        <f>OR(AND(IF(metadata!F741="",FALSE,TRUE),OR(EXACT(metadata!F741,"missing: not collected"),EXACT(metadata!F741,"missing: not provided"))),AND(IF(metadata!F741="",FALSE,TRUE),OR(EXACT(metadata!F741,"TRUE"),EXACT(metadata!F741,"FALSE"))))</f>
        <v>0</v>
      </c>
      <c r="AR741" t="b">
        <f>OR(AND(IF(metadata!G741="",FALSE,TRUE),OR(EXACT(metadata!G741,"missing: not collected"),EXACT(metadata!G741,"missing: not provided"),EXACT(metadata!G741,"missing: restricted access"))),AND(IF(metadata!G741="",FALSE,ISNUMBER(VALUE(metadata!G741))),metadata!G741&gt;=-413))</f>
        <v>0</v>
      </c>
      <c r="AS741" t="b">
        <f>AND(IF(metadata!H741="",FALSE,TRUE),EXACT(metadata!H741,"meters"))</f>
        <v>0</v>
      </c>
      <c r="AT741" t="b">
        <f>AND(IF(metadata!I741="",FALSE,TRUE),OR(EXACT(metadata!I741,"Host-associated"),EXACT(metadata!I741,"Free-living")))</f>
        <v>0</v>
      </c>
      <c r="AU741" t="b">
        <f>AND(IF(metadata!J741="",FALSE,TRUE),OR(EXACT(metadata!J741,"Animal"),EXACT(metadata!J741,"Fungus"),EXACT(metadata!J741,"Plant"),EXACT(metadata!J741,"Saline"),EXACT(metadata!J741,"Non-saline")))</f>
        <v>0</v>
      </c>
      <c r="AV741" t="b">
        <f>AND(IF(metadata!K741="",FALSE,TRUE),OR(EXACT(metadata!K741,"Plant secretion"),EXACT(metadata!K741,"Plant rhizosphere"),EXACT(metadata!K741,"Plant surface"),EXACT(metadata!K741,"Plant corpus"),EXACT(metadata!K741,"Fungus surface"),EXACT(metadata!K741,"Fungus corpus"),EXACT(metadata!K741,"Animal surface"),EXACT(metadata!K741,"Animal proximal gut"),EXACT(metadata!K741,"Animal corpus"),EXACT(metadata!K741,"Animal distal gut"),EXACT(metadata!K741,"Animal secretion"),EXACT(metadata!K741,"Sub-surface (non-saline)"),EXACT(metadata!K741,"Surface (non-saline)"),EXACT(metadata!K741,"Water (non-saline)"),EXACT(metadata!K741,"Soil (non-saline)"),EXACT(metadata!K741,"Aerosol (non-saline)"),EXACT(metadata!K741,"Sediment (non-saline)"),EXACT(metadata!K741,"Surface (saline)"),EXACT(metadata!K741,"Water (saline)"),EXACT(metadata!K741,"Hypersaline (saline)"),EXACT(metadata!K741,"Aerosol (saline)"),EXACT(metadata!K741,"Sediment (saline)")))</f>
        <v>0</v>
      </c>
      <c r="AW741" t="b">
        <f>IF(metadata!L741="",FALSE,TRUE)</f>
        <v>0</v>
      </c>
      <c r="AX741" t="b">
        <f>IF(metadata!M741="",FALSE,TRUE)</f>
        <v>0</v>
      </c>
      <c r="AY741" t="b">
        <f>IF(metadata!N741="",FALSE,TRUE)</f>
        <v>0</v>
      </c>
      <c r="AZ741" t="b">
        <f>OR(AND(IF(metadata!O741="",FALSE,TRUE),OR(EXACT(metadata!O741,"missing: not collected"),EXACT(metadata!O741,"missing: not provided"),EXACT(metadata!O741,"missing: restricted access"))),AND(IF(metadata!O741="",FALSE,TRUE),OR(EXACT(metadata!O741,"air"),EXACT(metadata!O741,"built environment"),EXACT(metadata!O741,"host-associated"),EXACT(metadata!O741,"human-associated"),EXACT(metadata!O741,"human-skin"),EXACT(metadata!O741,"human-oral"),EXACT(metadata!O741,"human-gut"),EXACT(metadata!O741,"human-vaginal"),EXACT(metadata!O741,"microbial mat/biofilm"),EXACT(metadata!O741,"misc environment"),EXACT(metadata!O741,"plant-associated"),EXACT(metadata!O741,"sediment"),EXACT(metadata!O741,"soil"),EXACT(metadata!O741,"wastewater/sludge"),EXACT(metadata!O741,"water"))))</f>
        <v>0</v>
      </c>
      <c r="BA741" t="b">
        <f>IF(metadata!P741="",FALSE,TRUE)</f>
        <v>0</v>
      </c>
      <c r="BB741" t="b">
        <f>IF(metadata!Q741="",FALSE,TRUE)</f>
        <v>0</v>
      </c>
      <c r="BC741" t="b">
        <f>OR(AND(IF(metadata!R741="",FALSE,TRUE),OR(EXACT(metadata!R741,"missing: not collected"),EXACT(metadata!R741,"missing: not provided"),EXACT(metadata!R741,"missing: restricted access"))),AND(IF(metadata!R741="",FALSE,ISNUMBER(VALUE(metadata!R741))),metadata!R741&gt;=-90,metadata!R741&lt;=90))</f>
        <v>0</v>
      </c>
      <c r="BD741" t="b">
        <f>AND(IF(metadata!S741="",FALSE,TRUE),EXACT(metadata!S741,"Decimal degrees"))</f>
        <v>0</v>
      </c>
      <c r="BE741" t="b">
        <f>OR(AND(IF(metadata!T741="",FALSE,TRUE),OR(EXACT(metadata!T741,"missing: not collected"),EXACT(metadata!T741,"missing: not provided"),EXACT(metadata!T741,"missing: restricted access"))),AND(IF(metadata!T741="",FALSE,ISNUMBER(VALUE(metadata!T741))),metadata!T741&gt;=-180,metadata!T741&lt;=180))</f>
        <v>0</v>
      </c>
      <c r="BF741" t="b">
        <f>AND(IF(metadata!U741="",FALSE,TRUE),EXACT(metadata!U741,"Decimal degrees"))</f>
        <v>0</v>
      </c>
      <c r="BG741" t="b">
        <f>IF(metadata!V741="",FALSE,TRUE)</f>
        <v>0</v>
      </c>
      <c r="BH741" t="b">
        <f>OR(AND(IF(metadata!W741="",FALSE,TRUE),OR(EXACT(metadata!W741,"missing: not collected"),EXACT(metadata!W741,"missing: not provided"),EXACT(metadata!W741,"missing: restricted access"))),AND(IF(metadata!W741="",FALSE,TRUE),OR(EXACT(metadata!W741,"TRUE"),EXACT(metadata!W741,"FALSE"))))</f>
        <v>0</v>
      </c>
      <c r="BI741" t="b">
        <f>AND(IF(metadata!X741="",FALSE,TRUE),EXACT(metadata!X741,"other"))</f>
        <v>0</v>
      </c>
      <c r="BJ741" t="b">
        <f>IF(metadata!Y741="",FALSE,TRUE)</f>
        <v>0</v>
      </c>
      <c r="BK741" t="b">
        <f>OR(AND(IF(metadata!Z741="",FALSE,TRUE),OR(EXACT(metadata!Z741,"missing: not collected"),EXACT(metadata!Z741,"missing: not provided"))),AND(IF(metadata!Z741="",FALSE,IF(ISERROR(INT(metadata!Z741)),FALSE,INT(metadata!Z741)=metadata!Z741)),metadata!Z741&gt;0))</f>
        <v>0</v>
      </c>
      <c r="BL741" t="b">
        <f>AND(IF(metadata!AA741="",FALSE,TRUE),EXACT(metadata!AA741,"Not applicable"))</f>
        <v>0</v>
      </c>
      <c r="BM741" t="b">
        <f>IF(metadata!AB741="",FALSE,TRUE)</f>
        <v>0</v>
      </c>
    </row>
    <row r="742" spans="1:65" x14ac:dyDescent="0.2">
      <c r="A742" s="5" t="str">
        <f ca="1">IF(B742=" "," ",HYPERLINK(CONCATENATE("#metadata!",ADDRESS(INDEX($AH$2:$AH$1001,MATCH(ROWS($AF$2:AF742),$AF$2:$AF$1001,0),0),1)),INDEX($AK$2:$AK$1001,MATCH(ROWS($AF$2:AF742),$AF$2:$AF$1001,0),0)))</f>
        <v xml:space="preserve"> </v>
      </c>
      <c r="B742" s="4" t="str">
        <f ca="1">IF(OR(INDEX($AG$2:$AG$1001,MATCH(ROWS($AF$2:AF742),$AF$2:$AF$1001,0),1)&gt;=100000,INDEX($AM$1005:$BM$1005,1,MATCH(COLUMNS($AM$1006:AM1006),$AM$1006:$BM$1006,0))&gt;=100000), " ",IF(INDEX($AM$2:$BM$1001,MATCH(ROWS($AF$2:AF742),$AF$2:$AF$1001,0),MATCH(COLUMNS($AM$1006:AM1006),$AM$1006:$BM$1006,0)), HYPERLINK("#",""), HYPERLINK(CONCATENATE("#metadata!", ADDRESS(INDEX($AH$2:$AH$1001,MATCH(ROWS($AF$2:AF742),$AF$2:$AF$1001,0),0), INDEX($AM$1004:$BM$1004,1,MATCH(COLUMNS($AM$1006:AM1006),$AM$1006:$BM$1006,0)))),"Fix")))</f>
        <v xml:space="preserve"> </v>
      </c>
      <c r="C742" s="4" t="str">
        <f ca="1">IF(OR(INDEX($AG$2:$AG$1001,MATCH(ROWS($AF$2:AF742),$AF$2:$AF$1001,0),1)&gt;=100000,INDEX($AM$1005:$BM$1005,1,MATCH(COLUMNS($AM$1006:AN1006),$AM$1006:$BM$1006,0))&gt;=100000), " ",IF(INDEX($AM$2:$BM$1001,MATCH(ROWS($AF$2:AF742),$AF$2:$AF$1001,0),MATCH(COLUMNS($AM$1006:AN1006),$AM$1006:$BM$1006,0)), HYPERLINK("#",""), HYPERLINK(CONCATENATE("#metadata!", ADDRESS(INDEX($AH$2:$AH$1001,MATCH(ROWS($AF$2:AF742),$AF$2:$AF$1001,0),0), INDEX($AM$1004:$BM$1004,1,MATCH(COLUMNS($AM$1006:AN1006),$AM$1006:$BM$1006,0)))),"Fix")))</f>
        <v xml:space="preserve"> </v>
      </c>
      <c r="D742" s="4" t="str">
        <f ca="1">IF(OR(INDEX($AG$2:$AG$1001,MATCH(ROWS($AF$2:AF742),$AF$2:$AF$1001,0),1)&gt;=100000,INDEX($AM$1005:$BM$1005,1,MATCH(COLUMNS($AM$1006:AO1006),$AM$1006:$BM$1006,0))&gt;=100000), " ",IF(INDEX($AM$2:$BM$1001,MATCH(ROWS($AF$2:AF742),$AF$2:$AF$1001,0),MATCH(COLUMNS($AM$1006:AO1006),$AM$1006:$BM$1006,0)), HYPERLINK("#",""), HYPERLINK(CONCATENATE("#metadata!", ADDRESS(INDEX($AH$2:$AH$1001,MATCH(ROWS($AF$2:AF742),$AF$2:$AF$1001,0),0), INDEX($AM$1004:$BM$1004,1,MATCH(COLUMNS($AM$1006:AO1006),$AM$1006:$BM$1006,0)))),"Fix")))</f>
        <v xml:space="preserve"> </v>
      </c>
      <c r="E742" s="4" t="str">
        <f ca="1">IF(OR(INDEX($AG$2:$AG$1001,MATCH(ROWS($AF$2:AF742),$AF$2:$AF$1001,0),1)&gt;=100000,INDEX($AM$1005:$BM$1005,1,MATCH(COLUMNS($AM$1006:AP1006),$AM$1006:$BM$1006,0))&gt;=100000), " ",IF(INDEX($AM$2:$BM$1001,MATCH(ROWS($AF$2:AF742),$AF$2:$AF$1001,0),MATCH(COLUMNS($AM$1006:AP1006),$AM$1006:$BM$1006,0)), HYPERLINK("#",""), HYPERLINK(CONCATENATE("#metadata!", ADDRESS(INDEX($AH$2:$AH$1001,MATCH(ROWS($AF$2:AF742),$AF$2:$AF$1001,0),0), INDEX($AM$1004:$BM$1004,1,MATCH(COLUMNS($AM$1006:AP1006),$AM$1006:$BM$1006,0)))),"Fix")))</f>
        <v xml:space="preserve"> </v>
      </c>
      <c r="F742" s="4" t="str">
        <f ca="1">IF(OR(INDEX($AG$2:$AG$1001,MATCH(ROWS($AF$2:AF742),$AF$2:$AF$1001,0),1)&gt;=100000,INDEX($AM$1005:$BM$1005,1,MATCH(COLUMNS($AM$1006:AQ1006),$AM$1006:$BM$1006,0))&gt;=100000), " ",IF(INDEX($AM$2:$BM$1001,MATCH(ROWS($AF$2:AF742),$AF$2:$AF$1001,0),MATCH(COLUMNS($AM$1006:AQ1006),$AM$1006:$BM$1006,0)), HYPERLINK("#",""), HYPERLINK(CONCATENATE("#metadata!", ADDRESS(INDEX($AH$2:$AH$1001,MATCH(ROWS($AF$2:AF742),$AF$2:$AF$1001,0),0), INDEX($AM$1004:$BM$1004,1,MATCH(COLUMNS($AM$1006:AQ1006),$AM$1006:$BM$1006,0)))),"Fix")))</f>
        <v xml:space="preserve"> </v>
      </c>
      <c r="G742" s="4" t="str">
        <f ca="1">IF(OR(INDEX($AG$2:$AG$1001,MATCH(ROWS($AF$2:AF742),$AF$2:$AF$1001,0),1)&gt;=100000,INDEX($AM$1005:$BM$1005,1,MATCH(COLUMNS($AM$1006:AR1006),$AM$1006:$BM$1006,0))&gt;=100000), " ",IF(INDEX($AM$2:$BM$1001,MATCH(ROWS($AF$2:AF742),$AF$2:$AF$1001,0),MATCH(COLUMNS($AM$1006:AR1006),$AM$1006:$BM$1006,0)), HYPERLINK("#",""), HYPERLINK(CONCATENATE("#metadata!", ADDRESS(INDEX($AH$2:$AH$1001,MATCH(ROWS($AF$2:AF742),$AF$2:$AF$1001,0),0), INDEX($AM$1004:$BM$1004,1,MATCH(COLUMNS($AM$1006:AR1006),$AM$1006:$BM$1006,0)))),"Fix")))</f>
        <v xml:space="preserve"> </v>
      </c>
      <c r="H742" s="4" t="str">
        <f ca="1">IF(OR(INDEX($AG$2:$AG$1001,MATCH(ROWS($AF$2:AF742),$AF$2:$AF$1001,0),1)&gt;=100000,INDEX($AM$1005:$BM$1005,1,MATCH(COLUMNS($AM$1006:AS1006),$AM$1006:$BM$1006,0))&gt;=100000), " ",IF(INDEX($AM$2:$BM$1001,MATCH(ROWS($AF$2:AF742),$AF$2:$AF$1001,0),MATCH(COLUMNS($AM$1006:AS1006),$AM$1006:$BM$1006,0)), HYPERLINK("#",""), HYPERLINK(CONCATENATE("#metadata!", ADDRESS(INDEX($AH$2:$AH$1001,MATCH(ROWS($AF$2:AF742),$AF$2:$AF$1001,0),0), INDEX($AM$1004:$BM$1004,1,MATCH(COLUMNS($AM$1006:AS1006),$AM$1006:$BM$1006,0)))),"Fix")))</f>
        <v xml:space="preserve"> </v>
      </c>
      <c r="I742" s="4" t="str">
        <f ca="1">IF(OR(INDEX($AG$2:$AG$1001,MATCH(ROWS($AF$2:AF742),$AF$2:$AF$1001,0),1)&gt;=100000,INDEX($AM$1005:$BM$1005,1,MATCH(COLUMNS($AM$1006:AT1006),$AM$1006:$BM$1006,0))&gt;=100000), " ",IF(INDEX($AM$2:$BM$1001,MATCH(ROWS($AF$2:AF742),$AF$2:$AF$1001,0),MATCH(COLUMNS($AM$1006:AT1006),$AM$1006:$BM$1006,0)), HYPERLINK("#",""), HYPERLINK(CONCATENATE("#metadata!", ADDRESS(INDEX($AH$2:$AH$1001,MATCH(ROWS($AF$2:AF742),$AF$2:$AF$1001,0),0), INDEX($AM$1004:$BM$1004,1,MATCH(COLUMNS($AM$1006:AT1006),$AM$1006:$BM$1006,0)))),"Fix")))</f>
        <v xml:space="preserve"> </v>
      </c>
      <c r="J742" s="4" t="str">
        <f ca="1">IF(OR(INDEX($AG$2:$AG$1001,MATCH(ROWS($AF$2:AF742),$AF$2:$AF$1001,0),1)&gt;=100000,INDEX($AM$1005:$BM$1005,1,MATCH(COLUMNS($AM$1006:AU1006),$AM$1006:$BM$1006,0))&gt;=100000), " ",IF(INDEX($AM$2:$BM$1001,MATCH(ROWS($AF$2:AF742),$AF$2:$AF$1001,0),MATCH(COLUMNS($AM$1006:AU1006),$AM$1006:$BM$1006,0)), HYPERLINK("#",""), HYPERLINK(CONCATENATE("#metadata!", ADDRESS(INDEX($AH$2:$AH$1001,MATCH(ROWS($AF$2:AF742),$AF$2:$AF$1001,0),0), INDEX($AM$1004:$BM$1004,1,MATCH(COLUMNS($AM$1006:AU1006),$AM$1006:$BM$1006,0)))),"Fix")))</f>
        <v xml:space="preserve"> </v>
      </c>
      <c r="K742" s="4" t="str">
        <f ca="1">IF(OR(INDEX($AG$2:$AG$1001,MATCH(ROWS($AF$2:AF742),$AF$2:$AF$1001,0),1)&gt;=100000,INDEX($AM$1005:$BM$1005,1,MATCH(COLUMNS($AM$1006:AV1006),$AM$1006:$BM$1006,0))&gt;=100000), " ",IF(INDEX($AM$2:$BM$1001,MATCH(ROWS($AF$2:AF742),$AF$2:$AF$1001,0),MATCH(COLUMNS($AM$1006:AV1006),$AM$1006:$BM$1006,0)), HYPERLINK("#",""), HYPERLINK(CONCATENATE("#metadata!", ADDRESS(INDEX($AH$2:$AH$1001,MATCH(ROWS($AF$2:AF742),$AF$2:$AF$1001,0),0), INDEX($AM$1004:$BM$1004,1,MATCH(COLUMNS($AM$1006:AV1006),$AM$1006:$BM$1006,0)))),"Fix")))</f>
        <v xml:space="preserve"> </v>
      </c>
      <c r="L742" s="4" t="str">
        <f ca="1">IF(OR(INDEX($AG$2:$AG$1001,MATCH(ROWS($AF$2:AF742),$AF$2:$AF$1001,0),1)&gt;=100000,INDEX($AM$1005:$BM$1005,1,MATCH(COLUMNS($AM$1006:AW1006),$AM$1006:$BM$1006,0))&gt;=100000), " ",IF(INDEX($AM$2:$BM$1001,MATCH(ROWS($AF$2:AF742),$AF$2:$AF$1001,0),MATCH(COLUMNS($AM$1006:AW1006),$AM$1006:$BM$1006,0)), HYPERLINK("#",""), HYPERLINK(CONCATENATE("#metadata!", ADDRESS(INDEX($AH$2:$AH$1001,MATCH(ROWS($AF$2:AF742),$AF$2:$AF$1001,0),0), INDEX($AM$1004:$BM$1004,1,MATCH(COLUMNS($AM$1006:AW1006),$AM$1006:$BM$1006,0)))),"Fix")))</f>
        <v xml:space="preserve"> </v>
      </c>
      <c r="M742" s="4" t="str">
        <f ca="1">IF(OR(INDEX($AG$2:$AG$1001,MATCH(ROWS($AF$2:AF742),$AF$2:$AF$1001,0),1)&gt;=100000,INDEX($AM$1005:$BM$1005,1,MATCH(COLUMNS($AM$1006:AX1006),$AM$1006:$BM$1006,0))&gt;=100000), " ",IF(INDEX($AM$2:$BM$1001,MATCH(ROWS($AF$2:AF742),$AF$2:$AF$1001,0),MATCH(COLUMNS($AM$1006:AX1006),$AM$1006:$BM$1006,0)), HYPERLINK("#",""), HYPERLINK(CONCATENATE("#metadata!", ADDRESS(INDEX($AH$2:$AH$1001,MATCH(ROWS($AF$2:AF742),$AF$2:$AF$1001,0),0), INDEX($AM$1004:$BM$1004,1,MATCH(COLUMNS($AM$1006:AX1006),$AM$1006:$BM$1006,0)))),"Fix")))</f>
        <v xml:space="preserve"> </v>
      </c>
      <c r="N742" s="4" t="str">
        <f ca="1">IF(OR(INDEX($AG$2:$AG$1001,MATCH(ROWS($AF$2:AF742),$AF$2:$AF$1001,0),1)&gt;=100000,INDEX($AM$1005:$BM$1005,1,MATCH(COLUMNS($AM$1006:AY1006),$AM$1006:$BM$1006,0))&gt;=100000), " ",IF(INDEX($AM$2:$BM$1001,MATCH(ROWS($AF$2:AF742),$AF$2:$AF$1001,0),MATCH(COLUMNS($AM$1006:AY1006),$AM$1006:$BM$1006,0)), HYPERLINK("#",""), HYPERLINK(CONCATENATE("#metadata!", ADDRESS(INDEX($AH$2:$AH$1001,MATCH(ROWS($AF$2:AF742),$AF$2:$AF$1001,0),0), INDEX($AM$1004:$BM$1004,1,MATCH(COLUMNS($AM$1006:AY1006),$AM$1006:$BM$1006,0)))),"Fix")))</f>
        <v xml:space="preserve"> </v>
      </c>
      <c r="O742" s="4" t="str">
        <f ca="1">IF(OR(INDEX($AG$2:$AG$1001,MATCH(ROWS($AF$2:AF742),$AF$2:$AF$1001,0),1)&gt;=100000,INDEX($AM$1005:$BM$1005,1,MATCH(COLUMNS($AM$1006:AZ1006),$AM$1006:$BM$1006,0))&gt;=100000), " ",IF(INDEX($AM$2:$BM$1001,MATCH(ROWS($AF$2:AF742),$AF$2:$AF$1001,0),MATCH(COLUMNS($AM$1006:AZ1006),$AM$1006:$BM$1006,0)), HYPERLINK("#",""), HYPERLINK(CONCATENATE("#metadata!", ADDRESS(INDEX($AH$2:$AH$1001,MATCH(ROWS($AF$2:AF742),$AF$2:$AF$1001,0),0), INDEX($AM$1004:$BM$1004,1,MATCH(COLUMNS($AM$1006:AZ1006),$AM$1006:$BM$1006,0)))),"Fix")))</f>
        <v xml:space="preserve"> </v>
      </c>
      <c r="P742" s="4" t="str">
        <f ca="1">IF(OR(INDEX($AG$2:$AG$1001,MATCH(ROWS($AF$2:AF742),$AF$2:$AF$1001,0),1)&gt;=100000,INDEX($AM$1005:$BM$1005,1,MATCH(COLUMNS($AM$1006:BA1006),$AM$1006:$BM$1006,0))&gt;=100000), " ",IF(INDEX($AM$2:$BM$1001,MATCH(ROWS($AF$2:AF742),$AF$2:$AF$1001,0),MATCH(COLUMNS($AM$1006:BA1006),$AM$1006:$BM$1006,0)), HYPERLINK("#",""), HYPERLINK(CONCATENATE("#metadata!", ADDRESS(INDEX($AH$2:$AH$1001,MATCH(ROWS($AF$2:AF742),$AF$2:$AF$1001,0),0), INDEX($AM$1004:$BM$1004,1,MATCH(COLUMNS($AM$1006:BA1006),$AM$1006:$BM$1006,0)))),"Fix")))</f>
        <v xml:space="preserve"> </v>
      </c>
      <c r="Q742" s="4" t="str">
        <f ca="1">IF(OR(INDEX($AG$2:$AG$1001,MATCH(ROWS($AF$2:AF742),$AF$2:$AF$1001,0),1)&gt;=100000,INDEX($AM$1005:$BM$1005,1,MATCH(COLUMNS($AM$1006:BB1006),$AM$1006:$BM$1006,0))&gt;=100000), " ",IF(INDEX($AM$2:$BM$1001,MATCH(ROWS($AF$2:AF742),$AF$2:$AF$1001,0),MATCH(COLUMNS($AM$1006:BB1006),$AM$1006:$BM$1006,0)), HYPERLINK("#",""), HYPERLINK(CONCATENATE("#metadata!", ADDRESS(INDEX($AH$2:$AH$1001,MATCH(ROWS($AF$2:AF742),$AF$2:$AF$1001,0),0), INDEX($AM$1004:$BM$1004,1,MATCH(COLUMNS($AM$1006:BB1006),$AM$1006:$BM$1006,0)))),"Fix")))</f>
        <v xml:space="preserve"> </v>
      </c>
      <c r="R742" s="4" t="str">
        <f ca="1">IF(OR(INDEX($AG$2:$AG$1001,MATCH(ROWS($AF$2:AF742),$AF$2:$AF$1001,0),1)&gt;=100000,INDEX($AM$1005:$BM$1005,1,MATCH(COLUMNS($AM$1006:BC1006),$AM$1006:$BM$1006,0))&gt;=100000), " ",IF(INDEX($AM$2:$BM$1001,MATCH(ROWS($AF$2:AF742),$AF$2:$AF$1001,0),MATCH(COLUMNS($AM$1006:BC1006),$AM$1006:$BM$1006,0)), HYPERLINK("#",""), HYPERLINK(CONCATENATE("#metadata!", ADDRESS(INDEX($AH$2:$AH$1001,MATCH(ROWS($AF$2:AF742),$AF$2:$AF$1001,0),0), INDEX($AM$1004:$BM$1004,1,MATCH(COLUMNS($AM$1006:BC1006),$AM$1006:$BM$1006,0)))),"Fix")))</f>
        <v xml:space="preserve"> </v>
      </c>
      <c r="S742" s="4" t="str">
        <f ca="1">IF(OR(INDEX($AG$2:$AG$1001,MATCH(ROWS($AF$2:AF742),$AF$2:$AF$1001,0),1)&gt;=100000,INDEX($AM$1005:$BM$1005,1,MATCH(COLUMNS($AM$1006:BD1006),$AM$1006:$BM$1006,0))&gt;=100000), " ",IF(INDEX($AM$2:$BM$1001,MATCH(ROWS($AF$2:AF742),$AF$2:$AF$1001,0),MATCH(COLUMNS($AM$1006:BD1006),$AM$1006:$BM$1006,0)), HYPERLINK("#",""), HYPERLINK(CONCATENATE("#metadata!", ADDRESS(INDEX($AH$2:$AH$1001,MATCH(ROWS($AF$2:AF742),$AF$2:$AF$1001,0),0), INDEX($AM$1004:$BM$1004,1,MATCH(COLUMNS($AM$1006:BD1006),$AM$1006:$BM$1006,0)))),"Fix")))</f>
        <v xml:space="preserve"> </v>
      </c>
      <c r="T742" s="4" t="str">
        <f ca="1">IF(OR(INDEX($AG$2:$AG$1001,MATCH(ROWS($AF$2:AF742),$AF$2:$AF$1001,0),1)&gt;=100000,INDEX($AM$1005:$BM$1005,1,MATCH(COLUMNS($AM$1006:BE1006),$AM$1006:$BM$1006,0))&gt;=100000), " ",IF(INDEX($AM$2:$BM$1001,MATCH(ROWS($AF$2:AF742),$AF$2:$AF$1001,0),MATCH(COLUMNS($AM$1006:BE1006),$AM$1006:$BM$1006,0)), HYPERLINK("#",""), HYPERLINK(CONCATENATE("#metadata!", ADDRESS(INDEX($AH$2:$AH$1001,MATCH(ROWS($AF$2:AF742),$AF$2:$AF$1001,0),0), INDEX($AM$1004:$BM$1004,1,MATCH(COLUMNS($AM$1006:BE1006),$AM$1006:$BM$1006,0)))),"Fix")))</f>
        <v xml:space="preserve"> </v>
      </c>
      <c r="U742" s="4" t="str">
        <f ca="1">IF(OR(INDEX($AG$2:$AG$1001,MATCH(ROWS($AF$2:AF742),$AF$2:$AF$1001,0),1)&gt;=100000,INDEX($AM$1005:$BM$1005,1,MATCH(COLUMNS($AM$1006:BF1006),$AM$1006:$BM$1006,0))&gt;=100000), " ",IF(INDEX($AM$2:$BM$1001,MATCH(ROWS($AF$2:AF742),$AF$2:$AF$1001,0),MATCH(COLUMNS($AM$1006:BF1006),$AM$1006:$BM$1006,0)), HYPERLINK("#",""), HYPERLINK(CONCATENATE("#metadata!", ADDRESS(INDEX($AH$2:$AH$1001,MATCH(ROWS($AF$2:AF742),$AF$2:$AF$1001,0),0), INDEX($AM$1004:$BM$1004,1,MATCH(COLUMNS($AM$1006:BF1006),$AM$1006:$BM$1006,0)))),"Fix")))</f>
        <v xml:space="preserve"> </v>
      </c>
      <c r="V742" s="4" t="str">
        <f ca="1">IF(OR(INDEX($AG$2:$AG$1001,MATCH(ROWS($AF$2:AF742),$AF$2:$AF$1001,0),1)&gt;=100000,INDEX($AM$1005:$BM$1005,1,MATCH(COLUMNS($AM$1006:BG1006),$AM$1006:$BM$1006,0))&gt;=100000), " ",IF(INDEX($AM$2:$BM$1001,MATCH(ROWS($AF$2:AF742),$AF$2:$AF$1001,0),MATCH(COLUMNS($AM$1006:BG1006),$AM$1006:$BM$1006,0)), HYPERLINK("#",""), HYPERLINK(CONCATENATE("#metadata!", ADDRESS(INDEX($AH$2:$AH$1001,MATCH(ROWS($AF$2:AF742),$AF$2:$AF$1001,0),0), INDEX($AM$1004:$BM$1004,1,MATCH(COLUMNS($AM$1006:BG1006),$AM$1006:$BM$1006,0)))),"Fix")))</f>
        <v xml:space="preserve"> </v>
      </c>
      <c r="W742" s="4" t="str">
        <f ca="1">IF(OR(INDEX($AG$2:$AG$1001,MATCH(ROWS($AF$2:AF742),$AF$2:$AF$1001,0),1)&gt;=100000,INDEX($AM$1005:$BM$1005,1,MATCH(COLUMNS($AM$1006:BH1006),$AM$1006:$BM$1006,0))&gt;=100000), " ",IF(INDEX($AM$2:$BM$1001,MATCH(ROWS($AF$2:AF742),$AF$2:$AF$1001,0),MATCH(COLUMNS($AM$1006:BH1006),$AM$1006:$BM$1006,0)), HYPERLINK("#",""), HYPERLINK(CONCATENATE("#metadata!", ADDRESS(INDEX($AH$2:$AH$1001,MATCH(ROWS($AF$2:AF742),$AF$2:$AF$1001,0),0), INDEX($AM$1004:$BM$1004,1,MATCH(COLUMNS($AM$1006:BH1006),$AM$1006:$BM$1006,0)))),"Fix")))</f>
        <v xml:space="preserve"> </v>
      </c>
      <c r="X742" s="4" t="str">
        <f ca="1">IF(OR(INDEX($AG$2:$AG$1001,MATCH(ROWS($AF$2:AF742),$AF$2:$AF$1001,0),1)&gt;=100000,INDEX($AM$1005:$BM$1005,1,MATCH(COLUMNS($AM$1006:BI1006),$AM$1006:$BM$1006,0))&gt;=100000), " ",IF(INDEX($AM$2:$BM$1001,MATCH(ROWS($AF$2:AF742),$AF$2:$AF$1001,0),MATCH(COLUMNS($AM$1006:BI1006),$AM$1006:$BM$1006,0)), HYPERLINK("#",""), HYPERLINK(CONCATENATE("#metadata!", ADDRESS(INDEX($AH$2:$AH$1001,MATCH(ROWS($AF$2:AF742),$AF$2:$AF$1001,0),0), INDEX($AM$1004:$BM$1004,1,MATCH(COLUMNS($AM$1006:BI1006),$AM$1006:$BM$1006,0)))),"Fix")))</f>
        <v xml:space="preserve"> </v>
      </c>
      <c r="Y742" s="4" t="str">
        <f ca="1">IF(OR(INDEX($AG$2:$AG$1001,MATCH(ROWS($AF$2:AF742),$AF$2:$AF$1001,0),1)&gt;=100000,INDEX($AM$1005:$BM$1005,1,MATCH(COLUMNS($AM$1006:BJ1006),$AM$1006:$BM$1006,0))&gt;=100000), " ",IF(INDEX($AM$2:$BM$1001,MATCH(ROWS($AF$2:AF742),$AF$2:$AF$1001,0),MATCH(COLUMNS($AM$1006:BJ1006),$AM$1006:$BM$1006,0)), HYPERLINK("#",""), HYPERLINK(CONCATENATE("#metadata!", ADDRESS(INDEX($AH$2:$AH$1001,MATCH(ROWS($AF$2:AF742),$AF$2:$AF$1001,0),0), INDEX($AM$1004:$BM$1004,1,MATCH(COLUMNS($AM$1006:BJ1006),$AM$1006:$BM$1006,0)))),"Fix")))</f>
        <v xml:space="preserve"> </v>
      </c>
      <c r="Z742" s="4" t="str">
        <f ca="1">IF(OR(INDEX($AG$2:$AG$1001,MATCH(ROWS($AF$2:AF742),$AF$2:$AF$1001,0),1)&gt;=100000,INDEX($AM$1005:$BM$1005,1,MATCH(COLUMNS($AM$1006:BK1006),$AM$1006:$BM$1006,0))&gt;=100000), " ",IF(INDEX($AM$2:$BM$1001,MATCH(ROWS($AF$2:AF742),$AF$2:$AF$1001,0),MATCH(COLUMNS($AM$1006:BK1006),$AM$1006:$BM$1006,0)), HYPERLINK("#",""), HYPERLINK(CONCATENATE("#metadata!", ADDRESS(INDEX($AH$2:$AH$1001,MATCH(ROWS($AF$2:AF742),$AF$2:$AF$1001,0),0), INDEX($AM$1004:$BM$1004,1,MATCH(COLUMNS($AM$1006:BK1006),$AM$1006:$BM$1006,0)))),"Fix")))</f>
        <v xml:space="preserve"> </v>
      </c>
      <c r="AA742" s="4" t="str">
        <f ca="1">IF(OR(INDEX($AG$2:$AG$1001,MATCH(ROWS($AF$2:AF742),$AF$2:$AF$1001,0),1)&gt;=100000,INDEX($AM$1005:$BM$1005,1,MATCH(COLUMNS($AM$1006:BL1006),$AM$1006:$BM$1006,0))&gt;=100000), " ",IF(INDEX($AM$2:$BM$1001,MATCH(ROWS($AF$2:AF742),$AF$2:$AF$1001,0),MATCH(COLUMNS($AM$1006:BL1006),$AM$1006:$BM$1006,0)), HYPERLINK("#",""), HYPERLINK(CONCATENATE("#metadata!", ADDRESS(INDEX($AH$2:$AH$1001,MATCH(ROWS($AF$2:AF742),$AF$2:$AF$1001,0),0), INDEX($AM$1004:$BM$1004,1,MATCH(COLUMNS($AM$1006:BL1006),$AM$1006:$BM$1006,0)))),"Fix")))</f>
        <v xml:space="preserve"> </v>
      </c>
      <c r="AB742" s="4" t="str">
        <f ca="1">IF(OR(INDEX($AG$2:$AG$1001,MATCH(ROWS($AF$2:AF742),$AF$2:$AF$1001,0),1)&gt;=100000,INDEX($AM$1005:$BM$1005,1,MATCH(COLUMNS($AM$1006:BM1006),$AM$1006:$BM$1006,0))&gt;=100000), " ",IF(INDEX($AM$2:$BM$1001,MATCH(ROWS($AF$2:AF742),$AF$2:$AF$1001,0),MATCH(COLUMNS($AM$1006:BM1006),$AM$1006:$BM$1006,0)), HYPERLINK("#",""), HYPERLINK(CONCATENATE("#metadata!", ADDRESS(INDEX($AH$2:$AH$1001,MATCH(ROWS($AF$2:AF742),$AF$2:$AF$1001,0),0), INDEX($AM$1004:$BM$1004,1,MATCH(COLUMNS($AM$1006:BM1006),$AM$1006:$BM$1006,0)))),"Fix")))</f>
        <v xml:space="preserve"> </v>
      </c>
      <c r="AF742">
        <v>741</v>
      </c>
      <c r="AG742">
        <v>100742</v>
      </c>
      <c r="AH742">
        <v>742</v>
      </c>
      <c r="AI742" t="b">
        <f t="shared" si="11"/>
        <v>1</v>
      </c>
      <c r="AJ742" t="b">
        <f>COUNTBLANK(metadata!B742:AB742)=COLUMNS(metadata!B742:AB742)</f>
        <v>1</v>
      </c>
      <c r="AK742" t="str">
        <v/>
      </c>
      <c r="AM742" t="b">
        <f ca="1">AND(IF(metadata!B742="",FALSE,TRUE),COUNTIF(metadata!B:B, metadata!B742) = 1,NOT(ISERROR(SUMPRODUCT(SEARCH(MID(metadata!B742,ROW(INDIRECT("1:"&amp;LEN(metadata!B742))), 1),"0123456789abcdefghijklmnopqrstuvwxyzABCDEFGHIJKLMNOPQRSTUVWXYZ.")))))</f>
        <v>0</v>
      </c>
      <c r="AN742" t="b">
        <f ca="1">OR(AND(IF(metadata!C742="",FALSE,TRUE),OR(EXACT(metadata!C742,"missing: not collected"),EXACT(metadata!C742,"missing: not provided"),EXACT(metadata!C742,"missing: restricted access"))),AND(IF(metadata!C742="",FALSE,TRUE),AND(AND(IFERROR(INT(LEFT(metadata!C742,4))&gt;1900,FALSE),IFERROR(INT(LEFT(metadata!C742,4))&lt;=YEAR(NOW()),FALSE)), OR(MID(metadata!C742,5,1)="", AND(AND(MID(metadata!C742,5,1)="-",IFERROR(INT(MID(metadata!C742,6,1))&gt;=0,FALSE),IFERROR(INT(MID(metadata!C742,6,1))&lt;=1,FALSE),NOT(MID(metadata!C742,7,1)=""),IFERROR(INT(MID(metadata!C742,6,2))&gt;=1,FALSE),IFERROR(INT(MID(metadata!C742,6,2))&lt;=12,FALSE)), OR(MID(metadata!C742,8,1)="", AND(AND(MID(metadata!C742,8,1)="-",IFERROR(INT(MID(metadata!C742,9,1))&gt;=0,FALSE),IFERROR(INT(MID(metadata!C742,9,1))&lt;=3,FALSE),NOT(MID(metadata!C742,10,1)=""),IFERROR(INT(MID(metadata!C742,9,2))&gt;=1,FALSE),IFERROR(INT(MID(metadata!C742,9,2))&lt;=31,FALSE)), OR(MID(metadata!C742,11,1)="", AND(AND(MID(metadata!C742,11,1)=" ",IFERROR(INT(MID(metadata!C742,12,1))&gt;=0,FALSE),IFERROR(INT(MID(metadata!C742,12,1))&lt;=2,FALSE),NOT(MID(metadata!C742,13,1)=""),IFERROR(INT(MID(metadata!C742,12,2))&gt;=0,FALSE),IFERROR(INT(MID(metadata!C742,12,2))&lt;=23,FALSE)), OR(MID(metadata!C742,14,1)="", AND(AND(MID(metadata!C742,14,1)=":",IFERROR(INT(MID(metadata!C742,15,1))&gt;=0,FALSE),IFERROR(INT(MID(metadata!C742,15,1))&lt;=5,FALSE),NOT(MID(metadata!C742,16,1)=""),IFERROR(INT(MID(metadata!C742,15,2))&gt;=0,FALSE),IFERROR(INT(MID(metadata!C742,15,2))&lt;=59,FALSE)), OR(MID(metadata!C742,17,1)="", AND(AND(MID(metadata!C742,17,1)=":",IFERROR(INT(MID(metadata!C742,18,1))&gt;=0,FALSE),IFERROR(INT(MID(metadata!C742,18,1))&lt;=5,FALSE),NOT(MID(metadata!C742,19,1)=""),IFERROR(INT(MID(metadata!C742,18,2))&gt;=0,FALSE),IFERROR(INT(MID(metadata!C742,18,2))&lt;=59,FALSE)), LEN(metadata!C742)&lt;=19)))))))))))))</f>
        <v>0</v>
      </c>
      <c r="AO742" t="b">
        <f>AND(IF(metadata!D742="",FALSE,TRUE),EXACT(metadata!D742,"Not applicable"))</f>
        <v>0</v>
      </c>
      <c r="AP742" t="b">
        <f>IF(metadata!E742="",FALSE,TRUE)</f>
        <v>0</v>
      </c>
      <c r="AQ742" t="b">
        <f>OR(AND(IF(metadata!F742="",FALSE,TRUE),OR(EXACT(metadata!F742,"missing: not collected"),EXACT(metadata!F742,"missing: not provided"))),AND(IF(metadata!F742="",FALSE,TRUE),OR(EXACT(metadata!F742,"TRUE"),EXACT(metadata!F742,"FALSE"))))</f>
        <v>0</v>
      </c>
      <c r="AR742" t="b">
        <f>OR(AND(IF(metadata!G742="",FALSE,TRUE),OR(EXACT(metadata!G742,"missing: not collected"),EXACT(metadata!G742,"missing: not provided"),EXACT(metadata!G742,"missing: restricted access"))),AND(IF(metadata!G742="",FALSE,ISNUMBER(VALUE(metadata!G742))),metadata!G742&gt;=-413))</f>
        <v>0</v>
      </c>
      <c r="AS742" t="b">
        <f>AND(IF(metadata!H742="",FALSE,TRUE),EXACT(metadata!H742,"meters"))</f>
        <v>0</v>
      </c>
      <c r="AT742" t="b">
        <f>AND(IF(metadata!I742="",FALSE,TRUE),OR(EXACT(metadata!I742,"Host-associated"),EXACT(metadata!I742,"Free-living")))</f>
        <v>0</v>
      </c>
      <c r="AU742" t="b">
        <f>AND(IF(metadata!J742="",FALSE,TRUE),OR(EXACT(metadata!J742,"Animal"),EXACT(metadata!J742,"Fungus"),EXACT(metadata!J742,"Plant"),EXACT(metadata!J742,"Saline"),EXACT(metadata!J742,"Non-saline")))</f>
        <v>0</v>
      </c>
      <c r="AV742" t="b">
        <f>AND(IF(metadata!K742="",FALSE,TRUE),OR(EXACT(metadata!K742,"Plant secretion"),EXACT(metadata!K742,"Plant rhizosphere"),EXACT(metadata!K742,"Plant surface"),EXACT(metadata!K742,"Plant corpus"),EXACT(metadata!K742,"Fungus surface"),EXACT(metadata!K742,"Fungus corpus"),EXACT(metadata!K742,"Animal surface"),EXACT(metadata!K742,"Animal proximal gut"),EXACT(metadata!K742,"Animal corpus"),EXACT(metadata!K742,"Animal distal gut"),EXACT(metadata!K742,"Animal secretion"),EXACT(metadata!K742,"Sub-surface (non-saline)"),EXACT(metadata!K742,"Surface (non-saline)"),EXACT(metadata!K742,"Water (non-saline)"),EXACT(metadata!K742,"Soil (non-saline)"),EXACT(metadata!K742,"Aerosol (non-saline)"),EXACT(metadata!K742,"Sediment (non-saline)"),EXACT(metadata!K742,"Surface (saline)"),EXACT(metadata!K742,"Water (saline)"),EXACT(metadata!K742,"Hypersaline (saline)"),EXACT(metadata!K742,"Aerosol (saline)"),EXACT(metadata!K742,"Sediment (saline)")))</f>
        <v>0</v>
      </c>
      <c r="AW742" t="b">
        <f>IF(metadata!L742="",FALSE,TRUE)</f>
        <v>0</v>
      </c>
      <c r="AX742" t="b">
        <f>IF(metadata!M742="",FALSE,TRUE)</f>
        <v>0</v>
      </c>
      <c r="AY742" t="b">
        <f>IF(metadata!N742="",FALSE,TRUE)</f>
        <v>0</v>
      </c>
      <c r="AZ742" t="b">
        <f>OR(AND(IF(metadata!O742="",FALSE,TRUE),OR(EXACT(metadata!O742,"missing: not collected"),EXACT(metadata!O742,"missing: not provided"),EXACT(metadata!O742,"missing: restricted access"))),AND(IF(metadata!O742="",FALSE,TRUE),OR(EXACT(metadata!O742,"air"),EXACT(metadata!O742,"built environment"),EXACT(metadata!O742,"host-associated"),EXACT(metadata!O742,"human-associated"),EXACT(metadata!O742,"human-skin"),EXACT(metadata!O742,"human-oral"),EXACT(metadata!O742,"human-gut"),EXACT(metadata!O742,"human-vaginal"),EXACT(metadata!O742,"microbial mat/biofilm"),EXACT(metadata!O742,"misc environment"),EXACT(metadata!O742,"plant-associated"),EXACT(metadata!O742,"sediment"),EXACT(metadata!O742,"soil"),EXACT(metadata!O742,"wastewater/sludge"),EXACT(metadata!O742,"water"))))</f>
        <v>0</v>
      </c>
      <c r="BA742" t="b">
        <f>IF(metadata!P742="",FALSE,TRUE)</f>
        <v>0</v>
      </c>
      <c r="BB742" t="b">
        <f>IF(metadata!Q742="",FALSE,TRUE)</f>
        <v>0</v>
      </c>
      <c r="BC742" t="b">
        <f>OR(AND(IF(metadata!R742="",FALSE,TRUE),OR(EXACT(metadata!R742,"missing: not collected"),EXACT(metadata!R742,"missing: not provided"),EXACT(metadata!R742,"missing: restricted access"))),AND(IF(metadata!R742="",FALSE,ISNUMBER(VALUE(metadata!R742))),metadata!R742&gt;=-90,metadata!R742&lt;=90))</f>
        <v>0</v>
      </c>
      <c r="BD742" t="b">
        <f>AND(IF(metadata!S742="",FALSE,TRUE),EXACT(metadata!S742,"Decimal degrees"))</f>
        <v>0</v>
      </c>
      <c r="BE742" t="b">
        <f>OR(AND(IF(metadata!T742="",FALSE,TRUE),OR(EXACT(metadata!T742,"missing: not collected"),EXACT(metadata!T742,"missing: not provided"),EXACT(metadata!T742,"missing: restricted access"))),AND(IF(metadata!T742="",FALSE,ISNUMBER(VALUE(metadata!T742))),metadata!T742&gt;=-180,metadata!T742&lt;=180))</f>
        <v>0</v>
      </c>
      <c r="BF742" t="b">
        <f>AND(IF(metadata!U742="",FALSE,TRUE),EXACT(metadata!U742,"Decimal degrees"))</f>
        <v>0</v>
      </c>
      <c r="BG742" t="b">
        <f>IF(metadata!V742="",FALSE,TRUE)</f>
        <v>0</v>
      </c>
      <c r="BH742" t="b">
        <f>OR(AND(IF(metadata!W742="",FALSE,TRUE),OR(EXACT(metadata!W742,"missing: not collected"),EXACT(metadata!W742,"missing: not provided"),EXACT(metadata!W742,"missing: restricted access"))),AND(IF(metadata!W742="",FALSE,TRUE),OR(EXACT(metadata!W742,"TRUE"),EXACT(metadata!W742,"FALSE"))))</f>
        <v>0</v>
      </c>
      <c r="BI742" t="b">
        <f>AND(IF(metadata!X742="",FALSE,TRUE),EXACT(metadata!X742,"other"))</f>
        <v>0</v>
      </c>
      <c r="BJ742" t="b">
        <f>IF(metadata!Y742="",FALSE,TRUE)</f>
        <v>0</v>
      </c>
      <c r="BK742" t="b">
        <f>OR(AND(IF(metadata!Z742="",FALSE,TRUE),OR(EXACT(metadata!Z742,"missing: not collected"),EXACT(metadata!Z742,"missing: not provided"))),AND(IF(metadata!Z742="",FALSE,IF(ISERROR(INT(metadata!Z742)),FALSE,INT(metadata!Z742)=metadata!Z742)),metadata!Z742&gt;0))</f>
        <v>0</v>
      </c>
      <c r="BL742" t="b">
        <f>AND(IF(metadata!AA742="",FALSE,TRUE),EXACT(metadata!AA742,"Not applicable"))</f>
        <v>0</v>
      </c>
      <c r="BM742" t="b">
        <f>IF(metadata!AB742="",FALSE,TRUE)</f>
        <v>0</v>
      </c>
    </row>
    <row r="743" spans="1:65" x14ac:dyDescent="0.2">
      <c r="A743" s="5" t="str">
        <f ca="1">IF(B743=" "," ",HYPERLINK(CONCATENATE("#metadata!",ADDRESS(INDEX($AH$2:$AH$1001,MATCH(ROWS($AF$2:AF743),$AF$2:$AF$1001,0),0),1)),INDEX($AK$2:$AK$1001,MATCH(ROWS($AF$2:AF743),$AF$2:$AF$1001,0),0)))</f>
        <v xml:space="preserve"> </v>
      </c>
      <c r="B743" s="4" t="str">
        <f ca="1">IF(OR(INDEX($AG$2:$AG$1001,MATCH(ROWS($AF$2:AF743),$AF$2:$AF$1001,0),1)&gt;=100000,INDEX($AM$1005:$BM$1005,1,MATCH(COLUMNS($AM$1006:AM1006),$AM$1006:$BM$1006,0))&gt;=100000), " ",IF(INDEX($AM$2:$BM$1001,MATCH(ROWS($AF$2:AF743),$AF$2:$AF$1001,0),MATCH(COLUMNS($AM$1006:AM1006),$AM$1006:$BM$1006,0)), HYPERLINK("#",""), HYPERLINK(CONCATENATE("#metadata!", ADDRESS(INDEX($AH$2:$AH$1001,MATCH(ROWS($AF$2:AF743),$AF$2:$AF$1001,0),0), INDEX($AM$1004:$BM$1004,1,MATCH(COLUMNS($AM$1006:AM1006),$AM$1006:$BM$1006,0)))),"Fix")))</f>
        <v xml:space="preserve"> </v>
      </c>
      <c r="C743" s="4" t="str">
        <f ca="1">IF(OR(INDEX($AG$2:$AG$1001,MATCH(ROWS($AF$2:AF743),$AF$2:$AF$1001,0),1)&gt;=100000,INDEX($AM$1005:$BM$1005,1,MATCH(COLUMNS($AM$1006:AN1006),$AM$1006:$BM$1006,0))&gt;=100000), " ",IF(INDEX($AM$2:$BM$1001,MATCH(ROWS($AF$2:AF743),$AF$2:$AF$1001,0),MATCH(COLUMNS($AM$1006:AN1006),$AM$1006:$BM$1006,0)), HYPERLINK("#",""), HYPERLINK(CONCATENATE("#metadata!", ADDRESS(INDEX($AH$2:$AH$1001,MATCH(ROWS($AF$2:AF743),$AF$2:$AF$1001,0),0), INDEX($AM$1004:$BM$1004,1,MATCH(COLUMNS($AM$1006:AN1006),$AM$1006:$BM$1006,0)))),"Fix")))</f>
        <v xml:space="preserve"> </v>
      </c>
      <c r="D743" s="4" t="str">
        <f ca="1">IF(OR(INDEX($AG$2:$AG$1001,MATCH(ROWS($AF$2:AF743),$AF$2:$AF$1001,0),1)&gt;=100000,INDEX($AM$1005:$BM$1005,1,MATCH(COLUMNS($AM$1006:AO1006),$AM$1006:$BM$1006,0))&gt;=100000), " ",IF(INDEX($AM$2:$BM$1001,MATCH(ROWS($AF$2:AF743),$AF$2:$AF$1001,0),MATCH(COLUMNS($AM$1006:AO1006),$AM$1006:$BM$1006,0)), HYPERLINK("#",""), HYPERLINK(CONCATENATE("#metadata!", ADDRESS(INDEX($AH$2:$AH$1001,MATCH(ROWS($AF$2:AF743),$AF$2:$AF$1001,0),0), INDEX($AM$1004:$BM$1004,1,MATCH(COLUMNS($AM$1006:AO1006),$AM$1006:$BM$1006,0)))),"Fix")))</f>
        <v xml:space="preserve"> </v>
      </c>
      <c r="E743" s="4" t="str">
        <f ca="1">IF(OR(INDEX($AG$2:$AG$1001,MATCH(ROWS($AF$2:AF743),$AF$2:$AF$1001,0),1)&gt;=100000,INDEX($AM$1005:$BM$1005,1,MATCH(COLUMNS($AM$1006:AP1006),$AM$1006:$BM$1006,0))&gt;=100000), " ",IF(INDEX($AM$2:$BM$1001,MATCH(ROWS($AF$2:AF743),$AF$2:$AF$1001,0),MATCH(COLUMNS($AM$1006:AP1006),$AM$1006:$BM$1006,0)), HYPERLINK("#",""), HYPERLINK(CONCATENATE("#metadata!", ADDRESS(INDEX($AH$2:$AH$1001,MATCH(ROWS($AF$2:AF743),$AF$2:$AF$1001,0),0), INDEX($AM$1004:$BM$1004,1,MATCH(COLUMNS($AM$1006:AP1006),$AM$1006:$BM$1006,0)))),"Fix")))</f>
        <v xml:space="preserve"> </v>
      </c>
      <c r="F743" s="4" t="str">
        <f ca="1">IF(OR(INDEX($AG$2:$AG$1001,MATCH(ROWS($AF$2:AF743),$AF$2:$AF$1001,0),1)&gt;=100000,INDEX($AM$1005:$BM$1005,1,MATCH(COLUMNS($AM$1006:AQ1006),$AM$1006:$BM$1006,0))&gt;=100000), " ",IF(INDEX($AM$2:$BM$1001,MATCH(ROWS($AF$2:AF743),$AF$2:$AF$1001,0),MATCH(COLUMNS($AM$1006:AQ1006),$AM$1006:$BM$1006,0)), HYPERLINK("#",""), HYPERLINK(CONCATENATE("#metadata!", ADDRESS(INDEX($AH$2:$AH$1001,MATCH(ROWS($AF$2:AF743),$AF$2:$AF$1001,0),0), INDEX($AM$1004:$BM$1004,1,MATCH(COLUMNS($AM$1006:AQ1006),$AM$1006:$BM$1006,0)))),"Fix")))</f>
        <v xml:space="preserve"> </v>
      </c>
      <c r="G743" s="4" t="str">
        <f ca="1">IF(OR(INDEX($AG$2:$AG$1001,MATCH(ROWS($AF$2:AF743),$AF$2:$AF$1001,0),1)&gt;=100000,INDEX($AM$1005:$BM$1005,1,MATCH(COLUMNS($AM$1006:AR1006),$AM$1006:$BM$1006,0))&gt;=100000), " ",IF(INDEX($AM$2:$BM$1001,MATCH(ROWS($AF$2:AF743),$AF$2:$AF$1001,0),MATCH(COLUMNS($AM$1006:AR1006),$AM$1006:$BM$1006,0)), HYPERLINK("#",""), HYPERLINK(CONCATENATE("#metadata!", ADDRESS(INDEX($AH$2:$AH$1001,MATCH(ROWS($AF$2:AF743),$AF$2:$AF$1001,0),0), INDEX($AM$1004:$BM$1004,1,MATCH(COLUMNS($AM$1006:AR1006),$AM$1006:$BM$1006,0)))),"Fix")))</f>
        <v xml:space="preserve"> </v>
      </c>
      <c r="H743" s="4" t="str">
        <f ca="1">IF(OR(INDEX($AG$2:$AG$1001,MATCH(ROWS($AF$2:AF743),$AF$2:$AF$1001,0),1)&gt;=100000,INDEX($AM$1005:$BM$1005,1,MATCH(COLUMNS($AM$1006:AS1006),$AM$1006:$BM$1006,0))&gt;=100000), " ",IF(INDEX($AM$2:$BM$1001,MATCH(ROWS($AF$2:AF743),$AF$2:$AF$1001,0),MATCH(COLUMNS($AM$1006:AS1006),$AM$1006:$BM$1006,0)), HYPERLINK("#",""), HYPERLINK(CONCATENATE("#metadata!", ADDRESS(INDEX($AH$2:$AH$1001,MATCH(ROWS($AF$2:AF743),$AF$2:$AF$1001,0),0), INDEX($AM$1004:$BM$1004,1,MATCH(COLUMNS($AM$1006:AS1006),$AM$1006:$BM$1006,0)))),"Fix")))</f>
        <v xml:space="preserve"> </v>
      </c>
      <c r="I743" s="4" t="str">
        <f ca="1">IF(OR(INDEX($AG$2:$AG$1001,MATCH(ROWS($AF$2:AF743),$AF$2:$AF$1001,0),1)&gt;=100000,INDEX($AM$1005:$BM$1005,1,MATCH(COLUMNS($AM$1006:AT1006),$AM$1006:$BM$1006,0))&gt;=100000), " ",IF(INDEX($AM$2:$BM$1001,MATCH(ROWS($AF$2:AF743),$AF$2:$AF$1001,0),MATCH(COLUMNS($AM$1006:AT1006),$AM$1006:$BM$1006,0)), HYPERLINK("#",""), HYPERLINK(CONCATENATE("#metadata!", ADDRESS(INDEX($AH$2:$AH$1001,MATCH(ROWS($AF$2:AF743),$AF$2:$AF$1001,0),0), INDEX($AM$1004:$BM$1004,1,MATCH(COLUMNS($AM$1006:AT1006),$AM$1006:$BM$1006,0)))),"Fix")))</f>
        <v xml:space="preserve"> </v>
      </c>
      <c r="J743" s="4" t="str">
        <f ca="1">IF(OR(INDEX($AG$2:$AG$1001,MATCH(ROWS($AF$2:AF743),$AF$2:$AF$1001,0),1)&gt;=100000,INDEX($AM$1005:$BM$1005,1,MATCH(COLUMNS($AM$1006:AU1006),$AM$1006:$BM$1006,0))&gt;=100000), " ",IF(INDEX($AM$2:$BM$1001,MATCH(ROWS($AF$2:AF743),$AF$2:$AF$1001,0),MATCH(COLUMNS($AM$1006:AU1006),$AM$1006:$BM$1006,0)), HYPERLINK("#",""), HYPERLINK(CONCATENATE("#metadata!", ADDRESS(INDEX($AH$2:$AH$1001,MATCH(ROWS($AF$2:AF743),$AF$2:$AF$1001,0),0), INDEX($AM$1004:$BM$1004,1,MATCH(COLUMNS($AM$1006:AU1006),$AM$1006:$BM$1006,0)))),"Fix")))</f>
        <v xml:space="preserve"> </v>
      </c>
      <c r="K743" s="4" t="str">
        <f ca="1">IF(OR(INDEX($AG$2:$AG$1001,MATCH(ROWS($AF$2:AF743),$AF$2:$AF$1001,0),1)&gt;=100000,INDEX($AM$1005:$BM$1005,1,MATCH(COLUMNS($AM$1006:AV1006),$AM$1006:$BM$1006,0))&gt;=100000), " ",IF(INDEX($AM$2:$BM$1001,MATCH(ROWS($AF$2:AF743),$AF$2:$AF$1001,0),MATCH(COLUMNS($AM$1006:AV1006),$AM$1006:$BM$1006,0)), HYPERLINK("#",""), HYPERLINK(CONCATENATE("#metadata!", ADDRESS(INDEX($AH$2:$AH$1001,MATCH(ROWS($AF$2:AF743),$AF$2:$AF$1001,0),0), INDEX($AM$1004:$BM$1004,1,MATCH(COLUMNS($AM$1006:AV1006),$AM$1006:$BM$1006,0)))),"Fix")))</f>
        <v xml:space="preserve"> </v>
      </c>
      <c r="L743" s="4" t="str">
        <f ca="1">IF(OR(INDEX($AG$2:$AG$1001,MATCH(ROWS($AF$2:AF743),$AF$2:$AF$1001,0),1)&gt;=100000,INDEX($AM$1005:$BM$1005,1,MATCH(COLUMNS($AM$1006:AW1006),$AM$1006:$BM$1006,0))&gt;=100000), " ",IF(INDEX($AM$2:$BM$1001,MATCH(ROWS($AF$2:AF743),$AF$2:$AF$1001,0),MATCH(COLUMNS($AM$1006:AW1006),$AM$1006:$BM$1006,0)), HYPERLINK("#",""), HYPERLINK(CONCATENATE("#metadata!", ADDRESS(INDEX($AH$2:$AH$1001,MATCH(ROWS($AF$2:AF743),$AF$2:$AF$1001,0),0), INDEX($AM$1004:$BM$1004,1,MATCH(COLUMNS($AM$1006:AW1006),$AM$1006:$BM$1006,0)))),"Fix")))</f>
        <v xml:space="preserve"> </v>
      </c>
      <c r="M743" s="4" t="str">
        <f ca="1">IF(OR(INDEX($AG$2:$AG$1001,MATCH(ROWS($AF$2:AF743),$AF$2:$AF$1001,0),1)&gt;=100000,INDEX($AM$1005:$BM$1005,1,MATCH(COLUMNS($AM$1006:AX1006),$AM$1006:$BM$1006,0))&gt;=100000), " ",IF(INDEX($AM$2:$BM$1001,MATCH(ROWS($AF$2:AF743),$AF$2:$AF$1001,0),MATCH(COLUMNS($AM$1006:AX1006),$AM$1006:$BM$1006,0)), HYPERLINK("#",""), HYPERLINK(CONCATENATE("#metadata!", ADDRESS(INDEX($AH$2:$AH$1001,MATCH(ROWS($AF$2:AF743),$AF$2:$AF$1001,0),0), INDEX($AM$1004:$BM$1004,1,MATCH(COLUMNS($AM$1006:AX1006),$AM$1006:$BM$1006,0)))),"Fix")))</f>
        <v xml:space="preserve"> </v>
      </c>
      <c r="N743" s="4" t="str">
        <f ca="1">IF(OR(INDEX($AG$2:$AG$1001,MATCH(ROWS($AF$2:AF743),$AF$2:$AF$1001,0),1)&gt;=100000,INDEX($AM$1005:$BM$1005,1,MATCH(COLUMNS($AM$1006:AY1006),$AM$1006:$BM$1006,0))&gt;=100000), " ",IF(INDEX($AM$2:$BM$1001,MATCH(ROWS($AF$2:AF743),$AF$2:$AF$1001,0),MATCH(COLUMNS($AM$1006:AY1006),$AM$1006:$BM$1006,0)), HYPERLINK("#",""), HYPERLINK(CONCATENATE("#metadata!", ADDRESS(INDEX($AH$2:$AH$1001,MATCH(ROWS($AF$2:AF743),$AF$2:$AF$1001,0),0), INDEX($AM$1004:$BM$1004,1,MATCH(COLUMNS($AM$1006:AY1006),$AM$1006:$BM$1006,0)))),"Fix")))</f>
        <v xml:space="preserve"> </v>
      </c>
      <c r="O743" s="4" t="str">
        <f ca="1">IF(OR(INDEX($AG$2:$AG$1001,MATCH(ROWS($AF$2:AF743),$AF$2:$AF$1001,0),1)&gt;=100000,INDEX($AM$1005:$BM$1005,1,MATCH(COLUMNS($AM$1006:AZ1006),$AM$1006:$BM$1006,0))&gt;=100000), " ",IF(INDEX($AM$2:$BM$1001,MATCH(ROWS($AF$2:AF743),$AF$2:$AF$1001,0),MATCH(COLUMNS($AM$1006:AZ1006),$AM$1006:$BM$1006,0)), HYPERLINK("#",""), HYPERLINK(CONCATENATE("#metadata!", ADDRESS(INDEX($AH$2:$AH$1001,MATCH(ROWS($AF$2:AF743),$AF$2:$AF$1001,0),0), INDEX($AM$1004:$BM$1004,1,MATCH(COLUMNS($AM$1006:AZ1006),$AM$1006:$BM$1006,0)))),"Fix")))</f>
        <v xml:space="preserve"> </v>
      </c>
      <c r="P743" s="4" t="str">
        <f ca="1">IF(OR(INDEX($AG$2:$AG$1001,MATCH(ROWS($AF$2:AF743),$AF$2:$AF$1001,0),1)&gt;=100000,INDEX($AM$1005:$BM$1005,1,MATCH(COLUMNS($AM$1006:BA1006),$AM$1006:$BM$1006,0))&gt;=100000), " ",IF(INDEX($AM$2:$BM$1001,MATCH(ROWS($AF$2:AF743),$AF$2:$AF$1001,0),MATCH(COLUMNS($AM$1006:BA1006),$AM$1006:$BM$1006,0)), HYPERLINK("#",""), HYPERLINK(CONCATENATE("#metadata!", ADDRESS(INDEX($AH$2:$AH$1001,MATCH(ROWS($AF$2:AF743),$AF$2:$AF$1001,0),0), INDEX($AM$1004:$BM$1004,1,MATCH(COLUMNS($AM$1006:BA1006),$AM$1006:$BM$1006,0)))),"Fix")))</f>
        <v xml:space="preserve"> </v>
      </c>
      <c r="Q743" s="4" t="str">
        <f ca="1">IF(OR(INDEX($AG$2:$AG$1001,MATCH(ROWS($AF$2:AF743),$AF$2:$AF$1001,0),1)&gt;=100000,INDEX($AM$1005:$BM$1005,1,MATCH(COLUMNS($AM$1006:BB1006),$AM$1006:$BM$1006,0))&gt;=100000), " ",IF(INDEX($AM$2:$BM$1001,MATCH(ROWS($AF$2:AF743),$AF$2:$AF$1001,0),MATCH(COLUMNS($AM$1006:BB1006),$AM$1006:$BM$1006,0)), HYPERLINK("#",""), HYPERLINK(CONCATENATE("#metadata!", ADDRESS(INDEX($AH$2:$AH$1001,MATCH(ROWS($AF$2:AF743),$AF$2:$AF$1001,0),0), INDEX($AM$1004:$BM$1004,1,MATCH(COLUMNS($AM$1006:BB1006),$AM$1006:$BM$1006,0)))),"Fix")))</f>
        <v xml:space="preserve"> </v>
      </c>
      <c r="R743" s="4" t="str">
        <f ca="1">IF(OR(INDEX($AG$2:$AG$1001,MATCH(ROWS($AF$2:AF743),$AF$2:$AF$1001,0),1)&gt;=100000,INDEX($AM$1005:$BM$1005,1,MATCH(COLUMNS($AM$1006:BC1006),$AM$1006:$BM$1006,0))&gt;=100000), " ",IF(INDEX($AM$2:$BM$1001,MATCH(ROWS($AF$2:AF743),$AF$2:$AF$1001,0),MATCH(COLUMNS($AM$1006:BC1006),$AM$1006:$BM$1006,0)), HYPERLINK("#",""), HYPERLINK(CONCATENATE("#metadata!", ADDRESS(INDEX($AH$2:$AH$1001,MATCH(ROWS($AF$2:AF743),$AF$2:$AF$1001,0),0), INDEX($AM$1004:$BM$1004,1,MATCH(COLUMNS($AM$1006:BC1006),$AM$1006:$BM$1006,0)))),"Fix")))</f>
        <v xml:space="preserve"> </v>
      </c>
      <c r="S743" s="4" t="str">
        <f ca="1">IF(OR(INDEX($AG$2:$AG$1001,MATCH(ROWS($AF$2:AF743),$AF$2:$AF$1001,0),1)&gt;=100000,INDEX($AM$1005:$BM$1005,1,MATCH(COLUMNS($AM$1006:BD1006),$AM$1006:$BM$1006,0))&gt;=100000), " ",IF(INDEX($AM$2:$BM$1001,MATCH(ROWS($AF$2:AF743),$AF$2:$AF$1001,0),MATCH(COLUMNS($AM$1006:BD1006),$AM$1006:$BM$1006,0)), HYPERLINK("#",""), HYPERLINK(CONCATENATE("#metadata!", ADDRESS(INDEX($AH$2:$AH$1001,MATCH(ROWS($AF$2:AF743),$AF$2:$AF$1001,0),0), INDEX($AM$1004:$BM$1004,1,MATCH(COLUMNS($AM$1006:BD1006),$AM$1006:$BM$1006,0)))),"Fix")))</f>
        <v xml:space="preserve"> </v>
      </c>
      <c r="T743" s="4" t="str">
        <f ca="1">IF(OR(INDEX($AG$2:$AG$1001,MATCH(ROWS($AF$2:AF743),$AF$2:$AF$1001,0),1)&gt;=100000,INDEX($AM$1005:$BM$1005,1,MATCH(COLUMNS($AM$1006:BE1006),$AM$1006:$BM$1006,0))&gt;=100000), " ",IF(INDEX($AM$2:$BM$1001,MATCH(ROWS($AF$2:AF743),$AF$2:$AF$1001,0),MATCH(COLUMNS($AM$1006:BE1006),$AM$1006:$BM$1006,0)), HYPERLINK("#",""), HYPERLINK(CONCATENATE("#metadata!", ADDRESS(INDEX($AH$2:$AH$1001,MATCH(ROWS($AF$2:AF743),$AF$2:$AF$1001,0),0), INDEX($AM$1004:$BM$1004,1,MATCH(COLUMNS($AM$1006:BE1006),$AM$1006:$BM$1006,0)))),"Fix")))</f>
        <v xml:space="preserve"> </v>
      </c>
      <c r="U743" s="4" t="str">
        <f ca="1">IF(OR(INDEX($AG$2:$AG$1001,MATCH(ROWS($AF$2:AF743),$AF$2:$AF$1001,0),1)&gt;=100000,INDEX($AM$1005:$BM$1005,1,MATCH(COLUMNS($AM$1006:BF1006),$AM$1006:$BM$1006,0))&gt;=100000), " ",IF(INDEX($AM$2:$BM$1001,MATCH(ROWS($AF$2:AF743),$AF$2:$AF$1001,0),MATCH(COLUMNS($AM$1006:BF1006),$AM$1006:$BM$1006,0)), HYPERLINK("#",""), HYPERLINK(CONCATENATE("#metadata!", ADDRESS(INDEX($AH$2:$AH$1001,MATCH(ROWS($AF$2:AF743),$AF$2:$AF$1001,0),0), INDEX($AM$1004:$BM$1004,1,MATCH(COLUMNS($AM$1006:BF1006),$AM$1006:$BM$1006,0)))),"Fix")))</f>
        <v xml:space="preserve"> </v>
      </c>
      <c r="V743" s="4" t="str">
        <f ca="1">IF(OR(INDEX($AG$2:$AG$1001,MATCH(ROWS($AF$2:AF743),$AF$2:$AF$1001,0),1)&gt;=100000,INDEX($AM$1005:$BM$1005,1,MATCH(COLUMNS($AM$1006:BG1006),$AM$1006:$BM$1006,0))&gt;=100000), " ",IF(INDEX($AM$2:$BM$1001,MATCH(ROWS($AF$2:AF743),$AF$2:$AF$1001,0),MATCH(COLUMNS($AM$1006:BG1006),$AM$1006:$BM$1006,0)), HYPERLINK("#",""), HYPERLINK(CONCATENATE("#metadata!", ADDRESS(INDEX($AH$2:$AH$1001,MATCH(ROWS($AF$2:AF743),$AF$2:$AF$1001,0),0), INDEX($AM$1004:$BM$1004,1,MATCH(COLUMNS($AM$1006:BG1006),$AM$1006:$BM$1006,0)))),"Fix")))</f>
        <v xml:space="preserve"> </v>
      </c>
      <c r="W743" s="4" t="str">
        <f ca="1">IF(OR(INDEX($AG$2:$AG$1001,MATCH(ROWS($AF$2:AF743),$AF$2:$AF$1001,0),1)&gt;=100000,INDEX($AM$1005:$BM$1005,1,MATCH(COLUMNS($AM$1006:BH1006),$AM$1006:$BM$1006,0))&gt;=100000), " ",IF(INDEX($AM$2:$BM$1001,MATCH(ROWS($AF$2:AF743),$AF$2:$AF$1001,0),MATCH(COLUMNS($AM$1006:BH1006),$AM$1006:$BM$1006,0)), HYPERLINK("#",""), HYPERLINK(CONCATENATE("#metadata!", ADDRESS(INDEX($AH$2:$AH$1001,MATCH(ROWS($AF$2:AF743),$AF$2:$AF$1001,0),0), INDEX($AM$1004:$BM$1004,1,MATCH(COLUMNS($AM$1006:BH1006),$AM$1006:$BM$1006,0)))),"Fix")))</f>
        <v xml:space="preserve"> </v>
      </c>
      <c r="X743" s="4" t="str">
        <f ca="1">IF(OR(INDEX($AG$2:$AG$1001,MATCH(ROWS($AF$2:AF743),$AF$2:$AF$1001,0),1)&gt;=100000,INDEX($AM$1005:$BM$1005,1,MATCH(COLUMNS($AM$1006:BI1006),$AM$1006:$BM$1006,0))&gt;=100000), " ",IF(INDEX($AM$2:$BM$1001,MATCH(ROWS($AF$2:AF743),$AF$2:$AF$1001,0),MATCH(COLUMNS($AM$1006:BI1006),$AM$1006:$BM$1006,0)), HYPERLINK("#",""), HYPERLINK(CONCATENATE("#metadata!", ADDRESS(INDEX($AH$2:$AH$1001,MATCH(ROWS($AF$2:AF743),$AF$2:$AF$1001,0),0), INDEX($AM$1004:$BM$1004,1,MATCH(COLUMNS($AM$1006:BI1006),$AM$1006:$BM$1006,0)))),"Fix")))</f>
        <v xml:space="preserve"> </v>
      </c>
      <c r="Y743" s="4" t="str">
        <f ca="1">IF(OR(INDEX($AG$2:$AG$1001,MATCH(ROWS($AF$2:AF743),$AF$2:$AF$1001,0),1)&gt;=100000,INDEX($AM$1005:$BM$1005,1,MATCH(COLUMNS($AM$1006:BJ1006),$AM$1006:$BM$1006,0))&gt;=100000), " ",IF(INDEX($AM$2:$BM$1001,MATCH(ROWS($AF$2:AF743),$AF$2:$AF$1001,0),MATCH(COLUMNS($AM$1006:BJ1006),$AM$1006:$BM$1006,0)), HYPERLINK("#",""), HYPERLINK(CONCATENATE("#metadata!", ADDRESS(INDEX($AH$2:$AH$1001,MATCH(ROWS($AF$2:AF743),$AF$2:$AF$1001,0),0), INDEX($AM$1004:$BM$1004,1,MATCH(COLUMNS($AM$1006:BJ1006),$AM$1006:$BM$1006,0)))),"Fix")))</f>
        <v xml:space="preserve"> </v>
      </c>
      <c r="Z743" s="4" t="str">
        <f ca="1">IF(OR(INDEX($AG$2:$AG$1001,MATCH(ROWS($AF$2:AF743),$AF$2:$AF$1001,0),1)&gt;=100000,INDEX($AM$1005:$BM$1005,1,MATCH(COLUMNS($AM$1006:BK1006),$AM$1006:$BM$1006,0))&gt;=100000), " ",IF(INDEX($AM$2:$BM$1001,MATCH(ROWS($AF$2:AF743),$AF$2:$AF$1001,0),MATCH(COLUMNS($AM$1006:BK1006),$AM$1006:$BM$1006,0)), HYPERLINK("#",""), HYPERLINK(CONCATENATE("#metadata!", ADDRESS(INDEX($AH$2:$AH$1001,MATCH(ROWS($AF$2:AF743),$AF$2:$AF$1001,0),0), INDEX($AM$1004:$BM$1004,1,MATCH(COLUMNS($AM$1006:BK1006),$AM$1006:$BM$1006,0)))),"Fix")))</f>
        <v xml:space="preserve"> </v>
      </c>
      <c r="AA743" s="4" t="str">
        <f ca="1">IF(OR(INDEX($AG$2:$AG$1001,MATCH(ROWS($AF$2:AF743),$AF$2:$AF$1001,0),1)&gt;=100000,INDEX($AM$1005:$BM$1005,1,MATCH(COLUMNS($AM$1006:BL1006),$AM$1006:$BM$1006,0))&gt;=100000), " ",IF(INDEX($AM$2:$BM$1001,MATCH(ROWS($AF$2:AF743),$AF$2:$AF$1001,0),MATCH(COLUMNS($AM$1006:BL1006),$AM$1006:$BM$1006,0)), HYPERLINK("#",""), HYPERLINK(CONCATENATE("#metadata!", ADDRESS(INDEX($AH$2:$AH$1001,MATCH(ROWS($AF$2:AF743),$AF$2:$AF$1001,0),0), INDEX($AM$1004:$BM$1004,1,MATCH(COLUMNS($AM$1006:BL1006),$AM$1006:$BM$1006,0)))),"Fix")))</f>
        <v xml:space="preserve"> </v>
      </c>
      <c r="AB743" s="4" t="str">
        <f ca="1">IF(OR(INDEX($AG$2:$AG$1001,MATCH(ROWS($AF$2:AF743),$AF$2:$AF$1001,0),1)&gt;=100000,INDEX($AM$1005:$BM$1005,1,MATCH(COLUMNS($AM$1006:BM1006),$AM$1006:$BM$1006,0))&gt;=100000), " ",IF(INDEX($AM$2:$BM$1001,MATCH(ROWS($AF$2:AF743),$AF$2:$AF$1001,0),MATCH(COLUMNS($AM$1006:BM1006),$AM$1006:$BM$1006,0)), HYPERLINK("#",""), HYPERLINK(CONCATENATE("#metadata!", ADDRESS(INDEX($AH$2:$AH$1001,MATCH(ROWS($AF$2:AF743),$AF$2:$AF$1001,0),0), INDEX($AM$1004:$BM$1004,1,MATCH(COLUMNS($AM$1006:BM1006),$AM$1006:$BM$1006,0)))),"Fix")))</f>
        <v xml:space="preserve"> </v>
      </c>
      <c r="AF743">
        <v>742</v>
      </c>
      <c r="AG743">
        <v>100743</v>
      </c>
      <c r="AH743">
        <v>743</v>
      </c>
      <c r="AI743" t="b">
        <f t="shared" si="11"/>
        <v>1</v>
      </c>
      <c r="AJ743" t="b">
        <f>COUNTBLANK(metadata!B743:AB743)=COLUMNS(metadata!B743:AB743)</f>
        <v>1</v>
      </c>
      <c r="AK743" t="str">
        <v/>
      </c>
      <c r="AM743" t="b">
        <f ca="1">AND(IF(metadata!B743="",FALSE,TRUE),COUNTIF(metadata!B:B, metadata!B743) = 1,NOT(ISERROR(SUMPRODUCT(SEARCH(MID(metadata!B743,ROW(INDIRECT("1:"&amp;LEN(metadata!B743))), 1),"0123456789abcdefghijklmnopqrstuvwxyzABCDEFGHIJKLMNOPQRSTUVWXYZ.")))))</f>
        <v>0</v>
      </c>
      <c r="AN743" t="b">
        <f ca="1">OR(AND(IF(metadata!C743="",FALSE,TRUE),OR(EXACT(metadata!C743,"missing: not collected"),EXACT(metadata!C743,"missing: not provided"),EXACT(metadata!C743,"missing: restricted access"))),AND(IF(metadata!C743="",FALSE,TRUE),AND(AND(IFERROR(INT(LEFT(metadata!C743,4))&gt;1900,FALSE),IFERROR(INT(LEFT(metadata!C743,4))&lt;=YEAR(NOW()),FALSE)), OR(MID(metadata!C743,5,1)="", AND(AND(MID(metadata!C743,5,1)="-",IFERROR(INT(MID(metadata!C743,6,1))&gt;=0,FALSE),IFERROR(INT(MID(metadata!C743,6,1))&lt;=1,FALSE),NOT(MID(metadata!C743,7,1)=""),IFERROR(INT(MID(metadata!C743,6,2))&gt;=1,FALSE),IFERROR(INT(MID(metadata!C743,6,2))&lt;=12,FALSE)), OR(MID(metadata!C743,8,1)="", AND(AND(MID(metadata!C743,8,1)="-",IFERROR(INT(MID(metadata!C743,9,1))&gt;=0,FALSE),IFERROR(INT(MID(metadata!C743,9,1))&lt;=3,FALSE),NOT(MID(metadata!C743,10,1)=""),IFERROR(INT(MID(metadata!C743,9,2))&gt;=1,FALSE),IFERROR(INT(MID(metadata!C743,9,2))&lt;=31,FALSE)), OR(MID(metadata!C743,11,1)="", AND(AND(MID(metadata!C743,11,1)=" ",IFERROR(INT(MID(metadata!C743,12,1))&gt;=0,FALSE),IFERROR(INT(MID(metadata!C743,12,1))&lt;=2,FALSE),NOT(MID(metadata!C743,13,1)=""),IFERROR(INT(MID(metadata!C743,12,2))&gt;=0,FALSE),IFERROR(INT(MID(metadata!C743,12,2))&lt;=23,FALSE)), OR(MID(metadata!C743,14,1)="", AND(AND(MID(metadata!C743,14,1)=":",IFERROR(INT(MID(metadata!C743,15,1))&gt;=0,FALSE),IFERROR(INT(MID(metadata!C743,15,1))&lt;=5,FALSE),NOT(MID(metadata!C743,16,1)=""),IFERROR(INT(MID(metadata!C743,15,2))&gt;=0,FALSE),IFERROR(INT(MID(metadata!C743,15,2))&lt;=59,FALSE)), OR(MID(metadata!C743,17,1)="", AND(AND(MID(metadata!C743,17,1)=":",IFERROR(INT(MID(metadata!C743,18,1))&gt;=0,FALSE),IFERROR(INT(MID(metadata!C743,18,1))&lt;=5,FALSE),NOT(MID(metadata!C743,19,1)=""),IFERROR(INT(MID(metadata!C743,18,2))&gt;=0,FALSE),IFERROR(INT(MID(metadata!C743,18,2))&lt;=59,FALSE)), LEN(metadata!C743)&lt;=19)))))))))))))</f>
        <v>0</v>
      </c>
      <c r="AO743" t="b">
        <f>AND(IF(metadata!D743="",FALSE,TRUE),EXACT(metadata!D743,"Not applicable"))</f>
        <v>0</v>
      </c>
      <c r="AP743" t="b">
        <f>IF(metadata!E743="",FALSE,TRUE)</f>
        <v>0</v>
      </c>
      <c r="AQ743" t="b">
        <f>OR(AND(IF(metadata!F743="",FALSE,TRUE),OR(EXACT(metadata!F743,"missing: not collected"),EXACT(metadata!F743,"missing: not provided"))),AND(IF(metadata!F743="",FALSE,TRUE),OR(EXACT(metadata!F743,"TRUE"),EXACT(metadata!F743,"FALSE"))))</f>
        <v>0</v>
      </c>
      <c r="AR743" t="b">
        <f>OR(AND(IF(metadata!G743="",FALSE,TRUE),OR(EXACT(metadata!G743,"missing: not collected"),EXACT(metadata!G743,"missing: not provided"),EXACT(metadata!G743,"missing: restricted access"))),AND(IF(metadata!G743="",FALSE,ISNUMBER(VALUE(metadata!G743))),metadata!G743&gt;=-413))</f>
        <v>0</v>
      </c>
      <c r="AS743" t="b">
        <f>AND(IF(metadata!H743="",FALSE,TRUE),EXACT(metadata!H743,"meters"))</f>
        <v>0</v>
      </c>
      <c r="AT743" t="b">
        <f>AND(IF(metadata!I743="",FALSE,TRUE),OR(EXACT(metadata!I743,"Host-associated"),EXACT(metadata!I743,"Free-living")))</f>
        <v>0</v>
      </c>
      <c r="AU743" t="b">
        <f>AND(IF(metadata!J743="",FALSE,TRUE),OR(EXACT(metadata!J743,"Animal"),EXACT(metadata!J743,"Fungus"),EXACT(metadata!J743,"Plant"),EXACT(metadata!J743,"Saline"),EXACT(metadata!J743,"Non-saline")))</f>
        <v>0</v>
      </c>
      <c r="AV743" t="b">
        <f>AND(IF(metadata!K743="",FALSE,TRUE),OR(EXACT(metadata!K743,"Plant secretion"),EXACT(metadata!K743,"Plant rhizosphere"),EXACT(metadata!K743,"Plant surface"),EXACT(metadata!K743,"Plant corpus"),EXACT(metadata!K743,"Fungus surface"),EXACT(metadata!K743,"Fungus corpus"),EXACT(metadata!K743,"Animal surface"),EXACT(metadata!K743,"Animal proximal gut"),EXACT(metadata!K743,"Animal corpus"),EXACT(metadata!K743,"Animal distal gut"),EXACT(metadata!K743,"Animal secretion"),EXACT(metadata!K743,"Sub-surface (non-saline)"),EXACT(metadata!K743,"Surface (non-saline)"),EXACT(metadata!K743,"Water (non-saline)"),EXACT(metadata!K743,"Soil (non-saline)"),EXACT(metadata!K743,"Aerosol (non-saline)"),EXACT(metadata!K743,"Sediment (non-saline)"),EXACT(metadata!K743,"Surface (saline)"),EXACT(metadata!K743,"Water (saline)"),EXACT(metadata!K743,"Hypersaline (saline)"),EXACT(metadata!K743,"Aerosol (saline)"),EXACT(metadata!K743,"Sediment (saline)")))</f>
        <v>0</v>
      </c>
      <c r="AW743" t="b">
        <f>IF(metadata!L743="",FALSE,TRUE)</f>
        <v>0</v>
      </c>
      <c r="AX743" t="b">
        <f>IF(metadata!M743="",FALSE,TRUE)</f>
        <v>0</v>
      </c>
      <c r="AY743" t="b">
        <f>IF(metadata!N743="",FALSE,TRUE)</f>
        <v>0</v>
      </c>
      <c r="AZ743" t="b">
        <f>OR(AND(IF(metadata!O743="",FALSE,TRUE),OR(EXACT(metadata!O743,"missing: not collected"),EXACT(metadata!O743,"missing: not provided"),EXACT(metadata!O743,"missing: restricted access"))),AND(IF(metadata!O743="",FALSE,TRUE),OR(EXACT(metadata!O743,"air"),EXACT(metadata!O743,"built environment"),EXACT(metadata!O743,"host-associated"),EXACT(metadata!O743,"human-associated"),EXACT(metadata!O743,"human-skin"),EXACT(metadata!O743,"human-oral"),EXACT(metadata!O743,"human-gut"),EXACT(metadata!O743,"human-vaginal"),EXACT(metadata!O743,"microbial mat/biofilm"),EXACT(metadata!O743,"misc environment"),EXACT(metadata!O743,"plant-associated"),EXACT(metadata!O743,"sediment"),EXACT(metadata!O743,"soil"),EXACT(metadata!O743,"wastewater/sludge"),EXACT(metadata!O743,"water"))))</f>
        <v>0</v>
      </c>
      <c r="BA743" t="b">
        <f>IF(metadata!P743="",FALSE,TRUE)</f>
        <v>0</v>
      </c>
      <c r="BB743" t="b">
        <f>IF(metadata!Q743="",FALSE,TRUE)</f>
        <v>0</v>
      </c>
      <c r="BC743" t="b">
        <f>OR(AND(IF(metadata!R743="",FALSE,TRUE),OR(EXACT(metadata!R743,"missing: not collected"),EXACT(metadata!R743,"missing: not provided"),EXACT(metadata!R743,"missing: restricted access"))),AND(IF(metadata!R743="",FALSE,ISNUMBER(VALUE(metadata!R743))),metadata!R743&gt;=-90,metadata!R743&lt;=90))</f>
        <v>0</v>
      </c>
      <c r="BD743" t="b">
        <f>AND(IF(metadata!S743="",FALSE,TRUE),EXACT(metadata!S743,"Decimal degrees"))</f>
        <v>0</v>
      </c>
      <c r="BE743" t="b">
        <f>OR(AND(IF(metadata!T743="",FALSE,TRUE),OR(EXACT(metadata!T743,"missing: not collected"),EXACT(metadata!T743,"missing: not provided"),EXACT(metadata!T743,"missing: restricted access"))),AND(IF(metadata!T743="",FALSE,ISNUMBER(VALUE(metadata!T743))),metadata!T743&gt;=-180,metadata!T743&lt;=180))</f>
        <v>0</v>
      </c>
      <c r="BF743" t="b">
        <f>AND(IF(metadata!U743="",FALSE,TRUE),EXACT(metadata!U743,"Decimal degrees"))</f>
        <v>0</v>
      </c>
      <c r="BG743" t="b">
        <f>IF(metadata!V743="",FALSE,TRUE)</f>
        <v>0</v>
      </c>
      <c r="BH743" t="b">
        <f>OR(AND(IF(metadata!W743="",FALSE,TRUE),OR(EXACT(metadata!W743,"missing: not collected"),EXACT(metadata!W743,"missing: not provided"),EXACT(metadata!W743,"missing: restricted access"))),AND(IF(metadata!W743="",FALSE,TRUE),OR(EXACT(metadata!W743,"TRUE"),EXACT(metadata!W743,"FALSE"))))</f>
        <v>0</v>
      </c>
      <c r="BI743" t="b">
        <f>AND(IF(metadata!X743="",FALSE,TRUE),EXACT(metadata!X743,"other"))</f>
        <v>0</v>
      </c>
      <c r="BJ743" t="b">
        <f>IF(metadata!Y743="",FALSE,TRUE)</f>
        <v>0</v>
      </c>
      <c r="BK743" t="b">
        <f>OR(AND(IF(metadata!Z743="",FALSE,TRUE),OR(EXACT(metadata!Z743,"missing: not collected"),EXACT(metadata!Z743,"missing: not provided"))),AND(IF(metadata!Z743="",FALSE,IF(ISERROR(INT(metadata!Z743)),FALSE,INT(metadata!Z743)=metadata!Z743)),metadata!Z743&gt;0))</f>
        <v>0</v>
      </c>
      <c r="BL743" t="b">
        <f>AND(IF(metadata!AA743="",FALSE,TRUE),EXACT(metadata!AA743,"Not applicable"))</f>
        <v>0</v>
      </c>
      <c r="BM743" t="b">
        <f>IF(metadata!AB743="",FALSE,TRUE)</f>
        <v>0</v>
      </c>
    </row>
    <row r="744" spans="1:65" x14ac:dyDescent="0.2">
      <c r="A744" s="5" t="str">
        <f ca="1">IF(B744=" "," ",HYPERLINK(CONCATENATE("#metadata!",ADDRESS(INDEX($AH$2:$AH$1001,MATCH(ROWS($AF$2:AF744),$AF$2:$AF$1001,0),0),1)),INDEX($AK$2:$AK$1001,MATCH(ROWS($AF$2:AF744),$AF$2:$AF$1001,0),0)))</f>
        <v xml:space="preserve"> </v>
      </c>
      <c r="B744" s="4" t="str">
        <f ca="1">IF(OR(INDEX($AG$2:$AG$1001,MATCH(ROWS($AF$2:AF744),$AF$2:$AF$1001,0),1)&gt;=100000,INDEX($AM$1005:$BM$1005,1,MATCH(COLUMNS($AM$1006:AM1006),$AM$1006:$BM$1006,0))&gt;=100000), " ",IF(INDEX($AM$2:$BM$1001,MATCH(ROWS($AF$2:AF744),$AF$2:$AF$1001,0),MATCH(COLUMNS($AM$1006:AM1006),$AM$1006:$BM$1006,0)), HYPERLINK("#",""), HYPERLINK(CONCATENATE("#metadata!", ADDRESS(INDEX($AH$2:$AH$1001,MATCH(ROWS($AF$2:AF744),$AF$2:$AF$1001,0),0), INDEX($AM$1004:$BM$1004,1,MATCH(COLUMNS($AM$1006:AM1006),$AM$1006:$BM$1006,0)))),"Fix")))</f>
        <v xml:space="preserve"> </v>
      </c>
      <c r="C744" s="4" t="str">
        <f ca="1">IF(OR(INDEX($AG$2:$AG$1001,MATCH(ROWS($AF$2:AF744),$AF$2:$AF$1001,0),1)&gt;=100000,INDEX($AM$1005:$BM$1005,1,MATCH(COLUMNS($AM$1006:AN1006),$AM$1006:$BM$1006,0))&gt;=100000), " ",IF(INDEX($AM$2:$BM$1001,MATCH(ROWS($AF$2:AF744),$AF$2:$AF$1001,0),MATCH(COLUMNS($AM$1006:AN1006),$AM$1006:$BM$1006,0)), HYPERLINK("#",""), HYPERLINK(CONCATENATE("#metadata!", ADDRESS(INDEX($AH$2:$AH$1001,MATCH(ROWS($AF$2:AF744),$AF$2:$AF$1001,0),0), INDEX($AM$1004:$BM$1004,1,MATCH(COLUMNS($AM$1006:AN1006),$AM$1006:$BM$1006,0)))),"Fix")))</f>
        <v xml:space="preserve"> </v>
      </c>
      <c r="D744" s="4" t="str">
        <f ca="1">IF(OR(INDEX($AG$2:$AG$1001,MATCH(ROWS($AF$2:AF744),$AF$2:$AF$1001,0),1)&gt;=100000,INDEX($AM$1005:$BM$1005,1,MATCH(COLUMNS($AM$1006:AO1006),$AM$1006:$BM$1006,0))&gt;=100000), " ",IF(INDEX($AM$2:$BM$1001,MATCH(ROWS($AF$2:AF744),$AF$2:$AF$1001,0),MATCH(COLUMNS($AM$1006:AO1006),$AM$1006:$BM$1006,0)), HYPERLINK("#",""), HYPERLINK(CONCATENATE("#metadata!", ADDRESS(INDEX($AH$2:$AH$1001,MATCH(ROWS($AF$2:AF744),$AF$2:$AF$1001,0),0), INDEX($AM$1004:$BM$1004,1,MATCH(COLUMNS($AM$1006:AO1006),$AM$1006:$BM$1006,0)))),"Fix")))</f>
        <v xml:space="preserve"> </v>
      </c>
      <c r="E744" s="4" t="str">
        <f ca="1">IF(OR(INDEX($AG$2:$AG$1001,MATCH(ROWS($AF$2:AF744),$AF$2:$AF$1001,0),1)&gt;=100000,INDEX($AM$1005:$BM$1005,1,MATCH(COLUMNS($AM$1006:AP1006),$AM$1006:$BM$1006,0))&gt;=100000), " ",IF(INDEX($AM$2:$BM$1001,MATCH(ROWS($AF$2:AF744),$AF$2:$AF$1001,0),MATCH(COLUMNS($AM$1006:AP1006),$AM$1006:$BM$1006,0)), HYPERLINK("#",""), HYPERLINK(CONCATENATE("#metadata!", ADDRESS(INDEX($AH$2:$AH$1001,MATCH(ROWS($AF$2:AF744),$AF$2:$AF$1001,0),0), INDEX($AM$1004:$BM$1004,1,MATCH(COLUMNS($AM$1006:AP1006),$AM$1006:$BM$1006,0)))),"Fix")))</f>
        <v xml:space="preserve"> </v>
      </c>
      <c r="F744" s="4" t="str">
        <f ca="1">IF(OR(INDEX($AG$2:$AG$1001,MATCH(ROWS($AF$2:AF744),$AF$2:$AF$1001,0),1)&gt;=100000,INDEX($AM$1005:$BM$1005,1,MATCH(COLUMNS($AM$1006:AQ1006),$AM$1006:$BM$1006,0))&gt;=100000), " ",IF(INDEX($AM$2:$BM$1001,MATCH(ROWS($AF$2:AF744),$AF$2:$AF$1001,0),MATCH(COLUMNS($AM$1006:AQ1006),$AM$1006:$BM$1006,0)), HYPERLINK("#",""), HYPERLINK(CONCATENATE("#metadata!", ADDRESS(INDEX($AH$2:$AH$1001,MATCH(ROWS($AF$2:AF744),$AF$2:$AF$1001,0),0), INDEX($AM$1004:$BM$1004,1,MATCH(COLUMNS($AM$1006:AQ1006),$AM$1006:$BM$1006,0)))),"Fix")))</f>
        <v xml:space="preserve"> </v>
      </c>
      <c r="G744" s="4" t="str">
        <f ca="1">IF(OR(INDEX($AG$2:$AG$1001,MATCH(ROWS($AF$2:AF744),$AF$2:$AF$1001,0),1)&gt;=100000,INDEX($AM$1005:$BM$1005,1,MATCH(COLUMNS($AM$1006:AR1006),$AM$1006:$BM$1006,0))&gt;=100000), " ",IF(INDEX($AM$2:$BM$1001,MATCH(ROWS($AF$2:AF744),$AF$2:$AF$1001,0),MATCH(COLUMNS($AM$1006:AR1006),$AM$1006:$BM$1006,0)), HYPERLINK("#",""), HYPERLINK(CONCATENATE("#metadata!", ADDRESS(INDEX($AH$2:$AH$1001,MATCH(ROWS($AF$2:AF744),$AF$2:$AF$1001,0),0), INDEX($AM$1004:$BM$1004,1,MATCH(COLUMNS($AM$1006:AR1006),$AM$1006:$BM$1006,0)))),"Fix")))</f>
        <v xml:space="preserve"> </v>
      </c>
      <c r="H744" s="4" t="str">
        <f ca="1">IF(OR(INDEX($AG$2:$AG$1001,MATCH(ROWS($AF$2:AF744),$AF$2:$AF$1001,0),1)&gt;=100000,INDEX($AM$1005:$BM$1005,1,MATCH(COLUMNS($AM$1006:AS1006),$AM$1006:$BM$1006,0))&gt;=100000), " ",IF(INDEX($AM$2:$BM$1001,MATCH(ROWS($AF$2:AF744),$AF$2:$AF$1001,0),MATCH(COLUMNS($AM$1006:AS1006),$AM$1006:$BM$1006,0)), HYPERLINK("#",""), HYPERLINK(CONCATENATE("#metadata!", ADDRESS(INDEX($AH$2:$AH$1001,MATCH(ROWS($AF$2:AF744),$AF$2:$AF$1001,0),0), INDEX($AM$1004:$BM$1004,1,MATCH(COLUMNS($AM$1006:AS1006),$AM$1006:$BM$1006,0)))),"Fix")))</f>
        <v xml:space="preserve"> </v>
      </c>
      <c r="I744" s="4" t="str">
        <f ca="1">IF(OR(INDEX($AG$2:$AG$1001,MATCH(ROWS($AF$2:AF744),$AF$2:$AF$1001,0),1)&gt;=100000,INDEX($AM$1005:$BM$1005,1,MATCH(COLUMNS($AM$1006:AT1006),$AM$1006:$BM$1006,0))&gt;=100000), " ",IF(INDEX($AM$2:$BM$1001,MATCH(ROWS($AF$2:AF744),$AF$2:$AF$1001,0),MATCH(COLUMNS($AM$1006:AT1006),$AM$1006:$BM$1006,0)), HYPERLINK("#",""), HYPERLINK(CONCATENATE("#metadata!", ADDRESS(INDEX($AH$2:$AH$1001,MATCH(ROWS($AF$2:AF744),$AF$2:$AF$1001,0),0), INDEX($AM$1004:$BM$1004,1,MATCH(COLUMNS($AM$1006:AT1006),$AM$1006:$BM$1006,0)))),"Fix")))</f>
        <v xml:space="preserve"> </v>
      </c>
      <c r="J744" s="4" t="str">
        <f ca="1">IF(OR(INDEX($AG$2:$AG$1001,MATCH(ROWS($AF$2:AF744),$AF$2:$AF$1001,0),1)&gt;=100000,INDEX($AM$1005:$BM$1005,1,MATCH(COLUMNS($AM$1006:AU1006),$AM$1006:$BM$1006,0))&gt;=100000), " ",IF(INDEX($AM$2:$BM$1001,MATCH(ROWS($AF$2:AF744),$AF$2:$AF$1001,0),MATCH(COLUMNS($AM$1006:AU1006),$AM$1006:$BM$1006,0)), HYPERLINK("#",""), HYPERLINK(CONCATENATE("#metadata!", ADDRESS(INDEX($AH$2:$AH$1001,MATCH(ROWS($AF$2:AF744),$AF$2:$AF$1001,0),0), INDEX($AM$1004:$BM$1004,1,MATCH(COLUMNS($AM$1006:AU1006),$AM$1006:$BM$1006,0)))),"Fix")))</f>
        <v xml:space="preserve"> </v>
      </c>
      <c r="K744" s="4" t="str">
        <f ca="1">IF(OR(INDEX($AG$2:$AG$1001,MATCH(ROWS($AF$2:AF744),$AF$2:$AF$1001,0),1)&gt;=100000,INDEX($AM$1005:$BM$1005,1,MATCH(COLUMNS($AM$1006:AV1006),$AM$1006:$BM$1006,0))&gt;=100000), " ",IF(INDEX($AM$2:$BM$1001,MATCH(ROWS($AF$2:AF744),$AF$2:$AF$1001,0),MATCH(COLUMNS($AM$1006:AV1006),$AM$1006:$BM$1006,0)), HYPERLINK("#",""), HYPERLINK(CONCATENATE("#metadata!", ADDRESS(INDEX($AH$2:$AH$1001,MATCH(ROWS($AF$2:AF744),$AF$2:$AF$1001,0),0), INDEX($AM$1004:$BM$1004,1,MATCH(COLUMNS($AM$1006:AV1006),$AM$1006:$BM$1006,0)))),"Fix")))</f>
        <v xml:space="preserve"> </v>
      </c>
      <c r="L744" s="4" t="str">
        <f ca="1">IF(OR(INDEX($AG$2:$AG$1001,MATCH(ROWS($AF$2:AF744),$AF$2:$AF$1001,0),1)&gt;=100000,INDEX($AM$1005:$BM$1005,1,MATCH(COLUMNS($AM$1006:AW1006),$AM$1006:$BM$1006,0))&gt;=100000), " ",IF(INDEX($AM$2:$BM$1001,MATCH(ROWS($AF$2:AF744),$AF$2:$AF$1001,0),MATCH(COLUMNS($AM$1006:AW1006),$AM$1006:$BM$1006,0)), HYPERLINK("#",""), HYPERLINK(CONCATENATE("#metadata!", ADDRESS(INDEX($AH$2:$AH$1001,MATCH(ROWS($AF$2:AF744),$AF$2:$AF$1001,0),0), INDEX($AM$1004:$BM$1004,1,MATCH(COLUMNS($AM$1006:AW1006),$AM$1006:$BM$1006,0)))),"Fix")))</f>
        <v xml:space="preserve"> </v>
      </c>
      <c r="M744" s="4" t="str">
        <f ca="1">IF(OR(INDEX($AG$2:$AG$1001,MATCH(ROWS($AF$2:AF744),$AF$2:$AF$1001,0),1)&gt;=100000,INDEX($AM$1005:$BM$1005,1,MATCH(COLUMNS($AM$1006:AX1006),$AM$1006:$BM$1006,0))&gt;=100000), " ",IF(INDEX($AM$2:$BM$1001,MATCH(ROWS($AF$2:AF744),$AF$2:$AF$1001,0),MATCH(COLUMNS($AM$1006:AX1006),$AM$1006:$BM$1006,0)), HYPERLINK("#",""), HYPERLINK(CONCATENATE("#metadata!", ADDRESS(INDEX($AH$2:$AH$1001,MATCH(ROWS($AF$2:AF744),$AF$2:$AF$1001,0),0), INDEX($AM$1004:$BM$1004,1,MATCH(COLUMNS($AM$1006:AX1006),$AM$1006:$BM$1006,0)))),"Fix")))</f>
        <v xml:space="preserve"> </v>
      </c>
      <c r="N744" s="4" t="str">
        <f ca="1">IF(OR(INDEX($AG$2:$AG$1001,MATCH(ROWS($AF$2:AF744),$AF$2:$AF$1001,0),1)&gt;=100000,INDEX($AM$1005:$BM$1005,1,MATCH(COLUMNS($AM$1006:AY1006),$AM$1006:$BM$1006,0))&gt;=100000), " ",IF(INDEX($AM$2:$BM$1001,MATCH(ROWS($AF$2:AF744),$AF$2:$AF$1001,0),MATCH(COLUMNS($AM$1006:AY1006),$AM$1006:$BM$1006,0)), HYPERLINK("#",""), HYPERLINK(CONCATENATE("#metadata!", ADDRESS(INDEX($AH$2:$AH$1001,MATCH(ROWS($AF$2:AF744),$AF$2:$AF$1001,0),0), INDEX($AM$1004:$BM$1004,1,MATCH(COLUMNS($AM$1006:AY1006),$AM$1006:$BM$1006,0)))),"Fix")))</f>
        <v xml:space="preserve"> </v>
      </c>
      <c r="O744" s="4" t="str">
        <f ca="1">IF(OR(INDEX($AG$2:$AG$1001,MATCH(ROWS($AF$2:AF744),$AF$2:$AF$1001,0),1)&gt;=100000,INDEX($AM$1005:$BM$1005,1,MATCH(COLUMNS($AM$1006:AZ1006),$AM$1006:$BM$1006,0))&gt;=100000), " ",IF(INDEX($AM$2:$BM$1001,MATCH(ROWS($AF$2:AF744),$AF$2:$AF$1001,0),MATCH(COLUMNS($AM$1006:AZ1006),$AM$1006:$BM$1006,0)), HYPERLINK("#",""), HYPERLINK(CONCATENATE("#metadata!", ADDRESS(INDEX($AH$2:$AH$1001,MATCH(ROWS($AF$2:AF744),$AF$2:$AF$1001,0),0), INDEX($AM$1004:$BM$1004,1,MATCH(COLUMNS($AM$1006:AZ1006),$AM$1006:$BM$1006,0)))),"Fix")))</f>
        <v xml:space="preserve"> </v>
      </c>
      <c r="P744" s="4" t="str">
        <f ca="1">IF(OR(INDEX($AG$2:$AG$1001,MATCH(ROWS($AF$2:AF744),$AF$2:$AF$1001,0),1)&gt;=100000,INDEX($AM$1005:$BM$1005,1,MATCH(COLUMNS($AM$1006:BA1006),$AM$1006:$BM$1006,0))&gt;=100000), " ",IF(INDEX($AM$2:$BM$1001,MATCH(ROWS($AF$2:AF744),$AF$2:$AF$1001,0),MATCH(COLUMNS($AM$1006:BA1006),$AM$1006:$BM$1006,0)), HYPERLINK("#",""), HYPERLINK(CONCATENATE("#metadata!", ADDRESS(INDEX($AH$2:$AH$1001,MATCH(ROWS($AF$2:AF744),$AF$2:$AF$1001,0),0), INDEX($AM$1004:$BM$1004,1,MATCH(COLUMNS($AM$1006:BA1006),$AM$1006:$BM$1006,0)))),"Fix")))</f>
        <v xml:space="preserve"> </v>
      </c>
      <c r="Q744" s="4" t="str">
        <f ca="1">IF(OR(INDEX($AG$2:$AG$1001,MATCH(ROWS($AF$2:AF744),$AF$2:$AF$1001,0),1)&gt;=100000,INDEX($AM$1005:$BM$1005,1,MATCH(COLUMNS($AM$1006:BB1006),$AM$1006:$BM$1006,0))&gt;=100000), " ",IF(INDEX($AM$2:$BM$1001,MATCH(ROWS($AF$2:AF744),$AF$2:$AF$1001,0),MATCH(COLUMNS($AM$1006:BB1006),$AM$1006:$BM$1006,0)), HYPERLINK("#",""), HYPERLINK(CONCATENATE("#metadata!", ADDRESS(INDEX($AH$2:$AH$1001,MATCH(ROWS($AF$2:AF744),$AF$2:$AF$1001,0),0), INDEX($AM$1004:$BM$1004,1,MATCH(COLUMNS($AM$1006:BB1006),$AM$1006:$BM$1006,0)))),"Fix")))</f>
        <v xml:space="preserve"> </v>
      </c>
      <c r="R744" s="4" t="str">
        <f ca="1">IF(OR(INDEX($AG$2:$AG$1001,MATCH(ROWS($AF$2:AF744),$AF$2:$AF$1001,0),1)&gt;=100000,INDEX($AM$1005:$BM$1005,1,MATCH(COLUMNS($AM$1006:BC1006),$AM$1006:$BM$1006,0))&gt;=100000), " ",IF(INDEX($AM$2:$BM$1001,MATCH(ROWS($AF$2:AF744),$AF$2:$AF$1001,0),MATCH(COLUMNS($AM$1006:BC1006),$AM$1006:$BM$1006,0)), HYPERLINK("#",""), HYPERLINK(CONCATENATE("#metadata!", ADDRESS(INDEX($AH$2:$AH$1001,MATCH(ROWS($AF$2:AF744),$AF$2:$AF$1001,0),0), INDEX($AM$1004:$BM$1004,1,MATCH(COLUMNS($AM$1006:BC1006),$AM$1006:$BM$1006,0)))),"Fix")))</f>
        <v xml:space="preserve"> </v>
      </c>
      <c r="S744" s="4" t="str">
        <f ca="1">IF(OR(INDEX($AG$2:$AG$1001,MATCH(ROWS($AF$2:AF744),$AF$2:$AF$1001,0),1)&gt;=100000,INDEX($AM$1005:$BM$1005,1,MATCH(COLUMNS($AM$1006:BD1006),$AM$1006:$BM$1006,0))&gt;=100000), " ",IF(INDEX($AM$2:$BM$1001,MATCH(ROWS($AF$2:AF744),$AF$2:$AF$1001,0),MATCH(COLUMNS($AM$1006:BD1006),$AM$1006:$BM$1006,0)), HYPERLINK("#",""), HYPERLINK(CONCATENATE("#metadata!", ADDRESS(INDEX($AH$2:$AH$1001,MATCH(ROWS($AF$2:AF744),$AF$2:$AF$1001,0),0), INDEX($AM$1004:$BM$1004,1,MATCH(COLUMNS($AM$1006:BD1006),$AM$1006:$BM$1006,0)))),"Fix")))</f>
        <v xml:space="preserve"> </v>
      </c>
      <c r="T744" s="4" t="str">
        <f ca="1">IF(OR(INDEX($AG$2:$AG$1001,MATCH(ROWS($AF$2:AF744),$AF$2:$AF$1001,0),1)&gt;=100000,INDEX($AM$1005:$BM$1005,1,MATCH(COLUMNS($AM$1006:BE1006),$AM$1006:$BM$1006,0))&gt;=100000), " ",IF(INDEX($AM$2:$BM$1001,MATCH(ROWS($AF$2:AF744),$AF$2:$AF$1001,0),MATCH(COLUMNS($AM$1006:BE1006),$AM$1006:$BM$1006,0)), HYPERLINK("#",""), HYPERLINK(CONCATENATE("#metadata!", ADDRESS(INDEX($AH$2:$AH$1001,MATCH(ROWS($AF$2:AF744),$AF$2:$AF$1001,0),0), INDEX($AM$1004:$BM$1004,1,MATCH(COLUMNS($AM$1006:BE1006),$AM$1006:$BM$1006,0)))),"Fix")))</f>
        <v xml:space="preserve"> </v>
      </c>
      <c r="U744" s="4" t="str">
        <f ca="1">IF(OR(INDEX($AG$2:$AG$1001,MATCH(ROWS($AF$2:AF744),$AF$2:$AF$1001,0),1)&gt;=100000,INDEX($AM$1005:$BM$1005,1,MATCH(COLUMNS($AM$1006:BF1006),$AM$1006:$BM$1006,0))&gt;=100000), " ",IF(INDEX($AM$2:$BM$1001,MATCH(ROWS($AF$2:AF744),$AF$2:$AF$1001,0),MATCH(COLUMNS($AM$1006:BF1006),$AM$1006:$BM$1006,0)), HYPERLINK("#",""), HYPERLINK(CONCATENATE("#metadata!", ADDRESS(INDEX($AH$2:$AH$1001,MATCH(ROWS($AF$2:AF744),$AF$2:$AF$1001,0),0), INDEX($AM$1004:$BM$1004,1,MATCH(COLUMNS($AM$1006:BF1006),$AM$1006:$BM$1006,0)))),"Fix")))</f>
        <v xml:space="preserve"> </v>
      </c>
      <c r="V744" s="4" t="str">
        <f ca="1">IF(OR(INDEX($AG$2:$AG$1001,MATCH(ROWS($AF$2:AF744),$AF$2:$AF$1001,0),1)&gt;=100000,INDEX($AM$1005:$BM$1005,1,MATCH(COLUMNS($AM$1006:BG1006),$AM$1006:$BM$1006,0))&gt;=100000), " ",IF(INDEX($AM$2:$BM$1001,MATCH(ROWS($AF$2:AF744),$AF$2:$AF$1001,0),MATCH(COLUMNS($AM$1006:BG1006),$AM$1006:$BM$1006,0)), HYPERLINK("#",""), HYPERLINK(CONCATENATE("#metadata!", ADDRESS(INDEX($AH$2:$AH$1001,MATCH(ROWS($AF$2:AF744),$AF$2:$AF$1001,0),0), INDEX($AM$1004:$BM$1004,1,MATCH(COLUMNS($AM$1006:BG1006),$AM$1006:$BM$1006,0)))),"Fix")))</f>
        <v xml:space="preserve"> </v>
      </c>
      <c r="W744" s="4" t="str">
        <f ca="1">IF(OR(INDEX($AG$2:$AG$1001,MATCH(ROWS($AF$2:AF744),$AF$2:$AF$1001,0),1)&gt;=100000,INDEX($AM$1005:$BM$1005,1,MATCH(COLUMNS($AM$1006:BH1006),$AM$1006:$BM$1006,0))&gt;=100000), " ",IF(INDEX($AM$2:$BM$1001,MATCH(ROWS($AF$2:AF744),$AF$2:$AF$1001,0),MATCH(COLUMNS($AM$1006:BH1006),$AM$1006:$BM$1006,0)), HYPERLINK("#",""), HYPERLINK(CONCATENATE("#metadata!", ADDRESS(INDEX($AH$2:$AH$1001,MATCH(ROWS($AF$2:AF744),$AF$2:$AF$1001,0),0), INDEX($AM$1004:$BM$1004,1,MATCH(COLUMNS($AM$1006:BH1006),$AM$1006:$BM$1006,0)))),"Fix")))</f>
        <v xml:space="preserve"> </v>
      </c>
      <c r="X744" s="4" t="str">
        <f ca="1">IF(OR(INDEX($AG$2:$AG$1001,MATCH(ROWS($AF$2:AF744),$AF$2:$AF$1001,0),1)&gt;=100000,INDEX($AM$1005:$BM$1005,1,MATCH(COLUMNS($AM$1006:BI1006),$AM$1006:$BM$1006,0))&gt;=100000), " ",IF(INDEX($AM$2:$BM$1001,MATCH(ROWS($AF$2:AF744),$AF$2:$AF$1001,0),MATCH(COLUMNS($AM$1006:BI1006),$AM$1006:$BM$1006,0)), HYPERLINK("#",""), HYPERLINK(CONCATENATE("#metadata!", ADDRESS(INDEX($AH$2:$AH$1001,MATCH(ROWS($AF$2:AF744),$AF$2:$AF$1001,0),0), INDEX($AM$1004:$BM$1004,1,MATCH(COLUMNS($AM$1006:BI1006),$AM$1006:$BM$1006,0)))),"Fix")))</f>
        <v xml:space="preserve"> </v>
      </c>
      <c r="Y744" s="4" t="str">
        <f ca="1">IF(OR(INDEX($AG$2:$AG$1001,MATCH(ROWS($AF$2:AF744),$AF$2:$AF$1001,0),1)&gt;=100000,INDEX($AM$1005:$BM$1005,1,MATCH(COLUMNS($AM$1006:BJ1006),$AM$1006:$BM$1006,0))&gt;=100000), " ",IF(INDEX($AM$2:$BM$1001,MATCH(ROWS($AF$2:AF744),$AF$2:$AF$1001,0),MATCH(COLUMNS($AM$1006:BJ1006),$AM$1006:$BM$1006,0)), HYPERLINK("#",""), HYPERLINK(CONCATENATE("#metadata!", ADDRESS(INDEX($AH$2:$AH$1001,MATCH(ROWS($AF$2:AF744),$AF$2:$AF$1001,0),0), INDEX($AM$1004:$BM$1004,1,MATCH(COLUMNS($AM$1006:BJ1006),$AM$1006:$BM$1006,0)))),"Fix")))</f>
        <v xml:space="preserve"> </v>
      </c>
      <c r="Z744" s="4" t="str">
        <f ca="1">IF(OR(INDEX($AG$2:$AG$1001,MATCH(ROWS($AF$2:AF744),$AF$2:$AF$1001,0),1)&gt;=100000,INDEX($AM$1005:$BM$1005,1,MATCH(COLUMNS($AM$1006:BK1006),$AM$1006:$BM$1006,0))&gt;=100000), " ",IF(INDEX($AM$2:$BM$1001,MATCH(ROWS($AF$2:AF744),$AF$2:$AF$1001,0),MATCH(COLUMNS($AM$1006:BK1006),$AM$1006:$BM$1006,0)), HYPERLINK("#",""), HYPERLINK(CONCATENATE("#metadata!", ADDRESS(INDEX($AH$2:$AH$1001,MATCH(ROWS($AF$2:AF744),$AF$2:$AF$1001,0),0), INDEX($AM$1004:$BM$1004,1,MATCH(COLUMNS($AM$1006:BK1006),$AM$1006:$BM$1006,0)))),"Fix")))</f>
        <v xml:space="preserve"> </v>
      </c>
      <c r="AA744" s="4" t="str">
        <f ca="1">IF(OR(INDEX($AG$2:$AG$1001,MATCH(ROWS($AF$2:AF744),$AF$2:$AF$1001,0),1)&gt;=100000,INDEX($AM$1005:$BM$1005,1,MATCH(COLUMNS($AM$1006:BL1006),$AM$1006:$BM$1006,0))&gt;=100000), " ",IF(INDEX($AM$2:$BM$1001,MATCH(ROWS($AF$2:AF744),$AF$2:$AF$1001,0),MATCH(COLUMNS($AM$1006:BL1006),$AM$1006:$BM$1006,0)), HYPERLINK("#",""), HYPERLINK(CONCATENATE("#metadata!", ADDRESS(INDEX($AH$2:$AH$1001,MATCH(ROWS($AF$2:AF744),$AF$2:$AF$1001,0),0), INDEX($AM$1004:$BM$1004,1,MATCH(COLUMNS($AM$1006:BL1006),$AM$1006:$BM$1006,0)))),"Fix")))</f>
        <v xml:space="preserve"> </v>
      </c>
      <c r="AB744" s="4" t="str">
        <f ca="1">IF(OR(INDEX($AG$2:$AG$1001,MATCH(ROWS($AF$2:AF744),$AF$2:$AF$1001,0),1)&gt;=100000,INDEX($AM$1005:$BM$1005,1,MATCH(COLUMNS($AM$1006:BM1006),$AM$1006:$BM$1006,0))&gt;=100000), " ",IF(INDEX($AM$2:$BM$1001,MATCH(ROWS($AF$2:AF744),$AF$2:$AF$1001,0),MATCH(COLUMNS($AM$1006:BM1006),$AM$1006:$BM$1006,0)), HYPERLINK("#",""), HYPERLINK(CONCATENATE("#metadata!", ADDRESS(INDEX($AH$2:$AH$1001,MATCH(ROWS($AF$2:AF744),$AF$2:$AF$1001,0),0), INDEX($AM$1004:$BM$1004,1,MATCH(COLUMNS($AM$1006:BM1006),$AM$1006:$BM$1006,0)))),"Fix")))</f>
        <v xml:space="preserve"> </v>
      </c>
      <c r="AF744">
        <v>743</v>
      </c>
      <c r="AG744">
        <v>100744</v>
      </c>
      <c r="AH744">
        <v>744</v>
      </c>
      <c r="AI744" t="b">
        <f t="shared" si="11"/>
        <v>1</v>
      </c>
      <c r="AJ744" t="b">
        <f>COUNTBLANK(metadata!B744:AB744)=COLUMNS(metadata!B744:AB744)</f>
        <v>1</v>
      </c>
      <c r="AK744" t="str">
        <v/>
      </c>
      <c r="AM744" t="b">
        <f ca="1">AND(IF(metadata!B744="",FALSE,TRUE),COUNTIF(metadata!B:B, metadata!B744) = 1,NOT(ISERROR(SUMPRODUCT(SEARCH(MID(metadata!B744,ROW(INDIRECT("1:"&amp;LEN(metadata!B744))), 1),"0123456789abcdefghijklmnopqrstuvwxyzABCDEFGHIJKLMNOPQRSTUVWXYZ.")))))</f>
        <v>0</v>
      </c>
      <c r="AN744" t="b">
        <f ca="1">OR(AND(IF(metadata!C744="",FALSE,TRUE),OR(EXACT(metadata!C744,"missing: not collected"),EXACT(metadata!C744,"missing: not provided"),EXACT(metadata!C744,"missing: restricted access"))),AND(IF(metadata!C744="",FALSE,TRUE),AND(AND(IFERROR(INT(LEFT(metadata!C744,4))&gt;1900,FALSE),IFERROR(INT(LEFT(metadata!C744,4))&lt;=YEAR(NOW()),FALSE)), OR(MID(metadata!C744,5,1)="", AND(AND(MID(metadata!C744,5,1)="-",IFERROR(INT(MID(metadata!C744,6,1))&gt;=0,FALSE),IFERROR(INT(MID(metadata!C744,6,1))&lt;=1,FALSE),NOT(MID(metadata!C744,7,1)=""),IFERROR(INT(MID(metadata!C744,6,2))&gt;=1,FALSE),IFERROR(INT(MID(metadata!C744,6,2))&lt;=12,FALSE)), OR(MID(metadata!C744,8,1)="", AND(AND(MID(metadata!C744,8,1)="-",IFERROR(INT(MID(metadata!C744,9,1))&gt;=0,FALSE),IFERROR(INT(MID(metadata!C744,9,1))&lt;=3,FALSE),NOT(MID(metadata!C744,10,1)=""),IFERROR(INT(MID(metadata!C744,9,2))&gt;=1,FALSE),IFERROR(INT(MID(metadata!C744,9,2))&lt;=31,FALSE)), OR(MID(metadata!C744,11,1)="", AND(AND(MID(metadata!C744,11,1)=" ",IFERROR(INT(MID(metadata!C744,12,1))&gt;=0,FALSE),IFERROR(INT(MID(metadata!C744,12,1))&lt;=2,FALSE),NOT(MID(metadata!C744,13,1)=""),IFERROR(INT(MID(metadata!C744,12,2))&gt;=0,FALSE),IFERROR(INT(MID(metadata!C744,12,2))&lt;=23,FALSE)), OR(MID(metadata!C744,14,1)="", AND(AND(MID(metadata!C744,14,1)=":",IFERROR(INT(MID(metadata!C744,15,1))&gt;=0,FALSE),IFERROR(INT(MID(metadata!C744,15,1))&lt;=5,FALSE),NOT(MID(metadata!C744,16,1)=""),IFERROR(INT(MID(metadata!C744,15,2))&gt;=0,FALSE),IFERROR(INT(MID(metadata!C744,15,2))&lt;=59,FALSE)), OR(MID(metadata!C744,17,1)="", AND(AND(MID(metadata!C744,17,1)=":",IFERROR(INT(MID(metadata!C744,18,1))&gt;=0,FALSE),IFERROR(INT(MID(metadata!C744,18,1))&lt;=5,FALSE),NOT(MID(metadata!C744,19,1)=""),IFERROR(INT(MID(metadata!C744,18,2))&gt;=0,FALSE),IFERROR(INT(MID(metadata!C744,18,2))&lt;=59,FALSE)), LEN(metadata!C744)&lt;=19)))))))))))))</f>
        <v>0</v>
      </c>
      <c r="AO744" t="b">
        <f>AND(IF(metadata!D744="",FALSE,TRUE),EXACT(metadata!D744,"Not applicable"))</f>
        <v>0</v>
      </c>
      <c r="AP744" t="b">
        <f>IF(metadata!E744="",FALSE,TRUE)</f>
        <v>0</v>
      </c>
      <c r="AQ744" t="b">
        <f>OR(AND(IF(metadata!F744="",FALSE,TRUE),OR(EXACT(metadata!F744,"missing: not collected"),EXACT(metadata!F744,"missing: not provided"))),AND(IF(metadata!F744="",FALSE,TRUE),OR(EXACT(metadata!F744,"TRUE"),EXACT(metadata!F744,"FALSE"))))</f>
        <v>0</v>
      </c>
      <c r="AR744" t="b">
        <f>OR(AND(IF(metadata!G744="",FALSE,TRUE),OR(EXACT(metadata!G744,"missing: not collected"),EXACT(metadata!G744,"missing: not provided"),EXACT(metadata!G744,"missing: restricted access"))),AND(IF(metadata!G744="",FALSE,ISNUMBER(VALUE(metadata!G744))),metadata!G744&gt;=-413))</f>
        <v>0</v>
      </c>
      <c r="AS744" t="b">
        <f>AND(IF(metadata!H744="",FALSE,TRUE),EXACT(metadata!H744,"meters"))</f>
        <v>0</v>
      </c>
      <c r="AT744" t="b">
        <f>AND(IF(metadata!I744="",FALSE,TRUE),OR(EXACT(metadata!I744,"Host-associated"),EXACT(metadata!I744,"Free-living")))</f>
        <v>0</v>
      </c>
      <c r="AU744" t="b">
        <f>AND(IF(metadata!J744="",FALSE,TRUE),OR(EXACT(metadata!J744,"Animal"),EXACT(metadata!J744,"Fungus"),EXACT(metadata!J744,"Plant"),EXACT(metadata!J744,"Saline"),EXACT(metadata!J744,"Non-saline")))</f>
        <v>0</v>
      </c>
      <c r="AV744" t="b">
        <f>AND(IF(metadata!K744="",FALSE,TRUE),OR(EXACT(metadata!K744,"Plant secretion"),EXACT(metadata!K744,"Plant rhizosphere"),EXACT(metadata!K744,"Plant surface"),EXACT(metadata!K744,"Plant corpus"),EXACT(metadata!K744,"Fungus surface"),EXACT(metadata!K744,"Fungus corpus"),EXACT(metadata!K744,"Animal surface"),EXACT(metadata!K744,"Animal proximal gut"),EXACT(metadata!K744,"Animal corpus"),EXACT(metadata!K744,"Animal distal gut"),EXACT(metadata!K744,"Animal secretion"),EXACT(metadata!K744,"Sub-surface (non-saline)"),EXACT(metadata!K744,"Surface (non-saline)"),EXACT(metadata!K744,"Water (non-saline)"),EXACT(metadata!K744,"Soil (non-saline)"),EXACT(metadata!K744,"Aerosol (non-saline)"),EXACT(metadata!K744,"Sediment (non-saline)"),EXACT(metadata!K744,"Surface (saline)"),EXACT(metadata!K744,"Water (saline)"),EXACT(metadata!K744,"Hypersaline (saline)"),EXACT(metadata!K744,"Aerosol (saline)"),EXACT(metadata!K744,"Sediment (saline)")))</f>
        <v>0</v>
      </c>
      <c r="AW744" t="b">
        <f>IF(metadata!L744="",FALSE,TRUE)</f>
        <v>0</v>
      </c>
      <c r="AX744" t="b">
        <f>IF(metadata!M744="",FALSE,TRUE)</f>
        <v>0</v>
      </c>
      <c r="AY744" t="b">
        <f>IF(metadata!N744="",FALSE,TRUE)</f>
        <v>0</v>
      </c>
      <c r="AZ744" t="b">
        <f>OR(AND(IF(metadata!O744="",FALSE,TRUE),OR(EXACT(metadata!O744,"missing: not collected"),EXACT(metadata!O744,"missing: not provided"),EXACT(metadata!O744,"missing: restricted access"))),AND(IF(metadata!O744="",FALSE,TRUE),OR(EXACT(metadata!O744,"air"),EXACT(metadata!O744,"built environment"),EXACT(metadata!O744,"host-associated"),EXACT(metadata!O744,"human-associated"),EXACT(metadata!O744,"human-skin"),EXACT(metadata!O744,"human-oral"),EXACT(metadata!O744,"human-gut"),EXACT(metadata!O744,"human-vaginal"),EXACT(metadata!O744,"microbial mat/biofilm"),EXACT(metadata!O744,"misc environment"),EXACT(metadata!O744,"plant-associated"),EXACT(metadata!O744,"sediment"),EXACT(metadata!O744,"soil"),EXACT(metadata!O744,"wastewater/sludge"),EXACT(metadata!O744,"water"))))</f>
        <v>0</v>
      </c>
      <c r="BA744" t="b">
        <f>IF(metadata!P744="",FALSE,TRUE)</f>
        <v>0</v>
      </c>
      <c r="BB744" t="b">
        <f>IF(metadata!Q744="",FALSE,TRUE)</f>
        <v>0</v>
      </c>
      <c r="BC744" t="b">
        <f>OR(AND(IF(metadata!R744="",FALSE,TRUE),OR(EXACT(metadata!R744,"missing: not collected"),EXACT(metadata!R744,"missing: not provided"),EXACT(metadata!R744,"missing: restricted access"))),AND(IF(metadata!R744="",FALSE,ISNUMBER(VALUE(metadata!R744))),metadata!R744&gt;=-90,metadata!R744&lt;=90))</f>
        <v>0</v>
      </c>
      <c r="BD744" t="b">
        <f>AND(IF(metadata!S744="",FALSE,TRUE),EXACT(metadata!S744,"Decimal degrees"))</f>
        <v>0</v>
      </c>
      <c r="BE744" t="b">
        <f>OR(AND(IF(metadata!T744="",FALSE,TRUE),OR(EXACT(metadata!T744,"missing: not collected"),EXACT(metadata!T744,"missing: not provided"),EXACT(metadata!T744,"missing: restricted access"))),AND(IF(metadata!T744="",FALSE,ISNUMBER(VALUE(metadata!T744))),metadata!T744&gt;=-180,metadata!T744&lt;=180))</f>
        <v>0</v>
      </c>
      <c r="BF744" t="b">
        <f>AND(IF(metadata!U744="",FALSE,TRUE),EXACT(metadata!U744,"Decimal degrees"))</f>
        <v>0</v>
      </c>
      <c r="BG744" t="b">
        <f>IF(metadata!V744="",FALSE,TRUE)</f>
        <v>0</v>
      </c>
      <c r="BH744" t="b">
        <f>OR(AND(IF(metadata!W744="",FALSE,TRUE),OR(EXACT(metadata!W744,"missing: not collected"),EXACT(metadata!W744,"missing: not provided"),EXACT(metadata!W744,"missing: restricted access"))),AND(IF(metadata!W744="",FALSE,TRUE),OR(EXACT(metadata!W744,"TRUE"),EXACT(metadata!W744,"FALSE"))))</f>
        <v>0</v>
      </c>
      <c r="BI744" t="b">
        <f>AND(IF(metadata!X744="",FALSE,TRUE),EXACT(metadata!X744,"other"))</f>
        <v>0</v>
      </c>
      <c r="BJ744" t="b">
        <f>IF(metadata!Y744="",FALSE,TRUE)</f>
        <v>0</v>
      </c>
      <c r="BK744" t="b">
        <f>OR(AND(IF(metadata!Z744="",FALSE,TRUE),OR(EXACT(metadata!Z744,"missing: not collected"),EXACT(metadata!Z744,"missing: not provided"))),AND(IF(metadata!Z744="",FALSE,IF(ISERROR(INT(metadata!Z744)),FALSE,INT(metadata!Z744)=metadata!Z744)),metadata!Z744&gt;0))</f>
        <v>0</v>
      </c>
      <c r="BL744" t="b">
        <f>AND(IF(metadata!AA744="",FALSE,TRUE),EXACT(metadata!AA744,"Not applicable"))</f>
        <v>0</v>
      </c>
      <c r="BM744" t="b">
        <f>IF(metadata!AB744="",FALSE,TRUE)</f>
        <v>0</v>
      </c>
    </row>
    <row r="745" spans="1:65" x14ac:dyDescent="0.2">
      <c r="A745" s="5" t="str">
        <f ca="1">IF(B745=" "," ",HYPERLINK(CONCATENATE("#metadata!",ADDRESS(INDEX($AH$2:$AH$1001,MATCH(ROWS($AF$2:AF745),$AF$2:$AF$1001,0),0),1)),INDEX($AK$2:$AK$1001,MATCH(ROWS($AF$2:AF745),$AF$2:$AF$1001,0),0)))</f>
        <v xml:space="preserve"> </v>
      </c>
      <c r="B745" s="4" t="str">
        <f ca="1">IF(OR(INDEX($AG$2:$AG$1001,MATCH(ROWS($AF$2:AF745),$AF$2:$AF$1001,0),1)&gt;=100000,INDEX($AM$1005:$BM$1005,1,MATCH(COLUMNS($AM$1006:AM1006),$AM$1006:$BM$1006,0))&gt;=100000), " ",IF(INDEX($AM$2:$BM$1001,MATCH(ROWS($AF$2:AF745),$AF$2:$AF$1001,0),MATCH(COLUMNS($AM$1006:AM1006),$AM$1006:$BM$1006,0)), HYPERLINK("#",""), HYPERLINK(CONCATENATE("#metadata!", ADDRESS(INDEX($AH$2:$AH$1001,MATCH(ROWS($AF$2:AF745),$AF$2:$AF$1001,0),0), INDEX($AM$1004:$BM$1004,1,MATCH(COLUMNS($AM$1006:AM1006),$AM$1006:$BM$1006,0)))),"Fix")))</f>
        <v xml:space="preserve"> </v>
      </c>
      <c r="C745" s="4" t="str">
        <f ca="1">IF(OR(INDEX($AG$2:$AG$1001,MATCH(ROWS($AF$2:AF745),$AF$2:$AF$1001,0),1)&gt;=100000,INDEX($AM$1005:$BM$1005,1,MATCH(COLUMNS($AM$1006:AN1006),$AM$1006:$BM$1006,0))&gt;=100000), " ",IF(INDEX($AM$2:$BM$1001,MATCH(ROWS($AF$2:AF745),$AF$2:$AF$1001,0),MATCH(COLUMNS($AM$1006:AN1006),$AM$1006:$BM$1006,0)), HYPERLINK("#",""), HYPERLINK(CONCATENATE("#metadata!", ADDRESS(INDEX($AH$2:$AH$1001,MATCH(ROWS($AF$2:AF745),$AF$2:$AF$1001,0),0), INDEX($AM$1004:$BM$1004,1,MATCH(COLUMNS($AM$1006:AN1006),$AM$1006:$BM$1006,0)))),"Fix")))</f>
        <v xml:space="preserve"> </v>
      </c>
      <c r="D745" s="4" t="str">
        <f ca="1">IF(OR(INDEX($AG$2:$AG$1001,MATCH(ROWS($AF$2:AF745),$AF$2:$AF$1001,0),1)&gt;=100000,INDEX($AM$1005:$BM$1005,1,MATCH(COLUMNS($AM$1006:AO1006),$AM$1006:$BM$1006,0))&gt;=100000), " ",IF(INDEX($AM$2:$BM$1001,MATCH(ROWS($AF$2:AF745),$AF$2:$AF$1001,0),MATCH(COLUMNS($AM$1006:AO1006),$AM$1006:$BM$1006,0)), HYPERLINK("#",""), HYPERLINK(CONCATENATE("#metadata!", ADDRESS(INDEX($AH$2:$AH$1001,MATCH(ROWS($AF$2:AF745),$AF$2:$AF$1001,0),0), INDEX($AM$1004:$BM$1004,1,MATCH(COLUMNS($AM$1006:AO1006),$AM$1006:$BM$1006,0)))),"Fix")))</f>
        <v xml:space="preserve"> </v>
      </c>
      <c r="E745" s="4" t="str">
        <f ca="1">IF(OR(INDEX($AG$2:$AG$1001,MATCH(ROWS($AF$2:AF745),$AF$2:$AF$1001,0),1)&gt;=100000,INDEX($AM$1005:$BM$1005,1,MATCH(COLUMNS($AM$1006:AP1006),$AM$1006:$BM$1006,0))&gt;=100000), " ",IF(INDEX($AM$2:$BM$1001,MATCH(ROWS($AF$2:AF745),$AF$2:$AF$1001,0),MATCH(COLUMNS($AM$1006:AP1006),$AM$1006:$BM$1006,0)), HYPERLINK("#",""), HYPERLINK(CONCATENATE("#metadata!", ADDRESS(INDEX($AH$2:$AH$1001,MATCH(ROWS($AF$2:AF745),$AF$2:$AF$1001,0),0), INDEX($AM$1004:$BM$1004,1,MATCH(COLUMNS($AM$1006:AP1006),$AM$1006:$BM$1006,0)))),"Fix")))</f>
        <v xml:space="preserve"> </v>
      </c>
      <c r="F745" s="4" t="str">
        <f ca="1">IF(OR(INDEX($AG$2:$AG$1001,MATCH(ROWS($AF$2:AF745),$AF$2:$AF$1001,0),1)&gt;=100000,INDEX($AM$1005:$BM$1005,1,MATCH(COLUMNS($AM$1006:AQ1006),$AM$1006:$BM$1006,0))&gt;=100000), " ",IF(INDEX($AM$2:$BM$1001,MATCH(ROWS($AF$2:AF745),$AF$2:$AF$1001,0),MATCH(COLUMNS($AM$1006:AQ1006),$AM$1006:$BM$1006,0)), HYPERLINK("#",""), HYPERLINK(CONCATENATE("#metadata!", ADDRESS(INDEX($AH$2:$AH$1001,MATCH(ROWS($AF$2:AF745),$AF$2:$AF$1001,0),0), INDEX($AM$1004:$BM$1004,1,MATCH(COLUMNS($AM$1006:AQ1006),$AM$1006:$BM$1006,0)))),"Fix")))</f>
        <v xml:space="preserve"> </v>
      </c>
      <c r="G745" s="4" t="str">
        <f ca="1">IF(OR(INDEX($AG$2:$AG$1001,MATCH(ROWS($AF$2:AF745),$AF$2:$AF$1001,0),1)&gt;=100000,INDEX($AM$1005:$BM$1005,1,MATCH(COLUMNS($AM$1006:AR1006),$AM$1006:$BM$1006,0))&gt;=100000), " ",IF(INDEX($AM$2:$BM$1001,MATCH(ROWS($AF$2:AF745),$AF$2:$AF$1001,0),MATCH(COLUMNS($AM$1006:AR1006),$AM$1006:$BM$1006,0)), HYPERLINK("#",""), HYPERLINK(CONCATENATE("#metadata!", ADDRESS(INDEX($AH$2:$AH$1001,MATCH(ROWS($AF$2:AF745),$AF$2:$AF$1001,0),0), INDEX($AM$1004:$BM$1004,1,MATCH(COLUMNS($AM$1006:AR1006),$AM$1006:$BM$1006,0)))),"Fix")))</f>
        <v xml:space="preserve"> </v>
      </c>
      <c r="H745" s="4" t="str">
        <f ca="1">IF(OR(INDEX($AG$2:$AG$1001,MATCH(ROWS($AF$2:AF745),$AF$2:$AF$1001,0),1)&gt;=100000,INDEX($AM$1005:$BM$1005,1,MATCH(COLUMNS($AM$1006:AS1006),$AM$1006:$BM$1006,0))&gt;=100000), " ",IF(INDEX($AM$2:$BM$1001,MATCH(ROWS($AF$2:AF745),$AF$2:$AF$1001,0),MATCH(COLUMNS($AM$1006:AS1006),$AM$1006:$BM$1006,0)), HYPERLINK("#",""), HYPERLINK(CONCATENATE("#metadata!", ADDRESS(INDEX($AH$2:$AH$1001,MATCH(ROWS($AF$2:AF745),$AF$2:$AF$1001,0),0), INDEX($AM$1004:$BM$1004,1,MATCH(COLUMNS($AM$1006:AS1006),$AM$1006:$BM$1006,0)))),"Fix")))</f>
        <v xml:space="preserve"> </v>
      </c>
      <c r="I745" s="4" t="str">
        <f ca="1">IF(OR(INDEX($AG$2:$AG$1001,MATCH(ROWS($AF$2:AF745),$AF$2:$AF$1001,0),1)&gt;=100000,INDEX($AM$1005:$BM$1005,1,MATCH(COLUMNS($AM$1006:AT1006),$AM$1006:$BM$1006,0))&gt;=100000), " ",IF(INDEX($AM$2:$BM$1001,MATCH(ROWS($AF$2:AF745),$AF$2:$AF$1001,0),MATCH(COLUMNS($AM$1006:AT1006),$AM$1006:$BM$1006,0)), HYPERLINK("#",""), HYPERLINK(CONCATENATE("#metadata!", ADDRESS(INDEX($AH$2:$AH$1001,MATCH(ROWS($AF$2:AF745),$AF$2:$AF$1001,0),0), INDEX($AM$1004:$BM$1004,1,MATCH(COLUMNS($AM$1006:AT1006),$AM$1006:$BM$1006,0)))),"Fix")))</f>
        <v xml:space="preserve"> </v>
      </c>
      <c r="J745" s="4" t="str">
        <f ca="1">IF(OR(INDEX($AG$2:$AG$1001,MATCH(ROWS($AF$2:AF745),$AF$2:$AF$1001,0),1)&gt;=100000,INDEX($AM$1005:$BM$1005,1,MATCH(COLUMNS($AM$1006:AU1006),$AM$1006:$BM$1006,0))&gt;=100000), " ",IF(INDEX($AM$2:$BM$1001,MATCH(ROWS($AF$2:AF745),$AF$2:$AF$1001,0),MATCH(COLUMNS($AM$1006:AU1006),$AM$1006:$BM$1006,0)), HYPERLINK("#",""), HYPERLINK(CONCATENATE("#metadata!", ADDRESS(INDEX($AH$2:$AH$1001,MATCH(ROWS($AF$2:AF745),$AF$2:$AF$1001,0),0), INDEX($AM$1004:$BM$1004,1,MATCH(COLUMNS($AM$1006:AU1006),$AM$1006:$BM$1006,0)))),"Fix")))</f>
        <v xml:space="preserve"> </v>
      </c>
      <c r="K745" s="4" t="str">
        <f ca="1">IF(OR(INDEX($AG$2:$AG$1001,MATCH(ROWS($AF$2:AF745),$AF$2:$AF$1001,0),1)&gt;=100000,INDEX($AM$1005:$BM$1005,1,MATCH(COLUMNS($AM$1006:AV1006),$AM$1006:$BM$1006,0))&gt;=100000), " ",IF(INDEX($AM$2:$BM$1001,MATCH(ROWS($AF$2:AF745),$AF$2:$AF$1001,0),MATCH(COLUMNS($AM$1006:AV1006),$AM$1006:$BM$1006,0)), HYPERLINK("#",""), HYPERLINK(CONCATENATE("#metadata!", ADDRESS(INDEX($AH$2:$AH$1001,MATCH(ROWS($AF$2:AF745),$AF$2:$AF$1001,0),0), INDEX($AM$1004:$BM$1004,1,MATCH(COLUMNS($AM$1006:AV1006),$AM$1006:$BM$1006,0)))),"Fix")))</f>
        <v xml:space="preserve"> </v>
      </c>
      <c r="L745" s="4" t="str">
        <f ca="1">IF(OR(INDEX($AG$2:$AG$1001,MATCH(ROWS($AF$2:AF745),$AF$2:$AF$1001,0),1)&gt;=100000,INDEX($AM$1005:$BM$1005,1,MATCH(COLUMNS($AM$1006:AW1006),$AM$1006:$BM$1006,0))&gt;=100000), " ",IF(INDEX($AM$2:$BM$1001,MATCH(ROWS($AF$2:AF745),$AF$2:$AF$1001,0),MATCH(COLUMNS($AM$1006:AW1006),$AM$1006:$BM$1006,0)), HYPERLINK("#",""), HYPERLINK(CONCATENATE("#metadata!", ADDRESS(INDEX($AH$2:$AH$1001,MATCH(ROWS($AF$2:AF745),$AF$2:$AF$1001,0),0), INDEX($AM$1004:$BM$1004,1,MATCH(COLUMNS($AM$1006:AW1006),$AM$1006:$BM$1006,0)))),"Fix")))</f>
        <v xml:space="preserve"> </v>
      </c>
      <c r="M745" s="4" t="str">
        <f ca="1">IF(OR(INDEX($AG$2:$AG$1001,MATCH(ROWS($AF$2:AF745),$AF$2:$AF$1001,0),1)&gt;=100000,INDEX($AM$1005:$BM$1005,1,MATCH(COLUMNS($AM$1006:AX1006),$AM$1006:$BM$1006,0))&gt;=100000), " ",IF(INDEX($AM$2:$BM$1001,MATCH(ROWS($AF$2:AF745),$AF$2:$AF$1001,0),MATCH(COLUMNS($AM$1006:AX1006),$AM$1006:$BM$1006,0)), HYPERLINK("#",""), HYPERLINK(CONCATENATE("#metadata!", ADDRESS(INDEX($AH$2:$AH$1001,MATCH(ROWS($AF$2:AF745),$AF$2:$AF$1001,0),0), INDEX($AM$1004:$BM$1004,1,MATCH(COLUMNS($AM$1006:AX1006),$AM$1006:$BM$1006,0)))),"Fix")))</f>
        <v xml:space="preserve"> </v>
      </c>
      <c r="N745" s="4" t="str">
        <f ca="1">IF(OR(INDEX($AG$2:$AG$1001,MATCH(ROWS($AF$2:AF745),$AF$2:$AF$1001,0),1)&gt;=100000,INDEX($AM$1005:$BM$1005,1,MATCH(COLUMNS($AM$1006:AY1006),$AM$1006:$BM$1006,0))&gt;=100000), " ",IF(INDEX($AM$2:$BM$1001,MATCH(ROWS($AF$2:AF745),$AF$2:$AF$1001,0),MATCH(COLUMNS($AM$1006:AY1006),$AM$1006:$BM$1006,0)), HYPERLINK("#",""), HYPERLINK(CONCATENATE("#metadata!", ADDRESS(INDEX($AH$2:$AH$1001,MATCH(ROWS($AF$2:AF745),$AF$2:$AF$1001,0),0), INDEX($AM$1004:$BM$1004,1,MATCH(COLUMNS($AM$1006:AY1006),$AM$1006:$BM$1006,0)))),"Fix")))</f>
        <v xml:space="preserve"> </v>
      </c>
      <c r="O745" s="4" t="str">
        <f ca="1">IF(OR(INDEX($AG$2:$AG$1001,MATCH(ROWS($AF$2:AF745),$AF$2:$AF$1001,0),1)&gt;=100000,INDEX($AM$1005:$BM$1005,1,MATCH(COLUMNS($AM$1006:AZ1006),$AM$1006:$BM$1006,0))&gt;=100000), " ",IF(INDEX($AM$2:$BM$1001,MATCH(ROWS($AF$2:AF745),$AF$2:$AF$1001,0),MATCH(COLUMNS($AM$1006:AZ1006),$AM$1006:$BM$1006,0)), HYPERLINK("#",""), HYPERLINK(CONCATENATE("#metadata!", ADDRESS(INDEX($AH$2:$AH$1001,MATCH(ROWS($AF$2:AF745),$AF$2:$AF$1001,0),0), INDEX($AM$1004:$BM$1004,1,MATCH(COLUMNS($AM$1006:AZ1006),$AM$1006:$BM$1006,0)))),"Fix")))</f>
        <v xml:space="preserve"> </v>
      </c>
      <c r="P745" s="4" t="str">
        <f ca="1">IF(OR(INDEX($AG$2:$AG$1001,MATCH(ROWS($AF$2:AF745),$AF$2:$AF$1001,0),1)&gt;=100000,INDEX($AM$1005:$BM$1005,1,MATCH(COLUMNS($AM$1006:BA1006),$AM$1006:$BM$1006,0))&gt;=100000), " ",IF(INDEX($AM$2:$BM$1001,MATCH(ROWS($AF$2:AF745),$AF$2:$AF$1001,0),MATCH(COLUMNS($AM$1006:BA1006),$AM$1006:$BM$1006,0)), HYPERLINK("#",""), HYPERLINK(CONCATENATE("#metadata!", ADDRESS(INDEX($AH$2:$AH$1001,MATCH(ROWS($AF$2:AF745),$AF$2:$AF$1001,0),0), INDEX($AM$1004:$BM$1004,1,MATCH(COLUMNS($AM$1006:BA1006),$AM$1006:$BM$1006,0)))),"Fix")))</f>
        <v xml:space="preserve"> </v>
      </c>
      <c r="Q745" s="4" t="str">
        <f ca="1">IF(OR(INDEX($AG$2:$AG$1001,MATCH(ROWS($AF$2:AF745),$AF$2:$AF$1001,0),1)&gt;=100000,INDEX($AM$1005:$BM$1005,1,MATCH(COLUMNS($AM$1006:BB1006),$AM$1006:$BM$1006,0))&gt;=100000), " ",IF(INDEX($AM$2:$BM$1001,MATCH(ROWS($AF$2:AF745),$AF$2:$AF$1001,0),MATCH(COLUMNS($AM$1006:BB1006),$AM$1006:$BM$1006,0)), HYPERLINK("#",""), HYPERLINK(CONCATENATE("#metadata!", ADDRESS(INDEX($AH$2:$AH$1001,MATCH(ROWS($AF$2:AF745),$AF$2:$AF$1001,0),0), INDEX($AM$1004:$BM$1004,1,MATCH(COLUMNS($AM$1006:BB1006),$AM$1006:$BM$1006,0)))),"Fix")))</f>
        <v xml:space="preserve"> </v>
      </c>
      <c r="R745" s="4" t="str">
        <f ca="1">IF(OR(INDEX($AG$2:$AG$1001,MATCH(ROWS($AF$2:AF745),$AF$2:$AF$1001,0),1)&gt;=100000,INDEX($AM$1005:$BM$1005,1,MATCH(COLUMNS($AM$1006:BC1006),$AM$1006:$BM$1006,0))&gt;=100000), " ",IF(INDEX($AM$2:$BM$1001,MATCH(ROWS($AF$2:AF745),$AF$2:$AF$1001,0),MATCH(COLUMNS($AM$1006:BC1006),$AM$1006:$BM$1006,0)), HYPERLINK("#",""), HYPERLINK(CONCATENATE("#metadata!", ADDRESS(INDEX($AH$2:$AH$1001,MATCH(ROWS($AF$2:AF745),$AF$2:$AF$1001,0),0), INDEX($AM$1004:$BM$1004,1,MATCH(COLUMNS($AM$1006:BC1006),$AM$1006:$BM$1006,0)))),"Fix")))</f>
        <v xml:space="preserve"> </v>
      </c>
      <c r="S745" s="4" t="str">
        <f ca="1">IF(OR(INDEX($AG$2:$AG$1001,MATCH(ROWS($AF$2:AF745),$AF$2:$AF$1001,0),1)&gt;=100000,INDEX($AM$1005:$BM$1005,1,MATCH(COLUMNS($AM$1006:BD1006),$AM$1006:$BM$1006,0))&gt;=100000), " ",IF(INDEX($AM$2:$BM$1001,MATCH(ROWS($AF$2:AF745),$AF$2:$AF$1001,0),MATCH(COLUMNS($AM$1006:BD1006),$AM$1006:$BM$1006,0)), HYPERLINK("#",""), HYPERLINK(CONCATENATE("#metadata!", ADDRESS(INDEX($AH$2:$AH$1001,MATCH(ROWS($AF$2:AF745),$AF$2:$AF$1001,0),0), INDEX($AM$1004:$BM$1004,1,MATCH(COLUMNS($AM$1006:BD1006),$AM$1006:$BM$1006,0)))),"Fix")))</f>
        <v xml:space="preserve"> </v>
      </c>
      <c r="T745" s="4" t="str">
        <f ca="1">IF(OR(INDEX($AG$2:$AG$1001,MATCH(ROWS($AF$2:AF745),$AF$2:$AF$1001,0),1)&gt;=100000,INDEX($AM$1005:$BM$1005,1,MATCH(COLUMNS($AM$1006:BE1006),$AM$1006:$BM$1006,0))&gt;=100000), " ",IF(INDEX($AM$2:$BM$1001,MATCH(ROWS($AF$2:AF745),$AF$2:$AF$1001,0),MATCH(COLUMNS($AM$1006:BE1006),$AM$1006:$BM$1006,0)), HYPERLINK("#",""), HYPERLINK(CONCATENATE("#metadata!", ADDRESS(INDEX($AH$2:$AH$1001,MATCH(ROWS($AF$2:AF745),$AF$2:$AF$1001,0),0), INDEX($AM$1004:$BM$1004,1,MATCH(COLUMNS($AM$1006:BE1006),$AM$1006:$BM$1006,0)))),"Fix")))</f>
        <v xml:space="preserve"> </v>
      </c>
      <c r="U745" s="4" t="str">
        <f ca="1">IF(OR(INDEX($AG$2:$AG$1001,MATCH(ROWS($AF$2:AF745),$AF$2:$AF$1001,0),1)&gt;=100000,INDEX($AM$1005:$BM$1005,1,MATCH(COLUMNS($AM$1006:BF1006),$AM$1006:$BM$1006,0))&gt;=100000), " ",IF(INDEX($AM$2:$BM$1001,MATCH(ROWS($AF$2:AF745),$AF$2:$AF$1001,0),MATCH(COLUMNS($AM$1006:BF1006),$AM$1006:$BM$1006,0)), HYPERLINK("#",""), HYPERLINK(CONCATENATE("#metadata!", ADDRESS(INDEX($AH$2:$AH$1001,MATCH(ROWS($AF$2:AF745),$AF$2:$AF$1001,0),0), INDEX($AM$1004:$BM$1004,1,MATCH(COLUMNS($AM$1006:BF1006),$AM$1006:$BM$1006,0)))),"Fix")))</f>
        <v xml:space="preserve"> </v>
      </c>
      <c r="V745" s="4" t="str">
        <f ca="1">IF(OR(INDEX($AG$2:$AG$1001,MATCH(ROWS($AF$2:AF745),$AF$2:$AF$1001,0),1)&gt;=100000,INDEX($AM$1005:$BM$1005,1,MATCH(COLUMNS($AM$1006:BG1006),$AM$1006:$BM$1006,0))&gt;=100000), " ",IF(INDEX($AM$2:$BM$1001,MATCH(ROWS($AF$2:AF745),$AF$2:$AF$1001,0),MATCH(COLUMNS($AM$1006:BG1006),$AM$1006:$BM$1006,0)), HYPERLINK("#",""), HYPERLINK(CONCATENATE("#metadata!", ADDRESS(INDEX($AH$2:$AH$1001,MATCH(ROWS($AF$2:AF745),$AF$2:$AF$1001,0),0), INDEX($AM$1004:$BM$1004,1,MATCH(COLUMNS($AM$1006:BG1006),$AM$1006:$BM$1006,0)))),"Fix")))</f>
        <v xml:space="preserve"> </v>
      </c>
      <c r="W745" s="4" t="str">
        <f ca="1">IF(OR(INDEX($AG$2:$AG$1001,MATCH(ROWS($AF$2:AF745),$AF$2:$AF$1001,0),1)&gt;=100000,INDEX($AM$1005:$BM$1005,1,MATCH(COLUMNS($AM$1006:BH1006),$AM$1006:$BM$1006,0))&gt;=100000), " ",IF(INDEX($AM$2:$BM$1001,MATCH(ROWS($AF$2:AF745),$AF$2:$AF$1001,0),MATCH(COLUMNS($AM$1006:BH1006),$AM$1006:$BM$1006,0)), HYPERLINK("#",""), HYPERLINK(CONCATENATE("#metadata!", ADDRESS(INDEX($AH$2:$AH$1001,MATCH(ROWS($AF$2:AF745),$AF$2:$AF$1001,0),0), INDEX($AM$1004:$BM$1004,1,MATCH(COLUMNS($AM$1006:BH1006),$AM$1006:$BM$1006,0)))),"Fix")))</f>
        <v xml:space="preserve"> </v>
      </c>
      <c r="X745" s="4" t="str">
        <f ca="1">IF(OR(INDEX($AG$2:$AG$1001,MATCH(ROWS($AF$2:AF745),$AF$2:$AF$1001,0),1)&gt;=100000,INDEX($AM$1005:$BM$1005,1,MATCH(COLUMNS($AM$1006:BI1006),$AM$1006:$BM$1006,0))&gt;=100000), " ",IF(INDEX($AM$2:$BM$1001,MATCH(ROWS($AF$2:AF745),$AF$2:$AF$1001,0),MATCH(COLUMNS($AM$1006:BI1006),$AM$1006:$BM$1006,0)), HYPERLINK("#",""), HYPERLINK(CONCATENATE("#metadata!", ADDRESS(INDEX($AH$2:$AH$1001,MATCH(ROWS($AF$2:AF745),$AF$2:$AF$1001,0),0), INDEX($AM$1004:$BM$1004,1,MATCH(COLUMNS($AM$1006:BI1006),$AM$1006:$BM$1006,0)))),"Fix")))</f>
        <v xml:space="preserve"> </v>
      </c>
      <c r="Y745" s="4" t="str">
        <f ca="1">IF(OR(INDEX($AG$2:$AG$1001,MATCH(ROWS($AF$2:AF745),$AF$2:$AF$1001,0),1)&gt;=100000,INDEX($AM$1005:$BM$1005,1,MATCH(COLUMNS($AM$1006:BJ1006),$AM$1006:$BM$1006,0))&gt;=100000), " ",IF(INDEX($AM$2:$BM$1001,MATCH(ROWS($AF$2:AF745),$AF$2:$AF$1001,0),MATCH(COLUMNS($AM$1006:BJ1006),$AM$1006:$BM$1006,0)), HYPERLINK("#",""), HYPERLINK(CONCATENATE("#metadata!", ADDRESS(INDEX($AH$2:$AH$1001,MATCH(ROWS($AF$2:AF745),$AF$2:$AF$1001,0),0), INDEX($AM$1004:$BM$1004,1,MATCH(COLUMNS($AM$1006:BJ1006),$AM$1006:$BM$1006,0)))),"Fix")))</f>
        <v xml:space="preserve"> </v>
      </c>
      <c r="Z745" s="4" t="str">
        <f ca="1">IF(OR(INDEX($AG$2:$AG$1001,MATCH(ROWS($AF$2:AF745),$AF$2:$AF$1001,0),1)&gt;=100000,INDEX($AM$1005:$BM$1005,1,MATCH(COLUMNS($AM$1006:BK1006),$AM$1006:$BM$1006,0))&gt;=100000), " ",IF(INDEX($AM$2:$BM$1001,MATCH(ROWS($AF$2:AF745),$AF$2:$AF$1001,0),MATCH(COLUMNS($AM$1006:BK1006),$AM$1006:$BM$1006,0)), HYPERLINK("#",""), HYPERLINK(CONCATENATE("#metadata!", ADDRESS(INDEX($AH$2:$AH$1001,MATCH(ROWS($AF$2:AF745),$AF$2:$AF$1001,0),0), INDEX($AM$1004:$BM$1004,1,MATCH(COLUMNS($AM$1006:BK1006),$AM$1006:$BM$1006,0)))),"Fix")))</f>
        <v xml:space="preserve"> </v>
      </c>
      <c r="AA745" s="4" t="str">
        <f ca="1">IF(OR(INDEX($AG$2:$AG$1001,MATCH(ROWS($AF$2:AF745),$AF$2:$AF$1001,0),1)&gt;=100000,INDEX($AM$1005:$BM$1005,1,MATCH(COLUMNS($AM$1006:BL1006),$AM$1006:$BM$1006,0))&gt;=100000), " ",IF(INDEX($AM$2:$BM$1001,MATCH(ROWS($AF$2:AF745),$AF$2:$AF$1001,0),MATCH(COLUMNS($AM$1006:BL1006),$AM$1006:$BM$1006,0)), HYPERLINK("#",""), HYPERLINK(CONCATENATE("#metadata!", ADDRESS(INDEX($AH$2:$AH$1001,MATCH(ROWS($AF$2:AF745),$AF$2:$AF$1001,0),0), INDEX($AM$1004:$BM$1004,1,MATCH(COLUMNS($AM$1006:BL1006),$AM$1006:$BM$1006,0)))),"Fix")))</f>
        <v xml:space="preserve"> </v>
      </c>
      <c r="AB745" s="4" t="str">
        <f ca="1">IF(OR(INDEX($AG$2:$AG$1001,MATCH(ROWS($AF$2:AF745),$AF$2:$AF$1001,0),1)&gt;=100000,INDEX($AM$1005:$BM$1005,1,MATCH(COLUMNS($AM$1006:BM1006),$AM$1006:$BM$1006,0))&gt;=100000), " ",IF(INDEX($AM$2:$BM$1001,MATCH(ROWS($AF$2:AF745),$AF$2:$AF$1001,0),MATCH(COLUMNS($AM$1006:BM1006),$AM$1006:$BM$1006,0)), HYPERLINK("#",""), HYPERLINK(CONCATENATE("#metadata!", ADDRESS(INDEX($AH$2:$AH$1001,MATCH(ROWS($AF$2:AF745),$AF$2:$AF$1001,0),0), INDEX($AM$1004:$BM$1004,1,MATCH(COLUMNS($AM$1006:BM1006),$AM$1006:$BM$1006,0)))),"Fix")))</f>
        <v xml:space="preserve"> </v>
      </c>
      <c r="AF745">
        <v>744</v>
      </c>
      <c r="AG745">
        <v>100745</v>
      </c>
      <c r="AH745">
        <v>745</v>
      </c>
      <c r="AI745" t="b">
        <f t="shared" si="11"/>
        <v>1</v>
      </c>
      <c r="AJ745" t="b">
        <f>COUNTBLANK(metadata!B745:AB745)=COLUMNS(metadata!B745:AB745)</f>
        <v>1</v>
      </c>
      <c r="AK745" t="str">
        <v/>
      </c>
      <c r="AM745" t="b">
        <f ca="1">AND(IF(metadata!B745="",FALSE,TRUE),COUNTIF(metadata!B:B, metadata!B745) = 1,NOT(ISERROR(SUMPRODUCT(SEARCH(MID(metadata!B745,ROW(INDIRECT("1:"&amp;LEN(metadata!B745))), 1),"0123456789abcdefghijklmnopqrstuvwxyzABCDEFGHIJKLMNOPQRSTUVWXYZ.")))))</f>
        <v>0</v>
      </c>
      <c r="AN745" t="b">
        <f ca="1">OR(AND(IF(metadata!C745="",FALSE,TRUE),OR(EXACT(metadata!C745,"missing: not collected"),EXACT(metadata!C745,"missing: not provided"),EXACT(metadata!C745,"missing: restricted access"))),AND(IF(metadata!C745="",FALSE,TRUE),AND(AND(IFERROR(INT(LEFT(metadata!C745,4))&gt;1900,FALSE),IFERROR(INT(LEFT(metadata!C745,4))&lt;=YEAR(NOW()),FALSE)), OR(MID(metadata!C745,5,1)="", AND(AND(MID(metadata!C745,5,1)="-",IFERROR(INT(MID(metadata!C745,6,1))&gt;=0,FALSE),IFERROR(INT(MID(metadata!C745,6,1))&lt;=1,FALSE),NOT(MID(metadata!C745,7,1)=""),IFERROR(INT(MID(metadata!C745,6,2))&gt;=1,FALSE),IFERROR(INT(MID(metadata!C745,6,2))&lt;=12,FALSE)), OR(MID(metadata!C745,8,1)="", AND(AND(MID(metadata!C745,8,1)="-",IFERROR(INT(MID(metadata!C745,9,1))&gt;=0,FALSE),IFERROR(INT(MID(metadata!C745,9,1))&lt;=3,FALSE),NOT(MID(metadata!C745,10,1)=""),IFERROR(INT(MID(metadata!C745,9,2))&gt;=1,FALSE),IFERROR(INT(MID(metadata!C745,9,2))&lt;=31,FALSE)), OR(MID(metadata!C745,11,1)="", AND(AND(MID(metadata!C745,11,1)=" ",IFERROR(INT(MID(metadata!C745,12,1))&gt;=0,FALSE),IFERROR(INT(MID(metadata!C745,12,1))&lt;=2,FALSE),NOT(MID(metadata!C745,13,1)=""),IFERROR(INT(MID(metadata!C745,12,2))&gt;=0,FALSE),IFERROR(INT(MID(metadata!C745,12,2))&lt;=23,FALSE)), OR(MID(metadata!C745,14,1)="", AND(AND(MID(metadata!C745,14,1)=":",IFERROR(INT(MID(metadata!C745,15,1))&gt;=0,FALSE),IFERROR(INT(MID(metadata!C745,15,1))&lt;=5,FALSE),NOT(MID(metadata!C745,16,1)=""),IFERROR(INT(MID(metadata!C745,15,2))&gt;=0,FALSE),IFERROR(INT(MID(metadata!C745,15,2))&lt;=59,FALSE)), OR(MID(metadata!C745,17,1)="", AND(AND(MID(metadata!C745,17,1)=":",IFERROR(INT(MID(metadata!C745,18,1))&gt;=0,FALSE),IFERROR(INT(MID(metadata!C745,18,1))&lt;=5,FALSE),NOT(MID(metadata!C745,19,1)=""),IFERROR(INT(MID(metadata!C745,18,2))&gt;=0,FALSE),IFERROR(INT(MID(metadata!C745,18,2))&lt;=59,FALSE)), LEN(metadata!C745)&lt;=19)))))))))))))</f>
        <v>0</v>
      </c>
      <c r="AO745" t="b">
        <f>AND(IF(metadata!D745="",FALSE,TRUE),EXACT(metadata!D745,"Not applicable"))</f>
        <v>0</v>
      </c>
      <c r="AP745" t="b">
        <f>IF(metadata!E745="",FALSE,TRUE)</f>
        <v>0</v>
      </c>
      <c r="AQ745" t="b">
        <f>OR(AND(IF(metadata!F745="",FALSE,TRUE),OR(EXACT(metadata!F745,"missing: not collected"),EXACT(metadata!F745,"missing: not provided"))),AND(IF(metadata!F745="",FALSE,TRUE),OR(EXACT(metadata!F745,"TRUE"),EXACT(metadata!F745,"FALSE"))))</f>
        <v>0</v>
      </c>
      <c r="AR745" t="b">
        <f>OR(AND(IF(metadata!G745="",FALSE,TRUE),OR(EXACT(metadata!G745,"missing: not collected"),EXACT(metadata!G745,"missing: not provided"),EXACT(metadata!G745,"missing: restricted access"))),AND(IF(metadata!G745="",FALSE,ISNUMBER(VALUE(metadata!G745))),metadata!G745&gt;=-413))</f>
        <v>0</v>
      </c>
      <c r="AS745" t="b">
        <f>AND(IF(metadata!H745="",FALSE,TRUE),EXACT(metadata!H745,"meters"))</f>
        <v>0</v>
      </c>
      <c r="AT745" t="b">
        <f>AND(IF(metadata!I745="",FALSE,TRUE),OR(EXACT(metadata!I745,"Host-associated"),EXACT(metadata!I745,"Free-living")))</f>
        <v>0</v>
      </c>
      <c r="AU745" t="b">
        <f>AND(IF(metadata!J745="",FALSE,TRUE),OR(EXACT(metadata!J745,"Animal"),EXACT(metadata!J745,"Fungus"),EXACT(metadata!J745,"Plant"),EXACT(metadata!J745,"Saline"),EXACT(metadata!J745,"Non-saline")))</f>
        <v>0</v>
      </c>
      <c r="AV745" t="b">
        <f>AND(IF(metadata!K745="",FALSE,TRUE),OR(EXACT(metadata!K745,"Plant secretion"),EXACT(metadata!K745,"Plant rhizosphere"),EXACT(metadata!K745,"Plant surface"),EXACT(metadata!K745,"Plant corpus"),EXACT(metadata!K745,"Fungus surface"),EXACT(metadata!K745,"Fungus corpus"),EXACT(metadata!K745,"Animal surface"),EXACT(metadata!K745,"Animal proximal gut"),EXACT(metadata!K745,"Animal corpus"),EXACT(metadata!K745,"Animal distal gut"),EXACT(metadata!K745,"Animal secretion"),EXACT(metadata!K745,"Sub-surface (non-saline)"),EXACT(metadata!K745,"Surface (non-saline)"),EXACT(metadata!K745,"Water (non-saline)"),EXACT(metadata!K745,"Soil (non-saline)"),EXACT(metadata!K745,"Aerosol (non-saline)"),EXACT(metadata!K745,"Sediment (non-saline)"),EXACT(metadata!K745,"Surface (saline)"),EXACT(metadata!K745,"Water (saline)"),EXACT(metadata!K745,"Hypersaline (saline)"),EXACT(metadata!K745,"Aerosol (saline)"),EXACT(metadata!K745,"Sediment (saline)")))</f>
        <v>0</v>
      </c>
      <c r="AW745" t="b">
        <f>IF(metadata!L745="",FALSE,TRUE)</f>
        <v>0</v>
      </c>
      <c r="AX745" t="b">
        <f>IF(metadata!M745="",FALSE,TRUE)</f>
        <v>0</v>
      </c>
      <c r="AY745" t="b">
        <f>IF(metadata!N745="",FALSE,TRUE)</f>
        <v>0</v>
      </c>
      <c r="AZ745" t="b">
        <f>OR(AND(IF(metadata!O745="",FALSE,TRUE),OR(EXACT(metadata!O745,"missing: not collected"),EXACT(metadata!O745,"missing: not provided"),EXACT(metadata!O745,"missing: restricted access"))),AND(IF(metadata!O745="",FALSE,TRUE),OR(EXACT(metadata!O745,"air"),EXACT(metadata!O745,"built environment"),EXACT(metadata!O745,"host-associated"),EXACT(metadata!O745,"human-associated"),EXACT(metadata!O745,"human-skin"),EXACT(metadata!O745,"human-oral"),EXACT(metadata!O745,"human-gut"),EXACT(metadata!O745,"human-vaginal"),EXACT(metadata!O745,"microbial mat/biofilm"),EXACT(metadata!O745,"misc environment"),EXACT(metadata!O745,"plant-associated"),EXACT(metadata!O745,"sediment"),EXACT(metadata!O745,"soil"),EXACT(metadata!O745,"wastewater/sludge"),EXACT(metadata!O745,"water"))))</f>
        <v>0</v>
      </c>
      <c r="BA745" t="b">
        <f>IF(metadata!P745="",FALSE,TRUE)</f>
        <v>0</v>
      </c>
      <c r="BB745" t="b">
        <f>IF(metadata!Q745="",FALSE,TRUE)</f>
        <v>0</v>
      </c>
      <c r="BC745" t="b">
        <f>OR(AND(IF(metadata!R745="",FALSE,TRUE),OR(EXACT(metadata!R745,"missing: not collected"),EXACT(metadata!R745,"missing: not provided"),EXACT(metadata!R745,"missing: restricted access"))),AND(IF(metadata!R745="",FALSE,ISNUMBER(VALUE(metadata!R745))),metadata!R745&gt;=-90,metadata!R745&lt;=90))</f>
        <v>0</v>
      </c>
      <c r="BD745" t="b">
        <f>AND(IF(metadata!S745="",FALSE,TRUE),EXACT(metadata!S745,"Decimal degrees"))</f>
        <v>0</v>
      </c>
      <c r="BE745" t="b">
        <f>OR(AND(IF(metadata!T745="",FALSE,TRUE),OR(EXACT(metadata!T745,"missing: not collected"),EXACT(metadata!T745,"missing: not provided"),EXACT(metadata!T745,"missing: restricted access"))),AND(IF(metadata!T745="",FALSE,ISNUMBER(VALUE(metadata!T745))),metadata!T745&gt;=-180,metadata!T745&lt;=180))</f>
        <v>0</v>
      </c>
      <c r="BF745" t="b">
        <f>AND(IF(metadata!U745="",FALSE,TRUE),EXACT(metadata!U745,"Decimal degrees"))</f>
        <v>0</v>
      </c>
      <c r="BG745" t="b">
        <f>IF(metadata!V745="",FALSE,TRUE)</f>
        <v>0</v>
      </c>
      <c r="BH745" t="b">
        <f>OR(AND(IF(metadata!W745="",FALSE,TRUE),OR(EXACT(metadata!W745,"missing: not collected"),EXACT(metadata!W745,"missing: not provided"),EXACT(metadata!W745,"missing: restricted access"))),AND(IF(metadata!W745="",FALSE,TRUE),OR(EXACT(metadata!W745,"TRUE"),EXACT(metadata!W745,"FALSE"))))</f>
        <v>0</v>
      </c>
      <c r="BI745" t="b">
        <f>AND(IF(metadata!X745="",FALSE,TRUE),EXACT(metadata!X745,"other"))</f>
        <v>0</v>
      </c>
      <c r="BJ745" t="b">
        <f>IF(metadata!Y745="",FALSE,TRUE)</f>
        <v>0</v>
      </c>
      <c r="BK745" t="b">
        <f>OR(AND(IF(metadata!Z745="",FALSE,TRUE),OR(EXACT(metadata!Z745,"missing: not collected"),EXACT(metadata!Z745,"missing: not provided"))),AND(IF(metadata!Z745="",FALSE,IF(ISERROR(INT(metadata!Z745)),FALSE,INT(metadata!Z745)=metadata!Z745)),metadata!Z745&gt;0))</f>
        <v>0</v>
      </c>
      <c r="BL745" t="b">
        <f>AND(IF(metadata!AA745="",FALSE,TRUE),EXACT(metadata!AA745,"Not applicable"))</f>
        <v>0</v>
      </c>
      <c r="BM745" t="b">
        <f>IF(metadata!AB745="",FALSE,TRUE)</f>
        <v>0</v>
      </c>
    </row>
    <row r="746" spans="1:65" x14ac:dyDescent="0.2">
      <c r="A746" s="5" t="str">
        <f ca="1">IF(B746=" "," ",HYPERLINK(CONCATENATE("#metadata!",ADDRESS(INDEX($AH$2:$AH$1001,MATCH(ROWS($AF$2:AF746),$AF$2:$AF$1001,0),0),1)),INDEX($AK$2:$AK$1001,MATCH(ROWS($AF$2:AF746),$AF$2:$AF$1001,0),0)))</f>
        <v xml:space="preserve"> </v>
      </c>
      <c r="B746" s="4" t="str">
        <f ca="1">IF(OR(INDEX($AG$2:$AG$1001,MATCH(ROWS($AF$2:AF746),$AF$2:$AF$1001,0),1)&gt;=100000,INDEX($AM$1005:$BM$1005,1,MATCH(COLUMNS($AM$1006:AM1006),$AM$1006:$BM$1006,0))&gt;=100000), " ",IF(INDEX($AM$2:$BM$1001,MATCH(ROWS($AF$2:AF746),$AF$2:$AF$1001,0),MATCH(COLUMNS($AM$1006:AM1006),$AM$1006:$BM$1006,0)), HYPERLINK("#",""), HYPERLINK(CONCATENATE("#metadata!", ADDRESS(INDEX($AH$2:$AH$1001,MATCH(ROWS($AF$2:AF746),$AF$2:$AF$1001,0),0), INDEX($AM$1004:$BM$1004,1,MATCH(COLUMNS($AM$1006:AM1006),$AM$1006:$BM$1006,0)))),"Fix")))</f>
        <v xml:space="preserve"> </v>
      </c>
      <c r="C746" s="4" t="str">
        <f ca="1">IF(OR(INDEX($AG$2:$AG$1001,MATCH(ROWS($AF$2:AF746),$AF$2:$AF$1001,0),1)&gt;=100000,INDEX($AM$1005:$BM$1005,1,MATCH(COLUMNS($AM$1006:AN1006),$AM$1006:$BM$1006,0))&gt;=100000), " ",IF(INDEX($AM$2:$BM$1001,MATCH(ROWS($AF$2:AF746),$AF$2:$AF$1001,0),MATCH(COLUMNS($AM$1006:AN1006),$AM$1006:$BM$1006,0)), HYPERLINK("#",""), HYPERLINK(CONCATENATE("#metadata!", ADDRESS(INDEX($AH$2:$AH$1001,MATCH(ROWS($AF$2:AF746),$AF$2:$AF$1001,0),0), INDEX($AM$1004:$BM$1004,1,MATCH(COLUMNS($AM$1006:AN1006),$AM$1006:$BM$1006,0)))),"Fix")))</f>
        <v xml:space="preserve"> </v>
      </c>
      <c r="D746" s="4" t="str">
        <f ca="1">IF(OR(INDEX($AG$2:$AG$1001,MATCH(ROWS($AF$2:AF746),$AF$2:$AF$1001,0),1)&gt;=100000,INDEX($AM$1005:$BM$1005,1,MATCH(COLUMNS($AM$1006:AO1006),$AM$1006:$BM$1006,0))&gt;=100000), " ",IF(INDEX($AM$2:$BM$1001,MATCH(ROWS($AF$2:AF746),$AF$2:$AF$1001,0),MATCH(COLUMNS($AM$1006:AO1006),$AM$1006:$BM$1006,0)), HYPERLINK("#",""), HYPERLINK(CONCATENATE("#metadata!", ADDRESS(INDEX($AH$2:$AH$1001,MATCH(ROWS($AF$2:AF746),$AF$2:$AF$1001,0),0), INDEX($AM$1004:$BM$1004,1,MATCH(COLUMNS($AM$1006:AO1006),$AM$1006:$BM$1006,0)))),"Fix")))</f>
        <v xml:space="preserve"> </v>
      </c>
      <c r="E746" s="4" t="str">
        <f ca="1">IF(OR(INDEX($AG$2:$AG$1001,MATCH(ROWS($AF$2:AF746),$AF$2:$AF$1001,0),1)&gt;=100000,INDEX($AM$1005:$BM$1005,1,MATCH(COLUMNS($AM$1006:AP1006),$AM$1006:$BM$1006,0))&gt;=100000), " ",IF(INDEX($AM$2:$BM$1001,MATCH(ROWS($AF$2:AF746),$AF$2:$AF$1001,0),MATCH(COLUMNS($AM$1006:AP1006),$AM$1006:$BM$1006,0)), HYPERLINK("#",""), HYPERLINK(CONCATENATE("#metadata!", ADDRESS(INDEX($AH$2:$AH$1001,MATCH(ROWS($AF$2:AF746),$AF$2:$AF$1001,0),0), INDEX($AM$1004:$BM$1004,1,MATCH(COLUMNS($AM$1006:AP1006),$AM$1006:$BM$1006,0)))),"Fix")))</f>
        <v xml:space="preserve"> </v>
      </c>
      <c r="F746" s="4" t="str">
        <f ca="1">IF(OR(INDEX($AG$2:$AG$1001,MATCH(ROWS($AF$2:AF746),$AF$2:$AF$1001,0),1)&gt;=100000,INDEX($AM$1005:$BM$1005,1,MATCH(COLUMNS($AM$1006:AQ1006),$AM$1006:$BM$1006,0))&gt;=100000), " ",IF(INDEX($AM$2:$BM$1001,MATCH(ROWS($AF$2:AF746),$AF$2:$AF$1001,0),MATCH(COLUMNS($AM$1006:AQ1006),$AM$1006:$BM$1006,0)), HYPERLINK("#",""), HYPERLINK(CONCATENATE("#metadata!", ADDRESS(INDEX($AH$2:$AH$1001,MATCH(ROWS($AF$2:AF746),$AF$2:$AF$1001,0),0), INDEX($AM$1004:$BM$1004,1,MATCH(COLUMNS($AM$1006:AQ1006),$AM$1006:$BM$1006,0)))),"Fix")))</f>
        <v xml:space="preserve"> </v>
      </c>
      <c r="G746" s="4" t="str">
        <f ca="1">IF(OR(INDEX($AG$2:$AG$1001,MATCH(ROWS($AF$2:AF746),$AF$2:$AF$1001,0),1)&gt;=100000,INDEX($AM$1005:$BM$1005,1,MATCH(COLUMNS($AM$1006:AR1006),$AM$1006:$BM$1006,0))&gt;=100000), " ",IF(INDEX($AM$2:$BM$1001,MATCH(ROWS($AF$2:AF746),$AF$2:$AF$1001,0),MATCH(COLUMNS($AM$1006:AR1006),$AM$1006:$BM$1006,0)), HYPERLINK("#",""), HYPERLINK(CONCATENATE("#metadata!", ADDRESS(INDEX($AH$2:$AH$1001,MATCH(ROWS($AF$2:AF746),$AF$2:$AF$1001,0),0), INDEX($AM$1004:$BM$1004,1,MATCH(COLUMNS($AM$1006:AR1006),$AM$1006:$BM$1006,0)))),"Fix")))</f>
        <v xml:space="preserve"> </v>
      </c>
      <c r="H746" s="4" t="str">
        <f ca="1">IF(OR(INDEX($AG$2:$AG$1001,MATCH(ROWS($AF$2:AF746),$AF$2:$AF$1001,0),1)&gt;=100000,INDEX($AM$1005:$BM$1005,1,MATCH(COLUMNS($AM$1006:AS1006),$AM$1006:$BM$1006,0))&gt;=100000), " ",IF(INDEX($AM$2:$BM$1001,MATCH(ROWS($AF$2:AF746),$AF$2:$AF$1001,0),MATCH(COLUMNS($AM$1006:AS1006),$AM$1006:$BM$1006,0)), HYPERLINK("#",""), HYPERLINK(CONCATENATE("#metadata!", ADDRESS(INDEX($AH$2:$AH$1001,MATCH(ROWS($AF$2:AF746),$AF$2:$AF$1001,0),0), INDEX($AM$1004:$BM$1004,1,MATCH(COLUMNS($AM$1006:AS1006),$AM$1006:$BM$1006,0)))),"Fix")))</f>
        <v xml:space="preserve"> </v>
      </c>
      <c r="I746" s="4" t="str">
        <f ca="1">IF(OR(INDEX($AG$2:$AG$1001,MATCH(ROWS($AF$2:AF746),$AF$2:$AF$1001,0),1)&gt;=100000,INDEX($AM$1005:$BM$1005,1,MATCH(COLUMNS($AM$1006:AT1006),$AM$1006:$BM$1006,0))&gt;=100000), " ",IF(INDEX($AM$2:$BM$1001,MATCH(ROWS($AF$2:AF746),$AF$2:$AF$1001,0),MATCH(COLUMNS($AM$1006:AT1006),$AM$1006:$BM$1006,0)), HYPERLINK("#",""), HYPERLINK(CONCATENATE("#metadata!", ADDRESS(INDEX($AH$2:$AH$1001,MATCH(ROWS($AF$2:AF746),$AF$2:$AF$1001,0),0), INDEX($AM$1004:$BM$1004,1,MATCH(COLUMNS($AM$1006:AT1006),$AM$1006:$BM$1006,0)))),"Fix")))</f>
        <v xml:space="preserve"> </v>
      </c>
      <c r="J746" s="4" t="str">
        <f ca="1">IF(OR(INDEX($AG$2:$AG$1001,MATCH(ROWS($AF$2:AF746),$AF$2:$AF$1001,0),1)&gt;=100000,INDEX($AM$1005:$BM$1005,1,MATCH(COLUMNS($AM$1006:AU1006),$AM$1006:$BM$1006,0))&gt;=100000), " ",IF(INDEX($AM$2:$BM$1001,MATCH(ROWS($AF$2:AF746),$AF$2:$AF$1001,0),MATCH(COLUMNS($AM$1006:AU1006),$AM$1006:$BM$1006,0)), HYPERLINK("#",""), HYPERLINK(CONCATENATE("#metadata!", ADDRESS(INDEX($AH$2:$AH$1001,MATCH(ROWS($AF$2:AF746),$AF$2:$AF$1001,0),0), INDEX($AM$1004:$BM$1004,1,MATCH(COLUMNS($AM$1006:AU1006),$AM$1006:$BM$1006,0)))),"Fix")))</f>
        <v xml:space="preserve"> </v>
      </c>
      <c r="K746" s="4" t="str">
        <f ca="1">IF(OR(INDEX($AG$2:$AG$1001,MATCH(ROWS($AF$2:AF746),$AF$2:$AF$1001,0),1)&gt;=100000,INDEX($AM$1005:$BM$1005,1,MATCH(COLUMNS($AM$1006:AV1006),$AM$1006:$BM$1006,0))&gt;=100000), " ",IF(INDEX($AM$2:$BM$1001,MATCH(ROWS($AF$2:AF746),$AF$2:$AF$1001,0),MATCH(COLUMNS($AM$1006:AV1006),$AM$1006:$BM$1006,0)), HYPERLINK("#",""), HYPERLINK(CONCATENATE("#metadata!", ADDRESS(INDEX($AH$2:$AH$1001,MATCH(ROWS($AF$2:AF746),$AF$2:$AF$1001,0),0), INDEX($AM$1004:$BM$1004,1,MATCH(COLUMNS($AM$1006:AV1006),$AM$1006:$BM$1006,0)))),"Fix")))</f>
        <v xml:space="preserve"> </v>
      </c>
      <c r="L746" s="4" t="str">
        <f ca="1">IF(OR(INDEX($AG$2:$AG$1001,MATCH(ROWS($AF$2:AF746),$AF$2:$AF$1001,0),1)&gt;=100000,INDEX($AM$1005:$BM$1005,1,MATCH(COLUMNS($AM$1006:AW1006),$AM$1006:$BM$1006,0))&gt;=100000), " ",IF(INDEX($AM$2:$BM$1001,MATCH(ROWS($AF$2:AF746),$AF$2:$AF$1001,0),MATCH(COLUMNS($AM$1006:AW1006),$AM$1006:$BM$1006,0)), HYPERLINK("#",""), HYPERLINK(CONCATENATE("#metadata!", ADDRESS(INDEX($AH$2:$AH$1001,MATCH(ROWS($AF$2:AF746),$AF$2:$AF$1001,0),0), INDEX($AM$1004:$BM$1004,1,MATCH(COLUMNS($AM$1006:AW1006),$AM$1006:$BM$1006,0)))),"Fix")))</f>
        <v xml:space="preserve"> </v>
      </c>
      <c r="M746" s="4" t="str">
        <f ca="1">IF(OR(INDEX($AG$2:$AG$1001,MATCH(ROWS($AF$2:AF746),$AF$2:$AF$1001,0),1)&gt;=100000,INDEX($AM$1005:$BM$1005,1,MATCH(COLUMNS($AM$1006:AX1006),$AM$1006:$BM$1006,0))&gt;=100000), " ",IF(INDEX($AM$2:$BM$1001,MATCH(ROWS($AF$2:AF746),$AF$2:$AF$1001,0),MATCH(COLUMNS($AM$1006:AX1006),$AM$1006:$BM$1006,0)), HYPERLINK("#",""), HYPERLINK(CONCATENATE("#metadata!", ADDRESS(INDEX($AH$2:$AH$1001,MATCH(ROWS($AF$2:AF746),$AF$2:$AF$1001,0),0), INDEX($AM$1004:$BM$1004,1,MATCH(COLUMNS($AM$1006:AX1006),$AM$1006:$BM$1006,0)))),"Fix")))</f>
        <v xml:space="preserve"> </v>
      </c>
      <c r="N746" s="4" t="str">
        <f ca="1">IF(OR(INDEX($AG$2:$AG$1001,MATCH(ROWS($AF$2:AF746),$AF$2:$AF$1001,0),1)&gt;=100000,INDEX($AM$1005:$BM$1005,1,MATCH(COLUMNS($AM$1006:AY1006),$AM$1006:$BM$1006,0))&gt;=100000), " ",IF(INDEX($AM$2:$BM$1001,MATCH(ROWS($AF$2:AF746),$AF$2:$AF$1001,0),MATCH(COLUMNS($AM$1006:AY1006),$AM$1006:$BM$1006,0)), HYPERLINK("#",""), HYPERLINK(CONCATENATE("#metadata!", ADDRESS(INDEX($AH$2:$AH$1001,MATCH(ROWS($AF$2:AF746),$AF$2:$AF$1001,0),0), INDEX($AM$1004:$BM$1004,1,MATCH(COLUMNS($AM$1006:AY1006),$AM$1006:$BM$1006,0)))),"Fix")))</f>
        <v xml:space="preserve"> </v>
      </c>
      <c r="O746" s="4" t="str">
        <f ca="1">IF(OR(INDEX($AG$2:$AG$1001,MATCH(ROWS($AF$2:AF746),$AF$2:$AF$1001,0),1)&gt;=100000,INDEX($AM$1005:$BM$1005,1,MATCH(COLUMNS($AM$1006:AZ1006),$AM$1006:$BM$1006,0))&gt;=100000), " ",IF(INDEX($AM$2:$BM$1001,MATCH(ROWS($AF$2:AF746),$AF$2:$AF$1001,0),MATCH(COLUMNS($AM$1006:AZ1006),$AM$1006:$BM$1006,0)), HYPERLINK("#",""), HYPERLINK(CONCATENATE("#metadata!", ADDRESS(INDEX($AH$2:$AH$1001,MATCH(ROWS($AF$2:AF746),$AF$2:$AF$1001,0),0), INDEX($AM$1004:$BM$1004,1,MATCH(COLUMNS($AM$1006:AZ1006),$AM$1006:$BM$1006,0)))),"Fix")))</f>
        <v xml:space="preserve"> </v>
      </c>
      <c r="P746" s="4" t="str">
        <f ca="1">IF(OR(INDEX($AG$2:$AG$1001,MATCH(ROWS($AF$2:AF746),$AF$2:$AF$1001,0),1)&gt;=100000,INDEX($AM$1005:$BM$1005,1,MATCH(COLUMNS($AM$1006:BA1006),$AM$1006:$BM$1006,0))&gt;=100000), " ",IF(INDEX($AM$2:$BM$1001,MATCH(ROWS($AF$2:AF746),$AF$2:$AF$1001,0),MATCH(COLUMNS($AM$1006:BA1006),$AM$1006:$BM$1006,0)), HYPERLINK("#",""), HYPERLINK(CONCATENATE("#metadata!", ADDRESS(INDEX($AH$2:$AH$1001,MATCH(ROWS($AF$2:AF746),$AF$2:$AF$1001,0),0), INDEX($AM$1004:$BM$1004,1,MATCH(COLUMNS($AM$1006:BA1006),$AM$1006:$BM$1006,0)))),"Fix")))</f>
        <v xml:space="preserve"> </v>
      </c>
      <c r="Q746" s="4" t="str">
        <f ca="1">IF(OR(INDEX($AG$2:$AG$1001,MATCH(ROWS($AF$2:AF746),$AF$2:$AF$1001,0),1)&gt;=100000,INDEX($AM$1005:$BM$1005,1,MATCH(COLUMNS($AM$1006:BB1006),$AM$1006:$BM$1006,0))&gt;=100000), " ",IF(INDEX($AM$2:$BM$1001,MATCH(ROWS($AF$2:AF746),$AF$2:$AF$1001,0),MATCH(COLUMNS($AM$1006:BB1006),$AM$1006:$BM$1006,0)), HYPERLINK("#",""), HYPERLINK(CONCATENATE("#metadata!", ADDRESS(INDEX($AH$2:$AH$1001,MATCH(ROWS($AF$2:AF746),$AF$2:$AF$1001,0),0), INDEX($AM$1004:$BM$1004,1,MATCH(COLUMNS($AM$1006:BB1006),$AM$1006:$BM$1006,0)))),"Fix")))</f>
        <v xml:space="preserve"> </v>
      </c>
      <c r="R746" s="4" t="str">
        <f ca="1">IF(OR(INDEX($AG$2:$AG$1001,MATCH(ROWS($AF$2:AF746),$AF$2:$AF$1001,0),1)&gt;=100000,INDEX($AM$1005:$BM$1005,1,MATCH(COLUMNS($AM$1006:BC1006),$AM$1006:$BM$1006,0))&gt;=100000), " ",IF(INDEX($AM$2:$BM$1001,MATCH(ROWS($AF$2:AF746),$AF$2:$AF$1001,0),MATCH(COLUMNS($AM$1006:BC1006),$AM$1006:$BM$1006,0)), HYPERLINK("#",""), HYPERLINK(CONCATENATE("#metadata!", ADDRESS(INDEX($AH$2:$AH$1001,MATCH(ROWS($AF$2:AF746),$AF$2:$AF$1001,0),0), INDEX($AM$1004:$BM$1004,1,MATCH(COLUMNS($AM$1006:BC1006),$AM$1006:$BM$1006,0)))),"Fix")))</f>
        <v xml:space="preserve"> </v>
      </c>
      <c r="S746" s="4" t="str">
        <f ca="1">IF(OR(INDEX($AG$2:$AG$1001,MATCH(ROWS($AF$2:AF746),$AF$2:$AF$1001,0),1)&gt;=100000,INDEX($AM$1005:$BM$1005,1,MATCH(COLUMNS($AM$1006:BD1006),$AM$1006:$BM$1006,0))&gt;=100000), " ",IF(INDEX($AM$2:$BM$1001,MATCH(ROWS($AF$2:AF746),$AF$2:$AF$1001,0),MATCH(COLUMNS($AM$1006:BD1006),$AM$1006:$BM$1006,0)), HYPERLINK("#",""), HYPERLINK(CONCATENATE("#metadata!", ADDRESS(INDEX($AH$2:$AH$1001,MATCH(ROWS($AF$2:AF746),$AF$2:$AF$1001,0),0), INDEX($AM$1004:$BM$1004,1,MATCH(COLUMNS($AM$1006:BD1006),$AM$1006:$BM$1006,0)))),"Fix")))</f>
        <v xml:space="preserve"> </v>
      </c>
      <c r="T746" s="4" t="str">
        <f ca="1">IF(OR(INDEX($AG$2:$AG$1001,MATCH(ROWS($AF$2:AF746),$AF$2:$AF$1001,0),1)&gt;=100000,INDEX($AM$1005:$BM$1005,1,MATCH(COLUMNS($AM$1006:BE1006),$AM$1006:$BM$1006,0))&gt;=100000), " ",IF(INDEX($AM$2:$BM$1001,MATCH(ROWS($AF$2:AF746),$AF$2:$AF$1001,0),MATCH(COLUMNS($AM$1006:BE1006),$AM$1006:$BM$1006,0)), HYPERLINK("#",""), HYPERLINK(CONCATENATE("#metadata!", ADDRESS(INDEX($AH$2:$AH$1001,MATCH(ROWS($AF$2:AF746),$AF$2:$AF$1001,0),0), INDEX($AM$1004:$BM$1004,1,MATCH(COLUMNS($AM$1006:BE1006),$AM$1006:$BM$1006,0)))),"Fix")))</f>
        <v xml:space="preserve"> </v>
      </c>
      <c r="U746" s="4" t="str">
        <f ca="1">IF(OR(INDEX($AG$2:$AG$1001,MATCH(ROWS($AF$2:AF746),$AF$2:$AF$1001,0),1)&gt;=100000,INDEX($AM$1005:$BM$1005,1,MATCH(COLUMNS($AM$1006:BF1006),$AM$1006:$BM$1006,0))&gt;=100000), " ",IF(INDEX($AM$2:$BM$1001,MATCH(ROWS($AF$2:AF746),$AF$2:$AF$1001,0),MATCH(COLUMNS($AM$1006:BF1006),$AM$1006:$BM$1006,0)), HYPERLINK("#",""), HYPERLINK(CONCATENATE("#metadata!", ADDRESS(INDEX($AH$2:$AH$1001,MATCH(ROWS($AF$2:AF746),$AF$2:$AF$1001,0),0), INDEX($AM$1004:$BM$1004,1,MATCH(COLUMNS($AM$1006:BF1006),$AM$1006:$BM$1006,0)))),"Fix")))</f>
        <v xml:space="preserve"> </v>
      </c>
      <c r="V746" s="4" t="str">
        <f ca="1">IF(OR(INDEX($AG$2:$AG$1001,MATCH(ROWS($AF$2:AF746),$AF$2:$AF$1001,0),1)&gt;=100000,INDEX($AM$1005:$BM$1005,1,MATCH(COLUMNS($AM$1006:BG1006),$AM$1006:$BM$1006,0))&gt;=100000), " ",IF(INDEX($AM$2:$BM$1001,MATCH(ROWS($AF$2:AF746),$AF$2:$AF$1001,0),MATCH(COLUMNS($AM$1006:BG1006),$AM$1006:$BM$1006,0)), HYPERLINK("#",""), HYPERLINK(CONCATENATE("#metadata!", ADDRESS(INDEX($AH$2:$AH$1001,MATCH(ROWS($AF$2:AF746),$AF$2:$AF$1001,0),0), INDEX($AM$1004:$BM$1004,1,MATCH(COLUMNS($AM$1006:BG1006),$AM$1006:$BM$1006,0)))),"Fix")))</f>
        <v xml:space="preserve"> </v>
      </c>
      <c r="W746" s="4" t="str">
        <f ca="1">IF(OR(INDEX($AG$2:$AG$1001,MATCH(ROWS($AF$2:AF746),$AF$2:$AF$1001,0),1)&gt;=100000,INDEX($AM$1005:$BM$1005,1,MATCH(COLUMNS($AM$1006:BH1006),$AM$1006:$BM$1006,0))&gt;=100000), " ",IF(INDEX($AM$2:$BM$1001,MATCH(ROWS($AF$2:AF746),$AF$2:$AF$1001,0),MATCH(COLUMNS($AM$1006:BH1006),$AM$1006:$BM$1006,0)), HYPERLINK("#",""), HYPERLINK(CONCATENATE("#metadata!", ADDRESS(INDEX($AH$2:$AH$1001,MATCH(ROWS($AF$2:AF746),$AF$2:$AF$1001,0),0), INDEX($AM$1004:$BM$1004,1,MATCH(COLUMNS($AM$1006:BH1006),$AM$1006:$BM$1006,0)))),"Fix")))</f>
        <v xml:space="preserve"> </v>
      </c>
      <c r="X746" s="4" t="str">
        <f ca="1">IF(OR(INDEX($AG$2:$AG$1001,MATCH(ROWS($AF$2:AF746),$AF$2:$AF$1001,0),1)&gt;=100000,INDEX($AM$1005:$BM$1005,1,MATCH(COLUMNS($AM$1006:BI1006),$AM$1006:$BM$1006,0))&gt;=100000), " ",IF(INDEX($AM$2:$BM$1001,MATCH(ROWS($AF$2:AF746),$AF$2:$AF$1001,0),MATCH(COLUMNS($AM$1006:BI1006),$AM$1006:$BM$1006,0)), HYPERLINK("#",""), HYPERLINK(CONCATENATE("#metadata!", ADDRESS(INDEX($AH$2:$AH$1001,MATCH(ROWS($AF$2:AF746),$AF$2:$AF$1001,0),0), INDEX($AM$1004:$BM$1004,1,MATCH(COLUMNS($AM$1006:BI1006),$AM$1006:$BM$1006,0)))),"Fix")))</f>
        <v xml:space="preserve"> </v>
      </c>
      <c r="Y746" s="4" t="str">
        <f ca="1">IF(OR(INDEX($AG$2:$AG$1001,MATCH(ROWS($AF$2:AF746),$AF$2:$AF$1001,0),1)&gt;=100000,INDEX($AM$1005:$BM$1005,1,MATCH(COLUMNS($AM$1006:BJ1006),$AM$1006:$BM$1006,0))&gt;=100000), " ",IF(INDEX($AM$2:$BM$1001,MATCH(ROWS($AF$2:AF746),$AF$2:$AF$1001,0),MATCH(COLUMNS($AM$1006:BJ1006),$AM$1006:$BM$1006,0)), HYPERLINK("#",""), HYPERLINK(CONCATENATE("#metadata!", ADDRESS(INDEX($AH$2:$AH$1001,MATCH(ROWS($AF$2:AF746),$AF$2:$AF$1001,0),0), INDEX($AM$1004:$BM$1004,1,MATCH(COLUMNS($AM$1006:BJ1006),$AM$1006:$BM$1006,0)))),"Fix")))</f>
        <v xml:space="preserve"> </v>
      </c>
      <c r="Z746" s="4" t="str">
        <f ca="1">IF(OR(INDEX($AG$2:$AG$1001,MATCH(ROWS($AF$2:AF746),$AF$2:$AF$1001,0),1)&gt;=100000,INDEX($AM$1005:$BM$1005,1,MATCH(COLUMNS($AM$1006:BK1006),$AM$1006:$BM$1006,0))&gt;=100000), " ",IF(INDEX($AM$2:$BM$1001,MATCH(ROWS($AF$2:AF746),$AF$2:$AF$1001,0),MATCH(COLUMNS($AM$1006:BK1006),$AM$1006:$BM$1006,0)), HYPERLINK("#",""), HYPERLINK(CONCATENATE("#metadata!", ADDRESS(INDEX($AH$2:$AH$1001,MATCH(ROWS($AF$2:AF746),$AF$2:$AF$1001,0),0), INDEX($AM$1004:$BM$1004,1,MATCH(COLUMNS($AM$1006:BK1006),$AM$1006:$BM$1006,0)))),"Fix")))</f>
        <v xml:space="preserve"> </v>
      </c>
      <c r="AA746" s="4" t="str">
        <f ca="1">IF(OR(INDEX($AG$2:$AG$1001,MATCH(ROWS($AF$2:AF746),$AF$2:$AF$1001,0),1)&gt;=100000,INDEX($AM$1005:$BM$1005,1,MATCH(COLUMNS($AM$1006:BL1006),$AM$1006:$BM$1006,0))&gt;=100000), " ",IF(INDEX($AM$2:$BM$1001,MATCH(ROWS($AF$2:AF746),$AF$2:$AF$1001,0),MATCH(COLUMNS($AM$1006:BL1006),$AM$1006:$BM$1006,0)), HYPERLINK("#",""), HYPERLINK(CONCATENATE("#metadata!", ADDRESS(INDEX($AH$2:$AH$1001,MATCH(ROWS($AF$2:AF746),$AF$2:$AF$1001,0),0), INDEX($AM$1004:$BM$1004,1,MATCH(COLUMNS($AM$1006:BL1006),$AM$1006:$BM$1006,0)))),"Fix")))</f>
        <v xml:space="preserve"> </v>
      </c>
      <c r="AB746" s="4" t="str">
        <f ca="1">IF(OR(INDEX($AG$2:$AG$1001,MATCH(ROWS($AF$2:AF746),$AF$2:$AF$1001,0),1)&gt;=100000,INDEX($AM$1005:$BM$1005,1,MATCH(COLUMNS($AM$1006:BM1006),$AM$1006:$BM$1006,0))&gt;=100000), " ",IF(INDEX($AM$2:$BM$1001,MATCH(ROWS($AF$2:AF746),$AF$2:$AF$1001,0),MATCH(COLUMNS($AM$1006:BM1006),$AM$1006:$BM$1006,0)), HYPERLINK("#",""), HYPERLINK(CONCATENATE("#metadata!", ADDRESS(INDEX($AH$2:$AH$1001,MATCH(ROWS($AF$2:AF746),$AF$2:$AF$1001,0),0), INDEX($AM$1004:$BM$1004,1,MATCH(COLUMNS($AM$1006:BM1006),$AM$1006:$BM$1006,0)))),"Fix")))</f>
        <v xml:space="preserve"> </v>
      </c>
      <c r="AF746">
        <v>745</v>
      </c>
      <c r="AG746">
        <v>100746</v>
      </c>
      <c r="AH746">
        <v>746</v>
      </c>
      <c r="AI746" t="b">
        <f t="shared" si="11"/>
        <v>1</v>
      </c>
      <c r="AJ746" t="b">
        <f>COUNTBLANK(metadata!B746:AB746)=COLUMNS(metadata!B746:AB746)</f>
        <v>1</v>
      </c>
      <c r="AK746" t="str">
        <v/>
      </c>
      <c r="AM746" t="b">
        <f ca="1">AND(IF(metadata!B746="",FALSE,TRUE),COUNTIF(metadata!B:B, metadata!B746) = 1,NOT(ISERROR(SUMPRODUCT(SEARCH(MID(metadata!B746,ROW(INDIRECT("1:"&amp;LEN(metadata!B746))), 1),"0123456789abcdefghijklmnopqrstuvwxyzABCDEFGHIJKLMNOPQRSTUVWXYZ.")))))</f>
        <v>0</v>
      </c>
      <c r="AN746" t="b">
        <f ca="1">OR(AND(IF(metadata!C746="",FALSE,TRUE),OR(EXACT(metadata!C746,"missing: not collected"),EXACT(metadata!C746,"missing: not provided"),EXACT(metadata!C746,"missing: restricted access"))),AND(IF(metadata!C746="",FALSE,TRUE),AND(AND(IFERROR(INT(LEFT(metadata!C746,4))&gt;1900,FALSE),IFERROR(INT(LEFT(metadata!C746,4))&lt;=YEAR(NOW()),FALSE)), OR(MID(metadata!C746,5,1)="", AND(AND(MID(metadata!C746,5,1)="-",IFERROR(INT(MID(metadata!C746,6,1))&gt;=0,FALSE),IFERROR(INT(MID(metadata!C746,6,1))&lt;=1,FALSE),NOT(MID(metadata!C746,7,1)=""),IFERROR(INT(MID(metadata!C746,6,2))&gt;=1,FALSE),IFERROR(INT(MID(metadata!C746,6,2))&lt;=12,FALSE)), OR(MID(metadata!C746,8,1)="", AND(AND(MID(metadata!C746,8,1)="-",IFERROR(INT(MID(metadata!C746,9,1))&gt;=0,FALSE),IFERROR(INT(MID(metadata!C746,9,1))&lt;=3,FALSE),NOT(MID(metadata!C746,10,1)=""),IFERROR(INT(MID(metadata!C746,9,2))&gt;=1,FALSE),IFERROR(INT(MID(metadata!C746,9,2))&lt;=31,FALSE)), OR(MID(metadata!C746,11,1)="", AND(AND(MID(metadata!C746,11,1)=" ",IFERROR(INT(MID(metadata!C746,12,1))&gt;=0,FALSE),IFERROR(INT(MID(metadata!C746,12,1))&lt;=2,FALSE),NOT(MID(metadata!C746,13,1)=""),IFERROR(INT(MID(metadata!C746,12,2))&gt;=0,FALSE),IFERROR(INT(MID(metadata!C746,12,2))&lt;=23,FALSE)), OR(MID(metadata!C746,14,1)="", AND(AND(MID(metadata!C746,14,1)=":",IFERROR(INT(MID(metadata!C746,15,1))&gt;=0,FALSE),IFERROR(INT(MID(metadata!C746,15,1))&lt;=5,FALSE),NOT(MID(metadata!C746,16,1)=""),IFERROR(INT(MID(metadata!C746,15,2))&gt;=0,FALSE),IFERROR(INT(MID(metadata!C746,15,2))&lt;=59,FALSE)), OR(MID(metadata!C746,17,1)="", AND(AND(MID(metadata!C746,17,1)=":",IFERROR(INT(MID(metadata!C746,18,1))&gt;=0,FALSE),IFERROR(INT(MID(metadata!C746,18,1))&lt;=5,FALSE),NOT(MID(metadata!C746,19,1)=""),IFERROR(INT(MID(metadata!C746,18,2))&gt;=0,FALSE),IFERROR(INT(MID(metadata!C746,18,2))&lt;=59,FALSE)), LEN(metadata!C746)&lt;=19)))))))))))))</f>
        <v>0</v>
      </c>
      <c r="AO746" t="b">
        <f>AND(IF(metadata!D746="",FALSE,TRUE),EXACT(metadata!D746,"Not applicable"))</f>
        <v>0</v>
      </c>
      <c r="AP746" t="b">
        <f>IF(metadata!E746="",FALSE,TRUE)</f>
        <v>0</v>
      </c>
      <c r="AQ746" t="b">
        <f>OR(AND(IF(metadata!F746="",FALSE,TRUE),OR(EXACT(metadata!F746,"missing: not collected"),EXACT(metadata!F746,"missing: not provided"))),AND(IF(metadata!F746="",FALSE,TRUE),OR(EXACT(metadata!F746,"TRUE"),EXACT(metadata!F746,"FALSE"))))</f>
        <v>0</v>
      </c>
      <c r="AR746" t="b">
        <f>OR(AND(IF(metadata!G746="",FALSE,TRUE),OR(EXACT(metadata!G746,"missing: not collected"),EXACT(metadata!G746,"missing: not provided"),EXACT(metadata!G746,"missing: restricted access"))),AND(IF(metadata!G746="",FALSE,ISNUMBER(VALUE(metadata!G746))),metadata!G746&gt;=-413))</f>
        <v>0</v>
      </c>
      <c r="AS746" t="b">
        <f>AND(IF(metadata!H746="",FALSE,TRUE),EXACT(metadata!H746,"meters"))</f>
        <v>0</v>
      </c>
      <c r="AT746" t="b">
        <f>AND(IF(metadata!I746="",FALSE,TRUE),OR(EXACT(metadata!I746,"Host-associated"),EXACT(metadata!I746,"Free-living")))</f>
        <v>0</v>
      </c>
      <c r="AU746" t="b">
        <f>AND(IF(metadata!J746="",FALSE,TRUE),OR(EXACT(metadata!J746,"Animal"),EXACT(metadata!J746,"Fungus"),EXACT(metadata!J746,"Plant"),EXACT(metadata!J746,"Saline"),EXACT(metadata!J746,"Non-saline")))</f>
        <v>0</v>
      </c>
      <c r="AV746" t="b">
        <f>AND(IF(metadata!K746="",FALSE,TRUE),OR(EXACT(metadata!K746,"Plant secretion"),EXACT(metadata!K746,"Plant rhizosphere"),EXACT(metadata!K746,"Plant surface"),EXACT(metadata!K746,"Plant corpus"),EXACT(metadata!K746,"Fungus surface"),EXACT(metadata!K746,"Fungus corpus"),EXACT(metadata!K746,"Animal surface"),EXACT(metadata!K746,"Animal proximal gut"),EXACT(metadata!K746,"Animal corpus"),EXACT(metadata!K746,"Animal distal gut"),EXACT(metadata!K746,"Animal secretion"),EXACT(metadata!K746,"Sub-surface (non-saline)"),EXACT(metadata!K746,"Surface (non-saline)"),EXACT(metadata!K746,"Water (non-saline)"),EXACT(metadata!K746,"Soil (non-saline)"),EXACT(metadata!K746,"Aerosol (non-saline)"),EXACT(metadata!K746,"Sediment (non-saline)"),EXACT(metadata!K746,"Surface (saline)"),EXACT(metadata!K746,"Water (saline)"),EXACT(metadata!K746,"Hypersaline (saline)"),EXACT(metadata!K746,"Aerosol (saline)"),EXACT(metadata!K746,"Sediment (saline)")))</f>
        <v>0</v>
      </c>
      <c r="AW746" t="b">
        <f>IF(metadata!L746="",FALSE,TRUE)</f>
        <v>0</v>
      </c>
      <c r="AX746" t="b">
        <f>IF(metadata!M746="",FALSE,TRUE)</f>
        <v>0</v>
      </c>
      <c r="AY746" t="b">
        <f>IF(metadata!N746="",FALSE,TRUE)</f>
        <v>0</v>
      </c>
      <c r="AZ746" t="b">
        <f>OR(AND(IF(metadata!O746="",FALSE,TRUE),OR(EXACT(metadata!O746,"missing: not collected"),EXACT(metadata!O746,"missing: not provided"),EXACT(metadata!O746,"missing: restricted access"))),AND(IF(metadata!O746="",FALSE,TRUE),OR(EXACT(metadata!O746,"air"),EXACT(metadata!O746,"built environment"),EXACT(metadata!O746,"host-associated"),EXACT(metadata!O746,"human-associated"),EXACT(metadata!O746,"human-skin"),EXACT(metadata!O746,"human-oral"),EXACT(metadata!O746,"human-gut"),EXACT(metadata!O746,"human-vaginal"),EXACT(metadata!O746,"microbial mat/biofilm"),EXACT(metadata!O746,"misc environment"),EXACT(metadata!O746,"plant-associated"),EXACT(metadata!O746,"sediment"),EXACT(metadata!O746,"soil"),EXACT(metadata!O746,"wastewater/sludge"),EXACT(metadata!O746,"water"))))</f>
        <v>0</v>
      </c>
      <c r="BA746" t="b">
        <f>IF(metadata!P746="",FALSE,TRUE)</f>
        <v>0</v>
      </c>
      <c r="BB746" t="b">
        <f>IF(metadata!Q746="",FALSE,TRUE)</f>
        <v>0</v>
      </c>
      <c r="BC746" t="b">
        <f>OR(AND(IF(metadata!R746="",FALSE,TRUE),OR(EXACT(metadata!R746,"missing: not collected"),EXACT(metadata!R746,"missing: not provided"),EXACT(metadata!R746,"missing: restricted access"))),AND(IF(metadata!R746="",FALSE,ISNUMBER(VALUE(metadata!R746))),metadata!R746&gt;=-90,metadata!R746&lt;=90))</f>
        <v>0</v>
      </c>
      <c r="BD746" t="b">
        <f>AND(IF(metadata!S746="",FALSE,TRUE),EXACT(metadata!S746,"Decimal degrees"))</f>
        <v>0</v>
      </c>
      <c r="BE746" t="b">
        <f>OR(AND(IF(metadata!T746="",FALSE,TRUE),OR(EXACT(metadata!T746,"missing: not collected"),EXACT(metadata!T746,"missing: not provided"),EXACT(metadata!T746,"missing: restricted access"))),AND(IF(metadata!T746="",FALSE,ISNUMBER(VALUE(metadata!T746))),metadata!T746&gt;=-180,metadata!T746&lt;=180))</f>
        <v>0</v>
      </c>
      <c r="BF746" t="b">
        <f>AND(IF(metadata!U746="",FALSE,TRUE),EXACT(metadata!U746,"Decimal degrees"))</f>
        <v>0</v>
      </c>
      <c r="BG746" t="b">
        <f>IF(metadata!V746="",FALSE,TRUE)</f>
        <v>0</v>
      </c>
      <c r="BH746" t="b">
        <f>OR(AND(IF(metadata!W746="",FALSE,TRUE),OR(EXACT(metadata!W746,"missing: not collected"),EXACT(metadata!W746,"missing: not provided"),EXACT(metadata!W746,"missing: restricted access"))),AND(IF(metadata!W746="",FALSE,TRUE),OR(EXACT(metadata!W746,"TRUE"),EXACT(metadata!W746,"FALSE"))))</f>
        <v>0</v>
      </c>
      <c r="BI746" t="b">
        <f>AND(IF(metadata!X746="",FALSE,TRUE),EXACT(metadata!X746,"other"))</f>
        <v>0</v>
      </c>
      <c r="BJ746" t="b">
        <f>IF(metadata!Y746="",FALSE,TRUE)</f>
        <v>0</v>
      </c>
      <c r="BK746" t="b">
        <f>OR(AND(IF(metadata!Z746="",FALSE,TRUE),OR(EXACT(metadata!Z746,"missing: not collected"),EXACT(metadata!Z746,"missing: not provided"))),AND(IF(metadata!Z746="",FALSE,IF(ISERROR(INT(metadata!Z746)),FALSE,INT(metadata!Z746)=metadata!Z746)),metadata!Z746&gt;0))</f>
        <v>0</v>
      </c>
      <c r="BL746" t="b">
        <f>AND(IF(metadata!AA746="",FALSE,TRUE),EXACT(metadata!AA746,"Not applicable"))</f>
        <v>0</v>
      </c>
      <c r="BM746" t="b">
        <f>IF(metadata!AB746="",FALSE,TRUE)</f>
        <v>0</v>
      </c>
    </row>
    <row r="747" spans="1:65" x14ac:dyDescent="0.2">
      <c r="A747" s="5" t="str">
        <f ca="1">IF(B747=" "," ",HYPERLINK(CONCATENATE("#metadata!",ADDRESS(INDEX($AH$2:$AH$1001,MATCH(ROWS($AF$2:AF747),$AF$2:$AF$1001,0),0),1)),INDEX($AK$2:$AK$1001,MATCH(ROWS($AF$2:AF747),$AF$2:$AF$1001,0),0)))</f>
        <v xml:space="preserve"> </v>
      </c>
      <c r="B747" s="4" t="str">
        <f ca="1">IF(OR(INDEX($AG$2:$AG$1001,MATCH(ROWS($AF$2:AF747),$AF$2:$AF$1001,0),1)&gt;=100000,INDEX($AM$1005:$BM$1005,1,MATCH(COLUMNS($AM$1006:AM1006),$AM$1006:$BM$1006,0))&gt;=100000), " ",IF(INDEX($AM$2:$BM$1001,MATCH(ROWS($AF$2:AF747),$AF$2:$AF$1001,0),MATCH(COLUMNS($AM$1006:AM1006),$AM$1006:$BM$1006,0)), HYPERLINK("#",""), HYPERLINK(CONCATENATE("#metadata!", ADDRESS(INDEX($AH$2:$AH$1001,MATCH(ROWS($AF$2:AF747),$AF$2:$AF$1001,0),0), INDEX($AM$1004:$BM$1004,1,MATCH(COLUMNS($AM$1006:AM1006),$AM$1006:$BM$1006,0)))),"Fix")))</f>
        <v xml:space="preserve"> </v>
      </c>
      <c r="C747" s="4" t="str">
        <f ca="1">IF(OR(INDEX($AG$2:$AG$1001,MATCH(ROWS($AF$2:AF747),$AF$2:$AF$1001,0),1)&gt;=100000,INDEX($AM$1005:$BM$1005,1,MATCH(COLUMNS($AM$1006:AN1006),$AM$1006:$BM$1006,0))&gt;=100000), " ",IF(INDEX($AM$2:$BM$1001,MATCH(ROWS($AF$2:AF747),$AF$2:$AF$1001,0),MATCH(COLUMNS($AM$1006:AN1006),$AM$1006:$BM$1006,0)), HYPERLINK("#",""), HYPERLINK(CONCATENATE("#metadata!", ADDRESS(INDEX($AH$2:$AH$1001,MATCH(ROWS($AF$2:AF747),$AF$2:$AF$1001,0),0), INDEX($AM$1004:$BM$1004,1,MATCH(COLUMNS($AM$1006:AN1006),$AM$1006:$BM$1006,0)))),"Fix")))</f>
        <v xml:space="preserve"> </v>
      </c>
      <c r="D747" s="4" t="str">
        <f ca="1">IF(OR(INDEX($AG$2:$AG$1001,MATCH(ROWS($AF$2:AF747),$AF$2:$AF$1001,0),1)&gt;=100000,INDEX($AM$1005:$BM$1005,1,MATCH(COLUMNS($AM$1006:AO1006),$AM$1006:$BM$1006,0))&gt;=100000), " ",IF(INDEX($AM$2:$BM$1001,MATCH(ROWS($AF$2:AF747),$AF$2:$AF$1001,0),MATCH(COLUMNS($AM$1006:AO1006),$AM$1006:$BM$1006,0)), HYPERLINK("#",""), HYPERLINK(CONCATENATE("#metadata!", ADDRESS(INDEX($AH$2:$AH$1001,MATCH(ROWS($AF$2:AF747),$AF$2:$AF$1001,0),0), INDEX($AM$1004:$BM$1004,1,MATCH(COLUMNS($AM$1006:AO1006),$AM$1006:$BM$1006,0)))),"Fix")))</f>
        <v xml:space="preserve"> </v>
      </c>
      <c r="E747" s="4" t="str">
        <f ca="1">IF(OR(INDEX($AG$2:$AG$1001,MATCH(ROWS($AF$2:AF747),$AF$2:$AF$1001,0),1)&gt;=100000,INDEX($AM$1005:$BM$1005,1,MATCH(COLUMNS($AM$1006:AP1006),$AM$1006:$BM$1006,0))&gt;=100000), " ",IF(INDEX($AM$2:$BM$1001,MATCH(ROWS($AF$2:AF747),$AF$2:$AF$1001,0),MATCH(COLUMNS($AM$1006:AP1006),$AM$1006:$BM$1006,0)), HYPERLINK("#",""), HYPERLINK(CONCATENATE("#metadata!", ADDRESS(INDEX($AH$2:$AH$1001,MATCH(ROWS($AF$2:AF747),$AF$2:$AF$1001,0),0), INDEX($AM$1004:$BM$1004,1,MATCH(COLUMNS($AM$1006:AP1006),$AM$1006:$BM$1006,0)))),"Fix")))</f>
        <v xml:space="preserve"> </v>
      </c>
      <c r="F747" s="4" t="str">
        <f ca="1">IF(OR(INDEX($AG$2:$AG$1001,MATCH(ROWS($AF$2:AF747),$AF$2:$AF$1001,0),1)&gt;=100000,INDEX($AM$1005:$BM$1005,1,MATCH(COLUMNS($AM$1006:AQ1006),$AM$1006:$BM$1006,0))&gt;=100000), " ",IF(INDEX($AM$2:$BM$1001,MATCH(ROWS($AF$2:AF747),$AF$2:$AF$1001,0),MATCH(COLUMNS($AM$1006:AQ1006),$AM$1006:$BM$1006,0)), HYPERLINK("#",""), HYPERLINK(CONCATENATE("#metadata!", ADDRESS(INDEX($AH$2:$AH$1001,MATCH(ROWS($AF$2:AF747),$AF$2:$AF$1001,0),0), INDEX($AM$1004:$BM$1004,1,MATCH(COLUMNS($AM$1006:AQ1006),$AM$1006:$BM$1006,0)))),"Fix")))</f>
        <v xml:space="preserve"> </v>
      </c>
      <c r="G747" s="4" t="str">
        <f ca="1">IF(OR(INDEX($AG$2:$AG$1001,MATCH(ROWS($AF$2:AF747),$AF$2:$AF$1001,0),1)&gt;=100000,INDEX($AM$1005:$BM$1005,1,MATCH(COLUMNS($AM$1006:AR1006),$AM$1006:$BM$1006,0))&gt;=100000), " ",IF(INDEX($AM$2:$BM$1001,MATCH(ROWS($AF$2:AF747),$AF$2:$AF$1001,0),MATCH(COLUMNS($AM$1006:AR1006),$AM$1006:$BM$1006,0)), HYPERLINK("#",""), HYPERLINK(CONCATENATE("#metadata!", ADDRESS(INDEX($AH$2:$AH$1001,MATCH(ROWS($AF$2:AF747),$AF$2:$AF$1001,0),0), INDEX($AM$1004:$BM$1004,1,MATCH(COLUMNS($AM$1006:AR1006),$AM$1006:$BM$1006,0)))),"Fix")))</f>
        <v xml:space="preserve"> </v>
      </c>
      <c r="H747" s="4" t="str">
        <f ca="1">IF(OR(INDEX($AG$2:$AG$1001,MATCH(ROWS($AF$2:AF747),$AF$2:$AF$1001,0),1)&gt;=100000,INDEX($AM$1005:$BM$1005,1,MATCH(COLUMNS($AM$1006:AS1006),$AM$1006:$BM$1006,0))&gt;=100000), " ",IF(INDEX($AM$2:$BM$1001,MATCH(ROWS($AF$2:AF747),$AF$2:$AF$1001,0),MATCH(COLUMNS($AM$1006:AS1006),$AM$1006:$BM$1006,0)), HYPERLINK("#",""), HYPERLINK(CONCATENATE("#metadata!", ADDRESS(INDEX($AH$2:$AH$1001,MATCH(ROWS($AF$2:AF747),$AF$2:$AF$1001,0),0), INDEX($AM$1004:$BM$1004,1,MATCH(COLUMNS($AM$1006:AS1006),$AM$1006:$BM$1006,0)))),"Fix")))</f>
        <v xml:space="preserve"> </v>
      </c>
      <c r="I747" s="4" t="str">
        <f ca="1">IF(OR(INDEX($AG$2:$AG$1001,MATCH(ROWS($AF$2:AF747),$AF$2:$AF$1001,0),1)&gt;=100000,INDEX($AM$1005:$BM$1005,1,MATCH(COLUMNS($AM$1006:AT1006),$AM$1006:$BM$1006,0))&gt;=100000), " ",IF(INDEX($AM$2:$BM$1001,MATCH(ROWS($AF$2:AF747),$AF$2:$AF$1001,0),MATCH(COLUMNS($AM$1006:AT1006),$AM$1006:$BM$1006,0)), HYPERLINK("#",""), HYPERLINK(CONCATENATE("#metadata!", ADDRESS(INDEX($AH$2:$AH$1001,MATCH(ROWS($AF$2:AF747),$AF$2:$AF$1001,0),0), INDEX($AM$1004:$BM$1004,1,MATCH(COLUMNS($AM$1006:AT1006),$AM$1006:$BM$1006,0)))),"Fix")))</f>
        <v xml:space="preserve"> </v>
      </c>
      <c r="J747" s="4" t="str">
        <f ca="1">IF(OR(INDEX($AG$2:$AG$1001,MATCH(ROWS($AF$2:AF747),$AF$2:$AF$1001,0),1)&gt;=100000,INDEX($AM$1005:$BM$1005,1,MATCH(COLUMNS($AM$1006:AU1006),$AM$1006:$BM$1006,0))&gt;=100000), " ",IF(INDEX($AM$2:$BM$1001,MATCH(ROWS($AF$2:AF747),$AF$2:$AF$1001,0),MATCH(COLUMNS($AM$1006:AU1006),$AM$1006:$BM$1006,0)), HYPERLINK("#",""), HYPERLINK(CONCATENATE("#metadata!", ADDRESS(INDEX($AH$2:$AH$1001,MATCH(ROWS($AF$2:AF747),$AF$2:$AF$1001,0),0), INDEX($AM$1004:$BM$1004,1,MATCH(COLUMNS($AM$1006:AU1006),$AM$1006:$BM$1006,0)))),"Fix")))</f>
        <v xml:space="preserve"> </v>
      </c>
      <c r="K747" s="4" t="str">
        <f ca="1">IF(OR(INDEX($AG$2:$AG$1001,MATCH(ROWS($AF$2:AF747),$AF$2:$AF$1001,0),1)&gt;=100000,INDEX($AM$1005:$BM$1005,1,MATCH(COLUMNS($AM$1006:AV1006),$AM$1006:$BM$1006,0))&gt;=100000), " ",IF(INDEX($AM$2:$BM$1001,MATCH(ROWS($AF$2:AF747),$AF$2:$AF$1001,0),MATCH(COLUMNS($AM$1006:AV1006),$AM$1006:$BM$1006,0)), HYPERLINK("#",""), HYPERLINK(CONCATENATE("#metadata!", ADDRESS(INDEX($AH$2:$AH$1001,MATCH(ROWS($AF$2:AF747),$AF$2:$AF$1001,0),0), INDEX($AM$1004:$BM$1004,1,MATCH(COLUMNS($AM$1006:AV1006),$AM$1006:$BM$1006,0)))),"Fix")))</f>
        <v xml:space="preserve"> </v>
      </c>
      <c r="L747" s="4" t="str">
        <f ca="1">IF(OR(INDEX($AG$2:$AG$1001,MATCH(ROWS($AF$2:AF747),$AF$2:$AF$1001,0),1)&gt;=100000,INDEX($AM$1005:$BM$1005,1,MATCH(COLUMNS($AM$1006:AW1006),$AM$1006:$BM$1006,0))&gt;=100000), " ",IF(INDEX($AM$2:$BM$1001,MATCH(ROWS($AF$2:AF747),$AF$2:$AF$1001,0),MATCH(COLUMNS($AM$1006:AW1006),$AM$1006:$BM$1006,0)), HYPERLINK("#",""), HYPERLINK(CONCATENATE("#metadata!", ADDRESS(INDEX($AH$2:$AH$1001,MATCH(ROWS($AF$2:AF747),$AF$2:$AF$1001,0),0), INDEX($AM$1004:$BM$1004,1,MATCH(COLUMNS($AM$1006:AW1006),$AM$1006:$BM$1006,0)))),"Fix")))</f>
        <v xml:space="preserve"> </v>
      </c>
      <c r="M747" s="4" t="str">
        <f ca="1">IF(OR(INDEX($AG$2:$AG$1001,MATCH(ROWS($AF$2:AF747),$AF$2:$AF$1001,0),1)&gt;=100000,INDEX($AM$1005:$BM$1005,1,MATCH(COLUMNS($AM$1006:AX1006),$AM$1006:$BM$1006,0))&gt;=100000), " ",IF(INDEX($AM$2:$BM$1001,MATCH(ROWS($AF$2:AF747),$AF$2:$AF$1001,0),MATCH(COLUMNS($AM$1006:AX1006),$AM$1006:$BM$1006,0)), HYPERLINK("#",""), HYPERLINK(CONCATENATE("#metadata!", ADDRESS(INDEX($AH$2:$AH$1001,MATCH(ROWS($AF$2:AF747),$AF$2:$AF$1001,0),0), INDEX($AM$1004:$BM$1004,1,MATCH(COLUMNS($AM$1006:AX1006),$AM$1006:$BM$1006,0)))),"Fix")))</f>
        <v xml:space="preserve"> </v>
      </c>
      <c r="N747" s="4" t="str">
        <f ca="1">IF(OR(INDEX($AG$2:$AG$1001,MATCH(ROWS($AF$2:AF747),$AF$2:$AF$1001,0),1)&gt;=100000,INDEX($AM$1005:$BM$1005,1,MATCH(COLUMNS($AM$1006:AY1006),$AM$1006:$BM$1006,0))&gt;=100000), " ",IF(INDEX($AM$2:$BM$1001,MATCH(ROWS($AF$2:AF747),$AF$2:$AF$1001,0),MATCH(COLUMNS($AM$1006:AY1006),$AM$1006:$BM$1006,0)), HYPERLINK("#",""), HYPERLINK(CONCATENATE("#metadata!", ADDRESS(INDEX($AH$2:$AH$1001,MATCH(ROWS($AF$2:AF747),$AF$2:$AF$1001,0),0), INDEX($AM$1004:$BM$1004,1,MATCH(COLUMNS($AM$1006:AY1006),$AM$1006:$BM$1006,0)))),"Fix")))</f>
        <v xml:space="preserve"> </v>
      </c>
      <c r="O747" s="4" t="str">
        <f ca="1">IF(OR(INDEX($AG$2:$AG$1001,MATCH(ROWS($AF$2:AF747),$AF$2:$AF$1001,0),1)&gt;=100000,INDEX($AM$1005:$BM$1005,1,MATCH(COLUMNS($AM$1006:AZ1006),$AM$1006:$BM$1006,0))&gt;=100000), " ",IF(INDEX($AM$2:$BM$1001,MATCH(ROWS($AF$2:AF747),$AF$2:$AF$1001,0),MATCH(COLUMNS($AM$1006:AZ1006),$AM$1006:$BM$1006,0)), HYPERLINK("#",""), HYPERLINK(CONCATENATE("#metadata!", ADDRESS(INDEX($AH$2:$AH$1001,MATCH(ROWS($AF$2:AF747),$AF$2:$AF$1001,0),0), INDEX($AM$1004:$BM$1004,1,MATCH(COLUMNS($AM$1006:AZ1006),$AM$1006:$BM$1006,0)))),"Fix")))</f>
        <v xml:space="preserve"> </v>
      </c>
      <c r="P747" s="4" t="str">
        <f ca="1">IF(OR(INDEX($AG$2:$AG$1001,MATCH(ROWS($AF$2:AF747),$AF$2:$AF$1001,0),1)&gt;=100000,INDEX($AM$1005:$BM$1005,1,MATCH(COLUMNS($AM$1006:BA1006),$AM$1006:$BM$1006,0))&gt;=100000), " ",IF(INDEX($AM$2:$BM$1001,MATCH(ROWS($AF$2:AF747),$AF$2:$AF$1001,0),MATCH(COLUMNS($AM$1006:BA1006),$AM$1006:$BM$1006,0)), HYPERLINK("#",""), HYPERLINK(CONCATENATE("#metadata!", ADDRESS(INDEX($AH$2:$AH$1001,MATCH(ROWS($AF$2:AF747),$AF$2:$AF$1001,0),0), INDEX($AM$1004:$BM$1004,1,MATCH(COLUMNS($AM$1006:BA1006),$AM$1006:$BM$1006,0)))),"Fix")))</f>
        <v xml:space="preserve"> </v>
      </c>
      <c r="Q747" s="4" t="str">
        <f ca="1">IF(OR(INDEX($AG$2:$AG$1001,MATCH(ROWS($AF$2:AF747),$AF$2:$AF$1001,0),1)&gt;=100000,INDEX($AM$1005:$BM$1005,1,MATCH(COLUMNS($AM$1006:BB1006),$AM$1006:$BM$1006,0))&gt;=100000), " ",IF(INDEX($AM$2:$BM$1001,MATCH(ROWS($AF$2:AF747),$AF$2:$AF$1001,0),MATCH(COLUMNS($AM$1006:BB1006),$AM$1006:$BM$1006,0)), HYPERLINK("#",""), HYPERLINK(CONCATENATE("#metadata!", ADDRESS(INDEX($AH$2:$AH$1001,MATCH(ROWS($AF$2:AF747),$AF$2:$AF$1001,0),0), INDEX($AM$1004:$BM$1004,1,MATCH(COLUMNS($AM$1006:BB1006),$AM$1006:$BM$1006,0)))),"Fix")))</f>
        <v xml:space="preserve"> </v>
      </c>
      <c r="R747" s="4" t="str">
        <f ca="1">IF(OR(INDEX($AG$2:$AG$1001,MATCH(ROWS($AF$2:AF747),$AF$2:$AF$1001,0),1)&gt;=100000,INDEX($AM$1005:$BM$1005,1,MATCH(COLUMNS($AM$1006:BC1006),$AM$1006:$BM$1006,0))&gt;=100000), " ",IF(INDEX($AM$2:$BM$1001,MATCH(ROWS($AF$2:AF747),$AF$2:$AF$1001,0),MATCH(COLUMNS($AM$1006:BC1006),$AM$1006:$BM$1006,0)), HYPERLINK("#",""), HYPERLINK(CONCATENATE("#metadata!", ADDRESS(INDEX($AH$2:$AH$1001,MATCH(ROWS($AF$2:AF747),$AF$2:$AF$1001,0),0), INDEX($AM$1004:$BM$1004,1,MATCH(COLUMNS($AM$1006:BC1006),$AM$1006:$BM$1006,0)))),"Fix")))</f>
        <v xml:space="preserve"> </v>
      </c>
      <c r="S747" s="4" t="str">
        <f ca="1">IF(OR(INDEX($AG$2:$AG$1001,MATCH(ROWS($AF$2:AF747),$AF$2:$AF$1001,0),1)&gt;=100000,INDEX($AM$1005:$BM$1005,1,MATCH(COLUMNS($AM$1006:BD1006),$AM$1006:$BM$1006,0))&gt;=100000), " ",IF(INDEX($AM$2:$BM$1001,MATCH(ROWS($AF$2:AF747),$AF$2:$AF$1001,0),MATCH(COLUMNS($AM$1006:BD1006),$AM$1006:$BM$1006,0)), HYPERLINK("#",""), HYPERLINK(CONCATENATE("#metadata!", ADDRESS(INDEX($AH$2:$AH$1001,MATCH(ROWS($AF$2:AF747),$AF$2:$AF$1001,0),0), INDEX($AM$1004:$BM$1004,1,MATCH(COLUMNS($AM$1006:BD1006),$AM$1006:$BM$1006,0)))),"Fix")))</f>
        <v xml:space="preserve"> </v>
      </c>
      <c r="T747" s="4" t="str">
        <f ca="1">IF(OR(INDEX($AG$2:$AG$1001,MATCH(ROWS($AF$2:AF747),$AF$2:$AF$1001,0),1)&gt;=100000,INDEX($AM$1005:$BM$1005,1,MATCH(COLUMNS($AM$1006:BE1006),$AM$1006:$BM$1006,0))&gt;=100000), " ",IF(INDEX($AM$2:$BM$1001,MATCH(ROWS($AF$2:AF747),$AF$2:$AF$1001,0),MATCH(COLUMNS($AM$1006:BE1006),$AM$1006:$BM$1006,0)), HYPERLINK("#",""), HYPERLINK(CONCATENATE("#metadata!", ADDRESS(INDEX($AH$2:$AH$1001,MATCH(ROWS($AF$2:AF747),$AF$2:$AF$1001,0),0), INDEX($AM$1004:$BM$1004,1,MATCH(COLUMNS($AM$1006:BE1006),$AM$1006:$BM$1006,0)))),"Fix")))</f>
        <v xml:space="preserve"> </v>
      </c>
      <c r="U747" s="4" t="str">
        <f ca="1">IF(OR(INDEX($AG$2:$AG$1001,MATCH(ROWS($AF$2:AF747),$AF$2:$AF$1001,0),1)&gt;=100000,INDEX($AM$1005:$BM$1005,1,MATCH(COLUMNS($AM$1006:BF1006),$AM$1006:$BM$1006,0))&gt;=100000), " ",IF(INDEX($AM$2:$BM$1001,MATCH(ROWS($AF$2:AF747),$AF$2:$AF$1001,0),MATCH(COLUMNS($AM$1006:BF1006),$AM$1006:$BM$1006,0)), HYPERLINK("#",""), HYPERLINK(CONCATENATE("#metadata!", ADDRESS(INDEX($AH$2:$AH$1001,MATCH(ROWS($AF$2:AF747),$AF$2:$AF$1001,0),0), INDEX($AM$1004:$BM$1004,1,MATCH(COLUMNS($AM$1006:BF1006),$AM$1006:$BM$1006,0)))),"Fix")))</f>
        <v xml:space="preserve"> </v>
      </c>
      <c r="V747" s="4" t="str">
        <f ca="1">IF(OR(INDEX($AG$2:$AG$1001,MATCH(ROWS($AF$2:AF747),$AF$2:$AF$1001,0),1)&gt;=100000,INDEX($AM$1005:$BM$1005,1,MATCH(COLUMNS($AM$1006:BG1006),$AM$1006:$BM$1006,0))&gt;=100000), " ",IF(INDEX($AM$2:$BM$1001,MATCH(ROWS($AF$2:AF747),$AF$2:$AF$1001,0),MATCH(COLUMNS($AM$1006:BG1006),$AM$1006:$BM$1006,0)), HYPERLINK("#",""), HYPERLINK(CONCATENATE("#metadata!", ADDRESS(INDEX($AH$2:$AH$1001,MATCH(ROWS($AF$2:AF747),$AF$2:$AF$1001,0),0), INDEX($AM$1004:$BM$1004,1,MATCH(COLUMNS($AM$1006:BG1006),$AM$1006:$BM$1006,0)))),"Fix")))</f>
        <v xml:space="preserve"> </v>
      </c>
      <c r="W747" s="4" t="str">
        <f ca="1">IF(OR(INDEX($AG$2:$AG$1001,MATCH(ROWS($AF$2:AF747),$AF$2:$AF$1001,0),1)&gt;=100000,INDEX($AM$1005:$BM$1005,1,MATCH(COLUMNS($AM$1006:BH1006),$AM$1006:$BM$1006,0))&gt;=100000), " ",IF(INDEX($AM$2:$BM$1001,MATCH(ROWS($AF$2:AF747),$AF$2:$AF$1001,0),MATCH(COLUMNS($AM$1006:BH1006),$AM$1006:$BM$1006,0)), HYPERLINK("#",""), HYPERLINK(CONCATENATE("#metadata!", ADDRESS(INDEX($AH$2:$AH$1001,MATCH(ROWS($AF$2:AF747),$AF$2:$AF$1001,0),0), INDEX($AM$1004:$BM$1004,1,MATCH(COLUMNS($AM$1006:BH1006),$AM$1006:$BM$1006,0)))),"Fix")))</f>
        <v xml:space="preserve"> </v>
      </c>
      <c r="X747" s="4" t="str">
        <f ca="1">IF(OR(INDEX($AG$2:$AG$1001,MATCH(ROWS($AF$2:AF747),$AF$2:$AF$1001,0),1)&gt;=100000,INDEX($AM$1005:$BM$1005,1,MATCH(COLUMNS($AM$1006:BI1006),$AM$1006:$BM$1006,0))&gt;=100000), " ",IF(INDEX($AM$2:$BM$1001,MATCH(ROWS($AF$2:AF747),$AF$2:$AF$1001,0),MATCH(COLUMNS($AM$1006:BI1006),$AM$1006:$BM$1006,0)), HYPERLINK("#",""), HYPERLINK(CONCATENATE("#metadata!", ADDRESS(INDEX($AH$2:$AH$1001,MATCH(ROWS($AF$2:AF747),$AF$2:$AF$1001,0),0), INDEX($AM$1004:$BM$1004,1,MATCH(COLUMNS($AM$1006:BI1006),$AM$1006:$BM$1006,0)))),"Fix")))</f>
        <v xml:space="preserve"> </v>
      </c>
      <c r="Y747" s="4" t="str">
        <f ca="1">IF(OR(INDEX($AG$2:$AG$1001,MATCH(ROWS($AF$2:AF747),$AF$2:$AF$1001,0),1)&gt;=100000,INDEX($AM$1005:$BM$1005,1,MATCH(COLUMNS($AM$1006:BJ1006),$AM$1006:$BM$1006,0))&gt;=100000), " ",IF(INDEX($AM$2:$BM$1001,MATCH(ROWS($AF$2:AF747),$AF$2:$AF$1001,0),MATCH(COLUMNS($AM$1006:BJ1006),$AM$1006:$BM$1006,0)), HYPERLINK("#",""), HYPERLINK(CONCATENATE("#metadata!", ADDRESS(INDEX($AH$2:$AH$1001,MATCH(ROWS($AF$2:AF747),$AF$2:$AF$1001,0),0), INDEX($AM$1004:$BM$1004,1,MATCH(COLUMNS($AM$1006:BJ1006),$AM$1006:$BM$1006,0)))),"Fix")))</f>
        <v xml:space="preserve"> </v>
      </c>
      <c r="Z747" s="4" t="str">
        <f ca="1">IF(OR(INDEX($AG$2:$AG$1001,MATCH(ROWS($AF$2:AF747),$AF$2:$AF$1001,0),1)&gt;=100000,INDEX($AM$1005:$BM$1005,1,MATCH(COLUMNS($AM$1006:BK1006),$AM$1006:$BM$1006,0))&gt;=100000), " ",IF(INDEX($AM$2:$BM$1001,MATCH(ROWS($AF$2:AF747),$AF$2:$AF$1001,0),MATCH(COLUMNS($AM$1006:BK1006),$AM$1006:$BM$1006,0)), HYPERLINK("#",""), HYPERLINK(CONCATENATE("#metadata!", ADDRESS(INDEX($AH$2:$AH$1001,MATCH(ROWS($AF$2:AF747),$AF$2:$AF$1001,0),0), INDEX($AM$1004:$BM$1004,1,MATCH(COLUMNS($AM$1006:BK1006),$AM$1006:$BM$1006,0)))),"Fix")))</f>
        <v xml:space="preserve"> </v>
      </c>
      <c r="AA747" s="4" t="str">
        <f ca="1">IF(OR(INDEX($AG$2:$AG$1001,MATCH(ROWS($AF$2:AF747),$AF$2:$AF$1001,0),1)&gt;=100000,INDEX($AM$1005:$BM$1005,1,MATCH(COLUMNS($AM$1006:BL1006),$AM$1006:$BM$1006,0))&gt;=100000), " ",IF(INDEX($AM$2:$BM$1001,MATCH(ROWS($AF$2:AF747),$AF$2:$AF$1001,0),MATCH(COLUMNS($AM$1006:BL1006),$AM$1006:$BM$1006,0)), HYPERLINK("#",""), HYPERLINK(CONCATENATE("#metadata!", ADDRESS(INDEX($AH$2:$AH$1001,MATCH(ROWS($AF$2:AF747),$AF$2:$AF$1001,0),0), INDEX($AM$1004:$BM$1004,1,MATCH(COLUMNS($AM$1006:BL1006),$AM$1006:$BM$1006,0)))),"Fix")))</f>
        <v xml:space="preserve"> </v>
      </c>
      <c r="AB747" s="4" t="str">
        <f ca="1">IF(OR(INDEX($AG$2:$AG$1001,MATCH(ROWS($AF$2:AF747),$AF$2:$AF$1001,0),1)&gt;=100000,INDEX($AM$1005:$BM$1005,1,MATCH(COLUMNS($AM$1006:BM1006),$AM$1006:$BM$1006,0))&gt;=100000), " ",IF(INDEX($AM$2:$BM$1001,MATCH(ROWS($AF$2:AF747),$AF$2:$AF$1001,0),MATCH(COLUMNS($AM$1006:BM1006),$AM$1006:$BM$1006,0)), HYPERLINK("#",""), HYPERLINK(CONCATENATE("#metadata!", ADDRESS(INDEX($AH$2:$AH$1001,MATCH(ROWS($AF$2:AF747),$AF$2:$AF$1001,0),0), INDEX($AM$1004:$BM$1004,1,MATCH(COLUMNS($AM$1006:BM1006),$AM$1006:$BM$1006,0)))),"Fix")))</f>
        <v xml:space="preserve"> </v>
      </c>
      <c r="AF747">
        <v>746</v>
      </c>
      <c r="AG747">
        <v>100747</v>
      </c>
      <c r="AH747">
        <v>747</v>
      </c>
      <c r="AI747" t="b">
        <f t="shared" si="11"/>
        <v>1</v>
      </c>
      <c r="AJ747" t="b">
        <f>COUNTBLANK(metadata!B747:AB747)=COLUMNS(metadata!B747:AB747)</f>
        <v>1</v>
      </c>
      <c r="AK747" t="str">
        <v/>
      </c>
      <c r="AM747" t="b">
        <f ca="1">AND(IF(metadata!B747="",FALSE,TRUE),COUNTIF(metadata!B:B, metadata!B747) = 1,NOT(ISERROR(SUMPRODUCT(SEARCH(MID(metadata!B747,ROW(INDIRECT("1:"&amp;LEN(metadata!B747))), 1),"0123456789abcdefghijklmnopqrstuvwxyzABCDEFGHIJKLMNOPQRSTUVWXYZ.")))))</f>
        <v>0</v>
      </c>
      <c r="AN747" t="b">
        <f ca="1">OR(AND(IF(metadata!C747="",FALSE,TRUE),OR(EXACT(metadata!C747,"missing: not collected"),EXACT(metadata!C747,"missing: not provided"),EXACT(metadata!C747,"missing: restricted access"))),AND(IF(metadata!C747="",FALSE,TRUE),AND(AND(IFERROR(INT(LEFT(metadata!C747,4))&gt;1900,FALSE),IFERROR(INT(LEFT(metadata!C747,4))&lt;=YEAR(NOW()),FALSE)), OR(MID(metadata!C747,5,1)="", AND(AND(MID(metadata!C747,5,1)="-",IFERROR(INT(MID(metadata!C747,6,1))&gt;=0,FALSE),IFERROR(INT(MID(metadata!C747,6,1))&lt;=1,FALSE),NOT(MID(metadata!C747,7,1)=""),IFERROR(INT(MID(metadata!C747,6,2))&gt;=1,FALSE),IFERROR(INT(MID(metadata!C747,6,2))&lt;=12,FALSE)), OR(MID(metadata!C747,8,1)="", AND(AND(MID(metadata!C747,8,1)="-",IFERROR(INT(MID(metadata!C747,9,1))&gt;=0,FALSE),IFERROR(INT(MID(metadata!C747,9,1))&lt;=3,FALSE),NOT(MID(metadata!C747,10,1)=""),IFERROR(INT(MID(metadata!C747,9,2))&gt;=1,FALSE),IFERROR(INT(MID(metadata!C747,9,2))&lt;=31,FALSE)), OR(MID(metadata!C747,11,1)="", AND(AND(MID(metadata!C747,11,1)=" ",IFERROR(INT(MID(metadata!C747,12,1))&gt;=0,FALSE),IFERROR(INT(MID(metadata!C747,12,1))&lt;=2,FALSE),NOT(MID(metadata!C747,13,1)=""),IFERROR(INT(MID(metadata!C747,12,2))&gt;=0,FALSE),IFERROR(INT(MID(metadata!C747,12,2))&lt;=23,FALSE)), OR(MID(metadata!C747,14,1)="", AND(AND(MID(metadata!C747,14,1)=":",IFERROR(INT(MID(metadata!C747,15,1))&gt;=0,FALSE),IFERROR(INT(MID(metadata!C747,15,1))&lt;=5,FALSE),NOT(MID(metadata!C747,16,1)=""),IFERROR(INT(MID(metadata!C747,15,2))&gt;=0,FALSE),IFERROR(INT(MID(metadata!C747,15,2))&lt;=59,FALSE)), OR(MID(metadata!C747,17,1)="", AND(AND(MID(metadata!C747,17,1)=":",IFERROR(INT(MID(metadata!C747,18,1))&gt;=0,FALSE),IFERROR(INT(MID(metadata!C747,18,1))&lt;=5,FALSE),NOT(MID(metadata!C747,19,1)=""),IFERROR(INT(MID(metadata!C747,18,2))&gt;=0,FALSE),IFERROR(INT(MID(metadata!C747,18,2))&lt;=59,FALSE)), LEN(metadata!C747)&lt;=19)))))))))))))</f>
        <v>0</v>
      </c>
      <c r="AO747" t="b">
        <f>AND(IF(metadata!D747="",FALSE,TRUE),EXACT(metadata!D747,"Not applicable"))</f>
        <v>0</v>
      </c>
      <c r="AP747" t="b">
        <f>IF(metadata!E747="",FALSE,TRUE)</f>
        <v>0</v>
      </c>
      <c r="AQ747" t="b">
        <f>OR(AND(IF(metadata!F747="",FALSE,TRUE),OR(EXACT(metadata!F747,"missing: not collected"),EXACT(metadata!F747,"missing: not provided"))),AND(IF(metadata!F747="",FALSE,TRUE),OR(EXACT(metadata!F747,"TRUE"),EXACT(metadata!F747,"FALSE"))))</f>
        <v>0</v>
      </c>
      <c r="AR747" t="b">
        <f>OR(AND(IF(metadata!G747="",FALSE,TRUE),OR(EXACT(metadata!G747,"missing: not collected"),EXACT(metadata!G747,"missing: not provided"),EXACT(metadata!G747,"missing: restricted access"))),AND(IF(metadata!G747="",FALSE,ISNUMBER(VALUE(metadata!G747))),metadata!G747&gt;=-413))</f>
        <v>0</v>
      </c>
      <c r="AS747" t="b">
        <f>AND(IF(metadata!H747="",FALSE,TRUE),EXACT(metadata!H747,"meters"))</f>
        <v>0</v>
      </c>
      <c r="AT747" t="b">
        <f>AND(IF(metadata!I747="",FALSE,TRUE),OR(EXACT(metadata!I747,"Host-associated"),EXACT(metadata!I747,"Free-living")))</f>
        <v>0</v>
      </c>
      <c r="AU747" t="b">
        <f>AND(IF(metadata!J747="",FALSE,TRUE),OR(EXACT(metadata!J747,"Animal"),EXACT(metadata!J747,"Fungus"),EXACT(metadata!J747,"Plant"),EXACT(metadata!J747,"Saline"),EXACT(metadata!J747,"Non-saline")))</f>
        <v>0</v>
      </c>
      <c r="AV747" t="b">
        <f>AND(IF(metadata!K747="",FALSE,TRUE),OR(EXACT(metadata!K747,"Plant secretion"),EXACT(metadata!K747,"Plant rhizosphere"),EXACT(metadata!K747,"Plant surface"),EXACT(metadata!K747,"Plant corpus"),EXACT(metadata!K747,"Fungus surface"),EXACT(metadata!K747,"Fungus corpus"),EXACT(metadata!K747,"Animal surface"),EXACT(metadata!K747,"Animal proximal gut"),EXACT(metadata!K747,"Animal corpus"),EXACT(metadata!K747,"Animal distal gut"),EXACT(metadata!K747,"Animal secretion"),EXACT(metadata!K747,"Sub-surface (non-saline)"),EXACT(metadata!K747,"Surface (non-saline)"),EXACT(metadata!K747,"Water (non-saline)"),EXACT(metadata!K747,"Soil (non-saline)"),EXACT(metadata!K747,"Aerosol (non-saline)"),EXACT(metadata!K747,"Sediment (non-saline)"),EXACT(metadata!K747,"Surface (saline)"),EXACT(metadata!K747,"Water (saline)"),EXACT(metadata!K747,"Hypersaline (saline)"),EXACT(metadata!K747,"Aerosol (saline)"),EXACT(metadata!K747,"Sediment (saline)")))</f>
        <v>0</v>
      </c>
      <c r="AW747" t="b">
        <f>IF(metadata!L747="",FALSE,TRUE)</f>
        <v>0</v>
      </c>
      <c r="AX747" t="b">
        <f>IF(metadata!M747="",FALSE,TRUE)</f>
        <v>0</v>
      </c>
      <c r="AY747" t="b">
        <f>IF(metadata!N747="",FALSE,TRUE)</f>
        <v>0</v>
      </c>
      <c r="AZ747" t="b">
        <f>OR(AND(IF(metadata!O747="",FALSE,TRUE),OR(EXACT(metadata!O747,"missing: not collected"),EXACT(metadata!O747,"missing: not provided"),EXACT(metadata!O747,"missing: restricted access"))),AND(IF(metadata!O747="",FALSE,TRUE),OR(EXACT(metadata!O747,"air"),EXACT(metadata!O747,"built environment"),EXACT(metadata!O747,"host-associated"),EXACT(metadata!O747,"human-associated"),EXACT(metadata!O747,"human-skin"),EXACT(metadata!O747,"human-oral"),EXACT(metadata!O747,"human-gut"),EXACT(metadata!O747,"human-vaginal"),EXACT(metadata!O747,"microbial mat/biofilm"),EXACT(metadata!O747,"misc environment"),EXACT(metadata!O747,"plant-associated"),EXACT(metadata!O747,"sediment"),EXACT(metadata!O747,"soil"),EXACT(metadata!O747,"wastewater/sludge"),EXACT(metadata!O747,"water"))))</f>
        <v>0</v>
      </c>
      <c r="BA747" t="b">
        <f>IF(metadata!P747="",FALSE,TRUE)</f>
        <v>0</v>
      </c>
      <c r="BB747" t="b">
        <f>IF(metadata!Q747="",FALSE,TRUE)</f>
        <v>0</v>
      </c>
      <c r="BC747" t="b">
        <f>OR(AND(IF(metadata!R747="",FALSE,TRUE),OR(EXACT(metadata!R747,"missing: not collected"),EXACT(metadata!R747,"missing: not provided"),EXACT(metadata!R747,"missing: restricted access"))),AND(IF(metadata!R747="",FALSE,ISNUMBER(VALUE(metadata!R747))),metadata!R747&gt;=-90,metadata!R747&lt;=90))</f>
        <v>0</v>
      </c>
      <c r="BD747" t="b">
        <f>AND(IF(metadata!S747="",FALSE,TRUE),EXACT(metadata!S747,"Decimal degrees"))</f>
        <v>0</v>
      </c>
      <c r="BE747" t="b">
        <f>OR(AND(IF(metadata!T747="",FALSE,TRUE),OR(EXACT(metadata!T747,"missing: not collected"),EXACT(metadata!T747,"missing: not provided"),EXACT(metadata!T747,"missing: restricted access"))),AND(IF(metadata!T747="",FALSE,ISNUMBER(VALUE(metadata!T747))),metadata!T747&gt;=-180,metadata!T747&lt;=180))</f>
        <v>0</v>
      </c>
      <c r="BF747" t="b">
        <f>AND(IF(metadata!U747="",FALSE,TRUE),EXACT(metadata!U747,"Decimal degrees"))</f>
        <v>0</v>
      </c>
      <c r="BG747" t="b">
        <f>IF(metadata!V747="",FALSE,TRUE)</f>
        <v>0</v>
      </c>
      <c r="BH747" t="b">
        <f>OR(AND(IF(metadata!W747="",FALSE,TRUE),OR(EXACT(metadata!W747,"missing: not collected"),EXACT(metadata!W747,"missing: not provided"),EXACT(metadata!W747,"missing: restricted access"))),AND(IF(metadata!W747="",FALSE,TRUE),OR(EXACT(metadata!W747,"TRUE"),EXACT(metadata!W747,"FALSE"))))</f>
        <v>0</v>
      </c>
      <c r="BI747" t="b">
        <f>AND(IF(metadata!X747="",FALSE,TRUE),EXACT(metadata!X747,"other"))</f>
        <v>0</v>
      </c>
      <c r="BJ747" t="b">
        <f>IF(metadata!Y747="",FALSE,TRUE)</f>
        <v>0</v>
      </c>
      <c r="BK747" t="b">
        <f>OR(AND(IF(metadata!Z747="",FALSE,TRUE),OR(EXACT(metadata!Z747,"missing: not collected"),EXACT(metadata!Z747,"missing: not provided"))),AND(IF(metadata!Z747="",FALSE,IF(ISERROR(INT(metadata!Z747)),FALSE,INT(metadata!Z747)=metadata!Z747)),metadata!Z747&gt;0))</f>
        <v>0</v>
      </c>
      <c r="BL747" t="b">
        <f>AND(IF(metadata!AA747="",FALSE,TRUE),EXACT(metadata!AA747,"Not applicable"))</f>
        <v>0</v>
      </c>
      <c r="BM747" t="b">
        <f>IF(metadata!AB747="",FALSE,TRUE)</f>
        <v>0</v>
      </c>
    </row>
    <row r="748" spans="1:65" x14ac:dyDescent="0.2">
      <c r="A748" s="5" t="str">
        <f ca="1">IF(B748=" "," ",HYPERLINK(CONCATENATE("#metadata!",ADDRESS(INDEX($AH$2:$AH$1001,MATCH(ROWS($AF$2:AF748),$AF$2:$AF$1001,0),0),1)),INDEX($AK$2:$AK$1001,MATCH(ROWS($AF$2:AF748),$AF$2:$AF$1001,0),0)))</f>
        <v xml:space="preserve"> </v>
      </c>
      <c r="B748" s="4" t="str">
        <f ca="1">IF(OR(INDEX($AG$2:$AG$1001,MATCH(ROWS($AF$2:AF748),$AF$2:$AF$1001,0),1)&gt;=100000,INDEX($AM$1005:$BM$1005,1,MATCH(COLUMNS($AM$1006:AM1006),$AM$1006:$BM$1006,0))&gt;=100000), " ",IF(INDEX($AM$2:$BM$1001,MATCH(ROWS($AF$2:AF748),$AF$2:$AF$1001,0),MATCH(COLUMNS($AM$1006:AM1006),$AM$1006:$BM$1006,0)), HYPERLINK("#",""), HYPERLINK(CONCATENATE("#metadata!", ADDRESS(INDEX($AH$2:$AH$1001,MATCH(ROWS($AF$2:AF748),$AF$2:$AF$1001,0),0), INDEX($AM$1004:$BM$1004,1,MATCH(COLUMNS($AM$1006:AM1006),$AM$1006:$BM$1006,0)))),"Fix")))</f>
        <v xml:space="preserve"> </v>
      </c>
      <c r="C748" s="4" t="str">
        <f ca="1">IF(OR(INDEX($AG$2:$AG$1001,MATCH(ROWS($AF$2:AF748),$AF$2:$AF$1001,0),1)&gt;=100000,INDEX($AM$1005:$BM$1005,1,MATCH(COLUMNS($AM$1006:AN1006),$AM$1006:$BM$1006,0))&gt;=100000), " ",IF(INDEX($AM$2:$BM$1001,MATCH(ROWS($AF$2:AF748),$AF$2:$AF$1001,0),MATCH(COLUMNS($AM$1006:AN1006),$AM$1006:$BM$1006,0)), HYPERLINK("#",""), HYPERLINK(CONCATENATE("#metadata!", ADDRESS(INDEX($AH$2:$AH$1001,MATCH(ROWS($AF$2:AF748),$AF$2:$AF$1001,0),0), INDEX($AM$1004:$BM$1004,1,MATCH(COLUMNS($AM$1006:AN1006),$AM$1006:$BM$1006,0)))),"Fix")))</f>
        <v xml:space="preserve"> </v>
      </c>
      <c r="D748" s="4" t="str">
        <f ca="1">IF(OR(INDEX($AG$2:$AG$1001,MATCH(ROWS($AF$2:AF748),$AF$2:$AF$1001,0),1)&gt;=100000,INDEX($AM$1005:$BM$1005,1,MATCH(COLUMNS($AM$1006:AO1006),$AM$1006:$BM$1006,0))&gt;=100000), " ",IF(INDEX($AM$2:$BM$1001,MATCH(ROWS($AF$2:AF748),$AF$2:$AF$1001,0),MATCH(COLUMNS($AM$1006:AO1006),$AM$1006:$BM$1006,0)), HYPERLINK("#",""), HYPERLINK(CONCATENATE("#metadata!", ADDRESS(INDEX($AH$2:$AH$1001,MATCH(ROWS($AF$2:AF748),$AF$2:$AF$1001,0),0), INDEX($AM$1004:$BM$1004,1,MATCH(COLUMNS($AM$1006:AO1006),$AM$1006:$BM$1006,0)))),"Fix")))</f>
        <v xml:space="preserve"> </v>
      </c>
      <c r="E748" s="4" t="str">
        <f ca="1">IF(OR(INDEX($AG$2:$AG$1001,MATCH(ROWS($AF$2:AF748),$AF$2:$AF$1001,0),1)&gt;=100000,INDEX($AM$1005:$BM$1005,1,MATCH(COLUMNS($AM$1006:AP1006),$AM$1006:$BM$1006,0))&gt;=100000), " ",IF(INDEX($AM$2:$BM$1001,MATCH(ROWS($AF$2:AF748),$AF$2:$AF$1001,0),MATCH(COLUMNS($AM$1006:AP1006),$AM$1006:$BM$1006,0)), HYPERLINK("#",""), HYPERLINK(CONCATENATE("#metadata!", ADDRESS(INDEX($AH$2:$AH$1001,MATCH(ROWS($AF$2:AF748),$AF$2:$AF$1001,0),0), INDEX($AM$1004:$BM$1004,1,MATCH(COLUMNS($AM$1006:AP1006),$AM$1006:$BM$1006,0)))),"Fix")))</f>
        <v xml:space="preserve"> </v>
      </c>
      <c r="F748" s="4" t="str">
        <f ca="1">IF(OR(INDEX($AG$2:$AG$1001,MATCH(ROWS($AF$2:AF748),$AF$2:$AF$1001,0),1)&gt;=100000,INDEX($AM$1005:$BM$1005,1,MATCH(COLUMNS($AM$1006:AQ1006),$AM$1006:$BM$1006,0))&gt;=100000), " ",IF(INDEX($AM$2:$BM$1001,MATCH(ROWS($AF$2:AF748),$AF$2:$AF$1001,0),MATCH(COLUMNS($AM$1006:AQ1006),$AM$1006:$BM$1006,0)), HYPERLINK("#",""), HYPERLINK(CONCATENATE("#metadata!", ADDRESS(INDEX($AH$2:$AH$1001,MATCH(ROWS($AF$2:AF748),$AF$2:$AF$1001,0),0), INDEX($AM$1004:$BM$1004,1,MATCH(COLUMNS($AM$1006:AQ1006),$AM$1006:$BM$1006,0)))),"Fix")))</f>
        <v xml:space="preserve"> </v>
      </c>
      <c r="G748" s="4" t="str">
        <f ca="1">IF(OR(INDEX($AG$2:$AG$1001,MATCH(ROWS($AF$2:AF748),$AF$2:$AF$1001,0),1)&gt;=100000,INDEX($AM$1005:$BM$1005,1,MATCH(COLUMNS($AM$1006:AR1006),$AM$1006:$BM$1006,0))&gt;=100000), " ",IF(INDEX($AM$2:$BM$1001,MATCH(ROWS($AF$2:AF748),$AF$2:$AF$1001,0),MATCH(COLUMNS($AM$1006:AR1006),$AM$1006:$BM$1006,0)), HYPERLINK("#",""), HYPERLINK(CONCATENATE("#metadata!", ADDRESS(INDEX($AH$2:$AH$1001,MATCH(ROWS($AF$2:AF748),$AF$2:$AF$1001,0),0), INDEX($AM$1004:$BM$1004,1,MATCH(COLUMNS($AM$1006:AR1006),$AM$1006:$BM$1006,0)))),"Fix")))</f>
        <v xml:space="preserve"> </v>
      </c>
      <c r="H748" s="4" t="str">
        <f ca="1">IF(OR(INDEX($AG$2:$AG$1001,MATCH(ROWS($AF$2:AF748),$AF$2:$AF$1001,0),1)&gt;=100000,INDEX($AM$1005:$BM$1005,1,MATCH(COLUMNS($AM$1006:AS1006),$AM$1006:$BM$1006,0))&gt;=100000), " ",IF(INDEX($AM$2:$BM$1001,MATCH(ROWS($AF$2:AF748),$AF$2:$AF$1001,0),MATCH(COLUMNS($AM$1006:AS1006),$AM$1006:$BM$1006,0)), HYPERLINK("#",""), HYPERLINK(CONCATENATE("#metadata!", ADDRESS(INDEX($AH$2:$AH$1001,MATCH(ROWS($AF$2:AF748),$AF$2:$AF$1001,0),0), INDEX($AM$1004:$BM$1004,1,MATCH(COLUMNS($AM$1006:AS1006),$AM$1006:$BM$1006,0)))),"Fix")))</f>
        <v xml:space="preserve"> </v>
      </c>
      <c r="I748" s="4" t="str">
        <f ca="1">IF(OR(INDEX($AG$2:$AG$1001,MATCH(ROWS($AF$2:AF748),$AF$2:$AF$1001,0),1)&gt;=100000,INDEX($AM$1005:$BM$1005,1,MATCH(COLUMNS($AM$1006:AT1006),$AM$1006:$BM$1006,0))&gt;=100000), " ",IF(INDEX($AM$2:$BM$1001,MATCH(ROWS($AF$2:AF748),$AF$2:$AF$1001,0),MATCH(COLUMNS($AM$1006:AT1006),$AM$1006:$BM$1006,0)), HYPERLINK("#",""), HYPERLINK(CONCATENATE("#metadata!", ADDRESS(INDEX($AH$2:$AH$1001,MATCH(ROWS($AF$2:AF748),$AF$2:$AF$1001,0),0), INDEX($AM$1004:$BM$1004,1,MATCH(COLUMNS($AM$1006:AT1006),$AM$1006:$BM$1006,0)))),"Fix")))</f>
        <v xml:space="preserve"> </v>
      </c>
      <c r="J748" s="4" t="str">
        <f ca="1">IF(OR(INDEX($AG$2:$AG$1001,MATCH(ROWS($AF$2:AF748),$AF$2:$AF$1001,0),1)&gt;=100000,INDEX($AM$1005:$BM$1005,1,MATCH(COLUMNS($AM$1006:AU1006),$AM$1006:$BM$1006,0))&gt;=100000), " ",IF(INDEX($AM$2:$BM$1001,MATCH(ROWS($AF$2:AF748),$AF$2:$AF$1001,0),MATCH(COLUMNS($AM$1006:AU1006),$AM$1006:$BM$1006,0)), HYPERLINK("#",""), HYPERLINK(CONCATENATE("#metadata!", ADDRESS(INDEX($AH$2:$AH$1001,MATCH(ROWS($AF$2:AF748),$AF$2:$AF$1001,0),0), INDEX($AM$1004:$BM$1004,1,MATCH(COLUMNS($AM$1006:AU1006),$AM$1006:$BM$1006,0)))),"Fix")))</f>
        <v xml:space="preserve"> </v>
      </c>
      <c r="K748" s="4" t="str">
        <f ca="1">IF(OR(INDEX($AG$2:$AG$1001,MATCH(ROWS($AF$2:AF748),$AF$2:$AF$1001,0),1)&gt;=100000,INDEX($AM$1005:$BM$1005,1,MATCH(COLUMNS($AM$1006:AV1006),$AM$1006:$BM$1006,0))&gt;=100000), " ",IF(INDEX($AM$2:$BM$1001,MATCH(ROWS($AF$2:AF748),$AF$2:$AF$1001,0),MATCH(COLUMNS($AM$1006:AV1006),$AM$1006:$BM$1006,0)), HYPERLINK("#",""), HYPERLINK(CONCATENATE("#metadata!", ADDRESS(INDEX($AH$2:$AH$1001,MATCH(ROWS($AF$2:AF748),$AF$2:$AF$1001,0),0), INDEX($AM$1004:$BM$1004,1,MATCH(COLUMNS($AM$1006:AV1006),$AM$1006:$BM$1006,0)))),"Fix")))</f>
        <v xml:space="preserve"> </v>
      </c>
      <c r="L748" s="4" t="str">
        <f ca="1">IF(OR(INDEX($AG$2:$AG$1001,MATCH(ROWS($AF$2:AF748),$AF$2:$AF$1001,0),1)&gt;=100000,INDEX($AM$1005:$BM$1005,1,MATCH(COLUMNS($AM$1006:AW1006),$AM$1006:$BM$1006,0))&gt;=100000), " ",IF(INDEX($AM$2:$BM$1001,MATCH(ROWS($AF$2:AF748),$AF$2:$AF$1001,0),MATCH(COLUMNS($AM$1006:AW1006),$AM$1006:$BM$1006,0)), HYPERLINK("#",""), HYPERLINK(CONCATENATE("#metadata!", ADDRESS(INDEX($AH$2:$AH$1001,MATCH(ROWS($AF$2:AF748),$AF$2:$AF$1001,0),0), INDEX($AM$1004:$BM$1004,1,MATCH(COLUMNS($AM$1006:AW1006),$AM$1006:$BM$1006,0)))),"Fix")))</f>
        <v xml:space="preserve"> </v>
      </c>
      <c r="M748" s="4" t="str">
        <f ca="1">IF(OR(INDEX($AG$2:$AG$1001,MATCH(ROWS($AF$2:AF748),$AF$2:$AF$1001,0),1)&gt;=100000,INDEX($AM$1005:$BM$1005,1,MATCH(COLUMNS($AM$1006:AX1006),$AM$1006:$BM$1006,0))&gt;=100000), " ",IF(INDEX($AM$2:$BM$1001,MATCH(ROWS($AF$2:AF748),$AF$2:$AF$1001,0),MATCH(COLUMNS($AM$1006:AX1006),$AM$1006:$BM$1006,0)), HYPERLINK("#",""), HYPERLINK(CONCATENATE("#metadata!", ADDRESS(INDEX($AH$2:$AH$1001,MATCH(ROWS($AF$2:AF748),$AF$2:$AF$1001,0),0), INDEX($AM$1004:$BM$1004,1,MATCH(COLUMNS($AM$1006:AX1006),$AM$1006:$BM$1006,0)))),"Fix")))</f>
        <v xml:space="preserve"> </v>
      </c>
      <c r="N748" s="4" t="str">
        <f ca="1">IF(OR(INDEX($AG$2:$AG$1001,MATCH(ROWS($AF$2:AF748),$AF$2:$AF$1001,0),1)&gt;=100000,INDEX($AM$1005:$BM$1005,1,MATCH(COLUMNS($AM$1006:AY1006),$AM$1006:$BM$1006,0))&gt;=100000), " ",IF(INDEX($AM$2:$BM$1001,MATCH(ROWS($AF$2:AF748),$AF$2:$AF$1001,0),MATCH(COLUMNS($AM$1006:AY1006),$AM$1006:$BM$1006,0)), HYPERLINK("#",""), HYPERLINK(CONCATENATE("#metadata!", ADDRESS(INDEX($AH$2:$AH$1001,MATCH(ROWS($AF$2:AF748),$AF$2:$AF$1001,0),0), INDEX($AM$1004:$BM$1004,1,MATCH(COLUMNS($AM$1006:AY1006),$AM$1006:$BM$1006,0)))),"Fix")))</f>
        <v xml:space="preserve"> </v>
      </c>
      <c r="O748" s="4" t="str">
        <f ca="1">IF(OR(INDEX($AG$2:$AG$1001,MATCH(ROWS($AF$2:AF748),$AF$2:$AF$1001,0),1)&gt;=100000,INDEX($AM$1005:$BM$1005,1,MATCH(COLUMNS($AM$1006:AZ1006),$AM$1006:$BM$1006,0))&gt;=100000), " ",IF(INDEX($AM$2:$BM$1001,MATCH(ROWS($AF$2:AF748),$AF$2:$AF$1001,0),MATCH(COLUMNS($AM$1006:AZ1006),$AM$1006:$BM$1006,0)), HYPERLINK("#",""), HYPERLINK(CONCATENATE("#metadata!", ADDRESS(INDEX($AH$2:$AH$1001,MATCH(ROWS($AF$2:AF748),$AF$2:$AF$1001,0),0), INDEX($AM$1004:$BM$1004,1,MATCH(COLUMNS($AM$1006:AZ1006),$AM$1006:$BM$1006,0)))),"Fix")))</f>
        <v xml:space="preserve"> </v>
      </c>
      <c r="P748" s="4" t="str">
        <f ca="1">IF(OR(INDEX($AG$2:$AG$1001,MATCH(ROWS($AF$2:AF748),$AF$2:$AF$1001,0),1)&gt;=100000,INDEX($AM$1005:$BM$1005,1,MATCH(COLUMNS($AM$1006:BA1006),$AM$1006:$BM$1006,0))&gt;=100000), " ",IF(INDEX($AM$2:$BM$1001,MATCH(ROWS($AF$2:AF748),$AF$2:$AF$1001,0),MATCH(COLUMNS($AM$1006:BA1006),$AM$1006:$BM$1006,0)), HYPERLINK("#",""), HYPERLINK(CONCATENATE("#metadata!", ADDRESS(INDEX($AH$2:$AH$1001,MATCH(ROWS($AF$2:AF748),$AF$2:$AF$1001,0),0), INDEX($AM$1004:$BM$1004,1,MATCH(COLUMNS($AM$1006:BA1006),$AM$1006:$BM$1006,0)))),"Fix")))</f>
        <v xml:space="preserve"> </v>
      </c>
      <c r="Q748" s="4" t="str">
        <f ca="1">IF(OR(INDEX($AG$2:$AG$1001,MATCH(ROWS($AF$2:AF748),$AF$2:$AF$1001,0),1)&gt;=100000,INDEX($AM$1005:$BM$1005,1,MATCH(COLUMNS($AM$1006:BB1006),$AM$1006:$BM$1006,0))&gt;=100000), " ",IF(INDEX($AM$2:$BM$1001,MATCH(ROWS($AF$2:AF748),$AF$2:$AF$1001,0),MATCH(COLUMNS($AM$1006:BB1006),$AM$1006:$BM$1006,0)), HYPERLINK("#",""), HYPERLINK(CONCATENATE("#metadata!", ADDRESS(INDEX($AH$2:$AH$1001,MATCH(ROWS($AF$2:AF748),$AF$2:$AF$1001,0),0), INDEX($AM$1004:$BM$1004,1,MATCH(COLUMNS($AM$1006:BB1006),$AM$1006:$BM$1006,0)))),"Fix")))</f>
        <v xml:space="preserve"> </v>
      </c>
      <c r="R748" s="4" t="str">
        <f ca="1">IF(OR(INDEX($AG$2:$AG$1001,MATCH(ROWS($AF$2:AF748),$AF$2:$AF$1001,0),1)&gt;=100000,INDEX($AM$1005:$BM$1005,1,MATCH(COLUMNS($AM$1006:BC1006),$AM$1006:$BM$1006,0))&gt;=100000), " ",IF(INDEX($AM$2:$BM$1001,MATCH(ROWS($AF$2:AF748),$AF$2:$AF$1001,0),MATCH(COLUMNS($AM$1006:BC1006),$AM$1006:$BM$1006,0)), HYPERLINK("#",""), HYPERLINK(CONCATENATE("#metadata!", ADDRESS(INDEX($AH$2:$AH$1001,MATCH(ROWS($AF$2:AF748),$AF$2:$AF$1001,0),0), INDEX($AM$1004:$BM$1004,1,MATCH(COLUMNS($AM$1006:BC1006),$AM$1006:$BM$1006,0)))),"Fix")))</f>
        <v xml:space="preserve"> </v>
      </c>
      <c r="S748" s="4" t="str">
        <f ca="1">IF(OR(INDEX($AG$2:$AG$1001,MATCH(ROWS($AF$2:AF748),$AF$2:$AF$1001,0),1)&gt;=100000,INDEX($AM$1005:$BM$1005,1,MATCH(COLUMNS($AM$1006:BD1006),$AM$1006:$BM$1006,0))&gt;=100000), " ",IF(INDEX($AM$2:$BM$1001,MATCH(ROWS($AF$2:AF748),$AF$2:$AF$1001,0),MATCH(COLUMNS($AM$1006:BD1006),$AM$1006:$BM$1006,0)), HYPERLINK("#",""), HYPERLINK(CONCATENATE("#metadata!", ADDRESS(INDEX($AH$2:$AH$1001,MATCH(ROWS($AF$2:AF748),$AF$2:$AF$1001,0),0), INDEX($AM$1004:$BM$1004,1,MATCH(COLUMNS($AM$1006:BD1006),$AM$1006:$BM$1006,0)))),"Fix")))</f>
        <v xml:space="preserve"> </v>
      </c>
      <c r="T748" s="4" t="str">
        <f ca="1">IF(OR(INDEX($AG$2:$AG$1001,MATCH(ROWS($AF$2:AF748),$AF$2:$AF$1001,0),1)&gt;=100000,INDEX($AM$1005:$BM$1005,1,MATCH(COLUMNS($AM$1006:BE1006),$AM$1006:$BM$1006,0))&gt;=100000), " ",IF(INDEX($AM$2:$BM$1001,MATCH(ROWS($AF$2:AF748),$AF$2:$AF$1001,0),MATCH(COLUMNS($AM$1006:BE1006),$AM$1006:$BM$1006,0)), HYPERLINK("#",""), HYPERLINK(CONCATENATE("#metadata!", ADDRESS(INDEX($AH$2:$AH$1001,MATCH(ROWS($AF$2:AF748),$AF$2:$AF$1001,0),0), INDEX($AM$1004:$BM$1004,1,MATCH(COLUMNS($AM$1006:BE1006),$AM$1006:$BM$1006,0)))),"Fix")))</f>
        <v xml:space="preserve"> </v>
      </c>
      <c r="U748" s="4" t="str">
        <f ca="1">IF(OR(INDEX($AG$2:$AG$1001,MATCH(ROWS($AF$2:AF748),$AF$2:$AF$1001,0),1)&gt;=100000,INDEX($AM$1005:$BM$1005,1,MATCH(COLUMNS($AM$1006:BF1006),$AM$1006:$BM$1006,0))&gt;=100000), " ",IF(INDEX($AM$2:$BM$1001,MATCH(ROWS($AF$2:AF748),$AF$2:$AF$1001,0),MATCH(COLUMNS($AM$1006:BF1006),$AM$1006:$BM$1006,0)), HYPERLINK("#",""), HYPERLINK(CONCATENATE("#metadata!", ADDRESS(INDEX($AH$2:$AH$1001,MATCH(ROWS($AF$2:AF748),$AF$2:$AF$1001,0),0), INDEX($AM$1004:$BM$1004,1,MATCH(COLUMNS($AM$1006:BF1006),$AM$1006:$BM$1006,0)))),"Fix")))</f>
        <v xml:space="preserve"> </v>
      </c>
      <c r="V748" s="4" t="str">
        <f ca="1">IF(OR(INDEX($AG$2:$AG$1001,MATCH(ROWS($AF$2:AF748),$AF$2:$AF$1001,0),1)&gt;=100000,INDEX($AM$1005:$BM$1005,1,MATCH(COLUMNS($AM$1006:BG1006),$AM$1006:$BM$1006,0))&gt;=100000), " ",IF(INDEX($AM$2:$BM$1001,MATCH(ROWS($AF$2:AF748),$AF$2:$AF$1001,0),MATCH(COLUMNS($AM$1006:BG1006),$AM$1006:$BM$1006,0)), HYPERLINK("#",""), HYPERLINK(CONCATENATE("#metadata!", ADDRESS(INDEX($AH$2:$AH$1001,MATCH(ROWS($AF$2:AF748),$AF$2:$AF$1001,0),0), INDEX($AM$1004:$BM$1004,1,MATCH(COLUMNS($AM$1006:BG1006),$AM$1006:$BM$1006,0)))),"Fix")))</f>
        <v xml:space="preserve"> </v>
      </c>
      <c r="W748" s="4" t="str">
        <f ca="1">IF(OR(INDEX($AG$2:$AG$1001,MATCH(ROWS($AF$2:AF748),$AF$2:$AF$1001,0),1)&gt;=100000,INDEX($AM$1005:$BM$1005,1,MATCH(COLUMNS($AM$1006:BH1006),$AM$1006:$BM$1006,0))&gt;=100000), " ",IF(INDEX($AM$2:$BM$1001,MATCH(ROWS($AF$2:AF748),$AF$2:$AF$1001,0),MATCH(COLUMNS($AM$1006:BH1006),$AM$1006:$BM$1006,0)), HYPERLINK("#",""), HYPERLINK(CONCATENATE("#metadata!", ADDRESS(INDEX($AH$2:$AH$1001,MATCH(ROWS($AF$2:AF748),$AF$2:$AF$1001,0),0), INDEX($AM$1004:$BM$1004,1,MATCH(COLUMNS($AM$1006:BH1006),$AM$1006:$BM$1006,0)))),"Fix")))</f>
        <v xml:space="preserve"> </v>
      </c>
      <c r="X748" s="4" t="str">
        <f ca="1">IF(OR(INDEX($AG$2:$AG$1001,MATCH(ROWS($AF$2:AF748),$AF$2:$AF$1001,0),1)&gt;=100000,INDEX($AM$1005:$BM$1005,1,MATCH(COLUMNS($AM$1006:BI1006),$AM$1006:$BM$1006,0))&gt;=100000), " ",IF(INDEX($AM$2:$BM$1001,MATCH(ROWS($AF$2:AF748),$AF$2:$AF$1001,0),MATCH(COLUMNS($AM$1006:BI1006),$AM$1006:$BM$1006,0)), HYPERLINK("#",""), HYPERLINK(CONCATENATE("#metadata!", ADDRESS(INDEX($AH$2:$AH$1001,MATCH(ROWS($AF$2:AF748),$AF$2:$AF$1001,0),0), INDEX($AM$1004:$BM$1004,1,MATCH(COLUMNS($AM$1006:BI1006),$AM$1006:$BM$1006,0)))),"Fix")))</f>
        <v xml:space="preserve"> </v>
      </c>
      <c r="Y748" s="4" t="str">
        <f ca="1">IF(OR(INDEX($AG$2:$AG$1001,MATCH(ROWS($AF$2:AF748),$AF$2:$AF$1001,0),1)&gt;=100000,INDEX($AM$1005:$BM$1005,1,MATCH(COLUMNS($AM$1006:BJ1006),$AM$1006:$BM$1006,0))&gt;=100000), " ",IF(INDEX($AM$2:$BM$1001,MATCH(ROWS($AF$2:AF748),$AF$2:$AF$1001,0),MATCH(COLUMNS($AM$1006:BJ1006),$AM$1006:$BM$1006,0)), HYPERLINK("#",""), HYPERLINK(CONCATENATE("#metadata!", ADDRESS(INDEX($AH$2:$AH$1001,MATCH(ROWS($AF$2:AF748),$AF$2:$AF$1001,0),0), INDEX($AM$1004:$BM$1004,1,MATCH(COLUMNS($AM$1006:BJ1006),$AM$1006:$BM$1006,0)))),"Fix")))</f>
        <v xml:space="preserve"> </v>
      </c>
      <c r="Z748" s="4" t="str">
        <f ca="1">IF(OR(INDEX($AG$2:$AG$1001,MATCH(ROWS($AF$2:AF748),$AF$2:$AF$1001,0),1)&gt;=100000,INDEX($AM$1005:$BM$1005,1,MATCH(COLUMNS($AM$1006:BK1006),$AM$1006:$BM$1006,0))&gt;=100000), " ",IF(INDEX($AM$2:$BM$1001,MATCH(ROWS($AF$2:AF748),$AF$2:$AF$1001,0),MATCH(COLUMNS($AM$1006:BK1006),$AM$1006:$BM$1006,0)), HYPERLINK("#",""), HYPERLINK(CONCATENATE("#metadata!", ADDRESS(INDEX($AH$2:$AH$1001,MATCH(ROWS($AF$2:AF748),$AF$2:$AF$1001,0),0), INDEX($AM$1004:$BM$1004,1,MATCH(COLUMNS($AM$1006:BK1006),$AM$1006:$BM$1006,0)))),"Fix")))</f>
        <v xml:space="preserve"> </v>
      </c>
      <c r="AA748" s="4" t="str">
        <f ca="1">IF(OR(INDEX($AG$2:$AG$1001,MATCH(ROWS($AF$2:AF748),$AF$2:$AF$1001,0),1)&gt;=100000,INDEX($AM$1005:$BM$1005,1,MATCH(COLUMNS($AM$1006:BL1006),$AM$1006:$BM$1006,0))&gt;=100000), " ",IF(INDEX($AM$2:$BM$1001,MATCH(ROWS($AF$2:AF748),$AF$2:$AF$1001,0),MATCH(COLUMNS($AM$1006:BL1006),$AM$1006:$BM$1006,0)), HYPERLINK("#",""), HYPERLINK(CONCATENATE("#metadata!", ADDRESS(INDEX($AH$2:$AH$1001,MATCH(ROWS($AF$2:AF748),$AF$2:$AF$1001,0),0), INDEX($AM$1004:$BM$1004,1,MATCH(COLUMNS($AM$1006:BL1006),$AM$1006:$BM$1006,0)))),"Fix")))</f>
        <v xml:space="preserve"> </v>
      </c>
      <c r="AB748" s="4" t="str">
        <f ca="1">IF(OR(INDEX($AG$2:$AG$1001,MATCH(ROWS($AF$2:AF748),$AF$2:$AF$1001,0),1)&gt;=100000,INDEX($AM$1005:$BM$1005,1,MATCH(COLUMNS($AM$1006:BM1006),$AM$1006:$BM$1006,0))&gt;=100000), " ",IF(INDEX($AM$2:$BM$1001,MATCH(ROWS($AF$2:AF748),$AF$2:$AF$1001,0),MATCH(COLUMNS($AM$1006:BM1006),$AM$1006:$BM$1006,0)), HYPERLINK("#",""), HYPERLINK(CONCATENATE("#metadata!", ADDRESS(INDEX($AH$2:$AH$1001,MATCH(ROWS($AF$2:AF748),$AF$2:$AF$1001,0),0), INDEX($AM$1004:$BM$1004,1,MATCH(COLUMNS($AM$1006:BM1006),$AM$1006:$BM$1006,0)))),"Fix")))</f>
        <v xml:space="preserve"> </v>
      </c>
      <c r="AF748">
        <v>747</v>
      </c>
      <c r="AG748">
        <v>100748</v>
      </c>
      <c r="AH748">
        <v>748</v>
      </c>
      <c r="AI748" t="b">
        <f t="shared" si="11"/>
        <v>1</v>
      </c>
      <c r="AJ748" t="b">
        <f>COUNTBLANK(metadata!B748:AB748)=COLUMNS(metadata!B748:AB748)</f>
        <v>1</v>
      </c>
      <c r="AK748" t="str">
        <v/>
      </c>
      <c r="AM748" t="b">
        <f ca="1">AND(IF(metadata!B748="",FALSE,TRUE),COUNTIF(metadata!B:B, metadata!B748) = 1,NOT(ISERROR(SUMPRODUCT(SEARCH(MID(metadata!B748,ROW(INDIRECT("1:"&amp;LEN(metadata!B748))), 1),"0123456789abcdefghijklmnopqrstuvwxyzABCDEFGHIJKLMNOPQRSTUVWXYZ.")))))</f>
        <v>0</v>
      </c>
      <c r="AN748" t="b">
        <f ca="1">OR(AND(IF(metadata!C748="",FALSE,TRUE),OR(EXACT(metadata!C748,"missing: not collected"),EXACT(metadata!C748,"missing: not provided"),EXACT(metadata!C748,"missing: restricted access"))),AND(IF(metadata!C748="",FALSE,TRUE),AND(AND(IFERROR(INT(LEFT(metadata!C748,4))&gt;1900,FALSE),IFERROR(INT(LEFT(metadata!C748,4))&lt;=YEAR(NOW()),FALSE)), OR(MID(metadata!C748,5,1)="", AND(AND(MID(metadata!C748,5,1)="-",IFERROR(INT(MID(metadata!C748,6,1))&gt;=0,FALSE),IFERROR(INT(MID(metadata!C748,6,1))&lt;=1,FALSE),NOT(MID(metadata!C748,7,1)=""),IFERROR(INT(MID(metadata!C748,6,2))&gt;=1,FALSE),IFERROR(INT(MID(metadata!C748,6,2))&lt;=12,FALSE)), OR(MID(metadata!C748,8,1)="", AND(AND(MID(metadata!C748,8,1)="-",IFERROR(INT(MID(metadata!C748,9,1))&gt;=0,FALSE),IFERROR(INT(MID(metadata!C748,9,1))&lt;=3,FALSE),NOT(MID(metadata!C748,10,1)=""),IFERROR(INT(MID(metadata!C748,9,2))&gt;=1,FALSE),IFERROR(INT(MID(metadata!C748,9,2))&lt;=31,FALSE)), OR(MID(metadata!C748,11,1)="", AND(AND(MID(metadata!C748,11,1)=" ",IFERROR(INT(MID(metadata!C748,12,1))&gt;=0,FALSE),IFERROR(INT(MID(metadata!C748,12,1))&lt;=2,FALSE),NOT(MID(metadata!C748,13,1)=""),IFERROR(INT(MID(metadata!C748,12,2))&gt;=0,FALSE),IFERROR(INT(MID(metadata!C748,12,2))&lt;=23,FALSE)), OR(MID(metadata!C748,14,1)="", AND(AND(MID(metadata!C748,14,1)=":",IFERROR(INT(MID(metadata!C748,15,1))&gt;=0,FALSE),IFERROR(INT(MID(metadata!C748,15,1))&lt;=5,FALSE),NOT(MID(metadata!C748,16,1)=""),IFERROR(INT(MID(metadata!C748,15,2))&gt;=0,FALSE),IFERROR(INT(MID(metadata!C748,15,2))&lt;=59,FALSE)), OR(MID(metadata!C748,17,1)="", AND(AND(MID(metadata!C748,17,1)=":",IFERROR(INT(MID(metadata!C748,18,1))&gt;=0,FALSE),IFERROR(INT(MID(metadata!C748,18,1))&lt;=5,FALSE),NOT(MID(metadata!C748,19,1)=""),IFERROR(INT(MID(metadata!C748,18,2))&gt;=0,FALSE),IFERROR(INT(MID(metadata!C748,18,2))&lt;=59,FALSE)), LEN(metadata!C748)&lt;=19)))))))))))))</f>
        <v>0</v>
      </c>
      <c r="AO748" t="b">
        <f>AND(IF(metadata!D748="",FALSE,TRUE),EXACT(metadata!D748,"Not applicable"))</f>
        <v>0</v>
      </c>
      <c r="AP748" t="b">
        <f>IF(metadata!E748="",FALSE,TRUE)</f>
        <v>0</v>
      </c>
      <c r="AQ748" t="b">
        <f>OR(AND(IF(metadata!F748="",FALSE,TRUE),OR(EXACT(metadata!F748,"missing: not collected"),EXACT(metadata!F748,"missing: not provided"))),AND(IF(metadata!F748="",FALSE,TRUE),OR(EXACT(metadata!F748,"TRUE"),EXACT(metadata!F748,"FALSE"))))</f>
        <v>0</v>
      </c>
      <c r="AR748" t="b">
        <f>OR(AND(IF(metadata!G748="",FALSE,TRUE),OR(EXACT(metadata!G748,"missing: not collected"),EXACT(metadata!G748,"missing: not provided"),EXACT(metadata!G748,"missing: restricted access"))),AND(IF(metadata!G748="",FALSE,ISNUMBER(VALUE(metadata!G748))),metadata!G748&gt;=-413))</f>
        <v>0</v>
      </c>
      <c r="AS748" t="b">
        <f>AND(IF(metadata!H748="",FALSE,TRUE),EXACT(metadata!H748,"meters"))</f>
        <v>0</v>
      </c>
      <c r="AT748" t="b">
        <f>AND(IF(metadata!I748="",FALSE,TRUE),OR(EXACT(metadata!I748,"Host-associated"),EXACT(metadata!I748,"Free-living")))</f>
        <v>0</v>
      </c>
      <c r="AU748" t="b">
        <f>AND(IF(metadata!J748="",FALSE,TRUE),OR(EXACT(metadata!J748,"Animal"),EXACT(metadata!J748,"Fungus"),EXACT(metadata!J748,"Plant"),EXACT(metadata!J748,"Saline"),EXACT(metadata!J748,"Non-saline")))</f>
        <v>0</v>
      </c>
      <c r="AV748" t="b">
        <f>AND(IF(metadata!K748="",FALSE,TRUE),OR(EXACT(metadata!K748,"Plant secretion"),EXACT(metadata!K748,"Plant rhizosphere"),EXACT(metadata!K748,"Plant surface"),EXACT(metadata!K748,"Plant corpus"),EXACT(metadata!K748,"Fungus surface"),EXACT(metadata!K748,"Fungus corpus"),EXACT(metadata!K748,"Animal surface"),EXACT(metadata!K748,"Animal proximal gut"),EXACT(metadata!K748,"Animal corpus"),EXACT(metadata!K748,"Animal distal gut"),EXACT(metadata!K748,"Animal secretion"),EXACT(metadata!K748,"Sub-surface (non-saline)"),EXACT(metadata!K748,"Surface (non-saline)"),EXACT(metadata!K748,"Water (non-saline)"),EXACT(metadata!K748,"Soil (non-saline)"),EXACT(metadata!K748,"Aerosol (non-saline)"),EXACT(metadata!K748,"Sediment (non-saline)"),EXACT(metadata!K748,"Surface (saline)"),EXACT(metadata!K748,"Water (saline)"),EXACT(metadata!K748,"Hypersaline (saline)"),EXACT(metadata!K748,"Aerosol (saline)"),EXACT(metadata!K748,"Sediment (saline)")))</f>
        <v>0</v>
      </c>
      <c r="AW748" t="b">
        <f>IF(metadata!L748="",FALSE,TRUE)</f>
        <v>0</v>
      </c>
      <c r="AX748" t="b">
        <f>IF(metadata!M748="",FALSE,TRUE)</f>
        <v>0</v>
      </c>
      <c r="AY748" t="b">
        <f>IF(metadata!N748="",FALSE,TRUE)</f>
        <v>0</v>
      </c>
      <c r="AZ748" t="b">
        <f>OR(AND(IF(metadata!O748="",FALSE,TRUE),OR(EXACT(metadata!O748,"missing: not collected"),EXACT(metadata!O748,"missing: not provided"),EXACT(metadata!O748,"missing: restricted access"))),AND(IF(metadata!O748="",FALSE,TRUE),OR(EXACT(metadata!O748,"air"),EXACT(metadata!O748,"built environment"),EXACT(metadata!O748,"host-associated"),EXACT(metadata!O748,"human-associated"),EXACT(metadata!O748,"human-skin"),EXACT(metadata!O748,"human-oral"),EXACT(metadata!O748,"human-gut"),EXACT(metadata!O748,"human-vaginal"),EXACT(metadata!O748,"microbial mat/biofilm"),EXACT(metadata!O748,"misc environment"),EXACT(metadata!O748,"plant-associated"),EXACT(metadata!O748,"sediment"),EXACT(metadata!O748,"soil"),EXACT(metadata!O748,"wastewater/sludge"),EXACT(metadata!O748,"water"))))</f>
        <v>0</v>
      </c>
      <c r="BA748" t="b">
        <f>IF(metadata!P748="",FALSE,TRUE)</f>
        <v>0</v>
      </c>
      <c r="BB748" t="b">
        <f>IF(metadata!Q748="",FALSE,TRUE)</f>
        <v>0</v>
      </c>
      <c r="BC748" t="b">
        <f>OR(AND(IF(metadata!R748="",FALSE,TRUE),OR(EXACT(metadata!R748,"missing: not collected"),EXACT(metadata!R748,"missing: not provided"),EXACT(metadata!R748,"missing: restricted access"))),AND(IF(metadata!R748="",FALSE,ISNUMBER(VALUE(metadata!R748))),metadata!R748&gt;=-90,metadata!R748&lt;=90))</f>
        <v>0</v>
      </c>
      <c r="BD748" t="b">
        <f>AND(IF(metadata!S748="",FALSE,TRUE),EXACT(metadata!S748,"Decimal degrees"))</f>
        <v>0</v>
      </c>
      <c r="BE748" t="b">
        <f>OR(AND(IF(metadata!T748="",FALSE,TRUE),OR(EXACT(metadata!T748,"missing: not collected"),EXACT(metadata!T748,"missing: not provided"),EXACT(metadata!T748,"missing: restricted access"))),AND(IF(metadata!T748="",FALSE,ISNUMBER(VALUE(metadata!T748))),metadata!T748&gt;=-180,metadata!T748&lt;=180))</f>
        <v>0</v>
      </c>
      <c r="BF748" t="b">
        <f>AND(IF(metadata!U748="",FALSE,TRUE),EXACT(metadata!U748,"Decimal degrees"))</f>
        <v>0</v>
      </c>
      <c r="BG748" t="b">
        <f>IF(metadata!V748="",FALSE,TRUE)</f>
        <v>0</v>
      </c>
      <c r="BH748" t="b">
        <f>OR(AND(IF(metadata!W748="",FALSE,TRUE),OR(EXACT(metadata!W748,"missing: not collected"),EXACT(metadata!W748,"missing: not provided"),EXACT(metadata!W748,"missing: restricted access"))),AND(IF(metadata!W748="",FALSE,TRUE),OR(EXACT(metadata!W748,"TRUE"),EXACT(metadata!W748,"FALSE"))))</f>
        <v>0</v>
      </c>
      <c r="BI748" t="b">
        <f>AND(IF(metadata!X748="",FALSE,TRUE),EXACT(metadata!X748,"other"))</f>
        <v>0</v>
      </c>
      <c r="BJ748" t="b">
        <f>IF(metadata!Y748="",FALSE,TRUE)</f>
        <v>0</v>
      </c>
      <c r="BK748" t="b">
        <f>OR(AND(IF(metadata!Z748="",FALSE,TRUE),OR(EXACT(metadata!Z748,"missing: not collected"),EXACT(metadata!Z748,"missing: not provided"))),AND(IF(metadata!Z748="",FALSE,IF(ISERROR(INT(metadata!Z748)),FALSE,INT(metadata!Z748)=metadata!Z748)),metadata!Z748&gt;0))</f>
        <v>0</v>
      </c>
      <c r="BL748" t="b">
        <f>AND(IF(metadata!AA748="",FALSE,TRUE),EXACT(metadata!AA748,"Not applicable"))</f>
        <v>0</v>
      </c>
      <c r="BM748" t="b">
        <f>IF(metadata!AB748="",FALSE,TRUE)</f>
        <v>0</v>
      </c>
    </row>
    <row r="749" spans="1:65" x14ac:dyDescent="0.2">
      <c r="A749" s="5" t="str">
        <f ca="1">IF(B749=" "," ",HYPERLINK(CONCATENATE("#metadata!",ADDRESS(INDEX($AH$2:$AH$1001,MATCH(ROWS($AF$2:AF749),$AF$2:$AF$1001,0),0),1)),INDEX($AK$2:$AK$1001,MATCH(ROWS($AF$2:AF749),$AF$2:$AF$1001,0),0)))</f>
        <v xml:space="preserve"> </v>
      </c>
      <c r="B749" s="4" t="str">
        <f ca="1">IF(OR(INDEX($AG$2:$AG$1001,MATCH(ROWS($AF$2:AF749),$AF$2:$AF$1001,0),1)&gt;=100000,INDEX($AM$1005:$BM$1005,1,MATCH(COLUMNS($AM$1006:AM1006),$AM$1006:$BM$1006,0))&gt;=100000), " ",IF(INDEX($AM$2:$BM$1001,MATCH(ROWS($AF$2:AF749),$AF$2:$AF$1001,0),MATCH(COLUMNS($AM$1006:AM1006),$AM$1006:$BM$1006,0)), HYPERLINK("#",""), HYPERLINK(CONCATENATE("#metadata!", ADDRESS(INDEX($AH$2:$AH$1001,MATCH(ROWS($AF$2:AF749),$AF$2:$AF$1001,0),0), INDEX($AM$1004:$BM$1004,1,MATCH(COLUMNS($AM$1006:AM1006),$AM$1006:$BM$1006,0)))),"Fix")))</f>
        <v xml:space="preserve"> </v>
      </c>
      <c r="C749" s="4" t="str">
        <f ca="1">IF(OR(INDEX($AG$2:$AG$1001,MATCH(ROWS($AF$2:AF749),$AF$2:$AF$1001,0),1)&gt;=100000,INDEX($AM$1005:$BM$1005,1,MATCH(COLUMNS($AM$1006:AN1006),$AM$1006:$BM$1006,0))&gt;=100000), " ",IF(INDEX($AM$2:$BM$1001,MATCH(ROWS($AF$2:AF749),$AF$2:$AF$1001,0),MATCH(COLUMNS($AM$1006:AN1006),$AM$1006:$BM$1006,0)), HYPERLINK("#",""), HYPERLINK(CONCATENATE("#metadata!", ADDRESS(INDEX($AH$2:$AH$1001,MATCH(ROWS($AF$2:AF749),$AF$2:$AF$1001,0),0), INDEX($AM$1004:$BM$1004,1,MATCH(COLUMNS($AM$1006:AN1006),$AM$1006:$BM$1006,0)))),"Fix")))</f>
        <v xml:space="preserve"> </v>
      </c>
      <c r="D749" s="4" t="str">
        <f ca="1">IF(OR(INDEX($AG$2:$AG$1001,MATCH(ROWS($AF$2:AF749),$AF$2:$AF$1001,0),1)&gt;=100000,INDEX($AM$1005:$BM$1005,1,MATCH(COLUMNS($AM$1006:AO1006),$AM$1006:$BM$1006,0))&gt;=100000), " ",IF(INDEX($AM$2:$BM$1001,MATCH(ROWS($AF$2:AF749),$AF$2:$AF$1001,0),MATCH(COLUMNS($AM$1006:AO1006),$AM$1006:$BM$1006,0)), HYPERLINK("#",""), HYPERLINK(CONCATENATE("#metadata!", ADDRESS(INDEX($AH$2:$AH$1001,MATCH(ROWS($AF$2:AF749),$AF$2:$AF$1001,0),0), INDEX($AM$1004:$BM$1004,1,MATCH(COLUMNS($AM$1006:AO1006),$AM$1006:$BM$1006,0)))),"Fix")))</f>
        <v xml:space="preserve"> </v>
      </c>
      <c r="E749" s="4" t="str">
        <f ca="1">IF(OR(INDEX($AG$2:$AG$1001,MATCH(ROWS($AF$2:AF749),$AF$2:$AF$1001,0),1)&gt;=100000,INDEX($AM$1005:$BM$1005,1,MATCH(COLUMNS($AM$1006:AP1006),$AM$1006:$BM$1006,0))&gt;=100000), " ",IF(INDEX($AM$2:$BM$1001,MATCH(ROWS($AF$2:AF749),$AF$2:$AF$1001,0),MATCH(COLUMNS($AM$1006:AP1006),$AM$1006:$BM$1006,0)), HYPERLINK("#",""), HYPERLINK(CONCATENATE("#metadata!", ADDRESS(INDEX($AH$2:$AH$1001,MATCH(ROWS($AF$2:AF749),$AF$2:$AF$1001,0),0), INDEX($AM$1004:$BM$1004,1,MATCH(COLUMNS($AM$1006:AP1006),$AM$1006:$BM$1006,0)))),"Fix")))</f>
        <v xml:space="preserve"> </v>
      </c>
      <c r="F749" s="4" t="str">
        <f ca="1">IF(OR(INDEX($AG$2:$AG$1001,MATCH(ROWS($AF$2:AF749),$AF$2:$AF$1001,0),1)&gt;=100000,INDEX($AM$1005:$BM$1005,1,MATCH(COLUMNS($AM$1006:AQ1006),$AM$1006:$BM$1006,0))&gt;=100000), " ",IF(INDEX($AM$2:$BM$1001,MATCH(ROWS($AF$2:AF749),$AF$2:$AF$1001,0),MATCH(COLUMNS($AM$1006:AQ1006),$AM$1006:$BM$1006,0)), HYPERLINK("#",""), HYPERLINK(CONCATENATE("#metadata!", ADDRESS(INDEX($AH$2:$AH$1001,MATCH(ROWS($AF$2:AF749),$AF$2:$AF$1001,0),0), INDEX($AM$1004:$BM$1004,1,MATCH(COLUMNS($AM$1006:AQ1006),$AM$1006:$BM$1006,0)))),"Fix")))</f>
        <v xml:space="preserve"> </v>
      </c>
      <c r="G749" s="4" t="str">
        <f ca="1">IF(OR(INDEX($AG$2:$AG$1001,MATCH(ROWS($AF$2:AF749),$AF$2:$AF$1001,0),1)&gt;=100000,INDEX($AM$1005:$BM$1005,1,MATCH(COLUMNS($AM$1006:AR1006),$AM$1006:$BM$1006,0))&gt;=100000), " ",IF(INDEX($AM$2:$BM$1001,MATCH(ROWS($AF$2:AF749),$AF$2:$AF$1001,0),MATCH(COLUMNS($AM$1006:AR1006),$AM$1006:$BM$1006,0)), HYPERLINK("#",""), HYPERLINK(CONCATENATE("#metadata!", ADDRESS(INDEX($AH$2:$AH$1001,MATCH(ROWS($AF$2:AF749),$AF$2:$AF$1001,0),0), INDEX($AM$1004:$BM$1004,1,MATCH(COLUMNS($AM$1006:AR1006),$AM$1006:$BM$1006,0)))),"Fix")))</f>
        <v xml:space="preserve"> </v>
      </c>
      <c r="H749" s="4" t="str">
        <f ca="1">IF(OR(INDEX($AG$2:$AG$1001,MATCH(ROWS($AF$2:AF749),$AF$2:$AF$1001,0),1)&gt;=100000,INDEX($AM$1005:$BM$1005,1,MATCH(COLUMNS($AM$1006:AS1006),$AM$1006:$BM$1006,0))&gt;=100000), " ",IF(INDEX($AM$2:$BM$1001,MATCH(ROWS($AF$2:AF749),$AF$2:$AF$1001,0),MATCH(COLUMNS($AM$1006:AS1006),$AM$1006:$BM$1006,0)), HYPERLINK("#",""), HYPERLINK(CONCATENATE("#metadata!", ADDRESS(INDEX($AH$2:$AH$1001,MATCH(ROWS($AF$2:AF749),$AF$2:$AF$1001,0),0), INDEX($AM$1004:$BM$1004,1,MATCH(COLUMNS($AM$1006:AS1006),$AM$1006:$BM$1006,0)))),"Fix")))</f>
        <v xml:space="preserve"> </v>
      </c>
      <c r="I749" s="4" t="str">
        <f ca="1">IF(OR(INDEX($AG$2:$AG$1001,MATCH(ROWS($AF$2:AF749),$AF$2:$AF$1001,0),1)&gt;=100000,INDEX($AM$1005:$BM$1005,1,MATCH(COLUMNS($AM$1006:AT1006),$AM$1006:$BM$1006,0))&gt;=100000), " ",IF(INDEX($AM$2:$BM$1001,MATCH(ROWS($AF$2:AF749),$AF$2:$AF$1001,0),MATCH(COLUMNS($AM$1006:AT1006),$AM$1006:$BM$1006,0)), HYPERLINK("#",""), HYPERLINK(CONCATENATE("#metadata!", ADDRESS(INDEX($AH$2:$AH$1001,MATCH(ROWS($AF$2:AF749),$AF$2:$AF$1001,0),0), INDEX($AM$1004:$BM$1004,1,MATCH(COLUMNS($AM$1006:AT1006),$AM$1006:$BM$1006,0)))),"Fix")))</f>
        <v xml:space="preserve"> </v>
      </c>
      <c r="J749" s="4" t="str">
        <f ca="1">IF(OR(INDEX($AG$2:$AG$1001,MATCH(ROWS($AF$2:AF749),$AF$2:$AF$1001,0),1)&gt;=100000,INDEX($AM$1005:$BM$1005,1,MATCH(COLUMNS($AM$1006:AU1006),$AM$1006:$BM$1006,0))&gt;=100000), " ",IF(INDEX($AM$2:$BM$1001,MATCH(ROWS($AF$2:AF749),$AF$2:$AF$1001,0),MATCH(COLUMNS($AM$1006:AU1006),$AM$1006:$BM$1006,0)), HYPERLINK("#",""), HYPERLINK(CONCATENATE("#metadata!", ADDRESS(INDEX($AH$2:$AH$1001,MATCH(ROWS($AF$2:AF749),$AF$2:$AF$1001,0),0), INDEX($AM$1004:$BM$1004,1,MATCH(COLUMNS($AM$1006:AU1006),$AM$1006:$BM$1006,0)))),"Fix")))</f>
        <v xml:space="preserve"> </v>
      </c>
      <c r="K749" s="4" t="str">
        <f ca="1">IF(OR(INDEX($AG$2:$AG$1001,MATCH(ROWS($AF$2:AF749),$AF$2:$AF$1001,0),1)&gt;=100000,INDEX($AM$1005:$BM$1005,1,MATCH(COLUMNS($AM$1006:AV1006),$AM$1006:$BM$1006,0))&gt;=100000), " ",IF(INDEX($AM$2:$BM$1001,MATCH(ROWS($AF$2:AF749),$AF$2:$AF$1001,0),MATCH(COLUMNS($AM$1006:AV1006),$AM$1006:$BM$1006,0)), HYPERLINK("#",""), HYPERLINK(CONCATENATE("#metadata!", ADDRESS(INDEX($AH$2:$AH$1001,MATCH(ROWS($AF$2:AF749),$AF$2:$AF$1001,0),0), INDEX($AM$1004:$BM$1004,1,MATCH(COLUMNS($AM$1006:AV1006),$AM$1006:$BM$1006,0)))),"Fix")))</f>
        <v xml:space="preserve"> </v>
      </c>
      <c r="L749" s="4" t="str">
        <f ca="1">IF(OR(INDEX($AG$2:$AG$1001,MATCH(ROWS($AF$2:AF749),$AF$2:$AF$1001,0),1)&gt;=100000,INDEX($AM$1005:$BM$1005,1,MATCH(COLUMNS($AM$1006:AW1006),$AM$1006:$BM$1006,0))&gt;=100000), " ",IF(INDEX($AM$2:$BM$1001,MATCH(ROWS($AF$2:AF749),$AF$2:$AF$1001,0),MATCH(COLUMNS($AM$1006:AW1006),$AM$1006:$BM$1006,0)), HYPERLINK("#",""), HYPERLINK(CONCATENATE("#metadata!", ADDRESS(INDEX($AH$2:$AH$1001,MATCH(ROWS($AF$2:AF749),$AF$2:$AF$1001,0),0), INDEX($AM$1004:$BM$1004,1,MATCH(COLUMNS($AM$1006:AW1006),$AM$1006:$BM$1006,0)))),"Fix")))</f>
        <v xml:space="preserve"> </v>
      </c>
      <c r="M749" s="4" t="str">
        <f ca="1">IF(OR(INDEX($AG$2:$AG$1001,MATCH(ROWS($AF$2:AF749),$AF$2:$AF$1001,0),1)&gt;=100000,INDEX($AM$1005:$BM$1005,1,MATCH(COLUMNS($AM$1006:AX1006),$AM$1006:$BM$1006,0))&gt;=100000), " ",IF(INDEX($AM$2:$BM$1001,MATCH(ROWS($AF$2:AF749),$AF$2:$AF$1001,0),MATCH(COLUMNS($AM$1006:AX1006),$AM$1006:$BM$1006,0)), HYPERLINK("#",""), HYPERLINK(CONCATENATE("#metadata!", ADDRESS(INDEX($AH$2:$AH$1001,MATCH(ROWS($AF$2:AF749),$AF$2:$AF$1001,0),0), INDEX($AM$1004:$BM$1004,1,MATCH(COLUMNS($AM$1006:AX1006),$AM$1006:$BM$1006,0)))),"Fix")))</f>
        <v xml:space="preserve"> </v>
      </c>
      <c r="N749" s="4" t="str">
        <f ca="1">IF(OR(INDEX($AG$2:$AG$1001,MATCH(ROWS($AF$2:AF749),$AF$2:$AF$1001,0),1)&gt;=100000,INDEX($AM$1005:$BM$1005,1,MATCH(COLUMNS($AM$1006:AY1006),$AM$1006:$BM$1006,0))&gt;=100000), " ",IF(INDEX($AM$2:$BM$1001,MATCH(ROWS($AF$2:AF749),$AF$2:$AF$1001,0),MATCH(COLUMNS($AM$1006:AY1006),$AM$1006:$BM$1006,0)), HYPERLINK("#",""), HYPERLINK(CONCATENATE("#metadata!", ADDRESS(INDEX($AH$2:$AH$1001,MATCH(ROWS($AF$2:AF749),$AF$2:$AF$1001,0),0), INDEX($AM$1004:$BM$1004,1,MATCH(COLUMNS($AM$1006:AY1006),$AM$1006:$BM$1006,0)))),"Fix")))</f>
        <v xml:space="preserve"> </v>
      </c>
      <c r="O749" s="4" t="str">
        <f ca="1">IF(OR(INDEX($AG$2:$AG$1001,MATCH(ROWS($AF$2:AF749),$AF$2:$AF$1001,0),1)&gt;=100000,INDEX($AM$1005:$BM$1005,1,MATCH(COLUMNS($AM$1006:AZ1006),$AM$1006:$BM$1006,0))&gt;=100000), " ",IF(INDEX($AM$2:$BM$1001,MATCH(ROWS($AF$2:AF749),$AF$2:$AF$1001,0),MATCH(COLUMNS($AM$1006:AZ1006),$AM$1006:$BM$1006,0)), HYPERLINK("#",""), HYPERLINK(CONCATENATE("#metadata!", ADDRESS(INDEX($AH$2:$AH$1001,MATCH(ROWS($AF$2:AF749),$AF$2:$AF$1001,0),0), INDEX($AM$1004:$BM$1004,1,MATCH(COLUMNS($AM$1006:AZ1006),$AM$1006:$BM$1006,0)))),"Fix")))</f>
        <v xml:space="preserve"> </v>
      </c>
      <c r="P749" s="4" t="str">
        <f ca="1">IF(OR(INDEX($AG$2:$AG$1001,MATCH(ROWS($AF$2:AF749),$AF$2:$AF$1001,0),1)&gt;=100000,INDEX($AM$1005:$BM$1005,1,MATCH(COLUMNS($AM$1006:BA1006),$AM$1006:$BM$1006,0))&gt;=100000), " ",IF(INDEX($AM$2:$BM$1001,MATCH(ROWS($AF$2:AF749),$AF$2:$AF$1001,0),MATCH(COLUMNS($AM$1006:BA1006),$AM$1006:$BM$1006,0)), HYPERLINK("#",""), HYPERLINK(CONCATENATE("#metadata!", ADDRESS(INDEX($AH$2:$AH$1001,MATCH(ROWS($AF$2:AF749),$AF$2:$AF$1001,0),0), INDEX($AM$1004:$BM$1004,1,MATCH(COLUMNS($AM$1006:BA1006),$AM$1006:$BM$1006,0)))),"Fix")))</f>
        <v xml:space="preserve"> </v>
      </c>
      <c r="Q749" s="4" t="str">
        <f ca="1">IF(OR(INDEX($AG$2:$AG$1001,MATCH(ROWS($AF$2:AF749),$AF$2:$AF$1001,0),1)&gt;=100000,INDEX($AM$1005:$BM$1005,1,MATCH(COLUMNS($AM$1006:BB1006),$AM$1006:$BM$1006,0))&gt;=100000), " ",IF(INDEX($AM$2:$BM$1001,MATCH(ROWS($AF$2:AF749),$AF$2:$AF$1001,0),MATCH(COLUMNS($AM$1006:BB1006),$AM$1006:$BM$1006,0)), HYPERLINK("#",""), HYPERLINK(CONCATENATE("#metadata!", ADDRESS(INDEX($AH$2:$AH$1001,MATCH(ROWS($AF$2:AF749),$AF$2:$AF$1001,0),0), INDEX($AM$1004:$BM$1004,1,MATCH(COLUMNS($AM$1006:BB1006),$AM$1006:$BM$1006,0)))),"Fix")))</f>
        <v xml:space="preserve"> </v>
      </c>
      <c r="R749" s="4" t="str">
        <f ca="1">IF(OR(INDEX($AG$2:$AG$1001,MATCH(ROWS($AF$2:AF749),$AF$2:$AF$1001,0),1)&gt;=100000,INDEX($AM$1005:$BM$1005,1,MATCH(COLUMNS($AM$1006:BC1006),$AM$1006:$BM$1006,0))&gt;=100000), " ",IF(INDEX($AM$2:$BM$1001,MATCH(ROWS($AF$2:AF749),$AF$2:$AF$1001,0),MATCH(COLUMNS($AM$1006:BC1006),$AM$1006:$BM$1006,0)), HYPERLINK("#",""), HYPERLINK(CONCATENATE("#metadata!", ADDRESS(INDEX($AH$2:$AH$1001,MATCH(ROWS($AF$2:AF749),$AF$2:$AF$1001,0),0), INDEX($AM$1004:$BM$1004,1,MATCH(COLUMNS($AM$1006:BC1006),$AM$1006:$BM$1006,0)))),"Fix")))</f>
        <v xml:space="preserve"> </v>
      </c>
      <c r="S749" s="4" t="str">
        <f ca="1">IF(OR(INDEX($AG$2:$AG$1001,MATCH(ROWS($AF$2:AF749),$AF$2:$AF$1001,0),1)&gt;=100000,INDEX($AM$1005:$BM$1005,1,MATCH(COLUMNS($AM$1006:BD1006),$AM$1006:$BM$1006,0))&gt;=100000), " ",IF(INDEX($AM$2:$BM$1001,MATCH(ROWS($AF$2:AF749),$AF$2:$AF$1001,0),MATCH(COLUMNS($AM$1006:BD1006),$AM$1006:$BM$1006,0)), HYPERLINK("#",""), HYPERLINK(CONCATENATE("#metadata!", ADDRESS(INDEX($AH$2:$AH$1001,MATCH(ROWS($AF$2:AF749),$AF$2:$AF$1001,0),0), INDEX($AM$1004:$BM$1004,1,MATCH(COLUMNS($AM$1006:BD1006),$AM$1006:$BM$1006,0)))),"Fix")))</f>
        <v xml:space="preserve"> </v>
      </c>
      <c r="T749" s="4" t="str">
        <f ca="1">IF(OR(INDEX($AG$2:$AG$1001,MATCH(ROWS($AF$2:AF749),$AF$2:$AF$1001,0),1)&gt;=100000,INDEX($AM$1005:$BM$1005,1,MATCH(COLUMNS($AM$1006:BE1006),$AM$1006:$BM$1006,0))&gt;=100000), " ",IF(INDEX($AM$2:$BM$1001,MATCH(ROWS($AF$2:AF749),$AF$2:$AF$1001,0),MATCH(COLUMNS($AM$1006:BE1006),$AM$1006:$BM$1006,0)), HYPERLINK("#",""), HYPERLINK(CONCATENATE("#metadata!", ADDRESS(INDEX($AH$2:$AH$1001,MATCH(ROWS($AF$2:AF749),$AF$2:$AF$1001,0),0), INDEX($AM$1004:$BM$1004,1,MATCH(COLUMNS($AM$1006:BE1006),$AM$1006:$BM$1006,0)))),"Fix")))</f>
        <v xml:space="preserve"> </v>
      </c>
      <c r="U749" s="4" t="str">
        <f ca="1">IF(OR(INDEX($AG$2:$AG$1001,MATCH(ROWS($AF$2:AF749),$AF$2:$AF$1001,0),1)&gt;=100000,INDEX($AM$1005:$BM$1005,1,MATCH(COLUMNS($AM$1006:BF1006),$AM$1006:$BM$1006,0))&gt;=100000), " ",IF(INDEX($AM$2:$BM$1001,MATCH(ROWS($AF$2:AF749),$AF$2:$AF$1001,0),MATCH(COLUMNS($AM$1006:BF1006),$AM$1006:$BM$1006,0)), HYPERLINK("#",""), HYPERLINK(CONCATENATE("#metadata!", ADDRESS(INDEX($AH$2:$AH$1001,MATCH(ROWS($AF$2:AF749),$AF$2:$AF$1001,0),0), INDEX($AM$1004:$BM$1004,1,MATCH(COLUMNS($AM$1006:BF1006),$AM$1006:$BM$1006,0)))),"Fix")))</f>
        <v xml:space="preserve"> </v>
      </c>
      <c r="V749" s="4" t="str">
        <f ca="1">IF(OR(INDEX($AG$2:$AG$1001,MATCH(ROWS($AF$2:AF749),$AF$2:$AF$1001,0),1)&gt;=100000,INDEX($AM$1005:$BM$1005,1,MATCH(COLUMNS($AM$1006:BG1006),$AM$1006:$BM$1006,0))&gt;=100000), " ",IF(INDEX($AM$2:$BM$1001,MATCH(ROWS($AF$2:AF749),$AF$2:$AF$1001,0),MATCH(COLUMNS($AM$1006:BG1006),$AM$1006:$BM$1006,0)), HYPERLINK("#",""), HYPERLINK(CONCATENATE("#metadata!", ADDRESS(INDEX($AH$2:$AH$1001,MATCH(ROWS($AF$2:AF749),$AF$2:$AF$1001,0),0), INDEX($AM$1004:$BM$1004,1,MATCH(COLUMNS($AM$1006:BG1006),$AM$1006:$BM$1006,0)))),"Fix")))</f>
        <v xml:space="preserve"> </v>
      </c>
      <c r="W749" s="4" t="str">
        <f ca="1">IF(OR(INDEX($AG$2:$AG$1001,MATCH(ROWS($AF$2:AF749),$AF$2:$AF$1001,0),1)&gt;=100000,INDEX($AM$1005:$BM$1005,1,MATCH(COLUMNS($AM$1006:BH1006),$AM$1006:$BM$1006,0))&gt;=100000), " ",IF(INDEX($AM$2:$BM$1001,MATCH(ROWS($AF$2:AF749),$AF$2:$AF$1001,0),MATCH(COLUMNS($AM$1006:BH1006),$AM$1006:$BM$1006,0)), HYPERLINK("#",""), HYPERLINK(CONCATENATE("#metadata!", ADDRESS(INDEX($AH$2:$AH$1001,MATCH(ROWS($AF$2:AF749),$AF$2:$AF$1001,0),0), INDEX($AM$1004:$BM$1004,1,MATCH(COLUMNS($AM$1006:BH1006),$AM$1006:$BM$1006,0)))),"Fix")))</f>
        <v xml:space="preserve"> </v>
      </c>
      <c r="X749" s="4" t="str">
        <f ca="1">IF(OR(INDEX($AG$2:$AG$1001,MATCH(ROWS($AF$2:AF749),$AF$2:$AF$1001,0),1)&gt;=100000,INDEX($AM$1005:$BM$1005,1,MATCH(COLUMNS($AM$1006:BI1006),$AM$1006:$BM$1006,0))&gt;=100000), " ",IF(INDEX($AM$2:$BM$1001,MATCH(ROWS($AF$2:AF749),$AF$2:$AF$1001,0),MATCH(COLUMNS($AM$1006:BI1006),$AM$1006:$BM$1006,0)), HYPERLINK("#",""), HYPERLINK(CONCATENATE("#metadata!", ADDRESS(INDEX($AH$2:$AH$1001,MATCH(ROWS($AF$2:AF749),$AF$2:$AF$1001,0),0), INDEX($AM$1004:$BM$1004,1,MATCH(COLUMNS($AM$1006:BI1006),$AM$1006:$BM$1006,0)))),"Fix")))</f>
        <v xml:space="preserve"> </v>
      </c>
      <c r="Y749" s="4" t="str">
        <f ca="1">IF(OR(INDEX($AG$2:$AG$1001,MATCH(ROWS($AF$2:AF749),$AF$2:$AF$1001,0),1)&gt;=100000,INDEX($AM$1005:$BM$1005,1,MATCH(COLUMNS($AM$1006:BJ1006),$AM$1006:$BM$1006,0))&gt;=100000), " ",IF(INDEX($AM$2:$BM$1001,MATCH(ROWS($AF$2:AF749),$AF$2:$AF$1001,0),MATCH(COLUMNS($AM$1006:BJ1006),$AM$1006:$BM$1006,0)), HYPERLINK("#",""), HYPERLINK(CONCATENATE("#metadata!", ADDRESS(INDEX($AH$2:$AH$1001,MATCH(ROWS($AF$2:AF749),$AF$2:$AF$1001,0),0), INDEX($AM$1004:$BM$1004,1,MATCH(COLUMNS($AM$1006:BJ1006),$AM$1006:$BM$1006,0)))),"Fix")))</f>
        <v xml:space="preserve"> </v>
      </c>
      <c r="Z749" s="4" t="str">
        <f ca="1">IF(OR(INDEX($AG$2:$AG$1001,MATCH(ROWS($AF$2:AF749),$AF$2:$AF$1001,0),1)&gt;=100000,INDEX($AM$1005:$BM$1005,1,MATCH(COLUMNS($AM$1006:BK1006),$AM$1006:$BM$1006,0))&gt;=100000), " ",IF(INDEX($AM$2:$BM$1001,MATCH(ROWS($AF$2:AF749),$AF$2:$AF$1001,0),MATCH(COLUMNS($AM$1006:BK1006),$AM$1006:$BM$1006,0)), HYPERLINK("#",""), HYPERLINK(CONCATENATE("#metadata!", ADDRESS(INDEX($AH$2:$AH$1001,MATCH(ROWS($AF$2:AF749),$AF$2:$AF$1001,0),0), INDEX($AM$1004:$BM$1004,1,MATCH(COLUMNS($AM$1006:BK1006),$AM$1006:$BM$1006,0)))),"Fix")))</f>
        <v xml:space="preserve"> </v>
      </c>
      <c r="AA749" s="4" t="str">
        <f ca="1">IF(OR(INDEX($AG$2:$AG$1001,MATCH(ROWS($AF$2:AF749),$AF$2:$AF$1001,0),1)&gt;=100000,INDEX($AM$1005:$BM$1005,1,MATCH(COLUMNS($AM$1006:BL1006),$AM$1006:$BM$1006,0))&gt;=100000), " ",IF(INDEX($AM$2:$BM$1001,MATCH(ROWS($AF$2:AF749),$AF$2:$AF$1001,0),MATCH(COLUMNS($AM$1006:BL1006),$AM$1006:$BM$1006,0)), HYPERLINK("#",""), HYPERLINK(CONCATENATE("#metadata!", ADDRESS(INDEX($AH$2:$AH$1001,MATCH(ROWS($AF$2:AF749),$AF$2:$AF$1001,0),0), INDEX($AM$1004:$BM$1004,1,MATCH(COLUMNS($AM$1006:BL1006),$AM$1006:$BM$1006,0)))),"Fix")))</f>
        <v xml:space="preserve"> </v>
      </c>
      <c r="AB749" s="4" t="str">
        <f ca="1">IF(OR(INDEX($AG$2:$AG$1001,MATCH(ROWS($AF$2:AF749),$AF$2:$AF$1001,0),1)&gt;=100000,INDEX($AM$1005:$BM$1005,1,MATCH(COLUMNS($AM$1006:BM1006),$AM$1006:$BM$1006,0))&gt;=100000), " ",IF(INDEX($AM$2:$BM$1001,MATCH(ROWS($AF$2:AF749),$AF$2:$AF$1001,0),MATCH(COLUMNS($AM$1006:BM1006),$AM$1006:$BM$1006,0)), HYPERLINK("#",""), HYPERLINK(CONCATENATE("#metadata!", ADDRESS(INDEX($AH$2:$AH$1001,MATCH(ROWS($AF$2:AF749),$AF$2:$AF$1001,0),0), INDEX($AM$1004:$BM$1004,1,MATCH(COLUMNS($AM$1006:BM1006),$AM$1006:$BM$1006,0)))),"Fix")))</f>
        <v xml:space="preserve"> </v>
      </c>
      <c r="AF749">
        <v>748</v>
      </c>
      <c r="AG749">
        <v>100749</v>
      </c>
      <c r="AH749">
        <v>749</v>
      </c>
      <c r="AI749" t="b">
        <f t="shared" si="11"/>
        <v>1</v>
      </c>
      <c r="AJ749" t="b">
        <f>COUNTBLANK(metadata!B749:AB749)=COLUMNS(metadata!B749:AB749)</f>
        <v>1</v>
      </c>
      <c r="AK749" t="str">
        <v/>
      </c>
      <c r="AM749" t="b">
        <f ca="1">AND(IF(metadata!B749="",FALSE,TRUE),COUNTIF(metadata!B:B, metadata!B749) = 1,NOT(ISERROR(SUMPRODUCT(SEARCH(MID(metadata!B749,ROW(INDIRECT("1:"&amp;LEN(metadata!B749))), 1),"0123456789abcdefghijklmnopqrstuvwxyzABCDEFGHIJKLMNOPQRSTUVWXYZ.")))))</f>
        <v>0</v>
      </c>
      <c r="AN749" t="b">
        <f ca="1">OR(AND(IF(metadata!C749="",FALSE,TRUE),OR(EXACT(metadata!C749,"missing: not collected"),EXACT(metadata!C749,"missing: not provided"),EXACT(metadata!C749,"missing: restricted access"))),AND(IF(metadata!C749="",FALSE,TRUE),AND(AND(IFERROR(INT(LEFT(metadata!C749,4))&gt;1900,FALSE),IFERROR(INT(LEFT(metadata!C749,4))&lt;=YEAR(NOW()),FALSE)), OR(MID(metadata!C749,5,1)="", AND(AND(MID(metadata!C749,5,1)="-",IFERROR(INT(MID(metadata!C749,6,1))&gt;=0,FALSE),IFERROR(INT(MID(metadata!C749,6,1))&lt;=1,FALSE),NOT(MID(metadata!C749,7,1)=""),IFERROR(INT(MID(metadata!C749,6,2))&gt;=1,FALSE),IFERROR(INT(MID(metadata!C749,6,2))&lt;=12,FALSE)), OR(MID(metadata!C749,8,1)="", AND(AND(MID(metadata!C749,8,1)="-",IFERROR(INT(MID(metadata!C749,9,1))&gt;=0,FALSE),IFERROR(INT(MID(metadata!C749,9,1))&lt;=3,FALSE),NOT(MID(metadata!C749,10,1)=""),IFERROR(INT(MID(metadata!C749,9,2))&gt;=1,FALSE),IFERROR(INT(MID(metadata!C749,9,2))&lt;=31,FALSE)), OR(MID(metadata!C749,11,1)="", AND(AND(MID(metadata!C749,11,1)=" ",IFERROR(INT(MID(metadata!C749,12,1))&gt;=0,FALSE),IFERROR(INT(MID(metadata!C749,12,1))&lt;=2,FALSE),NOT(MID(metadata!C749,13,1)=""),IFERROR(INT(MID(metadata!C749,12,2))&gt;=0,FALSE),IFERROR(INT(MID(metadata!C749,12,2))&lt;=23,FALSE)), OR(MID(metadata!C749,14,1)="", AND(AND(MID(metadata!C749,14,1)=":",IFERROR(INT(MID(metadata!C749,15,1))&gt;=0,FALSE),IFERROR(INT(MID(metadata!C749,15,1))&lt;=5,FALSE),NOT(MID(metadata!C749,16,1)=""),IFERROR(INT(MID(metadata!C749,15,2))&gt;=0,FALSE),IFERROR(INT(MID(metadata!C749,15,2))&lt;=59,FALSE)), OR(MID(metadata!C749,17,1)="", AND(AND(MID(metadata!C749,17,1)=":",IFERROR(INT(MID(metadata!C749,18,1))&gt;=0,FALSE),IFERROR(INT(MID(metadata!C749,18,1))&lt;=5,FALSE),NOT(MID(metadata!C749,19,1)=""),IFERROR(INT(MID(metadata!C749,18,2))&gt;=0,FALSE),IFERROR(INT(MID(metadata!C749,18,2))&lt;=59,FALSE)), LEN(metadata!C749)&lt;=19)))))))))))))</f>
        <v>0</v>
      </c>
      <c r="AO749" t="b">
        <f>AND(IF(metadata!D749="",FALSE,TRUE),EXACT(metadata!D749,"Not applicable"))</f>
        <v>0</v>
      </c>
      <c r="AP749" t="b">
        <f>IF(metadata!E749="",FALSE,TRUE)</f>
        <v>0</v>
      </c>
      <c r="AQ749" t="b">
        <f>OR(AND(IF(metadata!F749="",FALSE,TRUE),OR(EXACT(metadata!F749,"missing: not collected"),EXACT(metadata!F749,"missing: not provided"))),AND(IF(metadata!F749="",FALSE,TRUE),OR(EXACT(metadata!F749,"TRUE"),EXACT(metadata!F749,"FALSE"))))</f>
        <v>0</v>
      </c>
      <c r="AR749" t="b">
        <f>OR(AND(IF(metadata!G749="",FALSE,TRUE),OR(EXACT(metadata!G749,"missing: not collected"),EXACT(metadata!G749,"missing: not provided"),EXACT(metadata!G749,"missing: restricted access"))),AND(IF(metadata!G749="",FALSE,ISNUMBER(VALUE(metadata!G749))),metadata!G749&gt;=-413))</f>
        <v>0</v>
      </c>
      <c r="AS749" t="b">
        <f>AND(IF(metadata!H749="",FALSE,TRUE),EXACT(metadata!H749,"meters"))</f>
        <v>0</v>
      </c>
      <c r="AT749" t="b">
        <f>AND(IF(metadata!I749="",FALSE,TRUE),OR(EXACT(metadata!I749,"Host-associated"),EXACT(metadata!I749,"Free-living")))</f>
        <v>0</v>
      </c>
      <c r="AU749" t="b">
        <f>AND(IF(metadata!J749="",FALSE,TRUE),OR(EXACT(metadata!J749,"Animal"),EXACT(metadata!J749,"Fungus"),EXACT(metadata!J749,"Plant"),EXACT(metadata!J749,"Saline"),EXACT(metadata!J749,"Non-saline")))</f>
        <v>0</v>
      </c>
      <c r="AV749" t="b">
        <f>AND(IF(metadata!K749="",FALSE,TRUE),OR(EXACT(metadata!K749,"Plant secretion"),EXACT(metadata!K749,"Plant rhizosphere"),EXACT(metadata!K749,"Plant surface"),EXACT(metadata!K749,"Plant corpus"),EXACT(metadata!K749,"Fungus surface"),EXACT(metadata!K749,"Fungus corpus"),EXACT(metadata!K749,"Animal surface"),EXACT(metadata!K749,"Animal proximal gut"),EXACT(metadata!K749,"Animal corpus"),EXACT(metadata!K749,"Animal distal gut"),EXACT(metadata!K749,"Animal secretion"),EXACT(metadata!K749,"Sub-surface (non-saline)"),EXACT(metadata!K749,"Surface (non-saline)"),EXACT(metadata!K749,"Water (non-saline)"),EXACT(metadata!K749,"Soil (non-saline)"),EXACT(metadata!K749,"Aerosol (non-saline)"),EXACT(metadata!K749,"Sediment (non-saline)"),EXACT(metadata!K749,"Surface (saline)"),EXACT(metadata!K749,"Water (saline)"),EXACT(metadata!K749,"Hypersaline (saline)"),EXACT(metadata!K749,"Aerosol (saline)"),EXACT(metadata!K749,"Sediment (saline)")))</f>
        <v>0</v>
      </c>
      <c r="AW749" t="b">
        <f>IF(metadata!L749="",FALSE,TRUE)</f>
        <v>0</v>
      </c>
      <c r="AX749" t="b">
        <f>IF(metadata!M749="",FALSE,TRUE)</f>
        <v>0</v>
      </c>
      <c r="AY749" t="b">
        <f>IF(metadata!N749="",FALSE,TRUE)</f>
        <v>0</v>
      </c>
      <c r="AZ749" t="b">
        <f>OR(AND(IF(metadata!O749="",FALSE,TRUE),OR(EXACT(metadata!O749,"missing: not collected"),EXACT(metadata!O749,"missing: not provided"),EXACT(metadata!O749,"missing: restricted access"))),AND(IF(metadata!O749="",FALSE,TRUE),OR(EXACT(metadata!O749,"air"),EXACT(metadata!O749,"built environment"),EXACT(metadata!O749,"host-associated"),EXACT(metadata!O749,"human-associated"),EXACT(metadata!O749,"human-skin"),EXACT(metadata!O749,"human-oral"),EXACT(metadata!O749,"human-gut"),EXACT(metadata!O749,"human-vaginal"),EXACT(metadata!O749,"microbial mat/biofilm"),EXACT(metadata!O749,"misc environment"),EXACT(metadata!O749,"plant-associated"),EXACT(metadata!O749,"sediment"),EXACT(metadata!O749,"soil"),EXACT(metadata!O749,"wastewater/sludge"),EXACT(metadata!O749,"water"))))</f>
        <v>0</v>
      </c>
      <c r="BA749" t="b">
        <f>IF(metadata!P749="",FALSE,TRUE)</f>
        <v>0</v>
      </c>
      <c r="BB749" t="b">
        <f>IF(metadata!Q749="",FALSE,TRUE)</f>
        <v>0</v>
      </c>
      <c r="BC749" t="b">
        <f>OR(AND(IF(metadata!R749="",FALSE,TRUE),OR(EXACT(metadata!R749,"missing: not collected"),EXACT(metadata!R749,"missing: not provided"),EXACT(metadata!R749,"missing: restricted access"))),AND(IF(metadata!R749="",FALSE,ISNUMBER(VALUE(metadata!R749))),metadata!R749&gt;=-90,metadata!R749&lt;=90))</f>
        <v>0</v>
      </c>
      <c r="BD749" t="b">
        <f>AND(IF(metadata!S749="",FALSE,TRUE),EXACT(metadata!S749,"Decimal degrees"))</f>
        <v>0</v>
      </c>
      <c r="BE749" t="b">
        <f>OR(AND(IF(metadata!T749="",FALSE,TRUE),OR(EXACT(metadata!T749,"missing: not collected"),EXACT(metadata!T749,"missing: not provided"),EXACT(metadata!T749,"missing: restricted access"))),AND(IF(metadata!T749="",FALSE,ISNUMBER(VALUE(metadata!T749))),metadata!T749&gt;=-180,metadata!T749&lt;=180))</f>
        <v>0</v>
      </c>
      <c r="BF749" t="b">
        <f>AND(IF(metadata!U749="",FALSE,TRUE),EXACT(metadata!U749,"Decimal degrees"))</f>
        <v>0</v>
      </c>
      <c r="BG749" t="b">
        <f>IF(metadata!V749="",FALSE,TRUE)</f>
        <v>0</v>
      </c>
      <c r="BH749" t="b">
        <f>OR(AND(IF(metadata!W749="",FALSE,TRUE),OR(EXACT(metadata!W749,"missing: not collected"),EXACT(metadata!W749,"missing: not provided"),EXACT(metadata!W749,"missing: restricted access"))),AND(IF(metadata!W749="",FALSE,TRUE),OR(EXACT(metadata!W749,"TRUE"),EXACT(metadata!W749,"FALSE"))))</f>
        <v>0</v>
      </c>
      <c r="BI749" t="b">
        <f>AND(IF(metadata!X749="",FALSE,TRUE),EXACT(metadata!X749,"other"))</f>
        <v>0</v>
      </c>
      <c r="BJ749" t="b">
        <f>IF(metadata!Y749="",FALSE,TRUE)</f>
        <v>0</v>
      </c>
      <c r="BK749" t="b">
        <f>OR(AND(IF(metadata!Z749="",FALSE,TRUE),OR(EXACT(metadata!Z749,"missing: not collected"),EXACT(metadata!Z749,"missing: not provided"))),AND(IF(metadata!Z749="",FALSE,IF(ISERROR(INT(metadata!Z749)),FALSE,INT(metadata!Z749)=metadata!Z749)),metadata!Z749&gt;0))</f>
        <v>0</v>
      </c>
      <c r="BL749" t="b">
        <f>AND(IF(metadata!AA749="",FALSE,TRUE),EXACT(metadata!AA749,"Not applicable"))</f>
        <v>0</v>
      </c>
      <c r="BM749" t="b">
        <f>IF(metadata!AB749="",FALSE,TRUE)</f>
        <v>0</v>
      </c>
    </row>
    <row r="750" spans="1:65" x14ac:dyDescent="0.2">
      <c r="A750" s="5" t="str">
        <f ca="1">IF(B750=" "," ",HYPERLINK(CONCATENATE("#metadata!",ADDRESS(INDEX($AH$2:$AH$1001,MATCH(ROWS($AF$2:AF750),$AF$2:$AF$1001,0),0),1)),INDEX($AK$2:$AK$1001,MATCH(ROWS($AF$2:AF750),$AF$2:$AF$1001,0),0)))</f>
        <v xml:space="preserve"> </v>
      </c>
      <c r="B750" s="4" t="str">
        <f ca="1">IF(OR(INDEX($AG$2:$AG$1001,MATCH(ROWS($AF$2:AF750),$AF$2:$AF$1001,0),1)&gt;=100000,INDEX($AM$1005:$BM$1005,1,MATCH(COLUMNS($AM$1006:AM1006),$AM$1006:$BM$1006,0))&gt;=100000), " ",IF(INDEX($AM$2:$BM$1001,MATCH(ROWS($AF$2:AF750),$AF$2:$AF$1001,0),MATCH(COLUMNS($AM$1006:AM1006),$AM$1006:$BM$1006,0)), HYPERLINK("#",""), HYPERLINK(CONCATENATE("#metadata!", ADDRESS(INDEX($AH$2:$AH$1001,MATCH(ROWS($AF$2:AF750),$AF$2:$AF$1001,0),0), INDEX($AM$1004:$BM$1004,1,MATCH(COLUMNS($AM$1006:AM1006),$AM$1006:$BM$1006,0)))),"Fix")))</f>
        <v xml:space="preserve"> </v>
      </c>
      <c r="C750" s="4" t="str">
        <f ca="1">IF(OR(INDEX($AG$2:$AG$1001,MATCH(ROWS($AF$2:AF750),$AF$2:$AF$1001,0),1)&gt;=100000,INDEX($AM$1005:$BM$1005,1,MATCH(COLUMNS($AM$1006:AN1006),$AM$1006:$BM$1006,0))&gt;=100000), " ",IF(INDEX($AM$2:$BM$1001,MATCH(ROWS($AF$2:AF750),$AF$2:$AF$1001,0),MATCH(COLUMNS($AM$1006:AN1006),$AM$1006:$BM$1006,0)), HYPERLINK("#",""), HYPERLINK(CONCATENATE("#metadata!", ADDRESS(INDEX($AH$2:$AH$1001,MATCH(ROWS($AF$2:AF750),$AF$2:$AF$1001,0),0), INDEX($AM$1004:$BM$1004,1,MATCH(COLUMNS($AM$1006:AN1006),$AM$1006:$BM$1006,0)))),"Fix")))</f>
        <v xml:space="preserve"> </v>
      </c>
      <c r="D750" s="4" t="str">
        <f ca="1">IF(OR(INDEX($AG$2:$AG$1001,MATCH(ROWS($AF$2:AF750),$AF$2:$AF$1001,0),1)&gt;=100000,INDEX($AM$1005:$BM$1005,1,MATCH(COLUMNS($AM$1006:AO1006),$AM$1006:$BM$1006,0))&gt;=100000), " ",IF(INDEX($AM$2:$BM$1001,MATCH(ROWS($AF$2:AF750),$AF$2:$AF$1001,0),MATCH(COLUMNS($AM$1006:AO1006),$AM$1006:$BM$1006,0)), HYPERLINK("#",""), HYPERLINK(CONCATENATE("#metadata!", ADDRESS(INDEX($AH$2:$AH$1001,MATCH(ROWS($AF$2:AF750),$AF$2:$AF$1001,0),0), INDEX($AM$1004:$BM$1004,1,MATCH(COLUMNS($AM$1006:AO1006),$AM$1006:$BM$1006,0)))),"Fix")))</f>
        <v xml:space="preserve"> </v>
      </c>
      <c r="E750" s="4" t="str">
        <f ca="1">IF(OR(INDEX($AG$2:$AG$1001,MATCH(ROWS($AF$2:AF750),$AF$2:$AF$1001,0),1)&gt;=100000,INDEX($AM$1005:$BM$1005,1,MATCH(COLUMNS($AM$1006:AP1006),$AM$1006:$BM$1006,0))&gt;=100000), " ",IF(INDEX($AM$2:$BM$1001,MATCH(ROWS($AF$2:AF750),$AF$2:$AF$1001,0),MATCH(COLUMNS($AM$1006:AP1006),$AM$1006:$BM$1006,0)), HYPERLINK("#",""), HYPERLINK(CONCATENATE("#metadata!", ADDRESS(INDEX($AH$2:$AH$1001,MATCH(ROWS($AF$2:AF750),$AF$2:$AF$1001,0),0), INDEX($AM$1004:$BM$1004,1,MATCH(COLUMNS($AM$1006:AP1006),$AM$1006:$BM$1006,0)))),"Fix")))</f>
        <v xml:space="preserve"> </v>
      </c>
      <c r="F750" s="4" t="str">
        <f ca="1">IF(OR(INDEX($AG$2:$AG$1001,MATCH(ROWS($AF$2:AF750),$AF$2:$AF$1001,0),1)&gt;=100000,INDEX($AM$1005:$BM$1005,1,MATCH(COLUMNS($AM$1006:AQ1006),$AM$1006:$BM$1006,0))&gt;=100000), " ",IF(INDEX($AM$2:$BM$1001,MATCH(ROWS($AF$2:AF750),$AF$2:$AF$1001,0),MATCH(COLUMNS($AM$1006:AQ1006),$AM$1006:$BM$1006,0)), HYPERLINK("#",""), HYPERLINK(CONCATENATE("#metadata!", ADDRESS(INDEX($AH$2:$AH$1001,MATCH(ROWS($AF$2:AF750),$AF$2:$AF$1001,0),0), INDEX($AM$1004:$BM$1004,1,MATCH(COLUMNS($AM$1006:AQ1006),$AM$1006:$BM$1006,0)))),"Fix")))</f>
        <v xml:space="preserve"> </v>
      </c>
      <c r="G750" s="4" t="str">
        <f ca="1">IF(OR(INDEX($AG$2:$AG$1001,MATCH(ROWS($AF$2:AF750),$AF$2:$AF$1001,0),1)&gt;=100000,INDEX($AM$1005:$BM$1005,1,MATCH(COLUMNS($AM$1006:AR1006),$AM$1006:$BM$1006,0))&gt;=100000), " ",IF(INDEX($AM$2:$BM$1001,MATCH(ROWS($AF$2:AF750),$AF$2:$AF$1001,0),MATCH(COLUMNS($AM$1006:AR1006),$AM$1006:$BM$1006,0)), HYPERLINK("#",""), HYPERLINK(CONCATENATE("#metadata!", ADDRESS(INDEX($AH$2:$AH$1001,MATCH(ROWS($AF$2:AF750),$AF$2:$AF$1001,0),0), INDEX($AM$1004:$BM$1004,1,MATCH(COLUMNS($AM$1006:AR1006),$AM$1006:$BM$1006,0)))),"Fix")))</f>
        <v xml:space="preserve"> </v>
      </c>
      <c r="H750" s="4" t="str">
        <f ca="1">IF(OR(INDEX($AG$2:$AG$1001,MATCH(ROWS($AF$2:AF750),$AF$2:$AF$1001,0),1)&gt;=100000,INDEX($AM$1005:$BM$1005,1,MATCH(COLUMNS($AM$1006:AS1006),$AM$1006:$BM$1006,0))&gt;=100000), " ",IF(INDEX($AM$2:$BM$1001,MATCH(ROWS($AF$2:AF750),$AF$2:$AF$1001,0),MATCH(COLUMNS($AM$1006:AS1006),$AM$1006:$BM$1006,0)), HYPERLINK("#",""), HYPERLINK(CONCATENATE("#metadata!", ADDRESS(INDEX($AH$2:$AH$1001,MATCH(ROWS($AF$2:AF750),$AF$2:$AF$1001,0),0), INDEX($AM$1004:$BM$1004,1,MATCH(COLUMNS($AM$1006:AS1006),$AM$1006:$BM$1006,0)))),"Fix")))</f>
        <v xml:space="preserve"> </v>
      </c>
      <c r="I750" s="4" t="str">
        <f ca="1">IF(OR(INDEX($AG$2:$AG$1001,MATCH(ROWS($AF$2:AF750),$AF$2:$AF$1001,0),1)&gt;=100000,INDEX($AM$1005:$BM$1005,1,MATCH(COLUMNS($AM$1006:AT1006),$AM$1006:$BM$1006,0))&gt;=100000), " ",IF(INDEX($AM$2:$BM$1001,MATCH(ROWS($AF$2:AF750),$AF$2:$AF$1001,0),MATCH(COLUMNS($AM$1006:AT1006),$AM$1006:$BM$1006,0)), HYPERLINK("#",""), HYPERLINK(CONCATENATE("#metadata!", ADDRESS(INDEX($AH$2:$AH$1001,MATCH(ROWS($AF$2:AF750),$AF$2:$AF$1001,0),0), INDEX($AM$1004:$BM$1004,1,MATCH(COLUMNS($AM$1006:AT1006),$AM$1006:$BM$1006,0)))),"Fix")))</f>
        <v xml:space="preserve"> </v>
      </c>
      <c r="J750" s="4" t="str">
        <f ca="1">IF(OR(INDEX($AG$2:$AG$1001,MATCH(ROWS($AF$2:AF750),$AF$2:$AF$1001,0),1)&gt;=100000,INDEX($AM$1005:$BM$1005,1,MATCH(COLUMNS($AM$1006:AU1006),$AM$1006:$BM$1006,0))&gt;=100000), " ",IF(INDEX($AM$2:$BM$1001,MATCH(ROWS($AF$2:AF750),$AF$2:$AF$1001,0),MATCH(COLUMNS($AM$1006:AU1006),$AM$1006:$BM$1006,0)), HYPERLINK("#",""), HYPERLINK(CONCATENATE("#metadata!", ADDRESS(INDEX($AH$2:$AH$1001,MATCH(ROWS($AF$2:AF750),$AF$2:$AF$1001,0),0), INDEX($AM$1004:$BM$1004,1,MATCH(COLUMNS($AM$1006:AU1006),$AM$1006:$BM$1006,0)))),"Fix")))</f>
        <v xml:space="preserve"> </v>
      </c>
      <c r="K750" s="4" t="str">
        <f ca="1">IF(OR(INDEX($AG$2:$AG$1001,MATCH(ROWS($AF$2:AF750),$AF$2:$AF$1001,0),1)&gt;=100000,INDEX($AM$1005:$BM$1005,1,MATCH(COLUMNS($AM$1006:AV1006),$AM$1006:$BM$1006,0))&gt;=100000), " ",IF(INDEX($AM$2:$BM$1001,MATCH(ROWS($AF$2:AF750),$AF$2:$AF$1001,0),MATCH(COLUMNS($AM$1006:AV1006),$AM$1006:$BM$1006,0)), HYPERLINK("#",""), HYPERLINK(CONCATENATE("#metadata!", ADDRESS(INDEX($AH$2:$AH$1001,MATCH(ROWS($AF$2:AF750),$AF$2:$AF$1001,0),0), INDEX($AM$1004:$BM$1004,1,MATCH(COLUMNS($AM$1006:AV1006),$AM$1006:$BM$1006,0)))),"Fix")))</f>
        <v xml:space="preserve"> </v>
      </c>
      <c r="L750" s="4" t="str">
        <f ca="1">IF(OR(INDEX($AG$2:$AG$1001,MATCH(ROWS($AF$2:AF750),$AF$2:$AF$1001,0),1)&gt;=100000,INDEX($AM$1005:$BM$1005,1,MATCH(COLUMNS($AM$1006:AW1006),$AM$1006:$BM$1006,0))&gt;=100000), " ",IF(INDEX($AM$2:$BM$1001,MATCH(ROWS($AF$2:AF750),$AF$2:$AF$1001,0),MATCH(COLUMNS($AM$1006:AW1006),$AM$1006:$BM$1006,0)), HYPERLINK("#",""), HYPERLINK(CONCATENATE("#metadata!", ADDRESS(INDEX($AH$2:$AH$1001,MATCH(ROWS($AF$2:AF750),$AF$2:$AF$1001,0),0), INDEX($AM$1004:$BM$1004,1,MATCH(COLUMNS($AM$1006:AW1006),$AM$1006:$BM$1006,0)))),"Fix")))</f>
        <v xml:space="preserve"> </v>
      </c>
      <c r="M750" s="4" t="str">
        <f ca="1">IF(OR(INDEX($AG$2:$AG$1001,MATCH(ROWS($AF$2:AF750),$AF$2:$AF$1001,0),1)&gt;=100000,INDEX($AM$1005:$BM$1005,1,MATCH(COLUMNS($AM$1006:AX1006),$AM$1006:$BM$1006,0))&gt;=100000), " ",IF(INDEX($AM$2:$BM$1001,MATCH(ROWS($AF$2:AF750),$AF$2:$AF$1001,0),MATCH(COLUMNS($AM$1006:AX1006),$AM$1006:$BM$1006,0)), HYPERLINK("#",""), HYPERLINK(CONCATENATE("#metadata!", ADDRESS(INDEX($AH$2:$AH$1001,MATCH(ROWS($AF$2:AF750),$AF$2:$AF$1001,0),0), INDEX($AM$1004:$BM$1004,1,MATCH(COLUMNS($AM$1006:AX1006),$AM$1006:$BM$1006,0)))),"Fix")))</f>
        <v xml:space="preserve"> </v>
      </c>
      <c r="N750" s="4" t="str">
        <f ca="1">IF(OR(INDEX($AG$2:$AG$1001,MATCH(ROWS($AF$2:AF750),$AF$2:$AF$1001,0),1)&gt;=100000,INDEX($AM$1005:$BM$1005,1,MATCH(COLUMNS($AM$1006:AY1006),$AM$1006:$BM$1006,0))&gt;=100000), " ",IF(INDEX($AM$2:$BM$1001,MATCH(ROWS($AF$2:AF750),$AF$2:$AF$1001,0),MATCH(COLUMNS($AM$1006:AY1006),$AM$1006:$BM$1006,0)), HYPERLINK("#",""), HYPERLINK(CONCATENATE("#metadata!", ADDRESS(INDEX($AH$2:$AH$1001,MATCH(ROWS($AF$2:AF750),$AF$2:$AF$1001,0),0), INDEX($AM$1004:$BM$1004,1,MATCH(COLUMNS($AM$1006:AY1006),$AM$1006:$BM$1006,0)))),"Fix")))</f>
        <v xml:space="preserve"> </v>
      </c>
      <c r="O750" s="4" t="str">
        <f ca="1">IF(OR(INDEX($AG$2:$AG$1001,MATCH(ROWS($AF$2:AF750),$AF$2:$AF$1001,0),1)&gt;=100000,INDEX($AM$1005:$BM$1005,1,MATCH(COLUMNS($AM$1006:AZ1006),$AM$1006:$BM$1006,0))&gt;=100000), " ",IF(INDEX($AM$2:$BM$1001,MATCH(ROWS($AF$2:AF750),$AF$2:$AF$1001,0),MATCH(COLUMNS($AM$1006:AZ1006),$AM$1006:$BM$1006,0)), HYPERLINK("#",""), HYPERLINK(CONCATENATE("#metadata!", ADDRESS(INDEX($AH$2:$AH$1001,MATCH(ROWS($AF$2:AF750),$AF$2:$AF$1001,0),0), INDEX($AM$1004:$BM$1004,1,MATCH(COLUMNS($AM$1006:AZ1006),$AM$1006:$BM$1006,0)))),"Fix")))</f>
        <v xml:space="preserve"> </v>
      </c>
      <c r="P750" s="4" t="str">
        <f ca="1">IF(OR(INDEX($AG$2:$AG$1001,MATCH(ROWS($AF$2:AF750),$AF$2:$AF$1001,0),1)&gt;=100000,INDEX($AM$1005:$BM$1005,1,MATCH(COLUMNS($AM$1006:BA1006),$AM$1006:$BM$1006,0))&gt;=100000), " ",IF(INDEX($AM$2:$BM$1001,MATCH(ROWS($AF$2:AF750),$AF$2:$AF$1001,0),MATCH(COLUMNS($AM$1006:BA1006),$AM$1006:$BM$1006,0)), HYPERLINK("#",""), HYPERLINK(CONCATENATE("#metadata!", ADDRESS(INDEX($AH$2:$AH$1001,MATCH(ROWS($AF$2:AF750),$AF$2:$AF$1001,0),0), INDEX($AM$1004:$BM$1004,1,MATCH(COLUMNS($AM$1006:BA1006),$AM$1006:$BM$1006,0)))),"Fix")))</f>
        <v xml:space="preserve"> </v>
      </c>
      <c r="Q750" s="4" t="str">
        <f ca="1">IF(OR(INDEX($AG$2:$AG$1001,MATCH(ROWS($AF$2:AF750),$AF$2:$AF$1001,0),1)&gt;=100000,INDEX($AM$1005:$BM$1005,1,MATCH(COLUMNS($AM$1006:BB1006),$AM$1006:$BM$1006,0))&gt;=100000), " ",IF(INDEX($AM$2:$BM$1001,MATCH(ROWS($AF$2:AF750),$AF$2:$AF$1001,0),MATCH(COLUMNS($AM$1006:BB1006),$AM$1006:$BM$1006,0)), HYPERLINK("#",""), HYPERLINK(CONCATENATE("#metadata!", ADDRESS(INDEX($AH$2:$AH$1001,MATCH(ROWS($AF$2:AF750),$AF$2:$AF$1001,0),0), INDEX($AM$1004:$BM$1004,1,MATCH(COLUMNS($AM$1006:BB1006),$AM$1006:$BM$1006,0)))),"Fix")))</f>
        <v xml:space="preserve"> </v>
      </c>
      <c r="R750" s="4" t="str">
        <f ca="1">IF(OR(INDEX($AG$2:$AG$1001,MATCH(ROWS($AF$2:AF750),$AF$2:$AF$1001,0),1)&gt;=100000,INDEX($AM$1005:$BM$1005,1,MATCH(COLUMNS($AM$1006:BC1006),$AM$1006:$BM$1006,0))&gt;=100000), " ",IF(INDEX($AM$2:$BM$1001,MATCH(ROWS($AF$2:AF750),$AF$2:$AF$1001,0),MATCH(COLUMNS($AM$1006:BC1006),$AM$1006:$BM$1006,0)), HYPERLINK("#",""), HYPERLINK(CONCATENATE("#metadata!", ADDRESS(INDEX($AH$2:$AH$1001,MATCH(ROWS($AF$2:AF750),$AF$2:$AF$1001,0),0), INDEX($AM$1004:$BM$1004,1,MATCH(COLUMNS($AM$1006:BC1006),$AM$1006:$BM$1006,0)))),"Fix")))</f>
        <v xml:space="preserve"> </v>
      </c>
      <c r="S750" s="4" t="str">
        <f ca="1">IF(OR(INDEX($AG$2:$AG$1001,MATCH(ROWS($AF$2:AF750),$AF$2:$AF$1001,0),1)&gt;=100000,INDEX($AM$1005:$BM$1005,1,MATCH(COLUMNS($AM$1006:BD1006),$AM$1006:$BM$1006,0))&gt;=100000), " ",IF(INDEX($AM$2:$BM$1001,MATCH(ROWS($AF$2:AF750),$AF$2:$AF$1001,0),MATCH(COLUMNS($AM$1006:BD1006),$AM$1006:$BM$1006,0)), HYPERLINK("#",""), HYPERLINK(CONCATENATE("#metadata!", ADDRESS(INDEX($AH$2:$AH$1001,MATCH(ROWS($AF$2:AF750),$AF$2:$AF$1001,0),0), INDEX($AM$1004:$BM$1004,1,MATCH(COLUMNS($AM$1006:BD1006),$AM$1006:$BM$1006,0)))),"Fix")))</f>
        <v xml:space="preserve"> </v>
      </c>
      <c r="T750" s="4" t="str">
        <f ca="1">IF(OR(INDEX($AG$2:$AG$1001,MATCH(ROWS($AF$2:AF750),$AF$2:$AF$1001,0),1)&gt;=100000,INDEX($AM$1005:$BM$1005,1,MATCH(COLUMNS($AM$1006:BE1006),$AM$1006:$BM$1006,0))&gt;=100000), " ",IF(INDEX($AM$2:$BM$1001,MATCH(ROWS($AF$2:AF750),$AF$2:$AF$1001,0),MATCH(COLUMNS($AM$1006:BE1006),$AM$1006:$BM$1006,0)), HYPERLINK("#",""), HYPERLINK(CONCATENATE("#metadata!", ADDRESS(INDEX($AH$2:$AH$1001,MATCH(ROWS($AF$2:AF750),$AF$2:$AF$1001,0),0), INDEX($AM$1004:$BM$1004,1,MATCH(COLUMNS($AM$1006:BE1006),$AM$1006:$BM$1006,0)))),"Fix")))</f>
        <v xml:space="preserve"> </v>
      </c>
      <c r="U750" s="4" t="str">
        <f ca="1">IF(OR(INDEX($AG$2:$AG$1001,MATCH(ROWS($AF$2:AF750),$AF$2:$AF$1001,0),1)&gt;=100000,INDEX($AM$1005:$BM$1005,1,MATCH(COLUMNS($AM$1006:BF1006),$AM$1006:$BM$1006,0))&gt;=100000), " ",IF(INDEX($AM$2:$BM$1001,MATCH(ROWS($AF$2:AF750),$AF$2:$AF$1001,0),MATCH(COLUMNS($AM$1006:BF1006),$AM$1006:$BM$1006,0)), HYPERLINK("#",""), HYPERLINK(CONCATENATE("#metadata!", ADDRESS(INDEX($AH$2:$AH$1001,MATCH(ROWS($AF$2:AF750),$AF$2:$AF$1001,0),0), INDEX($AM$1004:$BM$1004,1,MATCH(COLUMNS($AM$1006:BF1006),$AM$1006:$BM$1006,0)))),"Fix")))</f>
        <v xml:space="preserve"> </v>
      </c>
      <c r="V750" s="4" t="str">
        <f ca="1">IF(OR(INDEX($AG$2:$AG$1001,MATCH(ROWS($AF$2:AF750),$AF$2:$AF$1001,0),1)&gt;=100000,INDEX($AM$1005:$BM$1005,1,MATCH(COLUMNS($AM$1006:BG1006),$AM$1006:$BM$1006,0))&gt;=100000), " ",IF(INDEX($AM$2:$BM$1001,MATCH(ROWS($AF$2:AF750),$AF$2:$AF$1001,0),MATCH(COLUMNS($AM$1006:BG1006),$AM$1006:$BM$1006,0)), HYPERLINK("#",""), HYPERLINK(CONCATENATE("#metadata!", ADDRESS(INDEX($AH$2:$AH$1001,MATCH(ROWS($AF$2:AF750),$AF$2:$AF$1001,0),0), INDEX($AM$1004:$BM$1004,1,MATCH(COLUMNS($AM$1006:BG1006),$AM$1006:$BM$1006,0)))),"Fix")))</f>
        <v xml:space="preserve"> </v>
      </c>
      <c r="W750" s="4" t="str">
        <f ca="1">IF(OR(INDEX($AG$2:$AG$1001,MATCH(ROWS($AF$2:AF750),$AF$2:$AF$1001,0),1)&gt;=100000,INDEX($AM$1005:$BM$1005,1,MATCH(COLUMNS($AM$1006:BH1006),$AM$1006:$BM$1006,0))&gt;=100000), " ",IF(INDEX($AM$2:$BM$1001,MATCH(ROWS($AF$2:AF750),$AF$2:$AF$1001,0),MATCH(COLUMNS($AM$1006:BH1006),$AM$1006:$BM$1006,0)), HYPERLINK("#",""), HYPERLINK(CONCATENATE("#metadata!", ADDRESS(INDEX($AH$2:$AH$1001,MATCH(ROWS($AF$2:AF750),$AF$2:$AF$1001,0),0), INDEX($AM$1004:$BM$1004,1,MATCH(COLUMNS($AM$1006:BH1006),$AM$1006:$BM$1006,0)))),"Fix")))</f>
        <v xml:space="preserve"> </v>
      </c>
      <c r="X750" s="4" t="str">
        <f ca="1">IF(OR(INDEX($AG$2:$AG$1001,MATCH(ROWS($AF$2:AF750),$AF$2:$AF$1001,0),1)&gt;=100000,INDEX($AM$1005:$BM$1005,1,MATCH(COLUMNS($AM$1006:BI1006),$AM$1006:$BM$1006,0))&gt;=100000), " ",IF(INDEX($AM$2:$BM$1001,MATCH(ROWS($AF$2:AF750),$AF$2:$AF$1001,0),MATCH(COLUMNS($AM$1006:BI1006),$AM$1006:$BM$1006,0)), HYPERLINK("#",""), HYPERLINK(CONCATENATE("#metadata!", ADDRESS(INDEX($AH$2:$AH$1001,MATCH(ROWS($AF$2:AF750),$AF$2:$AF$1001,0),0), INDEX($AM$1004:$BM$1004,1,MATCH(COLUMNS($AM$1006:BI1006),$AM$1006:$BM$1006,0)))),"Fix")))</f>
        <v xml:space="preserve"> </v>
      </c>
      <c r="Y750" s="4" t="str">
        <f ca="1">IF(OR(INDEX($AG$2:$AG$1001,MATCH(ROWS($AF$2:AF750),$AF$2:$AF$1001,0),1)&gt;=100000,INDEX($AM$1005:$BM$1005,1,MATCH(COLUMNS($AM$1006:BJ1006),$AM$1006:$BM$1006,0))&gt;=100000), " ",IF(INDEX($AM$2:$BM$1001,MATCH(ROWS($AF$2:AF750),$AF$2:$AF$1001,0),MATCH(COLUMNS($AM$1006:BJ1006),$AM$1006:$BM$1006,0)), HYPERLINK("#",""), HYPERLINK(CONCATENATE("#metadata!", ADDRESS(INDEX($AH$2:$AH$1001,MATCH(ROWS($AF$2:AF750),$AF$2:$AF$1001,0),0), INDEX($AM$1004:$BM$1004,1,MATCH(COLUMNS($AM$1006:BJ1006),$AM$1006:$BM$1006,0)))),"Fix")))</f>
        <v xml:space="preserve"> </v>
      </c>
      <c r="Z750" s="4" t="str">
        <f ca="1">IF(OR(INDEX($AG$2:$AG$1001,MATCH(ROWS($AF$2:AF750),$AF$2:$AF$1001,0),1)&gt;=100000,INDEX($AM$1005:$BM$1005,1,MATCH(COLUMNS($AM$1006:BK1006),$AM$1006:$BM$1006,0))&gt;=100000), " ",IF(INDEX($AM$2:$BM$1001,MATCH(ROWS($AF$2:AF750),$AF$2:$AF$1001,0),MATCH(COLUMNS($AM$1006:BK1006),$AM$1006:$BM$1006,0)), HYPERLINK("#",""), HYPERLINK(CONCATENATE("#metadata!", ADDRESS(INDEX($AH$2:$AH$1001,MATCH(ROWS($AF$2:AF750),$AF$2:$AF$1001,0),0), INDEX($AM$1004:$BM$1004,1,MATCH(COLUMNS($AM$1006:BK1006),$AM$1006:$BM$1006,0)))),"Fix")))</f>
        <v xml:space="preserve"> </v>
      </c>
      <c r="AA750" s="4" t="str">
        <f ca="1">IF(OR(INDEX($AG$2:$AG$1001,MATCH(ROWS($AF$2:AF750),$AF$2:$AF$1001,0),1)&gt;=100000,INDEX($AM$1005:$BM$1005,1,MATCH(COLUMNS($AM$1006:BL1006),$AM$1006:$BM$1006,0))&gt;=100000), " ",IF(INDEX($AM$2:$BM$1001,MATCH(ROWS($AF$2:AF750),$AF$2:$AF$1001,0),MATCH(COLUMNS($AM$1006:BL1006),$AM$1006:$BM$1006,0)), HYPERLINK("#",""), HYPERLINK(CONCATENATE("#metadata!", ADDRESS(INDEX($AH$2:$AH$1001,MATCH(ROWS($AF$2:AF750),$AF$2:$AF$1001,0),0), INDEX($AM$1004:$BM$1004,1,MATCH(COLUMNS($AM$1006:BL1006),$AM$1006:$BM$1006,0)))),"Fix")))</f>
        <v xml:space="preserve"> </v>
      </c>
      <c r="AB750" s="4" t="str">
        <f ca="1">IF(OR(INDEX($AG$2:$AG$1001,MATCH(ROWS($AF$2:AF750),$AF$2:$AF$1001,0),1)&gt;=100000,INDEX($AM$1005:$BM$1005,1,MATCH(COLUMNS($AM$1006:BM1006),$AM$1006:$BM$1006,0))&gt;=100000), " ",IF(INDEX($AM$2:$BM$1001,MATCH(ROWS($AF$2:AF750),$AF$2:$AF$1001,0),MATCH(COLUMNS($AM$1006:BM1006),$AM$1006:$BM$1006,0)), HYPERLINK("#",""), HYPERLINK(CONCATENATE("#metadata!", ADDRESS(INDEX($AH$2:$AH$1001,MATCH(ROWS($AF$2:AF750),$AF$2:$AF$1001,0),0), INDEX($AM$1004:$BM$1004,1,MATCH(COLUMNS($AM$1006:BM1006),$AM$1006:$BM$1006,0)))),"Fix")))</f>
        <v xml:space="preserve"> </v>
      </c>
      <c r="AF750">
        <v>749</v>
      </c>
      <c r="AG750">
        <v>100750</v>
      </c>
      <c r="AH750">
        <v>750</v>
      </c>
      <c r="AI750" t="b">
        <f t="shared" si="11"/>
        <v>1</v>
      </c>
      <c r="AJ750" t="b">
        <f>COUNTBLANK(metadata!B750:AB750)=COLUMNS(metadata!B750:AB750)</f>
        <v>1</v>
      </c>
      <c r="AK750" t="str">
        <v/>
      </c>
      <c r="AM750" t="b">
        <f ca="1">AND(IF(metadata!B750="",FALSE,TRUE),COUNTIF(metadata!B:B, metadata!B750) = 1,NOT(ISERROR(SUMPRODUCT(SEARCH(MID(metadata!B750,ROW(INDIRECT("1:"&amp;LEN(metadata!B750))), 1),"0123456789abcdefghijklmnopqrstuvwxyzABCDEFGHIJKLMNOPQRSTUVWXYZ.")))))</f>
        <v>0</v>
      </c>
      <c r="AN750" t="b">
        <f ca="1">OR(AND(IF(metadata!C750="",FALSE,TRUE),OR(EXACT(metadata!C750,"missing: not collected"),EXACT(metadata!C750,"missing: not provided"),EXACT(metadata!C750,"missing: restricted access"))),AND(IF(metadata!C750="",FALSE,TRUE),AND(AND(IFERROR(INT(LEFT(metadata!C750,4))&gt;1900,FALSE),IFERROR(INT(LEFT(metadata!C750,4))&lt;=YEAR(NOW()),FALSE)), OR(MID(metadata!C750,5,1)="", AND(AND(MID(metadata!C750,5,1)="-",IFERROR(INT(MID(metadata!C750,6,1))&gt;=0,FALSE),IFERROR(INT(MID(metadata!C750,6,1))&lt;=1,FALSE),NOT(MID(metadata!C750,7,1)=""),IFERROR(INT(MID(metadata!C750,6,2))&gt;=1,FALSE),IFERROR(INT(MID(metadata!C750,6,2))&lt;=12,FALSE)), OR(MID(metadata!C750,8,1)="", AND(AND(MID(metadata!C750,8,1)="-",IFERROR(INT(MID(metadata!C750,9,1))&gt;=0,FALSE),IFERROR(INT(MID(metadata!C750,9,1))&lt;=3,FALSE),NOT(MID(metadata!C750,10,1)=""),IFERROR(INT(MID(metadata!C750,9,2))&gt;=1,FALSE),IFERROR(INT(MID(metadata!C750,9,2))&lt;=31,FALSE)), OR(MID(metadata!C750,11,1)="", AND(AND(MID(metadata!C750,11,1)=" ",IFERROR(INT(MID(metadata!C750,12,1))&gt;=0,FALSE),IFERROR(INT(MID(metadata!C750,12,1))&lt;=2,FALSE),NOT(MID(metadata!C750,13,1)=""),IFERROR(INT(MID(metadata!C750,12,2))&gt;=0,FALSE),IFERROR(INT(MID(metadata!C750,12,2))&lt;=23,FALSE)), OR(MID(metadata!C750,14,1)="", AND(AND(MID(metadata!C750,14,1)=":",IFERROR(INT(MID(metadata!C750,15,1))&gt;=0,FALSE),IFERROR(INT(MID(metadata!C750,15,1))&lt;=5,FALSE),NOT(MID(metadata!C750,16,1)=""),IFERROR(INT(MID(metadata!C750,15,2))&gt;=0,FALSE),IFERROR(INT(MID(metadata!C750,15,2))&lt;=59,FALSE)), OR(MID(metadata!C750,17,1)="", AND(AND(MID(metadata!C750,17,1)=":",IFERROR(INT(MID(metadata!C750,18,1))&gt;=0,FALSE),IFERROR(INT(MID(metadata!C750,18,1))&lt;=5,FALSE),NOT(MID(metadata!C750,19,1)=""),IFERROR(INT(MID(metadata!C750,18,2))&gt;=0,FALSE),IFERROR(INT(MID(metadata!C750,18,2))&lt;=59,FALSE)), LEN(metadata!C750)&lt;=19)))))))))))))</f>
        <v>0</v>
      </c>
      <c r="AO750" t="b">
        <f>AND(IF(metadata!D750="",FALSE,TRUE),EXACT(metadata!D750,"Not applicable"))</f>
        <v>0</v>
      </c>
      <c r="AP750" t="b">
        <f>IF(metadata!E750="",FALSE,TRUE)</f>
        <v>0</v>
      </c>
      <c r="AQ750" t="b">
        <f>OR(AND(IF(metadata!F750="",FALSE,TRUE),OR(EXACT(metadata!F750,"missing: not collected"),EXACT(metadata!F750,"missing: not provided"))),AND(IF(metadata!F750="",FALSE,TRUE),OR(EXACT(metadata!F750,"TRUE"),EXACT(metadata!F750,"FALSE"))))</f>
        <v>0</v>
      </c>
      <c r="AR750" t="b">
        <f>OR(AND(IF(metadata!G750="",FALSE,TRUE),OR(EXACT(metadata!G750,"missing: not collected"),EXACT(metadata!G750,"missing: not provided"),EXACT(metadata!G750,"missing: restricted access"))),AND(IF(metadata!G750="",FALSE,ISNUMBER(VALUE(metadata!G750))),metadata!G750&gt;=-413))</f>
        <v>0</v>
      </c>
      <c r="AS750" t="b">
        <f>AND(IF(metadata!H750="",FALSE,TRUE),EXACT(metadata!H750,"meters"))</f>
        <v>0</v>
      </c>
      <c r="AT750" t="b">
        <f>AND(IF(metadata!I750="",FALSE,TRUE),OR(EXACT(metadata!I750,"Host-associated"),EXACT(metadata!I750,"Free-living")))</f>
        <v>0</v>
      </c>
      <c r="AU750" t="b">
        <f>AND(IF(metadata!J750="",FALSE,TRUE),OR(EXACT(metadata!J750,"Animal"),EXACT(metadata!J750,"Fungus"),EXACT(metadata!J750,"Plant"),EXACT(metadata!J750,"Saline"),EXACT(metadata!J750,"Non-saline")))</f>
        <v>0</v>
      </c>
      <c r="AV750" t="b">
        <f>AND(IF(metadata!K750="",FALSE,TRUE),OR(EXACT(metadata!K750,"Plant secretion"),EXACT(metadata!K750,"Plant rhizosphere"),EXACT(metadata!K750,"Plant surface"),EXACT(metadata!K750,"Plant corpus"),EXACT(metadata!K750,"Fungus surface"),EXACT(metadata!K750,"Fungus corpus"),EXACT(metadata!K750,"Animal surface"),EXACT(metadata!K750,"Animal proximal gut"),EXACT(metadata!K750,"Animal corpus"),EXACT(metadata!K750,"Animal distal gut"),EXACT(metadata!K750,"Animal secretion"),EXACT(metadata!K750,"Sub-surface (non-saline)"),EXACT(metadata!K750,"Surface (non-saline)"),EXACT(metadata!K750,"Water (non-saline)"),EXACT(metadata!K750,"Soil (non-saline)"),EXACT(metadata!K750,"Aerosol (non-saline)"),EXACT(metadata!K750,"Sediment (non-saline)"),EXACT(metadata!K750,"Surface (saline)"),EXACT(metadata!K750,"Water (saline)"),EXACT(metadata!K750,"Hypersaline (saline)"),EXACT(metadata!K750,"Aerosol (saline)"),EXACT(metadata!K750,"Sediment (saline)")))</f>
        <v>0</v>
      </c>
      <c r="AW750" t="b">
        <f>IF(metadata!L750="",FALSE,TRUE)</f>
        <v>0</v>
      </c>
      <c r="AX750" t="b">
        <f>IF(metadata!M750="",FALSE,TRUE)</f>
        <v>0</v>
      </c>
      <c r="AY750" t="b">
        <f>IF(metadata!N750="",FALSE,TRUE)</f>
        <v>0</v>
      </c>
      <c r="AZ750" t="b">
        <f>OR(AND(IF(metadata!O750="",FALSE,TRUE),OR(EXACT(metadata!O750,"missing: not collected"),EXACT(metadata!O750,"missing: not provided"),EXACT(metadata!O750,"missing: restricted access"))),AND(IF(metadata!O750="",FALSE,TRUE),OR(EXACT(metadata!O750,"air"),EXACT(metadata!O750,"built environment"),EXACT(metadata!O750,"host-associated"),EXACT(metadata!O750,"human-associated"),EXACT(metadata!O750,"human-skin"),EXACT(metadata!O750,"human-oral"),EXACT(metadata!O750,"human-gut"),EXACT(metadata!O750,"human-vaginal"),EXACT(metadata!O750,"microbial mat/biofilm"),EXACT(metadata!O750,"misc environment"),EXACT(metadata!O750,"plant-associated"),EXACT(metadata!O750,"sediment"),EXACT(metadata!O750,"soil"),EXACT(metadata!O750,"wastewater/sludge"),EXACT(metadata!O750,"water"))))</f>
        <v>0</v>
      </c>
      <c r="BA750" t="b">
        <f>IF(metadata!P750="",FALSE,TRUE)</f>
        <v>0</v>
      </c>
      <c r="BB750" t="b">
        <f>IF(metadata!Q750="",FALSE,TRUE)</f>
        <v>0</v>
      </c>
      <c r="BC750" t="b">
        <f>OR(AND(IF(metadata!R750="",FALSE,TRUE),OR(EXACT(metadata!R750,"missing: not collected"),EXACT(metadata!R750,"missing: not provided"),EXACT(metadata!R750,"missing: restricted access"))),AND(IF(metadata!R750="",FALSE,ISNUMBER(VALUE(metadata!R750))),metadata!R750&gt;=-90,metadata!R750&lt;=90))</f>
        <v>0</v>
      </c>
      <c r="BD750" t="b">
        <f>AND(IF(metadata!S750="",FALSE,TRUE),EXACT(metadata!S750,"Decimal degrees"))</f>
        <v>0</v>
      </c>
      <c r="BE750" t="b">
        <f>OR(AND(IF(metadata!T750="",FALSE,TRUE),OR(EXACT(metadata!T750,"missing: not collected"),EXACT(metadata!T750,"missing: not provided"),EXACT(metadata!T750,"missing: restricted access"))),AND(IF(metadata!T750="",FALSE,ISNUMBER(VALUE(metadata!T750))),metadata!T750&gt;=-180,metadata!T750&lt;=180))</f>
        <v>0</v>
      </c>
      <c r="BF750" t="b">
        <f>AND(IF(metadata!U750="",FALSE,TRUE),EXACT(metadata!U750,"Decimal degrees"))</f>
        <v>0</v>
      </c>
      <c r="BG750" t="b">
        <f>IF(metadata!V750="",FALSE,TRUE)</f>
        <v>0</v>
      </c>
      <c r="BH750" t="b">
        <f>OR(AND(IF(metadata!W750="",FALSE,TRUE),OR(EXACT(metadata!W750,"missing: not collected"),EXACT(metadata!W750,"missing: not provided"),EXACT(metadata!W750,"missing: restricted access"))),AND(IF(metadata!W750="",FALSE,TRUE),OR(EXACT(metadata!W750,"TRUE"),EXACT(metadata!W750,"FALSE"))))</f>
        <v>0</v>
      </c>
      <c r="BI750" t="b">
        <f>AND(IF(metadata!X750="",FALSE,TRUE),EXACT(metadata!X750,"other"))</f>
        <v>0</v>
      </c>
      <c r="BJ750" t="b">
        <f>IF(metadata!Y750="",FALSE,TRUE)</f>
        <v>0</v>
      </c>
      <c r="BK750" t="b">
        <f>OR(AND(IF(metadata!Z750="",FALSE,TRUE),OR(EXACT(metadata!Z750,"missing: not collected"),EXACT(metadata!Z750,"missing: not provided"))),AND(IF(metadata!Z750="",FALSE,IF(ISERROR(INT(metadata!Z750)),FALSE,INT(metadata!Z750)=metadata!Z750)),metadata!Z750&gt;0))</f>
        <v>0</v>
      </c>
      <c r="BL750" t="b">
        <f>AND(IF(metadata!AA750="",FALSE,TRUE),EXACT(metadata!AA750,"Not applicable"))</f>
        <v>0</v>
      </c>
      <c r="BM750" t="b">
        <f>IF(metadata!AB750="",FALSE,TRUE)</f>
        <v>0</v>
      </c>
    </row>
    <row r="751" spans="1:65" x14ac:dyDescent="0.2">
      <c r="A751" s="5" t="str">
        <f ca="1">IF(B751=" "," ",HYPERLINK(CONCATENATE("#metadata!",ADDRESS(INDEX($AH$2:$AH$1001,MATCH(ROWS($AF$2:AF751),$AF$2:$AF$1001,0),0),1)),INDEX($AK$2:$AK$1001,MATCH(ROWS($AF$2:AF751),$AF$2:$AF$1001,0),0)))</f>
        <v xml:space="preserve"> </v>
      </c>
      <c r="B751" s="4" t="str">
        <f ca="1">IF(OR(INDEX($AG$2:$AG$1001,MATCH(ROWS($AF$2:AF751),$AF$2:$AF$1001,0),1)&gt;=100000,INDEX($AM$1005:$BM$1005,1,MATCH(COLUMNS($AM$1006:AM1006),$AM$1006:$BM$1006,0))&gt;=100000), " ",IF(INDEX($AM$2:$BM$1001,MATCH(ROWS($AF$2:AF751),$AF$2:$AF$1001,0),MATCH(COLUMNS($AM$1006:AM1006),$AM$1006:$BM$1006,0)), HYPERLINK("#",""), HYPERLINK(CONCATENATE("#metadata!", ADDRESS(INDEX($AH$2:$AH$1001,MATCH(ROWS($AF$2:AF751),$AF$2:$AF$1001,0),0), INDEX($AM$1004:$BM$1004,1,MATCH(COLUMNS($AM$1006:AM1006),$AM$1006:$BM$1006,0)))),"Fix")))</f>
        <v xml:space="preserve"> </v>
      </c>
      <c r="C751" s="4" t="str">
        <f ca="1">IF(OR(INDEX($AG$2:$AG$1001,MATCH(ROWS($AF$2:AF751),$AF$2:$AF$1001,0),1)&gt;=100000,INDEX($AM$1005:$BM$1005,1,MATCH(COLUMNS($AM$1006:AN1006),$AM$1006:$BM$1006,0))&gt;=100000), " ",IF(INDEX($AM$2:$BM$1001,MATCH(ROWS($AF$2:AF751),$AF$2:$AF$1001,0),MATCH(COLUMNS($AM$1006:AN1006),$AM$1006:$BM$1006,0)), HYPERLINK("#",""), HYPERLINK(CONCATENATE("#metadata!", ADDRESS(INDEX($AH$2:$AH$1001,MATCH(ROWS($AF$2:AF751),$AF$2:$AF$1001,0),0), INDEX($AM$1004:$BM$1004,1,MATCH(COLUMNS($AM$1006:AN1006),$AM$1006:$BM$1006,0)))),"Fix")))</f>
        <v xml:space="preserve"> </v>
      </c>
      <c r="D751" s="4" t="str">
        <f ca="1">IF(OR(INDEX($AG$2:$AG$1001,MATCH(ROWS($AF$2:AF751),$AF$2:$AF$1001,0),1)&gt;=100000,INDEX($AM$1005:$BM$1005,1,MATCH(COLUMNS($AM$1006:AO1006),$AM$1006:$BM$1006,0))&gt;=100000), " ",IF(INDEX($AM$2:$BM$1001,MATCH(ROWS($AF$2:AF751),$AF$2:$AF$1001,0),MATCH(COLUMNS($AM$1006:AO1006),$AM$1006:$BM$1006,0)), HYPERLINK("#",""), HYPERLINK(CONCATENATE("#metadata!", ADDRESS(INDEX($AH$2:$AH$1001,MATCH(ROWS($AF$2:AF751),$AF$2:$AF$1001,0),0), INDEX($AM$1004:$BM$1004,1,MATCH(COLUMNS($AM$1006:AO1006),$AM$1006:$BM$1006,0)))),"Fix")))</f>
        <v xml:space="preserve"> </v>
      </c>
      <c r="E751" s="4" t="str">
        <f ca="1">IF(OR(INDEX($AG$2:$AG$1001,MATCH(ROWS($AF$2:AF751),$AF$2:$AF$1001,0),1)&gt;=100000,INDEX($AM$1005:$BM$1005,1,MATCH(COLUMNS($AM$1006:AP1006),$AM$1006:$BM$1006,0))&gt;=100000), " ",IF(INDEX($AM$2:$BM$1001,MATCH(ROWS($AF$2:AF751),$AF$2:$AF$1001,0),MATCH(COLUMNS($AM$1006:AP1006),$AM$1006:$BM$1006,0)), HYPERLINK("#",""), HYPERLINK(CONCATENATE("#metadata!", ADDRESS(INDEX($AH$2:$AH$1001,MATCH(ROWS($AF$2:AF751),$AF$2:$AF$1001,0),0), INDEX($AM$1004:$BM$1004,1,MATCH(COLUMNS($AM$1006:AP1006),$AM$1006:$BM$1006,0)))),"Fix")))</f>
        <v xml:space="preserve"> </v>
      </c>
      <c r="F751" s="4" t="str">
        <f ca="1">IF(OR(INDEX($AG$2:$AG$1001,MATCH(ROWS($AF$2:AF751),$AF$2:$AF$1001,0),1)&gt;=100000,INDEX($AM$1005:$BM$1005,1,MATCH(COLUMNS($AM$1006:AQ1006),$AM$1006:$BM$1006,0))&gt;=100000), " ",IF(INDEX($AM$2:$BM$1001,MATCH(ROWS($AF$2:AF751),$AF$2:$AF$1001,0),MATCH(COLUMNS($AM$1006:AQ1006),$AM$1006:$BM$1006,0)), HYPERLINK("#",""), HYPERLINK(CONCATENATE("#metadata!", ADDRESS(INDEX($AH$2:$AH$1001,MATCH(ROWS($AF$2:AF751),$AF$2:$AF$1001,0),0), INDEX($AM$1004:$BM$1004,1,MATCH(COLUMNS($AM$1006:AQ1006),$AM$1006:$BM$1006,0)))),"Fix")))</f>
        <v xml:space="preserve"> </v>
      </c>
      <c r="G751" s="4" t="str">
        <f ca="1">IF(OR(INDEX($AG$2:$AG$1001,MATCH(ROWS($AF$2:AF751),$AF$2:$AF$1001,0),1)&gt;=100000,INDEX($AM$1005:$BM$1005,1,MATCH(COLUMNS($AM$1006:AR1006),$AM$1006:$BM$1006,0))&gt;=100000), " ",IF(INDEX($AM$2:$BM$1001,MATCH(ROWS($AF$2:AF751),$AF$2:$AF$1001,0),MATCH(COLUMNS($AM$1006:AR1006),$AM$1006:$BM$1006,0)), HYPERLINK("#",""), HYPERLINK(CONCATENATE("#metadata!", ADDRESS(INDEX($AH$2:$AH$1001,MATCH(ROWS($AF$2:AF751),$AF$2:$AF$1001,0),0), INDEX($AM$1004:$BM$1004,1,MATCH(COLUMNS($AM$1006:AR1006),$AM$1006:$BM$1006,0)))),"Fix")))</f>
        <v xml:space="preserve"> </v>
      </c>
      <c r="H751" s="4" t="str">
        <f ca="1">IF(OR(INDEX($AG$2:$AG$1001,MATCH(ROWS($AF$2:AF751),$AF$2:$AF$1001,0),1)&gt;=100000,INDEX($AM$1005:$BM$1005,1,MATCH(COLUMNS($AM$1006:AS1006),$AM$1006:$BM$1006,0))&gt;=100000), " ",IF(INDEX($AM$2:$BM$1001,MATCH(ROWS($AF$2:AF751),$AF$2:$AF$1001,0),MATCH(COLUMNS($AM$1006:AS1006),$AM$1006:$BM$1006,0)), HYPERLINK("#",""), HYPERLINK(CONCATENATE("#metadata!", ADDRESS(INDEX($AH$2:$AH$1001,MATCH(ROWS($AF$2:AF751),$AF$2:$AF$1001,0),0), INDEX($AM$1004:$BM$1004,1,MATCH(COLUMNS($AM$1006:AS1006),$AM$1006:$BM$1006,0)))),"Fix")))</f>
        <v xml:space="preserve"> </v>
      </c>
      <c r="I751" s="4" t="str">
        <f ca="1">IF(OR(INDEX($AG$2:$AG$1001,MATCH(ROWS($AF$2:AF751),$AF$2:$AF$1001,0),1)&gt;=100000,INDEX($AM$1005:$BM$1005,1,MATCH(COLUMNS($AM$1006:AT1006),$AM$1006:$BM$1006,0))&gt;=100000), " ",IF(INDEX($AM$2:$BM$1001,MATCH(ROWS($AF$2:AF751),$AF$2:$AF$1001,0),MATCH(COLUMNS($AM$1006:AT1006),$AM$1006:$BM$1006,0)), HYPERLINK("#",""), HYPERLINK(CONCATENATE("#metadata!", ADDRESS(INDEX($AH$2:$AH$1001,MATCH(ROWS($AF$2:AF751),$AF$2:$AF$1001,0),0), INDEX($AM$1004:$BM$1004,1,MATCH(COLUMNS($AM$1006:AT1006),$AM$1006:$BM$1006,0)))),"Fix")))</f>
        <v xml:space="preserve"> </v>
      </c>
      <c r="J751" s="4" t="str">
        <f ca="1">IF(OR(INDEX($AG$2:$AG$1001,MATCH(ROWS($AF$2:AF751),$AF$2:$AF$1001,0),1)&gt;=100000,INDEX($AM$1005:$BM$1005,1,MATCH(COLUMNS($AM$1006:AU1006),$AM$1006:$BM$1006,0))&gt;=100000), " ",IF(INDEX($AM$2:$BM$1001,MATCH(ROWS($AF$2:AF751),$AF$2:$AF$1001,0),MATCH(COLUMNS($AM$1006:AU1006),$AM$1006:$BM$1006,0)), HYPERLINK("#",""), HYPERLINK(CONCATENATE("#metadata!", ADDRESS(INDEX($AH$2:$AH$1001,MATCH(ROWS($AF$2:AF751),$AF$2:$AF$1001,0),0), INDEX($AM$1004:$BM$1004,1,MATCH(COLUMNS($AM$1006:AU1006),$AM$1006:$BM$1006,0)))),"Fix")))</f>
        <v xml:space="preserve"> </v>
      </c>
      <c r="K751" s="4" t="str">
        <f ca="1">IF(OR(INDEX($AG$2:$AG$1001,MATCH(ROWS($AF$2:AF751),$AF$2:$AF$1001,0),1)&gt;=100000,INDEX($AM$1005:$BM$1005,1,MATCH(COLUMNS($AM$1006:AV1006),$AM$1006:$BM$1006,0))&gt;=100000), " ",IF(INDEX($AM$2:$BM$1001,MATCH(ROWS($AF$2:AF751),$AF$2:$AF$1001,0),MATCH(COLUMNS($AM$1006:AV1006),$AM$1006:$BM$1006,0)), HYPERLINK("#",""), HYPERLINK(CONCATENATE("#metadata!", ADDRESS(INDEX($AH$2:$AH$1001,MATCH(ROWS($AF$2:AF751),$AF$2:$AF$1001,0),0), INDEX($AM$1004:$BM$1004,1,MATCH(COLUMNS($AM$1006:AV1006),$AM$1006:$BM$1006,0)))),"Fix")))</f>
        <v xml:space="preserve"> </v>
      </c>
      <c r="L751" s="4" t="str">
        <f ca="1">IF(OR(INDEX($AG$2:$AG$1001,MATCH(ROWS($AF$2:AF751),$AF$2:$AF$1001,0),1)&gt;=100000,INDEX($AM$1005:$BM$1005,1,MATCH(COLUMNS($AM$1006:AW1006),$AM$1006:$BM$1006,0))&gt;=100000), " ",IF(INDEX($AM$2:$BM$1001,MATCH(ROWS($AF$2:AF751),$AF$2:$AF$1001,0),MATCH(COLUMNS($AM$1006:AW1006),$AM$1006:$BM$1006,0)), HYPERLINK("#",""), HYPERLINK(CONCATENATE("#metadata!", ADDRESS(INDEX($AH$2:$AH$1001,MATCH(ROWS($AF$2:AF751),$AF$2:$AF$1001,0),0), INDEX($AM$1004:$BM$1004,1,MATCH(COLUMNS($AM$1006:AW1006),$AM$1006:$BM$1006,0)))),"Fix")))</f>
        <v xml:space="preserve"> </v>
      </c>
      <c r="M751" s="4" t="str">
        <f ca="1">IF(OR(INDEX($AG$2:$AG$1001,MATCH(ROWS($AF$2:AF751),$AF$2:$AF$1001,0),1)&gt;=100000,INDEX($AM$1005:$BM$1005,1,MATCH(COLUMNS($AM$1006:AX1006),$AM$1006:$BM$1006,0))&gt;=100000), " ",IF(INDEX($AM$2:$BM$1001,MATCH(ROWS($AF$2:AF751),$AF$2:$AF$1001,0),MATCH(COLUMNS($AM$1006:AX1006),$AM$1006:$BM$1006,0)), HYPERLINK("#",""), HYPERLINK(CONCATENATE("#metadata!", ADDRESS(INDEX($AH$2:$AH$1001,MATCH(ROWS($AF$2:AF751),$AF$2:$AF$1001,0),0), INDEX($AM$1004:$BM$1004,1,MATCH(COLUMNS($AM$1006:AX1006),$AM$1006:$BM$1006,0)))),"Fix")))</f>
        <v xml:space="preserve"> </v>
      </c>
      <c r="N751" s="4" t="str">
        <f ca="1">IF(OR(INDEX($AG$2:$AG$1001,MATCH(ROWS($AF$2:AF751),$AF$2:$AF$1001,0),1)&gt;=100000,INDEX($AM$1005:$BM$1005,1,MATCH(COLUMNS($AM$1006:AY1006),$AM$1006:$BM$1006,0))&gt;=100000), " ",IF(INDEX($AM$2:$BM$1001,MATCH(ROWS($AF$2:AF751),$AF$2:$AF$1001,0),MATCH(COLUMNS($AM$1006:AY1006),$AM$1006:$BM$1006,0)), HYPERLINK("#",""), HYPERLINK(CONCATENATE("#metadata!", ADDRESS(INDEX($AH$2:$AH$1001,MATCH(ROWS($AF$2:AF751),$AF$2:$AF$1001,0),0), INDEX($AM$1004:$BM$1004,1,MATCH(COLUMNS($AM$1006:AY1006),$AM$1006:$BM$1006,0)))),"Fix")))</f>
        <v xml:space="preserve"> </v>
      </c>
      <c r="O751" s="4" t="str">
        <f ca="1">IF(OR(INDEX($AG$2:$AG$1001,MATCH(ROWS($AF$2:AF751),$AF$2:$AF$1001,0),1)&gt;=100000,INDEX($AM$1005:$BM$1005,1,MATCH(COLUMNS($AM$1006:AZ1006),$AM$1006:$BM$1006,0))&gt;=100000), " ",IF(INDEX($AM$2:$BM$1001,MATCH(ROWS($AF$2:AF751),$AF$2:$AF$1001,0),MATCH(COLUMNS($AM$1006:AZ1006),$AM$1006:$BM$1006,0)), HYPERLINK("#",""), HYPERLINK(CONCATENATE("#metadata!", ADDRESS(INDEX($AH$2:$AH$1001,MATCH(ROWS($AF$2:AF751),$AF$2:$AF$1001,0),0), INDEX($AM$1004:$BM$1004,1,MATCH(COLUMNS($AM$1006:AZ1006),$AM$1006:$BM$1006,0)))),"Fix")))</f>
        <v xml:space="preserve"> </v>
      </c>
      <c r="P751" s="4" t="str">
        <f ca="1">IF(OR(INDEX($AG$2:$AG$1001,MATCH(ROWS($AF$2:AF751),$AF$2:$AF$1001,0),1)&gt;=100000,INDEX($AM$1005:$BM$1005,1,MATCH(COLUMNS($AM$1006:BA1006),$AM$1006:$BM$1006,0))&gt;=100000), " ",IF(INDEX($AM$2:$BM$1001,MATCH(ROWS($AF$2:AF751),$AF$2:$AF$1001,0),MATCH(COLUMNS($AM$1006:BA1006),$AM$1006:$BM$1006,0)), HYPERLINK("#",""), HYPERLINK(CONCATENATE("#metadata!", ADDRESS(INDEX($AH$2:$AH$1001,MATCH(ROWS($AF$2:AF751),$AF$2:$AF$1001,0),0), INDEX($AM$1004:$BM$1004,1,MATCH(COLUMNS($AM$1006:BA1006),$AM$1006:$BM$1006,0)))),"Fix")))</f>
        <v xml:space="preserve"> </v>
      </c>
      <c r="Q751" s="4" t="str">
        <f ca="1">IF(OR(INDEX($AG$2:$AG$1001,MATCH(ROWS($AF$2:AF751),$AF$2:$AF$1001,0),1)&gt;=100000,INDEX($AM$1005:$BM$1005,1,MATCH(COLUMNS($AM$1006:BB1006),$AM$1006:$BM$1006,0))&gt;=100000), " ",IF(INDEX($AM$2:$BM$1001,MATCH(ROWS($AF$2:AF751),$AF$2:$AF$1001,0),MATCH(COLUMNS($AM$1006:BB1006),$AM$1006:$BM$1006,0)), HYPERLINK("#",""), HYPERLINK(CONCATENATE("#metadata!", ADDRESS(INDEX($AH$2:$AH$1001,MATCH(ROWS($AF$2:AF751),$AF$2:$AF$1001,0),0), INDEX($AM$1004:$BM$1004,1,MATCH(COLUMNS($AM$1006:BB1006),$AM$1006:$BM$1006,0)))),"Fix")))</f>
        <v xml:space="preserve"> </v>
      </c>
      <c r="R751" s="4" t="str">
        <f ca="1">IF(OR(INDEX($AG$2:$AG$1001,MATCH(ROWS($AF$2:AF751),$AF$2:$AF$1001,0),1)&gt;=100000,INDEX($AM$1005:$BM$1005,1,MATCH(COLUMNS($AM$1006:BC1006),$AM$1006:$BM$1006,0))&gt;=100000), " ",IF(INDEX($AM$2:$BM$1001,MATCH(ROWS($AF$2:AF751),$AF$2:$AF$1001,0),MATCH(COLUMNS($AM$1006:BC1006),$AM$1006:$BM$1006,0)), HYPERLINK("#",""), HYPERLINK(CONCATENATE("#metadata!", ADDRESS(INDEX($AH$2:$AH$1001,MATCH(ROWS($AF$2:AF751),$AF$2:$AF$1001,0),0), INDEX($AM$1004:$BM$1004,1,MATCH(COLUMNS($AM$1006:BC1006),$AM$1006:$BM$1006,0)))),"Fix")))</f>
        <v xml:space="preserve"> </v>
      </c>
      <c r="S751" s="4" t="str">
        <f ca="1">IF(OR(INDEX($AG$2:$AG$1001,MATCH(ROWS($AF$2:AF751),$AF$2:$AF$1001,0),1)&gt;=100000,INDEX($AM$1005:$BM$1005,1,MATCH(COLUMNS($AM$1006:BD1006),$AM$1006:$BM$1006,0))&gt;=100000), " ",IF(INDEX($AM$2:$BM$1001,MATCH(ROWS($AF$2:AF751),$AF$2:$AF$1001,0),MATCH(COLUMNS($AM$1006:BD1006),$AM$1006:$BM$1006,0)), HYPERLINK("#",""), HYPERLINK(CONCATENATE("#metadata!", ADDRESS(INDEX($AH$2:$AH$1001,MATCH(ROWS($AF$2:AF751),$AF$2:$AF$1001,0),0), INDEX($AM$1004:$BM$1004,1,MATCH(COLUMNS($AM$1006:BD1006),$AM$1006:$BM$1006,0)))),"Fix")))</f>
        <v xml:space="preserve"> </v>
      </c>
      <c r="T751" s="4" t="str">
        <f ca="1">IF(OR(INDEX($AG$2:$AG$1001,MATCH(ROWS($AF$2:AF751),$AF$2:$AF$1001,0),1)&gt;=100000,INDEX($AM$1005:$BM$1005,1,MATCH(COLUMNS($AM$1006:BE1006),$AM$1006:$BM$1006,0))&gt;=100000), " ",IF(INDEX($AM$2:$BM$1001,MATCH(ROWS($AF$2:AF751),$AF$2:$AF$1001,0),MATCH(COLUMNS($AM$1006:BE1006),$AM$1006:$BM$1006,0)), HYPERLINK("#",""), HYPERLINK(CONCATENATE("#metadata!", ADDRESS(INDEX($AH$2:$AH$1001,MATCH(ROWS($AF$2:AF751),$AF$2:$AF$1001,0),0), INDEX($AM$1004:$BM$1004,1,MATCH(COLUMNS($AM$1006:BE1006),$AM$1006:$BM$1006,0)))),"Fix")))</f>
        <v xml:space="preserve"> </v>
      </c>
      <c r="U751" s="4" t="str">
        <f ca="1">IF(OR(INDEX($AG$2:$AG$1001,MATCH(ROWS($AF$2:AF751),$AF$2:$AF$1001,0),1)&gt;=100000,INDEX($AM$1005:$BM$1005,1,MATCH(COLUMNS($AM$1006:BF1006),$AM$1006:$BM$1006,0))&gt;=100000), " ",IF(INDEX($AM$2:$BM$1001,MATCH(ROWS($AF$2:AF751),$AF$2:$AF$1001,0),MATCH(COLUMNS($AM$1006:BF1006),$AM$1006:$BM$1006,0)), HYPERLINK("#",""), HYPERLINK(CONCATENATE("#metadata!", ADDRESS(INDEX($AH$2:$AH$1001,MATCH(ROWS($AF$2:AF751),$AF$2:$AF$1001,0),0), INDEX($AM$1004:$BM$1004,1,MATCH(COLUMNS($AM$1006:BF1006),$AM$1006:$BM$1006,0)))),"Fix")))</f>
        <v xml:space="preserve"> </v>
      </c>
      <c r="V751" s="4" t="str">
        <f ca="1">IF(OR(INDEX($AG$2:$AG$1001,MATCH(ROWS($AF$2:AF751),$AF$2:$AF$1001,0),1)&gt;=100000,INDEX($AM$1005:$BM$1005,1,MATCH(COLUMNS($AM$1006:BG1006),$AM$1006:$BM$1006,0))&gt;=100000), " ",IF(INDEX($AM$2:$BM$1001,MATCH(ROWS($AF$2:AF751),$AF$2:$AF$1001,0),MATCH(COLUMNS($AM$1006:BG1006),$AM$1006:$BM$1006,0)), HYPERLINK("#",""), HYPERLINK(CONCATENATE("#metadata!", ADDRESS(INDEX($AH$2:$AH$1001,MATCH(ROWS($AF$2:AF751),$AF$2:$AF$1001,0),0), INDEX($AM$1004:$BM$1004,1,MATCH(COLUMNS($AM$1006:BG1006),$AM$1006:$BM$1006,0)))),"Fix")))</f>
        <v xml:space="preserve"> </v>
      </c>
      <c r="W751" s="4" t="str">
        <f ca="1">IF(OR(INDEX($AG$2:$AG$1001,MATCH(ROWS($AF$2:AF751),$AF$2:$AF$1001,0),1)&gt;=100000,INDEX($AM$1005:$BM$1005,1,MATCH(COLUMNS($AM$1006:BH1006),$AM$1006:$BM$1006,0))&gt;=100000), " ",IF(INDEX($AM$2:$BM$1001,MATCH(ROWS($AF$2:AF751),$AF$2:$AF$1001,0),MATCH(COLUMNS($AM$1006:BH1006),$AM$1006:$BM$1006,0)), HYPERLINK("#",""), HYPERLINK(CONCATENATE("#metadata!", ADDRESS(INDEX($AH$2:$AH$1001,MATCH(ROWS($AF$2:AF751),$AF$2:$AF$1001,0),0), INDEX($AM$1004:$BM$1004,1,MATCH(COLUMNS($AM$1006:BH1006),$AM$1006:$BM$1006,0)))),"Fix")))</f>
        <v xml:space="preserve"> </v>
      </c>
      <c r="X751" s="4" t="str">
        <f ca="1">IF(OR(INDEX($AG$2:$AG$1001,MATCH(ROWS($AF$2:AF751),$AF$2:$AF$1001,0),1)&gt;=100000,INDEX($AM$1005:$BM$1005,1,MATCH(COLUMNS($AM$1006:BI1006),$AM$1006:$BM$1006,0))&gt;=100000), " ",IF(INDEX($AM$2:$BM$1001,MATCH(ROWS($AF$2:AF751),$AF$2:$AF$1001,0),MATCH(COLUMNS($AM$1006:BI1006),$AM$1006:$BM$1006,0)), HYPERLINK("#",""), HYPERLINK(CONCATENATE("#metadata!", ADDRESS(INDEX($AH$2:$AH$1001,MATCH(ROWS($AF$2:AF751),$AF$2:$AF$1001,0),0), INDEX($AM$1004:$BM$1004,1,MATCH(COLUMNS($AM$1006:BI1006),$AM$1006:$BM$1006,0)))),"Fix")))</f>
        <v xml:space="preserve"> </v>
      </c>
      <c r="Y751" s="4" t="str">
        <f ca="1">IF(OR(INDEX($AG$2:$AG$1001,MATCH(ROWS($AF$2:AF751),$AF$2:$AF$1001,0),1)&gt;=100000,INDEX($AM$1005:$BM$1005,1,MATCH(COLUMNS($AM$1006:BJ1006),$AM$1006:$BM$1006,0))&gt;=100000), " ",IF(INDEX($AM$2:$BM$1001,MATCH(ROWS($AF$2:AF751),$AF$2:$AF$1001,0),MATCH(COLUMNS($AM$1006:BJ1006),$AM$1006:$BM$1006,0)), HYPERLINK("#",""), HYPERLINK(CONCATENATE("#metadata!", ADDRESS(INDEX($AH$2:$AH$1001,MATCH(ROWS($AF$2:AF751),$AF$2:$AF$1001,0),0), INDEX($AM$1004:$BM$1004,1,MATCH(COLUMNS($AM$1006:BJ1006),$AM$1006:$BM$1006,0)))),"Fix")))</f>
        <v xml:space="preserve"> </v>
      </c>
      <c r="Z751" s="4" t="str">
        <f ca="1">IF(OR(INDEX($AG$2:$AG$1001,MATCH(ROWS($AF$2:AF751),$AF$2:$AF$1001,0),1)&gt;=100000,INDEX($AM$1005:$BM$1005,1,MATCH(COLUMNS($AM$1006:BK1006),$AM$1006:$BM$1006,0))&gt;=100000), " ",IF(INDEX($AM$2:$BM$1001,MATCH(ROWS($AF$2:AF751),$AF$2:$AF$1001,0),MATCH(COLUMNS($AM$1006:BK1006),$AM$1006:$BM$1006,0)), HYPERLINK("#",""), HYPERLINK(CONCATENATE("#metadata!", ADDRESS(INDEX($AH$2:$AH$1001,MATCH(ROWS($AF$2:AF751),$AF$2:$AF$1001,0),0), INDEX($AM$1004:$BM$1004,1,MATCH(COLUMNS($AM$1006:BK1006),$AM$1006:$BM$1006,0)))),"Fix")))</f>
        <v xml:space="preserve"> </v>
      </c>
      <c r="AA751" s="4" t="str">
        <f ca="1">IF(OR(INDEX($AG$2:$AG$1001,MATCH(ROWS($AF$2:AF751),$AF$2:$AF$1001,0),1)&gt;=100000,INDEX($AM$1005:$BM$1005,1,MATCH(COLUMNS($AM$1006:BL1006),$AM$1006:$BM$1006,0))&gt;=100000), " ",IF(INDEX($AM$2:$BM$1001,MATCH(ROWS($AF$2:AF751),$AF$2:$AF$1001,0),MATCH(COLUMNS($AM$1006:BL1006),$AM$1006:$BM$1006,0)), HYPERLINK("#",""), HYPERLINK(CONCATENATE("#metadata!", ADDRESS(INDEX($AH$2:$AH$1001,MATCH(ROWS($AF$2:AF751),$AF$2:$AF$1001,0),0), INDEX($AM$1004:$BM$1004,1,MATCH(COLUMNS($AM$1006:BL1006),$AM$1006:$BM$1006,0)))),"Fix")))</f>
        <v xml:space="preserve"> </v>
      </c>
      <c r="AB751" s="4" t="str">
        <f ca="1">IF(OR(INDEX($AG$2:$AG$1001,MATCH(ROWS($AF$2:AF751),$AF$2:$AF$1001,0),1)&gt;=100000,INDEX($AM$1005:$BM$1005,1,MATCH(COLUMNS($AM$1006:BM1006),$AM$1006:$BM$1006,0))&gt;=100000), " ",IF(INDEX($AM$2:$BM$1001,MATCH(ROWS($AF$2:AF751),$AF$2:$AF$1001,0),MATCH(COLUMNS($AM$1006:BM1006),$AM$1006:$BM$1006,0)), HYPERLINK("#",""), HYPERLINK(CONCATENATE("#metadata!", ADDRESS(INDEX($AH$2:$AH$1001,MATCH(ROWS($AF$2:AF751),$AF$2:$AF$1001,0),0), INDEX($AM$1004:$BM$1004,1,MATCH(COLUMNS($AM$1006:BM1006),$AM$1006:$BM$1006,0)))),"Fix")))</f>
        <v xml:space="preserve"> </v>
      </c>
      <c r="AF751">
        <v>750</v>
      </c>
      <c r="AG751">
        <v>100751</v>
      </c>
      <c r="AH751">
        <v>751</v>
      </c>
      <c r="AI751" t="b">
        <f t="shared" si="11"/>
        <v>1</v>
      </c>
      <c r="AJ751" t="b">
        <f>COUNTBLANK(metadata!B751:AB751)=COLUMNS(metadata!B751:AB751)</f>
        <v>1</v>
      </c>
      <c r="AK751" t="str">
        <v/>
      </c>
      <c r="AM751" t="b">
        <f ca="1">AND(IF(metadata!B751="",FALSE,TRUE),COUNTIF(metadata!B:B, metadata!B751) = 1,NOT(ISERROR(SUMPRODUCT(SEARCH(MID(metadata!B751,ROW(INDIRECT("1:"&amp;LEN(metadata!B751))), 1),"0123456789abcdefghijklmnopqrstuvwxyzABCDEFGHIJKLMNOPQRSTUVWXYZ.")))))</f>
        <v>0</v>
      </c>
      <c r="AN751" t="b">
        <f ca="1">OR(AND(IF(metadata!C751="",FALSE,TRUE),OR(EXACT(metadata!C751,"missing: not collected"),EXACT(metadata!C751,"missing: not provided"),EXACT(metadata!C751,"missing: restricted access"))),AND(IF(metadata!C751="",FALSE,TRUE),AND(AND(IFERROR(INT(LEFT(metadata!C751,4))&gt;1900,FALSE),IFERROR(INT(LEFT(metadata!C751,4))&lt;=YEAR(NOW()),FALSE)), OR(MID(metadata!C751,5,1)="", AND(AND(MID(metadata!C751,5,1)="-",IFERROR(INT(MID(metadata!C751,6,1))&gt;=0,FALSE),IFERROR(INT(MID(metadata!C751,6,1))&lt;=1,FALSE),NOT(MID(metadata!C751,7,1)=""),IFERROR(INT(MID(metadata!C751,6,2))&gt;=1,FALSE),IFERROR(INT(MID(metadata!C751,6,2))&lt;=12,FALSE)), OR(MID(metadata!C751,8,1)="", AND(AND(MID(metadata!C751,8,1)="-",IFERROR(INT(MID(metadata!C751,9,1))&gt;=0,FALSE),IFERROR(INT(MID(metadata!C751,9,1))&lt;=3,FALSE),NOT(MID(metadata!C751,10,1)=""),IFERROR(INT(MID(metadata!C751,9,2))&gt;=1,FALSE),IFERROR(INT(MID(metadata!C751,9,2))&lt;=31,FALSE)), OR(MID(metadata!C751,11,1)="", AND(AND(MID(metadata!C751,11,1)=" ",IFERROR(INT(MID(metadata!C751,12,1))&gt;=0,FALSE),IFERROR(INT(MID(metadata!C751,12,1))&lt;=2,FALSE),NOT(MID(metadata!C751,13,1)=""),IFERROR(INT(MID(metadata!C751,12,2))&gt;=0,FALSE),IFERROR(INT(MID(metadata!C751,12,2))&lt;=23,FALSE)), OR(MID(metadata!C751,14,1)="", AND(AND(MID(metadata!C751,14,1)=":",IFERROR(INT(MID(metadata!C751,15,1))&gt;=0,FALSE),IFERROR(INT(MID(metadata!C751,15,1))&lt;=5,FALSE),NOT(MID(metadata!C751,16,1)=""),IFERROR(INT(MID(metadata!C751,15,2))&gt;=0,FALSE),IFERROR(INT(MID(metadata!C751,15,2))&lt;=59,FALSE)), OR(MID(metadata!C751,17,1)="", AND(AND(MID(metadata!C751,17,1)=":",IFERROR(INT(MID(metadata!C751,18,1))&gt;=0,FALSE),IFERROR(INT(MID(metadata!C751,18,1))&lt;=5,FALSE),NOT(MID(metadata!C751,19,1)=""),IFERROR(INT(MID(metadata!C751,18,2))&gt;=0,FALSE),IFERROR(INT(MID(metadata!C751,18,2))&lt;=59,FALSE)), LEN(metadata!C751)&lt;=19)))))))))))))</f>
        <v>0</v>
      </c>
      <c r="AO751" t="b">
        <f>AND(IF(metadata!D751="",FALSE,TRUE),EXACT(metadata!D751,"Not applicable"))</f>
        <v>0</v>
      </c>
      <c r="AP751" t="b">
        <f>IF(metadata!E751="",FALSE,TRUE)</f>
        <v>0</v>
      </c>
      <c r="AQ751" t="b">
        <f>OR(AND(IF(metadata!F751="",FALSE,TRUE),OR(EXACT(metadata!F751,"missing: not collected"),EXACT(metadata!F751,"missing: not provided"))),AND(IF(metadata!F751="",FALSE,TRUE),OR(EXACT(metadata!F751,"TRUE"),EXACT(metadata!F751,"FALSE"))))</f>
        <v>0</v>
      </c>
      <c r="AR751" t="b">
        <f>OR(AND(IF(metadata!G751="",FALSE,TRUE),OR(EXACT(metadata!G751,"missing: not collected"),EXACT(metadata!G751,"missing: not provided"),EXACT(metadata!G751,"missing: restricted access"))),AND(IF(metadata!G751="",FALSE,ISNUMBER(VALUE(metadata!G751))),metadata!G751&gt;=-413))</f>
        <v>0</v>
      </c>
      <c r="AS751" t="b">
        <f>AND(IF(metadata!H751="",FALSE,TRUE),EXACT(metadata!H751,"meters"))</f>
        <v>0</v>
      </c>
      <c r="AT751" t="b">
        <f>AND(IF(metadata!I751="",FALSE,TRUE),OR(EXACT(metadata!I751,"Host-associated"),EXACT(metadata!I751,"Free-living")))</f>
        <v>0</v>
      </c>
      <c r="AU751" t="b">
        <f>AND(IF(metadata!J751="",FALSE,TRUE),OR(EXACT(metadata!J751,"Animal"),EXACT(metadata!J751,"Fungus"),EXACT(metadata!J751,"Plant"),EXACT(metadata!J751,"Saline"),EXACT(metadata!J751,"Non-saline")))</f>
        <v>0</v>
      </c>
      <c r="AV751" t="b">
        <f>AND(IF(metadata!K751="",FALSE,TRUE),OR(EXACT(metadata!K751,"Plant secretion"),EXACT(metadata!K751,"Plant rhizosphere"),EXACT(metadata!K751,"Plant surface"),EXACT(metadata!K751,"Plant corpus"),EXACT(metadata!K751,"Fungus surface"),EXACT(metadata!K751,"Fungus corpus"),EXACT(metadata!K751,"Animal surface"),EXACT(metadata!K751,"Animal proximal gut"),EXACT(metadata!K751,"Animal corpus"),EXACT(metadata!K751,"Animal distal gut"),EXACT(metadata!K751,"Animal secretion"),EXACT(metadata!K751,"Sub-surface (non-saline)"),EXACT(metadata!K751,"Surface (non-saline)"),EXACT(metadata!K751,"Water (non-saline)"),EXACT(metadata!K751,"Soil (non-saline)"),EXACT(metadata!K751,"Aerosol (non-saline)"),EXACT(metadata!K751,"Sediment (non-saline)"),EXACT(metadata!K751,"Surface (saline)"),EXACT(metadata!K751,"Water (saline)"),EXACT(metadata!K751,"Hypersaline (saline)"),EXACT(metadata!K751,"Aerosol (saline)"),EXACT(metadata!K751,"Sediment (saline)")))</f>
        <v>0</v>
      </c>
      <c r="AW751" t="b">
        <f>IF(metadata!L751="",FALSE,TRUE)</f>
        <v>0</v>
      </c>
      <c r="AX751" t="b">
        <f>IF(metadata!M751="",FALSE,TRUE)</f>
        <v>0</v>
      </c>
      <c r="AY751" t="b">
        <f>IF(metadata!N751="",FALSE,TRUE)</f>
        <v>0</v>
      </c>
      <c r="AZ751" t="b">
        <f>OR(AND(IF(metadata!O751="",FALSE,TRUE),OR(EXACT(metadata!O751,"missing: not collected"),EXACT(metadata!O751,"missing: not provided"),EXACT(metadata!O751,"missing: restricted access"))),AND(IF(metadata!O751="",FALSE,TRUE),OR(EXACT(metadata!O751,"air"),EXACT(metadata!O751,"built environment"),EXACT(metadata!O751,"host-associated"),EXACT(metadata!O751,"human-associated"),EXACT(metadata!O751,"human-skin"),EXACT(metadata!O751,"human-oral"),EXACT(metadata!O751,"human-gut"),EXACT(metadata!O751,"human-vaginal"),EXACT(metadata!O751,"microbial mat/biofilm"),EXACT(metadata!O751,"misc environment"),EXACT(metadata!O751,"plant-associated"),EXACT(metadata!O751,"sediment"),EXACT(metadata!O751,"soil"),EXACT(metadata!O751,"wastewater/sludge"),EXACT(metadata!O751,"water"))))</f>
        <v>0</v>
      </c>
      <c r="BA751" t="b">
        <f>IF(metadata!P751="",FALSE,TRUE)</f>
        <v>0</v>
      </c>
      <c r="BB751" t="b">
        <f>IF(metadata!Q751="",FALSE,TRUE)</f>
        <v>0</v>
      </c>
      <c r="BC751" t="b">
        <f>OR(AND(IF(metadata!R751="",FALSE,TRUE),OR(EXACT(metadata!R751,"missing: not collected"),EXACT(metadata!R751,"missing: not provided"),EXACT(metadata!R751,"missing: restricted access"))),AND(IF(metadata!R751="",FALSE,ISNUMBER(VALUE(metadata!R751))),metadata!R751&gt;=-90,metadata!R751&lt;=90))</f>
        <v>0</v>
      </c>
      <c r="BD751" t="b">
        <f>AND(IF(metadata!S751="",FALSE,TRUE),EXACT(metadata!S751,"Decimal degrees"))</f>
        <v>0</v>
      </c>
      <c r="BE751" t="b">
        <f>OR(AND(IF(metadata!T751="",FALSE,TRUE),OR(EXACT(metadata!T751,"missing: not collected"),EXACT(metadata!T751,"missing: not provided"),EXACT(metadata!T751,"missing: restricted access"))),AND(IF(metadata!T751="",FALSE,ISNUMBER(VALUE(metadata!T751))),metadata!T751&gt;=-180,metadata!T751&lt;=180))</f>
        <v>0</v>
      </c>
      <c r="BF751" t="b">
        <f>AND(IF(metadata!U751="",FALSE,TRUE),EXACT(metadata!U751,"Decimal degrees"))</f>
        <v>0</v>
      </c>
      <c r="BG751" t="b">
        <f>IF(metadata!V751="",FALSE,TRUE)</f>
        <v>0</v>
      </c>
      <c r="BH751" t="b">
        <f>OR(AND(IF(metadata!W751="",FALSE,TRUE),OR(EXACT(metadata!W751,"missing: not collected"),EXACT(metadata!W751,"missing: not provided"),EXACT(metadata!W751,"missing: restricted access"))),AND(IF(metadata!W751="",FALSE,TRUE),OR(EXACT(metadata!W751,"TRUE"),EXACT(metadata!W751,"FALSE"))))</f>
        <v>0</v>
      </c>
      <c r="BI751" t="b">
        <f>AND(IF(metadata!X751="",FALSE,TRUE),EXACT(metadata!X751,"other"))</f>
        <v>0</v>
      </c>
      <c r="BJ751" t="b">
        <f>IF(metadata!Y751="",FALSE,TRUE)</f>
        <v>0</v>
      </c>
      <c r="BK751" t="b">
        <f>OR(AND(IF(metadata!Z751="",FALSE,TRUE),OR(EXACT(metadata!Z751,"missing: not collected"),EXACT(metadata!Z751,"missing: not provided"))),AND(IF(metadata!Z751="",FALSE,IF(ISERROR(INT(metadata!Z751)),FALSE,INT(metadata!Z751)=metadata!Z751)),metadata!Z751&gt;0))</f>
        <v>0</v>
      </c>
      <c r="BL751" t="b">
        <f>AND(IF(metadata!AA751="",FALSE,TRUE),EXACT(metadata!AA751,"Not applicable"))</f>
        <v>0</v>
      </c>
      <c r="BM751" t="b">
        <f>IF(metadata!AB751="",FALSE,TRUE)</f>
        <v>0</v>
      </c>
    </row>
    <row r="752" spans="1:65" x14ac:dyDescent="0.2">
      <c r="A752" s="5" t="str">
        <f ca="1">IF(B752=" "," ",HYPERLINK(CONCATENATE("#metadata!",ADDRESS(INDEX($AH$2:$AH$1001,MATCH(ROWS($AF$2:AF752),$AF$2:$AF$1001,0),0),1)),INDEX($AK$2:$AK$1001,MATCH(ROWS($AF$2:AF752),$AF$2:$AF$1001,0),0)))</f>
        <v xml:space="preserve"> </v>
      </c>
      <c r="B752" s="4" t="str">
        <f ca="1">IF(OR(INDEX($AG$2:$AG$1001,MATCH(ROWS($AF$2:AF752),$AF$2:$AF$1001,0),1)&gt;=100000,INDEX($AM$1005:$BM$1005,1,MATCH(COLUMNS($AM$1006:AM1006),$AM$1006:$BM$1006,0))&gt;=100000), " ",IF(INDEX($AM$2:$BM$1001,MATCH(ROWS($AF$2:AF752),$AF$2:$AF$1001,0),MATCH(COLUMNS($AM$1006:AM1006),$AM$1006:$BM$1006,0)), HYPERLINK("#",""), HYPERLINK(CONCATENATE("#metadata!", ADDRESS(INDEX($AH$2:$AH$1001,MATCH(ROWS($AF$2:AF752),$AF$2:$AF$1001,0),0), INDEX($AM$1004:$BM$1004,1,MATCH(COLUMNS($AM$1006:AM1006),$AM$1006:$BM$1006,0)))),"Fix")))</f>
        <v xml:space="preserve"> </v>
      </c>
      <c r="C752" s="4" t="str">
        <f ca="1">IF(OR(INDEX($AG$2:$AG$1001,MATCH(ROWS($AF$2:AF752),$AF$2:$AF$1001,0),1)&gt;=100000,INDEX($AM$1005:$BM$1005,1,MATCH(COLUMNS($AM$1006:AN1006),$AM$1006:$BM$1006,0))&gt;=100000), " ",IF(INDEX($AM$2:$BM$1001,MATCH(ROWS($AF$2:AF752),$AF$2:$AF$1001,0),MATCH(COLUMNS($AM$1006:AN1006),$AM$1006:$BM$1006,0)), HYPERLINK("#",""), HYPERLINK(CONCATENATE("#metadata!", ADDRESS(INDEX($AH$2:$AH$1001,MATCH(ROWS($AF$2:AF752),$AF$2:$AF$1001,0),0), INDEX($AM$1004:$BM$1004,1,MATCH(COLUMNS($AM$1006:AN1006),$AM$1006:$BM$1006,0)))),"Fix")))</f>
        <v xml:space="preserve"> </v>
      </c>
      <c r="D752" s="4" t="str">
        <f ca="1">IF(OR(INDEX($AG$2:$AG$1001,MATCH(ROWS($AF$2:AF752),$AF$2:$AF$1001,0),1)&gt;=100000,INDEX($AM$1005:$BM$1005,1,MATCH(COLUMNS($AM$1006:AO1006),$AM$1006:$BM$1006,0))&gt;=100000), " ",IF(INDEX($AM$2:$BM$1001,MATCH(ROWS($AF$2:AF752),$AF$2:$AF$1001,0),MATCH(COLUMNS($AM$1006:AO1006),$AM$1006:$BM$1006,0)), HYPERLINK("#",""), HYPERLINK(CONCATENATE("#metadata!", ADDRESS(INDEX($AH$2:$AH$1001,MATCH(ROWS($AF$2:AF752),$AF$2:$AF$1001,0),0), INDEX($AM$1004:$BM$1004,1,MATCH(COLUMNS($AM$1006:AO1006),$AM$1006:$BM$1006,0)))),"Fix")))</f>
        <v xml:space="preserve"> </v>
      </c>
      <c r="E752" s="4" t="str">
        <f ca="1">IF(OR(INDEX($AG$2:$AG$1001,MATCH(ROWS($AF$2:AF752),$AF$2:$AF$1001,0),1)&gt;=100000,INDEX($AM$1005:$BM$1005,1,MATCH(COLUMNS($AM$1006:AP1006),$AM$1006:$BM$1006,0))&gt;=100000), " ",IF(INDEX($AM$2:$BM$1001,MATCH(ROWS($AF$2:AF752),$AF$2:$AF$1001,0),MATCH(COLUMNS($AM$1006:AP1006),$AM$1006:$BM$1006,0)), HYPERLINK("#",""), HYPERLINK(CONCATENATE("#metadata!", ADDRESS(INDEX($AH$2:$AH$1001,MATCH(ROWS($AF$2:AF752),$AF$2:$AF$1001,0),0), INDEX($AM$1004:$BM$1004,1,MATCH(COLUMNS($AM$1006:AP1006),$AM$1006:$BM$1006,0)))),"Fix")))</f>
        <v xml:space="preserve"> </v>
      </c>
      <c r="F752" s="4" t="str">
        <f ca="1">IF(OR(INDEX($AG$2:$AG$1001,MATCH(ROWS($AF$2:AF752),$AF$2:$AF$1001,0),1)&gt;=100000,INDEX($AM$1005:$BM$1005,1,MATCH(COLUMNS($AM$1006:AQ1006),$AM$1006:$BM$1006,0))&gt;=100000), " ",IF(INDEX($AM$2:$BM$1001,MATCH(ROWS($AF$2:AF752),$AF$2:$AF$1001,0),MATCH(COLUMNS($AM$1006:AQ1006),$AM$1006:$BM$1006,0)), HYPERLINK("#",""), HYPERLINK(CONCATENATE("#metadata!", ADDRESS(INDEX($AH$2:$AH$1001,MATCH(ROWS($AF$2:AF752),$AF$2:$AF$1001,0),0), INDEX($AM$1004:$BM$1004,1,MATCH(COLUMNS($AM$1006:AQ1006),$AM$1006:$BM$1006,0)))),"Fix")))</f>
        <v xml:space="preserve"> </v>
      </c>
      <c r="G752" s="4" t="str">
        <f ca="1">IF(OR(INDEX($AG$2:$AG$1001,MATCH(ROWS($AF$2:AF752),$AF$2:$AF$1001,0),1)&gt;=100000,INDEX($AM$1005:$BM$1005,1,MATCH(COLUMNS($AM$1006:AR1006),$AM$1006:$BM$1006,0))&gt;=100000), " ",IF(INDEX($AM$2:$BM$1001,MATCH(ROWS($AF$2:AF752),$AF$2:$AF$1001,0),MATCH(COLUMNS($AM$1006:AR1006),$AM$1006:$BM$1006,0)), HYPERLINK("#",""), HYPERLINK(CONCATENATE("#metadata!", ADDRESS(INDEX($AH$2:$AH$1001,MATCH(ROWS($AF$2:AF752),$AF$2:$AF$1001,0),0), INDEX($AM$1004:$BM$1004,1,MATCH(COLUMNS($AM$1006:AR1006),$AM$1006:$BM$1006,0)))),"Fix")))</f>
        <v xml:space="preserve"> </v>
      </c>
      <c r="H752" s="4" t="str">
        <f ca="1">IF(OR(INDEX($AG$2:$AG$1001,MATCH(ROWS($AF$2:AF752),$AF$2:$AF$1001,0),1)&gt;=100000,INDEX($AM$1005:$BM$1005,1,MATCH(COLUMNS($AM$1006:AS1006),$AM$1006:$BM$1006,0))&gt;=100000), " ",IF(INDEX($AM$2:$BM$1001,MATCH(ROWS($AF$2:AF752),$AF$2:$AF$1001,0),MATCH(COLUMNS($AM$1006:AS1006),$AM$1006:$BM$1006,0)), HYPERLINK("#",""), HYPERLINK(CONCATENATE("#metadata!", ADDRESS(INDEX($AH$2:$AH$1001,MATCH(ROWS($AF$2:AF752),$AF$2:$AF$1001,0),0), INDEX($AM$1004:$BM$1004,1,MATCH(COLUMNS($AM$1006:AS1006),$AM$1006:$BM$1006,0)))),"Fix")))</f>
        <v xml:space="preserve"> </v>
      </c>
      <c r="I752" s="4" t="str">
        <f ca="1">IF(OR(INDEX($AG$2:$AG$1001,MATCH(ROWS($AF$2:AF752),$AF$2:$AF$1001,0),1)&gt;=100000,INDEX($AM$1005:$BM$1005,1,MATCH(COLUMNS($AM$1006:AT1006),$AM$1006:$BM$1006,0))&gt;=100000), " ",IF(INDEX($AM$2:$BM$1001,MATCH(ROWS($AF$2:AF752),$AF$2:$AF$1001,0),MATCH(COLUMNS($AM$1006:AT1006),$AM$1006:$BM$1006,0)), HYPERLINK("#",""), HYPERLINK(CONCATENATE("#metadata!", ADDRESS(INDEX($AH$2:$AH$1001,MATCH(ROWS($AF$2:AF752),$AF$2:$AF$1001,0),0), INDEX($AM$1004:$BM$1004,1,MATCH(COLUMNS($AM$1006:AT1006),$AM$1006:$BM$1006,0)))),"Fix")))</f>
        <v xml:space="preserve"> </v>
      </c>
      <c r="J752" s="4" t="str">
        <f ca="1">IF(OR(INDEX($AG$2:$AG$1001,MATCH(ROWS($AF$2:AF752),$AF$2:$AF$1001,0),1)&gt;=100000,INDEX($AM$1005:$BM$1005,1,MATCH(COLUMNS($AM$1006:AU1006),$AM$1006:$BM$1006,0))&gt;=100000), " ",IF(INDEX($AM$2:$BM$1001,MATCH(ROWS($AF$2:AF752),$AF$2:$AF$1001,0),MATCH(COLUMNS($AM$1006:AU1006),$AM$1006:$BM$1006,0)), HYPERLINK("#",""), HYPERLINK(CONCATENATE("#metadata!", ADDRESS(INDEX($AH$2:$AH$1001,MATCH(ROWS($AF$2:AF752),$AF$2:$AF$1001,0),0), INDEX($AM$1004:$BM$1004,1,MATCH(COLUMNS($AM$1006:AU1006),$AM$1006:$BM$1006,0)))),"Fix")))</f>
        <v xml:space="preserve"> </v>
      </c>
      <c r="K752" s="4" t="str">
        <f ca="1">IF(OR(INDEX($AG$2:$AG$1001,MATCH(ROWS($AF$2:AF752),$AF$2:$AF$1001,0),1)&gt;=100000,INDEX($AM$1005:$BM$1005,1,MATCH(COLUMNS($AM$1006:AV1006),$AM$1006:$BM$1006,0))&gt;=100000), " ",IF(INDEX($AM$2:$BM$1001,MATCH(ROWS($AF$2:AF752),$AF$2:$AF$1001,0),MATCH(COLUMNS($AM$1006:AV1006),$AM$1006:$BM$1006,0)), HYPERLINK("#",""), HYPERLINK(CONCATENATE("#metadata!", ADDRESS(INDEX($AH$2:$AH$1001,MATCH(ROWS($AF$2:AF752),$AF$2:$AF$1001,0),0), INDEX($AM$1004:$BM$1004,1,MATCH(COLUMNS($AM$1006:AV1006),$AM$1006:$BM$1006,0)))),"Fix")))</f>
        <v xml:space="preserve"> </v>
      </c>
      <c r="L752" s="4" t="str">
        <f ca="1">IF(OR(INDEX($AG$2:$AG$1001,MATCH(ROWS($AF$2:AF752),$AF$2:$AF$1001,0),1)&gt;=100000,INDEX($AM$1005:$BM$1005,1,MATCH(COLUMNS($AM$1006:AW1006),$AM$1006:$BM$1006,0))&gt;=100000), " ",IF(INDEX($AM$2:$BM$1001,MATCH(ROWS($AF$2:AF752),$AF$2:$AF$1001,0),MATCH(COLUMNS($AM$1006:AW1006),$AM$1006:$BM$1006,0)), HYPERLINK("#",""), HYPERLINK(CONCATENATE("#metadata!", ADDRESS(INDEX($AH$2:$AH$1001,MATCH(ROWS($AF$2:AF752),$AF$2:$AF$1001,0),0), INDEX($AM$1004:$BM$1004,1,MATCH(COLUMNS($AM$1006:AW1006),$AM$1006:$BM$1006,0)))),"Fix")))</f>
        <v xml:space="preserve"> </v>
      </c>
      <c r="M752" s="4" t="str">
        <f ca="1">IF(OR(INDEX($AG$2:$AG$1001,MATCH(ROWS($AF$2:AF752),$AF$2:$AF$1001,0),1)&gt;=100000,INDEX($AM$1005:$BM$1005,1,MATCH(COLUMNS($AM$1006:AX1006),$AM$1006:$BM$1006,0))&gt;=100000), " ",IF(INDEX($AM$2:$BM$1001,MATCH(ROWS($AF$2:AF752),$AF$2:$AF$1001,0),MATCH(COLUMNS($AM$1006:AX1006),$AM$1006:$BM$1006,0)), HYPERLINK("#",""), HYPERLINK(CONCATENATE("#metadata!", ADDRESS(INDEX($AH$2:$AH$1001,MATCH(ROWS($AF$2:AF752),$AF$2:$AF$1001,0),0), INDEX($AM$1004:$BM$1004,1,MATCH(COLUMNS($AM$1006:AX1006),$AM$1006:$BM$1006,0)))),"Fix")))</f>
        <v xml:space="preserve"> </v>
      </c>
      <c r="N752" s="4" t="str">
        <f ca="1">IF(OR(INDEX($AG$2:$AG$1001,MATCH(ROWS($AF$2:AF752),$AF$2:$AF$1001,0),1)&gt;=100000,INDEX($AM$1005:$BM$1005,1,MATCH(COLUMNS($AM$1006:AY1006),$AM$1006:$BM$1006,0))&gt;=100000), " ",IF(INDEX($AM$2:$BM$1001,MATCH(ROWS($AF$2:AF752),$AF$2:$AF$1001,0),MATCH(COLUMNS($AM$1006:AY1006),$AM$1006:$BM$1006,0)), HYPERLINK("#",""), HYPERLINK(CONCATENATE("#metadata!", ADDRESS(INDEX($AH$2:$AH$1001,MATCH(ROWS($AF$2:AF752),$AF$2:$AF$1001,0),0), INDEX($AM$1004:$BM$1004,1,MATCH(COLUMNS($AM$1006:AY1006),$AM$1006:$BM$1006,0)))),"Fix")))</f>
        <v xml:space="preserve"> </v>
      </c>
      <c r="O752" s="4" t="str">
        <f ca="1">IF(OR(INDEX($AG$2:$AG$1001,MATCH(ROWS($AF$2:AF752),$AF$2:$AF$1001,0),1)&gt;=100000,INDEX($AM$1005:$BM$1005,1,MATCH(COLUMNS($AM$1006:AZ1006),$AM$1006:$BM$1006,0))&gt;=100000), " ",IF(INDEX($AM$2:$BM$1001,MATCH(ROWS($AF$2:AF752),$AF$2:$AF$1001,0),MATCH(COLUMNS($AM$1006:AZ1006),$AM$1006:$BM$1006,0)), HYPERLINK("#",""), HYPERLINK(CONCATENATE("#metadata!", ADDRESS(INDEX($AH$2:$AH$1001,MATCH(ROWS($AF$2:AF752),$AF$2:$AF$1001,0),0), INDEX($AM$1004:$BM$1004,1,MATCH(COLUMNS($AM$1006:AZ1006),$AM$1006:$BM$1006,0)))),"Fix")))</f>
        <v xml:space="preserve"> </v>
      </c>
      <c r="P752" s="4" t="str">
        <f ca="1">IF(OR(INDEX($AG$2:$AG$1001,MATCH(ROWS($AF$2:AF752),$AF$2:$AF$1001,0),1)&gt;=100000,INDEX($AM$1005:$BM$1005,1,MATCH(COLUMNS($AM$1006:BA1006),$AM$1006:$BM$1006,0))&gt;=100000), " ",IF(INDEX($AM$2:$BM$1001,MATCH(ROWS($AF$2:AF752),$AF$2:$AF$1001,0),MATCH(COLUMNS($AM$1006:BA1006),$AM$1006:$BM$1006,0)), HYPERLINK("#",""), HYPERLINK(CONCATENATE("#metadata!", ADDRESS(INDEX($AH$2:$AH$1001,MATCH(ROWS($AF$2:AF752),$AF$2:$AF$1001,0),0), INDEX($AM$1004:$BM$1004,1,MATCH(COLUMNS($AM$1006:BA1006),$AM$1006:$BM$1006,0)))),"Fix")))</f>
        <v xml:space="preserve"> </v>
      </c>
      <c r="Q752" s="4" t="str">
        <f ca="1">IF(OR(INDEX($AG$2:$AG$1001,MATCH(ROWS($AF$2:AF752),$AF$2:$AF$1001,0),1)&gt;=100000,INDEX($AM$1005:$BM$1005,1,MATCH(COLUMNS($AM$1006:BB1006),$AM$1006:$BM$1006,0))&gt;=100000), " ",IF(INDEX($AM$2:$BM$1001,MATCH(ROWS($AF$2:AF752),$AF$2:$AF$1001,0),MATCH(COLUMNS($AM$1006:BB1006),$AM$1006:$BM$1006,0)), HYPERLINK("#",""), HYPERLINK(CONCATENATE("#metadata!", ADDRESS(INDEX($AH$2:$AH$1001,MATCH(ROWS($AF$2:AF752),$AF$2:$AF$1001,0),0), INDEX($AM$1004:$BM$1004,1,MATCH(COLUMNS($AM$1006:BB1006),$AM$1006:$BM$1006,0)))),"Fix")))</f>
        <v xml:space="preserve"> </v>
      </c>
      <c r="R752" s="4" t="str">
        <f ca="1">IF(OR(INDEX($AG$2:$AG$1001,MATCH(ROWS($AF$2:AF752),$AF$2:$AF$1001,0),1)&gt;=100000,INDEX($AM$1005:$BM$1005,1,MATCH(COLUMNS($AM$1006:BC1006),$AM$1006:$BM$1006,0))&gt;=100000), " ",IF(INDEX($AM$2:$BM$1001,MATCH(ROWS($AF$2:AF752),$AF$2:$AF$1001,0),MATCH(COLUMNS($AM$1006:BC1006),$AM$1006:$BM$1006,0)), HYPERLINK("#",""), HYPERLINK(CONCATENATE("#metadata!", ADDRESS(INDEX($AH$2:$AH$1001,MATCH(ROWS($AF$2:AF752),$AF$2:$AF$1001,0),0), INDEX($AM$1004:$BM$1004,1,MATCH(COLUMNS($AM$1006:BC1006),$AM$1006:$BM$1006,0)))),"Fix")))</f>
        <v xml:space="preserve"> </v>
      </c>
      <c r="S752" s="4" t="str">
        <f ca="1">IF(OR(INDEX($AG$2:$AG$1001,MATCH(ROWS($AF$2:AF752),$AF$2:$AF$1001,0),1)&gt;=100000,INDEX($AM$1005:$BM$1005,1,MATCH(COLUMNS($AM$1006:BD1006),$AM$1006:$BM$1006,0))&gt;=100000), " ",IF(INDEX($AM$2:$BM$1001,MATCH(ROWS($AF$2:AF752),$AF$2:$AF$1001,0),MATCH(COLUMNS($AM$1006:BD1006),$AM$1006:$BM$1006,0)), HYPERLINK("#",""), HYPERLINK(CONCATENATE("#metadata!", ADDRESS(INDEX($AH$2:$AH$1001,MATCH(ROWS($AF$2:AF752),$AF$2:$AF$1001,0),0), INDEX($AM$1004:$BM$1004,1,MATCH(COLUMNS($AM$1006:BD1006),$AM$1006:$BM$1006,0)))),"Fix")))</f>
        <v xml:space="preserve"> </v>
      </c>
      <c r="T752" s="4" t="str">
        <f ca="1">IF(OR(INDEX($AG$2:$AG$1001,MATCH(ROWS($AF$2:AF752),$AF$2:$AF$1001,0),1)&gt;=100000,INDEX($AM$1005:$BM$1005,1,MATCH(COLUMNS($AM$1006:BE1006),$AM$1006:$BM$1006,0))&gt;=100000), " ",IF(INDEX($AM$2:$BM$1001,MATCH(ROWS($AF$2:AF752),$AF$2:$AF$1001,0),MATCH(COLUMNS($AM$1006:BE1006),$AM$1006:$BM$1006,0)), HYPERLINK("#",""), HYPERLINK(CONCATENATE("#metadata!", ADDRESS(INDEX($AH$2:$AH$1001,MATCH(ROWS($AF$2:AF752),$AF$2:$AF$1001,0),0), INDEX($AM$1004:$BM$1004,1,MATCH(COLUMNS($AM$1006:BE1006),$AM$1006:$BM$1006,0)))),"Fix")))</f>
        <v xml:space="preserve"> </v>
      </c>
      <c r="U752" s="4" t="str">
        <f ca="1">IF(OR(INDEX($AG$2:$AG$1001,MATCH(ROWS($AF$2:AF752),$AF$2:$AF$1001,0),1)&gt;=100000,INDEX($AM$1005:$BM$1005,1,MATCH(COLUMNS($AM$1006:BF1006),$AM$1006:$BM$1006,0))&gt;=100000), " ",IF(INDEX($AM$2:$BM$1001,MATCH(ROWS($AF$2:AF752),$AF$2:$AF$1001,0),MATCH(COLUMNS($AM$1006:BF1006),$AM$1006:$BM$1006,0)), HYPERLINK("#",""), HYPERLINK(CONCATENATE("#metadata!", ADDRESS(INDEX($AH$2:$AH$1001,MATCH(ROWS($AF$2:AF752),$AF$2:$AF$1001,0),0), INDEX($AM$1004:$BM$1004,1,MATCH(COLUMNS($AM$1006:BF1006),$AM$1006:$BM$1006,0)))),"Fix")))</f>
        <v xml:space="preserve"> </v>
      </c>
      <c r="V752" s="4" t="str">
        <f ca="1">IF(OR(INDEX($AG$2:$AG$1001,MATCH(ROWS($AF$2:AF752),$AF$2:$AF$1001,0),1)&gt;=100000,INDEX($AM$1005:$BM$1005,1,MATCH(COLUMNS($AM$1006:BG1006),$AM$1006:$BM$1006,0))&gt;=100000), " ",IF(INDEX($AM$2:$BM$1001,MATCH(ROWS($AF$2:AF752),$AF$2:$AF$1001,0),MATCH(COLUMNS($AM$1006:BG1006),$AM$1006:$BM$1006,0)), HYPERLINK("#",""), HYPERLINK(CONCATENATE("#metadata!", ADDRESS(INDEX($AH$2:$AH$1001,MATCH(ROWS($AF$2:AF752),$AF$2:$AF$1001,0),0), INDEX($AM$1004:$BM$1004,1,MATCH(COLUMNS($AM$1006:BG1006),$AM$1006:$BM$1006,0)))),"Fix")))</f>
        <v xml:space="preserve"> </v>
      </c>
      <c r="W752" s="4" t="str">
        <f ca="1">IF(OR(INDEX($AG$2:$AG$1001,MATCH(ROWS($AF$2:AF752),$AF$2:$AF$1001,0),1)&gt;=100000,INDEX($AM$1005:$BM$1005,1,MATCH(COLUMNS($AM$1006:BH1006),$AM$1006:$BM$1006,0))&gt;=100000), " ",IF(INDEX($AM$2:$BM$1001,MATCH(ROWS($AF$2:AF752),$AF$2:$AF$1001,0),MATCH(COLUMNS($AM$1006:BH1006),$AM$1006:$BM$1006,0)), HYPERLINK("#",""), HYPERLINK(CONCATENATE("#metadata!", ADDRESS(INDEX($AH$2:$AH$1001,MATCH(ROWS($AF$2:AF752),$AF$2:$AF$1001,0),0), INDEX($AM$1004:$BM$1004,1,MATCH(COLUMNS($AM$1006:BH1006),$AM$1006:$BM$1006,0)))),"Fix")))</f>
        <v xml:space="preserve"> </v>
      </c>
      <c r="X752" s="4" t="str">
        <f ca="1">IF(OR(INDEX($AG$2:$AG$1001,MATCH(ROWS($AF$2:AF752),$AF$2:$AF$1001,0),1)&gt;=100000,INDEX($AM$1005:$BM$1005,1,MATCH(COLUMNS($AM$1006:BI1006),$AM$1006:$BM$1006,0))&gt;=100000), " ",IF(INDEX($AM$2:$BM$1001,MATCH(ROWS($AF$2:AF752),$AF$2:$AF$1001,0),MATCH(COLUMNS($AM$1006:BI1006),$AM$1006:$BM$1006,0)), HYPERLINK("#",""), HYPERLINK(CONCATENATE("#metadata!", ADDRESS(INDEX($AH$2:$AH$1001,MATCH(ROWS($AF$2:AF752),$AF$2:$AF$1001,0),0), INDEX($AM$1004:$BM$1004,1,MATCH(COLUMNS($AM$1006:BI1006),$AM$1006:$BM$1006,0)))),"Fix")))</f>
        <v xml:space="preserve"> </v>
      </c>
      <c r="Y752" s="4" t="str">
        <f ca="1">IF(OR(INDEX($AG$2:$AG$1001,MATCH(ROWS($AF$2:AF752),$AF$2:$AF$1001,0),1)&gt;=100000,INDEX($AM$1005:$BM$1005,1,MATCH(COLUMNS($AM$1006:BJ1006),$AM$1006:$BM$1006,0))&gt;=100000), " ",IF(INDEX($AM$2:$BM$1001,MATCH(ROWS($AF$2:AF752),$AF$2:$AF$1001,0),MATCH(COLUMNS($AM$1006:BJ1006),$AM$1006:$BM$1006,0)), HYPERLINK("#",""), HYPERLINK(CONCATENATE("#metadata!", ADDRESS(INDEX($AH$2:$AH$1001,MATCH(ROWS($AF$2:AF752),$AF$2:$AF$1001,0),0), INDEX($AM$1004:$BM$1004,1,MATCH(COLUMNS($AM$1006:BJ1006),$AM$1006:$BM$1006,0)))),"Fix")))</f>
        <v xml:space="preserve"> </v>
      </c>
      <c r="Z752" s="4" t="str">
        <f ca="1">IF(OR(INDEX($AG$2:$AG$1001,MATCH(ROWS($AF$2:AF752),$AF$2:$AF$1001,0),1)&gt;=100000,INDEX($AM$1005:$BM$1005,1,MATCH(COLUMNS($AM$1006:BK1006),$AM$1006:$BM$1006,0))&gt;=100000), " ",IF(INDEX($AM$2:$BM$1001,MATCH(ROWS($AF$2:AF752),$AF$2:$AF$1001,0),MATCH(COLUMNS($AM$1006:BK1006),$AM$1006:$BM$1006,0)), HYPERLINK("#",""), HYPERLINK(CONCATENATE("#metadata!", ADDRESS(INDEX($AH$2:$AH$1001,MATCH(ROWS($AF$2:AF752),$AF$2:$AF$1001,0),0), INDEX($AM$1004:$BM$1004,1,MATCH(COLUMNS($AM$1006:BK1006),$AM$1006:$BM$1006,0)))),"Fix")))</f>
        <v xml:space="preserve"> </v>
      </c>
      <c r="AA752" s="4" t="str">
        <f ca="1">IF(OR(INDEX($AG$2:$AG$1001,MATCH(ROWS($AF$2:AF752),$AF$2:$AF$1001,0),1)&gt;=100000,INDEX($AM$1005:$BM$1005,1,MATCH(COLUMNS($AM$1006:BL1006),$AM$1006:$BM$1006,0))&gt;=100000), " ",IF(INDEX($AM$2:$BM$1001,MATCH(ROWS($AF$2:AF752),$AF$2:$AF$1001,0),MATCH(COLUMNS($AM$1006:BL1006),$AM$1006:$BM$1006,0)), HYPERLINK("#",""), HYPERLINK(CONCATENATE("#metadata!", ADDRESS(INDEX($AH$2:$AH$1001,MATCH(ROWS($AF$2:AF752),$AF$2:$AF$1001,0),0), INDEX($AM$1004:$BM$1004,1,MATCH(COLUMNS($AM$1006:BL1006),$AM$1006:$BM$1006,0)))),"Fix")))</f>
        <v xml:space="preserve"> </v>
      </c>
      <c r="AB752" s="4" t="str">
        <f ca="1">IF(OR(INDEX($AG$2:$AG$1001,MATCH(ROWS($AF$2:AF752),$AF$2:$AF$1001,0),1)&gt;=100000,INDEX($AM$1005:$BM$1005,1,MATCH(COLUMNS($AM$1006:BM1006),$AM$1006:$BM$1006,0))&gt;=100000), " ",IF(INDEX($AM$2:$BM$1001,MATCH(ROWS($AF$2:AF752),$AF$2:$AF$1001,0),MATCH(COLUMNS($AM$1006:BM1006),$AM$1006:$BM$1006,0)), HYPERLINK("#",""), HYPERLINK(CONCATENATE("#metadata!", ADDRESS(INDEX($AH$2:$AH$1001,MATCH(ROWS($AF$2:AF752),$AF$2:$AF$1001,0),0), INDEX($AM$1004:$BM$1004,1,MATCH(COLUMNS($AM$1006:BM1006),$AM$1006:$BM$1006,0)))),"Fix")))</f>
        <v xml:space="preserve"> </v>
      </c>
      <c r="AF752">
        <v>751</v>
      </c>
      <c r="AG752">
        <v>100752</v>
      </c>
      <c r="AH752">
        <v>752</v>
      </c>
      <c r="AI752" t="b">
        <f t="shared" si="11"/>
        <v>1</v>
      </c>
      <c r="AJ752" t="b">
        <f>COUNTBLANK(metadata!B752:AB752)=COLUMNS(metadata!B752:AB752)</f>
        <v>1</v>
      </c>
      <c r="AK752" t="str">
        <v/>
      </c>
      <c r="AM752" t="b">
        <f ca="1">AND(IF(metadata!B752="",FALSE,TRUE),COUNTIF(metadata!B:B, metadata!B752) = 1,NOT(ISERROR(SUMPRODUCT(SEARCH(MID(metadata!B752,ROW(INDIRECT("1:"&amp;LEN(metadata!B752))), 1),"0123456789abcdefghijklmnopqrstuvwxyzABCDEFGHIJKLMNOPQRSTUVWXYZ.")))))</f>
        <v>0</v>
      </c>
      <c r="AN752" t="b">
        <f ca="1">OR(AND(IF(metadata!C752="",FALSE,TRUE),OR(EXACT(metadata!C752,"missing: not collected"),EXACT(metadata!C752,"missing: not provided"),EXACT(metadata!C752,"missing: restricted access"))),AND(IF(metadata!C752="",FALSE,TRUE),AND(AND(IFERROR(INT(LEFT(metadata!C752,4))&gt;1900,FALSE),IFERROR(INT(LEFT(metadata!C752,4))&lt;=YEAR(NOW()),FALSE)), OR(MID(metadata!C752,5,1)="", AND(AND(MID(metadata!C752,5,1)="-",IFERROR(INT(MID(metadata!C752,6,1))&gt;=0,FALSE),IFERROR(INT(MID(metadata!C752,6,1))&lt;=1,FALSE),NOT(MID(metadata!C752,7,1)=""),IFERROR(INT(MID(metadata!C752,6,2))&gt;=1,FALSE),IFERROR(INT(MID(metadata!C752,6,2))&lt;=12,FALSE)), OR(MID(metadata!C752,8,1)="", AND(AND(MID(metadata!C752,8,1)="-",IFERROR(INT(MID(metadata!C752,9,1))&gt;=0,FALSE),IFERROR(INT(MID(metadata!C752,9,1))&lt;=3,FALSE),NOT(MID(metadata!C752,10,1)=""),IFERROR(INT(MID(metadata!C752,9,2))&gt;=1,FALSE),IFERROR(INT(MID(metadata!C752,9,2))&lt;=31,FALSE)), OR(MID(metadata!C752,11,1)="", AND(AND(MID(metadata!C752,11,1)=" ",IFERROR(INT(MID(metadata!C752,12,1))&gt;=0,FALSE),IFERROR(INT(MID(metadata!C752,12,1))&lt;=2,FALSE),NOT(MID(metadata!C752,13,1)=""),IFERROR(INT(MID(metadata!C752,12,2))&gt;=0,FALSE),IFERROR(INT(MID(metadata!C752,12,2))&lt;=23,FALSE)), OR(MID(metadata!C752,14,1)="", AND(AND(MID(metadata!C752,14,1)=":",IFERROR(INT(MID(metadata!C752,15,1))&gt;=0,FALSE),IFERROR(INT(MID(metadata!C752,15,1))&lt;=5,FALSE),NOT(MID(metadata!C752,16,1)=""),IFERROR(INT(MID(metadata!C752,15,2))&gt;=0,FALSE),IFERROR(INT(MID(metadata!C752,15,2))&lt;=59,FALSE)), OR(MID(metadata!C752,17,1)="", AND(AND(MID(metadata!C752,17,1)=":",IFERROR(INT(MID(metadata!C752,18,1))&gt;=0,FALSE),IFERROR(INT(MID(metadata!C752,18,1))&lt;=5,FALSE),NOT(MID(metadata!C752,19,1)=""),IFERROR(INT(MID(metadata!C752,18,2))&gt;=0,FALSE),IFERROR(INT(MID(metadata!C752,18,2))&lt;=59,FALSE)), LEN(metadata!C752)&lt;=19)))))))))))))</f>
        <v>0</v>
      </c>
      <c r="AO752" t="b">
        <f>AND(IF(metadata!D752="",FALSE,TRUE),EXACT(metadata!D752,"Not applicable"))</f>
        <v>0</v>
      </c>
      <c r="AP752" t="b">
        <f>IF(metadata!E752="",FALSE,TRUE)</f>
        <v>0</v>
      </c>
      <c r="AQ752" t="b">
        <f>OR(AND(IF(metadata!F752="",FALSE,TRUE),OR(EXACT(metadata!F752,"missing: not collected"),EXACT(metadata!F752,"missing: not provided"))),AND(IF(metadata!F752="",FALSE,TRUE),OR(EXACT(metadata!F752,"TRUE"),EXACT(metadata!F752,"FALSE"))))</f>
        <v>0</v>
      </c>
      <c r="AR752" t="b">
        <f>OR(AND(IF(metadata!G752="",FALSE,TRUE),OR(EXACT(metadata!G752,"missing: not collected"),EXACT(metadata!G752,"missing: not provided"),EXACT(metadata!G752,"missing: restricted access"))),AND(IF(metadata!G752="",FALSE,ISNUMBER(VALUE(metadata!G752))),metadata!G752&gt;=-413))</f>
        <v>0</v>
      </c>
      <c r="AS752" t="b">
        <f>AND(IF(metadata!H752="",FALSE,TRUE),EXACT(metadata!H752,"meters"))</f>
        <v>0</v>
      </c>
      <c r="AT752" t="b">
        <f>AND(IF(metadata!I752="",FALSE,TRUE),OR(EXACT(metadata!I752,"Host-associated"),EXACT(metadata!I752,"Free-living")))</f>
        <v>0</v>
      </c>
      <c r="AU752" t="b">
        <f>AND(IF(metadata!J752="",FALSE,TRUE),OR(EXACT(metadata!J752,"Animal"),EXACT(metadata!J752,"Fungus"),EXACT(metadata!J752,"Plant"),EXACT(metadata!J752,"Saline"),EXACT(metadata!J752,"Non-saline")))</f>
        <v>0</v>
      </c>
      <c r="AV752" t="b">
        <f>AND(IF(metadata!K752="",FALSE,TRUE),OR(EXACT(metadata!K752,"Plant secretion"),EXACT(metadata!K752,"Plant rhizosphere"),EXACT(metadata!K752,"Plant surface"),EXACT(metadata!K752,"Plant corpus"),EXACT(metadata!K752,"Fungus surface"),EXACT(metadata!K752,"Fungus corpus"),EXACT(metadata!K752,"Animal surface"),EXACT(metadata!K752,"Animal proximal gut"),EXACT(metadata!K752,"Animal corpus"),EXACT(metadata!K752,"Animal distal gut"),EXACT(metadata!K752,"Animal secretion"),EXACT(metadata!K752,"Sub-surface (non-saline)"),EXACT(metadata!K752,"Surface (non-saline)"),EXACT(metadata!K752,"Water (non-saline)"),EXACT(metadata!K752,"Soil (non-saline)"),EXACT(metadata!K752,"Aerosol (non-saline)"),EXACT(metadata!K752,"Sediment (non-saline)"),EXACT(metadata!K752,"Surface (saline)"),EXACT(metadata!K752,"Water (saline)"),EXACT(metadata!K752,"Hypersaline (saline)"),EXACT(metadata!K752,"Aerosol (saline)"),EXACT(metadata!K752,"Sediment (saline)")))</f>
        <v>0</v>
      </c>
      <c r="AW752" t="b">
        <f>IF(metadata!L752="",FALSE,TRUE)</f>
        <v>0</v>
      </c>
      <c r="AX752" t="b">
        <f>IF(metadata!M752="",FALSE,TRUE)</f>
        <v>0</v>
      </c>
      <c r="AY752" t="b">
        <f>IF(metadata!N752="",FALSE,TRUE)</f>
        <v>0</v>
      </c>
      <c r="AZ752" t="b">
        <f>OR(AND(IF(metadata!O752="",FALSE,TRUE),OR(EXACT(metadata!O752,"missing: not collected"),EXACT(metadata!O752,"missing: not provided"),EXACT(metadata!O752,"missing: restricted access"))),AND(IF(metadata!O752="",FALSE,TRUE),OR(EXACT(metadata!O752,"air"),EXACT(metadata!O752,"built environment"),EXACT(metadata!O752,"host-associated"),EXACT(metadata!O752,"human-associated"),EXACT(metadata!O752,"human-skin"),EXACT(metadata!O752,"human-oral"),EXACT(metadata!O752,"human-gut"),EXACT(metadata!O752,"human-vaginal"),EXACT(metadata!O752,"microbial mat/biofilm"),EXACT(metadata!O752,"misc environment"),EXACT(metadata!O752,"plant-associated"),EXACT(metadata!O752,"sediment"),EXACT(metadata!O752,"soil"),EXACT(metadata!O752,"wastewater/sludge"),EXACT(metadata!O752,"water"))))</f>
        <v>0</v>
      </c>
      <c r="BA752" t="b">
        <f>IF(metadata!P752="",FALSE,TRUE)</f>
        <v>0</v>
      </c>
      <c r="BB752" t="b">
        <f>IF(metadata!Q752="",FALSE,TRUE)</f>
        <v>0</v>
      </c>
      <c r="BC752" t="b">
        <f>OR(AND(IF(metadata!R752="",FALSE,TRUE),OR(EXACT(metadata!R752,"missing: not collected"),EXACT(metadata!R752,"missing: not provided"),EXACT(metadata!R752,"missing: restricted access"))),AND(IF(metadata!R752="",FALSE,ISNUMBER(VALUE(metadata!R752))),metadata!R752&gt;=-90,metadata!R752&lt;=90))</f>
        <v>0</v>
      </c>
      <c r="BD752" t="b">
        <f>AND(IF(metadata!S752="",FALSE,TRUE),EXACT(metadata!S752,"Decimal degrees"))</f>
        <v>0</v>
      </c>
      <c r="BE752" t="b">
        <f>OR(AND(IF(metadata!T752="",FALSE,TRUE),OR(EXACT(metadata!T752,"missing: not collected"),EXACT(metadata!T752,"missing: not provided"),EXACT(metadata!T752,"missing: restricted access"))),AND(IF(metadata!T752="",FALSE,ISNUMBER(VALUE(metadata!T752))),metadata!T752&gt;=-180,metadata!T752&lt;=180))</f>
        <v>0</v>
      </c>
      <c r="BF752" t="b">
        <f>AND(IF(metadata!U752="",FALSE,TRUE),EXACT(metadata!U752,"Decimal degrees"))</f>
        <v>0</v>
      </c>
      <c r="BG752" t="b">
        <f>IF(metadata!V752="",FALSE,TRUE)</f>
        <v>0</v>
      </c>
      <c r="BH752" t="b">
        <f>OR(AND(IF(metadata!W752="",FALSE,TRUE),OR(EXACT(metadata!W752,"missing: not collected"),EXACT(metadata!W752,"missing: not provided"),EXACT(metadata!W752,"missing: restricted access"))),AND(IF(metadata!W752="",FALSE,TRUE),OR(EXACT(metadata!W752,"TRUE"),EXACT(metadata!W752,"FALSE"))))</f>
        <v>0</v>
      </c>
      <c r="BI752" t="b">
        <f>AND(IF(metadata!X752="",FALSE,TRUE),EXACT(metadata!X752,"other"))</f>
        <v>0</v>
      </c>
      <c r="BJ752" t="b">
        <f>IF(metadata!Y752="",FALSE,TRUE)</f>
        <v>0</v>
      </c>
      <c r="BK752" t="b">
        <f>OR(AND(IF(metadata!Z752="",FALSE,TRUE),OR(EXACT(metadata!Z752,"missing: not collected"),EXACT(metadata!Z752,"missing: not provided"))),AND(IF(metadata!Z752="",FALSE,IF(ISERROR(INT(metadata!Z752)),FALSE,INT(metadata!Z752)=metadata!Z752)),metadata!Z752&gt;0))</f>
        <v>0</v>
      </c>
      <c r="BL752" t="b">
        <f>AND(IF(metadata!AA752="",FALSE,TRUE),EXACT(metadata!AA752,"Not applicable"))</f>
        <v>0</v>
      </c>
      <c r="BM752" t="b">
        <f>IF(metadata!AB752="",FALSE,TRUE)</f>
        <v>0</v>
      </c>
    </row>
    <row r="753" spans="1:65" x14ac:dyDescent="0.2">
      <c r="A753" s="5" t="str">
        <f ca="1">IF(B753=" "," ",HYPERLINK(CONCATENATE("#metadata!",ADDRESS(INDEX($AH$2:$AH$1001,MATCH(ROWS($AF$2:AF753),$AF$2:$AF$1001,0),0),1)),INDEX($AK$2:$AK$1001,MATCH(ROWS($AF$2:AF753),$AF$2:$AF$1001,0),0)))</f>
        <v xml:space="preserve"> </v>
      </c>
      <c r="B753" s="4" t="str">
        <f ca="1">IF(OR(INDEX($AG$2:$AG$1001,MATCH(ROWS($AF$2:AF753),$AF$2:$AF$1001,0),1)&gt;=100000,INDEX($AM$1005:$BM$1005,1,MATCH(COLUMNS($AM$1006:AM1006),$AM$1006:$BM$1006,0))&gt;=100000), " ",IF(INDEX($AM$2:$BM$1001,MATCH(ROWS($AF$2:AF753),$AF$2:$AF$1001,0),MATCH(COLUMNS($AM$1006:AM1006),$AM$1006:$BM$1006,0)), HYPERLINK("#",""), HYPERLINK(CONCATENATE("#metadata!", ADDRESS(INDEX($AH$2:$AH$1001,MATCH(ROWS($AF$2:AF753),$AF$2:$AF$1001,0),0), INDEX($AM$1004:$BM$1004,1,MATCH(COLUMNS($AM$1006:AM1006),$AM$1006:$BM$1006,0)))),"Fix")))</f>
        <v xml:space="preserve"> </v>
      </c>
      <c r="C753" s="4" t="str">
        <f ca="1">IF(OR(INDEX($AG$2:$AG$1001,MATCH(ROWS($AF$2:AF753),$AF$2:$AF$1001,0),1)&gt;=100000,INDEX($AM$1005:$BM$1005,1,MATCH(COLUMNS($AM$1006:AN1006),$AM$1006:$BM$1006,0))&gt;=100000), " ",IF(INDEX($AM$2:$BM$1001,MATCH(ROWS($AF$2:AF753),$AF$2:$AF$1001,0),MATCH(COLUMNS($AM$1006:AN1006),$AM$1006:$BM$1006,0)), HYPERLINK("#",""), HYPERLINK(CONCATENATE("#metadata!", ADDRESS(INDEX($AH$2:$AH$1001,MATCH(ROWS($AF$2:AF753),$AF$2:$AF$1001,0),0), INDEX($AM$1004:$BM$1004,1,MATCH(COLUMNS($AM$1006:AN1006),$AM$1006:$BM$1006,0)))),"Fix")))</f>
        <v xml:space="preserve"> </v>
      </c>
      <c r="D753" s="4" t="str">
        <f ca="1">IF(OR(INDEX($AG$2:$AG$1001,MATCH(ROWS($AF$2:AF753),$AF$2:$AF$1001,0),1)&gt;=100000,INDEX($AM$1005:$BM$1005,1,MATCH(COLUMNS($AM$1006:AO1006),$AM$1006:$BM$1006,0))&gt;=100000), " ",IF(INDEX($AM$2:$BM$1001,MATCH(ROWS($AF$2:AF753),$AF$2:$AF$1001,0),MATCH(COLUMNS($AM$1006:AO1006),$AM$1006:$BM$1006,0)), HYPERLINK("#",""), HYPERLINK(CONCATENATE("#metadata!", ADDRESS(INDEX($AH$2:$AH$1001,MATCH(ROWS($AF$2:AF753),$AF$2:$AF$1001,0),0), INDEX($AM$1004:$BM$1004,1,MATCH(COLUMNS($AM$1006:AO1006),$AM$1006:$BM$1006,0)))),"Fix")))</f>
        <v xml:space="preserve"> </v>
      </c>
      <c r="E753" s="4" t="str">
        <f ca="1">IF(OR(INDEX($AG$2:$AG$1001,MATCH(ROWS($AF$2:AF753),$AF$2:$AF$1001,0),1)&gt;=100000,INDEX($AM$1005:$BM$1005,1,MATCH(COLUMNS($AM$1006:AP1006),$AM$1006:$BM$1006,0))&gt;=100000), " ",IF(INDEX($AM$2:$BM$1001,MATCH(ROWS($AF$2:AF753),$AF$2:$AF$1001,0),MATCH(COLUMNS($AM$1006:AP1006),$AM$1006:$BM$1006,0)), HYPERLINK("#",""), HYPERLINK(CONCATENATE("#metadata!", ADDRESS(INDEX($AH$2:$AH$1001,MATCH(ROWS($AF$2:AF753),$AF$2:$AF$1001,0),0), INDEX($AM$1004:$BM$1004,1,MATCH(COLUMNS($AM$1006:AP1006),$AM$1006:$BM$1006,0)))),"Fix")))</f>
        <v xml:space="preserve"> </v>
      </c>
      <c r="F753" s="4" t="str">
        <f ca="1">IF(OR(INDEX($AG$2:$AG$1001,MATCH(ROWS($AF$2:AF753),$AF$2:$AF$1001,0),1)&gt;=100000,INDEX($AM$1005:$BM$1005,1,MATCH(COLUMNS($AM$1006:AQ1006),$AM$1006:$BM$1006,0))&gt;=100000), " ",IF(INDEX($AM$2:$BM$1001,MATCH(ROWS($AF$2:AF753),$AF$2:$AF$1001,0),MATCH(COLUMNS($AM$1006:AQ1006),$AM$1006:$BM$1006,0)), HYPERLINK("#",""), HYPERLINK(CONCATENATE("#metadata!", ADDRESS(INDEX($AH$2:$AH$1001,MATCH(ROWS($AF$2:AF753),$AF$2:$AF$1001,0),0), INDEX($AM$1004:$BM$1004,1,MATCH(COLUMNS($AM$1006:AQ1006),$AM$1006:$BM$1006,0)))),"Fix")))</f>
        <v xml:space="preserve"> </v>
      </c>
      <c r="G753" s="4" t="str">
        <f ca="1">IF(OR(INDEX($AG$2:$AG$1001,MATCH(ROWS($AF$2:AF753),$AF$2:$AF$1001,0),1)&gt;=100000,INDEX($AM$1005:$BM$1005,1,MATCH(COLUMNS($AM$1006:AR1006),$AM$1006:$BM$1006,0))&gt;=100000), " ",IF(INDEX($AM$2:$BM$1001,MATCH(ROWS($AF$2:AF753),$AF$2:$AF$1001,0),MATCH(COLUMNS($AM$1006:AR1006),$AM$1006:$BM$1006,0)), HYPERLINK("#",""), HYPERLINK(CONCATENATE("#metadata!", ADDRESS(INDEX($AH$2:$AH$1001,MATCH(ROWS($AF$2:AF753),$AF$2:$AF$1001,0),0), INDEX($AM$1004:$BM$1004,1,MATCH(COLUMNS($AM$1006:AR1006),$AM$1006:$BM$1006,0)))),"Fix")))</f>
        <v xml:space="preserve"> </v>
      </c>
      <c r="H753" s="4" t="str">
        <f ca="1">IF(OR(INDEX($AG$2:$AG$1001,MATCH(ROWS($AF$2:AF753),$AF$2:$AF$1001,0),1)&gt;=100000,INDEX($AM$1005:$BM$1005,1,MATCH(COLUMNS($AM$1006:AS1006),$AM$1006:$BM$1006,0))&gt;=100000), " ",IF(INDEX($AM$2:$BM$1001,MATCH(ROWS($AF$2:AF753),$AF$2:$AF$1001,0),MATCH(COLUMNS($AM$1006:AS1006),$AM$1006:$BM$1006,0)), HYPERLINK("#",""), HYPERLINK(CONCATENATE("#metadata!", ADDRESS(INDEX($AH$2:$AH$1001,MATCH(ROWS($AF$2:AF753),$AF$2:$AF$1001,0),0), INDEX($AM$1004:$BM$1004,1,MATCH(COLUMNS($AM$1006:AS1006),$AM$1006:$BM$1006,0)))),"Fix")))</f>
        <v xml:space="preserve"> </v>
      </c>
      <c r="I753" s="4" t="str">
        <f ca="1">IF(OR(INDEX($AG$2:$AG$1001,MATCH(ROWS($AF$2:AF753),$AF$2:$AF$1001,0),1)&gt;=100000,INDEX($AM$1005:$BM$1005,1,MATCH(COLUMNS($AM$1006:AT1006),$AM$1006:$BM$1006,0))&gt;=100000), " ",IF(INDEX($AM$2:$BM$1001,MATCH(ROWS($AF$2:AF753),$AF$2:$AF$1001,0),MATCH(COLUMNS($AM$1006:AT1006),$AM$1006:$BM$1006,0)), HYPERLINK("#",""), HYPERLINK(CONCATENATE("#metadata!", ADDRESS(INDEX($AH$2:$AH$1001,MATCH(ROWS($AF$2:AF753),$AF$2:$AF$1001,0),0), INDEX($AM$1004:$BM$1004,1,MATCH(COLUMNS($AM$1006:AT1006),$AM$1006:$BM$1006,0)))),"Fix")))</f>
        <v xml:space="preserve"> </v>
      </c>
      <c r="J753" s="4" t="str">
        <f ca="1">IF(OR(INDEX($AG$2:$AG$1001,MATCH(ROWS($AF$2:AF753),$AF$2:$AF$1001,0),1)&gt;=100000,INDEX($AM$1005:$BM$1005,1,MATCH(COLUMNS($AM$1006:AU1006),$AM$1006:$BM$1006,0))&gt;=100000), " ",IF(INDEX($AM$2:$BM$1001,MATCH(ROWS($AF$2:AF753),$AF$2:$AF$1001,0),MATCH(COLUMNS($AM$1006:AU1006),$AM$1006:$BM$1006,0)), HYPERLINK("#",""), HYPERLINK(CONCATENATE("#metadata!", ADDRESS(INDEX($AH$2:$AH$1001,MATCH(ROWS($AF$2:AF753),$AF$2:$AF$1001,0),0), INDEX($AM$1004:$BM$1004,1,MATCH(COLUMNS($AM$1006:AU1006),$AM$1006:$BM$1006,0)))),"Fix")))</f>
        <v xml:space="preserve"> </v>
      </c>
      <c r="K753" s="4" t="str">
        <f ca="1">IF(OR(INDEX($AG$2:$AG$1001,MATCH(ROWS($AF$2:AF753),$AF$2:$AF$1001,0),1)&gt;=100000,INDEX($AM$1005:$BM$1005,1,MATCH(COLUMNS($AM$1006:AV1006),$AM$1006:$BM$1006,0))&gt;=100000), " ",IF(INDEX($AM$2:$BM$1001,MATCH(ROWS($AF$2:AF753),$AF$2:$AF$1001,0),MATCH(COLUMNS($AM$1006:AV1006),$AM$1006:$BM$1006,0)), HYPERLINK("#",""), HYPERLINK(CONCATENATE("#metadata!", ADDRESS(INDEX($AH$2:$AH$1001,MATCH(ROWS($AF$2:AF753),$AF$2:$AF$1001,0),0), INDEX($AM$1004:$BM$1004,1,MATCH(COLUMNS($AM$1006:AV1006),$AM$1006:$BM$1006,0)))),"Fix")))</f>
        <v xml:space="preserve"> </v>
      </c>
      <c r="L753" s="4" t="str">
        <f ca="1">IF(OR(INDEX($AG$2:$AG$1001,MATCH(ROWS($AF$2:AF753),$AF$2:$AF$1001,0),1)&gt;=100000,INDEX($AM$1005:$BM$1005,1,MATCH(COLUMNS($AM$1006:AW1006),$AM$1006:$BM$1006,0))&gt;=100000), " ",IF(INDEX($AM$2:$BM$1001,MATCH(ROWS($AF$2:AF753),$AF$2:$AF$1001,0),MATCH(COLUMNS($AM$1006:AW1006),$AM$1006:$BM$1006,0)), HYPERLINK("#",""), HYPERLINK(CONCATENATE("#metadata!", ADDRESS(INDEX($AH$2:$AH$1001,MATCH(ROWS($AF$2:AF753),$AF$2:$AF$1001,0),0), INDEX($AM$1004:$BM$1004,1,MATCH(COLUMNS($AM$1006:AW1006),$AM$1006:$BM$1006,0)))),"Fix")))</f>
        <v xml:space="preserve"> </v>
      </c>
      <c r="M753" s="4" t="str">
        <f ca="1">IF(OR(INDEX($AG$2:$AG$1001,MATCH(ROWS($AF$2:AF753),$AF$2:$AF$1001,0),1)&gt;=100000,INDEX($AM$1005:$BM$1005,1,MATCH(COLUMNS($AM$1006:AX1006),$AM$1006:$BM$1006,0))&gt;=100000), " ",IF(INDEX($AM$2:$BM$1001,MATCH(ROWS($AF$2:AF753),$AF$2:$AF$1001,0),MATCH(COLUMNS($AM$1006:AX1006),$AM$1006:$BM$1006,0)), HYPERLINK("#",""), HYPERLINK(CONCATENATE("#metadata!", ADDRESS(INDEX($AH$2:$AH$1001,MATCH(ROWS($AF$2:AF753),$AF$2:$AF$1001,0),0), INDEX($AM$1004:$BM$1004,1,MATCH(COLUMNS($AM$1006:AX1006),$AM$1006:$BM$1006,0)))),"Fix")))</f>
        <v xml:space="preserve"> </v>
      </c>
      <c r="N753" s="4" t="str">
        <f ca="1">IF(OR(INDEX($AG$2:$AG$1001,MATCH(ROWS($AF$2:AF753),$AF$2:$AF$1001,0),1)&gt;=100000,INDEX($AM$1005:$BM$1005,1,MATCH(COLUMNS($AM$1006:AY1006),$AM$1006:$BM$1006,0))&gt;=100000), " ",IF(INDEX($AM$2:$BM$1001,MATCH(ROWS($AF$2:AF753),$AF$2:$AF$1001,0),MATCH(COLUMNS($AM$1006:AY1006),$AM$1006:$BM$1006,0)), HYPERLINK("#",""), HYPERLINK(CONCATENATE("#metadata!", ADDRESS(INDEX($AH$2:$AH$1001,MATCH(ROWS($AF$2:AF753),$AF$2:$AF$1001,0),0), INDEX($AM$1004:$BM$1004,1,MATCH(COLUMNS($AM$1006:AY1006),$AM$1006:$BM$1006,0)))),"Fix")))</f>
        <v xml:space="preserve"> </v>
      </c>
      <c r="O753" s="4" t="str">
        <f ca="1">IF(OR(INDEX($AG$2:$AG$1001,MATCH(ROWS($AF$2:AF753),$AF$2:$AF$1001,0),1)&gt;=100000,INDEX($AM$1005:$BM$1005,1,MATCH(COLUMNS($AM$1006:AZ1006),$AM$1006:$BM$1006,0))&gt;=100000), " ",IF(INDEX($AM$2:$BM$1001,MATCH(ROWS($AF$2:AF753),$AF$2:$AF$1001,0),MATCH(COLUMNS($AM$1006:AZ1006),$AM$1006:$BM$1006,0)), HYPERLINK("#",""), HYPERLINK(CONCATENATE("#metadata!", ADDRESS(INDEX($AH$2:$AH$1001,MATCH(ROWS($AF$2:AF753),$AF$2:$AF$1001,0),0), INDEX($AM$1004:$BM$1004,1,MATCH(COLUMNS($AM$1006:AZ1006),$AM$1006:$BM$1006,0)))),"Fix")))</f>
        <v xml:space="preserve"> </v>
      </c>
      <c r="P753" s="4" t="str">
        <f ca="1">IF(OR(INDEX($AG$2:$AG$1001,MATCH(ROWS($AF$2:AF753),$AF$2:$AF$1001,0),1)&gt;=100000,INDEX($AM$1005:$BM$1005,1,MATCH(COLUMNS($AM$1006:BA1006),$AM$1006:$BM$1006,0))&gt;=100000), " ",IF(INDEX($AM$2:$BM$1001,MATCH(ROWS($AF$2:AF753),$AF$2:$AF$1001,0),MATCH(COLUMNS($AM$1006:BA1006),$AM$1006:$BM$1006,0)), HYPERLINK("#",""), HYPERLINK(CONCATENATE("#metadata!", ADDRESS(INDEX($AH$2:$AH$1001,MATCH(ROWS($AF$2:AF753),$AF$2:$AF$1001,0),0), INDEX($AM$1004:$BM$1004,1,MATCH(COLUMNS($AM$1006:BA1006),$AM$1006:$BM$1006,0)))),"Fix")))</f>
        <v xml:space="preserve"> </v>
      </c>
      <c r="Q753" s="4" t="str">
        <f ca="1">IF(OR(INDEX($AG$2:$AG$1001,MATCH(ROWS($AF$2:AF753),$AF$2:$AF$1001,0),1)&gt;=100000,INDEX($AM$1005:$BM$1005,1,MATCH(COLUMNS($AM$1006:BB1006),$AM$1006:$BM$1006,0))&gt;=100000), " ",IF(INDEX($AM$2:$BM$1001,MATCH(ROWS($AF$2:AF753),$AF$2:$AF$1001,0),MATCH(COLUMNS($AM$1006:BB1006),$AM$1006:$BM$1006,0)), HYPERLINK("#",""), HYPERLINK(CONCATENATE("#metadata!", ADDRESS(INDEX($AH$2:$AH$1001,MATCH(ROWS($AF$2:AF753),$AF$2:$AF$1001,0),0), INDEX($AM$1004:$BM$1004,1,MATCH(COLUMNS($AM$1006:BB1006),$AM$1006:$BM$1006,0)))),"Fix")))</f>
        <v xml:space="preserve"> </v>
      </c>
      <c r="R753" s="4" t="str">
        <f ca="1">IF(OR(INDEX($AG$2:$AG$1001,MATCH(ROWS($AF$2:AF753),$AF$2:$AF$1001,0),1)&gt;=100000,INDEX($AM$1005:$BM$1005,1,MATCH(COLUMNS($AM$1006:BC1006),$AM$1006:$BM$1006,0))&gt;=100000), " ",IF(INDEX($AM$2:$BM$1001,MATCH(ROWS($AF$2:AF753),$AF$2:$AF$1001,0),MATCH(COLUMNS($AM$1006:BC1006),$AM$1006:$BM$1006,0)), HYPERLINK("#",""), HYPERLINK(CONCATENATE("#metadata!", ADDRESS(INDEX($AH$2:$AH$1001,MATCH(ROWS($AF$2:AF753),$AF$2:$AF$1001,0),0), INDEX($AM$1004:$BM$1004,1,MATCH(COLUMNS($AM$1006:BC1006),$AM$1006:$BM$1006,0)))),"Fix")))</f>
        <v xml:space="preserve"> </v>
      </c>
      <c r="S753" s="4" t="str">
        <f ca="1">IF(OR(INDEX($AG$2:$AG$1001,MATCH(ROWS($AF$2:AF753),$AF$2:$AF$1001,0),1)&gt;=100000,INDEX($AM$1005:$BM$1005,1,MATCH(COLUMNS($AM$1006:BD1006),$AM$1006:$BM$1006,0))&gt;=100000), " ",IF(INDEX($AM$2:$BM$1001,MATCH(ROWS($AF$2:AF753),$AF$2:$AF$1001,0),MATCH(COLUMNS($AM$1006:BD1006),$AM$1006:$BM$1006,0)), HYPERLINK("#",""), HYPERLINK(CONCATENATE("#metadata!", ADDRESS(INDEX($AH$2:$AH$1001,MATCH(ROWS($AF$2:AF753),$AF$2:$AF$1001,0),0), INDEX($AM$1004:$BM$1004,1,MATCH(COLUMNS($AM$1006:BD1006),$AM$1006:$BM$1006,0)))),"Fix")))</f>
        <v xml:space="preserve"> </v>
      </c>
      <c r="T753" s="4" t="str">
        <f ca="1">IF(OR(INDEX($AG$2:$AG$1001,MATCH(ROWS($AF$2:AF753),$AF$2:$AF$1001,0),1)&gt;=100000,INDEX($AM$1005:$BM$1005,1,MATCH(COLUMNS($AM$1006:BE1006),$AM$1006:$BM$1006,0))&gt;=100000), " ",IF(INDEX($AM$2:$BM$1001,MATCH(ROWS($AF$2:AF753),$AF$2:$AF$1001,0),MATCH(COLUMNS($AM$1006:BE1006),$AM$1006:$BM$1006,0)), HYPERLINK("#",""), HYPERLINK(CONCATENATE("#metadata!", ADDRESS(INDEX($AH$2:$AH$1001,MATCH(ROWS($AF$2:AF753),$AF$2:$AF$1001,0),0), INDEX($AM$1004:$BM$1004,1,MATCH(COLUMNS($AM$1006:BE1006),$AM$1006:$BM$1006,0)))),"Fix")))</f>
        <v xml:space="preserve"> </v>
      </c>
      <c r="U753" s="4" t="str">
        <f ca="1">IF(OR(INDEX($AG$2:$AG$1001,MATCH(ROWS($AF$2:AF753),$AF$2:$AF$1001,0),1)&gt;=100000,INDEX($AM$1005:$BM$1005,1,MATCH(COLUMNS($AM$1006:BF1006),$AM$1006:$BM$1006,0))&gt;=100000), " ",IF(INDEX($AM$2:$BM$1001,MATCH(ROWS($AF$2:AF753),$AF$2:$AF$1001,0),MATCH(COLUMNS($AM$1006:BF1006),$AM$1006:$BM$1006,0)), HYPERLINK("#",""), HYPERLINK(CONCATENATE("#metadata!", ADDRESS(INDEX($AH$2:$AH$1001,MATCH(ROWS($AF$2:AF753),$AF$2:$AF$1001,0),0), INDEX($AM$1004:$BM$1004,1,MATCH(COLUMNS($AM$1006:BF1006),$AM$1006:$BM$1006,0)))),"Fix")))</f>
        <v xml:space="preserve"> </v>
      </c>
      <c r="V753" s="4" t="str">
        <f ca="1">IF(OR(INDEX($AG$2:$AG$1001,MATCH(ROWS($AF$2:AF753),$AF$2:$AF$1001,0),1)&gt;=100000,INDEX($AM$1005:$BM$1005,1,MATCH(COLUMNS($AM$1006:BG1006),$AM$1006:$BM$1006,0))&gt;=100000), " ",IF(INDEX($AM$2:$BM$1001,MATCH(ROWS($AF$2:AF753),$AF$2:$AF$1001,0),MATCH(COLUMNS($AM$1006:BG1006),$AM$1006:$BM$1006,0)), HYPERLINK("#",""), HYPERLINK(CONCATENATE("#metadata!", ADDRESS(INDEX($AH$2:$AH$1001,MATCH(ROWS($AF$2:AF753),$AF$2:$AF$1001,0),0), INDEX($AM$1004:$BM$1004,1,MATCH(COLUMNS($AM$1006:BG1006),$AM$1006:$BM$1006,0)))),"Fix")))</f>
        <v xml:space="preserve"> </v>
      </c>
      <c r="W753" s="4" t="str">
        <f ca="1">IF(OR(INDEX($AG$2:$AG$1001,MATCH(ROWS($AF$2:AF753),$AF$2:$AF$1001,0),1)&gt;=100000,INDEX($AM$1005:$BM$1005,1,MATCH(COLUMNS($AM$1006:BH1006),$AM$1006:$BM$1006,0))&gt;=100000), " ",IF(INDEX($AM$2:$BM$1001,MATCH(ROWS($AF$2:AF753),$AF$2:$AF$1001,0),MATCH(COLUMNS($AM$1006:BH1006),$AM$1006:$BM$1006,0)), HYPERLINK("#",""), HYPERLINK(CONCATENATE("#metadata!", ADDRESS(INDEX($AH$2:$AH$1001,MATCH(ROWS($AF$2:AF753),$AF$2:$AF$1001,0),0), INDEX($AM$1004:$BM$1004,1,MATCH(COLUMNS($AM$1006:BH1006),$AM$1006:$BM$1006,0)))),"Fix")))</f>
        <v xml:space="preserve"> </v>
      </c>
      <c r="X753" s="4" t="str">
        <f ca="1">IF(OR(INDEX($AG$2:$AG$1001,MATCH(ROWS($AF$2:AF753),$AF$2:$AF$1001,0),1)&gt;=100000,INDEX($AM$1005:$BM$1005,1,MATCH(COLUMNS($AM$1006:BI1006),$AM$1006:$BM$1006,0))&gt;=100000), " ",IF(INDEX($AM$2:$BM$1001,MATCH(ROWS($AF$2:AF753),$AF$2:$AF$1001,0),MATCH(COLUMNS($AM$1006:BI1006),$AM$1006:$BM$1006,0)), HYPERLINK("#",""), HYPERLINK(CONCATENATE("#metadata!", ADDRESS(INDEX($AH$2:$AH$1001,MATCH(ROWS($AF$2:AF753),$AF$2:$AF$1001,0),0), INDEX($AM$1004:$BM$1004,1,MATCH(COLUMNS($AM$1006:BI1006),$AM$1006:$BM$1006,0)))),"Fix")))</f>
        <v xml:space="preserve"> </v>
      </c>
      <c r="Y753" s="4" t="str">
        <f ca="1">IF(OR(INDEX($AG$2:$AG$1001,MATCH(ROWS($AF$2:AF753),$AF$2:$AF$1001,0),1)&gt;=100000,INDEX($AM$1005:$BM$1005,1,MATCH(COLUMNS($AM$1006:BJ1006),$AM$1006:$BM$1006,0))&gt;=100000), " ",IF(INDEX($AM$2:$BM$1001,MATCH(ROWS($AF$2:AF753),$AF$2:$AF$1001,0),MATCH(COLUMNS($AM$1006:BJ1006),$AM$1006:$BM$1006,0)), HYPERLINK("#",""), HYPERLINK(CONCATENATE("#metadata!", ADDRESS(INDEX($AH$2:$AH$1001,MATCH(ROWS($AF$2:AF753),$AF$2:$AF$1001,0),0), INDEX($AM$1004:$BM$1004,1,MATCH(COLUMNS($AM$1006:BJ1006),$AM$1006:$BM$1006,0)))),"Fix")))</f>
        <v xml:space="preserve"> </v>
      </c>
      <c r="Z753" s="4" t="str">
        <f ca="1">IF(OR(INDEX($AG$2:$AG$1001,MATCH(ROWS($AF$2:AF753),$AF$2:$AF$1001,0),1)&gt;=100000,INDEX($AM$1005:$BM$1005,1,MATCH(COLUMNS($AM$1006:BK1006),$AM$1006:$BM$1006,0))&gt;=100000), " ",IF(INDEX($AM$2:$BM$1001,MATCH(ROWS($AF$2:AF753),$AF$2:$AF$1001,0),MATCH(COLUMNS($AM$1006:BK1006),$AM$1006:$BM$1006,0)), HYPERLINK("#",""), HYPERLINK(CONCATENATE("#metadata!", ADDRESS(INDEX($AH$2:$AH$1001,MATCH(ROWS($AF$2:AF753),$AF$2:$AF$1001,0),0), INDEX($AM$1004:$BM$1004,1,MATCH(COLUMNS($AM$1006:BK1006),$AM$1006:$BM$1006,0)))),"Fix")))</f>
        <v xml:space="preserve"> </v>
      </c>
      <c r="AA753" s="4" t="str">
        <f ca="1">IF(OR(INDEX($AG$2:$AG$1001,MATCH(ROWS($AF$2:AF753),$AF$2:$AF$1001,0),1)&gt;=100000,INDEX($AM$1005:$BM$1005,1,MATCH(COLUMNS($AM$1006:BL1006),$AM$1006:$BM$1006,0))&gt;=100000), " ",IF(INDEX($AM$2:$BM$1001,MATCH(ROWS($AF$2:AF753),$AF$2:$AF$1001,0),MATCH(COLUMNS($AM$1006:BL1006),$AM$1006:$BM$1006,0)), HYPERLINK("#",""), HYPERLINK(CONCATENATE("#metadata!", ADDRESS(INDEX($AH$2:$AH$1001,MATCH(ROWS($AF$2:AF753),$AF$2:$AF$1001,0),0), INDEX($AM$1004:$BM$1004,1,MATCH(COLUMNS($AM$1006:BL1006),$AM$1006:$BM$1006,0)))),"Fix")))</f>
        <v xml:space="preserve"> </v>
      </c>
      <c r="AB753" s="4" t="str">
        <f ca="1">IF(OR(INDEX($AG$2:$AG$1001,MATCH(ROWS($AF$2:AF753),$AF$2:$AF$1001,0),1)&gt;=100000,INDEX($AM$1005:$BM$1005,1,MATCH(COLUMNS($AM$1006:BM1006),$AM$1006:$BM$1006,0))&gt;=100000), " ",IF(INDEX($AM$2:$BM$1001,MATCH(ROWS($AF$2:AF753),$AF$2:$AF$1001,0),MATCH(COLUMNS($AM$1006:BM1006),$AM$1006:$BM$1006,0)), HYPERLINK("#",""), HYPERLINK(CONCATENATE("#metadata!", ADDRESS(INDEX($AH$2:$AH$1001,MATCH(ROWS($AF$2:AF753),$AF$2:$AF$1001,0),0), INDEX($AM$1004:$BM$1004,1,MATCH(COLUMNS($AM$1006:BM1006),$AM$1006:$BM$1006,0)))),"Fix")))</f>
        <v xml:space="preserve"> </v>
      </c>
      <c r="AF753">
        <v>752</v>
      </c>
      <c r="AG753">
        <v>100753</v>
      </c>
      <c r="AH753">
        <v>753</v>
      </c>
      <c r="AI753" t="b">
        <f t="shared" si="11"/>
        <v>1</v>
      </c>
      <c r="AJ753" t="b">
        <f>COUNTBLANK(metadata!B753:AB753)=COLUMNS(metadata!B753:AB753)</f>
        <v>1</v>
      </c>
      <c r="AK753" t="str">
        <v/>
      </c>
      <c r="AM753" t="b">
        <f ca="1">AND(IF(metadata!B753="",FALSE,TRUE),COUNTIF(metadata!B:B, metadata!B753) = 1,NOT(ISERROR(SUMPRODUCT(SEARCH(MID(metadata!B753,ROW(INDIRECT("1:"&amp;LEN(metadata!B753))), 1),"0123456789abcdefghijklmnopqrstuvwxyzABCDEFGHIJKLMNOPQRSTUVWXYZ.")))))</f>
        <v>0</v>
      </c>
      <c r="AN753" t="b">
        <f ca="1">OR(AND(IF(metadata!C753="",FALSE,TRUE),OR(EXACT(metadata!C753,"missing: not collected"),EXACT(metadata!C753,"missing: not provided"),EXACT(metadata!C753,"missing: restricted access"))),AND(IF(metadata!C753="",FALSE,TRUE),AND(AND(IFERROR(INT(LEFT(metadata!C753,4))&gt;1900,FALSE),IFERROR(INT(LEFT(metadata!C753,4))&lt;=YEAR(NOW()),FALSE)), OR(MID(metadata!C753,5,1)="", AND(AND(MID(metadata!C753,5,1)="-",IFERROR(INT(MID(metadata!C753,6,1))&gt;=0,FALSE),IFERROR(INT(MID(metadata!C753,6,1))&lt;=1,FALSE),NOT(MID(metadata!C753,7,1)=""),IFERROR(INT(MID(metadata!C753,6,2))&gt;=1,FALSE),IFERROR(INT(MID(metadata!C753,6,2))&lt;=12,FALSE)), OR(MID(metadata!C753,8,1)="", AND(AND(MID(metadata!C753,8,1)="-",IFERROR(INT(MID(metadata!C753,9,1))&gt;=0,FALSE),IFERROR(INT(MID(metadata!C753,9,1))&lt;=3,FALSE),NOT(MID(metadata!C753,10,1)=""),IFERROR(INT(MID(metadata!C753,9,2))&gt;=1,FALSE),IFERROR(INT(MID(metadata!C753,9,2))&lt;=31,FALSE)), OR(MID(metadata!C753,11,1)="", AND(AND(MID(metadata!C753,11,1)=" ",IFERROR(INT(MID(metadata!C753,12,1))&gt;=0,FALSE),IFERROR(INT(MID(metadata!C753,12,1))&lt;=2,FALSE),NOT(MID(metadata!C753,13,1)=""),IFERROR(INT(MID(metadata!C753,12,2))&gt;=0,FALSE),IFERROR(INT(MID(metadata!C753,12,2))&lt;=23,FALSE)), OR(MID(metadata!C753,14,1)="", AND(AND(MID(metadata!C753,14,1)=":",IFERROR(INT(MID(metadata!C753,15,1))&gt;=0,FALSE),IFERROR(INT(MID(metadata!C753,15,1))&lt;=5,FALSE),NOT(MID(metadata!C753,16,1)=""),IFERROR(INT(MID(metadata!C753,15,2))&gt;=0,FALSE),IFERROR(INT(MID(metadata!C753,15,2))&lt;=59,FALSE)), OR(MID(metadata!C753,17,1)="", AND(AND(MID(metadata!C753,17,1)=":",IFERROR(INT(MID(metadata!C753,18,1))&gt;=0,FALSE),IFERROR(INT(MID(metadata!C753,18,1))&lt;=5,FALSE),NOT(MID(metadata!C753,19,1)=""),IFERROR(INT(MID(metadata!C753,18,2))&gt;=0,FALSE),IFERROR(INT(MID(metadata!C753,18,2))&lt;=59,FALSE)), LEN(metadata!C753)&lt;=19)))))))))))))</f>
        <v>0</v>
      </c>
      <c r="AO753" t="b">
        <f>AND(IF(metadata!D753="",FALSE,TRUE),EXACT(metadata!D753,"Not applicable"))</f>
        <v>0</v>
      </c>
      <c r="AP753" t="b">
        <f>IF(metadata!E753="",FALSE,TRUE)</f>
        <v>0</v>
      </c>
      <c r="AQ753" t="b">
        <f>OR(AND(IF(metadata!F753="",FALSE,TRUE),OR(EXACT(metadata!F753,"missing: not collected"),EXACT(metadata!F753,"missing: not provided"))),AND(IF(metadata!F753="",FALSE,TRUE),OR(EXACT(metadata!F753,"TRUE"),EXACT(metadata!F753,"FALSE"))))</f>
        <v>0</v>
      </c>
      <c r="AR753" t="b">
        <f>OR(AND(IF(metadata!G753="",FALSE,TRUE),OR(EXACT(metadata!G753,"missing: not collected"),EXACT(metadata!G753,"missing: not provided"),EXACT(metadata!G753,"missing: restricted access"))),AND(IF(metadata!G753="",FALSE,ISNUMBER(VALUE(metadata!G753))),metadata!G753&gt;=-413))</f>
        <v>0</v>
      </c>
      <c r="AS753" t="b">
        <f>AND(IF(metadata!H753="",FALSE,TRUE),EXACT(metadata!H753,"meters"))</f>
        <v>0</v>
      </c>
      <c r="AT753" t="b">
        <f>AND(IF(metadata!I753="",FALSE,TRUE),OR(EXACT(metadata!I753,"Host-associated"),EXACT(metadata!I753,"Free-living")))</f>
        <v>0</v>
      </c>
      <c r="AU753" t="b">
        <f>AND(IF(metadata!J753="",FALSE,TRUE),OR(EXACT(metadata!J753,"Animal"),EXACT(metadata!J753,"Fungus"),EXACT(metadata!J753,"Plant"),EXACT(metadata!J753,"Saline"),EXACT(metadata!J753,"Non-saline")))</f>
        <v>0</v>
      </c>
      <c r="AV753" t="b">
        <f>AND(IF(metadata!K753="",FALSE,TRUE),OR(EXACT(metadata!K753,"Plant secretion"),EXACT(metadata!K753,"Plant rhizosphere"),EXACT(metadata!K753,"Plant surface"),EXACT(metadata!K753,"Plant corpus"),EXACT(metadata!K753,"Fungus surface"),EXACT(metadata!K753,"Fungus corpus"),EXACT(metadata!K753,"Animal surface"),EXACT(metadata!K753,"Animal proximal gut"),EXACT(metadata!K753,"Animal corpus"),EXACT(metadata!K753,"Animal distal gut"),EXACT(metadata!K753,"Animal secretion"),EXACT(metadata!K753,"Sub-surface (non-saline)"),EXACT(metadata!K753,"Surface (non-saline)"),EXACT(metadata!K753,"Water (non-saline)"),EXACT(metadata!K753,"Soil (non-saline)"),EXACT(metadata!K753,"Aerosol (non-saline)"),EXACT(metadata!K753,"Sediment (non-saline)"),EXACT(metadata!K753,"Surface (saline)"),EXACT(metadata!K753,"Water (saline)"),EXACT(metadata!K753,"Hypersaline (saline)"),EXACT(metadata!K753,"Aerosol (saline)"),EXACT(metadata!K753,"Sediment (saline)")))</f>
        <v>0</v>
      </c>
      <c r="AW753" t="b">
        <f>IF(metadata!L753="",FALSE,TRUE)</f>
        <v>0</v>
      </c>
      <c r="AX753" t="b">
        <f>IF(metadata!M753="",FALSE,TRUE)</f>
        <v>0</v>
      </c>
      <c r="AY753" t="b">
        <f>IF(metadata!N753="",FALSE,TRUE)</f>
        <v>0</v>
      </c>
      <c r="AZ753" t="b">
        <f>OR(AND(IF(metadata!O753="",FALSE,TRUE),OR(EXACT(metadata!O753,"missing: not collected"),EXACT(metadata!O753,"missing: not provided"),EXACT(metadata!O753,"missing: restricted access"))),AND(IF(metadata!O753="",FALSE,TRUE),OR(EXACT(metadata!O753,"air"),EXACT(metadata!O753,"built environment"),EXACT(metadata!O753,"host-associated"),EXACT(metadata!O753,"human-associated"),EXACT(metadata!O753,"human-skin"),EXACT(metadata!O753,"human-oral"),EXACT(metadata!O753,"human-gut"),EXACT(metadata!O753,"human-vaginal"),EXACT(metadata!O753,"microbial mat/biofilm"),EXACT(metadata!O753,"misc environment"),EXACT(metadata!O753,"plant-associated"),EXACT(metadata!O753,"sediment"),EXACT(metadata!O753,"soil"),EXACT(metadata!O753,"wastewater/sludge"),EXACT(metadata!O753,"water"))))</f>
        <v>0</v>
      </c>
      <c r="BA753" t="b">
        <f>IF(metadata!P753="",FALSE,TRUE)</f>
        <v>0</v>
      </c>
      <c r="BB753" t="b">
        <f>IF(metadata!Q753="",FALSE,TRUE)</f>
        <v>0</v>
      </c>
      <c r="BC753" t="b">
        <f>OR(AND(IF(metadata!R753="",FALSE,TRUE),OR(EXACT(metadata!R753,"missing: not collected"),EXACT(metadata!R753,"missing: not provided"),EXACT(metadata!R753,"missing: restricted access"))),AND(IF(metadata!R753="",FALSE,ISNUMBER(VALUE(metadata!R753))),metadata!R753&gt;=-90,metadata!R753&lt;=90))</f>
        <v>0</v>
      </c>
      <c r="BD753" t="b">
        <f>AND(IF(metadata!S753="",FALSE,TRUE),EXACT(metadata!S753,"Decimal degrees"))</f>
        <v>0</v>
      </c>
      <c r="BE753" t="b">
        <f>OR(AND(IF(metadata!T753="",FALSE,TRUE),OR(EXACT(metadata!T753,"missing: not collected"),EXACT(metadata!T753,"missing: not provided"),EXACT(metadata!T753,"missing: restricted access"))),AND(IF(metadata!T753="",FALSE,ISNUMBER(VALUE(metadata!T753))),metadata!T753&gt;=-180,metadata!T753&lt;=180))</f>
        <v>0</v>
      </c>
      <c r="BF753" t="b">
        <f>AND(IF(metadata!U753="",FALSE,TRUE),EXACT(metadata!U753,"Decimal degrees"))</f>
        <v>0</v>
      </c>
      <c r="BG753" t="b">
        <f>IF(metadata!V753="",FALSE,TRUE)</f>
        <v>0</v>
      </c>
      <c r="BH753" t="b">
        <f>OR(AND(IF(metadata!W753="",FALSE,TRUE),OR(EXACT(metadata!W753,"missing: not collected"),EXACT(metadata!W753,"missing: not provided"),EXACT(metadata!W753,"missing: restricted access"))),AND(IF(metadata!W753="",FALSE,TRUE),OR(EXACT(metadata!W753,"TRUE"),EXACT(metadata!W753,"FALSE"))))</f>
        <v>0</v>
      </c>
      <c r="BI753" t="b">
        <f>AND(IF(metadata!X753="",FALSE,TRUE),EXACT(metadata!X753,"other"))</f>
        <v>0</v>
      </c>
      <c r="BJ753" t="b">
        <f>IF(metadata!Y753="",FALSE,TRUE)</f>
        <v>0</v>
      </c>
      <c r="BK753" t="b">
        <f>OR(AND(IF(metadata!Z753="",FALSE,TRUE),OR(EXACT(metadata!Z753,"missing: not collected"),EXACT(metadata!Z753,"missing: not provided"))),AND(IF(metadata!Z753="",FALSE,IF(ISERROR(INT(metadata!Z753)),FALSE,INT(metadata!Z753)=metadata!Z753)),metadata!Z753&gt;0))</f>
        <v>0</v>
      </c>
      <c r="BL753" t="b">
        <f>AND(IF(metadata!AA753="",FALSE,TRUE),EXACT(metadata!AA753,"Not applicable"))</f>
        <v>0</v>
      </c>
      <c r="BM753" t="b">
        <f>IF(metadata!AB753="",FALSE,TRUE)</f>
        <v>0</v>
      </c>
    </row>
    <row r="754" spans="1:65" x14ac:dyDescent="0.2">
      <c r="A754" s="5" t="str">
        <f ca="1">IF(B754=" "," ",HYPERLINK(CONCATENATE("#metadata!",ADDRESS(INDEX($AH$2:$AH$1001,MATCH(ROWS($AF$2:AF754),$AF$2:$AF$1001,0),0),1)),INDEX($AK$2:$AK$1001,MATCH(ROWS($AF$2:AF754),$AF$2:$AF$1001,0),0)))</f>
        <v xml:space="preserve"> </v>
      </c>
      <c r="B754" s="4" t="str">
        <f ca="1">IF(OR(INDEX($AG$2:$AG$1001,MATCH(ROWS($AF$2:AF754),$AF$2:$AF$1001,0),1)&gt;=100000,INDEX($AM$1005:$BM$1005,1,MATCH(COLUMNS($AM$1006:AM1006),$AM$1006:$BM$1006,0))&gt;=100000), " ",IF(INDEX($AM$2:$BM$1001,MATCH(ROWS($AF$2:AF754),$AF$2:$AF$1001,0),MATCH(COLUMNS($AM$1006:AM1006),$AM$1006:$BM$1006,0)), HYPERLINK("#",""), HYPERLINK(CONCATENATE("#metadata!", ADDRESS(INDEX($AH$2:$AH$1001,MATCH(ROWS($AF$2:AF754),$AF$2:$AF$1001,0),0), INDEX($AM$1004:$BM$1004,1,MATCH(COLUMNS($AM$1006:AM1006),$AM$1006:$BM$1006,0)))),"Fix")))</f>
        <v xml:space="preserve"> </v>
      </c>
      <c r="C754" s="4" t="str">
        <f ca="1">IF(OR(INDEX($AG$2:$AG$1001,MATCH(ROWS($AF$2:AF754),$AF$2:$AF$1001,0),1)&gt;=100000,INDEX($AM$1005:$BM$1005,1,MATCH(COLUMNS($AM$1006:AN1006),$AM$1006:$BM$1006,0))&gt;=100000), " ",IF(INDEX($AM$2:$BM$1001,MATCH(ROWS($AF$2:AF754),$AF$2:$AF$1001,0),MATCH(COLUMNS($AM$1006:AN1006),$AM$1006:$BM$1006,0)), HYPERLINK("#",""), HYPERLINK(CONCATENATE("#metadata!", ADDRESS(INDEX($AH$2:$AH$1001,MATCH(ROWS($AF$2:AF754),$AF$2:$AF$1001,0),0), INDEX($AM$1004:$BM$1004,1,MATCH(COLUMNS($AM$1006:AN1006),$AM$1006:$BM$1006,0)))),"Fix")))</f>
        <v xml:space="preserve"> </v>
      </c>
      <c r="D754" s="4" t="str">
        <f ca="1">IF(OR(INDEX($AG$2:$AG$1001,MATCH(ROWS($AF$2:AF754),$AF$2:$AF$1001,0),1)&gt;=100000,INDEX($AM$1005:$BM$1005,1,MATCH(COLUMNS($AM$1006:AO1006),$AM$1006:$BM$1006,0))&gt;=100000), " ",IF(INDEX($AM$2:$BM$1001,MATCH(ROWS($AF$2:AF754),$AF$2:$AF$1001,0),MATCH(COLUMNS($AM$1006:AO1006),$AM$1006:$BM$1006,0)), HYPERLINK("#",""), HYPERLINK(CONCATENATE("#metadata!", ADDRESS(INDEX($AH$2:$AH$1001,MATCH(ROWS($AF$2:AF754),$AF$2:$AF$1001,0),0), INDEX($AM$1004:$BM$1004,1,MATCH(COLUMNS($AM$1006:AO1006),$AM$1006:$BM$1006,0)))),"Fix")))</f>
        <v xml:space="preserve"> </v>
      </c>
      <c r="E754" s="4" t="str">
        <f ca="1">IF(OR(INDEX($AG$2:$AG$1001,MATCH(ROWS($AF$2:AF754),$AF$2:$AF$1001,0),1)&gt;=100000,INDEX($AM$1005:$BM$1005,1,MATCH(COLUMNS($AM$1006:AP1006),$AM$1006:$BM$1006,0))&gt;=100000), " ",IF(INDEX($AM$2:$BM$1001,MATCH(ROWS($AF$2:AF754),$AF$2:$AF$1001,0),MATCH(COLUMNS($AM$1006:AP1006),$AM$1006:$BM$1006,0)), HYPERLINK("#",""), HYPERLINK(CONCATENATE("#metadata!", ADDRESS(INDEX($AH$2:$AH$1001,MATCH(ROWS($AF$2:AF754),$AF$2:$AF$1001,0),0), INDEX($AM$1004:$BM$1004,1,MATCH(COLUMNS($AM$1006:AP1006),$AM$1006:$BM$1006,0)))),"Fix")))</f>
        <v xml:space="preserve"> </v>
      </c>
      <c r="F754" s="4" t="str">
        <f ca="1">IF(OR(INDEX($AG$2:$AG$1001,MATCH(ROWS($AF$2:AF754),$AF$2:$AF$1001,0),1)&gt;=100000,INDEX($AM$1005:$BM$1005,1,MATCH(COLUMNS($AM$1006:AQ1006),$AM$1006:$BM$1006,0))&gt;=100000), " ",IF(INDEX($AM$2:$BM$1001,MATCH(ROWS($AF$2:AF754),$AF$2:$AF$1001,0),MATCH(COLUMNS($AM$1006:AQ1006),$AM$1006:$BM$1006,0)), HYPERLINK("#",""), HYPERLINK(CONCATENATE("#metadata!", ADDRESS(INDEX($AH$2:$AH$1001,MATCH(ROWS($AF$2:AF754),$AF$2:$AF$1001,0),0), INDEX($AM$1004:$BM$1004,1,MATCH(COLUMNS($AM$1006:AQ1006),$AM$1006:$BM$1006,0)))),"Fix")))</f>
        <v xml:space="preserve"> </v>
      </c>
      <c r="G754" s="4" t="str">
        <f ca="1">IF(OR(INDEX($AG$2:$AG$1001,MATCH(ROWS($AF$2:AF754),$AF$2:$AF$1001,0),1)&gt;=100000,INDEX($AM$1005:$BM$1005,1,MATCH(COLUMNS($AM$1006:AR1006),$AM$1006:$BM$1006,0))&gt;=100000), " ",IF(INDEX($AM$2:$BM$1001,MATCH(ROWS($AF$2:AF754),$AF$2:$AF$1001,0),MATCH(COLUMNS($AM$1006:AR1006),$AM$1006:$BM$1006,0)), HYPERLINK("#",""), HYPERLINK(CONCATENATE("#metadata!", ADDRESS(INDEX($AH$2:$AH$1001,MATCH(ROWS($AF$2:AF754),$AF$2:$AF$1001,0),0), INDEX($AM$1004:$BM$1004,1,MATCH(COLUMNS($AM$1006:AR1006),$AM$1006:$BM$1006,0)))),"Fix")))</f>
        <v xml:space="preserve"> </v>
      </c>
      <c r="H754" s="4" t="str">
        <f ca="1">IF(OR(INDEX($AG$2:$AG$1001,MATCH(ROWS($AF$2:AF754),$AF$2:$AF$1001,0),1)&gt;=100000,INDEX($AM$1005:$BM$1005,1,MATCH(COLUMNS($AM$1006:AS1006),$AM$1006:$BM$1006,0))&gt;=100000), " ",IF(INDEX($AM$2:$BM$1001,MATCH(ROWS($AF$2:AF754),$AF$2:$AF$1001,0),MATCH(COLUMNS($AM$1006:AS1006),$AM$1006:$BM$1006,0)), HYPERLINK("#",""), HYPERLINK(CONCATENATE("#metadata!", ADDRESS(INDEX($AH$2:$AH$1001,MATCH(ROWS($AF$2:AF754),$AF$2:$AF$1001,0),0), INDEX($AM$1004:$BM$1004,1,MATCH(COLUMNS($AM$1006:AS1006),$AM$1006:$BM$1006,0)))),"Fix")))</f>
        <v xml:space="preserve"> </v>
      </c>
      <c r="I754" s="4" t="str">
        <f ca="1">IF(OR(INDEX($AG$2:$AG$1001,MATCH(ROWS($AF$2:AF754),$AF$2:$AF$1001,0),1)&gt;=100000,INDEX($AM$1005:$BM$1005,1,MATCH(COLUMNS($AM$1006:AT1006),$AM$1006:$BM$1006,0))&gt;=100000), " ",IF(INDEX($AM$2:$BM$1001,MATCH(ROWS($AF$2:AF754),$AF$2:$AF$1001,0),MATCH(COLUMNS($AM$1006:AT1006),$AM$1006:$BM$1006,0)), HYPERLINK("#",""), HYPERLINK(CONCATENATE("#metadata!", ADDRESS(INDEX($AH$2:$AH$1001,MATCH(ROWS($AF$2:AF754),$AF$2:$AF$1001,0),0), INDEX($AM$1004:$BM$1004,1,MATCH(COLUMNS($AM$1006:AT1006),$AM$1006:$BM$1006,0)))),"Fix")))</f>
        <v xml:space="preserve"> </v>
      </c>
      <c r="J754" s="4" t="str">
        <f ca="1">IF(OR(INDEX($AG$2:$AG$1001,MATCH(ROWS($AF$2:AF754),$AF$2:$AF$1001,0),1)&gt;=100000,INDEX($AM$1005:$BM$1005,1,MATCH(COLUMNS($AM$1006:AU1006),$AM$1006:$BM$1006,0))&gt;=100000), " ",IF(INDEX($AM$2:$BM$1001,MATCH(ROWS($AF$2:AF754),$AF$2:$AF$1001,0),MATCH(COLUMNS($AM$1006:AU1006),$AM$1006:$BM$1006,0)), HYPERLINK("#",""), HYPERLINK(CONCATENATE("#metadata!", ADDRESS(INDEX($AH$2:$AH$1001,MATCH(ROWS($AF$2:AF754),$AF$2:$AF$1001,0),0), INDEX($AM$1004:$BM$1004,1,MATCH(COLUMNS($AM$1006:AU1006),$AM$1006:$BM$1006,0)))),"Fix")))</f>
        <v xml:space="preserve"> </v>
      </c>
      <c r="K754" s="4" t="str">
        <f ca="1">IF(OR(INDEX($AG$2:$AG$1001,MATCH(ROWS($AF$2:AF754),$AF$2:$AF$1001,0),1)&gt;=100000,INDEX($AM$1005:$BM$1005,1,MATCH(COLUMNS($AM$1006:AV1006),$AM$1006:$BM$1006,0))&gt;=100000), " ",IF(INDEX($AM$2:$BM$1001,MATCH(ROWS($AF$2:AF754),$AF$2:$AF$1001,0),MATCH(COLUMNS($AM$1006:AV1006),$AM$1006:$BM$1006,0)), HYPERLINK("#",""), HYPERLINK(CONCATENATE("#metadata!", ADDRESS(INDEX($AH$2:$AH$1001,MATCH(ROWS($AF$2:AF754),$AF$2:$AF$1001,0),0), INDEX($AM$1004:$BM$1004,1,MATCH(COLUMNS($AM$1006:AV1006),$AM$1006:$BM$1006,0)))),"Fix")))</f>
        <v xml:space="preserve"> </v>
      </c>
      <c r="L754" s="4" t="str">
        <f ca="1">IF(OR(INDEX($AG$2:$AG$1001,MATCH(ROWS($AF$2:AF754),$AF$2:$AF$1001,0),1)&gt;=100000,INDEX($AM$1005:$BM$1005,1,MATCH(COLUMNS($AM$1006:AW1006),$AM$1006:$BM$1006,0))&gt;=100000), " ",IF(INDEX($AM$2:$BM$1001,MATCH(ROWS($AF$2:AF754),$AF$2:$AF$1001,0),MATCH(COLUMNS($AM$1006:AW1006),$AM$1006:$BM$1006,0)), HYPERLINK("#",""), HYPERLINK(CONCATENATE("#metadata!", ADDRESS(INDEX($AH$2:$AH$1001,MATCH(ROWS($AF$2:AF754),$AF$2:$AF$1001,0),0), INDEX($AM$1004:$BM$1004,1,MATCH(COLUMNS($AM$1006:AW1006),$AM$1006:$BM$1006,0)))),"Fix")))</f>
        <v xml:space="preserve"> </v>
      </c>
      <c r="M754" s="4" t="str">
        <f ca="1">IF(OR(INDEX($AG$2:$AG$1001,MATCH(ROWS($AF$2:AF754),$AF$2:$AF$1001,0),1)&gt;=100000,INDEX($AM$1005:$BM$1005,1,MATCH(COLUMNS($AM$1006:AX1006),$AM$1006:$BM$1006,0))&gt;=100000), " ",IF(INDEX($AM$2:$BM$1001,MATCH(ROWS($AF$2:AF754),$AF$2:$AF$1001,0),MATCH(COLUMNS($AM$1006:AX1006),$AM$1006:$BM$1006,0)), HYPERLINK("#",""), HYPERLINK(CONCATENATE("#metadata!", ADDRESS(INDEX($AH$2:$AH$1001,MATCH(ROWS($AF$2:AF754),$AF$2:$AF$1001,0),0), INDEX($AM$1004:$BM$1004,1,MATCH(COLUMNS($AM$1006:AX1006),$AM$1006:$BM$1006,0)))),"Fix")))</f>
        <v xml:space="preserve"> </v>
      </c>
      <c r="N754" s="4" t="str">
        <f ca="1">IF(OR(INDEX($AG$2:$AG$1001,MATCH(ROWS($AF$2:AF754),$AF$2:$AF$1001,0),1)&gt;=100000,INDEX($AM$1005:$BM$1005,1,MATCH(COLUMNS($AM$1006:AY1006),$AM$1006:$BM$1006,0))&gt;=100000), " ",IF(INDEX($AM$2:$BM$1001,MATCH(ROWS($AF$2:AF754),$AF$2:$AF$1001,0),MATCH(COLUMNS($AM$1006:AY1006),$AM$1006:$BM$1006,0)), HYPERLINK("#",""), HYPERLINK(CONCATENATE("#metadata!", ADDRESS(INDEX($AH$2:$AH$1001,MATCH(ROWS($AF$2:AF754),$AF$2:$AF$1001,0),0), INDEX($AM$1004:$BM$1004,1,MATCH(COLUMNS($AM$1006:AY1006),$AM$1006:$BM$1006,0)))),"Fix")))</f>
        <v xml:space="preserve"> </v>
      </c>
      <c r="O754" s="4" t="str">
        <f ca="1">IF(OR(INDEX($AG$2:$AG$1001,MATCH(ROWS($AF$2:AF754),$AF$2:$AF$1001,0),1)&gt;=100000,INDEX($AM$1005:$BM$1005,1,MATCH(COLUMNS($AM$1006:AZ1006),$AM$1006:$BM$1006,0))&gt;=100000), " ",IF(INDEX($AM$2:$BM$1001,MATCH(ROWS($AF$2:AF754),$AF$2:$AF$1001,0),MATCH(COLUMNS($AM$1006:AZ1006),$AM$1006:$BM$1006,0)), HYPERLINK("#",""), HYPERLINK(CONCATENATE("#metadata!", ADDRESS(INDEX($AH$2:$AH$1001,MATCH(ROWS($AF$2:AF754),$AF$2:$AF$1001,0),0), INDEX($AM$1004:$BM$1004,1,MATCH(COLUMNS($AM$1006:AZ1006),$AM$1006:$BM$1006,0)))),"Fix")))</f>
        <v xml:space="preserve"> </v>
      </c>
      <c r="P754" s="4" t="str">
        <f ca="1">IF(OR(INDEX($AG$2:$AG$1001,MATCH(ROWS($AF$2:AF754),$AF$2:$AF$1001,0),1)&gt;=100000,INDEX($AM$1005:$BM$1005,1,MATCH(COLUMNS($AM$1006:BA1006),$AM$1006:$BM$1006,0))&gt;=100000), " ",IF(INDEX($AM$2:$BM$1001,MATCH(ROWS($AF$2:AF754),$AF$2:$AF$1001,0),MATCH(COLUMNS($AM$1006:BA1006),$AM$1006:$BM$1006,0)), HYPERLINK("#",""), HYPERLINK(CONCATENATE("#metadata!", ADDRESS(INDEX($AH$2:$AH$1001,MATCH(ROWS($AF$2:AF754),$AF$2:$AF$1001,0),0), INDEX($AM$1004:$BM$1004,1,MATCH(COLUMNS($AM$1006:BA1006),$AM$1006:$BM$1006,0)))),"Fix")))</f>
        <v xml:space="preserve"> </v>
      </c>
      <c r="Q754" s="4" t="str">
        <f ca="1">IF(OR(INDEX($AG$2:$AG$1001,MATCH(ROWS($AF$2:AF754),$AF$2:$AF$1001,0),1)&gt;=100000,INDEX($AM$1005:$BM$1005,1,MATCH(COLUMNS($AM$1006:BB1006),$AM$1006:$BM$1006,0))&gt;=100000), " ",IF(INDEX($AM$2:$BM$1001,MATCH(ROWS($AF$2:AF754),$AF$2:$AF$1001,0),MATCH(COLUMNS($AM$1006:BB1006),$AM$1006:$BM$1006,0)), HYPERLINK("#",""), HYPERLINK(CONCATENATE("#metadata!", ADDRESS(INDEX($AH$2:$AH$1001,MATCH(ROWS($AF$2:AF754),$AF$2:$AF$1001,0),0), INDEX($AM$1004:$BM$1004,1,MATCH(COLUMNS($AM$1006:BB1006),$AM$1006:$BM$1006,0)))),"Fix")))</f>
        <v xml:space="preserve"> </v>
      </c>
      <c r="R754" s="4" t="str">
        <f ca="1">IF(OR(INDEX($AG$2:$AG$1001,MATCH(ROWS($AF$2:AF754),$AF$2:$AF$1001,0),1)&gt;=100000,INDEX($AM$1005:$BM$1005,1,MATCH(COLUMNS($AM$1006:BC1006),$AM$1006:$BM$1006,0))&gt;=100000), " ",IF(INDEX($AM$2:$BM$1001,MATCH(ROWS($AF$2:AF754),$AF$2:$AF$1001,0),MATCH(COLUMNS($AM$1006:BC1006),$AM$1006:$BM$1006,0)), HYPERLINK("#",""), HYPERLINK(CONCATENATE("#metadata!", ADDRESS(INDEX($AH$2:$AH$1001,MATCH(ROWS($AF$2:AF754),$AF$2:$AF$1001,0),0), INDEX($AM$1004:$BM$1004,1,MATCH(COLUMNS($AM$1006:BC1006),$AM$1006:$BM$1006,0)))),"Fix")))</f>
        <v xml:space="preserve"> </v>
      </c>
      <c r="S754" s="4" t="str">
        <f ca="1">IF(OR(INDEX($AG$2:$AG$1001,MATCH(ROWS($AF$2:AF754),$AF$2:$AF$1001,0),1)&gt;=100000,INDEX($AM$1005:$BM$1005,1,MATCH(COLUMNS($AM$1006:BD1006),$AM$1006:$BM$1006,0))&gt;=100000), " ",IF(INDEX($AM$2:$BM$1001,MATCH(ROWS($AF$2:AF754),$AF$2:$AF$1001,0),MATCH(COLUMNS($AM$1006:BD1006),$AM$1006:$BM$1006,0)), HYPERLINK("#",""), HYPERLINK(CONCATENATE("#metadata!", ADDRESS(INDEX($AH$2:$AH$1001,MATCH(ROWS($AF$2:AF754),$AF$2:$AF$1001,0),0), INDEX($AM$1004:$BM$1004,1,MATCH(COLUMNS($AM$1006:BD1006),$AM$1006:$BM$1006,0)))),"Fix")))</f>
        <v xml:space="preserve"> </v>
      </c>
      <c r="T754" s="4" t="str">
        <f ca="1">IF(OR(INDEX($AG$2:$AG$1001,MATCH(ROWS($AF$2:AF754),$AF$2:$AF$1001,0),1)&gt;=100000,INDEX($AM$1005:$BM$1005,1,MATCH(COLUMNS($AM$1006:BE1006),$AM$1006:$BM$1006,0))&gt;=100000), " ",IF(INDEX($AM$2:$BM$1001,MATCH(ROWS($AF$2:AF754),$AF$2:$AF$1001,0),MATCH(COLUMNS($AM$1006:BE1006),$AM$1006:$BM$1006,0)), HYPERLINK("#",""), HYPERLINK(CONCATENATE("#metadata!", ADDRESS(INDEX($AH$2:$AH$1001,MATCH(ROWS($AF$2:AF754),$AF$2:$AF$1001,0),0), INDEX($AM$1004:$BM$1004,1,MATCH(COLUMNS($AM$1006:BE1006),$AM$1006:$BM$1006,0)))),"Fix")))</f>
        <v xml:space="preserve"> </v>
      </c>
      <c r="U754" s="4" t="str">
        <f ca="1">IF(OR(INDEX($AG$2:$AG$1001,MATCH(ROWS($AF$2:AF754),$AF$2:$AF$1001,0),1)&gt;=100000,INDEX($AM$1005:$BM$1005,1,MATCH(COLUMNS($AM$1006:BF1006),$AM$1006:$BM$1006,0))&gt;=100000), " ",IF(INDEX($AM$2:$BM$1001,MATCH(ROWS($AF$2:AF754),$AF$2:$AF$1001,0),MATCH(COLUMNS($AM$1006:BF1006),$AM$1006:$BM$1006,0)), HYPERLINK("#",""), HYPERLINK(CONCATENATE("#metadata!", ADDRESS(INDEX($AH$2:$AH$1001,MATCH(ROWS($AF$2:AF754),$AF$2:$AF$1001,0),0), INDEX($AM$1004:$BM$1004,1,MATCH(COLUMNS($AM$1006:BF1006),$AM$1006:$BM$1006,0)))),"Fix")))</f>
        <v xml:space="preserve"> </v>
      </c>
      <c r="V754" s="4" t="str">
        <f ca="1">IF(OR(INDEX($AG$2:$AG$1001,MATCH(ROWS($AF$2:AF754),$AF$2:$AF$1001,0),1)&gt;=100000,INDEX($AM$1005:$BM$1005,1,MATCH(COLUMNS($AM$1006:BG1006),$AM$1006:$BM$1006,0))&gt;=100000), " ",IF(INDEX($AM$2:$BM$1001,MATCH(ROWS($AF$2:AF754),$AF$2:$AF$1001,0),MATCH(COLUMNS($AM$1006:BG1006),$AM$1006:$BM$1006,0)), HYPERLINK("#",""), HYPERLINK(CONCATENATE("#metadata!", ADDRESS(INDEX($AH$2:$AH$1001,MATCH(ROWS($AF$2:AF754),$AF$2:$AF$1001,0),0), INDEX($AM$1004:$BM$1004,1,MATCH(COLUMNS($AM$1006:BG1006),$AM$1006:$BM$1006,0)))),"Fix")))</f>
        <v xml:space="preserve"> </v>
      </c>
      <c r="W754" s="4" t="str">
        <f ca="1">IF(OR(INDEX($AG$2:$AG$1001,MATCH(ROWS($AF$2:AF754),$AF$2:$AF$1001,0),1)&gt;=100000,INDEX($AM$1005:$BM$1005,1,MATCH(COLUMNS($AM$1006:BH1006),$AM$1006:$BM$1006,0))&gt;=100000), " ",IF(INDEX($AM$2:$BM$1001,MATCH(ROWS($AF$2:AF754),$AF$2:$AF$1001,0),MATCH(COLUMNS($AM$1006:BH1006),$AM$1006:$BM$1006,0)), HYPERLINK("#",""), HYPERLINK(CONCATENATE("#metadata!", ADDRESS(INDEX($AH$2:$AH$1001,MATCH(ROWS($AF$2:AF754),$AF$2:$AF$1001,0),0), INDEX($AM$1004:$BM$1004,1,MATCH(COLUMNS($AM$1006:BH1006),$AM$1006:$BM$1006,0)))),"Fix")))</f>
        <v xml:space="preserve"> </v>
      </c>
      <c r="X754" s="4" t="str">
        <f ca="1">IF(OR(INDEX($AG$2:$AG$1001,MATCH(ROWS($AF$2:AF754),$AF$2:$AF$1001,0),1)&gt;=100000,INDEX($AM$1005:$BM$1005,1,MATCH(COLUMNS($AM$1006:BI1006),$AM$1006:$BM$1006,0))&gt;=100000), " ",IF(INDEX($AM$2:$BM$1001,MATCH(ROWS($AF$2:AF754),$AF$2:$AF$1001,0),MATCH(COLUMNS($AM$1006:BI1006),$AM$1006:$BM$1006,0)), HYPERLINK("#",""), HYPERLINK(CONCATENATE("#metadata!", ADDRESS(INDEX($AH$2:$AH$1001,MATCH(ROWS($AF$2:AF754),$AF$2:$AF$1001,0),0), INDEX($AM$1004:$BM$1004,1,MATCH(COLUMNS($AM$1006:BI1006),$AM$1006:$BM$1006,0)))),"Fix")))</f>
        <v xml:space="preserve"> </v>
      </c>
      <c r="Y754" s="4" t="str">
        <f ca="1">IF(OR(INDEX($AG$2:$AG$1001,MATCH(ROWS($AF$2:AF754),$AF$2:$AF$1001,0),1)&gt;=100000,INDEX($AM$1005:$BM$1005,1,MATCH(COLUMNS($AM$1006:BJ1006),$AM$1006:$BM$1006,0))&gt;=100000), " ",IF(INDEX($AM$2:$BM$1001,MATCH(ROWS($AF$2:AF754),$AF$2:$AF$1001,0),MATCH(COLUMNS($AM$1006:BJ1006),$AM$1006:$BM$1006,0)), HYPERLINK("#",""), HYPERLINK(CONCATENATE("#metadata!", ADDRESS(INDEX($AH$2:$AH$1001,MATCH(ROWS($AF$2:AF754),$AF$2:$AF$1001,0),0), INDEX($AM$1004:$BM$1004,1,MATCH(COLUMNS($AM$1006:BJ1006),$AM$1006:$BM$1006,0)))),"Fix")))</f>
        <v xml:space="preserve"> </v>
      </c>
      <c r="Z754" s="4" t="str">
        <f ca="1">IF(OR(INDEX($AG$2:$AG$1001,MATCH(ROWS($AF$2:AF754),$AF$2:$AF$1001,0),1)&gt;=100000,INDEX($AM$1005:$BM$1005,1,MATCH(COLUMNS($AM$1006:BK1006),$AM$1006:$BM$1006,0))&gt;=100000), " ",IF(INDEX($AM$2:$BM$1001,MATCH(ROWS($AF$2:AF754),$AF$2:$AF$1001,0),MATCH(COLUMNS($AM$1006:BK1006),$AM$1006:$BM$1006,0)), HYPERLINK("#",""), HYPERLINK(CONCATENATE("#metadata!", ADDRESS(INDEX($AH$2:$AH$1001,MATCH(ROWS($AF$2:AF754),$AF$2:$AF$1001,0),0), INDEX($AM$1004:$BM$1004,1,MATCH(COLUMNS($AM$1006:BK1006),$AM$1006:$BM$1006,0)))),"Fix")))</f>
        <v xml:space="preserve"> </v>
      </c>
      <c r="AA754" s="4" t="str">
        <f ca="1">IF(OR(INDEX($AG$2:$AG$1001,MATCH(ROWS($AF$2:AF754),$AF$2:$AF$1001,0),1)&gt;=100000,INDEX($AM$1005:$BM$1005,1,MATCH(COLUMNS($AM$1006:BL1006),$AM$1006:$BM$1006,0))&gt;=100000), " ",IF(INDEX($AM$2:$BM$1001,MATCH(ROWS($AF$2:AF754),$AF$2:$AF$1001,0),MATCH(COLUMNS($AM$1006:BL1006),$AM$1006:$BM$1006,0)), HYPERLINK("#",""), HYPERLINK(CONCATENATE("#metadata!", ADDRESS(INDEX($AH$2:$AH$1001,MATCH(ROWS($AF$2:AF754),$AF$2:$AF$1001,0),0), INDEX($AM$1004:$BM$1004,1,MATCH(COLUMNS($AM$1006:BL1006),$AM$1006:$BM$1006,0)))),"Fix")))</f>
        <v xml:space="preserve"> </v>
      </c>
      <c r="AB754" s="4" t="str">
        <f ca="1">IF(OR(INDEX($AG$2:$AG$1001,MATCH(ROWS($AF$2:AF754),$AF$2:$AF$1001,0),1)&gt;=100000,INDEX($AM$1005:$BM$1005,1,MATCH(COLUMNS($AM$1006:BM1006),$AM$1006:$BM$1006,0))&gt;=100000), " ",IF(INDEX($AM$2:$BM$1001,MATCH(ROWS($AF$2:AF754),$AF$2:$AF$1001,0),MATCH(COLUMNS($AM$1006:BM1006),$AM$1006:$BM$1006,0)), HYPERLINK("#",""), HYPERLINK(CONCATENATE("#metadata!", ADDRESS(INDEX($AH$2:$AH$1001,MATCH(ROWS($AF$2:AF754),$AF$2:$AF$1001,0),0), INDEX($AM$1004:$BM$1004,1,MATCH(COLUMNS($AM$1006:BM1006),$AM$1006:$BM$1006,0)))),"Fix")))</f>
        <v xml:space="preserve"> </v>
      </c>
      <c r="AF754">
        <v>753</v>
      </c>
      <c r="AG754">
        <v>100754</v>
      </c>
      <c r="AH754">
        <v>754</v>
      </c>
      <c r="AI754" t="b">
        <f t="shared" si="11"/>
        <v>1</v>
      </c>
      <c r="AJ754" t="b">
        <f>COUNTBLANK(metadata!B754:AB754)=COLUMNS(metadata!B754:AB754)</f>
        <v>1</v>
      </c>
      <c r="AK754" t="str">
        <v/>
      </c>
      <c r="AM754" t="b">
        <f ca="1">AND(IF(metadata!B754="",FALSE,TRUE),COUNTIF(metadata!B:B, metadata!B754) = 1,NOT(ISERROR(SUMPRODUCT(SEARCH(MID(metadata!B754,ROW(INDIRECT("1:"&amp;LEN(metadata!B754))), 1),"0123456789abcdefghijklmnopqrstuvwxyzABCDEFGHIJKLMNOPQRSTUVWXYZ.")))))</f>
        <v>0</v>
      </c>
      <c r="AN754" t="b">
        <f ca="1">OR(AND(IF(metadata!C754="",FALSE,TRUE),OR(EXACT(metadata!C754,"missing: not collected"),EXACT(metadata!C754,"missing: not provided"),EXACT(metadata!C754,"missing: restricted access"))),AND(IF(metadata!C754="",FALSE,TRUE),AND(AND(IFERROR(INT(LEFT(metadata!C754,4))&gt;1900,FALSE),IFERROR(INT(LEFT(metadata!C754,4))&lt;=YEAR(NOW()),FALSE)), OR(MID(metadata!C754,5,1)="", AND(AND(MID(metadata!C754,5,1)="-",IFERROR(INT(MID(metadata!C754,6,1))&gt;=0,FALSE),IFERROR(INT(MID(metadata!C754,6,1))&lt;=1,FALSE),NOT(MID(metadata!C754,7,1)=""),IFERROR(INT(MID(metadata!C754,6,2))&gt;=1,FALSE),IFERROR(INT(MID(metadata!C754,6,2))&lt;=12,FALSE)), OR(MID(metadata!C754,8,1)="", AND(AND(MID(metadata!C754,8,1)="-",IFERROR(INT(MID(metadata!C754,9,1))&gt;=0,FALSE),IFERROR(INT(MID(metadata!C754,9,1))&lt;=3,FALSE),NOT(MID(metadata!C754,10,1)=""),IFERROR(INT(MID(metadata!C754,9,2))&gt;=1,FALSE),IFERROR(INT(MID(metadata!C754,9,2))&lt;=31,FALSE)), OR(MID(metadata!C754,11,1)="", AND(AND(MID(metadata!C754,11,1)=" ",IFERROR(INT(MID(metadata!C754,12,1))&gt;=0,FALSE),IFERROR(INT(MID(metadata!C754,12,1))&lt;=2,FALSE),NOT(MID(metadata!C754,13,1)=""),IFERROR(INT(MID(metadata!C754,12,2))&gt;=0,FALSE),IFERROR(INT(MID(metadata!C754,12,2))&lt;=23,FALSE)), OR(MID(metadata!C754,14,1)="", AND(AND(MID(metadata!C754,14,1)=":",IFERROR(INT(MID(metadata!C754,15,1))&gt;=0,FALSE),IFERROR(INT(MID(metadata!C754,15,1))&lt;=5,FALSE),NOT(MID(metadata!C754,16,1)=""),IFERROR(INT(MID(metadata!C754,15,2))&gt;=0,FALSE),IFERROR(INT(MID(metadata!C754,15,2))&lt;=59,FALSE)), OR(MID(metadata!C754,17,1)="", AND(AND(MID(metadata!C754,17,1)=":",IFERROR(INT(MID(metadata!C754,18,1))&gt;=0,FALSE),IFERROR(INT(MID(metadata!C754,18,1))&lt;=5,FALSE),NOT(MID(metadata!C754,19,1)=""),IFERROR(INT(MID(metadata!C754,18,2))&gt;=0,FALSE),IFERROR(INT(MID(metadata!C754,18,2))&lt;=59,FALSE)), LEN(metadata!C754)&lt;=19)))))))))))))</f>
        <v>0</v>
      </c>
      <c r="AO754" t="b">
        <f>AND(IF(metadata!D754="",FALSE,TRUE),EXACT(metadata!D754,"Not applicable"))</f>
        <v>0</v>
      </c>
      <c r="AP754" t="b">
        <f>IF(metadata!E754="",FALSE,TRUE)</f>
        <v>0</v>
      </c>
      <c r="AQ754" t="b">
        <f>OR(AND(IF(metadata!F754="",FALSE,TRUE),OR(EXACT(metadata!F754,"missing: not collected"),EXACT(metadata!F754,"missing: not provided"))),AND(IF(metadata!F754="",FALSE,TRUE),OR(EXACT(metadata!F754,"TRUE"),EXACT(metadata!F754,"FALSE"))))</f>
        <v>0</v>
      </c>
      <c r="AR754" t="b">
        <f>OR(AND(IF(metadata!G754="",FALSE,TRUE),OR(EXACT(metadata!G754,"missing: not collected"),EXACT(metadata!G754,"missing: not provided"),EXACT(metadata!G754,"missing: restricted access"))),AND(IF(metadata!G754="",FALSE,ISNUMBER(VALUE(metadata!G754))),metadata!G754&gt;=-413))</f>
        <v>0</v>
      </c>
      <c r="AS754" t="b">
        <f>AND(IF(metadata!H754="",FALSE,TRUE),EXACT(metadata!H754,"meters"))</f>
        <v>0</v>
      </c>
      <c r="AT754" t="b">
        <f>AND(IF(metadata!I754="",FALSE,TRUE),OR(EXACT(metadata!I754,"Host-associated"),EXACT(metadata!I754,"Free-living")))</f>
        <v>0</v>
      </c>
      <c r="AU754" t="b">
        <f>AND(IF(metadata!J754="",FALSE,TRUE),OR(EXACT(metadata!J754,"Animal"),EXACT(metadata!J754,"Fungus"),EXACT(metadata!J754,"Plant"),EXACT(metadata!J754,"Saline"),EXACT(metadata!J754,"Non-saline")))</f>
        <v>0</v>
      </c>
      <c r="AV754" t="b">
        <f>AND(IF(metadata!K754="",FALSE,TRUE),OR(EXACT(metadata!K754,"Plant secretion"),EXACT(metadata!K754,"Plant rhizosphere"),EXACT(metadata!K754,"Plant surface"),EXACT(metadata!K754,"Plant corpus"),EXACT(metadata!K754,"Fungus surface"),EXACT(metadata!K754,"Fungus corpus"),EXACT(metadata!K754,"Animal surface"),EXACT(metadata!K754,"Animal proximal gut"),EXACT(metadata!K754,"Animal corpus"),EXACT(metadata!K754,"Animal distal gut"),EXACT(metadata!K754,"Animal secretion"),EXACT(metadata!K754,"Sub-surface (non-saline)"),EXACT(metadata!K754,"Surface (non-saline)"),EXACT(metadata!K754,"Water (non-saline)"),EXACT(metadata!K754,"Soil (non-saline)"),EXACT(metadata!K754,"Aerosol (non-saline)"),EXACT(metadata!K754,"Sediment (non-saline)"),EXACT(metadata!K754,"Surface (saline)"),EXACT(metadata!K754,"Water (saline)"),EXACT(metadata!K754,"Hypersaline (saline)"),EXACT(metadata!K754,"Aerosol (saline)"),EXACT(metadata!K754,"Sediment (saline)")))</f>
        <v>0</v>
      </c>
      <c r="AW754" t="b">
        <f>IF(metadata!L754="",FALSE,TRUE)</f>
        <v>0</v>
      </c>
      <c r="AX754" t="b">
        <f>IF(metadata!M754="",FALSE,TRUE)</f>
        <v>0</v>
      </c>
      <c r="AY754" t="b">
        <f>IF(metadata!N754="",FALSE,TRUE)</f>
        <v>0</v>
      </c>
      <c r="AZ754" t="b">
        <f>OR(AND(IF(metadata!O754="",FALSE,TRUE),OR(EXACT(metadata!O754,"missing: not collected"),EXACT(metadata!O754,"missing: not provided"),EXACT(metadata!O754,"missing: restricted access"))),AND(IF(metadata!O754="",FALSE,TRUE),OR(EXACT(metadata!O754,"air"),EXACT(metadata!O754,"built environment"),EXACT(metadata!O754,"host-associated"),EXACT(metadata!O754,"human-associated"),EXACT(metadata!O754,"human-skin"),EXACT(metadata!O754,"human-oral"),EXACT(metadata!O754,"human-gut"),EXACT(metadata!O754,"human-vaginal"),EXACT(metadata!O754,"microbial mat/biofilm"),EXACT(metadata!O754,"misc environment"),EXACT(metadata!O754,"plant-associated"),EXACT(metadata!O754,"sediment"),EXACT(metadata!O754,"soil"),EXACT(metadata!O754,"wastewater/sludge"),EXACT(metadata!O754,"water"))))</f>
        <v>0</v>
      </c>
      <c r="BA754" t="b">
        <f>IF(metadata!P754="",FALSE,TRUE)</f>
        <v>0</v>
      </c>
      <c r="BB754" t="b">
        <f>IF(metadata!Q754="",FALSE,TRUE)</f>
        <v>0</v>
      </c>
      <c r="BC754" t="b">
        <f>OR(AND(IF(metadata!R754="",FALSE,TRUE),OR(EXACT(metadata!R754,"missing: not collected"),EXACT(metadata!R754,"missing: not provided"),EXACT(metadata!R754,"missing: restricted access"))),AND(IF(metadata!R754="",FALSE,ISNUMBER(VALUE(metadata!R754))),metadata!R754&gt;=-90,metadata!R754&lt;=90))</f>
        <v>0</v>
      </c>
      <c r="BD754" t="b">
        <f>AND(IF(metadata!S754="",FALSE,TRUE),EXACT(metadata!S754,"Decimal degrees"))</f>
        <v>0</v>
      </c>
      <c r="BE754" t="b">
        <f>OR(AND(IF(metadata!T754="",FALSE,TRUE),OR(EXACT(metadata!T754,"missing: not collected"),EXACT(metadata!T754,"missing: not provided"),EXACT(metadata!T754,"missing: restricted access"))),AND(IF(metadata!T754="",FALSE,ISNUMBER(VALUE(metadata!T754))),metadata!T754&gt;=-180,metadata!T754&lt;=180))</f>
        <v>0</v>
      </c>
      <c r="BF754" t="b">
        <f>AND(IF(metadata!U754="",FALSE,TRUE),EXACT(metadata!U754,"Decimal degrees"))</f>
        <v>0</v>
      </c>
      <c r="BG754" t="b">
        <f>IF(metadata!V754="",FALSE,TRUE)</f>
        <v>0</v>
      </c>
      <c r="BH754" t="b">
        <f>OR(AND(IF(metadata!W754="",FALSE,TRUE),OR(EXACT(metadata!W754,"missing: not collected"),EXACT(metadata!W754,"missing: not provided"),EXACT(metadata!W754,"missing: restricted access"))),AND(IF(metadata!W754="",FALSE,TRUE),OR(EXACT(metadata!W754,"TRUE"),EXACT(metadata!W754,"FALSE"))))</f>
        <v>0</v>
      </c>
      <c r="BI754" t="b">
        <f>AND(IF(metadata!X754="",FALSE,TRUE),EXACT(metadata!X754,"other"))</f>
        <v>0</v>
      </c>
      <c r="BJ754" t="b">
        <f>IF(metadata!Y754="",FALSE,TRUE)</f>
        <v>0</v>
      </c>
      <c r="BK754" t="b">
        <f>OR(AND(IF(metadata!Z754="",FALSE,TRUE),OR(EXACT(metadata!Z754,"missing: not collected"),EXACT(metadata!Z754,"missing: not provided"))),AND(IF(metadata!Z754="",FALSE,IF(ISERROR(INT(metadata!Z754)),FALSE,INT(metadata!Z754)=metadata!Z754)),metadata!Z754&gt;0))</f>
        <v>0</v>
      </c>
      <c r="BL754" t="b">
        <f>AND(IF(metadata!AA754="",FALSE,TRUE),EXACT(metadata!AA754,"Not applicable"))</f>
        <v>0</v>
      </c>
      <c r="BM754" t="b">
        <f>IF(metadata!AB754="",FALSE,TRUE)</f>
        <v>0</v>
      </c>
    </row>
    <row r="755" spans="1:65" x14ac:dyDescent="0.2">
      <c r="A755" s="5" t="str">
        <f ca="1">IF(B755=" "," ",HYPERLINK(CONCATENATE("#metadata!",ADDRESS(INDEX($AH$2:$AH$1001,MATCH(ROWS($AF$2:AF755),$AF$2:$AF$1001,0),0),1)),INDEX($AK$2:$AK$1001,MATCH(ROWS($AF$2:AF755),$AF$2:$AF$1001,0),0)))</f>
        <v xml:space="preserve"> </v>
      </c>
      <c r="B755" s="4" t="str">
        <f ca="1">IF(OR(INDEX($AG$2:$AG$1001,MATCH(ROWS($AF$2:AF755),$AF$2:$AF$1001,0),1)&gt;=100000,INDEX($AM$1005:$BM$1005,1,MATCH(COLUMNS($AM$1006:AM1006),$AM$1006:$BM$1006,0))&gt;=100000), " ",IF(INDEX($AM$2:$BM$1001,MATCH(ROWS($AF$2:AF755),$AF$2:$AF$1001,0),MATCH(COLUMNS($AM$1006:AM1006),$AM$1006:$BM$1006,0)), HYPERLINK("#",""), HYPERLINK(CONCATENATE("#metadata!", ADDRESS(INDEX($AH$2:$AH$1001,MATCH(ROWS($AF$2:AF755),$AF$2:$AF$1001,0),0), INDEX($AM$1004:$BM$1004,1,MATCH(COLUMNS($AM$1006:AM1006),$AM$1006:$BM$1006,0)))),"Fix")))</f>
        <v xml:space="preserve"> </v>
      </c>
      <c r="C755" s="4" t="str">
        <f ca="1">IF(OR(INDEX($AG$2:$AG$1001,MATCH(ROWS($AF$2:AF755),$AF$2:$AF$1001,0),1)&gt;=100000,INDEX($AM$1005:$BM$1005,1,MATCH(COLUMNS($AM$1006:AN1006),$AM$1006:$BM$1006,0))&gt;=100000), " ",IF(INDEX($AM$2:$BM$1001,MATCH(ROWS($AF$2:AF755),$AF$2:$AF$1001,0),MATCH(COLUMNS($AM$1006:AN1006),$AM$1006:$BM$1006,0)), HYPERLINK("#",""), HYPERLINK(CONCATENATE("#metadata!", ADDRESS(INDEX($AH$2:$AH$1001,MATCH(ROWS($AF$2:AF755),$AF$2:$AF$1001,0),0), INDEX($AM$1004:$BM$1004,1,MATCH(COLUMNS($AM$1006:AN1006),$AM$1006:$BM$1006,0)))),"Fix")))</f>
        <v xml:space="preserve"> </v>
      </c>
      <c r="D755" s="4" t="str">
        <f ca="1">IF(OR(INDEX($AG$2:$AG$1001,MATCH(ROWS($AF$2:AF755),$AF$2:$AF$1001,0),1)&gt;=100000,INDEX($AM$1005:$BM$1005,1,MATCH(COLUMNS($AM$1006:AO1006),$AM$1006:$BM$1006,0))&gt;=100000), " ",IF(INDEX($AM$2:$BM$1001,MATCH(ROWS($AF$2:AF755),$AF$2:$AF$1001,0),MATCH(COLUMNS($AM$1006:AO1006),$AM$1006:$BM$1006,0)), HYPERLINK("#",""), HYPERLINK(CONCATENATE("#metadata!", ADDRESS(INDEX($AH$2:$AH$1001,MATCH(ROWS($AF$2:AF755),$AF$2:$AF$1001,0),0), INDEX($AM$1004:$BM$1004,1,MATCH(COLUMNS($AM$1006:AO1006),$AM$1006:$BM$1006,0)))),"Fix")))</f>
        <v xml:space="preserve"> </v>
      </c>
      <c r="E755" s="4" t="str">
        <f ca="1">IF(OR(INDEX($AG$2:$AG$1001,MATCH(ROWS($AF$2:AF755),$AF$2:$AF$1001,0),1)&gt;=100000,INDEX($AM$1005:$BM$1005,1,MATCH(COLUMNS($AM$1006:AP1006),$AM$1006:$BM$1006,0))&gt;=100000), " ",IF(INDEX($AM$2:$BM$1001,MATCH(ROWS($AF$2:AF755),$AF$2:$AF$1001,0),MATCH(COLUMNS($AM$1006:AP1006),$AM$1006:$BM$1006,0)), HYPERLINK("#",""), HYPERLINK(CONCATENATE("#metadata!", ADDRESS(INDEX($AH$2:$AH$1001,MATCH(ROWS($AF$2:AF755),$AF$2:$AF$1001,0),0), INDEX($AM$1004:$BM$1004,1,MATCH(COLUMNS($AM$1006:AP1006),$AM$1006:$BM$1006,0)))),"Fix")))</f>
        <v xml:space="preserve"> </v>
      </c>
      <c r="F755" s="4" t="str">
        <f ca="1">IF(OR(INDEX($AG$2:$AG$1001,MATCH(ROWS($AF$2:AF755),$AF$2:$AF$1001,0),1)&gt;=100000,INDEX($AM$1005:$BM$1005,1,MATCH(COLUMNS($AM$1006:AQ1006),$AM$1006:$BM$1006,0))&gt;=100000), " ",IF(INDEX($AM$2:$BM$1001,MATCH(ROWS($AF$2:AF755),$AF$2:$AF$1001,0),MATCH(COLUMNS($AM$1006:AQ1006),$AM$1006:$BM$1006,0)), HYPERLINK("#",""), HYPERLINK(CONCATENATE("#metadata!", ADDRESS(INDEX($AH$2:$AH$1001,MATCH(ROWS($AF$2:AF755),$AF$2:$AF$1001,0),0), INDEX($AM$1004:$BM$1004,1,MATCH(COLUMNS($AM$1006:AQ1006),$AM$1006:$BM$1006,0)))),"Fix")))</f>
        <v xml:space="preserve"> </v>
      </c>
      <c r="G755" s="4" t="str">
        <f ca="1">IF(OR(INDEX($AG$2:$AG$1001,MATCH(ROWS($AF$2:AF755),$AF$2:$AF$1001,0),1)&gt;=100000,INDEX($AM$1005:$BM$1005,1,MATCH(COLUMNS($AM$1006:AR1006),$AM$1006:$BM$1006,0))&gt;=100000), " ",IF(INDEX($AM$2:$BM$1001,MATCH(ROWS($AF$2:AF755),$AF$2:$AF$1001,0),MATCH(COLUMNS($AM$1006:AR1006),$AM$1006:$BM$1006,0)), HYPERLINK("#",""), HYPERLINK(CONCATENATE("#metadata!", ADDRESS(INDEX($AH$2:$AH$1001,MATCH(ROWS($AF$2:AF755),$AF$2:$AF$1001,0),0), INDEX($AM$1004:$BM$1004,1,MATCH(COLUMNS($AM$1006:AR1006),$AM$1006:$BM$1006,0)))),"Fix")))</f>
        <v xml:space="preserve"> </v>
      </c>
      <c r="H755" s="4" t="str">
        <f ca="1">IF(OR(INDEX($AG$2:$AG$1001,MATCH(ROWS($AF$2:AF755),$AF$2:$AF$1001,0),1)&gt;=100000,INDEX($AM$1005:$BM$1005,1,MATCH(COLUMNS($AM$1006:AS1006),$AM$1006:$BM$1006,0))&gt;=100000), " ",IF(INDEX($AM$2:$BM$1001,MATCH(ROWS($AF$2:AF755),$AF$2:$AF$1001,0),MATCH(COLUMNS($AM$1006:AS1006),$AM$1006:$BM$1006,0)), HYPERLINK("#",""), HYPERLINK(CONCATENATE("#metadata!", ADDRESS(INDEX($AH$2:$AH$1001,MATCH(ROWS($AF$2:AF755),$AF$2:$AF$1001,0),0), INDEX($AM$1004:$BM$1004,1,MATCH(COLUMNS($AM$1006:AS1006),$AM$1006:$BM$1006,0)))),"Fix")))</f>
        <v xml:space="preserve"> </v>
      </c>
      <c r="I755" s="4" t="str">
        <f ca="1">IF(OR(INDEX($AG$2:$AG$1001,MATCH(ROWS($AF$2:AF755),$AF$2:$AF$1001,0),1)&gt;=100000,INDEX($AM$1005:$BM$1005,1,MATCH(COLUMNS($AM$1006:AT1006),$AM$1006:$BM$1006,0))&gt;=100000), " ",IF(INDEX($AM$2:$BM$1001,MATCH(ROWS($AF$2:AF755),$AF$2:$AF$1001,0),MATCH(COLUMNS($AM$1006:AT1006),$AM$1006:$BM$1006,0)), HYPERLINK("#",""), HYPERLINK(CONCATENATE("#metadata!", ADDRESS(INDEX($AH$2:$AH$1001,MATCH(ROWS($AF$2:AF755),$AF$2:$AF$1001,0),0), INDEX($AM$1004:$BM$1004,1,MATCH(COLUMNS($AM$1006:AT1006),$AM$1006:$BM$1006,0)))),"Fix")))</f>
        <v xml:space="preserve"> </v>
      </c>
      <c r="J755" s="4" t="str">
        <f ca="1">IF(OR(INDEX($AG$2:$AG$1001,MATCH(ROWS($AF$2:AF755),$AF$2:$AF$1001,0),1)&gt;=100000,INDEX($AM$1005:$BM$1005,1,MATCH(COLUMNS($AM$1006:AU1006),$AM$1006:$BM$1006,0))&gt;=100000), " ",IF(INDEX($AM$2:$BM$1001,MATCH(ROWS($AF$2:AF755),$AF$2:$AF$1001,0),MATCH(COLUMNS($AM$1006:AU1006),$AM$1006:$BM$1006,0)), HYPERLINK("#",""), HYPERLINK(CONCATENATE("#metadata!", ADDRESS(INDEX($AH$2:$AH$1001,MATCH(ROWS($AF$2:AF755),$AF$2:$AF$1001,0),0), INDEX($AM$1004:$BM$1004,1,MATCH(COLUMNS($AM$1006:AU1006),$AM$1006:$BM$1006,0)))),"Fix")))</f>
        <v xml:space="preserve"> </v>
      </c>
      <c r="K755" s="4" t="str">
        <f ca="1">IF(OR(INDEX($AG$2:$AG$1001,MATCH(ROWS($AF$2:AF755),$AF$2:$AF$1001,0),1)&gt;=100000,INDEX($AM$1005:$BM$1005,1,MATCH(COLUMNS($AM$1006:AV1006),$AM$1006:$BM$1006,0))&gt;=100000), " ",IF(INDEX($AM$2:$BM$1001,MATCH(ROWS($AF$2:AF755),$AF$2:$AF$1001,0),MATCH(COLUMNS($AM$1006:AV1006),$AM$1006:$BM$1006,0)), HYPERLINK("#",""), HYPERLINK(CONCATENATE("#metadata!", ADDRESS(INDEX($AH$2:$AH$1001,MATCH(ROWS($AF$2:AF755),$AF$2:$AF$1001,0),0), INDEX($AM$1004:$BM$1004,1,MATCH(COLUMNS($AM$1006:AV1006),$AM$1006:$BM$1006,0)))),"Fix")))</f>
        <v xml:space="preserve"> </v>
      </c>
      <c r="L755" s="4" t="str">
        <f ca="1">IF(OR(INDEX($AG$2:$AG$1001,MATCH(ROWS($AF$2:AF755),$AF$2:$AF$1001,0),1)&gt;=100000,INDEX($AM$1005:$BM$1005,1,MATCH(COLUMNS($AM$1006:AW1006),$AM$1006:$BM$1006,0))&gt;=100000), " ",IF(INDEX($AM$2:$BM$1001,MATCH(ROWS($AF$2:AF755),$AF$2:$AF$1001,0),MATCH(COLUMNS($AM$1006:AW1006),$AM$1006:$BM$1006,0)), HYPERLINK("#",""), HYPERLINK(CONCATENATE("#metadata!", ADDRESS(INDEX($AH$2:$AH$1001,MATCH(ROWS($AF$2:AF755),$AF$2:$AF$1001,0),0), INDEX($AM$1004:$BM$1004,1,MATCH(COLUMNS($AM$1006:AW1006),$AM$1006:$BM$1006,0)))),"Fix")))</f>
        <v xml:space="preserve"> </v>
      </c>
      <c r="M755" s="4" t="str">
        <f ca="1">IF(OR(INDEX($AG$2:$AG$1001,MATCH(ROWS($AF$2:AF755),$AF$2:$AF$1001,0),1)&gt;=100000,INDEX($AM$1005:$BM$1005,1,MATCH(COLUMNS($AM$1006:AX1006),$AM$1006:$BM$1006,0))&gt;=100000), " ",IF(INDEX($AM$2:$BM$1001,MATCH(ROWS($AF$2:AF755),$AF$2:$AF$1001,0),MATCH(COLUMNS($AM$1006:AX1006),$AM$1006:$BM$1006,0)), HYPERLINK("#",""), HYPERLINK(CONCATENATE("#metadata!", ADDRESS(INDEX($AH$2:$AH$1001,MATCH(ROWS($AF$2:AF755),$AF$2:$AF$1001,0),0), INDEX($AM$1004:$BM$1004,1,MATCH(COLUMNS($AM$1006:AX1006),$AM$1006:$BM$1006,0)))),"Fix")))</f>
        <v xml:space="preserve"> </v>
      </c>
      <c r="N755" s="4" t="str">
        <f ca="1">IF(OR(INDEX($AG$2:$AG$1001,MATCH(ROWS($AF$2:AF755),$AF$2:$AF$1001,0),1)&gt;=100000,INDEX($AM$1005:$BM$1005,1,MATCH(COLUMNS($AM$1006:AY1006),$AM$1006:$BM$1006,0))&gt;=100000), " ",IF(INDEX($AM$2:$BM$1001,MATCH(ROWS($AF$2:AF755),$AF$2:$AF$1001,0),MATCH(COLUMNS($AM$1006:AY1006),$AM$1006:$BM$1006,0)), HYPERLINK("#",""), HYPERLINK(CONCATENATE("#metadata!", ADDRESS(INDEX($AH$2:$AH$1001,MATCH(ROWS($AF$2:AF755),$AF$2:$AF$1001,0),0), INDEX($AM$1004:$BM$1004,1,MATCH(COLUMNS($AM$1006:AY1006),$AM$1006:$BM$1006,0)))),"Fix")))</f>
        <v xml:space="preserve"> </v>
      </c>
      <c r="O755" s="4" t="str">
        <f ca="1">IF(OR(INDEX($AG$2:$AG$1001,MATCH(ROWS($AF$2:AF755),$AF$2:$AF$1001,0),1)&gt;=100000,INDEX($AM$1005:$BM$1005,1,MATCH(COLUMNS($AM$1006:AZ1006),$AM$1006:$BM$1006,0))&gt;=100000), " ",IF(INDEX($AM$2:$BM$1001,MATCH(ROWS($AF$2:AF755),$AF$2:$AF$1001,0),MATCH(COLUMNS($AM$1006:AZ1006),$AM$1006:$BM$1006,0)), HYPERLINK("#",""), HYPERLINK(CONCATENATE("#metadata!", ADDRESS(INDEX($AH$2:$AH$1001,MATCH(ROWS($AF$2:AF755),$AF$2:$AF$1001,0),0), INDEX($AM$1004:$BM$1004,1,MATCH(COLUMNS($AM$1006:AZ1006),$AM$1006:$BM$1006,0)))),"Fix")))</f>
        <v xml:space="preserve"> </v>
      </c>
      <c r="P755" s="4" t="str">
        <f ca="1">IF(OR(INDEX($AG$2:$AG$1001,MATCH(ROWS($AF$2:AF755),$AF$2:$AF$1001,0),1)&gt;=100000,INDEX($AM$1005:$BM$1005,1,MATCH(COLUMNS($AM$1006:BA1006),$AM$1006:$BM$1006,0))&gt;=100000), " ",IF(INDEX($AM$2:$BM$1001,MATCH(ROWS($AF$2:AF755),$AF$2:$AF$1001,0),MATCH(COLUMNS($AM$1006:BA1006),$AM$1006:$BM$1006,0)), HYPERLINK("#",""), HYPERLINK(CONCATENATE("#metadata!", ADDRESS(INDEX($AH$2:$AH$1001,MATCH(ROWS($AF$2:AF755),$AF$2:$AF$1001,0),0), INDEX($AM$1004:$BM$1004,1,MATCH(COLUMNS($AM$1006:BA1006),$AM$1006:$BM$1006,0)))),"Fix")))</f>
        <v xml:space="preserve"> </v>
      </c>
      <c r="Q755" s="4" t="str">
        <f ca="1">IF(OR(INDEX($AG$2:$AG$1001,MATCH(ROWS($AF$2:AF755),$AF$2:$AF$1001,0),1)&gt;=100000,INDEX($AM$1005:$BM$1005,1,MATCH(COLUMNS($AM$1006:BB1006),$AM$1006:$BM$1006,0))&gt;=100000), " ",IF(INDEX($AM$2:$BM$1001,MATCH(ROWS($AF$2:AF755),$AF$2:$AF$1001,0),MATCH(COLUMNS($AM$1006:BB1006),$AM$1006:$BM$1006,0)), HYPERLINK("#",""), HYPERLINK(CONCATENATE("#metadata!", ADDRESS(INDEX($AH$2:$AH$1001,MATCH(ROWS($AF$2:AF755),$AF$2:$AF$1001,0),0), INDEX($AM$1004:$BM$1004,1,MATCH(COLUMNS($AM$1006:BB1006),$AM$1006:$BM$1006,0)))),"Fix")))</f>
        <v xml:space="preserve"> </v>
      </c>
      <c r="R755" s="4" t="str">
        <f ca="1">IF(OR(INDEX($AG$2:$AG$1001,MATCH(ROWS($AF$2:AF755),$AF$2:$AF$1001,0),1)&gt;=100000,INDEX($AM$1005:$BM$1005,1,MATCH(COLUMNS($AM$1006:BC1006),$AM$1006:$BM$1006,0))&gt;=100000), " ",IF(INDEX($AM$2:$BM$1001,MATCH(ROWS($AF$2:AF755),$AF$2:$AF$1001,0),MATCH(COLUMNS($AM$1006:BC1006),$AM$1006:$BM$1006,0)), HYPERLINK("#",""), HYPERLINK(CONCATENATE("#metadata!", ADDRESS(INDEX($AH$2:$AH$1001,MATCH(ROWS($AF$2:AF755),$AF$2:$AF$1001,0),0), INDEX($AM$1004:$BM$1004,1,MATCH(COLUMNS($AM$1006:BC1006),$AM$1006:$BM$1006,0)))),"Fix")))</f>
        <v xml:space="preserve"> </v>
      </c>
      <c r="S755" s="4" t="str">
        <f ca="1">IF(OR(INDEX($AG$2:$AG$1001,MATCH(ROWS($AF$2:AF755),$AF$2:$AF$1001,0),1)&gt;=100000,INDEX($AM$1005:$BM$1005,1,MATCH(COLUMNS($AM$1006:BD1006),$AM$1006:$BM$1006,0))&gt;=100000), " ",IF(INDEX($AM$2:$BM$1001,MATCH(ROWS($AF$2:AF755),$AF$2:$AF$1001,0),MATCH(COLUMNS($AM$1006:BD1006),$AM$1006:$BM$1006,0)), HYPERLINK("#",""), HYPERLINK(CONCATENATE("#metadata!", ADDRESS(INDEX($AH$2:$AH$1001,MATCH(ROWS($AF$2:AF755),$AF$2:$AF$1001,0),0), INDEX($AM$1004:$BM$1004,1,MATCH(COLUMNS($AM$1006:BD1006),$AM$1006:$BM$1006,0)))),"Fix")))</f>
        <v xml:space="preserve"> </v>
      </c>
      <c r="T755" s="4" t="str">
        <f ca="1">IF(OR(INDEX($AG$2:$AG$1001,MATCH(ROWS($AF$2:AF755),$AF$2:$AF$1001,0),1)&gt;=100000,INDEX($AM$1005:$BM$1005,1,MATCH(COLUMNS($AM$1006:BE1006),$AM$1006:$BM$1006,0))&gt;=100000), " ",IF(INDEX($AM$2:$BM$1001,MATCH(ROWS($AF$2:AF755),$AF$2:$AF$1001,0),MATCH(COLUMNS($AM$1006:BE1006),$AM$1006:$BM$1006,0)), HYPERLINK("#",""), HYPERLINK(CONCATENATE("#metadata!", ADDRESS(INDEX($AH$2:$AH$1001,MATCH(ROWS($AF$2:AF755),$AF$2:$AF$1001,0),0), INDEX($AM$1004:$BM$1004,1,MATCH(COLUMNS($AM$1006:BE1006),$AM$1006:$BM$1006,0)))),"Fix")))</f>
        <v xml:space="preserve"> </v>
      </c>
      <c r="U755" s="4" t="str">
        <f ca="1">IF(OR(INDEX($AG$2:$AG$1001,MATCH(ROWS($AF$2:AF755),$AF$2:$AF$1001,0),1)&gt;=100000,INDEX($AM$1005:$BM$1005,1,MATCH(COLUMNS($AM$1006:BF1006),$AM$1006:$BM$1006,0))&gt;=100000), " ",IF(INDEX($AM$2:$BM$1001,MATCH(ROWS($AF$2:AF755),$AF$2:$AF$1001,0),MATCH(COLUMNS($AM$1006:BF1006),$AM$1006:$BM$1006,0)), HYPERLINK("#",""), HYPERLINK(CONCATENATE("#metadata!", ADDRESS(INDEX($AH$2:$AH$1001,MATCH(ROWS($AF$2:AF755),$AF$2:$AF$1001,0),0), INDEX($AM$1004:$BM$1004,1,MATCH(COLUMNS($AM$1006:BF1006),$AM$1006:$BM$1006,0)))),"Fix")))</f>
        <v xml:space="preserve"> </v>
      </c>
      <c r="V755" s="4" t="str">
        <f ca="1">IF(OR(INDEX($AG$2:$AG$1001,MATCH(ROWS($AF$2:AF755),$AF$2:$AF$1001,0),1)&gt;=100000,INDEX($AM$1005:$BM$1005,1,MATCH(COLUMNS($AM$1006:BG1006),$AM$1006:$BM$1006,0))&gt;=100000), " ",IF(INDEX($AM$2:$BM$1001,MATCH(ROWS($AF$2:AF755),$AF$2:$AF$1001,0),MATCH(COLUMNS($AM$1006:BG1006),$AM$1006:$BM$1006,0)), HYPERLINK("#",""), HYPERLINK(CONCATENATE("#metadata!", ADDRESS(INDEX($AH$2:$AH$1001,MATCH(ROWS($AF$2:AF755),$AF$2:$AF$1001,0),0), INDEX($AM$1004:$BM$1004,1,MATCH(COLUMNS($AM$1006:BG1006),$AM$1006:$BM$1006,0)))),"Fix")))</f>
        <v xml:space="preserve"> </v>
      </c>
      <c r="W755" s="4" t="str">
        <f ca="1">IF(OR(INDEX($AG$2:$AG$1001,MATCH(ROWS($AF$2:AF755),$AF$2:$AF$1001,0),1)&gt;=100000,INDEX($AM$1005:$BM$1005,1,MATCH(COLUMNS($AM$1006:BH1006),$AM$1006:$BM$1006,0))&gt;=100000), " ",IF(INDEX($AM$2:$BM$1001,MATCH(ROWS($AF$2:AF755),$AF$2:$AF$1001,0),MATCH(COLUMNS($AM$1006:BH1006),$AM$1006:$BM$1006,0)), HYPERLINK("#",""), HYPERLINK(CONCATENATE("#metadata!", ADDRESS(INDEX($AH$2:$AH$1001,MATCH(ROWS($AF$2:AF755),$AF$2:$AF$1001,0),0), INDEX($AM$1004:$BM$1004,1,MATCH(COLUMNS($AM$1006:BH1006),$AM$1006:$BM$1006,0)))),"Fix")))</f>
        <v xml:space="preserve"> </v>
      </c>
      <c r="X755" s="4" t="str">
        <f ca="1">IF(OR(INDEX($AG$2:$AG$1001,MATCH(ROWS($AF$2:AF755),$AF$2:$AF$1001,0),1)&gt;=100000,INDEX($AM$1005:$BM$1005,1,MATCH(COLUMNS($AM$1006:BI1006),$AM$1006:$BM$1006,0))&gt;=100000), " ",IF(INDEX($AM$2:$BM$1001,MATCH(ROWS($AF$2:AF755),$AF$2:$AF$1001,0),MATCH(COLUMNS($AM$1006:BI1006),$AM$1006:$BM$1006,0)), HYPERLINK("#",""), HYPERLINK(CONCATENATE("#metadata!", ADDRESS(INDEX($AH$2:$AH$1001,MATCH(ROWS($AF$2:AF755),$AF$2:$AF$1001,0),0), INDEX($AM$1004:$BM$1004,1,MATCH(COLUMNS($AM$1006:BI1006),$AM$1006:$BM$1006,0)))),"Fix")))</f>
        <v xml:space="preserve"> </v>
      </c>
      <c r="Y755" s="4" t="str">
        <f ca="1">IF(OR(INDEX($AG$2:$AG$1001,MATCH(ROWS($AF$2:AF755),$AF$2:$AF$1001,0),1)&gt;=100000,INDEX($AM$1005:$BM$1005,1,MATCH(COLUMNS($AM$1006:BJ1006),$AM$1006:$BM$1006,0))&gt;=100000), " ",IF(INDEX($AM$2:$BM$1001,MATCH(ROWS($AF$2:AF755),$AF$2:$AF$1001,0),MATCH(COLUMNS($AM$1006:BJ1006),$AM$1006:$BM$1006,0)), HYPERLINK("#",""), HYPERLINK(CONCATENATE("#metadata!", ADDRESS(INDEX($AH$2:$AH$1001,MATCH(ROWS($AF$2:AF755),$AF$2:$AF$1001,0),0), INDEX($AM$1004:$BM$1004,1,MATCH(COLUMNS($AM$1006:BJ1006),$AM$1006:$BM$1006,0)))),"Fix")))</f>
        <v xml:space="preserve"> </v>
      </c>
      <c r="Z755" s="4" t="str">
        <f ca="1">IF(OR(INDEX($AG$2:$AG$1001,MATCH(ROWS($AF$2:AF755),$AF$2:$AF$1001,0),1)&gt;=100000,INDEX($AM$1005:$BM$1005,1,MATCH(COLUMNS($AM$1006:BK1006),$AM$1006:$BM$1006,0))&gt;=100000), " ",IF(INDEX($AM$2:$BM$1001,MATCH(ROWS($AF$2:AF755),$AF$2:$AF$1001,0),MATCH(COLUMNS($AM$1006:BK1006),$AM$1006:$BM$1006,0)), HYPERLINK("#",""), HYPERLINK(CONCATENATE("#metadata!", ADDRESS(INDEX($AH$2:$AH$1001,MATCH(ROWS($AF$2:AF755),$AF$2:$AF$1001,0),0), INDEX($AM$1004:$BM$1004,1,MATCH(COLUMNS($AM$1006:BK1006),$AM$1006:$BM$1006,0)))),"Fix")))</f>
        <v xml:space="preserve"> </v>
      </c>
      <c r="AA755" s="4" t="str">
        <f ca="1">IF(OR(INDEX($AG$2:$AG$1001,MATCH(ROWS($AF$2:AF755),$AF$2:$AF$1001,0),1)&gt;=100000,INDEX($AM$1005:$BM$1005,1,MATCH(COLUMNS($AM$1006:BL1006),$AM$1006:$BM$1006,0))&gt;=100000), " ",IF(INDEX($AM$2:$BM$1001,MATCH(ROWS($AF$2:AF755),$AF$2:$AF$1001,0),MATCH(COLUMNS($AM$1006:BL1006),$AM$1006:$BM$1006,0)), HYPERLINK("#",""), HYPERLINK(CONCATENATE("#metadata!", ADDRESS(INDEX($AH$2:$AH$1001,MATCH(ROWS($AF$2:AF755),$AF$2:$AF$1001,0),0), INDEX($AM$1004:$BM$1004,1,MATCH(COLUMNS($AM$1006:BL1006),$AM$1006:$BM$1006,0)))),"Fix")))</f>
        <v xml:space="preserve"> </v>
      </c>
      <c r="AB755" s="4" t="str">
        <f ca="1">IF(OR(INDEX($AG$2:$AG$1001,MATCH(ROWS($AF$2:AF755),$AF$2:$AF$1001,0),1)&gt;=100000,INDEX($AM$1005:$BM$1005,1,MATCH(COLUMNS($AM$1006:BM1006),$AM$1006:$BM$1006,0))&gt;=100000), " ",IF(INDEX($AM$2:$BM$1001,MATCH(ROWS($AF$2:AF755),$AF$2:$AF$1001,0),MATCH(COLUMNS($AM$1006:BM1006),$AM$1006:$BM$1006,0)), HYPERLINK("#",""), HYPERLINK(CONCATENATE("#metadata!", ADDRESS(INDEX($AH$2:$AH$1001,MATCH(ROWS($AF$2:AF755),$AF$2:$AF$1001,0),0), INDEX($AM$1004:$BM$1004,1,MATCH(COLUMNS($AM$1006:BM1006),$AM$1006:$BM$1006,0)))),"Fix")))</f>
        <v xml:space="preserve"> </v>
      </c>
      <c r="AF755">
        <v>754</v>
      </c>
      <c r="AG755">
        <v>100755</v>
      </c>
      <c r="AH755">
        <v>755</v>
      </c>
      <c r="AI755" t="b">
        <f t="shared" si="11"/>
        <v>1</v>
      </c>
      <c r="AJ755" t="b">
        <f>COUNTBLANK(metadata!B755:AB755)=COLUMNS(metadata!B755:AB755)</f>
        <v>1</v>
      </c>
      <c r="AK755" t="str">
        <v/>
      </c>
      <c r="AM755" t="b">
        <f ca="1">AND(IF(metadata!B755="",FALSE,TRUE),COUNTIF(metadata!B:B, metadata!B755) = 1,NOT(ISERROR(SUMPRODUCT(SEARCH(MID(metadata!B755,ROW(INDIRECT("1:"&amp;LEN(metadata!B755))), 1),"0123456789abcdefghijklmnopqrstuvwxyzABCDEFGHIJKLMNOPQRSTUVWXYZ.")))))</f>
        <v>0</v>
      </c>
      <c r="AN755" t="b">
        <f ca="1">OR(AND(IF(metadata!C755="",FALSE,TRUE),OR(EXACT(metadata!C755,"missing: not collected"),EXACT(metadata!C755,"missing: not provided"),EXACT(metadata!C755,"missing: restricted access"))),AND(IF(metadata!C755="",FALSE,TRUE),AND(AND(IFERROR(INT(LEFT(metadata!C755,4))&gt;1900,FALSE),IFERROR(INT(LEFT(metadata!C755,4))&lt;=YEAR(NOW()),FALSE)), OR(MID(metadata!C755,5,1)="", AND(AND(MID(metadata!C755,5,1)="-",IFERROR(INT(MID(metadata!C755,6,1))&gt;=0,FALSE),IFERROR(INT(MID(metadata!C755,6,1))&lt;=1,FALSE),NOT(MID(metadata!C755,7,1)=""),IFERROR(INT(MID(metadata!C755,6,2))&gt;=1,FALSE),IFERROR(INT(MID(metadata!C755,6,2))&lt;=12,FALSE)), OR(MID(metadata!C755,8,1)="", AND(AND(MID(metadata!C755,8,1)="-",IFERROR(INT(MID(metadata!C755,9,1))&gt;=0,FALSE),IFERROR(INT(MID(metadata!C755,9,1))&lt;=3,FALSE),NOT(MID(metadata!C755,10,1)=""),IFERROR(INT(MID(metadata!C755,9,2))&gt;=1,FALSE),IFERROR(INT(MID(metadata!C755,9,2))&lt;=31,FALSE)), OR(MID(metadata!C755,11,1)="", AND(AND(MID(metadata!C755,11,1)=" ",IFERROR(INT(MID(metadata!C755,12,1))&gt;=0,FALSE),IFERROR(INT(MID(metadata!C755,12,1))&lt;=2,FALSE),NOT(MID(metadata!C755,13,1)=""),IFERROR(INT(MID(metadata!C755,12,2))&gt;=0,FALSE),IFERROR(INT(MID(metadata!C755,12,2))&lt;=23,FALSE)), OR(MID(metadata!C755,14,1)="", AND(AND(MID(metadata!C755,14,1)=":",IFERROR(INT(MID(metadata!C755,15,1))&gt;=0,FALSE),IFERROR(INT(MID(metadata!C755,15,1))&lt;=5,FALSE),NOT(MID(metadata!C755,16,1)=""),IFERROR(INT(MID(metadata!C755,15,2))&gt;=0,FALSE),IFERROR(INT(MID(metadata!C755,15,2))&lt;=59,FALSE)), OR(MID(metadata!C755,17,1)="", AND(AND(MID(metadata!C755,17,1)=":",IFERROR(INT(MID(metadata!C755,18,1))&gt;=0,FALSE),IFERROR(INT(MID(metadata!C755,18,1))&lt;=5,FALSE),NOT(MID(metadata!C755,19,1)=""),IFERROR(INT(MID(metadata!C755,18,2))&gt;=0,FALSE),IFERROR(INT(MID(metadata!C755,18,2))&lt;=59,FALSE)), LEN(metadata!C755)&lt;=19)))))))))))))</f>
        <v>0</v>
      </c>
      <c r="AO755" t="b">
        <f>AND(IF(metadata!D755="",FALSE,TRUE),EXACT(metadata!D755,"Not applicable"))</f>
        <v>0</v>
      </c>
      <c r="AP755" t="b">
        <f>IF(metadata!E755="",FALSE,TRUE)</f>
        <v>0</v>
      </c>
      <c r="AQ755" t="b">
        <f>OR(AND(IF(metadata!F755="",FALSE,TRUE),OR(EXACT(metadata!F755,"missing: not collected"),EXACT(metadata!F755,"missing: not provided"))),AND(IF(metadata!F755="",FALSE,TRUE),OR(EXACT(metadata!F755,"TRUE"),EXACT(metadata!F755,"FALSE"))))</f>
        <v>0</v>
      </c>
      <c r="AR755" t="b">
        <f>OR(AND(IF(metadata!G755="",FALSE,TRUE),OR(EXACT(metadata!G755,"missing: not collected"),EXACT(metadata!G755,"missing: not provided"),EXACT(metadata!G755,"missing: restricted access"))),AND(IF(metadata!G755="",FALSE,ISNUMBER(VALUE(metadata!G755))),metadata!G755&gt;=-413))</f>
        <v>0</v>
      </c>
      <c r="AS755" t="b">
        <f>AND(IF(metadata!H755="",FALSE,TRUE),EXACT(metadata!H755,"meters"))</f>
        <v>0</v>
      </c>
      <c r="AT755" t="b">
        <f>AND(IF(metadata!I755="",FALSE,TRUE),OR(EXACT(metadata!I755,"Host-associated"),EXACT(metadata!I755,"Free-living")))</f>
        <v>0</v>
      </c>
      <c r="AU755" t="b">
        <f>AND(IF(metadata!J755="",FALSE,TRUE),OR(EXACT(metadata!J755,"Animal"),EXACT(metadata!J755,"Fungus"),EXACT(metadata!J755,"Plant"),EXACT(metadata!J755,"Saline"),EXACT(metadata!J755,"Non-saline")))</f>
        <v>0</v>
      </c>
      <c r="AV755" t="b">
        <f>AND(IF(metadata!K755="",FALSE,TRUE),OR(EXACT(metadata!K755,"Plant secretion"),EXACT(metadata!K755,"Plant rhizosphere"),EXACT(metadata!K755,"Plant surface"),EXACT(metadata!K755,"Plant corpus"),EXACT(metadata!K755,"Fungus surface"),EXACT(metadata!K755,"Fungus corpus"),EXACT(metadata!K755,"Animal surface"),EXACT(metadata!K755,"Animal proximal gut"),EXACT(metadata!K755,"Animal corpus"),EXACT(metadata!K755,"Animal distal gut"),EXACT(metadata!K755,"Animal secretion"),EXACT(metadata!K755,"Sub-surface (non-saline)"),EXACT(metadata!K755,"Surface (non-saline)"),EXACT(metadata!K755,"Water (non-saline)"),EXACT(metadata!K755,"Soil (non-saline)"),EXACT(metadata!K755,"Aerosol (non-saline)"),EXACT(metadata!K755,"Sediment (non-saline)"),EXACT(metadata!K755,"Surface (saline)"),EXACT(metadata!K755,"Water (saline)"),EXACT(metadata!K755,"Hypersaline (saline)"),EXACT(metadata!K755,"Aerosol (saline)"),EXACT(metadata!K755,"Sediment (saline)")))</f>
        <v>0</v>
      </c>
      <c r="AW755" t="b">
        <f>IF(metadata!L755="",FALSE,TRUE)</f>
        <v>0</v>
      </c>
      <c r="AX755" t="b">
        <f>IF(metadata!M755="",FALSE,TRUE)</f>
        <v>0</v>
      </c>
      <c r="AY755" t="b">
        <f>IF(metadata!N755="",FALSE,TRUE)</f>
        <v>0</v>
      </c>
      <c r="AZ755" t="b">
        <f>OR(AND(IF(metadata!O755="",FALSE,TRUE),OR(EXACT(metadata!O755,"missing: not collected"),EXACT(metadata!O755,"missing: not provided"),EXACT(metadata!O755,"missing: restricted access"))),AND(IF(metadata!O755="",FALSE,TRUE),OR(EXACT(metadata!O755,"air"),EXACT(metadata!O755,"built environment"),EXACT(metadata!O755,"host-associated"),EXACT(metadata!O755,"human-associated"),EXACT(metadata!O755,"human-skin"),EXACT(metadata!O755,"human-oral"),EXACT(metadata!O755,"human-gut"),EXACT(metadata!O755,"human-vaginal"),EXACT(metadata!O755,"microbial mat/biofilm"),EXACT(metadata!O755,"misc environment"),EXACT(metadata!O755,"plant-associated"),EXACT(metadata!O755,"sediment"),EXACT(metadata!O755,"soil"),EXACT(metadata!O755,"wastewater/sludge"),EXACT(metadata!O755,"water"))))</f>
        <v>0</v>
      </c>
      <c r="BA755" t="b">
        <f>IF(metadata!P755="",FALSE,TRUE)</f>
        <v>0</v>
      </c>
      <c r="BB755" t="b">
        <f>IF(metadata!Q755="",FALSE,TRUE)</f>
        <v>0</v>
      </c>
      <c r="BC755" t="b">
        <f>OR(AND(IF(metadata!R755="",FALSE,TRUE),OR(EXACT(metadata!R755,"missing: not collected"),EXACT(metadata!R755,"missing: not provided"),EXACT(metadata!R755,"missing: restricted access"))),AND(IF(metadata!R755="",FALSE,ISNUMBER(VALUE(metadata!R755))),metadata!R755&gt;=-90,metadata!R755&lt;=90))</f>
        <v>0</v>
      </c>
      <c r="BD755" t="b">
        <f>AND(IF(metadata!S755="",FALSE,TRUE),EXACT(metadata!S755,"Decimal degrees"))</f>
        <v>0</v>
      </c>
      <c r="BE755" t="b">
        <f>OR(AND(IF(metadata!T755="",FALSE,TRUE),OR(EXACT(metadata!T755,"missing: not collected"),EXACT(metadata!T755,"missing: not provided"),EXACT(metadata!T755,"missing: restricted access"))),AND(IF(metadata!T755="",FALSE,ISNUMBER(VALUE(metadata!T755))),metadata!T755&gt;=-180,metadata!T755&lt;=180))</f>
        <v>0</v>
      </c>
      <c r="BF755" t="b">
        <f>AND(IF(metadata!U755="",FALSE,TRUE),EXACT(metadata!U755,"Decimal degrees"))</f>
        <v>0</v>
      </c>
      <c r="BG755" t="b">
        <f>IF(metadata!V755="",FALSE,TRUE)</f>
        <v>0</v>
      </c>
      <c r="BH755" t="b">
        <f>OR(AND(IF(metadata!W755="",FALSE,TRUE),OR(EXACT(metadata!W755,"missing: not collected"),EXACT(metadata!W755,"missing: not provided"),EXACT(metadata!W755,"missing: restricted access"))),AND(IF(metadata!W755="",FALSE,TRUE),OR(EXACT(metadata!W755,"TRUE"),EXACT(metadata!W755,"FALSE"))))</f>
        <v>0</v>
      </c>
      <c r="BI755" t="b">
        <f>AND(IF(metadata!X755="",FALSE,TRUE),EXACT(metadata!X755,"other"))</f>
        <v>0</v>
      </c>
      <c r="BJ755" t="b">
        <f>IF(metadata!Y755="",FALSE,TRUE)</f>
        <v>0</v>
      </c>
      <c r="BK755" t="b">
        <f>OR(AND(IF(metadata!Z755="",FALSE,TRUE),OR(EXACT(metadata!Z755,"missing: not collected"),EXACT(metadata!Z755,"missing: not provided"))),AND(IF(metadata!Z755="",FALSE,IF(ISERROR(INT(metadata!Z755)),FALSE,INT(metadata!Z755)=metadata!Z755)),metadata!Z755&gt;0))</f>
        <v>0</v>
      </c>
      <c r="BL755" t="b">
        <f>AND(IF(metadata!AA755="",FALSE,TRUE),EXACT(metadata!AA755,"Not applicable"))</f>
        <v>0</v>
      </c>
      <c r="BM755" t="b">
        <f>IF(metadata!AB755="",FALSE,TRUE)</f>
        <v>0</v>
      </c>
    </row>
    <row r="756" spans="1:65" x14ac:dyDescent="0.2">
      <c r="A756" s="5" t="str">
        <f ca="1">IF(B756=" "," ",HYPERLINK(CONCATENATE("#metadata!",ADDRESS(INDEX($AH$2:$AH$1001,MATCH(ROWS($AF$2:AF756),$AF$2:$AF$1001,0),0),1)),INDEX($AK$2:$AK$1001,MATCH(ROWS($AF$2:AF756),$AF$2:$AF$1001,0),0)))</f>
        <v xml:space="preserve"> </v>
      </c>
      <c r="B756" s="4" t="str">
        <f ca="1">IF(OR(INDEX($AG$2:$AG$1001,MATCH(ROWS($AF$2:AF756),$AF$2:$AF$1001,0),1)&gt;=100000,INDEX($AM$1005:$BM$1005,1,MATCH(COLUMNS($AM$1006:AM1006),$AM$1006:$BM$1006,0))&gt;=100000), " ",IF(INDEX($AM$2:$BM$1001,MATCH(ROWS($AF$2:AF756),$AF$2:$AF$1001,0),MATCH(COLUMNS($AM$1006:AM1006),$AM$1006:$BM$1006,0)), HYPERLINK("#",""), HYPERLINK(CONCATENATE("#metadata!", ADDRESS(INDEX($AH$2:$AH$1001,MATCH(ROWS($AF$2:AF756),$AF$2:$AF$1001,0),0), INDEX($AM$1004:$BM$1004,1,MATCH(COLUMNS($AM$1006:AM1006),$AM$1006:$BM$1006,0)))),"Fix")))</f>
        <v xml:space="preserve"> </v>
      </c>
      <c r="C756" s="4" t="str">
        <f ca="1">IF(OR(INDEX($AG$2:$AG$1001,MATCH(ROWS($AF$2:AF756),$AF$2:$AF$1001,0),1)&gt;=100000,INDEX($AM$1005:$BM$1005,1,MATCH(COLUMNS($AM$1006:AN1006),$AM$1006:$BM$1006,0))&gt;=100000), " ",IF(INDEX($AM$2:$BM$1001,MATCH(ROWS($AF$2:AF756),$AF$2:$AF$1001,0),MATCH(COLUMNS($AM$1006:AN1006),$AM$1006:$BM$1006,0)), HYPERLINK("#",""), HYPERLINK(CONCATENATE("#metadata!", ADDRESS(INDEX($AH$2:$AH$1001,MATCH(ROWS($AF$2:AF756),$AF$2:$AF$1001,0),0), INDEX($AM$1004:$BM$1004,1,MATCH(COLUMNS($AM$1006:AN1006),$AM$1006:$BM$1006,0)))),"Fix")))</f>
        <v xml:space="preserve"> </v>
      </c>
      <c r="D756" s="4" t="str">
        <f ca="1">IF(OR(INDEX($AG$2:$AG$1001,MATCH(ROWS($AF$2:AF756),$AF$2:$AF$1001,0),1)&gt;=100000,INDEX($AM$1005:$BM$1005,1,MATCH(COLUMNS($AM$1006:AO1006),$AM$1006:$BM$1006,0))&gt;=100000), " ",IF(INDEX($AM$2:$BM$1001,MATCH(ROWS($AF$2:AF756),$AF$2:$AF$1001,0),MATCH(COLUMNS($AM$1006:AO1006),$AM$1006:$BM$1006,0)), HYPERLINK("#",""), HYPERLINK(CONCATENATE("#metadata!", ADDRESS(INDEX($AH$2:$AH$1001,MATCH(ROWS($AF$2:AF756),$AF$2:$AF$1001,0),0), INDEX($AM$1004:$BM$1004,1,MATCH(COLUMNS($AM$1006:AO1006),$AM$1006:$BM$1006,0)))),"Fix")))</f>
        <v xml:space="preserve"> </v>
      </c>
      <c r="E756" s="4" t="str">
        <f ca="1">IF(OR(INDEX($AG$2:$AG$1001,MATCH(ROWS($AF$2:AF756),$AF$2:$AF$1001,0),1)&gt;=100000,INDEX($AM$1005:$BM$1005,1,MATCH(COLUMNS($AM$1006:AP1006),$AM$1006:$BM$1006,0))&gt;=100000), " ",IF(INDEX($AM$2:$BM$1001,MATCH(ROWS($AF$2:AF756),$AF$2:$AF$1001,0),MATCH(COLUMNS($AM$1006:AP1006),$AM$1006:$BM$1006,0)), HYPERLINK("#",""), HYPERLINK(CONCATENATE("#metadata!", ADDRESS(INDEX($AH$2:$AH$1001,MATCH(ROWS($AF$2:AF756),$AF$2:$AF$1001,0),0), INDEX($AM$1004:$BM$1004,1,MATCH(COLUMNS($AM$1006:AP1006),$AM$1006:$BM$1006,0)))),"Fix")))</f>
        <v xml:space="preserve"> </v>
      </c>
      <c r="F756" s="4" t="str">
        <f ca="1">IF(OR(INDEX($AG$2:$AG$1001,MATCH(ROWS($AF$2:AF756),$AF$2:$AF$1001,0),1)&gt;=100000,INDEX($AM$1005:$BM$1005,1,MATCH(COLUMNS($AM$1006:AQ1006),$AM$1006:$BM$1006,0))&gt;=100000), " ",IF(INDEX($AM$2:$BM$1001,MATCH(ROWS($AF$2:AF756),$AF$2:$AF$1001,0),MATCH(COLUMNS($AM$1006:AQ1006),$AM$1006:$BM$1006,0)), HYPERLINK("#",""), HYPERLINK(CONCATENATE("#metadata!", ADDRESS(INDEX($AH$2:$AH$1001,MATCH(ROWS($AF$2:AF756),$AF$2:$AF$1001,0),0), INDEX($AM$1004:$BM$1004,1,MATCH(COLUMNS($AM$1006:AQ1006),$AM$1006:$BM$1006,0)))),"Fix")))</f>
        <v xml:space="preserve"> </v>
      </c>
      <c r="G756" s="4" t="str">
        <f ca="1">IF(OR(INDEX($AG$2:$AG$1001,MATCH(ROWS($AF$2:AF756),$AF$2:$AF$1001,0),1)&gt;=100000,INDEX($AM$1005:$BM$1005,1,MATCH(COLUMNS($AM$1006:AR1006),$AM$1006:$BM$1006,0))&gt;=100000), " ",IF(INDEX($AM$2:$BM$1001,MATCH(ROWS($AF$2:AF756),$AF$2:$AF$1001,0),MATCH(COLUMNS($AM$1006:AR1006),$AM$1006:$BM$1006,0)), HYPERLINK("#",""), HYPERLINK(CONCATENATE("#metadata!", ADDRESS(INDEX($AH$2:$AH$1001,MATCH(ROWS($AF$2:AF756),$AF$2:$AF$1001,0),0), INDEX($AM$1004:$BM$1004,1,MATCH(COLUMNS($AM$1006:AR1006),$AM$1006:$BM$1006,0)))),"Fix")))</f>
        <v xml:space="preserve"> </v>
      </c>
      <c r="H756" s="4" t="str">
        <f ca="1">IF(OR(INDEX($AG$2:$AG$1001,MATCH(ROWS($AF$2:AF756),$AF$2:$AF$1001,0),1)&gt;=100000,INDEX($AM$1005:$BM$1005,1,MATCH(COLUMNS($AM$1006:AS1006),$AM$1006:$BM$1006,0))&gt;=100000), " ",IF(INDEX($AM$2:$BM$1001,MATCH(ROWS($AF$2:AF756),$AF$2:$AF$1001,0),MATCH(COLUMNS($AM$1006:AS1006),$AM$1006:$BM$1006,0)), HYPERLINK("#",""), HYPERLINK(CONCATENATE("#metadata!", ADDRESS(INDEX($AH$2:$AH$1001,MATCH(ROWS($AF$2:AF756),$AF$2:$AF$1001,0),0), INDEX($AM$1004:$BM$1004,1,MATCH(COLUMNS($AM$1006:AS1006),$AM$1006:$BM$1006,0)))),"Fix")))</f>
        <v xml:space="preserve"> </v>
      </c>
      <c r="I756" s="4" t="str">
        <f ca="1">IF(OR(INDEX($AG$2:$AG$1001,MATCH(ROWS($AF$2:AF756),$AF$2:$AF$1001,0),1)&gt;=100000,INDEX($AM$1005:$BM$1005,1,MATCH(COLUMNS($AM$1006:AT1006),$AM$1006:$BM$1006,0))&gt;=100000), " ",IF(INDEX($AM$2:$BM$1001,MATCH(ROWS($AF$2:AF756),$AF$2:$AF$1001,0),MATCH(COLUMNS($AM$1006:AT1006),$AM$1006:$BM$1006,0)), HYPERLINK("#",""), HYPERLINK(CONCATENATE("#metadata!", ADDRESS(INDEX($AH$2:$AH$1001,MATCH(ROWS($AF$2:AF756),$AF$2:$AF$1001,0),0), INDEX($AM$1004:$BM$1004,1,MATCH(COLUMNS($AM$1006:AT1006),$AM$1006:$BM$1006,0)))),"Fix")))</f>
        <v xml:space="preserve"> </v>
      </c>
      <c r="J756" s="4" t="str">
        <f ca="1">IF(OR(INDEX($AG$2:$AG$1001,MATCH(ROWS($AF$2:AF756),$AF$2:$AF$1001,0),1)&gt;=100000,INDEX($AM$1005:$BM$1005,1,MATCH(COLUMNS($AM$1006:AU1006),$AM$1006:$BM$1006,0))&gt;=100000), " ",IF(INDEX($AM$2:$BM$1001,MATCH(ROWS($AF$2:AF756),$AF$2:$AF$1001,0),MATCH(COLUMNS($AM$1006:AU1006),$AM$1006:$BM$1006,0)), HYPERLINK("#",""), HYPERLINK(CONCATENATE("#metadata!", ADDRESS(INDEX($AH$2:$AH$1001,MATCH(ROWS($AF$2:AF756),$AF$2:$AF$1001,0),0), INDEX($AM$1004:$BM$1004,1,MATCH(COLUMNS($AM$1006:AU1006),$AM$1006:$BM$1006,0)))),"Fix")))</f>
        <v xml:space="preserve"> </v>
      </c>
      <c r="K756" s="4" t="str">
        <f ca="1">IF(OR(INDEX($AG$2:$AG$1001,MATCH(ROWS($AF$2:AF756),$AF$2:$AF$1001,0),1)&gt;=100000,INDEX($AM$1005:$BM$1005,1,MATCH(COLUMNS($AM$1006:AV1006),$AM$1006:$BM$1006,0))&gt;=100000), " ",IF(INDEX($AM$2:$BM$1001,MATCH(ROWS($AF$2:AF756),$AF$2:$AF$1001,0),MATCH(COLUMNS($AM$1006:AV1006),$AM$1006:$BM$1006,0)), HYPERLINK("#",""), HYPERLINK(CONCATENATE("#metadata!", ADDRESS(INDEX($AH$2:$AH$1001,MATCH(ROWS($AF$2:AF756),$AF$2:$AF$1001,0),0), INDEX($AM$1004:$BM$1004,1,MATCH(COLUMNS($AM$1006:AV1006),$AM$1006:$BM$1006,0)))),"Fix")))</f>
        <v xml:space="preserve"> </v>
      </c>
      <c r="L756" s="4" t="str">
        <f ca="1">IF(OR(INDEX($AG$2:$AG$1001,MATCH(ROWS($AF$2:AF756),$AF$2:$AF$1001,0),1)&gt;=100000,INDEX($AM$1005:$BM$1005,1,MATCH(COLUMNS($AM$1006:AW1006),$AM$1006:$BM$1006,0))&gt;=100000), " ",IF(INDEX($AM$2:$BM$1001,MATCH(ROWS($AF$2:AF756),$AF$2:$AF$1001,0),MATCH(COLUMNS($AM$1006:AW1006),$AM$1006:$BM$1006,0)), HYPERLINK("#",""), HYPERLINK(CONCATENATE("#metadata!", ADDRESS(INDEX($AH$2:$AH$1001,MATCH(ROWS($AF$2:AF756),$AF$2:$AF$1001,0),0), INDEX($AM$1004:$BM$1004,1,MATCH(COLUMNS($AM$1006:AW1006),$AM$1006:$BM$1006,0)))),"Fix")))</f>
        <v xml:space="preserve"> </v>
      </c>
      <c r="M756" s="4" t="str">
        <f ca="1">IF(OR(INDEX($AG$2:$AG$1001,MATCH(ROWS($AF$2:AF756),$AF$2:$AF$1001,0),1)&gt;=100000,INDEX($AM$1005:$BM$1005,1,MATCH(COLUMNS($AM$1006:AX1006),$AM$1006:$BM$1006,0))&gt;=100000), " ",IF(INDEX($AM$2:$BM$1001,MATCH(ROWS($AF$2:AF756),$AF$2:$AF$1001,0),MATCH(COLUMNS($AM$1006:AX1006),$AM$1006:$BM$1006,0)), HYPERLINK("#",""), HYPERLINK(CONCATENATE("#metadata!", ADDRESS(INDEX($AH$2:$AH$1001,MATCH(ROWS($AF$2:AF756),$AF$2:$AF$1001,0),0), INDEX($AM$1004:$BM$1004,1,MATCH(COLUMNS($AM$1006:AX1006),$AM$1006:$BM$1006,0)))),"Fix")))</f>
        <v xml:space="preserve"> </v>
      </c>
      <c r="N756" s="4" t="str">
        <f ca="1">IF(OR(INDEX($AG$2:$AG$1001,MATCH(ROWS($AF$2:AF756),$AF$2:$AF$1001,0),1)&gt;=100000,INDEX($AM$1005:$BM$1005,1,MATCH(COLUMNS($AM$1006:AY1006),$AM$1006:$BM$1006,0))&gt;=100000), " ",IF(INDEX($AM$2:$BM$1001,MATCH(ROWS($AF$2:AF756),$AF$2:$AF$1001,0),MATCH(COLUMNS($AM$1006:AY1006),$AM$1006:$BM$1006,0)), HYPERLINK("#",""), HYPERLINK(CONCATENATE("#metadata!", ADDRESS(INDEX($AH$2:$AH$1001,MATCH(ROWS($AF$2:AF756),$AF$2:$AF$1001,0),0), INDEX($AM$1004:$BM$1004,1,MATCH(COLUMNS($AM$1006:AY1006),$AM$1006:$BM$1006,0)))),"Fix")))</f>
        <v xml:space="preserve"> </v>
      </c>
      <c r="O756" s="4" t="str">
        <f ca="1">IF(OR(INDEX($AG$2:$AG$1001,MATCH(ROWS($AF$2:AF756),$AF$2:$AF$1001,0),1)&gt;=100000,INDEX($AM$1005:$BM$1005,1,MATCH(COLUMNS($AM$1006:AZ1006),$AM$1006:$BM$1006,0))&gt;=100000), " ",IF(INDEX($AM$2:$BM$1001,MATCH(ROWS($AF$2:AF756),$AF$2:$AF$1001,0),MATCH(COLUMNS($AM$1006:AZ1006),$AM$1006:$BM$1006,0)), HYPERLINK("#",""), HYPERLINK(CONCATENATE("#metadata!", ADDRESS(INDEX($AH$2:$AH$1001,MATCH(ROWS($AF$2:AF756),$AF$2:$AF$1001,0),0), INDEX($AM$1004:$BM$1004,1,MATCH(COLUMNS($AM$1006:AZ1006),$AM$1006:$BM$1006,0)))),"Fix")))</f>
        <v xml:space="preserve"> </v>
      </c>
      <c r="P756" s="4" t="str">
        <f ca="1">IF(OR(INDEX($AG$2:$AG$1001,MATCH(ROWS($AF$2:AF756),$AF$2:$AF$1001,0),1)&gt;=100000,INDEX($AM$1005:$BM$1005,1,MATCH(COLUMNS($AM$1006:BA1006),$AM$1006:$BM$1006,0))&gt;=100000), " ",IF(INDEX($AM$2:$BM$1001,MATCH(ROWS($AF$2:AF756),$AF$2:$AF$1001,0),MATCH(COLUMNS($AM$1006:BA1006),$AM$1006:$BM$1006,0)), HYPERLINK("#",""), HYPERLINK(CONCATENATE("#metadata!", ADDRESS(INDEX($AH$2:$AH$1001,MATCH(ROWS($AF$2:AF756),$AF$2:$AF$1001,0),0), INDEX($AM$1004:$BM$1004,1,MATCH(COLUMNS($AM$1006:BA1006),$AM$1006:$BM$1006,0)))),"Fix")))</f>
        <v xml:space="preserve"> </v>
      </c>
      <c r="Q756" s="4" t="str">
        <f ca="1">IF(OR(INDEX($AG$2:$AG$1001,MATCH(ROWS($AF$2:AF756),$AF$2:$AF$1001,0),1)&gt;=100000,INDEX($AM$1005:$BM$1005,1,MATCH(COLUMNS($AM$1006:BB1006),$AM$1006:$BM$1006,0))&gt;=100000), " ",IF(INDEX($AM$2:$BM$1001,MATCH(ROWS($AF$2:AF756),$AF$2:$AF$1001,0),MATCH(COLUMNS($AM$1006:BB1006),$AM$1006:$BM$1006,0)), HYPERLINK("#",""), HYPERLINK(CONCATENATE("#metadata!", ADDRESS(INDEX($AH$2:$AH$1001,MATCH(ROWS($AF$2:AF756),$AF$2:$AF$1001,0),0), INDEX($AM$1004:$BM$1004,1,MATCH(COLUMNS($AM$1006:BB1006),$AM$1006:$BM$1006,0)))),"Fix")))</f>
        <v xml:space="preserve"> </v>
      </c>
      <c r="R756" s="4" t="str">
        <f ca="1">IF(OR(INDEX($AG$2:$AG$1001,MATCH(ROWS($AF$2:AF756),$AF$2:$AF$1001,0),1)&gt;=100000,INDEX($AM$1005:$BM$1005,1,MATCH(COLUMNS($AM$1006:BC1006),$AM$1006:$BM$1006,0))&gt;=100000), " ",IF(INDEX($AM$2:$BM$1001,MATCH(ROWS($AF$2:AF756),$AF$2:$AF$1001,0),MATCH(COLUMNS($AM$1006:BC1006),$AM$1006:$BM$1006,0)), HYPERLINK("#",""), HYPERLINK(CONCATENATE("#metadata!", ADDRESS(INDEX($AH$2:$AH$1001,MATCH(ROWS($AF$2:AF756),$AF$2:$AF$1001,0),0), INDEX($AM$1004:$BM$1004,1,MATCH(COLUMNS($AM$1006:BC1006),$AM$1006:$BM$1006,0)))),"Fix")))</f>
        <v xml:space="preserve"> </v>
      </c>
      <c r="S756" s="4" t="str">
        <f ca="1">IF(OR(INDEX($AG$2:$AG$1001,MATCH(ROWS($AF$2:AF756),$AF$2:$AF$1001,0),1)&gt;=100000,INDEX($AM$1005:$BM$1005,1,MATCH(COLUMNS($AM$1006:BD1006),$AM$1006:$BM$1006,0))&gt;=100000), " ",IF(INDEX($AM$2:$BM$1001,MATCH(ROWS($AF$2:AF756),$AF$2:$AF$1001,0),MATCH(COLUMNS($AM$1006:BD1006),$AM$1006:$BM$1006,0)), HYPERLINK("#",""), HYPERLINK(CONCATENATE("#metadata!", ADDRESS(INDEX($AH$2:$AH$1001,MATCH(ROWS($AF$2:AF756),$AF$2:$AF$1001,0),0), INDEX($AM$1004:$BM$1004,1,MATCH(COLUMNS($AM$1006:BD1006),$AM$1006:$BM$1006,0)))),"Fix")))</f>
        <v xml:space="preserve"> </v>
      </c>
      <c r="T756" s="4" t="str">
        <f ca="1">IF(OR(INDEX($AG$2:$AG$1001,MATCH(ROWS($AF$2:AF756),$AF$2:$AF$1001,0),1)&gt;=100000,INDEX($AM$1005:$BM$1005,1,MATCH(COLUMNS($AM$1006:BE1006),$AM$1006:$BM$1006,0))&gt;=100000), " ",IF(INDEX($AM$2:$BM$1001,MATCH(ROWS($AF$2:AF756),$AF$2:$AF$1001,0),MATCH(COLUMNS($AM$1006:BE1006),$AM$1006:$BM$1006,0)), HYPERLINK("#",""), HYPERLINK(CONCATENATE("#metadata!", ADDRESS(INDEX($AH$2:$AH$1001,MATCH(ROWS($AF$2:AF756),$AF$2:$AF$1001,0),0), INDEX($AM$1004:$BM$1004,1,MATCH(COLUMNS($AM$1006:BE1006),$AM$1006:$BM$1006,0)))),"Fix")))</f>
        <v xml:space="preserve"> </v>
      </c>
      <c r="U756" s="4" t="str">
        <f ca="1">IF(OR(INDEX($AG$2:$AG$1001,MATCH(ROWS($AF$2:AF756),$AF$2:$AF$1001,0),1)&gt;=100000,INDEX($AM$1005:$BM$1005,1,MATCH(COLUMNS($AM$1006:BF1006),$AM$1006:$BM$1006,0))&gt;=100000), " ",IF(INDEX($AM$2:$BM$1001,MATCH(ROWS($AF$2:AF756),$AF$2:$AF$1001,0),MATCH(COLUMNS($AM$1006:BF1006),$AM$1006:$BM$1006,0)), HYPERLINK("#",""), HYPERLINK(CONCATENATE("#metadata!", ADDRESS(INDEX($AH$2:$AH$1001,MATCH(ROWS($AF$2:AF756),$AF$2:$AF$1001,0),0), INDEX($AM$1004:$BM$1004,1,MATCH(COLUMNS($AM$1006:BF1006),$AM$1006:$BM$1006,0)))),"Fix")))</f>
        <v xml:space="preserve"> </v>
      </c>
      <c r="V756" s="4" t="str">
        <f ca="1">IF(OR(INDEX($AG$2:$AG$1001,MATCH(ROWS($AF$2:AF756),$AF$2:$AF$1001,0),1)&gt;=100000,INDEX($AM$1005:$BM$1005,1,MATCH(COLUMNS($AM$1006:BG1006),$AM$1006:$BM$1006,0))&gt;=100000), " ",IF(INDEX($AM$2:$BM$1001,MATCH(ROWS($AF$2:AF756),$AF$2:$AF$1001,0),MATCH(COLUMNS($AM$1006:BG1006),$AM$1006:$BM$1006,0)), HYPERLINK("#",""), HYPERLINK(CONCATENATE("#metadata!", ADDRESS(INDEX($AH$2:$AH$1001,MATCH(ROWS($AF$2:AF756),$AF$2:$AF$1001,0),0), INDEX($AM$1004:$BM$1004,1,MATCH(COLUMNS($AM$1006:BG1006),$AM$1006:$BM$1006,0)))),"Fix")))</f>
        <v xml:space="preserve"> </v>
      </c>
      <c r="W756" s="4" t="str">
        <f ca="1">IF(OR(INDEX($AG$2:$AG$1001,MATCH(ROWS($AF$2:AF756),$AF$2:$AF$1001,0),1)&gt;=100000,INDEX($AM$1005:$BM$1005,1,MATCH(COLUMNS($AM$1006:BH1006),$AM$1006:$BM$1006,0))&gt;=100000), " ",IF(INDEX($AM$2:$BM$1001,MATCH(ROWS($AF$2:AF756),$AF$2:$AF$1001,0),MATCH(COLUMNS($AM$1006:BH1006),$AM$1006:$BM$1006,0)), HYPERLINK("#",""), HYPERLINK(CONCATENATE("#metadata!", ADDRESS(INDEX($AH$2:$AH$1001,MATCH(ROWS($AF$2:AF756),$AF$2:$AF$1001,0),0), INDEX($AM$1004:$BM$1004,1,MATCH(COLUMNS($AM$1006:BH1006),$AM$1006:$BM$1006,0)))),"Fix")))</f>
        <v xml:space="preserve"> </v>
      </c>
      <c r="X756" s="4" t="str">
        <f ca="1">IF(OR(INDEX($AG$2:$AG$1001,MATCH(ROWS($AF$2:AF756),$AF$2:$AF$1001,0),1)&gt;=100000,INDEX($AM$1005:$BM$1005,1,MATCH(COLUMNS($AM$1006:BI1006),$AM$1006:$BM$1006,0))&gt;=100000), " ",IF(INDEX($AM$2:$BM$1001,MATCH(ROWS($AF$2:AF756),$AF$2:$AF$1001,0),MATCH(COLUMNS($AM$1006:BI1006),$AM$1006:$BM$1006,0)), HYPERLINK("#",""), HYPERLINK(CONCATENATE("#metadata!", ADDRESS(INDEX($AH$2:$AH$1001,MATCH(ROWS($AF$2:AF756),$AF$2:$AF$1001,0),0), INDEX($AM$1004:$BM$1004,1,MATCH(COLUMNS($AM$1006:BI1006),$AM$1006:$BM$1006,0)))),"Fix")))</f>
        <v xml:space="preserve"> </v>
      </c>
      <c r="Y756" s="4" t="str">
        <f ca="1">IF(OR(INDEX($AG$2:$AG$1001,MATCH(ROWS($AF$2:AF756),$AF$2:$AF$1001,0),1)&gt;=100000,INDEX($AM$1005:$BM$1005,1,MATCH(COLUMNS($AM$1006:BJ1006),$AM$1006:$BM$1006,0))&gt;=100000), " ",IF(INDEX($AM$2:$BM$1001,MATCH(ROWS($AF$2:AF756),$AF$2:$AF$1001,0),MATCH(COLUMNS($AM$1006:BJ1006),$AM$1006:$BM$1006,0)), HYPERLINK("#",""), HYPERLINK(CONCATENATE("#metadata!", ADDRESS(INDEX($AH$2:$AH$1001,MATCH(ROWS($AF$2:AF756),$AF$2:$AF$1001,0),0), INDEX($AM$1004:$BM$1004,1,MATCH(COLUMNS($AM$1006:BJ1006),$AM$1006:$BM$1006,0)))),"Fix")))</f>
        <v xml:space="preserve"> </v>
      </c>
      <c r="Z756" s="4" t="str">
        <f ca="1">IF(OR(INDEX($AG$2:$AG$1001,MATCH(ROWS($AF$2:AF756),$AF$2:$AF$1001,0),1)&gt;=100000,INDEX($AM$1005:$BM$1005,1,MATCH(COLUMNS($AM$1006:BK1006),$AM$1006:$BM$1006,0))&gt;=100000), " ",IF(INDEX($AM$2:$BM$1001,MATCH(ROWS($AF$2:AF756),$AF$2:$AF$1001,0),MATCH(COLUMNS($AM$1006:BK1006),$AM$1006:$BM$1006,0)), HYPERLINK("#",""), HYPERLINK(CONCATENATE("#metadata!", ADDRESS(INDEX($AH$2:$AH$1001,MATCH(ROWS($AF$2:AF756),$AF$2:$AF$1001,0),0), INDEX($AM$1004:$BM$1004,1,MATCH(COLUMNS($AM$1006:BK1006),$AM$1006:$BM$1006,0)))),"Fix")))</f>
        <v xml:space="preserve"> </v>
      </c>
      <c r="AA756" s="4" t="str">
        <f ca="1">IF(OR(INDEX($AG$2:$AG$1001,MATCH(ROWS($AF$2:AF756),$AF$2:$AF$1001,0),1)&gt;=100000,INDEX($AM$1005:$BM$1005,1,MATCH(COLUMNS($AM$1006:BL1006),$AM$1006:$BM$1006,0))&gt;=100000), " ",IF(INDEX($AM$2:$BM$1001,MATCH(ROWS($AF$2:AF756),$AF$2:$AF$1001,0),MATCH(COLUMNS($AM$1006:BL1006),$AM$1006:$BM$1006,0)), HYPERLINK("#",""), HYPERLINK(CONCATENATE("#metadata!", ADDRESS(INDEX($AH$2:$AH$1001,MATCH(ROWS($AF$2:AF756),$AF$2:$AF$1001,0),0), INDEX($AM$1004:$BM$1004,1,MATCH(COLUMNS($AM$1006:BL1006),$AM$1006:$BM$1006,0)))),"Fix")))</f>
        <v xml:space="preserve"> </v>
      </c>
      <c r="AB756" s="4" t="str">
        <f ca="1">IF(OR(INDEX($AG$2:$AG$1001,MATCH(ROWS($AF$2:AF756),$AF$2:$AF$1001,0),1)&gt;=100000,INDEX($AM$1005:$BM$1005,1,MATCH(COLUMNS($AM$1006:BM1006),$AM$1006:$BM$1006,0))&gt;=100000), " ",IF(INDEX($AM$2:$BM$1001,MATCH(ROWS($AF$2:AF756),$AF$2:$AF$1001,0),MATCH(COLUMNS($AM$1006:BM1006),$AM$1006:$BM$1006,0)), HYPERLINK("#",""), HYPERLINK(CONCATENATE("#metadata!", ADDRESS(INDEX($AH$2:$AH$1001,MATCH(ROWS($AF$2:AF756),$AF$2:$AF$1001,0),0), INDEX($AM$1004:$BM$1004,1,MATCH(COLUMNS($AM$1006:BM1006),$AM$1006:$BM$1006,0)))),"Fix")))</f>
        <v xml:space="preserve"> </v>
      </c>
      <c r="AF756">
        <v>755</v>
      </c>
      <c r="AG756">
        <v>100756</v>
      </c>
      <c r="AH756">
        <v>756</v>
      </c>
      <c r="AI756" t="b">
        <f t="shared" si="11"/>
        <v>1</v>
      </c>
      <c r="AJ756" t="b">
        <f>COUNTBLANK(metadata!B756:AB756)=COLUMNS(metadata!B756:AB756)</f>
        <v>1</v>
      </c>
      <c r="AK756" t="str">
        <v/>
      </c>
      <c r="AM756" t="b">
        <f ca="1">AND(IF(metadata!B756="",FALSE,TRUE),COUNTIF(metadata!B:B, metadata!B756) = 1,NOT(ISERROR(SUMPRODUCT(SEARCH(MID(metadata!B756,ROW(INDIRECT("1:"&amp;LEN(metadata!B756))), 1),"0123456789abcdefghijklmnopqrstuvwxyzABCDEFGHIJKLMNOPQRSTUVWXYZ.")))))</f>
        <v>0</v>
      </c>
      <c r="AN756" t="b">
        <f ca="1">OR(AND(IF(metadata!C756="",FALSE,TRUE),OR(EXACT(metadata!C756,"missing: not collected"),EXACT(metadata!C756,"missing: not provided"),EXACT(metadata!C756,"missing: restricted access"))),AND(IF(metadata!C756="",FALSE,TRUE),AND(AND(IFERROR(INT(LEFT(metadata!C756,4))&gt;1900,FALSE),IFERROR(INT(LEFT(metadata!C756,4))&lt;=YEAR(NOW()),FALSE)), OR(MID(metadata!C756,5,1)="", AND(AND(MID(metadata!C756,5,1)="-",IFERROR(INT(MID(metadata!C756,6,1))&gt;=0,FALSE),IFERROR(INT(MID(metadata!C756,6,1))&lt;=1,FALSE),NOT(MID(metadata!C756,7,1)=""),IFERROR(INT(MID(metadata!C756,6,2))&gt;=1,FALSE),IFERROR(INT(MID(metadata!C756,6,2))&lt;=12,FALSE)), OR(MID(metadata!C756,8,1)="", AND(AND(MID(metadata!C756,8,1)="-",IFERROR(INT(MID(metadata!C756,9,1))&gt;=0,FALSE),IFERROR(INT(MID(metadata!C756,9,1))&lt;=3,FALSE),NOT(MID(metadata!C756,10,1)=""),IFERROR(INT(MID(metadata!C756,9,2))&gt;=1,FALSE),IFERROR(INT(MID(metadata!C756,9,2))&lt;=31,FALSE)), OR(MID(metadata!C756,11,1)="", AND(AND(MID(metadata!C756,11,1)=" ",IFERROR(INT(MID(metadata!C756,12,1))&gt;=0,FALSE),IFERROR(INT(MID(metadata!C756,12,1))&lt;=2,FALSE),NOT(MID(metadata!C756,13,1)=""),IFERROR(INT(MID(metadata!C756,12,2))&gt;=0,FALSE),IFERROR(INT(MID(metadata!C756,12,2))&lt;=23,FALSE)), OR(MID(metadata!C756,14,1)="", AND(AND(MID(metadata!C756,14,1)=":",IFERROR(INT(MID(metadata!C756,15,1))&gt;=0,FALSE),IFERROR(INT(MID(metadata!C756,15,1))&lt;=5,FALSE),NOT(MID(metadata!C756,16,1)=""),IFERROR(INT(MID(metadata!C756,15,2))&gt;=0,FALSE),IFERROR(INT(MID(metadata!C756,15,2))&lt;=59,FALSE)), OR(MID(metadata!C756,17,1)="", AND(AND(MID(metadata!C756,17,1)=":",IFERROR(INT(MID(metadata!C756,18,1))&gt;=0,FALSE),IFERROR(INT(MID(metadata!C756,18,1))&lt;=5,FALSE),NOT(MID(metadata!C756,19,1)=""),IFERROR(INT(MID(metadata!C756,18,2))&gt;=0,FALSE),IFERROR(INT(MID(metadata!C756,18,2))&lt;=59,FALSE)), LEN(metadata!C756)&lt;=19)))))))))))))</f>
        <v>0</v>
      </c>
      <c r="AO756" t="b">
        <f>AND(IF(metadata!D756="",FALSE,TRUE),EXACT(metadata!D756,"Not applicable"))</f>
        <v>0</v>
      </c>
      <c r="AP756" t="b">
        <f>IF(metadata!E756="",FALSE,TRUE)</f>
        <v>0</v>
      </c>
      <c r="AQ756" t="b">
        <f>OR(AND(IF(metadata!F756="",FALSE,TRUE),OR(EXACT(metadata!F756,"missing: not collected"),EXACT(metadata!F756,"missing: not provided"))),AND(IF(metadata!F756="",FALSE,TRUE),OR(EXACT(metadata!F756,"TRUE"),EXACT(metadata!F756,"FALSE"))))</f>
        <v>0</v>
      </c>
      <c r="AR756" t="b">
        <f>OR(AND(IF(metadata!G756="",FALSE,TRUE),OR(EXACT(metadata!G756,"missing: not collected"),EXACT(metadata!G756,"missing: not provided"),EXACT(metadata!G756,"missing: restricted access"))),AND(IF(metadata!G756="",FALSE,ISNUMBER(VALUE(metadata!G756))),metadata!G756&gt;=-413))</f>
        <v>0</v>
      </c>
      <c r="AS756" t="b">
        <f>AND(IF(metadata!H756="",FALSE,TRUE),EXACT(metadata!H756,"meters"))</f>
        <v>0</v>
      </c>
      <c r="AT756" t="b">
        <f>AND(IF(metadata!I756="",FALSE,TRUE),OR(EXACT(metadata!I756,"Host-associated"),EXACT(metadata!I756,"Free-living")))</f>
        <v>0</v>
      </c>
      <c r="AU756" t="b">
        <f>AND(IF(metadata!J756="",FALSE,TRUE),OR(EXACT(metadata!J756,"Animal"),EXACT(metadata!J756,"Fungus"),EXACT(metadata!J756,"Plant"),EXACT(metadata!J756,"Saline"),EXACT(metadata!J756,"Non-saline")))</f>
        <v>0</v>
      </c>
      <c r="AV756" t="b">
        <f>AND(IF(metadata!K756="",FALSE,TRUE),OR(EXACT(metadata!K756,"Plant secretion"),EXACT(metadata!K756,"Plant rhizosphere"),EXACT(metadata!K756,"Plant surface"),EXACT(metadata!K756,"Plant corpus"),EXACT(metadata!K756,"Fungus surface"),EXACT(metadata!K756,"Fungus corpus"),EXACT(metadata!K756,"Animal surface"),EXACT(metadata!K756,"Animal proximal gut"),EXACT(metadata!K756,"Animal corpus"),EXACT(metadata!K756,"Animal distal gut"),EXACT(metadata!K756,"Animal secretion"),EXACT(metadata!K756,"Sub-surface (non-saline)"),EXACT(metadata!K756,"Surface (non-saline)"),EXACT(metadata!K756,"Water (non-saline)"),EXACT(metadata!K756,"Soil (non-saline)"),EXACT(metadata!K756,"Aerosol (non-saline)"),EXACT(metadata!K756,"Sediment (non-saline)"),EXACT(metadata!K756,"Surface (saline)"),EXACT(metadata!K756,"Water (saline)"),EXACT(metadata!K756,"Hypersaline (saline)"),EXACT(metadata!K756,"Aerosol (saline)"),EXACT(metadata!K756,"Sediment (saline)")))</f>
        <v>0</v>
      </c>
      <c r="AW756" t="b">
        <f>IF(metadata!L756="",FALSE,TRUE)</f>
        <v>0</v>
      </c>
      <c r="AX756" t="b">
        <f>IF(metadata!M756="",FALSE,TRUE)</f>
        <v>0</v>
      </c>
      <c r="AY756" t="b">
        <f>IF(metadata!N756="",FALSE,TRUE)</f>
        <v>0</v>
      </c>
      <c r="AZ756" t="b">
        <f>OR(AND(IF(metadata!O756="",FALSE,TRUE),OR(EXACT(metadata!O756,"missing: not collected"),EXACT(metadata!O756,"missing: not provided"),EXACT(metadata!O756,"missing: restricted access"))),AND(IF(metadata!O756="",FALSE,TRUE),OR(EXACT(metadata!O756,"air"),EXACT(metadata!O756,"built environment"),EXACT(metadata!O756,"host-associated"),EXACT(metadata!O756,"human-associated"),EXACT(metadata!O756,"human-skin"),EXACT(metadata!O756,"human-oral"),EXACT(metadata!O756,"human-gut"),EXACT(metadata!O756,"human-vaginal"),EXACT(metadata!O756,"microbial mat/biofilm"),EXACT(metadata!O756,"misc environment"),EXACT(metadata!O756,"plant-associated"),EXACT(metadata!O756,"sediment"),EXACT(metadata!O756,"soil"),EXACT(metadata!O756,"wastewater/sludge"),EXACT(metadata!O756,"water"))))</f>
        <v>0</v>
      </c>
      <c r="BA756" t="b">
        <f>IF(metadata!P756="",FALSE,TRUE)</f>
        <v>0</v>
      </c>
      <c r="BB756" t="b">
        <f>IF(metadata!Q756="",FALSE,TRUE)</f>
        <v>0</v>
      </c>
      <c r="BC756" t="b">
        <f>OR(AND(IF(metadata!R756="",FALSE,TRUE),OR(EXACT(metadata!R756,"missing: not collected"),EXACT(metadata!R756,"missing: not provided"),EXACT(metadata!R756,"missing: restricted access"))),AND(IF(metadata!R756="",FALSE,ISNUMBER(VALUE(metadata!R756))),metadata!R756&gt;=-90,metadata!R756&lt;=90))</f>
        <v>0</v>
      </c>
      <c r="BD756" t="b">
        <f>AND(IF(metadata!S756="",FALSE,TRUE),EXACT(metadata!S756,"Decimal degrees"))</f>
        <v>0</v>
      </c>
      <c r="BE756" t="b">
        <f>OR(AND(IF(metadata!T756="",FALSE,TRUE),OR(EXACT(metadata!T756,"missing: not collected"),EXACT(metadata!T756,"missing: not provided"),EXACT(metadata!T756,"missing: restricted access"))),AND(IF(metadata!T756="",FALSE,ISNUMBER(VALUE(metadata!T756))),metadata!T756&gt;=-180,metadata!T756&lt;=180))</f>
        <v>0</v>
      </c>
      <c r="BF756" t="b">
        <f>AND(IF(metadata!U756="",FALSE,TRUE),EXACT(metadata!U756,"Decimal degrees"))</f>
        <v>0</v>
      </c>
      <c r="BG756" t="b">
        <f>IF(metadata!V756="",FALSE,TRUE)</f>
        <v>0</v>
      </c>
      <c r="BH756" t="b">
        <f>OR(AND(IF(metadata!W756="",FALSE,TRUE),OR(EXACT(metadata!W756,"missing: not collected"),EXACT(metadata!W756,"missing: not provided"),EXACT(metadata!W756,"missing: restricted access"))),AND(IF(metadata!W756="",FALSE,TRUE),OR(EXACT(metadata!W756,"TRUE"),EXACT(metadata!W756,"FALSE"))))</f>
        <v>0</v>
      </c>
      <c r="BI756" t="b">
        <f>AND(IF(metadata!X756="",FALSE,TRUE),EXACT(metadata!X756,"other"))</f>
        <v>0</v>
      </c>
      <c r="BJ756" t="b">
        <f>IF(metadata!Y756="",FALSE,TRUE)</f>
        <v>0</v>
      </c>
      <c r="BK756" t="b">
        <f>OR(AND(IF(metadata!Z756="",FALSE,TRUE),OR(EXACT(metadata!Z756,"missing: not collected"),EXACT(metadata!Z756,"missing: not provided"))),AND(IF(metadata!Z756="",FALSE,IF(ISERROR(INT(metadata!Z756)),FALSE,INT(metadata!Z756)=metadata!Z756)),metadata!Z756&gt;0))</f>
        <v>0</v>
      </c>
      <c r="BL756" t="b">
        <f>AND(IF(metadata!AA756="",FALSE,TRUE),EXACT(metadata!AA756,"Not applicable"))</f>
        <v>0</v>
      </c>
      <c r="BM756" t="b">
        <f>IF(metadata!AB756="",FALSE,TRUE)</f>
        <v>0</v>
      </c>
    </row>
    <row r="757" spans="1:65" x14ac:dyDescent="0.2">
      <c r="A757" s="5" t="str">
        <f ca="1">IF(B757=" "," ",HYPERLINK(CONCATENATE("#metadata!",ADDRESS(INDEX($AH$2:$AH$1001,MATCH(ROWS($AF$2:AF757),$AF$2:$AF$1001,0),0),1)),INDEX($AK$2:$AK$1001,MATCH(ROWS($AF$2:AF757),$AF$2:$AF$1001,0),0)))</f>
        <v xml:space="preserve"> </v>
      </c>
      <c r="B757" s="4" t="str">
        <f ca="1">IF(OR(INDEX($AG$2:$AG$1001,MATCH(ROWS($AF$2:AF757),$AF$2:$AF$1001,0),1)&gt;=100000,INDEX($AM$1005:$BM$1005,1,MATCH(COLUMNS($AM$1006:AM1006),$AM$1006:$BM$1006,0))&gt;=100000), " ",IF(INDEX($AM$2:$BM$1001,MATCH(ROWS($AF$2:AF757),$AF$2:$AF$1001,0),MATCH(COLUMNS($AM$1006:AM1006),$AM$1006:$BM$1006,0)), HYPERLINK("#",""), HYPERLINK(CONCATENATE("#metadata!", ADDRESS(INDEX($AH$2:$AH$1001,MATCH(ROWS($AF$2:AF757),$AF$2:$AF$1001,0),0), INDEX($AM$1004:$BM$1004,1,MATCH(COLUMNS($AM$1006:AM1006),$AM$1006:$BM$1006,0)))),"Fix")))</f>
        <v xml:space="preserve"> </v>
      </c>
      <c r="C757" s="4" t="str">
        <f ca="1">IF(OR(INDEX($AG$2:$AG$1001,MATCH(ROWS($AF$2:AF757),$AF$2:$AF$1001,0),1)&gt;=100000,INDEX($AM$1005:$BM$1005,1,MATCH(COLUMNS($AM$1006:AN1006),$AM$1006:$BM$1006,0))&gt;=100000), " ",IF(INDEX($AM$2:$BM$1001,MATCH(ROWS($AF$2:AF757),$AF$2:$AF$1001,0),MATCH(COLUMNS($AM$1006:AN1006),$AM$1006:$BM$1006,0)), HYPERLINK("#",""), HYPERLINK(CONCATENATE("#metadata!", ADDRESS(INDEX($AH$2:$AH$1001,MATCH(ROWS($AF$2:AF757),$AF$2:$AF$1001,0),0), INDEX($AM$1004:$BM$1004,1,MATCH(COLUMNS($AM$1006:AN1006),$AM$1006:$BM$1006,0)))),"Fix")))</f>
        <v xml:space="preserve"> </v>
      </c>
      <c r="D757" s="4" t="str">
        <f ca="1">IF(OR(INDEX($AG$2:$AG$1001,MATCH(ROWS($AF$2:AF757),$AF$2:$AF$1001,0),1)&gt;=100000,INDEX($AM$1005:$BM$1005,1,MATCH(COLUMNS($AM$1006:AO1006),$AM$1006:$BM$1006,0))&gt;=100000), " ",IF(INDEX($AM$2:$BM$1001,MATCH(ROWS($AF$2:AF757),$AF$2:$AF$1001,0),MATCH(COLUMNS($AM$1006:AO1006),$AM$1006:$BM$1006,0)), HYPERLINK("#",""), HYPERLINK(CONCATENATE("#metadata!", ADDRESS(INDEX($AH$2:$AH$1001,MATCH(ROWS($AF$2:AF757),$AF$2:$AF$1001,0),0), INDEX($AM$1004:$BM$1004,1,MATCH(COLUMNS($AM$1006:AO1006),$AM$1006:$BM$1006,0)))),"Fix")))</f>
        <v xml:space="preserve"> </v>
      </c>
      <c r="E757" s="4" t="str">
        <f ca="1">IF(OR(INDEX($AG$2:$AG$1001,MATCH(ROWS($AF$2:AF757),$AF$2:$AF$1001,0),1)&gt;=100000,INDEX($AM$1005:$BM$1005,1,MATCH(COLUMNS($AM$1006:AP1006),$AM$1006:$BM$1006,0))&gt;=100000), " ",IF(INDEX($AM$2:$BM$1001,MATCH(ROWS($AF$2:AF757),$AF$2:$AF$1001,0),MATCH(COLUMNS($AM$1006:AP1006),$AM$1006:$BM$1006,0)), HYPERLINK("#",""), HYPERLINK(CONCATENATE("#metadata!", ADDRESS(INDEX($AH$2:$AH$1001,MATCH(ROWS($AF$2:AF757),$AF$2:$AF$1001,0),0), INDEX($AM$1004:$BM$1004,1,MATCH(COLUMNS($AM$1006:AP1006),$AM$1006:$BM$1006,0)))),"Fix")))</f>
        <v xml:space="preserve"> </v>
      </c>
      <c r="F757" s="4" t="str">
        <f ca="1">IF(OR(INDEX($AG$2:$AG$1001,MATCH(ROWS($AF$2:AF757),$AF$2:$AF$1001,0),1)&gt;=100000,INDEX($AM$1005:$BM$1005,1,MATCH(COLUMNS($AM$1006:AQ1006),$AM$1006:$BM$1006,0))&gt;=100000), " ",IF(INDEX($AM$2:$BM$1001,MATCH(ROWS($AF$2:AF757),$AF$2:$AF$1001,0),MATCH(COLUMNS($AM$1006:AQ1006),$AM$1006:$BM$1006,0)), HYPERLINK("#",""), HYPERLINK(CONCATENATE("#metadata!", ADDRESS(INDEX($AH$2:$AH$1001,MATCH(ROWS($AF$2:AF757),$AF$2:$AF$1001,0),0), INDEX($AM$1004:$BM$1004,1,MATCH(COLUMNS($AM$1006:AQ1006),$AM$1006:$BM$1006,0)))),"Fix")))</f>
        <v xml:space="preserve"> </v>
      </c>
      <c r="G757" s="4" t="str">
        <f ca="1">IF(OR(INDEX($AG$2:$AG$1001,MATCH(ROWS($AF$2:AF757),$AF$2:$AF$1001,0),1)&gt;=100000,INDEX($AM$1005:$BM$1005,1,MATCH(COLUMNS($AM$1006:AR1006),$AM$1006:$BM$1006,0))&gt;=100000), " ",IF(INDEX($AM$2:$BM$1001,MATCH(ROWS($AF$2:AF757),$AF$2:$AF$1001,0),MATCH(COLUMNS($AM$1006:AR1006),$AM$1006:$BM$1006,0)), HYPERLINK("#",""), HYPERLINK(CONCATENATE("#metadata!", ADDRESS(INDEX($AH$2:$AH$1001,MATCH(ROWS($AF$2:AF757),$AF$2:$AF$1001,0),0), INDEX($AM$1004:$BM$1004,1,MATCH(COLUMNS($AM$1006:AR1006),$AM$1006:$BM$1006,0)))),"Fix")))</f>
        <v xml:space="preserve"> </v>
      </c>
      <c r="H757" s="4" t="str">
        <f ca="1">IF(OR(INDEX($AG$2:$AG$1001,MATCH(ROWS($AF$2:AF757),$AF$2:$AF$1001,0),1)&gt;=100000,INDEX($AM$1005:$BM$1005,1,MATCH(COLUMNS($AM$1006:AS1006),$AM$1006:$BM$1006,0))&gt;=100000), " ",IF(INDEX($AM$2:$BM$1001,MATCH(ROWS($AF$2:AF757),$AF$2:$AF$1001,0),MATCH(COLUMNS($AM$1006:AS1006),$AM$1006:$BM$1006,0)), HYPERLINK("#",""), HYPERLINK(CONCATENATE("#metadata!", ADDRESS(INDEX($AH$2:$AH$1001,MATCH(ROWS($AF$2:AF757),$AF$2:$AF$1001,0),0), INDEX($AM$1004:$BM$1004,1,MATCH(COLUMNS($AM$1006:AS1006),$AM$1006:$BM$1006,0)))),"Fix")))</f>
        <v xml:space="preserve"> </v>
      </c>
      <c r="I757" s="4" t="str">
        <f ca="1">IF(OR(INDEX($AG$2:$AG$1001,MATCH(ROWS($AF$2:AF757),$AF$2:$AF$1001,0),1)&gt;=100000,INDEX($AM$1005:$BM$1005,1,MATCH(COLUMNS($AM$1006:AT1006),$AM$1006:$BM$1006,0))&gt;=100000), " ",IF(INDEX($AM$2:$BM$1001,MATCH(ROWS($AF$2:AF757),$AF$2:$AF$1001,0),MATCH(COLUMNS($AM$1006:AT1006),$AM$1006:$BM$1006,0)), HYPERLINK("#",""), HYPERLINK(CONCATENATE("#metadata!", ADDRESS(INDEX($AH$2:$AH$1001,MATCH(ROWS($AF$2:AF757),$AF$2:$AF$1001,0),0), INDEX($AM$1004:$BM$1004,1,MATCH(COLUMNS($AM$1006:AT1006),$AM$1006:$BM$1006,0)))),"Fix")))</f>
        <v xml:space="preserve"> </v>
      </c>
      <c r="J757" s="4" t="str">
        <f ca="1">IF(OR(INDEX($AG$2:$AG$1001,MATCH(ROWS($AF$2:AF757),$AF$2:$AF$1001,0),1)&gt;=100000,INDEX($AM$1005:$BM$1005,1,MATCH(COLUMNS($AM$1006:AU1006),$AM$1006:$BM$1006,0))&gt;=100000), " ",IF(INDEX($AM$2:$BM$1001,MATCH(ROWS($AF$2:AF757),$AF$2:$AF$1001,0),MATCH(COLUMNS($AM$1006:AU1006),$AM$1006:$BM$1006,0)), HYPERLINK("#",""), HYPERLINK(CONCATENATE("#metadata!", ADDRESS(INDEX($AH$2:$AH$1001,MATCH(ROWS($AF$2:AF757),$AF$2:$AF$1001,0),0), INDEX($AM$1004:$BM$1004,1,MATCH(COLUMNS($AM$1006:AU1006),$AM$1006:$BM$1006,0)))),"Fix")))</f>
        <v xml:space="preserve"> </v>
      </c>
      <c r="K757" s="4" t="str">
        <f ca="1">IF(OR(INDEX($AG$2:$AG$1001,MATCH(ROWS($AF$2:AF757),$AF$2:$AF$1001,0),1)&gt;=100000,INDEX($AM$1005:$BM$1005,1,MATCH(COLUMNS($AM$1006:AV1006),$AM$1006:$BM$1006,0))&gt;=100000), " ",IF(INDEX($AM$2:$BM$1001,MATCH(ROWS($AF$2:AF757),$AF$2:$AF$1001,0),MATCH(COLUMNS($AM$1006:AV1006),$AM$1006:$BM$1006,0)), HYPERLINK("#",""), HYPERLINK(CONCATENATE("#metadata!", ADDRESS(INDEX($AH$2:$AH$1001,MATCH(ROWS($AF$2:AF757),$AF$2:$AF$1001,0),0), INDEX($AM$1004:$BM$1004,1,MATCH(COLUMNS($AM$1006:AV1006),$AM$1006:$BM$1006,0)))),"Fix")))</f>
        <v xml:space="preserve"> </v>
      </c>
      <c r="L757" s="4" t="str">
        <f ca="1">IF(OR(INDEX($AG$2:$AG$1001,MATCH(ROWS($AF$2:AF757),$AF$2:$AF$1001,0),1)&gt;=100000,INDEX($AM$1005:$BM$1005,1,MATCH(COLUMNS($AM$1006:AW1006),$AM$1006:$BM$1006,0))&gt;=100000), " ",IF(INDEX($AM$2:$BM$1001,MATCH(ROWS($AF$2:AF757),$AF$2:$AF$1001,0),MATCH(COLUMNS($AM$1006:AW1006),$AM$1006:$BM$1006,0)), HYPERLINK("#",""), HYPERLINK(CONCATENATE("#metadata!", ADDRESS(INDEX($AH$2:$AH$1001,MATCH(ROWS($AF$2:AF757),$AF$2:$AF$1001,0),0), INDEX($AM$1004:$BM$1004,1,MATCH(COLUMNS($AM$1006:AW1006),$AM$1006:$BM$1006,0)))),"Fix")))</f>
        <v xml:space="preserve"> </v>
      </c>
      <c r="M757" s="4" t="str">
        <f ca="1">IF(OR(INDEX($AG$2:$AG$1001,MATCH(ROWS($AF$2:AF757),$AF$2:$AF$1001,0),1)&gt;=100000,INDEX($AM$1005:$BM$1005,1,MATCH(COLUMNS($AM$1006:AX1006),$AM$1006:$BM$1006,0))&gt;=100000), " ",IF(INDEX($AM$2:$BM$1001,MATCH(ROWS($AF$2:AF757),$AF$2:$AF$1001,0),MATCH(COLUMNS($AM$1006:AX1006),$AM$1006:$BM$1006,0)), HYPERLINK("#",""), HYPERLINK(CONCATENATE("#metadata!", ADDRESS(INDEX($AH$2:$AH$1001,MATCH(ROWS($AF$2:AF757),$AF$2:$AF$1001,0),0), INDEX($AM$1004:$BM$1004,1,MATCH(COLUMNS($AM$1006:AX1006),$AM$1006:$BM$1006,0)))),"Fix")))</f>
        <v xml:space="preserve"> </v>
      </c>
      <c r="N757" s="4" t="str">
        <f ca="1">IF(OR(INDEX($AG$2:$AG$1001,MATCH(ROWS($AF$2:AF757),$AF$2:$AF$1001,0),1)&gt;=100000,INDEX($AM$1005:$BM$1005,1,MATCH(COLUMNS($AM$1006:AY1006),$AM$1006:$BM$1006,0))&gt;=100000), " ",IF(INDEX($AM$2:$BM$1001,MATCH(ROWS($AF$2:AF757),$AF$2:$AF$1001,0),MATCH(COLUMNS($AM$1006:AY1006),$AM$1006:$BM$1006,0)), HYPERLINK("#",""), HYPERLINK(CONCATENATE("#metadata!", ADDRESS(INDEX($AH$2:$AH$1001,MATCH(ROWS($AF$2:AF757),$AF$2:$AF$1001,0),0), INDEX($AM$1004:$BM$1004,1,MATCH(COLUMNS($AM$1006:AY1006),$AM$1006:$BM$1006,0)))),"Fix")))</f>
        <v xml:space="preserve"> </v>
      </c>
      <c r="O757" s="4" t="str">
        <f ca="1">IF(OR(INDEX($AG$2:$AG$1001,MATCH(ROWS($AF$2:AF757),$AF$2:$AF$1001,0),1)&gt;=100000,INDEX($AM$1005:$BM$1005,1,MATCH(COLUMNS($AM$1006:AZ1006),$AM$1006:$BM$1006,0))&gt;=100000), " ",IF(INDEX($AM$2:$BM$1001,MATCH(ROWS($AF$2:AF757),$AF$2:$AF$1001,0),MATCH(COLUMNS($AM$1006:AZ1006),$AM$1006:$BM$1006,0)), HYPERLINK("#",""), HYPERLINK(CONCATENATE("#metadata!", ADDRESS(INDEX($AH$2:$AH$1001,MATCH(ROWS($AF$2:AF757),$AF$2:$AF$1001,0),0), INDEX($AM$1004:$BM$1004,1,MATCH(COLUMNS($AM$1006:AZ1006),$AM$1006:$BM$1006,0)))),"Fix")))</f>
        <v xml:space="preserve"> </v>
      </c>
      <c r="P757" s="4" t="str">
        <f ca="1">IF(OR(INDEX($AG$2:$AG$1001,MATCH(ROWS($AF$2:AF757),$AF$2:$AF$1001,0),1)&gt;=100000,INDEX($AM$1005:$BM$1005,1,MATCH(COLUMNS($AM$1006:BA1006),$AM$1006:$BM$1006,0))&gt;=100000), " ",IF(INDEX($AM$2:$BM$1001,MATCH(ROWS($AF$2:AF757),$AF$2:$AF$1001,0),MATCH(COLUMNS($AM$1006:BA1006),$AM$1006:$BM$1006,0)), HYPERLINK("#",""), HYPERLINK(CONCATENATE("#metadata!", ADDRESS(INDEX($AH$2:$AH$1001,MATCH(ROWS($AF$2:AF757),$AF$2:$AF$1001,0),0), INDEX($AM$1004:$BM$1004,1,MATCH(COLUMNS($AM$1006:BA1006),$AM$1006:$BM$1006,0)))),"Fix")))</f>
        <v xml:space="preserve"> </v>
      </c>
      <c r="Q757" s="4" t="str">
        <f ca="1">IF(OR(INDEX($AG$2:$AG$1001,MATCH(ROWS($AF$2:AF757),$AF$2:$AF$1001,0),1)&gt;=100000,INDEX($AM$1005:$BM$1005,1,MATCH(COLUMNS($AM$1006:BB1006),$AM$1006:$BM$1006,0))&gt;=100000), " ",IF(INDEX($AM$2:$BM$1001,MATCH(ROWS($AF$2:AF757),$AF$2:$AF$1001,0),MATCH(COLUMNS($AM$1006:BB1006),$AM$1006:$BM$1006,0)), HYPERLINK("#",""), HYPERLINK(CONCATENATE("#metadata!", ADDRESS(INDEX($AH$2:$AH$1001,MATCH(ROWS($AF$2:AF757),$AF$2:$AF$1001,0),0), INDEX($AM$1004:$BM$1004,1,MATCH(COLUMNS($AM$1006:BB1006),$AM$1006:$BM$1006,0)))),"Fix")))</f>
        <v xml:space="preserve"> </v>
      </c>
      <c r="R757" s="4" t="str">
        <f ca="1">IF(OR(INDEX($AG$2:$AG$1001,MATCH(ROWS($AF$2:AF757),$AF$2:$AF$1001,0),1)&gt;=100000,INDEX($AM$1005:$BM$1005,1,MATCH(COLUMNS($AM$1006:BC1006),$AM$1006:$BM$1006,0))&gt;=100000), " ",IF(INDEX($AM$2:$BM$1001,MATCH(ROWS($AF$2:AF757),$AF$2:$AF$1001,0),MATCH(COLUMNS($AM$1006:BC1006),$AM$1006:$BM$1006,0)), HYPERLINK("#",""), HYPERLINK(CONCATENATE("#metadata!", ADDRESS(INDEX($AH$2:$AH$1001,MATCH(ROWS($AF$2:AF757),$AF$2:$AF$1001,0),0), INDEX($AM$1004:$BM$1004,1,MATCH(COLUMNS($AM$1006:BC1006),$AM$1006:$BM$1006,0)))),"Fix")))</f>
        <v xml:space="preserve"> </v>
      </c>
      <c r="S757" s="4" t="str">
        <f ca="1">IF(OR(INDEX($AG$2:$AG$1001,MATCH(ROWS($AF$2:AF757),$AF$2:$AF$1001,0),1)&gt;=100000,INDEX($AM$1005:$BM$1005,1,MATCH(COLUMNS($AM$1006:BD1006),$AM$1006:$BM$1006,0))&gt;=100000), " ",IF(INDEX($AM$2:$BM$1001,MATCH(ROWS($AF$2:AF757),$AF$2:$AF$1001,0),MATCH(COLUMNS($AM$1006:BD1006),$AM$1006:$BM$1006,0)), HYPERLINK("#",""), HYPERLINK(CONCATENATE("#metadata!", ADDRESS(INDEX($AH$2:$AH$1001,MATCH(ROWS($AF$2:AF757),$AF$2:$AF$1001,0),0), INDEX($AM$1004:$BM$1004,1,MATCH(COLUMNS($AM$1006:BD1006),$AM$1006:$BM$1006,0)))),"Fix")))</f>
        <v xml:space="preserve"> </v>
      </c>
      <c r="T757" s="4" t="str">
        <f ca="1">IF(OR(INDEX($AG$2:$AG$1001,MATCH(ROWS($AF$2:AF757),$AF$2:$AF$1001,0),1)&gt;=100000,INDEX($AM$1005:$BM$1005,1,MATCH(COLUMNS($AM$1006:BE1006),$AM$1006:$BM$1006,0))&gt;=100000), " ",IF(INDEX($AM$2:$BM$1001,MATCH(ROWS($AF$2:AF757),$AF$2:$AF$1001,0),MATCH(COLUMNS($AM$1006:BE1006),$AM$1006:$BM$1006,0)), HYPERLINK("#",""), HYPERLINK(CONCATENATE("#metadata!", ADDRESS(INDEX($AH$2:$AH$1001,MATCH(ROWS($AF$2:AF757),$AF$2:$AF$1001,0),0), INDEX($AM$1004:$BM$1004,1,MATCH(COLUMNS($AM$1006:BE1006),$AM$1006:$BM$1006,0)))),"Fix")))</f>
        <v xml:space="preserve"> </v>
      </c>
      <c r="U757" s="4" t="str">
        <f ca="1">IF(OR(INDEX($AG$2:$AG$1001,MATCH(ROWS($AF$2:AF757),$AF$2:$AF$1001,0),1)&gt;=100000,INDEX($AM$1005:$BM$1005,1,MATCH(COLUMNS($AM$1006:BF1006),$AM$1006:$BM$1006,0))&gt;=100000), " ",IF(INDEX($AM$2:$BM$1001,MATCH(ROWS($AF$2:AF757),$AF$2:$AF$1001,0),MATCH(COLUMNS($AM$1006:BF1006),$AM$1006:$BM$1006,0)), HYPERLINK("#",""), HYPERLINK(CONCATENATE("#metadata!", ADDRESS(INDEX($AH$2:$AH$1001,MATCH(ROWS($AF$2:AF757),$AF$2:$AF$1001,0),0), INDEX($AM$1004:$BM$1004,1,MATCH(COLUMNS($AM$1006:BF1006),$AM$1006:$BM$1006,0)))),"Fix")))</f>
        <v xml:space="preserve"> </v>
      </c>
      <c r="V757" s="4" t="str">
        <f ca="1">IF(OR(INDEX($AG$2:$AG$1001,MATCH(ROWS($AF$2:AF757),$AF$2:$AF$1001,0),1)&gt;=100000,INDEX($AM$1005:$BM$1005,1,MATCH(COLUMNS($AM$1006:BG1006),$AM$1006:$BM$1006,0))&gt;=100000), " ",IF(INDEX($AM$2:$BM$1001,MATCH(ROWS($AF$2:AF757),$AF$2:$AF$1001,0),MATCH(COLUMNS($AM$1006:BG1006),$AM$1006:$BM$1006,0)), HYPERLINK("#",""), HYPERLINK(CONCATENATE("#metadata!", ADDRESS(INDEX($AH$2:$AH$1001,MATCH(ROWS($AF$2:AF757),$AF$2:$AF$1001,0),0), INDEX($AM$1004:$BM$1004,1,MATCH(COLUMNS($AM$1006:BG1006),$AM$1006:$BM$1006,0)))),"Fix")))</f>
        <v xml:space="preserve"> </v>
      </c>
      <c r="W757" s="4" t="str">
        <f ca="1">IF(OR(INDEX($AG$2:$AG$1001,MATCH(ROWS($AF$2:AF757),$AF$2:$AF$1001,0),1)&gt;=100000,INDEX($AM$1005:$BM$1005,1,MATCH(COLUMNS($AM$1006:BH1006),$AM$1006:$BM$1006,0))&gt;=100000), " ",IF(INDEX($AM$2:$BM$1001,MATCH(ROWS($AF$2:AF757),$AF$2:$AF$1001,0),MATCH(COLUMNS($AM$1006:BH1006),$AM$1006:$BM$1006,0)), HYPERLINK("#",""), HYPERLINK(CONCATENATE("#metadata!", ADDRESS(INDEX($AH$2:$AH$1001,MATCH(ROWS($AF$2:AF757),$AF$2:$AF$1001,0),0), INDEX($AM$1004:$BM$1004,1,MATCH(COLUMNS($AM$1006:BH1006),$AM$1006:$BM$1006,0)))),"Fix")))</f>
        <v xml:space="preserve"> </v>
      </c>
      <c r="X757" s="4" t="str">
        <f ca="1">IF(OR(INDEX($AG$2:$AG$1001,MATCH(ROWS($AF$2:AF757),$AF$2:$AF$1001,0),1)&gt;=100000,INDEX($AM$1005:$BM$1005,1,MATCH(COLUMNS($AM$1006:BI1006),$AM$1006:$BM$1006,0))&gt;=100000), " ",IF(INDEX($AM$2:$BM$1001,MATCH(ROWS($AF$2:AF757),$AF$2:$AF$1001,0),MATCH(COLUMNS($AM$1006:BI1006),$AM$1006:$BM$1006,0)), HYPERLINK("#",""), HYPERLINK(CONCATENATE("#metadata!", ADDRESS(INDEX($AH$2:$AH$1001,MATCH(ROWS($AF$2:AF757),$AF$2:$AF$1001,0),0), INDEX($AM$1004:$BM$1004,1,MATCH(COLUMNS($AM$1006:BI1006),$AM$1006:$BM$1006,0)))),"Fix")))</f>
        <v xml:space="preserve"> </v>
      </c>
      <c r="Y757" s="4" t="str">
        <f ca="1">IF(OR(INDEX($AG$2:$AG$1001,MATCH(ROWS($AF$2:AF757),$AF$2:$AF$1001,0),1)&gt;=100000,INDEX($AM$1005:$BM$1005,1,MATCH(COLUMNS($AM$1006:BJ1006),$AM$1006:$BM$1006,0))&gt;=100000), " ",IF(INDEX($AM$2:$BM$1001,MATCH(ROWS($AF$2:AF757),$AF$2:$AF$1001,0),MATCH(COLUMNS($AM$1006:BJ1006),$AM$1006:$BM$1006,0)), HYPERLINK("#",""), HYPERLINK(CONCATENATE("#metadata!", ADDRESS(INDEX($AH$2:$AH$1001,MATCH(ROWS($AF$2:AF757),$AF$2:$AF$1001,0),0), INDEX($AM$1004:$BM$1004,1,MATCH(COLUMNS($AM$1006:BJ1006),$AM$1006:$BM$1006,0)))),"Fix")))</f>
        <v xml:space="preserve"> </v>
      </c>
      <c r="Z757" s="4" t="str">
        <f ca="1">IF(OR(INDEX($AG$2:$AG$1001,MATCH(ROWS($AF$2:AF757),$AF$2:$AF$1001,0),1)&gt;=100000,INDEX($AM$1005:$BM$1005,1,MATCH(COLUMNS($AM$1006:BK1006),$AM$1006:$BM$1006,0))&gt;=100000), " ",IF(INDEX($AM$2:$BM$1001,MATCH(ROWS($AF$2:AF757),$AF$2:$AF$1001,0),MATCH(COLUMNS($AM$1006:BK1006),$AM$1006:$BM$1006,0)), HYPERLINK("#",""), HYPERLINK(CONCATENATE("#metadata!", ADDRESS(INDEX($AH$2:$AH$1001,MATCH(ROWS($AF$2:AF757),$AF$2:$AF$1001,0),0), INDEX($AM$1004:$BM$1004,1,MATCH(COLUMNS($AM$1006:BK1006),$AM$1006:$BM$1006,0)))),"Fix")))</f>
        <v xml:space="preserve"> </v>
      </c>
      <c r="AA757" s="4" t="str">
        <f ca="1">IF(OR(INDEX($AG$2:$AG$1001,MATCH(ROWS($AF$2:AF757),$AF$2:$AF$1001,0),1)&gt;=100000,INDEX($AM$1005:$BM$1005,1,MATCH(COLUMNS($AM$1006:BL1006),$AM$1006:$BM$1006,0))&gt;=100000), " ",IF(INDEX($AM$2:$BM$1001,MATCH(ROWS($AF$2:AF757),$AF$2:$AF$1001,0),MATCH(COLUMNS($AM$1006:BL1006),$AM$1006:$BM$1006,0)), HYPERLINK("#",""), HYPERLINK(CONCATENATE("#metadata!", ADDRESS(INDEX($AH$2:$AH$1001,MATCH(ROWS($AF$2:AF757),$AF$2:$AF$1001,0),0), INDEX($AM$1004:$BM$1004,1,MATCH(COLUMNS($AM$1006:BL1006),$AM$1006:$BM$1006,0)))),"Fix")))</f>
        <v xml:space="preserve"> </v>
      </c>
      <c r="AB757" s="4" t="str">
        <f ca="1">IF(OR(INDEX($AG$2:$AG$1001,MATCH(ROWS($AF$2:AF757),$AF$2:$AF$1001,0),1)&gt;=100000,INDEX($AM$1005:$BM$1005,1,MATCH(COLUMNS($AM$1006:BM1006),$AM$1006:$BM$1006,0))&gt;=100000), " ",IF(INDEX($AM$2:$BM$1001,MATCH(ROWS($AF$2:AF757),$AF$2:$AF$1001,0),MATCH(COLUMNS($AM$1006:BM1006),$AM$1006:$BM$1006,0)), HYPERLINK("#",""), HYPERLINK(CONCATENATE("#metadata!", ADDRESS(INDEX($AH$2:$AH$1001,MATCH(ROWS($AF$2:AF757),$AF$2:$AF$1001,0),0), INDEX($AM$1004:$BM$1004,1,MATCH(COLUMNS($AM$1006:BM1006),$AM$1006:$BM$1006,0)))),"Fix")))</f>
        <v xml:space="preserve"> </v>
      </c>
      <c r="AF757">
        <v>756</v>
      </c>
      <c r="AG757">
        <v>100757</v>
      </c>
      <c r="AH757">
        <v>757</v>
      </c>
      <c r="AI757" t="b">
        <f t="shared" si="11"/>
        <v>1</v>
      </c>
      <c r="AJ757" t="b">
        <f>COUNTBLANK(metadata!B757:AB757)=COLUMNS(metadata!B757:AB757)</f>
        <v>1</v>
      </c>
      <c r="AK757" t="str">
        <v/>
      </c>
      <c r="AM757" t="b">
        <f ca="1">AND(IF(metadata!B757="",FALSE,TRUE),COUNTIF(metadata!B:B, metadata!B757) = 1,NOT(ISERROR(SUMPRODUCT(SEARCH(MID(metadata!B757,ROW(INDIRECT("1:"&amp;LEN(metadata!B757))), 1),"0123456789abcdefghijklmnopqrstuvwxyzABCDEFGHIJKLMNOPQRSTUVWXYZ.")))))</f>
        <v>0</v>
      </c>
      <c r="AN757" t="b">
        <f ca="1">OR(AND(IF(metadata!C757="",FALSE,TRUE),OR(EXACT(metadata!C757,"missing: not collected"),EXACT(metadata!C757,"missing: not provided"),EXACT(metadata!C757,"missing: restricted access"))),AND(IF(metadata!C757="",FALSE,TRUE),AND(AND(IFERROR(INT(LEFT(metadata!C757,4))&gt;1900,FALSE),IFERROR(INT(LEFT(metadata!C757,4))&lt;=YEAR(NOW()),FALSE)), OR(MID(metadata!C757,5,1)="", AND(AND(MID(metadata!C757,5,1)="-",IFERROR(INT(MID(metadata!C757,6,1))&gt;=0,FALSE),IFERROR(INT(MID(metadata!C757,6,1))&lt;=1,FALSE),NOT(MID(metadata!C757,7,1)=""),IFERROR(INT(MID(metadata!C757,6,2))&gt;=1,FALSE),IFERROR(INT(MID(metadata!C757,6,2))&lt;=12,FALSE)), OR(MID(metadata!C757,8,1)="", AND(AND(MID(metadata!C757,8,1)="-",IFERROR(INT(MID(metadata!C757,9,1))&gt;=0,FALSE),IFERROR(INT(MID(metadata!C757,9,1))&lt;=3,FALSE),NOT(MID(metadata!C757,10,1)=""),IFERROR(INT(MID(metadata!C757,9,2))&gt;=1,FALSE),IFERROR(INT(MID(metadata!C757,9,2))&lt;=31,FALSE)), OR(MID(metadata!C757,11,1)="", AND(AND(MID(metadata!C757,11,1)=" ",IFERROR(INT(MID(metadata!C757,12,1))&gt;=0,FALSE),IFERROR(INT(MID(metadata!C757,12,1))&lt;=2,FALSE),NOT(MID(metadata!C757,13,1)=""),IFERROR(INT(MID(metadata!C757,12,2))&gt;=0,FALSE),IFERROR(INT(MID(metadata!C757,12,2))&lt;=23,FALSE)), OR(MID(metadata!C757,14,1)="", AND(AND(MID(metadata!C757,14,1)=":",IFERROR(INT(MID(metadata!C757,15,1))&gt;=0,FALSE),IFERROR(INT(MID(metadata!C757,15,1))&lt;=5,FALSE),NOT(MID(metadata!C757,16,1)=""),IFERROR(INT(MID(metadata!C757,15,2))&gt;=0,FALSE),IFERROR(INT(MID(metadata!C757,15,2))&lt;=59,FALSE)), OR(MID(metadata!C757,17,1)="", AND(AND(MID(metadata!C757,17,1)=":",IFERROR(INT(MID(metadata!C757,18,1))&gt;=0,FALSE),IFERROR(INT(MID(metadata!C757,18,1))&lt;=5,FALSE),NOT(MID(metadata!C757,19,1)=""),IFERROR(INT(MID(metadata!C757,18,2))&gt;=0,FALSE),IFERROR(INT(MID(metadata!C757,18,2))&lt;=59,FALSE)), LEN(metadata!C757)&lt;=19)))))))))))))</f>
        <v>0</v>
      </c>
      <c r="AO757" t="b">
        <f>AND(IF(metadata!D757="",FALSE,TRUE),EXACT(metadata!D757,"Not applicable"))</f>
        <v>0</v>
      </c>
      <c r="AP757" t="b">
        <f>IF(metadata!E757="",FALSE,TRUE)</f>
        <v>0</v>
      </c>
      <c r="AQ757" t="b">
        <f>OR(AND(IF(metadata!F757="",FALSE,TRUE),OR(EXACT(metadata!F757,"missing: not collected"),EXACT(metadata!F757,"missing: not provided"))),AND(IF(metadata!F757="",FALSE,TRUE),OR(EXACT(metadata!F757,"TRUE"),EXACT(metadata!F757,"FALSE"))))</f>
        <v>0</v>
      </c>
      <c r="AR757" t="b">
        <f>OR(AND(IF(metadata!G757="",FALSE,TRUE),OR(EXACT(metadata!G757,"missing: not collected"),EXACT(metadata!G757,"missing: not provided"),EXACT(metadata!G757,"missing: restricted access"))),AND(IF(metadata!G757="",FALSE,ISNUMBER(VALUE(metadata!G757))),metadata!G757&gt;=-413))</f>
        <v>0</v>
      </c>
      <c r="AS757" t="b">
        <f>AND(IF(metadata!H757="",FALSE,TRUE),EXACT(metadata!H757,"meters"))</f>
        <v>0</v>
      </c>
      <c r="AT757" t="b">
        <f>AND(IF(metadata!I757="",FALSE,TRUE),OR(EXACT(metadata!I757,"Host-associated"),EXACT(metadata!I757,"Free-living")))</f>
        <v>0</v>
      </c>
      <c r="AU757" t="b">
        <f>AND(IF(metadata!J757="",FALSE,TRUE),OR(EXACT(metadata!J757,"Animal"),EXACT(metadata!J757,"Fungus"),EXACT(metadata!J757,"Plant"),EXACT(metadata!J757,"Saline"),EXACT(metadata!J757,"Non-saline")))</f>
        <v>0</v>
      </c>
      <c r="AV757" t="b">
        <f>AND(IF(metadata!K757="",FALSE,TRUE),OR(EXACT(metadata!K757,"Plant secretion"),EXACT(metadata!K757,"Plant rhizosphere"),EXACT(metadata!K757,"Plant surface"),EXACT(metadata!K757,"Plant corpus"),EXACT(metadata!K757,"Fungus surface"),EXACT(metadata!K757,"Fungus corpus"),EXACT(metadata!K757,"Animal surface"),EXACT(metadata!K757,"Animal proximal gut"),EXACT(metadata!K757,"Animal corpus"),EXACT(metadata!K757,"Animal distal gut"),EXACT(metadata!K757,"Animal secretion"),EXACT(metadata!K757,"Sub-surface (non-saline)"),EXACT(metadata!K757,"Surface (non-saline)"),EXACT(metadata!K757,"Water (non-saline)"),EXACT(metadata!K757,"Soil (non-saline)"),EXACT(metadata!K757,"Aerosol (non-saline)"),EXACT(metadata!K757,"Sediment (non-saline)"),EXACT(metadata!K757,"Surface (saline)"),EXACT(metadata!K757,"Water (saline)"),EXACT(metadata!K757,"Hypersaline (saline)"),EXACT(metadata!K757,"Aerosol (saline)"),EXACT(metadata!K757,"Sediment (saline)")))</f>
        <v>0</v>
      </c>
      <c r="AW757" t="b">
        <f>IF(metadata!L757="",FALSE,TRUE)</f>
        <v>0</v>
      </c>
      <c r="AX757" t="b">
        <f>IF(metadata!M757="",FALSE,TRUE)</f>
        <v>0</v>
      </c>
      <c r="AY757" t="b">
        <f>IF(metadata!N757="",FALSE,TRUE)</f>
        <v>0</v>
      </c>
      <c r="AZ757" t="b">
        <f>OR(AND(IF(metadata!O757="",FALSE,TRUE),OR(EXACT(metadata!O757,"missing: not collected"),EXACT(metadata!O757,"missing: not provided"),EXACT(metadata!O757,"missing: restricted access"))),AND(IF(metadata!O757="",FALSE,TRUE),OR(EXACT(metadata!O757,"air"),EXACT(metadata!O757,"built environment"),EXACT(metadata!O757,"host-associated"),EXACT(metadata!O757,"human-associated"),EXACT(metadata!O757,"human-skin"),EXACT(metadata!O757,"human-oral"),EXACT(metadata!O757,"human-gut"),EXACT(metadata!O757,"human-vaginal"),EXACT(metadata!O757,"microbial mat/biofilm"),EXACT(metadata!O757,"misc environment"),EXACT(metadata!O757,"plant-associated"),EXACT(metadata!O757,"sediment"),EXACT(metadata!O757,"soil"),EXACT(metadata!O757,"wastewater/sludge"),EXACT(metadata!O757,"water"))))</f>
        <v>0</v>
      </c>
      <c r="BA757" t="b">
        <f>IF(metadata!P757="",FALSE,TRUE)</f>
        <v>0</v>
      </c>
      <c r="BB757" t="b">
        <f>IF(metadata!Q757="",FALSE,TRUE)</f>
        <v>0</v>
      </c>
      <c r="BC757" t="b">
        <f>OR(AND(IF(metadata!R757="",FALSE,TRUE),OR(EXACT(metadata!R757,"missing: not collected"),EXACT(metadata!R757,"missing: not provided"),EXACT(metadata!R757,"missing: restricted access"))),AND(IF(metadata!R757="",FALSE,ISNUMBER(VALUE(metadata!R757))),metadata!R757&gt;=-90,metadata!R757&lt;=90))</f>
        <v>0</v>
      </c>
      <c r="BD757" t="b">
        <f>AND(IF(metadata!S757="",FALSE,TRUE),EXACT(metadata!S757,"Decimal degrees"))</f>
        <v>0</v>
      </c>
      <c r="BE757" t="b">
        <f>OR(AND(IF(metadata!T757="",FALSE,TRUE),OR(EXACT(metadata!T757,"missing: not collected"),EXACT(metadata!T757,"missing: not provided"),EXACT(metadata!T757,"missing: restricted access"))),AND(IF(metadata!T757="",FALSE,ISNUMBER(VALUE(metadata!T757))),metadata!T757&gt;=-180,metadata!T757&lt;=180))</f>
        <v>0</v>
      </c>
      <c r="BF757" t="b">
        <f>AND(IF(metadata!U757="",FALSE,TRUE),EXACT(metadata!U757,"Decimal degrees"))</f>
        <v>0</v>
      </c>
      <c r="BG757" t="b">
        <f>IF(metadata!V757="",FALSE,TRUE)</f>
        <v>0</v>
      </c>
      <c r="BH757" t="b">
        <f>OR(AND(IF(metadata!W757="",FALSE,TRUE),OR(EXACT(metadata!W757,"missing: not collected"),EXACT(metadata!W757,"missing: not provided"),EXACT(metadata!W757,"missing: restricted access"))),AND(IF(metadata!W757="",FALSE,TRUE),OR(EXACT(metadata!W757,"TRUE"),EXACT(metadata!W757,"FALSE"))))</f>
        <v>0</v>
      </c>
      <c r="BI757" t="b">
        <f>AND(IF(metadata!X757="",FALSE,TRUE),EXACT(metadata!X757,"other"))</f>
        <v>0</v>
      </c>
      <c r="BJ757" t="b">
        <f>IF(metadata!Y757="",FALSE,TRUE)</f>
        <v>0</v>
      </c>
      <c r="BK757" t="b">
        <f>OR(AND(IF(metadata!Z757="",FALSE,TRUE),OR(EXACT(metadata!Z757,"missing: not collected"),EXACT(metadata!Z757,"missing: not provided"))),AND(IF(metadata!Z757="",FALSE,IF(ISERROR(INT(metadata!Z757)),FALSE,INT(metadata!Z757)=metadata!Z757)),metadata!Z757&gt;0))</f>
        <v>0</v>
      </c>
      <c r="BL757" t="b">
        <f>AND(IF(metadata!AA757="",FALSE,TRUE),EXACT(metadata!AA757,"Not applicable"))</f>
        <v>0</v>
      </c>
      <c r="BM757" t="b">
        <f>IF(metadata!AB757="",FALSE,TRUE)</f>
        <v>0</v>
      </c>
    </row>
    <row r="758" spans="1:65" x14ac:dyDescent="0.2">
      <c r="A758" s="5" t="str">
        <f ca="1">IF(B758=" "," ",HYPERLINK(CONCATENATE("#metadata!",ADDRESS(INDEX($AH$2:$AH$1001,MATCH(ROWS($AF$2:AF758),$AF$2:$AF$1001,0),0),1)),INDEX($AK$2:$AK$1001,MATCH(ROWS($AF$2:AF758),$AF$2:$AF$1001,0),0)))</f>
        <v xml:space="preserve"> </v>
      </c>
      <c r="B758" s="4" t="str">
        <f ca="1">IF(OR(INDEX($AG$2:$AG$1001,MATCH(ROWS($AF$2:AF758),$AF$2:$AF$1001,0),1)&gt;=100000,INDEX($AM$1005:$BM$1005,1,MATCH(COLUMNS($AM$1006:AM1006),$AM$1006:$BM$1006,0))&gt;=100000), " ",IF(INDEX($AM$2:$BM$1001,MATCH(ROWS($AF$2:AF758),$AF$2:$AF$1001,0),MATCH(COLUMNS($AM$1006:AM1006),$AM$1006:$BM$1006,0)), HYPERLINK("#",""), HYPERLINK(CONCATENATE("#metadata!", ADDRESS(INDEX($AH$2:$AH$1001,MATCH(ROWS($AF$2:AF758),$AF$2:$AF$1001,0),0), INDEX($AM$1004:$BM$1004,1,MATCH(COLUMNS($AM$1006:AM1006),$AM$1006:$BM$1006,0)))),"Fix")))</f>
        <v xml:space="preserve"> </v>
      </c>
      <c r="C758" s="4" t="str">
        <f ca="1">IF(OR(INDEX($AG$2:$AG$1001,MATCH(ROWS($AF$2:AF758),$AF$2:$AF$1001,0),1)&gt;=100000,INDEX($AM$1005:$BM$1005,1,MATCH(COLUMNS($AM$1006:AN1006),$AM$1006:$BM$1006,0))&gt;=100000), " ",IF(INDEX($AM$2:$BM$1001,MATCH(ROWS($AF$2:AF758),$AF$2:$AF$1001,0),MATCH(COLUMNS($AM$1006:AN1006),$AM$1006:$BM$1006,0)), HYPERLINK("#",""), HYPERLINK(CONCATENATE("#metadata!", ADDRESS(INDEX($AH$2:$AH$1001,MATCH(ROWS($AF$2:AF758),$AF$2:$AF$1001,0),0), INDEX($AM$1004:$BM$1004,1,MATCH(COLUMNS($AM$1006:AN1006),$AM$1006:$BM$1006,0)))),"Fix")))</f>
        <v xml:space="preserve"> </v>
      </c>
      <c r="D758" s="4" t="str">
        <f ca="1">IF(OR(INDEX($AG$2:$AG$1001,MATCH(ROWS($AF$2:AF758),$AF$2:$AF$1001,0),1)&gt;=100000,INDEX($AM$1005:$BM$1005,1,MATCH(COLUMNS($AM$1006:AO1006),$AM$1006:$BM$1006,0))&gt;=100000), " ",IF(INDEX($AM$2:$BM$1001,MATCH(ROWS($AF$2:AF758),$AF$2:$AF$1001,0),MATCH(COLUMNS($AM$1006:AO1006),$AM$1006:$BM$1006,0)), HYPERLINK("#",""), HYPERLINK(CONCATENATE("#metadata!", ADDRESS(INDEX($AH$2:$AH$1001,MATCH(ROWS($AF$2:AF758),$AF$2:$AF$1001,0),0), INDEX($AM$1004:$BM$1004,1,MATCH(COLUMNS($AM$1006:AO1006),$AM$1006:$BM$1006,0)))),"Fix")))</f>
        <v xml:space="preserve"> </v>
      </c>
      <c r="E758" s="4" t="str">
        <f ca="1">IF(OR(INDEX($AG$2:$AG$1001,MATCH(ROWS($AF$2:AF758),$AF$2:$AF$1001,0),1)&gt;=100000,INDEX($AM$1005:$BM$1005,1,MATCH(COLUMNS($AM$1006:AP1006),$AM$1006:$BM$1006,0))&gt;=100000), " ",IF(INDEX($AM$2:$BM$1001,MATCH(ROWS($AF$2:AF758),$AF$2:$AF$1001,0),MATCH(COLUMNS($AM$1006:AP1006),$AM$1006:$BM$1006,0)), HYPERLINK("#",""), HYPERLINK(CONCATENATE("#metadata!", ADDRESS(INDEX($AH$2:$AH$1001,MATCH(ROWS($AF$2:AF758),$AF$2:$AF$1001,0),0), INDEX($AM$1004:$BM$1004,1,MATCH(COLUMNS($AM$1006:AP1006),$AM$1006:$BM$1006,0)))),"Fix")))</f>
        <v xml:space="preserve"> </v>
      </c>
      <c r="F758" s="4" t="str">
        <f ca="1">IF(OR(INDEX($AG$2:$AG$1001,MATCH(ROWS($AF$2:AF758),$AF$2:$AF$1001,0),1)&gt;=100000,INDEX($AM$1005:$BM$1005,1,MATCH(COLUMNS($AM$1006:AQ1006),$AM$1006:$BM$1006,0))&gt;=100000), " ",IF(INDEX($AM$2:$BM$1001,MATCH(ROWS($AF$2:AF758),$AF$2:$AF$1001,0),MATCH(COLUMNS($AM$1006:AQ1006),$AM$1006:$BM$1006,0)), HYPERLINK("#",""), HYPERLINK(CONCATENATE("#metadata!", ADDRESS(INDEX($AH$2:$AH$1001,MATCH(ROWS($AF$2:AF758),$AF$2:$AF$1001,0),0), INDEX($AM$1004:$BM$1004,1,MATCH(COLUMNS($AM$1006:AQ1006),$AM$1006:$BM$1006,0)))),"Fix")))</f>
        <v xml:space="preserve"> </v>
      </c>
      <c r="G758" s="4" t="str">
        <f ca="1">IF(OR(INDEX($AG$2:$AG$1001,MATCH(ROWS($AF$2:AF758),$AF$2:$AF$1001,0),1)&gt;=100000,INDEX($AM$1005:$BM$1005,1,MATCH(COLUMNS($AM$1006:AR1006),$AM$1006:$BM$1006,0))&gt;=100000), " ",IF(INDEX($AM$2:$BM$1001,MATCH(ROWS($AF$2:AF758),$AF$2:$AF$1001,0),MATCH(COLUMNS($AM$1006:AR1006),$AM$1006:$BM$1006,0)), HYPERLINK("#",""), HYPERLINK(CONCATENATE("#metadata!", ADDRESS(INDEX($AH$2:$AH$1001,MATCH(ROWS($AF$2:AF758),$AF$2:$AF$1001,0),0), INDEX($AM$1004:$BM$1004,1,MATCH(COLUMNS($AM$1006:AR1006),$AM$1006:$BM$1006,0)))),"Fix")))</f>
        <v xml:space="preserve"> </v>
      </c>
      <c r="H758" s="4" t="str">
        <f ca="1">IF(OR(INDEX($AG$2:$AG$1001,MATCH(ROWS($AF$2:AF758),$AF$2:$AF$1001,0),1)&gt;=100000,INDEX($AM$1005:$BM$1005,1,MATCH(COLUMNS($AM$1006:AS1006),$AM$1006:$BM$1006,0))&gt;=100000), " ",IF(INDEX($AM$2:$BM$1001,MATCH(ROWS($AF$2:AF758),$AF$2:$AF$1001,0),MATCH(COLUMNS($AM$1006:AS1006),$AM$1006:$BM$1006,0)), HYPERLINK("#",""), HYPERLINK(CONCATENATE("#metadata!", ADDRESS(INDEX($AH$2:$AH$1001,MATCH(ROWS($AF$2:AF758),$AF$2:$AF$1001,0),0), INDEX($AM$1004:$BM$1004,1,MATCH(COLUMNS($AM$1006:AS1006),$AM$1006:$BM$1006,0)))),"Fix")))</f>
        <v xml:space="preserve"> </v>
      </c>
      <c r="I758" s="4" t="str">
        <f ca="1">IF(OR(INDEX($AG$2:$AG$1001,MATCH(ROWS($AF$2:AF758),$AF$2:$AF$1001,0),1)&gt;=100000,INDEX($AM$1005:$BM$1005,1,MATCH(COLUMNS($AM$1006:AT1006),$AM$1006:$BM$1006,0))&gt;=100000), " ",IF(INDEX($AM$2:$BM$1001,MATCH(ROWS($AF$2:AF758),$AF$2:$AF$1001,0),MATCH(COLUMNS($AM$1006:AT1006),$AM$1006:$BM$1006,0)), HYPERLINK("#",""), HYPERLINK(CONCATENATE("#metadata!", ADDRESS(INDEX($AH$2:$AH$1001,MATCH(ROWS($AF$2:AF758),$AF$2:$AF$1001,0),0), INDEX($AM$1004:$BM$1004,1,MATCH(COLUMNS($AM$1006:AT1006),$AM$1006:$BM$1006,0)))),"Fix")))</f>
        <v xml:space="preserve"> </v>
      </c>
      <c r="J758" s="4" t="str">
        <f ca="1">IF(OR(INDEX($AG$2:$AG$1001,MATCH(ROWS($AF$2:AF758),$AF$2:$AF$1001,0),1)&gt;=100000,INDEX($AM$1005:$BM$1005,1,MATCH(COLUMNS($AM$1006:AU1006),$AM$1006:$BM$1006,0))&gt;=100000), " ",IF(INDEX($AM$2:$BM$1001,MATCH(ROWS($AF$2:AF758),$AF$2:$AF$1001,0),MATCH(COLUMNS($AM$1006:AU1006),$AM$1006:$BM$1006,0)), HYPERLINK("#",""), HYPERLINK(CONCATENATE("#metadata!", ADDRESS(INDEX($AH$2:$AH$1001,MATCH(ROWS($AF$2:AF758),$AF$2:$AF$1001,0),0), INDEX($AM$1004:$BM$1004,1,MATCH(COLUMNS($AM$1006:AU1006),$AM$1006:$BM$1006,0)))),"Fix")))</f>
        <v xml:space="preserve"> </v>
      </c>
      <c r="K758" s="4" t="str">
        <f ca="1">IF(OR(INDEX($AG$2:$AG$1001,MATCH(ROWS($AF$2:AF758),$AF$2:$AF$1001,0),1)&gt;=100000,INDEX($AM$1005:$BM$1005,1,MATCH(COLUMNS($AM$1006:AV1006),$AM$1006:$BM$1006,0))&gt;=100000), " ",IF(INDEX($AM$2:$BM$1001,MATCH(ROWS($AF$2:AF758),$AF$2:$AF$1001,0),MATCH(COLUMNS($AM$1006:AV1006),$AM$1006:$BM$1006,0)), HYPERLINK("#",""), HYPERLINK(CONCATENATE("#metadata!", ADDRESS(INDEX($AH$2:$AH$1001,MATCH(ROWS($AF$2:AF758),$AF$2:$AF$1001,0),0), INDEX($AM$1004:$BM$1004,1,MATCH(COLUMNS($AM$1006:AV1006),$AM$1006:$BM$1006,0)))),"Fix")))</f>
        <v xml:space="preserve"> </v>
      </c>
      <c r="L758" s="4" t="str">
        <f ca="1">IF(OR(INDEX($AG$2:$AG$1001,MATCH(ROWS($AF$2:AF758),$AF$2:$AF$1001,0),1)&gt;=100000,INDEX($AM$1005:$BM$1005,1,MATCH(COLUMNS($AM$1006:AW1006),$AM$1006:$BM$1006,0))&gt;=100000), " ",IF(INDEX($AM$2:$BM$1001,MATCH(ROWS($AF$2:AF758),$AF$2:$AF$1001,0),MATCH(COLUMNS($AM$1006:AW1006),$AM$1006:$BM$1006,0)), HYPERLINK("#",""), HYPERLINK(CONCATENATE("#metadata!", ADDRESS(INDEX($AH$2:$AH$1001,MATCH(ROWS($AF$2:AF758),$AF$2:$AF$1001,0),0), INDEX($AM$1004:$BM$1004,1,MATCH(COLUMNS($AM$1006:AW1006),$AM$1006:$BM$1006,0)))),"Fix")))</f>
        <v xml:space="preserve"> </v>
      </c>
      <c r="M758" s="4" t="str">
        <f ca="1">IF(OR(INDEX($AG$2:$AG$1001,MATCH(ROWS($AF$2:AF758),$AF$2:$AF$1001,0),1)&gt;=100000,INDEX($AM$1005:$BM$1005,1,MATCH(COLUMNS($AM$1006:AX1006),$AM$1006:$BM$1006,0))&gt;=100000), " ",IF(INDEX($AM$2:$BM$1001,MATCH(ROWS($AF$2:AF758),$AF$2:$AF$1001,0),MATCH(COLUMNS($AM$1006:AX1006),$AM$1006:$BM$1006,0)), HYPERLINK("#",""), HYPERLINK(CONCATENATE("#metadata!", ADDRESS(INDEX($AH$2:$AH$1001,MATCH(ROWS($AF$2:AF758),$AF$2:$AF$1001,0),0), INDEX($AM$1004:$BM$1004,1,MATCH(COLUMNS($AM$1006:AX1006),$AM$1006:$BM$1006,0)))),"Fix")))</f>
        <v xml:space="preserve"> </v>
      </c>
      <c r="N758" s="4" t="str">
        <f ca="1">IF(OR(INDEX($AG$2:$AG$1001,MATCH(ROWS($AF$2:AF758),$AF$2:$AF$1001,0),1)&gt;=100000,INDEX($AM$1005:$BM$1005,1,MATCH(COLUMNS($AM$1006:AY1006),$AM$1006:$BM$1006,0))&gt;=100000), " ",IF(INDEX($AM$2:$BM$1001,MATCH(ROWS($AF$2:AF758),$AF$2:$AF$1001,0),MATCH(COLUMNS($AM$1006:AY1006),$AM$1006:$BM$1006,0)), HYPERLINK("#",""), HYPERLINK(CONCATENATE("#metadata!", ADDRESS(INDEX($AH$2:$AH$1001,MATCH(ROWS($AF$2:AF758),$AF$2:$AF$1001,0),0), INDEX($AM$1004:$BM$1004,1,MATCH(COLUMNS($AM$1006:AY1006),$AM$1006:$BM$1006,0)))),"Fix")))</f>
        <v xml:space="preserve"> </v>
      </c>
      <c r="O758" s="4" t="str">
        <f ca="1">IF(OR(INDEX($AG$2:$AG$1001,MATCH(ROWS($AF$2:AF758),$AF$2:$AF$1001,0),1)&gt;=100000,INDEX($AM$1005:$BM$1005,1,MATCH(COLUMNS($AM$1006:AZ1006),$AM$1006:$BM$1006,0))&gt;=100000), " ",IF(INDEX($AM$2:$BM$1001,MATCH(ROWS($AF$2:AF758),$AF$2:$AF$1001,0),MATCH(COLUMNS($AM$1006:AZ1006),$AM$1006:$BM$1006,0)), HYPERLINK("#",""), HYPERLINK(CONCATENATE("#metadata!", ADDRESS(INDEX($AH$2:$AH$1001,MATCH(ROWS($AF$2:AF758),$AF$2:$AF$1001,0),0), INDEX($AM$1004:$BM$1004,1,MATCH(COLUMNS($AM$1006:AZ1006),$AM$1006:$BM$1006,0)))),"Fix")))</f>
        <v xml:space="preserve"> </v>
      </c>
      <c r="P758" s="4" t="str">
        <f ca="1">IF(OR(INDEX($AG$2:$AG$1001,MATCH(ROWS($AF$2:AF758),$AF$2:$AF$1001,0),1)&gt;=100000,INDEX($AM$1005:$BM$1005,1,MATCH(COLUMNS($AM$1006:BA1006),$AM$1006:$BM$1006,0))&gt;=100000), " ",IF(INDEX($AM$2:$BM$1001,MATCH(ROWS($AF$2:AF758),$AF$2:$AF$1001,0),MATCH(COLUMNS($AM$1006:BA1006),$AM$1006:$BM$1006,0)), HYPERLINK("#",""), HYPERLINK(CONCATENATE("#metadata!", ADDRESS(INDEX($AH$2:$AH$1001,MATCH(ROWS($AF$2:AF758),$AF$2:$AF$1001,0),0), INDEX($AM$1004:$BM$1004,1,MATCH(COLUMNS($AM$1006:BA1006),$AM$1006:$BM$1006,0)))),"Fix")))</f>
        <v xml:space="preserve"> </v>
      </c>
      <c r="Q758" s="4" t="str">
        <f ca="1">IF(OR(INDEX($AG$2:$AG$1001,MATCH(ROWS($AF$2:AF758),$AF$2:$AF$1001,0),1)&gt;=100000,INDEX($AM$1005:$BM$1005,1,MATCH(COLUMNS($AM$1006:BB1006),$AM$1006:$BM$1006,0))&gt;=100000), " ",IF(INDEX($AM$2:$BM$1001,MATCH(ROWS($AF$2:AF758),$AF$2:$AF$1001,0),MATCH(COLUMNS($AM$1006:BB1006),$AM$1006:$BM$1006,0)), HYPERLINK("#",""), HYPERLINK(CONCATENATE("#metadata!", ADDRESS(INDEX($AH$2:$AH$1001,MATCH(ROWS($AF$2:AF758),$AF$2:$AF$1001,0),0), INDEX($AM$1004:$BM$1004,1,MATCH(COLUMNS($AM$1006:BB1006),$AM$1006:$BM$1006,0)))),"Fix")))</f>
        <v xml:space="preserve"> </v>
      </c>
      <c r="R758" s="4" t="str">
        <f ca="1">IF(OR(INDEX($AG$2:$AG$1001,MATCH(ROWS($AF$2:AF758),$AF$2:$AF$1001,0),1)&gt;=100000,INDEX($AM$1005:$BM$1005,1,MATCH(COLUMNS($AM$1006:BC1006),$AM$1006:$BM$1006,0))&gt;=100000), " ",IF(INDEX($AM$2:$BM$1001,MATCH(ROWS($AF$2:AF758),$AF$2:$AF$1001,0),MATCH(COLUMNS($AM$1006:BC1006),$AM$1006:$BM$1006,0)), HYPERLINK("#",""), HYPERLINK(CONCATENATE("#metadata!", ADDRESS(INDEX($AH$2:$AH$1001,MATCH(ROWS($AF$2:AF758),$AF$2:$AF$1001,0),0), INDEX($AM$1004:$BM$1004,1,MATCH(COLUMNS($AM$1006:BC1006),$AM$1006:$BM$1006,0)))),"Fix")))</f>
        <v xml:space="preserve"> </v>
      </c>
      <c r="S758" s="4" t="str">
        <f ca="1">IF(OR(INDEX($AG$2:$AG$1001,MATCH(ROWS($AF$2:AF758),$AF$2:$AF$1001,0),1)&gt;=100000,INDEX($AM$1005:$BM$1005,1,MATCH(COLUMNS($AM$1006:BD1006),$AM$1006:$BM$1006,0))&gt;=100000), " ",IF(INDEX($AM$2:$BM$1001,MATCH(ROWS($AF$2:AF758),$AF$2:$AF$1001,0),MATCH(COLUMNS($AM$1006:BD1006),$AM$1006:$BM$1006,0)), HYPERLINK("#",""), HYPERLINK(CONCATENATE("#metadata!", ADDRESS(INDEX($AH$2:$AH$1001,MATCH(ROWS($AF$2:AF758),$AF$2:$AF$1001,0),0), INDEX($AM$1004:$BM$1004,1,MATCH(COLUMNS($AM$1006:BD1006),$AM$1006:$BM$1006,0)))),"Fix")))</f>
        <v xml:space="preserve"> </v>
      </c>
      <c r="T758" s="4" t="str">
        <f ca="1">IF(OR(INDEX($AG$2:$AG$1001,MATCH(ROWS($AF$2:AF758),$AF$2:$AF$1001,0),1)&gt;=100000,INDEX($AM$1005:$BM$1005,1,MATCH(COLUMNS($AM$1006:BE1006),$AM$1006:$BM$1006,0))&gt;=100000), " ",IF(INDEX($AM$2:$BM$1001,MATCH(ROWS($AF$2:AF758),$AF$2:$AF$1001,0),MATCH(COLUMNS($AM$1006:BE1006),$AM$1006:$BM$1006,0)), HYPERLINK("#",""), HYPERLINK(CONCATENATE("#metadata!", ADDRESS(INDEX($AH$2:$AH$1001,MATCH(ROWS($AF$2:AF758),$AF$2:$AF$1001,0),0), INDEX($AM$1004:$BM$1004,1,MATCH(COLUMNS($AM$1006:BE1006),$AM$1006:$BM$1006,0)))),"Fix")))</f>
        <v xml:space="preserve"> </v>
      </c>
      <c r="U758" s="4" t="str">
        <f ca="1">IF(OR(INDEX($AG$2:$AG$1001,MATCH(ROWS($AF$2:AF758),$AF$2:$AF$1001,0),1)&gt;=100000,INDEX($AM$1005:$BM$1005,1,MATCH(COLUMNS($AM$1006:BF1006),$AM$1006:$BM$1006,0))&gt;=100000), " ",IF(INDEX($AM$2:$BM$1001,MATCH(ROWS($AF$2:AF758),$AF$2:$AF$1001,0),MATCH(COLUMNS($AM$1006:BF1006),$AM$1006:$BM$1006,0)), HYPERLINK("#",""), HYPERLINK(CONCATENATE("#metadata!", ADDRESS(INDEX($AH$2:$AH$1001,MATCH(ROWS($AF$2:AF758),$AF$2:$AF$1001,0),0), INDEX($AM$1004:$BM$1004,1,MATCH(COLUMNS($AM$1006:BF1006),$AM$1006:$BM$1006,0)))),"Fix")))</f>
        <v xml:space="preserve"> </v>
      </c>
      <c r="V758" s="4" t="str">
        <f ca="1">IF(OR(INDEX($AG$2:$AG$1001,MATCH(ROWS($AF$2:AF758),$AF$2:$AF$1001,0),1)&gt;=100000,INDEX($AM$1005:$BM$1005,1,MATCH(COLUMNS($AM$1006:BG1006),$AM$1006:$BM$1006,0))&gt;=100000), " ",IF(INDEX($AM$2:$BM$1001,MATCH(ROWS($AF$2:AF758),$AF$2:$AF$1001,0),MATCH(COLUMNS($AM$1006:BG1006),$AM$1006:$BM$1006,0)), HYPERLINK("#",""), HYPERLINK(CONCATENATE("#metadata!", ADDRESS(INDEX($AH$2:$AH$1001,MATCH(ROWS($AF$2:AF758),$AF$2:$AF$1001,0),0), INDEX($AM$1004:$BM$1004,1,MATCH(COLUMNS($AM$1006:BG1006),$AM$1006:$BM$1006,0)))),"Fix")))</f>
        <v xml:space="preserve"> </v>
      </c>
      <c r="W758" s="4" t="str">
        <f ca="1">IF(OR(INDEX($AG$2:$AG$1001,MATCH(ROWS($AF$2:AF758),$AF$2:$AF$1001,0),1)&gt;=100000,INDEX($AM$1005:$BM$1005,1,MATCH(COLUMNS($AM$1006:BH1006),$AM$1006:$BM$1006,0))&gt;=100000), " ",IF(INDEX($AM$2:$BM$1001,MATCH(ROWS($AF$2:AF758),$AF$2:$AF$1001,0),MATCH(COLUMNS($AM$1006:BH1006),$AM$1006:$BM$1006,0)), HYPERLINK("#",""), HYPERLINK(CONCATENATE("#metadata!", ADDRESS(INDEX($AH$2:$AH$1001,MATCH(ROWS($AF$2:AF758),$AF$2:$AF$1001,0),0), INDEX($AM$1004:$BM$1004,1,MATCH(COLUMNS($AM$1006:BH1006),$AM$1006:$BM$1006,0)))),"Fix")))</f>
        <v xml:space="preserve"> </v>
      </c>
      <c r="X758" s="4" t="str">
        <f ca="1">IF(OR(INDEX($AG$2:$AG$1001,MATCH(ROWS($AF$2:AF758),$AF$2:$AF$1001,0),1)&gt;=100000,INDEX($AM$1005:$BM$1005,1,MATCH(COLUMNS($AM$1006:BI1006),$AM$1006:$BM$1006,0))&gt;=100000), " ",IF(INDEX($AM$2:$BM$1001,MATCH(ROWS($AF$2:AF758),$AF$2:$AF$1001,0),MATCH(COLUMNS($AM$1006:BI1006),$AM$1006:$BM$1006,0)), HYPERLINK("#",""), HYPERLINK(CONCATENATE("#metadata!", ADDRESS(INDEX($AH$2:$AH$1001,MATCH(ROWS($AF$2:AF758),$AF$2:$AF$1001,0),0), INDEX($AM$1004:$BM$1004,1,MATCH(COLUMNS($AM$1006:BI1006),$AM$1006:$BM$1006,0)))),"Fix")))</f>
        <v xml:space="preserve"> </v>
      </c>
      <c r="Y758" s="4" t="str">
        <f ca="1">IF(OR(INDEX($AG$2:$AG$1001,MATCH(ROWS($AF$2:AF758),$AF$2:$AF$1001,0),1)&gt;=100000,INDEX($AM$1005:$BM$1005,1,MATCH(COLUMNS($AM$1006:BJ1006),$AM$1006:$BM$1006,0))&gt;=100000), " ",IF(INDEX($AM$2:$BM$1001,MATCH(ROWS($AF$2:AF758),$AF$2:$AF$1001,0),MATCH(COLUMNS($AM$1006:BJ1006),$AM$1006:$BM$1006,0)), HYPERLINK("#",""), HYPERLINK(CONCATENATE("#metadata!", ADDRESS(INDEX($AH$2:$AH$1001,MATCH(ROWS($AF$2:AF758),$AF$2:$AF$1001,0),0), INDEX($AM$1004:$BM$1004,1,MATCH(COLUMNS($AM$1006:BJ1006),$AM$1006:$BM$1006,0)))),"Fix")))</f>
        <v xml:space="preserve"> </v>
      </c>
      <c r="Z758" s="4" t="str">
        <f ca="1">IF(OR(INDEX($AG$2:$AG$1001,MATCH(ROWS($AF$2:AF758),$AF$2:$AF$1001,0),1)&gt;=100000,INDEX($AM$1005:$BM$1005,1,MATCH(COLUMNS($AM$1006:BK1006),$AM$1006:$BM$1006,0))&gt;=100000), " ",IF(INDEX($AM$2:$BM$1001,MATCH(ROWS($AF$2:AF758),$AF$2:$AF$1001,0),MATCH(COLUMNS($AM$1006:BK1006),$AM$1006:$BM$1006,0)), HYPERLINK("#",""), HYPERLINK(CONCATENATE("#metadata!", ADDRESS(INDEX($AH$2:$AH$1001,MATCH(ROWS($AF$2:AF758),$AF$2:$AF$1001,0),0), INDEX($AM$1004:$BM$1004,1,MATCH(COLUMNS($AM$1006:BK1006),$AM$1006:$BM$1006,0)))),"Fix")))</f>
        <v xml:space="preserve"> </v>
      </c>
      <c r="AA758" s="4" t="str">
        <f ca="1">IF(OR(INDEX($AG$2:$AG$1001,MATCH(ROWS($AF$2:AF758),$AF$2:$AF$1001,0),1)&gt;=100000,INDEX($AM$1005:$BM$1005,1,MATCH(COLUMNS($AM$1006:BL1006),$AM$1006:$BM$1006,0))&gt;=100000), " ",IF(INDEX($AM$2:$BM$1001,MATCH(ROWS($AF$2:AF758),$AF$2:$AF$1001,0),MATCH(COLUMNS($AM$1006:BL1006),$AM$1006:$BM$1006,0)), HYPERLINK("#",""), HYPERLINK(CONCATENATE("#metadata!", ADDRESS(INDEX($AH$2:$AH$1001,MATCH(ROWS($AF$2:AF758),$AF$2:$AF$1001,0),0), INDEX($AM$1004:$BM$1004,1,MATCH(COLUMNS($AM$1006:BL1006),$AM$1006:$BM$1006,0)))),"Fix")))</f>
        <v xml:space="preserve"> </v>
      </c>
      <c r="AB758" s="4" t="str">
        <f ca="1">IF(OR(INDEX($AG$2:$AG$1001,MATCH(ROWS($AF$2:AF758),$AF$2:$AF$1001,0),1)&gt;=100000,INDEX($AM$1005:$BM$1005,1,MATCH(COLUMNS($AM$1006:BM1006),$AM$1006:$BM$1006,0))&gt;=100000), " ",IF(INDEX($AM$2:$BM$1001,MATCH(ROWS($AF$2:AF758),$AF$2:$AF$1001,0),MATCH(COLUMNS($AM$1006:BM1006),$AM$1006:$BM$1006,0)), HYPERLINK("#",""), HYPERLINK(CONCATENATE("#metadata!", ADDRESS(INDEX($AH$2:$AH$1001,MATCH(ROWS($AF$2:AF758),$AF$2:$AF$1001,0),0), INDEX($AM$1004:$BM$1004,1,MATCH(COLUMNS($AM$1006:BM1006),$AM$1006:$BM$1006,0)))),"Fix")))</f>
        <v xml:space="preserve"> </v>
      </c>
      <c r="AF758">
        <v>757</v>
      </c>
      <c r="AG758">
        <v>100758</v>
      </c>
      <c r="AH758">
        <v>758</v>
      </c>
      <c r="AI758" t="b">
        <f t="shared" si="11"/>
        <v>1</v>
      </c>
      <c r="AJ758" t="b">
        <f>COUNTBLANK(metadata!B758:AB758)=COLUMNS(metadata!B758:AB758)</f>
        <v>1</v>
      </c>
      <c r="AK758" t="str">
        <v/>
      </c>
      <c r="AM758" t="b">
        <f ca="1">AND(IF(metadata!B758="",FALSE,TRUE),COUNTIF(metadata!B:B, metadata!B758) = 1,NOT(ISERROR(SUMPRODUCT(SEARCH(MID(metadata!B758,ROW(INDIRECT("1:"&amp;LEN(metadata!B758))), 1),"0123456789abcdefghijklmnopqrstuvwxyzABCDEFGHIJKLMNOPQRSTUVWXYZ.")))))</f>
        <v>0</v>
      </c>
      <c r="AN758" t="b">
        <f ca="1">OR(AND(IF(metadata!C758="",FALSE,TRUE),OR(EXACT(metadata!C758,"missing: not collected"),EXACT(metadata!C758,"missing: not provided"),EXACT(metadata!C758,"missing: restricted access"))),AND(IF(metadata!C758="",FALSE,TRUE),AND(AND(IFERROR(INT(LEFT(metadata!C758,4))&gt;1900,FALSE),IFERROR(INT(LEFT(metadata!C758,4))&lt;=YEAR(NOW()),FALSE)), OR(MID(metadata!C758,5,1)="", AND(AND(MID(metadata!C758,5,1)="-",IFERROR(INT(MID(metadata!C758,6,1))&gt;=0,FALSE),IFERROR(INT(MID(metadata!C758,6,1))&lt;=1,FALSE),NOT(MID(metadata!C758,7,1)=""),IFERROR(INT(MID(metadata!C758,6,2))&gt;=1,FALSE),IFERROR(INT(MID(metadata!C758,6,2))&lt;=12,FALSE)), OR(MID(metadata!C758,8,1)="", AND(AND(MID(metadata!C758,8,1)="-",IFERROR(INT(MID(metadata!C758,9,1))&gt;=0,FALSE),IFERROR(INT(MID(metadata!C758,9,1))&lt;=3,FALSE),NOT(MID(metadata!C758,10,1)=""),IFERROR(INT(MID(metadata!C758,9,2))&gt;=1,FALSE),IFERROR(INT(MID(metadata!C758,9,2))&lt;=31,FALSE)), OR(MID(metadata!C758,11,1)="", AND(AND(MID(metadata!C758,11,1)=" ",IFERROR(INT(MID(metadata!C758,12,1))&gt;=0,FALSE),IFERROR(INT(MID(metadata!C758,12,1))&lt;=2,FALSE),NOT(MID(metadata!C758,13,1)=""),IFERROR(INT(MID(metadata!C758,12,2))&gt;=0,FALSE),IFERROR(INT(MID(metadata!C758,12,2))&lt;=23,FALSE)), OR(MID(metadata!C758,14,1)="", AND(AND(MID(metadata!C758,14,1)=":",IFERROR(INT(MID(metadata!C758,15,1))&gt;=0,FALSE),IFERROR(INT(MID(metadata!C758,15,1))&lt;=5,FALSE),NOT(MID(metadata!C758,16,1)=""),IFERROR(INT(MID(metadata!C758,15,2))&gt;=0,FALSE),IFERROR(INT(MID(metadata!C758,15,2))&lt;=59,FALSE)), OR(MID(metadata!C758,17,1)="", AND(AND(MID(metadata!C758,17,1)=":",IFERROR(INT(MID(metadata!C758,18,1))&gt;=0,FALSE),IFERROR(INT(MID(metadata!C758,18,1))&lt;=5,FALSE),NOT(MID(metadata!C758,19,1)=""),IFERROR(INT(MID(metadata!C758,18,2))&gt;=0,FALSE),IFERROR(INT(MID(metadata!C758,18,2))&lt;=59,FALSE)), LEN(metadata!C758)&lt;=19)))))))))))))</f>
        <v>0</v>
      </c>
      <c r="AO758" t="b">
        <f>AND(IF(metadata!D758="",FALSE,TRUE),EXACT(metadata!D758,"Not applicable"))</f>
        <v>0</v>
      </c>
      <c r="AP758" t="b">
        <f>IF(metadata!E758="",FALSE,TRUE)</f>
        <v>0</v>
      </c>
      <c r="AQ758" t="b">
        <f>OR(AND(IF(metadata!F758="",FALSE,TRUE),OR(EXACT(metadata!F758,"missing: not collected"),EXACT(metadata!F758,"missing: not provided"))),AND(IF(metadata!F758="",FALSE,TRUE),OR(EXACT(metadata!F758,"TRUE"),EXACT(metadata!F758,"FALSE"))))</f>
        <v>0</v>
      </c>
      <c r="AR758" t="b">
        <f>OR(AND(IF(metadata!G758="",FALSE,TRUE),OR(EXACT(metadata!G758,"missing: not collected"),EXACT(metadata!G758,"missing: not provided"),EXACT(metadata!G758,"missing: restricted access"))),AND(IF(metadata!G758="",FALSE,ISNUMBER(VALUE(metadata!G758))),metadata!G758&gt;=-413))</f>
        <v>0</v>
      </c>
      <c r="AS758" t="b">
        <f>AND(IF(metadata!H758="",FALSE,TRUE),EXACT(metadata!H758,"meters"))</f>
        <v>0</v>
      </c>
      <c r="AT758" t="b">
        <f>AND(IF(metadata!I758="",FALSE,TRUE),OR(EXACT(metadata!I758,"Host-associated"),EXACT(metadata!I758,"Free-living")))</f>
        <v>0</v>
      </c>
      <c r="AU758" t="b">
        <f>AND(IF(metadata!J758="",FALSE,TRUE),OR(EXACT(metadata!J758,"Animal"),EXACT(metadata!J758,"Fungus"),EXACT(metadata!J758,"Plant"),EXACT(metadata!J758,"Saline"),EXACT(metadata!J758,"Non-saline")))</f>
        <v>0</v>
      </c>
      <c r="AV758" t="b">
        <f>AND(IF(metadata!K758="",FALSE,TRUE),OR(EXACT(metadata!K758,"Plant secretion"),EXACT(metadata!K758,"Plant rhizosphere"),EXACT(metadata!K758,"Plant surface"),EXACT(metadata!K758,"Plant corpus"),EXACT(metadata!K758,"Fungus surface"),EXACT(metadata!K758,"Fungus corpus"),EXACT(metadata!K758,"Animal surface"),EXACT(metadata!K758,"Animal proximal gut"),EXACT(metadata!K758,"Animal corpus"),EXACT(metadata!K758,"Animal distal gut"),EXACT(metadata!K758,"Animal secretion"),EXACT(metadata!K758,"Sub-surface (non-saline)"),EXACT(metadata!K758,"Surface (non-saline)"),EXACT(metadata!K758,"Water (non-saline)"),EXACT(metadata!K758,"Soil (non-saline)"),EXACT(metadata!K758,"Aerosol (non-saline)"),EXACT(metadata!K758,"Sediment (non-saline)"),EXACT(metadata!K758,"Surface (saline)"),EXACT(metadata!K758,"Water (saline)"),EXACT(metadata!K758,"Hypersaline (saline)"),EXACT(metadata!K758,"Aerosol (saline)"),EXACT(metadata!K758,"Sediment (saline)")))</f>
        <v>0</v>
      </c>
      <c r="AW758" t="b">
        <f>IF(metadata!L758="",FALSE,TRUE)</f>
        <v>0</v>
      </c>
      <c r="AX758" t="b">
        <f>IF(metadata!M758="",FALSE,TRUE)</f>
        <v>0</v>
      </c>
      <c r="AY758" t="b">
        <f>IF(metadata!N758="",FALSE,TRUE)</f>
        <v>0</v>
      </c>
      <c r="AZ758" t="b">
        <f>OR(AND(IF(metadata!O758="",FALSE,TRUE),OR(EXACT(metadata!O758,"missing: not collected"),EXACT(metadata!O758,"missing: not provided"),EXACT(metadata!O758,"missing: restricted access"))),AND(IF(metadata!O758="",FALSE,TRUE),OR(EXACT(metadata!O758,"air"),EXACT(metadata!O758,"built environment"),EXACT(metadata!O758,"host-associated"),EXACT(metadata!O758,"human-associated"),EXACT(metadata!O758,"human-skin"),EXACT(metadata!O758,"human-oral"),EXACT(metadata!O758,"human-gut"),EXACT(metadata!O758,"human-vaginal"),EXACT(metadata!O758,"microbial mat/biofilm"),EXACT(metadata!O758,"misc environment"),EXACT(metadata!O758,"plant-associated"),EXACT(metadata!O758,"sediment"),EXACT(metadata!O758,"soil"),EXACT(metadata!O758,"wastewater/sludge"),EXACT(metadata!O758,"water"))))</f>
        <v>0</v>
      </c>
      <c r="BA758" t="b">
        <f>IF(metadata!P758="",FALSE,TRUE)</f>
        <v>0</v>
      </c>
      <c r="BB758" t="b">
        <f>IF(metadata!Q758="",FALSE,TRUE)</f>
        <v>0</v>
      </c>
      <c r="BC758" t="b">
        <f>OR(AND(IF(metadata!R758="",FALSE,TRUE),OR(EXACT(metadata!R758,"missing: not collected"),EXACT(metadata!R758,"missing: not provided"),EXACT(metadata!R758,"missing: restricted access"))),AND(IF(metadata!R758="",FALSE,ISNUMBER(VALUE(metadata!R758))),metadata!R758&gt;=-90,metadata!R758&lt;=90))</f>
        <v>0</v>
      </c>
      <c r="BD758" t="b">
        <f>AND(IF(metadata!S758="",FALSE,TRUE),EXACT(metadata!S758,"Decimal degrees"))</f>
        <v>0</v>
      </c>
      <c r="BE758" t="b">
        <f>OR(AND(IF(metadata!T758="",FALSE,TRUE),OR(EXACT(metadata!T758,"missing: not collected"),EXACT(metadata!T758,"missing: not provided"),EXACT(metadata!T758,"missing: restricted access"))),AND(IF(metadata!T758="",FALSE,ISNUMBER(VALUE(metadata!T758))),metadata!T758&gt;=-180,metadata!T758&lt;=180))</f>
        <v>0</v>
      </c>
      <c r="BF758" t="b">
        <f>AND(IF(metadata!U758="",FALSE,TRUE),EXACT(metadata!U758,"Decimal degrees"))</f>
        <v>0</v>
      </c>
      <c r="BG758" t="b">
        <f>IF(metadata!V758="",FALSE,TRUE)</f>
        <v>0</v>
      </c>
      <c r="BH758" t="b">
        <f>OR(AND(IF(metadata!W758="",FALSE,TRUE),OR(EXACT(metadata!W758,"missing: not collected"),EXACT(metadata!W758,"missing: not provided"),EXACT(metadata!W758,"missing: restricted access"))),AND(IF(metadata!W758="",FALSE,TRUE),OR(EXACT(metadata!W758,"TRUE"),EXACT(metadata!W758,"FALSE"))))</f>
        <v>0</v>
      </c>
      <c r="BI758" t="b">
        <f>AND(IF(metadata!X758="",FALSE,TRUE),EXACT(metadata!X758,"other"))</f>
        <v>0</v>
      </c>
      <c r="BJ758" t="b">
        <f>IF(metadata!Y758="",FALSE,TRUE)</f>
        <v>0</v>
      </c>
      <c r="BK758" t="b">
        <f>OR(AND(IF(metadata!Z758="",FALSE,TRUE),OR(EXACT(metadata!Z758,"missing: not collected"),EXACT(metadata!Z758,"missing: not provided"))),AND(IF(metadata!Z758="",FALSE,IF(ISERROR(INT(metadata!Z758)),FALSE,INT(metadata!Z758)=metadata!Z758)),metadata!Z758&gt;0))</f>
        <v>0</v>
      </c>
      <c r="BL758" t="b">
        <f>AND(IF(metadata!AA758="",FALSE,TRUE),EXACT(metadata!AA758,"Not applicable"))</f>
        <v>0</v>
      </c>
      <c r="BM758" t="b">
        <f>IF(metadata!AB758="",FALSE,TRUE)</f>
        <v>0</v>
      </c>
    </row>
    <row r="759" spans="1:65" x14ac:dyDescent="0.2">
      <c r="A759" s="5" t="str">
        <f ca="1">IF(B759=" "," ",HYPERLINK(CONCATENATE("#metadata!",ADDRESS(INDEX($AH$2:$AH$1001,MATCH(ROWS($AF$2:AF759),$AF$2:$AF$1001,0),0),1)),INDEX($AK$2:$AK$1001,MATCH(ROWS($AF$2:AF759),$AF$2:$AF$1001,0),0)))</f>
        <v xml:space="preserve"> </v>
      </c>
      <c r="B759" s="4" t="str">
        <f ca="1">IF(OR(INDEX($AG$2:$AG$1001,MATCH(ROWS($AF$2:AF759),$AF$2:$AF$1001,0),1)&gt;=100000,INDEX($AM$1005:$BM$1005,1,MATCH(COLUMNS($AM$1006:AM1006),$AM$1006:$BM$1006,0))&gt;=100000), " ",IF(INDEX($AM$2:$BM$1001,MATCH(ROWS($AF$2:AF759),$AF$2:$AF$1001,0),MATCH(COLUMNS($AM$1006:AM1006),$AM$1006:$BM$1006,0)), HYPERLINK("#",""), HYPERLINK(CONCATENATE("#metadata!", ADDRESS(INDEX($AH$2:$AH$1001,MATCH(ROWS($AF$2:AF759),$AF$2:$AF$1001,0),0), INDEX($AM$1004:$BM$1004,1,MATCH(COLUMNS($AM$1006:AM1006),$AM$1006:$BM$1006,0)))),"Fix")))</f>
        <v xml:space="preserve"> </v>
      </c>
      <c r="C759" s="4" t="str">
        <f ca="1">IF(OR(INDEX($AG$2:$AG$1001,MATCH(ROWS($AF$2:AF759),$AF$2:$AF$1001,0),1)&gt;=100000,INDEX($AM$1005:$BM$1005,1,MATCH(COLUMNS($AM$1006:AN1006),$AM$1006:$BM$1006,0))&gt;=100000), " ",IF(INDEX($AM$2:$BM$1001,MATCH(ROWS($AF$2:AF759),$AF$2:$AF$1001,0),MATCH(COLUMNS($AM$1006:AN1006),$AM$1006:$BM$1006,0)), HYPERLINK("#",""), HYPERLINK(CONCATENATE("#metadata!", ADDRESS(INDEX($AH$2:$AH$1001,MATCH(ROWS($AF$2:AF759),$AF$2:$AF$1001,0),0), INDEX($AM$1004:$BM$1004,1,MATCH(COLUMNS($AM$1006:AN1006),$AM$1006:$BM$1006,0)))),"Fix")))</f>
        <v xml:space="preserve"> </v>
      </c>
      <c r="D759" s="4" t="str">
        <f ca="1">IF(OR(INDEX($AG$2:$AG$1001,MATCH(ROWS($AF$2:AF759),$AF$2:$AF$1001,0),1)&gt;=100000,INDEX($AM$1005:$BM$1005,1,MATCH(COLUMNS($AM$1006:AO1006),$AM$1006:$BM$1006,0))&gt;=100000), " ",IF(INDEX($AM$2:$BM$1001,MATCH(ROWS($AF$2:AF759),$AF$2:$AF$1001,0),MATCH(COLUMNS($AM$1006:AO1006),$AM$1006:$BM$1006,0)), HYPERLINK("#",""), HYPERLINK(CONCATENATE("#metadata!", ADDRESS(INDEX($AH$2:$AH$1001,MATCH(ROWS($AF$2:AF759),$AF$2:$AF$1001,0),0), INDEX($AM$1004:$BM$1004,1,MATCH(COLUMNS($AM$1006:AO1006),$AM$1006:$BM$1006,0)))),"Fix")))</f>
        <v xml:space="preserve"> </v>
      </c>
      <c r="E759" s="4" t="str">
        <f ca="1">IF(OR(INDEX($AG$2:$AG$1001,MATCH(ROWS($AF$2:AF759),$AF$2:$AF$1001,0),1)&gt;=100000,INDEX($AM$1005:$BM$1005,1,MATCH(COLUMNS($AM$1006:AP1006),$AM$1006:$BM$1006,0))&gt;=100000), " ",IF(INDEX($AM$2:$BM$1001,MATCH(ROWS($AF$2:AF759),$AF$2:$AF$1001,0),MATCH(COLUMNS($AM$1006:AP1006),$AM$1006:$BM$1006,0)), HYPERLINK("#",""), HYPERLINK(CONCATENATE("#metadata!", ADDRESS(INDEX($AH$2:$AH$1001,MATCH(ROWS($AF$2:AF759),$AF$2:$AF$1001,0),0), INDEX($AM$1004:$BM$1004,1,MATCH(COLUMNS($AM$1006:AP1006),$AM$1006:$BM$1006,0)))),"Fix")))</f>
        <v xml:space="preserve"> </v>
      </c>
      <c r="F759" s="4" t="str">
        <f ca="1">IF(OR(INDEX($AG$2:$AG$1001,MATCH(ROWS($AF$2:AF759),$AF$2:$AF$1001,0),1)&gt;=100000,INDEX($AM$1005:$BM$1005,1,MATCH(COLUMNS($AM$1006:AQ1006),$AM$1006:$BM$1006,0))&gt;=100000), " ",IF(INDEX($AM$2:$BM$1001,MATCH(ROWS($AF$2:AF759),$AF$2:$AF$1001,0),MATCH(COLUMNS($AM$1006:AQ1006),$AM$1006:$BM$1006,0)), HYPERLINK("#",""), HYPERLINK(CONCATENATE("#metadata!", ADDRESS(INDEX($AH$2:$AH$1001,MATCH(ROWS($AF$2:AF759),$AF$2:$AF$1001,0),0), INDEX($AM$1004:$BM$1004,1,MATCH(COLUMNS($AM$1006:AQ1006),$AM$1006:$BM$1006,0)))),"Fix")))</f>
        <v xml:space="preserve"> </v>
      </c>
      <c r="G759" s="4" t="str">
        <f ca="1">IF(OR(INDEX($AG$2:$AG$1001,MATCH(ROWS($AF$2:AF759),$AF$2:$AF$1001,0),1)&gt;=100000,INDEX($AM$1005:$BM$1005,1,MATCH(COLUMNS($AM$1006:AR1006),$AM$1006:$BM$1006,0))&gt;=100000), " ",IF(INDEX($AM$2:$BM$1001,MATCH(ROWS($AF$2:AF759),$AF$2:$AF$1001,0),MATCH(COLUMNS($AM$1006:AR1006),$AM$1006:$BM$1006,0)), HYPERLINK("#",""), HYPERLINK(CONCATENATE("#metadata!", ADDRESS(INDEX($AH$2:$AH$1001,MATCH(ROWS($AF$2:AF759),$AF$2:$AF$1001,0),0), INDEX($AM$1004:$BM$1004,1,MATCH(COLUMNS($AM$1006:AR1006),$AM$1006:$BM$1006,0)))),"Fix")))</f>
        <v xml:space="preserve"> </v>
      </c>
      <c r="H759" s="4" t="str">
        <f ca="1">IF(OR(INDEX($AG$2:$AG$1001,MATCH(ROWS($AF$2:AF759),$AF$2:$AF$1001,0),1)&gt;=100000,INDEX($AM$1005:$BM$1005,1,MATCH(COLUMNS($AM$1006:AS1006),$AM$1006:$BM$1006,0))&gt;=100000), " ",IF(INDEX($AM$2:$BM$1001,MATCH(ROWS($AF$2:AF759),$AF$2:$AF$1001,0),MATCH(COLUMNS($AM$1006:AS1006),$AM$1006:$BM$1006,0)), HYPERLINK("#",""), HYPERLINK(CONCATENATE("#metadata!", ADDRESS(INDEX($AH$2:$AH$1001,MATCH(ROWS($AF$2:AF759),$AF$2:$AF$1001,0),0), INDEX($AM$1004:$BM$1004,1,MATCH(COLUMNS($AM$1006:AS1006),$AM$1006:$BM$1006,0)))),"Fix")))</f>
        <v xml:space="preserve"> </v>
      </c>
      <c r="I759" s="4" t="str">
        <f ca="1">IF(OR(INDEX($AG$2:$AG$1001,MATCH(ROWS($AF$2:AF759),$AF$2:$AF$1001,0),1)&gt;=100000,INDEX($AM$1005:$BM$1005,1,MATCH(COLUMNS($AM$1006:AT1006),$AM$1006:$BM$1006,0))&gt;=100000), " ",IF(INDEX($AM$2:$BM$1001,MATCH(ROWS($AF$2:AF759),$AF$2:$AF$1001,0),MATCH(COLUMNS($AM$1006:AT1006),$AM$1006:$BM$1006,0)), HYPERLINK("#",""), HYPERLINK(CONCATENATE("#metadata!", ADDRESS(INDEX($AH$2:$AH$1001,MATCH(ROWS($AF$2:AF759),$AF$2:$AF$1001,0),0), INDEX($AM$1004:$BM$1004,1,MATCH(COLUMNS($AM$1006:AT1006),$AM$1006:$BM$1006,0)))),"Fix")))</f>
        <v xml:space="preserve"> </v>
      </c>
      <c r="J759" s="4" t="str">
        <f ca="1">IF(OR(INDEX($AG$2:$AG$1001,MATCH(ROWS($AF$2:AF759),$AF$2:$AF$1001,0),1)&gt;=100000,INDEX($AM$1005:$BM$1005,1,MATCH(COLUMNS($AM$1006:AU1006),$AM$1006:$BM$1006,0))&gt;=100000), " ",IF(INDEX($AM$2:$BM$1001,MATCH(ROWS($AF$2:AF759),$AF$2:$AF$1001,0),MATCH(COLUMNS($AM$1006:AU1006),$AM$1006:$BM$1006,0)), HYPERLINK("#",""), HYPERLINK(CONCATENATE("#metadata!", ADDRESS(INDEX($AH$2:$AH$1001,MATCH(ROWS($AF$2:AF759),$AF$2:$AF$1001,0),0), INDEX($AM$1004:$BM$1004,1,MATCH(COLUMNS($AM$1006:AU1006),$AM$1006:$BM$1006,0)))),"Fix")))</f>
        <v xml:space="preserve"> </v>
      </c>
      <c r="K759" s="4" t="str">
        <f ca="1">IF(OR(INDEX($AG$2:$AG$1001,MATCH(ROWS($AF$2:AF759),$AF$2:$AF$1001,0),1)&gt;=100000,INDEX($AM$1005:$BM$1005,1,MATCH(COLUMNS($AM$1006:AV1006),$AM$1006:$BM$1006,0))&gt;=100000), " ",IF(INDEX($AM$2:$BM$1001,MATCH(ROWS($AF$2:AF759),$AF$2:$AF$1001,0),MATCH(COLUMNS($AM$1006:AV1006),$AM$1006:$BM$1006,0)), HYPERLINK("#",""), HYPERLINK(CONCATENATE("#metadata!", ADDRESS(INDEX($AH$2:$AH$1001,MATCH(ROWS($AF$2:AF759),$AF$2:$AF$1001,0),0), INDEX($AM$1004:$BM$1004,1,MATCH(COLUMNS($AM$1006:AV1006),$AM$1006:$BM$1006,0)))),"Fix")))</f>
        <v xml:space="preserve"> </v>
      </c>
      <c r="L759" s="4" t="str">
        <f ca="1">IF(OR(INDEX($AG$2:$AG$1001,MATCH(ROWS($AF$2:AF759),$AF$2:$AF$1001,0),1)&gt;=100000,INDEX($AM$1005:$BM$1005,1,MATCH(COLUMNS($AM$1006:AW1006),$AM$1006:$BM$1006,0))&gt;=100000), " ",IF(INDEX($AM$2:$BM$1001,MATCH(ROWS($AF$2:AF759),$AF$2:$AF$1001,0),MATCH(COLUMNS($AM$1006:AW1006),$AM$1006:$BM$1006,0)), HYPERLINK("#",""), HYPERLINK(CONCATENATE("#metadata!", ADDRESS(INDEX($AH$2:$AH$1001,MATCH(ROWS($AF$2:AF759),$AF$2:$AF$1001,0),0), INDEX($AM$1004:$BM$1004,1,MATCH(COLUMNS($AM$1006:AW1006),$AM$1006:$BM$1006,0)))),"Fix")))</f>
        <v xml:space="preserve"> </v>
      </c>
      <c r="M759" s="4" t="str">
        <f ca="1">IF(OR(INDEX($AG$2:$AG$1001,MATCH(ROWS($AF$2:AF759),$AF$2:$AF$1001,0),1)&gt;=100000,INDEX($AM$1005:$BM$1005,1,MATCH(COLUMNS($AM$1006:AX1006),$AM$1006:$BM$1006,0))&gt;=100000), " ",IF(INDEX($AM$2:$BM$1001,MATCH(ROWS($AF$2:AF759),$AF$2:$AF$1001,0),MATCH(COLUMNS($AM$1006:AX1006),$AM$1006:$BM$1006,0)), HYPERLINK("#",""), HYPERLINK(CONCATENATE("#metadata!", ADDRESS(INDEX($AH$2:$AH$1001,MATCH(ROWS($AF$2:AF759),$AF$2:$AF$1001,0),0), INDEX($AM$1004:$BM$1004,1,MATCH(COLUMNS($AM$1006:AX1006),$AM$1006:$BM$1006,0)))),"Fix")))</f>
        <v xml:space="preserve"> </v>
      </c>
      <c r="N759" s="4" t="str">
        <f ca="1">IF(OR(INDEX($AG$2:$AG$1001,MATCH(ROWS($AF$2:AF759),$AF$2:$AF$1001,0),1)&gt;=100000,INDEX($AM$1005:$BM$1005,1,MATCH(COLUMNS($AM$1006:AY1006),$AM$1006:$BM$1006,0))&gt;=100000), " ",IF(INDEX($AM$2:$BM$1001,MATCH(ROWS($AF$2:AF759),$AF$2:$AF$1001,0),MATCH(COLUMNS($AM$1006:AY1006),$AM$1006:$BM$1006,0)), HYPERLINK("#",""), HYPERLINK(CONCATENATE("#metadata!", ADDRESS(INDEX($AH$2:$AH$1001,MATCH(ROWS($AF$2:AF759),$AF$2:$AF$1001,0),0), INDEX($AM$1004:$BM$1004,1,MATCH(COLUMNS($AM$1006:AY1006),$AM$1006:$BM$1006,0)))),"Fix")))</f>
        <v xml:space="preserve"> </v>
      </c>
      <c r="O759" s="4" t="str">
        <f ca="1">IF(OR(INDEX($AG$2:$AG$1001,MATCH(ROWS($AF$2:AF759),$AF$2:$AF$1001,0),1)&gt;=100000,INDEX($AM$1005:$BM$1005,1,MATCH(COLUMNS($AM$1006:AZ1006),$AM$1006:$BM$1006,0))&gt;=100000), " ",IF(INDEX($AM$2:$BM$1001,MATCH(ROWS($AF$2:AF759),$AF$2:$AF$1001,0),MATCH(COLUMNS($AM$1006:AZ1006),$AM$1006:$BM$1006,0)), HYPERLINK("#",""), HYPERLINK(CONCATENATE("#metadata!", ADDRESS(INDEX($AH$2:$AH$1001,MATCH(ROWS($AF$2:AF759),$AF$2:$AF$1001,0),0), INDEX($AM$1004:$BM$1004,1,MATCH(COLUMNS($AM$1006:AZ1006),$AM$1006:$BM$1006,0)))),"Fix")))</f>
        <v xml:space="preserve"> </v>
      </c>
      <c r="P759" s="4" t="str">
        <f ca="1">IF(OR(INDEX($AG$2:$AG$1001,MATCH(ROWS($AF$2:AF759),$AF$2:$AF$1001,0),1)&gt;=100000,INDEX($AM$1005:$BM$1005,1,MATCH(COLUMNS($AM$1006:BA1006),$AM$1006:$BM$1006,0))&gt;=100000), " ",IF(INDEX($AM$2:$BM$1001,MATCH(ROWS($AF$2:AF759),$AF$2:$AF$1001,0),MATCH(COLUMNS($AM$1006:BA1006),$AM$1006:$BM$1006,0)), HYPERLINK("#",""), HYPERLINK(CONCATENATE("#metadata!", ADDRESS(INDEX($AH$2:$AH$1001,MATCH(ROWS($AF$2:AF759),$AF$2:$AF$1001,0),0), INDEX($AM$1004:$BM$1004,1,MATCH(COLUMNS($AM$1006:BA1006),$AM$1006:$BM$1006,0)))),"Fix")))</f>
        <v xml:space="preserve"> </v>
      </c>
      <c r="Q759" s="4" t="str">
        <f ca="1">IF(OR(INDEX($AG$2:$AG$1001,MATCH(ROWS($AF$2:AF759),$AF$2:$AF$1001,0),1)&gt;=100000,INDEX($AM$1005:$BM$1005,1,MATCH(COLUMNS($AM$1006:BB1006),$AM$1006:$BM$1006,0))&gt;=100000), " ",IF(INDEX($AM$2:$BM$1001,MATCH(ROWS($AF$2:AF759),$AF$2:$AF$1001,0),MATCH(COLUMNS($AM$1006:BB1006),$AM$1006:$BM$1006,0)), HYPERLINK("#",""), HYPERLINK(CONCATENATE("#metadata!", ADDRESS(INDEX($AH$2:$AH$1001,MATCH(ROWS($AF$2:AF759),$AF$2:$AF$1001,0),0), INDEX($AM$1004:$BM$1004,1,MATCH(COLUMNS($AM$1006:BB1006),$AM$1006:$BM$1006,0)))),"Fix")))</f>
        <v xml:space="preserve"> </v>
      </c>
      <c r="R759" s="4" t="str">
        <f ca="1">IF(OR(INDEX($AG$2:$AG$1001,MATCH(ROWS($AF$2:AF759),$AF$2:$AF$1001,0),1)&gt;=100000,INDEX($AM$1005:$BM$1005,1,MATCH(COLUMNS($AM$1006:BC1006),$AM$1006:$BM$1006,0))&gt;=100000), " ",IF(INDEX($AM$2:$BM$1001,MATCH(ROWS($AF$2:AF759),$AF$2:$AF$1001,0),MATCH(COLUMNS($AM$1006:BC1006),$AM$1006:$BM$1006,0)), HYPERLINK("#",""), HYPERLINK(CONCATENATE("#metadata!", ADDRESS(INDEX($AH$2:$AH$1001,MATCH(ROWS($AF$2:AF759),$AF$2:$AF$1001,0),0), INDEX($AM$1004:$BM$1004,1,MATCH(COLUMNS($AM$1006:BC1006),$AM$1006:$BM$1006,0)))),"Fix")))</f>
        <v xml:space="preserve"> </v>
      </c>
      <c r="S759" s="4" t="str">
        <f ca="1">IF(OR(INDEX($AG$2:$AG$1001,MATCH(ROWS($AF$2:AF759),$AF$2:$AF$1001,0),1)&gt;=100000,INDEX($AM$1005:$BM$1005,1,MATCH(COLUMNS($AM$1006:BD1006),$AM$1006:$BM$1006,0))&gt;=100000), " ",IF(INDEX($AM$2:$BM$1001,MATCH(ROWS($AF$2:AF759),$AF$2:$AF$1001,0),MATCH(COLUMNS($AM$1006:BD1006),$AM$1006:$BM$1006,0)), HYPERLINK("#",""), HYPERLINK(CONCATENATE("#metadata!", ADDRESS(INDEX($AH$2:$AH$1001,MATCH(ROWS($AF$2:AF759),$AF$2:$AF$1001,0),0), INDEX($AM$1004:$BM$1004,1,MATCH(COLUMNS($AM$1006:BD1006),$AM$1006:$BM$1006,0)))),"Fix")))</f>
        <v xml:space="preserve"> </v>
      </c>
      <c r="T759" s="4" t="str">
        <f ca="1">IF(OR(INDEX($AG$2:$AG$1001,MATCH(ROWS($AF$2:AF759),$AF$2:$AF$1001,0),1)&gt;=100000,INDEX($AM$1005:$BM$1005,1,MATCH(COLUMNS($AM$1006:BE1006),$AM$1006:$BM$1006,0))&gt;=100000), " ",IF(INDEX($AM$2:$BM$1001,MATCH(ROWS($AF$2:AF759),$AF$2:$AF$1001,0),MATCH(COLUMNS($AM$1006:BE1006),$AM$1006:$BM$1006,0)), HYPERLINK("#",""), HYPERLINK(CONCATENATE("#metadata!", ADDRESS(INDEX($AH$2:$AH$1001,MATCH(ROWS($AF$2:AF759),$AF$2:$AF$1001,0),0), INDEX($AM$1004:$BM$1004,1,MATCH(COLUMNS($AM$1006:BE1006),$AM$1006:$BM$1006,0)))),"Fix")))</f>
        <v xml:space="preserve"> </v>
      </c>
      <c r="U759" s="4" t="str">
        <f ca="1">IF(OR(INDEX($AG$2:$AG$1001,MATCH(ROWS($AF$2:AF759),$AF$2:$AF$1001,0),1)&gt;=100000,INDEX($AM$1005:$BM$1005,1,MATCH(COLUMNS($AM$1006:BF1006),$AM$1006:$BM$1006,0))&gt;=100000), " ",IF(INDEX($AM$2:$BM$1001,MATCH(ROWS($AF$2:AF759),$AF$2:$AF$1001,0),MATCH(COLUMNS($AM$1006:BF1006),$AM$1006:$BM$1006,0)), HYPERLINK("#",""), HYPERLINK(CONCATENATE("#metadata!", ADDRESS(INDEX($AH$2:$AH$1001,MATCH(ROWS($AF$2:AF759),$AF$2:$AF$1001,0),0), INDEX($AM$1004:$BM$1004,1,MATCH(COLUMNS($AM$1006:BF1006),$AM$1006:$BM$1006,0)))),"Fix")))</f>
        <v xml:space="preserve"> </v>
      </c>
      <c r="V759" s="4" t="str">
        <f ca="1">IF(OR(INDEX($AG$2:$AG$1001,MATCH(ROWS($AF$2:AF759),$AF$2:$AF$1001,0),1)&gt;=100000,INDEX($AM$1005:$BM$1005,1,MATCH(COLUMNS($AM$1006:BG1006),$AM$1006:$BM$1006,0))&gt;=100000), " ",IF(INDEX($AM$2:$BM$1001,MATCH(ROWS($AF$2:AF759),$AF$2:$AF$1001,0),MATCH(COLUMNS($AM$1006:BG1006),$AM$1006:$BM$1006,0)), HYPERLINK("#",""), HYPERLINK(CONCATENATE("#metadata!", ADDRESS(INDEX($AH$2:$AH$1001,MATCH(ROWS($AF$2:AF759),$AF$2:$AF$1001,0),0), INDEX($AM$1004:$BM$1004,1,MATCH(COLUMNS($AM$1006:BG1006),$AM$1006:$BM$1006,0)))),"Fix")))</f>
        <v xml:space="preserve"> </v>
      </c>
      <c r="W759" s="4" t="str">
        <f ca="1">IF(OR(INDEX($AG$2:$AG$1001,MATCH(ROWS($AF$2:AF759),$AF$2:$AF$1001,0),1)&gt;=100000,INDEX($AM$1005:$BM$1005,1,MATCH(COLUMNS($AM$1006:BH1006),$AM$1006:$BM$1006,0))&gt;=100000), " ",IF(INDEX($AM$2:$BM$1001,MATCH(ROWS($AF$2:AF759),$AF$2:$AF$1001,0),MATCH(COLUMNS($AM$1006:BH1006),$AM$1006:$BM$1006,0)), HYPERLINK("#",""), HYPERLINK(CONCATENATE("#metadata!", ADDRESS(INDEX($AH$2:$AH$1001,MATCH(ROWS($AF$2:AF759),$AF$2:$AF$1001,0),0), INDEX($AM$1004:$BM$1004,1,MATCH(COLUMNS($AM$1006:BH1006),$AM$1006:$BM$1006,0)))),"Fix")))</f>
        <v xml:space="preserve"> </v>
      </c>
      <c r="X759" s="4" t="str">
        <f ca="1">IF(OR(INDEX($AG$2:$AG$1001,MATCH(ROWS($AF$2:AF759),$AF$2:$AF$1001,0),1)&gt;=100000,INDEX($AM$1005:$BM$1005,1,MATCH(COLUMNS($AM$1006:BI1006),$AM$1006:$BM$1006,0))&gt;=100000), " ",IF(INDEX($AM$2:$BM$1001,MATCH(ROWS($AF$2:AF759),$AF$2:$AF$1001,0),MATCH(COLUMNS($AM$1006:BI1006),$AM$1006:$BM$1006,0)), HYPERLINK("#",""), HYPERLINK(CONCATENATE("#metadata!", ADDRESS(INDEX($AH$2:$AH$1001,MATCH(ROWS($AF$2:AF759),$AF$2:$AF$1001,0),0), INDEX($AM$1004:$BM$1004,1,MATCH(COLUMNS($AM$1006:BI1006),$AM$1006:$BM$1006,0)))),"Fix")))</f>
        <v xml:space="preserve"> </v>
      </c>
      <c r="Y759" s="4" t="str">
        <f ca="1">IF(OR(INDEX($AG$2:$AG$1001,MATCH(ROWS($AF$2:AF759),$AF$2:$AF$1001,0),1)&gt;=100000,INDEX($AM$1005:$BM$1005,1,MATCH(COLUMNS($AM$1006:BJ1006),$AM$1006:$BM$1006,0))&gt;=100000), " ",IF(INDEX($AM$2:$BM$1001,MATCH(ROWS($AF$2:AF759),$AF$2:$AF$1001,0),MATCH(COLUMNS($AM$1006:BJ1006),$AM$1006:$BM$1006,0)), HYPERLINK("#",""), HYPERLINK(CONCATENATE("#metadata!", ADDRESS(INDEX($AH$2:$AH$1001,MATCH(ROWS($AF$2:AF759),$AF$2:$AF$1001,0),0), INDEX($AM$1004:$BM$1004,1,MATCH(COLUMNS($AM$1006:BJ1006),$AM$1006:$BM$1006,0)))),"Fix")))</f>
        <v xml:space="preserve"> </v>
      </c>
      <c r="Z759" s="4" t="str">
        <f ca="1">IF(OR(INDEX($AG$2:$AG$1001,MATCH(ROWS($AF$2:AF759),$AF$2:$AF$1001,0),1)&gt;=100000,INDEX($AM$1005:$BM$1005,1,MATCH(COLUMNS($AM$1006:BK1006),$AM$1006:$BM$1006,0))&gt;=100000), " ",IF(INDEX($AM$2:$BM$1001,MATCH(ROWS($AF$2:AF759),$AF$2:$AF$1001,0),MATCH(COLUMNS($AM$1006:BK1006),$AM$1006:$BM$1006,0)), HYPERLINK("#",""), HYPERLINK(CONCATENATE("#metadata!", ADDRESS(INDEX($AH$2:$AH$1001,MATCH(ROWS($AF$2:AF759),$AF$2:$AF$1001,0),0), INDEX($AM$1004:$BM$1004,1,MATCH(COLUMNS($AM$1006:BK1006),$AM$1006:$BM$1006,0)))),"Fix")))</f>
        <v xml:space="preserve"> </v>
      </c>
      <c r="AA759" s="4" t="str">
        <f ca="1">IF(OR(INDEX($AG$2:$AG$1001,MATCH(ROWS($AF$2:AF759),$AF$2:$AF$1001,0),1)&gt;=100000,INDEX($AM$1005:$BM$1005,1,MATCH(COLUMNS($AM$1006:BL1006),$AM$1006:$BM$1006,0))&gt;=100000), " ",IF(INDEX($AM$2:$BM$1001,MATCH(ROWS($AF$2:AF759),$AF$2:$AF$1001,0),MATCH(COLUMNS($AM$1006:BL1006),$AM$1006:$BM$1006,0)), HYPERLINK("#",""), HYPERLINK(CONCATENATE("#metadata!", ADDRESS(INDEX($AH$2:$AH$1001,MATCH(ROWS($AF$2:AF759),$AF$2:$AF$1001,0),0), INDEX($AM$1004:$BM$1004,1,MATCH(COLUMNS($AM$1006:BL1006),$AM$1006:$BM$1006,0)))),"Fix")))</f>
        <v xml:space="preserve"> </v>
      </c>
      <c r="AB759" s="4" t="str">
        <f ca="1">IF(OR(INDEX($AG$2:$AG$1001,MATCH(ROWS($AF$2:AF759),$AF$2:$AF$1001,0),1)&gt;=100000,INDEX($AM$1005:$BM$1005,1,MATCH(COLUMNS($AM$1006:BM1006),$AM$1006:$BM$1006,0))&gt;=100000), " ",IF(INDEX($AM$2:$BM$1001,MATCH(ROWS($AF$2:AF759),$AF$2:$AF$1001,0),MATCH(COLUMNS($AM$1006:BM1006),$AM$1006:$BM$1006,0)), HYPERLINK("#",""), HYPERLINK(CONCATENATE("#metadata!", ADDRESS(INDEX($AH$2:$AH$1001,MATCH(ROWS($AF$2:AF759),$AF$2:$AF$1001,0),0), INDEX($AM$1004:$BM$1004,1,MATCH(COLUMNS($AM$1006:BM1006),$AM$1006:$BM$1006,0)))),"Fix")))</f>
        <v xml:space="preserve"> </v>
      </c>
      <c r="AF759">
        <v>758</v>
      </c>
      <c r="AG759">
        <v>100759</v>
      </c>
      <c r="AH759">
        <v>759</v>
      </c>
      <c r="AI759" t="b">
        <f t="shared" si="11"/>
        <v>1</v>
      </c>
      <c r="AJ759" t="b">
        <f>COUNTBLANK(metadata!B759:AB759)=COLUMNS(metadata!B759:AB759)</f>
        <v>1</v>
      </c>
      <c r="AK759" t="str">
        <v/>
      </c>
      <c r="AM759" t="b">
        <f ca="1">AND(IF(metadata!B759="",FALSE,TRUE),COUNTIF(metadata!B:B, metadata!B759) = 1,NOT(ISERROR(SUMPRODUCT(SEARCH(MID(metadata!B759,ROW(INDIRECT("1:"&amp;LEN(metadata!B759))), 1),"0123456789abcdefghijklmnopqrstuvwxyzABCDEFGHIJKLMNOPQRSTUVWXYZ.")))))</f>
        <v>0</v>
      </c>
      <c r="AN759" t="b">
        <f ca="1">OR(AND(IF(metadata!C759="",FALSE,TRUE),OR(EXACT(metadata!C759,"missing: not collected"),EXACT(metadata!C759,"missing: not provided"),EXACT(metadata!C759,"missing: restricted access"))),AND(IF(metadata!C759="",FALSE,TRUE),AND(AND(IFERROR(INT(LEFT(metadata!C759,4))&gt;1900,FALSE),IFERROR(INT(LEFT(metadata!C759,4))&lt;=YEAR(NOW()),FALSE)), OR(MID(metadata!C759,5,1)="", AND(AND(MID(metadata!C759,5,1)="-",IFERROR(INT(MID(metadata!C759,6,1))&gt;=0,FALSE),IFERROR(INT(MID(metadata!C759,6,1))&lt;=1,FALSE),NOT(MID(metadata!C759,7,1)=""),IFERROR(INT(MID(metadata!C759,6,2))&gt;=1,FALSE),IFERROR(INT(MID(metadata!C759,6,2))&lt;=12,FALSE)), OR(MID(metadata!C759,8,1)="", AND(AND(MID(metadata!C759,8,1)="-",IFERROR(INT(MID(metadata!C759,9,1))&gt;=0,FALSE),IFERROR(INT(MID(metadata!C759,9,1))&lt;=3,FALSE),NOT(MID(metadata!C759,10,1)=""),IFERROR(INT(MID(metadata!C759,9,2))&gt;=1,FALSE),IFERROR(INT(MID(metadata!C759,9,2))&lt;=31,FALSE)), OR(MID(metadata!C759,11,1)="", AND(AND(MID(metadata!C759,11,1)=" ",IFERROR(INT(MID(metadata!C759,12,1))&gt;=0,FALSE),IFERROR(INT(MID(metadata!C759,12,1))&lt;=2,FALSE),NOT(MID(metadata!C759,13,1)=""),IFERROR(INT(MID(metadata!C759,12,2))&gt;=0,FALSE),IFERROR(INT(MID(metadata!C759,12,2))&lt;=23,FALSE)), OR(MID(metadata!C759,14,1)="", AND(AND(MID(metadata!C759,14,1)=":",IFERROR(INT(MID(metadata!C759,15,1))&gt;=0,FALSE),IFERROR(INT(MID(metadata!C759,15,1))&lt;=5,FALSE),NOT(MID(metadata!C759,16,1)=""),IFERROR(INT(MID(metadata!C759,15,2))&gt;=0,FALSE),IFERROR(INT(MID(metadata!C759,15,2))&lt;=59,FALSE)), OR(MID(metadata!C759,17,1)="", AND(AND(MID(metadata!C759,17,1)=":",IFERROR(INT(MID(metadata!C759,18,1))&gt;=0,FALSE),IFERROR(INT(MID(metadata!C759,18,1))&lt;=5,FALSE),NOT(MID(metadata!C759,19,1)=""),IFERROR(INT(MID(metadata!C759,18,2))&gt;=0,FALSE),IFERROR(INT(MID(metadata!C759,18,2))&lt;=59,FALSE)), LEN(metadata!C759)&lt;=19)))))))))))))</f>
        <v>0</v>
      </c>
      <c r="AO759" t="b">
        <f>AND(IF(metadata!D759="",FALSE,TRUE),EXACT(metadata!D759,"Not applicable"))</f>
        <v>0</v>
      </c>
      <c r="AP759" t="b">
        <f>IF(metadata!E759="",FALSE,TRUE)</f>
        <v>0</v>
      </c>
      <c r="AQ759" t="b">
        <f>OR(AND(IF(metadata!F759="",FALSE,TRUE),OR(EXACT(metadata!F759,"missing: not collected"),EXACT(metadata!F759,"missing: not provided"))),AND(IF(metadata!F759="",FALSE,TRUE),OR(EXACT(metadata!F759,"TRUE"),EXACT(metadata!F759,"FALSE"))))</f>
        <v>0</v>
      </c>
      <c r="AR759" t="b">
        <f>OR(AND(IF(metadata!G759="",FALSE,TRUE),OR(EXACT(metadata!G759,"missing: not collected"),EXACT(metadata!G759,"missing: not provided"),EXACT(metadata!G759,"missing: restricted access"))),AND(IF(metadata!G759="",FALSE,ISNUMBER(VALUE(metadata!G759))),metadata!G759&gt;=-413))</f>
        <v>0</v>
      </c>
      <c r="AS759" t="b">
        <f>AND(IF(metadata!H759="",FALSE,TRUE),EXACT(metadata!H759,"meters"))</f>
        <v>0</v>
      </c>
      <c r="AT759" t="b">
        <f>AND(IF(metadata!I759="",FALSE,TRUE),OR(EXACT(metadata!I759,"Host-associated"),EXACT(metadata!I759,"Free-living")))</f>
        <v>0</v>
      </c>
      <c r="AU759" t="b">
        <f>AND(IF(metadata!J759="",FALSE,TRUE),OR(EXACT(metadata!J759,"Animal"),EXACT(metadata!J759,"Fungus"),EXACT(metadata!J759,"Plant"),EXACT(metadata!J759,"Saline"),EXACT(metadata!J759,"Non-saline")))</f>
        <v>0</v>
      </c>
      <c r="AV759" t="b">
        <f>AND(IF(metadata!K759="",FALSE,TRUE),OR(EXACT(metadata!K759,"Plant secretion"),EXACT(metadata!K759,"Plant rhizosphere"),EXACT(metadata!K759,"Plant surface"),EXACT(metadata!K759,"Plant corpus"),EXACT(metadata!K759,"Fungus surface"),EXACT(metadata!K759,"Fungus corpus"),EXACT(metadata!K759,"Animal surface"),EXACT(metadata!K759,"Animal proximal gut"),EXACT(metadata!K759,"Animal corpus"),EXACT(metadata!K759,"Animal distal gut"),EXACT(metadata!K759,"Animal secretion"),EXACT(metadata!K759,"Sub-surface (non-saline)"),EXACT(metadata!K759,"Surface (non-saline)"),EXACT(metadata!K759,"Water (non-saline)"),EXACT(metadata!K759,"Soil (non-saline)"),EXACT(metadata!K759,"Aerosol (non-saline)"),EXACT(metadata!K759,"Sediment (non-saline)"),EXACT(metadata!K759,"Surface (saline)"),EXACT(metadata!K759,"Water (saline)"),EXACT(metadata!K759,"Hypersaline (saline)"),EXACT(metadata!K759,"Aerosol (saline)"),EXACT(metadata!K759,"Sediment (saline)")))</f>
        <v>0</v>
      </c>
      <c r="AW759" t="b">
        <f>IF(metadata!L759="",FALSE,TRUE)</f>
        <v>0</v>
      </c>
      <c r="AX759" t="b">
        <f>IF(metadata!M759="",FALSE,TRUE)</f>
        <v>0</v>
      </c>
      <c r="AY759" t="b">
        <f>IF(metadata!N759="",FALSE,TRUE)</f>
        <v>0</v>
      </c>
      <c r="AZ759" t="b">
        <f>OR(AND(IF(metadata!O759="",FALSE,TRUE),OR(EXACT(metadata!O759,"missing: not collected"),EXACT(metadata!O759,"missing: not provided"),EXACT(metadata!O759,"missing: restricted access"))),AND(IF(metadata!O759="",FALSE,TRUE),OR(EXACT(metadata!O759,"air"),EXACT(metadata!O759,"built environment"),EXACT(metadata!O759,"host-associated"),EXACT(metadata!O759,"human-associated"),EXACT(metadata!O759,"human-skin"),EXACT(metadata!O759,"human-oral"),EXACT(metadata!O759,"human-gut"),EXACT(metadata!O759,"human-vaginal"),EXACT(metadata!O759,"microbial mat/biofilm"),EXACT(metadata!O759,"misc environment"),EXACT(metadata!O759,"plant-associated"),EXACT(metadata!O759,"sediment"),EXACT(metadata!O759,"soil"),EXACT(metadata!O759,"wastewater/sludge"),EXACT(metadata!O759,"water"))))</f>
        <v>0</v>
      </c>
      <c r="BA759" t="b">
        <f>IF(metadata!P759="",FALSE,TRUE)</f>
        <v>0</v>
      </c>
      <c r="BB759" t="b">
        <f>IF(metadata!Q759="",FALSE,TRUE)</f>
        <v>0</v>
      </c>
      <c r="BC759" t="b">
        <f>OR(AND(IF(metadata!R759="",FALSE,TRUE),OR(EXACT(metadata!R759,"missing: not collected"),EXACT(metadata!R759,"missing: not provided"),EXACT(metadata!R759,"missing: restricted access"))),AND(IF(metadata!R759="",FALSE,ISNUMBER(VALUE(metadata!R759))),metadata!R759&gt;=-90,metadata!R759&lt;=90))</f>
        <v>0</v>
      </c>
      <c r="BD759" t="b">
        <f>AND(IF(metadata!S759="",FALSE,TRUE),EXACT(metadata!S759,"Decimal degrees"))</f>
        <v>0</v>
      </c>
      <c r="BE759" t="b">
        <f>OR(AND(IF(metadata!T759="",FALSE,TRUE),OR(EXACT(metadata!T759,"missing: not collected"),EXACT(metadata!T759,"missing: not provided"),EXACT(metadata!T759,"missing: restricted access"))),AND(IF(metadata!T759="",FALSE,ISNUMBER(VALUE(metadata!T759))),metadata!T759&gt;=-180,metadata!T759&lt;=180))</f>
        <v>0</v>
      </c>
      <c r="BF759" t="b">
        <f>AND(IF(metadata!U759="",FALSE,TRUE),EXACT(metadata!U759,"Decimal degrees"))</f>
        <v>0</v>
      </c>
      <c r="BG759" t="b">
        <f>IF(metadata!V759="",FALSE,TRUE)</f>
        <v>0</v>
      </c>
      <c r="BH759" t="b">
        <f>OR(AND(IF(metadata!W759="",FALSE,TRUE),OR(EXACT(metadata!W759,"missing: not collected"),EXACT(metadata!W759,"missing: not provided"),EXACT(metadata!W759,"missing: restricted access"))),AND(IF(metadata!W759="",FALSE,TRUE),OR(EXACT(metadata!W759,"TRUE"),EXACT(metadata!W759,"FALSE"))))</f>
        <v>0</v>
      </c>
      <c r="BI759" t="b">
        <f>AND(IF(metadata!X759="",FALSE,TRUE),EXACT(metadata!X759,"other"))</f>
        <v>0</v>
      </c>
      <c r="BJ759" t="b">
        <f>IF(metadata!Y759="",FALSE,TRUE)</f>
        <v>0</v>
      </c>
      <c r="BK759" t="b">
        <f>OR(AND(IF(metadata!Z759="",FALSE,TRUE),OR(EXACT(metadata!Z759,"missing: not collected"),EXACT(metadata!Z759,"missing: not provided"))),AND(IF(metadata!Z759="",FALSE,IF(ISERROR(INT(metadata!Z759)),FALSE,INT(metadata!Z759)=metadata!Z759)),metadata!Z759&gt;0))</f>
        <v>0</v>
      </c>
      <c r="BL759" t="b">
        <f>AND(IF(metadata!AA759="",FALSE,TRUE),EXACT(metadata!AA759,"Not applicable"))</f>
        <v>0</v>
      </c>
      <c r="BM759" t="b">
        <f>IF(metadata!AB759="",FALSE,TRUE)</f>
        <v>0</v>
      </c>
    </row>
    <row r="760" spans="1:65" x14ac:dyDescent="0.2">
      <c r="A760" s="5" t="str">
        <f ca="1">IF(B760=" "," ",HYPERLINK(CONCATENATE("#metadata!",ADDRESS(INDEX($AH$2:$AH$1001,MATCH(ROWS($AF$2:AF760),$AF$2:$AF$1001,0),0),1)),INDEX($AK$2:$AK$1001,MATCH(ROWS($AF$2:AF760),$AF$2:$AF$1001,0),0)))</f>
        <v xml:space="preserve"> </v>
      </c>
      <c r="B760" s="4" t="str">
        <f ca="1">IF(OR(INDEX($AG$2:$AG$1001,MATCH(ROWS($AF$2:AF760),$AF$2:$AF$1001,0),1)&gt;=100000,INDEX($AM$1005:$BM$1005,1,MATCH(COLUMNS($AM$1006:AM1006),$AM$1006:$BM$1006,0))&gt;=100000), " ",IF(INDEX($AM$2:$BM$1001,MATCH(ROWS($AF$2:AF760),$AF$2:$AF$1001,0),MATCH(COLUMNS($AM$1006:AM1006),$AM$1006:$BM$1006,0)), HYPERLINK("#",""), HYPERLINK(CONCATENATE("#metadata!", ADDRESS(INDEX($AH$2:$AH$1001,MATCH(ROWS($AF$2:AF760),$AF$2:$AF$1001,0),0), INDEX($AM$1004:$BM$1004,1,MATCH(COLUMNS($AM$1006:AM1006),$AM$1006:$BM$1006,0)))),"Fix")))</f>
        <v xml:space="preserve"> </v>
      </c>
      <c r="C760" s="4" t="str">
        <f ca="1">IF(OR(INDEX($AG$2:$AG$1001,MATCH(ROWS($AF$2:AF760),$AF$2:$AF$1001,0),1)&gt;=100000,INDEX($AM$1005:$BM$1005,1,MATCH(COLUMNS($AM$1006:AN1006),$AM$1006:$BM$1006,0))&gt;=100000), " ",IF(INDEX($AM$2:$BM$1001,MATCH(ROWS($AF$2:AF760),$AF$2:$AF$1001,0),MATCH(COLUMNS($AM$1006:AN1006),$AM$1006:$BM$1006,0)), HYPERLINK("#",""), HYPERLINK(CONCATENATE("#metadata!", ADDRESS(INDEX($AH$2:$AH$1001,MATCH(ROWS($AF$2:AF760),$AF$2:$AF$1001,0),0), INDEX($AM$1004:$BM$1004,1,MATCH(COLUMNS($AM$1006:AN1006),$AM$1006:$BM$1006,0)))),"Fix")))</f>
        <v xml:space="preserve"> </v>
      </c>
      <c r="D760" s="4" t="str">
        <f ca="1">IF(OR(INDEX($AG$2:$AG$1001,MATCH(ROWS($AF$2:AF760),$AF$2:$AF$1001,0),1)&gt;=100000,INDEX($AM$1005:$BM$1005,1,MATCH(COLUMNS($AM$1006:AO1006),$AM$1006:$BM$1006,0))&gt;=100000), " ",IF(INDEX($AM$2:$BM$1001,MATCH(ROWS($AF$2:AF760),$AF$2:$AF$1001,0),MATCH(COLUMNS($AM$1006:AO1006),$AM$1006:$BM$1006,0)), HYPERLINK("#",""), HYPERLINK(CONCATENATE("#metadata!", ADDRESS(INDEX($AH$2:$AH$1001,MATCH(ROWS($AF$2:AF760),$AF$2:$AF$1001,0),0), INDEX($AM$1004:$BM$1004,1,MATCH(COLUMNS($AM$1006:AO1006),$AM$1006:$BM$1006,0)))),"Fix")))</f>
        <v xml:space="preserve"> </v>
      </c>
      <c r="E760" s="4" t="str">
        <f ca="1">IF(OR(INDEX($AG$2:$AG$1001,MATCH(ROWS($AF$2:AF760),$AF$2:$AF$1001,0),1)&gt;=100000,INDEX($AM$1005:$BM$1005,1,MATCH(COLUMNS($AM$1006:AP1006),$AM$1006:$BM$1006,0))&gt;=100000), " ",IF(INDEX($AM$2:$BM$1001,MATCH(ROWS($AF$2:AF760),$AF$2:$AF$1001,0),MATCH(COLUMNS($AM$1006:AP1006),$AM$1006:$BM$1006,0)), HYPERLINK("#",""), HYPERLINK(CONCATENATE("#metadata!", ADDRESS(INDEX($AH$2:$AH$1001,MATCH(ROWS($AF$2:AF760),$AF$2:$AF$1001,0),0), INDEX($AM$1004:$BM$1004,1,MATCH(COLUMNS($AM$1006:AP1006),$AM$1006:$BM$1006,0)))),"Fix")))</f>
        <v xml:space="preserve"> </v>
      </c>
      <c r="F760" s="4" t="str">
        <f ca="1">IF(OR(INDEX($AG$2:$AG$1001,MATCH(ROWS($AF$2:AF760),$AF$2:$AF$1001,0),1)&gt;=100000,INDEX($AM$1005:$BM$1005,1,MATCH(COLUMNS($AM$1006:AQ1006),$AM$1006:$BM$1006,0))&gt;=100000), " ",IF(INDEX($AM$2:$BM$1001,MATCH(ROWS($AF$2:AF760),$AF$2:$AF$1001,0),MATCH(COLUMNS($AM$1006:AQ1006),$AM$1006:$BM$1006,0)), HYPERLINK("#",""), HYPERLINK(CONCATENATE("#metadata!", ADDRESS(INDEX($AH$2:$AH$1001,MATCH(ROWS($AF$2:AF760),$AF$2:$AF$1001,0),0), INDEX($AM$1004:$BM$1004,1,MATCH(COLUMNS($AM$1006:AQ1006),$AM$1006:$BM$1006,0)))),"Fix")))</f>
        <v xml:space="preserve"> </v>
      </c>
      <c r="G760" s="4" t="str">
        <f ca="1">IF(OR(INDEX($AG$2:$AG$1001,MATCH(ROWS($AF$2:AF760),$AF$2:$AF$1001,0),1)&gt;=100000,INDEX($AM$1005:$BM$1005,1,MATCH(COLUMNS($AM$1006:AR1006),$AM$1006:$BM$1006,0))&gt;=100000), " ",IF(INDEX($AM$2:$BM$1001,MATCH(ROWS($AF$2:AF760),$AF$2:$AF$1001,0),MATCH(COLUMNS($AM$1006:AR1006),$AM$1006:$BM$1006,0)), HYPERLINK("#",""), HYPERLINK(CONCATENATE("#metadata!", ADDRESS(INDEX($AH$2:$AH$1001,MATCH(ROWS($AF$2:AF760),$AF$2:$AF$1001,0),0), INDEX($AM$1004:$BM$1004,1,MATCH(COLUMNS($AM$1006:AR1006),$AM$1006:$BM$1006,0)))),"Fix")))</f>
        <v xml:space="preserve"> </v>
      </c>
      <c r="H760" s="4" t="str">
        <f ca="1">IF(OR(INDEX($AG$2:$AG$1001,MATCH(ROWS($AF$2:AF760),$AF$2:$AF$1001,0),1)&gt;=100000,INDEX($AM$1005:$BM$1005,1,MATCH(COLUMNS($AM$1006:AS1006),$AM$1006:$BM$1006,0))&gt;=100000), " ",IF(INDEX($AM$2:$BM$1001,MATCH(ROWS($AF$2:AF760),$AF$2:$AF$1001,0),MATCH(COLUMNS($AM$1006:AS1006),$AM$1006:$BM$1006,0)), HYPERLINK("#",""), HYPERLINK(CONCATENATE("#metadata!", ADDRESS(INDEX($AH$2:$AH$1001,MATCH(ROWS($AF$2:AF760),$AF$2:$AF$1001,0),0), INDEX($AM$1004:$BM$1004,1,MATCH(COLUMNS($AM$1006:AS1006),$AM$1006:$BM$1006,0)))),"Fix")))</f>
        <v xml:space="preserve"> </v>
      </c>
      <c r="I760" s="4" t="str">
        <f ca="1">IF(OR(INDEX($AG$2:$AG$1001,MATCH(ROWS($AF$2:AF760),$AF$2:$AF$1001,0),1)&gt;=100000,INDEX($AM$1005:$BM$1005,1,MATCH(COLUMNS($AM$1006:AT1006),$AM$1006:$BM$1006,0))&gt;=100000), " ",IF(INDEX($AM$2:$BM$1001,MATCH(ROWS($AF$2:AF760),$AF$2:$AF$1001,0),MATCH(COLUMNS($AM$1006:AT1006),$AM$1006:$BM$1006,0)), HYPERLINK("#",""), HYPERLINK(CONCATENATE("#metadata!", ADDRESS(INDEX($AH$2:$AH$1001,MATCH(ROWS($AF$2:AF760),$AF$2:$AF$1001,0),0), INDEX($AM$1004:$BM$1004,1,MATCH(COLUMNS($AM$1006:AT1006),$AM$1006:$BM$1006,0)))),"Fix")))</f>
        <v xml:space="preserve"> </v>
      </c>
      <c r="J760" s="4" t="str">
        <f ca="1">IF(OR(INDEX($AG$2:$AG$1001,MATCH(ROWS($AF$2:AF760),$AF$2:$AF$1001,0),1)&gt;=100000,INDEX($AM$1005:$BM$1005,1,MATCH(COLUMNS($AM$1006:AU1006),$AM$1006:$BM$1006,0))&gt;=100000), " ",IF(INDEX($AM$2:$BM$1001,MATCH(ROWS($AF$2:AF760),$AF$2:$AF$1001,0),MATCH(COLUMNS($AM$1006:AU1006),$AM$1006:$BM$1006,0)), HYPERLINK("#",""), HYPERLINK(CONCATENATE("#metadata!", ADDRESS(INDEX($AH$2:$AH$1001,MATCH(ROWS($AF$2:AF760),$AF$2:$AF$1001,0),0), INDEX($AM$1004:$BM$1004,1,MATCH(COLUMNS($AM$1006:AU1006),$AM$1006:$BM$1006,0)))),"Fix")))</f>
        <v xml:space="preserve"> </v>
      </c>
      <c r="K760" s="4" t="str">
        <f ca="1">IF(OR(INDEX($AG$2:$AG$1001,MATCH(ROWS($AF$2:AF760),$AF$2:$AF$1001,0),1)&gt;=100000,INDEX($AM$1005:$BM$1005,1,MATCH(COLUMNS($AM$1006:AV1006),$AM$1006:$BM$1006,0))&gt;=100000), " ",IF(INDEX($AM$2:$BM$1001,MATCH(ROWS($AF$2:AF760),$AF$2:$AF$1001,0),MATCH(COLUMNS($AM$1006:AV1006),$AM$1006:$BM$1006,0)), HYPERLINK("#",""), HYPERLINK(CONCATENATE("#metadata!", ADDRESS(INDEX($AH$2:$AH$1001,MATCH(ROWS($AF$2:AF760),$AF$2:$AF$1001,0),0), INDEX($AM$1004:$BM$1004,1,MATCH(COLUMNS($AM$1006:AV1006),$AM$1006:$BM$1006,0)))),"Fix")))</f>
        <v xml:space="preserve"> </v>
      </c>
      <c r="L760" s="4" t="str">
        <f ca="1">IF(OR(INDEX($AG$2:$AG$1001,MATCH(ROWS($AF$2:AF760),$AF$2:$AF$1001,0),1)&gt;=100000,INDEX($AM$1005:$BM$1005,1,MATCH(COLUMNS($AM$1006:AW1006),$AM$1006:$BM$1006,0))&gt;=100000), " ",IF(INDEX($AM$2:$BM$1001,MATCH(ROWS($AF$2:AF760),$AF$2:$AF$1001,0),MATCH(COLUMNS($AM$1006:AW1006),$AM$1006:$BM$1006,0)), HYPERLINK("#",""), HYPERLINK(CONCATENATE("#metadata!", ADDRESS(INDEX($AH$2:$AH$1001,MATCH(ROWS($AF$2:AF760),$AF$2:$AF$1001,0),0), INDEX($AM$1004:$BM$1004,1,MATCH(COLUMNS($AM$1006:AW1006),$AM$1006:$BM$1006,0)))),"Fix")))</f>
        <v xml:space="preserve"> </v>
      </c>
      <c r="M760" s="4" t="str">
        <f ca="1">IF(OR(INDEX($AG$2:$AG$1001,MATCH(ROWS($AF$2:AF760),$AF$2:$AF$1001,0),1)&gt;=100000,INDEX($AM$1005:$BM$1005,1,MATCH(COLUMNS($AM$1006:AX1006),$AM$1006:$BM$1006,0))&gt;=100000), " ",IF(INDEX($AM$2:$BM$1001,MATCH(ROWS($AF$2:AF760),$AF$2:$AF$1001,0),MATCH(COLUMNS($AM$1006:AX1006),$AM$1006:$BM$1006,0)), HYPERLINK("#",""), HYPERLINK(CONCATENATE("#metadata!", ADDRESS(INDEX($AH$2:$AH$1001,MATCH(ROWS($AF$2:AF760),$AF$2:$AF$1001,0),0), INDEX($AM$1004:$BM$1004,1,MATCH(COLUMNS($AM$1006:AX1006),$AM$1006:$BM$1006,0)))),"Fix")))</f>
        <v xml:space="preserve"> </v>
      </c>
      <c r="N760" s="4" t="str">
        <f ca="1">IF(OR(INDEX($AG$2:$AG$1001,MATCH(ROWS($AF$2:AF760),$AF$2:$AF$1001,0),1)&gt;=100000,INDEX($AM$1005:$BM$1005,1,MATCH(COLUMNS($AM$1006:AY1006),$AM$1006:$BM$1006,0))&gt;=100000), " ",IF(INDEX($AM$2:$BM$1001,MATCH(ROWS($AF$2:AF760),$AF$2:$AF$1001,0),MATCH(COLUMNS($AM$1006:AY1006),$AM$1006:$BM$1006,0)), HYPERLINK("#",""), HYPERLINK(CONCATENATE("#metadata!", ADDRESS(INDEX($AH$2:$AH$1001,MATCH(ROWS($AF$2:AF760),$AF$2:$AF$1001,0),0), INDEX($AM$1004:$BM$1004,1,MATCH(COLUMNS($AM$1006:AY1006),$AM$1006:$BM$1006,0)))),"Fix")))</f>
        <v xml:space="preserve"> </v>
      </c>
      <c r="O760" s="4" t="str">
        <f ca="1">IF(OR(INDEX($AG$2:$AG$1001,MATCH(ROWS($AF$2:AF760),$AF$2:$AF$1001,0),1)&gt;=100000,INDEX($AM$1005:$BM$1005,1,MATCH(COLUMNS($AM$1006:AZ1006),$AM$1006:$BM$1006,0))&gt;=100000), " ",IF(INDEX($AM$2:$BM$1001,MATCH(ROWS($AF$2:AF760),$AF$2:$AF$1001,0),MATCH(COLUMNS($AM$1006:AZ1006),$AM$1006:$BM$1006,0)), HYPERLINK("#",""), HYPERLINK(CONCATENATE("#metadata!", ADDRESS(INDEX($AH$2:$AH$1001,MATCH(ROWS($AF$2:AF760),$AF$2:$AF$1001,0),0), INDEX($AM$1004:$BM$1004,1,MATCH(COLUMNS($AM$1006:AZ1006),$AM$1006:$BM$1006,0)))),"Fix")))</f>
        <v xml:space="preserve"> </v>
      </c>
      <c r="P760" s="4" t="str">
        <f ca="1">IF(OR(INDEX($AG$2:$AG$1001,MATCH(ROWS($AF$2:AF760),$AF$2:$AF$1001,0),1)&gt;=100000,INDEX($AM$1005:$BM$1005,1,MATCH(COLUMNS($AM$1006:BA1006),$AM$1006:$BM$1006,0))&gt;=100000), " ",IF(INDEX($AM$2:$BM$1001,MATCH(ROWS($AF$2:AF760),$AF$2:$AF$1001,0),MATCH(COLUMNS($AM$1006:BA1006),$AM$1006:$BM$1006,0)), HYPERLINK("#",""), HYPERLINK(CONCATENATE("#metadata!", ADDRESS(INDEX($AH$2:$AH$1001,MATCH(ROWS($AF$2:AF760),$AF$2:$AF$1001,0),0), INDEX($AM$1004:$BM$1004,1,MATCH(COLUMNS($AM$1006:BA1006),$AM$1006:$BM$1006,0)))),"Fix")))</f>
        <v xml:space="preserve"> </v>
      </c>
      <c r="Q760" s="4" t="str">
        <f ca="1">IF(OR(INDEX($AG$2:$AG$1001,MATCH(ROWS($AF$2:AF760),$AF$2:$AF$1001,0),1)&gt;=100000,INDEX($AM$1005:$BM$1005,1,MATCH(COLUMNS($AM$1006:BB1006),$AM$1006:$BM$1006,0))&gt;=100000), " ",IF(INDEX($AM$2:$BM$1001,MATCH(ROWS($AF$2:AF760),$AF$2:$AF$1001,0),MATCH(COLUMNS($AM$1006:BB1006),$AM$1006:$BM$1006,0)), HYPERLINK("#",""), HYPERLINK(CONCATENATE("#metadata!", ADDRESS(INDEX($AH$2:$AH$1001,MATCH(ROWS($AF$2:AF760),$AF$2:$AF$1001,0),0), INDEX($AM$1004:$BM$1004,1,MATCH(COLUMNS($AM$1006:BB1006),$AM$1006:$BM$1006,0)))),"Fix")))</f>
        <v xml:space="preserve"> </v>
      </c>
      <c r="R760" s="4" t="str">
        <f ca="1">IF(OR(INDEX($AG$2:$AG$1001,MATCH(ROWS($AF$2:AF760),$AF$2:$AF$1001,0),1)&gt;=100000,INDEX($AM$1005:$BM$1005,1,MATCH(COLUMNS($AM$1006:BC1006),$AM$1006:$BM$1006,0))&gt;=100000), " ",IF(INDEX($AM$2:$BM$1001,MATCH(ROWS($AF$2:AF760),$AF$2:$AF$1001,0),MATCH(COLUMNS($AM$1006:BC1006),$AM$1006:$BM$1006,0)), HYPERLINK("#",""), HYPERLINK(CONCATENATE("#metadata!", ADDRESS(INDEX($AH$2:$AH$1001,MATCH(ROWS($AF$2:AF760),$AF$2:$AF$1001,0),0), INDEX($AM$1004:$BM$1004,1,MATCH(COLUMNS($AM$1006:BC1006),$AM$1006:$BM$1006,0)))),"Fix")))</f>
        <v xml:space="preserve"> </v>
      </c>
      <c r="S760" s="4" t="str">
        <f ca="1">IF(OR(INDEX($AG$2:$AG$1001,MATCH(ROWS($AF$2:AF760),$AF$2:$AF$1001,0),1)&gt;=100000,INDEX($AM$1005:$BM$1005,1,MATCH(COLUMNS($AM$1006:BD1006),$AM$1006:$BM$1006,0))&gt;=100000), " ",IF(INDEX($AM$2:$BM$1001,MATCH(ROWS($AF$2:AF760),$AF$2:$AF$1001,0),MATCH(COLUMNS($AM$1006:BD1006),$AM$1006:$BM$1006,0)), HYPERLINK("#",""), HYPERLINK(CONCATENATE("#metadata!", ADDRESS(INDEX($AH$2:$AH$1001,MATCH(ROWS($AF$2:AF760),$AF$2:$AF$1001,0),0), INDEX($AM$1004:$BM$1004,1,MATCH(COLUMNS($AM$1006:BD1006),$AM$1006:$BM$1006,0)))),"Fix")))</f>
        <v xml:space="preserve"> </v>
      </c>
      <c r="T760" s="4" t="str">
        <f ca="1">IF(OR(INDEX($AG$2:$AG$1001,MATCH(ROWS($AF$2:AF760),$AF$2:$AF$1001,0),1)&gt;=100000,INDEX($AM$1005:$BM$1005,1,MATCH(COLUMNS($AM$1006:BE1006),$AM$1006:$BM$1006,0))&gt;=100000), " ",IF(INDEX($AM$2:$BM$1001,MATCH(ROWS($AF$2:AF760),$AF$2:$AF$1001,0),MATCH(COLUMNS($AM$1006:BE1006),$AM$1006:$BM$1006,0)), HYPERLINK("#",""), HYPERLINK(CONCATENATE("#metadata!", ADDRESS(INDEX($AH$2:$AH$1001,MATCH(ROWS($AF$2:AF760),$AF$2:$AF$1001,0),0), INDEX($AM$1004:$BM$1004,1,MATCH(COLUMNS($AM$1006:BE1006),$AM$1006:$BM$1006,0)))),"Fix")))</f>
        <v xml:space="preserve"> </v>
      </c>
      <c r="U760" s="4" t="str">
        <f ca="1">IF(OR(INDEX($AG$2:$AG$1001,MATCH(ROWS($AF$2:AF760),$AF$2:$AF$1001,0),1)&gt;=100000,INDEX($AM$1005:$BM$1005,1,MATCH(COLUMNS($AM$1006:BF1006),$AM$1006:$BM$1006,0))&gt;=100000), " ",IF(INDEX($AM$2:$BM$1001,MATCH(ROWS($AF$2:AF760),$AF$2:$AF$1001,0),MATCH(COLUMNS($AM$1006:BF1006),$AM$1006:$BM$1006,0)), HYPERLINK("#",""), HYPERLINK(CONCATENATE("#metadata!", ADDRESS(INDEX($AH$2:$AH$1001,MATCH(ROWS($AF$2:AF760),$AF$2:$AF$1001,0),0), INDEX($AM$1004:$BM$1004,1,MATCH(COLUMNS($AM$1006:BF1006),$AM$1006:$BM$1006,0)))),"Fix")))</f>
        <v xml:space="preserve"> </v>
      </c>
      <c r="V760" s="4" t="str">
        <f ca="1">IF(OR(INDEX($AG$2:$AG$1001,MATCH(ROWS($AF$2:AF760),$AF$2:$AF$1001,0),1)&gt;=100000,INDEX($AM$1005:$BM$1005,1,MATCH(COLUMNS($AM$1006:BG1006),$AM$1006:$BM$1006,0))&gt;=100000), " ",IF(INDEX($AM$2:$BM$1001,MATCH(ROWS($AF$2:AF760),$AF$2:$AF$1001,0),MATCH(COLUMNS($AM$1006:BG1006),$AM$1006:$BM$1006,0)), HYPERLINK("#",""), HYPERLINK(CONCATENATE("#metadata!", ADDRESS(INDEX($AH$2:$AH$1001,MATCH(ROWS($AF$2:AF760),$AF$2:$AF$1001,0),0), INDEX($AM$1004:$BM$1004,1,MATCH(COLUMNS($AM$1006:BG1006),$AM$1006:$BM$1006,0)))),"Fix")))</f>
        <v xml:space="preserve"> </v>
      </c>
      <c r="W760" s="4" t="str">
        <f ca="1">IF(OR(INDEX($AG$2:$AG$1001,MATCH(ROWS($AF$2:AF760),$AF$2:$AF$1001,0),1)&gt;=100000,INDEX($AM$1005:$BM$1005,1,MATCH(COLUMNS($AM$1006:BH1006),$AM$1006:$BM$1006,0))&gt;=100000), " ",IF(INDEX($AM$2:$BM$1001,MATCH(ROWS($AF$2:AF760),$AF$2:$AF$1001,0),MATCH(COLUMNS($AM$1006:BH1006),$AM$1006:$BM$1006,0)), HYPERLINK("#",""), HYPERLINK(CONCATENATE("#metadata!", ADDRESS(INDEX($AH$2:$AH$1001,MATCH(ROWS($AF$2:AF760),$AF$2:$AF$1001,0),0), INDEX($AM$1004:$BM$1004,1,MATCH(COLUMNS($AM$1006:BH1006),$AM$1006:$BM$1006,0)))),"Fix")))</f>
        <v xml:space="preserve"> </v>
      </c>
      <c r="X760" s="4" t="str">
        <f ca="1">IF(OR(INDEX($AG$2:$AG$1001,MATCH(ROWS($AF$2:AF760),$AF$2:$AF$1001,0),1)&gt;=100000,INDEX($AM$1005:$BM$1005,1,MATCH(COLUMNS($AM$1006:BI1006),$AM$1006:$BM$1006,0))&gt;=100000), " ",IF(INDEX($AM$2:$BM$1001,MATCH(ROWS($AF$2:AF760),$AF$2:$AF$1001,0),MATCH(COLUMNS($AM$1006:BI1006),$AM$1006:$BM$1006,0)), HYPERLINK("#",""), HYPERLINK(CONCATENATE("#metadata!", ADDRESS(INDEX($AH$2:$AH$1001,MATCH(ROWS($AF$2:AF760),$AF$2:$AF$1001,0),0), INDEX($AM$1004:$BM$1004,1,MATCH(COLUMNS($AM$1006:BI1006),$AM$1006:$BM$1006,0)))),"Fix")))</f>
        <v xml:space="preserve"> </v>
      </c>
      <c r="Y760" s="4" t="str">
        <f ca="1">IF(OR(INDEX($AG$2:$AG$1001,MATCH(ROWS($AF$2:AF760),$AF$2:$AF$1001,0),1)&gt;=100000,INDEX($AM$1005:$BM$1005,1,MATCH(COLUMNS($AM$1006:BJ1006),$AM$1006:$BM$1006,0))&gt;=100000), " ",IF(INDEX($AM$2:$BM$1001,MATCH(ROWS($AF$2:AF760),$AF$2:$AF$1001,0),MATCH(COLUMNS($AM$1006:BJ1006),$AM$1006:$BM$1006,0)), HYPERLINK("#",""), HYPERLINK(CONCATENATE("#metadata!", ADDRESS(INDEX($AH$2:$AH$1001,MATCH(ROWS($AF$2:AF760),$AF$2:$AF$1001,0),0), INDEX($AM$1004:$BM$1004,1,MATCH(COLUMNS($AM$1006:BJ1006),$AM$1006:$BM$1006,0)))),"Fix")))</f>
        <v xml:space="preserve"> </v>
      </c>
      <c r="Z760" s="4" t="str">
        <f ca="1">IF(OR(INDEX($AG$2:$AG$1001,MATCH(ROWS($AF$2:AF760),$AF$2:$AF$1001,0),1)&gt;=100000,INDEX($AM$1005:$BM$1005,1,MATCH(COLUMNS($AM$1006:BK1006),$AM$1006:$BM$1006,0))&gt;=100000), " ",IF(INDEX($AM$2:$BM$1001,MATCH(ROWS($AF$2:AF760),$AF$2:$AF$1001,0),MATCH(COLUMNS($AM$1006:BK1006),$AM$1006:$BM$1006,0)), HYPERLINK("#",""), HYPERLINK(CONCATENATE("#metadata!", ADDRESS(INDEX($AH$2:$AH$1001,MATCH(ROWS($AF$2:AF760),$AF$2:$AF$1001,0),0), INDEX($AM$1004:$BM$1004,1,MATCH(COLUMNS($AM$1006:BK1006),$AM$1006:$BM$1006,0)))),"Fix")))</f>
        <v xml:space="preserve"> </v>
      </c>
      <c r="AA760" s="4" t="str">
        <f ca="1">IF(OR(INDEX($AG$2:$AG$1001,MATCH(ROWS($AF$2:AF760),$AF$2:$AF$1001,0),1)&gt;=100000,INDEX($AM$1005:$BM$1005,1,MATCH(COLUMNS($AM$1006:BL1006),$AM$1006:$BM$1006,0))&gt;=100000), " ",IF(INDEX($AM$2:$BM$1001,MATCH(ROWS($AF$2:AF760),$AF$2:$AF$1001,0),MATCH(COLUMNS($AM$1006:BL1006),$AM$1006:$BM$1006,0)), HYPERLINK("#",""), HYPERLINK(CONCATENATE("#metadata!", ADDRESS(INDEX($AH$2:$AH$1001,MATCH(ROWS($AF$2:AF760),$AF$2:$AF$1001,0),0), INDEX($AM$1004:$BM$1004,1,MATCH(COLUMNS($AM$1006:BL1006),$AM$1006:$BM$1006,0)))),"Fix")))</f>
        <v xml:space="preserve"> </v>
      </c>
      <c r="AB760" s="4" t="str">
        <f ca="1">IF(OR(INDEX($AG$2:$AG$1001,MATCH(ROWS($AF$2:AF760),$AF$2:$AF$1001,0),1)&gt;=100000,INDEX($AM$1005:$BM$1005,1,MATCH(COLUMNS($AM$1006:BM1006),$AM$1006:$BM$1006,0))&gt;=100000), " ",IF(INDEX($AM$2:$BM$1001,MATCH(ROWS($AF$2:AF760),$AF$2:$AF$1001,0),MATCH(COLUMNS($AM$1006:BM1006),$AM$1006:$BM$1006,0)), HYPERLINK("#",""), HYPERLINK(CONCATENATE("#metadata!", ADDRESS(INDEX($AH$2:$AH$1001,MATCH(ROWS($AF$2:AF760),$AF$2:$AF$1001,0),0), INDEX($AM$1004:$BM$1004,1,MATCH(COLUMNS($AM$1006:BM1006),$AM$1006:$BM$1006,0)))),"Fix")))</f>
        <v xml:space="preserve"> </v>
      </c>
      <c r="AF760">
        <v>759</v>
      </c>
      <c r="AG760">
        <v>100760</v>
      </c>
      <c r="AH760">
        <v>760</v>
      </c>
      <c r="AI760" t="b">
        <f t="shared" si="11"/>
        <v>1</v>
      </c>
      <c r="AJ760" t="b">
        <f>COUNTBLANK(metadata!B760:AB760)=COLUMNS(metadata!B760:AB760)</f>
        <v>1</v>
      </c>
      <c r="AK760" t="str">
        <v/>
      </c>
      <c r="AM760" t="b">
        <f ca="1">AND(IF(metadata!B760="",FALSE,TRUE),COUNTIF(metadata!B:B, metadata!B760) = 1,NOT(ISERROR(SUMPRODUCT(SEARCH(MID(metadata!B760,ROW(INDIRECT("1:"&amp;LEN(metadata!B760))), 1),"0123456789abcdefghijklmnopqrstuvwxyzABCDEFGHIJKLMNOPQRSTUVWXYZ.")))))</f>
        <v>0</v>
      </c>
      <c r="AN760" t="b">
        <f ca="1">OR(AND(IF(metadata!C760="",FALSE,TRUE),OR(EXACT(metadata!C760,"missing: not collected"),EXACT(metadata!C760,"missing: not provided"),EXACT(metadata!C760,"missing: restricted access"))),AND(IF(metadata!C760="",FALSE,TRUE),AND(AND(IFERROR(INT(LEFT(metadata!C760,4))&gt;1900,FALSE),IFERROR(INT(LEFT(metadata!C760,4))&lt;=YEAR(NOW()),FALSE)), OR(MID(metadata!C760,5,1)="", AND(AND(MID(metadata!C760,5,1)="-",IFERROR(INT(MID(metadata!C760,6,1))&gt;=0,FALSE),IFERROR(INT(MID(metadata!C760,6,1))&lt;=1,FALSE),NOT(MID(metadata!C760,7,1)=""),IFERROR(INT(MID(metadata!C760,6,2))&gt;=1,FALSE),IFERROR(INT(MID(metadata!C760,6,2))&lt;=12,FALSE)), OR(MID(metadata!C760,8,1)="", AND(AND(MID(metadata!C760,8,1)="-",IFERROR(INT(MID(metadata!C760,9,1))&gt;=0,FALSE),IFERROR(INT(MID(metadata!C760,9,1))&lt;=3,FALSE),NOT(MID(metadata!C760,10,1)=""),IFERROR(INT(MID(metadata!C760,9,2))&gt;=1,FALSE),IFERROR(INT(MID(metadata!C760,9,2))&lt;=31,FALSE)), OR(MID(metadata!C760,11,1)="", AND(AND(MID(metadata!C760,11,1)=" ",IFERROR(INT(MID(metadata!C760,12,1))&gt;=0,FALSE),IFERROR(INT(MID(metadata!C760,12,1))&lt;=2,FALSE),NOT(MID(metadata!C760,13,1)=""),IFERROR(INT(MID(metadata!C760,12,2))&gt;=0,FALSE),IFERROR(INT(MID(metadata!C760,12,2))&lt;=23,FALSE)), OR(MID(metadata!C760,14,1)="", AND(AND(MID(metadata!C760,14,1)=":",IFERROR(INT(MID(metadata!C760,15,1))&gt;=0,FALSE),IFERROR(INT(MID(metadata!C760,15,1))&lt;=5,FALSE),NOT(MID(metadata!C760,16,1)=""),IFERROR(INT(MID(metadata!C760,15,2))&gt;=0,FALSE),IFERROR(INT(MID(metadata!C760,15,2))&lt;=59,FALSE)), OR(MID(metadata!C760,17,1)="", AND(AND(MID(metadata!C760,17,1)=":",IFERROR(INT(MID(metadata!C760,18,1))&gt;=0,FALSE),IFERROR(INT(MID(metadata!C760,18,1))&lt;=5,FALSE),NOT(MID(metadata!C760,19,1)=""),IFERROR(INT(MID(metadata!C760,18,2))&gt;=0,FALSE),IFERROR(INT(MID(metadata!C760,18,2))&lt;=59,FALSE)), LEN(metadata!C760)&lt;=19)))))))))))))</f>
        <v>0</v>
      </c>
      <c r="AO760" t="b">
        <f>AND(IF(metadata!D760="",FALSE,TRUE),EXACT(metadata!D760,"Not applicable"))</f>
        <v>0</v>
      </c>
      <c r="AP760" t="b">
        <f>IF(metadata!E760="",FALSE,TRUE)</f>
        <v>0</v>
      </c>
      <c r="AQ760" t="b">
        <f>OR(AND(IF(metadata!F760="",FALSE,TRUE),OR(EXACT(metadata!F760,"missing: not collected"),EXACT(metadata!F760,"missing: not provided"))),AND(IF(metadata!F760="",FALSE,TRUE),OR(EXACT(metadata!F760,"TRUE"),EXACT(metadata!F760,"FALSE"))))</f>
        <v>0</v>
      </c>
      <c r="AR760" t="b">
        <f>OR(AND(IF(metadata!G760="",FALSE,TRUE),OR(EXACT(metadata!G760,"missing: not collected"),EXACT(metadata!G760,"missing: not provided"),EXACT(metadata!G760,"missing: restricted access"))),AND(IF(metadata!G760="",FALSE,ISNUMBER(VALUE(metadata!G760))),metadata!G760&gt;=-413))</f>
        <v>0</v>
      </c>
      <c r="AS760" t="b">
        <f>AND(IF(metadata!H760="",FALSE,TRUE),EXACT(metadata!H760,"meters"))</f>
        <v>0</v>
      </c>
      <c r="AT760" t="b">
        <f>AND(IF(metadata!I760="",FALSE,TRUE),OR(EXACT(metadata!I760,"Host-associated"),EXACT(metadata!I760,"Free-living")))</f>
        <v>0</v>
      </c>
      <c r="AU760" t="b">
        <f>AND(IF(metadata!J760="",FALSE,TRUE),OR(EXACT(metadata!J760,"Animal"),EXACT(metadata!J760,"Fungus"),EXACT(metadata!J760,"Plant"),EXACT(metadata!J760,"Saline"),EXACT(metadata!J760,"Non-saline")))</f>
        <v>0</v>
      </c>
      <c r="AV760" t="b">
        <f>AND(IF(metadata!K760="",FALSE,TRUE),OR(EXACT(metadata!K760,"Plant secretion"),EXACT(metadata!K760,"Plant rhizosphere"),EXACT(metadata!K760,"Plant surface"),EXACT(metadata!K760,"Plant corpus"),EXACT(metadata!K760,"Fungus surface"),EXACT(metadata!K760,"Fungus corpus"),EXACT(metadata!K760,"Animal surface"),EXACT(metadata!K760,"Animal proximal gut"),EXACT(metadata!K760,"Animal corpus"),EXACT(metadata!K760,"Animal distal gut"),EXACT(metadata!K760,"Animal secretion"),EXACT(metadata!K760,"Sub-surface (non-saline)"),EXACT(metadata!K760,"Surface (non-saline)"),EXACT(metadata!K760,"Water (non-saline)"),EXACT(metadata!K760,"Soil (non-saline)"),EXACT(metadata!K760,"Aerosol (non-saline)"),EXACT(metadata!K760,"Sediment (non-saline)"),EXACT(metadata!K760,"Surface (saline)"),EXACT(metadata!K760,"Water (saline)"),EXACT(metadata!K760,"Hypersaline (saline)"),EXACT(metadata!K760,"Aerosol (saline)"),EXACT(metadata!K760,"Sediment (saline)")))</f>
        <v>0</v>
      </c>
      <c r="AW760" t="b">
        <f>IF(metadata!L760="",FALSE,TRUE)</f>
        <v>0</v>
      </c>
      <c r="AX760" t="b">
        <f>IF(metadata!M760="",FALSE,TRUE)</f>
        <v>0</v>
      </c>
      <c r="AY760" t="b">
        <f>IF(metadata!N760="",FALSE,TRUE)</f>
        <v>0</v>
      </c>
      <c r="AZ760" t="b">
        <f>OR(AND(IF(metadata!O760="",FALSE,TRUE),OR(EXACT(metadata!O760,"missing: not collected"),EXACT(metadata!O760,"missing: not provided"),EXACT(metadata!O760,"missing: restricted access"))),AND(IF(metadata!O760="",FALSE,TRUE),OR(EXACT(metadata!O760,"air"),EXACT(metadata!O760,"built environment"),EXACT(metadata!O760,"host-associated"),EXACT(metadata!O760,"human-associated"),EXACT(metadata!O760,"human-skin"),EXACT(metadata!O760,"human-oral"),EXACT(metadata!O760,"human-gut"),EXACT(metadata!O760,"human-vaginal"),EXACT(metadata!O760,"microbial mat/biofilm"),EXACT(metadata!O760,"misc environment"),EXACT(metadata!O760,"plant-associated"),EXACT(metadata!O760,"sediment"),EXACT(metadata!O760,"soil"),EXACT(metadata!O760,"wastewater/sludge"),EXACT(metadata!O760,"water"))))</f>
        <v>0</v>
      </c>
      <c r="BA760" t="b">
        <f>IF(metadata!P760="",FALSE,TRUE)</f>
        <v>0</v>
      </c>
      <c r="BB760" t="b">
        <f>IF(metadata!Q760="",FALSE,TRUE)</f>
        <v>0</v>
      </c>
      <c r="BC760" t="b">
        <f>OR(AND(IF(metadata!R760="",FALSE,TRUE),OR(EXACT(metadata!R760,"missing: not collected"),EXACT(metadata!R760,"missing: not provided"),EXACT(metadata!R760,"missing: restricted access"))),AND(IF(metadata!R760="",FALSE,ISNUMBER(VALUE(metadata!R760))),metadata!R760&gt;=-90,metadata!R760&lt;=90))</f>
        <v>0</v>
      </c>
      <c r="BD760" t="b">
        <f>AND(IF(metadata!S760="",FALSE,TRUE),EXACT(metadata!S760,"Decimal degrees"))</f>
        <v>0</v>
      </c>
      <c r="BE760" t="b">
        <f>OR(AND(IF(metadata!T760="",FALSE,TRUE),OR(EXACT(metadata!T760,"missing: not collected"),EXACT(metadata!T760,"missing: not provided"),EXACT(metadata!T760,"missing: restricted access"))),AND(IF(metadata!T760="",FALSE,ISNUMBER(VALUE(metadata!T760))),metadata!T760&gt;=-180,metadata!T760&lt;=180))</f>
        <v>0</v>
      </c>
      <c r="BF760" t="b">
        <f>AND(IF(metadata!U760="",FALSE,TRUE),EXACT(metadata!U760,"Decimal degrees"))</f>
        <v>0</v>
      </c>
      <c r="BG760" t="b">
        <f>IF(metadata!V760="",FALSE,TRUE)</f>
        <v>0</v>
      </c>
      <c r="BH760" t="b">
        <f>OR(AND(IF(metadata!W760="",FALSE,TRUE),OR(EXACT(metadata!W760,"missing: not collected"),EXACT(metadata!W760,"missing: not provided"),EXACT(metadata!W760,"missing: restricted access"))),AND(IF(metadata!W760="",FALSE,TRUE),OR(EXACT(metadata!W760,"TRUE"),EXACT(metadata!W760,"FALSE"))))</f>
        <v>0</v>
      </c>
      <c r="BI760" t="b">
        <f>AND(IF(metadata!X760="",FALSE,TRUE),EXACT(metadata!X760,"other"))</f>
        <v>0</v>
      </c>
      <c r="BJ760" t="b">
        <f>IF(metadata!Y760="",FALSE,TRUE)</f>
        <v>0</v>
      </c>
      <c r="BK760" t="b">
        <f>OR(AND(IF(metadata!Z760="",FALSE,TRUE),OR(EXACT(metadata!Z760,"missing: not collected"),EXACT(metadata!Z760,"missing: not provided"))),AND(IF(metadata!Z760="",FALSE,IF(ISERROR(INT(metadata!Z760)),FALSE,INT(metadata!Z760)=metadata!Z760)),metadata!Z760&gt;0))</f>
        <v>0</v>
      </c>
      <c r="BL760" t="b">
        <f>AND(IF(metadata!AA760="",FALSE,TRUE),EXACT(metadata!AA760,"Not applicable"))</f>
        <v>0</v>
      </c>
      <c r="BM760" t="b">
        <f>IF(metadata!AB760="",FALSE,TRUE)</f>
        <v>0</v>
      </c>
    </row>
    <row r="761" spans="1:65" x14ac:dyDescent="0.2">
      <c r="A761" s="5" t="str">
        <f ca="1">IF(B761=" "," ",HYPERLINK(CONCATENATE("#metadata!",ADDRESS(INDEX($AH$2:$AH$1001,MATCH(ROWS($AF$2:AF761),$AF$2:$AF$1001,0),0),1)),INDEX($AK$2:$AK$1001,MATCH(ROWS($AF$2:AF761),$AF$2:$AF$1001,0),0)))</f>
        <v xml:space="preserve"> </v>
      </c>
      <c r="B761" s="4" t="str">
        <f ca="1">IF(OR(INDEX($AG$2:$AG$1001,MATCH(ROWS($AF$2:AF761),$AF$2:$AF$1001,0),1)&gt;=100000,INDEX($AM$1005:$BM$1005,1,MATCH(COLUMNS($AM$1006:AM1006),$AM$1006:$BM$1006,0))&gt;=100000), " ",IF(INDEX($AM$2:$BM$1001,MATCH(ROWS($AF$2:AF761),$AF$2:$AF$1001,0),MATCH(COLUMNS($AM$1006:AM1006),$AM$1006:$BM$1006,0)), HYPERLINK("#",""), HYPERLINK(CONCATENATE("#metadata!", ADDRESS(INDEX($AH$2:$AH$1001,MATCH(ROWS($AF$2:AF761),$AF$2:$AF$1001,0),0), INDEX($AM$1004:$BM$1004,1,MATCH(COLUMNS($AM$1006:AM1006),$AM$1006:$BM$1006,0)))),"Fix")))</f>
        <v xml:space="preserve"> </v>
      </c>
      <c r="C761" s="4" t="str">
        <f ca="1">IF(OR(INDEX($AG$2:$AG$1001,MATCH(ROWS($AF$2:AF761),$AF$2:$AF$1001,0),1)&gt;=100000,INDEX($AM$1005:$BM$1005,1,MATCH(COLUMNS($AM$1006:AN1006),$AM$1006:$BM$1006,0))&gt;=100000), " ",IF(INDEX($AM$2:$BM$1001,MATCH(ROWS($AF$2:AF761),$AF$2:$AF$1001,0),MATCH(COLUMNS($AM$1006:AN1006),$AM$1006:$BM$1006,0)), HYPERLINK("#",""), HYPERLINK(CONCATENATE("#metadata!", ADDRESS(INDEX($AH$2:$AH$1001,MATCH(ROWS($AF$2:AF761),$AF$2:$AF$1001,0),0), INDEX($AM$1004:$BM$1004,1,MATCH(COLUMNS($AM$1006:AN1006),$AM$1006:$BM$1006,0)))),"Fix")))</f>
        <v xml:space="preserve"> </v>
      </c>
      <c r="D761" s="4" t="str">
        <f ca="1">IF(OR(INDEX($AG$2:$AG$1001,MATCH(ROWS($AF$2:AF761),$AF$2:$AF$1001,0),1)&gt;=100000,INDEX($AM$1005:$BM$1005,1,MATCH(COLUMNS($AM$1006:AO1006),$AM$1006:$BM$1006,0))&gt;=100000), " ",IF(INDEX($AM$2:$BM$1001,MATCH(ROWS($AF$2:AF761),$AF$2:$AF$1001,0),MATCH(COLUMNS($AM$1006:AO1006),$AM$1006:$BM$1006,0)), HYPERLINK("#",""), HYPERLINK(CONCATENATE("#metadata!", ADDRESS(INDEX($AH$2:$AH$1001,MATCH(ROWS($AF$2:AF761),$AF$2:$AF$1001,0),0), INDEX($AM$1004:$BM$1004,1,MATCH(COLUMNS($AM$1006:AO1006),$AM$1006:$BM$1006,0)))),"Fix")))</f>
        <v xml:space="preserve"> </v>
      </c>
      <c r="E761" s="4" t="str">
        <f ca="1">IF(OR(INDEX($AG$2:$AG$1001,MATCH(ROWS($AF$2:AF761),$AF$2:$AF$1001,0),1)&gt;=100000,INDEX($AM$1005:$BM$1005,1,MATCH(COLUMNS($AM$1006:AP1006),$AM$1006:$BM$1006,0))&gt;=100000), " ",IF(INDEX($AM$2:$BM$1001,MATCH(ROWS($AF$2:AF761),$AF$2:$AF$1001,0),MATCH(COLUMNS($AM$1006:AP1006),$AM$1006:$BM$1006,0)), HYPERLINK("#",""), HYPERLINK(CONCATENATE("#metadata!", ADDRESS(INDEX($AH$2:$AH$1001,MATCH(ROWS($AF$2:AF761),$AF$2:$AF$1001,0),0), INDEX($AM$1004:$BM$1004,1,MATCH(COLUMNS($AM$1006:AP1006),$AM$1006:$BM$1006,0)))),"Fix")))</f>
        <v xml:space="preserve"> </v>
      </c>
      <c r="F761" s="4" t="str">
        <f ca="1">IF(OR(INDEX($AG$2:$AG$1001,MATCH(ROWS($AF$2:AF761),$AF$2:$AF$1001,0),1)&gt;=100000,INDEX($AM$1005:$BM$1005,1,MATCH(COLUMNS($AM$1006:AQ1006),$AM$1006:$BM$1006,0))&gt;=100000), " ",IF(INDEX($AM$2:$BM$1001,MATCH(ROWS($AF$2:AF761),$AF$2:$AF$1001,0),MATCH(COLUMNS($AM$1006:AQ1006),$AM$1006:$BM$1006,0)), HYPERLINK("#",""), HYPERLINK(CONCATENATE("#metadata!", ADDRESS(INDEX($AH$2:$AH$1001,MATCH(ROWS($AF$2:AF761),$AF$2:$AF$1001,0),0), INDEX($AM$1004:$BM$1004,1,MATCH(COLUMNS($AM$1006:AQ1006),$AM$1006:$BM$1006,0)))),"Fix")))</f>
        <v xml:space="preserve"> </v>
      </c>
      <c r="G761" s="4" t="str">
        <f ca="1">IF(OR(INDEX($AG$2:$AG$1001,MATCH(ROWS($AF$2:AF761),$AF$2:$AF$1001,0),1)&gt;=100000,INDEX($AM$1005:$BM$1005,1,MATCH(COLUMNS($AM$1006:AR1006),$AM$1006:$BM$1006,0))&gt;=100000), " ",IF(INDEX($AM$2:$BM$1001,MATCH(ROWS($AF$2:AF761),$AF$2:$AF$1001,0),MATCH(COLUMNS($AM$1006:AR1006),$AM$1006:$BM$1006,0)), HYPERLINK("#",""), HYPERLINK(CONCATENATE("#metadata!", ADDRESS(INDEX($AH$2:$AH$1001,MATCH(ROWS($AF$2:AF761),$AF$2:$AF$1001,0),0), INDEX($AM$1004:$BM$1004,1,MATCH(COLUMNS($AM$1006:AR1006),$AM$1006:$BM$1006,0)))),"Fix")))</f>
        <v xml:space="preserve"> </v>
      </c>
      <c r="H761" s="4" t="str">
        <f ca="1">IF(OR(INDEX($AG$2:$AG$1001,MATCH(ROWS($AF$2:AF761),$AF$2:$AF$1001,0),1)&gt;=100000,INDEX($AM$1005:$BM$1005,1,MATCH(COLUMNS($AM$1006:AS1006),$AM$1006:$BM$1006,0))&gt;=100000), " ",IF(INDEX($AM$2:$BM$1001,MATCH(ROWS($AF$2:AF761),$AF$2:$AF$1001,0),MATCH(COLUMNS($AM$1006:AS1006),$AM$1006:$BM$1006,0)), HYPERLINK("#",""), HYPERLINK(CONCATENATE("#metadata!", ADDRESS(INDEX($AH$2:$AH$1001,MATCH(ROWS($AF$2:AF761),$AF$2:$AF$1001,0),0), INDEX($AM$1004:$BM$1004,1,MATCH(COLUMNS($AM$1006:AS1006),$AM$1006:$BM$1006,0)))),"Fix")))</f>
        <v xml:space="preserve"> </v>
      </c>
      <c r="I761" s="4" t="str">
        <f ca="1">IF(OR(INDEX($AG$2:$AG$1001,MATCH(ROWS($AF$2:AF761),$AF$2:$AF$1001,0),1)&gt;=100000,INDEX($AM$1005:$BM$1005,1,MATCH(COLUMNS($AM$1006:AT1006),$AM$1006:$BM$1006,0))&gt;=100000), " ",IF(INDEX($AM$2:$BM$1001,MATCH(ROWS($AF$2:AF761),$AF$2:$AF$1001,0),MATCH(COLUMNS($AM$1006:AT1006),$AM$1006:$BM$1006,0)), HYPERLINK("#",""), HYPERLINK(CONCATENATE("#metadata!", ADDRESS(INDEX($AH$2:$AH$1001,MATCH(ROWS($AF$2:AF761),$AF$2:$AF$1001,0),0), INDEX($AM$1004:$BM$1004,1,MATCH(COLUMNS($AM$1006:AT1006),$AM$1006:$BM$1006,0)))),"Fix")))</f>
        <v xml:space="preserve"> </v>
      </c>
      <c r="J761" s="4" t="str">
        <f ca="1">IF(OR(INDEX($AG$2:$AG$1001,MATCH(ROWS($AF$2:AF761),$AF$2:$AF$1001,0),1)&gt;=100000,INDEX($AM$1005:$BM$1005,1,MATCH(COLUMNS($AM$1006:AU1006),$AM$1006:$BM$1006,0))&gt;=100000), " ",IF(INDEX($AM$2:$BM$1001,MATCH(ROWS($AF$2:AF761),$AF$2:$AF$1001,0),MATCH(COLUMNS($AM$1006:AU1006),$AM$1006:$BM$1006,0)), HYPERLINK("#",""), HYPERLINK(CONCATENATE("#metadata!", ADDRESS(INDEX($AH$2:$AH$1001,MATCH(ROWS($AF$2:AF761),$AF$2:$AF$1001,0),0), INDEX($AM$1004:$BM$1004,1,MATCH(COLUMNS($AM$1006:AU1006),$AM$1006:$BM$1006,0)))),"Fix")))</f>
        <v xml:space="preserve"> </v>
      </c>
      <c r="K761" s="4" t="str">
        <f ca="1">IF(OR(INDEX($AG$2:$AG$1001,MATCH(ROWS($AF$2:AF761),$AF$2:$AF$1001,0),1)&gt;=100000,INDEX($AM$1005:$BM$1005,1,MATCH(COLUMNS($AM$1006:AV1006),$AM$1006:$BM$1006,0))&gt;=100000), " ",IF(INDEX($AM$2:$BM$1001,MATCH(ROWS($AF$2:AF761),$AF$2:$AF$1001,0),MATCH(COLUMNS($AM$1006:AV1006),$AM$1006:$BM$1006,0)), HYPERLINK("#",""), HYPERLINK(CONCATENATE("#metadata!", ADDRESS(INDEX($AH$2:$AH$1001,MATCH(ROWS($AF$2:AF761),$AF$2:$AF$1001,0),0), INDEX($AM$1004:$BM$1004,1,MATCH(COLUMNS($AM$1006:AV1006),$AM$1006:$BM$1006,0)))),"Fix")))</f>
        <v xml:space="preserve"> </v>
      </c>
      <c r="L761" s="4" t="str">
        <f ca="1">IF(OR(INDEX($AG$2:$AG$1001,MATCH(ROWS($AF$2:AF761),$AF$2:$AF$1001,0),1)&gt;=100000,INDEX($AM$1005:$BM$1005,1,MATCH(COLUMNS($AM$1006:AW1006),$AM$1006:$BM$1006,0))&gt;=100000), " ",IF(INDEX($AM$2:$BM$1001,MATCH(ROWS($AF$2:AF761),$AF$2:$AF$1001,0),MATCH(COLUMNS($AM$1006:AW1006),$AM$1006:$BM$1006,0)), HYPERLINK("#",""), HYPERLINK(CONCATENATE("#metadata!", ADDRESS(INDEX($AH$2:$AH$1001,MATCH(ROWS($AF$2:AF761),$AF$2:$AF$1001,0),0), INDEX($AM$1004:$BM$1004,1,MATCH(COLUMNS($AM$1006:AW1006),$AM$1006:$BM$1006,0)))),"Fix")))</f>
        <v xml:space="preserve"> </v>
      </c>
      <c r="M761" s="4" t="str">
        <f ca="1">IF(OR(INDEX($AG$2:$AG$1001,MATCH(ROWS($AF$2:AF761),$AF$2:$AF$1001,0),1)&gt;=100000,INDEX($AM$1005:$BM$1005,1,MATCH(COLUMNS($AM$1006:AX1006),$AM$1006:$BM$1006,0))&gt;=100000), " ",IF(INDEX($AM$2:$BM$1001,MATCH(ROWS($AF$2:AF761),$AF$2:$AF$1001,0),MATCH(COLUMNS($AM$1006:AX1006),$AM$1006:$BM$1006,0)), HYPERLINK("#",""), HYPERLINK(CONCATENATE("#metadata!", ADDRESS(INDEX($AH$2:$AH$1001,MATCH(ROWS($AF$2:AF761),$AF$2:$AF$1001,0),0), INDEX($AM$1004:$BM$1004,1,MATCH(COLUMNS($AM$1006:AX1006),$AM$1006:$BM$1006,0)))),"Fix")))</f>
        <v xml:space="preserve"> </v>
      </c>
      <c r="N761" s="4" t="str">
        <f ca="1">IF(OR(INDEX($AG$2:$AG$1001,MATCH(ROWS($AF$2:AF761),$AF$2:$AF$1001,0),1)&gt;=100000,INDEX($AM$1005:$BM$1005,1,MATCH(COLUMNS($AM$1006:AY1006),$AM$1006:$BM$1006,0))&gt;=100000), " ",IF(INDEX($AM$2:$BM$1001,MATCH(ROWS($AF$2:AF761),$AF$2:$AF$1001,0),MATCH(COLUMNS($AM$1006:AY1006),$AM$1006:$BM$1006,0)), HYPERLINK("#",""), HYPERLINK(CONCATENATE("#metadata!", ADDRESS(INDEX($AH$2:$AH$1001,MATCH(ROWS($AF$2:AF761),$AF$2:$AF$1001,0),0), INDEX($AM$1004:$BM$1004,1,MATCH(COLUMNS($AM$1006:AY1006),$AM$1006:$BM$1006,0)))),"Fix")))</f>
        <v xml:space="preserve"> </v>
      </c>
      <c r="O761" s="4" t="str">
        <f ca="1">IF(OR(INDEX($AG$2:$AG$1001,MATCH(ROWS($AF$2:AF761),$AF$2:$AF$1001,0),1)&gt;=100000,INDEX($AM$1005:$BM$1005,1,MATCH(COLUMNS($AM$1006:AZ1006),$AM$1006:$BM$1006,0))&gt;=100000), " ",IF(INDEX($AM$2:$BM$1001,MATCH(ROWS($AF$2:AF761),$AF$2:$AF$1001,0),MATCH(COLUMNS($AM$1006:AZ1006),$AM$1006:$BM$1006,0)), HYPERLINK("#",""), HYPERLINK(CONCATENATE("#metadata!", ADDRESS(INDEX($AH$2:$AH$1001,MATCH(ROWS($AF$2:AF761),$AF$2:$AF$1001,0),0), INDEX($AM$1004:$BM$1004,1,MATCH(COLUMNS($AM$1006:AZ1006),$AM$1006:$BM$1006,0)))),"Fix")))</f>
        <v xml:space="preserve"> </v>
      </c>
      <c r="P761" s="4" t="str">
        <f ca="1">IF(OR(INDEX($AG$2:$AG$1001,MATCH(ROWS($AF$2:AF761),$AF$2:$AF$1001,0),1)&gt;=100000,INDEX($AM$1005:$BM$1005,1,MATCH(COLUMNS($AM$1006:BA1006),$AM$1006:$BM$1006,0))&gt;=100000), " ",IF(INDEX($AM$2:$BM$1001,MATCH(ROWS($AF$2:AF761),$AF$2:$AF$1001,0),MATCH(COLUMNS($AM$1006:BA1006),$AM$1006:$BM$1006,0)), HYPERLINK("#",""), HYPERLINK(CONCATENATE("#metadata!", ADDRESS(INDEX($AH$2:$AH$1001,MATCH(ROWS($AF$2:AF761),$AF$2:$AF$1001,0),0), INDEX($AM$1004:$BM$1004,1,MATCH(COLUMNS($AM$1006:BA1006),$AM$1006:$BM$1006,0)))),"Fix")))</f>
        <v xml:space="preserve"> </v>
      </c>
      <c r="Q761" s="4" t="str">
        <f ca="1">IF(OR(INDEX($AG$2:$AG$1001,MATCH(ROWS($AF$2:AF761),$AF$2:$AF$1001,0),1)&gt;=100000,INDEX($AM$1005:$BM$1005,1,MATCH(COLUMNS($AM$1006:BB1006),$AM$1006:$BM$1006,0))&gt;=100000), " ",IF(INDEX($AM$2:$BM$1001,MATCH(ROWS($AF$2:AF761),$AF$2:$AF$1001,0),MATCH(COLUMNS($AM$1006:BB1006),$AM$1006:$BM$1006,0)), HYPERLINK("#",""), HYPERLINK(CONCATENATE("#metadata!", ADDRESS(INDEX($AH$2:$AH$1001,MATCH(ROWS($AF$2:AF761),$AF$2:$AF$1001,0),0), INDEX($AM$1004:$BM$1004,1,MATCH(COLUMNS($AM$1006:BB1006),$AM$1006:$BM$1006,0)))),"Fix")))</f>
        <v xml:space="preserve"> </v>
      </c>
      <c r="R761" s="4" t="str">
        <f ca="1">IF(OR(INDEX($AG$2:$AG$1001,MATCH(ROWS($AF$2:AF761),$AF$2:$AF$1001,0),1)&gt;=100000,INDEX($AM$1005:$BM$1005,1,MATCH(COLUMNS($AM$1006:BC1006),$AM$1006:$BM$1006,0))&gt;=100000), " ",IF(INDEX($AM$2:$BM$1001,MATCH(ROWS($AF$2:AF761),$AF$2:$AF$1001,0),MATCH(COLUMNS($AM$1006:BC1006),$AM$1006:$BM$1006,0)), HYPERLINK("#",""), HYPERLINK(CONCATENATE("#metadata!", ADDRESS(INDEX($AH$2:$AH$1001,MATCH(ROWS($AF$2:AF761),$AF$2:$AF$1001,0),0), INDEX($AM$1004:$BM$1004,1,MATCH(COLUMNS($AM$1006:BC1006),$AM$1006:$BM$1006,0)))),"Fix")))</f>
        <v xml:space="preserve"> </v>
      </c>
      <c r="S761" s="4" t="str">
        <f ca="1">IF(OR(INDEX($AG$2:$AG$1001,MATCH(ROWS($AF$2:AF761),$AF$2:$AF$1001,0),1)&gt;=100000,INDEX($AM$1005:$BM$1005,1,MATCH(COLUMNS($AM$1006:BD1006),$AM$1006:$BM$1006,0))&gt;=100000), " ",IF(INDEX($AM$2:$BM$1001,MATCH(ROWS($AF$2:AF761),$AF$2:$AF$1001,0),MATCH(COLUMNS($AM$1006:BD1006),$AM$1006:$BM$1006,0)), HYPERLINK("#",""), HYPERLINK(CONCATENATE("#metadata!", ADDRESS(INDEX($AH$2:$AH$1001,MATCH(ROWS($AF$2:AF761),$AF$2:$AF$1001,0),0), INDEX($AM$1004:$BM$1004,1,MATCH(COLUMNS($AM$1006:BD1006),$AM$1006:$BM$1006,0)))),"Fix")))</f>
        <v xml:space="preserve"> </v>
      </c>
      <c r="T761" s="4" t="str">
        <f ca="1">IF(OR(INDEX($AG$2:$AG$1001,MATCH(ROWS($AF$2:AF761),$AF$2:$AF$1001,0),1)&gt;=100000,INDEX($AM$1005:$BM$1005,1,MATCH(COLUMNS($AM$1006:BE1006),$AM$1006:$BM$1006,0))&gt;=100000), " ",IF(INDEX($AM$2:$BM$1001,MATCH(ROWS($AF$2:AF761),$AF$2:$AF$1001,0),MATCH(COLUMNS($AM$1006:BE1006),$AM$1006:$BM$1006,0)), HYPERLINK("#",""), HYPERLINK(CONCATENATE("#metadata!", ADDRESS(INDEX($AH$2:$AH$1001,MATCH(ROWS($AF$2:AF761),$AF$2:$AF$1001,0),0), INDEX($AM$1004:$BM$1004,1,MATCH(COLUMNS($AM$1006:BE1006),$AM$1006:$BM$1006,0)))),"Fix")))</f>
        <v xml:space="preserve"> </v>
      </c>
      <c r="U761" s="4" t="str">
        <f ca="1">IF(OR(INDEX($AG$2:$AG$1001,MATCH(ROWS($AF$2:AF761),$AF$2:$AF$1001,0),1)&gt;=100000,INDEX($AM$1005:$BM$1005,1,MATCH(COLUMNS($AM$1006:BF1006),$AM$1006:$BM$1006,0))&gt;=100000), " ",IF(INDEX($AM$2:$BM$1001,MATCH(ROWS($AF$2:AF761),$AF$2:$AF$1001,0),MATCH(COLUMNS($AM$1006:BF1006),$AM$1006:$BM$1006,0)), HYPERLINK("#",""), HYPERLINK(CONCATENATE("#metadata!", ADDRESS(INDEX($AH$2:$AH$1001,MATCH(ROWS($AF$2:AF761),$AF$2:$AF$1001,0),0), INDEX($AM$1004:$BM$1004,1,MATCH(COLUMNS($AM$1006:BF1006),$AM$1006:$BM$1006,0)))),"Fix")))</f>
        <v xml:space="preserve"> </v>
      </c>
      <c r="V761" s="4" t="str">
        <f ca="1">IF(OR(INDEX($AG$2:$AG$1001,MATCH(ROWS($AF$2:AF761),$AF$2:$AF$1001,0),1)&gt;=100000,INDEX($AM$1005:$BM$1005,1,MATCH(COLUMNS($AM$1006:BG1006),$AM$1006:$BM$1006,0))&gt;=100000), " ",IF(INDEX($AM$2:$BM$1001,MATCH(ROWS($AF$2:AF761),$AF$2:$AF$1001,0),MATCH(COLUMNS($AM$1006:BG1006),$AM$1006:$BM$1006,0)), HYPERLINK("#",""), HYPERLINK(CONCATENATE("#metadata!", ADDRESS(INDEX($AH$2:$AH$1001,MATCH(ROWS($AF$2:AF761),$AF$2:$AF$1001,0),0), INDEX($AM$1004:$BM$1004,1,MATCH(COLUMNS($AM$1006:BG1006),$AM$1006:$BM$1006,0)))),"Fix")))</f>
        <v xml:space="preserve"> </v>
      </c>
      <c r="W761" s="4" t="str">
        <f ca="1">IF(OR(INDEX($AG$2:$AG$1001,MATCH(ROWS($AF$2:AF761),$AF$2:$AF$1001,0),1)&gt;=100000,INDEX($AM$1005:$BM$1005,1,MATCH(COLUMNS($AM$1006:BH1006),$AM$1006:$BM$1006,0))&gt;=100000), " ",IF(INDEX($AM$2:$BM$1001,MATCH(ROWS($AF$2:AF761),$AF$2:$AF$1001,0),MATCH(COLUMNS($AM$1006:BH1006),$AM$1006:$BM$1006,0)), HYPERLINK("#",""), HYPERLINK(CONCATENATE("#metadata!", ADDRESS(INDEX($AH$2:$AH$1001,MATCH(ROWS($AF$2:AF761),$AF$2:$AF$1001,0),0), INDEX($AM$1004:$BM$1004,1,MATCH(COLUMNS($AM$1006:BH1006),$AM$1006:$BM$1006,0)))),"Fix")))</f>
        <v xml:space="preserve"> </v>
      </c>
      <c r="X761" s="4" t="str">
        <f ca="1">IF(OR(INDEX($AG$2:$AG$1001,MATCH(ROWS($AF$2:AF761),$AF$2:$AF$1001,0),1)&gt;=100000,INDEX($AM$1005:$BM$1005,1,MATCH(COLUMNS($AM$1006:BI1006),$AM$1006:$BM$1006,0))&gt;=100000), " ",IF(INDEX($AM$2:$BM$1001,MATCH(ROWS($AF$2:AF761),$AF$2:$AF$1001,0),MATCH(COLUMNS($AM$1006:BI1006),$AM$1006:$BM$1006,0)), HYPERLINK("#",""), HYPERLINK(CONCATENATE("#metadata!", ADDRESS(INDEX($AH$2:$AH$1001,MATCH(ROWS($AF$2:AF761),$AF$2:$AF$1001,0),0), INDEX($AM$1004:$BM$1004,1,MATCH(COLUMNS($AM$1006:BI1006),$AM$1006:$BM$1006,0)))),"Fix")))</f>
        <v xml:space="preserve"> </v>
      </c>
      <c r="Y761" s="4" t="str">
        <f ca="1">IF(OR(INDEX($AG$2:$AG$1001,MATCH(ROWS($AF$2:AF761),$AF$2:$AF$1001,0),1)&gt;=100000,INDEX($AM$1005:$BM$1005,1,MATCH(COLUMNS($AM$1006:BJ1006),$AM$1006:$BM$1006,0))&gt;=100000), " ",IF(INDEX($AM$2:$BM$1001,MATCH(ROWS($AF$2:AF761),$AF$2:$AF$1001,0),MATCH(COLUMNS($AM$1006:BJ1006),$AM$1006:$BM$1006,0)), HYPERLINK("#",""), HYPERLINK(CONCATENATE("#metadata!", ADDRESS(INDEX($AH$2:$AH$1001,MATCH(ROWS($AF$2:AF761),$AF$2:$AF$1001,0),0), INDEX($AM$1004:$BM$1004,1,MATCH(COLUMNS($AM$1006:BJ1006),$AM$1006:$BM$1006,0)))),"Fix")))</f>
        <v xml:space="preserve"> </v>
      </c>
      <c r="Z761" s="4" t="str">
        <f ca="1">IF(OR(INDEX($AG$2:$AG$1001,MATCH(ROWS($AF$2:AF761),$AF$2:$AF$1001,0),1)&gt;=100000,INDEX($AM$1005:$BM$1005,1,MATCH(COLUMNS($AM$1006:BK1006),$AM$1006:$BM$1006,0))&gt;=100000), " ",IF(INDEX($AM$2:$BM$1001,MATCH(ROWS($AF$2:AF761),$AF$2:$AF$1001,0),MATCH(COLUMNS($AM$1006:BK1006),$AM$1006:$BM$1006,0)), HYPERLINK("#",""), HYPERLINK(CONCATENATE("#metadata!", ADDRESS(INDEX($AH$2:$AH$1001,MATCH(ROWS($AF$2:AF761),$AF$2:$AF$1001,0),0), INDEX($AM$1004:$BM$1004,1,MATCH(COLUMNS($AM$1006:BK1006),$AM$1006:$BM$1006,0)))),"Fix")))</f>
        <v xml:space="preserve"> </v>
      </c>
      <c r="AA761" s="4" t="str">
        <f ca="1">IF(OR(INDEX($AG$2:$AG$1001,MATCH(ROWS($AF$2:AF761),$AF$2:$AF$1001,0),1)&gt;=100000,INDEX($AM$1005:$BM$1005,1,MATCH(COLUMNS($AM$1006:BL1006),$AM$1006:$BM$1006,0))&gt;=100000), " ",IF(INDEX($AM$2:$BM$1001,MATCH(ROWS($AF$2:AF761),$AF$2:$AF$1001,0),MATCH(COLUMNS($AM$1006:BL1006),$AM$1006:$BM$1006,0)), HYPERLINK("#",""), HYPERLINK(CONCATENATE("#metadata!", ADDRESS(INDEX($AH$2:$AH$1001,MATCH(ROWS($AF$2:AF761),$AF$2:$AF$1001,0),0), INDEX($AM$1004:$BM$1004,1,MATCH(COLUMNS($AM$1006:BL1006),$AM$1006:$BM$1006,0)))),"Fix")))</f>
        <v xml:space="preserve"> </v>
      </c>
      <c r="AB761" s="4" t="str">
        <f ca="1">IF(OR(INDEX($AG$2:$AG$1001,MATCH(ROWS($AF$2:AF761),$AF$2:$AF$1001,0),1)&gt;=100000,INDEX($AM$1005:$BM$1005,1,MATCH(COLUMNS($AM$1006:BM1006),$AM$1006:$BM$1006,0))&gt;=100000), " ",IF(INDEX($AM$2:$BM$1001,MATCH(ROWS($AF$2:AF761),$AF$2:$AF$1001,0),MATCH(COLUMNS($AM$1006:BM1006),$AM$1006:$BM$1006,0)), HYPERLINK("#",""), HYPERLINK(CONCATENATE("#metadata!", ADDRESS(INDEX($AH$2:$AH$1001,MATCH(ROWS($AF$2:AF761),$AF$2:$AF$1001,0),0), INDEX($AM$1004:$BM$1004,1,MATCH(COLUMNS($AM$1006:BM1006),$AM$1006:$BM$1006,0)))),"Fix")))</f>
        <v xml:space="preserve"> </v>
      </c>
      <c r="AF761">
        <v>760</v>
      </c>
      <c r="AG761">
        <v>100761</v>
      </c>
      <c r="AH761">
        <v>761</v>
      </c>
      <c r="AI761" t="b">
        <f t="shared" si="11"/>
        <v>1</v>
      </c>
      <c r="AJ761" t="b">
        <f>COUNTBLANK(metadata!B761:AB761)=COLUMNS(metadata!B761:AB761)</f>
        <v>1</v>
      </c>
      <c r="AK761" t="str">
        <v/>
      </c>
      <c r="AM761" t="b">
        <f ca="1">AND(IF(metadata!B761="",FALSE,TRUE),COUNTIF(metadata!B:B, metadata!B761) = 1,NOT(ISERROR(SUMPRODUCT(SEARCH(MID(metadata!B761,ROW(INDIRECT("1:"&amp;LEN(metadata!B761))), 1),"0123456789abcdefghijklmnopqrstuvwxyzABCDEFGHIJKLMNOPQRSTUVWXYZ.")))))</f>
        <v>0</v>
      </c>
      <c r="AN761" t="b">
        <f ca="1">OR(AND(IF(metadata!C761="",FALSE,TRUE),OR(EXACT(metadata!C761,"missing: not collected"),EXACT(metadata!C761,"missing: not provided"),EXACT(metadata!C761,"missing: restricted access"))),AND(IF(metadata!C761="",FALSE,TRUE),AND(AND(IFERROR(INT(LEFT(metadata!C761,4))&gt;1900,FALSE),IFERROR(INT(LEFT(metadata!C761,4))&lt;=YEAR(NOW()),FALSE)), OR(MID(metadata!C761,5,1)="", AND(AND(MID(metadata!C761,5,1)="-",IFERROR(INT(MID(metadata!C761,6,1))&gt;=0,FALSE),IFERROR(INT(MID(metadata!C761,6,1))&lt;=1,FALSE),NOT(MID(metadata!C761,7,1)=""),IFERROR(INT(MID(metadata!C761,6,2))&gt;=1,FALSE),IFERROR(INT(MID(metadata!C761,6,2))&lt;=12,FALSE)), OR(MID(metadata!C761,8,1)="", AND(AND(MID(metadata!C761,8,1)="-",IFERROR(INT(MID(metadata!C761,9,1))&gt;=0,FALSE),IFERROR(INT(MID(metadata!C761,9,1))&lt;=3,FALSE),NOT(MID(metadata!C761,10,1)=""),IFERROR(INT(MID(metadata!C761,9,2))&gt;=1,FALSE),IFERROR(INT(MID(metadata!C761,9,2))&lt;=31,FALSE)), OR(MID(metadata!C761,11,1)="", AND(AND(MID(metadata!C761,11,1)=" ",IFERROR(INT(MID(metadata!C761,12,1))&gt;=0,FALSE),IFERROR(INT(MID(metadata!C761,12,1))&lt;=2,FALSE),NOT(MID(metadata!C761,13,1)=""),IFERROR(INT(MID(metadata!C761,12,2))&gt;=0,FALSE),IFERROR(INT(MID(metadata!C761,12,2))&lt;=23,FALSE)), OR(MID(metadata!C761,14,1)="", AND(AND(MID(metadata!C761,14,1)=":",IFERROR(INT(MID(metadata!C761,15,1))&gt;=0,FALSE),IFERROR(INT(MID(metadata!C761,15,1))&lt;=5,FALSE),NOT(MID(metadata!C761,16,1)=""),IFERROR(INT(MID(metadata!C761,15,2))&gt;=0,FALSE),IFERROR(INT(MID(metadata!C761,15,2))&lt;=59,FALSE)), OR(MID(metadata!C761,17,1)="", AND(AND(MID(metadata!C761,17,1)=":",IFERROR(INT(MID(metadata!C761,18,1))&gt;=0,FALSE),IFERROR(INT(MID(metadata!C761,18,1))&lt;=5,FALSE),NOT(MID(metadata!C761,19,1)=""),IFERROR(INT(MID(metadata!C761,18,2))&gt;=0,FALSE),IFERROR(INT(MID(metadata!C761,18,2))&lt;=59,FALSE)), LEN(metadata!C761)&lt;=19)))))))))))))</f>
        <v>0</v>
      </c>
      <c r="AO761" t="b">
        <f>AND(IF(metadata!D761="",FALSE,TRUE),EXACT(metadata!D761,"Not applicable"))</f>
        <v>0</v>
      </c>
      <c r="AP761" t="b">
        <f>IF(metadata!E761="",FALSE,TRUE)</f>
        <v>0</v>
      </c>
      <c r="AQ761" t="b">
        <f>OR(AND(IF(metadata!F761="",FALSE,TRUE),OR(EXACT(metadata!F761,"missing: not collected"),EXACT(metadata!F761,"missing: not provided"))),AND(IF(metadata!F761="",FALSE,TRUE),OR(EXACT(metadata!F761,"TRUE"),EXACT(metadata!F761,"FALSE"))))</f>
        <v>0</v>
      </c>
      <c r="AR761" t="b">
        <f>OR(AND(IF(metadata!G761="",FALSE,TRUE),OR(EXACT(metadata!G761,"missing: not collected"),EXACT(metadata!G761,"missing: not provided"),EXACT(metadata!G761,"missing: restricted access"))),AND(IF(metadata!G761="",FALSE,ISNUMBER(VALUE(metadata!G761))),metadata!G761&gt;=-413))</f>
        <v>0</v>
      </c>
      <c r="AS761" t="b">
        <f>AND(IF(metadata!H761="",FALSE,TRUE),EXACT(metadata!H761,"meters"))</f>
        <v>0</v>
      </c>
      <c r="AT761" t="b">
        <f>AND(IF(metadata!I761="",FALSE,TRUE),OR(EXACT(metadata!I761,"Host-associated"),EXACT(metadata!I761,"Free-living")))</f>
        <v>0</v>
      </c>
      <c r="AU761" t="b">
        <f>AND(IF(metadata!J761="",FALSE,TRUE),OR(EXACT(metadata!J761,"Animal"),EXACT(metadata!J761,"Fungus"),EXACT(metadata!J761,"Plant"),EXACT(metadata!J761,"Saline"),EXACT(metadata!J761,"Non-saline")))</f>
        <v>0</v>
      </c>
      <c r="AV761" t="b">
        <f>AND(IF(metadata!K761="",FALSE,TRUE),OR(EXACT(metadata!K761,"Plant secretion"),EXACT(metadata!K761,"Plant rhizosphere"),EXACT(metadata!K761,"Plant surface"),EXACT(metadata!K761,"Plant corpus"),EXACT(metadata!K761,"Fungus surface"),EXACT(metadata!K761,"Fungus corpus"),EXACT(metadata!K761,"Animal surface"),EXACT(metadata!K761,"Animal proximal gut"),EXACT(metadata!K761,"Animal corpus"),EXACT(metadata!K761,"Animal distal gut"),EXACT(metadata!K761,"Animal secretion"),EXACT(metadata!K761,"Sub-surface (non-saline)"),EXACT(metadata!K761,"Surface (non-saline)"),EXACT(metadata!K761,"Water (non-saline)"),EXACT(metadata!K761,"Soil (non-saline)"),EXACT(metadata!K761,"Aerosol (non-saline)"),EXACT(metadata!K761,"Sediment (non-saline)"),EXACT(metadata!K761,"Surface (saline)"),EXACT(metadata!K761,"Water (saline)"),EXACT(metadata!K761,"Hypersaline (saline)"),EXACT(metadata!K761,"Aerosol (saline)"),EXACT(metadata!K761,"Sediment (saline)")))</f>
        <v>0</v>
      </c>
      <c r="AW761" t="b">
        <f>IF(metadata!L761="",FALSE,TRUE)</f>
        <v>0</v>
      </c>
      <c r="AX761" t="b">
        <f>IF(metadata!M761="",FALSE,TRUE)</f>
        <v>0</v>
      </c>
      <c r="AY761" t="b">
        <f>IF(metadata!N761="",FALSE,TRUE)</f>
        <v>0</v>
      </c>
      <c r="AZ761" t="b">
        <f>OR(AND(IF(metadata!O761="",FALSE,TRUE),OR(EXACT(metadata!O761,"missing: not collected"),EXACT(metadata!O761,"missing: not provided"),EXACT(metadata!O761,"missing: restricted access"))),AND(IF(metadata!O761="",FALSE,TRUE),OR(EXACT(metadata!O761,"air"),EXACT(metadata!O761,"built environment"),EXACT(metadata!O761,"host-associated"),EXACT(metadata!O761,"human-associated"),EXACT(metadata!O761,"human-skin"),EXACT(metadata!O761,"human-oral"),EXACT(metadata!O761,"human-gut"),EXACT(metadata!O761,"human-vaginal"),EXACT(metadata!O761,"microbial mat/biofilm"),EXACT(metadata!O761,"misc environment"),EXACT(metadata!O761,"plant-associated"),EXACT(metadata!O761,"sediment"),EXACT(metadata!O761,"soil"),EXACT(metadata!O761,"wastewater/sludge"),EXACT(metadata!O761,"water"))))</f>
        <v>0</v>
      </c>
      <c r="BA761" t="b">
        <f>IF(metadata!P761="",FALSE,TRUE)</f>
        <v>0</v>
      </c>
      <c r="BB761" t="b">
        <f>IF(metadata!Q761="",FALSE,TRUE)</f>
        <v>0</v>
      </c>
      <c r="BC761" t="b">
        <f>OR(AND(IF(metadata!R761="",FALSE,TRUE),OR(EXACT(metadata!R761,"missing: not collected"),EXACT(metadata!R761,"missing: not provided"),EXACT(metadata!R761,"missing: restricted access"))),AND(IF(metadata!R761="",FALSE,ISNUMBER(VALUE(metadata!R761))),metadata!R761&gt;=-90,metadata!R761&lt;=90))</f>
        <v>0</v>
      </c>
      <c r="BD761" t="b">
        <f>AND(IF(metadata!S761="",FALSE,TRUE),EXACT(metadata!S761,"Decimal degrees"))</f>
        <v>0</v>
      </c>
      <c r="BE761" t="b">
        <f>OR(AND(IF(metadata!T761="",FALSE,TRUE),OR(EXACT(metadata!T761,"missing: not collected"),EXACT(metadata!T761,"missing: not provided"),EXACT(metadata!T761,"missing: restricted access"))),AND(IF(metadata!T761="",FALSE,ISNUMBER(VALUE(metadata!T761))),metadata!T761&gt;=-180,metadata!T761&lt;=180))</f>
        <v>0</v>
      </c>
      <c r="BF761" t="b">
        <f>AND(IF(metadata!U761="",FALSE,TRUE),EXACT(metadata!U761,"Decimal degrees"))</f>
        <v>0</v>
      </c>
      <c r="BG761" t="b">
        <f>IF(metadata!V761="",FALSE,TRUE)</f>
        <v>0</v>
      </c>
      <c r="BH761" t="b">
        <f>OR(AND(IF(metadata!W761="",FALSE,TRUE),OR(EXACT(metadata!W761,"missing: not collected"),EXACT(metadata!W761,"missing: not provided"),EXACT(metadata!W761,"missing: restricted access"))),AND(IF(metadata!W761="",FALSE,TRUE),OR(EXACT(metadata!W761,"TRUE"),EXACT(metadata!W761,"FALSE"))))</f>
        <v>0</v>
      </c>
      <c r="BI761" t="b">
        <f>AND(IF(metadata!X761="",FALSE,TRUE),EXACT(metadata!X761,"other"))</f>
        <v>0</v>
      </c>
      <c r="BJ761" t="b">
        <f>IF(metadata!Y761="",FALSE,TRUE)</f>
        <v>0</v>
      </c>
      <c r="BK761" t="b">
        <f>OR(AND(IF(metadata!Z761="",FALSE,TRUE),OR(EXACT(metadata!Z761,"missing: not collected"),EXACT(metadata!Z761,"missing: not provided"))),AND(IF(metadata!Z761="",FALSE,IF(ISERROR(INT(metadata!Z761)),FALSE,INT(metadata!Z761)=metadata!Z761)),metadata!Z761&gt;0))</f>
        <v>0</v>
      </c>
      <c r="BL761" t="b">
        <f>AND(IF(metadata!AA761="",FALSE,TRUE),EXACT(metadata!AA761,"Not applicable"))</f>
        <v>0</v>
      </c>
      <c r="BM761" t="b">
        <f>IF(metadata!AB761="",FALSE,TRUE)</f>
        <v>0</v>
      </c>
    </row>
    <row r="762" spans="1:65" x14ac:dyDescent="0.2">
      <c r="A762" s="5" t="str">
        <f ca="1">IF(B762=" "," ",HYPERLINK(CONCATENATE("#metadata!",ADDRESS(INDEX($AH$2:$AH$1001,MATCH(ROWS($AF$2:AF762),$AF$2:$AF$1001,0),0),1)),INDEX($AK$2:$AK$1001,MATCH(ROWS($AF$2:AF762),$AF$2:$AF$1001,0),0)))</f>
        <v xml:space="preserve"> </v>
      </c>
      <c r="B762" s="4" t="str">
        <f ca="1">IF(OR(INDEX($AG$2:$AG$1001,MATCH(ROWS($AF$2:AF762),$AF$2:$AF$1001,0),1)&gt;=100000,INDEX($AM$1005:$BM$1005,1,MATCH(COLUMNS($AM$1006:AM1006),$AM$1006:$BM$1006,0))&gt;=100000), " ",IF(INDEX($AM$2:$BM$1001,MATCH(ROWS($AF$2:AF762),$AF$2:$AF$1001,0),MATCH(COLUMNS($AM$1006:AM1006),$AM$1006:$BM$1006,0)), HYPERLINK("#",""), HYPERLINK(CONCATENATE("#metadata!", ADDRESS(INDEX($AH$2:$AH$1001,MATCH(ROWS($AF$2:AF762),$AF$2:$AF$1001,0),0), INDEX($AM$1004:$BM$1004,1,MATCH(COLUMNS($AM$1006:AM1006),$AM$1006:$BM$1006,0)))),"Fix")))</f>
        <v xml:space="preserve"> </v>
      </c>
      <c r="C762" s="4" t="str">
        <f ca="1">IF(OR(INDEX($AG$2:$AG$1001,MATCH(ROWS($AF$2:AF762),$AF$2:$AF$1001,0),1)&gt;=100000,INDEX($AM$1005:$BM$1005,1,MATCH(COLUMNS($AM$1006:AN1006),$AM$1006:$BM$1006,0))&gt;=100000), " ",IF(INDEX($AM$2:$BM$1001,MATCH(ROWS($AF$2:AF762),$AF$2:$AF$1001,0),MATCH(COLUMNS($AM$1006:AN1006),$AM$1006:$BM$1006,0)), HYPERLINK("#",""), HYPERLINK(CONCATENATE("#metadata!", ADDRESS(INDEX($AH$2:$AH$1001,MATCH(ROWS($AF$2:AF762),$AF$2:$AF$1001,0),0), INDEX($AM$1004:$BM$1004,1,MATCH(COLUMNS($AM$1006:AN1006),$AM$1006:$BM$1006,0)))),"Fix")))</f>
        <v xml:space="preserve"> </v>
      </c>
      <c r="D762" s="4" t="str">
        <f ca="1">IF(OR(INDEX($AG$2:$AG$1001,MATCH(ROWS($AF$2:AF762),$AF$2:$AF$1001,0),1)&gt;=100000,INDEX($AM$1005:$BM$1005,1,MATCH(COLUMNS($AM$1006:AO1006),$AM$1006:$BM$1006,0))&gt;=100000), " ",IF(INDEX($AM$2:$BM$1001,MATCH(ROWS($AF$2:AF762),$AF$2:$AF$1001,0),MATCH(COLUMNS($AM$1006:AO1006),$AM$1006:$BM$1006,0)), HYPERLINK("#",""), HYPERLINK(CONCATENATE("#metadata!", ADDRESS(INDEX($AH$2:$AH$1001,MATCH(ROWS($AF$2:AF762),$AF$2:$AF$1001,0),0), INDEX($AM$1004:$BM$1004,1,MATCH(COLUMNS($AM$1006:AO1006),$AM$1006:$BM$1006,0)))),"Fix")))</f>
        <v xml:space="preserve"> </v>
      </c>
      <c r="E762" s="4" t="str">
        <f ca="1">IF(OR(INDEX($AG$2:$AG$1001,MATCH(ROWS($AF$2:AF762),$AF$2:$AF$1001,0),1)&gt;=100000,INDEX($AM$1005:$BM$1005,1,MATCH(COLUMNS($AM$1006:AP1006),$AM$1006:$BM$1006,0))&gt;=100000), " ",IF(INDEX($AM$2:$BM$1001,MATCH(ROWS($AF$2:AF762),$AF$2:$AF$1001,0),MATCH(COLUMNS($AM$1006:AP1006),$AM$1006:$BM$1006,0)), HYPERLINK("#",""), HYPERLINK(CONCATENATE("#metadata!", ADDRESS(INDEX($AH$2:$AH$1001,MATCH(ROWS($AF$2:AF762),$AF$2:$AF$1001,0),0), INDEX($AM$1004:$BM$1004,1,MATCH(COLUMNS($AM$1006:AP1006),$AM$1006:$BM$1006,0)))),"Fix")))</f>
        <v xml:space="preserve"> </v>
      </c>
      <c r="F762" s="4" t="str">
        <f ca="1">IF(OR(INDEX($AG$2:$AG$1001,MATCH(ROWS($AF$2:AF762),$AF$2:$AF$1001,0),1)&gt;=100000,INDEX($AM$1005:$BM$1005,1,MATCH(COLUMNS($AM$1006:AQ1006),$AM$1006:$BM$1006,0))&gt;=100000), " ",IF(INDEX($AM$2:$BM$1001,MATCH(ROWS($AF$2:AF762),$AF$2:$AF$1001,0),MATCH(COLUMNS($AM$1006:AQ1006),$AM$1006:$BM$1006,0)), HYPERLINK("#",""), HYPERLINK(CONCATENATE("#metadata!", ADDRESS(INDEX($AH$2:$AH$1001,MATCH(ROWS($AF$2:AF762),$AF$2:$AF$1001,0),0), INDEX($AM$1004:$BM$1004,1,MATCH(COLUMNS($AM$1006:AQ1006),$AM$1006:$BM$1006,0)))),"Fix")))</f>
        <v xml:space="preserve"> </v>
      </c>
      <c r="G762" s="4" t="str">
        <f ca="1">IF(OR(INDEX($AG$2:$AG$1001,MATCH(ROWS($AF$2:AF762),$AF$2:$AF$1001,0),1)&gt;=100000,INDEX($AM$1005:$BM$1005,1,MATCH(COLUMNS($AM$1006:AR1006),$AM$1006:$BM$1006,0))&gt;=100000), " ",IF(INDEX($AM$2:$BM$1001,MATCH(ROWS($AF$2:AF762),$AF$2:$AF$1001,0),MATCH(COLUMNS($AM$1006:AR1006),$AM$1006:$BM$1006,0)), HYPERLINK("#",""), HYPERLINK(CONCATENATE("#metadata!", ADDRESS(INDEX($AH$2:$AH$1001,MATCH(ROWS($AF$2:AF762),$AF$2:$AF$1001,0),0), INDEX($AM$1004:$BM$1004,1,MATCH(COLUMNS($AM$1006:AR1006),$AM$1006:$BM$1006,0)))),"Fix")))</f>
        <v xml:space="preserve"> </v>
      </c>
      <c r="H762" s="4" t="str">
        <f ca="1">IF(OR(INDEX($AG$2:$AG$1001,MATCH(ROWS($AF$2:AF762),$AF$2:$AF$1001,0),1)&gt;=100000,INDEX($AM$1005:$BM$1005,1,MATCH(COLUMNS($AM$1006:AS1006),$AM$1006:$BM$1006,0))&gt;=100000), " ",IF(INDEX($AM$2:$BM$1001,MATCH(ROWS($AF$2:AF762),$AF$2:$AF$1001,0),MATCH(COLUMNS($AM$1006:AS1006),$AM$1006:$BM$1006,0)), HYPERLINK("#",""), HYPERLINK(CONCATENATE("#metadata!", ADDRESS(INDEX($AH$2:$AH$1001,MATCH(ROWS($AF$2:AF762),$AF$2:$AF$1001,0),0), INDEX($AM$1004:$BM$1004,1,MATCH(COLUMNS($AM$1006:AS1006),$AM$1006:$BM$1006,0)))),"Fix")))</f>
        <v xml:space="preserve"> </v>
      </c>
      <c r="I762" s="4" t="str">
        <f ca="1">IF(OR(INDEX($AG$2:$AG$1001,MATCH(ROWS($AF$2:AF762),$AF$2:$AF$1001,0),1)&gt;=100000,INDEX($AM$1005:$BM$1005,1,MATCH(COLUMNS($AM$1006:AT1006),$AM$1006:$BM$1006,0))&gt;=100000), " ",IF(INDEX($AM$2:$BM$1001,MATCH(ROWS($AF$2:AF762),$AF$2:$AF$1001,0),MATCH(COLUMNS($AM$1006:AT1006),$AM$1006:$BM$1006,0)), HYPERLINK("#",""), HYPERLINK(CONCATENATE("#metadata!", ADDRESS(INDEX($AH$2:$AH$1001,MATCH(ROWS($AF$2:AF762),$AF$2:$AF$1001,0),0), INDEX($AM$1004:$BM$1004,1,MATCH(COLUMNS($AM$1006:AT1006),$AM$1006:$BM$1006,0)))),"Fix")))</f>
        <v xml:space="preserve"> </v>
      </c>
      <c r="J762" s="4" t="str">
        <f ca="1">IF(OR(INDEX($AG$2:$AG$1001,MATCH(ROWS($AF$2:AF762),$AF$2:$AF$1001,0),1)&gt;=100000,INDEX($AM$1005:$BM$1005,1,MATCH(COLUMNS($AM$1006:AU1006),$AM$1006:$BM$1006,0))&gt;=100000), " ",IF(INDEX($AM$2:$BM$1001,MATCH(ROWS($AF$2:AF762),$AF$2:$AF$1001,0),MATCH(COLUMNS($AM$1006:AU1006),$AM$1006:$BM$1006,0)), HYPERLINK("#",""), HYPERLINK(CONCATENATE("#metadata!", ADDRESS(INDEX($AH$2:$AH$1001,MATCH(ROWS($AF$2:AF762),$AF$2:$AF$1001,0),0), INDEX($AM$1004:$BM$1004,1,MATCH(COLUMNS($AM$1006:AU1006),$AM$1006:$BM$1006,0)))),"Fix")))</f>
        <v xml:space="preserve"> </v>
      </c>
      <c r="K762" s="4" t="str">
        <f ca="1">IF(OR(INDEX($AG$2:$AG$1001,MATCH(ROWS($AF$2:AF762),$AF$2:$AF$1001,0),1)&gt;=100000,INDEX($AM$1005:$BM$1005,1,MATCH(COLUMNS($AM$1006:AV1006),$AM$1006:$BM$1006,0))&gt;=100000), " ",IF(INDEX($AM$2:$BM$1001,MATCH(ROWS($AF$2:AF762),$AF$2:$AF$1001,0),MATCH(COLUMNS($AM$1006:AV1006),$AM$1006:$BM$1006,0)), HYPERLINK("#",""), HYPERLINK(CONCATENATE("#metadata!", ADDRESS(INDEX($AH$2:$AH$1001,MATCH(ROWS($AF$2:AF762),$AF$2:$AF$1001,0),0), INDEX($AM$1004:$BM$1004,1,MATCH(COLUMNS($AM$1006:AV1006),$AM$1006:$BM$1006,0)))),"Fix")))</f>
        <v xml:space="preserve"> </v>
      </c>
      <c r="L762" s="4" t="str">
        <f ca="1">IF(OR(INDEX($AG$2:$AG$1001,MATCH(ROWS($AF$2:AF762),$AF$2:$AF$1001,0),1)&gt;=100000,INDEX($AM$1005:$BM$1005,1,MATCH(COLUMNS($AM$1006:AW1006),$AM$1006:$BM$1006,0))&gt;=100000), " ",IF(INDEX($AM$2:$BM$1001,MATCH(ROWS($AF$2:AF762),$AF$2:$AF$1001,0),MATCH(COLUMNS($AM$1006:AW1006),$AM$1006:$BM$1006,0)), HYPERLINK("#",""), HYPERLINK(CONCATENATE("#metadata!", ADDRESS(INDEX($AH$2:$AH$1001,MATCH(ROWS($AF$2:AF762),$AF$2:$AF$1001,0),0), INDEX($AM$1004:$BM$1004,1,MATCH(COLUMNS($AM$1006:AW1006),$AM$1006:$BM$1006,0)))),"Fix")))</f>
        <v xml:space="preserve"> </v>
      </c>
      <c r="M762" s="4" t="str">
        <f ca="1">IF(OR(INDEX($AG$2:$AG$1001,MATCH(ROWS($AF$2:AF762),$AF$2:$AF$1001,0),1)&gt;=100000,INDEX($AM$1005:$BM$1005,1,MATCH(COLUMNS($AM$1006:AX1006),$AM$1006:$BM$1006,0))&gt;=100000), " ",IF(INDEX($AM$2:$BM$1001,MATCH(ROWS($AF$2:AF762),$AF$2:$AF$1001,0),MATCH(COLUMNS($AM$1006:AX1006),$AM$1006:$BM$1006,0)), HYPERLINK("#",""), HYPERLINK(CONCATENATE("#metadata!", ADDRESS(INDEX($AH$2:$AH$1001,MATCH(ROWS($AF$2:AF762),$AF$2:$AF$1001,0),0), INDEX($AM$1004:$BM$1004,1,MATCH(COLUMNS($AM$1006:AX1006),$AM$1006:$BM$1006,0)))),"Fix")))</f>
        <v xml:space="preserve"> </v>
      </c>
      <c r="N762" s="4" t="str">
        <f ca="1">IF(OR(INDEX($AG$2:$AG$1001,MATCH(ROWS($AF$2:AF762),$AF$2:$AF$1001,0),1)&gt;=100000,INDEX($AM$1005:$BM$1005,1,MATCH(COLUMNS($AM$1006:AY1006),$AM$1006:$BM$1006,0))&gt;=100000), " ",IF(INDEX($AM$2:$BM$1001,MATCH(ROWS($AF$2:AF762),$AF$2:$AF$1001,0),MATCH(COLUMNS($AM$1006:AY1006),$AM$1006:$BM$1006,0)), HYPERLINK("#",""), HYPERLINK(CONCATENATE("#metadata!", ADDRESS(INDEX($AH$2:$AH$1001,MATCH(ROWS($AF$2:AF762),$AF$2:$AF$1001,0),0), INDEX($AM$1004:$BM$1004,1,MATCH(COLUMNS($AM$1006:AY1006),$AM$1006:$BM$1006,0)))),"Fix")))</f>
        <v xml:space="preserve"> </v>
      </c>
      <c r="O762" s="4" t="str">
        <f ca="1">IF(OR(INDEX($AG$2:$AG$1001,MATCH(ROWS($AF$2:AF762),$AF$2:$AF$1001,0),1)&gt;=100000,INDEX($AM$1005:$BM$1005,1,MATCH(COLUMNS($AM$1006:AZ1006),$AM$1006:$BM$1006,0))&gt;=100000), " ",IF(INDEX($AM$2:$BM$1001,MATCH(ROWS($AF$2:AF762),$AF$2:$AF$1001,0),MATCH(COLUMNS($AM$1006:AZ1006),$AM$1006:$BM$1006,0)), HYPERLINK("#",""), HYPERLINK(CONCATENATE("#metadata!", ADDRESS(INDEX($AH$2:$AH$1001,MATCH(ROWS($AF$2:AF762),$AF$2:$AF$1001,0),0), INDEX($AM$1004:$BM$1004,1,MATCH(COLUMNS($AM$1006:AZ1006),$AM$1006:$BM$1006,0)))),"Fix")))</f>
        <v xml:space="preserve"> </v>
      </c>
      <c r="P762" s="4" t="str">
        <f ca="1">IF(OR(INDEX($AG$2:$AG$1001,MATCH(ROWS($AF$2:AF762),$AF$2:$AF$1001,0),1)&gt;=100000,INDEX($AM$1005:$BM$1005,1,MATCH(COLUMNS($AM$1006:BA1006),$AM$1006:$BM$1006,0))&gt;=100000), " ",IF(INDEX($AM$2:$BM$1001,MATCH(ROWS($AF$2:AF762),$AF$2:$AF$1001,0),MATCH(COLUMNS($AM$1006:BA1006),$AM$1006:$BM$1006,0)), HYPERLINK("#",""), HYPERLINK(CONCATENATE("#metadata!", ADDRESS(INDEX($AH$2:$AH$1001,MATCH(ROWS($AF$2:AF762),$AF$2:$AF$1001,0),0), INDEX($AM$1004:$BM$1004,1,MATCH(COLUMNS($AM$1006:BA1006),$AM$1006:$BM$1006,0)))),"Fix")))</f>
        <v xml:space="preserve"> </v>
      </c>
      <c r="Q762" s="4" t="str">
        <f ca="1">IF(OR(INDEX($AG$2:$AG$1001,MATCH(ROWS($AF$2:AF762),$AF$2:$AF$1001,0),1)&gt;=100000,INDEX($AM$1005:$BM$1005,1,MATCH(COLUMNS($AM$1006:BB1006),$AM$1006:$BM$1006,0))&gt;=100000), " ",IF(INDEX($AM$2:$BM$1001,MATCH(ROWS($AF$2:AF762),$AF$2:$AF$1001,0),MATCH(COLUMNS($AM$1006:BB1006),$AM$1006:$BM$1006,0)), HYPERLINK("#",""), HYPERLINK(CONCATENATE("#metadata!", ADDRESS(INDEX($AH$2:$AH$1001,MATCH(ROWS($AF$2:AF762),$AF$2:$AF$1001,0),0), INDEX($AM$1004:$BM$1004,1,MATCH(COLUMNS($AM$1006:BB1006),$AM$1006:$BM$1006,0)))),"Fix")))</f>
        <v xml:space="preserve"> </v>
      </c>
      <c r="R762" s="4" t="str">
        <f ca="1">IF(OR(INDEX($AG$2:$AG$1001,MATCH(ROWS($AF$2:AF762),$AF$2:$AF$1001,0),1)&gt;=100000,INDEX($AM$1005:$BM$1005,1,MATCH(COLUMNS($AM$1006:BC1006),$AM$1006:$BM$1006,0))&gt;=100000), " ",IF(INDEX($AM$2:$BM$1001,MATCH(ROWS($AF$2:AF762),$AF$2:$AF$1001,0),MATCH(COLUMNS($AM$1006:BC1006),$AM$1006:$BM$1006,0)), HYPERLINK("#",""), HYPERLINK(CONCATENATE("#metadata!", ADDRESS(INDEX($AH$2:$AH$1001,MATCH(ROWS($AF$2:AF762),$AF$2:$AF$1001,0),0), INDEX($AM$1004:$BM$1004,1,MATCH(COLUMNS($AM$1006:BC1006),$AM$1006:$BM$1006,0)))),"Fix")))</f>
        <v xml:space="preserve"> </v>
      </c>
      <c r="S762" s="4" t="str">
        <f ca="1">IF(OR(INDEX($AG$2:$AG$1001,MATCH(ROWS($AF$2:AF762),$AF$2:$AF$1001,0),1)&gt;=100000,INDEX($AM$1005:$BM$1005,1,MATCH(COLUMNS($AM$1006:BD1006),$AM$1006:$BM$1006,0))&gt;=100000), " ",IF(INDEX($AM$2:$BM$1001,MATCH(ROWS($AF$2:AF762),$AF$2:$AF$1001,0),MATCH(COLUMNS($AM$1006:BD1006),$AM$1006:$BM$1006,0)), HYPERLINK("#",""), HYPERLINK(CONCATENATE("#metadata!", ADDRESS(INDEX($AH$2:$AH$1001,MATCH(ROWS($AF$2:AF762),$AF$2:$AF$1001,0),0), INDEX($AM$1004:$BM$1004,1,MATCH(COLUMNS($AM$1006:BD1006),$AM$1006:$BM$1006,0)))),"Fix")))</f>
        <v xml:space="preserve"> </v>
      </c>
      <c r="T762" s="4" t="str">
        <f ca="1">IF(OR(INDEX($AG$2:$AG$1001,MATCH(ROWS($AF$2:AF762),$AF$2:$AF$1001,0),1)&gt;=100000,INDEX($AM$1005:$BM$1005,1,MATCH(COLUMNS($AM$1006:BE1006),$AM$1006:$BM$1006,0))&gt;=100000), " ",IF(INDEX($AM$2:$BM$1001,MATCH(ROWS($AF$2:AF762),$AF$2:$AF$1001,0),MATCH(COLUMNS($AM$1006:BE1006),$AM$1006:$BM$1006,0)), HYPERLINK("#",""), HYPERLINK(CONCATENATE("#metadata!", ADDRESS(INDEX($AH$2:$AH$1001,MATCH(ROWS($AF$2:AF762),$AF$2:$AF$1001,0),0), INDEX($AM$1004:$BM$1004,1,MATCH(COLUMNS($AM$1006:BE1006),$AM$1006:$BM$1006,0)))),"Fix")))</f>
        <v xml:space="preserve"> </v>
      </c>
      <c r="U762" s="4" t="str">
        <f ca="1">IF(OR(INDEX($AG$2:$AG$1001,MATCH(ROWS($AF$2:AF762),$AF$2:$AF$1001,0),1)&gt;=100000,INDEX($AM$1005:$BM$1005,1,MATCH(COLUMNS($AM$1006:BF1006),$AM$1006:$BM$1006,0))&gt;=100000), " ",IF(INDEX($AM$2:$BM$1001,MATCH(ROWS($AF$2:AF762),$AF$2:$AF$1001,0),MATCH(COLUMNS($AM$1006:BF1006),$AM$1006:$BM$1006,0)), HYPERLINK("#",""), HYPERLINK(CONCATENATE("#metadata!", ADDRESS(INDEX($AH$2:$AH$1001,MATCH(ROWS($AF$2:AF762),$AF$2:$AF$1001,0),0), INDEX($AM$1004:$BM$1004,1,MATCH(COLUMNS($AM$1006:BF1006),$AM$1006:$BM$1006,0)))),"Fix")))</f>
        <v xml:space="preserve"> </v>
      </c>
      <c r="V762" s="4" t="str">
        <f ca="1">IF(OR(INDEX($AG$2:$AG$1001,MATCH(ROWS($AF$2:AF762),$AF$2:$AF$1001,0),1)&gt;=100000,INDEX($AM$1005:$BM$1005,1,MATCH(COLUMNS($AM$1006:BG1006),$AM$1006:$BM$1006,0))&gt;=100000), " ",IF(INDEX($AM$2:$BM$1001,MATCH(ROWS($AF$2:AF762),$AF$2:$AF$1001,0),MATCH(COLUMNS($AM$1006:BG1006),$AM$1006:$BM$1006,0)), HYPERLINK("#",""), HYPERLINK(CONCATENATE("#metadata!", ADDRESS(INDEX($AH$2:$AH$1001,MATCH(ROWS($AF$2:AF762),$AF$2:$AF$1001,0),0), INDEX($AM$1004:$BM$1004,1,MATCH(COLUMNS($AM$1006:BG1006),$AM$1006:$BM$1006,0)))),"Fix")))</f>
        <v xml:space="preserve"> </v>
      </c>
      <c r="W762" s="4" t="str">
        <f ca="1">IF(OR(INDEX($AG$2:$AG$1001,MATCH(ROWS($AF$2:AF762),$AF$2:$AF$1001,0),1)&gt;=100000,INDEX($AM$1005:$BM$1005,1,MATCH(COLUMNS($AM$1006:BH1006),$AM$1006:$BM$1006,0))&gt;=100000), " ",IF(INDEX($AM$2:$BM$1001,MATCH(ROWS($AF$2:AF762),$AF$2:$AF$1001,0),MATCH(COLUMNS($AM$1006:BH1006),$AM$1006:$BM$1006,0)), HYPERLINK("#",""), HYPERLINK(CONCATENATE("#metadata!", ADDRESS(INDEX($AH$2:$AH$1001,MATCH(ROWS($AF$2:AF762),$AF$2:$AF$1001,0),0), INDEX($AM$1004:$BM$1004,1,MATCH(COLUMNS($AM$1006:BH1006),$AM$1006:$BM$1006,0)))),"Fix")))</f>
        <v xml:space="preserve"> </v>
      </c>
      <c r="X762" s="4" t="str">
        <f ca="1">IF(OR(INDEX($AG$2:$AG$1001,MATCH(ROWS($AF$2:AF762),$AF$2:$AF$1001,0),1)&gt;=100000,INDEX($AM$1005:$BM$1005,1,MATCH(COLUMNS($AM$1006:BI1006),$AM$1006:$BM$1006,0))&gt;=100000), " ",IF(INDEX($AM$2:$BM$1001,MATCH(ROWS($AF$2:AF762),$AF$2:$AF$1001,0),MATCH(COLUMNS($AM$1006:BI1006),$AM$1006:$BM$1006,0)), HYPERLINK("#",""), HYPERLINK(CONCATENATE("#metadata!", ADDRESS(INDEX($AH$2:$AH$1001,MATCH(ROWS($AF$2:AF762),$AF$2:$AF$1001,0),0), INDEX($AM$1004:$BM$1004,1,MATCH(COLUMNS($AM$1006:BI1006),$AM$1006:$BM$1006,0)))),"Fix")))</f>
        <v xml:space="preserve"> </v>
      </c>
      <c r="Y762" s="4" t="str">
        <f ca="1">IF(OR(INDEX($AG$2:$AG$1001,MATCH(ROWS($AF$2:AF762),$AF$2:$AF$1001,0),1)&gt;=100000,INDEX($AM$1005:$BM$1005,1,MATCH(COLUMNS($AM$1006:BJ1006),$AM$1006:$BM$1006,0))&gt;=100000), " ",IF(INDEX($AM$2:$BM$1001,MATCH(ROWS($AF$2:AF762),$AF$2:$AF$1001,0),MATCH(COLUMNS($AM$1006:BJ1006),$AM$1006:$BM$1006,0)), HYPERLINK("#",""), HYPERLINK(CONCATENATE("#metadata!", ADDRESS(INDEX($AH$2:$AH$1001,MATCH(ROWS($AF$2:AF762),$AF$2:$AF$1001,0),0), INDEX($AM$1004:$BM$1004,1,MATCH(COLUMNS($AM$1006:BJ1006),$AM$1006:$BM$1006,0)))),"Fix")))</f>
        <v xml:space="preserve"> </v>
      </c>
      <c r="Z762" s="4" t="str">
        <f ca="1">IF(OR(INDEX($AG$2:$AG$1001,MATCH(ROWS($AF$2:AF762),$AF$2:$AF$1001,0),1)&gt;=100000,INDEX($AM$1005:$BM$1005,1,MATCH(COLUMNS($AM$1006:BK1006),$AM$1006:$BM$1006,0))&gt;=100000), " ",IF(INDEX($AM$2:$BM$1001,MATCH(ROWS($AF$2:AF762),$AF$2:$AF$1001,0),MATCH(COLUMNS($AM$1006:BK1006),$AM$1006:$BM$1006,0)), HYPERLINK("#",""), HYPERLINK(CONCATENATE("#metadata!", ADDRESS(INDEX($AH$2:$AH$1001,MATCH(ROWS($AF$2:AF762),$AF$2:$AF$1001,0),0), INDEX($AM$1004:$BM$1004,1,MATCH(COLUMNS($AM$1006:BK1006),$AM$1006:$BM$1006,0)))),"Fix")))</f>
        <v xml:space="preserve"> </v>
      </c>
      <c r="AA762" s="4" t="str">
        <f ca="1">IF(OR(INDEX($AG$2:$AG$1001,MATCH(ROWS($AF$2:AF762),$AF$2:$AF$1001,0),1)&gt;=100000,INDEX($AM$1005:$BM$1005,1,MATCH(COLUMNS($AM$1006:BL1006),$AM$1006:$BM$1006,0))&gt;=100000), " ",IF(INDEX($AM$2:$BM$1001,MATCH(ROWS($AF$2:AF762),$AF$2:$AF$1001,0),MATCH(COLUMNS($AM$1006:BL1006),$AM$1006:$BM$1006,0)), HYPERLINK("#",""), HYPERLINK(CONCATENATE("#metadata!", ADDRESS(INDEX($AH$2:$AH$1001,MATCH(ROWS($AF$2:AF762),$AF$2:$AF$1001,0),0), INDEX($AM$1004:$BM$1004,1,MATCH(COLUMNS($AM$1006:BL1006),$AM$1006:$BM$1006,0)))),"Fix")))</f>
        <v xml:space="preserve"> </v>
      </c>
      <c r="AB762" s="4" t="str">
        <f ca="1">IF(OR(INDEX($AG$2:$AG$1001,MATCH(ROWS($AF$2:AF762),$AF$2:$AF$1001,0),1)&gt;=100000,INDEX($AM$1005:$BM$1005,1,MATCH(COLUMNS($AM$1006:BM1006),$AM$1006:$BM$1006,0))&gt;=100000), " ",IF(INDEX($AM$2:$BM$1001,MATCH(ROWS($AF$2:AF762),$AF$2:$AF$1001,0),MATCH(COLUMNS($AM$1006:BM1006),$AM$1006:$BM$1006,0)), HYPERLINK("#",""), HYPERLINK(CONCATENATE("#metadata!", ADDRESS(INDEX($AH$2:$AH$1001,MATCH(ROWS($AF$2:AF762),$AF$2:$AF$1001,0),0), INDEX($AM$1004:$BM$1004,1,MATCH(COLUMNS($AM$1006:BM1006),$AM$1006:$BM$1006,0)))),"Fix")))</f>
        <v xml:space="preserve"> </v>
      </c>
      <c r="AF762">
        <v>761</v>
      </c>
      <c r="AG762">
        <v>100762</v>
      </c>
      <c r="AH762">
        <v>762</v>
      </c>
      <c r="AI762" t="b">
        <f t="shared" si="11"/>
        <v>1</v>
      </c>
      <c r="AJ762" t="b">
        <f>COUNTBLANK(metadata!B762:AB762)=COLUMNS(metadata!B762:AB762)</f>
        <v>1</v>
      </c>
      <c r="AK762" t="str">
        <v/>
      </c>
      <c r="AM762" t="b">
        <f ca="1">AND(IF(metadata!B762="",FALSE,TRUE),COUNTIF(metadata!B:B, metadata!B762) = 1,NOT(ISERROR(SUMPRODUCT(SEARCH(MID(metadata!B762,ROW(INDIRECT("1:"&amp;LEN(metadata!B762))), 1),"0123456789abcdefghijklmnopqrstuvwxyzABCDEFGHIJKLMNOPQRSTUVWXYZ.")))))</f>
        <v>0</v>
      </c>
      <c r="AN762" t="b">
        <f ca="1">OR(AND(IF(metadata!C762="",FALSE,TRUE),OR(EXACT(metadata!C762,"missing: not collected"),EXACT(metadata!C762,"missing: not provided"),EXACT(metadata!C762,"missing: restricted access"))),AND(IF(metadata!C762="",FALSE,TRUE),AND(AND(IFERROR(INT(LEFT(metadata!C762,4))&gt;1900,FALSE),IFERROR(INT(LEFT(metadata!C762,4))&lt;=YEAR(NOW()),FALSE)), OR(MID(metadata!C762,5,1)="", AND(AND(MID(metadata!C762,5,1)="-",IFERROR(INT(MID(metadata!C762,6,1))&gt;=0,FALSE),IFERROR(INT(MID(metadata!C762,6,1))&lt;=1,FALSE),NOT(MID(metadata!C762,7,1)=""),IFERROR(INT(MID(metadata!C762,6,2))&gt;=1,FALSE),IFERROR(INT(MID(metadata!C762,6,2))&lt;=12,FALSE)), OR(MID(metadata!C762,8,1)="", AND(AND(MID(metadata!C762,8,1)="-",IFERROR(INT(MID(metadata!C762,9,1))&gt;=0,FALSE),IFERROR(INT(MID(metadata!C762,9,1))&lt;=3,FALSE),NOT(MID(metadata!C762,10,1)=""),IFERROR(INT(MID(metadata!C762,9,2))&gt;=1,FALSE),IFERROR(INT(MID(metadata!C762,9,2))&lt;=31,FALSE)), OR(MID(metadata!C762,11,1)="", AND(AND(MID(metadata!C762,11,1)=" ",IFERROR(INT(MID(metadata!C762,12,1))&gt;=0,FALSE),IFERROR(INT(MID(metadata!C762,12,1))&lt;=2,FALSE),NOT(MID(metadata!C762,13,1)=""),IFERROR(INT(MID(metadata!C762,12,2))&gt;=0,FALSE),IFERROR(INT(MID(metadata!C762,12,2))&lt;=23,FALSE)), OR(MID(metadata!C762,14,1)="", AND(AND(MID(metadata!C762,14,1)=":",IFERROR(INT(MID(metadata!C762,15,1))&gt;=0,FALSE),IFERROR(INT(MID(metadata!C762,15,1))&lt;=5,FALSE),NOT(MID(metadata!C762,16,1)=""),IFERROR(INT(MID(metadata!C762,15,2))&gt;=0,FALSE),IFERROR(INT(MID(metadata!C762,15,2))&lt;=59,FALSE)), OR(MID(metadata!C762,17,1)="", AND(AND(MID(metadata!C762,17,1)=":",IFERROR(INT(MID(metadata!C762,18,1))&gt;=0,FALSE),IFERROR(INT(MID(metadata!C762,18,1))&lt;=5,FALSE),NOT(MID(metadata!C762,19,1)=""),IFERROR(INT(MID(metadata!C762,18,2))&gt;=0,FALSE),IFERROR(INT(MID(metadata!C762,18,2))&lt;=59,FALSE)), LEN(metadata!C762)&lt;=19)))))))))))))</f>
        <v>0</v>
      </c>
      <c r="AO762" t="b">
        <f>AND(IF(metadata!D762="",FALSE,TRUE),EXACT(metadata!D762,"Not applicable"))</f>
        <v>0</v>
      </c>
      <c r="AP762" t="b">
        <f>IF(metadata!E762="",FALSE,TRUE)</f>
        <v>0</v>
      </c>
      <c r="AQ762" t="b">
        <f>OR(AND(IF(metadata!F762="",FALSE,TRUE),OR(EXACT(metadata!F762,"missing: not collected"),EXACT(metadata!F762,"missing: not provided"))),AND(IF(metadata!F762="",FALSE,TRUE),OR(EXACT(metadata!F762,"TRUE"),EXACT(metadata!F762,"FALSE"))))</f>
        <v>0</v>
      </c>
      <c r="AR762" t="b">
        <f>OR(AND(IF(metadata!G762="",FALSE,TRUE),OR(EXACT(metadata!G762,"missing: not collected"),EXACT(metadata!G762,"missing: not provided"),EXACT(metadata!G762,"missing: restricted access"))),AND(IF(metadata!G762="",FALSE,ISNUMBER(VALUE(metadata!G762))),metadata!G762&gt;=-413))</f>
        <v>0</v>
      </c>
      <c r="AS762" t="b">
        <f>AND(IF(metadata!H762="",FALSE,TRUE),EXACT(metadata!H762,"meters"))</f>
        <v>0</v>
      </c>
      <c r="AT762" t="b">
        <f>AND(IF(metadata!I762="",FALSE,TRUE),OR(EXACT(metadata!I762,"Host-associated"),EXACT(metadata!I762,"Free-living")))</f>
        <v>0</v>
      </c>
      <c r="AU762" t="b">
        <f>AND(IF(metadata!J762="",FALSE,TRUE),OR(EXACT(metadata!J762,"Animal"),EXACT(metadata!J762,"Fungus"),EXACT(metadata!J762,"Plant"),EXACT(metadata!J762,"Saline"),EXACT(metadata!J762,"Non-saline")))</f>
        <v>0</v>
      </c>
      <c r="AV762" t="b">
        <f>AND(IF(metadata!K762="",FALSE,TRUE),OR(EXACT(metadata!K762,"Plant secretion"),EXACT(metadata!K762,"Plant rhizosphere"),EXACT(metadata!K762,"Plant surface"),EXACT(metadata!K762,"Plant corpus"),EXACT(metadata!K762,"Fungus surface"),EXACT(metadata!K762,"Fungus corpus"),EXACT(metadata!K762,"Animal surface"),EXACT(metadata!K762,"Animal proximal gut"),EXACT(metadata!K762,"Animal corpus"),EXACT(metadata!K762,"Animal distal gut"),EXACT(metadata!K762,"Animal secretion"),EXACT(metadata!K762,"Sub-surface (non-saline)"),EXACT(metadata!K762,"Surface (non-saline)"),EXACT(metadata!K762,"Water (non-saline)"),EXACT(metadata!K762,"Soil (non-saline)"),EXACT(metadata!K762,"Aerosol (non-saline)"),EXACT(metadata!K762,"Sediment (non-saline)"),EXACT(metadata!K762,"Surface (saline)"),EXACT(metadata!K762,"Water (saline)"),EXACT(metadata!K762,"Hypersaline (saline)"),EXACT(metadata!K762,"Aerosol (saline)"),EXACT(metadata!K762,"Sediment (saline)")))</f>
        <v>0</v>
      </c>
      <c r="AW762" t="b">
        <f>IF(metadata!L762="",FALSE,TRUE)</f>
        <v>0</v>
      </c>
      <c r="AX762" t="b">
        <f>IF(metadata!M762="",FALSE,TRUE)</f>
        <v>0</v>
      </c>
      <c r="AY762" t="b">
        <f>IF(metadata!N762="",FALSE,TRUE)</f>
        <v>0</v>
      </c>
      <c r="AZ762" t="b">
        <f>OR(AND(IF(metadata!O762="",FALSE,TRUE),OR(EXACT(metadata!O762,"missing: not collected"),EXACT(metadata!O762,"missing: not provided"),EXACT(metadata!O762,"missing: restricted access"))),AND(IF(metadata!O762="",FALSE,TRUE),OR(EXACT(metadata!O762,"air"),EXACT(metadata!O762,"built environment"),EXACT(metadata!O762,"host-associated"),EXACT(metadata!O762,"human-associated"),EXACT(metadata!O762,"human-skin"),EXACT(metadata!O762,"human-oral"),EXACT(metadata!O762,"human-gut"),EXACT(metadata!O762,"human-vaginal"),EXACT(metadata!O762,"microbial mat/biofilm"),EXACT(metadata!O762,"misc environment"),EXACT(metadata!O762,"plant-associated"),EXACT(metadata!O762,"sediment"),EXACT(metadata!O762,"soil"),EXACT(metadata!O762,"wastewater/sludge"),EXACT(metadata!O762,"water"))))</f>
        <v>0</v>
      </c>
      <c r="BA762" t="b">
        <f>IF(metadata!P762="",FALSE,TRUE)</f>
        <v>0</v>
      </c>
      <c r="BB762" t="b">
        <f>IF(metadata!Q762="",FALSE,TRUE)</f>
        <v>0</v>
      </c>
      <c r="BC762" t="b">
        <f>OR(AND(IF(metadata!R762="",FALSE,TRUE),OR(EXACT(metadata!R762,"missing: not collected"),EXACT(metadata!R762,"missing: not provided"),EXACT(metadata!R762,"missing: restricted access"))),AND(IF(metadata!R762="",FALSE,ISNUMBER(VALUE(metadata!R762))),metadata!R762&gt;=-90,metadata!R762&lt;=90))</f>
        <v>0</v>
      </c>
      <c r="BD762" t="b">
        <f>AND(IF(metadata!S762="",FALSE,TRUE),EXACT(metadata!S762,"Decimal degrees"))</f>
        <v>0</v>
      </c>
      <c r="BE762" t="b">
        <f>OR(AND(IF(metadata!T762="",FALSE,TRUE),OR(EXACT(metadata!T762,"missing: not collected"),EXACT(metadata!T762,"missing: not provided"),EXACT(metadata!T762,"missing: restricted access"))),AND(IF(metadata!T762="",FALSE,ISNUMBER(VALUE(metadata!T762))),metadata!T762&gt;=-180,metadata!T762&lt;=180))</f>
        <v>0</v>
      </c>
      <c r="BF762" t="b">
        <f>AND(IF(metadata!U762="",FALSE,TRUE),EXACT(metadata!U762,"Decimal degrees"))</f>
        <v>0</v>
      </c>
      <c r="BG762" t="b">
        <f>IF(metadata!V762="",FALSE,TRUE)</f>
        <v>0</v>
      </c>
      <c r="BH762" t="b">
        <f>OR(AND(IF(metadata!W762="",FALSE,TRUE),OR(EXACT(metadata!W762,"missing: not collected"),EXACT(metadata!W762,"missing: not provided"),EXACT(metadata!W762,"missing: restricted access"))),AND(IF(metadata!W762="",FALSE,TRUE),OR(EXACT(metadata!W762,"TRUE"),EXACT(metadata!W762,"FALSE"))))</f>
        <v>0</v>
      </c>
      <c r="BI762" t="b">
        <f>AND(IF(metadata!X762="",FALSE,TRUE),EXACT(metadata!X762,"other"))</f>
        <v>0</v>
      </c>
      <c r="BJ762" t="b">
        <f>IF(metadata!Y762="",FALSE,TRUE)</f>
        <v>0</v>
      </c>
      <c r="BK762" t="b">
        <f>OR(AND(IF(metadata!Z762="",FALSE,TRUE),OR(EXACT(metadata!Z762,"missing: not collected"),EXACT(metadata!Z762,"missing: not provided"))),AND(IF(metadata!Z762="",FALSE,IF(ISERROR(INT(metadata!Z762)),FALSE,INT(metadata!Z762)=metadata!Z762)),metadata!Z762&gt;0))</f>
        <v>0</v>
      </c>
      <c r="BL762" t="b">
        <f>AND(IF(metadata!AA762="",FALSE,TRUE),EXACT(metadata!AA762,"Not applicable"))</f>
        <v>0</v>
      </c>
      <c r="BM762" t="b">
        <f>IF(metadata!AB762="",FALSE,TRUE)</f>
        <v>0</v>
      </c>
    </row>
    <row r="763" spans="1:65" x14ac:dyDescent="0.2">
      <c r="A763" s="5" t="str">
        <f ca="1">IF(B763=" "," ",HYPERLINK(CONCATENATE("#metadata!",ADDRESS(INDEX($AH$2:$AH$1001,MATCH(ROWS($AF$2:AF763),$AF$2:$AF$1001,0),0),1)),INDEX($AK$2:$AK$1001,MATCH(ROWS($AF$2:AF763),$AF$2:$AF$1001,0),0)))</f>
        <v xml:space="preserve"> </v>
      </c>
      <c r="B763" s="4" t="str">
        <f ca="1">IF(OR(INDEX($AG$2:$AG$1001,MATCH(ROWS($AF$2:AF763),$AF$2:$AF$1001,0),1)&gt;=100000,INDEX($AM$1005:$BM$1005,1,MATCH(COLUMNS($AM$1006:AM1006),$AM$1006:$BM$1006,0))&gt;=100000), " ",IF(INDEX($AM$2:$BM$1001,MATCH(ROWS($AF$2:AF763),$AF$2:$AF$1001,0),MATCH(COLUMNS($AM$1006:AM1006),$AM$1006:$BM$1006,0)), HYPERLINK("#",""), HYPERLINK(CONCATENATE("#metadata!", ADDRESS(INDEX($AH$2:$AH$1001,MATCH(ROWS($AF$2:AF763),$AF$2:$AF$1001,0),0), INDEX($AM$1004:$BM$1004,1,MATCH(COLUMNS($AM$1006:AM1006),$AM$1006:$BM$1006,0)))),"Fix")))</f>
        <v xml:space="preserve"> </v>
      </c>
      <c r="C763" s="4" t="str">
        <f ca="1">IF(OR(INDEX($AG$2:$AG$1001,MATCH(ROWS($AF$2:AF763),$AF$2:$AF$1001,0),1)&gt;=100000,INDEX($AM$1005:$BM$1005,1,MATCH(COLUMNS($AM$1006:AN1006),$AM$1006:$BM$1006,0))&gt;=100000), " ",IF(INDEX($AM$2:$BM$1001,MATCH(ROWS($AF$2:AF763),$AF$2:$AF$1001,0),MATCH(COLUMNS($AM$1006:AN1006),$AM$1006:$BM$1006,0)), HYPERLINK("#",""), HYPERLINK(CONCATENATE("#metadata!", ADDRESS(INDEX($AH$2:$AH$1001,MATCH(ROWS($AF$2:AF763),$AF$2:$AF$1001,0),0), INDEX($AM$1004:$BM$1004,1,MATCH(COLUMNS($AM$1006:AN1006),$AM$1006:$BM$1006,0)))),"Fix")))</f>
        <v xml:space="preserve"> </v>
      </c>
      <c r="D763" s="4" t="str">
        <f ca="1">IF(OR(INDEX($AG$2:$AG$1001,MATCH(ROWS($AF$2:AF763),$AF$2:$AF$1001,0),1)&gt;=100000,INDEX($AM$1005:$BM$1005,1,MATCH(COLUMNS($AM$1006:AO1006),$AM$1006:$BM$1006,0))&gt;=100000), " ",IF(INDEX($AM$2:$BM$1001,MATCH(ROWS($AF$2:AF763),$AF$2:$AF$1001,0),MATCH(COLUMNS($AM$1006:AO1006),$AM$1006:$BM$1006,0)), HYPERLINK("#",""), HYPERLINK(CONCATENATE("#metadata!", ADDRESS(INDEX($AH$2:$AH$1001,MATCH(ROWS($AF$2:AF763),$AF$2:$AF$1001,0),0), INDEX($AM$1004:$BM$1004,1,MATCH(COLUMNS($AM$1006:AO1006),$AM$1006:$BM$1006,0)))),"Fix")))</f>
        <v xml:space="preserve"> </v>
      </c>
      <c r="E763" s="4" t="str">
        <f ca="1">IF(OR(INDEX($AG$2:$AG$1001,MATCH(ROWS($AF$2:AF763),$AF$2:$AF$1001,0),1)&gt;=100000,INDEX($AM$1005:$BM$1005,1,MATCH(COLUMNS($AM$1006:AP1006),$AM$1006:$BM$1006,0))&gt;=100000), " ",IF(INDEX($AM$2:$BM$1001,MATCH(ROWS($AF$2:AF763),$AF$2:$AF$1001,0),MATCH(COLUMNS($AM$1006:AP1006),$AM$1006:$BM$1006,0)), HYPERLINK("#",""), HYPERLINK(CONCATENATE("#metadata!", ADDRESS(INDEX($AH$2:$AH$1001,MATCH(ROWS($AF$2:AF763),$AF$2:$AF$1001,0),0), INDEX($AM$1004:$BM$1004,1,MATCH(COLUMNS($AM$1006:AP1006),$AM$1006:$BM$1006,0)))),"Fix")))</f>
        <v xml:space="preserve"> </v>
      </c>
      <c r="F763" s="4" t="str">
        <f ca="1">IF(OR(INDEX($AG$2:$AG$1001,MATCH(ROWS($AF$2:AF763),$AF$2:$AF$1001,0),1)&gt;=100000,INDEX($AM$1005:$BM$1005,1,MATCH(COLUMNS($AM$1006:AQ1006),$AM$1006:$BM$1006,0))&gt;=100000), " ",IF(INDEX($AM$2:$BM$1001,MATCH(ROWS($AF$2:AF763),$AF$2:$AF$1001,0),MATCH(COLUMNS($AM$1006:AQ1006),$AM$1006:$BM$1006,0)), HYPERLINK("#",""), HYPERLINK(CONCATENATE("#metadata!", ADDRESS(INDEX($AH$2:$AH$1001,MATCH(ROWS($AF$2:AF763),$AF$2:$AF$1001,0),0), INDEX($AM$1004:$BM$1004,1,MATCH(COLUMNS($AM$1006:AQ1006),$AM$1006:$BM$1006,0)))),"Fix")))</f>
        <v xml:space="preserve"> </v>
      </c>
      <c r="G763" s="4" t="str">
        <f ca="1">IF(OR(INDEX($AG$2:$AG$1001,MATCH(ROWS($AF$2:AF763),$AF$2:$AF$1001,0),1)&gt;=100000,INDEX($AM$1005:$BM$1005,1,MATCH(COLUMNS($AM$1006:AR1006),$AM$1006:$BM$1006,0))&gt;=100000), " ",IF(INDEX($AM$2:$BM$1001,MATCH(ROWS($AF$2:AF763),$AF$2:$AF$1001,0),MATCH(COLUMNS($AM$1006:AR1006),$AM$1006:$BM$1006,0)), HYPERLINK("#",""), HYPERLINK(CONCATENATE("#metadata!", ADDRESS(INDEX($AH$2:$AH$1001,MATCH(ROWS($AF$2:AF763),$AF$2:$AF$1001,0),0), INDEX($AM$1004:$BM$1004,1,MATCH(COLUMNS($AM$1006:AR1006),$AM$1006:$BM$1006,0)))),"Fix")))</f>
        <v xml:space="preserve"> </v>
      </c>
      <c r="H763" s="4" t="str">
        <f ca="1">IF(OR(INDEX($AG$2:$AG$1001,MATCH(ROWS($AF$2:AF763),$AF$2:$AF$1001,0),1)&gt;=100000,INDEX($AM$1005:$BM$1005,1,MATCH(COLUMNS($AM$1006:AS1006),$AM$1006:$BM$1006,0))&gt;=100000), " ",IF(INDEX($AM$2:$BM$1001,MATCH(ROWS($AF$2:AF763),$AF$2:$AF$1001,0),MATCH(COLUMNS($AM$1006:AS1006),$AM$1006:$BM$1006,0)), HYPERLINK("#",""), HYPERLINK(CONCATENATE("#metadata!", ADDRESS(INDEX($AH$2:$AH$1001,MATCH(ROWS($AF$2:AF763),$AF$2:$AF$1001,0),0), INDEX($AM$1004:$BM$1004,1,MATCH(COLUMNS($AM$1006:AS1006),$AM$1006:$BM$1006,0)))),"Fix")))</f>
        <v xml:space="preserve"> </v>
      </c>
      <c r="I763" s="4" t="str">
        <f ca="1">IF(OR(INDEX($AG$2:$AG$1001,MATCH(ROWS($AF$2:AF763),$AF$2:$AF$1001,0),1)&gt;=100000,INDEX($AM$1005:$BM$1005,1,MATCH(COLUMNS($AM$1006:AT1006),$AM$1006:$BM$1006,0))&gt;=100000), " ",IF(INDEX($AM$2:$BM$1001,MATCH(ROWS($AF$2:AF763),$AF$2:$AF$1001,0),MATCH(COLUMNS($AM$1006:AT1006),$AM$1006:$BM$1006,0)), HYPERLINK("#",""), HYPERLINK(CONCATENATE("#metadata!", ADDRESS(INDEX($AH$2:$AH$1001,MATCH(ROWS($AF$2:AF763),$AF$2:$AF$1001,0),0), INDEX($AM$1004:$BM$1004,1,MATCH(COLUMNS($AM$1006:AT1006),$AM$1006:$BM$1006,0)))),"Fix")))</f>
        <v xml:space="preserve"> </v>
      </c>
      <c r="J763" s="4" t="str">
        <f ca="1">IF(OR(INDEX($AG$2:$AG$1001,MATCH(ROWS($AF$2:AF763),$AF$2:$AF$1001,0),1)&gt;=100000,INDEX($AM$1005:$BM$1005,1,MATCH(COLUMNS($AM$1006:AU1006),$AM$1006:$BM$1006,0))&gt;=100000), " ",IF(INDEX($AM$2:$BM$1001,MATCH(ROWS($AF$2:AF763),$AF$2:$AF$1001,0),MATCH(COLUMNS($AM$1006:AU1006),$AM$1006:$BM$1006,0)), HYPERLINK("#",""), HYPERLINK(CONCATENATE("#metadata!", ADDRESS(INDEX($AH$2:$AH$1001,MATCH(ROWS($AF$2:AF763),$AF$2:$AF$1001,0),0), INDEX($AM$1004:$BM$1004,1,MATCH(COLUMNS($AM$1006:AU1006),$AM$1006:$BM$1006,0)))),"Fix")))</f>
        <v xml:space="preserve"> </v>
      </c>
      <c r="K763" s="4" t="str">
        <f ca="1">IF(OR(INDEX($AG$2:$AG$1001,MATCH(ROWS($AF$2:AF763),$AF$2:$AF$1001,0),1)&gt;=100000,INDEX($AM$1005:$BM$1005,1,MATCH(COLUMNS($AM$1006:AV1006),$AM$1006:$BM$1006,0))&gt;=100000), " ",IF(INDEX($AM$2:$BM$1001,MATCH(ROWS($AF$2:AF763),$AF$2:$AF$1001,0),MATCH(COLUMNS($AM$1006:AV1006),$AM$1006:$BM$1006,0)), HYPERLINK("#",""), HYPERLINK(CONCATENATE("#metadata!", ADDRESS(INDEX($AH$2:$AH$1001,MATCH(ROWS($AF$2:AF763),$AF$2:$AF$1001,0),0), INDEX($AM$1004:$BM$1004,1,MATCH(COLUMNS($AM$1006:AV1006),$AM$1006:$BM$1006,0)))),"Fix")))</f>
        <v xml:space="preserve"> </v>
      </c>
      <c r="L763" s="4" t="str">
        <f ca="1">IF(OR(INDEX($AG$2:$AG$1001,MATCH(ROWS($AF$2:AF763),$AF$2:$AF$1001,0),1)&gt;=100000,INDEX($AM$1005:$BM$1005,1,MATCH(COLUMNS($AM$1006:AW1006),$AM$1006:$BM$1006,0))&gt;=100000), " ",IF(INDEX($AM$2:$BM$1001,MATCH(ROWS($AF$2:AF763),$AF$2:$AF$1001,0),MATCH(COLUMNS($AM$1006:AW1006),$AM$1006:$BM$1006,0)), HYPERLINK("#",""), HYPERLINK(CONCATENATE("#metadata!", ADDRESS(INDEX($AH$2:$AH$1001,MATCH(ROWS($AF$2:AF763),$AF$2:$AF$1001,0),0), INDEX($AM$1004:$BM$1004,1,MATCH(COLUMNS($AM$1006:AW1006),$AM$1006:$BM$1006,0)))),"Fix")))</f>
        <v xml:space="preserve"> </v>
      </c>
      <c r="M763" s="4" t="str">
        <f ca="1">IF(OR(INDEX($AG$2:$AG$1001,MATCH(ROWS($AF$2:AF763),$AF$2:$AF$1001,0),1)&gt;=100000,INDEX($AM$1005:$BM$1005,1,MATCH(COLUMNS($AM$1006:AX1006),$AM$1006:$BM$1006,0))&gt;=100000), " ",IF(INDEX($AM$2:$BM$1001,MATCH(ROWS($AF$2:AF763),$AF$2:$AF$1001,0),MATCH(COLUMNS($AM$1006:AX1006),$AM$1006:$BM$1006,0)), HYPERLINK("#",""), HYPERLINK(CONCATENATE("#metadata!", ADDRESS(INDEX($AH$2:$AH$1001,MATCH(ROWS($AF$2:AF763),$AF$2:$AF$1001,0),0), INDEX($AM$1004:$BM$1004,1,MATCH(COLUMNS($AM$1006:AX1006),$AM$1006:$BM$1006,0)))),"Fix")))</f>
        <v xml:space="preserve"> </v>
      </c>
      <c r="N763" s="4" t="str">
        <f ca="1">IF(OR(INDEX($AG$2:$AG$1001,MATCH(ROWS($AF$2:AF763),$AF$2:$AF$1001,0),1)&gt;=100000,INDEX($AM$1005:$BM$1005,1,MATCH(COLUMNS($AM$1006:AY1006),$AM$1006:$BM$1006,0))&gt;=100000), " ",IF(INDEX($AM$2:$BM$1001,MATCH(ROWS($AF$2:AF763),$AF$2:$AF$1001,0),MATCH(COLUMNS($AM$1006:AY1006),$AM$1006:$BM$1006,0)), HYPERLINK("#",""), HYPERLINK(CONCATENATE("#metadata!", ADDRESS(INDEX($AH$2:$AH$1001,MATCH(ROWS($AF$2:AF763),$AF$2:$AF$1001,0),0), INDEX($AM$1004:$BM$1004,1,MATCH(COLUMNS($AM$1006:AY1006),$AM$1006:$BM$1006,0)))),"Fix")))</f>
        <v xml:space="preserve"> </v>
      </c>
      <c r="O763" s="4" t="str">
        <f ca="1">IF(OR(INDEX($AG$2:$AG$1001,MATCH(ROWS($AF$2:AF763),$AF$2:$AF$1001,0),1)&gt;=100000,INDEX($AM$1005:$BM$1005,1,MATCH(COLUMNS($AM$1006:AZ1006),$AM$1006:$BM$1006,0))&gt;=100000), " ",IF(INDEX($AM$2:$BM$1001,MATCH(ROWS($AF$2:AF763),$AF$2:$AF$1001,0),MATCH(COLUMNS($AM$1006:AZ1006),$AM$1006:$BM$1006,0)), HYPERLINK("#",""), HYPERLINK(CONCATENATE("#metadata!", ADDRESS(INDEX($AH$2:$AH$1001,MATCH(ROWS($AF$2:AF763),$AF$2:$AF$1001,0),0), INDEX($AM$1004:$BM$1004,1,MATCH(COLUMNS($AM$1006:AZ1006),$AM$1006:$BM$1006,0)))),"Fix")))</f>
        <v xml:space="preserve"> </v>
      </c>
      <c r="P763" s="4" t="str">
        <f ca="1">IF(OR(INDEX($AG$2:$AG$1001,MATCH(ROWS($AF$2:AF763),$AF$2:$AF$1001,0),1)&gt;=100000,INDEX($AM$1005:$BM$1005,1,MATCH(COLUMNS($AM$1006:BA1006),$AM$1006:$BM$1006,0))&gt;=100000), " ",IF(INDEX($AM$2:$BM$1001,MATCH(ROWS($AF$2:AF763),$AF$2:$AF$1001,0),MATCH(COLUMNS($AM$1006:BA1006),$AM$1006:$BM$1006,0)), HYPERLINK("#",""), HYPERLINK(CONCATENATE("#metadata!", ADDRESS(INDEX($AH$2:$AH$1001,MATCH(ROWS($AF$2:AF763),$AF$2:$AF$1001,0),0), INDEX($AM$1004:$BM$1004,1,MATCH(COLUMNS($AM$1006:BA1006),$AM$1006:$BM$1006,0)))),"Fix")))</f>
        <v xml:space="preserve"> </v>
      </c>
      <c r="Q763" s="4" t="str">
        <f ca="1">IF(OR(INDEX($AG$2:$AG$1001,MATCH(ROWS($AF$2:AF763),$AF$2:$AF$1001,0),1)&gt;=100000,INDEX($AM$1005:$BM$1005,1,MATCH(COLUMNS($AM$1006:BB1006),$AM$1006:$BM$1006,0))&gt;=100000), " ",IF(INDEX($AM$2:$BM$1001,MATCH(ROWS($AF$2:AF763),$AF$2:$AF$1001,0),MATCH(COLUMNS($AM$1006:BB1006),$AM$1006:$BM$1006,0)), HYPERLINK("#",""), HYPERLINK(CONCATENATE("#metadata!", ADDRESS(INDEX($AH$2:$AH$1001,MATCH(ROWS($AF$2:AF763),$AF$2:$AF$1001,0),0), INDEX($AM$1004:$BM$1004,1,MATCH(COLUMNS($AM$1006:BB1006),$AM$1006:$BM$1006,0)))),"Fix")))</f>
        <v xml:space="preserve"> </v>
      </c>
      <c r="R763" s="4" t="str">
        <f ca="1">IF(OR(INDEX($AG$2:$AG$1001,MATCH(ROWS($AF$2:AF763),$AF$2:$AF$1001,0),1)&gt;=100000,INDEX($AM$1005:$BM$1005,1,MATCH(COLUMNS($AM$1006:BC1006),$AM$1006:$BM$1006,0))&gt;=100000), " ",IF(INDEX($AM$2:$BM$1001,MATCH(ROWS($AF$2:AF763),$AF$2:$AF$1001,0),MATCH(COLUMNS($AM$1006:BC1006),$AM$1006:$BM$1006,0)), HYPERLINK("#",""), HYPERLINK(CONCATENATE("#metadata!", ADDRESS(INDEX($AH$2:$AH$1001,MATCH(ROWS($AF$2:AF763),$AF$2:$AF$1001,0),0), INDEX($AM$1004:$BM$1004,1,MATCH(COLUMNS($AM$1006:BC1006),$AM$1006:$BM$1006,0)))),"Fix")))</f>
        <v xml:space="preserve"> </v>
      </c>
      <c r="S763" s="4" t="str">
        <f ca="1">IF(OR(INDEX($AG$2:$AG$1001,MATCH(ROWS($AF$2:AF763),$AF$2:$AF$1001,0),1)&gt;=100000,INDEX($AM$1005:$BM$1005,1,MATCH(COLUMNS($AM$1006:BD1006),$AM$1006:$BM$1006,0))&gt;=100000), " ",IF(INDEX($AM$2:$BM$1001,MATCH(ROWS($AF$2:AF763),$AF$2:$AF$1001,0),MATCH(COLUMNS($AM$1006:BD1006),$AM$1006:$BM$1006,0)), HYPERLINK("#",""), HYPERLINK(CONCATENATE("#metadata!", ADDRESS(INDEX($AH$2:$AH$1001,MATCH(ROWS($AF$2:AF763),$AF$2:$AF$1001,0),0), INDEX($AM$1004:$BM$1004,1,MATCH(COLUMNS($AM$1006:BD1006),$AM$1006:$BM$1006,0)))),"Fix")))</f>
        <v xml:space="preserve"> </v>
      </c>
      <c r="T763" s="4" t="str">
        <f ca="1">IF(OR(INDEX($AG$2:$AG$1001,MATCH(ROWS($AF$2:AF763),$AF$2:$AF$1001,0),1)&gt;=100000,INDEX($AM$1005:$BM$1005,1,MATCH(COLUMNS($AM$1006:BE1006),$AM$1006:$BM$1006,0))&gt;=100000), " ",IF(INDEX($AM$2:$BM$1001,MATCH(ROWS($AF$2:AF763),$AF$2:$AF$1001,0),MATCH(COLUMNS($AM$1006:BE1006),$AM$1006:$BM$1006,0)), HYPERLINK("#",""), HYPERLINK(CONCATENATE("#metadata!", ADDRESS(INDEX($AH$2:$AH$1001,MATCH(ROWS($AF$2:AF763),$AF$2:$AF$1001,0),0), INDEX($AM$1004:$BM$1004,1,MATCH(COLUMNS($AM$1006:BE1006),$AM$1006:$BM$1006,0)))),"Fix")))</f>
        <v xml:space="preserve"> </v>
      </c>
      <c r="U763" s="4" t="str">
        <f ca="1">IF(OR(INDEX($AG$2:$AG$1001,MATCH(ROWS($AF$2:AF763),$AF$2:$AF$1001,0),1)&gt;=100000,INDEX($AM$1005:$BM$1005,1,MATCH(COLUMNS($AM$1006:BF1006),$AM$1006:$BM$1006,0))&gt;=100000), " ",IF(INDEX($AM$2:$BM$1001,MATCH(ROWS($AF$2:AF763),$AF$2:$AF$1001,0),MATCH(COLUMNS($AM$1006:BF1006),$AM$1006:$BM$1006,0)), HYPERLINK("#",""), HYPERLINK(CONCATENATE("#metadata!", ADDRESS(INDEX($AH$2:$AH$1001,MATCH(ROWS($AF$2:AF763),$AF$2:$AF$1001,0),0), INDEX($AM$1004:$BM$1004,1,MATCH(COLUMNS($AM$1006:BF1006),$AM$1006:$BM$1006,0)))),"Fix")))</f>
        <v xml:space="preserve"> </v>
      </c>
      <c r="V763" s="4" t="str">
        <f ca="1">IF(OR(INDEX($AG$2:$AG$1001,MATCH(ROWS($AF$2:AF763),$AF$2:$AF$1001,0),1)&gt;=100000,INDEX($AM$1005:$BM$1005,1,MATCH(COLUMNS($AM$1006:BG1006),$AM$1006:$BM$1006,0))&gt;=100000), " ",IF(INDEX($AM$2:$BM$1001,MATCH(ROWS($AF$2:AF763),$AF$2:$AF$1001,0),MATCH(COLUMNS($AM$1006:BG1006),$AM$1006:$BM$1006,0)), HYPERLINK("#",""), HYPERLINK(CONCATENATE("#metadata!", ADDRESS(INDEX($AH$2:$AH$1001,MATCH(ROWS($AF$2:AF763),$AF$2:$AF$1001,0),0), INDEX($AM$1004:$BM$1004,1,MATCH(COLUMNS($AM$1006:BG1006),$AM$1006:$BM$1006,0)))),"Fix")))</f>
        <v xml:space="preserve"> </v>
      </c>
      <c r="W763" s="4" t="str">
        <f ca="1">IF(OR(INDEX($AG$2:$AG$1001,MATCH(ROWS($AF$2:AF763),$AF$2:$AF$1001,0),1)&gt;=100000,INDEX($AM$1005:$BM$1005,1,MATCH(COLUMNS($AM$1006:BH1006),$AM$1006:$BM$1006,0))&gt;=100000), " ",IF(INDEX($AM$2:$BM$1001,MATCH(ROWS($AF$2:AF763),$AF$2:$AF$1001,0),MATCH(COLUMNS($AM$1006:BH1006),$AM$1006:$BM$1006,0)), HYPERLINK("#",""), HYPERLINK(CONCATENATE("#metadata!", ADDRESS(INDEX($AH$2:$AH$1001,MATCH(ROWS($AF$2:AF763),$AF$2:$AF$1001,0),0), INDEX($AM$1004:$BM$1004,1,MATCH(COLUMNS($AM$1006:BH1006),$AM$1006:$BM$1006,0)))),"Fix")))</f>
        <v xml:space="preserve"> </v>
      </c>
      <c r="X763" s="4" t="str">
        <f ca="1">IF(OR(INDEX($AG$2:$AG$1001,MATCH(ROWS($AF$2:AF763),$AF$2:$AF$1001,0),1)&gt;=100000,INDEX($AM$1005:$BM$1005,1,MATCH(COLUMNS($AM$1006:BI1006),$AM$1006:$BM$1006,0))&gt;=100000), " ",IF(INDEX($AM$2:$BM$1001,MATCH(ROWS($AF$2:AF763),$AF$2:$AF$1001,0),MATCH(COLUMNS($AM$1006:BI1006),$AM$1006:$BM$1006,0)), HYPERLINK("#",""), HYPERLINK(CONCATENATE("#metadata!", ADDRESS(INDEX($AH$2:$AH$1001,MATCH(ROWS($AF$2:AF763),$AF$2:$AF$1001,0),0), INDEX($AM$1004:$BM$1004,1,MATCH(COLUMNS($AM$1006:BI1006),$AM$1006:$BM$1006,0)))),"Fix")))</f>
        <v xml:space="preserve"> </v>
      </c>
      <c r="Y763" s="4" t="str">
        <f ca="1">IF(OR(INDEX($AG$2:$AG$1001,MATCH(ROWS($AF$2:AF763),$AF$2:$AF$1001,0),1)&gt;=100000,INDEX($AM$1005:$BM$1005,1,MATCH(COLUMNS($AM$1006:BJ1006),$AM$1006:$BM$1006,0))&gt;=100000), " ",IF(INDEX($AM$2:$BM$1001,MATCH(ROWS($AF$2:AF763),$AF$2:$AF$1001,0),MATCH(COLUMNS($AM$1006:BJ1006),$AM$1006:$BM$1006,0)), HYPERLINK("#",""), HYPERLINK(CONCATENATE("#metadata!", ADDRESS(INDEX($AH$2:$AH$1001,MATCH(ROWS($AF$2:AF763),$AF$2:$AF$1001,0),0), INDEX($AM$1004:$BM$1004,1,MATCH(COLUMNS($AM$1006:BJ1006),$AM$1006:$BM$1006,0)))),"Fix")))</f>
        <v xml:space="preserve"> </v>
      </c>
      <c r="Z763" s="4" t="str">
        <f ca="1">IF(OR(INDEX($AG$2:$AG$1001,MATCH(ROWS($AF$2:AF763),$AF$2:$AF$1001,0),1)&gt;=100000,INDEX($AM$1005:$BM$1005,1,MATCH(COLUMNS($AM$1006:BK1006),$AM$1006:$BM$1006,0))&gt;=100000), " ",IF(INDEX($AM$2:$BM$1001,MATCH(ROWS($AF$2:AF763),$AF$2:$AF$1001,0),MATCH(COLUMNS($AM$1006:BK1006),$AM$1006:$BM$1006,0)), HYPERLINK("#",""), HYPERLINK(CONCATENATE("#metadata!", ADDRESS(INDEX($AH$2:$AH$1001,MATCH(ROWS($AF$2:AF763),$AF$2:$AF$1001,0),0), INDEX($AM$1004:$BM$1004,1,MATCH(COLUMNS($AM$1006:BK1006),$AM$1006:$BM$1006,0)))),"Fix")))</f>
        <v xml:space="preserve"> </v>
      </c>
      <c r="AA763" s="4" t="str">
        <f ca="1">IF(OR(INDEX($AG$2:$AG$1001,MATCH(ROWS($AF$2:AF763),$AF$2:$AF$1001,0),1)&gt;=100000,INDEX($AM$1005:$BM$1005,1,MATCH(COLUMNS($AM$1006:BL1006),$AM$1006:$BM$1006,0))&gt;=100000), " ",IF(INDEX($AM$2:$BM$1001,MATCH(ROWS($AF$2:AF763),$AF$2:$AF$1001,0),MATCH(COLUMNS($AM$1006:BL1006),$AM$1006:$BM$1006,0)), HYPERLINK("#",""), HYPERLINK(CONCATENATE("#metadata!", ADDRESS(INDEX($AH$2:$AH$1001,MATCH(ROWS($AF$2:AF763),$AF$2:$AF$1001,0),0), INDEX($AM$1004:$BM$1004,1,MATCH(COLUMNS($AM$1006:BL1006),$AM$1006:$BM$1006,0)))),"Fix")))</f>
        <v xml:space="preserve"> </v>
      </c>
      <c r="AB763" s="4" t="str">
        <f ca="1">IF(OR(INDEX($AG$2:$AG$1001,MATCH(ROWS($AF$2:AF763),$AF$2:$AF$1001,0),1)&gt;=100000,INDEX($AM$1005:$BM$1005,1,MATCH(COLUMNS($AM$1006:BM1006),$AM$1006:$BM$1006,0))&gt;=100000), " ",IF(INDEX($AM$2:$BM$1001,MATCH(ROWS($AF$2:AF763),$AF$2:$AF$1001,0),MATCH(COLUMNS($AM$1006:BM1006),$AM$1006:$BM$1006,0)), HYPERLINK("#",""), HYPERLINK(CONCATENATE("#metadata!", ADDRESS(INDEX($AH$2:$AH$1001,MATCH(ROWS($AF$2:AF763),$AF$2:$AF$1001,0),0), INDEX($AM$1004:$BM$1004,1,MATCH(COLUMNS($AM$1006:BM1006),$AM$1006:$BM$1006,0)))),"Fix")))</f>
        <v xml:space="preserve"> </v>
      </c>
      <c r="AF763">
        <v>762</v>
      </c>
      <c r="AG763">
        <v>100763</v>
      </c>
      <c r="AH763">
        <v>763</v>
      </c>
      <c r="AI763" t="b">
        <f t="shared" si="11"/>
        <v>1</v>
      </c>
      <c r="AJ763" t="b">
        <f>COUNTBLANK(metadata!B763:AB763)=COLUMNS(metadata!B763:AB763)</f>
        <v>1</v>
      </c>
      <c r="AK763" t="str">
        <v/>
      </c>
      <c r="AM763" t="b">
        <f ca="1">AND(IF(metadata!B763="",FALSE,TRUE),COUNTIF(metadata!B:B, metadata!B763) = 1,NOT(ISERROR(SUMPRODUCT(SEARCH(MID(metadata!B763,ROW(INDIRECT("1:"&amp;LEN(metadata!B763))), 1),"0123456789abcdefghijklmnopqrstuvwxyzABCDEFGHIJKLMNOPQRSTUVWXYZ.")))))</f>
        <v>0</v>
      </c>
      <c r="AN763" t="b">
        <f ca="1">OR(AND(IF(metadata!C763="",FALSE,TRUE),OR(EXACT(metadata!C763,"missing: not collected"),EXACT(metadata!C763,"missing: not provided"),EXACT(metadata!C763,"missing: restricted access"))),AND(IF(metadata!C763="",FALSE,TRUE),AND(AND(IFERROR(INT(LEFT(metadata!C763,4))&gt;1900,FALSE),IFERROR(INT(LEFT(metadata!C763,4))&lt;=YEAR(NOW()),FALSE)), OR(MID(metadata!C763,5,1)="", AND(AND(MID(metadata!C763,5,1)="-",IFERROR(INT(MID(metadata!C763,6,1))&gt;=0,FALSE),IFERROR(INT(MID(metadata!C763,6,1))&lt;=1,FALSE),NOT(MID(metadata!C763,7,1)=""),IFERROR(INT(MID(metadata!C763,6,2))&gt;=1,FALSE),IFERROR(INT(MID(metadata!C763,6,2))&lt;=12,FALSE)), OR(MID(metadata!C763,8,1)="", AND(AND(MID(metadata!C763,8,1)="-",IFERROR(INT(MID(metadata!C763,9,1))&gt;=0,FALSE),IFERROR(INT(MID(metadata!C763,9,1))&lt;=3,FALSE),NOT(MID(metadata!C763,10,1)=""),IFERROR(INT(MID(metadata!C763,9,2))&gt;=1,FALSE),IFERROR(INT(MID(metadata!C763,9,2))&lt;=31,FALSE)), OR(MID(metadata!C763,11,1)="", AND(AND(MID(metadata!C763,11,1)=" ",IFERROR(INT(MID(metadata!C763,12,1))&gt;=0,FALSE),IFERROR(INT(MID(metadata!C763,12,1))&lt;=2,FALSE),NOT(MID(metadata!C763,13,1)=""),IFERROR(INT(MID(metadata!C763,12,2))&gt;=0,FALSE),IFERROR(INT(MID(metadata!C763,12,2))&lt;=23,FALSE)), OR(MID(metadata!C763,14,1)="", AND(AND(MID(metadata!C763,14,1)=":",IFERROR(INT(MID(metadata!C763,15,1))&gt;=0,FALSE),IFERROR(INT(MID(metadata!C763,15,1))&lt;=5,FALSE),NOT(MID(metadata!C763,16,1)=""),IFERROR(INT(MID(metadata!C763,15,2))&gt;=0,FALSE),IFERROR(INT(MID(metadata!C763,15,2))&lt;=59,FALSE)), OR(MID(metadata!C763,17,1)="", AND(AND(MID(metadata!C763,17,1)=":",IFERROR(INT(MID(metadata!C763,18,1))&gt;=0,FALSE),IFERROR(INT(MID(metadata!C763,18,1))&lt;=5,FALSE),NOT(MID(metadata!C763,19,1)=""),IFERROR(INT(MID(metadata!C763,18,2))&gt;=0,FALSE),IFERROR(INT(MID(metadata!C763,18,2))&lt;=59,FALSE)), LEN(metadata!C763)&lt;=19)))))))))))))</f>
        <v>0</v>
      </c>
      <c r="AO763" t="b">
        <f>AND(IF(metadata!D763="",FALSE,TRUE),EXACT(metadata!D763,"Not applicable"))</f>
        <v>0</v>
      </c>
      <c r="AP763" t="b">
        <f>IF(metadata!E763="",FALSE,TRUE)</f>
        <v>0</v>
      </c>
      <c r="AQ763" t="b">
        <f>OR(AND(IF(metadata!F763="",FALSE,TRUE),OR(EXACT(metadata!F763,"missing: not collected"),EXACT(metadata!F763,"missing: not provided"))),AND(IF(metadata!F763="",FALSE,TRUE),OR(EXACT(metadata!F763,"TRUE"),EXACT(metadata!F763,"FALSE"))))</f>
        <v>0</v>
      </c>
      <c r="AR763" t="b">
        <f>OR(AND(IF(metadata!G763="",FALSE,TRUE),OR(EXACT(metadata!G763,"missing: not collected"),EXACT(metadata!G763,"missing: not provided"),EXACT(metadata!G763,"missing: restricted access"))),AND(IF(metadata!G763="",FALSE,ISNUMBER(VALUE(metadata!G763))),metadata!G763&gt;=-413))</f>
        <v>0</v>
      </c>
      <c r="AS763" t="b">
        <f>AND(IF(metadata!H763="",FALSE,TRUE),EXACT(metadata!H763,"meters"))</f>
        <v>0</v>
      </c>
      <c r="AT763" t="b">
        <f>AND(IF(metadata!I763="",FALSE,TRUE),OR(EXACT(metadata!I763,"Host-associated"),EXACT(metadata!I763,"Free-living")))</f>
        <v>0</v>
      </c>
      <c r="AU763" t="b">
        <f>AND(IF(metadata!J763="",FALSE,TRUE),OR(EXACT(metadata!J763,"Animal"),EXACT(metadata!J763,"Fungus"),EXACT(metadata!J763,"Plant"),EXACT(metadata!J763,"Saline"),EXACT(metadata!J763,"Non-saline")))</f>
        <v>0</v>
      </c>
      <c r="AV763" t="b">
        <f>AND(IF(metadata!K763="",FALSE,TRUE),OR(EXACT(metadata!K763,"Plant secretion"),EXACT(metadata!K763,"Plant rhizosphere"),EXACT(metadata!K763,"Plant surface"),EXACT(metadata!K763,"Plant corpus"),EXACT(metadata!K763,"Fungus surface"),EXACT(metadata!K763,"Fungus corpus"),EXACT(metadata!K763,"Animal surface"),EXACT(metadata!K763,"Animal proximal gut"),EXACT(metadata!K763,"Animal corpus"),EXACT(metadata!K763,"Animal distal gut"),EXACT(metadata!K763,"Animal secretion"),EXACT(metadata!K763,"Sub-surface (non-saline)"),EXACT(metadata!K763,"Surface (non-saline)"),EXACT(metadata!K763,"Water (non-saline)"),EXACT(metadata!K763,"Soil (non-saline)"),EXACT(metadata!K763,"Aerosol (non-saline)"),EXACT(metadata!K763,"Sediment (non-saline)"),EXACT(metadata!K763,"Surface (saline)"),EXACT(metadata!K763,"Water (saline)"),EXACT(metadata!K763,"Hypersaline (saline)"),EXACT(metadata!K763,"Aerosol (saline)"),EXACT(metadata!K763,"Sediment (saline)")))</f>
        <v>0</v>
      </c>
      <c r="AW763" t="b">
        <f>IF(metadata!L763="",FALSE,TRUE)</f>
        <v>0</v>
      </c>
      <c r="AX763" t="b">
        <f>IF(metadata!M763="",FALSE,TRUE)</f>
        <v>0</v>
      </c>
      <c r="AY763" t="b">
        <f>IF(metadata!N763="",FALSE,TRUE)</f>
        <v>0</v>
      </c>
      <c r="AZ763" t="b">
        <f>OR(AND(IF(metadata!O763="",FALSE,TRUE),OR(EXACT(metadata!O763,"missing: not collected"),EXACT(metadata!O763,"missing: not provided"),EXACT(metadata!O763,"missing: restricted access"))),AND(IF(metadata!O763="",FALSE,TRUE),OR(EXACT(metadata!O763,"air"),EXACT(metadata!O763,"built environment"),EXACT(metadata!O763,"host-associated"),EXACT(metadata!O763,"human-associated"),EXACT(metadata!O763,"human-skin"),EXACT(metadata!O763,"human-oral"),EXACT(metadata!O763,"human-gut"),EXACT(metadata!O763,"human-vaginal"),EXACT(metadata!O763,"microbial mat/biofilm"),EXACT(metadata!O763,"misc environment"),EXACT(metadata!O763,"plant-associated"),EXACT(metadata!O763,"sediment"),EXACT(metadata!O763,"soil"),EXACT(metadata!O763,"wastewater/sludge"),EXACT(metadata!O763,"water"))))</f>
        <v>0</v>
      </c>
      <c r="BA763" t="b">
        <f>IF(metadata!P763="",FALSE,TRUE)</f>
        <v>0</v>
      </c>
      <c r="BB763" t="b">
        <f>IF(metadata!Q763="",FALSE,TRUE)</f>
        <v>0</v>
      </c>
      <c r="BC763" t="b">
        <f>OR(AND(IF(metadata!R763="",FALSE,TRUE),OR(EXACT(metadata!R763,"missing: not collected"),EXACT(metadata!R763,"missing: not provided"),EXACT(metadata!R763,"missing: restricted access"))),AND(IF(metadata!R763="",FALSE,ISNUMBER(VALUE(metadata!R763))),metadata!R763&gt;=-90,metadata!R763&lt;=90))</f>
        <v>0</v>
      </c>
      <c r="BD763" t="b">
        <f>AND(IF(metadata!S763="",FALSE,TRUE),EXACT(metadata!S763,"Decimal degrees"))</f>
        <v>0</v>
      </c>
      <c r="BE763" t="b">
        <f>OR(AND(IF(metadata!T763="",FALSE,TRUE),OR(EXACT(metadata!T763,"missing: not collected"),EXACT(metadata!T763,"missing: not provided"),EXACT(metadata!T763,"missing: restricted access"))),AND(IF(metadata!T763="",FALSE,ISNUMBER(VALUE(metadata!T763))),metadata!T763&gt;=-180,metadata!T763&lt;=180))</f>
        <v>0</v>
      </c>
      <c r="BF763" t="b">
        <f>AND(IF(metadata!U763="",FALSE,TRUE),EXACT(metadata!U763,"Decimal degrees"))</f>
        <v>0</v>
      </c>
      <c r="BG763" t="b">
        <f>IF(metadata!V763="",FALSE,TRUE)</f>
        <v>0</v>
      </c>
      <c r="BH763" t="b">
        <f>OR(AND(IF(metadata!W763="",FALSE,TRUE),OR(EXACT(metadata!W763,"missing: not collected"),EXACT(metadata!W763,"missing: not provided"),EXACT(metadata!W763,"missing: restricted access"))),AND(IF(metadata!W763="",FALSE,TRUE),OR(EXACT(metadata!W763,"TRUE"),EXACT(metadata!W763,"FALSE"))))</f>
        <v>0</v>
      </c>
      <c r="BI763" t="b">
        <f>AND(IF(metadata!X763="",FALSE,TRUE),EXACT(metadata!X763,"other"))</f>
        <v>0</v>
      </c>
      <c r="BJ763" t="b">
        <f>IF(metadata!Y763="",FALSE,TRUE)</f>
        <v>0</v>
      </c>
      <c r="BK763" t="b">
        <f>OR(AND(IF(metadata!Z763="",FALSE,TRUE),OR(EXACT(metadata!Z763,"missing: not collected"),EXACT(metadata!Z763,"missing: not provided"))),AND(IF(metadata!Z763="",FALSE,IF(ISERROR(INT(metadata!Z763)),FALSE,INT(metadata!Z763)=metadata!Z763)),metadata!Z763&gt;0))</f>
        <v>0</v>
      </c>
      <c r="BL763" t="b">
        <f>AND(IF(metadata!AA763="",FALSE,TRUE),EXACT(metadata!AA763,"Not applicable"))</f>
        <v>0</v>
      </c>
      <c r="BM763" t="b">
        <f>IF(metadata!AB763="",FALSE,TRUE)</f>
        <v>0</v>
      </c>
    </row>
    <row r="764" spans="1:65" x14ac:dyDescent="0.2">
      <c r="A764" s="5" t="str">
        <f ca="1">IF(B764=" "," ",HYPERLINK(CONCATENATE("#metadata!",ADDRESS(INDEX($AH$2:$AH$1001,MATCH(ROWS($AF$2:AF764),$AF$2:$AF$1001,0),0),1)),INDEX($AK$2:$AK$1001,MATCH(ROWS($AF$2:AF764),$AF$2:$AF$1001,0),0)))</f>
        <v xml:space="preserve"> </v>
      </c>
      <c r="B764" s="4" t="str">
        <f ca="1">IF(OR(INDEX($AG$2:$AG$1001,MATCH(ROWS($AF$2:AF764),$AF$2:$AF$1001,0),1)&gt;=100000,INDEX($AM$1005:$BM$1005,1,MATCH(COLUMNS($AM$1006:AM1006),$AM$1006:$BM$1006,0))&gt;=100000), " ",IF(INDEX($AM$2:$BM$1001,MATCH(ROWS($AF$2:AF764),$AF$2:$AF$1001,0),MATCH(COLUMNS($AM$1006:AM1006),$AM$1006:$BM$1006,0)), HYPERLINK("#",""), HYPERLINK(CONCATENATE("#metadata!", ADDRESS(INDEX($AH$2:$AH$1001,MATCH(ROWS($AF$2:AF764),$AF$2:$AF$1001,0),0), INDEX($AM$1004:$BM$1004,1,MATCH(COLUMNS($AM$1006:AM1006),$AM$1006:$BM$1006,0)))),"Fix")))</f>
        <v xml:space="preserve"> </v>
      </c>
      <c r="C764" s="4" t="str">
        <f ca="1">IF(OR(INDEX($AG$2:$AG$1001,MATCH(ROWS($AF$2:AF764),$AF$2:$AF$1001,0),1)&gt;=100000,INDEX($AM$1005:$BM$1005,1,MATCH(COLUMNS($AM$1006:AN1006),$AM$1006:$BM$1006,0))&gt;=100000), " ",IF(INDEX($AM$2:$BM$1001,MATCH(ROWS($AF$2:AF764),$AF$2:$AF$1001,0),MATCH(COLUMNS($AM$1006:AN1006),$AM$1006:$BM$1006,0)), HYPERLINK("#",""), HYPERLINK(CONCATENATE("#metadata!", ADDRESS(INDEX($AH$2:$AH$1001,MATCH(ROWS($AF$2:AF764),$AF$2:$AF$1001,0),0), INDEX($AM$1004:$BM$1004,1,MATCH(COLUMNS($AM$1006:AN1006),$AM$1006:$BM$1006,0)))),"Fix")))</f>
        <v xml:space="preserve"> </v>
      </c>
      <c r="D764" s="4" t="str">
        <f ca="1">IF(OR(INDEX($AG$2:$AG$1001,MATCH(ROWS($AF$2:AF764),$AF$2:$AF$1001,0),1)&gt;=100000,INDEX($AM$1005:$BM$1005,1,MATCH(COLUMNS($AM$1006:AO1006),$AM$1006:$BM$1006,0))&gt;=100000), " ",IF(INDEX($AM$2:$BM$1001,MATCH(ROWS($AF$2:AF764),$AF$2:$AF$1001,0),MATCH(COLUMNS($AM$1006:AO1006),$AM$1006:$BM$1006,0)), HYPERLINK("#",""), HYPERLINK(CONCATENATE("#metadata!", ADDRESS(INDEX($AH$2:$AH$1001,MATCH(ROWS($AF$2:AF764),$AF$2:$AF$1001,0),0), INDEX($AM$1004:$BM$1004,1,MATCH(COLUMNS($AM$1006:AO1006),$AM$1006:$BM$1006,0)))),"Fix")))</f>
        <v xml:space="preserve"> </v>
      </c>
      <c r="E764" s="4" t="str">
        <f ca="1">IF(OR(INDEX($AG$2:$AG$1001,MATCH(ROWS($AF$2:AF764),$AF$2:$AF$1001,0),1)&gt;=100000,INDEX($AM$1005:$BM$1005,1,MATCH(COLUMNS($AM$1006:AP1006),$AM$1006:$BM$1006,0))&gt;=100000), " ",IF(INDEX($AM$2:$BM$1001,MATCH(ROWS($AF$2:AF764),$AF$2:$AF$1001,0),MATCH(COLUMNS($AM$1006:AP1006),$AM$1006:$BM$1006,0)), HYPERLINK("#",""), HYPERLINK(CONCATENATE("#metadata!", ADDRESS(INDEX($AH$2:$AH$1001,MATCH(ROWS($AF$2:AF764),$AF$2:$AF$1001,0),0), INDEX($AM$1004:$BM$1004,1,MATCH(COLUMNS($AM$1006:AP1006),$AM$1006:$BM$1006,0)))),"Fix")))</f>
        <v xml:space="preserve"> </v>
      </c>
      <c r="F764" s="4" t="str">
        <f ca="1">IF(OR(INDEX($AG$2:$AG$1001,MATCH(ROWS($AF$2:AF764),$AF$2:$AF$1001,0),1)&gt;=100000,INDEX($AM$1005:$BM$1005,1,MATCH(COLUMNS($AM$1006:AQ1006),$AM$1006:$BM$1006,0))&gt;=100000), " ",IF(INDEX($AM$2:$BM$1001,MATCH(ROWS($AF$2:AF764),$AF$2:$AF$1001,0),MATCH(COLUMNS($AM$1006:AQ1006),$AM$1006:$BM$1006,0)), HYPERLINK("#",""), HYPERLINK(CONCATENATE("#metadata!", ADDRESS(INDEX($AH$2:$AH$1001,MATCH(ROWS($AF$2:AF764),$AF$2:$AF$1001,0),0), INDEX($AM$1004:$BM$1004,1,MATCH(COLUMNS($AM$1006:AQ1006),$AM$1006:$BM$1006,0)))),"Fix")))</f>
        <v xml:space="preserve"> </v>
      </c>
      <c r="G764" s="4" t="str">
        <f ca="1">IF(OR(INDEX($AG$2:$AG$1001,MATCH(ROWS($AF$2:AF764),$AF$2:$AF$1001,0),1)&gt;=100000,INDEX($AM$1005:$BM$1005,1,MATCH(COLUMNS($AM$1006:AR1006),$AM$1006:$BM$1006,0))&gt;=100000), " ",IF(INDEX($AM$2:$BM$1001,MATCH(ROWS($AF$2:AF764),$AF$2:$AF$1001,0),MATCH(COLUMNS($AM$1006:AR1006),$AM$1006:$BM$1006,0)), HYPERLINK("#",""), HYPERLINK(CONCATENATE("#metadata!", ADDRESS(INDEX($AH$2:$AH$1001,MATCH(ROWS($AF$2:AF764),$AF$2:$AF$1001,0),0), INDEX($AM$1004:$BM$1004,1,MATCH(COLUMNS($AM$1006:AR1006),$AM$1006:$BM$1006,0)))),"Fix")))</f>
        <v xml:space="preserve"> </v>
      </c>
      <c r="H764" s="4" t="str">
        <f ca="1">IF(OR(INDEX($AG$2:$AG$1001,MATCH(ROWS($AF$2:AF764),$AF$2:$AF$1001,0),1)&gt;=100000,INDEX($AM$1005:$BM$1005,1,MATCH(COLUMNS($AM$1006:AS1006),$AM$1006:$BM$1006,0))&gt;=100000), " ",IF(INDEX($AM$2:$BM$1001,MATCH(ROWS($AF$2:AF764),$AF$2:$AF$1001,0),MATCH(COLUMNS($AM$1006:AS1006),$AM$1006:$BM$1006,0)), HYPERLINK("#",""), HYPERLINK(CONCATENATE("#metadata!", ADDRESS(INDEX($AH$2:$AH$1001,MATCH(ROWS($AF$2:AF764),$AF$2:$AF$1001,0),0), INDEX($AM$1004:$BM$1004,1,MATCH(COLUMNS($AM$1006:AS1006),$AM$1006:$BM$1006,0)))),"Fix")))</f>
        <v xml:space="preserve"> </v>
      </c>
      <c r="I764" s="4" t="str">
        <f ca="1">IF(OR(INDEX($AG$2:$AG$1001,MATCH(ROWS($AF$2:AF764),$AF$2:$AF$1001,0),1)&gt;=100000,INDEX($AM$1005:$BM$1005,1,MATCH(COLUMNS($AM$1006:AT1006),$AM$1006:$BM$1006,0))&gt;=100000), " ",IF(INDEX($AM$2:$BM$1001,MATCH(ROWS($AF$2:AF764),$AF$2:$AF$1001,0),MATCH(COLUMNS($AM$1006:AT1006),$AM$1006:$BM$1006,0)), HYPERLINK("#",""), HYPERLINK(CONCATENATE("#metadata!", ADDRESS(INDEX($AH$2:$AH$1001,MATCH(ROWS($AF$2:AF764),$AF$2:$AF$1001,0),0), INDEX($AM$1004:$BM$1004,1,MATCH(COLUMNS($AM$1006:AT1006),$AM$1006:$BM$1006,0)))),"Fix")))</f>
        <v xml:space="preserve"> </v>
      </c>
      <c r="J764" s="4" t="str">
        <f ca="1">IF(OR(INDEX($AG$2:$AG$1001,MATCH(ROWS($AF$2:AF764),$AF$2:$AF$1001,0),1)&gt;=100000,INDEX($AM$1005:$BM$1005,1,MATCH(COLUMNS($AM$1006:AU1006),$AM$1006:$BM$1006,0))&gt;=100000), " ",IF(INDEX($AM$2:$BM$1001,MATCH(ROWS($AF$2:AF764),$AF$2:$AF$1001,0),MATCH(COLUMNS($AM$1006:AU1006),$AM$1006:$BM$1006,0)), HYPERLINK("#",""), HYPERLINK(CONCATENATE("#metadata!", ADDRESS(INDEX($AH$2:$AH$1001,MATCH(ROWS($AF$2:AF764),$AF$2:$AF$1001,0),0), INDEX($AM$1004:$BM$1004,1,MATCH(COLUMNS($AM$1006:AU1006),$AM$1006:$BM$1006,0)))),"Fix")))</f>
        <v xml:space="preserve"> </v>
      </c>
      <c r="K764" s="4" t="str">
        <f ca="1">IF(OR(INDEX($AG$2:$AG$1001,MATCH(ROWS($AF$2:AF764),$AF$2:$AF$1001,0),1)&gt;=100000,INDEX($AM$1005:$BM$1005,1,MATCH(COLUMNS($AM$1006:AV1006),$AM$1006:$BM$1006,0))&gt;=100000), " ",IF(INDEX($AM$2:$BM$1001,MATCH(ROWS($AF$2:AF764),$AF$2:$AF$1001,0),MATCH(COLUMNS($AM$1006:AV1006),$AM$1006:$BM$1006,0)), HYPERLINK("#",""), HYPERLINK(CONCATENATE("#metadata!", ADDRESS(INDEX($AH$2:$AH$1001,MATCH(ROWS($AF$2:AF764),$AF$2:$AF$1001,0),0), INDEX($AM$1004:$BM$1004,1,MATCH(COLUMNS($AM$1006:AV1006),$AM$1006:$BM$1006,0)))),"Fix")))</f>
        <v xml:space="preserve"> </v>
      </c>
      <c r="L764" s="4" t="str">
        <f ca="1">IF(OR(INDEX($AG$2:$AG$1001,MATCH(ROWS($AF$2:AF764),$AF$2:$AF$1001,0),1)&gt;=100000,INDEX($AM$1005:$BM$1005,1,MATCH(COLUMNS($AM$1006:AW1006),$AM$1006:$BM$1006,0))&gt;=100000), " ",IF(INDEX($AM$2:$BM$1001,MATCH(ROWS($AF$2:AF764),$AF$2:$AF$1001,0),MATCH(COLUMNS($AM$1006:AW1006),$AM$1006:$BM$1006,0)), HYPERLINK("#",""), HYPERLINK(CONCATENATE("#metadata!", ADDRESS(INDEX($AH$2:$AH$1001,MATCH(ROWS($AF$2:AF764),$AF$2:$AF$1001,0),0), INDEX($AM$1004:$BM$1004,1,MATCH(COLUMNS($AM$1006:AW1006),$AM$1006:$BM$1006,0)))),"Fix")))</f>
        <v xml:space="preserve"> </v>
      </c>
      <c r="M764" s="4" t="str">
        <f ca="1">IF(OR(INDEX($AG$2:$AG$1001,MATCH(ROWS($AF$2:AF764),$AF$2:$AF$1001,0),1)&gt;=100000,INDEX($AM$1005:$BM$1005,1,MATCH(COLUMNS($AM$1006:AX1006),$AM$1006:$BM$1006,0))&gt;=100000), " ",IF(INDEX($AM$2:$BM$1001,MATCH(ROWS($AF$2:AF764),$AF$2:$AF$1001,0),MATCH(COLUMNS($AM$1006:AX1006),$AM$1006:$BM$1006,0)), HYPERLINK("#",""), HYPERLINK(CONCATENATE("#metadata!", ADDRESS(INDEX($AH$2:$AH$1001,MATCH(ROWS($AF$2:AF764),$AF$2:$AF$1001,0),0), INDEX($AM$1004:$BM$1004,1,MATCH(COLUMNS($AM$1006:AX1006),$AM$1006:$BM$1006,0)))),"Fix")))</f>
        <v xml:space="preserve"> </v>
      </c>
      <c r="N764" s="4" t="str">
        <f ca="1">IF(OR(INDEX($AG$2:$AG$1001,MATCH(ROWS($AF$2:AF764),$AF$2:$AF$1001,0),1)&gt;=100000,INDEX($AM$1005:$BM$1005,1,MATCH(COLUMNS($AM$1006:AY1006),$AM$1006:$BM$1006,0))&gt;=100000), " ",IF(INDEX($AM$2:$BM$1001,MATCH(ROWS($AF$2:AF764),$AF$2:$AF$1001,0),MATCH(COLUMNS($AM$1006:AY1006),$AM$1006:$BM$1006,0)), HYPERLINK("#",""), HYPERLINK(CONCATENATE("#metadata!", ADDRESS(INDEX($AH$2:$AH$1001,MATCH(ROWS($AF$2:AF764),$AF$2:$AF$1001,0),0), INDEX($AM$1004:$BM$1004,1,MATCH(COLUMNS($AM$1006:AY1006),$AM$1006:$BM$1006,0)))),"Fix")))</f>
        <v xml:space="preserve"> </v>
      </c>
      <c r="O764" s="4" t="str">
        <f ca="1">IF(OR(INDEX($AG$2:$AG$1001,MATCH(ROWS($AF$2:AF764),$AF$2:$AF$1001,0),1)&gt;=100000,INDEX($AM$1005:$BM$1005,1,MATCH(COLUMNS($AM$1006:AZ1006),$AM$1006:$BM$1006,0))&gt;=100000), " ",IF(INDEX($AM$2:$BM$1001,MATCH(ROWS($AF$2:AF764),$AF$2:$AF$1001,0),MATCH(COLUMNS($AM$1006:AZ1006),$AM$1006:$BM$1006,0)), HYPERLINK("#",""), HYPERLINK(CONCATENATE("#metadata!", ADDRESS(INDEX($AH$2:$AH$1001,MATCH(ROWS($AF$2:AF764),$AF$2:$AF$1001,0),0), INDEX($AM$1004:$BM$1004,1,MATCH(COLUMNS($AM$1006:AZ1006),$AM$1006:$BM$1006,0)))),"Fix")))</f>
        <v xml:space="preserve"> </v>
      </c>
      <c r="P764" s="4" t="str">
        <f ca="1">IF(OR(INDEX($AG$2:$AG$1001,MATCH(ROWS($AF$2:AF764),$AF$2:$AF$1001,0),1)&gt;=100000,INDEX($AM$1005:$BM$1005,1,MATCH(COLUMNS($AM$1006:BA1006),$AM$1006:$BM$1006,0))&gt;=100000), " ",IF(INDEX($AM$2:$BM$1001,MATCH(ROWS($AF$2:AF764),$AF$2:$AF$1001,0),MATCH(COLUMNS($AM$1006:BA1006),$AM$1006:$BM$1006,0)), HYPERLINK("#",""), HYPERLINK(CONCATENATE("#metadata!", ADDRESS(INDEX($AH$2:$AH$1001,MATCH(ROWS($AF$2:AF764),$AF$2:$AF$1001,0),0), INDEX($AM$1004:$BM$1004,1,MATCH(COLUMNS($AM$1006:BA1006),$AM$1006:$BM$1006,0)))),"Fix")))</f>
        <v xml:space="preserve"> </v>
      </c>
      <c r="Q764" s="4" t="str">
        <f ca="1">IF(OR(INDEX($AG$2:$AG$1001,MATCH(ROWS($AF$2:AF764),$AF$2:$AF$1001,0),1)&gt;=100000,INDEX($AM$1005:$BM$1005,1,MATCH(COLUMNS($AM$1006:BB1006),$AM$1006:$BM$1006,0))&gt;=100000), " ",IF(INDEX($AM$2:$BM$1001,MATCH(ROWS($AF$2:AF764),$AF$2:$AF$1001,0),MATCH(COLUMNS($AM$1006:BB1006),$AM$1006:$BM$1006,0)), HYPERLINK("#",""), HYPERLINK(CONCATENATE("#metadata!", ADDRESS(INDEX($AH$2:$AH$1001,MATCH(ROWS($AF$2:AF764),$AF$2:$AF$1001,0),0), INDEX($AM$1004:$BM$1004,1,MATCH(COLUMNS($AM$1006:BB1006),$AM$1006:$BM$1006,0)))),"Fix")))</f>
        <v xml:space="preserve"> </v>
      </c>
      <c r="R764" s="4" t="str">
        <f ca="1">IF(OR(INDEX($AG$2:$AG$1001,MATCH(ROWS($AF$2:AF764),$AF$2:$AF$1001,0),1)&gt;=100000,INDEX($AM$1005:$BM$1005,1,MATCH(COLUMNS($AM$1006:BC1006),$AM$1006:$BM$1006,0))&gt;=100000), " ",IF(INDEX($AM$2:$BM$1001,MATCH(ROWS($AF$2:AF764),$AF$2:$AF$1001,0),MATCH(COLUMNS($AM$1006:BC1006),$AM$1006:$BM$1006,0)), HYPERLINK("#",""), HYPERLINK(CONCATENATE("#metadata!", ADDRESS(INDEX($AH$2:$AH$1001,MATCH(ROWS($AF$2:AF764),$AF$2:$AF$1001,0),0), INDEX($AM$1004:$BM$1004,1,MATCH(COLUMNS($AM$1006:BC1006),$AM$1006:$BM$1006,0)))),"Fix")))</f>
        <v xml:space="preserve"> </v>
      </c>
      <c r="S764" s="4" t="str">
        <f ca="1">IF(OR(INDEX($AG$2:$AG$1001,MATCH(ROWS($AF$2:AF764),$AF$2:$AF$1001,0),1)&gt;=100000,INDEX($AM$1005:$BM$1005,1,MATCH(COLUMNS($AM$1006:BD1006),$AM$1006:$BM$1006,0))&gt;=100000), " ",IF(INDEX($AM$2:$BM$1001,MATCH(ROWS($AF$2:AF764),$AF$2:$AF$1001,0),MATCH(COLUMNS($AM$1006:BD1006),$AM$1006:$BM$1006,0)), HYPERLINK("#",""), HYPERLINK(CONCATENATE("#metadata!", ADDRESS(INDEX($AH$2:$AH$1001,MATCH(ROWS($AF$2:AF764),$AF$2:$AF$1001,0),0), INDEX($AM$1004:$BM$1004,1,MATCH(COLUMNS($AM$1006:BD1006),$AM$1006:$BM$1006,0)))),"Fix")))</f>
        <v xml:space="preserve"> </v>
      </c>
      <c r="T764" s="4" t="str">
        <f ca="1">IF(OR(INDEX($AG$2:$AG$1001,MATCH(ROWS($AF$2:AF764),$AF$2:$AF$1001,0),1)&gt;=100000,INDEX($AM$1005:$BM$1005,1,MATCH(COLUMNS($AM$1006:BE1006),$AM$1006:$BM$1006,0))&gt;=100000), " ",IF(INDEX($AM$2:$BM$1001,MATCH(ROWS($AF$2:AF764),$AF$2:$AF$1001,0),MATCH(COLUMNS($AM$1006:BE1006),$AM$1006:$BM$1006,0)), HYPERLINK("#",""), HYPERLINK(CONCATENATE("#metadata!", ADDRESS(INDEX($AH$2:$AH$1001,MATCH(ROWS($AF$2:AF764),$AF$2:$AF$1001,0),0), INDEX($AM$1004:$BM$1004,1,MATCH(COLUMNS($AM$1006:BE1006),$AM$1006:$BM$1006,0)))),"Fix")))</f>
        <v xml:space="preserve"> </v>
      </c>
      <c r="U764" s="4" t="str">
        <f ca="1">IF(OR(INDEX($AG$2:$AG$1001,MATCH(ROWS($AF$2:AF764),$AF$2:$AF$1001,0),1)&gt;=100000,INDEX($AM$1005:$BM$1005,1,MATCH(COLUMNS($AM$1006:BF1006),$AM$1006:$BM$1006,0))&gt;=100000), " ",IF(INDEX($AM$2:$BM$1001,MATCH(ROWS($AF$2:AF764),$AF$2:$AF$1001,0),MATCH(COLUMNS($AM$1006:BF1006),$AM$1006:$BM$1006,0)), HYPERLINK("#",""), HYPERLINK(CONCATENATE("#metadata!", ADDRESS(INDEX($AH$2:$AH$1001,MATCH(ROWS($AF$2:AF764),$AF$2:$AF$1001,0),0), INDEX($AM$1004:$BM$1004,1,MATCH(COLUMNS($AM$1006:BF1006),$AM$1006:$BM$1006,0)))),"Fix")))</f>
        <v xml:space="preserve"> </v>
      </c>
      <c r="V764" s="4" t="str">
        <f ca="1">IF(OR(INDEX($AG$2:$AG$1001,MATCH(ROWS($AF$2:AF764),$AF$2:$AF$1001,0),1)&gt;=100000,INDEX($AM$1005:$BM$1005,1,MATCH(COLUMNS($AM$1006:BG1006),$AM$1006:$BM$1006,0))&gt;=100000), " ",IF(INDEX($AM$2:$BM$1001,MATCH(ROWS($AF$2:AF764),$AF$2:$AF$1001,0),MATCH(COLUMNS($AM$1006:BG1006),$AM$1006:$BM$1006,0)), HYPERLINK("#",""), HYPERLINK(CONCATENATE("#metadata!", ADDRESS(INDEX($AH$2:$AH$1001,MATCH(ROWS($AF$2:AF764),$AF$2:$AF$1001,0),0), INDEX($AM$1004:$BM$1004,1,MATCH(COLUMNS($AM$1006:BG1006),$AM$1006:$BM$1006,0)))),"Fix")))</f>
        <v xml:space="preserve"> </v>
      </c>
      <c r="W764" s="4" t="str">
        <f ca="1">IF(OR(INDEX($AG$2:$AG$1001,MATCH(ROWS($AF$2:AF764),$AF$2:$AF$1001,0),1)&gt;=100000,INDEX($AM$1005:$BM$1005,1,MATCH(COLUMNS($AM$1006:BH1006),$AM$1006:$BM$1006,0))&gt;=100000), " ",IF(INDEX($AM$2:$BM$1001,MATCH(ROWS($AF$2:AF764),$AF$2:$AF$1001,0),MATCH(COLUMNS($AM$1006:BH1006),$AM$1006:$BM$1006,0)), HYPERLINK("#",""), HYPERLINK(CONCATENATE("#metadata!", ADDRESS(INDEX($AH$2:$AH$1001,MATCH(ROWS($AF$2:AF764),$AF$2:$AF$1001,0),0), INDEX($AM$1004:$BM$1004,1,MATCH(COLUMNS($AM$1006:BH1006),$AM$1006:$BM$1006,0)))),"Fix")))</f>
        <v xml:space="preserve"> </v>
      </c>
      <c r="X764" s="4" t="str">
        <f ca="1">IF(OR(INDEX($AG$2:$AG$1001,MATCH(ROWS($AF$2:AF764),$AF$2:$AF$1001,0),1)&gt;=100000,INDEX($AM$1005:$BM$1005,1,MATCH(COLUMNS($AM$1006:BI1006),$AM$1006:$BM$1006,0))&gt;=100000), " ",IF(INDEX($AM$2:$BM$1001,MATCH(ROWS($AF$2:AF764),$AF$2:$AF$1001,0),MATCH(COLUMNS($AM$1006:BI1006),$AM$1006:$BM$1006,0)), HYPERLINK("#",""), HYPERLINK(CONCATENATE("#metadata!", ADDRESS(INDEX($AH$2:$AH$1001,MATCH(ROWS($AF$2:AF764),$AF$2:$AF$1001,0),0), INDEX($AM$1004:$BM$1004,1,MATCH(COLUMNS($AM$1006:BI1006),$AM$1006:$BM$1006,0)))),"Fix")))</f>
        <v xml:space="preserve"> </v>
      </c>
      <c r="Y764" s="4" t="str">
        <f ca="1">IF(OR(INDEX($AG$2:$AG$1001,MATCH(ROWS($AF$2:AF764),$AF$2:$AF$1001,0),1)&gt;=100000,INDEX($AM$1005:$BM$1005,1,MATCH(COLUMNS($AM$1006:BJ1006),$AM$1006:$BM$1006,0))&gt;=100000), " ",IF(INDEX($AM$2:$BM$1001,MATCH(ROWS($AF$2:AF764),$AF$2:$AF$1001,0),MATCH(COLUMNS($AM$1006:BJ1006),$AM$1006:$BM$1006,0)), HYPERLINK("#",""), HYPERLINK(CONCATENATE("#metadata!", ADDRESS(INDEX($AH$2:$AH$1001,MATCH(ROWS($AF$2:AF764),$AF$2:$AF$1001,0),0), INDEX($AM$1004:$BM$1004,1,MATCH(COLUMNS($AM$1006:BJ1006),$AM$1006:$BM$1006,0)))),"Fix")))</f>
        <v xml:space="preserve"> </v>
      </c>
      <c r="Z764" s="4" t="str">
        <f ca="1">IF(OR(INDEX($AG$2:$AG$1001,MATCH(ROWS($AF$2:AF764),$AF$2:$AF$1001,0),1)&gt;=100000,INDEX($AM$1005:$BM$1005,1,MATCH(COLUMNS($AM$1006:BK1006),$AM$1006:$BM$1006,0))&gt;=100000), " ",IF(INDEX($AM$2:$BM$1001,MATCH(ROWS($AF$2:AF764),$AF$2:$AF$1001,0),MATCH(COLUMNS($AM$1006:BK1006),$AM$1006:$BM$1006,0)), HYPERLINK("#",""), HYPERLINK(CONCATENATE("#metadata!", ADDRESS(INDEX($AH$2:$AH$1001,MATCH(ROWS($AF$2:AF764),$AF$2:$AF$1001,0),0), INDEX($AM$1004:$BM$1004,1,MATCH(COLUMNS($AM$1006:BK1006),$AM$1006:$BM$1006,0)))),"Fix")))</f>
        <v xml:space="preserve"> </v>
      </c>
      <c r="AA764" s="4" t="str">
        <f ca="1">IF(OR(INDEX($AG$2:$AG$1001,MATCH(ROWS($AF$2:AF764),$AF$2:$AF$1001,0),1)&gt;=100000,INDEX($AM$1005:$BM$1005,1,MATCH(COLUMNS($AM$1006:BL1006),$AM$1006:$BM$1006,0))&gt;=100000), " ",IF(INDEX($AM$2:$BM$1001,MATCH(ROWS($AF$2:AF764),$AF$2:$AF$1001,0),MATCH(COLUMNS($AM$1006:BL1006),$AM$1006:$BM$1006,0)), HYPERLINK("#",""), HYPERLINK(CONCATENATE("#metadata!", ADDRESS(INDEX($AH$2:$AH$1001,MATCH(ROWS($AF$2:AF764),$AF$2:$AF$1001,0),0), INDEX($AM$1004:$BM$1004,1,MATCH(COLUMNS($AM$1006:BL1006),$AM$1006:$BM$1006,0)))),"Fix")))</f>
        <v xml:space="preserve"> </v>
      </c>
      <c r="AB764" s="4" t="str">
        <f ca="1">IF(OR(INDEX($AG$2:$AG$1001,MATCH(ROWS($AF$2:AF764),$AF$2:$AF$1001,0),1)&gt;=100000,INDEX($AM$1005:$BM$1005,1,MATCH(COLUMNS($AM$1006:BM1006),$AM$1006:$BM$1006,0))&gt;=100000), " ",IF(INDEX($AM$2:$BM$1001,MATCH(ROWS($AF$2:AF764),$AF$2:$AF$1001,0),MATCH(COLUMNS($AM$1006:BM1006),$AM$1006:$BM$1006,0)), HYPERLINK("#",""), HYPERLINK(CONCATENATE("#metadata!", ADDRESS(INDEX($AH$2:$AH$1001,MATCH(ROWS($AF$2:AF764),$AF$2:$AF$1001,0),0), INDEX($AM$1004:$BM$1004,1,MATCH(COLUMNS($AM$1006:BM1006),$AM$1006:$BM$1006,0)))),"Fix")))</f>
        <v xml:space="preserve"> </v>
      </c>
      <c r="AF764">
        <v>763</v>
      </c>
      <c r="AG764">
        <v>100764</v>
      </c>
      <c r="AH764">
        <v>764</v>
      </c>
      <c r="AI764" t="b">
        <f t="shared" si="11"/>
        <v>1</v>
      </c>
      <c r="AJ764" t="b">
        <f>COUNTBLANK(metadata!B764:AB764)=COLUMNS(metadata!B764:AB764)</f>
        <v>1</v>
      </c>
      <c r="AK764" t="str">
        <v/>
      </c>
      <c r="AM764" t="b">
        <f ca="1">AND(IF(metadata!B764="",FALSE,TRUE),COUNTIF(metadata!B:B, metadata!B764) = 1,NOT(ISERROR(SUMPRODUCT(SEARCH(MID(metadata!B764,ROW(INDIRECT("1:"&amp;LEN(metadata!B764))), 1),"0123456789abcdefghijklmnopqrstuvwxyzABCDEFGHIJKLMNOPQRSTUVWXYZ.")))))</f>
        <v>0</v>
      </c>
      <c r="AN764" t="b">
        <f ca="1">OR(AND(IF(metadata!C764="",FALSE,TRUE),OR(EXACT(metadata!C764,"missing: not collected"),EXACT(metadata!C764,"missing: not provided"),EXACT(metadata!C764,"missing: restricted access"))),AND(IF(metadata!C764="",FALSE,TRUE),AND(AND(IFERROR(INT(LEFT(metadata!C764,4))&gt;1900,FALSE),IFERROR(INT(LEFT(metadata!C764,4))&lt;=YEAR(NOW()),FALSE)), OR(MID(metadata!C764,5,1)="", AND(AND(MID(metadata!C764,5,1)="-",IFERROR(INT(MID(metadata!C764,6,1))&gt;=0,FALSE),IFERROR(INT(MID(metadata!C764,6,1))&lt;=1,FALSE),NOT(MID(metadata!C764,7,1)=""),IFERROR(INT(MID(metadata!C764,6,2))&gt;=1,FALSE),IFERROR(INT(MID(metadata!C764,6,2))&lt;=12,FALSE)), OR(MID(metadata!C764,8,1)="", AND(AND(MID(metadata!C764,8,1)="-",IFERROR(INT(MID(metadata!C764,9,1))&gt;=0,FALSE),IFERROR(INT(MID(metadata!C764,9,1))&lt;=3,FALSE),NOT(MID(metadata!C764,10,1)=""),IFERROR(INT(MID(metadata!C764,9,2))&gt;=1,FALSE),IFERROR(INT(MID(metadata!C764,9,2))&lt;=31,FALSE)), OR(MID(metadata!C764,11,1)="", AND(AND(MID(metadata!C764,11,1)=" ",IFERROR(INT(MID(metadata!C764,12,1))&gt;=0,FALSE),IFERROR(INT(MID(metadata!C764,12,1))&lt;=2,FALSE),NOT(MID(metadata!C764,13,1)=""),IFERROR(INT(MID(metadata!C764,12,2))&gt;=0,FALSE),IFERROR(INT(MID(metadata!C764,12,2))&lt;=23,FALSE)), OR(MID(metadata!C764,14,1)="", AND(AND(MID(metadata!C764,14,1)=":",IFERROR(INT(MID(metadata!C764,15,1))&gt;=0,FALSE),IFERROR(INT(MID(metadata!C764,15,1))&lt;=5,FALSE),NOT(MID(metadata!C764,16,1)=""),IFERROR(INT(MID(metadata!C764,15,2))&gt;=0,FALSE),IFERROR(INT(MID(metadata!C764,15,2))&lt;=59,FALSE)), OR(MID(metadata!C764,17,1)="", AND(AND(MID(metadata!C764,17,1)=":",IFERROR(INT(MID(metadata!C764,18,1))&gt;=0,FALSE),IFERROR(INT(MID(metadata!C764,18,1))&lt;=5,FALSE),NOT(MID(metadata!C764,19,1)=""),IFERROR(INT(MID(metadata!C764,18,2))&gt;=0,FALSE),IFERROR(INT(MID(metadata!C764,18,2))&lt;=59,FALSE)), LEN(metadata!C764)&lt;=19)))))))))))))</f>
        <v>0</v>
      </c>
      <c r="AO764" t="b">
        <f>AND(IF(metadata!D764="",FALSE,TRUE),EXACT(metadata!D764,"Not applicable"))</f>
        <v>0</v>
      </c>
      <c r="AP764" t="b">
        <f>IF(metadata!E764="",FALSE,TRUE)</f>
        <v>0</v>
      </c>
      <c r="AQ764" t="b">
        <f>OR(AND(IF(metadata!F764="",FALSE,TRUE),OR(EXACT(metadata!F764,"missing: not collected"),EXACT(metadata!F764,"missing: not provided"))),AND(IF(metadata!F764="",FALSE,TRUE),OR(EXACT(metadata!F764,"TRUE"),EXACT(metadata!F764,"FALSE"))))</f>
        <v>0</v>
      </c>
      <c r="AR764" t="b">
        <f>OR(AND(IF(metadata!G764="",FALSE,TRUE),OR(EXACT(metadata!G764,"missing: not collected"),EXACT(metadata!G764,"missing: not provided"),EXACT(metadata!G764,"missing: restricted access"))),AND(IF(metadata!G764="",FALSE,ISNUMBER(VALUE(metadata!G764))),metadata!G764&gt;=-413))</f>
        <v>0</v>
      </c>
      <c r="AS764" t="b">
        <f>AND(IF(metadata!H764="",FALSE,TRUE),EXACT(metadata!H764,"meters"))</f>
        <v>0</v>
      </c>
      <c r="AT764" t="b">
        <f>AND(IF(metadata!I764="",FALSE,TRUE),OR(EXACT(metadata!I764,"Host-associated"),EXACT(metadata!I764,"Free-living")))</f>
        <v>0</v>
      </c>
      <c r="AU764" t="b">
        <f>AND(IF(metadata!J764="",FALSE,TRUE),OR(EXACT(metadata!J764,"Animal"),EXACT(metadata!J764,"Fungus"),EXACT(metadata!J764,"Plant"),EXACT(metadata!J764,"Saline"),EXACT(metadata!J764,"Non-saline")))</f>
        <v>0</v>
      </c>
      <c r="AV764" t="b">
        <f>AND(IF(metadata!K764="",FALSE,TRUE),OR(EXACT(metadata!K764,"Plant secretion"),EXACT(metadata!K764,"Plant rhizosphere"),EXACT(metadata!K764,"Plant surface"),EXACT(metadata!K764,"Plant corpus"),EXACT(metadata!K764,"Fungus surface"),EXACT(metadata!K764,"Fungus corpus"),EXACT(metadata!K764,"Animal surface"),EXACT(metadata!K764,"Animal proximal gut"),EXACT(metadata!K764,"Animal corpus"),EXACT(metadata!K764,"Animal distal gut"),EXACT(metadata!K764,"Animal secretion"),EXACT(metadata!K764,"Sub-surface (non-saline)"),EXACT(metadata!K764,"Surface (non-saline)"),EXACT(metadata!K764,"Water (non-saline)"),EXACT(metadata!K764,"Soil (non-saline)"),EXACT(metadata!K764,"Aerosol (non-saline)"),EXACT(metadata!K764,"Sediment (non-saline)"),EXACT(metadata!K764,"Surface (saline)"),EXACT(metadata!K764,"Water (saline)"),EXACT(metadata!K764,"Hypersaline (saline)"),EXACT(metadata!K764,"Aerosol (saline)"),EXACT(metadata!K764,"Sediment (saline)")))</f>
        <v>0</v>
      </c>
      <c r="AW764" t="b">
        <f>IF(metadata!L764="",FALSE,TRUE)</f>
        <v>0</v>
      </c>
      <c r="AX764" t="b">
        <f>IF(metadata!M764="",FALSE,TRUE)</f>
        <v>0</v>
      </c>
      <c r="AY764" t="b">
        <f>IF(metadata!N764="",FALSE,TRUE)</f>
        <v>0</v>
      </c>
      <c r="AZ764" t="b">
        <f>OR(AND(IF(metadata!O764="",FALSE,TRUE),OR(EXACT(metadata!O764,"missing: not collected"),EXACT(metadata!O764,"missing: not provided"),EXACT(metadata!O764,"missing: restricted access"))),AND(IF(metadata!O764="",FALSE,TRUE),OR(EXACT(metadata!O764,"air"),EXACT(metadata!O764,"built environment"),EXACT(metadata!O764,"host-associated"),EXACT(metadata!O764,"human-associated"),EXACT(metadata!O764,"human-skin"),EXACT(metadata!O764,"human-oral"),EXACT(metadata!O764,"human-gut"),EXACT(metadata!O764,"human-vaginal"),EXACT(metadata!O764,"microbial mat/biofilm"),EXACT(metadata!O764,"misc environment"),EXACT(metadata!O764,"plant-associated"),EXACT(metadata!O764,"sediment"),EXACT(metadata!O764,"soil"),EXACT(metadata!O764,"wastewater/sludge"),EXACT(metadata!O764,"water"))))</f>
        <v>0</v>
      </c>
      <c r="BA764" t="b">
        <f>IF(metadata!P764="",FALSE,TRUE)</f>
        <v>0</v>
      </c>
      <c r="BB764" t="b">
        <f>IF(metadata!Q764="",FALSE,TRUE)</f>
        <v>0</v>
      </c>
      <c r="BC764" t="b">
        <f>OR(AND(IF(metadata!R764="",FALSE,TRUE),OR(EXACT(metadata!R764,"missing: not collected"),EXACT(metadata!R764,"missing: not provided"),EXACT(metadata!R764,"missing: restricted access"))),AND(IF(metadata!R764="",FALSE,ISNUMBER(VALUE(metadata!R764))),metadata!R764&gt;=-90,metadata!R764&lt;=90))</f>
        <v>0</v>
      </c>
      <c r="BD764" t="b">
        <f>AND(IF(metadata!S764="",FALSE,TRUE),EXACT(metadata!S764,"Decimal degrees"))</f>
        <v>0</v>
      </c>
      <c r="BE764" t="b">
        <f>OR(AND(IF(metadata!T764="",FALSE,TRUE),OR(EXACT(metadata!T764,"missing: not collected"),EXACT(metadata!T764,"missing: not provided"),EXACT(metadata!T764,"missing: restricted access"))),AND(IF(metadata!T764="",FALSE,ISNUMBER(VALUE(metadata!T764))),metadata!T764&gt;=-180,metadata!T764&lt;=180))</f>
        <v>0</v>
      </c>
      <c r="BF764" t="b">
        <f>AND(IF(metadata!U764="",FALSE,TRUE),EXACT(metadata!U764,"Decimal degrees"))</f>
        <v>0</v>
      </c>
      <c r="BG764" t="b">
        <f>IF(metadata!V764="",FALSE,TRUE)</f>
        <v>0</v>
      </c>
      <c r="BH764" t="b">
        <f>OR(AND(IF(metadata!W764="",FALSE,TRUE),OR(EXACT(metadata!W764,"missing: not collected"),EXACT(metadata!W764,"missing: not provided"),EXACT(metadata!W764,"missing: restricted access"))),AND(IF(metadata!W764="",FALSE,TRUE),OR(EXACT(metadata!W764,"TRUE"),EXACT(metadata!W764,"FALSE"))))</f>
        <v>0</v>
      </c>
      <c r="BI764" t="b">
        <f>AND(IF(metadata!X764="",FALSE,TRUE),EXACT(metadata!X764,"other"))</f>
        <v>0</v>
      </c>
      <c r="BJ764" t="b">
        <f>IF(metadata!Y764="",FALSE,TRUE)</f>
        <v>0</v>
      </c>
      <c r="BK764" t="b">
        <f>OR(AND(IF(metadata!Z764="",FALSE,TRUE),OR(EXACT(metadata!Z764,"missing: not collected"),EXACT(metadata!Z764,"missing: not provided"))),AND(IF(metadata!Z764="",FALSE,IF(ISERROR(INT(metadata!Z764)),FALSE,INT(metadata!Z764)=metadata!Z764)),metadata!Z764&gt;0))</f>
        <v>0</v>
      </c>
      <c r="BL764" t="b">
        <f>AND(IF(metadata!AA764="",FALSE,TRUE),EXACT(metadata!AA764,"Not applicable"))</f>
        <v>0</v>
      </c>
      <c r="BM764" t="b">
        <f>IF(metadata!AB764="",FALSE,TRUE)</f>
        <v>0</v>
      </c>
    </row>
    <row r="765" spans="1:65" x14ac:dyDescent="0.2">
      <c r="A765" s="5" t="str">
        <f ca="1">IF(B765=" "," ",HYPERLINK(CONCATENATE("#metadata!",ADDRESS(INDEX($AH$2:$AH$1001,MATCH(ROWS($AF$2:AF765),$AF$2:$AF$1001,0),0),1)),INDEX($AK$2:$AK$1001,MATCH(ROWS($AF$2:AF765),$AF$2:$AF$1001,0),0)))</f>
        <v xml:space="preserve"> </v>
      </c>
      <c r="B765" s="4" t="str">
        <f ca="1">IF(OR(INDEX($AG$2:$AG$1001,MATCH(ROWS($AF$2:AF765),$AF$2:$AF$1001,0),1)&gt;=100000,INDEX($AM$1005:$BM$1005,1,MATCH(COLUMNS($AM$1006:AM1006),$AM$1006:$BM$1006,0))&gt;=100000), " ",IF(INDEX($AM$2:$BM$1001,MATCH(ROWS($AF$2:AF765),$AF$2:$AF$1001,0),MATCH(COLUMNS($AM$1006:AM1006),$AM$1006:$BM$1006,0)), HYPERLINK("#",""), HYPERLINK(CONCATENATE("#metadata!", ADDRESS(INDEX($AH$2:$AH$1001,MATCH(ROWS($AF$2:AF765),$AF$2:$AF$1001,0),0), INDEX($AM$1004:$BM$1004,1,MATCH(COLUMNS($AM$1006:AM1006),$AM$1006:$BM$1006,0)))),"Fix")))</f>
        <v xml:space="preserve"> </v>
      </c>
      <c r="C765" s="4" t="str">
        <f ca="1">IF(OR(INDEX($AG$2:$AG$1001,MATCH(ROWS($AF$2:AF765),$AF$2:$AF$1001,0),1)&gt;=100000,INDEX($AM$1005:$BM$1005,1,MATCH(COLUMNS($AM$1006:AN1006),$AM$1006:$BM$1006,0))&gt;=100000), " ",IF(INDEX($AM$2:$BM$1001,MATCH(ROWS($AF$2:AF765),$AF$2:$AF$1001,0),MATCH(COLUMNS($AM$1006:AN1006),$AM$1006:$BM$1006,0)), HYPERLINK("#",""), HYPERLINK(CONCATENATE("#metadata!", ADDRESS(INDEX($AH$2:$AH$1001,MATCH(ROWS($AF$2:AF765),$AF$2:$AF$1001,0),0), INDEX($AM$1004:$BM$1004,1,MATCH(COLUMNS($AM$1006:AN1006),$AM$1006:$BM$1006,0)))),"Fix")))</f>
        <v xml:space="preserve"> </v>
      </c>
      <c r="D765" s="4" t="str">
        <f ca="1">IF(OR(INDEX($AG$2:$AG$1001,MATCH(ROWS($AF$2:AF765),$AF$2:$AF$1001,0),1)&gt;=100000,INDEX($AM$1005:$BM$1005,1,MATCH(COLUMNS($AM$1006:AO1006),$AM$1006:$BM$1006,0))&gt;=100000), " ",IF(INDEX($AM$2:$BM$1001,MATCH(ROWS($AF$2:AF765),$AF$2:$AF$1001,0),MATCH(COLUMNS($AM$1006:AO1006),$AM$1006:$BM$1006,0)), HYPERLINK("#",""), HYPERLINK(CONCATENATE("#metadata!", ADDRESS(INDEX($AH$2:$AH$1001,MATCH(ROWS($AF$2:AF765),$AF$2:$AF$1001,0),0), INDEX($AM$1004:$BM$1004,1,MATCH(COLUMNS($AM$1006:AO1006),$AM$1006:$BM$1006,0)))),"Fix")))</f>
        <v xml:space="preserve"> </v>
      </c>
      <c r="E765" s="4" t="str">
        <f ca="1">IF(OR(INDEX($AG$2:$AG$1001,MATCH(ROWS($AF$2:AF765),$AF$2:$AF$1001,0),1)&gt;=100000,INDEX($AM$1005:$BM$1005,1,MATCH(COLUMNS($AM$1006:AP1006),$AM$1006:$BM$1006,0))&gt;=100000), " ",IF(INDEX($AM$2:$BM$1001,MATCH(ROWS($AF$2:AF765),$AF$2:$AF$1001,0),MATCH(COLUMNS($AM$1006:AP1006),$AM$1006:$BM$1006,0)), HYPERLINK("#",""), HYPERLINK(CONCATENATE("#metadata!", ADDRESS(INDEX($AH$2:$AH$1001,MATCH(ROWS($AF$2:AF765),$AF$2:$AF$1001,0),0), INDEX($AM$1004:$BM$1004,1,MATCH(COLUMNS($AM$1006:AP1006),$AM$1006:$BM$1006,0)))),"Fix")))</f>
        <v xml:space="preserve"> </v>
      </c>
      <c r="F765" s="4" t="str">
        <f ca="1">IF(OR(INDEX($AG$2:$AG$1001,MATCH(ROWS($AF$2:AF765),$AF$2:$AF$1001,0),1)&gt;=100000,INDEX($AM$1005:$BM$1005,1,MATCH(COLUMNS($AM$1006:AQ1006),$AM$1006:$BM$1006,0))&gt;=100000), " ",IF(INDEX($AM$2:$BM$1001,MATCH(ROWS($AF$2:AF765),$AF$2:$AF$1001,0),MATCH(COLUMNS($AM$1006:AQ1006),$AM$1006:$BM$1006,0)), HYPERLINK("#",""), HYPERLINK(CONCATENATE("#metadata!", ADDRESS(INDEX($AH$2:$AH$1001,MATCH(ROWS($AF$2:AF765),$AF$2:$AF$1001,0),0), INDEX($AM$1004:$BM$1004,1,MATCH(COLUMNS($AM$1006:AQ1006),$AM$1006:$BM$1006,0)))),"Fix")))</f>
        <v xml:space="preserve"> </v>
      </c>
      <c r="G765" s="4" t="str">
        <f ca="1">IF(OR(INDEX($AG$2:$AG$1001,MATCH(ROWS($AF$2:AF765),$AF$2:$AF$1001,0),1)&gt;=100000,INDEX($AM$1005:$BM$1005,1,MATCH(COLUMNS($AM$1006:AR1006),$AM$1006:$BM$1006,0))&gt;=100000), " ",IF(INDEX($AM$2:$BM$1001,MATCH(ROWS($AF$2:AF765),$AF$2:$AF$1001,0),MATCH(COLUMNS($AM$1006:AR1006),$AM$1006:$BM$1006,0)), HYPERLINK("#",""), HYPERLINK(CONCATENATE("#metadata!", ADDRESS(INDEX($AH$2:$AH$1001,MATCH(ROWS($AF$2:AF765),$AF$2:$AF$1001,0),0), INDEX($AM$1004:$BM$1004,1,MATCH(COLUMNS($AM$1006:AR1006),$AM$1006:$BM$1006,0)))),"Fix")))</f>
        <v xml:space="preserve"> </v>
      </c>
      <c r="H765" s="4" t="str">
        <f ca="1">IF(OR(INDEX($AG$2:$AG$1001,MATCH(ROWS($AF$2:AF765),$AF$2:$AF$1001,0),1)&gt;=100000,INDEX($AM$1005:$BM$1005,1,MATCH(COLUMNS($AM$1006:AS1006),$AM$1006:$BM$1006,0))&gt;=100000), " ",IF(INDEX($AM$2:$BM$1001,MATCH(ROWS($AF$2:AF765),$AF$2:$AF$1001,0),MATCH(COLUMNS($AM$1006:AS1006),$AM$1006:$BM$1006,0)), HYPERLINK("#",""), HYPERLINK(CONCATENATE("#metadata!", ADDRESS(INDEX($AH$2:$AH$1001,MATCH(ROWS($AF$2:AF765),$AF$2:$AF$1001,0),0), INDEX($AM$1004:$BM$1004,1,MATCH(COLUMNS($AM$1006:AS1006),$AM$1006:$BM$1006,0)))),"Fix")))</f>
        <v xml:space="preserve"> </v>
      </c>
      <c r="I765" s="4" t="str">
        <f ca="1">IF(OR(INDEX($AG$2:$AG$1001,MATCH(ROWS($AF$2:AF765),$AF$2:$AF$1001,0),1)&gt;=100000,INDEX($AM$1005:$BM$1005,1,MATCH(COLUMNS($AM$1006:AT1006),$AM$1006:$BM$1006,0))&gt;=100000), " ",IF(INDEX($AM$2:$BM$1001,MATCH(ROWS($AF$2:AF765),$AF$2:$AF$1001,0),MATCH(COLUMNS($AM$1006:AT1006),$AM$1006:$BM$1006,0)), HYPERLINK("#",""), HYPERLINK(CONCATENATE("#metadata!", ADDRESS(INDEX($AH$2:$AH$1001,MATCH(ROWS($AF$2:AF765),$AF$2:$AF$1001,0),0), INDEX($AM$1004:$BM$1004,1,MATCH(COLUMNS($AM$1006:AT1006),$AM$1006:$BM$1006,0)))),"Fix")))</f>
        <v xml:space="preserve"> </v>
      </c>
      <c r="J765" s="4" t="str">
        <f ca="1">IF(OR(INDEX($AG$2:$AG$1001,MATCH(ROWS($AF$2:AF765),$AF$2:$AF$1001,0),1)&gt;=100000,INDEX($AM$1005:$BM$1005,1,MATCH(COLUMNS($AM$1006:AU1006),$AM$1006:$BM$1006,0))&gt;=100000), " ",IF(INDEX($AM$2:$BM$1001,MATCH(ROWS($AF$2:AF765),$AF$2:$AF$1001,0),MATCH(COLUMNS($AM$1006:AU1006),$AM$1006:$BM$1006,0)), HYPERLINK("#",""), HYPERLINK(CONCATENATE("#metadata!", ADDRESS(INDEX($AH$2:$AH$1001,MATCH(ROWS($AF$2:AF765),$AF$2:$AF$1001,0),0), INDEX($AM$1004:$BM$1004,1,MATCH(COLUMNS($AM$1006:AU1006),$AM$1006:$BM$1006,0)))),"Fix")))</f>
        <v xml:space="preserve"> </v>
      </c>
      <c r="K765" s="4" t="str">
        <f ca="1">IF(OR(INDEX($AG$2:$AG$1001,MATCH(ROWS($AF$2:AF765),$AF$2:$AF$1001,0),1)&gt;=100000,INDEX($AM$1005:$BM$1005,1,MATCH(COLUMNS($AM$1006:AV1006),$AM$1006:$BM$1006,0))&gt;=100000), " ",IF(INDEX($AM$2:$BM$1001,MATCH(ROWS($AF$2:AF765),$AF$2:$AF$1001,0),MATCH(COLUMNS($AM$1006:AV1006),$AM$1006:$BM$1006,0)), HYPERLINK("#",""), HYPERLINK(CONCATENATE("#metadata!", ADDRESS(INDEX($AH$2:$AH$1001,MATCH(ROWS($AF$2:AF765),$AF$2:$AF$1001,0),0), INDEX($AM$1004:$BM$1004,1,MATCH(COLUMNS($AM$1006:AV1006),$AM$1006:$BM$1006,0)))),"Fix")))</f>
        <v xml:space="preserve"> </v>
      </c>
      <c r="L765" s="4" t="str">
        <f ca="1">IF(OR(INDEX($AG$2:$AG$1001,MATCH(ROWS($AF$2:AF765),$AF$2:$AF$1001,0),1)&gt;=100000,INDEX($AM$1005:$BM$1005,1,MATCH(COLUMNS($AM$1006:AW1006),$AM$1006:$BM$1006,0))&gt;=100000), " ",IF(INDEX($AM$2:$BM$1001,MATCH(ROWS($AF$2:AF765),$AF$2:$AF$1001,0),MATCH(COLUMNS($AM$1006:AW1006),$AM$1006:$BM$1006,0)), HYPERLINK("#",""), HYPERLINK(CONCATENATE("#metadata!", ADDRESS(INDEX($AH$2:$AH$1001,MATCH(ROWS($AF$2:AF765),$AF$2:$AF$1001,0),0), INDEX($AM$1004:$BM$1004,1,MATCH(COLUMNS($AM$1006:AW1006),$AM$1006:$BM$1006,0)))),"Fix")))</f>
        <v xml:space="preserve"> </v>
      </c>
      <c r="M765" s="4" t="str">
        <f ca="1">IF(OR(INDEX($AG$2:$AG$1001,MATCH(ROWS($AF$2:AF765),$AF$2:$AF$1001,0),1)&gt;=100000,INDEX($AM$1005:$BM$1005,1,MATCH(COLUMNS($AM$1006:AX1006),$AM$1006:$BM$1006,0))&gt;=100000), " ",IF(INDEX($AM$2:$BM$1001,MATCH(ROWS($AF$2:AF765),$AF$2:$AF$1001,0),MATCH(COLUMNS($AM$1006:AX1006),$AM$1006:$BM$1006,0)), HYPERLINK("#",""), HYPERLINK(CONCATENATE("#metadata!", ADDRESS(INDEX($AH$2:$AH$1001,MATCH(ROWS($AF$2:AF765),$AF$2:$AF$1001,0),0), INDEX($AM$1004:$BM$1004,1,MATCH(COLUMNS($AM$1006:AX1006),$AM$1006:$BM$1006,0)))),"Fix")))</f>
        <v xml:space="preserve"> </v>
      </c>
      <c r="N765" s="4" t="str">
        <f ca="1">IF(OR(INDEX($AG$2:$AG$1001,MATCH(ROWS($AF$2:AF765),$AF$2:$AF$1001,0),1)&gt;=100000,INDEX($AM$1005:$BM$1005,1,MATCH(COLUMNS($AM$1006:AY1006),$AM$1006:$BM$1006,0))&gt;=100000), " ",IF(INDEX($AM$2:$BM$1001,MATCH(ROWS($AF$2:AF765),$AF$2:$AF$1001,0),MATCH(COLUMNS($AM$1006:AY1006),$AM$1006:$BM$1006,0)), HYPERLINK("#",""), HYPERLINK(CONCATENATE("#metadata!", ADDRESS(INDEX($AH$2:$AH$1001,MATCH(ROWS($AF$2:AF765),$AF$2:$AF$1001,0),0), INDEX($AM$1004:$BM$1004,1,MATCH(COLUMNS($AM$1006:AY1006),$AM$1006:$BM$1006,0)))),"Fix")))</f>
        <v xml:space="preserve"> </v>
      </c>
      <c r="O765" s="4" t="str">
        <f ca="1">IF(OR(INDEX($AG$2:$AG$1001,MATCH(ROWS($AF$2:AF765),$AF$2:$AF$1001,0),1)&gt;=100000,INDEX($AM$1005:$BM$1005,1,MATCH(COLUMNS($AM$1006:AZ1006),$AM$1006:$BM$1006,0))&gt;=100000), " ",IF(INDEX($AM$2:$BM$1001,MATCH(ROWS($AF$2:AF765),$AF$2:$AF$1001,0),MATCH(COLUMNS($AM$1006:AZ1006),$AM$1006:$BM$1006,0)), HYPERLINK("#",""), HYPERLINK(CONCATENATE("#metadata!", ADDRESS(INDEX($AH$2:$AH$1001,MATCH(ROWS($AF$2:AF765),$AF$2:$AF$1001,0),0), INDEX($AM$1004:$BM$1004,1,MATCH(COLUMNS($AM$1006:AZ1006),$AM$1006:$BM$1006,0)))),"Fix")))</f>
        <v xml:space="preserve"> </v>
      </c>
      <c r="P765" s="4" t="str">
        <f ca="1">IF(OR(INDEX($AG$2:$AG$1001,MATCH(ROWS($AF$2:AF765),$AF$2:$AF$1001,0),1)&gt;=100000,INDEX($AM$1005:$BM$1005,1,MATCH(COLUMNS($AM$1006:BA1006),$AM$1006:$BM$1006,0))&gt;=100000), " ",IF(INDEX($AM$2:$BM$1001,MATCH(ROWS($AF$2:AF765),$AF$2:$AF$1001,0),MATCH(COLUMNS($AM$1006:BA1006),$AM$1006:$BM$1006,0)), HYPERLINK("#",""), HYPERLINK(CONCATENATE("#metadata!", ADDRESS(INDEX($AH$2:$AH$1001,MATCH(ROWS($AF$2:AF765),$AF$2:$AF$1001,0),0), INDEX($AM$1004:$BM$1004,1,MATCH(COLUMNS($AM$1006:BA1006),$AM$1006:$BM$1006,0)))),"Fix")))</f>
        <v xml:space="preserve"> </v>
      </c>
      <c r="Q765" s="4" t="str">
        <f ca="1">IF(OR(INDEX($AG$2:$AG$1001,MATCH(ROWS($AF$2:AF765),$AF$2:$AF$1001,0),1)&gt;=100000,INDEX($AM$1005:$BM$1005,1,MATCH(COLUMNS($AM$1006:BB1006),$AM$1006:$BM$1006,0))&gt;=100000), " ",IF(INDEX($AM$2:$BM$1001,MATCH(ROWS($AF$2:AF765),$AF$2:$AF$1001,0),MATCH(COLUMNS($AM$1006:BB1006),$AM$1006:$BM$1006,0)), HYPERLINK("#",""), HYPERLINK(CONCATENATE("#metadata!", ADDRESS(INDEX($AH$2:$AH$1001,MATCH(ROWS($AF$2:AF765),$AF$2:$AF$1001,0),0), INDEX($AM$1004:$BM$1004,1,MATCH(COLUMNS($AM$1006:BB1006),$AM$1006:$BM$1006,0)))),"Fix")))</f>
        <v xml:space="preserve"> </v>
      </c>
      <c r="R765" s="4" t="str">
        <f ca="1">IF(OR(INDEX($AG$2:$AG$1001,MATCH(ROWS($AF$2:AF765),$AF$2:$AF$1001,0),1)&gt;=100000,INDEX($AM$1005:$BM$1005,1,MATCH(COLUMNS($AM$1006:BC1006),$AM$1006:$BM$1006,0))&gt;=100000), " ",IF(INDEX($AM$2:$BM$1001,MATCH(ROWS($AF$2:AF765),$AF$2:$AF$1001,0),MATCH(COLUMNS($AM$1006:BC1006),$AM$1006:$BM$1006,0)), HYPERLINK("#",""), HYPERLINK(CONCATENATE("#metadata!", ADDRESS(INDEX($AH$2:$AH$1001,MATCH(ROWS($AF$2:AF765),$AF$2:$AF$1001,0),0), INDEX($AM$1004:$BM$1004,1,MATCH(COLUMNS($AM$1006:BC1006),$AM$1006:$BM$1006,0)))),"Fix")))</f>
        <v xml:space="preserve"> </v>
      </c>
      <c r="S765" s="4" t="str">
        <f ca="1">IF(OR(INDEX($AG$2:$AG$1001,MATCH(ROWS($AF$2:AF765),$AF$2:$AF$1001,0),1)&gt;=100000,INDEX($AM$1005:$BM$1005,1,MATCH(COLUMNS($AM$1006:BD1006),$AM$1006:$BM$1006,0))&gt;=100000), " ",IF(INDEX($AM$2:$BM$1001,MATCH(ROWS($AF$2:AF765),$AF$2:$AF$1001,0),MATCH(COLUMNS($AM$1006:BD1006),$AM$1006:$BM$1006,0)), HYPERLINK("#",""), HYPERLINK(CONCATENATE("#metadata!", ADDRESS(INDEX($AH$2:$AH$1001,MATCH(ROWS($AF$2:AF765),$AF$2:$AF$1001,0),0), INDEX($AM$1004:$BM$1004,1,MATCH(COLUMNS($AM$1006:BD1006),$AM$1006:$BM$1006,0)))),"Fix")))</f>
        <v xml:space="preserve"> </v>
      </c>
      <c r="T765" s="4" t="str">
        <f ca="1">IF(OR(INDEX($AG$2:$AG$1001,MATCH(ROWS($AF$2:AF765),$AF$2:$AF$1001,0),1)&gt;=100000,INDEX($AM$1005:$BM$1005,1,MATCH(COLUMNS($AM$1006:BE1006),$AM$1006:$BM$1006,0))&gt;=100000), " ",IF(INDEX($AM$2:$BM$1001,MATCH(ROWS($AF$2:AF765),$AF$2:$AF$1001,0),MATCH(COLUMNS($AM$1006:BE1006),$AM$1006:$BM$1006,0)), HYPERLINK("#",""), HYPERLINK(CONCATENATE("#metadata!", ADDRESS(INDEX($AH$2:$AH$1001,MATCH(ROWS($AF$2:AF765),$AF$2:$AF$1001,0),0), INDEX($AM$1004:$BM$1004,1,MATCH(COLUMNS($AM$1006:BE1006),$AM$1006:$BM$1006,0)))),"Fix")))</f>
        <v xml:space="preserve"> </v>
      </c>
      <c r="U765" s="4" t="str">
        <f ca="1">IF(OR(INDEX($AG$2:$AG$1001,MATCH(ROWS($AF$2:AF765),$AF$2:$AF$1001,0),1)&gt;=100000,INDEX($AM$1005:$BM$1005,1,MATCH(COLUMNS($AM$1006:BF1006),$AM$1006:$BM$1006,0))&gt;=100000), " ",IF(INDEX($AM$2:$BM$1001,MATCH(ROWS($AF$2:AF765),$AF$2:$AF$1001,0),MATCH(COLUMNS($AM$1006:BF1006),$AM$1006:$BM$1006,0)), HYPERLINK("#",""), HYPERLINK(CONCATENATE("#metadata!", ADDRESS(INDEX($AH$2:$AH$1001,MATCH(ROWS($AF$2:AF765),$AF$2:$AF$1001,0),0), INDEX($AM$1004:$BM$1004,1,MATCH(COLUMNS($AM$1006:BF1006),$AM$1006:$BM$1006,0)))),"Fix")))</f>
        <v xml:space="preserve"> </v>
      </c>
      <c r="V765" s="4" t="str">
        <f ca="1">IF(OR(INDEX($AG$2:$AG$1001,MATCH(ROWS($AF$2:AF765),$AF$2:$AF$1001,0),1)&gt;=100000,INDEX($AM$1005:$BM$1005,1,MATCH(COLUMNS($AM$1006:BG1006),$AM$1006:$BM$1006,0))&gt;=100000), " ",IF(INDEX($AM$2:$BM$1001,MATCH(ROWS($AF$2:AF765),$AF$2:$AF$1001,0),MATCH(COLUMNS($AM$1006:BG1006),$AM$1006:$BM$1006,0)), HYPERLINK("#",""), HYPERLINK(CONCATENATE("#metadata!", ADDRESS(INDEX($AH$2:$AH$1001,MATCH(ROWS($AF$2:AF765),$AF$2:$AF$1001,0),0), INDEX($AM$1004:$BM$1004,1,MATCH(COLUMNS($AM$1006:BG1006),$AM$1006:$BM$1006,0)))),"Fix")))</f>
        <v xml:space="preserve"> </v>
      </c>
      <c r="W765" s="4" t="str">
        <f ca="1">IF(OR(INDEX($AG$2:$AG$1001,MATCH(ROWS($AF$2:AF765),$AF$2:$AF$1001,0),1)&gt;=100000,INDEX($AM$1005:$BM$1005,1,MATCH(COLUMNS($AM$1006:BH1006),$AM$1006:$BM$1006,0))&gt;=100000), " ",IF(INDEX($AM$2:$BM$1001,MATCH(ROWS($AF$2:AF765),$AF$2:$AF$1001,0),MATCH(COLUMNS($AM$1006:BH1006),$AM$1006:$BM$1006,0)), HYPERLINK("#",""), HYPERLINK(CONCATENATE("#metadata!", ADDRESS(INDEX($AH$2:$AH$1001,MATCH(ROWS($AF$2:AF765),$AF$2:$AF$1001,0),0), INDEX($AM$1004:$BM$1004,1,MATCH(COLUMNS($AM$1006:BH1006),$AM$1006:$BM$1006,0)))),"Fix")))</f>
        <v xml:space="preserve"> </v>
      </c>
      <c r="X765" s="4" t="str">
        <f ca="1">IF(OR(INDEX($AG$2:$AG$1001,MATCH(ROWS($AF$2:AF765),$AF$2:$AF$1001,0),1)&gt;=100000,INDEX($AM$1005:$BM$1005,1,MATCH(COLUMNS($AM$1006:BI1006),$AM$1006:$BM$1006,0))&gt;=100000), " ",IF(INDEX($AM$2:$BM$1001,MATCH(ROWS($AF$2:AF765),$AF$2:$AF$1001,0),MATCH(COLUMNS($AM$1006:BI1006),$AM$1006:$BM$1006,0)), HYPERLINK("#",""), HYPERLINK(CONCATENATE("#metadata!", ADDRESS(INDEX($AH$2:$AH$1001,MATCH(ROWS($AF$2:AF765),$AF$2:$AF$1001,0),0), INDEX($AM$1004:$BM$1004,1,MATCH(COLUMNS($AM$1006:BI1006),$AM$1006:$BM$1006,0)))),"Fix")))</f>
        <v xml:space="preserve"> </v>
      </c>
      <c r="Y765" s="4" t="str">
        <f ca="1">IF(OR(INDEX($AG$2:$AG$1001,MATCH(ROWS($AF$2:AF765),$AF$2:$AF$1001,0),1)&gt;=100000,INDEX($AM$1005:$BM$1005,1,MATCH(COLUMNS($AM$1006:BJ1006),$AM$1006:$BM$1006,0))&gt;=100000), " ",IF(INDEX($AM$2:$BM$1001,MATCH(ROWS($AF$2:AF765),$AF$2:$AF$1001,0),MATCH(COLUMNS($AM$1006:BJ1006),$AM$1006:$BM$1006,0)), HYPERLINK("#",""), HYPERLINK(CONCATENATE("#metadata!", ADDRESS(INDEX($AH$2:$AH$1001,MATCH(ROWS($AF$2:AF765),$AF$2:$AF$1001,0),0), INDEX($AM$1004:$BM$1004,1,MATCH(COLUMNS($AM$1006:BJ1006),$AM$1006:$BM$1006,0)))),"Fix")))</f>
        <v xml:space="preserve"> </v>
      </c>
      <c r="Z765" s="4" t="str">
        <f ca="1">IF(OR(INDEX($AG$2:$AG$1001,MATCH(ROWS($AF$2:AF765),$AF$2:$AF$1001,0),1)&gt;=100000,INDEX($AM$1005:$BM$1005,1,MATCH(COLUMNS($AM$1006:BK1006),$AM$1006:$BM$1006,0))&gt;=100000), " ",IF(INDEX($AM$2:$BM$1001,MATCH(ROWS($AF$2:AF765),$AF$2:$AF$1001,0),MATCH(COLUMNS($AM$1006:BK1006),$AM$1006:$BM$1006,0)), HYPERLINK("#",""), HYPERLINK(CONCATENATE("#metadata!", ADDRESS(INDEX($AH$2:$AH$1001,MATCH(ROWS($AF$2:AF765),$AF$2:$AF$1001,0),0), INDEX($AM$1004:$BM$1004,1,MATCH(COLUMNS($AM$1006:BK1006),$AM$1006:$BM$1006,0)))),"Fix")))</f>
        <v xml:space="preserve"> </v>
      </c>
      <c r="AA765" s="4" t="str">
        <f ca="1">IF(OR(INDEX($AG$2:$AG$1001,MATCH(ROWS($AF$2:AF765),$AF$2:$AF$1001,0),1)&gt;=100000,INDEX($AM$1005:$BM$1005,1,MATCH(COLUMNS($AM$1006:BL1006),$AM$1006:$BM$1006,0))&gt;=100000), " ",IF(INDEX($AM$2:$BM$1001,MATCH(ROWS($AF$2:AF765),$AF$2:$AF$1001,0),MATCH(COLUMNS($AM$1006:BL1006),$AM$1006:$BM$1006,0)), HYPERLINK("#",""), HYPERLINK(CONCATENATE("#metadata!", ADDRESS(INDEX($AH$2:$AH$1001,MATCH(ROWS($AF$2:AF765),$AF$2:$AF$1001,0),0), INDEX($AM$1004:$BM$1004,1,MATCH(COLUMNS($AM$1006:BL1006),$AM$1006:$BM$1006,0)))),"Fix")))</f>
        <v xml:space="preserve"> </v>
      </c>
      <c r="AB765" s="4" t="str">
        <f ca="1">IF(OR(INDEX($AG$2:$AG$1001,MATCH(ROWS($AF$2:AF765),$AF$2:$AF$1001,0),1)&gt;=100000,INDEX($AM$1005:$BM$1005,1,MATCH(COLUMNS($AM$1006:BM1006),$AM$1006:$BM$1006,0))&gt;=100000), " ",IF(INDEX($AM$2:$BM$1001,MATCH(ROWS($AF$2:AF765),$AF$2:$AF$1001,0),MATCH(COLUMNS($AM$1006:BM1006),$AM$1006:$BM$1006,0)), HYPERLINK("#",""), HYPERLINK(CONCATENATE("#metadata!", ADDRESS(INDEX($AH$2:$AH$1001,MATCH(ROWS($AF$2:AF765),$AF$2:$AF$1001,0),0), INDEX($AM$1004:$BM$1004,1,MATCH(COLUMNS($AM$1006:BM1006),$AM$1006:$BM$1006,0)))),"Fix")))</f>
        <v xml:space="preserve"> </v>
      </c>
      <c r="AF765">
        <v>764</v>
      </c>
      <c r="AG765">
        <v>100765</v>
      </c>
      <c r="AH765">
        <v>765</v>
      </c>
      <c r="AI765" t="b">
        <f t="shared" si="11"/>
        <v>1</v>
      </c>
      <c r="AJ765" t="b">
        <f>COUNTBLANK(metadata!B765:AB765)=COLUMNS(metadata!B765:AB765)</f>
        <v>1</v>
      </c>
      <c r="AK765" t="str">
        <v/>
      </c>
      <c r="AM765" t="b">
        <f ca="1">AND(IF(metadata!B765="",FALSE,TRUE),COUNTIF(metadata!B:B, metadata!B765) = 1,NOT(ISERROR(SUMPRODUCT(SEARCH(MID(metadata!B765,ROW(INDIRECT("1:"&amp;LEN(metadata!B765))), 1),"0123456789abcdefghijklmnopqrstuvwxyzABCDEFGHIJKLMNOPQRSTUVWXYZ.")))))</f>
        <v>0</v>
      </c>
      <c r="AN765" t="b">
        <f ca="1">OR(AND(IF(metadata!C765="",FALSE,TRUE),OR(EXACT(metadata!C765,"missing: not collected"),EXACT(metadata!C765,"missing: not provided"),EXACT(metadata!C765,"missing: restricted access"))),AND(IF(metadata!C765="",FALSE,TRUE),AND(AND(IFERROR(INT(LEFT(metadata!C765,4))&gt;1900,FALSE),IFERROR(INT(LEFT(metadata!C765,4))&lt;=YEAR(NOW()),FALSE)), OR(MID(metadata!C765,5,1)="", AND(AND(MID(metadata!C765,5,1)="-",IFERROR(INT(MID(metadata!C765,6,1))&gt;=0,FALSE),IFERROR(INT(MID(metadata!C765,6,1))&lt;=1,FALSE),NOT(MID(metadata!C765,7,1)=""),IFERROR(INT(MID(metadata!C765,6,2))&gt;=1,FALSE),IFERROR(INT(MID(metadata!C765,6,2))&lt;=12,FALSE)), OR(MID(metadata!C765,8,1)="", AND(AND(MID(metadata!C765,8,1)="-",IFERROR(INT(MID(metadata!C765,9,1))&gt;=0,FALSE),IFERROR(INT(MID(metadata!C765,9,1))&lt;=3,FALSE),NOT(MID(metadata!C765,10,1)=""),IFERROR(INT(MID(metadata!C765,9,2))&gt;=1,FALSE),IFERROR(INT(MID(metadata!C765,9,2))&lt;=31,FALSE)), OR(MID(metadata!C765,11,1)="", AND(AND(MID(metadata!C765,11,1)=" ",IFERROR(INT(MID(metadata!C765,12,1))&gt;=0,FALSE),IFERROR(INT(MID(metadata!C765,12,1))&lt;=2,FALSE),NOT(MID(metadata!C765,13,1)=""),IFERROR(INT(MID(metadata!C765,12,2))&gt;=0,FALSE),IFERROR(INT(MID(metadata!C765,12,2))&lt;=23,FALSE)), OR(MID(metadata!C765,14,1)="", AND(AND(MID(metadata!C765,14,1)=":",IFERROR(INT(MID(metadata!C765,15,1))&gt;=0,FALSE),IFERROR(INT(MID(metadata!C765,15,1))&lt;=5,FALSE),NOT(MID(metadata!C765,16,1)=""),IFERROR(INT(MID(metadata!C765,15,2))&gt;=0,FALSE),IFERROR(INT(MID(metadata!C765,15,2))&lt;=59,FALSE)), OR(MID(metadata!C765,17,1)="", AND(AND(MID(metadata!C765,17,1)=":",IFERROR(INT(MID(metadata!C765,18,1))&gt;=0,FALSE),IFERROR(INT(MID(metadata!C765,18,1))&lt;=5,FALSE),NOT(MID(metadata!C765,19,1)=""),IFERROR(INT(MID(metadata!C765,18,2))&gt;=0,FALSE),IFERROR(INT(MID(metadata!C765,18,2))&lt;=59,FALSE)), LEN(metadata!C765)&lt;=19)))))))))))))</f>
        <v>0</v>
      </c>
      <c r="AO765" t="b">
        <f>AND(IF(metadata!D765="",FALSE,TRUE),EXACT(metadata!D765,"Not applicable"))</f>
        <v>0</v>
      </c>
      <c r="AP765" t="b">
        <f>IF(metadata!E765="",FALSE,TRUE)</f>
        <v>0</v>
      </c>
      <c r="AQ765" t="b">
        <f>OR(AND(IF(metadata!F765="",FALSE,TRUE),OR(EXACT(metadata!F765,"missing: not collected"),EXACT(metadata!F765,"missing: not provided"))),AND(IF(metadata!F765="",FALSE,TRUE),OR(EXACT(metadata!F765,"TRUE"),EXACT(metadata!F765,"FALSE"))))</f>
        <v>0</v>
      </c>
      <c r="AR765" t="b">
        <f>OR(AND(IF(metadata!G765="",FALSE,TRUE),OR(EXACT(metadata!G765,"missing: not collected"),EXACT(metadata!G765,"missing: not provided"),EXACT(metadata!G765,"missing: restricted access"))),AND(IF(metadata!G765="",FALSE,ISNUMBER(VALUE(metadata!G765))),metadata!G765&gt;=-413))</f>
        <v>0</v>
      </c>
      <c r="AS765" t="b">
        <f>AND(IF(metadata!H765="",FALSE,TRUE),EXACT(metadata!H765,"meters"))</f>
        <v>0</v>
      </c>
      <c r="AT765" t="b">
        <f>AND(IF(metadata!I765="",FALSE,TRUE),OR(EXACT(metadata!I765,"Host-associated"),EXACT(metadata!I765,"Free-living")))</f>
        <v>0</v>
      </c>
      <c r="AU765" t="b">
        <f>AND(IF(metadata!J765="",FALSE,TRUE),OR(EXACT(metadata!J765,"Animal"),EXACT(metadata!J765,"Fungus"),EXACT(metadata!J765,"Plant"),EXACT(metadata!J765,"Saline"),EXACT(metadata!J765,"Non-saline")))</f>
        <v>0</v>
      </c>
      <c r="AV765" t="b">
        <f>AND(IF(metadata!K765="",FALSE,TRUE),OR(EXACT(metadata!K765,"Plant secretion"),EXACT(metadata!K765,"Plant rhizosphere"),EXACT(metadata!K765,"Plant surface"),EXACT(metadata!K765,"Plant corpus"),EXACT(metadata!K765,"Fungus surface"),EXACT(metadata!K765,"Fungus corpus"),EXACT(metadata!K765,"Animal surface"),EXACT(metadata!K765,"Animal proximal gut"),EXACT(metadata!K765,"Animal corpus"),EXACT(metadata!K765,"Animal distal gut"),EXACT(metadata!K765,"Animal secretion"),EXACT(metadata!K765,"Sub-surface (non-saline)"),EXACT(metadata!K765,"Surface (non-saline)"),EXACT(metadata!K765,"Water (non-saline)"),EXACT(metadata!K765,"Soil (non-saline)"),EXACT(metadata!K765,"Aerosol (non-saline)"),EXACT(metadata!K765,"Sediment (non-saline)"),EXACT(metadata!K765,"Surface (saline)"),EXACT(metadata!K765,"Water (saline)"),EXACT(metadata!K765,"Hypersaline (saline)"),EXACT(metadata!K765,"Aerosol (saline)"),EXACT(metadata!K765,"Sediment (saline)")))</f>
        <v>0</v>
      </c>
      <c r="AW765" t="b">
        <f>IF(metadata!L765="",FALSE,TRUE)</f>
        <v>0</v>
      </c>
      <c r="AX765" t="b">
        <f>IF(metadata!M765="",FALSE,TRUE)</f>
        <v>0</v>
      </c>
      <c r="AY765" t="b">
        <f>IF(metadata!N765="",FALSE,TRUE)</f>
        <v>0</v>
      </c>
      <c r="AZ765" t="b">
        <f>OR(AND(IF(metadata!O765="",FALSE,TRUE),OR(EXACT(metadata!O765,"missing: not collected"),EXACT(metadata!O765,"missing: not provided"),EXACT(metadata!O765,"missing: restricted access"))),AND(IF(metadata!O765="",FALSE,TRUE),OR(EXACT(metadata!O765,"air"),EXACT(metadata!O765,"built environment"),EXACT(metadata!O765,"host-associated"),EXACT(metadata!O765,"human-associated"),EXACT(metadata!O765,"human-skin"),EXACT(metadata!O765,"human-oral"),EXACT(metadata!O765,"human-gut"),EXACT(metadata!O765,"human-vaginal"),EXACT(metadata!O765,"microbial mat/biofilm"),EXACT(metadata!O765,"misc environment"),EXACT(metadata!O765,"plant-associated"),EXACT(metadata!O765,"sediment"),EXACT(metadata!O765,"soil"),EXACT(metadata!O765,"wastewater/sludge"),EXACT(metadata!O765,"water"))))</f>
        <v>0</v>
      </c>
      <c r="BA765" t="b">
        <f>IF(metadata!P765="",FALSE,TRUE)</f>
        <v>0</v>
      </c>
      <c r="BB765" t="b">
        <f>IF(metadata!Q765="",FALSE,TRUE)</f>
        <v>0</v>
      </c>
      <c r="BC765" t="b">
        <f>OR(AND(IF(metadata!R765="",FALSE,TRUE),OR(EXACT(metadata!R765,"missing: not collected"),EXACT(metadata!R765,"missing: not provided"),EXACT(metadata!R765,"missing: restricted access"))),AND(IF(metadata!R765="",FALSE,ISNUMBER(VALUE(metadata!R765))),metadata!R765&gt;=-90,metadata!R765&lt;=90))</f>
        <v>0</v>
      </c>
      <c r="BD765" t="b">
        <f>AND(IF(metadata!S765="",FALSE,TRUE),EXACT(metadata!S765,"Decimal degrees"))</f>
        <v>0</v>
      </c>
      <c r="BE765" t="b">
        <f>OR(AND(IF(metadata!T765="",FALSE,TRUE),OR(EXACT(metadata!T765,"missing: not collected"),EXACT(metadata!T765,"missing: not provided"),EXACT(metadata!T765,"missing: restricted access"))),AND(IF(metadata!T765="",FALSE,ISNUMBER(VALUE(metadata!T765))),metadata!T765&gt;=-180,metadata!T765&lt;=180))</f>
        <v>0</v>
      </c>
      <c r="BF765" t="b">
        <f>AND(IF(metadata!U765="",FALSE,TRUE),EXACT(metadata!U765,"Decimal degrees"))</f>
        <v>0</v>
      </c>
      <c r="BG765" t="b">
        <f>IF(metadata!V765="",FALSE,TRUE)</f>
        <v>0</v>
      </c>
      <c r="BH765" t="b">
        <f>OR(AND(IF(metadata!W765="",FALSE,TRUE),OR(EXACT(metadata!W765,"missing: not collected"),EXACT(metadata!W765,"missing: not provided"),EXACT(metadata!W765,"missing: restricted access"))),AND(IF(metadata!W765="",FALSE,TRUE),OR(EXACT(metadata!W765,"TRUE"),EXACT(metadata!W765,"FALSE"))))</f>
        <v>0</v>
      </c>
      <c r="BI765" t="b">
        <f>AND(IF(metadata!X765="",FALSE,TRUE),EXACT(metadata!X765,"other"))</f>
        <v>0</v>
      </c>
      <c r="BJ765" t="b">
        <f>IF(metadata!Y765="",FALSE,TRUE)</f>
        <v>0</v>
      </c>
      <c r="BK765" t="b">
        <f>OR(AND(IF(metadata!Z765="",FALSE,TRUE),OR(EXACT(metadata!Z765,"missing: not collected"),EXACT(metadata!Z765,"missing: not provided"))),AND(IF(metadata!Z765="",FALSE,IF(ISERROR(INT(metadata!Z765)),FALSE,INT(metadata!Z765)=metadata!Z765)),metadata!Z765&gt;0))</f>
        <v>0</v>
      </c>
      <c r="BL765" t="b">
        <f>AND(IF(metadata!AA765="",FALSE,TRUE),EXACT(metadata!AA765,"Not applicable"))</f>
        <v>0</v>
      </c>
      <c r="BM765" t="b">
        <f>IF(metadata!AB765="",FALSE,TRUE)</f>
        <v>0</v>
      </c>
    </row>
    <row r="766" spans="1:65" x14ac:dyDescent="0.2">
      <c r="A766" s="5" t="str">
        <f ca="1">IF(B766=" "," ",HYPERLINK(CONCATENATE("#metadata!",ADDRESS(INDEX($AH$2:$AH$1001,MATCH(ROWS($AF$2:AF766),$AF$2:$AF$1001,0),0),1)),INDEX($AK$2:$AK$1001,MATCH(ROWS($AF$2:AF766),$AF$2:$AF$1001,0),0)))</f>
        <v xml:space="preserve"> </v>
      </c>
      <c r="B766" s="4" t="str">
        <f ca="1">IF(OR(INDEX($AG$2:$AG$1001,MATCH(ROWS($AF$2:AF766),$AF$2:$AF$1001,0),1)&gt;=100000,INDEX($AM$1005:$BM$1005,1,MATCH(COLUMNS($AM$1006:AM1006),$AM$1006:$BM$1006,0))&gt;=100000), " ",IF(INDEX($AM$2:$BM$1001,MATCH(ROWS($AF$2:AF766),$AF$2:$AF$1001,0),MATCH(COLUMNS($AM$1006:AM1006),$AM$1006:$BM$1006,0)), HYPERLINK("#",""), HYPERLINK(CONCATENATE("#metadata!", ADDRESS(INDEX($AH$2:$AH$1001,MATCH(ROWS($AF$2:AF766),$AF$2:$AF$1001,0),0), INDEX($AM$1004:$BM$1004,1,MATCH(COLUMNS($AM$1006:AM1006),$AM$1006:$BM$1006,0)))),"Fix")))</f>
        <v xml:space="preserve"> </v>
      </c>
      <c r="C766" s="4" t="str">
        <f ca="1">IF(OR(INDEX($AG$2:$AG$1001,MATCH(ROWS($AF$2:AF766),$AF$2:$AF$1001,0),1)&gt;=100000,INDEX($AM$1005:$BM$1005,1,MATCH(COLUMNS($AM$1006:AN1006),$AM$1006:$BM$1006,0))&gt;=100000), " ",IF(INDEX($AM$2:$BM$1001,MATCH(ROWS($AF$2:AF766),$AF$2:$AF$1001,0),MATCH(COLUMNS($AM$1006:AN1006),$AM$1006:$BM$1006,0)), HYPERLINK("#",""), HYPERLINK(CONCATENATE("#metadata!", ADDRESS(INDEX($AH$2:$AH$1001,MATCH(ROWS($AF$2:AF766),$AF$2:$AF$1001,0),0), INDEX($AM$1004:$BM$1004,1,MATCH(COLUMNS($AM$1006:AN1006),$AM$1006:$BM$1006,0)))),"Fix")))</f>
        <v xml:space="preserve"> </v>
      </c>
      <c r="D766" s="4" t="str">
        <f ca="1">IF(OR(INDEX($AG$2:$AG$1001,MATCH(ROWS($AF$2:AF766),$AF$2:$AF$1001,0),1)&gt;=100000,INDEX($AM$1005:$BM$1005,1,MATCH(COLUMNS($AM$1006:AO1006),$AM$1006:$BM$1006,0))&gt;=100000), " ",IF(INDEX($AM$2:$BM$1001,MATCH(ROWS($AF$2:AF766),$AF$2:$AF$1001,0),MATCH(COLUMNS($AM$1006:AO1006),$AM$1006:$BM$1006,0)), HYPERLINK("#",""), HYPERLINK(CONCATENATE("#metadata!", ADDRESS(INDEX($AH$2:$AH$1001,MATCH(ROWS($AF$2:AF766),$AF$2:$AF$1001,0),0), INDEX($AM$1004:$BM$1004,1,MATCH(COLUMNS($AM$1006:AO1006),$AM$1006:$BM$1006,0)))),"Fix")))</f>
        <v xml:space="preserve"> </v>
      </c>
      <c r="E766" s="4" t="str">
        <f ca="1">IF(OR(INDEX($AG$2:$AG$1001,MATCH(ROWS($AF$2:AF766),$AF$2:$AF$1001,0),1)&gt;=100000,INDEX($AM$1005:$BM$1005,1,MATCH(COLUMNS($AM$1006:AP1006),$AM$1006:$BM$1006,0))&gt;=100000), " ",IF(INDEX($AM$2:$BM$1001,MATCH(ROWS($AF$2:AF766),$AF$2:$AF$1001,0),MATCH(COLUMNS($AM$1006:AP1006),$AM$1006:$BM$1006,0)), HYPERLINK("#",""), HYPERLINK(CONCATENATE("#metadata!", ADDRESS(INDEX($AH$2:$AH$1001,MATCH(ROWS($AF$2:AF766),$AF$2:$AF$1001,0),0), INDEX($AM$1004:$BM$1004,1,MATCH(COLUMNS($AM$1006:AP1006),$AM$1006:$BM$1006,0)))),"Fix")))</f>
        <v xml:space="preserve"> </v>
      </c>
      <c r="F766" s="4" t="str">
        <f ca="1">IF(OR(INDEX($AG$2:$AG$1001,MATCH(ROWS($AF$2:AF766),$AF$2:$AF$1001,0),1)&gt;=100000,INDEX($AM$1005:$BM$1005,1,MATCH(COLUMNS($AM$1006:AQ1006),$AM$1006:$BM$1006,0))&gt;=100000), " ",IF(INDEX($AM$2:$BM$1001,MATCH(ROWS($AF$2:AF766),$AF$2:$AF$1001,0),MATCH(COLUMNS($AM$1006:AQ1006),$AM$1006:$BM$1006,0)), HYPERLINK("#",""), HYPERLINK(CONCATENATE("#metadata!", ADDRESS(INDEX($AH$2:$AH$1001,MATCH(ROWS($AF$2:AF766),$AF$2:$AF$1001,0),0), INDEX($AM$1004:$BM$1004,1,MATCH(COLUMNS($AM$1006:AQ1006),$AM$1006:$BM$1006,0)))),"Fix")))</f>
        <v xml:space="preserve"> </v>
      </c>
      <c r="G766" s="4" t="str">
        <f ca="1">IF(OR(INDEX($AG$2:$AG$1001,MATCH(ROWS($AF$2:AF766),$AF$2:$AF$1001,0),1)&gt;=100000,INDEX($AM$1005:$BM$1005,1,MATCH(COLUMNS($AM$1006:AR1006),$AM$1006:$BM$1006,0))&gt;=100000), " ",IF(INDEX($AM$2:$BM$1001,MATCH(ROWS($AF$2:AF766),$AF$2:$AF$1001,0),MATCH(COLUMNS($AM$1006:AR1006),$AM$1006:$BM$1006,0)), HYPERLINK("#",""), HYPERLINK(CONCATENATE("#metadata!", ADDRESS(INDEX($AH$2:$AH$1001,MATCH(ROWS($AF$2:AF766),$AF$2:$AF$1001,0),0), INDEX($AM$1004:$BM$1004,1,MATCH(COLUMNS($AM$1006:AR1006),$AM$1006:$BM$1006,0)))),"Fix")))</f>
        <v xml:space="preserve"> </v>
      </c>
      <c r="H766" s="4" t="str">
        <f ca="1">IF(OR(INDEX($AG$2:$AG$1001,MATCH(ROWS($AF$2:AF766),$AF$2:$AF$1001,0),1)&gt;=100000,INDEX($AM$1005:$BM$1005,1,MATCH(COLUMNS($AM$1006:AS1006),$AM$1006:$BM$1006,0))&gt;=100000), " ",IF(INDEX($AM$2:$BM$1001,MATCH(ROWS($AF$2:AF766),$AF$2:$AF$1001,0),MATCH(COLUMNS($AM$1006:AS1006),$AM$1006:$BM$1006,0)), HYPERLINK("#",""), HYPERLINK(CONCATENATE("#metadata!", ADDRESS(INDEX($AH$2:$AH$1001,MATCH(ROWS($AF$2:AF766),$AF$2:$AF$1001,0),0), INDEX($AM$1004:$BM$1004,1,MATCH(COLUMNS($AM$1006:AS1006),$AM$1006:$BM$1006,0)))),"Fix")))</f>
        <v xml:space="preserve"> </v>
      </c>
      <c r="I766" s="4" t="str">
        <f ca="1">IF(OR(INDEX($AG$2:$AG$1001,MATCH(ROWS($AF$2:AF766),$AF$2:$AF$1001,0),1)&gt;=100000,INDEX($AM$1005:$BM$1005,1,MATCH(COLUMNS($AM$1006:AT1006),$AM$1006:$BM$1006,0))&gt;=100000), " ",IF(INDEX($AM$2:$BM$1001,MATCH(ROWS($AF$2:AF766),$AF$2:$AF$1001,0),MATCH(COLUMNS($AM$1006:AT1006),$AM$1006:$BM$1006,0)), HYPERLINK("#",""), HYPERLINK(CONCATENATE("#metadata!", ADDRESS(INDEX($AH$2:$AH$1001,MATCH(ROWS($AF$2:AF766),$AF$2:$AF$1001,0),0), INDEX($AM$1004:$BM$1004,1,MATCH(COLUMNS($AM$1006:AT1006),$AM$1006:$BM$1006,0)))),"Fix")))</f>
        <v xml:space="preserve"> </v>
      </c>
      <c r="J766" s="4" t="str">
        <f ca="1">IF(OR(INDEX($AG$2:$AG$1001,MATCH(ROWS($AF$2:AF766),$AF$2:$AF$1001,0),1)&gt;=100000,INDEX($AM$1005:$BM$1005,1,MATCH(COLUMNS($AM$1006:AU1006),$AM$1006:$BM$1006,0))&gt;=100000), " ",IF(INDEX($AM$2:$BM$1001,MATCH(ROWS($AF$2:AF766),$AF$2:$AF$1001,0),MATCH(COLUMNS($AM$1006:AU1006),$AM$1006:$BM$1006,0)), HYPERLINK("#",""), HYPERLINK(CONCATENATE("#metadata!", ADDRESS(INDEX($AH$2:$AH$1001,MATCH(ROWS($AF$2:AF766),$AF$2:$AF$1001,0),0), INDEX($AM$1004:$BM$1004,1,MATCH(COLUMNS($AM$1006:AU1006),$AM$1006:$BM$1006,0)))),"Fix")))</f>
        <v xml:space="preserve"> </v>
      </c>
      <c r="K766" s="4" t="str">
        <f ca="1">IF(OR(INDEX($AG$2:$AG$1001,MATCH(ROWS($AF$2:AF766),$AF$2:$AF$1001,0),1)&gt;=100000,INDEX($AM$1005:$BM$1005,1,MATCH(COLUMNS($AM$1006:AV1006),$AM$1006:$BM$1006,0))&gt;=100000), " ",IF(INDEX($AM$2:$BM$1001,MATCH(ROWS($AF$2:AF766),$AF$2:$AF$1001,0),MATCH(COLUMNS($AM$1006:AV1006),$AM$1006:$BM$1006,0)), HYPERLINK("#",""), HYPERLINK(CONCATENATE("#metadata!", ADDRESS(INDEX($AH$2:$AH$1001,MATCH(ROWS($AF$2:AF766),$AF$2:$AF$1001,0),0), INDEX($AM$1004:$BM$1004,1,MATCH(COLUMNS($AM$1006:AV1006),$AM$1006:$BM$1006,0)))),"Fix")))</f>
        <v xml:space="preserve"> </v>
      </c>
      <c r="L766" s="4" t="str">
        <f ca="1">IF(OR(INDEX($AG$2:$AG$1001,MATCH(ROWS($AF$2:AF766),$AF$2:$AF$1001,0),1)&gt;=100000,INDEX($AM$1005:$BM$1005,1,MATCH(COLUMNS($AM$1006:AW1006),$AM$1006:$BM$1006,0))&gt;=100000), " ",IF(INDEX($AM$2:$BM$1001,MATCH(ROWS($AF$2:AF766),$AF$2:$AF$1001,0),MATCH(COLUMNS($AM$1006:AW1006),$AM$1006:$BM$1006,0)), HYPERLINK("#",""), HYPERLINK(CONCATENATE("#metadata!", ADDRESS(INDEX($AH$2:$AH$1001,MATCH(ROWS($AF$2:AF766),$AF$2:$AF$1001,0),0), INDEX($AM$1004:$BM$1004,1,MATCH(COLUMNS($AM$1006:AW1006),$AM$1006:$BM$1006,0)))),"Fix")))</f>
        <v xml:space="preserve"> </v>
      </c>
      <c r="M766" s="4" t="str">
        <f ca="1">IF(OR(INDEX($AG$2:$AG$1001,MATCH(ROWS($AF$2:AF766),$AF$2:$AF$1001,0),1)&gt;=100000,INDEX($AM$1005:$BM$1005,1,MATCH(COLUMNS($AM$1006:AX1006),$AM$1006:$BM$1006,0))&gt;=100000), " ",IF(INDEX($AM$2:$BM$1001,MATCH(ROWS($AF$2:AF766),$AF$2:$AF$1001,0),MATCH(COLUMNS($AM$1006:AX1006),$AM$1006:$BM$1006,0)), HYPERLINK("#",""), HYPERLINK(CONCATENATE("#metadata!", ADDRESS(INDEX($AH$2:$AH$1001,MATCH(ROWS($AF$2:AF766),$AF$2:$AF$1001,0),0), INDEX($AM$1004:$BM$1004,1,MATCH(COLUMNS($AM$1006:AX1006),$AM$1006:$BM$1006,0)))),"Fix")))</f>
        <v xml:space="preserve"> </v>
      </c>
      <c r="N766" s="4" t="str">
        <f ca="1">IF(OR(INDEX($AG$2:$AG$1001,MATCH(ROWS($AF$2:AF766),$AF$2:$AF$1001,0),1)&gt;=100000,INDEX($AM$1005:$BM$1005,1,MATCH(COLUMNS($AM$1006:AY1006),$AM$1006:$BM$1006,0))&gt;=100000), " ",IF(INDEX($AM$2:$BM$1001,MATCH(ROWS($AF$2:AF766),$AF$2:$AF$1001,0),MATCH(COLUMNS($AM$1006:AY1006),$AM$1006:$BM$1006,0)), HYPERLINK("#",""), HYPERLINK(CONCATENATE("#metadata!", ADDRESS(INDEX($AH$2:$AH$1001,MATCH(ROWS($AF$2:AF766),$AF$2:$AF$1001,0),0), INDEX($AM$1004:$BM$1004,1,MATCH(COLUMNS($AM$1006:AY1006),$AM$1006:$BM$1006,0)))),"Fix")))</f>
        <v xml:space="preserve"> </v>
      </c>
      <c r="O766" s="4" t="str">
        <f ca="1">IF(OR(INDEX($AG$2:$AG$1001,MATCH(ROWS($AF$2:AF766),$AF$2:$AF$1001,0),1)&gt;=100000,INDEX($AM$1005:$BM$1005,1,MATCH(COLUMNS($AM$1006:AZ1006),$AM$1006:$BM$1006,0))&gt;=100000), " ",IF(INDEX($AM$2:$BM$1001,MATCH(ROWS($AF$2:AF766),$AF$2:$AF$1001,0),MATCH(COLUMNS($AM$1006:AZ1006),$AM$1006:$BM$1006,0)), HYPERLINK("#",""), HYPERLINK(CONCATENATE("#metadata!", ADDRESS(INDEX($AH$2:$AH$1001,MATCH(ROWS($AF$2:AF766),$AF$2:$AF$1001,0),0), INDEX($AM$1004:$BM$1004,1,MATCH(COLUMNS($AM$1006:AZ1006),$AM$1006:$BM$1006,0)))),"Fix")))</f>
        <v xml:space="preserve"> </v>
      </c>
      <c r="P766" s="4" t="str">
        <f ca="1">IF(OR(INDEX($AG$2:$AG$1001,MATCH(ROWS($AF$2:AF766),$AF$2:$AF$1001,0),1)&gt;=100000,INDEX($AM$1005:$BM$1005,1,MATCH(COLUMNS($AM$1006:BA1006),$AM$1006:$BM$1006,0))&gt;=100000), " ",IF(INDEX($AM$2:$BM$1001,MATCH(ROWS($AF$2:AF766),$AF$2:$AF$1001,0),MATCH(COLUMNS($AM$1006:BA1006),$AM$1006:$BM$1006,0)), HYPERLINK("#",""), HYPERLINK(CONCATENATE("#metadata!", ADDRESS(INDEX($AH$2:$AH$1001,MATCH(ROWS($AF$2:AF766),$AF$2:$AF$1001,0),0), INDEX($AM$1004:$BM$1004,1,MATCH(COLUMNS($AM$1006:BA1006),$AM$1006:$BM$1006,0)))),"Fix")))</f>
        <v xml:space="preserve"> </v>
      </c>
      <c r="Q766" s="4" t="str">
        <f ca="1">IF(OR(INDEX($AG$2:$AG$1001,MATCH(ROWS($AF$2:AF766),$AF$2:$AF$1001,0),1)&gt;=100000,INDEX($AM$1005:$BM$1005,1,MATCH(COLUMNS($AM$1006:BB1006),$AM$1006:$BM$1006,0))&gt;=100000), " ",IF(INDEX($AM$2:$BM$1001,MATCH(ROWS($AF$2:AF766),$AF$2:$AF$1001,0),MATCH(COLUMNS($AM$1006:BB1006),$AM$1006:$BM$1006,0)), HYPERLINK("#",""), HYPERLINK(CONCATENATE("#metadata!", ADDRESS(INDEX($AH$2:$AH$1001,MATCH(ROWS($AF$2:AF766),$AF$2:$AF$1001,0),0), INDEX($AM$1004:$BM$1004,1,MATCH(COLUMNS($AM$1006:BB1006),$AM$1006:$BM$1006,0)))),"Fix")))</f>
        <v xml:space="preserve"> </v>
      </c>
      <c r="R766" s="4" t="str">
        <f ca="1">IF(OR(INDEX($AG$2:$AG$1001,MATCH(ROWS($AF$2:AF766),$AF$2:$AF$1001,0),1)&gt;=100000,INDEX($AM$1005:$BM$1005,1,MATCH(COLUMNS($AM$1006:BC1006),$AM$1006:$BM$1006,0))&gt;=100000), " ",IF(INDEX($AM$2:$BM$1001,MATCH(ROWS($AF$2:AF766),$AF$2:$AF$1001,0),MATCH(COLUMNS($AM$1006:BC1006),$AM$1006:$BM$1006,0)), HYPERLINK("#",""), HYPERLINK(CONCATENATE("#metadata!", ADDRESS(INDEX($AH$2:$AH$1001,MATCH(ROWS($AF$2:AF766),$AF$2:$AF$1001,0),0), INDEX($AM$1004:$BM$1004,1,MATCH(COLUMNS($AM$1006:BC1006),$AM$1006:$BM$1006,0)))),"Fix")))</f>
        <v xml:space="preserve"> </v>
      </c>
      <c r="S766" s="4" t="str">
        <f ca="1">IF(OR(INDEX($AG$2:$AG$1001,MATCH(ROWS($AF$2:AF766),$AF$2:$AF$1001,0),1)&gt;=100000,INDEX($AM$1005:$BM$1005,1,MATCH(COLUMNS($AM$1006:BD1006),$AM$1006:$BM$1006,0))&gt;=100000), " ",IF(INDEX($AM$2:$BM$1001,MATCH(ROWS($AF$2:AF766),$AF$2:$AF$1001,0),MATCH(COLUMNS($AM$1006:BD1006),$AM$1006:$BM$1006,0)), HYPERLINK("#",""), HYPERLINK(CONCATENATE("#metadata!", ADDRESS(INDEX($AH$2:$AH$1001,MATCH(ROWS($AF$2:AF766),$AF$2:$AF$1001,0),0), INDEX($AM$1004:$BM$1004,1,MATCH(COLUMNS($AM$1006:BD1006),$AM$1006:$BM$1006,0)))),"Fix")))</f>
        <v xml:space="preserve"> </v>
      </c>
      <c r="T766" s="4" t="str">
        <f ca="1">IF(OR(INDEX($AG$2:$AG$1001,MATCH(ROWS($AF$2:AF766),$AF$2:$AF$1001,0),1)&gt;=100000,INDEX($AM$1005:$BM$1005,1,MATCH(COLUMNS($AM$1006:BE1006),$AM$1006:$BM$1006,0))&gt;=100000), " ",IF(INDEX($AM$2:$BM$1001,MATCH(ROWS($AF$2:AF766),$AF$2:$AF$1001,0),MATCH(COLUMNS($AM$1006:BE1006),$AM$1006:$BM$1006,0)), HYPERLINK("#",""), HYPERLINK(CONCATENATE("#metadata!", ADDRESS(INDEX($AH$2:$AH$1001,MATCH(ROWS($AF$2:AF766),$AF$2:$AF$1001,0),0), INDEX($AM$1004:$BM$1004,1,MATCH(COLUMNS($AM$1006:BE1006),$AM$1006:$BM$1006,0)))),"Fix")))</f>
        <v xml:space="preserve"> </v>
      </c>
      <c r="U766" s="4" t="str">
        <f ca="1">IF(OR(INDEX($AG$2:$AG$1001,MATCH(ROWS($AF$2:AF766),$AF$2:$AF$1001,0),1)&gt;=100000,INDEX($AM$1005:$BM$1005,1,MATCH(COLUMNS($AM$1006:BF1006),$AM$1006:$BM$1006,0))&gt;=100000), " ",IF(INDEX($AM$2:$BM$1001,MATCH(ROWS($AF$2:AF766),$AF$2:$AF$1001,0),MATCH(COLUMNS($AM$1006:BF1006),$AM$1006:$BM$1006,0)), HYPERLINK("#",""), HYPERLINK(CONCATENATE("#metadata!", ADDRESS(INDEX($AH$2:$AH$1001,MATCH(ROWS($AF$2:AF766),$AF$2:$AF$1001,0),0), INDEX($AM$1004:$BM$1004,1,MATCH(COLUMNS($AM$1006:BF1006),$AM$1006:$BM$1006,0)))),"Fix")))</f>
        <v xml:space="preserve"> </v>
      </c>
      <c r="V766" s="4" t="str">
        <f ca="1">IF(OR(INDEX($AG$2:$AG$1001,MATCH(ROWS($AF$2:AF766),$AF$2:$AF$1001,0),1)&gt;=100000,INDEX($AM$1005:$BM$1005,1,MATCH(COLUMNS($AM$1006:BG1006),$AM$1006:$BM$1006,0))&gt;=100000), " ",IF(INDEX($AM$2:$BM$1001,MATCH(ROWS($AF$2:AF766),$AF$2:$AF$1001,0),MATCH(COLUMNS($AM$1006:BG1006),$AM$1006:$BM$1006,0)), HYPERLINK("#",""), HYPERLINK(CONCATENATE("#metadata!", ADDRESS(INDEX($AH$2:$AH$1001,MATCH(ROWS($AF$2:AF766),$AF$2:$AF$1001,0),0), INDEX($AM$1004:$BM$1004,1,MATCH(COLUMNS($AM$1006:BG1006),$AM$1006:$BM$1006,0)))),"Fix")))</f>
        <v xml:space="preserve"> </v>
      </c>
      <c r="W766" s="4" t="str">
        <f ca="1">IF(OR(INDEX($AG$2:$AG$1001,MATCH(ROWS($AF$2:AF766),$AF$2:$AF$1001,0),1)&gt;=100000,INDEX($AM$1005:$BM$1005,1,MATCH(COLUMNS($AM$1006:BH1006),$AM$1006:$BM$1006,0))&gt;=100000), " ",IF(INDEX($AM$2:$BM$1001,MATCH(ROWS($AF$2:AF766),$AF$2:$AF$1001,0),MATCH(COLUMNS($AM$1006:BH1006),$AM$1006:$BM$1006,0)), HYPERLINK("#",""), HYPERLINK(CONCATENATE("#metadata!", ADDRESS(INDEX($AH$2:$AH$1001,MATCH(ROWS($AF$2:AF766),$AF$2:$AF$1001,0),0), INDEX($AM$1004:$BM$1004,1,MATCH(COLUMNS($AM$1006:BH1006),$AM$1006:$BM$1006,0)))),"Fix")))</f>
        <v xml:space="preserve"> </v>
      </c>
      <c r="X766" s="4" t="str">
        <f ca="1">IF(OR(INDEX($AG$2:$AG$1001,MATCH(ROWS($AF$2:AF766),$AF$2:$AF$1001,0),1)&gt;=100000,INDEX($AM$1005:$BM$1005,1,MATCH(COLUMNS($AM$1006:BI1006),$AM$1006:$BM$1006,0))&gt;=100000), " ",IF(INDEX($AM$2:$BM$1001,MATCH(ROWS($AF$2:AF766),$AF$2:$AF$1001,0),MATCH(COLUMNS($AM$1006:BI1006),$AM$1006:$BM$1006,0)), HYPERLINK("#",""), HYPERLINK(CONCATENATE("#metadata!", ADDRESS(INDEX($AH$2:$AH$1001,MATCH(ROWS($AF$2:AF766),$AF$2:$AF$1001,0),0), INDEX($AM$1004:$BM$1004,1,MATCH(COLUMNS($AM$1006:BI1006),$AM$1006:$BM$1006,0)))),"Fix")))</f>
        <v xml:space="preserve"> </v>
      </c>
      <c r="Y766" s="4" t="str">
        <f ca="1">IF(OR(INDEX($AG$2:$AG$1001,MATCH(ROWS($AF$2:AF766),$AF$2:$AF$1001,0),1)&gt;=100000,INDEX($AM$1005:$BM$1005,1,MATCH(COLUMNS($AM$1006:BJ1006),$AM$1006:$BM$1006,0))&gt;=100000), " ",IF(INDEX($AM$2:$BM$1001,MATCH(ROWS($AF$2:AF766),$AF$2:$AF$1001,0),MATCH(COLUMNS($AM$1006:BJ1006),$AM$1006:$BM$1006,0)), HYPERLINK("#",""), HYPERLINK(CONCATENATE("#metadata!", ADDRESS(INDEX($AH$2:$AH$1001,MATCH(ROWS($AF$2:AF766),$AF$2:$AF$1001,0),0), INDEX($AM$1004:$BM$1004,1,MATCH(COLUMNS($AM$1006:BJ1006),$AM$1006:$BM$1006,0)))),"Fix")))</f>
        <v xml:space="preserve"> </v>
      </c>
      <c r="Z766" s="4" t="str">
        <f ca="1">IF(OR(INDEX($AG$2:$AG$1001,MATCH(ROWS($AF$2:AF766),$AF$2:$AF$1001,0),1)&gt;=100000,INDEX($AM$1005:$BM$1005,1,MATCH(COLUMNS($AM$1006:BK1006),$AM$1006:$BM$1006,0))&gt;=100000), " ",IF(INDEX($AM$2:$BM$1001,MATCH(ROWS($AF$2:AF766),$AF$2:$AF$1001,0),MATCH(COLUMNS($AM$1006:BK1006),$AM$1006:$BM$1006,0)), HYPERLINK("#",""), HYPERLINK(CONCATENATE("#metadata!", ADDRESS(INDEX($AH$2:$AH$1001,MATCH(ROWS($AF$2:AF766),$AF$2:$AF$1001,0),0), INDEX($AM$1004:$BM$1004,1,MATCH(COLUMNS($AM$1006:BK1006),$AM$1006:$BM$1006,0)))),"Fix")))</f>
        <v xml:space="preserve"> </v>
      </c>
      <c r="AA766" s="4" t="str">
        <f ca="1">IF(OR(INDEX($AG$2:$AG$1001,MATCH(ROWS($AF$2:AF766),$AF$2:$AF$1001,0),1)&gt;=100000,INDEX($AM$1005:$BM$1005,1,MATCH(COLUMNS($AM$1006:BL1006),$AM$1006:$BM$1006,0))&gt;=100000), " ",IF(INDEX($AM$2:$BM$1001,MATCH(ROWS($AF$2:AF766),$AF$2:$AF$1001,0),MATCH(COLUMNS($AM$1006:BL1006),$AM$1006:$BM$1006,0)), HYPERLINK("#",""), HYPERLINK(CONCATENATE("#metadata!", ADDRESS(INDEX($AH$2:$AH$1001,MATCH(ROWS($AF$2:AF766),$AF$2:$AF$1001,0),0), INDEX($AM$1004:$BM$1004,1,MATCH(COLUMNS($AM$1006:BL1006),$AM$1006:$BM$1006,0)))),"Fix")))</f>
        <v xml:space="preserve"> </v>
      </c>
      <c r="AB766" s="4" t="str">
        <f ca="1">IF(OR(INDEX($AG$2:$AG$1001,MATCH(ROWS($AF$2:AF766),$AF$2:$AF$1001,0),1)&gt;=100000,INDEX($AM$1005:$BM$1005,1,MATCH(COLUMNS($AM$1006:BM1006),$AM$1006:$BM$1006,0))&gt;=100000), " ",IF(INDEX($AM$2:$BM$1001,MATCH(ROWS($AF$2:AF766),$AF$2:$AF$1001,0),MATCH(COLUMNS($AM$1006:BM1006),$AM$1006:$BM$1006,0)), HYPERLINK("#",""), HYPERLINK(CONCATENATE("#metadata!", ADDRESS(INDEX($AH$2:$AH$1001,MATCH(ROWS($AF$2:AF766),$AF$2:$AF$1001,0),0), INDEX($AM$1004:$BM$1004,1,MATCH(COLUMNS($AM$1006:BM1006),$AM$1006:$BM$1006,0)))),"Fix")))</f>
        <v xml:space="preserve"> </v>
      </c>
      <c r="AF766">
        <v>765</v>
      </c>
      <c r="AG766">
        <v>100766</v>
      </c>
      <c r="AH766">
        <v>766</v>
      </c>
      <c r="AI766" t="b">
        <f t="shared" si="11"/>
        <v>1</v>
      </c>
      <c r="AJ766" t="b">
        <f>COUNTBLANK(metadata!B766:AB766)=COLUMNS(metadata!B766:AB766)</f>
        <v>1</v>
      </c>
      <c r="AK766" t="str">
        <v/>
      </c>
      <c r="AM766" t="b">
        <f ca="1">AND(IF(metadata!B766="",FALSE,TRUE),COUNTIF(metadata!B:B, metadata!B766) = 1,NOT(ISERROR(SUMPRODUCT(SEARCH(MID(metadata!B766,ROW(INDIRECT("1:"&amp;LEN(metadata!B766))), 1),"0123456789abcdefghijklmnopqrstuvwxyzABCDEFGHIJKLMNOPQRSTUVWXYZ.")))))</f>
        <v>0</v>
      </c>
      <c r="AN766" t="b">
        <f ca="1">OR(AND(IF(metadata!C766="",FALSE,TRUE),OR(EXACT(metadata!C766,"missing: not collected"),EXACT(metadata!C766,"missing: not provided"),EXACT(metadata!C766,"missing: restricted access"))),AND(IF(metadata!C766="",FALSE,TRUE),AND(AND(IFERROR(INT(LEFT(metadata!C766,4))&gt;1900,FALSE),IFERROR(INT(LEFT(metadata!C766,4))&lt;=YEAR(NOW()),FALSE)), OR(MID(metadata!C766,5,1)="", AND(AND(MID(metadata!C766,5,1)="-",IFERROR(INT(MID(metadata!C766,6,1))&gt;=0,FALSE),IFERROR(INT(MID(metadata!C766,6,1))&lt;=1,FALSE),NOT(MID(metadata!C766,7,1)=""),IFERROR(INT(MID(metadata!C766,6,2))&gt;=1,FALSE),IFERROR(INT(MID(metadata!C766,6,2))&lt;=12,FALSE)), OR(MID(metadata!C766,8,1)="", AND(AND(MID(metadata!C766,8,1)="-",IFERROR(INT(MID(metadata!C766,9,1))&gt;=0,FALSE),IFERROR(INT(MID(metadata!C766,9,1))&lt;=3,FALSE),NOT(MID(metadata!C766,10,1)=""),IFERROR(INT(MID(metadata!C766,9,2))&gt;=1,FALSE),IFERROR(INT(MID(metadata!C766,9,2))&lt;=31,FALSE)), OR(MID(metadata!C766,11,1)="", AND(AND(MID(metadata!C766,11,1)=" ",IFERROR(INT(MID(metadata!C766,12,1))&gt;=0,FALSE),IFERROR(INT(MID(metadata!C766,12,1))&lt;=2,FALSE),NOT(MID(metadata!C766,13,1)=""),IFERROR(INT(MID(metadata!C766,12,2))&gt;=0,FALSE),IFERROR(INT(MID(metadata!C766,12,2))&lt;=23,FALSE)), OR(MID(metadata!C766,14,1)="", AND(AND(MID(metadata!C766,14,1)=":",IFERROR(INT(MID(metadata!C766,15,1))&gt;=0,FALSE),IFERROR(INT(MID(metadata!C766,15,1))&lt;=5,FALSE),NOT(MID(metadata!C766,16,1)=""),IFERROR(INT(MID(metadata!C766,15,2))&gt;=0,FALSE),IFERROR(INT(MID(metadata!C766,15,2))&lt;=59,FALSE)), OR(MID(metadata!C766,17,1)="", AND(AND(MID(metadata!C766,17,1)=":",IFERROR(INT(MID(metadata!C766,18,1))&gt;=0,FALSE),IFERROR(INT(MID(metadata!C766,18,1))&lt;=5,FALSE),NOT(MID(metadata!C766,19,1)=""),IFERROR(INT(MID(metadata!C766,18,2))&gt;=0,FALSE),IFERROR(INT(MID(metadata!C766,18,2))&lt;=59,FALSE)), LEN(metadata!C766)&lt;=19)))))))))))))</f>
        <v>0</v>
      </c>
      <c r="AO766" t="b">
        <f>AND(IF(metadata!D766="",FALSE,TRUE),EXACT(metadata!D766,"Not applicable"))</f>
        <v>0</v>
      </c>
      <c r="AP766" t="b">
        <f>IF(metadata!E766="",FALSE,TRUE)</f>
        <v>0</v>
      </c>
      <c r="AQ766" t="b">
        <f>OR(AND(IF(metadata!F766="",FALSE,TRUE),OR(EXACT(metadata!F766,"missing: not collected"),EXACT(metadata!F766,"missing: not provided"))),AND(IF(metadata!F766="",FALSE,TRUE),OR(EXACT(metadata!F766,"TRUE"),EXACT(metadata!F766,"FALSE"))))</f>
        <v>0</v>
      </c>
      <c r="AR766" t="b">
        <f>OR(AND(IF(metadata!G766="",FALSE,TRUE),OR(EXACT(metadata!G766,"missing: not collected"),EXACT(metadata!G766,"missing: not provided"),EXACT(metadata!G766,"missing: restricted access"))),AND(IF(metadata!G766="",FALSE,ISNUMBER(VALUE(metadata!G766))),metadata!G766&gt;=-413))</f>
        <v>0</v>
      </c>
      <c r="AS766" t="b">
        <f>AND(IF(metadata!H766="",FALSE,TRUE),EXACT(metadata!H766,"meters"))</f>
        <v>0</v>
      </c>
      <c r="AT766" t="b">
        <f>AND(IF(metadata!I766="",FALSE,TRUE),OR(EXACT(metadata!I766,"Host-associated"),EXACT(metadata!I766,"Free-living")))</f>
        <v>0</v>
      </c>
      <c r="AU766" t="b">
        <f>AND(IF(metadata!J766="",FALSE,TRUE),OR(EXACT(metadata!J766,"Animal"),EXACT(metadata!J766,"Fungus"),EXACT(metadata!J766,"Plant"),EXACT(metadata!J766,"Saline"),EXACT(metadata!J766,"Non-saline")))</f>
        <v>0</v>
      </c>
      <c r="AV766" t="b">
        <f>AND(IF(metadata!K766="",FALSE,TRUE),OR(EXACT(metadata!K766,"Plant secretion"),EXACT(metadata!K766,"Plant rhizosphere"),EXACT(metadata!K766,"Plant surface"),EXACT(metadata!K766,"Plant corpus"),EXACT(metadata!K766,"Fungus surface"),EXACT(metadata!K766,"Fungus corpus"),EXACT(metadata!K766,"Animal surface"),EXACT(metadata!K766,"Animal proximal gut"),EXACT(metadata!K766,"Animal corpus"),EXACT(metadata!K766,"Animal distal gut"),EXACT(metadata!K766,"Animal secretion"),EXACT(metadata!K766,"Sub-surface (non-saline)"),EXACT(metadata!K766,"Surface (non-saline)"),EXACT(metadata!K766,"Water (non-saline)"),EXACT(metadata!K766,"Soil (non-saline)"),EXACT(metadata!K766,"Aerosol (non-saline)"),EXACT(metadata!K766,"Sediment (non-saline)"),EXACT(metadata!K766,"Surface (saline)"),EXACT(metadata!K766,"Water (saline)"),EXACT(metadata!K766,"Hypersaline (saline)"),EXACT(metadata!K766,"Aerosol (saline)"),EXACT(metadata!K766,"Sediment (saline)")))</f>
        <v>0</v>
      </c>
      <c r="AW766" t="b">
        <f>IF(metadata!L766="",FALSE,TRUE)</f>
        <v>0</v>
      </c>
      <c r="AX766" t="b">
        <f>IF(metadata!M766="",FALSE,TRUE)</f>
        <v>0</v>
      </c>
      <c r="AY766" t="b">
        <f>IF(metadata!N766="",FALSE,TRUE)</f>
        <v>0</v>
      </c>
      <c r="AZ766" t="b">
        <f>OR(AND(IF(metadata!O766="",FALSE,TRUE),OR(EXACT(metadata!O766,"missing: not collected"),EXACT(metadata!O766,"missing: not provided"),EXACT(metadata!O766,"missing: restricted access"))),AND(IF(metadata!O766="",FALSE,TRUE),OR(EXACT(metadata!O766,"air"),EXACT(metadata!O766,"built environment"),EXACT(metadata!O766,"host-associated"),EXACT(metadata!O766,"human-associated"),EXACT(metadata!O766,"human-skin"),EXACT(metadata!O766,"human-oral"),EXACT(metadata!O766,"human-gut"),EXACT(metadata!O766,"human-vaginal"),EXACT(metadata!O766,"microbial mat/biofilm"),EXACT(metadata!O766,"misc environment"),EXACT(metadata!O766,"plant-associated"),EXACT(metadata!O766,"sediment"),EXACT(metadata!O766,"soil"),EXACT(metadata!O766,"wastewater/sludge"),EXACT(metadata!O766,"water"))))</f>
        <v>0</v>
      </c>
      <c r="BA766" t="b">
        <f>IF(metadata!P766="",FALSE,TRUE)</f>
        <v>0</v>
      </c>
      <c r="BB766" t="b">
        <f>IF(metadata!Q766="",FALSE,TRUE)</f>
        <v>0</v>
      </c>
      <c r="BC766" t="b">
        <f>OR(AND(IF(metadata!R766="",FALSE,TRUE),OR(EXACT(metadata!R766,"missing: not collected"),EXACT(metadata!R766,"missing: not provided"),EXACT(metadata!R766,"missing: restricted access"))),AND(IF(metadata!R766="",FALSE,ISNUMBER(VALUE(metadata!R766))),metadata!R766&gt;=-90,metadata!R766&lt;=90))</f>
        <v>0</v>
      </c>
      <c r="BD766" t="b">
        <f>AND(IF(metadata!S766="",FALSE,TRUE),EXACT(metadata!S766,"Decimal degrees"))</f>
        <v>0</v>
      </c>
      <c r="BE766" t="b">
        <f>OR(AND(IF(metadata!T766="",FALSE,TRUE),OR(EXACT(metadata!T766,"missing: not collected"),EXACT(metadata!T766,"missing: not provided"),EXACT(metadata!T766,"missing: restricted access"))),AND(IF(metadata!T766="",FALSE,ISNUMBER(VALUE(metadata!T766))),metadata!T766&gt;=-180,metadata!T766&lt;=180))</f>
        <v>0</v>
      </c>
      <c r="BF766" t="b">
        <f>AND(IF(metadata!U766="",FALSE,TRUE),EXACT(metadata!U766,"Decimal degrees"))</f>
        <v>0</v>
      </c>
      <c r="BG766" t="b">
        <f>IF(metadata!V766="",FALSE,TRUE)</f>
        <v>0</v>
      </c>
      <c r="BH766" t="b">
        <f>OR(AND(IF(metadata!W766="",FALSE,TRUE),OR(EXACT(metadata!W766,"missing: not collected"),EXACT(metadata!W766,"missing: not provided"),EXACT(metadata!W766,"missing: restricted access"))),AND(IF(metadata!W766="",FALSE,TRUE),OR(EXACT(metadata!W766,"TRUE"),EXACT(metadata!W766,"FALSE"))))</f>
        <v>0</v>
      </c>
      <c r="BI766" t="b">
        <f>AND(IF(metadata!X766="",FALSE,TRUE),EXACT(metadata!X766,"other"))</f>
        <v>0</v>
      </c>
      <c r="BJ766" t="b">
        <f>IF(metadata!Y766="",FALSE,TRUE)</f>
        <v>0</v>
      </c>
      <c r="BK766" t="b">
        <f>OR(AND(IF(metadata!Z766="",FALSE,TRUE),OR(EXACT(metadata!Z766,"missing: not collected"),EXACT(metadata!Z766,"missing: not provided"))),AND(IF(metadata!Z766="",FALSE,IF(ISERROR(INT(metadata!Z766)),FALSE,INT(metadata!Z766)=metadata!Z766)),metadata!Z766&gt;0))</f>
        <v>0</v>
      </c>
      <c r="BL766" t="b">
        <f>AND(IF(metadata!AA766="",FALSE,TRUE),EXACT(metadata!AA766,"Not applicable"))</f>
        <v>0</v>
      </c>
      <c r="BM766" t="b">
        <f>IF(metadata!AB766="",FALSE,TRUE)</f>
        <v>0</v>
      </c>
    </row>
    <row r="767" spans="1:65" x14ac:dyDescent="0.2">
      <c r="A767" s="5" t="str">
        <f ca="1">IF(B767=" "," ",HYPERLINK(CONCATENATE("#metadata!",ADDRESS(INDEX($AH$2:$AH$1001,MATCH(ROWS($AF$2:AF767),$AF$2:$AF$1001,0),0),1)),INDEX($AK$2:$AK$1001,MATCH(ROWS($AF$2:AF767),$AF$2:$AF$1001,0),0)))</f>
        <v xml:space="preserve"> </v>
      </c>
      <c r="B767" s="4" t="str">
        <f ca="1">IF(OR(INDEX($AG$2:$AG$1001,MATCH(ROWS($AF$2:AF767),$AF$2:$AF$1001,0),1)&gt;=100000,INDEX($AM$1005:$BM$1005,1,MATCH(COLUMNS($AM$1006:AM1006),$AM$1006:$BM$1006,0))&gt;=100000), " ",IF(INDEX($AM$2:$BM$1001,MATCH(ROWS($AF$2:AF767),$AF$2:$AF$1001,0),MATCH(COLUMNS($AM$1006:AM1006),$AM$1006:$BM$1006,0)), HYPERLINK("#",""), HYPERLINK(CONCATENATE("#metadata!", ADDRESS(INDEX($AH$2:$AH$1001,MATCH(ROWS($AF$2:AF767),$AF$2:$AF$1001,0),0), INDEX($AM$1004:$BM$1004,1,MATCH(COLUMNS($AM$1006:AM1006),$AM$1006:$BM$1006,0)))),"Fix")))</f>
        <v xml:space="preserve"> </v>
      </c>
      <c r="C767" s="4" t="str">
        <f ca="1">IF(OR(INDEX($AG$2:$AG$1001,MATCH(ROWS($AF$2:AF767),$AF$2:$AF$1001,0),1)&gt;=100000,INDEX($AM$1005:$BM$1005,1,MATCH(COLUMNS($AM$1006:AN1006),$AM$1006:$BM$1006,0))&gt;=100000), " ",IF(INDEX($AM$2:$BM$1001,MATCH(ROWS($AF$2:AF767),$AF$2:$AF$1001,0),MATCH(COLUMNS($AM$1006:AN1006),$AM$1006:$BM$1006,0)), HYPERLINK("#",""), HYPERLINK(CONCATENATE("#metadata!", ADDRESS(INDEX($AH$2:$AH$1001,MATCH(ROWS($AF$2:AF767),$AF$2:$AF$1001,0),0), INDEX($AM$1004:$BM$1004,1,MATCH(COLUMNS($AM$1006:AN1006),$AM$1006:$BM$1006,0)))),"Fix")))</f>
        <v xml:space="preserve"> </v>
      </c>
      <c r="D767" s="4" t="str">
        <f ca="1">IF(OR(INDEX($AG$2:$AG$1001,MATCH(ROWS($AF$2:AF767),$AF$2:$AF$1001,0),1)&gt;=100000,INDEX($AM$1005:$BM$1005,1,MATCH(COLUMNS($AM$1006:AO1006),$AM$1006:$BM$1006,0))&gt;=100000), " ",IF(INDEX($AM$2:$BM$1001,MATCH(ROWS($AF$2:AF767),$AF$2:$AF$1001,0),MATCH(COLUMNS($AM$1006:AO1006),$AM$1006:$BM$1006,0)), HYPERLINK("#",""), HYPERLINK(CONCATENATE("#metadata!", ADDRESS(INDEX($AH$2:$AH$1001,MATCH(ROWS($AF$2:AF767),$AF$2:$AF$1001,0),0), INDEX($AM$1004:$BM$1004,1,MATCH(COLUMNS($AM$1006:AO1006),$AM$1006:$BM$1006,0)))),"Fix")))</f>
        <v xml:space="preserve"> </v>
      </c>
      <c r="E767" s="4" t="str">
        <f ca="1">IF(OR(INDEX($AG$2:$AG$1001,MATCH(ROWS($AF$2:AF767),$AF$2:$AF$1001,0),1)&gt;=100000,INDEX($AM$1005:$BM$1005,1,MATCH(COLUMNS($AM$1006:AP1006),$AM$1006:$BM$1006,0))&gt;=100000), " ",IF(INDEX($AM$2:$BM$1001,MATCH(ROWS($AF$2:AF767),$AF$2:$AF$1001,0),MATCH(COLUMNS($AM$1006:AP1006),$AM$1006:$BM$1006,0)), HYPERLINK("#",""), HYPERLINK(CONCATENATE("#metadata!", ADDRESS(INDEX($AH$2:$AH$1001,MATCH(ROWS($AF$2:AF767),$AF$2:$AF$1001,0),0), INDEX($AM$1004:$BM$1004,1,MATCH(COLUMNS($AM$1006:AP1006),$AM$1006:$BM$1006,0)))),"Fix")))</f>
        <v xml:space="preserve"> </v>
      </c>
      <c r="F767" s="4" t="str">
        <f ca="1">IF(OR(INDEX($AG$2:$AG$1001,MATCH(ROWS($AF$2:AF767),$AF$2:$AF$1001,0),1)&gt;=100000,INDEX($AM$1005:$BM$1005,1,MATCH(COLUMNS($AM$1006:AQ1006),$AM$1006:$BM$1006,0))&gt;=100000), " ",IF(INDEX($AM$2:$BM$1001,MATCH(ROWS($AF$2:AF767),$AF$2:$AF$1001,0),MATCH(COLUMNS($AM$1006:AQ1006),$AM$1006:$BM$1006,0)), HYPERLINK("#",""), HYPERLINK(CONCATENATE("#metadata!", ADDRESS(INDEX($AH$2:$AH$1001,MATCH(ROWS($AF$2:AF767),$AF$2:$AF$1001,0),0), INDEX($AM$1004:$BM$1004,1,MATCH(COLUMNS($AM$1006:AQ1006),$AM$1006:$BM$1006,0)))),"Fix")))</f>
        <v xml:space="preserve"> </v>
      </c>
      <c r="G767" s="4" t="str">
        <f ca="1">IF(OR(INDEX($AG$2:$AG$1001,MATCH(ROWS($AF$2:AF767),$AF$2:$AF$1001,0),1)&gt;=100000,INDEX($AM$1005:$BM$1005,1,MATCH(COLUMNS($AM$1006:AR1006),$AM$1006:$BM$1006,0))&gt;=100000), " ",IF(INDEX($AM$2:$BM$1001,MATCH(ROWS($AF$2:AF767),$AF$2:$AF$1001,0),MATCH(COLUMNS($AM$1006:AR1006),$AM$1006:$BM$1006,0)), HYPERLINK("#",""), HYPERLINK(CONCATENATE("#metadata!", ADDRESS(INDEX($AH$2:$AH$1001,MATCH(ROWS($AF$2:AF767),$AF$2:$AF$1001,0),0), INDEX($AM$1004:$BM$1004,1,MATCH(COLUMNS($AM$1006:AR1006),$AM$1006:$BM$1006,0)))),"Fix")))</f>
        <v xml:space="preserve"> </v>
      </c>
      <c r="H767" s="4" t="str">
        <f ca="1">IF(OR(INDEX($AG$2:$AG$1001,MATCH(ROWS($AF$2:AF767),$AF$2:$AF$1001,0),1)&gt;=100000,INDEX($AM$1005:$BM$1005,1,MATCH(COLUMNS($AM$1006:AS1006),$AM$1006:$BM$1006,0))&gt;=100000), " ",IF(INDEX($AM$2:$BM$1001,MATCH(ROWS($AF$2:AF767),$AF$2:$AF$1001,0),MATCH(COLUMNS($AM$1006:AS1006),$AM$1006:$BM$1006,0)), HYPERLINK("#",""), HYPERLINK(CONCATENATE("#metadata!", ADDRESS(INDEX($AH$2:$AH$1001,MATCH(ROWS($AF$2:AF767),$AF$2:$AF$1001,0),0), INDEX($AM$1004:$BM$1004,1,MATCH(COLUMNS($AM$1006:AS1006),$AM$1006:$BM$1006,0)))),"Fix")))</f>
        <v xml:space="preserve"> </v>
      </c>
      <c r="I767" s="4" t="str">
        <f ca="1">IF(OR(INDEX($AG$2:$AG$1001,MATCH(ROWS($AF$2:AF767),$AF$2:$AF$1001,0),1)&gt;=100000,INDEX($AM$1005:$BM$1005,1,MATCH(COLUMNS($AM$1006:AT1006),$AM$1006:$BM$1006,0))&gt;=100000), " ",IF(INDEX($AM$2:$BM$1001,MATCH(ROWS($AF$2:AF767),$AF$2:$AF$1001,0),MATCH(COLUMNS($AM$1006:AT1006),$AM$1006:$BM$1006,0)), HYPERLINK("#",""), HYPERLINK(CONCATENATE("#metadata!", ADDRESS(INDEX($AH$2:$AH$1001,MATCH(ROWS($AF$2:AF767),$AF$2:$AF$1001,0),0), INDEX($AM$1004:$BM$1004,1,MATCH(COLUMNS($AM$1006:AT1006),$AM$1006:$BM$1006,0)))),"Fix")))</f>
        <v xml:space="preserve"> </v>
      </c>
      <c r="J767" s="4" t="str">
        <f ca="1">IF(OR(INDEX($AG$2:$AG$1001,MATCH(ROWS($AF$2:AF767),$AF$2:$AF$1001,0),1)&gt;=100000,INDEX($AM$1005:$BM$1005,1,MATCH(COLUMNS($AM$1006:AU1006),$AM$1006:$BM$1006,0))&gt;=100000), " ",IF(INDEX($AM$2:$BM$1001,MATCH(ROWS($AF$2:AF767),$AF$2:$AF$1001,0),MATCH(COLUMNS($AM$1006:AU1006),$AM$1006:$BM$1006,0)), HYPERLINK("#",""), HYPERLINK(CONCATENATE("#metadata!", ADDRESS(INDEX($AH$2:$AH$1001,MATCH(ROWS($AF$2:AF767),$AF$2:$AF$1001,0),0), INDEX($AM$1004:$BM$1004,1,MATCH(COLUMNS($AM$1006:AU1006),$AM$1006:$BM$1006,0)))),"Fix")))</f>
        <v xml:space="preserve"> </v>
      </c>
      <c r="K767" s="4" t="str">
        <f ca="1">IF(OR(INDEX($AG$2:$AG$1001,MATCH(ROWS($AF$2:AF767),$AF$2:$AF$1001,0),1)&gt;=100000,INDEX($AM$1005:$BM$1005,1,MATCH(COLUMNS($AM$1006:AV1006),$AM$1006:$BM$1006,0))&gt;=100000), " ",IF(INDEX($AM$2:$BM$1001,MATCH(ROWS($AF$2:AF767),$AF$2:$AF$1001,0),MATCH(COLUMNS($AM$1006:AV1006),$AM$1006:$BM$1006,0)), HYPERLINK("#",""), HYPERLINK(CONCATENATE("#metadata!", ADDRESS(INDEX($AH$2:$AH$1001,MATCH(ROWS($AF$2:AF767),$AF$2:$AF$1001,0),0), INDEX($AM$1004:$BM$1004,1,MATCH(COLUMNS($AM$1006:AV1006),$AM$1006:$BM$1006,0)))),"Fix")))</f>
        <v xml:space="preserve"> </v>
      </c>
      <c r="L767" s="4" t="str">
        <f ca="1">IF(OR(INDEX($AG$2:$AG$1001,MATCH(ROWS($AF$2:AF767),$AF$2:$AF$1001,0),1)&gt;=100000,INDEX($AM$1005:$BM$1005,1,MATCH(COLUMNS($AM$1006:AW1006),$AM$1006:$BM$1006,0))&gt;=100000), " ",IF(INDEX($AM$2:$BM$1001,MATCH(ROWS($AF$2:AF767),$AF$2:$AF$1001,0),MATCH(COLUMNS($AM$1006:AW1006),$AM$1006:$BM$1006,0)), HYPERLINK("#",""), HYPERLINK(CONCATENATE("#metadata!", ADDRESS(INDEX($AH$2:$AH$1001,MATCH(ROWS($AF$2:AF767),$AF$2:$AF$1001,0),0), INDEX($AM$1004:$BM$1004,1,MATCH(COLUMNS($AM$1006:AW1006),$AM$1006:$BM$1006,0)))),"Fix")))</f>
        <v xml:space="preserve"> </v>
      </c>
      <c r="M767" s="4" t="str">
        <f ca="1">IF(OR(INDEX($AG$2:$AG$1001,MATCH(ROWS($AF$2:AF767),$AF$2:$AF$1001,0),1)&gt;=100000,INDEX($AM$1005:$BM$1005,1,MATCH(COLUMNS($AM$1006:AX1006),$AM$1006:$BM$1006,0))&gt;=100000), " ",IF(INDEX($AM$2:$BM$1001,MATCH(ROWS($AF$2:AF767),$AF$2:$AF$1001,0),MATCH(COLUMNS($AM$1006:AX1006),$AM$1006:$BM$1006,0)), HYPERLINK("#",""), HYPERLINK(CONCATENATE("#metadata!", ADDRESS(INDEX($AH$2:$AH$1001,MATCH(ROWS($AF$2:AF767),$AF$2:$AF$1001,0),0), INDEX($AM$1004:$BM$1004,1,MATCH(COLUMNS($AM$1006:AX1006),$AM$1006:$BM$1006,0)))),"Fix")))</f>
        <v xml:space="preserve"> </v>
      </c>
      <c r="N767" s="4" t="str">
        <f ca="1">IF(OR(INDEX($AG$2:$AG$1001,MATCH(ROWS($AF$2:AF767),$AF$2:$AF$1001,0),1)&gt;=100000,INDEX($AM$1005:$BM$1005,1,MATCH(COLUMNS($AM$1006:AY1006),$AM$1006:$BM$1006,0))&gt;=100000), " ",IF(INDEX($AM$2:$BM$1001,MATCH(ROWS($AF$2:AF767),$AF$2:$AF$1001,0),MATCH(COLUMNS($AM$1006:AY1006),$AM$1006:$BM$1006,0)), HYPERLINK("#",""), HYPERLINK(CONCATENATE("#metadata!", ADDRESS(INDEX($AH$2:$AH$1001,MATCH(ROWS($AF$2:AF767),$AF$2:$AF$1001,0),0), INDEX($AM$1004:$BM$1004,1,MATCH(COLUMNS($AM$1006:AY1006),$AM$1006:$BM$1006,0)))),"Fix")))</f>
        <v xml:space="preserve"> </v>
      </c>
      <c r="O767" s="4" t="str">
        <f ca="1">IF(OR(INDEX($AG$2:$AG$1001,MATCH(ROWS($AF$2:AF767),$AF$2:$AF$1001,0),1)&gt;=100000,INDEX($AM$1005:$BM$1005,1,MATCH(COLUMNS($AM$1006:AZ1006),$AM$1006:$BM$1006,0))&gt;=100000), " ",IF(INDEX($AM$2:$BM$1001,MATCH(ROWS($AF$2:AF767),$AF$2:$AF$1001,0),MATCH(COLUMNS($AM$1006:AZ1006),$AM$1006:$BM$1006,0)), HYPERLINK("#",""), HYPERLINK(CONCATENATE("#metadata!", ADDRESS(INDEX($AH$2:$AH$1001,MATCH(ROWS($AF$2:AF767),$AF$2:$AF$1001,0),0), INDEX($AM$1004:$BM$1004,1,MATCH(COLUMNS($AM$1006:AZ1006),$AM$1006:$BM$1006,0)))),"Fix")))</f>
        <v xml:space="preserve"> </v>
      </c>
      <c r="P767" s="4" t="str">
        <f ca="1">IF(OR(INDEX($AG$2:$AG$1001,MATCH(ROWS($AF$2:AF767),$AF$2:$AF$1001,0),1)&gt;=100000,INDEX($AM$1005:$BM$1005,1,MATCH(COLUMNS($AM$1006:BA1006),$AM$1006:$BM$1006,0))&gt;=100000), " ",IF(INDEX($AM$2:$BM$1001,MATCH(ROWS($AF$2:AF767),$AF$2:$AF$1001,0),MATCH(COLUMNS($AM$1006:BA1006),$AM$1006:$BM$1006,0)), HYPERLINK("#",""), HYPERLINK(CONCATENATE("#metadata!", ADDRESS(INDEX($AH$2:$AH$1001,MATCH(ROWS($AF$2:AF767),$AF$2:$AF$1001,0),0), INDEX($AM$1004:$BM$1004,1,MATCH(COLUMNS($AM$1006:BA1006),$AM$1006:$BM$1006,0)))),"Fix")))</f>
        <v xml:space="preserve"> </v>
      </c>
      <c r="Q767" s="4" t="str">
        <f ca="1">IF(OR(INDEX($AG$2:$AG$1001,MATCH(ROWS($AF$2:AF767),$AF$2:$AF$1001,0),1)&gt;=100000,INDEX($AM$1005:$BM$1005,1,MATCH(COLUMNS($AM$1006:BB1006),$AM$1006:$BM$1006,0))&gt;=100000), " ",IF(INDEX($AM$2:$BM$1001,MATCH(ROWS($AF$2:AF767),$AF$2:$AF$1001,0),MATCH(COLUMNS($AM$1006:BB1006),$AM$1006:$BM$1006,0)), HYPERLINK("#",""), HYPERLINK(CONCATENATE("#metadata!", ADDRESS(INDEX($AH$2:$AH$1001,MATCH(ROWS($AF$2:AF767),$AF$2:$AF$1001,0),0), INDEX($AM$1004:$BM$1004,1,MATCH(COLUMNS($AM$1006:BB1006),$AM$1006:$BM$1006,0)))),"Fix")))</f>
        <v xml:space="preserve"> </v>
      </c>
      <c r="R767" s="4" t="str">
        <f ca="1">IF(OR(INDEX($AG$2:$AG$1001,MATCH(ROWS($AF$2:AF767),$AF$2:$AF$1001,0),1)&gt;=100000,INDEX($AM$1005:$BM$1005,1,MATCH(COLUMNS($AM$1006:BC1006),$AM$1006:$BM$1006,0))&gt;=100000), " ",IF(INDEX($AM$2:$BM$1001,MATCH(ROWS($AF$2:AF767),$AF$2:$AF$1001,0),MATCH(COLUMNS($AM$1006:BC1006),$AM$1006:$BM$1006,0)), HYPERLINK("#",""), HYPERLINK(CONCATENATE("#metadata!", ADDRESS(INDEX($AH$2:$AH$1001,MATCH(ROWS($AF$2:AF767),$AF$2:$AF$1001,0),0), INDEX($AM$1004:$BM$1004,1,MATCH(COLUMNS($AM$1006:BC1006),$AM$1006:$BM$1006,0)))),"Fix")))</f>
        <v xml:space="preserve"> </v>
      </c>
      <c r="S767" s="4" t="str">
        <f ca="1">IF(OR(INDEX($AG$2:$AG$1001,MATCH(ROWS($AF$2:AF767),$AF$2:$AF$1001,0),1)&gt;=100000,INDEX($AM$1005:$BM$1005,1,MATCH(COLUMNS($AM$1006:BD1006),$AM$1006:$BM$1006,0))&gt;=100000), " ",IF(INDEX($AM$2:$BM$1001,MATCH(ROWS($AF$2:AF767),$AF$2:$AF$1001,0),MATCH(COLUMNS($AM$1006:BD1006),$AM$1006:$BM$1006,0)), HYPERLINK("#",""), HYPERLINK(CONCATENATE("#metadata!", ADDRESS(INDEX($AH$2:$AH$1001,MATCH(ROWS($AF$2:AF767),$AF$2:$AF$1001,0),0), INDEX($AM$1004:$BM$1004,1,MATCH(COLUMNS($AM$1006:BD1006),$AM$1006:$BM$1006,0)))),"Fix")))</f>
        <v xml:space="preserve"> </v>
      </c>
      <c r="T767" s="4" t="str">
        <f ca="1">IF(OR(INDEX($AG$2:$AG$1001,MATCH(ROWS($AF$2:AF767),$AF$2:$AF$1001,0),1)&gt;=100000,INDEX($AM$1005:$BM$1005,1,MATCH(COLUMNS($AM$1006:BE1006),$AM$1006:$BM$1006,0))&gt;=100000), " ",IF(INDEX($AM$2:$BM$1001,MATCH(ROWS($AF$2:AF767),$AF$2:$AF$1001,0),MATCH(COLUMNS($AM$1006:BE1006),$AM$1006:$BM$1006,0)), HYPERLINK("#",""), HYPERLINK(CONCATENATE("#metadata!", ADDRESS(INDEX($AH$2:$AH$1001,MATCH(ROWS($AF$2:AF767),$AF$2:$AF$1001,0),0), INDEX($AM$1004:$BM$1004,1,MATCH(COLUMNS($AM$1006:BE1006),$AM$1006:$BM$1006,0)))),"Fix")))</f>
        <v xml:space="preserve"> </v>
      </c>
      <c r="U767" s="4" t="str">
        <f ca="1">IF(OR(INDEX($AG$2:$AG$1001,MATCH(ROWS($AF$2:AF767),$AF$2:$AF$1001,0),1)&gt;=100000,INDEX($AM$1005:$BM$1005,1,MATCH(COLUMNS($AM$1006:BF1006),$AM$1006:$BM$1006,0))&gt;=100000), " ",IF(INDEX($AM$2:$BM$1001,MATCH(ROWS($AF$2:AF767),$AF$2:$AF$1001,0),MATCH(COLUMNS($AM$1006:BF1006),$AM$1006:$BM$1006,0)), HYPERLINK("#",""), HYPERLINK(CONCATENATE("#metadata!", ADDRESS(INDEX($AH$2:$AH$1001,MATCH(ROWS($AF$2:AF767),$AF$2:$AF$1001,0),0), INDEX($AM$1004:$BM$1004,1,MATCH(COLUMNS($AM$1006:BF1006),$AM$1006:$BM$1006,0)))),"Fix")))</f>
        <v xml:space="preserve"> </v>
      </c>
      <c r="V767" s="4" t="str">
        <f ca="1">IF(OR(INDEX($AG$2:$AG$1001,MATCH(ROWS($AF$2:AF767),$AF$2:$AF$1001,0),1)&gt;=100000,INDEX($AM$1005:$BM$1005,1,MATCH(COLUMNS($AM$1006:BG1006),$AM$1006:$BM$1006,0))&gt;=100000), " ",IF(INDEX($AM$2:$BM$1001,MATCH(ROWS($AF$2:AF767),$AF$2:$AF$1001,0),MATCH(COLUMNS($AM$1006:BG1006),$AM$1006:$BM$1006,0)), HYPERLINK("#",""), HYPERLINK(CONCATENATE("#metadata!", ADDRESS(INDEX($AH$2:$AH$1001,MATCH(ROWS($AF$2:AF767),$AF$2:$AF$1001,0),0), INDEX($AM$1004:$BM$1004,1,MATCH(COLUMNS($AM$1006:BG1006),$AM$1006:$BM$1006,0)))),"Fix")))</f>
        <v xml:space="preserve"> </v>
      </c>
      <c r="W767" s="4" t="str">
        <f ca="1">IF(OR(INDEX($AG$2:$AG$1001,MATCH(ROWS($AF$2:AF767),$AF$2:$AF$1001,0),1)&gt;=100000,INDEX($AM$1005:$BM$1005,1,MATCH(COLUMNS($AM$1006:BH1006),$AM$1006:$BM$1006,0))&gt;=100000), " ",IF(INDEX($AM$2:$BM$1001,MATCH(ROWS($AF$2:AF767),$AF$2:$AF$1001,0),MATCH(COLUMNS($AM$1006:BH1006),$AM$1006:$BM$1006,0)), HYPERLINK("#",""), HYPERLINK(CONCATENATE("#metadata!", ADDRESS(INDEX($AH$2:$AH$1001,MATCH(ROWS($AF$2:AF767),$AF$2:$AF$1001,0),0), INDEX($AM$1004:$BM$1004,1,MATCH(COLUMNS($AM$1006:BH1006),$AM$1006:$BM$1006,0)))),"Fix")))</f>
        <v xml:space="preserve"> </v>
      </c>
      <c r="X767" s="4" t="str">
        <f ca="1">IF(OR(INDEX($AG$2:$AG$1001,MATCH(ROWS($AF$2:AF767),$AF$2:$AF$1001,0),1)&gt;=100000,INDEX($AM$1005:$BM$1005,1,MATCH(COLUMNS($AM$1006:BI1006),$AM$1006:$BM$1006,0))&gt;=100000), " ",IF(INDEX($AM$2:$BM$1001,MATCH(ROWS($AF$2:AF767),$AF$2:$AF$1001,0),MATCH(COLUMNS($AM$1006:BI1006),$AM$1006:$BM$1006,0)), HYPERLINK("#",""), HYPERLINK(CONCATENATE("#metadata!", ADDRESS(INDEX($AH$2:$AH$1001,MATCH(ROWS($AF$2:AF767),$AF$2:$AF$1001,0),0), INDEX($AM$1004:$BM$1004,1,MATCH(COLUMNS($AM$1006:BI1006),$AM$1006:$BM$1006,0)))),"Fix")))</f>
        <v xml:space="preserve"> </v>
      </c>
      <c r="Y767" s="4" t="str">
        <f ca="1">IF(OR(INDEX($AG$2:$AG$1001,MATCH(ROWS($AF$2:AF767),$AF$2:$AF$1001,0),1)&gt;=100000,INDEX($AM$1005:$BM$1005,1,MATCH(COLUMNS($AM$1006:BJ1006),$AM$1006:$BM$1006,0))&gt;=100000), " ",IF(INDEX($AM$2:$BM$1001,MATCH(ROWS($AF$2:AF767),$AF$2:$AF$1001,0),MATCH(COLUMNS($AM$1006:BJ1006),$AM$1006:$BM$1006,0)), HYPERLINK("#",""), HYPERLINK(CONCATENATE("#metadata!", ADDRESS(INDEX($AH$2:$AH$1001,MATCH(ROWS($AF$2:AF767),$AF$2:$AF$1001,0),0), INDEX($AM$1004:$BM$1004,1,MATCH(COLUMNS($AM$1006:BJ1006),$AM$1006:$BM$1006,0)))),"Fix")))</f>
        <v xml:space="preserve"> </v>
      </c>
      <c r="Z767" s="4" t="str">
        <f ca="1">IF(OR(INDEX($AG$2:$AG$1001,MATCH(ROWS($AF$2:AF767),$AF$2:$AF$1001,0),1)&gt;=100000,INDEX($AM$1005:$BM$1005,1,MATCH(COLUMNS($AM$1006:BK1006),$AM$1006:$BM$1006,0))&gt;=100000), " ",IF(INDEX($AM$2:$BM$1001,MATCH(ROWS($AF$2:AF767),$AF$2:$AF$1001,0),MATCH(COLUMNS($AM$1006:BK1006),$AM$1006:$BM$1006,0)), HYPERLINK("#",""), HYPERLINK(CONCATENATE("#metadata!", ADDRESS(INDEX($AH$2:$AH$1001,MATCH(ROWS($AF$2:AF767),$AF$2:$AF$1001,0),0), INDEX($AM$1004:$BM$1004,1,MATCH(COLUMNS($AM$1006:BK1006),$AM$1006:$BM$1006,0)))),"Fix")))</f>
        <v xml:space="preserve"> </v>
      </c>
      <c r="AA767" s="4" t="str">
        <f ca="1">IF(OR(INDEX($AG$2:$AG$1001,MATCH(ROWS($AF$2:AF767),$AF$2:$AF$1001,0),1)&gt;=100000,INDEX($AM$1005:$BM$1005,1,MATCH(COLUMNS($AM$1006:BL1006),$AM$1006:$BM$1006,0))&gt;=100000), " ",IF(INDEX($AM$2:$BM$1001,MATCH(ROWS($AF$2:AF767),$AF$2:$AF$1001,0),MATCH(COLUMNS($AM$1006:BL1006),$AM$1006:$BM$1006,0)), HYPERLINK("#",""), HYPERLINK(CONCATENATE("#metadata!", ADDRESS(INDEX($AH$2:$AH$1001,MATCH(ROWS($AF$2:AF767),$AF$2:$AF$1001,0),0), INDEX($AM$1004:$BM$1004,1,MATCH(COLUMNS($AM$1006:BL1006),$AM$1006:$BM$1006,0)))),"Fix")))</f>
        <v xml:space="preserve"> </v>
      </c>
      <c r="AB767" s="4" t="str">
        <f ca="1">IF(OR(INDEX($AG$2:$AG$1001,MATCH(ROWS($AF$2:AF767),$AF$2:$AF$1001,0),1)&gt;=100000,INDEX($AM$1005:$BM$1005,1,MATCH(COLUMNS($AM$1006:BM1006),$AM$1006:$BM$1006,0))&gt;=100000), " ",IF(INDEX($AM$2:$BM$1001,MATCH(ROWS($AF$2:AF767),$AF$2:$AF$1001,0),MATCH(COLUMNS($AM$1006:BM1006),$AM$1006:$BM$1006,0)), HYPERLINK("#",""), HYPERLINK(CONCATENATE("#metadata!", ADDRESS(INDEX($AH$2:$AH$1001,MATCH(ROWS($AF$2:AF767),$AF$2:$AF$1001,0),0), INDEX($AM$1004:$BM$1004,1,MATCH(COLUMNS($AM$1006:BM1006),$AM$1006:$BM$1006,0)))),"Fix")))</f>
        <v xml:space="preserve"> </v>
      </c>
      <c r="AF767">
        <v>766</v>
      </c>
      <c r="AG767">
        <v>100767</v>
      </c>
      <c r="AH767">
        <v>767</v>
      </c>
      <c r="AI767" t="b">
        <f t="shared" si="11"/>
        <v>1</v>
      </c>
      <c r="AJ767" t="b">
        <f>COUNTBLANK(metadata!B767:AB767)=COLUMNS(metadata!B767:AB767)</f>
        <v>1</v>
      </c>
      <c r="AK767" t="str">
        <v/>
      </c>
      <c r="AM767" t="b">
        <f ca="1">AND(IF(metadata!B767="",FALSE,TRUE),COUNTIF(metadata!B:B, metadata!B767) = 1,NOT(ISERROR(SUMPRODUCT(SEARCH(MID(metadata!B767,ROW(INDIRECT("1:"&amp;LEN(metadata!B767))), 1),"0123456789abcdefghijklmnopqrstuvwxyzABCDEFGHIJKLMNOPQRSTUVWXYZ.")))))</f>
        <v>0</v>
      </c>
      <c r="AN767" t="b">
        <f ca="1">OR(AND(IF(metadata!C767="",FALSE,TRUE),OR(EXACT(metadata!C767,"missing: not collected"),EXACT(metadata!C767,"missing: not provided"),EXACT(metadata!C767,"missing: restricted access"))),AND(IF(metadata!C767="",FALSE,TRUE),AND(AND(IFERROR(INT(LEFT(metadata!C767,4))&gt;1900,FALSE),IFERROR(INT(LEFT(metadata!C767,4))&lt;=YEAR(NOW()),FALSE)), OR(MID(metadata!C767,5,1)="", AND(AND(MID(metadata!C767,5,1)="-",IFERROR(INT(MID(metadata!C767,6,1))&gt;=0,FALSE),IFERROR(INT(MID(metadata!C767,6,1))&lt;=1,FALSE),NOT(MID(metadata!C767,7,1)=""),IFERROR(INT(MID(metadata!C767,6,2))&gt;=1,FALSE),IFERROR(INT(MID(metadata!C767,6,2))&lt;=12,FALSE)), OR(MID(metadata!C767,8,1)="", AND(AND(MID(metadata!C767,8,1)="-",IFERROR(INT(MID(metadata!C767,9,1))&gt;=0,FALSE),IFERROR(INT(MID(metadata!C767,9,1))&lt;=3,FALSE),NOT(MID(metadata!C767,10,1)=""),IFERROR(INT(MID(metadata!C767,9,2))&gt;=1,FALSE),IFERROR(INT(MID(metadata!C767,9,2))&lt;=31,FALSE)), OR(MID(metadata!C767,11,1)="", AND(AND(MID(metadata!C767,11,1)=" ",IFERROR(INT(MID(metadata!C767,12,1))&gt;=0,FALSE),IFERROR(INT(MID(metadata!C767,12,1))&lt;=2,FALSE),NOT(MID(metadata!C767,13,1)=""),IFERROR(INT(MID(metadata!C767,12,2))&gt;=0,FALSE),IFERROR(INT(MID(metadata!C767,12,2))&lt;=23,FALSE)), OR(MID(metadata!C767,14,1)="", AND(AND(MID(metadata!C767,14,1)=":",IFERROR(INT(MID(metadata!C767,15,1))&gt;=0,FALSE),IFERROR(INT(MID(metadata!C767,15,1))&lt;=5,FALSE),NOT(MID(metadata!C767,16,1)=""),IFERROR(INT(MID(metadata!C767,15,2))&gt;=0,FALSE),IFERROR(INT(MID(metadata!C767,15,2))&lt;=59,FALSE)), OR(MID(metadata!C767,17,1)="", AND(AND(MID(metadata!C767,17,1)=":",IFERROR(INT(MID(metadata!C767,18,1))&gt;=0,FALSE),IFERROR(INT(MID(metadata!C767,18,1))&lt;=5,FALSE),NOT(MID(metadata!C767,19,1)=""),IFERROR(INT(MID(metadata!C767,18,2))&gt;=0,FALSE),IFERROR(INT(MID(metadata!C767,18,2))&lt;=59,FALSE)), LEN(metadata!C767)&lt;=19)))))))))))))</f>
        <v>0</v>
      </c>
      <c r="AO767" t="b">
        <f>AND(IF(metadata!D767="",FALSE,TRUE),EXACT(metadata!D767,"Not applicable"))</f>
        <v>0</v>
      </c>
      <c r="AP767" t="b">
        <f>IF(metadata!E767="",FALSE,TRUE)</f>
        <v>0</v>
      </c>
      <c r="AQ767" t="b">
        <f>OR(AND(IF(metadata!F767="",FALSE,TRUE),OR(EXACT(metadata!F767,"missing: not collected"),EXACT(metadata!F767,"missing: not provided"))),AND(IF(metadata!F767="",FALSE,TRUE),OR(EXACT(metadata!F767,"TRUE"),EXACT(metadata!F767,"FALSE"))))</f>
        <v>0</v>
      </c>
      <c r="AR767" t="b">
        <f>OR(AND(IF(metadata!G767="",FALSE,TRUE),OR(EXACT(metadata!G767,"missing: not collected"),EXACT(metadata!G767,"missing: not provided"),EXACT(metadata!G767,"missing: restricted access"))),AND(IF(metadata!G767="",FALSE,ISNUMBER(VALUE(metadata!G767))),metadata!G767&gt;=-413))</f>
        <v>0</v>
      </c>
      <c r="AS767" t="b">
        <f>AND(IF(metadata!H767="",FALSE,TRUE),EXACT(metadata!H767,"meters"))</f>
        <v>0</v>
      </c>
      <c r="AT767" t="b">
        <f>AND(IF(metadata!I767="",FALSE,TRUE),OR(EXACT(metadata!I767,"Host-associated"),EXACT(metadata!I767,"Free-living")))</f>
        <v>0</v>
      </c>
      <c r="AU767" t="b">
        <f>AND(IF(metadata!J767="",FALSE,TRUE),OR(EXACT(metadata!J767,"Animal"),EXACT(metadata!J767,"Fungus"),EXACT(metadata!J767,"Plant"),EXACT(metadata!J767,"Saline"),EXACT(metadata!J767,"Non-saline")))</f>
        <v>0</v>
      </c>
      <c r="AV767" t="b">
        <f>AND(IF(metadata!K767="",FALSE,TRUE),OR(EXACT(metadata!K767,"Plant secretion"),EXACT(metadata!K767,"Plant rhizosphere"),EXACT(metadata!K767,"Plant surface"),EXACT(metadata!K767,"Plant corpus"),EXACT(metadata!K767,"Fungus surface"),EXACT(metadata!K767,"Fungus corpus"),EXACT(metadata!K767,"Animal surface"),EXACT(metadata!K767,"Animal proximal gut"),EXACT(metadata!K767,"Animal corpus"),EXACT(metadata!K767,"Animal distal gut"),EXACT(metadata!K767,"Animal secretion"),EXACT(metadata!K767,"Sub-surface (non-saline)"),EXACT(metadata!K767,"Surface (non-saline)"),EXACT(metadata!K767,"Water (non-saline)"),EXACT(metadata!K767,"Soil (non-saline)"),EXACT(metadata!K767,"Aerosol (non-saline)"),EXACT(metadata!K767,"Sediment (non-saline)"),EXACT(metadata!K767,"Surface (saline)"),EXACT(metadata!K767,"Water (saline)"),EXACT(metadata!K767,"Hypersaline (saline)"),EXACT(metadata!K767,"Aerosol (saline)"),EXACT(metadata!K767,"Sediment (saline)")))</f>
        <v>0</v>
      </c>
      <c r="AW767" t="b">
        <f>IF(metadata!L767="",FALSE,TRUE)</f>
        <v>0</v>
      </c>
      <c r="AX767" t="b">
        <f>IF(metadata!M767="",FALSE,TRUE)</f>
        <v>0</v>
      </c>
      <c r="AY767" t="b">
        <f>IF(metadata!N767="",FALSE,TRUE)</f>
        <v>0</v>
      </c>
      <c r="AZ767" t="b">
        <f>OR(AND(IF(metadata!O767="",FALSE,TRUE),OR(EXACT(metadata!O767,"missing: not collected"),EXACT(metadata!O767,"missing: not provided"),EXACT(metadata!O767,"missing: restricted access"))),AND(IF(metadata!O767="",FALSE,TRUE),OR(EXACT(metadata!O767,"air"),EXACT(metadata!O767,"built environment"),EXACT(metadata!O767,"host-associated"),EXACT(metadata!O767,"human-associated"),EXACT(metadata!O767,"human-skin"),EXACT(metadata!O767,"human-oral"),EXACT(metadata!O767,"human-gut"),EXACT(metadata!O767,"human-vaginal"),EXACT(metadata!O767,"microbial mat/biofilm"),EXACT(metadata!O767,"misc environment"),EXACT(metadata!O767,"plant-associated"),EXACT(metadata!O767,"sediment"),EXACT(metadata!O767,"soil"),EXACT(metadata!O767,"wastewater/sludge"),EXACT(metadata!O767,"water"))))</f>
        <v>0</v>
      </c>
      <c r="BA767" t="b">
        <f>IF(metadata!P767="",FALSE,TRUE)</f>
        <v>0</v>
      </c>
      <c r="BB767" t="b">
        <f>IF(metadata!Q767="",FALSE,TRUE)</f>
        <v>0</v>
      </c>
      <c r="BC767" t="b">
        <f>OR(AND(IF(metadata!R767="",FALSE,TRUE),OR(EXACT(metadata!R767,"missing: not collected"),EXACT(metadata!R767,"missing: not provided"),EXACT(metadata!R767,"missing: restricted access"))),AND(IF(metadata!R767="",FALSE,ISNUMBER(VALUE(metadata!R767))),metadata!R767&gt;=-90,metadata!R767&lt;=90))</f>
        <v>0</v>
      </c>
      <c r="BD767" t="b">
        <f>AND(IF(metadata!S767="",FALSE,TRUE),EXACT(metadata!S767,"Decimal degrees"))</f>
        <v>0</v>
      </c>
      <c r="BE767" t="b">
        <f>OR(AND(IF(metadata!T767="",FALSE,TRUE),OR(EXACT(metadata!T767,"missing: not collected"),EXACT(metadata!T767,"missing: not provided"),EXACT(metadata!T767,"missing: restricted access"))),AND(IF(metadata!T767="",FALSE,ISNUMBER(VALUE(metadata!T767))),metadata!T767&gt;=-180,metadata!T767&lt;=180))</f>
        <v>0</v>
      </c>
      <c r="BF767" t="b">
        <f>AND(IF(metadata!U767="",FALSE,TRUE),EXACT(metadata!U767,"Decimal degrees"))</f>
        <v>0</v>
      </c>
      <c r="BG767" t="b">
        <f>IF(metadata!V767="",FALSE,TRUE)</f>
        <v>0</v>
      </c>
      <c r="BH767" t="b">
        <f>OR(AND(IF(metadata!W767="",FALSE,TRUE),OR(EXACT(metadata!W767,"missing: not collected"),EXACT(metadata!W767,"missing: not provided"),EXACT(metadata!W767,"missing: restricted access"))),AND(IF(metadata!W767="",FALSE,TRUE),OR(EXACT(metadata!W767,"TRUE"),EXACT(metadata!W767,"FALSE"))))</f>
        <v>0</v>
      </c>
      <c r="BI767" t="b">
        <f>AND(IF(metadata!X767="",FALSE,TRUE),EXACT(metadata!X767,"other"))</f>
        <v>0</v>
      </c>
      <c r="BJ767" t="b">
        <f>IF(metadata!Y767="",FALSE,TRUE)</f>
        <v>0</v>
      </c>
      <c r="BK767" t="b">
        <f>OR(AND(IF(metadata!Z767="",FALSE,TRUE),OR(EXACT(metadata!Z767,"missing: not collected"),EXACT(metadata!Z767,"missing: not provided"))),AND(IF(metadata!Z767="",FALSE,IF(ISERROR(INT(metadata!Z767)),FALSE,INT(metadata!Z767)=metadata!Z767)),metadata!Z767&gt;0))</f>
        <v>0</v>
      </c>
      <c r="BL767" t="b">
        <f>AND(IF(metadata!AA767="",FALSE,TRUE),EXACT(metadata!AA767,"Not applicable"))</f>
        <v>0</v>
      </c>
      <c r="BM767" t="b">
        <f>IF(metadata!AB767="",FALSE,TRUE)</f>
        <v>0</v>
      </c>
    </row>
    <row r="768" spans="1:65" x14ac:dyDescent="0.2">
      <c r="A768" s="5" t="str">
        <f ca="1">IF(B768=" "," ",HYPERLINK(CONCATENATE("#metadata!",ADDRESS(INDEX($AH$2:$AH$1001,MATCH(ROWS($AF$2:AF768),$AF$2:$AF$1001,0),0),1)),INDEX($AK$2:$AK$1001,MATCH(ROWS($AF$2:AF768),$AF$2:$AF$1001,0),0)))</f>
        <v xml:space="preserve"> </v>
      </c>
      <c r="B768" s="4" t="str">
        <f ca="1">IF(OR(INDEX($AG$2:$AG$1001,MATCH(ROWS($AF$2:AF768),$AF$2:$AF$1001,0),1)&gt;=100000,INDEX($AM$1005:$BM$1005,1,MATCH(COLUMNS($AM$1006:AM1006),$AM$1006:$BM$1006,0))&gt;=100000), " ",IF(INDEX($AM$2:$BM$1001,MATCH(ROWS($AF$2:AF768),$AF$2:$AF$1001,0),MATCH(COLUMNS($AM$1006:AM1006),$AM$1006:$BM$1006,0)), HYPERLINK("#",""), HYPERLINK(CONCATENATE("#metadata!", ADDRESS(INDEX($AH$2:$AH$1001,MATCH(ROWS($AF$2:AF768),$AF$2:$AF$1001,0),0), INDEX($AM$1004:$BM$1004,1,MATCH(COLUMNS($AM$1006:AM1006),$AM$1006:$BM$1006,0)))),"Fix")))</f>
        <v xml:space="preserve"> </v>
      </c>
      <c r="C768" s="4" t="str">
        <f ca="1">IF(OR(INDEX($AG$2:$AG$1001,MATCH(ROWS($AF$2:AF768),$AF$2:$AF$1001,0),1)&gt;=100000,INDEX($AM$1005:$BM$1005,1,MATCH(COLUMNS($AM$1006:AN1006),$AM$1006:$BM$1006,0))&gt;=100000), " ",IF(INDEX($AM$2:$BM$1001,MATCH(ROWS($AF$2:AF768),$AF$2:$AF$1001,0),MATCH(COLUMNS($AM$1006:AN1006),$AM$1006:$BM$1006,0)), HYPERLINK("#",""), HYPERLINK(CONCATENATE("#metadata!", ADDRESS(INDEX($AH$2:$AH$1001,MATCH(ROWS($AF$2:AF768),$AF$2:$AF$1001,0),0), INDEX($AM$1004:$BM$1004,1,MATCH(COLUMNS($AM$1006:AN1006),$AM$1006:$BM$1006,0)))),"Fix")))</f>
        <v xml:space="preserve"> </v>
      </c>
      <c r="D768" s="4" t="str">
        <f ca="1">IF(OR(INDEX($AG$2:$AG$1001,MATCH(ROWS($AF$2:AF768),$AF$2:$AF$1001,0),1)&gt;=100000,INDEX($AM$1005:$BM$1005,1,MATCH(COLUMNS($AM$1006:AO1006),$AM$1006:$BM$1006,0))&gt;=100000), " ",IF(INDEX($AM$2:$BM$1001,MATCH(ROWS($AF$2:AF768),$AF$2:$AF$1001,0),MATCH(COLUMNS($AM$1006:AO1006),$AM$1006:$BM$1006,0)), HYPERLINK("#",""), HYPERLINK(CONCATENATE("#metadata!", ADDRESS(INDEX($AH$2:$AH$1001,MATCH(ROWS($AF$2:AF768),$AF$2:$AF$1001,0),0), INDEX($AM$1004:$BM$1004,1,MATCH(COLUMNS($AM$1006:AO1006),$AM$1006:$BM$1006,0)))),"Fix")))</f>
        <v xml:space="preserve"> </v>
      </c>
      <c r="E768" s="4" t="str">
        <f ca="1">IF(OR(INDEX($AG$2:$AG$1001,MATCH(ROWS($AF$2:AF768),$AF$2:$AF$1001,0),1)&gt;=100000,INDEX($AM$1005:$BM$1005,1,MATCH(COLUMNS($AM$1006:AP1006),$AM$1006:$BM$1006,0))&gt;=100000), " ",IF(INDEX($AM$2:$BM$1001,MATCH(ROWS($AF$2:AF768),$AF$2:$AF$1001,0),MATCH(COLUMNS($AM$1006:AP1006),$AM$1006:$BM$1006,0)), HYPERLINK("#",""), HYPERLINK(CONCATENATE("#metadata!", ADDRESS(INDEX($AH$2:$AH$1001,MATCH(ROWS($AF$2:AF768),$AF$2:$AF$1001,0),0), INDEX($AM$1004:$BM$1004,1,MATCH(COLUMNS($AM$1006:AP1006),$AM$1006:$BM$1006,0)))),"Fix")))</f>
        <v xml:space="preserve"> </v>
      </c>
      <c r="F768" s="4" t="str">
        <f ca="1">IF(OR(INDEX($AG$2:$AG$1001,MATCH(ROWS($AF$2:AF768),$AF$2:$AF$1001,0),1)&gt;=100000,INDEX($AM$1005:$BM$1005,1,MATCH(COLUMNS($AM$1006:AQ1006),$AM$1006:$BM$1006,0))&gt;=100000), " ",IF(INDEX($AM$2:$BM$1001,MATCH(ROWS($AF$2:AF768),$AF$2:$AF$1001,0),MATCH(COLUMNS($AM$1006:AQ1006),$AM$1006:$BM$1006,0)), HYPERLINK("#",""), HYPERLINK(CONCATENATE("#metadata!", ADDRESS(INDEX($AH$2:$AH$1001,MATCH(ROWS($AF$2:AF768),$AF$2:$AF$1001,0),0), INDEX($AM$1004:$BM$1004,1,MATCH(COLUMNS($AM$1006:AQ1006),$AM$1006:$BM$1006,0)))),"Fix")))</f>
        <v xml:space="preserve"> </v>
      </c>
      <c r="G768" s="4" t="str">
        <f ca="1">IF(OR(INDEX($AG$2:$AG$1001,MATCH(ROWS($AF$2:AF768),$AF$2:$AF$1001,0),1)&gt;=100000,INDEX($AM$1005:$BM$1005,1,MATCH(COLUMNS($AM$1006:AR1006),$AM$1006:$BM$1006,0))&gt;=100000), " ",IF(INDEX($AM$2:$BM$1001,MATCH(ROWS($AF$2:AF768),$AF$2:$AF$1001,0),MATCH(COLUMNS($AM$1006:AR1006),$AM$1006:$BM$1006,0)), HYPERLINK("#",""), HYPERLINK(CONCATENATE("#metadata!", ADDRESS(INDEX($AH$2:$AH$1001,MATCH(ROWS($AF$2:AF768),$AF$2:$AF$1001,0),0), INDEX($AM$1004:$BM$1004,1,MATCH(COLUMNS($AM$1006:AR1006),$AM$1006:$BM$1006,0)))),"Fix")))</f>
        <v xml:space="preserve"> </v>
      </c>
      <c r="H768" s="4" t="str">
        <f ca="1">IF(OR(INDEX($AG$2:$AG$1001,MATCH(ROWS($AF$2:AF768),$AF$2:$AF$1001,0),1)&gt;=100000,INDEX($AM$1005:$BM$1005,1,MATCH(COLUMNS($AM$1006:AS1006),$AM$1006:$BM$1006,0))&gt;=100000), " ",IF(INDEX($AM$2:$BM$1001,MATCH(ROWS($AF$2:AF768),$AF$2:$AF$1001,0),MATCH(COLUMNS($AM$1006:AS1006),$AM$1006:$BM$1006,0)), HYPERLINK("#",""), HYPERLINK(CONCATENATE("#metadata!", ADDRESS(INDEX($AH$2:$AH$1001,MATCH(ROWS($AF$2:AF768),$AF$2:$AF$1001,0),0), INDEX($AM$1004:$BM$1004,1,MATCH(COLUMNS($AM$1006:AS1006),$AM$1006:$BM$1006,0)))),"Fix")))</f>
        <v xml:space="preserve"> </v>
      </c>
      <c r="I768" s="4" t="str">
        <f ca="1">IF(OR(INDEX($AG$2:$AG$1001,MATCH(ROWS($AF$2:AF768),$AF$2:$AF$1001,0),1)&gt;=100000,INDEX($AM$1005:$BM$1005,1,MATCH(COLUMNS($AM$1006:AT1006),$AM$1006:$BM$1006,0))&gt;=100000), " ",IF(INDEX($AM$2:$BM$1001,MATCH(ROWS($AF$2:AF768),$AF$2:$AF$1001,0),MATCH(COLUMNS($AM$1006:AT1006),$AM$1006:$BM$1006,0)), HYPERLINK("#",""), HYPERLINK(CONCATENATE("#metadata!", ADDRESS(INDEX($AH$2:$AH$1001,MATCH(ROWS($AF$2:AF768),$AF$2:$AF$1001,0),0), INDEX($AM$1004:$BM$1004,1,MATCH(COLUMNS($AM$1006:AT1006),$AM$1006:$BM$1006,0)))),"Fix")))</f>
        <v xml:space="preserve"> </v>
      </c>
      <c r="J768" s="4" t="str">
        <f ca="1">IF(OR(INDEX($AG$2:$AG$1001,MATCH(ROWS($AF$2:AF768),$AF$2:$AF$1001,0),1)&gt;=100000,INDEX($AM$1005:$BM$1005,1,MATCH(COLUMNS($AM$1006:AU1006),$AM$1006:$BM$1006,0))&gt;=100000), " ",IF(INDEX($AM$2:$BM$1001,MATCH(ROWS($AF$2:AF768),$AF$2:$AF$1001,0),MATCH(COLUMNS($AM$1006:AU1006),$AM$1006:$BM$1006,0)), HYPERLINK("#",""), HYPERLINK(CONCATENATE("#metadata!", ADDRESS(INDEX($AH$2:$AH$1001,MATCH(ROWS($AF$2:AF768),$AF$2:$AF$1001,0),0), INDEX($AM$1004:$BM$1004,1,MATCH(COLUMNS($AM$1006:AU1006),$AM$1006:$BM$1006,0)))),"Fix")))</f>
        <v xml:space="preserve"> </v>
      </c>
      <c r="K768" s="4" t="str">
        <f ca="1">IF(OR(INDEX($AG$2:$AG$1001,MATCH(ROWS($AF$2:AF768),$AF$2:$AF$1001,0),1)&gt;=100000,INDEX($AM$1005:$BM$1005,1,MATCH(COLUMNS($AM$1006:AV1006),$AM$1006:$BM$1006,0))&gt;=100000), " ",IF(INDEX($AM$2:$BM$1001,MATCH(ROWS($AF$2:AF768),$AF$2:$AF$1001,0),MATCH(COLUMNS($AM$1006:AV1006),$AM$1006:$BM$1006,0)), HYPERLINK("#",""), HYPERLINK(CONCATENATE("#metadata!", ADDRESS(INDEX($AH$2:$AH$1001,MATCH(ROWS($AF$2:AF768),$AF$2:$AF$1001,0),0), INDEX($AM$1004:$BM$1004,1,MATCH(COLUMNS($AM$1006:AV1006),$AM$1006:$BM$1006,0)))),"Fix")))</f>
        <v xml:space="preserve"> </v>
      </c>
      <c r="L768" s="4" t="str">
        <f ca="1">IF(OR(INDEX($AG$2:$AG$1001,MATCH(ROWS($AF$2:AF768),$AF$2:$AF$1001,0),1)&gt;=100000,INDEX($AM$1005:$BM$1005,1,MATCH(COLUMNS($AM$1006:AW1006),$AM$1006:$BM$1006,0))&gt;=100000), " ",IF(INDEX($AM$2:$BM$1001,MATCH(ROWS($AF$2:AF768),$AF$2:$AF$1001,0),MATCH(COLUMNS($AM$1006:AW1006),$AM$1006:$BM$1006,0)), HYPERLINK("#",""), HYPERLINK(CONCATENATE("#metadata!", ADDRESS(INDEX($AH$2:$AH$1001,MATCH(ROWS($AF$2:AF768),$AF$2:$AF$1001,0),0), INDEX($AM$1004:$BM$1004,1,MATCH(COLUMNS($AM$1006:AW1006),$AM$1006:$BM$1006,0)))),"Fix")))</f>
        <v xml:space="preserve"> </v>
      </c>
      <c r="M768" s="4" t="str">
        <f ca="1">IF(OR(INDEX($AG$2:$AG$1001,MATCH(ROWS($AF$2:AF768),$AF$2:$AF$1001,0),1)&gt;=100000,INDEX($AM$1005:$BM$1005,1,MATCH(COLUMNS($AM$1006:AX1006),$AM$1006:$BM$1006,0))&gt;=100000), " ",IF(INDEX($AM$2:$BM$1001,MATCH(ROWS($AF$2:AF768),$AF$2:$AF$1001,0),MATCH(COLUMNS($AM$1006:AX1006),$AM$1006:$BM$1006,0)), HYPERLINK("#",""), HYPERLINK(CONCATENATE("#metadata!", ADDRESS(INDEX($AH$2:$AH$1001,MATCH(ROWS($AF$2:AF768),$AF$2:$AF$1001,0),0), INDEX($AM$1004:$BM$1004,1,MATCH(COLUMNS($AM$1006:AX1006),$AM$1006:$BM$1006,0)))),"Fix")))</f>
        <v xml:space="preserve"> </v>
      </c>
      <c r="N768" s="4" t="str">
        <f ca="1">IF(OR(INDEX($AG$2:$AG$1001,MATCH(ROWS($AF$2:AF768),$AF$2:$AF$1001,0),1)&gt;=100000,INDEX($AM$1005:$BM$1005,1,MATCH(COLUMNS($AM$1006:AY1006),$AM$1006:$BM$1006,0))&gt;=100000), " ",IF(INDEX($AM$2:$BM$1001,MATCH(ROWS($AF$2:AF768),$AF$2:$AF$1001,0),MATCH(COLUMNS($AM$1006:AY1006),$AM$1006:$BM$1006,0)), HYPERLINK("#",""), HYPERLINK(CONCATENATE("#metadata!", ADDRESS(INDEX($AH$2:$AH$1001,MATCH(ROWS($AF$2:AF768),$AF$2:$AF$1001,0),0), INDEX($AM$1004:$BM$1004,1,MATCH(COLUMNS($AM$1006:AY1006),$AM$1006:$BM$1006,0)))),"Fix")))</f>
        <v xml:space="preserve"> </v>
      </c>
      <c r="O768" s="4" t="str">
        <f ca="1">IF(OR(INDEX($AG$2:$AG$1001,MATCH(ROWS($AF$2:AF768),$AF$2:$AF$1001,0),1)&gt;=100000,INDEX($AM$1005:$BM$1005,1,MATCH(COLUMNS($AM$1006:AZ1006),$AM$1006:$BM$1006,0))&gt;=100000), " ",IF(INDEX($AM$2:$BM$1001,MATCH(ROWS($AF$2:AF768),$AF$2:$AF$1001,0),MATCH(COLUMNS($AM$1006:AZ1006),$AM$1006:$BM$1006,0)), HYPERLINK("#",""), HYPERLINK(CONCATENATE("#metadata!", ADDRESS(INDEX($AH$2:$AH$1001,MATCH(ROWS($AF$2:AF768),$AF$2:$AF$1001,0),0), INDEX($AM$1004:$BM$1004,1,MATCH(COLUMNS($AM$1006:AZ1006),$AM$1006:$BM$1006,0)))),"Fix")))</f>
        <v xml:space="preserve"> </v>
      </c>
      <c r="P768" s="4" t="str">
        <f ca="1">IF(OR(INDEX($AG$2:$AG$1001,MATCH(ROWS($AF$2:AF768),$AF$2:$AF$1001,0),1)&gt;=100000,INDEX($AM$1005:$BM$1005,1,MATCH(COLUMNS($AM$1006:BA1006),$AM$1006:$BM$1006,0))&gt;=100000), " ",IF(INDEX($AM$2:$BM$1001,MATCH(ROWS($AF$2:AF768),$AF$2:$AF$1001,0),MATCH(COLUMNS($AM$1006:BA1006),$AM$1006:$BM$1006,0)), HYPERLINK("#",""), HYPERLINK(CONCATENATE("#metadata!", ADDRESS(INDEX($AH$2:$AH$1001,MATCH(ROWS($AF$2:AF768),$AF$2:$AF$1001,0),0), INDEX($AM$1004:$BM$1004,1,MATCH(COLUMNS($AM$1006:BA1006),$AM$1006:$BM$1006,0)))),"Fix")))</f>
        <v xml:space="preserve"> </v>
      </c>
      <c r="Q768" s="4" t="str">
        <f ca="1">IF(OR(INDEX($AG$2:$AG$1001,MATCH(ROWS($AF$2:AF768),$AF$2:$AF$1001,0),1)&gt;=100000,INDEX($AM$1005:$BM$1005,1,MATCH(COLUMNS($AM$1006:BB1006),$AM$1006:$BM$1006,0))&gt;=100000), " ",IF(INDEX($AM$2:$BM$1001,MATCH(ROWS($AF$2:AF768),$AF$2:$AF$1001,0),MATCH(COLUMNS($AM$1006:BB1006),$AM$1006:$BM$1006,0)), HYPERLINK("#",""), HYPERLINK(CONCATENATE("#metadata!", ADDRESS(INDEX($AH$2:$AH$1001,MATCH(ROWS($AF$2:AF768),$AF$2:$AF$1001,0),0), INDEX($AM$1004:$BM$1004,1,MATCH(COLUMNS($AM$1006:BB1006),$AM$1006:$BM$1006,0)))),"Fix")))</f>
        <v xml:space="preserve"> </v>
      </c>
      <c r="R768" s="4" t="str">
        <f ca="1">IF(OR(INDEX($AG$2:$AG$1001,MATCH(ROWS($AF$2:AF768),$AF$2:$AF$1001,0),1)&gt;=100000,INDEX($AM$1005:$BM$1005,1,MATCH(COLUMNS($AM$1006:BC1006),$AM$1006:$BM$1006,0))&gt;=100000), " ",IF(INDEX($AM$2:$BM$1001,MATCH(ROWS($AF$2:AF768),$AF$2:$AF$1001,0),MATCH(COLUMNS($AM$1006:BC1006),$AM$1006:$BM$1006,0)), HYPERLINK("#",""), HYPERLINK(CONCATENATE("#metadata!", ADDRESS(INDEX($AH$2:$AH$1001,MATCH(ROWS($AF$2:AF768),$AF$2:$AF$1001,0),0), INDEX($AM$1004:$BM$1004,1,MATCH(COLUMNS($AM$1006:BC1006),$AM$1006:$BM$1006,0)))),"Fix")))</f>
        <v xml:space="preserve"> </v>
      </c>
      <c r="S768" s="4" t="str">
        <f ca="1">IF(OR(INDEX($AG$2:$AG$1001,MATCH(ROWS($AF$2:AF768),$AF$2:$AF$1001,0),1)&gt;=100000,INDEX($AM$1005:$BM$1005,1,MATCH(COLUMNS($AM$1006:BD1006),$AM$1006:$BM$1006,0))&gt;=100000), " ",IF(INDEX($AM$2:$BM$1001,MATCH(ROWS($AF$2:AF768),$AF$2:$AF$1001,0),MATCH(COLUMNS($AM$1006:BD1006),$AM$1006:$BM$1006,0)), HYPERLINK("#",""), HYPERLINK(CONCATENATE("#metadata!", ADDRESS(INDEX($AH$2:$AH$1001,MATCH(ROWS($AF$2:AF768),$AF$2:$AF$1001,0),0), INDEX($AM$1004:$BM$1004,1,MATCH(COLUMNS($AM$1006:BD1006),$AM$1006:$BM$1006,0)))),"Fix")))</f>
        <v xml:space="preserve"> </v>
      </c>
      <c r="T768" s="4" t="str">
        <f ca="1">IF(OR(INDEX($AG$2:$AG$1001,MATCH(ROWS($AF$2:AF768),$AF$2:$AF$1001,0),1)&gt;=100000,INDEX($AM$1005:$BM$1005,1,MATCH(COLUMNS($AM$1006:BE1006),$AM$1006:$BM$1006,0))&gt;=100000), " ",IF(INDEX($AM$2:$BM$1001,MATCH(ROWS($AF$2:AF768),$AF$2:$AF$1001,0),MATCH(COLUMNS($AM$1006:BE1006),$AM$1006:$BM$1006,0)), HYPERLINK("#",""), HYPERLINK(CONCATENATE("#metadata!", ADDRESS(INDEX($AH$2:$AH$1001,MATCH(ROWS($AF$2:AF768),$AF$2:$AF$1001,0),0), INDEX($AM$1004:$BM$1004,1,MATCH(COLUMNS($AM$1006:BE1006),$AM$1006:$BM$1006,0)))),"Fix")))</f>
        <v xml:space="preserve"> </v>
      </c>
      <c r="U768" s="4" t="str">
        <f ca="1">IF(OR(INDEX($AG$2:$AG$1001,MATCH(ROWS($AF$2:AF768),$AF$2:$AF$1001,0),1)&gt;=100000,INDEX($AM$1005:$BM$1005,1,MATCH(COLUMNS($AM$1006:BF1006),$AM$1006:$BM$1006,0))&gt;=100000), " ",IF(INDEX($AM$2:$BM$1001,MATCH(ROWS($AF$2:AF768),$AF$2:$AF$1001,0),MATCH(COLUMNS($AM$1006:BF1006),$AM$1006:$BM$1006,0)), HYPERLINK("#",""), HYPERLINK(CONCATENATE("#metadata!", ADDRESS(INDEX($AH$2:$AH$1001,MATCH(ROWS($AF$2:AF768),$AF$2:$AF$1001,0),0), INDEX($AM$1004:$BM$1004,1,MATCH(COLUMNS($AM$1006:BF1006),$AM$1006:$BM$1006,0)))),"Fix")))</f>
        <v xml:space="preserve"> </v>
      </c>
      <c r="V768" s="4" t="str">
        <f ca="1">IF(OR(INDEX($AG$2:$AG$1001,MATCH(ROWS($AF$2:AF768),$AF$2:$AF$1001,0),1)&gt;=100000,INDEX($AM$1005:$BM$1005,1,MATCH(COLUMNS($AM$1006:BG1006),$AM$1006:$BM$1006,0))&gt;=100000), " ",IF(INDEX($AM$2:$BM$1001,MATCH(ROWS($AF$2:AF768),$AF$2:$AF$1001,0),MATCH(COLUMNS($AM$1006:BG1006),$AM$1006:$BM$1006,0)), HYPERLINK("#",""), HYPERLINK(CONCATENATE("#metadata!", ADDRESS(INDEX($AH$2:$AH$1001,MATCH(ROWS($AF$2:AF768),$AF$2:$AF$1001,0),0), INDEX($AM$1004:$BM$1004,1,MATCH(COLUMNS($AM$1006:BG1006),$AM$1006:$BM$1006,0)))),"Fix")))</f>
        <v xml:space="preserve"> </v>
      </c>
      <c r="W768" s="4" t="str">
        <f ca="1">IF(OR(INDEX($AG$2:$AG$1001,MATCH(ROWS($AF$2:AF768),$AF$2:$AF$1001,0),1)&gt;=100000,INDEX($AM$1005:$BM$1005,1,MATCH(COLUMNS($AM$1006:BH1006),$AM$1006:$BM$1006,0))&gt;=100000), " ",IF(INDEX($AM$2:$BM$1001,MATCH(ROWS($AF$2:AF768),$AF$2:$AF$1001,0),MATCH(COLUMNS($AM$1006:BH1006),$AM$1006:$BM$1006,0)), HYPERLINK("#",""), HYPERLINK(CONCATENATE("#metadata!", ADDRESS(INDEX($AH$2:$AH$1001,MATCH(ROWS($AF$2:AF768),$AF$2:$AF$1001,0),0), INDEX($AM$1004:$BM$1004,1,MATCH(COLUMNS($AM$1006:BH1006),$AM$1006:$BM$1006,0)))),"Fix")))</f>
        <v xml:space="preserve"> </v>
      </c>
      <c r="X768" s="4" t="str">
        <f ca="1">IF(OR(INDEX($AG$2:$AG$1001,MATCH(ROWS($AF$2:AF768),$AF$2:$AF$1001,0),1)&gt;=100000,INDEX($AM$1005:$BM$1005,1,MATCH(COLUMNS($AM$1006:BI1006),$AM$1006:$BM$1006,0))&gt;=100000), " ",IF(INDEX($AM$2:$BM$1001,MATCH(ROWS($AF$2:AF768),$AF$2:$AF$1001,0),MATCH(COLUMNS($AM$1006:BI1006),$AM$1006:$BM$1006,0)), HYPERLINK("#",""), HYPERLINK(CONCATENATE("#metadata!", ADDRESS(INDEX($AH$2:$AH$1001,MATCH(ROWS($AF$2:AF768),$AF$2:$AF$1001,0),0), INDEX($AM$1004:$BM$1004,1,MATCH(COLUMNS($AM$1006:BI1006),$AM$1006:$BM$1006,0)))),"Fix")))</f>
        <v xml:space="preserve"> </v>
      </c>
      <c r="Y768" s="4" t="str">
        <f ca="1">IF(OR(INDEX($AG$2:$AG$1001,MATCH(ROWS($AF$2:AF768),$AF$2:$AF$1001,0),1)&gt;=100000,INDEX($AM$1005:$BM$1005,1,MATCH(COLUMNS($AM$1006:BJ1006),$AM$1006:$BM$1006,0))&gt;=100000), " ",IF(INDEX($AM$2:$BM$1001,MATCH(ROWS($AF$2:AF768),$AF$2:$AF$1001,0),MATCH(COLUMNS($AM$1006:BJ1006),$AM$1006:$BM$1006,0)), HYPERLINK("#",""), HYPERLINK(CONCATENATE("#metadata!", ADDRESS(INDEX($AH$2:$AH$1001,MATCH(ROWS($AF$2:AF768),$AF$2:$AF$1001,0),0), INDEX($AM$1004:$BM$1004,1,MATCH(COLUMNS($AM$1006:BJ1006),$AM$1006:$BM$1006,0)))),"Fix")))</f>
        <v xml:space="preserve"> </v>
      </c>
      <c r="Z768" s="4" t="str">
        <f ca="1">IF(OR(INDEX($AG$2:$AG$1001,MATCH(ROWS($AF$2:AF768),$AF$2:$AF$1001,0),1)&gt;=100000,INDEX($AM$1005:$BM$1005,1,MATCH(COLUMNS($AM$1006:BK1006),$AM$1006:$BM$1006,0))&gt;=100000), " ",IF(INDEX($AM$2:$BM$1001,MATCH(ROWS($AF$2:AF768),$AF$2:$AF$1001,0),MATCH(COLUMNS($AM$1006:BK1006),$AM$1006:$BM$1006,0)), HYPERLINK("#",""), HYPERLINK(CONCATENATE("#metadata!", ADDRESS(INDEX($AH$2:$AH$1001,MATCH(ROWS($AF$2:AF768),$AF$2:$AF$1001,0),0), INDEX($AM$1004:$BM$1004,1,MATCH(COLUMNS($AM$1006:BK1006),$AM$1006:$BM$1006,0)))),"Fix")))</f>
        <v xml:space="preserve"> </v>
      </c>
      <c r="AA768" s="4" t="str">
        <f ca="1">IF(OR(INDEX($AG$2:$AG$1001,MATCH(ROWS($AF$2:AF768),$AF$2:$AF$1001,0),1)&gt;=100000,INDEX($AM$1005:$BM$1005,1,MATCH(COLUMNS($AM$1006:BL1006),$AM$1006:$BM$1006,0))&gt;=100000), " ",IF(INDEX($AM$2:$BM$1001,MATCH(ROWS($AF$2:AF768),$AF$2:$AF$1001,0),MATCH(COLUMNS($AM$1006:BL1006),$AM$1006:$BM$1006,0)), HYPERLINK("#",""), HYPERLINK(CONCATENATE("#metadata!", ADDRESS(INDEX($AH$2:$AH$1001,MATCH(ROWS($AF$2:AF768),$AF$2:$AF$1001,0),0), INDEX($AM$1004:$BM$1004,1,MATCH(COLUMNS($AM$1006:BL1006),$AM$1006:$BM$1006,0)))),"Fix")))</f>
        <v xml:space="preserve"> </v>
      </c>
      <c r="AB768" s="4" t="str">
        <f ca="1">IF(OR(INDEX($AG$2:$AG$1001,MATCH(ROWS($AF$2:AF768),$AF$2:$AF$1001,0),1)&gt;=100000,INDEX($AM$1005:$BM$1005,1,MATCH(COLUMNS($AM$1006:BM1006),$AM$1006:$BM$1006,0))&gt;=100000), " ",IF(INDEX($AM$2:$BM$1001,MATCH(ROWS($AF$2:AF768),$AF$2:$AF$1001,0),MATCH(COLUMNS($AM$1006:BM1006),$AM$1006:$BM$1006,0)), HYPERLINK("#",""), HYPERLINK(CONCATENATE("#metadata!", ADDRESS(INDEX($AH$2:$AH$1001,MATCH(ROWS($AF$2:AF768),$AF$2:$AF$1001,0),0), INDEX($AM$1004:$BM$1004,1,MATCH(COLUMNS($AM$1006:BM1006),$AM$1006:$BM$1006,0)))),"Fix")))</f>
        <v xml:space="preserve"> </v>
      </c>
      <c r="AF768">
        <v>767</v>
      </c>
      <c r="AG768">
        <v>100768</v>
      </c>
      <c r="AH768">
        <v>768</v>
      </c>
      <c r="AI768" t="b">
        <f t="shared" si="11"/>
        <v>1</v>
      </c>
      <c r="AJ768" t="b">
        <f>COUNTBLANK(metadata!B768:AB768)=COLUMNS(metadata!B768:AB768)</f>
        <v>1</v>
      </c>
      <c r="AK768" t="str">
        <v/>
      </c>
      <c r="AM768" t="b">
        <f ca="1">AND(IF(metadata!B768="",FALSE,TRUE),COUNTIF(metadata!B:B, metadata!B768) = 1,NOT(ISERROR(SUMPRODUCT(SEARCH(MID(metadata!B768,ROW(INDIRECT("1:"&amp;LEN(metadata!B768))), 1),"0123456789abcdefghijklmnopqrstuvwxyzABCDEFGHIJKLMNOPQRSTUVWXYZ.")))))</f>
        <v>0</v>
      </c>
      <c r="AN768" t="b">
        <f ca="1">OR(AND(IF(metadata!C768="",FALSE,TRUE),OR(EXACT(metadata!C768,"missing: not collected"),EXACT(metadata!C768,"missing: not provided"),EXACT(metadata!C768,"missing: restricted access"))),AND(IF(metadata!C768="",FALSE,TRUE),AND(AND(IFERROR(INT(LEFT(metadata!C768,4))&gt;1900,FALSE),IFERROR(INT(LEFT(metadata!C768,4))&lt;=YEAR(NOW()),FALSE)), OR(MID(metadata!C768,5,1)="", AND(AND(MID(metadata!C768,5,1)="-",IFERROR(INT(MID(metadata!C768,6,1))&gt;=0,FALSE),IFERROR(INT(MID(metadata!C768,6,1))&lt;=1,FALSE),NOT(MID(metadata!C768,7,1)=""),IFERROR(INT(MID(metadata!C768,6,2))&gt;=1,FALSE),IFERROR(INT(MID(metadata!C768,6,2))&lt;=12,FALSE)), OR(MID(metadata!C768,8,1)="", AND(AND(MID(metadata!C768,8,1)="-",IFERROR(INT(MID(metadata!C768,9,1))&gt;=0,FALSE),IFERROR(INT(MID(metadata!C768,9,1))&lt;=3,FALSE),NOT(MID(metadata!C768,10,1)=""),IFERROR(INT(MID(metadata!C768,9,2))&gt;=1,FALSE),IFERROR(INT(MID(metadata!C768,9,2))&lt;=31,FALSE)), OR(MID(metadata!C768,11,1)="", AND(AND(MID(metadata!C768,11,1)=" ",IFERROR(INT(MID(metadata!C768,12,1))&gt;=0,FALSE),IFERROR(INT(MID(metadata!C768,12,1))&lt;=2,FALSE),NOT(MID(metadata!C768,13,1)=""),IFERROR(INT(MID(metadata!C768,12,2))&gt;=0,FALSE),IFERROR(INT(MID(metadata!C768,12,2))&lt;=23,FALSE)), OR(MID(metadata!C768,14,1)="", AND(AND(MID(metadata!C768,14,1)=":",IFERROR(INT(MID(metadata!C768,15,1))&gt;=0,FALSE),IFERROR(INT(MID(metadata!C768,15,1))&lt;=5,FALSE),NOT(MID(metadata!C768,16,1)=""),IFERROR(INT(MID(metadata!C768,15,2))&gt;=0,FALSE),IFERROR(INT(MID(metadata!C768,15,2))&lt;=59,FALSE)), OR(MID(metadata!C768,17,1)="", AND(AND(MID(metadata!C768,17,1)=":",IFERROR(INT(MID(metadata!C768,18,1))&gt;=0,FALSE),IFERROR(INT(MID(metadata!C768,18,1))&lt;=5,FALSE),NOT(MID(metadata!C768,19,1)=""),IFERROR(INT(MID(metadata!C768,18,2))&gt;=0,FALSE),IFERROR(INT(MID(metadata!C768,18,2))&lt;=59,FALSE)), LEN(metadata!C768)&lt;=19)))))))))))))</f>
        <v>0</v>
      </c>
      <c r="AO768" t="b">
        <f>AND(IF(metadata!D768="",FALSE,TRUE),EXACT(metadata!D768,"Not applicable"))</f>
        <v>0</v>
      </c>
      <c r="AP768" t="b">
        <f>IF(metadata!E768="",FALSE,TRUE)</f>
        <v>0</v>
      </c>
      <c r="AQ768" t="b">
        <f>OR(AND(IF(metadata!F768="",FALSE,TRUE),OR(EXACT(metadata!F768,"missing: not collected"),EXACT(metadata!F768,"missing: not provided"))),AND(IF(metadata!F768="",FALSE,TRUE),OR(EXACT(metadata!F768,"TRUE"),EXACT(metadata!F768,"FALSE"))))</f>
        <v>0</v>
      </c>
      <c r="AR768" t="b">
        <f>OR(AND(IF(metadata!G768="",FALSE,TRUE),OR(EXACT(metadata!G768,"missing: not collected"),EXACT(metadata!G768,"missing: not provided"),EXACT(metadata!G768,"missing: restricted access"))),AND(IF(metadata!G768="",FALSE,ISNUMBER(VALUE(metadata!G768))),metadata!G768&gt;=-413))</f>
        <v>0</v>
      </c>
      <c r="AS768" t="b">
        <f>AND(IF(metadata!H768="",FALSE,TRUE),EXACT(metadata!H768,"meters"))</f>
        <v>0</v>
      </c>
      <c r="AT768" t="b">
        <f>AND(IF(metadata!I768="",FALSE,TRUE),OR(EXACT(metadata!I768,"Host-associated"),EXACT(metadata!I768,"Free-living")))</f>
        <v>0</v>
      </c>
      <c r="AU768" t="b">
        <f>AND(IF(metadata!J768="",FALSE,TRUE),OR(EXACT(metadata!J768,"Animal"),EXACT(metadata!J768,"Fungus"),EXACT(metadata!J768,"Plant"),EXACT(metadata!J768,"Saline"),EXACT(metadata!J768,"Non-saline")))</f>
        <v>0</v>
      </c>
      <c r="AV768" t="b">
        <f>AND(IF(metadata!K768="",FALSE,TRUE),OR(EXACT(metadata!K768,"Plant secretion"),EXACT(metadata!K768,"Plant rhizosphere"),EXACT(metadata!K768,"Plant surface"),EXACT(metadata!K768,"Plant corpus"),EXACT(metadata!K768,"Fungus surface"),EXACT(metadata!K768,"Fungus corpus"),EXACT(metadata!K768,"Animal surface"),EXACT(metadata!K768,"Animal proximal gut"),EXACT(metadata!K768,"Animal corpus"),EXACT(metadata!K768,"Animal distal gut"),EXACT(metadata!K768,"Animal secretion"),EXACT(metadata!K768,"Sub-surface (non-saline)"),EXACT(metadata!K768,"Surface (non-saline)"),EXACT(metadata!K768,"Water (non-saline)"),EXACT(metadata!K768,"Soil (non-saline)"),EXACT(metadata!K768,"Aerosol (non-saline)"),EXACT(metadata!K768,"Sediment (non-saline)"),EXACT(metadata!K768,"Surface (saline)"),EXACT(metadata!K768,"Water (saline)"),EXACT(metadata!K768,"Hypersaline (saline)"),EXACT(metadata!K768,"Aerosol (saline)"),EXACT(metadata!K768,"Sediment (saline)")))</f>
        <v>0</v>
      </c>
      <c r="AW768" t="b">
        <f>IF(metadata!L768="",FALSE,TRUE)</f>
        <v>0</v>
      </c>
      <c r="AX768" t="b">
        <f>IF(metadata!M768="",FALSE,TRUE)</f>
        <v>0</v>
      </c>
      <c r="AY768" t="b">
        <f>IF(metadata!N768="",FALSE,TRUE)</f>
        <v>0</v>
      </c>
      <c r="AZ768" t="b">
        <f>OR(AND(IF(metadata!O768="",FALSE,TRUE),OR(EXACT(metadata!O768,"missing: not collected"),EXACT(metadata!O768,"missing: not provided"),EXACT(metadata!O768,"missing: restricted access"))),AND(IF(metadata!O768="",FALSE,TRUE),OR(EXACT(metadata!O768,"air"),EXACT(metadata!O768,"built environment"),EXACT(metadata!O768,"host-associated"),EXACT(metadata!O768,"human-associated"),EXACT(metadata!O768,"human-skin"),EXACT(metadata!O768,"human-oral"),EXACT(metadata!O768,"human-gut"),EXACT(metadata!O768,"human-vaginal"),EXACT(metadata!O768,"microbial mat/biofilm"),EXACT(metadata!O768,"misc environment"),EXACT(metadata!O768,"plant-associated"),EXACT(metadata!O768,"sediment"),EXACT(metadata!O768,"soil"),EXACT(metadata!O768,"wastewater/sludge"),EXACT(metadata!O768,"water"))))</f>
        <v>0</v>
      </c>
      <c r="BA768" t="b">
        <f>IF(metadata!P768="",FALSE,TRUE)</f>
        <v>0</v>
      </c>
      <c r="BB768" t="b">
        <f>IF(metadata!Q768="",FALSE,TRUE)</f>
        <v>0</v>
      </c>
      <c r="BC768" t="b">
        <f>OR(AND(IF(metadata!R768="",FALSE,TRUE),OR(EXACT(metadata!R768,"missing: not collected"),EXACT(metadata!R768,"missing: not provided"),EXACT(metadata!R768,"missing: restricted access"))),AND(IF(metadata!R768="",FALSE,ISNUMBER(VALUE(metadata!R768))),metadata!R768&gt;=-90,metadata!R768&lt;=90))</f>
        <v>0</v>
      </c>
      <c r="BD768" t="b">
        <f>AND(IF(metadata!S768="",FALSE,TRUE),EXACT(metadata!S768,"Decimal degrees"))</f>
        <v>0</v>
      </c>
      <c r="BE768" t="b">
        <f>OR(AND(IF(metadata!T768="",FALSE,TRUE),OR(EXACT(metadata!T768,"missing: not collected"),EXACT(metadata!T768,"missing: not provided"),EXACT(metadata!T768,"missing: restricted access"))),AND(IF(metadata!T768="",FALSE,ISNUMBER(VALUE(metadata!T768))),metadata!T768&gt;=-180,metadata!T768&lt;=180))</f>
        <v>0</v>
      </c>
      <c r="BF768" t="b">
        <f>AND(IF(metadata!U768="",FALSE,TRUE),EXACT(metadata!U768,"Decimal degrees"))</f>
        <v>0</v>
      </c>
      <c r="BG768" t="b">
        <f>IF(metadata!V768="",FALSE,TRUE)</f>
        <v>0</v>
      </c>
      <c r="BH768" t="b">
        <f>OR(AND(IF(metadata!W768="",FALSE,TRUE),OR(EXACT(metadata!W768,"missing: not collected"),EXACT(metadata!W768,"missing: not provided"),EXACT(metadata!W768,"missing: restricted access"))),AND(IF(metadata!W768="",FALSE,TRUE),OR(EXACT(metadata!W768,"TRUE"),EXACT(metadata!W768,"FALSE"))))</f>
        <v>0</v>
      </c>
      <c r="BI768" t="b">
        <f>AND(IF(metadata!X768="",FALSE,TRUE),EXACT(metadata!X768,"other"))</f>
        <v>0</v>
      </c>
      <c r="BJ768" t="b">
        <f>IF(metadata!Y768="",FALSE,TRUE)</f>
        <v>0</v>
      </c>
      <c r="BK768" t="b">
        <f>OR(AND(IF(metadata!Z768="",FALSE,TRUE),OR(EXACT(metadata!Z768,"missing: not collected"),EXACT(metadata!Z768,"missing: not provided"))),AND(IF(metadata!Z768="",FALSE,IF(ISERROR(INT(metadata!Z768)),FALSE,INT(metadata!Z768)=metadata!Z768)),metadata!Z768&gt;0))</f>
        <v>0</v>
      </c>
      <c r="BL768" t="b">
        <f>AND(IF(metadata!AA768="",FALSE,TRUE),EXACT(metadata!AA768,"Not applicable"))</f>
        <v>0</v>
      </c>
      <c r="BM768" t="b">
        <f>IF(metadata!AB768="",FALSE,TRUE)</f>
        <v>0</v>
      </c>
    </row>
    <row r="769" spans="1:65" x14ac:dyDescent="0.2">
      <c r="A769" s="5" t="str">
        <f ca="1">IF(B769=" "," ",HYPERLINK(CONCATENATE("#metadata!",ADDRESS(INDEX($AH$2:$AH$1001,MATCH(ROWS($AF$2:AF769),$AF$2:$AF$1001,0),0),1)),INDEX($AK$2:$AK$1001,MATCH(ROWS($AF$2:AF769),$AF$2:$AF$1001,0),0)))</f>
        <v xml:space="preserve"> </v>
      </c>
      <c r="B769" s="4" t="str">
        <f ca="1">IF(OR(INDEX($AG$2:$AG$1001,MATCH(ROWS($AF$2:AF769),$AF$2:$AF$1001,0),1)&gt;=100000,INDEX($AM$1005:$BM$1005,1,MATCH(COLUMNS($AM$1006:AM1006),$AM$1006:$BM$1006,0))&gt;=100000), " ",IF(INDEX($AM$2:$BM$1001,MATCH(ROWS($AF$2:AF769),$AF$2:$AF$1001,0),MATCH(COLUMNS($AM$1006:AM1006),$AM$1006:$BM$1006,0)), HYPERLINK("#",""), HYPERLINK(CONCATENATE("#metadata!", ADDRESS(INDEX($AH$2:$AH$1001,MATCH(ROWS($AF$2:AF769),$AF$2:$AF$1001,0),0), INDEX($AM$1004:$BM$1004,1,MATCH(COLUMNS($AM$1006:AM1006),$AM$1006:$BM$1006,0)))),"Fix")))</f>
        <v xml:space="preserve"> </v>
      </c>
      <c r="C769" s="4" t="str">
        <f ca="1">IF(OR(INDEX($AG$2:$AG$1001,MATCH(ROWS($AF$2:AF769),$AF$2:$AF$1001,0),1)&gt;=100000,INDEX($AM$1005:$BM$1005,1,MATCH(COLUMNS($AM$1006:AN1006),$AM$1006:$BM$1006,0))&gt;=100000), " ",IF(INDEX($AM$2:$BM$1001,MATCH(ROWS($AF$2:AF769),$AF$2:$AF$1001,0),MATCH(COLUMNS($AM$1006:AN1006),$AM$1006:$BM$1006,0)), HYPERLINK("#",""), HYPERLINK(CONCATENATE("#metadata!", ADDRESS(INDEX($AH$2:$AH$1001,MATCH(ROWS($AF$2:AF769),$AF$2:$AF$1001,0),0), INDEX($AM$1004:$BM$1004,1,MATCH(COLUMNS($AM$1006:AN1006),$AM$1006:$BM$1006,0)))),"Fix")))</f>
        <v xml:space="preserve"> </v>
      </c>
      <c r="D769" s="4" t="str">
        <f ca="1">IF(OR(INDEX($AG$2:$AG$1001,MATCH(ROWS($AF$2:AF769),$AF$2:$AF$1001,0),1)&gt;=100000,INDEX($AM$1005:$BM$1005,1,MATCH(COLUMNS($AM$1006:AO1006),$AM$1006:$BM$1006,0))&gt;=100000), " ",IF(INDEX($AM$2:$BM$1001,MATCH(ROWS($AF$2:AF769),$AF$2:$AF$1001,0),MATCH(COLUMNS($AM$1006:AO1006),$AM$1006:$BM$1006,0)), HYPERLINK("#",""), HYPERLINK(CONCATENATE("#metadata!", ADDRESS(INDEX($AH$2:$AH$1001,MATCH(ROWS($AF$2:AF769),$AF$2:$AF$1001,0),0), INDEX($AM$1004:$BM$1004,1,MATCH(COLUMNS($AM$1006:AO1006),$AM$1006:$BM$1006,0)))),"Fix")))</f>
        <v xml:space="preserve"> </v>
      </c>
      <c r="E769" s="4" t="str">
        <f ca="1">IF(OR(INDEX($AG$2:$AG$1001,MATCH(ROWS($AF$2:AF769),$AF$2:$AF$1001,0),1)&gt;=100000,INDEX($AM$1005:$BM$1005,1,MATCH(COLUMNS($AM$1006:AP1006),$AM$1006:$BM$1006,0))&gt;=100000), " ",IF(INDEX($AM$2:$BM$1001,MATCH(ROWS($AF$2:AF769),$AF$2:$AF$1001,0),MATCH(COLUMNS($AM$1006:AP1006),$AM$1006:$BM$1006,0)), HYPERLINK("#",""), HYPERLINK(CONCATENATE("#metadata!", ADDRESS(INDEX($AH$2:$AH$1001,MATCH(ROWS($AF$2:AF769),$AF$2:$AF$1001,0),0), INDEX($AM$1004:$BM$1004,1,MATCH(COLUMNS($AM$1006:AP1006),$AM$1006:$BM$1006,0)))),"Fix")))</f>
        <v xml:space="preserve"> </v>
      </c>
      <c r="F769" s="4" t="str">
        <f ca="1">IF(OR(INDEX($AG$2:$AG$1001,MATCH(ROWS($AF$2:AF769),$AF$2:$AF$1001,0),1)&gt;=100000,INDEX($AM$1005:$BM$1005,1,MATCH(COLUMNS($AM$1006:AQ1006),$AM$1006:$BM$1006,0))&gt;=100000), " ",IF(INDEX($AM$2:$BM$1001,MATCH(ROWS($AF$2:AF769),$AF$2:$AF$1001,0),MATCH(COLUMNS($AM$1006:AQ1006),$AM$1006:$BM$1006,0)), HYPERLINK("#",""), HYPERLINK(CONCATENATE("#metadata!", ADDRESS(INDEX($AH$2:$AH$1001,MATCH(ROWS($AF$2:AF769),$AF$2:$AF$1001,0),0), INDEX($AM$1004:$BM$1004,1,MATCH(COLUMNS($AM$1006:AQ1006),$AM$1006:$BM$1006,0)))),"Fix")))</f>
        <v xml:space="preserve"> </v>
      </c>
      <c r="G769" s="4" t="str">
        <f ca="1">IF(OR(INDEX($AG$2:$AG$1001,MATCH(ROWS($AF$2:AF769),$AF$2:$AF$1001,0),1)&gt;=100000,INDEX($AM$1005:$BM$1005,1,MATCH(COLUMNS($AM$1006:AR1006),$AM$1006:$BM$1006,0))&gt;=100000), " ",IF(INDEX($AM$2:$BM$1001,MATCH(ROWS($AF$2:AF769),$AF$2:$AF$1001,0),MATCH(COLUMNS($AM$1006:AR1006),$AM$1006:$BM$1006,0)), HYPERLINK("#",""), HYPERLINK(CONCATENATE("#metadata!", ADDRESS(INDEX($AH$2:$AH$1001,MATCH(ROWS($AF$2:AF769),$AF$2:$AF$1001,0),0), INDEX($AM$1004:$BM$1004,1,MATCH(COLUMNS($AM$1006:AR1006),$AM$1006:$BM$1006,0)))),"Fix")))</f>
        <v xml:space="preserve"> </v>
      </c>
      <c r="H769" s="4" t="str">
        <f ca="1">IF(OR(INDEX($AG$2:$AG$1001,MATCH(ROWS($AF$2:AF769),$AF$2:$AF$1001,0),1)&gt;=100000,INDEX($AM$1005:$BM$1005,1,MATCH(COLUMNS($AM$1006:AS1006),$AM$1006:$BM$1006,0))&gt;=100000), " ",IF(INDEX($AM$2:$BM$1001,MATCH(ROWS($AF$2:AF769),$AF$2:$AF$1001,0),MATCH(COLUMNS($AM$1006:AS1006),$AM$1006:$BM$1006,0)), HYPERLINK("#",""), HYPERLINK(CONCATENATE("#metadata!", ADDRESS(INDEX($AH$2:$AH$1001,MATCH(ROWS($AF$2:AF769),$AF$2:$AF$1001,0),0), INDEX($AM$1004:$BM$1004,1,MATCH(COLUMNS($AM$1006:AS1006),$AM$1006:$BM$1006,0)))),"Fix")))</f>
        <v xml:space="preserve"> </v>
      </c>
      <c r="I769" s="4" t="str">
        <f ca="1">IF(OR(INDEX($AG$2:$AG$1001,MATCH(ROWS($AF$2:AF769),$AF$2:$AF$1001,0),1)&gt;=100000,INDEX($AM$1005:$BM$1005,1,MATCH(COLUMNS($AM$1006:AT1006),$AM$1006:$BM$1006,0))&gt;=100000), " ",IF(INDEX($AM$2:$BM$1001,MATCH(ROWS($AF$2:AF769),$AF$2:$AF$1001,0),MATCH(COLUMNS($AM$1006:AT1006),$AM$1006:$BM$1006,0)), HYPERLINK("#",""), HYPERLINK(CONCATENATE("#metadata!", ADDRESS(INDEX($AH$2:$AH$1001,MATCH(ROWS($AF$2:AF769),$AF$2:$AF$1001,0),0), INDEX($AM$1004:$BM$1004,1,MATCH(COLUMNS($AM$1006:AT1006),$AM$1006:$BM$1006,0)))),"Fix")))</f>
        <v xml:space="preserve"> </v>
      </c>
      <c r="J769" s="4" t="str">
        <f ca="1">IF(OR(INDEX($AG$2:$AG$1001,MATCH(ROWS($AF$2:AF769),$AF$2:$AF$1001,0),1)&gt;=100000,INDEX($AM$1005:$BM$1005,1,MATCH(COLUMNS($AM$1006:AU1006),$AM$1006:$BM$1006,0))&gt;=100000), " ",IF(INDEX($AM$2:$BM$1001,MATCH(ROWS($AF$2:AF769),$AF$2:$AF$1001,0),MATCH(COLUMNS($AM$1006:AU1006),$AM$1006:$BM$1006,0)), HYPERLINK("#",""), HYPERLINK(CONCATENATE("#metadata!", ADDRESS(INDEX($AH$2:$AH$1001,MATCH(ROWS($AF$2:AF769),$AF$2:$AF$1001,0),0), INDEX($AM$1004:$BM$1004,1,MATCH(COLUMNS($AM$1006:AU1006),$AM$1006:$BM$1006,0)))),"Fix")))</f>
        <v xml:space="preserve"> </v>
      </c>
      <c r="K769" s="4" t="str">
        <f ca="1">IF(OR(INDEX($AG$2:$AG$1001,MATCH(ROWS($AF$2:AF769),$AF$2:$AF$1001,0),1)&gt;=100000,INDEX($AM$1005:$BM$1005,1,MATCH(COLUMNS($AM$1006:AV1006),$AM$1006:$BM$1006,0))&gt;=100000), " ",IF(INDEX($AM$2:$BM$1001,MATCH(ROWS($AF$2:AF769),$AF$2:$AF$1001,0),MATCH(COLUMNS($AM$1006:AV1006),$AM$1006:$BM$1006,0)), HYPERLINK("#",""), HYPERLINK(CONCATENATE("#metadata!", ADDRESS(INDEX($AH$2:$AH$1001,MATCH(ROWS($AF$2:AF769),$AF$2:$AF$1001,0),0), INDEX($AM$1004:$BM$1004,1,MATCH(COLUMNS($AM$1006:AV1006),$AM$1006:$BM$1006,0)))),"Fix")))</f>
        <v xml:space="preserve"> </v>
      </c>
      <c r="L769" s="4" t="str">
        <f ca="1">IF(OR(INDEX($AG$2:$AG$1001,MATCH(ROWS($AF$2:AF769),$AF$2:$AF$1001,0),1)&gt;=100000,INDEX($AM$1005:$BM$1005,1,MATCH(COLUMNS($AM$1006:AW1006),$AM$1006:$BM$1006,0))&gt;=100000), " ",IF(INDEX($AM$2:$BM$1001,MATCH(ROWS($AF$2:AF769),$AF$2:$AF$1001,0),MATCH(COLUMNS($AM$1006:AW1006),$AM$1006:$BM$1006,0)), HYPERLINK("#",""), HYPERLINK(CONCATENATE("#metadata!", ADDRESS(INDEX($AH$2:$AH$1001,MATCH(ROWS($AF$2:AF769),$AF$2:$AF$1001,0),0), INDEX($AM$1004:$BM$1004,1,MATCH(COLUMNS($AM$1006:AW1006),$AM$1006:$BM$1006,0)))),"Fix")))</f>
        <v xml:space="preserve"> </v>
      </c>
      <c r="M769" s="4" t="str">
        <f ca="1">IF(OR(INDEX($AG$2:$AG$1001,MATCH(ROWS($AF$2:AF769),$AF$2:$AF$1001,0),1)&gt;=100000,INDEX($AM$1005:$BM$1005,1,MATCH(COLUMNS($AM$1006:AX1006),$AM$1006:$BM$1006,0))&gt;=100000), " ",IF(INDEX($AM$2:$BM$1001,MATCH(ROWS($AF$2:AF769),$AF$2:$AF$1001,0),MATCH(COLUMNS($AM$1006:AX1006),$AM$1006:$BM$1006,0)), HYPERLINK("#",""), HYPERLINK(CONCATENATE("#metadata!", ADDRESS(INDEX($AH$2:$AH$1001,MATCH(ROWS($AF$2:AF769),$AF$2:$AF$1001,0),0), INDEX($AM$1004:$BM$1004,1,MATCH(COLUMNS($AM$1006:AX1006),$AM$1006:$BM$1006,0)))),"Fix")))</f>
        <v xml:space="preserve"> </v>
      </c>
      <c r="N769" s="4" t="str">
        <f ca="1">IF(OR(INDEX($AG$2:$AG$1001,MATCH(ROWS($AF$2:AF769),$AF$2:$AF$1001,0),1)&gt;=100000,INDEX($AM$1005:$BM$1005,1,MATCH(COLUMNS($AM$1006:AY1006),$AM$1006:$BM$1006,0))&gt;=100000), " ",IF(INDEX($AM$2:$BM$1001,MATCH(ROWS($AF$2:AF769),$AF$2:$AF$1001,0),MATCH(COLUMNS($AM$1006:AY1006),$AM$1006:$BM$1006,0)), HYPERLINK("#",""), HYPERLINK(CONCATENATE("#metadata!", ADDRESS(INDEX($AH$2:$AH$1001,MATCH(ROWS($AF$2:AF769),$AF$2:$AF$1001,0),0), INDEX($AM$1004:$BM$1004,1,MATCH(COLUMNS($AM$1006:AY1006),$AM$1006:$BM$1006,0)))),"Fix")))</f>
        <v xml:space="preserve"> </v>
      </c>
      <c r="O769" s="4" t="str">
        <f ca="1">IF(OR(INDEX($AG$2:$AG$1001,MATCH(ROWS($AF$2:AF769),$AF$2:$AF$1001,0),1)&gt;=100000,INDEX($AM$1005:$BM$1005,1,MATCH(COLUMNS($AM$1006:AZ1006),$AM$1006:$BM$1006,0))&gt;=100000), " ",IF(INDEX($AM$2:$BM$1001,MATCH(ROWS($AF$2:AF769),$AF$2:$AF$1001,0),MATCH(COLUMNS($AM$1006:AZ1006),$AM$1006:$BM$1006,0)), HYPERLINK("#",""), HYPERLINK(CONCATENATE("#metadata!", ADDRESS(INDEX($AH$2:$AH$1001,MATCH(ROWS($AF$2:AF769),$AF$2:$AF$1001,0),0), INDEX($AM$1004:$BM$1004,1,MATCH(COLUMNS($AM$1006:AZ1006),$AM$1006:$BM$1006,0)))),"Fix")))</f>
        <v xml:space="preserve"> </v>
      </c>
      <c r="P769" s="4" t="str">
        <f ca="1">IF(OR(INDEX($AG$2:$AG$1001,MATCH(ROWS($AF$2:AF769),$AF$2:$AF$1001,0),1)&gt;=100000,INDEX($AM$1005:$BM$1005,1,MATCH(COLUMNS($AM$1006:BA1006),$AM$1006:$BM$1006,0))&gt;=100000), " ",IF(INDEX($AM$2:$BM$1001,MATCH(ROWS($AF$2:AF769),$AF$2:$AF$1001,0),MATCH(COLUMNS($AM$1006:BA1006),$AM$1006:$BM$1006,0)), HYPERLINK("#",""), HYPERLINK(CONCATENATE("#metadata!", ADDRESS(INDEX($AH$2:$AH$1001,MATCH(ROWS($AF$2:AF769),$AF$2:$AF$1001,0),0), INDEX($AM$1004:$BM$1004,1,MATCH(COLUMNS($AM$1006:BA1006),$AM$1006:$BM$1006,0)))),"Fix")))</f>
        <v xml:space="preserve"> </v>
      </c>
      <c r="Q769" s="4" t="str">
        <f ca="1">IF(OR(INDEX($AG$2:$AG$1001,MATCH(ROWS($AF$2:AF769),$AF$2:$AF$1001,0),1)&gt;=100000,INDEX($AM$1005:$BM$1005,1,MATCH(COLUMNS($AM$1006:BB1006),$AM$1006:$BM$1006,0))&gt;=100000), " ",IF(INDEX($AM$2:$BM$1001,MATCH(ROWS($AF$2:AF769),$AF$2:$AF$1001,0),MATCH(COLUMNS($AM$1006:BB1006),$AM$1006:$BM$1006,0)), HYPERLINK("#",""), HYPERLINK(CONCATENATE("#metadata!", ADDRESS(INDEX($AH$2:$AH$1001,MATCH(ROWS($AF$2:AF769),$AF$2:$AF$1001,0),0), INDEX($AM$1004:$BM$1004,1,MATCH(COLUMNS($AM$1006:BB1006),$AM$1006:$BM$1006,0)))),"Fix")))</f>
        <v xml:space="preserve"> </v>
      </c>
      <c r="R769" s="4" t="str">
        <f ca="1">IF(OR(INDEX($AG$2:$AG$1001,MATCH(ROWS($AF$2:AF769),$AF$2:$AF$1001,0),1)&gt;=100000,INDEX($AM$1005:$BM$1005,1,MATCH(COLUMNS($AM$1006:BC1006),$AM$1006:$BM$1006,0))&gt;=100000), " ",IF(INDEX($AM$2:$BM$1001,MATCH(ROWS($AF$2:AF769),$AF$2:$AF$1001,0),MATCH(COLUMNS($AM$1006:BC1006),$AM$1006:$BM$1006,0)), HYPERLINK("#",""), HYPERLINK(CONCATENATE("#metadata!", ADDRESS(INDEX($AH$2:$AH$1001,MATCH(ROWS($AF$2:AF769),$AF$2:$AF$1001,0),0), INDEX($AM$1004:$BM$1004,1,MATCH(COLUMNS($AM$1006:BC1006),$AM$1006:$BM$1006,0)))),"Fix")))</f>
        <v xml:space="preserve"> </v>
      </c>
      <c r="S769" s="4" t="str">
        <f ca="1">IF(OR(INDEX($AG$2:$AG$1001,MATCH(ROWS($AF$2:AF769),$AF$2:$AF$1001,0),1)&gt;=100000,INDEX($AM$1005:$BM$1005,1,MATCH(COLUMNS($AM$1006:BD1006),$AM$1006:$BM$1006,0))&gt;=100000), " ",IF(INDEX($AM$2:$BM$1001,MATCH(ROWS($AF$2:AF769),$AF$2:$AF$1001,0),MATCH(COLUMNS($AM$1006:BD1006),$AM$1006:$BM$1006,0)), HYPERLINK("#",""), HYPERLINK(CONCATENATE("#metadata!", ADDRESS(INDEX($AH$2:$AH$1001,MATCH(ROWS($AF$2:AF769),$AF$2:$AF$1001,0),0), INDEX($AM$1004:$BM$1004,1,MATCH(COLUMNS($AM$1006:BD1006),$AM$1006:$BM$1006,0)))),"Fix")))</f>
        <v xml:space="preserve"> </v>
      </c>
      <c r="T769" s="4" t="str">
        <f ca="1">IF(OR(INDEX($AG$2:$AG$1001,MATCH(ROWS($AF$2:AF769),$AF$2:$AF$1001,0),1)&gt;=100000,INDEX($AM$1005:$BM$1005,1,MATCH(COLUMNS($AM$1006:BE1006),$AM$1006:$BM$1006,0))&gt;=100000), " ",IF(INDEX($AM$2:$BM$1001,MATCH(ROWS($AF$2:AF769),$AF$2:$AF$1001,0),MATCH(COLUMNS($AM$1006:BE1006),$AM$1006:$BM$1006,0)), HYPERLINK("#",""), HYPERLINK(CONCATENATE("#metadata!", ADDRESS(INDEX($AH$2:$AH$1001,MATCH(ROWS($AF$2:AF769),$AF$2:$AF$1001,0),0), INDEX($AM$1004:$BM$1004,1,MATCH(COLUMNS($AM$1006:BE1006),$AM$1006:$BM$1006,0)))),"Fix")))</f>
        <v xml:space="preserve"> </v>
      </c>
      <c r="U769" s="4" t="str">
        <f ca="1">IF(OR(INDEX($AG$2:$AG$1001,MATCH(ROWS($AF$2:AF769),$AF$2:$AF$1001,0),1)&gt;=100000,INDEX($AM$1005:$BM$1005,1,MATCH(COLUMNS($AM$1006:BF1006),$AM$1006:$BM$1006,0))&gt;=100000), " ",IF(INDEX($AM$2:$BM$1001,MATCH(ROWS($AF$2:AF769),$AF$2:$AF$1001,0),MATCH(COLUMNS($AM$1006:BF1006),$AM$1006:$BM$1006,0)), HYPERLINK("#",""), HYPERLINK(CONCATENATE("#metadata!", ADDRESS(INDEX($AH$2:$AH$1001,MATCH(ROWS($AF$2:AF769),$AF$2:$AF$1001,0),0), INDEX($AM$1004:$BM$1004,1,MATCH(COLUMNS($AM$1006:BF1006),$AM$1006:$BM$1006,0)))),"Fix")))</f>
        <v xml:space="preserve"> </v>
      </c>
      <c r="V769" s="4" t="str">
        <f ca="1">IF(OR(INDEX($AG$2:$AG$1001,MATCH(ROWS($AF$2:AF769),$AF$2:$AF$1001,0),1)&gt;=100000,INDEX($AM$1005:$BM$1005,1,MATCH(COLUMNS($AM$1006:BG1006),$AM$1006:$BM$1006,0))&gt;=100000), " ",IF(INDEX($AM$2:$BM$1001,MATCH(ROWS($AF$2:AF769),$AF$2:$AF$1001,0),MATCH(COLUMNS($AM$1006:BG1006),$AM$1006:$BM$1006,0)), HYPERLINK("#",""), HYPERLINK(CONCATENATE("#metadata!", ADDRESS(INDEX($AH$2:$AH$1001,MATCH(ROWS($AF$2:AF769),$AF$2:$AF$1001,0),0), INDEX($AM$1004:$BM$1004,1,MATCH(COLUMNS($AM$1006:BG1006),$AM$1006:$BM$1006,0)))),"Fix")))</f>
        <v xml:space="preserve"> </v>
      </c>
      <c r="W769" s="4" t="str">
        <f ca="1">IF(OR(INDEX($AG$2:$AG$1001,MATCH(ROWS($AF$2:AF769),$AF$2:$AF$1001,0),1)&gt;=100000,INDEX($AM$1005:$BM$1005,1,MATCH(COLUMNS($AM$1006:BH1006),$AM$1006:$BM$1006,0))&gt;=100000), " ",IF(INDEX($AM$2:$BM$1001,MATCH(ROWS($AF$2:AF769),$AF$2:$AF$1001,0),MATCH(COLUMNS($AM$1006:BH1006),$AM$1006:$BM$1006,0)), HYPERLINK("#",""), HYPERLINK(CONCATENATE("#metadata!", ADDRESS(INDEX($AH$2:$AH$1001,MATCH(ROWS($AF$2:AF769),$AF$2:$AF$1001,0),0), INDEX($AM$1004:$BM$1004,1,MATCH(COLUMNS($AM$1006:BH1006),$AM$1006:$BM$1006,0)))),"Fix")))</f>
        <v xml:space="preserve"> </v>
      </c>
      <c r="X769" s="4" t="str">
        <f ca="1">IF(OR(INDEX($AG$2:$AG$1001,MATCH(ROWS($AF$2:AF769),$AF$2:$AF$1001,0),1)&gt;=100000,INDEX($AM$1005:$BM$1005,1,MATCH(COLUMNS($AM$1006:BI1006),$AM$1006:$BM$1006,0))&gt;=100000), " ",IF(INDEX($AM$2:$BM$1001,MATCH(ROWS($AF$2:AF769),$AF$2:$AF$1001,0),MATCH(COLUMNS($AM$1006:BI1006),$AM$1006:$BM$1006,0)), HYPERLINK("#",""), HYPERLINK(CONCATENATE("#metadata!", ADDRESS(INDEX($AH$2:$AH$1001,MATCH(ROWS($AF$2:AF769),$AF$2:$AF$1001,0),0), INDEX($AM$1004:$BM$1004,1,MATCH(COLUMNS($AM$1006:BI1006),$AM$1006:$BM$1006,0)))),"Fix")))</f>
        <v xml:space="preserve"> </v>
      </c>
      <c r="Y769" s="4" t="str">
        <f ca="1">IF(OR(INDEX($AG$2:$AG$1001,MATCH(ROWS($AF$2:AF769),$AF$2:$AF$1001,0),1)&gt;=100000,INDEX($AM$1005:$BM$1005,1,MATCH(COLUMNS($AM$1006:BJ1006),$AM$1006:$BM$1006,0))&gt;=100000), " ",IF(INDEX($AM$2:$BM$1001,MATCH(ROWS($AF$2:AF769),$AF$2:$AF$1001,0),MATCH(COLUMNS($AM$1006:BJ1006),$AM$1006:$BM$1006,0)), HYPERLINK("#",""), HYPERLINK(CONCATENATE("#metadata!", ADDRESS(INDEX($AH$2:$AH$1001,MATCH(ROWS($AF$2:AF769),$AF$2:$AF$1001,0),0), INDEX($AM$1004:$BM$1004,1,MATCH(COLUMNS($AM$1006:BJ1006),$AM$1006:$BM$1006,0)))),"Fix")))</f>
        <v xml:space="preserve"> </v>
      </c>
      <c r="Z769" s="4" t="str">
        <f ca="1">IF(OR(INDEX($AG$2:$AG$1001,MATCH(ROWS($AF$2:AF769),$AF$2:$AF$1001,0),1)&gt;=100000,INDEX($AM$1005:$BM$1005,1,MATCH(COLUMNS($AM$1006:BK1006),$AM$1006:$BM$1006,0))&gt;=100000), " ",IF(INDEX($AM$2:$BM$1001,MATCH(ROWS($AF$2:AF769),$AF$2:$AF$1001,0),MATCH(COLUMNS($AM$1006:BK1006),$AM$1006:$BM$1006,0)), HYPERLINK("#",""), HYPERLINK(CONCATENATE("#metadata!", ADDRESS(INDEX($AH$2:$AH$1001,MATCH(ROWS($AF$2:AF769),$AF$2:$AF$1001,0),0), INDEX($AM$1004:$BM$1004,1,MATCH(COLUMNS($AM$1006:BK1006),$AM$1006:$BM$1006,0)))),"Fix")))</f>
        <v xml:space="preserve"> </v>
      </c>
      <c r="AA769" s="4" t="str">
        <f ca="1">IF(OR(INDEX($AG$2:$AG$1001,MATCH(ROWS($AF$2:AF769),$AF$2:$AF$1001,0),1)&gt;=100000,INDEX($AM$1005:$BM$1005,1,MATCH(COLUMNS($AM$1006:BL1006),$AM$1006:$BM$1006,0))&gt;=100000), " ",IF(INDEX($AM$2:$BM$1001,MATCH(ROWS($AF$2:AF769),$AF$2:$AF$1001,0),MATCH(COLUMNS($AM$1006:BL1006),$AM$1006:$BM$1006,0)), HYPERLINK("#",""), HYPERLINK(CONCATENATE("#metadata!", ADDRESS(INDEX($AH$2:$AH$1001,MATCH(ROWS($AF$2:AF769),$AF$2:$AF$1001,0),0), INDEX($AM$1004:$BM$1004,1,MATCH(COLUMNS($AM$1006:BL1006),$AM$1006:$BM$1006,0)))),"Fix")))</f>
        <v xml:space="preserve"> </v>
      </c>
      <c r="AB769" s="4" t="str">
        <f ca="1">IF(OR(INDEX($AG$2:$AG$1001,MATCH(ROWS($AF$2:AF769),$AF$2:$AF$1001,0),1)&gt;=100000,INDEX($AM$1005:$BM$1005,1,MATCH(COLUMNS($AM$1006:BM1006),$AM$1006:$BM$1006,0))&gt;=100000), " ",IF(INDEX($AM$2:$BM$1001,MATCH(ROWS($AF$2:AF769),$AF$2:$AF$1001,0),MATCH(COLUMNS($AM$1006:BM1006),$AM$1006:$BM$1006,0)), HYPERLINK("#",""), HYPERLINK(CONCATENATE("#metadata!", ADDRESS(INDEX($AH$2:$AH$1001,MATCH(ROWS($AF$2:AF769),$AF$2:$AF$1001,0),0), INDEX($AM$1004:$BM$1004,1,MATCH(COLUMNS($AM$1006:BM1006),$AM$1006:$BM$1006,0)))),"Fix")))</f>
        <v xml:space="preserve"> </v>
      </c>
      <c r="AF769">
        <v>768</v>
      </c>
      <c r="AG769">
        <v>100769</v>
      </c>
      <c r="AH769">
        <v>769</v>
      </c>
      <c r="AI769" t="b">
        <f t="shared" si="11"/>
        <v>1</v>
      </c>
      <c r="AJ769" t="b">
        <f>COUNTBLANK(metadata!B769:AB769)=COLUMNS(metadata!B769:AB769)</f>
        <v>1</v>
      </c>
      <c r="AK769" t="str">
        <v/>
      </c>
      <c r="AM769" t="b">
        <f ca="1">AND(IF(metadata!B769="",FALSE,TRUE),COUNTIF(metadata!B:B, metadata!B769) = 1,NOT(ISERROR(SUMPRODUCT(SEARCH(MID(metadata!B769,ROW(INDIRECT("1:"&amp;LEN(metadata!B769))), 1),"0123456789abcdefghijklmnopqrstuvwxyzABCDEFGHIJKLMNOPQRSTUVWXYZ.")))))</f>
        <v>0</v>
      </c>
      <c r="AN769" t="b">
        <f ca="1">OR(AND(IF(metadata!C769="",FALSE,TRUE),OR(EXACT(metadata!C769,"missing: not collected"),EXACT(metadata!C769,"missing: not provided"),EXACT(metadata!C769,"missing: restricted access"))),AND(IF(metadata!C769="",FALSE,TRUE),AND(AND(IFERROR(INT(LEFT(metadata!C769,4))&gt;1900,FALSE),IFERROR(INT(LEFT(metadata!C769,4))&lt;=YEAR(NOW()),FALSE)), OR(MID(metadata!C769,5,1)="", AND(AND(MID(metadata!C769,5,1)="-",IFERROR(INT(MID(metadata!C769,6,1))&gt;=0,FALSE),IFERROR(INT(MID(metadata!C769,6,1))&lt;=1,FALSE),NOT(MID(metadata!C769,7,1)=""),IFERROR(INT(MID(metadata!C769,6,2))&gt;=1,FALSE),IFERROR(INT(MID(metadata!C769,6,2))&lt;=12,FALSE)), OR(MID(metadata!C769,8,1)="", AND(AND(MID(metadata!C769,8,1)="-",IFERROR(INT(MID(metadata!C769,9,1))&gt;=0,FALSE),IFERROR(INT(MID(metadata!C769,9,1))&lt;=3,FALSE),NOT(MID(metadata!C769,10,1)=""),IFERROR(INT(MID(metadata!C769,9,2))&gt;=1,FALSE),IFERROR(INT(MID(metadata!C769,9,2))&lt;=31,FALSE)), OR(MID(metadata!C769,11,1)="", AND(AND(MID(metadata!C769,11,1)=" ",IFERROR(INT(MID(metadata!C769,12,1))&gt;=0,FALSE),IFERROR(INT(MID(metadata!C769,12,1))&lt;=2,FALSE),NOT(MID(metadata!C769,13,1)=""),IFERROR(INT(MID(metadata!C769,12,2))&gt;=0,FALSE),IFERROR(INT(MID(metadata!C769,12,2))&lt;=23,FALSE)), OR(MID(metadata!C769,14,1)="", AND(AND(MID(metadata!C769,14,1)=":",IFERROR(INT(MID(metadata!C769,15,1))&gt;=0,FALSE),IFERROR(INT(MID(metadata!C769,15,1))&lt;=5,FALSE),NOT(MID(metadata!C769,16,1)=""),IFERROR(INT(MID(metadata!C769,15,2))&gt;=0,FALSE),IFERROR(INT(MID(metadata!C769,15,2))&lt;=59,FALSE)), OR(MID(metadata!C769,17,1)="", AND(AND(MID(metadata!C769,17,1)=":",IFERROR(INT(MID(metadata!C769,18,1))&gt;=0,FALSE),IFERROR(INT(MID(metadata!C769,18,1))&lt;=5,FALSE),NOT(MID(metadata!C769,19,1)=""),IFERROR(INT(MID(metadata!C769,18,2))&gt;=0,FALSE),IFERROR(INT(MID(metadata!C769,18,2))&lt;=59,FALSE)), LEN(metadata!C769)&lt;=19)))))))))))))</f>
        <v>0</v>
      </c>
      <c r="AO769" t="b">
        <f>AND(IF(metadata!D769="",FALSE,TRUE),EXACT(metadata!D769,"Not applicable"))</f>
        <v>0</v>
      </c>
      <c r="AP769" t="b">
        <f>IF(metadata!E769="",FALSE,TRUE)</f>
        <v>0</v>
      </c>
      <c r="AQ769" t="b">
        <f>OR(AND(IF(metadata!F769="",FALSE,TRUE),OR(EXACT(metadata!F769,"missing: not collected"),EXACT(metadata!F769,"missing: not provided"))),AND(IF(metadata!F769="",FALSE,TRUE),OR(EXACT(metadata!F769,"TRUE"),EXACT(metadata!F769,"FALSE"))))</f>
        <v>0</v>
      </c>
      <c r="AR769" t="b">
        <f>OR(AND(IF(metadata!G769="",FALSE,TRUE),OR(EXACT(metadata!G769,"missing: not collected"),EXACT(metadata!G769,"missing: not provided"),EXACT(metadata!G769,"missing: restricted access"))),AND(IF(metadata!G769="",FALSE,ISNUMBER(VALUE(metadata!G769))),metadata!G769&gt;=-413))</f>
        <v>0</v>
      </c>
      <c r="AS769" t="b">
        <f>AND(IF(metadata!H769="",FALSE,TRUE),EXACT(metadata!H769,"meters"))</f>
        <v>0</v>
      </c>
      <c r="AT769" t="b">
        <f>AND(IF(metadata!I769="",FALSE,TRUE),OR(EXACT(metadata!I769,"Host-associated"),EXACT(metadata!I769,"Free-living")))</f>
        <v>0</v>
      </c>
      <c r="AU769" t="b">
        <f>AND(IF(metadata!J769="",FALSE,TRUE),OR(EXACT(metadata!J769,"Animal"),EXACT(metadata!J769,"Fungus"),EXACT(metadata!J769,"Plant"),EXACT(metadata!J769,"Saline"),EXACT(metadata!J769,"Non-saline")))</f>
        <v>0</v>
      </c>
      <c r="AV769" t="b">
        <f>AND(IF(metadata!K769="",FALSE,TRUE),OR(EXACT(metadata!K769,"Plant secretion"),EXACT(metadata!K769,"Plant rhizosphere"),EXACT(metadata!K769,"Plant surface"),EXACT(metadata!K769,"Plant corpus"),EXACT(metadata!K769,"Fungus surface"),EXACT(metadata!K769,"Fungus corpus"),EXACT(metadata!K769,"Animal surface"),EXACT(metadata!K769,"Animal proximal gut"),EXACT(metadata!K769,"Animal corpus"),EXACT(metadata!K769,"Animal distal gut"),EXACT(metadata!K769,"Animal secretion"),EXACT(metadata!K769,"Sub-surface (non-saline)"),EXACT(metadata!K769,"Surface (non-saline)"),EXACT(metadata!K769,"Water (non-saline)"),EXACT(metadata!K769,"Soil (non-saline)"),EXACT(metadata!K769,"Aerosol (non-saline)"),EXACT(metadata!K769,"Sediment (non-saline)"),EXACT(metadata!K769,"Surface (saline)"),EXACT(metadata!K769,"Water (saline)"),EXACT(metadata!K769,"Hypersaline (saline)"),EXACT(metadata!K769,"Aerosol (saline)"),EXACT(metadata!K769,"Sediment (saline)")))</f>
        <v>0</v>
      </c>
      <c r="AW769" t="b">
        <f>IF(metadata!L769="",FALSE,TRUE)</f>
        <v>0</v>
      </c>
      <c r="AX769" t="b">
        <f>IF(metadata!M769="",FALSE,TRUE)</f>
        <v>0</v>
      </c>
      <c r="AY769" t="b">
        <f>IF(metadata!N769="",FALSE,TRUE)</f>
        <v>0</v>
      </c>
      <c r="AZ769" t="b">
        <f>OR(AND(IF(metadata!O769="",FALSE,TRUE),OR(EXACT(metadata!O769,"missing: not collected"),EXACT(metadata!O769,"missing: not provided"),EXACT(metadata!O769,"missing: restricted access"))),AND(IF(metadata!O769="",FALSE,TRUE),OR(EXACT(metadata!O769,"air"),EXACT(metadata!O769,"built environment"),EXACT(metadata!O769,"host-associated"),EXACT(metadata!O769,"human-associated"),EXACT(metadata!O769,"human-skin"),EXACT(metadata!O769,"human-oral"),EXACT(metadata!O769,"human-gut"),EXACT(metadata!O769,"human-vaginal"),EXACT(metadata!O769,"microbial mat/biofilm"),EXACT(metadata!O769,"misc environment"),EXACT(metadata!O769,"plant-associated"),EXACT(metadata!O769,"sediment"),EXACT(metadata!O769,"soil"),EXACT(metadata!O769,"wastewater/sludge"),EXACT(metadata!O769,"water"))))</f>
        <v>0</v>
      </c>
      <c r="BA769" t="b">
        <f>IF(metadata!P769="",FALSE,TRUE)</f>
        <v>0</v>
      </c>
      <c r="BB769" t="b">
        <f>IF(metadata!Q769="",FALSE,TRUE)</f>
        <v>0</v>
      </c>
      <c r="BC769" t="b">
        <f>OR(AND(IF(metadata!R769="",FALSE,TRUE),OR(EXACT(metadata!R769,"missing: not collected"),EXACT(metadata!R769,"missing: not provided"),EXACT(metadata!R769,"missing: restricted access"))),AND(IF(metadata!R769="",FALSE,ISNUMBER(VALUE(metadata!R769))),metadata!R769&gt;=-90,metadata!R769&lt;=90))</f>
        <v>0</v>
      </c>
      <c r="BD769" t="b">
        <f>AND(IF(metadata!S769="",FALSE,TRUE),EXACT(metadata!S769,"Decimal degrees"))</f>
        <v>0</v>
      </c>
      <c r="BE769" t="b">
        <f>OR(AND(IF(metadata!T769="",FALSE,TRUE),OR(EXACT(metadata!T769,"missing: not collected"),EXACT(metadata!T769,"missing: not provided"),EXACT(metadata!T769,"missing: restricted access"))),AND(IF(metadata!T769="",FALSE,ISNUMBER(VALUE(metadata!T769))),metadata!T769&gt;=-180,metadata!T769&lt;=180))</f>
        <v>0</v>
      </c>
      <c r="BF769" t="b">
        <f>AND(IF(metadata!U769="",FALSE,TRUE),EXACT(metadata!U769,"Decimal degrees"))</f>
        <v>0</v>
      </c>
      <c r="BG769" t="b">
        <f>IF(metadata!V769="",FALSE,TRUE)</f>
        <v>0</v>
      </c>
      <c r="BH769" t="b">
        <f>OR(AND(IF(metadata!W769="",FALSE,TRUE),OR(EXACT(metadata!W769,"missing: not collected"),EXACT(metadata!W769,"missing: not provided"),EXACT(metadata!W769,"missing: restricted access"))),AND(IF(metadata!W769="",FALSE,TRUE),OR(EXACT(metadata!W769,"TRUE"),EXACT(metadata!W769,"FALSE"))))</f>
        <v>0</v>
      </c>
      <c r="BI769" t="b">
        <f>AND(IF(metadata!X769="",FALSE,TRUE),EXACT(metadata!X769,"other"))</f>
        <v>0</v>
      </c>
      <c r="BJ769" t="b">
        <f>IF(metadata!Y769="",FALSE,TRUE)</f>
        <v>0</v>
      </c>
      <c r="BK769" t="b">
        <f>OR(AND(IF(metadata!Z769="",FALSE,TRUE),OR(EXACT(metadata!Z769,"missing: not collected"),EXACT(metadata!Z769,"missing: not provided"))),AND(IF(metadata!Z769="",FALSE,IF(ISERROR(INT(metadata!Z769)),FALSE,INT(metadata!Z769)=metadata!Z769)),metadata!Z769&gt;0))</f>
        <v>0</v>
      </c>
      <c r="BL769" t="b">
        <f>AND(IF(metadata!AA769="",FALSE,TRUE),EXACT(metadata!AA769,"Not applicable"))</f>
        <v>0</v>
      </c>
      <c r="BM769" t="b">
        <f>IF(metadata!AB769="",FALSE,TRUE)</f>
        <v>0</v>
      </c>
    </row>
    <row r="770" spans="1:65" x14ac:dyDescent="0.2">
      <c r="A770" s="5" t="str">
        <f ca="1">IF(B770=" "," ",HYPERLINK(CONCATENATE("#metadata!",ADDRESS(INDEX($AH$2:$AH$1001,MATCH(ROWS($AF$2:AF770),$AF$2:$AF$1001,0),0),1)),INDEX($AK$2:$AK$1001,MATCH(ROWS($AF$2:AF770),$AF$2:$AF$1001,0),0)))</f>
        <v xml:space="preserve"> </v>
      </c>
      <c r="B770" s="4" t="str">
        <f ca="1">IF(OR(INDEX($AG$2:$AG$1001,MATCH(ROWS($AF$2:AF770),$AF$2:$AF$1001,0),1)&gt;=100000,INDEX($AM$1005:$BM$1005,1,MATCH(COLUMNS($AM$1006:AM1006),$AM$1006:$BM$1006,0))&gt;=100000), " ",IF(INDEX($AM$2:$BM$1001,MATCH(ROWS($AF$2:AF770),$AF$2:$AF$1001,0),MATCH(COLUMNS($AM$1006:AM1006),$AM$1006:$BM$1006,0)), HYPERLINK("#",""), HYPERLINK(CONCATENATE("#metadata!", ADDRESS(INDEX($AH$2:$AH$1001,MATCH(ROWS($AF$2:AF770),$AF$2:$AF$1001,0),0), INDEX($AM$1004:$BM$1004,1,MATCH(COLUMNS($AM$1006:AM1006),$AM$1006:$BM$1006,0)))),"Fix")))</f>
        <v xml:space="preserve"> </v>
      </c>
      <c r="C770" s="4" t="str">
        <f ca="1">IF(OR(INDEX($AG$2:$AG$1001,MATCH(ROWS($AF$2:AF770),$AF$2:$AF$1001,0),1)&gt;=100000,INDEX($AM$1005:$BM$1005,1,MATCH(COLUMNS($AM$1006:AN1006),$AM$1006:$BM$1006,0))&gt;=100000), " ",IF(INDEX($AM$2:$BM$1001,MATCH(ROWS($AF$2:AF770),$AF$2:$AF$1001,0),MATCH(COLUMNS($AM$1006:AN1006),$AM$1006:$BM$1006,0)), HYPERLINK("#",""), HYPERLINK(CONCATENATE("#metadata!", ADDRESS(INDEX($AH$2:$AH$1001,MATCH(ROWS($AF$2:AF770),$AF$2:$AF$1001,0),0), INDEX($AM$1004:$BM$1004,1,MATCH(COLUMNS($AM$1006:AN1006),$AM$1006:$BM$1006,0)))),"Fix")))</f>
        <v xml:space="preserve"> </v>
      </c>
      <c r="D770" s="4" t="str">
        <f ca="1">IF(OR(INDEX($AG$2:$AG$1001,MATCH(ROWS($AF$2:AF770),$AF$2:$AF$1001,0),1)&gt;=100000,INDEX($AM$1005:$BM$1005,1,MATCH(COLUMNS($AM$1006:AO1006),$AM$1006:$BM$1006,0))&gt;=100000), " ",IF(INDEX($AM$2:$BM$1001,MATCH(ROWS($AF$2:AF770),$AF$2:$AF$1001,0),MATCH(COLUMNS($AM$1006:AO1006),$AM$1006:$BM$1006,0)), HYPERLINK("#",""), HYPERLINK(CONCATENATE("#metadata!", ADDRESS(INDEX($AH$2:$AH$1001,MATCH(ROWS($AF$2:AF770),$AF$2:$AF$1001,0),0), INDEX($AM$1004:$BM$1004,1,MATCH(COLUMNS($AM$1006:AO1006),$AM$1006:$BM$1006,0)))),"Fix")))</f>
        <v xml:space="preserve"> </v>
      </c>
      <c r="E770" s="4" t="str">
        <f ca="1">IF(OR(INDEX($AG$2:$AG$1001,MATCH(ROWS($AF$2:AF770),$AF$2:$AF$1001,0),1)&gt;=100000,INDEX($AM$1005:$BM$1005,1,MATCH(COLUMNS($AM$1006:AP1006),$AM$1006:$BM$1006,0))&gt;=100000), " ",IF(INDEX($AM$2:$BM$1001,MATCH(ROWS($AF$2:AF770),$AF$2:$AF$1001,0),MATCH(COLUMNS($AM$1006:AP1006),$AM$1006:$BM$1006,0)), HYPERLINK("#",""), HYPERLINK(CONCATENATE("#metadata!", ADDRESS(INDEX($AH$2:$AH$1001,MATCH(ROWS($AF$2:AF770),$AF$2:$AF$1001,0),0), INDEX($AM$1004:$BM$1004,1,MATCH(COLUMNS($AM$1006:AP1006),$AM$1006:$BM$1006,0)))),"Fix")))</f>
        <v xml:space="preserve"> </v>
      </c>
      <c r="F770" s="4" t="str">
        <f ca="1">IF(OR(INDEX($AG$2:$AG$1001,MATCH(ROWS($AF$2:AF770),$AF$2:$AF$1001,0),1)&gt;=100000,INDEX($AM$1005:$BM$1005,1,MATCH(COLUMNS($AM$1006:AQ1006),$AM$1006:$BM$1006,0))&gt;=100000), " ",IF(INDEX($AM$2:$BM$1001,MATCH(ROWS($AF$2:AF770),$AF$2:$AF$1001,0),MATCH(COLUMNS($AM$1006:AQ1006),$AM$1006:$BM$1006,0)), HYPERLINK("#",""), HYPERLINK(CONCATENATE("#metadata!", ADDRESS(INDEX($AH$2:$AH$1001,MATCH(ROWS($AF$2:AF770),$AF$2:$AF$1001,0),0), INDEX($AM$1004:$BM$1004,1,MATCH(COLUMNS($AM$1006:AQ1006),$AM$1006:$BM$1006,0)))),"Fix")))</f>
        <v xml:space="preserve"> </v>
      </c>
      <c r="G770" s="4" t="str">
        <f ca="1">IF(OR(INDEX($AG$2:$AG$1001,MATCH(ROWS($AF$2:AF770),$AF$2:$AF$1001,0),1)&gt;=100000,INDEX($AM$1005:$BM$1005,1,MATCH(COLUMNS($AM$1006:AR1006),$AM$1006:$BM$1006,0))&gt;=100000), " ",IF(INDEX($AM$2:$BM$1001,MATCH(ROWS($AF$2:AF770),$AF$2:$AF$1001,0),MATCH(COLUMNS($AM$1006:AR1006),$AM$1006:$BM$1006,0)), HYPERLINK("#",""), HYPERLINK(CONCATENATE("#metadata!", ADDRESS(INDEX($AH$2:$AH$1001,MATCH(ROWS($AF$2:AF770),$AF$2:$AF$1001,0),0), INDEX($AM$1004:$BM$1004,1,MATCH(COLUMNS($AM$1006:AR1006),$AM$1006:$BM$1006,0)))),"Fix")))</f>
        <v xml:space="preserve"> </v>
      </c>
      <c r="H770" s="4" t="str">
        <f ca="1">IF(OR(INDEX($AG$2:$AG$1001,MATCH(ROWS($AF$2:AF770),$AF$2:$AF$1001,0),1)&gt;=100000,INDEX($AM$1005:$BM$1005,1,MATCH(COLUMNS($AM$1006:AS1006),$AM$1006:$BM$1006,0))&gt;=100000), " ",IF(INDEX($AM$2:$BM$1001,MATCH(ROWS($AF$2:AF770),$AF$2:$AF$1001,0),MATCH(COLUMNS($AM$1006:AS1006),$AM$1006:$BM$1006,0)), HYPERLINK("#",""), HYPERLINK(CONCATENATE("#metadata!", ADDRESS(INDEX($AH$2:$AH$1001,MATCH(ROWS($AF$2:AF770),$AF$2:$AF$1001,0),0), INDEX($AM$1004:$BM$1004,1,MATCH(COLUMNS($AM$1006:AS1006),$AM$1006:$BM$1006,0)))),"Fix")))</f>
        <v xml:space="preserve"> </v>
      </c>
      <c r="I770" s="4" t="str">
        <f ca="1">IF(OR(INDEX($AG$2:$AG$1001,MATCH(ROWS($AF$2:AF770),$AF$2:$AF$1001,0),1)&gt;=100000,INDEX($AM$1005:$BM$1005,1,MATCH(COLUMNS($AM$1006:AT1006),$AM$1006:$BM$1006,0))&gt;=100000), " ",IF(INDEX($AM$2:$BM$1001,MATCH(ROWS($AF$2:AF770),$AF$2:$AF$1001,0),MATCH(COLUMNS($AM$1006:AT1006),$AM$1006:$BM$1006,0)), HYPERLINK("#",""), HYPERLINK(CONCATENATE("#metadata!", ADDRESS(INDEX($AH$2:$AH$1001,MATCH(ROWS($AF$2:AF770),$AF$2:$AF$1001,0),0), INDEX($AM$1004:$BM$1004,1,MATCH(COLUMNS($AM$1006:AT1006),$AM$1006:$BM$1006,0)))),"Fix")))</f>
        <v xml:space="preserve"> </v>
      </c>
      <c r="J770" s="4" t="str">
        <f ca="1">IF(OR(INDEX($AG$2:$AG$1001,MATCH(ROWS($AF$2:AF770),$AF$2:$AF$1001,0),1)&gt;=100000,INDEX($AM$1005:$BM$1005,1,MATCH(COLUMNS($AM$1006:AU1006),$AM$1006:$BM$1006,0))&gt;=100000), " ",IF(INDEX($AM$2:$BM$1001,MATCH(ROWS($AF$2:AF770),$AF$2:$AF$1001,0),MATCH(COLUMNS($AM$1006:AU1006),$AM$1006:$BM$1006,0)), HYPERLINK("#",""), HYPERLINK(CONCATENATE("#metadata!", ADDRESS(INDEX($AH$2:$AH$1001,MATCH(ROWS($AF$2:AF770),$AF$2:$AF$1001,0),0), INDEX($AM$1004:$BM$1004,1,MATCH(COLUMNS($AM$1006:AU1006),$AM$1006:$BM$1006,0)))),"Fix")))</f>
        <v xml:space="preserve"> </v>
      </c>
      <c r="K770" s="4" t="str">
        <f ca="1">IF(OR(INDEX($AG$2:$AG$1001,MATCH(ROWS($AF$2:AF770),$AF$2:$AF$1001,0),1)&gt;=100000,INDEX($AM$1005:$BM$1005,1,MATCH(COLUMNS($AM$1006:AV1006),$AM$1006:$BM$1006,0))&gt;=100000), " ",IF(INDEX($AM$2:$BM$1001,MATCH(ROWS($AF$2:AF770),$AF$2:$AF$1001,0),MATCH(COLUMNS($AM$1006:AV1006),$AM$1006:$BM$1006,0)), HYPERLINK("#",""), HYPERLINK(CONCATENATE("#metadata!", ADDRESS(INDEX($AH$2:$AH$1001,MATCH(ROWS($AF$2:AF770),$AF$2:$AF$1001,0),0), INDEX($AM$1004:$BM$1004,1,MATCH(COLUMNS($AM$1006:AV1006),$AM$1006:$BM$1006,0)))),"Fix")))</f>
        <v xml:space="preserve"> </v>
      </c>
      <c r="L770" s="4" t="str">
        <f ca="1">IF(OR(INDEX($AG$2:$AG$1001,MATCH(ROWS($AF$2:AF770),$AF$2:$AF$1001,0),1)&gt;=100000,INDEX($AM$1005:$BM$1005,1,MATCH(COLUMNS($AM$1006:AW1006),$AM$1006:$BM$1006,0))&gt;=100000), " ",IF(INDEX($AM$2:$BM$1001,MATCH(ROWS($AF$2:AF770),$AF$2:$AF$1001,0),MATCH(COLUMNS($AM$1006:AW1006),$AM$1006:$BM$1006,0)), HYPERLINK("#",""), HYPERLINK(CONCATENATE("#metadata!", ADDRESS(INDEX($AH$2:$AH$1001,MATCH(ROWS($AF$2:AF770),$AF$2:$AF$1001,0),0), INDEX($AM$1004:$BM$1004,1,MATCH(COLUMNS($AM$1006:AW1006),$AM$1006:$BM$1006,0)))),"Fix")))</f>
        <v xml:space="preserve"> </v>
      </c>
      <c r="M770" s="4" t="str">
        <f ca="1">IF(OR(INDEX($AG$2:$AG$1001,MATCH(ROWS($AF$2:AF770),$AF$2:$AF$1001,0),1)&gt;=100000,INDEX($AM$1005:$BM$1005,1,MATCH(COLUMNS($AM$1006:AX1006),$AM$1006:$BM$1006,0))&gt;=100000), " ",IF(INDEX($AM$2:$BM$1001,MATCH(ROWS($AF$2:AF770),$AF$2:$AF$1001,0),MATCH(COLUMNS($AM$1006:AX1006),$AM$1006:$BM$1006,0)), HYPERLINK("#",""), HYPERLINK(CONCATENATE("#metadata!", ADDRESS(INDEX($AH$2:$AH$1001,MATCH(ROWS($AF$2:AF770),$AF$2:$AF$1001,0),0), INDEX($AM$1004:$BM$1004,1,MATCH(COLUMNS($AM$1006:AX1006),$AM$1006:$BM$1006,0)))),"Fix")))</f>
        <v xml:space="preserve"> </v>
      </c>
      <c r="N770" s="4" t="str">
        <f ca="1">IF(OR(INDEX($AG$2:$AG$1001,MATCH(ROWS($AF$2:AF770),$AF$2:$AF$1001,0),1)&gt;=100000,INDEX($AM$1005:$BM$1005,1,MATCH(COLUMNS($AM$1006:AY1006),$AM$1006:$BM$1006,0))&gt;=100000), " ",IF(INDEX($AM$2:$BM$1001,MATCH(ROWS($AF$2:AF770),$AF$2:$AF$1001,0),MATCH(COLUMNS($AM$1006:AY1006),$AM$1006:$BM$1006,0)), HYPERLINK("#",""), HYPERLINK(CONCATENATE("#metadata!", ADDRESS(INDEX($AH$2:$AH$1001,MATCH(ROWS($AF$2:AF770),$AF$2:$AF$1001,0),0), INDEX($AM$1004:$BM$1004,1,MATCH(COLUMNS($AM$1006:AY1006),$AM$1006:$BM$1006,0)))),"Fix")))</f>
        <v xml:space="preserve"> </v>
      </c>
      <c r="O770" s="4" t="str">
        <f ca="1">IF(OR(INDEX($AG$2:$AG$1001,MATCH(ROWS($AF$2:AF770),$AF$2:$AF$1001,0),1)&gt;=100000,INDEX($AM$1005:$BM$1005,1,MATCH(COLUMNS($AM$1006:AZ1006),$AM$1006:$BM$1006,0))&gt;=100000), " ",IF(INDEX($AM$2:$BM$1001,MATCH(ROWS($AF$2:AF770),$AF$2:$AF$1001,0),MATCH(COLUMNS($AM$1006:AZ1006),$AM$1006:$BM$1006,0)), HYPERLINK("#",""), HYPERLINK(CONCATENATE("#metadata!", ADDRESS(INDEX($AH$2:$AH$1001,MATCH(ROWS($AF$2:AF770),$AF$2:$AF$1001,0),0), INDEX($AM$1004:$BM$1004,1,MATCH(COLUMNS($AM$1006:AZ1006),$AM$1006:$BM$1006,0)))),"Fix")))</f>
        <v xml:space="preserve"> </v>
      </c>
      <c r="P770" s="4" t="str">
        <f ca="1">IF(OR(INDEX($AG$2:$AG$1001,MATCH(ROWS($AF$2:AF770),$AF$2:$AF$1001,0),1)&gt;=100000,INDEX($AM$1005:$BM$1005,1,MATCH(COLUMNS($AM$1006:BA1006),$AM$1006:$BM$1006,0))&gt;=100000), " ",IF(INDEX($AM$2:$BM$1001,MATCH(ROWS($AF$2:AF770),$AF$2:$AF$1001,0),MATCH(COLUMNS($AM$1006:BA1006),$AM$1006:$BM$1006,0)), HYPERLINK("#",""), HYPERLINK(CONCATENATE("#metadata!", ADDRESS(INDEX($AH$2:$AH$1001,MATCH(ROWS($AF$2:AF770),$AF$2:$AF$1001,0),0), INDEX($AM$1004:$BM$1004,1,MATCH(COLUMNS($AM$1006:BA1006),$AM$1006:$BM$1006,0)))),"Fix")))</f>
        <v xml:space="preserve"> </v>
      </c>
      <c r="Q770" s="4" t="str">
        <f ca="1">IF(OR(INDEX($AG$2:$AG$1001,MATCH(ROWS($AF$2:AF770),$AF$2:$AF$1001,0),1)&gt;=100000,INDEX($AM$1005:$BM$1005,1,MATCH(COLUMNS($AM$1006:BB1006),$AM$1006:$BM$1006,0))&gt;=100000), " ",IF(INDEX($AM$2:$BM$1001,MATCH(ROWS($AF$2:AF770),$AF$2:$AF$1001,0),MATCH(COLUMNS($AM$1006:BB1006),$AM$1006:$BM$1006,0)), HYPERLINK("#",""), HYPERLINK(CONCATENATE("#metadata!", ADDRESS(INDEX($AH$2:$AH$1001,MATCH(ROWS($AF$2:AF770),$AF$2:$AF$1001,0),0), INDEX($AM$1004:$BM$1004,1,MATCH(COLUMNS($AM$1006:BB1006),$AM$1006:$BM$1006,0)))),"Fix")))</f>
        <v xml:space="preserve"> </v>
      </c>
      <c r="R770" s="4" t="str">
        <f ca="1">IF(OR(INDEX($AG$2:$AG$1001,MATCH(ROWS($AF$2:AF770),$AF$2:$AF$1001,0),1)&gt;=100000,INDEX($AM$1005:$BM$1005,1,MATCH(COLUMNS($AM$1006:BC1006),$AM$1006:$BM$1006,0))&gt;=100000), " ",IF(INDEX($AM$2:$BM$1001,MATCH(ROWS($AF$2:AF770),$AF$2:$AF$1001,0),MATCH(COLUMNS($AM$1006:BC1006),$AM$1006:$BM$1006,0)), HYPERLINK("#",""), HYPERLINK(CONCATENATE("#metadata!", ADDRESS(INDEX($AH$2:$AH$1001,MATCH(ROWS($AF$2:AF770),$AF$2:$AF$1001,0),0), INDEX($AM$1004:$BM$1004,1,MATCH(COLUMNS($AM$1006:BC1006),$AM$1006:$BM$1006,0)))),"Fix")))</f>
        <v xml:space="preserve"> </v>
      </c>
      <c r="S770" s="4" t="str">
        <f ca="1">IF(OR(INDEX($AG$2:$AG$1001,MATCH(ROWS($AF$2:AF770),$AF$2:$AF$1001,0),1)&gt;=100000,INDEX($AM$1005:$BM$1005,1,MATCH(COLUMNS($AM$1006:BD1006),$AM$1006:$BM$1006,0))&gt;=100000), " ",IF(INDEX($AM$2:$BM$1001,MATCH(ROWS($AF$2:AF770),$AF$2:$AF$1001,0),MATCH(COLUMNS($AM$1006:BD1006),$AM$1006:$BM$1006,0)), HYPERLINK("#",""), HYPERLINK(CONCATENATE("#metadata!", ADDRESS(INDEX($AH$2:$AH$1001,MATCH(ROWS($AF$2:AF770),$AF$2:$AF$1001,0),0), INDEX($AM$1004:$BM$1004,1,MATCH(COLUMNS($AM$1006:BD1006),$AM$1006:$BM$1006,0)))),"Fix")))</f>
        <v xml:space="preserve"> </v>
      </c>
      <c r="T770" s="4" t="str">
        <f ca="1">IF(OR(INDEX($AG$2:$AG$1001,MATCH(ROWS($AF$2:AF770),$AF$2:$AF$1001,0),1)&gt;=100000,INDEX($AM$1005:$BM$1005,1,MATCH(COLUMNS($AM$1006:BE1006),$AM$1006:$BM$1006,0))&gt;=100000), " ",IF(INDEX($AM$2:$BM$1001,MATCH(ROWS($AF$2:AF770),$AF$2:$AF$1001,0),MATCH(COLUMNS($AM$1006:BE1006),$AM$1006:$BM$1006,0)), HYPERLINK("#",""), HYPERLINK(CONCATENATE("#metadata!", ADDRESS(INDEX($AH$2:$AH$1001,MATCH(ROWS($AF$2:AF770),$AF$2:$AF$1001,0),0), INDEX($AM$1004:$BM$1004,1,MATCH(COLUMNS($AM$1006:BE1006),$AM$1006:$BM$1006,0)))),"Fix")))</f>
        <v xml:space="preserve"> </v>
      </c>
      <c r="U770" s="4" t="str">
        <f ca="1">IF(OR(INDEX($AG$2:$AG$1001,MATCH(ROWS($AF$2:AF770),$AF$2:$AF$1001,0),1)&gt;=100000,INDEX($AM$1005:$BM$1005,1,MATCH(COLUMNS($AM$1006:BF1006),$AM$1006:$BM$1006,0))&gt;=100000), " ",IF(INDEX($AM$2:$BM$1001,MATCH(ROWS($AF$2:AF770),$AF$2:$AF$1001,0),MATCH(COLUMNS($AM$1006:BF1006),$AM$1006:$BM$1006,0)), HYPERLINK("#",""), HYPERLINK(CONCATENATE("#metadata!", ADDRESS(INDEX($AH$2:$AH$1001,MATCH(ROWS($AF$2:AF770),$AF$2:$AF$1001,0),0), INDEX($AM$1004:$BM$1004,1,MATCH(COLUMNS($AM$1006:BF1006),$AM$1006:$BM$1006,0)))),"Fix")))</f>
        <v xml:space="preserve"> </v>
      </c>
      <c r="V770" s="4" t="str">
        <f ca="1">IF(OR(INDEX($AG$2:$AG$1001,MATCH(ROWS($AF$2:AF770),$AF$2:$AF$1001,0),1)&gt;=100000,INDEX($AM$1005:$BM$1005,1,MATCH(COLUMNS($AM$1006:BG1006),$AM$1006:$BM$1006,0))&gt;=100000), " ",IF(INDEX($AM$2:$BM$1001,MATCH(ROWS($AF$2:AF770),$AF$2:$AF$1001,0),MATCH(COLUMNS($AM$1006:BG1006),$AM$1006:$BM$1006,0)), HYPERLINK("#",""), HYPERLINK(CONCATENATE("#metadata!", ADDRESS(INDEX($AH$2:$AH$1001,MATCH(ROWS($AF$2:AF770),$AF$2:$AF$1001,0),0), INDEX($AM$1004:$BM$1004,1,MATCH(COLUMNS($AM$1006:BG1006),$AM$1006:$BM$1006,0)))),"Fix")))</f>
        <v xml:space="preserve"> </v>
      </c>
      <c r="W770" s="4" t="str">
        <f ca="1">IF(OR(INDEX($AG$2:$AG$1001,MATCH(ROWS($AF$2:AF770),$AF$2:$AF$1001,0),1)&gt;=100000,INDEX($AM$1005:$BM$1005,1,MATCH(COLUMNS($AM$1006:BH1006),$AM$1006:$BM$1006,0))&gt;=100000), " ",IF(INDEX($AM$2:$BM$1001,MATCH(ROWS($AF$2:AF770),$AF$2:$AF$1001,0),MATCH(COLUMNS($AM$1006:BH1006),$AM$1006:$BM$1006,0)), HYPERLINK("#",""), HYPERLINK(CONCATENATE("#metadata!", ADDRESS(INDEX($AH$2:$AH$1001,MATCH(ROWS($AF$2:AF770),$AF$2:$AF$1001,0),0), INDEX($AM$1004:$BM$1004,1,MATCH(COLUMNS($AM$1006:BH1006),$AM$1006:$BM$1006,0)))),"Fix")))</f>
        <v xml:space="preserve"> </v>
      </c>
      <c r="X770" s="4" t="str">
        <f ca="1">IF(OR(INDEX($AG$2:$AG$1001,MATCH(ROWS($AF$2:AF770),$AF$2:$AF$1001,0),1)&gt;=100000,INDEX($AM$1005:$BM$1005,1,MATCH(COLUMNS($AM$1006:BI1006),$AM$1006:$BM$1006,0))&gt;=100000), " ",IF(INDEX($AM$2:$BM$1001,MATCH(ROWS($AF$2:AF770),$AF$2:$AF$1001,0),MATCH(COLUMNS($AM$1006:BI1006),$AM$1006:$BM$1006,0)), HYPERLINK("#",""), HYPERLINK(CONCATENATE("#metadata!", ADDRESS(INDEX($AH$2:$AH$1001,MATCH(ROWS($AF$2:AF770),$AF$2:$AF$1001,0),0), INDEX($AM$1004:$BM$1004,1,MATCH(COLUMNS($AM$1006:BI1006),$AM$1006:$BM$1006,0)))),"Fix")))</f>
        <v xml:space="preserve"> </v>
      </c>
      <c r="Y770" s="4" t="str">
        <f ca="1">IF(OR(INDEX($AG$2:$AG$1001,MATCH(ROWS($AF$2:AF770),$AF$2:$AF$1001,0),1)&gt;=100000,INDEX($AM$1005:$BM$1005,1,MATCH(COLUMNS($AM$1006:BJ1006),$AM$1006:$BM$1006,0))&gt;=100000), " ",IF(INDEX($AM$2:$BM$1001,MATCH(ROWS($AF$2:AF770),$AF$2:$AF$1001,0),MATCH(COLUMNS($AM$1006:BJ1006),$AM$1006:$BM$1006,0)), HYPERLINK("#",""), HYPERLINK(CONCATENATE("#metadata!", ADDRESS(INDEX($AH$2:$AH$1001,MATCH(ROWS($AF$2:AF770),$AF$2:$AF$1001,0),0), INDEX($AM$1004:$BM$1004,1,MATCH(COLUMNS($AM$1006:BJ1006),$AM$1006:$BM$1006,0)))),"Fix")))</f>
        <v xml:space="preserve"> </v>
      </c>
      <c r="Z770" s="4" t="str">
        <f ca="1">IF(OR(INDEX($AG$2:$AG$1001,MATCH(ROWS($AF$2:AF770),$AF$2:$AF$1001,0),1)&gt;=100000,INDEX($AM$1005:$BM$1005,1,MATCH(COLUMNS($AM$1006:BK1006),$AM$1006:$BM$1006,0))&gt;=100000), " ",IF(INDEX($AM$2:$BM$1001,MATCH(ROWS($AF$2:AF770),$AF$2:$AF$1001,0),MATCH(COLUMNS($AM$1006:BK1006),$AM$1006:$BM$1006,0)), HYPERLINK("#",""), HYPERLINK(CONCATENATE("#metadata!", ADDRESS(INDEX($AH$2:$AH$1001,MATCH(ROWS($AF$2:AF770),$AF$2:$AF$1001,0),0), INDEX($AM$1004:$BM$1004,1,MATCH(COLUMNS($AM$1006:BK1006),$AM$1006:$BM$1006,0)))),"Fix")))</f>
        <v xml:space="preserve"> </v>
      </c>
      <c r="AA770" s="4" t="str">
        <f ca="1">IF(OR(INDEX($AG$2:$AG$1001,MATCH(ROWS($AF$2:AF770),$AF$2:$AF$1001,0),1)&gt;=100000,INDEX($AM$1005:$BM$1005,1,MATCH(COLUMNS($AM$1006:BL1006),$AM$1006:$BM$1006,0))&gt;=100000), " ",IF(INDEX($AM$2:$BM$1001,MATCH(ROWS($AF$2:AF770),$AF$2:$AF$1001,0),MATCH(COLUMNS($AM$1006:BL1006),$AM$1006:$BM$1006,0)), HYPERLINK("#",""), HYPERLINK(CONCATENATE("#metadata!", ADDRESS(INDEX($AH$2:$AH$1001,MATCH(ROWS($AF$2:AF770),$AF$2:$AF$1001,0),0), INDEX($AM$1004:$BM$1004,1,MATCH(COLUMNS($AM$1006:BL1006),$AM$1006:$BM$1006,0)))),"Fix")))</f>
        <v xml:space="preserve"> </v>
      </c>
      <c r="AB770" s="4" t="str">
        <f ca="1">IF(OR(INDEX($AG$2:$AG$1001,MATCH(ROWS($AF$2:AF770),$AF$2:$AF$1001,0),1)&gt;=100000,INDEX($AM$1005:$BM$1005,1,MATCH(COLUMNS($AM$1006:BM1006),$AM$1006:$BM$1006,0))&gt;=100000), " ",IF(INDEX($AM$2:$BM$1001,MATCH(ROWS($AF$2:AF770),$AF$2:$AF$1001,0),MATCH(COLUMNS($AM$1006:BM1006),$AM$1006:$BM$1006,0)), HYPERLINK("#",""), HYPERLINK(CONCATENATE("#metadata!", ADDRESS(INDEX($AH$2:$AH$1001,MATCH(ROWS($AF$2:AF770),$AF$2:$AF$1001,0),0), INDEX($AM$1004:$BM$1004,1,MATCH(COLUMNS($AM$1006:BM1006),$AM$1006:$BM$1006,0)))),"Fix")))</f>
        <v xml:space="preserve"> </v>
      </c>
      <c r="AF770">
        <v>769</v>
      </c>
      <c r="AG770">
        <v>100770</v>
      </c>
      <c r="AH770">
        <v>770</v>
      </c>
      <c r="AI770" t="b">
        <f t="shared" ref="AI770:AI833" si="12">IF(AJ770,TRUE,AND(AM770:BM770))</f>
        <v>1</v>
      </c>
      <c r="AJ770" t="b">
        <f>COUNTBLANK(metadata!B770:AB770)=COLUMNS(metadata!B770:AB770)</f>
        <v>1</v>
      </c>
      <c r="AK770" t="str">
        <v/>
      </c>
      <c r="AM770" t="b">
        <f ca="1">AND(IF(metadata!B770="",FALSE,TRUE),COUNTIF(metadata!B:B, metadata!B770) = 1,NOT(ISERROR(SUMPRODUCT(SEARCH(MID(metadata!B770,ROW(INDIRECT("1:"&amp;LEN(metadata!B770))), 1),"0123456789abcdefghijklmnopqrstuvwxyzABCDEFGHIJKLMNOPQRSTUVWXYZ.")))))</f>
        <v>0</v>
      </c>
      <c r="AN770" t="b">
        <f ca="1">OR(AND(IF(metadata!C770="",FALSE,TRUE),OR(EXACT(metadata!C770,"missing: not collected"),EXACT(metadata!C770,"missing: not provided"),EXACT(metadata!C770,"missing: restricted access"))),AND(IF(metadata!C770="",FALSE,TRUE),AND(AND(IFERROR(INT(LEFT(metadata!C770,4))&gt;1900,FALSE),IFERROR(INT(LEFT(metadata!C770,4))&lt;=YEAR(NOW()),FALSE)), OR(MID(metadata!C770,5,1)="", AND(AND(MID(metadata!C770,5,1)="-",IFERROR(INT(MID(metadata!C770,6,1))&gt;=0,FALSE),IFERROR(INT(MID(metadata!C770,6,1))&lt;=1,FALSE),NOT(MID(metadata!C770,7,1)=""),IFERROR(INT(MID(metadata!C770,6,2))&gt;=1,FALSE),IFERROR(INT(MID(metadata!C770,6,2))&lt;=12,FALSE)), OR(MID(metadata!C770,8,1)="", AND(AND(MID(metadata!C770,8,1)="-",IFERROR(INT(MID(metadata!C770,9,1))&gt;=0,FALSE),IFERROR(INT(MID(metadata!C770,9,1))&lt;=3,FALSE),NOT(MID(metadata!C770,10,1)=""),IFERROR(INT(MID(metadata!C770,9,2))&gt;=1,FALSE),IFERROR(INT(MID(metadata!C770,9,2))&lt;=31,FALSE)), OR(MID(metadata!C770,11,1)="", AND(AND(MID(metadata!C770,11,1)=" ",IFERROR(INT(MID(metadata!C770,12,1))&gt;=0,FALSE),IFERROR(INT(MID(metadata!C770,12,1))&lt;=2,FALSE),NOT(MID(metadata!C770,13,1)=""),IFERROR(INT(MID(metadata!C770,12,2))&gt;=0,FALSE),IFERROR(INT(MID(metadata!C770,12,2))&lt;=23,FALSE)), OR(MID(metadata!C770,14,1)="", AND(AND(MID(metadata!C770,14,1)=":",IFERROR(INT(MID(metadata!C770,15,1))&gt;=0,FALSE),IFERROR(INT(MID(metadata!C770,15,1))&lt;=5,FALSE),NOT(MID(metadata!C770,16,1)=""),IFERROR(INT(MID(metadata!C770,15,2))&gt;=0,FALSE),IFERROR(INT(MID(metadata!C770,15,2))&lt;=59,FALSE)), OR(MID(metadata!C770,17,1)="", AND(AND(MID(metadata!C770,17,1)=":",IFERROR(INT(MID(metadata!C770,18,1))&gt;=0,FALSE),IFERROR(INT(MID(metadata!C770,18,1))&lt;=5,FALSE),NOT(MID(metadata!C770,19,1)=""),IFERROR(INT(MID(metadata!C770,18,2))&gt;=0,FALSE),IFERROR(INT(MID(metadata!C770,18,2))&lt;=59,FALSE)), LEN(metadata!C770)&lt;=19)))))))))))))</f>
        <v>0</v>
      </c>
      <c r="AO770" t="b">
        <f>AND(IF(metadata!D770="",FALSE,TRUE),EXACT(metadata!D770,"Not applicable"))</f>
        <v>0</v>
      </c>
      <c r="AP770" t="b">
        <f>IF(metadata!E770="",FALSE,TRUE)</f>
        <v>0</v>
      </c>
      <c r="AQ770" t="b">
        <f>OR(AND(IF(metadata!F770="",FALSE,TRUE),OR(EXACT(metadata!F770,"missing: not collected"),EXACT(metadata!F770,"missing: not provided"))),AND(IF(metadata!F770="",FALSE,TRUE),OR(EXACT(metadata!F770,"TRUE"),EXACT(metadata!F770,"FALSE"))))</f>
        <v>0</v>
      </c>
      <c r="AR770" t="b">
        <f>OR(AND(IF(metadata!G770="",FALSE,TRUE),OR(EXACT(metadata!G770,"missing: not collected"),EXACT(metadata!G770,"missing: not provided"),EXACT(metadata!G770,"missing: restricted access"))),AND(IF(metadata!G770="",FALSE,ISNUMBER(VALUE(metadata!G770))),metadata!G770&gt;=-413))</f>
        <v>0</v>
      </c>
      <c r="AS770" t="b">
        <f>AND(IF(metadata!H770="",FALSE,TRUE),EXACT(metadata!H770,"meters"))</f>
        <v>0</v>
      </c>
      <c r="AT770" t="b">
        <f>AND(IF(metadata!I770="",FALSE,TRUE),OR(EXACT(metadata!I770,"Host-associated"),EXACT(metadata!I770,"Free-living")))</f>
        <v>0</v>
      </c>
      <c r="AU770" t="b">
        <f>AND(IF(metadata!J770="",FALSE,TRUE),OR(EXACT(metadata!J770,"Animal"),EXACT(metadata!J770,"Fungus"),EXACT(metadata!J770,"Plant"),EXACT(metadata!J770,"Saline"),EXACT(metadata!J770,"Non-saline")))</f>
        <v>0</v>
      </c>
      <c r="AV770" t="b">
        <f>AND(IF(metadata!K770="",FALSE,TRUE),OR(EXACT(metadata!K770,"Plant secretion"),EXACT(metadata!K770,"Plant rhizosphere"),EXACT(metadata!K770,"Plant surface"),EXACT(metadata!K770,"Plant corpus"),EXACT(metadata!K770,"Fungus surface"),EXACT(metadata!K770,"Fungus corpus"),EXACT(metadata!K770,"Animal surface"),EXACT(metadata!K770,"Animal proximal gut"),EXACT(metadata!K770,"Animal corpus"),EXACT(metadata!K770,"Animal distal gut"),EXACT(metadata!K770,"Animal secretion"),EXACT(metadata!K770,"Sub-surface (non-saline)"),EXACT(metadata!K770,"Surface (non-saline)"),EXACT(metadata!K770,"Water (non-saline)"),EXACT(metadata!K770,"Soil (non-saline)"),EXACT(metadata!K770,"Aerosol (non-saline)"),EXACT(metadata!K770,"Sediment (non-saline)"),EXACT(metadata!K770,"Surface (saline)"),EXACT(metadata!K770,"Water (saline)"),EXACT(metadata!K770,"Hypersaline (saline)"),EXACT(metadata!K770,"Aerosol (saline)"),EXACT(metadata!K770,"Sediment (saline)")))</f>
        <v>0</v>
      </c>
      <c r="AW770" t="b">
        <f>IF(metadata!L770="",FALSE,TRUE)</f>
        <v>0</v>
      </c>
      <c r="AX770" t="b">
        <f>IF(metadata!M770="",FALSE,TRUE)</f>
        <v>0</v>
      </c>
      <c r="AY770" t="b">
        <f>IF(metadata!N770="",FALSE,TRUE)</f>
        <v>0</v>
      </c>
      <c r="AZ770" t="b">
        <f>OR(AND(IF(metadata!O770="",FALSE,TRUE),OR(EXACT(metadata!O770,"missing: not collected"),EXACT(metadata!O770,"missing: not provided"),EXACT(metadata!O770,"missing: restricted access"))),AND(IF(metadata!O770="",FALSE,TRUE),OR(EXACT(metadata!O770,"air"),EXACT(metadata!O770,"built environment"),EXACT(metadata!O770,"host-associated"),EXACT(metadata!O770,"human-associated"),EXACT(metadata!O770,"human-skin"),EXACT(metadata!O770,"human-oral"),EXACT(metadata!O770,"human-gut"),EXACT(metadata!O770,"human-vaginal"),EXACT(metadata!O770,"microbial mat/biofilm"),EXACT(metadata!O770,"misc environment"),EXACT(metadata!O770,"plant-associated"),EXACT(metadata!O770,"sediment"),EXACT(metadata!O770,"soil"),EXACT(metadata!O770,"wastewater/sludge"),EXACT(metadata!O770,"water"))))</f>
        <v>0</v>
      </c>
      <c r="BA770" t="b">
        <f>IF(metadata!P770="",FALSE,TRUE)</f>
        <v>0</v>
      </c>
      <c r="BB770" t="b">
        <f>IF(metadata!Q770="",FALSE,TRUE)</f>
        <v>0</v>
      </c>
      <c r="BC770" t="b">
        <f>OR(AND(IF(metadata!R770="",FALSE,TRUE),OR(EXACT(metadata!R770,"missing: not collected"),EXACT(metadata!R770,"missing: not provided"),EXACT(metadata!R770,"missing: restricted access"))),AND(IF(metadata!R770="",FALSE,ISNUMBER(VALUE(metadata!R770))),metadata!R770&gt;=-90,metadata!R770&lt;=90))</f>
        <v>0</v>
      </c>
      <c r="BD770" t="b">
        <f>AND(IF(metadata!S770="",FALSE,TRUE),EXACT(metadata!S770,"Decimal degrees"))</f>
        <v>0</v>
      </c>
      <c r="BE770" t="b">
        <f>OR(AND(IF(metadata!T770="",FALSE,TRUE),OR(EXACT(metadata!T770,"missing: not collected"),EXACT(metadata!T770,"missing: not provided"),EXACT(metadata!T770,"missing: restricted access"))),AND(IF(metadata!T770="",FALSE,ISNUMBER(VALUE(metadata!T770))),metadata!T770&gt;=-180,metadata!T770&lt;=180))</f>
        <v>0</v>
      </c>
      <c r="BF770" t="b">
        <f>AND(IF(metadata!U770="",FALSE,TRUE),EXACT(metadata!U770,"Decimal degrees"))</f>
        <v>0</v>
      </c>
      <c r="BG770" t="b">
        <f>IF(metadata!V770="",FALSE,TRUE)</f>
        <v>0</v>
      </c>
      <c r="BH770" t="b">
        <f>OR(AND(IF(metadata!W770="",FALSE,TRUE),OR(EXACT(metadata!W770,"missing: not collected"),EXACT(metadata!W770,"missing: not provided"),EXACT(metadata!W770,"missing: restricted access"))),AND(IF(metadata!W770="",FALSE,TRUE),OR(EXACT(metadata!W770,"TRUE"),EXACT(metadata!W770,"FALSE"))))</f>
        <v>0</v>
      </c>
      <c r="BI770" t="b">
        <f>AND(IF(metadata!X770="",FALSE,TRUE),EXACT(metadata!X770,"other"))</f>
        <v>0</v>
      </c>
      <c r="BJ770" t="b">
        <f>IF(metadata!Y770="",FALSE,TRUE)</f>
        <v>0</v>
      </c>
      <c r="BK770" t="b">
        <f>OR(AND(IF(metadata!Z770="",FALSE,TRUE),OR(EXACT(metadata!Z770,"missing: not collected"),EXACT(metadata!Z770,"missing: not provided"))),AND(IF(metadata!Z770="",FALSE,IF(ISERROR(INT(metadata!Z770)),FALSE,INT(metadata!Z770)=metadata!Z770)),metadata!Z770&gt;0))</f>
        <v>0</v>
      </c>
      <c r="BL770" t="b">
        <f>AND(IF(metadata!AA770="",FALSE,TRUE),EXACT(metadata!AA770,"Not applicable"))</f>
        <v>0</v>
      </c>
      <c r="BM770" t="b">
        <f>IF(metadata!AB770="",FALSE,TRUE)</f>
        <v>0</v>
      </c>
    </row>
    <row r="771" spans="1:65" x14ac:dyDescent="0.2">
      <c r="A771" s="5" t="str">
        <f ca="1">IF(B771=" "," ",HYPERLINK(CONCATENATE("#metadata!",ADDRESS(INDEX($AH$2:$AH$1001,MATCH(ROWS($AF$2:AF771),$AF$2:$AF$1001,0),0),1)),INDEX($AK$2:$AK$1001,MATCH(ROWS($AF$2:AF771),$AF$2:$AF$1001,0),0)))</f>
        <v xml:space="preserve"> </v>
      </c>
      <c r="B771" s="4" t="str">
        <f ca="1">IF(OR(INDEX($AG$2:$AG$1001,MATCH(ROWS($AF$2:AF771),$AF$2:$AF$1001,0),1)&gt;=100000,INDEX($AM$1005:$BM$1005,1,MATCH(COLUMNS($AM$1006:AM1006),$AM$1006:$BM$1006,0))&gt;=100000), " ",IF(INDEX($AM$2:$BM$1001,MATCH(ROWS($AF$2:AF771),$AF$2:$AF$1001,0),MATCH(COLUMNS($AM$1006:AM1006),$AM$1006:$BM$1006,0)), HYPERLINK("#",""), HYPERLINK(CONCATENATE("#metadata!", ADDRESS(INDEX($AH$2:$AH$1001,MATCH(ROWS($AF$2:AF771),$AF$2:$AF$1001,0),0), INDEX($AM$1004:$BM$1004,1,MATCH(COLUMNS($AM$1006:AM1006),$AM$1006:$BM$1006,0)))),"Fix")))</f>
        <v xml:space="preserve"> </v>
      </c>
      <c r="C771" s="4" t="str">
        <f ca="1">IF(OR(INDEX($AG$2:$AG$1001,MATCH(ROWS($AF$2:AF771),$AF$2:$AF$1001,0),1)&gt;=100000,INDEX($AM$1005:$BM$1005,1,MATCH(COLUMNS($AM$1006:AN1006),$AM$1006:$BM$1006,0))&gt;=100000), " ",IF(INDEX($AM$2:$BM$1001,MATCH(ROWS($AF$2:AF771),$AF$2:$AF$1001,0),MATCH(COLUMNS($AM$1006:AN1006),$AM$1006:$BM$1006,0)), HYPERLINK("#",""), HYPERLINK(CONCATENATE("#metadata!", ADDRESS(INDEX($AH$2:$AH$1001,MATCH(ROWS($AF$2:AF771),$AF$2:$AF$1001,0),0), INDEX($AM$1004:$BM$1004,1,MATCH(COLUMNS($AM$1006:AN1006),$AM$1006:$BM$1006,0)))),"Fix")))</f>
        <v xml:space="preserve"> </v>
      </c>
      <c r="D771" s="4" t="str">
        <f ca="1">IF(OR(INDEX($AG$2:$AG$1001,MATCH(ROWS($AF$2:AF771),$AF$2:$AF$1001,0),1)&gt;=100000,INDEX($AM$1005:$BM$1005,1,MATCH(COLUMNS($AM$1006:AO1006),$AM$1006:$BM$1006,0))&gt;=100000), " ",IF(INDEX($AM$2:$BM$1001,MATCH(ROWS($AF$2:AF771),$AF$2:$AF$1001,0),MATCH(COLUMNS($AM$1006:AO1006),$AM$1006:$BM$1006,0)), HYPERLINK("#",""), HYPERLINK(CONCATENATE("#metadata!", ADDRESS(INDEX($AH$2:$AH$1001,MATCH(ROWS($AF$2:AF771),$AF$2:$AF$1001,0),0), INDEX($AM$1004:$BM$1004,1,MATCH(COLUMNS($AM$1006:AO1006),$AM$1006:$BM$1006,0)))),"Fix")))</f>
        <v xml:space="preserve"> </v>
      </c>
      <c r="E771" s="4" t="str">
        <f ca="1">IF(OR(INDEX($AG$2:$AG$1001,MATCH(ROWS($AF$2:AF771),$AF$2:$AF$1001,0),1)&gt;=100000,INDEX($AM$1005:$BM$1005,1,MATCH(COLUMNS($AM$1006:AP1006),$AM$1006:$BM$1006,0))&gt;=100000), " ",IF(INDEX($AM$2:$BM$1001,MATCH(ROWS($AF$2:AF771),$AF$2:$AF$1001,0),MATCH(COLUMNS($AM$1006:AP1006),$AM$1006:$BM$1006,0)), HYPERLINK("#",""), HYPERLINK(CONCATENATE("#metadata!", ADDRESS(INDEX($AH$2:$AH$1001,MATCH(ROWS($AF$2:AF771),$AF$2:$AF$1001,0),0), INDEX($AM$1004:$BM$1004,1,MATCH(COLUMNS($AM$1006:AP1006),$AM$1006:$BM$1006,0)))),"Fix")))</f>
        <v xml:space="preserve"> </v>
      </c>
      <c r="F771" s="4" t="str">
        <f ca="1">IF(OR(INDEX($AG$2:$AG$1001,MATCH(ROWS($AF$2:AF771),$AF$2:$AF$1001,0),1)&gt;=100000,INDEX($AM$1005:$BM$1005,1,MATCH(COLUMNS($AM$1006:AQ1006),$AM$1006:$BM$1006,0))&gt;=100000), " ",IF(INDEX($AM$2:$BM$1001,MATCH(ROWS($AF$2:AF771),$AF$2:$AF$1001,0),MATCH(COLUMNS($AM$1006:AQ1006),$AM$1006:$BM$1006,0)), HYPERLINK("#",""), HYPERLINK(CONCATENATE("#metadata!", ADDRESS(INDEX($AH$2:$AH$1001,MATCH(ROWS($AF$2:AF771),$AF$2:$AF$1001,0),0), INDEX($AM$1004:$BM$1004,1,MATCH(COLUMNS($AM$1006:AQ1006),$AM$1006:$BM$1006,0)))),"Fix")))</f>
        <v xml:space="preserve"> </v>
      </c>
      <c r="G771" s="4" t="str">
        <f ca="1">IF(OR(INDEX($AG$2:$AG$1001,MATCH(ROWS($AF$2:AF771),$AF$2:$AF$1001,0),1)&gt;=100000,INDEX($AM$1005:$BM$1005,1,MATCH(COLUMNS($AM$1006:AR1006),$AM$1006:$BM$1006,0))&gt;=100000), " ",IF(INDEX($AM$2:$BM$1001,MATCH(ROWS($AF$2:AF771),$AF$2:$AF$1001,0),MATCH(COLUMNS($AM$1006:AR1006),$AM$1006:$BM$1006,0)), HYPERLINK("#",""), HYPERLINK(CONCATENATE("#metadata!", ADDRESS(INDEX($AH$2:$AH$1001,MATCH(ROWS($AF$2:AF771),$AF$2:$AF$1001,0),0), INDEX($AM$1004:$BM$1004,1,MATCH(COLUMNS($AM$1006:AR1006),$AM$1006:$BM$1006,0)))),"Fix")))</f>
        <v xml:space="preserve"> </v>
      </c>
      <c r="H771" s="4" t="str">
        <f ca="1">IF(OR(INDEX($AG$2:$AG$1001,MATCH(ROWS($AF$2:AF771),$AF$2:$AF$1001,0),1)&gt;=100000,INDEX($AM$1005:$BM$1005,1,MATCH(COLUMNS($AM$1006:AS1006),$AM$1006:$BM$1006,0))&gt;=100000), " ",IF(INDEX($AM$2:$BM$1001,MATCH(ROWS($AF$2:AF771),$AF$2:$AF$1001,0),MATCH(COLUMNS($AM$1006:AS1006),$AM$1006:$BM$1006,0)), HYPERLINK("#",""), HYPERLINK(CONCATENATE("#metadata!", ADDRESS(INDEX($AH$2:$AH$1001,MATCH(ROWS($AF$2:AF771),$AF$2:$AF$1001,0),0), INDEX($AM$1004:$BM$1004,1,MATCH(COLUMNS($AM$1006:AS1006),$AM$1006:$BM$1006,0)))),"Fix")))</f>
        <v xml:space="preserve"> </v>
      </c>
      <c r="I771" s="4" t="str">
        <f ca="1">IF(OR(INDEX($AG$2:$AG$1001,MATCH(ROWS($AF$2:AF771),$AF$2:$AF$1001,0),1)&gt;=100000,INDEX($AM$1005:$BM$1005,1,MATCH(COLUMNS($AM$1006:AT1006),$AM$1006:$BM$1006,0))&gt;=100000), " ",IF(INDEX($AM$2:$BM$1001,MATCH(ROWS($AF$2:AF771),$AF$2:$AF$1001,0),MATCH(COLUMNS($AM$1006:AT1006),$AM$1006:$BM$1006,0)), HYPERLINK("#",""), HYPERLINK(CONCATENATE("#metadata!", ADDRESS(INDEX($AH$2:$AH$1001,MATCH(ROWS($AF$2:AF771),$AF$2:$AF$1001,0),0), INDEX($AM$1004:$BM$1004,1,MATCH(COLUMNS($AM$1006:AT1006),$AM$1006:$BM$1006,0)))),"Fix")))</f>
        <v xml:space="preserve"> </v>
      </c>
      <c r="J771" s="4" t="str">
        <f ca="1">IF(OR(INDEX($AG$2:$AG$1001,MATCH(ROWS($AF$2:AF771),$AF$2:$AF$1001,0),1)&gt;=100000,INDEX($AM$1005:$BM$1005,1,MATCH(COLUMNS($AM$1006:AU1006),$AM$1006:$BM$1006,0))&gt;=100000), " ",IF(INDEX($AM$2:$BM$1001,MATCH(ROWS($AF$2:AF771),$AF$2:$AF$1001,0),MATCH(COLUMNS($AM$1006:AU1006),$AM$1006:$BM$1006,0)), HYPERLINK("#",""), HYPERLINK(CONCATENATE("#metadata!", ADDRESS(INDEX($AH$2:$AH$1001,MATCH(ROWS($AF$2:AF771),$AF$2:$AF$1001,0),0), INDEX($AM$1004:$BM$1004,1,MATCH(COLUMNS($AM$1006:AU1006),$AM$1006:$BM$1006,0)))),"Fix")))</f>
        <v xml:space="preserve"> </v>
      </c>
      <c r="K771" s="4" t="str">
        <f ca="1">IF(OR(INDEX($AG$2:$AG$1001,MATCH(ROWS($AF$2:AF771),$AF$2:$AF$1001,0),1)&gt;=100000,INDEX($AM$1005:$BM$1005,1,MATCH(COLUMNS($AM$1006:AV1006),$AM$1006:$BM$1006,0))&gt;=100000), " ",IF(INDEX($AM$2:$BM$1001,MATCH(ROWS($AF$2:AF771),$AF$2:$AF$1001,0),MATCH(COLUMNS($AM$1006:AV1006),$AM$1006:$BM$1006,0)), HYPERLINK("#",""), HYPERLINK(CONCATENATE("#metadata!", ADDRESS(INDEX($AH$2:$AH$1001,MATCH(ROWS($AF$2:AF771),$AF$2:$AF$1001,0),0), INDEX($AM$1004:$BM$1004,1,MATCH(COLUMNS($AM$1006:AV1006),$AM$1006:$BM$1006,0)))),"Fix")))</f>
        <v xml:space="preserve"> </v>
      </c>
      <c r="L771" s="4" t="str">
        <f ca="1">IF(OR(INDEX($AG$2:$AG$1001,MATCH(ROWS($AF$2:AF771),$AF$2:$AF$1001,0),1)&gt;=100000,INDEX($AM$1005:$BM$1005,1,MATCH(COLUMNS($AM$1006:AW1006),$AM$1006:$BM$1006,0))&gt;=100000), " ",IF(INDEX($AM$2:$BM$1001,MATCH(ROWS($AF$2:AF771),$AF$2:$AF$1001,0),MATCH(COLUMNS($AM$1006:AW1006),$AM$1006:$BM$1006,0)), HYPERLINK("#",""), HYPERLINK(CONCATENATE("#metadata!", ADDRESS(INDEX($AH$2:$AH$1001,MATCH(ROWS($AF$2:AF771),$AF$2:$AF$1001,0),0), INDEX($AM$1004:$BM$1004,1,MATCH(COLUMNS($AM$1006:AW1006),$AM$1006:$BM$1006,0)))),"Fix")))</f>
        <v xml:space="preserve"> </v>
      </c>
      <c r="M771" s="4" t="str">
        <f ca="1">IF(OR(INDEX($AG$2:$AG$1001,MATCH(ROWS($AF$2:AF771),$AF$2:$AF$1001,0),1)&gt;=100000,INDEX($AM$1005:$BM$1005,1,MATCH(COLUMNS($AM$1006:AX1006),$AM$1006:$BM$1006,0))&gt;=100000), " ",IF(INDEX($AM$2:$BM$1001,MATCH(ROWS($AF$2:AF771),$AF$2:$AF$1001,0),MATCH(COLUMNS($AM$1006:AX1006),$AM$1006:$BM$1006,0)), HYPERLINK("#",""), HYPERLINK(CONCATENATE("#metadata!", ADDRESS(INDEX($AH$2:$AH$1001,MATCH(ROWS($AF$2:AF771),$AF$2:$AF$1001,0),0), INDEX($AM$1004:$BM$1004,1,MATCH(COLUMNS($AM$1006:AX1006),$AM$1006:$BM$1006,0)))),"Fix")))</f>
        <v xml:space="preserve"> </v>
      </c>
      <c r="N771" s="4" t="str">
        <f ca="1">IF(OR(INDEX($AG$2:$AG$1001,MATCH(ROWS($AF$2:AF771),$AF$2:$AF$1001,0),1)&gt;=100000,INDEX($AM$1005:$BM$1005,1,MATCH(COLUMNS($AM$1006:AY1006),$AM$1006:$BM$1006,0))&gt;=100000), " ",IF(INDEX($AM$2:$BM$1001,MATCH(ROWS($AF$2:AF771),$AF$2:$AF$1001,0),MATCH(COLUMNS($AM$1006:AY1006),$AM$1006:$BM$1006,0)), HYPERLINK("#",""), HYPERLINK(CONCATENATE("#metadata!", ADDRESS(INDEX($AH$2:$AH$1001,MATCH(ROWS($AF$2:AF771),$AF$2:$AF$1001,0),0), INDEX($AM$1004:$BM$1004,1,MATCH(COLUMNS($AM$1006:AY1006),$AM$1006:$BM$1006,0)))),"Fix")))</f>
        <v xml:space="preserve"> </v>
      </c>
      <c r="O771" s="4" t="str">
        <f ca="1">IF(OR(INDEX($AG$2:$AG$1001,MATCH(ROWS($AF$2:AF771),$AF$2:$AF$1001,0),1)&gt;=100000,INDEX($AM$1005:$BM$1005,1,MATCH(COLUMNS($AM$1006:AZ1006),$AM$1006:$BM$1006,0))&gt;=100000), " ",IF(INDEX($AM$2:$BM$1001,MATCH(ROWS($AF$2:AF771),$AF$2:$AF$1001,0),MATCH(COLUMNS($AM$1006:AZ1006),$AM$1006:$BM$1006,0)), HYPERLINK("#",""), HYPERLINK(CONCATENATE("#metadata!", ADDRESS(INDEX($AH$2:$AH$1001,MATCH(ROWS($AF$2:AF771),$AF$2:$AF$1001,0),0), INDEX($AM$1004:$BM$1004,1,MATCH(COLUMNS($AM$1006:AZ1006),$AM$1006:$BM$1006,0)))),"Fix")))</f>
        <v xml:space="preserve"> </v>
      </c>
      <c r="P771" s="4" t="str">
        <f ca="1">IF(OR(INDEX($AG$2:$AG$1001,MATCH(ROWS($AF$2:AF771),$AF$2:$AF$1001,0),1)&gt;=100000,INDEX($AM$1005:$BM$1005,1,MATCH(COLUMNS($AM$1006:BA1006),$AM$1006:$BM$1006,0))&gt;=100000), " ",IF(INDEX($AM$2:$BM$1001,MATCH(ROWS($AF$2:AF771),$AF$2:$AF$1001,0),MATCH(COLUMNS($AM$1006:BA1006),$AM$1006:$BM$1006,0)), HYPERLINK("#",""), HYPERLINK(CONCATENATE("#metadata!", ADDRESS(INDEX($AH$2:$AH$1001,MATCH(ROWS($AF$2:AF771),$AF$2:$AF$1001,0),0), INDEX($AM$1004:$BM$1004,1,MATCH(COLUMNS($AM$1006:BA1006),$AM$1006:$BM$1006,0)))),"Fix")))</f>
        <v xml:space="preserve"> </v>
      </c>
      <c r="Q771" s="4" t="str">
        <f ca="1">IF(OR(INDEX($AG$2:$AG$1001,MATCH(ROWS($AF$2:AF771),$AF$2:$AF$1001,0),1)&gt;=100000,INDEX($AM$1005:$BM$1005,1,MATCH(COLUMNS($AM$1006:BB1006),$AM$1006:$BM$1006,0))&gt;=100000), " ",IF(INDEX($AM$2:$BM$1001,MATCH(ROWS($AF$2:AF771),$AF$2:$AF$1001,0),MATCH(COLUMNS($AM$1006:BB1006),$AM$1006:$BM$1006,0)), HYPERLINK("#",""), HYPERLINK(CONCATENATE("#metadata!", ADDRESS(INDEX($AH$2:$AH$1001,MATCH(ROWS($AF$2:AF771),$AF$2:$AF$1001,0),0), INDEX($AM$1004:$BM$1004,1,MATCH(COLUMNS($AM$1006:BB1006),$AM$1006:$BM$1006,0)))),"Fix")))</f>
        <v xml:space="preserve"> </v>
      </c>
      <c r="R771" s="4" t="str">
        <f ca="1">IF(OR(INDEX($AG$2:$AG$1001,MATCH(ROWS($AF$2:AF771),$AF$2:$AF$1001,0),1)&gt;=100000,INDEX($AM$1005:$BM$1005,1,MATCH(COLUMNS($AM$1006:BC1006),$AM$1006:$BM$1006,0))&gt;=100000), " ",IF(INDEX($AM$2:$BM$1001,MATCH(ROWS($AF$2:AF771),$AF$2:$AF$1001,0),MATCH(COLUMNS($AM$1006:BC1006),$AM$1006:$BM$1006,0)), HYPERLINK("#",""), HYPERLINK(CONCATENATE("#metadata!", ADDRESS(INDEX($AH$2:$AH$1001,MATCH(ROWS($AF$2:AF771),$AF$2:$AF$1001,0),0), INDEX($AM$1004:$BM$1004,1,MATCH(COLUMNS($AM$1006:BC1006),$AM$1006:$BM$1006,0)))),"Fix")))</f>
        <v xml:space="preserve"> </v>
      </c>
      <c r="S771" s="4" t="str">
        <f ca="1">IF(OR(INDEX($AG$2:$AG$1001,MATCH(ROWS($AF$2:AF771),$AF$2:$AF$1001,0),1)&gt;=100000,INDEX($AM$1005:$BM$1005,1,MATCH(COLUMNS($AM$1006:BD1006),$AM$1006:$BM$1006,0))&gt;=100000), " ",IF(INDEX($AM$2:$BM$1001,MATCH(ROWS($AF$2:AF771),$AF$2:$AF$1001,0),MATCH(COLUMNS($AM$1006:BD1006),$AM$1006:$BM$1006,0)), HYPERLINK("#",""), HYPERLINK(CONCATENATE("#metadata!", ADDRESS(INDEX($AH$2:$AH$1001,MATCH(ROWS($AF$2:AF771),$AF$2:$AF$1001,0),0), INDEX($AM$1004:$BM$1004,1,MATCH(COLUMNS($AM$1006:BD1006),$AM$1006:$BM$1006,0)))),"Fix")))</f>
        <v xml:space="preserve"> </v>
      </c>
      <c r="T771" s="4" t="str">
        <f ca="1">IF(OR(INDEX($AG$2:$AG$1001,MATCH(ROWS($AF$2:AF771),$AF$2:$AF$1001,0),1)&gt;=100000,INDEX($AM$1005:$BM$1005,1,MATCH(COLUMNS($AM$1006:BE1006),$AM$1006:$BM$1006,0))&gt;=100000), " ",IF(INDEX($AM$2:$BM$1001,MATCH(ROWS($AF$2:AF771),$AF$2:$AF$1001,0),MATCH(COLUMNS($AM$1006:BE1006),$AM$1006:$BM$1006,0)), HYPERLINK("#",""), HYPERLINK(CONCATENATE("#metadata!", ADDRESS(INDEX($AH$2:$AH$1001,MATCH(ROWS($AF$2:AF771),$AF$2:$AF$1001,0),0), INDEX($AM$1004:$BM$1004,1,MATCH(COLUMNS($AM$1006:BE1006),$AM$1006:$BM$1006,0)))),"Fix")))</f>
        <v xml:space="preserve"> </v>
      </c>
      <c r="U771" s="4" t="str">
        <f ca="1">IF(OR(INDEX($AG$2:$AG$1001,MATCH(ROWS($AF$2:AF771),$AF$2:$AF$1001,0),1)&gt;=100000,INDEX($AM$1005:$BM$1005,1,MATCH(COLUMNS($AM$1006:BF1006),$AM$1006:$BM$1006,0))&gt;=100000), " ",IF(INDEX($AM$2:$BM$1001,MATCH(ROWS($AF$2:AF771),$AF$2:$AF$1001,0),MATCH(COLUMNS($AM$1006:BF1006),$AM$1006:$BM$1006,0)), HYPERLINK("#",""), HYPERLINK(CONCATENATE("#metadata!", ADDRESS(INDEX($AH$2:$AH$1001,MATCH(ROWS($AF$2:AF771),$AF$2:$AF$1001,0),0), INDEX($AM$1004:$BM$1004,1,MATCH(COLUMNS($AM$1006:BF1006),$AM$1006:$BM$1006,0)))),"Fix")))</f>
        <v xml:space="preserve"> </v>
      </c>
      <c r="V771" s="4" t="str">
        <f ca="1">IF(OR(INDEX($AG$2:$AG$1001,MATCH(ROWS($AF$2:AF771),$AF$2:$AF$1001,0),1)&gt;=100000,INDEX($AM$1005:$BM$1005,1,MATCH(COLUMNS($AM$1006:BG1006),$AM$1006:$BM$1006,0))&gt;=100000), " ",IF(INDEX($AM$2:$BM$1001,MATCH(ROWS($AF$2:AF771),$AF$2:$AF$1001,0),MATCH(COLUMNS($AM$1006:BG1006),$AM$1006:$BM$1006,0)), HYPERLINK("#",""), HYPERLINK(CONCATENATE("#metadata!", ADDRESS(INDEX($AH$2:$AH$1001,MATCH(ROWS($AF$2:AF771),$AF$2:$AF$1001,0),0), INDEX($AM$1004:$BM$1004,1,MATCH(COLUMNS($AM$1006:BG1006),$AM$1006:$BM$1006,0)))),"Fix")))</f>
        <v xml:space="preserve"> </v>
      </c>
      <c r="W771" s="4" t="str">
        <f ca="1">IF(OR(INDEX($AG$2:$AG$1001,MATCH(ROWS($AF$2:AF771),$AF$2:$AF$1001,0),1)&gt;=100000,INDEX($AM$1005:$BM$1005,1,MATCH(COLUMNS($AM$1006:BH1006),$AM$1006:$BM$1006,0))&gt;=100000), " ",IF(INDEX($AM$2:$BM$1001,MATCH(ROWS($AF$2:AF771),$AF$2:$AF$1001,0),MATCH(COLUMNS($AM$1006:BH1006),$AM$1006:$BM$1006,0)), HYPERLINK("#",""), HYPERLINK(CONCATENATE("#metadata!", ADDRESS(INDEX($AH$2:$AH$1001,MATCH(ROWS($AF$2:AF771),$AF$2:$AF$1001,0),0), INDEX($AM$1004:$BM$1004,1,MATCH(COLUMNS($AM$1006:BH1006),$AM$1006:$BM$1006,0)))),"Fix")))</f>
        <v xml:space="preserve"> </v>
      </c>
      <c r="X771" s="4" t="str">
        <f ca="1">IF(OR(INDEX($AG$2:$AG$1001,MATCH(ROWS($AF$2:AF771),$AF$2:$AF$1001,0),1)&gt;=100000,INDEX($AM$1005:$BM$1005,1,MATCH(COLUMNS($AM$1006:BI1006),$AM$1006:$BM$1006,0))&gt;=100000), " ",IF(INDEX($AM$2:$BM$1001,MATCH(ROWS($AF$2:AF771),$AF$2:$AF$1001,0),MATCH(COLUMNS($AM$1006:BI1006),$AM$1006:$BM$1006,0)), HYPERLINK("#",""), HYPERLINK(CONCATENATE("#metadata!", ADDRESS(INDEX($AH$2:$AH$1001,MATCH(ROWS($AF$2:AF771),$AF$2:$AF$1001,0),0), INDEX($AM$1004:$BM$1004,1,MATCH(COLUMNS($AM$1006:BI1006),$AM$1006:$BM$1006,0)))),"Fix")))</f>
        <v xml:space="preserve"> </v>
      </c>
      <c r="Y771" s="4" t="str">
        <f ca="1">IF(OR(INDEX($AG$2:$AG$1001,MATCH(ROWS($AF$2:AF771),$AF$2:$AF$1001,0),1)&gt;=100000,INDEX($AM$1005:$BM$1005,1,MATCH(COLUMNS($AM$1006:BJ1006),$AM$1006:$BM$1006,0))&gt;=100000), " ",IF(INDEX($AM$2:$BM$1001,MATCH(ROWS($AF$2:AF771),$AF$2:$AF$1001,0),MATCH(COLUMNS($AM$1006:BJ1006),$AM$1006:$BM$1006,0)), HYPERLINK("#",""), HYPERLINK(CONCATENATE("#metadata!", ADDRESS(INDEX($AH$2:$AH$1001,MATCH(ROWS($AF$2:AF771),$AF$2:$AF$1001,0),0), INDEX($AM$1004:$BM$1004,1,MATCH(COLUMNS($AM$1006:BJ1006),$AM$1006:$BM$1006,0)))),"Fix")))</f>
        <v xml:space="preserve"> </v>
      </c>
      <c r="Z771" s="4" t="str">
        <f ca="1">IF(OR(INDEX($AG$2:$AG$1001,MATCH(ROWS($AF$2:AF771),$AF$2:$AF$1001,0),1)&gt;=100000,INDEX($AM$1005:$BM$1005,1,MATCH(COLUMNS($AM$1006:BK1006),$AM$1006:$BM$1006,0))&gt;=100000), " ",IF(INDEX($AM$2:$BM$1001,MATCH(ROWS($AF$2:AF771),$AF$2:$AF$1001,0),MATCH(COLUMNS($AM$1006:BK1006),$AM$1006:$BM$1006,0)), HYPERLINK("#",""), HYPERLINK(CONCATENATE("#metadata!", ADDRESS(INDEX($AH$2:$AH$1001,MATCH(ROWS($AF$2:AF771),$AF$2:$AF$1001,0),0), INDEX($AM$1004:$BM$1004,1,MATCH(COLUMNS($AM$1006:BK1006),$AM$1006:$BM$1006,0)))),"Fix")))</f>
        <v xml:space="preserve"> </v>
      </c>
      <c r="AA771" s="4" t="str">
        <f ca="1">IF(OR(INDEX($AG$2:$AG$1001,MATCH(ROWS($AF$2:AF771),$AF$2:$AF$1001,0),1)&gt;=100000,INDEX($AM$1005:$BM$1005,1,MATCH(COLUMNS($AM$1006:BL1006),$AM$1006:$BM$1006,0))&gt;=100000), " ",IF(INDEX($AM$2:$BM$1001,MATCH(ROWS($AF$2:AF771),$AF$2:$AF$1001,0),MATCH(COLUMNS($AM$1006:BL1006),$AM$1006:$BM$1006,0)), HYPERLINK("#",""), HYPERLINK(CONCATENATE("#metadata!", ADDRESS(INDEX($AH$2:$AH$1001,MATCH(ROWS($AF$2:AF771),$AF$2:$AF$1001,0),0), INDEX($AM$1004:$BM$1004,1,MATCH(COLUMNS($AM$1006:BL1006),$AM$1006:$BM$1006,0)))),"Fix")))</f>
        <v xml:space="preserve"> </v>
      </c>
      <c r="AB771" s="4" t="str">
        <f ca="1">IF(OR(INDEX($AG$2:$AG$1001,MATCH(ROWS($AF$2:AF771),$AF$2:$AF$1001,0),1)&gt;=100000,INDEX($AM$1005:$BM$1005,1,MATCH(COLUMNS($AM$1006:BM1006),$AM$1006:$BM$1006,0))&gt;=100000), " ",IF(INDEX($AM$2:$BM$1001,MATCH(ROWS($AF$2:AF771),$AF$2:$AF$1001,0),MATCH(COLUMNS($AM$1006:BM1006),$AM$1006:$BM$1006,0)), HYPERLINK("#",""), HYPERLINK(CONCATENATE("#metadata!", ADDRESS(INDEX($AH$2:$AH$1001,MATCH(ROWS($AF$2:AF771),$AF$2:$AF$1001,0),0), INDEX($AM$1004:$BM$1004,1,MATCH(COLUMNS($AM$1006:BM1006),$AM$1006:$BM$1006,0)))),"Fix")))</f>
        <v xml:space="preserve"> </v>
      </c>
      <c r="AF771">
        <v>770</v>
      </c>
      <c r="AG771">
        <v>100771</v>
      </c>
      <c r="AH771">
        <v>771</v>
      </c>
      <c r="AI771" t="b">
        <f t="shared" si="12"/>
        <v>1</v>
      </c>
      <c r="AJ771" t="b">
        <f>COUNTBLANK(metadata!B771:AB771)=COLUMNS(metadata!B771:AB771)</f>
        <v>1</v>
      </c>
      <c r="AK771" t="str">
        <v/>
      </c>
      <c r="AM771" t="b">
        <f ca="1">AND(IF(metadata!B771="",FALSE,TRUE),COUNTIF(metadata!B:B, metadata!B771) = 1,NOT(ISERROR(SUMPRODUCT(SEARCH(MID(metadata!B771,ROW(INDIRECT("1:"&amp;LEN(metadata!B771))), 1),"0123456789abcdefghijklmnopqrstuvwxyzABCDEFGHIJKLMNOPQRSTUVWXYZ.")))))</f>
        <v>0</v>
      </c>
      <c r="AN771" t="b">
        <f ca="1">OR(AND(IF(metadata!C771="",FALSE,TRUE),OR(EXACT(metadata!C771,"missing: not collected"),EXACT(metadata!C771,"missing: not provided"),EXACT(metadata!C771,"missing: restricted access"))),AND(IF(metadata!C771="",FALSE,TRUE),AND(AND(IFERROR(INT(LEFT(metadata!C771,4))&gt;1900,FALSE),IFERROR(INT(LEFT(metadata!C771,4))&lt;=YEAR(NOW()),FALSE)), OR(MID(metadata!C771,5,1)="", AND(AND(MID(metadata!C771,5,1)="-",IFERROR(INT(MID(metadata!C771,6,1))&gt;=0,FALSE),IFERROR(INT(MID(metadata!C771,6,1))&lt;=1,FALSE),NOT(MID(metadata!C771,7,1)=""),IFERROR(INT(MID(metadata!C771,6,2))&gt;=1,FALSE),IFERROR(INT(MID(metadata!C771,6,2))&lt;=12,FALSE)), OR(MID(metadata!C771,8,1)="", AND(AND(MID(metadata!C771,8,1)="-",IFERROR(INT(MID(metadata!C771,9,1))&gt;=0,FALSE),IFERROR(INT(MID(metadata!C771,9,1))&lt;=3,FALSE),NOT(MID(metadata!C771,10,1)=""),IFERROR(INT(MID(metadata!C771,9,2))&gt;=1,FALSE),IFERROR(INT(MID(metadata!C771,9,2))&lt;=31,FALSE)), OR(MID(metadata!C771,11,1)="", AND(AND(MID(metadata!C771,11,1)=" ",IFERROR(INT(MID(metadata!C771,12,1))&gt;=0,FALSE),IFERROR(INT(MID(metadata!C771,12,1))&lt;=2,FALSE),NOT(MID(metadata!C771,13,1)=""),IFERROR(INT(MID(metadata!C771,12,2))&gt;=0,FALSE),IFERROR(INT(MID(metadata!C771,12,2))&lt;=23,FALSE)), OR(MID(metadata!C771,14,1)="", AND(AND(MID(metadata!C771,14,1)=":",IFERROR(INT(MID(metadata!C771,15,1))&gt;=0,FALSE),IFERROR(INT(MID(metadata!C771,15,1))&lt;=5,FALSE),NOT(MID(metadata!C771,16,1)=""),IFERROR(INT(MID(metadata!C771,15,2))&gt;=0,FALSE),IFERROR(INT(MID(metadata!C771,15,2))&lt;=59,FALSE)), OR(MID(metadata!C771,17,1)="", AND(AND(MID(metadata!C771,17,1)=":",IFERROR(INT(MID(metadata!C771,18,1))&gt;=0,FALSE),IFERROR(INT(MID(metadata!C771,18,1))&lt;=5,FALSE),NOT(MID(metadata!C771,19,1)=""),IFERROR(INT(MID(metadata!C771,18,2))&gt;=0,FALSE),IFERROR(INT(MID(metadata!C771,18,2))&lt;=59,FALSE)), LEN(metadata!C771)&lt;=19)))))))))))))</f>
        <v>0</v>
      </c>
      <c r="AO771" t="b">
        <f>AND(IF(metadata!D771="",FALSE,TRUE),EXACT(metadata!D771,"Not applicable"))</f>
        <v>0</v>
      </c>
      <c r="AP771" t="b">
        <f>IF(metadata!E771="",FALSE,TRUE)</f>
        <v>0</v>
      </c>
      <c r="AQ771" t="b">
        <f>OR(AND(IF(metadata!F771="",FALSE,TRUE),OR(EXACT(metadata!F771,"missing: not collected"),EXACT(metadata!F771,"missing: not provided"))),AND(IF(metadata!F771="",FALSE,TRUE),OR(EXACT(metadata!F771,"TRUE"),EXACT(metadata!F771,"FALSE"))))</f>
        <v>0</v>
      </c>
      <c r="AR771" t="b">
        <f>OR(AND(IF(metadata!G771="",FALSE,TRUE),OR(EXACT(metadata!G771,"missing: not collected"),EXACT(metadata!G771,"missing: not provided"),EXACT(metadata!G771,"missing: restricted access"))),AND(IF(metadata!G771="",FALSE,ISNUMBER(VALUE(metadata!G771))),metadata!G771&gt;=-413))</f>
        <v>0</v>
      </c>
      <c r="AS771" t="b">
        <f>AND(IF(metadata!H771="",FALSE,TRUE),EXACT(metadata!H771,"meters"))</f>
        <v>0</v>
      </c>
      <c r="AT771" t="b">
        <f>AND(IF(metadata!I771="",FALSE,TRUE),OR(EXACT(metadata!I771,"Host-associated"),EXACT(metadata!I771,"Free-living")))</f>
        <v>0</v>
      </c>
      <c r="AU771" t="b">
        <f>AND(IF(metadata!J771="",FALSE,TRUE),OR(EXACT(metadata!J771,"Animal"),EXACT(metadata!J771,"Fungus"),EXACT(metadata!J771,"Plant"),EXACT(metadata!J771,"Saline"),EXACT(metadata!J771,"Non-saline")))</f>
        <v>0</v>
      </c>
      <c r="AV771" t="b">
        <f>AND(IF(metadata!K771="",FALSE,TRUE),OR(EXACT(metadata!K771,"Plant secretion"),EXACT(metadata!K771,"Plant rhizosphere"),EXACT(metadata!K771,"Plant surface"),EXACT(metadata!K771,"Plant corpus"),EXACT(metadata!K771,"Fungus surface"),EXACT(metadata!K771,"Fungus corpus"),EXACT(metadata!K771,"Animal surface"),EXACT(metadata!K771,"Animal proximal gut"),EXACT(metadata!K771,"Animal corpus"),EXACT(metadata!K771,"Animal distal gut"),EXACT(metadata!K771,"Animal secretion"),EXACT(metadata!K771,"Sub-surface (non-saline)"),EXACT(metadata!K771,"Surface (non-saline)"),EXACT(metadata!K771,"Water (non-saline)"),EXACT(metadata!K771,"Soil (non-saline)"),EXACT(metadata!K771,"Aerosol (non-saline)"),EXACT(metadata!K771,"Sediment (non-saline)"),EXACT(metadata!K771,"Surface (saline)"),EXACT(metadata!K771,"Water (saline)"),EXACT(metadata!K771,"Hypersaline (saline)"),EXACT(metadata!K771,"Aerosol (saline)"),EXACT(metadata!K771,"Sediment (saline)")))</f>
        <v>0</v>
      </c>
      <c r="AW771" t="b">
        <f>IF(metadata!L771="",FALSE,TRUE)</f>
        <v>0</v>
      </c>
      <c r="AX771" t="b">
        <f>IF(metadata!M771="",FALSE,TRUE)</f>
        <v>0</v>
      </c>
      <c r="AY771" t="b">
        <f>IF(metadata!N771="",FALSE,TRUE)</f>
        <v>0</v>
      </c>
      <c r="AZ771" t="b">
        <f>OR(AND(IF(metadata!O771="",FALSE,TRUE),OR(EXACT(metadata!O771,"missing: not collected"),EXACT(metadata!O771,"missing: not provided"),EXACT(metadata!O771,"missing: restricted access"))),AND(IF(metadata!O771="",FALSE,TRUE),OR(EXACT(metadata!O771,"air"),EXACT(metadata!O771,"built environment"),EXACT(metadata!O771,"host-associated"),EXACT(metadata!O771,"human-associated"),EXACT(metadata!O771,"human-skin"),EXACT(metadata!O771,"human-oral"),EXACT(metadata!O771,"human-gut"),EXACT(metadata!O771,"human-vaginal"),EXACT(metadata!O771,"microbial mat/biofilm"),EXACT(metadata!O771,"misc environment"),EXACT(metadata!O771,"plant-associated"),EXACT(metadata!O771,"sediment"),EXACT(metadata!O771,"soil"),EXACT(metadata!O771,"wastewater/sludge"),EXACT(metadata!O771,"water"))))</f>
        <v>0</v>
      </c>
      <c r="BA771" t="b">
        <f>IF(metadata!P771="",FALSE,TRUE)</f>
        <v>0</v>
      </c>
      <c r="BB771" t="b">
        <f>IF(metadata!Q771="",FALSE,TRUE)</f>
        <v>0</v>
      </c>
      <c r="BC771" t="b">
        <f>OR(AND(IF(metadata!R771="",FALSE,TRUE),OR(EXACT(metadata!R771,"missing: not collected"),EXACT(metadata!R771,"missing: not provided"),EXACT(metadata!R771,"missing: restricted access"))),AND(IF(metadata!R771="",FALSE,ISNUMBER(VALUE(metadata!R771))),metadata!R771&gt;=-90,metadata!R771&lt;=90))</f>
        <v>0</v>
      </c>
      <c r="BD771" t="b">
        <f>AND(IF(metadata!S771="",FALSE,TRUE),EXACT(metadata!S771,"Decimal degrees"))</f>
        <v>0</v>
      </c>
      <c r="BE771" t="b">
        <f>OR(AND(IF(metadata!T771="",FALSE,TRUE),OR(EXACT(metadata!T771,"missing: not collected"),EXACT(metadata!T771,"missing: not provided"),EXACT(metadata!T771,"missing: restricted access"))),AND(IF(metadata!T771="",FALSE,ISNUMBER(VALUE(metadata!T771))),metadata!T771&gt;=-180,metadata!T771&lt;=180))</f>
        <v>0</v>
      </c>
      <c r="BF771" t="b">
        <f>AND(IF(metadata!U771="",FALSE,TRUE),EXACT(metadata!U771,"Decimal degrees"))</f>
        <v>0</v>
      </c>
      <c r="BG771" t="b">
        <f>IF(metadata!V771="",FALSE,TRUE)</f>
        <v>0</v>
      </c>
      <c r="BH771" t="b">
        <f>OR(AND(IF(metadata!W771="",FALSE,TRUE),OR(EXACT(metadata!W771,"missing: not collected"),EXACT(metadata!W771,"missing: not provided"),EXACT(metadata!W771,"missing: restricted access"))),AND(IF(metadata!W771="",FALSE,TRUE),OR(EXACT(metadata!W771,"TRUE"),EXACT(metadata!W771,"FALSE"))))</f>
        <v>0</v>
      </c>
      <c r="BI771" t="b">
        <f>AND(IF(metadata!X771="",FALSE,TRUE),EXACT(metadata!X771,"other"))</f>
        <v>0</v>
      </c>
      <c r="BJ771" t="b">
        <f>IF(metadata!Y771="",FALSE,TRUE)</f>
        <v>0</v>
      </c>
      <c r="BK771" t="b">
        <f>OR(AND(IF(metadata!Z771="",FALSE,TRUE),OR(EXACT(metadata!Z771,"missing: not collected"),EXACT(metadata!Z771,"missing: not provided"))),AND(IF(metadata!Z771="",FALSE,IF(ISERROR(INT(metadata!Z771)),FALSE,INT(metadata!Z771)=metadata!Z771)),metadata!Z771&gt;0))</f>
        <v>0</v>
      </c>
      <c r="BL771" t="b">
        <f>AND(IF(metadata!AA771="",FALSE,TRUE),EXACT(metadata!AA771,"Not applicable"))</f>
        <v>0</v>
      </c>
      <c r="BM771" t="b">
        <f>IF(metadata!AB771="",FALSE,TRUE)</f>
        <v>0</v>
      </c>
    </row>
    <row r="772" spans="1:65" x14ac:dyDescent="0.2">
      <c r="A772" s="5" t="str">
        <f ca="1">IF(B772=" "," ",HYPERLINK(CONCATENATE("#metadata!",ADDRESS(INDEX($AH$2:$AH$1001,MATCH(ROWS($AF$2:AF772),$AF$2:$AF$1001,0),0),1)),INDEX($AK$2:$AK$1001,MATCH(ROWS($AF$2:AF772),$AF$2:$AF$1001,0),0)))</f>
        <v xml:space="preserve"> </v>
      </c>
      <c r="B772" s="4" t="str">
        <f ca="1">IF(OR(INDEX($AG$2:$AG$1001,MATCH(ROWS($AF$2:AF772),$AF$2:$AF$1001,0),1)&gt;=100000,INDEX($AM$1005:$BM$1005,1,MATCH(COLUMNS($AM$1006:AM1006),$AM$1006:$BM$1006,0))&gt;=100000), " ",IF(INDEX($AM$2:$BM$1001,MATCH(ROWS($AF$2:AF772),$AF$2:$AF$1001,0),MATCH(COLUMNS($AM$1006:AM1006),$AM$1006:$BM$1006,0)), HYPERLINK("#",""), HYPERLINK(CONCATENATE("#metadata!", ADDRESS(INDEX($AH$2:$AH$1001,MATCH(ROWS($AF$2:AF772),$AF$2:$AF$1001,0),0), INDEX($AM$1004:$BM$1004,1,MATCH(COLUMNS($AM$1006:AM1006),$AM$1006:$BM$1006,0)))),"Fix")))</f>
        <v xml:space="preserve"> </v>
      </c>
      <c r="C772" s="4" t="str">
        <f ca="1">IF(OR(INDEX($AG$2:$AG$1001,MATCH(ROWS($AF$2:AF772),$AF$2:$AF$1001,0),1)&gt;=100000,INDEX($AM$1005:$BM$1005,1,MATCH(COLUMNS($AM$1006:AN1006),$AM$1006:$BM$1006,0))&gt;=100000), " ",IF(INDEX($AM$2:$BM$1001,MATCH(ROWS($AF$2:AF772),$AF$2:$AF$1001,0),MATCH(COLUMNS($AM$1006:AN1006),$AM$1006:$BM$1006,0)), HYPERLINK("#",""), HYPERLINK(CONCATENATE("#metadata!", ADDRESS(INDEX($AH$2:$AH$1001,MATCH(ROWS($AF$2:AF772),$AF$2:$AF$1001,0),0), INDEX($AM$1004:$BM$1004,1,MATCH(COLUMNS($AM$1006:AN1006),$AM$1006:$BM$1006,0)))),"Fix")))</f>
        <v xml:space="preserve"> </v>
      </c>
      <c r="D772" s="4" t="str">
        <f ca="1">IF(OR(INDEX($AG$2:$AG$1001,MATCH(ROWS($AF$2:AF772),$AF$2:$AF$1001,0),1)&gt;=100000,INDEX($AM$1005:$BM$1005,1,MATCH(COLUMNS($AM$1006:AO1006),$AM$1006:$BM$1006,0))&gt;=100000), " ",IF(INDEX($AM$2:$BM$1001,MATCH(ROWS($AF$2:AF772),$AF$2:$AF$1001,0),MATCH(COLUMNS($AM$1006:AO1006),$AM$1006:$BM$1006,0)), HYPERLINK("#",""), HYPERLINK(CONCATENATE("#metadata!", ADDRESS(INDEX($AH$2:$AH$1001,MATCH(ROWS($AF$2:AF772),$AF$2:$AF$1001,0),0), INDEX($AM$1004:$BM$1004,1,MATCH(COLUMNS($AM$1006:AO1006),$AM$1006:$BM$1006,0)))),"Fix")))</f>
        <v xml:space="preserve"> </v>
      </c>
      <c r="E772" s="4" t="str">
        <f ca="1">IF(OR(INDEX($AG$2:$AG$1001,MATCH(ROWS($AF$2:AF772),$AF$2:$AF$1001,0),1)&gt;=100000,INDEX($AM$1005:$BM$1005,1,MATCH(COLUMNS($AM$1006:AP1006),$AM$1006:$BM$1006,0))&gt;=100000), " ",IF(INDEX($AM$2:$BM$1001,MATCH(ROWS($AF$2:AF772),$AF$2:$AF$1001,0),MATCH(COLUMNS($AM$1006:AP1006),$AM$1006:$BM$1006,0)), HYPERLINK("#",""), HYPERLINK(CONCATENATE("#metadata!", ADDRESS(INDEX($AH$2:$AH$1001,MATCH(ROWS($AF$2:AF772),$AF$2:$AF$1001,0),0), INDEX($AM$1004:$BM$1004,1,MATCH(COLUMNS($AM$1006:AP1006),$AM$1006:$BM$1006,0)))),"Fix")))</f>
        <v xml:space="preserve"> </v>
      </c>
      <c r="F772" s="4" t="str">
        <f ca="1">IF(OR(INDEX($AG$2:$AG$1001,MATCH(ROWS($AF$2:AF772),$AF$2:$AF$1001,0),1)&gt;=100000,INDEX($AM$1005:$BM$1005,1,MATCH(COLUMNS($AM$1006:AQ1006),$AM$1006:$BM$1006,0))&gt;=100000), " ",IF(INDEX($AM$2:$BM$1001,MATCH(ROWS($AF$2:AF772),$AF$2:$AF$1001,0),MATCH(COLUMNS($AM$1006:AQ1006),$AM$1006:$BM$1006,0)), HYPERLINK("#",""), HYPERLINK(CONCATENATE("#metadata!", ADDRESS(INDEX($AH$2:$AH$1001,MATCH(ROWS($AF$2:AF772),$AF$2:$AF$1001,0),0), INDEX($AM$1004:$BM$1004,1,MATCH(COLUMNS($AM$1006:AQ1006),$AM$1006:$BM$1006,0)))),"Fix")))</f>
        <v xml:space="preserve"> </v>
      </c>
      <c r="G772" s="4" t="str">
        <f ca="1">IF(OR(INDEX($AG$2:$AG$1001,MATCH(ROWS($AF$2:AF772),$AF$2:$AF$1001,0),1)&gt;=100000,INDEX($AM$1005:$BM$1005,1,MATCH(COLUMNS($AM$1006:AR1006),$AM$1006:$BM$1006,0))&gt;=100000), " ",IF(INDEX($AM$2:$BM$1001,MATCH(ROWS($AF$2:AF772),$AF$2:$AF$1001,0),MATCH(COLUMNS($AM$1006:AR1006),$AM$1006:$BM$1006,0)), HYPERLINK("#",""), HYPERLINK(CONCATENATE("#metadata!", ADDRESS(INDEX($AH$2:$AH$1001,MATCH(ROWS($AF$2:AF772),$AF$2:$AF$1001,0),0), INDEX($AM$1004:$BM$1004,1,MATCH(COLUMNS($AM$1006:AR1006),$AM$1006:$BM$1006,0)))),"Fix")))</f>
        <v xml:space="preserve"> </v>
      </c>
      <c r="H772" s="4" t="str">
        <f ca="1">IF(OR(INDEX($AG$2:$AG$1001,MATCH(ROWS($AF$2:AF772),$AF$2:$AF$1001,0),1)&gt;=100000,INDEX($AM$1005:$BM$1005,1,MATCH(COLUMNS($AM$1006:AS1006),$AM$1006:$BM$1006,0))&gt;=100000), " ",IF(INDEX($AM$2:$BM$1001,MATCH(ROWS($AF$2:AF772),$AF$2:$AF$1001,0),MATCH(COLUMNS($AM$1006:AS1006),$AM$1006:$BM$1006,0)), HYPERLINK("#",""), HYPERLINK(CONCATENATE("#metadata!", ADDRESS(INDEX($AH$2:$AH$1001,MATCH(ROWS($AF$2:AF772),$AF$2:$AF$1001,0),0), INDEX($AM$1004:$BM$1004,1,MATCH(COLUMNS($AM$1006:AS1006),$AM$1006:$BM$1006,0)))),"Fix")))</f>
        <v xml:space="preserve"> </v>
      </c>
      <c r="I772" s="4" t="str">
        <f ca="1">IF(OR(INDEX($AG$2:$AG$1001,MATCH(ROWS($AF$2:AF772),$AF$2:$AF$1001,0),1)&gt;=100000,INDEX($AM$1005:$BM$1005,1,MATCH(COLUMNS($AM$1006:AT1006),$AM$1006:$BM$1006,0))&gt;=100000), " ",IF(INDEX($AM$2:$BM$1001,MATCH(ROWS($AF$2:AF772),$AF$2:$AF$1001,0),MATCH(COLUMNS($AM$1006:AT1006),$AM$1006:$BM$1006,0)), HYPERLINK("#",""), HYPERLINK(CONCATENATE("#metadata!", ADDRESS(INDEX($AH$2:$AH$1001,MATCH(ROWS($AF$2:AF772),$AF$2:$AF$1001,0),0), INDEX($AM$1004:$BM$1004,1,MATCH(COLUMNS($AM$1006:AT1006),$AM$1006:$BM$1006,0)))),"Fix")))</f>
        <v xml:space="preserve"> </v>
      </c>
      <c r="J772" s="4" t="str">
        <f ca="1">IF(OR(INDEX($AG$2:$AG$1001,MATCH(ROWS($AF$2:AF772),$AF$2:$AF$1001,0),1)&gt;=100000,INDEX($AM$1005:$BM$1005,1,MATCH(COLUMNS($AM$1006:AU1006),$AM$1006:$BM$1006,0))&gt;=100000), " ",IF(INDEX($AM$2:$BM$1001,MATCH(ROWS($AF$2:AF772),$AF$2:$AF$1001,0),MATCH(COLUMNS($AM$1006:AU1006),$AM$1006:$BM$1006,0)), HYPERLINK("#",""), HYPERLINK(CONCATENATE("#metadata!", ADDRESS(INDEX($AH$2:$AH$1001,MATCH(ROWS($AF$2:AF772),$AF$2:$AF$1001,0),0), INDEX($AM$1004:$BM$1004,1,MATCH(COLUMNS($AM$1006:AU1006),$AM$1006:$BM$1006,0)))),"Fix")))</f>
        <v xml:space="preserve"> </v>
      </c>
      <c r="K772" s="4" t="str">
        <f ca="1">IF(OR(INDEX($AG$2:$AG$1001,MATCH(ROWS($AF$2:AF772),$AF$2:$AF$1001,0),1)&gt;=100000,INDEX($AM$1005:$BM$1005,1,MATCH(COLUMNS($AM$1006:AV1006),$AM$1006:$BM$1006,0))&gt;=100000), " ",IF(INDEX($AM$2:$BM$1001,MATCH(ROWS($AF$2:AF772),$AF$2:$AF$1001,0),MATCH(COLUMNS($AM$1006:AV1006),$AM$1006:$BM$1006,0)), HYPERLINK("#",""), HYPERLINK(CONCATENATE("#metadata!", ADDRESS(INDEX($AH$2:$AH$1001,MATCH(ROWS($AF$2:AF772),$AF$2:$AF$1001,0),0), INDEX($AM$1004:$BM$1004,1,MATCH(COLUMNS($AM$1006:AV1006),$AM$1006:$BM$1006,0)))),"Fix")))</f>
        <v xml:space="preserve"> </v>
      </c>
      <c r="L772" s="4" t="str">
        <f ca="1">IF(OR(INDEX($AG$2:$AG$1001,MATCH(ROWS($AF$2:AF772),$AF$2:$AF$1001,0),1)&gt;=100000,INDEX($AM$1005:$BM$1005,1,MATCH(COLUMNS($AM$1006:AW1006),$AM$1006:$BM$1006,0))&gt;=100000), " ",IF(INDEX($AM$2:$BM$1001,MATCH(ROWS($AF$2:AF772),$AF$2:$AF$1001,0),MATCH(COLUMNS($AM$1006:AW1006),$AM$1006:$BM$1006,0)), HYPERLINK("#",""), HYPERLINK(CONCATENATE("#metadata!", ADDRESS(INDEX($AH$2:$AH$1001,MATCH(ROWS($AF$2:AF772),$AF$2:$AF$1001,0),0), INDEX($AM$1004:$BM$1004,1,MATCH(COLUMNS($AM$1006:AW1006),$AM$1006:$BM$1006,0)))),"Fix")))</f>
        <v xml:space="preserve"> </v>
      </c>
      <c r="M772" s="4" t="str">
        <f ca="1">IF(OR(INDEX($AG$2:$AG$1001,MATCH(ROWS($AF$2:AF772),$AF$2:$AF$1001,0),1)&gt;=100000,INDEX($AM$1005:$BM$1005,1,MATCH(COLUMNS($AM$1006:AX1006),$AM$1006:$BM$1006,0))&gt;=100000), " ",IF(INDEX($AM$2:$BM$1001,MATCH(ROWS($AF$2:AF772),$AF$2:$AF$1001,0),MATCH(COLUMNS($AM$1006:AX1006),$AM$1006:$BM$1006,0)), HYPERLINK("#",""), HYPERLINK(CONCATENATE("#metadata!", ADDRESS(INDEX($AH$2:$AH$1001,MATCH(ROWS($AF$2:AF772),$AF$2:$AF$1001,0),0), INDEX($AM$1004:$BM$1004,1,MATCH(COLUMNS($AM$1006:AX1006),$AM$1006:$BM$1006,0)))),"Fix")))</f>
        <v xml:space="preserve"> </v>
      </c>
      <c r="N772" s="4" t="str">
        <f ca="1">IF(OR(INDEX($AG$2:$AG$1001,MATCH(ROWS($AF$2:AF772),$AF$2:$AF$1001,0),1)&gt;=100000,INDEX($AM$1005:$BM$1005,1,MATCH(COLUMNS($AM$1006:AY1006),$AM$1006:$BM$1006,0))&gt;=100000), " ",IF(INDEX($AM$2:$BM$1001,MATCH(ROWS($AF$2:AF772),$AF$2:$AF$1001,0),MATCH(COLUMNS($AM$1006:AY1006),$AM$1006:$BM$1006,0)), HYPERLINK("#",""), HYPERLINK(CONCATENATE("#metadata!", ADDRESS(INDEX($AH$2:$AH$1001,MATCH(ROWS($AF$2:AF772),$AF$2:$AF$1001,0),0), INDEX($AM$1004:$BM$1004,1,MATCH(COLUMNS($AM$1006:AY1006),$AM$1006:$BM$1006,0)))),"Fix")))</f>
        <v xml:space="preserve"> </v>
      </c>
      <c r="O772" s="4" t="str">
        <f ca="1">IF(OR(INDEX($AG$2:$AG$1001,MATCH(ROWS($AF$2:AF772),$AF$2:$AF$1001,0),1)&gt;=100000,INDEX($AM$1005:$BM$1005,1,MATCH(COLUMNS($AM$1006:AZ1006),$AM$1006:$BM$1006,0))&gt;=100000), " ",IF(INDEX($AM$2:$BM$1001,MATCH(ROWS($AF$2:AF772),$AF$2:$AF$1001,0),MATCH(COLUMNS($AM$1006:AZ1006),$AM$1006:$BM$1006,0)), HYPERLINK("#",""), HYPERLINK(CONCATENATE("#metadata!", ADDRESS(INDEX($AH$2:$AH$1001,MATCH(ROWS($AF$2:AF772),$AF$2:$AF$1001,0),0), INDEX($AM$1004:$BM$1004,1,MATCH(COLUMNS($AM$1006:AZ1006),$AM$1006:$BM$1006,0)))),"Fix")))</f>
        <v xml:space="preserve"> </v>
      </c>
      <c r="P772" s="4" t="str">
        <f ca="1">IF(OR(INDEX($AG$2:$AG$1001,MATCH(ROWS($AF$2:AF772),$AF$2:$AF$1001,0),1)&gt;=100000,INDEX($AM$1005:$BM$1005,1,MATCH(COLUMNS($AM$1006:BA1006),$AM$1006:$BM$1006,0))&gt;=100000), " ",IF(INDEX($AM$2:$BM$1001,MATCH(ROWS($AF$2:AF772),$AF$2:$AF$1001,0),MATCH(COLUMNS($AM$1006:BA1006),$AM$1006:$BM$1006,0)), HYPERLINK("#",""), HYPERLINK(CONCATENATE("#metadata!", ADDRESS(INDEX($AH$2:$AH$1001,MATCH(ROWS($AF$2:AF772),$AF$2:$AF$1001,0),0), INDEX($AM$1004:$BM$1004,1,MATCH(COLUMNS($AM$1006:BA1006),$AM$1006:$BM$1006,0)))),"Fix")))</f>
        <v xml:space="preserve"> </v>
      </c>
      <c r="Q772" s="4" t="str">
        <f ca="1">IF(OR(INDEX($AG$2:$AG$1001,MATCH(ROWS($AF$2:AF772),$AF$2:$AF$1001,0),1)&gt;=100000,INDEX($AM$1005:$BM$1005,1,MATCH(COLUMNS($AM$1006:BB1006),$AM$1006:$BM$1006,0))&gt;=100000), " ",IF(INDEX($AM$2:$BM$1001,MATCH(ROWS($AF$2:AF772),$AF$2:$AF$1001,0),MATCH(COLUMNS($AM$1006:BB1006),$AM$1006:$BM$1006,0)), HYPERLINK("#",""), HYPERLINK(CONCATENATE("#metadata!", ADDRESS(INDEX($AH$2:$AH$1001,MATCH(ROWS($AF$2:AF772),$AF$2:$AF$1001,0),0), INDEX($AM$1004:$BM$1004,1,MATCH(COLUMNS($AM$1006:BB1006),$AM$1006:$BM$1006,0)))),"Fix")))</f>
        <v xml:space="preserve"> </v>
      </c>
      <c r="R772" s="4" t="str">
        <f ca="1">IF(OR(INDEX($AG$2:$AG$1001,MATCH(ROWS($AF$2:AF772),$AF$2:$AF$1001,0),1)&gt;=100000,INDEX($AM$1005:$BM$1005,1,MATCH(COLUMNS($AM$1006:BC1006),$AM$1006:$BM$1006,0))&gt;=100000), " ",IF(INDEX($AM$2:$BM$1001,MATCH(ROWS($AF$2:AF772),$AF$2:$AF$1001,0),MATCH(COLUMNS($AM$1006:BC1006),$AM$1006:$BM$1006,0)), HYPERLINK("#",""), HYPERLINK(CONCATENATE("#metadata!", ADDRESS(INDEX($AH$2:$AH$1001,MATCH(ROWS($AF$2:AF772),$AF$2:$AF$1001,0),0), INDEX($AM$1004:$BM$1004,1,MATCH(COLUMNS($AM$1006:BC1006),$AM$1006:$BM$1006,0)))),"Fix")))</f>
        <v xml:space="preserve"> </v>
      </c>
      <c r="S772" s="4" t="str">
        <f ca="1">IF(OR(INDEX($AG$2:$AG$1001,MATCH(ROWS($AF$2:AF772),$AF$2:$AF$1001,0),1)&gt;=100000,INDEX($AM$1005:$BM$1005,1,MATCH(COLUMNS($AM$1006:BD1006),$AM$1006:$BM$1006,0))&gt;=100000), " ",IF(INDEX($AM$2:$BM$1001,MATCH(ROWS($AF$2:AF772),$AF$2:$AF$1001,0),MATCH(COLUMNS($AM$1006:BD1006),$AM$1006:$BM$1006,0)), HYPERLINK("#",""), HYPERLINK(CONCATENATE("#metadata!", ADDRESS(INDEX($AH$2:$AH$1001,MATCH(ROWS($AF$2:AF772),$AF$2:$AF$1001,0),0), INDEX($AM$1004:$BM$1004,1,MATCH(COLUMNS($AM$1006:BD1006),$AM$1006:$BM$1006,0)))),"Fix")))</f>
        <v xml:space="preserve"> </v>
      </c>
      <c r="T772" s="4" t="str">
        <f ca="1">IF(OR(INDEX($AG$2:$AG$1001,MATCH(ROWS($AF$2:AF772),$AF$2:$AF$1001,0),1)&gt;=100000,INDEX($AM$1005:$BM$1005,1,MATCH(COLUMNS($AM$1006:BE1006),$AM$1006:$BM$1006,0))&gt;=100000), " ",IF(INDEX($AM$2:$BM$1001,MATCH(ROWS($AF$2:AF772),$AF$2:$AF$1001,0),MATCH(COLUMNS($AM$1006:BE1006),$AM$1006:$BM$1006,0)), HYPERLINK("#",""), HYPERLINK(CONCATENATE("#metadata!", ADDRESS(INDEX($AH$2:$AH$1001,MATCH(ROWS($AF$2:AF772),$AF$2:$AF$1001,0),0), INDEX($AM$1004:$BM$1004,1,MATCH(COLUMNS($AM$1006:BE1006),$AM$1006:$BM$1006,0)))),"Fix")))</f>
        <v xml:space="preserve"> </v>
      </c>
      <c r="U772" s="4" t="str">
        <f ca="1">IF(OR(INDEX($AG$2:$AG$1001,MATCH(ROWS($AF$2:AF772),$AF$2:$AF$1001,0),1)&gt;=100000,INDEX($AM$1005:$BM$1005,1,MATCH(COLUMNS($AM$1006:BF1006),$AM$1006:$BM$1006,0))&gt;=100000), " ",IF(INDEX($AM$2:$BM$1001,MATCH(ROWS($AF$2:AF772),$AF$2:$AF$1001,0),MATCH(COLUMNS($AM$1006:BF1006),$AM$1006:$BM$1006,0)), HYPERLINK("#",""), HYPERLINK(CONCATENATE("#metadata!", ADDRESS(INDEX($AH$2:$AH$1001,MATCH(ROWS($AF$2:AF772),$AF$2:$AF$1001,0),0), INDEX($AM$1004:$BM$1004,1,MATCH(COLUMNS($AM$1006:BF1006),$AM$1006:$BM$1006,0)))),"Fix")))</f>
        <v xml:space="preserve"> </v>
      </c>
      <c r="V772" s="4" t="str">
        <f ca="1">IF(OR(INDEX($AG$2:$AG$1001,MATCH(ROWS($AF$2:AF772),$AF$2:$AF$1001,0),1)&gt;=100000,INDEX($AM$1005:$BM$1005,1,MATCH(COLUMNS($AM$1006:BG1006),$AM$1006:$BM$1006,0))&gt;=100000), " ",IF(INDEX($AM$2:$BM$1001,MATCH(ROWS($AF$2:AF772),$AF$2:$AF$1001,0),MATCH(COLUMNS($AM$1006:BG1006),$AM$1006:$BM$1006,0)), HYPERLINK("#",""), HYPERLINK(CONCATENATE("#metadata!", ADDRESS(INDEX($AH$2:$AH$1001,MATCH(ROWS($AF$2:AF772),$AF$2:$AF$1001,0),0), INDEX($AM$1004:$BM$1004,1,MATCH(COLUMNS($AM$1006:BG1006),$AM$1006:$BM$1006,0)))),"Fix")))</f>
        <v xml:space="preserve"> </v>
      </c>
      <c r="W772" s="4" t="str">
        <f ca="1">IF(OR(INDEX($AG$2:$AG$1001,MATCH(ROWS($AF$2:AF772),$AF$2:$AF$1001,0),1)&gt;=100000,INDEX($AM$1005:$BM$1005,1,MATCH(COLUMNS($AM$1006:BH1006),$AM$1006:$BM$1006,0))&gt;=100000), " ",IF(INDEX($AM$2:$BM$1001,MATCH(ROWS($AF$2:AF772),$AF$2:$AF$1001,0),MATCH(COLUMNS($AM$1006:BH1006),$AM$1006:$BM$1006,0)), HYPERLINK("#",""), HYPERLINK(CONCATENATE("#metadata!", ADDRESS(INDEX($AH$2:$AH$1001,MATCH(ROWS($AF$2:AF772),$AF$2:$AF$1001,0),0), INDEX($AM$1004:$BM$1004,1,MATCH(COLUMNS($AM$1006:BH1006),$AM$1006:$BM$1006,0)))),"Fix")))</f>
        <v xml:space="preserve"> </v>
      </c>
      <c r="X772" s="4" t="str">
        <f ca="1">IF(OR(INDEX($AG$2:$AG$1001,MATCH(ROWS($AF$2:AF772),$AF$2:$AF$1001,0),1)&gt;=100000,INDEX($AM$1005:$BM$1005,1,MATCH(COLUMNS($AM$1006:BI1006),$AM$1006:$BM$1006,0))&gt;=100000), " ",IF(INDEX($AM$2:$BM$1001,MATCH(ROWS($AF$2:AF772),$AF$2:$AF$1001,0),MATCH(COLUMNS($AM$1006:BI1006),$AM$1006:$BM$1006,0)), HYPERLINK("#",""), HYPERLINK(CONCATENATE("#metadata!", ADDRESS(INDEX($AH$2:$AH$1001,MATCH(ROWS($AF$2:AF772),$AF$2:$AF$1001,0),0), INDEX($AM$1004:$BM$1004,1,MATCH(COLUMNS($AM$1006:BI1006),$AM$1006:$BM$1006,0)))),"Fix")))</f>
        <v xml:space="preserve"> </v>
      </c>
      <c r="Y772" s="4" t="str">
        <f ca="1">IF(OR(INDEX($AG$2:$AG$1001,MATCH(ROWS($AF$2:AF772),$AF$2:$AF$1001,0),1)&gt;=100000,INDEX($AM$1005:$BM$1005,1,MATCH(COLUMNS($AM$1006:BJ1006),$AM$1006:$BM$1006,0))&gt;=100000), " ",IF(INDEX($AM$2:$BM$1001,MATCH(ROWS($AF$2:AF772),$AF$2:$AF$1001,0),MATCH(COLUMNS($AM$1006:BJ1006),$AM$1006:$BM$1006,0)), HYPERLINK("#",""), HYPERLINK(CONCATENATE("#metadata!", ADDRESS(INDEX($AH$2:$AH$1001,MATCH(ROWS($AF$2:AF772),$AF$2:$AF$1001,0),0), INDEX($AM$1004:$BM$1004,1,MATCH(COLUMNS($AM$1006:BJ1006),$AM$1006:$BM$1006,0)))),"Fix")))</f>
        <v xml:space="preserve"> </v>
      </c>
      <c r="Z772" s="4" t="str">
        <f ca="1">IF(OR(INDEX($AG$2:$AG$1001,MATCH(ROWS($AF$2:AF772),$AF$2:$AF$1001,0),1)&gt;=100000,INDEX($AM$1005:$BM$1005,1,MATCH(COLUMNS($AM$1006:BK1006),$AM$1006:$BM$1006,0))&gt;=100000), " ",IF(INDEX($AM$2:$BM$1001,MATCH(ROWS($AF$2:AF772),$AF$2:$AF$1001,0),MATCH(COLUMNS($AM$1006:BK1006),$AM$1006:$BM$1006,0)), HYPERLINK("#",""), HYPERLINK(CONCATENATE("#metadata!", ADDRESS(INDEX($AH$2:$AH$1001,MATCH(ROWS($AF$2:AF772),$AF$2:$AF$1001,0),0), INDEX($AM$1004:$BM$1004,1,MATCH(COLUMNS($AM$1006:BK1006),$AM$1006:$BM$1006,0)))),"Fix")))</f>
        <v xml:space="preserve"> </v>
      </c>
      <c r="AA772" s="4" t="str">
        <f ca="1">IF(OR(INDEX($AG$2:$AG$1001,MATCH(ROWS($AF$2:AF772),$AF$2:$AF$1001,0),1)&gt;=100000,INDEX($AM$1005:$BM$1005,1,MATCH(COLUMNS($AM$1006:BL1006),$AM$1006:$BM$1006,0))&gt;=100000), " ",IF(INDEX($AM$2:$BM$1001,MATCH(ROWS($AF$2:AF772),$AF$2:$AF$1001,0),MATCH(COLUMNS($AM$1006:BL1006),$AM$1006:$BM$1006,0)), HYPERLINK("#",""), HYPERLINK(CONCATENATE("#metadata!", ADDRESS(INDEX($AH$2:$AH$1001,MATCH(ROWS($AF$2:AF772),$AF$2:$AF$1001,0),0), INDEX($AM$1004:$BM$1004,1,MATCH(COLUMNS($AM$1006:BL1006),$AM$1006:$BM$1006,0)))),"Fix")))</f>
        <v xml:space="preserve"> </v>
      </c>
      <c r="AB772" s="4" t="str">
        <f ca="1">IF(OR(INDEX($AG$2:$AG$1001,MATCH(ROWS($AF$2:AF772),$AF$2:$AF$1001,0),1)&gt;=100000,INDEX($AM$1005:$BM$1005,1,MATCH(COLUMNS($AM$1006:BM1006),$AM$1006:$BM$1006,0))&gt;=100000), " ",IF(INDEX($AM$2:$BM$1001,MATCH(ROWS($AF$2:AF772),$AF$2:$AF$1001,0),MATCH(COLUMNS($AM$1006:BM1006),$AM$1006:$BM$1006,0)), HYPERLINK("#",""), HYPERLINK(CONCATENATE("#metadata!", ADDRESS(INDEX($AH$2:$AH$1001,MATCH(ROWS($AF$2:AF772),$AF$2:$AF$1001,0),0), INDEX($AM$1004:$BM$1004,1,MATCH(COLUMNS($AM$1006:BM1006),$AM$1006:$BM$1006,0)))),"Fix")))</f>
        <v xml:space="preserve"> </v>
      </c>
      <c r="AF772">
        <v>771</v>
      </c>
      <c r="AG772">
        <v>100772</v>
      </c>
      <c r="AH772">
        <v>772</v>
      </c>
      <c r="AI772" t="b">
        <f t="shared" si="12"/>
        <v>1</v>
      </c>
      <c r="AJ772" t="b">
        <f>COUNTBLANK(metadata!B772:AB772)=COLUMNS(metadata!B772:AB772)</f>
        <v>1</v>
      </c>
      <c r="AK772" t="str">
        <v/>
      </c>
      <c r="AM772" t="b">
        <f ca="1">AND(IF(metadata!B772="",FALSE,TRUE),COUNTIF(metadata!B:B, metadata!B772) = 1,NOT(ISERROR(SUMPRODUCT(SEARCH(MID(metadata!B772,ROW(INDIRECT("1:"&amp;LEN(metadata!B772))), 1),"0123456789abcdefghijklmnopqrstuvwxyzABCDEFGHIJKLMNOPQRSTUVWXYZ.")))))</f>
        <v>0</v>
      </c>
      <c r="AN772" t="b">
        <f ca="1">OR(AND(IF(metadata!C772="",FALSE,TRUE),OR(EXACT(metadata!C772,"missing: not collected"),EXACT(metadata!C772,"missing: not provided"),EXACT(metadata!C772,"missing: restricted access"))),AND(IF(metadata!C772="",FALSE,TRUE),AND(AND(IFERROR(INT(LEFT(metadata!C772,4))&gt;1900,FALSE),IFERROR(INT(LEFT(metadata!C772,4))&lt;=YEAR(NOW()),FALSE)), OR(MID(metadata!C772,5,1)="", AND(AND(MID(metadata!C772,5,1)="-",IFERROR(INT(MID(metadata!C772,6,1))&gt;=0,FALSE),IFERROR(INT(MID(metadata!C772,6,1))&lt;=1,FALSE),NOT(MID(metadata!C772,7,1)=""),IFERROR(INT(MID(metadata!C772,6,2))&gt;=1,FALSE),IFERROR(INT(MID(metadata!C772,6,2))&lt;=12,FALSE)), OR(MID(metadata!C772,8,1)="", AND(AND(MID(metadata!C772,8,1)="-",IFERROR(INT(MID(metadata!C772,9,1))&gt;=0,FALSE),IFERROR(INT(MID(metadata!C772,9,1))&lt;=3,FALSE),NOT(MID(metadata!C772,10,1)=""),IFERROR(INT(MID(metadata!C772,9,2))&gt;=1,FALSE),IFERROR(INT(MID(metadata!C772,9,2))&lt;=31,FALSE)), OR(MID(metadata!C772,11,1)="", AND(AND(MID(metadata!C772,11,1)=" ",IFERROR(INT(MID(metadata!C772,12,1))&gt;=0,FALSE),IFERROR(INT(MID(metadata!C772,12,1))&lt;=2,FALSE),NOT(MID(metadata!C772,13,1)=""),IFERROR(INT(MID(metadata!C772,12,2))&gt;=0,FALSE),IFERROR(INT(MID(metadata!C772,12,2))&lt;=23,FALSE)), OR(MID(metadata!C772,14,1)="", AND(AND(MID(metadata!C772,14,1)=":",IFERROR(INT(MID(metadata!C772,15,1))&gt;=0,FALSE),IFERROR(INT(MID(metadata!C772,15,1))&lt;=5,FALSE),NOT(MID(metadata!C772,16,1)=""),IFERROR(INT(MID(metadata!C772,15,2))&gt;=0,FALSE),IFERROR(INT(MID(metadata!C772,15,2))&lt;=59,FALSE)), OR(MID(metadata!C772,17,1)="", AND(AND(MID(metadata!C772,17,1)=":",IFERROR(INT(MID(metadata!C772,18,1))&gt;=0,FALSE),IFERROR(INT(MID(metadata!C772,18,1))&lt;=5,FALSE),NOT(MID(metadata!C772,19,1)=""),IFERROR(INT(MID(metadata!C772,18,2))&gt;=0,FALSE),IFERROR(INT(MID(metadata!C772,18,2))&lt;=59,FALSE)), LEN(metadata!C772)&lt;=19)))))))))))))</f>
        <v>0</v>
      </c>
      <c r="AO772" t="b">
        <f>AND(IF(metadata!D772="",FALSE,TRUE),EXACT(metadata!D772,"Not applicable"))</f>
        <v>0</v>
      </c>
      <c r="AP772" t="b">
        <f>IF(metadata!E772="",FALSE,TRUE)</f>
        <v>0</v>
      </c>
      <c r="AQ772" t="b">
        <f>OR(AND(IF(metadata!F772="",FALSE,TRUE),OR(EXACT(metadata!F772,"missing: not collected"),EXACT(metadata!F772,"missing: not provided"))),AND(IF(metadata!F772="",FALSE,TRUE),OR(EXACT(metadata!F772,"TRUE"),EXACT(metadata!F772,"FALSE"))))</f>
        <v>0</v>
      </c>
      <c r="AR772" t="b">
        <f>OR(AND(IF(metadata!G772="",FALSE,TRUE),OR(EXACT(metadata!G772,"missing: not collected"),EXACT(metadata!G772,"missing: not provided"),EXACT(metadata!G772,"missing: restricted access"))),AND(IF(metadata!G772="",FALSE,ISNUMBER(VALUE(metadata!G772))),metadata!G772&gt;=-413))</f>
        <v>0</v>
      </c>
      <c r="AS772" t="b">
        <f>AND(IF(metadata!H772="",FALSE,TRUE),EXACT(metadata!H772,"meters"))</f>
        <v>0</v>
      </c>
      <c r="AT772" t="b">
        <f>AND(IF(metadata!I772="",FALSE,TRUE),OR(EXACT(metadata!I772,"Host-associated"),EXACT(metadata!I772,"Free-living")))</f>
        <v>0</v>
      </c>
      <c r="AU772" t="b">
        <f>AND(IF(metadata!J772="",FALSE,TRUE),OR(EXACT(metadata!J772,"Animal"),EXACT(metadata!J772,"Fungus"),EXACT(metadata!J772,"Plant"),EXACT(metadata!J772,"Saline"),EXACT(metadata!J772,"Non-saline")))</f>
        <v>0</v>
      </c>
      <c r="AV772" t="b">
        <f>AND(IF(metadata!K772="",FALSE,TRUE),OR(EXACT(metadata!K772,"Plant secretion"),EXACT(metadata!K772,"Plant rhizosphere"),EXACT(metadata!K772,"Plant surface"),EXACT(metadata!K772,"Plant corpus"),EXACT(metadata!K772,"Fungus surface"),EXACT(metadata!K772,"Fungus corpus"),EXACT(metadata!K772,"Animal surface"),EXACT(metadata!K772,"Animal proximal gut"),EXACT(metadata!K772,"Animal corpus"),EXACT(metadata!K772,"Animal distal gut"),EXACT(metadata!K772,"Animal secretion"),EXACT(metadata!K772,"Sub-surface (non-saline)"),EXACT(metadata!K772,"Surface (non-saline)"),EXACT(metadata!K772,"Water (non-saline)"),EXACT(metadata!K772,"Soil (non-saline)"),EXACT(metadata!K772,"Aerosol (non-saline)"),EXACT(metadata!K772,"Sediment (non-saline)"),EXACT(metadata!K772,"Surface (saline)"),EXACT(metadata!K772,"Water (saline)"),EXACT(metadata!K772,"Hypersaline (saline)"),EXACT(metadata!K772,"Aerosol (saline)"),EXACT(metadata!K772,"Sediment (saline)")))</f>
        <v>0</v>
      </c>
      <c r="AW772" t="b">
        <f>IF(metadata!L772="",FALSE,TRUE)</f>
        <v>0</v>
      </c>
      <c r="AX772" t="b">
        <f>IF(metadata!M772="",FALSE,TRUE)</f>
        <v>0</v>
      </c>
      <c r="AY772" t="b">
        <f>IF(metadata!N772="",FALSE,TRUE)</f>
        <v>0</v>
      </c>
      <c r="AZ772" t="b">
        <f>OR(AND(IF(metadata!O772="",FALSE,TRUE),OR(EXACT(metadata!O772,"missing: not collected"),EXACT(metadata!O772,"missing: not provided"),EXACT(metadata!O772,"missing: restricted access"))),AND(IF(metadata!O772="",FALSE,TRUE),OR(EXACT(metadata!O772,"air"),EXACT(metadata!O772,"built environment"),EXACT(metadata!O772,"host-associated"),EXACT(metadata!O772,"human-associated"),EXACT(metadata!O772,"human-skin"),EXACT(metadata!O772,"human-oral"),EXACT(metadata!O772,"human-gut"),EXACT(metadata!O772,"human-vaginal"),EXACT(metadata!O772,"microbial mat/biofilm"),EXACT(metadata!O772,"misc environment"),EXACT(metadata!O772,"plant-associated"),EXACT(metadata!O772,"sediment"),EXACT(metadata!O772,"soil"),EXACT(metadata!O772,"wastewater/sludge"),EXACT(metadata!O772,"water"))))</f>
        <v>0</v>
      </c>
      <c r="BA772" t="b">
        <f>IF(metadata!P772="",FALSE,TRUE)</f>
        <v>0</v>
      </c>
      <c r="BB772" t="b">
        <f>IF(metadata!Q772="",FALSE,TRUE)</f>
        <v>0</v>
      </c>
      <c r="BC772" t="b">
        <f>OR(AND(IF(metadata!R772="",FALSE,TRUE),OR(EXACT(metadata!R772,"missing: not collected"),EXACT(metadata!R772,"missing: not provided"),EXACT(metadata!R772,"missing: restricted access"))),AND(IF(metadata!R772="",FALSE,ISNUMBER(VALUE(metadata!R772))),metadata!R772&gt;=-90,metadata!R772&lt;=90))</f>
        <v>0</v>
      </c>
      <c r="BD772" t="b">
        <f>AND(IF(metadata!S772="",FALSE,TRUE),EXACT(metadata!S772,"Decimal degrees"))</f>
        <v>0</v>
      </c>
      <c r="BE772" t="b">
        <f>OR(AND(IF(metadata!T772="",FALSE,TRUE),OR(EXACT(metadata!T772,"missing: not collected"),EXACT(metadata!T772,"missing: not provided"),EXACT(metadata!T772,"missing: restricted access"))),AND(IF(metadata!T772="",FALSE,ISNUMBER(VALUE(metadata!T772))),metadata!T772&gt;=-180,metadata!T772&lt;=180))</f>
        <v>0</v>
      </c>
      <c r="BF772" t="b">
        <f>AND(IF(metadata!U772="",FALSE,TRUE),EXACT(metadata!U772,"Decimal degrees"))</f>
        <v>0</v>
      </c>
      <c r="BG772" t="b">
        <f>IF(metadata!V772="",FALSE,TRUE)</f>
        <v>0</v>
      </c>
      <c r="BH772" t="b">
        <f>OR(AND(IF(metadata!W772="",FALSE,TRUE),OR(EXACT(metadata!W772,"missing: not collected"),EXACT(metadata!W772,"missing: not provided"),EXACT(metadata!W772,"missing: restricted access"))),AND(IF(metadata!W772="",FALSE,TRUE),OR(EXACT(metadata!W772,"TRUE"),EXACT(metadata!W772,"FALSE"))))</f>
        <v>0</v>
      </c>
      <c r="BI772" t="b">
        <f>AND(IF(metadata!X772="",FALSE,TRUE),EXACT(metadata!X772,"other"))</f>
        <v>0</v>
      </c>
      <c r="BJ772" t="b">
        <f>IF(metadata!Y772="",FALSE,TRUE)</f>
        <v>0</v>
      </c>
      <c r="BK772" t="b">
        <f>OR(AND(IF(metadata!Z772="",FALSE,TRUE),OR(EXACT(metadata!Z772,"missing: not collected"),EXACT(metadata!Z772,"missing: not provided"))),AND(IF(metadata!Z772="",FALSE,IF(ISERROR(INT(metadata!Z772)),FALSE,INT(metadata!Z772)=metadata!Z772)),metadata!Z772&gt;0))</f>
        <v>0</v>
      </c>
      <c r="BL772" t="b">
        <f>AND(IF(metadata!AA772="",FALSE,TRUE),EXACT(metadata!AA772,"Not applicable"))</f>
        <v>0</v>
      </c>
      <c r="BM772" t="b">
        <f>IF(metadata!AB772="",FALSE,TRUE)</f>
        <v>0</v>
      </c>
    </row>
    <row r="773" spans="1:65" x14ac:dyDescent="0.2">
      <c r="A773" s="5" t="str">
        <f ca="1">IF(B773=" "," ",HYPERLINK(CONCATENATE("#metadata!",ADDRESS(INDEX($AH$2:$AH$1001,MATCH(ROWS($AF$2:AF773),$AF$2:$AF$1001,0),0),1)),INDEX($AK$2:$AK$1001,MATCH(ROWS($AF$2:AF773),$AF$2:$AF$1001,0),0)))</f>
        <v xml:space="preserve"> </v>
      </c>
      <c r="B773" s="4" t="str">
        <f ca="1">IF(OR(INDEX($AG$2:$AG$1001,MATCH(ROWS($AF$2:AF773),$AF$2:$AF$1001,0),1)&gt;=100000,INDEX($AM$1005:$BM$1005,1,MATCH(COLUMNS($AM$1006:AM1006),$AM$1006:$BM$1006,0))&gt;=100000), " ",IF(INDEX($AM$2:$BM$1001,MATCH(ROWS($AF$2:AF773),$AF$2:$AF$1001,0),MATCH(COLUMNS($AM$1006:AM1006),$AM$1006:$BM$1006,0)), HYPERLINK("#",""), HYPERLINK(CONCATENATE("#metadata!", ADDRESS(INDEX($AH$2:$AH$1001,MATCH(ROWS($AF$2:AF773),$AF$2:$AF$1001,0),0), INDEX($AM$1004:$BM$1004,1,MATCH(COLUMNS($AM$1006:AM1006),$AM$1006:$BM$1006,0)))),"Fix")))</f>
        <v xml:space="preserve"> </v>
      </c>
      <c r="C773" s="4" t="str">
        <f ca="1">IF(OR(INDEX($AG$2:$AG$1001,MATCH(ROWS($AF$2:AF773),$AF$2:$AF$1001,0),1)&gt;=100000,INDEX($AM$1005:$BM$1005,1,MATCH(COLUMNS($AM$1006:AN1006),$AM$1006:$BM$1006,0))&gt;=100000), " ",IF(INDEX($AM$2:$BM$1001,MATCH(ROWS($AF$2:AF773),$AF$2:$AF$1001,0),MATCH(COLUMNS($AM$1006:AN1006),$AM$1006:$BM$1006,0)), HYPERLINK("#",""), HYPERLINK(CONCATENATE("#metadata!", ADDRESS(INDEX($AH$2:$AH$1001,MATCH(ROWS($AF$2:AF773),$AF$2:$AF$1001,0),0), INDEX($AM$1004:$BM$1004,1,MATCH(COLUMNS($AM$1006:AN1006),$AM$1006:$BM$1006,0)))),"Fix")))</f>
        <v xml:space="preserve"> </v>
      </c>
      <c r="D773" s="4" t="str">
        <f ca="1">IF(OR(INDEX($AG$2:$AG$1001,MATCH(ROWS($AF$2:AF773),$AF$2:$AF$1001,0),1)&gt;=100000,INDEX($AM$1005:$BM$1005,1,MATCH(COLUMNS($AM$1006:AO1006),$AM$1006:$BM$1006,0))&gt;=100000), " ",IF(INDEX($AM$2:$BM$1001,MATCH(ROWS($AF$2:AF773),$AF$2:$AF$1001,0),MATCH(COLUMNS($AM$1006:AO1006),$AM$1006:$BM$1006,0)), HYPERLINK("#",""), HYPERLINK(CONCATENATE("#metadata!", ADDRESS(INDEX($AH$2:$AH$1001,MATCH(ROWS($AF$2:AF773),$AF$2:$AF$1001,0),0), INDEX($AM$1004:$BM$1004,1,MATCH(COLUMNS($AM$1006:AO1006),$AM$1006:$BM$1006,0)))),"Fix")))</f>
        <v xml:space="preserve"> </v>
      </c>
      <c r="E773" s="4" t="str">
        <f ca="1">IF(OR(INDEX($AG$2:$AG$1001,MATCH(ROWS($AF$2:AF773),$AF$2:$AF$1001,0),1)&gt;=100000,INDEX($AM$1005:$BM$1005,1,MATCH(COLUMNS($AM$1006:AP1006),$AM$1006:$BM$1006,0))&gt;=100000), " ",IF(INDEX($AM$2:$BM$1001,MATCH(ROWS($AF$2:AF773),$AF$2:$AF$1001,0),MATCH(COLUMNS($AM$1006:AP1006),$AM$1006:$BM$1006,0)), HYPERLINK("#",""), HYPERLINK(CONCATENATE("#metadata!", ADDRESS(INDEX($AH$2:$AH$1001,MATCH(ROWS($AF$2:AF773),$AF$2:$AF$1001,0),0), INDEX($AM$1004:$BM$1004,1,MATCH(COLUMNS($AM$1006:AP1006),$AM$1006:$BM$1006,0)))),"Fix")))</f>
        <v xml:space="preserve"> </v>
      </c>
      <c r="F773" s="4" t="str">
        <f ca="1">IF(OR(INDEX($AG$2:$AG$1001,MATCH(ROWS($AF$2:AF773),$AF$2:$AF$1001,0),1)&gt;=100000,INDEX($AM$1005:$BM$1005,1,MATCH(COLUMNS($AM$1006:AQ1006),$AM$1006:$BM$1006,0))&gt;=100000), " ",IF(INDEX($AM$2:$BM$1001,MATCH(ROWS($AF$2:AF773),$AF$2:$AF$1001,0),MATCH(COLUMNS($AM$1006:AQ1006),$AM$1006:$BM$1006,0)), HYPERLINK("#",""), HYPERLINK(CONCATENATE("#metadata!", ADDRESS(INDEX($AH$2:$AH$1001,MATCH(ROWS($AF$2:AF773),$AF$2:$AF$1001,0),0), INDEX($AM$1004:$BM$1004,1,MATCH(COLUMNS($AM$1006:AQ1006),$AM$1006:$BM$1006,0)))),"Fix")))</f>
        <v xml:space="preserve"> </v>
      </c>
      <c r="G773" s="4" t="str">
        <f ca="1">IF(OR(INDEX($AG$2:$AG$1001,MATCH(ROWS($AF$2:AF773),$AF$2:$AF$1001,0),1)&gt;=100000,INDEX($AM$1005:$BM$1005,1,MATCH(COLUMNS($AM$1006:AR1006),$AM$1006:$BM$1006,0))&gt;=100000), " ",IF(INDEX($AM$2:$BM$1001,MATCH(ROWS($AF$2:AF773),$AF$2:$AF$1001,0),MATCH(COLUMNS($AM$1006:AR1006),$AM$1006:$BM$1006,0)), HYPERLINK("#",""), HYPERLINK(CONCATENATE("#metadata!", ADDRESS(INDEX($AH$2:$AH$1001,MATCH(ROWS($AF$2:AF773),$AF$2:$AF$1001,0),0), INDEX($AM$1004:$BM$1004,1,MATCH(COLUMNS($AM$1006:AR1006),$AM$1006:$BM$1006,0)))),"Fix")))</f>
        <v xml:space="preserve"> </v>
      </c>
      <c r="H773" s="4" t="str">
        <f ca="1">IF(OR(INDEX($AG$2:$AG$1001,MATCH(ROWS($AF$2:AF773),$AF$2:$AF$1001,0),1)&gt;=100000,INDEX($AM$1005:$BM$1005,1,MATCH(COLUMNS($AM$1006:AS1006),$AM$1006:$BM$1006,0))&gt;=100000), " ",IF(INDEX($AM$2:$BM$1001,MATCH(ROWS($AF$2:AF773),$AF$2:$AF$1001,0),MATCH(COLUMNS($AM$1006:AS1006),$AM$1006:$BM$1006,0)), HYPERLINK("#",""), HYPERLINK(CONCATENATE("#metadata!", ADDRESS(INDEX($AH$2:$AH$1001,MATCH(ROWS($AF$2:AF773),$AF$2:$AF$1001,0),0), INDEX($AM$1004:$BM$1004,1,MATCH(COLUMNS($AM$1006:AS1006),$AM$1006:$BM$1006,0)))),"Fix")))</f>
        <v xml:space="preserve"> </v>
      </c>
      <c r="I773" s="4" t="str">
        <f ca="1">IF(OR(INDEX($AG$2:$AG$1001,MATCH(ROWS($AF$2:AF773),$AF$2:$AF$1001,0),1)&gt;=100000,INDEX($AM$1005:$BM$1005,1,MATCH(COLUMNS($AM$1006:AT1006),$AM$1006:$BM$1006,0))&gt;=100000), " ",IF(INDEX($AM$2:$BM$1001,MATCH(ROWS($AF$2:AF773),$AF$2:$AF$1001,0),MATCH(COLUMNS($AM$1006:AT1006),$AM$1006:$BM$1006,0)), HYPERLINK("#",""), HYPERLINK(CONCATENATE("#metadata!", ADDRESS(INDEX($AH$2:$AH$1001,MATCH(ROWS($AF$2:AF773),$AF$2:$AF$1001,0),0), INDEX($AM$1004:$BM$1004,1,MATCH(COLUMNS($AM$1006:AT1006),$AM$1006:$BM$1006,0)))),"Fix")))</f>
        <v xml:space="preserve"> </v>
      </c>
      <c r="J773" s="4" t="str">
        <f ca="1">IF(OR(INDEX($AG$2:$AG$1001,MATCH(ROWS($AF$2:AF773),$AF$2:$AF$1001,0),1)&gt;=100000,INDEX($AM$1005:$BM$1005,1,MATCH(COLUMNS($AM$1006:AU1006),$AM$1006:$BM$1006,0))&gt;=100000), " ",IF(INDEX($AM$2:$BM$1001,MATCH(ROWS($AF$2:AF773),$AF$2:$AF$1001,0),MATCH(COLUMNS($AM$1006:AU1006),$AM$1006:$BM$1006,0)), HYPERLINK("#",""), HYPERLINK(CONCATENATE("#metadata!", ADDRESS(INDEX($AH$2:$AH$1001,MATCH(ROWS($AF$2:AF773),$AF$2:$AF$1001,0),0), INDEX($AM$1004:$BM$1004,1,MATCH(COLUMNS($AM$1006:AU1006),$AM$1006:$BM$1006,0)))),"Fix")))</f>
        <v xml:space="preserve"> </v>
      </c>
      <c r="K773" s="4" t="str">
        <f ca="1">IF(OR(INDEX($AG$2:$AG$1001,MATCH(ROWS($AF$2:AF773),$AF$2:$AF$1001,0),1)&gt;=100000,INDEX($AM$1005:$BM$1005,1,MATCH(COLUMNS($AM$1006:AV1006),$AM$1006:$BM$1006,0))&gt;=100000), " ",IF(INDEX($AM$2:$BM$1001,MATCH(ROWS($AF$2:AF773),$AF$2:$AF$1001,0),MATCH(COLUMNS($AM$1006:AV1006),$AM$1006:$BM$1006,0)), HYPERLINK("#",""), HYPERLINK(CONCATENATE("#metadata!", ADDRESS(INDEX($AH$2:$AH$1001,MATCH(ROWS($AF$2:AF773),$AF$2:$AF$1001,0),0), INDEX($AM$1004:$BM$1004,1,MATCH(COLUMNS($AM$1006:AV1006),$AM$1006:$BM$1006,0)))),"Fix")))</f>
        <v xml:space="preserve"> </v>
      </c>
      <c r="L773" s="4" t="str">
        <f ca="1">IF(OR(INDEX($AG$2:$AG$1001,MATCH(ROWS($AF$2:AF773),$AF$2:$AF$1001,0),1)&gt;=100000,INDEX($AM$1005:$BM$1005,1,MATCH(COLUMNS($AM$1006:AW1006),$AM$1006:$BM$1006,0))&gt;=100000), " ",IF(INDEX($AM$2:$BM$1001,MATCH(ROWS($AF$2:AF773),$AF$2:$AF$1001,0),MATCH(COLUMNS($AM$1006:AW1006),$AM$1006:$BM$1006,0)), HYPERLINK("#",""), HYPERLINK(CONCATENATE("#metadata!", ADDRESS(INDEX($AH$2:$AH$1001,MATCH(ROWS($AF$2:AF773),$AF$2:$AF$1001,0),0), INDEX($AM$1004:$BM$1004,1,MATCH(COLUMNS($AM$1006:AW1006),$AM$1006:$BM$1006,0)))),"Fix")))</f>
        <v xml:space="preserve"> </v>
      </c>
      <c r="M773" s="4" t="str">
        <f ca="1">IF(OR(INDEX($AG$2:$AG$1001,MATCH(ROWS($AF$2:AF773),$AF$2:$AF$1001,0),1)&gt;=100000,INDEX($AM$1005:$BM$1005,1,MATCH(COLUMNS($AM$1006:AX1006),$AM$1006:$BM$1006,0))&gt;=100000), " ",IF(INDEX($AM$2:$BM$1001,MATCH(ROWS($AF$2:AF773),$AF$2:$AF$1001,0),MATCH(COLUMNS($AM$1006:AX1006),$AM$1006:$BM$1006,0)), HYPERLINK("#",""), HYPERLINK(CONCATENATE("#metadata!", ADDRESS(INDEX($AH$2:$AH$1001,MATCH(ROWS($AF$2:AF773),$AF$2:$AF$1001,0),0), INDEX($AM$1004:$BM$1004,1,MATCH(COLUMNS($AM$1006:AX1006),$AM$1006:$BM$1006,0)))),"Fix")))</f>
        <v xml:space="preserve"> </v>
      </c>
      <c r="N773" s="4" t="str">
        <f ca="1">IF(OR(INDEX($AG$2:$AG$1001,MATCH(ROWS($AF$2:AF773),$AF$2:$AF$1001,0),1)&gt;=100000,INDEX($AM$1005:$BM$1005,1,MATCH(COLUMNS($AM$1006:AY1006),$AM$1006:$BM$1006,0))&gt;=100000), " ",IF(INDEX($AM$2:$BM$1001,MATCH(ROWS($AF$2:AF773),$AF$2:$AF$1001,0),MATCH(COLUMNS($AM$1006:AY1006),$AM$1006:$BM$1006,0)), HYPERLINK("#",""), HYPERLINK(CONCATENATE("#metadata!", ADDRESS(INDEX($AH$2:$AH$1001,MATCH(ROWS($AF$2:AF773),$AF$2:$AF$1001,0),0), INDEX($AM$1004:$BM$1004,1,MATCH(COLUMNS($AM$1006:AY1006),$AM$1006:$BM$1006,0)))),"Fix")))</f>
        <v xml:space="preserve"> </v>
      </c>
      <c r="O773" s="4" t="str">
        <f ca="1">IF(OR(INDEX($AG$2:$AG$1001,MATCH(ROWS($AF$2:AF773),$AF$2:$AF$1001,0),1)&gt;=100000,INDEX($AM$1005:$BM$1005,1,MATCH(COLUMNS($AM$1006:AZ1006),$AM$1006:$BM$1006,0))&gt;=100000), " ",IF(INDEX($AM$2:$BM$1001,MATCH(ROWS($AF$2:AF773),$AF$2:$AF$1001,0),MATCH(COLUMNS($AM$1006:AZ1006),$AM$1006:$BM$1006,0)), HYPERLINK("#",""), HYPERLINK(CONCATENATE("#metadata!", ADDRESS(INDEX($AH$2:$AH$1001,MATCH(ROWS($AF$2:AF773),$AF$2:$AF$1001,0),0), INDEX($AM$1004:$BM$1004,1,MATCH(COLUMNS($AM$1006:AZ1006),$AM$1006:$BM$1006,0)))),"Fix")))</f>
        <v xml:space="preserve"> </v>
      </c>
      <c r="P773" s="4" t="str">
        <f ca="1">IF(OR(INDEX($AG$2:$AG$1001,MATCH(ROWS($AF$2:AF773),$AF$2:$AF$1001,0),1)&gt;=100000,INDEX($AM$1005:$BM$1005,1,MATCH(COLUMNS($AM$1006:BA1006),$AM$1006:$BM$1006,0))&gt;=100000), " ",IF(INDEX($AM$2:$BM$1001,MATCH(ROWS($AF$2:AF773),$AF$2:$AF$1001,0),MATCH(COLUMNS($AM$1006:BA1006),$AM$1006:$BM$1006,0)), HYPERLINK("#",""), HYPERLINK(CONCATENATE("#metadata!", ADDRESS(INDEX($AH$2:$AH$1001,MATCH(ROWS($AF$2:AF773),$AF$2:$AF$1001,0),0), INDEX($AM$1004:$BM$1004,1,MATCH(COLUMNS($AM$1006:BA1006),$AM$1006:$BM$1006,0)))),"Fix")))</f>
        <v xml:space="preserve"> </v>
      </c>
      <c r="Q773" s="4" t="str">
        <f ca="1">IF(OR(INDEX($AG$2:$AG$1001,MATCH(ROWS($AF$2:AF773),$AF$2:$AF$1001,0),1)&gt;=100000,INDEX($AM$1005:$BM$1005,1,MATCH(COLUMNS($AM$1006:BB1006),$AM$1006:$BM$1006,0))&gt;=100000), " ",IF(INDEX($AM$2:$BM$1001,MATCH(ROWS($AF$2:AF773),$AF$2:$AF$1001,0),MATCH(COLUMNS($AM$1006:BB1006),$AM$1006:$BM$1006,0)), HYPERLINK("#",""), HYPERLINK(CONCATENATE("#metadata!", ADDRESS(INDEX($AH$2:$AH$1001,MATCH(ROWS($AF$2:AF773),$AF$2:$AF$1001,0),0), INDEX($AM$1004:$BM$1004,1,MATCH(COLUMNS($AM$1006:BB1006),$AM$1006:$BM$1006,0)))),"Fix")))</f>
        <v xml:space="preserve"> </v>
      </c>
      <c r="R773" s="4" t="str">
        <f ca="1">IF(OR(INDEX($AG$2:$AG$1001,MATCH(ROWS($AF$2:AF773),$AF$2:$AF$1001,0),1)&gt;=100000,INDEX($AM$1005:$BM$1005,1,MATCH(COLUMNS($AM$1006:BC1006),$AM$1006:$BM$1006,0))&gt;=100000), " ",IF(INDEX($AM$2:$BM$1001,MATCH(ROWS($AF$2:AF773),$AF$2:$AF$1001,0),MATCH(COLUMNS($AM$1006:BC1006),$AM$1006:$BM$1006,0)), HYPERLINK("#",""), HYPERLINK(CONCATENATE("#metadata!", ADDRESS(INDEX($AH$2:$AH$1001,MATCH(ROWS($AF$2:AF773),$AF$2:$AF$1001,0),0), INDEX($AM$1004:$BM$1004,1,MATCH(COLUMNS($AM$1006:BC1006),$AM$1006:$BM$1006,0)))),"Fix")))</f>
        <v xml:space="preserve"> </v>
      </c>
      <c r="S773" s="4" t="str">
        <f ca="1">IF(OR(INDEX($AG$2:$AG$1001,MATCH(ROWS($AF$2:AF773),$AF$2:$AF$1001,0),1)&gt;=100000,INDEX($AM$1005:$BM$1005,1,MATCH(COLUMNS($AM$1006:BD1006),$AM$1006:$BM$1006,0))&gt;=100000), " ",IF(INDEX($AM$2:$BM$1001,MATCH(ROWS($AF$2:AF773),$AF$2:$AF$1001,0),MATCH(COLUMNS($AM$1006:BD1006),$AM$1006:$BM$1006,0)), HYPERLINK("#",""), HYPERLINK(CONCATENATE("#metadata!", ADDRESS(INDEX($AH$2:$AH$1001,MATCH(ROWS($AF$2:AF773),$AF$2:$AF$1001,0),0), INDEX($AM$1004:$BM$1004,1,MATCH(COLUMNS($AM$1006:BD1006),$AM$1006:$BM$1006,0)))),"Fix")))</f>
        <v xml:space="preserve"> </v>
      </c>
      <c r="T773" s="4" t="str">
        <f ca="1">IF(OR(INDEX($AG$2:$AG$1001,MATCH(ROWS($AF$2:AF773),$AF$2:$AF$1001,0),1)&gt;=100000,INDEX($AM$1005:$BM$1005,1,MATCH(COLUMNS($AM$1006:BE1006),$AM$1006:$BM$1006,0))&gt;=100000), " ",IF(INDEX($AM$2:$BM$1001,MATCH(ROWS($AF$2:AF773),$AF$2:$AF$1001,0),MATCH(COLUMNS($AM$1006:BE1006),$AM$1006:$BM$1006,0)), HYPERLINK("#",""), HYPERLINK(CONCATENATE("#metadata!", ADDRESS(INDEX($AH$2:$AH$1001,MATCH(ROWS($AF$2:AF773),$AF$2:$AF$1001,0),0), INDEX($AM$1004:$BM$1004,1,MATCH(COLUMNS($AM$1006:BE1006),$AM$1006:$BM$1006,0)))),"Fix")))</f>
        <v xml:space="preserve"> </v>
      </c>
      <c r="U773" s="4" t="str">
        <f ca="1">IF(OR(INDEX($AG$2:$AG$1001,MATCH(ROWS($AF$2:AF773),$AF$2:$AF$1001,0),1)&gt;=100000,INDEX($AM$1005:$BM$1005,1,MATCH(COLUMNS($AM$1006:BF1006),$AM$1006:$BM$1006,0))&gt;=100000), " ",IF(INDEX($AM$2:$BM$1001,MATCH(ROWS($AF$2:AF773),$AF$2:$AF$1001,0),MATCH(COLUMNS($AM$1006:BF1006),$AM$1006:$BM$1006,0)), HYPERLINK("#",""), HYPERLINK(CONCATENATE("#metadata!", ADDRESS(INDEX($AH$2:$AH$1001,MATCH(ROWS($AF$2:AF773),$AF$2:$AF$1001,0),0), INDEX($AM$1004:$BM$1004,1,MATCH(COLUMNS($AM$1006:BF1006),$AM$1006:$BM$1006,0)))),"Fix")))</f>
        <v xml:space="preserve"> </v>
      </c>
      <c r="V773" s="4" t="str">
        <f ca="1">IF(OR(INDEX($AG$2:$AG$1001,MATCH(ROWS($AF$2:AF773),$AF$2:$AF$1001,0),1)&gt;=100000,INDEX($AM$1005:$BM$1005,1,MATCH(COLUMNS($AM$1006:BG1006),$AM$1006:$BM$1006,0))&gt;=100000), " ",IF(INDEX($AM$2:$BM$1001,MATCH(ROWS($AF$2:AF773),$AF$2:$AF$1001,0),MATCH(COLUMNS($AM$1006:BG1006),$AM$1006:$BM$1006,0)), HYPERLINK("#",""), HYPERLINK(CONCATENATE("#metadata!", ADDRESS(INDEX($AH$2:$AH$1001,MATCH(ROWS($AF$2:AF773),$AF$2:$AF$1001,0),0), INDEX($AM$1004:$BM$1004,1,MATCH(COLUMNS($AM$1006:BG1006),$AM$1006:$BM$1006,0)))),"Fix")))</f>
        <v xml:space="preserve"> </v>
      </c>
      <c r="W773" s="4" t="str">
        <f ca="1">IF(OR(INDEX($AG$2:$AG$1001,MATCH(ROWS($AF$2:AF773),$AF$2:$AF$1001,0),1)&gt;=100000,INDEX($AM$1005:$BM$1005,1,MATCH(COLUMNS($AM$1006:BH1006),$AM$1006:$BM$1006,0))&gt;=100000), " ",IF(INDEX($AM$2:$BM$1001,MATCH(ROWS($AF$2:AF773),$AF$2:$AF$1001,0),MATCH(COLUMNS($AM$1006:BH1006),$AM$1006:$BM$1006,0)), HYPERLINK("#",""), HYPERLINK(CONCATENATE("#metadata!", ADDRESS(INDEX($AH$2:$AH$1001,MATCH(ROWS($AF$2:AF773),$AF$2:$AF$1001,0),0), INDEX($AM$1004:$BM$1004,1,MATCH(COLUMNS($AM$1006:BH1006),$AM$1006:$BM$1006,0)))),"Fix")))</f>
        <v xml:space="preserve"> </v>
      </c>
      <c r="X773" s="4" t="str">
        <f ca="1">IF(OR(INDEX($AG$2:$AG$1001,MATCH(ROWS($AF$2:AF773),$AF$2:$AF$1001,0),1)&gt;=100000,INDEX($AM$1005:$BM$1005,1,MATCH(COLUMNS($AM$1006:BI1006),$AM$1006:$BM$1006,0))&gt;=100000), " ",IF(INDEX($AM$2:$BM$1001,MATCH(ROWS($AF$2:AF773),$AF$2:$AF$1001,0),MATCH(COLUMNS($AM$1006:BI1006),$AM$1006:$BM$1006,0)), HYPERLINK("#",""), HYPERLINK(CONCATENATE("#metadata!", ADDRESS(INDEX($AH$2:$AH$1001,MATCH(ROWS($AF$2:AF773),$AF$2:$AF$1001,0),0), INDEX($AM$1004:$BM$1004,1,MATCH(COLUMNS($AM$1006:BI1006),$AM$1006:$BM$1006,0)))),"Fix")))</f>
        <v xml:space="preserve"> </v>
      </c>
      <c r="Y773" s="4" t="str">
        <f ca="1">IF(OR(INDEX($AG$2:$AG$1001,MATCH(ROWS($AF$2:AF773),$AF$2:$AF$1001,0),1)&gt;=100000,INDEX($AM$1005:$BM$1005,1,MATCH(COLUMNS($AM$1006:BJ1006),$AM$1006:$BM$1006,0))&gt;=100000), " ",IF(INDEX($AM$2:$BM$1001,MATCH(ROWS($AF$2:AF773),$AF$2:$AF$1001,0),MATCH(COLUMNS($AM$1006:BJ1006),$AM$1006:$BM$1006,0)), HYPERLINK("#",""), HYPERLINK(CONCATENATE("#metadata!", ADDRESS(INDEX($AH$2:$AH$1001,MATCH(ROWS($AF$2:AF773),$AF$2:$AF$1001,0),0), INDEX($AM$1004:$BM$1004,1,MATCH(COLUMNS($AM$1006:BJ1006),$AM$1006:$BM$1006,0)))),"Fix")))</f>
        <v xml:space="preserve"> </v>
      </c>
      <c r="Z773" s="4" t="str">
        <f ca="1">IF(OR(INDEX($AG$2:$AG$1001,MATCH(ROWS($AF$2:AF773),$AF$2:$AF$1001,0),1)&gt;=100000,INDEX($AM$1005:$BM$1005,1,MATCH(COLUMNS($AM$1006:BK1006),$AM$1006:$BM$1006,0))&gt;=100000), " ",IF(INDEX($AM$2:$BM$1001,MATCH(ROWS($AF$2:AF773),$AF$2:$AF$1001,0),MATCH(COLUMNS($AM$1006:BK1006),$AM$1006:$BM$1006,0)), HYPERLINK("#",""), HYPERLINK(CONCATENATE("#metadata!", ADDRESS(INDEX($AH$2:$AH$1001,MATCH(ROWS($AF$2:AF773),$AF$2:$AF$1001,0),0), INDEX($AM$1004:$BM$1004,1,MATCH(COLUMNS($AM$1006:BK1006),$AM$1006:$BM$1006,0)))),"Fix")))</f>
        <v xml:space="preserve"> </v>
      </c>
      <c r="AA773" s="4" t="str">
        <f ca="1">IF(OR(INDEX($AG$2:$AG$1001,MATCH(ROWS($AF$2:AF773),$AF$2:$AF$1001,0),1)&gt;=100000,INDEX($AM$1005:$BM$1005,1,MATCH(COLUMNS($AM$1006:BL1006),$AM$1006:$BM$1006,0))&gt;=100000), " ",IF(INDEX($AM$2:$BM$1001,MATCH(ROWS($AF$2:AF773),$AF$2:$AF$1001,0),MATCH(COLUMNS($AM$1006:BL1006),$AM$1006:$BM$1006,0)), HYPERLINK("#",""), HYPERLINK(CONCATENATE("#metadata!", ADDRESS(INDEX($AH$2:$AH$1001,MATCH(ROWS($AF$2:AF773),$AF$2:$AF$1001,0),0), INDEX($AM$1004:$BM$1004,1,MATCH(COLUMNS($AM$1006:BL1006),$AM$1006:$BM$1006,0)))),"Fix")))</f>
        <v xml:space="preserve"> </v>
      </c>
      <c r="AB773" s="4" t="str">
        <f ca="1">IF(OR(INDEX($AG$2:$AG$1001,MATCH(ROWS($AF$2:AF773),$AF$2:$AF$1001,0),1)&gt;=100000,INDEX($AM$1005:$BM$1005,1,MATCH(COLUMNS($AM$1006:BM1006),$AM$1006:$BM$1006,0))&gt;=100000), " ",IF(INDEX($AM$2:$BM$1001,MATCH(ROWS($AF$2:AF773),$AF$2:$AF$1001,0),MATCH(COLUMNS($AM$1006:BM1006),$AM$1006:$BM$1006,0)), HYPERLINK("#",""), HYPERLINK(CONCATENATE("#metadata!", ADDRESS(INDEX($AH$2:$AH$1001,MATCH(ROWS($AF$2:AF773),$AF$2:$AF$1001,0),0), INDEX($AM$1004:$BM$1004,1,MATCH(COLUMNS($AM$1006:BM1006),$AM$1006:$BM$1006,0)))),"Fix")))</f>
        <v xml:space="preserve"> </v>
      </c>
      <c r="AF773">
        <v>772</v>
      </c>
      <c r="AG773">
        <v>100773</v>
      </c>
      <c r="AH773">
        <v>773</v>
      </c>
      <c r="AI773" t="b">
        <f t="shared" si="12"/>
        <v>1</v>
      </c>
      <c r="AJ773" t="b">
        <f>COUNTBLANK(metadata!B773:AB773)=COLUMNS(metadata!B773:AB773)</f>
        <v>1</v>
      </c>
      <c r="AK773" t="str">
        <v/>
      </c>
      <c r="AM773" t="b">
        <f ca="1">AND(IF(metadata!B773="",FALSE,TRUE),COUNTIF(metadata!B:B, metadata!B773) = 1,NOT(ISERROR(SUMPRODUCT(SEARCH(MID(metadata!B773,ROW(INDIRECT("1:"&amp;LEN(metadata!B773))), 1),"0123456789abcdefghijklmnopqrstuvwxyzABCDEFGHIJKLMNOPQRSTUVWXYZ.")))))</f>
        <v>0</v>
      </c>
      <c r="AN773" t="b">
        <f ca="1">OR(AND(IF(metadata!C773="",FALSE,TRUE),OR(EXACT(metadata!C773,"missing: not collected"),EXACT(metadata!C773,"missing: not provided"),EXACT(metadata!C773,"missing: restricted access"))),AND(IF(metadata!C773="",FALSE,TRUE),AND(AND(IFERROR(INT(LEFT(metadata!C773,4))&gt;1900,FALSE),IFERROR(INT(LEFT(metadata!C773,4))&lt;=YEAR(NOW()),FALSE)), OR(MID(metadata!C773,5,1)="", AND(AND(MID(metadata!C773,5,1)="-",IFERROR(INT(MID(metadata!C773,6,1))&gt;=0,FALSE),IFERROR(INT(MID(metadata!C773,6,1))&lt;=1,FALSE),NOT(MID(metadata!C773,7,1)=""),IFERROR(INT(MID(metadata!C773,6,2))&gt;=1,FALSE),IFERROR(INT(MID(metadata!C773,6,2))&lt;=12,FALSE)), OR(MID(metadata!C773,8,1)="", AND(AND(MID(metadata!C773,8,1)="-",IFERROR(INT(MID(metadata!C773,9,1))&gt;=0,FALSE),IFERROR(INT(MID(metadata!C773,9,1))&lt;=3,FALSE),NOT(MID(metadata!C773,10,1)=""),IFERROR(INT(MID(metadata!C773,9,2))&gt;=1,FALSE),IFERROR(INT(MID(metadata!C773,9,2))&lt;=31,FALSE)), OR(MID(metadata!C773,11,1)="", AND(AND(MID(metadata!C773,11,1)=" ",IFERROR(INT(MID(metadata!C773,12,1))&gt;=0,FALSE),IFERROR(INT(MID(metadata!C773,12,1))&lt;=2,FALSE),NOT(MID(metadata!C773,13,1)=""),IFERROR(INT(MID(metadata!C773,12,2))&gt;=0,FALSE),IFERROR(INT(MID(metadata!C773,12,2))&lt;=23,FALSE)), OR(MID(metadata!C773,14,1)="", AND(AND(MID(metadata!C773,14,1)=":",IFERROR(INT(MID(metadata!C773,15,1))&gt;=0,FALSE),IFERROR(INT(MID(metadata!C773,15,1))&lt;=5,FALSE),NOT(MID(metadata!C773,16,1)=""),IFERROR(INT(MID(metadata!C773,15,2))&gt;=0,FALSE),IFERROR(INT(MID(metadata!C773,15,2))&lt;=59,FALSE)), OR(MID(metadata!C773,17,1)="", AND(AND(MID(metadata!C773,17,1)=":",IFERROR(INT(MID(metadata!C773,18,1))&gt;=0,FALSE),IFERROR(INT(MID(metadata!C773,18,1))&lt;=5,FALSE),NOT(MID(metadata!C773,19,1)=""),IFERROR(INT(MID(metadata!C773,18,2))&gt;=0,FALSE),IFERROR(INT(MID(metadata!C773,18,2))&lt;=59,FALSE)), LEN(metadata!C773)&lt;=19)))))))))))))</f>
        <v>0</v>
      </c>
      <c r="AO773" t="b">
        <f>AND(IF(metadata!D773="",FALSE,TRUE),EXACT(metadata!D773,"Not applicable"))</f>
        <v>0</v>
      </c>
      <c r="AP773" t="b">
        <f>IF(metadata!E773="",FALSE,TRUE)</f>
        <v>0</v>
      </c>
      <c r="AQ773" t="b">
        <f>OR(AND(IF(metadata!F773="",FALSE,TRUE),OR(EXACT(metadata!F773,"missing: not collected"),EXACT(metadata!F773,"missing: not provided"))),AND(IF(metadata!F773="",FALSE,TRUE),OR(EXACT(metadata!F773,"TRUE"),EXACT(metadata!F773,"FALSE"))))</f>
        <v>0</v>
      </c>
      <c r="AR773" t="b">
        <f>OR(AND(IF(metadata!G773="",FALSE,TRUE),OR(EXACT(metadata!G773,"missing: not collected"),EXACT(metadata!G773,"missing: not provided"),EXACT(metadata!G773,"missing: restricted access"))),AND(IF(metadata!G773="",FALSE,ISNUMBER(VALUE(metadata!G773))),metadata!G773&gt;=-413))</f>
        <v>0</v>
      </c>
      <c r="AS773" t="b">
        <f>AND(IF(metadata!H773="",FALSE,TRUE),EXACT(metadata!H773,"meters"))</f>
        <v>0</v>
      </c>
      <c r="AT773" t="b">
        <f>AND(IF(metadata!I773="",FALSE,TRUE),OR(EXACT(metadata!I773,"Host-associated"),EXACT(metadata!I773,"Free-living")))</f>
        <v>0</v>
      </c>
      <c r="AU773" t="b">
        <f>AND(IF(metadata!J773="",FALSE,TRUE),OR(EXACT(metadata!J773,"Animal"),EXACT(metadata!J773,"Fungus"),EXACT(metadata!J773,"Plant"),EXACT(metadata!J773,"Saline"),EXACT(metadata!J773,"Non-saline")))</f>
        <v>0</v>
      </c>
      <c r="AV773" t="b">
        <f>AND(IF(metadata!K773="",FALSE,TRUE),OR(EXACT(metadata!K773,"Plant secretion"),EXACT(metadata!K773,"Plant rhizosphere"),EXACT(metadata!K773,"Plant surface"),EXACT(metadata!K773,"Plant corpus"),EXACT(metadata!K773,"Fungus surface"),EXACT(metadata!K773,"Fungus corpus"),EXACT(metadata!K773,"Animal surface"),EXACT(metadata!K773,"Animal proximal gut"),EXACT(metadata!K773,"Animal corpus"),EXACT(metadata!K773,"Animal distal gut"),EXACT(metadata!K773,"Animal secretion"),EXACT(metadata!K773,"Sub-surface (non-saline)"),EXACT(metadata!K773,"Surface (non-saline)"),EXACT(metadata!K773,"Water (non-saline)"),EXACT(metadata!K773,"Soil (non-saline)"),EXACT(metadata!K773,"Aerosol (non-saline)"),EXACT(metadata!K773,"Sediment (non-saline)"),EXACT(metadata!K773,"Surface (saline)"),EXACT(metadata!K773,"Water (saline)"),EXACT(metadata!K773,"Hypersaline (saline)"),EXACT(metadata!K773,"Aerosol (saline)"),EXACT(metadata!K773,"Sediment (saline)")))</f>
        <v>0</v>
      </c>
      <c r="AW773" t="b">
        <f>IF(metadata!L773="",FALSE,TRUE)</f>
        <v>0</v>
      </c>
      <c r="AX773" t="b">
        <f>IF(metadata!M773="",FALSE,TRUE)</f>
        <v>0</v>
      </c>
      <c r="AY773" t="b">
        <f>IF(metadata!N773="",FALSE,TRUE)</f>
        <v>0</v>
      </c>
      <c r="AZ773" t="b">
        <f>OR(AND(IF(metadata!O773="",FALSE,TRUE),OR(EXACT(metadata!O773,"missing: not collected"),EXACT(metadata!O773,"missing: not provided"),EXACT(metadata!O773,"missing: restricted access"))),AND(IF(metadata!O773="",FALSE,TRUE),OR(EXACT(metadata!O773,"air"),EXACT(metadata!O773,"built environment"),EXACT(metadata!O773,"host-associated"),EXACT(metadata!O773,"human-associated"),EXACT(metadata!O773,"human-skin"),EXACT(metadata!O773,"human-oral"),EXACT(metadata!O773,"human-gut"),EXACT(metadata!O773,"human-vaginal"),EXACT(metadata!O773,"microbial mat/biofilm"),EXACT(metadata!O773,"misc environment"),EXACT(metadata!O773,"plant-associated"),EXACT(metadata!O773,"sediment"),EXACT(metadata!O773,"soil"),EXACT(metadata!O773,"wastewater/sludge"),EXACT(metadata!O773,"water"))))</f>
        <v>0</v>
      </c>
      <c r="BA773" t="b">
        <f>IF(metadata!P773="",FALSE,TRUE)</f>
        <v>0</v>
      </c>
      <c r="BB773" t="b">
        <f>IF(metadata!Q773="",FALSE,TRUE)</f>
        <v>0</v>
      </c>
      <c r="BC773" t="b">
        <f>OR(AND(IF(metadata!R773="",FALSE,TRUE),OR(EXACT(metadata!R773,"missing: not collected"),EXACT(metadata!R773,"missing: not provided"),EXACT(metadata!R773,"missing: restricted access"))),AND(IF(metadata!R773="",FALSE,ISNUMBER(VALUE(metadata!R773))),metadata!R773&gt;=-90,metadata!R773&lt;=90))</f>
        <v>0</v>
      </c>
      <c r="BD773" t="b">
        <f>AND(IF(metadata!S773="",FALSE,TRUE),EXACT(metadata!S773,"Decimal degrees"))</f>
        <v>0</v>
      </c>
      <c r="BE773" t="b">
        <f>OR(AND(IF(metadata!T773="",FALSE,TRUE),OR(EXACT(metadata!T773,"missing: not collected"),EXACT(metadata!T773,"missing: not provided"),EXACT(metadata!T773,"missing: restricted access"))),AND(IF(metadata!T773="",FALSE,ISNUMBER(VALUE(metadata!T773))),metadata!T773&gt;=-180,metadata!T773&lt;=180))</f>
        <v>0</v>
      </c>
      <c r="BF773" t="b">
        <f>AND(IF(metadata!U773="",FALSE,TRUE),EXACT(metadata!U773,"Decimal degrees"))</f>
        <v>0</v>
      </c>
      <c r="BG773" t="b">
        <f>IF(metadata!V773="",FALSE,TRUE)</f>
        <v>0</v>
      </c>
      <c r="BH773" t="b">
        <f>OR(AND(IF(metadata!W773="",FALSE,TRUE),OR(EXACT(metadata!W773,"missing: not collected"),EXACT(metadata!W773,"missing: not provided"),EXACT(metadata!W773,"missing: restricted access"))),AND(IF(metadata!W773="",FALSE,TRUE),OR(EXACT(metadata!W773,"TRUE"),EXACT(metadata!W773,"FALSE"))))</f>
        <v>0</v>
      </c>
      <c r="BI773" t="b">
        <f>AND(IF(metadata!X773="",FALSE,TRUE),EXACT(metadata!X773,"other"))</f>
        <v>0</v>
      </c>
      <c r="BJ773" t="b">
        <f>IF(metadata!Y773="",FALSE,TRUE)</f>
        <v>0</v>
      </c>
      <c r="BK773" t="b">
        <f>OR(AND(IF(metadata!Z773="",FALSE,TRUE),OR(EXACT(metadata!Z773,"missing: not collected"),EXACT(metadata!Z773,"missing: not provided"))),AND(IF(metadata!Z773="",FALSE,IF(ISERROR(INT(metadata!Z773)),FALSE,INT(metadata!Z773)=metadata!Z773)),metadata!Z773&gt;0))</f>
        <v>0</v>
      </c>
      <c r="BL773" t="b">
        <f>AND(IF(metadata!AA773="",FALSE,TRUE),EXACT(metadata!AA773,"Not applicable"))</f>
        <v>0</v>
      </c>
      <c r="BM773" t="b">
        <f>IF(metadata!AB773="",FALSE,TRUE)</f>
        <v>0</v>
      </c>
    </row>
    <row r="774" spans="1:65" x14ac:dyDescent="0.2">
      <c r="A774" s="5" t="str">
        <f ca="1">IF(B774=" "," ",HYPERLINK(CONCATENATE("#metadata!",ADDRESS(INDEX($AH$2:$AH$1001,MATCH(ROWS($AF$2:AF774),$AF$2:$AF$1001,0),0),1)),INDEX($AK$2:$AK$1001,MATCH(ROWS($AF$2:AF774),$AF$2:$AF$1001,0),0)))</f>
        <v xml:space="preserve"> </v>
      </c>
      <c r="B774" s="4" t="str">
        <f ca="1">IF(OR(INDEX($AG$2:$AG$1001,MATCH(ROWS($AF$2:AF774),$AF$2:$AF$1001,0),1)&gt;=100000,INDEX($AM$1005:$BM$1005,1,MATCH(COLUMNS($AM$1006:AM1006),$AM$1006:$BM$1006,0))&gt;=100000), " ",IF(INDEX($AM$2:$BM$1001,MATCH(ROWS($AF$2:AF774),$AF$2:$AF$1001,0),MATCH(COLUMNS($AM$1006:AM1006),$AM$1006:$BM$1006,0)), HYPERLINK("#",""), HYPERLINK(CONCATENATE("#metadata!", ADDRESS(INDEX($AH$2:$AH$1001,MATCH(ROWS($AF$2:AF774),$AF$2:$AF$1001,0),0), INDEX($AM$1004:$BM$1004,1,MATCH(COLUMNS($AM$1006:AM1006),$AM$1006:$BM$1006,0)))),"Fix")))</f>
        <v xml:space="preserve"> </v>
      </c>
      <c r="C774" s="4" t="str">
        <f ca="1">IF(OR(INDEX($AG$2:$AG$1001,MATCH(ROWS($AF$2:AF774),$AF$2:$AF$1001,0),1)&gt;=100000,INDEX($AM$1005:$BM$1005,1,MATCH(COLUMNS($AM$1006:AN1006),$AM$1006:$BM$1006,0))&gt;=100000), " ",IF(INDEX($AM$2:$BM$1001,MATCH(ROWS($AF$2:AF774),$AF$2:$AF$1001,0),MATCH(COLUMNS($AM$1006:AN1006),$AM$1006:$BM$1006,0)), HYPERLINK("#",""), HYPERLINK(CONCATENATE("#metadata!", ADDRESS(INDEX($AH$2:$AH$1001,MATCH(ROWS($AF$2:AF774),$AF$2:$AF$1001,0),0), INDEX($AM$1004:$BM$1004,1,MATCH(COLUMNS($AM$1006:AN1006),$AM$1006:$BM$1006,0)))),"Fix")))</f>
        <v xml:space="preserve"> </v>
      </c>
      <c r="D774" s="4" t="str">
        <f ca="1">IF(OR(INDEX($AG$2:$AG$1001,MATCH(ROWS($AF$2:AF774),$AF$2:$AF$1001,0),1)&gt;=100000,INDEX($AM$1005:$BM$1005,1,MATCH(COLUMNS($AM$1006:AO1006),$AM$1006:$BM$1006,0))&gt;=100000), " ",IF(INDEX($AM$2:$BM$1001,MATCH(ROWS($AF$2:AF774),$AF$2:$AF$1001,0),MATCH(COLUMNS($AM$1006:AO1006),$AM$1006:$BM$1006,0)), HYPERLINK("#",""), HYPERLINK(CONCATENATE("#metadata!", ADDRESS(INDEX($AH$2:$AH$1001,MATCH(ROWS($AF$2:AF774),$AF$2:$AF$1001,0),0), INDEX($AM$1004:$BM$1004,1,MATCH(COLUMNS($AM$1006:AO1006),$AM$1006:$BM$1006,0)))),"Fix")))</f>
        <v xml:space="preserve"> </v>
      </c>
      <c r="E774" s="4" t="str">
        <f ca="1">IF(OR(INDEX($AG$2:$AG$1001,MATCH(ROWS($AF$2:AF774),$AF$2:$AF$1001,0),1)&gt;=100000,INDEX($AM$1005:$BM$1005,1,MATCH(COLUMNS($AM$1006:AP1006),$AM$1006:$BM$1006,0))&gt;=100000), " ",IF(INDEX($AM$2:$BM$1001,MATCH(ROWS($AF$2:AF774),$AF$2:$AF$1001,0),MATCH(COLUMNS($AM$1006:AP1006),$AM$1006:$BM$1006,0)), HYPERLINK("#",""), HYPERLINK(CONCATENATE("#metadata!", ADDRESS(INDEX($AH$2:$AH$1001,MATCH(ROWS($AF$2:AF774),$AF$2:$AF$1001,0),0), INDEX($AM$1004:$BM$1004,1,MATCH(COLUMNS($AM$1006:AP1006),$AM$1006:$BM$1006,0)))),"Fix")))</f>
        <v xml:space="preserve"> </v>
      </c>
      <c r="F774" s="4" t="str">
        <f ca="1">IF(OR(INDEX($AG$2:$AG$1001,MATCH(ROWS($AF$2:AF774),$AF$2:$AF$1001,0),1)&gt;=100000,INDEX($AM$1005:$BM$1005,1,MATCH(COLUMNS($AM$1006:AQ1006),$AM$1006:$BM$1006,0))&gt;=100000), " ",IF(INDEX($AM$2:$BM$1001,MATCH(ROWS($AF$2:AF774),$AF$2:$AF$1001,0),MATCH(COLUMNS($AM$1006:AQ1006),$AM$1006:$BM$1006,0)), HYPERLINK("#",""), HYPERLINK(CONCATENATE("#metadata!", ADDRESS(INDEX($AH$2:$AH$1001,MATCH(ROWS($AF$2:AF774),$AF$2:$AF$1001,0),0), INDEX($AM$1004:$BM$1004,1,MATCH(COLUMNS($AM$1006:AQ1006),$AM$1006:$BM$1006,0)))),"Fix")))</f>
        <v xml:space="preserve"> </v>
      </c>
      <c r="G774" s="4" t="str">
        <f ca="1">IF(OR(INDEX($AG$2:$AG$1001,MATCH(ROWS($AF$2:AF774),$AF$2:$AF$1001,0),1)&gt;=100000,INDEX($AM$1005:$BM$1005,1,MATCH(COLUMNS($AM$1006:AR1006),$AM$1006:$BM$1006,0))&gt;=100000), " ",IF(INDEX($AM$2:$BM$1001,MATCH(ROWS($AF$2:AF774),$AF$2:$AF$1001,0),MATCH(COLUMNS($AM$1006:AR1006),$AM$1006:$BM$1006,0)), HYPERLINK("#",""), HYPERLINK(CONCATENATE("#metadata!", ADDRESS(INDEX($AH$2:$AH$1001,MATCH(ROWS($AF$2:AF774),$AF$2:$AF$1001,0),0), INDEX($AM$1004:$BM$1004,1,MATCH(COLUMNS($AM$1006:AR1006),$AM$1006:$BM$1006,0)))),"Fix")))</f>
        <v xml:space="preserve"> </v>
      </c>
      <c r="H774" s="4" t="str">
        <f ca="1">IF(OR(INDEX($AG$2:$AG$1001,MATCH(ROWS($AF$2:AF774),$AF$2:$AF$1001,0),1)&gt;=100000,INDEX($AM$1005:$BM$1005,1,MATCH(COLUMNS($AM$1006:AS1006),$AM$1006:$BM$1006,0))&gt;=100000), " ",IF(INDEX($AM$2:$BM$1001,MATCH(ROWS($AF$2:AF774),$AF$2:$AF$1001,0),MATCH(COLUMNS($AM$1006:AS1006),$AM$1006:$BM$1006,0)), HYPERLINK("#",""), HYPERLINK(CONCATENATE("#metadata!", ADDRESS(INDEX($AH$2:$AH$1001,MATCH(ROWS($AF$2:AF774),$AF$2:$AF$1001,0),0), INDEX($AM$1004:$BM$1004,1,MATCH(COLUMNS($AM$1006:AS1006),$AM$1006:$BM$1006,0)))),"Fix")))</f>
        <v xml:space="preserve"> </v>
      </c>
      <c r="I774" s="4" t="str">
        <f ca="1">IF(OR(INDEX($AG$2:$AG$1001,MATCH(ROWS($AF$2:AF774),$AF$2:$AF$1001,0),1)&gt;=100000,INDEX($AM$1005:$BM$1005,1,MATCH(COLUMNS($AM$1006:AT1006),$AM$1006:$BM$1006,0))&gt;=100000), " ",IF(INDEX($AM$2:$BM$1001,MATCH(ROWS($AF$2:AF774),$AF$2:$AF$1001,0),MATCH(COLUMNS($AM$1006:AT1006),$AM$1006:$BM$1006,0)), HYPERLINK("#",""), HYPERLINK(CONCATENATE("#metadata!", ADDRESS(INDEX($AH$2:$AH$1001,MATCH(ROWS($AF$2:AF774),$AF$2:$AF$1001,0),0), INDEX($AM$1004:$BM$1004,1,MATCH(COLUMNS($AM$1006:AT1006),$AM$1006:$BM$1006,0)))),"Fix")))</f>
        <v xml:space="preserve"> </v>
      </c>
      <c r="J774" s="4" t="str">
        <f ca="1">IF(OR(INDEX($AG$2:$AG$1001,MATCH(ROWS($AF$2:AF774),$AF$2:$AF$1001,0),1)&gt;=100000,INDEX($AM$1005:$BM$1005,1,MATCH(COLUMNS($AM$1006:AU1006),$AM$1006:$BM$1006,0))&gt;=100000), " ",IF(INDEX($AM$2:$BM$1001,MATCH(ROWS($AF$2:AF774),$AF$2:$AF$1001,0),MATCH(COLUMNS($AM$1006:AU1006),$AM$1006:$BM$1006,0)), HYPERLINK("#",""), HYPERLINK(CONCATENATE("#metadata!", ADDRESS(INDEX($AH$2:$AH$1001,MATCH(ROWS($AF$2:AF774),$AF$2:$AF$1001,0),0), INDEX($AM$1004:$BM$1004,1,MATCH(COLUMNS($AM$1006:AU1006),$AM$1006:$BM$1006,0)))),"Fix")))</f>
        <v xml:space="preserve"> </v>
      </c>
      <c r="K774" s="4" t="str">
        <f ca="1">IF(OR(INDEX($AG$2:$AG$1001,MATCH(ROWS($AF$2:AF774),$AF$2:$AF$1001,0),1)&gt;=100000,INDEX($AM$1005:$BM$1005,1,MATCH(COLUMNS($AM$1006:AV1006),$AM$1006:$BM$1006,0))&gt;=100000), " ",IF(INDEX($AM$2:$BM$1001,MATCH(ROWS($AF$2:AF774),$AF$2:$AF$1001,0),MATCH(COLUMNS($AM$1006:AV1006),$AM$1006:$BM$1006,0)), HYPERLINK("#",""), HYPERLINK(CONCATENATE("#metadata!", ADDRESS(INDEX($AH$2:$AH$1001,MATCH(ROWS($AF$2:AF774),$AF$2:$AF$1001,0),0), INDEX($AM$1004:$BM$1004,1,MATCH(COLUMNS($AM$1006:AV1006),$AM$1006:$BM$1006,0)))),"Fix")))</f>
        <v xml:space="preserve"> </v>
      </c>
      <c r="L774" s="4" t="str">
        <f ca="1">IF(OR(INDEX($AG$2:$AG$1001,MATCH(ROWS($AF$2:AF774),$AF$2:$AF$1001,0),1)&gt;=100000,INDEX($AM$1005:$BM$1005,1,MATCH(COLUMNS($AM$1006:AW1006),$AM$1006:$BM$1006,0))&gt;=100000), " ",IF(INDEX($AM$2:$BM$1001,MATCH(ROWS($AF$2:AF774),$AF$2:$AF$1001,0),MATCH(COLUMNS($AM$1006:AW1006),$AM$1006:$BM$1006,0)), HYPERLINK("#",""), HYPERLINK(CONCATENATE("#metadata!", ADDRESS(INDEX($AH$2:$AH$1001,MATCH(ROWS($AF$2:AF774),$AF$2:$AF$1001,0),0), INDEX($AM$1004:$BM$1004,1,MATCH(COLUMNS($AM$1006:AW1006),$AM$1006:$BM$1006,0)))),"Fix")))</f>
        <v xml:space="preserve"> </v>
      </c>
      <c r="M774" s="4" t="str">
        <f ca="1">IF(OR(INDEX($AG$2:$AG$1001,MATCH(ROWS($AF$2:AF774),$AF$2:$AF$1001,0),1)&gt;=100000,INDEX($AM$1005:$BM$1005,1,MATCH(COLUMNS($AM$1006:AX1006),$AM$1006:$BM$1006,0))&gt;=100000), " ",IF(INDEX($AM$2:$BM$1001,MATCH(ROWS($AF$2:AF774),$AF$2:$AF$1001,0),MATCH(COLUMNS($AM$1006:AX1006),$AM$1006:$BM$1006,0)), HYPERLINK("#",""), HYPERLINK(CONCATENATE("#metadata!", ADDRESS(INDEX($AH$2:$AH$1001,MATCH(ROWS($AF$2:AF774),$AF$2:$AF$1001,0),0), INDEX($AM$1004:$BM$1004,1,MATCH(COLUMNS($AM$1006:AX1006),$AM$1006:$BM$1006,0)))),"Fix")))</f>
        <v xml:space="preserve"> </v>
      </c>
      <c r="N774" s="4" t="str">
        <f ca="1">IF(OR(INDEX($AG$2:$AG$1001,MATCH(ROWS($AF$2:AF774),$AF$2:$AF$1001,0),1)&gt;=100000,INDEX($AM$1005:$BM$1005,1,MATCH(COLUMNS($AM$1006:AY1006),$AM$1006:$BM$1006,0))&gt;=100000), " ",IF(INDEX($AM$2:$BM$1001,MATCH(ROWS($AF$2:AF774),$AF$2:$AF$1001,0),MATCH(COLUMNS($AM$1006:AY1006),$AM$1006:$BM$1006,0)), HYPERLINK("#",""), HYPERLINK(CONCATENATE("#metadata!", ADDRESS(INDEX($AH$2:$AH$1001,MATCH(ROWS($AF$2:AF774),$AF$2:$AF$1001,0),0), INDEX($AM$1004:$BM$1004,1,MATCH(COLUMNS($AM$1006:AY1006),$AM$1006:$BM$1006,0)))),"Fix")))</f>
        <v xml:space="preserve"> </v>
      </c>
      <c r="O774" s="4" t="str">
        <f ca="1">IF(OR(INDEX($AG$2:$AG$1001,MATCH(ROWS($AF$2:AF774),$AF$2:$AF$1001,0),1)&gt;=100000,INDEX($AM$1005:$BM$1005,1,MATCH(COLUMNS($AM$1006:AZ1006),$AM$1006:$BM$1006,0))&gt;=100000), " ",IF(INDEX($AM$2:$BM$1001,MATCH(ROWS($AF$2:AF774),$AF$2:$AF$1001,0),MATCH(COLUMNS($AM$1006:AZ1006),$AM$1006:$BM$1006,0)), HYPERLINK("#",""), HYPERLINK(CONCATENATE("#metadata!", ADDRESS(INDEX($AH$2:$AH$1001,MATCH(ROWS($AF$2:AF774),$AF$2:$AF$1001,0),0), INDEX($AM$1004:$BM$1004,1,MATCH(COLUMNS($AM$1006:AZ1006),$AM$1006:$BM$1006,0)))),"Fix")))</f>
        <v xml:space="preserve"> </v>
      </c>
      <c r="P774" s="4" t="str">
        <f ca="1">IF(OR(INDEX($AG$2:$AG$1001,MATCH(ROWS($AF$2:AF774),$AF$2:$AF$1001,0),1)&gt;=100000,INDEX($AM$1005:$BM$1005,1,MATCH(COLUMNS($AM$1006:BA1006),$AM$1006:$BM$1006,0))&gt;=100000), " ",IF(INDEX($AM$2:$BM$1001,MATCH(ROWS($AF$2:AF774),$AF$2:$AF$1001,0),MATCH(COLUMNS($AM$1006:BA1006),$AM$1006:$BM$1006,0)), HYPERLINK("#",""), HYPERLINK(CONCATENATE("#metadata!", ADDRESS(INDEX($AH$2:$AH$1001,MATCH(ROWS($AF$2:AF774),$AF$2:$AF$1001,0),0), INDEX($AM$1004:$BM$1004,1,MATCH(COLUMNS($AM$1006:BA1006),$AM$1006:$BM$1006,0)))),"Fix")))</f>
        <v xml:space="preserve"> </v>
      </c>
      <c r="Q774" s="4" t="str">
        <f ca="1">IF(OR(INDEX($AG$2:$AG$1001,MATCH(ROWS($AF$2:AF774),$AF$2:$AF$1001,0),1)&gt;=100000,INDEX($AM$1005:$BM$1005,1,MATCH(COLUMNS($AM$1006:BB1006),$AM$1006:$BM$1006,0))&gt;=100000), " ",IF(INDEX($AM$2:$BM$1001,MATCH(ROWS($AF$2:AF774),$AF$2:$AF$1001,0),MATCH(COLUMNS($AM$1006:BB1006),$AM$1006:$BM$1006,0)), HYPERLINK("#",""), HYPERLINK(CONCATENATE("#metadata!", ADDRESS(INDEX($AH$2:$AH$1001,MATCH(ROWS($AF$2:AF774),$AF$2:$AF$1001,0),0), INDEX($AM$1004:$BM$1004,1,MATCH(COLUMNS($AM$1006:BB1006),$AM$1006:$BM$1006,0)))),"Fix")))</f>
        <v xml:space="preserve"> </v>
      </c>
      <c r="R774" s="4" t="str">
        <f ca="1">IF(OR(INDEX($AG$2:$AG$1001,MATCH(ROWS($AF$2:AF774),$AF$2:$AF$1001,0),1)&gt;=100000,INDEX($AM$1005:$BM$1005,1,MATCH(COLUMNS($AM$1006:BC1006),$AM$1006:$BM$1006,0))&gt;=100000), " ",IF(INDEX($AM$2:$BM$1001,MATCH(ROWS($AF$2:AF774),$AF$2:$AF$1001,0),MATCH(COLUMNS($AM$1006:BC1006),$AM$1006:$BM$1006,0)), HYPERLINK("#",""), HYPERLINK(CONCATENATE("#metadata!", ADDRESS(INDEX($AH$2:$AH$1001,MATCH(ROWS($AF$2:AF774),$AF$2:$AF$1001,0),0), INDEX($AM$1004:$BM$1004,1,MATCH(COLUMNS($AM$1006:BC1006),$AM$1006:$BM$1006,0)))),"Fix")))</f>
        <v xml:space="preserve"> </v>
      </c>
      <c r="S774" s="4" t="str">
        <f ca="1">IF(OR(INDEX($AG$2:$AG$1001,MATCH(ROWS($AF$2:AF774),$AF$2:$AF$1001,0),1)&gt;=100000,INDEX($AM$1005:$BM$1005,1,MATCH(COLUMNS($AM$1006:BD1006),$AM$1006:$BM$1006,0))&gt;=100000), " ",IF(INDEX($AM$2:$BM$1001,MATCH(ROWS($AF$2:AF774),$AF$2:$AF$1001,0),MATCH(COLUMNS($AM$1006:BD1006),$AM$1006:$BM$1006,0)), HYPERLINK("#",""), HYPERLINK(CONCATENATE("#metadata!", ADDRESS(INDEX($AH$2:$AH$1001,MATCH(ROWS($AF$2:AF774),$AF$2:$AF$1001,0),0), INDEX($AM$1004:$BM$1004,1,MATCH(COLUMNS($AM$1006:BD1006),$AM$1006:$BM$1006,0)))),"Fix")))</f>
        <v xml:space="preserve"> </v>
      </c>
      <c r="T774" s="4" t="str">
        <f ca="1">IF(OR(INDEX($AG$2:$AG$1001,MATCH(ROWS($AF$2:AF774),$AF$2:$AF$1001,0),1)&gt;=100000,INDEX($AM$1005:$BM$1005,1,MATCH(COLUMNS($AM$1006:BE1006),$AM$1006:$BM$1006,0))&gt;=100000), " ",IF(INDEX($AM$2:$BM$1001,MATCH(ROWS($AF$2:AF774),$AF$2:$AF$1001,0),MATCH(COLUMNS($AM$1006:BE1006),$AM$1006:$BM$1006,0)), HYPERLINK("#",""), HYPERLINK(CONCATENATE("#metadata!", ADDRESS(INDEX($AH$2:$AH$1001,MATCH(ROWS($AF$2:AF774),$AF$2:$AF$1001,0),0), INDEX($AM$1004:$BM$1004,1,MATCH(COLUMNS($AM$1006:BE1006),$AM$1006:$BM$1006,0)))),"Fix")))</f>
        <v xml:space="preserve"> </v>
      </c>
      <c r="U774" s="4" t="str">
        <f ca="1">IF(OR(INDEX($AG$2:$AG$1001,MATCH(ROWS($AF$2:AF774),$AF$2:$AF$1001,0),1)&gt;=100000,INDEX($AM$1005:$BM$1005,1,MATCH(COLUMNS($AM$1006:BF1006),$AM$1006:$BM$1006,0))&gt;=100000), " ",IF(INDEX($AM$2:$BM$1001,MATCH(ROWS($AF$2:AF774),$AF$2:$AF$1001,0),MATCH(COLUMNS($AM$1006:BF1006),$AM$1006:$BM$1006,0)), HYPERLINK("#",""), HYPERLINK(CONCATENATE("#metadata!", ADDRESS(INDEX($AH$2:$AH$1001,MATCH(ROWS($AF$2:AF774),$AF$2:$AF$1001,0),0), INDEX($AM$1004:$BM$1004,1,MATCH(COLUMNS($AM$1006:BF1006),$AM$1006:$BM$1006,0)))),"Fix")))</f>
        <v xml:space="preserve"> </v>
      </c>
      <c r="V774" s="4" t="str">
        <f ca="1">IF(OR(INDEX($AG$2:$AG$1001,MATCH(ROWS($AF$2:AF774),$AF$2:$AF$1001,0),1)&gt;=100000,INDEX($AM$1005:$BM$1005,1,MATCH(COLUMNS($AM$1006:BG1006),$AM$1006:$BM$1006,0))&gt;=100000), " ",IF(INDEX($AM$2:$BM$1001,MATCH(ROWS($AF$2:AF774),$AF$2:$AF$1001,0),MATCH(COLUMNS($AM$1006:BG1006),$AM$1006:$BM$1006,0)), HYPERLINK("#",""), HYPERLINK(CONCATENATE("#metadata!", ADDRESS(INDEX($AH$2:$AH$1001,MATCH(ROWS($AF$2:AF774),$AF$2:$AF$1001,0),0), INDEX($AM$1004:$BM$1004,1,MATCH(COLUMNS($AM$1006:BG1006),$AM$1006:$BM$1006,0)))),"Fix")))</f>
        <v xml:space="preserve"> </v>
      </c>
      <c r="W774" s="4" t="str">
        <f ca="1">IF(OR(INDEX($AG$2:$AG$1001,MATCH(ROWS($AF$2:AF774),$AF$2:$AF$1001,0),1)&gt;=100000,INDEX($AM$1005:$BM$1005,1,MATCH(COLUMNS($AM$1006:BH1006),$AM$1006:$BM$1006,0))&gt;=100000), " ",IF(INDEX($AM$2:$BM$1001,MATCH(ROWS($AF$2:AF774),$AF$2:$AF$1001,0),MATCH(COLUMNS($AM$1006:BH1006),$AM$1006:$BM$1006,0)), HYPERLINK("#",""), HYPERLINK(CONCATENATE("#metadata!", ADDRESS(INDEX($AH$2:$AH$1001,MATCH(ROWS($AF$2:AF774),$AF$2:$AF$1001,0),0), INDEX($AM$1004:$BM$1004,1,MATCH(COLUMNS($AM$1006:BH1006),$AM$1006:$BM$1006,0)))),"Fix")))</f>
        <v xml:space="preserve"> </v>
      </c>
      <c r="X774" s="4" t="str">
        <f ca="1">IF(OR(INDEX($AG$2:$AG$1001,MATCH(ROWS($AF$2:AF774),$AF$2:$AF$1001,0),1)&gt;=100000,INDEX($AM$1005:$BM$1005,1,MATCH(COLUMNS($AM$1006:BI1006),$AM$1006:$BM$1006,0))&gt;=100000), " ",IF(INDEX($AM$2:$BM$1001,MATCH(ROWS($AF$2:AF774),$AF$2:$AF$1001,0),MATCH(COLUMNS($AM$1006:BI1006),$AM$1006:$BM$1006,0)), HYPERLINK("#",""), HYPERLINK(CONCATENATE("#metadata!", ADDRESS(INDEX($AH$2:$AH$1001,MATCH(ROWS($AF$2:AF774),$AF$2:$AF$1001,0),0), INDEX($AM$1004:$BM$1004,1,MATCH(COLUMNS($AM$1006:BI1006),$AM$1006:$BM$1006,0)))),"Fix")))</f>
        <v xml:space="preserve"> </v>
      </c>
      <c r="Y774" s="4" t="str">
        <f ca="1">IF(OR(INDEX($AG$2:$AG$1001,MATCH(ROWS($AF$2:AF774),$AF$2:$AF$1001,0),1)&gt;=100000,INDEX($AM$1005:$BM$1005,1,MATCH(COLUMNS($AM$1006:BJ1006),$AM$1006:$BM$1006,0))&gt;=100000), " ",IF(INDEX($AM$2:$BM$1001,MATCH(ROWS($AF$2:AF774),$AF$2:$AF$1001,0),MATCH(COLUMNS($AM$1006:BJ1006),$AM$1006:$BM$1006,0)), HYPERLINK("#",""), HYPERLINK(CONCATENATE("#metadata!", ADDRESS(INDEX($AH$2:$AH$1001,MATCH(ROWS($AF$2:AF774),$AF$2:$AF$1001,0),0), INDEX($AM$1004:$BM$1004,1,MATCH(COLUMNS($AM$1006:BJ1006),$AM$1006:$BM$1006,0)))),"Fix")))</f>
        <v xml:space="preserve"> </v>
      </c>
      <c r="Z774" s="4" t="str">
        <f ca="1">IF(OR(INDEX($AG$2:$AG$1001,MATCH(ROWS($AF$2:AF774),$AF$2:$AF$1001,0),1)&gt;=100000,INDEX($AM$1005:$BM$1005,1,MATCH(COLUMNS($AM$1006:BK1006),$AM$1006:$BM$1006,0))&gt;=100000), " ",IF(INDEX($AM$2:$BM$1001,MATCH(ROWS($AF$2:AF774),$AF$2:$AF$1001,0),MATCH(COLUMNS($AM$1006:BK1006),$AM$1006:$BM$1006,0)), HYPERLINK("#",""), HYPERLINK(CONCATENATE("#metadata!", ADDRESS(INDEX($AH$2:$AH$1001,MATCH(ROWS($AF$2:AF774),$AF$2:$AF$1001,0),0), INDEX($AM$1004:$BM$1004,1,MATCH(COLUMNS($AM$1006:BK1006),$AM$1006:$BM$1006,0)))),"Fix")))</f>
        <v xml:space="preserve"> </v>
      </c>
      <c r="AA774" s="4" t="str">
        <f ca="1">IF(OR(INDEX($AG$2:$AG$1001,MATCH(ROWS($AF$2:AF774),$AF$2:$AF$1001,0),1)&gt;=100000,INDEX($AM$1005:$BM$1005,1,MATCH(COLUMNS($AM$1006:BL1006),$AM$1006:$BM$1006,0))&gt;=100000), " ",IF(INDEX($AM$2:$BM$1001,MATCH(ROWS($AF$2:AF774),$AF$2:$AF$1001,0),MATCH(COLUMNS($AM$1006:BL1006),$AM$1006:$BM$1006,0)), HYPERLINK("#",""), HYPERLINK(CONCATENATE("#metadata!", ADDRESS(INDEX($AH$2:$AH$1001,MATCH(ROWS($AF$2:AF774),$AF$2:$AF$1001,0),0), INDEX($AM$1004:$BM$1004,1,MATCH(COLUMNS($AM$1006:BL1006),$AM$1006:$BM$1006,0)))),"Fix")))</f>
        <v xml:space="preserve"> </v>
      </c>
      <c r="AB774" s="4" t="str">
        <f ca="1">IF(OR(INDEX($AG$2:$AG$1001,MATCH(ROWS($AF$2:AF774),$AF$2:$AF$1001,0),1)&gt;=100000,INDEX($AM$1005:$BM$1005,1,MATCH(COLUMNS($AM$1006:BM1006),$AM$1006:$BM$1006,0))&gt;=100000), " ",IF(INDEX($AM$2:$BM$1001,MATCH(ROWS($AF$2:AF774),$AF$2:$AF$1001,0),MATCH(COLUMNS($AM$1006:BM1006),$AM$1006:$BM$1006,0)), HYPERLINK("#",""), HYPERLINK(CONCATENATE("#metadata!", ADDRESS(INDEX($AH$2:$AH$1001,MATCH(ROWS($AF$2:AF774),$AF$2:$AF$1001,0),0), INDEX($AM$1004:$BM$1004,1,MATCH(COLUMNS($AM$1006:BM1006),$AM$1006:$BM$1006,0)))),"Fix")))</f>
        <v xml:space="preserve"> </v>
      </c>
      <c r="AF774">
        <v>773</v>
      </c>
      <c r="AG774">
        <v>100774</v>
      </c>
      <c r="AH774">
        <v>774</v>
      </c>
      <c r="AI774" t="b">
        <f t="shared" si="12"/>
        <v>1</v>
      </c>
      <c r="AJ774" t="b">
        <f>COUNTBLANK(metadata!B774:AB774)=COLUMNS(metadata!B774:AB774)</f>
        <v>1</v>
      </c>
      <c r="AK774" t="str">
        <v/>
      </c>
      <c r="AM774" t="b">
        <f ca="1">AND(IF(metadata!B774="",FALSE,TRUE),COUNTIF(metadata!B:B, metadata!B774) = 1,NOT(ISERROR(SUMPRODUCT(SEARCH(MID(metadata!B774,ROW(INDIRECT("1:"&amp;LEN(metadata!B774))), 1),"0123456789abcdefghijklmnopqrstuvwxyzABCDEFGHIJKLMNOPQRSTUVWXYZ.")))))</f>
        <v>0</v>
      </c>
      <c r="AN774" t="b">
        <f ca="1">OR(AND(IF(metadata!C774="",FALSE,TRUE),OR(EXACT(metadata!C774,"missing: not collected"),EXACT(metadata!C774,"missing: not provided"),EXACT(metadata!C774,"missing: restricted access"))),AND(IF(metadata!C774="",FALSE,TRUE),AND(AND(IFERROR(INT(LEFT(metadata!C774,4))&gt;1900,FALSE),IFERROR(INT(LEFT(metadata!C774,4))&lt;=YEAR(NOW()),FALSE)), OR(MID(metadata!C774,5,1)="", AND(AND(MID(metadata!C774,5,1)="-",IFERROR(INT(MID(metadata!C774,6,1))&gt;=0,FALSE),IFERROR(INT(MID(metadata!C774,6,1))&lt;=1,FALSE),NOT(MID(metadata!C774,7,1)=""),IFERROR(INT(MID(metadata!C774,6,2))&gt;=1,FALSE),IFERROR(INT(MID(metadata!C774,6,2))&lt;=12,FALSE)), OR(MID(metadata!C774,8,1)="", AND(AND(MID(metadata!C774,8,1)="-",IFERROR(INT(MID(metadata!C774,9,1))&gt;=0,FALSE),IFERROR(INT(MID(metadata!C774,9,1))&lt;=3,FALSE),NOT(MID(metadata!C774,10,1)=""),IFERROR(INT(MID(metadata!C774,9,2))&gt;=1,FALSE),IFERROR(INT(MID(metadata!C774,9,2))&lt;=31,FALSE)), OR(MID(metadata!C774,11,1)="", AND(AND(MID(metadata!C774,11,1)=" ",IFERROR(INT(MID(metadata!C774,12,1))&gt;=0,FALSE),IFERROR(INT(MID(metadata!C774,12,1))&lt;=2,FALSE),NOT(MID(metadata!C774,13,1)=""),IFERROR(INT(MID(metadata!C774,12,2))&gt;=0,FALSE),IFERROR(INT(MID(metadata!C774,12,2))&lt;=23,FALSE)), OR(MID(metadata!C774,14,1)="", AND(AND(MID(metadata!C774,14,1)=":",IFERROR(INT(MID(metadata!C774,15,1))&gt;=0,FALSE),IFERROR(INT(MID(metadata!C774,15,1))&lt;=5,FALSE),NOT(MID(metadata!C774,16,1)=""),IFERROR(INT(MID(metadata!C774,15,2))&gt;=0,FALSE),IFERROR(INT(MID(metadata!C774,15,2))&lt;=59,FALSE)), OR(MID(metadata!C774,17,1)="", AND(AND(MID(metadata!C774,17,1)=":",IFERROR(INT(MID(metadata!C774,18,1))&gt;=0,FALSE),IFERROR(INT(MID(metadata!C774,18,1))&lt;=5,FALSE),NOT(MID(metadata!C774,19,1)=""),IFERROR(INT(MID(metadata!C774,18,2))&gt;=0,FALSE),IFERROR(INT(MID(metadata!C774,18,2))&lt;=59,FALSE)), LEN(metadata!C774)&lt;=19)))))))))))))</f>
        <v>0</v>
      </c>
      <c r="AO774" t="b">
        <f>AND(IF(metadata!D774="",FALSE,TRUE),EXACT(metadata!D774,"Not applicable"))</f>
        <v>0</v>
      </c>
      <c r="AP774" t="b">
        <f>IF(metadata!E774="",FALSE,TRUE)</f>
        <v>0</v>
      </c>
      <c r="AQ774" t="b">
        <f>OR(AND(IF(metadata!F774="",FALSE,TRUE),OR(EXACT(metadata!F774,"missing: not collected"),EXACT(metadata!F774,"missing: not provided"))),AND(IF(metadata!F774="",FALSE,TRUE),OR(EXACT(metadata!F774,"TRUE"),EXACT(metadata!F774,"FALSE"))))</f>
        <v>0</v>
      </c>
      <c r="AR774" t="b">
        <f>OR(AND(IF(metadata!G774="",FALSE,TRUE),OR(EXACT(metadata!G774,"missing: not collected"),EXACT(metadata!G774,"missing: not provided"),EXACT(metadata!G774,"missing: restricted access"))),AND(IF(metadata!G774="",FALSE,ISNUMBER(VALUE(metadata!G774))),metadata!G774&gt;=-413))</f>
        <v>0</v>
      </c>
      <c r="AS774" t="b">
        <f>AND(IF(metadata!H774="",FALSE,TRUE),EXACT(metadata!H774,"meters"))</f>
        <v>0</v>
      </c>
      <c r="AT774" t="b">
        <f>AND(IF(metadata!I774="",FALSE,TRUE),OR(EXACT(metadata!I774,"Host-associated"),EXACT(metadata!I774,"Free-living")))</f>
        <v>0</v>
      </c>
      <c r="AU774" t="b">
        <f>AND(IF(metadata!J774="",FALSE,TRUE),OR(EXACT(metadata!J774,"Animal"),EXACT(metadata!J774,"Fungus"),EXACT(metadata!J774,"Plant"),EXACT(metadata!J774,"Saline"),EXACT(metadata!J774,"Non-saline")))</f>
        <v>0</v>
      </c>
      <c r="AV774" t="b">
        <f>AND(IF(metadata!K774="",FALSE,TRUE),OR(EXACT(metadata!K774,"Plant secretion"),EXACT(metadata!K774,"Plant rhizosphere"),EXACT(metadata!K774,"Plant surface"),EXACT(metadata!K774,"Plant corpus"),EXACT(metadata!K774,"Fungus surface"),EXACT(metadata!K774,"Fungus corpus"),EXACT(metadata!K774,"Animal surface"),EXACT(metadata!K774,"Animal proximal gut"),EXACT(metadata!K774,"Animal corpus"),EXACT(metadata!K774,"Animal distal gut"),EXACT(metadata!K774,"Animal secretion"),EXACT(metadata!K774,"Sub-surface (non-saline)"),EXACT(metadata!K774,"Surface (non-saline)"),EXACT(metadata!K774,"Water (non-saline)"),EXACT(metadata!K774,"Soil (non-saline)"),EXACT(metadata!K774,"Aerosol (non-saline)"),EXACT(metadata!K774,"Sediment (non-saline)"),EXACT(metadata!K774,"Surface (saline)"),EXACT(metadata!K774,"Water (saline)"),EXACT(metadata!K774,"Hypersaline (saline)"),EXACT(metadata!K774,"Aerosol (saline)"),EXACT(metadata!K774,"Sediment (saline)")))</f>
        <v>0</v>
      </c>
      <c r="AW774" t="b">
        <f>IF(metadata!L774="",FALSE,TRUE)</f>
        <v>0</v>
      </c>
      <c r="AX774" t="b">
        <f>IF(metadata!M774="",FALSE,TRUE)</f>
        <v>0</v>
      </c>
      <c r="AY774" t="b">
        <f>IF(metadata!N774="",FALSE,TRUE)</f>
        <v>0</v>
      </c>
      <c r="AZ774" t="b">
        <f>OR(AND(IF(metadata!O774="",FALSE,TRUE),OR(EXACT(metadata!O774,"missing: not collected"),EXACT(metadata!O774,"missing: not provided"),EXACT(metadata!O774,"missing: restricted access"))),AND(IF(metadata!O774="",FALSE,TRUE),OR(EXACT(metadata!O774,"air"),EXACT(metadata!O774,"built environment"),EXACT(metadata!O774,"host-associated"),EXACT(metadata!O774,"human-associated"),EXACT(metadata!O774,"human-skin"),EXACT(metadata!O774,"human-oral"),EXACT(metadata!O774,"human-gut"),EXACT(metadata!O774,"human-vaginal"),EXACT(metadata!O774,"microbial mat/biofilm"),EXACT(metadata!O774,"misc environment"),EXACT(metadata!O774,"plant-associated"),EXACT(metadata!O774,"sediment"),EXACT(metadata!O774,"soil"),EXACT(metadata!O774,"wastewater/sludge"),EXACT(metadata!O774,"water"))))</f>
        <v>0</v>
      </c>
      <c r="BA774" t="b">
        <f>IF(metadata!P774="",FALSE,TRUE)</f>
        <v>0</v>
      </c>
      <c r="BB774" t="b">
        <f>IF(metadata!Q774="",FALSE,TRUE)</f>
        <v>0</v>
      </c>
      <c r="BC774" t="b">
        <f>OR(AND(IF(metadata!R774="",FALSE,TRUE),OR(EXACT(metadata!R774,"missing: not collected"),EXACT(metadata!R774,"missing: not provided"),EXACT(metadata!R774,"missing: restricted access"))),AND(IF(metadata!R774="",FALSE,ISNUMBER(VALUE(metadata!R774))),metadata!R774&gt;=-90,metadata!R774&lt;=90))</f>
        <v>0</v>
      </c>
      <c r="BD774" t="b">
        <f>AND(IF(metadata!S774="",FALSE,TRUE),EXACT(metadata!S774,"Decimal degrees"))</f>
        <v>0</v>
      </c>
      <c r="BE774" t="b">
        <f>OR(AND(IF(metadata!T774="",FALSE,TRUE),OR(EXACT(metadata!T774,"missing: not collected"),EXACT(metadata!T774,"missing: not provided"),EXACT(metadata!T774,"missing: restricted access"))),AND(IF(metadata!T774="",FALSE,ISNUMBER(VALUE(metadata!T774))),metadata!T774&gt;=-180,metadata!T774&lt;=180))</f>
        <v>0</v>
      </c>
      <c r="BF774" t="b">
        <f>AND(IF(metadata!U774="",FALSE,TRUE),EXACT(metadata!U774,"Decimal degrees"))</f>
        <v>0</v>
      </c>
      <c r="BG774" t="b">
        <f>IF(metadata!V774="",FALSE,TRUE)</f>
        <v>0</v>
      </c>
      <c r="BH774" t="b">
        <f>OR(AND(IF(metadata!W774="",FALSE,TRUE),OR(EXACT(metadata!W774,"missing: not collected"),EXACT(metadata!W774,"missing: not provided"),EXACT(metadata!W774,"missing: restricted access"))),AND(IF(metadata!W774="",FALSE,TRUE),OR(EXACT(metadata!W774,"TRUE"),EXACT(metadata!W774,"FALSE"))))</f>
        <v>0</v>
      </c>
      <c r="BI774" t="b">
        <f>AND(IF(metadata!X774="",FALSE,TRUE),EXACT(metadata!X774,"other"))</f>
        <v>0</v>
      </c>
      <c r="BJ774" t="b">
        <f>IF(metadata!Y774="",FALSE,TRUE)</f>
        <v>0</v>
      </c>
      <c r="BK774" t="b">
        <f>OR(AND(IF(metadata!Z774="",FALSE,TRUE),OR(EXACT(metadata!Z774,"missing: not collected"),EXACT(metadata!Z774,"missing: not provided"))),AND(IF(metadata!Z774="",FALSE,IF(ISERROR(INT(metadata!Z774)),FALSE,INT(metadata!Z774)=metadata!Z774)),metadata!Z774&gt;0))</f>
        <v>0</v>
      </c>
      <c r="BL774" t="b">
        <f>AND(IF(metadata!AA774="",FALSE,TRUE),EXACT(metadata!AA774,"Not applicable"))</f>
        <v>0</v>
      </c>
      <c r="BM774" t="b">
        <f>IF(metadata!AB774="",FALSE,TRUE)</f>
        <v>0</v>
      </c>
    </row>
    <row r="775" spans="1:65" x14ac:dyDescent="0.2">
      <c r="A775" s="5" t="str">
        <f ca="1">IF(B775=" "," ",HYPERLINK(CONCATENATE("#metadata!",ADDRESS(INDEX($AH$2:$AH$1001,MATCH(ROWS($AF$2:AF775),$AF$2:$AF$1001,0),0),1)),INDEX($AK$2:$AK$1001,MATCH(ROWS($AF$2:AF775),$AF$2:$AF$1001,0),0)))</f>
        <v xml:space="preserve"> </v>
      </c>
      <c r="B775" s="4" t="str">
        <f ca="1">IF(OR(INDEX($AG$2:$AG$1001,MATCH(ROWS($AF$2:AF775),$AF$2:$AF$1001,0),1)&gt;=100000,INDEX($AM$1005:$BM$1005,1,MATCH(COLUMNS($AM$1006:AM1006),$AM$1006:$BM$1006,0))&gt;=100000), " ",IF(INDEX($AM$2:$BM$1001,MATCH(ROWS($AF$2:AF775),$AF$2:$AF$1001,0),MATCH(COLUMNS($AM$1006:AM1006),$AM$1006:$BM$1006,0)), HYPERLINK("#",""), HYPERLINK(CONCATENATE("#metadata!", ADDRESS(INDEX($AH$2:$AH$1001,MATCH(ROWS($AF$2:AF775),$AF$2:$AF$1001,0),0), INDEX($AM$1004:$BM$1004,1,MATCH(COLUMNS($AM$1006:AM1006),$AM$1006:$BM$1006,0)))),"Fix")))</f>
        <v xml:space="preserve"> </v>
      </c>
      <c r="C775" s="4" t="str">
        <f ca="1">IF(OR(INDEX($AG$2:$AG$1001,MATCH(ROWS($AF$2:AF775),$AF$2:$AF$1001,0),1)&gt;=100000,INDEX($AM$1005:$BM$1005,1,MATCH(COLUMNS($AM$1006:AN1006),$AM$1006:$BM$1006,0))&gt;=100000), " ",IF(INDEX($AM$2:$BM$1001,MATCH(ROWS($AF$2:AF775),$AF$2:$AF$1001,0),MATCH(COLUMNS($AM$1006:AN1006),$AM$1006:$BM$1006,0)), HYPERLINK("#",""), HYPERLINK(CONCATENATE("#metadata!", ADDRESS(INDEX($AH$2:$AH$1001,MATCH(ROWS($AF$2:AF775),$AF$2:$AF$1001,0),0), INDEX($AM$1004:$BM$1004,1,MATCH(COLUMNS($AM$1006:AN1006),$AM$1006:$BM$1006,0)))),"Fix")))</f>
        <v xml:space="preserve"> </v>
      </c>
      <c r="D775" s="4" t="str">
        <f ca="1">IF(OR(INDEX($AG$2:$AG$1001,MATCH(ROWS($AF$2:AF775),$AF$2:$AF$1001,0),1)&gt;=100000,INDEX($AM$1005:$BM$1005,1,MATCH(COLUMNS($AM$1006:AO1006),$AM$1006:$BM$1006,0))&gt;=100000), " ",IF(INDEX($AM$2:$BM$1001,MATCH(ROWS($AF$2:AF775),$AF$2:$AF$1001,0),MATCH(COLUMNS($AM$1006:AO1006),$AM$1006:$BM$1006,0)), HYPERLINK("#",""), HYPERLINK(CONCATENATE("#metadata!", ADDRESS(INDEX($AH$2:$AH$1001,MATCH(ROWS($AF$2:AF775),$AF$2:$AF$1001,0),0), INDEX($AM$1004:$BM$1004,1,MATCH(COLUMNS($AM$1006:AO1006),$AM$1006:$BM$1006,0)))),"Fix")))</f>
        <v xml:space="preserve"> </v>
      </c>
      <c r="E775" s="4" t="str">
        <f ca="1">IF(OR(INDEX($AG$2:$AG$1001,MATCH(ROWS($AF$2:AF775),$AF$2:$AF$1001,0),1)&gt;=100000,INDEX($AM$1005:$BM$1005,1,MATCH(COLUMNS($AM$1006:AP1006),$AM$1006:$BM$1006,0))&gt;=100000), " ",IF(INDEX($AM$2:$BM$1001,MATCH(ROWS($AF$2:AF775),$AF$2:$AF$1001,0),MATCH(COLUMNS($AM$1006:AP1006),$AM$1006:$BM$1006,0)), HYPERLINK("#",""), HYPERLINK(CONCATENATE("#metadata!", ADDRESS(INDEX($AH$2:$AH$1001,MATCH(ROWS($AF$2:AF775),$AF$2:$AF$1001,0),0), INDEX($AM$1004:$BM$1004,1,MATCH(COLUMNS($AM$1006:AP1006),$AM$1006:$BM$1006,0)))),"Fix")))</f>
        <v xml:space="preserve"> </v>
      </c>
      <c r="F775" s="4" t="str">
        <f ca="1">IF(OR(INDEX($AG$2:$AG$1001,MATCH(ROWS($AF$2:AF775),$AF$2:$AF$1001,0),1)&gt;=100000,INDEX($AM$1005:$BM$1005,1,MATCH(COLUMNS($AM$1006:AQ1006),$AM$1006:$BM$1006,0))&gt;=100000), " ",IF(INDEX($AM$2:$BM$1001,MATCH(ROWS($AF$2:AF775),$AF$2:$AF$1001,0),MATCH(COLUMNS($AM$1006:AQ1006),$AM$1006:$BM$1006,0)), HYPERLINK("#",""), HYPERLINK(CONCATENATE("#metadata!", ADDRESS(INDEX($AH$2:$AH$1001,MATCH(ROWS($AF$2:AF775),$AF$2:$AF$1001,0),0), INDEX($AM$1004:$BM$1004,1,MATCH(COLUMNS($AM$1006:AQ1006),$AM$1006:$BM$1006,0)))),"Fix")))</f>
        <v xml:space="preserve"> </v>
      </c>
      <c r="G775" s="4" t="str">
        <f ca="1">IF(OR(INDEX($AG$2:$AG$1001,MATCH(ROWS($AF$2:AF775),$AF$2:$AF$1001,0),1)&gt;=100000,INDEX($AM$1005:$BM$1005,1,MATCH(COLUMNS($AM$1006:AR1006),$AM$1006:$BM$1006,0))&gt;=100000), " ",IF(INDEX($AM$2:$BM$1001,MATCH(ROWS($AF$2:AF775),$AF$2:$AF$1001,0),MATCH(COLUMNS($AM$1006:AR1006),$AM$1006:$BM$1006,0)), HYPERLINK("#",""), HYPERLINK(CONCATENATE("#metadata!", ADDRESS(INDEX($AH$2:$AH$1001,MATCH(ROWS($AF$2:AF775),$AF$2:$AF$1001,0),0), INDEX($AM$1004:$BM$1004,1,MATCH(COLUMNS($AM$1006:AR1006),$AM$1006:$BM$1006,0)))),"Fix")))</f>
        <v xml:space="preserve"> </v>
      </c>
      <c r="H775" s="4" t="str">
        <f ca="1">IF(OR(INDEX($AG$2:$AG$1001,MATCH(ROWS($AF$2:AF775),$AF$2:$AF$1001,0),1)&gt;=100000,INDEX($AM$1005:$BM$1005,1,MATCH(COLUMNS($AM$1006:AS1006),$AM$1006:$BM$1006,0))&gt;=100000), " ",IF(INDEX($AM$2:$BM$1001,MATCH(ROWS($AF$2:AF775),$AF$2:$AF$1001,0),MATCH(COLUMNS($AM$1006:AS1006),$AM$1006:$BM$1006,0)), HYPERLINK("#",""), HYPERLINK(CONCATENATE("#metadata!", ADDRESS(INDEX($AH$2:$AH$1001,MATCH(ROWS($AF$2:AF775),$AF$2:$AF$1001,0),0), INDEX($AM$1004:$BM$1004,1,MATCH(COLUMNS($AM$1006:AS1006),$AM$1006:$BM$1006,0)))),"Fix")))</f>
        <v xml:space="preserve"> </v>
      </c>
      <c r="I775" s="4" t="str">
        <f ca="1">IF(OR(INDEX($AG$2:$AG$1001,MATCH(ROWS($AF$2:AF775),$AF$2:$AF$1001,0),1)&gt;=100000,INDEX($AM$1005:$BM$1005,1,MATCH(COLUMNS($AM$1006:AT1006),$AM$1006:$BM$1006,0))&gt;=100000), " ",IF(INDEX($AM$2:$BM$1001,MATCH(ROWS($AF$2:AF775),$AF$2:$AF$1001,0),MATCH(COLUMNS($AM$1006:AT1006),$AM$1006:$BM$1006,0)), HYPERLINK("#",""), HYPERLINK(CONCATENATE("#metadata!", ADDRESS(INDEX($AH$2:$AH$1001,MATCH(ROWS($AF$2:AF775),$AF$2:$AF$1001,0),0), INDEX($AM$1004:$BM$1004,1,MATCH(COLUMNS($AM$1006:AT1006),$AM$1006:$BM$1006,0)))),"Fix")))</f>
        <v xml:space="preserve"> </v>
      </c>
      <c r="J775" s="4" t="str">
        <f ca="1">IF(OR(INDEX($AG$2:$AG$1001,MATCH(ROWS($AF$2:AF775),$AF$2:$AF$1001,0),1)&gt;=100000,INDEX($AM$1005:$BM$1005,1,MATCH(COLUMNS($AM$1006:AU1006),$AM$1006:$BM$1006,0))&gt;=100000), " ",IF(INDEX($AM$2:$BM$1001,MATCH(ROWS($AF$2:AF775),$AF$2:$AF$1001,0),MATCH(COLUMNS($AM$1006:AU1006),$AM$1006:$BM$1006,0)), HYPERLINK("#",""), HYPERLINK(CONCATENATE("#metadata!", ADDRESS(INDEX($AH$2:$AH$1001,MATCH(ROWS($AF$2:AF775),$AF$2:$AF$1001,0),0), INDEX($AM$1004:$BM$1004,1,MATCH(COLUMNS($AM$1006:AU1006),$AM$1006:$BM$1006,0)))),"Fix")))</f>
        <v xml:space="preserve"> </v>
      </c>
      <c r="K775" s="4" t="str">
        <f ca="1">IF(OR(INDEX($AG$2:$AG$1001,MATCH(ROWS($AF$2:AF775),$AF$2:$AF$1001,0),1)&gt;=100000,INDEX($AM$1005:$BM$1005,1,MATCH(COLUMNS($AM$1006:AV1006),$AM$1006:$BM$1006,0))&gt;=100000), " ",IF(INDEX($AM$2:$BM$1001,MATCH(ROWS($AF$2:AF775),$AF$2:$AF$1001,0),MATCH(COLUMNS($AM$1006:AV1006),$AM$1006:$BM$1006,0)), HYPERLINK("#",""), HYPERLINK(CONCATENATE("#metadata!", ADDRESS(INDEX($AH$2:$AH$1001,MATCH(ROWS($AF$2:AF775),$AF$2:$AF$1001,0),0), INDEX($AM$1004:$BM$1004,1,MATCH(COLUMNS($AM$1006:AV1006),$AM$1006:$BM$1006,0)))),"Fix")))</f>
        <v xml:space="preserve"> </v>
      </c>
      <c r="L775" s="4" t="str">
        <f ca="1">IF(OR(INDEX($AG$2:$AG$1001,MATCH(ROWS($AF$2:AF775),$AF$2:$AF$1001,0),1)&gt;=100000,INDEX($AM$1005:$BM$1005,1,MATCH(COLUMNS($AM$1006:AW1006),$AM$1006:$BM$1006,0))&gt;=100000), " ",IF(INDEX($AM$2:$BM$1001,MATCH(ROWS($AF$2:AF775),$AF$2:$AF$1001,0),MATCH(COLUMNS($AM$1006:AW1006),$AM$1006:$BM$1006,0)), HYPERLINK("#",""), HYPERLINK(CONCATENATE("#metadata!", ADDRESS(INDEX($AH$2:$AH$1001,MATCH(ROWS($AF$2:AF775),$AF$2:$AF$1001,0),0), INDEX($AM$1004:$BM$1004,1,MATCH(COLUMNS($AM$1006:AW1006),$AM$1006:$BM$1006,0)))),"Fix")))</f>
        <v xml:space="preserve"> </v>
      </c>
      <c r="M775" s="4" t="str">
        <f ca="1">IF(OR(INDEX($AG$2:$AG$1001,MATCH(ROWS($AF$2:AF775),$AF$2:$AF$1001,0),1)&gt;=100000,INDEX($AM$1005:$BM$1005,1,MATCH(COLUMNS($AM$1006:AX1006),$AM$1006:$BM$1006,0))&gt;=100000), " ",IF(INDEX($AM$2:$BM$1001,MATCH(ROWS($AF$2:AF775),$AF$2:$AF$1001,0),MATCH(COLUMNS($AM$1006:AX1006),$AM$1006:$BM$1006,0)), HYPERLINK("#",""), HYPERLINK(CONCATENATE("#metadata!", ADDRESS(INDEX($AH$2:$AH$1001,MATCH(ROWS($AF$2:AF775),$AF$2:$AF$1001,0),0), INDEX($AM$1004:$BM$1004,1,MATCH(COLUMNS($AM$1006:AX1006),$AM$1006:$BM$1006,0)))),"Fix")))</f>
        <v xml:space="preserve"> </v>
      </c>
      <c r="N775" s="4" t="str">
        <f ca="1">IF(OR(INDEX($AG$2:$AG$1001,MATCH(ROWS($AF$2:AF775),$AF$2:$AF$1001,0),1)&gt;=100000,INDEX($AM$1005:$BM$1005,1,MATCH(COLUMNS($AM$1006:AY1006),$AM$1006:$BM$1006,0))&gt;=100000), " ",IF(INDEX($AM$2:$BM$1001,MATCH(ROWS($AF$2:AF775),$AF$2:$AF$1001,0),MATCH(COLUMNS($AM$1006:AY1006),$AM$1006:$BM$1006,0)), HYPERLINK("#",""), HYPERLINK(CONCATENATE("#metadata!", ADDRESS(INDEX($AH$2:$AH$1001,MATCH(ROWS($AF$2:AF775),$AF$2:$AF$1001,0),0), INDEX($AM$1004:$BM$1004,1,MATCH(COLUMNS($AM$1006:AY1006),$AM$1006:$BM$1006,0)))),"Fix")))</f>
        <v xml:space="preserve"> </v>
      </c>
      <c r="O775" s="4" t="str">
        <f ca="1">IF(OR(INDEX($AG$2:$AG$1001,MATCH(ROWS($AF$2:AF775),$AF$2:$AF$1001,0),1)&gt;=100000,INDEX($AM$1005:$BM$1005,1,MATCH(COLUMNS($AM$1006:AZ1006),$AM$1006:$BM$1006,0))&gt;=100000), " ",IF(INDEX($AM$2:$BM$1001,MATCH(ROWS($AF$2:AF775),$AF$2:$AF$1001,0),MATCH(COLUMNS($AM$1006:AZ1006),$AM$1006:$BM$1006,0)), HYPERLINK("#",""), HYPERLINK(CONCATENATE("#metadata!", ADDRESS(INDEX($AH$2:$AH$1001,MATCH(ROWS($AF$2:AF775),$AF$2:$AF$1001,0),0), INDEX($AM$1004:$BM$1004,1,MATCH(COLUMNS($AM$1006:AZ1006),$AM$1006:$BM$1006,0)))),"Fix")))</f>
        <v xml:space="preserve"> </v>
      </c>
      <c r="P775" s="4" t="str">
        <f ca="1">IF(OR(INDEX($AG$2:$AG$1001,MATCH(ROWS($AF$2:AF775),$AF$2:$AF$1001,0),1)&gt;=100000,INDEX($AM$1005:$BM$1005,1,MATCH(COLUMNS($AM$1006:BA1006),$AM$1006:$BM$1006,0))&gt;=100000), " ",IF(INDEX($AM$2:$BM$1001,MATCH(ROWS($AF$2:AF775),$AF$2:$AF$1001,0),MATCH(COLUMNS($AM$1006:BA1006),$AM$1006:$BM$1006,0)), HYPERLINK("#",""), HYPERLINK(CONCATENATE("#metadata!", ADDRESS(INDEX($AH$2:$AH$1001,MATCH(ROWS($AF$2:AF775),$AF$2:$AF$1001,0),0), INDEX($AM$1004:$BM$1004,1,MATCH(COLUMNS($AM$1006:BA1006),$AM$1006:$BM$1006,0)))),"Fix")))</f>
        <v xml:space="preserve"> </v>
      </c>
      <c r="Q775" s="4" t="str">
        <f ca="1">IF(OR(INDEX($AG$2:$AG$1001,MATCH(ROWS($AF$2:AF775),$AF$2:$AF$1001,0),1)&gt;=100000,INDEX($AM$1005:$BM$1005,1,MATCH(COLUMNS($AM$1006:BB1006),$AM$1006:$BM$1006,0))&gt;=100000), " ",IF(INDEX($AM$2:$BM$1001,MATCH(ROWS($AF$2:AF775),$AF$2:$AF$1001,0),MATCH(COLUMNS($AM$1006:BB1006),$AM$1006:$BM$1006,0)), HYPERLINK("#",""), HYPERLINK(CONCATENATE("#metadata!", ADDRESS(INDEX($AH$2:$AH$1001,MATCH(ROWS($AF$2:AF775),$AF$2:$AF$1001,0),0), INDEX($AM$1004:$BM$1004,1,MATCH(COLUMNS($AM$1006:BB1006),$AM$1006:$BM$1006,0)))),"Fix")))</f>
        <v xml:space="preserve"> </v>
      </c>
      <c r="R775" s="4" t="str">
        <f ca="1">IF(OR(INDEX($AG$2:$AG$1001,MATCH(ROWS($AF$2:AF775),$AF$2:$AF$1001,0),1)&gt;=100000,INDEX($AM$1005:$BM$1005,1,MATCH(COLUMNS($AM$1006:BC1006),$AM$1006:$BM$1006,0))&gt;=100000), " ",IF(INDEX($AM$2:$BM$1001,MATCH(ROWS($AF$2:AF775),$AF$2:$AF$1001,0),MATCH(COLUMNS($AM$1006:BC1006),$AM$1006:$BM$1006,0)), HYPERLINK("#",""), HYPERLINK(CONCATENATE("#metadata!", ADDRESS(INDEX($AH$2:$AH$1001,MATCH(ROWS($AF$2:AF775),$AF$2:$AF$1001,0),0), INDEX($AM$1004:$BM$1004,1,MATCH(COLUMNS($AM$1006:BC1006),$AM$1006:$BM$1006,0)))),"Fix")))</f>
        <v xml:space="preserve"> </v>
      </c>
      <c r="S775" s="4" t="str">
        <f ca="1">IF(OR(INDEX($AG$2:$AG$1001,MATCH(ROWS($AF$2:AF775),$AF$2:$AF$1001,0),1)&gt;=100000,INDEX($AM$1005:$BM$1005,1,MATCH(COLUMNS($AM$1006:BD1006),$AM$1006:$BM$1006,0))&gt;=100000), " ",IF(INDEX($AM$2:$BM$1001,MATCH(ROWS($AF$2:AF775),$AF$2:$AF$1001,0),MATCH(COLUMNS($AM$1006:BD1006),$AM$1006:$BM$1006,0)), HYPERLINK("#",""), HYPERLINK(CONCATENATE("#metadata!", ADDRESS(INDEX($AH$2:$AH$1001,MATCH(ROWS($AF$2:AF775),$AF$2:$AF$1001,0),0), INDEX($AM$1004:$BM$1004,1,MATCH(COLUMNS($AM$1006:BD1006),$AM$1006:$BM$1006,0)))),"Fix")))</f>
        <v xml:space="preserve"> </v>
      </c>
      <c r="T775" s="4" t="str">
        <f ca="1">IF(OR(INDEX($AG$2:$AG$1001,MATCH(ROWS($AF$2:AF775),$AF$2:$AF$1001,0),1)&gt;=100000,INDEX($AM$1005:$BM$1005,1,MATCH(COLUMNS($AM$1006:BE1006),$AM$1006:$BM$1006,0))&gt;=100000), " ",IF(INDEX($AM$2:$BM$1001,MATCH(ROWS($AF$2:AF775),$AF$2:$AF$1001,0),MATCH(COLUMNS($AM$1006:BE1006),$AM$1006:$BM$1006,0)), HYPERLINK("#",""), HYPERLINK(CONCATENATE("#metadata!", ADDRESS(INDEX($AH$2:$AH$1001,MATCH(ROWS($AF$2:AF775),$AF$2:$AF$1001,0),0), INDEX($AM$1004:$BM$1004,1,MATCH(COLUMNS($AM$1006:BE1006),$AM$1006:$BM$1006,0)))),"Fix")))</f>
        <v xml:space="preserve"> </v>
      </c>
      <c r="U775" s="4" t="str">
        <f ca="1">IF(OR(INDEX($AG$2:$AG$1001,MATCH(ROWS($AF$2:AF775),$AF$2:$AF$1001,0),1)&gt;=100000,INDEX($AM$1005:$BM$1005,1,MATCH(COLUMNS($AM$1006:BF1006),$AM$1006:$BM$1006,0))&gt;=100000), " ",IF(INDEX($AM$2:$BM$1001,MATCH(ROWS($AF$2:AF775),$AF$2:$AF$1001,0),MATCH(COLUMNS($AM$1006:BF1006),$AM$1006:$BM$1006,0)), HYPERLINK("#",""), HYPERLINK(CONCATENATE("#metadata!", ADDRESS(INDEX($AH$2:$AH$1001,MATCH(ROWS($AF$2:AF775),$AF$2:$AF$1001,0),0), INDEX($AM$1004:$BM$1004,1,MATCH(COLUMNS($AM$1006:BF1006),$AM$1006:$BM$1006,0)))),"Fix")))</f>
        <v xml:space="preserve"> </v>
      </c>
      <c r="V775" s="4" t="str">
        <f ca="1">IF(OR(INDEX($AG$2:$AG$1001,MATCH(ROWS($AF$2:AF775),$AF$2:$AF$1001,0),1)&gt;=100000,INDEX($AM$1005:$BM$1005,1,MATCH(COLUMNS($AM$1006:BG1006),$AM$1006:$BM$1006,0))&gt;=100000), " ",IF(INDEX($AM$2:$BM$1001,MATCH(ROWS($AF$2:AF775),$AF$2:$AF$1001,0),MATCH(COLUMNS($AM$1006:BG1006),$AM$1006:$BM$1006,0)), HYPERLINK("#",""), HYPERLINK(CONCATENATE("#metadata!", ADDRESS(INDEX($AH$2:$AH$1001,MATCH(ROWS($AF$2:AF775),$AF$2:$AF$1001,0),0), INDEX($AM$1004:$BM$1004,1,MATCH(COLUMNS($AM$1006:BG1006),$AM$1006:$BM$1006,0)))),"Fix")))</f>
        <v xml:space="preserve"> </v>
      </c>
      <c r="W775" s="4" t="str">
        <f ca="1">IF(OR(INDEX($AG$2:$AG$1001,MATCH(ROWS($AF$2:AF775),$AF$2:$AF$1001,0),1)&gt;=100000,INDEX($AM$1005:$BM$1005,1,MATCH(COLUMNS($AM$1006:BH1006),$AM$1006:$BM$1006,0))&gt;=100000), " ",IF(INDEX($AM$2:$BM$1001,MATCH(ROWS($AF$2:AF775),$AF$2:$AF$1001,0),MATCH(COLUMNS($AM$1006:BH1006),$AM$1006:$BM$1006,0)), HYPERLINK("#",""), HYPERLINK(CONCATENATE("#metadata!", ADDRESS(INDEX($AH$2:$AH$1001,MATCH(ROWS($AF$2:AF775),$AF$2:$AF$1001,0),0), INDEX($AM$1004:$BM$1004,1,MATCH(COLUMNS($AM$1006:BH1006),$AM$1006:$BM$1006,0)))),"Fix")))</f>
        <v xml:space="preserve"> </v>
      </c>
      <c r="X775" s="4" t="str">
        <f ca="1">IF(OR(INDEX($AG$2:$AG$1001,MATCH(ROWS($AF$2:AF775),$AF$2:$AF$1001,0),1)&gt;=100000,INDEX($AM$1005:$BM$1005,1,MATCH(COLUMNS($AM$1006:BI1006),$AM$1006:$BM$1006,0))&gt;=100000), " ",IF(INDEX($AM$2:$BM$1001,MATCH(ROWS($AF$2:AF775),$AF$2:$AF$1001,0),MATCH(COLUMNS($AM$1006:BI1006),$AM$1006:$BM$1006,0)), HYPERLINK("#",""), HYPERLINK(CONCATENATE("#metadata!", ADDRESS(INDEX($AH$2:$AH$1001,MATCH(ROWS($AF$2:AF775),$AF$2:$AF$1001,0),0), INDEX($AM$1004:$BM$1004,1,MATCH(COLUMNS($AM$1006:BI1006),$AM$1006:$BM$1006,0)))),"Fix")))</f>
        <v xml:space="preserve"> </v>
      </c>
      <c r="Y775" s="4" t="str">
        <f ca="1">IF(OR(INDEX($AG$2:$AG$1001,MATCH(ROWS($AF$2:AF775),$AF$2:$AF$1001,0),1)&gt;=100000,INDEX($AM$1005:$BM$1005,1,MATCH(COLUMNS($AM$1006:BJ1006),$AM$1006:$BM$1006,0))&gt;=100000), " ",IF(INDEX($AM$2:$BM$1001,MATCH(ROWS($AF$2:AF775),$AF$2:$AF$1001,0),MATCH(COLUMNS($AM$1006:BJ1006),$AM$1006:$BM$1006,0)), HYPERLINK("#",""), HYPERLINK(CONCATENATE("#metadata!", ADDRESS(INDEX($AH$2:$AH$1001,MATCH(ROWS($AF$2:AF775),$AF$2:$AF$1001,0),0), INDEX($AM$1004:$BM$1004,1,MATCH(COLUMNS($AM$1006:BJ1006),$AM$1006:$BM$1006,0)))),"Fix")))</f>
        <v xml:space="preserve"> </v>
      </c>
      <c r="Z775" s="4" t="str">
        <f ca="1">IF(OR(INDEX($AG$2:$AG$1001,MATCH(ROWS($AF$2:AF775),$AF$2:$AF$1001,0),1)&gt;=100000,INDEX($AM$1005:$BM$1005,1,MATCH(COLUMNS($AM$1006:BK1006),$AM$1006:$BM$1006,0))&gt;=100000), " ",IF(INDEX($AM$2:$BM$1001,MATCH(ROWS($AF$2:AF775),$AF$2:$AF$1001,0),MATCH(COLUMNS($AM$1006:BK1006),$AM$1006:$BM$1006,0)), HYPERLINK("#",""), HYPERLINK(CONCATENATE("#metadata!", ADDRESS(INDEX($AH$2:$AH$1001,MATCH(ROWS($AF$2:AF775),$AF$2:$AF$1001,0),0), INDEX($AM$1004:$BM$1004,1,MATCH(COLUMNS($AM$1006:BK1006),$AM$1006:$BM$1006,0)))),"Fix")))</f>
        <v xml:space="preserve"> </v>
      </c>
      <c r="AA775" s="4" t="str">
        <f ca="1">IF(OR(INDEX($AG$2:$AG$1001,MATCH(ROWS($AF$2:AF775),$AF$2:$AF$1001,0),1)&gt;=100000,INDEX($AM$1005:$BM$1005,1,MATCH(COLUMNS($AM$1006:BL1006),$AM$1006:$BM$1006,0))&gt;=100000), " ",IF(INDEX($AM$2:$BM$1001,MATCH(ROWS($AF$2:AF775),$AF$2:$AF$1001,0),MATCH(COLUMNS($AM$1006:BL1006),$AM$1006:$BM$1006,0)), HYPERLINK("#",""), HYPERLINK(CONCATENATE("#metadata!", ADDRESS(INDEX($AH$2:$AH$1001,MATCH(ROWS($AF$2:AF775),$AF$2:$AF$1001,0),0), INDEX($AM$1004:$BM$1004,1,MATCH(COLUMNS($AM$1006:BL1006),$AM$1006:$BM$1006,0)))),"Fix")))</f>
        <v xml:space="preserve"> </v>
      </c>
      <c r="AB775" s="4" t="str">
        <f ca="1">IF(OR(INDEX($AG$2:$AG$1001,MATCH(ROWS($AF$2:AF775),$AF$2:$AF$1001,0),1)&gt;=100000,INDEX($AM$1005:$BM$1005,1,MATCH(COLUMNS($AM$1006:BM1006),$AM$1006:$BM$1006,0))&gt;=100000), " ",IF(INDEX($AM$2:$BM$1001,MATCH(ROWS($AF$2:AF775),$AF$2:$AF$1001,0),MATCH(COLUMNS($AM$1006:BM1006),$AM$1006:$BM$1006,0)), HYPERLINK("#",""), HYPERLINK(CONCATENATE("#metadata!", ADDRESS(INDEX($AH$2:$AH$1001,MATCH(ROWS($AF$2:AF775),$AF$2:$AF$1001,0),0), INDEX($AM$1004:$BM$1004,1,MATCH(COLUMNS($AM$1006:BM1006),$AM$1006:$BM$1006,0)))),"Fix")))</f>
        <v xml:space="preserve"> </v>
      </c>
      <c r="AF775">
        <v>774</v>
      </c>
      <c r="AG775">
        <v>100775</v>
      </c>
      <c r="AH775">
        <v>775</v>
      </c>
      <c r="AI775" t="b">
        <f t="shared" si="12"/>
        <v>1</v>
      </c>
      <c r="AJ775" t="b">
        <f>COUNTBLANK(metadata!B775:AB775)=COLUMNS(metadata!B775:AB775)</f>
        <v>1</v>
      </c>
      <c r="AK775" t="str">
        <v/>
      </c>
      <c r="AM775" t="b">
        <f ca="1">AND(IF(metadata!B775="",FALSE,TRUE),COUNTIF(metadata!B:B, metadata!B775) = 1,NOT(ISERROR(SUMPRODUCT(SEARCH(MID(metadata!B775,ROW(INDIRECT("1:"&amp;LEN(metadata!B775))), 1),"0123456789abcdefghijklmnopqrstuvwxyzABCDEFGHIJKLMNOPQRSTUVWXYZ.")))))</f>
        <v>0</v>
      </c>
      <c r="AN775" t="b">
        <f ca="1">OR(AND(IF(metadata!C775="",FALSE,TRUE),OR(EXACT(metadata!C775,"missing: not collected"),EXACT(metadata!C775,"missing: not provided"),EXACT(metadata!C775,"missing: restricted access"))),AND(IF(metadata!C775="",FALSE,TRUE),AND(AND(IFERROR(INT(LEFT(metadata!C775,4))&gt;1900,FALSE),IFERROR(INT(LEFT(metadata!C775,4))&lt;=YEAR(NOW()),FALSE)), OR(MID(metadata!C775,5,1)="", AND(AND(MID(metadata!C775,5,1)="-",IFERROR(INT(MID(metadata!C775,6,1))&gt;=0,FALSE),IFERROR(INT(MID(metadata!C775,6,1))&lt;=1,FALSE),NOT(MID(metadata!C775,7,1)=""),IFERROR(INT(MID(metadata!C775,6,2))&gt;=1,FALSE),IFERROR(INT(MID(metadata!C775,6,2))&lt;=12,FALSE)), OR(MID(metadata!C775,8,1)="", AND(AND(MID(metadata!C775,8,1)="-",IFERROR(INT(MID(metadata!C775,9,1))&gt;=0,FALSE),IFERROR(INT(MID(metadata!C775,9,1))&lt;=3,FALSE),NOT(MID(metadata!C775,10,1)=""),IFERROR(INT(MID(metadata!C775,9,2))&gt;=1,FALSE),IFERROR(INT(MID(metadata!C775,9,2))&lt;=31,FALSE)), OR(MID(metadata!C775,11,1)="", AND(AND(MID(metadata!C775,11,1)=" ",IFERROR(INT(MID(metadata!C775,12,1))&gt;=0,FALSE),IFERROR(INT(MID(metadata!C775,12,1))&lt;=2,FALSE),NOT(MID(metadata!C775,13,1)=""),IFERROR(INT(MID(metadata!C775,12,2))&gt;=0,FALSE),IFERROR(INT(MID(metadata!C775,12,2))&lt;=23,FALSE)), OR(MID(metadata!C775,14,1)="", AND(AND(MID(metadata!C775,14,1)=":",IFERROR(INT(MID(metadata!C775,15,1))&gt;=0,FALSE),IFERROR(INT(MID(metadata!C775,15,1))&lt;=5,FALSE),NOT(MID(metadata!C775,16,1)=""),IFERROR(INT(MID(metadata!C775,15,2))&gt;=0,FALSE),IFERROR(INT(MID(metadata!C775,15,2))&lt;=59,FALSE)), OR(MID(metadata!C775,17,1)="", AND(AND(MID(metadata!C775,17,1)=":",IFERROR(INT(MID(metadata!C775,18,1))&gt;=0,FALSE),IFERROR(INT(MID(metadata!C775,18,1))&lt;=5,FALSE),NOT(MID(metadata!C775,19,1)=""),IFERROR(INT(MID(metadata!C775,18,2))&gt;=0,FALSE),IFERROR(INT(MID(metadata!C775,18,2))&lt;=59,FALSE)), LEN(metadata!C775)&lt;=19)))))))))))))</f>
        <v>0</v>
      </c>
      <c r="AO775" t="b">
        <f>AND(IF(metadata!D775="",FALSE,TRUE),EXACT(metadata!D775,"Not applicable"))</f>
        <v>0</v>
      </c>
      <c r="AP775" t="b">
        <f>IF(metadata!E775="",FALSE,TRUE)</f>
        <v>0</v>
      </c>
      <c r="AQ775" t="b">
        <f>OR(AND(IF(metadata!F775="",FALSE,TRUE),OR(EXACT(metadata!F775,"missing: not collected"),EXACT(metadata!F775,"missing: not provided"))),AND(IF(metadata!F775="",FALSE,TRUE),OR(EXACT(metadata!F775,"TRUE"),EXACT(metadata!F775,"FALSE"))))</f>
        <v>0</v>
      </c>
      <c r="AR775" t="b">
        <f>OR(AND(IF(metadata!G775="",FALSE,TRUE),OR(EXACT(metadata!G775,"missing: not collected"),EXACT(metadata!G775,"missing: not provided"),EXACT(metadata!G775,"missing: restricted access"))),AND(IF(metadata!G775="",FALSE,ISNUMBER(VALUE(metadata!G775))),metadata!G775&gt;=-413))</f>
        <v>0</v>
      </c>
      <c r="AS775" t="b">
        <f>AND(IF(metadata!H775="",FALSE,TRUE),EXACT(metadata!H775,"meters"))</f>
        <v>0</v>
      </c>
      <c r="AT775" t="b">
        <f>AND(IF(metadata!I775="",FALSE,TRUE),OR(EXACT(metadata!I775,"Host-associated"),EXACT(metadata!I775,"Free-living")))</f>
        <v>0</v>
      </c>
      <c r="AU775" t="b">
        <f>AND(IF(metadata!J775="",FALSE,TRUE),OR(EXACT(metadata!J775,"Animal"),EXACT(metadata!J775,"Fungus"),EXACT(metadata!J775,"Plant"),EXACT(metadata!J775,"Saline"),EXACT(metadata!J775,"Non-saline")))</f>
        <v>0</v>
      </c>
      <c r="AV775" t="b">
        <f>AND(IF(metadata!K775="",FALSE,TRUE),OR(EXACT(metadata!K775,"Plant secretion"),EXACT(metadata!K775,"Plant rhizosphere"),EXACT(metadata!K775,"Plant surface"),EXACT(metadata!K775,"Plant corpus"),EXACT(metadata!K775,"Fungus surface"),EXACT(metadata!K775,"Fungus corpus"),EXACT(metadata!K775,"Animal surface"),EXACT(metadata!K775,"Animal proximal gut"),EXACT(metadata!K775,"Animal corpus"),EXACT(metadata!K775,"Animal distal gut"),EXACT(metadata!K775,"Animal secretion"),EXACT(metadata!K775,"Sub-surface (non-saline)"),EXACT(metadata!K775,"Surface (non-saline)"),EXACT(metadata!K775,"Water (non-saline)"),EXACT(metadata!K775,"Soil (non-saline)"),EXACT(metadata!K775,"Aerosol (non-saline)"),EXACT(metadata!K775,"Sediment (non-saline)"),EXACT(metadata!K775,"Surface (saline)"),EXACT(metadata!K775,"Water (saline)"),EXACT(metadata!K775,"Hypersaline (saline)"),EXACT(metadata!K775,"Aerosol (saline)"),EXACT(metadata!K775,"Sediment (saline)")))</f>
        <v>0</v>
      </c>
      <c r="AW775" t="b">
        <f>IF(metadata!L775="",FALSE,TRUE)</f>
        <v>0</v>
      </c>
      <c r="AX775" t="b">
        <f>IF(metadata!M775="",FALSE,TRUE)</f>
        <v>0</v>
      </c>
      <c r="AY775" t="b">
        <f>IF(metadata!N775="",FALSE,TRUE)</f>
        <v>0</v>
      </c>
      <c r="AZ775" t="b">
        <f>OR(AND(IF(metadata!O775="",FALSE,TRUE),OR(EXACT(metadata!O775,"missing: not collected"),EXACT(metadata!O775,"missing: not provided"),EXACT(metadata!O775,"missing: restricted access"))),AND(IF(metadata!O775="",FALSE,TRUE),OR(EXACT(metadata!O775,"air"),EXACT(metadata!O775,"built environment"),EXACT(metadata!O775,"host-associated"),EXACT(metadata!O775,"human-associated"),EXACT(metadata!O775,"human-skin"),EXACT(metadata!O775,"human-oral"),EXACT(metadata!O775,"human-gut"),EXACT(metadata!O775,"human-vaginal"),EXACT(metadata!O775,"microbial mat/biofilm"),EXACT(metadata!O775,"misc environment"),EXACT(metadata!O775,"plant-associated"),EXACT(metadata!O775,"sediment"),EXACT(metadata!O775,"soil"),EXACT(metadata!O775,"wastewater/sludge"),EXACT(metadata!O775,"water"))))</f>
        <v>0</v>
      </c>
      <c r="BA775" t="b">
        <f>IF(metadata!P775="",FALSE,TRUE)</f>
        <v>0</v>
      </c>
      <c r="BB775" t="b">
        <f>IF(metadata!Q775="",FALSE,TRUE)</f>
        <v>0</v>
      </c>
      <c r="BC775" t="b">
        <f>OR(AND(IF(metadata!R775="",FALSE,TRUE),OR(EXACT(metadata!R775,"missing: not collected"),EXACT(metadata!R775,"missing: not provided"),EXACT(metadata!R775,"missing: restricted access"))),AND(IF(metadata!R775="",FALSE,ISNUMBER(VALUE(metadata!R775))),metadata!R775&gt;=-90,metadata!R775&lt;=90))</f>
        <v>0</v>
      </c>
      <c r="BD775" t="b">
        <f>AND(IF(metadata!S775="",FALSE,TRUE),EXACT(metadata!S775,"Decimal degrees"))</f>
        <v>0</v>
      </c>
      <c r="BE775" t="b">
        <f>OR(AND(IF(metadata!T775="",FALSE,TRUE),OR(EXACT(metadata!T775,"missing: not collected"),EXACT(metadata!T775,"missing: not provided"),EXACT(metadata!T775,"missing: restricted access"))),AND(IF(metadata!T775="",FALSE,ISNUMBER(VALUE(metadata!T775))),metadata!T775&gt;=-180,metadata!T775&lt;=180))</f>
        <v>0</v>
      </c>
      <c r="BF775" t="b">
        <f>AND(IF(metadata!U775="",FALSE,TRUE),EXACT(metadata!U775,"Decimal degrees"))</f>
        <v>0</v>
      </c>
      <c r="BG775" t="b">
        <f>IF(metadata!V775="",FALSE,TRUE)</f>
        <v>0</v>
      </c>
      <c r="BH775" t="b">
        <f>OR(AND(IF(metadata!W775="",FALSE,TRUE),OR(EXACT(metadata!W775,"missing: not collected"),EXACT(metadata!W775,"missing: not provided"),EXACT(metadata!W775,"missing: restricted access"))),AND(IF(metadata!W775="",FALSE,TRUE),OR(EXACT(metadata!W775,"TRUE"),EXACT(metadata!W775,"FALSE"))))</f>
        <v>0</v>
      </c>
      <c r="BI775" t="b">
        <f>AND(IF(metadata!X775="",FALSE,TRUE),EXACT(metadata!X775,"other"))</f>
        <v>0</v>
      </c>
      <c r="BJ775" t="b">
        <f>IF(metadata!Y775="",FALSE,TRUE)</f>
        <v>0</v>
      </c>
      <c r="BK775" t="b">
        <f>OR(AND(IF(metadata!Z775="",FALSE,TRUE),OR(EXACT(metadata!Z775,"missing: not collected"),EXACT(metadata!Z775,"missing: not provided"))),AND(IF(metadata!Z775="",FALSE,IF(ISERROR(INT(metadata!Z775)),FALSE,INT(metadata!Z775)=metadata!Z775)),metadata!Z775&gt;0))</f>
        <v>0</v>
      </c>
      <c r="BL775" t="b">
        <f>AND(IF(metadata!AA775="",FALSE,TRUE),EXACT(metadata!AA775,"Not applicable"))</f>
        <v>0</v>
      </c>
      <c r="BM775" t="b">
        <f>IF(metadata!AB775="",FALSE,TRUE)</f>
        <v>0</v>
      </c>
    </row>
    <row r="776" spans="1:65" x14ac:dyDescent="0.2">
      <c r="A776" s="5" t="str">
        <f ca="1">IF(B776=" "," ",HYPERLINK(CONCATENATE("#metadata!",ADDRESS(INDEX($AH$2:$AH$1001,MATCH(ROWS($AF$2:AF776),$AF$2:$AF$1001,0),0),1)),INDEX($AK$2:$AK$1001,MATCH(ROWS($AF$2:AF776),$AF$2:$AF$1001,0),0)))</f>
        <v xml:space="preserve"> </v>
      </c>
      <c r="B776" s="4" t="str">
        <f ca="1">IF(OR(INDEX($AG$2:$AG$1001,MATCH(ROWS($AF$2:AF776),$AF$2:$AF$1001,0),1)&gt;=100000,INDEX($AM$1005:$BM$1005,1,MATCH(COLUMNS($AM$1006:AM1006),$AM$1006:$BM$1006,0))&gt;=100000), " ",IF(INDEX($AM$2:$BM$1001,MATCH(ROWS($AF$2:AF776),$AF$2:$AF$1001,0),MATCH(COLUMNS($AM$1006:AM1006),$AM$1006:$BM$1006,0)), HYPERLINK("#",""), HYPERLINK(CONCATENATE("#metadata!", ADDRESS(INDEX($AH$2:$AH$1001,MATCH(ROWS($AF$2:AF776),$AF$2:$AF$1001,0),0), INDEX($AM$1004:$BM$1004,1,MATCH(COLUMNS($AM$1006:AM1006),$AM$1006:$BM$1006,0)))),"Fix")))</f>
        <v xml:space="preserve"> </v>
      </c>
      <c r="C776" s="4" t="str">
        <f ca="1">IF(OR(INDEX($AG$2:$AG$1001,MATCH(ROWS($AF$2:AF776),$AF$2:$AF$1001,0),1)&gt;=100000,INDEX($AM$1005:$BM$1005,1,MATCH(COLUMNS($AM$1006:AN1006),$AM$1006:$BM$1006,0))&gt;=100000), " ",IF(INDEX($AM$2:$BM$1001,MATCH(ROWS($AF$2:AF776),$AF$2:$AF$1001,0),MATCH(COLUMNS($AM$1006:AN1006),$AM$1006:$BM$1006,0)), HYPERLINK("#",""), HYPERLINK(CONCATENATE("#metadata!", ADDRESS(INDEX($AH$2:$AH$1001,MATCH(ROWS($AF$2:AF776),$AF$2:$AF$1001,0),0), INDEX($AM$1004:$BM$1004,1,MATCH(COLUMNS($AM$1006:AN1006),$AM$1006:$BM$1006,0)))),"Fix")))</f>
        <v xml:space="preserve"> </v>
      </c>
      <c r="D776" s="4" t="str">
        <f ca="1">IF(OR(INDEX($AG$2:$AG$1001,MATCH(ROWS($AF$2:AF776),$AF$2:$AF$1001,0),1)&gt;=100000,INDEX($AM$1005:$BM$1005,1,MATCH(COLUMNS($AM$1006:AO1006),$AM$1006:$BM$1006,0))&gt;=100000), " ",IF(INDEX($AM$2:$BM$1001,MATCH(ROWS($AF$2:AF776),$AF$2:$AF$1001,0),MATCH(COLUMNS($AM$1006:AO1006),$AM$1006:$BM$1006,0)), HYPERLINK("#",""), HYPERLINK(CONCATENATE("#metadata!", ADDRESS(INDEX($AH$2:$AH$1001,MATCH(ROWS($AF$2:AF776),$AF$2:$AF$1001,0),0), INDEX($AM$1004:$BM$1004,1,MATCH(COLUMNS($AM$1006:AO1006),$AM$1006:$BM$1006,0)))),"Fix")))</f>
        <v xml:space="preserve"> </v>
      </c>
      <c r="E776" s="4" t="str">
        <f ca="1">IF(OR(INDEX($AG$2:$AG$1001,MATCH(ROWS($AF$2:AF776),$AF$2:$AF$1001,0),1)&gt;=100000,INDEX($AM$1005:$BM$1005,1,MATCH(COLUMNS($AM$1006:AP1006),$AM$1006:$BM$1006,0))&gt;=100000), " ",IF(INDEX($AM$2:$BM$1001,MATCH(ROWS($AF$2:AF776),$AF$2:$AF$1001,0),MATCH(COLUMNS($AM$1006:AP1006),$AM$1006:$BM$1006,0)), HYPERLINK("#",""), HYPERLINK(CONCATENATE("#metadata!", ADDRESS(INDEX($AH$2:$AH$1001,MATCH(ROWS($AF$2:AF776),$AF$2:$AF$1001,0),0), INDEX($AM$1004:$BM$1004,1,MATCH(COLUMNS($AM$1006:AP1006),$AM$1006:$BM$1006,0)))),"Fix")))</f>
        <v xml:space="preserve"> </v>
      </c>
      <c r="F776" s="4" t="str">
        <f ca="1">IF(OR(INDEX($AG$2:$AG$1001,MATCH(ROWS($AF$2:AF776),$AF$2:$AF$1001,0),1)&gt;=100000,INDEX($AM$1005:$BM$1005,1,MATCH(COLUMNS($AM$1006:AQ1006),$AM$1006:$BM$1006,0))&gt;=100000), " ",IF(INDEX($AM$2:$BM$1001,MATCH(ROWS($AF$2:AF776),$AF$2:$AF$1001,0),MATCH(COLUMNS($AM$1006:AQ1006),$AM$1006:$BM$1006,0)), HYPERLINK("#",""), HYPERLINK(CONCATENATE("#metadata!", ADDRESS(INDEX($AH$2:$AH$1001,MATCH(ROWS($AF$2:AF776),$AF$2:$AF$1001,0),0), INDEX($AM$1004:$BM$1004,1,MATCH(COLUMNS($AM$1006:AQ1006),$AM$1006:$BM$1006,0)))),"Fix")))</f>
        <v xml:space="preserve"> </v>
      </c>
      <c r="G776" s="4" t="str">
        <f ca="1">IF(OR(INDEX($AG$2:$AG$1001,MATCH(ROWS($AF$2:AF776),$AF$2:$AF$1001,0),1)&gt;=100000,INDEX($AM$1005:$BM$1005,1,MATCH(COLUMNS($AM$1006:AR1006),$AM$1006:$BM$1006,0))&gt;=100000), " ",IF(INDEX($AM$2:$BM$1001,MATCH(ROWS($AF$2:AF776),$AF$2:$AF$1001,0),MATCH(COLUMNS($AM$1006:AR1006),$AM$1006:$BM$1006,0)), HYPERLINK("#",""), HYPERLINK(CONCATENATE("#metadata!", ADDRESS(INDEX($AH$2:$AH$1001,MATCH(ROWS($AF$2:AF776),$AF$2:$AF$1001,0),0), INDEX($AM$1004:$BM$1004,1,MATCH(COLUMNS($AM$1006:AR1006),$AM$1006:$BM$1006,0)))),"Fix")))</f>
        <v xml:space="preserve"> </v>
      </c>
      <c r="H776" s="4" t="str">
        <f ca="1">IF(OR(INDEX($AG$2:$AG$1001,MATCH(ROWS($AF$2:AF776),$AF$2:$AF$1001,0),1)&gt;=100000,INDEX($AM$1005:$BM$1005,1,MATCH(COLUMNS($AM$1006:AS1006),$AM$1006:$BM$1006,0))&gt;=100000), " ",IF(INDEX($AM$2:$BM$1001,MATCH(ROWS($AF$2:AF776),$AF$2:$AF$1001,0),MATCH(COLUMNS($AM$1006:AS1006),$AM$1006:$BM$1006,0)), HYPERLINK("#",""), HYPERLINK(CONCATENATE("#metadata!", ADDRESS(INDEX($AH$2:$AH$1001,MATCH(ROWS($AF$2:AF776),$AF$2:$AF$1001,0),0), INDEX($AM$1004:$BM$1004,1,MATCH(COLUMNS($AM$1006:AS1006),$AM$1006:$BM$1006,0)))),"Fix")))</f>
        <v xml:space="preserve"> </v>
      </c>
      <c r="I776" s="4" t="str">
        <f ca="1">IF(OR(INDEX($AG$2:$AG$1001,MATCH(ROWS($AF$2:AF776),$AF$2:$AF$1001,0),1)&gt;=100000,INDEX($AM$1005:$BM$1005,1,MATCH(COLUMNS($AM$1006:AT1006),$AM$1006:$BM$1006,0))&gt;=100000), " ",IF(INDEX($AM$2:$BM$1001,MATCH(ROWS($AF$2:AF776),$AF$2:$AF$1001,0),MATCH(COLUMNS($AM$1006:AT1006),$AM$1006:$BM$1006,0)), HYPERLINK("#",""), HYPERLINK(CONCATENATE("#metadata!", ADDRESS(INDEX($AH$2:$AH$1001,MATCH(ROWS($AF$2:AF776),$AF$2:$AF$1001,0),0), INDEX($AM$1004:$BM$1004,1,MATCH(COLUMNS($AM$1006:AT1006),$AM$1006:$BM$1006,0)))),"Fix")))</f>
        <v xml:space="preserve"> </v>
      </c>
      <c r="J776" s="4" t="str">
        <f ca="1">IF(OR(INDEX($AG$2:$AG$1001,MATCH(ROWS($AF$2:AF776),$AF$2:$AF$1001,0),1)&gt;=100000,INDEX($AM$1005:$BM$1005,1,MATCH(COLUMNS($AM$1006:AU1006),$AM$1006:$BM$1006,0))&gt;=100000), " ",IF(INDEX($AM$2:$BM$1001,MATCH(ROWS($AF$2:AF776),$AF$2:$AF$1001,0),MATCH(COLUMNS($AM$1006:AU1006),$AM$1006:$BM$1006,0)), HYPERLINK("#",""), HYPERLINK(CONCATENATE("#metadata!", ADDRESS(INDEX($AH$2:$AH$1001,MATCH(ROWS($AF$2:AF776),$AF$2:$AF$1001,0),0), INDEX($AM$1004:$BM$1004,1,MATCH(COLUMNS($AM$1006:AU1006),$AM$1006:$BM$1006,0)))),"Fix")))</f>
        <v xml:space="preserve"> </v>
      </c>
      <c r="K776" s="4" t="str">
        <f ca="1">IF(OR(INDEX($AG$2:$AG$1001,MATCH(ROWS($AF$2:AF776),$AF$2:$AF$1001,0),1)&gt;=100000,INDEX($AM$1005:$BM$1005,1,MATCH(COLUMNS($AM$1006:AV1006),$AM$1006:$BM$1006,0))&gt;=100000), " ",IF(INDEX($AM$2:$BM$1001,MATCH(ROWS($AF$2:AF776),$AF$2:$AF$1001,0),MATCH(COLUMNS($AM$1006:AV1006),$AM$1006:$BM$1006,0)), HYPERLINK("#",""), HYPERLINK(CONCATENATE("#metadata!", ADDRESS(INDEX($AH$2:$AH$1001,MATCH(ROWS($AF$2:AF776),$AF$2:$AF$1001,0),0), INDEX($AM$1004:$BM$1004,1,MATCH(COLUMNS($AM$1006:AV1006),$AM$1006:$BM$1006,0)))),"Fix")))</f>
        <v xml:space="preserve"> </v>
      </c>
      <c r="L776" s="4" t="str">
        <f ca="1">IF(OR(INDEX($AG$2:$AG$1001,MATCH(ROWS($AF$2:AF776),$AF$2:$AF$1001,0),1)&gt;=100000,INDEX($AM$1005:$BM$1005,1,MATCH(COLUMNS($AM$1006:AW1006),$AM$1006:$BM$1006,0))&gt;=100000), " ",IF(INDEX($AM$2:$BM$1001,MATCH(ROWS($AF$2:AF776),$AF$2:$AF$1001,0),MATCH(COLUMNS($AM$1006:AW1006),$AM$1006:$BM$1006,0)), HYPERLINK("#",""), HYPERLINK(CONCATENATE("#metadata!", ADDRESS(INDEX($AH$2:$AH$1001,MATCH(ROWS($AF$2:AF776),$AF$2:$AF$1001,0),0), INDEX($AM$1004:$BM$1004,1,MATCH(COLUMNS($AM$1006:AW1006),$AM$1006:$BM$1006,0)))),"Fix")))</f>
        <v xml:space="preserve"> </v>
      </c>
      <c r="M776" s="4" t="str">
        <f ca="1">IF(OR(INDEX($AG$2:$AG$1001,MATCH(ROWS($AF$2:AF776),$AF$2:$AF$1001,0),1)&gt;=100000,INDEX($AM$1005:$BM$1005,1,MATCH(COLUMNS($AM$1006:AX1006),$AM$1006:$BM$1006,0))&gt;=100000), " ",IF(INDEX($AM$2:$BM$1001,MATCH(ROWS($AF$2:AF776),$AF$2:$AF$1001,0),MATCH(COLUMNS($AM$1006:AX1006),$AM$1006:$BM$1006,0)), HYPERLINK("#",""), HYPERLINK(CONCATENATE("#metadata!", ADDRESS(INDEX($AH$2:$AH$1001,MATCH(ROWS($AF$2:AF776),$AF$2:$AF$1001,0),0), INDEX($AM$1004:$BM$1004,1,MATCH(COLUMNS($AM$1006:AX1006),$AM$1006:$BM$1006,0)))),"Fix")))</f>
        <v xml:space="preserve"> </v>
      </c>
      <c r="N776" s="4" t="str">
        <f ca="1">IF(OR(INDEX($AG$2:$AG$1001,MATCH(ROWS($AF$2:AF776),$AF$2:$AF$1001,0),1)&gt;=100000,INDEX($AM$1005:$BM$1005,1,MATCH(COLUMNS($AM$1006:AY1006),$AM$1006:$BM$1006,0))&gt;=100000), " ",IF(INDEX($AM$2:$BM$1001,MATCH(ROWS($AF$2:AF776),$AF$2:$AF$1001,0),MATCH(COLUMNS($AM$1006:AY1006),$AM$1006:$BM$1006,0)), HYPERLINK("#",""), HYPERLINK(CONCATENATE("#metadata!", ADDRESS(INDEX($AH$2:$AH$1001,MATCH(ROWS($AF$2:AF776),$AF$2:$AF$1001,0),0), INDEX($AM$1004:$BM$1004,1,MATCH(COLUMNS($AM$1006:AY1006),$AM$1006:$BM$1006,0)))),"Fix")))</f>
        <v xml:space="preserve"> </v>
      </c>
      <c r="O776" s="4" t="str">
        <f ca="1">IF(OR(INDEX($AG$2:$AG$1001,MATCH(ROWS($AF$2:AF776),$AF$2:$AF$1001,0),1)&gt;=100000,INDEX($AM$1005:$BM$1005,1,MATCH(COLUMNS($AM$1006:AZ1006),$AM$1006:$BM$1006,0))&gt;=100000), " ",IF(INDEX($AM$2:$BM$1001,MATCH(ROWS($AF$2:AF776),$AF$2:$AF$1001,0),MATCH(COLUMNS($AM$1006:AZ1006),$AM$1006:$BM$1006,0)), HYPERLINK("#",""), HYPERLINK(CONCATENATE("#metadata!", ADDRESS(INDEX($AH$2:$AH$1001,MATCH(ROWS($AF$2:AF776),$AF$2:$AF$1001,0),0), INDEX($AM$1004:$BM$1004,1,MATCH(COLUMNS($AM$1006:AZ1006),$AM$1006:$BM$1006,0)))),"Fix")))</f>
        <v xml:space="preserve"> </v>
      </c>
      <c r="P776" s="4" t="str">
        <f ca="1">IF(OR(INDEX($AG$2:$AG$1001,MATCH(ROWS($AF$2:AF776),$AF$2:$AF$1001,0),1)&gt;=100000,INDEX($AM$1005:$BM$1005,1,MATCH(COLUMNS($AM$1006:BA1006),$AM$1006:$BM$1006,0))&gt;=100000), " ",IF(INDEX($AM$2:$BM$1001,MATCH(ROWS($AF$2:AF776),$AF$2:$AF$1001,0),MATCH(COLUMNS($AM$1006:BA1006),$AM$1006:$BM$1006,0)), HYPERLINK("#",""), HYPERLINK(CONCATENATE("#metadata!", ADDRESS(INDEX($AH$2:$AH$1001,MATCH(ROWS($AF$2:AF776),$AF$2:$AF$1001,0),0), INDEX($AM$1004:$BM$1004,1,MATCH(COLUMNS($AM$1006:BA1006),$AM$1006:$BM$1006,0)))),"Fix")))</f>
        <v xml:space="preserve"> </v>
      </c>
      <c r="Q776" s="4" t="str">
        <f ca="1">IF(OR(INDEX($AG$2:$AG$1001,MATCH(ROWS($AF$2:AF776),$AF$2:$AF$1001,0),1)&gt;=100000,INDEX($AM$1005:$BM$1005,1,MATCH(COLUMNS($AM$1006:BB1006),$AM$1006:$BM$1006,0))&gt;=100000), " ",IF(INDEX($AM$2:$BM$1001,MATCH(ROWS($AF$2:AF776),$AF$2:$AF$1001,0),MATCH(COLUMNS($AM$1006:BB1006),$AM$1006:$BM$1006,0)), HYPERLINK("#",""), HYPERLINK(CONCATENATE("#metadata!", ADDRESS(INDEX($AH$2:$AH$1001,MATCH(ROWS($AF$2:AF776),$AF$2:$AF$1001,0),0), INDEX($AM$1004:$BM$1004,1,MATCH(COLUMNS($AM$1006:BB1006),$AM$1006:$BM$1006,0)))),"Fix")))</f>
        <v xml:space="preserve"> </v>
      </c>
      <c r="R776" s="4" t="str">
        <f ca="1">IF(OR(INDEX($AG$2:$AG$1001,MATCH(ROWS($AF$2:AF776),$AF$2:$AF$1001,0),1)&gt;=100000,INDEX($AM$1005:$BM$1005,1,MATCH(COLUMNS($AM$1006:BC1006),$AM$1006:$BM$1006,0))&gt;=100000), " ",IF(INDEX($AM$2:$BM$1001,MATCH(ROWS($AF$2:AF776),$AF$2:$AF$1001,0),MATCH(COLUMNS($AM$1006:BC1006),$AM$1006:$BM$1006,0)), HYPERLINK("#",""), HYPERLINK(CONCATENATE("#metadata!", ADDRESS(INDEX($AH$2:$AH$1001,MATCH(ROWS($AF$2:AF776),$AF$2:$AF$1001,0),0), INDEX($AM$1004:$BM$1004,1,MATCH(COLUMNS($AM$1006:BC1006),$AM$1006:$BM$1006,0)))),"Fix")))</f>
        <v xml:space="preserve"> </v>
      </c>
      <c r="S776" s="4" t="str">
        <f ca="1">IF(OR(INDEX($AG$2:$AG$1001,MATCH(ROWS($AF$2:AF776),$AF$2:$AF$1001,0),1)&gt;=100000,INDEX($AM$1005:$BM$1005,1,MATCH(COLUMNS($AM$1006:BD1006),$AM$1006:$BM$1006,0))&gt;=100000), " ",IF(INDEX($AM$2:$BM$1001,MATCH(ROWS($AF$2:AF776),$AF$2:$AF$1001,0),MATCH(COLUMNS($AM$1006:BD1006),$AM$1006:$BM$1006,0)), HYPERLINK("#",""), HYPERLINK(CONCATENATE("#metadata!", ADDRESS(INDEX($AH$2:$AH$1001,MATCH(ROWS($AF$2:AF776),$AF$2:$AF$1001,0),0), INDEX($AM$1004:$BM$1004,1,MATCH(COLUMNS($AM$1006:BD1006),$AM$1006:$BM$1006,0)))),"Fix")))</f>
        <v xml:space="preserve"> </v>
      </c>
      <c r="T776" s="4" t="str">
        <f ca="1">IF(OR(INDEX($AG$2:$AG$1001,MATCH(ROWS($AF$2:AF776),$AF$2:$AF$1001,0),1)&gt;=100000,INDEX($AM$1005:$BM$1005,1,MATCH(COLUMNS($AM$1006:BE1006),$AM$1006:$BM$1006,0))&gt;=100000), " ",IF(INDEX($AM$2:$BM$1001,MATCH(ROWS($AF$2:AF776),$AF$2:$AF$1001,0),MATCH(COLUMNS($AM$1006:BE1006),$AM$1006:$BM$1006,0)), HYPERLINK("#",""), HYPERLINK(CONCATENATE("#metadata!", ADDRESS(INDEX($AH$2:$AH$1001,MATCH(ROWS($AF$2:AF776),$AF$2:$AF$1001,0),0), INDEX($AM$1004:$BM$1004,1,MATCH(COLUMNS($AM$1006:BE1006),$AM$1006:$BM$1006,0)))),"Fix")))</f>
        <v xml:space="preserve"> </v>
      </c>
      <c r="U776" s="4" t="str">
        <f ca="1">IF(OR(INDEX($AG$2:$AG$1001,MATCH(ROWS($AF$2:AF776),$AF$2:$AF$1001,0),1)&gt;=100000,INDEX($AM$1005:$BM$1005,1,MATCH(COLUMNS($AM$1006:BF1006),$AM$1006:$BM$1006,0))&gt;=100000), " ",IF(INDEX($AM$2:$BM$1001,MATCH(ROWS($AF$2:AF776),$AF$2:$AF$1001,0),MATCH(COLUMNS($AM$1006:BF1006),$AM$1006:$BM$1006,0)), HYPERLINK("#",""), HYPERLINK(CONCATENATE("#metadata!", ADDRESS(INDEX($AH$2:$AH$1001,MATCH(ROWS($AF$2:AF776),$AF$2:$AF$1001,0),0), INDEX($AM$1004:$BM$1004,1,MATCH(COLUMNS($AM$1006:BF1006),$AM$1006:$BM$1006,0)))),"Fix")))</f>
        <v xml:space="preserve"> </v>
      </c>
      <c r="V776" s="4" t="str">
        <f ca="1">IF(OR(INDEX($AG$2:$AG$1001,MATCH(ROWS($AF$2:AF776),$AF$2:$AF$1001,0),1)&gt;=100000,INDEX($AM$1005:$BM$1005,1,MATCH(COLUMNS($AM$1006:BG1006),$AM$1006:$BM$1006,0))&gt;=100000), " ",IF(INDEX($AM$2:$BM$1001,MATCH(ROWS($AF$2:AF776),$AF$2:$AF$1001,0),MATCH(COLUMNS($AM$1006:BG1006),$AM$1006:$BM$1006,0)), HYPERLINK("#",""), HYPERLINK(CONCATENATE("#metadata!", ADDRESS(INDEX($AH$2:$AH$1001,MATCH(ROWS($AF$2:AF776),$AF$2:$AF$1001,0),0), INDEX($AM$1004:$BM$1004,1,MATCH(COLUMNS($AM$1006:BG1006),$AM$1006:$BM$1006,0)))),"Fix")))</f>
        <v xml:space="preserve"> </v>
      </c>
      <c r="W776" s="4" t="str">
        <f ca="1">IF(OR(INDEX($AG$2:$AG$1001,MATCH(ROWS($AF$2:AF776),$AF$2:$AF$1001,0),1)&gt;=100000,INDEX($AM$1005:$BM$1005,1,MATCH(COLUMNS($AM$1006:BH1006),$AM$1006:$BM$1006,0))&gt;=100000), " ",IF(INDEX($AM$2:$BM$1001,MATCH(ROWS($AF$2:AF776),$AF$2:$AF$1001,0),MATCH(COLUMNS($AM$1006:BH1006),$AM$1006:$BM$1006,0)), HYPERLINK("#",""), HYPERLINK(CONCATENATE("#metadata!", ADDRESS(INDEX($AH$2:$AH$1001,MATCH(ROWS($AF$2:AF776),$AF$2:$AF$1001,0),0), INDEX($AM$1004:$BM$1004,1,MATCH(COLUMNS($AM$1006:BH1006),$AM$1006:$BM$1006,0)))),"Fix")))</f>
        <v xml:space="preserve"> </v>
      </c>
      <c r="X776" s="4" t="str">
        <f ca="1">IF(OR(INDEX($AG$2:$AG$1001,MATCH(ROWS($AF$2:AF776),$AF$2:$AF$1001,0),1)&gt;=100000,INDEX($AM$1005:$BM$1005,1,MATCH(COLUMNS($AM$1006:BI1006),$AM$1006:$BM$1006,0))&gt;=100000), " ",IF(INDEX($AM$2:$BM$1001,MATCH(ROWS($AF$2:AF776),$AF$2:$AF$1001,0),MATCH(COLUMNS($AM$1006:BI1006),$AM$1006:$BM$1006,0)), HYPERLINK("#",""), HYPERLINK(CONCATENATE("#metadata!", ADDRESS(INDEX($AH$2:$AH$1001,MATCH(ROWS($AF$2:AF776),$AF$2:$AF$1001,0),0), INDEX($AM$1004:$BM$1004,1,MATCH(COLUMNS($AM$1006:BI1006),$AM$1006:$BM$1006,0)))),"Fix")))</f>
        <v xml:space="preserve"> </v>
      </c>
      <c r="Y776" s="4" t="str">
        <f ca="1">IF(OR(INDEX($AG$2:$AG$1001,MATCH(ROWS($AF$2:AF776),$AF$2:$AF$1001,0),1)&gt;=100000,INDEX($AM$1005:$BM$1005,1,MATCH(COLUMNS($AM$1006:BJ1006),$AM$1006:$BM$1006,0))&gt;=100000), " ",IF(INDEX($AM$2:$BM$1001,MATCH(ROWS($AF$2:AF776),$AF$2:$AF$1001,0),MATCH(COLUMNS($AM$1006:BJ1006),$AM$1006:$BM$1006,0)), HYPERLINK("#",""), HYPERLINK(CONCATENATE("#metadata!", ADDRESS(INDEX($AH$2:$AH$1001,MATCH(ROWS($AF$2:AF776),$AF$2:$AF$1001,0),0), INDEX($AM$1004:$BM$1004,1,MATCH(COLUMNS($AM$1006:BJ1006),$AM$1006:$BM$1006,0)))),"Fix")))</f>
        <v xml:space="preserve"> </v>
      </c>
      <c r="Z776" s="4" t="str">
        <f ca="1">IF(OR(INDEX($AG$2:$AG$1001,MATCH(ROWS($AF$2:AF776),$AF$2:$AF$1001,0),1)&gt;=100000,INDEX($AM$1005:$BM$1005,1,MATCH(COLUMNS($AM$1006:BK1006),$AM$1006:$BM$1006,0))&gt;=100000), " ",IF(INDEX($AM$2:$BM$1001,MATCH(ROWS($AF$2:AF776),$AF$2:$AF$1001,0),MATCH(COLUMNS($AM$1006:BK1006),$AM$1006:$BM$1006,0)), HYPERLINK("#",""), HYPERLINK(CONCATENATE("#metadata!", ADDRESS(INDEX($AH$2:$AH$1001,MATCH(ROWS($AF$2:AF776),$AF$2:$AF$1001,0),0), INDEX($AM$1004:$BM$1004,1,MATCH(COLUMNS($AM$1006:BK1006),$AM$1006:$BM$1006,0)))),"Fix")))</f>
        <v xml:space="preserve"> </v>
      </c>
      <c r="AA776" s="4" t="str">
        <f ca="1">IF(OR(INDEX($AG$2:$AG$1001,MATCH(ROWS($AF$2:AF776),$AF$2:$AF$1001,0),1)&gt;=100000,INDEX($AM$1005:$BM$1005,1,MATCH(COLUMNS($AM$1006:BL1006),$AM$1006:$BM$1006,0))&gt;=100000), " ",IF(INDEX($AM$2:$BM$1001,MATCH(ROWS($AF$2:AF776),$AF$2:$AF$1001,0),MATCH(COLUMNS($AM$1006:BL1006),$AM$1006:$BM$1006,0)), HYPERLINK("#",""), HYPERLINK(CONCATENATE("#metadata!", ADDRESS(INDEX($AH$2:$AH$1001,MATCH(ROWS($AF$2:AF776),$AF$2:$AF$1001,0),0), INDEX($AM$1004:$BM$1004,1,MATCH(COLUMNS($AM$1006:BL1006),$AM$1006:$BM$1006,0)))),"Fix")))</f>
        <v xml:space="preserve"> </v>
      </c>
      <c r="AB776" s="4" t="str">
        <f ca="1">IF(OR(INDEX($AG$2:$AG$1001,MATCH(ROWS($AF$2:AF776),$AF$2:$AF$1001,0),1)&gt;=100000,INDEX($AM$1005:$BM$1005,1,MATCH(COLUMNS($AM$1006:BM1006),$AM$1006:$BM$1006,0))&gt;=100000), " ",IF(INDEX($AM$2:$BM$1001,MATCH(ROWS($AF$2:AF776),$AF$2:$AF$1001,0),MATCH(COLUMNS($AM$1006:BM1006),$AM$1006:$BM$1006,0)), HYPERLINK("#",""), HYPERLINK(CONCATENATE("#metadata!", ADDRESS(INDEX($AH$2:$AH$1001,MATCH(ROWS($AF$2:AF776),$AF$2:$AF$1001,0),0), INDEX($AM$1004:$BM$1004,1,MATCH(COLUMNS($AM$1006:BM1006),$AM$1006:$BM$1006,0)))),"Fix")))</f>
        <v xml:space="preserve"> </v>
      </c>
      <c r="AF776">
        <v>775</v>
      </c>
      <c r="AG776">
        <v>100776</v>
      </c>
      <c r="AH776">
        <v>776</v>
      </c>
      <c r="AI776" t="b">
        <f t="shared" si="12"/>
        <v>1</v>
      </c>
      <c r="AJ776" t="b">
        <f>COUNTBLANK(metadata!B776:AB776)=COLUMNS(metadata!B776:AB776)</f>
        <v>1</v>
      </c>
      <c r="AK776" t="str">
        <v/>
      </c>
      <c r="AM776" t="b">
        <f ca="1">AND(IF(metadata!B776="",FALSE,TRUE),COUNTIF(metadata!B:B, metadata!B776) = 1,NOT(ISERROR(SUMPRODUCT(SEARCH(MID(metadata!B776,ROW(INDIRECT("1:"&amp;LEN(metadata!B776))), 1),"0123456789abcdefghijklmnopqrstuvwxyzABCDEFGHIJKLMNOPQRSTUVWXYZ.")))))</f>
        <v>0</v>
      </c>
      <c r="AN776" t="b">
        <f ca="1">OR(AND(IF(metadata!C776="",FALSE,TRUE),OR(EXACT(metadata!C776,"missing: not collected"),EXACT(metadata!C776,"missing: not provided"),EXACT(metadata!C776,"missing: restricted access"))),AND(IF(metadata!C776="",FALSE,TRUE),AND(AND(IFERROR(INT(LEFT(metadata!C776,4))&gt;1900,FALSE),IFERROR(INT(LEFT(metadata!C776,4))&lt;=YEAR(NOW()),FALSE)), OR(MID(metadata!C776,5,1)="", AND(AND(MID(metadata!C776,5,1)="-",IFERROR(INT(MID(metadata!C776,6,1))&gt;=0,FALSE),IFERROR(INT(MID(metadata!C776,6,1))&lt;=1,FALSE),NOT(MID(metadata!C776,7,1)=""),IFERROR(INT(MID(metadata!C776,6,2))&gt;=1,FALSE),IFERROR(INT(MID(metadata!C776,6,2))&lt;=12,FALSE)), OR(MID(metadata!C776,8,1)="", AND(AND(MID(metadata!C776,8,1)="-",IFERROR(INT(MID(metadata!C776,9,1))&gt;=0,FALSE),IFERROR(INT(MID(metadata!C776,9,1))&lt;=3,FALSE),NOT(MID(metadata!C776,10,1)=""),IFERROR(INT(MID(metadata!C776,9,2))&gt;=1,FALSE),IFERROR(INT(MID(metadata!C776,9,2))&lt;=31,FALSE)), OR(MID(metadata!C776,11,1)="", AND(AND(MID(metadata!C776,11,1)=" ",IFERROR(INT(MID(metadata!C776,12,1))&gt;=0,FALSE),IFERROR(INT(MID(metadata!C776,12,1))&lt;=2,FALSE),NOT(MID(metadata!C776,13,1)=""),IFERROR(INT(MID(metadata!C776,12,2))&gt;=0,FALSE),IFERROR(INT(MID(metadata!C776,12,2))&lt;=23,FALSE)), OR(MID(metadata!C776,14,1)="", AND(AND(MID(metadata!C776,14,1)=":",IFERROR(INT(MID(metadata!C776,15,1))&gt;=0,FALSE),IFERROR(INT(MID(metadata!C776,15,1))&lt;=5,FALSE),NOT(MID(metadata!C776,16,1)=""),IFERROR(INT(MID(metadata!C776,15,2))&gt;=0,FALSE),IFERROR(INT(MID(metadata!C776,15,2))&lt;=59,FALSE)), OR(MID(metadata!C776,17,1)="", AND(AND(MID(metadata!C776,17,1)=":",IFERROR(INT(MID(metadata!C776,18,1))&gt;=0,FALSE),IFERROR(INT(MID(metadata!C776,18,1))&lt;=5,FALSE),NOT(MID(metadata!C776,19,1)=""),IFERROR(INT(MID(metadata!C776,18,2))&gt;=0,FALSE),IFERROR(INT(MID(metadata!C776,18,2))&lt;=59,FALSE)), LEN(metadata!C776)&lt;=19)))))))))))))</f>
        <v>0</v>
      </c>
      <c r="AO776" t="b">
        <f>AND(IF(metadata!D776="",FALSE,TRUE),EXACT(metadata!D776,"Not applicable"))</f>
        <v>0</v>
      </c>
      <c r="AP776" t="b">
        <f>IF(metadata!E776="",FALSE,TRUE)</f>
        <v>0</v>
      </c>
      <c r="AQ776" t="b">
        <f>OR(AND(IF(metadata!F776="",FALSE,TRUE),OR(EXACT(metadata!F776,"missing: not collected"),EXACT(metadata!F776,"missing: not provided"))),AND(IF(metadata!F776="",FALSE,TRUE),OR(EXACT(metadata!F776,"TRUE"),EXACT(metadata!F776,"FALSE"))))</f>
        <v>0</v>
      </c>
      <c r="AR776" t="b">
        <f>OR(AND(IF(metadata!G776="",FALSE,TRUE),OR(EXACT(metadata!G776,"missing: not collected"),EXACT(metadata!G776,"missing: not provided"),EXACT(metadata!G776,"missing: restricted access"))),AND(IF(metadata!G776="",FALSE,ISNUMBER(VALUE(metadata!G776))),metadata!G776&gt;=-413))</f>
        <v>0</v>
      </c>
      <c r="AS776" t="b">
        <f>AND(IF(metadata!H776="",FALSE,TRUE),EXACT(metadata!H776,"meters"))</f>
        <v>0</v>
      </c>
      <c r="AT776" t="b">
        <f>AND(IF(metadata!I776="",FALSE,TRUE),OR(EXACT(metadata!I776,"Host-associated"),EXACT(metadata!I776,"Free-living")))</f>
        <v>0</v>
      </c>
      <c r="AU776" t="b">
        <f>AND(IF(metadata!J776="",FALSE,TRUE),OR(EXACT(metadata!J776,"Animal"),EXACT(metadata!J776,"Fungus"),EXACT(metadata!J776,"Plant"),EXACT(metadata!J776,"Saline"),EXACT(metadata!J776,"Non-saline")))</f>
        <v>0</v>
      </c>
      <c r="AV776" t="b">
        <f>AND(IF(metadata!K776="",FALSE,TRUE),OR(EXACT(metadata!K776,"Plant secretion"),EXACT(metadata!K776,"Plant rhizosphere"),EXACT(metadata!K776,"Plant surface"),EXACT(metadata!K776,"Plant corpus"),EXACT(metadata!K776,"Fungus surface"),EXACT(metadata!K776,"Fungus corpus"),EXACT(metadata!K776,"Animal surface"),EXACT(metadata!K776,"Animal proximal gut"),EXACT(metadata!K776,"Animal corpus"),EXACT(metadata!K776,"Animal distal gut"),EXACT(metadata!K776,"Animal secretion"),EXACT(metadata!K776,"Sub-surface (non-saline)"),EXACT(metadata!K776,"Surface (non-saline)"),EXACT(metadata!K776,"Water (non-saline)"),EXACT(metadata!K776,"Soil (non-saline)"),EXACT(metadata!K776,"Aerosol (non-saline)"),EXACT(metadata!K776,"Sediment (non-saline)"),EXACT(metadata!K776,"Surface (saline)"),EXACT(metadata!K776,"Water (saline)"),EXACT(metadata!K776,"Hypersaline (saline)"),EXACT(metadata!K776,"Aerosol (saline)"),EXACT(metadata!K776,"Sediment (saline)")))</f>
        <v>0</v>
      </c>
      <c r="AW776" t="b">
        <f>IF(metadata!L776="",FALSE,TRUE)</f>
        <v>0</v>
      </c>
      <c r="AX776" t="b">
        <f>IF(metadata!M776="",FALSE,TRUE)</f>
        <v>0</v>
      </c>
      <c r="AY776" t="b">
        <f>IF(metadata!N776="",FALSE,TRUE)</f>
        <v>0</v>
      </c>
      <c r="AZ776" t="b">
        <f>OR(AND(IF(metadata!O776="",FALSE,TRUE),OR(EXACT(metadata!O776,"missing: not collected"),EXACT(metadata!O776,"missing: not provided"),EXACT(metadata!O776,"missing: restricted access"))),AND(IF(metadata!O776="",FALSE,TRUE),OR(EXACT(metadata!O776,"air"),EXACT(metadata!O776,"built environment"),EXACT(metadata!O776,"host-associated"),EXACT(metadata!O776,"human-associated"),EXACT(metadata!O776,"human-skin"),EXACT(metadata!O776,"human-oral"),EXACT(metadata!O776,"human-gut"),EXACT(metadata!O776,"human-vaginal"),EXACT(metadata!O776,"microbial mat/biofilm"),EXACT(metadata!O776,"misc environment"),EXACT(metadata!O776,"plant-associated"),EXACT(metadata!O776,"sediment"),EXACT(metadata!O776,"soil"),EXACT(metadata!O776,"wastewater/sludge"),EXACT(metadata!O776,"water"))))</f>
        <v>0</v>
      </c>
      <c r="BA776" t="b">
        <f>IF(metadata!P776="",FALSE,TRUE)</f>
        <v>0</v>
      </c>
      <c r="BB776" t="b">
        <f>IF(metadata!Q776="",FALSE,TRUE)</f>
        <v>0</v>
      </c>
      <c r="BC776" t="b">
        <f>OR(AND(IF(metadata!R776="",FALSE,TRUE),OR(EXACT(metadata!R776,"missing: not collected"),EXACT(metadata!R776,"missing: not provided"),EXACT(metadata!R776,"missing: restricted access"))),AND(IF(metadata!R776="",FALSE,ISNUMBER(VALUE(metadata!R776))),metadata!R776&gt;=-90,metadata!R776&lt;=90))</f>
        <v>0</v>
      </c>
      <c r="BD776" t="b">
        <f>AND(IF(metadata!S776="",FALSE,TRUE),EXACT(metadata!S776,"Decimal degrees"))</f>
        <v>0</v>
      </c>
      <c r="BE776" t="b">
        <f>OR(AND(IF(metadata!T776="",FALSE,TRUE),OR(EXACT(metadata!T776,"missing: not collected"),EXACT(metadata!T776,"missing: not provided"),EXACT(metadata!T776,"missing: restricted access"))),AND(IF(metadata!T776="",FALSE,ISNUMBER(VALUE(metadata!T776))),metadata!T776&gt;=-180,metadata!T776&lt;=180))</f>
        <v>0</v>
      </c>
      <c r="BF776" t="b">
        <f>AND(IF(metadata!U776="",FALSE,TRUE),EXACT(metadata!U776,"Decimal degrees"))</f>
        <v>0</v>
      </c>
      <c r="BG776" t="b">
        <f>IF(metadata!V776="",FALSE,TRUE)</f>
        <v>0</v>
      </c>
      <c r="BH776" t="b">
        <f>OR(AND(IF(metadata!W776="",FALSE,TRUE),OR(EXACT(metadata!W776,"missing: not collected"),EXACT(metadata!W776,"missing: not provided"),EXACT(metadata!W776,"missing: restricted access"))),AND(IF(metadata!W776="",FALSE,TRUE),OR(EXACT(metadata!W776,"TRUE"),EXACT(metadata!W776,"FALSE"))))</f>
        <v>0</v>
      </c>
      <c r="BI776" t="b">
        <f>AND(IF(metadata!X776="",FALSE,TRUE),EXACT(metadata!X776,"other"))</f>
        <v>0</v>
      </c>
      <c r="BJ776" t="b">
        <f>IF(metadata!Y776="",FALSE,TRUE)</f>
        <v>0</v>
      </c>
      <c r="BK776" t="b">
        <f>OR(AND(IF(metadata!Z776="",FALSE,TRUE),OR(EXACT(metadata!Z776,"missing: not collected"),EXACT(metadata!Z776,"missing: not provided"))),AND(IF(metadata!Z776="",FALSE,IF(ISERROR(INT(metadata!Z776)),FALSE,INT(metadata!Z776)=metadata!Z776)),metadata!Z776&gt;0))</f>
        <v>0</v>
      </c>
      <c r="BL776" t="b">
        <f>AND(IF(metadata!AA776="",FALSE,TRUE),EXACT(metadata!AA776,"Not applicable"))</f>
        <v>0</v>
      </c>
      <c r="BM776" t="b">
        <f>IF(metadata!AB776="",FALSE,TRUE)</f>
        <v>0</v>
      </c>
    </row>
    <row r="777" spans="1:65" x14ac:dyDescent="0.2">
      <c r="A777" s="5" t="str">
        <f ca="1">IF(B777=" "," ",HYPERLINK(CONCATENATE("#metadata!",ADDRESS(INDEX($AH$2:$AH$1001,MATCH(ROWS($AF$2:AF777),$AF$2:$AF$1001,0),0),1)),INDEX($AK$2:$AK$1001,MATCH(ROWS($AF$2:AF777),$AF$2:$AF$1001,0),0)))</f>
        <v xml:space="preserve"> </v>
      </c>
      <c r="B777" s="4" t="str">
        <f ca="1">IF(OR(INDEX($AG$2:$AG$1001,MATCH(ROWS($AF$2:AF777),$AF$2:$AF$1001,0),1)&gt;=100000,INDEX($AM$1005:$BM$1005,1,MATCH(COLUMNS($AM$1006:AM1006),$AM$1006:$BM$1006,0))&gt;=100000), " ",IF(INDEX($AM$2:$BM$1001,MATCH(ROWS($AF$2:AF777),$AF$2:$AF$1001,0),MATCH(COLUMNS($AM$1006:AM1006),$AM$1006:$BM$1006,0)), HYPERLINK("#",""), HYPERLINK(CONCATENATE("#metadata!", ADDRESS(INDEX($AH$2:$AH$1001,MATCH(ROWS($AF$2:AF777),$AF$2:$AF$1001,0),0), INDEX($AM$1004:$BM$1004,1,MATCH(COLUMNS($AM$1006:AM1006),$AM$1006:$BM$1006,0)))),"Fix")))</f>
        <v xml:space="preserve"> </v>
      </c>
      <c r="C777" s="4" t="str">
        <f ca="1">IF(OR(INDEX($AG$2:$AG$1001,MATCH(ROWS($AF$2:AF777),$AF$2:$AF$1001,0),1)&gt;=100000,INDEX($AM$1005:$BM$1005,1,MATCH(COLUMNS($AM$1006:AN1006),$AM$1006:$BM$1006,0))&gt;=100000), " ",IF(INDEX($AM$2:$BM$1001,MATCH(ROWS($AF$2:AF777),$AF$2:$AF$1001,0),MATCH(COLUMNS($AM$1006:AN1006),$AM$1006:$BM$1006,0)), HYPERLINK("#",""), HYPERLINK(CONCATENATE("#metadata!", ADDRESS(INDEX($AH$2:$AH$1001,MATCH(ROWS($AF$2:AF777),$AF$2:$AF$1001,0),0), INDEX($AM$1004:$BM$1004,1,MATCH(COLUMNS($AM$1006:AN1006),$AM$1006:$BM$1006,0)))),"Fix")))</f>
        <v xml:space="preserve"> </v>
      </c>
      <c r="D777" s="4" t="str">
        <f ca="1">IF(OR(INDEX($AG$2:$AG$1001,MATCH(ROWS($AF$2:AF777),$AF$2:$AF$1001,0),1)&gt;=100000,INDEX($AM$1005:$BM$1005,1,MATCH(COLUMNS($AM$1006:AO1006),$AM$1006:$BM$1006,0))&gt;=100000), " ",IF(INDEX($AM$2:$BM$1001,MATCH(ROWS($AF$2:AF777),$AF$2:$AF$1001,0),MATCH(COLUMNS($AM$1006:AO1006),$AM$1006:$BM$1006,0)), HYPERLINK("#",""), HYPERLINK(CONCATENATE("#metadata!", ADDRESS(INDEX($AH$2:$AH$1001,MATCH(ROWS($AF$2:AF777),$AF$2:$AF$1001,0),0), INDEX($AM$1004:$BM$1004,1,MATCH(COLUMNS($AM$1006:AO1006),$AM$1006:$BM$1006,0)))),"Fix")))</f>
        <v xml:space="preserve"> </v>
      </c>
      <c r="E777" s="4" t="str">
        <f ca="1">IF(OR(INDEX($AG$2:$AG$1001,MATCH(ROWS($AF$2:AF777),$AF$2:$AF$1001,0),1)&gt;=100000,INDEX($AM$1005:$BM$1005,1,MATCH(COLUMNS($AM$1006:AP1006),$AM$1006:$BM$1006,0))&gt;=100000), " ",IF(INDEX($AM$2:$BM$1001,MATCH(ROWS($AF$2:AF777),$AF$2:$AF$1001,0),MATCH(COLUMNS($AM$1006:AP1006),$AM$1006:$BM$1006,0)), HYPERLINK("#",""), HYPERLINK(CONCATENATE("#metadata!", ADDRESS(INDEX($AH$2:$AH$1001,MATCH(ROWS($AF$2:AF777),$AF$2:$AF$1001,0),0), INDEX($AM$1004:$BM$1004,1,MATCH(COLUMNS($AM$1006:AP1006),$AM$1006:$BM$1006,0)))),"Fix")))</f>
        <v xml:space="preserve"> </v>
      </c>
      <c r="F777" s="4" t="str">
        <f ca="1">IF(OR(INDEX($AG$2:$AG$1001,MATCH(ROWS($AF$2:AF777),$AF$2:$AF$1001,0),1)&gt;=100000,INDEX($AM$1005:$BM$1005,1,MATCH(COLUMNS($AM$1006:AQ1006),$AM$1006:$BM$1006,0))&gt;=100000), " ",IF(INDEX($AM$2:$BM$1001,MATCH(ROWS($AF$2:AF777),$AF$2:$AF$1001,0),MATCH(COLUMNS($AM$1006:AQ1006),$AM$1006:$BM$1006,0)), HYPERLINK("#",""), HYPERLINK(CONCATENATE("#metadata!", ADDRESS(INDEX($AH$2:$AH$1001,MATCH(ROWS($AF$2:AF777),$AF$2:$AF$1001,0),0), INDEX($AM$1004:$BM$1004,1,MATCH(COLUMNS($AM$1006:AQ1006),$AM$1006:$BM$1006,0)))),"Fix")))</f>
        <v xml:space="preserve"> </v>
      </c>
      <c r="G777" s="4" t="str">
        <f ca="1">IF(OR(INDEX($AG$2:$AG$1001,MATCH(ROWS($AF$2:AF777),$AF$2:$AF$1001,0),1)&gt;=100000,INDEX($AM$1005:$BM$1005,1,MATCH(COLUMNS($AM$1006:AR1006),$AM$1006:$BM$1006,0))&gt;=100000), " ",IF(INDEX($AM$2:$BM$1001,MATCH(ROWS($AF$2:AF777),$AF$2:$AF$1001,0),MATCH(COLUMNS($AM$1006:AR1006),$AM$1006:$BM$1006,0)), HYPERLINK("#",""), HYPERLINK(CONCATENATE("#metadata!", ADDRESS(INDEX($AH$2:$AH$1001,MATCH(ROWS($AF$2:AF777),$AF$2:$AF$1001,0),0), INDEX($AM$1004:$BM$1004,1,MATCH(COLUMNS($AM$1006:AR1006),$AM$1006:$BM$1006,0)))),"Fix")))</f>
        <v xml:space="preserve"> </v>
      </c>
      <c r="H777" s="4" t="str">
        <f ca="1">IF(OR(INDEX($AG$2:$AG$1001,MATCH(ROWS($AF$2:AF777),$AF$2:$AF$1001,0),1)&gt;=100000,INDEX($AM$1005:$BM$1005,1,MATCH(COLUMNS($AM$1006:AS1006),$AM$1006:$BM$1006,0))&gt;=100000), " ",IF(INDEX($AM$2:$BM$1001,MATCH(ROWS($AF$2:AF777),$AF$2:$AF$1001,0),MATCH(COLUMNS($AM$1006:AS1006),$AM$1006:$BM$1006,0)), HYPERLINK("#",""), HYPERLINK(CONCATENATE("#metadata!", ADDRESS(INDEX($AH$2:$AH$1001,MATCH(ROWS($AF$2:AF777),$AF$2:$AF$1001,0),0), INDEX($AM$1004:$BM$1004,1,MATCH(COLUMNS($AM$1006:AS1006),$AM$1006:$BM$1006,0)))),"Fix")))</f>
        <v xml:space="preserve"> </v>
      </c>
      <c r="I777" s="4" t="str">
        <f ca="1">IF(OR(INDEX($AG$2:$AG$1001,MATCH(ROWS($AF$2:AF777),$AF$2:$AF$1001,0),1)&gt;=100000,INDEX($AM$1005:$BM$1005,1,MATCH(COLUMNS($AM$1006:AT1006),$AM$1006:$BM$1006,0))&gt;=100000), " ",IF(INDEX($AM$2:$BM$1001,MATCH(ROWS($AF$2:AF777),$AF$2:$AF$1001,0),MATCH(COLUMNS($AM$1006:AT1006),$AM$1006:$BM$1006,0)), HYPERLINK("#",""), HYPERLINK(CONCATENATE("#metadata!", ADDRESS(INDEX($AH$2:$AH$1001,MATCH(ROWS($AF$2:AF777),$AF$2:$AF$1001,0),0), INDEX($AM$1004:$BM$1004,1,MATCH(COLUMNS($AM$1006:AT1006),$AM$1006:$BM$1006,0)))),"Fix")))</f>
        <v xml:space="preserve"> </v>
      </c>
      <c r="J777" s="4" t="str">
        <f ca="1">IF(OR(INDEX($AG$2:$AG$1001,MATCH(ROWS($AF$2:AF777),$AF$2:$AF$1001,0),1)&gt;=100000,INDEX($AM$1005:$BM$1005,1,MATCH(COLUMNS($AM$1006:AU1006),$AM$1006:$BM$1006,0))&gt;=100000), " ",IF(INDEX($AM$2:$BM$1001,MATCH(ROWS($AF$2:AF777),$AF$2:$AF$1001,0),MATCH(COLUMNS($AM$1006:AU1006),$AM$1006:$BM$1006,0)), HYPERLINK("#",""), HYPERLINK(CONCATENATE("#metadata!", ADDRESS(INDEX($AH$2:$AH$1001,MATCH(ROWS($AF$2:AF777),$AF$2:$AF$1001,0),0), INDEX($AM$1004:$BM$1004,1,MATCH(COLUMNS($AM$1006:AU1006),$AM$1006:$BM$1006,0)))),"Fix")))</f>
        <v xml:space="preserve"> </v>
      </c>
      <c r="K777" s="4" t="str">
        <f ca="1">IF(OR(INDEX($AG$2:$AG$1001,MATCH(ROWS($AF$2:AF777),$AF$2:$AF$1001,0),1)&gt;=100000,INDEX($AM$1005:$BM$1005,1,MATCH(COLUMNS($AM$1006:AV1006),$AM$1006:$BM$1006,0))&gt;=100000), " ",IF(INDEX($AM$2:$BM$1001,MATCH(ROWS($AF$2:AF777),$AF$2:$AF$1001,0),MATCH(COLUMNS($AM$1006:AV1006),$AM$1006:$BM$1006,0)), HYPERLINK("#",""), HYPERLINK(CONCATENATE("#metadata!", ADDRESS(INDEX($AH$2:$AH$1001,MATCH(ROWS($AF$2:AF777),$AF$2:$AF$1001,0),0), INDEX($AM$1004:$BM$1004,1,MATCH(COLUMNS($AM$1006:AV1006),$AM$1006:$BM$1006,0)))),"Fix")))</f>
        <v xml:space="preserve"> </v>
      </c>
      <c r="L777" s="4" t="str">
        <f ca="1">IF(OR(INDEX($AG$2:$AG$1001,MATCH(ROWS($AF$2:AF777),$AF$2:$AF$1001,0),1)&gt;=100000,INDEX($AM$1005:$BM$1005,1,MATCH(COLUMNS($AM$1006:AW1006),$AM$1006:$BM$1006,0))&gt;=100000), " ",IF(INDEX($AM$2:$BM$1001,MATCH(ROWS($AF$2:AF777),$AF$2:$AF$1001,0),MATCH(COLUMNS($AM$1006:AW1006),$AM$1006:$BM$1006,0)), HYPERLINK("#",""), HYPERLINK(CONCATENATE("#metadata!", ADDRESS(INDEX($AH$2:$AH$1001,MATCH(ROWS($AF$2:AF777),$AF$2:$AF$1001,0),0), INDEX($AM$1004:$BM$1004,1,MATCH(COLUMNS($AM$1006:AW1006),$AM$1006:$BM$1006,0)))),"Fix")))</f>
        <v xml:space="preserve"> </v>
      </c>
      <c r="M777" s="4" t="str">
        <f ca="1">IF(OR(INDEX($AG$2:$AG$1001,MATCH(ROWS($AF$2:AF777),$AF$2:$AF$1001,0),1)&gt;=100000,INDEX($AM$1005:$BM$1005,1,MATCH(COLUMNS($AM$1006:AX1006),$AM$1006:$BM$1006,0))&gt;=100000), " ",IF(INDEX($AM$2:$BM$1001,MATCH(ROWS($AF$2:AF777),$AF$2:$AF$1001,0),MATCH(COLUMNS($AM$1006:AX1006),$AM$1006:$BM$1006,0)), HYPERLINK("#",""), HYPERLINK(CONCATENATE("#metadata!", ADDRESS(INDEX($AH$2:$AH$1001,MATCH(ROWS($AF$2:AF777),$AF$2:$AF$1001,0),0), INDEX($AM$1004:$BM$1004,1,MATCH(COLUMNS($AM$1006:AX1006),$AM$1006:$BM$1006,0)))),"Fix")))</f>
        <v xml:space="preserve"> </v>
      </c>
      <c r="N777" s="4" t="str">
        <f ca="1">IF(OR(INDEX($AG$2:$AG$1001,MATCH(ROWS($AF$2:AF777),$AF$2:$AF$1001,0),1)&gt;=100000,INDEX($AM$1005:$BM$1005,1,MATCH(COLUMNS($AM$1006:AY1006),$AM$1006:$BM$1006,0))&gt;=100000), " ",IF(INDEX($AM$2:$BM$1001,MATCH(ROWS($AF$2:AF777),$AF$2:$AF$1001,0),MATCH(COLUMNS($AM$1006:AY1006),$AM$1006:$BM$1006,0)), HYPERLINK("#",""), HYPERLINK(CONCATENATE("#metadata!", ADDRESS(INDEX($AH$2:$AH$1001,MATCH(ROWS($AF$2:AF777),$AF$2:$AF$1001,0),0), INDEX($AM$1004:$BM$1004,1,MATCH(COLUMNS($AM$1006:AY1006),$AM$1006:$BM$1006,0)))),"Fix")))</f>
        <v xml:space="preserve"> </v>
      </c>
      <c r="O777" s="4" t="str">
        <f ca="1">IF(OR(INDEX($AG$2:$AG$1001,MATCH(ROWS($AF$2:AF777),$AF$2:$AF$1001,0),1)&gt;=100000,INDEX($AM$1005:$BM$1005,1,MATCH(COLUMNS($AM$1006:AZ1006),$AM$1006:$BM$1006,0))&gt;=100000), " ",IF(INDEX($AM$2:$BM$1001,MATCH(ROWS($AF$2:AF777),$AF$2:$AF$1001,0),MATCH(COLUMNS($AM$1006:AZ1006),$AM$1006:$BM$1006,0)), HYPERLINK("#",""), HYPERLINK(CONCATENATE("#metadata!", ADDRESS(INDEX($AH$2:$AH$1001,MATCH(ROWS($AF$2:AF777),$AF$2:$AF$1001,0),0), INDEX($AM$1004:$BM$1004,1,MATCH(COLUMNS($AM$1006:AZ1006),$AM$1006:$BM$1006,0)))),"Fix")))</f>
        <v xml:space="preserve"> </v>
      </c>
      <c r="P777" s="4" t="str">
        <f ca="1">IF(OR(INDEX($AG$2:$AG$1001,MATCH(ROWS($AF$2:AF777),$AF$2:$AF$1001,0),1)&gt;=100000,INDEX($AM$1005:$BM$1005,1,MATCH(COLUMNS($AM$1006:BA1006),$AM$1006:$BM$1006,0))&gt;=100000), " ",IF(INDEX($AM$2:$BM$1001,MATCH(ROWS($AF$2:AF777),$AF$2:$AF$1001,0),MATCH(COLUMNS($AM$1006:BA1006),$AM$1006:$BM$1006,0)), HYPERLINK("#",""), HYPERLINK(CONCATENATE("#metadata!", ADDRESS(INDEX($AH$2:$AH$1001,MATCH(ROWS($AF$2:AF777),$AF$2:$AF$1001,0),0), INDEX($AM$1004:$BM$1004,1,MATCH(COLUMNS($AM$1006:BA1006),$AM$1006:$BM$1006,0)))),"Fix")))</f>
        <v xml:space="preserve"> </v>
      </c>
      <c r="Q777" s="4" t="str">
        <f ca="1">IF(OR(INDEX($AG$2:$AG$1001,MATCH(ROWS($AF$2:AF777),$AF$2:$AF$1001,0),1)&gt;=100000,INDEX($AM$1005:$BM$1005,1,MATCH(COLUMNS($AM$1006:BB1006),$AM$1006:$BM$1006,0))&gt;=100000), " ",IF(INDEX($AM$2:$BM$1001,MATCH(ROWS($AF$2:AF777),$AF$2:$AF$1001,0),MATCH(COLUMNS($AM$1006:BB1006),$AM$1006:$BM$1006,0)), HYPERLINK("#",""), HYPERLINK(CONCATENATE("#metadata!", ADDRESS(INDEX($AH$2:$AH$1001,MATCH(ROWS($AF$2:AF777),$AF$2:$AF$1001,0),0), INDEX($AM$1004:$BM$1004,1,MATCH(COLUMNS($AM$1006:BB1006),$AM$1006:$BM$1006,0)))),"Fix")))</f>
        <v xml:space="preserve"> </v>
      </c>
      <c r="R777" s="4" t="str">
        <f ca="1">IF(OR(INDEX($AG$2:$AG$1001,MATCH(ROWS($AF$2:AF777),$AF$2:$AF$1001,0),1)&gt;=100000,INDEX($AM$1005:$BM$1005,1,MATCH(COLUMNS($AM$1006:BC1006),$AM$1006:$BM$1006,0))&gt;=100000), " ",IF(INDEX($AM$2:$BM$1001,MATCH(ROWS($AF$2:AF777),$AF$2:$AF$1001,0),MATCH(COLUMNS($AM$1006:BC1006),$AM$1006:$BM$1006,0)), HYPERLINK("#",""), HYPERLINK(CONCATENATE("#metadata!", ADDRESS(INDEX($AH$2:$AH$1001,MATCH(ROWS($AF$2:AF777),$AF$2:$AF$1001,0),0), INDEX($AM$1004:$BM$1004,1,MATCH(COLUMNS($AM$1006:BC1006),$AM$1006:$BM$1006,0)))),"Fix")))</f>
        <v xml:space="preserve"> </v>
      </c>
      <c r="S777" s="4" t="str">
        <f ca="1">IF(OR(INDEX($AG$2:$AG$1001,MATCH(ROWS($AF$2:AF777),$AF$2:$AF$1001,0),1)&gt;=100000,INDEX($AM$1005:$BM$1005,1,MATCH(COLUMNS($AM$1006:BD1006),$AM$1006:$BM$1006,0))&gt;=100000), " ",IF(INDEX($AM$2:$BM$1001,MATCH(ROWS($AF$2:AF777),$AF$2:$AF$1001,0),MATCH(COLUMNS($AM$1006:BD1006),$AM$1006:$BM$1006,0)), HYPERLINK("#",""), HYPERLINK(CONCATENATE("#metadata!", ADDRESS(INDEX($AH$2:$AH$1001,MATCH(ROWS($AF$2:AF777),$AF$2:$AF$1001,0),0), INDEX($AM$1004:$BM$1004,1,MATCH(COLUMNS($AM$1006:BD1006),$AM$1006:$BM$1006,0)))),"Fix")))</f>
        <v xml:space="preserve"> </v>
      </c>
      <c r="T777" s="4" t="str">
        <f ca="1">IF(OR(INDEX($AG$2:$AG$1001,MATCH(ROWS($AF$2:AF777),$AF$2:$AF$1001,0),1)&gt;=100000,INDEX($AM$1005:$BM$1005,1,MATCH(COLUMNS($AM$1006:BE1006),$AM$1006:$BM$1006,0))&gt;=100000), " ",IF(INDEX($AM$2:$BM$1001,MATCH(ROWS($AF$2:AF777),$AF$2:$AF$1001,0),MATCH(COLUMNS($AM$1006:BE1006),$AM$1006:$BM$1006,0)), HYPERLINK("#",""), HYPERLINK(CONCATENATE("#metadata!", ADDRESS(INDEX($AH$2:$AH$1001,MATCH(ROWS($AF$2:AF777),$AF$2:$AF$1001,0),0), INDEX($AM$1004:$BM$1004,1,MATCH(COLUMNS($AM$1006:BE1006),$AM$1006:$BM$1006,0)))),"Fix")))</f>
        <v xml:space="preserve"> </v>
      </c>
      <c r="U777" s="4" t="str">
        <f ca="1">IF(OR(INDEX($AG$2:$AG$1001,MATCH(ROWS($AF$2:AF777),$AF$2:$AF$1001,0),1)&gt;=100000,INDEX($AM$1005:$BM$1005,1,MATCH(COLUMNS($AM$1006:BF1006),$AM$1006:$BM$1006,0))&gt;=100000), " ",IF(INDEX($AM$2:$BM$1001,MATCH(ROWS($AF$2:AF777),$AF$2:$AF$1001,0),MATCH(COLUMNS($AM$1006:BF1006),$AM$1006:$BM$1006,0)), HYPERLINK("#",""), HYPERLINK(CONCATENATE("#metadata!", ADDRESS(INDEX($AH$2:$AH$1001,MATCH(ROWS($AF$2:AF777),$AF$2:$AF$1001,0),0), INDEX($AM$1004:$BM$1004,1,MATCH(COLUMNS($AM$1006:BF1006),$AM$1006:$BM$1006,0)))),"Fix")))</f>
        <v xml:space="preserve"> </v>
      </c>
      <c r="V777" s="4" t="str">
        <f ca="1">IF(OR(INDEX($AG$2:$AG$1001,MATCH(ROWS($AF$2:AF777),$AF$2:$AF$1001,0),1)&gt;=100000,INDEX($AM$1005:$BM$1005,1,MATCH(COLUMNS($AM$1006:BG1006),$AM$1006:$BM$1006,0))&gt;=100000), " ",IF(INDEX($AM$2:$BM$1001,MATCH(ROWS($AF$2:AF777),$AF$2:$AF$1001,0),MATCH(COLUMNS($AM$1006:BG1006),$AM$1006:$BM$1006,0)), HYPERLINK("#",""), HYPERLINK(CONCATENATE("#metadata!", ADDRESS(INDEX($AH$2:$AH$1001,MATCH(ROWS($AF$2:AF777),$AF$2:$AF$1001,0),0), INDEX($AM$1004:$BM$1004,1,MATCH(COLUMNS($AM$1006:BG1006),$AM$1006:$BM$1006,0)))),"Fix")))</f>
        <v xml:space="preserve"> </v>
      </c>
      <c r="W777" s="4" t="str">
        <f ca="1">IF(OR(INDEX($AG$2:$AG$1001,MATCH(ROWS($AF$2:AF777),$AF$2:$AF$1001,0),1)&gt;=100000,INDEX($AM$1005:$BM$1005,1,MATCH(COLUMNS($AM$1006:BH1006),$AM$1006:$BM$1006,0))&gt;=100000), " ",IF(INDEX($AM$2:$BM$1001,MATCH(ROWS($AF$2:AF777),$AF$2:$AF$1001,0),MATCH(COLUMNS($AM$1006:BH1006),$AM$1006:$BM$1006,0)), HYPERLINK("#",""), HYPERLINK(CONCATENATE("#metadata!", ADDRESS(INDEX($AH$2:$AH$1001,MATCH(ROWS($AF$2:AF777),$AF$2:$AF$1001,0),0), INDEX($AM$1004:$BM$1004,1,MATCH(COLUMNS($AM$1006:BH1006),$AM$1006:$BM$1006,0)))),"Fix")))</f>
        <v xml:space="preserve"> </v>
      </c>
      <c r="X777" s="4" t="str">
        <f ca="1">IF(OR(INDEX($AG$2:$AG$1001,MATCH(ROWS($AF$2:AF777),$AF$2:$AF$1001,0),1)&gt;=100000,INDEX($AM$1005:$BM$1005,1,MATCH(COLUMNS($AM$1006:BI1006),$AM$1006:$BM$1006,0))&gt;=100000), " ",IF(INDEX($AM$2:$BM$1001,MATCH(ROWS($AF$2:AF777),$AF$2:$AF$1001,0),MATCH(COLUMNS($AM$1006:BI1006),$AM$1006:$BM$1006,0)), HYPERLINK("#",""), HYPERLINK(CONCATENATE("#metadata!", ADDRESS(INDEX($AH$2:$AH$1001,MATCH(ROWS($AF$2:AF777),$AF$2:$AF$1001,0),0), INDEX($AM$1004:$BM$1004,1,MATCH(COLUMNS($AM$1006:BI1006),$AM$1006:$BM$1006,0)))),"Fix")))</f>
        <v xml:space="preserve"> </v>
      </c>
      <c r="Y777" s="4" t="str">
        <f ca="1">IF(OR(INDEX($AG$2:$AG$1001,MATCH(ROWS($AF$2:AF777),$AF$2:$AF$1001,0),1)&gt;=100000,INDEX($AM$1005:$BM$1005,1,MATCH(COLUMNS($AM$1006:BJ1006),$AM$1006:$BM$1006,0))&gt;=100000), " ",IF(INDEX($AM$2:$BM$1001,MATCH(ROWS($AF$2:AF777),$AF$2:$AF$1001,0),MATCH(COLUMNS($AM$1006:BJ1006),$AM$1006:$BM$1006,0)), HYPERLINK("#",""), HYPERLINK(CONCATENATE("#metadata!", ADDRESS(INDEX($AH$2:$AH$1001,MATCH(ROWS($AF$2:AF777),$AF$2:$AF$1001,0),0), INDEX($AM$1004:$BM$1004,1,MATCH(COLUMNS($AM$1006:BJ1006),$AM$1006:$BM$1006,0)))),"Fix")))</f>
        <v xml:space="preserve"> </v>
      </c>
      <c r="Z777" s="4" t="str">
        <f ca="1">IF(OR(INDEX($AG$2:$AG$1001,MATCH(ROWS($AF$2:AF777),$AF$2:$AF$1001,0),1)&gt;=100000,INDEX($AM$1005:$BM$1005,1,MATCH(COLUMNS($AM$1006:BK1006),$AM$1006:$BM$1006,0))&gt;=100000), " ",IF(INDEX($AM$2:$BM$1001,MATCH(ROWS($AF$2:AF777),$AF$2:$AF$1001,0),MATCH(COLUMNS($AM$1006:BK1006),$AM$1006:$BM$1006,0)), HYPERLINK("#",""), HYPERLINK(CONCATENATE("#metadata!", ADDRESS(INDEX($AH$2:$AH$1001,MATCH(ROWS($AF$2:AF777),$AF$2:$AF$1001,0),0), INDEX($AM$1004:$BM$1004,1,MATCH(COLUMNS($AM$1006:BK1006),$AM$1006:$BM$1006,0)))),"Fix")))</f>
        <v xml:space="preserve"> </v>
      </c>
      <c r="AA777" s="4" t="str">
        <f ca="1">IF(OR(INDEX($AG$2:$AG$1001,MATCH(ROWS($AF$2:AF777),$AF$2:$AF$1001,0),1)&gt;=100000,INDEX($AM$1005:$BM$1005,1,MATCH(COLUMNS($AM$1006:BL1006),$AM$1006:$BM$1006,0))&gt;=100000), " ",IF(INDEX($AM$2:$BM$1001,MATCH(ROWS($AF$2:AF777),$AF$2:$AF$1001,0),MATCH(COLUMNS($AM$1006:BL1006),$AM$1006:$BM$1006,0)), HYPERLINK("#",""), HYPERLINK(CONCATENATE("#metadata!", ADDRESS(INDEX($AH$2:$AH$1001,MATCH(ROWS($AF$2:AF777),$AF$2:$AF$1001,0),0), INDEX($AM$1004:$BM$1004,1,MATCH(COLUMNS($AM$1006:BL1006),$AM$1006:$BM$1006,0)))),"Fix")))</f>
        <v xml:space="preserve"> </v>
      </c>
      <c r="AB777" s="4" t="str">
        <f ca="1">IF(OR(INDEX($AG$2:$AG$1001,MATCH(ROWS($AF$2:AF777),$AF$2:$AF$1001,0),1)&gt;=100000,INDEX($AM$1005:$BM$1005,1,MATCH(COLUMNS($AM$1006:BM1006),$AM$1006:$BM$1006,0))&gt;=100000), " ",IF(INDEX($AM$2:$BM$1001,MATCH(ROWS($AF$2:AF777),$AF$2:$AF$1001,0),MATCH(COLUMNS($AM$1006:BM1006),$AM$1006:$BM$1006,0)), HYPERLINK("#",""), HYPERLINK(CONCATENATE("#metadata!", ADDRESS(INDEX($AH$2:$AH$1001,MATCH(ROWS($AF$2:AF777),$AF$2:$AF$1001,0),0), INDEX($AM$1004:$BM$1004,1,MATCH(COLUMNS($AM$1006:BM1006),$AM$1006:$BM$1006,0)))),"Fix")))</f>
        <v xml:space="preserve"> </v>
      </c>
      <c r="AF777">
        <v>776</v>
      </c>
      <c r="AG777">
        <v>100777</v>
      </c>
      <c r="AH777">
        <v>777</v>
      </c>
      <c r="AI777" t="b">
        <f t="shared" si="12"/>
        <v>1</v>
      </c>
      <c r="AJ777" t="b">
        <f>COUNTBLANK(metadata!B777:AB777)=COLUMNS(metadata!B777:AB777)</f>
        <v>1</v>
      </c>
      <c r="AK777" t="str">
        <v/>
      </c>
      <c r="AM777" t="b">
        <f ca="1">AND(IF(metadata!B777="",FALSE,TRUE),COUNTIF(metadata!B:B, metadata!B777) = 1,NOT(ISERROR(SUMPRODUCT(SEARCH(MID(metadata!B777,ROW(INDIRECT("1:"&amp;LEN(metadata!B777))), 1),"0123456789abcdefghijklmnopqrstuvwxyzABCDEFGHIJKLMNOPQRSTUVWXYZ.")))))</f>
        <v>0</v>
      </c>
      <c r="AN777" t="b">
        <f ca="1">OR(AND(IF(metadata!C777="",FALSE,TRUE),OR(EXACT(metadata!C777,"missing: not collected"),EXACT(metadata!C777,"missing: not provided"),EXACT(metadata!C777,"missing: restricted access"))),AND(IF(metadata!C777="",FALSE,TRUE),AND(AND(IFERROR(INT(LEFT(metadata!C777,4))&gt;1900,FALSE),IFERROR(INT(LEFT(metadata!C777,4))&lt;=YEAR(NOW()),FALSE)), OR(MID(metadata!C777,5,1)="", AND(AND(MID(metadata!C777,5,1)="-",IFERROR(INT(MID(metadata!C777,6,1))&gt;=0,FALSE),IFERROR(INT(MID(metadata!C777,6,1))&lt;=1,FALSE),NOT(MID(metadata!C777,7,1)=""),IFERROR(INT(MID(metadata!C777,6,2))&gt;=1,FALSE),IFERROR(INT(MID(metadata!C777,6,2))&lt;=12,FALSE)), OR(MID(metadata!C777,8,1)="", AND(AND(MID(metadata!C777,8,1)="-",IFERROR(INT(MID(metadata!C777,9,1))&gt;=0,FALSE),IFERROR(INT(MID(metadata!C777,9,1))&lt;=3,FALSE),NOT(MID(metadata!C777,10,1)=""),IFERROR(INT(MID(metadata!C777,9,2))&gt;=1,FALSE),IFERROR(INT(MID(metadata!C777,9,2))&lt;=31,FALSE)), OR(MID(metadata!C777,11,1)="", AND(AND(MID(metadata!C777,11,1)=" ",IFERROR(INT(MID(metadata!C777,12,1))&gt;=0,FALSE),IFERROR(INT(MID(metadata!C777,12,1))&lt;=2,FALSE),NOT(MID(metadata!C777,13,1)=""),IFERROR(INT(MID(metadata!C777,12,2))&gt;=0,FALSE),IFERROR(INT(MID(metadata!C777,12,2))&lt;=23,FALSE)), OR(MID(metadata!C777,14,1)="", AND(AND(MID(metadata!C777,14,1)=":",IFERROR(INT(MID(metadata!C777,15,1))&gt;=0,FALSE),IFERROR(INT(MID(metadata!C777,15,1))&lt;=5,FALSE),NOT(MID(metadata!C777,16,1)=""),IFERROR(INT(MID(metadata!C777,15,2))&gt;=0,FALSE),IFERROR(INT(MID(metadata!C777,15,2))&lt;=59,FALSE)), OR(MID(metadata!C777,17,1)="", AND(AND(MID(metadata!C777,17,1)=":",IFERROR(INT(MID(metadata!C777,18,1))&gt;=0,FALSE),IFERROR(INT(MID(metadata!C777,18,1))&lt;=5,FALSE),NOT(MID(metadata!C777,19,1)=""),IFERROR(INT(MID(metadata!C777,18,2))&gt;=0,FALSE),IFERROR(INT(MID(metadata!C777,18,2))&lt;=59,FALSE)), LEN(metadata!C777)&lt;=19)))))))))))))</f>
        <v>0</v>
      </c>
      <c r="AO777" t="b">
        <f>AND(IF(metadata!D777="",FALSE,TRUE),EXACT(metadata!D777,"Not applicable"))</f>
        <v>0</v>
      </c>
      <c r="AP777" t="b">
        <f>IF(metadata!E777="",FALSE,TRUE)</f>
        <v>0</v>
      </c>
      <c r="AQ777" t="b">
        <f>OR(AND(IF(metadata!F777="",FALSE,TRUE),OR(EXACT(metadata!F777,"missing: not collected"),EXACT(metadata!F777,"missing: not provided"))),AND(IF(metadata!F777="",FALSE,TRUE),OR(EXACT(metadata!F777,"TRUE"),EXACT(metadata!F777,"FALSE"))))</f>
        <v>0</v>
      </c>
      <c r="AR777" t="b">
        <f>OR(AND(IF(metadata!G777="",FALSE,TRUE),OR(EXACT(metadata!G777,"missing: not collected"),EXACT(metadata!G777,"missing: not provided"),EXACT(metadata!G777,"missing: restricted access"))),AND(IF(metadata!G777="",FALSE,ISNUMBER(VALUE(metadata!G777))),metadata!G777&gt;=-413))</f>
        <v>0</v>
      </c>
      <c r="AS777" t="b">
        <f>AND(IF(metadata!H777="",FALSE,TRUE),EXACT(metadata!H777,"meters"))</f>
        <v>0</v>
      </c>
      <c r="AT777" t="b">
        <f>AND(IF(metadata!I777="",FALSE,TRUE),OR(EXACT(metadata!I777,"Host-associated"),EXACT(metadata!I777,"Free-living")))</f>
        <v>0</v>
      </c>
      <c r="AU777" t="b">
        <f>AND(IF(metadata!J777="",FALSE,TRUE),OR(EXACT(metadata!J777,"Animal"),EXACT(metadata!J777,"Fungus"),EXACT(metadata!J777,"Plant"),EXACT(metadata!J777,"Saline"),EXACT(metadata!J777,"Non-saline")))</f>
        <v>0</v>
      </c>
      <c r="AV777" t="b">
        <f>AND(IF(metadata!K777="",FALSE,TRUE),OR(EXACT(metadata!K777,"Plant secretion"),EXACT(metadata!K777,"Plant rhizosphere"),EXACT(metadata!K777,"Plant surface"),EXACT(metadata!K777,"Plant corpus"),EXACT(metadata!K777,"Fungus surface"),EXACT(metadata!K777,"Fungus corpus"),EXACT(metadata!K777,"Animal surface"),EXACT(metadata!K777,"Animal proximal gut"),EXACT(metadata!K777,"Animal corpus"),EXACT(metadata!K777,"Animal distal gut"),EXACT(metadata!K777,"Animal secretion"),EXACT(metadata!K777,"Sub-surface (non-saline)"),EXACT(metadata!K777,"Surface (non-saline)"),EXACT(metadata!K777,"Water (non-saline)"),EXACT(metadata!K777,"Soil (non-saline)"),EXACT(metadata!K777,"Aerosol (non-saline)"),EXACT(metadata!K777,"Sediment (non-saline)"),EXACT(metadata!K777,"Surface (saline)"),EXACT(metadata!K777,"Water (saline)"),EXACT(metadata!K777,"Hypersaline (saline)"),EXACT(metadata!K777,"Aerosol (saline)"),EXACT(metadata!K777,"Sediment (saline)")))</f>
        <v>0</v>
      </c>
      <c r="AW777" t="b">
        <f>IF(metadata!L777="",FALSE,TRUE)</f>
        <v>0</v>
      </c>
      <c r="AX777" t="b">
        <f>IF(metadata!M777="",FALSE,TRUE)</f>
        <v>0</v>
      </c>
      <c r="AY777" t="b">
        <f>IF(metadata!N777="",FALSE,TRUE)</f>
        <v>0</v>
      </c>
      <c r="AZ777" t="b">
        <f>OR(AND(IF(metadata!O777="",FALSE,TRUE),OR(EXACT(metadata!O777,"missing: not collected"),EXACT(metadata!O777,"missing: not provided"),EXACT(metadata!O777,"missing: restricted access"))),AND(IF(metadata!O777="",FALSE,TRUE),OR(EXACT(metadata!O777,"air"),EXACT(metadata!O777,"built environment"),EXACT(metadata!O777,"host-associated"),EXACT(metadata!O777,"human-associated"),EXACT(metadata!O777,"human-skin"),EXACT(metadata!O777,"human-oral"),EXACT(metadata!O777,"human-gut"),EXACT(metadata!O777,"human-vaginal"),EXACT(metadata!O777,"microbial mat/biofilm"),EXACT(metadata!O777,"misc environment"),EXACT(metadata!O777,"plant-associated"),EXACT(metadata!O777,"sediment"),EXACT(metadata!O777,"soil"),EXACT(metadata!O777,"wastewater/sludge"),EXACT(metadata!O777,"water"))))</f>
        <v>0</v>
      </c>
      <c r="BA777" t="b">
        <f>IF(metadata!P777="",FALSE,TRUE)</f>
        <v>0</v>
      </c>
      <c r="BB777" t="b">
        <f>IF(metadata!Q777="",FALSE,TRUE)</f>
        <v>0</v>
      </c>
      <c r="BC777" t="b">
        <f>OR(AND(IF(metadata!R777="",FALSE,TRUE),OR(EXACT(metadata!R777,"missing: not collected"),EXACT(metadata!R777,"missing: not provided"),EXACT(metadata!R777,"missing: restricted access"))),AND(IF(metadata!R777="",FALSE,ISNUMBER(VALUE(metadata!R777))),metadata!R777&gt;=-90,metadata!R777&lt;=90))</f>
        <v>0</v>
      </c>
      <c r="BD777" t="b">
        <f>AND(IF(metadata!S777="",FALSE,TRUE),EXACT(metadata!S777,"Decimal degrees"))</f>
        <v>0</v>
      </c>
      <c r="BE777" t="b">
        <f>OR(AND(IF(metadata!T777="",FALSE,TRUE),OR(EXACT(metadata!T777,"missing: not collected"),EXACT(metadata!T777,"missing: not provided"),EXACT(metadata!T777,"missing: restricted access"))),AND(IF(metadata!T777="",FALSE,ISNUMBER(VALUE(metadata!T777))),metadata!T777&gt;=-180,metadata!T777&lt;=180))</f>
        <v>0</v>
      </c>
      <c r="BF777" t="b">
        <f>AND(IF(metadata!U777="",FALSE,TRUE),EXACT(metadata!U777,"Decimal degrees"))</f>
        <v>0</v>
      </c>
      <c r="BG777" t="b">
        <f>IF(metadata!V777="",FALSE,TRUE)</f>
        <v>0</v>
      </c>
      <c r="BH777" t="b">
        <f>OR(AND(IF(metadata!W777="",FALSE,TRUE),OR(EXACT(metadata!W777,"missing: not collected"),EXACT(metadata!W777,"missing: not provided"),EXACT(metadata!W777,"missing: restricted access"))),AND(IF(metadata!W777="",FALSE,TRUE),OR(EXACT(metadata!W777,"TRUE"),EXACT(metadata!W777,"FALSE"))))</f>
        <v>0</v>
      </c>
      <c r="BI777" t="b">
        <f>AND(IF(metadata!X777="",FALSE,TRUE),EXACT(metadata!X777,"other"))</f>
        <v>0</v>
      </c>
      <c r="BJ777" t="b">
        <f>IF(metadata!Y777="",FALSE,TRUE)</f>
        <v>0</v>
      </c>
      <c r="BK777" t="b">
        <f>OR(AND(IF(metadata!Z777="",FALSE,TRUE),OR(EXACT(metadata!Z777,"missing: not collected"),EXACT(metadata!Z777,"missing: not provided"))),AND(IF(metadata!Z777="",FALSE,IF(ISERROR(INT(metadata!Z777)),FALSE,INT(metadata!Z777)=metadata!Z777)),metadata!Z777&gt;0))</f>
        <v>0</v>
      </c>
      <c r="BL777" t="b">
        <f>AND(IF(metadata!AA777="",FALSE,TRUE),EXACT(metadata!AA777,"Not applicable"))</f>
        <v>0</v>
      </c>
      <c r="BM777" t="b">
        <f>IF(metadata!AB777="",FALSE,TRUE)</f>
        <v>0</v>
      </c>
    </row>
    <row r="778" spans="1:65" x14ac:dyDescent="0.2">
      <c r="A778" s="5" t="str">
        <f ca="1">IF(B778=" "," ",HYPERLINK(CONCATENATE("#metadata!",ADDRESS(INDEX($AH$2:$AH$1001,MATCH(ROWS($AF$2:AF778),$AF$2:$AF$1001,0),0),1)),INDEX($AK$2:$AK$1001,MATCH(ROWS($AF$2:AF778),$AF$2:$AF$1001,0),0)))</f>
        <v xml:space="preserve"> </v>
      </c>
      <c r="B778" s="4" t="str">
        <f ca="1">IF(OR(INDEX($AG$2:$AG$1001,MATCH(ROWS($AF$2:AF778),$AF$2:$AF$1001,0),1)&gt;=100000,INDEX($AM$1005:$BM$1005,1,MATCH(COLUMNS($AM$1006:AM1006),$AM$1006:$BM$1006,0))&gt;=100000), " ",IF(INDEX($AM$2:$BM$1001,MATCH(ROWS($AF$2:AF778),$AF$2:$AF$1001,0),MATCH(COLUMNS($AM$1006:AM1006),$AM$1006:$BM$1006,0)), HYPERLINK("#",""), HYPERLINK(CONCATENATE("#metadata!", ADDRESS(INDEX($AH$2:$AH$1001,MATCH(ROWS($AF$2:AF778),$AF$2:$AF$1001,0),0), INDEX($AM$1004:$BM$1004,1,MATCH(COLUMNS($AM$1006:AM1006),$AM$1006:$BM$1006,0)))),"Fix")))</f>
        <v xml:space="preserve"> </v>
      </c>
      <c r="C778" s="4" t="str">
        <f ca="1">IF(OR(INDEX($AG$2:$AG$1001,MATCH(ROWS($AF$2:AF778),$AF$2:$AF$1001,0),1)&gt;=100000,INDEX($AM$1005:$BM$1005,1,MATCH(COLUMNS($AM$1006:AN1006),$AM$1006:$BM$1006,0))&gt;=100000), " ",IF(INDEX($AM$2:$BM$1001,MATCH(ROWS($AF$2:AF778),$AF$2:$AF$1001,0),MATCH(COLUMNS($AM$1006:AN1006),$AM$1006:$BM$1006,0)), HYPERLINK("#",""), HYPERLINK(CONCATENATE("#metadata!", ADDRESS(INDEX($AH$2:$AH$1001,MATCH(ROWS($AF$2:AF778),$AF$2:$AF$1001,0),0), INDEX($AM$1004:$BM$1004,1,MATCH(COLUMNS($AM$1006:AN1006),$AM$1006:$BM$1006,0)))),"Fix")))</f>
        <v xml:space="preserve"> </v>
      </c>
      <c r="D778" s="4" t="str">
        <f ca="1">IF(OR(INDEX($AG$2:$AG$1001,MATCH(ROWS($AF$2:AF778),$AF$2:$AF$1001,0),1)&gt;=100000,INDEX($AM$1005:$BM$1005,1,MATCH(COLUMNS($AM$1006:AO1006),$AM$1006:$BM$1006,0))&gt;=100000), " ",IF(INDEX($AM$2:$BM$1001,MATCH(ROWS($AF$2:AF778),$AF$2:$AF$1001,0),MATCH(COLUMNS($AM$1006:AO1006),$AM$1006:$BM$1006,0)), HYPERLINK("#",""), HYPERLINK(CONCATENATE("#metadata!", ADDRESS(INDEX($AH$2:$AH$1001,MATCH(ROWS($AF$2:AF778),$AF$2:$AF$1001,0),0), INDEX($AM$1004:$BM$1004,1,MATCH(COLUMNS($AM$1006:AO1006),$AM$1006:$BM$1006,0)))),"Fix")))</f>
        <v xml:space="preserve"> </v>
      </c>
      <c r="E778" s="4" t="str">
        <f ca="1">IF(OR(INDEX($AG$2:$AG$1001,MATCH(ROWS($AF$2:AF778),$AF$2:$AF$1001,0),1)&gt;=100000,INDEX($AM$1005:$BM$1005,1,MATCH(COLUMNS($AM$1006:AP1006),$AM$1006:$BM$1006,0))&gt;=100000), " ",IF(INDEX($AM$2:$BM$1001,MATCH(ROWS($AF$2:AF778),$AF$2:$AF$1001,0),MATCH(COLUMNS($AM$1006:AP1006),$AM$1006:$BM$1006,0)), HYPERLINK("#",""), HYPERLINK(CONCATENATE("#metadata!", ADDRESS(INDEX($AH$2:$AH$1001,MATCH(ROWS($AF$2:AF778),$AF$2:$AF$1001,0),0), INDEX($AM$1004:$BM$1004,1,MATCH(COLUMNS($AM$1006:AP1006),$AM$1006:$BM$1006,0)))),"Fix")))</f>
        <v xml:space="preserve"> </v>
      </c>
      <c r="F778" s="4" t="str">
        <f ca="1">IF(OR(INDEX($AG$2:$AG$1001,MATCH(ROWS($AF$2:AF778),$AF$2:$AF$1001,0),1)&gt;=100000,INDEX($AM$1005:$BM$1005,1,MATCH(COLUMNS($AM$1006:AQ1006),$AM$1006:$BM$1006,0))&gt;=100000), " ",IF(INDEX($AM$2:$BM$1001,MATCH(ROWS($AF$2:AF778),$AF$2:$AF$1001,0),MATCH(COLUMNS($AM$1006:AQ1006),$AM$1006:$BM$1006,0)), HYPERLINK("#",""), HYPERLINK(CONCATENATE("#metadata!", ADDRESS(INDEX($AH$2:$AH$1001,MATCH(ROWS($AF$2:AF778),$AF$2:$AF$1001,0),0), INDEX($AM$1004:$BM$1004,1,MATCH(COLUMNS($AM$1006:AQ1006),$AM$1006:$BM$1006,0)))),"Fix")))</f>
        <v xml:space="preserve"> </v>
      </c>
      <c r="G778" s="4" t="str">
        <f ca="1">IF(OR(INDEX($AG$2:$AG$1001,MATCH(ROWS($AF$2:AF778),$AF$2:$AF$1001,0),1)&gt;=100000,INDEX($AM$1005:$BM$1005,1,MATCH(COLUMNS($AM$1006:AR1006),$AM$1006:$BM$1006,0))&gt;=100000), " ",IF(INDEX($AM$2:$BM$1001,MATCH(ROWS($AF$2:AF778),$AF$2:$AF$1001,0),MATCH(COLUMNS($AM$1006:AR1006),$AM$1006:$BM$1006,0)), HYPERLINK("#",""), HYPERLINK(CONCATENATE("#metadata!", ADDRESS(INDEX($AH$2:$AH$1001,MATCH(ROWS($AF$2:AF778),$AF$2:$AF$1001,0),0), INDEX($AM$1004:$BM$1004,1,MATCH(COLUMNS($AM$1006:AR1006),$AM$1006:$BM$1006,0)))),"Fix")))</f>
        <v xml:space="preserve"> </v>
      </c>
      <c r="H778" s="4" t="str">
        <f ca="1">IF(OR(INDEX($AG$2:$AG$1001,MATCH(ROWS($AF$2:AF778),$AF$2:$AF$1001,0),1)&gt;=100000,INDEX($AM$1005:$BM$1005,1,MATCH(COLUMNS($AM$1006:AS1006),$AM$1006:$BM$1006,0))&gt;=100000), " ",IF(INDEX($AM$2:$BM$1001,MATCH(ROWS($AF$2:AF778),$AF$2:$AF$1001,0),MATCH(COLUMNS($AM$1006:AS1006),$AM$1006:$BM$1006,0)), HYPERLINK("#",""), HYPERLINK(CONCATENATE("#metadata!", ADDRESS(INDEX($AH$2:$AH$1001,MATCH(ROWS($AF$2:AF778),$AF$2:$AF$1001,0),0), INDEX($AM$1004:$BM$1004,1,MATCH(COLUMNS($AM$1006:AS1006),$AM$1006:$BM$1006,0)))),"Fix")))</f>
        <v xml:space="preserve"> </v>
      </c>
      <c r="I778" s="4" t="str">
        <f ca="1">IF(OR(INDEX($AG$2:$AG$1001,MATCH(ROWS($AF$2:AF778),$AF$2:$AF$1001,0),1)&gt;=100000,INDEX($AM$1005:$BM$1005,1,MATCH(COLUMNS($AM$1006:AT1006),$AM$1006:$BM$1006,0))&gt;=100000), " ",IF(INDEX($AM$2:$BM$1001,MATCH(ROWS($AF$2:AF778),$AF$2:$AF$1001,0),MATCH(COLUMNS($AM$1006:AT1006),$AM$1006:$BM$1006,0)), HYPERLINK("#",""), HYPERLINK(CONCATENATE("#metadata!", ADDRESS(INDEX($AH$2:$AH$1001,MATCH(ROWS($AF$2:AF778),$AF$2:$AF$1001,0),0), INDEX($AM$1004:$BM$1004,1,MATCH(COLUMNS($AM$1006:AT1006),$AM$1006:$BM$1006,0)))),"Fix")))</f>
        <v xml:space="preserve"> </v>
      </c>
      <c r="J778" s="4" t="str">
        <f ca="1">IF(OR(INDEX($AG$2:$AG$1001,MATCH(ROWS($AF$2:AF778),$AF$2:$AF$1001,0),1)&gt;=100000,INDEX($AM$1005:$BM$1005,1,MATCH(COLUMNS($AM$1006:AU1006),$AM$1006:$BM$1006,0))&gt;=100000), " ",IF(INDEX($AM$2:$BM$1001,MATCH(ROWS($AF$2:AF778),$AF$2:$AF$1001,0),MATCH(COLUMNS($AM$1006:AU1006),$AM$1006:$BM$1006,0)), HYPERLINK("#",""), HYPERLINK(CONCATENATE("#metadata!", ADDRESS(INDEX($AH$2:$AH$1001,MATCH(ROWS($AF$2:AF778),$AF$2:$AF$1001,0),0), INDEX($AM$1004:$BM$1004,1,MATCH(COLUMNS($AM$1006:AU1006),$AM$1006:$BM$1006,0)))),"Fix")))</f>
        <v xml:space="preserve"> </v>
      </c>
      <c r="K778" s="4" t="str">
        <f ca="1">IF(OR(INDEX($AG$2:$AG$1001,MATCH(ROWS($AF$2:AF778),$AF$2:$AF$1001,0),1)&gt;=100000,INDEX($AM$1005:$BM$1005,1,MATCH(COLUMNS($AM$1006:AV1006),$AM$1006:$BM$1006,0))&gt;=100000), " ",IF(INDEX($AM$2:$BM$1001,MATCH(ROWS($AF$2:AF778),$AF$2:$AF$1001,0),MATCH(COLUMNS($AM$1006:AV1006),$AM$1006:$BM$1006,0)), HYPERLINK("#",""), HYPERLINK(CONCATENATE("#metadata!", ADDRESS(INDEX($AH$2:$AH$1001,MATCH(ROWS($AF$2:AF778),$AF$2:$AF$1001,0),0), INDEX($AM$1004:$BM$1004,1,MATCH(COLUMNS($AM$1006:AV1006),$AM$1006:$BM$1006,0)))),"Fix")))</f>
        <v xml:space="preserve"> </v>
      </c>
      <c r="L778" s="4" t="str">
        <f ca="1">IF(OR(INDEX($AG$2:$AG$1001,MATCH(ROWS($AF$2:AF778),$AF$2:$AF$1001,0),1)&gt;=100000,INDEX($AM$1005:$BM$1005,1,MATCH(COLUMNS($AM$1006:AW1006),$AM$1006:$BM$1006,0))&gt;=100000), " ",IF(INDEX($AM$2:$BM$1001,MATCH(ROWS($AF$2:AF778),$AF$2:$AF$1001,0),MATCH(COLUMNS($AM$1006:AW1006),$AM$1006:$BM$1006,0)), HYPERLINK("#",""), HYPERLINK(CONCATENATE("#metadata!", ADDRESS(INDEX($AH$2:$AH$1001,MATCH(ROWS($AF$2:AF778),$AF$2:$AF$1001,0),0), INDEX($AM$1004:$BM$1004,1,MATCH(COLUMNS($AM$1006:AW1006),$AM$1006:$BM$1006,0)))),"Fix")))</f>
        <v xml:space="preserve"> </v>
      </c>
      <c r="M778" s="4" t="str">
        <f ca="1">IF(OR(INDEX($AG$2:$AG$1001,MATCH(ROWS($AF$2:AF778),$AF$2:$AF$1001,0),1)&gt;=100000,INDEX($AM$1005:$BM$1005,1,MATCH(COLUMNS($AM$1006:AX1006),$AM$1006:$BM$1006,0))&gt;=100000), " ",IF(INDEX($AM$2:$BM$1001,MATCH(ROWS($AF$2:AF778),$AF$2:$AF$1001,0),MATCH(COLUMNS($AM$1006:AX1006),$AM$1006:$BM$1006,0)), HYPERLINK("#",""), HYPERLINK(CONCATENATE("#metadata!", ADDRESS(INDEX($AH$2:$AH$1001,MATCH(ROWS($AF$2:AF778),$AF$2:$AF$1001,0),0), INDEX($AM$1004:$BM$1004,1,MATCH(COLUMNS($AM$1006:AX1006),$AM$1006:$BM$1006,0)))),"Fix")))</f>
        <v xml:space="preserve"> </v>
      </c>
      <c r="N778" s="4" t="str">
        <f ca="1">IF(OR(INDEX($AG$2:$AG$1001,MATCH(ROWS($AF$2:AF778),$AF$2:$AF$1001,0),1)&gt;=100000,INDEX($AM$1005:$BM$1005,1,MATCH(COLUMNS($AM$1006:AY1006),$AM$1006:$BM$1006,0))&gt;=100000), " ",IF(INDEX($AM$2:$BM$1001,MATCH(ROWS($AF$2:AF778),$AF$2:$AF$1001,0),MATCH(COLUMNS($AM$1006:AY1006),$AM$1006:$BM$1006,0)), HYPERLINK("#",""), HYPERLINK(CONCATENATE("#metadata!", ADDRESS(INDEX($AH$2:$AH$1001,MATCH(ROWS($AF$2:AF778),$AF$2:$AF$1001,0),0), INDEX($AM$1004:$BM$1004,1,MATCH(COLUMNS($AM$1006:AY1006),$AM$1006:$BM$1006,0)))),"Fix")))</f>
        <v xml:space="preserve"> </v>
      </c>
      <c r="O778" s="4" t="str">
        <f ca="1">IF(OR(INDEX($AG$2:$AG$1001,MATCH(ROWS($AF$2:AF778),$AF$2:$AF$1001,0),1)&gt;=100000,INDEX($AM$1005:$BM$1005,1,MATCH(COLUMNS($AM$1006:AZ1006),$AM$1006:$BM$1006,0))&gt;=100000), " ",IF(INDEX($AM$2:$BM$1001,MATCH(ROWS($AF$2:AF778),$AF$2:$AF$1001,0),MATCH(COLUMNS($AM$1006:AZ1006),$AM$1006:$BM$1006,0)), HYPERLINK("#",""), HYPERLINK(CONCATENATE("#metadata!", ADDRESS(INDEX($AH$2:$AH$1001,MATCH(ROWS($AF$2:AF778),$AF$2:$AF$1001,0),0), INDEX($AM$1004:$BM$1004,1,MATCH(COLUMNS($AM$1006:AZ1006),$AM$1006:$BM$1006,0)))),"Fix")))</f>
        <v xml:space="preserve"> </v>
      </c>
      <c r="P778" s="4" t="str">
        <f ca="1">IF(OR(INDEX($AG$2:$AG$1001,MATCH(ROWS($AF$2:AF778),$AF$2:$AF$1001,0),1)&gt;=100000,INDEX($AM$1005:$BM$1005,1,MATCH(COLUMNS($AM$1006:BA1006),$AM$1006:$BM$1006,0))&gt;=100000), " ",IF(INDEX($AM$2:$BM$1001,MATCH(ROWS($AF$2:AF778),$AF$2:$AF$1001,0),MATCH(COLUMNS($AM$1006:BA1006),$AM$1006:$BM$1006,0)), HYPERLINK("#",""), HYPERLINK(CONCATENATE("#metadata!", ADDRESS(INDEX($AH$2:$AH$1001,MATCH(ROWS($AF$2:AF778),$AF$2:$AF$1001,0),0), INDEX($AM$1004:$BM$1004,1,MATCH(COLUMNS($AM$1006:BA1006),$AM$1006:$BM$1006,0)))),"Fix")))</f>
        <v xml:space="preserve"> </v>
      </c>
      <c r="Q778" s="4" t="str">
        <f ca="1">IF(OR(INDEX($AG$2:$AG$1001,MATCH(ROWS($AF$2:AF778),$AF$2:$AF$1001,0),1)&gt;=100000,INDEX($AM$1005:$BM$1005,1,MATCH(COLUMNS($AM$1006:BB1006),$AM$1006:$BM$1006,0))&gt;=100000), " ",IF(INDEX($AM$2:$BM$1001,MATCH(ROWS($AF$2:AF778),$AF$2:$AF$1001,0),MATCH(COLUMNS($AM$1006:BB1006),$AM$1006:$BM$1006,0)), HYPERLINK("#",""), HYPERLINK(CONCATENATE("#metadata!", ADDRESS(INDEX($AH$2:$AH$1001,MATCH(ROWS($AF$2:AF778),$AF$2:$AF$1001,0),0), INDEX($AM$1004:$BM$1004,1,MATCH(COLUMNS($AM$1006:BB1006),$AM$1006:$BM$1006,0)))),"Fix")))</f>
        <v xml:space="preserve"> </v>
      </c>
      <c r="R778" s="4" t="str">
        <f ca="1">IF(OR(INDEX($AG$2:$AG$1001,MATCH(ROWS($AF$2:AF778),$AF$2:$AF$1001,0),1)&gt;=100000,INDEX($AM$1005:$BM$1005,1,MATCH(COLUMNS($AM$1006:BC1006),$AM$1006:$BM$1006,0))&gt;=100000), " ",IF(INDEX($AM$2:$BM$1001,MATCH(ROWS($AF$2:AF778),$AF$2:$AF$1001,0),MATCH(COLUMNS($AM$1006:BC1006),$AM$1006:$BM$1006,0)), HYPERLINK("#",""), HYPERLINK(CONCATENATE("#metadata!", ADDRESS(INDEX($AH$2:$AH$1001,MATCH(ROWS($AF$2:AF778),$AF$2:$AF$1001,0),0), INDEX($AM$1004:$BM$1004,1,MATCH(COLUMNS($AM$1006:BC1006),$AM$1006:$BM$1006,0)))),"Fix")))</f>
        <v xml:space="preserve"> </v>
      </c>
      <c r="S778" s="4" t="str">
        <f ca="1">IF(OR(INDEX($AG$2:$AG$1001,MATCH(ROWS($AF$2:AF778),$AF$2:$AF$1001,0),1)&gt;=100000,INDEX($AM$1005:$BM$1005,1,MATCH(COLUMNS($AM$1006:BD1006),$AM$1006:$BM$1006,0))&gt;=100000), " ",IF(INDEX($AM$2:$BM$1001,MATCH(ROWS($AF$2:AF778),$AF$2:$AF$1001,0),MATCH(COLUMNS($AM$1006:BD1006),$AM$1006:$BM$1006,0)), HYPERLINK("#",""), HYPERLINK(CONCATENATE("#metadata!", ADDRESS(INDEX($AH$2:$AH$1001,MATCH(ROWS($AF$2:AF778),$AF$2:$AF$1001,0),0), INDEX($AM$1004:$BM$1004,1,MATCH(COLUMNS($AM$1006:BD1006),$AM$1006:$BM$1006,0)))),"Fix")))</f>
        <v xml:space="preserve"> </v>
      </c>
      <c r="T778" s="4" t="str">
        <f ca="1">IF(OR(INDEX($AG$2:$AG$1001,MATCH(ROWS($AF$2:AF778),$AF$2:$AF$1001,0),1)&gt;=100000,INDEX($AM$1005:$BM$1005,1,MATCH(COLUMNS($AM$1006:BE1006),$AM$1006:$BM$1006,0))&gt;=100000), " ",IF(INDEX($AM$2:$BM$1001,MATCH(ROWS($AF$2:AF778),$AF$2:$AF$1001,0),MATCH(COLUMNS($AM$1006:BE1006),$AM$1006:$BM$1006,0)), HYPERLINK("#",""), HYPERLINK(CONCATENATE("#metadata!", ADDRESS(INDEX($AH$2:$AH$1001,MATCH(ROWS($AF$2:AF778),$AF$2:$AF$1001,0),0), INDEX($AM$1004:$BM$1004,1,MATCH(COLUMNS($AM$1006:BE1006),$AM$1006:$BM$1006,0)))),"Fix")))</f>
        <v xml:space="preserve"> </v>
      </c>
      <c r="U778" s="4" t="str">
        <f ca="1">IF(OR(INDEX($AG$2:$AG$1001,MATCH(ROWS($AF$2:AF778),$AF$2:$AF$1001,0),1)&gt;=100000,INDEX($AM$1005:$BM$1005,1,MATCH(COLUMNS($AM$1006:BF1006),$AM$1006:$BM$1006,0))&gt;=100000), " ",IF(INDEX($AM$2:$BM$1001,MATCH(ROWS($AF$2:AF778),$AF$2:$AF$1001,0),MATCH(COLUMNS($AM$1006:BF1006),$AM$1006:$BM$1006,0)), HYPERLINK("#",""), HYPERLINK(CONCATENATE("#metadata!", ADDRESS(INDEX($AH$2:$AH$1001,MATCH(ROWS($AF$2:AF778),$AF$2:$AF$1001,0),0), INDEX($AM$1004:$BM$1004,1,MATCH(COLUMNS($AM$1006:BF1006),$AM$1006:$BM$1006,0)))),"Fix")))</f>
        <v xml:space="preserve"> </v>
      </c>
      <c r="V778" s="4" t="str">
        <f ca="1">IF(OR(INDEX($AG$2:$AG$1001,MATCH(ROWS($AF$2:AF778),$AF$2:$AF$1001,0),1)&gt;=100000,INDEX($AM$1005:$BM$1005,1,MATCH(COLUMNS($AM$1006:BG1006),$AM$1006:$BM$1006,0))&gt;=100000), " ",IF(INDEX($AM$2:$BM$1001,MATCH(ROWS($AF$2:AF778),$AF$2:$AF$1001,0),MATCH(COLUMNS($AM$1006:BG1006),$AM$1006:$BM$1006,0)), HYPERLINK("#",""), HYPERLINK(CONCATENATE("#metadata!", ADDRESS(INDEX($AH$2:$AH$1001,MATCH(ROWS($AF$2:AF778),$AF$2:$AF$1001,0),0), INDEX($AM$1004:$BM$1004,1,MATCH(COLUMNS($AM$1006:BG1006),$AM$1006:$BM$1006,0)))),"Fix")))</f>
        <v xml:space="preserve"> </v>
      </c>
      <c r="W778" s="4" t="str">
        <f ca="1">IF(OR(INDEX($AG$2:$AG$1001,MATCH(ROWS($AF$2:AF778),$AF$2:$AF$1001,0),1)&gt;=100000,INDEX($AM$1005:$BM$1005,1,MATCH(COLUMNS($AM$1006:BH1006),$AM$1006:$BM$1006,0))&gt;=100000), " ",IF(INDEX($AM$2:$BM$1001,MATCH(ROWS($AF$2:AF778),$AF$2:$AF$1001,0),MATCH(COLUMNS($AM$1006:BH1006),$AM$1006:$BM$1006,0)), HYPERLINK("#",""), HYPERLINK(CONCATENATE("#metadata!", ADDRESS(INDEX($AH$2:$AH$1001,MATCH(ROWS($AF$2:AF778),$AF$2:$AF$1001,0),0), INDEX($AM$1004:$BM$1004,1,MATCH(COLUMNS($AM$1006:BH1006),$AM$1006:$BM$1006,0)))),"Fix")))</f>
        <v xml:space="preserve"> </v>
      </c>
      <c r="X778" s="4" t="str">
        <f ca="1">IF(OR(INDEX($AG$2:$AG$1001,MATCH(ROWS($AF$2:AF778),$AF$2:$AF$1001,0),1)&gt;=100000,INDEX($AM$1005:$BM$1005,1,MATCH(COLUMNS($AM$1006:BI1006),$AM$1006:$BM$1006,0))&gt;=100000), " ",IF(INDEX($AM$2:$BM$1001,MATCH(ROWS($AF$2:AF778),$AF$2:$AF$1001,0),MATCH(COLUMNS($AM$1006:BI1006),$AM$1006:$BM$1006,0)), HYPERLINK("#",""), HYPERLINK(CONCATENATE("#metadata!", ADDRESS(INDEX($AH$2:$AH$1001,MATCH(ROWS($AF$2:AF778),$AF$2:$AF$1001,0),0), INDEX($AM$1004:$BM$1004,1,MATCH(COLUMNS($AM$1006:BI1006),$AM$1006:$BM$1006,0)))),"Fix")))</f>
        <v xml:space="preserve"> </v>
      </c>
      <c r="Y778" s="4" t="str">
        <f ca="1">IF(OR(INDEX($AG$2:$AG$1001,MATCH(ROWS($AF$2:AF778),$AF$2:$AF$1001,0),1)&gt;=100000,INDEX($AM$1005:$BM$1005,1,MATCH(COLUMNS($AM$1006:BJ1006),$AM$1006:$BM$1006,0))&gt;=100000), " ",IF(INDEX($AM$2:$BM$1001,MATCH(ROWS($AF$2:AF778),$AF$2:$AF$1001,0),MATCH(COLUMNS($AM$1006:BJ1006),$AM$1006:$BM$1006,0)), HYPERLINK("#",""), HYPERLINK(CONCATENATE("#metadata!", ADDRESS(INDEX($AH$2:$AH$1001,MATCH(ROWS($AF$2:AF778),$AF$2:$AF$1001,0),0), INDEX($AM$1004:$BM$1004,1,MATCH(COLUMNS($AM$1006:BJ1006),$AM$1006:$BM$1006,0)))),"Fix")))</f>
        <v xml:space="preserve"> </v>
      </c>
      <c r="Z778" s="4" t="str">
        <f ca="1">IF(OR(INDEX($AG$2:$AG$1001,MATCH(ROWS($AF$2:AF778),$AF$2:$AF$1001,0),1)&gt;=100000,INDEX($AM$1005:$BM$1005,1,MATCH(COLUMNS($AM$1006:BK1006),$AM$1006:$BM$1006,0))&gt;=100000), " ",IF(INDEX($AM$2:$BM$1001,MATCH(ROWS($AF$2:AF778),$AF$2:$AF$1001,0),MATCH(COLUMNS($AM$1006:BK1006),$AM$1006:$BM$1006,0)), HYPERLINK("#",""), HYPERLINK(CONCATENATE("#metadata!", ADDRESS(INDEX($AH$2:$AH$1001,MATCH(ROWS($AF$2:AF778),$AF$2:$AF$1001,0),0), INDEX($AM$1004:$BM$1004,1,MATCH(COLUMNS($AM$1006:BK1006),$AM$1006:$BM$1006,0)))),"Fix")))</f>
        <v xml:space="preserve"> </v>
      </c>
      <c r="AA778" s="4" t="str">
        <f ca="1">IF(OR(INDEX($AG$2:$AG$1001,MATCH(ROWS($AF$2:AF778),$AF$2:$AF$1001,0),1)&gt;=100000,INDEX($AM$1005:$BM$1005,1,MATCH(COLUMNS($AM$1006:BL1006),$AM$1006:$BM$1006,0))&gt;=100000), " ",IF(INDEX($AM$2:$BM$1001,MATCH(ROWS($AF$2:AF778),$AF$2:$AF$1001,0),MATCH(COLUMNS($AM$1006:BL1006),$AM$1006:$BM$1006,0)), HYPERLINK("#",""), HYPERLINK(CONCATENATE("#metadata!", ADDRESS(INDEX($AH$2:$AH$1001,MATCH(ROWS($AF$2:AF778),$AF$2:$AF$1001,0),0), INDEX($AM$1004:$BM$1004,1,MATCH(COLUMNS($AM$1006:BL1006),$AM$1006:$BM$1006,0)))),"Fix")))</f>
        <v xml:space="preserve"> </v>
      </c>
      <c r="AB778" s="4" t="str">
        <f ca="1">IF(OR(INDEX($AG$2:$AG$1001,MATCH(ROWS($AF$2:AF778),$AF$2:$AF$1001,0),1)&gt;=100000,INDEX($AM$1005:$BM$1005,1,MATCH(COLUMNS($AM$1006:BM1006),$AM$1006:$BM$1006,0))&gt;=100000), " ",IF(INDEX($AM$2:$BM$1001,MATCH(ROWS($AF$2:AF778),$AF$2:$AF$1001,0),MATCH(COLUMNS($AM$1006:BM1006),$AM$1006:$BM$1006,0)), HYPERLINK("#",""), HYPERLINK(CONCATENATE("#metadata!", ADDRESS(INDEX($AH$2:$AH$1001,MATCH(ROWS($AF$2:AF778),$AF$2:$AF$1001,0),0), INDEX($AM$1004:$BM$1004,1,MATCH(COLUMNS($AM$1006:BM1006),$AM$1006:$BM$1006,0)))),"Fix")))</f>
        <v xml:space="preserve"> </v>
      </c>
      <c r="AF778">
        <v>777</v>
      </c>
      <c r="AG778">
        <v>100778</v>
      </c>
      <c r="AH778">
        <v>778</v>
      </c>
      <c r="AI778" t="b">
        <f t="shared" si="12"/>
        <v>1</v>
      </c>
      <c r="AJ778" t="b">
        <f>COUNTBLANK(metadata!B778:AB778)=COLUMNS(metadata!B778:AB778)</f>
        <v>1</v>
      </c>
      <c r="AK778" t="str">
        <v/>
      </c>
      <c r="AM778" t="b">
        <f ca="1">AND(IF(metadata!B778="",FALSE,TRUE),COUNTIF(metadata!B:B, metadata!B778) = 1,NOT(ISERROR(SUMPRODUCT(SEARCH(MID(metadata!B778,ROW(INDIRECT("1:"&amp;LEN(metadata!B778))), 1),"0123456789abcdefghijklmnopqrstuvwxyzABCDEFGHIJKLMNOPQRSTUVWXYZ.")))))</f>
        <v>0</v>
      </c>
      <c r="AN778" t="b">
        <f ca="1">OR(AND(IF(metadata!C778="",FALSE,TRUE),OR(EXACT(metadata!C778,"missing: not collected"),EXACT(metadata!C778,"missing: not provided"),EXACT(metadata!C778,"missing: restricted access"))),AND(IF(metadata!C778="",FALSE,TRUE),AND(AND(IFERROR(INT(LEFT(metadata!C778,4))&gt;1900,FALSE),IFERROR(INT(LEFT(metadata!C778,4))&lt;=YEAR(NOW()),FALSE)), OR(MID(metadata!C778,5,1)="", AND(AND(MID(metadata!C778,5,1)="-",IFERROR(INT(MID(metadata!C778,6,1))&gt;=0,FALSE),IFERROR(INT(MID(metadata!C778,6,1))&lt;=1,FALSE),NOT(MID(metadata!C778,7,1)=""),IFERROR(INT(MID(metadata!C778,6,2))&gt;=1,FALSE),IFERROR(INT(MID(metadata!C778,6,2))&lt;=12,FALSE)), OR(MID(metadata!C778,8,1)="", AND(AND(MID(metadata!C778,8,1)="-",IFERROR(INT(MID(metadata!C778,9,1))&gt;=0,FALSE),IFERROR(INT(MID(metadata!C778,9,1))&lt;=3,FALSE),NOT(MID(metadata!C778,10,1)=""),IFERROR(INT(MID(metadata!C778,9,2))&gt;=1,FALSE),IFERROR(INT(MID(metadata!C778,9,2))&lt;=31,FALSE)), OR(MID(metadata!C778,11,1)="", AND(AND(MID(metadata!C778,11,1)=" ",IFERROR(INT(MID(metadata!C778,12,1))&gt;=0,FALSE),IFERROR(INT(MID(metadata!C778,12,1))&lt;=2,FALSE),NOT(MID(metadata!C778,13,1)=""),IFERROR(INT(MID(metadata!C778,12,2))&gt;=0,FALSE),IFERROR(INT(MID(metadata!C778,12,2))&lt;=23,FALSE)), OR(MID(metadata!C778,14,1)="", AND(AND(MID(metadata!C778,14,1)=":",IFERROR(INT(MID(metadata!C778,15,1))&gt;=0,FALSE),IFERROR(INT(MID(metadata!C778,15,1))&lt;=5,FALSE),NOT(MID(metadata!C778,16,1)=""),IFERROR(INT(MID(metadata!C778,15,2))&gt;=0,FALSE),IFERROR(INT(MID(metadata!C778,15,2))&lt;=59,FALSE)), OR(MID(metadata!C778,17,1)="", AND(AND(MID(metadata!C778,17,1)=":",IFERROR(INT(MID(metadata!C778,18,1))&gt;=0,FALSE),IFERROR(INT(MID(metadata!C778,18,1))&lt;=5,FALSE),NOT(MID(metadata!C778,19,1)=""),IFERROR(INT(MID(metadata!C778,18,2))&gt;=0,FALSE),IFERROR(INT(MID(metadata!C778,18,2))&lt;=59,FALSE)), LEN(metadata!C778)&lt;=19)))))))))))))</f>
        <v>0</v>
      </c>
      <c r="AO778" t="b">
        <f>AND(IF(metadata!D778="",FALSE,TRUE),EXACT(metadata!D778,"Not applicable"))</f>
        <v>0</v>
      </c>
      <c r="AP778" t="b">
        <f>IF(metadata!E778="",FALSE,TRUE)</f>
        <v>0</v>
      </c>
      <c r="AQ778" t="b">
        <f>OR(AND(IF(metadata!F778="",FALSE,TRUE),OR(EXACT(metadata!F778,"missing: not collected"),EXACT(metadata!F778,"missing: not provided"))),AND(IF(metadata!F778="",FALSE,TRUE),OR(EXACT(metadata!F778,"TRUE"),EXACT(metadata!F778,"FALSE"))))</f>
        <v>0</v>
      </c>
      <c r="AR778" t="b">
        <f>OR(AND(IF(metadata!G778="",FALSE,TRUE),OR(EXACT(metadata!G778,"missing: not collected"),EXACT(metadata!G778,"missing: not provided"),EXACT(metadata!G778,"missing: restricted access"))),AND(IF(metadata!G778="",FALSE,ISNUMBER(VALUE(metadata!G778))),metadata!G778&gt;=-413))</f>
        <v>0</v>
      </c>
      <c r="AS778" t="b">
        <f>AND(IF(metadata!H778="",FALSE,TRUE),EXACT(metadata!H778,"meters"))</f>
        <v>0</v>
      </c>
      <c r="AT778" t="b">
        <f>AND(IF(metadata!I778="",FALSE,TRUE),OR(EXACT(metadata!I778,"Host-associated"),EXACT(metadata!I778,"Free-living")))</f>
        <v>0</v>
      </c>
      <c r="AU778" t="b">
        <f>AND(IF(metadata!J778="",FALSE,TRUE),OR(EXACT(metadata!J778,"Animal"),EXACT(metadata!J778,"Fungus"),EXACT(metadata!J778,"Plant"),EXACT(metadata!J778,"Saline"),EXACT(metadata!J778,"Non-saline")))</f>
        <v>0</v>
      </c>
      <c r="AV778" t="b">
        <f>AND(IF(metadata!K778="",FALSE,TRUE),OR(EXACT(metadata!K778,"Plant secretion"),EXACT(metadata!K778,"Plant rhizosphere"),EXACT(metadata!K778,"Plant surface"),EXACT(metadata!K778,"Plant corpus"),EXACT(metadata!K778,"Fungus surface"),EXACT(metadata!K778,"Fungus corpus"),EXACT(metadata!K778,"Animal surface"),EXACT(metadata!K778,"Animal proximal gut"),EXACT(metadata!K778,"Animal corpus"),EXACT(metadata!K778,"Animal distal gut"),EXACT(metadata!K778,"Animal secretion"),EXACT(metadata!K778,"Sub-surface (non-saline)"),EXACT(metadata!K778,"Surface (non-saline)"),EXACT(metadata!K778,"Water (non-saline)"),EXACT(metadata!K778,"Soil (non-saline)"),EXACT(metadata!K778,"Aerosol (non-saline)"),EXACT(metadata!K778,"Sediment (non-saline)"),EXACT(metadata!K778,"Surface (saline)"),EXACT(metadata!K778,"Water (saline)"),EXACT(metadata!K778,"Hypersaline (saline)"),EXACT(metadata!K778,"Aerosol (saline)"),EXACT(metadata!K778,"Sediment (saline)")))</f>
        <v>0</v>
      </c>
      <c r="AW778" t="b">
        <f>IF(metadata!L778="",FALSE,TRUE)</f>
        <v>0</v>
      </c>
      <c r="AX778" t="b">
        <f>IF(metadata!M778="",FALSE,TRUE)</f>
        <v>0</v>
      </c>
      <c r="AY778" t="b">
        <f>IF(metadata!N778="",FALSE,TRUE)</f>
        <v>0</v>
      </c>
      <c r="AZ778" t="b">
        <f>OR(AND(IF(metadata!O778="",FALSE,TRUE),OR(EXACT(metadata!O778,"missing: not collected"),EXACT(metadata!O778,"missing: not provided"),EXACT(metadata!O778,"missing: restricted access"))),AND(IF(metadata!O778="",FALSE,TRUE),OR(EXACT(metadata!O778,"air"),EXACT(metadata!O778,"built environment"),EXACT(metadata!O778,"host-associated"),EXACT(metadata!O778,"human-associated"),EXACT(metadata!O778,"human-skin"),EXACT(metadata!O778,"human-oral"),EXACT(metadata!O778,"human-gut"),EXACT(metadata!O778,"human-vaginal"),EXACT(metadata!O778,"microbial mat/biofilm"),EXACT(metadata!O778,"misc environment"),EXACT(metadata!O778,"plant-associated"),EXACT(metadata!O778,"sediment"),EXACT(metadata!O778,"soil"),EXACT(metadata!O778,"wastewater/sludge"),EXACT(metadata!O778,"water"))))</f>
        <v>0</v>
      </c>
      <c r="BA778" t="b">
        <f>IF(metadata!P778="",FALSE,TRUE)</f>
        <v>0</v>
      </c>
      <c r="BB778" t="b">
        <f>IF(metadata!Q778="",FALSE,TRUE)</f>
        <v>0</v>
      </c>
      <c r="BC778" t="b">
        <f>OR(AND(IF(metadata!R778="",FALSE,TRUE),OR(EXACT(metadata!R778,"missing: not collected"),EXACT(metadata!R778,"missing: not provided"),EXACT(metadata!R778,"missing: restricted access"))),AND(IF(metadata!R778="",FALSE,ISNUMBER(VALUE(metadata!R778))),metadata!R778&gt;=-90,metadata!R778&lt;=90))</f>
        <v>0</v>
      </c>
      <c r="BD778" t="b">
        <f>AND(IF(metadata!S778="",FALSE,TRUE),EXACT(metadata!S778,"Decimal degrees"))</f>
        <v>0</v>
      </c>
      <c r="BE778" t="b">
        <f>OR(AND(IF(metadata!T778="",FALSE,TRUE),OR(EXACT(metadata!T778,"missing: not collected"),EXACT(metadata!T778,"missing: not provided"),EXACT(metadata!T778,"missing: restricted access"))),AND(IF(metadata!T778="",FALSE,ISNUMBER(VALUE(metadata!T778))),metadata!T778&gt;=-180,metadata!T778&lt;=180))</f>
        <v>0</v>
      </c>
      <c r="BF778" t="b">
        <f>AND(IF(metadata!U778="",FALSE,TRUE),EXACT(metadata!U778,"Decimal degrees"))</f>
        <v>0</v>
      </c>
      <c r="BG778" t="b">
        <f>IF(metadata!V778="",FALSE,TRUE)</f>
        <v>0</v>
      </c>
      <c r="BH778" t="b">
        <f>OR(AND(IF(metadata!W778="",FALSE,TRUE),OR(EXACT(metadata!W778,"missing: not collected"),EXACT(metadata!W778,"missing: not provided"),EXACT(metadata!W778,"missing: restricted access"))),AND(IF(metadata!W778="",FALSE,TRUE),OR(EXACT(metadata!W778,"TRUE"),EXACT(metadata!W778,"FALSE"))))</f>
        <v>0</v>
      </c>
      <c r="BI778" t="b">
        <f>AND(IF(metadata!X778="",FALSE,TRUE),EXACT(metadata!X778,"other"))</f>
        <v>0</v>
      </c>
      <c r="BJ778" t="b">
        <f>IF(metadata!Y778="",FALSE,TRUE)</f>
        <v>0</v>
      </c>
      <c r="BK778" t="b">
        <f>OR(AND(IF(metadata!Z778="",FALSE,TRUE),OR(EXACT(metadata!Z778,"missing: not collected"),EXACT(metadata!Z778,"missing: not provided"))),AND(IF(metadata!Z778="",FALSE,IF(ISERROR(INT(metadata!Z778)),FALSE,INT(metadata!Z778)=metadata!Z778)),metadata!Z778&gt;0))</f>
        <v>0</v>
      </c>
      <c r="BL778" t="b">
        <f>AND(IF(metadata!AA778="",FALSE,TRUE),EXACT(metadata!AA778,"Not applicable"))</f>
        <v>0</v>
      </c>
      <c r="BM778" t="b">
        <f>IF(metadata!AB778="",FALSE,TRUE)</f>
        <v>0</v>
      </c>
    </row>
    <row r="779" spans="1:65" x14ac:dyDescent="0.2">
      <c r="A779" s="5" t="str">
        <f ca="1">IF(B779=" "," ",HYPERLINK(CONCATENATE("#metadata!",ADDRESS(INDEX($AH$2:$AH$1001,MATCH(ROWS($AF$2:AF779),$AF$2:$AF$1001,0),0),1)),INDEX($AK$2:$AK$1001,MATCH(ROWS($AF$2:AF779),$AF$2:$AF$1001,0),0)))</f>
        <v xml:space="preserve"> </v>
      </c>
      <c r="B779" s="4" t="str">
        <f ca="1">IF(OR(INDEX($AG$2:$AG$1001,MATCH(ROWS($AF$2:AF779),$AF$2:$AF$1001,0),1)&gt;=100000,INDEX($AM$1005:$BM$1005,1,MATCH(COLUMNS($AM$1006:AM1006),$AM$1006:$BM$1006,0))&gt;=100000), " ",IF(INDEX($AM$2:$BM$1001,MATCH(ROWS($AF$2:AF779),$AF$2:$AF$1001,0),MATCH(COLUMNS($AM$1006:AM1006),$AM$1006:$BM$1006,0)), HYPERLINK("#",""), HYPERLINK(CONCATENATE("#metadata!", ADDRESS(INDEX($AH$2:$AH$1001,MATCH(ROWS($AF$2:AF779),$AF$2:$AF$1001,0),0), INDEX($AM$1004:$BM$1004,1,MATCH(COLUMNS($AM$1006:AM1006),$AM$1006:$BM$1006,0)))),"Fix")))</f>
        <v xml:space="preserve"> </v>
      </c>
      <c r="C779" s="4" t="str">
        <f ca="1">IF(OR(INDEX($AG$2:$AG$1001,MATCH(ROWS($AF$2:AF779),$AF$2:$AF$1001,0),1)&gt;=100000,INDEX($AM$1005:$BM$1005,1,MATCH(COLUMNS($AM$1006:AN1006),$AM$1006:$BM$1006,0))&gt;=100000), " ",IF(INDEX($AM$2:$BM$1001,MATCH(ROWS($AF$2:AF779),$AF$2:$AF$1001,0),MATCH(COLUMNS($AM$1006:AN1006),$AM$1006:$BM$1006,0)), HYPERLINK("#",""), HYPERLINK(CONCATENATE("#metadata!", ADDRESS(INDEX($AH$2:$AH$1001,MATCH(ROWS($AF$2:AF779),$AF$2:$AF$1001,0),0), INDEX($AM$1004:$BM$1004,1,MATCH(COLUMNS($AM$1006:AN1006),$AM$1006:$BM$1006,0)))),"Fix")))</f>
        <v xml:space="preserve"> </v>
      </c>
      <c r="D779" s="4" t="str">
        <f ca="1">IF(OR(INDEX($AG$2:$AG$1001,MATCH(ROWS($AF$2:AF779),$AF$2:$AF$1001,0),1)&gt;=100000,INDEX($AM$1005:$BM$1005,1,MATCH(COLUMNS($AM$1006:AO1006),$AM$1006:$BM$1006,0))&gt;=100000), " ",IF(INDEX($AM$2:$BM$1001,MATCH(ROWS($AF$2:AF779),$AF$2:$AF$1001,0),MATCH(COLUMNS($AM$1006:AO1006),$AM$1006:$BM$1006,0)), HYPERLINK("#",""), HYPERLINK(CONCATENATE("#metadata!", ADDRESS(INDEX($AH$2:$AH$1001,MATCH(ROWS($AF$2:AF779),$AF$2:$AF$1001,0),0), INDEX($AM$1004:$BM$1004,1,MATCH(COLUMNS($AM$1006:AO1006),$AM$1006:$BM$1006,0)))),"Fix")))</f>
        <v xml:space="preserve"> </v>
      </c>
      <c r="E779" s="4" t="str">
        <f ca="1">IF(OR(INDEX($AG$2:$AG$1001,MATCH(ROWS($AF$2:AF779),$AF$2:$AF$1001,0),1)&gt;=100000,INDEX($AM$1005:$BM$1005,1,MATCH(COLUMNS($AM$1006:AP1006),$AM$1006:$BM$1006,0))&gt;=100000), " ",IF(INDEX($AM$2:$BM$1001,MATCH(ROWS($AF$2:AF779),$AF$2:$AF$1001,0),MATCH(COLUMNS($AM$1006:AP1006),$AM$1006:$BM$1006,0)), HYPERLINK("#",""), HYPERLINK(CONCATENATE("#metadata!", ADDRESS(INDEX($AH$2:$AH$1001,MATCH(ROWS($AF$2:AF779),$AF$2:$AF$1001,0),0), INDEX($AM$1004:$BM$1004,1,MATCH(COLUMNS($AM$1006:AP1006),$AM$1006:$BM$1006,0)))),"Fix")))</f>
        <v xml:space="preserve"> </v>
      </c>
      <c r="F779" s="4" t="str">
        <f ca="1">IF(OR(INDEX($AG$2:$AG$1001,MATCH(ROWS($AF$2:AF779),$AF$2:$AF$1001,0),1)&gt;=100000,INDEX($AM$1005:$BM$1005,1,MATCH(COLUMNS($AM$1006:AQ1006),$AM$1006:$BM$1006,0))&gt;=100000), " ",IF(INDEX($AM$2:$BM$1001,MATCH(ROWS($AF$2:AF779),$AF$2:$AF$1001,0),MATCH(COLUMNS($AM$1006:AQ1006),$AM$1006:$BM$1006,0)), HYPERLINK("#",""), HYPERLINK(CONCATENATE("#metadata!", ADDRESS(INDEX($AH$2:$AH$1001,MATCH(ROWS($AF$2:AF779),$AF$2:$AF$1001,0),0), INDEX($AM$1004:$BM$1004,1,MATCH(COLUMNS($AM$1006:AQ1006),$AM$1006:$BM$1006,0)))),"Fix")))</f>
        <v xml:space="preserve"> </v>
      </c>
      <c r="G779" s="4" t="str">
        <f ca="1">IF(OR(INDEX($AG$2:$AG$1001,MATCH(ROWS($AF$2:AF779),$AF$2:$AF$1001,0),1)&gt;=100000,INDEX($AM$1005:$BM$1005,1,MATCH(COLUMNS($AM$1006:AR1006),$AM$1006:$BM$1006,0))&gt;=100000), " ",IF(INDEX($AM$2:$BM$1001,MATCH(ROWS($AF$2:AF779),$AF$2:$AF$1001,0),MATCH(COLUMNS($AM$1006:AR1006),$AM$1006:$BM$1006,0)), HYPERLINK("#",""), HYPERLINK(CONCATENATE("#metadata!", ADDRESS(INDEX($AH$2:$AH$1001,MATCH(ROWS($AF$2:AF779),$AF$2:$AF$1001,0),0), INDEX($AM$1004:$BM$1004,1,MATCH(COLUMNS($AM$1006:AR1006),$AM$1006:$BM$1006,0)))),"Fix")))</f>
        <v xml:space="preserve"> </v>
      </c>
      <c r="H779" s="4" t="str">
        <f ca="1">IF(OR(INDEX($AG$2:$AG$1001,MATCH(ROWS($AF$2:AF779),$AF$2:$AF$1001,0),1)&gt;=100000,INDEX($AM$1005:$BM$1005,1,MATCH(COLUMNS($AM$1006:AS1006),$AM$1006:$BM$1006,0))&gt;=100000), " ",IF(INDEX($AM$2:$BM$1001,MATCH(ROWS($AF$2:AF779),$AF$2:$AF$1001,0),MATCH(COLUMNS($AM$1006:AS1006),$AM$1006:$BM$1006,0)), HYPERLINK("#",""), HYPERLINK(CONCATENATE("#metadata!", ADDRESS(INDEX($AH$2:$AH$1001,MATCH(ROWS($AF$2:AF779),$AF$2:$AF$1001,0),0), INDEX($AM$1004:$BM$1004,1,MATCH(COLUMNS($AM$1006:AS1006),$AM$1006:$BM$1006,0)))),"Fix")))</f>
        <v xml:space="preserve"> </v>
      </c>
      <c r="I779" s="4" t="str">
        <f ca="1">IF(OR(INDEX($AG$2:$AG$1001,MATCH(ROWS($AF$2:AF779),$AF$2:$AF$1001,0),1)&gt;=100000,INDEX($AM$1005:$BM$1005,1,MATCH(COLUMNS($AM$1006:AT1006),$AM$1006:$BM$1006,0))&gt;=100000), " ",IF(INDEX($AM$2:$BM$1001,MATCH(ROWS($AF$2:AF779),$AF$2:$AF$1001,0),MATCH(COLUMNS($AM$1006:AT1006),$AM$1006:$BM$1006,0)), HYPERLINK("#",""), HYPERLINK(CONCATENATE("#metadata!", ADDRESS(INDEX($AH$2:$AH$1001,MATCH(ROWS($AF$2:AF779),$AF$2:$AF$1001,0),0), INDEX($AM$1004:$BM$1004,1,MATCH(COLUMNS($AM$1006:AT1006),$AM$1006:$BM$1006,0)))),"Fix")))</f>
        <v xml:space="preserve"> </v>
      </c>
      <c r="J779" s="4" t="str">
        <f ca="1">IF(OR(INDEX($AG$2:$AG$1001,MATCH(ROWS($AF$2:AF779),$AF$2:$AF$1001,0),1)&gt;=100000,INDEX($AM$1005:$BM$1005,1,MATCH(COLUMNS($AM$1006:AU1006),$AM$1006:$BM$1006,0))&gt;=100000), " ",IF(INDEX($AM$2:$BM$1001,MATCH(ROWS($AF$2:AF779),$AF$2:$AF$1001,0),MATCH(COLUMNS($AM$1006:AU1006),$AM$1006:$BM$1006,0)), HYPERLINK("#",""), HYPERLINK(CONCATENATE("#metadata!", ADDRESS(INDEX($AH$2:$AH$1001,MATCH(ROWS($AF$2:AF779),$AF$2:$AF$1001,0),0), INDEX($AM$1004:$BM$1004,1,MATCH(COLUMNS($AM$1006:AU1006),$AM$1006:$BM$1006,0)))),"Fix")))</f>
        <v xml:space="preserve"> </v>
      </c>
      <c r="K779" s="4" t="str">
        <f ca="1">IF(OR(INDEX($AG$2:$AG$1001,MATCH(ROWS($AF$2:AF779),$AF$2:$AF$1001,0),1)&gt;=100000,INDEX($AM$1005:$BM$1005,1,MATCH(COLUMNS($AM$1006:AV1006),$AM$1006:$BM$1006,0))&gt;=100000), " ",IF(INDEX($AM$2:$BM$1001,MATCH(ROWS($AF$2:AF779),$AF$2:$AF$1001,0),MATCH(COLUMNS($AM$1006:AV1006),$AM$1006:$BM$1006,0)), HYPERLINK("#",""), HYPERLINK(CONCATENATE("#metadata!", ADDRESS(INDEX($AH$2:$AH$1001,MATCH(ROWS($AF$2:AF779),$AF$2:$AF$1001,0),0), INDEX($AM$1004:$BM$1004,1,MATCH(COLUMNS($AM$1006:AV1006),$AM$1006:$BM$1006,0)))),"Fix")))</f>
        <v xml:space="preserve"> </v>
      </c>
      <c r="L779" s="4" t="str">
        <f ca="1">IF(OR(INDEX($AG$2:$AG$1001,MATCH(ROWS($AF$2:AF779),$AF$2:$AF$1001,0),1)&gt;=100000,INDEX($AM$1005:$BM$1005,1,MATCH(COLUMNS($AM$1006:AW1006),$AM$1006:$BM$1006,0))&gt;=100000), " ",IF(INDEX($AM$2:$BM$1001,MATCH(ROWS($AF$2:AF779),$AF$2:$AF$1001,0),MATCH(COLUMNS($AM$1006:AW1006),$AM$1006:$BM$1006,0)), HYPERLINK("#",""), HYPERLINK(CONCATENATE("#metadata!", ADDRESS(INDEX($AH$2:$AH$1001,MATCH(ROWS($AF$2:AF779),$AF$2:$AF$1001,0),0), INDEX($AM$1004:$BM$1004,1,MATCH(COLUMNS($AM$1006:AW1006),$AM$1006:$BM$1006,0)))),"Fix")))</f>
        <v xml:space="preserve"> </v>
      </c>
      <c r="M779" s="4" t="str">
        <f ca="1">IF(OR(INDEX($AG$2:$AG$1001,MATCH(ROWS($AF$2:AF779),$AF$2:$AF$1001,0),1)&gt;=100000,INDEX($AM$1005:$BM$1005,1,MATCH(COLUMNS($AM$1006:AX1006),$AM$1006:$BM$1006,0))&gt;=100000), " ",IF(INDEX($AM$2:$BM$1001,MATCH(ROWS($AF$2:AF779),$AF$2:$AF$1001,0),MATCH(COLUMNS($AM$1006:AX1006),$AM$1006:$BM$1006,0)), HYPERLINK("#",""), HYPERLINK(CONCATENATE("#metadata!", ADDRESS(INDEX($AH$2:$AH$1001,MATCH(ROWS($AF$2:AF779),$AF$2:$AF$1001,0),0), INDEX($AM$1004:$BM$1004,1,MATCH(COLUMNS($AM$1006:AX1006),$AM$1006:$BM$1006,0)))),"Fix")))</f>
        <v xml:space="preserve"> </v>
      </c>
      <c r="N779" s="4" t="str">
        <f ca="1">IF(OR(INDEX($AG$2:$AG$1001,MATCH(ROWS($AF$2:AF779),$AF$2:$AF$1001,0),1)&gt;=100000,INDEX($AM$1005:$BM$1005,1,MATCH(COLUMNS($AM$1006:AY1006),$AM$1006:$BM$1006,0))&gt;=100000), " ",IF(INDEX($AM$2:$BM$1001,MATCH(ROWS($AF$2:AF779),$AF$2:$AF$1001,0),MATCH(COLUMNS($AM$1006:AY1006),$AM$1006:$BM$1006,0)), HYPERLINK("#",""), HYPERLINK(CONCATENATE("#metadata!", ADDRESS(INDEX($AH$2:$AH$1001,MATCH(ROWS($AF$2:AF779),$AF$2:$AF$1001,0),0), INDEX($AM$1004:$BM$1004,1,MATCH(COLUMNS($AM$1006:AY1006),$AM$1006:$BM$1006,0)))),"Fix")))</f>
        <v xml:space="preserve"> </v>
      </c>
      <c r="O779" s="4" t="str">
        <f ca="1">IF(OR(INDEX($AG$2:$AG$1001,MATCH(ROWS($AF$2:AF779),$AF$2:$AF$1001,0),1)&gt;=100000,INDEX($AM$1005:$BM$1005,1,MATCH(COLUMNS($AM$1006:AZ1006),$AM$1006:$BM$1006,0))&gt;=100000), " ",IF(INDEX($AM$2:$BM$1001,MATCH(ROWS($AF$2:AF779),$AF$2:$AF$1001,0),MATCH(COLUMNS($AM$1006:AZ1006),$AM$1006:$BM$1006,0)), HYPERLINK("#",""), HYPERLINK(CONCATENATE("#metadata!", ADDRESS(INDEX($AH$2:$AH$1001,MATCH(ROWS($AF$2:AF779),$AF$2:$AF$1001,0),0), INDEX($AM$1004:$BM$1004,1,MATCH(COLUMNS($AM$1006:AZ1006),$AM$1006:$BM$1006,0)))),"Fix")))</f>
        <v xml:space="preserve"> </v>
      </c>
      <c r="P779" s="4" t="str">
        <f ca="1">IF(OR(INDEX($AG$2:$AG$1001,MATCH(ROWS($AF$2:AF779),$AF$2:$AF$1001,0),1)&gt;=100000,INDEX($AM$1005:$BM$1005,1,MATCH(COLUMNS($AM$1006:BA1006),$AM$1006:$BM$1006,0))&gt;=100000), " ",IF(INDEX($AM$2:$BM$1001,MATCH(ROWS($AF$2:AF779),$AF$2:$AF$1001,0),MATCH(COLUMNS($AM$1006:BA1006),$AM$1006:$BM$1006,0)), HYPERLINK("#",""), HYPERLINK(CONCATENATE("#metadata!", ADDRESS(INDEX($AH$2:$AH$1001,MATCH(ROWS($AF$2:AF779),$AF$2:$AF$1001,0),0), INDEX($AM$1004:$BM$1004,1,MATCH(COLUMNS($AM$1006:BA1006),$AM$1006:$BM$1006,0)))),"Fix")))</f>
        <v xml:space="preserve"> </v>
      </c>
      <c r="Q779" s="4" t="str">
        <f ca="1">IF(OR(INDEX($AG$2:$AG$1001,MATCH(ROWS($AF$2:AF779),$AF$2:$AF$1001,0),1)&gt;=100000,INDEX($AM$1005:$BM$1005,1,MATCH(COLUMNS($AM$1006:BB1006),$AM$1006:$BM$1006,0))&gt;=100000), " ",IF(INDEX($AM$2:$BM$1001,MATCH(ROWS($AF$2:AF779),$AF$2:$AF$1001,0),MATCH(COLUMNS($AM$1006:BB1006),$AM$1006:$BM$1006,0)), HYPERLINK("#",""), HYPERLINK(CONCATENATE("#metadata!", ADDRESS(INDEX($AH$2:$AH$1001,MATCH(ROWS($AF$2:AF779),$AF$2:$AF$1001,0),0), INDEX($AM$1004:$BM$1004,1,MATCH(COLUMNS($AM$1006:BB1006),$AM$1006:$BM$1006,0)))),"Fix")))</f>
        <v xml:space="preserve"> </v>
      </c>
      <c r="R779" s="4" t="str">
        <f ca="1">IF(OR(INDEX($AG$2:$AG$1001,MATCH(ROWS($AF$2:AF779),$AF$2:$AF$1001,0),1)&gt;=100000,INDEX($AM$1005:$BM$1005,1,MATCH(COLUMNS($AM$1006:BC1006),$AM$1006:$BM$1006,0))&gt;=100000), " ",IF(INDEX($AM$2:$BM$1001,MATCH(ROWS($AF$2:AF779),$AF$2:$AF$1001,0),MATCH(COLUMNS($AM$1006:BC1006),$AM$1006:$BM$1006,0)), HYPERLINK("#",""), HYPERLINK(CONCATENATE("#metadata!", ADDRESS(INDEX($AH$2:$AH$1001,MATCH(ROWS($AF$2:AF779),$AF$2:$AF$1001,0),0), INDEX($AM$1004:$BM$1004,1,MATCH(COLUMNS($AM$1006:BC1006),$AM$1006:$BM$1006,0)))),"Fix")))</f>
        <v xml:space="preserve"> </v>
      </c>
      <c r="S779" s="4" t="str">
        <f ca="1">IF(OR(INDEX($AG$2:$AG$1001,MATCH(ROWS($AF$2:AF779),$AF$2:$AF$1001,0),1)&gt;=100000,INDEX($AM$1005:$BM$1005,1,MATCH(COLUMNS($AM$1006:BD1006),$AM$1006:$BM$1006,0))&gt;=100000), " ",IF(INDEX($AM$2:$BM$1001,MATCH(ROWS($AF$2:AF779),$AF$2:$AF$1001,0),MATCH(COLUMNS($AM$1006:BD1006),$AM$1006:$BM$1006,0)), HYPERLINK("#",""), HYPERLINK(CONCATENATE("#metadata!", ADDRESS(INDEX($AH$2:$AH$1001,MATCH(ROWS($AF$2:AF779),$AF$2:$AF$1001,0),0), INDEX($AM$1004:$BM$1004,1,MATCH(COLUMNS($AM$1006:BD1006),$AM$1006:$BM$1006,0)))),"Fix")))</f>
        <v xml:space="preserve"> </v>
      </c>
      <c r="T779" s="4" t="str">
        <f ca="1">IF(OR(INDEX($AG$2:$AG$1001,MATCH(ROWS($AF$2:AF779),$AF$2:$AF$1001,0),1)&gt;=100000,INDEX($AM$1005:$BM$1005,1,MATCH(COLUMNS($AM$1006:BE1006),$AM$1006:$BM$1006,0))&gt;=100000), " ",IF(INDEX($AM$2:$BM$1001,MATCH(ROWS($AF$2:AF779),$AF$2:$AF$1001,0),MATCH(COLUMNS($AM$1006:BE1006),$AM$1006:$BM$1006,0)), HYPERLINK("#",""), HYPERLINK(CONCATENATE("#metadata!", ADDRESS(INDEX($AH$2:$AH$1001,MATCH(ROWS($AF$2:AF779),$AF$2:$AF$1001,0),0), INDEX($AM$1004:$BM$1004,1,MATCH(COLUMNS($AM$1006:BE1006),$AM$1006:$BM$1006,0)))),"Fix")))</f>
        <v xml:space="preserve"> </v>
      </c>
      <c r="U779" s="4" t="str">
        <f ca="1">IF(OR(INDEX($AG$2:$AG$1001,MATCH(ROWS($AF$2:AF779),$AF$2:$AF$1001,0),1)&gt;=100000,INDEX($AM$1005:$BM$1005,1,MATCH(COLUMNS($AM$1006:BF1006),$AM$1006:$BM$1006,0))&gt;=100000), " ",IF(INDEX($AM$2:$BM$1001,MATCH(ROWS($AF$2:AF779),$AF$2:$AF$1001,0),MATCH(COLUMNS($AM$1006:BF1006),$AM$1006:$BM$1006,0)), HYPERLINK("#",""), HYPERLINK(CONCATENATE("#metadata!", ADDRESS(INDEX($AH$2:$AH$1001,MATCH(ROWS($AF$2:AF779),$AF$2:$AF$1001,0),0), INDEX($AM$1004:$BM$1004,1,MATCH(COLUMNS($AM$1006:BF1006),$AM$1006:$BM$1006,0)))),"Fix")))</f>
        <v xml:space="preserve"> </v>
      </c>
      <c r="V779" s="4" t="str">
        <f ca="1">IF(OR(INDEX($AG$2:$AG$1001,MATCH(ROWS($AF$2:AF779),$AF$2:$AF$1001,0),1)&gt;=100000,INDEX($AM$1005:$BM$1005,1,MATCH(COLUMNS($AM$1006:BG1006),$AM$1006:$BM$1006,0))&gt;=100000), " ",IF(INDEX($AM$2:$BM$1001,MATCH(ROWS($AF$2:AF779),$AF$2:$AF$1001,0),MATCH(COLUMNS($AM$1006:BG1006),$AM$1006:$BM$1006,0)), HYPERLINK("#",""), HYPERLINK(CONCATENATE("#metadata!", ADDRESS(INDEX($AH$2:$AH$1001,MATCH(ROWS($AF$2:AF779),$AF$2:$AF$1001,0),0), INDEX($AM$1004:$BM$1004,1,MATCH(COLUMNS($AM$1006:BG1006),$AM$1006:$BM$1006,0)))),"Fix")))</f>
        <v xml:space="preserve"> </v>
      </c>
      <c r="W779" s="4" t="str">
        <f ca="1">IF(OR(INDEX($AG$2:$AG$1001,MATCH(ROWS($AF$2:AF779),$AF$2:$AF$1001,0),1)&gt;=100000,INDEX($AM$1005:$BM$1005,1,MATCH(COLUMNS($AM$1006:BH1006),$AM$1006:$BM$1006,0))&gt;=100000), " ",IF(INDEX($AM$2:$BM$1001,MATCH(ROWS($AF$2:AF779),$AF$2:$AF$1001,0),MATCH(COLUMNS($AM$1006:BH1006),$AM$1006:$BM$1006,0)), HYPERLINK("#",""), HYPERLINK(CONCATENATE("#metadata!", ADDRESS(INDEX($AH$2:$AH$1001,MATCH(ROWS($AF$2:AF779),$AF$2:$AF$1001,0),0), INDEX($AM$1004:$BM$1004,1,MATCH(COLUMNS($AM$1006:BH1006),$AM$1006:$BM$1006,0)))),"Fix")))</f>
        <v xml:space="preserve"> </v>
      </c>
      <c r="X779" s="4" t="str">
        <f ca="1">IF(OR(INDEX($AG$2:$AG$1001,MATCH(ROWS($AF$2:AF779),$AF$2:$AF$1001,0),1)&gt;=100000,INDEX($AM$1005:$BM$1005,1,MATCH(COLUMNS($AM$1006:BI1006),$AM$1006:$BM$1006,0))&gt;=100000), " ",IF(INDEX($AM$2:$BM$1001,MATCH(ROWS($AF$2:AF779),$AF$2:$AF$1001,0),MATCH(COLUMNS($AM$1006:BI1006),$AM$1006:$BM$1006,0)), HYPERLINK("#",""), HYPERLINK(CONCATENATE("#metadata!", ADDRESS(INDEX($AH$2:$AH$1001,MATCH(ROWS($AF$2:AF779),$AF$2:$AF$1001,0),0), INDEX($AM$1004:$BM$1004,1,MATCH(COLUMNS($AM$1006:BI1006),$AM$1006:$BM$1006,0)))),"Fix")))</f>
        <v xml:space="preserve"> </v>
      </c>
      <c r="Y779" s="4" t="str">
        <f ca="1">IF(OR(INDEX($AG$2:$AG$1001,MATCH(ROWS($AF$2:AF779),$AF$2:$AF$1001,0),1)&gt;=100000,INDEX($AM$1005:$BM$1005,1,MATCH(COLUMNS($AM$1006:BJ1006),$AM$1006:$BM$1006,0))&gt;=100000), " ",IF(INDEX($AM$2:$BM$1001,MATCH(ROWS($AF$2:AF779),$AF$2:$AF$1001,0),MATCH(COLUMNS($AM$1006:BJ1006),$AM$1006:$BM$1006,0)), HYPERLINK("#",""), HYPERLINK(CONCATENATE("#metadata!", ADDRESS(INDEX($AH$2:$AH$1001,MATCH(ROWS($AF$2:AF779),$AF$2:$AF$1001,0),0), INDEX($AM$1004:$BM$1004,1,MATCH(COLUMNS($AM$1006:BJ1006),$AM$1006:$BM$1006,0)))),"Fix")))</f>
        <v xml:space="preserve"> </v>
      </c>
      <c r="Z779" s="4" t="str">
        <f ca="1">IF(OR(INDEX($AG$2:$AG$1001,MATCH(ROWS($AF$2:AF779),$AF$2:$AF$1001,0),1)&gt;=100000,INDEX($AM$1005:$BM$1005,1,MATCH(COLUMNS($AM$1006:BK1006),$AM$1006:$BM$1006,0))&gt;=100000), " ",IF(INDEX($AM$2:$BM$1001,MATCH(ROWS($AF$2:AF779),$AF$2:$AF$1001,0),MATCH(COLUMNS($AM$1006:BK1006),$AM$1006:$BM$1006,0)), HYPERLINK("#",""), HYPERLINK(CONCATENATE("#metadata!", ADDRESS(INDEX($AH$2:$AH$1001,MATCH(ROWS($AF$2:AF779),$AF$2:$AF$1001,0),0), INDEX($AM$1004:$BM$1004,1,MATCH(COLUMNS($AM$1006:BK1006),$AM$1006:$BM$1006,0)))),"Fix")))</f>
        <v xml:space="preserve"> </v>
      </c>
      <c r="AA779" s="4" t="str">
        <f ca="1">IF(OR(INDEX($AG$2:$AG$1001,MATCH(ROWS($AF$2:AF779),$AF$2:$AF$1001,0),1)&gt;=100000,INDEX($AM$1005:$BM$1005,1,MATCH(COLUMNS($AM$1006:BL1006),$AM$1006:$BM$1006,0))&gt;=100000), " ",IF(INDEX($AM$2:$BM$1001,MATCH(ROWS($AF$2:AF779),$AF$2:$AF$1001,0),MATCH(COLUMNS($AM$1006:BL1006),$AM$1006:$BM$1006,0)), HYPERLINK("#",""), HYPERLINK(CONCATENATE("#metadata!", ADDRESS(INDEX($AH$2:$AH$1001,MATCH(ROWS($AF$2:AF779),$AF$2:$AF$1001,0),0), INDEX($AM$1004:$BM$1004,1,MATCH(COLUMNS($AM$1006:BL1006),$AM$1006:$BM$1006,0)))),"Fix")))</f>
        <v xml:space="preserve"> </v>
      </c>
      <c r="AB779" s="4" t="str">
        <f ca="1">IF(OR(INDEX($AG$2:$AG$1001,MATCH(ROWS($AF$2:AF779),$AF$2:$AF$1001,0),1)&gt;=100000,INDEX($AM$1005:$BM$1005,1,MATCH(COLUMNS($AM$1006:BM1006),$AM$1006:$BM$1006,0))&gt;=100000), " ",IF(INDEX($AM$2:$BM$1001,MATCH(ROWS($AF$2:AF779),$AF$2:$AF$1001,0),MATCH(COLUMNS($AM$1006:BM1006),$AM$1006:$BM$1006,0)), HYPERLINK("#",""), HYPERLINK(CONCATENATE("#metadata!", ADDRESS(INDEX($AH$2:$AH$1001,MATCH(ROWS($AF$2:AF779),$AF$2:$AF$1001,0),0), INDEX($AM$1004:$BM$1004,1,MATCH(COLUMNS($AM$1006:BM1006),$AM$1006:$BM$1006,0)))),"Fix")))</f>
        <v xml:space="preserve"> </v>
      </c>
      <c r="AF779">
        <v>778</v>
      </c>
      <c r="AG779">
        <v>100779</v>
      </c>
      <c r="AH779">
        <v>779</v>
      </c>
      <c r="AI779" t="b">
        <f t="shared" si="12"/>
        <v>1</v>
      </c>
      <c r="AJ779" t="b">
        <f>COUNTBLANK(metadata!B779:AB779)=COLUMNS(metadata!B779:AB779)</f>
        <v>1</v>
      </c>
      <c r="AK779" t="str">
        <v/>
      </c>
      <c r="AM779" t="b">
        <f ca="1">AND(IF(metadata!B779="",FALSE,TRUE),COUNTIF(metadata!B:B, metadata!B779) = 1,NOT(ISERROR(SUMPRODUCT(SEARCH(MID(metadata!B779,ROW(INDIRECT("1:"&amp;LEN(metadata!B779))), 1),"0123456789abcdefghijklmnopqrstuvwxyzABCDEFGHIJKLMNOPQRSTUVWXYZ.")))))</f>
        <v>0</v>
      </c>
      <c r="AN779" t="b">
        <f ca="1">OR(AND(IF(metadata!C779="",FALSE,TRUE),OR(EXACT(metadata!C779,"missing: not collected"),EXACT(metadata!C779,"missing: not provided"),EXACT(metadata!C779,"missing: restricted access"))),AND(IF(metadata!C779="",FALSE,TRUE),AND(AND(IFERROR(INT(LEFT(metadata!C779,4))&gt;1900,FALSE),IFERROR(INT(LEFT(metadata!C779,4))&lt;=YEAR(NOW()),FALSE)), OR(MID(metadata!C779,5,1)="", AND(AND(MID(metadata!C779,5,1)="-",IFERROR(INT(MID(metadata!C779,6,1))&gt;=0,FALSE),IFERROR(INT(MID(metadata!C779,6,1))&lt;=1,FALSE),NOT(MID(metadata!C779,7,1)=""),IFERROR(INT(MID(metadata!C779,6,2))&gt;=1,FALSE),IFERROR(INT(MID(metadata!C779,6,2))&lt;=12,FALSE)), OR(MID(metadata!C779,8,1)="", AND(AND(MID(metadata!C779,8,1)="-",IFERROR(INT(MID(metadata!C779,9,1))&gt;=0,FALSE),IFERROR(INT(MID(metadata!C779,9,1))&lt;=3,FALSE),NOT(MID(metadata!C779,10,1)=""),IFERROR(INT(MID(metadata!C779,9,2))&gt;=1,FALSE),IFERROR(INT(MID(metadata!C779,9,2))&lt;=31,FALSE)), OR(MID(metadata!C779,11,1)="", AND(AND(MID(metadata!C779,11,1)=" ",IFERROR(INT(MID(metadata!C779,12,1))&gt;=0,FALSE),IFERROR(INT(MID(metadata!C779,12,1))&lt;=2,FALSE),NOT(MID(metadata!C779,13,1)=""),IFERROR(INT(MID(metadata!C779,12,2))&gt;=0,FALSE),IFERROR(INT(MID(metadata!C779,12,2))&lt;=23,FALSE)), OR(MID(metadata!C779,14,1)="", AND(AND(MID(metadata!C779,14,1)=":",IFERROR(INT(MID(metadata!C779,15,1))&gt;=0,FALSE),IFERROR(INT(MID(metadata!C779,15,1))&lt;=5,FALSE),NOT(MID(metadata!C779,16,1)=""),IFERROR(INT(MID(metadata!C779,15,2))&gt;=0,FALSE),IFERROR(INT(MID(metadata!C779,15,2))&lt;=59,FALSE)), OR(MID(metadata!C779,17,1)="", AND(AND(MID(metadata!C779,17,1)=":",IFERROR(INT(MID(metadata!C779,18,1))&gt;=0,FALSE),IFERROR(INT(MID(metadata!C779,18,1))&lt;=5,FALSE),NOT(MID(metadata!C779,19,1)=""),IFERROR(INT(MID(metadata!C779,18,2))&gt;=0,FALSE),IFERROR(INT(MID(metadata!C779,18,2))&lt;=59,FALSE)), LEN(metadata!C779)&lt;=19)))))))))))))</f>
        <v>0</v>
      </c>
      <c r="AO779" t="b">
        <f>AND(IF(metadata!D779="",FALSE,TRUE),EXACT(metadata!D779,"Not applicable"))</f>
        <v>0</v>
      </c>
      <c r="AP779" t="b">
        <f>IF(metadata!E779="",FALSE,TRUE)</f>
        <v>0</v>
      </c>
      <c r="AQ779" t="b">
        <f>OR(AND(IF(metadata!F779="",FALSE,TRUE),OR(EXACT(metadata!F779,"missing: not collected"),EXACT(metadata!F779,"missing: not provided"))),AND(IF(metadata!F779="",FALSE,TRUE),OR(EXACT(metadata!F779,"TRUE"),EXACT(metadata!F779,"FALSE"))))</f>
        <v>0</v>
      </c>
      <c r="AR779" t="b">
        <f>OR(AND(IF(metadata!G779="",FALSE,TRUE),OR(EXACT(metadata!G779,"missing: not collected"),EXACT(metadata!G779,"missing: not provided"),EXACT(metadata!G779,"missing: restricted access"))),AND(IF(metadata!G779="",FALSE,ISNUMBER(VALUE(metadata!G779))),metadata!G779&gt;=-413))</f>
        <v>0</v>
      </c>
      <c r="AS779" t="b">
        <f>AND(IF(metadata!H779="",FALSE,TRUE),EXACT(metadata!H779,"meters"))</f>
        <v>0</v>
      </c>
      <c r="AT779" t="b">
        <f>AND(IF(metadata!I779="",FALSE,TRUE),OR(EXACT(metadata!I779,"Host-associated"),EXACT(metadata!I779,"Free-living")))</f>
        <v>0</v>
      </c>
      <c r="AU779" t="b">
        <f>AND(IF(metadata!J779="",FALSE,TRUE),OR(EXACT(metadata!J779,"Animal"),EXACT(metadata!J779,"Fungus"),EXACT(metadata!J779,"Plant"),EXACT(metadata!J779,"Saline"),EXACT(metadata!J779,"Non-saline")))</f>
        <v>0</v>
      </c>
      <c r="AV779" t="b">
        <f>AND(IF(metadata!K779="",FALSE,TRUE),OR(EXACT(metadata!K779,"Plant secretion"),EXACT(metadata!K779,"Plant rhizosphere"),EXACT(metadata!K779,"Plant surface"),EXACT(metadata!K779,"Plant corpus"),EXACT(metadata!K779,"Fungus surface"),EXACT(metadata!K779,"Fungus corpus"),EXACT(metadata!K779,"Animal surface"),EXACT(metadata!K779,"Animal proximal gut"),EXACT(metadata!K779,"Animal corpus"),EXACT(metadata!K779,"Animal distal gut"),EXACT(metadata!K779,"Animal secretion"),EXACT(metadata!K779,"Sub-surface (non-saline)"),EXACT(metadata!K779,"Surface (non-saline)"),EXACT(metadata!K779,"Water (non-saline)"),EXACT(metadata!K779,"Soil (non-saline)"),EXACT(metadata!K779,"Aerosol (non-saline)"),EXACT(metadata!K779,"Sediment (non-saline)"),EXACT(metadata!K779,"Surface (saline)"),EXACT(metadata!K779,"Water (saline)"),EXACT(metadata!K779,"Hypersaline (saline)"),EXACT(metadata!K779,"Aerosol (saline)"),EXACT(metadata!K779,"Sediment (saline)")))</f>
        <v>0</v>
      </c>
      <c r="AW779" t="b">
        <f>IF(metadata!L779="",FALSE,TRUE)</f>
        <v>0</v>
      </c>
      <c r="AX779" t="b">
        <f>IF(metadata!M779="",FALSE,TRUE)</f>
        <v>0</v>
      </c>
      <c r="AY779" t="b">
        <f>IF(metadata!N779="",FALSE,TRUE)</f>
        <v>0</v>
      </c>
      <c r="AZ779" t="b">
        <f>OR(AND(IF(metadata!O779="",FALSE,TRUE),OR(EXACT(metadata!O779,"missing: not collected"),EXACT(metadata!O779,"missing: not provided"),EXACT(metadata!O779,"missing: restricted access"))),AND(IF(metadata!O779="",FALSE,TRUE),OR(EXACT(metadata!O779,"air"),EXACT(metadata!O779,"built environment"),EXACT(metadata!O779,"host-associated"),EXACT(metadata!O779,"human-associated"),EXACT(metadata!O779,"human-skin"),EXACT(metadata!O779,"human-oral"),EXACT(metadata!O779,"human-gut"),EXACT(metadata!O779,"human-vaginal"),EXACT(metadata!O779,"microbial mat/biofilm"),EXACT(metadata!O779,"misc environment"),EXACT(metadata!O779,"plant-associated"),EXACT(metadata!O779,"sediment"),EXACT(metadata!O779,"soil"),EXACT(metadata!O779,"wastewater/sludge"),EXACT(metadata!O779,"water"))))</f>
        <v>0</v>
      </c>
      <c r="BA779" t="b">
        <f>IF(metadata!P779="",FALSE,TRUE)</f>
        <v>0</v>
      </c>
      <c r="BB779" t="b">
        <f>IF(metadata!Q779="",FALSE,TRUE)</f>
        <v>0</v>
      </c>
      <c r="BC779" t="b">
        <f>OR(AND(IF(metadata!R779="",FALSE,TRUE),OR(EXACT(metadata!R779,"missing: not collected"),EXACT(metadata!R779,"missing: not provided"),EXACT(metadata!R779,"missing: restricted access"))),AND(IF(metadata!R779="",FALSE,ISNUMBER(VALUE(metadata!R779))),metadata!R779&gt;=-90,metadata!R779&lt;=90))</f>
        <v>0</v>
      </c>
      <c r="BD779" t="b">
        <f>AND(IF(metadata!S779="",FALSE,TRUE),EXACT(metadata!S779,"Decimal degrees"))</f>
        <v>0</v>
      </c>
      <c r="BE779" t="b">
        <f>OR(AND(IF(metadata!T779="",FALSE,TRUE),OR(EXACT(metadata!T779,"missing: not collected"),EXACT(metadata!T779,"missing: not provided"),EXACT(metadata!T779,"missing: restricted access"))),AND(IF(metadata!T779="",FALSE,ISNUMBER(VALUE(metadata!T779))),metadata!T779&gt;=-180,metadata!T779&lt;=180))</f>
        <v>0</v>
      </c>
      <c r="BF779" t="b">
        <f>AND(IF(metadata!U779="",FALSE,TRUE),EXACT(metadata!U779,"Decimal degrees"))</f>
        <v>0</v>
      </c>
      <c r="BG779" t="b">
        <f>IF(metadata!V779="",FALSE,TRUE)</f>
        <v>0</v>
      </c>
      <c r="BH779" t="b">
        <f>OR(AND(IF(metadata!W779="",FALSE,TRUE),OR(EXACT(metadata!W779,"missing: not collected"),EXACT(metadata!W779,"missing: not provided"),EXACT(metadata!W779,"missing: restricted access"))),AND(IF(metadata!W779="",FALSE,TRUE),OR(EXACT(metadata!W779,"TRUE"),EXACT(metadata!W779,"FALSE"))))</f>
        <v>0</v>
      </c>
      <c r="BI779" t="b">
        <f>AND(IF(metadata!X779="",FALSE,TRUE),EXACT(metadata!X779,"other"))</f>
        <v>0</v>
      </c>
      <c r="BJ779" t="b">
        <f>IF(metadata!Y779="",FALSE,TRUE)</f>
        <v>0</v>
      </c>
      <c r="BK779" t="b">
        <f>OR(AND(IF(metadata!Z779="",FALSE,TRUE),OR(EXACT(metadata!Z779,"missing: not collected"),EXACT(metadata!Z779,"missing: not provided"))),AND(IF(metadata!Z779="",FALSE,IF(ISERROR(INT(metadata!Z779)),FALSE,INT(metadata!Z779)=metadata!Z779)),metadata!Z779&gt;0))</f>
        <v>0</v>
      </c>
      <c r="BL779" t="b">
        <f>AND(IF(metadata!AA779="",FALSE,TRUE),EXACT(metadata!AA779,"Not applicable"))</f>
        <v>0</v>
      </c>
      <c r="BM779" t="b">
        <f>IF(metadata!AB779="",FALSE,TRUE)</f>
        <v>0</v>
      </c>
    </row>
    <row r="780" spans="1:65" x14ac:dyDescent="0.2">
      <c r="A780" s="5" t="str">
        <f ca="1">IF(B780=" "," ",HYPERLINK(CONCATENATE("#metadata!",ADDRESS(INDEX($AH$2:$AH$1001,MATCH(ROWS($AF$2:AF780),$AF$2:$AF$1001,0),0),1)),INDEX($AK$2:$AK$1001,MATCH(ROWS($AF$2:AF780),$AF$2:$AF$1001,0),0)))</f>
        <v xml:space="preserve"> </v>
      </c>
      <c r="B780" s="4" t="str">
        <f ca="1">IF(OR(INDEX($AG$2:$AG$1001,MATCH(ROWS($AF$2:AF780),$AF$2:$AF$1001,0),1)&gt;=100000,INDEX($AM$1005:$BM$1005,1,MATCH(COLUMNS($AM$1006:AM1006),$AM$1006:$BM$1006,0))&gt;=100000), " ",IF(INDEX($AM$2:$BM$1001,MATCH(ROWS($AF$2:AF780),$AF$2:$AF$1001,0),MATCH(COLUMNS($AM$1006:AM1006),$AM$1006:$BM$1006,0)), HYPERLINK("#",""), HYPERLINK(CONCATENATE("#metadata!", ADDRESS(INDEX($AH$2:$AH$1001,MATCH(ROWS($AF$2:AF780),$AF$2:$AF$1001,0),0), INDEX($AM$1004:$BM$1004,1,MATCH(COLUMNS($AM$1006:AM1006),$AM$1006:$BM$1006,0)))),"Fix")))</f>
        <v xml:space="preserve"> </v>
      </c>
      <c r="C780" s="4" t="str">
        <f ca="1">IF(OR(INDEX($AG$2:$AG$1001,MATCH(ROWS($AF$2:AF780),$AF$2:$AF$1001,0),1)&gt;=100000,INDEX($AM$1005:$BM$1005,1,MATCH(COLUMNS($AM$1006:AN1006),$AM$1006:$BM$1006,0))&gt;=100000), " ",IF(INDEX($AM$2:$BM$1001,MATCH(ROWS($AF$2:AF780),$AF$2:$AF$1001,0),MATCH(COLUMNS($AM$1006:AN1006),$AM$1006:$BM$1006,0)), HYPERLINK("#",""), HYPERLINK(CONCATENATE("#metadata!", ADDRESS(INDEX($AH$2:$AH$1001,MATCH(ROWS($AF$2:AF780),$AF$2:$AF$1001,0),0), INDEX($AM$1004:$BM$1004,1,MATCH(COLUMNS($AM$1006:AN1006),$AM$1006:$BM$1006,0)))),"Fix")))</f>
        <v xml:space="preserve"> </v>
      </c>
      <c r="D780" s="4" t="str">
        <f ca="1">IF(OR(INDEX($AG$2:$AG$1001,MATCH(ROWS($AF$2:AF780),$AF$2:$AF$1001,0),1)&gt;=100000,INDEX($AM$1005:$BM$1005,1,MATCH(COLUMNS($AM$1006:AO1006),$AM$1006:$BM$1006,0))&gt;=100000), " ",IF(INDEX($AM$2:$BM$1001,MATCH(ROWS($AF$2:AF780),$AF$2:$AF$1001,0),MATCH(COLUMNS($AM$1006:AO1006),$AM$1006:$BM$1006,0)), HYPERLINK("#",""), HYPERLINK(CONCATENATE("#metadata!", ADDRESS(INDEX($AH$2:$AH$1001,MATCH(ROWS($AF$2:AF780),$AF$2:$AF$1001,0),0), INDEX($AM$1004:$BM$1004,1,MATCH(COLUMNS($AM$1006:AO1006),$AM$1006:$BM$1006,0)))),"Fix")))</f>
        <v xml:space="preserve"> </v>
      </c>
      <c r="E780" s="4" t="str">
        <f ca="1">IF(OR(INDEX($AG$2:$AG$1001,MATCH(ROWS($AF$2:AF780),$AF$2:$AF$1001,0),1)&gt;=100000,INDEX($AM$1005:$BM$1005,1,MATCH(COLUMNS($AM$1006:AP1006),$AM$1006:$BM$1006,0))&gt;=100000), " ",IF(INDEX($AM$2:$BM$1001,MATCH(ROWS($AF$2:AF780),$AF$2:$AF$1001,0),MATCH(COLUMNS($AM$1006:AP1006),$AM$1006:$BM$1006,0)), HYPERLINK("#",""), HYPERLINK(CONCATENATE("#metadata!", ADDRESS(INDEX($AH$2:$AH$1001,MATCH(ROWS($AF$2:AF780),$AF$2:$AF$1001,0),0), INDEX($AM$1004:$BM$1004,1,MATCH(COLUMNS($AM$1006:AP1006),$AM$1006:$BM$1006,0)))),"Fix")))</f>
        <v xml:space="preserve"> </v>
      </c>
      <c r="F780" s="4" t="str">
        <f ca="1">IF(OR(INDEX($AG$2:$AG$1001,MATCH(ROWS($AF$2:AF780),$AF$2:$AF$1001,0),1)&gt;=100000,INDEX($AM$1005:$BM$1005,1,MATCH(COLUMNS($AM$1006:AQ1006),$AM$1006:$BM$1006,0))&gt;=100000), " ",IF(INDEX($AM$2:$BM$1001,MATCH(ROWS($AF$2:AF780),$AF$2:$AF$1001,0),MATCH(COLUMNS($AM$1006:AQ1006),$AM$1006:$BM$1006,0)), HYPERLINK("#",""), HYPERLINK(CONCATENATE("#metadata!", ADDRESS(INDEX($AH$2:$AH$1001,MATCH(ROWS($AF$2:AF780),$AF$2:$AF$1001,0),0), INDEX($AM$1004:$BM$1004,1,MATCH(COLUMNS($AM$1006:AQ1006),$AM$1006:$BM$1006,0)))),"Fix")))</f>
        <v xml:space="preserve"> </v>
      </c>
      <c r="G780" s="4" t="str">
        <f ca="1">IF(OR(INDEX($AG$2:$AG$1001,MATCH(ROWS($AF$2:AF780),$AF$2:$AF$1001,0),1)&gt;=100000,INDEX($AM$1005:$BM$1005,1,MATCH(COLUMNS($AM$1006:AR1006),$AM$1006:$BM$1006,0))&gt;=100000), " ",IF(INDEX($AM$2:$BM$1001,MATCH(ROWS($AF$2:AF780),$AF$2:$AF$1001,0),MATCH(COLUMNS($AM$1006:AR1006),$AM$1006:$BM$1006,0)), HYPERLINK("#",""), HYPERLINK(CONCATENATE("#metadata!", ADDRESS(INDEX($AH$2:$AH$1001,MATCH(ROWS($AF$2:AF780),$AF$2:$AF$1001,0),0), INDEX($AM$1004:$BM$1004,1,MATCH(COLUMNS($AM$1006:AR1006),$AM$1006:$BM$1006,0)))),"Fix")))</f>
        <v xml:space="preserve"> </v>
      </c>
      <c r="H780" s="4" t="str">
        <f ca="1">IF(OR(INDEX($AG$2:$AG$1001,MATCH(ROWS($AF$2:AF780),$AF$2:$AF$1001,0),1)&gt;=100000,INDEX($AM$1005:$BM$1005,1,MATCH(COLUMNS($AM$1006:AS1006),$AM$1006:$BM$1006,0))&gt;=100000), " ",IF(INDEX($AM$2:$BM$1001,MATCH(ROWS($AF$2:AF780),$AF$2:$AF$1001,0),MATCH(COLUMNS($AM$1006:AS1006),$AM$1006:$BM$1006,0)), HYPERLINK("#",""), HYPERLINK(CONCATENATE("#metadata!", ADDRESS(INDEX($AH$2:$AH$1001,MATCH(ROWS($AF$2:AF780),$AF$2:$AF$1001,0),0), INDEX($AM$1004:$BM$1004,1,MATCH(COLUMNS($AM$1006:AS1006),$AM$1006:$BM$1006,0)))),"Fix")))</f>
        <v xml:space="preserve"> </v>
      </c>
      <c r="I780" s="4" t="str">
        <f ca="1">IF(OR(INDEX($AG$2:$AG$1001,MATCH(ROWS($AF$2:AF780),$AF$2:$AF$1001,0),1)&gt;=100000,INDEX($AM$1005:$BM$1005,1,MATCH(COLUMNS($AM$1006:AT1006),$AM$1006:$BM$1006,0))&gt;=100000), " ",IF(INDEX($AM$2:$BM$1001,MATCH(ROWS($AF$2:AF780),$AF$2:$AF$1001,0),MATCH(COLUMNS($AM$1006:AT1006),$AM$1006:$BM$1006,0)), HYPERLINK("#",""), HYPERLINK(CONCATENATE("#metadata!", ADDRESS(INDEX($AH$2:$AH$1001,MATCH(ROWS($AF$2:AF780),$AF$2:$AF$1001,0),0), INDEX($AM$1004:$BM$1004,1,MATCH(COLUMNS($AM$1006:AT1006),$AM$1006:$BM$1006,0)))),"Fix")))</f>
        <v xml:space="preserve"> </v>
      </c>
      <c r="J780" s="4" t="str">
        <f ca="1">IF(OR(INDEX($AG$2:$AG$1001,MATCH(ROWS($AF$2:AF780),$AF$2:$AF$1001,0),1)&gt;=100000,INDEX($AM$1005:$BM$1005,1,MATCH(COLUMNS($AM$1006:AU1006),$AM$1006:$BM$1006,0))&gt;=100000), " ",IF(INDEX($AM$2:$BM$1001,MATCH(ROWS($AF$2:AF780),$AF$2:$AF$1001,0),MATCH(COLUMNS($AM$1006:AU1006),$AM$1006:$BM$1006,0)), HYPERLINK("#",""), HYPERLINK(CONCATENATE("#metadata!", ADDRESS(INDEX($AH$2:$AH$1001,MATCH(ROWS($AF$2:AF780),$AF$2:$AF$1001,0),0), INDEX($AM$1004:$BM$1004,1,MATCH(COLUMNS($AM$1006:AU1006),$AM$1006:$BM$1006,0)))),"Fix")))</f>
        <v xml:space="preserve"> </v>
      </c>
      <c r="K780" s="4" t="str">
        <f ca="1">IF(OR(INDEX($AG$2:$AG$1001,MATCH(ROWS($AF$2:AF780),$AF$2:$AF$1001,0),1)&gt;=100000,INDEX($AM$1005:$BM$1005,1,MATCH(COLUMNS($AM$1006:AV1006),$AM$1006:$BM$1006,0))&gt;=100000), " ",IF(INDEX($AM$2:$BM$1001,MATCH(ROWS($AF$2:AF780),$AF$2:$AF$1001,0),MATCH(COLUMNS($AM$1006:AV1006),$AM$1006:$BM$1006,0)), HYPERLINK("#",""), HYPERLINK(CONCATENATE("#metadata!", ADDRESS(INDEX($AH$2:$AH$1001,MATCH(ROWS($AF$2:AF780),$AF$2:$AF$1001,0),0), INDEX($AM$1004:$BM$1004,1,MATCH(COLUMNS($AM$1006:AV1006),$AM$1006:$BM$1006,0)))),"Fix")))</f>
        <v xml:space="preserve"> </v>
      </c>
      <c r="L780" s="4" t="str">
        <f ca="1">IF(OR(INDEX($AG$2:$AG$1001,MATCH(ROWS($AF$2:AF780),$AF$2:$AF$1001,0),1)&gt;=100000,INDEX($AM$1005:$BM$1005,1,MATCH(COLUMNS($AM$1006:AW1006),$AM$1006:$BM$1006,0))&gt;=100000), " ",IF(INDEX($AM$2:$BM$1001,MATCH(ROWS($AF$2:AF780),$AF$2:$AF$1001,0),MATCH(COLUMNS($AM$1006:AW1006),$AM$1006:$BM$1006,0)), HYPERLINK("#",""), HYPERLINK(CONCATENATE("#metadata!", ADDRESS(INDEX($AH$2:$AH$1001,MATCH(ROWS($AF$2:AF780),$AF$2:$AF$1001,0),0), INDEX($AM$1004:$BM$1004,1,MATCH(COLUMNS($AM$1006:AW1006),$AM$1006:$BM$1006,0)))),"Fix")))</f>
        <v xml:space="preserve"> </v>
      </c>
      <c r="M780" s="4" t="str">
        <f ca="1">IF(OR(INDEX($AG$2:$AG$1001,MATCH(ROWS($AF$2:AF780),$AF$2:$AF$1001,0),1)&gt;=100000,INDEX($AM$1005:$BM$1005,1,MATCH(COLUMNS($AM$1006:AX1006),$AM$1006:$BM$1006,0))&gt;=100000), " ",IF(INDEX($AM$2:$BM$1001,MATCH(ROWS($AF$2:AF780),$AF$2:$AF$1001,0),MATCH(COLUMNS($AM$1006:AX1006),$AM$1006:$BM$1006,0)), HYPERLINK("#",""), HYPERLINK(CONCATENATE("#metadata!", ADDRESS(INDEX($AH$2:$AH$1001,MATCH(ROWS($AF$2:AF780),$AF$2:$AF$1001,0),0), INDEX($AM$1004:$BM$1004,1,MATCH(COLUMNS($AM$1006:AX1006),$AM$1006:$BM$1006,0)))),"Fix")))</f>
        <v xml:space="preserve"> </v>
      </c>
      <c r="N780" s="4" t="str">
        <f ca="1">IF(OR(INDEX($AG$2:$AG$1001,MATCH(ROWS($AF$2:AF780),$AF$2:$AF$1001,0),1)&gt;=100000,INDEX($AM$1005:$BM$1005,1,MATCH(COLUMNS($AM$1006:AY1006),$AM$1006:$BM$1006,0))&gt;=100000), " ",IF(INDEX($AM$2:$BM$1001,MATCH(ROWS($AF$2:AF780),$AF$2:$AF$1001,0),MATCH(COLUMNS($AM$1006:AY1006),$AM$1006:$BM$1006,0)), HYPERLINK("#",""), HYPERLINK(CONCATENATE("#metadata!", ADDRESS(INDEX($AH$2:$AH$1001,MATCH(ROWS($AF$2:AF780),$AF$2:$AF$1001,0),0), INDEX($AM$1004:$BM$1004,1,MATCH(COLUMNS($AM$1006:AY1006),$AM$1006:$BM$1006,0)))),"Fix")))</f>
        <v xml:space="preserve"> </v>
      </c>
      <c r="O780" s="4" t="str">
        <f ca="1">IF(OR(INDEX($AG$2:$AG$1001,MATCH(ROWS($AF$2:AF780),$AF$2:$AF$1001,0),1)&gt;=100000,INDEX($AM$1005:$BM$1005,1,MATCH(COLUMNS($AM$1006:AZ1006),$AM$1006:$BM$1006,0))&gt;=100000), " ",IF(INDEX($AM$2:$BM$1001,MATCH(ROWS($AF$2:AF780),$AF$2:$AF$1001,0),MATCH(COLUMNS($AM$1006:AZ1006),$AM$1006:$BM$1006,0)), HYPERLINK("#",""), HYPERLINK(CONCATENATE("#metadata!", ADDRESS(INDEX($AH$2:$AH$1001,MATCH(ROWS($AF$2:AF780),$AF$2:$AF$1001,0),0), INDEX($AM$1004:$BM$1004,1,MATCH(COLUMNS($AM$1006:AZ1006),$AM$1006:$BM$1006,0)))),"Fix")))</f>
        <v xml:space="preserve"> </v>
      </c>
      <c r="P780" s="4" t="str">
        <f ca="1">IF(OR(INDEX($AG$2:$AG$1001,MATCH(ROWS($AF$2:AF780),$AF$2:$AF$1001,0),1)&gt;=100000,INDEX($AM$1005:$BM$1005,1,MATCH(COLUMNS($AM$1006:BA1006),$AM$1006:$BM$1006,0))&gt;=100000), " ",IF(INDEX($AM$2:$BM$1001,MATCH(ROWS($AF$2:AF780),$AF$2:$AF$1001,0),MATCH(COLUMNS($AM$1006:BA1006),$AM$1006:$BM$1006,0)), HYPERLINK("#",""), HYPERLINK(CONCATENATE("#metadata!", ADDRESS(INDEX($AH$2:$AH$1001,MATCH(ROWS($AF$2:AF780),$AF$2:$AF$1001,0),0), INDEX($AM$1004:$BM$1004,1,MATCH(COLUMNS($AM$1006:BA1006),$AM$1006:$BM$1006,0)))),"Fix")))</f>
        <v xml:space="preserve"> </v>
      </c>
      <c r="Q780" s="4" t="str">
        <f ca="1">IF(OR(INDEX($AG$2:$AG$1001,MATCH(ROWS($AF$2:AF780),$AF$2:$AF$1001,0),1)&gt;=100000,INDEX($AM$1005:$BM$1005,1,MATCH(COLUMNS($AM$1006:BB1006),$AM$1006:$BM$1006,0))&gt;=100000), " ",IF(INDEX($AM$2:$BM$1001,MATCH(ROWS($AF$2:AF780),$AF$2:$AF$1001,0),MATCH(COLUMNS($AM$1006:BB1006),$AM$1006:$BM$1006,0)), HYPERLINK("#",""), HYPERLINK(CONCATENATE("#metadata!", ADDRESS(INDEX($AH$2:$AH$1001,MATCH(ROWS($AF$2:AF780),$AF$2:$AF$1001,0),0), INDEX($AM$1004:$BM$1004,1,MATCH(COLUMNS($AM$1006:BB1006),$AM$1006:$BM$1006,0)))),"Fix")))</f>
        <v xml:space="preserve"> </v>
      </c>
      <c r="R780" s="4" t="str">
        <f ca="1">IF(OR(INDEX($AG$2:$AG$1001,MATCH(ROWS($AF$2:AF780),$AF$2:$AF$1001,0),1)&gt;=100000,INDEX($AM$1005:$BM$1005,1,MATCH(COLUMNS($AM$1006:BC1006),$AM$1006:$BM$1006,0))&gt;=100000), " ",IF(INDEX($AM$2:$BM$1001,MATCH(ROWS($AF$2:AF780),$AF$2:$AF$1001,0),MATCH(COLUMNS($AM$1006:BC1006),$AM$1006:$BM$1006,0)), HYPERLINK("#",""), HYPERLINK(CONCATENATE("#metadata!", ADDRESS(INDEX($AH$2:$AH$1001,MATCH(ROWS($AF$2:AF780),$AF$2:$AF$1001,0),0), INDEX($AM$1004:$BM$1004,1,MATCH(COLUMNS($AM$1006:BC1006),$AM$1006:$BM$1006,0)))),"Fix")))</f>
        <v xml:space="preserve"> </v>
      </c>
      <c r="S780" s="4" t="str">
        <f ca="1">IF(OR(INDEX($AG$2:$AG$1001,MATCH(ROWS($AF$2:AF780),$AF$2:$AF$1001,0),1)&gt;=100000,INDEX($AM$1005:$BM$1005,1,MATCH(COLUMNS($AM$1006:BD1006),$AM$1006:$BM$1006,0))&gt;=100000), " ",IF(INDEX($AM$2:$BM$1001,MATCH(ROWS($AF$2:AF780),$AF$2:$AF$1001,0),MATCH(COLUMNS($AM$1006:BD1006),$AM$1006:$BM$1006,0)), HYPERLINK("#",""), HYPERLINK(CONCATENATE("#metadata!", ADDRESS(INDEX($AH$2:$AH$1001,MATCH(ROWS($AF$2:AF780),$AF$2:$AF$1001,0),0), INDEX($AM$1004:$BM$1004,1,MATCH(COLUMNS($AM$1006:BD1006),$AM$1006:$BM$1006,0)))),"Fix")))</f>
        <v xml:space="preserve"> </v>
      </c>
      <c r="T780" s="4" t="str">
        <f ca="1">IF(OR(INDEX($AG$2:$AG$1001,MATCH(ROWS($AF$2:AF780),$AF$2:$AF$1001,0),1)&gt;=100000,INDEX($AM$1005:$BM$1005,1,MATCH(COLUMNS($AM$1006:BE1006),$AM$1006:$BM$1006,0))&gt;=100000), " ",IF(INDEX($AM$2:$BM$1001,MATCH(ROWS($AF$2:AF780),$AF$2:$AF$1001,0),MATCH(COLUMNS($AM$1006:BE1006),$AM$1006:$BM$1006,0)), HYPERLINK("#",""), HYPERLINK(CONCATENATE("#metadata!", ADDRESS(INDEX($AH$2:$AH$1001,MATCH(ROWS($AF$2:AF780),$AF$2:$AF$1001,0),0), INDEX($AM$1004:$BM$1004,1,MATCH(COLUMNS($AM$1006:BE1006),$AM$1006:$BM$1006,0)))),"Fix")))</f>
        <v xml:space="preserve"> </v>
      </c>
      <c r="U780" s="4" t="str">
        <f ca="1">IF(OR(INDEX($AG$2:$AG$1001,MATCH(ROWS($AF$2:AF780),$AF$2:$AF$1001,0),1)&gt;=100000,INDEX($AM$1005:$BM$1005,1,MATCH(COLUMNS($AM$1006:BF1006),$AM$1006:$BM$1006,0))&gt;=100000), " ",IF(INDEX($AM$2:$BM$1001,MATCH(ROWS($AF$2:AF780),$AF$2:$AF$1001,0),MATCH(COLUMNS($AM$1006:BF1006),$AM$1006:$BM$1006,0)), HYPERLINK("#",""), HYPERLINK(CONCATENATE("#metadata!", ADDRESS(INDEX($AH$2:$AH$1001,MATCH(ROWS($AF$2:AF780),$AF$2:$AF$1001,0),0), INDEX($AM$1004:$BM$1004,1,MATCH(COLUMNS($AM$1006:BF1006),$AM$1006:$BM$1006,0)))),"Fix")))</f>
        <v xml:space="preserve"> </v>
      </c>
      <c r="V780" s="4" t="str">
        <f ca="1">IF(OR(INDEX($AG$2:$AG$1001,MATCH(ROWS($AF$2:AF780),$AF$2:$AF$1001,0),1)&gt;=100000,INDEX($AM$1005:$BM$1005,1,MATCH(COLUMNS($AM$1006:BG1006),$AM$1006:$BM$1006,0))&gt;=100000), " ",IF(INDEX($AM$2:$BM$1001,MATCH(ROWS($AF$2:AF780),$AF$2:$AF$1001,0),MATCH(COLUMNS($AM$1006:BG1006),$AM$1006:$BM$1006,0)), HYPERLINK("#",""), HYPERLINK(CONCATENATE("#metadata!", ADDRESS(INDEX($AH$2:$AH$1001,MATCH(ROWS($AF$2:AF780),$AF$2:$AF$1001,0),0), INDEX($AM$1004:$BM$1004,1,MATCH(COLUMNS($AM$1006:BG1006),$AM$1006:$BM$1006,0)))),"Fix")))</f>
        <v xml:space="preserve"> </v>
      </c>
      <c r="W780" s="4" t="str">
        <f ca="1">IF(OR(INDEX($AG$2:$AG$1001,MATCH(ROWS($AF$2:AF780),$AF$2:$AF$1001,0),1)&gt;=100000,INDEX($AM$1005:$BM$1005,1,MATCH(COLUMNS($AM$1006:BH1006),$AM$1006:$BM$1006,0))&gt;=100000), " ",IF(INDEX($AM$2:$BM$1001,MATCH(ROWS($AF$2:AF780),$AF$2:$AF$1001,0),MATCH(COLUMNS($AM$1006:BH1006),$AM$1006:$BM$1006,0)), HYPERLINK("#",""), HYPERLINK(CONCATENATE("#metadata!", ADDRESS(INDEX($AH$2:$AH$1001,MATCH(ROWS($AF$2:AF780),$AF$2:$AF$1001,0),0), INDEX($AM$1004:$BM$1004,1,MATCH(COLUMNS($AM$1006:BH1006),$AM$1006:$BM$1006,0)))),"Fix")))</f>
        <v xml:space="preserve"> </v>
      </c>
      <c r="X780" s="4" t="str">
        <f ca="1">IF(OR(INDEX($AG$2:$AG$1001,MATCH(ROWS($AF$2:AF780),$AF$2:$AF$1001,0),1)&gt;=100000,INDEX($AM$1005:$BM$1005,1,MATCH(COLUMNS($AM$1006:BI1006),$AM$1006:$BM$1006,0))&gt;=100000), " ",IF(INDEX($AM$2:$BM$1001,MATCH(ROWS($AF$2:AF780),$AF$2:$AF$1001,0),MATCH(COLUMNS($AM$1006:BI1006),$AM$1006:$BM$1006,0)), HYPERLINK("#",""), HYPERLINK(CONCATENATE("#metadata!", ADDRESS(INDEX($AH$2:$AH$1001,MATCH(ROWS($AF$2:AF780),$AF$2:$AF$1001,0),0), INDEX($AM$1004:$BM$1004,1,MATCH(COLUMNS($AM$1006:BI1006),$AM$1006:$BM$1006,0)))),"Fix")))</f>
        <v xml:space="preserve"> </v>
      </c>
      <c r="Y780" s="4" t="str">
        <f ca="1">IF(OR(INDEX($AG$2:$AG$1001,MATCH(ROWS($AF$2:AF780),$AF$2:$AF$1001,0),1)&gt;=100000,INDEX($AM$1005:$BM$1005,1,MATCH(COLUMNS($AM$1006:BJ1006),$AM$1006:$BM$1006,0))&gt;=100000), " ",IF(INDEX($AM$2:$BM$1001,MATCH(ROWS($AF$2:AF780),$AF$2:$AF$1001,0),MATCH(COLUMNS($AM$1006:BJ1006),$AM$1006:$BM$1006,0)), HYPERLINK("#",""), HYPERLINK(CONCATENATE("#metadata!", ADDRESS(INDEX($AH$2:$AH$1001,MATCH(ROWS($AF$2:AF780),$AF$2:$AF$1001,0),0), INDEX($AM$1004:$BM$1004,1,MATCH(COLUMNS($AM$1006:BJ1006),$AM$1006:$BM$1006,0)))),"Fix")))</f>
        <v xml:space="preserve"> </v>
      </c>
      <c r="Z780" s="4" t="str">
        <f ca="1">IF(OR(INDEX($AG$2:$AG$1001,MATCH(ROWS($AF$2:AF780),$AF$2:$AF$1001,0),1)&gt;=100000,INDEX($AM$1005:$BM$1005,1,MATCH(COLUMNS($AM$1006:BK1006),$AM$1006:$BM$1006,0))&gt;=100000), " ",IF(INDEX($AM$2:$BM$1001,MATCH(ROWS($AF$2:AF780),$AF$2:$AF$1001,0),MATCH(COLUMNS($AM$1006:BK1006),$AM$1006:$BM$1006,0)), HYPERLINK("#",""), HYPERLINK(CONCATENATE("#metadata!", ADDRESS(INDEX($AH$2:$AH$1001,MATCH(ROWS($AF$2:AF780),$AF$2:$AF$1001,0),0), INDEX($AM$1004:$BM$1004,1,MATCH(COLUMNS($AM$1006:BK1006),$AM$1006:$BM$1006,0)))),"Fix")))</f>
        <v xml:space="preserve"> </v>
      </c>
      <c r="AA780" s="4" t="str">
        <f ca="1">IF(OR(INDEX($AG$2:$AG$1001,MATCH(ROWS($AF$2:AF780),$AF$2:$AF$1001,0),1)&gt;=100000,INDEX($AM$1005:$BM$1005,1,MATCH(COLUMNS($AM$1006:BL1006),$AM$1006:$BM$1006,0))&gt;=100000), " ",IF(INDEX($AM$2:$BM$1001,MATCH(ROWS($AF$2:AF780),$AF$2:$AF$1001,0),MATCH(COLUMNS($AM$1006:BL1006),$AM$1006:$BM$1006,0)), HYPERLINK("#",""), HYPERLINK(CONCATENATE("#metadata!", ADDRESS(INDEX($AH$2:$AH$1001,MATCH(ROWS($AF$2:AF780),$AF$2:$AF$1001,0),0), INDEX($AM$1004:$BM$1004,1,MATCH(COLUMNS($AM$1006:BL1006),$AM$1006:$BM$1006,0)))),"Fix")))</f>
        <v xml:space="preserve"> </v>
      </c>
      <c r="AB780" s="4" t="str">
        <f ca="1">IF(OR(INDEX($AG$2:$AG$1001,MATCH(ROWS($AF$2:AF780),$AF$2:$AF$1001,0),1)&gt;=100000,INDEX($AM$1005:$BM$1005,1,MATCH(COLUMNS($AM$1006:BM1006),$AM$1006:$BM$1006,0))&gt;=100000), " ",IF(INDEX($AM$2:$BM$1001,MATCH(ROWS($AF$2:AF780),$AF$2:$AF$1001,0),MATCH(COLUMNS($AM$1006:BM1006),$AM$1006:$BM$1006,0)), HYPERLINK("#",""), HYPERLINK(CONCATENATE("#metadata!", ADDRESS(INDEX($AH$2:$AH$1001,MATCH(ROWS($AF$2:AF780),$AF$2:$AF$1001,0),0), INDEX($AM$1004:$BM$1004,1,MATCH(COLUMNS($AM$1006:BM1006),$AM$1006:$BM$1006,0)))),"Fix")))</f>
        <v xml:space="preserve"> </v>
      </c>
      <c r="AF780">
        <v>779</v>
      </c>
      <c r="AG780">
        <v>100780</v>
      </c>
      <c r="AH780">
        <v>780</v>
      </c>
      <c r="AI780" t="b">
        <f t="shared" si="12"/>
        <v>1</v>
      </c>
      <c r="AJ780" t="b">
        <f>COUNTBLANK(metadata!B780:AB780)=COLUMNS(metadata!B780:AB780)</f>
        <v>1</v>
      </c>
      <c r="AK780" t="str">
        <v/>
      </c>
      <c r="AM780" t="b">
        <f ca="1">AND(IF(metadata!B780="",FALSE,TRUE),COUNTIF(metadata!B:B, metadata!B780) = 1,NOT(ISERROR(SUMPRODUCT(SEARCH(MID(metadata!B780,ROW(INDIRECT("1:"&amp;LEN(metadata!B780))), 1),"0123456789abcdefghijklmnopqrstuvwxyzABCDEFGHIJKLMNOPQRSTUVWXYZ.")))))</f>
        <v>0</v>
      </c>
      <c r="AN780" t="b">
        <f ca="1">OR(AND(IF(metadata!C780="",FALSE,TRUE),OR(EXACT(metadata!C780,"missing: not collected"),EXACT(metadata!C780,"missing: not provided"),EXACT(metadata!C780,"missing: restricted access"))),AND(IF(metadata!C780="",FALSE,TRUE),AND(AND(IFERROR(INT(LEFT(metadata!C780,4))&gt;1900,FALSE),IFERROR(INT(LEFT(metadata!C780,4))&lt;=YEAR(NOW()),FALSE)), OR(MID(metadata!C780,5,1)="", AND(AND(MID(metadata!C780,5,1)="-",IFERROR(INT(MID(metadata!C780,6,1))&gt;=0,FALSE),IFERROR(INT(MID(metadata!C780,6,1))&lt;=1,FALSE),NOT(MID(metadata!C780,7,1)=""),IFERROR(INT(MID(metadata!C780,6,2))&gt;=1,FALSE),IFERROR(INT(MID(metadata!C780,6,2))&lt;=12,FALSE)), OR(MID(metadata!C780,8,1)="", AND(AND(MID(metadata!C780,8,1)="-",IFERROR(INT(MID(metadata!C780,9,1))&gt;=0,FALSE),IFERROR(INT(MID(metadata!C780,9,1))&lt;=3,FALSE),NOT(MID(metadata!C780,10,1)=""),IFERROR(INT(MID(metadata!C780,9,2))&gt;=1,FALSE),IFERROR(INT(MID(metadata!C780,9,2))&lt;=31,FALSE)), OR(MID(metadata!C780,11,1)="", AND(AND(MID(metadata!C780,11,1)=" ",IFERROR(INT(MID(metadata!C780,12,1))&gt;=0,FALSE),IFERROR(INT(MID(metadata!C780,12,1))&lt;=2,FALSE),NOT(MID(metadata!C780,13,1)=""),IFERROR(INT(MID(metadata!C780,12,2))&gt;=0,FALSE),IFERROR(INT(MID(metadata!C780,12,2))&lt;=23,FALSE)), OR(MID(metadata!C780,14,1)="", AND(AND(MID(metadata!C780,14,1)=":",IFERROR(INT(MID(metadata!C780,15,1))&gt;=0,FALSE),IFERROR(INT(MID(metadata!C780,15,1))&lt;=5,FALSE),NOT(MID(metadata!C780,16,1)=""),IFERROR(INT(MID(metadata!C780,15,2))&gt;=0,FALSE),IFERROR(INT(MID(metadata!C780,15,2))&lt;=59,FALSE)), OR(MID(metadata!C780,17,1)="", AND(AND(MID(metadata!C780,17,1)=":",IFERROR(INT(MID(metadata!C780,18,1))&gt;=0,FALSE),IFERROR(INT(MID(metadata!C780,18,1))&lt;=5,FALSE),NOT(MID(metadata!C780,19,1)=""),IFERROR(INT(MID(metadata!C780,18,2))&gt;=0,FALSE),IFERROR(INT(MID(metadata!C780,18,2))&lt;=59,FALSE)), LEN(metadata!C780)&lt;=19)))))))))))))</f>
        <v>0</v>
      </c>
      <c r="AO780" t="b">
        <f>AND(IF(metadata!D780="",FALSE,TRUE),EXACT(metadata!D780,"Not applicable"))</f>
        <v>0</v>
      </c>
      <c r="AP780" t="b">
        <f>IF(metadata!E780="",FALSE,TRUE)</f>
        <v>0</v>
      </c>
      <c r="AQ780" t="b">
        <f>OR(AND(IF(metadata!F780="",FALSE,TRUE),OR(EXACT(metadata!F780,"missing: not collected"),EXACT(metadata!F780,"missing: not provided"))),AND(IF(metadata!F780="",FALSE,TRUE),OR(EXACT(metadata!F780,"TRUE"),EXACT(metadata!F780,"FALSE"))))</f>
        <v>0</v>
      </c>
      <c r="AR780" t="b">
        <f>OR(AND(IF(metadata!G780="",FALSE,TRUE),OR(EXACT(metadata!G780,"missing: not collected"),EXACT(metadata!G780,"missing: not provided"),EXACT(metadata!G780,"missing: restricted access"))),AND(IF(metadata!G780="",FALSE,ISNUMBER(VALUE(metadata!G780))),metadata!G780&gt;=-413))</f>
        <v>0</v>
      </c>
      <c r="AS780" t="b">
        <f>AND(IF(metadata!H780="",FALSE,TRUE),EXACT(metadata!H780,"meters"))</f>
        <v>0</v>
      </c>
      <c r="AT780" t="b">
        <f>AND(IF(metadata!I780="",FALSE,TRUE),OR(EXACT(metadata!I780,"Host-associated"),EXACT(metadata!I780,"Free-living")))</f>
        <v>0</v>
      </c>
      <c r="AU780" t="b">
        <f>AND(IF(metadata!J780="",FALSE,TRUE),OR(EXACT(metadata!J780,"Animal"),EXACT(metadata!J780,"Fungus"),EXACT(metadata!J780,"Plant"),EXACT(metadata!J780,"Saline"),EXACT(metadata!J780,"Non-saline")))</f>
        <v>0</v>
      </c>
      <c r="AV780" t="b">
        <f>AND(IF(metadata!K780="",FALSE,TRUE),OR(EXACT(metadata!K780,"Plant secretion"),EXACT(metadata!K780,"Plant rhizosphere"),EXACT(metadata!K780,"Plant surface"),EXACT(metadata!K780,"Plant corpus"),EXACT(metadata!K780,"Fungus surface"),EXACT(metadata!K780,"Fungus corpus"),EXACT(metadata!K780,"Animal surface"),EXACT(metadata!K780,"Animal proximal gut"),EXACT(metadata!K780,"Animal corpus"),EXACT(metadata!K780,"Animal distal gut"),EXACT(metadata!K780,"Animal secretion"),EXACT(metadata!K780,"Sub-surface (non-saline)"),EXACT(metadata!K780,"Surface (non-saline)"),EXACT(metadata!K780,"Water (non-saline)"),EXACT(metadata!K780,"Soil (non-saline)"),EXACT(metadata!K780,"Aerosol (non-saline)"),EXACT(metadata!K780,"Sediment (non-saline)"),EXACT(metadata!K780,"Surface (saline)"),EXACT(metadata!K780,"Water (saline)"),EXACT(metadata!K780,"Hypersaline (saline)"),EXACT(metadata!K780,"Aerosol (saline)"),EXACT(metadata!K780,"Sediment (saline)")))</f>
        <v>0</v>
      </c>
      <c r="AW780" t="b">
        <f>IF(metadata!L780="",FALSE,TRUE)</f>
        <v>0</v>
      </c>
      <c r="AX780" t="b">
        <f>IF(metadata!M780="",FALSE,TRUE)</f>
        <v>0</v>
      </c>
      <c r="AY780" t="b">
        <f>IF(metadata!N780="",FALSE,TRUE)</f>
        <v>0</v>
      </c>
      <c r="AZ780" t="b">
        <f>OR(AND(IF(metadata!O780="",FALSE,TRUE),OR(EXACT(metadata!O780,"missing: not collected"),EXACT(metadata!O780,"missing: not provided"),EXACT(metadata!O780,"missing: restricted access"))),AND(IF(metadata!O780="",FALSE,TRUE),OR(EXACT(metadata!O780,"air"),EXACT(metadata!O780,"built environment"),EXACT(metadata!O780,"host-associated"),EXACT(metadata!O780,"human-associated"),EXACT(metadata!O780,"human-skin"),EXACT(metadata!O780,"human-oral"),EXACT(metadata!O780,"human-gut"),EXACT(metadata!O780,"human-vaginal"),EXACT(metadata!O780,"microbial mat/biofilm"),EXACT(metadata!O780,"misc environment"),EXACT(metadata!O780,"plant-associated"),EXACT(metadata!O780,"sediment"),EXACT(metadata!O780,"soil"),EXACT(metadata!O780,"wastewater/sludge"),EXACT(metadata!O780,"water"))))</f>
        <v>0</v>
      </c>
      <c r="BA780" t="b">
        <f>IF(metadata!P780="",FALSE,TRUE)</f>
        <v>0</v>
      </c>
      <c r="BB780" t="b">
        <f>IF(metadata!Q780="",FALSE,TRUE)</f>
        <v>0</v>
      </c>
      <c r="BC780" t="b">
        <f>OR(AND(IF(metadata!R780="",FALSE,TRUE),OR(EXACT(metadata!R780,"missing: not collected"),EXACT(metadata!R780,"missing: not provided"),EXACT(metadata!R780,"missing: restricted access"))),AND(IF(metadata!R780="",FALSE,ISNUMBER(VALUE(metadata!R780))),metadata!R780&gt;=-90,metadata!R780&lt;=90))</f>
        <v>0</v>
      </c>
      <c r="BD780" t="b">
        <f>AND(IF(metadata!S780="",FALSE,TRUE),EXACT(metadata!S780,"Decimal degrees"))</f>
        <v>0</v>
      </c>
      <c r="BE780" t="b">
        <f>OR(AND(IF(metadata!T780="",FALSE,TRUE),OR(EXACT(metadata!T780,"missing: not collected"),EXACT(metadata!T780,"missing: not provided"),EXACT(metadata!T780,"missing: restricted access"))),AND(IF(metadata!T780="",FALSE,ISNUMBER(VALUE(metadata!T780))),metadata!T780&gt;=-180,metadata!T780&lt;=180))</f>
        <v>0</v>
      </c>
      <c r="BF780" t="b">
        <f>AND(IF(metadata!U780="",FALSE,TRUE),EXACT(metadata!U780,"Decimal degrees"))</f>
        <v>0</v>
      </c>
      <c r="BG780" t="b">
        <f>IF(metadata!V780="",FALSE,TRUE)</f>
        <v>0</v>
      </c>
      <c r="BH780" t="b">
        <f>OR(AND(IF(metadata!W780="",FALSE,TRUE),OR(EXACT(metadata!W780,"missing: not collected"),EXACT(metadata!W780,"missing: not provided"),EXACT(metadata!W780,"missing: restricted access"))),AND(IF(metadata!W780="",FALSE,TRUE),OR(EXACT(metadata!W780,"TRUE"),EXACT(metadata!W780,"FALSE"))))</f>
        <v>0</v>
      </c>
      <c r="BI780" t="b">
        <f>AND(IF(metadata!X780="",FALSE,TRUE),EXACT(metadata!X780,"other"))</f>
        <v>0</v>
      </c>
      <c r="BJ780" t="b">
        <f>IF(metadata!Y780="",FALSE,TRUE)</f>
        <v>0</v>
      </c>
      <c r="BK780" t="b">
        <f>OR(AND(IF(metadata!Z780="",FALSE,TRUE),OR(EXACT(metadata!Z780,"missing: not collected"),EXACT(metadata!Z780,"missing: not provided"))),AND(IF(metadata!Z780="",FALSE,IF(ISERROR(INT(metadata!Z780)),FALSE,INT(metadata!Z780)=metadata!Z780)),metadata!Z780&gt;0))</f>
        <v>0</v>
      </c>
      <c r="BL780" t="b">
        <f>AND(IF(metadata!AA780="",FALSE,TRUE),EXACT(metadata!AA780,"Not applicable"))</f>
        <v>0</v>
      </c>
      <c r="BM780" t="b">
        <f>IF(metadata!AB780="",FALSE,TRUE)</f>
        <v>0</v>
      </c>
    </row>
    <row r="781" spans="1:65" x14ac:dyDescent="0.2">
      <c r="A781" s="5" t="str">
        <f ca="1">IF(B781=" "," ",HYPERLINK(CONCATENATE("#metadata!",ADDRESS(INDEX($AH$2:$AH$1001,MATCH(ROWS($AF$2:AF781),$AF$2:$AF$1001,0),0),1)),INDEX($AK$2:$AK$1001,MATCH(ROWS($AF$2:AF781),$AF$2:$AF$1001,0),0)))</f>
        <v xml:space="preserve"> </v>
      </c>
      <c r="B781" s="4" t="str">
        <f ca="1">IF(OR(INDEX($AG$2:$AG$1001,MATCH(ROWS($AF$2:AF781),$AF$2:$AF$1001,0),1)&gt;=100000,INDEX($AM$1005:$BM$1005,1,MATCH(COLUMNS($AM$1006:AM1006),$AM$1006:$BM$1006,0))&gt;=100000), " ",IF(INDEX($AM$2:$BM$1001,MATCH(ROWS($AF$2:AF781),$AF$2:$AF$1001,0),MATCH(COLUMNS($AM$1006:AM1006),$AM$1006:$BM$1006,0)), HYPERLINK("#",""), HYPERLINK(CONCATENATE("#metadata!", ADDRESS(INDEX($AH$2:$AH$1001,MATCH(ROWS($AF$2:AF781),$AF$2:$AF$1001,0),0), INDEX($AM$1004:$BM$1004,1,MATCH(COLUMNS($AM$1006:AM1006),$AM$1006:$BM$1006,0)))),"Fix")))</f>
        <v xml:space="preserve"> </v>
      </c>
      <c r="C781" s="4" t="str">
        <f ca="1">IF(OR(INDEX($AG$2:$AG$1001,MATCH(ROWS($AF$2:AF781),$AF$2:$AF$1001,0),1)&gt;=100000,INDEX($AM$1005:$BM$1005,1,MATCH(COLUMNS($AM$1006:AN1006),$AM$1006:$BM$1006,0))&gt;=100000), " ",IF(INDEX($AM$2:$BM$1001,MATCH(ROWS($AF$2:AF781),$AF$2:$AF$1001,0),MATCH(COLUMNS($AM$1006:AN1006),$AM$1006:$BM$1006,0)), HYPERLINK("#",""), HYPERLINK(CONCATENATE("#metadata!", ADDRESS(INDEX($AH$2:$AH$1001,MATCH(ROWS($AF$2:AF781),$AF$2:$AF$1001,0),0), INDEX($AM$1004:$BM$1004,1,MATCH(COLUMNS($AM$1006:AN1006),$AM$1006:$BM$1006,0)))),"Fix")))</f>
        <v xml:space="preserve"> </v>
      </c>
      <c r="D781" s="4" t="str">
        <f ca="1">IF(OR(INDEX($AG$2:$AG$1001,MATCH(ROWS($AF$2:AF781),$AF$2:$AF$1001,0),1)&gt;=100000,INDEX($AM$1005:$BM$1005,1,MATCH(COLUMNS($AM$1006:AO1006),$AM$1006:$BM$1006,0))&gt;=100000), " ",IF(INDEX($AM$2:$BM$1001,MATCH(ROWS($AF$2:AF781),$AF$2:$AF$1001,0),MATCH(COLUMNS($AM$1006:AO1006),$AM$1006:$BM$1006,0)), HYPERLINK("#",""), HYPERLINK(CONCATENATE("#metadata!", ADDRESS(INDEX($AH$2:$AH$1001,MATCH(ROWS($AF$2:AF781),$AF$2:$AF$1001,0),0), INDEX($AM$1004:$BM$1004,1,MATCH(COLUMNS($AM$1006:AO1006),$AM$1006:$BM$1006,0)))),"Fix")))</f>
        <v xml:space="preserve"> </v>
      </c>
      <c r="E781" s="4" t="str">
        <f ca="1">IF(OR(INDEX($AG$2:$AG$1001,MATCH(ROWS($AF$2:AF781),$AF$2:$AF$1001,0),1)&gt;=100000,INDEX($AM$1005:$BM$1005,1,MATCH(COLUMNS($AM$1006:AP1006),$AM$1006:$BM$1006,0))&gt;=100000), " ",IF(INDEX($AM$2:$BM$1001,MATCH(ROWS($AF$2:AF781),$AF$2:$AF$1001,0),MATCH(COLUMNS($AM$1006:AP1006),$AM$1006:$BM$1006,0)), HYPERLINK("#",""), HYPERLINK(CONCATENATE("#metadata!", ADDRESS(INDEX($AH$2:$AH$1001,MATCH(ROWS($AF$2:AF781),$AF$2:$AF$1001,0),0), INDEX($AM$1004:$BM$1004,1,MATCH(COLUMNS($AM$1006:AP1006),$AM$1006:$BM$1006,0)))),"Fix")))</f>
        <v xml:space="preserve"> </v>
      </c>
      <c r="F781" s="4" t="str">
        <f ca="1">IF(OR(INDEX($AG$2:$AG$1001,MATCH(ROWS($AF$2:AF781),$AF$2:$AF$1001,0),1)&gt;=100000,INDEX($AM$1005:$BM$1005,1,MATCH(COLUMNS($AM$1006:AQ1006),$AM$1006:$BM$1006,0))&gt;=100000), " ",IF(INDEX($AM$2:$BM$1001,MATCH(ROWS($AF$2:AF781),$AF$2:$AF$1001,0),MATCH(COLUMNS($AM$1006:AQ1006),$AM$1006:$BM$1006,0)), HYPERLINK("#",""), HYPERLINK(CONCATENATE("#metadata!", ADDRESS(INDEX($AH$2:$AH$1001,MATCH(ROWS($AF$2:AF781),$AF$2:$AF$1001,0),0), INDEX($AM$1004:$BM$1004,1,MATCH(COLUMNS($AM$1006:AQ1006),$AM$1006:$BM$1006,0)))),"Fix")))</f>
        <v xml:space="preserve"> </v>
      </c>
      <c r="G781" s="4" t="str">
        <f ca="1">IF(OR(INDEX($AG$2:$AG$1001,MATCH(ROWS($AF$2:AF781),$AF$2:$AF$1001,0),1)&gt;=100000,INDEX($AM$1005:$BM$1005,1,MATCH(COLUMNS($AM$1006:AR1006),$AM$1006:$BM$1006,0))&gt;=100000), " ",IF(INDEX($AM$2:$BM$1001,MATCH(ROWS($AF$2:AF781),$AF$2:$AF$1001,0),MATCH(COLUMNS($AM$1006:AR1006),$AM$1006:$BM$1006,0)), HYPERLINK("#",""), HYPERLINK(CONCATENATE("#metadata!", ADDRESS(INDEX($AH$2:$AH$1001,MATCH(ROWS($AF$2:AF781),$AF$2:$AF$1001,0),0), INDEX($AM$1004:$BM$1004,1,MATCH(COLUMNS($AM$1006:AR1006),$AM$1006:$BM$1006,0)))),"Fix")))</f>
        <v xml:space="preserve"> </v>
      </c>
      <c r="H781" s="4" t="str">
        <f ca="1">IF(OR(INDEX($AG$2:$AG$1001,MATCH(ROWS($AF$2:AF781),$AF$2:$AF$1001,0),1)&gt;=100000,INDEX($AM$1005:$BM$1005,1,MATCH(COLUMNS($AM$1006:AS1006),$AM$1006:$BM$1006,0))&gt;=100000), " ",IF(INDEX($AM$2:$BM$1001,MATCH(ROWS($AF$2:AF781),$AF$2:$AF$1001,0),MATCH(COLUMNS($AM$1006:AS1006),$AM$1006:$BM$1006,0)), HYPERLINK("#",""), HYPERLINK(CONCATENATE("#metadata!", ADDRESS(INDEX($AH$2:$AH$1001,MATCH(ROWS($AF$2:AF781),$AF$2:$AF$1001,0),0), INDEX($AM$1004:$BM$1004,1,MATCH(COLUMNS($AM$1006:AS1006),$AM$1006:$BM$1006,0)))),"Fix")))</f>
        <v xml:space="preserve"> </v>
      </c>
      <c r="I781" s="4" t="str">
        <f ca="1">IF(OR(INDEX($AG$2:$AG$1001,MATCH(ROWS($AF$2:AF781),$AF$2:$AF$1001,0),1)&gt;=100000,INDEX($AM$1005:$BM$1005,1,MATCH(COLUMNS($AM$1006:AT1006),$AM$1006:$BM$1006,0))&gt;=100000), " ",IF(INDEX($AM$2:$BM$1001,MATCH(ROWS($AF$2:AF781),$AF$2:$AF$1001,0),MATCH(COLUMNS($AM$1006:AT1006),$AM$1006:$BM$1006,0)), HYPERLINK("#",""), HYPERLINK(CONCATENATE("#metadata!", ADDRESS(INDEX($AH$2:$AH$1001,MATCH(ROWS($AF$2:AF781),$AF$2:$AF$1001,0),0), INDEX($AM$1004:$BM$1004,1,MATCH(COLUMNS($AM$1006:AT1006),$AM$1006:$BM$1006,0)))),"Fix")))</f>
        <v xml:space="preserve"> </v>
      </c>
      <c r="J781" s="4" t="str">
        <f ca="1">IF(OR(INDEX($AG$2:$AG$1001,MATCH(ROWS($AF$2:AF781),$AF$2:$AF$1001,0),1)&gt;=100000,INDEX($AM$1005:$BM$1005,1,MATCH(COLUMNS($AM$1006:AU1006),$AM$1006:$BM$1006,0))&gt;=100000), " ",IF(INDEX($AM$2:$BM$1001,MATCH(ROWS($AF$2:AF781),$AF$2:$AF$1001,0),MATCH(COLUMNS($AM$1006:AU1006),$AM$1006:$BM$1006,0)), HYPERLINK("#",""), HYPERLINK(CONCATENATE("#metadata!", ADDRESS(INDEX($AH$2:$AH$1001,MATCH(ROWS($AF$2:AF781),$AF$2:$AF$1001,0),0), INDEX($AM$1004:$BM$1004,1,MATCH(COLUMNS($AM$1006:AU1006),$AM$1006:$BM$1006,0)))),"Fix")))</f>
        <v xml:space="preserve"> </v>
      </c>
      <c r="K781" s="4" t="str">
        <f ca="1">IF(OR(INDEX($AG$2:$AG$1001,MATCH(ROWS($AF$2:AF781),$AF$2:$AF$1001,0),1)&gt;=100000,INDEX($AM$1005:$BM$1005,1,MATCH(COLUMNS($AM$1006:AV1006),$AM$1006:$BM$1006,0))&gt;=100000), " ",IF(INDEX($AM$2:$BM$1001,MATCH(ROWS($AF$2:AF781),$AF$2:$AF$1001,0),MATCH(COLUMNS($AM$1006:AV1006),$AM$1006:$BM$1006,0)), HYPERLINK("#",""), HYPERLINK(CONCATENATE("#metadata!", ADDRESS(INDEX($AH$2:$AH$1001,MATCH(ROWS($AF$2:AF781),$AF$2:$AF$1001,0),0), INDEX($AM$1004:$BM$1004,1,MATCH(COLUMNS($AM$1006:AV1006),$AM$1006:$BM$1006,0)))),"Fix")))</f>
        <v xml:space="preserve"> </v>
      </c>
      <c r="L781" s="4" t="str">
        <f ca="1">IF(OR(INDEX($AG$2:$AG$1001,MATCH(ROWS($AF$2:AF781),$AF$2:$AF$1001,0),1)&gt;=100000,INDEX($AM$1005:$BM$1005,1,MATCH(COLUMNS($AM$1006:AW1006),$AM$1006:$BM$1006,0))&gt;=100000), " ",IF(INDEX($AM$2:$BM$1001,MATCH(ROWS($AF$2:AF781),$AF$2:$AF$1001,0),MATCH(COLUMNS($AM$1006:AW1006),$AM$1006:$BM$1006,0)), HYPERLINK("#",""), HYPERLINK(CONCATENATE("#metadata!", ADDRESS(INDEX($AH$2:$AH$1001,MATCH(ROWS($AF$2:AF781),$AF$2:$AF$1001,0),0), INDEX($AM$1004:$BM$1004,1,MATCH(COLUMNS($AM$1006:AW1006),$AM$1006:$BM$1006,0)))),"Fix")))</f>
        <v xml:space="preserve"> </v>
      </c>
      <c r="M781" s="4" t="str">
        <f ca="1">IF(OR(INDEX($AG$2:$AG$1001,MATCH(ROWS($AF$2:AF781),$AF$2:$AF$1001,0),1)&gt;=100000,INDEX($AM$1005:$BM$1005,1,MATCH(COLUMNS($AM$1006:AX1006),$AM$1006:$BM$1006,0))&gt;=100000), " ",IF(INDEX($AM$2:$BM$1001,MATCH(ROWS($AF$2:AF781),$AF$2:$AF$1001,0),MATCH(COLUMNS($AM$1006:AX1006),$AM$1006:$BM$1006,0)), HYPERLINK("#",""), HYPERLINK(CONCATENATE("#metadata!", ADDRESS(INDEX($AH$2:$AH$1001,MATCH(ROWS($AF$2:AF781),$AF$2:$AF$1001,0),0), INDEX($AM$1004:$BM$1004,1,MATCH(COLUMNS($AM$1006:AX1006),$AM$1006:$BM$1006,0)))),"Fix")))</f>
        <v xml:space="preserve"> </v>
      </c>
      <c r="N781" s="4" t="str">
        <f ca="1">IF(OR(INDEX($AG$2:$AG$1001,MATCH(ROWS($AF$2:AF781),$AF$2:$AF$1001,0),1)&gt;=100000,INDEX($AM$1005:$BM$1005,1,MATCH(COLUMNS($AM$1006:AY1006),$AM$1006:$BM$1006,0))&gt;=100000), " ",IF(INDEX($AM$2:$BM$1001,MATCH(ROWS($AF$2:AF781),$AF$2:$AF$1001,0),MATCH(COLUMNS($AM$1006:AY1006),$AM$1006:$BM$1006,0)), HYPERLINK("#",""), HYPERLINK(CONCATENATE("#metadata!", ADDRESS(INDEX($AH$2:$AH$1001,MATCH(ROWS($AF$2:AF781),$AF$2:$AF$1001,0),0), INDEX($AM$1004:$BM$1004,1,MATCH(COLUMNS($AM$1006:AY1006),$AM$1006:$BM$1006,0)))),"Fix")))</f>
        <v xml:space="preserve"> </v>
      </c>
      <c r="O781" s="4" t="str">
        <f ca="1">IF(OR(INDEX($AG$2:$AG$1001,MATCH(ROWS($AF$2:AF781),$AF$2:$AF$1001,0),1)&gt;=100000,INDEX($AM$1005:$BM$1005,1,MATCH(COLUMNS($AM$1006:AZ1006),$AM$1006:$BM$1006,0))&gt;=100000), " ",IF(INDEX($AM$2:$BM$1001,MATCH(ROWS($AF$2:AF781),$AF$2:$AF$1001,0),MATCH(COLUMNS($AM$1006:AZ1006),$AM$1006:$BM$1006,0)), HYPERLINK("#",""), HYPERLINK(CONCATENATE("#metadata!", ADDRESS(INDEX($AH$2:$AH$1001,MATCH(ROWS($AF$2:AF781),$AF$2:$AF$1001,0),0), INDEX($AM$1004:$BM$1004,1,MATCH(COLUMNS($AM$1006:AZ1006),$AM$1006:$BM$1006,0)))),"Fix")))</f>
        <v xml:space="preserve"> </v>
      </c>
      <c r="P781" s="4" t="str">
        <f ca="1">IF(OR(INDEX($AG$2:$AG$1001,MATCH(ROWS($AF$2:AF781),$AF$2:$AF$1001,0),1)&gt;=100000,INDEX($AM$1005:$BM$1005,1,MATCH(COLUMNS($AM$1006:BA1006),$AM$1006:$BM$1006,0))&gt;=100000), " ",IF(INDEX($AM$2:$BM$1001,MATCH(ROWS($AF$2:AF781),$AF$2:$AF$1001,0),MATCH(COLUMNS($AM$1006:BA1006),$AM$1006:$BM$1006,0)), HYPERLINK("#",""), HYPERLINK(CONCATENATE("#metadata!", ADDRESS(INDEX($AH$2:$AH$1001,MATCH(ROWS($AF$2:AF781),$AF$2:$AF$1001,0),0), INDEX($AM$1004:$BM$1004,1,MATCH(COLUMNS($AM$1006:BA1006),$AM$1006:$BM$1006,0)))),"Fix")))</f>
        <v xml:space="preserve"> </v>
      </c>
      <c r="Q781" s="4" t="str">
        <f ca="1">IF(OR(INDEX($AG$2:$AG$1001,MATCH(ROWS($AF$2:AF781),$AF$2:$AF$1001,0),1)&gt;=100000,INDEX($AM$1005:$BM$1005,1,MATCH(COLUMNS($AM$1006:BB1006),$AM$1006:$BM$1006,0))&gt;=100000), " ",IF(INDEX($AM$2:$BM$1001,MATCH(ROWS($AF$2:AF781),$AF$2:$AF$1001,0),MATCH(COLUMNS($AM$1006:BB1006),$AM$1006:$BM$1006,0)), HYPERLINK("#",""), HYPERLINK(CONCATENATE("#metadata!", ADDRESS(INDEX($AH$2:$AH$1001,MATCH(ROWS($AF$2:AF781),$AF$2:$AF$1001,0),0), INDEX($AM$1004:$BM$1004,1,MATCH(COLUMNS($AM$1006:BB1006),$AM$1006:$BM$1006,0)))),"Fix")))</f>
        <v xml:space="preserve"> </v>
      </c>
      <c r="R781" s="4" t="str">
        <f ca="1">IF(OR(INDEX($AG$2:$AG$1001,MATCH(ROWS($AF$2:AF781),$AF$2:$AF$1001,0),1)&gt;=100000,INDEX($AM$1005:$BM$1005,1,MATCH(COLUMNS($AM$1006:BC1006),$AM$1006:$BM$1006,0))&gt;=100000), " ",IF(INDEX($AM$2:$BM$1001,MATCH(ROWS($AF$2:AF781),$AF$2:$AF$1001,0),MATCH(COLUMNS($AM$1006:BC1006),$AM$1006:$BM$1006,0)), HYPERLINK("#",""), HYPERLINK(CONCATENATE("#metadata!", ADDRESS(INDEX($AH$2:$AH$1001,MATCH(ROWS($AF$2:AF781),$AF$2:$AF$1001,0),0), INDEX($AM$1004:$BM$1004,1,MATCH(COLUMNS($AM$1006:BC1006),$AM$1006:$BM$1006,0)))),"Fix")))</f>
        <v xml:space="preserve"> </v>
      </c>
      <c r="S781" s="4" t="str">
        <f ca="1">IF(OR(INDEX($AG$2:$AG$1001,MATCH(ROWS($AF$2:AF781),$AF$2:$AF$1001,0),1)&gt;=100000,INDEX($AM$1005:$BM$1005,1,MATCH(COLUMNS($AM$1006:BD1006),$AM$1006:$BM$1006,0))&gt;=100000), " ",IF(INDEX($AM$2:$BM$1001,MATCH(ROWS($AF$2:AF781),$AF$2:$AF$1001,0),MATCH(COLUMNS($AM$1006:BD1006),$AM$1006:$BM$1006,0)), HYPERLINK("#",""), HYPERLINK(CONCATENATE("#metadata!", ADDRESS(INDEX($AH$2:$AH$1001,MATCH(ROWS($AF$2:AF781),$AF$2:$AF$1001,0),0), INDEX($AM$1004:$BM$1004,1,MATCH(COLUMNS($AM$1006:BD1006),$AM$1006:$BM$1006,0)))),"Fix")))</f>
        <v xml:space="preserve"> </v>
      </c>
      <c r="T781" s="4" t="str">
        <f ca="1">IF(OR(INDEX($AG$2:$AG$1001,MATCH(ROWS($AF$2:AF781),$AF$2:$AF$1001,0),1)&gt;=100000,INDEX($AM$1005:$BM$1005,1,MATCH(COLUMNS($AM$1006:BE1006),$AM$1006:$BM$1006,0))&gt;=100000), " ",IF(INDEX($AM$2:$BM$1001,MATCH(ROWS($AF$2:AF781),$AF$2:$AF$1001,0),MATCH(COLUMNS($AM$1006:BE1006),$AM$1006:$BM$1006,0)), HYPERLINK("#",""), HYPERLINK(CONCATENATE("#metadata!", ADDRESS(INDEX($AH$2:$AH$1001,MATCH(ROWS($AF$2:AF781),$AF$2:$AF$1001,0),0), INDEX($AM$1004:$BM$1004,1,MATCH(COLUMNS($AM$1006:BE1006),$AM$1006:$BM$1006,0)))),"Fix")))</f>
        <v xml:space="preserve"> </v>
      </c>
      <c r="U781" s="4" t="str">
        <f ca="1">IF(OR(INDEX($AG$2:$AG$1001,MATCH(ROWS($AF$2:AF781),$AF$2:$AF$1001,0),1)&gt;=100000,INDEX($AM$1005:$BM$1005,1,MATCH(COLUMNS($AM$1006:BF1006),$AM$1006:$BM$1006,0))&gt;=100000), " ",IF(INDEX($AM$2:$BM$1001,MATCH(ROWS($AF$2:AF781),$AF$2:$AF$1001,0),MATCH(COLUMNS($AM$1006:BF1006),$AM$1006:$BM$1006,0)), HYPERLINK("#",""), HYPERLINK(CONCATENATE("#metadata!", ADDRESS(INDEX($AH$2:$AH$1001,MATCH(ROWS($AF$2:AF781),$AF$2:$AF$1001,0),0), INDEX($AM$1004:$BM$1004,1,MATCH(COLUMNS($AM$1006:BF1006),$AM$1006:$BM$1006,0)))),"Fix")))</f>
        <v xml:space="preserve"> </v>
      </c>
      <c r="V781" s="4" t="str">
        <f ca="1">IF(OR(INDEX($AG$2:$AG$1001,MATCH(ROWS($AF$2:AF781),$AF$2:$AF$1001,0),1)&gt;=100000,INDEX($AM$1005:$BM$1005,1,MATCH(COLUMNS($AM$1006:BG1006),$AM$1006:$BM$1006,0))&gt;=100000), " ",IF(INDEX($AM$2:$BM$1001,MATCH(ROWS($AF$2:AF781),$AF$2:$AF$1001,0),MATCH(COLUMNS($AM$1006:BG1006),$AM$1006:$BM$1006,0)), HYPERLINK("#",""), HYPERLINK(CONCATENATE("#metadata!", ADDRESS(INDEX($AH$2:$AH$1001,MATCH(ROWS($AF$2:AF781),$AF$2:$AF$1001,0),0), INDEX($AM$1004:$BM$1004,1,MATCH(COLUMNS($AM$1006:BG1006),$AM$1006:$BM$1006,0)))),"Fix")))</f>
        <v xml:space="preserve"> </v>
      </c>
      <c r="W781" s="4" t="str">
        <f ca="1">IF(OR(INDEX($AG$2:$AG$1001,MATCH(ROWS($AF$2:AF781),$AF$2:$AF$1001,0),1)&gt;=100000,INDEX($AM$1005:$BM$1005,1,MATCH(COLUMNS($AM$1006:BH1006),$AM$1006:$BM$1006,0))&gt;=100000), " ",IF(INDEX($AM$2:$BM$1001,MATCH(ROWS($AF$2:AF781),$AF$2:$AF$1001,0),MATCH(COLUMNS($AM$1006:BH1006),$AM$1006:$BM$1006,0)), HYPERLINK("#",""), HYPERLINK(CONCATENATE("#metadata!", ADDRESS(INDEX($AH$2:$AH$1001,MATCH(ROWS($AF$2:AF781),$AF$2:$AF$1001,0),0), INDEX($AM$1004:$BM$1004,1,MATCH(COLUMNS($AM$1006:BH1006),$AM$1006:$BM$1006,0)))),"Fix")))</f>
        <v xml:space="preserve"> </v>
      </c>
      <c r="X781" s="4" t="str">
        <f ca="1">IF(OR(INDEX($AG$2:$AG$1001,MATCH(ROWS($AF$2:AF781),$AF$2:$AF$1001,0),1)&gt;=100000,INDEX($AM$1005:$BM$1005,1,MATCH(COLUMNS($AM$1006:BI1006),$AM$1006:$BM$1006,0))&gt;=100000), " ",IF(INDEX($AM$2:$BM$1001,MATCH(ROWS($AF$2:AF781),$AF$2:$AF$1001,0),MATCH(COLUMNS($AM$1006:BI1006),$AM$1006:$BM$1006,0)), HYPERLINK("#",""), HYPERLINK(CONCATENATE("#metadata!", ADDRESS(INDEX($AH$2:$AH$1001,MATCH(ROWS($AF$2:AF781),$AF$2:$AF$1001,0),0), INDEX($AM$1004:$BM$1004,1,MATCH(COLUMNS($AM$1006:BI1006),$AM$1006:$BM$1006,0)))),"Fix")))</f>
        <v xml:space="preserve"> </v>
      </c>
      <c r="Y781" s="4" t="str">
        <f ca="1">IF(OR(INDEX($AG$2:$AG$1001,MATCH(ROWS($AF$2:AF781),$AF$2:$AF$1001,0),1)&gt;=100000,INDEX($AM$1005:$BM$1005,1,MATCH(COLUMNS($AM$1006:BJ1006),$AM$1006:$BM$1006,0))&gt;=100000), " ",IF(INDEX($AM$2:$BM$1001,MATCH(ROWS($AF$2:AF781),$AF$2:$AF$1001,0),MATCH(COLUMNS($AM$1006:BJ1006),$AM$1006:$BM$1006,0)), HYPERLINK("#",""), HYPERLINK(CONCATENATE("#metadata!", ADDRESS(INDEX($AH$2:$AH$1001,MATCH(ROWS($AF$2:AF781),$AF$2:$AF$1001,0),0), INDEX($AM$1004:$BM$1004,1,MATCH(COLUMNS($AM$1006:BJ1006),$AM$1006:$BM$1006,0)))),"Fix")))</f>
        <v xml:space="preserve"> </v>
      </c>
      <c r="Z781" s="4" t="str">
        <f ca="1">IF(OR(INDEX($AG$2:$AG$1001,MATCH(ROWS($AF$2:AF781),$AF$2:$AF$1001,0),1)&gt;=100000,INDEX($AM$1005:$BM$1005,1,MATCH(COLUMNS($AM$1006:BK1006),$AM$1006:$BM$1006,0))&gt;=100000), " ",IF(INDEX($AM$2:$BM$1001,MATCH(ROWS($AF$2:AF781),$AF$2:$AF$1001,0),MATCH(COLUMNS($AM$1006:BK1006),$AM$1006:$BM$1006,0)), HYPERLINK("#",""), HYPERLINK(CONCATENATE("#metadata!", ADDRESS(INDEX($AH$2:$AH$1001,MATCH(ROWS($AF$2:AF781),$AF$2:$AF$1001,0),0), INDEX($AM$1004:$BM$1004,1,MATCH(COLUMNS($AM$1006:BK1006),$AM$1006:$BM$1006,0)))),"Fix")))</f>
        <v xml:space="preserve"> </v>
      </c>
      <c r="AA781" s="4" t="str">
        <f ca="1">IF(OR(INDEX($AG$2:$AG$1001,MATCH(ROWS($AF$2:AF781),$AF$2:$AF$1001,0),1)&gt;=100000,INDEX($AM$1005:$BM$1005,1,MATCH(COLUMNS($AM$1006:BL1006),$AM$1006:$BM$1006,0))&gt;=100000), " ",IF(INDEX($AM$2:$BM$1001,MATCH(ROWS($AF$2:AF781),$AF$2:$AF$1001,0),MATCH(COLUMNS($AM$1006:BL1006),$AM$1006:$BM$1006,0)), HYPERLINK("#",""), HYPERLINK(CONCATENATE("#metadata!", ADDRESS(INDEX($AH$2:$AH$1001,MATCH(ROWS($AF$2:AF781),$AF$2:$AF$1001,0),0), INDEX($AM$1004:$BM$1004,1,MATCH(COLUMNS($AM$1006:BL1006),$AM$1006:$BM$1006,0)))),"Fix")))</f>
        <v xml:space="preserve"> </v>
      </c>
      <c r="AB781" s="4" t="str">
        <f ca="1">IF(OR(INDEX($AG$2:$AG$1001,MATCH(ROWS($AF$2:AF781),$AF$2:$AF$1001,0),1)&gt;=100000,INDEX($AM$1005:$BM$1005,1,MATCH(COLUMNS($AM$1006:BM1006),$AM$1006:$BM$1006,0))&gt;=100000), " ",IF(INDEX($AM$2:$BM$1001,MATCH(ROWS($AF$2:AF781),$AF$2:$AF$1001,0),MATCH(COLUMNS($AM$1006:BM1006),$AM$1006:$BM$1006,0)), HYPERLINK("#",""), HYPERLINK(CONCATENATE("#metadata!", ADDRESS(INDEX($AH$2:$AH$1001,MATCH(ROWS($AF$2:AF781),$AF$2:$AF$1001,0),0), INDEX($AM$1004:$BM$1004,1,MATCH(COLUMNS($AM$1006:BM1006),$AM$1006:$BM$1006,0)))),"Fix")))</f>
        <v xml:space="preserve"> </v>
      </c>
      <c r="AF781">
        <v>780</v>
      </c>
      <c r="AG781">
        <v>100781</v>
      </c>
      <c r="AH781">
        <v>781</v>
      </c>
      <c r="AI781" t="b">
        <f t="shared" si="12"/>
        <v>1</v>
      </c>
      <c r="AJ781" t="b">
        <f>COUNTBLANK(metadata!B781:AB781)=COLUMNS(metadata!B781:AB781)</f>
        <v>1</v>
      </c>
      <c r="AK781" t="str">
        <v/>
      </c>
      <c r="AM781" t="b">
        <f ca="1">AND(IF(metadata!B781="",FALSE,TRUE),COUNTIF(metadata!B:B, metadata!B781) = 1,NOT(ISERROR(SUMPRODUCT(SEARCH(MID(metadata!B781,ROW(INDIRECT("1:"&amp;LEN(metadata!B781))), 1),"0123456789abcdefghijklmnopqrstuvwxyzABCDEFGHIJKLMNOPQRSTUVWXYZ.")))))</f>
        <v>0</v>
      </c>
      <c r="AN781" t="b">
        <f ca="1">OR(AND(IF(metadata!C781="",FALSE,TRUE),OR(EXACT(metadata!C781,"missing: not collected"),EXACT(metadata!C781,"missing: not provided"),EXACT(metadata!C781,"missing: restricted access"))),AND(IF(metadata!C781="",FALSE,TRUE),AND(AND(IFERROR(INT(LEFT(metadata!C781,4))&gt;1900,FALSE),IFERROR(INT(LEFT(metadata!C781,4))&lt;=YEAR(NOW()),FALSE)), OR(MID(metadata!C781,5,1)="", AND(AND(MID(metadata!C781,5,1)="-",IFERROR(INT(MID(metadata!C781,6,1))&gt;=0,FALSE),IFERROR(INT(MID(metadata!C781,6,1))&lt;=1,FALSE),NOT(MID(metadata!C781,7,1)=""),IFERROR(INT(MID(metadata!C781,6,2))&gt;=1,FALSE),IFERROR(INT(MID(metadata!C781,6,2))&lt;=12,FALSE)), OR(MID(metadata!C781,8,1)="", AND(AND(MID(metadata!C781,8,1)="-",IFERROR(INT(MID(metadata!C781,9,1))&gt;=0,FALSE),IFERROR(INT(MID(metadata!C781,9,1))&lt;=3,FALSE),NOT(MID(metadata!C781,10,1)=""),IFERROR(INT(MID(metadata!C781,9,2))&gt;=1,FALSE),IFERROR(INT(MID(metadata!C781,9,2))&lt;=31,FALSE)), OR(MID(metadata!C781,11,1)="", AND(AND(MID(metadata!C781,11,1)=" ",IFERROR(INT(MID(metadata!C781,12,1))&gt;=0,FALSE),IFERROR(INT(MID(metadata!C781,12,1))&lt;=2,FALSE),NOT(MID(metadata!C781,13,1)=""),IFERROR(INT(MID(metadata!C781,12,2))&gt;=0,FALSE),IFERROR(INT(MID(metadata!C781,12,2))&lt;=23,FALSE)), OR(MID(metadata!C781,14,1)="", AND(AND(MID(metadata!C781,14,1)=":",IFERROR(INT(MID(metadata!C781,15,1))&gt;=0,FALSE),IFERROR(INT(MID(metadata!C781,15,1))&lt;=5,FALSE),NOT(MID(metadata!C781,16,1)=""),IFERROR(INT(MID(metadata!C781,15,2))&gt;=0,FALSE),IFERROR(INT(MID(metadata!C781,15,2))&lt;=59,FALSE)), OR(MID(metadata!C781,17,1)="", AND(AND(MID(metadata!C781,17,1)=":",IFERROR(INT(MID(metadata!C781,18,1))&gt;=0,FALSE),IFERROR(INT(MID(metadata!C781,18,1))&lt;=5,FALSE),NOT(MID(metadata!C781,19,1)=""),IFERROR(INT(MID(metadata!C781,18,2))&gt;=0,FALSE),IFERROR(INT(MID(metadata!C781,18,2))&lt;=59,FALSE)), LEN(metadata!C781)&lt;=19)))))))))))))</f>
        <v>0</v>
      </c>
      <c r="AO781" t="b">
        <f>AND(IF(metadata!D781="",FALSE,TRUE),EXACT(metadata!D781,"Not applicable"))</f>
        <v>0</v>
      </c>
      <c r="AP781" t="b">
        <f>IF(metadata!E781="",FALSE,TRUE)</f>
        <v>0</v>
      </c>
      <c r="AQ781" t="b">
        <f>OR(AND(IF(metadata!F781="",FALSE,TRUE),OR(EXACT(metadata!F781,"missing: not collected"),EXACT(metadata!F781,"missing: not provided"))),AND(IF(metadata!F781="",FALSE,TRUE),OR(EXACT(metadata!F781,"TRUE"),EXACT(metadata!F781,"FALSE"))))</f>
        <v>0</v>
      </c>
      <c r="AR781" t="b">
        <f>OR(AND(IF(metadata!G781="",FALSE,TRUE),OR(EXACT(metadata!G781,"missing: not collected"),EXACT(metadata!G781,"missing: not provided"),EXACT(metadata!G781,"missing: restricted access"))),AND(IF(metadata!G781="",FALSE,ISNUMBER(VALUE(metadata!G781))),metadata!G781&gt;=-413))</f>
        <v>0</v>
      </c>
      <c r="AS781" t="b">
        <f>AND(IF(metadata!H781="",FALSE,TRUE),EXACT(metadata!H781,"meters"))</f>
        <v>0</v>
      </c>
      <c r="AT781" t="b">
        <f>AND(IF(metadata!I781="",FALSE,TRUE),OR(EXACT(metadata!I781,"Host-associated"),EXACT(metadata!I781,"Free-living")))</f>
        <v>0</v>
      </c>
      <c r="AU781" t="b">
        <f>AND(IF(metadata!J781="",FALSE,TRUE),OR(EXACT(metadata!J781,"Animal"),EXACT(metadata!J781,"Fungus"),EXACT(metadata!J781,"Plant"),EXACT(metadata!J781,"Saline"),EXACT(metadata!J781,"Non-saline")))</f>
        <v>0</v>
      </c>
      <c r="AV781" t="b">
        <f>AND(IF(metadata!K781="",FALSE,TRUE),OR(EXACT(metadata!K781,"Plant secretion"),EXACT(metadata!K781,"Plant rhizosphere"),EXACT(metadata!K781,"Plant surface"),EXACT(metadata!K781,"Plant corpus"),EXACT(metadata!K781,"Fungus surface"),EXACT(metadata!K781,"Fungus corpus"),EXACT(metadata!K781,"Animal surface"),EXACT(metadata!K781,"Animal proximal gut"),EXACT(metadata!K781,"Animal corpus"),EXACT(metadata!K781,"Animal distal gut"),EXACT(metadata!K781,"Animal secretion"),EXACT(metadata!K781,"Sub-surface (non-saline)"),EXACT(metadata!K781,"Surface (non-saline)"),EXACT(metadata!K781,"Water (non-saline)"),EXACT(metadata!K781,"Soil (non-saline)"),EXACT(metadata!K781,"Aerosol (non-saline)"),EXACT(metadata!K781,"Sediment (non-saline)"),EXACT(metadata!K781,"Surface (saline)"),EXACT(metadata!K781,"Water (saline)"),EXACT(metadata!K781,"Hypersaline (saline)"),EXACT(metadata!K781,"Aerosol (saline)"),EXACT(metadata!K781,"Sediment (saline)")))</f>
        <v>0</v>
      </c>
      <c r="AW781" t="b">
        <f>IF(metadata!L781="",FALSE,TRUE)</f>
        <v>0</v>
      </c>
      <c r="AX781" t="b">
        <f>IF(metadata!M781="",FALSE,TRUE)</f>
        <v>0</v>
      </c>
      <c r="AY781" t="b">
        <f>IF(metadata!N781="",FALSE,TRUE)</f>
        <v>0</v>
      </c>
      <c r="AZ781" t="b">
        <f>OR(AND(IF(metadata!O781="",FALSE,TRUE),OR(EXACT(metadata!O781,"missing: not collected"),EXACT(metadata!O781,"missing: not provided"),EXACT(metadata!O781,"missing: restricted access"))),AND(IF(metadata!O781="",FALSE,TRUE),OR(EXACT(metadata!O781,"air"),EXACT(metadata!O781,"built environment"),EXACT(metadata!O781,"host-associated"),EXACT(metadata!O781,"human-associated"),EXACT(metadata!O781,"human-skin"),EXACT(metadata!O781,"human-oral"),EXACT(metadata!O781,"human-gut"),EXACT(metadata!O781,"human-vaginal"),EXACT(metadata!O781,"microbial mat/biofilm"),EXACT(metadata!O781,"misc environment"),EXACT(metadata!O781,"plant-associated"),EXACT(metadata!O781,"sediment"),EXACT(metadata!O781,"soil"),EXACT(metadata!O781,"wastewater/sludge"),EXACT(metadata!O781,"water"))))</f>
        <v>0</v>
      </c>
      <c r="BA781" t="b">
        <f>IF(metadata!P781="",FALSE,TRUE)</f>
        <v>0</v>
      </c>
      <c r="BB781" t="b">
        <f>IF(metadata!Q781="",FALSE,TRUE)</f>
        <v>0</v>
      </c>
      <c r="BC781" t="b">
        <f>OR(AND(IF(metadata!R781="",FALSE,TRUE),OR(EXACT(metadata!R781,"missing: not collected"),EXACT(metadata!R781,"missing: not provided"),EXACT(metadata!R781,"missing: restricted access"))),AND(IF(metadata!R781="",FALSE,ISNUMBER(VALUE(metadata!R781))),metadata!R781&gt;=-90,metadata!R781&lt;=90))</f>
        <v>0</v>
      </c>
      <c r="BD781" t="b">
        <f>AND(IF(metadata!S781="",FALSE,TRUE),EXACT(metadata!S781,"Decimal degrees"))</f>
        <v>0</v>
      </c>
      <c r="BE781" t="b">
        <f>OR(AND(IF(metadata!T781="",FALSE,TRUE),OR(EXACT(metadata!T781,"missing: not collected"),EXACT(metadata!T781,"missing: not provided"),EXACT(metadata!T781,"missing: restricted access"))),AND(IF(metadata!T781="",FALSE,ISNUMBER(VALUE(metadata!T781))),metadata!T781&gt;=-180,metadata!T781&lt;=180))</f>
        <v>0</v>
      </c>
      <c r="BF781" t="b">
        <f>AND(IF(metadata!U781="",FALSE,TRUE),EXACT(metadata!U781,"Decimal degrees"))</f>
        <v>0</v>
      </c>
      <c r="BG781" t="b">
        <f>IF(metadata!V781="",FALSE,TRUE)</f>
        <v>0</v>
      </c>
      <c r="BH781" t="b">
        <f>OR(AND(IF(metadata!W781="",FALSE,TRUE),OR(EXACT(metadata!W781,"missing: not collected"),EXACT(metadata!W781,"missing: not provided"),EXACT(metadata!W781,"missing: restricted access"))),AND(IF(metadata!W781="",FALSE,TRUE),OR(EXACT(metadata!W781,"TRUE"),EXACT(metadata!W781,"FALSE"))))</f>
        <v>0</v>
      </c>
      <c r="BI781" t="b">
        <f>AND(IF(metadata!X781="",FALSE,TRUE),EXACT(metadata!X781,"other"))</f>
        <v>0</v>
      </c>
      <c r="BJ781" t="b">
        <f>IF(metadata!Y781="",FALSE,TRUE)</f>
        <v>0</v>
      </c>
      <c r="BK781" t="b">
        <f>OR(AND(IF(metadata!Z781="",FALSE,TRUE),OR(EXACT(metadata!Z781,"missing: not collected"),EXACT(metadata!Z781,"missing: not provided"))),AND(IF(metadata!Z781="",FALSE,IF(ISERROR(INT(metadata!Z781)),FALSE,INT(metadata!Z781)=metadata!Z781)),metadata!Z781&gt;0))</f>
        <v>0</v>
      </c>
      <c r="BL781" t="b">
        <f>AND(IF(metadata!AA781="",FALSE,TRUE),EXACT(metadata!AA781,"Not applicable"))</f>
        <v>0</v>
      </c>
      <c r="BM781" t="b">
        <f>IF(metadata!AB781="",FALSE,TRUE)</f>
        <v>0</v>
      </c>
    </row>
    <row r="782" spans="1:65" x14ac:dyDescent="0.2">
      <c r="A782" s="5" t="str">
        <f ca="1">IF(B782=" "," ",HYPERLINK(CONCATENATE("#metadata!",ADDRESS(INDEX($AH$2:$AH$1001,MATCH(ROWS($AF$2:AF782),$AF$2:$AF$1001,0),0),1)),INDEX($AK$2:$AK$1001,MATCH(ROWS($AF$2:AF782),$AF$2:$AF$1001,0),0)))</f>
        <v xml:space="preserve"> </v>
      </c>
      <c r="B782" s="4" t="str">
        <f ca="1">IF(OR(INDEX($AG$2:$AG$1001,MATCH(ROWS($AF$2:AF782),$AF$2:$AF$1001,0),1)&gt;=100000,INDEX($AM$1005:$BM$1005,1,MATCH(COLUMNS($AM$1006:AM1006),$AM$1006:$BM$1006,0))&gt;=100000), " ",IF(INDEX($AM$2:$BM$1001,MATCH(ROWS($AF$2:AF782),$AF$2:$AF$1001,0),MATCH(COLUMNS($AM$1006:AM1006),$AM$1006:$BM$1006,0)), HYPERLINK("#",""), HYPERLINK(CONCATENATE("#metadata!", ADDRESS(INDEX($AH$2:$AH$1001,MATCH(ROWS($AF$2:AF782),$AF$2:$AF$1001,0),0), INDEX($AM$1004:$BM$1004,1,MATCH(COLUMNS($AM$1006:AM1006),$AM$1006:$BM$1006,0)))),"Fix")))</f>
        <v xml:space="preserve"> </v>
      </c>
      <c r="C782" s="4" t="str">
        <f ca="1">IF(OR(INDEX($AG$2:$AG$1001,MATCH(ROWS($AF$2:AF782),$AF$2:$AF$1001,0),1)&gt;=100000,INDEX($AM$1005:$BM$1005,1,MATCH(COLUMNS($AM$1006:AN1006),$AM$1006:$BM$1006,0))&gt;=100000), " ",IF(INDEX($AM$2:$BM$1001,MATCH(ROWS($AF$2:AF782),$AF$2:$AF$1001,0),MATCH(COLUMNS($AM$1006:AN1006),$AM$1006:$BM$1006,0)), HYPERLINK("#",""), HYPERLINK(CONCATENATE("#metadata!", ADDRESS(INDEX($AH$2:$AH$1001,MATCH(ROWS($AF$2:AF782),$AF$2:$AF$1001,0),0), INDEX($AM$1004:$BM$1004,1,MATCH(COLUMNS($AM$1006:AN1006),$AM$1006:$BM$1006,0)))),"Fix")))</f>
        <v xml:space="preserve"> </v>
      </c>
      <c r="D782" s="4" t="str">
        <f ca="1">IF(OR(INDEX($AG$2:$AG$1001,MATCH(ROWS($AF$2:AF782),$AF$2:$AF$1001,0),1)&gt;=100000,INDEX($AM$1005:$BM$1005,1,MATCH(COLUMNS($AM$1006:AO1006),$AM$1006:$BM$1006,0))&gt;=100000), " ",IF(INDEX($AM$2:$BM$1001,MATCH(ROWS($AF$2:AF782),$AF$2:$AF$1001,0),MATCH(COLUMNS($AM$1006:AO1006),$AM$1006:$BM$1006,0)), HYPERLINK("#",""), HYPERLINK(CONCATENATE("#metadata!", ADDRESS(INDEX($AH$2:$AH$1001,MATCH(ROWS($AF$2:AF782),$AF$2:$AF$1001,0),0), INDEX($AM$1004:$BM$1004,1,MATCH(COLUMNS($AM$1006:AO1006),$AM$1006:$BM$1006,0)))),"Fix")))</f>
        <v xml:space="preserve"> </v>
      </c>
      <c r="E782" s="4" t="str">
        <f ca="1">IF(OR(INDEX($AG$2:$AG$1001,MATCH(ROWS($AF$2:AF782),$AF$2:$AF$1001,0),1)&gt;=100000,INDEX($AM$1005:$BM$1005,1,MATCH(COLUMNS($AM$1006:AP1006),$AM$1006:$BM$1006,0))&gt;=100000), " ",IF(INDEX($AM$2:$BM$1001,MATCH(ROWS($AF$2:AF782),$AF$2:$AF$1001,0),MATCH(COLUMNS($AM$1006:AP1006),$AM$1006:$BM$1006,0)), HYPERLINK("#",""), HYPERLINK(CONCATENATE("#metadata!", ADDRESS(INDEX($AH$2:$AH$1001,MATCH(ROWS($AF$2:AF782),$AF$2:$AF$1001,0),0), INDEX($AM$1004:$BM$1004,1,MATCH(COLUMNS($AM$1006:AP1006),$AM$1006:$BM$1006,0)))),"Fix")))</f>
        <v xml:space="preserve"> </v>
      </c>
      <c r="F782" s="4" t="str">
        <f ca="1">IF(OR(INDEX($AG$2:$AG$1001,MATCH(ROWS($AF$2:AF782),$AF$2:$AF$1001,0),1)&gt;=100000,INDEX($AM$1005:$BM$1005,1,MATCH(COLUMNS($AM$1006:AQ1006),$AM$1006:$BM$1006,0))&gt;=100000), " ",IF(INDEX($AM$2:$BM$1001,MATCH(ROWS($AF$2:AF782),$AF$2:$AF$1001,0),MATCH(COLUMNS($AM$1006:AQ1006),$AM$1006:$BM$1006,0)), HYPERLINK("#",""), HYPERLINK(CONCATENATE("#metadata!", ADDRESS(INDEX($AH$2:$AH$1001,MATCH(ROWS($AF$2:AF782),$AF$2:$AF$1001,0),0), INDEX($AM$1004:$BM$1004,1,MATCH(COLUMNS($AM$1006:AQ1006),$AM$1006:$BM$1006,0)))),"Fix")))</f>
        <v xml:space="preserve"> </v>
      </c>
      <c r="G782" s="4" t="str">
        <f ca="1">IF(OR(INDEX($AG$2:$AG$1001,MATCH(ROWS($AF$2:AF782),$AF$2:$AF$1001,0),1)&gt;=100000,INDEX($AM$1005:$BM$1005,1,MATCH(COLUMNS($AM$1006:AR1006),$AM$1006:$BM$1006,0))&gt;=100000), " ",IF(INDEX($AM$2:$BM$1001,MATCH(ROWS($AF$2:AF782),$AF$2:$AF$1001,0),MATCH(COLUMNS($AM$1006:AR1006),$AM$1006:$BM$1006,0)), HYPERLINK("#",""), HYPERLINK(CONCATENATE("#metadata!", ADDRESS(INDEX($AH$2:$AH$1001,MATCH(ROWS($AF$2:AF782),$AF$2:$AF$1001,0),0), INDEX($AM$1004:$BM$1004,1,MATCH(COLUMNS($AM$1006:AR1006),$AM$1006:$BM$1006,0)))),"Fix")))</f>
        <v xml:space="preserve"> </v>
      </c>
      <c r="H782" s="4" t="str">
        <f ca="1">IF(OR(INDEX($AG$2:$AG$1001,MATCH(ROWS($AF$2:AF782),$AF$2:$AF$1001,0),1)&gt;=100000,INDEX($AM$1005:$BM$1005,1,MATCH(COLUMNS($AM$1006:AS1006),$AM$1006:$BM$1006,0))&gt;=100000), " ",IF(INDEX($AM$2:$BM$1001,MATCH(ROWS($AF$2:AF782),$AF$2:$AF$1001,0),MATCH(COLUMNS($AM$1006:AS1006),$AM$1006:$BM$1006,0)), HYPERLINK("#",""), HYPERLINK(CONCATENATE("#metadata!", ADDRESS(INDEX($AH$2:$AH$1001,MATCH(ROWS($AF$2:AF782),$AF$2:$AF$1001,0),0), INDEX($AM$1004:$BM$1004,1,MATCH(COLUMNS($AM$1006:AS1006),$AM$1006:$BM$1006,0)))),"Fix")))</f>
        <v xml:space="preserve"> </v>
      </c>
      <c r="I782" s="4" t="str">
        <f ca="1">IF(OR(INDEX($AG$2:$AG$1001,MATCH(ROWS($AF$2:AF782),$AF$2:$AF$1001,0),1)&gt;=100000,INDEX($AM$1005:$BM$1005,1,MATCH(COLUMNS($AM$1006:AT1006),$AM$1006:$BM$1006,0))&gt;=100000), " ",IF(INDEX($AM$2:$BM$1001,MATCH(ROWS($AF$2:AF782),$AF$2:$AF$1001,0),MATCH(COLUMNS($AM$1006:AT1006),$AM$1006:$BM$1006,0)), HYPERLINK("#",""), HYPERLINK(CONCATENATE("#metadata!", ADDRESS(INDEX($AH$2:$AH$1001,MATCH(ROWS($AF$2:AF782),$AF$2:$AF$1001,0),0), INDEX($AM$1004:$BM$1004,1,MATCH(COLUMNS($AM$1006:AT1006),$AM$1006:$BM$1006,0)))),"Fix")))</f>
        <v xml:space="preserve"> </v>
      </c>
      <c r="J782" s="4" t="str">
        <f ca="1">IF(OR(INDEX($AG$2:$AG$1001,MATCH(ROWS($AF$2:AF782),$AF$2:$AF$1001,0),1)&gt;=100000,INDEX($AM$1005:$BM$1005,1,MATCH(COLUMNS($AM$1006:AU1006),$AM$1006:$BM$1006,0))&gt;=100000), " ",IF(INDEX($AM$2:$BM$1001,MATCH(ROWS($AF$2:AF782),$AF$2:$AF$1001,0),MATCH(COLUMNS($AM$1006:AU1006),$AM$1006:$BM$1006,0)), HYPERLINK("#",""), HYPERLINK(CONCATENATE("#metadata!", ADDRESS(INDEX($AH$2:$AH$1001,MATCH(ROWS($AF$2:AF782),$AF$2:$AF$1001,0),0), INDEX($AM$1004:$BM$1004,1,MATCH(COLUMNS($AM$1006:AU1006),$AM$1006:$BM$1006,0)))),"Fix")))</f>
        <v xml:space="preserve"> </v>
      </c>
      <c r="K782" s="4" t="str">
        <f ca="1">IF(OR(INDEX($AG$2:$AG$1001,MATCH(ROWS($AF$2:AF782),$AF$2:$AF$1001,0),1)&gt;=100000,INDEX($AM$1005:$BM$1005,1,MATCH(COLUMNS($AM$1006:AV1006),$AM$1006:$BM$1006,0))&gt;=100000), " ",IF(INDEX($AM$2:$BM$1001,MATCH(ROWS($AF$2:AF782),$AF$2:$AF$1001,0),MATCH(COLUMNS($AM$1006:AV1006),$AM$1006:$BM$1006,0)), HYPERLINK("#",""), HYPERLINK(CONCATENATE("#metadata!", ADDRESS(INDEX($AH$2:$AH$1001,MATCH(ROWS($AF$2:AF782),$AF$2:$AF$1001,0),0), INDEX($AM$1004:$BM$1004,1,MATCH(COLUMNS($AM$1006:AV1006),$AM$1006:$BM$1006,0)))),"Fix")))</f>
        <v xml:space="preserve"> </v>
      </c>
      <c r="L782" s="4" t="str">
        <f ca="1">IF(OR(INDEX($AG$2:$AG$1001,MATCH(ROWS($AF$2:AF782),$AF$2:$AF$1001,0),1)&gt;=100000,INDEX($AM$1005:$BM$1005,1,MATCH(COLUMNS($AM$1006:AW1006),$AM$1006:$BM$1006,0))&gt;=100000), " ",IF(INDEX($AM$2:$BM$1001,MATCH(ROWS($AF$2:AF782),$AF$2:$AF$1001,0),MATCH(COLUMNS($AM$1006:AW1006),$AM$1006:$BM$1006,0)), HYPERLINK("#",""), HYPERLINK(CONCATENATE("#metadata!", ADDRESS(INDEX($AH$2:$AH$1001,MATCH(ROWS($AF$2:AF782),$AF$2:$AF$1001,0),0), INDEX($AM$1004:$BM$1004,1,MATCH(COLUMNS($AM$1006:AW1006),$AM$1006:$BM$1006,0)))),"Fix")))</f>
        <v xml:space="preserve"> </v>
      </c>
      <c r="M782" s="4" t="str">
        <f ca="1">IF(OR(INDEX($AG$2:$AG$1001,MATCH(ROWS($AF$2:AF782),$AF$2:$AF$1001,0),1)&gt;=100000,INDEX($AM$1005:$BM$1005,1,MATCH(COLUMNS($AM$1006:AX1006),$AM$1006:$BM$1006,0))&gt;=100000), " ",IF(INDEX($AM$2:$BM$1001,MATCH(ROWS($AF$2:AF782),$AF$2:$AF$1001,0),MATCH(COLUMNS($AM$1006:AX1006),$AM$1006:$BM$1006,0)), HYPERLINK("#",""), HYPERLINK(CONCATENATE("#metadata!", ADDRESS(INDEX($AH$2:$AH$1001,MATCH(ROWS($AF$2:AF782),$AF$2:$AF$1001,0),0), INDEX($AM$1004:$BM$1004,1,MATCH(COLUMNS($AM$1006:AX1006),$AM$1006:$BM$1006,0)))),"Fix")))</f>
        <v xml:space="preserve"> </v>
      </c>
      <c r="N782" s="4" t="str">
        <f ca="1">IF(OR(INDEX($AG$2:$AG$1001,MATCH(ROWS($AF$2:AF782),$AF$2:$AF$1001,0),1)&gt;=100000,INDEX($AM$1005:$BM$1005,1,MATCH(COLUMNS($AM$1006:AY1006),$AM$1006:$BM$1006,0))&gt;=100000), " ",IF(INDEX($AM$2:$BM$1001,MATCH(ROWS($AF$2:AF782),$AF$2:$AF$1001,0),MATCH(COLUMNS($AM$1006:AY1006),$AM$1006:$BM$1006,0)), HYPERLINK("#",""), HYPERLINK(CONCATENATE("#metadata!", ADDRESS(INDEX($AH$2:$AH$1001,MATCH(ROWS($AF$2:AF782),$AF$2:$AF$1001,0),0), INDEX($AM$1004:$BM$1004,1,MATCH(COLUMNS($AM$1006:AY1006),$AM$1006:$BM$1006,0)))),"Fix")))</f>
        <v xml:space="preserve"> </v>
      </c>
      <c r="O782" s="4" t="str">
        <f ca="1">IF(OR(INDEX($AG$2:$AG$1001,MATCH(ROWS($AF$2:AF782),$AF$2:$AF$1001,0),1)&gt;=100000,INDEX($AM$1005:$BM$1005,1,MATCH(COLUMNS($AM$1006:AZ1006),$AM$1006:$BM$1006,0))&gt;=100000), " ",IF(INDEX($AM$2:$BM$1001,MATCH(ROWS($AF$2:AF782),$AF$2:$AF$1001,0),MATCH(COLUMNS($AM$1006:AZ1006),$AM$1006:$BM$1006,0)), HYPERLINK("#",""), HYPERLINK(CONCATENATE("#metadata!", ADDRESS(INDEX($AH$2:$AH$1001,MATCH(ROWS($AF$2:AF782),$AF$2:$AF$1001,0),0), INDEX($AM$1004:$BM$1004,1,MATCH(COLUMNS($AM$1006:AZ1006),$AM$1006:$BM$1006,0)))),"Fix")))</f>
        <v xml:space="preserve"> </v>
      </c>
      <c r="P782" s="4" t="str">
        <f ca="1">IF(OR(INDEX($AG$2:$AG$1001,MATCH(ROWS($AF$2:AF782),$AF$2:$AF$1001,0),1)&gt;=100000,INDEX($AM$1005:$BM$1005,1,MATCH(COLUMNS($AM$1006:BA1006),$AM$1006:$BM$1006,0))&gt;=100000), " ",IF(INDEX($AM$2:$BM$1001,MATCH(ROWS($AF$2:AF782),$AF$2:$AF$1001,0),MATCH(COLUMNS($AM$1006:BA1006),$AM$1006:$BM$1006,0)), HYPERLINK("#",""), HYPERLINK(CONCATENATE("#metadata!", ADDRESS(INDEX($AH$2:$AH$1001,MATCH(ROWS($AF$2:AF782),$AF$2:$AF$1001,0),0), INDEX($AM$1004:$BM$1004,1,MATCH(COLUMNS($AM$1006:BA1006),$AM$1006:$BM$1006,0)))),"Fix")))</f>
        <v xml:space="preserve"> </v>
      </c>
      <c r="Q782" s="4" t="str">
        <f ca="1">IF(OR(INDEX($AG$2:$AG$1001,MATCH(ROWS($AF$2:AF782),$AF$2:$AF$1001,0),1)&gt;=100000,INDEX($AM$1005:$BM$1005,1,MATCH(COLUMNS($AM$1006:BB1006),$AM$1006:$BM$1006,0))&gt;=100000), " ",IF(INDEX($AM$2:$BM$1001,MATCH(ROWS($AF$2:AF782),$AF$2:$AF$1001,0),MATCH(COLUMNS($AM$1006:BB1006),$AM$1006:$BM$1006,0)), HYPERLINK("#",""), HYPERLINK(CONCATENATE("#metadata!", ADDRESS(INDEX($AH$2:$AH$1001,MATCH(ROWS($AF$2:AF782),$AF$2:$AF$1001,0),0), INDEX($AM$1004:$BM$1004,1,MATCH(COLUMNS($AM$1006:BB1006),$AM$1006:$BM$1006,0)))),"Fix")))</f>
        <v xml:space="preserve"> </v>
      </c>
      <c r="R782" s="4" t="str">
        <f ca="1">IF(OR(INDEX($AG$2:$AG$1001,MATCH(ROWS($AF$2:AF782),$AF$2:$AF$1001,0),1)&gt;=100000,INDEX($AM$1005:$BM$1005,1,MATCH(COLUMNS($AM$1006:BC1006),$AM$1006:$BM$1006,0))&gt;=100000), " ",IF(INDEX($AM$2:$BM$1001,MATCH(ROWS($AF$2:AF782),$AF$2:$AF$1001,0),MATCH(COLUMNS($AM$1006:BC1006),$AM$1006:$BM$1006,0)), HYPERLINK("#",""), HYPERLINK(CONCATENATE("#metadata!", ADDRESS(INDEX($AH$2:$AH$1001,MATCH(ROWS($AF$2:AF782),$AF$2:$AF$1001,0),0), INDEX($AM$1004:$BM$1004,1,MATCH(COLUMNS($AM$1006:BC1006),$AM$1006:$BM$1006,0)))),"Fix")))</f>
        <v xml:space="preserve"> </v>
      </c>
      <c r="S782" s="4" t="str">
        <f ca="1">IF(OR(INDEX($AG$2:$AG$1001,MATCH(ROWS($AF$2:AF782),$AF$2:$AF$1001,0),1)&gt;=100000,INDEX($AM$1005:$BM$1005,1,MATCH(COLUMNS($AM$1006:BD1006),$AM$1006:$BM$1006,0))&gt;=100000), " ",IF(INDEX($AM$2:$BM$1001,MATCH(ROWS($AF$2:AF782),$AF$2:$AF$1001,0),MATCH(COLUMNS($AM$1006:BD1006),$AM$1006:$BM$1006,0)), HYPERLINK("#",""), HYPERLINK(CONCATENATE("#metadata!", ADDRESS(INDEX($AH$2:$AH$1001,MATCH(ROWS($AF$2:AF782),$AF$2:$AF$1001,0),0), INDEX($AM$1004:$BM$1004,1,MATCH(COLUMNS($AM$1006:BD1006),$AM$1006:$BM$1006,0)))),"Fix")))</f>
        <v xml:space="preserve"> </v>
      </c>
      <c r="T782" s="4" t="str">
        <f ca="1">IF(OR(INDEX($AG$2:$AG$1001,MATCH(ROWS($AF$2:AF782),$AF$2:$AF$1001,0),1)&gt;=100000,INDEX($AM$1005:$BM$1005,1,MATCH(COLUMNS($AM$1006:BE1006),$AM$1006:$BM$1006,0))&gt;=100000), " ",IF(INDEX($AM$2:$BM$1001,MATCH(ROWS($AF$2:AF782),$AF$2:$AF$1001,0),MATCH(COLUMNS($AM$1006:BE1006),$AM$1006:$BM$1006,0)), HYPERLINK("#",""), HYPERLINK(CONCATENATE("#metadata!", ADDRESS(INDEX($AH$2:$AH$1001,MATCH(ROWS($AF$2:AF782),$AF$2:$AF$1001,0),0), INDEX($AM$1004:$BM$1004,1,MATCH(COLUMNS($AM$1006:BE1006),$AM$1006:$BM$1006,0)))),"Fix")))</f>
        <v xml:space="preserve"> </v>
      </c>
      <c r="U782" s="4" t="str">
        <f ca="1">IF(OR(INDEX($AG$2:$AG$1001,MATCH(ROWS($AF$2:AF782),$AF$2:$AF$1001,0),1)&gt;=100000,INDEX($AM$1005:$BM$1005,1,MATCH(COLUMNS($AM$1006:BF1006),$AM$1006:$BM$1006,0))&gt;=100000), " ",IF(INDEX($AM$2:$BM$1001,MATCH(ROWS($AF$2:AF782),$AF$2:$AF$1001,0),MATCH(COLUMNS($AM$1006:BF1006),$AM$1006:$BM$1006,0)), HYPERLINK("#",""), HYPERLINK(CONCATENATE("#metadata!", ADDRESS(INDEX($AH$2:$AH$1001,MATCH(ROWS($AF$2:AF782),$AF$2:$AF$1001,0),0), INDEX($AM$1004:$BM$1004,1,MATCH(COLUMNS($AM$1006:BF1006),$AM$1006:$BM$1006,0)))),"Fix")))</f>
        <v xml:space="preserve"> </v>
      </c>
      <c r="V782" s="4" t="str">
        <f ca="1">IF(OR(INDEX($AG$2:$AG$1001,MATCH(ROWS($AF$2:AF782),$AF$2:$AF$1001,0),1)&gt;=100000,INDEX($AM$1005:$BM$1005,1,MATCH(COLUMNS($AM$1006:BG1006),$AM$1006:$BM$1006,0))&gt;=100000), " ",IF(INDEX($AM$2:$BM$1001,MATCH(ROWS($AF$2:AF782),$AF$2:$AF$1001,0),MATCH(COLUMNS($AM$1006:BG1006),$AM$1006:$BM$1006,0)), HYPERLINK("#",""), HYPERLINK(CONCATENATE("#metadata!", ADDRESS(INDEX($AH$2:$AH$1001,MATCH(ROWS($AF$2:AF782),$AF$2:$AF$1001,0),0), INDEX($AM$1004:$BM$1004,1,MATCH(COLUMNS($AM$1006:BG1006),$AM$1006:$BM$1006,0)))),"Fix")))</f>
        <v xml:space="preserve"> </v>
      </c>
      <c r="W782" s="4" t="str">
        <f ca="1">IF(OR(INDEX($AG$2:$AG$1001,MATCH(ROWS($AF$2:AF782),$AF$2:$AF$1001,0),1)&gt;=100000,INDEX($AM$1005:$BM$1005,1,MATCH(COLUMNS($AM$1006:BH1006),$AM$1006:$BM$1006,0))&gt;=100000), " ",IF(INDEX($AM$2:$BM$1001,MATCH(ROWS($AF$2:AF782),$AF$2:$AF$1001,0),MATCH(COLUMNS($AM$1006:BH1006),$AM$1006:$BM$1006,0)), HYPERLINK("#",""), HYPERLINK(CONCATENATE("#metadata!", ADDRESS(INDEX($AH$2:$AH$1001,MATCH(ROWS($AF$2:AF782),$AF$2:$AF$1001,0),0), INDEX($AM$1004:$BM$1004,1,MATCH(COLUMNS($AM$1006:BH1006),$AM$1006:$BM$1006,0)))),"Fix")))</f>
        <v xml:space="preserve"> </v>
      </c>
      <c r="X782" s="4" t="str">
        <f ca="1">IF(OR(INDEX($AG$2:$AG$1001,MATCH(ROWS($AF$2:AF782),$AF$2:$AF$1001,0),1)&gt;=100000,INDEX($AM$1005:$BM$1005,1,MATCH(COLUMNS($AM$1006:BI1006),$AM$1006:$BM$1006,0))&gt;=100000), " ",IF(INDEX($AM$2:$BM$1001,MATCH(ROWS($AF$2:AF782),$AF$2:$AF$1001,0),MATCH(COLUMNS($AM$1006:BI1006),$AM$1006:$BM$1006,0)), HYPERLINK("#",""), HYPERLINK(CONCATENATE("#metadata!", ADDRESS(INDEX($AH$2:$AH$1001,MATCH(ROWS($AF$2:AF782),$AF$2:$AF$1001,0),0), INDEX($AM$1004:$BM$1004,1,MATCH(COLUMNS($AM$1006:BI1006),$AM$1006:$BM$1006,0)))),"Fix")))</f>
        <v xml:space="preserve"> </v>
      </c>
      <c r="Y782" s="4" t="str">
        <f ca="1">IF(OR(INDEX($AG$2:$AG$1001,MATCH(ROWS($AF$2:AF782),$AF$2:$AF$1001,0),1)&gt;=100000,INDEX($AM$1005:$BM$1005,1,MATCH(COLUMNS($AM$1006:BJ1006),$AM$1006:$BM$1006,0))&gt;=100000), " ",IF(INDEX($AM$2:$BM$1001,MATCH(ROWS($AF$2:AF782),$AF$2:$AF$1001,0),MATCH(COLUMNS($AM$1006:BJ1006),$AM$1006:$BM$1006,0)), HYPERLINK("#",""), HYPERLINK(CONCATENATE("#metadata!", ADDRESS(INDEX($AH$2:$AH$1001,MATCH(ROWS($AF$2:AF782),$AF$2:$AF$1001,0),0), INDEX($AM$1004:$BM$1004,1,MATCH(COLUMNS($AM$1006:BJ1006),$AM$1006:$BM$1006,0)))),"Fix")))</f>
        <v xml:space="preserve"> </v>
      </c>
      <c r="Z782" s="4" t="str">
        <f ca="1">IF(OR(INDEX($AG$2:$AG$1001,MATCH(ROWS($AF$2:AF782),$AF$2:$AF$1001,0),1)&gt;=100000,INDEX($AM$1005:$BM$1005,1,MATCH(COLUMNS($AM$1006:BK1006),$AM$1006:$BM$1006,0))&gt;=100000), " ",IF(INDEX($AM$2:$BM$1001,MATCH(ROWS($AF$2:AF782),$AF$2:$AF$1001,0),MATCH(COLUMNS($AM$1006:BK1006),$AM$1006:$BM$1006,0)), HYPERLINK("#",""), HYPERLINK(CONCATENATE("#metadata!", ADDRESS(INDEX($AH$2:$AH$1001,MATCH(ROWS($AF$2:AF782),$AF$2:$AF$1001,0),0), INDEX($AM$1004:$BM$1004,1,MATCH(COLUMNS($AM$1006:BK1006),$AM$1006:$BM$1006,0)))),"Fix")))</f>
        <v xml:space="preserve"> </v>
      </c>
      <c r="AA782" s="4" t="str">
        <f ca="1">IF(OR(INDEX($AG$2:$AG$1001,MATCH(ROWS($AF$2:AF782),$AF$2:$AF$1001,0),1)&gt;=100000,INDEX($AM$1005:$BM$1005,1,MATCH(COLUMNS($AM$1006:BL1006),$AM$1006:$BM$1006,0))&gt;=100000), " ",IF(INDEX($AM$2:$BM$1001,MATCH(ROWS($AF$2:AF782),$AF$2:$AF$1001,0),MATCH(COLUMNS($AM$1006:BL1006),$AM$1006:$BM$1006,0)), HYPERLINK("#",""), HYPERLINK(CONCATENATE("#metadata!", ADDRESS(INDEX($AH$2:$AH$1001,MATCH(ROWS($AF$2:AF782),$AF$2:$AF$1001,0),0), INDEX($AM$1004:$BM$1004,1,MATCH(COLUMNS($AM$1006:BL1006),$AM$1006:$BM$1006,0)))),"Fix")))</f>
        <v xml:space="preserve"> </v>
      </c>
      <c r="AB782" s="4" t="str">
        <f ca="1">IF(OR(INDEX($AG$2:$AG$1001,MATCH(ROWS($AF$2:AF782),$AF$2:$AF$1001,0),1)&gt;=100000,INDEX($AM$1005:$BM$1005,1,MATCH(COLUMNS($AM$1006:BM1006),$AM$1006:$BM$1006,0))&gt;=100000), " ",IF(INDEX($AM$2:$BM$1001,MATCH(ROWS($AF$2:AF782),$AF$2:$AF$1001,0),MATCH(COLUMNS($AM$1006:BM1006),$AM$1006:$BM$1006,0)), HYPERLINK("#",""), HYPERLINK(CONCATENATE("#metadata!", ADDRESS(INDEX($AH$2:$AH$1001,MATCH(ROWS($AF$2:AF782),$AF$2:$AF$1001,0),0), INDEX($AM$1004:$BM$1004,1,MATCH(COLUMNS($AM$1006:BM1006),$AM$1006:$BM$1006,0)))),"Fix")))</f>
        <v xml:space="preserve"> </v>
      </c>
      <c r="AF782">
        <v>781</v>
      </c>
      <c r="AG782">
        <v>100782</v>
      </c>
      <c r="AH782">
        <v>782</v>
      </c>
      <c r="AI782" t="b">
        <f t="shared" si="12"/>
        <v>1</v>
      </c>
      <c r="AJ782" t="b">
        <f>COUNTBLANK(metadata!B782:AB782)=COLUMNS(metadata!B782:AB782)</f>
        <v>1</v>
      </c>
      <c r="AK782" t="str">
        <v/>
      </c>
      <c r="AM782" t="b">
        <f ca="1">AND(IF(metadata!B782="",FALSE,TRUE),COUNTIF(metadata!B:B, metadata!B782) = 1,NOT(ISERROR(SUMPRODUCT(SEARCH(MID(metadata!B782,ROW(INDIRECT("1:"&amp;LEN(metadata!B782))), 1),"0123456789abcdefghijklmnopqrstuvwxyzABCDEFGHIJKLMNOPQRSTUVWXYZ.")))))</f>
        <v>0</v>
      </c>
      <c r="AN782" t="b">
        <f ca="1">OR(AND(IF(metadata!C782="",FALSE,TRUE),OR(EXACT(metadata!C782,"missing: not collected"),EXACT(metadata!C782,"missing: not provided"),EXACT(metadata!C782,"missing: restricted access"))),AND(IF(metadata!C782="",FALSE,TRUE),AND(AND(IFERROR(INT(LEFT(metadata!C782,4))&gt;1900,FALSE),IFERROR(INT(LEFT(metadata!C782,4))&lt;=YEAR(NOW()),FALSE)), OR(MID(metadata!C782,5,1)="", AND(AND(MID(metadata!C782,5,1)="-",IFERROR(INT(MID(metadata!C782,6,1))&gt;=0,FALSE),IFERROR(INT(MID(metadata!C782,6,1))&lt;=1,FALSE),NOT(MID(metadata!C782,7,1)=""),IFERROR(INT(MID(metadata!C782,6,2))&gt;=1,FALSE),IFERROR(INT(MID(metadata!C782,6,2))&lt;=12,FALSE)), OR(MID(metadata!C782,8,1)="", AND(AND(MID(metadata!C782,8,1)="-",IFERROR(INT(MID(metadata!C782,9,1))&gt;=0,FALSE),IFERROR(INT(MID(metadata!C782,9,1))&lt;=3,FALSE),NOT(MID(metadata!C782,10,1)=""),IFERROR(INT(MID(metadata!C782,9,2))&gt;=1,FALSE),IFERROR(INT(MID(metadata!C782,9,2))&lt;=31,FALSE)), OR(MID(metadata!C782,11,1)="", AND(AND(MID(metadata!C782,11,1)=" ",IFERROR(INT(MID(metadata!C782,12,1))&gt;=0,FALSE),IFERROR(INT(MID(metadata!C782,12,1))&lt;=2,FALSE),NOT(MID(metadata!C782,13,1)=""),IFERROR(INT(MID(metadata!C782,12,2))&gt;=0,FALSE),IFERROR(INT(MID(metadata!C782,12,2))&lt;=23,FALSE)), OR(MID(metadata!C782,14,1)="", AND(AND(MID(metadata!C782,14,1)=":",IFERROR(INT(MID(metadata!C782,15,1))&gt;=0,FALSE),IFERROR(INT(MID(metadata!C782,15,1))&lt;=5,FALSE),NOT(MID(metadata!C782,16,1)=""),IFERROR(INT(MID(metadata!C782,15,2))&gt;=0,FALSE),IFERROR(INT(MID(metadata!C782,15,2))&lt;=59,FALSE)), OR(MID(metadata!C782,17,1)="", AND(AND(MID(metadata!C782,17,1)=":",IFERROR(INT(MID(metadata!C782,18,1))&gt;=0,FALSE),IFERROR(INT(MID(metadata!C782,18,1))&lt;=5,FALSE),NOT(MID(metadata!C782,19,1)=""),IFERROR(INT(MID(metadata!C782,18,2))&gt;=0,FALSE),IFERROR(INT(MID(metadata!C782,18,2))&lt;=59,FALSE)), LEN(metadata!C782)&lt;=19)))))))))))))</f>
        <v>0</v>
      </c>
      <c r="AO782" t="b">
        <f>AND(IF(metadata!D782="",FALSE,TRUE),EXACT(metadata!D782,"Not applicable"))</f>
        <v>0</v>
      </c>
      <c r="AP782" t="b">
        <f>IF(metadata!E782="",FALSE,TRUE)</f>
        <v>0</v>
      </c>
      <c r="AQ782" t="b">
        <f>OR(AND(IF(metadata!F782="",FALSE,TRUE),OR(EXACT(metadata!F782,"missing: not collected"),EXACT(metadata!F782,"missing: not provided"))),AND(IF(metadata!F782="",FALSE,TRUE),OR(EXACT(metadata!F782,"TRUE"),EXACT(metadata!F782,"FALSE"))))</f>
        <v>0</v>
      </c>
      <c r="AR782" t="b">
        <f>OR(AND(IF(metadata!G782="",FALSE,TRUE),OR(EXACT(metadata!G782,"missing: not collected"),EXACT(metadata!G782,"missing: not provided"),EXACT(metadata!G782,"missing: restricted access"))),AND(IF(metadata!G782="",FALSE,ISNUMBER(VALUE(metadata!G782))),metadata!G782&gt;=-413))</f>
        <v>0</v>
      </c>
      <c r="AS782" t="b">
        <f>AND(IF(metadata!H782="",FALSE,TRUE),EXACT(metadata!H782,"meters"))</f>
        <v>0</v>
      </c>
      <c r="AT782" t="b">
        <f>AND(IF(metadata!I782="",FALSE,TRUE),OR(EXACT(metadata!I782,"Host-associated"),EXACT(metadata!I782,"Free-living")))</f>
        <v>0</v>
      </c>
      <c r="AU782" t="b">
        <f>AND(IF(metadata!J782="",FALSE,TRUE),OR(EXACT(metadata!J782,"Animal"),EXACT(metadata!J782,"Fungus"),EXACT(metadata!J782,"Plant"),EXACT(metadata!J782,"Saline"),EXACT(metadata!J782,"Non-saline")))</f>
        <v>0</v>
      </c>
      <c r="AV782" t="b">
        <f>AND(IF(metadata!K782="",FALSE,TRUE),OR(EXACT(metadata!K782,"Plant secretion"),EXACT(metadata!K782,"Plant rhizosphere"),EXACT(metadata!K782,"Plant surface"),EXACT(metadata!K782,"Plant corpus"),EXACT(metadata!K782,"Fungus surface"),EXACT(metadata!K782,"Fungus corpus"),EXACT(metadata!K782,"Animal surface"),EXACT(metadata!K782,"Animal proximal gut"),EXACT(metadata!K782,"Animal corpus"),EXACT(metadata!K782,"Animal distal gut"),EXACT(metadata!K782,"Animal secretion"),EXACT(metadata!K782,"Sub-surface (non-saline)"),EXACT(metadata!K782,"Surface (non-saline)"),EXACT(metadata!K782,"Water (non-saline)"),EXACT(metadata!K782,"Soil (non-saline)"),EXACT(metadata!K782,"Aerosol (non-saline)"),EXACT(metadata!K782,"Sediment (non-saline)"),EXACT(metadata!K782,"Surface (saline)"),EXACT(metadata!K782,"Water (saline)"),EXACT(metadata!K782,"Hypersaline (saline)"),EXACT(metadata!K782,"Aerosol (saline)"),EXACT(metadata!K782,"Sediment (saline)")))</f>
        <v>0</v>
      </c>
      <c r="AW782" t="b">
        <f>IF(metadata!L782="",FALSE,TRUE)</f>
        <v>0</v>
      </c>
      <c r="AX782" t="b">
        <f>IF(metadata!M782="",FALSE,TRUE)</f>
        <v>0</v>
      </c>
      <c r="AY782" t="b">
        <f>IF(metadata!N782="",FALSE,TRUE)</f>
        <v>0</v>
      </c>
      <c r="AZ782" t="b">
        <f>OR(AND(IF(metadata!O782="",FALSE,TRUE),OR(EXACT(metadata!O782,"missing: not collected"),EXACT(metadata!O782,"missing: not provided"),EXACT(metadata!O782,"missing: restricted access"))),AND(IF(metadata!O782="",FALSE,TRUE),OR(EXACT(metadata!O782,"air"),EXACT(metadata!O782,"built environment"),EXACT(metadata!O782,"host-associated"),EXACT(metadata!O782,"human-associated"),EXACT(metadata!O782,"human-skin"),EXACT(metadata!O782,"human-oral"),EXACT(metadata!O782,"human-gut"),EXACT(metadata!O782,"human-vaginal"),EXACT(metadata!O782,"microbial mat/biofilm"),EXACT(metadata!O782,"misc environment"),EXACT(metadata!O782,"plant-associated"),EXACT(metadata!O782,"sediment"),EXACT(metadata!O782,"soil"),EXACT(metadata!O782,"wastewater/sludge"),EXACT(metadata!O782,"water"))))</f>
        <v>0</v>
      </c>
      <c r="BA782" t="b">
        <f>IF(metadata!P782="",FALSE,TRUE)</f>
        <v>0</v>
      </c>
      <c r="BB782" t="b">
        <f>IF(metadata!Q782="",FALSE,TRUE)</f>
        <v>0</v>
      </c>
      <c r="BC782" t="b">
        <f>OR(AND(IF(metadata!R782="",FALSE,TRUE),OR(EXACT(metadata!R782,"missing: not collected"),EXACT(metadata!R782,"missing: not provided"),EXACT(metadata!R782,"missing: restricted access"))),AND(IF(metadata!R782="",FALSE,ISNUMBER(VALUE(metadata!R782))),metadata!R782&gt;=-90,metadata!R782&lt;=90))</f>
        <v>0</v>
      </c>
      <c r="BD782" t="b">
        <f>AND(IF(metadata!S782="",FALSE,TRUE),EXACT(metadata!S782,"Decimal degrees"))</f>
        <v>0</v>
      </c>
      <c r="BE782" t="b">
        <f>OR(AND(IF(metadata!T782="",FALSE,TRUE),OR(EXACT(metadata!T782,"missing: not collected"),EXACT(metadata!T782,"missing: not provided"),EXACT(metadata!T782,"missing: restricted access"))),AND(IF(metadata!T782="",FALSE,ISNUMBER(VALUE(metadata!T782))),metadata!T782&gt;=-180,metadata!T782&lt;=180))</f>
        <v>0</v>
      </c>
      <c r="BF782" t="b">
        <f>AND(IF(metadata!U782="",FALSE,TRUE),EXACT(metadata!U782,"Decimal degrees"))</f>
        <v>0</v>
      </c>
      <c r="BG782" t="b">
        <f>IF(metadata!V782="",FALSE,TRUE)</f>
        <v>0</v>
      </c>
      <c r="BH782" t="b">
        <f>OR(AND(IF(metadata!W782="",FALSE,TRUE),OR(EXACT(metadata!W782,"missing: not collected"),EXACT(metadata!W782,"missing: not provided"),EXACT(metadata!W782,"missing: restricted access"))),AND(IF(metadata!W782="",FALSE,TRUE),OR(EXACT(metadata!W782,"TRUE"),EXACT(metadata!W782,"FALSE"))))</f>
        <v>0</v>
      </c>
      <c r="BI782" t="b">
        <f>AND(IF(metadata!X782="",FALSE,TRUE),EXACT(metadata!X782,"other"))</f>
        <v>0</v>
      </c>
      <c r="BJ782" t="b">
        <f>IF(metadata!Y782="",FALSE,TRUE)</f>
        <v>0</v>
      </c>
      <c r="BK782" t="b">
        <f>OR(AND(IF(metadata!Z782="",FALSE,TRUE),OR(EXACT(metadata!Z782,"missing: not collected"),EXACT(metadata!Z782,"missing: not provided"))),AND(IF(metadata!Z782="",FALSE,IF(ISERROR(INT(metadata!Z782)),FALSE,INT(metadata!Z782)=metadata!Z782)),metadata!Z782&gt;0))</f>
        <v>0</v>
      </c>
      <c r="BL782" t="b">
        <f>AND(IF(metadata!AA782="",FALSE,TRUE),EXACT(metadata!AA782,"Not applicable"))</f>
        <v>0</v>
      </c>
      <c r="BM782" t="b">
        <f>IF(metadata!AB782="",FALSE,TRUE)</f>
        <v>0</v>
      </c>
    </row>
    <row r="783" spans="1:65" x14ac:dyDescent="0.2">
      <c r="A783" s="5" t="str">
        <f ca="1">IF(B783=" "," ",HYPERLINK(CONCATENATE("#metadata!",ADDRESS(INDEX($AH$2:$AH$1001,MATCH(ROWS($AF$2:AF783),$AF$2:$AF$1001,0),0),1)),INDEX($AK$2:$AK$1001,MATCH(ROWS($AF$2:AF783),$AF$2:$AF$1001,0),0)))</f>
        <v xml:space="preserve"> </v>
      </c>
      <c r="B783" s="4" t="str">
        <f ca="1">IF(OR(INDEX($AG$2:$AG$1001,MATCH(ROWS($AF$2:AF783),$AF$2:$AF$1001,0),1)&gt;=100000,INDEX($AM$1005:$BM$1005,1,MATCH(COLUMNS($AM$1006:AM1006),$AM$1006:$BM$1006,0))&gt;=100000), " ",IF(INDEX($AM$2:$BM$1001,MATCH(ROWS($AF$2:AF783),$AF$2:$AF$1001,0),MATCH(COLUMNS($AM$1006:AM1006),$AM$1006:$BM$1006,0)), HYPERLINK("#",""), HYPERLINK(CONCATENATE("#metadata!", ADDRESS(INDEX($AH$2:$AH$1001,MATCH(ROWS($AF$2:AF783),$AF$2:$AF$1001,0),0), INDEX($AM$1004:$BM$1004,1,MATCH(COLUMNS($AM$1006:AM1006),$AM$1006:$BM$1006,0)))),"Fix")))</f>
        <v xml:space="preserve"> </v>
      </c>
      <c r="C783" s="4" t="str">
        <f ca="1">IF(OR(INDEX($AG$2:$AG$1001,MATCH(ROWS($AF$2:AF783),$AF$2:$AF$1001,0),1)&gt;=100000,INDEX($AM$1005:$BM$1005,1,MATCH(COLUMNS($AM$1006:AN1006),$AM$1006:$BM$1006,0))&gt;=100000), " ",IF(INDEX($AM$2:$BM$1001,MATCH(ROWS($AF$2:AF783),$AF$2:$AF$1001,0),MATCH(COLUMNS($AM$1006:AN1006),$AM$1006:$BM$1006,0)), HYPERLINK("#",""), HYPERLINK(CONCATENATE("#metadata!", ADDRESS(INDEX($AH$2:$AH$1001,MATCH(ROWS($AF$2:AF783),$AF$2:$AF$1001,0),0), INDEX($AM$1004:$BM$1004,1,MATCH(COLUMNS($AM$1006:AN1006),$AM$1006:$BM$1006,0)))),"Fix")))</f>
        <v xml:space="preserve"> </v>
      </c>
      <c r="D783" s="4" t="str">
        <f ca="1">IF(OR(INDEX($AG$2:$AG$1001,MATCH(ROWS($AF$2:AF783),$AF$2:$AF$1001,0),1)&gt;=100000,INDEX($AM$1005:$BM$1005,1,MATCH(COLUMNS($AM$1006:AO1006),$AM$1006:$BM$1006,0))&gt;=100000), " ",IF(INDEX($AM$2:$BM$1001,MATCH(ROWS($AF$2:AF783),$AF$2:$AF$1001,0),MATCH(COLUMNS($AM$1006:AO1006),$AM$1006:$BM$1006,0)), HYPERLINK("#",""), HYPERLINK(CONCATENATE("#metadata!", ADDRESS(INDEX($AH$2:$AH$1001,MATCH(ROWS($AF$2:AF783),$AF$2:$AF$1001,0),0), INDEX($AM$1004:$BM$1004,1,MATCH(COLUMNS($AM$1006:AO1006),$AM$1006:$BM$1006,0)))),"Fix")))</f>
        <v xml:space="preserve"> </v>
      </c>
      <c r="E783" s="4" t="str">
        <f ca="1">IF(OR(INDEX($AG$2:$AG$1001,MATCH(ROWS($AF$2:AF783),$AF$2:$AF$1001,0),1)&gt;=100000,INDEX($AM$1005:$BM$1005,1,MATCH(COLUMNS($AM$1006:AP1006),$AM$1006:$BM$1006,0))&gt;=100000), " ",IF(INDEX($AM$2:$BM$1001,MATCH(ROWS($AF$2:AF783),$AF$2:$AF$1001,0),MATCH(COLUMNS($AM$1006:AP1006),$AM$1006:$BM$1006,0)), HYPERLINK("#",""), HYPERLINK(CONCATENATE("#metadata!", ADDRESS(INDEX($AH$2:$AH$1001,MATCH(ROWS($AF$2:AF783),$AF$2:$AF$1001,0),0), INDEX($AM$1004:$BM$1004,1,MATCH(COLUMNS($AM$1006:AP1006),$AM$1006:$BM$1006,0)))),"Fix")))</f>
        <v xml:space="preserve"> </v>
      </c>
      <c r="F783" s="4" t="str">
        <f ca="1">IF(OR(INDEX($AG$2:$AG$1001,MATCH(ROWS($AF$2:AF783),$AF$2:$AF$1001,0),1)&gt;=100000,INDEX($AM$1005:$BM$1005,1,MATCH(COLUMNS($AM$1006:AQ1006),$AM$1006:$BM$1006,0))&gt;=100000), " ",IF(INDEX($AM$2:$BM$1001,MATCH(ROWS($AF$2:AF783),$AF$2:$AF$1001,0),MATCH(COLUMNS($AM$1006:AQ1006),$AM$1006:$BM$1006,0)), HYPERLINK("#",""), HYPERLINK(CONCATENATE("#metadata!", ADDRESS(INDEX($AH$2:$AH$1001,MATCH(ROWS($AF$2:AF783),$AF$2:$AF$1001,0),0), INDEX($AM$1004:$BM$1004,1,MATCH(COLUMNS($AM$1006:AQ1006),$AM$1006:$BM$1006,0)))),"Fix")))</f>
        <v xml:space="preserve"> </v>
      </c>
      <c r="G783" s="4" t="str">
        <f ca="1">IF(OR(INDEX($AG$2:$AG$1001,MATCH(ROWS($AF$2:AF783),$AF$2:$AF$1001,0),1)&gt;=100000,INDEX($AM$1005:$BM$1005,1,MATCH(COLUMNS($AM$1006:AR1006),$AM$1006:$BM$1006,0))&gt;=100000), " ",IF(INDEX($AM$2:$BM$1001,MATCH(ROWS($AF$2:AF783),$AF$2:$AF$1001,0),MATCH(COLUMNS($AM$1006:AR1006),$AM$1006:$BM$1006,0)), HYPERLINK("#",""), HYPERLINK(CONCATENATE("#metadata!", ADDRESS(INDEX($AH$2:$AH$1001,MATCH(ROWS($AF$2:AF783),$AF$2:$AF$1001,0),0), INDEX($AM$1004:$BM$1004,1,MATCH(COLUMNS($AM$1006:AR1006),$AM$1006:$BM$1006,0)))),"Fix")))</f>
        <v xml:space="preserve"> </v>
      </c>
      <c r="H783" s="4" t="str">
        <f ca="1">IF(OR(INDEX($AG$2:$AG$1001,MATCH(ROWS($AF$2:AF783),$AF$2:$AF$1001,0),1)&gt;=100000,INDEX($AM$1005:$BM$1005,1,MATCH(COLUMNS($AM$1006:AS1006),$AM$1006:$BM$1006,0))&gt;=100000), " ",IF(INDEX($AM$2:$BM$1001,MATCH(ROWS($AF$2:AF783),$AF$2:$AF$1001,0),MATCH(COLUMNS($AM$1006:AS1006),$AM$1006:$BM$1006,0)), HYPERLINK("#",""), HYPERLINK(CONCATENATE("#metadata!", ADDRESS(INDEX($AH$2:$AH$1001,MATCH(ROWS($AF$2:AF783),$AF$2:$AF$1001,0),0), INDEX($AM$1004:$BM$1004,1,MATCH(COLUMNS($AM$1006:AS1006),$AM$1006:$BM$1006,0)))),"Fix")))</f>
        <v xml:space="preserve"> </v>
      </c>
      <c r="I783" s="4" t="str">
        <f ca="1">IF(OR(INDEX($AG$2:$AG$1001,MATCH(ROWS($AF$2:AF783),$AF$2:$AF$1001,0),1)&gt;=100000,INDEX($AM$1005:$BM$1005,1,MATCH(COLUMNS($AM$1006:AT1006),$AM$1006:$BM$1006,0))&gt;=100000), " ",IF(INDEX($AM$2:$BM$1001,MATCH(ROWS($AF$2:AF783),$AF$2:$AF$1001,0),MATCH(COLUMNS($AM$1006:AT1006),$AM$1006:$BM$1006,0)), HYPERLINK("#",""), HYPERLINK(CONCATENATE("#metadata!", ADDRESS(INDEX($AH$2:$AH$1001,MATCH(ROWS($AF$2:AF783),$AF$2:$AF$1001,0),0), INDEX($AM$1004:$BM$1004,1,MATCH(COLUMNS($AM$1006:AT1006),$AM$1006:$BM$1006,0)))),"Fix")))</f>
        <v xml:space="preserve"> </v>
      </c>
      <c r="J783" s="4" t="str">
        <f ca="1">IF(OR(INDEX($AG$2:$AG$1001,MATCH(ROWS($AF$2:AF783),$AF$2:$AF$1001,0),1)&gt;=100000,INDEX($AM$1005:$BM$1005,1,MATCH(COLUMNS($AM$1006:AU1006),$AM$1006:$BM$1006,0))&gt;=100000), " ",IF(INDEX($AM$2:$BM$1001,MATCH(ROWS($AF$2:AF783),$AF$2:$AF$1001,0),MATCH(COLUMNS($AM$1006:AU1006),$AM$1006:$BM$1006,0)), HYPERLINK("#",""), HYPERLINK(CONCATENATE("#metadata!", ADDRESS(INDEX($AH$2:$AH$1001,MATCH(ROWS($AF$2:AF783),$AF$2:$AF$1001,0),0), INDEX($AM$1004:$BM$1004,1,MATCH(COLUMNS($AM$1006:AU1006),$AM$1006:$BM$1006,0)))),"Fix")))</f>
        <v xml:space="preserve"> </v>
      </c>
      <c r="K783" s="4" t="str">
        <f ca="1">IF(OR(INDEX($AG$2:$AG$1001,MATCH(ROWS($AF$2:AF783),$AF$2:$AF$1001,0),1)&gt;=100000,INDEX($AM$1005:$BM$1005,1,MATCH(COLUMNS($AM$1006:AV1006),$AM$1006:$BM$1006,0))&gt;=100000), " ",IF(INDEX($AM$2:$BM$1001,MATCH(ROWS($AF$2:AF783),$AF$2:$AF$1001,0),MATCH(COLUMNS($AM$1006:AV1006),$AM$1006:$BM$1006,0)), HYPERLINK("#",""), HYPERLINK(CONCATENATE("#metadata!", ADDRESS(INDEX($AH$2:$AH$1001,MATCH(ROWS($AF$2:AF783),$AF$2:$AF$1001,0),0), INDEX($AM$1004:$BM$1004,1,MATCH(COLUMNS($AM$1006:AV1006),$AM$1006:$BM$1006,0)))),"Fix")))</f>
        <v xml:space="preserve"> </v>
      </c>
      <c r="L783" s="4" t="str">
        <f ca="1">IF(OR(INDEX($AG$2:$AG$1001,MATCH(ROWS($AF$2:AF783),$AF$2:$AF$1001,0),1)&gt;=100000,INDEX($AM$1005:$BM$1005,1,MATCH(COLUMNS($AM$1006:AW1006),$AM$1006:$BM$1006,0))&gt;=100000), " ",IF(INDEX($AM$2:$BM$1001,MATCH(ROWS($AF$2:AF783),$AF$2:$AF$1001,0),MATCH(COLUMNS($AM$1006:AW1006),$AM$1006:$BM$1006,0)), HYPERLINK("#",""), HYPERLINK(CONCATENATE("#metadata!", ADDRESS(INDEX($AH$2:$AH$1001,MATCH(ROWS($AF$2:AF783),$AF$2:$AF$1001,0),0), INDEX($AM$1004:$BM$1004,1,MATCH(COLUMNS($AM$1006:AW1006),$AM$1006:$BM$1006,0)))),"Fix")))</f>
        <v xml:space="preserve"> </v>
      </c>
      <c r="M783" s="4" t="str">
        <f ca="1">IF(OR(INDEX($AG$2:$AG$1001,MATCH(ROWS($AF$2:AF783),$AF$2:$AF$1001,0),1)&gt;=100000,INDEX($AM$1005:$BM$1005,1,MATCH(COLUMNS($AM$1006:AX1006),$AM$1006:$BM$1006,0))&gt;=100000), " ",IF(INDEX($AM$2:$BM$1001,MATCH(ROWS($AF$2:AF783),$AF$2:$AF$1001,0),MATCH(COLUMNS($AM$1006:AX1006),$AM$1006:$BM$1006,0)), HYPERLINK("#",""), HYPERLINK(CONCATENATE("#metadata!", ADDRESS(INDEX($AH$2:$AH$1001,MATCH(ROWS($AF$2:AF783),$AF$2:$AF$1001,0),0), INDEX($AM$1004:$BM$1004,1,MATCH(COLUMNS($AM$1006:AX1006),$AM$1006:$BM$1006,0)))),"Fix")))</f>
        <v xml:space="preserve"> </v>
      </c>
      <c r="N783" s="4" t="str">
        <f ca="1">IF(OR(INDEX($AG$2:$AG$1001,MATCH(ROWS($AF$2:AF783),$AF$2:$AF$1001,0),1)&gt;=100000,INDEX($AM$1005:$BM$1005,1,MATCH(COLUMNS($AM$1006:AY1006),$AM$1006:$BM$1006,0))&gt;=100000), " ",IF(INDEX($AM$2:$BM$1001,MATCH(ROWS($AF$2:AF783),$AF$2:$AF$1001,0),MATCH(COLUMNS($AM$1006:AY1006),$AM$1006:$BM$1006,0)), HYPERLINK("#",""), HYPERLINK(CONCATENATE("#metadata!", ADDRESS(INDEX($AH$2:$AH$1001,MATCH(ROWS($AF$2:AF783),$AF$2:$AF$1001,0),0), INDEX($AM$1004:$BM$1004,1,MATCH(COLUMNS($AM$1006:AY1006),$AM$1006:$BM$1006,0)))),"Fix")))</f>
        <v xml:space="preserve"> </v>
      </c>
      <c r="O783" s="4" t="str">
        <f ca="1">IF(OR(INDEX($AG$2:$AG$1001,MATCH(ROWS($AF$2:AF783),$AF$2:$AF$1001,0),1)&gt;=100000,INDEX($AM$1005:$BM$1005,1,MATCH(COLUMNS($AM$1006:AZ1006),$AM$1006:$BM$1006,0))&gt;=100000), " ",IF(INDEX($AM$2:$BM$1001,MATCH(ROWS($AF$2:AF783),$AF$2:$AF$1001,0),MATCH(COLUMNS($AM$1006:AZ1006),$AM$1006:$BM$1006,0)), HYPERLINK("#",""), HYPERLINK(CONCATENATE("#metadata!", ADDRESS(INDEX($AH$2:$AH$1001,MATCH(ROWS($AF$2:AF783),$AF$2:$AF$1001,0),0), INDEX($AM$1004:$BM$1004,1,MATCH(COLUMNS($AM$1006:AZ1006),$AM$1006:$BM$1006,0)))),"Fix")))</f>
        <v xml:space="preserve"> </v>
      </c>
      <c r="P783" s="4" t="str">
        <f ca="1">IF(OR(INDEX($AG$2:$AG$1001,MATCH(ROWS($AF$2:AF783),$AF$2:$AF$1001,0),1)&gt;=100000,INDEX($AM$1005:$BM$1005,1,MATCH(COLUMNS($AM$1006:BA1006),$AM$1006:$BM$1006,0))&gt;=100000), " ",IF(INDEX($AM$2:$BM$1001,MATCH(ROWS($AF$2:AF783),$AF$2:$AF$1001,0),MATCH(COLUMNS($AM$1006:BA1006),$AM$1006:$BM$1006,0)), HYPERLINK("#",""), HYPERLINK(CONCATENATE("#metadata!", ADDRESS(INDEX($AH$2:$AH$1001,MATCH(ROWS($AF$2:AF783),$AF$2:$AF$1001,0),0), INDEX($AM$1004:$BM$1004,1,MATCH(COLUMNS($AM$1006:BA1006),$AM$1006:$BM$1006,0)))),"Fix")))</f>
        <v xml:space="preserve"> </v>
      </c>
      <c r="Q783" s="4" t="str">
        <f ca="1">IF(OR(INDEX($AG$2:$AG$1001,MATCH(ROWS($AF$2:AF783),$AF$2:$AF$1001,0),1)&gt;=100000,INDEX($AM$1005:$BM$1005,1,MATCH(COLUMNS($AM$1006:BB1006),$AM$1006:$BM$1006,0))&gt;=100000), " ",IF(INDEX($AM$2:$BM$1001,MATCH(ROWS($AF$2:AF783),$AF$2:$AF$1001,0),MATCH(COLUMNS($AM$1006:BB1006),$AM$1006:$BM$1006,0)), HYPERLINK("#",""), HYPERLINK(CONCATENATE("#metadata!", ADDRESS(INDEX($AH$2:$AH$1001,MATCH(ROWS($AF$2:AF783),$AF$2:$AF$1001,0),0), INDEX($AM$1004:$BM$1004,1,MATCH(COLUMNS($AM$1006:BB1006),$AM$1006:$BM$1006,0)))),"Fix")))</f>
        <v xml:space="preserve"> </v>
      </c>
      <c r="R783" s="4" t="str">
        <f ca="1">IF(OR(INDEX($AG$2:$AG$1001,MATCH(ROWS($AF$2:AF783),$AF$2:$AF$1001,0),1)&gt;=100000,INDEX($AM$1005:$BM$1005,1,MATCH(COLUMNS($AM$1006:BC1006),$AM$1006:$BM$1006,0))&gt;=100000), " ",IF(INDEX($AM$2:$BM$1001,MATCH(ROWS($AF$2:AF783),$AF$2:$AF$1001,0),MATCH(COLUMNS($AM$1006:BC1006),$AM$1006:$BM$1006,0)), HYPERLINK("#",""), HYPERLINK(CONCATENATE("#metadata!", ADDRESS(INDEX($AH$2:$AH$1001,MATCH(ROWS($AF$2:AF783),$AF$2:$AF$1001,0),0), INDEX($AM$1004:$BM$1004,1,MATCH(COLUMNS($AM$1006:BC1006),$AM$1006:$BM$1006,0)))),"Fix")))</f>
        <v xml:space="preserve"> </v>
      </c>
      <c r="S783" s="4" t="str">
        <f ca="1">IF(OR(INDEX($AG$2:$AG$1001,MATCH(ROWS($AF$2:AF783),$AF$2:$AF$1001,0),1)&gt;=100000,INDEX($AM$1005:$BM$1005,1,MATCH(COLUMNS($AM$1006:BD1006),$AM$1006:$BM$1006,0))&gt;=100000), " ",IF(INDEX($AM$2:$BM$1001,MATCH(ROWS($AF$2:AF783),$AF$2:$AF$1001,0),MATCH(COLUMNS($AM$1006:BD1006),$AM$1006:$BM$1006,0)), HYPERLINK("#",""), HYPERLINK(CONCATENATE("#metadata!", ADDRESS(INDEX($AH$2:$AH$1001,MATCH(ROWS($AF$2:AF783),$AF$2:$AF$1001,0),0), INDEX($AM$1004:$BM$1004,1,MATCH(COLUMNS($AM$1006:BD1006),$AM$1006:$BM$1006,0)))),"Fix")))</f>
        <v xml:space="preserve"> </v>
      </c>
      <c r="T783" s="4" t="str">
        <f ca="1">IF(OR(INDEX($AG$2:$AG$1001,MATCH(ROWS($AF$2:AF783),$AF$2:$AF$1001,0),1)&gt;=100000,INDEX($AM$1005:$BM$1005,1,MATCH(COLUMNS($AM$1006:BE1006),$AM$1006:$BM$1006,0))&gt;=100000), " ",IF(INDEX($AM$2:$BM$1001,MATCH(ROWS($AF$2:AF783),$AF$2:$AF$1001,0),MATCH(COLUMNS($AM$1006:BE1006),$AM$1006:$BM$1006,0)), HYPERLINK("#",""), HYPERLINK(CONCATENATE("#metadata!", ADDRESS(INDEX($AH$2:$AH$1001,MATCH(ROWS($AF$2:AF783),$AF$2:$AF$1001,0),0), INDEX($AM$1004:$BM$1004,1,MATCH(COLUMNS($AM$1006:BE1006),$AM$1006:$BM$1006,0)))),"Fix")))</f>
        <v xml:space="preserve"> </v>
      </c>
      <c r="U783" s="4" t="str">
        <f ca="1">IF(OR(INDEX($AG$2:$AG$1001,MATCH(ROWS($AF$2:AF783),$AF$2:$AF$1001,0),1)&gt;=100000,INDEX($AM$1005:$BM$1005,1,MATCH(COLUMNS($AM$1006:BF1006),$AM$1006:$BM$1006,0))&gt;=100000), " ",IF(INDEX($AM$2:$BM$1001,MATCH(ROWS($AF$2:AF783),$AF$2:$AF$1001,0),MATCH(COLUMNS($AM$1006:BF1006),$AM$1006:$BM$1006,0)), HYPERLINK("#",""), HYPERLINK(CONCATENATE("#metadata!", ADDRESS(INDEX($AH$2:$AH$1001,MATCH(ROWS($AF$2:AF783),$AF$2:$AF$1001,0),0), INDEX($AM$1004:$BM$1004,1,MATCH(COLUMNS($AM$1006:BF1006),$AM$1006:$BM$1006,0)))),"Fix")))</f>
        <v xml:space="preserve"> </v>
      </c>
      <c r="V783" s="4" t="str">
        <f ca="1">IF(OR(INDEX($AG$2:$AG$1001,MATCH(ROWS($AF$2:AF783),$AF$2:$AF$1001,0),1)&gt;=100000,INDEX($AM$1005:$BM$1005,1,MATCH(COLUMNS($AM$1006:BG1006),$AM$1006:$BM$1006,0))&gt;=100000), " ",IF(INDEX($AM$2:$BM$1001,MATCH(ROWS($AF$2:AF783),$AF$2:$AF$1001,0),MATCH(COLUMNS($AM$1006:BG1006),$AM$1006:$BM$1006,0)), HYPERLINK("#",""), HYPERLINK(CONCATENATE("#metadata!", ADDRESS(INDEX($AH$2:$AH$1001,MATCH(ROWS($AF$2:AF783),$AF$2:$AF$1001,0),0), INDEX($AM$1004:$BM$1004,1,MATCH(COLUMNS($AM$1006:BG1006),$AM$1006:$BM$1006,0)))),"Fix")))</f>
        <v xml:space="preserve"> </v>
      </c>
      <c r="W783" s="4" t="str">
        <f ca="1">IF(OR(INDEX($AG$2:$AG$1001,MATCH(ROWS($AF$2:AF783),$AF$2:$AF$1001,0),1)&gt;=100000,INDEX($AM$1005:$BM$1005,1,MATCH(COLUMNS($AM$1006:BH1006),$AM$1006:$BM$1006,0))&gt;=100000), " ",IF(INDEX($AM$2:$BM$1001,MATCH(ROWS($AF$2:AF783),$AF$2:$AF$1001,0),MATCH(COLUMNS($AM$1006:BH1006),$AM$1006:$BM$1006,0)), HYPERLINK("#",""), HYPERLINK(CONCATENATE("#metadata!", ADDRESS(INDEX($AH$2:$AH$1001,MATCH(ROWS($AF$2:AF783),$AF$2:$AF$1001,0),0), INDEX($AM$1004:$BM$1004,1,MATCH(COLUMNS($AM$1006:BH1006),$AM$1006:$BM$1006,0)))),"Fix")))</f>
        <v xml:space="preserve"> </v>
      </c>
      <c r="X783" s="4" t="str">
        <f ca="1">IF(OR(INDEX($AG$2:$AG$1001,MATCH(ROWS($AF$2:AF783),$AF$2:$AF$1001,0),1)&gt;=100000,INDEX($AM$1005:$BM$1005,1,MATCH(COLUMNS($AM$1006:BI1006),$AM$1006:$BM$1006,0))&gt;=100000), " ",IF(INDEX($AM$2:$BM$1001,MATCH(ROWS($AF$2:AF783),$AF$2:$AF$1001,0),MATCH(COLUMNS($AM$1006:BI1006),$AM$1006:$BM$1006,0)), HYPERLINK("#",""), HYPERLINK(CONCATENATE("#metadata!", ADDRESS(INDEX($AH$2:$AH$1001,MATCH(ROWS($AF$2:AF783),$AF$2:$AF$1001,0),0), INDEX($AM$1004:$BM$1004,1,MATCH(COLUMNS($AM$1006:BI1006),$AM$1006:$BM$1006,0)))),"Fix")))</f>
        <v xml:space="preserve"> </v>
      </c>
      <c r="Y783" s="4" t="str">
        <f ca="1">IF(OR(INDEX($AG$2:$AG$1001,MATCH(ROWS($AF$2:AF783),$AF$2:$AF$1001,0),1)&gt;=100000,INDEX($AM$1005:$BM$1005,1,MATCH(COLUMNS($AM$1006:BJ1006),$AM$1006:$BM$1006,0))&gt;=100000), " ",IF(INDEX($AM$2:$BM$1001,MATCH(ROWS($AF$2:AF783),$AF$2:$AF$1001,0),MATCH(COLUMNS($AM$1006:BJ1006),$AM$1006:$BM$1006,0)), HYPERLINK("#",""), HYPERLINK(CONCATENATE("#metadata!", ADDRESS(INDEX($AH$2:$AH$1001,MATCH(ROWS($AF$2:AF783),$AF$2:$AF$1001,0),0), INDEX($AM$1004:$BM$1004,1,MATCH(COLUMNS($AM$1006:BJ1006),$AM$1006:$BM$1006,0)))),"Fix")))</f>
        <v xml:space="preserve"> </v>
      </c>
      <c r="Z783" s="4" t="str">
        <f ca="1">IF(OR(INDEX($AG$2:$AG$1001,MATCH(ROWS($AF$2:AF783),$AF$2:$AF$1001,0),1)&gt;=100000,INDEX($AM$1005:$BM$1005,1,MATCH(COLUMNS($AM$1006:BK1006),$AM$1006:$BM$1006,0))&gt;=100000), " ",IF(INDEX($AM$2:$BM$1001,MATCH(ROWS($AF$2:AF783),$AF$2:$AF$1001,0),MATCH(COLUMNS($AM$1006:BK1006),$AM$1006:$BM$1006,0)), HYPERLINK("#",""), HYPERLINK(CONCATENATE("#metadata!", ADDRESS(INDEX($AH$2:$AH$1001,MATCH(ROWS($AF$2:AF783),$AF$2:$AF$1001,0),0), INDEX($AM$1004:$BM$1004,1,MATCH(COLUMNS($AM$1006:BK1006),$AM$1006:$BM$1006,0)))),"Fix")))</f>
        <v xml:space="preserve"> </v>
      </c>
      <c r="AA783" s="4" t="str">
        <f ca="1">IF(OR(INDEX($AG$2:$AG$1001,MATCH(ROWS($AF$2:AF783),$AF$2:$AF$1001,0),1)&gt;=100000,INDEX($AM$1005:$BM$1005,1,MATCH(COLUMNS($AM$1006:BL1006),$AM$1006:$BM$1006,0))&gt;=100000), " ",IF(INDEX($AM$2:$BM$1001,MATCH(ROWS($AF$2:AF783),$AF$2:$AF$1001,0),MATCH(COLUMNS($AM$1006:BL1006),$AM$1006:$BM$1006,0)), HYPERLINK("#",""), HYPERLINK(CONCATENATE("#metadata!", ADDRESS(INDEX($AH$2:$AH$1001,MATCH(ROWS($AF$2:AF783),$AF$2:$AF$1001,0),0), INDEX($AM$1004:$BM$1004,1,MATCH(COLUMNS($AM$1006:BL1006),$AM$1006:$BM$1006,0)))),"Fix")))</f>
        <v xml:space="preserve"> </v>
      </c>
      <c r="AB783" s="4" t="str">
        <f ca="1">IF(OR(INDEX($AG$2:$AG$1001,MATCH(ROWS($AF$2:AF783),$AF$2:$AF$1001,0),1)&gt;=100000,INDEX($AM$1005:$BM$1005,1,MATCH(COLUMNS($AM$1006:BM1006),$AM$1006:$BM$1006,0))&gt;=100000), " ",IF(INDEX($AM$2:$BM$1001,MATCH(ROWS($AF$2:AF783),$AF$2:$AF$1001,0),MATCH(COLUMNS($AM$1006:BM1006),$AM$1006:$BM$1006,0)), HYPERLINK("#",""), HYPERLINK(CONCATENATE("#metadata!", ADDRESS(INDEX($AH$2:$AH$1001,MATCH(ROWS($AF$2:AF783),$AF$2:$AF$1001,0),0), INDEX($AM$1004:$BM$1004,1,MATCH(COLUMNS($AM$1006:BM1006),$AM$1006:$BM$1006,0)))),"Fix")))</f>
        <v xml:space="preserve"> </v>
      </c>
      <c r="AF783">
        <v>782</v>
      </c>
      <c r="AG783">
        <v>100783</v>
      </c>
      <c r="AH783">
        <v>783</v>
      </c>
      <c r="AI783" t="b">
        <f t="shared" si="12"/>
        <v>1</v>
      </c>
      <c r="AJ783" t="b">
        <f>COUNTBLANK(metadata!B783:AB783)=COLUMNS(metadata!B783:AB783)</f>
        <v>1</v>
      </c>
      <c r="AK783" t="str">
        <v/>
      </c>
      <c r="AM783" t="b">
        <f ca="1">AND(IF(metadata!B783="",FALSE,TRUE),COUNTIF(metadata!B:B, metadata!B783) = 1,NOT(ISERROR(SUMPRODUCT(SEARCH(MID(metadata!B783,ROW(INDIRECT("1:"&amp;LEN(metadata!B783))), 1),"0123456789abcdefghijklmnopqrstuvwxyzABCDEFGHIJKLMNOPQRSTUVWXYZ.")))))</f>
        <v>0</v>
      </c>
      <c r="AN783" t="b">
        <f ca="1">OR(AND(IF(metadata!C783="",FALSE,TRUE),OR(EXACT(metadata!C783,"missing: not collected"),EXACT(metadata!C783,"missing: not provided"),EXACT(metadata!C783,"missing: restricted access"))),AND(IF(metadata!C783="",FALSE,TRUE),AND(AND(IFERROR(INT(LEFT(metadata!C783,4))&gt;1900,FALSE),IFERROR(INT(LEFT(metadata!C783,4))&lt;=YEAR(NOW()),FALSE)), OR(MID(metadata!C783,5,1)="", AND(AND(MID(metadata!C783,5,1)="-",IFERROR(INT(MID(metadata!C783,6,1))&gt;=0,FALSE),IFERROR(INT(MID(metadata!C783,6,1))&lt;=1,FALSE),NOT(MID(metadata!C783,7,1)=""),IFERROR(INT(MID(metadata!C783,6,2))&gt;=1,FALSE),IFERROR(INT(MID(metadata!C783,6,2))&lt;=12,FALSE)), OR(MID(metadata!C783,8,1)="", AND(AND(MID(metadata!C783,8,1)="-",IFERROR(INT(MID(metadata!C783,9,1))&gt;=0,FALSE),IFERROR(INT(MID(metadata!C783,9,1))&lt;=3,FALSE),NOT(MID(metadata!C783,10,1)=""),IFERROR(INT(MID(metadata!C783,9,2))&gt;=1,FALSE),IFERROR(INT(MID(metadata!C783,9,2))&lt;=31,FALSE)), OR(MID(metadata!C783,11,1)="", AND(AND(MID(metadata!C783,11,1)=" ",IFERROR(INT(MID(metadata!C783,12,1))&gt;=0,FALSE),IFERROR(INT(MID(metadata!C783,12,1))&lt;=2,FALSE),NOT(MID(metadata!C783,13,1)=""),IFERROR(INT(MID(metadata!C783,12,2))&gt;=0,FALSE),IFERROR(INT(MID(metadata!C783,12,2))&lt;=23,FALSE)), OR(MID(metadata!C783,14,1)="", AND(AND(MID(metadata!C783,14,1)=":",IFERROR(INT(MID(metadata!C783,15,1))&gt;=0,FALSE),IFERROR(INT(MID(metadata!C783,15,1))&lt;=5,FALSE),NOT(MID(metadata!C783,16,1)=""),IFERROR(INT(MID(metadata!C783,15,2))&gt;=0,FALSE),IFERROR(INT(MID(metadata!C783,15,2))&lt;=59,FALSE)), OR(MID(metadata!C783,17,1)="", AND(AND(MID(metadata!C783,17,1)=":",IFERROR(INT(MID(metadata!C783,18,1))&gt;=0,FALSE),IFERROR(INT(MID(metadata!C783,18,1))&lt;=5,FALSE),NOT(MID(metadata!C783,19,1)=""),IFERROR(INT(MID(metadata!C783,18,2))&gt;=0,FALSE),IFERROR(INT(MID(metadata!C783,18,2))&lt;=59,FALSE)), LEN(metadata!C783)&lt;=19)))))))))))))</f>
        <v>0</v>
      </c>
      <c r="AO783" t="b">
        <f>AND(IF(metadata!D783="",FALSE,TRUE),EXACT(metadata!D783,"Not applicable"))</f>
        <v>0</v>
      </c>
      <c r="AP783" t="b">
        <f>IF(metadata!E783="",FALSE,TRUE)</f>
        <v>0</v>
      </c>
      <c r="AQ783" t="b">
        <f>OR(AND(IF(metadata!F783="",FALSE,TRUE),OR(EXACT(metadata!F783,"missing: not collected"),EXACT(metadata!F783,"missing: not provided"))),AND(IF(metadata!F783="",FALSE,TRUE),OR(EXACT(metadata!F783,"TRUE"),EXACT(metadata!F783,"FALSE"))))</f>
        <v>0</v>
      </c>
      <c r="AR783" t="b">
        <f>OR(AND(IF(metadata!G783="",FALSE,TRUE),OR(EXACT(metadata!G783,"missing: not collected"),EXACT(metadata!G783,"missing: not provided"),EXACT(metadata!G783,"missing: restricted access"))),AND(IF(metadata!G783="",FALSE,ISNUMBER(VALUE(metadata!G783))),metadata!G783&gt;=-413))</f>
        <v>0</v>
      </c>
      <c r="AS783" t="b">
        <f>AND(IF(metadata!H783="",FALSE,TRUE),EXACT(metadata!H783,"meters"))</f>
        <v>0</v>
      </c>
      <c r="AT783" t="b">
        <f>AND(IF(metadata!I783="",FALSE,TRUE),OR(EXACT(metadata!I783,"Host-associated"),EXACT(metadata!I783,"Free-living")))</f>
        <v>0</v>
      </c>
      <c r="AU783" t="b">
        <f>AND(IF(metadata!J783="",FALSE,TRUE),OR(EXACT(metadata!J783,"Animal"),EXACT(metadata!J783,"Fungus"),EXACT(metadata!J783,"Plant"),EXACT(metadata!J783,"Saline"),EXACT(metadata!J783,"Non-saline")))</f>
        <v>0</v>
      </c>
      <c r="AV783" t="b">
        <f>AND(IF(metadata!K783="",FALSE,TRUE),OR(EXACT(metadata!K783,"Plant secretion"),EXACT(metadata!K783,"Plant rhizosphere"),EXACT(metadata!K783,"Plant surface"),EXACT(metadata!K783,"Plant corpus"),EXACT(metadata!K783,"Fungus surface"),EXACT(metadata!K783,"Fungus corpus"),EXACT(metadata!K783,"Animal surface"),EXACT(metadata!K783,"Animal proximal gut"),EXACT(metadata!K783,"Animal corpus"),EXACT(metadata!K783,"Animal distal gut"),EXACT(metadata!K783,"Animal secretion"),EXACT(metadata!K783,"Sub-surface (non-saline)"),EXACT(metadata!K783,"Surface (non-saline)"),EXACT(metadata!K783,"Water (non-saline)"),EXACT(metadata!K783,"Soil (non-saline)"),EXACT(metadata!K783,"Aerosol (non-saline)"),EXACT(metadata!K783,"Sediment (non-saline)"),EXACT(metadata!K783,"Surface (saline)"),EXACT(metadata!K783,"Water (saline)"),EXACT(metadata!K783,"Hypersaline (saline)"),EXACT(metadata!K783,"Aerosol (saline)"),EXACT(metadata!K783,"Sediment (saline)")))</f>
        <v>0</v>
      </c>
      <c r="AW783" t="b">
        <f>IF(metadata!L783="",FALSE,TRUE)</f>
        <v>0</v>
      </c>
      <c r="AX783" t="b">
        <f>IF(metadata!M783="",FALSE,TRUE)</f>
        <v>0</v>
      </c>
      <c r="AY783" t="b">
        <f>IF(metadata!N783="",FALSE,TRUE)</f>
        <v>0</v>
      </c>
      <c r="AZ783" t="b">
        <f>OR(AND(IF(metadata!O783="",FALSE,TRUE),OR(EXACT(metadata!O783,"missing: not collected"),EXACT(metadata!O783,"missing: not provided"),EXACT(metadata!O783,"missing: restricted access"))),AND(IF(metadata!O783="",FALSE,TRUE),OR(EXACT(metadata!O783,"air"),EXACT(metadata!O783,"built environment"),EXACT(metadata!O783,"host-associated"),EXACT(metadata!O783,"human-associated"),EXACT(metadata!O783,"human-skin"),EXACT(metadata!O783,"human-oral"),EXACT(metadata!O783,"human-gut"),EXACT(metadata!O783,"human-vaginal"),EXACT(metadata!O783,"microbial mat/biofilm"),EXACT(metadata!O783,"misc environment"),EXACT(metadata!O783,"plant-associated"),EXACT(metadata!O783,"sediment"),EXACT(metadata!O783,"soil"),EXACT(metadata!O783,"wastewater/sludge"),EXACT(metadata!O783,"water"))))</f>
        <v>0</v>
      </c>
      <c r="BA783" t="b">
        <f>IF(metadata!P783="",FALSE,TRUE)</f>
        <v>0</v>
      </c>
      <c r="BB783" t="b">
        <f>IF(metadata!Q783="",FALSE,TRUE)</f>
        <v>0</v>
      </c>
      <c r="BC783" t="b">
        <f>OR(AND(IF(metadata!R783="",FALSE,TRUE),OR(EXACT(metadata!R783,"missing: not collected"),EXACT(metadata!R783,"missing: not provided"),EXACT(metadata!R783,"missing: restricted access"))),AND(IF(metadata!R783="",FALSE,ISNUMBER(VALUE(metadata!R783))),metadata!R783&gt;=-90,metadata!R783&lt;=90))</f>
        <v>0</v>
      </c>
      <c r="BD783" t="b">
        <f>AND(IF(metadata!S783="",FALSE,TRUE),EXACT(metadata!S783,"Decimal degrees"))</f>
        <v>0</v>
      </c>
      <c r="BE783" t="b">
        <f>OR(AND(IF(metadata!T783="",FALSE,TRUE),OR(EXACT(metadata!T783,"missing: not collected"),EXACT(metadata!T783,"missing: not provided"),EXACT(metadata!T783,"missing: restricted access"))),AND(IF(metadata!T783="",FALSE,ISNUMBER(VALUE(metadata!T783))),metadata!T783&gt;=-180,metadata!T783&lt;=180))</f>
        <v>0</v>
      </c>
      <c r="BF783" t="b">
        <f>AND(IF(metadata!U783="",FALSE,TRUE),EXACT(metadata!U783,"Decimal degrees"))</f>
        <v>0</v>
      </c>
      <c r="BG783" t="b">
        <f>IF(metadata!V783="",FALSE,TRUE)</f>
        <v>0</v>
      </c>
      <c r="BH783" t="b">
        <f>OR(AND(IF(metadata!W783="",FALSE,TRUE),OR(EXACT(metadata!W783,"missing: not collected"),EXACT(metadata!W783,"missing: not provided"),EXACT(metadata!W783,"missing: restricted access"))),AND(IF(metadata!W783="",FALSE,TRUE),OR(EXACT(metadata!W783,"TRUE"),EXACT(metadata!W783,"FALSE"))))</f>
        <v>0</v>
      </c>
      <c r="BI783" t="b">
        <f>AND(IF(metadata!X783="",FALSE,TRUE),EXACT(metadata!X783,"other"))</f>
        <v>0</v>
      </c>
      <c r="BJ783" t="b">
        <f>IF(metadata!Y783="",FALSE,TRUE)</f>
        <v>0</v>
      </c>
      <c r="BK783" t="b">
        <f>OR(AND(IF(metadata!Z783="",FALSE,TRUE),OR(EXACT(metadata!Z783,"missing: not collected"),EXACT(metadata!Z783,"missing: not provided"))),AND(IF(metadata!Z783="",FALSE,IF(ISERROR(INT(metadata!Z783)),FALSE,INT(metadata!Z783)=metadata!Z783)),metadata!Z783&gt;0))</f>
        <v>0</v>
      </c>
      <c r="BL783" t="b">
        <f>AND(IF(metadata!AA783="",FALSE,TRUE),EXACT(metadata!AA783,"Not applicable"))</f>
        <v>0</v>
      </c>
      <c r="BM783" t="b">
        <f>IF(metadata!AB783="",FALSE,TRUE)</f>
        <v>0</v>
      </c>
    </row>
    <row r="784" spans="1:65" x14ac:dyDescent="0.2">
      <c r="A784" s="5" t="str">
        <f ca="1">IF(B784=" "," ",HYPERLINK(CONCATENATE("#metadata!",ADDRESS(INDEX($AH$2:$AH$1001,MATCH(ROWS($AF$2:AF784),$AF$2:$AF$1001,0),0),1)),INDEX($AK$2:$AK$1001,MATCH(ROWS($AF$2:AF784),$AF$2:$AF$1001,0),0)))</f>
        <v xml:space="preserve"> </v>
      </c>
      <c r="B784" s="4" t="str">
        <f ca="1">IF(OR(INDEX($AG$2:$AG$1001,MATCH(ROWS($AF$2:AF784),$AF$2:$AF$1001,0),1)&gt;=100000,INDEX($AM$1005:$BM$1005,1,MATCH(COLUMNS($AM$1006:AM1006),$AM$1006:$BM$1006,0))&gt;=100000), " ",IF(INDEX($AM$2:$BM$1001,MATCH(ROWS($AF$2:AF784),$AF$2:$AF$1001,0),MATCH(COLUMNS($AM$1006:AM1006),$AM$1006:$BM$1006,0)), HYPERLINK("#",""), HYPERLINK(CONCATENATE("#metadata!", ADDRESS(INDEX($AH$2:$AH$1001,MATCH(ROWS($AF$2:AF784),$AF$2:$AF$1001,0),0), INDEX($AM$1004:$BM$1004,1,MATCH(COLUMNS($AM$1006:AM1006),$AM$1006:$BM$1006,0)))),"Fix")))</f>
        <v xml:space="preserve"> </v>
      </c>
      <c r="C784" s="4" t="str">
        <f ca="1">IF(OR(INDEX($AG$2:$AG$1001,MATCH(ROWS($AF$2:AF784),$AF$2:$AF$1001,0),1)&gt;=100000,INDEX($AM$1005:$BM$1005,1,MATCH(COLUMNS($AM$1006:AN1006),$AM$1006:$BM$1006,0))&gt;=100000), " ",IF(INDEX($AM$2:$BM$1001,MATCH(ROWS($AF$2:AF784),$AF$2:$AF$1001,0),MATCH(COLUMNS($AM$1006:AN1006),$AM$1006:$BM$1006,0)), HYPERLINK("#",""), HYPERLINK(CONCATENATE("#metadata!", ADDRESS(INDEX($AH$2:$AH$1001,MATCH(ROWS($AF$2:AF784),$AF$2:$AF$1001,0),0), INDEX($AM$1004:$BM$1004,1,MATCH(COLUMNS($AM$1006:AN1006),$AM$1006:$BM$1006,0)))),"Fix")))</f>
        <v xml:space="preserve"> </v>
      </c>
      <c r="D784" s="4" t="str">
        <f ca="1">IF(OR(INDEX($AG$2:$AG$1001,MATCH(ROWS($AF$2:AF784),$AF$2:$AF$1001,0),1)&gt;=100000,INDEX($AM$1005:$BM$1005,1,MATCH(COLUMNS($AM$1006:AO1006),$AM$1006:$BM$1006,0))&gt;=100000), " ",IF(INDEX($AM$2:$BM$1001,MATCH(ROWS($AF$2:AF784),$AF$2:$AF$1001,0),MATCH(COLUMNS($AM$1006:AO1006),$AM$1006:$BM$1006,0)), HYPERLINK("#",""), HYPERLINK(CONCATENATE("#metadata!", ADDRESS(INDEX($AH$2:$AH$1001,MATCH(ROWS($AF$2:AF784),$AF$2:$AF$1001,0),0), INDEX($AM$1004:$BM$1004,1,MATCH(COLUMNS($AM$1006:AO1006),$AM$1006:$BM$1006,0)))),"Fix")))</f>
        <v xml:space="preserve"> </v>
      </c>
      <c r="E784" s="4" t="str">
        <f ca="1">IF(OR(INDEX($AG$2:$AG$1001,MATCH(ROWS($AF$2:AF784),$AF$2:$AF$1001,0),1)&gt;=100000,INDEX($AM$1005:$BM$1005,1,MATCH(COLUMNS($AM$1006:AP1006),$AM$1006:$BM$1006,0))&gt;=100000), " ",IF(INDEX($AM$2:$BM$1001,MATCH(ROWS($AF$2:AF784),$AF$2:$AF$1001,0),MATCH(COLUMNS($AM$1006:AP1006),$AM$1006:$BM$1006,0)), HYPERLINK("#",""), HYPERLINK(CONCATENATE("#metadata!", ADDRESS(INDEX($AH$2:$AH$1001,MATCH(ROWS($AF$2:AF784),$AF$2:$AF$1001,0),0), INDEX($AM$1004:$BM$1004,1,MATCH(COLUMNS($AM$1006:AP1006),$AM$1006:$BM$1006,0)))),"Fix")))</f>
        <v xml:space="preserve"> </v>
      </c>
      <c r="F784" s="4" t="str">
        <f ca="1">IF(OR(INDEX($AG$2:$AG$1001,MATCH(ROWS($AF$2:AF784),$AF$2:$AF$1001,0),1)&gt;=100000,INDEX($AM$1005:$BM$1005,1,MATCH(COLUMNS($AM$1006:AQ1006),$AM$1006:$BM$1006,0))&gt;=100000), " ",IF(INDEX($AM$2:$BM$1001,MATCH(ROWS($AF$2:AF784),$AF$2:$AF$1001,0),MATCH(COLUMNS($AM$1006:AQ1006),$AM$1006:$BM$1006,0)), HYPERLINK("#",""), HYPERLINK(CONCATENATE("#metadata!", ADDRESS(INDEX($AH$2:$AH$1001,MATCH(ROWS($AF$2:AF784),$AF$2:$AF$1001,0),0), INDEX($AM$1004:$BM$1004,1,MATCH(COLUMNS($AM$1006:AQ1006),$AM$1006:$BM$1006,0)))),"Fix")))</f>
        <v xml:space="preserve"> </v>
      </c>
      <c r="G784" s="4" t="str">
        <f ca="1">IF(OR(INDEX($AG$2:$AG$1001,MATCH(ROWS($AF$2:AF784),$AF$2:$AF$1001,0),1)&gt;=100000,INDEX($AM$1005:$BM$1005,1,MATCH(COLUMNS($AM$1006:AR1006),$AM$1006:$BM$1006,0))&gt;=100000), " ",IF(INDEX($AM$2:$BM$1001,MATCH(ROWS($AF$2:AF784),$AF$2:$AF$1001,0),MATCH(COLUMNS($AM$1006:AR1006),$AM$1006:$BM$1006,0)), HYPERLINK("#",""), HYPERLINK(CONCATENATE("#metadata!", ADDRESS(INDEX($AH$2:$AH$1001,MATCH(ROWS($AF$2:AF784),$AF$2:$AF$1001,0),0), INDEX($AM$1004:$BM$1004,1,MATCH(COLUMNS($AM$1006:AR1006),$AM$1006:$BM$1006,0)))),"Fix")))</f>
        <v xml:space="preserve"> </v>
      </c>
      <c r="H784" s="4" t="str">
        <f ca="1">IF(OR(INDEX($AG$2:$AG$1001,MATCH(ROWS($AF$2:AF784),$AF$2:$AF$1001,0),1)&gt;=100000,INDEX($AM$1005:$BM$1005,1,MATCH(COLUMNS($AM$1006:AS1006),$AM$1006:$BM$1006,0))&gt;=100000), " ",IF(INDEX($AM$2:$BM$1001,MATCH(ROWS($AF$2:AF784),$AF$2:$AF$1001,0),MATCH(COLUMNS($AM$1006:AS1006),$AM$1006:$BM$1006,0)), HYPERLINK("#",""), HYPERLINK(CONCATENATE("#metadata!", ADDRESS(INDEX($AH$2:$AH$1001,MATCH(ROWS($AF$2:AF784),$AF$2:$AF$1001,0),0), INDEX($AM$1004:$BM$1004,1,MATCH(COLUMNS($AM$1006:AS1006),$AM$1006:$BM$1006,0)))),"Fix")))</f>
        <v xml:space="preserve"> </v>
      </c>
      <c r="I784" s="4" t="str">
        <f ca="1">IF(OR(INDEX($AG$2:$AG$1001,MATCH(ROWS($AF$2:AF784),$AF$2:$AF$1001,0),1)&gt;=100000,INDEX($AM$1005:$BM$1005,1,MATCH(COLUMNS($AM$1006:AT1006),$AM$1006:$BM$1006,0))&gt;=100000), " ",IF(INDEX($AM$2:$BM$1001,MATCH(ROWS($AF$2:AF784),$AF$2:$AF$1001,0),MATCH(COLUMNS($AM$1006:AT1006),$AM$1006:$BM$1006,0)), HYPERLINK("#",""), HYPERLINK(CONCATENATE("#metadata!", ADDRESS(INDEX($AH$2:$AH$1001,MATCH(ROWS($AF$2:AF784),$AF$2:$AF$1001,0),0), INDEX($AM$1004:$BM$1004,1,MATCH(COLUMNS($AM$1006:AT1006),$AM$1006:$BM$1006,0)))),"Fix")))</f>
        <v xml:space="preserve"> </v>
      </c>
      <c r="J784" s="4" t="str">
        <f ca="1">IF(OR(INDEX($AG$2:$AG$1001,MATCH(ROWS($AF$2:AF784),$AF$2:$AF$1001,0),1)&gt;=100000,INDEX($AM$1005:$BM$1005,1,MATCH(COLUMNS($AM$1006:AU1006),$AM$1006:$BM$1006,0))&gt;=100000), " ",IF(INDEX($AM$2:$BM$1001,MATCH(ROWS($AF$2:AF784),$AF$2:$AF$1001,0),MATCH(COLUMNS($AM$1006:AU1006),$AM$1006:$BM$1006,0)), HYPERLINK("#",""), HYPERLINK(CONCATENATE("#metadata!", ADDRESS(INDEX($AH$2:$AH$1001,MATCH(ROWS($AF$2:AF784),$AF$2:$AF$1001,0),0), INDEX($AM$1004:$BM$1004,1,MATCH(COLUMNS($AM$1006:AU1006),$AM$1006:$BM$1006,0)))),"Fix")))</f>
        <v xml:space="preserve"> </v>
      </c>
      <c r="K784" s="4" t="str">
        <f ca="1">IF(OR(INDEX($AG$2:$AG$1001,MATCH(ROWS($AF$2:AF784),$AF$2:$AF$1001,0),1)&gt;=100000,INDEX($AM$1005:$BM$1005,1,MATCH(COLUMNS($AM$1006:AV1006),$AM$1006:$BM$1006,0))&gt;=100000), " ",IF(INDEX($AM$2:$BM$1001,MATCH(ROWS($AF$2:AF784),$AF$2:$AF$1001,0),MATCH(COLUMNS($AM$1006:AV1006),$AM$1006:$BM$1006,0)), HYPERLINK("#",""), HYPERLINK(CONCATENATE("#metadata!", ADDRESS(INDEX($AH$2:$AH$1001,MATCH(ROWS($AF$2:AF784),$AF$2:$AF$1001,0),0), INDEX($AM$1004:$BM$1004,1,MATCH(COLUMNS($AM$1006:AV1006),$AM$1006:$BM$1006,0)))),"Fix")))</f>
        <v xml:space="preserve"> </v>
      </c>
      <c r="L784" s="4" t="str">
        <f ca="1">IF(OR(INDEX($AG$2:$AG$1001,MATCH(ROWS($AF$2:AF784),$AF$2:$AF$1001,0),1)&gt;=100000,INDEX($AM$1005:$BM$1005,1,MATCH(COLUMNS($AM$1006:AW1006),$AM$1006:$BM$1006,0))&gt;=100000), " ",IF(INDEX($AM$2:$BM$1001,MATCH(ROWS($AF$2:AF784),$AF$2:$AF$1001,0),MATCH(COLUMNS($AM$1006:AW1006),$AM$1006:$BM$1006,0)), HYPERLINK("#",""), HYPERLINK(CONCATENATE("#metadata!", ADDRESS(INDEX($AH$2:$AH$1001,MATCH(ROWS($AF$2:AF784),$AF$2:$AF$1001,0),0), INDEX($AM$1004:$BM$1004,1,MATCH(COLUMNS($AM$1006:AW1006),$AM$1006:$BM$1006,0)))),"Fix")))</f>
        <v xml:space="preserve"> </v>
      </c>
      <c r="M784" s="4" t="str">
        <f ca="1">IF(OR(INDEX($AG$2:$AG$1001,MATCH(ROWS($AF$2:AF784),$AF$2:$AF$1001,0),1)&gt;=100000,INDEX($AM$1005:$BM$1005,1,MATCH(COLUMNS($AM$1006:AX1006),$AM$1006:$BM$1006,0))&gt;=100000), " ",IF(INDEX($AM$2:$BM$1001,MATCH(ROWS($AF$2:AF784),$AF$2:$AF$1001,0),MATCH(COLUMNS($AM$1006:AX1006),$AM$1006:$BM$1006,0)), HYPERLINK("#",""), HYPERLINK(CONCATENATE("#metadata!", ADDRESS(INDEX($AH$2:$AH$1001,MATCH(ROWS($AF$2:AF784),$AF$2:$AF$1001,0),0), INDEX($AM$1004:$BM$1004,1,MATCH(COLUMNS($AM$1006:AX1006),$AM$1006:$BM$1006,0)))),"Fix")))</f>
        <v xml:space="preserve"> </v>
      </c>
      <c r="N784" s="4" t="str">
        <f ca="1">IF(OR(INDEX($AG$2:$AG$1001,MATCH(ROWS($AF$2:AF784),$AF$2:$AF$1001,0),1)&gt;=100000,INDEX($AM$1005:$BM$1005,1,MATCH(COLUMNS($AM$1006:AY1006),$AM$1006:$BM$1006,0))&gt;=100000), " ",IF(INDEX($AM$2:$BM$1001,MATCH(ROWS($AF$2:AF784),$AF$2:$AF$1001,0),MATCH(COLUMNS($AM$1006:AY1006),$AM$1006:$BM$1006,0)), HYPERLINK("#",""), HYPERLINK(CONCATENATE("#metadata!", ADDRESS(INDEX($AH$2:$AH$1001,MATCH(ROWS($AF$2:AF784),$AF$2:$AF$1001,0),0), INDEX($AM$1004:$BM$1004,1,MATCH(COLUMNS($AM$1006:AY1006),$AM$1006:$BM$1006,0)))),"Fix")))</f>
        <v xml:space="preserve"> </v>
      </c>
      <c r="O784" s="4" t="str">
        <f ca="1">IF(OR(INDEX($AG$2:$AG$1001,MATCH(ROWS($AF$2:AF784),$AF$2:$AF$1001,0),1)&gt;=100000,INDEX($AM$1005:$BM$1005,1,MATCH(COLUMNS($AM$1006:AZ1006),$AM$1006:$BM$1006,0))&gt;=100000), " ",IF(INDEX($AM$2:$BM$1001,MATCH(ROWS($AF$2:AF784),$AF$2:$AF$1001,0),MATCH(COLUMNS($AM$1006:AZ1006),$AM$1006:$BM$1006,0)), HYPERLINK("#",""), HYPERLINK(CONCATENATE("#metadata!", ADDRESS(INDEX($AH$2:$AH$1001,MATCH(ROWS($AF$2:AF784),$AF$2:$AF$1001,0),0), INDEX($AM$1004:$BM$1004,1,MATCH(COLUMNS($AM$1006:AZ1006),$AM$1006:$BM$1006,0)))),"Fix")))</f>
        <v xml:space="preserve"> </v>
      </c>
      <c r="P784" s="4" t="str">
        <f ca="1">IF(OR(INDEX($AG$2:$AG$1001,MATCH(ROWS($AF$2:AF784),$AF$2:$AF$1001,0),1)&gt;=100000,INDEX($AM$1005:$BM$1005,1,MATCH(COLUMNS($AM$1006:BA1006),$AM$1006:$BM$1006,0))&gt;=100000), " ",IF(INDEX($AM$2:$BM$1001,MATCH(ROWS($AF$2:AF784),$AF$2:$AF$1001,0),MATCH(COLUMNS($AM$1006:BA1006),$AM$1006:$BM$1006,0)), HYPERLINK("#",""), HYPERLINK(CONCATENATE("#metadata!", ADDRESS(INDEX($AH$2:$AH$1001,MATCH(ROWS($AF$2:AF784),$AF$2:$AF$1001,0),0), INDEX($AM$1004:$BM$1004,1,MATCH(COLUMNS($AM$1006:BA1006),$AM$1006:$BM$1006,0)))),"Fix")))</f>
        <v xml:space="preserve"> </v>
      </c>
      <c r="Q784" s="4" t="str">
        <f ca="1">IF(OR(INDEX($AG$2:$AG$1001,MATCH(ROWS($AF$2:AF784),$AF$2:$AF$1001,0),1)&gt;=100000,INDEX($AM$1005:$BM$1005,1,MATCH(COLUMNS($AM$1006:BB1006),$AM$1006:$BM$1006,0))&gt;=100000), " ",IF(INDEX($AM$2:$BM$1001,MATCH(ROWS($AF$2:AF784),$AF$2:$AF$1001,0),MATCH(COLUMNS($AM$1006:BB1006),$AM$1006:$BM$1006,0)), HYPERLINK("#",""), HYPERLINK(CONCATENATE("#metadata!", ADDRESS(INDEX($AH$2:$AH$1001,MATCH(ROWS($AF$2:AF784),$AF$2:$AF$1001,0),0), INDEX($AM$1004:$BM$1004,1,MATCH(COLUMNS($AM$1006:BB1006),$AM$1006:$BM$1006,0)))),"Fix")))</f>
        <v xml:space="preserve"> </v>
      </c>
      <c r="R784" s="4" t="str">
        <f ca="1">IF(OR(INDEX($AG$2:$AG$1001,MATCH(ROWS($AF$2:AF784),$AF$2:$AF$1001,0),1)&gt;=100000,INDEX($AM$1005:$BM$1005,1,MATCH(COLUMNS($AM$1006:BC1006),$AM$1006:$BM$1006,0))&gt;=100000), " ",IF(INDEX($AM$2:$BM$1001,MATCH(ROWS($AF$2:AF784),$AF$2:$AF$1001,0),MATCH(COLUMNS($AM$1006:BC1006),$AM$1006:$BM$1006,0)), HYPERLINK("#",""), HYPERLINK(CONCATENATE("#metadata!", ADDRESS(INDEX($AH$2:$AH$1001,MATCH(ROWS($AF$2:AF784),$AF$2:$AF$1001,0),0), INDEX($AM$1004:$BM$1004,1,MATCH(COLUMNS($AM$1006:BC1006),$AM$1006:$BM$1006,0)))),"Fix")))</f>
        <v xml:space="preserve"> </v>
      </c>
      <c r="S784" s="4" t="str">
        <f ca="1">IF(OR(INDEX($AG$2:$AG$1001,MATCH(ROWS($AF$2:AF784),$AF$2:$AF$1001,0),1)&gt;=100000,INDEX($AM$1005:$BM$1005,1,MATCH(COLUMNS($AM$1006:BD1006),$AM$1006:$BM$1006,0))&gt;=100000), " ",IF(INDEX($AM$2:$BM$1001,MATCH(ROWS($AF$2:AF784),$AF$2:$AF$1001,0),MATCH(COLUMNS($AM$1006:BD1006),$AM$1006:$BM$1006,0)), HYPERLINK("#",""), HYPERLINK(CONCATENATE("#metadata!", ADDRESS(INDEX($AH$2:$AH$1001,MATCH(ROWS($AF$2:AF784),$AF$2:$AF$1001,0),0), INDEX($AM$1004:$BM$1004,1,MATCH(COLUMNS($AM$1006:BD1006),$AM$1006:$BM$1006,0)))),"Fix")))</f>
        <v xml:space="preserve"> </v>
      </c>
      <c r="T784" s="4" t="str">
        <f ca="1">IF(OR(INDEX($AG$2:$AG$1001,MATCH(ROWS($AF$2:AF784),$AF$2:$AF$1001,0),1)&gt;=100000,INDEX($AM$1005:$BM$1005,1,MATCH(COLUMNS($AM$1006:BE1006),$AM$1006:$BM$1006,0))&gt;=100000), " ",IF(INDEX($AM$2:$BM$1001,MATCH(ROWS($AF$2:AF784),$AF$2:$AF$1001,0),MATCH(COLUMNS($AM$1006:BE1006),$AM$1006:$BM$1006,0)), HYPERLINK("#",""), HYPERLINK(CONCATENATE("#metadata!", ADDRESS(INDEX($AH$2:$AH$1001,MATCH(ROWS($AF$2:AF784),$AF$2:$AF$1001,0),0), INDEX($AM$1004:$BM$1004,1,MATCH(COLUMNS($AM$1006:BE1006),$AM$1006:$BM$1006,0)))),"Fix")))</f>
        <v xml:space="preserve"> </v>
      </c>
      <c r="U784" s="4" t="str">
        <f ca="1">IF(OR(INDEX($AG$2:$AG$1001,MATCH(ROWS($AF$2:AF784),$AF$2:$AF$1001,0),1)&gt;=100000,INDEX($AM$1005:$BM$1005,1,MATCH(COLUMNS($AM$1006:BF1006),$AM$1006:$BM$1006,0))&gt;=100000), " ",IF(INDEX($AM$2:$BM$1001,MATCH(ROWS($AF$2:AF784),$AF$2:$AF$1001,0),MATCH(COLUMNS($AM$1006:BF1006),$AM$1006:$BM$1006,0)), HYPERLINK("#",""), HYPERLINK(CONCATENATE("#metadata!", ADDRESS(INDEX($AH$2:$AH$1001,MATCH(ROWS($AF$2:AF784),$AF$2:$AF$1001,0),0), INDEX($AM$1004:$BM$1004,1,MATCH(COLUMNS($AM$1006:BF1006),$AM$1006:$BM$1006,0)))),"Fix")))</f>
        <v xml:space="preserve"> </v>
      </c>
      <c r="V784" s="4" t="str">
        <f ca="1">IF(OR(INDEX($AG$2:$AG$1001,MATCH(ROWS($AF$2:AF784),$AF$2:$AF$1001,0),1)&gt;=100000,INDEX($AM$1005:$BM$1005,1,MATCH(COLUMNS($AM$1006:BG1006),$AM$1006:$BM$1006,0))&gt;=100000), " ",IF(INDEX($AM$2:$BM$1001,MATCH(ROWS($AF$2:AF784),$AF$2:$AF$1001,0),MATCH(COLUMNS($AM$1006:BG1006),$AM$1006:$BM$1006,0)), HYPERLINK("#",""), HYPERLINK(CONCATENATE("#metadata!", ADDRESS(INDEX($AH$2:$AH$1001,MATCH(ROWS($AF$2:AF784),$AF$2:$AF$1001,0),0), INDEX($AM$1004:$BM$1004,1,MATCH(COLUMNS($AM$1006:BG1006),$AM$1006:$BM$1006,0)))),"Fix")))</f>
        <v xml:space="preserve"> </v>
      </c>
      <c r="W784" s="4" t="str">
        <f ca="1">IF(OR(INDEX($AG$2:$AG$1001,MATCH(ROWS($AF$2:AF784),$AF$2:$AF$1001,0),1)&gt;=100000,INDEX($AM$1005:$BM$1005,1,MATCH(COLUMNS($AM$1006:BH1006),$AM$1006:$BM$1006,0))&gt;=100000), " ",IF(INDEX($AM$2:$BM$1001,MATCH(ROWS($AF$2:AF784),$AF$2:$AF$1001,0),MATCH(COLUMNS($AM$1006:BH1006),$AM$1006:$BM$1006,0)), HYPERLINK("#",""), HYPERLINK(CONCATENATE("#metadata!", ADDRESS(INDEX($AH$2:$AH$1001,MATCH(ROWS($AF$2:AF784),$AF$2:$AF$1001,0),0), INDEX($AM$1004:$BM$1004,1,MATCH(COLUMNS($AM$1006:BH1006),$AM$1006:$BM$1006,0)))),"Fix")))</f>
        <v xml:space="preserve"> </v>
      </c>
      <c r="X784" s="4" t="str">
        <f ca="1">IF(OR(INDEX($AG$2:$AG$1001,MATCH(ROWS($AF$2:AF784),$AF$2:$AF$1001,0),1)&gt;=100000,INDEX($AM$1005:$BM$1005,1,MATCH(COLUMNS($AM$1006:BI1006),$AM$1006:$BM$1006,0))&gt;=100000), " ",IF(INDEX($AM$2:$BM$1001,MATCH(ROWS($AF$2:AF784),$AF$2:$AF$1001,0),MATCH(COLUMNS($AM$1006:BI1006),$AM$1006:$BM$1006,0)), HYPERLINK("#",""), HYPERLINK(CONCATENATE("#metadata!", ADDRESS(INDEX($AH$2:$AH$1001,MATCH(ROWS($AF$2:AF784),$AF$2:$AF$1001,0),0), INDEX($AM$1004:$BM$1004,1,MATCH(COLUMNS($AM$1006:BI1006),$AM$1006:$BM$1006,0)))),"Fix")))</f>
        <v xml:space="preserve"> </v>
      </c>
      <c r="Y784" s="4" t="str">
        <f ca="1">IF(OR(INDEX($AG$2:$AG$1001,MATCH(ROWS($AF$2:AF784),$AF$2:$AF$1001,0),1)&gt;=100000,INDEX($AM$1005:$BM$1005,1,MATCH(COLUMNS($AM$1006:BJ1006),$AM$1006:$BM$1006,0))&gt;=100000), " ",IF(INDEX($AM$2:$BM$1001,MATCH(ROWS($AF$2:AF784),$AF$2:$AF$1001,0),MATCH(COLUMNS($AM$1006:BJ1006),$AM$1006:$BM$1006,0)), HYPERLINK("#",""), HYPERLINK(CONCATENATE("#metadata!", ADDRESS(INDEX($AH$2:$AH$1001,MATCH(ROWS($AF$2:AF784),$AF$2:$AF$1001,0),0), INDEX($AM$1004:$BM$1004,1,MATCH(COLUMNS($AM$1006:BJ1006),$AM$1006:$BM$1006,0)))),"Fix")))</f>
        <v xml:space="preserve"> </v>
      </c>
      <c r="Z784" s="4" t="str">
        <f ca="1">IF(OR(INDEX($AG$2:$AG$1001,MATCH(ROWS($AF$2:AF784),$AF$2:$AF$1001,0),1)&gt;=100000,INDEX($AM$1005:$BM$1005,1,MATCH(COLUMNS($AM$1006:BK1006),$AM$1006:$BM$1006,0))&gt;=100000), " ",IF(INDEX($AM$2:$BM$1001,MATCH(ROWS($AF$2:AF784),$AF$2:$AF$1001,0),MATCH(COLUMNS($AM$1006:BK1006),$AM$1006:$BM$1006,0)), HYPERLINK("#",""), HYPERLINK(CONCATENATE("#metadata!", ADDRESS(INDEX($AH$2:$AH$1001,MATCH(ROWS($AF$2:AF784),$AF$2:$AF$1001,0),0), INDEX($AM$1004:$BM$1004,1,MATCH(COLUMNS($AM$1006:BK1006),$AM$1006:$BM$1006,0)))),"Fix")))</f>
        <v xml:space="preserve"> </v>
      </c>
      <c r="AA784" s="4" t="str">
        <f ca="1">IF(OR(INDEX($AG$2:$AG$1001,MATCH(ROWS($AF$2:AF784),$AF$2:$AF$1001,0),1)&gt;=100000,INDEX($AM$1005:$BM$1005,1,MATCH(COLUMNS($AM$1006:BL1006),$AM$1006:$BM$1006,0))&gt;=100000), " ",IF(INDEX($AM$2:$BM$1001,MATCH(ROWS($AF$2:AF784),$AF$2:$AF$1001,0),MATCH(COLUMNS($AM$1006:BL1006),$AM$1006:$BM$1006,0)), HYPERLINK("#",""), HYPERLINK(CONCATENATE("#metadata!", ADDRESS(INDEX($AH$2:$AH$1001,MATCH(ROWS($AF$2:AF784),$AF$2:$AF$1001,0),0), INDEX($AM$1004:$BM$1004,1,MATCH(COLUMNS($AM$1006:BL1006),$AM$1006:$BM$1006,0)))),"Fix")))</f>
        <v xml:space="preserve"> </v>
      </c>
      <c r="AB784" s="4" t="str">
        <f ca="1">IF(OR(INDEX($AG$2:$AG$1001,MATCH(ROWS($AF$2:AF784),$AF$2:$AF$1001,0),1)&gt;=100000,INDEX($AM$1005:$BM$1005,1,MATCH(COLUMNS($AM$1006:BM1006),$AM$1006:$BM$1006,0))&gt;=100000), " ",IF(INDEX($AM$2:$BM$1001,MATCH(ROWS($AF$2:AF784),$AF$2:$AF$1001,0),MATCH(COLUMNS($AM$1006:BM1006),$AM$1006:$BM$1006,0)), HYPERLINK("#",""), HYPERLINK(CONCATENATE("#metadata!", ADDRESS(INDEX($AH$2:$AH$1001,MATCH(ROWS($AF$2:AF784),$AF$2:$AF$1001,0),0), INDEX($AM$1004:$BM$1004,1,MATCH(COLUMNS($AM$1006:BM1006),$AM$1006:$BM$1006,0)))),"Fix")))</f>
        <v xml:space="preserve"> </v>
      </c>
      <c r="AF784">
        <v>783</v>
      </c>
      <c r="AG784">
        <v>100784</v>
      </c>
      <c r="AH784">
        <v>784</v>
      </c>
      <c r="AI784" t="b">
        <f t="shared" si="12"/>
        <v>1</v>
      </c>
      <c r="AJ784" t="b">
        <f>COUNTBLANK(metadata!B784:AB784)=COLUMNS(metadata!B784:AB784)</f>
        <v>1</v>
      </c>
      <c r="AK784" t="str">
        <v/>
      </c>
      <c r="AM784" t="b">
        <f ca="1">AND(IF(metadata!B784="",FALSE,TRUE),COUNTIF(metadata!B:B, metadata!B784) = 1,NOT(ISERROR(SUMPRODUCT(SEARCH(MID(metadata!B784,ROW(INDIRECT("1:"&amp;LEN(metadata!B784))), 1),"0123456789abcdefghijklmnopqrstuvwxyzABCDEFGHIJKLMNOPQRSTUVWXYZ.")))))</f>
        <v>0</v>
      </c>
      <c r="AN784" t="b">
        <f ca="1">OR(AND(IF(metadata!C784="",FALSE,TRUE),OR(EXACT(metadata!C784,"missing: not collected"),EXACT(metadata!C784,"missing: not provided"),EXACT(metadata!C784,"missing: restricted access"))),AND(IF(metadata!C784="",FALSE,TRUE),AND(AND(IFERROR(INT(LEFT(metadata!C784,4))&gt;1900,FALSE),IFERROR(INT(LEFT(metadata!C784,4))&lt;=YEAR(NOW()),FALSE)), OR(MID(metadata!C784,5,1)="", AND(AND(MID(metadata!C784,5,1)="-",IFERROR(INT(MID(metadata!C784,6,1))&gt;=0,FALSE),IFERROR(INT(MID(metadata!C784,6,1))&lt;=1,FALSE),NOT(MID(metadata!C784,7,1)=""),IFERROR(INT(MID(metadata!C784,6,2))&gt;=1,FALSE),IFERROR(INT(MID(metadata!C784,6,2))&lt;=12,FALSE)), OR(MID(metadata!C784,8,1)="", AND(AND(MID(metadata!C784,8,1)="-",IFERROR(INT(MID(metadata!C784,9,1))&gt;=0,FALSE),IFERROR(INT(MID(metadata!C784,9,1))&lt;=3,FALSE),NOT(MID(metadata!C784,10,1)=""),IFERROR(INT(MID(metadata!C784,9,2))&gt;=1,FALSE),IFERROR(INT(MID(metadata!C784,9,2))&lt;=31,FALSE)), OR(MID(metadata!C784,11,1)="", AND(AND(MID(metadata!C784,11,1)=" ",IFERROR(INT(MID(metadata!C784,12,1))&gt;=0,FALSE),IFERROR(INT(MID(metadata!C784,12,1))&lt;=2,FALSE),NOT(MID(metadata!C784,13,1)=""),IFERROR(INT(MID(metadata!C784,12,2))&gt;=0,FALSE),IFERROR(INT(MID(metadata!C784,12,2))&lt;=23,FALSE)), OR(MID(metadata!C784,14,1)="", AND(AND(MID(metadata!C784,14,1)=":",IFERROR(INT(MID(metadata!C784,15,1))&gt;=0,FALSE),IFERROR(INT(MID(metadata!C784,15,1))&lt;=5,FALSE),NOT(MID(metadata!C784,16,1)=""),IFERROR(INT(MID(metadata!C784,15,2))&gt;=0,FALSE),IFERROR(INT(MID(metadata!C784,15,2))&lt;=59,FALSE)), OR(MID(metadata!C784,17,1)="", AND(AND(MID(metadata!C784,17,1)=":",IFERROR(INT(MID(metadata!C784,18,1))&gt;=0,FALSE),IFERROR(INT(MID(metadata!C784,18,1))&lt;=5,FALSE),NOT(MID(metadata!C784,19,1)=""),IFERROR(INT(MID(metadata!C784,18,2))&gt;=0,FALSE),IFERROR(INT(MID(metadata!C784,18,2))&lt;=59,FALSE)), LEN(metadata!C784)&lt;=19)))))))))))))</f>
        <v>0</v>
      </c>
      <c r="AO784" t="b">
        <f>AND(IF(metadata!D784="",FALSE,TRUE),EXACT(metadata!D784,"Not applicable"))</f>
        <v>0</v>
      </c>
      <c r="AP784" t="b">
        <f>IF(metadata!E784="",FALSE,TRUE)</f>
        <v>0</v>
      </c>
      <c r="AQ784" t="b">
        <f>OR(AND(IF(metadata!F784="",FALSE,TRUE),OR(EXACT(metadata!F784,"missing: not collected"),EXACT(metadata!F784,"missing: not provided"))),AND(IF(metadata!F784="",FALSE,TRUE),OR(EXACT(metadata!F784,"TRUE"),EXACT(metadata!F784,"FALSE"))))</f>
        <v>0</v>
      </c>
      <c r="AR784" t="b">
        <f>OR(AND(IF(metadata!G784="",FALSE,TRUE),OR(EXACT(metadata!G784,"missing: not collected"),EXACT(metadata!G784,"missing: not provided"),EXACT(metadata!G784,"missing: restricted access"))),AND(IF(metadata!G784="",FALSE,ISNUMBER(VALUE(metadata!G784))),metadata!G784&gt;=-413))</f>
        <v>0</v>
      </c>
      <c r="AS784" t="b">
        <f>AND(IF(metadata!H784="",FALSE,TRUE),EXACT(metadata!H784,"meters"))</f>
        <v>0</v>
      </c>
      <c r="AT784" t="b">
        <f>AND(IF(metadata!I784="",FALSE,TRUE),OR(EXACT(metadata!I784,"Host-associated"),EXACT(metadata!I784,"Free-living")))</f>
        <v>0</v>
      </c>
      <c r="AU784" t="b">
        <f>AND(IF(metadata!J784="",FALSE,TRUE),OR(EXACT(metadata!J784,"Animal"),EXACT(metadata!J784,"Fungus"),EXACT(metadata!J784,"Plant"),EXACT(metadata!J784,"Saline"),EXACT(metadata!J784,"Non-saline")))</f>
        <v>0</v>
      </c>
      <c r="AV784" t="b">
        <f>AND(IF(metadata!K784="",FALSE,TRUE),OR(EXACT(metadata!K784,"Plant secretion"),EXACT(metadata!K784,"Plant rhizosphere"),EXACT(metadata!K784,"Plant surface"),EXACT(metadata!K784,"Plant corpus"),EXACT(metadata!K784,"Fungus surface"),EXACT(metadata!K784,"Fungus corpus"),EXACT(metadata!K784,"Animal surface"),EXACT(metadata!K784,"Animal proximal gut"),EXACT(metadata!K784,"Animal corpus"),EXACT(metadata!K784,"Animal distal gut"),EXACT(metadata!K784,"Animal secretion"),EXACT(metadata!K784,"Sub-surface (non-saline)"),EXACT(metadata!K784,"Surface (non-saline)"),EXACT(metadata!K784,"Water (non-saline)"),EXACT(metadata!K784,"Soil (non-saline)"),EXACT(metadata!K784,"Aerosol (non-saline)"),EXACT(metadata!K784,"Sediment (non-saline)"),EXACT(metadata!K784,"Surface (saline)"),EXACT(metadata!K784,"Water (saline)"),EXACT(metadata!K784,"Hypersaline (saline)"),EXACT(metadata!K784,"Aerosol (saline)"),EXACT(metadata!K784,"Sediment (saline)")))</f>
        <v>0</v>
      </c>
      <c r="AW784" t="b">
        <f>IF(metadata!L784="",FALSE,TRUE)</f>
        <v>0</v>
      </c>
      <c r="AX784" t="b">
        <f>IF(metadata!M784="",FALSE,TRUE)</f>
        <v>0</v>
      </c>
      <c r="AY784" t="b">
        <f>IF(metadata!N784="",FALSE,TRUE)</f>
        <v>0</v>
      </c>
      <c r="AZ784" t="b">
        <f>OR(AND(IF(metadata!O784="",FALSE,TRUE),OR(EXACT(metadata!O784,"missing: not collected"),EXACT(metadata!O784,"missing: not provided"),EXACT(metadata!O784,"missing: restricted access"))),AND(IF(metadata!O784="",FALSE,TRUE),OR(EXACT(metadata!O784,"air"),EXACT(metadata!O784,"built environment"),EXACT(metadata!O784,"host-associated"),EXACT(metadata!O784,"human-associated"),EXACT(metadata!O784,"human-skin"),EXACT(metadata!O784,"human-oral"),EXACT(metadata!O784,"human-gut"),EXACT(metadata!O784,"human-vaginal"),EXACT(metadata!O784,"microbial mat/biofilm"),EXACT(metadata!O784,"misc environment"),EXACT(metadata!O784,"plant-associated"),EXACT(metadata!O784,"sediment"),EXACT(metadata!O784,"soil"),EXACT(metadata!O784,"wastewater/sludge"),EXACT(metadata!O784,"water"))))</f>
        <v>0</v>
      </c>
      <c r="BA784" t="b">
        <f>IF(metadata!P784="",FALSE,TRUE)</f>
        <v>0</v>
      </c>
      <c r="BB784" t="b">
        <f>IF(metadata!Q784="",FALSE,TRUE)</f>
        <v>0</v>
      </c>
      <c r="BC784" t="b">
        <f>OR(AND(IF(metadata!R784="",FALSE,TRUE),OR(EXACT(metadata!R784,"missing: not collected"),EXACT(metadata!R784,"missing: not provided"),EXACT(metadata!R784,"missing: restricted access"))),AND(IF(metadata!R784="",FALSE,ISNUMBER(VALUE(metadata!R784))),metadata!R784&gt;=-90,metadata!R784&lt;=90))</f>
        <v>0</v>
      </c>
      <c r="BD784" t="b">
        <f>AND(IF(metadata!S784="",FALSE,TRUE),EXACT(metadata!S784,"Decimal degrees"))</f>
        <v>0</v>
      </c>
      <c r="BE784" t="b">
        <f>OR(AND(IF(metadata!T784="",FALSE,TRUE),OR(EXACT(metadata!T784,"missing: not collected"),EXACT(metadata!T784,"missing: not provided"),EXACT(metadata!T784,"missing: restricted access"))),AND(IF(metadata!T784="",FALSE,ISNUMBER(VALUE(metadata!T784))),metadata!T784&gt;=-180,metadata!T784&lt;=180))</f>
        <v>0</v>
      </c>
      <c r="BF784" t="b">
        <f>AND(IF(metadata!U784="",FALSE,TRUE),EXACT(metadata!U784,"Decimal degrees"))</f>
        <v>0</v>
      </c>
      <c r="BG784" t="b">
        <f>IF(metadata!V784="",FALSE,TRUE)</f>
        <v>0</v>
      </c>
      <c r="BH784" t="b">
        <f>OR(AND(IF(metadata!W784="",FALSE,TRUE),OR(EXACT(metadata!W784,"missing: not collected"),EXACT(metadata!W784,"missing: not provided"),EXACT(metadata!W784,"missing: restricted access"))),AND(IF(metadata!W784="",FALSE,TRUE),OR(EXACT(metadata!W784,"TRUE"),EXACT(metadata!W784,"FALSE"))))</f>
        <v>0</v>
      </c>
      <c r="BI784" t="b">
        <f>AND(IF(metadata!X784="",FALSE,TRUE),EXACT(metadata!X784,"other"))</f>
        <v>0</v>
      </c>
      <c r="BJ784" t="b">
        <f>IF(metadata!Y784="",FALSE,TRUE)</f>
        <v>0</v>
      </c>
      <c r="BK784" t="b">
        <f>OR(AND(IF(metadata!Z784="",FALSE,TRUE),OR(EXACT(metadata!Z784,"missing: not collected"),EXACT(metadata!Z784,"missing: not provided"))),AND(IF(metadata!Z784="",FALSE,IF(ISERROR(INT(metadata!Z784)),FALSE,INT(metadata!Z784)=metadata!Z784)),metadata!Z784&gt;0))</f>
        <v>0</v>
      </c>
      <c r="BL784" t="b">
        <f>AND(IF(metadata!AA784="",FALSE,TRUE),EXACT(metadata!AA784,"Not applicable"))</f>
        <v>0</v>
      </c>
      <c r="BM784" t="b">
        <f>IF(metadata!AB784="",FALSE,TRUE)</f>
        <v>0</v>
      </c>
    </row>
    <row r="785" spans="1:65" x14ac:dyDescent="0.2">
      <c r="A785" s="5" t="str">
        <f ca="1">IF(B785=" "," ",HYPERLINK(CONCATENATE("#metadata!",ADDRESS(INDEX($AH$2:$AH$1001,MATCH(ROWS($AF$2:AF785),$AF$2:$AF$1001,0),0),1)),INDEX($AK$2:$AK$1001,MATCH(ROWS($AF$2:AF785),$AF$2:$AF$1001,0),0)))</f>
        <v xml:space="preserve"> </v>
      </c>
      <c r="B785" s="4" t="str">
        <f ca="1">IF(OR(INDEX($AG$2:$AG$1001,MATCH(ROWS($AF$2:AF785),$AF$2:$AF$1001,0),1)&gt;=100000,INDEX($AM$1005:$BM$1005,1,MATCH(COLUMNS($AM$1006:AM1006),$AM$1006:$BM$1006,0))&gt;=100000), " ",IF(INDEX($AM$2:$BM$1001,MATCH(ROWS($AF$2:AF785),$AF$2:$AF$1001,0),MATCH(COLUMNS($AM$1006:AM1006),$AM$1006:$BM$1006,0)), HYPERLINK("#",""), HYPERLINK(CONCATENATE("#metadata!", ADDRESS(INDEX($AH$2:$AH$1001,MATCH(ROWS($AF$2:AF785),$AF$2:$AF$1001,0),0), INDEX($AM$1004:$BM$1004,1,MATCH(COLUMNS($AM$1006:AM1006),$AM$1006:$BM$1006,0)))),"Fix")))</f>
        <v xml:space="preserve"> </v>
      </c>
      <c r="C785" s="4" t="str">
        <f ca="1">IF(OR(INDEX($AG$2:$AG$1001,MATCH(ROWS($AF$2:AF785),$AF$2:$AF$1001,0),1)&gt;=100000,INDEX($AM$1005:$BM$1005,1,MATCH(COLUMNS($AM$1006:AN1006),$AM$1006:$BM$1006,0))&gt;=100000), " ",IF(INDEX($AM$2:$BM$1001,MATCH(ROWS($AF$2:AF785),$AF$2:$AF$1001,0),MATCH(COLUMNS($AM$1006:AN1006),$AM$1006:$BM$1006,0)), HYPERLINK("#",""), HYPERLINK(CONCATENATE("#metadata!", ADDRESS(INDEX($AH$2:$AH$1001,MATCH(ROWS($AF$2:AF785),$AF$2:$AF$1001,0),0), INDEX($AM$1004:$BM$1004,1,MATCH(COLUMNS($AM$1006:AN1006),$AM$1006:$BM$1006,0)))),"Fix")))</f>
        <v xml:space="preserve"> </v>
      </c>
      <c r="D785" s="4" t="str">
        <f ca="1">IF(OR(INDEX($AG$2:$AG$1001,MATCH(ROWS($AF$2:AF785),$AF$2:$AF$1001,0),1)&gt;=100000,INDEX($AM$1005:$BM$1005,1,MATCH(COLUMNS($AM$1006:AO1006),$AM$1006:$BM$1006,0))&gt;=100000), " ",IF(INDEX($AM$2:$BM$1001,MATCH(ROWS($AF$2:AF785),$AF$2:$AF$1001,0),MATCH(COLUMNS($AM$1006:AO1006),$AM$1006:$BM$1006,0)), HYPERLINK("#",""), HYPERLINK(CONCATENATE("#metadata!", ADDRESS(INDEX($AH$2:$AH$1001,MATCH(ROWS($AF$2:AF785),$AF$2:$AF$1001,0),0), INDEX($AM$1004:$BM$1004,1,MATCH(COLUMNS($AM$1006:AO1006),$AM$1006:$BM$1006,0)))),"Fix")))</f>
        <v xml:space="preserve"> </v>
      </c>
      <c r="E785" s="4" t="str">
        <f ca="1">IF(OR(INDEX($AG$2:$AG$1001,MATCH(ROWS($AF$2:AF785),$AF$2:$AF$1001,0),1)&gt;=100000,INDEX($AM$1005:$BM$1005,1,MATCH(COLUMNS($AM$1006:AP1006),$AM$1006:$BM$1006,0))&gt;=100000), " ",IF(INDEX($AM$2:$BM$1001,MATCH(ROWS($AF$2:AF785),$AF$2:$AF$1001,0),MATCH(COLUMNS($AM$1006:AP1006),$AM$1006:$BM$1006,0)), HYPERLINK("#",""), HYPERLINK(CONCATENATE("#metadata!", ADDRESS(INDEX($AH$2:$AH$1001,MATCH(ROWS($AF$2:AF785),$AF$2:$AF$1001,0),0), INDEX($AM$1004:$BM$1004,1,MATCH(COLUMNS($AM$1006:AP1006),$AM$1006:$BM$1006,0)))),"Fix")))</f>
        <v xml:space="preserve"> </v>
      </c>
      <c r="F785" s="4" t="str">
        <f ca="1">IF(OR(INDEX($AG$2:$AG$1001,MATCH(ROWS($AF$2:AF785),$AF$2:$AF$1001,0),1)&gt;=100000,INDEX($AM$1005:$BM$1005,1,MATCH(COLUMNS($AM$1006:AQ1006),$AM$1006:$BM$1006,0))&gt;=100000), " ",IF(INDEX($AM$2:$BM$1001,MATCH(ROWS($AF$2:AF785),$AF$2:$AF$1001,0),MATCH(COLUMNS($AM$1006:AQ1006),$AM$1006:$BM$1006,0)), HYPERLINK("#",""), HYPERLINK(CONCATENATE("#metadata!", ADDRESS(INDEX($AH$2:$AH$1001,MATCH(ROWS($AF$2:AF785),$AF$2:$AF$1001,0),0), INDEX($AM$1004:$BM$1004,1,MATCH(COLUMNS($AM$1006:AQ1006),$AM$1006:$BM$1006,0)))),"Fix")))</f>
        <v xml:space="preserve"> </v>
      </c>
      <c r="G785" s="4" t="str">
        <f ca="1">IF(OR(INDEX($AG$2:$AG$1001,MATCH(ROWS($AF$2:AF785),$AF$2:$AF$1001,0),1)&gt;=100000,INDEX($AM$1005:$BM$1005,1,MATCH(COLUMNS($AM$1006:AR1006),$AM$1006:$BM$1006,0))&gt;=100000), " ",IF(INDEX($AM$2:$BM$1001,MATCH(ROWS($AF$2:AF785),$AF$2:$AF$1001,0),MATCH(COLUMNS($AM$1006:AR1006),$AM$1006:$BM$1006,0)), HYPERLINK("#",""), HYPERLINK(CONCATENATE("#metadata!", ADDRESS(INDEX($AH$2:$AH$1001,MATCH(ROWS($AF$2:AF785),$AF$2:$AF$1001,0),0), INDEX($AM$1004:$BM$1004,1,MATCH(COLUMNS($AM$1006:AR1006),$AM$1006:$BM$1006,0)))),"Fix")))</f>
        <v xml:space="preserve"> </v>
      </c>
      <c r="H785" s="4" t="str">
        <f ca="1">IF(OR(INDEX($AG$2:$AG$1001,MATCH(ROWS($AF$2:AF785),$AF$2:$AF$1001,0),1)&gt;=100000,INDEX($AM$1005:$BM$1005,1,MATCH(COLUMNS($AM$1006:AS1006),$AM$1006:$BM$1006,0))&gt;=100000), " ",IF(INDEX($AM$2:$BM$1001,MATCH(ROWS($AF$2:AF785),$AF$2:$AF$1001,0),MATCH(COLUMNS($AM$1006:AS1006),$AM$1006:$BM$1006,0)), HYPERLINK("#",""), HYPERLINK(CONCATENATE("#metadata!", ADDRESS(INDEX($AH$2:$AH$1001,MATCH(ROWS($AF$2:AF785),$AF$2:$AF$1001,0),0), INDEX($AM$1004:$BM$1004,1,MATCH(COLUMNS($AM$1006:AS1006),$AM$1006:$BM$1006,0)))),"Fix")))</f>
        <v xml:space="preserve"> </v>
      </c>
      <c r="I785" s="4" t="str">
        <f ca="1">IF(OR(INDEX($AG$2:$AG$1001,MATCH(ROWS($AF$2:AF785),$AF$2:$AF$1001,0),1)&gt;=100000,INDEX($AM$1005:$BM$1005,1,MATCH(COLUMNS($AM$1006:AT1006),$AM$1006:$BM$1006,0))&gt;=100000), " ",IF(INDEX($AM$2:$BM$1001,MATCH(ROWS($AF$2:AF785),$AF$2:$AF$1001,0),MATCH(COLUMNS($AM$1006:AT1006),$AM$1006:$BM$1006,0)), HYPERLINK("#",""), HYPERLINK(CONCATENATE("#metadata!", ADDRESS(INDEX($AH$2:$AH$1001,MATCH(ROWS($AF$2:AF785),$AF$2:$AF$1001,0),0), INDEX($AM$1004:$BM$1004,1,MATCH(COLUMNS($AM$1006:AT1006),$AM$1006:$BM$1006,0)))),"Fix")))</f>
        <v xml:space="preserve"> </v>
      </c>
      <c r="J785" s="4" t="str">
        <f ca="1">IF(OR(INDEX($AG$2:$AG$1001,MATCH(ROWS($AF$2:AF785),$AF$2:$AF$1001,0),1)&gt;=100000,INDEX($AM$1005:$BM$1005,1,MATCH(COLUMNS($AM$1006:AU1006),$AM$1006:$BM$1006,0))&gt;=100000), " ",IF(INDEX($AM$2:$BM$1001,MATCH(ROWS($AF$2:AF785),$AF$2:$AF$1001,0),MATCH(COLUMNS($AM$1006:AU1006),$AM$1006:$BM$1006,0)), HYPERLINK("#",""), HYPERLINK(CONCATENATE("#metadata!", ADDRESS(INDEX($AH$2:$AH$1001,MATCH(ROWS($AF$2:AF785),$AF$2:$AF$1001,0),0), INDEX($AM$1004:$BM$1004,1,MATCH(COLUMNS($AM$1006:AU1006),$AM$1006:$BM$1006,0)))),"Fix")))</f>
        <v xml:space="preserve"> </v>
      </c>
      <c r="K785" s="4" t="str">
        <f ca="1">IF(OR(INDEX($AG$2:$AG$1001,MATCH(ROWS($AF$2:AF785),$AF$2:$AF$1001,0),1)&gt;=100000,INDEX($AM$1005:$BM$1005,1,MATCH(COLUMNS($AM$1006:AV1006),$AM$1006:$BM$1006,0))&gt;=100000), " ",IF(INDEX($AM$2:$BM$1001,MATCH(ROWS($AF$2:AF785),$AF$2:$AF$1001,0),MATCH(COLUMNS($AM$1006:AV1006),$AM$1006:$BM$1006,0)), HYPERLINK("#",""), HYPERLINK(CONCATENATE("#metadata!", ADDRESS(INDEX($AH$2:$AH$1001,MATCH(ROWS($AF$2:AF785),$AF$2:$AF$1001,0),0), INDEX($AM$1004:$BM$1004,1,MATCH(COLUMNS($AM$1006:AV1006),$AM$1006:$BM$1006,0)))),"Fix")))</f>
        <v xml:space="preserve"> </v>
      </c>
      <c r="L785" s="4" t="str">
        <f ca="1">IF(OR(INDEX($AG$2:$AG$1001,MATCH(ROWS($AF$2:AF785),$AF$2:$AF$1001,0),1)&gt;=100000,INDEX($AM$1005:$BM$1005,1,MATCH(COLUMNS($AM$1006:AW1006),$AM$1006:$BM$1006,0))&gt;=100000), " ",IF(INDEX($AM$2:$BM$1001,MATCH(ROWS($AF$2:AF785),$AF$2:$AF$1001,0),MATCH(COLUMNS($AM$1006:AW1006),$AM$1006:$BM$1006,0)), HYPERLINK("#",""), HYPERLINK(CONCATENATE("#metadata!", ADDRESS(INDEX($AH$2:$AH$1001,MATCH(ROWS($AF$2:AF785),$AF$2:$AF$1001,0),0), INDEX($AM$1004:$BM$1004,1,MATCH(COLUMNS($AM$1006:AW1006),$AM$1006:$BM$1006,0)))),"Fix")))</f>
        <v xml:space="preserve"> </v>
      </c>
      <c r="M785" s="4" t="str">
        <f ca="1">IF(OR(INDEX($AG$2:$AG$1001,MATCH(ROWS($AF$2:AF785),$AF$2:$AF$1001,0),1)&gt;=100000,INDEX($AM$1005:$BM$1005,1,MATCH(COLUMNS($AM$1006:AX1006),$AM$1006:$BM$1006,0))&gt;=100000), " ",IF(INDEX($AM$2:$BM$1001,MATCH(ROWS($AF$2:AF785),$AF$2:$AF$1001,0),MATCH(COLUMNS($AM$1006:AX1006),$AM$1006:$BM$1006,0)), HYPERLINK("#",""), HYPERLINK(CONCATENATE("#metadata!", ADDRESS(INDEX($AH$2:$AH$1001,MATCH(ROWS($AF$2:AF785),$AF$2:$AF$1001,0),0), INDEX($AM$1004:$BM$1004,1,MATCH(COLUMNS($AM$1006:AX1006),$AM$1006:$BM$1006,0)))),"Fix")))</f>
        <v xml:space="preserve"> </v>
      </c>
      <c r="N785" s="4" t="str">
        <f ca="1">IF(OR(INDEX($AG$2:$AG$1001,MATCH(ROWS($AF$2:AF785),$AF$2:$AF$1001,0),1)&gt;=100000,INDEX($AM$1005:$BM$1005,1,MATCH(COLUMNS($AM$1006:AY1006),$AM$1006:$BM$1006,0))&gt;=100000), " ",IF(INDEX($AM$2:$BM$1001,MATCH(ROWS($AF$2:AF785),$AF$2:$AF$1001,0),MATCH(COLUMNS($AM$1006:AY1006),$AM$1006:$BM$1006,0)), HYPERLINK("#",""), HYPERLINK(CONCATENATE("#metadata!", ADDRESS(INDEX($AH$2:$AH$1001,MATCH(ROWS($AF$2:AF785),$AF$2:$AF$1001,0),0), INDEX($AM$1004:$BM$1004,1,MATCH(COLUMNS($AM$1006:AY1006),$AM$1006:$BM$1006,0)))),"Fix")))</f>
        <v xml:space="preserve"> </v>
      </c>
      <c r="O785" s="4" t="str">
        <f ca="1">IF(OR(INDEX($AG$2:$AG$1001,MATCH(ROWS($AF$2:AF785),$AF$2:$AF$1001,0),1)&gt;=100000,INDEX($AM$1005:$BM$1005,1,MATCH(COLUMNS($AM$1006:AZ1006),$AM$1006:$BM$1006,0))&gt;=100000), " ",IF(INDEX($AM$2:$BM$1001,MATCH(ROWS($AF$2:AF785),$AF$2:$AF$1001,0),MATCH(COLUMNS($AM$1006:AZ1006),$AM$1006:$BM$1006,0)), HYPERLINK("#",""), HYPERLINK(CONCATENATE("#metadata!", ADDRESS(INDEX($AH$2:$AH$1001,MATCH(ROWS($AF$2:AF785),$AF$2:$AF$1001,0),0), INDEX($AM$1004:$BM$1004,1,MATCH(COLUMNS($AM$1006:AZ1006),$AM$1006:$BM$1006,0)))),"Fix")))</f>
        <v xml:space="preserve"> </v>
      </c>
      <c r="P785" s="4" t="str">
        <f ca="1">IF(OR(INDEX($AG$2:$AG$1001,MATCH(ROWS($AF$2:AF785),$AF$2:$AF$1001,0),1)&gt;=100000,INDEX($AM$1005:$BM$1005,1,MATCH(COLUMNS($AM$1006:BA1006),$AM$1006:$BM$1006,0))&gt;=100000), " ",IF(INDEX($AM$2:$BM$1001,MATCH(ROWS($AF$2:AF785),$AF$2:$AF$1001,0),MATCH(COLUMNS($AM$1006:BA1006),$AM$1006:$BM$1006,0)), HYPERLINK("#",""), HYPERLINK(CONCATENATE("#metadata!", ADDRESS(INDEX($AH$2:$AH$1001,MATCH(ROWS($AF$2:AF785),$AF$2:$AF$1001,0),0), INDEX($AM$1004:$BM$1004,1,MATCH(COLUMNS($AM$1006:BA1006),$AM$1006:$BM$1006,0)))),"Fix")))</f>
        <v xml:space="preserve"> </v>
      </c>
      <c r="Q785" s="4" t="str">
        <f ca="1">IF(OR(INDEX($AG$2:$AG$1001,MATCH(ROWS($AF$2:AF785),$AF$2:$AF$1001,0),1)&gt;=100000,INDEX($AM$1005:$BM$1005,1,MATCH(COLUMNS($AM$1006:BB1006),$AM$1006:$BM$1006,0))&gt;=100000), " ",IF(INDEX($AM$2:$BM$1001,MATCH(ROWS($AF$2:AF785),$AF$2:$AF$1001,0),MATCH(COLUMNS($AM$1006:BB1006),$AM$1006:$BM$1006,0)), HYPERLINK("#",""), HYPERLINK(CONCATENATE("#metadata!", ADDRESS(INDEX($AH$2:$AH$1001,MATCH(ROWS($AF$2:AF785),$AF$2:$AF$1001,0),0), INDEX($AM$1004:$BM$1004,1,MATCH(COLUMNS($AM$1006:BB1006),$AM$1006:$BM$1006,0)))),"Fix")))</f>
        <v xml:space="preserve"> </v>
      </c>
      <c r="R785" s="4" t="str">
        <f ca="1">IF(OR(INDEX($AG$2:$AG$1001,MATCH(ROWS($AF$2:AF785),$AF$2:$AF$1001,0),1)&gt;=100000,INDEX($AM$1005:$BM$1005,1,MATCH(COLUMNS($AM$1006:BC1006),$AM$1006:$BM$1006,0))&gt;=100000), " ",IF(INDEX($AM$2:$BM$1001,MATCH(ROWS($AF$2:AF785),$AF$2:$AF$1001,0),MATCH(COLUMNS($AM$1006:BC1006),$AM$1006:$BM$1006,0)), HYPERLINK("#",""), HYPERLINK(CONCATENATE("#metadata!", ADDRESS(INDEX($AH$2:$AH$1001,MATCH(ROWS($AF$2:AF785),$AF$2:$AF$1001,0),0), INDEX($AM$1004:$BM$1004,1,MATCH(COLUMNS($AM$1006:BC1006),$AM$1006:$BM$1006,0)))),"Fix")))</f>
        <v xml:space="preserve"> </v>
      </c>
      <c r="S785" s="4" t="str">
        <f ca="1">IF(OR(INDEX($AG$2:$AG$1001,MATCH(ROWS($AF$2:AF785),$AF$2:$AF$1001,0),1)&gt;=100000,INDEX($AM$1005:$BM$1005,1,MATCH(COLUMNS($AM$1006:BD1006),$AM$1006:$BM$1006,0))&gt;=100000), " ",IF(INDEX($AM$2:$BM$1001,MATCH(ROWS($AF$2:AF785),$AF$2:$AF$1001,0),MATCH(COLUMNS($AM$1006:BD1006),$AM$1006:$BM$1006,0)), HYPERLINK("#",""), HYPERLINK(CONCATENATE("#metadata!", ADDRESS(INDEX($AH$2:$AH$1001,MATCH(ROWS($AF$2:AF785),$AF$2:$AF$1001,0),0), INDEX($AM$1004:$BM$1004,1,MATCH(COLUMNS($AM$1006:BD1006),$AM$1006:$BM$1006,0)))),"Fix")))</f>
        <v xml:space="preserve"> </v>
      </c>
      <c r="T785" s="4" t="str">
        <f ca="1">IF(OR(INDEX($AG$2:$AG$1001,MATCH(ROWS($AF$2:AF785),$AF$2:$AF$1001,0),1)&gt;=100000,INDEX($AM$1005:$BM$1005,1,MATCH(COLUMNS($AM$1006:BE1006),$AM$1006:$BM$1006,0))&gt;=100000), " ",IF(INDEX($AM$2:$BM$1001,MATCH(ROWS($AF$2:AF785),$AF$2:$AF$1001,0),MATCH(COLUMNS($AM$1006:BE1006),$AM$1006:$BM$1006,0)), HYPERLINK("#",""), HYPERLINK(CONCATENATE("#metadata!", ADDRESS(INDEX($AH$2:$AH$1001,MATCH(ROWS($AF$2:AF785),$AF$2:$AF$1001,0),0), INDEX($AM$1004:$BM$1004,1,MATCH(COLUMNS($AM$1006:BE1006),$AM$1006:$BM$1006,0)))),"Fix")))</f>
        <v xml:space="preserve"> </v>
      </c>
      <c r="U785" s="4" t="str">
        <f ca="1">IF(OR(INDEX($AG$2:$AG$1001,MATCH(ROWS($AF$2:AF785),$AF$2:$AF$1001,0),1)&gt;=100000,INDEX($AM$1005:$BM$1005,1,MATCH(COLUMNS($AM$1006:BF1006),$AM$1006:$BM$1006,0))&gt;=100000), " ",IF(INDEX($AM$2:$BM$1001,MATCH(ROWS($AF$2:AF785),$AF$2:$AF$1001,0),MATCH(COLUMNS($AM$1006:BF1006),$AM$1006:$BM$1006,0)), HYPERLINK("#",""), HYPERLINK(CONCATENATE("#metadata!", ADDRESS(INDEX($AH$2:$AH$1001,MATCH(ROWS($AF$2:AF785),$AF$2:$AF$1001,0),0), INDEX($AM$1004:$BM$1004,1,MATCH(COLUMNS($AM$1006:BF1006),$AM$1006:$BM$1006,0)))),"Fix")))</f>
        <v xml:space="preserve"> </v>
      </c>
      <c r="V785" s="4" t="str">
        <f ca="1">IF(OR(INDEX($AG$2:$AG$1001,MATCH(ROWS($AF$2:AF785),$AF$2:$AF$1001,0),1)&gt;=100000,INDEX($AM$1005:$BM$1005,1,MATCH(COLUMNS($AM$1006:BG1006),$AM$1006:$BM$1006,0))&gt;=100000), " ",IF(INDEX($AM$2:$BM$1001,MATCH(ROWS($AF$2:AF785),$AF$2:$AF$1001,0),MATCH(COLUMNS($AM$1006:BG1006),$AM$1006:$BM$1006,0)), HYPERLINK("#",""), HYPERLINK(CONCATENATE("#metadata!", ADDRESS(INDEX($AH$2:$AH$1001,MATCH(ROWS($AF$2:AF785),$AF$2:$AF$1001,0),0), INDEX($AM$1004:$BM$1004,1,MATCH(COLUMNS($AM$1006:BG1006),$AM$1006:$BM$1006,0)))),"Fix")))</f>
        <v xml:space="preserve"> </v>
      </c>
      <c r="W785" s="4" t="str">
        <f ca="1">IF(OR(INDEX($AG$2:$AG$1001,MATCH(ROWS($AF$2:AF785),$AF$2:$AF$1001,0),1)&gt;=100000,INDEX($AM$1005:$BM$1005,1,MATCH(COLUMNS($AM$1006:BH1006),$AM$1006:$BM$1006,0))&gt;=100000), " ",IF(INDEX($AM$2:$BM$1001,MATCH(ROWS($AF$2:AF785),$AF$2:$AF$1001,0),MATCH(COLUMNS($AM$1006:BH1006),$AM$1006:$BM$1006,0)), HYPERLINK("#",""), HYPERLINK(CONCATENATE("#metadata!", ADDRESS(INDEX($AH$2:$AH$1001,MATCH(ROWS($AF$2:AF785),$AF$2:$AF$1001,0),0), INDEX($AM$1004:$BM$1004,1,MATCH(COLUMNS($AM$1006:BH1006),$AM$1006:$BM$1006,0)))),"Fix")))</f>
        <v xml:space="preserve"> </v>
      </c>
      <c r="X785" s="4" t="str">
        <f ca="1">IF(OR(INDEX($AG$2:$AG$1001,MATCH(ROWS($AF$2:AF785),$AF$2:$AF$1001,0),1)&gt;=100000,INDEX($AM$1005:$BM$1005,1,MATCH(COLUMNS($AM$1006:BI1006),$AM$1006:$BM$1006,0))&gt;=100000), " ",IF(INDEX($AM$2:$BM$1001,MATCH(ROWS($AF$2:AF785),$AF$2:$AF$1001,0),MATCH(COLUMNS($AM$1006:BI1006),$AM$1006:$BM$1006,0)), HYPERLINK("#",""), HYPERLINK(CONCATENATE("#metadata!", ADDRESS(INDEX($AH$2:$AH$1001,MATCH(ROWS($AF$2:AF785),$AF$2:$AF$1001,0),0), INDEX($AM$1004:$BM$1004,1,MATCH(COLUMNS($AM$1006:BI1006),$AM$1006:$BM$1006,0)))),"Fix")))</f>
        <v xml:space="preserve"> </v>
      </c>
      <c r="Y785" s="4" t="str">
        <f ca="1">IF(OR(INDEX($AG$2:$AG$1001,MATCH(ROWS($AF$2:AF785),$AF$2:$AF$1001,0),1)&gt;=100000,INDEX($AM$1005:$BM$1005,1,MATCH(COLUMNS($AM$1006:BJ1006),$AM$1006:$BM$1006,0))&gt;=100000), " ",IF(INDEX($AM$2:$BM$1001,MATCH(ROWS($AF$2:AF785),$AF$2:$AF$1001,0),MATCH(COLUMNS($AM$1006:BJ1006),$AM$1006:$BM$1006,0)), HYPERLINK("#",""), HYPERLINK(CONCATENATE("#metadata!", ADDRESS(INDEX($AH$2:$AH$1001,MATCH(ROWS($AF$2:AF785),$AF$2:$AF$1001,0),0), INDEX($AM$1004:$BM$1004,1,MATCH(COLUMNS($AM$1006:BJ1006),$AM$1006:$BM$1006,0)))),"Fix")))</f>
        <v xml:space="preserve"> </v>
      </c>
      <c r="Z785" s="4" t="str">
        <f ca="1">IF(OR(INDEX($AG$2:$AG$1001,MATCH(ROWS($AF$2:AF785),$AF$2:$AF$1001,0),1)&gt;=100000,INDEX($AM$1005:$BM$1005,1,MATCH(COLUMNS($AM$1006:BK1006),$AM$1006:$BM$1006,0))&gt;=100000), " ",IF(INDEX($AM$2:$BM$1001,MATCH(ROWS($AF$2:AF785),$AF$2:$AF$1001,0),MATCH(COLUMNS($AM$1006:BK1006),$AM$1006:$BM$1006,0)), HYPERLINK("#",""), HYPERLINK(CONCATENATE("#metadata!", ADDRESS(INDEX($AH$2:$AH$1001,MATCH(ROWS($AF$2:AF785),$AF$2:$AF$1001,0),0), INDEX($AM$1004:$BM$1004,1,MATCH(COLUMNS($AM$1006:BK1006),$AM$1006:$BM$1006,0)))),"Fix")))</f>
        <v xml:space="preserve"> </v>
      </c>
      <c r="AA785" s="4" t="str">
        <f ca="1">IF(OR(INDEX($AG$2:$AG$1001,MATCH(ROWS($AF$2:AF785),$AF$2:$AF$1001,0),1)&gt;=100000,INDEX($AM$1005:$BM$1005,1,MATCH(COLUMNS($AM$1006:BL1006),$AM$1006:$BM$1006,0))&gt;=100000), " ",IF(INDEX($AM$2:$BM$1001,MATCH(ROWS($AF$2:AF785),$AF$2:$AF$1001,0),MATCH(COLUMNS($AM$1006:BL1006),$AM$1006:$BM$1006,0)), HYPERLINK("#",""), HYPERLINK(CONCATENATE("#metadata!", ADDRESS(INDEX($AH$2:$AH$1001,MATCH(ROWS($AF$2:AF785),$AF$2:$AF$1001,0),0), INDEX($AM$1004:$BM$1004,1,MATCH(COLUMNS($AM$1006:BL1006),$AM$1006:$BM$1006,0)))),"Fix")))</f>
        <v xml:space="preserve"> </v>
      </c>
      <c r="AB785" s="4" t="str">
        <f ca="1">IF(OR(INDEX($AG$2:$AG$1001,MATCH(ROWS($AF$2:AF785),$AF$2:$AF$1001,0),1)&gt;=100000,INDEX($AM$1005:$BM$1005,1,MATCH(COLUMNS($AM$1006:BM1006),$AM$1006:$BM$1006,0))&gt;=100000), " ",IF(INDEX($AM$2:$BM$1001,MATCH(ROWS($AF$2:AF785),$AF$2:$AF$1001,0),MATCH(COLUMNS($AM$1006:BM1006),$AM$1006:$BM$1006,0)), HYPERLINK("#",""), HYPERLINK(CONCATENATE("#metadata!", ADDRESS(INDEX($AH$2:$AH$1001,MATCH(ROWS($AF$2:AF785),$AF$2:$AF$1001,0),0), INDEX($AM$1004:$BM$1004,1,MATCH(COLUMNS($AM$1006:BM1006),$AM$1006:$BM$1006,0)))),"Fix")))</f>
        <v xml:space="preserve"> </v>
      </c>
      <c r="AF785">
        <v>784</v>
      </c>
      <c r="AG785">
        <v>100785</v>
      </c>
      <c r="AH785">
        <v>785</v>
      </c>
      <c r="AI785" t="b">
        <f t="shared" si="12"/>
        <v>1</v>
      </c>
      <c r="AJ785" t="b">
        <f>COUNTBLANK(metadata!B785:AB785)=COLUMNS(metadata!B785:AB785)</f>
        <v>1</v>
      </c>
      <c r="AK785" t="str">
        <v/>
      </c>
      <c r="AM785" t="b">
        <f ca="1">AND(IF(metadata!B785="",FALSE,TRUE),COUNTIF(metadata!B:B, metadata!B785) = 1,NOT(ISERROR(SUMPRODUCT(SEARCH(MID(metadata!B785,ROW(INDIRECT("1:"&amp;LEN(metadata!B785))), 1),"0123456789abcdefghijklmnopqrstuvwxyzABCDEFGHIJKLMNOPQRSTUVWXYZ.")))))</f>
        <v>0</v>
      </c>
      <c r="AN785" t="b">
        <f ca="1">OR(AND(IF(metadata!C785="",FALSE,TRUE),OR(EXACT(metadata!C785,"missing: not collected"),EXACT(metadata!C785,"missing: not provided"),EXACT(metadata!C785,"missing: restricted access"))),AND(IF(metadata!C785="",FALSE,TRUE),AND(AND(IFERROR(INT(LEFT(metadata!C785,4))&gt;1900,FALSE),IFERROR(INT(LEFT(metadata!C785,4))&lt;=YEAR(NOW()),FALSE)), OR(MID(metadata!C785,5,1)="", AND(AND(MID(metadata!C785,5,1)="-",IFERROR(INT(MID(metadata!C785,6,1))&gt;=0,FALSE),IFERROR(INT(MID(metadata!C785,6,1))&lt;=1,FALSE),NOT(MID(metadata!C785,7,1)=""),IFERROR(INT(MID(metadata!C785,6,2))&gt;=1,FALSE),IFERROR(INT(MID(metadata!C785,6,2))&lt;=12,FALSE)), OR(MID(metadata!C785,8,1)="", AND(AND(MID(metadata!C785,8,1)="-",IFERROR(INT(MID(metadata!C785,9,1))&gt;=0,FALSE),IFERROR(INT(MID(metadata!C785,9,1))&lt;=3,FALSE),NOT(MID(metadata!C785,10,1)=""),IFERROR(INT(MID(metadata!C785,9,2))&gt;=1,FALSE),IFERROR(INT(MID(metadata!C785,9,2))&lt;=31,FALSE)), OR(MID(metadata!C785,11,1)="", AND(AND(MID(metadata!C785,11,1)=" ",IFERROR(INT(MID(metadata!C785,12,1))&gt;=0,FALSE),IFERROR(INT(MID(metadata!C785,12,1))&lt;=2,FALSE),NOT(MID(metadata!C785,13,1)=""),IFERROR(INT(MID(metadata!C785,12,2))&gt;=0,FALSE),IFERROR(INT(MID(metadata!C785,12,2))&lt;=23,FALSE)), OR(MID(metadata!C785,14,1)="", AND(AND(MID(metadata!C785,14,1)=":",IFERROR(INT(MID(metadata!C785,15,1))&gt;=0,FALSE),IFERROR(INT(MID(metadata!C785,15,1))&lt;=5,FALSE),NOT(MID(metadata!C785,16,1)=""),IFERROR(INT(MID(metadata!C785,15,2))&gt;=0,FALSE),IFERROR(INT(MID(metadata!C785,15,2))&lt;=59,FALSE)), OR(MID(metadata!C785,17,1)="", AND(AND(MID(metadata!C785,17,1)=":",IFERROR(INT(MID(metadata!C785,18,1))&gt;=0,FALSE),IFERROR(INT(MID(metadata!C785,18,1))&lt;=5,FALSE),NOT(MID(metadata!C785,19,1)=""),IFERROR(INT(MID(metadata!C785,18,2))&gt;=0,FALSE),IFERROR(INT(MID(metadata!C785,18,2))&lt;=59,FALSE)), LEN(metadata!C785)&lt;=19)))))))))))))</f>
        <v>0</v>
      </c>
      <c r="AO785" t="b">
        <f>AND(IF(metadata!D785="",FALSE,TRUE),EXACT(metadata!D785,"Not applicable"))</f>
        <v>0</v>
      </c>
      <c r="AP785" t="b">
        <f>IF(metadata!E785="",FALSE,TRUE)</f>
        <v>0</v>
      </c>
      <c r="AQ785" t="b">
        <f>OR(AND(IF(metadata!F785="",FALSE,TRUE),OR(EXACT(metadata!F785,"missing: not collected"),EXACT(metadata!F785,"missing: not provided"))),AND(IF(metadata!F785="",FALSE,TRUE),OR(EXACT(metadata!F785,"TRUE"),EXACT(metadata!F785,"FALSE"))))</f>
        <v>0</v>
      </c>
      <c r="AR785" t="b">
        <f>OR(AND(IF(metadata!G785="",FALSE,TRUE),OR(EXACT(metadata!G785,"missing: not collected"),EXACT(metadata!G785,"missing: not provided"),EXACT(metadata!G785,"missing: restricted access"))),AND(IF(metadata!G785="",FALSE,ISNUMBER(VALUE(metadata!G785))),metadata!G785&gt;=-413))</f>
        <v>0</v>
      </c>
      <c r="AS785" t="b">
        <f>AND(IF(metadata!H785="",FALSE,TRUE),EXACT(metadata!H785,"meters"))</f>
        <v>0</v>
      </c>
      <c r="AT785" t="b">
        <f>AND(IF(metadata!I785="",FALSE,TRUE),OR(EXACT(metadata!I785,"Host-associated"),EXACT(metadata!I785,"Free-living")))</f>
        <v>0</v>
      </c>
      <c r="AU785" t="b">
        <f>AND(IF(metadata!J785="",FALSE,TRUE),OR(EXACT(metadata!J785,"Animal"),EXACT(metadata!J785,"Fungus"),EXACT(metadata!J785,"Plant"),EXACT(metadata!J785,"Saline"),EXACT(metadata!J785,"Non-saline")))</f>
        <v>0</v>
      </c>
      <c r="AV785" t="b">
        <f>AND(IF(metadata!K785="",FALSE,TRUE),OR(EXACT(metadata!K785,"Plant secretion"),EXACT(metadata!K785,"Plant rhizosphere"),EXACT(metadata!K785,"Plant surface"),EXACT(metadata!K785,"Plant corpus"),EXACT(metadata!K785,"Fungus surface"),EXACT(metadata!K785,"Fungus corpus"),EXACT(metadata!K785,"Animal surface"),EXACT(metadata!K785,"Animal proximal gut"),EXACT(metadata!K785,"Animal corpus"),EXACT(metadata!K785,"Animal distal gut"),EXACT(metadata!K785,"Animal secretion"),EXACT(metadata!K785,"Sub-surface (non-saline)"),EXACT(metadata!K785,"Surface (non-saline)"),EXACT(metadata!K785,"Water (non-saline)"),EXACT(metadata!K785,"Soil (non-saline)"),EXACT(metadata!K785,"Aerosol (non-saline)"),EXACT(metadata!K785,"Sediment (non-saline)"),EXACT(metadata!K785,"Surface (saline)"),EXACT(metadata!K785,"Water (saline)"),EXACT(metadata!K785,"Hypersaline (saline)"),EXACT(metadata!K785,"Aerosol (saline)"),EXACT(metadata!K785,"Sediment (saline)")))</f>
        <v>0</v>
      </c>
      <c r="AW785" t="b">
        <f>IF(metadata!L785="",FALSE,TRUE)</f>
        <v>0</v>
      </c>
      <c r="AX785" t="b">
        <f>IF(metadata!M785="",FALSE,TRUE)</f>
        <v>0</v>
      </c>
      <c r="AY785" t="b">
        <f>IF(metadata!N785="",FALSE,TRUE)</f>
        <v>0</v>
      </c>
      <c r="AZ785" t="b">
        <f>OR(AND(IF(metadata!O785="",FALSE,TRUE),OR(EXACT(metadata!O785,"missing: not collected"),EXACT(metadata!O785,"missing: not provided"),EXACT(metadata!O785,"missing: restricted access"))),AND(IF(metadata!O785="",FALSE,TRUE),OR(EXACT(metadata!O785,"air"),EXACT(metadata!O785,"built environment"),EXACT(metadata!O785,"host-associated"),EXACT(metadata!O785,"human-associated"),EXACT(metadata!O785,"human-skin"),EXACT(metadata!O785,"human-oral"),EXACT(metadata!O785,"human-gut"),EXACT(metadata!O785,"human-vaginal"),EXACT(metadata!O785,"microbial mat/biofilm"),EXACT(metadata!O785,"misc environment"),EXACT(metadata!O785,"plant-associated"),EXACT(metadata!O785,"sediment"),EXACT(metadata!O785,"soil"),EXACT(metadata!O785,"wastewater/sludge"),EXACT(metadata!O785,"water"))))</f>
        <v>0</v>
      </c>
      <c r="BA785" t="b">
        <f>IF(metadata!P785="",FALSE,TRUE)</f>
        <v>0</v>
      </c>
      <c r="BB785" t="b">
        <f>IF(metadata!Q785="",FALSE,TRUE)</f>
        <v>0</v>
      </c>
      <c r="BC785" t="b">
        <f>OR(AND(IF(metadata!R785="",FALSE,TRUE),OR(EXACT(metadata!R785,"missing: not collected"),EXACT(metadata!R785,"missing: not provided"),EXACT(metadata!R785,"missing: restricted access"))),AND(IF(metadata!R785="",FALSE,ISNUMBER(VALUE(metadata!R785))),metadata!R785&gt;=-90,metadata!R785&lt;=90))</f>
        <v>0</v>
      </c>
      <c r="BD785" t="b">
        <f>AND(IF(metadata!S785="",FALSE,TRUE),EXACT(metadata!S785,"Decimal degrees"))</f>
        <v>0</v>
      </c>
      <c r="BE785" t="b">
        <f>OR(AND(IF(metadata!T785="",FALSE,TRUE),OR(EXACT(metadata!T785,"missing: not collected"),EXACT(metadata!T785,"missing: not provided"),EXACT(metadata!T785,"missing: restricted access"))),AND(IF(metadata!T785="",FALSE,ISNUMBER(VALUE(metadata!T785))),metadata!T785&gt;=-180,metadata!T785&lt;=180))</f>
        <v>0</v>
      </c>
      <c r="BF785" t="b">
        <f>AND(IF(metadata!U785="",FALSE,TRUE),EXACT(metadata!U785,"Decimal degrees"))</f>
        <v>0</v>
      </c>
      <c r="BG785" t="b">
        <f>IF(metadata!V785="",FALSE,TRUE)</f>
        <v>0</v>
      </c>
      <c r="BH785" t="b">
        <f>OR(AND(IF(metadata!W785="",FALSE,TRUE),OR(EXACT(metadata!W785,"missing: not collected"),EXACT(metadata!W785,"missing: not provided"),EXACT(metadata!W785,"missing: restricted access"))),AND(IF(metadata!W785="",FALSE,TRUE),OR(EXACT(metadata!W785,"TRUE"),EXACT(metadata!W785,"FALSE"))))</f>
        <v>0</v>
      </c>
      <c r="BI785" t="b">
        <f>AND(IF(metadata!X785="",FALSE,TRUE),EXACT(metadata!X785,"other"))</f>
        <v>0</v>
      </c>
      <c r="BJ785" t="b">
        <f>IF(metadata!Y785="",FALSE,TRUE)</f>
        <v>0</v>
      </c>
      <c r="BK785" t="b">
        <f>OR(AND(IF(metadata!Z785="",FALSE,TRUE),OR(EXACT(metadata!Z785,"missing: not collected"),EXACT(metadata!Z785,"missing: not provided"))),AND(IF(metadata!Z785="",FALSE,IF(ISERROR(INT(metadata!Z785)),FALSE,INT(metadata!Z785)=metadata!Z785)),metadata!Z785&gt;0))</f>
        <v>0</v>
      </c>
      <c r="BL785" t="b">
        <f>AND(IF(metadata!AA785="",FALSE,TRUE),EXACT(metadata!AA785,"Not applicable"))</f>
        <v>0</v>
      </c>
      <c r="BM785" t="b">
        <f>IF(metadata!AB785="",FALSE,TRUE)</f>
        <v>0</v>
      </c>
    </row>
    <row r="786" spans="1:65" x14ac:dyDescent="0.2">
      <c r="A786" s="5" t="str">
        <f ca="1">IF(B786=" "," ",HYPERLINK(CONCATENATE("#metadata!",ADDRESS(INDEX($AH$2:$AH$1001,MATCH(ROWS($AF$2:AF786),$AF$2:$AF$1001,0),0),1)),INDEX($AK$2:$AK$1001,MATCH(ROWS($AF$2:AF786),$AF$2:$AF$1001,0),0)))</f>
        <v xml:space="preserve"> </v>
      </c>
      <c r="B786" s="4" t="str">
        <f ca="1">IF(OR(INDEX($AG$2:$AG$1001,MATCH(ROWS($AF$2:AF786),$AF$2:$AF$1001,0),1)&gt;=100000,INDEX($AM$1005:$BM$1005,1,MATCH(COLUMNS($AM$1006:AM1006),$AM$1006:$BM$1006,0))&gt;=100000), " ",IF(INDEX($AM$2:$BM$1001,MATCH(ROWS($AF$2:AF786),$AF$2:$AF$1001,0),MATCH(COLUMNS($AM$1006:AM1006),$AM$1006:$BM$1006,0)), HYPERLINK("#",""), HYPERLINK(CONCATENATE("#metadata!", ADDRESS(INDEX($AH$2:$AH$1001,MATCH(ROWS($AF$2:AF786),$AF$2:$AF$1001,0),0), INDEX($AM$1004:$BM$1004,1,MATCH(COLUMNS($AM$1006:AM1006),$AM$1006:$BM$1006,0)))),"Fix")))</f>
        <v xml:space="preserve"> </v>
      </c>
      <c r="C786" s="4" t="str">
        <f ca="1">IF(OR(INDEX($AG$2:$AG$1001,MATCH(ROWS($AF$2:AF786),$AF$2:$AF$1001,0),1)&gt;=100000,INDEX($AM$1005:$BM$1005,1,MATCH(COLUMNS($AM$1006:AN1006),$AM$1006:$BM$1006,0))&gt;=100000), " ",IF(INDEX($AM$2:$BM$1001,MATCH(ROWS($AF$2:AF786),$AF$2:$AF$1001,0),MATCH(COLUMNS($AM$1006:AN1006),$AM$1006:$BM$1006,0)), HYPERLINK("#",""), HYPERLINK(CONCATENATE("#metadata!", ADDRESS(INDEX($AH$2:$AH$1001,MATCH(ROWS($AF$2:AF786),$AF$2:$AF$1001,0),0), INDEX($AM$1004:$BM$1004,1,MATCH(COLUMNS($AM$1006:AN1006),$AM$1006:$BM$1006,0)))),"Fix")))</f>
        <v xml:space="preserve"> </v>
      </c>
      <c r="D786" s="4" t="str">
        <f ca="1">IF(OR(INDEX($AG$2:$AG$1001,MATCH(ROWS($AF$2:AF786),$AF$2:$AF$1001,0),1)&gt;=100000,INDEX($AM$1005:$BM$1005,1,MATCH(COLUMNS($AM$1006:AO1006),$AM$1006:$BM$1006,0))&gt;=100000), " ",IF(INDEX($AM$2:$BM$1001,MATCH(ROWS($AF$2:AF786),$AF$2:$AF$1001,0),MATCH(COLUMNS($AM$1006:AO1006),$AM$1006:$BM$1006,0)), HYPERLINK("#",""), HYPERLINK(CONCATENATE("#metadata!", ADDRESS(INDEX($AH$2:$AH$1001,MATCH(ROWS($AF$2:AF786),$AF$2:$AF$1001,0),0), INDEX($AM$1004:$BM$1004,1,MATCH(COLUMNS($AM$1006:AO1006),$AM$1006:$BM$1006,0)))),"Fix")))</f>
        <v xml:space="preserve"> </v>
      </c>
      <c r="E786" s="4" t="str">
        <f ca="1">IF(OR(INDEX($AG$2:$AG$1001,MATCH(ROWS($AF$2:AF786),$AF$2:$AF$1001,0),1)&gt;=100000,INDEX($AM$1005:$BM$1005,1,MATCH(COLUMNS($AM$1006:AP1006),$AM$1006:$BM$1006,0))&gt;=100000), " ",IF(INDEX($AM$2:$BM$1001,MATCH(ROWS($AF$2:AF786),$AF$2:$AF$1001,0),MATCH(COLUMNS($AM$1006:AP1006),$AM$1006:$BM$1006,0)), HYPERLINK("#",""), HYPERLINK(CONCATENATE("#metadata!", ADDRESS(INDEX($AH$2:$AH$1001,MATCH(ROWS($AF$2:AF786),$AF$2:$AF$1001,0),0), INDEX($AM$1004:$BM$1004,1,MATCH(COLUMNS($AM$1006:AP1006),$AM$1006:$BM$1006,0)))),"Fix")))</f>
        <v xml:space="preserve"> </v>
      </c>
      <c r="F786" s="4" t="str">
        <f ca="1">IF(OR(INDEX($AG$2:$AG$1001,MATCH(ROWS($AF$2:AF786),$AF$2:$AF$1001,0),1)&gt;=100000,INDEX($AM$1005:$BM$1005,1,MATCH(COLUMNS($AM$1006:AQ1006),$AM$1006:$BM$1006,0))&gt;=100000), " ",IF(INDEX($AM$2:$BM$1001,MATCH(ROWS($AF$2:AF786),$AF$2:$AF$1001,0),MATCH(COLUMNS($AM$1006:AQ1006),$AM$1006:$BM$1006,0)), HYPERLINK("#",""), HYPERLINK(CONCATENATE("#metadata!", ADDRESS(INDEX($AH$2:$AH$1001,MATCH(ROWS($AF$2:AF786),$AF$2:$AF$1001,0),0), INDEX($AM$1004:$BM$1004,1,MATCH(COLUMNS($AM$1006:AQ1006),$AM$1006:$BM$1006,0)))),"Fix")))</f>
        <v xml:space="preserve"> </v>
      </c>
      <c r="G786" s="4" t="str">
        <f ca="1">IF(OR(INDEX($AG$2:$AG$1001,MATCH(ROWS($AF$2:AF786),$AF$2:$AF$1001,0),1)&gt;=100000,INDEX($AM$1005:$BM$1005,1,MATCH(COLUMNS($AM$1006:AR1006),$AM$1006:$BM$1006,0))&gt;=100000), " ",IF(INDEX($AM$2:$BM$1001,MATCH(ROWS($AF$2:AF786),$AF$2:$AF$1001,0),MATCH(COLUMNS($AM$1006:AR1006),$AM$1006:$BM$1006,0)), HYPERLINK("#",""), HYPERLINK(CONCATENATE("#metadata!", ADDRESS(INDEX($AH$2:$AH$1001,MATCH(ROWS($AF$2:AF786),$AF$2:$AF$1001,0),0), INDEX($AM$1004:$BM$1004,1,MATCH(COLUMNS($AM$1006:AR1006),$AM$1006:$BM$1006,0)))),"Fix")))</f>
        <v xml:space="preserve"> </v>
      </c>
      <c r="H786" s="4" t="str">
        <f ca="1">IF(OR(INDEX($AG$2:$AG$1001,MATCH(ROWS($AF$2:AF786),$AF$2:$AF$1001,0),1)&gt;=100000,INDEX($AM$1005:$BM$1005,1,MATCH(COLUMNS($AM$1006:AS1006),$AM$1006:$BM$1006,0))&gt;=100000), " ",IF(INDEX($AM$2:$BM$1001,MATCH(ROWS($AF$2:AF786),$AF$2:$AF$1001,0),MATCH(COLUMNS($AM$1006:AS1006),$AM$1006:$BM$1006,0)), HYPERLINK("#",""), HYPERLINK(CONCATENATE("#metadata!", ADDRESS(INDEX($AH$2:$AH$1001,MATCH(ROWS($AF$2:AF786),$AF$2:$AF$1001,0),0), INDEX($AM$1004:$BM$1004,1,MATCH(COLUMNS($AM$1006:AS1006),$AM$1006:$BM$1006,0)))),"Fix")))</f>
        <v xml:space="preserve"> </v>
      </c>
      <c r="I786" s="4" t="str">
        <f ca="1">IF(OR(INDEX($AG$2:$AG$1001,MATCH(ROWS($AF$2:AF786),$AF$2:$AF$1001,0),1)&gt;=100000,INDEX($AM$1005:$BM$1005,1,MATCH(COLUMNS($AM$1006:AT1006),$AM$1006:$BM$1006,0))&gt;=100000), " ",IF(INDEX($AM$2:$BM$1001,MATCH(ROWS($AF$2:AF786),$AF$2:$AF$1001,0),MATCH(COLUMNS($AM$1006:AT1006),$AM$1006:$BM$1006,0)), HYPERLINK("#",""), HYPERLINK(CONCATENATE("#metadata!", ADDRESS(INDEX($AH$2:$AH$1001,MATCH(ROWS($AF$2:AF786),$AF$2:$AF$1001,0),0), INDEX($AM$1004:$BM$1004,1,MATCH(COLUMNS($AM$1006:AT1006),$AM$1006:$BM$1006,0)))),"Fix")))</f>
        <v xml:space="preserve"> </v>
      </c>
      <c r="J786" s="4" t="str">
        <f ca="1">IF(OR(INDEX($AG$2:$AG$1001,MATCH(ROWS($AF$2:AF786),$AF$2:$AF$1001,0),1)&gt;=100000,INDEX($AM$1005:$BM$1005,1,MATCH(COLUMNS($AM$1006:AU1006),$AM$1006:$BM$1006,0))&gt;=100000), " ",IF(INDEX($AM$2:$BM$1001,MATCH(ROWS($AF$2:AF786),$AF$2:$AF$1001,0),MATCH(COLUMNS($AM$1006:AU1006),$AM$1006:$BM$1006,0)), HYPERLINK("#",""), HYPERLINK(CONCATENATE("#metadata!", ADDRESS(INDEX($AH$2:$AH$1001,MATCH(ROWS($AF$2:AF786),$AF$2:$AF$1001,0),0), INDEX($AM$1004:$BM$1004,1,MATCH(COLUMNS($AM$1006:AU1006),$AM$1006:$BM$1006,0)))),"Fix")))</f>
        <v xml:space="preserve"> </v>
      </c>
      <c r="K786" s="4" t="str">
        <f ca="1">IF(OR(INDEX($AG$2:$AG$1001,MATCH(ROWS($AF$2:AF786),$AF$2:$AF$1001,0),1)&gt;=100000,INDEX($AM$1005:$BM$1005,1,MATCH(COLUMNS($AM$1006:AV1006),$AM$1006:$BM$1006,0))&gt;=100000), " ",IF(INDEX($AM$2:$BM$1001,MATCH(ROWS($AF$2:AF786),$AF$2:$AF$1001,0),MATCH(COLUMNS($AM$1006:AV1006),$AM$1006:$BM$1006,0)), HYPERLINK("#",""), HYPERLINK(CONCATENATE("#metadata!", ADDRESS(INDEX($AH$2:$AH$1001,MATCH(ROWS($AF$2:AF786),$AF$2:$AF$1001,0),0), INDEX($AM$1004:$BM$1004,1,MATCH(COLUMNS($AM$1006:AV1006),$AM$1006:$BM$1006,0)))),"Fix")))</f>
        <v xml:space="preserve"> </v>
      </c>
      <c r="L786" s="4" t="str">
        <f ca="1">IF(OR(INDEX($AG$2:$AG$1001,MATCH(ROWS($AF$2:AF786),$AF$2:$AF$1001,0),1)&gt;=100000,INDEX($AM$1005:$BM$1005,1,MATCH(COLUMNS($AM$1006:AW1006),$AM$1006:$BM$1006,0))&gt;=100000), " ",IF(INDEX($AM$2:$BM$1001,MATCH(ROWS($AF$2:AF786),$AF$2:$AF$1001,0),MATCH(COLUMNS($AM$1006:AW1006),$AM$1006:$BM$1006,0)), HYPERLINK("#",""), HYPERLINK(CONCATENATE("#metadata!", ADDRESS(INDEX($AH$2:$AH$1001,MATCH(ROWS($AF$2:AF786),$AF$2:$AF$1001,0),0), INDEX($AM$1004:$BM$1004,1,MATCH(COLUMNS($AM$1006:AW1006),$AM$1006:$BM$1006,0)))),"Fix")))</f>
        <v xml:space="preserve"> </v>
      </c>
      <c r="M786" s="4" t="str">
        <f ca="1">IF(OR(INDEX($AG$2:$AG$1001,MATCH(ROWS($AF$2:AF786),$AF$2:$AF$1001,0),1)&gt;=100000,INDEX($AM$1005:$BM$1005,1,MATCH(COLUMNS($AM$1006:AX1006),$AM$1006:$BM$1006,0))&gt;=100000), " ",IF(INDEX($AM$2:$BM$1001,MATCH(ROWS($AF$2:AF786),$AF$2:$AF$1001,0),MATCH(COLUMNS($AM$1006:AX1006),$AM$1006:$BM$1006,0)), HYPERLINK("#",""), HYPERLINK(CONCATENATE("#metadata!", ADDRESS(INDEX($AH$2:$AH$1001,MATCH(ROWS($AF$2:AF786),$AF$2:$AF$1001,0),0), INDEX($AM$1004:$BM$1004,1,MATCH(COLUMNS($AM$1006:AX1006),$AM$1006:$BM$1006,0)))),"Fix")))</f>
        <v xml:space="preserve"> </v>
      </c>
      <c r="N786" s="4" t="str">
        <f ca="1">IF(OR(INDEX($AG$2:$AG$1001,MATCH(ROWS($AF$2:AF786),$AF$2:$AF$1001,0),1)&gt;=100000,INDEX($AM$1005:$BM$1005,1,MATCH(COLUMNS($AM$1006:AY1006),$AM$1006:$BM$1006,0))&gt;=100000), " ",IF(INDEX($AM$2:$BM$1001,MATCH(ROWS($AF$2:AF786),$AF$2:$AF$1001,0),MATCH(COLUMNS($AM$1006:AY1006),$AM$1006:$BM$1006,0)), HYPERLINK("#",""), HYPERLINK(CONCATENATE("#metadata!", ADDRESS(INDEX($AH$2:$AH$1001,MATCH(ROWS($AF$2:AF786),$AF$2:$AF$1001,0),0), INDEX($AM$1004:$BM$1004,1,MATCH(COLUMNS($AM$1006:AY1006),$AM$1006:$BM$1006,0)))),"Fix")))</f>
        <v xml:space="preserve"> </v>
      </c>
      <c r="O786" s="4" t="str">
        <f ca="1">IF(OR(INDEX($AG$2:$AG$1001,MATCH(ROWS($AF$2:AF786),$AF$2:$AF$1001,0),1)&gt;=100000,INDEX($AM$1005:$BM$1005,1,MATCH(COLUMNS($AM$1006:AZ1006),$AM$1006:$BM$1006,0))&gt;=100000), " ",IF(INDEX($AM$2:$BM$1001,MATCH(ROWS($AF$2:AF786),$AF$2:$AF$1001,0),MATCH(COLUMNS($AM$1006:AZ1006),$AM$1006:$BM$1006,0)), HYPERLINK("#",""), HYPERLINK(CONCATENATE("#metadata!", ADDRESS(INDEX($AH$2:$AH$1001,MATCH(ROWS($AF$2:AF786),$AF$2:$AF$1001,0),0), INDEX($AM$1004:$BM$1004,1,MATCH(COLUMNS($AM$1006:AZ1006),$AM$1006:$BM$1006,0)))),"Fix")))</f>
        <v xml:space="preserve"> </v>
      </c>
      <c r="P786" s="4" t="str">
        <f ca="1">IF(OR(INDEX($AG$2:$AG$1001,MATCH(ROWS($AF$2:AF786),$AF$2:$AF$1001,0),1)&gt;=100000,INDEX($AM$1005:$BM$1005,1,MATCH(COLUMNS($AM$1006:BA1006),$AM$1006:$BM$1006,0))&gt;=100000), " ",IF(INDEX($AM$2:$BM$1001,MATCH(ROWS($AF$2:AF786),$AF$2:$AF$1001,0),MATCH(COLUMNS($AM$1006:BA1006),$AM$1006:$BM$1006,0)), HYPERLINK("#",""), HYPERLINK(CONCATENATE("#metadata!", ADDRESS(INDEX($AH$2:$AH$1001,MATCH(ROWS($AF$2:AF786),$AF$2:$AF$1001,0),0), INDEX($AM$1004:$BM$1004,1,MATCH(COLUMNS($AM$1006:BA1006),$AM$1006:$BM$1006,0)))),"Fix")))</f>
        <v xml:space="preserve"> </v>
      </c>
      <c r="Q786" s="4" t="str">
        <f ca="1">IF(OR(INDEX($AG$2:$AG$1001,MATCH(ROWS($AF$2:AF786),$AF$2:$AF$1001,0),1)&gt;=100000,INDEX($AM$1005:$BM$1005,1,MATCH(COLUMNS($AM$1006:BB1006),$AM$1006:$BM$1006,0))&gt;=100000), " ",IF(INDEX($AM$2:$BM$1001,MATCH(ROWS($AF$2:AF786),$AF$2:$AF$1001,0),MATCH(COLUMNS($AM$1006:BB1006),$AM$1006:$BM$1006,0)), HYPERLINK("#",""), HYPERLINK(CONCATENATE("#metadata!", ADDRESS(INDEX($AH$2:$AH$1001,MATCH(ROWS($AF$2:AF786),$AF$2:$AF$1001,0),0), INDEX($AM$1004:$BM$1004,1,MATCH(COLUMNS($AM$1006:BB1006),$AM$1006:$BM$1006,0)))),"Fix")))</f>
        <v xml:space="preserve"> </v>
      </c>
      <c r="R786" s="4" t="str">
        <f ca="1">IF(OR(INDEX($AG$2:$AG$1001,MATCH(ROWS($AF$2:AF786),$AF$2:$AF$1001,0),1)&gt;=100000,INDEX($AM$1005:$BM$1005,1,MATCH(COLUMNS($AM$1006:BC1006),$AM$1006:$BM$1006,0))&gt;=100000), " ",IF(INDEX($AM$2:$BM$1001,MATCH(ROWS($AF$2:AF786),$AF$2:$AF$1001,0),MATCH(COLUMNS($AM$1006:BC1006),$AM$1006:$BM$1006,0)), HYPERLINK("#",""), HYPERLINK(CONCATENATE("#metadata!", ADDRESS(INDEX($AH$2:$AH$1001,MATCH(ROWS($AF$2:AF786),$AF$2:$AF$1001,0),0), INDEX($AM$1004:$BM$1004,1,MATCH(COLUMNS($AM$1006:BC1006),$AM$1006:$BM$1006,0)))),"Fix")))</f>
        <v xml:space="preserve"> </v>
      </c>
      <c r="S786" s="4" t="str">
        <f ca="1">IF(OR(INDEX($AG$2:$AG$1001,MATCH(ROWS($AF$2:AF786),$AF$2:$AF$1001,0),1)&gt;=100000,INDEX($AM$1005:$BM$1005,1,MATCH(COLUMNS($AM$1006:BD1006),$AM$1006:$BM$1006,0))&gt;=100000), " ",IF(INDEX($AM$2:$BM$1001,MATCH(ROWS($AF$2:AF786),$AF$2:$AF$1001,0),MATCH(COLUMNS($AM$1006:BD1006),$AM$1006:$BM$1006,0)), HYPERLINK("#",""), HYPERLINK(CONCATENATE("#metadata!", ADDRESS(INDEX($AH$2:$AH$1001,MATCH(ROWS($AF$2:AF786),$AF$2:$AF$1001,0),0), INDEX($AM$1004:$BM$1004,1,MATCH(COLUMNS($AM$1006:BD1006),$AM$1006:$BM$1006,0)))),"Fix")))</f>
        <v xml:space="preserve"> </v>
      </c>
      <c r="T786" s="4" t="str">
        <f ca="1">IF(OR(INDEX($AG$2:$AG$1001,MATCH(ROWS($AF$2:AF786),$AF$2:$AF$1001,0),1)&gt;=100000,INDEX($AM$1005:$BM$1005,1,MATCH(COLUMNS($AM$1006:BE1006),$AM$1006:$BM$1006,0))&gt;=100000), " ",IF(INDEX($AM$2:$BM$1001,MATCH(ROWS($AF$2:AF786),$AF$2:$AF$1001,0),MATCH(COLUMNS($AM$1006:BE1006),$AM$1006:$BM$1006,0)), HYPERLINK("#",""), HYPERLINK(CONCATENATE("#metadata!", ADDRESS(INDEX($AH$2:$AH$1001,MATCH(ROWS($AF$2:AF786),$AF$2:$AF$1001,0),0), INDEX($AM$1004:$BM$1004,1,MATCH(COLUMNS($AM$1006:BE1006),$AM$1006:$BM$1006,0)))),"Fix")))</f>
        <v xml:space="preserve"> </v>
      </c>
      <c r="U786" s="4" t="str">
        <f ca="1">IF(OR(INDEX($AG$2:$AG$1001,MATCH(ROWS($AF$2:AF786),$AF$2:$AF$1001,0),1)&gt;=100000,INDEX($AM$1005:$BM$1005,1,MATCH(COLUMNS($AM$1006:BF1006),$AM$1006:$BM$1006,0))&gt;=100000), " ",IF(INDEX($AM$2:$BM$1001,MATCH(ROWS($AF$2:AF786),$AF$2:$AF$1001,0),MATCH(COLUMNS($AM$1006:BF1006),$AM$1006:$BM$1006,0)), HYPERLINK("#",""), HYPERLINK(CONCATENATE("#metadata!", ADDRESS(INDEX($AH$2:$AH$1001,MATCH(ROWS($AF$2:AF786),$AF$2:$AF$1001,0),0), INDEX($AM$1004:$BM$1004,1,MATCH(COLUMNS($AM$1006:BF1006),$AM$1006:$BM$1006,0)))),"Fix")))</f>
        <v xml:space="preserve"> </v>
      </c>
      <c r="V786" s="4" t="str">
        <f ca="1">IF(OR(INDEX($AG$2:$AG$1001,MATCH(ROWS($AF$2:AF786),$AF$2:$AF$1001,0),1)&gt;=100000,INDEX($AM$1005:$BM$1005,1,MATCH(COLUMNS($AM$1006:BG1006),$AM$1006:$BM$1006,0))&gt;=100000), " ",IF(INDEX($AM$2:$BM$1001,MATCH(ROWS($AF$2:AF786),$AF$2:$AF$1001,0),MATCH(COLUMNS($AM$1006:BG1006),$AM$1006:$BM$1006,0)), HYPERLINK("#",""), HYPERLINK(CONCATENATE("#metadata!", ADDRESS(INDEX($AH$2:$AH$1001,MATCH(ROWS($AF$2:AF786),$AF$2:$AF$1001,0),0), INDEX($AM$1004:$BM$1004,1,MATCH(COLUMNS($AM$1006:BG1006),$AM$1006:$BM$1006,0)))),"Fix")))</f>
        <v xml:space="preserve"> </v>
      </c>
      <c r="W786" s="4" t="str">
        <f ca="1">IF(OR(INDEX($AG$2:$AG$1001,MATCH(ROWS($AF$2:AF786),$AF$2:$AF$1001,0),1)&gt;=100000,INDEX($AM$1005:$BM$1005,1,MATCH(COLUMNS($AM$1006:BH1006),$AM$1006:$BM$1006,0))&gt;=100000), " ",IF(INDEX($AM$2:$BM$1001,MATCH(ROWS($AF$2:AF786),$AF$2:$AF$1001,0),MATCH(COLUMNS($AM$1006:BH1006),$AM$1006:$BM$1006,0)), HYPERLINK("#",""), HYPERLINK(CONCATENATE("#metadata!", ADDRESS(INDEX($AH$2:$AH$1001,MATCH(ROWS($AF$2:AF786),$AF$2:$AF$1001,0),0), INDEX($AM$1004:$BM$1004,1,MATCH(COLUMNS($AM$1006:BH1006),$AM$1006:$BM$1006,0)))),"Fix")))</f>
        <v xml:space="preserve"> </v>
      </c>
      <c r="X786" s="4" t="str">
        <f ca="1">IF(OR(INDEX($AG$2:$AG$1001,MATCH(ROWS($AF$2:AF786),$AF$2:$AF$1001,0),1)&gt;=100000,INDEX($AM$1005:$BM$1005,1,MATCH(COLUMNS($AM$1006:BI1006),$AM$1006:$BM$1006,0))&gt;=100000), " ",IF(INDEX($AM$2:$BM$1001,MATCH(ROWS($AF$2:AF786),$AF$2:$AF$1001,0),MATCH(COLUMNS($AM$1006:BI1006),$AM$1006:$BM$1006,0)), HYPERLINK("#",""), HYPERLINK(CONCATENATE("#metadata!", ADDRESS(INDEX($AH$2:$AH$1001,MATCH(ROWS($AF$2:AF786),$AF$2:$AF$1001,0),0), INDEX($AM$1004:$BM$1004,1,MATCH(COLUMNS($AM$1006:BI1006),$AM$1006:$BM$1006,0)))),"Fix")))</f>
        <v xml:space="preserve"> </v>
      </c>
      <c r="Y786" s="4" t="str">
        <f ca="1">IF(OR(INDEX($AG$2:$AG$1001,MATCH(ROWS($AF$2:AF786),$AF$2:$AF$1001,0),1)&gt;=100000,INDEX($AM$1005:$BM$1005,1,MATCH(COLUMNS($AM$1006:BJ1006),$AM$1006:$BM$1006,0))&gt;=100000), " ",IF(INDEX($AM$2:$BM$1001,MATCH(ROWS($AF$2:AF786),$AF$2:$AF$1001,0),MATCH(COLUMNS($AM$1006:BJ1006),$AM$1006:$BM$1006,0)), HYPERLINK("#",""), HYPERLINK(CONCATENATE("#metadata!", ADDRESS(INDEX($AH$2:$AH$1001,MATCH(ROWS($AF$2:AF786),$AF$2:$AF$1001,0),0), INDEX($AM$1004:$BM$1004,1,MATCH(COLUMNS($AM$1006:BJ1006),$AM$1006:$BM$1006,0)))),"Fix")))</f>
        <v xml:space="preserve"> </v>
      </c>
      <c r="Z786" s="4" t="str">
        <f ca="1">IF(OR(INDEX($AG$2:$AG$1001,MATCH(ROWS($AF$2:AF786),$AF$2:$AF$1001,0),1)&gt;=100000,INDEX($AM$1005:$BM$1005,1,MATCH(COLUMNS($AM$1006:BK1006),$AM$1006:$BM$1006,0))&gt;=100000), " ",IF(INDEX($AM$2:$BM$1001,MATCH(ROWS($AF$2:AF786),$AF$2:$AF$1001,0),MATCH(COLUMNS($AM$1006:BK1006),$AM$1006:$BM$1006,0)), HYPERLINK("#",""), HYPERLINK(CONCATENATE("#metadata!", ADDRESS(INDEX($AH$2:$AH$1001,MATCH(ROWS($AF$2:AF786),$AF$2:$AF$1001,0),0), INDEX($AM$1004:$BM$1004,1,MATCH(COLUMNS($AM$1006:BK1006),$AM$1006:$BM$1006,0)))),"Fix")))</f>
        <v xml:space="preserve"> </v>
      </c>
      <c r="AA786" s="4" t="str">
        <f ca="1">IF(OR(INDEX($AG$2:$AG$1001,MATCH(ROWS($AF$2:AF786),$AF$2:$AF$1001,0),1)&gt;=100000,INDEX($AM$1005:$BM$1005,1,MATCH(COLUMNS($AM$1006:BL1006),$AM$1006:$BM$1006,0))&gt;=100000), " ",IF(INDEX($AM$2:$BM$1001,MATCH(ROWS($AF$2:AF786),$AF$2:$AF$1001,0),MATCH(COLUMNS($AM$1006:BL1006),$AM$1006:$BM$1006,0)), HYPERLINK("#",""), HYPERLINK(CONCATENATE("#metadata!", ADDRESS(INDEX($AH$2:$AH$1001,MATCH(ROWS($AF$2:AF786),$AF$2:$AF$1001,0),0), INDEX($AM$1004:$BM$1004,1,MATCH(COLUMNS($AM$1006:BL1006),$AM$1006:$BM$1006,0)))),"Fix")))</f>
        <v xml:space="preserve"> </v>
      </c>
      <c r="AB786" s="4" t="str">
        <f ca="1">IF(OR(INDEX($AG$2:$AG$1001,MATCH(ROWS($AF$2:AF786),$AF$2:$AF$1001,0),1)&gt;=100000,INDEX($AM$1005:$BM$1005,1,MATCH(COLUMNS($AM$1006:BM1006),$AM$1006:$BM$1006,0))&gt;=100000), " ",IF(INDEX($AM$2:$BM$1001,MATCH(ROWS($AF$2:AF786),$AF$2:$AF$1001,0),MATCH(COLUMNS($AM$1006:BM1006),$AM$1006:$BM$1006,0)), HYPERLINK("#",""), HYPERLINK(CONCATENATE("#metadata!", ADDRESS(INDEX($AH$2:$AH$1001,MATCH(ROWS($AF$2:AF786),$AF$2:$AF$1001,0),0), INDEX($AM$1004:$BM$1004,1,MATCH(COLUMNS($AM$1006:BM1006),$AM$1006:$BM$1006,0)))),"Fix")))</f>
        <v xml:space="preserve"> </v>
      </c>
      <c r="AF786">
        <v>785</v>
      </c>
      <c r="AG786">
        <v>100786</v>
      </c>
      <c r="AH786">
        <v>786</v>
      </c>
      <c r="AI786" t="b">
        <f t="shared" si="12"/>
        <v>1</v>
      </c>
      <c r="AJ786" t="b">
        <f>COUNTBLANK(metadata!B786:AB786)=COLUMNS(metadata!B786:AB786)</f>
        <v>1</v>
      </c>
      <c r="AK786" t="str">
        <v/>
      </c>
      <c r="AM786" t="b">
        <f ca="1">AND(IF(metadata!B786="",FALSE,TRUE),COUNTIF(metadata!B:B, metadata!B786) = 1,NOT(ISERROR(SUMPRODUCT(SEARCH(MID(metadata!B786,ROW(INDIRECT("1:"&amp;LEN(metadata!B786))), 1),"0123456789abcdefghijklmnopqrstuvwxyzABCDEFGHIJKLMNOPQRSTUVWXYZ.")))))</f>
        <v>0</v>
      </c>
      <c r="AN786" t="b">
        <f ca="1">OR(AND(IF(metadata!C786="",FALSE,TRUE),OR(EXACT(metadata!C786,"missing: not collected"),EXACT(metadata!C786,"missing: not provided"),EXACT(metadata!C786,"missing: restricted access"))),AND(IF(metadata!C786="",FALSE,TRUE),AND(AND(IFERROR(INT(LEFT(metadata!C786,4))&gt;1900,FALSE),IFERROR(INT(LEFT(metadata!C786,4))&lt;=YEAR(NOW()),FALSE)), OR(MID(metadata!C786,5,1)="", AND(AND(MID(metadata!C786,5,1)="-",IFERROR(INT(MID(metadata!C786,6,1))&gt;=0,FALSE),IFERROR(INT(MID(metadata!C786,6,1))&lt;=1,FALSE),NOT(MID(metadata!C786,7,1)=""),IFERROR(INT(MID(metadata!C786,6,2))&gt;=1,FALSE),IFERROR(INT(MID(metadata!C786,6,2))&lt;=12,FALSE)), OR(MID(metadata!C786,8,1)="", AND(AND(MID(metadata!C786,8,1)="-",IFERROR(INT(MID(metadata!C786,9,1))&gt;=0,FALSE),IFERROR(INT(MID(metadata!C786,9,1))&lt;=3,FALSE),NOT(MID(metadata!C786,10,1)=""),IFERROR(INT(MID(metadata!C786,9,2))&gt;=1,FALSE),IFERROR(INT(MID(metadata!C786,9,2))&lt;=31,FALSE)), OR(MID(metadata!C786,11,1)="", AND(AND(MID(metadata!C786,11,1)=" ",IFERROR(INT(MID(metadata!C786,12,1))&gt;=0,FALSE),IFERROR(INT(MID(metadata!C786,12,1))&lt;=2,FALSE),NOT(MID(metadata!C786,13,1)=""),IFERROR(INT(MID(metadata!C786,12,2))&gt;=0,FALSE),IFERROR(INT(MID(metadata!C786,12,2))&lt;=23,FALSE)), OR(MID(metadata!C786,14,1)="", AND(AND(MID(metadata!C786,14,1)=":",IFERROR(INT(MID(metadata!C786,15,1))&gt;=0,FALSE),IFERROR(INT(MID(metadata!C786,15,1))&lt;=5,FALSE),NOT(MID(metadata!C786,16,1)=""),IFERROR(INT(MID(metadata!C786,15,2))&gt;=0,FALSE),IFERROR(INT(MID(metadata!C786,15,2))&lt;=59,FALSE)), OR(MID(metadata!C786,17,1)="", AND(AND(MID(metadata!C786,17,1)=":",IFERROR(INT(MID(metadata!C786,18,1))&gt;=0,FALSE),IFERROR(INT(MID(metadata!C786,18,1))&lt;=5,FALSE),NOT(MID(metadata!C786,19,1)=""),IFERROR(INT(MID(metadata!C786,18,2))&gt;=0,FALSE),IFERROR(INT(MID(metadata!C786,18,2))&lt;=59,FALSE)), LEN(metadata!C786)&lt;=19)))))))))))))</f>
        <v>0</v>
      </c>
      <c r="AO786" t="b">
        <f>AND(IF(metadata!D786="",FALSE,TRUE),EXACT(metadata!D786,"Not applicable"))</f>
        <v>0</v>
      </c>
      <c r="AP786" t="b">
        <f>IF(metadata!E786="",FALSE,TRUE)</f>
        <v>0</v>
      </c>
      <c r="AQ786" t="b">
        <f>OR(AND(IF(metadata!F786="",FALSE,TRUE),OR(EXACT(metadata!F786,"missing: not collected"),EXACT(metadata!F786,"missing: not provided"))),AND(IF(metadata!F786="",FALSE,TRUE),OR(EXACT(metadata!F786,"TRUE"),EXACT(metadata!F786,"FALSE"))))</f>
        <v>0</v>
      </c>
      <c r="AR786" t="b">
        <f>OR(AND(IF(metadata!G786="",FALSE,TRUE),OR(EXACT(metadata!G786,"missing: not collected"),EXACT(metadata!G786,"missing: not provided"),EXACT(metadata!G786,"missing: restricted access"))),AND(IF(metadata!G786="",FALSE,ISNUMBER(VALUE(metadata!G786))),metadata!G786&gt;=-413))</f>
        <v>0</v>
      </c>
      <c r="AS786" t="b">
        <f>AND(IF(metadata!H786="",FALSE,TRUE),EXACT(metadata!H786,"meters"))</f>
        <v>0</v>
      </c>
      <c r="AT786" t="b">
        <f>AND(IF(metadata!I786="",FALSE,TRUE),OR(EXACT(metadata!I786,"Host-associated"),EXACT(metadata!I786,"Free-living")))</f>
        <v>0</v>
      </c>
      <c r="AU786" t="b">
        <f>AND(IF(metadata!J786="",FALSE,TRUE),OR(EXACT(metadata!J786,"Animal"),EXACT(metadata!J786,"Fungus"),EXACT(metadata!J786,"Plant"),EXACT(metadata!J786,"Saline"),EXACT(metadata!J786,"Non-saline")))</f>
        <v>0</v>
      </c>
      <c r="AV786" t="b">
        <f>AND(IF(metadata!K786="",FALSE,TRUE),OR(EXACT(metadata!K786,"Plant secretion"),EXACT(metadata!K786,"Plant rhizosphere"),EXACT(metadata!K786,"Plant surface"),EXACT(metadata!K786,"Plant corpus"),EXACT(metadata!K786,"Fungus surface"),EXACT(metadata!K786,"Fungus corpus"),EXACT(metadata!K786,"Animal surface"),EXACT(metadata!K786,"Animal proximal gut"),EXACT(metadata!K786,"Animal corpus"),EXACT(metadata!K786,"Animal distal gut"),EXACT(metadata!K786,"Animal secretion"),EXACT(metadata!K786,"Sub-surface (non-saline)"),EXACT(metadata!K786,"Surface (non-saline)"),EXACT(metadata!K786,"Water (non-saline)"),EXACT(metadata!K786,"Soil (non-saline)"),EXACT(metadata!K786,"Aerosol (non-saline)"),EXACT(metadata!K786,"Sediment (non-saline)"),EXACT(metadata!K786,"Surface (saline)"),EXACT(metadata!K786,"Water (saline)"),EXACT(metadata!K786,"Hypersaline (saline)"),EXACT(metadata!K786,"Aerosol (saline)"),EXACT(metadata!K786,"Sediment (saline)")))</f>
        <v>0</v>
      </c>
      <c r="AW786" t="b">
        <f>IF(metadata!L786="",FALSE,TRUE)</f>
        <v>0</v>
      </c>
      <c r="AX786" t="b">
        <f>IF(metadata!M786="",FALSE,TRUE)</f>
        <v>0</v>
      </c>
      <c r="AY786" t="b">
        <f>IF(metadata!N786="",FALSE,TRUE)</f>
        <v>0</v>
      </c>
      <c r="AZ786" t="b">
        <f>OR(AND(IF(metadata!O786="",FALSE,TRUE),OR(EXACT(metadata!O786,"missing: not collected"),EXACT(metadata!O786,"missing: not provided"),EXACT(metadata!O786,"missing: restricted access"))),AND(IF(metadata!O786="",FALSE,TRUE),OR(EXACT(metadata!O786,"air"),EXACT(metadata!O786,"built environment"),EXACT(metadata!O786,"host-associated"),EXACT(metadata!O786,"human-associated"),EXACT(metadata!O786,"human-skin"),EXACT(metadata!O786,"human-oral"),EXACT(metadata!O786,"human-gut"),EXACT(metadata!O786,"human-vaginal"),EXACT(metadata!O786,"microbial mat/biofilm"),EXACT(metadata!O786,"misc environment"),EXACT(metadata!O786,"plant-associated"),EXACT(metadata!O786,"sediment"),EXACT(metadata!O786,"soil"),EXACT(metadata!O786,"wastewater/sludge"),EXACT(metadata!O786,"water"))))</f>
        <v>0</v>
      </c>
      <c r="BA786" t="b">
        <f>IF(metadata!P786="",FALSE,TRUE)</f>
        <v>0</v>
      </c>
      <c r="BB786" t="b">
        <f>IF(metadata!Q786="",FALSE,TRUE)</f>
        <v>0</v>
      </c>
      <c r="BC786" t="b">
        <f>OR(AND(IF(metadata!R786="",FALSE,TRUE),OR(EXACT(metadata!R786,"missing: not collected"),EXACT(metadata!R786,"missing: not provided"),EXACT(metadata!R786,"missing: restricted access"))),AND(IF(metadata!R786="",FALSE,ISNUMBER(VALUE(metadata!R786))),metadata!R786&gt;=-90,metadata!R786&lt;=90))</f>
        <v>0</v>
      </c>
      <c r="BD786" t="b">
        <f>AND(IF(metadata!S786="",FALSE,TRUE),EXACT(metadata!S786,"Decimal degrees"))</f>
        <v>0</v>
      </c>
      <c r="BE786" t="b">
        <f>OR(AND(IF(metadata!T786="",FALSE,TRUE),OR(EXACT(metadata!T786,"missing: not collected"),EXACT(metadata!T786,"missing: not provided"),EXACT(metadata!T786,"missing: restricted access"))),AND(IF(metadata!T786="",FALSE,ISNUMBER(VALUE(metadata!T786))),metadata!T786&gt;=-180,metadata!T786&lt;=180))</f>
        <v>0</v>
      </c>
      <c r="BF786" t="b">
        <f>AND(IF(metadata!U786="",FALSE,TRUE),EXACT(metadata!U786,"Decimal degrees"))</f>
        <v>0</v>
      </c>
      <c r="BG786" t="b">
        <f>IF(metadata!V786="",FALSE,TRUE)</f>
        <v>0</v>
      </c>
      <c r="BH786" t="b">
        <f>OR(AND(IF(metadata!W786="",FALSE,TRUE),OR(EXACT(metadata!W786,"missing: not collected"),EXACT(metadata!W786,"missing: not provided"),EXACT(metadata!W786,"missing: restricted access"))),AND(IF(metadata!W786="",FALSE,TRUE),OR(EXACT(metadata!W786,"TRUE"),EXACT(metadata!W786,"FALSE"))))</f>
        <v>0</v>
      </c>
      <c r="BI786" t="b">
        <f>AND(IF(metadata!X786="",FALSE,TRUE),EXACT(metadata!X786,"other"))</f>
        <v>0</v>
      </c>
      <c r="BJ786" t="b">
        <f>IF(metadata!Y786="",FALSE,TRUE)</f>
        <v>0</v>
      </c>
      <c r="BK786" t="b">
        <f>OR(AND(IF(metadata!Z786="",FALSE,TRUE),OR(EXACT(metadata!Z786,"missing: not collected"),EXACT(metadata!Z786,"missing: not provided"))),AND(IF(metadata!Z786="",FALSE,IF(ISERROR(INT(metadata!Z786)),FALSE,INT(metadata!Z786)=metadata!Z786)),metadata!Z786&gt;0))</f>
        <v>0</v>
      </c>
      <c r="BL786" t="b">
        <f>AND(IF(metadata!AA786="",FALSE,TRUE),EXACT(metadata!AA786,"Not applicable"))</f>
        <v>0</v>
      </c>
      <c r="BM786" t="b">
        <f>IF(metadata!AB786="",FALSE,TRUE)</f>
        <v>0</v>
      </c>
    </row>
    <row r="787" spans="1:65" x14ac:dyDescent="0.2">
      <c r="A787" s="5" t="str">
        <f ca="1">IF(B787=" "," ",HYPERLINK(CONCATENATE("#metadata!",ADDRESS(INDEX($AH$2:$AH$1001,MATCH(ROWS($AF$2:AF787),$AF$2:$AF$1001,0),0),1)),INDEX($AK$2:$AK$1001,MATCH(ROWS($AF$2:AF787),$AF$2:$AF$1001,0),0)))</f>
        <v xml:space="preserve"> </v>
      </c>
      <c r="B787" s="4" t="str">
        <f ca="1">IF(OR(INDEX($AG$2:$AG$1001,MATCH(ROWS($AF$2:AF787),$AF$2:$AF$1001,0),1)&gt;=100000,INDEX($AM$1005:$BM$1005,1,MATCH(COLUMNS($AM$1006:AM1006),$AM$1006:$BM$1006,0))&gt;=100000), " ",IF(INDEX($AM$2:$BM$1001,MATCH(ROWS($AF$2:AF787),$AF$2:$AF$1001,0),MATCH(COLUMNS($AM$1006:AM1006),$AM$1006:$BM$1006,0)), HYPERLINK("#",""), HYPERLINK(CONCATENATE("#metadata!", ADDRESS(INDEX($AH$2:$AH$1001,MATCH(ROWS($AF$2:AF787),$AF$2:$AF$1001,0),0), INDEX($AM$1004:$BM$1004,1,MATCH(COLUMNS($AM$1006:AM1006),$AM$1006:$BM$1006,0)))),"Fix")))</f>
        <v xml:space="preserve"> </v>
      </c>
      <c r="C787" s="4" t="str">
        <f ca="1">IF(OR(INDEX($AG$2:$AG$1001,MATCH(ROWS($AF$2:AF787),$AF$2:$AF$1001,0),1)&gt;=100000,INDEX($AM$1005:$BM$1005,1,MATCH(COLUMNS($AM$1006:AN1006),$AM$1006:$BM$1006,0))&gt;=100000), " ",IF(INDEX($AM$2:$BM$1001,MATCH(ROWS($AF$2:AF787),$AF$2:$AF$1001,0),MATCH(COLUMNS($AM$1006:AN1006),$AM$1006:$BM$1006,0)), HYPERLINK("#",""), HYPERLINK(CONCATENATE("#metadata!", ADDRESS(INDEX($AH$2:$AH$1001,MATCH(ROWS($AF$2:AF787),$AF$2:$AF$1001,0),0), INDEX($AM$1004:$BM$1004,1,MATCH(COLUMNS($AM$1006:AN1006),$AM$1006:$BM$1006,0)))),"Fix")))</f>
        <v xml:space="preserve"> </v>
      </c>
      <c r="D787" s="4" t="str">
        <f ca="1">IF(OR(INDEX($AG$2:$AG$1001,MATCH(ROWS($AF$2:AF787),$AF$2:$AF$1001,0),1)&gt;=100000,INDEX($AM$1005:$BM$1005,1,MATCH(COLUMNS($AM$1006:AO1006),$AM$1006:$BM$1006,0))&gt;=100000), " ",IF(INDEX($AM$2:$BM$1001,MATCH(ROWS($AF$2:AF787),$AF$2:$AF$1001,0),MATCH(COLUMNS($AM$1006:AO1006),$AM$1006:$BM$1006,0)), HYPERLINK("#",""), HYPERLINK(CONCATENATE("#metadata!", ADDRESS(INDEX($AH$2:$AH$1001,MATCH(ROWS($AF$2:AF787),$AF$2:$AF$1001,0),0), INDEX($AM$1004:$BM$1004,1,MATCH(COLUMNS($AM$1006:AO1006),$AM$1006:$BM$1006,0)))),"Fix")))</f>
        <v xml:space="preserve"> </v>
      </c>
      <c r="E787" s="4" t="str">
        <f ca="1">IF(OR(INDEX($AG$2:$AG$1001,MATCH(ROWS($AF$2:AF787),$AF$2:$AF$1001,0),1)&gt;=100000,INDEX($AM$1005:$BM$1005,1,MATCH(COLUMNS($AM$1006:AP1006),$AM$1006:$BM$1006,0))&gt;=100000), " ",IF(INDEX($AM$2:$BM$1001,MATCH(ROWS($AF$2:AF787),$AF$2:$AF$1001,0),MATCH(COLUMNS($AM$1006:AP1006),$AM$1006:$BM$1006,0)), HYPERLINK("#",""), HYPERLINK(CONCATENATE("#metadata!", ADDRESS(INDEX($AH$2:$AH$1001,MATCH(ROWS($AF$2:AF787),$AF$2:$AF$1001,0),0), INDEX($AM$1004:$BM$1004,1,MATCH(COLUMNS($AM$1006:AP1006),$AM$1006:$BM$1006,0)))),"Fix")))</f>
        <v xml:space="preserve"> </v>
      </c>
      <c r="F787" s="4" t="str">
        <f ca="1">IF(OR(INDEX($AG$2:$AG$1001,MATCH(ROWS($AF$2:AF787),$AF$2:$AF$1001,0),1)&gt;=100000,INDEX($AM$1005:$BM$1005,1,MATCH(COLUMNS($AM$1006:AQ1006),$AM$1006:$BM$1006,0))&gt;=100000), " ",IF(INDEX($AM$2:$BM$1001,MATCH(ROWS($AF$2:AF787),$AF$2:$AF$1001,0),MATCH(COLUMNS($AM$1006:AQ1006),$AM$1006:$BM$1006,0)), HYPERLINK("#",""), HYPERLINK(CONCATENATE("#metadata!", ADDRESS(INDEX($AH$2:$AH$1001,MATCH(ROWS($AF$2:AF787),$AF$2:$AF$1001,0),0), INDEX($AM$1004:$BM$1004,1,MATCH(COLUMNS($AM$1006:AQ1006),$AM$1006:$BM$1006,0)))),"Fix")))</f>
        <v xml:space="preserve"> </v>
      </c>
      <c r="G787" s="4" t="str">
        <f ca="1">IF(OR(INDEX($AG$2:$AG$1001,MATCH(ROWS($AF$2:AF787),$AF$2:$AF$1001,0),1)&gt;=100000,INDEX($AM$1005:$BM$1005,1,MATCH(COLUMNS($AM$1006:AR1006),$AM$1006:$BM$1006,0))&gt;=100000), " ",IF(INDEX($AM$2:$BM$1001,MATCH(ROWS($AF$2:AF787),$AF$2:$AF$1001,0),MATCH(COLUMNS($AM$1006:AR1006),$AM$1006:$BM$1006,0)), HYPERLINK("#",""), HYPERLINK(CONCATENATE("#metadata!", ADDRESS(INDEX($AH$2:$AH$1001,MATCH(ROWS($AF$2:AF787),$AF$2:$AF$1001,0),0), INDEX($AM$1004:$BM$1004,1,MATCH(COLUMNS($AM$1006:AR1006),$AM$1006:$BM$1006,0)))),"Fix")))</f>
        <v xml:space="preserve"> </v>
      </c>
      <c r="H787" s="4" t="str">
        <f ca="1">IF(OR(INDEX($AG$2:$AG$1001,MATCH(ROWS($AF$2:AF787),$AF$2:$AF$1001,0),1)&gt;=100000,INDEX($AM$1005:$BM$1005,1,MATCH(COLUMNS($AM$1006:AS1006),$AM$1006:$BM$1006,0))&gt;=100000), " ",IF(INDEX($AM$2:$BM$1001,MATCH(ROWS($AF$2:AF787),$AF$2:$AF$1001,0),MATCH(COLUMNS($AM$1006:AS1006),$AM$1006:$BM$1006,0)), HYPERLINK("#",""), HYPERLINK(CONCATENATE("#metadata!", ADDRESS(INDEX($AH$2:$AH$1001,MATCH(ROWS($AF$2:AF787),$AF$2:$AF$1001,0),0), INDEX($AM$1004:$BM$1004,1,MATCH(COLUMNS($AM$1006:AS1006),$AM$1006:$BM$1006,0)))),"Fix")))</f>
        <v xml:space="preserve"> </v>
      </c>
      <c r="I787" s="4" t="str">
        <f ca="1">IF(OR(INDEX($AG$2:$AG$1001,MATCH(ROWS($AF$2:AF787),$AF$2:$AF$1001,0),1)&gt;=100000,INDEX($AM$1005:$BM$1005,1,MATCH(COLUMNS($AM$1006:AT1006),$AM$1006:$BM$1006,0))&gt;=100000), " ",IF(INDEX($AM$2:$BM$1001,MATCH(ROWS($AF$2:AF787),$AF$2:$AF$1001,0),MATCH(COLUMNS($AM$1006:AT1006),$AM$1006:$BM$1006,0)), HYPERLINK("#",""), HYPERLINK(CONCATENATE("#metadata!", ADDRESS(INDEX($AH$2:$AH$1001,MATCH(ROWS($AF$2:AF787),$AF$2:$AF$1001,0),0), INDEX($AM$1004:$BM$1004,1,MATCH(COLUMNS($AM$1006:AT1006),$AM$1006:$BM$1006,0)))),"Fix")))</f>
        <v xml:space="preserve"> </v>
      </c>
      <c r="J787" s="4" t="str">
        <f ca="1">IF(OR(INDEX($AG$2:$AG$1001,MATCH(ROWS($AF$2:AF787),$AF$2:$AF$1001,0),1)&gt;=100000,INDEX($AM$1005:$BM$1005,1,MATCH(COLUMNS($AM$1006:AU1006),$AM$1006:$BM$1006,0))&gt;=100000), " ",IF(INDEX($AM$2:$BM$1001,MATCH(ROWS($AF$2:AF787),$AF$2:$AF$1001,0),MATCH(COLUMNS($AM$1006:AU1006),$AM$1006:$BM$1006,0)), HYPERLINK("#",""), HYPERLINK(CONCATENATE("#metadata!", ADDRESS(INDEX($AH$2:$AH$1001,MATCH(ROWS($AF$2:AF787),$AF$2:$AF$1001,0),0), INDEX($AM$1004:$BM$1004,1,MATCH(COLUMNS($AM$1006:AU1006),$AM$1006:$BM$1006,0)))),"Fix")))</f>
        <v xml:space="preserve"> </v>
      </c>
      <c r="K787" s="4" t="str">
        <f ca="1">IF(OR(INDEX($AG$2:$AG$1001,MATCH(ROWS($AF$2:AF787),$AF$2:$AF$1001,0),1)&gt;=100000,INDEX($AM$1005:$BM$1005,1,MATCH(COLUMNS($AM$1006:AV1006),$AM$1006:$BM$1006,0))&gt;=100000), " ",IF(INDEX($AM$2:$BM$1001,MATCH(ROWS($AF$2:AF787),$AF$2:$AF$1001,0),MATCH(COLUMNS($AM$1006:AV1006),$AM$1006:$BM$1006,0)), HYPERLINK("#",""), HYPERLINK(CONCATENATE("#metadata!", ADDRESS(INDEX($AH$2:$AH$1001,MATCH(ROWS($AF$2:AF787),$AF$2:$AF$1001,0),0), INDEX($AM$1004:$BM$1004,1,MATCH(COLUMNS($AM$1006:AV1006),$AM$1006:$BM$1006,0)))),"Fix")))</f>
        <v xml:space="preserve"> </v>
      </c>
      <c r="L787" s="4" t="str">
        <f ca="1">IF(OR(INDEX($AG$2:$AG$1001,MATCH(ROWS($AF$2:AF787),$AF$2:$AF$1001,0),1)&gt;=100000,INDEX($AM$1005:$BM$1005,1,MATCH(COLUMNS($AM$1006:AW1006),$AM$1006:$BM$1006,0))&gt;=100000), " ",IF(INDEX($AM$2:$BM$1001,MATCH(ROWS($AF$2:AF787),$AF$2:$AF$1001,0),MATCH(COLUMNS($AM$1006:AW1006),$AM$1006:$BM$1006,0)), HYPERLINK("#",""), HYPERLINK(CONCATENATE("#metadata!", ADDRESS(INDEX($AH$2:$AH$1001,MATCH(ROWS($AF$2:AF787),$AF$2:$AF$1001,0),0), INDEX($AM$1004:$BM$1004,1,MATCH(COLUMNS($AM$1006:AW1006),$AM$1006:$BM$1006,0)))),"Fix")))</f>
        <v xml:space="preserve"> </v>
      </c>
      <c r="M787" s="4" t="str">
        <f ca="1">IF(OR(INDEX($AG$2:$AG$1001,MATCH(ROWS($AF$2:AF787),$AF$2:$AF$1001,0),1)&gt;=100000,INDEX($AM$1005:$BM$1005,1,MATCH(COLUMNS($AM$1006:AX1006),$AM$1006:$BM$1006,0))&gt;=100000), " ",IF(INDEX($AM$2:$BM$1001,MATCH(ROWS($AF$2:AF787),$AF$2:$AF$1001,0),MATCH(COLUMNS($AM$1006:AX1006),$AM$1006:$BM$1006,0)), HYPERLINK("#",""), HYPERLINK(CONCATENATE("#metadata!", ADDRESS(INDEX($AH$2:$AH$1001,MATCH(ROWS($AF$2:AF787),$AF$2:$AF$1001,0),0), INDEX($AM$1004:$BM$1004,1,MATCH(COLUMNS($AM$1006:AX1006),$AM$1006:$BM$1006,0)))),"Fix")))</f>
        <v xml:space="preserve"> </v>
      </c>
      <c r="N787" s="4" t="str">
        <f ca="1">IF(OR(INDEX($AG$2:$AG$1001,MATCH(ROWS($AF$2:AF787),$AF$2:$AF$1001,0),1)&gt;=100000,INDEX($AM$1005:$BM$1005,1,MATCH(COLUMNS($AM$1006:AY1006),$AM$1006:$BM$1006,0))&gt;=100000), " ",IF(INDEX($AM$2:$BM$1001,MATCH(ROWS($AF$2:AF787),$AF$2:$AF$1001,0),MATCH(COLUMNS($AM$1006:AY1006),$AM$1006:$BM$1006,0)), HYPERLINK("#",""), HYPERLINK(CONCATENATE("#metadata!", ADDRESS(INDEX($AH$2:$AH$1001,MATCH(ROWS($AF$2:AF787),$AF$2:$AF$1001,0),0), INDEX($AM$1004:$BM$1004,1,MATCH(COLUMNS($AM$1006:AY1006),$AM$1006:$BM$1006,0)))),"Fix")))</f>
        <v xml:space="preserve"> </v>
      </c>
      <c r="O787" s="4" t="str">
        <f ca="1">IF(OR(INDEX($AG$2:$AG$1001,MATCH(ROWS($AF$2:AF787),$AF$2:$AF$1001,0),1)&gt;=100000,INDEX($AM$1005:$BM$1005,1,MATCH(COLUMNS($AM$1006:AZ1006),$AM$1006:$BM$1006,0))&gt;=100000), " ",IF(INDEX($AM$2:$BM$1001,MATCH(ROWS($AF$2:AF787),$AF$2:$AF$1001,0),MATCH(COLUMNS($AM$1006:AZ1006),$AM$1006:$BM$1006,0)), HYPERLINK("#",""), HYPERLINK(CONCATENATE("#metadata!", ADDRESS(INDEX($AH$2:$AH$1001,MATCH(ROWS($AF$2:AF787),$AF$2:$AF$1001,0),0), INDEX($AM$1004:$BM$1004,1,MATCH(COLUMNS($AM$1006:AZ1006),$AM$1006:$BM$1006,0)))),"Fix")))</f>
        <v xml:space="preserve"> </v>
      </c>
      <c r="P787" s="4" t="str">
        <f ca="1">IF(OR(INDEX($AG$2:$AG$1001,MATCH(ROWS($AF$2:AF787),$AF$2:$AF$1001,0),1)&gt;=100000,INDEX($AM$1005:$BM$1005,1,MATCH(COLUMNS($AM$1006:BA1006),$AM$1006:$BM$1006,0))&gt;=100000), " ",IF(INDEX($AM$2:$BM$1001,MATCH(ROWS($AF$2:AF787),$AF$2:$AF$1001,0),MATCH(COLUMNS($AM$1006:BA1006),$AM$1006:$BM$1006,0)), HYPERLINK("#",""), HYPERLINK(CONCATENATE("#metadata!", ADDRESS(INDEX($AH$2:$AH$1001,MATCH(ROWS($AF$2:AF787),$AF$2:$AF$1001,0),0), INDEX($AM$1004:$BM$1004,1,MATCH(COLUMNS($AM$1006:BA1006),$AM$1006:$BM$1006,0)))),"Fix")))</f>
        <v xml:space="preserve"> </v>
      </c>
      <c r="Q787" s="4" t="str">
        <f ca="1">IF(OR(INDEX($AG$2:$AG$1001,MATCH(ROWS($AF$2:AF787),$AF$2:$AF$1001,0),1)&gt;=100000,INDEX($AM$1005:$BM$1005,1,MATCH(COLUMNS($AM$1006:BB1006),$AM$1006:$BM$1006,0))&gt;=100000), " ",IF(INDEX($AM$2:$BM$1001,MATCH(ROWS($AF$2:AF787),$AF$2:$AF$1001,0),MATCH(COLUMNS($AM$1006:BB1006),$AM$1006:$BM$1006,0)), HYPERLINK("#",""), HYPERLINK(CONCATENATE("#metadata!", ADDRESS(INDEX($AH$2:$AH$1001,MATCH(ROWS($AF$2:AF787),$AF$2:$AF$1001,0),0), INDEX($AM$1004:$BM$1004,1,MATCH(COLUMNS($AM$1006:BB1006),$AM$1006:$BM$1006,0)))),"Fix")))</f>
        <v xml:space="preserve"> </v>
      </c>
      <c r="R787" s="4" t="str">
        <f ca="1">IF(OR(INDEX($AG$2:$AG$1001,MATCH(ROWS($AF$2:AF787),$AF$2:$AF$1001,0),1)&gt;=100000,INDEX($AM$1005:$BM$1005,1,MATCH(COLUMNS($AM$1006:BC1006),$AM$1006:$BM$1006,0))&gt;=100000), " ",IF(INDEX($AM$2:$BM$1001,MATCH(ROWS($AF$2:AF787),$AF$2:$AF$1001,0),MATCH(COLUMNS($AM$1006:BC1006),$AM$1006:$BM$1006,0)), HYPERLINK("#",""), HYPERLINK(CONCATENATE("#metadata!", ADDRESS(INDEX($AH$2:$AH$1001,MATCH(ROWS($AF$2:AF787),$AF$2:$AF$1001,0),0), INDEX($AM$1004:$BM$1004,1,MATCH(COLUMNS($AM$1006:BC1006),$AM$1006:$BM$1006,0)))),"Fix")))</f>
        <v xml:space="preserve"> </v>
      </c>
      <c r="S787" s="4" t="str">
        <f ca="1">IF(OR(INDEX($AG$2:$AG$1001,MATCH(ROWS($AF$2:AF787),$AF$2:$AF$1001,0),1)&gt;=100000,INDEX($AM$1005:$BM$1005,1,MATCH(COLUMNS($AM$1006:BD1006),$AM$1006:$BM$1006,0))&gt;=100000), " ",IF(INDEX($AM$2:$BM$1001,MATCH(ROWS($AF$2:AF787),$AF$2:$AF$1001,0),MATCH(COLUMNS($AM$1006:BD1006),$AM$1006:$BM$1006,0)), HYPERLINK("#",""), HYPERLINK(CONCATENATE("#metadata!", ADDRESS(INDEX($AH$2:$AH$1001,MATCH(ROWS($AF$2:AF787),$AF$2:$AF$1001,0),0), INDEX($AM$1004:$BM$1004,1,MATCH(COLUMNS($AM$1006:BD1006),$AM$1006:$BM$1006,0)))),"Fix")))</f>
        <v xml:space="preserve"> </v>
      </c>
      <c r="T787" s="4" t="str">
        <f ca="1">IF(OR(INDEX($AG$2:$AG$1001,MATCH(ROWS($AF$2:AF787),$AF$2:$AF$1001,0),1)&gt;=100000,INDEX($AM$1005:$BM$1005,1,MATCH(COLUMNS($AM$1006:BE1006),$AM$1006:$BM$1006,0))&gt;=100000), " ",IF(INDEX($AM$2:$BM$1001,MATCH(ROWS($AF$2:AF787),$AF$2:$AF$1001,0),MATCH(COLUMNS($AM$1006:BE1006),$AM$1006:$BM$1006,0)), HYPERLINK("#",""), HYPERLINK(CONCATENATE("#metadata!", ADDRESS(INDEX($AH$2:$AH$1001,MATCH(ROWS($AF$2:AF787),$AF$2:$AF$1001,0),0), INDEX($AM$1004:$BM$1004,1,MATCH(COLUMNS($AM$1006:BE1006),$AM$1006:$BM$1006,0)))),"Fix")))</f>
        <v xml:space="preserve"> </v>
      </c>
      <c r="U787" s="4" t="str">
        <f ca="1">IF(OR(INDEX($AG$2:$AG$1001,MATCH(ROWS($AF$2:AF787),$AF$2:$AF$1001,0),1)&gt;=100000,INDEX($AM$1005:$BM$1005,1,MATCH(COLUMNS($AM$1006:BF1006),$AM$1006:$BM$1006,0))&gt;=100000), " ",IF(INDEX($AM$2:$BM$1001,MATCH(ROWS($AF$2:AF787),$AF$2:$AF$1001,0),MATCH(COLUMNS($AM$1006:BF1006),$AM$1006:$BM$1006,0)), HYPERLINK("#",""), HYPERLINK(CONCATENATE("#metadata!", ADDRESS(INDEX($AH$2:$AH$1001,MATCH(ROWS($AF$2:AF787),$AF$2:$AF$1001,0),0), INDEX($AM$1004:$BM$1004,1,MATCH(COLUMNS($AM$1006:BF1006),$AM$1006:$BM$1006,0)))),"Fix")))</f>
        <v xml:space="preserve"> </v>
      </c>
      <c r="V787" s="4" t="str">
        <f ca="1">IF(OR(INDEX($AG$2:$AG$1001,MATCH(ROWS($AF$2:AF787),$AF$2:$AF$1001,0),1)&gt;=100000,INDEX($AM$1005:$BM$1005,1,MATCH(COLUMNS($AM$1006:BG1006),$AM$1006:$BM$1006,0))&gt;=100000), " ",IF(INDEX($AM$2:$BM$1001,MATCH(ROWS($AF$2:AF787),$AF$2:$AF$1001,0),MATCH(COLUMNS($AM$1006:BG1006),$AM$1006:$BM$1006,0)), HYPERLINK("#",""), HYPERLINK(CONCATENATE("#metadata!", ADDRESS(INDEX($AH$2:$AH$1001,MATCH(ROWS($AF$2:AF787),$AF$2:$AF$1001,0),0), INDEX($AM$1004:$BM$1004,1,MATCH(COLUMNS($AM$1006:BG1006),$AM$1006:$BM$1006,0)))),"Fix")))</f>
        <v xml:space="preserve"> </v>
      </c>
      <c r="W787" s="4" t="str">
        <f ca="1">IF(OR(INDEX($AG$2:$AG$1001,MATCH(ROWS($AF$2:AF787),$AF$2:$AF$1001,0),1)&gt;=100000,INDEX($AM$1005:$BM$1005,1,MATCH(COLUMNS($AM$1006:BH1006),$AM$1006:$BM$1006,0))&gt;=100000), " ",IF(INDEX($AM$2:$BM$1001,MATCH(ROWS($AF$2:AF787),$AF$2:$AF$1001,0),MATCH(COLUMNS($AM$1006:BH1006),$AM$1006:$BM$1006,0)), HYPERLINK("#",""), HYPERLINK(CONCATENATE("#metadata!", ADDRESS(INDEX($AH$2:$AH$1001,MATCH(ROWS($AF$2:AF787),$AF$2:$AF$1001,0),0), INDEX($AM$1004:$BM$1004,1,MATCH(COLUMNS($AM$1006:BH1006),$AM$1006:$BM$1006,0)))),"Fix")))</f>
        <v xml:space="preserve"> </v>
      </c>
      <c r="X787" s="4" t="str">
        <f ca="1">IF(OR(INDEX($AG$2:$AG$1001,MATCH(ROWS($AF$2:AF787),$AF$2:$AF$1001,0),1)&gt;=100000,INDEX($AM$1005:$BM$1005,1,MATCH(COLUMNS($AM$1006:BI1006),$AM$1006:$BM$1006,0))&gt;=100000), " ",IF(INDEX($AM$2:$BM$1001,MATCH(ROWS($AF$2:AF787),$AF$2:$AF$1001,0),MATCH(COLUMNS($AM$1006:BI1006),$AM$1006:$BM$1006,0)), HYPERLINK("#",""), HYPERLINK(CONCATENATE("#metadata!", ADDRESS(INDEX($AH$2:$AH$1001,MATCH(ROWS($AF$2:AF787),$AF$2:$AF$1001,0),0), INDEX($AM$1004:$BM$1004,1,MATCH(COLUMNS($AM$1006:BI1006),$AM$1006:$BM$1006,0)))),"Fix")))</f>
        <v xml:space="preserve"> </v>
      </c>
      <c r="Y787" s="4" t="str">
        <f ca="1">IF(OR(INDEX($AG$2:$AG$1001,MATCH(ROWS($AF$2:AF787),$AF$2:$AF$1001,0),1)&gt;=100000,INDEX($AM$1005:$BM$1005,1,MATCH(COLUMNS($AM$1006:BJ1006),$AM$1006:$BM$1006,0))&gt;=100000), " ",IF(INDEX($AM$2:$BM$1001,MATCH(ROWS($AF$2:AF787),$AF$2:$AF$1001,0),MATCH(COLUMNS($AM$1006:BJ1006),$AM$1006:$BM$1006,0)), HYPERLINK("#",""), HYPERLINK(CONCATENATE("#metadata!", ADDRESS(INDEX($AH$2:$AH$1001,MATCH(ROWS($AF$2:AF787),$AF$2:$AF$1001,0),0), INDEX($AM$1004:$BM$1004,1,MATCH(COLUMNS($AM$1006:BJ1006),$AM$1006:$BM$1006,0)))),"Fix")))</f>
        <v xml:space="preserve"> </v>
      </c>
      <c r="Z787" s="4" t="str">
        <f ca="1">IF(OR(INDEX($AG$2:$AG$1001,MATCH(ROWS($AF$2:AF787),$AF$2:$AF$1001,0),1)&gt;=100000,INDEX($AM$1005:$BM$1005,1,MATCH(COLUMNS($AM$1006:BK1006),$AM$1006:$BM$1006,0))&gt;=100000), " ",IF(INDEX($AM$2:$BM$1001,MATCH(ROWS($AF$2:AF787),$AF$2:$AF$1001,0),MATCH(COLUMNS($AM$1006:BK1006),$AM$1006:$BM$1006,0)), HYPERLINK("#",""), HYPERLINK(CONCATENATE("#metadata!", ADDRESS(INDEX($AH$2:$AH$1001,MATCH(ROWS($AF$2:AF787),$AF$2:$AF$1001,0),0), INDEX($AM$1004:$BM$1004,1,MATCH(COLUMNS($AM$1006:BK1006),$AM$1006:$BM$1006,0)))),"Fix")))</f>
        <v xml:space="preserve"> </v>
      </c>
      <c r="AA787" s="4" t="str">
        <f ca="1">IF(OR(INDEX($AG$2:$AG$1001,MATCH(ROWS($AF$2:AF787),$AF$2:$AF$1001,0),1)&gt;=100000,INDEX($AM$1005:$BM$1005,1,MATCH(COLUMNS($AM$1006:BL1006),$AM$1006:$BM$1006,0))&gt;=100000), " ",IF(INDEX($AM$2:$BM$1001,MATCH(ROWS($AF$2:AF787),$AF$2:$AF$1001,0),MATCH(COLUMNS($AM$1006:BL1006),$AM$1006:$BM$1006,0)), HYPERLINK("#",""), HYPERLINK(CONCATENATE("#metadata!", ADDRESS(INDEX($AH$2:$AH$1001,MATCH(ROWS($AF$2:AF787),$AF$2:$AF$1001,0),0), INDEX($AM$1004:$BM$1004,1,MATCH(COLUMNS($AM$1006:BL1006),$AM$1006:$BM$1006,0)))),"Fix")))</f>
        <v xml:space="preserve"> </v>
      </c>
      <c r="AB787" s="4" t="str">
        <f ca="1">IF(OR(INDEX($AG$2:$AG$1001,MATCH(ROWS($AF$2:AF787),$AF$2:$AF$1001,0),1)&gt;=100000,INDEX($AM$1005:$BM$1005,1,MATCH(COLUMNS($AM$1006:BM1006),$AM$1006:$BM$1006,0))&gt;=100000), " ",IF(INDEX($AM$2:$BM$1001,MATCH(ROWS($AF$2:AF787),$AF$2:$AF$1001,0),MATCH(COLUMNS($AM$1006:BM1006),$AM$1006:$BM$1006,0)), HYPERLINK("#",""), HYPERLINK(CONCATENATE("#metadata!", ADDRESS(INDEX($AH$2:$AH$1001,MATCH(ROWS($AF$2:AF787),$AF$2:$AF$1001,0),0), INDEX($AM$1004:$BM$1004,1,MATCH(COLUMNS($AM$1006:BM1006),$AM$1006:$BM$1006,0)))),"Fix")))</f>
        <v xml:space="preserve"> </v>
      </c>
      <c r="AF787">
        <v>786</v>
      </c>
      <c r="AG787">
        <v>100787</v>
      </c>
      <c r="AH787">
        <v>787</v>
      </c>
      <c r="AI787" t="b">
        <f t="shared" si="12"/>
        <v>1</v>
      </c>
      <c r="AJ787" t="b">
        <f>COUNTBLANK(metadata!B787:AB787)=COLUMNS(metadata!B787:AB787)</f>
        <v>1</v>
      </c>
      <c r="AK787" t="str">
        <v/>
      </c>
      <c r="AM787" t="b">
        <f ca="1">AND(IF(metadata!B787="",FALSE,TRUE),COUNTIF(metadata!B:B, metadata!B787) = 1,NOT(ISERROR(SUMPRODUCT(SEARCH(MID(metadata!B787,ROW(INDIRECT("1:"&amp;LEN(metadata!B787))), 1),"0123456789abcdefghijklmnopqrstuvwxyzABCDEFGHIJKLMNOPQRSTUVWXYZ.")))))</f>
        <v>0</v>
      </c>
      <c r="AN787" t="b">
        <f ca="1">OR(AND(IF(metadata!C787="",FALSE,TRUE),OR(EXACT(metadata!C787,"missing: not collected"),EXACT(metadata!C787,"missing: not provided"),EXACT(metadata!C787,"missing: restricted access"))),AND(IF(metadata!C787="",FALSE,TRUE),AND(AND(IFERROR(INT(LEFT(metadata!C787,4))&gt;1900,FALSE),IFERROR(INT(LEFT(metadata!C787,4))&lt;=YEAR(NOW()),FALSE)), OR(MID(metadata!C787,5,1)="", AND(AND(MID(metadata!C787,5,1)="-",IFERROR(INT(MID(metadata!C787,6,1))&gt;=0,FALSE),IFERROR(INT(MID(metadata!C787,6,1))&lt;=1,FALSE),NOT(MID(metadata!C787,7,1)=""),IFERROR(INT(MID(metadata!C787,6,2))&gt;=1,FALSE),IFERROR(INT(MID(metadata!C787,6,2))&lt;=12,FALSE)), OR(MID(metadata!C787,8,1)="", AND(AND(MID(metadata!C787,8,1)="-",IFERROR(INT(MID(metadata!C787,9,1))&gt;=0,FALSE),IFERROR(INT(MID(metadata!C787,9,1))&lt;=3,FALSE),NOT(MID(metadata!C787,10,1)=""),IFERROR(INT(MID(metadata!C787,9,2))&gt;=1,FALSE),IFERROR(INT(MID(metadata!C787,9,2))&lt;=31,FALSE)), OR(MID(metadata!C787,11,1)="", AND(AND(MID(metadata!C787,11,1)=" ",IFERROR(INT(MID(metadata!C787,12,1))&gt;=0,FALSE),IFERROR(INT(MID(metadata!C787,12,1))&lt;=2,FALSE),NOT(MID(metadata!C787,13,1)=""),IFERROR(INT(MID(metadata!C787,12,2))&gt;=0,FALSE),IFERROR(INT(MID(metadata!C787,12,2))&lt;=23,FALSE)), OR(MID(metadata!C787,14,1)="", AND(AND(MID(metadata!C787,14,1)=":",IFERROR(INT(MID(metadata!C787,15,1))&gt;=0,FALSE),IFERROR(INT(MID(metadata!C787,15,1))&lt;=5,FALSE),NOT(MID(metadata!C787,16,1)=""),IFERROR(INT(MID(metadata!C787,15,2))&gt;=0,FALSE),IFERROR(INT(MID(metadata!C787,15,2))&lt;=59,FALSE)), OR(MID(metadata!C787,17,1)="", AND(AND(MID(metadata!C787,17,1)=":",IFERROR(INT(MID(metadata!C787,18,1))&gt;=0,FALSE),IFERROR(INT(MID(metadata!C787,18,1))&lt;=5,FALSE),NOT(MID(metadata!C787,19,1)=""),IFERROR(INT(MID(metadata!C787,18,2))&gt;=0,FALSE),IFERROR(INT(MID(metadata!C787,18,2))&lt;=59,FALSE)), LEN(metadata!C787)&lt;=19)))))))))))))</f>
        <v>0</v>
      </c>
      <c r="AO787" t="b">
        <f>AND(IF(metadata!D787="",FALSE,TRUE),EXACT(metadata!D787,"Not applicable"))</f>
        <v>0</v>
      </c>
      <c r="AP787" t="b">
        <f>IF(metadata!E787="",FALSE,TRUE)</f>
        <v>0</v>
      </c>
      <c r="AQ787" t="b">
        <f>OR(AND(IF(metadata!F787="",FALSE,TRUE),OR(EXACT(metadata!F787,"missing: not collected"),EXACT(metadata!F787,"missing: not provided"))),AND(IF(metadata!F787="",FALSE,TRUE),OR(EXACT(metadata!F787,"TRUE"),EXACT(metadata!F787,"FALSE"))))</f>
        <v>0</v>
      </c>
      <c r="AR787" t="b">
        <f>OR(AND(IF(metadata!G787="",FALSE,TRUE),OR(EXACT(metadata!G787,"missing: not collected"),EXACT(metadata!G787,"missing: not provided"),EXACT(metadata!G787,"missing: restricted access"))),AND(IF(metadata!G787="",FALSE,ISNUMBER(VALUE(metadata!G787))),metadata!G787&gt;=-413))</f>
        <v>0</v>
      </c>
      <c r="AS787" t="b">
        <f>AND(IF(metadata!H787="",FALSE,TRUE),EXACT(metadata!H787,"meters"))</f>
        <v>0</v>
      </c>
      <c r="AT787" t="b">
        <f>AND(IF(metadata!I787="",FALSE,TRUE),OR(EXACT(metadata!I787,"Host-associated"),EXACT(metadata!I787,"Free-living")))</f>
        <v>0</v>
      </c>
      <c r="AU787" t="b">
        <f>AND(IF(metadata!J787="",FALSE,TRUE),OR(EXACT(metadata!J787,"Animal"),EXACT(metadata!J787,"Fungus"),EXACT(metadata!J787,"Plant"),EXACT(metadata!J787,"Saline"),EXACT(metadata!J787,"Non-saline")))</f>
        <v>0</v>
      </c>
      <c r="AV787" t="b">
        <f>AND(IF(metadata!K787="",FALSE,TRUE),OR(EXACT(metadata!K787,"Plant secretion"),EXACT(metadata!K787,"Plant rhizosphere"),EXACT(metadata!K787,"Plant surface"),EXACT(metadata!K787,"Plant corpus"),EXACT(metadata!K787,"Fungus surface"),EXACT(metadata!K787,"Fungus corpus"),EXACT(metadata!K787,"Animal surface"),EXACT(metadata!K787,"Animal proximal gut"),EXACT(metadata!K787,"Animal corpus"),EXACT(metadata!K787,"Animal distal gut"),EXACT(metadata!K787,"Animal secretion"),EXACT(metadata!K787,"Sub-surface (non-saline)"),EXACT(metadata!K787,"Surface (non-saline)"),EXACT(metadata!K787,"Water (non-saline)"),EXACT(metadata!K787,"Soil (non-saline)"),EXACT(metadata!K787,"Aerosol (non-saline)"),EXACT(metadata!K787,"Sediment (non-saline)"),EXACT(metadata!K787,"Surface (saline)"),EXACT(metadata!K787,"Water (saline)"),EXACT(metadata!K787,"Hypersaline (saline)"),EXACT(metadata!K787,"Aerosol (saline)"),EXACT(metadata!K787,"Sediment (saline)")))</f>
        <v>0</v>
      </c>
      <c r="AW787" t="b">
        <f>IF(metadata!L787="",FALSE,TRUE)</f>
        <v>0</v>
      </c>
      <c r="AX787" t="b">
        <f>IF(metadata!M787="",FALSE,TRUE)</f>
        <v>0</v>
      </c>
      <c r="AY787" t="b">
        <f>IF(metadata!N787="",FALSE,TRUE)</f>
        <v>0</v>
      </c>
      <c r="AZ787" t="b">
        <f>OR(AND(IF(metadata!O787="",FALSE,TRUE),OR(EXACT(metadata!O787,"missing: not collected"),EXACT(metadata!O787,"missing: not provided"),EXACT(metadata!O787,"missing: restricted access"))),AND(IF(metadata!O787="",FALSE,TRUE),OR(EXACT(metadata!O787,"air"),EXACT(metadata!O787,"built environment"),EXACT(metadata!O787,"host-associated"),EXACT(metadata!O787,"human-associated"),EXACT(metadata!O787,"human-skin"),EXACT(metadata!O787,"human-oral"),EXACT(metadata!O787,"human-gut"),EXACT(metadata!O787,"human-vaginal"),EXACT(metadata!O787,"microbial mat/biofilm"),EXACT(metadata!O787,"misc environment"),EXACT(metadata!O787,"plant-associated"),EXACT(metadata!O787,"sediment"),EXACT(metadata!O787,"soil"),EXACT(metadata!O787,"wastewater/sludge"),EXACT(metadata!O787,"water"))))</f>
        <v>0</v>
      </c>
      <c r="BA787" t="b">
        <f>IF(metadata!P787="",FALSE,TRUE)</f>
        <v>0</v>
      </c>
      <c r="BB787" t="b">
        <f>IF(metadata!Q787="",FALSE,TRUE)</f>
        <v>0</v>
      </c>
      <c r="BC787" t="b">
        <f>OR(AND(IF(metadata!R787="",FALSE,TRUE),OR(EXACT(metadata!R787,"missing: not collected"),EXACT(metadata!R787,"missing: not provided"),EXACT(metadata!R787,"missing: restricted access"))),AND(IF(metadata!R787="",FALSE,ISNUMBER(VALUE(metadata!R787))),metadata!R787&gt;=-90,metadata!R787&lt;=90))</f>
        <v>0</v>
      </c>
      <c r="BD787" t="b">
        <f>AND(IF(metadata!S787="",FALSE,TRUE),EXACT(metadata!S787,"Decimal degrees"))</f>
        <v>0</v>
      </c>
      <c r="BE787" t="b">
        <f>OR(AND(IF(metadata!T787="",FALSE,TRUE),OR(EXACT(metadata!T787,"missing: not collected"),EXACT(metadata!T787,"missing: not provided"),EXACT(metadata!T787,"missing: restricted access"))),AND(IF(metadata!T787="",FALSE,ISNUMBER(VALUE(metadata!T787))),metadata!T787&gt;=-180,metadata!T787&lt;=180))</f>
        <v>0</v>
      </c>
      <c r="BF787" t="b">
        <f>AND(IF(metadata!U787="",FALSE,TRUE),EXACT(metadata!U787,"Decimal degrees"))</f>
        <v>0</v>
      </c>
      <c r="BG787" t="b">
        <f>IF(metadata!V787="",FALSE,TRUE)</f>
        <v>0</v>
      </c>
      <c r="BH787" t="b">
        <f>OR(AND(IF(metadata!W787="",FALSE,TRUE),OR(EXACT(metadata!W787,"missing: not collected"),EXACT(metadata!W787,"missing: not provided"),EXACT(metadata!W787,"missing: restricted access"))),AND(IF(metadata!W787="",FALSE,TRUE),OR(EXACT(metadata!W787,"TRUE"),EXACT(metadata!W787,"FALSE"))))</f>
        <v>0</v>
      </c>
      <c r="BI787" t="b">
        <f>AND(IF(metadata!X787="",FALSE,TRUE),EXACT(metadata!X787,"other"))</f>
        <v>0</v>
      </c>
      <c r="BJ787" t="b">
        <f>IF(metadata!Y787="",FALSE,TRUE)</f>
        <v>0</v>
      </c>
      <c r="BK787" t="b">
        <f>OR(AND(IF(metadata!Z787="",FALSE,TRUE),OR(EXACT(metadata!Z787,"missing: not collected"),EXACT(metadata!Z787,"missing: not provided"))),AND(IF(metadata!Z787="",FALSE,IF(ISERROR(INT(metadata!Z787)),FALSE,INT(metadata!Z787)=metadata!Z787)),metadata!Z787&gt;0))</f>
        <v>0</v>
      </c>
      <c r="BL787" t="b">
        <f>AND(IF(metadata!AA787="",FALSE,TRUE),EXACT(metadata!AA787,"Not applicable"))</f>
        <v>0</v>
      </c>
      <c r="BM787" t="b">
        <f>IF(metadata!AB787="",FALSE,TRUE)</f>
        <v>0</v>
      </c>
    </row>
    <row r="788" spans="1:65" x14ac:dyDescent="0.2">
      <c r="A788" s="5" t="str">
        <f ca="1">IF(B788=" "," ",HYPERLINK(CONCATENATE("#metadata!",ADDRESS(INDEX($AH$2:$AH$1001,MATCH(ROWS($AF$2:AF788),$AF$2:$AF$1001,0),0),1)),INDEX($AK$2:$AK$1001,MATCH(ROWS($AF$2:AF788),$AF$2:$AF$1001,0),0)))</f>
        <v xml:space="preserve"> </v>
      </c>
      <c r="B788" s="4" t="str">
        <f ca="1">IF(OR(INDEX($AG$2:$AG$1001,MATCH(ROWS($AF$2:AF788),$AF$2:$AF$1001,0),1)&gt;=100000,INDEX($AM$1005:$BM$1005,1,MATCH(COLUMNS($AM$1006:AM1006),$AM$1006:$BM$1006,0))&gt;=100000), " ",IF(INDEX($AM$2:$BM$1001,MATCH(ROWS($AF$2:AF788),$AF$2:$AF$1001,0),MATCH(COLUMNS($AM$1006:AM1006),$AM$1006:$BM$1006,0)), HYPERLINK("#",""), HYPERLINK(CONCATENATE("#metadata!", ADDRESS(INDEX($AH$2:$AH$1001,MATCH(ROWS($AF$2:AF788),$AF$2:$AF$1001,0),0), INDEX($AM$1004:$BM$1004,1,MATCH(COLUMNS($AM$1006:AM1006),$AM$1006:$BM$1006,0)))),"Fix")))</f>
        <v xml:space="preserve"> </v>
      </c>
      <c r="C788" s="4" t="str">
        <f ca="1">IF(OR(INDEX($AG$2:$AG$1001,MATCH(ROWS($AF$2:AF788),$AF$2:$AF$1001,0),1)&gt;=100000,INDEX($AM$1005:$BM$1005,1,MATCH(COLUMNS($AM$1006:AN1006),$AM$1006:$BM$1006,0))&gt;=100000), " ",IF(INDEX($AM$2:$BM$1001,MATCH(ROWS($AF$2:AF788),$AF$2:$AF$1001,0),MATCH(COLUMNS($AM$1006:AN1006),$AM$1006:$BM$1006,0)), HYPERLINK("#",""), HYPERLINK(CONCATENATE("#metadata!", ADDRESS(INDEX($AH$2:$AH$1001,MATCH(ROWS($AF$2:AF788),$AF$2:$AF$1001,0),0), INDEX($AM$1004:$BM$1004,1,MATCH(COLUMNS($AM$1006:AN1006),$AM$1006:$BM$1006,0)))),"Fix")))</f>
        <v xml:space="preserve"> </v>
      </c>
      <c r="D788" s="4" t="str">
        <f ca="1">IF(OR(INDEX($AG$2:$AG$1001,MATCH(ROWS($AF$2:AF788),$AF$2:$AF$1001,0),1)&gt;=100000,INDEX($AM$1005:$BM$1005,1,MATCH(COLUMNS($AM$1006:AO1006),$AM$1006:$BM$1006,0))&gt;=100000), " ",IF(INDEX($AM$2:$BM$1001,MATCH(ROWS($AF$2:AF788),$AF$2:$AF$1001,0),MATCH(COLUMNS($AM$1006:AO1006),$AM$1006:$BM$1006,0)), HYPERLINK("#",""), HYPERLINK(CONCATENATE("#metadata!", ADDRESS(INDEX($AH$2:$AH$1001,MATCH(ROWS($AF$2:AF788),$AF$2:$AF$1001,0),0), INDEX($AM$1004:$BM$1004,1,MATCH(COLUMNS($AM$1006:AO1006),$AM$1006:$BM$1006,0)))),"Fix")))</f>
        <v xml:space="preserve"> </v>
      </c>
      <c r="E788" s="4" t="str">
        <f ca="1">IF(OR(INDEX($AG$2:$AG$1001,MATCH(ROWS($AF$2:AF788),$AF$2:$AF$1001,0),1)&gt;=100000,INDEX($AM$1005:$BM$1005,1,MATCH(COLUMNS($AM$1006:AP1006),$AM$1006:$BM$1006,0))&gt;=100000), " ",IF(INDEX($AM$2:$BM$1001,MATCH(ROWS($AF$2:AF788),$AF$2:$AF$1001,0),MATCH(COLUMNS($AM$1006:AP1006),$AM$1006:$BM$1006,0)), HYPERLINK("#",""), HYPERLINK(CONCATENATE("#metadata!", ADDRESS(INDEX($AH$2:$AH$1001,MATCH(ROWS($AF$2:AF788),$AF$2:$AF$1001,0),0), INDEX($AM$1004:$BM$1004,1,MATCH(COLUMNS($AM$1006:AP1006),$AM$1006:$BM$1006,0)))),"Fix")))</f>
        <v xml:space="preserve"> </v>
      </c>
      <c r="F788" s="4" t="str">
        <f ca="1">IF(OR(INDEX($AG$2:$AG$1001,MATCH(ROWS($AF$2:AF788),$AF$2:$AF$1001,0),1)&gt;=100000,INDEX($AM$1005:$BM$1005,1,MATCH(COLUMNS($AM$1006:AQ1006),$AM$1006:$BM$1006,0))&gt;=100000), " ",IF(INDEX($AM$2:$BM$1001,MATCH(ROWS($AF$2:AF788),$AF$2:$AF$1001,0),MATCH(COLUMNS($AM$1006:AQ1006),$AM$1006:$BM$1006,0)), HYPERLINK("#",""), HYPERLINK(CONCATENATE("#metadata!", ADDRESS(INDEX($AH$2:$AH$1001,MATCH(ROWS($AF$2:AF788),$AF$2:$AF$1001,0),0), INDEX($AM$1004:$BM$1004,1,MATCH(COLUMNS($AM$1006:AQ1006),$AM$1006:$BM$1006,0)))),"Fix")))</f>
        <v xml:space="preserve"> </v>
      </c>
      <c r="G788" s="4" t="str">
        <f ca="1">IF(OR(INDEX($AG$2:$AG$1001,MATCH(ROWS($AF$2:AF788),$AF$2:$AF$1001,0),1)&gt;=100000,INDEX($AM$1005:$BM$1005,1,MATCH(COLUMNS($AM$1006:AR1006),$AM$1006:$BM$1006,0))&gt;=100000), " ",IF(INDEX($AM$2:$BM$1001,MATCH(ROWS($AF$2:AF788),$AF$2:$AF$1001,0),MATCH(COLUMNS($AM$1006:AR1006),$AM$1006:$BM$1006,0)), HYPERLINK("#",""), HYPERLINK(CONCATENATE("#metadata!", ADDRESS(INDEX($AH$2:$AH$1001,MATCH(ROWS($AF$2:AF788),$AF$2:$AF$1001,0),0), INDEX($AM$1004:$BM$1004,1,MATCH(COLUMNS($AM$1006:AR1006),$AM$1006:$BM$1006,0)))),"Fix")))</f>
        <v xml:space="preserve"> </v>
      </c>
      <c r="H788" s="4" t="str">
        <f ca="1">IF(OR(INDEX($AG$2:$AG$1001,MATCH(ROWS($AF$2:AF788),$AF$2:$AF$1001,0),1)&gt;=100000,INDEX($AM$1005:$BM$1005,1,MATCH(COLUMNS($AM$1006:AS1006),$AM$1006:$BM$1006,0))&gt;=100000), " ",IF(INDEX($AM$2:$BM$1001,MATCH(ROWS($AF$2:AF788),$AF$2:$AF$1001,0),MATCH(COLUMNS($AM$1006:AS1006),$AM$1006:$BM$1006,0)), HYPERLINK("#",""), HYPERLINK(CONCATENATE("#metadata!", ADDRESS(INDEX($AH$2:$AH$1001,MATCH(ROWS($AF$2:AF788),$AF$2:$AF$1001,0),0), INDEX($AM$1004:$BM$1004,1,MATCH(COLUMNS($AM$1006:AS1006),$AM$1006:$BM$1006,0)))),"Fix")))</f>
        <v xml:space="preserve"> </v>
      </c>
      <c r="I788" s="4" t="str">
        <f ca="1">IF(OR(INDEX($AG$2:$AG$1001,MATCH(ROWS($AF$2:AF788),$AF$2:$AF$1001,0),1)&gt;=100000,INDEX($AM$1005:$BM$1005,1,MATCH(COLUMNS($AM$1006:AT1006),$AM$1006:$BM$1006,0))&gt;=100000), " ",IF(INDEX($AM$2:$BM$1001,MATCH(ROWS($AF$2:AF788),$AF$2:$AF$1001,0),MATCH(COLUMNS($AM$1006:AT1006),$AM$1006:$BM$1006,0)), HYPERLINK("#",""), HYPERLINK(CONCATENATE("#metadata!", ADDRESS(INDEX($AH$2:$AH$1001,MATCH(ROWS($AF$2:AF788),$AF$2:$AF$1001,0),0), INDEX($AM$1004:$BM$1004,1,MATCH(COLUMNS($AM$1006:AT1006),$AM$1006:$BM$1006,0)))),"Fix")))</f>
        <v xml:space="preserve"> </v>
      </c>
      <c r="J788" s="4" t="str">
        <f ca="1">IF(OR(INDEX($AG$2:$AG$1001,MATCH(ROWS($AF$2:AF788),$AF$2:$AF$1001,0),1)&gt;=100000,INDEX($AM$1005:$BM$1005,1,MATCH(COLUMNS($AM$1006:AU1006),$AM$1006:$BM$1006,0))&gt;=100000), " ",IF(INDEX($AM$2:$BM$1001,MATCH(ROWS($AF$2:AF788),$AF$2:$AF$1001,0),MATCH(COLUMNS($AM$1006:AU1006),$AM$1006:$BM$1006,0)), HYPERLINK("#",""), HYPERLINK(CONCATENATE("#metadata!", ADDRESS(INDEX($AH$2:$AH$1001,MATCH(ROWS($AF$2:AF788),$AF$2:$AF$1001,0),0), INDEX($AM$1004:$BM$1004,1,MATCH(COLUMNS($AM$1006:AU1006),$AM$1006:$BM$1006,0)))),"Fix")))</f>
        <v xml:space="preserve"> </v>
      </c>
      <c r="K788" s="4" t="str">
        <f ca="1">IF(OR(INDEX($AG$2:$AG$1001,MATCH(ROWS($AF$2:AF788),$AF$2:$AF$1001,0),1)&gt;=100000,INDEX($AM$1005:$BM$1005,1,MATCH(COLUMNS($AM$1006:AV1006),$AM$1006:$BM$1006,0))&gt;=100000), " ",IF(INDEX($AM$2:$BM$1001,MATCH(ROWS($AF$2:AF788),$AF$2:$AF$1001,0),MATCH(COLUMNS($AM$1006:AV1006),$AM$1006:$BM$1006,0)), HYPERLINK("#",""), HYPERLINK(CONCATENATE("#metadata!", ADDRESS(INDEX($AH$2:$AH$1001,MATCH(ROWS($AF$2:AF788),$AF$2:$AF$1001,0),0), INDEX($AM$1004:$BM$1004,1,MATCH(COLUMNS($AM$1006:AV1006),$AM$1006:$BM$1006,0)))),"Fix")))</f>
        <v xml:space="preserve"> </v>
      </c>
      <c r="L788" s="4" t="str">
        <f ca="1">IF(OR(INDEX($AG$2:$AG$1001,MATCH(ROWS($AF$2:AF788),$AF$2:$AF$1001,0),1)&gt;=100000,INDEX($AM$1005:$BM$1005,1,MATCH(COLUMNS($AM$1006:AW1006),$AM$1006:$BM$1006,0))&gt;=100000), " ",IF(INDEX($AM$2:$BM$1001,MATCH(ROWS($AF$2:AF788),$AF$2:$AF$1001,0),MATCH(COLUMNS($AM$1006:AW1006),$AM$1006:$BM$1006,0)), HYPERLINK("#",""), HYPERLINK(CONCATENATE("#metadata!", ADDRESS(INDEX($AH$2:$AH$1001,MATCH(ROWS($AF$2:AF788),$AF$2:$AF$1001,0),0), INDEX($AM$1004:$BM$1004,1,MATCH(COLUMNS($AM$1006:AW1006),$AM$1006:$BM$1006,0)))),"Fix")))</f>
        <v xml:space="preserve"> </v>
      </c>
      <c r="M788" s="4" t="str">
        <f ca="1">IF(OR(INDEX($AG$2:$AG$1001,MATCH(ROWS($AF$2:AF788),$AF$2:$AF$1001,0),1)&gt;=100000,INDEX($AM$1005:$BM$1005,1,MATCH(COLUMNS($AM$1006:AX1006),$AM$1006:$BM$1006,0))&gt;=100000), " ",IF(INDEX($AM$2:$BM$1001,MATCH(ROWS($AF$2:AF788),$AF$2:$AF$1001,0),MATCH(COLUMNS($AM$1006:AX1006),$AM$1006:$BM$1006,0)), HYPERLINK("#",""), HYPERLINK(CONCATENATE("#metadata!", ADDRESS(INDEX($AH$2:$AH$1001,MATCH(ROWS($AF$2:AF788),$AF$2:$AF$1001,0),0), INDEX($AM$1004:$BM$1004,1,MATCH(COLUMNS($AM$1006:AX1006),$AM$1006:$BM$1006,0)))),"Fix")))</f>
        <v xml:space="preserve"> </v>
      </c>
      <c r="N788" s="4" t="str">
        <f ca="1">IF(OR(INDEX($AG$2:$AG$1001,MATCH(ROWS($AF$2:AF788),$AF$2:$AF$1001,0),1)&gt;=100000,INDEX($AM$1005:$BM$1005,1,MATCH(COLUMNS($AM$1006:AY1006),$AM$1006:$BM$1006,0))&gt;=100000), " ",IF(INDEX($AM$2:$BM$1001,MATCH(ROWS($AF$2:AF788),$AF$2:$AF$1001,0),MATCH(COLUMNS($AM$1006:AY1006),$AM$1006:$BM$1006,0)), HYPERLINK("#",""), HYPERLINK(CONCATENATE("#metadata!", ADDRESS(INDEX($AH$2:$AH$1001,MATCH(ROWS($AF$2:AF788),$AF$2:$AF$1001,0),0), INDEX($AM$1004:$BM$1004,1,MATCH(COLUMNS($AM$1006:AY1006),$AM$1006:$BM$1006,0)))),"Fix")))</f>
        <v xml:space="preserve"> </v>
      </c>
      <c r="O788" s="4" t="str">
        <f ca="1">IF(OR(INDEX($AG$2:$AG$1001,MATCH(ROWS($AF$2:AF788),$AF$2:$AF$1001,0),1)&gt;=100000,INDEX($AM$1005:$BM$1005,1,MATCH(COLUMNS($AM$1006:AZ1006),$AM$1006:$BM$1006,0))&gt;=100000), " ",IF(INDEX($AM$2:$BM$1001,MATCH(ROWS($AF$2:AF788),$AF$2:$AF$1001,0),MATCH(COLUMNS($AM$1006:AZ1006),$AM$1006:$BM$1006,0)), HYPERLINK("#",""), HYPERLINK(CONCATENATE("#metadata!", ADDRESS(INDEX($AH$2:$AH$1001,MATCH(ROWS($AF$2:AF788),$AF$2:$AF$1001,0),0), INDEX($AM$1004:$BM$1004,1,MATCH(COLUMNS($AM$1006:AZ1006),$AM$1006:$BM$1006,0)))),"Fix")))</f>
        <v xml:space="preserve"> </v>
      </c>
      <c r="P788" s="4" t="str">
        <f ca="1">IF(OR(INDEX($AG$2:$AG$1001,MATCH(ROWS($AF$2:AF788),$AF$2:$AF$1001,0),1)&gt;=100000,INDEX($AM$1005:$BM$1005,1,MATCH(COLUMNS($AM$1006:BA1006),$AM$1006:$BM$1006,0))&gt;=100000), " ",IF(INDEX($AM$2:$BM$1001,MATCH(ROWS($AF$2:AF788),$AF$2:$AF$1001,0),MATCH(COLUMNS($AM$1006:BA1006),$AM$1006:$BM$1006,0)), HYPERLINK("#",""), HYPERLINK(CONCATENATE("#metadata!", ADDRESS(INDEX($AH$2:$AH$1001,MATCH(ROWS($AF$2:AF788),$AF$2:$AF$1001,0),0), INDEX($AM$1004:$BM$1004,1,MATCH(COLUMNS($AM$1006:BA1006),$AM$1006:$BM$1006,0)))),"Fix")))</f>
        <v xml:space="preserve"> </v>
      </c>
      <c r="Q788" s="4" t="str">
        <f ca="1">IF(OR(INDEX($AG$2:$AG$1001,MATCH(ROWS($AF$2:AF788),$AF$2:$AF$1001,0),1)&gt;=100000,INDEX($AM$1005:$BM$1005,1,MATCH(COLUMNS($AM$1006:BB1006),$AM$1006:$BM$1006,0))&gt;=100000), " ",IF(INDEX($AM$2:$BM$1001,MATCH(ROWS($AF$2:AF788),$AF$2:$AF$1001,0),MATCH(COLUMNS($AM$1006:BB1006),$AM$1006:$BM$1006,0)), HYPERLINK("#",""), HYPERLINK(CONCATENATE("#metadata!", ADDRESS(INDEX($AH$2:$AH$1001,MATCH(ROWS($AF$2:AF788),$AF$2:$AF$1001,0),0), INDEX($AM$1004:$BM$1004,1,MATCH(COLUMNS($AM$1006:BB1006),$AM$1006:$BM$1006,0)))),"Fix")))</f>
        <v xml:space="preserve"> </v>
      </c>
      <c r="R788" s="4" t="str">
        <f ca="1">IF(OR(INDEX($AG$2:$AG$1001,MATCH(ROWS($AF$2:AF788),$AF$2:$AF$1001,0),1)&gt;=100000,INDEX($AM$1005:$BM$1005,1,MATCH(COLUMNS($AM$1006:BC1006),$AM$1006:$BM$1006,0))&gt;=100000), " ",IF(INDEX($AM$2:$BM$1001,MATCH(ROWS($AF$2:AF788),$AF$2:$AF$1001,0),MATCH(COLUMNS($AM$1006:BC1006),$AM$1006:$BM$1006,0)), HYPERLINK("#",""), HYPERLINK(CONCATENATE("#metadata!", ADDRESS(INDEX($AH$2:$AH$1001,MATCH(ROWS($AF$2:AF788),$AF$2:$AF$1001,0),0), INDEX($AM$1004:$BM$1004,1,MATCH(COLUMNS($AM$1006:BC1006),$AM$1006:$BM$1006,0)))),"Fix")))</f>
        <v xml:space="preserve"> </v>
      </c>
      <c r="S788" s="4" t="str">
        <f ca="1">IF(OR(INDEX($AG$2:$AG$1001,MATCH(ROWS($AF$2:AF788),$AF$2:$AF$1001,0),1)&gt;=100000,INDEX($AM$1005:$BM$1005,1,MATCH(COLUMNS($AM$1006:BD1006),$AM$1006:$BM$1006,0))&gt;=100000), " ",IF(INDEX($AM$2:$BM$1001,MATCH(ROWS($AF$2:AF788),$AF$2:$AF$1001,0),MATCH(COLUMNS($AM$1006:BD1006),$AM$1006:$BM$1006,0)), HYPERLINK("#",""), HYPERLINK(CONCATENATE("#metadata!", ADDRESS(INDEX($AH$2:$AH$1001,MATCH(ROWS($AF$2:AF788),$AF$2:$AF$1001,0),0), INDEX($AM$1004:$BM$1004,1,MATCH(COLUMNS($AM$1006:BD1006),$AM$1006:$BM$1006,0)))),"Fix")))</f>
        <v xml:space="preserve"> </v>
      </c>
      <c r="T788" s="4" t="str">
        <f ca="1">IF(OR(INDEX($AG$2:$AG$1001,MATCH(ROWS($AF$2:AF788),$AF$2:$AF$1001,0),1)&gt;=100000,INDEX($AM$1005:$BM$1005,1,MATCH(COLUMNS($AM$1006:BE1006),$AM$1006:$BM$1006,0))&gt;=100000), " ",IF(INDEX($AM$2:$BM$1001,MATCH(ROWS($AF$2:AF788),$AF$2:$AF$1001,0),MATCH(COLUMNS($AM$1006:BE1006),$AM$1006:$BM$1006,0)), HYPERLINK("#",""), HYPERLINK(CONCATENATE("#metadata!", ADDRESS(INDEX($AH$2:$AH$1001,MATCH(ROWS($AF$2:AF788),$AF$2:$AF$1001,0),0), INDEX($AM$1004:$BM$1004,1,MATCH(COLUMNS($AM$1006:BE1006),$AM$1006:$BM$1006,0)))),"Fix")))</f>
        <v xml:space="preserve"> </v>
      </c>
      <c r="U788" s="4" t="str">
        <f ca="1">IF(OR(INDEX($AG$2:$AG$1001,MATCH(ROWS($AF$2:AF788),$AF$2:$AF$1001,0),1)&gt;=100000,INDEX($AM$1005:$BM$1005,1,MATCH(COLUMNS($AM$1006:BF1006),$AM$1006:$BM$1006,0))&gt;=100000), " ",IF(INDEX($AM$2:$BM$1001,MATCH(ROWS($AF$2:AF788),$AF$2:$AF$1001,0),MATCH(COLUMNS($AM$1006:BF1006),$AM$1006:$BM$1006,0)), HYPERLINK("#",""), HYPERLINK(CONCATENATE("#metadata!", ADDRESS(INDEX($AH$2:$AH$1001,MATCH(ROWS($AF$2:AF788),$AF$2:$AF$1001,0),0), INDEX($AM$1004:$BM$1004,1,MATCH(COLUMNS($AM$1006:BF1006),$AM$1006:$BM$1006,0)))),"Fix")))</f>
        <v xml:space="preserve"> </v>
      </c>
      <c r="V788" s="4" t="str">
        <f ca="1">IF(OR(INDEX($AG$2:$AG$1001,MATCH(ROWS($AF$2:AF788),$AF$2:$AF$1001,0),1)&gt;=100000,INDEX($AM$1005:$BM$1005,1,MATCH(COLUMNS($AM$1006:BG1006),$AM$1006:$BM$1006,0))&gt;=100000), " ",IF(INDEX($AM$2:$BM$1001,MATCH(ROWS($AF$2:AF788),$AF$2:$AF$1001,0),MATCH(COLUMNS($AM$1006:BG1006),$AM$1006:$BM$1006,0)), HYPERLINK("#",""), HYPERLINK(CONCATENATE("#metadata!", ADDRESS(INDEX($AH$2:$AH$1001,MATCH(ROWS($AF$2:AF788),$AF$2:$AF$1001,0),0), INDEX($AM$1004:$BM$1004,1,MATCH(COLUMNS($AM$1006:BG1006),$AM$1006:$BM$1006,0)))),"Fix")))</f>
        <v xml:space="preserve"> </v>
      </c>
      <c r="W788" s="4" t="str">
        <f ca="1">IF(OR(INDEX($AG$2:$AG$1001,MATCH(ROWS($AF$2:AF788),$AF$2:$AF$1001,0),1)&gt;=100000,INDEX($AM$1005:$BM$1005,1,MATCH(COLUMNS($AM$1006:BH1006),$AM$1006:$BM$1006,0))&gt;=100000), " ",IF(INDEX($AM$2:$BM$1001,MATCH(ROWS($AF$2:AF788),$AF$2:$AF$1001,0),MATCH(COLUMNS($AM$1006:BH1006),$AM$1006:$BM$1006,0)), HYPERLINK("#",""), HYPERLINK(CONCATENATE("#metadata!", ADDRESS(INDEX($AH$2:$AH$1001,MATCH(ROWS($AF$2:AF788),$AF$2:$AF$1001,0),0), INDEX($AM$1004:$BM$1004,1,MATCH(COLUMNS($AM$1006:BH1006),$AM$1006:$BM$1006,0)))),"Fix")))</f>
        <v xml:space="preserve"> </v>
      </c>
      <c r="X788" s="4" t="str">
        <f ca="1">IF(OR(INDEX($AG$2:$AG$1001,MATCH(ROWS($AF$2:AF788),$AF$2:$AF$1001,0),1)&gt;=100000,INDEX($AM$1005:$BM$1005,1,MATCH(COLUMNS($AM$1006:BI1006),$AM$1006:$BM$1006,0))&gt;=100000), " ",IF(INDEX($AM$2:$BM$1001,MATCH(ROWS($AF$2:AF788),$AF$2:$AF$1001,0),MATCH(COLUMNS($AM$1006:BI1006),$AM$1006:$BM$1006,0)), HYPERLINK("#",""), HYPERLINK(CONCATENATE("#metadata!", ADDRESS(INDEX($AH$2:$AH$1001,MATCH(ROWS($AF$2:AF788),$AF$2:$AF$1001,0),0), INDEX($AM$1004:$BM$1004,1,MATCH(COLUMNS($AM$1006:BI1006),$AM$1006:$BM$1006,0)))),"Fix")))</f>
        <v xml:space="preserve"> </v>
      </c>
      <c r="Y788" s="4" t="str">
        <f ca="1">IF(OR(INDEX($AG$2:$AG$1001,MATCH(ROWS($AF$2:AF788),$AF$2:$AF$1001,0),1)&gt;=100000,INDEX($AM$1005:$BM$1005,1,MATCH(COLUMNS($AM$1006:BJ1006),$AM$1006:$BM$1006,0))&gt;=100000), " ",IF(INDEX($AM$2:$BM$1001,MATCH(ROWS($AF$2:AF788),$AF$2:$AF$1001,0),MATCH(COLUMNS($AM$1006:BJ1006),$AM$1006:$BM$1006,0)), HYPERLINK("#",""), HYPERLINK(CONCATENATE("#metadata!", ADDRESS(INDEX($AH$2:$AH$1001,MATCH(ROWS($AF$2:AF788),$AF$2:$AF$1001,0),0), INDEX($AM$1004:$BM$1004,1,MATCH(COLUMNS($AM$1006:BJ1006),$AM$1006:$BM$1006,0)))),"Fix")))</f>
        <v xml:space="preserve"> </v>
      </c>
      <c r="Z788" s="4" t="str">
        <f ca="1">IF(OR(INDEX($AG$2:$AG$1001,MATCH(ROWS($AF$2:AF788),$AF$2:$AF$1001,0),1)&gt;=100000,INDEX($AM$1005:$BM$1005,1,MATCH(COLUMNS($AM$1006:BK1006),$AM$1006:$BM$1006,0))&gt;=100000), " ",IF(INDEX($AM$2:$BM$1001,MATCH(ROWS($AF$2:AF788),$AF$2:$AF$1001,0),MATCH(COLUMNS($AM$1006:BK1006),$AM$1006:$BM$1006,0)), HYPERLINK("#",""), HYPERLINK(CONCATENATE("#metadata!", ADDRESS(INDEX($AH$2:$AH$1001,MATCH(ROWS($AF$2:AF788),$AF$2:$AF$1001,0),0), INDEX($AM$1004:$BM$1004,1,MATCH(COLUMNS($AM$1006:BK1006),$AM$1006:$BM$1006,0)))),"Fix")))</f>
        <v xml:space="preserve"> </v>
      </c>
      <c r="AA788" s="4" t="str">
        <f ca="1">IF(OR(INDEX($AG$2:$AG$1001,MATCH(ROWS($AF$2:AF788),$AF$2:$AF$1001,0),1)&gt;=100000,INDEX($AM$1005:$BM$1005,1,MATCH(COLUMNS($AM$1006:BL1006),$AM$1006:$BM$1006,0))&gt;=100000), " ",IF(INDEX($AM$2:$BM$1001,MATCH(ROWS($AF$2:AF788),$AF$2:$AF$1001,0),MATCH(COLUMNS($AM$1006:BL1006),$AM$1006:$BM$1006,0)), HYPERLINK("#",""), HYPERLINK(CONCATENATE("#metadata!", ADDRESS(INDEX($AH$2:$AH$1001,MATCH(ROWS($AF$2:AF788),$AF$2:$AF$1001,0),0), INDEX($AM$1004:$BM$1004,1,MATCH(COLUMNS($AM$1006:BL1006),$AM$1006:$BM$1006,0)))),"Fix")))</f>
        <v xml:space="preserve"> </v>
      </c>
      <c r="AB788" s="4" t="str">
        <f ca="1">IF(OR(INDEX($AG$2:$AG$1001,MATCH(ROWS($AF$2:AF788),$AF$2:$AF$1001,0),1)&gt;=100000,INDEX($AM$1005:$BM$1005,1,MATCH(COLUMNS($AM$1006:BM1006),$AM$1006:$BM$1006,0))&gt;=100000), " ",IF(INDEX($AM$2:$BM$1001,MATCH(ROWS($AF$2:AF788),$AF$2:$AF$1001,0),MATCH(COLUMNS($AM$1006:BM1006),$AM$1006:$BM$1006,0)), HYPERLINK("#",""), HYPERLINK(CONCATENATE("#metadata!", ADDRESS(INDEX($AH$2:$AH$1001,MATCH(ROWS($AF$2:AF788),$AF$2:$AF$1001,0),0), INDEX($AM$1004:$BM$1004,1,MATCH(COLUMNS($AM$1006:BM1006),$AM$1006:$BM$1006,0)))),"Fix")))</f>
        <v xml:space="preserve"> </v>
      </c>
      <c r="AF788">
        <v>787</v>
      </c>
      <c r="AG788">
        <v>100788</v>
      </c>
      <c r="AH788">
        <v>788</v>
      </c>
      <c r="AI788" t="b">
        <f t="shared" si="12"/>
        <v>1</v>
      </c>
      <c r="AJ788" t="b">
        <f>COUNTBLANK(metadata!B788:AB788)=COLUMNS(metadata!B788:AB788)</f>
        <v>1</v>
      </c>
      <c r="AK788" t="str">
        <v/>
      </c>
      <c r="AM788" t="b">
        <f ca="1">AND(IF(metadata!B788="",FALSE,TRUE),COUNTIF(metadata!B:B, metadata!B788) = 1,NOT(ISERROR(SUMPRODUCT(SEARCH(MID(metadata!B788,ROW(INDIRECT("1:"&amp;LEN(metadata!B788))), 1),"0123456789abcdefghijklmnopqrstuvwxyzABCDEFGHIJKLMNOPQRSTUVWXYZ.")))))</f>
        <v>0</v>
      </c>
      <c r="AN788" t="b">
        <f ca="1">OR(AND(IF(metadata!C788="",FALSE,TRUE),OR(EXACT(metadata!C788,"missing: not collected"),EXACT(metadata!C788,"missing: not provided"),EXACT(metadata!C788,"missing: restricted access"))),AND(IF(metadata!C788="",FALSE,TRUE),AND(AND(IFERROR(INT(LEFT(metadata!C788,4))&gt;1900,FALSE),IFERROR(INT(LEFT(metadata!C788,4))&lt;=YEAR(NOW()),FALSE)), OR(MID(metadata!C788,5,1)="", AND(AND(MID(metadata!C788,5,1)="-",IFERROR(INT(MID(metadata!C788,6,1))&gt;=0,FALSE),IFERROR(INT(MID(metadata!C788,6,1))&lt;=1,FALSE),NOT(MID(metadata!C788,7,1)=""),IFERROR(INT(MID(metadata!C788,6,2))&gt;=1,FALSE),IFERROR(INT(MID(metadata!C788,6,2))&lt;=12,FALSE)), OR(MID(metadata!C788,8,1)="", AND(AND(MID(metadata!C788,8,1)="-",IFERROR(INT(MID(metadata!C788,9,1))&gt;=0,FALSE),IFERROR(INT(MID(metadata!C788,9,1))&lt;=3,FALSE),NOT(MID(metadata!C788,10,1)=""),IFERROR(INT(MID(metadata!C788,9,2))&gt;=1,FALSE),IFERROR(INT(MID(metadata!C788,9,2))&lt;=31,FALSE)), OR(MID(metadata!C788,11,1)="", AND(AND(MID(metadata!C788,11,1)=" ",IFERROR(INT(MID(metadata!C788,12,1))&gt;=0,FALSE),IFERROR(INT(MID(metadata!C788,12,1))&lt;=2,FALSE),NOT(MID(metadata!C788,13,1)=""),IFERROR(INT(MID(metadata!C788,12,2))&gt;=0,FALSE),IFERROR(INT(MID(metadata!C788,12,2))&lt;=23,FALSE)), OR(MID(metadata!C788,14,1)="", AND(AND(MID(metadata!C788,14,1)=":",IFERROR(INT(MID(metadata!C788,15,1))&gt;=0,FALSE),IFERROR(INT(MID(metadata!C788,15,1))&lt;=5,FALSE),NOT(MID(metadata!C788,16,1)=""),IFERROR(INT(MID(metadata!C788,15,2))&gt;=0,FALSE),IFERROR(INT(MID(metadata!C788,15,2))&lt;=59,FALSE)), OR(MID(metadata!C788,17,1)="", AND(AND(MID(metadata!C788,17,1)=":",IFERROR(INT(MID(metadata!C788,18,1))&gt;=0,FALSE),IFERROR(INT(MID(metadata!C788,18,1))&lt;=5,FALSE),NOT(MID(metadata!C788,19,1)=""),IFERROR(INT(MID(metadata!C788,18,2))&gt;=0,FALSE),IFERROR(INT(MID(metadata!C788,18,2))&lt;=59,FALSE)), LEN(metadata!C788)&lt;=19)))))))))))))</f>
        <v>0</v>
      </c>
      <c r="AO788" t="b">
        <f>AND(IF(metadata!D788="",FALSE,TRUE),EXACT(metadata!D788,"Not applicable"))</f>
        <v>0</v>
      </c>
      <c r="AP788" t="b">
        <f>IF(metadata!E788="",FALSE,TRUE)</f>
        <v>0</v>
      </c>
      <c r="AQ788" t="b">
        <f>OR(AND(IF(metadata!F788="",FALSE,TRUE),OR(EXACT(metadata!F788,"missing: not collected"),EXACT(metadata!F788,"missing: not provided"))),AND(IF(metadata!F788="",FALSE,TRUE),OR(EXACT(metadata!F788,"TRUE"),EXACT(metadata!F788,"FALSE"))))</f>
        <v>0</v>
      </c>
      <c r="AR788" t="b">
        <f>OR(AND(IF(metadata!G788="",FALSE,TRUE),OR(EXACT(metadata!G788,"missing: not collected"),EXACT(metadata!G788,"missing: not provided"),EXACT(metadata!G788,"missing: restricted access"))),AND(IF(metadata!G788="",FALSE,ISNUMBER(VALUE(metadata!G788))),metadata!G788&gt;=-413))</f>
        <v>0</v>
      </c>
      <c r="AS788" t="b">
        <f>AND(IF(metadata!H788="",FALSE,TRUE),EXACT(metadata!H788,"meters"))</f>
        <v>0</v>
      </c>
      <c r="AT788" t="b">
        <f>AND(IF(metadata!I788="",FALSE,TRUE),OR(EXACT(metadata!I788,"Host-associated"),EXACT(metadata!I788,"Free-living")))</f>
        <v>0</v>
      </c>
      <c r="AU788" t="b">
        <f>AND(IF(metadata!J788="",FALSE,TRUE),OR(EXACT(metadata!J788,"Animal"),EXACT(metadata!J788,"Fungus"),EXACT(metadata!J788,"Plant"),EXACT(metadata!J788,"Saline"),EXACT(metadata!J788,"Non-saline")))</f>
        <v>0</v>
      </c>
      <c r="AV788" t="b">
        <f>AND(IF(metadata!K788="",FALSE,TRUE),OR(EXACT(metadata!K788,"Plant secretion"),EXACT(metadata!K788,"Plant rhizosphere"),EXACT(metadata!K788,"Plant surface"),EXACT(metadata!K788,"Plant corpus"),EXACT(metadata!K788,"Fungus surface"),EXACT(metadata!K788,"Fungus corpus"),EXACT(metadata!K788,"Animal surface"),EXACT(metadata!K788,"Animal proximal gut"),EXACT(metadata!K788,"Animal corpus"),EXACT(metadata!K788,"Animal distal gut"),EXACT(metadata!K788,"Animal secretion"),EXACT(metadata!K788,"Sub-surface (non-saline)"),EXACT(metadata!K788,"Surface (non-saline)"),EXACT(metadata!K788,"Water (non-saline)"),EXACT(metadata!K788,"Soil (non-saline)"),EXACT(metadata!K788,"Aerosol (non-saline)"),EXACT(metadata!K788,"Sediment (non-saline)"),EXACT(metadata!K788,"Surface (saline)"),EXACT(metadata!K788,"Water (saline)"),EXACT(metadata!K788,"Hypersaline (saline)"),EXACT(metadata!K788,"Aerosol (saline)"),EXACT(metadata!K788,"Sediment (saline)")))</f>
        <v>0</v>
      </c>
      <c r="AW788" t="b">
        <f>IF(metadata!L788="",FALSE,TRUE)</f>
        <v>0</v>
      </c>
      <c r="AX788" t="b">
        <f>IF(metadata!M788="",FALSE,TRUE)</f>
        <v>0</v>
      </c>
      <c r="AY788" t="b">
        <f>IF(metadata!N788="",FALSE,TRUE)</f>
        <v>0</v>
      </c>
      <c r="AZ788" t="b">
        <f>OR(AND(IF(metadata!O788="",FALSE,TRUE),OR(EXACT(metadata!O788,"missing: not collected"),EXACT(metadata!O788,"missing: not provided"),EXACT(metadata!O788,"missing: restricted access"))),AND(IF(metadata!O788="",FALSE,TRUE),OR(EXACT(metadata!O788,"air"),EXACT(metadata!O788,"built environment"),EXACT(metadata!O788,"host-associated"),EXACT(metadata!O788,"human-associated"),EXACT(metadata!O788,"human-skin"),EXACT(metadata!O788,"human-oral"),EXACT(metadata!O788,"human-gut"),EXACT(metadata!O788,"human-vaginal"),EXACT(metadata!O788,"microbial mat/biofilm"),EXACT(metadata!O788,"misc environment"),EXACT(metadata!O788,"plant-associated"),EXACT(metadata!O788,"sediment"),EXACT(metadata!O788,"soil"),EXACT(metadata!O788,"wastewater/sludge"),EXACT(metadata!O788,"water"))))</f>
        <v>0</v>
      </c>
      <c r="BA788" t="b">
        <f>IF(metadata!P788="",FALSE,TRUE)</f>
        <v>0</v>
      </c>
      <c r="BB788" t="b">
        <f>IF(metadata!Q788="",FALSE,TRUE)</f>
        <v>0</v>
      </c>
      <c r="BC788" t="b">
        <f>OR(AND(IF(metadata!R788="",FALSE,TRUE),OR(EXACT(metadata!R788,"missing: not collected"),EXACT(metadata!R788,"missing: not provided"),EXACT(metadata!R788,"missing: restricted access"))),AND(IF(metadata!R788="",FALSE,ISNUMBER(VALUE(metadata!R788))),metadata!R788&gt;=-90,metadata!R788&lt;=90))</f>
        <v>0</v>
      </c>
      <c r="BD788" t="b">
        <f>AND(IF(metadata!S788="",FALSE,TRUE),EXACT(metadata!S788,"Decimal degrees"))</f>
        <v>0</v>
      </c>
      <c r="BE788" t="b">
        <f>OR(AND(IF(metadata!T788="",FALSE,TRUE),OR(EXACT(metadata!T788,"missing: not collected"),EXACT(metadata!T788,"missing: not provided"),EXACT(metadata!T788,"missing: restricted access"))),AND(IF(metadata!T788="",FALSE,ISNUMBER(VALUE(metadata!T788))),metadata!T788&gt;=-180,metadata!T788&lt;=180))</f>
        <v>0</v>
      </c>
      <c r="BF788" t="b">
        <f>AND(IF(metadata!U788="",FALSE,TRUE),EXACT(metadata!U788,"Decimal degrees"))</f>
        <v>0</v>
      </c>
      <c r="BG788" t="b">
        <f>IF(metadata!V788="",FALSE,TRUE)</f>
        <v>0</v>
      </c>
      <c r="BH788" t="b">
        <f>OR(AND(IF(metadata!W788="",FALSE,TRUE),OR(EXACT(metadata!W788,"missing: not collected"),EXACT(metadata!W788,"missing: not provided"),EXACT(metadata!W788,"missing: restricted access"))),AND(IF(metadata!W788="",FALSE,TRUE),OR(EXACT(metadata!W788,"TRUE"),EXACT(metadata!W788,"FALSE"))))</f>
        <v>0</v>
      </c>
      <c r="BI788" t="b">
        <f>AND(IF(metadata!X788="",FALSE,TRUE),EXACT(metadata!X788,"other"))</f>
        <v>0</v>
      </c>
      <c r="BJ788" t="b">
        <f>IF(metadata!Y788="",FALSE,TRUE)</f>
        <v>0</v>
      </c>
      <c r="BK788" t="b">
        <f>OR(AND(IF(metadata!Z788="",FALSE,TRUE),OR(EXACT(metadata!Z788,"missing: not collected"),EXACT(metadata!Z788,"missing: not provided"))),AND(IF(metadata!Z788="",FALSE,IF(ISERROR(INT(metadata!Z788)),FALSE,INT(metadata!Z788)=metadata!Z788)),metadata!Z788&gt;0))</f>
        <v>0</v>
      </c>
      <c r="BL788" t="b">
        <f>AND(IF(metadata!AA788="",FALSE,TRUE),EXACT(metadata!AA788,"Not applicable"))</f>
        <v>0</v>
      </c>
      <c r="BM788" t="b">
        <f>IF(metadata!AB788="",FALSE,TRUE)</f>
        <v>0</v>
      </c>
    </row>
    <row r="789" spans="1:65" x14ac:dyDescent="0.2">
      <c r="A789" s="5" t="str">
        <f ca="1">IF(B789=" "," ",HYPERLINK(CONCATENATE("#metadata!",ADDRESS(INDEX($AH$2:$AH$1001,MATCH(ROWS($AF$2:AF789),$AF$2:$AF$1001,0),0),1)),INDEX($AK$2:$AK$1001,MATCH(ROWS($AF$2:AF789),$AF$2:$AF$1001,0),0)))</f>
        <v xml:space="preserve"> </v>
      </c>
      <c r="B789" s="4" t="str">
        <f ca="1">IF(OR(INDEX($AG$2:$AG$1001,MATCH(ROWS($AF$2:AF789),$AF$2:$AF$1001,0),1)&gt;=100000,INDEX($AM$1005:$BM$1005,1,MATCH(COLUMNS($AM$1006:AM1006),$AM$1006:$BM$1006,0))&gt;=100000), " ",IF(INDEX($AM$2:$BM$1001,MATCH(ROWS($AF$2:AF789),$AF$2:$AF$1001,0),MATCH(COLUMNS($AM$1006:AM1006),$AM$1006:$BM$1006,0)), HYPERLINK("#",""), HYPERLINK(CONCATENATE("#metadata!", ADDRESS(INDEX($AH$2:$AH$1001,MATCH(ROWS($AF$2:AF789),$AF$2:$AF$1001,0),0), INDEX($AM$1004:$BM$1004,1,MATCH(COLUMNS($AM$1006:AM1006),$AM$1006:$BM$1006,0)))),"Fix")))</f>
        <v xml:space="preserve"> </v>
      </c>
      <c r="C789" s="4" t="str">
        <f ca="1">IF(OR(INDEX($AG$2:$AG$1001,MATCH(ROWS($AF$2:AF789),$AF$2:$AF$1001,0),1)&gt;=100000,INDEX($AM$1005:$BM$1005,1,MATCH(COLUMNS($AM$1006:AN1006),$AM$1006:$BM$1006,0))&gt;=100000), " ",IF(INDEX($AM$2:$BM$1001,MATCH(ROWS($AF$2:AF789),$AF$2:$AF$1001,0),MATCH(COLUMNS($AM$1006:AN1006),$AM$1006:$BM$1006,0)), HYPERLINK("#",""), HYPERLINK(CONCATENATE("#metadata!", ADDRESS(INDEX($AH$2:$AH$1001,MATCH(ROWS($AF$2:AF789),$AF$2:$AF$1001,0),0), INDEX($AM$1004:$BM$1004,1,MATCH(COLUMNS($AM$1006:AN1006),$AM$1006:$BM$1006,0)))),"Fix")))</f>
        <v xml:space="preserve"> </v>
      </c>
      <c r="D789" s="4" t="str">
        <f ca="1">IF(OR(INDEX($AG$2:$AG$1001,MATCH(ROWS($AF$2:AF789),$AF$2:$AF$1001,0),1)&gt;=100000,INDEX($AM$1005:$BM$1005,1,MATCH(COLUMNS($AM$1006:AO1006),$AM$1006:$BM$1006,0))&gt;=100000), " ",IF(INDEX($AM$2:$BM$1001,MATCH(ROWS($AF$2:AF789),$AF$2:$AF$1001,0),MATCH(COLUMNS($AM$1006:AO1006),$AM$1006:$BM$1006,0)), HYPERLINK("#",""), HYPERLINK(CONCATENATE("#metadata!", ADDRESS(INDEX($AH$2:$AH$1001,MATCH(ROWS($AF$2:AF789),$AF$2:$AF$1001,0),0), INDEX($AM$1004:$BM$1004,1,MATCH(COLUMNS($AM$1006:AO1006),$AM$1006:$BM$1006,0)))),"Fix")))</f>
        <v xml:space="preserve"> </v>
      </c>
      <c r="E789" s="4" t="str">
        <f ca="1">IF(OR(INDEX($AG$2:$AG$1001,MATCH(ROWS($AF$2:AF789),$AF$2:$AF$1001,0),1)&gt;=100000,INDEX($AM$1005:$BM$1005,1,MATCH(COLUMNS($AM$1006:AP1006),$AM$1006:$BM$1006,0))&gt;=100000), " ",IF(INDEX($AM$2:$BM$1001,MATCH(ROWS($AF$2:AF789),$AF$2:$AF$1001,0),MATCH(COLUMNS($AM$1006:AP1006),$AM$1006:$BM$1006,0)), HYPERLINK("#",""), HYPERLINK(CONCATENATE("#metadata!", ADDRESS(INDEX($AH$2:$AH$1001,MATCH(ROWS($AF$2:AF789),$AF$2:$AF$1001,0),0), INDEX($AM$1004:$BM$1004,1,MATCH(COLUMNS($AM$1006:AP1006),$AM$1006:$BM$1006,0)))),"Fix")))</f>
        <v xml:space="preserve"> </v>
      </c>
      <c r="F789" s="4" t="str">
        <f ca="1">IF(OR(INDEX($AG$2:$AG$1001,MATCH(ROWS($AF$2:AF789),$AF$2:$AF$1001,0),1)&gt;=100000,INDEX($AM$1005:$BM$1005,1,MATCH(COLUMNS($AM$1006:AQ1006),$AM$1006:$BM$1006,0))&gt;=100000), " ",IF(INDEX($AM$2:$BM$1001,MATCH(ROWS($AF$2:AF789),$AF$2:$AF$1001,0),MATCH(COLUMNS($AM$1006:AQ1006),$AM$1006:$BM$1006,0)), HYPERLINK("#",""), HYPERLINK(CONCATENATE("#metadata!", ADDRESS(INDEX($AH$2:$AH$1001,MATCH(ROWS($AF$2:AF789),$AF$2:$AF$1001,0),0), INDEX($AM$1004:$BM$1004,1,MATCH(COLUMNS($AM$1006:AQ1006),$AM$1006:$BM$1006,0)))),"Fix")))</f>
        <v xml:space="preserve"> </v>
      </c>
      <c r="G789" s="4" t="str">
        <f ca="1">IF(OR(INDEX($AG$2:$AG$1001,MATCH(ROWS($AF$2:AF789),$AF$2:$AF$1001,0),1)&gt;=100000,INDEX($AM$1005:$BM$1005,1,MATCH(COLUMNS($AM$1006:AR1006),$AM$1006:$BM$1006,0))&gt;=100000), " ",IF(INDEX($AM$2:$BM$1001,MATCH(ROWS($AF$2:AF789),$AF$2:$AF$1001,0),MATCH(COLUMNS($AM$1006:AR1006),$AM$1006:$BM$1006,0)), HYPERLINK("#",""), HYPERLINK(CONCATENATE("#metadata!", ADDRESS(INDEX($AH$2:$AH$1001,MATCH(ROWS($AF$2:AF789),$AF$2:$AF$1001,0),0), INDEX($AM$1004:$BM$1004,1,MATCH(COLUMNS($AM$1006:AR1006),$AM$1006:$BM$1006,0)))),"Fix")))</f>
        <v xml:space="preserve"> </v>
      </c>
      <c r="H789" s="4" t="str">
        <f ca="1">IF(OR(INDEX($AG$2:$AG$1001,MATCH(ROWS($AF$2:AF789),$AF$2:$AF$1001,0),1)&gt;=100000,INDEX($AM$1005:$BM$1005,1,MATCH(COLUMNS($AM$1006:AS1006),$AM$1006:$BM$1006,0))&gt;=100000), " ",IF(INDEX($AM$2:$BM$1001,MATCH(ROWS($AF$2:AF789),$AF$2:$AF$1001,0),MATCH(COLUMNS($AM$1006:AS1006),$AM$1006:$BM$1006,0)), HYPERLINK("#",""), HYPERLINK(CONCATENATE("#metadata!", ADDRESS(INDEX($AH$2:$AH$1001,MATCH(ROWS($AF$2:AF789),$AF$2:$AF$1001,0),0), INDEX($AM$1004:$BM$1004,1,MATCH(COLUMNS($AM$1006:AS1006),$AM$1006:$BM$1006,0)))),"Fix")))</f>
        <v xml:space="preserve"> </v>
      </c>
      <c r="I789" s="4" t="str">
        <f ca="1">IF(OR(INDEX($AG$2:$AG$1001,MATCH(ROWS($AF$2:AF789),$AF$2:$AF$1001,0),1)&gt;=100000,INDEX($AM$1005:$BM$1005,1,MATCH(COLUMNS($AM$1006:AT1006),$AM$1006:$BM$1006,0))&gt;=100000), " ",IF(INDEX($AM$2:$BM$1001,MATCH(ROWS($AF$2:AF789),$AF$2:$AF$1001,0),MATCH(COLUMNS($AM$1006:AT1006),$AM$1006:$BM$1006,0)), HYPERLINK("#",""), HYPERLINK(CONCATENATE("#metadata!", ADDRESS(INDEX($AH$2:$AH$1001,MATCH(ROWS($AF$2:AF789),$AF$2:$AF$1001,0),0), INDEX($AM$1004:$BM$1004,1,MATCH(COLUMNS($AM$1006:AT1006),$AM$1006:$BM$1006,0)))),"Fix")))</f>
        <v xml:space="preserve"> </v>
      </c>
      <c r="J789" s="4" t="str">
        <f ca="1">IF(OR(INDEX($AG$2:$AG$1001,MATCH(ROWS($AF$2:AF789),$AF$2:$AF$1001,0),1)&gt;=100000,INDEX($AM$1005:$BM$1005,1,MATCH(COLUMNS($AM$1006:AU1006),$AM$1006:$BM$1006,0))&gt;=100000), " ",IF(INDEX($AM$2:$BM$1001,MATCH(ROWS($AF$2:AF789),$AF$2:$AF$1001,0),MATCH(COLUMNS($AM$1006:AU1006),$AM$1006:$BM$1006,0)), HYPERLINK("#",""), HYPERLINK(CONCATENATE("#metadata!", ADDRESS(INDEX($AH$2:$AH$1001,MATCH(ROWS($AF$2:AF789),$AF$2:$AF$1001,0),0), INDEX($AM$1004:$BM$1004,1,MATCH(COLUMNS($AM$1006:AU1006),$AM$1006:$BM$1006,0)))),"Fix")))</f>
        <v xml:space="preserve"> </v>
      </c>
      <c r="K789" s="4" t="str">
        <f ca="1">IF(OR(INDEX($AG$2:$AG$1001,MATCH(ROWS($AF$2:AF789),$AF$2:$AF$1001,0),1)&gt;=100000,INDEX($AM$1005:$BM$1005,1,MATCH(COLUMNS($AM$1006:AV1006),$AM$1006:$BM$1006,0))&gt;=100000), " ",IF(INDEX($AM$2:$BM$1001,MATCH(ROWS($AF$2:AF789),$AF$2:$AF$1001,0),MATCH(COLUMNS($AM$1006:AV1006),$AM$1006:$BM$1006,0)), HYPERLINK("#",""), HYPERLINK(CONCATENATE("#metadata!", ADDRESS(INDEX($AH$2:$AH$1001,MATCH(ROWS($AF$2:AF789),$AF$2:$AF$1001,0),0), INDEX($AM$1004:$BM$1004,1,MATCH(COLUMNS($AM$1006:AV1006),$AM$1006:$BM$1006,0)))),"Fix")))</f>
        <v xml:space="preserve"> </v>
      </c>
      <c r="L789" s="4" t="str">
        <f ca="1">IF(OR(INDEX($AG$2:$AG$1001,MATCH(ROWS($AF$2:AF789),$AF$2:$AF$1001,0),1)&gt;=100000,INDEX($AM$1005:$BM$1005,1,MATCH(COLUMNS($AM$1006:AW1006),$AM$1006:$BM$1006,0))&gt;=100000), " ",IF(INDEX($AM$2:$BM$1001,MATCH(ROWS($AF$2:AF789),$AF$2:$AF$1001,0),MATCH(COLUMNS($AM$1006:AW1006),$AM$1006:$BM$1006,0)), HYPERLINK("#",""), HYPERLINK(CONCATENATE("#metadata!", ADDRESS(INDEX($AH$2:$AH$1001,MATCH(ROWS($AF$2:AF789),$AF$2:$AF$1001,0),0), INDEX($AM$1004:$BM$1004,1,MATCH(COLUMNS($AM$1006:AW1006),$AM$1006:$BM$1006,0)))),"Fix")))</f>
        <v xml:space="preserve"> </v>
      </c>
      <c r="M789" s="4" t="str">
        <f ca="1">IF(OR(INDEX($AG$2:$AG$1001,MATCH(ROWS($AF$2:AF789),$AF$2:$AF$1001,0),1)&gt;=100000,INDEX($AM$1005:$BM$1005,1,MATCH(COLUMNS($AM$1006:AX1006),$AM$1006:$BM$1006,0))&gt;=100000), " ",IF(INDEX($AM$2:$BM$1001,MATCH(ROWS($AF$2:AF789),$AF$2:$AF$1001,0),MATCH(COLUMNS($AM$1006:AX1006),$AM$1006:$BM$1006,0)), HYPERLINK("#",""), HYPERLINK(CONCATENATE("#metadata!", ADDRESS(INDEX($AH$2:$AH$1001,MATCH(ROWS($AF$2:AF789),$AF$2:$AF$1001,0),0), INDEX($AM$1004:$BM$1004,1,MATCH(COLUMNS($AM$1006:AX1006),$AM$1006:$BM$1006,0)))),"Fix")))</f>
        <v xml:space="preserve"> </v>
      </c>
      <c r="N789" s="4" t="str">
        <f ca="1">IF(OR(INDEX($AG$2:$AG$1001,MATCH(ROWS($AF$2:AF789),$AF$2:$AF$1001,0),1)&gt;=100000,INDEX($AM$1005:$BM$1005,1,MATCH(COLUMNS($AM$1006:AY1006),$AM$1006:$BM$1006,0))&gt;=100000), " ",IF(INDEX($AM$2:$BM$1001,MATCH(ROWS($AF$2:AF789),$AF$2:$AF$1001,0),MATCH(COLUMNS($AM$1006:AY1006),$AM$1006:$BM$1006,0)), HYPERLINK("#",""), HYPERLINK(CONCATENATE("#metadata!", ADDRESS(INDEX($AH$2:$AH$1001,MATCH(ROWS($AF$2:AF789),$AF$2:$AF$1001,0),0), INDEX($AM$1004:$BM$1004,1,MATCH(COLUMNS($AM$1006:AY1006),$AM$1006:$BM$1006,0)))),"Fix")))</f>
        <v xml:space="preserve"> </v>
      </c>
      <c r="O789" s="4" t="str">
        <f ca="1">IF(OR(INDEX($AG$2:$AG$1001,MATCH(ROWS($AF$2:AF789),$AF$2:$AF$1001,0),1)&gt;=100000,INDEX($AM$1005:$BM$1005,1,MATCH(COLUMNS($AM$1006:AZ1006),$AM$1006:$BM$1006,0))&gt;=100000), " ",IF(INDEX($AM$2:$BM$1001,MATCH(ROWS($AF$2:AF789),$AF$2:$AF$1001,0),MATCH(COLUMNS($AM$1006:AZ1006),$AM$1006:$BM$1006,0)), HYPERLINK("#",""), HYPERLINK(CONCATENATE("#metadata!", ADDRESS(INDEX($AH$2:$AH$1001,MATCH(ROWS($AF$2:AF789),$AF$2:$AF$1001,0),0), INDEX($AM$1004:$BM$1004,1,MATCH(COLUMNS($AM$1006:AZ1006),$AM$1006:$BM$1006,0)))),"Fix")))</f>
        <v xml:space="preserve"> </v>
      </c>
      <c r="P789" s="4" t="str">
        <f ca="1">IF(OR(INDEX($AG$2:$AG$1001,MATCH(ROWS($AF$2:AF789),$AF$2:$AF$1001,0),1)&gt;=100000,INDEX($AM$1005:$BM$1005,1,MATCH(COLUMNS($AM$1006:BA1006),$AM$1006:$BM$1006,0))&gt;=100000), " ",IF(INDEX($AM$2:$BM$1001,MATCH(ROWS($AF$2:AF789),$AF$2:$AF$1001,0),MATCH(COLUMNS($AM$1006:BA1006),$AM$1006:$BM$1006,0)), HYPERLINK("#",""), HYPERLINK(CONCATENATE("#metadata!", ADDRESS(INDEX($AH$2:$AH$1001,MATCH(ROWS($AF$2:AF789),$AF$2:$AF$1001,0),0), INDEX($AM$1004:$BM$1004,1,MATCH(COLUMNS($AM$1006:BA1006),$AM$1006:$BM$1006,0)))),"Fix")))</f>
        <v xml:space="preserve"> </v>
      </c>
      <c r="Q789" s="4" t="str">
        <f ca="1">IF(OR(INDEX($AG$2:$AG$1001,MATCH(ROWS($AF$2:AF789),$AF$2:$AF$1001,0),1)&gt;=100000,INDEX($AM$1005:$BM$1005,1,MATCH(COLUMNS($AM$1006:BB1006),$AM$1006:$BM$1006,0))&gt;=100000), " ",IF(INDEX($AM$2:$BM$1001,MATCH(ROWS($AF$2:AF789),$AF$2:$AF$1001,0),MATCH(COLUMNS($AM$1006:BB1006),$AM$1006:$BM$1006,0)), HYPERLINK("#",""), HYPERLINK(CONCATENATE("#metadata!", ADDRESS(INDEX($AH$2:$AH$1001,MATCH(ROWS($AF$2:AF789),$AF$2:$AF$1001,0),0), INDEX($AM$1004:$BM$1004,1,MATCH(COLUMNS($AM$1006:BB1006),$AM$1006:$BM$1006,0)))),"Fix")))</f>
        <v xml:space="preserve"> </v>
      </c>
      <c r="R789" s="4" t="str">
        <f ca="1">IF(OR(INDEX($AG$2:$AG$1001,MATCH(ROWS($AF$2:AF789),$AF$2:$AF$1001,0),1)&gt;=100000,INDEX($AM$1005:$BM$1005,1,MATCH(COLUMNS($AM$1006:BC1006),$AM$1006:$BM$1006,0))&gt;=100000), " ",IF(INDEX($AM$2:$BM$1001,MATCH(ROWS($AF$2:AF789),$AF$2:$AF$1001,0),MATCH(COLUMNS($AM$1006:BC1006),$AM$1006:$BM$1006,0)), HYPERLINK("#",""), HYPERLINK(CONCATENATE("#metadata!", ADDRESS(INDEX($AH$2:$AH$1001,MATCH(ROWS($AF$2:AF789),$AF$2:$AF$1001,0),0), INDEX($AM$1004:$BM$1004,1,MATCH(COLUMNS($AM$1006:BC1006),$AM$1006:$BM$1006,0)))),"Fix")))</f>
        <v xml:space="preserve"> </v>
      </c>
      <c r="S789" s="4" t="str">
        <f ca="1">IF(OR(INDEX($AG$2:$AG$1001,MATCH(ROWS($AF$2:AF789),$AF$2:$AF$1001,0),1)&gt;=100000,INDEX($AM$1005:$BM$1005,1,MATCH(COLUMNS($AM$1006:BD1006),$AM$1006:$BM$1006,0))&gt;=100000), " ",IF(INDEX($AM$2:$BM$1001,MATCH(ROWS($AF$2:AF789),$AF$2:$AF$1001,0),MATCH(COLUMNS($AM$1006:BD1006),$AM$1006:$BM$1006,0)), HYPERLINK("#",""), HYPERLINK(CONCATENATE("#metadata!", ADDRESS(INDEX($AH$2:$AH$1001,MATCH(ROWS($AF$2:AF789),$AF$2:$AF$1001,0),0), INDEX($AM$1004:$BM$1004,1,MATCH(COLUMNS($AM$1006:BD1006),$AM$1006:$BM$1006,0)))),"Fix")))</f>
        <v xml:space="preserve"> </v>
      </c>
      <c r="T789" s="4" t="str">
        <f ca="1">IF(OR(INDEX($AG$2:$AG$1001,MATCH(ROWS($AF$2:AF789),$AF$2:$AF$1001,0),1)&gt;=100000,INDEX($AM$1005:$BM$1005,1,MATCH(COLUMNS($AM$1006:BE1006),$AM$1006:$BM$1006,0))&gt;=100000), " ",IF(INDEX($AM$2:$BM$1001,MATCH(ROWS($AF$2:AF789),$AF$2:$AF$1001,0),MATCH(COLUMNS($AM$1006:BE1006),$AM$1006:$BM$1006,0)), HYPERLINK("#",""), HYPERLINK(CONCATENATE("#metadata!", ADDRESS(INDEX($AH$2:$AH$1001,MATCH(ROWS($AF$2:AF789),$AF$2:$AF$1001,0),0), INDEX($AM$1004:$BM$1004,1,MATCH(COLUMNS($AM$1006:BE1006),$AM$1006:$BM$1006,0)))),"Fix")))</f>
        <v xml:space="preserve"> </v>
      </c>
      <c r="U789" s="4" t="str">
        <f ca="1">IF(OR(INDEX($AG$2:$AG$1001,MATCH(ROWS($AF$2:AF789),$AF$2:$AF$1001,0),1)&gt;=100000,INDEX($AM$1005:$BM$1005,1,MATCH(COLUMNS($AM$1006:BF1006),$AM$1006:$BM$1006,0))&gt;=100000), " ",IF(INDEX($AM$2:$BM$1001,MATCH(ROWS($AF$2:AF789),$AF$2:$AF$1001,0),MATCH(COLUMNS($AM$1006:BF1006),$AM$1006:$BM$1006,0)), HYPERLINK("#",""), HYPERLINK(CONCATENATE("#metadata!", ADDRESS(INDEX($AH$2:$AH$1001,MATCH(ROWS($AF$2:AF789),$AF$2:$AF$1001,0),0), INDEX($AM$1004:$BM$1004,1,MATCH(COLUMNS($AM$1006:BF1006),$AM$1006:$BM$1006,0)))),"Fix")))</f>
        <v xml:space="preserve"> </v>
      </c>
      <c r="V789" s="4" t="str">
        <f ca="1">IF(OR(INDEX($AG$2:$AG$1001,MATCH(ROWS($AF$2:AF789),$AF$2:$AF$1001,0),1)&gt;=100000,INDEX($AM$1005:$BM$1005,1,MATCH(COLUMNS($AM$1006:BG1006),$AM$1006:$BM$1006,0))&gt;=100000), " ",IF(INDEX($AM$2:$BM$1001,MATCH(ROWS($AF$2:AF789),$AF$2:$AF$1001,0),MATCH(COLUMNS($AM$1006:BG1006),$AM$1006:$BM$1006,0)), HYPERLINK("#",""), HYPERLINK(CONCATENATE("#metadata!", ADDRESS(INDEX($AH$2:$AH$1001,MATCH(ROWS($AF$2:AF789),$AF$2:$AF$1001,0),0), INDEX($AM$1004:$BM$1004,1,MATCH(COLUMNS($AM$1006:BG1006),$AM$1006:$BM$1006,0)))),"Fix")))</f>
        <v xml:space="preserve"> </v>
      </c>
      <c r="W789" s="4" t="str">
        <f ca="1">IF(OR(INDEX($AG$2:$AG$1001,MATCH(ROWS($AF$2:AF789),$AF$2:$AF$1001,0),1)&gt;=100000,INDEX($AM$1005:$BM$1005,1,MATCH(COLUMNS($AM$1006:BH1006),$AM$1006:$BM$1006,0))&gt;=100000), " ",IF(INDEX($AM$2:$BM$1001,MATCH(ROWS($AF$2:AF789),$AF$2:$AF$1001,0),MATCH(COLUMNS($AM$1006:BH1006),$AM$1006:$BM$1006,0)), HYPERLINK("#",""), HYPERLINK(CONCATENATE("#metadata!", ADDRESS(INDEX($AH$2:$AH$1001,MATCH(ROWS($AF$2:AF789),$AF$2:$AF$1001,0),0), INDEX($AM$1004:$BM$1004,1,MATCH(COLUMNS($AM$1006:BH1006),$AM$1006:$BM$1006,0)))),"Fix")))</f>
        <v xml:space="preserve"> </v>
      </c>
      <c r="X789" s="4" t="str">
        <f ca="1">IF(OR(INDEX($AG$2:$AG$1001,MATCH(ROWS($AF$2:AF789),$AF$2:$AF$1001,0),1)&gt;=100000,INDEX($AM$1005:$BM$1005,1,MATCH(COLUMNS($AM$1006:BI1006),$AM$1006:$BM$1006,0))&gt;=100000), " ",IF(INDEX($AM$2:$BM$1001,MATCH(ROWS($AF$2:AF789),$AF$2:$AF$1001,0),MATCH(COLUMNS($AM$1006:BI1006),$AM$1006:$BM$1006,0)), HYPERLINK("#",""), HYPERLINK(CONCATENATE("#metadata!", ADDRESS(INDEX($AH$2:$AH$1001,MATCH(ROWS($AF$2:AF789),$AF$2:$AF$1001,0),0), INDEX($AM$1004:$BM$1004,1,MATCH(COLUMNS($AM$1006:BI1006),$AM$1006:$BM$1006,0)))),"Fix")))</f>
        <v xml:space="preserve"> </v>
      </c>
      <c r="Y789" s="4" t="str">
        <f ca="1">IF(OR(INDEX($AG$2:$AG$1001,MATCH(ROWS($AF$2:AF789),$AF$2:$AF$1001,0),1)&gt;=100000,INDEX($AM$1005:$BM$1005,1,MATCH(COLUMNS($AM$1006:BJ1006),$AM$1006:$BM$1006,0))&gt;=100000), " ",IF(INDEX($AM$2:$BM$1001,MATCH(ROWS($AF$2:AF789),$AF$2:$AF$1001,0),MATCH(COLUMNS($AM$1006:BJ1006),$AM$1006:$BM$1006,0)), HYPERLINK("#",""), HYPERLINK(CONCATENATE("#metadata!", ADDRESS(INDEX($AH$2:$AH$1001,MATCH(ROWS($AF$2:AF789),$AF$2:$AF$1001,0),0), INDEX($AM$1004:$BM$1004,1,MATCH(COLUMNS($AM$1006:BJ1006),$AM$1006:$BM$1006,0)))),"Fix")))</f>
        <v xml:space="preserve"> </v>
      </c>
      <c r="Z789" s="4" t="str">
        <f ca="1">IF(OR(INDEX($AG$2:$AG$1001,MATCH(ROWS($AF$2:AF789),$AF$2:$AF$1001,0),1)&gt;=100000,INDEX($AM$1005:$BM$1005,1,MATCH(COLUMNS($AM$1006:BK1006),$AM$1006:$BM$1006,0))&gt;=100000), " ",IF(INDEX($AM$2:$BM$1001,MATCH(ROWS($AF$2:AF789),$AF$2:$AF$1001,0),MATCH(COLUMNS($AM$1006:BK1006),$AM$1006:$BM$1006,0)), HYPERLINK("#",""), HYPERLINK(CONCATENATE("#metadata!", ADDRESS(INDEX($AH$2:$AH$1001,MATCH(ROWS($AF$2:AF789),$AF$2:$AF$1001,0),0), INDEX($AM$1004:$BM$1004,1,MATCH(COLUMNS($AM$1006:BK1006),$AM$1006:$BM$1006,0)))),"Fix")))</f>
        <v xml:space="preserve"> </v>
      </c>
      <c r="AA789" s="4" t="str">
        <f ca="1">IF(OR(INDEX($AG$2:$AG$1001,MATCH(ROWS($AF$2:AF789),$AF$2:$AF$1001,0),1)&gt;=100000,INDEX($AM$1005:$BM$1005,1,MATCH(COLUMNS($AM$1006:BL1006),$AM$1006:$BM$1006,0))&gt;=100000), " ",IF(INDEX($AM$2:$BM$1001,MATCH(ROWS($AF$2:AF789),$AF$2:$AF$1001,0),MATCH(COLUMNS($AM$1006:BL1006),$AM$1006:$BM$1006,0)), HYPERLINK("#",""), HYPERLINK(CONCATENATE("#metadata!", ADDRESS(INDEX($AH$2:$AH$1001,MATCH(ROWS($AF$2:AF789),$AF$2:$AF$1001,0),0), INDEX($AM$1004:$BM$1004,1,MATCH(COLUMNS($AM$1006:BL1006),$AM$1006:$BM$1006,0)))),"Fix")))</f>
        <v xml:space="preserve"> </v>
      </c>
      <c r="AB789" s="4" t="str">
        <f ca="1">IF(OR(INDEX($AG$2:$AG$1001,MATCH(ROWS($AF$2:AF789),$AF$2:$AF$1001,0),1)&gt;=100000,INDEX($AM$1005:$BM$1005,1,MATCH(COLUMNS($AM$1006:BM1006),$AM$1006:$BM$1006,0))&gt;=100000), " ",IF(INDEX($AM$2:$BM$1001,MATCH(ROWS($AF$2:AF789),$AF$2:$AF$1001,0),MATCH(COLUMNS($AM$1006:BM1006),$AM$1006:$BM$1006,0)), HYPERLINK("#",""), HYPERLINK(CONCATENATE("#metadata!", ADDRESS(INDEX($AH$2:$AH$1001,MATCH(ROWS($AF$2:AF789),$AF$2:$AF$1001,0),0), INDEX($AM$1004:$BM$1004,1,MATCH(COLUMNS($AM$1006:BM1006),$AM$1006:$BM$1006,0)))),"Fix")))</f>
        <v xml:space="preserve"> </v>
      </c>
      <c r="AF789">
        <v>788</v>
      </c>
      <c r="AG789">
        <v>100789</v>
      </c>
      <c r="AH789">
        <v>789</v>
      </c>
      <c r="AI789" t="b">
        <f t="shared" si="12"/>
        <v>1</v>
      </c>
      <c r="AJ789" t="b">
        <f>COUNTBLANK(metadata!B789:AB789)=COLUMNS(metadata!B789:AB789)</f>
        <v>1</v>
      </c>
      <c r="AK789" t="str">
        <v/>
      </c>
      <c r="AM789" t="b">
        <f ca="1">AND(IF(metadata!B789="",FALSE,TRUE),COUNTIF(metadata!B:B, metadata!B789) = 1,NOT(ISERROR(SUMPRODUCT(SEARCH(MID(metadata!B789,ROW(INDIRECT("1:"&amp;LEN(metadata!B789))), 1),"0123456789abcdefghijklmnopqrstuvwxyzABCDEFGHIJKLMNOPQRSTUVWXYZ.")))))</f>
        <v>0</v>
      </c>
      <c r="AN789" t="b">
        <f ca="1">OR(AND(IF(metadata!C789="",FALSE,TRUE),OR(EXACT(metadata!C789,"missing: not collected"),EXACT(metadata!C789,"missing: not provided"),EXACT(metadata!C789,"missing: restricted access"))),AND(IF(metadata!C789="",FALSE,TRUE),AND(AND(IFERROR(INT(LEFT(metadata!C789,4))&gt;1900,FALSE),IFERROR(INT(LEFT(metadata!C789,4))&lt;=YEAR(NOW()),FALSE)), OR(MID(metadata!C789,5,1)="", AND(AND(MID(metadata!C789,5,1)="-",IFERROR(INT(MID(metadata!C789,6,1))&gt;=0,FALSE),IFERROR(INT(MID(metadata!C789,6,1))&lt;=1,FALSE),NOT(MID(metadata!C789,7,1)=""),IFERROR(INT(MID(metadata!C789,6,2))&gt;=1,FALSE),IFERROR(INT(MID(metadata!C789,6,2))&lt;=12,FALSE)), OR(MID(metadata!C789,8,1)="", AND(AND(MID(metadata!C789,8,1)="-",IFERROR(INT(MID(metadata!C789,9,1))&gt;=0,FALSE),IFERROR(INT(MID(metadata!C789,9,1))&lt;=3,FALSE),NOT(MID(metadata!C789,10,1)=""),IFERROR(INT(MID(metadata!C789,9,2))&gt;=1,FALSE),IFERROR(INT(MID(metadata!C789,9,2))&lt;=31,FALSE)), OR(MID(metadata!C789,11,1)="", AND(AND(MID(metadata!C789,11,1)=" ",IFERROR(INT(MID(metadata!C789,12,1))&gt;=0,FALSE),IFERROR(INT(MID(metadata!C789,12,1))&lt;=2,FALSE),NOT(MID(metadata!C789,13,1)=""),IFERROR(INT(MID(metadata!C789,12,2))&gt;=0,FALSE),IFERROR(INT(MID(metadata!C789,12,2))&lt;=23,FALSE)), OR(MID(metadata!C789,14,1)="", AND(AND(MID(metadata!C789,14,1)=":",IFERROR(INT(MID(metadata!C789,15,1))&gt;=0,FALSE),IFERROR(INT(MID(metadata!C789,15,1))&lt;=5,FALSE),NOT(MID(metadata!C789,16,1)=""),IFERROR(INT(MID(metadata!C789,15,2))&gt;=0,FALSE),IFERROR(INT(MID(metadata!C789,15,2))&lt;=59,FALSE)), OR(MID(metadata!C789,17,1)="", AND(AND(MID(metadata!C789,17,1)=":",IFERROR(INT(MID(metadata!C789,18,1))&gt;=0,FALSE),IFERROR(INT(MID(metadata!C789,18,1))&lt;=5,FALSE),NOT(MID(metadata!C789,19,1)=""),IFERROR(INT(MID(metadata!C789,18,2))&gt;=0,FALSE),IFERROR(INT(MID(metadata!C789,18,2))&lt;=59,FALSE)), LEN(metadata!C789)&lt;=19)))))))))))))</f>
        <v>0</v>
      </c>
      <c r="AO789" t="b">
        <f>AND(IF(metadata!D789="",FALSE,TRUE),EXACT(metadata!D789,"Not applicable"))</f>
        <v>0</v>
      </c>
      <c r="AP789" t="b">
        <f>IF(metadata!E789="",FALSE,TRUE)</f>
        <v>0</v>
      </c>
      <c r="AQ789" t="b">
        <f>OR(AND(IF(metadata!F789="",FALSE,TRUE),OR(EXACT(metadata!F789,"missing: not collected"),EXACT(metadata!F789,"missing: not provided"))),AND(IF(metadata!F789="",FALSE,TRUE),OR(EXACT(metadata!F789,"TRUE"),EXACT(metadata!F789,"FALSE"))))</f>
        <v>0</v>
      </c>
      <c r="AR789" t="b">
        <f>OR(AND(IF(metadata!G789="",FALSE,TRUE),OR(EXACT(metadata!G789,"missing: not collected"),EXACT(metadata!G789,"missing: not provided"),EXACT(metadata!G789,"missing: restricted access"))),AND(IF(metadata!G789="",FALSE,ISNUMBER(VALUE(metadata!G789))),metadata!G789&gt;=-413))</f>
        <v>0</v>
      </c>
      <c r="AS789" t="b">
        <f>AND(IF(metadata!H789="",FALSE,TRUE),EXACT(metadata!H789,"meters"))</f>
        <v>0</v>
      </c>
      <c r="AT789" t="b">
        <f>AND(IF(metadata!I789="",FALSE,TRUE),OR(EXACT(metadata!I789,"Host-associated"),EXACT(metadata!I789,"Free-living")))</f>
        <v>0</v>
      </c>
      <c r="AU789" t="b">
        <f>AND(IF(metadata!J789="",FALSE,TRUE),OR(EXACT(metadata!J789,"Animal"),EXACT(metadata!J789,"Fungus"),EXACT(metadata!J789,"Plant"),EXACT(metadata!J789,"Saline"),EXACT(metadata!J789,"Non-saline")))</f>
        <v>0</v>
      </c>
      <c r="AV789" t="b">
        <f>AND(IF(metadata!K789="",FALSE,TRUE),OR(EXACT(metadata!K789,"Plant secretion"),EXACT(metadata!K789,"Plant rhizosphere"),EXACT(metadata!K789,"Plant surface"),EXACT(metadata!K789,"Plant corpus"),EXACT(metadata!K789,"Fungus surface"),EXACT(metadata!K789,"Fungus corpus"),EXACT(metadata!K789,"Animal surface"),EXACT(metadata!K789,"Animal proximal gut"),EXACT(metadata!K789,"Animal corpus"),EXACT(metadata!K789,"Animal distal gut"),EXACT(metadata!K789,"Animal secretion"),EXACT(metadata!K789,"Sub-surface (non-saline)"),EXACT(metadata!K789,"Surface (non-saline)"),EXACT(metadata!K789,"Water (non-saline)"),EXACT(metadata!K789,"Soil (non-saline)"),EXACT(metadata!K789,"Aerosol (non-saline)"),EXACT(metadata!K789,"Sediment (non-saline)"),EXACT(metadata!K789,"Surface (saline)"),EXACT(metadata!K789,"Water (saline)"),EXACT(metadata!K789,"Hypersaline (saline)"),EXACT(metadata!K789,"Aerosol (saline)"),EXACT(metadata!K789,"Sediment (saline)")))</f>
        <v>0</v>
      </c>
      <c r="AW789" t="b">
        <f>IF(metadata!L789="",FALSE,TRUE)</f>
        <v>0</v>
      </c>
      <c r="AX789" t="b">
        <f>IF(metadata!M789="",FALSE,TRUE)</f>
        <v>0</v>
      </c>
      <c r="AY789" t="b">
        <f>IF(metadata!N789="",FALSE,TRUE)</f>
        <v>0</v>
      </c>
      <c r="AZ789" t="b">
        <f>OR(AND(IF(metadata!O789="",FALSE,TRUE),OR(EXACT(metadata!O789,"missing: not collected"),EXACT(metadata!O789,"missing: not provided"),EXACT(metadata!O789,"missing: restricted access"))),AND(IF(metadata!O789="",FALSE,TRUE),OR(EXACT(metadata!O789,"air"),EXACT(metadata!O789,"built environment"),EXACT(metadata!O789,"host-associated"),EXACT(metadata!O789,"human-associated"),EXACT(metadata!O789,"human-skin"),EXACT(metadata!O789,"human-oral"),EXACT(metadata!O789,"human-gut"),EXACT(metadata!O789,"human-vaginal"),EXACT(metadata!O789,"microbial mat/biofilm"),EXACT(metadata!O789,"misc environment"),EXACT(metadata!O789,"plant-associated"),EXACT(metadata!O789,"sediment"),EXACT(metadata!O789,"soil"),EXACT(metadata!O789,"wastewater/sludge"),EXACT(metadata!O789,"water"))))</f>
        <v>0</v>
      </c>
      <c r="BA789" t="b">
        <f>IF(metadata!P789="",FALSE,TRUE)</f>
        <v>0</v>
      </c>
      <c r="BB789" t="b">
        <f>IF(metadata!Q789="",FALSE,TRUE)</f>
        <v>0</v>
      </c>
      <c r="BC789" t="b">
        <f>OR(AND(IF(metadata!R789="",FALSE,TRUE),OR(EXACT(metadata!R789,"missing: not collected"),EXACT(metadata!R789,"missing: not provided"),EXACT(metadata!R789,"missing: restricted access"))),AND(IF(metadata!R789="",FALSE,ISNUMBER(VALUE(metadata!R789))),metadata!R789&gt;=-90,metadata!R789&lt;=90))</f>
        <v>0</v>
      </c>
      <c r="BD789" t="b">
        <f>AND(IF(metadata!S789="",FALSE,TRUE),EXACT(metadata!S789,"Decimal degrees"))</f>
        <v>0</v>
      </c>
      <c r="BE789" t="b">
        <f>OR(AND(IF(metadata!T789="",FALSE,TRUE),OR(EXACT(metadata!T789,"missing: not collected"),EXACT(metadata!T789,"missing: not provided"),EXACT(metadata!T789,"missing: restricted access"))),AND(IF(metadata!T789="",FALSE,ISNUMBER(VALUE(metadata!T789))),metadata!T789&gt;=-180,metadata!T789&lt;=180))</f>
        <v>0</v>
      </c>
      <c r="BF789" t="b">
        <f>AND(IF(metadata!U789="",FALSE,TRUE),EXACT(metadata!U789,"Decimal degrees"))</f>
        <v>0</v>
      </c>
      <c r="BG789" t="b">
        <f>IF(metadata!V789="",FALSE,TRUE)</f>
        <v>0</v>
      </c>
      <c r="BH789" t="b">
        <f>OR(AND(IF(metadata!W789="",FALSE,TRUE),OR(EXACT(metadata!W789,"missing: not collected"),EXACT(metadata!W789,"missing: not provided"),EXACT(metadata!W789,"missing: restricted access"))),AND(IF(metadata!W789="",FALSE,TRUE),OR(EXACT(metadata!W789,"TRUE"),EXACT(metadata!W789,"FALSE"))))</f>
        <v>0</v>
      </c>
      <c r="BI789" t="b">
        <f>AND(IF(metadata!X789="",FALSE,TRUE),EXACT(metadata!X789,"other"))</f>
        <v>0</v>
      </c>
      <c r="BJ789" t="b">
        <f>IF(metadata!Y789="",FALSE,TRUE)</f>
        <v>0</v>
      </c>
      <c r="BK789" t="b">
        <f>OR(AND(IF(metadata!Z789="",FALSE,TRUE),OR(EXACT(metadata!Z789,"missing: not collected"),EXACT(metadata!Z789,"missing: not provided"))),AND(IF(metadata!Z789="",FALSE,IF(ISERROR(INT(metadata!Z789)),FALSE,INT(metadata!Z789)=metadata!Z789)),metadata!Z789&gt;0))</f>
        <v>0</v>
      </c>
      <c r="BL789" t="b">
        <f>AND(IF(metadata!AA789="",FALSE,TRUE),EXACT(metadata!AA789,"Not applicable"))</f>
        <v>0</v>
      </c>
      <c r="BM789" t="b">
        <f>IF(metadata!AB789="",FALSE,TRUE)</f>
        <v>0</v>
      </c>
    </row>
    <row r="790" spans="1:65" x14ac:dyDescent="0.2">
      <c r="A790" s="5" t="str">
        <f ca="1">IF(B790=" "," ",HYPERLINK(CONCATENATE("#metadata!",ADDRESS(INDEX($AH$2:$AH$1001,MATCH(ROWS($AF$2:AF790),$AF$2:$AF$1001,0),0),1)),INDEX($AK$2:$AK$1001,MATCH(ROWS($AF$2:AF790),$AF$2:$AF$1001,0),0)))</f>
        <v xml:space="preserve"> </v>
      </c>
      <c r="B790" s="4" t="str">
        <f ca="1">IF(OR(INDEX($AG$2:$AG$1001,MATCH(ROWS($AF$2:AF790),$AF$2:$AF$1001,0),1)&gt;=100000,INDEX($AM$1005:$BM$1005,1,MATCH(COLUMNS($AM$1006:AM1006),$AM$1006:$BM$1006,0))&gt;=100000), " ",IF(INDEX($AM$2:$BM$1001,MATCH(ROWS($AF$2:AF790),$AF$2:$AF$1001,0),MATCH(COLUMNS($AM$1006:AM1006),$AM$1006:$BM$1006,0)), HYPERLINK("#",""), HYPERLINK(CONCATENATE("#metadata!", ADDRESS(INDEX($AH$2:$AH$1001,MATCH(ROWS($AF$2:AF790),$AF$2:$AF$1001,0),0), INDEX($AM$1004:$BM$1004,1,MATCH(COLUMNS($AM$1006:AM1006),$AM$1006:$BM$1006,0)))),"Fix")))</f>
        <v xml:space="preserve"> </v>
      </c>
      <c r="C790" s="4" t="str">
        <f ca="1">IF(OR(INDEX($AG$2:$AG$1001,MATCH(ROWS($AF$2:AF790),$AF$2:$AF$1001,0),1)&gt;=100000,INDEX($AM$1005:$BM$1005,1,MATCH(COLUMNS($AM$1006:AN1006),$AM$1006:$BM$1006,0))&gt;=100000), " ",IF(INDEX($AM$2:$BM$1001,MATCH(ROWS($AF$2:AF790),$AF$2:$AF$1001,0),MATCH(COLUMNS($AM$1006:AN1006),$AM$1006:$BM$1006,0)), HYPERLINK("#",""), HYPERLINK(CONCATENATE("#metadata!", ADDRESS(INDEX($AH$2:$AH$1001,MATCH(ROWS($AF$2:AF790),$AF$2:$AF$1001,0),0), INDEX($AM$1004:$BM$1004,1,MATCH(COLUMNS($AM$1006:AN1006),$AM$1006:$BM$1006,0)))),"Fix")))</f>
        <v xml:space="preserve"> </v>
      </c>
      <c r="D790" s="4" t="str">
        <f ca="1">IF(OR(INDEX($AG$2:$AG$1001,MATCH(ROWS($AF$2:AF790),$AF$2:$AF$1001,0),1)&gt;=100000,INDEX($AM$1005:$BM$1005,1,MATCH(COLUMNS($AM$1006:AO1006),$AM$1006:$BM$1006,0))&gt;=100000), " ",IF(INDEX($AM$2:$BM$1001,MATCH(ROWS($AF$2:AF790),$AF$2:$AF$1001,0),MATCH(COLUMNS($AM$1006:AO1006),$AM$1006:$BM$1006,0)), HYPERLINK("#",""), HYPERLINK(CONCATENATE("#metadata!", ADDRESS(INDEX($AH$2:$AH$1001,MATCH(ROWS($AF$2:AF790),$AF$2:$AF$1001,0),0), INDEX($AM$1004:$BM$1004,1,MATCH(COLUMNS($AM$1006:AO1006),$AM$1006:$BM$1006,0)))),"Fix")))</f>
        <v xml:space="preserve"> </v>
      </c>
      <c r="E790" s="4" t="str">
        <f ca="1">IF(OR(INDEX($AG$2:$AG$1001,MATCH(ROWS($AF$2:AF790),$AF$2:$AF$1001,0),1)&gt;=100000,INDEX($AM$1005:$BM$1005,1,MATCH(COLUMNS($AM$1006:AP1006),$AM$1006:$BM$1006,0))&gt;=100000), " ",IF(INDEX($AM$2:$BM$1001,MATCH(ROWS($AF$2:AF790),$AF$2:$AF$1001,0),MATCH(COLUMNS($AM$1006:AP1006),$AM$1006:$BM$1006,0)), HYPERLINK("#",""), HYPERLINK(CONCATENATE("#metadata!", ADDRESS(INDEX($AH$2:$AH$1001,MATCH(ROWS($AF$2:AF790),$AF$2:$AF$1001,0),0), INDEX($AM$1004:$BM$1004,1,MATCH(COLUMNS($AM$1006:AP1006),$AM$1006:$BM$1006,0)))),"Fix")))</f>
        <v xml:space="preserve"> </v>
      </c>
      <c r="F790" s="4" t="str">
        <f ca="1">IF(OR(INDEX($AG$2:$AG$1001,MATCH(ROWS($AF$2:AF790),$AF$2:$AF$1001,0),1)&gt;=100000,INDEX($AM$1005:$BM$1005,1,MATCH(COLUMNS($AM$1006:AQ1006),$AM$1006:$BM$1006,0))&gt;=100000), " ",IF(INDEX($AM$2:$BM$1001,MATCH(ROWS($AF$2:AF790),$AF$2:$AF$1001,0),MATCH(COLUMNS($AM$1006:AQ1006),$AM$1006:$BM$1006,0)), HYPERLINK("#",""), HYPERLINK(CONCATENATE("#metadata!", ADDRESS(INDEX($AH$2:$AH$1001,MATCH(ROWS($AF$2:AF790),$AF$2:$AF$1001,0),0), INDEX($AM$1004:$BM$1004,1,MATCH(COLUMNS($AM$1006:AQ1006),$AM$1006:$BM$1006,0)))),"Fix")))</f>
        <v xml:space="preserve"> </v>
      </c>
      <c r="G790" s="4" t="str">
        <f ca="1">IF(OR(INDEX($AG$2:$AG$1001,MATCH(ROWS($AF$2:AF790),$AF$2:$AF$1001,0),1)&gt;=100000,INDEX($AM$1005:$BM$1005,1,MATCH(COLUMNS($AM$1006:AR1006),$AM$1006:$BM$1006,0))&gt;=100000), " ",IF(INDEX($AM$2:$BM$1001,MATCH(ROWS($AF$2:AF790),$AF$2:$AF$1001,0),MATCH(COLUMNS($AM$1006:AR1006),$AM$1006:$BM$1006,0)), HYPERLINK("#",""), HYPERLINK(CONCATENATE("#metadata!", ADDRESS(INDEX($AH$2:$AH$1001,MATCH(ROWS($AF$2:AF790),$AF$2:$AF$1001,0),0), INDEX($AM$1004:$BM$1004,1,MATCH(COLUMNS($AM$1006:AR1006),$AM$1006:$BM$1006,0)))),"Fix")))</f>
        <v xml:space="preserve"> </v>
      </c>
      <c r="H790" s="4" t="str">
        <f ca="1">IF(OR(INDEX($AG$2:$AG$1001,MATCH(ROWS($AF$2:AF790),$AF$2:$AF$1001,0),1)&gt;=100000,INDEX($AM$1005:$BM$1005,1,MATCH(COLUMNS($AM$1006:AS1006),$AM$1006:$BM$1006,0))&gt;=100000), " ",IF(INDEX($AM$2:$BM$1001,MATCH(ROWS($AF$2:AF790),$AF$2:$AF$1001,0),MATCH(COLUMNS($AM$1006:AS1006),$AM$1006:$BM$1006,0)), HYPERLINK("#",""), HYPERLINK(CONCATENATE("#metadata!", ADDRESS(INDEX($AH$2:$AH$1001,MATCH(ROWS($AF$2:AF790),$AF$2:$AF$1001,0),0), INDEX($AM$1004:$BM$1004,1,MATCH(COLUMNS($AM$1006:AS1006),$AM$1006:$BM$1006,0)))),"Fix")))</f>
        <v xml:space="preserve"> </v>
      </c>
      <c r="I790" s="4" t="str">
        <f ca="1">IF(OR(INDEX($AG$2:$AG$1001,MATCH(ROWS($AF$2:AF790),$AF$2:$AF$1001,0),1)&gt;=100000,INDEX($AM$1005:$BM$1005,1,MATCH(COLUMNS($AM$1006:AT1006),$AM$1006:$BM$1006,0))&gt;=100000), " ",IF(INDEX($AM$2:$BM$1001,MATCH(ROWS($AF$2:AF790),$AF$2:$AF$1001,0),MATCH(COLUMNS($AM$1006:AT1006),$AM$1006:$BM$1006,0)), HYPERLINK("#",""), HYPERLINK(CONCATENATE("#metadata!", ADDRESS(INDEX($AH$2:$AH$1001,MATCH(ROWS($AF$2:AF790),$AF$2:$AF$1001,0),0), INDEX($AM$1004:$BM$1004,1,MATCH(COLUMNS($AM$1006:AT1006),$AM$1006:$BM$1006,0)))),"Fix")))</f>
        <v xml:space="preserve"> </v>
      </c>
      <c r="J790" s="4" t="str">
        <f ca="1">IF(OR(INDEX($AG$2:$AG$1001,MATCH(ROWS($AF$2:AF790),$AF$2:$AF$1001,0),1)&gt;=100000,INDEX($AM$1005:$BM$1005,1,MATCH(COLUMNS($AM$1006:AU1006),$AM$1006:$BM$1006,0))&gt;=100000), " ",IF(INDEX($AM$2:$BM$1001,MATCH(ROWS($AF$2:AF790),$AF$2:$AF$1001,0),MATCH(COLUMNS($AM$1006:AU1006),$AM$1006:$BM$1006,0)), HYPERLINK("#",""), HYPERLINK(CONCATENATE("#metadata!", ADDRESS(INDEX($AH$2:$AH$1001,MATCH(ROWS($AF$2:AF790),$AF$2:$AF$1001,0),0), INDEX($AM$1004:$BM$1004,1,MATCH(COLUMNS($AM$1006:AU1006),$AM$1006:$BM$1006,0)))),"Fix")))</f>
        <v xml:space="preserve"> </v>
      </c>
      <c r="K790" s="4" t="str">
        <f ca="1">IF(OR(INDEX($AG$2:$AG$1001,MATCH(ROWS($AF$2:AF790),$AF$2:$AF$1001,0),1)&gt;=100000,INDEX($AM$1005:$BM$1005,1,MATCH(COLUMNS($AM$1006:AV1006),$AM$1006:$BM$1006,0))&gt;=100000), " ",IF(INDEX($AM$2:$BM$1001,MATCH(ROWS($AF$2:AF790),$AF$2:$AF$1001,0),MATCH(COLUMNS($AM$1006:AV1006),$AM$1006:$BM$1006,0)), HYPERLINK("#",""), HYPERLINK(CONCATENATE("#metadata!", ADDRESS(INDEX($AH$2:$AH$1001,MATCH(ROWS($AF$2:AF790),$AF$2:$AF$1001,0),0), INDEX($AM$1004:$BM$1004,1,MATCH(COLUMNS($AM$1006:AV1006),$AM$1006:$BM$1006,0)))),"Fix")))</f>
        <v xml:space="preserve"> </v>
      </c>
      <c r="L790" s="4" t="str">
        <f ca="1">IF(OR(INDEX($AG$2:$AG$1001,MATCH(ROWS($AF$2:AF790),$AF$2:$AF$1001,0),1)&gt;=100000,INDEX($AM$1005:$BM$1005,1,MATCH(COLUMNS($AM$1006:AW1006),$AM$1006:$BM$1006,0))&gt;=100000), " ",IF(INDEX($AM$2:$BM$1001,MATCH(ROWS($AF$2:AF790),$AF$2:$AF$1001,0),MATCH(COLUMNS($AM$1006:AW1006),$AM$1006:$BM$1006,0)), HYPERLINK("#",""), HYPERLINK(CONCATENATE("#metadata!", ADDRESS(INDEX($AH$2:$AH$1001,MATCH(ROWS($AF$2:AF790),$AF$2:$AF$1001,0),0), INDEX($AM$1004:$BM$1004,1,MATCH(COLUMNS($AM$1006:AW1006),$AM$1006:$BM$1006,0)))),"Fix")))</f>
        <v xml:space="preserve"> </v>
      </c>
      <c r="M790" s="4" t="str">
        <f ca="1">IF(OR(INDEX($AG$2:$AG$1001,MATCH(ROWS($AF$2:AF790),$AF$2:$AF$1001,0),1)&gt;=100000,INDEX($AM$1005:$BM$1005,1,MATCH(COLUMNS($AM$1006:AX1006),$AM$1006:$BM$1006,0))&gt;=100000), " ",IF(INDEX($AM$2:$BM$1001,MATCH(ROWS($AF$2:AF790),$AF$2:$AF$1001,0),MATCH(COLUMNS($AM$1006:AX1006),$AM$1006:$BM$1006,0)), HYPERLINK("#",""), HYPERLINK(CONCATENATE("#metadata!", ADDRESS(INDEX($AH$2:$AH$1001,MATCH(ROWS($AF$2:AF790),$AF$2:$AF$1001,0),0), INDEX($AM$1004:$BM$1004,1,MATCH(COLUMNS($AM$1006:AX1006),$AM$1006:$BM$1006,0)))),"Fix")))</f>
        <v xml:space="preserve"> </v>
      </c>
      <c r="N790" s="4" t="str">
        <f ca="1">IF(OR(INDEX($AG$2:$AG$1001,MATCH(ROWS($AF$2:AF790),$AF$2:$AF$1001,0),1)&gt;=100000,INDEX($AM$1005:$BM$1005,1,MATCH(COLUMNS($AM$1006:AY1006),$AM$1006:$BM$1006,0))&gt;=100000), " ",IF(INDEX($AM$2:$BM$1001,MATCH(ROWS($AF$2:AF790),$AF$2:$AF$1001,0),MATCH(COLUMNS($AM$1006:AY1006),$AM$1006:$BM$1006,0)), HYPERLINK("#",""), HYPERLINK(CONCATENATE("#metadata!", ADDRESS(INDEX($AH$2:$AH$1001,MATCH(ROWS($AF$2:AF790),$AF$2:$AF$1001,0),0), INDEX($AM$1004:$BM$1004,1,MATCH(COLUMNS($AM$1006:AY1006),$AM$1006:$BM$1006,0)))),"Fix")))</f>
        <v xml:space="preserve"> </v>
      </c>
      <c r="O790" s="4" t="str">
        <f ca="1">IF(OR(INDEX($AG$2:$AG$1001,MATCH(ROWS($AF$2:AF790),$AF$2:$AF$1001,0),1)&gt;=100000,INDEX($AM$1005:$BM$1005,1,MATCH(COLUMNS($AM$1006:AZ1006),$AM$1006:$BM$1006,0))&gt;=100000), " ",IF(INDEX($AM$2:$BM$1001,MATCH(ROWS($AF$2:AF790),$AF$2:$AF$1001,0),MATCH(COLUMNS($AM$1006:AZ1006),$AM$1006:$BM$1006,0)), HYPERLINK("#",""), HYPERLINK(CONCATENATE("#metadata!", ADDRESS(INDEX($AH$2:$AH$1001,MATCH(ROWS($AF$2:AF790),$AF$2:$AF$1001,0),0), INDEX($AM$1004:$BM$1004,1,MATCH(COLUMNS($AM$1006:AZ1006),$AM$1006:$BM$1006,0)))),"Fix")))</f>
        <v xml:space="preserve"> </v>
      </c>
      <c r="P790" s="4" t="str">
        <f ca="1">IF(OR(INDEX($AG$2:$AG$1001,MATCH(ROWS($AF$2:AF790),$AF$2:$AF$1001,0),1)&gt;=100000,INDEX($AM$1005:$BM$1005,1,MATCH(COLUMNS($AM$1006:BA1006),$AM$1006:$BM$1006,0))&gt;=100000), " ",IF(INDEX($AM$2:$BM$1001,MATCH(ROWS($AF$2:AF790),$AF$2:$AF$1001,0),MATCH(COLUMNS($AM$1006:BA1006),$AM$1006:$BM$1006,0)), HYPERLINK("#",""), HYPERLINK(CONCATENATE("#metadata!", ADDRESS(INDEX($AH$2:$AH$1001,MATCH(ROWS($AF$2:AF790),$AF$2:$AF$1001,0),0), INDEX($AM$1004:$BM$1004,1,MATCH(COLUMNS($AM$1006:BA1006),$AM$1006:$BM$1006,0)))),"Fix")))</f>
        <v xml:space="preserve"> </v>
      </c>
      <c r="Q790" s="4" t="str">
        <f ca="1">IF(OR(INDEX($AG$2:$AG$1001,MATCH(ROWS($AF$2:AF790),$AF$2:$AF$1001,0),1)&gt;=100000,INDEX($AM$1005:$BM$1005,1,MATCH(COLUMNS($AM$1006:BB1006),$AM$1006:$BM$1006,0))&gt;=100000), " ",IF(INDEX($AM$2:$BM$1001,MATCH(ROWS($AF$2:AF790),$AF$2:$AF$1001,0),MATCH(COLUMNS($AM$1006:BB1006),$AM$1006:$BM$1006,0)), HYPERLINK("#",""), HYPERLINK(CONCATENATE("#metadata!", ADDRESS(INDEX($AH$2:$AH$1001,MATCH(ROWS($AF$2:AF790),$AF$2:$AF$1001,0),0), INDEX($AM$1004:$BM$1004,1,MATCH(COLUMNS($AM$1006:BB1006),$AM$1006:$BM$1006,0)))),"Fix")))</f>
        <v xml:space="preserve"> </v>
      </c>
      <c r="R790" s="4" t="str">
        <f ca="1">IF(OR(INDEX($AG$2:$AG$1001,MATCH(ROWS($AF$2:AF790),$AF$2:$AF$1001,0),1)&gt;=100000,INDEX($AM$1005:$BM$1005,1,MATCH(COLUMNS($AM$1006:BC1006),$AM$1006:$BM$1006,0))&gt;=100000), " ",IF(INDEX($AM$2:$BM$1001,MATCH(ROWS($AF$2:AF790),$AF$2:$AF$1001,0),MATCH(COLUMNS($AM$1006:BC1006),$AM$1006:$BM$1006,0)), HYPERLINK("#",""), HYPERLINK(CONCATENATE("#metadata!", ADDRESS(INDEX($AH$2:$AH$1001,MATCH(ROWS($AF$2:AF790),$AF$2:$AF$1001,0),0), INDEX($AM$1004:$BM$1004,1,MATCH(COLUMNS($AM$1006:BC1006),$AM$1006:$BM$1006,0)))),"Fix")))</f>
        <v xml:space="preserve"> </v>
      </c>
      <c r="S790" s="4" t="str">
        <f ca="1">IF(OR(INDEX($AG$2:$AG$1001,MATCH(ROWS($AF$2:AF790),$AF$2:$AF$1001,0),1)&gt;=100000,INDEX($AM$1005:$BM$1005,1,MATCH(COLUMNS($AM$1006:BD1006),$AM$1006:$BM$1006,0))&gt;=100000), " ",IF(INDEX($AM$2:$BM$1001,MATCH(ROWS($AF$2:AF790),$AF$2:$AF$1001,0),MATCH(COLUMNS($AM$1006:BD1006),$AM$1006:$BM$1006,0)), HYPERLINK("#",""), HYPERLINK(CONCATENATE("#metadata!", ADDRESS(INDEX($AH$2:$AH$1001,MATCH(ROWS($AF$2:AF790),$AF$2:$AF$1001,0),0), INDEX($AM$1004:$BM$1004,1,MATCH(COLUMNS($AM$1006:BD1006),$AM$1006:$BM$1006,0)))),"Fix")))</f>
        <v xml:space="preserve"> </v>
      </c>
      <c r="T790" s="4" t="str">
        <f ca="1">IF(OR(INDEX($AG$2:$AG$1001,MATCH(ROWS($AF$2:AF790),$AF$2:$AF$1001,0),1)&gt;=100000,INDEX($AM$1005:$BM$1005,1,MATCH(COLUMNS($AM$1006:BE1006),$AM$1006:$BM$1006,0))&gt;=100000), " ",IF(INDEX($AM$2:$BM$1001,MATCH(ROWS($AF$2:AF790),$AF$2:$AF$1001,0),MATCH(COLUMNS($AM$1006:BE1006),$AM$1006:$BM$1006,0)), HYPERLINK("#",""), HYPERLINK(CONCATENATE("#metadata!", ADDRESS(INDEX($AH$2:$AH$1001,MATCH(ROWS($AF$2:AF790),$AF$2:$AF$1001,0),0), INDEX($AM$1004:$BM$1004,1,MATCH(COLUMNS($AM$1006:BE1006),$AM$1006:$BM$1006,0)))),"Fix")))</f>
        <v xml:space="preserve"> </v>
      </c>
      <c r="U790" s="4" t="str">
        <f ca="1">IF(OR(INDEX($AG$2:$AG$1001,MATCH(ROWS($AF$2:AF790),$AF$2:$AF$1001,0),1)&gt;=100000,INDEX($AM$1005:$BM$1005,1,MATCH(COLUMNS($AM$1006:BF1006),$AM$1006:$BM$1006,0))&gt;=100000), " ",IF(INDEX($AM$2:$BM$1001,MATCH(ROWS($AF$2:AF790),$AF$2:$AF$1001,0),MATCH(COLUMNS($AM$1006:BF1006),$AM$1006:$BM$1006,0)), HYPERLINK("#",""), HYPERLINK(CONCATENATE("#metadata!", ADDRESS(INDEX($AH$2:$AH$1001,MATCH(ROWS($AF$2:AF790),$AF$2:$AF$1001,0),0), INDEX($AM$1004:$BM$1004,1,MATCH(COLUMNS($AM$1006:BF1006),$AM$1006:$BM$1006,0)))),"Fix")))</f>
        <v xml:space="preserve"> </v>
      </c>
      <c r="V790" s="4" t="str">
        <f ca="1">IF(OR(INDEX($AG$2:$AG$1001,MATCH(ROWS($AF$2:AF790),$AF$2:$AF$1001,0),1)&gt;=100000,INDEX($AM$1005:$BM$1005,1,MATCH(COLUMNS($AM$1006:BG1006),$AM$1006:$BM$1006,0))&gt;=100000), " ",IF(INDEX($AM$2:$BM$1001,MATCH(ROWS($AF$2:AF790),$AF$2:$AF$1001,0),MATCH(COLUMNS($AM$1006:BG1006),$AM$1006:$BM$1006,0)), HYPERLINK("#",""), HYPERLINK(CONCATENATE("#metadata!", ADDRESS(INDEX($AH$2:$AH$1001,MATCH(ROWS($AF$2:AF790),$AF$2:$AF$1001,0),0), INDEX($AM$1004:$BM$1004,1,MATCH(COLUMNS($AM$1006:BG1006),$AM$1006:$BM$1006,0)))),"Fix")))</f>
        <v xml:space="preserve"> </v>
      </c>
      <c r="W790" s="4" t="str">
        <f ca="1">IF(OR(INDEX($AG$2:$AG$1001,MATCH(ROWS($AF$2:AF790),$AF$2:$AF$1001,0),1)&gt;=100000,INDEX($AM$1005:$BM$1005,1,MATCH(COLUMNS($AM$1006:BH1006),$AM$1006:$BM$1006,0))&gt;=100000), " ",IF(INDEX($AM$2:$BM$1001,MATCH(ROWS($AF$2:AF790),$AF$2:$AF$1001,0),MATCH(COLUMNS($AM$1006:BH1006),$AM$1006:$BM$1006,0)), HYPERLINK("#",""), HYPERLINK(CONCATENATE("#metadata!", ADDRESS(INDEX($AH$2:$AH$1001,MATCH(ROWS($AF$2:AF790),$AF$2:$AF$1001,0),0), INDEX($AM$1004:$BM$1004,1,MATCH(COLUMNS($AM$1006:BH1006),$AM$1006:$BM$1006,0)))),"Fix")))</f>
        <v xml:space="preserve"> </v>
      </c>
      <c r="X790" s="4" t="str">
        <f ca="1">IF(OR(INDEX($AG$2:$AG$1001,MATCH(ROWS($AF$2:AF790),$AF$2:$AF$1001,0),1)&gt;=100000,INDEX($AM$1005:$BM$1005,1,MATCH(COLUMNS($AM$1006:BI1006),$AM$1006:$BM$1006,0))&gt;=100000), " ",IF(INDEX($AM$2:$BM$1001,MATCH(ROWS($AF$2:AF790),$AF$2:$AF$1001,0),MATCH(COLUMNS($AM$1006:BI1006),$AM$1006:$BM$1006,0)), HYPERLINK("#",""), HYPERLINK(CONCATENATE("#metadata!", ADDRESS(INDEX($AH$2:$AH$1001,MATCH(ROWS($AF$2:AF790),$AF$2:$AF$1001,0),0), INDEX($AM$1004:$BM$1004,1,MATCH(COLUMNS($AM$1006:BI1006),$AM$1006:$BM$1006,0)))),"Fix")))</f>
        <v xml:space="preserve"> </v>
      </c>
      <c r="Y790" s="4" t="str">
        <f ca="1">IF(OR(INDEX($AG$2:$AG$1001,MATCH(ROWS($AF$2:AF790),$AF$2:$AF$1001,0),1)&gt;=100000,INDEX($AM$1005:$BM$1005,1,MATCH(COLUMNS($AM$1006:BJ1006),$AM$1006:$BM$1006,0))&gt;=100000), " ",IF(INDEX($AM$2:$BM$1001,MATCH(ROWS($AF$2:AF790),$AF$2:$AF$1001,0),MATCH(COLUMNS($AM$1006:BJ1006),$AM$1006:$BM$1006,0)), HYPERLINK("#",""), HYPERLINK(CONCATENATE("#metadata!", ADDRESS(INDEX($AH$2:$AH$1001,MATCH(ROWS($AF$2:AF790),$AF$2:$AF$1001,0),0), INDEX($AM$1004:$BM$1004,1,MATCH(COLUMNS($AM$1006:BJ1006),$AM$1006:$BM$1006,0)))),"Fix")))</f>
        <v xml:space="preserve"> </v>
      </c>
      <c r="Z790" s="4" t="str">
        <f ca="1">IF(OR(INDEX($AG$2:$AG$1001,MATCH(ROWS($AF$2:AF790),$AF$2:$AF$1001,0),1)&gt;=100000,INDEX($AM$1005:$BM$1005,1,MATCH(COLUMNS($AM$1006:BK1006),$AM$1006:$BM$1006,0))&gt;=100000), " ",IF(INDEX($AM$2:$BM$1001,MATCH(ROWS($AF$2:AF790),$AF$2:$AF$1001,0),MATCH(COLUMNS($AM$1006:BK1006),$AM$1006:$BM$1006,0)), HYPERLINK("#",""), HYPERLINK(CONCATENATE("#metadata!", ADDRESS(INDEX($AH$2:$AH$1001,MATCH(ROWS($AF$2:AF790),$AF$2:$AF$1001,0),0), INDEX($AM$1004:$BM$1004,1,MATCH(COLUMNS($AM$1006:BK1006),$AM$1006:$BM$1006,0)))),"Fix")))</f>
        <v xml:space="preserve"> </v>
      </c>
      <c r="AA790" s="4" t="str">
        <f ca="1">IF(OR(INDEX($AG$2:$AG$1001,MATCH(ROWS($AF$2:AF790),$AF$2:$AF$1001,0),1)&gt;=100000,INDEX($AM$1005:$BM$1005,1,MATCH(COLUMNS($AM$1006:BL1006),$AM$1006:$BM$1006,0))&gt;=100000), " ",IF(INDEX($AM$2:$BM$1001,MATCH(ROWS($AF$2:AF790),$AF$2:$AF$1001,0),MATCH(COLUMNS($AM$1006:BL1006),$AM$1006:$BM$1006,0)), HYPERLINK("#",""), HYPERLINK(CONCATENATE("#metadata!", ADDRESS(INDEX($AH$2:$AH$1001,MATCH(ROWS($AF$2:AF790),$AF$2:$AF$1001,0),0), INDEX($AM$1004:$BM$1004,1,MATCH(COLUMNS($AM$1006:BL1006),$AM$1006:$BM$1006,0)))),"Fix")))</f>
        <v xml:space="preserve"> </v>
      </c>
      <c r="AB790" s="4" t="str">
        <f ca="1">IF(OR(INDEX($AG$2:$AG$1001,MATCH(ROWS($AF$2:AF790),$AF$2:$AF$1001,0),1)&gt;=100000,INDEX($AM$1005:$BM$1005,1,MATCH(COLUMNS($AM$1006:BM1006),$AM$1006:$BM$1006,0))&gt;=100000), " ",IF(INDEX($AM$2:$BM$1001,MATCH(ROWS($AF$2:AF790),$AF$2:$AF$1001,0),MATCH(COLUMNS($AM$1006:BM1006),$AM$1006:$BM$1006,0)), HYPERLINK("#",""), HYPERLINK(CONCATENATE("#metadata!", ADDRESS(INDEX($AH$2:$AH$1001,MATCH(ROWS($AF$2:AF790),$AF$2:$AF$1001,0),0), INDEX($AM$1004:$BM$1004,1,MATCH(COLUMNS($AM$1006:BM1006),$AM$1006:$BM$1006,0)))),"Fix")))</f>
        <v xml:space="preserve"> </v>
      </c>
      <c r="AF790">
        <v>789</v>
      </c>
      <c r="AG790">
        <v>100790</v>
      </c>
      <c r="AH790">
        <v>790</v>
      </c>
      <c r="AI790" t="b">
        <f t="shared" si="12"/>
        <v>1</v>
      </c>
      <c r="AJ790" t="b">
        <f>COUNTBLANK(metadata!B790:AB790)=COLUMNS(metadata!B790:AB790)</f>
        <v>1</v>
      </c>
      <c r="AK790" t="str">
        <v/>
      </c>
      <c r="AM790" t="b">
        <f ca="1">AND(IF(metadata!B790="",FALSE,TRUE),COUNTIF(metadata!B:B, metadata!B790) = 1,NOT(ISERROR(SUMPRODUCT(SEARCH(MID(metadata!B790,ROW(INDIRECT("1:"&amp;LEN(metadata!B790))), 1),"0123456789abcdefghijklmnopqrstuvwxyzABCDEFGHIJKLMNOPQRSTUVWXYZ.")))))</f>
        <v>0</v>
      </c>
      <c r="AN790" t="b">
        <f ca="1">OR(AND(IF(metadata!C790="",FALSE,TRUE),OR(EXACT(metadata!C790,"missing: not collected"),EXACT(metadata!C790,"missing: not provided"),EXACT(metadata!C790,"missing: restricted access"))),AND(IF(metadata!C790="",FALSE,TRUE),AND(AND(IFERROR(INT(LEFT(metadata!C790,4))&gt;1900,FALSE),IFERROR(INT(LEFT(metadata!C790,4))&lt;=YEAR(NOW()),FALSE)), OR(MID(metadata!C790,5,1)="", AND(AND(MID(metadata!C790,5,1)="-",IFERROR(INT(MID(metadata!C790,6,1))&gt;=0,FALSE),IFERROR(INT(MID(metadata!C790,6,1))&lt;=1,FALSE),NOT(MID(metadata!C790,7,1)=""),IFERROR(INT(MID(metadata!C790,6,2))&gt;=1,FALSE),IFERROR(INT(MID(metadata!C790,6,2))&lt;=12,FALSE)), OR(MID(metadata!C790,8,1)="", AND(AND(MID(metadata!C790,8,1)="-",IFERROR(INT(MID(metadata!C790,9,1))&gt;=0,FALSE),IFERROR(INT(MID(metadata!C790,9,1))&lt;=3,FALSE),NOT(MID(metadata!C790,10,1)=""),IFERROR(INT(MID(metadata!C790,9,2))&gt;=1,FALSE),IFERROR(INT(MID(metadata!C790,9,2))&lt;=31,FALSE)), OR(MID(metadata!C790,11,1)="", AND(AND(MID(metadata!C790,11,1)=" ",IFERROR(INT(MID(metadata!C790,12,1))&gt;=0,FALSE),IFERROR(INT(MID(metadata!C790,12,1))&lt;=2,FALSE),NOT(MID(metadata!C790,13,1)=""),IFERROR(INT(MID(metadata!C790,12,2))&gt;=0,FALSE),IFERROR(INT(MID(metadata!C790,12,2))&lt;=23,FALSE)), OR(MID(metadata!C790,14,1)="", AND(AND(MID(metadata!C790,14,1)=":",IFERROR(INT(MID(metadata!C790,15,1))&gt;=0,FALSE),IFERROR(INT(MID(metadata!C790,15,1))&lt;=5,FALSE),NOT(MID(metadata!C790,16,1)=""),IFERROR(INT(MID(metadata!C790,15,2))&gt;=0,FALSE),IFERROR(INT(MID(metadata!C790,15,2))&lt;=59,FALSE)), OR(MID(metadata!C790,17,1)="", AND(AND(MID(metadata!C790,17,1)=":",IFERROR(INT(MID(metadata!C790,18,1))&gt;=0,FALSE),IFERROR(INT(MID(metadata!C790,18,1))&lt;=5,FALSE),NOT(MID(metadata!C790,19,1)=""),IFERROR(INT(MID(metadata!C790,18,2))&gt;=0,FALSE),IFERROR(INT(MID(metadata!C790,18,2))&lt;=59,FALSE)), LEN(metadata!C790)&lt;=19)))))))))))))</f>
        <v>0</v>
      </c>
      <c r="AO790" t="b">
        <f>AND(IF(metadata!D790="",FALSE,TRUE),EXACT(metadata!D790,"Not applicable"))</f>
        <v>0</v>
      </c>
      <c r="AP790" t="b">
        <f>IF(metadata!E790="",FALSE,TRUE)</f>
        <v>0</v>
      </c>
      <c r="AQ790" t="b">
        <f>OR(AND(IF(metadata!F790="",FALSE,TRUE),OR(EXACT(metadata!F790,"missing: not collected"),EXACT(metadata!F790,"missing: not provided"))),AND(IF(metadata!F790="",FALSE,TRUE),OR(EXACT(metadata!F790,"TRUE"),EXACT(metadata!F790,"FALSE"))))</f>
        <v>0</v>
      </c>
      <c r="AR790" t="b">
        <f>OR(AND(IF(metadata!G790="",FALSE,TRUE),OR(EXACT(metadata!G790,"missing: not collected"),EXACT(metadata!G790,"missing: not provided"),EXACT(metadata!G790,"missing: restricted access"))),AND(IF(metadata!G790="",FALSE,ISNUMBER(VALUE(metadata!G790))),metadata!G790&gt;=-413))</f>
        <v>0</v>
      </c>
      <c r="AS790" t="b">
        <f>AND(IF(metadata!H790="",FALSE,TRUE),EXACT(metadata!H790,"meters"))</f>
        <v>0</v>
      </c>
      <c r="AT790" t="b">
        <f>AND(IF(metadata!I790="",FALSE,TRUE),OR(EXACT(metadata!I790,"Host-associated"),EXACT(metadata!I790,"Free-living")))</f>
        <v>0</v>
      </c>
      <c r="AU790" t="b">
        <f>AND(IF(metadata!J790="",FALSE,TRUE),OR(EXACT(metadata!J790,"Animal"),EXACT(metadata!J790,"Fungus"),EXACT(metadata!J790,"Plant"),EXACT(metadata!J790,"Saline"),EXACT(metadata!J790,"Non-saline")))</f>
        <v>0</v>
      </c>
      <c r="AV790" t="b">
        <f>AND(IF(metadata!K790="",FALSE,TRUE),OR(EXACT(metadata!K790,"Plant secretion"),EXACT(metadata!K790,"Plant rhizosphere"),EXACT(metadata!K790,"Plant surface"),EXACT(metadata!K790,"Plant corpus"),EXACT(metadata!K790,"Fungus surface"),EXACT(metadata!K790,"Fungus corpus"),EXACT(metadata!K790,"Animal surface"),EXACT(metadata!K790,"Animal proximal gut"),EXACT(metadata!K790,"Animal corpus"),EXACT(metadata!K790,"Animal distal gut"),EXACT(metadata!K790,"Animal secretion"),EXACT(metadata!K790,"Sub-surface (non-saline)"),EXACT(metadata!K790,"Surface (non-saline)"),EXACT(metadata!K790,"Water (non-saline)"),EXACT(metadata!K790,"Soil (non-saline)"),EXACT(metadata!K790,"Aerosol (non-saline)"),EXACT(metadata!K790,"Sediment (non-saline)"),EXACT(metadata!K790,"Surface (saline)"),EXACT(metadata!K790,"Water (saline)"),EXACT(metadata!K790,"Hypersaline (saline)"),EXACT(metadata!K790,"Aerosol (saline)"),EXACT(metadata!K790,"Sediment (saline)")))</f>
        <v>0</v>
      </c>
      <c r="AW790" t="b">
        <f>IF(metadata!L790="",FALSE,TRUE)</f>
        <v>0</v>
      </c>
      <c r="AX790" t="b">
        <f>IF(metadata!M790="",FALSE,TRUE)</f>
        <v>0</v>
      </c>
      <c r="AY790" t="b">
        <f>IF(metadata!N790="",FALSE,TRUE)</f>
        <v>0</v>
      </c>
      <c r="AZ790" t="b">
        <f>OR(AND(IF(metadata!O790="",FALSE,TRUE),OR(EXACT(metadata!O790,"missing: not collected"),EXACT(metadata!O790,"missing: not provided"),EXACT(metadata!O790,"missing: restricted access"))),AND(IF(metadata!O790="",FALSE,TRUE),OR(EXACT(metadata!O790,"air"),EXACT(metadata!O790,"built environment"),EXACT(metadata!O790,"host-associated"),EXACT(metadata!O790,"human-associated"),EXACT(metadata!O790,"human-skin"),EXACT(metadata!O790,"human-oral"),EXACT(metadata!O790,"human-gut"),EXACT(metadata!O790,"human-vaginal"),EXACT(metadata!O790,"microbial mat/biofilm"),EXACT(metadata!O790,"misc environment"),EXACT(metadata!O790,"plant-associated"),EXACT(metadata!O790,"sediment"),EXACT(metadata!O790,"soil"),EXACT(metadata!O790,"wastewater/sludge"),EXACT(metadata!O790,"water"))))</f>
        <v>0</v>
      </c>
      <c r="BA790" t="b">
        <f>IF(metadata!P790="",FALSE,TRUE)</f>
        <v>0</v>
      </c>
      <c r="BB790" t="b">
        <f>IF(metadata!Q790="",FALSE,TRUE)</f>
        <v>0</v>
      </c>
      <c r="BC790" t="b">
        <f>OR(AND(IF(metadata!R790="",FALSE,TRUE),OR(EXACT(metadata!R790,"missing: not collected"),EXACT(metadata!R790,"missing: not provided"),EXACT(metadata!R790,"missing: restricted access"))),AND(IF(metadata!R790="",FALSE,ISNUMBER(VALUE(metadata!R790))),metadata!R790&gt;=-90,metadata!R790&lt;=90))</f>
        <v>0</v>
      </c>
      <c r="BD790" t="b">
        <f>AND(IF(metadata!S790="",FALSE,TRUE),EXACT(metadata!S790,"Decimal degrees"))</f>
        <v>0</v>
      </c>
      <c r="BE790" t="b">
        <f>OR(AND(IF(metadata!T790="",FALSE,TRUE),OR(EXACT(metadata!T790,"missing: not collected"),EXACT(metadata!T790,"missing: not provided"),EXACT(metadata!T790,"missing: restricted access"))),AND(IF(metadata!T790="",FALSE,ISNUMBER(VALUE(metadata!T790))),metadata!T790&gt;=-180,metadata!T790&lt;=180))</f>
        <v>0</v>
      </c>
      <c r="BF790" t="b">
        <f>AND(IF(metadata!U790="",FALSE,TRUE),EXACT(metadata!U790,"Decimal degrees"))</f>
        <v>0</v>
      </c>
      <c r="BG790" t="b">
        <f>IF(metadata!V790="",FALSE,TRUE)</f>
        <v>0</v>
      </c>
      <c r="BH790" t="b">
        <f>OR(AND(IF(metadata!W790="",FALSE,TRUE),OR(EXACT(metadata!W790,"missing: not collected"),EXACT(metadata!W790,"missing: not provided"),EXACT(metadata!W790,"missing: restricted access"))),AND(IF(metadata!W790="",FALSE,TRUE),OR(EXACT(metadata!W790,"TRUE"),EXACT(metadata!W790,"FALSE"))))</f>
        <v>0</v>
      </c>
      <c r="BI790" t="b">
        <f>AND(IF(metadata!X790="",FALSE,TRUE),EXACT(metadata!X790,"other"))</f>
        <v>0</v>
      </c>
      <c r="BJ790" t="b">
        <f>IF(metadata!Y790="",FALSE,TRUE)</f>
        <v>0</v>
      </c>
      <c r="BK790" t="b">
        <f>OR(AND(IF(metadata!Z790="",FALSE,TRUE),OR(EXACT(metadata!Z790,"missing: not collected"),EXACT(metadata!Z790,"missing: not provided"))),AND(IF(metadata!Z790="",FALSE,IF(ISERROR(INT(metadata!Z790)),FALSE,INT(metadata!Z790)=metadata!Z790)),metadata!Z790&gt;0))</f>
        <v>0</v>
      </c>
      <c r="BL790" t="b">
        <f>AND(IF(metadata!AA790="",FALSE,TRUE),EXACT(metadata!AA790,"Not applicable"))</f>
        <v>0</v>
      </c>
      <c r="BM790" t="b">
        <f>IF(metadata!AB790="",FALSE,TRUE)</f>
        <v>0</v>
      </c>
    </row>
    <row r="791" spans="1:65" x14ac:dyDescent="0.2">
      <c r="A791" s="5" t="str">
        <f ca="1">IF(B791=" "," ",HYPERLINK(CONCATENATE("#metadata!",ADDRESS(INDEX($AH$2:$AH$1001,MATCH(ROWS($AF$2:AF791),$AF$2:$AF$1001,0),0),1)),INDEX($AK$2:$AK$1001,MATCH(ROWS($AF$2:AF791),$AF$2:$AF$1001,0),0)))</f>
        <v xml:space="preserve"> </v>
      </c>
      <c r="B791" s="4" t="str">
        <f ca="1">IF(OR(INDEX($AG$2:$AG$1001,MATCH(ROWS($AF$2:AF791),$AF$2:$AF$1001,0),1)&gt;=100000,INDEX($AM$1005:$BM$1005,1,MATCH(COLUMNS($AM$1006:AM1006),$AM$1006:$BM$1006,0))&gt;=100000), " ",IF(INDEX($AM$2:$BM$1001,MATCH(ROWS($AF$2:AF791),$AF$2:$AF$1001,0),MATCH(COLUMNS($AM$1006:AM1006),$AM$1006:$BM$1006,0)), HYPERLINK("#",""), HYPERLINK(CONCATENATE("#metadata!", ADDRESS(INDEX($AH$2:$AH$1001,MATCH(ROWS($AF$2:AF791),$AF$2:$AF$1001,0),0), INDEX($AM$1004:$BM$1004,1,MATCH(COLUMNS($AM$1006:AM1006),$AM$1006:$BM$1006,0)))),"Fix")))</f>
        <v xml:space="preserve"> </v>
      </c>
      <c r="C791" s="4" t="str">
        <f ca="1">IF(OR(INDEX($AG$2:$AG$1001,MATCH(ROWS($AF$2:AF791),$AF$2:$AF$1001,0),1)&gt;=100000,INDEX($AM$1005:$BM$1005,1,MATCH(COLUMNS($AM$1006:AN1006),$AM$1006:$BM$1006,0))&gt;=100000), " ",IF(INDEX($AM$2:$BM$1001,MATCH(ROWS($AF$2:AF791),$AF$2:$AF$1001,0),MATCH(COLUMNS($AM$1006:AN1006),$AM$1006:$BM$1006,0)), HYPERLINK("#",""), HYPERLINK(CONCATENATE("#metadata!", ADDRESS(INDEX($AH$2:$AH$1001,MATCH(ROWS($AF$2:AF791),$AF$2:$AF$1001,0),0), INDEX($AM$1004:$BM$1004,1,MATCH(COLUMNS($AM$1006:AN1006),$AM$1006:$BM$1006,0)))),"Fix")))</f>
        <v xml:space="preserve"> </v>
      </c>
      <c r="D791" s="4" t="str">
        <f ca="1">IF(OR(INDEX($AG$2:$AG$1001,MATCH(ROWS($AF$2:AF791),$AF$2:$AF$1001,0),1)&gt;=100000,INDEX($AM$1005:$BM$1005,1,MATCH(COLUMNS($AM$1006:AO1006),$AM$1006:$BM$1006,0))&gt;=100000), " ",IF(INDEX($AM$2:$BM$1001,MATCH(ROWS($AF$2:AF791),$AF$2:$AF$1001,0),MATCH(COLUMNS($AM$1006:AO1006),$AM$1006:$BM$1006,0)), HYPERLINK("#",""), HYPERLINK(CONCATENATE("#metadata!", ADDRESS(INDEX($AH$2:$AH$1001,MATCH(ROWS($AF$2:AF791),$AF$2:$AF$1001,0),0), INDEX($AM$1004:$BM$1004,1,MATCH(COLUMNS($AM$1006:AO1006),$AM$1006:$BM$1006,0)))),"Fix")))</f>
        <v xml:space="preserve"> </v>
      </c>
      <c r="E791" s="4" t="str">
        <f ca="1">IF(OR(INDEX($AG$2:$AG$1001,MATCH(ROWS($AF$2:AF791),$AF$2:$AF$1001,0),1)&gt;=100000,INDEX($AM$1005:$BM$1005,1,MATCH(COLUMNS($AM$1006:AP1006),$AM$1006:$BM$1006,0))&gt;=100000), " ",IF(INDEX($AM$2:$BM$1001,MATCH(ROWS($AF$2:AF791),$AF$2:$AF$1001,0),MATCH(COLUMNS($AM$1006:AP1006),$AM$1006:$BM$1006,0)), HYPERLINK("#",""), HYPERLINK(CONCATENATE("#metadata!", ADDRESS(INDEX($AH$2:$AH$1001,MATCH(ROWS($AF$2:AF791),$AF$2:$AF$1001,0),0), INDEX($AM$1004:$BM$1004,1,MATCH(COLUMNS($AM$1006:AP1006),$AM$1006:$BM$1006,0)))),"Fix")))</f>
        <v xml:space="preserve"> </v>
      </c>
      <c r="F791" s="4" t="str">
        <f ca="1">IF(OR(INDEX($AG$2:$AG$1001,MATCH(ROWS($AF$2:AF791),$AF$2:$AF$1001,0),1)&gt;=100000,INDEX($AM$1005:$BM$1005,1,MATCH(COLUMNS($AM$1006:AQ1006),$AM$1006:$BM$1006,0))&gt;=100000), " ",IF(INDEX($AM$2:$BM$1001,MATCH(ROWS($AF$2:AF791),$AF$2:$AF$1001,0),MATCH(COLUMNS($AM$1006:AQ1006),$AM$1006:$BM$1006,0)), HYPERLINK("#",""), HYPERLINK(CONCATENATE("#metadata!", ADDRESS(INDEX($AH$2:$AH$1001,MATCH(ROWS($AF$2:AF791),$AF$2:$AF$1001,0),0), INDEX($AM$1004:$BM$1004,1,MATCH(COLUMNS($AM$1006:AQ1006),$AM$1006:$BM$1006,0)))),"Fix")))</f>
        <v xml:space="preserve"> </v>
      </c>
      <c r="G791" s="4" t="str">
        <f ca="1">IF(OR(INDEX($AG$2:$AG$1001,MATCH(ROWS($AF$2:AF791),$AF$2:$AF$1001,0),1)&gt;=100000,INDEX($AM$1005:$BM$1005,1,MATCH(COLUMNS($AM$1006:AR1006),$AM$1006:$BM$1006,0))&gt;=100000), " ",IF(INDEX($AM$2:$BM$1001,MATCH(ROWS($AF$2:AF791),$AF$2:$AF$1001,0),MATCH(COLUMNS($AM$1006:AR1006),$AM$1006:$BM$1006,0)), HYPERLINK("#",""), HYPERLINK(CONCATENATE("#metadata!", ADDRESS(INDEX($AH$2:$AH$1001,MATCH(ROWS($AF$2:AF791),$AF$2:$AF$1001,0),0), INDEX($AM$1004:$BM$1004,1,MATCH(COLUMNS($AM$1006:AR1006),$AM$1006:$BM$1006,0)))),"Fix")))</f>
        <v xml:space="preserve"> </v>
      </c>
      <c r="H791" s="4" t="str">
        <f ca="1">IF(OR(INDEX($AG$2:$AG$1001,MATCH(ROWS($AF$2:AF791),$AF$2:$AF$1001,0),1)&gt;=100000,INDEX($AM$1005:$BM$1005,1,MATCH(COLUMNS($AM$1006:AS1006),$AM$1006:$BM$1006,0))&gt;=100000), " ",IF(INDEX($AM$2:$BM$1001,MATCH(ROWS($AF$2:AF791),$AF$2:$AF$1001,0),MATCH(COLUMNS($AM$1006:AS1006),$AM$1006:$BM$1006,0)), HYPERLINK("#",""), HYPERLINK(CONCATENATE("#metadata!", ADDRESS(INDEX($AH$2:$AH$1001,MATCH(ROWS($AF$2:AF791),$AF$2:$AF$1001,0),0), INDEX($AM$1004:$BM$1004,1,MATCH(COLUMNS($AM$1006:AS1006),$AM$1006:$BM$1006,0)))),"Fix")))</f>
        <v xml:space="preserve"> </v>
      </c>
      <c r="I791" s="4" t="str">
        <f ca="1">IF(OR(INDEX($AG$2:$AG$1001,MATCH(ROWS($AF$2:AF791),$AF$2:$AF$1001,0),1)&gt;=100000,INDEX($AM$1005:$BM$1005,1,MATCH(COLUMNS($AM$1006:AT1006),$AM$1006:$BM$1006,0))&gt;=100000), " ",IF(INDEX($AM$2:$BM$1001,MATCH(ROWS($AF$2:AF791),$AF$2:$AF$1001,0),MATCH(COLUMNS($AM$1006:AT1006),$AM$1006:$BM$1006,0)), HYPERLINK("#",""), HYPERLINK(CONCATENATE("#metadata!", ADDRESS(INDEX($AH$2:$AH$1001,MATCH(ROWS($AF$2:AF791),$AF$2:$AF$1001,0),0), INDEX($AM$1004:$BM$1004,1,MATCH(COLUMNS($AM$1006:AT1006),$AM$1006:$BM$1006,0)))),"Fix")))</f>
        <v xml:space="preserve"> </v>
      </c>
      <c r="J791" s="4" t="str">
        <f ca="1">IF(OR(INDEX($AG$2:$AG$1001,MATCH(ROWS($AF$2:AF791),$AF$2:$AF$1001,0),1)&gt;=100000,INDEX($AM$1005:$BM$1005,1,MATCH(COLUMNS($AM$1006:AU1006),$AM$1006:$BM$1006,0))&gt;=100000), " ",IF(INDEX($AM$2:$BM$1001,MATCH(ROWS($AF$2:AF791),$AF$2:$AF$1001,0),MATCH(COLUMNS($AM$1006:AU1006),$AM$1006:$BM$1006,0)), HYPERLINK("#",""), HYPERLINK(CONCATENATE("#metadata!", ADDRESS(INDEX($AH$2:$AH$1001,MATCH(ROWS($AF$2:AF791),$AF$2:$AF$1001,0),0), INDEX($AM$1004:$BM$1004,1,MATCH(COLUMNS($AM$1006:AU1006),$AM$1006:$BM$1006,0)))),"Fix")))</f>
        <v xml:space="preserve"> </v>
      </c>
      <c r="K791" s="4" t="str">
        <f ca="1">IF(OR(INDEX($AG$2:$AG$1001,MATCH(ROWS($AF$2:AF791),$AF$2:$AF$1001,0),1)&gt;=100000,INDEX($AM$1005:$BM$1005,1,MATCH(COLUMNS($AM$1006:AV1006),$AM$1006:$BM$1006,0))&gt;=100000), " ",IF(INDEX($AM$2:$BM$1001,MATCH(ROWS($AF$2:AF791),$AF$2:$AF$1001,0),MATCH(COLUMNS($AM$1006:AV1006),$AM$1006:$BM$1006,0)), HYPERLINK("#",""), HYPERLINK(CONCATENATE("#metadata!", ADDRESS(INDEX($AH$2:$AH$1001,MATCH(ROWS($AF$2:AF791),$AF$2:$AF$1001,0),0), INDEX($AM$1004:$BM$1004,1,MATCH(COLUMNS($AM$1006:AV1006),$AM$1006:$BM$1006,0)))),"Fix")))</f>
        <v xml:space="preserve"> </v>
      </c>
      <c r="L791" s="4" t="str">
        <f ca="1">IF(OR(INDEX($AG$2:$AG$1001,MATCH(ROWS($AF$2:AF791),$AF$2:$AF$1001,0),1)&gt;=100000,INDEX($AM$1005:$BM$1005,1,MATCH(COLUMNS($AM$1006:AW1006),$AM$1006:$BM$1006,0))&gt;=100000), " ",IF(INDEX($AM$2:$BM$1001,MATCH(ROWS($AF$2:AF791),$AF$2:$AF$1001,0),MATCH(COLUMNS($AM$1006:AW1006),$AM$1006:$BM$1006,0)), HYPERLINK("#",""), HYPERLINK(CONCATENATE("#metadata!", ADDRESS(INDEX($AH$2:$AH$1001,MATCH(ROWS($AF$2:AF791),$AF$2:$AF$1001,0),0), INDEX($AM$1004:$BM$1004,1,MATCH(COLUMNS($AM$1006:AW1006),$AM$1006:$BM$1006,0)))),"Fix")))</f>
        <v xml:space="preserve"> </v>
      </c>
      <c r="M791" s="4" t="str">
        <f ca="1">IF(OR(INDEX($AG$2:$AG$1001,MATCH(ROWS($AF$2:AF791),$AF$2:$AF$1001,0),1)&gt;=100000,INDEX($AM$1005:$BM$1005,1,MATCH(COLUMNS($AM$1006:AX1006),$AM$1006:$BM$1006,0))&gt;=100000), " ",IF(INDEX($AM$2:$BM$1001,MATCH(ROWS($AF$2:AF791),$AF$2:$AF$1001,0),MATCH(COLUMNS($AM$1006:AX1006),$AM$1006:$BM$1006,0)), HYPERLINK("#",""), HYPERLINK(CONCATENATE("#metadata!", ADDRESS(INDEX($AH$2:$AH$1001,MATCH(ROWS($AF$2:AF791),$AF$2:$AF$1001,0),0), INDEX($AM$1004:$BM$1004,1,MATCH(COLUMNS($AM$1006:AX1006),$AM$1006:$BM$1006,0)))),"Fix")))</f>
        <v xml:space="preserve"> </v>
      </c>
      <c r="N791" s="4" t="str">
        <f ca="1">IF(OR(INDEX($AG$2:$AG$1001,MATCH(ROWS($AF$2:AF791),$AF$2:$AF$1001,0),1)&gt;=100000,INDEX($AM$1005:$BM$1005,1,MATCH(COLUMNS($AM$1006:AY1006),$AM$1006:$BM$1006,0))&gt;=100000), " ",IF(INDEX($AM$2:$BM$1001,MATCH(ROWS($AF$2:AF791),$AF$2:$AF$1001,0),MATCH(COLUMNS($AM$1006:AY1006),$AM$1006:$BM$1006,0)), HYPERLINK("#",""), HYPERLINK(CONCATENATE("#metadata!", ADDRESS(INDEX($AH$2:$AH$1001,MATCH(ROWS($AF$2:AF791),$AF$2:$AF$1001,0),0), INDEX($AM$1004:$BM$1004,1,MATCH(COLUMNS($AM$1006:AY1006),$AM$1006:$BM$1006,0)))),"Fix")))</f>
        <v xml:space="preserve"> </v>
      </c>
      <c r="O791" s="4" t="str">
        <f ca="1">IF(OR(INDEX($AG$2:$AG$1001,MATCH(ROWS($AF$2:AF791),$AF$2:$AF$1001,0),1)&gt;=100000,INDEX($AM$1005:$BM$1005,1,MATCH(COLUMNS($AM$1006:AZ1006),$AM$1006:$BM$1006,0))&gt;=100000), " ",IF(INDEX($AM$2:$BM$1001,MATCH(ROWS($AF$2:AF791),$AF$2:$AF$1001,0),MATCH(COLUMNS($AM$1006:AZ1006),$AM$1006:$BM$1006,0)), HYPERLINK("#",""), HYPERLINK(CONCATENATE("#metadata!", ADDRESS(INDEX($AH$2:$AH$1001,MATCH(ROWS($AF$2:AF791),$AF$2:$AF$1001,0),0), INDEX($AM$1004:$BM$1004,1,MATCH(COLUMNS($AM$1006:AZ1006),$AM$1006:$BM$1006,0)))),"Fix")))</f>
        <v xml:space="preserve"> </v>
      </c>
      <c r="P791" s="4" t="str">
        <f ca="1">IF(OR(INDEX($AG$2:$AG$1001,MATCH(ROWS($AF$2:AF791),$AF$2:$AF$1001,0),1)&gt;=100000,INDEX($AM$1005:$BM$1005,1,MATCH(COLUMNS($AM$1006:BA1006),$AM$1006:$BM$1006,0))&gt;=100000), " ",IF(INDEX($AM$2:$BM$1001,MATCH(ROWS($AF$2:AF791),$AF$2:$AF$1001,0),MATCH(COLUMNS($AM$1006:BA1006),$AM$1006:$BM$1006,0)), HYPERLINK("#",""), HYPERLINK(CONCATENATE("#metadata!", ADDRESS(INDEX($AH$2:$AH$1001,MATCH(ROWS($AF$2:AF791),$AF$2:$AF$1001,0),0), INDEX($AM$1004:$BM$1004,1,MATCH(COLUMNS($AM$1006:BA1006),$AM$1006:$BM$1006,0)))),"Fix")))</f>
        <v xml:space="preserve"> </v>
      </c>
      <c r="Q791" s="4" t="str">
        <f ca="1">IF(OR(INDEX($AG$2:$AG$1001,MATCH(ROWS($AF$2:AF791),$AF$2:$AF$1001,0),1)&gt;=100000,INDEX($AM$1005:$BM$1005,1,MATCH(COLUMNS($AM$1006:BB1006),$AM$1006:$BM$1006,0))&gt;=100000), " ",IF(INDEX($AM$2:$BM$1001,MATCH(ROWS($AF$2:AF791),$AF$2:$AF$1001,0),MATCH(COLUMNS($AM$1006:BB1006),$AM$1006:$BM$1006,0)), HYPERLINK("#",""), HYPERLINK(CONCATENATE("#metadata!", ADDRESS(INDEX($AH$2:$AH$1001,MATCH(ROWS($AF$2:AF791),$AF$2:$AF$1001,0),0), INDEX($AM$1004:$BM$1004,1,MATCH(COLUMNS($AM$1006:BB1006),$AM$1006:$BM$1006,0)))),"Fix")))</f>
        <v xml:space="preserve"> </v>
      </c>
      <c r="R791" s="4" t="str">
        <f ca="1">IF(OR(INDEX($AG$2:$AG$1001,MATCH(ROWS($AF$2:AF791),$AF$2:$AF$1001,0),1)&gt;=100000,INDEX($AM$1005:$BM$1005,1,MATCH(COLUMNS($AM$1006:BC1006),$AM$1006:$BM$1006,0))&gt;=100000), " ",IF(INDEX($AM$2:$BM$1001,MATCH(ROWS($AF$2:AF791),$AF$2:$AF$1001,0),MATCH(COLUMNS($AM$1006:BC1006),$AM$1006:$BM$1006,0)), HYPERLINK("#",""), HYPERLINK(CONCATENATE("#metadata!", ADDRESS(INDEX($AH$2:$AH$1001,MATCH(ROWS($AF$2:AF791),$AF$2:$AF$1001,0),0), INDEX($AM$1004:$BM$1004,1,MATCH(COLUMNS($AM$1006:BC1006),$AM$1006:$BM$1006,0)))),"Fix")))</f>
        <v xml:space="preserve"> </v>
      </c>
      <c r="S791" s="4" t="str">
        <f ca="1">IF(OR(INDEX($AG$2:$AG$1001,MATCH(ROWS($AF$2:AF791),$AF$2:$AF$1001,0),1)&gt;=100000,INDEX($AM$1005:$BM$1005,1,MATCH(COLUMNS($AM$1006:BD1006),$AM$1006:$BM$1006,0))&gt;=100000), " ",IF(INDEX($AM$2:$BM$1001,MATCH(ROWS($AF$2:AF791),$AF$2:$AF$1001,0),MATCH(COLUMNS($AM$1006:BD1006),$AM$1006:$BM$1006,0)), HYPERLINK("#",""), HYPERLINK(CONCATENATE("#metadata!", ADDRESS(INDEX($AH$2:$AH$1001,MATCH(ROWS($AF$2:AF791),$AF$2:$AF$1001,0),0), INDEX($AM$1004:$BM$1004,1,MATCH(COLUMNS($AM$1006:BD1006),$AM$1006:$BM$1006,0)))),"Fix")))</f>
        <v xml:space="preserve"> </v>
      </c>
      <c r="T791" s="4" t="str">
        <f ca="1">IF(OR(INDEX($AG$2:$AG$1001,MATCH(ROWS($AF$2:AF791),$AF$2:$AF$1001,0),1)&gt;=100000,INDEX($AM$1005:$BM$1005,1,MATCH(COLUMNS($AM$1006:BE1006),$AM$1006:$BM$1006,0))&gt;=100000), " ",IF(INDEX($AM$2:$BM$1001,MATCH(ROWS($AF$2:AF791),$AF$2:$AF$1001,0),MATCH(COLUMNS($AM$1006:BE1006),$AM$1006:$BM$1006,0)), HYPERLINK("#",""), HYPERLINK(CONCATENATE("#metadata!", ADDRESS(INDEX($AH$2:$AH$1001,MATCH(ROWS($AF$2:AF791),$AF$2:$AF$1001,0),0), INDEX($AM$1004:$BM$1004,1,MATCH(COLUMNS($AM$1006:BE1006),$AM$1006:$BM$1006,0)))),"Fix")))</f>
        <v xml:space="preserve"> </v>
      </c>
      <c r="U791" s="4" t="str">
        <f ca="1">IF(OR(INDEX($AG$2:$AG$1001,MATCH(ROWS($AF$2:AF791),$AF$2:$AF$1001,0),1)&gt;=100000,INDEX($AM$1005:$BM$1005,1,MATCH(COLUMNS($AM$1006:BF1006),$AM$1006:$BM$1006,0))&gt;=100000), " ",IF(INDEX($AM$2:$BM$1001,MATCH(ROWS($AF$2:AF791),$AF$2:$AF$1001,0),MATCH(COLUMNS($AM$1006:BF1006),$AM$1006:$BM$1006,0)), HYPERLINK("#",""), HYPERLINK(CONCATENATE("#metadata!", ADDRESS(INDEX($AH$2:$AH$1001,MATCH(ROWS($AF$2:AF791),$AF$2:$AF$1001,0),0), INDEX($AM$1004:$BM$1004,1,MATCH(COLUMNS($AM$1006:BF1006),$AM$1006:$BM$1006,0)))),"Fix")))</f>
        <v xml:space="preserve"> </v>
      </c>
      <c r="V791" s="4" t="str">
        <f ca="1">IF(OR(INDEX($AG$2:$AG$1001,MATCH(ROWS($AF$2:AF791),$AF$2:$AF$1001,0),1)&gt;=100000,INDEX($AM$1005:$BM$1005,1,MATCH(COLUMNS($AM$1006:BG1006),$AM$1006:$BM$1006,0))&gt;=100000), " ",IF(INDEX($AM$2:$BM$1001,MATCH(ROWS($AF$2:AF791),$AF$2:$AF$1001,0),MATCH(COLUMNS($AM$1006:BG1006),$AM$1006:$BM$1006,0)), HYPERLINK("#",""), HYPERLINK(CONCATENATE("#metadata!", ADDRESS(INDEX($AH$2:$AH$1001,MATCH(ROWS($AF$2:AF791),$AF$2:$AF$1001,0),0), INDEX($AM$1004:$BM$1004,1,MATCH(COLUMNS($AM$1006:BG1006),$AM$1006:$BM$1006,0)))),"Fix")))</f>
        <v xml:space="preserve"> </v>
      </c>
      <c r="W791" s="4" t="str">
        <f ca="1">IF(OR(INDEX($AG$2:$AG$1001,MATCH(ROWS($AF$2:AF791),$AF$2:$AF$1001,0),1)&gt;=100000,INDEX($AM$1005:$BM$1005,1,MATCH(COLUMNS($AM$1006:BH1006),$AM$1006:$BM$1006,0))&gt;=100000), " ",IF(INDEX($AM$2:$BM$1001,MATCH(ROWS($AF$2:AF791),$AF$2:$AF$1001,0),MATCH(COLUMNS($AM$1006:BH1006),$AM$1006:$BM$1006,0)), HYPERLINK("#",""), HYPERLINK(CONCATENATE("#metadata!", ADDRESS(INDEX($AH$2:$AH$1001,MATCH(ROWS($AF$2:AF791),$AF$2:$AF$1001,0),0), INDEX($AM$1004:$BM$1004,1,MATCH(COLUMNS($AM$1006:BH1006),$AM$1006:$BM$1006,0)))),"Fix")))</f>
        <v xml:space="preserve"> </v>
      </c>
      <c r="X791" s="4" t="str">
        <f ca="1">IF(OR(INDEX($AG$2:$AG$1001,MATCH(ROWS($AF$2:AF791),$AF$2:$AF$1001,0),1)&gt;=100000,INDEX($AM$1005:$BM$1005,1,MATCH(COLUMNS($AM$1006:BI1006),$AM$1006:$BM$1006,0))&gt;=100000), " ",IF(INDEX($AM$2:$BM$1001,MATCH(ROWS($AF$2:AF791),$AF$2:$AF$1001,0),MATCH(COLUMNS($AM$1006:BI1006),$AM$1006:$BM$1006,0)), HYPERLINK("#",""), HYPERLINK(CONCATENATE("#metadata!", ADDRESS(INDEX($AH$2:$AH$1001,MATCH(ROWS($AF$2:AF791),$AF$2:$AF$1001,0),0), INDEX($AM$1004:$BM$1004,1,MATCH(COLUMNS($AM$1006:BI1006),$AM$1006:$BM$1006,0)))),"Fix")))</f>
        <v xml:space="preserve"> </v>
      </c>
      <c r="Y791" s="4" t="str">
        <f ca="1">IF(OR(INDEX($AG$2:$AG$1001,MATCH(ROWS($AF$2:AF791),$AF$2:$AF$1001,0),1)&gt;=100000,INDEX($AM$1005:$BM$1005,1,MATCH(COLUMNS($AM$1006:BJ1006),$AM$1006:$BM$1006,0))&gt;=100000), " ",IF(INDEX($AM$2:$BM$1001,MATCH(ROWS($AF$2:AF791),$AF$2:$AF$1001,0),MATCH(COLUMNS($AM$1006:BJ1006),$AM$1006:$BM$1006,0)), HYPERLINK("#",""), HYPERLINK(CONCATENATE("#metadata!", ADDRESS(INDEX($AH$2:$AH$1001,MATCH(ROWS($AF$2:AF791),$AF$2:$AF$1001,0),0), INDEX($AM$1004:$BM$1004,1,MATCH(COLUMNS($AM$1006:BJ1006),$AM$1006:$BM$1006,0)))),"Fix")))</f>
        <v xml:space="preserve"> </v>
      </c>
      <c r="Z791" s="4" t="str">
        <f ca="1">IF(OR(INDEX($AG$2:$AG$1001,MATCH(ROWS($AF$2:AF791),$AF$2:$AF$1001,0),1)&gt;=100000,INDEX($AM$1005:$BM$1005,1,MATCH(COLUMNS($AM$1006:BK1006),$AM$1006:$BM$1006,0))&gt;=100000), " ",IF(INDEX($AM$2:$BM$1001,MATCH(ROWS($AF$2:AF791),$AF$2:$AF$1001,0),MATCH(COLUMNS($AM$1006:BK1006),$AM$1006:$BM$1006,0)), HYPERLINK("#",""), HYPERLINK(CONCATENATE("#metadata!", ADDRESS(INDEX($AH$2:$AH$1001,MATCH(ROWS($AF$2:AF791),$AF$2:$AF$1001,0),0), INDEX($AM$1004:$BM$1004,1,MATCH(COLUMNS($AM$1006:BK1006),$AM$1006:$BM$1006,0)))),"Fix")))</f>
        <v xml:space="preserve"> </v>
      </c>
      <c r="AA791" s="4" t="str">
        <f ca="1">IF(OR(INDEX($AG$2:$AG$1001,MATCH(ROWS($AF$2:AF791),$AF$2:$AF$1001,0),1)&gt;=100000,INDEX($AM$1005:$BM$1005,1,MATCH(COLUMNS($AM$1006:BL1006),$AM$1006:$BM$1006,0))&gt;=100000), " ",IF(INDEX($AM$2:$BM$1001,MATCH(ROWS($AF$2:AF791),$AF$2:$AF$1001,0),MATCH(COLUMNS($AM$1006:BL1006),$AM$1006:$BM$1006,0)), HYPERLINK("#",""), HYPERLINK(CONCATENATE("#metadata!", ADDRESS(INDEX($AH$2:$AH$1001,MATCH(ROWS($AF$2:AF791),$AF$2:$AF$1001,0),0), INDEX($AM$1004:$BM$1004,1,MATCH(COLUMNS($AM$1006:BL1006),$AM$1006:$BM$1006,0)))),"Fix")))</f>
        <v xml:space="preserve"> </v>
      </c>
      <c r="AB791" s="4" t="str">
        <f ca="1">IF(OR(INDEX($AG$2:$AG$1001,MATCH(ROWS($AF$2:AF791),$AF$2:$AF$1001,0),1)&gt;=100000,INDEX($AM$1005:$BM$1005,1,MATCH(COLUMNS($AM$1006:BM1006),$AM$1006:$BM$1006,0))&gt;=100000), " ",IF(INDEX($AM$2:$BM$1001,MATCH(ROWS($AF$2:AF791),$AF$2:$AF$1001,0),MATCH(COLUMNS($AM$1006:BM1006),$AM$1006:$BM$1006,0)), HYPERLINK("#",""), HYPERLINK(CONCATENATE("#metadata!", ADDRESS(INDEX($AH$2:$AH$1001,MATCH(ROWS($AF$2:AF791),$AF$2:$AF$1001,0),0), INDEX($AM$1004:$BM$1004,1,MATCH(COLUMNS($AM$1006:BM1006),$AM$1006:$BM$1006,0)))),"Fix")))</f>
        <v xml:space="preserve"> </v>
      </c>
      <c r="AF791">
        <v>790</v>
      </c>
      <c r="AG791">
        <v>100791</v>
      </c>
      <c r="AH791">
        <v>791</v>
      </c>
      <c r="AI791" t="b">
        <f t="shared" si="12"/>
        <v>1</v>
      </c>
      <c r="AJ791" t="b">
        <f>COUNTBLANK(metadata!B791:AB791)=COLUMNS(metadata!B791:AB791)</f>
        <v>1</v>
      </c>
      <c r="AK791" t="str">
        <v/>
      </c>
      <c r="AM791" t="b">
        <f ca="1">AND(IF(metadata!B791="",FALSE,TRUE),COUNTIF(metadata!B:B, metadata!B791) = 1,NOT(ISERROR(SUMPRODUCT(SEARCH(MID(metadata!B791,ROW(INDIRECT("1:"&amp;LEN(metadata!B791))), 1),"0123456789abcdefghijklmnopqrstuvwxyzABCDEFGHIJKLMNOPQRSTUVWXYZ.")))))</f>
        <v>0</v>
      </c>
      <c r="AN791" t="b">
        <f ca="1">OR(AND(IF(metadata!C791="",FALSE,TRUE),OR(EXACT(metadata!C791,"missing: not collected"),EXACT(metadata!C791,"missing: not provided"),EXACT(metadata!C791,"missing: restricted access"))),AND(IF(metadata!C791="",FALSE,TRUE),AND(AND(IFERROR(INT(LEFT(metadata!C791,4))&gt;1900,FALSE),IFERROR(INT(LEFT(metadata!C791,4))&lt;=YEAR(NOW()),FALSE)), OR(MID(metadata!C791,5,1)="", AND(AND(MID(metadata!C791,5,1)="-",IFERROR(INT(MID(metadata!C791,6,1))&gt;=0,FALSE),IFERROR(INT(MID(metadata!C791,6,1))&lt;=1,FALSE),NOT(MID(metadata!C791,7,1)=""),IFERROR(INT(MID(metadata!C791,6,2))&gt;=1,FALSE),IFERROR(INT(MID(metadata!C791,6,2))&lt;=12,FALSE)), OR(MID(metadata!C791,8,1)="", AND(AND(MID(metadata!C791,8,1)="-",IFERROR(INT(MID(metadata!C791,9,1))&gt;=0,FALSE),IFERROR(INT(MID(metadata!C791,9,1))&lt;=3,FALSE),NOT(MID(metadata!C791,10,1)=""),IFERROR(INT(MID(metadata!C791,9,2))&gt;=1,FALSE),IFERROR(INT(MID(metadata!C791,9,2))&lt;=31,FALSE)), OR(MID(metadata!C791,11,1)="", AND(AND(MID(metadata!C791,11,1)=" ",IFERROR(INT(MID(metadata!C791,12,1))&gt;=0,FALSE),IFERROR(INT(MID(metadata!C791,12,1))&lt;=2,FALSE),NOT(MID(metadata!C791,13,1)=""),IFERROR(INT(MID(metadata!C791,12,2))&gt;=0,FALSE),IFERROR(INT(MID(metadata!C791,12,2))&lt;=23,FALSE)), OR(MID(metadata!C791,14,1)="", AND(AND(MID(metadata!C791,14,1)=":",IFERROR(INT(MID(metadata!C791,15,1))&gt;=0,FALSE),IFERROR(INT(MID(metadata!C791,15,1))&lt;=5,FALSE),NOT(MID(metadata!C791,16,1)=""),IFERROR(INT(MID(metadata!C791,15,2))&gt;=0,FALSE),IFERROR(INT(MID(metadata!C791,15,2))&lt;=59,FALSE)), OR(MID(metadata!C791,17,1)="", AND(AND(MID(metadata!C791,17,1)=":",IFERROR(INT(MID(metadata!C791,18,1))&gt;=0,FALSE),IFERROR(INT(MID(metadata!C791,18,1))&lt;=5,FALSE),NOT(MID(metadata!C791,19,1)=""),IFERROR(INT(MID(metadata!C791,18,2))&gt;=0,FALSE),IFERROR(INT(MID(metadata!C791,18,2))&lt;=59,FALSE)), LEN(metadata!C791)&lt;=19)))))))))))))</f>
        <v>0</v>
      </c>
      <c r="AO791" t="b">
        <f>AND(IF(metadata!D791="",FALSE,TRUE),EXACT(metadata!D791,"Not applicable"))</f>
        <v>0</v>
      </c>
      <c r="AP791" t="b">
        <f>IF(metadata!E791="",FALSE,TRUE)</f>
        <v>0</v>
      </c>
      <c r="AQ791" t="b">
        <f>OR(AND(IF(metadata!F791="",FALSE,TRUE),OR(EXACT(metadata!F791,"missing: not collected"),EXACT(metadata!F791,"missing: not provided"))),AND(IF(metadata!F791="",FALSE,TRUE),OR(EXACT(metadata!F791,"TRUE"),EXACT(metadata!F791,"FALSE"))))</f>
        <v>0</v>
      </c>
      <c r="AR791" t="b">
        <f>OR(AND(IF(metadata!G791="",FALSE,TRUE),OR(EXACT(metadata!G791,"missing: not collected"),EXACT(metadata!G791,"missing: not provided"),EXACT(metadata!G791,"missing: restricted access"))),AND(IF(metadata!G791="",FALSE,ISNUMBER(VALUE(metadata!G791))),metadata!G791&gt;=-413))</f>
        <v>0</v>
      </c>
      <c r="AS791" t="b">
        <f>AND(IF(metadata!H791="",FALSE,TRUE),EXACT(metadata!H791,"meters"))</f>
        <v>0</v>
      </c>
      <c r="AT791" t="b">
        <f>AND(IF(metadata!I791="",FALSE,TRUE),OR(EXACT(metadata!I791,"Host-associated"),EXACT(metadata!I791,"Free-living")))</f>
        <v>0</v>
      </c>
      <c r="AU791" t="b">
        <f>AND(IF(metadata!J791="",FALSE,TRUE),OR(EXACT(metadata!J791,"Animal"),EXACT(metadata!J791,"Fungus"),EXACT(metadata!J791,"Plant"),EXACT(metadata!J791,"Saline"),EXACT(metadata!J791,"Non-saline")))</f>
        <v>0</v>
      </c>
      <c r="AV791" t="b">
        <f>AND(IF(metadata!K791="",FALSE,TRUE),OR(EXACT(metadata!K791,"Plant secretion"),EXACT(metadata!K791,"Plant rhizosphere"),EXACT(metadata!K791,"Plant surface"),EXACT(metadata!K791,"Plant corpus"),EXACT(metadata!K791,"Fungus surface"),EXACT(metadata!K791,"Fungus corpus"),EXACT(metadata!K791,"Animal surface"),EXACT(metadata!K791,"Animal proximal gut"),EXACT(metadata!K791,"Animal corpus"),EXACT(metadata!K791,"Animal distal gut"),EXACT(metadata!K791,"Animal secretion"),EXACT(metadata!K791,"Sub-surface (non-saline)"),EXACT(metadata!K791,"Surface (non-saline)"),EXACT(metadata!K791,"Water (non-saline)"),EXACT(metadata!K791,"Soil (non-saline)"),EXACT(metadata!K791,"Aerosol (non-saline)"),EXACT(metadata!K791,"Sediment (non-saline)"),EXACT(metadata!K791,"Surface (saline)"),EXACT(metadata!K791,"Water (saline)"),EXACT(metadata!K791,"Hypersaline (saline)"),EXACT(metadata!K791,"Aerosol (saline)"),EXACT(metadata!K791,"Sediment (saline)")))</f>
        <v>0</v>
      </c>
      <c r="AW791" t="b">
        <f>IF(metadata!L791="",FALSE,TRUE)</f>
        <v>0</v>
      </c>
      <c r="AX791" t="b">
        <f>IF(metadata!M791="",FALSE,TRUE)</f>
        <v>0</v>
      </c>
      <c r="AY791" t="b">
        <f>IF(metadata!N791="",FALSE,TRUE)</f>
        <v>0</v>
      </c>
      <c r="AZ791" t="b">
        <f>OR(AND(IF(metadata!O791="",FALSE,TRUE),OR(EXACT(metadata!O791,"missing: not collected"),EXACT(metadata!O791,"missing: not provided"),EXACT(metadata!O791,"missing: restricted access"))),AND(IF(metadata!O791="",FALSE,TRUE),OR(EXACT(metadata!O791,"air"),EXACT(metadata!O791,"built environment"),EXACT(metadata!O791,"host-associated"),EXACT(metadata!O791,"human-associated"),EXACT(metadata!O791,"human-skin"),EXACT(metadata!O791,"human-oral"),EXACT(metadata!O791,"human-gut"),EXACT(metadata!O791,"human-vaginal"),EXACT(metadata!O791,"microbial mat/biofilm"),EXACT(metadata!O791,"misc environment"),EXACT(metadata!O791,"plant-associated"),EXACT(metadata!O791,"sediment"),EXACT(metadata!O791,"soil"),EXACT(metadata!O791,"wastewater/sludge"),EXACT(metadata!O791,"water"))))</f>
        <v>0</v>
      </c>
      <c r="BA791" t="b">
        <f>IF(metadata!P791="",FALSE,TRUE)</f>
        <v>0</v>
      </c>
      <c r="BB791" t="b">
        <f>IF(metadata!Q791="",FALSE,TRUE)</f>
        <v>0</v>
      </c>
      <c r="BC791" t="b">
        <f>OR(AND(IF(metadata!R791="",FALSE,TRUE),OR(EXACT(metadata!R791,"missing: not collected"),EXACT(metadata!R791,"missing: not provided"),EXACT(metadata!R791,"missing: restricted access"))),AND(IF(metadata!R791="",FALSE,ISNUMBER(VALUE(metadata!R791))),metadata!R791&gt;=-90,metadata!R791&lt;=90))</f>
        <v>0</v>
      </c>
      <c r="BD791" t="b">
        <f>AND(IF(metadata!S791="",FALSE,TRUE),EXACT(metadata!S791,"Decimal degrees"))</f>
        <v>0</v>
      </c>
      <c r="BE791" t="b">
        <f>OR(AND(IF(metadata!T791="",FALSE,TRUE),OR(EXACT(metadata!T791,"missing: not collected"),EXACT(metadata!T791,"missing: not provided"),EXACT(metadata!T791,"missing: restricted access"))),AND(IF(metadata!T791="",FALSE,ISNUMBER(VALUE(metadata!T791))),metadata!T791&gt;=-180,metadata!T791&lt;=180))</f>
        <v>0</v>
      </c>
      <c r="BF791" t="b">
        <f>AND(IF(metadata!U791="",FALSE,TRUE),EXACT(metadata!U791,"Decimal degrees"))</f>
        <v>0</v>
      </c>
      <c r="BG791" t="b">
        <f>IF(metadata!V791="",FALSE,TRUE)</f>
        <v>0</v>
      </c>
      <c r="BH791" t="b">
        <f>OR(AND(IF(metadata!W791="",FALSE,TRUE),OR(EXACT(metadata!W791,"missing: not collected"),EXACT(metadata!W791,"missing: not provided"),EXACT(metadata!W791,"missing: restricted access"))),AND(IF(metadata!W791="",FALSE,TRUE),OR(EXACT(metadata!W791,"TRUE"),EXACT(metadata!W791,"FALSE"))))</f>
        <v>0</v>
      </c>
      <c r="BI791" t="b">
        <f>AND(IF(metadata!X791="",FALSE,TRUE),EXACT(metadata!X791,"other"))</f>
        <v>0</v>
      </c>
      <c r="BJ791" t="b">
        <f>IF(metadata!Y791="",FALSE,TRUE)</f>
        <v>0</v>
      </c>
      <c r="BK791" t="b">
        <f>OR(AND(IF(metadata!Z791="",FALSE,TRUE),OR(EXACT(metadata!Z791,"missing: not collected"),EXACT(metadata!Z791,"missing: not provided"))),AND(IF(metadata!Z791="",FALSE,IF(ISERROR(INT(metadata!Z791)),FALSE,INT(metadata!Z791)=metadata!Z791)),metadata!Z791&gt;0))</f>
        <v>0</v>
      </c>
      <c r="BL791" t="b">
        <f>AND(IF(metadata!AA791="",FALSE,TRUE),EXACT(metadata!AA791,"Not applicable"))</f>
        <v>0</v>
      </c>
      <c r="BM791" t="b">
        <f>IF(metadata!AB791="",FALSE,TRUE)</f>
        <v>0</v>
      </c>
    </row>
    <row r="792" spans="1:65" x14ac:dyDescent="0.2">
      <c r="A792" s="5" t="str">
        <f ca="1">IF(B792=" "," ",HYPERLINK(CONCATENATE("#metadata!",ADDRESS(INDEX($AH$2:$AH$1001,MATCH(ROWS($AF$2:AF792),$AF$2:$AF$1001,0),0),1)),INDEX($AK$2:$AK$1001,MATCH(ROWS($AF$2:AF792),$AF$2:$AF$1001,0),0)))</f>
        <v xml:space="preserve"> </v>
      </c>
      <c r="B792" s="4" t="str">
        <f ca="1">IF(OR(INDEX($AG$2:$AG$1001,MATCH(ROWS($AF$2:AF792),$AF$2:$AF$1001,0),1)&gt;=100000,INDEX($AM$1005:$BM$1005,1,MATCH(COLUMNS($AM$1006:AM1006),$AM$1006:$BM$1006,0))&gt;=100000), " ",IF(INDEX($AM$2:$BM$1001,MATCH(ROWS($AF$2:AF792),$AF$2:$AF$1001,0),MATCH(COLUMNS($AM$1006:AM1006),$AM$1006:$BM$1006,0)), HYPERLINK("#",""), HYPERLINK(CONCATENATE("#metadata!", ADDRESS(INDEX($AH$2:$AH$1001,MATCH(ROWS($AF$2:AF792),$AF$2:$AF$1001,0),0), INDEX($AM$1004:$BM$1004,1,MATCH(COLUMNS($AM$1006:AM1006),$AM$1006:$BM$1006,0)))),"Fix")))</f>
        <v xml:space="preserve"> </v>
      </c>
      <c r="C792" s="4" t="str">
        <f ca="1">IF(OR(INDEX($AG$2:$AG$1001,MATCH(ROWS($AF$2:AF792),$AF$2:$AF$1001,0),1)&gt;=100000,INDEX($AM$1005:$BM$1005,1,MATCH(COLUMNS($AM$1006:AN1006),$AM$1006:$BM$1006,0))&gt;=100000), " ",IF(INDEX($AM$2:$BM$1001,MATCH(ROWS($AF$2:AF792),$AF$2:$AF$1001,0),MATCH(COLUMNS($AM$1006:AN1006),$AM$1006:$BM$1006,0)), HYPERLINK("#",""), HYPERLINK(CONCATENATE("#metadata!", ADDRESS(INDEX($AH$2:$AH$1001,MATCH(ROWS($AF$2:AF792),$AF$2:$AF$1001,0),0), INDEX($AM$1004:$BM$1004,1,MATCH(COLUMNS($AM$1006:AN1006),$AM$1006:$BM$1006,0)))),"Fix")))</f>
        <v xml:space="preserve"> </v>
      </c>
      <c r="D792" s="4" t="str">
        <f ca="1">IF(OR(INDEX($AG$2:$AG$1001,MATCH(ROWS($AF$2:AF792),$AF$2:$AF$1001,0),1)&gt;=100000,INDEX($AM$1005:$BM$1005,1,MATCH(COLUMNS($AM$1006:AO1006),$AM$1006:$BM$1006,0))&gt;=100000), " ",IF(INDEX($AM$2:$BM$1001,MATCH(ROWS($AF$2:AF792),$AF$2:$AF$1001,0),MATCH(COLUMNS($AM$1006:AO1006),$AM$1006:$BM$1006,0)), HYPERLINK("#",""), HYPERLINK(CONCATENATE("#metadata!", ADDRESS(INDEX($AH$2:$AH$1001,MATCH(ROWS($AF$2:AF792),$AF$2:$AF$1001,0),0), INDEX($AM$1004:$BM$1004,1,MATCH(COLUMNS($AM$1006:AO1006),$AM$1006:$BM$1006,0)))),"Fix")))</f>
        <v xml:space="preserve"> </v>
      </c>
      <c r="E792" s="4" t="str">
        <f ca="1">IF(OR(INDEX($AG$2:$AG$1001,MATCH(ROWS($AF$2:AF792),$AF$2:$AF$1001,0),1)&gt;=100000,INDEX($AM$1005:$BM$1005,1,MATCH(COLUMNS($AM$1006:AP1006),$AM$1006:$BM$1006,0))&gt;=100000), " ",IF(INDEX($AM$2:$BM$1001,MATCH(ROWS($AF$2:AF792),$AF$2:$AF$1001,0),MATCH(COLUMNS($AM$1006:AP1006),$AM$1006:$BM$1006,0)), HYPERLINK("#",""), HYPERLINK(CONCATENATE("#metadata!", ADDRESS(INDEX($AH$2:$AH$1001,MATCH(ROWS($AF$2:AF792),$AF$2:$AF$1001,0),0), INDEX($AM$1004:$BM$1004,1,MATCH(COLUMNS($AM$1006:AP1006),$AM$1006:$BM$1006,0)))),"Fix")))</f>
        <v xml:space="preserve"> </v>
      </c>
      <c r="F792" s="4" t="str">
        <f ca="1">IF(OR(INDEX($AG$2:$AG$1001,MATCH(ROWS($AF$2:AF792),$AF$2:$AF$1001,0),1)&gt;=100000,INDEX($AM$1005:$BM$1005,1,MATCH(COLUMNS($AM$1006:AQ1006),$AM$1006:$BM$1006,0))&gt;=100000), " ",IF(INDEX($AM$2:$BM$1001,MATCH(ROWS($AF$2:AF792),$AF$2:$AF$1001,0),MATCH(COLUMNS($AM$1006:AQ1006),$AM$1006:$BM$1006,0)), HYPERLINK("#",""), HYPERLINK(CONCATENATE("#metadata!", ADDRESS(INDEX($AH$2:$AH$1001,MATCH(ROWS($AF$2:AF792),$AF$2:$AF$1001,0),0), INDEX($AM$1004:$BM$1004,1,MATCH(COLUMNS($AM$1006:AQ1006),$AM$1006:$BM$1006,0)))),"Fix")))</f>
        <v xml:space="preserve"> </v>
      </c>
      <c r="G792" s="4" t="str">
        <f ca="1">IF(OR(INDEX($AG$2:$AG$1001,MATCH(ROWS($AF$2:AF792),$AF$2:$AF$1001,0),1)&gt;=100000,INDEX($AM$1005:$BM$1005,1,MATCH(COLUMNS($AM$1006:AR1006),$AM$1006:$BM$1006,0))&gt;=100000), " ",IF(INDEX($AM$2:$BM$1001,MATCH(ROWS($AF$2:AF792),$AF$2:$AF$1001,0),MATCH(COLUMNS($AM$1006:AR1006),$AM$1006:$BM$1006,0)), HYPERLINK("#",""), HYPERLINK(CONCATENATE("#metadata!", ADDRESS(INDEX($AH$2:$AH$1001,MATCH(ROWS($AF$2:AF792),$AF$2:$AF$1001,0),0), INDEX($AM$1004:$BM$1004,1,MATCH(COLUMNS($AM$1006:AR1006),$AM$1006:$BM$1006,0)))),"Fix")))</f>
        <v xml:space="preserve"> </v>
      </c>
      <c r="H792" s="4" t="str">
        <f ca="1">IF(OR(INDEX($AG$2:$AG$1001,MATCH(ROWS($AF$2:AF792),$AF$2:$AF$1001,0),1)&gt;=100000,INDEX($AM$1005:$BM$1005,1,MATCH(COLUMNS($AM$1006:AS1006),$AM$1006:$BM$1006,0))&gt;=100000), " ",IF(INDEX($AM$2:$BM$1001,MATCH(ROWS($AF$2:AF792),$AF$2:$AF$1001,0),MATCH(COLUMNS($AM$1006:AS1006),$AM$1006:$BM$1006,0)), HYPERLINK("#",""), HYPERLINK(CONCATENATE("#metadata!", ADDRESS(INDEX($AH$2:$AH$1001,MATCH(ROWS($AF$2:AF792),$AF$2:$AF$1001,0),0), INDEX($AM$1004:$BM$1004,1,MATCH(COLUMNS($AM$1006:AS1006),$AM$1006:$BM$1006,0)))),"Fix")))</f>
        <v xml:space="preserve"> </v>
      </c>
      <c r="I792" s="4" t="str">
        <f ca="1">IF(OR(INDEX($AG$2:$AG$1001,MATCH(ROWS($AF$2:AF792),$AF$2:$AF$1001,0),1)&gt;=100000,INDEX($AM$1005:$BM$1005,1,MATCH(COLUMNS($AM$1006:AT1006),$AM$1006:$BM$1006,0))&gt;=100000), " ",IF(INDEX($AM$2:$BM$1001,MATCH(ROWS($AF$2:AF792),$AF$2:$AF$1001,0),MATCH(COLUMNS($AM$1006:AT1006),$AM$1006:$BM$1006,0)), HYPERLINK("#",""), HYPERLINK(CONCATENATE("#metadata!", ADDRESS(INDEX($AH$2:$AH$1001,MATCH(ROWS($AF$2:AF792),$AF$2:$AF$1001,0),0), INDEX($AM$1004:$BM$1004,1,MATCH(COLUMNS($AM$1006:AT1006),$AM$1006:$BM$1006,0)))),"Fix")))</f>
        <v xml:space="preserve"> </v>
      </c>
      <c r="J792" s="4" t="str">
        <f ca="1">IF(OR(INDEX($AG$2:$AG$1001,MATCH(ROWS($AF$2:AF792),$AF$2:$AF$1001,0),1)&gt;=100000,INDEX($AM$1005:$BM$1005,1,MATCH(COLUMNS($AM$1006:AU1006),$AM$1006:$BM$1006,0))&gt;=100000), " ",IF(INDEX($AM$2:$BM$1001,MATCH(ROWS($AF$2:AF792),$AF$2:$AF$1001,0),MATCH(COLUMNS($AM$1006:AU1006),$AM$1006:$BM$1006,0)), HYPERLINK("#",""), HYPERLINK(CONCATENATE("#metadata!", ADDRESS(INDEX($AH$2:$AH$1001,MATCH(ROWS($AF$2:AF792),$AF$2:$AF$1001,0),0), INDEX($AM$1004:$BM$1004,1,MATCH(COLUMNS($AM$1006:AU1006),$AM$1006:$BM$1006,0)))),"Fix")))</f>
        <v xml:space="preserve"> </v>
      </c>
      <c r="K792" s="4" t="str">
        <f ca="1">IF(OR(INDEX($AG$2:$AG$1001,MATCH(ROWS($AF$2:AF792),$AF$2:$AF$1001,0),1)&gt;=100000,INDEX($AM$1005:$BM$1005,1,MATCH(COLUMNS($AM$1006:AV1006),$AM$1006:$BM$1006,0))&gt;=100000), " ",IF(INDEX($AM$2:$BM$1001,MATCH(ROWS($AF$2:AF792),$AF$2:$AF$1001,0),MATCH(COLUMNS($AM$1006:AV1006),$AM$1006:$BM$1006,0)), HYPERLINK("#",""), HYPERLINK(CONCATENATE("#metadata!", ADDRESS(INDEX($AH$2:$AH$1001,MATCH(ROWS($AF$2:AF792),$AF$2:$AF$1001,0),0), INDEX($AM$1004:$BM$1004,1,MATCH(COLUMNS($AM$1006:AV1006),$AM$1006:$BM$1006,0)))),"Fix")))</f>
        <v xml:space="preserve"> </v>
      </c>
      <c r="L792" s="4" t="str">
        <f ca="1">IF(OR(INDEX($AG$2:$AG$1001,MATCH(ROWS($AF$2:AF792),$AF$2:$AF$1001,0),1)&gt;=100000,INDEX($AM$1005:$BM$1005,1,MATCH(COLUMNS($AM$1006:AW1006),$AM$1006:$BM$1006,0))&gt;=100000), " ",IF(INDEX($AM$2:$BM$1001,MATCH(ROWS($AF$2:AF792),$AF$2:$AF$1001,0),MATCH(COLUMNS($AM$1006:AW1006),$AM$1006:$BM$1006,0)), HYPERLINK("#",""), HYPERLINK(CONCATENATE("#metadata!", ADDRESS(INDEX($AH$2:$AH$1001,MATCH(ROWS($AF$2:AF792),$AF$2:$AF$1001,0),0), INDEX($AM$1004:$BM$1004,1,MATCH(COLUMNS($AM$1006:AW1006),$AM$1006:$BM$1006,0)))),"Fix")))</f>
        <v xml:space="preserve"> </v>
      </c>
      <c r="M792" s="4" t="str">
        <f ca="1">IF(OR(INDEX($AG$2:$AG$1001,MATCH(ROWS($AF$2:AF792),$AF$2:$AF$1001,0),1)&gt;=100000,INDEX($AM$1005:$BM$1005,1,MATCH(COLUMNS($AM$1006:AX1006),$AM$1006:$BM$1006,0))&gt;=100000), " ",IF(INDEX($AM$2:$BM$1001,MATCH(ROWS($AF$2:AF792),$AF$2:$AF$1001,0),MATCH(COLUMNS($AM$1006:AX1006),$AM$1006:$BM$1006,0)), HYPERLINK("#",""), HYPERLINK(CONCATENATE("#metadata!", ADDRESS(INDEX($AH$2:$AH$1001,MATCH(ROWS($AF$2:AF792),$AF$2:$AF$1001,0),0), INDEX($AM$1004:$BM$1004,1,MATCH(COLUMNS($AM$1006:AX1006),$AM$1006:$BM$1006,0)))),"Fix")))</f>
        <v xml:space="preserve"> </v>
      </c>
      <c r="N792" s="4" t="str">
        <f ca="1">IF(OR(INDEX($AG$2:$AG$1001,MATCH(ROWS($AF$2:AF792),$AF$2:$AF$1001,0),1)&gt;=100000,INDEX($AM$1005:$BM$1005,1,MATCH(COLUMNS($AM$1006:AY1006),$AM$1006:$BM$1006,0))&gt;=100000), " ",IF(INDEX($AM$2:$BM$1001,MATCH(ROWS($AF$2:AF792),$AF$2:$AF$1001,0),MATCH(COLUMNS($AM$1006:AY1006),$AM$1006:$BM$1006,0)), HYPERLINK("#",""), HYPERLINK(CONCATENATE("#metadata!", ADDRESS(INDEX($AH$2:$AH$1001,MATCH(ROWS($AF$2:AF792),$AF$2:$AF$1001,0),0), INDEX($AM$1004:$BM$1004,1,MATCH(COLUMNS($AM$1006:AY1006),$AM$1006:$BM$1006,0)))),"Fix")))</f>
        <v xml:space="preserve"> </v>
      </c>
      <c r="O792" s="4" t="str">
        <f ca="1">IF(OR(INDEX($AG$2:$AG$1001,MATCH(ROWS($AF$2:AF792),$AF$2:$AF$1001,0),1)&gt;=100000,INDEX($AM$1005:$BM$1005,1,MATCH(COLUMNS($AM$1006:AZ1006),$AM$1006:$BM$1006,0))&gt;=100000), " ",IF(INDEX($AM$2:$BM$1001,MATCH(ROWS($AF$2:AF792),$AF$2:$AF$1001,0),MATCH(COLUMNS($AM$1006:AZ1006),$AM$1006:$BM$1006,0)), HYPERLINK("#",""), HYPERLINK(CONCATENATE("#metadata!", ADDRESS(INDEX($AH$2:$AH$1001,MATCH(ROWS($AF$2:AF792),$AF$2:$AF$1001,0),0), INDEX($AM$1004:$BM$1004,1,MATCH(COLUMNS($AM$1006:AZ1006),$AM$1006:$BM$1006,0)))),"Fix")))</f>
        <v xml:space="preserve"> </v>
      </c>
      <c r="P792" s="4" t="str">
        <f ca="1">IF(OR(INDEX($AG$2:$AG$1001,MATCH(ROWS($AF$2:AF792),$AF$2:$AF$1001,0),1)&gt;=100000,INDEX($AM$1005:$BM$1005,1,MATCH(COLUMNS($AM$1006:BA1006),$AM$1006:$BM$1006,0))&gt;=100000), " ",IF(INDEX($AM$2:$BM$1001,MATCH(ROWS($AF$2:AF792),$AF$2:$AF$1001,0),MATCH(COLUMNS($AM$1006:BA1006),$AM$1006:$BM$1006,0)), HYPERLINK("#",""), HYPERLINK(CONCATENATE("#metadata!", ADDRESS(INDEX($AH$2:$AH$1001,MATCH(ROWS($AF$2:AF792),$AF$2:$AF$1001,0),0), INDEX($AM$1004:$BM$1004,1,MATCH(COLUMNS($AM$1006:BA1006),$AM$1006:$BM$1006,0)))),"Fix")))</f>
        <v xml:space="preserve"> </v>
      </c>
      <c r="Q792" s="4" t="str">
        <f ca="1">IF(OR(INDEX($AG$2:$AG$1001,MATCH(ROWS($AF$2:AF792),$AF$2:$AF$1001,0),1)&gt;=100000,INDEX($AM$1005:$BM$1005,1,MATCH(COLUMNS($AM$1006:BB1006),$AM$1006:$BM$1006,0))&gt;=100000), " ",IF(INDEX($AM$2:$BM$1001,MATCH(ROWS($AF$2:AF792),$AF$2:$AF$1001,0),MATCH(COLUMNS($AM$1006:BB1006),$AM$1006:$BM$1006,0)), HYPERLINK("#",""), HYPERLINK(CONCATENATE("#metadata!", ADDRESS(INDEX($AH$2:$AH$1001,MATCH(ROWS($AF$2:AF792),$AF$2:$AF$1001,0),0), INDEX($AM$1004:$BM$1004,1,MATCH(COLUMNS($AM$1006:BB1006),$AM$1006:$BM$1006,0)))),"Fix")))</f>
        <v xml:space="preserve"> </v>
      </c>
      <c r="R792" s="4" t="str">
        <f ca="1">IF(OR(INDEX($AG$2:$AG$1001,MATCH(ROWS($AF$2:AF792),$AF$2:$AF$1001,0),1)&gt;=100000,INDEX($AM$1005:$BM$1005,1,MATCH(COLUMNS($AM$1006:BC1006),$AM$1006:$BM$1006,0))&gt;=100000), " ",IF(INDEX($AM$2:$BM$1001,MATCH(ROWS($AF$2:AF792),$AF$2:$AF$1001,0),MATCH(COLUMNS($AM$1006:BC1006),$AM$1006:$BM$1006,0)), HYPERLINK("#",""), HYPERLINK(CONCATENATE("#metadata!", ADDRESS(INDEX($AH$2:$AH$1001,MATCH(ROWS($AF$2:AF792),$AF$2:$AF$1001,0),0), INDEX($AM$1004:$BM$1004,1,MATCH(COLUMNS($AM$1006:BC1006),$AM$1006:$BM$1006,0)))),"Fix")))</f>
        <v xml:space="preserve"> </v>
      </c>
      <c r="S792" s="4" t="str">
        <f ca="1">IF(OR(INDEX($AG$2:$AG$1001,MATCH(ROWS($AF$2:AF792),$AF$2:$AF$1001,0),1)&gt;=100000,INDEX($AM$1005:$BM$1005,1,MATCH(COLUMNS($AM$1006:BD1006),$AM$1006:$BM$1006,0))&gt;=100000), " ",IF(INDEX($AM$2:$BM$1001,MATCH(ROWS($AF$2:AF792),$AF$2:$AF$1001,0),MATCH(COLUMNS($AM$1006:BD1006),$AM$1006:$BM$1006,0)), HYPERLINK("#",""), HYPERLINK(CONCATENATE("#metadata!", ADDRESS(INDEX($AH$2:$AH$1001,MATCH(ROWS($AF$2:AF792),$AF$2:$AF$1001,0),0), INDEX($AM$1004:$BM$1004,1,MATCH(COLUMNS($AM$1006:BD1006),$AM$1006:$BM$1006,0)))),"Fix")))</f>
        <v xml:space="preserve"> </v>
      </c>
      <c r="T792" s="4" t="str">
        <f ca="1">IF(OR(INDEX($AG$2:$AG$1001,MATCH(ROWS($AF$2:AF792),$AF$2:$AF$1001,0),1)&gt;=100000,INDEX($AM$1005:$BM$1005,1,MATCH(COLUMNS($AM$1006:BE1006),$AM$1006:$BM$1006,0))&gt;=100000), " ",IF(INDEX($AM$2:$BM$1001,MATCH(ROWS($AF$2:AF792),$AF$2:$AF$1001,0),MATCH(COLUMNS($AM$1006:BE1006),$AM$1006:$BM$1006,0)), HYPERLINK("#",""), HYPERLINK(CONCATENATE("#metadata!", ADDRESS(INDEX($AH$2:$AH$1001,MATCH(ROWS($AF$2:AF792),$AF$2:$AF$1001,0),0), INDEX($AM$1004:$BM$1004,1,MATCH(COLUMNS($AM$1006:BE1006),$AM$1006:$BM$1006,0)))),"Fix")))</f>
        <v xml:space="preserve"> </v>
      </c>
      <c r="U792" s="4" t="str">
        <f ca="1">IF(OR(INDEX($AG$2:$AG$1001,MATCH(ROWS($AF$2:AF792),$AF$2:$AF$1001,0),1)&gt;=100000,INDEX($AM$1005:$BM$1005,1,MATCH(COLUMNS($AM$1006:BF1006),$AM$1006:$BM$1006,0))&gt;=100000), " ",IF(INDEX($AM$2:$BM$1001,MATCH(ROWS($AF$2:AF792),$AF$2:$AF$1001,0),MATCH(COLUMNS($AM$1006:BF1006),$AM$1006:$BM$1006,0)), HYPERLINK("#",""), HYPERLINK(CONCATENATE("#metadata!", ADDRESS(INDEX($AH$2:$AH$1001,MATCH(ROWS($AF$2:AF792),$AF$2:$AF$1001,0),0), INDEX($AM$1004:$BM$1004,1,MATCH(COLUMNS($AM$1006:BF1006),$AM$1006:$BM$1006,0)))),"Fix")))</f>
        <v xml:space="preserve"> </v>
      </c>
      <c r="V792" s="4" t="str">
        <f ca="1">IF(OR(INDEX($AG$2:$AG$1001,MATCH(ROWS($AF$2:AF792),$AF$2:$AF$1001,0),1)&gt;=100000,INDEX($AM$1005:$BM$1005,1,MATCH(COLUMNS($AM$1006:BG1006),$AM$1006:$BM$1006,0))&gt;=100000), " ",IF(INDEX($AM$2:$BM$1001,MATCH(ROWS($AF$2:AF792),$AF$2:$AF$1001,0),MATCH(COLUMNS($AM$1006:BG1006),$AM$1006:$BM$1006,0)), HYPERLINK("#",""), HYPERLINK(CONCATENATE("#metadata!", ADDRESS(INDEX($AH$2:$AH$1001,MATCH(ROWS($AF$2:AF792),$AF$2:$AF$1001,0),0), INDEX($AM$1004:$BM$1004,1,MATCH(COLUMNS($AM$1006:BG1006),$AM$1006:$BM$1006,0)))),"Fix")))</f>
        <v xml:space="preserve"> </v>
      </c>
      <c r="W792" s="4" t="str">
        <f ca="1">IF(OR(INDEX($AG$2:$AG$1001,MATCH(ROWS($AF$2:AF792),$AF$2:$AF$1001,0),1)&gt;=100000,INDEX($AM$1005:$BM$1005,1,MATCH(COLUMNS($AM$1006:BH1006),$AM$1006:$BM$1006,0))&gt;=100000), " ",IF(INDEX($AM$2:$BM$1001,MATCH(ROWS($AF$2:AF792),$AF$2:$AF$1001,0),MATCH(COLUMNS($AM$1006:BH1006),$AM$1006:$BM$1006,0)), HYPERLINK("#",""), HYPERLINK(CONCATENATE("#metadata!", ADDRESS(INDEX($AH$2:$AH$1001,MATCH(ROWS($AF$2:AF792),$AF$2:$AF$1001,0),0), INDEX($AM$1004:$BM$1004,1,MATCH(COLUMNS($AM$1006:BH1006),$AM$1006:$BM$1006,0)))),"Fix")))</f>
        <v xml:space="preserve"> </v>
      </c>
      <c r="X792" s="4" t="str">
        <f ca="1">IF(OR(INDEX($AG$2:$AG$1001,MATCH(ROWS($AF$2:AF792),$AF$2:$AF$1001,0),1)&gt;=100000,INDEX($AM$1005:$BM$1005,1,MATCH(COLUMNS($AM$1006:BI1006),$AM$1006:$BM$1006,0))&gt;=100000), " ",IF(INDEX($AM$2:$BM$1001,MATCH(ROWS($AF$2:AF792),$AF$2:$AF$1001,0),MATCH(COLUMNS($AM$1006:BI1006),$AM$1006:$BM$1006,0)), HYPERLINK("#",""), HYPERLINK(CONCATENATE("#metadata!", ADDRESS(INDEX($AH$2:$AH$1001,MATCH(ROWS($AF$2:AF792),$AF$2:$AF$1001,0),0), INDEX($AM$1004:$BM$1004,1,MATCH(COLUMNS($AM$1006:BI1006),$AM$1006:$BM$1006,0)))),"Fix")))</f>
        <v xml:space="preserve"> </v>
      </c>
      <c r="Y792" s="4" t="str">
        <f ca="1">IF(OR(INDEX($AG$2:$AG$1001,MATCH(ROWS($AF$2:AF792),$AF$2:$AF$1001,0),1)&gt;=100000,INDEX($AM$1005:$BM$1005,1,MATCH(COLUMNS($AM$1006:BJ1006),$AM$1006:$BM$1006,0))&gt;=100000), " ",IF(INDEX($AM$2:$BM$1001,MATCH(ROWS($AF$2:AF792),$AF$2:$AF$1001,0),MATCH(COLUMNS($AM$1006:BJ1006),$AM$1006:$BM$1006,0)), HYPERLINK("#",""), HYPERLINK(CONCATENATE("#metadata!", ADDRESS(INDEX($AH$2:$AH$1001,MATCH(ROWS($AF$2:AF792),$AF$2:$AF$1001,0),0), INDEX($AM$1004:$BM$1004,1,MATCH(COLUMNS($AM$1006:BJ1006),$AM$1006:$BM$1006,0)))),"Fix")))</f>
        <v xml:space="preserve"> </v>
      </c>
      <c r="Z792" s="4" t="str">
        <f ca="1">IF(OR(INDEX($AG$2:$AG$1001,MATCH(ROWS($AF$2:AF792),$AF$2:$AF$1001,0),1)&gt;=100000,INDEX($AM$1005:$BM$1005,1,MATCH(COLUMNS($AM$1006:BK1006),$AM$1006:$BM$1006,0))&gt;=100000), " ",IF(INDEX($AM$2:$BM$1001,MATCH(ROWS($AF$2:AF792),$AF$2:$AF$1001,0),MATCH(COLUMNS($AM$1006:BK1006),$AM$1006:$BM$1006,0)), HYPERLINK("#",""), HYPERLINK(CONCATENATE("#metadata!", ADDRESS(INDEX($AH$2:$AH$1001,MATCH(ROWS($AF$2:AF792),$AF$2:$AF$1001,0),0), INDEX($AM$1004:$BM$1004,1,MATCH(COLUMNS($AM$1006:BK1006),$AM$1006:$BM$1006,0)))),"Fix")))</f>
        <v xml:space="preserve"> </v>
      </c>
      <c r="AA792" s="4" t="str">
        <f ca="1">IF(OR(INDEX($AG$2:$AG$1001,MATCH(ROWS($AF$2:AF792),$AF$2:$AF$1001,0),1)&gt;=100000,INDEX($AM$1005:$BM$1005,1,MATCH(COLUMNS($AM$1006:BL1006),$AM$1006:$BM$1006,0))&gt;=100000), " ",IF(INDEX($AM$2:$BM$1001,MATCH(ROWS($AF$2:AF792),$AF$2:$AF$1001,0),MATCH(COLUMNS($AM$1006:BL1006),$AM$1006:$BM$1006,0)), HYPERLINK("#",""), HYPERLINK(CONCATENATE("#metadata!", ADDRESS(INDEX($AH$2:$AH$1001,MATCH(ROWS($AF$2:AF792),$AF$2:$AF$1001,0),0), INDEX($AM$1004:$BM$1004,1,MATCH(COLUMNS($AM$1006:BL1006),$AM$1006:$BM$1006,0)))),"Fix")))</f>
        <v xml:space="preserve"> </v>
      </c>
      <c r="AB792" s="4" t="str">
        <f ca="1">IF(OR(INDEX($AG$2:$AG$1001,MATCH(ROWS($AF$2:AF792),$AF$2:$AF$1001,0),1)&gt;=100000,INDEX($AM$1005:$BM$1005,1,MATCH(COLUMNS($AM$1006:BM1006),$AM$1006:$BM$1006,0))&gt;=100000), " ",IF(INDEX($AM$2:$BM$1001,MATCH(ROWS($AF$2:AF792),$AF$2:$AF$1001,0),MATCH(COLUMNS($AM$1006:BM1006),$AM$1006:$BM$1006,0)), HYPERLINK("#",""), HYPERLINK(CONCATENATE("#metadata!", ADDRESS(INDEX($AH$2:$AH$1001,MATCH(ROWS($AF$2:AF792),$AF$2:$AF$1001,0),0), INDEX($AM$1004:$BM$1004,1,MATCH(COLUMNS($AM$1006:BM1006),$AM$1006:$BM$1006,0)))),"Fix")))</f>
        <v xml:space="preserve"> </v>
      </c>
      <c r="AF792">
        <v>791</v>
      </c>
      <c r="AG792">
        <v>100792</v>
      </c>
      <c r="AH792">
        <v>792</v>
      </c>
      <c r="AI792" t="b">
        <f t="shared" si="12"/>
        <v>1</v>
      </c>
      <c r="AJ792" t="b">
        <f>COUNTBLANK(metadata!B792:AB792)=COLUMNS(metadata!B792:AB792)</f>
        <v>1</v>
      </c>
      <c r="AK792" t="str">
        <v/>
      </c>
      <c r="AM792" t="b">
        <f ca="1">AND(IF(metadata!B792="",FALSE,TRUE),COUNTIF(metadata!B:B, metadata!B792) = 1,NOT(ISERROR(SUMPRODUCT(SEARCH(MID(metadata!B792,ROW(INDIRECT("1:"&amp;LEN(metadata!B792))), 1),"0123456789abcdefghijklmnopqrstuvwxyzABCDEFGHIJKLMNOPQRSTUVWXYZ.")))))</f>
        <v>0</v>
      </c>
      <c r="AN792" t="b">
        <f ca="1">OR(AND(IF(metadata!C792="",FALSE,TRUE),OR(EXACT(metadata!C792,"missing: not collected"),EXACT(metadata!C792,"missing: not provided"),EXACT(metadata!C792,"missing: restricted access"))),AND(IF(metadata!C792="",FALSE,TRUE),AND(AND(IFERROR(INT(LEFT(metadata!C792,4))&gt;1900,FALSE),IFERROR(INT(LEFT(metadata!C792,4))&lt;=YEAR(NOW()),FALSE)), OR(MID(metadata!C792,5,1)="", AND(AND(MID(metadata!C792,5,1)="-",IFERROR(INT(MID(metadata!C792,6,1))&gt;=0,FALSE),IFERROR(INT(MID(metadata!C792,6,1))&lt;=1,FALSE),NOT(MID(metadata!C792,7,1)=""),IFERROR(INT(MID(metadata!C792,6,2))&gt;=1,FALSE),IFERROR(INT(MID(metadata!C792,6,2))&lt;=12,FALSE)), OR(MID(metadata!C792,8,1)="", AND(AND(MID(metadata!C792,8,1)="-",IFERROR(INT(MID(metadata!C792,9,1))&gt;=0,FALSE),IFERROR(INT(MID(metadata!C792,9,1))&lt;=3,FALSE),NOT(MID(metadata!C792,10,1)=""),IFERROR(INT(MID(metadata!C792,9,2))&gt;=1,FALSE),IFERROR(INT(MID(metadata!C792,9,2))&lt;=31,FALSE)), OR(MID(metadata!C792,11,1)="", AND(AND(MID(metadata!C792,11,1)=" ",IFERROR(INT(MID(metadata!C792,12,1))&gt;=0,FALSE),IFERROR(INT(MID(metadata!C792,12,1))&lt;=2,FALSE),NOT(MID(metadata!C792,13,1)=""),IFERROR(INT(MID(metadata!C792,12,2))&gt;=0,FALSE),IFERROR(INT(MID(metadata!C792,12,2))&lt;=23,FALSE)), OR(MID(metadata!C792,14,1)="", AND(AND(MID(metadata!C792,14,1)=":",IFERROR(INT(MID(metadata!C792,15,1))&gt;=0,FALSE),IFERROR(INT(MID(metadata!C792,15,1))&lt;=5,FALSE),NOT(MID(metadata!C792,16,1)=""),IFERROR(INT(MID(metadata!C792,15,2))&gt;=0,FALSE),IFERROR(INT(MID(metadata!C792,15,2))&lt;=59,FALSE)), OR(MID(metadata!C792,17,1)="", AND(AND(MID(metadata!C792,17,1)=":",IFERROR(INT(MID(metadata!C792,18,1))&gt;=0,FALSE),IFERROR(INT(MID(metadata!C792,18,1))&lt;=5,FALSE),NOT(MID(metadata!C792,19,1)=""),IFERROR(INT(MID(metadata!C792,18,2))&gt;=0,FALSE),IFERROR(INT(MID(metadata!C792,18,2))&lt;=59,FALSE)), LEN(metadata!C792)&lt;=19)))))))))))))</f>
        <v>0</v>
      </c>
      <c r="AO792" t="b">
        <f>AND(IF(metadata!D792="",FALSE,TRUE),EXACT(metadata!D792,"Not applicable"))</f>
        <v>0</v>
      </c>
      <c r="AP792" t="b">
        <f>IF(metadata!E792="",FALSE,TRUE)</f>
        <v>0</v>
      </c>
      <c r="AQ792" t="b">
        <f>OR(AND(IF(metadata!F792="",FALSE,TRUE),OR(EXACT(metadata!F792,"missing: not collected"),EXACT(metadata!F792,"missing: not provided"))),AND(IF(metadata!F792="",FALSE,TRUE),OR(EXACT(metadata!F792,"TRUE"),EXACT(metadata!F792,"FALSE"))))</f>
        <v>0</v>
      </c>
      <c r="AR792" t="b">
        <f>OR(AND(IF(metadata!G792="",FALSE,TRUE),OR(EXACT(metadata!G792,"missing: not collected"),EXACT(metadata!G792,"missing: not provided"),EXACT(metadata!G792,"missing: restricted access"))),AND(IF(metadata!G792="",FALSE,ISNUMBER(VALUE(metadata!G792))),metadata!G792&gt;=-413))</f>
        <v>0</v>
      </c>
      <c r="AS792" t="b">
        <f>AND(IF(metadata!H792="",FALSE,TRUE),EXACT(metadata!H792,"meters"))</f>
        <v>0</v>
      </c>
      <c r="AT792" t="b">
        <f>AND(IF(metadata!I792="",FALSE,TRUE),OR(EXACT(metadata!I792,"Host-associated"),EXACT(metadata!I792,"Free-living")))</f>
        <v>0</v>
      </c>
      <c r="AU792" t="b">
        <f>AND(IF(metadata!J792="",FALSE,TRUE),OR(EXACT(metadata!J792,"Animal"),EXACT(metadata!J792,"Fungus"),EXACT(metadata!J792,"Plant"),EXACT(metadata!J792,"Saline"),EXACT(metadata!J792,"Non-saline")))</f>
        <v>0</v>
      </c>
      <c r="AV792" t="b">
        <f>AND(IF(metadata!K792="",FALSE,TRUE),OR(EXACT(metadata!K792,"Plant secretion"),EXACT(metadata!K792,"Plant rhizosphere"),EXACT(metadata!K792,"Plant surface"),EXACT(metadata!K792,"Plant corpus"),EXACT(metadata!K792,"Fungus surface"),EXACT(metadata!K792,"Fungus corpus"),EXACT(metadata!K792,"Animal surface"),EXACT(metadata!K792,"Animal proximal gut"),EXACT(metadata!K792,"Animal corpus"),EXACT(metadata!K792,"Animal distal gut"),EXACT(metadata!K792,"Animal secretion"),EXACT(metadata!K792,"Sub-surface (non-saline)"),EXACT(metadata!K792,"Surface (non-saline)"),EXACT(metadata!K792,"Water (non-saline)"),EXACT(metadata!K792,"Soil (non-saline)"),EXACT(metadata!K792,"Aerosol (non-saline)"),EXACT(metadata!K792,"Sediment (non-saline)"),EXACT(metadata!K792,"Surface (saline)"),EXACT(metadata!K792,"Water (saline)"),EXACT(metadata!K792,"Hypersaline (saline)"),EXACT(metadata!K792,"Aerosol (saline)"),EXACT(metadata!K792,"Sediment (saline)")))</f>
        <v>0</v>
      </c>
      <c r="AW792" t="b">
        <f>IF(metadata!L792="",FALSE,TRUE)</f>
        <v>0</v>
      </c>
      <c r="AX792" t="b">
        <f>IF(metadata!M792="",FALSE,TRUE)</f>
        <v>0</v>
      </c>
      <c r="AY792" t="b">
        <f>IF(metadata!N792="",FALSE,TRUE)</f>
        <v>0</v>
      </c>
      <c r="AZ792" t="b">
        <f>OR(AND(IF(metadata!O792="",FALSE,TRUE),OR(EXACT(metadata!O792,"missing: not collected"),EXACT(metadata!O792,"missing: not provided"),EXACT(metadata!O792,"missing: restricted access"))),AND(IF(metadata!O792="",FALSE,TRUE),OR(EXACT(metadata!O792,"air"),EXACT(metadata!O792,"built environment"),EXACT(metadata!O792,"host-associated"),EXACT(metadata!O792,"human-associated"),EXACT(metadata!O792,"human-skin"),EXACT(metadata!O792,"human-oral"),EXACT(metadata!O792,"human-gut"),EXACT(metadata!O792,"human-vaginal"),EXACT(metadata!O792,"microbial mat/biofilm"),EXACT(metadata!O792,"misc environment"),EXACT(metadata!O792,"plant-associated"),EXACT(metadata!O792,"sediment"),EXACT(metadata!O792,"soil"),EXACT(metadata!O792,"wastewater/sludge"),EXACT(metadata!O792,"water"))))</f>
        <v>0</v>
      </c>
      <c r="BA792" t="b">
        <f>IF(metadata!P792="",FALSE,TRUE)</f>
        <v>0</v>
      </c>
      <c r="BB792" t="b">
        <f>IF(metadata!Q792="",FALSE,TRUE)</f>
        <v>0</v>
      </c>
      <c r="BC792" t="b">
        <f>OR(AND(IF(metadata!R792="",FALSE,TRUE),OR(EXACT(metadata!R792,"missing: not collected"),EXACT(metadata!R792,"missing: not provided"),EXACT(metadata!R792,"missing: restricted access"))),AND(IF(metadata!R792="",FALSE,ISNUMBER(VALUE(metadata!R792))),metadata!R792&gt;=-90,metadata!R792&lt;=90))</f>
        <v>0</v>
      </c>
      <c r="BD792" t="b">
        <f>AND(IF(metadata!S792="",FALSE,TRUE),EXACT(metadata!S792,"Decimal degrees"))</f>
        <v>0</v>
      </c>
      <c r="BE792" t="b">
        <f>OR(AND(IF(metadata!T792="",FALSE,TRUE),OR(EXACT(metadata!T792,"missing: not collected"),EXACT(metadata!T792,"missing: not provided"),EXACT(metadata!T792,"missing: restricted access"))),AND(IF(metadata!T792="",FALSE,ISNUMBER(VALUE(metadata!T792))),metadata!T792&gt;=-180,metadata!T792&lt;=180))</f>
        <v>0</v>
      </c>
      <c r="BF792" t="b">
        <f>AND(IF(metadata!U792="",FALSE,TRUE),EXACT(metadata!U792,"Decimal degrees"))</f>
        <v>0</v>
      </c>
      <c r="BG792" t="b">
        <f>IF(metadata!V792="",FALSE,TRUE)</f>
        <v>0</v>
      </c>
      <c r="BH792" t="b">
        <f>OR(AND(IF(metadata!W792="",FALSE,TRUE),OR(EXACT(metadata!W792,"missing: not collected"),EXACT(metadata!W792,"missing: not provided"),EXACT(metadata!W792,"missing: restricted access"))),AND(IF(metadata!W792="",FALSE,TRUE),OR(EXACT(metadata!W792,"TRUE"),EXACT(metadata!W792,"FALSE"))))</f>
        <v>0</v>
      </c>
      <c r="BI792" t="b">
        <f>AND(IF(metadata!X792="",FALSE,TRUE),EXACT(metadata!X792,"other"))</f>
        <v>0</v>
      </c>
      <c r="BJ792" t="b">
        <f>IF(metadata!Y792="",FALSE,TRUE)</f>
        <v>0</v>
      </c>
      <c r="BK792" t="b">
        <f>OR(AND(IF(metadata!Z792="",FALSE,TRUE),OR(EXACT(metadata!Z792,"missing: not collected"),EXACT(metadata!Z792,"missing: not provided"))),AND(IF(metadata!Z792="",FALSE,IF(ISERROR(INT(metadata!Z792)),FALSE,INT(metadata!Z792)=metadata!Z792)),metadata!Z792&gt;0))</f>
        <v>0</v>
      </c>
      <c r="BL792" t="b">
        <f>AND(IF(metadata!AA792="",FALSE,TRUE),EXACT(metadata!AA792,"Not applicable"))</f>
        <v>0</v>
      </c>
      <c r="BM792" t="b">
        <f>IF(metadata!AB792="",FALSE,TRUE)</f>
        <v>0</v>
      </c>
    </row>
    <row r="793" spans="1:65" x14ac:dyDescent="0.2">
      <c r="A793" s="5" t="str">
        <f ca="1">IF(B793=" "," ",HYPERLINK(CONCATENATE("#metadata!",ADDRESS(INDEX($AH$2:$AH$1001,MATCH(ROWS($AF$2:AF793),$AF$2:$AF$1001,0),0),1)),INDEX($AK$2:$AK$1001,MATCH(ROWS($AF$2:AF793),$AF$2:$AF$1001,0),0)))</f>
        <v xml:space="preserve"> </v>
      </c>
      <c r="B793" s="4" t="str">
        <f ca="1">IF(OR(INDEX($AG$2:$AG$1001,MATCH(ROWS($AF$2:AF793),$AF$2:$AF$1001,0),1)&gt;=100000,INDEX($AM$1005:$BM$1005,1,MATCH(COLUMNS($AM$1006:AM1006),$AM$1006:$BM$1006,0))&gt;=100000), " ",IF(INDEX($AM$2:$BM$1001,MATCH(ROWS($AF$2:AF793),$AF$2:$AF$1001,0),MATCH(COLUMNS($AM$1006:AM1006),$AM$1006:$BM$1006,0)), HYPERLINK("#",""), HYPERLINK(CONCATENATE("#metadata!", ADDRESS(INDEX($AH$2:$AH$1001,MATCH(ROWS($AF$2:AF793),$AF$2:$AF$1001,0),0), INDEX($AM$1004:$BM$1004,1,MATCH(COLUMNS($AM$1006:AM1006),$AM$1006:$BM$1006,0)))),"Fix")))</f>
        <v xml:space="preserve"> </v>
      </c>
      <c r="C793" s="4" t="str">
        <f ca="1">IF(OR(INDEX($AG$2:$AG$1001,MATCH(ROWS($AF$2:AF793),$AF$2:$AF$1001,0),1)&gt;=100000,INDEX($AM$1005:$BM$1005,1,MATCH(COLUMNS($AM$1006:AN1006),$AM$1006:$BM$1006,0))&gt;=100000), " ",IF(INDEX($AM$2:$BM$1001,MATCH(ROWS($AF$2:AF793),$AF$2:$AF$1001,0),MATCH(COLUMNS($AM$1006:AN1006),$AM$1006:$BM$1006,0)), HYPERLINK("#",""), HYPERLINK(CONCATENATE("#metadata!", ADDRESS(INDEX($AH$2:$AH$1001,MATCH(ROWS($AF$2:AF793),$AF$2:$AF$1001,0),0), INDEX($AM$1004:$BM$1004,1,MATCH(COLUMNS($AM$1006:AN1006),$AM$1006:$BM$1006,0)))),"Fix")))</f>
        <v xml:space="preserve"> </v>
      </c>
      <c r="D793" s="4" t="str">
        <f ca="1">IF(OR(INDEX($AG$2:$AG$1001,MATCH(ROWS($AF$2:AF793),$AF$2:$AF$1001,0),1)&gt;=100000,INDEX($AM$1005:$BM$1005,1,MATCH(COLUMNS($AM$1006:AO1006),$AM$1006:$BM$1006,0))&gt;=100000), " ",IF(INDEX($AM$2:$BM$1001,MATCH(ROWS($AF$2:AF793),$AF$2:$AF$1001,0),MATCH(COLUMNS($AM$1006:AO1006),$AM$1006:$BM$1006,0)), HYPERLINK("#",""), HYPERLINK(CONCATENATE("#metadata!", ADDRESS(INDEX($AH$2:$AH$1001,MATCH(ROWS($AF$2:AF793),$AF$2:$AF$1001,0),0), INDEX($AM$1004:$BM$1004,1,MATCH(COLUMNS($AM$1006:AO1006),$AM$1006:$BM$1006,0)))),"Fix")))</f>
        <v xml:space="preserve"> </v>
      </c>
      <c r="E793" s="4" t="str">
        <f ca="1">IF(OR(INDEX($AG$2:$AG$1001,MATCH(ROWS($AF$2:AF793),$AF$2:$AF$1001,0),1)&gt;=100000,INDEX($AM$1005:$BM$1005,1,MATCH(COLUMNS($AM$1006:AP1006),$AM$1006:$BM$1006,0))&gt;=100000), " ",IF(INDEX($AM$2:$BM$1001,MATCH(ROWS($AF$2:AF793),$AF$2:$AF$1001,0),MATCH(COLUMNS($AM$1006:AP1006),$AM$1006:$BM$1006,0)), HYPERLINK("#",""), HYPERLINK(CONCATENATE("#metadata!", ADDRESS(INDEX($AH$2:$AH$1001,MATCH(ROWS($AF$2:AF793),$AF$2:$AF$1001,0),0), INDEX($AM$1004:$BM$1004,1,MATCH(COLUMNS($AM$1006:AP1006),$AM$1006:$BM$1006,0)))),"Fix")))</f>
        <v xml:space="preserve"> </v>
      </c>
      <c r="F793" s="4" t="str">
        <f ca="1">IF(OR(INDEX($AG$2:$AG$1001,MATCH(ROWS($AF$2:AF793),$AF$2:$AF$1001,0),1)&gt;=100000,INDEX($AM$1005:$BM$1005,1,MATCH(COLUMNS($AM$1006:AQ1006),$AM$1006:$BM$1006,0))&gt;=100000), " ",IF(INDEX($AM$2:$BM$1001,MATCH(ROWS($AF$2:AF793),$AF$2:$AF$1001,0),MATCH(COLUMNS($AM$1006:AQ1006),$AM$1006:$BM$1006,0)), HYPERLINK("#",""), HYPERLINK(CONCATENATE("#metadata!", ADDRESS(INDEX($AH$2:$AH$1001,MATCH(ROWS($AF$2:AF793),$AF$2:$AF$1001,0),0), INDEX($AM$1004:$BM$1004,1,MATCH(COLUMNS($AM$1006:AQ1006),$AM$1006:$BM$1006,0)))),"Fix")))</f>
        <v xml:space="preserve"> </v>
      </c>
      <c r="G793" s="4" t="str">
        <f ca="1">IF(OR(INDEX($AG$2:$AG$1001,MATCH(ROWS($AF$2:AF793),$AF$2:$AF$1001,0),1)&gt;=100000,INDEX($AM$1005:$BM$1005,1,MATCH(COLUMNS($AM$1006:AR1006),$AM$1006:$BM$1006,0))&gt;=100000), " ",IF(INDEX($AM$2:$BM$1001,MATCH(ROWS($AF$2:AF793),$AF$2:$AF$1001,0),MATCH(COLUMNS($AM$1006:AR1006),$AM$1006:$BM$1006,0)), HYPERLINK("#",""), HYPERLINK(CONCATENATE("#metadata!", ADDRESS(INDEX($AH$2:$AH$1001,MATCH(ROWS($AF$2:AF793),$AF$2:$AF$1001,0),0), INDEX($AM$1004:$BM$1004,1,MATCH(COLUMNS($AM$1006:AR1006),$AM$1006:$BM$1006,0)))),"Fix")))</f>
        <v xml:space="preserve"> </v>
      </c>
      <c r="H793" s="4" t="str">
        <f ca="1">IF(OR(INDEX($AG$2:$AG$1001,MATCH(ROWS($AF$2:AF793),$AF$2:$AF$1001,0),1)&gt;=100000,INDEX($AM$1005:$BM$1005,1,MATCH(COLUMNS($AM$1006:AS1006),$AM$1006:$BM$1006,0))&gt;=100000), " ",IF(INDEX($AM$2:$BM$1001,MATCH(ROWS($AF$2:AF793),$AF$2:$AF$1001,0),MATCH(COLUMNS($AM$1006:AS1006),$AM$1006:$BM$1006,0)), HYPERLINK("#",""), HYPERLINK(CONCATENATE("#metadata!", ADDRESS(INDEX($AH$2:$AH$1001,MATCH(ROWS($AF$2:AF793),$AF$2:$AF$1001,0),0), INDEX($AM$1004:$BM$1004,1,MATCH(COLUMNS($AM$1006:AS1006),$AM$1006:$BM$1006,0)))),"Fix")))</f>
        <v xml:space="preserve"> </v>
      </c>
      <c r="I793" s="4" t="str">
        <f ca="1">IF(OR(INDEX($AG$2:$AG$1001,MATCH(ROWS($AF$2:AF793),$AF$2:$AF$1001,0),1)&gt;=100000,INDEX($AM$1005:$BM$1005,1,MATCH(COLUMNS($AM$1006:AT1006),$AM$1006:$BM$1006,0))&gt;=100000), " ",IF(INDEX($AM$2:$BM$1001,MATCH(ROWS($AF$2:AF793),$AF$2:$AF$1001,0),MATCH(COLUMNS($AM$1006:AT1006),$AM$1006:$BM$1006,0)), HYPERLINK("#",""), HYPERLINK(CONCATENATE("#metadata!", ADDRESS(INDEX($AH$2:$AH$1001,MATCH(ROWS($AF$2:AF793),$AF$2:$AF$1001,0),0), INDEX($AM$1004:$BM$1004,1,MATCH(COLUMNS($AM$1006:AT1006),$AM$1006:$BM$1006,0)))),"Fix")))</f>
        <v xml:space="preserve"> </v>
      </c>
      <c r="J793" s="4" t="str">
        <f ca="1">IF(OR(INDEX($AG$2:$AG$1001,MATCH(ROWS($AF$2:AF793),$AF$2:$AF$1001,0),1)&gt;=100000,INDEX($AM$1005:$BM$1005,1,MATCH(COLUMNS($AM$1006:AU1006),$AM$1006:$BM$1006,0))&gt;=100000), " ",IF(INDEX($AM$2:$BM$1001,MATCH(ROWS($AF$2:AF793),$AF$2:$AF$1001,0),MATCH(COLUMNS($AM$1006:AU1006),$AM$1006:$BM$1006,0)), HYPERLINK("#",""), HYPERLINK(CONCATENATE("#metadata!", ADDRESS(INDEX($AH$2:$AH$1001,MATCH(ROWS($AF$2:AF793),$AF$2:$AF$1001,0),0), INDEX($AM$1004:$BM$1004,1,MATCH(COLUMNS($AM$1006:AU1006),$AM$1006:$BM$1006,0)))),"Fix")))</f>
        <v xml:space="preserve"> </v>
      </c>
      <c r="K793" s="4" t="str">
        <f ca="1">IF(OR(INDEX($AG$2:$AG$1001,MATCH(ROWS($AF$2:AF793),$AF$2:$AF$1001,0),1)&gt;=100000,INDEX($AM$1005:$BM$1005,1,MATCH(COLUMNS($AM$1006:AV1006),$AM$1006:$BM$1006,0))&gt;=100000), " ",IF(INDEX($AM$2:$BM$1001,MATCH(ROWS($AF$2:AF793),$AF$2:$AF$1001,0),MATCH(COLUMNS($AM$1006:AV1006),$AM$1006:$BM$1006,0)), HYPERLINK("#",""), HYPERLINK(CONCATENATE("#metadata!", ADDRESS(INDEX($AH$2:$AH$1001,MATCH(ROWS($AF$2:AF793),$AF$2:$AF$1001,0),0), INDEX($AM$1004:$BM$1004,1,MATCH(COLUMNS($AM$1006:AV1006),$AM$1006:$BM$1006,0)))),"Fix")))</f>
        <v xml:space="preserve"> </v>
      </c>
      <c r="L793" s="4" t="str">
        <f ca="1">IF(OR(INDEX($AG$2:$AG$1001,MATCH(ROWS($AF$2:AF793),$AF$2:$AF$1001,0),1)&gt;=100000,INDEX($AM$1005:$BM$1005,1,MATCH(COLUMNS($AM$1006:AW1006),$AM$1006:$BM$1006,0))&gt;=100000), " ",IF(INDEX($AM$2:$BM$1001,MATCH(ROWS($AF$2:AF793),$AF$2:$AF$1001,0),MATCH(COLUMNS($AM$1006:AW1006),$AM$1006:$BM$1006,0)), HYPERLINK("#",""), HYPERLINK(CONCATENATE("#metadata!", ADDRESS(INDEX($AH$2:$AH$1001,MATCH(ROWS($AF$2:AF793),$AF$2:$AF$1001,0),0), INDEX($AM$1004:$BM$1004,1,MATCH(COLUMNS($AM$1006:AW1006),$AM$1006:$BM$1006,0)))),"Fix")))</f>
        <v xml:space="preserve"> </v>
      </c>
      <c r="M793" s="4" t="str">
        <f ca="1">IF(OR(INDEX($AG$2:$AG$1001,MATCH(ROWS($AF$2:AF793),$AF$2:$AF$1001,0),1)&gt;=100000,INDEX($AM$1005:$BM$1005,1,MATCH(COLUMNS($AM$1006:AX1006),$AM$1006:$BM$1006,0))&gt;=100000), " ",IF(INDEX($AM$2:$BM$1001,MATCH(ROWS($AF$2:AF793),$AF$2:$AF$1001,0),MATCH(COLUMNS($AM$1006:AX1006),$AM$1006:$BM$1006,0)), HYPERLINK("#",""), HYPERLINK(CONCATENATE("#metadata!", ADDRESS(INDEX($AH$2:$AH$1001,MATCH(ROWS($AF$2:AF793),$AF$2:$AF$1001,0),0), INDEX($AM$1004:$BM$1004,1,MATCH(COLUMNS($AM$1006:AX1006),$AM$1006:$BM$1006,0)))),"Fix")))</f>
        <v xml:space="preserve"> </v>
      </c>
      <c r="N793" s="4" t="str">
        <f ca="1">IF(OR(INDEX($AG$2:$AG$1001,MATCH(ROWS($AF$2:AF793),$AF$2:$AF$1001,0),1)&gt;=100000,INDEX($AM$1005:$BM$1005,1,MATCH(COLUMNS($AM$1006:AY1006),$AM$1006:$BM$1006,0))&gt;=100000), " ",IF(INDEX($AM$2:$BM$1001,MATCH(ROWS($AF$2:AF793),$AF$2:$AF$1001,0),MATCH(COLUMNS($AM$1006:AY1006),$AM$1006:$BM$1006,0)), HYPERLINK("#",""), HYPERLINK(CONCATENATE("#metadata!", ADDRESS(INDEX($AH$2:$AH$1001,MATCH(ROWS($AF$2:AF793),$AF$2:$AF$1001,0),0), INDEX($AM$1004:$BM$1004,1,MATCH(COLUMNS($AM$1006:AY1006),$AM$1006:$BM$1006,0)))),"Fix")))</f>
        <v xml:space="preserve"> </v>
      </c>
      <c r="O793" s="4" t="str">
        <f ca="1">IF(OR(INDEX($AG$2:$AG$1001,MATCH(ROWS($AF$2:AF793),$AF$2:$AF$1001,0),1)&gt;=100000,INDEX($AM$1005:$BM$1005,1,MATCH(COLUMNS($AM$1006:AZ1006),$AM$1006:$BM$1006,0))&gt;=100000), " ",IF(INDEX($AM$2:$BM$1001,MATCH(ROWS($AF$2:AF793),$AF$2:$AF$1001,0),MATCH(COLUMNS($AM$1006:AZ1006),$AM$1006:$BM$1006,0)), HYPERLINK("#",""), HYPERLINK(CONCATENATE("#metadata!", ADDRESS(INDEX($AH$2:$AH$1001,MATCH(ROWS($AF$2:AF793),$AF$2:$AF$1001,0),0), INDEX($AM$1004:$BM$1004,1,MATCH(COLUMNS($AM$1006:AZ1006),$AM$1006:$BM$1006,0)))),"Fix")))</f>
        <v xml:space="preserve"> </v>
      </c>
      <c r="P793" s="4" t="str">
        <f ca="1">IF(OR(INDEX($AG$2:$AG$1001,MATCH(ROWS($AF$2:AF793),$AF$2:$AF$1001,0),1)&gt;=100000,INDEX($AM$1005:$BM$1005,1,MATCH(COLUMNS($AM$1006:BA1006),$AM$1006:$BM$1006,0))&gt;=100000), " ",IF(INDEX($AM$2:$BM$1001,MATCH(ROWS($AF$2:AF793),$AF$2:$AF$1001,0),MATCH(COLUMNS($AM$1006:BA1006),$AM$1006:$BM$1006,0)), HYPERLINK("#",""), HYPERLINK(CONCATENATE("#metadata!", ADDRESS(INDEX($AH$2:$AH$1001,MATCH(ROWS($AF$2:AF793),$AF$2:$AF$1001,0),0), INDEX($AM$1004:$BM$1004,1,MATCH(COLUMNS($AM$1006:BA1006),$AM$1006:$BM$1006,0)))),"Fix")))</f>
        <v xml:space="preserve"> </v>
      </c>
      <c r="Q793" s="4" t="str">
        <f ca="1">IF(OR(INDEX($AG$2:$AG$1001,MATCH(ROWS($AF$2:AF793),$AF$2:$AF$1001,0),1)&gt;=100000,INDEX($AM$1005:$BM$1005,1,MATCH(COLUMNS($AM$1006:BB1006),$AM$1006:$BM$1006,0))&gt;=100000), " ",IF(INDEX($AM$2:$BM$1001,MATCH(ROWS($AF$2:AF793),$AF$2:$AF$1001,0),MATCH(COLUMNS($AM$1006:BB1006),$AM$1006:$BM$1006,0)), HYPERLINK("#",""), HYPERLINK(CONCATENATE("#metadata!", ADDRESS(INDEX($AH$2:$AH$1001,MATCH(ROWS($AF$2:AF793),$AF$2:$AF$1001,0),0), INDEX($AM$1004:$BM$1004,1,MATCH(COLUMNS($AM$1006:BB1006),$AM$1006:$BM$1006,0)))),"Fix")))</f>
        <v xml:space="preserve"> </v>
      </c>
      <c r="R793" s="4" t="str">
        <f ca="1">IF(OR(INDEX($AG$2:$AG$1001,MATCH(ROWS($AF$2:AF793),$AF$2:$AF$1001,0),1)&gt;=100000,INDEX($AM$1005:$BM$1005,1,MATCH(COLUMNS($AM$1006:BC1006),$AM$1006:$BM$1006,0))&gt;=100000), " ",IF(INDEX($AM$2:$BM$1001,MATCH(ROWS($AF$2:AF793),$AF$2:$AF$1001,0),MATCH(COLUMNS($AM$1006:BC1006),$AM$1006:$BM$1006,0)), HYPERLINK("#",""), HYPERLINK(CONCATENATE("#metadata!", ADDRESS(INDEX($AH$2:$AH$1001,MATCH(ROWS($AF$2:AF793),$AF$2:$AF$1001,0),0), INDEX($AM$1004:$BM$1004,1,MATCH(COLUMNS($AM$1006:BC1006),$AM$1006:$BM$1006,0)))),"Fix")))</f>
        <v xml:space="preserve"> </v>
      </c>
      <c r="S793" s="4" t="str">
        <f ca="1">IF(OR(INDEX($AG$2:$AG$1001,MATCH(ROWS($AF$2:AF793),$AF$2:$AF$1001,0),1)&gt;=100000,INDEX($AM$1005:$BM$1005,1,MATCH(COLUMNS($AM$1006:BD1006),$AM$1006:$BM$1006,0))&gt;=100000), " ",IF(INDEX($AM$2:$BM$1001,MATCH(ROWS($AF$2:AF793),$AF$2:$AF$1001,0),MATCH(COLUMNS($AM$1006:BD1006),$AM$1006:$BM$1006,0)), HYPERLINK("#",""), HYPERLINK(CONCATENATE("#metadata!", ADDRESS(INDEX($AH$2:$AH$1001,MATCH(ROWS($AF$2:AF793),$AF$2:$AF$1001,0),0), INDEX($AM$1004:$BM$1004,1,MATCH(COLUMNS($AM$1006:BD1006),$AM$1006:$BM$1006,0)))),"Fix")))</f>
        <v xml:space="preserve"> </v>
      </c>
      <c r="T793" s="4" t="str">
        <f ca="1">IF(OR(INDEX($AG$2:$AG$1001,MATCH(ROWS($AF$2:AF793),$AF$2:$AF$1001,0),1)&gt;=100000,INDEX($AM$1005:$BM$1005,1,MATCH(COLUMNS($AM$1006:BE1006),$AM$1006:$BM$1006,0))&gt;=100000), " ",IF(INDEX($AM$2:$BM$1001,MATCH(ROWS($AF$2:AF793),$AF$2:$AF$1001,0),MATCH(COLUMNS($AM$1006:BE1006),$AM$1006:$BM$1006,0)), HYPERLINK("#",""), HYPERLINK(CONCATENATE("#metadata!", ADDRESS(INDEX($AH$2:$AH$1001,MATCH(ROWS($AF$2:AF793),$AF$2:$AF$1001,0),0), INDEX($AM$1004:$BM$1004,1,MATCH(COLUMNS($AM$1006:BE1006),$AM$1006:$BM$1006,0)))),"Fix")))</f>
        <v xml:space="preserve"> </v>
      </c>
      <c r="U793" s="4" t="str">
        <f ca="1">IF(OR(INDEX($AG$2:$AG$1001,MATCH(ROWS($AF$2:AF793),$AF$2:$AF$1001,0),1)&gt;=100000,INDEX($AM$1005:$BM$1005,1,MATCH(COLUMNS($AM$1006:BF1006),$AM$1006:$BM$1006,0))&gt;=100000), " ",IF(INDEX($AM$2:$BM$1001,MATCH(ROWS($AF$2:AF793),$AF$2:$AF$1001,0),MATCH(COLUMNS($AM$1006:BF1006),$AM$1006:$BM$1006,0)), HYPERLINK("#",""), HYPERLINK(CONCATENATE("#metadata!", ADDRESS(INDEX($AH$2:$AH$1001,MATCH(ROWS($AF$2:AF793),$AF$2:$AF$1001,0),0), INDEX($AM$1004:$BM$1004,1,MATCH(COLUMNS($AM$1006:BF1006),$AM$1006:$BM$1006,0)))),"Fix")))</f>
        <v xml:space="preserve"> </v>
      </c>
      <c r="V793" s="4" t="str">
        <f ca="1">IF(OR(INDEX($AG$2:$AG$1001,MATCH(ROWS($AF$2:AF793),$AF$2:$AF$1001,0),1)&gt;=100000,INDEX($AM$1005:$BM$1005,1,MATCH(COLUMNS($AM$1006:BG1006),$AM$1006:$BM$1006,0))&gt;=100000), " ",IF(INDEX($AM$2:$BM$1001,MATCH(ROWS($AF$2:AF793),$AF$2:$AF$1001,0),MATCH(COLUMNS($AM$1006:BG1006),$AM$1006:$BM$1006,0)), HYPERLINK("#",""), HYPERLINK(CONCATENATE("#metadata!", ADDRESS(INDEX($AH$2:$AH$1001,MATCH(ROWS($AF$2:AF793),$AF$2:$AF$1001,0),0), INDEX($AM$1004:$BM$1004,1,MATCH(COLUMNS($AM$1006:BG1006),$AM$1006:$BM$1006,0)))),"Fix")))</f>
        <v xml:space="preserve"> </v>
      </c>
      <c r="W793" s="4" t="str">
        <f ca="1">IF(OR(INDEX($AG$2:$AG$1001,MATCH(ROWS($AF$2:AF793),$AF$2:$AF$1001,0),1)&gt;=100000,INDEX($AM$1005:$BM$1005,1,MATCH(COLUMNS($AM$1006:BH1006),$AM$1006:$BM$1006,0))&gt;=100000), " ",IF(INDEX($AM$2:$BM$1001,MATCH(ROWS($AF$2:AF793),$AF$2:$AF$1001,0),MATCH(COLUMNS($AM$1006:BH1006),$AM$1006:$BM$1006,0)), HYPERLINK("#",""), HYPERLINK(CONCATENATE("#metadata!", ADDRESS(INDEX($AH$2:$AH$1001,MATCH(ROWS($AF$2:AF793),$AF$2:$AF$1001,0),0), INDEX($AM$1004:$BM$1004,1,MATCH(COLUMNS($AM$1006:BH1006),$AM$1006:$BM$1006,0)))),"Fix")))</f>
        <v xml:space="preserve"> </v>
      </c>
      <c r="X793" s="4" t="str">
        <f ca="1">IF(OR(INDEX($AG$2:$AG$1001,MATCH(ROWS($AF$2:AF793),$AF$2:$AF$1001,0),1)&gt;=100000,INDEX($AM$1005:$BM$1005,1,MATCH(COLUMNS($AM$1006:BI1006),$AM$1006:$BM$1006,0))&gt;=100000), " ",IF(INDEX($AM$2:$BM$1001,MATCH(ROWS($AF$2:AF793),$AF$2:$AF$1001,0),MATCH(COLUMNS($AM$1006:BI1006),$AM$1006:$BM$1006,0)), HYPERLINK("#",""), HYPERLINK(CONCATENATE("#metadata!", ADDRESS(INDEX($AH$2:$AH$1001,MATCH(ROWS($AF$2:AF793),$AF$2:$AF$1001,0),0), INDEX($AM$1004:$BM$1004,1,MATCH(COLUMNS($AM$1006:BI1006),$AM$1006:$BM$1006,0)))),"Fix")))</f>
        <v xml:space="preserve"> </v>
      </c>
      <c r="Y793" s="4" t="str">
        <f ca="1">IF(OR(INDEX($AG$2:$AG$1001,MATCH(ROWS($AF$2:AF793),$AF$2:$AF$1001,0),1)&gt;=100000,INDEX($AM$1005:$BM$1005,1,MATCH(COLUMNS($AM$1006:BJ1006),$AM$1006:$BM$1006,0))&gt;=100000), " ",IF(INDEX($AM$2:$BM$1001,MATCH(ROWS($AF$2:AF793),$AF$2:$AF$1001,0),MATCH(COLUMNS($AM$1006:BJ1006),$AM$1006:$BM$1006,0)), HYPERLINK("#",""), HYPERLINK(CONCATENATE("#metadata!", ADDRESS(INDEX($AH$2:$AH$1001,MATCH(ROWS($AF$2:AF793),$AF$2:$AF$1001,0),0), INDEX($AM$1004:$BM$1004,1,MATCH(COLUMNS($AM$1006:BJ1006),$AM$1006:$BM$1006,0)))),"Fix")))</f>
        <v xml:space="preserve"> </v>
      </c>
      <c r="Z793" s="4" t="str">
        <f ca="1">IF(OR(INDEX($AG$2:$AG$1001,MATCH(ROWS($AF$2:AF793),$AF$2:$AF$1001,0),1)&gt;=100000,INDEX($AM$1005:$BM$1005,1,MATCH(COLUMNS($AM$1006:BK1006),$AM$1006:$BM$1006,0))&gt;=100000), " ",IF(INDEX($AM$2:$BM$1001,MATCH(ROWS($AF$2:AF793),$AF$2:$AF$1001,0),MATCH(COLUMNS($AM$1006:BK1006),$AM$1006:$BM$1006,0)), HYPERLINK("#",""), HYPERLINK(CONCATENATE("#metadata!", ADDRESS(INDEX($AH$2:$AH$1001,MATCH(ROWS($AF$2:AF793),$AF$2:$AF$1001,0),0), INDEX($AM$1004:$BM$1004,1,MATCH(COLUMNS($AM$1006:BK1006),$AM$1006:$BM$1006,0)))),"Fix")))</f>
        <v xml:space="preserve"> </v>
      </c>
      <c r="AA793" s="4" t="str">
        <f ca="1">IF(OR(INDEX($AG$2:$AG$1001,MATCH(ROWS($AF$2:AF793),$AF$2:$AF$1001,0),1)&gt;=100000,INDEX($AM$1005:$BM$1005,1,MATCH(COLUMNS($AM$1006:BL1006),$AM$1006:$BM$1006,0))&gt;=100000), " ",IF(INDEX($AM$2:$BM$1001,MATCH(ROWS($AF$2:AF793),$AF$2:$AF$1001,0),MATCH(COLUMNS($AM$1006:BL1006),$AM$1006:$BM$1006,0)), HYPERLINK("#",""), HYPERLINK(CONCATENATE("#metadata!", ADDRESS(INDEX($AH$2:$AH$1001,MATCH(ROWS($AF$2:AF793),$AF$2:$AF$1001,0),0), INDEX($AM$1004:$BM$1004,1,MATCH(COLUMNS($AM$1006:BL1006),$AM$1006:$BM$1006,0)))),"Fix")))</f>
        <v xml:space="preserve"> </v>
      </c>
      <c r="AB793" s="4" t="str">
        <f ca="1">IF(OR(INDEX($AG$2:$AG$1001,MATCH(ROWS($AF$2:AF793),$AF$2:$AF$1001,0),1)&gt;=100000,INDEX($AM$1005:$BM$1005,1,MATCH(COLUMNS($AM$1006:BM1006),$AM$1006:$BM$1006,0))&gt;=100000), " ",IF(INDEX($AM$2:$BM$1001,MATCH(ROWS($AF$2:AF793),$AF$2:$AF$1001,0),MATCH(COLUMNS($AM$1006:BM1006),$AM$1006:$BM$1006,0)), HYPERLINK("#",""), HYPERLINK(CONCATENATE("#metadata!", ADDRESS(INDEX($AH$2:$AH$1001,MATCH(ROWS($AF$2:AF793),$AF$2:$AF$1001,0),0), INDEX($AM$1004:$BM$1004,1,MATCH(COLUMNS($AM$1006:BM1006),$AM$1006:$BM$1006,0)))),"Fix")))</f>
        <v xml:space="preserve"> </v>
      </c>
      <c r="AF793">
        <v>792</v>
      </c>
      <c r="AG793">
        <v>100793</v>
      </c>
      <c r="AH793">
        <v>793</v>
      </c>
      <c r="AI793" t="b">
        <f t="shared" si="12"/>
        <v>1</v>
      </c>
      <c r="AJ793" t="b">
        <f>COUNTBLANK(metadata!B793:AB793)=COLUMNS(metadata!B793:AB793)</f>
        <v>1</v>
      </c>
      <c r="AK793" t="str">
        <v/>
      </c>
      <c r="AM793" t="b">
        <f ca="1">AND(IF(metadata!B793="",FALSE,TRUE),COUNTIF(metadata!B:B, metadata!B793) = 1,NOT(ISERROR(SUMPRODUCT(SEARCH(MID(metadata!B793,ROW(INDIRECT("1:"&amp;LEN(metadata!B793))), 1),"0123456789abcdefghijklmnopqrstuvwxyzABCDEFGHIJKLMNOPQRSTUVWXYZ.")))))</f>
        <v>0</v>
      </c>
      <c r="AN793" t="b">
        <f ca="1">OR(AND(IF(metadata!C793="",FALSE,TRUE),OR(EXACT(metadata!C793,"missing: not collected"),EXACT(metadata!C793,"missing: not provided"),EXACT(metadata!C793,"missing: restricted access"))),AND(IF(metadata!C793="",FALSE,TRUE),AND(AND(IFERROR(INT(LEFT(metadata!C793,4))&gt;1900,FALSE),IFERROR(INT(LEFT(metadata!C793,4))&lt;=YEAR(NOW()),FALSE)), OR(MID(metadata!C793,5,1)="", AND(AND(MID(metadata!C793,5,1)="-",IFERROR(INT(MID(metadata!C793,6,1))&gt;=0,FALSE),IFERROR(INT(MID(metadata!C793,6,1))&lt;=1,FALSE),NOT(MID(metadata!C793,7,1)=""),IFERROR(INT(MID(metadata!C793,6,2))&gt;=1,FALSE),IFERROR(INT(MID(metadata!C793,6,2))&lt;=12,FALSE)), OR(MID(metadata!C793,8,1)="", AND(AND(MID(metadata!C793,8,1)="-",IFERROR(INT(MID(metadata!C793,9,1))&gt;=0,FALSE),IFERROR(INT(MID(metadata!C793,9,1))&lt;=3,FALSE),NOT(MID(metadata!C793,10,1)=""),IFERROR(INT(MID(metadata!C793,9,2))&gt;=1,FALSE),IFERROR(INT(MID(metadata!C793,9,2))&lt;=31,FALSE)), OR(MID(metadata!C793,11,1)="", AND(AND(MID(metadata!C793,11,1)=" ",IFERROR(INT(MID(metadata!C793,12,1))&gt;=0,FALSE),IFERROR(INT(MID(metadata!C793,12,1))&lt;=2,FALSE),NOT(MID(metadata!C793,13,1)=""),IFERROR(INT(MID(metadata!C793,12,2))&gt;=0,FALSE),IFERROR(INT(MID(metadata!C793,12,2))&lt;=23,FALSE)), OR(MID(metadata!C793,14,1)="", AND(AND(MID(metadata!C793,14,1)=":",IFERROR(INT(MID(metadata!C793,15,1))&gt;=0,FALSE),IFERROR(INT(MID(metadata!C793,15,1))&lt;=5,FALSE),NOT(MID(metadata!C793,16,1)=""),IFERROR(INT(MID(metadata!C793,15,2))&gt;=0,FALSE),IFERROR(INT(MID(metadata!C793,15,2))&lt;=59,FALSE)), OR(MID(metadata!C793,17,1)="", AND(AND(MID(metadata!C793,17,1)=":",IFERROR(INT(MID(metadata!C793,18,1))&gt;=0,FALSE),IFERROR(INT(MID(metadata!C793,18,1))&lt;=5,FALSE),NOT(MID(metadata!C793,19,1)=""),IFERROR(INT(MID(metadata!C793,18,2))&gt;=0,FALSE),IFERROR(INT(MID(metadata!C793,18,2))&lt;=59,FALSE)), LEN(metadata!C793)&lt;=19)))))))))))))</f>
        <v>0</v>
      </c>
      <c r="AO793" t="b">
        <f>AND(IF(metadata!D793="",FALSE,TRUE),EXACT(metadata!D793,"Not applicable"))</f>
        <v>0</v>
      </c>
      <c r="AP793" t="b">
        <f>IF(metadata!E793="",FALSE,TRUE)</f>
        <v>0</v>
      </c>
      <c r="AQ793" t="b">
        <f>OR(AND(IF(metadata!F793="",FALSE,TRUE),OR(EXACT(metadata!F793,"missing: not collected"),EXACT(metadata!F793,"missing: not provided"))),AND(IF(metadata!F793="",FALSE,TRUE),OR(EXACT(metadata!F793,"TRUE"),EXACT(metadata!F793,"FALSE"))))</f>
        <v>0</v>
      </c>
      <c r="AR793" t="b">
        <f>OR(AND(IF(metadata!G793="",FALSE,TRUE),OR(EXACT(metadata!G793,"missing: not collected"),EXACT(metadata!G793,"missing: not provided"),EXACT(metadata!G793,"missing: restricted access"))),AND(IF(metadata!G793="",FALSE,ISNUMBER(VALUE(metadata!G793))),metadata!G793&gt;=-413))</f>
        <v>0</v>
      </c>
      <c r="AS793" t="b">
        <f>AND(IF(metadata!H793="",FALSE,TRUE),EXACT(metadata!H793,"meters"))</f>
        <v>0</v>
      </c>
      <c r="AT793" t="b">
        <f>AND(IF(metadata!I793="",FALSE,TRUE),OR(EXACT(metadata!I793,"Host-associated"),EXACT(metadata!I793,"Free-living")))</f>
        <v>0</v>
      </c>
      <c r="AU793" t="b">
        <f>AND(IF(metadata!J793="",FALSE,TRUE),OR(EXACT(metadata!J793,"Animal"),EXACT(metadata!J793,"Fungus"),EXACT(metadata!J793,"Plant"),EXACT(metadata!J793,"Saline"),EXACT(metadata!J793,"Non-saline")))</f>
        <v>0</v>
      </c>
      <c r="AV793" t="b">
        <f>AND(IF(metadata!K793="",FALSE,TRUE),OR(EXACT(metadata!K793,"Plant secretion"),EXACT(metadata!K793,"Plant rhizosphere"),EXACT(metadata!K793,"Plant surface"),EXACT(metadata!K793,"Plant corpus"),EXACT(metadata!K793,"Fungus surface"),EXACT(metadata!K793,"Fungus corpus"),EXACT(metadata!K793,"Animal surface"),EXACT(metadata!K793,"Animal proximal gut"),EXACT(metadata!K793,"Animal corpus"),EXACT(metadata!K793,"Animal distal gut"),EXACT(metadata!K793,"Animal secretion"),EXACT(metadata!K793,"Sub-surface (non-saline)"),EXACT(metadata!K793,"Surface (non-saline)"),EXACT(metadata!K793,"Water (non-saline)"),EXACT(metadata!K793,"Soil (non-saline)"),EXACT(metadata!K793,"Aerosol (non-saline)"),EXACT(metadata!K793,"Sediment (non-saline)"),EXACT(metadata!K793,"Surface (saline)"),EXACT(metadata!K793,"Water (saline)"),EXACT(metadata!K793,"Hypersaline (saline)"),EXACT(metadata!K793,"Aerosol (saline)"),EXACT(metadata!K793,"Sediment (saline)")))</f>
        <v>0</v>
      </c>
      <c r="AW793" t="b">
        <f>IF(metadata!L793="",FALSE,TRUE)</f>
        <v>0</v>
      </c>
      <c r="AX793" t="b">
        <f>IF(metadata!M793="",FALSE,TRUE)</f>
        <v>0</v>
      </c>
      <c r="AY793" t="b">
        <f>IF(metadata!N793="",FALSE,TRUE)</f>
        <v>0</v>
      </c>
      <c r="AZ793" t="b">
        <f>OR(AND(IF(metadata!O793="",FALSE,TRUE),OR(EXACT(metadata!O793,"missing: not collected"),EXACT(metadata!O793,"missing: not provided"),EXACT(metadata!O793,"missing: restricted access"))),AND(IF(metadata!O793="",FALSE,TRUE),OR(EXACT(metadata!O793,"air"),EXACT(metadata!O793,"built environment"),EXACT(metadata!O793,"host-associated"),EXACT(metadata!O793,"human-associated"),EXACT(metadata!O793,"human-skin"),EXACT(metadata!O793,"human-oral"),EXACT(metadata!O793,"human-gut"),EXACT(metadata!O793,"human-vaginal"),EXACT(metadata!O793,"microbial mat/biofilm"),EXACT(metadata!O793,"misc environment"),EXACT(metadata!O793,"plant-associated"),EXACT(metadata!O793,"sediment"),EXACT(metadata!O793,"soil"),EXACT(metadata!O793,"wastewater/sludge"),EXACT(metadata!O793,"water"))))</f>
        <v>0</v>
      </c>
      <c r="BA793" t="b">
        <f>IF(metadata!P793="",FALSE,TRUE)</f>
        <v>0</v>
      </c>
      <c r="BB793" t="b">
        <f>IF(metadata!Q793="",FALSE,TRUE)</f>
        <v>0</v>
      </c>
      <c r="BC793" t="b">
        <f>OR(AND(IF(metadata!R793="",FALSE,TRUE),OR(EXACT(metadata!R793,"missing: not collected"),EXACT(metadata!R793,"missing: not provided"),EXACT(metadata!R793,"missing: restricted access"))),AND(IF(metadata!R793="",FALSE,ISNUMBER(VALUE(metadata!R793))),metadata!R793&gt;=-90,metadata!R793&lt;=90))</f>
        <v>0</v>
      </c>
      <c r="BD793" t="b">
        <f>AND(IF(metadata!S793="",FALSE,TRUE),EXACT(metadata!S793,"Decimal degrees"))</f>
        <v>0</v>
      </c>
      <c r="BE793" t="b">
        <f>OR(AND(IF(metadata!T793="",FALSE,TRUE),OR(EXACT(metadata!T793,"missing: not collected"),EXACT(metadata!T793,"missing: not provided"),EXACT(metadata!T793,"missing: restricted access"))),AND(IF(metadata!T793="",FALSE,ISNUMBER(VALUE(metadata!T793))),metadata!T793&gt;=-180,metadata!T793&lt;=180))</f>
        <v>0</v>
      </c>
      <c r="BF793" t="b">
        <f>AND(IF(metadata!U793="",FALSE,TRUE),EXACT(metadata!U793,"Decimal degrees"))</f>
        <v>0</v>
      </c>
      <c r="BG793" t="b">
        <f>IF(metadata!V793="",FALSE,TRUE)</f>
        <v>0</v>
      </c>
      <c r="BH793" t="b">
        <f>OR(AND(IF(metadata!W793="",FALSE,TRUE),OR(EXACT(metadata!W793,"missing: not collected"),EXACT(metadata!W793,"missing: not provided"),EXACT(metadata!W793,"missing: restricted access"))),AND(IF(metadata!W793="",FALSE,TRUE),OR(EXACT(metadata!W793,"TRUE"),EXACT(metadata!W793,"FALSE"))))</f>
        <v>0</v>
      </c>
      <c r="BI793" t="b">
        <f>AND(IF(metadata!X793="",FALSE,TRUE),EXACT(metadata!X793,"other"))</f>
        <v>0</v>
      </c>
      <c r="BJ793" t="b">
        <f>IF(metadata!Y793="",FALSE,TRUE)</f>
        <v>0</v>
      </c>
      <c r="BK793" t="b">
        <f>OR(AND(IF(metadata!Z793="",FALSE,TRUE),OR(EXACT(metadata!Z793,"missing: not collected"),EXACT(metadata!Z793,"missing: not provided"))),AND(IF(metadata!Z793="",FALSE,IF(ISERROR(INT(metadata!Z793)),FALSE,INT(metadata!Z793)=metadata!Z793)),metadata!Z793&gt;0))</f>
        <v>0</v>
      </c>
      <c r="BL793" t="b">
        <f>AND(IF(metadata!AA793="",FALSE,TRUE),EXACT(metadata!AA793,"Not applicable"))</f>
        <v>0</v>
      </c>
      <c r="BM793" t="b">
        <f>IF(metadata!AB793="",FALSE,TRUE)</f>
        <v>0</v>
      </c>
    </row>
    <row r="794" spans="1:65" x14ac:dyDescent="0.2">
      <c r="A794" s="5" t="str">
        <f ca="1">IF(B794=" "," ",HYPERLINK(CONCATENATE("#metadata!",ADDRESS(INDEX($AH$2:$AH$1001,MATCH(ROWS($AF$2:AF794),$AF$2:$AF$1001,0),0),1)),INDEX($AK$2:$AK$1001,MATCH(ROWS($AF$2:AF794),$AF$2:$AF$1001,0),0)))</f>
        <v xml:space="preserve"> </v>
      </c>
      <c r="B794" s="4" t="str">
        <f ca="1">IF(OR(INDEX($AG$2:$AG$1001,MATCH(ROWS($AF$2:AF794),$AF$2:$AF$1001,0),1)&gt;=100000,INDEX($AM$1005:$BM$1005,1,MATCH(COLUMNS($AM$1006:AM1006),$AM$1006:$BM$1006,0))&gt;=100000), " ",IF(INDEX($AM$2:$BM$1001,MATCH(ROWS($AF$2:AF794),$AF$2:$AF$1001,0),MATCH(COLUMNS($AM$1006:AM1006),$AM$1006:$BM$1006,0)), HYPERLINK("#",""), HYPERLINK(CONCATENATE("#metadata!", ADDRESS(INDEX($AH$2:$AH$1001,MATCH(ROWS($AF$2:AF794),$AF$2:$AF$1001,0),0), INDEX($AM$1004:$BM$1004,1,MATCH(COLUMNS($AM$1006:AM1006),$AM$1006:$BM$1006,0)))),"Fix")))</f>
        <v xml:space="preserve"> </v>
      </c>
      <c r="C794" s="4" t="str">
        <f ca="1">IF(OR(INDEX($AG$2:$AG$1001,MATCH(ROWS($AF$2:AF794),$AF$2:$AF$1001,0),1)&gt;=100000,INDEX($AM$1005:$BM$1005,1,MATCH(COLUMNS($AM$1006:AN1006),$AM$1006:$BM$1006,0))&gt;=100000), " ",IF(INDEX($AM$2:$BM$1001,MATCH(ROWS($AF$2:AF794),$AF$2:$AF$1001,0),MATCH(COLUMNS($AM$1006:AN1006),$AM$1006:$BM$1006,0)), HYPERLINK("#",""), HYPERLINK(CONCATENATE("#metadata!", ADDRESS(INDEX($AH$2:$AH$1001,MATCH(ROWS($AF$2:AF794),$AF$2:$AF$1001,0),0), INDEX($AM$1004:$BM$1004,1,MATCH(COLUMNS($AM$1006:AN1006),$AM$1006:$BM$1006,0)))),"Fix")))</f>
        <v xml:space="preserve"> </v>
      </c>
      <c r="D794" s="4" t="str">
        <f ca="1">IF(OR(INDEX($AG$2:$AG$1001,MATCH(ROWS($AF$2:AF794),$AF$2:$AF$1001,0),1)&gt;=100000,INDEX($AM$1005:$BM$1005,1,MATCH(COLUMNS($AM$1006:AO1006),$AM$1006:$BM$1006,0))&gt;=100000), " ",IF(INDEX($AM$2:$BM$1001,MATCH(ROWS($AF$2:AF794),$AF$2:$AF$1001,0),MATCH(COLUMNS($AM$1006:AO1006),$AM$1006:$BM$1006,0)), HYPERLINK("#",""), HYPERLINK(CONCATENATE("#metadata!", ADDRESS(INDEX($AH$2:$AH$1001,MATCH(ROWS($AF$2:AF794),$AF$2:$AF$1001,0),0), INDEX($AM$1004:$BM$1004,1,MATCH(COLUMNS($AM$1006:AO1006),$AM$1006:$BM$1006,0)))),"Fix")))</f>
        <v xml:space="preserve"> </v>
      </c>
      <c r="E794" s="4" t="str">
        <f ca="1">IF(OR(INDEX($AG$2:$AG$1001,MATCH(ROWS($AF$2:AF794),$AF$2:$AF$1001,0),1)&gt;=100000,INDEX($AM$1005:$BM$1005,1,MATCH(COLUMNS($AM$1006:AP1006),$AM$1006:$BM$1006,0))&gt;=100000), " ",IF(INDEX($AM$2:$BM$1001,MATCH(ROWS($AF$2:AF794),$AF$2:$AF$1001,0),MATCH(COLUMNS($AM$1006:AP1006),$AM$1006:$BM$1006,0)), HYPERLINK("#",""), HYPERLINK(CONCATENATE("#metadata!", ADDRESS(INDEX($AH$2:$AH$1001,MATCH(ROWS($AF$2:AF794),$AF$2:$AF$1001,0),0), INDEX($AM$1004:$BM$1004,1,MATCH(COLUMNS($AM$1006:AP1006),$AM$1006:$BM$1006,0)))),"Fix")))</f>
        <v xml:space="preserve"> </v>
      </c>
      <c r="F794" s="4" t="str">
        <f ca="1">IF(OR(INDEX($AG$2:$AG$1001,MATCH(ROWS($AF$2:AF794),$AF$2:$AF$1001,0),1)&gt;=100000,INDEX($AM$1005:$BM$1005,1,MATCH(COLUMNS($AM$1006:AQ1006),$AM$1006:$BM$1006,0))&gt;=100000), " ",IF(INDEX($AM$2:$BM$1001,MATCH(ROWS($AF$2:AF794),$AF$2:$AF$1001,0),MATCH(COLUMNS($AM$1006:AQ1006),$AM$1006:$BM$1006,0)), HYPERLINK("#",""), HYPERLINK(CONCATENATE("#metadata!", ADDRESS(INDEX($AH$2:$AH$1001,MATCH(ROWS($AF$2:AF794),$AF$2:$AF$1001,0),0), INDEX($AM$1004:$BM$1004,1,MATCH(COLUMNS($AM$1006:AQ1006),$AM$1006:$BM$1006,0)))),"Fix")))</f>
        <v xml:space="preserve"> </v>
      </c>
      <c r="G794" s="4" t="str">
        <f ca="1">IF(OR(INDEX($AG$2:$AG$1001,MATCH(ROWS($AF$2:AF794),$AF$2:$AF$1001,0),1)&gt;=100000,INDEX($AM$1005:$BM$1005,1,MATCH(COLUMNS($AM$1006:AR1006),$AM$1006:$BM$1006,0))&gt;=100000), " ",IF(INDEX($AM$2:$BM$1001,MATCH(ROWS($AF$2:AF794),$AF$2:$AF$1001,0),MATCH(COLUMNS($AM$1006:AR1006),$AM$1006:$BM$1006,0)), HYPERLINK("#",""), HYPERLINK(CONCATENATE("#metadata!", ADDRESS(INDEX($AH$2:$AH$1001,MATCH(ROWS($AF$2:AF794),$AF$2:$AF$1001,0),0), INDEX($AM$1004:$BM$1004,1,MATCH(COLUMNS($AM$1006:AR1006),$AM$1006:$BM$1006,0)))),"Fix")))</f>
        <v xml:space="preserve"> </v>
      </c>
      <c r="H794" s="4" t="str">
        <f ca="1">IF(OR(INDEX($AG$2:$AG$1001,MATCH(ROWS($AF$2:AF794),$AF$2:$AF$1001,0),1)&gt;=100000,INDEX($AM$1005:$BM$1005,1,MATCH(COLUMNS($AM$1006:AS1006),$AM$1006:$BM$1006,0))&gt;=100000), " ",IF(INDEX($AM$2:$BM$1001,MATCH(ROWS($AF$2:AF794),$AF$2:$AF$1001,0),MATCH(COLUMNS($AM$1006:AS1006),$AM$1006:$BM$1006,0)), HYPERLINK("#",""), HYPERLINK(CONCATENATE("#metadata!", ADDRESS(INDEX($AH$2:$AH$1001,MATCH(ROWS($AF$2:AF794),$AF$2:$AF$1001,0),0), INDEX($AM$1004:$BM$1004,1,MATCH(COLUMNS($AM$1006:AS1006),$AM$1006:$BM$1006,0)))),"Fix")))</f>
        <v xml:space="preserve"> </v>
      </c>
      <c r="I794" s="4" t="str">
        <f ca="1">IF(OR(INDEX($AG$2:$AG$1001,MATCH(ROWS($AF$2:AF794),$AF$2:$AF$1001,0),1)&gt;=100000,INDEX($AM$1005:$BM$1005,1,MATCH(COLUMNS($AM$1006:AT1006),$AM$1006:$BM$1006,0))&gt;=100000), " ",IF(INDEX($AM$2:$BM$1001,MATCH(ROWS($AF$2:AF794),$AF$2:$AF$1001,0),MATCH(COLUMNS($AM$1006:AT1006),$AM$1006:$BM$1006,0)), HYPERLINK("#",""), HYPERLINK(CONCATENATE("#metadata!", ADDRESS(INDEX($AH$2:$AH$1001,MATCH(ROWS($AF$2:AF794),$AF$2:$AF$1001,0),0), INDEX($AM$1004:$BM$1004,1,MATCH(COLUMNS($AM$1006:AT1006),$AM$1006:$BM$1006,0)))),"Fix")))</f>
        <v xml:space="preserve"> </v>
      </c>
      <c r="J794" s="4" t="str">
        <f ca="1">IF(OR(INDEX($AG$2:$AG$1001,MATCH(ROWS($AF$2:AF794),$AF$2:$AF$1001,0),1)&gt;=100000,INDEX($AM$1005:$BM$1005,1,MATCH(COLUMNS($AM$1006:AU1006),$AM$1006:$BM$1006,0))&gt;=100000), " ",IF(INDEX($AM$2:$BM$1001,MATCH(ROWS($AF$2:AF794),$AF$2:$AF$1001,0),MATCH(COLUMNS($AM$1006:AU1006),$AM$1006:$BM$1006,0)), HYPERLINK("#",""), HYPERLINK(CONCATENATE("#metadata!", ADDRESS(INDEX($AH$2:$AH$1001,MATCH(ROWS($AF$2:AF794),$AF$2:$AF$1001,0),0), INDEX($AM$1004:$BM$1004,1,MATCH(COLUMNS($AM$1006:AU1006),$AM$1006:$BM$1006,0)))),"Fix")))</f>
        <v xml:space="preserve"> </v>
      </c>
      <c r="K794" s="4" t="str">
        <f ca="1">IF(OR(INDEX($AG$2:$AG$1001,MATCH(ROWS($AF$2:AF794),$AF$2:$AF$1001,0),1)&gt;=100000,INDEX($AM$1005:$BM$1005,1,MATCH(COLUMNS($AM$1006:AV1006),$AM$1006:$BM$1006,0))&gt;=100000), " ",IF(INDEX($AM$2:$BM$1001,MATCH(ROWS($AF$2:AF794),$AF$2:$AF$1001,0),MATCH(COLUMNS($AM$1006:AV1006),$AM$1006:$BM$1006,0)), HYPERLINK("#",""), HYPERLINK(CONCATENATE("#metadata!", ADDRESS(INDEX($AH$2:$AH$1001,MATCH(ROWS($AF$2:AF794),$AF$2:$AF$1001,0),0), INDEX($AM$1004:$BM$1004,1,MATCH(COLUMNS($AM$1006:AV1006),$AM$1006:$BM$1006,0)))),"Fix")))</f>
        <v xml:space="preserve"> </v>
      </c>
      <c r="L794" s="4" t="str">
        <f ca="1">IF(OR(INDEX($AG$2:$AG$1001,MATCH(ROWS($AF$2:AF794),$AF$2:$AF$1001,0),1)&gt;=100000,INDEX($AM$1005:$BM$1005,1,MATCH(COLUMNS($AM$1006:AW1006),$AM$1006:$BM$1006,0))&gt;=100000), " ",IF(INDEX($AM$2:$BM$1001,MATCH(ROWS($AF$2:AF794),$AF$2:$AF$1001,0),MATCH(COLUMNS($AM$1006:AW1006),$AM$1006:$BM$1006,0)), HYPERLINK("#",""), HYPERLINK(CONCATENATE("#metadata!", ADDRESS(INDEX($AH$2:$AH$1001,MATCH(ROWS($AF$2:AF794),$AF$2:$AF$1001,0),0), INDEX($AM$1004:$BM$1004,1,MATCH(COLUMNS($AM$1006:AW1006),$AM$1006:$BM$1006,0)))),"Fix")))</f>
        <v xml:space="preserve"> </v>
      </c>
      <c r="M794" s="4" t="str">
        <f ca="1">IF(OR(INDEX($AG$2:$AG$1001,MATCH(ROWS($AF$2:AF794),$AF$2:$AF$1001,0),1)&gt;=100000,INDEX($AM$1005:$BM$1005,1,MATCH(COLUMNS($AM$1006:AX1006),$AM$1006:$BM$1006,0))&gt;=100000), " ",IF(INDEX($AM$2:$BM$1001,MATCH(ROWS($AF$2:AF794),$AF$2:$AF$1001,0),MATCH(COLUMNS($AM$1006:AX1006),$AM$1006:$BM$1006,0)), HYPERLINK("#",""), HYPERLINK(CONCATENATE("#metadata!", ADDRESS(INDEX($AH$2:$AH$1001,MATCH(ROWS($AF$2:AF794),$AF$2:$AF$1001,0),0), INDEX($AM$1004:$BM$1004,1,MATCH(COLUMNS($AM$1006:AX1006),$AM$1006:$BM$1006,0)))),"Fix")))</f>
        <v xml:space="preserve"> </v>
      </c>
      <c r="N794" s="4" t="str">
        <f ca="1">IF(OR(INDEX($AG$2:$AG$1001,MATCH(ROWS($AF$2:AF794),$AF$2:$AF$1001,0),1)&gt;=100000,INDEX($AM$1005:$BM$1005,1,MATCH(COLUMNS($AM$1006:AY1006),$AM$1006:$BM$1006,0))&gt;=100000), " ",IF(INDEX($AM$2:$BM$1001,MATCH(ROWS($AF$2:AF794),$AF$2:$AF$1001,0),MATCH(COLUMNS($AM$1006:AY1006),$AM$1006:$BM$1006,0)), HYPERLINK("#",""), HYPERLINK(CONCATENATE("#metadata!", ADDRESS(INDEX($AH$2:$AH$1001,MATCH(ROWS($AF$2:AF794),$AF$2:$AF$1001,0),0), INDEX($AM$1004:$BM$1004,1,MATCH(COLUMNS($AM$1006:AY1006),$AM$1006:$BM$1006,0)))),"Fix")))</f>
        <v xml:space="preserve"> </v>
      </c>
      <c r="O794" s="4" t="str">
        <f ca="1">IF(OR(INDEX($AG$2:$AG$1001,MATCH(ROWS($AF$2:AF794),$AF$2:$AF$1001,0),1)&gt;=100000,INDEX($AM$1005:$BM$1005,1,MATCH(COLUMNS($AM$1006:AZ1006),$AM$1006:$BM$1006,0))&gt;=100000), " ",IF(INDEX($AM$2:$BM$1001,MATCH(ROWS($AF$2:AF794),$AF$2:$AF$1001,0),MATCH(COLUMNS($AM$1006:AZ1006),$AM$1006:$BM$1006,0)), HYPERLINK("#",""), HYPERLINK(CONCATENATE("#metadata!", ADDRESS(INDEX($AH$2:$AH$1001,MATCH(ROWS($AF$2:AF794),$AF$2:$AF$1001,0),0), INDEX($AM$1004:$BM$1004,1,MATCH(COLUMNS($AM$1006:AZ1006),$AM$1006:$BM$1006,0)))),"Fix")))</f>
        <v xml:space="preserve"> </v>
      </c>
      <c r="P794" s="4" t="str">
        <f ca="1">IF(OR(INDEX($AG$2:$AG$1001,MATCH(ROWS($AF$2:AF794),$AF$2:$AF$1001,0),1)&gt;=100000,INDEX($AM$1005:$BM$1005,1,MATCH(COLUMNS($AM$1006:BA1006),$AM$1006:$BM$1006,0))&gt;=100000), " ",IF(INDEX($AM$2:$BM$1001,MATCH(ROWS($AF$2:AF794),$AF$2:$AF$1001,0),MATCH(COLUMNS($AM$1006:BA1006),$AM$1006:$BM$1006,0)), HYPERLINK("#",""), HYPERLINK(CONCATENATE("#metadata!", ADDRESS(INDEX($AH$2:$AH$1001,MATCH(ROWS($AF$2:AF794),$AF$2:$AF$1001,0),0), INDEX($AM$1004:$BM$1004,1,MATCH(COLUMNS($AM$1006:BA1006),$AM$1006:$BM$1006,0)))),"Fix")))</f>
        <v xml:space="preserve"> </v>
      </c>
      <c r="Q794" s="4" t="str">
        <f ca="1">IF(OR(INDEX($AG$2:$AG$1001,MATCH(ROWS($AF$2:AF794),$AF$2:$AF$1001,0),1)&gt;=100000,INDEX($AM$1005:$BM$1005,1,MATCH(COLUMNS($AM$1006:BB1006),$AM$1006:$BM$1006,0))&gt;=100000), " ",IF(INDEX($AM$2:$BM$1001,MATCH(ROWS($AF$2:AF794),$AF$2:$AF$1001,0),MATCH(COLUMNS($AM$1006:BB1006),$AM$1006:$BM$1006,0)), HYPERLINK("#",""), HYPERLINK(CONCATENATE("#metadata!", ADDRESS(INDEX($AH$2:$AH$1001,MATCH(ROWS($AF$2:AF794),$AF$2:$AF$1001,0),0), INDEX($AM$1004:$BM$1004,1,MATCH(COLUMNS($AM$1006:BB1006),$AM$1006:$BM$1006,0)))),"Fix")))</f>
        <v xml:space="preserve"> </v>
      </c>
      <c r="R794" s="4" t="str">
        <f ca="1">IF(OR(INDEX($AG$2:$AG$1001,MATCH(ROWS($AF$2:AF794),$AF$2:$AF$1001,0),1)&gt;=100000,INDEX($AM$1005:$BM$1005,1,MATCH(COLUMNS($AM$1006:BC1006),$AM$1006:$BM$1006,0))&gt;=100000), " ",IF(INDEX($AM$2:$BM$1001,MATCH(ROWS($AF$2:AF794),$AF$2:$AF$1001,0),MATCH(COLUMNS($AM$1006:BC1006),$AM$1006:$BM$1006,0)), HYPERLINK("#",""), HYPERLINK(CONCATENATE("#metadata!", ADDRESS(INDEX($AH$2:$AH$1001,MATCH(ROWS($AF$2:AF794),$AF$2:$AF$1001,0),0), INDEX($AM$1004:$BM$1004,1,MATCH(COLUMNS($AM$1006:BC1006),$AM$1006:$BM$1006,0)))),"Fix")))</f>
        <v xml:space="preserve"> </v>
      </c>
      <c r="S794" s="4" t="str">
        <f ca="1">IF(OR(INDEX($AG$2:$AG$1001,MATCH(ROWS($AF$2:AF794),$AF$2:$AF$1001,0),1)&gt;=100000,INDEX($AM$1005:$BM$1005,1,MATCH(COLUMNS($AM$1006:BD1006),$AM$1006:$BM$1006,0))&gt;=100000), " ",IF(INDEX($AM$2:$BM$1001,MATCH(ROWS($AF$2:AF794),$AF$2:$AF$1001,0),MATCH(COLUMNS($AM$1006:BD1006),$AM$1006:$BM$1006,0)), HYPERLINK("#",""), HYPERLINK(CONCATENATE("#metadata!", ADDRESS(INDEX($AH$2:$AH$1001,MATCH(ROWS($AF$2:AF794),$AF$2:$AF$1001,0),0), INDEX($AM$1004:$BM$1004,1,MATCH(COLUMNS($AM$1006:BD1006),$AM$1006:$BM$1006,0)))),"Fix")))</f>
        <v xml:space="preserve"> </v>
      </c>
      <c r="T794" s="4" t="str">
        <f ca="1">IF(OR(INDEX($AG$2:$AG$1001,MATCH(ROWS($AF$2:AF794),$AF$2:$AF$1001,0),1)&gt;=100000,INDEX($AM$1005:$BM$1005,1,MATCH(COLUMNS($AM$1006:BE1006),$AM$1006:$BM$1006,0))&gt;=100000), " ",IF(INDEX($AM$2:$BM$1001,MATCH(ROWS($AF$2:AF794),$AF$2:$AF$1001,0),MATCH(COLUMNS($AM$1006:BE1006),$AM$1006:$BM$1006,0)), HYPERLINK("#",""), HYPERLINK(CONCATENATE("#metadata!", ADDRESS(INDEX($AH$2:$AH$1001,MATCH(ROWS($AF$2:AF794),$AF$2:$AF$1001,0),0), INDEX($AM$1004:$BM$1004,1,MATCH(COLUMNS($AM$1006:BE1006),$AM$1006:$BM$1006,0)))),"Fix")))</f>
        <v xml:space="preserve"> </v>
      </c>
      <c r="U794" s="4" t="str">
        <f ca="1">IF(OR(INDEX($AG$2:$AG$1001,MATCH(ROWS($AF$2:AF794),$AF$2:$AF$1001,0),1)&gt;=100000,INDEX($AM$1005:$BM$1005,1,MATCH(COLUMNS($AM$1006:BF1006),$AM$1006:$BM$1006,0))&gt;=100000), " ",IF(INDEX($AM$2:$BM$1001,MATCH(ROWS($AF$2:AF794),$AF$2:$AF$1001,0),MATCH(COLUMNS($AM$1006:BF1006),$AM$1006:$BM$1006,0)), HYPERLINK("#",""), HYPERLINK(CONCATENATE("#metadata!", ADDRESS(INDEX($AH$2:$AH$1001,MATCH(ROWS($AF$2:AF794),$AF$2:$AF$1001,0),0), INDEX($AM$1004:$BM$1004,1,MATCH(COLUMNS($AM$1006:BF1006),$AM$1006:$BM$1006,0)))),"Fix")))</f>
        <v xml:space="preserve"> </v>
      </c>
      <c r="V794" s="4" t="str">
        <f ca="1">IF(OR(INDEX($AG$2:$AG$1001,MATCH(ROWS($AF$2:AF794),$AF$2:$AF$1001,0),1)&gt;=100000,INDEX($AM$1005:$BM$1005,1,MATCH(COLUMNS($AM$1006:BG1006),$AM$1006:$BM$1006,0))&gt;=100000), " ",IF(INDEX($AM$2:$BM$1001,MATCH(ROWS($AF$2:AF794),$AF$2:$AF$1001,0),MATCH(COLUMNS($AM$1006:BG1006),$AM$1006:$BM$1006,0)), HYPERLINK("#",""), HYPERLINK(CONCATENATE("#metadata!", ADDRESS(INDEX($AH$2:$AH$1001,MATCH(ROWS($AF$2:AF794),$AF$2:$AF$1001,0),0), INDEX($AM$1004:$BM$1004,1,MATCH(COLUMNS($AM$1006:BG1006),$AM$1006:$BM$1006,0)))),"Fix")))</f>
        <v xml:space="preserve"> </v>
      </c>
      <c r="W794" s="4" t="str">
        <f ca="1">IF(OR(INDEX($AG$2:$AG$1001,MATCH(ROWS($AF$2:AF794),$AF$2:$AF$1001,0),1)&gt;=100000,INDEX($AM$1005:$BM$1005,1,MATCH(COLUMNS($AM$1006:BH1006),$AM$1006:$BM$1006,0))&gt;=100000), " ",IF(INDEX($AM$2:$BM$1001,MATCH(ROWS($AF$2:AF794),$AF$2:$AF$1001,0),MATCH(COLUMNS($AM$1006:BH1006),$AM$1006:$BM$1006,0)), HYPERLINK("#",""), HYPERLINK(CONCATENATE("#metadata!", ADDRESS(INDEX($AH$2:$AH$1001,MATCH(ROWS($AF$2:AF794),$AF$2:$AF$1001,0),0), INDEX($AM$1004:$BM$1004,1,MATCH(COLUMNS($AM$1006:BH1006),$AM$1006:$BM$1006,0)))),"Fix")))</f>
        <v xml:space="preserve"> </v>
      </c>
      <c r="X794" s="4" t="str">
        <f ca="1">IF(OR(INDEX($AG$2:$AG$1001,MATCH(ROWS($AF$2:AF794),$AF$2:$AF$1001,0),1)&gt;=100000,INDEX($AM$1005:$BM$1005,1,MATCH(COLUMNS($AM$1006:BI1006),$AM$1006:$BM$1006,0))&gt;=100000), " ",IF(INDEX($AM$2:$BM$1001,MATCH(ROWS($AF$2:AF794),$AF$2:$AF$1001,0),MATCH(COLUMNS($AM$1006:BI1006),$AM$1006:$BM$1006,0)), HYPERLINK("#",""), HYPERLINK(CONCATENATE("#metadata!", ADDRESS(INDEX($AH$2:$AH$1001,MATCH(ROWS($AF$2:AF794),$AF$2:$AF$1001,0),0), INDEX($AM$1004:$BM$1004,1,MATCH(COLUMNS($AM$1006:BI1006),$AM$1006:$BM$1006,0)))),"Fix")))</f>
        <v xml:space="preserve"> </v>
      </c>
      <c r="Y794" s="4" t="str">
        <f ca="1">IF(OR(INDEX($AG$2:$AG$1001,MATCH(ROWS($AF$2:AF794),$AF$2:$AF$1001,0),1)&gt;=100000,INDEX($AM$1005:$BM$1005,1,MATCH(COLUMNS($AM$1006:BJ1006),$AM$1006:$BM$1006,0))&gt;=100000), " ",IF(INDEX($AM$2:$BM$1001,MATCH(ROWS($AF$2:AF794),$AF$2:$AF$1001,0),MATCH(COLUMNS($AM$1006:BJ1006),$AM$1006:$BM$1006,0)), HYPERLINK("#",""), HYPERLINK(CONCATENATE("#metadata!", ADDRESS(INDEX($AH$2:$AH$1001,MATCH(ROWS($AF$2:AF794),$AF$2:$AF$1001,0),0), INDEX($AM$1004:$BM$1004,1,MATCH(COLUMNS($AM$1006:BJ1006),$AM$1006:$BM$1006,0)))),"Fix")))</f>
        <v xml:space="preserve"> </v>
      </c>
      <c r="Z794" s="4" t="str">
        <f ca="1">IF(OR(INDEX($AG$2:$AG$1001,MATCH(ROWS($AF$2:AF794),$AF$2:$AF$1001,0),1)&gt;=100000,INDEX($AM$1005:$BM$1005,1,MATCH(COLUMNS($AM$1006:BK1006),$AM$1006:$BM$1006,0))&gt;=100000), " ",IF(INDEX($AM$2:$BM$1001,MATCH(ROWS($AF$2:AF794),$AF$2:$AF$1001,0),MATCH(COLUMNS($AM$1006:BK1006),$AM$1006:$BM$1006,0)), HYPERLINK("#",""), HYPERLINK(CONCATENATE("#metadata!", ADDRESS(INDEX($AH$2:$AH$1001,MATCH(ROWS($AF$2:AF794),$AF$2:$AF$1001,0),0), INDEX($AM$1004:$BM$1004,1,MATCH(COLUMNS($AM$1006:BK1006),$AM$1006:$BM$1006,0)))),"Fix")))</f>
        <v xml:space="preserve"> </v>
      </c>
      <c r="AA794" s="4" t="str">
        <f ca="1">IF(OR(INDEX($AG$2:$AG$1001,MATCH(ROWS($AF$2:AF794),$AF$2:$AF$1001,0),1)&gt;=100000,INDEX($AM$1005:$BM$1005,1,MATCH(COLUMNS($AM$1006:BL1006),$AM$1006:$BM$1006,0))&gt;=100000), " ",IF(INDEX($AM$2:$BM$1001,MATCH(ROWS($AF$2:AF794),$AF$2:$AF$1001,0),MATCH(COLUMNS($AM$1006:BL1006),$AM$1006:$BM$1006,0)), HYPERLINK("#",""), HYPERLINK(CONCATENATE("#metadata!", ADDRESS(INDEX($AH$2:$AH$1001,MATCH(ROWS($AF$2:AF794),$AF$2:$AF$1001,0),0), INDEX($AM$1004:$BM$1004,1,MATCH(COLUMNS($AM$1006:BL1006),$AM$1006:$BM$1006,0)))),"Fix")))</f>
        <v xml:space="preserve"> </v>
      </c>
      <c r="AB794" s="4" t="str">
        <f ca="1">IF(OR(INDEX($AG$2:$AG$1001,MATCH(ROWS($AF$2:AF794),$AF$2:$AF$1001,0),1)&gt;=100000,INDEX($AM$1005:$BM$1005,1,MATCH(COLUMNS($AM$1006:BM1006),$AM$1006:$BM$1006,0))&gt;=100000), " ",IF(INDEX($AM$2:$BM$1001,MATCH(ROWS($AF$2:AF794),$AF$2:$AF$1001,0),MATCH(COLUMNS($AM$1006:BM1006),$AM$1006:$BM$1006,0)), HYPERLINK("#",""), HYPERLINK(CONCATENATE("#metadata!", ADDRESS(INDEX($AH$2:$AH$1001,MATCH(ROWS($AF$2:AF794),$AF$2:$AF$1001,0),0), INDEX($AM$1004:$BM$1004,1,MATCH(COLUMNS($AM$1006:BM1006),$AM$1006:$BM$1006,0)))),"Fix")))</f>
        <v xml:space="preserve"> </v>
      </c>
      <c r="AF794">
        <v>793</v>
      </c>
      <c r="AG794">
        <v>100794</v>
      </c>
      <c r="AH794">
        <v>794</v>
      </c>
      <c r="AI794" t="b">
        <f t="shared" si="12"/>
        <v>1</v>
      </c>
      <c r="AJ794" t="b">
        <f>COUNTBLANK(metadata!B794:AB794)=COLUMNS(metadata!B794:AB794)</f>
        <v>1</v>
      </c>
      <c r="AK794" t="str">
        <v/>
      </c>
      <c r="AM794" t="b">
        <f ca="1">AND(IF(metadata!B794="",FALSE,TRUE),COUNTIF(metadata!B:B, metadata!B794) = 1,NOT(ISERROR(SUMPRODUCT(SEARCH(MID(metadata!B794,ROW(INDIRECT("1:"&amp;LEN(metadata!B794))), 1),"0123456789abcdefghijklmnopqrstuvwxyzABCDEFGHIJKLMNOPQRSTUVWXYZ.")))))</f>
        <v>0</v>
      </c>
      <c r="AN794" t="b">
        <f ca="1">OR(AND(IF(metadata!C794="",FALSE,TRUE),OR(EXACT(metadata!C794,"missing: not collected"),EXACT(metadata!C794,"missing: not provided"),EXACT(metadata!C794,"missing: restricted access"))),AND(IF(metadata!C794="",FALSE,TRUE),AND(AND(IFERROR(INT(LEFT(metadata!C794,4))&gt;1900,FALSE),IFERROR(INT(LEFT(metadata!C794,4))&lt;=YEAR(NOW()),FALSE)), OR(MID(metadata!C794,5,1)="", AND(AND(MID(metadata!C794,5,1)="-",IFERROR(INT(MID(metadata!C794,6,1))&gt;=0,FALSE),IFERROR(INT(MID(metadata!C794,6,1))&lt;=1,FALSE),NOT(MID(metadata!C794,7,1)=""),IFERROR(INT(MID(metadata!C794,6,2))&gt;=1,FALSE),IFERROR(INT(MID(metadata!C794,6,2))&lt;=12,FALSE)), OR(MID(metadata!C794,8,1)="", AND(AND(MID(metadata!C794,8,1)="-",IFERROR(INT(MID(metadata!C794,9,1))&gt;=0,FALSE),IFERROR(INT(MID(metadata!C794,9,1))&lt;=3,FALSE),NOT(MID(metadata!C794,10,1)=""),IFERROR(INT(MID(metadata!C794,9,2))&gt;=1,FALSE),IFERROR(INT(MID(metadata!C794,9,2))&lt;=31,FALSE)), OR(MID(metadata!C794,11,1)="", AND(AND(MID(metadata!C794,11,1)=" ",IFERROR(INT(MID(metadata!C794,12,1))&gt;=0,FALSE),IFERROR(INT(MID(metadata!C794,12,1))&lt;=2,FALSE),NOT(MID(metadata!C794,13,1)=""),IFERROR(INT(MID(metadata!C794,12,2))&gt;=0,FALSE),IFERROR(INT(MID(metadata!C794,12,2))&lt;=23,FALSE)), OR(MID(metadata!C794,14,1)="", AND(AND(MID(metadata!C794,14,1)=":",IFERROR(INT(MID(metadata!C794,15,1))&gt;=0,FALSE),IFERROR(INT(MID(metadata!C794,15,1))&lt;=5,FALSE),NOT(MID(metadata!C794,16,1)=""),IFERROR(INT(MID(metadata!C794,15,2))&gt;=0,FALSE),IFERROR(INT(MID(metadata!C794,15,2))&lt;=59,FALSE)), OR(MID(metadata!C794,17,1)="", AND(AND(MID(metadata!C794,17,1)=":",IFERROR(INT(MID(metadata!C794,18,1))&gt;=0,FALSE),IFERROR(INT(MID(metadata!C794,18,1))&lt;=5,FALSE),NOT(MID(metadata!C794,19,1)=""),IFERROR(INT(MID(metadata!C794,18,2))&gt;=0,FALSE),IFERROR(INT(MID(metadata!C794,18,2))&lt;=59,FALSE)), LEN(metadata!C794)&lt;=19)))))))))))))</f>
        <v>0</v>
      </c>
      <c r="AO794" t="b">
        <f>AND(IF(metadata!D794="",FALSE,TRUE),EXACT(metadata!D794,"Not applicable"))</f>
        <v>0</v>
      </c>
      <c r="AP794" t="b">
        <f>IF(metadata!E794="",FALSE,TRUE)</f>
        <v>0</v>
      </c>
      <c r="AQ794" t="b">
        <f>OR(AND(IF(metadata!F794="",FALSE,TRUE),OR(EXACT(metadata!F794,"missing: not collected"),EXACT(metadata!F794,"missing: not provided"))),AND(IF(metadata!F794="",FALSE,TRUE),OR(EXACT(metadata!F794,"TRUE"),EXACT(metadata!F794,"FALSE"))))</f>
        <v>0</v>
      </c>
      <c r="AR794" t="b">
        <f>OR(AND(IF(metadata!G794="",FALSE,TRUE),OR(EXACT(metadata!G794,"missing: not collected"),EXACT(metadata!G794,"missing: not provided"),EXACT(metadata!G794,"missing: restricted access"))),AND(IF(metadata!G794="",FALSE,ISNUMBER(VALUE(metadata!G794))),metadata!G794&gt;=-413))</f>
        <v>0</v>
      </c>
      <c r="AS794" t="b">
        <f>AND(IF(metadata!H794="",FALSE,TRUE),EXACT(metadata!H794,"meters"))</f>
        <v>0</v>
      </c>
      <c r="AT794" t="b">
        <f>AND(IF(metadata!I794="",FALSE,TRUE),OR(EXACT(metadata!I794,"Host-associated"),EXACT(metadata!I794,"Free-living")))</f>
        <v>0</v>
      </c>
      <c r="AU794" t="b">
        <f>AND(IF(metadata!J794="",FALSE,TRUE),OR(EXACT(metadata!J794,"Animal"),EXACT(metadata!J794,"Fungus"),EXACT(metadata!J794,"Plant"),EXACT(metadata!J794,"Saline"),EXACT(metadata!J794,"Non-saline")))</f>
        <v>0</v>
      </c>
      <c r="AV794" t="b">
        <f>AND(IF(metadata!K794="",FALSE,TRUE),OR(EXACT(metadata!K794,"Plant secretion"),EXACT(metadata!K794,"Plant rhizosphere"),EXACT(metadata!K794,"Plant surface"),EXACT(metadata!K794,"Plant corpus"),EXACT(metadata!K794,"Fungus surface"),EXACT(metadata!K794,"Fungus corpus"),EXACT(metadata!K794,"Animal surface"),EXACT(metadata!K794,"Animal proximal gut"),EXACT(metadata!K794,"Animal corpus"),EXACT(metadata!K794,"Animal distal gut"),EXACT(metadata!K794,"Animal secretion"),EXACT(metadata!K794,"Sub-surface (non-saline)"),EXACT(metadata!K794,"Surface (non-saline)"),EXACT(metadata!K794,"Water (non-saline)"),EXACT(metadata!K794,"Soil (non-saline)"),EXACT(metadata!K794,"Aerosol (non-saline)"),EXACT(metadata!K794,"Sediment (non-saline)"),EXACT(metadata!K794,"Surface (saline)"),EXACT(metadata!K794,"Water (saline)"),EXACT(metadata!K794,"Hypersaline (saline)"),EXACT(metadata!K794,"Aerosol (saline)"),EXACT(metadata!K794,"Sediment (saline)")))</f>
        <v>0</v>
      </c>
      <c r="AW794" t="b">
        <f>IF(metadata!L794="",FALSE,TRUE)</f>
        <v>0</v>
      </c>
      <c r="AX794" t="b">
        <f>IF(metadata!M794="",FALSE,TRUE)</f>
        <v>0</v>
      </c>
      <c r="AY794" t="b">
        <f>IF(metadata!N794="",FALSE,TRUE)</f>
        <v>0</v>
      </c>
      <c r="AZ794" t="b">
        <f>OR(AND(IF(metadata!O794="",FALSE,TRUE),OR(EXACT(metadata!O794,"missing: not collected"),EXACT(metadata!O794,"missing: not provided"),EXACT(metadata!O794,"missing: restricted access"))),AND(IF(metadata!O794="",FALSE,TRUE),OR(EXACT(metadata!O794,"air"),EXACT(metadata!O794,"built environment"),EXACT(metadata!O794,"host-associated"),EXACT(metadata!O794,"human-associated"),EXACT(metadata!O794,"human-skin"),EXACT(metadata!O794,"human-oral"),EXACT(metadata!O794,"human-gut"),EXACT(metadata!O794,"human-vaginal"),EXACT(metadata!O794,"microbial mat/biofilm"),EXACT(metadata!O794,"misc environment"),EXACT(metadata!O794,"plant-associated"),EXACT(metadata!O794,"sediment"),EXACT(metadata!O794,"soil"),EXACT(metadata!O794,"wastewater/sludge"),EXACT(metadata!O794,"water"))))</f>
        <v>0</v>
      </c>
      <c r="BA794" t="b">
        <f>IF(metadata!P794="",FALSE,TRUE)</f>
        <v>0</v>
      </c>
      <c r="BB794" t="b">
        <f>IF(metadata!Q794="",FALSE,TRUE)</f>
        <v>0</v>
      </c>
      <c r="BC794" t="b">
        <f>OR(AND(IF(metadata!R794="",FALSE,TRUE),OR(EXACT(metadata!R794,"missing: not collected"),EXACT(metadata!R794,"missing: not provided"),EXACT(metadata!R794,"missing: restricted access"))),AND(IF(metadata!R794="",FALSE,ISNUMBER(VALUE(metadata!R794))),metadata!R794&gt;=-90,metadata!R794&lt;=90))</f>
        <v>0</v>
      </c>
      <c r="BD794" t="b">
        <f>AND(IF(metadata!S794="",FALSE,TRUE),EXACT(metadata!S794,"Decimal degrees"))</f>
        <v>0</v>
      </c>
      <c r="BE794" t="b">
        <f>OR(AND(IF(metadata!T794="",FALSE,TRUE),OR(EXACT(metadata!T794,"missing: not collected"),EXACT(metadata!T794,"missing: not provided"),EXACT(metadata!T794,"missing: restricted access"))),AND(IF(metadata!T794="",FALSE,ISNUMBER(VALUE(metadata!T794))),metadata!T794&gt;=-180,metadata!T794&lt;=180))</f>
        <v>0</v>
      </c>
      <c r="BF794" t="b">
        <f>AND(IF(metadata!U794="",FALSE,TRUE),EXACT(metadata!U794,"Decimal degrees"))</f>
        <v>0</v>
      </c>
      <c r="BG794" t="b">
        <f>IF(metadata!V794="",FALSE,TRUE)</f>
        <v>0</v>
      </c>
      <c r="BH794" t="b">
        <f>OR(AND(IF(metadata!W794="",FALSE,TRUE),OR(EXACT(metadata!W794,"missing: not collected"),EXACT(metadata!W794,"missing: not provided"),EXACT(metadata!W794,"missing: restricted access"))),AND(IF(metadata!W794="",FALSE,TRUE),OR(EXACT(metadata!W794,"TRUE"),EXACT(metadata!W794,"FALSE"))))</f>
        <v>0</v>
      </c>
      <c r="BI794" t="b">
        <f>AND(IF(metadata!X794="",FALSE,TRUE),EXACT(metadata!X794,"other"))</f>
        <v>0</v>
      </c>
      <c r="BJ794" t="b">
        <f>IF(metadata!Y794="",FALSE,TRUE)</f>
        <v>0</v>
      </c>
      <c r="BK794" t="b">
        <f>OR(AND(IF(metadata!Z794="",FALSE,TRUE),OR(EXACT(metadata!Z794,"missing: not collected"),EXACT(metadata!Z794,"missing: not provided"))),AND(IF(metadata!Z794="",FALSE,IF(ISERROR(INT(metadata!Z794)),FALSE,INT(metadata!Z794)=metadata!Z794)),metadata!Z794&gt;0))</f>
        <v>0</v>
      </c>
      <c r="BL794" t="b">
        <f>AND(IF(metadata!AA794="",FALSE,TRUE),EXACT(metadata!AA794,"Not applicable"))</f>
        <v>0</v>
      </c>
      <c r="BM794" t="b">
        <f>IF(metadata!AB794="",FALSE,TRUE)</f>
        <v>0</v>
      </c>
    </row>
    <row r="795" spans="1:65" x14ac:dyDescent="0.2">
      <c r="A795" s="5" t="str">
        <f ca="1">IF(B795=" "," ",HYPERLINK(CONCATENATE("#metadata!",ADDRESS(INDEX($AH$2:$AH$1001,MATCH(ROWS($AF$2:AF795),$AF$2:$AF$1001,0),0),1)),INDEX($AK$2:$AK$1001,MATCH(ROWS($AF$2:AF795),$AF$2:$AF$1001,0),0)))</f>
        <v xml:space="preserve"> </v>
      </c>
      <c r="B795" s="4" t="str">
        <f ca="1">IF(OR(INDEX($AG$2:$AG$1001,MATCH(ROWS($AF$2:AF795),$AF$2:$AF$1001,0),1)&gt;=100000,INDEX($AM$1005:$BM$1005,1,MATCH(COLUMNS($AM$1006:AM1006),$AM$1006:$BM$1006,0))&gt;=100000), " ",IF(INDEX($AM$2:$BM$1001,MATCH(ROWS($AF$2:AF795),$AF$2:$AF$1001,0),MATCH(COLUMNS($AM$1006:AM1006),$AM$1006:$BM$1006,0)), HYPERLINK("#",""), HYPERLINK(CONCATENATE("#metadata!", ADDRESS(INDEX($AH$2:$AH$1001,MATCH(ROWS($AF$2:AF795),$AF$2:$AF$1001,0),0), INDEX($AM$1004:$BM$1004,1,MATCH(COLUMNS($AM$1006:AM1006),$AM$1006:$BM$1006,0)))),"Fix")))</f>
        <v xml:space="preserve"> </v>
      </c>
      <c r="C795" s="4" t="str">
        <f ca="1">IF(OR(INDEX($AG$2:$AG$1001,MATCH(ROWS($AF$2:AF795),$AF$2:$AF$1001,0),1)&gt;=100000,INDEX($AM$1005:$BM$1005,1,MATCH(COLUMNS($AM$1006:AN1006),$AM$1006:$BM$1006,0))&gt;=100000), " ",IF(INDEX($AM$2:$BM$1001,MATCH(ROWS($AF$2:AF795),$AF$2:$AF$1001,0),MATCH(COLUMNS($AM$1006:AN1006),$AM$1006:$BM$1006,0)), HYPERLINK("#",""), HYPERLINK(CONCATENATE("#metadata!", ADDRESS(INDEX($AH$2:$AH$1001,MATCH(ROWS($AF$2:AF795),$AF$2:$AF$1001,0),0), INDEX($AM$1004:$BM$1004,1,MATCH(COLUMNS($AM$1006:AN1006),$AM$1006:$BM$1006,0)))),"Fix")))</f>
        <v xml:space="preserve"> </v>
      </c>
      <c r="D795" s="4" t="str">
        <f ca="1">IF(OR(INDEX($AG$2:$AG$1001,MATCH(ROWS($AF$2:AF795),$AF$2:$AF$1001,0),1)&gt;=100000,INDEX($AM$1005:$BM$1005,1,MATCH(COLUMNS($AM$1006:AO1006),$AM$1006:$BM$1006,0))&gt;=100000), " ",IF(INDEX($AM$2:$BM$1001,MATCH(ROWS($AF$2:AF795),$AF$2:$AF$1001,0),MATCH(COLUMNS($AM$1006:AO1006),$AM$1006:$BM$1006,0)), HYPERLINK("#",""), HYPERLINK(CONCATENATE("#metadata!", ADDRESS(INDEX($AH$2:$AH$1001,MATCH(ROWS($AF$2:AF795),$AF$2:$AF$1001,0),0), INDEX($AM$1004:$BM$1004,1,MATCH(COLUMNS($AM$1006:AO1006),$AM$1006:$BM$1006,0)))),"Fix")))</f>
        <v xml:space="preserve"> </v>
      </c>
      <c r="E795" s="4" t="str">
        <f ca="1">IF(OR(INDEX($AG$2:$AG$1001,MATCH(ROWS($AF$2:AF795),$AF$2:$AF$1001,0),1)&gt;=100000,INDEX($AM$1005:$BM$1005,1,MATCH(COLUMNS($AM$1006:AP1006),$AM$1006:$BM$1006,0))&gt;=100000), " ",IF(INDEX($AM$2:$BM$1001,MATCH(ROWS($AF$2:AF795),$AF$2:$AF$1001,0),MATCH(COLUMNS($AM$1006:AP1006),$AM$1006:$BM$1006,0)), HYPERLINK("#",""), HYPERLINK(CONCATENATE("#metadata!", ADDRESS(INDEX($AH$2:$AH$1001,MATCH(ROWS($AF$2:AF795),$AF$2:$AF$1001,0),0), INDEX($AM$1004:$BM$1004,1,MATCH(COLUMNS($AM$1006:AP1006),$AM$1006:$BM$1006,0)))),"Fix")))</f>
        <v xml:space="preserve"> </v>
      </c>
      <c r="F795" s="4" t="str">
        <f ca="1">IF(OR(INDEX($AG$2:$AG$1001,MATCH(ROWS($AF$2:AF795),$AF$2:$AF$1001,0),1)&gt;=100000,INDEX($AM$1005:$BM$1005,1,MATCH(COLUMNS($AM$1006:AQ1006),$AM$1006:$BM$1006,0))&gt;=100000), " ",IF(INDEX($AM$2:$BM$1001,MATCH(ROWS($AF$2:AF795),$AF$2:$AF$1001,0),MATCH(COLUMNS($AM$1006:AQ1006),$AM$1006:$BM$1006,0)), HYPERLINK("#",""), HYPERLINK(CONCATENATE("#metadata!", ADDRESS(INDEX($AH$2:$AH$1001,MATCH(ROWS($AF$2:AF795),$AF$2:$AF$1001,0),0), INDEX($AM$1004:$BM$1004,1,MATCH(COLUMNS($AM$1006:AQ1006),$AM$1006:$BM$1006,0)))),"Fix")))</f>
        <v xml:space="preserve"> </v>
      </c>
      <c r="G795" s="4" t="str">
        <f ca="1">IF(OR(INDEX($AG$2:$AG$1001,MATCH(ROWS($AF$2:AF795),$AF$2:$AF$1001,0),1)&gt;=100000,INDEX($AM$1005:$BM$1005,1,MATCH(COLUMNS($AM$1006:AR1006),$AM$1006:$BM$1006,0))&gt;=100000), " ",IF(INDEX($AM$2:$BM$1001,MATCH(ROWS($AF$2:AF795),$AF$2:$AF$1001,0),MATCH(COLUMNS($AM$1006:AR1006),$AM$1006:$BM$1006,0)), HYPERLINK("#",""), HYPERLINK(CONCATENATE("#metadata!", ADDRESS(INDEX($AH$2:$AH$1001,MATCH(ROWS($AF$2:AF795),$AF$2:$AF$1001,0),0), INDEX($AM$1004:$BM$1004,1,MATCH(COLUMNS($AM$1006:AR1006),$AM$1006:$BM$1006,0)))),"Fix")))</f>
        <v xml:space="preserve"> </v>
      </c>
      <c r="H795" s="4" t="str">
        <f ca="1">IF(OR(INDEX($AG$2:$AG$1001,MATCH(ROWS($AF$2:AF795),$AF$2:$AF$1001,0),1)&gt;=100000,INDEX($AM$1005:$BM$1005,1,MATCH(COLUMNS($AM$1006:AS1006),$AM$1006:$BM$1006,0))&gt;=100000), " ",IF(INDEX($AM$2:$BM$1001,MATCH(ROWS($AF$2:AF795),$AF$2:$AF$1001,0),MATCH(COLUMNS($AM$1006:AS1006),$AM$1006:$BM$1006,0)), HYPERLINK("#",""), HYPERLINK(CONCATENATE("#metadata!", ADDRESS(INDEX($AH$2:$AH$1001,MATCH(ROWS($AF$2:AF795),$AF$2:$AF$1001,0),0), INDEX($AM$1004:$BM$1004,1,MATCH(COLUMNS($AM$1006:AS1006),$AM$1006:$BM$1006,0)))),"Fix")))</f>
        <v xml:space="preserve"> </v>
      </c>
      <c r="I795" s="4" t="str">
        <f ca="1">IF(OR(INDEX($AG$2:$AG$1001,MATCH(ROWS($AF$2:AF795),$AF$2:$AF$1001,0),1)&gt;=100000,INDEX($AM$1005:$BM$1005,1,MATCH(COLUMNS($AM$1006:AT1006),$AM$1006:$BM$1006,0))&gt;=100000), " ",IF(INDEX($AM$2:$BM$1001,MATCH(ROWS($AF$2:AF795),$AF$2:$AF$1001,0),MATCH(COLUMNS($AM$1006:AT1006),$AM$1006:$BM$1006,0)), HYPERLINK("#",""), HYPERLINK(CONCATENATE("#metadata!", ADDRESS(INDEX($AH$2:$AH$1001,MATCH(ROWS($AF$2:AF795),$AF$2:$AF$1001,0),0), INDEX($AM$1004:$BM$1004,1,MATCH(COLUMNS($AM$1006:AT1006),$AM$1006:$BM$1006,0)))),"Fix")))</f>
        <v xml:space="preserve"> </v>
      </c>
      <c r="J795" s="4" t="str">
        <f ca="1">IF(OR(INDEX($AG$2:$AG$1001,MATCH(ROWS($AF$2:AF795),$AF$2:$AF$1001,0),1)&gt;=100000,INDEX($AM$1005:$BM$1005,1,MATCH(COLUMNS($AM$1006:AU1006),$AM$1006:$BM$1006,0))&gt;=100000), " ",IF(INDEX($AM$2:$BM$1001,MATCH(ROWS($AF$2:AF795),$AF$2:$AF$1001,0),MATCH(COLUMNS($AM$1006:AU1006),$AM$1006:$BM$1006,0)), HYPERLINK("#",""), HYPERLINK(CONCATENATE("#metadata!", ADDRESS(INDEX($AH$2:$AH$1001,MATCH(ROWS($AF$2:AF795),$AF$2:$AF$1001,0),0), INDEX($AM$1004:$BM$1004,1,MATCH(COLUMNS($AM$1006:AU1006),$AM$1006:$BM$1006,0)))),"Fix")))</f>
        <v xml:space="preserve"> </v>
      </c>
      <c r="K795" s="4" t="str">
        <f ca="1">IF(OR(INDEX($AG$2:$AG$1001,MATCH(ROWS($AF$2:AF795),$AF$2:$AF$1001,0),1)&gt;=100000,INDEX($AM$1005:$BM$1005,1,MATCH(COLUMNS($AM$1006:AV1006),$AM$1006:$BM$1006,0))&gt;=100000), " ",IF(INDEX($AM$2:$BM$1001,MATCH(ROWS($AF$2:AF795),$AF$2:$AF$1001,0),MATCH(COLUMNS($AM$1006:AV1006),$AM$1006:$BM$1006,0)), HYPERLINK("#",""), HYPERLINK(CONCATENATE("#metadata!", ADDRESS(INDEX($AH$2:$AH$1001,MATCH(ROWS($AF$2:AF795),$AF$2:$AF$1001,0),0), INDEX($AM$1004:$BM$1004,1,MATCH(COLUMNS($AM$1006:AV1006),$AM$1006:$BM$1006,0)))),"Fix")))</f>
        <v xml:space="preserve"> </v>
      </c>
      <c r="L795" s="4" t="str">
        <f ca="1">IF(OR(INDEX($AG$2:$AG$1001,MATCH(ROWS($AF$2:AF795),$AF$2:$AF$1001,0),1)&gt;=100000,INDEX($AM$1005:$BM$1005,1,MATCH(COLUMNS($AM$1006:AW1006),$AM$1006:$BM$1006,0))&gt;=100000), " ",IF(INDEX($AM$2:$BM$1001,MATCH(ROWS($AF$2:AF795),$AF$2:$AF$1001,0),MATCH(COLUMNS($AM$1006:AW1006),$AM$1006:$BM$1006,0)), HYPERLINK("#",""), HYPERLINK(CONCATENATE("#metadata!", ADDRESS(INDEX($AH$2:$AH$1001,MATCH(ROWS($AF$2:AF795),$AF$2:$AF$1001,0),0), INDEX($AM$1004:$BM$1004,1,MATCH(COLUMNS($AM$1006:AW1006),$AM$1006:$BM$1006,0)))),"Fix")))</f>
        <v xml:space="preserve"> </v>
      </c>
      <c r="M795" s="4" t="str">
        <f ca="1">IF(OR(INDEX($AG$2:$AG$1001,MATCH(ROWS($AF$2:AF795),$AF$2:$AF$1001,0),1)&gt;=100000,INDEX($AM$1005:$BM$1005,1,MATCH(COLUMNS($AM$1006:AX1006),$AM$1006:$BM$1006,0))&gt;=100000), " ",IF(INDEX($AM$2:$BM$1001,MATCH(ROWS($AF$2:AF795),$AF$2:$AF$1001,0),MATCH(COLUMNS($AM$1006:AX1006),$AM$1006:$BM$1006,0)), HYPERLINK("#",""), HYPERLINK(CONCATENATE("#metadata!", ADDRESS(INDEX($AH$2:$AH$1001,MATCH(ROWS($AF$2:AF795),$AF$2:$AF$1001,0),0), INDEX($AM$1004:$BM$1004,1,MATCH(COLUMNS($AM$1006:AX1006),$AM$1006:$BM$1006,0)))),"Fix")))</f>
        <v xml:space="preserve"> </v>
      </c>
      <c r="N795" s="4" t="str">
        <f ca="1">IF(OR(INDEX($AG$2:$AG$1001,MATCH(ROWS($AF$2:AF795),$AF$2:$AF$1001,0),1)&gt;=100000,INDEX($AM$1005:$BM$1005,1,MATCH(COLUMNS($AM$1006:AY1006),$AM$1006:$BM$1006,0))&gt;=100000), " ",IF(INDEX($AM$2:$BM$1001,MATCH(ROWS($AF$2:AF795),$AF$2:$AF$1001,0),MATCH(COLUMNS($AM$1006:AY1006),$AM$1006:$BM$1006,0)), HYPERLINK("#",""), HYPERLINK(CONCATENATE("#metadata!", ADDRESS(INDEX($AH$2:$AH$1001,MATCH(ROWS($AF$2:AF795),$AF$2:$AF$1001,0),0), INDEX($AM$1004:$BM$1004,1,MATCH(COLUMNS($AM$1006:AY1006),$AM$1006:$BM$1006,0)))),"Fix")))</f>
        <v xml:space="preserve"> </v>
      </c>
      <c r="O795" s="4" t="str">
        <f ca="1">IF(OR(INDEX($AG$2:$AG$1001,MATCH(ROWS($AF$2:AF795),$AF$2:$AF$1001,0),1)&gt;=100000,INDEX($AM$1005:$BM$1005,1,MATCH(COLUMNS($AM$1006:AZ1006),$AM$1006:$BM$1006,0))&gt;=100000), " ",IF(INDEX($AM$2:$BM$1001,MATCH(ROWS($AF$2:AF795),$AF$2:$AF$1001,0),MATCH(COLUMNS($AM$1006:AZ1006),$AM$1006:$BM$1006,0)), HYPERLINK("#",""), HYPERLINK(CONCATENATE("#metadata!", ADDRESS(INDEX($AH$2:$AH$1001,MATCH(ROWS($AF$2:AF795),$AF$2:$AF$1001,0),0), INDEX($AM$1004:$BM$1004,1,MATCH(COLUMNS($AM$1006:AZ1006),$AM$1006:$BM$1006,0)))),"Fix")))</f>
        <v xml:space="preserve"> </v>
      </c>
      <c r="P795" s="4" t="str">
        <f ca="1">IF(OR(INDEX($AG$2:$AG$1001,MATCH(ROWS($AF$2:AF795),$AF$2:$AF$1001,0),1)&gt;=100000,INDEX($AM$1005:$BM$1005,1,MATCH(COLUMNS($AM$1006:BA1006),$AM$1006:$BM$1006,0))&gt;=100000), " ",IF(INDEX($AM$2:$BM$1001,MATCH(ROWS($AF$2:AF795),$AF$2:$AF$1001,0),MATCH(COLUMNS($AM$1006:BA1006),$AM$1006:$BM$1006,0)), HYPERLINK("#",""), HYPERLINK(CONCATENATE("#metadata!", ADDRESS(INDEX($AH$2:$AH$1001,MATCH(ROWS($AF$2:AF795),$AF$2:$AF$1001,0),0), INDEX($AM$1004:$BM$1004,1,MATCH(COLUMNS($AM$1006:BA1006),$AM$1006:$BM$1006,0)))),"Fix")))</f>
        <v xml:space="preserve"> </v>
      </c>
      <c r="Q795" s="4" t="str">
        <f ca="1">IF(OR(INDEX($AG$2:$AG$1001,MATCH(ROWS($AF$2:AF795),$AF$2:$AF$1001,0),1)&gt;=100000,INDEX($AM$1005:$BM$1005,1,MATCH(COLUMNS($AM$1006:BB1006),$AM$1006:$BM$1006,0))&gt;=100000), " ",IF(INDEX($AM$2:$BM$1001,MATCH(ROWS($AF$2:AF795),$AF$2:$AF$1001,0),MATCH(COLUMNS($AM$1006:BB1006),$AM$1006:$BM$1006,0)), HYPERLINK("#",""), HYPERLINK(CONCATENATE("#metadata!", ADDRESS(INDEX($AH$2:$AH$1001,MATCH(ROWS($AF$2:AF795),$AF$2:$AF$1001,0),0), INDEX($AM$1004:$BM$1004,1,MATCH(COLUMNS($AM$1006:BB1006),$AM$1006:$BM$1006,0)))),"Fix")))</f>
        <v xml:space="preserve"> </v>
      </c>
      <c r="R795" s="4" t="str">
        <f ca="1">IF(OR(INDEX($AG$2:$AG$1001,MATCH(ROWS($AF$2:AF795),$AF$2:$AF$1001,0),1)&gt;=100000,INDEX($AM$1005:$BM$1005,1,MATCH(COLUMNS($AM$1006:BC1006),$AM$1006:$BM$1006,0))&gt;=100000), " ",IF(INDEX($AM$2:$BM$1001,MATCH(ROWS($AF$2:AF795),$AF$2:$AF$1001,0),MATCH(COLUMNS($AM$1006:BC1006),$AM$1006:$BM$1006,0)), HYPERLINK("#",""), HYPERLINK(CONCATENATE("#metadata!", ADDRESS(INDEX($AH$2:$AH$1001,MATCH(ROWS($AF$2:AF795),$AF$2:$AF$1001,0),0), INDEX($AM$1004:$BM$1004,1,MATCH(COLUMNS($AM$1006:BC1006),$AM$1006:$BM$1006,0)))),"Fix")))</f>
        <v xml:space="preserve"> </v>
      </c>
      <c r="S795" s="4" t="str">
        <f ca="1">IF(OR(INDEX($AG$2:$AG$1001,MATCH(ROWS($AF$2:AF795),$AF$2:$AF$1001,0),1)&gt;=100000,INDEX($AM$1005:$BM$1005,1,MATCH(COLUMNS($AM$1006:BD1006),$AM$1006:$BM$1006,0))&gt;=100000), " ",IF(INDEX($AM$2:$BM$1001,MATCH(ROWS($AF$2:AF795),$AF$2:$AF$1001,0),MATCH(COLUMNS($AM$1006:BD1006),$AM$1006:$BM$1006,0)), HYPERLINK("#",""), HYPERLINK(CONCATENATE("#metadata!", ADDRESS(INDEX($AH$2:$AH$1001,MATCH(ROWS($AF$2:AF795),$AF$2:$AF$1001,0),0), INDEX($AM$1004:$BM$1004,1,MATCH(COLUMNS($AM$1006:BD1006),$AM$1006:$BM$1006,0)))),"Fix")))</f>
        <v xml:space="preserve"> </v>
      </c>
      <c r="T795" s="4" t="str">
        <f ca="1">IF(OR(INDEX($AG$2:$AG$1001,MATCH(ROWS($AF$2:AF795),$AF$2:$AF$1001,0),1)&gt;=100000,INDEX($AM$1005:$BM$1005,1,MATCH(COLUMNS($AM$1006:BE1006),$AM$1006:$BM$1006,0))&gt;=100000), " ",IF(INDEX($AM$2:$BM$1001,MATCH(ROWS($AF$2:AF795),$AF$2:$AF$1001,0),MATCH(COLUMNS($AM$1006:BE1006),$AM$1006:$BM$1006,0)), HYPERLINK("#",""), HYPERLINK(CONCATENATE("#metadata!", ADDRESS(INDEX($AH$2:$AH$1001,MATCH(ROWS($AF$2:AF795),$AF$2:$AF$1001,0),0), INDEX($AM$1004:$BM$1004,1,MATCH(COLUMNS($AM$1006:BE1006),$AM$1006:$BM$1006,0)))),"Fix")))</f>
        <v xml:space="preserve"> </v>
      </c>
      <c r="U795" s="4" t="str">
        <f ca="1">IF(OR(INDEX($AG$2:$AG$1001,MATCH(ROWS($AF$2:AF795),$AF$2:$AF$1001,0),1)&gt;=100000,INDEX($AM$1005:$BM$1005,1,MATCH(COLUMNS($AM$1006:BF1006),$AM$1006:$BM$1006,0))&gt;=100000), " ",IF(INDEX($AM$2:$BM$1001,MATCH(ROWS($AF$2:AF795),$AF$2:$AF$1001,0),MATCH(COLUMNS($AM$1006:BF1006),$AM$1006:$BM$1006,0)), HYPERLINK("#",""), HYPERLINK(CONCATENATE("#metadata!", ADDRESS(INDEX($AH$2:$AH$1001,MATCH(ROWS($AF$2:AF795),$AF$2:$AF$1001,0),0), INDEX($AM$1004:$BM$1004,1,MATCH(COLUMNS($AM$1006:BF1006),$AM$1006:$BM$1006,0)))),"Fix")))</f>
        <v xml:space="preserve"> </v>
      </c>
      <c r="V795" s="4" t="str">
        <f ca="1">IF(OR(INDEX($AG$2:$AG$1001,MATCH(ROWS($AF$2:AF795),$AF$2:$AF$1001,0),1)&gt;=100000,INDEX($AM$1005:$BM$1005,1,MATCH(COLUMNS($AM$1006:BG1006),$AM$1006:$BM$1006,0))&gt;=100000), " ",IF(INDEX($AM$2:$BM$1001,MATCH(ROWS($AF$2:AF795),$AF$2:$AF$1001,0),MATCH(COLUMNS($AM$1006:BG1006),$AM$1006:$BM$1006,0)), HYPERLINK("#",""), HYPERLINK(CONCATENATE("#metadata!", ADDRESS(INDEX($AH$2:$AH$1001,MATCH(ROWS($AF$2:AF795),$AF$2:$AF$1001,0),0), INDEX($AM$1004:$BM$1004,1,MATCH(COLUMNS($AM$1006:BG1006),$AM$1006:$BM$1006,0)))),"Fix")))</f>
        <v xml:space="preserve"> </v>
      </c>
      <c r="W795" s="4" t="str">
        <f ca="1">IF(OR(INDEX($AG$2:$AG$1001,MATCH(ROWS($AF$2:AF795),$AF$2:$AF$1001,0),1)&gt;=100000,INDEX($AM$1005:$BM$1005,1,MATCH(COLUMNS($AM$1006:BH1006),$AM$1006:$BM$1006,0))&gt;=100000), " ",IF(INDEX($AM$2:$BM$1001,MATCH(ROWS($AF$2:AF795),$AF$2:$AF$1001,0),MATCH(COLUMNS($AM$1006:BH1006),$AM$1006:$BM$1006,0)), HYPERLINK("#",""), HYPERLINK(CONCATENATE("#metadata!", ADDRESS(INDEX($AH$2:$AH$1001,MATCH(ROWS($AF$2:AF795),$AF$2:$AF$1001,0),0), INDEX($AM$1004:$BM$1004,1,MATCH(COLUMNS($AM$1006:BH1006),$AM$1006:$BM$1006,0)))),"Fix")))</f>
        <v xml:space="preserve"> </v>
      </c>
      <c r="X795" s="4" t="str">
        <f ca="1">IF(OR(INDEX($AG$2:$AG$1001,MATCH(ROWS($AF$2:AF795),$AF$2:$AF$1001,0),1)&gt;=100000,INDEX($AM$1005:$BM$1005,1,MATCH(COLUMNS($AM$1006:BI1006),$AM$1006:$BM$1006,0))&gt;=100000), " ",IF(INDEX($AM$2:$BM$1001,MATCH(ROWS($AF$2:AF795),$AF$2:$AF$1001,0),MATCH(COLUMNS($AM$1006:BI1006),$AM$1006:$BM$1006,0)), HYPERLINK("#",""), HYPERLINK(CONCATENATE("#metadata!", ADDRESS(INDEX($AH$2:$AH$1001,MATCH(ROWS($AF$2:AF795),$AF$2:$AF$1001,0),0), INDEX($AM$1004:$BM$1004,1,MATCH(COLUMNS($AM$1006:BI1006),$AM$1006:$BM$1006,0)))),"Fix")))</f>
        <v xml:space="preserve"> </v>
      </c>
      <c r="Y795" s="4" t="str">
        <f ca="1">IF(OR(INDEX($AG$2:$AG$1001,MATCH(ROWS($AF$2:AF795),$AF$2:$AF$1001,0),1)&gt;=100000,INDEX($AM$1005:$BM$1005,1,MATCH(COLUMNS($AM$1006:BJ1006),$AM$1006:$BM$1006,0))&gt;=100000), " ",IF(INDEX($AM$2:$BM$1001,MATCH(ROWS($AF$2:AF795),$AF$2:$AF$1001,0),MATCH(COLUMNS($AM$1006:BJ1006),$AM$1006:$BM$1006,0)), HYPERLINK("#",""), HYPERLINK(CONCATENATE("#metadata!", ADDRESS(INDEX($AH$2:$AH$1001,MATCH(ROWS($AF$2:AF795),$AF$2:$AF$1001,0),0), INDEX($AM$1004:$BM$1004,1,MATCH(COLUMNS($AM$1006:BJ1006),$AM$1006:$BM$1006,0)))),"Fix")))</f>
        <v xml:space="preserve"> </v>
      </c>
      <c r="Z795" s="4" t="str">
        <f ca="1">IF(OR(INDEX($AG$2:$AG$1001,MATCH(ROWS($AF$2:AF795),$AF$2:$AF$1001,0),1)&gt;=100000,INDEX($AM$1005:$BM$1005,1,MATCH(COLUMNS($AM$1006:BK1006),$AM$1006:$BM$1006,0))&gt;=100000), " ",IF(INDEX($AM$2:$BM$1001,MATCH(ROWS($AF$2:AF795),$AF$2:$AF$1001,0),MATCH(COLUMNS($AM$1006:BK1006),$AM$1006:$BM$1006,0)), HYPERLINK("#",""), HYPERLINK(CONCATENATE("#metadata!", ADDRESS(INDEX($AH$2:$AH$1001,MATCH(ROWS($AF$2:AF795),$AF$2:$AF$1001,0),0), INDEX($AM$1004:$BM$1004,1,MATCH(COLUMNS($AM$1006:BK1006),$AM$1006:$BM$1006,0)))),"Fix")))</f>
        <v xml:space="preserve"> </v>
      </c>
      <c r="AA795" s="4" t="str">
        <f ca="1">IF(OR(INDEX($AG$2:$AG$1001,MATCH(ROWS($AF$2:AF795),$AF$2:$AF$1001,0),1)&gt;=100000,INDEX($AM$1005:$BM$1005,1,MATCH(COLUMNS($AM$1006:BL1006),$AM$1006:$BM$1006,0))&gt;=100000), " ",IF(INDEX($AM$2:$BM$1001,MATCH(ROWS($AF$2:AF795),$AF$2:$AF$1001,0),MATCH(COLUMNS($AM$1006:BL1006),$AM$1006:$BM$1006,0)), HYPERLINK("#",""), HYPERLINK(CONCATENATE("#metadata!", ADDRESS(INDEX($AH$2:$AH$1001,MATCH(ROWS($AF$2:AF795),$AF$2:$AF$1001,0),0), INDEX($AM$1004:$BM$1004,1,MATCH(COLUMNS($AM$1006:BL1006),$AM$1006:$BM$1006,0)))),"Fix")))</f>
        <v xml:space="preserve"> </v>
      </c>
      <c r="AB795" s="4" t="str">
        <f ca="1">IF(OR(INDEX($AG$2:$AG$1001,MATCH(ROWS($AF$2:AF795),$AF$2:$AF$1001,0),1)&gt;=100000,INDEX($AM$1005:$BM$1005,1,MATCH(COLUMNS($AM$1006:BM1006),$AM$1006:$BM$1006,0))&gt;=100000), " ",IF(INDEX($AM$2:$BM$1001,MATCH(ROWS($AF$2:AF795),$AF$2:$AF$1001,0),MATCH(COLUMNS($AM$1006:BM1006),$AM$1006:$BM$1006,0)), HYPERLINK("#",""), HYPERLINK(CONCATENATE("#metadata!", ADDRESS(INDEX($AH$2:$AH$1001,MATCH(ROWS($AF$2:AF795),$AF$2:$AF$1001,0),0), INDEX($AM$1004:$BM$1004,1,MATCH(COLUMNS($AM$1006:BM1006),$AM$1006:$BM$1006,0)))),"Fix")))</f>
        <v xml:space="preserve"> </v>
      </c>
      <c r="AF795">
        <v>794</v>
      </c>
      <c r="AG795">
        <v>100795</v>
      </c>
      <c r="AH795">
        <v>795</v>
      </c>
      <c r="AI795" t="b">
        <f t="shared" si="12"/>
        <v>1</v>
      </c>
      <c r="AJ795" t="b">
        <f>COUNTBLANK(metadata!B795:AB795)=COLUMNS(metadata!B795:AB795)</f>
        <v>1</v>
      </c>
      <c r="AK795" t="str">
        <v/>
      </c>
      <c r="AM795" t="b">
        <f ca="1">AND(IF(metadata!B795="",FALSE,TRUE),COUNTIF(metadata!B:B, metadata!B795) = 1,NOT(ISERROR(SUMPRODUCT(SEARCH(MID(metadata!B795,ROW(INDIRECT("1:"&amp;LEN(metadata!B795))), 1),"0123456789abcdefghijklmnopqrstuvwxyzABCDEFGHIJKLMNOPQRSTUVWXYZ.")))))</f>
        <v>0</v>
      </c>
      <c r="AN795" t="b">
        <f ca="1">OR(AND(IF(metadata!C795="",FALSE,TRUE),OR(EXACT(metadata!C795,"missing: not collected"),EXACT(metadata!C795,"missing: not provided"),EXACT(metadata!C795,"missing: restricted access"))),AND(IF(metadata!C795="",FALSE,TRUE),AND(AND(IFERROR(INT(LEFT(metadata!C795,4))&gt;1900,FALSE),IFERROR(INT(LEFT(metadata!C795,4))&lt;=YEAR(NOW()),FALSE)), OR(MID(metadata!C795,5,1)="", AND(AND(MID(metadata!C795,5,1)="-",IFERROR(INT(MID(metadata!C795,6,1))&gt;=0,FALSE),IFERROR(INT(MID(metadata!C795,6,1))&lt;=1,FALSE),NOT(MID(metadata!C795,7,1)=""),IFERROR(INT(MID(metadata!C795,6,2))&gt;=1,FALSE),IFERROR(INT(MID(metadata!C795,6,2))&lt;=12,FALSE)), OR(MID(metadata!C795,8,1)="", AND(AND(MID(metadata!C795,8,1)="-",IFERROR(INT(MID(metadata!C795,9,1))&gt;=0,FALSE),IFERROR(INT(MID(metadata!C795,9,1))&lt;=3,FALSE),NOT(MID(metadata!C795,10,1)=""),IFERROR(INT(MID(metadata!C795,9,2))&gt;=1,FALSE),IFERROR(INT(MID(metadata!C795,9,2))&lt;=31,FALSE)), OR(MID(metadata!C795,11,1)="", AND(AND(MID(metadata!C795,11,1)=" ",IFERROR(INT(MID(metadata!C795,12,1))&gt;=0,FALSE),IFERROR(INT(MID(metadata!C795,12,1))&lt;=2,FALSE),NOT(MID(metadata!C795,13,1)=""),IFERROR(INT(MID(metadata!C795,12,2))&gt;=0,FALSE),IFERROR(INT(MID(metadata!C795,12,2))&lt;=23,FALSE)), OR(MID(metadata!C795,14,1)="", AND(AND(MID(metadata!C795,14,1)=":",IFERROR(INT(MID(metadata!C795,15,1))&gt;=0,FALSE),IFERROR(INT(MID(metadata!C795,15,1))&lt;=5,FALSE),NOT(MID(metadata!C795,16,1)=""),IFERROR(INT(MID(metadata!C795,15,2))&gt;=0,FALSE),IFERROR(INT(MID(metadata!C795,15,2))&lt;=59,FALSE)), OR(MID(metadata!C795,17,1)="", AND(AND(MID(metadata!C795,17,1)=":",IFERROR(INT(MID(metadata!C795,18,1))&gt;=0,FALSE),IFERROR(INT(MID(metadata!C795,18,1))&lt;=5,FALSE),NOT(MID(metadata!C795,19,1)=""),IFERROR(INT(MID(metadata!C795,18,2))&gt;=0,FALSE),IFERROR(INT(MID(metadata!C795,18,2))&lt;=59,FALSE)), LEN(metadata!C795)&lt;=19)))))))))))))</f>
        <v>0</v>
      </c>
      <c r="AO795" t="b">
        <f>AND(IF(metadata!D795="",FALSE,TRUE),EXACT(metadata!D795,"Not applicable"))</f>
        <v>0</v>
      </c>
      <c r="AP795" t="b">
        <f>IF(metadata!E795="",FALSE,TRUE)</f>
        <v>0</v>
      </c>
      <c r="AQ795" t="b">
        <f>OR(AND(IF(metadata!F795="",FALSE,TRUE),OR(EXACT(metadata!F795,"missing: not collected"),EXACT(metadata!F795,"missing: not provided"))),AND(IF(metadata!F795="",FALSE,TRUE),OR(EXACT(metadata!F795,"TRUE"),EXACT(metadata!F795,"FALSE"))))</f>
        <v>0</v>
      </c>
      <c r="AR795" t="b">
        <f>OR(AND(IF(metadata!G795="",FALSE,TRUE),OR(EXACT(metadata!G795,"missing: not collected"),EXACT(metadata!G795,"missing: not provided"),EXACT(metadata!G795,"missing: restricted access"))),AND(IF(metadata!G795="",FALSE,ISNUMBER(VALUE(metadata!G795))),metadata!G795&gt;=-413))</f>
        <v>0</v>
      </c>
      <c r="AS795" t="b">
        <f>AND(IF(metadata!H795="",FALSE,TRUE),EXACT(metadata!H795,"meters"))</f>
        <v>0</v>
      </c>
      <c r="AT795" t="b">
        <f>AND(IF(metadata!I795="",FALSE,TRUE),OR(EXACT(metadata!I795,"Host-associated"),EXACT(metadata!I795,"Free-living")))</f>
        <v>0</v>
      </c>
      <c r="AU795" t="b">
        <f>AND(IF(metadata!J795="",FALSE,TRUE),OR(EXACT(metadata!J795,"Animal"),EXACT(metadata!J795,"Fungus"),EXACT(metadata!J795,"Plant"),EXACT(metadata!J795,"Saline"),EXACT(metadata!J795,"Non-saline")))</f>
        <v>0</v>
      </c>
      <c r="AV795" t="b">
        <f>AND(IF(metadata!K795="",FALSE,TRUE),OR(EXACT(metadata!K795,"Plant secretion"),EXACT(metadata!K795,"Plant rhizosphere"),EXACT(metadata!K795,"Plant surface"),EXACT(metadata!K795,"Plant corpus"),EXACT(metadata!K795,"Fungus surface"),EXACT(metadata!K795,"Fungus corpus"),EXACT(metadata!K795,"Animal surface"),EXACT(metadata!K795,"Animal proximal gut"),EXACT(metadata!K795,"Animal corpus"),EXACT(metadata!K795,"Animal distal gut"),EXACT(metadata!K795,"Animal secretion"),EXACT(metadata!K795,"Sub-surface (non-saline)"),EXACT(metadata!K795,"Surface (non-saline)"),EXACT(metadata!K795,"Water (non-saline)"),EXACT(metadata!K795,"Soil (non-saline)"),EXACT(metadata!K795,"Aerosol (non-saline)"),EXACT(metadata!K795,"Sediment (non-saline)"),EXACT(metadata!K795,"Surface (saline)"),EXACT(metadata!K795,"Water (saline)"),EXACT(metadata!K795,"Hypersaline (saline)"),EXACT(metadata!K795,"Aerosol (saline)"),EXACT(metadata!K795,"Sediment (saline)")))</f>
        <v>0</v>
      </c>
      <c r="AW795" t="b">
        <f>IF(metadata!L795="",FALSE,TRUE)</f>
        <v>0</v>
      </c>
      <c r="AX795" t="b">
        <f>IF(metadata!M795="",FALSE,TRUE)</f>
        <v>0</v>
      </c>
      <c r="AY795" t="b">
        <f>IF(metadata!N795="",FALSE,TRUE)</f>
        <v>0</v>
      </c>
      <c r="AZ795" t="b">
        <f>OR(AND(IF(metadata!O795="",FALSE,TRUE),OR(EXACT(metadata!O795,"missing: not collected"),EXACT(metadata!O795,"missing: not provided"),EXACT(metadata!O795,"missing: restricted access"))),AND(IF(metadata!O795="",FALSE,TRUE),OR(EXACT(metadata!O795,"air"),EXACT(metadata!O795,"built environment"),EXACT(metadata!O795,"host-associated"),EXACT(metadata!O795,"human-associated"),EXACT(metadata!O795,"human-skin"),EXACT(metadata!O795,"human-oral"),EXACT(metadata!O795,"human-gut"),EXACT(metadata!O795,"human-vaginal"),EXACT(metadata!O795,"microbial mat/biofilm"),EXACT(metadata!O795,"misc environment"),EXACT(metadata!O795,"plant-associated"),EXACT(metadata!O795,"sediment"),EXACT(metadata!O795,"soil"),EXACT(metadata!O795,"wastewater/sludge"),EXACT(metadata!O795,"water"))))</f>
        <v>0</v>
      </c>
      <c r="BA795" t="b">
        <f>IF(metadata!P795="",FALSE,TRUE)</f>
        <v>0</v>
      </c>
      <c r="BB795" t="b">
        <f>IF(metadata!Q795="",FALSE,TRUE)</f>
        <v>0</v>
      </c>
      <c r="BC795" t="b">
        <f>OR(AND(IF(metadata!R795="",FALSE,TRUE),OR(EXACT(metadata!R795,"missing: not collected"),EXACT(metadata!R795,"missing: not provided"),EXACT(metadata!R795,"missing: restricted access"))),AND(IF(metadata!R795="",FALSE,ISNUMBER(VALUE(metadata!R795))),metadata!R795&gt;=-90,metadata!R795&lt;=90))</f>
        <v>0</v>
      </c>
      <c r="BD795" t="b">
        <f>AND(IF(metadata!S795="",FALSE,TRUE),EXACT(metadata!S795,"Decimal degrees"))</f>
        <v>0</v>
      </c>
      <c r="BE795" t="b">
        <f>OR(AND(IF(metadata!T795="",FALSE,TRUE),OR(EXACT(metadata!T795,"missing: not collected"),EXACT(metadata!T795,"missing: not provided"),EXACT(metadata!T795,"missing: restricted access"))),AND(IF(metadata!T795="",FALSE,ISNUMBER(VALUE(metadata!T795))),metadata!T795&gt;=-180,metadata!T795&lt;=180))</f>
        <v>0</v>
      </c>
      <c r="BF795" t="b">
        <f>AND(IF(metadata!U795="",FALSE,TRUE),EXACT(metadata!U795,"Decimal degrees"))</f>
        <v>0</v>
      </c>
      <c r="BG795" t="b">
        <f>IF(metadata!V795="",FALSE,TRUE)</f>
        <v>0</v>
      </c>
      <c r="BH795" t="b">
        <f>OR(AND(IF(metadata!W795="",FALSE,TRUE),OR(EXACT(metadata!W795,"missing: not collected"),EXACT(metadata!W795,"missing: not provided"),EXACT(metadata!W795,"missing: restricted access"))),AND(IF(metadata!W795="",FALSE,TRUE),OR(EXACT(metadata!W795,"TRUE"),EXACT(metadata!W795,"FALSE"))))</f>
        <v>0</v>
      </c>
      <c r="BI795" t="b">
        <f>AND(IF(metadata!X795="",FALSE,TRUE),EXACT(metadata!X795,"other"))</f>
        <v>0</v>
      </c>
      <c r="BJ795" t="b">
        <f>IF(metadata!Y795="",FALSE,TRUE)</f>
        <v>0</v>
      </c>
      <c r="BK795" t="b">
        <f>OR(AND(IF(metadata!Z795="",FALSE,TRUE),OR(EXACT(metadata!Z795,"missing: not collected"),EXACT(metadata!Z795,"missing: not provided"))),AND(IF(metadata!Z795="",FALSE,IF(ISERROR(INT(metadata!Z795)),FALSE,INT(metadata!Z795)=metadata!Z795)),metadata!Z795&gt;0))</f>
        <v>0</v>
      </c>
      <c r="BL795" t="b">
        <f>AND(IF(metadata!AA795="",FALSE,TRUE),EXACT(metadata!AA795,"Not applicable"))</f>
        <v>0</v>
      </c>
      <c r="BM795" t="b">
        <f>IF(metadata!AB795="",FALSE,TRUE)</f>
        <v>0</v>
      </c>
    </row>
    <row r="796" spans="1:65" x14ac:dyDescent="0.2">
      <c r="A796" s="5" t="str">
        <f ca="1">IF(B796=" "," ",HYPERLINK(CONCATENATE("#metadata!",ADDRESS(INDEX($AH$2:$AH$1001,MATCH(ROWS($AF$2:AF796),$AF$2:$AF$1001,0),0),1)),INDEX($AK$2:$AK$1001,MATCH(ROWS($AF$2:AF796),$AF$2:$AF$1001,0),0)))</f>
        <v xml:space="preserve"> </v>
      </c>
      <c r="B796" s="4" t="str">
        <f ca="1">IF(OR(INDEX($AG$2:$AG$1001,MATCH(ROWS($AF$2:AF796),$AF$2:$AF$1001,0),1)&gt;=100000,INDEX($AM$1005:$BM$1005,1,MATCH(COLUMNS($AM$1006:AM1006),$AM$1006:$BM$1006,0))&gt;=100000), " ",IF(INDEX($AM$2:$BM$1001,MATCH(ROWS($AF$2:AF796),$AF$2:$AF$1001,0),MATCH(COLUMNS($AM$1006:AM1006),$AM$1006:$BM$1006,0)), HYPERLINK("#",""), HYPERLINK(CONCATENATE("#metadata!", ADDRESS(INDEX($AH$2:$AH$1001,MATCH(ROWS($AF$2:AF796),$AF$2:$AF$1001,0),0), INDEX($AM$1004:$BM$1004,1,MATCH(COLUMNS($AM$1006:AM1006),$AM$1006:$BM$1006,0)))),"Fix")))</f>
        <v xml:space="preserve"> </v>
      </c>
      <c r="C796" s="4" t="str">
        <f ca="1">IF(OR(INDEX($AG$2:$AG$1001,MATCH(ROWS($AF$2:AF796),$AF$2:$AF$1001,0),1)&gt;=100000,INDEX($AM$1005:$BM$1005,1,MATCH(COLUMNS($AM$1006:AN1006),$AM$1006:$BM$1006,0))&gt;=100000), " ",IF(INDEX($AM$2:$BM$1001,MATCH(ROWS($AF$2:AF796),$AF$2:$AF$1001,0),MATCH(COLUMNS($AM$1006:AN1006),$AM$1006:$BM$1006,0)), HYPERLINK("#",""), HYPERLINK(CONCATENATE("#metadata!", ADDRESS(INDEX($AH$2:$AH$1001,MATCH(ROWS($AF$2:AF796),$AF$2:$AF$1001,0),0), INDEX($AM$1004:$BM$1004,1,MATCH(COLUMNS($AM$1006:AN1006),$AM$1006:$BM$1006,0)))),"Fix")))</f>
        <v xml:space="preserve"> </v>
      </c>
      <c r="D796" s="4" t="str">
        <f ca="1">IF(OR(INDEX($AG$2:$AG$1001,MATCH(ROWS($AF$2:AF796),$AF$2:$AF$1001,0),1)&gt;=100000,INDEX($AM$1005:$BM$1005,1,MATCH(COLUMNS($AM$1006:AO1006),$AM$1006:$BM$1006,0))&gt;=100000), " ",IF(INDEX($AM$2:$BM$1001,MATCH(ROWS($AF$2:AF796),$AF$2:$AF$1001,0),MATCH(COLUMNS($AM$1006:AO1006),$AM$1006:$BM$1006,0)), HYPERLINK("#",""), HYPERLINK(CONCATENATE("#metadata!", ADDRESS(INDEX($AH$2:$AH$1001,MATCH(ROWS($AF$2:AF796),$AF$2:$AF$1001,0),0), INDEX($AM$1004:$BM$1004,1,MATCH(COLUMNS($AM$1006:AO1006),$AM$1006:$BM$1006,0)))),"Fix")))</f>
        <v xml:space="preserve"> </v>
      </c>
      <c r="E796" s="4" t="str">
        <f ca="1">IF(OR(INDEX($AG$2:$AG$1001,MATCH(ROWS($AF$2:AF796),$AF$2:$AF$1001,0),1)&gt;=100000,INDEX($AM$1005:$BM$1005,1,MATCH(COLUMNS($AM$1006:AP1006),$AM$1006:$BM$1006,0))&gt;=100000), " ",IF(INDEX($AM$2:$BM$1001,MATCH(ROWS($AF$2:AF796),$AF$2:$AF$1001,0),MATCH(COLUMNS($AM$1006:AP1006),$AM$1006:$BM$1006,0)), HYPERLINK("#",""), HYPERLINK(CONCATENATE("#metadata!", ADDRESS(INDEX($AH$2:$AH$1001,MATCH(ROWS($AF$2:AF796),$AF$2:$AF$1001,0),0), INDEX($AM$1004:$BM$1004,1,MATCH(COLUMNS($AM$1006:AP1006),$AM$1006:$BM$1006,0)))),"Fix")))</f>
        <v xml:space="preserve"> </v>
      </c>
      <c r="F796" s="4" t="str">
        <f ca="1">IF(OR(INDEX($AG$2:$AG$1001,MATCH(ROWS($AF$2:AF796),$AF$2:$AF$1001,0),1)&gt;=100000,INDEX($AM$1005:$BM$1005,1,MATCH(COLUMNS($AM$1006:AQ1006),$AM$1006:$BM$1006,0))&gt;=100000), " ",IF(INDEX($AM$2:$BM$1001,MATCH(ROWS($AF$2:AF796),$AF$2:$AF$1001,0),MATCH(COLUMNS($AM$1006:AQ1006),$AM$1006:$BM$1006,0)), HYPERLINK("#",""), HYPERLINK(CONCATENATE("#metadata!", ADDRESS(INDEX($AH$2:$AH$1001,MATCH(ROWS($AF$2:AF796),$AF$2:$AF$1001,0),0), INDEX($AM$1004:$BM$1004,1,MATCH(COLUMNS($AM$1006:AQ1006),$AM$1006:$BM$1006,0)))),"Fix")))</f>
        <v xml:space="preserve"> </v>
      </c>
      <c r="G796" s="4" t="str">
        <f ca="1">IF(OR(INDEX($AG$2:$AG$1001,MATCH(ROWS($AF$2:AF796),$AF$2:$AF$1001,0),1)&gt;=100000,INDEX($AM$1005:$BM$1005,1,MATCH(COLUMNS($AM$1006:AR1006),$AM$1006:$BM$1006,0))&gt;=100000), " ",IF(INDEX($AM$2:$BM$1001,MATCH(ROWS($AF$2:AF796),$AF$2:$AF$1001,0),MATCH(COLUMNS($AM$1006:AR1006),$AM$1006:$BM$1006,0)), HYPERLINK("#",""), HYPERLINK(CONCATENATE("#metadata!", ADDRESS(INDEX($AH$2:$AH$1001,MATCH(ROWS($AF$2:AF796),$AF$2:$AF$1001,0),0), INDEX($AM$1004:$BM$1004,1,MATCH(COLUMNS($AM$1006:AR1006),$AM$1006:$BM$1006,0)))),"Fix")))</f>
        <v xml:space="preserve"> </v>
      </c>
      <c r="H796" s="4" t="str">
        <f ca="1">IF(OR(INDEX($AG$2:$AG$1001,MATCH(ROWS($AF$2:AF796),$AF$2:$AF$1001,0),1)&gt;=100000,INDEX($AM$1005:$BM$1005,1,MATCH(COLUMNS($AM$1006:AS1006),$AM$1006:$BM$1006,0))&gt;=100000), " ",IF(INDEX($AM$2:$BM$1001,MATCH(ROWS($AF$2:AF796),$AF$2:$AF$1001,0),MATCH(COLUMNS($AM$1006:AS1006),$AM$1006:$BM$1006,0)), HYPERLINK("#",""), HYPERLINK(CONCATENATE("#metadata!", ADDRESS(INDEX($AH$2:$AH$1001,MATCH(ROWS($AF$2:AF796),$AF$2:$AF$1001,0),0), INDEX($AM$1004:$BM$1004,1,MATCH(COLUMNS($AM$1006:AS1006),$AM$1006:$BM$1006,0)))),"Fix")))</f>
        <v xml:space="preserve"> </v>
      </c>
      <c r="I796" s="4" t="str">
        <f ca="1">IF(OR(INDEX($AG$2:$AG$1001,MATCH(ROWS($AF$2:AF796),$AF$2:$AF$1001,0),1)&gt;=100000,INDEX($AM$1005:$BM$1005,1,MATCH(COLUMNS($AM$1006:AT1006),$AM$1006:$BM$1006,0))&gt;=100000), " ",IF(INDEX($AM$2:$BM$1001,MATCH(ROWS($AF$2:AF796),$AF$2:$AF$1001,0),MATCH(COLUMNS($AM$1006:AT1006),$AM$1006:$BM$1006,0)), HYPERLINK("#",""), HYPERLINK(CONCATENATE("#metadata!", ADDRESS(INDEX($AH$2:$AH$1001,MATCH(ROWS($AF$2:AF796),$AF$2:$AF$1001,0),0), INDEX($AM$1004:$BM$1004,1,MATCH(COLUMNS($AM$1006:AT1006),$AM$1006:$BM$1006,0)))),"Fix")))</f>
        <v xml:space="preserve"> </v>
      </c>
      <c r="J796" s="4" t="str">
        <f ca="1">IF(OR(INDEX($AG$2:$AG$1001,MATCH(ROWS($AF$2:AF796),$AF$2:$AF$1001,0),1)&gt;=100000,INDEX($AM$1005:$BM$1005,1,MATCH(COLUMNS($AM$1006:AU1006),$AM$1006:$BM$1006,0))&gt;=100000), " ",IF(INDEX($AM$2:$BM$1001,MATCH(ROWS($AF$2:AF796),$AF$2:$AF$1001,0),MATCH(COLUMNS($AM$1006:AU1006),$AM$1006:$BM$1006,0)), HYPERLINK("#",""), HYPERLINK(CONCATENATE("#metadata!", ADDRESS(INDEX($AH$2:$AH$1001,MATCH(ROWS($AF$2:AF796),$AF$2:$AF$1001,0),0), INDEX($AM$1004:$BM$1004,1,MATCH(COLUMNS($AM$1006:AU1006),$AM$1006:$BM$1006,0)))),"Fix")))</f>
        <v xml:space="preserve"> </v>
      </c>
      <c r="K796" s="4" t="str">
        <f ca="1">IF(OR(INDEX($AG$2:$AG$1001,MATCH(ROWS($AF$2:AF796),$AF$2:$AF$1001,0),1)&gt;=100000,INDEX($AM$1005:$BM$1005,1,MATCH(COLUMNS($AM$1006:AV1006),$AM$1006:$BM$1006,0))&gt;=100000), " ",IF(INDEX($AM$2:$BM$1001,MATCH(ROWS($AF$2:AF796),$AF$2:$AF$1001,0),MATCH(COLUMNS($AM$1006:AV1006),$AM$1006:$BM$1006,0)), HYPERLINK("#",""), HYPERLINK(CONCATENATE("#metadata!", ADDRESS(INDEX($AH$2:$AH$1001,MATCH(ROWS($AF$2:AF796),$AF$2:$AF$1001,0),0), INDEX($AM$1004:$BM$1004,1,MATCH(COLUMNS($AM$1006:AV1006),$AM$1006:$BM$1006,0)))),"Fix")))</f>
        <v xml:space="preserve"> </v>
      </c>
      <c r="L796" s="4" t="str">
        <f ca="1">IF(OR(INDEX($AG$2:$AG$1001,MATCH(ROWS($AF$2:AF796),$AF$2:$AF$1001,0),1)&gt;=100000,INDEX($AM$1005:$BM$1005,1,MATCH(COLUMNS($AM$1006:AW1006),$AM$1006:$BM$1006,0))&gt;=100000), " ",IF(INDEX($AM$2:$BM$1001,MATCH(ROWS($AF$2:AF796),$AF$2:$AF$1001,0),MATCH(COLUMNS($AM$1006:AW1006),$AM$1006:$BM$1006,0)), HYPERLINK("#",""), HYPERLINK(CONCATENATE("#metadata!", ADDRESS(INDEX($AH$2:$AH$1001,MATCH(ROWS($AF$2:AF796),$AF$2:$AF$1001,0),0), INDEX($AM$1004:$BM$1004,1,MATCH(COLUMNS($AM$1006:AW1006),$AM$1006:$BM$1006,0)))),"Fix")))</f>
        <v xml:space="preserve"> </v>
      </c>
      <c r="M796" s="4" t="str">
        <f ca="1">IF(OR(INDEX($AG$2:$AG$1001,MATCH(ROWS($AF$2:AF796),$AF$2:$AF$1001,0),1)&gt;=100000,INDEX($AM$1005:$BM$1005,1,MATCH(COLUMNS($AM$1006:AX1006),$AM$1006:$BM$1006,0))&gt;=100000), " ",IF(INDEX($AM$2:$BM$1001,MATCH(ROWS($AF$2:AF796),$AF$2:$AF$1001,0),MATCH(COLUMNS($AM$1006:AX1006),$AM$1006:$BM$1006,0)), HYPERLINK("#",""), HYPERLINK(CONCATENATE("#metadata!", ADDRESS(INDEX($AH$2:$AH$1001,MATCH(ROWS($AF$2:AF796),$AF$2:$AF$1001,0),0), INDEX($AM$1004:$BM$1004,1,MATCH(COLUMNS($AM$1006:AX1006),$AM$1006:$BM$1006,0)))),"Fix")))</f>
        <v xml:space="preserve"> </v>
      </c>
      <c r="N796" s="4" t="str">
        <f ca="1">IF(OR(INDEX($AG$2:$AG$1001,MATCH(ROWS($AF$2:AF796),$AF$2:$AF$1001,0),1)&gt;=100000,INDEX($AM$1005:$BM$1005,1,MATCH(COLUMNS($AM$1006:AY1006),$AM$1006:$BM$1006,0))&gt;=100000), " ",IF(INDEX($AM$2:$BM$1001,MATCH(ROWS($AF$2:AF796),$AF$2:$AF$1001,0),MATCH(COLUMNS($AM$1006:AY1006),$AM$1006:$BM$1006,0)), HYPERLINK("#",""), HYPERLINK(CONCATENATE("#metadata!", ADDRESS(INDEX($AH$2:$AH$1001,MATCH(ROWS($AF$2:AF796),$AF$2:$AF$1001,0),0), INDEX($AM$1004:$BM$1004,1,MATCH(COLUMNS($AM$1006:AY1006),$AM$1006:$BM$1006,0)))),"Fix")))</f>
        <v xml:space="preserve"> </v>
      </c>
      <c r="O796" s="4" t="str">
        <f ca="1">IF(OR(INDEX($AG$2:$AG$1001,MATCH(ROWS($AF$2:AF796),$AF$2:$AF$1001,0),1)&gt;=100000,INDEX($AM$1005:$BM$1005,1,MATCH(COLUMNS($AM$1006:AZ1006),$AM$1006:$BM$1006,0))&gt;=100000), " ",IF(INDEX($AM$2:$BM$1001,MATCH(ROWS($AF$2:AF796),$AF$2:$AF$1001,0),MATCH(COLUMNS($AM$1006:AZ1006),$AM$1006:$BM$1006,0)), HYPERLINK("#",""), HYPERLINK(CONCATENATE("#metadata!", ADDRESS(INDEX($AH$2:$AH$1001,MATCH(ROWS($AF$2:AF796),$AF$2:$AF$1001,0),0), INDEX($AM$1004:$BM$1004,1,MATCH(COLUMNS($AM$1006:AZ1006),$AM$1006:$BM$1006,0)))),"Fix")))</f>
        <v xml:space="preserve"> </v>
      </c>
      <c r="P796" s="4" t="str">
        <f ca="1">IF(OR(INDEX($AG$2:$AG$1001,MATCH(ROWS($AF$2:AF796),$AF$2:$AF$1001,0),1)&gt;=100000,INDEX($AM$1005:$BM$1005,1,MATCH(COLUMNS($AM$1006:BA1006),$AM$1006:$BM$1006,0))&gt;=100000), " ",IF(INDEX($AM$2:$BM$1001,MATCH(ROWS($AF$2:AF796),$AF$2:$AF$1001,0),MATCH(COLUMNS($AM$1006:BA1006),$AM$1006:$BM$1006,0)), HYPERLINK("#",""), HYPERLINK(CONCATENATE("#metadata!", ADDRESS(INDEX($AH$2:$AH$1001,MATCH(ROWS($AF$2:AF796),$AF$2:$AF$1001,0),0), INDEX($AM$1004:$BM$1004,1,MATCH(COLUMNS($AM$1006:BA1006),$AM$1006:$BM$1006,0)))),"Fix")))</f>
        <v xml:space="preserve"> </v>
      </c>
      <c r="Q796" s="4" t="str">
        <f ca="1">IF(OR(INDEX($AG$2:$AG$1001,MATCH(ROWS($AF$2:AF796),$AF$2:$AF$1001,0),1)&gt;=100000,INDEX($AM$1005:$BM$1005,1,MATCH(COLUMNS($AM$1006:BB1006),$AM$1006:$BM$1006,0))&gt;=100000), " ",IF(INDEX($AM$2:$BM$1001,MATCH(ROWS($AF$2:AF796),$AF$2:$AF$1001,0),MATCH(COLUMNS($AM$1006:BB1006),$AM$1006:$BM$1006,0)), HYPERLINK("#",""), HYPERLINK(CONCATENATE("#metadata!", ADDRESS(INDEX($AH$2:$AH$1001,MATCH(ROWS($AF$2:AF796),$AF$2:$AF$1001,0),0), INDEX($AM$1004:$BM$1004,1,MATCH(COLUMNS($AM$1006:BB1006),$AM$1006:$BM$1006,0)))),"Fix")))</f>
        <v xml:space="preserve"> </v>
      </c>
      <c r="R796" s="4" t="str">
        <f ca="1">IF(OR(INDEX($AG$2:$AG$1001,MATCH(ROWS($AF$2:AF796),$AF$2:$AF$1001,0),1)&gt;=100000,INDEX($AM$1005:$BM$1005,1,MATCH(COLUMNS($AM$1006:BC1006),$AM$1006:$BM$1006,0))&gt;=100000), " ",IF(INDEX($AM$2:$BM$1001,MATCH(ROWS($AF$2:AF796),$AF$2:$AF$1001,0),MATCH(COLUMNS($AM$1006:BC1006),$AM$1006:$BM$1006,0)), HYPERLINK("#",""), HYPERLINK(CONCATENATE("#metadata!", ADDRESS(INDEX($AH$2:$AH$1001,MATCH(ROWS($AF$2:AF796),$AF$2:$AF$1001,0),0), INDEX($AM$1004:$BM$1004,1,MATCH(COLUMNS($AM$1006:BC1006),$AM$1006:$BM$1006,0)))),"Fix")))</f>
        <v xml:space="preserve"> </v>
      </c>
      <c r="S796" s="4" t="str">
        <f ca="1">IF(OR(INDEX($AG$2:$AG$1001,MATCH(ROWS($AF$2:AF796),$AF$2:$AF$1001,0),1)&gt;=100000,INDEX($AM$1005:$BM$1005,1,MATCH(COLUMNS($AM$1006:BD1006),$AM$1006:$BM$1006,0))&gt;=100000), " ",IF(INDEX($AM$2:$BM$1001,MATCH(ROWS($AF$2:AF796),$AF$2:$AF$1001,0),MATCH(COLUMNS($AM$1006:BD1006),$AM$1006:$BM$1006,0)), HYPERLINK("#",""), HYPERLINK(CONCATENATE("#metadata!", ADDRESS(INDEX($AH$2:$AH$1001,MATCH(ROWS($AF$2:AF796),$AF$2:$AF$1001,0),0), INDEX($AM$1004:$BM$1004,1,MATCH(COLUMNS($AM$1006:BD1006),$AM$1006:$BM$1006,0)))),"Fix")))</f>
        <v xml:space="preserve"> </v>
      </c>
      <c r="T796" s="4" t="str">
        <f ca="1">IF(OR(INDEX($AG$2:$AG$1001,MATCH(ROWS($AF$2:AF796),$AF$2:$AF$1001,0),1)&gt;=100000,INDEX($AM$1005:$BM$1005,1,MATCH(COLUMNS($AM$1006:BE1006),$AM$1006:$BM$1006,0))&gt;=100000), " ",IF(INDEX($AM$2:$BM$1001,MATCH(ROWS($AF$2:AF796),$AF$2:$AF$1001,0),MATCH(COLUMNS($AM$1006:BE1006),$AM$1006:$BM$1006,0)), HYPERLINK("#",""), HYPERLINK(CONCATENATE("#metadata!", ADDRESS(INDEX($AH$2:$AH$1001,MATCH(ROWS($AF$2:AF796),$AF$2:$AF$1001,0),0), INDEX($AM$1004:$BM$1004,1,MATCH(COLUMNS($AM$1006:BE1006),$AM$1006:$BM$1006,0)))),"Fix")))</f>
        <v xml:space="preserve"> </v>
      </c>
      <c r="U796" s="4" t="str">
        <f ca="1">IF(OR(INDEX($AG$2:$AG$1001,MATCH(ROWS($AF$2:AF796),$AF$2:$AF$1001,0),1)&gt;=100000,INDEX($AM$1005:$BM$1005,1,MATCH(COLUMNS($AM$1006:BF1006),$AM$1006:$BM$1006,0))&gt;=100000), " ",IF(INDEX($AM$2:$BM$1001,MATCH(ROWS($AF$2:AF796),$AF$2:$AF$1001,0),MATCH(COLUMNS($AM$1006:BF1006),$AM$1006:$BM$1006,0)), HYPERLINK("#",""), HYPERLINK(CONCATENATE("#metadata!", ADDRESS(INDEX($AH$2:$AH$1001,MATCH(ROWS($AF$2:AF796),$AF$2:$AF$1001,0),0), INDEX($AM$1004:$BM$1004,1,MATCH(COLUMNS($AM$1006:BF1006),$AM$1006:$BM$1006,0)))),"Fix")))</f>
        <v xml:space="preserve"> </v>
      </c>
      <c r="V796" s="4" t="str">
        <f ca="1">IF(OR(INDEX($AG$2:$AG$1001,MATCH(ROWS($AF$2:AF796),$AF$2:$AF$1001,0),1)&gt;=100000,INDEX($AM$1005:$BM$1005,1,MATCH(COLUMNS($AM$1006:BG1006),$AM$1006:$BM$1006,0))&gt;=100000), " ",IF(INDEX($AM$2:$BM$1001,MATCH(ROWS($AF$2:AF796),$AF$2:$AF$1001,0),MATCH(COLUMNS($AM$1006:BG1006),$AM$1006:$BM$1006,0)), HYPERLINK("#",""), HYPERLINK(CONCATENATE("#metadata!", ADDRESS(INDEX($AH$2:$AH$1001,MATCH(ROWS($AF$2:AF796),$AF$2:$AF$1001,0),0), INDEX($AM$1004:$BM$1004,1,MATCH(COLUMNS($AM$1006:BG1006),$AM$1006:$BM$1006,0)))),"Fix")))</f>
        <v xml:space="preserve"> </v>
      </c>
      <c r="W796" s="4" t="str">
        <f ca="1">IF(OR(INDEX($AG$2:$AG$1001,MATCH(ROWS($AF$2:AF796),$AF$2:$AF$1001,0),1)&gt;=100000,INDEX($AM$1005:$BM$1005,1,MATCH(COLUMNS($AM$1006:BH1006),$AM$1006:$BM$1006,0))&gt;=100000), " ",IF(INDEX($AM$2:$BM$1001,MATCH(ROWS($AF$2:AF796),$AF$2:$AF$1001,0),MATCH(COLUMNS($AM$1006:BH1006),$AM$1006:$BM$1006,0)), HYPERLINK("#",""), HYPERLINK(CONCATENATE("#metadata!", ADDRESS(INDEX($AH$2:$AH$1001,MATCH(ROWS($AF$2:AF796),$AF$2:$AF$1001,0),0), INDEX($AM$1004:$BM$1004,1,MATCH(COLUMNS($AM$1006:BH1006),$AM$1006:$BM$1006,0)))),"Fix")))</f>
        <v xml:space="preserve"> </v>
      </c>
      <c r="X796" s="4" t="str">
        <f ca="1">IF(OR(INDEX($AG$2:$AG$1001,MATCH(ROWS($AF$2:AF796),$AF$2:$AF$1001,0),1)&gt;=100000,INDEX($AM$1005:$BM$1005,1,MATCH(COLUMNS($AM$1006:BI1006),$AM$1006:$BM$1006,0))&gt;=100000), " ",IF(INDEX($AM$2:$BM$1001,MATCH(ROWS($AF$2:AF796),$AF$2:$AF$1001,0),MATCH(COLUMNS($AM$1006:BI1006),$AM$1006:$BM$1006,0)), HYPERLINK("#",""), HYPERLINK(CONCATENATE("#metadata!", ADDRESS(INDEX($AH$2:$AH$1001,MATCH(ROWS($AF$2:AF796),$AF$2:$AF$1001,0),0), INDEX($AM$1004:$BM$1004,1,MATCH(COLUMNS($AM$1006:BI1006),$AM$1006:$BM$1006,0)))),"Fix")))</f>
        <v xml:space="preserve"> </v>
      </c>
      <c r="Y796" s="4" t="str">
        <f ca="1">IF(OR(INDEX($AG$2:$AG$1001,MATCH(ROWS($AF$2:AF796),$AF$2:$AF$1001,0),1)&gt;=100000,INDEX($AM$1005:$BM$1005,1,MATCH(COLUMNS($AM$1006:BJ1006),$AM$1006:$BM$1006,0))&gt;=100000), " ",IF(INDEX($AM$2:$BM$1001,MATCH(ROWS($AF$2:AF796),$AF$2:$AF$1001,0),MATCH(COLUMNS($AM$1006:BJ1006),$AM$1006:$BM$1006,0)), HYPERLINK("#",""), HYPERLINK(CONCATENATE("#metadata!", ADDRESS(INDEX($AH$2:$AH$1001,MATCH(ROWS($AF$2:AF796),$AF$2:$AF$1001,0),0), INDEX($AM$1004:$BM$1004,1,MATCH(COLUMNS($AM$1006:BJ1006),$AM$1006:$BM$1006,0)))),"Fix")))</f>
        <v xml:space="preserve"> </v>
      </c>
      <c r="Z796" s="4" t="str">
        <f ca="1">IF(OR(INDEX($AG$2:$AG$1001,MATCH(ROWS($AF$2:AF796),$AF$2:$AF$1001,0),1)&gt;=100000,INDEX($AM$1005:$BM$1005,1,MATCH(COLUMNS($AM$1006:BK1006),$AM$1006:$BM$1006,0))&gt;=100000), " ",IF(INDEX($AM$2:$BM$1001,MATCH(ROWS($AF$2:AF796),$AF$2:$AF$1001,0),MATCH(COLUMNS($AM$1006:BK1006),$AM$1006:$BM$1006,0)), HYPERLINK("#",""), HYPERLINK(CONCATENATE("#metadata!", ADDRESS(INDEX($AH$2:$AH$1001,MATCH(ROWS($AF$2:AF796),$AF$2:$AF$1001,0),0), INDEX($AM$1004:$BM$1004,1,MATCH(COLUMNS($AM$1006:BK1006),$AM$1006:$BM$1006,0)))),"Fix")))</f>
        <v xml:space="preserve"> </v>
      </c>
      <c r="AA796" s="4" t="str">
        <f ca="1">IF(OR(INDEX($AG$2:$AG$1001,MATCH(ROWS($AF$2:AF796),$AF$2:$AF$1001,0),1)&gt;=100000,INDEX($AM$1005:$BM$1005,1,MATCH(COLUMNS($AM$1006:BL1006),$AM$1006:$BM$1006,0))&gt;=100000), " ",IF(INDEX($AM$2:$BM$1001,MATCH(ROWS($AF$2:AF796),$AF$2:$AF$1001,0),MATCH(COLUMNS($AM$1006:BL1006),$AM$1006:$BM$1006,0)), HYPERLINK("#",""), HYPERLINK(CONCATENATE("#metadata!", ADDRESS(INDEX($AH$2:$AH$1001,MATCH(ROWS($AF$2:AF796),$AF$2:$AF$1001,0),0), INDEX($AM$1004:$BM$1004,1,MATCH(COLUMNS($AM$1006:BL1006),$AM$1006:$BM$1006,0)))),"Fix")))</f>
        <v xml:space="preserve"> </v>
      </c>
      <c r="AB796" s="4" t="str">
        <f ca="1">IF(OR(INDEX($AG$2:$AG$1001,MATCH(ROWS($AF$2:AF796),$AF$2:$AF$1001,0),1)&gt;=100000,INDEX($AM$1005:$BM$1005,1,MATCH(COLUMNS($AM$1006:BM1006),$AM$1006:$BM$1006,0))&gt;=100000), " ",IF(INDEX($AM$2:$BM$1001,MATCH(ROWS($AF$2:AF796),$AF$2:$AF$1001,0),MATCH(COLUMNS($AM$1006:BM1006),$AM$1006:$BM$1006,0)), HYPERLINK("#",""), HYPERLINK(CONCATENATE("#metadata!", ADDRESS(INDEX($AH$2:$AH$1001,MATCH(ROWS($AF$2:AF796),$AF$2:$AF$1001,0),0), INDEX($AM$1004:$BM$1004,1,MATCH(COLUMNS($AM$1006:BM1006),$AM$1006:$BM$1006,0)))),"Fix")))</f>
        <v xml:space="preserve"> </v>
      </c>
      <c r="AF796">
        <v>795</v>
      </c>
      <c r="AG796">
        <v>100796</v>
      </c>
      <c r="AH796">
        <v>796</v>
      </c>
      <c r="AI796" t="b">
        <f t="shared" si="12"/>
        <v>1</v>
      </c>
      <c r="AJ796" t="b">
        <f>COUNTBLANK(metadata!B796:AB796)=COLUMNS(metadata!B796:AB796)</f>
        <v>1</v>
      </c>
      <c r="AK796" t="str">
        <v/>
      </c>
      <c r="AM796" t="b">
        <f ca="1">AND(IF(metadata!B796="",FALSE,TRUE),COUNTIF(metadata!B:B, metadata!B796) = 1,NOT(ISERROR(SUMPRODUCT(SEARCH(MID(metadata!B796,ROW(INDIRECT("1:"&amp;LEN(metadata!B796))), 1),"0123456789abcdefghijklmnopqrstuvwxyzABCDEFGHIJKLMNOPQRSTUVWXYZ.")))))</f>
        <v>0</v>
      </c>
      <c r="AN796" t="b">
        <f ca="1">OR(AND(IF(metadata!C796="",FALSE,TRUE),OR(EXACT(metadata!C796,"missing: not collected"),EXACT(metadata!C796,"missing: not provided"),EXACT(metadata!C796,"missing: restricted access"))),AND(IF(metadata!C796="",FALSE,TRUE),AND(AND(IFERROR(INT(LEFT(metadata!C796,4))&gt;1900,FALSE),IFERROR(INT(LEFT(metadata!C796,4))&lt;=YEAR(NOW()),FALSE)), OR(MID(metadata!C796,5,1)="", AND(AND(MID(metadata!C796,5,1)="-",IFERROR(INT(MID(metadata!C796,6,1))&gt;=0,FALSE),IFERROR(INT(MID(metadata!C796,6,1))&lt;=1,FALSE),NOT(MID(metadata!C796,7,1)=""),IFERROR(INT(MID(metadata!C796,6,2))&gt;=1,FALSE),IFERROR(INT(MID(metadata!C796,6,2))&lt;=12,FALSE)), OR(MID(metadata!C796,8,1)="", AND(AND(MID(metadata!C796,8,1)="-",IFERROR(INT(MID(metadata!C796,9,1))&gt;=0,FALSE),IFERROR(INT(MID(metadata!C796,9,1))&lt;=3,FALSE),NOT(MID(metadata!C796,10,1)=""),IFERROR(INT(MID(metadata!C796,9,2))&gt;=1,FALSE),IFERROR(INT(MID(metadata!C796,9,2))&lt;=31,FALSE)), OR(MID(metadata!C796,11,1)="", AND(AND(MID(metadata!C796,11,1)=" ",IFERROR(INT(MID(metadata!C796,12,1))&gt;=0,FALSE),IFERROR(INT(MID(metadata!C796,12,1))&lt;=2,FALSE),NOT(MID(metadata!C796,13,1)=""),IFERROR(INT(MID(metadata!C796,12,2))&gt;=0,FALSE),IFERROR(INT(MID(metadata!C796,12,2))&lt;=23,FALSE)), OR(MID(metadata!C796,14,1)="", AND(AND(MID(metadata!C796,14,1)=":",IFERROR(INT(MID(metadata!C796,15,1))&gt;=0,FALSE),IFERROR(INT(MID(metadata!C796,15,1))&lt;=5,FALSE),NOT(MID(metadata!C796,16,1)=""),IFERROR(INT(MID(metadata!C796,15,2))&gt;=0,FALSE),IFERROR(INT(MID(metadata!C796,15,2))&lt;=59,FALSE)), OR(MID(metadata!C796,17,1)="", AND(AND(MID(metadata!C796,17,1)=":",IFERROR(INT(MID(metadata!C796,18,1))&gt;=0,FALSE),IFERROR(INT(MID(metadata!C796,18,1))&lt;=5,FALSE),NOT(MID(metadata!C796,19,1)=""),IFERROR(INT(MID(metadata!C796,18,2))&gt;=0,FALSE),IFERROR(INT(MID(metadata!C796,18,2))&lt;=59,FALSE)), LEN(metadata!C796)&lt;=19)))))))))))))</f>
        <v>0</v>
      </c>
      <c r="AO796" t="b">
        <f>AND(IF(metadata!D796="",FALSE,TRUE),EXACT(metadata!D796,"Not applicable"))</f>
        <v>0</v>
      </c>
      <c r="AP796" t="b">
        <f>IF(metadata!E796="",FALSE,TRUE)</f>
        <v>0</v>
      </c>
      <c r="AQ796" t="b">
        <f>OR(AND(IF(metadata!F796="",FALSE,TRUE),OR(EXACT(metadata!F796,"missing: not collected"),EXACT(metadata!F796,"missing: not provided"))),AND(IF(metadata!F796="",FALSE,TRUE),OR(EXACT(metadata!F796,"TRUE"),EXACT(metadata!F796,"FALSE"))))</f>
        <v>0</v>
      </c>
      <c r="AR796" t="b">
        <f>OR(AND(IF(metadata!G796="",FALSE,TRUE),OR(EXACT(metadata!G796,"missing: not collected"),EXACT(metadata!G796,"missing: not provided"),EXACT(metadata!G796,"missing: restricted access"))),AND(IF(metadata!G796="",FALSE,ISNUMBER(VALUE(metadata!G796))),metadata!G796&gt;=-413))</f>
        <v>0</v>
      </c>
      <c r="AS796" t="b">
        <f>AND(IF(metadata!H796="",FALSE,TRUE),EXACT(metadata!H796,"meters"))</f>
        <v>0</v>
      </c>
      <c r="AT796" t="b">
        <f>AND(IF(metadata!I796="",FALSE,TRUE),OR(EXACT(metadata!I796,"Host-associated"),EXACT(metadata!I796,"Free-living")))</f>
        <v>0</v>
      </c>
      <c r="AU796" t="b">
        <f>AND(IF(metadata!J796="",FALSE,TRUE),OR(EXACT(metadata!J796,"Animal"),EXACT(metadata!J796,"Fungus"),EXACT(metadata!J796,"Plant"),EXACT(metadata!J796,"Saline"),EXACT(metadata!J796,"Non-saline")))</f>
        <v>0</v>
      </c>
      <c r="AV796" t="b">
        <f>AND(IF(metadata!K796="",FALSE,TRUE),OR(EXACT(metadata!K796,"Plant secretion"),EXACT(metadata!K796,"Plant rhizosphere"),EXACT(metadata!K796,"Plant surface"),EXACT(metadata!K796,"Plant corpus"),EXACT(metadata!K796,"Fungus surface"),EXACT(metadata!K796,"Fungus corpus"),EXACT(metadata!K796,"Animal surface"),EXACT(metadata!K796,"Animal proximal gut"),EXACT(metadata!K796,"Animal corpus"),EXACT(metadata!K796,"Animal distal gut"),EXACT(metadata!K796,"Animal secretion"),EXACT(metadata!K796,"Sub-surface (non-saline)"),EXACT(metadata!K796,"Surface (non-saline)"),EXACT(metadata!K796,"Water (non-saline)"),EXACT(metadata!K796,"Soil (non-saline)"),EXACT(metadata!K796,"Aerosol (non-saline)"),EXACT(metadata!K796,"Sediment (non-saline)"),EXACT(metadata!K796,"Surface (saline)"),EXACT(metadata!K796,"Water (saline)"),EXACT(metadata!K796,"Hypersaline (saline)"),EXACT(metadata!K796,"Aerosol (saline)"),EXACT(metadata!K796,"Sediment (saline)")))</f>
        <v>0</v>
      </c>
      <c r="AW796" t="b">
        <f>IF(metadata!L796="",FALSE,TRUE)</f>
        <v>0</v>
      </c>
      <c r="AX796" t="b">
        <f>IF(metadata!M796="",FALSE,TRUE)</f>
        <v>0</v>
      </c>
      <c r="AY796" t="b">
        <f>IF(metadata!N796="",FALSE,TRUE)</f>
        <v>0</v>
      </c>
      <c r="AZ796" t="b">
        <f>OR(AND(IF(metadata!O796="",FALSE,TRUE),OR(EXACT(metadata!O796,"missing: not collected"),EXACT(metadata!O796,"missing: not provided"),EXACT(metadata!O796,"missing: restricted access"))),AND(IF(metadata!O796="",FALSE,TRUE),OR(EXACT(metadata!O796,"air"),EXACT(metadata!O796,"built environment"),EXACT(metadata!O796,"host-associated"),EXACT(metadata!O796,"human-associated"),EXACT(metadata!O796,"human-skin"),EXACT(metadata!O796,"human-oral"),EXACT(metadata!O796,"human-gut"),EXACT(metadata!O796,"human-vaginal"),EXACT(metadata!O796,"microbial mat/biofilm"),EXACT(metadata!O796,"misc environment"),EXACT(metadata!O796,"plant-associated"),EXACT(metadata!O796,"sediment"),EXACT(metadata!O796,"soil"),EXACT(metadata!O796,"wastewater/sludge"),EXACT(metadata!O796,"water"))))</f>
        <v>0</v>
      </c>
      <c r="BA796" t="b">
        <f>IF(metadata!P796="",FALSE,TRUE)</f>
        <v>0</v>
      </c>
      <c r="BB796" t="b">
        <f>IF(metadata!Q796="",FALSE,TRUE)</f>
        <v>0</v>
      </c>
      <c r="BC796" t="b">
        <f>OR(AND(IF(metadata!R796="",FALSE,TRUE),OR(EXACT(metadata!R796,"missing: not collected"),EXACT(metadata!R796,"missing: not provided"),EXACT(metadata!R796,"missing: restricted access"))),AND(IF(metadata!R796="",FALSE,ISNUMBER(VALUE(metadata!R796))),metadata!R796&gt;=-90,metadata!R796&lt;=90))</f>
        <v>0</v>
      </c>
      <c r="BD796" t="b">
        <f>AND(IF(metadata!S796="",FALSE,TRUE),EXACT(metadata!S796,"Decimal degrees"))</f>
        <v>0</v>
      </c>
      <c r="BE796" t="b">
        <f>OR(AND(IF(metadata!T796="",FALSE,TRUE),OR(EXACT(metadata!T796,"missing: not collected"),EXACT(metadata!T796,"missing: not provided"),EXACT(metadata!T796,"missing: restricted access"))),AND(IF(metadata!T796="",FALSE,ISNUMBER(VALUE(metadata!T796))),metadata!T796&gt;=-180,metadata!T796&lt;=180))</f>
        <v>0</v>
      </c>
      <c r="BF796" t="b">
        <f>AND(IF(metadata!U796="",FALSE,TRUE),EXACT(metadata!U796,"Decimal degrees"))</f>
        <v>0</v>
      </c>
      <c r="BG796" t="b">
        <f>IF(metadata!V796="",FALSE,TRUE)</f>
        <v>0</v>
      </c>
      <c r="BH796" t="b">
        <f>OR(AND(IF(metadata!W796="",FALSE,TRUE),OR(EXACT(metadata!W796,"missing: not collected"),EXACT(metadata!W796,"missing: not provided"),EXACT(metadata!W796,"missing: restricted access"))),AND(IF(metadata!W796="",FALSE,TRUE),OR(EXACT(metadata!W796,"TRUE"),EXACT(metadata!W796,"FALSE"))))</f>
        <v>0</v>
      </c>
      <c r="BI796" t="b">
        <f>AND(IF(metadata!X796="",FALSE,TRUE),EXACT(metadata!X796,"other"))</f>
        <v>0</v>
      </c>
      <c r="BJ796" t="b">
        <f>IF(metadata!Y796="",FALSE,TRUE)</f>
        <v>0</v>
      </c>
      <c r="BK796" t="b">
        <f>OR(AND(IF(metadata!Z796="",FALSE,TRUE),OR(EXACT(metadata!Z796,"missing: not collected"),EXACT(metadata!Z796,"missing: not provided"))),AND(IF(metadata!Z796="",FALSE,IF(ISERROR(INT(metadata!Z796)),FALSE,INT(metadata!Z796)=metadata!Z796)),metadata!Z796&gt;0))</f>
        <v>0</v>
      </c>
      <c r="BL796" t="b">
        <f>AND(IF(metadata!AA796="",FALSE,TRUE),EXACT(metadata!AA796,"Not applicable"))</f>
        <v>0</v>
      </c>
      <c r="BM796" t="b">
        <f>IF(metadata!AB796="",FALSE,TRUE)</f>
        <v>0</v>
      </c>
    </row>
    <row r="797" spans="1:65" x14ac:dyDescent="0.2">
      <c r="A797" s="5" t="str">
        <f ca="1">IF(B797=" "," ",HYPERLINK(CONCATENATE("#metadata!",ADDRESS(INDEX($AH$2:$AH$1001,MATCH(ROWS($AF$2:AF797),$AF$2:$AF$1001,0),0),1)),INDEX($AK$2:$AK$1001,MATCH(ROWS($AF$2:AF797),$AF$2:$AF$1001,0),0)))</f>
        <v xml:space="preserve"> </v>
      </c>
      <c r="B797" s="4" t="str">
        <f ca="1">IF(OR(INDEX($AG$2:$AG$1001,MATCH(ROWS($AF$2:AF797),$AF$2:$AF$1001,0),1)&gt;=100000,INDEX($AM$1005:$BM$1005,1,MATCH(COLUMNS($AM$1006:AM1006),$AM$1006:$BM$1006,0))&gt;=100000), " ",IF(INDEX($AM$2:$BM$1001,MATCH(ROWS($AF$2:AF797),$AF$2:$AF$1001,0),MATCH(COLUMNS($AM$1006:AM1006),$AM$1006:$BM$1006,0)), HYPERLINK("#",""), HYPERLINK(CONCATENATE("#metadata!", ADDRESS(INDEX($AH$2:$AH$1001,MATCH(ROWS($AF$2:AF797),$AF$2:$AF$1001,0),0), INDEX($AM$1004:$BM$1004,1,MATCH(COLUMNS($AM$1006:AM1006),$AM$1006:$BM$1006,0)))),"Fix")))</f>
        <v xml:space="preserve"> </v>
      </c>
      <c r="C797" s="4" t="str">
        <f ca="1">IF(OR(INDEX($AG$2:$AG$1001,MATCH(ROWS($AF$2:AF797),$AF$2:$AF$1001,0),1)&gt;=100000,INDEX($AM$1005:$BM$1005,1,MATCH(COLUMNS($AM$1006:AN1006),$AM$1006:$BM$1006,0))&gt;=100000), " ",IF(INDEX($AM$2:$BM$1001,MATCH(ROWS($AF$2:AF797),$AF$2:$AF$1001,0),MATCH(COLUMNS($AM$1006:AN1006),$AM$1006:$BM$1006,0)), HYPERLINK("#",""), HYPERLINK(CONCATENATE("#metadata!", ADDRESS(INDEX($AH$2:$AH$1001,MATCH(ROWS($AF$2:AF797),$AF$2:$AF$1001,0),0), INDEX($AM$1004:$BM$1004,1,MATCH(COLUMNS($AM$1006:AN1006),$AM$1006:$BM$1006,0)))),"Fix")))</f>
        <v xml:space="preserve"> </v>
      </c>
      <c r="D797" s="4" t="str">
        <f ca="1">IF(OR(INDEX($AG$2:$AG$1001,MATCH(ROWS($AF$2:AF797),$AF$2:$AF$1001,0),1)&gt;=100000,INDEX($AM$1005:$BM$1005,1,MATCH(COLUMNS($AM$1006:AO1006),$AM$1006:$BM$1006,0))&gt;=100000), " ",IF(INDEX($AM$2:$BM$1001,MATCH(ROWS($AF$2:AF797),$AF$2:$AF$1001,0),MATCH(COLUMNS($AM$1006:AO1006),$AM$1006:$BM$1006,0)), HYPERLINK("#",""), HYPERLINK(CONCATENATE("#metadata!", ADDRESS(INDEX($AH$2:$AH$1001,MATCH(ROWS($AF$2:AF797),$AF$2:$AF$1001,0),0), INDEX($AM$1004:$BM$1004,1,MATCH(COLUMNS($AM$1006:AO1006),$AM$1006:$BM$1006,0)))),"Fix")))</f>
        <v xml:space="preserve"> </v>
      </c>
      <c r="E797" s="4" t="str">
        <f ca="1">IF(OR(INDEX($AG$2:$AG$1001,MATCH(ROWS($AF$2:AF797),$AF$2:$AF$1001,0),1)&gt;=100000,INDEX($AM$1005:$BM$1005,1,MATCH(COLUMNS($AM$1006:AP1006),$AM$1006:$BM$1006,0))&gt;=100000), " ",IF(INDEX($AM$2:$BM$1001,MATCH(ROWS($AF$2:AF797),$AF$2:$AF$1001,0),MATCH(COLUMNS($AM$1006:AP1006),$AM$1006:$BM$1006,0)), HYPERLINK("#",""), HYPERLINK(CONCATENATE("#metadata!", ADDRESS(INDEX($AH$2:$AH$1001,MATCH(ROWS($AF$2:AF797),$AF$2:$AF$1001,0),0), INDEX($AM$1004:$BM$1004,1,MATCH(COLUMNS($AM$1006:AP1006),$AM$1006:$BM$1006,0)))),"Fix")))</f>
        <v xml:space="preserve"> </v>
      </c>
      <c r="F797" s="4" t="str">
        <f ca="1">IF(OR(INDEX($AG$2:$AG$1001,MATCH(ROWS($AF$2:AF797),$AF$2:$AF$1001,0),1)&gt;=100000,INDEX($AM$1005:$BM$1005,1,MATCH(COLUMNS($AM$1006:AQ1006),$AM$1006:$BM$1006,0))&gt;=100000), " ",IF(INDEX($AM$2:$BM$1001,MATCH(ROWS($AF$2:AF797),$AF$2:$AF$1001,0),MATCH(COLUMNS($AM$1006:AQ1006),$AM$1006:$BM$1006,0)), HYPERLINK("#",""), HYPERLINK(CONCATENATE("#metadata!", ADDRESS(INDEX($AH$2:$AH$1001,MATCH(ROWS($AF$2:AF797),$AF$2:$AF$1001,0),0), INDEX($AM$1004:$BM$1004,1,MATCH(COLUMNS($AM$1006:AQ1006),$AM$1006:$BM$1006,0)))),"Fix")))</f>
        <v xml:space="preserve"> </v>
      </c>
      <c r="G797" s="4" t="str">
        <f ca="1">IF(OR(INDEX($AG$2:$AG$1001,MATCH(ROWS($AF$2:AF797),$AF$2:$AF$1001,0),1)&gt;=100000,INDEX($AM$1005:$BM$1005,1,MATCH(COLUMNS($AM$1006:AR1006),$AM$1006:$BM$1006,0))&gt;=100000), " ",IF(INDEX($AM$2:$BM$1001,MATCH(ROWS($AF$2:AF797),$AF$2:$AF$1001,0),MATCH(COLUMNS($AM$1006:AR1006),$AM$1006:$BM$1006,0)), HYPERLINK("#",""), HYPERLINK(CONCATENATE("#metadata!", ADDRESS(INDEX($AH$2:$AH$1001,MATCH(ROWS($AF$2:AF797),$AF$2:$AF$1001,0),0), INDEX($AM$1004:$BM$1004,1,MATCH(COLUMNS($AM$1006:AR1006),$AM$1006:$BM$1006,0)))),"Fix")))</f>
        <v xml:space="preserve"> </v>
      </c>
      <c r="H797" s="4" t="str">
        <f ca="1">IF(OR(INDEX($AG$2:$AG$1001,MATCH(ROWS($AF$2:AF797),$AF$2:$AF$1001,0),1)&gt;=100000,INDEX($AM$1005:$BM$1005,1,MATCH(COLUMNS($AM$1006:AS1006),$AM$1006:$BM$1006,0))&gt;=100000), " ",IF(INDEX($AM$2:$BM$1001,MATCH(ROWS($AF$2:AF797),$AF$2:$AF$1001,0),MATCH(COLUMNS($AM$1006:AS1006),$AM$1006:$BM$1006,0)), HYPERLINK("#",""), HYPERLINK(CONCATENATE("#metadata!", ADDRESS(INDEX($AH$2:$AH$1001,MATCH(ROWS($AF$2:AF797),$AF$2:$AF$1001,0),0), INDEX($AM$1004:$BM$1004,1,MATCH(COLUMNS($AM$1006:AS1006),$AM$1006:$BM$1006,0)))),"Fix")))</f>
        <v xml:space="preserve"> </v>
      </c>
      <c r="I797" s="4" t="str">
        <f ca="1">IF(OR(INDEX($AG$2:$AG$1001,MATCH(ROWS($AF$2:AF797),$AF$2:$AF$1001,0),1)&gt;=100000,INDEX($AM$1005:$BM$1005,1,MATCH(COLUMNS($AM$1006:AT1006),$AM$1006:$BM$1006,0))&gt;=100000), " ",IF(INDEX($AM$2:$BM$1001,MATCH(ROWS($AF$2:AF797),$AF$2:$AF$1001,0),MATCH(COLUMNS($AM$1006:AT1006),$AM$1006:$BM$1006,0)), HYPERLINK("#",""), HYPERLINK(CONCATENATE("#metadata!", ADDRESS(INDEX($AH$2:$AH$1001,MATCH(ROWS($AF$2:AF797),$AF$2:$AF$1001,0),0), INDEX($AM$1004:$BM$1004,1,MATCH(COLUMNS($AM$1006:AT1006),$AM$1006:$BM$1006,0)))),"Fix")))</f>
        <v xml:space="preserve"> </v>
      </c>
      <c r="J797" s="4" t="str">
        <f ca="1">IF(OR(INDEX($AG$2:$AG$1001,MATCH(ROWS($AF$2:AF797),$AF$2:$AF$1001,0),1)&gt;=100000,INDEX($AM$1005:$BM$1005,1,MATCH(COLUMNS($AM$1006:AU1006),$AM$1006:$BM$1006,0))&gt;=100000), " ",IF(INDEX($AM$2:$BM$1001,MATCH(ROWS($AF$2:AF797),$AF$2:$AF$1001,0),MATCH(COLUMNS($AM$1006:AU1006),$AM$1006:$BM$1006,0)), HYPERLINK("#",""), HYPERLINK(CONCATENATE("#metadata!", ADDRESS(INDEX($AH$2:$AH$1001,MATCH(ROWS($AF$2:AF797),$AF$2:$AF$1001,0),0), INDEX($AM$1004:$BM$1004,1,MATCH(COLUMNS($AM$1006:AU1006),$AM$1006:$BM$1006,0)))),"Fix")))</f>
        <v xml:space="preserve"> </v>
      </c>
      <c r="K797" s="4" t="str">
        <f ca="1">IF(OR(INDEX($AG$2:$AG$1001,MATCH(ROWS($AF$2:AF797),$AF$2:$AF$1001,0),1)&gt;=100000,INDEX($AM$1005:$BM$1005,1,MATCH(COLUMNS($AM$1006:AV1006),$AM$1006:$BM$1006,0))&gt;=100000), " ",IF(INDEX($AM$2:$BM$1001,MATCH(ROWS($AF$2:AF797),$AF$2:$AF$1001,0),MATCH(COLUMNS($AM$1006:AV1006),$AM$1006:$BM$1006,0)), HYPERLINK("#",""), HYPERLINK(CONCATENATE("#metadata!", ADDRESS(INDEX($AH$2:$AH$1001,MATCH(ROWS($AF$2:AF797),$AF$2:$AF$1001,0),0), INDEX($AM$1004:$BM$1004,1,MATCH(COLUMNS($AM$1006:AV1006),$AM$1006:$BM$1006,0)))),"Fix")))</f>
        <v xml:space="preserve"> </v>
      </c>
      <c r="L797" s="4" t="str">
        <f ca="1">IF(OR(INDEX($AG$2:$AG$1001,MATCH(ROWS($AF$2:AF797),$AF$2:$AF$1001,0),1)&gt;=100000,INDEX($AM$1005:$BM$1005,1,MATCH(COLUMNS($AM$1006:AW1006),$AM$1006:$BM$1006,0))&gt;=100000), " ",IF(INDEX($AM$2:$BM$1001,MATCH(ROWS($AF$2:AF797),$AF$2:$AF$1001,0),MATCH(COLUMNS($AM$1006:AW1006),$AM$1006:$BM$1006,0)), HYPERLINK("#",""), HYPERLINK(CONCATENATE("#metadata!", ADDRESS(INDEX($AH$2:$AH$1001,MATCH(ROWS($AF$2:AF797),$AF$2:$AF$1001,0),0), INDEX($AM$1004:$BM$1004,1,MATCH(COLUMNS($AM$1006:AW1006),$AM$1006:$BM$1006,0)))),"Fix")))</f>
        <v xml:space="preserve"> </v>
      </c>
      <c r="M797" s="4" t="str">
        <f ca="1">IF(OR(INDEX($AG$2:$AG$1001,MATCH(ROWS($AF$2:AF797),$AF$2:$AF$1001,0),1)&gt;=100000,INDEX($AM$1005:$BM$1005,1,MATCH(COLUMNS($AM$1006:AX1006),$AM$1006:$BM$1006,0))&gt;=100000), " ",IF(INDEX($AM$2:$BM$1001,MATCH(ROWS($AF$2:AF797),$AF$2:$AF$1001,0),MATCH(COLUMNS($AM$1006:AX1006),$AM$1006:$BM$1006,0)), HYPERLINK("#",""), HYPERLINK(CONCATENATE("#metadata!", ADDRESS(INDEX($AH$2:$AH$1001,MATCH(ROWS($AF$2:AF797),$AF$2:$AF$1001,0),0), INDEX($AM$1004:$BM$1004,1,MATCH(COLUMNS($AM$1006:AX1006),$AM$1006:$BM$1006,0)))),"Fix")))</f>
        <v xml:space="preserve"> </v>
      </c>
      <c r="N797" s="4" t="str">
        <f ca="1">IF(OR(INDEX($AG$2:$AG$1001,MATCH(ROWS($AF$2:AF797),$AF$2:$AF$1001,0),1)&gt;=100000,INDEX($AM$1005:$BM$1005,1,MATCH(COLUMNS($AM$1006:AY1006),$AM$1006:$BM$1006,0))&gt;=100000), " ",IF(INDEX($AM$2:$BM$1001,MATCH(ROWS($AF$2:AF797),$AF$2:$AF$1001,0),MATCH(COLUMNS($AM$1006:AY1006),$AM$1006:$BM$1006,0)), HYPERLINK("#",""), HYPERLINK(CONCATENATE("#metadata!", ADDRESS(INDEX($AH$2:$AH$1001,MATCH(ROWS($AF$2:AF797),$AF$2:$AF$1001,0),0), INDEX($AM$1004:$BM$1004,1,MATCH(COLUMNS($AM$1006:AY1006),$AM$1006:$BM$1006,0)))),"Fix")))</f>
        <v xml:space="preserve"> </v>
      </c>
      <c r="O797" s="4" t="str">
        <f ca="1">IF(OR(INDEX($AG$2:$AG$1001,MATCH(ROWS($AF$2:AF797),$AF$2:$AF$1001,0),1)&gt;=100000,INDEX($AM$1005:$BM$1005,1,MATCH(COLUMNS($AM$1006:AZ1006),$AM$1006:$BM$1006,0))&gt;=100000), " ",IF(INDEX($AM$2:$BM$1001,MATCH(ROWS($AF$2:AF797),$AF$2:$AF$1001,0),MATCH(COLUMNS($AM$1006:AZ1006),$AM$1006:$BM$1006,0)), HYPERLINK("#",""), HYPERLINK(CONCATENATE("#metadata!", ADDRESS(INDEX($AH$2:$AH$1001,MATCH(ROWS($AF$2:AF797),$AF$2:$AF$1001,0),0), INDEX($AM$1004:$BM$1004,1,MATCH(COLUMNS($AM$1006:AZ1006),$AM$1006:$BM$1006,0)))),"Fix")))</f>
        <v xml:space="preserve"> </v>
      </c>
      <c r="P797" s="4" t="str">
        <f ca="1">IF(OR(INDEX($AG$2:$AG$1001,MATCH(ROWS($AF$2:AF797),$AF$2:$AF$1001,0),1)&gt;=100000,INDEX($AM$1005:$BM$1005,1,MATCH(COLUMNS($AM$1006:BA1006),$AM$1006:$BM$1006,0))&gt;=100000), " ",IF(INDEX($AM$2:$BM$1001,MATCH(ROWS($AF$2:AF797),$AF$2:$AF$1001,0),MATCH(COLUMNS($AM$1006:BA1006),$AM$1006:$BM$1006,0)), HYPERLINK("#",""), HYPERLINK(CONCATENATE("#metadata!", ADDRESS(INDEX($AH$2:$AH$1001,MATCH(ROWS($AF$2:AF797),$AF$2:$AF$1001,0),0), INDEX($AM$1004:$BM$1004,1,MATCH(COLUMNS($AM$1006:BA1006),$AM$1006:$BM$1006,0)))),"Fix")))</f>
        <v xml:space="preserve"> </v>
      </c>
      <c r="Q797" s="4" t="str">
        <f ca="1">IF(OR(INDEX($AG$2:$AG$1001,MATCH(ROWS($AF$2:AF797),$AF$2:$AF$1001,0),1)&gt;=100000,INDEX($AM$1005:$BM$1005,1,MATCH(COLUMNS($AM$1006:BB1006),$AM$1006:$BM$1006,0))&gt;=100000), " ",IF(INDEX($AM$2:$BM$1001,MATCH(ROWS($AF$2:AF797),$AF$2:$AF$1001,0),MATCH(COLUMNS($AM$1006:BB1006),$AM$1006:$BM$1006,0)), HYPERLINK("#",""), HYPERLINK(CONCATENATE("#metadata!", ADDRESS(INDEX($AH$2:$AH$1001,MATCH(ROWS($AF$2:AF797),$AF$2:$AF$1001,0),0), INDEX($AM$1004:$BM$1004,1,MATCH(COLUMNS($AM$1006:BB1006),$AM$1006:$BM$1006,0)))),"Fix")))</f>
        <v xml:space="preserve"> </v>
      </c>
      <c r="R797" s="4" t="str">
        <f ca="1">IF(OR(INDEX($AG$2:$AG$1001,MATCH(ROWS($AF$2:AF797),$AF$2:$AF$1001,0),1)&gt;=100000,INDEX($AM$1005:$BM$1005,1,MATCH(COLUMNS($AM$1006:BC1006),$AM$1006:$BM$1006,0))&gt;=100000), " ",IF(INDEX($AM$2:$BM$1001,MATCH(ROWS($AF$2:AF797),$AF$2:$AF$1001,0),MATCH(COLUMNS($AM$1006:BC1006),$AM$1006:$BM$1006,0)), HYPERLINK("#",""), HYPERLINK(CONCATENATE("#metadata!", ADDRESS(INDEX($AH$2:$AH$1001,MATCH(ROWS($AF$2:AF797),$AF$2:$AF$1001,0),0), INDEX($AM$1004:$BM$1004,1,MATCH(COLUMNS($AM$1006:BC1006),$AM$1006:$BM$1006,0)))),"Fix")))</f>
        <v xml:space="preserve"> </v>
      </c>
      <c r="S797" s="4" t="str">
        <f ca="1">IF(OR(INDEX($AG$2:$AG$1001,MATCH(ROWS($AF$2:AF797),$AF$2:$AF$1001,0),1)&gt;=100000,INDEX($AM$1005:$BM$1005,1,MATCH(COLUMNS($AM$1006:BD1006),$AM$1006:$BM$1006,0))&gt;=100000), " ",IF(INDEX($AM$2:$BM$1001,MATCH(ROWS($AF$2:AF797),$AF$2:$AF$1001,0),MATCH(COLUMNS($AM$1006:BD1006),$AM$1006:$BM$1006,0)), HYPERLINK("#",""), HYPERLINK(CONCATENATE("#metadata!", ADDRESS(INDEX($AH$2:$AH$1001,MATCH(ROWS($AF$2:AF797),$AF$2:$AF$1001,0),0), INDEX($AM$1004:$BM$1004,1,MATCH(COLUMNS($AM$1006:BD1006),$AM$1006:$BM$1006,0)))),"Fix")))</f>
        <v xml:space="preserve"> </v>
      </c>
      <c r="T797" s="4" t="str">
        <f ca="1">IF(OR(INDEX($AG$2:$AG$1001,MATCH(ROWS($AF$2:AF797),$AF$2:$AF$1001,0),1)&gt;=100000,INDEX($AM$1005:$BM$1005,1,MATCH(COLUMNS($AM$1006:BE1006),$AM$1006:$BM$1006,0))&gt;=100000), " ",IF(INDEX($AM$2:$BM$1001,MATCH(ROWS($AF$2:AF797),$AF$2:$AF$1001,0),MATCH(COLUMNS($AM$1006:BE1006),$AM$1006:$BM$1006,0)), HYPERLINK("#",""), HYPERLINK(CONCATENATE("#metadata!", ADDRESS(INDEX($AH$2:$AH$1001,MATCH(ROWS($AF$2:AF797),$AF$2:$AF$1001,0),0), INDEX($AM$1004:$BM$1004,1,MATCH(COLUMNS($AM$1006:BE1006),$AM$1006:$BM$1006,0)))),"Fix")))</f>
        <v xml:space="preserve"> </v>
      </c>
      <c r="U797" s="4" t="str">
        <f ca="1">IF(OR(INDEX($AG$2:$AG$1001,MATCH(ROWS($AF$2:AF797),$AF$2:$AF$1001,0),1)&gt;=100000,INDEX($AM$1005:$BM$1005,1,MATCH(COLUMNS($AM$1006:BF1006),$AM$1006:$BM$1006,0))&gt;=100000), " ",IF(INDEX($AM$2:$BM$1001,MATCH(ROWS($AF$2:AF797),$AF$2:$AF$1001,0),MATCH(COLUMNS($AM$1006:BF1006),$AM$1006:$BM$1006,0)), HYPERLINK("#",""), HYPERLINK(CONCATENATE("#metadata!", ADDRESS(INDEX($AH$2:$AH$1001,MATCH(ROWS($AF$2:AF797),$AF$2:$AF$1001,0),0), INDEX($AM$1004:$BM$1004,1,MATCH(COLUMNS($AM$1006:BF1006),$AM$1006:$BM$1006,0)))),"Fix")))</f>
        <v xml:space="preserve"> </v>
      </c>
      <c r="V797" s="4" t="str">
        <f ca="1">IF(OR(INDEX($AG$2:$AG$1001,MATCH(ROWS($AF$2:AF797),$AF$2:$AF$1001,0),1)&gt;=100000,INDEX($AM$1005:$BM$1005,1,MATCH(COLUMNS($AM$1006:BG1006),$AM$1006:$BM$1006,0))&gt;=100000), " ",IF(INDEX($AM$2:$BM$1001,MATCH(ROWS($AF$2:AF797),$AF$2:$AF$1001,0),MATCH(COLUMNS($AM$1006:BG1006),$AM$1006:$BM$1006,0)), HYPERLINK("#",""), HYPERLINK(CONCATENATE("#metadata!", ADDRESS(INDEX($AH$2:$AH$1001,MATCH(ROWS($AF$2:AF797),$AF$2:$AF$1001,0),0), INDEX($AM$1004:$BM$1004,1,MATCH(COLUMNS($AM$1006:BG1006),$AM$1006:$BM$1006,0)))),"Fix")))</f>
        <v xml:space="preserve"> </v>
      </c>
      <c r="W797" s="4" t="str">
        <f ca="1">IF(OR(INDEX($AG$2:$AG$1001,MATCH(ROWS($AF$2:AF797),$AF$2:$AF$1001,0),1)&gt;=100000,INDEX($AM$1005:$BM$1005,1,MATCH(COLUMNS($AM$1006:BH1006),$AM$1006:$BM$1006,0))&gt;=100000), " ",IF(INDEX($AM$2:$BM$1001,MATCH(ROWS($AF$2:AF797),$AF$2:$AF$1001,0),MATCH(COLUMNS($AM$1006:BH1006),$AM$1006:$BM$1006,0)), HYPERLINK("#",""), HYPERLINK(CONCATENATE("#metadata!", ADDRESS(INDEX($AH$2:$AH$1001,MATCH(ROWS($AF$2:AF797),$AF$2:$AF$1001,0),0), INDEX($AM$1004:$BM$1004,1,MATCH(COLUMNS($AM$1006:BH1006),$AM$1006:$BM$1006,0)))),"Fix")))</f>
        <v xml:space="preserve"> </v>
      </c>
      <c r="X797" s="4" t="str">
        <f ca="1">IF(OR(INDEX($AG$2:$AG$1001,MATCH(ROWS($AF$2:AF797),$AF$2:$AF$1001,0),1)&gt;=100000,INDEX($AM$1005:$BM$1005,1,MATCH(COLUMNS($AM$1006:BI1006),$AM$1006:$BM$1006,0))&gt;=100000), " ",IF(INDEX($AM$2:$BM$1001,MATCH(ROWS($AF$2:AF797),$AF$2:$AF$1001,0),MATCH(COLUMNS($AM$1006:BI1006),$AM$1006:$BM$1006,0)), HYPERLINK("#",""), HYPERLINK(CONCATENATE("#metadata!", ADDRESS(INDEX($AH$2:$AH$1001,MATCH(ROWS($AF$2:AF797),$AF$2:$AF$1001,0),0), INDEX($AM$1004:$BM$1004,1,MATCH(COLUMNS($AM$1006:BI1006),$AM$1006:$BM$1006,0)))),"Fix")))</f>
        <v xml:space="preserve"> </v>
      </c>
      <c r="Y797" s="4" t="str">
        <f ca="1">IF(OR(INDEX($AG$2:$AG$1001,MATCH(ROWS($AF$2:AF797),$AF$2:$AF$1001,0),1)&gt;=100000,INDEX($AM$1005:$BM$1005,1,MATCH(COLUMNS($AM$1006:BJ1006),$AM$1006:$BM$1006,0))&gt;=100000), " ",IF(INDEX($AM$2:$BM$1001,MATCH(ROWS($AF$2:AF797),$AF$2:$AF$1001,0),MATCH(COLUMNS($AM$1006:BJ1006),$AM$1006:$BM$1006,0)), HYPERLINK("#",""), HYPERLINK(CONCATENATE("#metadata!", ADDRESS(INDEX($AH$2:$AH$1001,MATCH(ROWS($AF$2:AF797),$AF$2:$AF$1001,0),0), INDEX($AM$1004:$BM$1004,1,MATCH(COLUMNS($AM$1006:BJ1006),$AM$1006:$BM$1006,0)))),"Fix")))</f>
        <v xml:space="preserve"> </v>
      </c>
      <c r="Z797" s="4" t="str">
        <f ca="1">IF(OR(INDEX($AG$2:$AG$1001,MATCH(ROWS($AF$2:AF797),$AF$2:$AF$1001,0),1)&gt;=100000,INDEX($AM$1005:$BM$1005,1,MATCH(COLUMNS($AM$1006:BK1006),$AM$1006:$BM$1006,0))&gt;=100000), " ",IF(INDEX($AM$2:$BM$1001,MATCH(ROWS($AF$2:AF797),$AF$2:$AF$1001,0),MATCH(COLUMNS($AM$1006:BK1006),$AM$1006:$BM$1006,0)), HYPERLINK("#",""), HYPERLINK(CONCATENATE("#metadata!", ADDRESS(INDEX($AH$2:$AH$1001,MATCH(ROWS($AF$2:AF797),$AF$2:$AF$1001,0),0), INDEX($AM$1004:$BM$1004,1,MATCH(COLUMNS($AM$1006:BK1006),$AM$1006:$BM$1006,0)))),"Fix")))</f>
        <v xml:space="preserve"> </v>
      </c>
      <c r="AA797" s="4" t="str">
        <f ca="1">IF(OR(INDEX($AG$2:$AG$1001,MATCH(ROWS($AF$2:AF797),$AF$2:$AF$1001,0),1)&gt;=100000,INDEX($AM$1005:$BM$1005,1,MATCH(COLUMNS($AM$1006:BL1006),$AM$1006:$BM$1006,0))&gt;=100000), " ",IF(INDEX($AM$2:$BM$1001,MATCH(ROWS($AF$2:AF797),$AF$2:$AF$1001,0),MATCH(COLUMNS($AM$1006:BL1006),$AM$1006:$BM$1006,0)), HYPERLINK("#",""), HYPERLINK(CONCATENATE("#metadata!", ADDRESS(INDEX($AH$2:$AH$1001,MATCH(ROWS($AF$2:AF797),$AF$2:$AF$1001,0),0), INDEX($AM$1004:$BM$1004,1,MATCH(COLUMNS($AM$1006:BL1006),$AM$1006:$BM$1006,0)))),"Fix")))</f>
        <v xml:space="preserve"> </v>
      </c>
      <c r="AB797" s="4" t="str">
        <f ca="1">IF(OR(INDEX($AG$2:$AG$1001,MATCH(ROWS($AF$2:AF797),$AF$2:$AF$1001,0),1)&gt;=100000,INDEX($AM$1005:$BM$1005,1,MATCH(COLUMNS($AM$1006:BM1006),$AM$1006:$BM$1006,0))&gt;=100000), " ",IF(INDEX($AM$2:$BM$1001,MATCH(ROWS($AF$2:AF797),$AF$2:$AF$1001,0),MATCH(COLUMNS($AM$1006:BM1006),$AM$1006:$BM$1006,0)), HYPERLINK("#",""), HYPERLINK(CONCATENATE("#metadata!", ADDRESS(INDEX($AH$2:$AH$1001,MATCH(ROWS($AF$2:AF797),$AF$2:$AF$1001,0),0), INDEX($AM$1004:$BM$1004,1,MATCH(COLUMNS($AM$1006:BM1006),$AM$1006:$BM$1006,0)))),"Fix")))</f>
        <v xml:space="preserve"> </v>
      </c>
      <c r="AF797">
        <v>796</v>
      </c>
      <c r="AG797">
        <v>100797</v>
      </c>
      <c r="AH797">
        <v>797</v>
      </c>
      <c r="AI797" t="b">
        <f t="shared" si="12"/>
        <v>1</v>
      </c>
      <c r="AJ797" t="b">
        <f>COUNTBLANK(metadata!B797:AB797)=COLUMNS(metadata!B797:AB797)</f>
        <v>1</v>
      </c>
      <c r="AK797" t="str">
        <v/>
      </c>
      <c r="AM797" t="b">
        <f ca="1">AND(IF(metadata!B797="",FALSE,TRUE),COUNTIF(metadata!B:B, metadata!B797) = 1,NOT(ISERROR(SUMPRODUCT(SEARCH(MID(metadata!B797,ROW(INDIRECT("1:"&amp;LEN(metadata!B797))), 1),"0123456789abcdefghijklmnopqrstuvwxyzABCDEFGHIJKLMNOPQRSTUVWXYZ.")))))</f>
        <v>0</v>
      </c>
      <c r="AN797" t="b">
        <f ca="1">OR(AND(IF(metadata!C797="",FALSE,TRUE),OR(EXACT(metadata!C797,"missing: not collected"),EXACT(metadata!C797,"missing: not provided"),EXACT(metadata!C797,"missing: restricted access"))),AND(IF(metadata!C797="",FALSE,TRUE),AND(AND(IFERROR(INT(LEFT(metadata!C797,4))&gt;1900,FALSE),IFERROR(INT(LEFT(metadata!C797,4))&lt;=YEAR(NOW()),FALSE)), OR(MID(metadata!C797,5,1)="", AND(AND(MID(metadata!C797,5,1)="-",IFERROR(INT(MID(metadata!C797,6,1))&gt;=0,FALSE),IFERROR(INT(MID(metadata!C797,6,1))&lt;=1,FALSE),NOT(MID(metadata!C797,7,1)=""),IFERROR(INT(MID(metadata!C797,6,2))&gt;=1,FALSE),IFERROR(INT(MID(metadata!C797,6,2))&lt;=12,FALSE)), OR(MID(metadata!C797,8,1)="", AND(AND(MID(metadata!C797,8,1)="-",IFERROR(INT(MID(metadata!C797,9,1))&gt;=0,FALSE),IFERROR(INT(MID(metadata!C797,9,1))&lt;=3,FALSE),NOT(MID(metadata!C797,10,1)=""),IFERROR(INT(MID(metadata!C797,9,2))&gt;=1,FALSE),IFERROR(INT(MID(metadata!C797,9,2))&lt;=31,FALSE)), OR(MID(metadata!C797,11,1)="", AND(AND(MID(metadata!C797,11,1)=" ",IFERROR(INT(MID(metadata!C797,12,1))&gt;=0,FALSE),IFERROR(INT(MID(metadata!C797,12,1))&lt;=2,FALSE),NOT(MID(metadata!C797,13,1)=""),IFERROR(INT(MID(metadata!C797,12,2))&gt;=0,FALSE),IFERROR(INT(MID(metadata!C797,12,2))&lt;=23,FALSE)), OR(MID(metadata!C797,14,1)="", AND(AND(MID(metadata!C797,14,1)=":",IFERROR(INT(MID(metadata!C797,15,1))&gt;=0,FALSE),IFERROR(INT(MID(metadata!C797,15,1))&lt;=5,FALSE),NOT(MID(metadata!C797,16,1)=""),IFERROR(INT(MID(metadata!C797,15,2))&gt;=0,FALSE),IFERROR(INT(MID(metadata!C797,15,2))&lt;=59,FALSE)), OR(MID(metadata!C797,17,1)="", AND(AND(MID(metadata!C797,17,1)=":",IFERROR(INT(MID(metadata!C797,18,1))&gt;=0,FALSE),IFERROR(INT(MID(metadata!C797,18,1))&lt;=5,FALSE),NOT(MID(metadata!C797,19,1)=""),IFERROR(INT(MID(metadata!C797,18,2))&gt;=0,FALSE),IFERROR(INT(MID(metadata!C797,18,2))&lt;=59,FALSE)), LEN(metadata!C797)&lt;=19)))))))))))))</f>
        <v>0</v>
      </c>
      <c r="AO797" t="b">
        <f>AND(IF(metadata!D797="",FALSE,TRUE),EXACT(metadata!D797,"Not applicable"))</f>
        <v>0</v>
      </c>
      <c r="AP797" t="b">
        <f>IF(metadata!E797="",FALSE,TRUE)</f>
        <v>0</v>
      </c>
      <c r="AQ797" t="b">
        <f>OR(AND(IF(metadata!F797="",FALSE,TRUE),OR(EXACT(metadata!F797,"missing: not collected"),EXACT(metadata!F797,"missing: not provided"))),AND(IF(metadata!F797="",FALSE,TRUE),OR(EXACT(metadata!F797,"TRUE"),EXACT(metadata!F797,"FALSE"))))</f>
        <v>0</v>
      </c>
      <c r="AR797" t="b">
        <f>OR(AND(IF(metadata!G797="",FALSE,TRUE),OR(EXACT(metadata!G797,"missing: not collected"),EXACT(metadata!G797,"missing: not provided"),EXACT(metadata!G797,"missing: restricted access"))),AND(IF(metadata!G797="",FALSE,ISNUMBER(VALUE(metadata!G797))),metadata!G797&gt;=-413))</f>
        <v>0</v>
      </c>
      <c r="AS797" t="b">
        <f>AND(IF(metadata!H797="",FALSE,TRUE),EXACT(metadata!H797,"meters"))</f>
        <v>0</v>
      </c>
      <c r="AT797" t="b">
        <f>AND(IF(metadata!I797="",FALSE,TRUE),OR(EXACT(metadata!I797,"Host-associated"),EXACT(metadata!I797,"Free-living")))</f>
        <v>0</v>
      </c>
      <c r="AU797" t="b">
        <f>AND(IF(metadata!J797="",FALSE,TRUE),OR(EXACT(metadata!J797,"Animal"),EXACT(metadata!J797,"Fungus"),EXACT(metadata!J797,"Plant"),EXACT(metadata!J797,"Saline"),EXACT(metadata!J797,"Non-saline")))</f>
        <v>0</v>
      </c>
      <c r="AV797" t="b">
        <f>AND(IF(metadata!K797="",FALSE,TRUE),OR(EXACT(metadata!K797,"Plant secretion"),EXACT(metadata!K797,"Plant rhizosphere"),EXACT(metadata!K797,"Plant surface"),EXACT(metadata!K797,"Plant corpus"),EXACT(metadata!K797,"Fungus surface"),EXACT(metadata!K797,"Fungus corpus"),EXACT(metadata!K797,"Animal surface"),EXACT(metadata!K797,"Animal proximal gut"),EXACT(metadata!K797,"Animal corpus"),EXACT(metadata!K797,"Animal distal gut"),EXACT(metadata!K797,"Animal secretion"),EXACT(metadata!K797,"Sub-surface (non-saline)"),EXACT(metadata!K797,"Surface (non-saline)"),EXACT(metadata!K797,"Water (non-saline)"),EXACT(metadata!K797,"Soil (non-saline)"),EXACT(metadata!K797,"Aerosol (non-saline)"),EXACT(metadata!K797,"Sediment (non-saline)"),EXACT(metadata!K797,"Surface (saline)"),EXACT(metadata!K797,"Water (saline)"),EXACT(metadata!K797,"Hypersaline (saline)"),EXACT(metadata!K797,"Aerosol (saline)"),EXACT(metadata!K797,"Sediment (saline)")))</f>
        <v>0</v>
      </c>
      <c r="AW797" t="b">
        <f>IF(metadata!L797="",FALSE,TRUE)</f>
        <v>0</v>
      </c>
      <c r="AX797" t="b">
        <f>IF(metadata!M797="",FALSE,TRUE)</f>
        <v>0</v>
      </c>
      <c r="AY797" t="b">
        <f>IF(metadata!N797="",FALSE,TRUE)</f>
        <v>0</v>
      </c>
      <c r="AZ797" t="b">
        <f>OR(AND(IF(metadata!O797="",FALSE,TRUE),OR(EXACT(metadata!O797,"missing: not collected"),EXACT(metadata!O797,"missing: not provided"),EXACT(metadata!O797,"missing: restricted access"))),AND(IF(metadata!O797="",FALSE,TRUE),OR(EXACT(metadata!O797,"air"),EXACT(metadata!O797,"built environment"),EXACT(metadata!O797,"host-associated"),EXACT(metadata!O797,"human-associated"),EXACT(metadata!O797,"human-skin"),EXACT(metadata!O797,"human-oral"),EXACT(metadata!O797,"human-gut"),EXACT(metadata!O797,"human-vaginal"),EXACT(metadata!O797,"microbial mat/biofilm"),EXACT(metadata!O797,"misc environment"),EXACT(metadata!O797,"plant-associated"),EXACT(metadata!O797,"sediment"),EXACT(metadata!O797,"soil"),EXACT(metadata!O797,"wastewater/sludge"),EXACT(metadata!O797,"water"))))</f>
        <v>0</v>
      </c>
      <c r="BA797" t="b">
        <f>IF(metadata!P797="",FALSE,TRUE)</f>
        <v>0</v>
      </c>
      <c r="BB797" t="b">
        <f>IF(metadata!Q797="",FALSE,TRUE)</f>
        <v>0</v>
      </c>
      <c r="BC797" t="b">
        <f>OR(AND(IF(metadata!R797="",FALSE,TRUE),OR(EXACT(metadata!R797,"missing: not collected"),EXACT(metadata!R797,"missing: not provided"),EXACT(metadata!R797,"missing: restricted access"))),AND(IF(metadata!R797="",FALSE,ISNUMBER(VALUE(metadata!R797))),metadata!R797&gt;=-90,metadata!R797&lt;=90))</f>
        <v>0</v>
      </c>
      <c r="BD797" t="b">
        <f>AND(IF(metadata!S797="",FALSE,TRUE),EXACT(metadata!S797,"Decimal degrees"))</f>
        <v>0</v>
      </c>
      <c r="BE797" t="b">
        <f>OR(AND(IF(metadata!T797="",FALSE,TRUE),OR(EXACT(metadata!T797,"missing: not collected"),EXACT(metadata!T797,"missing: not provided"),EXACT(metadata!T797,"missing: restricted access"))),AND(IF(metadata!T797="",FALSE,ISNUMBER(VALUE(metadata!T797))),metadata!T797&gt;=-180,metadata!T797&lt;=180))</f>
        <v>0</v>
      </c>
      <c r="BF797" t="b">
        <f>AND(IF(metadata!U797="",FALSE,TRUE),EXACT(metadata!U797,"Decimal degrees"))</f>
        <v>0</v>
      </c>
      <c r="BG797" t="b">
        <f>IF(metadata!V797="",FALSE,TRUE)</f>
        <v>0</v>
      </c>
      <c r="BH797" t="b">
        <f>OR(AND(IF(metadata!W797="",FALSE,TRUE),OR(EXACT(metadata!W797,"missing: not collected"),EXACT(metadata!W797,"missing: not provided"),EXACT(metadata!W797,"missing: restricted access"))),AND(IF(metadata!W797="",FALSE,TRUE),OR(EXACT(metadata!W797,"TRUE"),EXACT(metadata!W797,"FALSE"))))</f>
        <v>0</v>
      </c>
      <c r="BI797" t="b">
        <f>AND(IF(metadata!X797="",FALSE,TRUE),EXACT(metadata!X797,"other"))</f>
        <v>0</v>
      </c>
      <c r="BJ797" t="b">
        <f>IF(metadata!Y797="",FALSE,TRUE)</f>
        <v>0</v>
      </c>
      <c r="BK797" t="b">
        <f>OR(AND(IF(metadata!Z797="",FALSE,TRUE),OR(EXACT(metadata!Z797,"missing: not collected"),EXACT(metadata!Z797,"missing: not provided"))),AND(IF(metadata!Z797="",FALSE,IF(ISERROR(INT(metadata!Z797)),FALSE,INT(metadata!Z797)=metadata!Z797)),metadata!Z797&gt;0))</f>
        <v>0</v>
      </c>
      <c r="BL797" t="b">
        <f>AND(IF(metadata!AA797="",FALSE,TRUE),EXACT(metadata!AA797,"Not applicable"))</f>
        <v>0</v>
      </c>
      <c r="BM797" t="b">
        <f>IF(metadata!AB797="",FALSE,TRUE)</f>
        <v>0</v>
      </c>
    </row>
    <row r="798" spans="1:65" x14ac:dyDescent="0.2">
      <c r="A798" s="5" t="str">
        <f ca="1">IF(B798=" "," ",HYPERLINK(CONCATENATE("#metadata!",ADDRESS(INDEX($AH$2:$AH$1001,MATCH(ROWS($AF$2:AF798),$AF$2:$AF$1001,0),0),1)),INDEX($AK$2:$AK$1001,MATCH(ROWS($AF$2:AF798),$AF$2:$AF$1001,0),0)))</f>
        <v xml:space="preserve"> </v>
      </c>
      <c r="B798" s="4" t="str">
        <f ca="1">IF(OR(INDEX($AG$2:$AG$1001,MATCH(ROWS($AF$2:AF798),$AF$2:$AF$1001,0),1)&gt;=100000,INDEX($AM$1005:$BM$1005,1,MATCH(COLUMNS($AM$1006:AM1006),$AM$1006:$BM$1006,0))&gt;=100000), " ",IF(INDEX($AM$2:$BM$1001,MATCH(ROWS($AF$2:AF798),$AF$2:$AF$1001,0),MATCH(COLUMNS($AM$1006:AM1006),$AM$1006:$BM$1006,0)), HYPERLINK("#",""), HYPERLINK(CONCATENATE("#metadata!", ADDRESS(INDEX($AH$2:$AH$1001,MATCH(ROWS($AF$2:AF798),$AF$2:$AF$1001,0),0), INDEX($AM$1004:$BM$1004,1,MATCH(COLUMNS($AM$1006:AM1006),$AM$1006:$BM$1006,0)))),"Fix")))</f>
        <v xml:space="preserve"> </v>
      </c>
      <c r="C798" s="4" t="str">
        <f ca="1">IF(OR(INDEX($AG$2:$AG$1001,MATCH(ROWS($AF$2:AF798),$AF$2:$AF$1001,0),1)&gt;=100000,INDEX($AM$1005:$BM$1005,1,MATCH(COLUMNS($AM$1006:AN1006),$AM$1006:$BM$1006,0))&gt;=100000), " ",IF(INDEX($AM$2:$BM$1001,MATCH(ROWS($AF$2:AF798),$AF$2:$AF$1001,0),MATCH(COLUMNS($AM$1006:AN1006),$AM$1006:$BM$1006,0)), HYPERLINK("#",""), HYPERLINK(CONCATENATE("#metadata!", ADDRESS(INDEX($AH$2:$AH$1001,MATCH(ROWS($AF$2:AF798),$AF$2:$AF$1001,0),0), INDEX($AM$1004:$BM$1004,1,MATCH(COLUMNS($AM$1006:AN1006),$AM$1006:$BM$1006,0)))),"Fix")))</f>
        <v xml:space="preserve"> </v>
      </c>
      <c r="D798" s="4" t="str">
        <f ca="1">IF(OR(INDEX($AG$2:$AG$1001,MATCH(ROWS($AF$2:AF798),$AF$2:$AF$1001,0),1)&gt;=100000,INDEX($AM$1005:$BM$1005,1,MATCH(COLUMNS($AM$1006:AO1006),$AM$1006:$BM$1006,0))&gt;=100000), " ",IF(INDEX($AM$2:$BM$1001,MATCH(ROWS($AF$2:AF798),$AF$2:$AF$1001,0),MATCH(COLUMNS($AM$1006:AO1006),$AM$1006:$BM$1006,0)), HYPERLINK("#",""), HYPERLINK(CONCATENATE("#metadata!", ADDRESS(INDEX($AH$2:$AH$1001,MATCH(ROWS($AF$2:AF798),$AF$2:$AF$1001,0),0), INDEX($AM$1004:$BM$1004,1,MATCH(COLUMNS($AM$1006:AO1006),$AM$1006:$BM$1006,0)))),"Fix")))</f>
        <v xml:space="preserve"> </v>
      </c>
      <c r="E798" s="4" t="str">
        <f ca="1">IF(OR(INDEX($AG$2:$AG$1001,MATCH(ROWS($AF$2:AF798),$AF$2:$AF$1001,0),1)&gt;=100000,INDEX($AM$1005:$BM$1005,1,MATCH(COLUMNS($AM$1006:AP1006),$AM$1006:$BM$1006,0))&gt;=100000), " ",IF(INDEX($AM$2:$BM$1001,MATCH(ROWS($AF$2:AF798),$AF$2:$AF$1001,0),MATCH(COLUMNS($AM$1006:AP1006),$AM$1006:$BM$1006,0)), HYPERLINK("#",""), HYPERLINK(CONCATENATE("#metadata!", ADDRESS(INDEX($AH$2:$AH$1001,MATCH(ROWS($AF$2:AF798),$AF$2:$AF$1001,0),0), INDEX($AM$1004:$BM$1004,1,MATCH(COLUMNS($AM$1006:AP1006),$AM$1006:$BM$1006,0)))),"Fix")))</f>
        <v xml:space="preserve"> </v>
      </c>
      <c r="F798" s="4" t="str">
        <f ca="1">IF(OR(INDEX($AG$2:$AG$1001,MATCH(ROWS($AF$2:AF798),$AF$2:$AF$1001,0),1)&gt;=100000,INDEX($AM$1005:$BM$1005,1,MATCH(COLUMNS($AM$1006:AQ1006),$AM$1006:$BM$1006,0))&gt;=100000), " ",IF(INDEX($AM$2:$BM$1001,MATCH(ROWS($AF$2:AF798),$AF$2:$AF$1001,0),MATCH(COLUMNS($AM$1006:AQ1006),$AM$1006:$BM$1006,0)), HYPERLINK("#",""), HYPERLINK(CONCATENATE("#metadata!", ADDRESS(INDEX($AH$2:$AH$1001,MATCH(ROWS($AF$2:AF798),$AF$2:$AF$1001,0),0), INDEX($AM$1004:$BM$1004,1,MATCH(COLUMNS($AM$1006:AQ1006),$AM$1006:$BM$1006,0)))),"Fix")))</f>
        <v xml:space="preserve"> </v>
      </c>
      <c r="G798" s="4" t="str">
        <f ca="1">IF(OR(INDEX($AG$2:$AG$1001,MATCH(ROWS($AF$2:AF798),$AF$2:$AF$1001,0),1)&gt;=100000,INDEX($AM$1005:$BM$1005,1,MATCH(COLUMNS($AM$1006:AR1006),$AM$1006:$BM$1006,0))&gt;=100000), " ",IF(INDEX($AM$2:$BM$1001,MATCH(ROWS($AF$2:AF798),$AF$2:$AF$1001,0),MATCH(COLUMNS($AM$1006:AR1006),$AM$1006:$BM$1006,0)), HYPERLINK("#",""), HYPERLINK(CONCATENATE("#metadata!", ADDRESS(INDEX($AH$2:$AH$1001,MATCH(ROWS($AF$2:AF798),$AF$2:$AF$1001,0),0), INDEX($AM$1004:$BM$1004,1,MATCH(COLUMNS($AM$1006:AR1006),$AM$1006:$BM$1006,0)))),"Fix")))</f>
        <v xml:space="preserve"> </v>
      </c>
      <c r="H798" s="4" t="str">
        <f ca="1">IF(OR(INDEX($AG$2:$AG$1001,MATCH(ROWS($AF$2:AF798),$AF$2:$AF$1001,0),1)&gt;=100000,INDEX($AM$1005:$BM$1005,1,MATCH(COLUMNS($AM$1006:AS1006),$AM$1006:$BM$1006,0))&gt;=100000), " ",IF(INDEX($AM$2:$BM$1001,MATCH(ROWS($AF$2:AF798),$AF$2:$AF$1001,0),MATCH(COLUMNS($AM$1006:AS1006),$AM$1006:$BM$1006,0)), HYPERLINK("#",""), HYPERLINK(CONCATENATE("#metadata!", ADDRESS(INDEX($AH$2:$AH$1001,MATCH(ROWS($AF$2:AF798),$AF$2:$AF$1001,0),0), INDEX($AM$1004:$BM$1004,1,MATCH(COLUMNS($AM$1006:AS1006),$AM$1006:$BM$1006,0)))),"Fix")))</f>
        <v xml:space="preserve"> </v>
      </c>
      <c r="I798" s="4" t="str">
        <f ca="1">IF(OR(INDEX($AG$2:$AG$1001,MATCH(ROWS($AF$2:AF798),$AF$2:$AF$1001,0),1)&gt;=100000,INDEX($AM$1005:$BM$1005,1,MATCH(COLUMNS($AM$1006:AT1006),$AM$1006:$BM$1006,0))&gt;=100000), " ",IF(INDEX($AM$2:$BM$1001,MATCH(ROWS($AF$2:AF798),$AF$2:$AF$1001,0),MATCH(COLUMNS($AM$1006:AT1006),$AM$1006:$BM$1006,0)), HYPERLINK("#",""), HYPERLINK(CONCATENATE("#metadata!", ADDRESS(INDEX($AH$2:$AH$1001,MATCH(ROWS($AF$2:AF798),$AF$2:$AF$1001,0),0), INDEX($AM$1004:$BM$1004,1,MATCH(COLUMNS($AM$1006:AT1006),$AM$1006:$BM$1006,0)))),"Fix")))</f>
        <v xml:space="preserve"> </v>
      </c>
      <c r="J798" s="4" t="str">
        <f ca="1">IF(OR(INDEX($AG$2:$AG$1001,MATCH(ROWS($AF$2:AF798),$AF$2:$AF$1001,0),1)&gt;=100000,INDEX($AM$1005:$BM$1005,1,MATCH(COLUMNS($AM$1006:AU1006),$AM$1006:$BM$1006,0))&gt;=100000), " ",IF(INDEX($AM$2:$BM$1001,MATCH(ROWS($AF$2:AF798),$AF$2:$AF$1001,0),MATCH(COLUMNS($AM$1006:AU1006),$AM$1006:$BM$1006,0)), HYPERLINK("#",""), HYPERLINK(CONCATENATE("#metadata!", ADDRESS(INDEX($AH$2:$AH$1001,MATCH(ROWS($AF$2:AF798),$AF$2:$AF$1001,0),0), INDEX($AM$1004:$BM$1004,1,MATCH(COLUMNS($AM$1006:AU1006),$AM$1006:$BM$1006,0)))),"Fix")))</f>
        <v xml:space="preserve"> </v>
      </c>
      <c r="K798" s="4" t="str">
        <f ca="1">IF(OR(INDEX($AG$2:$AG$1001,MATCH(ROWS($AF$2:AF798),$AF$2:$AF$1001,0),1)&gt;=100000,INDEX($AM$1005:$BM$1005,1,MATCH(COLUMNS($AM$1006:AV1006),$AM$1006:$BM$1006,0))&gt;=100000), " ",IF(INDEX($AM$2:$BM$1001,MATCH(ROWS($AF$2:AF798),$AF$2:$AF$1001,0),MATCH(COLUMNS($AM$1006:AV1006),$AM$1006:$BM$1006,0)), HYPERLINK("#",""), HYPERLINK(CONCATENATE("#metadata!", ADDRESS(INDEX($AH$2:$AH$1001,MATCH(ROWS($AF$2:AF798),$AF$2:$AF$1001,0),0), INDEX($AM$1004:$BM$1004,1,MATCH(COLUMNS($AM$1006:AV1006),$AM$1006:$BM$1006,0)))),"Fix")))</f>
        <v xml:space="preserve"> </v>
      </c>
      <c r="L798" s="4" t="str">
        <f ca="1">IF(OR(INDEX($AG$2:$AG$1001,MATCH(ROWS($AF$2:AF798),$AF$2:$AF$1001,0),1)&gt;=100000,INDEX($AM$1005:$BM$1005,1,MATCH(COLUMNS($AM$1006:AW1006),$AM$1006:$BM$1006,0))&gt;=100000), " ",IF(INDEX($AM$2:$BM$1001,MATCH(ROWS($AF$2:AF798),$AF$2:$AF$1001,0),MATCH(COLUMNS($AM$1006:AW1006),$AM$1006:$BM$1006,0)), HYPERLINK("#",""), HYPERLINK(CONCATENATE("#metadata!", ADDRESS(INDEX($AH$2:$AH$1001,MATCH(ROWS($AF$2:AF798),$AF$2:$AF$1001,0),0), INDEX($AM$1004:$BM$1004,1,MATCH(COLUMNS($AM$1006:AW1006),$AM$1006:$BM$1006,0)))),"Fix")))</f>
        <v xml:space="preserve"> </v>
      </c>
      <c r="M798" s="4" t="str">
        <f ca="1">IF(OR(INDEX($AG$2:$AG$1001,MATCH(ROWS($AF$2:AF798),$AF$2:$AF$1001,0),1)&gt;=100000,INDEX($AM$1005:$BM$1005,1,MATCH(COLUMNS($AM$1006:AX1006),$AM$1006:$BM$1006,0))&gt;=100000), " ",IF(INDEX($AM$2:$BM$1001,MATCH(ROWS($AF$2:AF798),$AF$2:$AF$1001,0),MATCH(COLUMNS($AM$1006:AX1006),$AM$1006:$BM$1006,0)), HYPERLINK("#",""), HYPERLINK(CONCATENATE("#metadata!", ADDRESS(INDEX($AH$2:$AH$1001,MATCH(ROWS($AF$2:AF798),$AF$2:$AF$1001,0),0), INDEX($AM$1004:$BM$1004,1,MATCH(COLUMNS($AM$1006:AX1006),$AM$1006:$BM$1006,0)))),"Fix")))</f>
        <v xml:space="preserve"> </v>
      </c>
      <c r="N798" s="4" t="str">
        <f ca="1">IF(OR(INDEX($AG$2:$AG$1001,MATCH(ROWS($AF$2:AF798),$AF$2:$AF$1001,0),1)&gt;=100000,INDEX($AM$1005:$BM$1005,1,MATCH(COLUMNS($AM$1006:AY1006),$AM$1006:$BM$1006,0))&gt;=100000), " ",IF(INDEX($AM$2:$BM$1001,MATCH(ROWS($AF$2:AF798),$AF$2:$AF$1001,0),MATCH(COLUMNS($AM$1006:AY1006),$AM$1006:$BM$1006,0)), HYPERLINK("#",""), HYPERLINK(CONCATENATE("#metadata!", ADDRESS(INDEX($AH$2:$AH$1001,MATCH(ROWS($AF$2:AF798),$AF$2:$AF$1001,0),0), INDEX($AM$1004:$BM$1004,1,MATCH(COLUMNS($AM$1006:AY1006),$AM$1006:$BM$1006,0)))),"Fix")))</f>
        <v xml:space="preserve"> </v>
      </c>
      <c r="O798" s="4" t="str">
        <f ca="1">IF(OR(INDEX($AG$2:$AG$1001,MATCH(ROWS($AF$2:AF798),$AF$2:$AF$1001,0),1)&gt;=100000,INDEX($AM$1005:$BM$1005,1,MATCH(COLUMNS($AM$1006:AZ1006),$AM$1006:$BM$1006,0))&gt;=100000), " ",IF(INDEX($AM$2:$BM$1001,MATCH(ROWS($AF$2:AF798),$AF$2:$AF$1001,0),MATCH(COLUMNS($AM$1006:AZ1006),$AM$1006:$BM$1006,0)), HYPERLINK("#",""), HYPERLINK(CONCATENATE("#metadata!", ADDRESS(INDEX($AH$2:$AH$1001,MATCH(ROWS($AF$2:AF798),$AF$2:$AF$1001,0),0), INDEX($AM$1004:$BM$1004,1,MATCH(COLUMNS($AM$1006:AZ1006),$AM$1006:$BM$1006,0)))),"Fix")))</f>
        <v xml:space="preserve"> </v>
      </c>
      <c r="P798" s="4" t="str">
        <f ca="1">IF(OR(INDEX($AG$2:$AG$1001,MATCH(ROWS($AF$2:AF798),$AF$2:$AF$1001,0),1)&gt;=100000,INDEX($AM$1005:$BM$1005,1,MATCH(COLUMNS($AM$1006:BA1006),$AM$1006:$BM$1006,0))&gt;=100000), " ",IF(INDEX($AM$2:$BM$1001,MATCH(ROWS($AF$2:AF798),$AF$2:$AF$1001,0),MATCH(COLUMNS($AM$1006:BA1006),$AM$1006:$BM$1006,0)), HYPERLINK("#",""), HYPERLINK(CONCATENATE("#metadata!", ADDRESS(INDEX($AH$2:$AH$1001,MATCH(ROWS($AF$2:AF798),$AF$2:$AF$1001,0),0), INDEX($AM$1004:$BM$1004,1,MATCH(COLUMNS($AM$1006:BA1006),$AM$1006:$BM$1006,0)))),"Fix")))</f>
        <v xml:space="preserve"> </v>
      </c>
      <c r="Q798" s="4" t="str">
        <f ca="1">IF(OR(INDEX($AG$2:$AG$1001,MATCH(ROWS($AF$2:AF798),$AF$2:$AF$1001,0),1)&gt;=100000,INDEX($AM$1005:$BM$1005,1,MATCH(COLUMNS($AM$1006:BB1006),$AM$1006:$BM$1006,0))&gt;=100000), " ",IF(INDEX($AM$2:$BM$1001,MATCH(ROWS($AF$2:AF798),$AF$2:$AF$1001,0),MATCH(COLUMNS($AM$1006:BB1006),$AM$1006:$BM$1006,0)), HYPERLINK("#",""), HYPERLINK(CONCATENATE("#metadata!", ADDRESS(INDEX($AH$2:$AH$1001,MATCH(ROWS($AF$2:AF798),$AF$2:$AF$1001,0),0), INDEX($AM$1004:$BM$1004,1,MATCH(COLUMNS($AM$1006:BB1006),$AM$1006:$BM$1006,0)))),"Fix")))</f>
        <v xml:space="preserve"> </v>
      </c>
      <c r="R798" s="4" t="str">
        <f ca="1">IF(OR(INDEX($AG$2:$AG$1001,MATCH(ROWS($AF$2:AF798),$AF$2:$AF$1001,0),1)&gt;=100000,INDEX($AM$1005:$BM$1005,1,MATCH(COLUMNS($AM$1006:BC1006),$AM$1006:$BM$1006,0))&gt;=100000), " ",IF(INDEX($AM$2:$BM$1001,MATCH(ROWS($AF$2:AF798),$AF$2:$AF$1001,0),MATCH(COLUMNS($AM$1006:BC1006),$AM$1006:$BM$1006,0)), HYPERLINK("#",""), HYPERLINK(CONCATENATE("#metadata!", ADDRESS(INDEX($AH$2:$AH$1001,MATCH(ROWS($AF$2:AF798),$AF$2:$AF$1001,0),0), INDEX($AM$1004:$BM$1004,1,MATCH(COLUMNS($AM$1006:BC1006),$AM$1006:$BM$1006,0)))),"Fix")))</f>
        <v xml:space="preserve"> </v>
      </c>
      <c r="S798" s="4" t="str">
        <f ca="1">IF(OR(INDEX($AG$2:$AG$1001,MATCH(ROWS($AF$2:AF798),$AF$2:$AF$1001,0),1)&gt;=100000,INDEX($AM$1005:$BM$1005,1,MATCH(COLUMNS($AM$1006:BD1006),$AM$1006:$BM$1006,0))&gt;=100000), " ",IF(INDEX($AM$2:$BM$1001,MATCH(ROWS($AF$2:AF798),$AF$2:$AF$1001,0),MATCH(COLUMNS($AM$1006:BD1006),$AM$1006:$BM$1006,0)), HYPERLINK("#",""), HYPERLINK(CONCATENATE("#metadata!", ADDRESS(INDEX($AH$2:$AH$1001,MATCH(ROWS($AF$2:AF798),$AF$2:$AF$1001,0),0), INDEX($AM$1004:$BM$1004,1,MATCH(COLUMNS($AM$1006:BD1006),$AM$1006:$BM$1006,0)))),"Fix")))</f>
        <v xml:space="preserve"> </v>
      </c>
      <c r="T798" s="4" t="str">
        <f ca="1">IF(OR(INDEX($AG$2:$AG$1001,MATCH(ROWS($AF$2:AF798),$AF$2:$AF$1001,0),1)&gt;=100000,INDEX($AM$1005:$BM$1005,1,MATCH(COLUMNS($AM$1006:BE1006),$AM$1006:$BM$1006,0))&gt;=100000), " ",IF(INDEX($AM$2:$BM$1001,MATCH(ROWS($AF$2:AF798),$AF$2:$AF$1001,0),MATCH(COLUMNS($AM$1006:BE1006),$AM$1006:$BM$1006,0)), HYPERLINK("#",""), HYPERLINK(CONCATENATE("#metadata!", ADDRESS(INDEX($AH$2:$AH$1001,MATCH(ROWS($AF$2:AF798),$AF$2:$AF$1001,0),0), INDEX($AM$1004:$BM$1004,1,MATCH(COLUMNS($AM$1006:BE1006),$AM$1006:$BM$1006,0)))),"Fix")))</f>
        <v xml:space="preserve"> </v>
      </c>
      <c r="U798" s="4" t="str">
        <f ca="1">IF(OR(INDEX($AG$2:$AG$1001,MATCH(ROWS($AF$2:AF798),$AF$2:$AF$1001,0),1)&gt;=100000,INDEX($AM$1005:$BM$1005,1,MATCH(COLUMNS($AM$1006:BF1006),$AM$1006:$BM$1006,0))&gt;=100000), " ",IF(INDEX($AM$2:$BM$1001,MATCH(ROWS($AF$2:AF798),$AF$2:$AF$1001,0),MATCH(COLUMNS($AM$1006:BF1006),$AM$1006:$BM$1006,0)), HYPERLINK("#",""), HYPERLINK(CONCATENATE("#metadata!", ADDRESS(INDEX($AH$2:$AH$1001,MATCH(ROWS($AF$2:AF798),$AF$2:$AF$1001,0),0), INDEX($AM$1004:$BM$1004,1,MATCH(COLUMNS($AM$1006:BF1006),$AM$1006:$BM$1006,0)))),"Fix")))</f>
        <v xml:space="preserve"> </v>
      </c>
      <c r="V798" s="4" t="str">
        <f ca="1">IF(OR(INDEX($AG$2:$AG$1001,MATCH(ROWS($AF$2:AF798),$AF$2:$AF$1001,0),1)&gt;=100000,INDEX($AM$1005:$BM$1005,1,MATCH(COLUMNS($AM$1006:BG1006),$AM$1006:$BM$1006,0))&gt;=100000), " ",IF(INDEX($AM$2:$BM$1001,MATCH(ROWS($AF$2:AF798),$AF$2:$AF$1001,0),MATCH(COLUMNS($AM$1006:BG1006),$AM$1006:$BM$1006,0)), HYPERLINK("#",""), HYPERLINK(CONCATENATE("#metadata!", ADDRESS(INDEX($AH$2:$AH$1001,MATCH(ROWS($AF$2:AF798),$AF$2:$AF$1001,0),0), INDEX($AM$1004:$BM$1004,1,MATCH(COLUMNS($AM$1006:BG1006),$AM$1006:$BM$1006,0)))),"Fix")))</f>
        <v xml:space="preserve"> </v>
      </c>
      <c r="W798" s="4" t="str">
        <f ca="1">IF(OR(INDEX($AG$2:$AG$1001,MATCH(ROWS($AF$2:AF798),$AF$2:$AF$1001,0),1)&gt;=100000,INDEX($AM$1005:$BM$1005,1,MATCH(COLUMNS($AM$1006:BH1006),$AM$1006:$BM$1006,0))&gt;=100000), " ",IF(INDEX($AM$2:$BM$1001,MATCH(ROWS($AF$2:AF798),$AF$2:$AF$1001,0),MATCH(COLUMNS($AM$1006:BH1006),$AM$1006:$BM$1006,0)), HYPERLINK("#",""), HYPERLINK(CONCATENATE("#metadata!", ADDRESS(INDEX($AH$2:$AH$1001,MATCH(ROWS($AF$2:AF798),$AF$2:$AF$1001,0),0), INDEX($AM$1004:$BM$1004,1,MATCH(COLUMNS($AM$1006:BH1006),$AM$1006:$BM$1006,0)))),"Fix")))</f>
        <v xml:space="preserve"> </v>
      </c>
      <c r="X798" s="4" t="str">
        <f ca="1">IF(OR(INDEX($AG$2:$AG$1001,MATCH(ROWS($AF$2:AF798),$AF$2:$AF$1001,0),1)&gt;=100000,INDEX($AM$1005:$BM$1005,1,MATCH(COLUMNS($AM$1006:BI1006),$AM$1006:$BM$1006,0))&gt;=100000), " ",IF(INDEX($AM$2:$BM$1001,MATCH(ROWS($AF$2:AF798),$AF$2:$AF$1001,0),MATCH(COLUMNS($AM$1006:BI1006),$AM$1006:$BM$1006,0)), HYPERLINK("#",""), HYPERLINK(CONCATENATE("#metadata!", ADDRESS(INDEX($AH$2:$AH$1001,MATCH(ROWS($AF$2:AF798),$AF$2:$AF$1001,0),0), INDEX($AM$1004:$BM$1004,1,MATCH(COLUMNS($AM$1006:BI1006),$AM$1006:$BM$1006,0)))),"Fix")))</f>
        <v xml:space="preserve"> </v>
      </c>
      <c r="Y798" s="4" t="str">
        <f ca="1">IF(OR(INDEX($AG$2:$AG$1001,MATCH(ROWS($AF$2:AF798),$AF$2:$AF$1001,0),1)&gt;=100000,INDEX($AM$1005:$BM$1005,1,MATCH(COLUMNS($AM$1006:BJ1006),$AM$1006:$BM$1006,0))&gt;=100000), " ",IF(INDEX($AM$2:$BM$1001,MATCH(ROWS($AF$2:AF798),$AF$2:$AF$1001,0),MATCH(COLUMNS($AM$1006:BJ1006),$AM$1006:$BM$1006,0)), HYPERLINK("#",""), HYPERLINK(CONCATENATE("#metadata!", ADDRESS(INDEX($AH$2:$AH$1001,MATCH(ROWS($AF$2:AF798),$AF$2:$AF$1001,0),0), INDEX($AM$1004:$BM$1004,1,MATCH(COLUMNS($AM$1006:BJ1006),$AM$1006:$BM$1006,0)))),"Fix")))</f>
        <v xml:space="preserve"> </v>
      </c>
      <c r="Z798" s="4" t="str">
        <f ca="1">IF(OR(INDEX($AG$2:$AG$1001,MATCH(ROWS($AF$2:AF798),$AF$2:$AF$1001,0),1)&gt;=100000,INDEX($AM$1005:$BM$1005,1,MATCH(COLUMNS($AM$1006:BK1006),$AM$1006:$BM$1006,0))&gt;=100000), " ",IF(INDEX($AM$2:$BM$1001,MATCH(ROWS($AF$2:AF798),$AF$2:$AF$1001,0),MATCH(COLUMNS($AM$1006:BK1006),$AM$1006:$BM$1006,0)), HYPERLINK("#",""), HYPERLINK(CONCATENATE("#metadata!", ADDRESS(INDEX($AH$2:$AH$1001,MATCH(ROWS($AF$2:AF798),$AF$2:$AF$1001,0),0), INDEX($AM$1004:$BM$1004,1,MATCH(COLUMNS($AM$1006:BK1006),$AM$1006:$BM$1006,0)))),"Fix")))</f>
        <v xml:space="preserve"> </v>
      </c>
      <c r="AA798" s="4" t="str">
        <f ca="1">IF(OR(INDEX($AG$2:$AG$1001,MATCH(ROWS($AF$2:AF798),$AF$2:$AF$1001,0),1)&gt;=100000,INDEX($AM$1005:$BM$1005,1,MATCH(COLUMNS($AM$1006:BL1006),$AM$1006:$BM$1006,0))&gt;=100000), " ",IF(INDEX($AM$2:$BM$1001,MATCH(ROWS($AF$2:AF798),$AF$2:$AF$1001,0),MATCH(COLUMNS($AM$1006:BL1006),$AM$1006:$BM$1006,0)), HYPERLINK("#",""), HYPERLINK(CONCATENATE("#metadata!", ADDRESS(INDEX($AH$2:$AH$1001,MATCH(ROWS($AF$2:AF798),$AF$2:$AF$1001,0),0), INDEX($AM$1004:$BM$1004,1,MATCH(COLUMNS($AM$1006:BL1006),$AM$1006:$BM$1006,0)))),"Fix")))</f>
        <v xml:space="preserve"> </v>
      </c>
      <c r="AB798" s="4" t="str">
        <f ca="1">IF(OR(INDEX($AG$2:$AG$1001,MATCH(ROWS($AF$2:AF798),$AF$2:$AF$1001,0),1)&gt;=100000,INDEX($AM$1005:$BM$1005,1,MATCH(COLUMNS($AM$1006:BM1006),$AM$1006:$BM$1006,0))&gt;=100000), " ",IF(INDEX($AM$2:$BM$1001,MATCH(ROWS($AF$2:AF798),$AF$2:$AF$1001,0),MATCH(COLUMNS($AM$1006:BM1006),$AM$1006:$BM$1006,0)), HYPERLINK("#",""), HYPERLINK(CONCATENATE("#metadata!", ADDRESS(INDEX($AH$2:$AH$1001,MATCH(ROWS($AF$2:AF798),$AF$2:$AF$1001,0),0), INDEX($AM$1004:$BM$1004,1,MATCH(COLUMNS($AM$1006:BM1006),$AM$1006:$BM$1006,0)))),"Fix")))</f>
        <v xml:space="preserve"> </v>
      </c>
      <c r="AF798">
        <v>797</v>
      </c>
      <c r="AG798">
        <v>100798</v>
      </c>
      <c r="AH798">
        <v>798</v>
      </c>
      <c r="AI798" t="b">
        <f t="shared" si="12"/>
        <v>1</v>
      </c>
      <c r="AJ798" t="b">
        <f>COUNTBLANK(metadata!B798:AB798)=COLUMNS(metadata!B798:AB798)</f>
        <v>1</v>
      </c>
      <c r="AK798" t="str">
        <v/>
      </c>
      <c r="AM798" t="b">
        <f ca="1">AND(IF(metadata!B798="",FALSE,TRUE),COUNTIF(metadata!B:B, metadata!B798) = 1,NOT(ISERROR(SUMPRODUCT(SEARCH(MID(metadata!B798,ROW(INDIRECT("1:"&amp;LEN(metadata!B798))), 1),"0123456789abcdefghijklmnopqrstuvwxyzABCDEFGHIJKLMNOPQRSTUVWXYZ.")))))</f>
        <v>0</v>
      </c>
      <c r="AN798" t="b">
        <f ca="1">OR(AND(IF(metadata!C798="",FALSE,TRUE),OR(EXACT(metadata!C798,"missing: not collected"),EXACT(metadata!C798,"missing: not provided"),EXACT(metadata!C798,"missing: restricted access"))),AND(IF(metadata!C798="",FALSE,TRUE),AND(AND(IFERROR(INT(LEFT(metadata!C798,4))&gt;1900,FALSE),IFERROR(INT(LEFT(metadata!C798,4))&lt;=YEAR(NOW()),FALSE)), OR(MID(metadata!C798,5,1)="", AND(AND(MID(metadata!C798,5,1)="-",IFERROR(INT(MID(metadata!C798,6,1))&gt;=0,FALSE),IFERROR(INT(MID(metadata!C798,6,1))&lt;=1,FALSE),NOT(MID(metadata!C798,7,1)=""),IFERROR(INT(MID(metadata!C798,6,2))&gt;=1,FALSE),IFERROR(INT(MID(metadata!C798,6,2))&lt;=12,FALSE)), OR(MID(metadata!C798,8,1)="", AND(AND(MID(metadata!C798,8,1)="-",IFERROR(INT(MID(metadata!C798,9,1))&gt;=0,FALSE),IFERROR(INT(MID(metadata!C798,9,1))&lt;=3,FALSE),NOT(MID(metadata!C798,10,1)=""),IFERROR(INT(MID(metadata!C798,9,2))&gt;=1,FALSE),IFERROR(INT(MID(metadata!C798,9,2))&lt;=31,FALSE)), OR(MID(metadata!C798,11,1)="", AND(AND(MID(metadata!C798,11,1)=" ",IFERROR(INT(MID(metadata!C798,12,1))&gt;=0,FALSE),IFERROR(INT(MID(metadata!C798,12,1))&lt;=2,FALSE),NOT(MID(metadata!C798,13,1)=""),IFERROR(INT(MID(metadata!C798,12,2))&gt;=0,FALSE),IFERROR(INT(MID(metadata!C798,12,2))&lt;=23,FALSE)), OR(MID(metadata!C798,14,1)="", AND(AND(MID(metadata!C798,14,1)=":",IFERROR(INT(MID(metadata!C798,15,1))&gt;=0,FALSE),IFERROR(INT(MID(metadata!C798,15,1))&lt;=5,FALSE),NOT(MID(metadata!C798,16,1)=""),IFERROR(INT(MID(metadata!C798,15,2))&gt;=0,FALSE),IFERROR(INT(MID(metadata!C798,15,2))&lt;=59,FALSE)), OR(MID(metadata!C798,17,1)="", AND(AND(MID(metadata!C798,17,1)=":",IFERROR(INT(MID(metadata!C798,18,1))&gt;=0,FALSE),IFERROR(INT(MID(metadata!C798,18,1))&lt;=5,FALSE),NOT(MID(metadata!C798,19,1)=""),IFERROR(INT(MID(metadata!C798,18,2))&gt;=0,FALSE),IFERROR(INT(MID(metadata!C798,18,2))&lt;=59,FALSE)), LEN(metadata!C798)&lt;=19)))))))))))))</f>
        <v>0</v>
      </c>
      <c r="AO798" t="b">
        <f>AND(IF(metadata!D798="",FALSE,TRUE),EXACT(metadata!D798,"Not applicable"))</f>
        <v>0</v>
      </c>
      <c r="AP798" t="b">
        <f>IF(metadata!E798="",FALSE,TRUE)</f>
        <v>0</v>
      </c>
      <c r="AQ798" t="b">
        <f>OR(AND(IF(metadata!F798="",FALSE,TRUE),OR(EXACT(metadata!F798,"missing: not collected"),EXACT(metadata!F798,"missing: not provided"))),AND(IF(metadata!F798="",FALSE,TRUE),OR(EXACT(metadata!F798,"TRUE"),EXACT(metadata!F798,"FALSE"))))</f>
        <v>0</v>
      </c>
      <c r="AR798" t="b">
        <f>OR(AND(IF(metadata!G798="",FALSE,TRUE),OR(EXACT(metadata!G798,"missing: not collected"),EXACT(metadata!G798,"missing: not provided"),EXACT(metadata!G798,"missing: restricted access"))),AND(IF(metadata!G798="",FALSE,ISNUMBER(VALUE(metadata!G798))),metadata!G798&gt;=-413))</f>
        <v>0</v>
      </c>
      <c r="AS798" t="b">
        <f>AND(IF(metadata!H798="",FALSE,TRUE),EXACT(metadata!H798,"meters"))</f>
        <v>0</v>
      </c>
      <c r="AT798" t="b">
        <f>AND(IF(metadata!I798="",FALSE,TRUE),OR(EXACT(metadata!I798,"Host-associated"),EXACT(metadata!I798,"Free-living")))</f>
        <v>0</v>
      </c>
      <c r="AU798" t="b">
        <f>AND(IF(metadata!J798="",FALSE,TRUE),OR(EXACT(metadata!J798,"Animal"),EXACT(metadata!J798,"Fungus"),EXACT(metadata!J798,"Plant"),EXACT(metadata!J798,"Saline"),EXACT(metadata!J798,"Non-saline")))</f>
        <v>0</v>
      </c>
      <c r="AV798" t="b">
        <f>AND(IF(metadata!K798="",FALSE,TRUE),OR(EXACT(metadata!K798,"Plant secretion"),EXACT(metadata!K798,"Plant rhizosphere"),EXACT(metadata!K798,"Plant surface"),EXACT(metadata!K798,"Plant corpus"),EXACT(metadata!K798,"Fungus surface"),EXACT(metadata!K798,"Fungus corpus"),EXACT(metadata!K798,"Animal surface"),EXACT(metadata!K798,"Animal proximal gut"),EXACT(metadata!K798,"Animal corpus"),EXACT(metadata!K798,"Animal distal gut"),EXACT(metadata!K798,"Animal secretion"),EXACT(metadata!K798,"Sub-surface (non-saline)"),EXACT(metadata!K798,"Surface (non-saline)"),EXACT(metadata!K798,"Water (non-saline)"),EXACT(metadata!K798,"Soil (non-saline)"),EXACT(metadata!K798,"Aerosol (non-saline)"),EXACT(metadata!K798,"Sediment (non-saline)"),EXACT(metadata!K798,"Surface (saline)"),EXACT(metadata!K798,"Water (saline)"),EXACT(metadata!K798,"Hypersaline (saline)"),EXACT(metadata!K798,"Aerosol (saline)"),EXACT(metadata!K798,"Sediment (saline)")))</f>
        <v>0</v>
      </c>
      <c r="AW798" t="b">
        <f>IF(metadata!L798="",FALSE,TRUE)</f>
        <v>0</v>
      </c>
      <c r="AX798" t="b">
        <f>IF(metadata!M798="",FALSE,TRUE)</f>
        <v>0</v>
      </c>
      <c r="AY798" t="b">
        <f>IF(metadata!N798="",FALSE,TRUE)</f>
        <v>0</v>
      </c>
      <c r="AZ798" t="b">
        <f>OR(AND(IF(metadata!O798="",FALSE,TRUE),OR(EXACT(metadata!O798,"missing: not collected"),EXACT(metadata!O798,"missing: not provided"),EXACT(metadata!O798,"missing: restricted access"))),AND(IF(metadata!O798="",FALSE,TRUE),OR(EXACT(metadata!O798,"air"),EXACT(metadata!O798,"built environment"),EXACT(metadata!O798,"host-associated"),EXACT(metadata!O798,"human-associated"),EXACT(metadata!O798,"human-skin"),EXACT(metadata!O798,"human-oral"),EXACT(metadata!O798,"human-gut"),EXACT(metadata!O798,"human-vaginal"),EXACT(metadata!O798,"microbial mat/biofilm"),EXACT(metadata!O798,"misc environment"),EXACT(metadata!O798,"plant-associated"),EXACT(metadata!O798,"sediment"),EXACT(metadata!O798,"soil"),EXACT(metadata!O798,"wastewater/sludge"),EXACT(metadata!O798,"water"))))</f>
        <v>0</v>
      </c>
      <c r="BA798" t="b">
        <f>IF(metadata!P798="",FALSE,TRUE)</f>
        <v>0</v>
      </c>
      <c r="BB798" t="b">
        <f>IF(metadata!Q798="",FALSE,TRUE)</f>
        <v>0</v>
      </c>
      <c r="BC798" t="b">
        <f>OR(AND(IF(metadata!R798="",FALSE,TRUE),OR(EXACT(metadata!R798,"missing: not collected"),EXACT(metadata!R798,"missing: not provided"),EXACT(metadata!R798,"missing: restricted access"))),AND(IF(metadata!R798="",FALSE,ISNUMBER(VALUE(metadata!R798))),metadata!R798&gt;=-90,metadata!R798&lt;=90))</f>
        <v>0</v>
      </c>
      <c r="BD798" t="b">
        <f>AND(IF(metadata!S798="",FALSE,TRUE),EXACT(metadata!S798,"Decimal degrees"))</f>
        <v>0</v>
      </c>
      <c r="BE798" t="b">
        <f>OR(AND(IF(metadata!T798="",FALSE,TRUE),OR(EXACT(metadata!T798,"missing: not collected"),EXACT(metadata!T798,"missing: not provided"),EXACT(metadata!T798,"missing: restricted access"))),AND(IF(metadata!T798="",FALSE,ISNUMBER(VALUE(metadata!T798))),metadata!T798&gt;=-180,metadata!T798&lt;=180))</f>
        <v>0</v>
      </c>
      <c r="BF798" t="b">
        <f>AND(IF(metadata!U798="",FALSE,TRUE),EXACT(metadata!U798,"Decimal degrees"))</f>
        <v>0</v>
      </c>
      <c r="BG798" t="b">
        <f>IF(metadata!V798="",FALSE,TRUE)</f>
        <v>0</v>
      </c>
      <c r="BH798" t="b">
        <f>OR(AND(IF(metadata!W798="",FALSE,TRUE),OR(EXACT(metadata!W798,"missing: not collected"),EXACT(metadata!W798,"missing: not provided"),EXACT(metadata!W798,"missing: restricted access"))),AND(IF(metadata!W798="",FALSE,TRUE),OR(EXACT(metadata!W798,"TRUE"),EXACT(metadata!W798,"FALSE"))))</f>
        <v>0</v>
      </c>
      <c r="BI798" t="b">
        <f>AND(IF(metadata!X798="",FALSE,TRUE),EXACT(metadata!X798,"other"))</f>
        <v>0</v>
      </c>
      <c r="BJ798" t="b">
        <f>IF(metadata!Y798="",FALSE,TRUE)</f>
        <v>0</v>
      </c>
      <c r="BK798" t="b">
        <f>OR(AND(IF(metadata!Z798="",FALSE,TRUE),OR(EXACT(metadata!Z798,"missing: not collected"),EXACT(metadata!Z798,"missing: not provided"))),AND(IF(metadata!Z798="",FALSE,IF(ISERROR(INT(metadata!Z798)),FALSE,INT(metadata!Z798)=metadata!Z798)),metadata!Z798&gt;0))</f>
        <v>0</v>
      </c>
      <c r="BL798" t="b">
        <f>AND(IF(metadata!AA798="",FALSE,TRUE),EXACT(metadata!AA798,"Not applicable"))</f>
        <v>0</v>
      </c>
      <c r="BM798" t="b">
        <f>IF(metadata!AB798="",FALSE,TRUE)</f>
        <v>0</v>
      </c>
    </row>
    <row r="799" spans="1:65" x14ac:dyDescent="0.2">
      <c r="A799" s="5" t="str">
        <f ca="1">IF(B799=" "," ",HYPERLINK(CONCATENATE("#metadata!",ADDRESS(INDEX($AH$2:$AH$1001,MATCH(ROWS($AF$2:AF799),$AF$2:$AF$1001,0),0),1)),INDEX($AK$2:$AK$1001,MATCH(ROWS($AF$2:AF799),$AF$2:$AF$1001,0),0)))</f>
        <v xml:space="preserve"> </v>
      </c>
      <c r="B799" s="4" t="str">
        <f ca="1">IF(OR(INDEX($AG$2:$AG$1001,MATCH(ROWS($AF$2:AF799),$AF$2:$AF$1001,0),1)&gt;=100000,INDEX($AM$1005:$BM$1005,1,MATCH(COLUMNS($AM$1006:AM1006),$AM$1006:$BM$1006,0))&gt;=100000), " ",IF(INDEX($AM$2:$BM$1001,MATCH(ROWS($AF$2:AF799),$AF$2:$AF$1001,0),MATCH(COLUMNS($AM$1006:AM1006),$AM$1006:$BM$1006,0)), HYPERLINK("#",""), HYPERLINK(CONCATENATE("#metadata!", ADDRESS(INDEX($AH$2:$AH$1001,MATCH(ROWS($AF$2:AF799),$AF$2:$AF$1001,0),0), INDEX($AM$1004:$BM$1004,1,MATCH(COLUMNS($AM$1006:AM1006),$AM$1006:$BM$1006,0)))),"Fix")))</f>
        <v xml:space="preserve"> </v>
      </c>
      <c r="C799" s="4" t="str">
        <f ca="1">IF(OR(INDEX($AG$2:$AG$1001,MATCH(ROWS($AF$2:AF799),$AF$2:$AF$1001,0),1)&gt;=100000,INDEX($AM$1005:$BM$1005,1,MATCH(COLUMNS($AM$1006:AN1006),$AM$1006:$BM$1006,0))&gt;=100000), " ",IF(INDEX($AM$2:$BM$1001,MATCH(ROWS($AF$2:AF799),$AF$2:$AF$1001,0),MATCH(COLUMNS($AM$1006:AN1006),$AM$1006:$BM$1006,0)), HYPERLINK("#",""), HYPERLINK(CONCATENATE("#metadata!", ADDRESS(INDEX($AH$2:$AH$1001,MATCH(ROWS($AF$2:AF799),$AF$2:$AF$1001,0),0), INDEX($AM$1004:$BM$1004,1,MATCH(COLUMNS($AM$1006:AN1006),$AM$1006:$BM$1006,0)))),"Fix")))</f>
        <v xml:space="preserve"> </v>
      </c>
      <c r="D799" s="4" t="str">
        <f ca="1">IF(OR(INDEX($AG$2:$AG$1001,MATCH(ROWS($AF$2:AF799),$AF$2:$AF$1001,0),1)&gt;=100000,INDEX($AM$1005:$BM$1005,1,MATCH(COLUMNS($AM$1006:AO1006),$AM$1006:$BM$1006,0))&gt;=100000), " ",IF(INDEX($AM$2:$BM$1001,MATCH(ROWS($AF$2:AF799),$AF$2:$AF$1001,0),MATCH(COLUMNS($AM$1006:AO1006),$AM$1006:$BM$1006,0)), HYPERLINK("#",""), HYPERLINK(CONCATENATE("#metadata!", ADDRESS(INDEX($AH$2:$AH$1001,MATCH(ROWS($AF$2:AF799),$AF$2:$AF$1001,0),0), INDEX($AM$1004:$BM$1004,1,MATCH(COLUMNS($AM$1006:AO1006),$AM$1006:$BM$1006,0)))),"Fix")))</f>
        <v xml:space="preserve"> </v>
      </c>
      <c r="E799" s="4" t="str">
        <f ca="1">IF(OR(INDEX($AG$2:$AG$1001,MATCH(ROWS($AF$2:AF799),$AF$2:$AF$1001,0),1)&gt;=100000,INDEX($AM$1005:$BM$1005,1,MATCH(COLUMNS($AM$1006:AP1006),$AM$1006:$BM$1006,0))&gt;=100000), " ",IF(INDEX($AM$2:$BM$1001,MATCH(ROWS($AF$2:AF799),$AF$2:$AF$1001,0),MATCH(COLUMNS($AM$1006:AP1006),$AM$1006:$BM$1006,0)), HYPERLINK("#",""), HYPERLINK(CONCATENATE("#metadata!", ADDRESS(INDEX($AH$2:$AH$1001,MATCH(ROWS($AF$2:AF799),$AF$2:$AF$1001,0),0), INDEX($AM$1004:$BM$1004,1,MATCH(COLUMNS($AM$1006:AP1006),$AM$1006:$BM$1006,0)))),"Fix")))</f>
        <v xml:space="preserve"> </v>
      </c>
      <c r="F799" s="4" t="str">
        <f ca="1">IF(OR(INDEX($AG$2:$AG$1001,MATCH(ROWS($AF$2:AF799),$AF$2:$AF$1001,0),1)&gt;=100000,INDEX($AM$1005:$BM$1005,1,MATCH(COLUMNS($AM$1006:AQ1006),$AM$1006:$BM$1006,0))&gt;=100000), " ",IF(INDEX($AM$2:$BM$1001,MATCH(ROWS($AF$2:AF799),$AF$2:$AF$1001,0),MATCH(COLUMNS($AM$1006:AQ1006),$AM$1006:$BM$1006,0)), HYPERLINK("#",""), HYPERLINK(CONCATENATE("#metadata!", ADDRESS(INDEX($AH$2:$AH$1001,MATCH(ROWS($AF$2:AF799),$AF$2:$AF$1001,0),0), INDEX($AM$1004:$BM$1004,1,MATCH(COLUMNS($AM$1006:AQ1006),$AM$1006:$BM$1006,0)))),"Fix")))</f>
        <v xml:space="preserve"> </v>
      </c>
      <c r="G799" s="4" t="str">
        <f ca="1">IF(OR(INDEX($AG$2:$AG$1001,MATCH(ROWS($AF$2:AF799),$AF$2:$AF$1001,0),1)&gt;=100000,INDEX($AM$1005:$BM$1005,1,MATCH(COLUMNS($AM$1006:AR1006),$AM$1006:$BM$1006,0))&gt;=100000), " ",IF(INDEX($AM$2:$BM$1001,MATCH(ROWS($AF$2:AF799),$AF$2:$AF$1001,0),MATCH(COLUMNS($AM$1006:AR1006),$AM$1006:$BM$1006,0)), HYPERLINK("#",""), HYPERLINK(CONCATENATE("#metadata!", ADDRESS(INDEX($AH$2:$AH$1001,MATCH(ROWS($AF$2:AF799),$AF$2:$AF$1001,0),0), INDEX($AM$1004:$BM$1004,1,MATCH(COLUMNS($AM$1006:AR1006),$AM$1006:$BM$1006,0)))),"Fix")))</f>
        <v xml:space="preserve"> </v>
      </c>
      <c r="H799" s="4" t="str">
        <f ca="1">IF(OR(INDEX($AG$2:$AG$1001,MATCH(ROWS($AF$2:AF799),$AF$2:$AF$1001,0),1)&gt;=100000,INDEX($AM$1005:$BM$1005,1,MATCH(COLUMNS($AM$1006:AS1006),$AM$1006:$BM$1006,0))&gt;=100000), " ",IF(INDEX($AM$2:$BM$1001,MATCH(ROWS($AF$2:AF799),$AF$2:$AF$1001,0),MATCH(COLUMNS($AM$1006:AS1006),$AM$1006:$BM$1006,0)), HYPERLINK("#",""), HYPERLINK(CONCATENATE("#metadata!", ADDRESS(INDEX($AH$2:$AH$1001,MATCH(ROWS($AF$2:AF799),$AF$2:$AF$1001,0),0), INDEX($AM$1004:$BM$1004,1,MATCH(COLUMNS($AM$1006:AS1006),$AM$1006:$BM$1006,0)))),"Fix")))</f>
        <v xml:space="preserve"> </v>
      </c>
      <c r="I799" s="4" t="str">
        <f ca="1">IF(OR(INDEX($AG$2:$AG$1001,MATCH(ROWS($AF$2:AF799),$AF$2:$AF$1001,0),1)&gt;=100000,INDEX($AM$1005:$BM$1005,1,MATCH(COLUMNS($AM$1006:AT1006),$AM$1006:$BM$1006,0))&gt;=100000), " ",IF(INDEX($AM$2:$BM$1001,MATCH(ROWS($AF$2:AF799),$AF$2:$AF$1001,0),MATCH(COLUMNS($AM$1006:AT1006),$AM$1006:$BM$1006,0)), HYPERLINK("#",""), HYPERLINK(CONCATENATE("#metadata!", ADDRESS(INDEX($AH$2:$AH$1001,MATCH(ROWS($AF$2:AF799),$AF$2:$AF$1001,0),0), INDEX($AM$1004:$BM$1004,1,MATCH(COLUMNS($AM$1006:AT1006),$AM$1006:$BM$1006,0)))),"Fix")))</f>
        <v xml:space="preserve"> </v>
      </c>
      <c r="J799" s="4" t="str">
        <f ca="1">IF(OR(INDEX($AG$2:$AG$1001,MATCH(ROWS($AF$2:AF799),$AF$2:$AF$1001,0),1)&gt;=100000,INDEX($AM$1005:$BM$1005,1,MATCH(COLUMNS($AM$1006:AU1006),$AM$1006:$BM$1006,0))&gt;=100000), " ",IF(INDEX($AM$2:$BM$1001,MATCH(ROWS($AF$2:AF799),$AF$2:$AF$1001,0),MATCH(COLUMNS($AM$1006:AU1006),$AM$1006:$BM$1006,0)), HYPERLINK("#",""), HYPERLINK(CONCATENATE("#metadata!", ADDRESS(INDEX($AH$2:$AH$1001,MATCH(ROWS($AF$2:AF799),$AF$2:$AF$1001,0),0), INDEX($AM$1004:$BM$1004,1,MATCH(COLUMNS($AM$1006:AU1006),$AM$1006:$BM$1006,0)))),"Fix")))</f>
        <v xml:space="preserve"> </v>
      </c>
      <c r="K799" s="4" t="str">
        <f ca="1">IF(OR(INDEX($AG$2:$AG$1001,MATCH(ROWS($AF$2:AF799),$AF$2:$AF$1001,0),1)&gt;=100000,INDEX($AM$1005:$BM$1005,1,MATCH(COLUMNS($AM$1006:AV1006),$AM$1006:$BM$1006,0))&gt;=100000), " ",IF(INDEX($AM$2:$BM$1001,MATCH(ROWS($AF$2:AF799),$AF$2:$AF$1001,0),MATCH(COLUMNS($AM$1006:AV1006),$AM$1006:$BM$1006,0)), HYPERLINK("#",""), HYPERLINK(CONCATENATE("#metadata!", ADDRESS(INDEX($AH$2:$AH$1001,MATCH(ROWS($AF$2:AF799),$AF$2:$AF$1001,0),0), INDEX($AM$1004:$BM$1004,1,MATCH(COLUMNS($AM$1006:AV1006),$AM$1006:$BM$1006,0)))),"Fix")))</f>
        <v xml:space="preserve"> </v>
      </c>
      <c r="L799" s="4" t="str">
        <f ca="1">IF(OR(INDEX($AG$2:$AG$1001,MATCH(ROWS($AF$2:AF799),$AF$2:$AF$1001,0),1)&gt;=100000,INDEX($AM$1005:$BM$1005,1,MATCH(COLUMNS($AM$1006:AW1006),$AM$1006:$BM$1006,0))&gt;=100000), " ",IF(INDEX($AM$2:$BM$1001,MATCH(ROWS($AF$2:AF799),$AF$2:$AF$1001,0),MATCH(COLUMNS($AM$1006:AW1006),$AM$1006:$BM$1006,0)), HYPERLINK("#",""), HYPERLINK(CONCATENATE("#metadata!", ADDRESS(INDEX($AH$2:$AH$1001,MATCH(ROWS($AF$2:AF799),$AF$2:$AF$1001,0),0), INDEX($AM$1004:$BM$1004,1,MATCH(COLUMNS($AM$1006:AW1006),$AM$1006:$BM$1006,0)))),"Fix")))</f>
        <v xml:space="preserve"> </v>
      </c>
      <c r="M799" s="4" t="str">
        <f ca="1">IF(OR(INDEX($AG$2:$AG$1001,MATCH(ROWS($AF$2:AF799),$AF$2:$AF$1001,0),1)&gt;=100000,INDEX($AM$1005:$BM$1005,1,MATCH(COLUMNS($AM$1006:AX1006),$AM$1006:$BM$1006,0))&gt;=100000), " ",IF(INDEX($AM$2:$BM$1001,MATCH(ROWS($AF$2:AF799),$AF$2:$AF$1001,0),MATCH(COLUMNS($AM$1006:AX1006),$AM$1006:$BM$1006,0)), HYPERLINK("#",""), HYPERLINK(CONCATENATE("#metadata!", ADDRESS(INDEX($AH$2:$AH$1001,MATCH(ROWS($AF$2:AF799),$AF$2:$AF$1001,0),0), INDEX($AM$1004:$BM$1004,1,MATCH(COLUMNS($AM$1006:AX1006),$AM$1006:$BM$1006,0)))),"Fix")))</f>
        <v xml:space="preserve"> </v>
      </c>
      <c r="N799" s="4" t="str">
        <f ca="1">IF(OR(INDEX($AG$2:$AG$1001,MATCH(ROWS($AF$2:AF799),$AF$2:$AF$1001,0),1)&gt;=100000,INDEX($AM$1005:$BM$1005,1,MATCH(COLUMNS($AM$1006:AY1006),$AM$1006:$BM$1006,0))&gt;=100000), " ",IF(INDEX($AM$2:$BM$1001,MATCH(ROWS($AF$2:AF799),$AF$2:$AF$1001,0),MATCH(COLUMNS($AM$1006:AY1006),$AM$1006:$BM$1006,0)), HYPERLINK("#",""), HYPERLINK(CONCATENATE("#metadata!", ADDRESS(INDEX($AH$2:$AH$1001,MATCH(ROWS($AF$2:AF799),$AF$2:$AF$1001,0),0), INDEX($AM$1004:$BM$1004,1,MATCH(COLUMNS($AM$1006:AY1006),$AM$1006:$BM$1006,0)))),"Fix")))</f>
        <v xml:space="preserve"> </v>
      </c>
      <c r="O799" s="4" t="str">
        <f ca="1">IF(OR(INDEX($AG$2:$AG$1001,MATCH(ROWS($AF$2:AF799),$AF$2:$AF$1001,0),1)&gt;=100000,INDEX($AM$1005:$BM$1005,1,MATCH(COLUMNS($AM$1006:AZ1006),$AM$1006:$BM$1006,0))&gt;=100000), " ",IF(INDEX($AM$2:$BM$1001,MATCH(ROWS($AF$2:AF799),$AF$2:$AF$1001,0),MATCH(COLUMNS($AM$1006:AZ1006),$AM$1006:$BM$1006,0)), HYPERLINK("#",""), HYPERLINK(CONCATENATE("#metadata!", ADDRESS(INDEX($AH$2:$AH$1001,MATCH(ROWS($AF$2:AF799),$AF$2:$AF$1001,0),0), INDEX($AM$1004:$BM$1004,1,MATCH(COLUMNS($AM$1006:AZ1006),$AM$1006:$BM$1006,0)))),"Fix")))</f>
        <v xml:space="preserve"> </v>
      </c>
      <c r="P799" s="4" t="str">
        <f ca="1">IF(OR(INDEX($AG$2:$AG$1001,MATCH(ROWS($AF$2:AF799),$AF$2:$AF$1001,0),1)&gt;=100000,INDEX($AM$1005:$BM$1005,1,MATCH(COLUMNS($AM$1006:BA1006),$AM$1006:$BM$1006,0))&gt;=100000), " ",IF(INDEX($AM$2:$BM$1001,MATCH(ROWS($AF$2:AF799),$AF$2:$AF$1001,0),MATCH(COLUMNS($AM$1006:BA1006),$AM$1006:$BM$1006,0)), HYPERLINK("#",""), HYPERLINK(CONCATENATE("#metadata!", ADDRESS(INDEX($AH$2:$AH$1001,MATCH(ROWS($AF$2:AF799),$AF$2:$AF$1001,0),0), INDEX($AM$1004:$BM$1004,1,MATCH(COLUMNS($AM$1006:BA1006),$AM$1006:$BM$1006,0)))),"Fix")))</f>
        <v xml:space="preserve"> </v>
      </c>
      <c r="Q799" s="4" t="str">
        <f ca="1">IF(OR(INDEX($AG$2:$AG$1001,MATCH(ROWS($AF$2:AF799),$AF$2:$AF$1001,0),1)&gt;=100000,INDEX($AM$1005:$BM$1005,1,MATCH(COLUMNS($AM$1006:BB1006),$AM$1006:$BM$1006,0))&gt;=100000), " ",IF(INDEX($AM$2:$BM$1001,MATCH(ROWS($AF$2:AF799),$AF$2:$AF$1001,0),MATCH(COLUMNS($AM$1006:BB1006),$AM$1006:$BM$1006,0)), HYPERLINK("#",""), HYPERLINK(CONCATENATE("#metadata!", ADDRESS(INDEX($AH$2:$AH$1001,MATCH(ROWS($AF$2:AF799),$AF$2:$AF$1001,0),0), INDEX($AM$1004:$BM$1004,1,MATCH(COLUMNS($AM$1006:BB1006),$AM$1006:$BM$1006,0)))),"Fix")))</f>
        <v xml:space="preserve"> </v>
      </c>
      <c r="R799" s="4" t="str">
        <f ca="1">IF(OR(INDEX($AG$2:$AG$1001,MATCH(ROWS($AF$2:AF799),$AF$2:$AF$1001,0),1)&gt;=100000,INDEX($AM$1005:$BM$1005,1,MATCH(COLUMNS($AM$1006:BC1006),$AM$1006:$BM$1006,0))&gt;=100000), " ",IF(INDEX($AM$2:$BM$1001,MATCH(ROWS($AF$2:AF799),$AF$2:$AF$1001,0),MATCH(COLUMNS($AM$1006:BC1006),$AM$1006:$BM$1006,0)), HYPERLINK("#",""), HYPERLINK(CONCATENATE("#metadata!", ADDRESS(INDEX($AH$2:$AH$1001,MATCH(ROWS($AF$2:AF799),$AF$2:$AF$1001,0),0), INDEX($AM$1004:$BM$1004,1,MATCH(COLUMNS($AM$1006:BC1006),$AM$1006:$BM$1006,0)))),"Fix")))</f>
        <v xml:space="preserve"> </v>
      </c>
      <c r="S799" s="4" t="str">
        <f ca="1">IF(OR(INDEX($AG$2:$AG$1001,MATCH(ROWS($AF$2:AF799),$AF$2:$AF$1001,0),1)&gt;=100000,INDEX($AM$1005:$BM$1005,1,MATCH(COLUMNS($AM$1006:BD1006),$AM$1006:$BM$1006,0))&gt;=100000), " ",IF(INDEX($AM$2:$BM$1001,MATCH(ROWS($AF$2:AF799),$AF$2:$AF$1001,0),MATCH(COLUMNS($AM$1006:BD1006),$AM$1006:$BM$1006,0)), HYPERLINK("#",""), HYPERLINK(CONCATENATE("#metadata!", ADDRESS(INDEX($AH$2:$AH$1001,MATCH(ROWS($AF$2:AF799),$AF$2:$AF$1001,0),0), INDEX($AM$1004:$BM$1004,1,MATCH(COLUMNS($AM$1006:BD1006),$AM$1006:$BM$1006,0)))),"Fix")))</f>
        <v xml:space="preserve"> </v>
      </c>
      <c r="T799" s="4" t="str">
        <f ca="1">IF(OR(INDEX($AG$2:$AG$1001,MATCH(ROWS($AF$2:AF799),$AF$2:$AF$1001,0),1)&gt;=100000,INDEX($AM$1005:$BM$1005,1,MATCH(COLUMNS($AM$1006:BE1006),$AM$1006:$BM$1006,0))&gt;=100000), " ",IF(INDEX($AM$2:$BM$1001,MATCH(ROWS($AF$2:AF799),$AF$2:$AF$1001,0),MATCH(COLUMNS($AM$1006:BE1006),$AM$1006:$BM$1006,0)), HYPERLINK("#",""), HYPERLINK(CONCATENATE("#metadata!", ADDRESS(INDEX($AH$2:$AH$1001,MATCH(ROWS($AF$2:AF799),$AF$2:$AF$1001,0),0), INDEX($AM$1004:$BM$1004,1,MATCH(COLUMNS($AM$1006:BE1006),$AM$1006:$BM$1006,0)))),"Fix")))</f>
        <v xml:space="preserve"> </v>
      </c>
      <c r="U799" s="4" t="str">
        <f ca="1">IF(OR(INDEX($AG$2:$AG$1001,MATCH(ROWS($AF$2:AF799),$AF$2:$AF$1001,0),1)&gt;=100000,INDEX($AM$1005:$BM$1005,1,MATCH(COLUMNS($AM$1006:BF1006),$AM$1006:$BM$1006,0))&gt;=100000), " ",IF(INDEX($AM$2:$BM$1001,MATCH(ROWS($AF$2:AF799),$AF$2:$AF$1001,0),MATCH(COLUMNS($AM$1006:BF1006),$AM$1006:$BM$1006,0)), HYPERLINK("#",""), HYPERLINK(CONCATENATE("#metadata!", ADDRESS(INDEX($AH$2:$AH$1001,MATCH(ROWS($AF$2:AF799),$AF$2:$AF$1001,0),0), INDEX($AM$1004:$BM$1004,1,MATCH(COLUMNS($AM$1006:BF1006),$AM$1006:$BM$1006,0)))),"Fix")))</f>
        <v xml:space="preserve"> </v>
      </c>
      <c r="V799" s="4" t="str">
        <f ca="1">IF(OR(INDEX($AG$2:$AG$1001,MATCH(ROWS($AF$2:AF799),$AF$2:$AF$1001,0),1)&gt;=100000,INDEX($AM$1005:$BM$1005,1,MATCH(COLUMNS($AM$1006:BG1006),$AM$1006:$BM$1006,0))&gt;=100000), " ",IF(INDEX($AM$2:$BM$1001,MATCH(ROWS($AF$2:AF799),$AF$2:$AF$1001,0),MATCH(COLUMNS($AM$1006:BG1006),$AM$1006:$BM$1006,0)), HYPERLINK("#",""), HYPERLINK(CONCATENATE("#metadata!", ADDRESS(INDEX($AH$2:$AH$1001,MATCH(ROWS($AF$2:AF799),$AF$2:$AF$1001,0),0), INDEX($AM$1004:$BM$1004,1,MATCH(COLUMNS($AM$1006:BG1006),$AM$1006:$BM$1006,0)))),"Fix")))</f>
        <v xml:space="preserve"> </v>
      </c>
      <c r="W799" s="4" t="str">
        <f ca="1">IF(OR(INDEX($AG$2:$AG$1001,MATCH(ROWS($AF$2:AF799),$AF$2:$AF$1001,0),1)&gt;=100000,INDEX($AM$1005:$BM$1005,1,MATCH(COLUMNS($AM$1006:BH1006),$AM$1006:$BM$1006,0))&gt;=100000), " ",IF(INDEX($AM$2:$BM$1001,MATCH(ROWS($AF$2:AF799),$AF$2:$AF$1001,0),MATCH(COLUMNS($AM$1006:BH1006),$AM$1006:$BM$1006,0)), HYPERLINK("#",""), HYPERLINK(CONCATENATE("#metadata!", ADDRESS(INDEX($AH$2:$AH$1001,MATCH(ROWS($AF$2:AF799),$AF$2:$AF$1001,0),0), INDEX($AM$1004:$BM$1004,1,MATCH(COLUMNS($AM$1006:BH1006),$AM$1006:$BM$1006,0)))),"Fix")))</f>
        <v xml:space="preserve"> </v>
      </c>
      <c r="X799" s="4" t="str">
        <f ca="1">IF(OR(INDEX($AG$2:$AG$1001,MATCH(ROWS($AF$2:AF799),$AF$2:$AF$1001,0),1)&gt;=100000,INDEX($AM$1005:$BM$1005,1,MATCH(COLUMNS($AM$1006:BI1006),$AM$1006:$BM$1006,0))&gt;=100000), " ",IF(INDEX($AM$2:$BM$1001,MATCH(ROWS($AF$2:AF799),$AF$2:$AF$1001,0),MATCH(COLUMNS($AM$1006:BI1006),$AM$1006:$BM$1006,0)), HYPERLINK("#",""), HYPERLINK(CONCATENATE("#metadata!", ADDRESS(INDEX($AH$2:$AH$1001,MATCH(ROWS($AF$2:AF799),$AF$2:$AF$1001,0),0), INDEX($AM$1004:$BM$1004,1,MATCH(COLUMNS($AM$1006:BI1006),$AM$1006:$BM$1006,0)))),"Fix")))</f>
        <v xml:space="preserve"> </v>
      </c>
      <c r="Y799" s="4" t="str">
        <f ca="1">IF(OR(INDEX($AG$2:$AG$1001,MATCH(ROWS($AF$2:AF799),$AF$2:$AF$1001,0),1)&gt;=100000,INDEX($AM$1005:$BM$1005,1,MATCH(COLUMNS($AM$1006:BJ1006),$AM$1006:$BM$1006,0))&gt;=100000), " ",IF(INDEX($AM$2:$BM$1001,MATCH(ROWS($AF$2:AF799),$AF$2:$AF$1001,0),MATCH(COLUMNS($AM$1006:BJ1006),$AM$1006:$BM$1006,0)), HYPERLINK("#",""), HYPERLINK(CONCATENATE("#metadata!", ADDRESS(INDEX($AH$2:$AH$1001,MATCH(ROWS($AF$2:AF799),$AF$2:$AF$1001,0),0), INDEX($AM$1004:$BM$1004,1,MATCH(COLUMNS($AM$1006:BJ1006),$AM$1006:$BM$1006,0)))),"Fix")))</f>
        <v xml:space="preserve"> </v>
      </c>
      <c r="Z799" s="4" t="str">
        <f ca="1">IF(OR(INDEX($AG$2:$AG$1001,MATCH(ROWS($AF$2:AF799),$AF$2:$AF$1001,0),1)&gt;=100000,INDEX($AM$1005:$BM$1005,1,MATCH(COLUMNS($AM$1006:BK1006),$AM$1006:$BM$1006,0))&gt;=100000), " ",IF(INDEX($AM$2:$BM$1001,MATCH(ROWS($AF$2:AF799),$AF$2:$AF$1001,0),MATCH(COLUMNS($AM$1006:BK1006),$AM$1006:$BM$1006,0)), HYPERLINK("#",""), HYPERLINK(CONCATENATE("#metadata!", ADDRESS(INDEX($AH$2:$AH$1001,MATCH(ROWS($AF$2:AF799),$AF$2:$AF$1001,0),0), INDEX($AM$1004:$BM$1004,1,MATCH(COLUMNS($AM$1006:BK1006),$AM$1006:$BM$1006,0)))),"Fix")))</f>
        <v xml:space="preserve"> </v>
      </c>
      <c r="AA799" s="4" t="str">
        <f ca="1">IF(OR(INDEX($AG$2:$AG$1001,MATCH(ROWS($AF$2:AF799),$AF$2:$AF$1001,0),1)&gt;=100000,INDEX($AM$1005:$BM$1005,1,MATCH(COLUMNS($AM$1006:BL1006),$AM$1006:$BM$1006,0))&gt;=100000), " ",IF(INDEX($AM$2:$BM$1001,MATCH(ROWS($AF$2:AF799),$AF$2:$AF$1001,0),MATCH(COLUMNS($AM$1006:BL1006),$AM$1006:$BM$1006,0)), HYPERLINK("#",""), HYPERLINK(CONCATENATE("#metadata!", ADDRESS(INDEX($AH$2:$AH$1001,MATCH(ROWS($AF$2:AF799),$AF$2:$AF$1001,0),0), INDEX($AM$1004:$BM$1004,1,MATCH(COLUMNS($AM$1006:BL1006),$AM$1006:$BM$1006,0)))),"Fix")))</f>
        <v xml:space="preserve"> </v>
      </c>
      <c r="AB799" s="4" t="str">
        <f ca="1">IF(OR(INDEX($AG$2:$AG$1001,MATCH(ROWS($AF$2:AF799),$AF$2:$AF$1001,0),1)&gt;=100000,INDEX($AM$1005:$BM$1005,1,MATCH(COLUMNS($AM$1006:BM1006),$AM$1006:$BM$1006,0))&gt;=100000), " ",IF(INDEX($AM$2:$BM$1001,MATCH(ROWS($AF$2:AF799),$AF$2:$AF$1001,0),MATCH(COLUMNS($AM$1006:BM1006),$AM$1006:$BM$1006,0)), HYPERLINK("#",""), HYPERLINK(CONCATENATE("#metadata!", ADDRESS(INDEX($AH$2:$AH$1001,MATCH(ROWS($AF$2:AF799),$AF$2:$AF$1001,0),0), INDEX($AM$1004:$BM$1004,1,MATCH(COLUMNS($AM$1006:BM1006),$AM$1006:$BM$1006,0)))),"Fix")))</f>
        <v xml:space="preserve"> </v>
      </c>
      <c r="AF799">
        <v>798</v>
      </c>
      <c r="AG799">
        <v>100799</v>
      </c>
      <c r="AH799">
        <v>799</v>
      </c>
      <c r="AI799" t="b">
        <f t="shared" si="12"/>
        <v>1</v>
      </c>
      <c r="AJ799" t="b">
        <f>COUNTBLANK(metadata!B799:AB799)=COLUMNS(metadata!B799:AB799)</f>
        <v>1</v>
      </c>
      <c r="AK799" t="str">
        <v/>
      </c>
      <c r="AM799" t="b">
        <f ca="1">AND(IF(metadata!B799="",FALSE,TRUE),COUNTIF(metadata!B:B, metadata!B799) = 1,NOT(ISERROR(SUMPRODUCT(SEARCH(MID(metadata!B799,ROW(INDIRECT("1:"&amp;LEN(metadata!B799))), 1),"0123456789abcdefghijklmnopqrstuvwxyzABCDEFGHIJKLMNOPQRSTUVWXYZ.")))))</f>
        <v>0</v>
      </c>
      <c r="AN799" t="b">
        <f ca="1">OR(AND(IF(metadata!C799="",FALSE,TRUE),OR(EXACT(metadata!C799,"missing: not collected"),EXACT(metadata!C799,"missing: not provided"),EXACT(metadata!C799,"missing: restricted access"))),AND(IF(metadata!C799="",FALSE,TRUE),AND(AND(IFERROR(INT(LEFT(metadata!C799,4))&gt;1900,FALSE),IFERROR(INT(LEFT(metadata!C799,4))&lt;=YEAR(NOW()),FALSE)), OR(MID(metadata!C799,5,1)="", AND(AND(MID(metadata!C799,5,1)="-",IFERROR(INT(MID(metadata!C799,6,1))&gt;=0,FALSE),IFERROR(INT(MID(metadata!C799,6,1))&lt;=1,FALSE),NOT(MID(metadata!C799,7,1)=""),IFERROR(INT(MID(metadata!C799,6,2))&gt;=1,FALSE),IFERROR(INT(MID(metadata!C799,6,2))&lt;=12,FALSE)), OR(MID(metadata!C799,8,1)="", AND(AND(MID(metadata!C799,8,1)="-",IFERROR(INT(MID(metadata!C799,9,1))&gt;=0,FALSE),IFERROR(INT(MID(metadata!C799,9,1))&lt;=3,FALSE),NOT(MID(metadata!C799,10,1)=""),IFERROR(INT(MID(metadata!C799,9,2))&gt;=1,FALSE),IFERROR(INT(MID(metadata!C799,9,2))&lt;=31,FALSE)), OR(MID(metadata!C799,11,1)="", AND(AND(MID(metadata!C799,11,1)=" ",IFERROR(INT(MID(metadata!C799,12,1))&gt;=0,FALSE),IFERROR(INT(MID(metadata!C799,12,1))&lt;=2,FALSE),NOT(MID(metadata!C799,13,1)=""),IFERROR(INT(MID(metadata!C799,12,2))&gt;=0,FALSE),IFERROR(INT(MID(metadata!C799,12,2))&lt;=23,FALSE)), OR(MID(metadata!C799,14,1)="", AND(AND(MID(metadata!C799,14,1)=":",IFERROR(INT(MID(metadata!C799,15,1))&gt;=0,FALSE),IFERROR(INT(MID(metadata!C799,15,1))&lt;=5,FALSE),NOT(MID(metadata!C799,16,1)=""),IFERROR(INT(MID(metadata!C799,15,2))&gt;=0,FALSE),IFERROR(INT(MID(metadata!C799,15,2))&lt;=59,FALSE)), OR(MID(metadata!C799,17,1)="", AND(AND(MID(metadata!C799,17,1)=":",IFERROR(INT(MID(metadata!C799,18,1))&gt;=0,FALSE),IFERROR(INT(MID(metadata!C799,18,1))&lt;=5,FALSE),NOT(MID(metadata!C799,19,1)=""),IFERROR(INT(MID(metadata!C799,18,2))&gt;=0,FALSE),IFERROR(INT(MID(metadata!C799,18,2))&lt;=59,FALSE)), LEN(metadata!C799)&lt;=19)))))))))))))</f>
        <v>0</v>
      </c>
      <c r="AO799" t="b">
        <f>AND(IF(metadata!D799="",FALSE,TRUE),EXACT(metadata!D799,"Not applicable"))</f>
        <v>0</v>
      </c>
      <c r="AP799" t="b">
        <f>IF(metadata!E799="",FALSE,TRUE)</f>
        <v>0</v>
      </c>
      <c r="AQ799" t="b">
        <f>OR(AND(IF(metadata!F799="",FALSE,TRUE),OR(EXACT(metadata!F799,"missing: not collected"),EXACT(metadata!F799,"missing: not provided"))),AND(IF(metadata!F799="",FALSE,TRUE),OR(EXACT(metadata!F799,"TRUE"),EXACT(metadata!F799,"FALSE"))))</f>
        <v>0</v>
      </c>
      <c r="AR799" t="b">
        <f>OR(AND(IF(metadata!G799="",FALSE,TRUE),OR(EXACT(metadata!G799,"missing: not collected"),EXACT(metadata!G799,"missing: not provided"),EXACT(metadata!G799,"missing: restricted access"))),AND(IF(metadata!G799="",FALSE,ISNUMBER(VALUE(metadata!G799))),metadata!G799&gt;=-413))</f>
        <v>0</v>
      </c>
      <c r="AS799" t="b">
        <f>AND(IF(metadata!H799="",FALSE,TRUE),EXACT(metadata!H799,"meters"))</f>
        <v>0</v>
      </c>
      <c r="AT799" t="b">
        <f>AND(IF(metadata!I799="",FALSE,TRUE),OR(EXACT(metadata!I799,"Host-associated"),EXACT(metadata!I799,"Free-living")))</f>
        <v>0</v>
      </c>
      <c r="AU799" t="b">
        <f>AND(IF(metadata!J799="",FALSE,TRUE),OR(EXACT(metadata!J799,"Animal"),EXACT(metadata!J799,"Fungus"),EXACT(metadata!J799,"Plant"),EXACT(metadata!J799,"Saline"),EXACT(metadata!J799,"Non-saline")))</f>
        <v>0</v>
      </c>
      <c r="AV799" t="b">
        <f>AND(IF(metadata!K799="",FALSE,TRUE),OR(EXACT(metadata!K799,"Plant secretion"),EXACT(metadata!K799,"Plant rhizosphere"),EXACT(metadata!K799,"Plant surface"),EXACT(metadata!K799,"Plant corpus"),EXACT(metadata!K799,"Fungus surface"),EXACT(metadata!K799,"Fungus corpus"),EXACT(metadata!K799,"Animal surface"),EXACT(metadata!K799,"Animal proximal gut"),EXACT(metadata!K799,"Animal corpus"),EXACT(metadata!K799,"Animal distal gut"),EXACT(metadata!K799,"Animal secretion"),EXACT(metadata!K799,"Sub-surface (non-saline)"),EXACT(metadata!K799,"Surface (non-saline)"),EXACT(metadata!K799,"Water (non-saline)"),EXACT(metadata!K799,"Soil (non-saline)"),EXACT(metadata!K799,"Aerosol (non-saline)"),EXACT(metadata!K799,"Sediment (non-saline)"),EXACT(metadata!K799,"Surface (saline)"),EXACT(metadata!K799,"Water (saline)"),EXACT(metadata!K799,"Hypersaline (saline)"),EXACT(metadata!K799,"Aerosol (saline)"),EXACT(metadata!K799,"Sediment (saline)")))</f>
        <v>0</v>
      </c>
      <c r="AW799" t="b">
        <f>IF(metadata!L799="",FALSE,TRUE)</f>
        <v>0</v>
      </c>
      <c r="AX799" t="b">
        <f>IF(metadata!M799="",FALSE,TRUE)</f>
        <v>0</v>
      </c>
      <c r="AY799" t="b">
        <f>IF(metadata!N799="",FALSE,TRUE)</f>
        <v>0</v>
      </c>
      <c r="AZ799" t="b">
        <f>OR(AND(IF(metadata!O799="",FALSE,TRUE),OR(EXACT(metadata!O799,"missing: not collected"),EXACT(metadata!O799,"missing: not provided"),EXACT(metadata!O799,"missing: restricted access"))),AND(IF(metadata!O799="",FALSE,TRUE),OR(EXACT(metadata!O799,"air"),EXACT(metadata!O799,"built environment"),EXACT(metadata!O799,"host-associated"),EXACT(metadata!O799,"human-associated"),EXACT(metadata!O799,"human-skin"),EXACT(metadata!O799,"human-oral"),EXACT(metadata!O799,"human-gut"),EXACT(metadata!O799,"human-vaginal"),EXACT(metadata!O799,"microbial mat/biofilm"),EXACT(metadata!O799,"misc environment"),EXACT(metadata!O799,"plant-associated"),EXACT(metadata!O799,"sediment"),EXACT(metadata!O799,"soil"),EXACT(metadata!O799,"wastewater/sludge"),EXACT(metadata!O799,"water"))))</f>
        <v>0</v>
      </c>
      <c r="BA799" t="b">
        <f>IF(metadata!P799="",FALSE,TRUE)</f>
        <v>0</v>
      </c>
      <c r="BB799" t="b">
        <f>IF(metadata!Q799="",FALSE,TRUE)</f>
        <v>0</v>
      </c>
      <c r="BC799" t="b">
        <f>OR(AND(IF(metadata!R799="",FALSE,TRUE),OR(EXACT(metadata!R799,"missing: not collected"),EXACT(metadata!R799,"missing: not provided"),EXACT(metadata!R799,"missing: restricted access"))),AND(IF(metadata!R799="",FALSE,ISNUMBER(VALUE(metadata!R799))),metadata!R799&gt;=-90,metadata!R799&lt;=90))</f>
        <v>0</v>
      </c>
      <c r="BD799" t="b">
        <f>AND(IF(metadata!S799="",FALSE,TRUE),EXACT(metadata!S799,"Decimal degrees"))</f>
        <v>0</v>
      </c>
      <c r="BE799" t="b">
        <f>OR(AND(IF(metadata!T799="",FALSE,TRUE),OR(EXACT(metadata!T799,"missing: not collected"),EXACT(metadata!T799,"missing: not provided"),EXACT(metadata!T799,"missing: restricted access"))),AND(IF(metadata!T799="",FALSE,ISNUMBER(VALUE(metadata!T799))),metadata!T799&gt;=-180,metadata!T799&lt;=180))</f>
        <v>0</v>
      </c>
      <c r="BF799" t="b">
        <f>AND(IF(metadata!U799="",FALSE,TRUE),EXACT(metadata!U799,"Decimal degrees"))</f>
        <v>0</v>
      </c>
      <c r="BG799" t="b">
        <f>IF(metadata!V799="",FALSE,TRUE)</f>
        <v>0</v>
      </c>
      <c r="BH799" t="b">
        <f>OR(AND(IF(metadata!W799="",FALSE,TRUE),OR(EXACT(metadata!W799,"missing: not collected"),EXACT(metadata!W799,"missing: not provided"),EXACT(metadata!W799,"missing: restricted access"))),AND(IF(metadata!W799="",FALSE,TRUE),OR(EXACT(metadata!W799,"TRUE"),EXACT(metadata!W799,"FALSE"))))</f>
        <v>0</v>
      </c>
      <c r="BI799" t="b">
        <f>AND(IF(metadata!X799="",FALSE,TRUE),EXACT(metadata!X799,"other"))</f>
        <v>0</v>
      </c>
      <c r="BJ799" t="b">
        <f>IF(metadata!Y799="",FALSE,TRUE)</f>
        <v>0</v>
      </c>
      <c r="BK799" t="b">
        <f>OR(AND(IF(metadata!Z799="",FALSE,TRUE),OR(EXACT(metadata!Z799,"missing: not collected"),EXACT(metadata!Z799,"missing: not provided"))),AND(IF(metadata!Z799="",FALSE,IF(ISERROR(INT(metadata!Z799)),FALSE,INT(metadata!Z799)=metadata!Z799)),metadata!Z799&gt;0))</f>
        <v>0</v>
      </c>
      <c r="BL799" t="b">
        <f>AND(IF(metadata!AA799="",FALSE,TRUE),EXACT(metadata!AA799,"Not applicable"))</f>
        <v>0</v>
      </c>
      <c r="BM799" t="b">
        <f>IF(metadata!AB799="",FALSE,TRUE)</f>
        <v>0</v>
      </c>
    </row>
    <row r="800" spans="1:65" x14ac:dyDescent="0.2">
      <c r="A800" s="5" t="str">
        <f ca="1">IF(B800=" "," ",HYPERLINK(CONCATENATE("#metadata!",ADDRESS(INDEX($AH$2:$AH$1001,MATCH(ROWS($AF$2:AF800),$AF$2:$AF$1001,0),0),1)),INDEX($AK$2:$AK$1001,MATCH(ROWS($AF$2:AF800),$AF$2:$AF$1001,0),0)))</f>
        <v xml:space="preserve"> </v>
      </c>
      <c r="B800" s="4" t="str">
        <f ca="1">IF(OR(INDEX($AG$2:$AG$1001,MATCH(ROWS($AF$2:AF800),$AF$2:$AF$1001,0),1)&gt;=100000,INDEX($AM$1005:$BM$1005,1,MATCH(COLUMNS($AM$1006:AM1006),$AM$1006:$BM$1006,0))&gt;=100000), " ",IF(INDEX($AM$2:$BM$1001,MATCH(ROWS($AF$2:AF800),$AF$2:$AF$1001,0),MATCH(COLUMNS($AM$1006:AM1006),$AM$1006:$BM$1006,0)), HYPERLINK("#",""), HYPERLINK(CONCATENATE("#metadata!", ADDRESS(INDEX($AH$2:$AH$1001,MATCH(ROWS($AF$2:AF800),$AF$2:$AF$1001,0),0), INDEX($AM$1004:$BM$1004,1,MATCH(COLUMNS($AM$1006:AM1006),$AM$1006:$BM$1006,0)))),"Fix")))</f>
        <v xml:space="preserve"> </v>
      </c>
      <c r="C800" s="4" t="str">
        <f ca="1">IF(OR(INDEX($AG$2:$AG$1001,MATCH(ROWS($AF$2:AF800),$AF$2:$AF$1001,0),1)&gt;=100000,INDEX($AM$1005:$BM$1005,1,MATCH(COLUMNS($AM$1006:AN1006),$AM$1006:$BM$1006,0))&gt;=100000), " ",IF(INDEX($AM$2:$BM$1001,MATCH(ROWS($AF$2:AF800),$AF$2:$AF$1001,0),MATCH(COLUMNS($AM$1006:AN1006),$AM$1006:$BM$1006,0)), HYPERLINK("#",""), HYPERLINK(CONCATENATE("#metadata!", ADDRESS(INDEX($AH$2:$AH$1001,MATCH(ROWS($AF$2:AF800),$AF$2:$AF$1001,0),0), INDEX($AM$1004:$BM$1004,1,MATCH(COLUMNS($AM$1006:AN1006),$AM$1006:$BM$1006,0)))),"Fix")))</f>
        <v xml:space="preserve"> </v>
      </c>
      <c r="D800" s="4" t="str">
        <f ca="1">IF(OR(INDEX($AG$2:$AG$1001,MATCH(ROWS($AF$2:AF800),$AF$2:$AF$1001,0),1)&gt;=100000,INDEX($AM$1005:$BM$1005,1,MATCH(COLUMNS($AM$1006:AO1006),$AM$1006:$BM$1006,0))&gt;=100000), " ",IF(INDEX($AM$2:$BM$1001,MATCH(ROWS($AF$2:AF800),$AF$2:$AF$1001,0),MATCH(COLUMNS($AM$1006:AO1006),$AM$1006:$BM$1006,0)), HYPERLINK("#",""), HYPERLINK(CONCATENATE("#metadata!", ADDRESS(INDEX($AH$2:$AH$1001,MATCH(ROWS($AF$2:AF800),$AF$2:$AF$1001,0),0), INDEX($AM$1004:$BM$1004,1,MATCH(COLUMNS($AM$1006:AO1006),$AM$1006:$BM$1006,0)))),"Fix")))</f>
        <v xml:space="preserve"> </v>
      </c>
      <c r="E800" s="4" t="str">
        <f ca="1">IF(OR(INDEX($AG$2:$AG$1001,MATCH(ROWS($AF$2:AF800),$AF$2:$AF$1001,0),1)&gt;=100000,INDEX($AM$1005:$BM$1005,1,MATCH(COLUMNS($AM$1006:AP1006),$AM$1006:$BM$1006,0))&gt;=100000), " ",IF(INDEX($AM$2:$BM$1001,MATCH(ROWS($AF$2:AF800),$AF$2:$AF$1001,0),MATCH(COLUMNS($AM$1006:AP1006),$AM$1006:$BM$1006,0)), HYPERLINK("#",""), HYPERLINK(CONCATENATE("#metadata!", ADDRESS(INDEX($AH$2:$AH$1001,MATCH(ROWS($AF$2:AF800),$AF$2:$AF$1001,0),0), INDEX($AM$1004:$BM$1004,1,MATCH(COLUMNS($AM$1006:AP1006),$AM$1006:$BM$1006,0)))),"Fix")))</f>
        <v xml:space="preserve"> </v>
      </c>
      <c r="F800" s="4" t="str">
        <f ca="1">IF(OR(INDEX($AG$2:$AG$1001,MATCH(ROWS($AF$2:AF800),$AF$2:$AF$1001,0),1)&gt;=100000,INDEX($AM$1005:$BM$1005,1,MATCH(COLUMNS($AM$1006:AQ1006),$AM$1006:$BM$1006,0))&gt;=100000), " ",IF(INDEX($AM$2:$BM$1001,MATCH(ROWS($AF$2:AF800),$AF$2:$AF$1001,0),MATCH(COLUMNS($AM$1006:AQ1006),$AM$1006:$BM$1006,0)), HYPERLINK("#",""), HYPERLINK(CONCATENATE("#metadata!", ADDRESS(INDEX($AH$2:$AH$1001,MATCH(ROWS($AF$2:AF800),$AF$2:$AF$1001,0),0), INDEX($AM$1004:$BM$1004,1,MATCH(COLUMNS($AM$1006:AQ1006),$AM$1006:$BM$1006,0)))),"Fix")))</f>
        <v xml:space="preserve"> </v>
      </c>
      <c r="G800" s="4" t="str">
        <f ca="1">IF(OR(INDEX($AG$2:$AG$1001,MATCH(ROWS($AF$2:AF800),$AF$2:$AF$1001,0),1)&gt;=100000,INDEX($AM$1005:$BM$1005,1,MATCH(COLUMNS($AM$1006:AR1006),$AM$1006:$BM$1006,0))&gt;=100000), " ",IF(INDEX($AM$2:$BM$1001,MATCH(ROWS($AF$2:AF800),$AF$2:$AF$1001,0),MATCH(COLUMNS($AM$1006:AR1006),$AM$1006:$BM$1006,0)), HYPERLINK("#",""), HYPERLINK(CONCATENATE("#metadata!", ADDRESS(INDEX($AH$2:$AH$1001,MATCH(ROWS($AF$2:AF800),$AF$2:$AF$1001,0),0), INDEX($AM$1004:$BM$1004,1,MATCH(COLUMNS($AM$1006:AR1006),$AM$1006:$BM$1006,0)))),"Fix")))</f>
        <v xml:space="preserve"> </v>
      </c>
      <c r="H800" s="4" t="str">
        <f ca="1">IF(OR(INDEX($AG$2:$AG$1001,MATCH(ROWS($AF$2:AF800),$AF$2:$AF$1001,0),1)&gt;=100000,INDEX($AM$1005:$BM$1005,1,MATCH(COLUMNS($AM$1006:AS1006),$AM$1006:$BM$1006,0))&gt;=100000), " ",IF(INDEX($AM$2:$BM$1001,MATCH(ROWS($AF$2:AF800),$AF$2:$AF$1001,0),MATCH(COLUMNS($AM$1006:AS1006),$AM$1006:$BM$1006,0)), HYPERLINK("#",""), HYPERLINK(CONCATENATE("#metadata!", ADDRESS(INDEX($AH$2:$AH$1001,MATCH(ROWS($AF$2:AF800),$AF$2:$AF$1001,0),0), INDEX($AM$1004:$BM$1004,1,MATCH(COLUMNS($AM$1006:AS1006),$AM$1006:$BM$1006,0)))),"Fix")))</f>
        <v xml:space="preserve"> </v>
      </c>
      <c r="I800" s="4" t="str">
        <f ca="1">IF(OR(INDEX($AG$2:$AG$1001,MATCH(ROWS($AF$2:AF800),$AF$2:$AF$1001,0),1)&gt;=100000,INDEX($AM$1005:$BM$1005,1,MATCH(COLUMNS($AM$1006:AT1006),$AM$1006:$BM$1006,0))&gt;=100000), " ",IF(INDEX($AM$2:$BM$1001,MATCH(ROWS($AF$2:AF800),$AF$2:$AF$1001,0),MATCH(COLUMNS($AM$1006:AT1006),$AM$1006:$BM$1006,0)), HYPERLINK("#",""), HYPERLINK(CONCATENATE("#metadata!", ADDRESS(INDEX($AH$2:$AH$1001,MATCH(ROWS($AF$2:AF800),$AF$2:$AF$1001,0),0), INDEX($AM$1004:$BM$1004,1,MATCH(COLUMNS($AM$1006:AT1006),$AM$1006:$BM$1006,0)))),"Fix")))</f>
        <v xml:space="preserve"> </v>
      </c>
      <c r="J800" s="4" t="str">
        <f ca="1">IF(OR(INDEX($AG$2:$AG$1001,MATCH(ROWS($AF$2:AF800),$AF$2:$AF$1001,0),1)&gt;=100000,INDEX($AM$1005:$BM$1005,1,MATCH(COLUMNS($AM$1006:AU1006),$AM$1006:$BM$1006,0))&gt;=100000), " ",IF(INDEX($AM$2:$BM$1001,MATCH(ROWS($AF$2:AF800),$AF$2:$AF$1001,0),MATCH(COLUMNS($AM$1006:AU1006),$AM$1006:$BM$1006,0)), HYPERLINK("#",""), HYPERLINK(CONCATENATE("#metadata!", ADDRESS(INDEX($AH$2:$AH$1001,MATCH(ROWS($AF$2:AF800),$AF$2:$AF$1001,0),0), INDEX($AM$1004:$BM$1004,1,MATCH(COLUMNS($AM$1006:AU1006),$AM$1006:$BM$1006,0)))),"Fix")))</f>
        <v xml:space="preserve"> </v>
      </c>
      <c r="K800" s="4" t="str">
        <f ca="1">IF(OR(INDEX($AG$2:$AG$1001,MATCH(ROWS($AF$2:AF800),$AF$2:$AF$1001,0),1)&gt;=100000,INDEX($AM$1005:$BM$1005,1,MATCH(COLUMNS($AM$1006:AV1006),$AM$1006:$BM$1006,0))&gt;=100000), " ",IF(INDEX($AM$2:$BM$1001,MATCH(ROWS($AF$2:AF800),$AF$2:$AF$1001,0),MATCH(COLUMNS($AM$1006:AV1006),$AM$1006:$BM$1006,0)), HYPERLINK("#",""), HYPERLINK(CONCATENATE("#metadata!", ADDRESS(INDEX($AH$2:$AH$1001,MATCH(ROWS($AF$2:AF800),$AF$2:$AF$1001,0),0), INDEX($AM$1004:$BM$1004,1,MATCH(COLUMNS($AM$1006:AV1006),$AM$1006:$BM$1006,0)))),"Fix")))</f>
        <v xml:space="preserve"> </v>
      </c>
      <c r="L800" s="4" t="str">
        <f ca="1">IF(OR(INDEX($AG$2:$AG$1001,MATCH(ROWS($AF$2:AF800),$AF$2:$AF$1001,0),1)&gt;=100000,INDEX($AM$1005:$BM$1005,1,MATCH(COLUMNS($AM$1006:AW1006),$AM$1006:$BM$1006,0))&gt;=100000), " ",IF(INDEX($AM$2:$BM$1001,MATCH(ROWS($AF$2:AF800),$AF$2:$AF$1001,0),MATCH(COLUMNS($AM$1006:AW1006),$AM$1006:$BM$1006,0)), HYPERLINK("#",""), HYPERLINK(CONCATENATE("#metadata!", ADDRESS(INDEX($AH$2:$AH$1001,MATCH(ROWS($AF$2:AF800),$AF$2:$AF$1001,0),0), INDEX($AM$1004:$BM$1004,1,MATCH(COLUMNS($AM$1006:AW1006),$AM$1006:$BM$1006,0)))),"Fix")))</f>
        <v xml:space="preserve"> </v>
      </c>
      <c r="M800" s="4" t="str">
        <f ca="1">IF(OR(INDEX($AG$2:$AG$1001,MATCH(ROWS($AF$2:AF800),$AF$2:$AF$1001,0),1)&gt;=100000,INDEX($AM$1005:$BM$1005,1,MATCH(COLUMNS($AM$1006:AX1006),$AM$1006:$BM$1006,0))&gt;=100000), " ",IF(INDEX($AM$2:$BM$1001,MATCH(ROWS($AF$2:AF800),$AF$2:$AF$1001,0),MATCH(COLUMNS($AM$1006:AX1006),$AM$1006:$BM$1006,0)), HYPERLINK("#",""), HYPERLINK(CONCATENATE("#metadata!", ADDRESS(INDEX($AH$2:$AH$1001,MATCH(ROWS($AF$2:AF800),$AF$2:$AF$1001,0),0), INDEX($AM$1004:$BM$1004,1,MATCH(COLUMNS($AM$1006:AX1006),$AM$1006:$BM$1006,0)))),"Fix")))</f>
        <v xml:space="preserve"> </v>
      </c>
      <c r="N800" s="4" t="str">
        <f ca="1">IF(OR(INDEX($AG$2:$AG$1001,MATCH(ROWS($AF$2:AF800),$AF$2:$AF$1001,0),1)&gt;=100000,INDEX($AM$1005:$BM$1005,1,MATCH(COLUMNS($AM$1006:AY1006),$AM$1006:$BM$1006,0))&gt;=100000), " ",IF(INDEX($AM$2:$BM$1001,MATCH(ROWS($AF$2:AF800),$AF$2:$AF$1001,0),MATCH(COLUMNS($AM$1006:AY1006),$AM$1006:$BM$1006,0)), HYPERLINK("#",""), HYPERLINK(CONCATENATE("#metadata!", ADDRESS(INDEX($AH$2:$AH$1001,MATCH(ROWS($AF$2:AF800),$AF$2:$AF$1001,0),0), INDEX($AM$1004:$BM$1004,1,MATCH(COLUMNS($AM$1006:AY1006),$AM$1006:$BM$1006,0)))),"Fix")))</f>
        <v xml:space="preserve"> </v>
      </c>
      <c r="O800" s="4" t="str">
        <f ca="1">IF(OR(INDEX($AG$2:$AG$1001,MATCH(ROWS($AF$2:AF800),$AF$2:$AF$1001,0),1)&gt;=100000,INDEX($AM$1005:$BM$1005,1,MATCH(COLUMNS($AM$1006:AZ1006),$AM$1006:$BM$1006,0))&gt;=100000), " ",IF(INDEX($AM$2:$BM$1001,MATCH(ROWS($AF$2:AF800),$AF$2:$AF$1001,0),MATCH(COLUMNS($AM$1006:AZ1006),$AM$1006:$BM$1006,0)), HYPERLINK("#",""), HYPERLINK(CONCATENATE("#metadata!", ADDRESS(INDEX($AH$2:$AH$1001,MATCH(ROWS($AF$2:AF800),$AF$2:$AF$1001,0),0), INDEX($AM$1004:$BM$1004,1,MATCH(COLUMNS($AM$1006:AZ1006),$AM$1006:$BM$1006,0)))),"Fix")))</f>
        <v xml:space="preserve"> </v>
      </c>
      <c r="P800" s="4" t="str">
        <f ca="1">IF(OR(INDEX($AG$2:$AG$1001,MATCH(ROWS($AF$2:AF800),$AF$2:$AF$1001,0),1)&gt;=100000,INDEX($AM$1005:$BM$1005,1,MATCH(COLUMNS($AM$1006:BA1006),$AM$1006:$BM$1006,0))&gt;=100000), " ",IF(INDEX($AM$2:$BM$1001,MATCH(ROWS($AF$2:AF800),$AF$2:$AF$1001,0),MATCH(COLUMNS($AM$1006:BA1006),$AM$1006:$BM$1006,0)), HYPERLINK("#",""), HYPERLINK(CONCATENATE("#metadata!", ADDRESS(INDEX($AH$2:$AH$1001,MATCH(ROWS($AF$2:AF800),$AF$2:$AF$1001,0),0), INDEX($AM$1004:$BM$1004,1,MATCH(COLUMNS($AM$1006:BA1006),$AM$1006:$BM$1006,0)))),"Fix")))</f>
        <v xml:space="preserve"> </v>
      </c>
      <c r="Q800" s="4" t="str">
        <f ca="1">IF(OR(INDEX($AG$2:$AG$1001,MATCH(ROWS($AF$2:AF800),$AF$2:$AF$1001,0),1)&gt;=100000,INDEX($AM$1005:$BM$1005,1,MATCH(COLUMNS($AM$1006:BB1006),$AM$1006:$BM$1006,0))&gt;=100000), " ",IF(INDEX($AM$2:$BM$1001,MATCH(ROWS($AF$2:AF800),$AF$2:$AF$1001,0),MATCH(COLUMNS($AM$1006:BB1006),$AM$1006:$BM$1006,0)), HYPERLINK("#",""), HYPERLINK(CONCATENATE("#metadata!", ADDRESS(INDEX($AH$2:$AH$1001,MATCH(ROWS($AF$2:AF800),$AF$2:$AF$1001,0),0), INDEX($AM$1004:$BM$1004,1,MATCH(COLUMNS($AM$1006:BB1006),$AM$1006:$BM$1006,0)))),"Fix")))</f>
        <v xml:space="preserve"> </v>
      </c>
      <c r="R800" s="4" t="str">
        <f ca="1">IF(OR(INDEX($AG$2:$AG$1001,MATCH(ROWS($AF$2:AF800),$AF$2:$AF$1001,0),1)&gt;=100000,INDEX($AM$1005:$BM$1005,1,MATCH(COLUMNS($AM$1006:BC1006),$AM$1006:$BM$1006,0))&gt;=100000), " ",IF(INDEX($AM$2:$BM$1001,MATCH(ROWS($AF$2:AF800),$AF$2:$AF$1001,0),MATCH(COLUMNS($AM$1006:BC1006),$AM$1006:$BM$1006,0)), HYPERLINK("#",""), HYPERLINK(CONCATENATE("#metadata!", ADDRESS(INDEX($AH$2:$AH$1001,MATCH(ROWS($AF$2:AF800),$AF$2:$AF$1001,0),0), INDEX($AM$1004:$BM$1004,1,MATCH(COLUMNS($AM$1006:BC1006),$AM$1006:$BM$1006,0)))),"Fix")))</f>
        <v xml:space="preserve"> </v>
      </c>
      <c r="S800" s="4" t="str">
        <f ca="1">IF(OR(INDEX($AG$2:$AG$1001,MATCH(ROWS($AF$2:AF800),$AF$2:$AF$1001,0),1)&gt;=100000,INDEX($AM$1005:$BM$1005,1,MATCH(COLUMNS($AM$1006:BD1006),$AM$1006:$BM$1006,0))&gt;=100000), " ",IF(INDEX($AM$2:$BM$1001,MATCH(ROWS($AF$2:AF800),$AF$2:$AF$1001,0),MATCH(COLUMNS($AM$1006:BD1006),$AM$1006:$BM$1006,0)), HYPERLINK("#",""), HYPERLINK(CONCATENATE("#metadata!", ADDRESS(INDEX($AH$2:$AH$1001,MATCH(ROWS($AF$2:AF800),$AF$2:$AF$1001,0),0), INDEX($AM$1004:$BM$1004,1,MATCH(COLUMNS($AM$1006:BD1006),$AM$1006:$BM$1006,0)))),"Fix")))</f>
        <v xml:space="preserve"> </v>
      </c>
      <c r="T800" s="4" t="str">
        <f ca="1">IF(OR(INDEX($AG$2:$AG$1001,MATCH(ROWS($AF$2:AF800),$AF$2:$AF$1001,0),1)&gt;=100000,INDEX($AM$1005:$BM$1005,1,MATCH(COLUMNS($AM$1006:BE1006),$AM$1006:$BM$1006,0))&gt;=100000), " ",IF(INDEX($AM$2:$BM$1001,MATCH(ROWS($AF$2:AF800),$AF$2:$AF$1001,0),MATCH(COLUMNS($AM$1006:BE1006),$AM$1006:$BM$1006,0)), HYPERLINK("#",""), HYPERLINK(CONCATENATE("#metadata!", ADDRESS(INDEX($AH$2:$AH$1001,MATCH(ROWS($AF$2:AF800),$AF$2:$AF$1001,0),0), INDEX($AM$1004:$BM$1004,1,MATCH(COLUMNS($AM$1006:BE1006),$AM$1006:$BM$1006,0)))),"Fix")))</f>
        <v xml:space="preserve"> </v>
      </c>
      <c r="U800" s="4" t="str">
        <f ca="1">IF(OR(INDEX($AG$2:$AG$1001,MATCH(ROWS($AF$2:AF800),$AF$2:$AF$1001,0),1)&gt;=100000,INDEX($AM$1005:$BM$1005,1,MATCH(COLUMNS($AM$1006:BF1006),$AM$1006:$BM$1006,0))&gt;=100000), " ",IF(INDEX($AM$2:$BM$1001,MATCH(ROWS($AF$2:AF800),$AF$2:$AF$1001,0),MATCH(COLUMNS($AM$1006:BF1006),$AM$1006:$BM$1006,0)), HYPERLINK("#",""), HYPERLINK(CONCATENATE("#metadata!", ADDRESS(INDEX($AH$2:$AH$1001,MATCH(ROWS($AF$2:AF800),$AF$2:$AF$1001,0),0), INDEX($AM$1004:$BM$1004,1,MATCH(COLUMNS($AM$1006:BF1006),$AM$1006:$BM$1006,0)))),"Fix")))</f>
        <v xml:space="preserve"> </v>
      </c>
      <c r="V800" s="4" t="str">
        <f ca="1">IF(OR(INDEX($AG$2:$AG$1001,MATCH(ROWS($AF$2:AF800),$AF$2:$AF$1001,0),1)&gt;=100000,INDEX($AM$1005:$BM$1005,1,MATCH(COLUMNS($AM$1006:BG1006),$AM$1006:$BM$1006,0))&gt;=100000), " ",IF(INDEX($AM$2:$BM$1001,MATCH(ROWS($AF$2:AF800),$AF$2:$AF$1001,0),MATCH(COLUMNS($AM$1006:BG1006),$AM$1006:$BM$1006,0)), HYPERLINK("#",""), HYPERLINK(CONCATENATE("#metadata!", ADDRESS(INDEX($AH$2:$AH$1001,MATCH(ROWS($AF$2:AF800),$AF$2:$AF$1001,0),0), INDEX($AM$1004:$BM$1004,1,MATCH(COLUMNS($AM$1006:BG1006),$AM$1006:$BM$1006,0)))),"Fix")))</f>
        <v xml:space="preserve"> </v>
      </c>
      <c r="W800" s="4" t="str">
        <f ca="1">IF(OR(INDEX($AG$2:$AG$1001,MATCH(ROWS($AF$2:AF800),$AF$2:$AF$1001,0),1)&gt;=100000,INDEX($AM$1005:$BM$1005,1,MATCH(COLUMNS($AM$1006:BH1006),$AM$1006:$BM$1006,0))&gt;=100000), " ",IF(INDEX($AM$2:$BM$1001,MATCH(ROWS($AF$2:AF800),$AF$2:$AF$1001,0),MATCH(COLUMNS($AM$1006:BH1006),$AM$1006:$BM$1006,0)), HYPERLINK("#",""), HYPERLINK(CONCATENATE("#metadata!", ADDRESS(INDEX($AH$2:$AH$1001,MATCH(ROWS($AF$2:AF800),$AF$2:$AF$1001,0),0), INDEX($AM$1004:$BM$1004,1,MATCH(COLUMNS($AM$1006:BH1006),$AM$1006:$BM$1006,0)))),"Fix")))</f>
        <v xml:space="preserve"> </v>
      </c>
      <c r="X800" s="4" t="str">
        <f ca="1">IF(OR(INDEX($AG$2:$AG$1001,MATCH(ROWS($AF$2:AF800),$AF$2:$AF$1001,0),1)&gt;=100000,INDEX($AM$1005:$BM$1005,1,MATCH(COLUMNS($AM$1006:BI1006),$AM$1006:$BM$1006,0))&gt;=100000), " ",IF(INDEX($AM$2:$BM$1001,MATCH(ROWS($AF$2:AF800),$AF$2:$AF$1001,0),MATCH(COLUMNS($AM$1006:BI1006),$AM$1006:$BM$1006,0)), HYPERLINK("#",""), HYPERLINK(CONCATENATE("#metadata!", ADDRESS(INDEX($AH$2:$AH$1001,MATCH(ROWS($AF$2:AF800),$AF$2:$AF$1001,0),0), INDEX($AM$1004:$BM$1004,1,MATCH(COLUMNS($AM$1006:BI1006),$AM$1006:$BM$1006,0)))),"Fix")))</f>
        <v xml:space="preserve"> </v>
      </c>
      <c r="Y800" s="4" t="str">
        <f ca="1">IF(OR(INDEX($AG$2:$AG$1001,MATCH(ROWS($AF$2:AF800),$AF$2:$AF$1001,0),1)&gt;=100000,INDEX($AM$1005:$BM$1005,1,MATCH(COLUMNS($AM$1006:BJ1006),$AM$1006:$BM$1006,0))&gt;=100000), " ",IF(INDEX($AM$2:$BM$1001,MATCH(ROWS($AF$2:AF800),$AF$2:$AF$1001,0),MATCH(COLUMNS($AM$1006:BJ1006),$AM$1006:$BM$1006,0)), HYPERLINK("#",""), HYPERLINK(CONCATENATE("#metadata!", ADDRESS(INDEX($AH$2:$AH$1001,MATCH(ROWS($AF$2:AF800),$AF$2:$AF$1001,0),0), INDEX($AM$1004:$BM$1004,1,MATCH(COLUMNS($AM$1006:BJ1006),$AM$1006:$BM$1006,0)))),"Fix")))</f>
        <v xml:space="preserve"> </v>
      </c>
      <c r="Z800" s="4" t="str">
        <f ca="1">IF(OR(INDEX($AG$2:$AG$1001,MATCH(ROWS($AF$2:AF800),$AF$2:$AF$1001,0),1)&gt;=100000,INDEX($AM$1005:$BM$1005,1,MATCH(COLUMNS($AM$1006:BK1006),$AM$1006:$BM$1006,0))&gt;=100000), " ",IF(INDEX($AM$2:$BM$1001,MATCH(ROWS($AF$2:AF800),$AF$2:$AF$1001,0),MATCH(COLUMNS($AM$1006:BK1006),$AM$1006:$BM$1006,0)), HYPERLINK("#",""), HYPERLINK(CONCATENATE("#metadata!", ADDRESS(INDEX($AH$2:$AH$1001,MATCH(ROWS($AF$2:AF800),$AF$2:$AF$1001,0),0), INDEX($AM$1004:$BM$1004,1,MATCH(COLUMNS($AM$1006:BK1006),$AM$1006:$BM$1006,0)))),"Fix")))</f>
        <v xml:space="preserve"> </v>
      </c>
      <c r="AA800" s="4" t="str">
        <f ca="1">IF(OR(INDEX($AG$2:$AG$1001,MATCH(ROWS($AF$2:AF800),$AF$2:$AF$1001,0),1)&gt;=100000,INDEX($AM$1005:$BM$1005,1,MATCH(COLUMNS($AM$1006:BL1006),$AM$1006:$BM$1006,0))&gt;=100000), " ",IF(INDEX($AM$2:$BM$1001,MATCH(ROWS($AF$2:AF800),$AF$2:$AF$1001,0),MATCH(COLUMNS($AM$1006:BL1006),$AM$1006:$BM$1006,0)), HYPERLINK("#",""), HYPERLINK(CONCATENATE("#metadata!", ADDRESS(INDEX($AH$2:$AH$1001,MATCH(ROWS($AF$2:AF800),$AF$2:$AF$1001,0),0), INDEX($AM$1004:$BM$1004,1,MATCH(COLUMNS($AM$1006:BL1006),$AM$1006:$BM$1006,0)))),"Fix")))</f>
        <v xml:space="preserve"> </v>
      </c>
      <c r="AB800" s="4" t="str">
        <f ca="1">IF(OR(INDEX($AG$2:$AG$1001,MATCH(ROWS($AF$2:AF800),$AF$2:$AF$1001,0),1)&gt;=100000,INDEX($AM$1005:$BM$1005,1,MATCH(COLUMNS($AM$1006:BM1006),$AM$1006:$BM$1006,0))&gt;=100000), " ",IF(INDEX($AM$2:$BM$1001,MATCH(ROWS($AF$2:AF800),$AF$2:$AF$1001,0),MATCH(COLUMNS($AM$1006:BM1006),$AM$1006:$BM$1006,0)), HYPERLINK("#",""), HYPERLINK(CONCATENATE("#metadata!", ADDRESS(INDEX($AH$2:$AH$1001,MATCH(ROWS($AF$2:AF800),$AF$2:$AF$1001,0),0), INDEX($AM$1004:$BM$1004,1,MATCH(COLUMNS($AM$1006:BM1006),$AM$1006:$BM$1006,0)))),"Fix")))</f>
        <v xml:space="preserve"> </v>
      </c>
      <c r="AF800">
        <v>799</v>
      </c>
      <c r="AG800">
        <v>100800</v>
      </c>
      <c r="AH800">
        <v>800</v>
      </c>
      <c r="AI800" t="b">
        <f t="shared" si="12"/>
        <v>1</v>
      </c>
      <c r="AJ800" t="b">
        <f>COUNTBLANK(metadata!B800:AB800)=COLUMNS(metadata!B800:AB800)</f>
        <v>1</v>
      </c>
      <c r="AK800" t="str">
        <v/>
      </c>
      <c r="AM800" t="b">
        <f ca="1">AND(IF(metadata!B800="",FALSE,TRUE),COUNTIF(metadata!B:B, metadata!B800) = 1,NOT(ISERROR(SUMPRODUCT(SEARCH(MID(metadata!B800,ROW(INDIRECT("1:"&amp;LEN(metadata!B800))), 1),"0123456789abcdefghijklmnopqrstuvwxyzABCDEFGHIJKLMNOPQRSTUVWXYZ.")))))</f>
        <v>0</v>
      </c>
      <c r="AN800" t="b">
        <f ca="1">OR(AND(IF(metadata!C800="",FALSE,TRUE),OR(EXACT(metadata!C800,"missing: not collected"),EXACT(metadata!C800,"missing: not provided"),EXACT(metadata!C800,"missing: restricted access"))),AND(IF(metadata!C800="",FALSE,TRUE),AND(AND(IFERROR(INT(LEFT(metadata!C800,4))&gt;1900,FALSE),IFERROR(INT(LEFT(metadata!C800,4))&lt;=YEAR(NOW()),FALSE)), OR(MID(metadata!C800,5,1)="", AND(AND(MID(metadata!C800,5,1)="-",IFERROR(INT(MID(metadata!C800,6,1))&gt;=0,FALSE),IFERROR(INT(MID(metadata!C800,6,1))&lt;=1,FALSE),NOT(MID(metadata!C800,7,1)=""),IFERROR(INT(MID(metadata!C800,6,2))&gt;=1,FALSE),IFERROR(INT(MID(metadata!C800,6,2))&lt;=12,FALSE)), OR(MID(metadata!C800,8,1)="", AND(AND(MID(metadata!C800,8,1)="-",IFERROR(INT(MID(metadata!C800,9,1))&gt;=0,FALSE),IFERROR(INT(MID(metadata!C800,9,1))&lt;=3,FALSE),NOT(MID(metadata!C800,10,1)=""),IFERROR(INT(MID(metadata!C800,9,2))&gt;=1,FALSE),IFERROR(INT(MID(metadata!C800,9,2))&lt;=31,FALSE)), OR(MID(metadata!C800,11,1)="", AND(AND(MID(metadata!C800,11,1)=" ",IFERROR(INT(MID(metadata!C800,12,1))&gt;=0,FALSE),IFERROR(INT(MID(metadata!C800,12,1))&lt;=2,FALSE),NOT(MID(metadata!C800,13,1)=""),IFERROR(INT(MID(metadata!C800,12,2))&gt;=0,FALSE),IFERROR(INT(MID(metadata!C800,12,2))&lt;=23,FALSE)), OR(MID(metadata!C800,14,1)="", AND(AND(MID(metadata!C800,14,1)=":",IFERROR(INT(MID(metadata!C800,15,1))&gt;=0,FALSE),IFERROR(INT(MID(metadata!C800,15,1))&lt;=5,FALSE),NOT(MID(metadata!C800,16,1)=""),IFERROR(INT(MID(metadata!C800,15,2))&gt;=0,FALSE),IFERROR(INT(MID(metadata!C800,15,2))&lt;=59,FALSE)), OR(MID(metadata!C800,17,1)="", AND(AND(MID(metadata!C800,17,1)=":",IFERROR(INT(MID(metadata!C800,18,1))&gt;=0,FALSE),IFERROR(INT(MID(metadata!C800,18,1))&lt;=5,FALSE),NOT(MID(metadata!C800,19,1)=""),IFERROR(INT(MID(metadata!C800,18,2))&gt;=0,FALSE),IFERROR(INT(MID(metadata!C800,18,2))&lt;=59,FALSE)), LEN(metadata!C800)&lt;=19)))))))))))))</f>
        <v>0</v>
      </c>
      <c r="AO800" t="b">
        <f>AND(IF(metadata!D800="",FALSE,TRUE),EXACT(metadata!D800,"Not applicable"))</f>
        <v>0</v>
      </c>
      <c r="AP800" t="b">
        <f>IF(metadata!E800="",FALSE,TRUE)</f>
        <v>0</v>
      </c>
      <c r="AQ800" t="b">
        <f>OR(AND(IF(metadata!F800="",FALSE,TRUE),OR(EXACT(metadata!F800,"missing: not collected"),EXACT(metadata!F800,"missing: not provided"))),AND(IF(metadata!F800="",FALSE,TRUE),OR(EXACT(metadata!F800,"TRUE"),EXACT(metadata!F800,"FALSE"))))</f>
        <v>0</v>
      </c>
      <c r="AR800" t="b">
        <f>OR(AND(IF(metadata!G800="",FALSE,TRUE),OR(EXACT(metadata!G800,"missing: not collected"),EXACT(metadata!G800,"missing: not provided"),EXACT(metadata!G800,"missing: restricted access"))),AND(IF(metadata!G800="",FALSE,ISNUMBER(VALUE(metadata!G800))),metadata!G800&gt;=-413))</f>
        <v>0</v>
      </c>
      <c r="AS800" t="b">
        <f>AND(IF(metadata!H800="",FALSE,TRUE),EXACT(metadata!H800,"meters"))</f>
        <v>0</v>
      </c>
      <c r="AT800" t="b">
        <f>AND(IF(metadata!I800="",FALSE,TRUE),OR(EXACT(metadata!I800,"Host-associated"),EXACT(metadata!I800,"Free-living")))</f>
        <v>0</v>
      </c>
      <c r="AU800" t="b">
        <f>AND(IF(metadata!J800="",FALSE,TRUE),OR(EXACT(metadata!J800,"Animal"),EXACT(metadata!J800,"Fungus"),EXACT(metadata!J800,"Plant"),EXACT(metadata!J800,"Saline"),EXACT(metadata!J800,"Non-saline")))</f>
        <v>0</v>
      </c>
      <c r="AV800" t="b">
        <f>AND(IF(metadata!K800="",FALSE,TRUE),OR(EXACT(metadata!K800,"Plant secretion"),EXACT(metadata!K800,"Plant rhizosphere"),EXACT(metadata!K800,"Plant surface"),EXACT(metadata!K800,"Plant corpus"),EXACT(metadata!K800,"Fungus surface"),EXACT(metadata!K800,"Fungus corpus"),EXACT(metadata!K800,"Animal surface"),EXACT(metadata!K800,"Animal proximal gut"),EXACT(metadata!K800,"Animal corpus"),EXACT(metadata!K800,"Animal distal gut"),EXACT(metadata!K800,"Animal secretion"),EXACT(metadata!K800,"Sub-surface (non-saline)"),EXACT(metadata!K800,"Surface (non-saline)"),EXACT(metadata!K800,"Water (non-saline)"),EXACT(metadata!K800,"Soil (non-saline)"),EXACT(metadata!K800,"Aerosol (non-saline)"),EXACT(metadata!K800,"Sediment (non-saline)"),EXACT(metadata!K800,"Surface (saline)"),EXACT(metadata!K800,"Water (saline)"),EXACT(metadata!K800,"Hypersaline (saline)"),EXACT(metadata!K800,"Aerosol (saline)"),EXACT(metadata!K800,"Sediment (saline)")))</f>
        <v>0</v>
      </c>
      <c r="AW800" t="b">
        <f>IF(metadata!L800="",FALSE,TRUE)</f>
        <v>0</v>
      </c>
      <c r="AX800" t="b">
        <f>IF(metadata!M800="",FALSE,TRUE)</f>
        <v>0</v>
      </c>
      <c r="AY800" t="b">
        <f>IF(metadata!N800="",FALSE,TRUE)</f>
        <v>0</v>
      </c>
      <c r="AZ800" t="b">
        <f>OR(AND(IF(metadata!O800="",FALSE,TRUE),OR(EXACT(metadata!O800,"missing: not collected"),EXACT(metadata!O800,"missing: not provided"),EXACT(metadata!O800,"missing: restricted access"))),AND(IF(metadata!O800="",FALSE,TRUE),OR(EXACT(metadata!O800,"air"),EXACT(metadata!O800,"built environment"),EXACT(metadata!O800,"host-associated"),EXACT(metadata!O800,"human-associated"),EXACT(metadata!O800,"human-skin"),EXACT(metadata!O800,"human-oral"),EXACT(metadata!O800,"human-gut"),EXACT(metadata!O800,"human-vaginal"),EXACT(metadata!O800,"microbial mat/biofilm"),EXACT(metadata!O800,"misc environment"),EXACT(metadata!O800,"plant-associated"),EXACT(metadata!O800,"sediment"),EXACT(metadata!O800,"soil"),EXACT(metadata!O800,"wastewater/sludge"),EXACT(metadata!O800,"water"))))</f>
        <v>0</v>
      </c>
      <c r="BA800" t="b">
        <f>IF(metadata!P800="",FALSE,TRUE)</f>
        <v>0</v>
      </c>
      <c r="BB800" t="b">
        <f>IF(metadata!Q800="",FALSE,TRUE)</f>
        <v>0</v>
      </c>
      <c r="BC800" t="b">
        <f>OR(AND(IF(metadata!R800="",FALSE,TRUE),OR(EXACT(metadata!R800,"missing: not collected"),EXACT(metadata!R800,"missing: not provided"),EXACT(metadata!R800,"missing: restricted access"))),AND(IF(metadata!R800="",FALSE,ISNUMBER(VALUE(metadata!R800))),metadata!R800&gt;=-90,metadata!R800&lt;=90))</f>
        <v>0</v>
      </c>
      <c r="BD800" t="b">
        <f>AND(IF(metadata!S800="",FALSE,TRUE),EXACT(metadata!S800,"Decimal degrees"))</f>
        <v>0</v>
      </c>
      <c r="BE800" t="b">
        <f>OR(AND(IF(metadata!T800="",FALSE,TRUE),OR(EXACT(metadata!T800,"missing: not collected"),EXACT(metadata!T800,"missing: not provided"),EXACT(metadata!T800,"missing: restricted access"))),AND(IF(metadata!T800="",FALSE,ISNUMBER(VALUE(metadata!T800))),metadata!T800&gt;=-180,metadata!T800&lt;=180))</f>
        <v>0</v>
      </c>
      <c r="BF800" t="b">
        <f>AND(IF(metadata!U800="",FALSE,TRUE),EXACT(metadata!U800,"Decimal degrees"))</f>
        <v>0</v>
      </c>
      <c r="BG800" t="b">
        <f>IF(metadata!V800="",FALSE,TRUE)</f>
        <v>0</v>
      </c>
      <c r="BH800" t="b">
        <f>OR(AND(IF(metadata!W800="",FALSE,TRUE),OR(EXACT(metadata!W800,"missing: not collected"),EXACT(metadata!W800,"missing: not provided"),EXACT(metadata!W800,"missing: restricted access"))),AND(IF(metadata!W800="",FALSE,TRUE),OR(EXACT(metadata!W800,"TRUE"),EXACT(metadata!W800,"FALSE"))))</f>
        <v>0</v>
      </c>
      <c r="BI800" t="b">
        <f>AND(IF(metadata!X800="",FALSE,TRUE),EXACT(metadata!X800,"other"))</f>
        <v>0</v>
      </c>
      <c r="BJ800" t="b">
        <f>IF(metadata!Y800="",FALSE,TRUE)</f>
        <v>0</v>
      </c>
      <c r="BK800" t="b">
        <f>OR(AND(IF(metadata!Z800="",FALSE,TRUE),OR(EXACT(metadata!Z800,"missing: not collected"),EXACT(metadata!Z800,"missing: not provided"))),AND(IF(metadata!Z800="",FALSE,IF(ISERROR(INT(metadata!Z800)),FALSE,INT(metadata!Z800)=metadata!Z800)),metadata!Z800&gt;0))</f>
        <v>0</v>
      </c>
      <c r="BL800" t="b">
        <f>AND(IF(metadata!AA800="",FALSE,TRUE),EXACT(metadata!AA800,"Not applicable"))</f>
        <v>0</v>
      </c>
      <c r="BM800" t="b">
        <f>IF(metadata!AB800="",FALSE,TRUE)</f>
        <v>0</v>
      </c>
    </row>
    <row r="801" spans="1:65" x14ac:dyDescent="0.2">
      <c r="A801" s="5" t="str">
        <f ca="1">IF(B801=" "," ",HYPERLINK(CONCATENATE("#metadata!",ADDRESS(INDEX($AH$2:$AH$1001,MATCH(ROWS($AF$2:AF801),$AF$2:$AF$1001,0),0),1)),INDEX($AK$2:$AK$1001,MATCH(ROWS($AF$2:AF801),$AF$2:$AF$1001,0),0)))</f>
        <v xml:space="preserve"> </v>
      </c>
      <c r="B801" s="4" t="str">
        <f ca="1">IF(OR(INDEX($AG$2:$AG$1001,MATCH(ROWS($AF$2:AF801),$AF$2:$AF$1001,0),1)&gt;=100000,INDEX($AM$1005:$BM$1005,1,MATCH(COLUMNS($AM$1006:AM1006),$AM$1006:$BM$1006,0))&gt;=100000), " ",IF(INDEX($AM$2:$BM$1001,MATCH(ROWS($AF$2:AF801),$AF$2:$AF$1001,0),MATCH(COLUMNS($AM$1006:AM1006),$AM$1006:$BM$1006,0)), HYPERLINK("#",""), HYPERLINK(CONCATENATE("#metadata!", ADDRESS(INDEX($AH$2:$AH$1001,MATCH(ROWS($AF$2:AF801),$AF$2:$AF$1001,0),0), INDEX($AM$1004:$BM$1004,1,MATCH(COLUMNS($AM$1006:AM1006),$AM$1006:$BM$1006,0)))),"Fix")))</f>
        <v xml:space="preserve"> </v>
      </c>
      <c r="C801" s="4" t="str">
        <f ca="1">IF(OR(INDEX($AG$2:$AG$1001,MATCH(ROWS($AF$2:AF801),$AF$2:$AF$1001,0),1)&gt;=100000,INDEX($AM$1005:$BM$1005,1,MATCH(COLUMNS($AM$1006:AN1006),$AM$1006:$BM$1006,0))&gt;=100000), " ",IF(INDEX($AM$2:$BM$1001,MATCH(ROWS($AF$2:AF801),$AF$2:$AF$1001,0),MATCH(COLUMNS($AM$1006:AN1006),$AM$1006:$BM$1006,0)), HYPERLINK("#",""), HYPERLINK(CONCATENATE("#metadata!", ADDRESS(INDEX($AH$2:$AH$1001,MATCH(ROWS($AF$2:AF801),$AF$2:$AF$1001,0),0), INDEX($AM$1004:$BM$1004,1,MATCH(COLUMNS($AM$1006:AN1006),$AM$1006:$BM$1006,0)))),"Fix")))</f>
        <v xml:space="preserve"> </v>
      </c>
      <c r="D801" s="4" t="str">
        <f ca="1">IF(OR(INDEX($AG$2:$AG$1001,MATCH(ROWS($AF$2:AF801),$AF$2:$AF$1001,0),1)&gt;=100000,INDEX($AM$1005:$BM$1005,1,MATCH(COLUMNS($AM$1006:AO1006),$AM$1006:$BM$1006,0))&gt;=100000), " ",IF(INDEX($AM$2:$BM$1001,MATCH(ROWS($AF$2:AF801),$AF$2:$AF$1001,0),MATCH(COLUMNS($AM$1006:AO1006),$AM$1006:$BM$1006,0)), HYPERLINK("#",""), HYPERLINK(CONCATENATE("#metadata!", ADDRESS(INDEX($AH$2:$AH$1001,MATCH(ROWS($AF$2:AF801),$AF$2:$AF$1001,0),0), INDEX($AM$1004:$BM$1004,1,MATCH(COLUMNS($AM$1006:AO1006),$AM$1006:$BM$1006,0)))),"Fix")))</f>
        <v xml:space="preserve"> </v>
      </c>
      <c r="E801" s="4" t="str">
        <f ca="1">IF(OR(INDEX($AG$2:$AG$1001,MATCH(ROWS($AF$2:AF801),$AF$2:$AF$1001,0),1)&gt;=100000,INDEX($AM$1005:$BM$1005,1,MATCH(COLUMNS($AM$1006:AP1006),$AM$1006:$BM$1006,0))&gt;=100000), " ",IF(INDEX($AM$2:$BM$1001,MATCH(ROWS($AF$2:AF801),$AF$2:$AF$1001,0),MATCH(COLUMNS($AM$1006:AP1006),$AM$1006:$BM$1006,0)), HYPERLINK("#",""), HYPERLINK(CONCATENATE("#metadata!", ADDRESS(INDEX($AH$2:$AH$1001,MATCH(ROWS($AF$2:AF801),$AF$2:$AF$1001,0),0), INDEX($AM$1004:$BM$1004,1,MATCH(COLUMNS($AM$1006:AP1006),$AM$1006:$BM$1006,0)))),"Fix")))</f>
        <v xml:space="preserve"> </v>
      </c>
      <c r="F801" s="4" t="str">
        <f ca="1">IF(OR(INDEX($AG$2:$AG$1001,MATCH(ROWS($AF$2:AF801),$AF$2:$AF$1001,0),1)&gt;=100000,INDEX($AM$1005:$BM$1005,1,MATCH(COLUMNS($AM$1006:AQ1006),$AM$1006:$BM$1006,0))&gt;=100000), " ",IF(INDEX($AM$2:$BM$1001,MATCH(ROWS($AF$2:AF801),$AF$2:$AF$1001,0),MATCH(COLUMNS($AM$1006:AQ1006),$AM$1006:$BM$1006,0)), HYPERLINK("#",""), HYPERLINK(CONCATENATE("#metadata!", ADDRESS(INDEX($AH$2:$AH$1001,MATCH(ROWS($AF$2:AF801),$AF$2:$AF$1001,0),0), INDEX($AM$1004:$BM$1004,1,MATCH(COLUMNS($AM$1006:AQ1006),$AM$1006:$BM$1006,0)))),"Fix")))</f>
        <v xml:space="preserve"> </v>
      </c>
      <c r="G801" s="4" t="str">
        <f ca="1">IF(OR(INDEX($AG$2:$AG$1001,MATCH(ROWS($AF$2:AF801),$AF$2:$AF$1001,0),1)&gt;=100000,INDEX($AM$1005:$BM$1005,1,MATCH(COLUMNS($AM$1006:AR1006),$AM$1006:$BM$1006,0))&gt;=100000), " ",IF(INDEX($AM$2:$BM$1001,MATCH(ROWS($AF$2:AF801),$AF$2:$AF$1001,0),MATCH(COLUMNS($AM$1006:AR1006),$AM$1006:$BM$1006,0)), HYPERLINK("#",""), HYPERLINK(CONCATENATE("#metadata!", ADDRESS(INDEX($AH$2:$AH$1001,MATCH(ROWS($AF$2:AF801),$AF$2:$AF$1001,0),0), INDEX($AM$1004:$BM$1004,1,MATCH(COLUMNS($AM$1006:AR1006),$AM$1006:$BM$1006,0)))),"Fix")))</f>
        <v xml:space="preserve"> </v>
      </c>
      <c r="H801" s="4" t="str">
        <f ca="1">IF(OR(INDEX($AG$2:$AG$1001,MATCH(ROWS($AF$2:AF801),$AF$2:$AF$1001,0),1)&gt;=100000,INDEX($AM$1005:$BM$1005,1,MATCH(COLUMNS($AM$1006:AS1006),$AM$1006:$BM$1006,0))&gt;=100000), " ",IF(INDEX($AM$2:$BM$1001,MATCH(ROWS($AF$2:AF801),$AF$2:$AF$1001,0),MATCH(COLUMNS($AM$1006:AS1006),$AM$1006:$BM$1006,0)), HYPERLINK("#",""), HYPERLINK(CONCATENATE("#metadata!", ADDRESS(INDEX($AH$2:$AH$1001,MATCH(ROWS($AF$2:AF801),$AF$2:$AF$1001,0),0), INDEX($AM$1004:$BM$1004,1,MATCH(COLUMNS($AM$1006:AS1006),$AM$1006:$BM$1006,0)))),"Fix")))</f>
        <v xml:space="preserve"> </v>
      </c>
      <c r="I801" s="4" t="str">
        <f ca="1">IF(OR(INDEX($AG$2:$AG$1001,MATCH(ROWS($AF$2:AF801),$AF$2:$AF$1001,0),1)&gt;=100000,INDEX($AM$1005:$BM$1005,1,MATCH(COLUMNS($AM$1006:AT1006),$AM$1006:$BM$1006,0))&gt;=100000), " ",IF(INDEX($AM$2:$BM$1001,MATCH(ROWS($AF$2:AF801),$AF$2:$AF$1001,0),MATCH(COLUMNS($AM$1006:AT1006),$AM$1006:$BM$1006,0)), HYPERLINK("#",""), HYPERLINK(CONCATENATE("#metadata!", ADDRESS(INDEX($AH$2:$AH$1001,MATCH(ROWS($AF$2:AF801),$AF$2:$AF$1001,0),0), INDEX($AM$1004:$BM$1004,1,MATCH(COLUMNS($AM$1006:AT1006),$AM$1006:$BM$1006,0)))),"Fix")))</f>
        <v xml:space="preserve"> </v>
      </c>
      <c r="J801" s="4" t="str">
        <f ca="1">IF(OR(INDEX($AG$2:$AG$1001,MATCH(ROWS($AF$2:AF801),$AF$2:$AF$1001,0),1)&gt;=100000,INDEX($AM$1005:$BM$1005,1,MATCH(COLUMNS($AM$1006:AU1006),$AM$1006:$BM$1006,0))&gt;=100000), " ",IF(INDEX($AM$2:$BM$1001,MATCH(ROWS($AF$2:AF801),$AF$2:$AF$1001,0),MATCH(COLUMNS($AM$1006:AU1006),$AM$1006:$BM$1006,0)), HYPERLINK("#",""), HYPERLINK(CONCATENATE("#metadata!", ADDRESS(INDEX($AH$2:$AH$1001,MATCH(ROWS($AF$2:AF801),$AF$2:$AF$1001,0),0), INDEX($AM$1004:$BM$1004,1,MATCH(COLUMNS($AM$1006:AU1006),$AM$1006:$BM$1006,0)))),"Fix")))</f>
        <v xml:space="preserve"> </v>
      </c>
      <c r="K801" s="4" t="str">
        <f ca="1">IF(OR(INDEX($AG$2:$AG$1001,MATCH(ROWS($AF$2:AF801),$AF$2:$AF$1001,0),1)&gt;=100000,INDEX($AM$1005:$BM$1005,1,MATCH(COLUMNS($AM$1006:AV1006),$AM$1006:$BM$1006,0))&gt;=100000), " ",IF(INDEX($AM$2:$BM$1001,MATCH(ROWS($AF$2:AF801),$AF$2:$AF$1001,0),MATCH(COLUMNS($AM$1006:AV1006),$AM$1006:$BM$1006,0)), HYPERLINK("#",""), HYPERLINK(CONCATENATE("#metadata!", ADDRESS(INDEX($AH$2:$AH$1001,MATCH(ROWS($AF$2:AF801),$AF$2:$AF$1001,0),0), INDEX($AM$1004:$BM$1004,1,MATCH(COLUMNS($AM$1006:AV1006),$AM$1006:$BM$1006,0)))),"Fix")))</f>
        <v xml:space="preserve"> </v>
      </c>
      <c r="L801" s="4" t="str">
        <f ca="1">IF(OR(INDEX($AG$2:$AG$1001,MATCH(ROWS($AF$2:AF801),$AF$2:$AF$1001,0),1)&gt;=100000,INDEX($AM$1005:$BM$1005,1,MATCH(COLUMNS($AM$1006:AW1006),$AM$1006:$BM$1006,0))&gt;=100000), " ",IF(INDEX($AM$2:$BM$1001,MATCH(ROWS($AF$2:AF801),$AF$2:$AF$1001,0),MATCH(COLUMNS($AM$1006:AW1006),$AM$1006:$BM$1006,0)), HYPERLINK("#",""), HYPERLINK(CONCATENATE("#metadata!", ADDRESS(INDEX($AH$2:$AH$1001,MATCH(ROWS($AF$2:AF801),$AF$2:$AF$1001,0),0), INDEX($AM$1004:$BM$1004,1,MATCH(COLUMNS($AM$1006:AW1006),$AM$1006:$BM$1006,0)))),"Fix")))</f>
        <v xml:space="preserve"> </v>
      </c>
      <c r="M801" s="4" t="str">
        <f ca="1">IF(OR(INDEX($AG$2:$AG$1001,MATCH(ROWS($AF$2:AF801),$AF$2:$AF$1001,0),1)&gt;=100000,INDEX($AM$1005:$BM$1005,1,MATCH(COLUMNS($AM$1006:AX1006),$AM$1006:$BM$1006,0))&gt;=100000), " ",IF(INDEX($AM$2:$BM$1001,MATCH(ROWS($AF$2:AF801),$AF$2:$AF$1001,0),MATCH(COLUMNS($AM$1006:AX1006),$AM$1006:$BM$1006,0)), HYPERLINK("#",""), HYPERLINK(CONCATENATE("#metadata!", ADDRESS(INDEX($AH$2:$AH$1001,MATCH(ROWS($AF$2:AF801),$AF$2:$AF$1001,0),0), INDEX($AM$1004:$BM$1004,1,MATCH(COLUMNS($AM$1006:AX1006),$AM$1006:$BM$1006,0)))),"Fix")))</f>
        <v xml:space="preserve"> </v>
      </c>
      <c r="N801" s="4" t="str">
        <f ca="1">IF(OR(INDEX($AG$2:$AG$1001,MATCH(ROWS($AF$2:AF801),$AF$2:$AF$1001,0),1)&gt;=100000,INDEX($AM$1005:$BM$1005,1,MATCH(COLUMNS($AM$1006:AY1006),$AM$1006:$BM$1006,0))&gt;=100000), " ",IF(INDEX($AM$2:$BM$1001,MATCH(ROWS($AF$2:AF801),$AF$2:$AF$1001,0),MATCH(COLUMNS($AM$1006:AY1006),$AM$1006:$BM$1006,0)), HYPERLINK("#",""), HYPERLINK(CONCATENATE("#metadata!", ADDRESS(INDEX($AH$2:$AH$1001,MATCH(ROWS($AF$2:AF801),$AF$2:$AF$1001,0),0), INDEX($AM$1004:$BM$1004,1,MATCH(COLUMNS($AM$1006:AY1006),$AM$1006:$BM$1006,0)))),"Fix")))</f>
        <v xml:space="preserve"> </v>
      </c>
      <c r="O801" s="4" t="str">
        <f ca="1">IF(OR(INDEX($AG$2:$AG$1001,MATCH(ROWS($AF$2:AF801),$AF$2:$AF$1001,0),1)&gt;=100000,INDEX($AM$1005:$BM$1005,1,MATCH(COLUMNS($AM$1006:AZ1006),$AM$1006:$BM$1006,0))&gt;=100000), " ",IF(INDEX($AM$2:$BM$1001,MATCH(ROWS($AF$2:AF801),$AF$2:$AF$1001,0),MATCH(COLUMNS($AM$1006:AZ1006),$AM$1006:$BM$1006,0)), HYPERLINK("#",""), HYPERLINK(CONCATENATE("#metadata!", ADDRESS(INDEX($AH$2:$AH$1001,MATCH(ROWS($AF$2:AF801),$AF$2:$AF$1001,0),0), INDEX($AM$1004:$BM$1004,1,MATCH(COLUMNS($AM$1006:AZ1006),$AM$1006:$BM$1006,0)))),"Fix")))</f>
        <v xml:space="preserve"> </v>
      </c>
      <c r="P801" s="4" t="str">
        <f ca="1">IF(OR(INDEX($AG$2:$AG$1001,MATCH(ROWS($AF$2:AF801),$AF$2:$AF$1001,0),1)&gt;=100000,INDEX($AM$1005:$BM$1005,1,MATCH(COLUMNS($AM$1006:BA1006),$AM$1006:$BM$1006,0))&gt;=100000), " ",IF(INDEX($AM$2:$BM$1001,MATCH(ROWS($AF$2:AF801),$AF$2:$AF$1001,0),MATCH(COLUMNS($AM$1006:BA1006),$AM$1006:$BM$1006,0)), HYPERLINK("#",""), HYPERLINK(CONCATENATE("#metadata!", ADDRESS(INDEX($AH$2:$AH$1001,MATCH(ROWS($AF$2:AF801),$AF$2:$AF$1001,0),0), INDEX($AM$1004:$BM$1004,1,MATCH(COLUMNS($AM$1006:BA1006),$AM$1006:$BM$1006,0)))),"Fix")))</f>
        <v xml:space="preserve"> </v>
      </c>
      <c r="Q801" s="4" t="str">
        <f ca="1">IF(OR(INDEX($AG$2:$AG$1001,MATCH(ROWS($AF$2:AF801),$AF$2:$AF$1001,0),1)&gt;=100000,INDEX($AM$1005:$BM$1005,1,MATCH(COLUMNS($AM$1006:BB1006),$AM$1006:$BM$1006,0))&gt;=100000), " ",IF(INDEX($AM$2:$BM$1001,MATCH(ROWS($AF$2:AF801),$AF$2:$AF$1001,0),MATCH(COLUMNS($AM$1006:BB1006),$AM$1006:$BM$1006,0)), HYPERLINK("#",""), HYPERLINK(CONCATENATE("#metadata!", ADDRESS(INDEX($AH$2:$AH$1001,MATCH(ROWS($AF$2:AF801),$AF$2:$AF$1001,0),0), INDEX($AM$1004:$BM$1004,1,MATCH(COLUMNS($AM$1006:BB1006),$AM$1006:$BM$1006,0)))),"Fix")))</f>
        <v xml:space="preserve"> </v>
      </c>
      <c r="R801" s="4" t="str">
        <f ca="1">IF(OR(INDEX($AG$2:$AG$1001,MATCH(ROWS($AF$2:AF801),$AF$2:$AF$1001,0),1)&gt;=100000,INDEX($AM$1005:$BM$1005,1,MATCH(COLUMNS($AM$1006:BC1006),$AM$1006:$BM$1006,0))&gt;=100000), " ",IF(INDEX($AM$2:$BM$1001,MATCH(ROWS($AF$2:AF801),$AF$2:$AF$1001,0),MATCH(COLUMNS($AM$1006:BC1006),$AM$1006:$BM$1006,0)), HYPERLINK("#",""), HYPERLINK(CONCATENATE("#metadata!", ADDRESS(INDEX($AH$2:$AH$1001,MATCH(ROWS($AF$2:AF801),$AF$2:$AF$1001,0),0), INDEX($AM$1004:$BM$1004,1,MATCH(COLUMNS($AM$1006:BC1006),$AM$1006:$BM$1006,0)))),"Fix")))</f>
        <v xml:space="preserve"> </v>
      </c>
      <c r="S801" s="4" t="str">
        <f ca="1">IF(OR(INDEX($AG$2:$AG$1001,MATCH(ROWS($AF$2:AF801),$AF$2:$AF$1001,0),1)&gt;=100000,INDEX($AM$1005:$BM$1005,1,MATCH(COLUMNS($AM$1006:BD1006),$AM$1006:$BM$1006,0))&gt;=100000), " ",IF(INDEX($AM$2:$BM$1001,MATCH(ROWS($AF$2:AF801),$AF$2:$AF$1001,0),MATCH(COLUMNS($AM$1006:BD1006),$AM$1006:$BM$1006,0)), HYPERLINK("#",""), HYPERLINK(CONCATENATE("#metadata!", ADDRESS(INDEX($AH$2:$AH$1001,MATCH(ROWS($AF$2:AF801),$AF$2:$AF$1001,0),0), INDEX($AM$1004:$BM$1004,1,MATCH(COLUMNS($AM$1006:BD1006),$AM$1006:$BM$1006,0)))),"Fix")))</f>
        <v xml:space="preserve"> </v>
      </c>
      <c r="T801" s="4" t="str">
        <f ca="1">IF(OR(INDEX($AG$2:$AG$1001,MATCH(ROWS($AF$2:AF801),$AF$2:$AF$1001,0),1)&gt;=100000,INDEX($AM$1005:$BM$1005,1,MATCH(COLUMNS($AM$1006:BE1006),$AM$1006:$BM$1006,0))&gt;=100000), " ",IF(INDEX($AM$2:$BM$1001,MATCH(ROWS($AF$2:AF801),$AF$2:$AF$1001,0),MATCH(COLUMNS($AM$1006:BE1006),$AM$1006:$BM$1006,0)), HYPERLINK("#",""), HYPERLINK(CONCATENATE("#metadata!", ADDRESS(INDEX($AH$2:$AH$1001,MATCH(ROWS($AF$2:AF801),$AF$2:$AF$1001,0),0), INDEX($AM$1004:$BM$1004,1,MATCH(COLUMNS($AM$1006:BE1006),$AM$1006:$BM$1006,0)))),"Fix")))</f>
        <v xml:space="preserve"> </v>
      </c>
      <c r="U801" s="4" t="str">
        <f ca="1">IF(OR(INDEX($AG$2:$AG$1001,MATCH(ROWS($AF$2:AF801),$AF$2:$AF$1001,0),1)&gt;=100000,INDEX($AM$1005:$BM$1005,1,MATCH(COLUMNS($AM$1006:BF1006),$AM$1006:$BM$1006,0))&gt;=100000), " ",IF(INDEX($AM$2:$BM$1001,MATCH(ROWS($AF$2:AF801),$AF$2:$AF$1001,0),MATCH(COLUMNS($AM$1006:BF1006),$AM$1006:$BM$1006,0)), HYPERLINK("#",""), HYPERLINK(CONCATENATE("#metadata!", ADDRESS(INDEX($AH$2:$AH$1001,MATCH(ROWS($AF$2:AF801),$AF$2:$AF$1001,0),0), INDEX($AM$1004:$BM$1004,1,MATCH(COLUMNS($AM$1006:BF1006),$AM$1006:$BM$1006,0)))),"Fix")))</f>
        <v xml:space="preserve"> </v>
      </c>
      <c r="V801" s="4" t="str">
        <f ca="1">IF(OR(INDEX($AG$2:$AG$1001,MATCH(ROWS($AF$2:AF801),$AF$2:$AF$1001,0),1)&gt;=100000,INDEX($AM$1005:$BM$1005,1,MATCH(COLUMNS($AM$1006:BG1006),$AM$1006:$BM$1006,0))&gt;=100000), " ",IF(INDEX($AM$2:$BM$1001,MATCH(ROWS($AF$2:AF801),$AF$2:$AF$1001,0),MATCH(COLUMNS($AM$1006:BG1006),$AM$1006:$BM$1006,0)), HYPERLINK("#",""), HYPERLINK(CONCATENATE("#metadata!", ADDRESS(INDEX($AH$2:$AH$1001,MATCH(ROWS($AF$2:AF801),$AF$2:$AF$1001,0),0), INDEX($AM$1004:$BM$1004,1,MATCH(COLUMNS($AM$1006:BG1006),$AM$1006:$BM$1006,0)))),"Fix")))</f>
        <v xml:space="preserve"> </v>
      </c>
      <c r="W801" s="4" t="str">
        <f ca="1">IF(OR(INDEX($AG$2:$AG$1001,MATCH(ROWS($AF$2:AF801),$AF$2:$AF$1001,0),1)&gt;=100000,INDEX($AM$1005:$BM$1005,1,MATCH(COLUMNS($AM$1006:BH1006),$AM$1006:$BM$1006,0))&gt;=100000), " ",IF(INDEX($AM$2:$BM$1001,MATCH(ROWS($AF$2:AF801),$AF$2:$AF$1001,0),MATCH(COLUMNS($AM$1006:BH1006),$AM$1006:$BM$1006,0)), HYPERLINK("#",""), HYPERLINK(CONCATENATE("#metadata!", ADDRESS(INDEX($AH$2:$AH$1001,MATCH(ROWS($AF$2:AF801),$AF$2:$AF$1001,0),0), INDEX($AM$1004:$BM$1004,1,MATCH(COLUMNS($AM$1006:BH1006),$AM$1006:$BM$1006,0)))),"Fix")))</f>
        <v xml:space="preserve"> </v>
      </c>
      <c r="X801" s="4" t="str">
        <f ca="1">IF(OR(INDEX($AG$2:$AG$1001,MATCH(ROWS($AF$2:AF801),$AF$2:$AF$1001,0),1)&gt;=100000,INDEX($AM$1005:$BM$1005,1,MATCH(COLUMNS($AM$1006:BI1006),$AM$1006:$BM$1006,0))&gt;=100000), " ",IF(INDEX($AM$2:$BM$1001,MATCH(ROWS($AF$2:AF801),$AF$2:$AF$1001,0),MATCH(COLUMNS($AM$1006:BI1006),$AM$1006:$BM$1006,0)), HYPERLINK("#",""), HYPERLINK(CONCATENATE("#metadata!", ADDRESS(INDEX($AH$2:$AH$1001,MATCH(ROWS($AF$2:AF801),$AF$2:$AF$1001,0),0), INDEX($AM$1004:$BM$1004,1,MATCH(COLUMNS($AM$1006:BI1006),$AM$1006:$BM$1006,0)))),"Fix")))</f>
        <v xml:space="preserve"> </v>
      </c>
      <c r="Y801" s="4" t="str">
        <f ca="1">IF(OR(INDEX($AG$2:$AG$1001,MATCH(ROWS($AF$2:AF801),$AF$2:$AF$1001,0),1)&gt;=100000,INDEX($AM$1005:$BM$1005,1,MATCH(COLUMNS($AM$1006:BJ1006),$AM$1006:$BM$1006,0))&gt;=100000), " ",IF(INDEX($AM$2:$BM$1001,MATCH(ROWS($AF$2:AF801),$AF$2:$AF$1001,0),MATCH(COLUMNS($AM$1006:BJ1006),$AM$1006:$BM$1006,0)), HYPERLINK("#",""), HYPERLINK(CONCATENATE("#metadata!", ADDRESS(INDEX($AH$2:$AH$1001,MATCH(ROWS($AF$2:AF801),$AF$2:$AF$1001,0),0), INDEX($AM$1004:$BM$1004,1,MATCH(COLUMNS($AM$1006:BJ1006),$AM$1006:$BM$1006,0)))),"Fix")))</f>
        <v xml:space="preserve"> </v>
      </c>
      <c r="Z801" s="4" t="str">
        <f ca="1">IF(OR(INDEX($AG$2:$AG$1001,MATCH(ROWS($AF$2:AF801),$AF$2:$AF$1001,0),1)&gt;=100000,INDEX($AM$1005:$BM$1005,1,MATCH(COLUMNS($AM$1006:BK1006),$AM$1006:$BM$1006,0))&gt;=100000), " ",IF(INDEX($AM$2:$BM$1001,MATCH(ROWS($AF$2:AF801),$AF$2:$AF$1001,0),MATCH(COLUMNS($AM$1006:BK1006),$AM$1006:$BM$1006,0)), HYPERLINK("#",""), HYPERLINK(CONCATENATE("#metadata!", ADDRESS(INDEX($AH$2:$AH$1001,MATCH(ROWS($AF$2:AF801),$AF$2:$AF$1001,0),0), INDEX($AM$1004:$BM$1004,1,MATCH(COLUMNS($AM$1006:BK1006),$AM$1006:$BM$1006,0)))),"Fix")))</f>
        <v xml:space="preserve"> </v>
      </c>
      <c r="AA801" s="4" t="str">
        <f ca="1">IF(OR(INDEX($AG$2:$AG$1001,MATCH(ROWS($AF$2:AF801),$AF$2:$AF$1001,0),1)&gt;=100000,INDEX($AM$1005:$BM$1005,1,MATCH(COLUMNS($AM$1006:BL1006),$AM$1006:$BM$1006,0))&gt;=100000), " ",IF(INDEX($AM$2:$BM$1001,MATCH(ROWS($AF$2:AF801),$AF$2:$AF$1001,0),MATCH(COLUMNS($AM$1006:BL1006),$AM$1006:$BM$1006,0)), HYPERLINK("#",""), HYPERLINK(CONCATENATE("#metadata!", ADDRESS(INDEX($AH$2:$AH$1001,MATCH(ROWS($AF$2:AF801),$AF$2:$AF$1001,0),0), INDEX($AM$1004:$BM$1004,1,MATCH(COLUMNS($AM$1006:BL1006),$AM$1006:$BM$1006,0)))),"Fix")))</f>
        <v xml:space="preserve"> </v>
      </c>
      <c r="AB801" s="4" t="str">
        <f ca="1">IF(OR(INDEX($AG$2:$AG$1001,MATCH(ROWS($AF$2:AF801),$AF$2:$AF$1001,0),1)&gt;=100000,INDEX($AM$1005:$BM$1005,1,MATCH(COLUMNS($AM$1006:BM1006),$AM$1006:$BM$1006,0))&gt;=100000), " ",IF(INDEX($AM$2:$BM$1001,MATCH(ROWS($AF$2:AF801),$AF$2:$AF$1001,0),MATCH(COLUMNS($AM$1006:BM1006),$AM$1006:$BM$1006,0)), HYPERLINK("#",""), HYPERLINK(CONCATENATE("#metadata!", ADDRESS(INDEX($AH$2:$AH$1001,MATCH(ROWS($AF$2:AF801),$AF$2:$AF$1001,0),0), INDEX($AM$1004:$BM$1004,1,MATCH(COLUMNS($AM$1006:BM1006),$AM$1006:$BM$1006,0)))),"Fix")))</f>
        <v xml:space="preserve"> </v>
      </c>
      <c r="AF801">
        <v>800</v>
      </c>
      <c r="AG801">
        <v>100801</v>
      </c>
      <c r="AH801">
        <v>801</v>
      </c>
      <c r="AI801" t="b">
        <f t="shared" si="12"/>
        <v>1</v>
      </c>
      <c r="AJ801" t="b">
        <f>COUNTBLANK(metadata!B801:AB801)=COLUMNS(metadata!B801:AB801)</f>
        <v>1</v>
      </c>
      <c r="AK801" t="str">
        <v/>
      </c>
      <c r="AM801" t="b">
        <f ca="1">AND(IF(metadata!B801="",FALSE,TRUE),COUNTIF(metadata!B:B, metadata!B801) = 1,NOT(ISERROR(SUMPRODUCT(SEARCH(MID(metadata!B801,ROW(INDIRECT("1:"&amp;LEN(metadata!B801))), 1),"0123456789abcdefghijklmnopqrstuvwxyzABCDEFGHIJKLMNOPQRSTUVWXYZ.")))))</f>
        <v>0</v>
      </c>
      <c r="AN801" t="b">
        <f ca="1">OR(AND(IF(metadata!C801="",FALSE,TRUE),OR(EXACT(metadata!C801,"missing: not collected"),EXACT(metadata!C801,"missing: not provided"),EXACT(metadata!C801,"missing: restricted access"))),AND(IF(metadata!C801="",FALSE,TRUE),AND(AND(IFERROR(INT(LEFT(metadata!C801,4))&gt;1900,FALSE),IFERROR(INT(LEFT(metadata!C801,4))&lt;=YEAR(NOW()),FALSE)), OR(MID(metadata!C801,5,1)="", AND(AND(MID(metadata!C801,5,1)="-",IFERROR(INT(MID(metadata!C801,6,1))&gt;=0,FALSE),IFERROR(INT(MID(metadata!C801,6,1))&lt;=1,FALSE),NOT(MID(metadata!C801,7,1)=""),IFERROR(INT(MID(metadata!C801,6,2))&gt;=1,FALSE),IFERROR(INT(MID(metadata!C801,6,2))&lt;=12,FALSE)), OR(MID(metadata!C801,8,1)="", AND(AND(MID(metadata!C801,8,1)="-",IFERROR(INT(MID(metadata!C801,9,1))&gt;=0,FALSE),IFERROR(INT(MID(metadata!C801,9,1))&lt;=3,FALSE),NOT(MID(metadata!C801,10,1)=""),IFERROR(INT(MID(metadata!C801,9,2))&gt;=1,FALSE),IFERROR(INT(MID(metadata!C801,9,2))&lt;=31,FALSE)), OR(MID(metadata!C801,11,1)="", AND(AND(MID(metadata!C801,11,1)=" ",IFERROR(INT(MID(metadata!C801,12,1))&gt;=0,FALSE),IFERROR(INT(MID(metadata!C801,12,1))&lt;=2,FALSE),NOT(MID(metadata!C801,13,1)=""),IFERROR(INT(MID(metadata!C801,12,2))&gt;=0,FALSE),IFERROR(INT(MID(metadata!C801,12,2))&lt;=23,FALSE)), OR(MID(metadata!C801,14,1)="", AND(AND(MID(metadata!C801,14,1)=":",IFERROR(INT(MID(metadata!C801,15,1))&gt;=0,FALSE),IFERROR(INT(MID(metadata!C801,15,1))&lt;=5,FALSE),NOT(MID(metadata!C801,16,1)=""),IFERROR(INT(MID(metadata!C801,15,2))&gt;=0,FALSE),IFERROR(INT(MID(metadata!C801,15,2))&lt;=59,FALSE)), OR(MID(metadata!C801,17,1)="", AND(AND(MID(metadata!C801,17,1)=":",IFERROR(INT(MID(metadata!C801,18,1))&gt;=0,FALSE),IFERROR(INT(MID(metadata!C801,18,1))&lt;=5,FALSE),NOT(MID(metadata!C801,19,1)=""),IFERROR(INT(MID(metadata!C801,18,2))&gt;=0,FALSE),IFERROR(INT(MID(metadata!C801,18,2))&lt;=59,FALSE)), LEN(metadata!C801)&lt;=19)))))))))))))</f>
        <v>0</v>
      </c>
      <c r="AO801" t="b">
        <f>AND(IF(metadata!D801="",FALSE,TRUE),EXACT(metadata!D801,"Not applicable"))</f>
        <v>0</v>
      </c>
      <c r="AP801" t="b">
        <f>IF(metadata!E801="",FALSE,TRUE)</f>
        <v>0</v>
      </c>
      <c r="AQ801" t="b">
        <f>OR(AND(IF(metadata!F801="",FALSE,TRUE),OR(EXACT(metadata!F801,"missing: not collected"),EXACT(metadata!F801,"missing: not provided"))),AND(IF(metadata!F801="",FALSE,TRUE),OR(EXACT(metadata!F801,"TRUE"),EXACT(metadata!F801,"FALSE"))))</f>
        <v>0</v>
      </c>
      <c r="AR801" t="b">
        <f>OR(AND(IF(metadata!G801="",FALSE,TRUE),OR(EXACT(metadata!G801,"missing: not collected"),EXACT(metadata!G801,"missing: not provided"),EXACT(metadata!G801,"missing: restricted access"))),AND(IF(metadata!G801="",FALSE,ISNUMBER(VALUE(metadata!G801))),metadata!G801&gt;=-413))</f>
        <v>0</v>
      </c>
      <c r="AS801" t="b">
        <f>AND(IF(metadata!H801="",FALSE,TRUE),EXACT(metadata!H801,"meters"))</f>
        <v>0</v>
      </c>
      <c r="AT801" t="b">
        <f>AND(IF(metadata!I801="",FALSE,TRUE),OR(EXACT(metadata!I801,"Host-associated"),EXACT(metadata!I801,"Free-living")))</f>
        <v>0</v>
      </c>
      <c r="AU801" t="b">
        <f>AND(IF(metadata!J801="",FALSE,TRUE),OR(EXACT(metadata!J801,"Animal"),EXACT(metadata!J801,"Fungus"),EXACT(metadata!J801,"Plant"),EXACT(metadata!J801,"Saline"),EXACT(metadata!J801,"Non-saline")))</f>
        <v>0</v>
      </c>
      <c r="AV801" t="b">
        <f>AND(IF(metadata!K801="",FALSE,TRUE),OR(EXACT(metadata!K801,"Plant secretion"),EXACT(metadata!K801,"Plant rhizosphere"),EXACT(metadata!K801,"Plant surface"),EXACT(metadata!K801,"Plant corpus"),EXACT(metadata!K801,"Fungus surface"),EXACT(metadata!K801,"Fungus corpus"),EXACT(metadata!K801,"Animal surface"),EXACT(metadata!K801,"Animal proximal gut"),EXACT(metadata!K801,"Animal corpus"),EXACT(metadata!K801,"Animal distal gut"),EXACT(metadata!K801,"Animal secretion"),EXACT(metadata!K801,"Sub-surface (non-saline)"),EXACT(metadata!K801,"Surface (non-saline)"),EXACT(metadata!K801,"Water (non-saline)"),EXACT(metadata!K801,"Soil (non-saline)"),EXACT(metadata!K801,"Aerosol (non-saline)"),EXACT(metadata!K801,"Sediment (non-saline)"),EXACT(metadata!K801,"Surface (saline)"),EXACT(metadata!K801,"Water (saline)"),EXACT(metadata!K801,"Hypersaline (saline)"),EXACT(metadata!K801,"Aerosol (saline)"),EXACT(metadata!K801,"Sediment (saline)")))</f>
        <v>0</v>
      </c>
      <c r="AW801" t="b">
        <f>IF(metadata!L801="",FALSE,TRUE)</f>
        <v>0</v>
      </c>
      <c r="AX801" t="b">
        <f>IF(metadata!M801="",FALSE,TRUE)</f>
        <v>0</v>
      </c>
      <c r="AY801" t="b">
        <f>IF(metadata!N801="",FALSE,TRUE)</f>
        <v>0</v>
      </c>
      <c r="AZ801" t="b">
        <f>OR(AND(IF(metadata!O801="",FALSE,TRUE),OR(EXACT(metadata!O801,"missing: not collected"),EXACT(metadata!O801,"missing: not provided"),EXACT(metadata!O801,"missing: restricted access"))),AND(IF(metadata!O801="",FALSE,TRUE),OR(EXACT(metadata!O801,"air"),EXACT(metadata!O801,"built environment"),EXACT(metadata!O801,"host-associated"),EXACT(metadata!O801,"human-associated"),EXACT(metadata!O801,"human-skin"),EXACT(metadata!O801,"human-oral"),EXACT(metadata!O801,"human-gut"),EXACT(metadata!O801,"human-vaginal"),EXACT(metadata!O801,"microbial mat/biofilm"),EXACT(metadata!O801,"misc environment"),EXACT(metadata!O801,"plant-associated"),EXACT(metadata!O801,"sediment"),EXACT(metadata!O801,"soil"),EXACT(metadata!O801,"wastewater/sludge"),EXACT(metadata!O801,"water"))))</f>
        <v>0</v>
      </c>
      <c r="BA801" t="b">
        <f>IF(metadata!P801="",FALSE,TRUE)</f>
        <v>0</v>
      </c>
      <c r="BB801" t="b">
        <f>IF(metadata!Q801="",FALSE,TRUE)</f>
        <v>0</v>
      </c>
      <c r="BC801" t="b">
        <f>OR(AND(IF(metadata!R801="",FALSE,TRUE),OR(EXACT(metadata!R801,"missing: not collected"),EXACT(metadata!R801,"missing: not provided"),EXACT(metadata!R801,"missing: restricted access"))),AND(IF(metadata!R801="",FALSE,ISNUMBER(VALUE(metadata!R801))),metadata!R801&gt;=-90,metadata!R801&lt;=90))</f>
        <v>0</v>
      </c>
      <c r="BD801" t="b">
        <f>AND(IF(metadata!S801="",FALSE,TRUE),EXACT(metadata!S801,"Decimal degrees"))</f>
        <v>0</v>
      </c>
      <c r="BE801" t="b">
        <f>OR(AND(IF(metadata!T801="",FALSE,TRUE),OR(EXACT(metadata!T801,"missing: not collected"),EXACT(metadata!T801,"missing: not provided"),EXACT(metadata!T801,"missing: restricted access"))),AND(IF(metadata!T801="",FALSE,ISNUMBER(VALUE(metadata!T801))),metadata!T801&gt;=-180,metadata!T801&lt;=180))</f>
        <v>0</v>
      </c>
      <c r="BF801" t="b">
        <f>AND(IF(metadata!U801="",FALSE,TRUE),EXACT(metadata!U801,"Decimal degrees"))</f>
        <v>0</v>
      </c>
      <c r="BG801" t="b">
        <f>IF(metadata!V801="",FALSE,TRUE)</f>
        <v>0</v>
      </c>
      <c r="BH801" t="b">
        <f>OR(AND(IF(metadata!W801="",FALSE,TRUE),OR(EXACT(metadata!W801,"missing: not collected"),EXACT(metadata!W801,"missing: not provided"),EXACT(metadata!W801,"missing: restricted access"))),AND(IF(metadata!W801="",FALSE,TRUE),OR(EXACT(metadata!W801,"TRUE"),EXACT(metadata!W801,"FALSE"))))</f>
        <v>0</v>
      </c>
      <c r="BI801" t="b">
        <f>AND(IF(metadata!X801="",FALSE,TRUE),EXACT(metadata!X801,"other"))</f>
        <v>0</v>
      </c>
      <c r="BJ801" t="b">
        <f>IF(metadata!Y801="",FALSE,TRUE)</f>
        <v>0</v>
      </c>
      <c r="BK801" t="b">
        <f>OR(AND(IF(metadata!Z801="",FALSE,TRUE),OR(EXACT(metadata!Z801,"missing: not collected"),EXACT(metadata!Z801,"missing: not provided"))),AND(IF(metadata!Z801="",FALSE,IF(ISERROR(INT(metadata!Z801)),FALSE,INT(metadata!Z801)=metadata!Z801)),metadata!Z801&gt;0))</f>
        <v>0</v>
      </c>
      <c r="BL801" t="b">
        <f>AND(IF(metadata!AA801="",FALSE,TRUE),EXACT(metadata!AA801,"Not applicable"))</f>
        <v>0</v>
      </c>
      <c r="BM801" t="b">
        <f>IF(metadata!AB801="",FALSE,TRUE)</f>
        <v>0</v>
      </c>
    </row>
    <row r="802" spans="1:65" x14ac:dyDescent="0.2">
      <c r="A802" s="5" t="str">
        <f ca="1">IF(B802=" "," ",HYPERLINK(CONCATENATE("#metadata!",ADDRESS(INDEX($AH$2:$AH$1001,MATCH(ROWS($AF$2:AF802),$AF$2:$AF$1001,0),0),1)),INDEX($AK$2:$AK$1001,MATCH(ROWS($AF$2:AF802),$AF$2:$AF$1001,0),0)))</f>
        <v xml:space="preserve"> </v>
      </c>
      <c r="B802" s="4" t="str">
        <f ca="1">IF(OR(INDEX($AG$2:$AG$1001,MATCH(ROWS($AF$2:AF802),$AF$2:$AF$1001,0),1)&gt;=100000,INDEX($AM$1005:$BM$1005,1,MATCH(COLUMNS($AM$1006:AM1006),$AM$1006:$BM$1006,0))&gt;=100000), " ",IF(INDEX($AM$2:$BM$1001,MATCH(ROWS($AF$2:AF802),$AF$2:$AF$1001,0),MATCH(COLUMNS($AM$1006:AM1006),$AM$1006:$BM$1006,0)), HYPERLINK("#",""), HYPERLINK(CONCATENATE("#metadata!", ADDRESS(INDEX($AH$2:$AH$1001,MATCH(ROWS($AF$2:AF802),$AF$2:$AF$1001,0),0), INDEX($AM$1004:$BM$1004,1,MATCH(COLUMNS($AM$1006:AM1006),$AM$1006:$BM$1006,0)))),"Fix")))</f>
        <v xml:space="preserve"> </v>
      </c>
      <c r="C802" s="4" t="str">
        <f ca="1">IF(OR(INDEX($AG$2:$AG$1001,MATCH(ROWS($AF$2:AF802),$AF$2:$AF$1001,0),1)&gt;=100000,INDEX($AM$1005:$BM$1005,1,MATCH(COLUMNS($AM$1006:AN1006),$AM$1006:$BM$1006,0))&gt;=100000), " ",IF(INDEX($AM$2:$BM$1001,MATCH(ROWS($AF$2:AF802),$AF$2:$AF$1001,0),MATCH(COLUMNS($AM$1006:AN1006),$AM$1006:$BM$1006,0)), HYPERLINK("#",""), HYPERLINK(CONCATENATE("#metadata!", ADDRESS(INDEX($AH$2:$AH$1001,MATCH(ROWS($AF$2:AF802),$AF$2:$AF$1001,0),0), INDEX($AM$1004:$BM$1004,1,MATCH(COLUMNS($AM$1006:AN1006),$AM$1006:$BM$1006,0)))),"Fix")))</f>
        <v xml:space="preserve"> </v>
      </c>
      <c r="D802" s="4" t="str">
        <f ca="1">IF(OR(INDEX($AG$2:$AG$1001,MATCH(ROWS($AF$2:AF802),$AF$2:$AF$1001,0),1)&gt;=100000,INDEX($AM$1005:$BM$1005,1,MATCH(COLUMNS($AM$1006:AO1006),$AM$1006:$BM$1006,0))&gt;=100000), " ",IF(INDEX($AM$2:$BM$1001,MATCH(ROWS($AF$2:AF802),$AF$2:$AF$1001,0),MATCH(COLUMNS($AM$1006:AO1006),$AM$1006:$BM$1006,0)), HYPERLINK("#",""), HYPERLINK(CONCATENATE("#metadata!", ADDRESS(INDEX($AH$2:$AH$1001,MATCH(ROWS($AF$2:AF802),$AF$2:$AF$1001,0),0), INDEX($AM$1004:$BM$1004,1,MATCH(COLUMNS($AM$1006:AO1006),$AM$1006:$BM$1006,0)))),"Fix")))</f>
        <v xml:space="preserve"> </v>
      </c>
      <c r="E802" s="4" t="str">
        <f ca="1">IF(OR(INDEX($AG$2:$AG$1001,MATCH(ROWS($AF$2:AF802),$AF$2:$AF$1001,0),1)&gt;=100000,INDEX($AM$1005:$BM$1005,1,MATCH(COLUMNS($AM$1006:AP1006),$AM$1006:$BM$1006,0))&gt;=100000), " ",IF(INDEX($AM$2:$BM$1001,MATCH(ROWS($AF$2:AF802),$AF$2:$AF$1001,0),MATCH(COLUMNS($AM$1006:AP1006),$AM$1006:$BM$1006,0)), HYPERLINK("#",""), HYPERLINK(CONCATENATE("#metadata!", ADDRESS(INDEX($AH$2:$AH$1001,MATCH(ROWS($AF$2:AF802),$AF$2:$AF$1001,0),0), INDEX($AM$1004:$BM$1004,1,MATCH(COLUMNS($AM$1006:AP1006),$AM$1006:$BM$1006,0)))),"Fix")))</f>
        <v xml:space="preserve"> </v>
      </c>
      <c r="F802" s="4" t="str">
        <f ca="1">IF(OR(INDEX($AG$2:$AG$1001,MATCH(ROWS($AF$2:AF802),$AF$2:$AF$1001,0),1)&gt;=100000,INDEX($AM$1005:$BM$1005,1,MATCH(COLUMNS($AM$1006:AQ1006),$AM$1006:$BM$1006,0))&gt;=100000), " ",IF(INDEX($AM$2:$BM$1001,MATCH(ROWS($AF$2:AF802),$AF$2:$AF$1001,0),MATCH(COLUMNS($AM$1006:AQ1006),$AM$1006:$BM$1006,0)), HYPERLINK("#",""), HYPERLINK(CONCATENATE("#metadata!", ADDRESS(INDEX($AH$2:$AH$1001,MATCH(ROWS($AF$2:AF802),$AF$2:$AF$1001,0),0), INDEX($AM$1004:$BM$1004,1,MATCH(COLUMNS($AM$1006:AQ1006),$AM$1006:$BM$1006,0)))),"Fix")))</f>
        <v xml:space="preserve"> </v>
      </c>
      <c r="G802" s="4" t="str">
        <f ca="1">IF(OR(INDEX($AG$2:$AG$1001,MATCH(ROWS($AF$2:AF802),$AF$2:$AF$1001,0),1)&gt;=100000,INDEX($AM$1005:$BM$1005,1,MATCH(COLUMNS($AM$1006:AR1006),$AM$1006:$BM$1006,0))&gt;=100000), " ",IF(INDEX($AM$2:$BM$1001,MATCH(ROWS($AF$2:AF802),$AF$2:$AF$1001,0),MATCH(COLUMNS($AM$1006:AR1006),$AM$1006:$BM$1006,0)), HYPERLINK("#",""), HYPERLINK(CONCATENATE("#metadata!", ADDRESS(INDEX($AH$2:$AH$1001,MATCH(ROWS($AF$2:AF802),$AF$2:$AF$1001,0),0), INDEX($AM$1004:$BM$1004,1,MATCH(COLUMNS($AM$1006:AR1006),$AM$1006:$BM$1006,0)))),"Fix")))</f>
        <v xml:space="preserve"> </v>
      </c>
      <c r="H802" s="4" t="str">
        <f ca="1">IF(OR(INDEX($AG$2:$AG$1001,MATCH(ROWS($AF$2:AF802),$AF$2:$AF$1001,0),1)&gt;=100000,INDEX($AM$1005:$BM$1005,1,MATCH(COLUMNS($AM$1006:AS1006),$AM$1006:$BM$1006,0))&gt;=100000), " ",IF(INDEX($AM$2:$BM$1001,MATCH(ROWS($AF$2:AF802),$AF$2:$AF$1001,0),MATCH(COLUMNS($AM$1006:AS1006),$AM$1006:$BM$1006,0)), HYPERLINK("#",""), HYPERLINK(CONCATENATE("#metadata!", ADDRESS(INDEX($AH$2:$AH$1001,MATCH(ROWS($AF$2:AF802),$AF$2:$AF$1001,0),0), INDEX($AM$1004:$BM$1004,1,MATCH(COLUMNS($AM$1006:AS1006),$AM$1006:$BM$1006,0)))),"Fix")))</f>
        <v xml:space="preserve"> </v>
      </c>
      <c r="I802" s="4" t="str">
        <f ca="1">IF(OR(INDEX($AG$2:$AG$1001,MATCH(ROWS($AF$2:AF802),$AF$2:$AF$1001,0),1)&gt;=100000,INDEX($AM$1005:$BM$1005,1,MATCH(COLUMNS($AM$1006:AT1006),$AM$1006:$BM$1006,0))&gt;=100000), " ",IF(INDEX($AM$2:$BM$1001,MATCH(ROWS($AF$2:AF802),$AF$2:$AF$1001,0),MATCH(COLUMNS($AM$1006:AT1006),$AM$1006:$BM$1006,0)), HYPERLINK("#",""), HYPERLINK(CONCATENATE("#metadata!", ADDRESS(INDEX($AH$2:$AH$1001,MATCH(ROWS($AF$2:AF802),$AF$2:$AF$1001,0),0), INDEX($AM$1004:$BM$1004,1,MATCH(COLUMNS($AM$1006:AT1006),$AM$1006:$BM$1006,0)))),"Fix")))</f>
        <v xml:space="preserve"> </v>
      </c>
      <c r="J802" s="4" t="str">
        <f ca="1">IF(OR(INDEX($AG$2:$AG$1001,MATCH(ROWS($AF$2:AF802),$AF$2:$AF$1001,0),1)&gt;=100000,INDEX($AM$1005:$BM$1005,1,MATCH(COLUMNS($AM$1006:AU1006),$AM$1006:$BM$1006,0))&gt;=100000), " ",IF(INDEX($AM$2:$BM$1001,MATCH(ROWS($AF$2:AF802),$AF$2:$AF$1001,0),MATCH(COLUMNS($AM$1006:AU1006),$AM$1006:$BM$1006,0)), HYPERLINK("#",""), HYPERLINK(CONCATENATE("#metadata!", ADDRESS(INDEX($AH$2:$AH$1001,MATCH(ROWS($AF$2:AF802),$AF$2:$AF$1001,0),0), INDEX($AM$1004:$BM$1004,1,MATCH(COLUMNS($AM$1006:AU1006),$AM$1006:$BM$1006,0)))),"Fix")))</f>
        <v xml:space="preserve"> </v>
      </c>
      <c r="K802" s="4" t="str">
        <f ca="1">IF(OR(INDEX($AG$2:$AG$1001,MATCH(ROWS($AF$2:AF802),$AF$2:$AF$1001,0),1)&gt;=100000,INDEX($AM$1005:$BM$1005,1,MATCH(COLUMNS($AM$1006:AV1006),$AM$1006:$BM$1006,0))&gt;=100000), " ",IF(INDEX($AM$2:$BM$1001,MATCH(ROWS($AF$2:AF802),$AF$2:$AF$1001,0),MATCH(COLUMNS($AM$1006:AV1006),$AM$1006:$BM$1006,0)), HYPERLINK("#",""), HYPERLINK(CONCATENATE("#metadata!", ADDRESS(INDEX($AH$2:$AH$1001,MATCH(ROWS($AF$2:AF802),$AF$2:$AF$1001,0),0), INDEX($AM$1004:$BM$1004,1,MATCH(COLUMNS($AM$1006:AV1006),$AM$1006:$BM$1006,0)))),"Fix")))</f>
        <v xml:space="preserve"> </v>
      </c>
      <c r="L802" s="4" t="str">
        <f ca="1">IF(OR(INDEX($AG$2:$AG$1001,MATCH(ROWS($AF$2:AF802),$AF$2:$AF$1001,0),1)&gt;=100000,INDEX($AM$1005:$BM$1005,1,MATCH(COLUMNS($AM$1006:AW1006),$AM$1006:$BM$1006,0))&gt;=100000), " ",IF(INDEX($AM$2:$BM$1001,MATCH(ROWS($AF$2:AF802),$AF$2:$AF$1001,0),MATCH(COLUMNS($AM$1006:AW1006),$AM$1006:$BM$1006,0)), HYPERLINK("#",""), HYPERLINK(CONCATENATE("#metadata!", ADDRESS(INDEX($AH$2:$AH$1001,MATCH(ROWS($AF$2:AF802),$AF$2:$AF$1001,0),0), INDEX($AM$1004:$BM$1004,1,MATCH(COLUMNS($AM$1006:AW1006),$AM$1006:$BM$1006,0)))),"Fix")))</f>
        <v xml:space="preserve"> </v>
      </c>
      <c r="M802" s="4" t="str">
        <f ca="1">IF(OR(INDEX($AG$2:$AG$1001,MATCH(ROWS($AF$2:AF802),$AF$2:$AF$1001,0),1)&gt;=100000,INDEX($AM$1005:$BM$1005,1,MATCH(COLUMNS($AM$1006:AX1006),$AM$1006:$BM$1006,0))&gt;=100000), " ",IF(INDEX($AM$2:$BM$1001,MATCH(ROWS($AF$2:AF802),$AF$2:$AF$1001,0),MATCH(COLUMNS($AM$1006:AX1006),$AM$1006:$BM$1006,0)), HYPERLINK("#",""), HYPERLINK(CONCATENATE("#metadata!", ADDRESS(INDEX($AH$2:$AH$1001,MATCH(ROWS($AF$2:AF802),$AF$2:$AF$1001,0),0), INDEX($AM$1004:$BM$1004,1,MATCH(COLUMNS($AM$1006:AX1006),$AM$1006:$BM$1006,0)))),"Fix")))</f>
        <v xml:space="preserve"> </v>
      </c>
      <c r="N802" s="4" t="str">
        <f ca="1">IF(OR(INDEX($AG$2:$AG$1001,MATCH(ROWS($AF$2:AF802),$AF$2:$AF$1001,0),1)&gt;=100000,INDEX($AM$1005:$BM$1005,1,MATCH(COLUMNS($AM$1006:AY1006),$AM$1006:$BM$1006,0))&gt;=100000), " ",IF(INDEX($AM$2:$BM$1001,MATCH(ROWS($AF$2:AF802),$AF$2:$AF$1001,0),MATCH(COLUMNS($AM$1006:AY1006),$AM$1006:$BM$1006,0)), HYPERLINK("#",""), HYPERLINK(CONCATENATE("#metadata!", ADDRESS(INDEX($AH$2:$AH$1001,MATCH(ROWS($AF$2:AF802),$AF$2:$AF$1001,0),0), INDEX($AM$1004:$BM$1004,1,MATCH(COLUMNS($AM$1006:AY1006),$AM$1006:$BM$1006,0)))),"Fix")))</f>
        <v xml:space="preserve"> </v>
      </c>
      <c r="O802" s="4" t="str">
        <f ca="1">IF(OR(INDEX($AG$2:$AG$1001,MATCH(ROWS($AF$2:AF802),$AF$2:$AF$1001,0),1)&gt;=100000,INDEX($AM$1005:$BM$1005,1,MATCH(COLUMNS($AM$1006:AZ1006),$AM$1006:$BM$1006,0))&gt;=100000), " ",IF(INDEX($AM$2:$BM$1001,MATCH(ROWS($AF$2:AF802),$AF$2:$AF$1001,0),MATCH(COLUMNS($AM$1006:AZ1006),$AM$1006:$BM$1006,0)), HYPERLINK("#",""), HYPERLINK(CONCATENATE("#metadata!", ADDRESS(INDEX($AH$2:$AH$1001,MATCH(ROWS($AF$2:AF802),$AF$2:$AF$1001,0),0), INDEX($AM$1004:$BM$1004,1,MATCH(COLUMNS($AM$1006:AZ1006),$AM$1006:$BM$1006,0)))),"Fix")))</f>
        <v xml:space="preserve"> </v>
      </c>
      <c r="P802" s="4" t="str">
        <f ca="1">IF(OR(INDEX($AG$2:$AG$1001,MATCH(ROWS($AF$2:AF802),$AF$2:$AF$1001,0),1)&gt;=100000,INDEX($AM$1005:$BM$1005,1,MATCH(COLUMNS($AM$1006:BA1006),$AM$1006:$BM$1006,0))&gt;=100000), " ",IF(INDEX($AM$2:$BM$1001,MATCH(ROWS($AF$2:AF802),$AF$2:$AF$1001,0),MATCH(COLUMNS($AM$1006:BA1006),$AM$1006:$BM$1006,0)), HYPERLINK("#",""), HYPERLINK(CONCATENATE("#metadata!", ADDRESS(INDEX($AH$2:$AH$1001,MATCH(ROWS($AF$2:AF802),$AF$2:$AF$1001,0),0), INDEX($AM$1004:$BM$1004,1,MATCH(COLUMNS($AM$1006:BA1006),$AM$1006:$BM$1006,0)))),"Fix")))</f>
        <v xml:space="preserve"> </v>
      </c>
      <c r="Q802" s="4" t="str">
        <f ca="1">IF(OR(INDEX($AG$2:$AG$1001,MATCH(ROWS($AF$2:AF802),$AF$2:$AF$1001,0),1)&gt;=100000,INDEX($AM$1005:$BM$1005,1,MATCH(COLUMNS($AM$1006:BB1006),$AM$1006:$BM$1006,0))&gt;=100000), " ",IF(INDEX($AM$2:$BM$1001,MATCH(ROWS($AF$2:AF802),$AF$2:$AF$1001,0),MATCH(COLUMNS($AM$1006:BB1006),$AM$1006:$BM$1006,0)), HYPERLINK("#",""), HYPERLINK(CONCATENATE("#metadata!", ADDRESS(INDEX($AH$2:$AH$1001,MATCH(ROWS($AF$2:AF802),$AF$2:$AF$1001,0),0), INDEX($AM$1004:$BM$1004,1,MATCH(COLUMNS($AM$1006:BB1006),$AM$1006:$BM$1006,0)))),"Fix")))</f>
        <v xml:space="preserve"> </v>
      </c>
      <c r="R802" s="4" t="str">
        <f ca="1">IF(OR(INDEX($AG$2:$AG$1001,MATCH(ROWS($AF$2:AF802),$AF$2:$AF$1001,0),1)&gt;=100000,INDEX($AM$1005:$BM$1005,1,MATCH(COLUMNS($AM$1006:BC1006),$AM$1006:$BM$1006,0))&gt;=100000), " ",IF(INDEX($AM$2:$BM$1001,MATCH(ROWS($AF$2:AF802),$AF$2:$AF$1001,0),MATCH(COLUMNS($AM$1006:BC1006),$AM$1006:$BM$1006,0)), HYPERLINK("#",""), HYPERLINK(CONCATENATE("#metadata!", ADDRESS(INDEX($AH$2:$AH$1001,MATCH(ROWS($AF$2:AF802),$AF$2:$AF$1001,0),0), INDEX($AM$1004:$BM$1004,1,MATCH(COLUMNS($AM$1006:BC1006),$AM$1006:$BM$1006,0)))),"Fix")))</f>
        <v xml:space="preserve"> </v>
      </c>
      <c r="S802" s="4" t="str">
        <f ca="1">IF(OR(INDEX($AG$2:$AG$1001,MATCH(ROWS($AF$2:AF802),$AF$2:$AF$1001,0),1)&gt;=100000,INDEX($AM$1005:$BM$1005,1,MATCH(COLUMNS($AM$1006:BD1006),$AM$1006:$BM$1006,0))&gt;=100000), " ",IF(INDEX($AM$2:$BM$1001,MATCH(ROWS($AF$2:AF802),$AF$2:$AF$1001,0),MATCH(COLUMNS($AM$1006:BD1006),$AM$1006:$BM$1006,0)), HYPERLINK("#",""), HYPERLINK(CONCATENATE("#metadata!", ADDRESS(INDEX($AH$2:$AH$1001,MATCH(ROWS($AF$2:AF802),$AF$2:$AF$1001,0),0), INDEX($AM$1004:$BM$1004,1,MATCH(COLUMNS($AM$1006:BD1006),$AM$1006:$BM$1006,0)))),"Fix")))</f>
        <v xml:space="preserve"> </v>
      </c>
      <c r="T802" s="4" t="str">
        <f ca="1">IF(OR(INDEX($AG$2:$AG$1001,MATCH(ROWS($AF$2:AF802),$AF$2:$AF$1001,0),1)&gt;=100000,INDEX($AM$1005:$BM$1005,1,MATCH(COLUMNS($AM$1006:BE1006),$AM$1006:$BM$1006,0))&gt;=100000), " ",IF(INDEX($AM$2:$BM$1001,MATCH(ROWS($AF$2:AF802),$AF$2:$AF$1001,0),MATCH(COLUMNS($AM$1006:BE1006),$AM$1006:$BM$1006,0)), HYPERLINK("#",""), HYPERLINK(CONCATENATE("#metadata!", ADDRESS(INDEX($AH$2:$AH$1001,MATCH(ROWS($AF$2:AF802),$AF$2:$AF$1001,0),0), INDEX($AM$1004:$BM$1004,1,MATCH(COLUMNS($AM$1006:BE1006),$AM$1006:$BM$1006,0)))),"Fix")))</f>
        <v xml:space="preserve"> </v>
      </c>
      <c r="U802" s="4" t="str">
        <f ca="1">IF(OR(INDEX($AG$2:$AG$1001,MATCH(ROWS($AF$2:AF802),$AF$2:$AF$1001,0),1)&gt;=100000,INDEX($AM$1005:$BM$1005,1,MATCH(COLUMNS($AM$1006:BF1006),$AM$1006:$BM$1006,0))&gt;=100000), " ",IF(INDEX($AM$2:$BM$1001,MATCH(ROWS($AF$2:AF802),$AF$2:$AF$1001,0),MATCH(COLUMNS($AM$1006:BF1006),$AM$1006:$BM$1006,0)), HYPERLINK("#",""), HYPERLINK(CONCATENATE("#metadata!", ADDRESS(INDEX($AH$2:$AH$1001,MATCH(ROWS($AF$2:AF802),$AF$2:$AF$1001,0),0), INDEX($AM$1004:$BM$1004,1,MATCH(COLUMNS($AM$1006:BF1006),$AM$1006:$BM$1006,0)))),"Fix")))</f>
        <v xml:space="preserve"> </v>
      </c>
      <c r="V802" s="4" t="str">
        <f ca="1">IF(OR(INDEX($AG$2:$AG$1001,MATCH(ROWS($AF$2:AF802),$AF$2:$AF$1001,0),1)&gt;=100000,INDEX($AM$1005:$BM$1005,1,MATCH(COLUMNS($AM$1006:BG1006),$AM$1006:$BM$1006,0))&gt;=100000), " ",IF(INDEX($AM$2:$BM$1001,MATCH(ROWS($AF$2:AF802),$AF$2:$AF$1001,0),MATCH(COLUMNS($AM$1006:BG1006),$AM$1006:$BM$1006,0)), HYPERLINK("#",""), HYPERLINK(CONCATENATE("#metadata!", ADDRESS(INDEX($AH$2:$AH$1001,MATCH(ROWS($AF$2:AF802),$AF$2:$AF$1001,0),0), INDEX($AM$1004:$BM$1004,1,MATCH(COLUMNS($AM$1006:BG1006),$AM$1006:$BM$1006,0)))),"Fix")))</f>
        <v xml:space="preserve"> </v>
      </c>
      <c r="W802" s="4" t="str">
        <f ca="1">IF(OR(INDEX($AG$2:$AG$1001,MATCH(ROWS($AF$2:AF802),$AF$2:$AF$1001,0),1)&gt;=100000,INDEX($AM$1005:$BM$1005,1,MATCH(COLUMNS($AM$1006:BH1006),$AM$1006:$BM$1006,0))&gt;=100000), " ",IF(INDEX($AM$2:$BM$1001,MATCH(ROWS($AF$2:AF802),$AF$2:$AF$1001,0),MATCH(COLUMNS($AM$1006:BH1006),$AM$1006:$BM$1006,0)), HYPERLINK("#",""), HYPERLINK(CONCATENATE("#metadata!", ADDRESS(INDEX($AH$2:$AH$1001,MATCH(ROWS($AF$2:AF802),$AF$2:$AF$1001,0),0), INDEX($AM$1004:$BM$1004,1,MATCH(COLUMNS($AM$1006:BH1006),$AM$1006:$BM$1006,0)))),"Fix")))</f>
        <v xml:space="preserve"> </v>
      </c>
      <c r="X802" s="4" t="str">
        <f ca="1">IF(OR(INDEX($AG$2:$AG$1001,MATCH(ROWS($AF$2:AF802),$AF$2:$AF$1001,0),1)&gt;=100000,INDEX($AM$1005:$BM$1005,1,MATCH(COLUMNS($AM$1006:BI1006),$AM$1006:$BM$1006,0))&gt;=100000), " ",IF(INDEX($AM$2:$BM$1001,MATCH(ROWS($AF$2:AF802),$AF$2:$AF$1001,0),MATCH(COLUMNS($AM$1006:BI1006),$AM$1006:$BM$1006,0)), HYPERLINK("#",""), HYPERLINK(CONCATENATE("#metadata!", ADDRESS(INDEX($AH$2:$AH$1001,MATCH(ROWS($AF$2:AF802),$AF$2:$AF$1001,0),0), INDEX($AM$1004:$BM$1004,1,MATCH(COLUMNS($AM$1006:BI1006),$AM$1006:$BM$1006,0)))),"Fix")))</f>
        <v xml:space="preserve"> </v>
      </c>
      <c r="Y802" s="4" t="str">
        <f ca="1">IF(OR(INDEX($AG$2:$AG$1001,MATCH(ROWS($AF$2:AF802),$AF$2:$AF$1001,0),1)&gt;=100000,INDEX($AM$1005:$BM$1005,1,MATCH(COLUMNS($AM$1006:BJ1006),$AM$1006:$BM$1006,0))&gt;=100000), " ",IF(INDEX($AM$2:$BM$1001,MATCH(ROWS($AF$2:AF802),$AF$2:$AF$1001,0),MATCH(COLUMNS($AM$1006:BJ1006),$AM$1006:$BM$1006,0)), HYPERLINK("#",""), HYPERLINK(CONCATENATE("#metadata!", ADDRESS(INDEX($AH$2:$AH$1001,MATCH(ROWS($AF$2:AF802),$AF$2:$AF$1001,0),0), INDEX($AM$1004:$BM$1004,1,MATCH(COLUMNS($AM$1006:BJ1006),$AM$1006:$BM$1006,0)))),"Fix")))</f>
        <v xml:space="preserve"> </v>
      </c>
      <c r="Z802" s="4" t="str">
        <f ca="1">IF(OR(INDEX($AG$2:$AG$1001,MATCH(ROWS($AF$2:AF802),$AF$2:$AF$1001,0),1)&gt;=100000,INDEX($AM$1005:$BM$1005,1,MATCH(COLUMNS($AM$1006:BK1006),$AM$1006:$BM$1006,0))&gt;=100000), " ",IF(INDEX($AM$2:$BM$1001,MATCH(ROWS($AF$2:AF802),$AF$2:$AF$1001,0),MATCH(COLUMNS($AM$1006:BK1006),$AM$1006:$BM$1006,0)), HYPERLINK("#",""), HYPERLINK(CONCATENATE("#metadata!", ADDRESS(INDEX($AH$2:$AH$1001,MATCH(ROWS($AF$2:AF802),$AF$2:$AF$1001,0),0), INDEX($AM$1004:$BM$1004,1,MATCH(COLUMNS($AM$1006:BK1006),$AM$1006:$BM$1006,0)))),"Fix")))</f>
        <v xml:space="preserve"> </v>
      </c>
      <c r="AA802" s="4" t="str">
        <f ca="1">IF(OR(INDEX($AG$2:$AG$1001,MATCH(ROWS($AF$2:AF802),$AF$2:$AF$1001,0),1)&gt;=100000,INDEX($AM$1005:$BM$1005,1,MATCH(COLUMNS($AM$1006:BL1006),$AM$1006:$BM$1006,0))&gt;=100000), " ",IF(INDEX($AM$2:$BM$1001,MATCH(ROWS($AF$2:AF802),$AF$2:$AF$1001,0),MATCH(COLUMNS($AM$1006:BL1006),$AM$1006:$BM$1006,0)), HYPERLINK("#",""), HYPERLINK(CONCATENATE("#metadata!", ADDRESS(INDEX($AH$2:$AH$1001,MATCH(ROWS($AF$2:AF802),$AF$2:$AF$1001,0),0), INDEX($AM$1004:$BM$1004,1,MATCH(COLUMNS($AM$1006:BL1006),$AM$1006:$BM$1006,0)))),"Fix")))</f>
        <v xml:space="preserve"> </v>
      </c>
      <c r="AB802" s="4" t="str">
        <f ca="1">IF(OR(INDEX($AG$2:$AG$1001,MATCH(ROWS($AF$2:AF802),$AF$2:$AF$1001,0),1)&gt;=100000,INDEX($AM$1005:$BM$1005,1,MATCH(COLUMNS($AM$1006:BM1006),$AM$1006:$BM$1006,0))&gt;=100000), " ",IF(INDEX($AM$2:$BM$1001,MATCH(ROWS($AF$2:AF802),$AF$2:$AF$1001,0),MATCH(COLUMNS($AM$1006:BM1006),$AM$1006:$BM$1006,0)), HYPERLINK("#",""), HYPERLINK(CONCATENATE("#metadata!", ADDRESS(INDEX($AH$2:$AH$1001,MATCH(ROWS($AF$2:AF802),$AF$2:$AF$1001,0),0), INDEX($AM$1004:$BM$1004,1,MATCH(COLUMNS($AM$1006:BM1006),$AM$1006:$BM$1006,0)))),"Fix")))</f>
        <v xml:space="preserve"> </v>
      </c>
      <c r="AF802">
        <v>801</v>
      </c>
      <c r="AG802">
        <v>100802</v>
      </c>
      <c r="AH802">
        <v>802</v>
      </c>
      <c r="AI802" t="b">
        <f t="shared" si="12"/>
        <v>1</v>
      </c>
      <c r="AJ802" t="b">
        <f>COUNTBLANK(metadata!B802:AB802)=COLUMNS(metadata!B802:AB802)</f>
        <v>1</v>
      </c>
      <c r="AK802" t="str">
        <v/>
      </c>
      <c r="AM802" t="b">
        <f ca="1">AND(IF(metadata!B802="",FALSE,TRUE),COUNTIF(metadata!B:B, metadata!B802) = 1,NOT(ISERROR(SUMPRODUCT(SEARCH(MID(metadata!B802,ROW(INDIRECT("1:"&amp;LEN(metadata!B802))), 1),"0123456789abcdefghijklmnopqrstuvwxyzABCDEFGHIJKLMNOPQRSTUVWXYZ.")))))</f>
        <v>0</v>
      </c>
      <c r="AN802" t="b">
        <f ca="1">OR(AND(IF(metadata!C802="",FALSE,TRUE),OR(EXACT(metadata!C802,"missing: not collected"),EXACT(metadata!C802,"missing: not provided"),EXACT(metadata!C802,"missing: restricted access"))),AND(IF(metadata!C802="",FALSE,TRUE),AND(AND(IFERROR(INT(LEFT(metadata!C802,4))&gt;1900,FALSE),IFERROR(INT(LEFT(metadata!C802,4))&lt;=YEAR(NOW()),FALSE)), OR(MID(metadata!C802,5,1)="", AND(AND(MID(metadata!C802,5,1)="-",IFERROR(INT(MID(metadata!C802,6,1))&gt;=0,FALSE),IFERROR(INT(MID(metadata!C802,6,1))&lt;=1,FALSE),NOT(MID(metadata!C802,7,1)=""),IFERROR(INT(MID(metadata!C802,6,2))&gt;=1,FALSE),IFERROR(INT(MID(metadata!C802,6,2))&lt;=12,FALSE)), OR(MID(metadata!C802,8,1)="", AND(AND(MID(metadata!C802,8,1)="-",IFERROR(INT(MID(metadata!C802,9,1))&gt;=0,FALSE),IFERROR(INT(MID(metadata!C802,9,1))&lt;=3,FALSE),NOT(MID(metadata!C802,10,1)=""),IFERROR(INT(MID(metadata!C802,9,2))&gt;=1,FALSE),IFERROR(INT(MID(metadata!C802,9,2))&lt;=31,FALSE)), OR(MID(metadata!C802,11,1)="", AND(AND(MID(metadata!C802,11,1)=" ",IFERROR(INT(MID(metadata!C802,12,1))&gt;=0,FALSE),IFERROR(INT(MID(metadata!C802,12,1))&lt;=2,FALSE),NOT(MID(metadata!C802,13,1)=""),IFERROR(INT(MID(metadata!C802,12,2))&gt;=0,FALSE),IFERROR(INT(MID(metadata!C802,12,2))&lt;=23,FALSE)), OR(MID(metadata!C802,14,1)="", AND(AND(MID(metadata!C802,14,1)=":",IFERROR(INT(MID(metadata!C802,15,1))&gt;=0,FALSE),IFERROR(INT(MID(metadata!C802,15,1))&lt;=5,FALSE),NOT(MID(metadata!C802,16,1)=""),IFERROR(INT(MID(metadata!C802,15,2))&gt;=0,FALSE),IFERROR(INT(MID(metadata!C802,15,2))&lt;=59,FALSE)), OR(MID(metadata!C802,17,1)="", AND(AND(MID(metadata!C802,17,1)=":",IFERROR(INT(MID(metadata!C802,18,1))&gt;=0,FALSE),IFERROR(INT(MID(metadata!C802,18,1))&lt;=5,FALSE),NOT(MID(metadata!C802,19,1)=""),IFERROR(INT(MID(metadata!C802,18,2))&gt;=0,FALSE),IFERROR(INT(MID(metadata!C802,18,2))&lt;=59,FALSE)), LEN(metadata!C802)&lt;=19)))))))))))))</f>
        <v>0</v>
      </c>
      <c r="AO802" t="b">
        <f>AND(IF(metadata!D802="",FALSE,TRUE),EXACT(metadata!D802,"Not applicable"))</f>
        <v>0</v>
      </c>
      <c r="AP802" t="b">
        <f>IF(metadata!E802="",FALSE,TRUE)</f>
        <v>0</v>
      </c>
      <c r="AQ802" t="b">
        <f>OR(AND(IF(metadata!F802="",FALSE,TRUE),OR(EXACT(metadata!F802,"missing: not collected"),EXACT(metadata!F802,"missing: not provided"))),AND(IF(metadata!F802="",FALSE,TRUE),OR(EXACT(metadata!F802,"TRUE"),EXACT(metadata!F802,"FALSE"))))</f>
        <v>0</v>
      </c>
      <c r="AR802" t="b">
        <f>OR(AND(IF(metadata!G802="",FALSE,TRUE),OR(EXACT(metadata!G802,"missing: not collected"),EXACT(metadata!G802,"missing: not provided"),EXACT(metadata!G802,"missing: restricted access"))),AND(IF(metadata!G802="",FALSE,ISNUMBER(VALUE(metadata!G802))),metadata!G802&gt;=-413))</f>
        <v>0</v>
      </c>
      <c r="AS802" t="b">
        <f>AND(IF(metadata!H802="",FALSE,TRUE),EXACT(metadata!H802,"meters"))</f>
        <v>0</v>
      </c>
      <c r="AT802" t="b">
        <f>AND(IF(metadata!I802="",FALSE,TRUE),OR(EXACT(metadata!I802,"Host-associated"),EXACT(metadata!I802,"Free-living")))</f>
        <v>0</v>
      </c>
      <c r="AU802" t="b">
        <f>AND(IF(metadata!J802="",FALSE,TRUE),OR(EXACT(metadata!J802,"Animal"),EXACT(metadata!J802,"Fungus"),EXACT(metadata!J802,"Plant"),EXACT(metadata!J802,"Saline"),EXACT(metadata!J802,"Non-saline")))</f>
        <v>0</v>
      </c>
      <c r="AV802" t="b">
        <f>AND(IF(metadata!K802="",FALSE,TRUE),OR(EXACT(metadata!K802,"Plant secretion"),EXACT(metadata!K802,"Plant rhizosphere"),EXACT(metadata!K802,"Plant surface"),EXACT(metadata!K802,"Plant corpus"),EXACT(metadata!K802,"Fungus surface"),EXACT(metadata!K802,"Fungus corpus"),EXACT(metadata!K802,"Animal surface"),EXACT(metadata!K802,"Animal proximal gut"),EXACT(metadata!K802,"Animal corpus"),EXACT(metadata!K802,"Animal distal gut"),EXACT(metadata!K802,"Animal secretion"),EXACT(metadata!K802,"Sub-surface (non-saline)"),EXACT(metadata!K802,"Surface (non-saline)"),EXACT(metadata!K802,"Water (non-saline)"),EXACT(metadata!K802,"Soil (non-saline)"),EXACT(metadata!K802,"Aerosol (non-saline)"),EXACT(metadata!K802,"Sediment (non-saline)"),EXACT(metadata!K802,"Surface (saline)"),EXACT(metadata!K802,"Water (saline)"),EXACT(metadata!K802,"Hypersaline (saline)"),EXACT(metadata!K802,"Aerosol (saline)"),EXACT(metadata!K802,"Sediment (saline)")))</f>
        <v>0</v>
      </c>
      <c r="AW802" t="b">
        <f>IF(metadata!L802="",FALSE,TRUE)</f>
        <v>0</v>
      </c>
      <c r="AX802" t="b">
        <f>IF(metadata!M802="",FALSE,TRUE)</f>
        <v>0</v>
      </c>
      <c r="AY802" t="b">
        <f>IF(metadata!N802="",FALSE,TRUE)</f>
        <v>0</v>
      </c>
      <c r="AZ802" t="b">
        <f>OR(AND(IF(metadata!O802="",FALSE,TRUE),OR(EXACT(metadata!O802,"missing: not collected"),EXACT(metadata!O802,"missing: not provided"),EXACT(metadata!O802,"missing: restricted access"))),AND(IF(metadata!O802="",FALSE,TRUE),OR(EXACT(metadata!O802,"air"),EXACT(metadata!O802,"built environment"),EXACT(metadata!O802,"host-associated"),EXACT(metadata!O802,"human-associated"),EXACT(metadata!O802,"human-skin"),EXACT(metadata!O802,"human-oral"),EXACT(metadata!O802,"human-gut"),EXACT(metadata!O802,"human-vaginal"),EXACT(metadata!O802,"microbial mat/biofilm"),EXACT(metadata!O802,"misc environment"),EXACT(metadata!O802,"plant-associated"),EXACT(metadata!O802,"sediment"),EXACT(metadata!O802,"soil"),EXACT(metadata!O802,"wastewater/sludge"),EXACT(metadata!O802,"water"))))</f>
        <v>0</v>
      </c>
      <c r="BA802" t="b">
        <f>IF(metadata!P802="",FALSE,TRUE)</f>
        <v>0</v>
      </c>
      <c r="BB802" t="b">
        <f>IF(metadata!Q802="",FALSE,TRUE)</f>
        <v>0</v>
      </c>
      <c r="BC802" t="b">
        <f>OR(AND(IF(metadata!R802="",FALSE,TRUE),OR(EXACT(metadata!R802,"missing: not collected"),EXACT(metadata!R802,"missing: not provided"),EXACT(metadata!R802,"missing: restricted access"))),AND(IF(metadata!R802="",FALSE,ISNUMBER(VALUE(metadata!R802))),metadata!R802&gt;=-90,metadata!R802&lt;=90))</f>
        <v>0</v>
      </c>
      <c r="BD802" t="b">
        <f>AND(IF(metadata!S802="",FALSE,TRUE),EXACT(metadata!S802,"Decimal degrees"))</f>
        <v>0</v>
      </c>
      <c r="BE802" t="b">
        <f>OR(AND(IF(metadata!T802="",FALSE,TRUE),OR(EXACT(metadata!T802,"missing: not collected"),EXACT(metadata!T802,"missing: not provided"),EXACT(metadata!T802,"missing: restricted access"))),AND(IF(metadata!T802="",FALSE,ISNUMBER(VALUE(metadata!T802))),metadata!T802&gt;=-180,metadata!T802&lt;=180))</f>
        <v>0</v>
      </c>
      <c r="BF802" t="b">
        <f>AND(IF(metadata!U802="",FALSE,TRUE),EXACT(metadata!U802,"Decimal degrees"))</f>
        <v>0</v>
      </c>
      <c r="BG802" t="b">
        <f>IF(metadata!V802="",FALSE,TRUE)</f>
        <v>0</v>
      </c>
      <c r="BH802" t="b">
        <f>OR(AND(IF(metadata!W802="",FALSE,TRUE),OR(EXACT(metadata!W802,"missing: not collected"),EXACT(metadata!W802,"missing: not provided"),EXACT(metadata!W802,"missing: restricted access"))),AND(IF(metadata!W802="",FALSE,TRUE),OR(EXACT(metadata!W802,"TRUE"),EXACT(metadata!W802,"FALSE"))))</f>
        <v>0</v>
      </c>
      <c r="BI802" t="b">
        <f>AND(IF(metadata!X802="",FALSE,TRUE),EXACT(metadata!X802,"other"))</f>
        <v>0</v>
      </c>
      <c r="BJ802" t="b">
        <f>IF(metadata!Y802="",FALSE,TRUE)</f>
        <v>0</v>
      </c>
      <c r="BK802" t="b">
        <f>OR(AND(IF(metadata!Z802="",FALSE,TRUE),OR(EXACT(metadata!Z802,"missing: not collected"),EXACT(metadata!Z802,"missing: not provided"))),AND(IF(metadata!Z802="",FALSE,IF(ISERROR(INT(metadata!Z802)),FALSE,INT(metadata!Z802)=metadata!Z802)),metadata!Z802&gt;0))</f>
        <v>0</v>
      </c>
      <c r="BL802" t="b">
        <f>AND(IF(metadata!AA802="",FALSE,TRUE),EXACT(metadata!AA802,"Not applicable"))</f>
        <v>0</v>
      </c>
      <c r="BM802" t="b">
        <f>IF(metadata!AB802="",FALSE,TRUE)</f>
        <v>0</v>
      </c>
    </row>
    <row r="803" spans="1:65" x14ac:dyDescent="0.2">
      <c r="A803" s="5" t="str">
        <f ca="1">IF(B803=" "," ",HYPERLINK(CONCATENATE("#metadata!",ADDRESS(INDEX($AH$2:$AH$1001,MATCH(ROWS($AF$2:AF803),$AF$2:$AF$1001,0),0),1)),INDEX($AK$2:$AK$1001,MATCH(ROWS($AF$2:AF803),$AF$2:$AF$1001,0),0)))</f>
        <v xml:space="preserve"> </v>
      </c>
      <c r="B803" s="4" t="str">
        <f ca="1">IF(OR(INDEX($AG$2:$AG$1001,MATCH(ROWS($AF$2:AF803),$AF$2:$AF$1001,0),1)&gt;=100000,INDEX($AM$1005:$BM$1005,1,MATCH(COLUMNS($AM$1006:AM1006),$AM$1006:$BM$1006,0))&gt;=100000), " ",IF(INDEX($AM$2:$BM$1001,MATCH(ROWS($AF$2:AF803),$AF$2:$AF$1001,0),MATCH(COLUMNS($AM$1006:AM1006),$AM$1006:$BM$1006,0)), HYPERLINK("#",""), HYPERLINK(CONCATENATE("#metadata!", ADDRESS(INDEX($AH$2:$AH$1001,MATCH(ROWS($AF$2:AF803),$AF$2:$AF$1001,0),0), INDEX($AM$1004:$BM$1004,1,MATCH(COLUMNS($AM$1006:AM1006),$AM$1006:$BM$1006,0)))),"Fix")))</f>
        <v xml:space="preserve"> </v>
      </c>
      <c r="C803" s="4" t="str">
        <f ca="1">IF(OR(INDEX($AG$2:$AG$1001,MATCH(ROWS($AF$2:AF803),$AF$2:$AF$1001,0),1)&gt;=100000,INDEX($AM$1005:$BM$1005,1,MATCH(COLUMNS($AM$1006:AN1006),$AM$1006:$BM$1006,0))&gt;=100000), " ",IF(INDEX($AM$2:$BM$1001,MATCH(ROWS($AF$2:AF803),$AF$2:$AF$1001,0),MATCH(COLUMNS($AM$1006:AN1006),$AM$1006:$BM$1006,0)), HYPERLINK("#",""), HYPERLINK(CONCATENATE("#metadata!", ADDRESS(INDEX($AH$2:$AH$1001,MATCH(ROWS($AF$2:AF803),$AF$2:$AF$1001,0),0), INDEX($AM$1004:$BM$1004,1,MATCH(COLUMNS($AM$1006:AN1006),$AM$1006:$BM$1006,0)))),"Fix")))</f>
        <v xml:space="preserve"> </v>
      </c>
      <c r="D803" s="4" t="str">
        <f ca="1">IF(OR(INDEX($AG$2:$AG$1001,MATCH(ROWS($AF$2:AF803),$AF$2:$AF$1001,0),1)&gt;=100000,INDEX($AM$1005:$BM$1005,1,MATCH(COLUMNS($AM$1006:AO1006),$AM$1006:$BM$1006,0))&gt;=100000), " ",IF(INDEX($AM$2:$BM$1001,MATCH(ROWS($AF$2:AF803),$AF$2:$AF$1001,0),MATCH(COLUMNS($AM$1006:AO1006),$AM$1006:$BM$1006,0)), HYPERLINK("#",""), HYPERLINK(CONCATENATE("#metadata!", ADDRESS(INDEX($AH$2:$AH$1001,MATCH(ROWS($AF$2:AF803),$AF$2:$AF$1001,0),0), INDEX($AM$1004:$BM$1004,1,MATCH(COLUMNS($AM$1006:AO1006),$AM$1006:$BM$1006,0)))),"Fix")))</f>
        <v xml:space="preserve"> </v>
      </c>
      <c r="E803" s="4" t="str">
        <f ca="1">IF(OR(INDEX($AG$2:$AG$1001,MATCH(ROWS($AF$2:AF803),$AF$2:$AF$1001,0),1)&gt;=100000,INDEX($AM$1005:$BM$1005,1,MATCH(COLUMNS($AM$1006:AP1006),$AM$1006:$BM$1006,0))&gt;=100000), " ",IF(INDEX($AM$2:$BM$1001,MATCH(ROWS($AF$2:AF803),$AF$2:$AF$1001,0),MATCH(COLUMNS($AM$1006:AP1006),$AM$1006:$BM$1006,0)), HYPERLINK("#",""), HYPERLINK(CONCATENATE("#metadata!", ADDRESS(INDEX($AH$2:$AH$1001,MATCH(ROWS($AF$2:AF803),$AF$2:$AF$1001,0),0), INDEX($AM$1004:$BM$1004,1,MATCH(COLUMNS($AM$1006:AP1006),$AM$1006:$BM$1006,0)))),"Fix")))</f>
        <v xml:space="preserve"> </v>
      </c>
      <c r="F803" s="4" t="str">
        <f ca="1">IF(OR(INDEX($AG$2:$AG$1001,MATCH(ROWS($AF$2:AF803),$AF$2:$AF$1001,0),1)&gt;=100000,INDEX($AM$1005:$BM$1005,1,MATCH(COLUMNS($AM$1006:AQ1006),$AM$1006:$BM$1006,0))&gt;=100000), " ",IF(INDEX($AM$2:$BM$1001,MATCH(ROWS($AF$2:AF803),$AF$2:$AF$1001,0),MATCH(COLUMNS($AM$1006:AQ1006),$AM$1006:$BM$1006,0)), HYPERLINK("#",""), HYPERLINK(CONCATENATE("#metadata!", ADDRESS(INDEX($AH$2:$AH$1001,MATCH(ROWS($AF$2:AF803),$AF$2:$AF$1001,0),0), INDEX($AM$1004:$BM$1004,1,MATCH(COLUMNS($AM$1006:AQ1006),$AM$1006:$BM$1006,0)))),"Fix")))</f>
        <v xml:space="preserve"> </v>
      </c>
      <c r="G803" s="4" t="str">
        <f ca="1">IF(OR(INDEX($AG$2:$AG$1001,MATCH(ROWS($AF$2:AF803),$AF$2:$AF$1001,0),1)&gt;=100000,INDEX($AM$1005:$BM$1005,1,MATCH(COLUMNS($AM$1006:AR1006),$AM$1006:$BM$1006,0))&gt;=100000), " ",IF(INDEX($AM$2:$BM$1001,MATCH(ROWS($AF$2:AF803),$AF$2:$AF$1001,0),MATCH(COLUMNS($AM$1006:AR1006),$AM$1006:$BM$1006,0)), HYPERLINK("#",""), HYPERLINK(CONCATENATE("#metadata!", ADDRESS(INDEX($AH$2:$AH$1001,MATCH(ROWS($AF$2:AF803),$AF$2:$AF$1001,0),0), INDEX($AM$1004:$BM$1004,1,MATCH(COLUMNS($AM$1006:AR1006),$AM$1006:$BM$1006,0)))),"Fix")))</f>
        <v xml:space="preserve"> </v>
      </c>
      <c r="H803" s="4" t="str">
        <f ca="1">IF(OR(INDEX($AG$2:$AG$1001,MATCH(ROWS($AF$2:AF803),$AF$2:$AF$1001,0),1)&gt;=100000,INDEX($AM$1005:$BM$1005,1,MATCH(COLUMNS($AM$1006:AS1006),$AM$1006:$BM$1006,0))&gt;=100000), " ",IF(INDEX($AM$2:$BM$1001,MATCH(ROWS($AF$2:AF803),$AF$2:$AF$1001,0),MATCH(COLUMNS($AM$1006:AS1006),$AM$1006:$BM$1006,0)), HYPERLINK("#",""), HYPERLINK(CONCATENATE("#metadata!", ADDRESS(INDEX($AH$2:$AH$1001,MATCH(ROWS($AF$2:AF803),$AF$2:$AF$1001,0),0), INDEX($AM$1004:$BM$1004,1,MATCH(COLUMNS($AM$1006:AS1006),$AM$1006:$BM$1006,0)))),"Fix")))</f>
        <v xml:space="preserve"> </v>
      </c>
      <c r="I803" s="4" t="str">
        <f ca="1">IF(OR(INDEX($AG$2:$AG$1001,MATCH(ROWS($AF$2:AF803),$AF$2:$AF$1001,0),1)&gt;=100000,INDEX($AM$1005:$BM$1005,1,MATCH(COLUMNS($AM$1006:AT1006),$AM$1006:$BM$1006,0))&gt;=100000), " ",IF(INDEX($AM$2:$BM$1001,MATCH(ROWS($AF$2:AF803),$AF$2:$AF$1001,0),MATCH(COLUMNS($AM$1006:AT1006),$AM$1006:$BM$1006,0)), HYPERLINK("#",""), HYPERLINK(CONCATENATE("#metadata!", ADDRESS(INDEX($AH$2:$AH$1001,MATCH(ROWS($AF$2:AF803),$AF$2:$AF$1001,0),0), INDEX($AM$1004:$BM$1004,1,MATCH(COLUMNS($AM$1006:AT1006),$AM$1006:$BM$1006,0)))),"Fix")))</f>
        <v xml:space="preserve"> </v>
      </c>
      <c r="J803" s="4" t="str">
        <f ca="1">IF(OR(INDEX($AG$2:$AG$1001,MATCH(ROWS($AF$2:AF803),$AF$2:$AF$1001,0),1)&gt;=100000,INDEX($AM$1005:$BM$1005,1,MATCH(COLUMNS($AM$1006:AU1006),$AM$1006:$BM$1006,0))&gt;=100000), " ",IF(INDEX($AM$2:$BM$1001,MATCH(ROWS($AF$2:AF803),$AF$2:$AF$1001,0),MATCH(COLUMNS($AM$1006:AU1006),$AM$1006:$BM$1006,0)), HYPERLINK("#",""), HYPERLINK(CONCATENATE("#metadata!", ADDRESS(INDEX($AH$2:$AH$1001,MATCH(ROWS($AF$2:AF803),$AF$2:$AF$1001,0),0), INDEX($AM$1004:$BM$1004,1,MATCH(COLUMNS($AM$1006:AU1006),$AM$1006:$BM$1006,0)))),"Fix")))</f>
        <v xml:space="preserve"> </v>
      </c>
      <c r="K803" s="4" t="str">
        <f ca="1">IF(OR(INDEX($AG$2:$AG$1001,MATCH(ROWS($AF$2:AF803),$AF$2:$AF$1001,0),1)&gt;=100000,INDEX($AM$1005:$BM$1005,1,MATCH(COLUMNS($AM$1006:AV1006),$AM$1006:$BM$1006,0))&gt;=100000), " ",IF(INDEX($AM$2:$BM$1001,MATCH(ROWS($AF$2:AF803),$AF$2:$AF$1001,0),MATCH(COLUMNS($AM$1006:AV1006),$AM$1006:$BM$1006,0)), HYPERLINK("#",""), HYPERLINK(CONCATENATE("#metadata!", ADDRESS(INDEX($AH$2:$AH$1001,MATCH(ROWS($AF$2:AF803),$AF$2:$AF$1001,0),0), INDEX($AM$1004:$BM$1004,1,MATCH(COLUMNS($AM$1006:AV1006),$AM$1006:$BM$1006,0)))),"Fix")))</f>
        <v xml:space="preserve"> </v>
      </c>
      <c r="L803" s="4" t="str">
        <f ca="1">IF(OR(INDEX($AG$2:$AG$1001,MATCH(ROWS($AF$2:AF803),$AF$2:$AF$1001,0),1)&gt;=100000,INDEX($AM$1005:$BM$1005,1,MATCH(COLUMNS($AM$1006:AW1006),$AM$1006:$BM$1006,0))&gt;=100000), " ",IF(INDEX($AM$2:$BM$1001,MATCH(ROWS($AF$2:AF803),$AF$2:$AF$1001,0),MATCH(COLUMNS($AM$1006:AW1006),$AM$1006:$BM$1006,0)), HYPERLINK("#",""), HYPERLINK(CONCATENATE("#metadata!", ADDRESS(INDEX($AH$2:$AH$1001,MATCH(ROWS($AF$2:AF803),$AF$2:$AF$1001,0),0), INDEX($AM$1004:$BM$1004,1,MATCH(COLUMNS($AM$1006:AW1006),$AM$1006:$BM$1006,0)))),"Fix")))</f>
        <v xml:space="preserve"> </v>
      </c>
      <c r="M803" s="4" t="str">
        <f ca="1">IF(OR(INDEX($AG$2:$AG$1001,MATCH(ROWS($AF$2:AF803),$AF$2:$AF$1001,0),1)&gt;=100000,INDEX($AM$1005:$BM$1005,1,MATCH(COLUMNS($AM$1006:AX1006),$AM$1006:$BM$1006,0))&gt;=100000), " ",IF(INDEX($AM$2:$BM$1001,MATCH(ROWS($AF$2:AF803),$AF$2:$AF$1001,0),MATCH(COLUMNS($AM$1006:AX1006),$AM$1006:$BM$1006,0)), HYPERLINK("#",""), HYPERLINK(CONCATENATE("#metadata!", ADDRESS(INDEX($AH$2:$AH$1001,MATCH(ROWS($AF$2:AF803),$AF$2:$AF$1001,0),0), INDEX($AM$1004:$BM$1004,1,MATCH(COLUMNS($AM$1006:AX1006),$AM$1006:$BM$1006,0)))),"Fix")))</f>
        <v xml:space="preserve"> </v>
      </c>
      <c r="N803" s="4" t="str">
        <f ca="1">IF(OR(INDEX($AG$2:$AG$1001,MATCH(ROWS($AF$2:AF803),$AF$2:$AF$1001,0),1)&gt;=100000,INDEX($AM$1005:$BM$1005,1,MATCH(COLUMNS($AM$1006:AY1006),$AM$1006:$BM$1006,0))&gt;=100000), " ",IF(INDEX($AM$2:$BM$1001,MATCH(ROWS($AF$2:AF803),$AF$2:$AF$1001,0),MATCH(COLUMNS($AM$1006:AY1006),$AM$1006:$BM$1006,0)), HYPERLINK("#",""), HYPERLINK(CONCATENATE("#metadata!", ADDRESS(INDEX($AH$2:$AH$1001,MATCH(ROWS($AF$2:AF803),$AF$2:$AF$1001,0),0), INDEX($AM$1004:$BM$1004,1,MATCH(COLUMNS($AM$1006:AY1006),$AM$1006:$BM$1006,0)))),"Fix")))</f>
        <v xml:space="preserve"> </v>
      </c>
      <c r="O803" s="4" t="str">
        <f ca="1">IF(OR(INDEX($AG$2:$AG$1001,MATCH(ROWS($AF$2:AF803),$AF$2:$AF$1001,0),1)&gt;=100000,INDEX($AM$1005:$BM$1005,1,MATCH(COLUMNS($AM$1006:AZ1006),$AM$1006:$BM$1006,0))&gt;=100000), " ",IF(INDEX($AM$2:$BM$1001,MATCH(ROWS($AF$2:AF803),$AF$2:$AF$1001,0),MATCH(COLUMNS($AM$1006:AZ1006),$AM$1006:$BM$1006,0)), HYPERLINK("#",""), HYPERLINK(CONCATENATE("#metadata!", ADDRESS(INDEX($AH$2:$AH$1001,MATCH(ROWS($AF$2:AF803),$AF$2:$AF$1001,0),0), INDEX($AM$1004:$BM$1004,1,MATCH(COLUMNS($AM$1006:AZ1006),$AM$1006:$BM$1006,0)))),"Fix")))</f>
        <v xml:space="preserve"> </v>
      </c>
      <c r="P803" s="4" t="str">
        <f ca="1">IF(OR(INDEX($AG$2:$AG$1001,MATCH(ROWS($AF$2:AF803),$AF$2:$AF$1001,0),1)&gt;=100000,INDEX($AM$1005:$BM$1005,1,MATCH(COLUMNS($AM$1006:BA1006),$AM$1006:$BM$1006,0))&gt;=100000), " ",IF(INDEX($AM$2:$BM$1001,MATCH(ROWS($AF$2:AF803),$AF$2:$AF$1001,0),MATCH(COLUMNS($AM$1006:BA1006),$AM$1006:$BM$1006,0)), HYPERLINK("#",""), HYPERLINK(CONCATENATE("#metadata!", ADDRESS(INDEX($AH$2:$AH$1001,MATCH(ROWS($AF$2:AF803),$AF$2:$AF$1001,0),0), INDEX($AM$1004:$BM$1004,1,MATCH(COLUMNS($AM$1006:BA1006),$AM$1006:$BM$1006,0)))),"Fix")))</f>
        <v xml:space="preserve"> </v>
      </c>
      <c r="Q803" s="4" t="str">
        <f ca="1">IF(OR(INDEX($AG$2:$AG$1001,MATCH(ROWS($AF$2:AF803),$AF$2:$AF$1001,0),1)&gt;=100000,INDEX($AM$1005:$BM$1005,1,MATCH(COLUMNS($AM$1006:BB1006),$AM$1006:$BM$1006,0))&gt;=100000), " ",IF(INDEX($AM$2:$BM$1001,MATCH(ROWS($AF$2:AF803),$AF$2:$AF$1001,0),MATCH(COLUMNS($AM$1006:BB1006),$AM$1006:$BM$1006,0)), HYPERLINK("#",""), HYPERLINK(CONCATENATE("#metadata!", ADDRESS(INDEX($AH$2:$AH$1001,MATCH(ROWS($AF$2:AF803),$AF$2:$AF$1001,0),0), INDEX($AM$1004:$BM$1004,1,MATCH(COLUMNS($AM$1006:BB1006),$AM$1006:$BM$1006,0)))),"Fix")))</f>
        <v xml:space="preserve"> </v>
      </c>
      <c r="R803" s="4" t="str">
        <f ca="1">IF(OR(INDEX($AG$2:$AG$1001,MATCH(ROWS($AF$2:AF803),$AF$2:$AF$1001,0),1)&gt;=100000,INDEX($AM$1005:$BM$1005,1,MATCH(COLUMNS($AM$1006:BC1006),$AM$1006:$BM$1006,0))&gt;=100000), " ",IF(INDEX($AM$2:$BM$1001,MATCH(ROWS($AF$2:AF803),$AF$2:$AF$1001,0),MATCH(COLUMNS($AM$1006:BC1006),$AM$1006:$BM$1006,0)), HYPERLINK("#",""), HYPERLINK(CONCATENATE("#metadata!", ADDRESS(INDEX($AH$2:$AH$1001,MATCH(ROWS($AF$2:AF803),$AF$2:$AF$1001,0),0), INDEX($AM$1004:$BM$1004,1,MATCH(COLUMNS($AM$1006:BC1006),$AM$1006:$BM$1006,0)))),"Fix")))</f>
        <v xml:space="preserve"> </v>
      </c>
      <c r="S803" s="4" t="str">
        <f ca="1">IF(OR(INDEX($AG$2:$AG$1001,MATCH(ROWS($AF$2:AF803),$AF$2:$AF$1001,0),1)&gt;=100000,INDEX($AM$1005:$BM$1005,1,MATCH(COLUMNS($AM$1006:BD1006),$AM$1006:$BM$1006,0))&gt;=100000), " ",IF(INDEX($AM$2:$BM$1001,MATCH(ROWS($AF$2:AF803),$AF$2:$AF$1001,0),MATCH(COLUMNS($AM$1006:BD1006),$AM$1006:$BM$1006,0)), HYPERLINK("#",""), HYPERLINK(CONCATENATE("#metadata!", ADDRESS(INDEX($AH$2:$AH$1001,MATCH(ROWS($AF$2:AF803),$AF$2:$AF$1001,0),0), INDEX($AM$1004:$BM$1004,1,MATCH(COLUMNS($AM$1006:BD1006),$AM$1006:$BM$1006,0)))),"Fix")))</f>
        <v xml:space="preserve"> </v>
      </c>
      <c r="T803" s="4" t="str">
        <f ca="1">IF(OR(INDEX($AG$2:$AG$1001,MATCH(ROWS($AF$2:AF803),$AF$2:$AF$1001,0),1)&gt;=100000,INDEX($AM$1005:$BM$1005,1,MATCH(COLUMNS($AM$1006:BE1006),$AM$1006:$BM$1006,0))&gt;=100000), " ",IF(INDEX($AM$2:$BM$1001,MATCH(ROWS($AF$2:AF803),$AF$2:$AF$1001,0),MATCH(COLUMNS($AM$1006:BE1006),$AM$1006:$BM$1006,0)), HYPERLINK("#",""), HYPERLINK(CONCATENATE("#metadata!", ADDRESS(INDEX($AH$2:$AH$1001,MATCH(ROWS($AF$2:AF803),$AF$2:$AF$1001,0),0), INDEX($AM$1004:$BM$1004,1,MATCH(COLUMNS($AM$1006:BE1006),$AM$1006:$BM$1006,0)))),"Fix")))</f>
        <v xml:space="preserve"> </v>
      </c>
      <c r="U803" s="4" t="str">
        <f ca="1">IF(OR(INDEX($AG$2:$AG$1001,MATCH(ROWS($AF$2:AF803),$AF$2:$AF$1001,0),1)&gt;=100000,INDEX($AM$1005:$BM$1005,1,MATCH(COLUMNS($AM$1006:BF1006),$AM$1006:$BM$1006,0))&gt;=100000), " ",IF(INDEX($AM$2:$BM$1001,MATCH(ROWS($AF$2:AF803),$AF$2:$AF$1001,0),MATCH(COLUMNS($AM$1006:BF1006),$AM$1006:$BM$1006,0)), HYPERLINK("#",""), HYPERLINK(CONCATENATE("#metadata!", ADDRESS(INDEX($AH$2:$AH$1001,MATCH(ROWS($AF$2:AF803),$AF$2:$AF$1001,0),0), INDEX($AM$1004:$BM$1004,1,MATCH(COLUMNS($AM$1006:BF1006),$AM$1006:$BM$1006,0)))),"Fix")))</f>
        <v xml:space="preserve"> </v>
      </c>
      <c r="V803" s="4" t="str">
        <f ca="1">IF(OR(INDEX($AG$2:$AG$1001,MATCH(ROWS($AF$2:AF803),$AF$2:$AF$1001,0),1)&gt;=100000,INDEX($AM$1005:$BM$1005,1,MATCH(COLUMNS($AM$1006:BG1006),$AM$1006:$BM$1006,0))&gt;=100000), " ",IF(INDEX($AM$2:$BM$1001,MATCH(ROWS($AF$2:AF803),$AF$2:$AF$1001,0),MATCH(COLUMNS($AM$1006:BG1006),$AM$1006:$BM$1006,0)), HYPERLINK("#",""), HYPERLINK(CONCATENATE("#metadata!", ADDRESS(INDEX($AH$2:$AH$1001,MATCH(ROWS($AF$2:AF803),$AF$2:$AF$1001,0),0), INDEX($AM$1004:$BM$1004,1,MATCH(COLUMNS($AM$1006:BG1006),$AM$1006:$BM$1006,0)))),"Fix")))</f>
        <v xml:space="preserve"> </v>
      </c>
      <c r="W803" s="4" t="str">
        <f ca="1">IF(OR(INDEX($AG$2:$AG$1001,MATCH(ROWS($AF$2:AF803),$AF$2:$AF$1001,0),1)&gt;=100000,INDEX($AM$1005:$BM$1005,1,MATCH(COLUMNS($AM$1006:BH1006),$AM$1006:$BM$1006,0))&gt;=100000), " ",IF(INDEX($AM$2:$BM$1001,MATCH(ROWS($AF$2:AF803),$AF$2:$AF$1001,0),MATCH(COLUMNS($AM$1006:BH1006),$AM$1006:$BM$1006,0)), HYPERLINK("#",""), HYPERLINK(CONCATENATE("#metadata!", ADDRESS(INDEX($AH$2:$AH$1001,MATCH(ROWS($AF$2:AF803),$AF$2:$AF$1001,0),0), INDEX($AM$1004:$BM$1004,1,MATCH(COLUMNS($AM$1006:BH1006),$AM$1006:$BM$1006,0)))),"Fix")))</f>
        <v xml:space="preserve"> </v>
      </c>
      <c r="X803" s="4" t="str">
        <f ca="1">IF(OR(INDEX($AG$2:$AG$1001,MATCH(ROWS($AF$2:AF803),$AF$2:$AF$1001,0),1)&gt;=100000,INDEX($AM$1005:$BM$1005,1,MATCH(COLUMNS($AM$1006:BI1006),$AM$1006:$BM$1006,0))&gt;=100000), " ",IF(INDEX($AM$2:$BM$1001,MATCH(ROWS($AF$2:AF803),$AF$2:$AF$1001,0),MATCH(COLUMNS($AM$1006:BI1006),$AM$1006:$BM$1006,0)), HYPERLINK("#",""), HYPERLINK(CONCATENATE("#metadata!", ADDRESS(INDEX($AH$2:$AH$1001,MATCH(ROWS($AF$2:AF803),$AF$2:$AF$1001,0),0), INDEX($AM$1004:$BM$1004,1,MATCH(COLUMNS($AM$1006:BI1006),$AM$1006:$BM$1006,0)))),"Fix")))</f>
        <v xml:space="preserve"> </v>
      </c>
      <c r="Y803" s="4" t="str">
        <f ca="1">IF(OR(INDEX($AG$2:$AG$1001,MATCH(ROWS($AF$2:AF803),$AF$2:$AF$1001,0),1)&gt;=100000,INDEX($AM$1005:$BM$1005,1,MATCH(COLUMNS($AM$1006:BJ1006),$AM$1006:$BM$1006,0))&gt;=100000), " ",IF(INDEX($AM$2:$BM$1001,MATCH(ROWS($AF$2:AF803),$AF$2:$AF$1001,0),MATCH(COLUMNS($AM$1006:BJ1006),$AM$1006:$BM$1006,0)), HYPERLINK("#",""), HYPERLINK(CONCATENATE("#metadata!", ADDRESS(INDEX($AH$2:$AH$1001,MATCH(ROWS($AF$2:AF803),$AF$2:$AF$1001,0),0), INDEX($AM$1004:$BM$1004,1,MATCH(COLUMNS($AM$1006:BJ1006),$AM$1006:$BM$1006,0)))),"Fix")))</f>
        <v xml:space="preserve"> </v>
      </c>
      <c r="Z803" s="4" t="str">
        <f ca="1">IF(OR(INDEX($AG$2:$AG$1001,MATCH(ROWS($AF$2:AF803),$AF$2:$AF$1001,0),1)&gt;=100000,INDEX($AM$1005:$BM$1005,1,MATCH(COLUMNS($AM$1006:BK1006),$AM$1006:$BM$1006,0))&gt;=100000), " ",IF(INDEX($AM$2:$BM$1001,MATCH(ROWS($AF$2:AF803),$AF$2:$AF$1001,0),MATCH(COLUMNS($AM$1006:BK1006),$AM$1006:$BM$1006,0)), HYPERLINK("#",""), HYPERLINK(CONCATENATE("#metadata!", ADDRESS(INDEX($AH$2:$AH$1001,MATCH(ROWS($AF$2:AF803),$AF$2:$AF$1001,0),0), INDEX($AM$1004:$BM$1004,1,MATCH(COLUMNS($AM$1006:BK1006),$AM$1006:$BM$1006,0)))),"Fix")))</f>
        <v xml:space="preserve"> </v>
      </c>
      <c r="AA803" s="4" t="str">
        <f ca="1">IF(OR(INDEX($AG$2:$AG$1001,MATCH(ROWS($AF$2:AF803),$AF$2:$AF$1001,0),1)&gt;=100000,INDEX($AM$1005:$BM$1005,1,MATCH(COLUMNS($AM$1006:BL1006),$AM$1006:$BM$1006,0))&gt;=100000), " ",IF(INDEX($AM$2:$BM$1001,MATCH(ROWS($AF$2:AF803),$AF$2:$AF$1001,0),MATCH(COLUMNS($AM$1006:BL1006),$AM$1006:$BM$1006,0)), HYPERLINK("#",""), HYPERLINK(CONCATENATE("#metadata!", ADDRESS(INDEX($AH$2:$AH$1001,MATCH(ROWS($AF$2:AF803),$AF$2:$AF$1001,0),0), INDEX($AM$1004:$BM$1004,1,MATCH(COLUMNS($AM$1006:BL1006),$AM$1006:$BM$1006,0)))),"Fix")))</f>
        <v xml:space="preserve"> </v>
      </c>
      <c r="AB803" s="4" t="str">
        <f ca="1">IF(OR(INDEX($AG$2:$AG$1001,MATCH(ROWS($AF$2:AF803),$AF$2:$AF$1001,0),1)&gt;=100000,INDEX($AM$1005:$BM$1005,1,MATCH(COLUMNS($AM$1006:BM1006),$AM$1006:$BM$1006,0))&gt;=100000), " ",IF(INDEX($AM$2:$BM$1001,MATCH(ROWS($AF$2:AF803),$AF$2:$AF$1001,0),MATCH(COLUMNS($AM$1006:BM1006),$AM$1006:$BM$1006,0)), HYPERLINK("#",""), HYPERLINK(CONCATENATE("#metadata!", ADDRESS(INDEX($AH$2:$AH$1001,MATCH(ROWS($AF$2:AF803),$AF$2:$AF$1001,0),0), INDEX($AM$1004:$BM$1004,1,MATCH(COLUMNS($AM$1006:BM1006),$AM$1006:$BM$1006,0)))),"Fix")))</f>
        <v xml:space="preserve"> </v>
      </c>
      <c r="AF803">
        <v>802</v>
      </c>
      <c r="AG803">
        <v>100803</v>
      </c>
      <c r="AH803">
        <v>803</v>
      </c>
      <c r="AI803" t="b">
        <f t="shared" si="12"/>
        <v>1</v>
      </c>
      <c r="AJ803" t="b">
        <f>COUNTBLANK(metadata!B803:AB803)=COLUMNS(metadata!B803:AB803)</f>
        <v>1</v>
      </c>
      <c r="AK803" t="str">
        <v/>
      </c>
      <c r="AM803" t="b">
        <f ca="1">AND(IF(metadata!B803="",FALSE,TRUE),COUNTIF(metadata!B:B, metadata!B803) = 1,NOT(ISERROR(SUMPRODUCT(SEARCH(MID(metadata!B803,ROW(INDIRECT("1:"&amp;LEN(metadata!B803))), 1),"0123456789abcdefghijklmnopqrstuvwxyzABCDEFGHIJKLMNOPQRSTUVWXYZ.")))))</f>
        <v>0</v>
      </c>
      <c r="AN803" t="b">
        <f ca="1">OR(AND(IF(metadata!C803="",FALSE,TRUE),OR(EXACT(metadata!C803,"missing: not collected"),EXACT(metadata!C803,"missing: not provided"),EXACT(metadata!C803,"missing: restricted access"))),AND(IF(metadata!C803="",FALSE,TRUE),AND(AND(IFERROR(INT(LEFT(metadata!C803,4))&gt;1900,FALSE),IFERROR(INT(LEFT(metadata!C803,4))&lt;=YEAR(NOW()),FALSE)), OR(MID(metadata!C803,5,1)="", AND(AND(MID(metadata!C803,5,1)="-",IFERROR(INT(MID(metadata!C803,6,1))&gt;=0,FALSE),IFERROR(INT(MID(metadata!C803,6,1))&lt;=1,FALSE),NOT(MID(metadata!C803,7,1)=""),IFERROR(INT(MID(metadata!C803,6,2))&gt;=1,FALSE),IFERROR(INT(MID(metadata!C803,6,2))&lt;=12,FALSE)), OR(MID(metadata!C803,8,1)="", AND(AND(MID(metadata!C803,8,1)="-",IFERROR(INT(MID(metadata!C803,9,1))&gt;=0,FALSE),IFERROR(INT(MID(metadata!C803,9,1))&lt;=3,FALSE),NOT(MID(metadata!C803,10,1)=""),IFERROR(INT(MID(metadata!C803,9,2))&gt;=1,FALSE),IFERROR(INT(MID(metadata!C803,9,2))&lt;=31,FALSE)), OR(MID(metadata!C803,11,1)="", AND(AND(MID(metadata!C803,11,1)=" ",IFERROR(INT(MID(metadata!C803,12,1))&gt;=0,FALSE),IFERROR(INT(MID(metadata!C803,12,1))&lt;=2,FALSE),NOT(MID(metadata!C803,13,1)=""),IFERROR(INT(MID(metadata!C803,12,2))&gt;=0,FALSE),IFERROR(INT(MID(metadata!C803,12,2))&lt;=23,FALSE)), OR(MID(metadata!C803,14,1)="", AND(AND(MID(metadata!C803,14,1)=":",IFERROR(INT(MID(metadata!C803,15,1))&gt;=0,FALSE),IFERROR(INT(MID(metadata!C803,15,1))&lt;=5,FALSE),NOT(MID(metadata!C803,16,1)=""),IFERROR(INT(MID(metadata!C803,15,2))&gt;=0,FALSE),IFERROR(INT(MID(metadata!C803,15,2))&lt;=59,FALSE)), OR(MID(metadata!C803,17,1)="", AND(AND(MID(metadata!C803,17,1)=":",IFERROR(INT(MID(metadata!C803,18,1))&gt;=0,FALSE),IFERROR(INT(MID(metadata!C803,18,1))&lt;=5,FALSE),NOT(MID(metadata!C803,19,1)=""),IFERROR(INT(MID(metadata!C803,18,2))&gt;=0,FALSE),IFERROR(INT(MID(metadata!C803,18,2))&lt;=59,FALSE)), LEN(metadata!C803)&lt;=19)))))))))))))</f>
        <v>0</v>
      </c>
      <c r="AO803" t="b">
        <f>AND(IF(metadata!D803="",FALSE,TRUE),EXACT(metadata!D803,"Not applicable"))</f>
        <v>0</v>
      </c>
      <c r="AP803" t="b">
        <f>IF(metadata!E803="",FALSE,TRUE)</f>
        <v>0</v>
      </c>
      <c r="AQ803" t="b">
        <f>OR(AND(IF(metadata!F803="",FALSE,TRUE),OR(EXACT(metadata!F803,"missing: not collected"),EXACT(metadata!F803,"missing: not provided"))),AND(IF(metadata!F803="",FALSE,TRUE),OR(EXACT(metadata!F803,"TRUE"),EXACT(metadata!F803,"FALSE"))))</f>
        <v>0</v>
      </c>
      <c r="AR803" t="b">
        <f>OR(AND(IF(metadata!G803="",FALSE,TRUE),OR(EXACT(metadata!G803,"missing: not collected"),EXACT(metadata!G803,"missing: not provided"),EXACT(metadata!G803,"missing: restricted access"))),AND(IF(metadata!G803="",FALSE,ISNUMBER(VALUE(metadata!G803))),metadata!G803&gt;=-413))</f>
        <v>0</v>
      </c>
      <c r="AS803" t="b">
        <f>AND(IF(metadata!H803="",FALSE,TRUE),EXACT(metadata!H803,"meters"))</f>
        <v>0</v>
      </c>
      <c r="AT803" t="b">
        <f>AND(IF(metadata!I803="",FALSE,TRUE),OR(EXACT(metadata!I803,"Host-associated"),EXACT(metadata!I803,"Free-living")))</f>
        <v>0</v>
      </c>
      <c r="AU803" t="b">
        <f>AND(IF(metadata!J803="",FALSE,TRUE),OR(EXACT(metadata!J803,"Animal"),EXACT(metadata!J803,"Fungus"),EXACT(metadata!J803,"Plant"),EXACT(metadata!J803,"Saline"),EXACT(metadata!J803,"Non-saline")))</f>
        <v>0</v>
      </c>
      <c r="AV803" t="b">
        <f>AND(IF(metadata!K803="",FALSE,TRUE),OR(EXACT(metadata!K803,"Plant secretion"),EXACT(metadata!K803,"Plant rhizosphere"),EXACT(metadata!K803,"Plant surface"),EXACT(metadata!K803,"Plant corpus"),EXACT(metadata!K803,"Fungus surface"),EXACT(metadata!K803,"Fungus corpus"),EXACT(metadata!K803,"Animal surface"),EXACT(metadata!K803,"Animal proximal gut"),EXACT(metadata!K803,"Animal corpus"),EXACT(metadata!K803,"Animal distal gut"),EXACT(metadata!K803,"Animal secretion"),EXACT(metadata!K803,"Sub-surface (non-saline)"),EXACT(metadata!K803,"Surface (non-saline)"),EXACT(metadata!K803,"Water (non-saline)"),EXACT(metadata!K803,"Soil (non-saline)"),EXACT(metadata!K803,"Aerosol (non-saline)"),EXACT(metadata!K803,"Sediment (non-saline)"),EXACT(metadata!K803,"Surface (saline)"),EXACT(metadata!K803,"Water (saline)"),EXACT(metadata!K803,"Hypersaline (saline)"),EXACT(metadata!K803,"Aerosol (saline)"),EXACT(metadata!K803,"Sediment (saline)")))</f>
        <v>0</v>
      </c>
      <c r="AW803" t="b">
        <f>IF(metadata!L803="",FALSE,TRUE)</f>
        <v>0</v>
      </c>
      <c r="AX803" t="b">
        <f>IF(metadata!M803="",FALSE,TRUE)</f>
        <v>0</v>
      </c>
      <c r="AY803" t="b">
        <f>IF(metadata!N803="",FALSE,TRUE)</f>
        <v>0</v>
      </c>
      <c r="AZ803" t="b">
        <f>OR(AND(IF(metadata!O803="",FALSE,TRUE),OR(EXACT(metadata!O803,"missing: not collected"),EXACT(metadata!O803,"missing: not provided"),EXACT(metadata!O803,"missing: restricted access"))),AND(IF(metadata!O803="",FALSE,TRUE),OR(EXACT(metadata!O803,"air"),EXACT(metadata!O803,"built environment"),EXACT(metadata!O803,"host-associated"),EXACT(metadata!O803,"human-associated"),EXACT(metadata!O803,"human-skin"),EXACT(metadata!O803,"human-oral"),EXACT(metadata!O803,"human-gut"),EXACT(metadata!O803,"human-vaginal"),EXACT(metadata!O803,"microbial mat/biofilm"),EXACT(metadata!O803,"misc environment"),EXACT(metadata!O803,"plant-associated"),EXACT(metadata!O803,"sediment"),EXACT(metadata!O803,"soil"),EXACT(metadata!O803,"wastewater/sludge"),EXACT(metadata!O803,"water"))))</f>
        <v>0</v>
      </c>
      <c r="BA803" t="b">
        <f>IF(metadata!P803="",FALSE,TRUE)</f>
        <v>0</v>
      </c>
      <c r="BB803" t="b">
        <f>IF(metadata!Q803="",FALSE,TRUE)</f>
        <v>0</v>
      </c>
      <c r="BC803" t="b">
        <f>OR(AND(IF(metadata!R803="",FALSE,TRUE),OR(EXACT(metadata!R803,"missing: not collected"),EXACT(metadata!R803,"missing: not provided"),EXACT(metadata!R803,"missing: restricted access"))),AND(IF(metadata!R803="",FALSE,ISNUMBER(VALUE(metadata!R803))),metadata!R803&gt;=-90,metadata!R803&lt;=90))</f>
        <v>0</v>
      </c>
      <c r="BD803" t="b">
        <f>AND(IF(metadata!S803="",FALSE,TRUE),EXACT(metadata!S803,"Decimal degrees"))</f>
        <v>0</v>
      </c>
      <c r="BE803" t="b">
        <f>OR(AND(IF(metadata!T803="",FALSE,TRUE),OR(EXACT(metadata!T803,"missing: not collected"),EXACT(metadata!T803,"missing: not provided"),EXACT(metadata!T803,"missing: restricted access"))),AND(IF(metadata!T803="",FALSE,ISNUMBER(VALUE(metadata!T803))),metadata!T803&gt;=-180,metadata!T803&lt;=180))</f>
        <v>0</v>
      </c>
      <c r="BF803" t="b">
        <f>AND(IF(metadata!U803="",FALSE,TRUE),EXACT(metadata!U803,"Decimal degrees"))</f>
        <v>0</v>
      </c>
      <c r="BG803" t="b">
        <f>IF(metadata!V803="",FALSE,TRUE)</f>
        <v>0</v>
      </c>
      <c r="BH803" t="b">
        <f>OR(AND(IF(metadata!W803="",FALSE,TRUE),OR(EXACT(metadata!W803,"missing: not collected"),EXACT(metadata!W803,"missing: not provided"),EXACT(metadata!W803,"missing: restricted access"))),AND(IF(metadata!W803="",FALSE,TRUE),OR(EXACT(metadata!W803,"TRUE"),EXACT(metadata!W803,"FALSE"))))</f>
        <v>0</v>
      </c>
      <c r="BI803" t="b">
        <f>AND(IF(metadata!X803="",FALSE,TRUE),EXACT(metadata!X803,"other"))</f>
        <v>0</v>
      </c>
      <c r="BJ803" t="b">
        <f>IF(metadata!Y803="",FALSE,TRUE)</f>
        <v>0</v>
      </c>
      <c r="BK803" t="b">
        <f>OR(AND(IF(metadata!Z803="",FALSE,TRUE),OR(EXACT(metadata!Z803,"missing: not collected"),EXACT(metadata!Z803,"missing: not provided"))),AND(IF(metadata!Z803="",FALSE,IF(ISERROR(INT(metadata!Z803)),FALSE,INT(metadata!Z803)=metadata!Z803)),metadata!Z803&gt;0))</f>
        <v>0</v>
      </c>
      <c r="BL803" t="b">
        <f>AND(IF(metadata!AA803="",FALSE,TRUE),EXACT(metadata!AA803,"Not applicable"))</f>
        <v>0</v>
      </c>
      <c r="BM803" t="b">
        <f>IF(metadata!AB803="",FALSE,TRUE)</f>
        <v>0</v>
      </c>
    </row>
    <row r="804" spans="1:65" x14ac:dyDescent="0.2">
      <c r="A804" s="5" t="str">
        <f ca="1">IF(B804=" "," ",HYPERLINK(CONCATENATE("#metadata!",ADDRESS(INDEX($AH$2:$AH$1001,MATCH(ROWS($AF$2:AF804),$AF$2:$AF$1001,0),0),1)),INDEX($AK$2:$AK$1001,MATCH(ROWS($AF$2:AF804),$AF$2:$AF$1001,0),0)))</f>
        <v xml:space="preserve"> </v>
      </c>
      <c r="B804" s="4" t="str">
        <f ca="1">IF(OR(INDEX($AG$2:$AG$1001,MATCH(ROWS($AF$2:AF804),$AF$2:$AF$1001,0),1)&gt;=100000,INDEX($AM$1005:$BM$1005,1,MATCH(COLUMNS($AM$1006:AM1006),$AM$1006:$BM$1006,0))&gt;=100000), " ",IF(INDEX($AM$2:$BM$1001,MATCH(ROWS($AF$2:AF804),$AF$2:$AF$1001,0),MATCH(COLUMNS($AM$1006:AM1006),$AM$1006:$BM$1006,0)), HYPERLINK("#",""), HYPERLINK(CONCATENATE("#metadata!", ADDRESS(INDEX($AH$2:$AH$1001,MATCH(ROWS($AF$2:AF804),$AF$2:$AF$1001,0),0), INDEX($AM$1004:$BM$1004,1,MATCH(COLUMNS($AM$1006:AM1006),$AM$1006:$BM$1006,0)))),"Fix")))</f>
        <v xml:space="preserve"> </v>
      </c>
      <c r="C804" s="4" t="str">
        <f ca="1">IF(OR(INDEX($AG$2:$AG$1001,MATCH(ROWS($AF$2:AF804),$AF$2:$AF$1001,0),1)&gt;=100000,INDEX($AM$1005:$BM$1005,1,MATCH(COLUMNS($AM$1006:AN1006),$AM$1006:$BM$1006,0))&gt;=100000), " ",IF(INDEX($AM$2:$BM$1001,MATCH(ROWS($AF$2:AF804),$AF$2:$AF$1001,0),MATCH(COLUMNS($AM$1006:AN1006),$AM$1006:$BM$1006,0)), HYPERLINK("#",""), HYPERLINK(CONCATENATE("#metadata!", ADDRESS(INDEX($AH$2:$AH$1001,MATCH(ROWS($AF$2:AF804),$AF$2:$AF$1001,0),0), INDEX($AM$1004:$BM$1004,1,MATCH(COLUMNS($AM$1006:AN1006),$AM$1006:$BM$1006,0)))),"Fix")))</f>
        <v xml:space="preserve"> </v>
      </c>
      <c r="D804" s="4" t="str">
        <f ca="1">IF(OR(INDEX($AG$2:$AG$1001,MATCH(ROWS($AF$2:AF804),$AF$2:$AF$1001,0),1)&gt;=100000,INDEX($AM$1005:$BM$1005,1,MATCH(COLUMNS($AM$1006:AO1006),$AM$1006:$BM$1006,0))&gt;=100000), " ",IF(INDEX($AM$2:$BM$1001,MATCH(ROWS($AF$2:AF804),$AF$2:$AF$1001,0),MATCH(COLUMNS($AM$1006:AO1006),$AM$1006:$BM$1006,0)), HYPERLINK("#",""), HYPERLINK(CONCATENATE("#metadata!", ADDRESS(INDEX($AH$2:$AH$1001,MATCH(ROWS($AF$2:AF804),$AF$2:$AF$1001,0),0), INDEX($AM$1004:$BM$1004,1,MATCH(COLUMNS($AM$1006:AO1006),$AM$1006:$BM$1006,0)))),"Fix")))</f>
        <v xml:space="preserve"> </v>
      </c>
      <c r="E804" s="4" t="str">
        <f ca="1">IF(OR(INDEX($AG$2:$AG$1001,MATCH(ROWS($AF$2:AF804),$AF$2:$AF$1001,0),1)&gt;=100000,INDEX($AM$1005:$BM$1005,1,MATCH(COLUMNS($AM$1006:AP1006),$AM$1006:$BM$1006,0))&gt;=100000), " ",IF(INDEX($AM$2:$BM$1001,MATCH(ROWS($AF$2:AF804),$AF$2:$AF$1001,0),MATCH(COLUMNS($AM$1006:AP1006),$AM$1006:$BM$1006,0)), HYPERLINK("#",""), HYPERLINK(CONCATENATE("#metadata!", ADDRESS(INDEX($AH$2:$AH$1001,MATCH(ROWS($AF$2:AF804),$AF$2:$AF$1001,0),0), INDEX($AM$1004:$BM$1004,1,MATCH(COLUMNS($AM$1006:AP1006),$AM$1006:$BM$1006,0)))),"Fix")))</f>
        <v xml:space="preserve"> </v>
      </c>
      <c r="F804" s="4" t="str">
        <f ca="1">IF(OR(INDEX($AG$2:$AG$1001,MATCH(ROWS($AF$2:AF804),$AF$2:$AF$1001,0),1)&gt;=100000,INDEX($AM$1005:$BM$1005,1,MATCH(COLUMNS($AM$1006:AQ1006),$AM$1006:$BM$1006,0))&gt;=100000), " ",IF(INDEX($AM$2:$BM$1001,MATCH(ROWS($AF$2:AF804),$AF$2:$AF$1001,0),MATCH(COLUMNS($AM$1006:AQ1006),$AM$1006:$BM$1006,0)), HYPERLINK("#",""), HYPERLINK(CONCATENATE("#metadata!", ADDRESS(INDEX($AH$2:$AH$1001,MATCH(ROWS($AF$2:AF804),$AF$2:$AF$1001,0),0), INDEX($AM$1004:$BM$1004,1,MATCH(COLUMNS($AM$1006:AQ1006),$AM$1006:$BM$1006,0)))),"Fix")))</f>
        <v xml:space="preserve"> </v>
      </c>
      <c r="G804" s="4" t="str">
        <f ca="1">IF(OR(INDEX($AG$2:$AG$1001,MATCH(ROWS($AF$2:AF804),$AF$2:$AF$1001,0),1)&gt;=100000,INDEX($AM$1005:$BM$1005,1,MATCH(COLUMNS($AM$1006:AR1006),$AM$1006:$BM$1006,0))&gt;=100000), " ",IF(INDEX($AM$2:$BM$1001,MATCH(ROWS($AF$2:AF804),$AF$2:$AF$1001,0),MATCH(COLUMNS($AM$1006:AR1006),$AM$1006:$BM$1006,0)), HYPERLINK("#",""), HYPERLINK(CONCATENATE("#metadata!", ADDRESS(INDEX($AH$2:$AH$1001,MATCH(ROWS($AF$2:AF804),$AF$2:$AF$1001,0),0), INDEX($AM$1004:$BM$1004,1,MATCH(COLUMNS($AM$1006:AR1006),$AM$1006:$BM$1006,0)))),"Fix")))</f>
        <v xml:space="preserve"> </v>
      </c>
      <c r="H804" s="4" t="str">
        <f ca="1">IF(OR(INDEX($AG$2:$AG$1001,MATCH(ROWS($AF$2:AF804),$AF$2:$AF$1001,0),1)&gt;=100000,INDEX($AM$1005:$BM$1005,1,MATCH(COLUMNS($AM$1006:AS1006),$AM$1006:$BM$1006,0))&gt;=100000), " ",IF(INDEX($AM$2:$BM$1001,MATCH(ROWS($AF$2:AF804),$AF$2:$AF$1001,0),MATCH(COLUMNS($AM$1006:AS1006),$AM$1006:$BM$1006,0)), HYPERLINK("#",""), HYPERLINK(CONCATENATE("#metadata!", ADDRESS(INDEX($AH$2:$AH$1001,MATCH(ROWS($AF$2:AF804),$AF$2:$AF$1001,0),0), INDEX($AM$1004:$BM$1004,1,MATCH(COLUMNS($AM$1006:AS1006),$AM$1006:$BM$1006,0)))),"Fix")))</f>
        <v xml:space="preserve"> </v>
      </c>
      <c r="I804" s="4" t="str">
        <f ca="1">IF(OR(INDEX($AG$2:$AG$1001,MATCH(ROWS($AF$2:AF804),$AF$2:$AF$1001,0),1)&gt;=100000,INDEX($AM$1005:$BM$1005,1,MATCH(COLUMNS($AM$1006:AT1006),$AM$1006:$BM$1006,0))&gt;=100000), " ",IF(INDEX($AM$2:$BM$1001,MATCH(ROWS($AF$2:AF804),$AF$2:$AF$1001,0),MATCH(COLUMNS($AM$1006:AT1006),$AM$1006:$BM$1006,0)), HYPERLINK("#",""), HYPERLINK(CONCATENATE("#metadata!", ADDRESS(INDEX($AH$2:$AH$1001,MATCH(ROWS($AF$2:AF804),$AF$2:$AF$1001,0),0), INDEX($AM$1004:$BM$1004,1,MATCH(COLUMNS($AM$1006:AT1006),$AM$1006:$BM$1006,0)))),"Fix")))</f>
        <v xml:space="preserve"> </v>
      </c>
      <c r="J804" s="4" t="str">
        <f ca="1">IF(OR(INDEX($AG$2:$AG$1001,MATCH(ROWS($AF$2:AF804),$AF$2:$AF$1001,0),1)&gt;=100000,INDEX($AM$1005:$BM$1005,1,MATCH(COLUMNS($AM$1006:AU1006),$AM$1006:$BM$1006,0))&gt;=100000), " ",IF(INDEX($AM$2:$BM$1001,MATCH(ROWS($AF$2:AF804),$AF$2:$AF$1001,0),MATCH(COLUMNS($AM$1006:AU1006),$AM$1006:$BM$1006,0)), HYPERLINK("#",""), HYPERLINK(CONCATENATE("#metadata!", ADDRESS(INDEX($AH$2:$AH$1001,MATCH(ROWS($AF$2:AF804),$AF$2:$AF$1001,0),0), INDEX($AM$1004:$BM$1004,1,MATCH(COLUMNS($AM$1006:AU1006),$AM$1006:$BM$1006,0)))),"Fix")))</f>
        <v xml:space="preserve"> </v>
      </c>
      <c r="K804" s="4" t="str">
        <f ca="1">IF(OR(INDEX($AG$2:$AG$1001,MATCH(ROWS($AF$2:AF804),$AF$2:$AF$1001,0),1)&gt;=100000,INDEX($AM$1005:$BM$1005,1,MATCH(COLUMNS($AM$1006:AV1006),$AM$1006:$BM$1006,0))&gt;=100000), " ",IF(INDEX($AM$2:$BM$1001,MATCH(ROWS($AF$2:AF804),$AF$2:$AF$1001,0),MATCH(COLUMNS($AM$1006:AV1006),$AM$1006:$BM$1006,0)), HYPERLINK("#",""), HYPERLINK(CONCATENATE("#metadata!", ADDRESS(INDEX($AH$2:$AH$1001,MATCH(ROWS($AF$2:AF804),$AF$2:$AF$1001,0),0), INDEX($AM$1004:$BM$1004,1,MATCH(COLUMNS($AM$1006:AV1006),$AM$1006:$BM$1006,0)))),"Fix")))</f>
        <v xml:space="preserve"> </v>
      </c>
      <c r="L804" s="4" t="str">
        <f ca="1">IF(OR(INDEX($AG$2:$AG$1001,MATCH(ROWS($AF$2:AF804),$AF$2:$AF$1001,0),1)&gt;=100000,INDEX($AM$1005:$BM$1005,1,MATCH(COLUMNS($AM$1006:AW1006),$AM$1006:$BM$1006,0))&gt;=100000), " ",IF(INDEX($AM$2:$BM$1001,MATCH(ROWS($AF$2:AF804),$AF$2:$AF$1001,0),MATCH(COLUMNS($AM$1006:AW1006),$AM$1006:$BM$1006,0)), HYPERLINK("#",""), HYPERLINK(CONCATENATE("#metadata!", ADDRESS(INDEX($AH$2:$AH$1001,MATCH(ROWS($AF$2:AF804),$AF$2:$AF$1001,0),0), INDEX($AM$1004:$BM$1004,1,MATCH(COLUMNS($AM$1006:AW1006),$AM$1006:$BM$1006,0)))),"Fix")))</f>
        <v xml:space="preserve"> </v>
      </c>
      <c r="M804" s="4" t="str">
        <f ca="1">IF(OR(INDEX($AG$2:$AG$1001,MATCH(ROWS($AF$2:AF804),$AF$2:$AF$1001,0),1)&gt;=100000,INDEX($AM$1005:$BM$1005,1,MATCH(COLUMNS($AM$1006:AX1006),$AM$1006:$BM$1006,0))&gt;=100000), " ",IF(INDEX($AM$2:$BM$1001,MATCH(ROWS($AF$2:AF804),$AF$2:$AF$1001,0),MATCH(COLUMNS($AM$1006:AX1006),$AM$1006:$BM$1006,0)), HYPERLINK("#",""), HYPERLINK(CONCATENATE("#metadata!", ADDRESS(INDEX($AH$2:$AH$1001,MATCH(ROWS($AF$2:AF804),$AF$2:$AF$1001,0),0), INDEX($AM$1004:$BM$1004,1,MATCH(COLUMNS($AM$1006:AX1006),$AM$1006:$BM$1006,0)))),"Fix")))</f>
        <v xml:space="preserve"> </v>
      </c>
      <c r="N804" s="4" t="str">
        <f ca="1">IF(OR(INDEX($AG$2:$AG$1001,MATCH(ROWS($AF$2:AF804),$AF$2:$AF$1001,0),1)&gt;=100000,INDEX($AM$1005:$BM$1005,1,MATCH(COLUMNS($AM$1006:AY1006),$AM$1006:$BM$1006,0))&gt;=100000), " ",IF(INDEX($AM$2:$BM$1001,MATCH(ROWS($AF$2:AF804),$AF$2:$AF$1001,0),MATCH(COLUMNS($AM$1006:AY1006),$AM$1006:$BM$1006,0)), HYPERLINK("#",""), HYPERLINK(CONCATENATE("#metadata!", ADDRESS(INDEX($AH$2:$AH$1001,MATCH(ROWS($AF$2:AF804),$AF$2:$AF$1001,0),0), INDEX($AM$1004:$BM$1004,1,MATCH(COLUMNS($AM$1006:AY1006),$AM$1006:$BM$1006,0)))),"Fix")))</f>
        <v xml:space="preserve"> </v>
      </c>
      <c r="O804" s="4" t="str">
        <f ca="1">IF(OR(INDEX($AG$2:$AG$1001,MATCH(ROWS($AF$2:AF804),$AF$2:$AF$1001,0),1)&gt;=100000,INDEX($AM$1005:$BM$1005,1,MATCH(COLUMNS($AM$1006:AZ1006),$AM$1006:$BM$1006,0))&gt;=100000), " ",IF(INDEX($AM$2:$BM$1001,MATCH(ROWS($AF$2:AF804),$AF$2:$AF$1001,0),MATCH(COLUMNS($AM$1006:AZ1006),$AM$1006:$BM$1006,0)), HYPERLINK("#",""), HYPERLINK(CONCATENATE("#metadata!", ADDRESS(INDEX($AH$2:$AH$1001,MATCH(ROWS($AF$2:AF804),$AF$2:$AF$1001,0),0), INDEX($AM$1004:$BM$1004,1,MATCH(COLUMNS($AM$1006:AZ1006),$AM$1006:$BM$1006,0)))),"Fix")))</f>
        <v xml:space="preserve"> </v>
      </c>
      <c r="P804" s="4" t="str">
        <f ca="1">IF(OR(INDEX($AG$2:$AG$1001,MATCH(ROWS($AF$2:AF804),$AF$2:$AF$1001,0),1)&gt;=100000,INDEX($AM$1005:$BM$1005,1,MATCH(COLUMNS($AM$1006:BA1006),$AM$1006:$BM$1006,0))&gt;=100000), " ",IF(INDEX($AM$2:$BM$1001,MATCH(ROWS($AF$2:AF804),$AF$2:$AF$1001,0),MATCH(COLUMNS($AM$1006:BA1006),$AM$1006:$BM$1006,0)), HYPERLINK("#",""), HYPERLINK(CONCATENATE("#metadata!", ADDRESS(INDEX($AH$2:$AH$1001,MATCH(ROWS($AF$2:AF804),$AF$2:$AF$1001,0),0), INDEX($AM$1004:$BM$1004,1,MATCH(COLUMNS($AM$1006:BA1006),$AM$1006:$BM$1006,0)))),"Fix")))</f>
        <v xml:space="preserve"> </v>
      </c>
      <c r="Q804" s="4" t="str">
        <f ca="1">IF(OR(INDEX($AG$2:$AG$1001,MATCH(ROWS($AF$2:AF804),$AF$2:$AF$1001,0),1)&gt;=100000,INDEX($AM$1005:$BM$1005,1,MATCH(COLUMNS($AM$1006:BB1006),$AM$1006:$BM$1006,0))&gt;=100000), " ",IF(INDEX($AM$2:$BM$1001,MATCH(ROWS($AF$2:AF804),$AF$2:$AF$1001,0),MATCH(COLUMNS($AM$1006:BB1006),$AM$1006:$BM$1006,0)), HYPERLINK("#",""), HYPERLINK(CONCATENATE("#metadata!", ADDRESS(INDEX($AH$2:$AH$1001,MATCH(ROWS($AF$2:AF804),$AF$2:$AF$1001,0),0), INDEX($AM$1004:$BM$1004,1,MATCH(COLUMNS($AM$1006:BB1006),$AM$1006:$BM$1006,0)))),"Fix")))</f>
        <v xml:space="preserve"> </v>
      </c>
      <c r="R804" s="4" t="str">
        <f ca="1">IF(OR(INDEX($AG$2:$AG$1001,MATCH(ROWS($AF$2:AF804),$AF$2:$AF$1001,0),1)&gt;=100000,INDEX($AM$1005:$BM$1005,1,MATCH(COLUMNS($AM$1006:BC1006),$AM$1006:$BM$1006,0))&gt;=100000), " ",IF(INDEX($AM$2:$BM$1001,MATCH(ROWS($AF$2:AF804),$AF$2:$AF$1001,0),MATCH(COLUMNS($AM$1006:BC1006),$AM$1006:$BM$1006,0)), HYPERLINK("#",""), HYPERLINK(CONCATENATE("#metadata!", ADDRESS(INDEX($AH$2:$AH$1001,MATCH(ROWS($AF$2:AF804),$AF$2:$AF$1001,0),0), INDEX($AM$1004:$BM$1004,1,MATCH(COLUMNS($AM$1006:BC1006),$AM$1006:$BM$1006,0)))),"Fix")))</f>
        <v xml:space="preserve"> </v>
      </c>
      <c r="S804" s="4" t="str">
        <f ca="1">IF(OR(INDEX($AG$2:$AG$1001,MATCH(ROWS($AF$2:AF804),$AF$2:$AF$1001,0),1)&gt;=100000,INDEX($AM$1005:$BM$1005,1,MATCH(COLUMNS($AM$1006:BD1006),$AM$1006:$BM$1006,0))&gt;=100000), " ",IF(INDEX($AM$2:$BM$1001,MATCH(ROWS($AF$2:AF804),$AF$2:$AF$1001,0),MATCH(COLUMNS($AM$1006:BD1006),$AM$1006:$BM$1006,0)), HYPERLINK("#",""), HYPERLINK(CONCATENATE("#metadata!", ADDRESS(INDEX($AH$2:$AH$1001,MATCH(ROWS($AF$2:AF804),$AF$2:$AF$1001,0),0), INDEX($AM$1004:$BM$1004,1,MATCH(COLUMNS($AM$1006:BD1006),$AM$1006:$BM$1006,0)))),"Fix")))</f>
        <v xml:space="preserve"> </v>
      </c>
      <c r="T804" s="4" t="str">
        <f ca="1">IF(OR(INDEX($AG$2:$AG$1001,MATCH(ROWS($AF$2:AF804),$AF$2:$AF$1001,0),1)&gt;=100000,INDEX($AM$1005:$BM$1005,1,MATCH(COLUMNS($AM$1006:BE1006),$AM$1006:$BM$1006,0))&gt;=100000), " ",IF(INDEX($AM$2:$BM$1001,MATCH(ROWS($AF$2:AF804),$AF$2:$AF$1001,0),MATCH(COLUMNS($AM$1006:BE1006),$AM$1006:$BM$1006,0)), HYPERLINK("#",""), HYPERLINK(CONCATENATE("#metadata!", ADDRESS(INDEX($AH$2:$AH$1001,MATCH(ROWS($AF$2:AF804),$AF$2:$AF$1001,0),0), INDEX($AM$1004:$BM$1004,1,MATCH(COLUMNS($AM$1006:BE1006),$AM$1006:$BM$1006,0)))),"Fix")))</f>
        <v xml:space="preserve"> </v>
      </c>
      <c r="U804" s="4" t="str">
        <f ca="1">IF(OR(INDEX($AG$2:$AG$1001,MATCH(ROWS($AF$2:AF804),$AF$2:$AF$1001,0),1)&gt;=100000,INDEX($AM$1005:$BM$1005,1,MATCH(COLUMNS($AM$1006:BF1006),$AM$1006:$BM$1006,0))&gt;=100000), " ",IF(INDEX($AM$2:$BM$1001,MATCH(ROWS($AF$2:AF804),$AF$2:$AF$1001,0),MATCH(COLUMNS($AM$1006:BF1006),$AM$1006:$BM$1006,0)), HYPERLINK("#",""), HYPERLINK(CONCATENATE("#metadata!", ADDRESS(INDEX($AH$2:$AH$1001,MATCH(ROWS($AF$2:AF804),$AF$2:$AF$1001,0),0), INDEX($AM$1004:$BM$1004,1,MATCH(COLUMNS($AM$1006:BF1006),$AM$1006:$BM$1006,0)))),"Fix")))</f>
        <v xml:space="preserve"> </v>
      </c>
      <c r="V804" s="4" t="str">
        <f ca="1">IF(OR(INDEX($AG$2:$AG$1001,MATCH(ROWS($AF$2:AF804),$AF$2:$AF$1001,0),1)&gt;=100000,INDEX($AM$1005:$BM$1005,1,MATCH(COLUMNS($AM$1006:BG1006),$AM$1006:$BM$1006,0))&gt;=100000), " ",IF(INDEX($AM$2:$BM$1001,MATCH(ROWS($AF$2:AF804),$AF$2:$AF$1001,0),MATCH(COLUMNS($AM$1006:BG1006),$AM$1006:$BM$1006,0)), HYPERLINK("#",""), HYPERLINK(CONCATENATE("#metadata!", ADDRESS(INDEX($AH$2:$AH$1001,MATCH(ROWS($AF$2:AF804),$AF$2:$AF$1001,0),0), INDEX($AM$1004:$BM$1004,1,MATCH(COLUMNS($AM$1006:BG1006),$AM$1006:$BM$1006,0)))),"Fix")))</f>
        <v xml:space="preserve"> </v>
      </c>
      <c r="W804" s="4" t="str">
        <f ca="1">IF(OR(INDEX($AG$2:$AG$1001,MATCH(ROWS($AF$2:AF804),$AF$2:$AF$1001,0),1)&gt;=100000,INDEX($AM$1005:$BM$1005,1,MATCH(COLUMNS($AM$1006:BH1006),$AM$1006:$BM$1006,0))&gt;=100000), " ",IF(INDEX($AM$2:$BM$1001,MATCH(ROWS($AF$2:AF804),$AF$2:$AF$1001,0),MATCH(COLUMNS($AM$1006:BH1006),$AM$1006:$BM$1006,0)), HYPERLINK("#",""), HYPERLINK(CONCATENATE("#metadata!", ADDRESS(INDEX($AH$2:$AH$1001,MATCH(ROWS($AF$2:AF804),$AF$2:$AF$1001,0),0), INDEX($AM$1004:$BM$1004,1,MATCH(COLUMNS($AM$1006:BH1006),$AM$1006:$BM$1006,0)))),"Fix")))</f>
        <v xml:space="preserve"> </v>
      </c>
      <c r="X804" s="4" t="str">
        <f ca="1">IF(OR(INDEX($AG$2:$AG$1001,MATCH(ROWS($AF$2:AF804),$AF$2:$AF$1001,0),1)&gt;=100000,INDEX($AM$1005:$BM$1005,1,MATCH(COLUMNS($AM$1006:BI1006),$AM$1006:$BM$1006,0))&gt;=100000), " ",IF(INDEX($AM$2:$BM$1001,MATCH(ROWS($AF$2:AF804),$AF$2:$AF$1001,0),MATCH(COLUMNS($AM$1006:BI1006),$AM$1006:$BM$1006,0)), HYPERLINK("#",""), HYPERLINK(CONCATENATE("#metadata!", ADDRESS(INDEX($AH$2:$AH$1001,MATCH(ROWS($AF$2:AF804),$AF$2:$AF$1001,0),0), INDEX($AM$1004:$BM$1004,1,MATCH(COLUMNS($AM$1006:BI1006),$AM$1006:$BM$1006,0)))),"Fix")))</f>
        <v xml:space="preserve"> </v>
      </c>
      <c r="Y804" s="4" t="str">
        <f ca="1">IF(OR(INDEX($AG$2:$AG$1001,MATCH(ROWS($AF$2:AF804),$AF$2:$AF$1001,0),1)&gt;=100000,INDEX($AM$1005:$BM$1005,1,MATCH(COLUMNS($AM$1006:BJ1006),$AM$1006:$BM$1006,0))&gt;=100000), " ",IF(INDEX($AM$2:$BM$1001,MATCH(ROWS($AF$2:AF804),$AF$2:$AF$1001,0),MATCH(COLUMNS($AM$1006:BJ1006),$AM$1006:$BM$1006,0)), HYPERLINK("#",""), HYPERLINK(CONCATENATE("#metadata!", ADDRESS(INDEX($AH$2:$AH$1001,MATCH(ROWS($AF$2:AF804),$AF$2:$AF$1001,0),0), INDEX($AM$1004:$BM$1004,1,MATCH(COLUMNS($AM$1006:BJ1006),$AM$1006:$BM$1006,0)))),"Fix")))</f>
        <v xml:space="preserve"> </v>
      </c>
      <c r="Z804" s="4" t="str">
        <f ca="1">IF(OR(INDEX($AG$2:$AG$1001,MATCH(ROWS($AF$2:AF804),$AF$2:$AF$1001,0),1)&gt;=100000,INDEX($AM$1005:$BM$1005,1,MATCH(COLUMNS($AM$1006:BK1006),$AM$1006:$BM$1006,0))&gt;=100000), " ",IF(INDEX($AM$2:$BM$1001,MATCH(ROWS($AF$2:AF804),$AF$2:$AF$1001,0),MATCH(COLUMNS($AM$1006:BK1006),$AM$1006:$BM$1006,0)), HYPERLINK("#",""), HYPERLINK(CONCATENATE("#metadata!", ADDRESS(INDEX($AH$2:$AH$1001,MATCH(ROWS($AF$2:AF804),$AF$2:$AF$1001,0),0), INDEX($AM$1004:$BM$1004,1,MATCH(COLUMNS($AM$1006:BK1006),$AM$1006:$BM$1006,0)))),"Fix")))</f>
        <v xml:space="preserve"> </v>
      </c>
      <c r="AA804" s="4" t="str">
        <f ca="1">IF(OR(INDEX($AG$2:$AG$1001,MATCH(ROWS($AF$2:AF804),$AF$2:$AF$1001,0),1)&gt;=100000,INDEX($AM$1005:$BM$1005,1,MATCH(COLUMNS($AM$1006:BL1006),$AM$1006:$BM$1006,0))&gt;=100000), " ",IF(INDEX($AM$2:$BM$1001,MATCH(ROWS($AF$2:AF804),$AF$2:$AF$1001,0),MATCH(COLUMNS($AM$1006:BL1006),$AM$1006:$BM$1006,0)), HYPERLINK("#",""), HYPERLINK(CONCATENATE("#metadata!", ADDRESS(INDEX($AH$2:$AH$1001,MATCH(ROWS($AF$2:AF804),$AF$2:$AF$1001,0),0), INDEX($AM$1004:$BM$1004,1,MATCH(COLUMNS($AM$1006:BL1006),$AM$1006:$BM$1006,0)))),"Fix")))</f>
        <v xml:space="preserve"> </v>
      </c>
      <c r="AB804" s="4" t="str">
        <f ca="1">IF(OR(INDEX($AG$2:$AG$1001,MATCH(ROWS($AF$2:AF804),$AF$2:$AF$1001,0),1)&gt;=100000,INDEX($AM$1005:$BM$1005,1,MATCH(COLUMNS($AM$1006:BM1006),$AM$1006:$BM$1006,0))&gt;=100000), " ",IF(INDEX($AM$2:$BM$1001,MATCH(ROWS($AF$2:AF804),$AF$2:$AF$1001,0),MATCH(COLUMNS($AM$1006:BM1006),$AM$1006:$BM$1006,0)), HYPERLINK("#",""), HYPERLINK(CONCATENATE("#metadata!", ADDRESS(INDEX($AH$2:$AH$1001,MATCH(ROWS($AF$2:AF804),$AF$2:$AF$1001,0),0), INDEX($AM$1004:$BM$1004,1,MATCH(COLUMNS($AM$1006:BM1006),$AM$1006:$BM$1006,0)))),"Fix")))</f>
        <v xml:space="preserve"> </v>
      </c>
      <c r="AF804">
        <v>803</v>
      </c>
      <c r="AG804">
        <v>100804</v>
      </c>
      <c r="AH804">
        <v>804</v>
      </c>
      <c r="AI804" t="b">
        <f t="shared" si="12"/>
        <v>1</v>
      </c>
      <c r="AJ804" t="b">
        <f>COUNTBLANK(metadata!B804:AB804)=COLUMNS(metadata!B804:AB804)</f>
        <v>1</v>
      </c>
      <c r="AK804" t="str">
        <v/>
      </c>
      <c r="AM804" t="b">
        <f ca="1">AND(IF(metadata!B804="",FALSE,TRUE),COUNTIF(metadata!B:B, metadata!B804) = 1,NOT(ISERROR(SUMPRODUCT(SEARCH(MID(metadata!B804,ROW(INDIRECT("1:"&amp;LEN(metadata!B804))), 1),"0123456789abcdefghijklmnopqrstuvwxyzABCDEFGHIJKLMNOPQRSTUVWXYZ.")))))</f>
        <v>0</v>
      </c>
      <c r="AN804" t="b">
        <f ca="1">OR(AND(IF(metadata!C804="",FALSE,TRUE),OR(EXACT(metadata!C804,"missing: not collected"),EXACT(metadata!C804,"missing: not provided"),EXACT(metadata!C804,"missing: restricted access"))),AND(IF(metadata!C804="",FALSE,TRUE),AND(AND(IFERROR(INT(LEFT(metadata!C804,4))&gt;1900,FALSE),IFERROR(INT(LEFT(metadata!C804,4))&lt;=YEAR(NOW()),FALSE)), OR(MID(metadata!C804,5,1)="", AND(AND(MID(metadata!C804,5,1)="-",IFERROR(INT(MID(metadata!C804,6,1))&gt;=0,FALSE),IFERROR(INT(MID(metadata!C804,6,1))&lt;=1,FALSE),NOT(MID(metadata!C804,7,1)=""),IFERROR(INT(MID(metadata!C804,6,2))&gt;=1,FALSE),IFERROR(INT(MID(metadata!C804,6,2))&lt;=12,FALSE)), OR(MID(metadata!C804,8,1)="", AND(AND(MID(metadata!C804,8,1)="-",IFERROR(INT(MID(metadata!C804,9,1))&gt;=0,FALSE),IFERROR(INT(MID(metadata!C804,9,1))&lt;=3,FALSE),NOT(MID(metadata!C804,10,1)=""),IFERROR(INT(MID(metadata!C804,9,2))&gt;=1,FALSE),IFERROR(INT(MID(metadata!C804,9,2))&lt;=31,FALSE)), OR(MID(metadata!C804,11,1)="", AND(AND(MID(metadata!C804,11,1)=" ",IFERROR(INT(MID(metadata!C804,12,1))&gt;=0,FALSE),IFERROR(INT(MID(metadata!C804,12,1))&lt;=2,FALSE),NOT(MID(metadata!C804,13,1)=""),IFERROR(INT(MID(metadata!C804,12,2))&gt;=0,FALSE),IFERROR(INT(MID(metadata!C804,12,2))&lt;=23,FALSE)), OR(MID(metadata!C804,14,1)="", AND(AND(MID(metadata!C804,14,1)=":",IFERROR(INT(MID(metadata!C804,15,1))&gt;=0,FALSE),IFERROR(INT(MID(metadata!C804,15,1))&lt;=5,FALSE),NOT(MID(metadata!C804,16,1)=""),IFERROR(INT(MID(metadata!C804,15,2))&gt;=0,FALSE),IFERROR(INT(MID(metadata!C804,15,2))&lt;=59,FALSE)), OR(MID(metadata!C804,17,1)="", AND(AND(MID(metadata!C804,17,1)=":",IFERROR(INT(MID(metadata!C804,18,1))&gt;=0,FALSE),IFERROR(INT(MID(metadata!C804,18,1))&lt;=5,FALSE),NOT(MID(metadata!C804,19,1)=""),IFERROR(INT(MID(metadata!C804,18,2))&gt;=0,FALSE),IFERROR(INT(MID(metadata!C804,18,2))&lt;=59,FALSE)), LEN(metadata!C804)&lt;=19)))))))))))))</f>
        <v>0</v>
      </c>
      <c r="AO804" t="b">
        <f>AND(IF(metadata!D804="",FALSE,TRUE),EXACT(metadata!D804,"Not applicable"))</f>
        <v>0</v>
      </c>
      <c r="AP804" t="b">
        <f>IF(metadata!E804="",FALSE,TRUE)</f>
        <v>0</v>
      </c>
      <c r="AQ804" t="b">
        <f>OR(AND(IF(metadata!F804="",FALSE,TRUE),OR(EXACT(metadata!F804,"missing: not collected"),EXACT(metadata!F804,"missing: not provided"))),AND(IF(metadata!F804="",FALSE,TRUE),OR(EXACT(metadata!F804,"TRUE"),EXACT(metadata!F804,"FALSE"))))</f>
        <v>0</v>
      </c>
      <c r="AR804" t="b">
        <f>OR(AND(IF(metadata!G804="",FALSE,TRUE),OR(EXACT(metadata!G804,"missing: not collected"),EXACT(metadata!G804,"missing: not provided"),EXACT(metadata!G804,"missing: restricted access"))),AND(IF(metadata!G804="",FALSE,ISNUMBER(VALUE(metadata!G804))),metadata!G804&gt;=-413))</f>
        <v>0</v>
      </c>
      <c r="AS804" t="b">
        <f>AND(IF(metadata!H804="",FALSE,TRUE),EXACT(metadata!H804,"meters"))</f>
        <v>0</v>
      </c>
      <c r="AT804" t="b">
        <f>AND(IF(metadata!I804="",FALSE,TRUE),OR(EXACT(metadata!I804,"Host-associated"),EXACT(metadata!I804,"Free-living")))</f>
        <v>0</v>
      </c>
      <c r="AU804" t="b">
        <f>AND(IF(metadata!J804="",FALSE,TRUE),OR(EXACT(metadata!J804,"Animal"),EXACT(metadata!J804,"Fungus"),EXACT(metadata!J804,"Plant"),EXACT(metadata!J804,"Saline"),EXACT(metadata!J804,"Non-saline")))</f>
        <v>0</v>
      </c>
      <c r="AV804" t="b">
        <f>AND(IF(metadata!K804="",FALSE,TRUE),OR(EXACT(metadata!K804,"Plant secretion"),EXACT(metadata!K804,"Plant rhizosphere"),EXACT(metadata!K804,"Plant surface"),EXACT(metadata!K804,"Plant corpus"),EXACT(metadata!K804,"Fungus surface"),EXACT(metadata!K804,"Fungus corpus"),EXACT(metadata!K804,"Animal surface"),EXACT(metadata!K804,"Animal proximal gut"),EXACT(metadata!K804,"Animal corpus"),EXACT(metadata!K804,"Animal distal gut"),EXACT(metadata!K804,"Animal secretion"),EXACT(metadata!K804,"Sub-surface (non-saline)"),EXACT(metadata!K804,"Surface (non-saline)"),EXACT(metadata!K804,"Water (non-saline)"),EXACT(metadata!K804,"Soil (non-saline)"),EXACT(metadata!K804,"Aerosol (non-saline)"),EXACT(metadata!K804,"Sediment (non-saline)"),EXACT(metadata!K804,"Surface (saline)"),EXACT(metadata!K804,"Water (saline)"),EXACT(metadata!K804,"Hypersaline (saline)"),EXACT(metadata!K804,"Aerosol (saline)"),EXACT(metadata!K804,"Sediment (saline)")))</f>
        <v>0</v>
      </c>
      <c r="AW804" t="b">
        <f>IF(metadata!L804="",FALSE,TRUE)</f>
        <v>0</v>
      </c>
      <c r="AX804" t="b">
        <f>IF(metadata!M804="",FALSE,TRUE)</f>
        <v>0</v>
      </c>
      <c r="AY804" t="b">
        <f>IF(metadata!N804="",FALSE,TRUE)</f>
        <v>0</v>
      </c>
      <c r="AZ804" t="b">
        <f>OR(AND(IF(metadata!O804="",FALSE,TRUE),OR(EXACT(metadata!O804,"missing: not collected"),EXACT(metadata!O804,"missing: not provided"),EXACT(metadata!O804,"missing: restricted access"))),AND(IF(metadata!O804="",FALSE,TRUE),OR(EXACT(metadata!O804,"air"),EXACT(metadata!O804,"built environment"),EXACT(metadata!O804,"host-associated"),EXACT(metadata!O804,"human-associated"),EXACT(metadata!O804,"human-skin"),EXACT(metadata!O804,"human-oral"),EXACT(metadata!O804,"human-gut"),EXACT(metadata!O804,"human-vaginal"),EXACT(metadata!O804,"microbial mat/biofilm"),EXACT(metadata!O804,"misc environment"),EXACT(metadata!O804,"plant-associated"),EXACT(metadata!O804,"sediment"),EXACT(metadata!O804,"soil"),EXACT(metadata!O804,"wastewater/sludge"),EXACT(metadata!O804,"water"))))</f>
        <v>0</v>
      </c>
      <c r="BA804" t="b">
        <f>IF(metadata!P804="",FALSE,TRUE)</f>
        <v>0</v>
      </c>
      <c r="BB804" t="b">
        <f>IF(metadata!Q804="",FALSE,TRUE)</f>
        <v>0</v>
      </c>
      <c r="BC804" t="b">
        <f>OR(AND(IF(metadata!R804="",FALSE,TRUE),OR(EXACT(metadata!R804,"missing: not collected"),EXACT(metadata!R804,"missing: not provided"),EXACT(metadata!R804,"missing: restricted access"))),AND(IF(metadata!R804="",FALSE,ISNUMBER(VALUE(metadata!R804))),metadata!R804&gt;=-90,metadata!R804&lt;=90))</f>
        <v>0</v>
      </c>
      <c r="BD804" t="b">
        <f>AND(IF(metadata!S804="",FALSE,TRUE),EXACT(metadata!S804,"Decimal degrees"))</f>
        <v>0</v>
      </c>
      <c r="BE804" t="b">
        <f>OR(AND(IF(metadata!T804="",FALSE,TRUE),OR(EXACT(metadata!T804,"missing: not collected"),EXACT(metadata!T804,"missing: not provided"),EXACT(metadata!T804,"missing: restricted access"))),AND(IF(metadata!T804="",FALSE,ISNUMBER(VALUE(metadata!T804))),metadata!T804&gt;=-180,metadata!T804&lt;=180))</f>
        <v>0</v>
      </c>
      <c r="BF804" t="b">
        <f>AND(IF(metadata!U804="",FALSE,TRUE),EXACT(metadata!U804,"Decimal degrees"))</f>
        <v>0</v>
      </c>
      <c r="BG804" t="b">
        <f>IF(metadata!V804="",FALSE,TRUE)</f>
        <v>0</v>
      </c>
      <c r="BH804" t="b">
        <f>OR(AND(IF(metadata!W804="",FALSE,TRUE),OR(EXACT(metadata!W804,"missing: not collected"),EXACT(metadata!W804,"missing: not provided"),EXACT(metadata!W804,"missing: restricted access"))),AND(IF(metadata!W804="",FALSE,TRUE),OR(EXACT(metadata!W804,"TRUE"),EXACT(metadata!W804,"FALSE"))))</f>
        <v>0</v>
      </c>
      <c r="BI804" t="b">
        <f>AND(IF(metadata!X804="",FALSE,TRUE),EXACT(metadata!X804,"other"))</f>
        <v>0</v>
      </c>
      <c r="BJ804" t="b">
        <f>IF(metadata!Y804="",FALSE,TRUE)</f>
        <v>0</v>
      </c>
      <c r="BK804" t="b">
        <f>OR(AND(IF(metadata!Z804="",FALSE,TRUE),OR(EXACT(metadata!Z804,"missing: not collected"),EXACT(metadata!Z804,"missing: not provided"))),AND(IF(metadata!Z804="",FALSE,IF(ISERROR(INT(metadata!Z804)),FALSE,INT(metadata!Z804)=metadata!Z804)),metadata!Z804&gt;0))</f>
        <v>0</v>
      </c>
      <c r="BL804" t="b">
        <f>AND(IF(metadata!AA804="",FALSE,TRUE),EXACT(metadata!AA804,"Not applicable"))</f>
        <v>0</v>
      </c>
      <c r="BM804" t="b">
        <f>IF(metadata!AB804="",FALSE,TRUE)</f>
        <v>0</v>
      </c>
    </row>
    <row r="805" spans="1:65" x14ac:dyDescent="0.2">
      <c r="A805" s="5" t="str">
        <f ca="1">IF(B805=" "," ",HYPERLINK(CONCATENATE("#metadata!",ADDRESS(INDEX($AH$2:$AH$1001,MATCH(ROWS($AF$2:AF805),$AF$2:$AF$1001,0),0),1)),INDEX($AK$2:$AK$1001,MATCH(ROWS($AF$2:AF805),$AF$2:$AF$1001,0),0)))</f>
        <v xml:space="preserve"> </v>
      </c>
      <c r="B805" s="4" t="str">
        <f ca="1">IF(OR(INDEX($AG$2:$AG$1001,MATCH(ROWS($AF$2:AF805),$AF$2:$AF$1001,0),1)&gt;=100000,INDEX($AM$1005:$BM$1005,1,MATCH(COLUMNS($AM$1006:AM1006),$AM$1006:$BM$1006,0))&gt;=100000), " ",IF(INDEX($AM$2:$BM$1001,MATCH(ROWS($AF$2:AF805),$AF$2:$AF$1001,0),MATCH(COLUMNS($AM$1006:AM1006),$AM$1006:$BM$1006,0)), HYPERLINK("#",""), HYPERLINK(CONCATENATE("#metadata!", ADDRESS(INDEX($AH$2:$AH$1001,MATCH(ROWS($AF$2:AF805),$AF$2:$AF$1001,0),0), INDEX($AM$1004:$BM$1004,1,MATCH(COLUMNS($AM$1006:AM1006),$AM$1006:$BM$1006,0)))),"Fix")))</f>
        <v xml:space="preserve"> </v>
      </c>
      <c r="C805" s="4" t="str">
        <f ca="1">IF(OR(INDEX($AG$2:$AG$1001,MATCH(ROWS($AF$2:AF805),$AF$2:$AF$1001,0),1)&gt;=100000,INDEX($AM$1005:$BM$1005,1,MATCH(COLUMNS($AM$1006:AN1006),$AM$1006:$BM$1006,0))&gt;=100000), " ",IF(INDEX($AM$2:$BM$1001,MATCH(ROWS($AF$2:AF805),$AF$2:$AF$1001,0),MATCH(COLUMNS($AM$1006:AN1006),$AM$1006:$BM$1006,0)), HYPERLINK("#",""), HYPERLINK(CONCATENATE("#metadata!", ADDRESS(INDEX($AH$2:$AH$1001,MATCH(ROWS($AF$2:AF805),$AF$2:$AF$1001,0),0), INDEX($AM$1004:$BM$1004,1,MATCH(COLUMNS($AM$1006:AN1006),$AM$1006:$BM$1006,0)))),"Fix")))</f>
        <v xml:space="preserve"> </v>
      </c>
      <c r="D805" s="4" t="str">
        <f ca="1">IF(OR(INDEX($AG$2:$AG$1001,MATCH(ROWS($AF$2:AF805),$AF$2:$AF$1001,0),1)&gt;=100000,INDEX($AM$1005:$BM$1005,1,MATCH(COLUMNS($AM$1006:AO1006),$AM$1006:$BM$1006,0))&gt;=100000), " ",IF(INDEX($AM$2:$BM$1001,MATCH(ROWS($AF$2:AF805),$AF$2:$AF$1001,0),MATCH(COLUMNS($AM$1006:AO1006),$AM$1006:$BM$1006,0)), HYPERLINK("#",""), HYPERLINK(CONCATENATE("#metadata!", ADDRESS(INDEX($AH$2:$AH$1001,MATCH(ROWS($AF$2:AF805),$AF$2:$AF$1001,0),0), INDEX($AM$1004:$BM$1004,1,MATCH(COLUMNS($AM$1006:AO1006),$AM$1006:$BM$1006,0)))),"Fix")))</f>
        <v xml:space="preserve"> </v>
      </c>
      <c r="E805" s="4" t="str">
        <f ca="1">IF(OR(INDEX($AG$2:$AG$1001,MATCH(ROWS($AF$2:AF805),$AF$2:$AF$1001,0),1)&gt;=100000,INDEX($AM$1005:$BM$1005,1,MATCH(COLUMNS($AM$1006:AP1006),$AM$1006:$BM$1006,0))&gt;=100000), " ",IF(INDEX($AM$2:$BM$1001,MATCH(ROWS($AF$2:AF805),$AF$2:$AF$1001,0),MATCH(COLUMNS($AM$1006:AP1006),$AM$1006:$BM$1006,0)), HYPERLINK("#",""), HYPERLINK(CONCATENATE("#metadata!", ADDRESS(INDEX($AH$2:$AH$1001,MATCH(ROWS($AF$2:AF805),$AF$2:$AF$1001,0),0), INDEX($AM$1004:$BM$1004,1,MATCH(COLUMNS($AM$1006:AP1006),$AM$1006:$BM$1006,0)))),"Fix")))</f>
        <v xml:space="preserve"> </v>
      </c>
      <c r="F805" s="4" t="str">
        <f ca="1">IF(OR(INDEX($AG$2:$AG$1001,MATCH(ROWS($AF$2:AF805),$AF$2:$AF$1001,0),1)&gt;=100000,INDEX($AM$1005:$BM$1005,1,MATCH(COLUMNS($AM$1006:AQ1006),$AM$1006:$BM$1006,0))&gt;=100000), " ",IF(INDEX($AM$2:$BM$1001,MATCH(ROWS($AF$2:AF805),$AF$2:$AF$1001,0),MATCH(COLUMNS($AM$1006:AQ1006),$AM$1006:$BM$1006,0)), HYPERLINK("#",""), HYPERLINK(CONCATENATE("#metadata!", ADDRESS(INDEX($AH$2:$AH$1001,MATCH(ROWS($AF$2:AF805),$AF$2:$AF$1001,0),0), INDEX($AM$1004:$BM$1004,1,MATCH(COLUMNS($AM$1006:AQ1006),$AM$1006:$BM$1006,0)))),"Fix")))</f>
        <v xml:space="preserve"> </v>
      </c>
      <c r="G805" s="4" t="str">
        <f ca="1">IF(OR(INDEX($AG$2:$AG$1001,MATCH(ROWS($AF$2:AF805),$AF$2:$AF$1001,0),1)&gt;=100000,INDEX($AM$1005:$BM$1005,1,MATCH(COLUMNS($AM$1006:AR1006),$AM$1006:$BM$1006,0))&gt;=100000), " ",IF(INDEX($AM$2:$BM$1001,MATCH(ROWS($AF$2:AF805),$AF$2:$AF$1001,0),MATCH(COLUMNS($AM$1006:AR1006),$AM$1006:$BM$1006,0)), HYPERLINK("#",""), HYPERLINK(CONCATENATE("#metadata!", ADDRESS(INDEX($AH$2:$AH$1001,MATCH(ROWS($AF$2:AF805),$AF$2:$AF$1001,0),0), INDEX($AM$1004:$BM$1004,1,MATCH(COLUMNS($AM$1006:AR1006),$AM$1006:$BM$1006,0)))),"Fix")))</f>
        <v xml:space="preserve"> </v>
      </c>
      <c r="H805" s="4" t="str">
        <f ca="1">IF(OR(INDEX($AG$2:$AG$1001,MATCH(ROWS($AF$2:AF805),$AF$2:$AF$1001,0),1)&gt;=100000,INDEX($AM$1005:$BM$1005,1,MATCH(COLUMNS($AM$1006:AS1006),$AM$1006:$BM$1006,0))&gt;=100000), " ",IF(INDEX($AM$2:$BM$1001,MATCH(ROWS($AF$2:AF805),$AF$2:$AF$1001,0),MATCH(COLUMNS($AM$1006:AS1006),$AM$1006:$BM$1006,0)), HYPERLINK("#",""), HYPERLINK(CONCATENATE("#metadata!", ADDRESS(INDEX($AH$2:$AH$1001,MATCH(ROWS($AF$2:AF805),$AF$2:$AF$1001,0),0), INDEX($AM$1004:$BM$1004,1,MATCH(COLUMNS($AM$1006:AS1006),$AM$1006:$BM$1006,0)))),"Fix")))</f>
        <v xml:space="preserve"> </v>
      </c>
      <c r="I805" s="4" t="str">
        <f ca="1">IF(OR(INDEX($AG$2:$AG$1001,MATCH(ROWS($AF$2:AF805),$AF$2:$AF$1001,0),1)&gt;=100000,INDEX($AM$1005:$BM$1005,1,MATCH(COLUMNS($AM$1006:AT1006),$AM$1006:$BM$1006,0))&gt;=100000), " ",IF(INDEX($AM$2:$BM$1001,MATCH(ROWS($AF$2:AF805),$AF$2:$AF$1001,0),MATCH(COLUMNS($AM$1006:AT1006),$AM$1006:$BM$1006,0)), HYPERLINK("#",""), HYPERLINK(CONCATENATE("#metadata!", ADDRESS(INDEX($AH$2:$AH$1001,MATCH(ROWS($AF$2:AF805),$AF$2:$AF$1001,0),0), INDEX($AM$1004:$BM$1004,1,MATCH(COLUMNS($AM$1006:AT1006),$AM$1006:$BM$1006,0)))),"Fix")))</f>
        <v xml:space="preserve"> </v>
      </c>
      <c r="J805" s="4" t="str">
        <f ca="1">IF(OR(INDEX($AG$2:$AG$1001,MATCH(ROWS($AF$2:AF805),$AF$2:$AF$1001,0),1)&gt;=100000,INDEX($AM$1005:$BM$1005,1,MATCH(COLUMNS($AM$1006:AU1006),$AM$1006:$BM$1006,0))&gt;=100000), " ",IF(INDEX($AM$2:$BM$1001,MATCH(ROWS($AF$2:AF805),$AF$2:$AF$1001,0),MATCH(COLUMNS($AM$1006:AU1006),$AM$1006:$BM$1006,0)), HYPERLINK("#",""), HYPERLINK(CONCATENATE("#metadata!", ADDRESS(INDEX($AH$2:$AH$1001,MATCH(ROWS($AF$2:AF805),$AF$2:$AF$1001,0),0), INDEX($AM$1004:$BM$1004,1,MATCH(COLUMNS($AM$1006:AU1006),$AM$1006:$BM$1006,0)))),"Fix")))</f>
        <v xml:space="preserve"> </v>
      </c>
      <c r="K805" s="4" t="str">
        <f ca="1">IF(OR(INDEX($AG$2:$AG$1001,MATCH(ROWS($AF$2:AF805),$AF$2:$AF$1001,0),1)&gt;=100000,INDEX($AM$1005:$BM$1005,1,MATCH(COLUMNS($AM$1006:AV1006),$AM$1006:$BM$1006,0))&gt;=100000), " ",IF(INDEX($AM$2:$BM$1001,MATCH(ROWS($AF$2:AF805),$AF$2:$AF$1001,0),MATCH(COLUMNS($AM$1006:AV1006),$AM$1006:$BM$1006,0)), HYPERLINK("#",""), HYPERLINK(CONCATENATE("#metadata!", ADDRESS(INDEX($AH$2:$AH$1001,MATCH(ROWS($AF$2:AF805),$AF$2:$AF$1001,0),0), INDEX($AM$1004:$BM$1004,1,MATCH(COLUMNS($AM$1006:AV1006),$AM$1006:$BM$1006,0)))),"Fix")))</f>
        <v xml:space="preserve"> </v>
      </c>
      <c r="L805" s="4" t="str">
        <f ca="1">IF(OR(INDEX($AG$2:$AG$1001,MATCH(ROWS($AF$2:AF805),$AF$2:$AF$1001,0),1)&gt;=100000,INDEX($AM$1005:$BM$1005,1,MATCH(COLUMNS($AM$1006:AW1006),$AM$1006:$BM$1006,0))&gt;=100000), " ",IF(INDEX($AM$2:$BM$1001,MATCH(ROWS($AF$2:AF805),$AF$2:$AF$1001,0),MATCH(COLUMNS($AM$1006:AW1006),$AM$1006:$BM$1006,0)), HYPERLINK("#",""), HYPERLINK(CONCATENATE("#metadata!", ADDRESS(INDEX($AH$2:$AH$1001,MATCH(ROWS($AF$2:AF805),$AF$2:$AF$1001,0),0), INDEX($AM$1004:$BM$1004,1,MATCH(COLUMNS($AM$1006:AW1006),$AM$1006:$BM$1006,0)))),"Fix")))</f>
        <v xml:space="preserve"> </v>
      </c>
      <c r="M805" s="4" t="str">
        <f ca="1">IF(OR(INDEX($AG$2:$AG$1001,MATCH(ROWS($AF$2:AF805),$AF$2:$AF$1001,0),1)&gt;=100000,INDEX($AM$1005:$BM$1005,1,MATCH(COLUMNS($AM$1006:AX1006),$AM$1006:$BM$1006,0))&gt;=100000), " ",IF(INDEX($AM$2:$BM$1001,MATCH(ROWS($AF$2:AF805),$AF$2:$AF$1001,0),MATCH(COLUMNS($AM$1006:AX1006),$AM$1006:$BM$1006,0)), HYPERLINK("#",""), HYPERLINK(CONCATENATE("#metadata!", ADDRESS(INDEX($AH$2:$AH$1001,MATCH(ROWS($AF$2:AF805),$AF$2:$AF$1001,0),0), INDEX($AM$1004:$BM$1004,1,MATCH(COLUMNS($AM$1006:AX1006),$AM$1006:$BM$1006,0)))),"Fix")))</f>
        <v xml:space="preserve"> </v>
      </c>
      <c r="N805" s="4" t="str">
        <f ca="1">IF(OR(INDEX($AG$2:$AG$1001,MATCH(ROWS($AF$2:AF805),$AF$2:$AF$1001,0),1)&gt;=100000,INDEX($AM$1005:$BM$1005,1,MATCH(COLUMNS($AM$1006:AY1006),$AM$1006:$BM$1006,0))&gt;=100000), " ",IF(INDEX($AM$2:$BM$1001,MATCH(ROWS($AF$2:AF805),$AF$2:$AF$1001,0),MATCH(COLUMNS($AM$1006:AY1006),$AM$1006:$BM$1006,0)), HYPERLINK("#",""), HYPERLINK(CONCATENATE("#metadata!", ADDRESS(INDEX($AH$2:$AH$1001,MATCH(ROWS($AF$2:AF805),$AF$2:$AF$1001,0),0), INDEX($AM$1004:$BM$1004,1,MATCH(COLUMNS($AM$1006:AY1006),$AM$1006:$BM$1006,0)))),"Fix")))</f>
        <v xml:space="preserve"> </v>
      </c>
      <c r="O805" s="4" t="str">
        <f ca="1">IF(OR(INDEX($AG$2:$AG$1001,MATCH(ROWS($AF$2:AF805),$AF$2:$AF$1001,0),1)&gt;=100000,INDEX($AM$1005:$BM$1005,1,MATCH(COLUMNS($AM$1006:AZ1006),$AM$1006:$BM$1006,0))&gt;=100000), " ",IF(INDEX($AM$2:$BM$1001,MATCH(ROWS($AF$2:AF805),$AF$2:$AF$1001,0),MATCH(COLUMNS($AM$1006:AZ1006),$AM$1006:$BM$1006,0)), HYPERLINK("#",""), HYPERLINK(CONCATENATE("#metadata!", ADDRESS(INDEX($AH$2:$AH$1001,MATCH(ROWS($AF$2:AF805),$AF$2:$AF$1001,0),0), INDEX($AM$1004:$BM$1004,1,MATCH(COLUMNS($AM$1006:AZ1006),$AM$1006:$BM$1006,0)))),"Fix")))</f>
        <v xml:space="preserve"> </v>
      </c>
      <c r="P805" s="4" t="str">
        <f ca="1">IF(OR(INDEX($AG$2:$AG$1001,MATCH(ROWS($AF$2:AF805),$AF$2:$AF$1001,0),1)&gt;=100000,INDEX($AM$1005:$BM$1005,1,MATCH(COLUMNS($AM$1006:BA1006),$AM$1006:$BM$1006,0))&gt;=100000), " ",IF(INDEX($AM$2:$BM$1001,MATCH(ROWS($AF$2:AF805),$AF$2:$AF$1001,0),MATCH(COLUMNS($AM$1006:BA1006),$AM$1006:$BM$1006,0)), HYPERLINK("#",""), HYPERLINK(CONCATENATE("#metadata!", ADDRESS(INDEX($AH$2:$AH$1001,MATCH(ROWS($AF$2:AF805),$AF$2:$AF$1001,0),0), INDEX($AM$1004:$BM$1004,1,MATCH(COLUMNS($AM$1006:BA1006),$AM$1006:$BM$1006,0)))),"Fix")))</f>
        <v xml:space="preserve"> </v>
      </c>
      <c r="Q805" s="4" t="str">
        <f ca="1">IF(OR(INDEX($AG$2:$AG$1001,MATCH(ROWS($AF$2:AF805),$AF$2:$AF$1001,0),1)&gt;=100000,INDEX($AM$1005:$BM$1005,1,MATCH(COLUMNS($AM$1006:BB1006),$AM$1006:$BM$1006,0))&gt;=100000), " ",IF(INDEX($AM$2:$BM$1001,MATCH(ROWS($AF$2:AF805),$AF$2:$AF$1001,0),MATCH(COLUMNS($AM$1006:BB1006),$AM$1006:$BM$1006,0)), HYPERLINK("#",""), HYPERLINK(CONCATENATE("#metadata!", ADDRESS(INDEX($AH$2:$AH$1001,MATCH(ROWS($AF$2:AF805),$AF$2:$AF$1001,0),0), INDEX($AM$1004:$BM$1004,1,MATCH(COLUMNS($AM$1006:BB1006),$AM$1006:$BM$1006,0)))),"Fix")))</f>
        <v xml:space="preserve"> </v>
      </c>
      <c r="R805" s="4" t="str">
        <f ca="1">IF(OR(INDEX($AG$2:$AG$1001,MATCH(ROWS($AF$2:AF805),$AF$2:$AF$1001,0),1)&gt;=100000,INDEX($AM$1005:$BM$1005,1,MATCH(COLUMNS($AM$1006:BC1006),$AM$1006:$BM$1006,0))&gt;=100000), " ",IF(INDEX($AM$2:$BM$1001,MATCH(ROWS($AF$2:AF805),$AF$2:$AF$1001,0),MATCH(COLUMNS($AM$1006:BC1006),$AM$1006:$BM$1006,0)), HYPERLINK("#",""), HYPERLINK(CONCATENATE("#metadata!", ADDRESS(INDEX($AH$2:$AH$1001,MATCH(ROWS($AF$2:AF805),$AF$2:$AF$1001,0),0), INDEX($AM$1004:$BM$1004,1,MATCH(COLUMNS($AM$1006:BC1006),$AM$1006:$BM$1006,0)))),"Fix")))</f>
        <v xml:space="preserve"> </v>
      </c>
      <c r="S805" s="4" t="str">
        <f ca="1">IF(OR(INDEX($AG$2:$AG$1001,MATCH(ROWS($AF$2:AF805),$AF$2:$AF$1001,0),1)&gt;=100000,INDEX($AM$1005:$BM$1005,1,MATCH(COLUMNS($AM$1006:BD1006),$AM$1006:$BM$1006,0))&gt;=100000), " ",IF(INDEX($AM$2:$BM$1001,MATCH(ROWS($AF$2:AF805),$AF$2:$AF$1001,0),MATCH(COLUMNS($AM$1006:BD1006),$AM$1006:$BM$1006,0)), HYPERLINK("#",""), HYPERLINK(CONCATENATE("#metadata!", ADDRESS(INDEX($AH$2:$AH$1001,MATCH(ROWS($AF$2:AF805),$AF$2:$AF$1001,0),0), INDEX($AM$1004:$BM$1004,1,MATCH(COLUMNS($AM$1006:BD1006),$AM$1006:$BM$1006,0)))),"Fix")))</f>
        <v xml:space="preserve"> </v>
      </c>
      <c r="T805" s="4" t="str">
        <f ca="1">IF(OR(INDEX($AG$2:$AG$1001,MATCH(ROWS($AF$2:AF805),$AF$2:$AF$1001,0),1)&gt;=100000,INDEX($AM$1005:$BM$1005,1,MATCH(COLUMNS($AM$1006:BE1006),$AM$1006:$BM$1006,0))&gt;=100000), " ",IF(INDEX($AM$2:$BM$1001,MATCH(ROWS($AF$2:AF805),$AF$2:$AF$1001,0),MATCH(COLUMNS($AM$1006:BE1006),$AM$1006:$BM$1006,0)), HYPERLINK("#",""), HYPERLINK(CONCATENATE("#metadata!", ADDRESS(INDEX($AH$2:$AH$1001,MATCH(ROWS($AF$2:AF805),$AF$2:$AF$1001,0),0), INDEX($AM$1004:$BM$1004,1,MATCH(COLUMNS($AM$1006:BE1006),$AM$1006:$BM$1006,0)))),"Fix")))</f>
        <v xml:space="preserve"> </v>
      </c>
      <c r="U805" s="4" t="str">
        <f ca="1">IF(OR(INDEX($AG$2:$AG$1001,MATCH(ROWS($AF$2:AF805),$AF$2:$AF$1001,0),1)&gt;=100000,INDEX($AM$1005:$BM$1005,1,MATCH(COLUMNS($AM$1006:BF1006),$AM$1006:$BM$1006,0))&gt;=100000), " ",IF(INDEX($AM$2:$BM$1001,MATCH(ROWS($AF$2:AF805),$AF$2:$AF$1001,0),MATCH(COLUMNS($AM$1006:BF1006),$AM$1006:$BM$1006,0)), HYPERLINK("#",""), HYPERLINK(CONCATENATE("#metadata!", ADDRESS(INDEX($AH$2:$AH$1001,MATCH(ROWS($AF$2:AF805),$AF$2:$AF$1001,0),0), INDEX($AM$1004:$BM$1004,1,MATCH(COLUMNS($AM$1006:BF1006),$AM$1006:$BM$1006,0)))),"Fix")))</f>
        <v xml:space="preserve"> </v>
      </c>
      <c r="V805" s="4" t="str">
        <f ca="1">IF(OR(INDEX($AG$2:$AG$1001,MATCH(ROWS($AF$2:AF805),$AF$2:$AF$1001,0),1)&gt;=100000,INDEX($AM$1005:$BM$1005,1,MATCH(COLUMNS($AM$1006:BG1006),$AM$1006:$BM$1006,0))&gt;=100000), " ",IF(INDEX($AM$2:$BM$1001,MATCH(ROWS($AF$2:AF805),$AF$2:$AF$1001,0),MATCH(COLUMNS($AM$1006:BG1006),$AM$1006:$BM$1006,0)), HYPERLINK("#",""), HYPERLINK(CONCATENATE("#metadata!", ADDRESS(INDEX($AH$2:$AH$1001,MATCH(ROWS($AF$2:AF805),$AF$2:$AF$1001,0),0), INDEX($AM$1004:$BM$1004,1,MATCH(COLUMNS($AM$1006:BG1006),$AM$1006:$BM$1006,0)))),"Fix")))</f>
        <v xml:space="preserve"> </v>
      </c>
      <c r="W805" s="4" t="str">
        <f ca="1">IF(OR(INDEX($AG$2:$AG$1001,MATCH(ROWS($AF$2:AF805),$AF$2:$AF$1001,0),1)&gt;=100000,INDEX($AM$1005:$BM$1005,1,MATCH(COLUMNS($AM$1006:BH1006),$AM$1006:$BM$1006,0))&gt;=100000), " ",IF(INDEX($AM$2:$BM$1001,MATCH(ROWS($AF$2:AF805),$AF$2:$AF$1001,0),MATCH(COLUMNS($AM$1006:BH1006),$AM$1006:$BM$1006,0)), HYPERLINK("#",""), HYPERLINK(CONCATENATE("#metadata!", ADDRESS(INDEX($AH$2:$AH$1001,MATCH(ROWS($AF$2:AF805),$AF$2:$AF$1001,0),0), INDEX($AM$1004:$BM$1004,1,MATCH(COLUMNS($AM$1006:BH1006),$AM$1006:$BM$1006,0)))),"Fix")))</f>
        <v xml:space="preserve"> </v>
      </c>
      <c r="X805" s="4" t="str">
        <f ca="1">IF(OR(INDEX($AG$2:$AG$1001,MATCH(ROWS($AF$2:AF805),$AF$2:$AF$1001,0),1)&gt;=100000,INDEX($AM$1005:$BM$1005,1,MATCH(COLUMNS($AM$1006:BI1006),$AM$1006:$BM$1006,0))&gt;=100000), " ",IF(INDEX($AM$2:$BM$1001,MATCH(ROWS($AF$2:AF805),$AF$2:$AF$1001,0),MATCH(COLUMNS($AM$1006:BI1006),$AM$1006:$BM$1006,0)), HYPERLINK("#",""), HYPERLINK(CONCATENATE("#metadata!", ADDRESS(INDEX($AH$2:$AH$1001,MATCH(ROWS($AF$2:AF805),$AF$2:$AF$1001,0),0), INDEX($AM$1004:$BM$1004,1,MATCH(COLUMNS($AM$1006:BI1006),$AM$1006:$BM$1006,0)))),"Fix")))</f>
        <v xml:space="preserve"> </v>
      </c>
      <c r="Y805" s="4" t="str">
        <f ca="1">IF(OR(INDEX($AG$2:$AG$1001,MATCH(ROWS($AF$2:AF805),$AF$2:$AF$1001,0),1)&gt;=100000,INDEX($AM$1005:$BM$1005,1,MATCH(COLUMNS($AM$1006:BJ1006),$AM$1006:$BM$1006,0))&gt;=100000), " ",IF(INDEX($AM$2:$BM$1001,MATCH(ROWS($AF$2:AF805),$AF$2:$AF$1001,0),MATCH(COLUMNS($AM$1006:BJ1006),$AM$1006:$BM$1006,0)), HYPERLINK("#",""), HYPERLINK(CONCATENATE("#metadata!", ADDRESS(INDEX($AH$2:$AH$1001,MATCH(ROWS($AF$2:AF805),$AF$2:$AF$1001,0),0), INDEX($AM$1004:$BM$1004,1,MATCH(COLUMNS($AM$1006:BJ1006),$AM$1006:$BM$1006,0)))),"Fix")))</f>
        <v xml:space="preserve"> </v>
      </c>
      <c r="Z805" s="4" t="str">
        <f ca="1">IF(OR(INDEX($AG$2:$AG$1001,MATCH(ROWS($AF$2:AF805),$AF$2:$AF$1001,0),1)&gt;=100000,INDEX($AM$1005:$BM$1005,1,MATCH(COLUMNS($AM$1006:BK1006),$AM$1006:$BM$1006,0))&gt;=100000), " ",IF(INDEX($AM$2:$BM$1001,MATCH(ROWS($AF$2:AF805),$AF$2:$AF$1001,0),MATCH(COLUMNS($AM$1006:BK1006),$AM$1006:$BM$1006,0)), HYPERLINK("#",""), HYPERLINK(CONCATENATE("#metadata!", ADDRESS(INDEX($AH$2:$AH$1001,MATCH(ROWS($AF$2:AF805),$AF$2:$AF$1001,0),0), INDEX($AM$1004:$BM$1004,1,MATCH(COLUMNS($AM$1006:BK1006),$AM$1006:$BM$1006,0)))),"Fix")))</f>
        <v xml:space="preserve"> </v>
      </c>
      <c r="AA805" s="4" t="str">
        <f ca="1">IF(OR(INDEX($AG$2:$AG$1001,MATCH(ROWS($AF$2:AF805),$AF$2:$AF$1001,0),1)&gt;=100000,INDEX($AM$1005:$BM$1005,1,MATCH(COLUMNS($AM$1006:BL1006),$AM$1006:$BM$1006,0))&gt;=100000), " ",IF(INDEX($AM$2:$BM$1001,MATCH(ROWS($AF$2:AF805),$AF$2:$AF$1001,0),MATCH(COLUMNS($AM$1006:BL1006),$AM$1006:$BM$1006,0)), HYPERLINK("#",""), HYPERLINK(CONCATENATE("#metadata!", ADDRESS(INDEX($AH$2:$AH$1001,MATCH(ROWS($AF$2:AF805),$AF$2:$AF$1001,0),0), INDEX($AM$1004:$BM$1004,1,MATCH(COLUMNS($AM$1006:BL1006),$AM$1006:$BM$1006,0)))),"Fix")))</f>
        <v xml:space="preserve"> </v>
      </c>
      <c r="AB805" s="4" t="str">
        <f ca="1">IF(OR(INDEX($AG$2:$AG$1001,MATCH(ROWS($AF$2:AF805),$AF$2:$AF$1001,0),1)&gt;=100000,INDEX($AM$1005:$BM$1005,1,MATCH(COLUMNS($AM$1006:BM1006),$AM$1006:$BM$1006,0))&gt;=100000), " ",IF(INDEX($AM$2:$BM$1001,MATCH(ROWS($AF$2:AF805),$AF$2:$AF$1001,0),MATCH(COLUMNS($AM$1006:BM1006),$AM$1006:$BM$1006,0)), HYPERLINK("#",""), HYPERLINK(CONCATENATE("#metadata!", ADDRESS(INDEX($AH$2:$AH$1001,MATCH(ROWS($AF$2:AF805),$AF$2:$AF$1001,0),0), INDEX($AM$1004:$BM$1004,1,MATCH(COLUMNS($AM$1006:BM1006),$AM$1006:$BM$1006,0)))),"Fix")))</f>
        <v xml:space="preserve"> </v>
      </c>
      <c r="AF805">
        <v>804</v>
      </c>
      <c r="AG805">
        <v>100805</v>
      </c>
      <c r="AH805">
        <v>805</v>
      </c>
      <c r="AI805" t="b">
        <f t="shared" si="12"/>
        <v>1</v>
      </c>
      <c r="AJ805" t="b">
        <f>COUNTBLANK(metadata!B805:AB805)=COLUMNS(metadata!B805:AB805)</f>
        <v>1</v>
      </c>
      <c r="AK805" t="str">
        <v/>
      </c>
      <c r="AM805" t="b">
        <f ca="1">AND(IF(metadata!B805="",FALSE,TRUE),COUNTIF(metadata!B:B, metadata!B805) = 1,NOT(ISERROR(SUMPRODUCT(SEARCH(MID(metadata!B805,ROW(INDIRECT("1:"&amp;LEN(metadata!B805))), 1),"0123456789abcdefghijklmnopqrstuvwxyzABCDEFGHIJKLMNOPQRSTUVWXYZ.")))))</f>
        <v>0</v>
      </c>
      <c r="AN805" t="b">
        <f ca="1">OR(AND(IF(metadata!C805="",FALSE,TRUE),OR(EXACT(metadata!C805,"missing: not collected"),EXACT(metadata!C805,"missing: not provided"),EXACT(metadata!C805,"missing: restricted access"))),AND(IF(metadata!C805="",FALSE,TRUE),AND(AND(IFERROR(INT(LEFT(metadata!C805,4))&gt;1900,FALSE),IFERROR(INT(LEFT(metadata!C805,4))&lt;=YEAR(NOW()),FALSE)), OR(MID(metadata!C805,5,1)="", AND(AND(MID(metadata!C805,5,1)="-",IFERROR(INT(MID(metadata!C805,6,1))&gt;=0,FALSE),IFERROR(INT(MID(metadata!C805,6,1))&lt;=1,FALSE),NOT(MID(metadata!C805,7,1)=""),IFERROR(INT(MID(metadata!C805,6,2))&gt;=1,FALSE),IFERROR(INT(MID(metadata!C805,6,2))&lt;=12,FALSE)), OR(MID(metadata!C805,8,1)="", AND(AND(MID(metadata!C805,8,1)="-",IFERROR(INT(MID(metadata!C805,9,1))&gt;=0,FALSE),IFERROR(INT(MID(metadata!C805,9,1))&lt;=3,FALSE),NOT(MID(metadata!C805,10,1)=""),IFERROR(INT(MID(metadata!C805,9,2))&gt;=1,FALSE),IFERROR(INT(MID(metadata!C805,9,2))&lt;=31,FALSE)), OR(MID(metadata!C805,11,1)="", AND(AND(MID(metadata!C805,11,1)=" ",IFERROR(INT(MID(metadata!C805,12,1))&gt;=0,FALSE),IFERROR(INT(MID(metadata!C805,12,1))&lt;=2,FALSE),NOT(MID(metadata!C805,13,1)=""),IFERROR(INT(MID(metadata!C805,12,2))&gt;=0,FALSE),IFERROR(INT(MID(metadata!C805,12,2))&lt;=23,FALSE)), OR(MID(metadata!C805,14,1)="", AND(AND(MID(metadata!C805,14,1)=":",IFERROR(INT(MID(metadata!C805,15,1))&gt;=0,FALSE),IFERROR(INT(MID(metadata!C805,15,1))&lt;=5,FALSE),NOT(MID(metadata!C805,16,1)=""),IFERROR(INT(MID(metadata!C805,15,2))&gt;=0,FALSE),IFERROR(INT(MID(metadata!C805,15,2))&lt;=59,FALSE)), OR(MID(metadata!C805,17,1)="", AND(AND(MID(metadata!C805,17,1)=":",IFERROR(INT(MID(metadata!C805,18,1))&gt;=0,FALSE),IFERROR(INT(MID(metadata!C805,18,1))&lt;=5,FALSE),NOT(MID(metadata!C805,19,1)=""),IFERROR(INT(MID(metadata!C805,18,2))&gt;=0,FALSE),IFERROR(INT(MID(metadata!C805,18,2))&lt;=59,FALSE)), LEN(metadata!C805)&lt;=19)))))))))))))</f>
        <v>0</v>
      </c>
      <c r="AO805" t="b">
        <f>AND(IF(metadata!D805="",FALSE,TRUE),EXACT(metadata!D805,"Not applicable"))</f>
        <v>0</v>
      </c>
      <c r="AP805" t="b">
        <f>IF(metadata!E805="",FALSE,TRUE)</f>
        <v>0</v>
      </c>
      <c r="AQ805" t="b">
        <f>OR(AND(IF(metadata!F805="",FALSE,TRUE),OR(EXACT(metadata!F805,"missing: not collected"),EXACT(metadata!F805,"missing: not provided"))),AND(IF(metadata!F805="",FALSE,TRUE),OR(EXACT(metadata!F805,"TRUE"),EXACT(metadata!F805,"FALSE"))))</f>
        <v>0</v>
      </c>
      <c r="AR805" t="b">
        <f>OR(AND(IF(metadata!G805="",FALSE,TRUE),OR(EXACT(metadata!G805,"missing: not collected"),EXACT(metadata!G805,"missing: not provided"),EXACT(metadata!G805,"missing: restricted access"))),AND(IF(metadata!G805="",FALSE,ISNUMBER(VALUE(metadata!G805))),metadata!G805&gt;=-413))</f>
        <v>0</v>
      </c>
      <c r="AS805" t="b">
        <f>AND(IF(metadata!H805="",FALSE,TRUE),EXACT(metadata!H805,"meters"))</f>
        <v>0</v>
      </c>
      <c r="AT805" t="b">
        <f>AND(IF(metadata!I805="",FALSE,TRUE),OR(EXACT(metadata!I805,"Host-associated"),EXACT(metadata!I805,"Free-living")))</f>
        <v>0</v>
      </c>
      <c r="AU805" t="b">
        <f>AND(IF(metadata!J805="",FALSE,TRUE),OR(EXACT(metadata!J805,"Animal"),EXACT(metadata!J805,"Fungus"),EXACT(metadata!J805,"Plant"),EXACT(metadata!J805,"Saline"),EXACT(metadata!J805,"Non-saline")))</f>
        <v>0</v>
      </c>
      <c r="AV805" t="b">
        <f>AND(IF(metadata!K805="",FALSE,TRUE),OR(EXACT(metadata!K805,"Plant secretion"),EXACT(metadata!K805,"Plant rhizosphere"),EXACT(metadata!K805,"Plant surface"),EXACT(metadata!K805,"Plant corpus"),EXACT(metadata!K805,"Fungus surface"),EXACT(metadata!K805,"Fungus corpus"),EXACT(metadata!K805,"Animal surface"),EXACT(metadata!K805,"Animal proximal gut"),EXACT(metadata!K805,"Animal corpus"),EXACT(metadata!K805,"Animal distal gut"),EXACT(metadata!K805,"Animal secretion"),EXACT(metadata!K805,"Sub-surface (non-saline)"),EXACT(metadata!K805,"Surface (non-saline)"),EXACT(metadata!K805,"Water (non-saline)"),EXACT(metadata!K805,"Soil (non-saline)"),EXACT(metadata!K805,"Aerosol (non-saline)"),EXACT(metadata!K805,"Sediment (non-saline)"),EXACT(metadata!K805,"Surface (saline)"),EXACT(metadata!K805,"Water (saline)"),EXACT(metadata!K805,"Hypersaline (saline)"),EXACT(metadata!K805,"Aerosol (saline)"),EXACT(metadata!K805,"Sediment (saline)")))</f>
        <v>0</v>
      </c>
      <c r="AW805" t="b">
        <f>IF(metadata!L805="",FALSE,TRUE)</f>
        <v>0</v>
      </c>
      <c r="AX805" t="b">
        <f>IF(metadata!M805="",FALSE,TRUE)</f>
        <v>0</v>
      </c>
      <c r="AY805" t="b">
        <f>IF(metadata!N805="",FALSE,TRUE)</f>
        <v>0</v>
      </c>
      <c r="AZ805" t="b">
        <f>OR(AND(IF(metadata!O805="",FALSE,TRUE),OR(EXACT(metadata!O805,"missing: not collected"),EXACT(metadata!O805,"missing: not provided"),EXACT(metadata!O805,"missing: restricted access"))),AND(IF(metadata!O805="",FALSE,TRUE),OR(EXACT(metadata!O805,"air"),EXACT(metadata!O805,"built environment"),EXACT(metadata!O805,"host-associated"),EXACT(metadata!O805,"human-associated"),EXACT(metadata!O805,"human-skin"),EXACT(metadata!O805,"human-oral"),EXACT(metadata!O805,"human-gut"),EXACT(metadata!O805,"human-vaginal"),EXACT(metadata!O805,"microbial mat/biofilm"),EXACT(metadata!O805,"misc environment"),EXACT(metadata!O805,"plant-associated"),EXACT(metadata!O805,"sediment"),EXACT(metadata!O805,"soil"),EXACT(metadata!O805,"wastewater/sludge"),EXACT(metadata!O805,"water"))))</f>
        <v>0</v>
      </c>
      <c r="BA805" t="b">
        <f>IF(metadata!P805="",FALSE,TRUE)</f>
        <v>0</v>
      </c>
      <c r="BB805" t="b">
        <f>IF(metadata!Q805="",FALSE,TRUE)</f>
        <v>0</v>
      </c>
      <c r="BC805" t="b">
        <f>OR(AND(IF(metadata!R805="",FALSE,TRUE),OR(EXACT(metadata!R805,"missing: not collected"),EXACT(metadata!R805,"missing: not provided"),EXACT(metadata!R805,"missing: restricted access"))),AND(IF(metadata!R805="",FALSE,ISNUMBER(VALUE(metadata!R805))),metadata!R805&gt;=-90,metadata!R805&lt;=90))</f>
        <v>0</v>
      </c>
      <c r="BD805" t="b">
        <f>AND(IF(metadata!S805="",FALSE,TRUE),EXACT(metadata!S805,"Decimal degrees"))</f>
        <v>0</v>
      </c>
      <c r="BE805" t="b">
        <f>OR(AND(IF(metadata!T805="",FALSE,TRUE),OR(EXACT(metadata!T805,"missing: not collected"),EXACT(metadata!T805,"missing: not provided"),EXACT(metadata!T805,"missing: restricted access"))),AND(IF(metadata!T805="",FALSE,ISNUMBER(VALUE(metadata!T805))),metadata!T805&gt;=-180,metadata!T805&lt;=180))</f>
        <v>0</v>
      </c>
      <c r="BF805" t="b">
        <f>AND(IF(metadata!U805="",FALSE,TRUE),EXACT(metadata!U805,"Decimal degrees"))</f>
        <v>0</v>
      </c>
      <c r="BG805" t="b">
        <f>IF(metadata!V805="",FALSE,TRUE)</f>
        <v>0</v>
      </c>
      <c r="BH805" t="b">
        <f>OR(AND(IF(metadata!W805="",FALSE,TRUE),OR(EXACT(metadata!W805,"missing: not collected"),EXACT(metadata!W805,"missing: not provided"),EXACT(metadata!W805,"missing: restricted access"))),AND(IF(metadata!W805="",FALSE,TRUE),OR(EXACT(metadata!W805,"TRUE"),EXACT(metadata!W805,"FALSE"))))</f>
        <v>0</v>
      </c>
      <c r="BI805" t="b">
        <f>AND(IF(metadata!X805="",FALSE,TRUE),EXACT(metadata!X805,"other"))</f>
        <v>0</v>
      </c>
      <c r="BJ805" t="b">
        <f>IF(metadata!Y805="",FALSE,TRUE)</f>
        <v>0</v>
      </c>
      <c r="BK805" t="b">
        <f>OR(AND(IF(metadata!Z805="",FALSE,TRUE),OR(EXACT(metadata!Z805,"missing: not collected"),EXACT(metadata!Z805,"missing: not provided"))),AND(IF(metadata!Z805="",FALSE,IF(ISERROR(INT(metadata!Z805)),FALSE,INT(metadata!Z805)=metadata!Z805)),metadata!Z805&gt;0))</f>
        <v>0</v>
      </c>
      <c r="BL805" t="b">
        <f>AND(IF(metadata!AA805="",FALSE,TRUE),EXACT(metadata!AA805,"Not applicable"))</f>
        <v>0</v>
      </c>
      <c r="BM805" t="b">
        <f>IF(metadata!AB805="",FALSE,TRUE)</f>
        <v>0</v>
      </c>
    </row>
    <row r="806" spans="1:65" x14ac:dyDescent="0.2">
      <c r="A806" s="5" t="str">
        <f ca="1">IF(B806=" "," ",HYPERLINK(CONCATENATE("#metadata!",ADDRESS(INDEX($AH$2:$AH$1001,MATCH(ROWS($AF$2:AF806),$AF$2:$AF$1001,0),0),1)),INDEX($AK$2:$AK$1001,MATCH(ROWS($AF$2:AF806),$AF$2:$AF$1001,0),0)))</f>
        <v xml:space="preserve"> </v>
      </c>
      <c r="B806" s="4" t="str">
        <f ca="1">IF(OR(INDEX($AG$2:$AG$1001,MATCH(ROWS($AF$2:AF806),$AF$2:$AF$1001,0),1)&gt;=100000,INDEX($AM$1005:$BM$1005,1,MATCH(COLUMNS($AM$1006:AM1006),$AM$1006:$BM$1006,0))&gt;=100000), " ",IF(INDEX($AM$2:$BM$1001,MATCH(ROWS($AF$2:AF806),$AF$2:$AF$1001,0),MATCH(COLUMNS($AM$1006:AM1006),$AM$1006:$BM$1006,0)), HYPERLINK("#",""), HYPERLINK(CONCATENATE("#metadata!", ADDRESS(INDEX($AH$2:$AH$1001,MATCH(ROWS($AF$2:AF806),$AF$2:$AF$1001,0),0), INDEX($AM$1004:$BM$1004,1,MATCH(COLUMNS($AM$1006:AM1006),$AM$1006:$BM$1006,0)))),"Fix")))</f>
        <v xml:space="preserve"> </v>
      </c>
      <c r="C806" s="4" t="str">
        <f ca="1">IF(OR(INDEX($AG$2:$AG$1001,MATCH(ROWS($AF$2:AF806),$AF$2:$AF$1001,0),1)&gt;=100000,INDEX($AM$1005:$BM$1005,1,MATCH(COLUMNS($AM$1006:AN1006),$AM$1006:$BM$1006,0))&gt;=100000), " ",IF(INDEX($AM$2:$BM$1001,MATCH(ROWS($AF$2:AF806),$AF$2:$AF$1001,0),MATCH(COLUMNS($AM$1006:AN1006),$AM$1006:$BM$1006,0)), HYPERLINK("#",""), HYPERLINK(CONCATENATE("#metadata!", ADDRESS(INDEX($AH$2:$AH$1001,MATCH(ROWS($AF$2:AF806),$AF$2:$AF$1001,0),0), INDEX($AM$1004:$BM$1004,1,MATCH(COLUMNS($AM$1006:AN1006),$AM$1006:$BM$1006,0)))),"Fix")))</f>
        <v xml:space="preserve"> </v>
      </c>
      <c r="D806" s="4" t="str">
        <f ca="1">IF(OR(INDEX($AG$2:$AG$1001,MATCH(ROWS($AF$2:AF806),$AF$2:$AF$1001,0),1)&gt;=100000,INDEX($AM$1005:$BM$1005,1,MATCH(COLUMNS($AM$1006:AO1006),$AM$1006:$BM$1006,0))&gt;=100000), " ",IF(INDEX($AM$2:$BM$1001,MATCH(ROWS($AF$2:AF806),$AF$2:$AF$1001,0),MATCH(COLUMNS($AM$1006:AO1006),$AM$1006:$BM$1006,0)), HYPERLINK("#",""), HYPERLINK(CONCATENATE("#metadata!", ADDRESS(INDEX($AH$2:$AH$1001,MATCH(ROWS($AF$2:AF806),$AF$2:$AF$1001,0),0), INDEX($AM$1004:$BM$1004,1,MATCH(COLUMNS($AM$1006:AO1006),$AM$1006:$BM$1006,0)))),"Fix")))</f>
        <v xml:space="preserve"> </v>
      </c>
      <c r="E806" s="4" t="str">
        <f ca="1">IF(OR(INDEX($AG$2:$AG$1001,MATCH(ROWS($AF$2:AF806),$AF$2:$AF$1001,0),1)&gt;=100000,INDEX($AM$1005:$BM$1005,1,MATCH(COLUMNS($AM$1006:AP1006),$AM$1006:$BM$1006,0))&gt;=100000), " ",IF(INDEX($AM$2:$BM$1001,MATCH(ROWS($AF$2:AF806),$AF$2:$AF$1001,0),MATCH(COLUMNS($AM$1006:AP1006),$AM$1006:$BM$1006,0)), HYPERLINK("#",""), HYPERLINK(CONCATENATE("#metadata!", ADDRESS(INDEX($AH$2:$AH$1001,MATCH(ROWS($AF$2:AF806),$AF$2:$AF$1001,0),0), INDEX($AM$1004:$BM$1004,1,MATCH(COLUMNS($AM$1006:AP1006),$AM$1006:$BM$1006,0)))),"Fix")))</f>
        <v xml:space="preserve"> </v>
      </c>
      <c r="F806" s="4" t="str">
        <f ca="1">IF(OR(INDEX($AG$2:$AG$1001,MATCH(ROWS($AF$2:AF806),$AF$2:$AF$1001,0),1)&gt;=100000,INDEX($AM$1005:$BM$1005,1,MATCH(COLUMNS($AM$1006:AQ1006),$AM$1006:$BM$1006,0))&gt;=100000), " ",IF(INDEX($AM$2:$BM$1001,MATCH(ROWS($AF$2:AF806),$AF$2:$AF$1001,0),MATCH(COLUMNS($AM$1006:AQ1006),$AM$1006:$BM$1006,0)), HYPERLINK("#",""), HYPERLINK(CONCATENATE("#metadata!", ADDRESS(INDEX($AH$2:$AH$1001,MATCH(ROWS($AF$2:AF806),$AF$2:$AF$1001,0),0), INDEX($AM$1004:$BM$1004,1,MATCH(COLUMNS($AM$1006:AQ1006),$AM$1006:$BM$1006,0)))),"Fix")))</f>
        <v xml:space="preserve"> </v>
      </c>
      <c r="G806" s="4" t="str">
        <f ca="1">IF(OR(INDEX($AG$2:$AG$1001,MATCH(ROWS($AF$2:AF806),$AF$2:$AF$1001,0),1)&gt;=100000,INDEX($AM$1005:$BM$1005,1,MATCH(COLUMNS($AM$1006:AR1006),$AM$1006:$BM$1006,0))&gt;=100000), " ",IF(INDEX($AM$2:$BM$1001,MATCH(ROWS($AF$2:AF806),$AF$2:$AF$1001,0),MATCH(COLUMNS($AM$1006:AR1006),$AM$1006:$BM$1006,0)), HYPERLINK("#",""), HYPERLINK(CONCATENATE("#metadata!", ADDRESS(INDEX($AH$2:$AH$1001,MATCH(ROWS($AF$2:AF806),$AF$2:$AF$1001,0),0), INDEX($AM$1004:$BM$1004,1,MATCH(COLUMNS($AM$1006:AR1006),$AM$1006:$BM$1006,0)))),"Fix")))</f>
        <v xml:space="preserve"> </v>
      </c>
      <c r="H806" s="4" t="str">
        <f ca="1">IF(OR(INDEX($AG$2:$AG$1001,MATCH(ROWS($AF$2:AF806),$AF$2:$AF$1001,0),1)&gt;=100000,INDEX($AM$1005:$BM$1005,1,MATCH(COLUMNS($AM$1006:AS1006),$AM$1006:$BM$1006,0))&gt;=100000), " ",IF(INDEX($AM$2:$BM$1001,MATCH(ROWS($AF$2:AF806),$AF$2:$AF$1001,0),MATCH(COLUMNS($AM$1006:AS1006),$AM$1006:$BM$1006,0)), HYPERLINK("#",""), HYPERLINK(CONCATENATE("#metadata!", ADDRESS(INDEX($AH$2:$AH$1001,MATCH(ROWS($AF$2:AF806),$AF$2:$AF$1001,0),0), INDEX($AM$1004:$BM$1004,1,MATCH(COLUMNS($AM$1006:AS1006),$AM$1006:$BM$1006,0)))),"Fix")))</f>
        <v xml:space="preserve"> </v>
      </c>
      <c r="I806" s="4" t="str">
        <f ca="1">IF(OR(INDEX($AG$2:$AG$1001,MATCH(ROWS($AF$2:AF806),$AF$2:$AF$1001,0),1)&gt;=100000,INDEX($AM$1005:$BM$1005,1,MATCH(COLUMNS($AM$1006:AT1006),$AM$1006:$BM$1006,0))&gt;=100000), " ",IF(INDEX($AM$2:$BM$1001,MATCH(ROWS($AF$2:AF806),$AF$2:$AF$1001,0),MATCH(COLUMNS($AM$1006:AT1006),$AM$1006:$BM$1006,0)), HYPERLINK("#",""), HYPERLINK(CONCATENATE("#metadata!", ADDRESS(INDEX($AH$2:$AH$1001,MATCH(ROWS($AF$2:AF806),$AF$2:$AF$1001,0),0), INDEX($AM$1004:$BM$1004,1,MATCH(COLUMNS($AM$1006:AT1006),$AM$1006:$BM$1006,0)))),"Fix")))</f>
        <v xml:space="preserve"> </v>
      </c>
      <c r="J806" s="4" t="str">
        <f ca="1">IF(OR(INDEX($AG$2:$AG$1001,MATCH(ROWS($AF$2:AF806),$AF$2:$AF$1001,0),1)&gt;=100000,INDEX($AM$1005:$BM$1005,1,MATCH(COLUMNS($AM$1006:AU1006),$AM$1006:$BM$1006,0))&gt;=100000), " ",IF(INDEX($AM$2:$BM$1001,MATCH(ROWS($AF$2:AF806),$AF$2:$AF$1001,0),MATCH(COLUMNS($AM$1006:AU1006),$AM$1006:$BM$1006,0)), HYPERLINK("#",""), HYPERLINK(CONCATENATE("#metadata!", ADDRESS(INDEX($AH$2:$AH$1001,MATCH(ROWS($AF$2:AF806),$AF$2:$AF$1001,0),0), INDEX($AM$1004:$BM$1004,1,MATCH(COLUMNS($AM$1006:AU1006),$AM$1006:$BM$1006,0)))),"Fix")))</f>
        <v xml:space="preserve"> </v>
      </c>
      <c r="K806" s="4" t="str">
        <f ca="1">IF(OR(INDEX($AG$2:$AG$1001,MATCH(ROWS($AF$2:AF806),$AF$2:$AF$1001,0),1)&gt;=100000,INDEX($AM$1005:$BM$1005,1,MATCH(COLUMNS($AM$1006:AV1006),$AM$1006:$BM$1006,0))&gt;=100000), " ",IF(INDEX($AM$2:$BM$1001,MATCH(ROWS($AF$2:AF806),$AF$2:$AF$1001,0),MATCH(COLUMNS($AM$1006:AV1006),$AM$1006:$BM$1006,0)), HYPERLINK("#",""), HYPERLINK(CONCATENATE("#metadata!", ADDRESS(INDEX($AH$2:$AH$1001,MATCH(ROWS($AF$2:AF806),$AF$2:$AF$1001,0),0), INDEX($AM$1004:$BM$1004,1,MATCH(COLUMNS($AM$1006:AV1006),$AM$1006:$BM$1006,0)))),"Fix")))</f>
        <v xml:space="preserve"> </v>
      </c>
      <c r="L806" s="4" t="str">
        <f ca="1">IF(OR(INDEX($AG$2:$AG$1001,MATCH(ROWS($AF$2:AF806),$AF$2:$AF$1001,0),1)&gt;=100000,INDEX($AM$1005:$BM$1005,1,MATCH(COLUMNS($AM$1006:AW1006),$AM$1006:$BM$1006,0))&gt;=100000), " ",IF(INDEX($AM$2:$BM$1001,MATCH(ROWS($AF$2:AF806),$AF$2:$AF$1001,0),MATCH(COLUMNS($AM$1006:AW1006),$AM$1006:$BM$1006,0)), HYPERLINK("#",""), HYPERLINK(CONCATENATE("#metadata!", ADDRESS(INDEX($AH$2:$AH$1001,MATCH(ROWS($AF$2:AF806),$AF$2:$AF$1001,0),0), INDEX($AM$1004:$BM$1004,1,MATCH(COLUMNS($AM$1006:AW1006),$AM$1006:$BM$1006,0)))),"Fix")))</f>
        <v xml:space="preserve"> </v>
      </c>
      <c r="M806" s="4" t="str">
        <f ca="1">IF(OR(INDEX($AG$2:$AG$1001,MATCH(ROWS($AF$2:AF806),$AF$2:$AF$1001,0),1)&gt;=100000,INDEX($AM$1005:$BM$1005,1,MATCH(COLUMNS($AM$1006:AX1006),$AM$1006:$BM$1006,0))&gt;=100000), " ",IF(INDEX($AM$2:$BM$1001,MATCH(ROWS($AF$2:AF806),$AF$2:$AF$1001,0),MATCH(COLUMNS($AM$1006:AX1006),$AM$1006:$BM$1006,0)), HYPERLINK("#",""), HYPERLINK(CONCATENATE("#metadata!", ADDRESS(INDEX($AH$2:$AH$1001,MATCH(ROWS($AF$2:AF806),$AF$2:$AF$1001,0),0), INDEX($AM$1004:$BM$1004,1,MATCH(COLUMNS($AM$1006:AX1006),$AM$1006:$BM$1006,0)))),"Fix")))</f>
        <v xml:space="preserve"> </v>
      </c>
      <c r="N806" s="4" t="str">
        <f ca="1">IF(OR(INDEX($AG$2:$AG$1001,MATCH(ROWS($AF$2:AF806),$AF$2:$AF$1001,0),1)&gt;=100000,INDEX($AM$1005:$BM$1005,1,MATCH(COLUMNS($AM$1006:AY1006),$AM$1006:$BM$1006,0))&gt;=100000), " ",IF(INDEX($AM$2:$BM$1001,MATCH(ROWS($AF$2:AF806),$AF$2:$AF$1001,0),MATCH(COLUMNS($AM$1006:AY1006),$AM$1006:$BM$1006,0)), HYPERLINK("#",""), HYPERLINK(CONCATENATE("#metadata!", ADDRESS(INDEX($AH$2:$AH$1001,MATCH(ROWS($AF$2:AF806),$AF$2:$AF$1001,0),0), INDEX($AM$1004:$BM$1004,1,MATCH(COLUMNS($AM$1006:AY1006),$AM$1006:$BM$1006,0)))),"Fix")))</f>
        <v xml:space="preserve"> </v>
      </c>
      <c r="O806" s="4" t="str">
        <f ca="1">IF(OR(INDEX($AG$2:$AG$1001,MATCH(ROWS($AF$2:AF806),$AF$2:$AF$1001,0),1)&gt;=100000,INDEX($AM$1005:$BM$1005,1,MATCH(COLUMNS($AM$1006:AZ1006),$AM$1006:$BM$1006,0))&gt;=100000), " ",IF(INDEX($AM$2:$BM$1001,MATCH(ROWS($AF$2:AF806),$AF$2:$AF$1001,0),MATCH(COLUMNS($AM$1006:AZ1006),$AM$1006:$BM$1006,0)), HYPERLINK("#",""), HYPERLINK(CONCATENATE("#metadata!", ADDRESS(INDEX($AH$2:$AH$1001,MATCH(ROWS($AF$2:AF806),$AF$2:$AF$1001,0),0), INDEX($AM$1004:$BM$1004,1,MATCH(COLUMNS($AM$1006:AZ1006),$AM$1006:$BM$1006,0)))),"Fix")))</f>
        <v xml:space="preserve"> </v>
      </c>
      <c r="P806" s="4" t="str">
        <f ca="1">IF(OR(INDEX($AG$2:$AG$1001,MATCH(ROWS($AF$2:AF806),$AF$2:$AF$1001,0),1)&gt;=100000,INDEX($AM$1005:$BM$1005,1,MATCH(COLUMNS($AM$1006:BA1006),$AM$1006:$BM$1006,0))&gt;=100000), " ",IF(INDEX($AM$2:$BM$1001,MATCH(ROWS($AF$2:AF806),$AF$2:$AF$1001,0),MATCH(COLUMNS($AM$1006:BA1006),$AM$1006:$BM$1006,0)), HYPERLINK("#",""), HYPERLINK(CONCATENATE("#metadata!", ADDRESS(INDEX($AH$2:$AH$1001,MATCH(ROWS($AF$2:AF806),$AF$2:$AF$1001,0),0), INDEX($AM$1004:$BM$1004,1,MATCH(COLUMNS($AM$1006:BA1006),$AM$1006:$BM$1006,0)))),"Fix")))</f>
        <v xml:space="preserve"> </v>
      </c>
      <c r="Q806" s="4" t="str">
        <f ca="1">IF(OR(INDEX($AG$2:$AG$1001,MATCH(ROWS($AF$2:AF806),$AF$2:$AF$1001,0),1)&gt;=100000,INDEX($AM$1005:$BM$1005,1,MATCH(COLUMNS($AM$1006:BB1006),$AM$1006:$BM$1006,0))&gt;=100000), " ",IF(INDEX($AM$2:$BM$1001,MATCH(ROWS($AF$2:AF806),$AF$2:$AF$1001,0),MATCH(COLUMNS($AM$1006:BB1006),$AM$1006:$BM$1006,0)), HYPERLINK("#",""), HYPERLINK(CONCATENATE("#metadata!", ADDRESS(INDEX($AH$2:$AH$1001,MATCH(ROWS($AF$2:AF806),$AF$2:$AF$1001,0),0), INDEX($AM$1004:$BM$1004,1,MATCH(COLUMNS($AM$1006:BB1006),$AM$1006:$BM$1006,0)))),"Fix")))</f>
        <v xml:space="preserve"> </v>
      </c>
      <c r="R806" s="4" t="str">
        <f ca="1">IF(OR(INDEX($AG$2:$AG$1001,MATCH(ROWS($AF$2:AF806),$AF$2:$AF$1001,0),1)&gt;=100000,INDEX($AM$1005:$BM$1005,1,MATCH(COLUMNS($AM$1006:BC1006),$AM$1006:$BM$1006,0))&gt;=100000), " ",IF(INDEX($AM$2:$BM$1001,MATCH(ROWS($AF$2:AF806),$AF$2:$AF$1001,0),MATCH(COLUMNS($AM$1006:BC1006),$AM$1006:$BM$1006,0)), HYPERLINK("#",""), HYPERLINK(CONCATENATE("#metadata!", ADDRESS(INDEX($AH$2:$AH$1001,MATCH(ROWS($AF$2:AF806),$AF$2:$AF$1001,0),0), INDEX($AM$1004:$BM$1004,1,MATCH(COLUMNS($AM$1006:BC1006),$AM$1006:$BM$1006,0)))),"Fix")))</f>
        <v xml:space="preserve"> </v>
      </c>
      <c r="S806" s="4" t="str">
        <f ca="1">IF(OR(INDEX($AG$2:$AG$1001,MATCH(ROWS($AF$2:AF806),$AF$2:$AF$1001,0),1)&gt;=100000,INDEX($AM$1005:$BM$1005,1,MATCH(COLUMNS($AM$1006:BD1006),$AM$1006:$BM$1006,0))&gt;=100000), " ",IF(INDEX($AM$2:$BM$1001,MATCH(ROWS($AF$2:AF806),$AF$2:$AF$1001,0),MATCH(COLUMNS($AM$1006:BD1006),$AM$1006:$BM$1006,0)), HYPERLINK("#",""), HYPERLINK(CONCATENATE("#metadata!", ADDRESS(INDEX($AH$2:$AH$1001,MATCH(ROWS($AF$2:AF806),$AF$2:$AF$1001,0),0), INDEX($AM$1004:$BM$1004,1,MATCH(COLUMNS($AM$1006:BD1006),$AM$1006:$BM$1006,0)))),"Fix")))</f>
        <v xml:space="preserve"> </v>
      </c>
      <c r="T806" s="4" t="str">
        <f ca="1">IF(OR(INDEX($AG$2:$AG$1001,MATCH(ROWS($AF$2:AF806),$AF$2:$AF$1001,0),1)&gt;=100000,INDEX($AM$1005:$BM$1005,1,MATCH(COLUMNS($AM$1006:BE1006),$AM$1006:$BM$1006,0))&gt;=100000), " ",IF(INDEX($AM$2:$BM$1001,MATCH(ROWS($AF$2:AF806),$AF$2:$AF$1001,0),MATCH(COLUMNS($AM$1006:BE1006),$AM$1006:$BM$1006,0)), HYPERLINK("#",""), HYPERLINK(CONCATENATE("#metadata!", ADDRESS(INDEX($AH$2:$AH$1001,MATCH(ROWS($AF$2:AF806),$AF$2:$AF$1001,0),0), INDEX($AM$1004:$BM$1004,1,MATCH(COLUMNS($AM$1006:BE1006),$AM$1006:$BM$1006,0)))),"Fix")))</f>
        <v xml:space="preserve"> </v>
      </c>
      <c r="U806" s="4" t="str">
        <f ca="1">IF(OR(INDEX($AG$2:$AG$1001,MATCH(ROWS($AF$2:AF806),$AF$2:$AF$1001,0),1)&gt;=100000,INDEX($AM$1005:$BM$1005,1,MATCH(COLUMNS($AM$1006:BF1006),$AM$1006:$BM$1006,0))&gt;=100000), " ",IF(INDEX($AM$2:$BM$1001,MATCH(ROWS($AF$2:AF806),$AF$2:$AF$1001,0),MATCH(COLUMNS($AM$1006:BF1006),$AM$1006:$BM$1006,0)), HYPERLINK("#",""), HYPERLINK(CONCATENATE("#metadata!", ADDRESS(INDEX($AH$2:$AH$1001,MATCH(ROWS($AF$2:AF806),$AF$2:$AF$1001,0),0), INDEX($AM$1004:$BM$1004,1,MATCH(COLUMNS($AM$1006:BF1006),$AM$1006:$BM$1006,0)))),"Fix")))</f>
        <v xml:space="preserve"> </v>
      </c>
      <c r="V806" s="4" t="str">
        <f ca="1">IF(OR(INDEX($AG$2:$AG$1001,MATCH(ROWS($AF$2:AF806),$AF$2:$AF$1001,0),1)&gt;=100000,INDEX($AM$1005:$BM$1005,1,MATCH(COLUMNS($AM$1006:BG1006),$AM$1006:$BM$1006,0))&gt;=100000), " ",IF(INDEX($AM$2:$BM$1001,MATCH(ROWS($AF$2:AF806),$AF$2:$AF$1001,0),MATCH(COLUMNS($AM$1006:BG1006),$AM$1006:$BM$1006,0)), HYPERLINK("#",""), HYPERLINK(CONCATENATE("#metadata!", ADDRESS(INDEX($AH$2:$AH$1001,MATCH(ROWS($AF$2:AF806),$AF$2:$AF$1001,0),0), INDEX($AM$1004:$BM$1004,1,MATCH(COLUMNS($AM$1006:BG1006),$AM$1006:$BM$1006,0)))),"Fix")))</f>
        <v xml:space="preserve"> </v>
      </c>
      <c r="W806" s="4" t="str">
        <f ca="1">IF(OR(INDEX($AG$2:$AG$1001,MATCH(ROWS($AF$2:AF806),$AF$2:$AF$1001,0),1)&gt;=100000,INDEX($AM$1005:$BM$1005,1,MATCH(COLUMNS($AM$1006:BH1006),$AM$1006:$BM$1006,0))&gt;=100000), " ",IF(INDEX($AM$2:$BM$1001,MATCH(ROWS($AF$2:AF806),$AF$2:$AF$1001,0),MATCH(COLUMNS($AM$1006:BH1006),$AM$1006:$BM$1006,0)), HYPERLINK("#",""), HYPERLINK(CONCATENATE("#metadata!", ADDRESS(INDEX($AH$2:$AH$1001,MATCH(ROWS($AF$2:AF806),$AF$2:$AF$1001,0),0), INDEX($AM$1004:$BM$1004,1,MATCH(COLUMNS($AM$1006:BH1006),$AM$1006:$BM$1006,0)))),"Fix")))</f>
        <v xml:space="preserve"> </v>
      </c>
      <c r="X806" s="4" t="str">
        <f ca="1">IF(OR(INDEX($AG$2:$AG$1001,MATCH(ROWS($AF$2:AF806),$AF$2:$AF$1001,0),1)&gt;=100000,INDEX($AM$1005:$BM$1005,1,MATCH(COLUMNS($AM$1006:BI1006),$AM$1006:$BM$1006,0))&gt;=100000), " ",IF(INDEX($AM$2:$BM$1001,MATCH(ROWS($AF$2:AF806),$AF$2:$AF$1001,0),MATCH(COLUMNS($AM$1006:BI1006),$AM$1006:$BM$1006,0)), HYPERLINK("#",""), HYPERLINK(CONCATENATE("#metadata!", ADDRESS(INDEX($AH$2:$AH$1001,MATCH(ROWS($AF$2:AF806),$AF$2:$AF$1001,0),0), INDEX($AM$1004:$BM$1004,1,MATCH(COLUMNS($AM$1006:BI1006),$AM$1006:$BM$1006,0)))),"Fix")))</f>
        <v xml:space="preserve"> </v>
      </c>
      <c r="Y806" s="4" t="str">
        <f ca="1">IF(OR(INDEX($AG$2:$AG$1001,MATCH(ROWS($AF$2:AF806),$AF$2:$AF$1001,0),1)&gt;=100000,INDEX($AM$1005:$BM$1005,1,MATCH(COLUMNS($AM$1006:BJ1006),$AM$1006:$BM$1006,0))&gt;=100000), " ",IF(INDEX($AM$2:$BM$1001,MATCH(ROWS($AF$2:AF806),$AF$2:$AF$1001,0),MATCH(COLUMNS($AM$1006:BJ1006),$AM$1006:$BM$1006,0)), HYPERLINK("#",""), HYPERLINK(CONCATENATE("#metadata!", ADDRESS(INDEX($AH$2:$AH$1001,MATCH(ROWS($AF$2:AF806),$AF$2:$AF$1001,0),0), INDEX($AM$1004:$BM$1004,1,MATCH(COLUMNS($AM$1006:BJ1006),$AM$1006:$BM$1006,0)))),"Fix")))</f>
        <v xml:space="preserve"> </v>
      </c>
      <c r="Z806" s="4" t="str">
        <f ca="1">IF(OR(INDEX($AG$2:$AG$1001,MATCH(ROWS($AF$2:AF806),$AF$2:$AF$1001,0),1)&gt;=100000,INDEX($AM$1005:$BM$1005,1,MATCH(COLUMNS($AM$1006:BK1006),$AM$1006:$BM$1006,0))&gt;=100000), " ",IF(INDEX($AM$2:$BM$1001,MATCH(ROWS($AF$2:AF806),$AF$2:$AF$1001,0),MATCH(COLUMNS($AM$1006:BK1006),$AM$1006:$BM$1006,0)), HYPERLINK("#",""), HYPERLINK(CONCATENATE("#metadata!", ADDRESS(INDEX($AH$2:$AH$1001,MATCH(ROWS($AF$2:AF806),$AF$2:$AF$1001,0),0), INDEX($AM$1004:$BM$1004,1,MATCH(COLUMNS($AM$1006:BK1006),$AM$1006:$BM$1006,0)))),"Fix")))</f>
        <v xml:space="preserve"> </v>
      </c>
      <c r="AA806" s="4" t="str">
        <f ca="1">IF(OR(INDEX($AG$2:$AG$1001,MATCH(ROWS($AF$2:AF806),$AF$2:$AF$1001,0),1)&gt;=100000,INDEX($AM$1005:$BM$1005,1,MATCH(COLUMNS($AM$1006:BL1006),$AM$1006:$BM$1006,0))&gt;=100000), " ",IF(INDEX($AM$2:$BM$1001,MATCH(ROWS($AF$2:AF806),$AF$2:$AF$1001,0),MATCH(COLUMNS($AM$1006:BL1006),$AM$1006:$BM$1006,0)), HYPERLINK("#",""), HYPERLINK(CONCATENATE("#metadata!", ADDRESS(INDEX($AH$2:$AH$1001,MATCH(ROWS($AF$2:AF806),$AF$2:$AF$1001,0),0), INDEX($AM$1004:$BM$1004,1,MATCH(COLUMNS($AM$1006:BL1006),$AM$1006:$BM$1006,0)))),"Fix")))</f>
        <v xml:space="preserve"> </v>
      </c>
      <c r="AB806" s="4" t="str">
        <f ca="1">IF(OR(INDEX($AG$2:$AG$1001,MATCH(ROWS($AF$2:AF806),$AF$2:$AF$1001,0),1)&gt;=100000,INDEX($AM$1005:$BM$1005,1,MATCH(COLUMNS($AM$1006:BM1006),$AM$1006:$BM$1006,0))&gt;=100000), " ",IF(INDEX($AM$2:$BM$1001,MATCH(ROWS($AF$2:AF806),$AF$2:$AF$1001,0),MATCH(COLUMNS($AM$1006:BM1006),$AM$1006:$BM$1006,0)), HYPERLINK("#",""), HYPERLINK(CONCATENATE("#metadata!", ADDRESS(INDEX($AH$2:$AH$1001,MATCH(ROWS($AF$2:AF806),$AF$2:$AF$1001,0),0), INDEX($AM$1004:$BM$1004,1,MATCH(COLUMNS($AM$1006:BM1006),$AM$1006:$BM$1006,0)))),"Fix")))</f>
        <v xml:space="preserve"> </v>
      </c>
      <c r="AF806">
        <v>805</v>
      </c>
      <c r="AG806">
        <v>100806</v>
      </c>
      <c r="AH806">
        <v>806</v>
      </c>
      <c r="AI806" t="b">
        <f t="shared" si="12"/>
        <v>1</v>
      </c>
      <c r="AJ806" t="b">
        <f>COUNTBLANK(metadata!B806:AB806)=COLUMNS(metadata!B806:AB806)</f>
        <v>1</v>
      </c>
      <c r="AK806" t="str">
        <v/>
      </c>
      <c r="AM806" t="b">
        <f ca="1">AND(IF(metadata!B806="",FALSE,TRUE),COUNTIF(metadata!B:B, metadata!B806) = 1,NOT(ISERROR(SUMPRODUCT(SEARCH(MID(metadata!B806,ROW(INDIRECT("1:"&amp;LEN(metadata!B806))), 1),"0123456789abcdefghijklmnopqrstuvwxyzABCDEFGHIJKLMNOPQRSTUVWXYZ.")))))</f>
        <v>0</v>
      </c>
      <c r="AN806" t="b">
        <f ca="1">OR(AND(IF(metadata!C806="",FALSE,TRUE),OR(EXACT(metadata!C806,"missing: not collected"),EXACT(metadata!C806,"missing: not provided"),EXACT(metadata!C806,"missing: restricted access"))),AND(IF(metadata!C806="",FALSE,TRUE),AND(AND(IFERROR(INT(LEFT(metadata!C806,4))&gt;1900,FALSE),IFERROR(INT(LEFT(metadata!C806,4))&lt;=YEAR(NOW()),FALSE)), OR(MID(metadata!C806,5,1)="", AND(AND(MID(metadata!C806,5,1)="-",IFERROR(INT(MID(metadata!C806,6,1))&gt;=0,FALSE),IFERROR(INT(MID(metadata!C806,6,1))&lt;=1,FALSE),NOT(MID(metadata!C806,7,1)=""),IFERROR(INT(MID(metadata!C806,6,2))&gt;=1,FALSE),IFERROR(INT(MID(metadata!C806,6,2))&lt;=12,FALSE)), OR(MID(metadata!C806,8,1)="", AND(AND(MID(metadata!C806,8,1)="-",IFERROR(INT(MID(metadata!C806,9,1))&gt;=0,FALSE),IFERROR(INT(MID(metadata!C806,9,1))&lt;=3,FALSE),NOT(MID(metadata!C806,10,1)=""),IFERROR(INT(MID(metadata!C806,9,2))&gt;=1,FALSE),IFERROR(INT(MID(metadata!C806,9,2))&lt;=31,FALSE)), OR(MID(metadata!C806,11,1)="", AND(AND(MID(metadata!C806,11,1)=" ",IFERROR(INT(MID(metadata!C806,12,1))&gt;=0,FALSE),IFERROR(INT(MID(metadata!C806,12,1))&lt;=2,FALSE),NOT(MID(metadata!C806,13,1)=""),IFERROR(INT(MID(metadata!C806,12,2))&gt;=0,FALSE),IFERROR(INT(MID(metadata!C806,12,2))&lt;=23,FALSE)), OR(MID(metadata!C806,14,1)="", AND(AND(MID(metadata!C806,14,1)=":",IFERROR(INT(MID(metadata!C806,15,1))&gt;=0,FALSE),IFERROR(INT(MID(metadata!C806,15,1))&lt;=5,FALSE),NOT(MID(metadata!C806,16,1)=""),IFERROR(INT(MID(metadata!C806,15,2))&gt;=0,FALSE),IFERROR(INT(MID(metadata!C806,15,2))&lt;=59,FALSE)), OR(MID(metadata!C806,17,1)="", AND(AND(MID(metadata!C806,17,1)=":",IFERROR(INT(MID(metadata!C806,18,1))&gt;=0,FALSE),IFERROR(INT(MID(metadata!C806,18,1))&lt;=5,FALSE),NOT(MID(metadata!C806,19,1)=""),IFERROR(INT(MID(metadata!C806,18,2))&gt;=0,FALSE),IFERROR(INT(MID(metadata!C806,18,2))&lt;=59,FALSE)), LEN(metadata!C806)&lt;=19)))))))))))))</f>
        <v>0</v>
      </c>
      <c r="AO806" t="b">
        <f>AND(IF(metadata!D806="",FALSE,TRUE),EXACT(metadata!D806,"Not applicable"))</f>
        <v>0</v>
      </c>
      <c r="AP806" t="b">
        <f>IF(metadata!E806="",FALSE,TRUE)</f>
        <v>0</v>
      </c>
      <c r="AQ806" t="b">
        <f>OR(AND(IF(metadata!F806="",FALSE,TRUE),OR(EXACT(metadata!F806,"missing: not collected"),EXACT(metadata!F806,"missing: not provided"))),AND(IF(metadata!F806="",FALSE,TRUE),OR(EXACT(metadata!F806,"TRUE"),EXACT(metadata!F806,"FALSE"))))</f>
        <v>0</v>
      </c>
      <c r="AR806" t="b">
        <f>OR(AND(IF(metadata!G806="",FALSE,TRUE),OR(EXACT(metadata!G806,"missing: not collected"),EXACT(metadata!G806,"missing: not provided"),EXACT(metadata!G806,"missing: restricted access"))),AND(IF(metadata!G806="",FALSE,ISNUMBER(VALUE(metadata!G806))),metadata!G806&gt;=-413))</f>
        <v>0</v>
      </c>
      <c r="AS806" t="b">
        <f>AND(IF(metadata!H806="",FALSE,TRUE),EXACT(metadata!H806,"meters"))</f>
        <v>0</v>
      </c>
      <c r="AT806" t="b">
        <f>AND(IF(metadata!I806="",FALSE,TRUE),OR(EXACT(metadata!I806,"Host-associated"),EXACT(metadata!I806,"Free-living")))</f>
        <v>0</v>
      </c>
      <c r="AU806" t="b">
        <f>AND(IF(metadata!J806="",FALSE,TRUE),OR(EXACT(metadata!J806,"Animal"),EXACT(metadata!J806,"Fungus"),EXACT(metadata!J806,"Plant"),EXACT(metadata!J806,"Saline"),EXACT(metadata!J806,"Non-saline")))</f>
        <v>0</v>
      </c>
      <c r="AV806" t="b">
        <f>AND(IF(metadata!K806="",FALSE,TRUE),OR(EXACT(metadata!K806,"Plant secretion"),EXACT(metadata!K806,"Plant rhizosphere"),EXACT(metadata!K806,"Plant surface"),EXACT(metadata!K806,"Plant corpus"),EXACT(metadata!K806,"Fungus surface"),EXACT(metadata!K806,"Fungus corpus"),EXACT(metadata!K806,"Animal surface"),EXACT(metadata!K806,"Animal proximal gut"),EXACT(metadata!K806,"Animal corpus"),EXACT(metadata!K806,"Animal distal gut"),EXACT(metadata!K806,"Animal secretion"),EXACT(metadata!K806,"Sub-surface (non-saline)"),EXACT(metadata!K806,"Surface (non-saline)"),EXACT(metadata!K806,"Water (non-saline)"),EXACT(metadata!K806,"Soil (non-saline)"),EXACT(metadata!K806,"Aerosol (non-saline)"),EXACT(metadata!K806,"Sediment (non-saline)"),EXACT(metadata!K806,"Surface (saline)"),EXACT(metadata!K806,"Water (saline)"),EXACT(metadata!K806,"Hypersaline (saline)"),EXACT(metadata!K806,"Aerosol (saline)"),EXACT(metadata!K806,"Sediment (saline)")))</f>
        <v>0</v>
      </c>
      <c r="AW806" t="b">
        <f>IF(metadata!L806="",FALSE,TRUE)</f>
        <v>0</v>
      </c>
      <c r="AX806" t="b">
        <f>IF(metadata!M806="",FALSE,TRUE)</f>
        <v>0</v>
      </c>
      <c r="AY806" t="b">
        <f>IF(metadata!N806="",FALSE,TRUE)</f>
        <v>0</v>
      </c>
      <c r="AZ806" t="b">
        <f>OR(AND(IF(metadata!O806="",FALSE,TRUE),OR(EXACT(metadata!O806,"missing: not collected"),EXACT(metadata!O806,"missing: not provided"),EXACT(metadata!O806,"missing: restricted access"))),AND(IF(metadata!O806="",FALSE,TRUE),OR(EXACT(metadata!O806,"air"),EXACT(metadata!O806,"built environment"),EXACT(metadata!O806,"host-associated"),EXACT(metadata!O806,"human-associated"),EXACT(metadata!O806,"human-skin"),EXACT(metadata!O806,"human-oral"),EXACT(metadata!O806,"human-gut"),EXACT(metadata!O806,"human-vaginal"),EXACT(metadata!O806,"microbial mat/biofilm"),EXACT(metadata!O806,"misc environment"),EXACT(metadata!O806,"plant-associated"),EXACT(metadata!O806,"sediment"),EXACT(metadata!O806,"soil"),EXACT(metadata!O806,"wastewater/sludge"),EXACT(metadata!O806,"water"))))</f>
        <v>0</v>
      </c>
      <c r="BA806" t="b">
        <f>IF(metadata!P806="",FALSE,TRUE)</f>
        <v>0</v>
      </c>
      <c r="BB806" t="b">
        <f>IF(metadata!Q806="",FALSE,TRUE)</f>
        <v>0</v>
      </c>
      <c r="BC806" t="b">
        <f>OR(AND(IF(metadata!R806="",FALSE,TRUE),OR(EXACT(metadata!R806,"missing: not collected"),EXACT(metadata!R806,"missing: not provided"),EXACT(metadata!R806,"missing: restricted access"))),AND(IF(metadata!R806="",FALSE,ISNUMBER(VALUE(metadata!R806))),metadata!R806&gt;=-90,metadata!R806&lt;=90))</f>
        <v>0</v>
      </c>
      <c r="BD806" t="b">
        <f>AND(IF(metadata!S806="",FALSE,TRUE),EXACT(metadata!S806,"Decimal degrees"))</f>
        <v>0</v>
      </c>
      <c r="BE806" t="b">
        <f>OR(AND(IF(metadata!T806="",FALSE,TRUE),OR(EXACT(metadata!T806,"missing: not collected"),EXACT(metadata!T806,"missing: not provided"),EXACT(metadata!T806,"missing: restricted access"))),AND(IF(metadata!T806="",FALSE,ISNUMBER(VALUE(metadata!T806))),metadata!T806&gt;=-180,metadata!T806&lt;=180))</f>
        <v>0</v>
      </c>
      <c r="BF806" t="b">
        <f>AND(IF(metadata!U806="",FALSE,TRUE),EXACT(metadata!U806,"Decimal degrees"))</f>
        <v>0</v>
      </c>
      <c r="BG806" t="b">
        <f>IF(metadata!V806="",FALSE,TRUE)</f>
        <v>0</v>
      </c>
      <c r="BH806" t="b">
        <f>OR(AND(IF(metadata!W806="",FALSE,TRUE),OR(EXACT(metadata!W806,"missing: not collected"),EXACT(metadata!W806,"missing: not provided"),EXACT(metadata!W806,"missing: restricted access"))),AND(IF(metadata!W806="",FALSE,TRUE),OR(EXACT(metadata!W806,"TRUE"),EXACT(metadata!W806,"FALSE"))))</f>
        <v>0</v>
      </c>
      <c r="BI806" t="b">
        <f>AND(IF(metadata!X806="",FALSE,TRUE),EXACT(metadata!X806,"other"))</f>
        <v>0</v>
      </c>
      <c r="BJ806" t="b">
        <f>IF(metadata!Y806="",FALSE,TRUE)</f>
        <v>0</v>
      </c>
      <c r="BK806" t="b">
        <f>OR(AND(IF(metadata!Z806="",FALSE,TRUE),OR(EXACT(metadata!Z806,"missing: not collected"),EXACT(metadata!Z806,"missing: not provided"))),AND(IF(metadata!Z806="",FALSE,IF(ISERROR(INT(metadata!Z806)),FALSE,INT(metadata!Z806)=metadata!Z806)),metadata!Z806&gt;0))</f>
        <v>0</v>
      </c>
      <c r="BL806" t="b">
        <f>AND(IF(metadata!AA806="",FALSE,TRUE),EXACT(metadata!AA806,"Not applicable"))</f>
        <v>0</v>
      </c>
      <c r="BM806" t="b">
        <f>IF(metadata!AB806="",FALSE,TRUE)</f>
        <v>0</v>
      </c>
    </row>
    <row r="807" spans="1:65" x14ac:dyDescent="0.2">
      <c r="A807" s="5" t="str">
        <f ca="1">IF(B807=" "," ",HYPERLINK(CONCATENATE("#metadata!",ADDRESS(INDEX($AH$2:$AH$1001,MATCH(ROWS($AF$2:AF807),$AF$2:$AF$1001,0),0),1)),INDEX($AK$2:$AK$1001,MATCH(ROWS($AF$2:AF807),$AF$2:$AF$1001,0),0)))</f>
        <v xml:space="preserve"> </v>
      </c>
      <c r="B807" s="4" t="str">
        <f ca="1">IF(OR(INDEX($AG$2:$AG$1001,MATCH(ROWS($AF$2:AF807),$AF$2:$AF$1001,0),1)&gt;=100000,INDEX($AM$1005:$BM$1005,1,MATCH(COLUMNS($AM$1006:AM1006),$AM$1006:$BM$1006,0))&gt;=100000), " ",IF(INDEX($AM$2:$BM$1001,MATCH(ROWS($AF$2:AF807),$AF$2:$AF$1001,0),MATCH(COLUMNS($AM$1006:AM1006),$AM$1006:$BM$1006,0)), HYPERLINK("#",""), HYPERLINK(CONCATENATE("#metadata!", ADDRESS(INDEX($AH$2:$AH$1001,MATCH(ROWS($AF$2:AF807),$AF$2:$AF$1001,0),0), INDEX($AM$1004:$BM$1004,1,MATCH(COLUMNS($AM$1006:AM1006),$AM$1006:$BM$1006,0)))),"Fix")))</f>
        <v xml:space="preserve"> </v>
      </c>
      <c r="C807" s="4" t="str">
        <f ca="1">IF(OR(INDEX($AG$2:$AG$1001,MATCH(ROWS($AF$2:AF807),$AF$2:$AF$1001,0),1)&gt;=100000,INDEX($AM$1005:$BM$1005,1,MATCH(COLUMNS($AM$1006:AN1006),$AM$1006:$BM$1006,0))&gt;=100000), " ",IF(INDEX($AM$2:$BM$1001,MATCH(ROWS($AF$2:AF807),$AF$2:$AF$1001,0),MATCH(COLUMNS($AM$1006:AN1006),$AM$1006:$BM$1006,0)), HYPERLINK("#",""), HYPERLINK(CONCATENATE("#metadata!", ADDRESS(INDEX($AH$2:$AH$1001,MATCH(ROWS($AF$2:AF807),$AF$2:$AF$1001,0),0), INDEX($AM$1004:$BM$1004,1,MATCH(COLUMNS($AM$1006:AN1006),$AM$1006:$BM$1006,0)))),"Fix")))</f>
        <v xml:space="preserve"> </v>
      </c>
      <c r="D807" s="4" t="str">
        <f ca="1">IF(OR(INDEX($AG$2:$AG$1001,MATCH(ROWS($AF$2:AF807),$AF$2:$AF$1001,0),1)&gt;=100000,INDEX($AM$1005:$BM$1005,1,MATCH(COLUMNS($AM$1006:AO1006),$AM$1006:$BM$1006,0))&gt;=100000), " ",IF(INDEX($AM$2:$BM$1001,MATCH(ROWS($AF$2:AF807),$AF$2:$AF$1001,0),MATCH(COLUMNS($AM$1006:AO1006),$AM$1006:$BM$1006,0)), HYPERLINK("#",""), HYPERLINK(CONCATENATE("#metadata!", ADDRESS(INDEX($AH$2:$AH$1001,MATCH(ROWS($AF$2:AF807),$AF$2:$AF$1001,0),0), INDEX($AM$1004:$BM$1004,1,MATCH(COLUMNS($AM$1006:AO1006),$AM$1006:$BM$1006,0)))),"Fix")))</f>
        <v xml:space="preserve"> </v>
      </c>
      <c r="E807" s="4" t="str">
        <f ca="1">IF(OR(INDEX($AG$2:$AG$1001,MATCH(ROWS($AF$2:AF807),$AF$2:$AF$1001,0),1)&gt;=100000,INDEX($AM$1005:$BM$1005,1,MATCH(COLUMNS($AM$1006:AP1006),$AM$1006:$BM$1006,0))&gt;=100000), " ",IF(INDEX($AM$2:$BM$1001,MATCH(ROWS($AF$2:AF807),$AF$2:$AF$1001,0),MATCH(COLUMNS($AM$1006:AP1006),$AM$1006:$BM$1006,0)), HYPERLINK("#",""), HYPERLINK(CONCATENATE("#metadata!", ADDRESS(INDEX($AH$2:$AH$1001,MATCH(ROWS($AF$2:AF807),$AF$2:$AF$1001,0),0), INDEX($AM$1004:$BM$1004,1,MATCH(COLUMNS($AM$1006:AP1006),$AM$1006:$BM$1006,0)))),"Fix")))</f>
        <v xml:space="preserve"> </v>
      </c>
      <c r="F807" s="4" t="str">
        <f ca="1">IF(OR(INDEX($AG$2:$AG$1001,MATCH(ROWS($AF$2:AF807),$AF$2:$AF$1001,0),1)&gt;=100000,INDEX($AM$1005:$BM$1005,1,MATCH(COLUMNS($AM$1006:AQ1006),$AM$1006:$BM$1006,0))&gt;=100000), " ",IF(INDEX($AM$2:$BM$1001,MATCH(ROWS($AF$2:AF807),$AF$2:$AF$1001,0),MATCH(COLUMNS($AM$1006:AQ1006),$AM$1006:$BM$1006,0)), HYPERLINK("#",""), HYPERLINK(CONCATENATE("#metadata!", ADDRESS(INDEX($AH$2:$AH$1001,MATCH(ROWS($AF$2:AF807),$AF$2:$AF$1001,0),0), INDEX($AM$1004:$BM$1004,1,MATCH(COLUMNS($AM$1006:AQ1006),$AM$1006:$BM$1006,0)))),"Fix")))</f>
        <v xml:space="preserve"> </v>
      </c>
      <c r="G807" s="4" t="str">
        <f ca="1">IF(OR(INDEX($AG$2:$AG$1001,MATCH(ROWS($AF$2:AF807),$AF$2:$AF$1001,0),1)&gt;=100000,INDEX($AM$1005:$BM$1005,1,MATCH(COLUMNS($AM$1006:AR1006),$AM$1006:$BM$1006,0))&gt;=100000), " ",IF(INDEX($AM$2:$BM$1001,MATCH(ROWS($AF$2:AF807),$AF$2:$AF$1001,0),MATCH(COLUMNS($AM$1006:AR1006),$AM$1006:$BM$1006,0)), HYPERLINK("#",""), HYPERLINK(CONCATENATE("#metadata!", ADDRESS(INDEX($AH$2:$AH$1001,MATCH(ROWS($AF$2:AF807),$AF$2:$AF$1001,0),0), INDEX($AM$1004:$BM$1004,1,MATCH(COLUMNS($AM$1006:AR1006),$AM$1006:$BM$1006,0)))),"Fix")))</f>
        <v xml:space="preserve"> </v>
      </c>
      <c r="H807" s="4" t="str">
        <f ca="1">IF(OR(INDEX($AG$2:$AG$1001,MATCH(ROWS($AF$2:AF807),$AF$2:$AF$1001,0),1)&gt;=100000,INDEX($AM$1005:$BM$1005,1,MATCH(COLUMNS($AM$1006:AS1006),$AM$1006:$BM$1006,0))&gt;=100000), " ",IF(INDEX($AM$2:$BM$1001,MATCH(ROWS($AF$2:AF807),$AF$2:$AF$1001,0),MATCH(COLUMNS($AM$1006:AS1006),$AM$1006:$BM$1006,0)), HYPERLINK("#",""), HYPERLINK(CONCATENATE("#metadata!", ADDRESS(INDEX($AH$2:$AH$1001,MATCH(ROWS($AF$2:AF807),$AF$2:$AF$1001,0),0), INDEX($AM$1004:$BM$1004,1,MATCH(COLUMNS($AM$1006:AS1006),$AM$1006:$BM$1006,0)))),"Fix")))</f>
        <v xml:space="preserve"> </v>
      </c>
      <c r="I807" s="4" t="str">
        <f ca="1">IF(OR(INDEX($AG$2:$AG$1001,MATCH(ROWS($AF$2:AF807),$AF$2:$AF$1001,0),1)&gt;=100000,INDEX($AM$1005:$BM$1005,1,MATCH(COLUMNS($AM$1006:AT1006),$AM$1006:$BM$1006,0))&gt;=100000), " ",IF(INDEX($AM$2:$BM$1001,MATCH(ROWS($AF$2:AF807),$AF$2:$AF$1001,0),MATCH(COLUMNS($AM$1006:AT1006),$AM$1006:$BM$1006,0)), HYPERLINK("#",""), HYPERLINK(CONCATENATE("#metadata!", ADDRESS(INDEX($AH$2:$AH$1001,MATCH(ROWS($AF$2:AF807),$AF$2:$AF$1001,0),0), INDEX($AM$1004:$BM$1004,1,MATCH(COLUMNS($AM$1006:AT1006),$AM$1006:$BM$1006,0)))),"Fix")))</f>
        <v xml:space="preserve"> </v>
      </c>
      <c r="J807" s="4" t="str">
        <f ca="1">IF(OR(INDEX($AG$2:$AG$1001,MATCH(ROWS($AF$2:AF807),$AF$2:$AF$1001,0),1)&gt;=100000,INDEX($AM$1005:$BM$1005,1,MATCH(COLUMNS($AM$1006:AU1006),$AM$1006:$BM$1006,0))&gt;=100000), " ",IF(INDEX($AM$2:$BM$1001,MATCH(ROWS($AF$2:AF807),$AF$2:$AF$1001,0),MATCH(COLUMNS($AM$1006:AU1006),$AM$1006:$BM$1006,0)), HYPERLINK("#",""), HYPERLINK(CONCATENATE("#metadata!", ADDRESS(INDEX($AH$2:$AH$1001,MATCH(ROWS($AF$2:AF807),$AF$2:$AF$1001,0),0), INDEX($AM$1004:$BM$1004,1,MATCH(COLUMNS($AM$1006:AU1006),$AM$1006:$BM$1006,0)))),"Fix")))</f>
        <v xml:space="preserve"> </v>
      </c>
      <c r="K807" s="4" t="str">
        <f ca="1">IF(OR(INDEX($AG$2:$AG$1001,MATCH(ROWS($AF$2:AF807),$AF$2:$AF$1001,0),1)&gt;=100000,INDEX($AM$1005:$BM$1005,1,MATCH(COLUMNS($AM$1006:AV1006),$AM$1006:$BM$1006,0))&gt;=100000), " ",IF(INDEX($AM$2:$BM$1001,MATCH(ROWS($AF$2:AF807),$AF$2:$AF$1001,0),MATCH(COLUMNS($AM$1006:AV1006),$AM$1006:$BM$1006,0)), HYPERLINK("#",""), HYPERLINK(CONCATENATE("#metadata!", ADDRESS(INDEX($AH$2:$AH$1001,MATCH(ROWS($AF$2:AF807),$AF$2:$AF$1001,0),0), INDEX($AM$1004:$BM$1004,1,MATCH(COLUMNS($AM$1006:AV1006),$AM$1006:$BM$1006,0)))),"Fix")))</f>
        <v xml:space="preserve"> </v>
      </c>
      <c r="L807" s="4" t="str">
        <f ca="1">IF(OR(INDEX($AG$2:$AG$1001,MATCH(ROWS($AF$2:AF807),$AF$2:$AF$1001,0),1)&gt;=100000,INDEX($AM$1005:$BM$1005,1,MATCH(COLUMNS($AM$1006:AW1006),$AM$1006:$BM$1006,0))&gt;=100000), " ",IF(INDEX($AM$2:$BM$1001,MATCH(ROWS($AF$2:AF807),$AF$2:$AF$1001,0),MATCH(COLUMNS($AM$1006:AW1006),$AM$1006:$BM$1006,0)), HYPERLINK("#",""), HYPERLINK(CONCATENATE("#metadata!", ADDRESS(INDEX($AH$2:$AH$1001,MATCH(ROWS($AF$2:AF807),$AF$2:$AF$1001,0),0), INDEX($AM$1004:$BM$1004,1,MATCH(COLUMNS($AM$1006:AW1006),$AM$1006:$BM$1006,0)))),"Fix")))</f>
        <v xml:space="preserve"> </v>
      </c>
      <c r="M807" s="4" t="str">
        <f ca="1">IF(OR(INDEX($AG$2:$AG$1001,MATCH(ROWS($AF$2:AF807),$AF$2:$AF$1001,0),1)&gt;=100000,INDEX($AM$1005:$BM$1005,1,MATCH(COLUMNS($AM$1006:AX1006),$AM$1006:$BM$1006,0))&gt;=100000), " ",IF(INDEX($AM$2:$BM$1001,MATCH(ROWS($AF$2:AF807),$AF$2:$AF$1001,0),MATCH(COLUMNS($AM$1006:AX1006),$AM$1006:$BM$1006,0)), HYPERLINK("#",""), HYPERLINK(CONCATENATE("#metadata!", ADDRESS(INDEX($AH$2:$AH$1001,MATCH(ROWS($AF$2:AF807),$AF$2:$AF$1001,0),0), INDEX($AM$1004:$BM$1004,1,MATCH(COLUMNS($AM$1006:AX1006),$AM$1006:$BM$1006,0)))),"Fix")))</f>
        <v xml:space="preserve"> </v>
      </c>
      <c r="N807" s="4" t="str">
        <f ca="1">IF(OR(INDEX($AG$2:$AG$1001,MATCH(ROWS($AF$2:AF807),$AF$2:$AF$1001,0),1)&gt;=100000,INDEX($AM$1005:$BM$1005,1,MATCH(COLUMNS($AM$1006:AY1006),$AM$1006:$BM$1006,0))&gt;=100000), " ",IF(INDEX($AM$2:$BM$1001,MATCH(ROWS($AF$2:AF807),$AF$2:$AF$1001,0),MATCH(COLUMNS($AM$1006:AY1006),$AM$1006:$BM$1006,0)), HYPERLINK("#",""), HYPERLINK(CONCATENATE("#metadata!", ADDRESS(INDEX($AH$2:$AH$1001,MATCH(ROWS($AF$2:AF807),$AF$2:$AF$1001,0),0), INDEX($AM$1004:$BM$1004,1,MATCH(COLUMNS($AM$1006:AY1006),$AM$1006:$BM$1006,0)))),"Fix")))</f>
        <v xml:space="preserve"> </v>
      </c>
      <c r="O807" s="4" t="str">
        <f ca="1">IF(OR(INDEX($AG$2:$AG$1001,MATCH(ROWS($AF$2:AF807),$AF$2:$AF$1001,0),1)&gt;=100000,INDEX($AM$1005:$BM$1005,1,MATCH(COLUMNS($AM$1006:AZ1006),$AM$1006:$BM$1006,0))&gt;=100000), " ",IF(INDEX($AM$2:$BM$1001,MATCH(ROWS($AF$2:AF807),$AF$2:$AF$1001,0),MATCH(COLUMNS($AM$1006:AZ1006),$AM$1006:$BM$1006,0)), HYPERLINK("#",""), HYPERLINK(CONCATENATE("#metadata!", ADDRESS(INDEX($AH$2:$AH$1001,MATCH(ROWS($AF$2:AF807),$AF$2:$AF$1001,0),0), INDEX($AM$1004:$BM$1004,1,MATCH(COLUMNS($AM$1006:AZ1006),$AM$1006:$BM$1006,0)))),"Fix")))</f>
        <v xml:space="preserve"> </v>
      </c>
      <c r="P807" s="4" t="str">
        <f ca="1">IF(OR(INDEX($AG$2:$AG$1001,MATCH(ROWS($AF$2:AF807),$AF$2:$AF$1001,0),1)&gt;=100000,INDEX($AM$1005:$BM$1005,1,MATCH(COLUMNS($AM$1006:BA1006),$AM$1006:$BM$1006,0))&gt;=100000), " ",IF(INDEX($AM$2:$BM$1001,MATCH(ROWS($AF$2:AF807),$AF$2:$AF$1001,0),MATCH(COLUMNS($AM$1006:BA1006),$AM$1006:$BM$1006,0)), HYPERLINK("#",""), HYPERLINK(CONCATENATE("#metadata!", ADDRESS(INDEX($AH$2:$AH$1001,MATCH(ROWS($AF$2:AF807),$AF$2:$AF$1001,0),0), INDEX($AM$1004:$BM$1004,1,MATCH(COLUMNS($AM$1006:BA1006),$AM$1006:$BM$1006,0)))),"Fix")))</f>
        <v xml:space="preserve"> </v>
      </c>
      <c r="Q807" s="4" t="str">
        <f ca="1">IF(OR(INDEX($AG$2:$AG$1001,MATCH(ROWS($AF$2:AF807),$AF$2:$AF$1001,0),1)&gt;=100000,INDEX($AM$1005:$BM$1005,1,MATCH(COLUMNS($AM$1006:BB1006),$AM$1006:$BM$1006,0))&gt;=100000), " ",IF(INDEX($AM$2:$BM$1001,MATCH(ROWS($AF$2:AF807),$AF$2:$AF$1001,0),MATCH(COLUMNS($AM$1006:BB1006),$AM$1006:$BM$1006,0)), HYPERLINK("#",""), HYPERLINK(CONCATENATE("#metadata!", ADDRESS(INDEX($AH$2:$AH$1001,MATCH(ROWS($AF$2:AF807),$AF$2:$AF$1001,0),0), INDEX($AM$1004:$BM$1004,1,MATCH(COLUMNS($AM$1006:BB1006),$AM$1006:$BM$1006,0)))),"Fix")))</f>
        <v xml:space="preserve"> </v>
      </c>
      <c r="R807" s="4" t="str">
        <f ca="1">IF(OR(INDEX($AG$2:$AG$1001,MATCH(ROWS($AF$2:AF807),$AF$2:$AF$1001,0),1)&gt;=100000,INDEX($AM$1005:$BM$1005,1,MATCH(COLUMNS($AM$1006:BC1006),$AM$1006:$BM$1006,0))&gt;=100000), " ",IF(INDEX($AM$2:$BM$1001,MATCH(ROWS($AF$2:AF807),$AF$2:$AF$1001,0),MATCH(COLUMNS($AM$1006:BC1006),$AM$1006:$BM$1006,0)), HYPERLINK("#",""), HYPERLINK(CONCATENATE("#metadata!", ADDRESS(INDEX($AH$2:$AH$1001,MATCH(ROWS($AF$2:AF807),$AF$2:$AF$1001,0),0), INDEX($AM$1004:$BM$1004,1,MATCH(COLUMNS($AM$1006:BC1006),$AM$1006:$BM$1006,0)))),"Fix")))</f>
        <v xml:space="preserve"> </v>
      </c>
      <c r="S807" s="4" t="str">
        <f ca="1">IF(OR(INDEX($AG$2:$AG$1001,MATCH(ROWS($AF$2:AF807),$AF$2:$AF$1001,0),1)&gt;=100000,INDEX($AM$1005:$BM$1005,1,MATCH(COLUMNS($AM$1006:BD1006),$AM$1006:$BM$1006,0))&gt;=100000), " ",IF(INDEX($AM$2:$BM$1001,MATCH(ROWS($AF$2:AF807),$AF$2:$AF$1001,0),MATCH(COLUMNS($AM$1006:BD1006),$AM$1006:$BM$1006,0)), HYPERLINK("#",""), HYPERLINK(CONCATENATE("#metadata!", ADDRESS(INDEX($AH$2:$AH$1001,MATCH(ROWS($AF$2:AF807),$AF$2:$AF$1001,0),0), INDEX($AM$1004:$BM$1004,1,MATCH(COLUMNS($AM$1006:BD1006),$AM$1006:$BM$1006,0)))),"Fix")))</f>
        <v xml:space="preserve"> </v>
      </c>
      <c r="T807" s="4" t="str">
        <f ca="1">IF(OR(INDEX($AG$2:$AG$1001,MATCH(ROWS($AF$2:AF807),$AF$2:$AF$1001,0),1)&gt;=100000,INDEX($AM$1005:$BM$1005,1,MATCH(COLUMNS($AM$1006:BE1006),$AM$1006:$BM$1006,0))&gt;=100000), " ",IF(INDEX($AM$2:$BM$1001,MATCH(ROWS($AF$2:AF807),$AF$2:$AF$1001,0),MATCH(COLUMNS($AM$1006:BE1006),$AM$1006:$BM$1006,0)), HYPERLINK("#",""), HYPERLINK(CONCATENATE("#metadata!", ADDRESS(INDEX($AH$2:$AH$1001,MATCH(ROWS($AF$2:AF807),$AF$2:$AF$1001,0),0), INDEX($AM$1004:$BM$1004,1,MATCH(COLUMNS($AM$1006:BE1006),$AM$1006:$BM$1006,0)))),"Fix")))</f>
        <v xml:space="preserve"> </v>
      </c>
      <c r="U807" s="4" t="str">
        <f ca="1">IF(OR(INDEX($AG$2:$AG$1001,MATCH(ROWS($AF$2:AF807),$AF$2:$AF$1001,0),1)&gt;=100000,INDEX($AM$1005:$BM$1005,1,MATCH(COLUMNS($AM$1006:BF1006),$AM$1006:$BM$1006,0))&gt;=100000), " ",IF(INDEX($AM$2:$BM$1001,MATCH(ROWS($AF$2:AF807),$AF$2:$AF$1001,0),MATCH(COLUMNS($AM$1006:BF1006),$AM$1006:$BM$1006,0)), HYPERLINK("#",""), HYPERLINK(CONCATENATE("#metadata!", ADDRESS(INDEX($AH$2:$AH$1001,MATCH(ROWS($AF$2:AF807),$AF$2:$AF$1001,0),0), INDEX($AM$1004:$BM$1004,1,MATCH(COLUMNS($AM$1006:BF1006),$AM$1006:$BM$1006,0)))),"Fix")))</f>
        <v xml:space="preserve"> </v>
      </c>
      <c r="V807" s="4" t="str">
        <f ca="1">IF(OR(INDEX($AG$2:$AG$1001,MATCH(ROWS($AF$2:AF807),$AF$2:$AF$1001,0),1)&gt;=100000,INDEX($AM$1005:$BM$1005,1,MATCH(COLUMNS($AM$1006:BG1006),$AM$1006:$BM$1006,0))&gt;=100000), " ",IF(INDEX($AM$2:$BM$1001,MATCH(ROWS($AF$2:AF807),$AF$2:$AF$1001,0),MATCH(COLUMNS($AM$1006:BG1006),$AM$1006:$BM$1006,0)), HYPERLINK("#",""), HYPERLINK(CONCATENATE("#metadata!", ADDRESS(INDEX($AH$2:$AH$1001,MATCH(ROWS($AF$2:AF807),$AF$2:$AF$1001,0),0), INDEX($AM$1004:$BM$1004,1,MATCH(COLUMNS($AM$1006:BG1006),$AM$1006:$BM$1006,0)))),"Fix")))</f>
        <v xml:space="preserve"> </v>
      </c>
      <c r="W807" s="4" t="str">
        <f ca="1">IF(OR(INDEX($AG$2:$AG$1001,MATCH(ROWS($AF$2:AF807),$AF$2:$AF$1001,0),1)&gt;=100000,INDEX($AM$1005:$BM$1005,1,MATCH(COLUMNS($AM$1006:BH1006),$AM$1006:$BM$1006,0))&gt;=100000), " ",IF(INDEX($AM$2:$BM$1001,MATCH(ROWS($AF$2:AF807),$AF$2:$AF$1001,0),MATCH(COLUMNS($AM$1006:BH1006),$AM$1006:$BM$1006,0)), HYPERLINK("#",""), HYPERLINK(CONCATENATE("#metadata!", ADDRESS(INDEX($AH$2:$AH$1001,MATCH(ROWS($AF$2:AF807),$AF$2:$AF$1001,0),0), INDEX($AM$1004:$BM$1004,1,MATCH(COLUMNS($AM$1006:BH1006),$AM$1006:$BM$1006,0)))),"Fix")))</f>
        <v xml:space="preserve"> </v>
      </c>
      <c r="X807" s="4" t="str">
        <f ca="1">IF(OR(INDEX($AG$2:$AG$1001,MATCH(ROWS($AF$2:AF807),$AF$2:$AF$1001,0),1)&gt;=100000,INDEX($AM$1005:$BM$1005,1,MATCH(COLUMNS($AM$1006:BI1006),$AM$1006:$BM$1006,0))&gt;=100000), " ",IF(INDEX($AM$2:$BM$1001,MATCH(ROWS($AF$2:AF807),$AF$2:$AF$1001,0),MATCH(COLUMNS($AM$1006:BI1006),$AM$1006:$BM$1006,0)), HYPERLINK("#",""), HYPERLINK(CONCATENATE("#metadata!", ADDRESS(INDEX($AH$2:$AH$1001,MATCH(ROWS($AF$2:AF807),$AF$2:$AF$1001,0),0), INDEX($AM$1004:$BM$1004,1,MATCH(COLUMNS($AM$1006:BI1006),$AM$1006:$BM$1006,0)))),"Fix")))</f>
        <v xml:space="preserve"> </v>
      </c>
      <c r="Y807" s="4" t="str">
        <f ca="1">IF(OR(INDEX($AG$2:$AG$1001,MATCH(ROWS($AF$2:AF807),$AF$2:$AF$1001,0),1)&gt;=100000,INDEX($AM$1005:$BM$1005,1,MATCH(COLUMNS($AM$1006:BJ1006),$AM$1006:$BM$1006,0))&gt;=100000), " ",IF(INDEX($AM$2:$BM$1001,MATCH(ROWS($AF$2:AF807),$AF$2:$AF$1001,0),MATCH(COLUMNS($AM$1006:BJ1006),$AM$1006:$BM$1006,0)), HYPERLINK("#",""), HYPERLINK(CONCATENATE("#metadata!", ADDRESS(INDEX($AH$2:$AH$1001,MATCH(ROWS($AF$2:AF807),$AF$2:$AF$1001,0),0), INDEX($AM$1004:$BM$1004,1,MATCH(COLUMNS($AM$1006:BJ1006),$AM$1006:$BM$1006,0)))),"Fix")))</f>
        <v xml:space="preserve"> </v>
      </c>
      <c r="Z807" s="4" t="str">
        <f ca="1">IF(OR(INDEX($AG$2:$AG$1001,MATCH(ROWS($AF$2:AF807),$AF$2:$AF$1001,0),1)&gt;=100000,INDEX($AM$1005:$BM$1005,1,MATCH(COLUMNS($AM$1006:BK1006),$AM$1006:$BM$1006,0))&gt;=100000), " ",IF(INDEX($AM$2:$BM$1001,MATCH(ROWS($AF$2:AF807),$AF$2:$AF$1001,0),MATCH(COLUMNS($AM$1006:BK1006),$AM$1006:$BM$1006,0)), HYPERLINK("#",""), HYPERLINK(CONCATENATE("#metadata!", ADDRESS(INDEX($AH$2:$AH$1001,MATCH(ROWS($AF$2:AF807),$AF$2:$AF$1001,0),0), INDEX($AM$1004:$BM$1004,1,MATCH(COLUMNS($AM$1006:BK1006),$AM$1006:$BM$1006,0)))),"Fix")))</f>
        <v xml:space="preserve"> </v>
      </c>
      <c r="AA807" s="4" t="str">
        <f ca="1">IF(OR(INDEX($AG$2:$AG$1001,MATCH(ROWS($AF$2:AF807),$AF$2:$AF$1001,0),1)&gt;=100000,INDEX($AM$1005:$BM$1005,1,MATCH(COLUMNS($AM$1006:BL1006),$AM$1006:$BM$1006,0))&gt;=100000), " ",IF(INDEX($AM$2:$BM$1001,MATCH(ROWS($AF$2:AF807),$AF$2:$AF$1001,0),MATCH(COLUMNS($AM$1006:BL1006),$AM$1006:$BM$1006,0)), HYPERLINK("#",""), HYPERLINK(CONCATENATE("#metadata!", ADDRESS(INDEX($AH$2:$AH$1001,MATCH(ROWS($AF$2:AF807),$AF$2:$AF$1001,0),0), INDEX($AM$1004:$BM$1004,1,MATCH(COLUMNS($AM$1006:BL1006),$AM$1006:$BM$1006,0)))),"Fix")))</f>
        <v xml:space="preserve"> </v>
      </c>
      <c r="AB807" s="4" t="str">
        <f ca="1">IF(OR(INDEX($AG$2:$AG$1001,MATCH(ROWS($AF$2:AF807),$AF$2:$AF$1001,0),1)&gt;=100000,INDEX($AM$1005:$BM$1005,1,MATCH(COLUMNS($AM$1006:BM1006),$AM$1006:$BM$1006,0))&gt;=100000), " ",IF(INDEX($AM$2:$BM$1001,MATCH(ROWS($AF$2:AF807),$AF$2:$AF$1001,0),MATCH(COLUMNS($AM$1006:BM1006),$AM$1006:$BM$1006,0)), HYPERLINK("#",""), HYPERLINK(CONCATENATE("#metadata!", ADDRESS(INDEX($AH$2:$AH$1001,MATCH(ROWS($AF$2:AF807),$AF$2:$AF$1001,0),0), INDEX($AM$1004:$BM$1004,1,MATCH(COLUMNS($AM$1006:BM1006),$AM$1006:$BM$1006,0)))),"Fix")))</f>
        <v xml:space="preserve"> </v>
      </c>
      <c r="AF807">
        <v>806</v>
      </c>
      <c r="AG807">
        <v>100807</v>
      </c>
      <c r="AH807">
        <v>807</v>
      </c>
      <c r="AI807" t="b">
        <f t="shared" si="12"/>
        <v>1</v>
      </c>
      <c r="AJ807" t="b">
        <f>COUNTBLANK(metadata!B807:AB807)=COLUMNS(metadata!B807:AB807)</f>
        <v>1</v>
      </c>
      <c r="AK807" t="str">
        <v/>
      </c>
      <c r="AM807" t="b">
        <f ca="1">AND(IF(metadata!B807="",FALSE,TRUE),COUNTIF(metadata!B:B, metadata!B807) = 1,NOT(ISERROR(SUMPRODUCT(SEARCH(MID(metadata!B807,ROW(INDIRECT("1:"&amp;LEN(metadata!B807))), 1),"0123456789abcdefghijklmnopqrstuvwxyzABCDEFGHIJKLMNOPQRSTUVWXYZ.")))))</f>
        <v>0</v>
      </c>
      <c r="AN807" t="b">
        <f ca="1">OR(AND(IF(metadata!C807="",FALSE,TRUE),OR(EXACT(metadata!C807,"missing: not collected"),EXACT(metadata!C807,"missing: not provided"),EXACT(metadata!C807,"missing: restricted access"))),AND(IF(metadata!C807="",FALSE,TRUE),AND(AND(IFERROR(INT(LEFT(metadata!C807,4))&gt;1900,FALSE),IFERROR(INT(LEFT(metadata!C807,4))&lt;=YEAR(NOW()),FALSE)), OR(MID(metadata!C807,5,1)="", AND(AND(MID(metadata!C807,5,1)="-",IFERROR(INT(MID(metadata!C807,6,1))&gt;=0,FALSE),IFERROR(INT(MID(metadata!C807,6,1))&lt;=1,FALSE),NOT(MID(metadata!C807,7,1)=""),IFERROR(INT(MID(metadata!C807,6,2))&gt;=1,FALSE),IFERROR(INT(MID(metadata!C807,6,2))&lt;=12,FALSE)), OR(MID(metadata!C807,8,1)="", AND(AND(MID(metadata!C807,8,1)="-",IFERROR(INT(MID(metadata!C807,9,1))&gt;=0,FALSE),IFERROR(INT(MID(metadata!C807,9,1))&lt;=3,FALSE),NOT(MID(metadata!C807,10,1)=""),IFERROR(INT(MID(metadata!C807,9,2))&gt;=1,FALSE),IFERROR(INT(MID(metadata!C807,9,2))&lt;=31,FALSE)), OR(MID(metadata!C807,11,1)="", AND(AND(MID(metadata!C807,11,1)=" ",IFERROR(INT(MID(metadata!C807,12,1))&gt;=0,FALSE),IFERROR(INT(MID(metadata!C807,12,1))&lt;=2,FALSE),NOT(MID(metadata!C807,13,1)=""),IFERROR(INT(MID(metadata!C807,12,2))&gt;=0,FALSE),IFERROR(INT(MID(metadata!C807,12,2))&lt;=23,FALSE)), OR(MID(metadata!C807,14,1)="", AND(AND(MID(metadata!C807,14,1)=":",IFERROR(INT(MID(metadata!C807,15,1))&gt;=0,FALSE),IFERROR(INT(MID(metadata!C807,15,1))&lt;=5,FALSE),NOT(MID(metadata!C807,16,1)=""),IFERROR(INT(MID(metadata!C807,15,2))&gt;=0,FALSE),IFERROR(INT(MID(metadata!C807,15,2))&lt;=59,FALSE)), OR(MID(metadata!C807,17,1)="", AND(AND(MID(metadata!C807,17,1)=":",IFERROR(INT(MID(metadata!C807,18,1))&gt;=0,FALSE),IFERROR(INT(MID(metadata!C807,18,1))&lt;=5,FALSE),NOT(MID(metadata!C807,19,1)=""),IFERROR(INT(MID(metadata!C807,18,2))&gt;=0,FALSE),IFERROR(INT(MID(metadata!C807,18,2))&lt;=59,FALSE)), LEN(metadata!C807)&lt;=19)))))))))))))</f>
        <v>0</v>
      </c>
      <c r="AO807" t="b">
        <f>AND(IF(metadata!D807="",FALSE,TRUE),EXACT(metadata!D807,"Not applicable"))</f>
        <v>0</v>
      </c>
      <c r="AP807" t="b">
        <f>IF(metadata!E807="",FALSE,TRUE)</f>
        <v>0</v>
      </c>
      <c r="AQ807" t="b">
        <f>OR(AND(IF(metadata!F807="",FALSE,TRUE),OR(EXACT(metadata!F807,"missing: not collected"),EXACT(metadata!F807,"missing: not provided"))),AND(IF(metadata!F807="",FALSE,TRUE),OR(EXACT(metadata!F807,"TRUE"),EXACT(metadata!F807,"FALSE"))))</f>
        <v>0</v>
      </c>
      <c r="AR807" t="b">
        <f>OR(AND(IF(metadata!G807="",FALSE,TRUE),OR(EXACT(metadata!G807,"missing: not collected"),EXACT(metadata!G807,"missing: not provided"),EXACT(metadata!G807,"missing: restricted access"))),AND(IF(metadata!G807="",FALSE,ISNUMBER(VALUE(metadata!G807))),metadata!G807&gt;=-413))</f>
        <v>0</v>
      </c>
      <c r="AS807" t="b">
        <f>AND(IF(metadata!H807="",FALSE,TRUE),EXACT(metadata!H807,"meters"))</f>
        <v>0</v>
      </c>
      <c r="AT807" t="b">
        <f>AND(IF(metadata!I807="",FALSE,TRUE),OR(EXACT(metadata!I807,"Host-associated"),EXACT(metadata!I807,"Free-living")))</f>
        <v>0</v>
      </c>
      <c r="AU807" t="b">
        <f>AND(IF(metadata!J807="",FALSE,TRUE),OR(EXACT(metadata!J807,"Animal"),EXACT(metadata!J807,"Fungus"),EXACT(metadata!J807,"Plant"),EXACT(metadata!J807,"Saline"),EXACT(metadata!J807,"Non-saline")))</f>
        <v>0</v>
      </c>
      <c r="AV807" t="b">
        <f>AND(IF(metadata!K807="",FALSE,TRUE),OR(EXACT(metadata!K807,"Plant secretion"),EXACT(metadata!K807,"Plant rhizosphere"),EXACT(metadata!K807,"Plant surface"),EXACT(metadata!K807,"Plant corpus"),EXACT(metadata!K807,"Fungus surface"),EXACT(metadata!K807,"Fungus corpus"),EXACT(metadata!K807,"Animal surface"),EXACT(metadata!K807,"Animal proximal gut"),EXACT(metadata!K807,"Animal corpus"),EXACT(metadata!K807,"Animal distal gut"),EXACT(metadata!K807,"Animal secretion"),EXACT(metadata!K807,"Sub-surface (non-saline)"),EXACT(metadata!K807,"Surface (non-saline)"),EXACT(metadata!K807,"Water (non-saline)"),EXACT(metadata!K807,"Soil (non-saline)"),EXACT(metadata!K807,"Aerosol (non-saline)"),EXACT(metadata!K807,"Sediment (non-saline)"),EXACT(metadata!K807,"Surface (saline)"),EXACT(metadata!K807,"Water (saline)"),EXACT(metadata!K807,"Hypersaline (saline)"),EXACT(metadata!K807,"Aerosol (saline)"),EXACT(metadata!K807,"Sediment (saline)")))</f>
        <v>0</v>
      </c>
      <c r="AW807" t="b">
        <f>IF(metadata!L807="",FALSE,TRUE)</f>
        <v>0</v>
      </c>
      <c r="AX807" t="b">
        <f>IF(metadata!M807="",FALSE,TRUE)</f>
        <v>0</v>
      </c>
      <c r="AY807" t="b">
        <f>IF(metadata!N807="",FALSE,TRUE)</f>
        <v>0</v>
      </c>
      <c r="AZ807" t="b">
        <f>OR(AND(IF(metadata!O807="",FALSE,TRUE),OR(EXACT(metadata!O807,"missing: not collected"),EXACT(metadata!O807,"missing: not provided"),EXACT(metadata!O807,"missing: restricted access"))),AND(IF(metadata!O807="",FALSE,TRUE),OR(EXACT(metadata!O807,"air"),EXACT(metadata!O807,"built environment"),EXACT(metadata!O807,"host-associated"),EXACT(metadata!O807,"human-associated"),EXACT(metadata!O807,"human-skin"),EXACT(metadata!O807,"human-oral"),EXACT(metadata!O807,"human-gut"),EXACT(metadata!O807,"human-vaginal"),EXACT(metadata!O807,"microbial mat/biofilm"),EXACT(metadata!O807,"misc environment"),EXACT(metadata!O807,"plant-associated"),EXACT(metadata!O807,"sediment"),EXACT(metadata!O807,"soil"),EXACT(metadata!O807,"wastewater/sludge"),EXACT(metadata!O807,"water"))))</f>
        <v>0</v>
      </c>
      <c r="BA807" t="b">
        <f>IF(metadata!P807="",FALSE,TRUE)</f>
        <v>0</v>
      </c>
      <c r="BB807" t="b">
        <f>IF(metadata!Q807="",FALSE,TRUE)</f>
        <v>0</v>
      </c>
      <c r="BC807" t="b">
        <f>OR(AND(IF(metadata!R807="",FALSE,TRUE),OR(EXACT(metadata!R807,"missing: not collected"),EXACT(metadata!R807,"missing: not provided"),EXACT(metadata!R807,"missing: restricted access"))),AND(IF(metadata!R807="",FALSE,ISNUMBER(VALUE(metadata!R807))),metadata!R807&gt;=-90,metadata!R807&lt;=90))</f>
        <v>0</v>
      </c>
      <c r="BD807" t="b">
        <f>AND(IF(metadata!S807="",FALSE,TRUE),EXACT(metadata!S807,"Decimal degrees"))</f>
        <v>0</v>
      </c>
      <c r="BE807" t="b">
        <f>OR(AND(IF(metadata!T807="",FALSE,TRUE),OR(EXACT(metadata!T807,"missing: not collected"),EXACT(metadata!T807,"missing: not provided"),EXACT(metadata!T807,"missing: restricted access"))),AND(IF(metadata!T807="",FALSE,ISNUMBER(VALUE(metadata!T807))),metadata!T807&gt;=-180,metadata!T807&lt;=180))</f>
        <v>0</v>
      </c>
      <c r="BF807" t="b">
        <f>AND(IF(metadata!U807="",FALSE,TRUE),EXACT(metadata!U807,"Decimal degrees"))</f>
        <v>0</v>
      </c>
      <c r="BG807" t="b">
        <f>IF(metadata!V807="",FALSE,TRUE)</f>
        <v>0</v>
      </c>
      <c r="BH807" t="b">
        <f>OR(AND(IF(metadata!W807="",FALSE,TRUE),OR(EXACT(metadata!W807,"missing: not collected"),EXACT(metadata!W807,"missing: not provided"),EXACT(metadata!W807,"missing: restricted access"))),AND(IF(metadata!W807="",FALSE,TRUE),OR(EXACT(metadata!W807,"TRUE"),EXACT(metadata!W807,"FALSE"))))</f>
        <v>0</v>
      </c>
      <c r="BI807" t="b">
        <f>AND(IF(metadata!X807="",FALSE,TRUE),EXACT(metadata!X807,"other"))</f>
        <v>0</v>
      </c>
      <c r="BJ807" t="b">
        <f>IF(metadata!Y807="",FALSE,TRUE)</f>
        <v>0</v>
      </c>
      <c r="BK807" t="b">
        <f>OR(AND(IF(metadata!Z807="",FALSE,TRUE),OR(EXACT(metadata!Z807,"missing: not collected"),EXACT(metadata!Z807,"missing: not provided"))),AND(IF(metadata!Z807="",FALSE,IF(ISERROR(INT(metadata!Z807)),FALSE,INT(metadata!Z807)=metadata!Z807)),metadata!Z807&gt;0))</f>
        <v>0</v>
      </c>
      <c r="BL807" t="b">
        <f>AND(IF(metadata!AA807="",FALSE,TRUE),EXACT(metadata!AA807,"Not applicable"))</f>
        <v>0</v>
      </c>
      <c r="BM807" t="b">
        <f>IF(metadata!AB807="",FALSE,TRUE)</f>
        <v>0</v>
      </c>
    </row>
    <row r="808" spans="1:65" x14ac:dyDescent="0.2">
      <c r="A808" s="5" t="str">
        <f ca="1">IF(B808=" "," ",HYPERLINK(CONCATENATE("#metadata!",ADDRESS(INDEX($AH$2:$AH$1001,MATCH(ROWS($AF$2:AF808),$AF$2:$AF$1001,0),0),1)),INDEX($AK$2:$AK$1001,MATCH(ROWS($AF$2:AF808),$AF$2:$AF$1001,0),0)))</f>
        <v xml:space="preserve"> </v>
      </c>
      <c r="B808" s="4" t="str">
        <f ca="1">IF(OR(INDEX($AG$2:$AG$1001,MATCH(ROWS($AF$2:AF808),$AF$2:$AF$1001,0),1)&gt;=100000,INDEX($AM$1005:$BM$1005,1,MATCH(COLUMNS($AM$1006:AM1006),$AM$1006:$BM$1006,0))&gt;=100000), " ",IF(INDEX($AM$2:$BM$1001,MATCH(ROWS($AF$2:AF808),$AF$2:$AF$1001,0),MATCH(COLUMNS($AM$1006:AM1006),$AM$1006:$BM$1006,0)), HYPERLINK("#",""), HYPERLINK(CONCATENATE("#metadata!", ADDRESS(INDEX($AH$2:$AH$1001,MATCH(ROWS($AF$2:AF808),$AF$2:$AF$1001,0),0), INDEX($AM$1004:$BM$1004,1,MATCH(COLUMNS($AM$1006:AM1006),$AM$1006:$BM$1006,0)))),"Fix")))</f>
        <v xml:space="preserve"> </v>
      </c>
      <c r="C808" s="4" t="str">
        <f ca="1">IF(OR(INDEX($AG$2:$AG$1001,MATCH(ROWS($AF$2:AF808),$AF$2:$AF$1001,0),1)&gt;=100000,INDEX($AM$1005:$BM$1005,1,MATCH(COLUMNS($AM$1006:AN1006),$AM$1006:$BM$1006,0))&gt;=100000), " ",IF(INDEX($AM$2:$BM$1001,MATCH(ROWS($AF$2:AF808),$AF$2:$AF$1001,0),MATCH(COLUMNS($AM$1006:AN1006),$AM$1006:$BM$1006,0)), HYPERLINK("#",""), HYPERLINK(CONCATENATE("#metadata!", ADDRESS(INDEX($AH$2:$AH$1001,MATCH(ROWS($AF$2:AF808),$AF$2:$AF$1001,0),0), INDEX($AM$1004:$BM$1004,1,MATCH(COLUMNS($AM$1006:AN1006),$AM$1006:$BM$1006,0)))),"Fix")))</f>
        <v xml:space="preserve"> </v>
      </c>
      <c r="D808" s="4" t="str">
        <f ca="1">IF(OR(INDEX($AG$2:$AG$1001,MATCH(ROWS($AF$2:AF808),$AF$2:$AF$1001,0),1)&gt;=100000,INDEX($AM$1005:$BM$1005,1,MATCH(COLUMNS($AM$1006:AO1006),$AM$1006:$BM$1006,0))&gt;=100000), " ",IF(INDEX($AM$2:$BM$1001,MATCH(ROWS($AF$2:AF808),$AF$2:$AF$1001,0),MATCH(COLUMNS($AM$1006:AO1006),$AM$1006:$BM$1006,0)), HYPERLINK("#",""), HYPERLINK(CONCATENATE("#metadata!", ADDRESS(INDEX($AH$2:$AH$1001,MATCH(ROWS($AF$2:AF808),$AF$2:$AF$1001,0),0), INDEX($AM$1004:$BM$1004,1,MATCH(COLUMNS($AM$1006:AO1006),$AM$1006:$BM$1006,0)))),"Fix")))</f>
        <v xml:space="preserve"> </v>
      </c>
      <c r="E808" s="4" t="str">
        <f ca="1">IF(OR(INDEX($AG$2:$AG$1001,MATCH(ROWS($AF$2:AF808),$AF$2:$AF$1001,0),1)&gt;=100000,INDEX($AM$1005:$BM$1005,1,MATCH(COLUMNS($AM$1006:AP1006),$AM$1006:$BM$1006,0))&gt;=100000), " ",IF(INDEX($AM$2:$BM$1001,MATCH(ROWS($AF$2:AF808),$AF$2:$AF$1001,0),MATCH(COLUMNS($AM$1006:AP1006),$AM$1006:$BM$1006,0)), HYPERLINK("#",""), HYPERLINK(CONCATENATE("#metadata!", ADDRESS(INDEX($AH$2:$AH$1001,MATCH(ROWS($AF$2:AF808),$AF$2:$AF$1001,0),0), INDEX($AM$1004:$BM$1004,1,MATCH(COLUMNS($AM$1006:AP1006),$AM$1006:$BM$1006,0)))),"Fix")))</f>
        <v xml:space="preserve"> </v>
      </c>
      <c r="F808" s="4" t="str">
        <f ca="1">IF(OR(INDEX($AG$2:$AG$1001,MATCH(ROWS($AF$2:AF808),$AF$2:$AF$1001,0),1)&gt;=100000,INDEX($AM$1005:$BM$1005,1,MATCH(COLUMNS($AM$1006:AQ1006),$AM$1006:$BM$1006,0))&gt;=100000), " ",IF(INDEX($AM$2:$BM$1001,MATCH(ROWS($AF$2:AF808),$AF$2:$AF$1001,0),MATCH(COLUMNS($AM$1006:AQ1006),$AM$1006:$BM$1006,0)), HYPERLINK("#",""), HYPERLINK(CONCATENATE("#metadata!", ADDRESS(INDEX($AH$2:$AH$1001,MATCH(ROWS($AF$2:AF808),$AF$2:$AF$1001,0),0), INDEX($AM$1004:$BM$1004,1,MATCH(COLUMNS($AM$1006:AQ1006),$AM$1006:$BM$1006,0)))),"Fix")))</f>
        <v xml:space="preserve"> </v>
      </c>
      <c r="G808" s="4" t="str">
        <f ca="1">IF(OR(INDEX($AG$2:$AG$1001,MATCH(ROWS($AF$2:AF808),$AF$2:$AF$1001,0),1)&gt;=100000,INDEX($AM$1005:$BM$1005,1,MATCH(COLUMNS($AM$1006:AR1006),$AM$1006:$BM$1006,0))&gt;=100000), " ",IF(INDEX($AM$2:$BM$1001,MATCH(ROWS($AF$2:AF808),$AF$2:$AF$1001,0),MATCH(COLUMNS($AM$1006:AR1006),$AM$1006:$BM$1006,0)), HYPERLINK("#",""), HYPERLINK(CONCATENATE("#metadata!", ADDRESS(INDEX($AH$2:$AH$1001,MATCH(ROWS($AF$2:AF808),$AF$2:$AF$1001,0),0), INDEX($AM$1004:$BM$1004,1,MATCH(COLUMNS($AM$1006:AR1006),$AM$1006:$BM$1006,0)))),"Fix")))</f>
        <v xml:space="preserve"> </v>
      </c>
      <c r="H808" s="4" t="str">
        <f ca="1">IF(OR(INDEX($AG$2:$AG$1001,MATCH(ROWS($AF$2:AF808),$AF$2:$AF$1001,0),1)&gt;=100000,INDEX($AM$1005:$BM$1005,1,MATCH(COLUMNS($AM$1006:AS1006),$AM$1006:$BM$1006,0))&gt;=100000), " ",IF(INDEX($AM$2:$BM$1001,MATCH(ROWS($AF$2:AF808),$AF$2:$AF$1001,0),MATCH(COLUMNS($AM$1006:AS1006),$AM$1006:$BM$1006,0)), HYPERLINK("#",""), HYPERLINK(CONCATENATE("#metadata!", ADDRESS(INDEX($AH$2:$AH$1001,MATCH(ROWS($AF$2:AF808),$AF$2:$AF$1001,0),0), INDEX($AM$1004:$BM$1004,1,MATCH(COLUMNS($AM$1006:AS1006),$AM$1006:$BM$1006,0)))),"Fix")))</f>
        <v xml:space="preserve"> </v>
      </c>
      <c r="I808" s="4" t="str">
        <f ca="1">IF(OR(INDEX($AG$2:$AG$1001,MATCH(ROWS($AF$2:AF808),$AF$2:$AF$1001,0),1)&gt;=100000,INDEX($AM$1005:$BM$1005,1,MATCH(COLUMNS($AM$1006:AT1006),$AM$1006:$BM$1006,0))&gt;=100000), " ",IF(INDEX($AM$2:$BM$1001,MATCH(ROWS($AF$2:AF808),$AF$2:$AF$1001,0),MATCH(COLUMNS($AM$1006:AT1006),$AM$1006:$BM$1006,0)), HYPERLINK("#",""), HYPERLINK(CONCATENATE("#metadata!", ADDRESS(INDEX($AH$2:$AH$1001,MATCH(ROWS($AF$2:AF808),$AF$2:$AF$1001,0),0), INDEX($AM$1004:$BM$1004,1,MATCH(COLUMNS($AM$1006:AT1006),$AM$1006:$BM$1006,0)))),"Fix")))</f>
        <v xml:space="preserve"> </v>
      </c>
      <c r="J808" s="4" t="str">
        <f ca="1">IF(OR(INDEX($AG$2:$AG$1001,MATCH(ROWS($AF$2:AF808),$AF$2:$AF$1001,0),1)&gt;=100000,INDEX($AM$1005:$BM$1005,1,MATCH(COLUMNS($AM$1006:AU1006),$AM$1006:$BM$1006,0))&gt;=100000), " ",IF(INDEX($AM$2:$BM$1001,MATCH(ROWS($AF$2:AF808),$AF$2:$AF$1001,0),MATCH(COLUMNS($AM$1006:AU1006),$AM$1006:$BM$1006,0)), HYPERLINK("#",""), HYPERLINK(CONCATENATE("#metadata!", ADDRESS(INDEX($AH$2:$AH$1001,MATCH(ROWS($AF$2:AF808),$AF$2:$AF$1001,0),0), INDEX($AM$1004:$BM$1004,1,MATCH(COLUMNS($AM$1006:AU1006),$AM$1006:$BM$1006,0)))),"Fix")))</f>
        <v xml:space="preserve"> </v>
      </c>
      <c r="K808" s="4" t="str">
        <f ca="1">IF(OR(INDEX($AG$2:$AG$1001,MATCH(ROWS($AF$2:AF808),$AF$2:$AF$1001,0),1)&gt;=100000,INDEX($AM$1005:$BM$1005,1,MATCH(COLUMNS($AM$1006:AV1006),$AM$1006:$BM$1006,0))&gt;=100000), " ",IF(INDEX($AM$2:$BM$1001,MATCH(ROWS($AF$2:AF808),$AF$2:$AF$1001,0),MATCH(COLUMNS($AM$1006:AV1006),$AM$1006:$BM$1006,0)), HYPERLINK("#",""), HYPERLINK(CONCATENATE("#metadata!", ADDRESS(INDEX($AH$2:$AH$1001,MATCH(ROWS($AF$2:AF808),$AF$2:$AF$1001,0),0), INDEX($AM$1004:$BM$1004,1,MATCH(COLUMNS($AM$1006:AV1006),$AM$1006:$BM$1006,0)))),"Fix")))</f>
        <v xml:space="preserve"> </v>
      </c>
      <c r="L808" s="4" t="str">
        <f ca="1">IF(OR(INDEX($AG$2:$AG$1001,MATCH(ROWS($AF$2:AF808),$AF$2:$AF$1001,0),1)&gt;=100000,INDEX($AM$1005:$BM$1005,1,MATCH(COLUMNS($AM$1006:AW1006),$AM$1006:$BM$1006,0))&gt;=100000), " ",IF(INDEX($AM$2:$BM$1001,MATCH(ROWS($AF$2:AF808),$AF$2:$AF$1001,0),MATCH(COLUMNS($AM$1006:AW1006),$AM$1006:$BM$1006,0)), HYPERLINK("#",""), HYPERLINK(CONCATENATE("#metadata!", ADDRESS(INDEX($AH$2:$AH$1001,MATCH(ROWS($AF$2:AF808),$AF$2:$AF$1001,0),0), INDEX($AM$1004:$BM$1004,1,MATCH(COLUMNS($AM$1006:AW1006),$AM$1006:$BM$1006,0)))),"Fix")))</f>
        <v xml:space="preserve"> </v>
      </c>
      <c r="M808" s="4" t="str">
        <f ca="1">IF(OR(INDEX($AG$2:$AG$1001,MATCH(ROWS($AF$2:AF808),$AF$2:$AF$1001,0),1)&gt;=100000,INDEX($AM$1005:$BM$1005,1,MATCH(COLUMNS($AM$1006:AX1006),$AM$1006:$BM$1006,0))&gt;=100000), " ",IF(INDEX($AM$2:$BM$1001,MATCH(ROWS($AF$2:AF808),$AF$2:$AF$1001,0),MATCH(COLUMNS($AM$1006:AX1006),$AM$1006:$BM$1006,0)), HYPERLINK("#",""), HYPERLINK(CONCATENATE("#metadata!", ADDRESS(INDEX($AH$2:$AH$1001,MATCH(ROWS($AF$2:AF808),$AF$2:$AF$1001,0),0), INDEX($AM$1004:$BM$1004,1,MATCH(COLUMNS($AM$1006:AX1006),$AM$1006:$BM$1006,0)))),"Fix")))</f>
        <v xml:space="preserve"> </v>
      </c>
      <c r="N808" s="4" t="str">
        <f ca="1">IF(OR(INDEX($AG$2:$AG$1001,MATCH(ROWS($AF$2:AF808),$AF$2:$AF$1001,0),1)&gt;=100000,INDEX($AM$1005:$BM$1005,1,MATCH(COLUMNS($AM$1006:AY1006),$AM$1006:$BM$1006,0))&gt;=100000), " ",IF(INDEX($AM$2:$BM$1001,MATCH(ROWS($AF$2:AF808),$AF$2:$AF$1001,0),MATCH(COLUMNS($AM$1006:AY1006),$AM$1006:$BM$1006,0)), HYPERLINK("#",""), HYPERLINK(CONCATENATE("#metadata!", ADDRESS(INDEX($AH$2:$AH$1001,MATCH(ROWS($AF$2:AF808),$AF$2:$AF$1001,0),0), INDEX($AM$1004:$BM$1004,1,MATCH(COLUMNS($AM$1006:AY1006),$AM$1006:$BM$1006,0)))),"Fix")))</f>
        <v xml:space="preserve"> </v>
      </c>
      <c r="O808" s="4" t="str">
        <f ca="1">IF(OR(INDEX($AG$2:$AG$1001,MATCH(ROWS($AF$2:AF808),$AF$2:$AF$1001,0),1)&gt;=100000,INDEX($AM$1005:$BM$1005,1,MATCH(COLUMNS($AM$1006:AZ1006),$AM$1006:$BM$1006,0))&gt;=100000), " ",IF(INDEX($AM$2:$BM$1001,MATCH(ROWS($AF$2:AF808),$AF$2:$AF$1001,0),MATCH(COLUMNS($AM$1006:AZ1006),$AM$1006:$BM$1006,0)), HYPERLINK("#",""), HYPERLINK(CONCATENATE("#metadata!", ADDRESS(INDEX($AH$2:$AH$1001,MATCH(ROWS($AF$2:AF808),$AF$2:$AF$1001,0),0), INDEX($AM$1004:$BM$1004,1,MATCH(COLUMNS($AM$1006:AZ1006),$AM$1006:$BM$1006,0)))),"Fix")))</f>
        <v xml:space="preserve"> </v>
      </c>
      <c r="P808" s="4" t="str">
        <f ca="1">IF(OR(INDEX($AG$2:$AG$1001,MATCH(ROWS($AF$2:AF808),$AF$2:$AF$1001,0),1)&gt;=100000,INDEX($AM$1005:$BM$1005,1,MATCH(COLUMNS($AM$1006:BA1006),$AM$1006:$BM$1006,0))&gt;=100000), " ",IF(INDEX($AM$2:$BM$1001,MATCH(ROWS($AF$2:AF808),$AF$2:$AF$1001,0),MATCH(COLUMNS($AM$1006:BA1006),$AM$1006:$BM$1006,0)), HYPERLINK("#",""), HYPERLINK(CONCATENATE("#metadata!", ADDRESS(INDEX($AH$2:$AH$1001,MATCH(ROWS($AF$2:AF808),$AF$2:$AF$1001,0),0), INDEX($AM$1004:$BM$1004,1,MATCH(COLUMNS($AM$1006:BA1006),$AM$1006:$BM$1006,0)))),"Fix")))</f>
        <v xml:space="preserve"> </v>
      </c>
      <c r="Q808" s="4" t="str">
        <f ca="1">IF(OR(INDEX($AG$2:$AG$1001,MATCH(ROWS($AF$2:AF808),$AF$2:$AF$1001,0),1)&gt;=100000,INDEX($AM$1005:$BM$1005,1,MATCH(COLUMNS($AM$1006:BB1006),$AM$1006:$BM$1006,0))&gt;=100000), " ",IF(INDEX($AM$2:$BM$1001,MATCH(ROWS($AF$2:AF808),$AF$2:$AF$1001,0),MATCH(COLUMNS($AM$1006:BB1006),$AM$1006:$BM$1006,0)), HYPERLINK("#",""), HYPERLINK(CONCATENATE("#metadata!", ADDRESS(INDEX($AH$2:$AH$1001,MATCH(ROWS($AF$2:AF808),$AF$2:$AF$1001,0),0), INDEX($AM$1004:$BM$1004,1,MATCH(COLUMNS($AM$1006:BB1006),$AM$1006:$BM$1006,0)))),"Fix")))</f>
        <v xml:space="preserve"> </v>
      </c>
      <c r="R808" s="4" t="str">
        <f ca="1">IF(OR(INDEX($AG$2:$AG$1001,MATCH(ROWS($AF$2:AF808),$AF$2:$AF$1001,0),1)&gt;=100000,INDEX($AM$1005:$BM$1005,1,MATCH(COLUMNS($AM$1006:BC1006),$AM$1006:$BM$1006,0))&gt;=100000), " ",IF(INDEX($AM$2:$BM$1001,MATCH(ROWS($AF$2:AF808),$AF$2:$AF$1001,0),MATCH(COLUMNS($AM$1006:BC1006),$AM$1006:$BM$1006,0)), HYPERLINK("#",""), HYPERLINK(CONCATENATE("#metadata!", ADDRESS(INDEX($AH$2:$AH$1001,MATCH(ROWS($AF$2:AF808),$AF$2:$AF$1001,0),0), INDEX($AM$1004:$BM$1004,1,MATCH(COLUMNS($AM$1006:BC1006),$AM$1006:$BM$1006,0)))),"Fix")))</f>
        <v xml:space="preserve"> </v>
      </c>
      <c r="S808" s="4" t="str">
        <f ca="1">IF(OR(INDEX($AG$2:$AG$1001,MATCH(ROWS($AF$2:AF808),$AF$2:$AF$1001,0),1)&gt;=100000,INDEX($AM$1005:$BM$1005,1,MATCH(COLUMNS($AM$1006:BD1006),$AM$1006:$BM$1006,0))&gt;=100000), " ",IF(INDEX($AM$2:$BM$1001,MATCH(ROWS($AF$2:AF808),$AF$2:$AF$1001,0),MATCH(COLUMNS($AM$1006:BD1006),$AM$1006:$BM$1006,0)), HYPERLINK("#",""), HYPERLINK(CONCATENATE("#metadata!", ADDRESS(INDEX($AH$2:$AH$1001,MATCH(ROWS($AF$2:AF808),$AF$2:$AF$1001,0),0), INDEX($AM$1004:$BM$1004,1,MATCH(COLUMNS($AM$1006:BD1006),$AM$1006:$BM$1006,0)))),"Fix")))</f>
        <v xml:space="preserve"> </v>
      </c>
      <c r="T808" s="4" t="str">
        <f ca="1">IF(OR(INDEX($AG$2:$AG$1001,MATCH(ROWS($AF$2:AF808),$AF$2:$AF$1001,0),1)&gt;=100000,INDEX($AM$1005:$BM$1005,1,MATCH(COLUMNS($AM$1006:BE1006),$AM$1006:$BM$1006,0))&gt;=100000), " ",IF(INDEX($AM$2:$BM$1001,MATCH(ROWS($AF$2:AF808),$AF$2:$AF$1001,0),MATCH(COLUMNS($AM$1006:BE1006),$AM$1006:$BM$1006,0)), HYPERLINK("#",""), HYPERLINK(CONCATENATE("#metadata!", ADDRESS(INDEX($AH$2:$AH$1001,MATCH(ROWS($AF$2:AF808),$AF$2:$AF$1001,0),0), INDEX($AM$1004:$BM$1004,1,MATCH(COLUMNS($AM$1006:BE1006),$AM$1006:$BM$1006,0)))),"Fix")))</f>
        <v xml:space="preserve"> </v>
      </c>
      <c r="U808" s="4" t="str">
        <f ca="1">IF(OR(INDEX($AG$2:$AG$1001,MATCH(ROWS($AF$2:AF808),$AF$2:$AF$1001,0),1)&gt;=100000,INDEX($AM$1005:$BM$1005,1,MATCH(COLUMNS($AM$1006:BF1006),$AM$1006:$BM$1006,0))&gt;=100000), " ",IF(INDEX($AM$2:$BM$1001,MATCH(ROWS($AF$2:AF808),$AF$2:$AF$1001,0),MATCH(COLUMNS($AM$1006:BF1006),$AM$1006:$BM$1006,0)), HYPERLINK("#",""), HYPERLINK(CONCATENATE("#metadata!", ADDRESS(INDEX($AH$2:$AH$1001,MATCH(ROWS($AF$2:AF808),$AF$2:$AF$1001,0),0), INDEX($AM$1004:$BM$1004,1,MATCH(COLUMNS($AM$1006:BF1006),$AM$1006:$BM$1006,0)))),"Fix")))</f>
        <v xml:space="preserve"> </v>
      </c>
      <c r="V808" s="4" t="str">
        <f ca="1">IF(OR(INDEX($AG$2:$AG$1001,MATCH(ROWS($AF$2:AF808),$AF$2:$AF$1001,0),1)&gt;=100000,INDEX($AM$1005:$BM$1005,1,MATCH(COLUMNS($AM$1006:BG1006),$AM$1006:$BM$1006,0))&gt;=100000), " ",IF(INDEX($AM$2:$BM$1001,MATCH(ROWS($AF$2:AF808),$AF$2:$AF$1001,0),MATCH(COLUMNS($AM$1006:BG1006),$AM$1006:$BM$1006,0)), HYPERLINK("#",""), HYPERLINK(CONCATENATE("#metadata!", ADDRESS(INDEX($AH$2:$AH$1001,MATCH(ROWS($AF$2:AF808),$AF$2:$AF$1001,0),0), INDEX($AM$1004:$BM$1004,1,MATCH(COLUMNS($AM$1006:BG1006),$AM$1006:$BM$1006,0)))),"Fix")))</f>
        <v xml:space="preserve"> </v>
      </c>
      <c r="W808" s="4" t="str">
        <f ca="1">IF(OR(INDEX($AG$2:$AG$1001,MATCH(ROWS($AF$2:AF808),$AF$2:$AF$1001,0),1)&gt;=100000,INDEX($AM$1005:$BM$1005,1,MATCH(COLUMNS($AM$1006:BH1006),$AM$1006:$BM$1006,0))&gt;=100000), " ",IF(INDEX($AM$2:$BM$1001,MATCH(ROWS($AF$2:AF808),$AF$2:$AF$1001,0),MATCH(COLUMNS($AM$1006:BH1006),$AM$1006:$BM$1006,0)), HYPERLINK("#",""), HYPERLINK(CONCATENATE("#metadata!", ADDRESS(INDEX($AH$2:$AH$1001,MATCH(ROWS($AF$2:AF808),$AF$2:$AF$1001,0),0), INDEX($AM$1004:$BM$1004,1,MATCH(COLUMNS($AM$1006:BH1006),$AM$1006:$BM$1006,0)))),"Fix")))</f>
        <v xml:space="preserve"> </v>
      </c>
      <c r="X808" s="4" t="str">
        <f ca="1">IF(OR(INDEX($AG$2:$AG$1001,MATCH(ROWS($AF$2:AF808),$AF$2:$AF$1001,0),1)&gt;=100000,INDEX($AM$1005:$BM$1005,1,MATCH(COLUMNS($AM$1006:BI1006),$AM$1006:$BM$1006,0))&gt;=100000), " ",IF(INDEX($AM$2:$BM$1001,MATCH(ROWS($AF$2:AF808),$AF$2:$AF$1001,0),MATCH(COLUMNS($AM$1006:BI1006),$AM$1006:$BM$1006,0)), HYPERLINK("#",""), HYPERLINK(CONCATENATE("#metadata!", ADDRESS(INDEX($AH$2:$AH$1001,MATCH(ROWS($AF$2:AF808),$AF$2:$AF$1001,0),0), INDEX($AM$1004:$BM$1004,1,MATCH(COLUMNS($AM$1006:BI1006),$AM$1006:$BM$1006,0)))),"Fix")))</f>
        <v xml:space="preserve"> </v>
      </c>
      <c r="Y808" s="4" t="str">
        <f ca="1">IF(OR(INDEX($AG$2:$AG$1001,MATCH(ROWS($AF$2:AF808),$AF$2:$AF$1001,0),1)&gt;=100000,INDEX($AM$1005:$BM$1005,1,MATCH(COLUMNS($AM$1006:BJ1006),$AM$1006:$BM$1006,0))&gt;=100000), " ",IF(INDEX($AM$2:$BM$1001,MATCH(ROWS($AF$2:AF808),$AF$2:$AF$1001,0),MATCH(COLUMNS($AM$1006:BJ1006),$AM$1006:$BM$1006,0)), HYPERLINK("#",""), HYPERLINK(CONCATENATE("#metadata!", ADDRESS(INDEX($AH$2:$AH$1001,MATCH(ROWS($AF$2:AF808),$AF$2:$AF$1001,0),0), INDEX($AM$1004:$BM$1004,1,MATCH(COLUMNS($AM$1006:BJ1006),$AM$1006:$BM$1006,0)))),"Fix")))</f>
        <v xml:space="preserve"> </v>
      </c>
      <c r="Z808" s="4" t="str">
        <f ca="1">IF(OR(INDEX($AG$2:$AG$1001,MATCH(ROWS($AF$2:AF808),$AF$2:$AF$1001,0),1)&gt;=100000,INDEX($AM$1005:$BM$1005,1,MATCH(COLUMNS($AM$1006:BK1006),$AM$1006:$BM$1006,0))&gt;=100000), " ",IF(INDEX($AM$2:$BM$1001,MATCH(ROWS($AF$2:AF808),$AF$2:$AF$1001,0),MATCH(COLUMNS($AM$1006:BK1006),$AM$1006:$BM$1006,0)), HYPERLINK("#",""), HYPERLINK(CONCATENATE("#metadata!", ADDRESS(INDEX($AH$2:$AH$1001,MATCH(ROWS($AF$2:AF808),$AF$2:$AF$1001,0),0), INDEX($AM$1004:$BM$1004,1,MATCH(COLUMNS($AM$1006:BK1006),$AM$1006:$BM$1006,0)))),"Fix")))</f>
        <v xml:space="preserve"> </v>
      </c>
      <c r="AA808" s="4" t="str">
        <f ca="1">IF(OR(INDEX($AG$2:$AG$1001,MATCH(ROWS($AF$2:AF808),$AF$2:$AF$1001,0),1)&gt;=100000,INDEX($AM$1005:$BM$1005,1,MATCH(COLUMNS($AM$1006:BL1006),$AM$1006:$BM$1006,0))&gt;=100000), " ",IF(INDEX($AM$2:$BM$1001,MATCH(ROWS($AF$2:AF808),$AF$2:$AF$1001,0),MATCH(COLUMNS($AM$1006:BL1006),$AM$1006:$BM$1006,0)), HYPERLINK("#",""), HYPERLINK(CONCATENATE("#metadata!", ADDRESS(INDEX($AH$2:$AH$1001,MATCH(ROWS($AF$2:AF808),$AF$2:$AF$1001,0),0), INDEX($AM$1004:$BM$1004,1,MATCH(COLUMNS($AM$1006:BL1006),$AM$1006:$BM$1006,0)))),"Fix")))</f>
        <v xml:space="preserve"> </v>
      </c>
      <c r="AB808" s="4" t="str">
        <f ca="1">IF(OR(INDEX($AG$2:$AG$1001,MATCH(ROWS($AF$2:AF808),$AF$2:$AF$1001,0),1)&gt;=100000,INDEX($AM$1005:$BM$1005,1,MATCH(COLUMNS($AM$1006:BM1006),$AM$1006:$BM$1006,0))&gt;=100000), " ",IF(INDEX($AM$2:$BM$1001,MATCH(ROWS($AF$2:AF808),$AF$2:$AF$1001,0),MATCH(COLUMNS($AM$1006:BM1006),$AM$1006:$BM$1006,0)), HYPERLINK("#",""), HYPERLINK(CONCATENATE("#metadata!", ADDRESS(INDEX($AH$2:$AH$1001,MATCH(ROWS($AF$2:AF808),$AF$2:$AF$1001,0),0), INDEX($AM$1004:$BM$1004,1,MATCH(COLUMNS($AM$1006:BM1006),$AM$1006:$BM$1006,0)))),"Fix")))</f>
        <v xml:space="preserve"> </v>
      </c>
      <c r="AF808">
        <v>807</v>
      </c>
      <c r="AG808">
        <v>100808</v>
      </c>
      <c r="AH808">
        <v>808</v>
      </c>
      <c r="AI808" t="b">
        <f t="shared" si="12"/>
        <v>1</v>
      </c>
      <c r="AJ808" t="b">
        <f>COUNTBLANK(metadata!B808:AB808)=COLUMNS(metadata!B808:AB808)</f>
        <v>1</v>
      </c>
      <c r="AK808" t="str">
        <v/>
      </c>
      <c r="AM808" t="b">
        <f ca="1">AND(IF(metadata!B808="",FALSE,TRUE),COUNTIF(metadata!B:B, metadata!B808) = 1,NOT(ISERROR(SUMPRODUCT(SEARCH(MID(metadata!B808,ROW(INDIRECT("1:"&amp;LEN(metadata!B808))), 1),"0123456789abcdefghijklmnopqrstuvwxyzABCDEFGHIJKLMNOPQRSTUVWXYZ.")))))</f>
        <v>0</v>
      </c>
      <c r="AN808" t="b">
        <f ca="1">OR(AND(IF(metadata!C808="",FALSE,TRUE),OR(EXACT(metadata!C808,"missing: not collected"),EXACT(metadata!C808,"missing: not provided"),EXACT(metadata!C808,"missing: restricted access"))),AND(IF(metadata!C808="",FALSE,TRUE),AND(AND(IFERROR(INT(LEFT(metadata!C808,4))&gt;1900,FALSE),IFERROR(INT(LEFT(metadata!C808,4))&lt;=YEAR(NOW()),FALSE)), OR(MID(metadata!C808,5,1)="", AND(AND(MID(metadata!C808,5,1)="-",IFERROR(INT(MID(metadata!C808,6,1))&gt;=0,FALSE),IFERROR(INT(MID(metadata!C808,6,1))&lt;=1,FALSE),NOT(MID(metadata!C808,7,1)=""),IFERROR(INT(MID(metadata!C808,6,2))&gt;=1,FALSE),IFERROR(INT(MID(metadata!C808,6,2))&lt;=12,FALSE)), OR(MID(metadata!C808,8,1)="", AND(AND(MID(metadata!C808,8,1)="-",IFERROR(INT(MID(metadata!C808,9,1))&gt;=0,FALSE),IFERROR(INT(MID(metadata!C808,9,1))&lt;=3,FALSE),NOT(MID(metadata!C808,10,1)=""),IFERROR(INT(MID(metadata!C808,9,2))&gt;=1,FALSE),IFERROR(INT(MID(metadata!C808,9,2))&lt;=31,FALSE)), OR(MID(metadata!C808,11,1)="", AND(AND(MID(metadata!C808,11,1)=" ",IFERROR(INT(MID(metadata!C808,12,1))&gt;=0,FALSE),IFERROR(INT(MID(metadata!C808,12,1))&lt;=2,FALSE),NOT(MID(metadata!C808,13,1)=""),IFERROR(INT(MID(metadata!C808,12,2))&gt;=0,FALSE),IFERROR(INT(MID(metadata!C808,12,2))&lt;=23,FALSE)), OR(MID(metadata!C808,14,1)="", AND(AND(MID(metadata!C808,14,1)=":",IFERROR(INT(MID(metadata!C808,15,1))&gt;=0,FALSE),IFERROR(INT(MID(metadata!C808,15,1))&lt;=5,FALSE),NOT(MID(metadata!C808,16,1)=""),IFERROR(INT(MID(metadata!C808,15,2))&gt;=0,FALSE),IFERROR(INT(MID(metadata!C808,15,2))&lt;=59,FALSE)), OR(MID(metadata!C808,17,1)="", AND(AND(MID(metadata!C808,17,1)=":",IFERROR(INT(MID(metadata!C808,18,1))&gt;=0,FALSE),IFERROR(INT(MID(metadata!C808,18,1))&lt;=5,FALSE),NOT(MID(metadata!C808,19,1)=""),IFERROR(INT(MID(metadata!C808,18,2))&gt;=0,FALSE),IFERROR(INT(MID(metadata!C808,18,2))&lt;=59,FALSE)), LEN(metadata!C808)&lt;=19)))))))))))))</f>
        <v>0</v>
      </c>
      <c r="AO808" t="b">
        <f>AND(IF(metadata!D808="",FALSE,TRUE),EXACT(metadata!D808,"Not applicable"))</f>
        <v>0</v>
      </c>
      <c r="AP808" t="b">
        <f>IF(metadata!E808="",FALSE,TRUE)</f>
        <v>0</v>
      </c>
      <c r="AQ808" t="b">
        <f>OR(AND(IF(metadata!F808="",FALSE,TRUE),OR(EXACT(metadata!F808,"missing: not collected"),EXACT(metadata!F808,"missing: not provided"))),AND(IF(metadata!F808="",FALSE,TRUE),OR(EXACT(metadata!F808,"TRUE"),EXACT(metadata!F808,"FALSE"))))</f>
        <v>0</v>
      </c>
      <c r="AR808" t="b">
        <f>OR(AND(IF(metadata!G808="",FALSE,TRUE),OR(EXACT(metadata!G808,"missing: not collected"),EXACT(metadata!G808,"missing: not provided"),EXACT(metadata!G808,"missing: restricted access"))),AND(IF(metadata!G808="",FALSE,ISNUMBER(VALUE(metadata!G808))),metadata!G808&gt;=-413))</f>
        <v>0</v>
      </c>
      <c r="AS808" t="b">
        <f>AND(IF(metadata!H808="",FALSE,TRUE),EXACT(metadata!H808,"meters"))</f>
        <v>0</v>
      </c>
      <c r="AT808" t="b">
        <f>AND(IF(metadata!I808="",FALSE,TRUE),OR(EXACT(metadata!I808,"Host-associated"),EXACT(metadata!I808,"Free-living")))</f>
        <v>0</v>
      </c>
      <c r="AU808" t="b">
        <f>AND(IF(metadata!J808="",FALSE,TRUE),OR(EXACT(metadata!J808,"Animal"),EXACT(metadata!J808,"Fungus"),EXACT(metadata!J808,"Plant"),EXACT(metadata!J808,"Saline"),EXACT(metadata!J808,"Non-saline")))</f>
        <v>0</v>
      </c>
      <c r="AV808" t="b">
        <f>AND(IF(metadata!K808="",FALSE,TRUE),OR(EXACT(metadata!K808,"Plant secretion"),EXACT(metadata!K808,"Plant rhizosphere"),EXACT(metadata!K808,"Plant surface"),EXACT(metadata!K808,"Plant corpus"),EXACT(metadata!K808,"Fungus surface"),EXACT(metadata!K808,"Fungus corpus"),EXACT(metadata!K808,"Animal surface"),EXACT(metadata!K808,"Animal proximal gut"),EXACT(metadata!K808,"Animal corpus"),EXACT(metadata!K808,"Animal distal gut"),EXACT(metadata!K808,"Animal secretion"),EXACT(metadata!K808,"Sub-surface (non-saline)"),EXACT(metadata!K808,"Surface (non-saline)"),EXACT(metadata!K808,"Water (non-saline)"),EXACT(metadata!K808,"Soil (non-saline)"),EXACT(metadata!K808,"Aerosol (non-saline)"),EXACT(metadata!K808,"Sediment (non-saline)"),EXACT(metadata!K808,"Surface (saline)"),EXACT(metadata!K808,"Water (saline)"),EXACT(metadata!K808,"Hypersaline (saline)"),EXACT(metadata!K808,"Aerosol (saline)"),EXACT(metadata!K808,"Sediment (saline)")))</f>
        <v>0</v>
      </c>
      <c r="AW808" t="b">
        <f>IF(metadata!L808="",FALSE,TRUE)</f>
        <v>0</v>
      </c>
      <c r="AX808" t="b">
        <f>IF(metadata!M808="",FALSE,TRUE)</f>
        <v>0</v>
      </c>
      <c r="AY808" t="b">
        <f>IF(metadata!N808="",FALSE,TRUE)</f>
        <v>0</v>
      </c>
      <c r="AZ808" t="b">
        <f>OR(AND(IF(metadata!O808="",FALSE,TRUE),OR(EXACT(metadata!O808,"missing: not collected"),EXACT(metadata!O808,"missing: not provided"),EXACT(metadata!O808,"missing: restricted access"))),AND(IF(metadata!O808="",FALSE,TRUE),OR(EXACT(metadata!O808,"air"),EXACT(metadata!O808,"built environment"),EXACT(metadata!O808,"host-associated"),EXACT(metadata!O808,"human-associated"),EXACT(metadata!O808,"human-skin"),EXACT(metadata!O808,"human-oral"),EXACT(metadata!O808,"human-gut"),EXACT(metadata!O808,"human-vaginal"),EXACT(metadata!O808,"microbial mat/biofilm"),EXACT(metadata!O808,"misc environment"),EXACT(metadata!O808,"plant-associated"),EXACT(metadata!O808,"sediment"),EXACT(metadata!O808,"soil"),EXACT(metadata!O808,"wastewater/sludge"),EXACT(metadata!O808,"water"))))</f>
        <v>0</v>
      </c>
      <c r="BA808" t="b">
        <f>IF(metadata!P808="",FALSE,TRUE)</f>
        <v>0</v>
      </c>
      <c r="BB808" t="b">
        <f>IF(metadata!Q808="",FALSE,TRUE)</f>
        <v>0</v>
      </c>
      <c r="BC808" t="b">
        <f>OR(AND(IF(metadata!R808="",FALSE,TRUE),OR(EXACT(metadata!R808,"missing: not collected"),EXACT(metadata!R808,"missing: not provided"),EXACT(metadata!R808,"missing: restricted access"))),AND(IF(metadata!R808="",FALSE,ISNUMBER(VALUE(metadata!R808))),metadata!R808&gt;=-90,metadata!R808&lt;=90))</f>
        <v>0</v>
      </c>
      <c r="BD808" t="b">
        <f>AND(IF(metadata!S808="",FALSE,TRUE),EXACT(metadata!S808,"Decimal degrees"))</f>
        <v>0</v>
      </c>
      <c r="BE808" t="b">
        <f>OR(AND(IF(metadata!T808="",FALSE,TRUE),OR(EXACT(metadata!T808,"missing: not collected"),EXACT(metadata!T808,"missing: not provided"),EXACT(metadata!T808,"missing: restricted access"))),AND(IF(metadata!T808="",FALSE,ISNUMBER(VALUE(metadata!T808))),metadata!T808&gt;=-180,metadata!T808&lt;=180))</f>
        <v>0</v>
      </c>
      <c r="BF808" t="b">
        <f>AND(IF(metadata!U808="",FALSE,TRUE),EXACT(metadata!U808,"Decimal degrees"))</f>
        <v>0</v>
      </c>
      <c r="BG808" t="b">
        <f>IF(metadata!V808="",FALSE,TRUE)</f>
        <v>0</v>
      </c>
      <c r="BH808" t="b">
        <f>OR(AND(IF(metadata!W808="",FALSE,TRUE),OR(EXACT(metadata!W808,"missing: not collected"),EXACT(metadata!W808,"missing: not provided"),EXACT(metadata!W808,"missing: restricted access"))),AND(IF(metadata!W808="",FALSE,TRUE),OR(EXACT(metadata!W808,"TRUE"),EXACT(metadata!W808,"FALSE"))))</f>
        <v>0</v>
      </c>
      <c r="BI808" t="b">
        <f>AND(IF(metadata!X808="",FALSE,TRUE),EXACT(metadata!X808,"other"))</f>
        <v>0</v>
      </c>
      <c r="BJ808" t="b">
        <f>IF(metadata!Y808="",FALSE,TRUE)</f>
        <v>0</v>
      </c>
      <c r="BK808" t="b">
        <f>OR(AND(IF(metadata!Z808="",FALSE,TRUE),OR(EXACT(metadata!Z808,"missing: not collected"),EXACT(metadata!Z808,"missing: not provided"))),AND(IF(metadata!Z808="",FALSE,IF(ISERROR(INT(metadata!Z808)),FALSE,INT(metadata!Z808)=metadata!Z808)),metadata!Z808&gt;0))</f>
        <v>0</v>
      </c>
      <c r="BL808" t="b">
        <f>AND(IF(metadata!AA808="",FALSE,TRUE),EXACT(metadata!AA808,"Not applicable"))</f>
        <v>0</v>
      </c>
      <c r="BM808" t="b">
        <f>IF(metadata!AB808="",FALSE,TRUE)</f>
        <v>0</v>
      </c>
    </row>
    <row r="809" spans="1:65" x14ac:dyDescent="0.2">
      <c r="A809" s="5" t="str">
        <f ca="1">IF(B809=" "," ",HYPERLINK(CONCATENATE("#metadata!",ADDRESS(INDEX($AH$2:$AH$1001,MATCH(ROWS($AF$2:AF809),$AF$2:$AF$1001,0),0),1)),INDEX($AK$2:$AK$1001,MATCH(ROWS($AF$2:AF809),$AF$2:$AF$1001,0),0)))</f>
        <v xml:space="preserve"> </v>
      </c>
      <c r="B809" s="4" t="str">
        <f ca="1">IF(OR(INDEX($AG$2:$AG$1001,MATCH(ROWS($AF$2:AF809),$AF$2:$AF$1001,0),1)&gt;=100000,INDEX($AM$1005:$BM$1005,1,MATCH(COLUMNS($AM$1006:AM1006),$AM$1006:$BM$1006,0))&gt;=100000), " ",IF(INDEX($AM$2:$BM$1001,MATCH(ROWS($AF$2:AF809),$AF$2:$AF$1001,0),MATCH(COLUMNS($AM$1006:AM1006),$AM$1006:$BM$1006,0)), HYPERLINK("#",""), HYPERLINK(CONCATENATE("#metadata!", ADDRESS(INDEX($AH$2:$AH$1001,MATCH(ROWS($AF$2:AF809),$AF$2:$AF$1001,0),0), INDEX($AM$1004:$BM$1004,1,MATCH(COLUMNS($AM$1006:AM1006),$AM$1006:$BM$1006,0)))),"Fix")))</f>
        <v xml:space="preserve"> </v>
      </c>
      <c r="C809" s="4" t="str">
        <f ca="1">IF(OR(INDEX($AG$2:$AG$1001,MATCH(ROWS($AF$2:AF809),$AF$2:$AF$1001,0),1)&gt;=100000,INDEX($AM$1005:$BM$1005,1,MATCH(COLUMNS($AM$1006:AN1006),$AM$1006:$BM$1006,0))&gt;=100000), " ",IF(INDEX($AM$2:$BM$1001,MATCH(ROWS($AF$2:AF809),$AF$2:$AF$1001,0),MATCH(COLUMNS($AM$1006:AN1006),$AM$1006:$BM$1006,0)), HYPERLINK("#",""), HYPERLINK(CONCATENATE("#metadata!", ADDRESS(INDEX($AH$2:$AH$1001,MATCH(ROWS($AF$2:AF809),$AF$2:$AF$1001,0),0), INDEX($AM$1004:$BM$1004,1,MATCH(COLUMNS($AM$1006:AN1006),$AM$1006:$BM$1006,0)))),"Fix")))</f>
        <v xml:space="preserve"> </v>
      </c>
      <c r="D809" s="4" t="str">
        <f ca="1">IF(OR(INDEX($AG$2:$AG$1001,MATCH(ROWS($AF$2:AF809),$AF$2:$AF$1001,0),1)&gt;=100000,INDEX($AM$1005:$BM$1005,1,MATCH(COLUMNS($AM$1006:AO1006),$AM$1006:$BM$1006,0))&gt;=100000), " ",IF(INDEX($AM$2:$BM$1001,MATCH(ROWS($AF$2:AF809),$AF$2:$AF$1001,0),MATCH(COLUMNS($AM$1006:AO1006),$AM$1006:$BM$1006,0)), HYPERLINK("#",""), HYPERLINK(CONCATENATE("#metadata!", ADDRESS(INDEX($AH$2:$AH$1001,MATCH(ROWS($AF$2:AF809),$AF$2:$AF$1001,0),0), INDEX($AM$1004:$BM$1004,1,MATCH(COLUMNS($AM$1006:AO1006),$AM$1006:$BM$1006,0)))),"Fix")))</f>
        <v xml:space="preserve"> </v>
      </c>
      <c r="E809" s="4" t="str">
        <f ca="1">IF(OR(INDEX($AG$2:$AG$1001,MATCH(ROWS($AF$2:AF809),$AF$2:$AF$1001,0),1)&gt;=100000,INDEX($AM$1005:$BM$1005,1,MATCH(COLUMNS($AM$1006:AP1006),$AM$1006:$BM$1006,0))&gt;=100000), " ",IF(INDEX($AM$2:$BM$1001,MATCH(ROWS($AF$2:AF809),$AF$2:$AF$1001,0),MATCH(COLUMNS($AM$1006:AP1006),$AM$1006:$BM$1006,0)), HYPERLINK("#",""), HYPERLINK(CONCATENATE("#metadata!", ADDRESS(INDEX($AH$2:$AH$1001,MATCH(ROWS($AF$2:AF809),$AF$2:$AF$1001,0),0), INDEX($AM$1004:$BM$1004,1,MATCH(COLUMNS($AM$1006:AP1006),$AM$1006:$BM$1006,0)))),"Fix")))</f>
        <v xml:space="preserve"> </v>
      </c>
      <c r="F809" s="4" t="str">
        <f ca="1">IF(OR(INDEX($AG$2:$AG$1001,MATCH(ROWS($AF$2:AF809),$AF$2:$AF$1001,0),1)&gt;=100000,INDEX($AM$1005:$BM$1005,1,MATCH(COLUMNS($AM$1006:AQ1006),$AM$1006:$BM$1006,0))&gt;=100000), " ",IF(INDEX($AM$2:$BM$1001,MATCH(ROWS($AF$2:AF809),$AF$2:$AF$1001,0),MATCH(COLUMNS($AM$1006:AQ1006),$AM$1006:$BM$1006,0)), HYPERLINK("#",""), HYPERLINK(CONCATENATE("#metadata!", ADDRESS(INDEX($AH$2:$AH$1001,MATCH(ROWS($AF$2:AF809),$AF$2:$AF$1001,0),0), INDEX($AM$1004:$BM$1004,1,MATCH(COLUMNS($AM$1006:AQ1006),$AM$1006:$BM$1006,0)))),"Fix")))</f>
        <v xml:space="preserve"> </v>
      </c>
      <c r="G809" s="4" t="str">
        <f ca="1">IF(OR(INDEX($AG$2:$AG$1001,MATCH(ROWS($AF$2:AF809),$AF$2:$AF$1001,0),1)&gt;=100000,INDEX($AM$1005:$BM$1005,1,MATCH(COLUMNS($AM$1006:AR1006),$AM$1006:$BM$1006,0))&gt;=100000), " ",IF(INDEX($AM$2:$BM$1001,MATCH(ROWS($AF$2:AF809),$AF$2:$AF$1001,0),MATCH(COLUMNS($AM$1006:AR1006),$AM$1006:$BM$1006,0)), HYPERLINK("#",""), HYPERLINK(CONCATENATE("#metadata!", ADDRESS(INDEX($AH$2:$AH$1001,MATCH(ROWS($AF$2:AF809),$AF$2:$AF$1001,0),0), INDEX($AM$1004:$BM$1004,1,MATCH(COLUMNS($AM$1006:AR1006),$AM$1006:$BM$1006,0)))),"Fix")))</f>
        <v xml:space="preserve"> </v>
      </c>
      <c r="H809" s="4" t="str">
        <f ca="1">IF(OR(INDEX($AG$2:$AG$1001,MATCH(ROWS($AF$2:AF809),$AF$2:$AF$1001,0),1)&gt;=100000,INDEX($AM$1005:$BM$1005,1,MATCH(COLUMNS($AM$1006:AS1006),$AM$1006:$BM$1006,0))&gt;=100000), " ",IF(INDEX($AM$2:$BM$1001,MATCH(ROWS($AF$2:AF809),$AF$2:$AF$1001,0),MATCH(COLUMNS($AM$1006:AS1006),$AM$1006:$BM$1006,0)), HYPERLINK("#",""), HYPERLINK(CONCATENATE("#metadata!", ADDRESS(INDEX($AH$2:$AH$1001,MATCH(ROWS($AF$2:AF809),$AF$2:$AF$1001,0),0), INDEX($AM$1004:$BM$1004,1,MATCH(COLUMNS($AM$1006:AS1006),$AM$1006:$BM$1006,0)))),"Fix")))</f>
        <v xml:space="preserve"> </v>
      </c>
      <c r="I809" s="4" t="str">
        <f ca="1">IF(OR(INDEX($AG$2:$AG$1001,MATCH(ROWS($AF$2:AF809),$AF$2:$AF$1001,0),1)&gt;=100000,INDEX($AM$1005:$BM$1005,1,MATCH(COLUMNS($AM$1006:AT1006),$AM$1006:$BM$1006,0))&gt;=100000), " ",IF(INDEX($AM$2:$BM$1001,MATCH(ROWS($AF$2:AF809),$AF$2:$AF$1001,0),MATCH(COLUMNS($AM$1006:AT1006),$AM$1006:$BM$1006,0)), HYPERLINK("#",""), HYPERLINK(CONCATENATE("#metadata!", ADDRESS(INDEX($AH$2:$AH$1001,MATCH(ROWS($AF$2:AF809),$AF$2:$AF$1001,0),0), INDEX($AM$1004:$BM$1004,1,MATCH(COLUMNS($AM$1006:AT1006),$AM$1006:$BM$1006,0)))),"Fix")))</f>
        <v xml:space="preserve"> </v>
      </c>
      <c r="J809" s="4" t="str">
        <f ca="1">IF(OR(INDEX($AG$2:$AG$1001,MATCH(ROWS($AF$2:AF809),$AF$2:$AF$1001,0),1)&gt;=100000,INDEX($AM$1005:$BM$1005,1,MATCH(COLUMNS($AM$1006:AU1006),$AM$1006:$BM$1006,0))&gt;=100000), " ",IF(INDEX($AM$2:$BM$1001,MATCH(ROWS($AF$2:AF809),$AF$2:$AF$1001,0),MATCH(COLUMNS($AM$1006:AU1006),$AM$1006:$BM$1006,0)), HYPERLINK("#",""), HYPERLINK(CONCATENATE("#metadata!", ADDRESS(INDEX($AH$2:$AH$1001,MATCH(ROWS($AF$2:AF809),$AF$2:$AF$1001,0),0), INDEX($AM$1004:$BM$1004,1,MATCH(COLUMNS($AM$1006:AU1006),$AM$1006:$BM$1006,0)))),"Fix")))</f>
        <v xml:space="preserve"> </v>
      </c>
      <c r="K809" s="4" t="str">
        <f ca="1">IF(OR(INDEX($AG$2:$AG$1001,MATCH(ROWS($AF$2:AF809),$AF$2:$AF$1001,0),1)&gt;=100000,INDEX($AM$1005:$BM$1005,1,MATCH(COLUMNS($AM$1006:AV1006),$AM$1006:$BM$1006,0))&gt;=100000), " ",IF(INDEX($AM$2:$BM$1001,MATCH(ROWS($AF$2:AF809),$AF$2:$AF$1001,0),MATCH(COLUMNS($AM$1006:AV1006),$AM$1006:$BM$1006,0)), HYPERLINK("#",""), HYPERLINK(CONCATENATE("#metadata!", ADDRESS(INDEX($AH$2:$AH$1001,MATCH(ROWS($AF$2:AF809),$AF$2:$AF$1001,0),0), INDEX($AM$1004:$BM$1004,1,MATCH(COLUMNS($AM$1006:AV1006),$AM$1006:$BM$1006,0)))),"Fix")))</f>
        <v xml:space="preserve"> </v>
      </c>
      <c r="L809" s="4" t="str">
        <f ca="1">IF(OR(INDEX($AG$2:$AG$1001,MATCH(ROWS($AF$2:AF809),$AF$2:$AF$1001,0),1)&gt;=100000,INDEX($AM$1005:$BM$1005,1,MATCH(COLUMNS($AM$1006:AW1006),$AM$1006:$BM$1006,0))&gt;=100000), " ",IF(INDEX($AM$2:$BM$1001,MATCH(ROWS($AF$2:AF809),$AF$2:$AF$1001,0),MATCH(COLUMNS($AM$1006:AW1006),$AM$1006:$BM$1006,0)), HYPERLINK("#",""), HYPERLINK(CONCATENATE("#metadata!", ADDRESS(INDEX($AH$2:$AH$1001,MATCH(ROWS($AF$2:AF809),$AF$2:$AF$1001,0),0), INDEX($AM$1004:$BM$1004,1,MATCH(COLUMNS($AM$1006:AW1006),$AM$1006:$BM$1006,0)))),"Fix")))</f>
        <v xml:space="preserve"> </v>
      </c>
      <c r="M809" s="4" t="str">
        <f ca="1">IF(OR(INDEX($AG$2:$AG$1001,MATCH(ROWS($AF$2:AF809),$AF$2:$AF$1001,0),1)&gt;=100000,INDEX($AM$1005:$BM$1005,1,MATCH(COLUMNS($AM$1006:AX1006),$AM$1006:$BM$1006,0))&gt;=100000), " ",IF(INDEX($AM$2:$BM$1001,MATCH(ROWS($AF$2:AF809),$AF$2:$AF$1001,0),MATCH(COLUMNS($AM$1006:AX1006),$AM$1006:$BM$1006,0)), HYPERLINK("#",""), HYPERLINK(CONCATENATE("#metadata!", ADDRESS(INDEX($AH$2:$AH$1001,MATCH(ROWS($AF$2:AF809),$AF$2:$AF$1001,0),0), INDEX($AM$1004:$BM$1004,1,MATCH(COLUMNS($AM$1006:AX1006),$AM$1006:$BM$1006,0)))),"Fix")))</f>
        <v xml:space="preserve"> </v>
      </c>
      <c r="N809" s="4" t="str">
        <f ca="1">IF(OR(INDEX($AG$2:$AG$1001,MATCH(ROWS($AF$2:AF809),$AF$2:$AF$1001,0),1)&gt;=100000,INDEX($AM$1005:$BM$1005,1,MATCH(COLUMNS($AM$1006:AY1006),$AM$1006:$BM$1006,0))&gt;=100000), " ",IF(INDEX($AM$2:$BM$1001,MATCH(ROWS($AF$2:AF809),$AF$2:$AF$1001,0),MATCH(COLUMNS($AM$1006:AY1006),$AM$1006:$BM$1006,0)), HYPERLINK("#",""), HYPERLINK(CONCATENATE("#metadata!", ADDRESS(INDEX($AH$2:$AH$1001,MATCH(ROWS($AF$2:AF809),$AF$2:$AF$1001,0),0), INDEX($AM$1004:$BM$1004,1,MATCH(COLUMNS($AM$1006:AY1006),$AM$1006:$BM$1006,0)))),"Fix")))</f>
        <v xml:space="preserve"> </v>
      </c>
      <c r="O809" s="4" t="str">
        <f ca="1">IF(OR(INDEX($AG$2:$AG$1001,MATCH(ROWS($AF$2:AF809),$AF$2:$AF$1001,0),1)&gt;=100000,INDEX($AM$1005:$BM$1005,1,MATCH(COLUMNS($AM$1006:AZ1006),$AM$1006:$BM$1006,0))&gt;=100000), " ",IF(INDEX($AM$2:$BM$1001,MATCH(ROWS($AF$2:AF809),$AF$2:$AF$1001,0),MATCH(COLUMNS($AM$1006:AZ1006),$AM$1006:$BM$1006,0)), HYPERLINK("#",""), HYPERLINK(CONCATENATE("#metadata!", ADDRESS(INDEX($AH$2:$AH$1001,MATCH(ROWS($AF$2:AF809),$AF$2:$AF$1001,0),0), INDEX($AM$1004:$BM$1004,1,MATCH(COLUMNS($AM$1006:AZ1006),$AM$1006:$BM$1006,0)))),"Fix")))</f>
        <v xml:space="preserve"> </v>
      </c>
      <c r="P809" s="4" t="str">
        <f ca="1">IF(OR(INDEX($AG$2:$AG$1001,MATCH(ROWS($AF$2:AF809),$AF$2:$AF$1001,0),1)&gt;=100000,INDEX($AM$1005:$BM$1005,1,MATCH(COLUMNS($AM$1006:BA1006),$AM$1006:$BM$1006,0))&gt;=100000), " ",IF(INDEX($AM$2:$BM$1001,MATCH(ROWS($AF$2:AF809),$AF$2:$AF$1001,0),MATCH(COLUMNS($AM$1006:BA1006),$AM$1006:$BM$1006,0)), HYPERLINK("#",""), HYPERLINK(CONCATENATE("#metadata!", ADDRESS(INDEX($AH$2:$AH$1001,MATCH(ROWS($AF$2:AF809),$AF$2:$AF$1001,0),0), INDEX($AM$1004:$BM$1004,1,MATCH(COLUMNS($AM$1006:BA1006),$AM$1006:$BM$1006,0)))),"Fix")))</f>
        <v xml:space="preserve"> </v>
      </c>
      <c r="Q809" s="4" t="str">
        <f ca="1">IF(OR(INDEX($AG$2:$AG$1001,MATCH(ROWS($AF$2:AF809),$AF$2:$AF$1001,0),1)&gt;=100000,INDEX($AM$1005:$BM$1005,1,MATCH(COLUMNS($AM$1006:BB1006),$AM$1006:$BM$1006,0))&gt;=100000), " ",IF(INDEX($AM$2:$BM$1001,MATCH(ROWS($AF$2:AF809),$AF$2:$AF$1001,0),MATCH(COLUMNS($AM$1006:BB1006),$AM$1006:$BM$1006,0)), HYPERLINK("#",""), HYPERLINK(CONCATENATE("#metadata!", ADDRESS(INDEX($AH$2:$AH$1001,MATCH(ROWS($AF$2:AF809),$AF$2:$AF$1001,0),0), INDEX($AM$1004:$BM$1004,1,MATCH(COLUMNS($AM$1006:BB1006),$AM$1006:$BM$1006,0)))),"Fix")))</f>
        <v xml:space="preserve"> </v>
      </c>
      <c r="R809" s="4" t="str">
        <f ca="1">IF(OR(INDEX($AG$2:$AG$1001,MATCH(ROWS($AF$2:AF809),$AF$2:$AF$1001,0),1)&gt;=100000,INDEX($AM$1005:$BM$1005,1,MATCH(COLUMNS($AM$1006:BC1006),$AM$1006:$BM$1006,0))&gt;=100000), " ",IF(INDEX($AM$2:$BM$1001,MATCH(ROWS($AF$2:AF809),$AF$2:$AF$1001,0),MATCH(COLUMNS($AM$1006:BC1006),$AM$1006:$BM$1006,0)), HYPERLINK("#",""), HYPERLINK(CONCATENATE("#metadata!", ADDRESS(INDEX($AH$2:$AH$1001,MATCH(ROWS($AF$2:AF809),$AF$2:$AF$1001,0),0), INDEX($AM$1004:$BM$1004,1,MATCH(COLUMNS($AM$1006:BC1006),$AM$1006:$BM$1006,0)))),"Fix")))</f>
        <v xml:space="preserve"> </v>
      </c>
      <c r="S809" s="4" t="str">
        <f ca="1">IF(OR(INDEX($AG$2:$AG$1001,MATCH(ROWS($AF$2:AF809),$AF$2:$AF$1001,0),1)&gt;=100000,INDEX($AM$1005:$BM$1005,1,MATCH(COLUMNS($AM$1006:BD1006),$AM$1006:$BM$1006,0))&gt;=100000), " ",IF(INDEX($AM$2:$BM$1001,MATCH(ROWS($AF$2:AF809),$AF$2:$AF$1001,0),MATCH(COLUMNS($AM$1006:BD1006),$AM$1006:$BM$1006,0)), HYPERLINK("#",""), HYPERLINK(CONCATENATE("#metadata!", ADDRESS(INDEX($AH$2:$AH$1001,MATCH(ROWS($AF$2:AF809),$AF$2:$AF$1001,0),0), INDEX($AM$1004:$BM$1004,1,MATCH(COLUMNS($AM$1006:BD1006),$AM$1006:$BM$1006,0)))),"Fix")))</f>
        <v xml:space="preserve"> </v>
      </c>
      <c r="T809" s="4" t="str">
        <f ca="1">IF(OR(INDEX($AG$2:$AG$1001,MATCH(ROWS($AF$2:AF809),$AF$2:$AF$1001,0),1)&gt;=100000,INDEX($AM$1005:$BM$1005,1,MATCH(COLUMNS($AM$1006:BE1006),$AM$1006:$BM$1006,0))&gt;=100000), " ",IF(INDEX($AM$2:$BM$1001,MATCH(ROWS($AF$2:AF809),$AF$2:$AF$1001,0),MATCH(COLUMNS($AM$1006:BE1006),$AM$1006:$BM$1006,0)), HYPERLINK("#",""), HYPERLINK(CONCATENATE("#metadata!", ADDRESS(INDEX($AH$2:$AH$1001,MATCH(ROWS($AF$2:AF809),$AF$2:$AF$1001,0),0), INDEX($AM$1004:$BM$1004,1,MATCH(COLUMNS($AM$1006:BE1006),$AM$1006:$BM$1006,0)))),"Fix")))</f>
        <v xml:space="preserve"> </v>
      </c>
      <c r="U809" s="4" t="str">
        <f ca="1">IF(OR(INDEX($AG$2:$AG$1001,MATCH(ROWS($AF$2:AF809),$AF$2:$AF$1001,0),1)&gt;=100000,INDEX($AM$1005:$BM$1005,1,MATCH(COLUMNS($AM$1006:BF1006),$AM$1006:$BM$1006,0))&gt;=100000), " ",IF(INDEX($AM$2:$BM$1001,MATCH(ROWS($AF$2:AF809),$AF$2:$AF$1001,0),MATCH(COLUMNS($AM$1006:BF1006),$AM$1006:$BM$1006,0)), HYPERLINK("#",""), HYPERLINK(CONCATENATE("#metadata!", ADDRESS(INDEX($AH$2:$AH$1001,MATCH(ROWS($AF$2:AF809),$AF$2:$AF$1001,0),0), INDEX($AM$1004:$BM$1004,1,MATCH(COLUMNS($AM$1006:BF1006),$AM$1006:$BM$1006,0)))),"Fix")))</f>
        <v xml:space="preserve"> </v>
      </c>
      <c r="V809" s="4" t="str">
        <f ca="1">IF(OR(INDEX($AG$2:$AG$1001,MATCH(ROWS($AF$2:AF809),$AF$2:$AF$1001,0),1)&gt;=100000,INDEX($AM$1005:$BM$1005,1,MATCH(COLUMNS($AM$1006:BG1006),$AM$1006:$BM$1006,0))&gt;=100000), " ",IF(INDEX($AM$2:$BM$1001,MATCH(ROWS($AF$2:AF809),$AF$2:$AF$1001,0),MATCH(COLUMNS($AM$1006:BG1006),$AM$1006:$BM$1006,0)), HYPERLINK("#",""), HYPERLINK(CONCATENATE("#metadata!", ADDRESS(INDEX($AH$2:$AH$1001,MATCH(ROWS($AF$2:AF809),$AF$2:$AF$1001,0),0), INDEX($AM$1004:$BM$1004,1,MATCH(COLUMNS($AM$1006:BG1006),$AM$1006:$BM$1006,0)))),"Fix")))</f>
        <v xml:space="preserve"> </v>
      </c>
      <c r="W809" s="4" t="str">
        <f ca="1">IF(OR(INDEX($AG$2:$AG$1001,MATCH(ROWS($AF$2:AF809),$AF$2:$AF$1001,0),1)&gt;=100000,INDEX($AM$1005:$BM$1005,1,MATCH(COLUMNS($AM$1006:BH1006),$AM$1006:$BM$1006,0))&gt;=100000), " ",IF(INDEX($AM$2:$BM$1001,MATCH(ROWS($AF$2:AF809),$AF$2:$AF$1001,0),MATCH(COLUMNS($AM$1006:BH1006),$AM$1006:$BM$1006,0)), HYPERLINK("#",""), HYPERLINK(CONCATENATE("#metadata!", ADDRESS(INDEX($AH$2:$AH$1001,MATCH(ROWS($AF$2:AF809),$AF$2:$AF$1001,0),0), INDEX($AM$1004:$BM$1004,1,MATCH(COLUMNS($AM$1006:BH1006),$AM$1006:$BM$1006,0)))),"Fix")))</f>
        <v xml:space="preserve"> </v>
      </c>
      <c r="X809" s="4" t="str">
        <f ca="1">IF(OR(INDEX($AG$2:$AG$1001,MATCH(ROWS($AF$2:AF809),$AF$2:$AF$1001,0),1)&gt;=100000,INDEX($AM$1005:$BM$1005,1,MATCH(COLUMNS($AM$1006:BI1006),$AM$1006:$BM$1006,0))&gt;=100000), " ",IF(INDEX($AM$2:$BM$1001,MATCH(ROWS($AF$2:AF809),$AF$2:$AF$1001,0),MATCH(COLUMNS($AM$1006:BI1006),$AM$1006:$BM$1006,0)), HYPERLINK("#",""), HYPERLINK(CONCATENATE("#metadata!", ADDRESS(INDEX($AH$2:$AH$1001,MATCH(ROWS($AF$2:AF809),$AF$2:$AF$1001,0),0), INDEX($AM$1004:$BM$1004,1,MATCH(COLUMNS($AM$1006:BI1006),$AM$1006:$BM$1006,0)))),"Fix")))</f>
        <v xml:space="preserve"> </v>
      </c>
      <c r="Y809" s="4" t="str">
        <f ca="1">IF(OR(INDEX($AG$2:$AG$1001,MATCH(ROWS($AF$2:AF809),$AF$2:$AF$1001,0),1)&gt;=100000,INDEX($AM$1005:$BM$1005,1,MATCH(COLUMNS($AM$1006:BJ1006),$AM$1006:$BM$1006,0))&gt;=100000), " ",IF(INDEX($AM$2:$BM$1001,MATCH(ROWS($AF$2:AF809),$AF$2:$AF$1001,0),MATCH(COLUMNS($AM$1006:BJ1006),$AM$1006:$BM$1006,0)), HYPERLINK("#",""), HYPERLINK(CONCATENATE("#metadata!", ADDRESS(INDEX($AH$2:$AH$1001,MATCH(ROWS($AF$2:AF809),$AF$2:$AF$1001,0),0), INDEX($AM$1004:$BM$1004,1,MATCH(COLUMNS($AM$1006:BJ1006),$AM$1006:$BM$1006,0)))),"Fix")))</f>
        <v xml:space="preserve"> </v>
      </c>
      <c r="Z809" s="4" t="str">
        <f ca="1">IF(OR(INDEX($AG$2:$AG$1001,MATCH(ROWS($AF$2:AF809),$AF$2:$AF$1001,0),1)&gt;=100000,INDEX($AM$1005:$BM$1005,1,MATCH(COLUMNS($AM$1006:BK1006),$AM$1006:$BM$1006,0))&gt;=100000), " ",IF(INDEX($AM$2:$BM$1001,MATCH(ROWS($AF$2:AF809),$AF$2:$AF$1001,0),MATCH(COLUMNS($AM$1006:BK1006),$AM$1006:$BM$1006,0)), HYPERLINK("#",""), HYPERLINK(CONCATENATE("#metadata!", ADDRESS(INDEX($AH$2:$AH$1001,MATCH(ROWS($AF$2:AF809),$AF$2:$AF$1001,0),0), INDEX($AM$1004:$BM$1004,1,MATCH(COLUMNS($AM$1006:BK1006),$AM$1006:$BM$1006,0)))),"Fix")))</f>
        <v xml:space="preserve"> </v>
      </c>
      <c r="AA809" s="4" t="str">
        <f ca="1">IF(OR(INDEX($AG$2:$AG$1001,MATCH(ROWS($AF$2:AF809),$AF$2:$AF$1001,0),1)&gt;=100000,INDEX($AM$1005:$BM$1005,1,MATCH(COLUMNS($AM$1006:BL1006),$AM$1006:$BM$1006,0))&gt;=100000), " ",IF(INDEX($AM$2:$BM$1001,MATCH(ROWS($AF$2:AF809),$AF$2:$AF$1001,0),MATCH(COLUMNS($AM$1006:BL1006),$AM$1006:$BM$1006,0)), HYPERLINK("#",""), HYPERLINK(CONCATENATE("#metadata!", ADDRESS(INDEX($AH$2:$AH$1001,MATCH(ROWS($AF$2:AF809),$AF$2:$AF$1001,0),0), INDEX($AM$1004:$BM$1004,1,MATCH(COLUMNS($AM$1006:BL1006),$AM$1006:$BM$1006,0)))),"Fix")))</f>
        <v xml:space="preserve"> </v>
      </c>
      <c r="AB809" s="4" t="str">
        <f ca="1">IF(OR(INDEX($AG$2:$AG$1001,MATCH(ROWS($AF$2:AF809),$AF$2:$AF$1001,0),1)&gt;=100000,INDEX($AM$1005:$BM$1005,1,MATCH(COLUMNS($AM$1006:BM1006),$AM$1006:$BM$1006,0))&gt;=100000), " ",IF(INDEX($AM$2:$BM$1001,MATCH(ROWS($AF$2:AF809),$AF$2:$AF$1001,0),MATCH(COLUMNS($AM$1006:BM1006),$AM$1006:$BM$1006,0)), HYPERLINK("#",""), HYPERLINK(CONCATENATE("#metadata!", ADDRESS(INDEX($AH$2:$AH$1001,MATCH(ROWS($AF$2:AF809),$AF$2:$AF$1001,0),0), INDEX($AM$1004:$BM$1004,1,MATCH(COLUMNS($AM$1006:BM1006),$AM$1006:$BM$1006,0)))),"Fix")))</f>
        <v xml:space="preserve"> </v>
      </c>
      <c r="AF809">
        <v>808</v>
      </c>
      <c r="AG809">
        <v>100809</v>
      </c>
      <c r="AH809">
        <v>809</v>
      </c>
      <c r="AI809" t="b">
        <f t="shared" si="12"/>
        <v>1</v>
      </c>
      <c r="AJ809" t="b">
        <f>COUNTBLANK(metadata!B809:AB809)=COLUMNS(metadata!B809:AB809)</f>
        <v>1</v>
      </c>
      <c r="AK809" t="str">
        <v/>
      </c>
      <c r="AM809" t="b">
        <f ca="1">AND(IF(metadata!B809="",FALSE,TRUE),COUNTIF(metadata!B:B, metadata!B809) = 1,NOT(ISERROR(SUMPRODUCT(SEARCH(MID(metadata!B809,ROW(INDIRECT("1:"&amp;LEN(metadata!B809))), 1),"0123456789abcdefghijklmnopqrstuvwxyzABCDEFGHIJKLMNOPQRSTUVWXYZ.")))))</f>
        <v>0</v>
      </c>
      <c r="AN809" t="b">
        <f ca="1">OR(AND(IF(metadata!C809="",FALSE,TRUE),OR(EXACT(metadata!C809,"missing: not collected"),EXACT(metadata!C809,"missing: not provided"),EXACT(metadata!C809,"missing: restricted access"))),AND(IF(metadata!C809="",FALSE,TRUE),AND(AND(IFERROR(INT(LEFT(metadata!C809,4))&gt;1900,FALSE),IFERROR(INT(LEFT(metadata!C809,4))&lt;=YEAR(NOW()),FALSE)), OR(MID(metadata!C809,5,1)="", AND(AND(MID(metadata!C809,5,1)="-",IFERROR(INT(MID(metadata!C809,6,1))&gt;=0,FALSE),IFERROR(INT(MID(metadata!C809,6,1))&lt;=1,FALSE),NOT(MID(metadata!C809,7,1)=""),IFERROR(INT(MID(metadata!C809,6,2))&gt;=1,FALSE),IFERROR(INT(MID(metadata!C809,6,2))&lt;=12,FALSE)), OR(MID(metadata!C809,8,1)="", AND(AND(MID(metadata!C809,8,1)="-",IFERROR(INT(MID(metadata!C809,9,1))&gt;=0,FALSE),IFERROR(INT(MID(metadata!C809,9,1))&lt;=3,FALSE),NOT(MID(metadata!C809,10,1)=""),IFERROR(INT(MID(metadata!C809,9,2))&gt;=1,FALSE),IFERROR(INT(MID(metadata!C809,9,2))&lt;=31,FALSE)), OR(MID(metadata!C809,11,1)="", AND(AND(MID(metadata!C809,11,1)=" ",IFERROR(INT(MID(metadata!C809,12,1))&gt;=0,FALSE),IFERROR(INT(MID(metadata!C809,12,1))&lt;=2,FALSE),NOT(MID(metadata!C809,13,1)=""),IFERROR(INT(MID(metadata!C809,12,2))&gt;=0,FALSE),IFERROR(INT(MID(metadata!C809,12,2))&lt;=23,FALSE)), OR(MID(metadata!C809,14,1)="", AND(AND(MID(metadata!C809,14,1)=":",IFERROR(INT(MID(metadata!C809,15,1))&gt;=0,FALSE),IFERROR(INT(MID(metadata!C809,15,1))&lt;=5,FALSE),NOT(MID(metadata!C809,16,1)=""),IFERROR(INT(MID(metadata!C809,15,2))&gt;=0,FALSE),IFERROR(INT(MID(metadata!C809,15,2))&lt;=59,FALSE)), OR(MID(metadata!C809,17,1)="", AND(AND(MID(metadata!C809,17,1)=":",IFERROR(INT(MID(metadata!C809,18,1))&gt;=0,FALSE),IFERROR(INT(MID(metadata!C809,18,1))&lt;=5,FALSE),NOT(MID(metadata!C809,19,1)=""),IFERROR(INT(MID(metadata!C809,18,2))&gt;=0,FALSE),IFERROR(INT(MID(metadata!C809,18,2))&lt;=59,FALSE)), LEN(metadata!C809)&lt;=19)))))))))))))</f>
        <v>0</v>
      </c>
      <c r="AO809" t="b">
        <f>AND(IF(metadata!D809="",FALSE,TRUE),EXACT(metadata!D809,"Not applicable"))</f>
        <v>0</v>
      </c>
      <c r="AP809" t="b">
        <f>IF(metadata!E809="",FALSE,TRUE)</f>
        <v>0</v>
      </c>
      <c r="AQ809" t="b">
        <f>OR(AND(IF(metadata!F809="",FALSE,TRUE),OR(EXACT(metadata!F809,"missing: not collected"),EXACT(metadata!F809,"missing: not provided"))),AND(IF(metadata!F809="",FALSE,TRUE),OR(EXACT(metadata!F809,"TRUE"),EXACT(metadata!F809,"FALSE"))))</f>
        <v>0</v>
      </c>
      <c r="AR809" t="b">
        <f>OR(AND(IF(metadata!G809="",FALSE,TRUE),OR(EXACT(metadata!G809,"missing: not collected"),EXACT(metadata!G809,"missing: not provided"),EXACT(metadata!G809,"missing: restricted access"))),AND(IF(metadata!G809="",FALSE,ISNUMBER(VALUE(metadata!G809))),metadata!G809&gt;=-413))</f>
        <v>0</v>
      </c>
      <c r="AS809" t="b">
        <f>AND(IF(metadata!H809="",FALSE,TRUE),EXACT(metadata!H809,"meters"))</f>
        <v>0</v>
      </c>
      <c r="AT809" t="b">
        <f>AND(IF(metadata!I809="",FALSE,TRUE),OR(EXACT(metadata!I809,"Host-associated"),EXACT(metadata!I809,"Free-living")))</f>
        <v>0</v>
      </c>
      <c r="AU809" t="b">
        <f>AND(IF(metadata!J809="",FALSE,TRUE),OR(EXACT(metadata!J809,"Animal"),EXACT(metadata!J809,"Fungus"),EXACT(metadata!J809,"Plant"),EXACT(metadata!J809,"Saline"),EXACT(metadata!J809,"Non-saline")))</f>
        <v>0</v>
      </c>
      <c r="AV809" t="b">
        <f>AND(IF(metadata!K809="",FALSE,TRUE),OR(EXACT(metadata!K809,"Plant secretion"),EXACT(metadata!K809,"Plant rhizosphere"),EXACT(metadata!K809,"Plant surface"),EXACT(metadata!K809,"Plant corpus"),EXACT(metadata!K809,"Fungus surface"),EXACT(metadata!K809,"Fungus corpus"),EXACT(metadata!K809,"Animal surface"),EXACT(metadata!K809,"Animal proximal gut"),EXACT(metadata!K809,"Animal corpus"),EXACT(metadata!K809,"Animal distal gut"),EXACT(metadata!K809,"Animal secretion"),EXACT(metadata!K809,"Sub-surface (non-saline)"),EXACT(metadata!K809,"Surface (non-saline)"),EXACT(metadata!K809,"Water (non-saline)"),EXACT(metadata!K809,"Soil (non-saline)"),EXACT(metadata!K809,"Aerosol (non-saline)"),EXACT(metadata!K809,"Sediment (non-saline)"),EXACT(metadata!K809,"Surface (saline)"),EXACT(metadata!K809,"Water (saline)"),EXACT(metadata!K809,"Hypersaline (saline)"),EXACT(metadata!K809,"Aerosol (saline)"),EXACT(metadata!K809,"Sediment (saline)")))</f>
        <v>0</v>
      </c>
      <c r="AW809" t="b">
        <f>IF(metadata!L809="",FALSE,TRUE)</f>
        <v>0</v>
      </c>
      <c r="AX809" t="b">
        <f>IF(metadata!M809="",FALSE,TRUE)</f>
        <v>0</v>
      </c>
      <c r="AY809" t="b">
        <f>IF(metadata!N809="",FALSE,TRUE)</f>
        <v>0</v>
      </c>
      <c r="AZ809" t="b">
        <f>OR(AND(IF(metadata!O809="",FALSE,TRUE),OR(EXACT(metadata!O809,"missing: not collected"),EXACT(metadata!O809,"missing: not provided"),EXACT(metadata!O809,"missing: restricted access"))),AND(IF(metadata!O809="",FALSE,TRUE),OR(EXACT(metadata!O809,"air"),EXACT(metadata!O809,"built environment"),EXACT(metadata!O809,"host-associated"),EXACT(metadata!O809,"human-associated"),EXACT(metadata!O809,"human-skin"),EXACT(metadata!O809,"human-oral"),EXACT(metadata!O809,"human-gut"),EXACT(metadata!O809,"human-vaginal"),EXACT(metadata!O809,"microbial mat/biofilm"),EXACT(metadata!O809,"misc environment"),EXACT(metadata!O809,"plant-associated"),EXACT(metadata!O809,"sediment"),EXACT(metadata!O809,"soil"),EXACT(metadata!O809,"wastewater/sludge"),EXACT(metadata!O809,"water"))))</f>
        <v>0</v>
      </c>
      <c r="BA809" t="b">
        <f>IF(metadata!P809="",FALSE,TRUE)</f>
        <v>0</v>
      </c>
      <c r="BB809" t="b">
        <f>IF(metadata!Q809="",FALSE,TRUE)</f>
        <v>0</v>
      </c>
      <c r="BC809" t="b">
        <f>OR(AND(IF(metadata!R809="",FALSE,TRUE),OR(EXACT(metadata!R809,"missing: not collected"),EXACT(metadata!R809,"missing: not provided"),EXACT(metadata!R809,"missing: restricted access"))),AND(IF(metadata!R809="",FALSE,ISNUMBER(VALUE(metadata!R809))),metadata!R809&gt;=-90,metadata!R809&lt;=90))</f>
        <v>0</v>
      </c>
      <c r="BD809" t="b">
        <f>AND(IF(metadata!S809="",FALSE,TRUE),EXACT(metadata!S809,"Decimal degrees"))</f>
        <v>0</v>
      </c>
      <c r="BE809" t="b">
        <f>OR(AND(IF(metadata!T809="",FALSE,TRUE),OR(EXACT(metadata!T809,"missing: not collected"),EXACT(metadata!T809,"missing: not provided"),EXACT(metadata!T809,"missing: restricted access"))),AND(IF(metadata!T809="",FALSE,ISNUMBER(VALUE(metadata!T809))),metadata!T809&gt;=-180,metadata!T809&lt;=180))</f>
        <v>0</v>
      </c>
      <c r="BF809" t="b">
        <f>AND(IF(metadata!U809="",FALSE,TRUE),EXACT(metadata!U809,"Decimal degrees"))</f>
        <v>0</v>
      </c>
      <c r="BG809" t="b">
        <f>IF(metadata!V809="",FALSE,TRUE)</f>
        <v>0</v>
      </c>
      <c r="BH809" t="b">
        <f>OR(AND(IF(metadata!W809="",FALSE,TRUE),OR(EXACT(metadata!W809,"missing: not collected"),EXACT(metadata!W809,"missing: not provided"),EXACT(metadata!W809,"missing: restricted access"))),AND(IF(metadata!W809="",FALSE,TRUE),OR(EXACT(metadata!W809,"TRUE"),EXACT(metadata!W809,"FALSE"))))</f>
        <v>0</v>
      </c>
      <c r="BI809" t="b">
        <f>AND(IF(metadata!X809="",FALSE,TRUE),EXACT(metadata!X809,"other"))</f>
        <v>0</v>
      </c>
      <c r="BJ809" t="b">
        <f>IF(metadata!Y809="",FALSE,TRUE)</f>
        <v>0</v>
      </c>
      <c r="BK809" t="b">
        <f>OR(AND(IF(metadata!Z809="",FALSE,TRUE),OR(EXACT(metadata!Z809,"missing: not collected"),EXACT(metadata!Z809,"missing: not provided"))),AND(IF(metadata!Z809="",FALSE,IF(ISERROR(INT(metadata!Z809)),FALSE,INT(metadata!Z809)=metadata!Z809)),metadata!Z809&gt;0))</f>
        <v>0</v>
      </c>
      <c r="BL809" t="b">
        <f>AND(IF(metadata!AA809="",FALSE,TRUE),EXACT(metadata!AA809,"Not applicable"))</f>
        <v>0</v>
      </c>
      <c r="BM809" t="b">
        <f>IF(metadata!AB809="",FALSE,TRUE)</f>
        <v>0</v>
      </c>
    </row>
    <row r="810" spans="1:65" x14ac:dyDescent="0.2">
      <c r="A810" s="5" t="str">
        <f ca="1">IF(B810=" "," ",HYPERLINK(CONCATENATE("#metadata!",ADDRESS(INDEX($AH$2:$AH$1001,MATCH(ROWS($AF$2:AF810),$AF$2:$AF$1001,0),0),1)),INDEX($AK$2:$AK$1001,MATCH(ROWS($AF$2:AF810),$AF$2:$AF$1001,0),0)))</f>
        <v xml:space="preserve"> </v>
      </c>
      <c r="B810" s="4" t="str">
        <f ca="1">IF(OR(INDEX($AG$2:$AG$1001,MATCH(ROWS($AF$2:AF810),$AF$2:$AF$1001,0),1)&gt;=100000,INDEX($AM$1005:$BM$1005,1,MATCH(COLUMNS($AM$1006:AM1006),$AM$1006:$BM$1006,0))&gt;=100000), " ",IF(INDEX($AM$2:$BM$1001,MATCH(ROWS($AF$2:AF810),$AF$2:$AF$1001,0),MATCH(COLUMNS($AM$1006:AM1006),$AM$1006:$BM$1006,0)), HYPERLINK("#",""), HYPERLINK(CONCATENATE("#metadata!", ADDRESS(INDEX($AH$2:$AH$1001,MATCH(ROWS($AF$2:AF810),$AF$2:$AF$1001,0),0), INDEX($AM$1004:$BM$1004,1,MATCH(COLUMNS($AM$1006:AM1006),$AM$1006:$BM$1006,0)))),"Fix")))</f>
        <v xml:space="preserve"> </v>
      </c>
      <c r="C810" s="4" t="str">
        <f ca="1">IF(OR(INDEX($AG$2:$AG$1001,MATCH(ROWS($AF$2:AF810),$AF$2:$AF$1001,0),1)&gt;=100000,INDEX($AM$1005:$BM$1005,1,MATCH(COLUMNS($AM$1006:AN1006),$AM$1006:$BM$1006,0))&gt;=100000), " ",IF(INDEX($AM$2:$BM$1001,MATCH(ROWS($AF$2:AF810),$AF$2:$AF$1001,0),MATCH(COLUMNS($AM$1006:AN1006),$AM$1006:$BM$1006,0)), HYPERLINK("#",""), HYPERLINK(CONCATENATE("#metadata!", ADDRESS(INDEX($AH$2:$AH$1001,MATCH(ROWS($AF$2:AF810),$AF$2:$AF$1001,0),0), INDEX($AM$1004:$BM$1004,1,MATCH(COLUMNS($AM$1006:AN1006),$AM$1006:$BM$1006,0)))),"Fix")))</f>
        <v xml:space="preserve"> </v>
      </c>
      <c r="D810" s="4" t="str">
        <f ca="1">IF(OR(INDEX($AG$2:$AG$1001,MATCH(ROWS($AF$2:AF810),$AF$2:$AF$1001,0),1)&gt;=100000,INDEX($AM$1005:$BM$1005,1,MATCH(COLUMNS($AM$1006:AO1006),$AM$1006:$BM$1006,0))&gt;=100000), " ",IF(INDEX($AM$2:$BM$1001,MATCH(ROWS($AF$2:AF810),$AF$2:$AF$1001,0),MATCH(COLUMNS($AM$1006:AO1006),$AM$1006:$BM$1006,0)), HYPERLINK("#",""), HYPERLINK(CONCATENATE("#metadata!", ADDRESS(INDEX($AH$2:$AH$1001,MATCH(ROWS($AF$2:AF810),$AF$2:$AF$1001,0),0), INDEX($AM$1004:$BM$1004,1,MATCH(COLUMNS($AM$1006:AO1006),$AM$1006:$BM$1006,0)))),"Fix")))</f>
        <v xml:space="preserve"> </v>
      </c>
      <c r="E810" s="4" t="str">
        <f ca="1">IF(OR(INDEX($AG$2:$AG$1001,MATCH(ROWS($AF$2:AF810),$AF$2:$AF$1001,0),1)&gt;=100000,INDEX($AM$1005:$BM$1005,1,MATCH(COLUMNS($AM$1006:AP1006),$AM$1006:$BM$1006,0))&gt;=100000), " ",IF(INDEX($AM$2:$BM$1001,MATCH(ROWS($AF$2:AF810),$AF$2:$AF$1001,0),MATCH(COLUMNS($AM$1006:AP1006),$AM$1006:$BM$1006,0)), HYPERLINK("#",""), HYPERLINK(CONCATENATE("#metadata!", ADDRESS(INDEX($AH$2:$AH$1001,MATCH(ROWS($AF$2:AF810),$AF$2:$AF$1001,0),0), INDEX($AM$1004:$BM$1004,1,MATCH(COLUMNS($AM$1006:AP1006),$AM$1006:$BM$1006,0)))),"Fix")))</f>
        <v xml:space="preserve"> </v>
      </c>
      <c r="F810" s="4" t="str">
        <f ca="1">IF(OR(INDEX($AG$2:$AG$1001,MATCH(ROWS($AF$2:AF810),$AF$2:$AF$1001,0),1)&gt;=100000,INDEX($AM$1005:$BM$1005,1,MATCH(COLUMNS($AM$1006:AQ1006),$AM$1006:$BM$1006,0))&gt;=100000), " ",IF(INDEX($AM$2:$BM$1001,MATCH(ROWS($AF$2:AF810),$AF$2:$AF$1001,0),MATCH(COLUMNS($AM$1006:AQ1006),$AM$1006:$BM$1006,0)), HYPERLINK("#",""), HYPERLINK(CONCATENATE("#metadata!", ADDRESS(INDEX($AH$2:$AH$1001,MATCH(ROWS($AF$2:AF810),$AF$2:$AF$1001,0),0), INDEX($AM$1004:$BM$1004,1,MATCH(COLUMNS($AM$1006:AQ1006),$AM$1006:$BM$1006,0)))),"Fix")))</f>
        <v xml:space="preserve"> </v>
      </c>
      <c r="G810" s="4" t="str">
        <f ca="1">IF(OR(INDEX($AG$2:$AG$1001,MATCH(ROWS($AF$2:AF810),$AF$2:$AF$1001,0),1)&gt;=100000,INDEX($AM$1005:$BM$1005,1,MATCH(COLUMNS($AM$1006:AR1006),$AM$1006:$BM$1006,0))&gt;=100000), " ",IF(INDEX($AM$2:$BM$1001,MATCH(ROWS($AF$2:AF810),$AF$2:$AF$1001,0),MATCH(COLUMNS($AM$1006:AR1006),$AM$1006:$BM$1006,0)), HYPERLINK("#",""), HYPERLINK(CONCATENATE("#metadata!", ADDRESS(INDEX($AH$2:$AH$1001,MATCH(ROWS($AF$2:AF810),$AF$2:$AF$1001,0),0), INDEX($AM$1004:$BM$1004,1,MATCH(COLUMNS($AM$1006:AR1006),$AM$1006:$BM$1006,0)))),"Fix")))</f>
        <v xml:space="preserve"> </v>
      </c>
      <c r="H810" s="4" t="str">
        <f ca="1">IF(OR(INDEX($AG$2:$AG$1001,MATCH(ROWS($AF$2:AF810),$AF$2:$AF$1001,0),1)&gt;=100000,INDEX($AM$1005:$BM$1005,1,MATCH(COLUMNS($AM$1006:AS1006),$AM$1006:$BM$1006,0))&gt;=100000), " ",IF(INDEX($AM$2:$BM$1001,MATCH(ROWS($AF$2:AF810),$AF$2:$AF$1001,0),MATCH(COLUMNS($AM$1006:AS1006),$AM$1006:$BM$1006,0)), HYPERLINK("#",""), HYPERLINK(CONCATENATE("#metadata!", ADDRESS(INDEX($AH$2:$AH$1001,MATCH(ROWS($AF$2:AF810),$AF$2:$AF$1001,0),0), INDEX($AM$1004:$BM$1004,1,MATCH(COLUMNS($AM$1006:AS1006),$AM$1006:$BM$1006,0)))),"Fix")))</f>
        <v xml:space="preserve"> </v>
      </c>
      <c r="I810" s="4" t="str">
        <f ca="1">IF(OR(INDEX($AG$2:$AG$1001,MATCH(ROWS($AF$2:AF810),$AF$2:$AF$1001,0),1)&gt;=100000,INDEX($AM$1005:$BM$1005,1,MATCH(COLUMNS($AM$1006:AT1006),$AM$1006:$BM$1006,0))&gt;=100000), " ",IF(INDEX($AM$2:$BM$1001,MATCH(ROWS($AF$2:AF810),$AF$2:$AF$1001,0),MATCH(COLUMNS($AM$1006:AT1006),$AM$1006:$BM$1006,0)), HYPERLINK("#",""), HYPERLINK(CONCATENATE("#metadata!", ADDRESS(INDEX($AH$2:$AH$1001,MATCH(ROWS($AF$2:AF810),$AF$2:$AF$1001,0),0), INDEX($AM$1004:$BM$1004,1,MATCH(COLUMNS($AM$1006:AT1006),$AM$1006:$BM$1006,0)))),"Fix")))</f>
        <v xml:space="preserve"> </v>
      </c>
      <c r="J810" s="4" t="str">
        <f ca="1">IF(OR(INDEX($AG$2:$AG$1001,MATCH(ROWS($AF$2:AF810),$AF$2:$AF$1001,0),1)&gt;=100000,INDEX($AM$1005:$BM$1005,1,MATCH(COLUMNS($AM$1006:AU1006),$AM$1006:$BM$1006,0))&gt;=100000), " ",IF(INDEX($AM$2:$BM$1001,MATCH(ROWS($AF$2:AF810),$AF$2:$AF$1001,0),MATCH(COLUMNS($AM$1006:AU1006),$AM$1006:$BM$1006,0)), HYPERLINK("#",""), HYPERLINK(CONCATENATE("#metadata!", ADDRESS(INDEX($AH$2:$AH$1001,MATCH(ROWS($AF$2:AF810),$AF$2:$AF$1001,0),0), INDEX($AM$1004:$BM$1004,1,MATCH(COLUMNS($AM$1006:AU1006),$AM$1006:$BM$1006,0)))),"Fix")))</f>
        <v xml:space="preserve"> </v>
      </c>
      <c r="K810" s="4" t="str">
        <f ca="1">IF(OR(INDEX($AG$2:$AG$1001,MATCH(ROWS($AF$2:AF810),$AF$2:$AF$1001,0),1)&gt;=100000,INDEX($AM$1005:$BM$1005,1,MATCH(COLUMNS($AM$1006:AV1006),$AM$1006:$BM$1006,0))&gt;=100000), " ",IF(INDEX($AM$2:$BM$1001,MATCH(ROWS($AF$2:AF810),$AF$2:$AF$1001,0),MATCH(COLUMNS($AM$1006:AV1006),$AM$1006:$BM$1006,0)), HYPERLINK("#",""), HYPERLINK(CONCATENATE("#metadata!", ADDRESS(INDEX($AH$2:$AH$1001,MATCH(ROWS($AF$2:AF810),$AF$2:$AF$1001,0),0), INDEX($AM$1004:$BM$1004,1,MATCH(COLUMNS($AM$1006:AV1006),$AM$1006:$BM$1006,0)))),"Fix")))</f>
        <v xml:space="preserve"> </v>
      </c>
      <c r="L810" s="4" t="str">
        <f ca="1">IF(OR(INDEX($AG$2:$AG$1001,MATCH(ROWS($AF$2:AF810),$AF$2:$AF$1001,0),1)&gt;=100000,INDEX($AM$1005:$BM$1005,1,MATCH(COLUMNS($AM$1006:AW1006),$AM$1006:$BM$1006,0))&gt;=100000), " ",IF(INDEX($AM$2:$BM$1001,MATCH(ROWS($AF$2:AF810),$AF$2:$AF$1001,0),MATCH(COLUMNS($AM$1006:AW1006),$AM$1006:$BM$1006,0)), HYPERLINK("#",""), HYPERLINK(CONCATENATE("#metadata!", ADDRESS(INDEX($AH$2:$AH$1001,MATCH(ROWS($AF$2:AF810),$AF$2:$AF$1001,0),0), INDEX($AM$1004:$BM$1004,1,MATCH(COLUMNS($AM$1006:AW1006),$AM$1006:$BM$1006,0)))),"Fix")))</f>
        <v xml:space="preserve"> </v>
      </c>
      <c r="M810" s="4" t="str">
        <f ca="1">IF(OR(INDEX($AG$2:$AG$1001,MATCH(ROWS($AF$2:AF810),$AF$2:$AF$1001,0),1)&gt;=100000,INDEX($AM$1005:$BM$1005,1,MATCH(COLUMNS($AM$1006:AX1006),$AM$1006:$BM$1006,0))&gt;=100000), " ",IF(INDEX($AM$2:$BM$1001,MATCH(ROWS($AF$2:AF810),$AF$2:$AF$1001,0),MATCH(COLUMNS($AM$1006:AX1006),$AM$1006:$BM$1006,0)), HYPERLINK("#",""), HYPERLINK(CONCATENATE("#metadata!", ADDRESS(INDEX($AH$2:$AH$1001,MATCH(ROWS($AF$2:AF810),$AF$2:$AF$1001,0),0), INDEX($AM$1004:$BM$1004,1,MATCH(COLUMNS($AM$1006:AX1006),$AM$1006:$BM$1006,0)))),"Fix")))</f>
        <v xml:space="preserve"> </v>
      </c>
      <c r="N810" s="4" t="str">
        <f ca="1">IF(OR(INDEX($AG$2:$AG$1001,MATCH(ROWS($AF$2:AF810),$AF$2:$AF$1001,0),1)&gt;=100000,INDEX($AM$1005:$BM$1005,1,MATCH(COLUMNS($AM$1006:AY1006),$AM$1006:$BM$1006,0))&gt;=100000), " ",IF(INDEX($AM$2:$BM$1001,MATCH(ROWS($AF$2:AF810),$AF$2:$AF$1001,0),MATCH(COLUMNS($AM$1006:AY1006),$AM$1006:$BM$1006,0)), HYPERLINK("#",""), HYPERLINK(CONCATENATE("#metadata!", ADDRESS(INDEX($AH$2:$AH$1001,MATCH(ROWS($AF$2:AF810),$AF$2:$AF$1001,0),0), INDEX($AM$1004:$BM$1004,1,MATCH(COLUMNS($AM$1006:AY1006),$AM$1006:$BM$1006,0)))),"Fix")))</f>
        <v xml:space="preserve"> </v>
      </c>
      <c r="O810" s="4" t="str">
        <f ca="1">IF(OR(INDEX($AG$2:$AG$1001,MATCH(ROWS($AF$2:AF810),$AF$2:$AF$1001,0),1)&gt;=100000,INDEX($AM$1005:$BM$1005,1,MATCH(COLUMNS($AM$1006:AZ1006),$AM$1006:$BM$1006,0))&gt;=100000), " ",IF(INDEX($AM$2:$BM$1001,MATCH(ROWS($AF$2:AF810),$AF$2:$AF$1001,0),MATCH(COLUMNS($AM$1006:AZ1006),$AM$1006:$BM$1006,0)), HYPERLINK("#",""), HYPERLINK(CONCATENATE("#metadata!", ADDRESS(INDEX($AH$2:$AH$1001,MATCH(ROWS($AF$2:AF810),$AF$2:$AF$1001,0),0), INDEX($AM$1004:$BM$1004,1,MATCH(COLUMNS($AM$1006:AZ1006),$AM$1006:$BM$1006,0)))),"Fix")))</f>
        <v xml:space="preserve"> </v>
      </c>
      <c r="P810" s="4" t="str">
        <f ca="1">IF(OR(INDEX($AG$2:$AG$1001,MATCH(ROWS($AF$2:AF810),$AF$2:$AF$1001,0),1)&gt;=100000,INDEX($AM$1005:$BM$1005,1,MATCH(COLUMNS($AM$1006:BA1006),$AM$1006:$BM$1006,0))&gt;=100000), " ",IF(INDEX($AM$2:$BM$1001,MATCH(ROWS($AF$2:AF810),$AF$2:$AF$1001,0),MATCH(COLUMNS($AM$1006:BA1006),$AM$1006:$BM$1006,0)), HYPERLINK("#",""), HYPERLINK(CONCATENATE("#metadata!", ADDRESS(INDEX($AH$2:$AH$1001,MATCH(ROWS($AF$2:AF810),$AF$2:$AF$1001,0),0), INDEX($AM$1004:$BM$1004,1,MATCH(COLUMNS($AM$1006:BA1006),$AM$1006:$BM$1006,0)))),"Fix")))</f>
        <v xml:space="preserve"> </v>
      </c>
      <c r="Q810" s="4" t="str">
        <f ca="1">IF(OR(INDEX($AG$2:$AG$1001,MATCH(ROWS($AF$2:AF810),$AF$2:$AF$1001,0),1)&gt;=100000,INDEX($AM$1005:$BM$1005,1,MATCH(COLUMNS($AM$1006:BB1006),$AM$1006:$BM$1006,0))&gt;=100000), " ",IF(INDEX($AM$2:$BM$1001,MATCH(ROWS($AF$2:AF810),$AF$2:$AF$1001,0),MATCH(COLUMNS($AM$1006:BB1006),$AM$1006:$BM$1006,0)), HYPERLINK("#",""), HYPERLINK(CONCATENATE("#metadata!", ADDRESS(INDEX($AH$2:$AH$1001,MATCH(ROWS($AF$2:AF810),$AF$2:$AF$1001,0),0), INDEX($AM$1004:$BM$1004,1,MATCH(COLUMNS($AM$1006:BB1006),$AM$1006:$BM$1006,0)))),"Fix")))</f>
        <v xml:space="preserve"> </v>
      </c>
      <c r="R810" s="4" t="str">
        <f ca="1">IF(OR(INDEX($AG$2:$AG$1001,MATCH(ROWS($AF$2:AF810),$AF$2:$AF$1001,0),1)&gt;=100000,INDEX($AM$1005:$BM$1005,1,MATCH(COLUMNS($AM$1006:BC1006),$AM$1006:$BM$1006,0))&gt;=100000), " ",IF(INDEX($AM$2:$BM$1001,MATCH(ROWS($AF$2:AF810),$AF$2:$AF$1001,0),MATCH(COLUMNS($AM$1006:BC1006),$AM$1006:$BM$1006,0)), HYPERLINK("#",""), HYPERLINK(CONCATENATE("#metadata!", ADDRESS(INDEX($AH$2:$AH$1001,MATCH(ROWS($AF$2:AF810),$AF$2:$AF$1001,0),0), INDEX($AM$1004:$BM$1004,1,MATCH(COLUMNS($AM$1006:BC1006),$AM$1006:$BM$1006,0)))),"Fix")))</f>
        <v xml:space="preserve"> </v>
      </c>
      <c r="S810" s="4" t="str">
        <f ca="1">IF(OR(INDEX($AG$2:$AG$1001,MATCH(ROWS($AF$2:AF810),$AF$2:$AF$1001,0),1)&gt;=100000,INDEX($AM$1005:$BM$1005,1,MATCH(COLUMNS($AM$1006:BD1006),$AM$1006:$BM$1006,0))&gt;=100000), " ",IF(INDEX($AM$2:$BM$1001,MATCH(ROWS($AF$2:AF810),$AF$2:$AF$1001,0),MATCH(COLUMNS($AM$1006:BD1006),$AM$1006:$BM$1006,0)), HYPERLINK("#",""), HYPERLINK(CONCATENATE("#metadata!", ADDRESS(INDEX($AH$2:$AH$1001,MATCH(ROWS($AF$2:AF810),$AF$2:$AF$1001,0),0), INDEX($AM$1004:$BM$1004,1,MATCH(COLUMNS($AM$1006:BD1006),$AM$1006:$BM$1006,0)))),"Fix")))</f>
        <v xml:space="preserve"> </v>
      </c>
      <c r="T810" s="4" t="str">
        <f ca="1">IF(OR(INDEX($AG$2:$AG$1001,MATCH(ROWS($AF$2:AF810),$AF$2:$AF$1001,0),1)&gt;=100000,INDEX($AM$1005:$BM$1005,1,MATCH(COLUMNS($AM$1006:BE1006),$AM$1006:$BM$1006,0))&gt;=100000), " ",IF(INDEX($AM$2:$BM$1001,MATCH(ROWS($AF$2:AF810),$AF$2:$AF$1001,0),MATCH(COLUMNS($AM$1006:BE1006),$AM$1006:$BM$1006,0)), HYPERLINK("#",""), HYPERLINK(CONCATENATE("#metadata!", ADDRESS(INDEX($AH$2:$AH$1001,MATCH(ROWS($AF$2:AF810),$AF$2:$AF$1001,0),0), INDEX($AM$1004:$BM$1004,1,MATCH(COLUMNS($AM$1006:BE1006),$AM$1006:$BM$1006,0)))),"Fix")))</f>
        <v xml:space="preserve"> </v>
      </c>
      <c r="U810" s="4" t="str">
        <f ca="1">IF(OR(INDEX($AG$2:$AG$1001,MATCH(ROWS($AF$2:AF810),$AF$2:$AF$1001,0),1)&gt;=100000,INDEX($AM$1005:$BM$1005,1,MATCH(COLUMNS($AM$1006:BF1006),$AM$1006:$BM$1006,0))&gt;=100000), " ",IF(INDEX($AM$2:$BM$1001,MATCH(ROWS($AF$2:AF810),$AF$2:$AF$1001,0),MATCH(COLUMNS($AM$1006:BF1006),$AM$1006:$BM$1006,0)), HYPERLINK("#",""), HYPERLINK(CONCATENATE("#metadata!", ADDRESS(INDEX($AH$2:$AH$1001,MATCH(ROWS($AF$2:AF810),$AF$2:$AF$1001,0),0), INDEX($AM$1004:$BM$1004,1,MATCH(COLUMNS($AM$1006:BF1006),$AM$1006:$BM$1006,0)))),"Fix")))</f>
        <v xml:space="preserve"> </v>
      </c>
      <c r="V810" s="4" t="str">
        <f ca="1">IF(OR(INDEX($AG$2:$AG$1001,MATCH(ROWS($AF$2:AF810),$AF$2:$AF$1001,0),1)&gt;=100000,INDEX($AM$1005:$BM$1005,1,MATCH(COLUMNS($AM$1006:BG1006),$AM$1006:$BM$1006,0))&gt;=100000), " ",IF(INDEX($AM$2:$BM$1001,MATCH(ROWS($AF$2:AF810),$AF$2:$AF$1001,0),MATCH(COLUMNS($AM$1006:BG1006),$AM$1006:$BM$1006,0)), HYPERLINK("#",""), HYPERLINK(CONCATENATE("#metadata!", ADDRESS(INDEX($AH$2:$AH$1001,MATCH(ROWS($AF$2:AF810),$AF$2:$AF$1001,0),0), INDEX($AM$1004:$BM$1004,1,MATCH(COLUMNS($AM$1006:BG1006),$AM$1006:$BM$1006,0)))),"Fix")))</f>
        <v xml:space="preserve"> </v>
      </c>
      <c r="W810" s="4" t="str">
        <f ca="1">IF(OR(INDEX($AG$2:$AG$1001,MATCH(ROWS($AF$2:AF810),$AF$2:$AF$1001,0),1)&gt;=100000,INDEX($AM$1005:$BM$1005,1,MATCH(COLUMNS($AM$1006:BH1006),$AM$1006:$BM$1006,0))&gt;=100000), " ",IF(INDEX($AM$2:$BM$1001,MATCH(ROWS($AF$2:AF810),$AF$2:$AF$1001,0),MATCH(COLUMNS($AM$1006:BH1006),$AM$1006:$BM$1006,0)), HYPERLINK("#",""), HYPERLINK(CONCATENATE("#metadata!", ADDRESS(INDEX($AH$2:$AH$1001,MATCH(ROWS($AF$2:AF810),$AF$2:$AF$1001,0),0), INDEX($AM$1004:$BM$1004,1,MATCH(COLUMNS($AM$1006:BH1006),$AM$1006:$BM$1006,0)))),"Fix")))</f>
        <v xml:space="preserve"> </v>
      </c>
      <c r="X810" s="4" t="str">
        <f ca="1">IF(OR(INDEX($AG$2:$AG$1001,MATCH(ROWS($AF$2:AF810),$AF$2:$AF$1001,0),1)&gt;=100000,INDEX($AM$1005:$BM$1005,1,MATCH(COLUMNS($AM$1006:BI1006),$AM$1006:$BM$1006,0))&gt;=100000), " ",IF(INDEX($AM$2:$BM$1001,MATCH(ROWS($AF$2:AF810),$AF$2:$AF$1001,0),MATCH(COLUMNS($AM$1006:BI1006),$AM$1006:$BM$1006,0)), HYPERLINK("#",""), HYPERLINK(CONCATENATE("#metadata!", ADDRESS(INDEX($AH$2:$AH$1001,MATCH(ROWS($AF$2:AF810),$AF$2:$AF$1001,0),0), INDEX($AM$1004:$BM$1004,1,MATCH(COLUMNS($AM$1006:BI1006),$AM$1006:$BM$1006,0)))),"Fix")))</f>
        <v xml:space="preserve"> </v>
      </c>
      <c r="Y810" s="4" t="str">
        <f ca="1">IF(OR(INDEX($AG$2:$AG$1001,MATCH(ROWS($AF$2:AF810),$AF$2:$AF$1001,0),1)&gt;=100000,INDEX($AM$1005:$BM$1005,1,MATCH(COLUMNS($AM$1006:BJ1006),$AM$1006:$BM$1006,0))&gt;=100000), " ",IF(INDEX($AM$2:$BM$1001,MATCH(ROWS($AF$2:AF810),$AF$2:$AF$1001,0),MATCH(COLUMNS($AM$1006:BJ1006),$AM$1006:$BM$1006,0)), HYPERLINK("#",""), HYPERLINK(CONCATENATE("#metadata!", ADDRESS(INDEX($AH$2:$AH$1001,MATCH(ROWS($AF$2:AF810),$AF$2:$AF$1001,0),0), INDEX($AM$1004:$BM$1004,1,MATCH(COLUMNS($AM$1006:BJ1006),$AM$1006:$BM$1006,0)))),"Fix")))</f>
        <v xml:space="preserve"> </v>
      </c>
      <c r="Z810" s="4" t="str">
        <f ca="1">IF(OR(INDEX($AG$2:$AG$1001,MATCH(ROWS($AF$2:AF810),$AF$2:$AF$1001,0),1)&gt;=100000,INDEX($AM$1005:$BM$1005,1,MATCH(COLUMNS($AM$1006:BK1006),$AM$1006:$BM$1006,0))&gt;=100000), " ",IF(INDEX($AM$2:$BM$1001,MATCH(ROWS($AF$2:AF810),$AF$2:$AF$1001,0),MATCH(COLUMNS($AM$1006:BK1006),$AM$1006:$BM$1006,0)), HYPERLINK("#",""), HYPERLINK(CONCATENATE("#metadata!", ADDRESS(INDEX($AH$2:$AH$1001,MATCH(ROWS($AF$2:AF810),$AF$2:$AF$1001,0),0), INDEX($AM$1004:$BM$1004,1,MATCH(COLUMNS($AM$1006:BK1006),$AM$1006:$BM$1006,0)))),"Fix")))</f>
        <v xml:space="preserve"> </v>
      </c>
      <c r="AA810" s="4" t="str">
        <f ca="1">IF(OR(INDEX($AG$2:$AG$1001,MATCH(ROWS($AF$2:AF810),$AF$2:$AF$1001,0),1)&gt;=100000,INDEX($AM$1005:$BM$1005,1,MATCH(COLUMNS($AM$1006:BL1006),$AM$1006:$BM$1006,0))&gt;=100000), " ",IF(INDEX($AM$2:$BM$1001,MATCH(ROWS($AF$2:AF810),$AF$2:$AF$1001,0),MATCH(COLUMNS($AM$1006:BL1006),$AM$1006:$BM$1006,0)), HYPERLINK("#",""), HYPERLINK(CONCATENATE("#metadata!", ADDRESS(INDEX($AH$2:$AH$1001,MATCH(ROWS($AF$2:AF810),$AF$2:$AF$1001,0),0), INDEX($AM$1004:$BM$1004,1,MATCH(COLUMNS($AM$1006:BL1006),$AM$1006:$BM$1006,0)))),"Fix")))</f>
        <v xml:space="preserve"> </v>
      </c>
      <c r="AB810" s="4" t="str">
        <f ca="1">IF(OR(INDEX($AG$2:$AG$1001,MATCH(ROWS($AF$2:AF810),$AF$2:$AF$1001,0),1)&gt;=100000,INDEX($AM$1005:$BM$1005,1,MATCH(COLUMNS($AM$1006:BM1006),$AM$1006:$BM$1006,0))&gt;=100000), " ",IF(INDEX($AM$2:$BM$1001,MATCH(ROWS($AF$2:AF810),$AF$2:$AF$1001,0),MATCH(COLUMNS($AM$1006:BM1006),$AM$1006:$BM$1006,0)), HYPERLINK("#",""), HYPERLINK(CONCATENATE("#metadata!", ADDRESS(INDEX($AH$2:$AH$1001,MATCH(ROWS($AF$2:AF810),$AF$2:$AF$1001,0),0), INDEX($AM$1004:$BM$1004,1,MATCH(COLUMNS($AM$1006:BM1006),$AM$1006:$BM$1006,0)))),"Fix")))</f>
        <v xml:space="preserve"> </v>
      </c>
      <c r="AF810">
        <v>809</v>
      </c>
      <c r="AG810">
        <v>100810</v>
      </c>
      <c r="AH810">
        <v>810</v>
      </c>
      <c r="AI810" t="b">
        <f t="shared" si="12"/>
        <v>1</v>
      </c>
      <c r="AJ810" t="b">
        <f>COUNTBLANK(metadata!B810:AB810)=COLUMNS(metadata!B810:AB810)</f>
        <v>1</v>
      </c>
      <c r="AK810" t="str">
        <v/>
      </c>
      <c r="AM810" t="b">
        <f ca="1">AND(IF(metadata!B810="",FALSE,TRUE),COUNTIF(metadata!B:B, metadata!B810) = 1,NOT(ISERROR(SUMPRODUCT(SEARCH(MID(metadata!B810,ROW(INDIRECT("1:"&amp;LEN(metadata!B810))), 1),"0123456789abcdefghijklmnopqrstuvwxyzABCDEFGHIJKLMNOPQRSTUVWXYZ.")))))</f>
        <v>0</v>
      </c>
      <c r="AN810" t="b">
        <f ca="1">OR(AND(IF(metadata!C810="",FALSE,TRUE),OR(EXACT(metadata!C810,"missing: not collected"),EXACT(metadata!C810,"missing: not provided"),EXACT(metadata!C810,"missing: restricted access"))),AND(IF(metadata!C810="",FALSE,TRUE),AND(AND(IFERROR(INT(LEFT(metadata!C810,4))&gt;1900,FALSE),IFERROR(INT(LEFT(metadata!C810,4))&lt;=YEAR(NOW()),FALSE)), OR(MID(metadata!C810,5,1)="", AND(AND(MID(metadata!C810,5,1)="-",IFERROR(INT(MID(metadata!C810,6,1))&gt;=0,FALSE),IFERROR(INT(MID(metadata!C810,6,1))&lt;=1,FALSE),NOT(MID(metadata!C810,7,1)=""),IFERROR(INT(MID(metadata!C810,6,2))&gt;=1,FALSE),IFERROR(INT(MID(metadata!C810,6,2))&lt;=12,FALSE)), OR(MID(metadata!C810,8,1)="", AND(AND(MID(metadata!C810,8,1)="-",IFERROR(INT(MID(metadata!C810,9,1))&gt;=0,FALSE),IFERROR(INT(MID(metadata!C810,9,1))&lt;=3,FALSE),NOT(MID(metadata!C810,10,1)=""),IFERROR(INT(MID(metadata!C810,9,2))&gt;=1,FALSE),IFERROR(INT(MID(metadata!C810,9,2))&lt;=31,FALSE)), OR(MID(metadata!C810,11,1)="", AND(AND(MID(metadata!C810,11,1)=" ",IFERROR(INT(MID(metadata!C810,12,1))&gt;=0,FALSE),IFERROR(INT(MID(metadata!C810,12,1))&lt;=2,FALSE),NOT(MID(metadata!C810,13,1)=""),IFERROR(INT(MID(metadata!C810,12,2))&gt;=0,FALSE),IFERROR(INT(MID(metadata!C810,12,2))&lt;=23,FALSE)), OR(MID(metadata!C810,14,1)="", AND(AND(MID(metadata!C810,14,1)=":",IFERROR(INT(MID(metadata!C810,15,1))&gt;=0,FALSE),IFERROR(INT(MID(metadata!C810,15,1))&lt;=5,FALSE),NOT(MID(metadata!C810,16,1)=""),IFERROR(INT(MID(metadata!C810,15,2))&gt;=0,FALSE),IFERROR(INT(MID(metadata!C810,15,2))&lt;=59,FALSE)), OR(MID(metadata!C810,17,1)="", AND(AND(MID(metadata!C810,17,1)=":",IFERROR(INT(MID(metadata!C810,18,1))&gt;=0,FALSE),IFERROR(INT(MID(metadata!C810,18,1))&lt;=5,FALSE),NOT(MID(metadata!C810,19,1)=""),IFERROR(INT(MID(metadata!C810,18,2))&gt;=0,FALSE),IFERROR(INT(MID(metadata!C810,18,2))&lt;=59,FALSE)), LEN(metadata!C810)&lt;=19)))))))))))))</f>
        <v>0</v>
      </c>
      <c r="AO810" t="b">
        <f>AND(IF(metadata!D810="",FALSE,TRUE),EXACT(metadata!D810,"Not applicable"))</f>
        <v>0</v>
      </c>
      <c r="AP810" t="b">
        <f>IF(metadata!E810="",FALSE,TRUE)</f>
        <v>0</v>
      </c>
      <c r="AQ810" t="b">
        <f>OR(AND(IF(metadata!F810="",FALSE,TRUE),OR(EXACT(metadata!F810,"missing: not collected"),EXACT(metadata!F810,"missing: not provided"))),AND(IF(metadata!F810="",FALSE,TRUE),OR(EXACT(metadata!F810,"TRUE"),EXACT(metadata!F810,"FALSE"))))</f>
        <v>0</v>
      </c>
      <c r="AR810" t="b">
        <f>OR(AND(IF(metadata!G810="",FALSE,TRUE),OR(EXACT(metadata!G810,"missing: not collected"),EXACT(metadata!G810,"missing: not provided"),EXACT(metadata!G810,"missing: restricted access"))),AND(IF(metadata!G810="",FALSE,ISNUMBER(VALUE(metadata!G810))),metadata!G810&gt;=-413))</f>
        <v>0</v>
      </c>
      <c r="AS810" t="b">
        <f>AND(IF(metadata!H810="",FALSE,TRUE),EXACT(metadata!H810,"meters"))</f>
        <v>0</v>
      </c>
      <c r="AT810" t="b">
        <f>AND(IF(metadata!I810="",FALSE,TRUE),OR(EXACT(metadata!I810,"Host-associated"),EXACT(metadata!I810,"Free-living")))</f>
        <v>0</v>
      </c>
      <c r="AU810" t="b">
        <f>AND(IF(metadata!J810="",FALSE,TRUE),OR(EXACT(metadata!J810,"Animal"),EXACT(metadata!J810,"Fungus"),EXACT(metadata!J810,"Plant"),EXACT(metadata!J810,"Saline"),EXACT(metadata!J810,"Non-saline")))</f>
        <v>0</v>
      </c>
      <c r="AV810" t="b">
        <f>AND(IF(metadata!K810="",FALSE,TRUE),OR(EXACT(metadata!K810,"Plant secretion"),EXACT(metadata!K810,"Plant rhizosphere"),EXACT(metadata!K810,"Plant surface"),EXACT(metadata!K810,"Plant corpus"),EXACT(metadata!K810,"Fungus surface"),EXACT(metadata!K810,"Fungus corpus"),EXACT(metadata!K810,"Animal surface"),EXACT(metadata!K810,"Animal proximal gut"),EXACT(metadata!K810,"Animal corpus"),EXACT(metadata!K810,"Animal distal gut"),EXACT(metadata!K810,"Animal secretion"),EXACT(metadata!K810,"Sub-surface (non-saline)"),EXACT(metadata!K810,"Surface (non-saline)"),EXACT(metadata!K810,"Water (non-saline)"),EXACT(metadata!K810,"Soil (non-saline)"),EXACT(metadata!K810,"Aerosol (non-saline)"),EXACT(metadata!K810,"Sediment (non-saline)"),EXACT(metadata!K810,"Surface (saline)"),EXACT(metadata!K810,"Water (saline)"),EXACT(metadata!K810,"Hypersaline (saline)"),EXACT(metadata!K810,"Aerosol (saline)"),EXACT(metadata!K810,"Sediment (saline)")))</f>
        <v>0</v>
      </c>
      <c r="AW810" t="b">
        <f>IF(metadata!L810="",FALSE,TRUE)</f>
        <v>0</v>
      </c>
      <c r="AX810" t="b">
        <f>IF(metadata!M810="",FALSE,TRUE)</f>
        <v>0</v>
      </c>
      <c r="AY810" t="b">
        <f>IF(metadata!N810="",FALSE,TRUE)</f>
        <v>0</v>
      </c>
      <c r="AZ810" t="b">
        <f>OR(AND(IF(metadata!O810="",FALSE,TRUE),OR(EXACT(metadata!O810,"missing: not collected"),EXACT(metadata!O810,"missing: not provided"),EXACT(metadata!O810,"missing: restricted access"))),AND(IF(metadata!O810="",FALSE,TRUE),OR(EXACT(metadata!O810,"air"),EXACT(metadata!O810,"built environment"),EXACT(metadata!O810,"host-associated"),EXACT(metadata!O810,"human-associated"),EXACT(metadata!O810,"human-skin"),EXACT(metadata!O810,"human-oral"),EXACT(metadata!O810,"human-gut"),EXACT(metadata!O810,"human-vaginal"),EXACT(metadata!O810,"microbial mat/biofilm"),EXACT(metadata!O810,"misc environment"),EXACT(metadata!O810,"plant-associated"),EXACT(metadata!O810,"sediment"),EXACT(metadata!O810,"soil"),EXACT(metadata!O810,"wastewater/sludge"),EXACT(metadata!O810,"water"))))</f>
        <v>0</v>
      </c>
      <c r="BA810" t="b">
        <f>IF(metadata!P810="",FALSE,TRUE)</f>
        <v>0</v>
      </c>
      <c r="BB810" t="b">
        <f>IF(metadata!Q810="",FALSE,TRUE)</f>
        <v>0</v>
      </c>
      <c r="BC810" t="b">
        <f>OR(AND(IF(metadata!R810="",FALSE,TRUE),OR(EXACT(metadata!R810,"missing: not collected"),EXACT(metadata!R810,"missing: not provided"),EXACT(metadata!R810,"missing: restricted access"))),AND(IF(metadata!R810="",FALSE,ISNUMBER(VALUE(metadata!R810))),metadata!R810&gt;=-90,metadata!R810&lt;=90))</f>
        <v>0</v>
      </c>
      <c r="BD810" t="b">
        <f>AND(IF(metadata!S810="",FALSE,TRUE),EXACT(metadata!S810,"Decimal degrees"))</f>
        <v>0</v>
      </c>
      <c r="BE810" t="b">
        <f>OR(AND(IF(metadata!T810="",FALSE,TRUE),OR(EXACT(metadata!T810,"missing: not collected"),EXACT(metadata!T810,"missing: not provided"),EXACT(metadata!T810,"missing: restricted access"))),AND(IF(metadata!T810="",FALSE,ISNUMBER(VALUE(metadata!T810))),metadata!T810&gt;=-180,metadata!T810&lt;=180))</f>
        <v>0</v>
      </c>
      <c r="BF810" t="b">
        <f>AND(IF(metadata!U810="",FALSE,TRUE),EXACT(metadata!U810,"Decimal degrees"))</f>
        <v>0</v>
      </c>
      <c r="BG810" t="b">
        <f>IF(metadata!V810="",FALSE,TRUE)</f>
        <v>0</v>
      </c>
      <c r="BH810" t="b">
        <f>OR(AND(IF(metadata!W810="",FALSE,TRUE),OR(EXACT(metadata!W810,"missing: not collected"),EXACT(metadata!W810,"missing: not provided"),EXACT(metadata!W810,"missing: restricted access"))),AND(IF(metadata!W810="",FALSE,TRUE),OR(EXACT(metadata!W810,"TRUE"),EXACT(metadata!W810,"FALSE"))))</f>
        <v>0</v>
      </c>
      <c r="BI810" t="b">
        <f>AND(IF(metadata!X810="",FALSE,TRUE),EXACT(metadata!X810,"other"))</f>
        <v>0</v>
      </c>
      <c r="BJ810" t="b">
        <f>IF(metadata!Y810="",FALSE,TRUE)</f>
        <v>0</v>
      </c>
      <c r="BK810" t="b">
        <f>OR(AND(IF(metadata!Z810="",FALSE,TRUE),OR(EXACT(metadata!Z810,"missing: not collected"),EXACT(metadata!Z810,"missing: not provided"))),AND(IF(metadata!Z810="",FALSE,IF(ISERROR(INT(metadata!Z810)),FALSE,INT(metadata!Z810)=metadata!Z810)),metadata!Z810&gt;0))</f>
        <v>0</v>
      </c>
      <c r="BL810" t="b">
        <f>AND(IF(metadata!AA810="",FALSE,TRUE),EXACT(metadata!AA810,"Not applicable"))</f>
        <v>0</v>
      </c>
      <c r="BM810" t="b">
        <f>IF(metadata!AB810="",FALSE,TRUE)</f>
        <v>0</v>
      </c>
    </row>
    <row r="811" spans="1:65" x14ac:dyDescent="0.2">
      <c r="A811" s="5" t="str">
        <f ca="1">IF(B811=" "," ",HYPERLINK(CONCATENATE("#metadata!",ADDRESS(INDEX($AH$2:$AH$1001,MATCH(ROWS($AF$2:AF811),$AF$2:$AF$1001,0),0),1)),INDEX($AK$2:$AK$1001,MATCH(ROWS($AF$2:AF811),$AF$2:$AF$1001,0),0)))</f>
        <v xml:space="preserve"> </v>
      </c>
      <c r="B811" s="4" t="str">
        <f ca="1">IF(OR(INDEX($AG$2:$AG$1001,MATCH(ROWS($AF$2:AF811),$AF$2:$AF$1001,0),1)&gt;=100000,INDEX($AM$1005:$BM$1005,1,MATCH(COLUMNS($AM$1006:AM1006),$AM$1006:$BM$1006,0))&gt;=100000), " ",IF(INDEX($AM$2:$BM$1001,MATCH(ROWS($AF$2:AF811),$AF$2:$AF$1001,0),MATCH(COLUMNS($AM$1006:AM1006),$AM$1006:$BM$1006,0)), HYPERLINK("#",""), HYPERLINK(CONCATENATE("#metadata!", ADDRESS(INDEX($AH$2:$AH$1001,MATCH(ROWS($AF$2:AF811),$AF$2:$AF$1001,0),0), INDEX($AM$1004:$BM$1004,1,MATCH(COLUMNS($AM$1006:AM1006),$AM$1006:$BM$1006,0)))),"Fix")))</f>
        <v xml:space="preserve"> </v>
      </c>
      <c r="C811" s="4" t="str">
        <f ca="1">IF(OR(INDEX($AG$2:$AG$1001,MATCH(ROWS($AF$2:AF811),$AF$2:$AF$1001,0),1)&gt;=100000,INDEX($AM$1005:$BM$1005,1,MATCH(COLUMNS($AM$1006:AN1006),$AM$1006:$BM$1006,0))&gt;=100000), " ",IF(INDEX($AM$2:$BM$1001,MATCH(ROWS($AF$2:AF811),$AF$2:$AF$1001,0),MATCH(COLUMNS($AM$1006:AN1006),$AM$1006:$BM$1006,0)), HYPERLINK("#",""), HYPERLINK(CONCATENATE("#metadata!", ADDRESS(INDEX($AH$2:$AH$1001,MATCH(ROWS($AF$2:AF811),$AF$2:$AF$1001,0),0), INDEX($AM$1004:$BM$1004,1,MATCH(COLUMNS($AM$1006:AN1006),$AM$1006:$BM$1006,0)))),"Fix")))</f>
        <v xml:space="preserve"> </v>
      </c>
      <c r="D811" s="4" t="str">
        <f ca="1">IF(OR(INDEX($AG$2:$AG$1001,MATCH(ROWS($AF$2:AF811),$AF$2:$AF$1001,0),1)&gt;=100000,INDEX($AM$1005:$BM$1005,1,MATCH(COLUMNS($AM$1006:AO1006),$AM$1006:$BM$1006,0))&gt;=100000), " ",IF(INDEX($AM$2:$BM$1001,MATCH(ROWS($AF$2:AF811),$AF$2:$AF$1001,0),MATCH(COLUMNS($AM$1006:AO1006),$AM$1006:$BM$1006,0)), HYPERLINK("#",""), HYPERLINK(CONCATENATE("#metadata!", ADDRESS(INDEX($AH$2:$AH$1001,MATCH(ROWS($AF$2:AF811),$AF$2:$AF$1001,0),0), INDEX($AM$1004:$BM$1004,1,MATCH(COLUMNS($AM$1006:AO1006),$AM$1006:$BM$1006,0)))),"Fix")))</f>
        <v xml:space="preserve"> </v>
      </c>
      <c r="E811" s="4" t="str">
        <f ca="1">IF(OR(INDEX($AG$2:$AG$1001,MATCH(ROWS($AF$2:AF811),$AF$2:$AF$1001,0),1)&gt;=100000,INDEX($AM$1005:$BM$1005,1,MATCH(COLUMNS($AM$1006:AP1006),$AM$1006:$BM$1006,0))&gt;=100000), " ",IF(INDEX($AM$2:$BM$1001,MATCH(ROWS($AF$2:AF811),$AF$2:$AF$1001,0),MATCH(COLUMNS($AM$1006:AP1006),$AM$1006:$BM$1006,0)), HYPERLINK("#",""), HYPERLINK(CONCATENATE("#metadata!", ADDRESS(INDEX($AH$2:$AH$1001,MATCH(ROWS($AF$2:AF811),$AF$2:$AF$1001,0),0), INDEX($AM$1004:$BM$1004,1,MATCH(COLUMNS($AM$1006:AP1006),$AM$1006:$BM$1006,0)))),"Fix")))</f>
        <v xml:space="preserve"> </v>
      </c>
      <c r="F811" s="4" t="str">
        <f ca="1">IF(OR(INDEX($AG$2:$AG$1001,MATCH(ROWS($AF$2:AF811),$AF$2:$AF$1001,0),1)&gt;=100000,INDEX($AM$1005:$BM$1005,1,MATCH(COLUMNS($AM$1006:AQ1006),$AM$1006:$BM$1006,0))&gt;=100000), " ",IF(INDEX($AM$2:$BM$1001,MATCH(ROWS($AF$2:AF811),$AF$2:$AF$1001,0),MATCH(COLUMNS($AM$1006:AQ1006),$AM$1006:$BM$1006,0)), HYPERLINK("#",""), HYPERLINK(CONCATENATE("#metadata!", ADDRESS(INDEX($AH$2:$AH$1001,MATCH(ROWS($AF$2:AF811),$AF$2:$AF$1001,0),0), INDEX($AM$1004:$BM$1004,1,MATCH(COLUMNS($AM$1006:AQ1006),$AM$1006:$BM$1006,0)))),"Fix")))</f>
        <v xml:space="preserve"> </v>
      </c>
      <c r="G811" s="4" t="str">
        <f ca="1">IF(OR(INDEX($AG$2:$AG$1001,MATCH(ROWS($AF$2:AF811),$AF$2:$AF$1001,0),1)&gt;=100000,INDEX($AM$1005:$BM$1005,1,MATCH(COLUMNS($AM$1006:AR1006),$AM$1006:$BM$1006,0))&gt;=100000), " ",IF(INDEX($AM$2:$BM$1001,MATCH(ROWS($AF$2:AF811),$AF$2:$AF$1001,0),MATCH(COLUMNS($AM$1006:AR1006),$AM$1006:$BM$1006,0)), HYPERLINK("#",""), HYPERLINK(CONCATENATE("#metadata!", ADDRESS(INDEX($AH$2:$AH$1001,MATCH(ROWS($AF$2:AF811),$AF$2:$AF$1001,0),0), INDEX($AM$1004:$BM$1004,1,MATCH(COLUMNS($AM$1006:AR1006),$AM$1006:$BM$1006,0)))),"Fix")))</f>
        <v xml:space="preserve"> </v>
      </c>
      <c r="H811" s="4" t="str">
        <f ca="1">IF(OR(INDEX($AG$2:$AG$1001,MATCH(ROWS($AF$2:AF811),$AF$2:$AF$1001,0),1)&gt;=100000,INDEX($AM$1005:$BM$1005,1,MATCH(COLUMNS($AM$1006:AS1006),$AM$1006:$BM$1006,0))&gt;=100000), " ",IF(INDEX($AM$2:$BM$1001,MATCH(ROWS($AF$2:AF811),$AF$2:$AF$1001,0),MATCH(COLUMNS($AM$1006:AS1006),$AM$1006:$BM$1006,0)), HYPERLINK("#",""), HYPERLINK(CONCATENATE("#metadata!", ADDRESS(INDEX($AH$2:$AH$1001,MATCH(ROWS($AF$2:AF811),$AF$2:$AF$1001,0),0), INDEX($AM$1004:$BM$1004,1,MATCH(COLUMNS($AM$1006:AS1006),$AM$1006:$BM$1006,0)))),"Fix")))</f>
        <v xml:space="preserve"> </v>
      </c>
      <c r="I811" s="4" t="str">
        <f ca="1">IF(OR(INDEX($AG$2:$AG$1001,MATCH(ROWS($AF$2:AF811),$AF$2:$AF$1001,0),1)&gt;=100000,INDEX($AM$1005:$BM$1005,1,MATCH(COLUMNS($AM$1006:AT1006),$AM$1006:$BM$1006,0))&gt;=100000), " ",IF(INDEX($AM$2:$BM$1001,MATCH(ROWS($AF$2:AF811),$AF$2:$AF$1001,0),MATCH(COLUMNS($AM$1006:AT1006),$AM$1006:$BM$1006,0)), HYPERLINK("#",""), HYPERLINK(CONCATENATE("#metadata!", ADDRESS(INDEX($AH$2:$AH$1001,MATCH(ROWS($AF$2:AF811),$AF$2:$AF$1001,0),0), INDEX($AM$1004:$BM$1004,1,MATCH(COLUMNS($AM$1006:AT1006),$AM$1006:$BM$1006,0)))),"Fix")))</f>
        <v xml:space="preserve"> </v>
      </c>
      <c r="J811" s="4" t="str">
        <f ca="1">IF(OR(INDEX($AG$2:$AG$1001,MATCH(ROWS($AF$2:AF811),$AF$2:$AF$1001,0),1)&gt;=100000,INDEX($AM$1005:$BM$1005,1,MATCH(COLUMNS($AM$1006:AU1006),$AM$1006:$BM$1006,0))&gt;=100000), " ",IF(INDEX($AM$2:$BM$1001,MATCH(ROWS($AF$2:AF811),$AF$2:$AF$1001,0),MATCH(COLUMNS($AM$1006:AU1006),$AM$1006:$BM$1006,0)), HYPERLINK("#",""), HYPERLINK(CONCATENATE("#metadata!", ADDRESS(INDEX($AH$2:$AH$1001,MATCH(ROWS($AF$2:AF811),$AF$2:$AF$1001,0),0), INDEX($AM$1004:$BM$1004,1,MATCH(COLUMNS($AM$1006:AU1006),$AM$1006:$BM$1006,0)))),"Fix")))</f>
        <v xml:space="preserve"> </v>
      </c>
      <c r="K811" s="4" t="str">
        <f ca="1">IF(OR(INDEX($AG$2:$AG$1001,MATCH(ROWS($AF$2:AF811),$AF$2:$AF$1001,0),1)&gt;=100000,INDEX($AM$1005:$BM$1005,1,MATCH(COLUMNS($AM$1006:AV1006),$AM$1006:$BM$1006,0))&gt;=100000), " ",IF(INDEX($AM$2:$BM$1001,MATCH(ROWS($AF$2:AF811),$AF$2:$AF$1001,0),MATCH(COLUMNS($AM$1006:AV1006),$AM$1006:$BM$1006,0)), HYPERLINK("#",""), HYPERLINK(CONCATENATE("#metadata!", ADDRESS(INDEX($AH$2:$AH$1001,MATCH(ROWS($AF$2:AF811),$AF$2:$AF$1001,0),0), INDEX($AM$1004:$BM$1004,1,MATCH(COLUMNS($AM$1006:AV1006),$AM$1006:$BM$1006,0)))),"Fix")))</f>
        <v xml:space="preserve"> </v>
      </c>
      <c r="L811" s="4" t="str">
        <f ca="1">IF(OR(INDEX($AG$2:$AG$1001,MATCH(ROWS($AF$2:AF811),$AF$2:$AF$1001,0),1)&gt;=100000,INDEX($AM$1005:$BM$1005,1,MATCH(COLUMNS($AM$1006:AW1006),$AM$1006:$BM$1006,0))&gt;=100000), " ",IF(INDEX($AM$2:$BM$1001,MATCH(ROWS($AF$2:AF811),$AF$2:$AF$1001,0),MATCH(COLUMNS($AM$1006:AW1006),$AM$1006:$BM$1006,0)), HYPERLINK("#",""), HYPERLINK(CONCATENATE("#metadata!", ADDRESS(INDEX($AH$2:$AH$1001,MATCH(ROWS($AF$2:AF811),$AF$2:$AF$1001,0),0), INDEX($AM$1004:$BM$1004,1,MATCH(COLUMNS($AM$1006:AW1006),$AM$1006:$BM$1006,0)))),"Fix")))</f>
        <v xml:space="preserve"> </v>
      </c>
      <c r="M811" s="4" t="str">
        <f ca="1">IF(OR(INDEX($AG$2:$AG$1001,MATCH(ROWS($AF$2:AF811),$AF$2:$AF$1001,0),1)&gt;=100000,INDEX($AM$1005:$BM$1005,1,MATCH(COLUMNS($AM$1006:AX1006),$AM$1006:$BM$1006,0))&gt;=100000), " ",IF(INDEX($AM$2:$BM$1001,MATCH(ROWS($AF$2:AF811),$AF$2:$AF$1001,0),MATCH(COLUMNS($AM$1006:AX1006),$AM$1006:$BM$1006,0)), HYPERLINK("#",""), HYPERLINK(CONCATENATE("#metadata!", ADDRESS(INDEX($AH$2:$AH$1001,MATCH(ROWS($AF$2:AF811),$AF$2:$AF$1001,0),0), INDEX($AM$1004:$BM$1004,1,MATCH(COLUMNS($AM$1006:AX1006),$AM$1006:$BM$1006,0)))),"Fix")))</f>
        <v xml:space="preserve"> </v>
      </c>
      <c r="N811" s="4" t="str">
        <f ca="1">IF(OR(INDEX($AG$2:$AG$1001,MATCH(ROWS($AF$2:AF811),$AF$2:$AF$1001,0),1)&gt;=100000,INDEX($AM$1005:$BM$1005,1,MATCH(COLUMNS($AM$1006:AY1006),$AM$1006:$BM$1006,0))&gt;=100000), " ",IF(INDEX($AM$2:$BM$1001,MATCH(ROWS($AF$2:AF811),$AF$2:$AF$1001,0),MATCH(COLUMNS($AM$1006:AY1006),$AM$1006:$BM$1006,0)), HYPERLINK("#",""), HYPERLINK(CONCATENATE("#metadata!", ADDRESS(INDEX($AH$2:$AH$1001,MATCH(ROWS($AF$2:AF811),$AF$2:$AF$1001,0),0), INDEX($AM$1004:$BM$1004,1,MATCH(COLUMNS($AM$1006:AY1006),$AM$1006:$BM$1006,0)))),"Fix")))</f>
        <v xml:space="preserve"> </v>
      </c>
      <c r="O811" s="4" t="str">
        <f ca="1">IF(OR(INDEX($AG$2:$AG$1001,MATCH(ROWS($AF$2:AF811),$AF$2:$AF$1001,0),1)&gt;=100000,INDEX($AM$1005:$BM$1005,1,MATCH(COLUMNS($AM$1006:AZ1006),$AM$1006:$BM$1006,0))&gt;=100000), " ",IF(INDEX($AM$2:$BM$1001,MATCH(ROWS($AF$2:AF811),$AF$2:$AF$1001,0),MATCH(COLUMNS($AM$1006:AZ1006),$AM$1006:$BM$1006,0)), HYPERLINK("#",""), HYPERLINK(CONCATENATE("#metadata!", ADDRESS(INDEX($AH$2:$AH$1001,MATCH(ROWS($AF$2:AF811),$AF$2:$AF$1001,0),0), INDEX($AM$1004:$BM$1004,1,MATCH(COLUMNS($AM$1006:AZ1006),$AM$1006:$BM$1006,0)))),"Fix")))</f>
        <v xml:space="preserve"> </v>
      </c>
      <c r="P811" s="4" t="str">
        <f ca="1">IF(OR(INDEX($AG$2:$AG$1001,MATCH(ROWS($AF$2:AF811),$AF$2:$AF$1001,0),1)&gt;=100000,INDEX($AM$1005:$BM$1005,1,MATCH(COLUMNS($AM$1006:BA1006),$AM$1006:$BM$1006,0))&gt;=100000), " ",IF(INDEX($AM$2:$BM$1001,MATCH(ROWS($AF$2:AF811),$AF$2:$AF$1001,0),MATCH(COLUMNS($AM$1006:BA1006),$AM$1006:$BM$1006,0)), HYPERLINK("#",""), HYPERLINK(CONCATENATE("#metadata!", ADDRESS(INDEX($AH$2:$AH$1001,MATCH(ROWS($AF$2:AF811),$AF$2:$AF$1001,0),0), INDEX($AM$1004:$BM$1004,1,MATCH(COLUMNS($AM$1006:BA1006),$AM$1006:$BM$1006,0)))),"Fix")))</f>
        <v xml:space="preserve"> </v>
      </c>
      <c r="Q811" s="4" t="str">
        <f ca="1">IF(OR(INDEX($AG$2:$AG$1001,MATCH(ROWS($AF$2:AF811),$AF$2:$AF$1001,0),1)&gt;=100000,INDEX($AM$1005:$BM$1005,1,MATCH(COLUMNS($AM$1006:BB1006),$AM$1006:$BM$1006,0))&gt;=100000), " ",IF(INDEX($AM$2:$BM$1001,MATCH(ROWS($AF$2:AF811),$AF$2:$AF$1001,0),MATCH(COLUMNS($AM$1006:BB1006),$AM$1006:$BM$1006,0)), HYPERLINK("#",""), HYPERLINK(CONCATENATE("#metadata!", ADDRESS(INDEX($AH$2:$AH$1001,MATCH(ROWS($AF$2:AF811),$AF$2:$AF$1001,0),0), INDEX($AM$1004:$BM$1004,1,MATCH(COLUMNS($AM$1006:BB1006),$AM$1006:$BM$1006,0)))),"Fix")))</f>
        <v xml:space="preserve"> </v>
      </c>
      <c r="R811" s="4" t="str">
        <f ca="1">IF(OR(INDEX($AG$2:$AG$1001,MATCH(ROWS($AF$2:AF811),$AF$2:$AF$1001,0),1)&gt;=100000,INDEX($AM$1005:$BM$1005,1,MATCH(COLUMNS($AM$1006:BC1006),$AM$1006:$BM$1006,0))&gt;=100000), " ",IF(INDEX($AM$2:$BM$1001,MATCH(ROWS($AF$2:AF811),$AF$2:$AF$1001,0),MATCH(COLUMNS($AM$1006:BC1006),$AM$1006:$BM$1006,0)), HYPERLINK("#",""), HYPERLINK(CONCATENATE("#metadata!", ADDRESS(INDEX($AH$2:$AH$1001,MATCH(ROWS($AF$2:AF811),$AF$2:$AF$1001,0),0), INDEX($AM$1004:$BM$1004,1,MATCH(COLUMNS($AM$1006:BC1006),$AM$1006:$BM$1006,0)))),"Fix")))</f>
        <v xml:space="preserve"> </v>
      </c>
      <c r="S811" s="4" t="str">
        <f ca="1">IF(OR(INDEX($AG$2:$AG$1001,MATCH(ROWS($AF$2:AF811),$AF$2:$AF$1001,0),1)&gt;=100000,INDEX($AM$1005:$BM$1005,1,MATCH(COLUMNS($AM$1006:BD1006),$AM$1006:$BM$1006,0))&gt;=100000), " ",IF(INDEX($AM$2:$BM$1001,MATCH(ROWS($AF$2:AF811),$AF$2:$AF$1001,0),MATCH(COLUMNS($AM$1006:BD1006),$AM$1006:$BM$1006,0)), HYPERLINK("#",""), HYPERLINK(CONCATENATE("#metadata!", ADDRESS(INDEX($AH$2:$AH$1001,MATCH(ROWS($AF$2:AF811),$AF$2:$AF$1001,0),0), INDEX($AM$1004:$BM$1004,1,MATCH(COLUMNS($AM$1006:BD1006),$AM$1006:$BM$1006,0)))),"Fix")))</f>
        <v xml:space="preserve"> </v>
      </c>
      <c r="T811" s="4" t="str">
        <f ca="1">IF(OR(INDEX($AG$2:$AG$1001,MATCH(ROWS($AF$2:AF811),$AF$2:$AF$1001,0),1)&gt;=100000,INDEX($AM$1005:$BM$1005,1,MATCH(COLUMNS($AM$1006:BE1006),$AM$1006:$BM$1006,0))&gt;=100000), " ",IF(INDEX($AM$2:$BM$1001,MATCH(ROWS($AF$2:AF811),$AF$2:$AF$1001,0),MATCH(COLUMNS($AM$1006:BE1006),$AM$1006:$BM$1006,0)), HYPERLINK("#",""), HYPERLINK(CONCATENATE("#metadata!", ADDRESS(INDEX($AH$2:$AH$1001,MATCH(ROWS($AF$2:AF811),$AF$2:$AF$1001,0),0), INDEX($AM$1004:$BM$1004,1,MATCH(COLUMNS($AM$1006:BE1006),$AM$1006:$BM$1006,0)))),"Fix")))</f>
        <v xml:space="preserve"> </v>
      </c>
      <c r="U811" s="4" t="str">
        <f ca="1">IF(OR(INDEX($AG$2:$AG$1001,MATCH(ROWS($AF$2:AF811),$AF$2:$AF$1001,0),1)&gt;=100000,INDEX($AM$1005:$BM$1005,1,MATCH(COLUMNS($AM$1006:BF1006),$AM$1006:$BM$1006,0))&gt;=100000), " ",IF(INDEX($AM$2:$BM$1001,MATCH(ROWS($AF$2:AF811),$AF$2:$AF$1001,0),MATCH(COLUMNS($AM$1006:BF1006),$AM$1006:$BM$1006,0)), HYPERLINK("#",""), HYPERLINK(CONCATENATE("#metadata!", ADDRESS(INDEX($AH$2:$AH$1001,MATCH(ROWS($AF$2:AF811),$AF$2:$AF$1001,0),0), INDEX($AM$1004:$BM$1004,1,MATCH(COLUMNS($AM$1006:BF1006),$AM$1006:$BM$1006,0)))),"Fix")))</f>
        <v xml:space="preserve"> </v>
      </c>
      <c r="V811" s="4" t="str">
        <f ca="1">IF(OR(INDEX($AG$2:$AG$1001,MATCH(ROWS($AF$2:AF811),$AF$2:$AF$1001,0),1)&gt;=100000,INDEX($AM$1005:$BM$1005,1,MATCH(COLUMNS($AM$1006:BG1006),$AM$1006:$BM$1006,0))&gt;=100000), " ",IF(INDEX($AM$2:$BM$1001,MATCH(ROWS($AF$2:AF811),$AF$2:$AF$1001,0),MATCH(COLUMNS($AM$1006:BG1006),$AM$1006:$BM$1006,0)), HYPERLINK("#",""), HYPERLINK(CONCATENATE("#metadata!", ADDRESS(INDEX($AH$2:$AH$1001,MATCH(ROWS($AF$2:AF811),$AF$2:$AF$1001,0),0), INDEX($AM$1004:$BM$1004,1,MATCH(COLUMNS($AM$1006:BG1006),$AM$1006:$BM$1006,0)))),"Fix")))</f>
        <v xml:space="preserve"> </v>
      </c>
      <c r="W811" s="4" t="str">
        <f ca="1">IF(OR(INDEX($AG$2:$AG$1001,MATCH(ROWS($AF$2:AF811),$AF$2:$AF$1001,0),1)&gt;=100000,INDEX($AM$1005:$BM$1005,1,MATCH(COLUMNS($AM$1006:BH1006),$AM$1006:$BM$1006,0))&gt;=100000), " ",IF(INDEX($AM$2:$BM$1001,MATCH(ROWS($AF$2:AF811),$AF$2:$AF$1001,0),MATCH(COLUMNS($AM$1006:BH1006),$AM$1006:$BM$1006,0)), HYPERLINK("#",""), HYPERLINK(CONCATENATE("#metadata!", ADDRESS(INDEX($AH$2:$AH$1001,MATCH(ROWS($AF$2:AF811),$AF$2:$AF$1001,0),0), INDEX($AM$1004:$BM$1004,1,MATCH(COLUMNS($AM$1006:BH1006),$AM$1006:$BM$1006,0)))),"Fix")))</f>
        <v xml:space="preserve"> </v>
      </c>
      <c r="X811" s="4" t="str">
        <f ca="1">IF(OR(INDEX($AG$2:$AG$1001,MATCH(ROWS($AF$2:AF811),$AF$2:$AF$1001,0),1)&gt;=100000,INDEX($AM$1005:$BM$1005,1,MATCH(COLUMNS($AM$1006:BI1006),$AM$1006:$BM$1006,0))&gt;=100000), " ",IF(INDEX($AM$2:$BM$1001,MATCH(ROWS($AF$2:AF811),$AF$2:$AF$1001,0),MATCH(COLUMNS($AM$1006:BI1006),$AM$1006:$BM$1006,0)), HYPERLINK("#",""), HYPERLINK(CONCATENATE("#metadata!", ADDRESS(INDEX($AH$2:$AH$1001,MATCH(ROWS($AF$2:AF811),$AF$2:$AF$1001,0),0), INDEX($AM$1004:$BM$1004,1,MATCH(COLUMNS($AM$1006:BI1006),$AM$1006:$BM$1006,0)))),"Fix")))</f>
        <v xml:space="preserve"> </v>
      </c>
      <c r="Y811" s="4" t="str">
        <f ca="1">IF(OR(INDEX($AG$2:$AG$1001,MATCH(ROWS($AF$2:AF811),$AF$2:$AF$1001,0),1)&gt;=100000,INDEX($AM$1005:$BM$1005,1,MATCH(COLUMNS($AM$1006:BJ1006),$AM$1006:$BM$1006,0))&gt;=100000), " ",IF(INDEX($AM$2:$BM$1001,MATCH(ROWS($AF$2:AF811),$AF$2:$AF$1001,0),MATCH(COLUMNS($AM$1006:BJ1006),$AM$1006:$BM$1006,0)), HYPERLINK("#",""), HYPERLINK(CONCATENATE("#metadata!", ADDRESS(INDEX($AH$2:$AH$1001,MATCH(ROWS($AF$2:AF811),$AF$2:$AF$1001,0),0), INDEX($AM$1004:$BM$1004,1,MATCH(COLUMNS($AM$1006:BJ1006),$AM$1006:$BM$1006,0)))),"Fix")))</f>
        <v xml:space="preserve"> </v>
      </c>
      <c r="Z811" s="4" t="str">
        <f ca="1">IF(OR(INDEX($AG$2:$AG$1001,MATCH(ROWS($AF$2:AF811),$AF$2:$AF$1001,0),1)&gt;=100000,INDEX($AM$1005:$BM$1005,1,MATCH(COLUMNS($AM$1006:BK1006),$AM$1006:$BM$1006,0))&gt;=100000), " ",IF(INDEX($AM$2:$BM$1001,MATCH(ROWS($AF$2:AF811),$AF$2:$AF$1001,0),MATCH(COLUMNS($AM$1006:BK1006),$AM$1006:$BM$1006,0)), HYPERLINK("#",""), HYPERLINK(CONCATENATE("#metadata!", ADDRESS(INDEX($AH$2:$AH$1001,MATCH(ROWS($AF$2:AF811),$AF$2:$AF$1001,0),0), INDEX($AM$1004:$BM$1004,1,MATCH(COLUMNS($AM$1006:BK1006),$AM$1006:$BM$1006,0)))),"Fix")))</f>
        <v xml:space="preserve"> </v>
      </c>
      <c r="AA811" s="4" t="str">
        <f ca="1">IF(OR(INDEX($AG$2:$AG$1001,MATCH(ROWS($AF$2:AF811),$AF$2:$AF$1001,0),1)&gt;=100000,INDEX($AM$1005:$BM$1005,1,MATCH(COLUMNS($AM$1006:BL1006),$AM$1006:$BM$1006,0))&gt;=100000), " ",IF(INDEX($AM$2:$BM$1001,MATCH(ROWS($AF$2:AF811),$AF$2:$AF$1001,0),MATCH(COLUMNS($AM$1006:BL1006),$AM$1006:$BM$1006,0)), HYPERLINK("#",""), HYPERLINK(CONCATENATE("#metadata!", ADDRESS(INDEX($AH$2:$AH$1001,MATCH(ROWS($AF$2:AF811),$AF$2:$AF$1001,0),0), INDEX($AM$1004:$BM$1004,1,MATCH(COLUMNS($AM$1006:BL1006),$AM$1006:$BM$1006,0)))),"Fix")))</f>
        <v xml:space="preserve"> </v>
      </c>
      <c r="AB811" s="4" t="str">
        <f ca="1">IF(OR(INDEX($AG$2:$AG$1001,MATCH(ROWS($AF$2:AF811),$AF$2:$AF$1001,0),1)&gt;=100000,INDEX($AM$1005:$BM$1005,1,MATCH(COLUMNS($AM$1006:BM1006),$AM$1006:$BM$1006,0))&gt;=100000), " ",IF(INDEX($AM$2:$BM$1001,MATCH(ROWS($AF$2:AF811),$AF$2:$AF$1001,0),MATCH(COLUMNS($AM$1006:BM1006),$AM$1006:$BM$1006,0)), HYPERLINK("#",""), HYPERLINK(CONCATENATE("#metadata!", ADDRESS(INDEX($AH$2:$AH$1001,MATCH(ROWS($AF$2:AF811),$AF$2:$AF$1001,0),0), INDEX($AM$1004:$BM$1004,1,MATCH(COLUMNS($AM$1006:BM1006),$AM$1006:$BM$1006,0)))),"Fix")))</f>
        <v xml:space="preserve"> </v>
      </c>
      <c r="AF811">
        <v>810</v>
      </c>
      <c r="AG811">
        <v>100811</v>
      </c>
      <c r="AH811">
        <v>811</v>
      </c>
      <c r="AI811" t="b">
        <f t="shared" si="12"/>
        <v>1</v>
      </c>
      <c r="AJ811" t="b">
        <f>COUNTBLANK(metadata!B811:AB811)=COLUMNS(metadata!B811:AB811)</f>
        <v>1</v>
      </c>
      <c r="AK811" t="str">
        <v/>
      </c>
      <c r="AM811" t="b">
        <f ca="1">AND(IF(metadata!B811="",FALSE,TRUE),COUNTIF(metadata!B:B, metadata!B811) = 1,NOT(ISERROR(SUMPRODUCT(SEARCH(MID(metadata!B811,ROW(INDIRECT("1:"&amp;LEN(metadata!B811))), 1),"0123456789abcdefghijklmnopqrstuvwxyzABCDEFGHIJKLMNOPQRSTUVWXYZ.")))))</f>
        <v>0</v>
      </c>
      <c r="AN811" t="b">
        <f ca="1">OR(AND(IF(metadata!C811="",FALSE,TRUE),OR(EXACT(metadata!C811,"missing: not collected"),EXACT(metadata!C811,"missing: not provided"),EXACT(metadata!C811,"missing: restricted access"))),AND(IF(metadata!C811="",FALSE,TRUE),AND(AND(IFERROR(INT(LEFT(metadata!C811,4))&gt;1900,FALSE),IFERROR(INT(LEFT(metadata!C811,4))&lt;=YEAR(NOW()),FALSE)), OR(MID(metadata!C811,5,1)="", AND(AND(MID(metadata!C811,5,1)="-",IFERROR(INT(MID(metadata!C811,6,1))&gt;=0,FALSE),IFERROR(INT(MID(metadata!C811,6,1))&lt;=1,FALSE),NOT(MID(metadata!C811,7,1)=""),IFERROR(INT(MID(metadata!C811,6,2))&gt;=1,FALSE),IFERROR(INT(MID(metadata!C811,6,2))&lt;=12,FALSE)), OR(MID(metadata!C811,8,1)="", AND(AND(MID(metadata!C811,8,1)="-",IFERROR(INT(MID(metadata!C811,9,1))&gt;=0,FALSE),IFERROR(INT(MID(metadata!C811,9,1))&lt;=3,FALSE),NOT(MID(metadata!C811,10,1)=""),IFERROR(INT(MID(metadata!C811,9,2))&gt;=1,FALSE),IFERROR(INT(MID(metadata!C811,9,2))&lt;=31,FALSE)), OR(MID(metadata!C811,11,1)="", AND(AND(MID(metadata!C811,11,1)=" ",IFERROR(INT(MID(metadata!C811,12,1))&gt;=0,FALSE),IFERROR(INT(MID(metadata!C811,12,1))&lt;=2,FALSE),NOT(MID(metadata!C811,13,1)=""),IFERROR(INT(MID(metadata!C811,12,2))&gt;=0,FALSE),IFERROR(INT(MID(metadata!C811,12,2))&lt;=23,FALSE)), OR(MID(metadata!C811,14,1)="", AND(AND(MID(metadata!C811,14,1)=":",IFERROR(INT(MID(metadata!C811,15,1))&gt;=0,FALSE),IFERROR(INT(MID(metadata!C811,15,1))&lt;=5,FALSE),NOT(MID(metadata!C811,16,1)=""),IFERROR(INT(MID(metadata!C811,15,2))&gt;=0,FALSE),IFERROR(INT(MID(metadata!C811,15,2))&lt;=59,FALSE)), OR(MID(metadata!C811,17,1)="", AND(AND(MID(metadata!C811,17,1)=":",IFERROR(INT(MID(metadata!C811,18,1))&gt;=0,FALSE),IFERROR(INT(MID(metadata!C811,18,1))&lt;=5,FALSE),NOT(MID(metadata!C811,19,1)=""),IFERROR(INT(MID(metadata!C811,18,2))&gt;=0,FALSE),IFERROR(INT(MID(metadata!C811,18,2))&lt;=59,FALSE)), LEN(metadata!C811)&lt;=19)))))))))))))</f>
        <v>0</v>
      </c>
      <c r="AO811" t="b">
        <f>AND(IF(metadata!D811="",FALSE,TRUE),EXACT(metadata!D811,"Not applicable"))</f>
        <v>0</v>
      </c>
      <c r="AP811" t="b">
        <f>IF(metadata!E811="",FALSE,TRUE)</f>
        <v>0</v>
      </c>
      <c r="AQ811" t="b">
        <f>OR(AND(IF(metadata!F811="",FALSE,TRUE),OR(EXACT(metadata!F811,"missing: not collected"),EXACT(metadata!F811,"missing: not provided"))),AND(IF(metadata!F811="",FALSE,TRUE),OR(EXACT(metadata!F811,"TRUE"),EXACT(metadata!F811,"FALSE"))))</f>
        <v>0</v>
      </c>
      <c r="AR811" t="b">
        <f>OR(AND(IF(metadata!G811="",FALSE,TRUE),OR(EXACT(metadata!G811,"missing: not collected"),EXACT(metadata!G811,"missing: not provided"),EXACT(metadata!G811,"missing: restricted access"))),AND(IF(metadata!G811="",FALSE,ISNUMBER(VALUE(metadata!G811))),metadata!G811&gt;=-413))</f>
        <v>0</v>
      </c>
      <c r="AS811" t="b">
        <f>AND(IF(metadata!H811="",FALSE,TRUE),EXACT(metadata!H811,"meters"))</f>
        <v>0</v>
      </c>
      <c r="AT811" t="b">
        <f>AND(IF(metadata!I811="",FALSE,TRUE),OR(EXACT(metadata!I811,"Host-associated"),EXACT(metadata!I811,"Free-living")))</f>
        <v>0</v>
      </c>
      <c r="AU811" t="b">
        <f>AND(IF(metadata!J811="",FALSE,TRUE),OR(EXACT(metadata!J811,"Animal"),EXACT(metadata!J811,"Fungus"),EXACT(metadata!J811,"Plant"),EXACT(metadata!J811,"Saline"),EXACT(metadata!J811,"Non-saline")))</f>
        <v>0</v>
      </c>
      <c r="AV811" t="b">
        <f>AND(IF(metadata!K811="",FALSE,TRUE),OR(EXACT(metadata!K811,"Plant secretion"),EXACT(metadata!K811,"Plant rhizosphere"),EXACT(metadata!K811,"Plant surface"),EXACT(metadata!K811,"Plant corpus"),EXACT(metadata!K811,"Fungus surface"),EXACT(metadata!K811,"Fungus corpus"),EXACT(metadata!K811,"Animal surface"),EXACT(metadata!K811,"Animal proximal gut"),EXACT(metadata!K811,"Animal corpus"),EXACT(metadata!K811,"Animal distal gut"),EXACT(metadata!K811,"Animal secretion"),EXACT(metadata!K811,"Sub-surface (non-saline)"),EXACT(metadata!K811,"Surface (non-saline)"),EXACT(metadata!K811,"Water (non-saline)"),EXACT(metadata!K811,"Soil (non-saline)"),EXACT(metadata!K811,"Aerosol (non-saline)"),EXACT(metadata!K811,"Sediment (non-saline)"),EXACT(metadata!K811,"Surface (saline)"),EXACT(metadata!K811,"Water (saline)"),EXACT(metadata!K811,"Hypersaline (saline)"),EXACT(metadata!K811,"Aerosol (saline)"),EXACT(metadata!K811,"Sediment (saline)")))</f>
        <v>0</v>
      </c>
      <c r="AW811" t="b">
        <f>IF(metadata!L811="",FALSE,TRUE)</f>
        <v>0</v>
      </c>
      <c r="AX811" t="b">
        <f>IF(metadata!M811="",FALSE,TRUE)</f>
        <v>0</v>
      </c>
      <c r="AY811" t="b">
        <f>IF(metadata!N811="",FALSE,TRUE)</f>
        <v>0</v>
      </c>
      <c r="AZ811" t="b">
        <f>OR(AND(IF(metadata!O811="",FALSE,TRUE),OR(EXACT(metadata!O811,"missing: not collected"),EXACT(metadata!O811,"missing: not provided"),EXACT(metadata!O811,"missing: restricted access"))),AND(IF(metadata!O811="",FALSE,TRUE),OR(EXACT(metadata!O811,"air"),EXACT(metadata!O811,"built environment"),EXACT(metadata!O811,"host-associated"),EXACT(metadata!O811,"human-associated"),EXACT(metadata!O811,"human-skin"),EXACT(metadata!O811,"human-oral"),EXACT(metadata!O811,"human-gut"),EXACT(metadata!O811,"human-vaginal"),EXACT(metadata!O811,"microbial mat/biofilm"),EXACT(metadata!O811,"misc environment"),EXACT(metadata!O811,"plant-associated"),EXACT(metadata!O811,"sediment"),EXACT(metadata!O811,"soil"),EXACT(metadata!O811,"wastewater/sludge"),EXACT(metadata!O811,"water"))))</f>
        <v>0</v>
      </c>
      <c r="BA811" t="b">
        <f>IF(metadata!P811="",FALSE,TRUE)</f>
        <v>0</v>
      </c>
      <c r="BB811" t="b">
        <f>IF(metadata!Q811="",FALSE,TRUE)</f>
        <v>0</v>
      </c>
      <c r="BC811" t="b">
        <f>OR(AND(IF(metadata!R811="",FALSE,TRUE),OR(EXACT(metadata!R811,"missing: not collected"),EXACT(metadata!R811,"missing: not provided"),EXACT(metadata!R811,"missing: restricted access"))),AND(IF(metadata!R811="",FALSE,ISNUMBER(VALUE(metadata!R811))),metadata!R811&gt;=-90,metadata!R811&lt;=90))</f>
        <v>0</v>
      </c>
      <c r="BD811" t="b">
        <f>AND(IF(metadata!S811="",FALSE,TRUE),EXACT(metadata!S811,"Decimal degrees"))</f>
        <v>0</v>
      </c>
      <c r="BE811" t="b">
        <f>OR(AND(IF(metadata!T811="",FALSE,TRUE),OR(EXACT(metadata!T811,"missing: not collected"),EXACT(metadata!T811,"missing: not provided"),EXACT(metadata!T811,"missing: restricted access"))),AND(IF(metadata!T811="",FALSE,ISNUMBER(VALUE(metadata!T811))),metadata!T811&gt;=-180,metadata!T811&lt;=180))</f>
        <v>0</v>
      </c>
      <c r="BF811" t="b">
        <f>AND(IF(metadata!U811="",FALSE,TRUE),EXACT(metadata!U811,"Decimal degrees"))</f>
        <v>0</v>
      </c>
      <c r="BG811" t="b">
        <f>IF(metadata!V811="",FALSE,TRUE)</f>
        <v>0</v>
      </c>
      <c r="BH811" t="b">
        <f>OR(AND(IF(metadata!W811="",FALSE,TRUE),OR(EXACT(metadata!W811,"missing: not collected"),EXACT(metadata!W811,"missing: not provided"),EXACT(metadata!W811,"missing: restricted access"))),AND(IF(metadata!W811="",FALSE,TRUE),OR(EXACT(metadata!W811,"TRUE"),EXACT(metadata!W811,"FALSE"))))</f>
        <v>0</v>
      </c>
      <c r="BI811" t="b">
        <f>AND(IF(metadata!X811="",FALSE,TRUE),EXACT(metadata!X811,"other"))</f>
        <v>0</v>
      </c>
      <c r="BJ811" t="b">
        <f>IF(metadata!Y811="",FALSE,TRUE)</f>
        <v>0</v>
      </c>
      <c r="BK811" t="b">
        <f>OR(AND(IF(metadata!Z811="",FALSE,TRUE),OR(EXACT(metadata!Z811,"missing: not collected"),EXACT(metadata!Z811,"missing: not provided"))),AND(IF(metadata!Z811="",FALSE,IF(ISERROR(INT(metadata!Z811)),FALSE,INT(metadata!Z811)=metadata!Z811)),metadata!Z811&gt;0))</f>
        <v>0</v>
      </c>
      <c r="BL811" t="b">
        <f>AND(IF(metadata!AA811="",FALSE,TRUE),EXACT(metadata!AA811,"Not applicable"))</f>
        <v>0</v>
      </c>
      <c r="BM811" t="b">
        <f>IF(metadata!AB811="",FALSE,TRUE)</f>
        <v>0</v>
      </c>
    </row>
    <row r="812" spans="1:65" x14ac:dyDescent="0.2">
      <c r="A812" s="5" t="str">
        <f ca="1">IF(B812=" "," ",HYPERLINK(CONCATENATE("#metadata!",ADDRESS(INDEX($AH$2:$AH$1001,MATCH(ROWS($AF$2:AF812),$AF$2:$AF$1001,0),0),1)),INDEX($AK$2:$AK$1001,MATCH(ROWS($AF$2:AF812),$AF$2:$AF$1001,0),0)))</f>
        <v xml:space="preserve"> </v>
      </c>
      <c r="B812" s="4" t="str">
        <f ca="1">IF(OR(INDEX($AG$2:$AG$1001,MATCH(ROWS($AF$2:AF812),$AF$2:$AF$1001,0),1)&gt;=100000,INDEX($AM$1005:$BM$1005,1,MATCH(COLUMNS($AM$1006:AM1006),$AM$1006:$BM$1006,0))&gt;=100000), " ",IF(INDEX($AM$2:$BM$1001,MATCH(ROWS($AF$2:AF812),$AF$2:$AF$1001,0),MATCH(COLUMNS($AM$1006:AM1006),$AM$1006:$BM$1006,0)), HYPERLINK("#",""), HYPERLINK(CONCATENATE("#metadata!", ADDRESS(INDEX($AH$2:$AH$1001,MATCH(ROWS($AF$2:AF812),$AF$2:$AF$1001,0),0), INDEX($AM$1004:$BM$1004,1,MATCH(COLUMNS($AM$1006:AM1006),$AM$1006:$BM$1006,0)))),"Fix")))</f>
        <v xml:space="preserve"> </v>
      </c>
      <c r="C812" s="4" t="str">
        <f ca="1">IF(OR(INDEX($AG$2:$AG$1001,MATCH(ROWS($AF$2:AF812),$AF$2:$AF$1001,0),1)&gt;=100000,INDEX($AM$1005:$BM$1005,1,MATCH(COLUMNS($AM$1006:AN1006),$AM$1006:$BM$1006,0))&gt;=100000), " ",IF(INDEX($AM$2:$BM$1001,MATCH(ROWS($AF$2:AF812),$AF$2:$AF$1001,0),MATCH(COLUMNS($AM$1006:AN1006),$AM$1006:$BM$1006,0)), HYPERLINK("#",""), HYPERLINK(CONCATENATE("#metadata!", ADDRESS(INDEX($AH$2:$AH$1001,MATCH(ROWS($AF$2:AF812),$AF$2:$AF$1001,0),0), INDEX($AM$1004:$BM$1004,1,MATCH(COLUMNS($AM$1006:AN1006),$AM$1006:$BM$1006,0)))),"Fix")))</f>
        <v xml:space="preserve"> </v>
      </c>
      <c r="D812" s="4" t="str">
        <f ca="1">IF(OR(INDEX($AG$2:$AG$1001,MATCH(ROWS($AF$2:AF812),$AF$2:$AF$1001,0),1)&gt;=100000,INDEX($AM$1005:$BM$1005,1,MATCH(COLUMNS($AM$1006:AO1006),$AM$1006:$BM$1006,0))&gt;=100000), " ",IF(INDEX($AM$2:$BM$1001,MATCH(ROWS($AF$2:AF812),$AF$2:$AF$1001,0),MATCH(COLUMNS($AM$1006:AO1006),$AM$1006:$BM$1006,0)), HYPERLINK("#",""), HYPERLINK(CONCATENATE("#metadata!", ADDRESS(INDEX($AH$2:$AH$1001,MATCH(ROWS($AF$2:AF812),$AF$2:$AF$1001,0),0), INDEX($AM$1004:$BM$1004,1,MATCH(COLUMNS($AM$1006:AO1006),$AM$1006:$BM$1006,0)))),"Fix")))</f>
        <v xml:space="preserve"> </v>
      </c>
      <c r="E812" s="4" t="str">
        <f ca="1">IF(OR(INDEX($AG$2:$AG$1001,MATCH(ROWS($AF$2:AF812),$AF$2:$AF$1001,0),1)&gt;=100000,INDEX($AM$1005:$BM$1005,1,MATCH(COLUMNS($AM$1006:AP1006),$AM$1006:$BM$1006,0))&gt;=100000), " ",IF(INDEX($AM$2:$BM$1001,MATCH(ROWS($AF$2:AF812),$AF$2:$AF$1001,0),MATCH(COLUMNS($AM$1006:AP1006),$AM$1006:$BM$1006,0)), HYPERLINK("#",""), HYPERLINK(CONCATENATE("#metadata!", ADDRESS(INDEX($AH$2:$AH$1001,MATCH(ROWS($AF$2:AF812),$AF$2:$AF$1001,0),0), INDEX($AM$1004:$BM$1004,1,MATCH(COLUMNS($AM$1006:AP1006),$AM$1006:$BM$1006,0)))),"Fix")))</f>
        <v xml:space="preserve"> </v>
      </c>
      <c r="F812" s="4" t="str">
        <f ca="1">IF(OR(INDEX($AG$2:$AG$1001,MATCH(ROWS($AF$2:AF812),$AF$2:$AF$1001,0),1)&gt;=100000,INDEX($AM$1005:$BM$1005,1,MATCH(COLUMNS($AM$1006:AQ1006),$AM$1006:$BM$1006,0))&gt;=100000), " ",IF(INDEX($AM$2:$BM$1001,MATCH(ROWS($AF$2:AF812),$AF$2:$AF$1001,0),MATCH(COLUMNS($AM$1006:AQ1006),$AM$1006:$BM$1006,0)), HYPERLINK("#",""), HYPERLINK(CONCATENATE("#metadata!", ADDRESS(INDEX($AH$2:$AH$1001,MATCH(ROWS($AF$2:AF812),$AF$2:$AF$1001,0),0), INDEX($AM$1004:$BM$1004,1,MATCH(COLUMNS($AM$1006:AQ1006),$AM$1006:$BM$1006,0)))),"Fix")))</f>
        <v xml:space="preserve"> </v>
      </c>
      <c r="G812" s="4" t="str">
        <f ca="1">IF(OR(INDEX($AG$2:$AG$1001,MATCH(ROWS($AF$2:AF812),$AF$2:$AF$1001,0),1)&gt;=100000,INDEX($AM$1005:$BM$1005,1,MATCH(COLUMNS($AM$1006:AR1006),$AM$1006:$BM$1006,0))&gt;=100000), " ",IF(INDEX($AM$2:$BM$1001,MATCH(ROWS($AF$2:AF812),$AF$2:$AF$1001,0),MATCH(COLUMNS($AM$1006:AR1006),$AM$1006:$BM$1006,0)), HYPERLINK("#",""), HYPERLINK(CONCATENATE("#metadata!", ADDRESS(INDEX($AH$2:$AH$1001,MATCH(ROWS($AF$2:AF812),$AF$2:$AF$1001,0),0), INDEX($AM$1004:$BM$1004,1,MATCH(COLUMNS($AM$1006:AR1006),$AM$1006:$BM$1006,0)))),"Fix")))</f>
        <v xml:space="preserve"> </v>
      </c>
      <c r="H812" s="4" t="str">
        <f ca="1">IF(OR(INDEX($AG$2:$AG$1001,MATCH(ROWS($AF$2:AF812),$AF$2:$AF$1001,0),1)&gt;=100000,INDEX($AM$1005:$BM$1005,1,MATCH(COLUMNS($AM$1006:AS1006),$AM$1006:$BM$1006,0))&gt;=100000), " ",IF(INDEX($AM$2:$BM$1001,MATCH(ROWS($AF$2:AF812),$AF$2:$AF$1001,0),MATCH(COLUMNS($AM$1006:AS1006),$AM$1006:$BM$1006,0)), HYPERLINK("#",""), HYPERLINK(CONCATENATE("#metadata!", ADDRESS(INDEX($AH$2:$AH$1001,MATCH(ROWS($AF$2:AF812),$AF$2:$AF$1001,0),0), INDEX($AM$1004:$BM$1004,1,MATCH(COLUMNS($AM$1006:AS1006),$AM$1006:$BM$1006,0)))),"Fix")))</f>
        <v xml:space="preserve"> </v>
      </c>
      <c r="I812" s="4" t="str">
        <f ca="1">IF(OR(INDEX($AG$2:$AG$1001,MATCH(ROWS($AF$2:AF812),$AF$2:$AF$1001,0),1)&gt;=100000,INDEX($AM$1005:$BM$1005,1,MATCH(COLUMNS($AM$1006:AT1006),$AM$1006:$BM$1006,0))&gt;=100000), " ",IF(INDEX($AM$2:$BM$1001,MATCH(ROWS($AF$2:AF812),$AF$2:$AF$1001,0),MATCH(COLUMNS($AM$1006:AT1006),$AM$1006:$BM$1006,0)), HYPERLINK("#",""), HYPERLINK(CONCATENATE("#metadata!", ADDRESS(INDEX($AH$2:$AH$1001,MATCH(ROWS($AF$2:AF812),$AF$2:$AF$1001,0),0), INDEX($AM$1004:$BM$1004,1,MATCH(COLUMNS($AM$1006:AT1006),$AM$1006:$BM$1006,0)))),"Fix")))</f>
        <v xml:space="preserve"> </v>
      </c>
      <c r="J812" s="4" t="str">
        <f ca="1">IF(OR(INDEX($AG$2:$AG$1001,MATCH(ROWS($AF$2:AF812),$AF$2:$AF$1001,0),1)&gt;=100000,INDEX($AM$1005:$BM$1005,1,MATCH(COLUMNS($AM$1006:AU1006),$AM$1006:$BM$1006,0))&gt;=100000), " ",IF(INDEX($AM$2:$BM$1001,MATCH(ROWS($AF$2:AF812),$AF$2:$AF$1001,0),MATCH(COLUMNS($AM$1006:AU1006),$AM$1006:$BM$1006,0)), HYPERLINK("#",""), HYPERLINK(CONCATENATE("#metadata!", ADDRESS(INDEX($AH$2:$AH$1001,MATCH(ROWS($AF$2:AF812),$AF$2:$AF$1001,0),0), INDEX($AM$1004:$BM$1004,1,MATCH(COLUMNS($AM$1006:AU1006),$AM$1006:$BM$1006,0)))),"Fix")))</f>
        <v xml:space="preserve"> </v>
      </c>
      <c r="K812" s="4" t="str">
        <f ca="1">IF(OR(INDEX($AG$2:$AG$1001,MATCH(ROWS($AF$2:AF812),$AF$2:$AF$1001,0),1)&gt;=100000,INDEX($AM$1005:$BM$1005,1,MATCH(COLUMNS($AM$1006:AV1006),$AM$1006:$BM$1006,0))&gt;=100000), " ",IF(INDEX($AM$2:$BM$1001,MATCH(ROWS($AF$2:AF812),$AF$2:$AF$1001,0),MATCH(COLUMNS($AM$1006:AV1006),$AM$1006:$BM$1006,0)), HYPERLINK("#",""), HYPERLINK(CONCATENATE("#metadata!", ADDRESS(INDEX($AH$2:$AH$1001,MATCH(ROWS($AF$2:AF812),$AF$2:$AF$1001,0),0), INDEX($AM$1004:$BM$1004,1,MATCH(COLUMNS($AM$1006:AV1006),$AM$1006:$BM$1006,0)))),"Fix")))</f>
        <v xml:space="preserve"> </v>
      </c>
      <c r="L812" s="4" t="str">
        <f ca="1">IF(OR(INDEX($AG$2:$AG$1001,MATCH(ROWS($AF$2:AF812),$AF$2:$AF$1001,0),1)&gt;=100000,INDEX($AM$1005:$BM$1005,1,MATCH(COLUMNS($AM$1006:AW1006),$AM$1006:$BM$1006,0))&gt;=100000), " ",IF(INDEX($AM$2:$BM$1001,MATCH(ROWS($AF$2:AF812),$AF$2:$AF$1001,0),MATCH(COLUMNS($AM$1006:AW1006),$AM$1006:$BM$1006,0)), HYPERLINK("#",""), HYPERLINK(CONCATENATE("#metadata!", ADDRESS(INDEX($AH$2:$AH$1001,MATCH(ROWS($AF$2:AF812),$AF$2:$AF$1001,0),0), INDEX($AM$1004:$BM$1004,1,MATCH(COLUMNS($AM$1006:AW1006),$AM$1006:$BM$1006,0)))),"Fix")))</f>
        <v xml:space="preserve"> </v>
      </c>
      <c r="M812" s="4" t="str">
        <f ca="1">IF(OR(INDEX($AG$2:$AG$1001,MATCH(ROWS($AF$2:AF812),$AF$2:$AF$1001,0),1)&gt;=100000,INDEX($AM$1005:$BM$1005,1,MATCH(COLUMNS($AM$1006:AX1006),$AM$1006:$BM$1006,0))&gt;=100000), " ",IF(INDEX($AM$2:$BM$1001,MATCH(ROWS($AF$2:AF812),$AF$2:$AF$1001,0),MATCH(COLUMNS($AM$1006:AX1006),$AM$1006:$BM$1006,0)), HYPERLINK("#",""), HYPERLINK(CONCATENATE("#metadata!", ADDRESS(INDEX($AH$2:$AH$1001,MATCH(ROWS($AF$2:AF812),$AF$2:$AF$1001,0),0), INDEX($AM$1004:$BM$1004,1,MATCH(COLUMNS($AM$1006:AX1006),$AM$1006:$BM$1006,0)))),"Fix")))</f>
        <v xml:space="preserve"> </v>
      </c>
      <c r="N812" s="4" t="str">
        <f ca="1">IF(OR(INDEX($AG$2:$AG$1001,MATCH(ROWS($AF$2:AF812),$AF$2:$AF$1001,0),1)&gt;=100000,INDEX($AM$1005:$BM$1005,1,MATCH(COLUMNS($AM$1006:AY1006),$AM$1006:$BM$1006,0))&gt;=100000), " ",IF(INDEX($AM$2:$BM$1001,MATCH(ROWS($AF$2:AF812),$AF$2:$AF$1001,0),MATCH(COLUMNS($AM$1006:AY1006),$AM$1006:$BM$1006,0)), HYPERLINK("#",""), HYPERLINK(CONCATENATE("#metadata!", ADDRESS(INDEX($AH$2:$AH$1001,MATCH(ROWS($AF$2:AF812),$AF$2:$AF$1001,0),0), INDEX($AM$1004:$BM$1004,1,MATCH(COLUMNS($AM$1006:AY1006),$AM$1006:$BM$1006,0)))),"Fix")))</f>
        <v xml:space="preserve"> </v>
      </c>
      <c r="O812" s="4" t="str">
        <f ca="1">IF(OR(INDEX($AG$2:$AG$1001,MATCH(ROWS($AF$2:AF812),$AF$2:$AF$1001,0),1)&gt;=100000,INDEX($AM$1005:$BM$1005,1,MATCH(COLUMNS($AM$1006:AZ1006),$AM$1006:$BM$1006,0))&gt;=100000), " ",IF(INDEX($AM$2:$BM$1001,MATCH(ROWS($AF$2:AF812),$AF$2:$AF$1001,0),MATCH(COLUMNS($AM$1006:AZ1006),$AM$1006:$BM$1006,0)), HYPERLINK("#",""), HYPERLINK(CONCATENATE("#metadata!", ADDRESS(INDEX($AH$2:$AH$1001,MATCH(ROWS($AF$2:AF812),$AF$2:$AF$1001,0),0), INDEX($AM$1004:$BM$1004,1,MATCH(COLUMNS($AM$1006:AZ1006),$AM$1006:$BM$1006,0)))),"Fix")))</f>
        <v xml:space="preserve"> </v>
      </c>
      <c r="P812" s="4" t="str">
        <f ca="1">IF(OR(INDEX($AG$2:$AG$1001,MATCH(ROWS($AF$2:AF812),$AF$2:$AF$1001,0),1)&gt;=100000,INDEX($AM$1005:$BM$1005,1,MATCH(COLUMNS($AM$1006:BA1006),$AM$1006:$BM$1006,0))&gt;=100000), " ",IF(INDEX($AM$2:$BM$1001,MATCH(ROWS($AF$2:AF812),$AF$2:$AF$1001,0),MATCH(COLUMNS($AM$1006:BA1006),$AM$1006:$BM$1006,0)), HYPERLINK("#",""), HYPERLINK(CONCATENATE("#metadata!", ADDRESS(INDEX($AH$2:$AH$1001,MATCH(ROWS($AF$2:AF812),$AF$2:$AF$1001,0),0), INDEX($AM$1004:$BM$1004,1,MATCH(COLUMNS($AM$1006:BA1006),$AM$1006:$BM$1006,0)))),"Fix")))</f>
        <v xml:space="preserve"> </v>
      </c>
      <c r="Q812" s="4" t="str">
        <f ca="1">IF(OR(INDEX($AG$2:$AG$1001,MATCH(ROWS($AF$2:AF812),$AF$2:$AF$1001,0),1)&gt;=100000,INDEX($AM$1005:$BM$1005,1,MATCH(COLUMNS($AM$1006:BB1006),$AM$1006:$BM$1006,0))&gt;=100000), " ",IF(INDEX($AM$2:$BM$1001,MATCH(ROWS($AF$2:AF812),$AF$2:$AF$1001,0),MATCH(COLUMNS($AM$1006:BB1006),$AM$1006:$BM$1006,0)), HYPERLINK("#",""), HYPERLINK(CONCATENATE("#metadata!", ADDRESS(INDEX($AH$2:$AH$1001,MATCH(ROWS($AF$2:AF812),$AF$2:$AF$1001,0),0), INDEX($AM$1004:$BM$1004,1,MATCH(COLUMNS($AM$1006:BB1006),$AM$1006:$BM$1006,0)))),"Fix")))</f>
        <v xml:space="preserve"> </v>
      </c>
      <c r="R812" s="4" t="str">
        <f ca="1">IF(OR(INDEX($AG$2:$AG$1001,MATCH(ROWS($AF$2:AF812),$AF$2:$AF$1001,0),1)&gt;=100000,INDEX($AM$1005:$BM$1005,1,MATCH(COLUMNS($AM$1006:BC1006),$AM$1006:$BM$1006,0))&gt;=100000), " ",IF(INDEX($AM$2:$BM$1001,MATCH(ROWS($AF$2:AF812),$AF$2:$AF$1001,0),MATCH(COLUMNS($AM$1006:BC1006),$AM$1006:$BM$1006,0)), HYPERLINK("#",""), HYPERLINK(CONCATENATE("#metadata!", ADDRESS(INDEX($AH$2:$AH$1001,MATCH(ROWS($AF$2:AF812),$AF$2:$AF$1001,0),0), INDEX($AM$1004:$BM$1004,1,MATCH(COLUMNS($AM$1006:BC1006),$AM$1006:$BM$1006,0)))),"Fix")))</f>
        <v xml:space="preserve"> </v>
      </c>
      <c r="S812" s="4" t="str">
        <f ca="1">IF(OR(INDEX($AG$2:$AG$1001,MATCH(ROWS($AF$2:AF812),$AF$2:$AF$1001,0),1)&gt;=100000,INDEX($AM$1005:$BM$1005,1,MATCH(COLUMNS($AM$1006:BD1006),$AM$1006:$BM$1006,0))&gt;=100000), " ",IF(INDEX($AM$2:$BM$1001,MATCH(ROWS($AF$2:AF812),$AF$2:$AF$1001,0),MATCH(COLUMNS($AM$1006:BD1006),$AM$1006:$BM$1006,0)), HYPERLINK("#",""), HYPERLINK(CONCATENATE("#metadata!", ADDRESS(INDEX($AH$2:$AH$1001,MATCH(ROWS($AF$2:AF812),$AF$2:$AF$1001,0),0), INDEX($AM$1004:$BM$1004,1,MATCH(COLUMNS($AM$1006:BD1006),$AM$1006:$BM$1006,0)))),"Fix")))</f>
        <v xml:space="preserve"> </v>
      </c>
      <c r="T812" s="4" t="str">
        <f ca="1">IF(OR(INDEX($AG$2:$AG$1001,MATCH(ROWS($AF$2:AF812),$AF$2:$AF$1001,0),1)&gt;=100000,INDEX($AM$1005:$BM$1005,1,MATCH(COLUMNS($AM$1006:BE1006),$AM$1006:$BM$1006,0))&gt;=100000), " ",IF(INDEX($AM$2:$BM$1001,MATCH(ROWS($AF$2:AF812),$AF$2:$AF$1001,0),MATCH(COLUMNS($AM$1006:BE1006),$AM$1006:$BM$1006,0)), HYPERLINK("#",""), HYPERLINK(CONCATENATE("#metadata!", ADDRESS(INDEX($AH$2:$AH$1001,MATCH(ROWS($AF$2:AF812),$AF$2:$AF$1001,0),0), INDEX($AM$1004:$BM$1004,1,MATCH(COLUMNS($AM$1006:BE1006),$AM$1006:$BM$1006,0)))),"Fix")))</f>
        <v xml:space="preserve"> </v>
      </c>
      <c r="U812" s="4" t="str">
        <f ca="1">IF(OR(INDEX($AG$2:$AG$1001,MATCH(ROWS($AF$2:AF812),$AF$2:$AF$1001,0),1)&gt;=100000,INDEX($AM$1005:$BM$1005,1,MATCH(COLUMNS($AM$1006:BF1006),$AM$1006:$BM$1006,0))&gt;=100000), " ",IF(INDEX($AM$2:$BM$1001,MATCH(ROWS($AF$2:AF812),$AF$2:$AF$1001,0),MATCH(COLUMNS($AM$1006:BF1006),$AM$1006:$BM$1006,0)), HYPERLINK("#",""), HYPERLINK(CONCATENATE("#metadata!", ADDRESS(INDEX($AH$2:$AH$1001,MATCH(ROWS($AF$2:AF812),$AF$2:$AF$1001,0),0), INDEX($AM$1004:$BM$1004,1,MATCH(COLUMNS($AM$1006:BF1006),$AM$1006:$BM$1006,0)))),"Fix")))</f>
        <v xml:space="preserve"> </v>
      </c>
      <c r="V812" s="4" t="str">
        <f ca="1">IF(OR(INDEX($AG$2:$AG$1001,MATCH(ROWS($AF$2:AF812),$AF$2:$AF$1001,0),1)&gt;=100000,INDEX($AM$1005:$BM$1005,1,MATCH(COLUMNS($AM$1006:BG1006),$AM$1006:$BM$1006,0))&gt;=100000), " ",IF(INDEX($AM$2:$BM$1001,MATCH(ROWS($AF$2:AF812),$AF$2:$AF$1001,0),MATCH(COLUMNS($AM$1006:BG1006),$AM$1006:$BM$1006,0)), HYPERLINK("#",""), HYPERLINK(CONCATENATE("#metadata!", ADDRESS(INDEX($AH$2:$AH$1001,MATCH(ROWS($AF$2:AF812),$AF$2:$AF$1001,0),0), INDEX($AM$1004:$BM$1004,1,MATCH(COLUMNS($AM$1006:BG1006),$AM$1006:$BM$1006,0)))),"Fix")))</f>
        <v xml:space="preserve"> </v>
      </c>
      <c r="W812" s="4" t="str">
        <f ca="1">IF(OR(INDEX($AG$2:$AG$1001,MATCH(ROWS($AF$2:AF812),$AF$2:$AF$1001,0),1)&gt;=100000,INDEX($AM$1005:$BM$1005,1,MATCH(COLUMNS($AM$1006:BH1006),$AM$1006:$BM$1006,0))&gt;=100000), " ",IF(INDEX($AM$2:$BM$1001,MATCH(ROWS($AF$2:AF812),$AF$2:$AF$1001,0),MATCH(COLUMNS($AM$1006:BH1006),$AM$1006:$BM$1006,0)), HYPERLINK("#",""), HYPERLINK(CONCATENATE("#metadata!", ADDRESS(INDEX($AH$2:$AH$1001,MATCH(ROWS($AF$2:AF812),$AF$2:$AF$1001,0),0), INDEX($AM$1004:$BM$1004,1,MATCH(COLUMNS($AM$1006:BH1006),$AM$1006:$BM$1006,0)))),"Fix")))</f>
        <v xml:space="preserve"> </v>
      </c>
      <c r="X812" s="4" t="str">
        <f ca="1">IF(OR(INDEX($AG$2:$AG$1001,MATCH(ROWS($AF$2:AF812),$AF$2:$AF$1001,0),1)&gt;=100000,INDEX($AM$1005:$BM$1005,1,MATCH(COLUMNS($AM$1006:BI1006),$AM$1006:$BM$1006,0))&gt;=100000), " ",IF(INDEX($AM$2:$BM$1001,MATCH(ROWS($AF$2:AF812),$AF$2:$AF$1001,0),MATCH(COLUMNS($AM$1006:BI1006),$AM$1006:$BM$1006,0)), HYPERLINK("#",""), HYPERLINK(CONCATENATE("#metadata!", ADDRESS(INDEX($AH$2:$AH$1001,MATCH(ROWS($AF$2:AF812),$AF$2:$AF$1001,0),0), INDEX($AM$1004:$BM$1004,1,MATCH(COLUMNS($AM$1006:BI1006),$AM$1006:$BM$1006,0)))),"Fix")))</f>
        <v xml:space="preserve"> </v>
      </c>
      <c r="Y812" s="4" t="str">
        <f ca="1">IF(OR(INDEX($AG$2:$AG$1001,MATCH(ROWS($AF$2:AF812),$AF$2:$AF$1001,0),1)&gt;=100000,INDEX($AM$1005:$BM$1005,1,MATCH(COLUMNS($AM$1006:BJ1006),$AM$1006:$BM$1006,0))&gt;=100000), " ",IF(INDEX($AM$2:$BM$1001,MATCH(ROWS($AF$2:AF812),$AF$2:$AF$1001,0),MATCH(COLUMNS($AM$1006:BJ1006),$AM$1006:$BM$1006,0)), HYPERLINK("#",""), HYPERLINK(CONCATENATE("#metadata!", ADDRESS(INDEX($AH$2:$AH$1001,MATCH(ROWS($AF$2:AF812),$AF$2:$AF$1001,0),0), INDEX($AM$1004:$BM$1004,1,MATCH(COLUMNS($AM$1006:BJ1006),$AM$1006:$BM$1006,0)))),"Fix")))</f>
        <v xml:space="preserve"> </v>
      </c>
      <c r="Z812" s="4" t="str">
        <f ca="1">IF(OR(INDEX($AG$2:$AG$1001,MATCH(ROWS($AF$2:AF812),$AF$2:$AF$1001,0),1)&gt;=100000,INDEX($AM$1005:$BM$1005,1,MATCH(COLUMNS($AM$1006:BK1006),$AM$1006:$BM$1006,0))&gt;=100000), " ",IF(INDEX($AM$2:$BM$1001,MATCH(ROWS($AF$2:AF812),$AF$2:$AF$1001,0),MATCH(COLUMNS($AM$1006:BK1006),$AM$1006:$BM$1006,0)), HYPERLINK("#",""), HYPERLINK(CONCATENATE("#metadata!", ADDRESS(INDEX($AH$2:$AH$1001,MATCH(ROWS($AF$2:AF812),$AF$2:$AF$1001,0),0), INDEX($AM$1004:$BM$1004,1,MATCH(COLUMNS($AM$1006:BK1006),$AM$1006:$BM$1006,0)))),"Fix")))</f>
        <v xml:space="preserve"> </v>
      </c>
      <c r="AA812" s="4" t="str">
        <f ca="1">IF(OR(INDEX($AG$2:$AG$1001,MATCH(ROWS($AF$2:AF812),$AF$2:$AF$1001,0),1)&gt;=100000,INDEX($AM$1005:$BM$1005,1,MATCH(COLUMNS($AM$1006:BL1006),$AM$1006:$BM$1006,0))&gt;=100000), " ",IF(INDEX($AM$2:$BM$1001,MATCH(ROWS($AF$2:AF812),$AF$2:$AF$1001,0),MATCH(COLUMNS($AM$1006:BL1006),$AM$1006:$BM$1006,0)), HYPERLINK("#",""), HYPERLINK(CONCATENATE("#metadata!", ADDRESS(INDEX($AH$2:$AH$1001,MATCH(ROWS($AF$2:AF812),$AF$2:$AF$1001,0),0), INDEX($AM$1004:$BM$1004,1,MATCH(COLUMNS($AM$1006:BL1006),$AM$1006:$BM$1006,0)))),"Fix")))</f>
        <v xml:space="preserve"> </v>
      </c>
      <c r="AB812" s="4" t="str">
        <f ca="1">IF(OR(INDEX($AG$2:$AG$1001,MATCH(ROWS($AF$2:AF812),$AF$2:$AF$1001,0),1)&gt;=100000,INDEX($AM$1005:$BM$1005,1,MATCH(COLUMNS($AM$1006:BM1006),$AM$1006:$BM$1006,0))&gt;=100000), " ",IF(INDEX($AM$2:$BM$1001,MATCH(ROWS($AF$2:AF812),$AF$2:$AF$1001,0),MATCH(COLUMNS($AM$1006:BM1006),$AM$1006:$BM$1006,0)), HYPERLINK("#",""), HYPERLINK(CONCATENATE("#metadata!", ADDRESS(INDEX($AH$2:$AH$1001,MATCH(ROWS($AF$2:AF812),$AF$2:$AF$1001,0),0), INDEX($AM$1004:$BM$1004,1,MATCH(COLUMNS($AM$1006:BM1006),$AM$1006:$BM$1006,0)))),"Fix")))</f>
        <v xml:space="preserve"> </v>
      </c>
      <c r="AF812">
        <v>811</v>
      </c>
      <c r="AG812">
        <v>100812</v>
      </c>
      <c r="AH812">
        <v>812</v>
      </c>
      <c r="AI812" t="b">
        <f t="shared" si="12"/>
        <v>1</v>
      </c>
      <c r="AJ812" t="b">
        <f>COUNTBLANK(metadata!B812:AB812)=COLUMNS(metadata!B812:AB812)</f>
        <v>1</v>
      </c>
      <c r="AK812" t="str">
        <v/>
      </c>
      <c r="AM812" t="b">
        <f ca="1">AND(IF(metadata!B812="",FALSE,TRUE),COUNTIF(metadata!B:B, metadata!B812) = 1,NOT(ISERROR(SUMPRODUCT(SEARCH(MID(metadata!B812,ROW(INDIRECT("1:"&amp;LEN(metadata!B812))), 1),"0123456789abcdefghijklmnopqrstuvwxyzABCDEFGHIJKLMNOPQRSTUVWXYZ.")))))</f>
        <v>0</v>
      </c>
      <c r="AN812" t="b">
        <f ca="1">OR(AND(IF(metadata!C812="",FALSE,TRUE),OR(EXACT(metadata!C812,"missing: not collected"),EXACT(metadata!C812,"missing: not provided"),EXACT(metadata!C812,"missing: restricted access"))),AND(IF(metadata!C812="",FALSE,TRUE),AND(AND(IFERROR(INT(LEFT(metadata!C812,4))&gt;1900,FALSE),IFERROR(INT(LEFT(metadata!C812,4))&lt;=YEAR(NOW()),FALSE)), OR(MID(metadata!C812,5,1)="", AND(AND(MID(metadata!C812,5,1)="-",IFERROR(INT(MID(metadata!C812,6,1))&gt;=0,FALSE),IFERROR(INT(MID(metadata!C812,6,1))&lt;=1,FALSE),NOT(MID(metadata!C812,7,1)=""),IFERROR(INT(MID(metadata!C812,6,2))&gt;=1,FALSE),IFERROR(INT(MID(metadata!C812,6,2))&lt;=12,FALSE)), OR(MID(metadata!C812,8,1)="", AND(AND(MID(metadata!C812,8,1)="-",IFERROR(INT(MID(metadata!C812,9,1))&gt;=0,FALSE),IFERROR(INT(MID(metadata!C812,9,1))&lt;=3,FALSE),NOT(MID(metadata!C812,10,1)=""),IFERROR(INT(MID(metadata!C812,9,2))&gt;=1,FALSE),IFERROR(INT(MID(metadata!C812,9,2))&lt;=31,FALSE)), OR(MID(metadata!C812,11,1)="", AND(AND(MID(metadata!C812,11,1)=" ",IFERROR(INT(MID(metadata!C812,12,1))&gt;=0,FALSE),IFERROR(INT(MID(metadata!C812,12,1))&lt;=2,FALSE),NOT(MID(metadata!C812,13,1)=""),IFERROR(INT(MID(metadata!C812,12,2))&gt;=0,FALSE),IFERROR(INT(MID(metadata!C812,12,2))&lt;=23,FALSE)), OR(MID(metadata!C812,14,1)="", AND(AND(MID(metadata!C812,14,1)=":",IFERROR(INT(MID(metadata!C812,15,1))&gt;=0,FALSE),IFERROR(INT(MID(metadata!C812,15,1))&lt;=5,FALSE),NOT(MID(metadata!C812,16,1)=""),IFERROR(INT(MID(metadata!C812,15,2))&gt;=0,FALSE),IFERROR(INT(MID(metadata!C812,15,2))&lt;=59,FALSE)), OR(MID(metadata!C812,17,1)="", AND(AND(MID(metadata!C812,17,1)=":",IFERROR(INT(MID(metadata!C812,18,1))&gt;=0,FALSE),IFERROR(INT(MID(metadata!C812,18,1))&lt;=5,FALSE),NOT(MID(metadata!C812,19,1)=""),IFERROR(INT(MID(metadata!C812,18,2))&gt;=0,FALSE),IFERROR(INT(MID(metadata!C812,18,2))&lt;=59,FALSE)), LEN(metadata!C812)&lt;=19)))))))))))))</f>
        <v>0</v>
      </c>
      <c r="AO812" t="b">
        <f>AND(IF(metadata!D812="",FALSE,TRUE),EXACT(metadata!D812,"Not applicable"))</f>
        <v>0</v>
      </c>
      <c r="AP812" t="b">
        <f>IF(metadata!E812="",FALSE,TRUE)</f>
        <v>0</v>
      </c>
      <c r="AQ812" t="b">
        <f>OR(AND(IF(metadata!F812="",FALSE,TRUE),OR(EXACT(metadata!F812,"missing: not collected"),EXACT(metadata!F812,"missing: not provided"))),AND(IF(metadata!F812="",FALSE,TRUE),OR(EXACT(metadata!F812,"TRUE"),EXACT(metadata!F812,"FALSE"))))</f>
        <v>0</v>
      </c>
      <c r="AR812" t="b">
        <f>OR(AND(IF(metadata!G812="",FALSE,TRUE),OR(EXACT(metadata!G812,"missing: not collected"),EXACT(metadata!G812,"missing: not provided"),EXACT(metadata!G812,"missing: restricted access"))),AND(IF(metadata!G812="",FALSE,ISNUMBER(VALUE(metadata!G812))),metadata!G812&gt;=-413))</f>
        <v>0</v>
      </c>
      <c r="AS812" t="b">
        <f>AND(IF(metadata!H812="",FALSE,TRUE),EXACT(metadata!H812,"meters"))</f>
        <v>0</v>
      </c>
      <c r="AT812" t="b">
        <f>AND(IF(metadata!I812="",FALSE,TRUE),OR(EXACT(metadata!I812,"Host-associated"),EXACT(metadata!I812,"Free-living")))</f>
        <v>0</v>
      </c>
      <c r="AU812" t="b">
        <f>AND(IF(metadata!J812="",FALSE,TRUE),OR(EXACT(metadata!J812,"Animal"),EXACT(metadata!J812,"Fungus"),EXACT(metadata!J812,"Plant"),EXACT(metadata!J812,"Saline"),EXACT(metadata!J812,"Non-saline")))</f>
        <v>0</v>
      </c>
      <c r="AV812" t="b">
        <f>AND(IF(metadata!K812="",FALSE,TRUE),OR(EXACT(metadata!K812,"Plant secretion"),EXACT(metadata!K812,"Plant rhizosphere"),EXACT(metadata!K812,"Plant surface"),EXACT(metadata!K812,"Plant corpus"),EXACT(metadata!K812,"Fungus surface"),EXACT(metadata!K812,"Fungus corpus"),EXACT(metadata!K812,"Animal surface"),EXACT(metadata!K812,"Animal proximal gut"),EXACT(metadata!K812,"Animal corpus"),EXACT(metadata!K812,"Animal distal gut"),EXACT(metadata!K812,"Animal secretion"),EXACT(metadata!K812,"Sub-surface (non-saline)"),EXACT(metadata!K812,"Surface (non-saline)"),EXACT(metadata!K812,"Water (non-saline)"),EXACT(metadata!K812,"Soil (non-saline)"),EXACT(metadata!K812,"Aerosol (non-saline)"),EXACT(metadata!K812,"Sediment (non-saline)"),EXACT(metadata!K812,"Surface (saline)"),EXACT(metadata!K812,"Water (saline)"),EXACT(metadata!K812,"Hypersaline (saline)"),EXACT(metadata!K812,"Aerosol (saline)"),EXACT(metadata!K812,"Sediment (saline)")))</f>
        <v>0</v>
      </c>
      <c r="AW812" t="b">
        <f>IF(metadata!L812="",FALSE,TRUE)</f>
        <v>0</v>
      </c>
      <c r="AX812" t="b">
        <f>IF(metadata!M812="",FALSE,TRUE)</f>
        <v>0</v>
      </c>
      <c r="AY812" t="b">
        <f>IF(metadata!N812="",FALSE,TRUE)</f>
        <v>0</v>
      </c>
      <c r="AZ812" t="b">
        <f>OR(AND(IF(metadata!O812="",FALSE,TRUE),OR(EXACT(metadata!O812,"missing: not collected"),EXACT(metadata!O812,"missing: not provided"),EXACT(metadata!O812,"missing: restricted access"))),AND(IF(metadata!O812="",FALSE,TRUE),OR(EXACT(metadata!O812,"air"),EXACT(metadata!O812,"built environment"),EXACT(metadata!O812,"host-associated"),EXACT(metadata!O812,"human-associated"),EXACT(metadata!O812,"human-skin"),EXACT(metadata!O812,"human-oral"),EXACT(metadata!O812,"human-gut"),EXACT(metadata!O812,"human-vaginal"),EXACT(metadata!O812,"microbial mat/biofilm"),EXACT(metadata!O812,"misc environment"),EXACT(metadata!O812,"plant-associated"),EXACT(metadata!O812,"sediment"),EXACT(metadata!O812,"soil"),EXACT(metadata!O812,"wastewater/sludge"),EXACT(metadata!O812,"water"))))</f>
        <v>0</v>
      </c>
      <c r="BA812" t="b">
        <f>IF(metadata!P812="",FALSE,TRUE)</f>
        <v>0</v>
      </c>
      <c r="BB812" t="b">
        <f>IF(metadata!Q812="",FALSE,TRUE)</f>
        <v>0</v>
      </c>
      <c r="BC812" t="b">
        <f>OR(AND(IF(metadata!R812="",FALSE,TRUE),OR(EXACT(metadata!R812,"missing: not collected"),EXACT(metadata!R812,"missing: not provided"),EXACT(metadata!R812,"missing: restricted access"))),AND(IF(metadata!R812="",FALSE,ISNUMBER(VALUE(metadata!R812))),metadata!R812&gt;=-90,metadata!R812&lt;=90))</f>
        <v>0</v>
      </c>
      <c r="BD812" t="b">
        <f>AND(IF(metadata!S812="",FALSE,TRUE),EXACT(metadata!S812,"Decimal degrees"))</f>
        <v>0</v>
      </c>
      <c r="BE812" t="b">
        <f>OR(AND(IF(metadata!T812="",FALSE,TRUE),OR(EXACT(metadata!T812,"missing: not collected"),EXACT(metadata!T812,"missing: not provided"),EXACT(metadata!T812,"missing: restricted access"))),AND(IF(metadata!T812="",FALSE,ISNUMBER(VALUE(metadata!T812))),metadata!T812&gt;=-180,metadata!T812&lt;=180))</f>
        <v>0</v>
      </c>
      <c r="BF812" t="b">
        <f>AND(IF(metadata!U812="",FALSE,TRUE),EXACT(metadata!U812,"Decimal degrees"))</f>
        <v>0</v>
      </c>
      <c r="BG812" t="b">
        <f>IF(metadata!V812="",FALSE,TRUE)</f>
        <v>0</v>
      </c>
      <c r="BH812" t="b">
        <f>OR(AND(IF(metadata!W812="",FALSE,TRUE),OR(EXACT(metadata!W812,"missing: not collected"),EXACT(metadata!W812,"missing: not provided"),EXACT(metadata!W812,"missing: restricted access"))),AND(IF(metadata!W812="",FALSE,TRUE),OR(EXACT(metadata!W812,"TRUE"),EXACT(metadata!W812,"FALSE"))))</f>
        <v>0</v>
      </c>
      <c r="BI812" t="b">
        <f>AND(IF(metadata!X812="",FALSE,TRUE),EXACT(metadata!X812,"other"))</f>
        <v>0</v>
      </c>
      <c r="BJ812" t="b">
        <f>IF(metadata!Y812="",FALSE,TRUE)</f>
        <v>0</v>
      </c>
      <c r="BK812" t="b">
        <f>OR(AND(IF(metadata!Z812="",FALSE,TRUE),OR(EXACT(metadata!Z812,"missing: not collected"),EXACT(metadata!Z812,"missing: not provided"))),AND(IF(metadata!Z812="",FALSE,IF(ISERROR(INT(metadata!Z812)),FALSE,INT(metadata!Z812)=metadata!Z812)),metadata!Z812&gt;0))</f>
        <v>0</v>
      </c>
      <c r="BL812" t="b">
        <f>AND(IF(metadata!AA812="",FALSE,TRUE),EXACT(metadata!AA812,"Not applicable"))</f>
        <v>0</v>
      </c>
      <c r="BM812" t="b">
        <f>IF(metadata!AB812="",FALSE,TRUE)</f>
        <v>0</v>
      </c>
    </row>
    <row r="813" spans="1:65" x14ac:dyDescent="0.2">
      <c r="A813" s="5" t="str">
        <f ca="1">IF(B813=" "," ",HYPERLINK(CONCATENATE("#metadata!",ADDRESS(INDEX($AH$2:$AH$1001,MATCH(ROWS($AF$2:AF813),$AF$2:$AF$1001,0),0),1)),INDEX($AK$2:$AK$1001,MATCH(ROWS($AF$2:AF813),$AF$2:$AF$1001,0),0)))</f>
        <v xml:space="preserve"> </v>
      </c>
      <c r="B813" s="4" t="str">
        <f ca="1">IF(OR(INDEX($AG$2:$AG$1001,MATCH(ROWS($AF$2:AF813),$AF$2:$AF$1001,0),1)&gt;=100000,INDEX($AM$1005:$BM$1005,1,MATCH(COLUMNS($AM$1006:AM1006),$AM$1006:$BM$1006,0))&gt;=100000), " ",IF(INDEX($AM$2:$BM$1001,MATCH(ROWS($AF$2:AF813),$AF$2:$AF$1001,0),MATCH(COLUMNS($AM$1006:AM1006),$AM$1006:$BM$1006,0)), HYPERLINK("#",""), HYPERLINK(CONCATENATE("#metadata!", ADDRESS(INDEX($AH$2:$AH$1001,MATCH(ROWS($AF$2:AF813),$AF$2:$AF$1001,0),0), INDEX($AM$1004:$BM$1004,1,MATCH(COLUMNS($AM$1006:AM1006),$AM$1006:$BM$1006,0)))),"Fix")))</f>
        <v xml:space="preserve"> </v>
      </c>
      <c r="C813" s="4" t="str">
        <f ca="1">IF(OR(INDEX($AG$2:$AG$1001,MATCH(ROWS($AF$2:AF813),$AF$2:$AF$1001,0),1)&gt;=100000,INDEX($AM$1005:$BM$1005,1,MATCH(COLUMNS($AM$1006:AN1006),$AM$1006:$BM$1006,0))&gt;=100000), " ",IF(INDEX($AM$2:$BM$1001,MATCH(ROWS($AF$2:AF813),$AF$2:$AF$1001,0),MATCH(COLUMNS($AM$1006:AN1006),$AM$1006:$BM$1006,0)), HYPERLINK("#",""), HYPERLINK(CONCATENATE("#metadata!", ADDRESS(INDEX($AH$2:$AH$1001,MATCH(ROWS($AF$2:AF813),$AF$2:$AF$1001,0),0), INDEX($AM$1004:$BM$1004,1,MATCH(COLUMNS($AM$1006:AN1006),$AM$1006:$BM$1006,0)))),"Fix")))</f>
        <v xml:space="preserve"> </v>
      </c>
      <c r="D813" s="4" t="str">
        <f ca="1">IF(OR(INDEX($AG$2:$AG$1001,MATCH(ROWS($AF$2:AF813),$AF$2:$AF$1001,0),1)&gt;=100000,INDEX($AM$1005:$BM$1005,1,MATCH(COLUMNS($AM$1006:AO1006),$AM$1006:$BM$1006,0))&gt;=100000), " ",IF(INDEX($AM$2:$BM$1001,MATCH(ROWS($AF$2:AF813),$AF$2:$AF$1001,0),MATCH(COLUMNS($AM$1006:AO1006),$AM$1006:$BM$1006,0)), HYPERLINK("#",""), HYPERLINK(CONCATENATE("#metadata!", ADDRESS(INDEX($AH$2:$AH$1001,MATCH(ROWS($AF$2:AF813),$AF$2:$AF$1001,0),0), INDEX($AM$1004:$BM$1004,1,MATCH(COLUMNS($AM$1006:AO1006),$AM$1006:$BM$1006,0)))),"Fix")))</f>
        <v xml:space="preserve"> </v>
      </c>
      <c r="E813" s="4" t="str">
        <f ca="1">IF(OR(INDEX($AG$2:$AG$1001,MATCH(ROWS($AF$2:AF813),$AF$2:$AF$1001,0),1)&gt;=100000,INDEX($AM$1005:$BM$1005,1,MATCH(COLUMNS($AM$1006:AP1006),$AM$1006:$BM$1006,0))&gt;=100000), " ",IF(INDEX($AM$2:$BM$1001,MATCH(ROWS($AF$2:AF813),$AF$2:$AF$1001,0),MATCH(COLUMNS($AM$1006:AP1006),$AM$1006:$BM$1006,0)), HYPERLINK("#",""), HYPERLINK(CONCATENATE("#metadata!", ADDRESS(INDEX($AH$2:$AH$1001,MATCH(ROWS($AF$2:AF813),$AF$2:$AF$1001,0),0), INDEX($AM$1004:$BM$1004,1,MATCH(COLUMNS($AM$1006:AP1006),$AM$1006:$BM$1006,0)))),"Fix")))</f>
        <v xml:space="preserve"> </v>
      </c>
      <c r="F813" s="4" t="str">
        <f ca="1">IF(OR(INDEX($AG$2:$AG$1001,MATCH(ROWS($AF$2:AF813),$AF$2:$AF$1001,0),1)&gt;=100000,INDEX($AM$1005:$BM$1005,1,MATCH(COLUMNS($AM$1006:AQ1006),$AM$1006:$BM$1006,0))&gt;=100000), " ",IF(INDEX($AM$2:$BM$1001,MATCH(ROWS($AF$2:AF813),$AF$2:$AF$1001,0),MATCH(COLUMNS($AM$1006:AQ1006),$AM$1006:$BM$1006,0)), HYPERLINK("#",""), HYPERLINK(CONCATENATE("#metadata!", ADDRESS(INDEX($AH$2:$AH$1001,MATCH(ROWS($AF$2:AF813),$AF$2:$AF$1001,0),0), INDEX($AM$1004:$BM$1004,1,MATCH(COLUMNS($AM$1006:AQ1006),$AM$1006:$BM$1006,0)))),"Fix")))</f>
        <v xml:space="preserve"> </v>
      </c>
      <c r="G813" s="4" t="str">
        <f ca="1">IF(OR(INDEX($AG$2:$AG$1001,MATCH(ROWS($AF$2:AF813),$AF$2:$AF$1001,0),1)&gt;=100000,INDEX($AM$1005:$BM$1005,1,MATCH(COLUMNS($AM$1006:AR1006),$AM$1006:$BM$1006,0))&gt;=100000), " ",IF(INDEX($AM$2:$BM$1001,MATCH(ROWS($AF$2:AF813),$AF$2:$AF$1001,0),MATCH(COLUMNS($AM$1006:AR1006),$AM$1006:$BM$1006,0)), HYPERLINK("#",""), HYPERLINK(CONCATENATE("#metadata!", ADDRESS(INDEX($AH$2:$AH$1001,MATCH(ROWS($AF$2:AF813),$AF$2:$AF$1001,0),0), INDEX($AM$1004:$BM$1004,1,MATCH(COLUMNS($AM$1006:AR1006),$AM$1006:$BM$1006,0)))),"Fix")))</f>
        <v xml:space="preserve"> </v>
      </c>
      <c r="H813" s="4" t="str">
        <f ca="1">IF(OR(INDEX($AG$2:$AG$1001,MATCH(ROWS($AF$2:AF813),$AF$2:$AF$1001,0),1)&gt;=100000,INDEX($AM$1005:$BM$1005,1,MATCH(COLUMNS($AM$1006:AS1006),$AM$1006:$BM$1006,0))&gt;=100000), " ",IF(INDEX($AM$2:$BM$1001,MATCH(ROWS($AF$2:AF813),$AF$2:$AF$1001,0),MATCH(COLUMNS($AM$1006:AS1006),$AM$1006:$BM$1006,0)), HYPERLINK("#",""), HYPERLINK(CONCATENATE("#metadata!", ADDRESS(INDEX($AH$2:$AH$1001,MATCH(ROWS($AF$2:AF813),$AF$2:$AF$1001,0),0), INDEX($AM$1004:$BM$1004,1,MATCH(COLUMNS($AM$1006:AS1006),$AM$1006:$BM$1006,0)))),"Fix")))</f>
        <v xml:space="preserve"> </v>
      </c>
      <c r="I813" s="4" t="str">
        <f ca="1">IF(OR(INDEX($AG$2:$AG$1001,MATCH(ROWS($AF$2:AF813),$AF$2:$AF$1001,0),1)&gt;=100000,INDEX($AM$1005:$BM$1005,1,MATCH(COLUMNS($AM$1006:AT1006),$AM$1006:$BM$1006,0))&gt;=100000), " ",IF(INDEX($AM$2:$BM$1001,MATCH(ROWS($AF$2:AF813),$AF$2:$AF$1001,0),MATCH(COLUMNS($AM$1006:AT1006),$AM$1006:$BM$1006,0)), HYPERLINK("#",""), HYPERLINK(CONCATENATE("#metadata!", ADDRESS(INDEX($AH$2:$AH$1001,MATCH(ROWS($AF$2:AF813),$AF$2:$AF$1001,0),0), INDEX($AM$1004:$BM$1004,1,MATCH(COLUMNS($AM$1006:AT1006),$AM$1006:$BM$1006,0)))),"Fix")))</f>
        <v xml:space="preserve"> </v>
      </c>
      <c r="J813" s="4" t="str">
        <f ca="1">IF(OR(INDEX($AG$2:$AG$1001,MATCH(ROWS($AF$2:AF813),$AF$2:$AF$1001,0),1)&gt;=100000,INDEX($AM$1005:$BM$1005,1,MATCH(COLUMNS($AM$1006:AU1006),$AM$1006:$BM$1006,0))&gt;=100000), " ",IF(INDEX($AM$2:$BM$1001,MATCH(ROWS($AF$2:AF813),$AF$2:$AF$1001,0),MATCH(COLUMNS($AM$1006:AU1006),$AM$1006:$BM$1006,0)), HYPERLINK("#",""), HYPERLINK(CONCATENATE("#metadata!", ADDRESS(INDEX($AH$2:$AH$1001,MATCH(ROWS($AF$2:AF813),$AF$2:$AF$1001,0),0), INDEX($AM$1004:$BM$1004,1,MATCH(COLUMNS($AM$1006:AU1006),$AM$1006:$BM$1006,0)))),"Fix")))</f>
        <v xml:space="preserve"> </v>
      </c>
      <c r="K813" s="4" t="str">
        <f ca="1">IF(OR(INDEX($AG$2:$AG$1001,MATCH(ROWS($AF$2:AF813),$AF$2:$AF$1001,0),1)&gt;=100000,INDEX($AM$1005:$BM$1005,1,MATCH(COLUMNS($AM$1006:AV1006),$AM$1006:$BM$1006,0))&gt;=100000), " ",IF(INDEX($AM$2:$BM$1001,MATCH(ROWS($AF$2:AF813),$AF$2:$AF$1001,0),MATCH(COLUMNS($AM$1006:AV1006),$AM$1006:$BM$1006,0)), HYPERLINK("#",""), HYPERLINK(CONCATENATE("#metadata!", ADDRESS(INDEX($AH$2:$AH$1001,MATCH(ROWS($AF$2:AF813),$AF$2:$AF$1001,0),0), INDEX($AM$1004:$BM$1004,1,MATCH(COLUMNS($AM$1006:AV1006),$AM$1006:$BM$1006,0)))),"Fix")))</f>
        <v xml:space="preserve"> </v>
      </c>
      <c r="L813" s="4" t="str">
        <f ca="1">IF(OR(INDEX($AG$2:$AG$1001,MATCH(ROWS($AF$2:AF813),$AF$2:$AF$1001,0),1)&gt;=100000,INDEX($AM$1005:$BM$1005,1,MATCH(COLUMNS($AM$1006:AW1006),$AM$1006:$BM$1006,0))&gt;=100000), " ",IF(INDEX($AM$2:$BM$1001,MATCH(ROWS($AF$2:AF813),$AF$2:$AF$1001,0),MATCH(COLUMNS($AM$1006:AW1006),$AM$1006:$BM$1006,0)), HYPERLINK("#",""), HYPERLINK(CONCATENATE("#metadata!", ADDRESS(INDEX($AH$2:$AH$1001,MATCH(ROWS($AF$2:AF813),$AF$2:$AF$1001,0),0), INDEX($AM$1004:$BM$1004,1,MATCH(COLUMNS($AM$1006:AW1006),$AM$1006:$BM$1006,0)))),"Fix")))</f>
        <v xml:space="preserve"> </v>
      </c>
      <c r="M813" s="4" t="str">
        <f ca="1">IF(OR(INDEX($AG$2:$AG$1001,MATCH(ROWS($AF$2:AF813),$AF$2:$AF$1001,0),1)&gt;=100000,INDEX($AM$1005:$BM$1005,1,MATCH(COLUMNS($AM$1006:AX1006),$AM$1006:$BM$1006,0))&gt;=100000), " ",IF(INDEX($AM$2:$BM$1001,MATCH(ROWS($AF$2:AF813),$AF$2:$AF$1001,0),MATCH(COLUMNS($AM$1006:AX1006),$AM$1006:$BM$1006,0)), HYPERLINK("#",""), HYPERLINK(CONCATENATE("#metadata!", ADDRESS(INDEX($AH$2:$AH$1001,MATCH(ROWS($AF$2:AF813),$AF$2:$AF$1001,0),0), INDEX($AM$1004:$BM$1004,1,MATCH(COLUMNS($AM$1006:AX1006),$AM$1006:$BM$1006,0)))),"Fix")))</f>
        <v xml:space="preserve"> </v>
      </c>
      <c r="N813" s="4" t="str">
        <f ca="1">IF(OR(INDEX($AG$2:$AG$1001,MATCH(ROWS($AF$2:AF813),$AF$2:$AF$1001,0),1)&gt;=100000,INDEX($AM$1005:$BM$1005,1,MATCH(COLUMNS($AM$1006:AY1006),$AM$1006:$BM$1006,0))&gt;=100000), " ",IF(INDEX($AM$2:$BM$1001,MATCH(ROWS($AF$2:AF813),$AF$2:$AF$1001,0),MATCH(COLUMNS($AM$1006:AY1006),$AM$1006:$BM$1006,0)), HYPERLINK("#",""), HYPERLINK(CONCATENATE("#metadata!", ADDRESS(INDEX($AH$2:$AH$1001,MATCH(ROWS($AF$2:AF813),$AF$2:$AF$1001,0),0), INDEX($AM$1004:$BM$1004,1,MATCH(COLUMNS($AM$1006:AY1006),$AM$1006:$BM$1006,0)))),"Fix")))</f>
        <v xml:space="preserve"> </v>
      </c>
      <c r="O813" s="4" t="str">
        <f ca="1">IF(OR(INDEX($AG$2:$AG$1001,MATCH(ROWS($AF$2:AF813),$AF$2:$AF$1001,0),1)&gt;=100000,INDEX($AM$1005:$BM$1005,1,MATCH(COLUMNS($AM$1006:AZ1006),$AM$1006:$BM$1006,0))&gt;=100000), " ",IF(INDEX($AM$2:$BM$1001,MATCH(ROWS($AF$2:AF813),$AF$2:$AF$1001,0),MATCH(COLUMNS($AM$1006:AZ1006),$AM$1006:$BM$1006,0)), HYPERLINK("#",""), HYPERLINK(CONCATENATE("#metadata!", ADDRESS(INDEX($AH$2:$AH$1001,MATCH(ROWS($AF$2:AF813),$AF$2:$AF$1001,0),0), INDEX($AM$1004:$BM$1004,1,MATCH(COLUMNS($AM$1006:AZ1006),$AM$1006:$BM$1006,0)))),"Fix")))</f>
        <v xml:space="preserve"> </v>
      </c>
      <c r="P813" s="4" t="str">
        <f ca="1">IF(OR(INDEX($AG$2:$AG$1001,MATCH(ROWS($AF$2:AF813),$AF$2:$AF$1001,0),1)&gt;=100000,INDEX($AM$1005:$BM$1005,1,MATCH(COLUMNS($AM$1006:BA1006),$AM$1006:$BM$1006,0))&gt;=100000), " ",IF(INDEX($AM$2:$BM$1001,MATCH(ROWS($AF$2:AF813),$AF$2:$AF$1001,0),MATCH(COLUMNS($AM$1006:BA1006),$AM$1006:$BM$1006,0)), HYPERLINK("#",""), HYPERLINK(CONCATENATE("#metadata!", ADDRESS(INDEX($AH$2:$AH$1001,MATCH(ROWS($AF$2:AF813),$AF$2:$AF$1001,0),0), INDEX($AM$1004:$BM$1004,1,MATCH(COLUMNS($AM$1006:BA1006),$AM$1006:$BM$1006,0)))),"Fix")))</f>
        <v xml:space="preserve"> </v>
      </c>
      <c r="Q813" s="4" t="str">
        <f ca="1">IF(OR(INDEX($AG$2:$AG$1001,MATCH(ROWS($AF$2:AF813),$AF$2:$AF$1001,0),1)&gt;=100000,INDEX($AM$1005:$BM$1005,1,MATCH(COLUMNS($AM$1006:BB1006),$AM$1006:$BM$1006,0))&gt;=100000), " ",IF(INDEX($AM$2:$BM$1001,MATCH(ROWS($AF$2:AF813),$AF$2:$AF$1001,0),MATCH(COLUMNS($AM$1006:BB1006),$AM$1006:$BM$1006,0)), HYPERLINK("#",""), HYPERLINK(CONCATENATE("#metadata!", ADDRESS(INDEX($AH$2:$AH$1001,MATCH(ROWS($AF$2:AF813),$AF$2:$AF$1001,0),0), INDEX($AM$1004:$BM$1004,1,MATCH(COLUMNS($AM$1006:BB1006),$AM$1006:$BM$1006,0)))),"Fix")))</f>
        <v xml:space="preserve"> </v>
      </c>
      <c r="R813" s="4" t="str">
        <f ca="1">IF(OR(INDEX($AG$2:$AG$1001,MATCH(ROWS($AF$2:AF813),$AF$2:$AF$1001,0),1)&gt;=100000,INDEX($AM$1005:$BM$1005,1,MATCH(COLUMNS($AM$1006:BC1006),$AM$1006:$BM$1006,0))&gt;=100000), " ",IF(INDEX($AM$2:$BM$1001,MATCH(ROWS($AF$2:AF813),$AF$2:$AF$1001,0),MATCH(COLUMNS($AM$1006:BC1006),$AM$1006:$BM$1006,0)), HYPERLINK("#",""), HYPERLINK(CONCATENATE("#metadata!", ADDRESS(INDEX($AH$2:$AH$1001,MATCH(ROWS($AF$2:AF813),$AF$2:$AF$1001,0),0), INDEX($AM$1004:$BM$1004,1,MATCH(COLUMNS($AM$1006:BC1006),$AM$1006:$BM$1006,0)))),"Fix")))</f>
        <v xml:space="preserve"> </v>
      </c>
      <c r="S813" s="4" t="str">
        <f ca="1">IF(OR(INDEX($AG$2:$AG$1001,MATCH(ROWS($AF$2:AF813),$AF$2:$AF$1001,0),1)&gt;=100000,INDEX($AM$1005:$BM$1005,1,MATCH(COLUMNS($AM$1006:BD1006),$AM$1006:$BM$1006,0))&gt;=100000), " ",IF(INDEX($AM$2:$BM$1001,MATCH(ROWS($AF$2:AF813),$AF$2:$AF$1001,0),MATCH(COLUMNS($AM$1006:BD1006),$AM$1006:$BM$1006,0)), HYPERLINK("#",""), HYPERLINK(CONCATENATE("#metadata!", ADDRESS(INDEX($AH$2:$AH$1001,MATCH(ROWS($AF$2:AF813),$AF$2:$AF$1001,0),0), INDEX($AM$1004:$BM$1004,1,MATCH(COLUMNS($AM$1006:BD1006),$AM$1006:$BM$1006,0)))),"Fix")))</f>
        <v xml:space="preserve"> </v>
      </c>
      <c r="T813" s="4" t="str">
        <f ca="1">IF(OR(INDEX($AG$2:$AG$1001,MATCH(ROWS($AF$2:AF813),$AF$2:$AF$1001,0),1)&gt;=100000,INDEX($AM$1005:$BM$1005,1,MATCH(COLUMNS($AM$1006:BE1006),$AM$1006:$BM$1006,0))&gt;=100000), " ",IF(INDEX($AM$2:$BM$1001,MATCH(ROWS($AF$2:AF813),$AF$2:$AF$1001,0),MATCH(COLUMNS($AM$1006:BE1006),$AM$1006:$BM$1006,0)), HYPERLINK("#",""), HYPERLINK(CONCATENATE("#metadata!", ADDRESS(INDEX($AH$2:$AH$1001,MATCH(ROWS($AF$2:AF813),$AF$2:$AF$1001,0),0), INDEX($AM$1004:$BM$1004,1,MATCH(COLUMNS($AM$1006:BE1006),$AM$1006:$BM$1006,0)))),"Fix")))</f>
        <v xml:space="preserve"> </v>
      </c>
      <c r="U813" s="4" t="str">
        <f ca="1">IF(OR(INDEX($AG$2:$AG$1001,MATCH(ROWS($AF$2:AF813),$AF$2:$AF$1001,0),1)&gt;=100000,INDEX($AM$1005:$BM$1005,1,MATCH(COLUMNS($AM$1006:BF1006),$AM$1006:$BM$1006,0))&gt;=100000), " ",IF(INDEX($AM$2:$BM$1001,MATCH(ROWS($AF$2:AF813),$AF$2:$AF$1001,0),MATCH(COLUMNS($AM$1006:BF1006),$AM$1006:$BM$1006,0)), HYPERLINK("#",""), HYPERLINK(CONCATENATE("#metadata!", ADDRESS(INDEX($AH$2:$AH$1001,MATCH(ROWS($AF$2:AF813),$AF$2:$AF$1001,0),0), INDEX($AM$1004:$BM$1004,1,MATCH(COLUMNS($AM$1006:BF1006),$AM$1006:$BM$1006,0)))),"Fix")))</f>
        <v xml:space="preserve"> </v>
      </c>
      <c r="V813" s="4" t="str">
        <f ca="1">IF(OR(INDEX($AG$2:$AG$1001,MATCH(ROWS($AF$2:AF813),$AF$2:$AF$1001,0),1)&gt;=100000,INDEX($AM$1005:$BM$1005,1,MATCH(COLUMNS($AM$1006:BG1006),$AM$1006:$BM$1006,0))&gt;=100000), " ",IF(INDEX($AM$2:$BM$1001,MATCH(ROWS($AF$2:AF813),$AF$2:$AF$1001,0),MATCH(COLUMNS($AM$1006:BG1006),$AM$1006:$BM$1006,0)), HYPERLINK("#",""), HYPERLINK(CONCATENATE("#metadata!", ADDRESS(INDEX($AH$2:$AH$1001,MATCH(ROWS($AF$2:AF813),$AF$2:$AF$1001,0),0), INDEX($AM$1004:$BM$1004,1,MATCH(COLUMNS($AM$1006:BG1006),$AM$1006:$BM$1006,0)))),"Fix")))</f>
        <v xml:space="preserve"> </v>
      </c>
      <c r="W813" s="4" t="str">
        <f ca="1">IF(OR(INDEX($AG$2:$AG$1001,MATCH(ROWS($AF$2:AF813),$AF$2:$AF$1001,0),1)&gt;=100000,INDEX($AM$1005:$BM$1005,1,MATCH(COLUMNS($AM$1006:BH1006),$AM$1006:$BM$1006,0))&gt;=100000), " ",IF(INDEX($AM$2:$BM$1001,MATCH(ROWS($AF$2:AF813),$AF$2:$AF$1001,0),MATCH(COLUMNS($AM$1006:BH1006),$AM$1006:$BM$1006,0)), HYPERLINK("#",""), HYPERLINK(CONCATENATE("#metadata!", ADDRESS(INDEX($AH$2:$AH$1001,MATCH(ROWS($AF$2:AF813),$AF$2:$AF$1001,0),0), INDEX($AM$1004:$BM$1004,1,MATCH(COLUMNS($AM$1006:BH1006),$AM$1006:$BM$1006,0)))),"Fix")))</f>
        <v xml:space="preserve"> </v>
      </c>
      <c r="X813" s="4" t="str">
        <f ca="1">IF(OR(INDEX($AG$2:$AG$1001,MATCH(ROWS($AF$2:AF813),$AF$2:$AF$1001,0),1)&gt;=100000,INDEX($AM$1005:$BM$1005,1,MATCH(COLUMNS($AM$1006:BI1006),$AM$1006:$BM$1006,0))&gt;=100000), " ",IF(INDEX($AM$2:$BM$1001,MATCH(ROWS($AF$2:AF813),$AF$2:$AF$1001,0),MATCH(COLUMNS($AM$1006:BI1006),$AM$1006:$BM$1006,0)), HYPERLINK("#",""), HYPERLINK(CONCATENATE("#metadata!", ADDRESS(INDEX($AH$2:$AH$1001,MATCH(ROWS($AF$2:AF813),$AF$2:$AF$1001,0),0), INDEX($AM$1004:$BM$1004,1,MATCH(COLUMNS($AM$1006:BI1006),$AM$1006:$BM$1006,0)))),"Fix")))</f>
        <v xml:space="preserve"> </v>
      </c>
      <c r="Y813" s="4" t="str">
        <f ca="1">IF(OR(INDEX($AG$2:$AG$1001,MATCH(ROWS($AF$2:AF813),$AF$2:$AF$1001,0),1)&gt;=100000,INDEX($AM$1005:$BM$1005,1,MATCH(COLUMNS($AM$1006:BJ1006),$AM$1006:$BM$1006,0))&gt;=100000), " ",IF(INDEX($AM$2:$BM$1001,MATCH(ROWS($AF$2:AF813),$AF$2:$AF$1001,0),MATCH(COLUMNS($AM$1006:BJ1006),$AM$1006:$BM$1006,0)), HYPERLINK("#",""), HYPERLINK(CONCATENATE("#metadata!", ADDRESS(INDEX($AH$2:$AH$1001,MATCH(ROWS($AF$2:AF813),$AF$2:$AF$1001,0),0), INDEX($AM$1004:$BM$1004,1,MATCH(COLUMNS($AM$1006:BJ1006),$AM$1006:$BM$1006,0)))),"Fix")))</f>
        <v xml:space="preserve"> </v>
      </c>
      <c r="Z813" s="4" t="str">
        <f ca="1">IF(OR(INDEX($AG$2:$AG$1001,MATCH(ROWS($AF$2:AF813),$AF$2:$AF$1001,0),1)&gt;=100000,INDEX($AM$1005:$BM$1005,1,MATCH(COLUMNS($AM$1006:BK1006),$AM$1006:$BM$1006,0))&gt;=100000), " ",IF(INDEX($AM$2:$BM$1001,MATCH(ROWS($AF$2:AF813),$AF$2:$AF$1001,0),MATCH(COLUMNS($AM$1006:BK1006),$AM$1006:$BM$1006,0)), HYPERLINK("#",""), HYPERLINK(CONCATENATE("#metadata!", ADDRESS(INDEX($AH$2:$AH$1001,MATCH(ROWS($AF$2:AF813),$AF$2:$AF$1001,0),0), INDEX($AM$1004:$BM$1004,1,MATCH(COLUMNS($AM$1006:BK1006),$AM$1006:$BM$1006,0)))),"Fix")))</f>
        <v xml:space="preserve"> </v>
      </c>
      <c r="AA813" s="4" t="str">
        <f ca="1">IF(OR(INDEX($AG$2:$AG$1001,MATCH(ROWS($AF$2:AF813),$AF$2:$AF$1001,0),1)&gt;=100000,INDEX($AM$1005:$BM$1005,1,MATCH(COLUMNS($AM$1006:BL1006),$AM$1006:$BM$1006,0))&gt;=100000), " ",IF(INDEX($AM$2:$BM$1001,MATCH(ROWS($AF$2:AF813),$AF$2:$AF$1001,0),MATCH(COLUMNS($AM$1006:BL1006),$AM$1006:$BM$1006,0)), HYPERLINK("#",""), HYPERLINK(CONCATENATE("#metadata!", ADDRESS(INDEX($AH$2:$AH$1001,MATCH(ROWS($AF$2:AF813),$AF$2:$AF$1001,0),0), INDEX($AM$1004:$BM$1004,1,MATCH(COLUMNS($AM$1006:BL1006),$AM$1006:$BM$1006,0)))),"Fix")))</f>
        <v xml:space="preserve"> </v>
      </c>
      <c r="AB813" s="4" t="str">
        <f ca="1">IF(OR(INDEX($AG$2:$AG$1001,MATCH(ROWS($AF$2:AF813),$AF$2:$AF$1001,0),1)&gt;=100000,INDEX($AM$1005:$BM$1005,1,MATCH(COLUMNS($AM$1006:BM1006),$AM$1006:$BM$1006,0))&gt;=100000), " ",IF(INDEX($AM$2:$BM$1001,MATCH(ROWS($AF$2:AF813),$AF$2:$AF$1001,0),MATCH(COLUMNS($AM$1006:BM1006),$AM$1006:$BM$1006,0)), HYPERLINK("#",""), HYPERLINK(CONCATENATE("#metadata!", ADDRESS(INDEX($AH$2:$AH$1001,MATCH(ROWS($AF$2:AF813),$AF$2:$AF$1001,0),0), INDEX($AM$1004:$BM$1004,1,MATCH(COLUMNS($AM$1006:BM1006),$AM$1006:$BM$1006,0)))),"Fix")))</f>
        <v xml:space="preserve"> </v>
      </c>
      <c r="AF813">
        <v>812</v>
      </c>
      <c r="AG813">
        <v>100813</v>
      </c>
      <c r="AH813">
        <v>813</v>
      </c>
      <c r="AI813" t="b">
        <f t="shared" si="12"/>
        <v>1</v>
      </c>
      <c r="AJ813" t="b">
        <f>COUNTBLANK(metadata!B813:AB813)=COLUMNS(metadata!B813:AB813)</f>
        <v>1</v>
      </c>
      <c r="AK813" t="str">
        <v/>
      </c>
      <c r="AM813" t="b">
        <f ca="1">AND(IF(metadata!B813="",FALSE,TRUE),COUNTIF(metadata!B:B, metadata!B813) = 1,NOT(ISERROR(SUMPRODUCT(SEARCH(MID(metadata!B813,ROW(INDIRECT("1:"&amp;LEN(metadata!B813))), 1),"0123456789abcdefghijklmnopqrstuvwxyzABCDEFGHIJKLMNOPQRSTUVWXYZ.")))))</f>
        <v>0</v>
      </c>
      <c r="AN813" t="b">
        <f ca="1">OR(AND(IF(metadata!C813="",FALSE,TRUE),OR(EXACT(metadata!C813,"missing: not collected"),EXACT(metadata!C813,"missing: not provided"),EXACT(metadata!C813,"missing: restricted access"))),AND(IF(metadata!C813="",FALSE,TRUE),AND(AND(IFERROR(INT(LEFT(metadata!C813,4))&gt;1900,FALSE),IFERROR(INT(LEFT(metadata!C813,4))&lt;=YEAR(NOW()),FALSE)), OR(MID(metadata!C813,5,1)="", AND(AND(MID(metadata!C813,5,1)="-",IFERROR(INT(MID(metadata!C813,6,1))&gt;=0,FALSE),IFERROR(INT(MID(metadata!C813,6,1))&lt;=1,FALSE),NOT(MID(metadata!C813,7,1)=""),IFERROR(INT(MID(metadata!C813,6,2))&gt;=1,FALSE),IFERROR(INT(MID(metadata!C813,6,2))&lt;=12,FALSE)), OR(MID(metadata!C813,8,1)="", AND(AND(MID(metadata!C813,8,1)="-",IFERROR(INT(MID(metadata!C813,9,1))&gt;=0,FALSE),IFERROR(INT(MID(metadata!C813,9,1))&lt;=3,FALSE),NOT(MID(metadata!C813,10,1)=""),IFERROR(INT(MID(metadata!C813,9,2))&gt;=1,FALSE),IFERROR(INT(MID(metadata!C813,9,2))&lt;=31,FALSE)), OR(MID(metadata!C813,11,1)="", AND(AND(MID(metadata!C813,11,1)=" ",IFERROR(INT(MID(metadata!C813,12,1))&gt;=0,FALSE),IFERROR(INT(MID(metadata!C813,12,1))&lt;=2,FALSE),NOT(MID(metadata!C813,13,1)=""),IFERROR(INT(MID(metadata!C813,12,2))&gt;=0,FALSE),IFERROR(INT(MID(metadata!C813,12,2))&lt;=23,FALSE)), OR(MID(metadata!C813,14,1)="", AND(AND(MID(metadata!C813,14,1)=":",IFERROR(INT(MID(metadata!C813,15,1))&gt;=0,FALSE),IFERROR(INT(MID(metadata!C813,15,1))&lt;=5,FALSE),NOT(MID(metadata!C813,16,1)=""),IFERROR(INT(MID(metadata!C813,15,2))&gt;=0,FALSE),IFERROR(INT(MID(metadata!C813,15,2))&lt;=59,FALSE)), OR(MID(metadata!C813,17,1)="", AND(AND(MID(metadata!C813,17,1)=":",IFERROR(INT(MID(metadata!C813,18,1))&gt;=0,FALSE),IFERROR(INT(MID(metadata!C813,18,1))&lt;=5,FALSE),NOT(MID(metadata!C813,19,1)=""),IFERROR(INT(MID(metadata!C813,18,2))&gt;=0,FALSE),IFERROR(INT(MID(metadata!C813,18,2))&lt;=59,FALSE)), LEN(metadata!C813)&lt;=19)))))))))))))</f>
        <v>0</v>
      </c>
      <c r="AO813" t="b">
        <f>AND(IF(metadata!D813="",FALSE,TRUE),EXACT(metadata!D813,"Not applicable"))</f>
        <v>0</v>
      </c>
      <c r="AP813" t="b">
        <f>IF(metadata!E813="",FALSE,TRUE)</f>
        <v>0</v>
      </c>
      <c r="AQ813" t="b">
        <f>OR(AND(IF(metadata!F813="",FALSE,TRUE),OR(EXACT(metadata!F813,"missing: not collected"),EXACT(metadata!F813,"missing: not provided"))),AND(IF(metadata!F813="",FALSE,TRUE),OR(EXACT(metadata!F813,"TRUE"),EXACT(metadata!F813,"FALSE"))))</f>
        <v>0</v>
      </c>
      <c r="AR813" t="b">
        <f>OR(AND(IF(metadata!G813="",FALSE,TRUE),OR(EXACT(metadata!G813,"missing: not collected"),EXACT(metadata!G813,"missing: not provided"),EXACT(metadata!G813,"missing: restricted access"))),AND(IF(metadata!G813="",FALSE,ISNUMBER(VALUE(metadata!G813))),metadata!G813&gt;=-413))</f>
        <v>0</v>
      </c>
      <c r="AS813" t="b">
        <f>AND(IF(metadata!H813="",FALSE,TRUE),EXACT(metadata!H813,"meters"))</f>
        <v>0</v>
      </c>
      <c r="AT813" t="b">
        <f>AND(IF(metadata!I813="",FALSE,TRUE),OR(EXACT(metadata!I813,"Host-associated"),EXACT(metadata!I813,"Free-living")))</f>
        <v>0</v>
      </c>
      <c r="AU813" t="b">
        <f>AND(IF(metadata!J813="",FALSE,TRUE),OR(EXACT(metadata!J813,"Animal"),EXACT(metadata!J813,"Fungus"),EXACT(metadata!J813,"Plant"),EXACT(metadata!J813,"Saline"),EXACT(metadata!J813,"Non-saline")))</f>
        <v>0</v>
      </c>
      <c r="AV813" t="b">
        <f>AND(IF(metadata!K813="",FALSE,TRUE),OR(EXACT(metadata!K813,"Plant secretion"),EXACT(metadata!K813,"Plant rhizosphere"),EXACT(metadata!K813,"Plant surface"),EXACT(metadata!K813,"Plant corpus"),EXACT(metadata!K813,"Fungus surface"),EXACT(metadata!K813,"Fungus corpus"),EXACT(metadata!K813,"Animal surface"),EXACT(metadata!K813,"Animal proximal gut"),EXACT(metadata!K813,"Animal corpus"),EXACT(metadata!K813,"Animal distal gut"),EXACT(metadata!K813,"Animal secretion"),EXACT(metadata!K813,"Sub-surface (non-saline)"),EXACT(metadata!K813,"Surface (non-saline)"),EXACT(metadata!K813,"Water (non-saline)"),EXACT(metadata!K813,"Soil (non-saline)"),EXACT(metadata!K813,"Aerosol (non-saline)"),EXACT(metadata!K813,"Sediment (non-saline)"),EXACT(metadata!K813,"Surface (saline)"),EXACT(metadata!K813,"Water (saline)"),EXACT(metadata!K813,"Hypersaline (saline)"),EXACT(metadata!K813,"Aerosol (saline)"),EXACT(metadata!K813,"Sediment (saline)")))</f>
        <v>0</v>
      </c>
      <c r="AW813" t="b">
        <f>IF(metadata!L813="",FALSE,TRUE)</f>
        <v>0</v>
      </c>
      <c r="AX813" t="b">
        <f>IF(metadata!M813="",FALSE,TRUE)</f>
        <v>0</v>
      </c>
      <c r="AY813" t="b">
        <f>IF(metadata!N813="",FALSE,TRUE)</f>
        <v>0</v>
      </c>
      <c r="AZ813" t="b">
        <f>OR(AND(IF(metadata!O813="",FALSE,TRUE),OR(EXACT(metadata!O813,"missing: not collected"),EXACT(metadata!O813,"missing: not provided"),EXACT(metadata!O813,"missing: restricted access"))),AND(IF(metadata!O813="",FALSE,TRUE),OR(EXACT(metadata!O813,"air"),EXACT(metadata!O813,"built environment"),EXACT(metadata!O813,"host-associated"),EXACT(metadata!O813,"human-associated"),EXACT(metadata!O813,"human-skin"),EXACT(metadata!O813,"human-oral"),EXACT(metadata!O813,"human-gut"),EXACT(metadata!O813,"human-vaginal"),EXACT(metadata!O813,"microbial mat/biofilm"),EXACT(metadata!O813,"misc environment"),EXACT(metadata!O813,"plant-associated"),EXACT(metadata!O813,"sediment"),EXACT(metadata!O813,"soil"),EXACT(metadata!O813,"wastewater/sludge"),EXACT(metadata!O813,"water"))))</f>
        <v>0</v>
      </c>
      <c r="BA813" t="b">
        <f>IF(metadata!P813="",FALSE,TRUE)</f>
        <v>0</v>
      </c>
      <c r="BB813" t="b">
        <f>IF(metadata!Q813="",FALSE,TRUE)</f>
        <v>0</v>
      </c>
      <c r="BC813" t="b">
        <f>OR(AND(IF(metadata!R813="",FALSE,TRUE),OR(EXACT(metadata!R813,"missing: not collected"),EXACT(metadata!R813,"missing: not provided"),EXACT(metadata!R813,"missing: restricted access"))),AND(IF(metadata!R813="",FALSE,ISNUMBER(VALUE(metadata!R813))),metadata!R813&gt;=-90,metadata!R813&lt;=90))</f>
        <v>0</v>
      </c>
      <c r="BD813" t="b">
        <f>AND(IF(metadata!S813="",FALSE,TRUE),EXACT(metadata!S813,"Decimal degrees"))</f>
        <v>0</v>
      </c>
      <c r="BE813" t="b">
        <f>OR(AND(IF(metadata!T813="",FALSE,TRUE),OR(EXACT(metadata!T813,"missing: not collected"),EXACT(metadata!T813,"missing: not provided"),EXACT(metadata!T813,"missing: restricted access"))),AND(IF(metadata!T813="",FALSE,ISNUMBER(VALUE(metadata!T813))),metadata!T813&gt;=-180,metadata!T813&lt;=180))</f>
        <v>0</v>
      </c>
      <c r="BF813" t="b">
        <f>AND(IF(metadata!U813="",FALSE,TRUE),EXACT(metadata!U813,"Decimal degrees"))</f>
        <v>0</v>
      </c>
      <c r="BG813" t="b">
        <f>IF(metadata!V813="",FALSE,TRUE)</f>
        <v>0</v>
      </c>
      <c r="BH813" t="b">
        <f>OR(AND(IF(metadata!W813="",FALSE,TRUE),OR(EXACT(metadata!W813,"missing: not collected"),EXACT(metadata!W813,"missing: not provided"),EXACT(metadata!W813,"missing: restricted access"))),AND(IF(metadata!W813="",FALSE,TRUE),OR(EXACT(metadata!W813,"TRUE"),EXACT(metadata!W813,"FALSE"))))</f>
        <v>0</v>
      </c>
      <c r="BI813" t="b">
        <f>AND(IF(metadata!X813="",FALSE,TRUE),EXACT(metadata!X813,"other"))</f>
        <v>0</v>
      </c>
      <c r="BJ813" t="b">
        <f>IF(metadata!Y813="",FALSE,TRUE)</f>
        <v>0</v>
      </c>
      <c r="BK813" t="b">
        <f>OR(AND(IF(metadata!Z813="",FALSE,TRUE),OR(EXACT(metadata!Z813,"missing: not collected"),EXACT(metadata!Z813,"missing: not provided"))),AND(IF(metadata!Z813="",FALSE,IF(ISERROR(INT(metadata!Z813)),FALSE,INT(metadata!Z813)=metadata!Z813)),metadata!Z813&gt;0))</f>
        <v>0</v>
      </c>
      <c r="BL813" t="b">
        <f>AND(IF(metadata!AA813="",FALSE,TRUE),EXACT(metadata!AA813,"Not applicable"))</f>
        <v>0</v>
      </c>
      <c r="BM813" t="b">
        <f>IF(metadata!AB813="",FALSE,TRUE)</f>
        <v>0</v>
      </c>
    </row>
    <row r="814" spans="1:65" x14ac:dyDescent="0.2">
      <c r="A814" s="5" t="str">
        <f ca="1">IF(B814=" "," ",HYPERLINK(CONCATENATE("#metadata!",ADDRESS(INDEX($AH$2:$AH$1001,MATCH(ROWS($AF$2:AF814),$AF$2:$AF$1001,0),0),1)),INDEX($AK$2:$AK$1001,MATCH(ROWS($AF$2:AF814),$AF$2:$AF$1001,0),0)))</f>
        <v xml:space="preserve"> </v>
      </c>
      <c r="B814" s="4" t="str">
        <f ca="1">IF(OR(INDEX($AG$2:$AG$1001,MATCH(ROWS($AF$2:AF814),$AF$2:$AF$1001,0),1)&gt;=100000,INDEX($AM$1005:$BM$1005,1,MATCH(COLUMNS($AM$1006:AM1006),$AM$1006:$BM$1006,0))&gt;=100000), " ",IF(INDEX($AM$2:$BM$1001,MATCH(ROWS($AF$2:AF814),$AF$2:$AF$1001,0),MATCH(COLUMNS($AM$1006:AM1006),$AM$1006:$BM$1006,0)), HYPERLINK("#",""), HYPERLINK(CONCATENATE("#metadata!", ADDRESS(INDEX($AH$2:$AH$1001,MATCH(ROWS($AF$2:AF814),$AF$2:$AF$1001,0),0), INDEX($AM$1004:$BM$1004,1,MATCH(COLUMNS($AM$1006:AM1006),$AM$1006:$BM$1006,0)))),"Fix")))</f>
        <v xml:space="preserve"> </v>
      </c>
      <c r="C814" s="4" t="str">
        <f ca="1">IF(OR(INDEX($AG$2:$AG$1001,MATCH(ROWS($AF$2:AF814),$AF$2:$AF$1001,0),1)&gt;=100000,INDEX($AM$1005:$BM$1005,1,MATCH(COLUMNS($AM$1006:AN1006),$AM$1006:$BM$1006,0))&gt;=100000), " ",IF(INDEX($AM$2:$BM$1001,MATCH(ROWS($AF$2:AF814),$AF$2:$AF$1001,0),MATCH(COLUMNS($AM$1006:AN1006),$AM$1006:$BM$1006,0)), HYPERLINK("#",""), HYPERLINK(CONCATENATE("#metadata!", ADDRESS(INDEX($AH$2:$AH$1001,MATCH(ROWS($AF$2:AF814),$AF$2:$AF$1001,0),0), INDEX($AM$1004:$BM$1004,1,MATCH(COLUMNS($AM$1006:AN1006),$AM$1006:$BM$1006,0)))),"Fix")))</f>
        <v xml:space="preserve"> </v>
      </c>
      <c r="D814" s="4" t="str">
        <f ca="1">IF(OR(INDEX($AG$2:$AG$1001,MATCH(ROWS($AF$2:AF814),$AF$2:$AF$1001,0),1)&gt;=100000,INDEX($AM$1005:$BM$1005,1,MATCH(COLUMNS($AM$1006:AO1006),$AM$1006:$BM$1006,0))&gt;=100000), " ",IF(INDEX($AM$2:$BM$1001,MATCH(ROWS($AF$2:AF814),$AF$2:$AF$1001,0),MATCH(COLUMNS($AM$1006:AO1006),$AM$1006:$BM$1006,0)), HYPERLINK("#",""), HYPERLINK(CONCATENATE("#metadata!", ADDRESS(INDEX($AH$2:$AH$1001,MATCH(ROWS($AF$2:AF814),$AF$2:$AF$1001,0),0), INDEX($AM$1004:$BM$1004,1,MATCH(COLUMNS($AM$1006:AO1006),$AM$1006:$BM$1006,0)))),"Fix")))</f>
        <v xml:space="preserve"> </v>
      </c>
      <c r="E814" s="4" t="str">
        <f ca="1">IF(OR(INDEX($AG$2:$AG$1001,MATCH(ROWS($AF$2:AF814),$AF$2:$AF$1001,0),1)&gt;=100000,INDEX($AM$1005:$BM$1005,1,MATCH(COLUMNS($AM$1006:AP1006),$AM$1006:$BM$1006,0))&gt;=100000), " ",IF(INDEX($AM$2:$BM$1001,MATCH(ROWS($AF$2:AF814),$AF$2:$AF$1001,0),MATCH(COLUMNS($AM$1006:AP1006),$AM$1006:$BM$1006,0)), HYPERLINK("#",""), HYPERLINK(CONCATENATE("#metadata!", ADDRESS(INDEX($AH$2:$AH$1001,MATCH(ROWS($AF$2:AF814),$AF$2:$AF$1001,0),0), INDEX($AM$1004:$BM$1004,1,MATCH(COLUMNS($AM$1006:AP1006),$AM$1006:$BM$1006,0)))),"Fix")))</f>
        <v xml:space="preserve"> </v>
      </c>
      <c r="F814" s="4" t="str">
        <f ca="1">IF(OR(INDEX($AG$2:$AG$1001,MATCH(ROWS($AF$2:AF814),$AF$2:$AF$1001,0),1)&gt;=100000,INDEX($AM$1005:$BM$1005,1,MATCH(COLUMNS($AM$1006:AQ1006),$AM$1006:$BM$1006,0))&gt;=100000), " ",IF(INDEX($AM$2:$BM$1001,MATCH(ROWS($AF$2:AF814),$AF$2:$AF$1001,0),MATCH(COLUMNS($AM$1006:AQ1006),$AM$1006:$BM$1006,0)), HYPERLINK("#",""), HYPERLINK(CONCATENATE("#metadata!", ADDRESS(INDEX($AH$2:$AH$1001,MATCH(ROWS($AF$2:AF814),$AF$2:$AF$1001,0),0), INDEX($AM$1004:$BM$1004,1,MATCH(COLUMNS($AM$1006:AQ1006),$AM$1006:$BM$1006,0)))),"Fix")))</f>
        <v xml:space="preserve"> </v>
      </c>
      <c r="G814" s="4" t="str">
        <f ca="1">IF(OR(INDEX($AG$2:$AG$1001,MATCH(ROWS($AF$2:AF814),$AF$2:$AF$1001,0),1)&gt;=100000,INDEX($AM$1005:$BM$1005,1,MATCH(COLUMNS($AM$1006:AR1006),$AM$1006:$BM$1006,0))&gt;=100000), " ",IF(INDEX($AM$2:$BM$1001,MATCH(ROWS($AF$2:AF814),$AF$2:$AF$1001,0),MATCH(COLUMNS($AM$1006:AR1006),$AM$1006:$BM$1006,0)), HYPERLINK("#",""), HYPERLINK(CONCATENATE("#metadata!", ADDRESS(INDEX($AH$2:$AH$1001,MATCH(ROWS($AF$2:AF814),$AF$2:$AF$1001,0),0), INDEX($AM$1004:$BM$1004,1,MATCH(COLUMNS($AM$1006:AR1006),$AM$1006:$BM$1006,0)))),"Fix")))</f>
        <v xml:space="preserve"> </v>
      </c>
      <c r="H814" s="4" t="str">
        <f ca="1">IF(OR(INDEX($AG$2:$AG$1001,MATCH(ROWS($AF$2:AF814),$AF$2:$AF$1001,0),1)&gt;=100000,INDEX($AM$1005:$BM$1005,1,MATCH(COLUMNS($AM$1006:AS1006),$AM$1006:$BM$1006,0))&gt;=100000), " ",IF(INDEX($AM$2:$BM$1001,MATCH(ROWS($AF$2:AF814),$AF$2:$AF$1001,0),MATCH(COLUMNS($AM$1006:AS1006),$AM$1006:$BM$1006,0)), HYPERLINK("#",""), HYPERLINK(CONCATENATE("#metadata!", ADDRESS(INDEX($AH$2:$AH$1001,MATCH(ROWS($AF$2:AF814),$AF$2:$AF$1001,0),0), INDEX($AM$1004:$BM$1004,1,MATCH(COLUMNS($AM$1006:AS1006),$AM$1006:$BM$1006,0)))),"Fix")))</f>
        <v xml:space="preserve"> </v>
      </c>
      <c r="I814" s="4" t="str">
        <f ca="1">IF(OR(INDEX($AG$2:$AG$1001,MATCH(ROWS($AF$2:AF814),$AF$2:$AF$1001,0),1)&gt;=100000,INDEX($AM$1005:$BM$1005,1,MATCH(COLUMNS($AM$1006:AT1006),$AM$1006:$BM$1006,0))&gt;=100000), " ",IF(INDEX($AM$2:$BM$1001,MATCH(ROWS($AF$2:AF814),$AF$2:$AF$1001,0),MATCH(COLUMNS($AM$1006:AT1006),$AM$1006:$BM$1006,0)), HYPERLINK("#",""), HYPERLINK(CONCATENATE("#metadata!", ADDRESS(INDEX($AH$2:$AH$1001,MATCH(ROWS($AF$2:AF814),$AF$2:$AF$1001,0),0), INDEX($AM$1004:$BM$1004,1,MATCH(COLUMNS($AM$1006:AT1006),$AM$1006:$BM$1006,0)))),"Fix")))</f>
        <v xml:space="preserve"> </v>
      </c>
      <c r="J814" s="4" t="str">
        <f ca="1">IF(OR(INDEX($AG$2:$AG$1001,MATCH(ROWS($AF$2:AF814),$AF$2:$AF$1001,0),1)&gt;=100000,INDEX($AM$1005:$BM$1005,1,MATCH(COLUMNS($AM$1006:AU1006),$AM$1006:$BM$1006,0))&gt;=100000), " ",IF(INDEX($AM$2:$BM$1001,MATCH(ROWS($AF$2:AF814),$AF$2:$AF$1001,0),MATCH(COLUMNS($AM$1006:AU1006),$AM$1006:$BM$1006,0)), HYPERLINK("#",""), HYPERLINK(CONCATENATE("#metadata!", ADDRESS(INDEX($AH$2:$AH$1001,MATCH(ROWS($AF$2:AF814),$AF$2:$AF$1001,0),0), INDEX($AM$1004:$BM$1004,1,MATCH(COLUMNS($AM$1006:AU1006),$AM$1006:$BM$1006,0)))),"Fix")))</f>
        <v xml:space="preserve"> </v>
      </c>
      <c r="K814" s="4" t="str">
        <f ca="1">IF(OR(INDEX($AG$2:$AG$1001,MATCH(ROWS($AF$2:AF814),$AF$2:$AF$1001,0),1)&gt;=100000,INDEX($AM$1005:$BM$1005,1,MATCH(COLUMNS($AM$1006:AV1006),$AM$1006:$BM$1006,0))&gt;=100000), " ",IF(INDEX($AM$2:$BM$1001,MATCH(ROWS($AF$2:AF814),$AF$2:$AF$1001,0),MATCH(COLUMNS($AM$1006:AV1006),$AM$1006:$BM$1006,0)), HYPERLINK("#",""), HYPERLINK(CONCATENATE("#metadata!", ADDRESS(INDEX($AH$2:$AH$1001,MATCH(ROWS($AF$2:AF814),$AF$2:$AF$1001,0),0), INDEX($AM$1004:$BM$1004,1,MATCH(COLUMNS($AM$1006:AV1006),$AM$1006:$BM$1006,0)))),"Fix")))</f>
        <v xml:space="preserve"> </v>
      </c>
      <c r="L814" s="4" t="str">
        <f ca="1">IF(OR(INDEX($AG$2:$AG$1001,MATCH(ROWS($AF$2:AF814),$AF$2:$AF$1001,0),1)&gt;=100000,INDEX($AM$1005:$BM$1005,1,MATCH(COLUMNS($AM$1006:AW1006),$AM$1006:$BM$1006,0))&gt;=100000), " ",IF(INDEX($AM$2:$BM$1001,MATCH(ROWS($AF$2:AF814),$AF$2:$AF$1001,0),MATCH(COLUMNS($AM$1006:AW1006),$AM$1006:$BM$1006,0)), HYPERLINK("#",""), HYPERLINK(CONCATENATE("#metadata!", ADDRESS(INDEX($AH$2:$AH$1001,MATCH(ROWS($AF$2:AF814),$AF$2:$AF$1001,0),0), INDEX($AM$1004:$BM$1004,1,MATCH(COLUMNS($AM$1006:AW1006),$AM$1006:$BM$1006,0)))),"Fix")))</f>
        <v xml:space="preserve"> </v>
      </c>
      <c r="M814" s="4" t="str">
        <f ca="1">IF(OR(INDEX($AG$2:$AG$1001,MATCH(ROWS($AF$2:AF814),$AF$2:$AF$1001,0),1)&gt;=100000,INDEX($AM$1005:$BM$1005,1,MATCH(COLUMNS($AM$1006:AX1006),$AM$1006:$BM$1006,0))&gt;=100000), " ",IF(INDEX($AM$2:$BM$1001,MATCH(ROWS($AF$2:AF814),$AF$2:$AF$1001,0),MATCH(COLUMNS($AM$1006:AX1006),$AM$1006:$BM$1006,0)), HYPERLINK("#",""), HYPERLINK(CONCATENATE("#metadata!", ADDRESS(INDEX($AH$2:$AH$1001,MATCH(ROWS($AF$2:AF814),$AF$2:$AF$1001,0),0), INDEX($AM$1004:$BM$1004,1,MATCH(COLUMNS($AM$1006:AX1006),$AM$1006:$BM$1006,0)))),"Fix")))</f>
        <v xml:space="preserve"> </v>
      </c>
      <c r="N814" s="4" t="str">
        <f ca="1">IF(OR(INDEX($AG$2:$AG$1001,MATCH(ROWS($AF$2:AF814),$AF$2:$AF$1001,0),1)&gt;=100000,INDEX($AM$1005:$BM$1005,1,MATCH(COLUMNS($AM$1006:AY1006),$AM$1006:$BM$1006,0))&gt;=100000), " ",IF(INDEX($AM$2:$BM$1001,MATCH(ROWS($AF$2:AF814),$AF$2:$AF$1001,0),MATCH(COLUMNS($AM$1006:AY1006),$AM$1006:$BM$1006,0)), HYPERLINK("#",""), HYPERLINK(CONCATENATE("#metadata!", ADDRESS(INDEX($AH$2:$AH$1001,MATCH(ROWS($AF$2:AF814),$AF$2:$AF$1001,0),0), INDEX($AM$1004:$BM$1004,1,MATCH(COLUMNS($AM$1006:AY1006),$AM$1006:$BM$1006,0)))),"Fix")))</f>
        <v xml:space="preserve"> </v>
      </c>
      <c r="O814" s="4" t="str">
        <f ca="1">IF(OR(INDEX($AG$2:$AG$1001,MATCH(ROWS($AF$2:AF814),$AF$2:$AF$1001,0),1)&gt;=100000,INDEX($AM$1005:$BM$1005,1,MATCH(COLUMNS($AM$1006:AZ1006),$AM$1006:$BM$1006,0))&gt;=100000), " ",IF(INDEX($AM$2:$BM$1001,MATCH(ROWS($AF$2:AF814),$AF$2:$AF$1001,0),MATCH(COLUMNS($AM$1006:AZ1006),$AM$1006:$BM$1006,0)), HYPERLINK("#",""), HYPERLINK(CONCATENATE("#metadata!", ADDRESS(INDEX($AH$2:$AH$1001,MATCH(ROWS($AF$2:AF814),$AF$2:$AF$1001,0),0), INDEX($AM$1004:$BM$1004,1,MATCH(COLUMNS($AM$1006:AZ1006),$AM$1006:$BM$1006,0)))),"Fix")))</f>
        <v xml:space="preserve"> </v>
      </c>
      <c r="P814" s="4" t="str">
        <f ca="1">IF(OR(INDEX($AG$2:$AG$1001,MATCH(ROWS($AF$2:AF814),$AF$2:$AF$1001,0),1)&gt;=100000,INDEX($AM$1005:$BM$1005,1,MATCH(COLUMNS($AM$1006:BA1006),$AM$1006:$BM$1006,0))&gt;=100000), " ",IF(INDEX($AM$2:$BM$1001,MATCH(ROWS($AF$2:AF814),$AF$2:$AF$1001,0),MATCH(COLUMNS($AM$1006:BA1006),$AM$1006:$BM$1006,0)), HYPERLINK("#",""), HYPERLINK(CONCATENATE("#metadata!", ADDRESS(INDEX($AH$2:$AH$1001,MATCH(ROWS($AF$2:AF814),$AF$2:$AF$1001,0),0), INDEX($AM$1004:$BM$1004,1,MATCH(COLUMNS($AM$1006:BA1006),$AM$1006:$BM$1006,0)))),"Fix")))</f>
        <v xml:space="preserve"> </v>
      </c>
      <c r="Q814" s="4" t="str">
        <f ca="1">IF(OR(INDEX($AG$2:$AG$1001,MATCH(ROWS($AF$2:AF814),$AF$2:$AF$1001,0),1)&gt;=100000,INDEX($AM$1005:$BM$1005,1,MATCH(COLUMNS($AM$1006:BB1006),$AM$1006:$BM$1006,0))&gt;=100000), " ",IF(INDEX($AM$2:$BM$1001,MATCH(ROWS($AF$2:AF814),$AF$2:$AF$1001,0),MATCH(COLUMNS($AM$1006:BB1006),$AM$1006:$BM$1006,0)), HYPERLINK("#",""), HYPERLINK(CONCATENATE("#metadata!", ADDRESS(INDEX($AH$2:$AH$1001,MATCH(ROWS($AF$2:AF814),$AF$2:$AF$1001,0),0), INDEX($AM$1004:$BM$1004,1,MATCH(COLUMNS($AM$1006:BB1006),$AM$1006:$BM$1006,0)))),"Fix")))</f>
        <v xml:space="preserve"> </v>
      </c>
      <c r="R814" s="4" t="str">
        <f ca="1">IF(OR(INDEX($AG$2:$AG$1001,MATCH(ROWS($AF$2:AF814),$AF$2:$AF$1001,0),1)&gt;=100000,INDEX($AM$1005:$BM$1005,1,MATCH(COLUMNS($AM$1006:BC1006),$AM$1006:$BM$1006,0))&gt;=100000), " ",IF(INDEX($AM$2:$BM$1001,MATCH(ROWS($AF$2:AF814),$AF$2:$AF$1001,0),MATCH(COLUMNS($AM$1006:BC1006),$AM$1006:$BM$1006,0)), HYPERLINK("#",""), HYPERLINK(CONCATENATE("#metadata!", ADDRESS(INDEX($AH$2:$AH$1001,MATCH(ROWS($AF$2:AF814),$AF$2:$AF$1001,0),0), INDEX($AM$1004:$BM$1004,1,MATCH(COLUMNS($AM$1006:BC1006),$AM$1006:$BM$1006,0)))),"Fix")))</f>
        <v xml:space="preserve"> </v>
      </c>
      <c r="S814" s="4" t="str">
        <f ca="1">IF(OR(INDEX($AG$2:$AG$1001,MATCH(ROWS($AF$2:AF814),$AF$2:$AF$1001,0),1)&gt;=100000,INDEX($AM$1005:$BM$1005,1,MATCH(COLUMNS($AM$1006:BD1006),$AM$1006:$BM$1006,0))&gt;=100000), " ",IF(INDEX($AM$2:$BM$1001,MATCH(ROWS($AF$2:AF814),$AF$2:$AF$1001,0),MATCH(COLUMNS($AM$1006:BD1006),$AM$1006:$BM$1006,0)), HYPERLINK("#",""), HYPERLINK(CONCATENATE("#metadata!", ADDRESS(INDEX($AH$2:$AH$1001,MATCH(ROWS($AF$2:AF814),$AF$2:$AF$1001,0),0), INDEX($AM$1004:$BM$1004,1,MATCH(COLUMNS($AM$1006:BD1006),$AM$1006:$BM$1006,0)))),"Fix")))</f>
        <v xml:space="preserve"> </v>
      </c>
      <c r="T814" s="4" t="str">
        <f ca="1">IF(OR(INDEX($AG$2:$AG$1001,MATCH(ROWS($AF$2:AF814),$AF$2:$AF$1001,0),1)&gt;=100000,INDEX($AM$1005:$BM$1005,1,MATCH(COLUMNS($AM$1006:BE1006),$AM$1006:$BM$1006,0))&gt;=100000), " ",IF(INDEX($AM$2:$BM$1001,MATCH(ROWS($AF$2:AF814),$AF$2:$AF$1001,0),MATCH(COLUMNS($AM$1006:BE1006),$AM$1006:$BM$1006,0)), HYPERLINK("#",""), HYPERLINK(CONCATENATE("#metadata!", ADDRESS(INDEX($AH$2:$AH$1001,MATCH(ROWS($AF$2:AF814),$AF$2:$AF$1001,0),0), INDEX($AM$1004:$BM$1004,1,MATCH(COLUMNS($AM$1006:BE1006),$AM$1006:$BM$1006,0)))),"Fix")))</f>
        <v xml:space="preserve"> </v>
      </c>
      <c r="U814" s="4" t="str">
        <f ca="1">IF(OR(INDEX($AG$2:$AG$1001,MATCH(ROWS($AF$2:AF814),$AF$2:$AF$1001,0),1)&gt;=100000,INDEX($AM$1005:$BM$1005,1,MATCH(COLUMNS($AM$1006:BF1006),$AM$1006:$BM$1006,0))&gt;=100000), " ",IF(INDEX($AM$2:$BM$1001,MATCH(ROWS($AF$2:AF814),$AF$2:$AF$1001,0),MATCH(COLUMNS($AM$1006:BF1006),$AM$1006:$BM$1006,0)), HYPERLINK("#",""), HYPERLINK(CONCATENATE("#metadata!", ADDRESS(INDEX($AH$2:$AH$1001,MATCH(ROWS($AF$2:AF814),$AF$2:$AF$1001,0),0), INDEX($AM$1004:$BM$1004,1,MATCH(COLUMNS($AM$1006:BF1006),$AM$1006:$BM$1006,0)))),"Fix")))</f>
        <v xml:space="preserve"> </v>
      </c>
      <c r="V814" s="4" t="str">
        <f ca="1">IF(OR(INDEX($AG$2:$AG$1001,MATCH(ROWS($AF$2:AF814),$AF$2:$AF$1001,0),1)&gt;=100000,INDEX($AM$1005:$BM$1005,1,MATCH(COLUMNS($AM$1006:BG1006),$AM$1006:$BM$1006,0))&gt;=100000), " ",IF(INDEX($AM$2:$BM$1001,MATCH(ROWS($AF$2:AF814),$AF$2:$AF$1001,0),MATCH(COLUMNS($AM$1006:BG1006),$AM$1006:$BM$1006,0)), HYPERLINK("#",""), HYPERLINK(CONCATENATE("#metadata!", ADDRESS(INDEX($AH$2:$AH$1001,MATCH(ROWS($AF$2:AF814),$AF$2:$AF$1001,0),0), INDEX($AM$1004:$BM$1004,1,MATCH(COLUMNS($AM$1006:BG1006),$AM$1006:$BM$1006,0)))),"Fix")))</f>
        <v xml:space="preserve"> </v>
      </c>
      <c r="W814" s="4" t="str">
        <f ca="1">IF(OR(INDEX($AG$2:$AG$1001,MATCH(ROWS($AF$2:AF814),$AF$2:$AF$1001,0),1)&gt;=100000,INDEX($AM$1005:$BM$1005,1,MATCH(COLUMNS($AM$1006:BH1006),$AM$1006:$BM$1006,0))&gt;=100000), " ",IF(INDEX($AM$2:$BM$1001,MATCH(ROWS($AF$2:AF814),$AF$2:$AF$1001,0),MATCH(COLUMNS($AM$1006:BH1006),$AM$1006:$BM$1006,0)), HYPERLINK("#",""), HYPERLINK(CONCATENATE("#metadata!", ADDRESS(INDEX($AH$2:$AH$1001,MATCH(ROWS($AF$2:AF814),$AF$2:$AF$1001,0),0), INDEX($AM$1004:$BM$1004,1,MATCH(COLUMNS($AM$1006:BH1006),$AM$1006:$BM$1006,0)))),"Fix")))</f>
        <v xml:space="preserve"> </v>
      </c>
      <c r="X814" s="4" t="str">
        <f ca="1">IF(OR(INDEX($AG$2:$AG$1001,MATCH(ROWS($AF$2:AF814),$AF$2:$AF$1001,0),1)&gt;=100000,INDEX($AM$1005:$BM$1005,1,MATCH(COLUMNS($AM$1006:BI1006),$AM$1006:$BM$1006,0))&gt;=100000), " ",IF(INDEX($AM$2:$BM$1001,MATCH(ROWS($AF$2:AF814),$AF$2:$AF$1001,0),MATCH(COLUMNS($AM$1006:BI1006),$AM$1006:$BM$1006,0)), HYPERLINK("#",""), HYPERLINK(CONCATENATE("#metadata!", ADDRESS(INDEX($AH$2:$AH$1001,MATCH(ROWS($AF$2:AF814),$AF$2:$AF$1001,0),0), INDEX($AM$1004:$BM$1004,1,MATCH(COLUMNS($AM$1006:BI1006),$AM$1006:$BM$1006,0)))),"Fix")))</f>
        <v xml:space="preserve"> </v>
      </c>
      <c r="Y814" s="4" t="str">
        <f ca="1">IF(OR(INDEX($AG$2:$AG$1001,MATCH(ROWS($AF$2:AF814),$AF$2:$AF$1001,0),1)&gt;=100000,INDEX($AM$1005:$BM$1005,1,MATCH(COLUMNS($AM$1006:BJ1006),$AM$1006:$BM$1006,0))&gt;=100000), " ",IF(INDEX($AM$2:$BM$1001,MATCH(ROWS($AF$2:AF814),$AF$2:$AF$1001,0),MATCH(COLUMNS($AM$1006:BJ1006),$AM$1006:$BM$1006,0)), HYPERLINK("#",""), HYPERLINK(CONCATENATE("#metadata!", ADDRESS(INDEX($AH$2:$AH$1001,MATCH(ROWS($AF$2:AF814),$AF$2:$AF$1001,0),0), INDEX($AM$1004:$BM$1004,1,MATCH(COLUMNS($AM$1006:BJ1006),$AM$1006:$BM$1006,0)))),"Fix")))</f>
        <v xml:space="preserve"> </v>
      </c>
      <c r="Z814" s="4" t="str">
        <f ca="1">IF(OR(INDEX($AG$2:$AG$1001,MATCH(ROWS($AF$2:AF814),$AF$2:$AF$1001,0),1)&gt;=100000,INDEX($AM$1005:$BM$1005,1,MATCH(COLUMNS($AM$1006:BK1006),$AM$1006:$BM$1006,0))&gt;=100000), " ",IF(INDEX($AM$2:$BM$1001,MATCH(ROWS($AF$2:AF814),$AF$2:$AF$1001,0),MATCH(COLUMNS($AM$1006:BK1006),$AM$1006:$BM$1006,0)), HYPERLINK("#",""), HYPERLINK(CONCATENATE("#metadata!", ADDRESS(INDEX($AH$2:$AH$1001,MATCH(ROWS($AF$2:AF814),$AF$2:$AF$1001,0),0), INDEX($AM$1004:$BM$1004,1,MATCH(COLUMNS($AM$1006:BK1006),$AM$1006:$BM$1006,0)))),"Fix")))</f>
        <v xml:space="preserve"> </v>
      </c>
      <c r="AA814" s="4" t="str">
        <f ca="1">IF(OR(INDEX($AG$2:$AG$1001,MATCH(ROWS($AF$2:AF814),$AF$2:$AF$1001,0),1)&gt;=100000,INDEX($AM$1005:$BM$1005,1,MATCH(COLUMNS($AM$1006:BL1006),$AM$1006:$BM$1006,0))&gt;=100000), " ",IF(INDEX($AM$2:$BM$1001,MATCH(ROWS($AF$2:AF814),$AF$2:$AF$1001,0),MATCH(COLUMNS($AM$1006:BL1006),$AM$1006:$BM$1006,0)), HYPERLINK("#",""), HYPERLINK(CONCATENATE("#metadata!", ADDRESS(INDEX($AH$2:$AH$1001,MATCH(ROWS($AF$2:AF814),$AF$2:$AF$1001,0),0), INDEX($AM$1004:$BM$1004,1,MATCH(COLUMNS($AM$1006:BL1006),$AM$1006:$BM$1006,0)))),"Fix")))</f>
        <v xml:space="preserve"> </v>
      </c>
      <c r="AB814" s="4" t="str">
        <f ca="1">IF(OR(INDEX($AG$2:$AG$1001,MATCH(ROWS($AF$2:AF814),$AF$2:$AF$1001,0),1)&gt;=100000,INDEX($AM$1005:$BM$1005,1,MATCH(COLUMNS($AM$1006:BM1006),$AM$1006:$BM$1006,0))&gt;=100000), " ",IF(INDEX($AM$2:$BM$1001,MATCH(ROWS($AF$2:AF814),$AF$2:$AF$1001,0),MATCH(COLUMNS($AM$1006:BM1006),$AM$1006:$BM$1006,0)), HYPERLINK("#",""), HYPERLINK(CONCATENATE("#metadata!", ADDRESS(INDEX($AH$2:$AH$1001,MATCH(ROWS($AF$2:AF814),$AF$2:$AF$1001,0),0), INDEX($AM$1004:$BM$1004,1,MATCH(COLUMNS($AM$1006:BM1006),$AM$1006:$BM$1006,0)))),"Fix")))</f>
        <v xml:space="preserve"> </v>
      </c>
      <c r="AF814">
        <v>813</v>
      </c>
      <c r="AG814">
        <v>100814</v>
      </c>
      <c r="AH814">
        <v>814</v>
      </c>
      <c r="AI814" t="b">
        <f t="shared" si="12"/>
        <v>1</v>
      </c>
      <c r="AJ814" t="b">
        <f>COUNTBLANK(metadata!B814:AB814)=COLUMNS(metadata!B814:AB814)</f>
        <v>1</v>
      </c>
      <c r="AK814" t="str">
        <v/>
      </c>
      <c r="AM814" t="b">
        <f ca="1">AND(IF(metadata!B814="",FALSE,TRUE),COUNTIF(metadata!B:B, metadata!B814) = 1,NOT(ISERROR(SUMPRODUCT(SEARCH(MID(metadata!B814,ROW(INDIRECT("1:"&amp;LEN(metadata!B814))), 1),"0123456789abcdefghijklmnopqrstuvwxyzABCDEFGHIJKLMNOPQRSTUVWXYZ.")))))</f>
        <v>0</v>
      </c>
      <c r="AN814" t="b">
        <f ca="1">OR(AND(IF(metadata!C814="",FALSE,TRUE),OR(EXACT(metadata!C814,"missing: not collected"),EXACT(metadata!C814,"missing: not provided"),EXACT(metadata!C814,"missing: restricted access"))),AND(IF(metadata!C814="",FALSE,TRUE),AND(AND(IFERROR(INT(LEFT(metadata!C814,4))&gt;1900,FALSE),IFERROR(INT(LEFT(metadata!C814,4))&lt;=YEAR(NOW()),FALSE)), OR(MID(metadata!C814,5,1)="", AND(AND(MID(metadata!C814,5,1)="-",IFERROR(INT(MID(metadata!C814,6,1))&gt;=0,FALSE),IFERROR(INT(MID(metadata!C814,6,1))&lt;=1,FALSE),NOT(MID(metadata!C814,7,1)=""),IFERROR(INT(MID(metadata!C814,6,2))&gt;=1,FALSE),IFERROR(INT(MID(metadata!C814,6,2))&lt;=12,FALSE)), OR(MID(metadata!C814,8,1)="", AND(AND(MID(metadata!C814,8,1)="-",IFERROR(INT(MID(metadata!C814,9,1))&gt;=0,FALSE),IFERROR(INT(MID(metadata!C814,9,1))&lt;=3,FALSE),NOT(MID(metadata!C814,10,1)=""),IFERROR(INT(MID(metadata!C814,9,2))&gt;=1,FALSE),IFERROR(INT(MID(metadata!C814,9,2))&lt;=31,FALSE)), OR(MID(metadata!C814,11,1)="", AND(AND(MID(metadata!C814,11,1)=" ",IFERROR(INT(MID(metadata!C814,12,1))&gt;=0,FALSE),IFERROR(INT(MID(metadata!C814,12,1))&lt;=2,FALSE),NOT(MID(metadata!C814,13,1)=""),IFERROR(INT(MID(metadata!C814,12,2))&gt;=0,FALSE),IFERROR(INT(MID(metadata!C814,12,2))&lt;=23,FALSE)), OR(MID(metadata!C814,14,1)="", AND(AND(MID(metadata!C814,14,1)=":",IFERROR(INT(MID(metadata!C814,15,1))&gt;=0,FALSE),IFERROR(INT(MID(metadata!C814,15,1))&lt;=5,FALSE),NOT(MID(metadata!C814,16,1)=""),IFERROR(INT(MID(metadata!C814,15,2))&gt;=0,FALSE),IFERROR(INT(MID(metadata!C814,15,2))&lt;=59,FALSE)), OR(MID(metadata!C814,17,1)="", AND(AND(MID(metadata!C814,17,1)=":",IFERROR(INT(MID(metadata!C814,18,1))&gt;=0,FALSE),IFERROR(INT(MID(metadata!C814,18,1))&lt;=5,FALSE),NOT(MID(metadata!C814,19,1)=""),IFERROR(INT(MID(metadata!C814,18,2))&gt;=0,FALSE),IFERROR(INT(MID(metadata!C814,18,2))&lt;=59,FALSE)), LEN(metadata!C814)&lt;=19)))))))))))))</f>
        <v>0</v>
      </c>
      <c r="AO814" t="b">
        <f>AND(IF(metadata!D814="",FALSE,TRUE),EXACT(metadata!D814,"Not applicable"))</f>
        <v>0</v>
      </c>
      <c r="AP814" t="b">
        <f>IF(metadata!E814="",FALSE,TRUE)</f>
        <v>0</v>
      </c>
      <c r="AQ814" t="b">
        <f>OR(AND(IF(metadata!F814="",FALSE,TRUE),OR(EXACT(metadata!F814,"missing: not collected"),EXACT(metadata!F814,"missing: not provided"))),AND(IF(metadata!F814="",FALSE,TRUE),OR(EXACT(metadata!F814,"TRUE"),EXACT(metadata!F814,"FALSE"))))</f>
        <v>0</v>
      </c>
      <c r="AR814" t="b">
        <f>OR(AND(IF(metadata!G814="",FALSE,TRUE),OR(EXACT(metadata!G814,"missing: not collected"),EXACT(metadata!G814,"missing: not provided"),EXACT(metadata!G814,"missing: restricted access"))),AND(IF(metadata!G814="",FALSE,ISNUMBER(VALUE(metadata!G814))),metadata!G814&gt;=-413))</f>
        <v>0</v>
      </c>
      <c r="AS814" t="b">
        <f>AND(IF(metadata!H814="",FALSE,TRUE),EXACT(metadata!H814,"meters"))</f>
        <v>0</v>
      </c>
      <c r="AT814" t="b">
        <f>AND(IF(metadata!I814="",FALSE,TRUE),OR(EXACT(metadata!I814,"Host-associated"),EXACT(metadata!I814,"Free-living")))</f>
        <v>0</v>
      </c>
      <c r="AU814" t="b">
        <f>AND(IF(metadata!J814="",FALSE,TRUE),OR(EXACT(metadata!J814,"Animal"),EXACT(metadata!J814,"Fungus"),EXACT(metadata!J814,"Plant"),EXACT(metadata!J814,"Saline"),EXACT(metadata!J814,"Non-saline")))</f>
        <v>0</v>
      </c>
      <c r="AV814" t="b">
        <f>AND(IF(metadata!K814="",FALSE,TRUE),OR(EXACT(metadata!K814,"Plant secretion"),EXACT(metadata!K814,"Plant rhizosphere"),EXACT(metadata!K814,"Plant surface"),EXACT(metadata!K814,"Plant corpus"),EXACT(metadata!K814,"Fungus surface"),EXACT(metadata!K814,"Fungus corpus"),EXACT(metadata!K814,"Animal surface"),EXACT(metadata!K814,"Animal proximal gut"),EXACT(metadata!K814,"Animal corpus"),EXACT(metadata!K814,"Animal distal gut"),EXACT(metadata!K814,"Animal secretion"),EXACT(metadata!K814,"Sub-surface (non-saline)"),EXACT(metadata!K814,"Surface (non-saline)"),EXACT(metadata!K814,"Water (non-saline)"),EXACT(metadata!K814,"Soil (non-saline)"),EXACT(metadata!K814,"Aerosol (non-saline)"),EXACT(metadata!K814,"Sediment (non-saline)"),EXACT(metadata!K814,"Surface (saline)"),EXACT(metadata!K814,"Water (saline)"),EXACT(metadata!K814,"Hypersaline (saline)"),EXACT(metadata!K814,"Aerosol (saline)"),EXACT(metadata!K814,"Sediment (saline)")))</f>
        <v>0</v>
      </c>
      <c r="AW814" t="b">
        <f>IF(metadata!L814="",FALSE,TRUE)</f>
        <v>0</v>
      </c>
      <c r="AX814" t="b">
        <f>IF(metadata!M814="",FALSE,TRUE)</f>
        <v>0</v>
      </c>
      <c r="AY814" t="b">
        <f>IF(metadata!N814="",FALSE,TRUE)</f>
        <v>0</v>
      </c>
      <c r="AZ814" t="b">
        <f>OR(AND(IF(metadata!O814="",FALSE,TRUE),OR(EXACT(metadata!O814,"missing: not collected"),EXACT(metadata!O814,"missing: not provided"),EXACT(metadata!O814,"missing: restricted access"))),AND(IF(metadata!O814="",FALSE,TRUE),OR(EXACT(metadata!O814,"air"),EXACT(metadata!O814,"built environment"),EXACT(metadata!O814,"host-associated"),EXACT(metadata!O814,"human-associated"),EXACT(metadata!O814,"human-skin"),EXACT(metadata!O814,"human-oral"),EXACT(metadata!O814,"human-gut"),EXACT(metadata!O814,"human-vaginal"),EXACT(metadata!O814,"microbial mat/biofilm"),EXACT(metadata!O814,"misc environment"),EXACT(metadata!O814,"plant-associated"),EXACT(metadata!O814,"sediment"),EXACT(metadata!O814,"soil"),EXACT(metadata!O814,"wastewater/sludge"),EXACT(metadata!O814,"water"))))</f>
        <v>0</v>
      </c>
      <c r="BA814" t="b">
        <f>IF(metadata!P814="",FALSE,TRUE)</f>
        <v>0</v>
      </c>
      <c r="BB814" t="b">
        <f>IF(metadata!Q814="",FALSE,TRUE)</f>
        <v>0</v>
      </c>
      <c r="BC814" t="b">
        <f>OR(AND(IF(metadata!R814="",FALSE,TRUE),OR(EXACT(metadata!R814,"missing: not collected"),EXACT(metadata!R814,"missing: not provided"),EXACT(metadata!R814,"missing: restricted access"))),AND(IF(metadata!R814="",FALSE,ISNUMBER(VALUE(metadata!R814))),metadata!R814&gt;=-90,metadata!R814&lt;=90))</f>
        <v>0</v>
      </c>
      <c r="BD814" t="b">
        <f>AND(IF(metadata!S814="",FALSE,TRUE),EXACT(metadata!S814,"Decimal degrees"))</f>
        <v>0</v>
      </c>
      <c r="BE814" t="b">
        <f>OR(AND(IF(metadata!T814="",FALSE,TRUE),OR(EXACT(metadata!T814,"missing: not collected"),EXACT(metadata!T814,"missing: not provided"),EXACT(metadata!T814,"missing: restricted access"))),AND(IF(metadata!T814="",FALSE,ISNUMBER(VALUE(metadata!T814))),metadata!T814&gt;=-180,metadata!T814&lt;=180))</f>
        <v>0</v>
      </c>
      <c r="BF814" t="b">
        <f>AND(IF(metadata!U814="",FALSE,TRUE),EXACT(metadata!U814,"Decimal degrees"))</f>
        <v>0</v>
      </c>
      <c r="BG814" t="b">
        <f>IF(metadata!V814="",FALSE,TRUE)</f>
        <v>0</v>
      </c>
      <c r="BH814" t="b">
        <f>OR(AND(IF(metadata!W814="",FALSE,TRUE),OR(EXACT(metadata!W814,"missing: not collected"),EXACT(metadata!W814,"missing: not provided"),EXACT(metadata!W814,"missing: restricted access"))),AND(IF(metadata!W814="",FALSE,TRUE),OR(EXACT(metadata!W814,"TRUE"),EXACT(metadata!W814,"FALSE"))))</f>
        <v>0</v>
      </c>
      <c r="BI814" t="b">
        <f>AND(IF(metadata!X814="",FALSE,TRUE),EXACT(metadata!X814,"other"))</f>
        <v>0</v>
      </c>
      <c r="BJ814" t="b">
        <f>IF(metadata!Y814="",FALSE,TRUE)</f>
        <v>0</v>
      </c>
      <c r="BK814" t="b">
        <f>OR(AND(IF(metadata!Z814="",FALSE,TRUE),OR(EXACT(metadata!Z814,"missing: not collected"),EXACT(metadata!Z814,"missing: not provided"))),AND(IF(metadata!Z814="",FALSE,IF(ISERROR(INT(metadata!Z814)),FALSE,INT(metadata!Z814)=metadata!Z814)),metadata!Z814&gt;0))</f>
        <v>0</v>
      </c>
      <c r="BL814" t="b">
        <f>AND(IF(metadata!AA814="",FALSE,TRUE),EXACT(metadata!AA814,"Not applicable"))</f>
        <v>0</v>
      </c>
      <c r="BM814" t="b">
        <f>IF(metadata!AB814="",FALSE,TRUE)</f>
        <v>0</v>
      </c>
    </row>
    <row r="815" spans="1:65" x14ac:dyDescent="0.2">
      <c r="A815" s="5" t="str">
        <f ca="1">IF(B815=" "," ",HYPERLINK(CONCATENATE("#metadata!",ADDRESS(INDEX($AH$2:$AH$1001,MATCH(ROWS($AF$2:AF815),$AF$2:$AF$1001,0),0),1)),INDEX($AK$2:$AK$1001,MATCH(ROWS($AF$2:AF815),$AF$2:$AF$1001,0),0)))</f>
        <v xml:space="preserve"> </v>
      </c>
      <c r="B815" s="4" t="str">
        <f ca="1">IF(OR(INDEX($AG$2:$AG$1001,MATCH(ROWS($AF$2:AF815),$AF$2:$AF$1001,0),1)&gt;=100000,INDEX($AM$1005:$BM$1005,1,MATCH(COLUMNS($AM$1006:AM1006),$AM$1006:$BM$1006,0))&gt;=100000), " ",IF(INDEX($AM$2:$BM$1001,MATCH(ROWS($AF$2:AF815),$AF$2:$AF$1001,0),MATCH(COLUMNS($AM$1006:AM1006),$AM$1006:$BM$1006,0)), HYPERLINK("#",""), HYPERLINK(CONCATENATE("#metadata!", ADDRESS(INDEX($AH$2:$AH$1001,MATCH(ROWS($AF$2:AF815),$AF$2:$AF$1001,0),0), INDEX($AM$1004:$BM$1004,1,MATCH(COLUMNS($AM$1006:AM1006),$AM$1006:$BM$1006,0)))),"Fix")))</f>
        <v xml:space="preserve"> </v>
      </c>
      <c r="C815" s="4" t="str">
        <f ca="1">IF(OR(INDEX($AG$2:$AG$1001,MATCH(ROWS($AF$2:AF815),$AF$2:$AF$1001,0),1)&gt;=100000,INDEX($AM$1005:$BM$1005,1,MATCH(COLUMNS($AM$1006:AN1006),$AM$1006:$BM$1006,0))&gt;=100000), " ",IF(INDEX($AM$2:$BM$1001,MATCH(ROWS($AF$2:AF815),$AF$2:$AF$1001,0),MATCH(COLUMNS($AM$1006:AN1006),$AM$1006:$BM$1006,0)), HYPERLINK("#",""), HYPERLINK(CONCATENATE("#metadata!", ADDRESS(INDEX($AH$2:$AH$1001,MATCH(ROWS($AF$2:AF815),$AF$2:$AF$1001,0),0), INDEX($AM$1004:$BM$1004,1,MATCH(COLUMNS($AM$1006:AN1006),$AM$1006:$BM$1006,0)))),"Fix")))</f>
        <v xml:space="preserve"> </v>
      </c>
      <c r="D815" s="4" t="str">
        <f ca="1">IF(OR(INDEX($AG$2:$AG$1001,MATCH(ROWS($AF$2:AF815),$AF$2:$AF$1001,0),1)&gt;=100000,INDEX($AM$1005:$BM$1005,1,MATCH(COLUMNS($AM$1006:AO1006),$AM$1006:$BM$1006,0))&gt;=100000), " ",IF(INDEX($AM$2:$BM$1001,MATCH(ROWS($AF$2:AF815),$AF$2:$AF$1001,0),MATCH(COLUMNS($AM$1006:AO1006),$AM$1006:$BM$1006,0)), HYPERLINK("#",""), HYPERLINK(CONCATENATE("#metadata!", ADDRESS(INDEX($AH$2:$AH$1001,MATCH(ROWS($AF$2:AF815),$AF$2:$AF$1001,0),0), INDEX($AM$1004:$BM$1004,1,MATCH(COLUMNS($AM$1006:AO1006),$AM$1006:$BM$1006,0)))),"Fix")))</f>
        <v xml:space="preserve"> </v>
      </c>
      <c r="E815" s="4" t="str">
        <f ca="1">IF(OR(INDEX($AG$2:$AG$1001,MATCH(ROWS($AF$2:AF815),$AF$2:$AF$1001,0),1)&gt;=100000,INDEX($AM$1005:$BM$1005,1,MATCH(COLUMNS($AM$1006:AP1006),$AM$1006:$BM$1006,0))&gt;=100000), " ",IF(INDEX($AM$2:$BM$1001,MATCH(ROWS($AF$2:AF815),$AF$2:$AF$1001,0),MATCH(COLUMNS($AM$1006:AP1006),$AM$1006:$BM$1006,0)), HYPERLINK("#",""), HYPERLINK(CONCATENATE("#metadata!", ADDRESS(INDEX($AH$2:$AH$1001,MATCH(ROWS($AF$2:AF815),$AF$2:$AF$1001,0),0), INDEX($AM$1004:$BM$1004,1,MATCH(COLUMNS($AM$1006:AP1006),$AM$1006:$BM$1006,0)))),"Fix")))</f>
        <v xml:space="preserve"> </v>
      </c>
      <c r="F815" s="4" t="str">
        <f ca="1">IF(OR(INDEX($AG$2:$AG$1001,MATCH(ROWS($AF$2:AF815),$AF$2:$AF$1001,0),1)&gt;=100000,INDEX($AM$1005:$BM$1005,1,MATCH(COLUMNS($AM$1006:AQ1006),$AM$1006:$BM$1006,0))&gt;=100000), " ",IF(INDEX($AM$2:$BM$1001,MATCH(ROWS($AF$2:AF815),$AF$2:$AF$1001,0),MATCH(COLUMNS($AM$1006:AQ1006),$AM$1006:$BM$1006,0)), HYPERLINK("#",""), HYPERLINK(CONCATENATE("#metadata!", ADDRESS(INDEX($AH$2:$AH$1001,MATCH(ROWS($AF$2:AF815),$AF$2:$AF$1001,0),0), INDEX($AM$1004:$BM$1004,1,MATCH(COLUMNS($AM$1006:AQ1006),$AM$1006:$BM$1006,0)))),"Fix")))</f>
        <v xml:space="preserve"> </v>
      </c>
      <c r="G815" s="4" t="str">
        <f ca="1">IF(OR(INDEX($AG$2:$AG$1001,MATCH(ROWS($AF$2:AF815),$AF$2:$AF$1001,0),1)&gt;=100000,INDEX($AM$1005:$BM$1005,1,MATCH(COLUMNS($AM$1006:AR1006),$AM$1006:$BM$1006,0))&gt;=100000), " ",IF(INDEX($AM$2:$BM$1001,MATCH(ROWS($AF$2:AF815),$AF$2:$AF$1001,0),MATCH(COLUMNS($AM$1006:AR1006),$AM$1006:$BM$1006,0)), HYPERLINK("#",""), HYPERLINK(CONCATENATE("#metadata!", ADDRESS(INDEX($AH$2:$AH$1001,MATCH(ROWS($AF$2:AF815),$AF$2:$AF$1001,0),0), INDEX($AM$1004:$BM$1004,1,MATCH(COLUMNS($AM$1006:AR1006),$AM$1006:$BM$1006,0)))),"Fix")))</f>
        <v xml:space="preserve"> </v>
      </c>
      <c r="H815" s="4" t="str">
        <f ca="1">IF(OR(INDEX($AG$2:$AG$1001,MATCH(ROWS($AF$2:AF815),$AF$2:$AF$1001,0),1)&gt;=100000,INDEX($AM$1005:$BM$1005,1,MATCH(COLUMNS($AM$1006:AS1006),$AM$1006:$BM$1006,0))&gt;=100000), " ",IF(INDEX($AM$2:$BM$1001,MATCH(ROWS($AF$2:AF815),$AF$2:$AF$1001,0),MATCH(COLUMNS($AM$1006:AS1006),$AM$1006:$BM$1006,0)), HYPERLINK("#",""), HYPERLINK(CONCATENATE("#metadata!", ADDRESS(INDEX($AH$2:$AH$1001,MATCH(ROWS($AF$2:AF815),$AF$2:$AF$1001,0),0), INDEX($AM$1004:$BM$1004,1,MATCH(COLUMNS($AM$1006:AS1006),$AM$1006:$BM$1006,0)))),"Fix")))</f>
        <v xml:space="preserve"> </v>
      </c>
      <c r="I815" s="4" t="str">
        <f ca="1">IF(OR(INDEX($AG$2:$AG$1001,MATCH(ROWS($AF$2:AF815),$AF$2:$AF$1001,0),1)&gt;=100000,INDEX($AM$1005:$BM$1005,1,MATCH(COLUMNS($AM$1006:AT1006),$AM$1006:$BM$1006,0))&gt;=100000), " ",IF(INDEX($AM$2:$BM$1001,MATCH(ROWS($AF$2:AF815),$AF$2:$AF$1001,0),MATCH(COLUMNS($AM$1006:AT1006),$AM$1006:$BM$1006,0)), HYPERLINK("#",""), HYPERLINK(CONCATENATE("#metadata!", ADDRESS(INDEX($AH$2:$AH$1001,MATCH(ROWS($AF$2:AF815),$AF$2:$AF$1001,0),0), INDEX($AM$1004:$BM$1004,1,MATCH(COLUMNS($AM$1006:AT1006),$AM$1006:$BM$1006,0)))),"Fix")))</f>
        <v xml:space="preserve"> </v>
      </c>
      <c r="J815" s="4" t="str">
        <f ca="1">IF(OR(INDEX($AG$2:$AG$1001,MATCH(ROWS($AF$2:AF815),$AF$2:$AF$1001,0),1)&gt;=100000,INDEX($AM$1005:$BM$1005,1,MATCH(COLUMNS($AM$1006:AU1006),$AM$1006:$BM$1006,0))&gt;=100000), " ",IF(INDEX($AM$2:$BM$1001,MATCH(ROWS($AF$2:AF815),$AF$2:$AF$1001,0),MATCH(COLUMNS($AM$1006:AU1006),$AM$1006:$BM$1006,0)), HYPERLINK("#",""), HYPERLINK(CONCATENATE("#metadata!", ADDRESS(INDEX($AH$2:$AH$1001,MATCH(ROWS($AF$2:AF815),$AF$2:$AF$1001,0),0), INDEX($AM$1004:$BM$1004,1,MATCH(COLUMNS($AM$1006:AU1006),$AM$1006:$BM$1006,0)))),"Fix")))</f>
        <v xml:space="preserve"> </v>
      </c>
      <c r="K815" s="4" t="str">
        <f ca="1">IF(OR(INDEX($AG$2:$AG$1001,MATCH(ROWS($AF$2:AF815),$AF$2:$AF$1001,0),1)&gt;=100000,INDEX($AM$1005:$BM$1005,1,MATCH(COLUMNS($AM$1006:AV1006),$AM$1006:$BM$1006,0))&gt;=100000), " ",IF(INDEX($AM$2:$BM$1001,MATCH(ROWS($AF$2:AF815),$AF$2:$AF$1001,0),MATCH(COLUMNS($AM$1006:AV1006),$AM$1006:$BM$1006,0)), HYPERLINK("#",""), HYPERLINK(CONCATENATE("#metadata!", ADDRESS(INDEX($AH$2:$AH$1001,MATCH(ROWS($AF$2:AF815),$AF$2:$AF$1001,0),0), INDEX($AM$1004:$BM$1004,1,MATCH(COLUMNS($AM$1006:AV1006),$AM$1006:$BM$1006,0)))),"Fix")))</f>
        <v xml:space="preserve"> </v>
      </c>
      <c r="L815" s="4" t="str">
        <f ca="1">IF(OR(INDEX($AG$2:$AG$1001,MATCH(ROWS($AF$2:AF815),$AF$2:$AF$1001,0),1)&gt;=100000,INDEX($AM$1005:$BM$1005,1,MATCH(COLUMNS($AM$1006:AW1006),$AM$1006:$BM$1006,0))&gt;=100000), " ",IF(INDEX($AM$2:$BM$1001,MATCH(ROWS($AF$2:AF815),$AF$2:$AF$1001,0),MATCH(COLUMNS($AM$1006:AW1006),$AM$1006:$BM$1006,0)), HYPERLINK("#",""), HYPERLINK(CONCATENATE("#metadata!", ADDRESS(INDEX($AH$2:$AH$1001,MATCH(ROWS($AF$2:AF815),$AF$2:$AF$1001,0),0), INDEX($AM$1004:$BM$1004,1,MATCH(COLUMNS($AM$1006:AW1006),$AM$1006:$BM$1006,0)))),"Fix")))</f>
        <v xml:space="preserve"> </v>
      </c>
      <c r="M815" s="4" t="str">
        <f ca="1">IF(OR(INDEX($AG$2:$AG$1001,MATCH(ROWS($AF$2:AF815),$AF$2:$AF$1001,0),1)&gt;=100000,INDEX($AM$1005:$BM$1005,1,MATCH(COLUMNS($AM$1006:AX1006),$AM$1006:$BM$1006,0))&gt;=100000), " ",IF(INDEX($AM$2:$BM$1001,MATCH(ROWS($AF$2:AF815),$AF$2:$AF$1001,0),MATCH(COLUMNS($AM$1006:AX1006),$AM$1006:$BM$1006,0)), HYPERLINK("#",""), HYPERLINK(CONCATENATE("#metadata!", ADDRESS(INDEX($AH$2:$AH$1001,MATCH(ROWS($AF$2:AF815),$AF$2:$AF$1001,0),0), INDEX($AM$1004:$BM$1004,1,MATCH(COLUMNS($AM$1006:AX1006),$AM$1006:$BM$1006,0)))),"Fix")))</f>
        <v xml:space="preserve"> </v>
      </c>
      <c r="N815" s="4" t="str">
        <f ca="1">IF(OR(INDEX($AG$2:$AG$1001,MATCH(ROWS($AF$2:AF815),$AF$2:$AF$1001,0),1)&gt;=100000,INDEX($AM$1005:$BM$1005,1,MATCH(COLUMNS($AM$1006:AY1006),$AM$1006:$BM$1006,0))&gt;=100000), " ",IF(INDEX($AM$2:$BM$1001,MATCH(ROWS($AF$2:AF815),$AF$2:$AF$1001,0),MATCH(COLUMNS($AM$1006:AY1006),$AM$1006:$BM$1006,0)), HYPERLINK("#",""), HYPERLINK(CONCATENATE("#metadata!", ADDRESS(INDEX($AH$2:$AH$1001,MATCH(ROWS($AF$2:AF815),$AF$2:$AF$1001,0),0), INDEX($AM$1004:$BM$1004,1,MATCH(COLUMNS($AM$1006:AY1006),$AM$1006:$BM$1006,0)))),"Fix")))</f>
        <v xml:space="preserve"> </v>
      </c>
      <c r="O815" s="4" t="str">
        <f ca="1">IF(OR(INDEX($AG$2:$AG$1001,MATCH(ROWS($AF$2:AF815),$AF$2:$AF$1001,0),1)&gt;=100000,INDEX($AM$1005:$BM$1005,1,MATCH(COLUMNS($AM$1006:AZ1006),$AM$1006:$BM$1006,0))&gt;=100000), " ",IF(INDEX($AM$2:$BM$1001,MATCH(ROWS($AF$2:AF815),$AF$2:$AF$1001,0),MATCH(COLUMNS($AM$1006:AZ1006),$AM$1006:$BM$1006,0)), HYPERLINK("#",""), HYPERLINK(CONCATENATE("#metadata!", ADDRESS(INDEX($AH$2:$AH$1001,MATCH(ROWS($AF$2:AF815),$AF$2:$AF$1001,0),0), INDEX($AM$1004:$BM$1004,1,MATCH(COLUMNS($AM$1006:AZ1006),$AM$1006:$BM$1006,0)))),"Fix")))</f>
        <v xml:space="preserve"> </v>
      </c>
      <c r="P815" s="4" t="str">
        <f ca="1">IF(OR(INDEX($AG$2:$AG$1001,MATCH(ROWS($AF$2:AF815),$AF$2:$AF$1001,0),1)&gt;=100000,INDEX($AM$1005:$BM$1005,1,MATCH(COLUMNS($AM$1006:BA1006),$AM$1006:$BM$1006,0))&gt;=100000), " ",IF(INDEX($AM$2:$BM$1001,MATCH(ROWS($AF$2:AF815),$AF$2:$AF$1001,0),MATCH(COLUMNS($AM$1006:BA1006),$AM$1006:$BM$1006,0)), HYPERLINK("#",""), HYPERLINK(CONCATENATE("#metadata!", ADDRESS(INDEX($AH$2:$AH$1001,MATCH(ROWS($AF$2:AF815),$AF$2:$AF$1001,0),0), INDEX($AM$1004:$BM$1004,1,MATCH(COLUMNS($AM$1006:BA1006),$AM$1006:$BM$1006,0)))),"Fix")))</f>
        <v xml:space="preserve"> </v>
      </c>
      <c r="Q815" s="4" t="str">
        <f ca="1">IF(OR(INDEX($AG$2:$AG$1001,MATCH(ROWS($AF$2:AF815),$AF$2:$AF$1001,0),1)&gt;=100000,INDEX($AM$1005:$BM$1005,1,MATCH(COLUMNS($AM$1006:BB1006),$AM$1006:$BM$1006,0))&gt;=100000), " ",IF(INDEX($AM$2:$BM$1001,MATCH(ROWS($AF$2:AF815),$AF$2:$AF$1001,0),MATCH(COLUMNS($AM$1006:BB1006),$AM$1006:$BM$1006,0)), HYPERLINK("#",""), HYPERLINK(CONCATENATE("#metadata!", ADDRESS(INDEX($AH$2:$AH$1001,MATCH(ROWS($AF$2:AF815),$AF$2:$AF$1001,0),0), INDEX($AM$1004:$BM$1004,1,MATCH(COLUMNS($AM$1006:BB1006),$AM$1006:$BM$1006,0)))),"Fix")))</f>
        <v xml:space="preserve"> </v>
      </c>
      <c r="R815" s="4" t="str">
        <f ca="1">IF(OR(INDEX($AG$2:$AG$1001,MATCH(ROWS($AF$2:AF815),$AF$2:$AF$1001,0),1)&gt;=100000,INDEX($AM$1005:$BM$1005,1,MATCH(COLUMNS($AM$1006:BC1006),$AM$1006:$BM$1006,0))&gt;=100000), " ",IF(INDEX($AM$2:$BM$1001,MATCH(ROWS($AF$2:AF815),$AF$2:$AF$1001,0),MATCH(COLUMNS($AM$1006:BC1006),$AM$1006:$BM$1006,0)), HYPERLINK("#",""), HYPERLINK(CONCATENATE("#metadata!", ADDRESS(INDEX($AH$2:$AH$1001,MATCH(ROWS($AF$2:AF815),$AF$2:$AF$1001,0),0), INDEX($AM$1004:$BM$1004,1,MATCH(COLUMNS($AM$1006:BC1006),$AM$1006:$BM$1006,0)))),"Fix")))</f>
        <v xml:space="preserve"> </v>
      </c>
      <c r="S815" s="4" t="str">
        <f ca="1">IF(OR(INDEX($AG$2:$AG$1001,MATCH(ROWS($AF$2:AF815),$AF$2:$AF$1001,0),1)&gt;=100000,INDEX($AM$1005:$BM$1005,1,MATCH(COLUMNS($AM$1006:BD1006),$AM$1006:$BM$1006,0))&gt;=100000), " ",IF(INDEX($AM$2:$BM$1001,MATCH(ROWS($AF$2:AF815),$AF$2:$AF$1001,0),MATCH(COLUMNS($AM$1006:BD1006),$AM$1006:$BM$1006,0)), HYPERLINK("#",""), HYPERLINK(CONCATENATE("#metadata!", ADDRESS(INDEX($AH$2:$AH$1001,MATCH(ROWS($AF$2:AF815),$AF$2:$AF$1001,0),0), INDEX($AM$1004:$BM$1004,1,MATCH(COLUMNS($AM$1006:BD1006),$AM$1006:$BM$1006,0)))),"Fix")))</f>
        <v xml:space="preserve"> </v>
      </c>
      <c r="T815" s="4" t="str">
        <f ca="1">IF(OR(INDEX($AG$2:$AG$1001,MATCH(ROWS($AF$2:AF815),$AF$2:$AF$1001,0),1)&gt;=100000,INDEX($AM$1005:$BM$1005,1,MATCH(COLUMNS($AM$1006:BE1006),$AM$1006:$BM$1006,0))&gt;=100000), " ",IF(INDEX($AM$2:$BM$1001,MATCH(ROWS($AF$2:AF815),$AF$2:$AF$1001,0),MATCH(COLUMNS($AM$1006:BE1006),$AM$1006:$BM$1006,0)), HYPERLINK("#",""), HYPERLINK(CONCATENATE("#metadata!", ADDRESS(INDEX($AH$2:$AH$1001,MATCH(ROWS($AF$2:AF815),$AF$2:$AF$1001,0),0), INDEX($AM$1004:$BM$1004,1,MATCH(COLUMNS($AM$1006:BE1006),$AM$1006:$BM$1006,0)))),"Fix")))</f>
        <v xml:space="preserve"> </v>
      </c>
      <c r="U815" s="4" t="str">
        <f ca="1">IF(OR(INDEX($AG$2:$AG$1001,MATCH(ROWS($AF$2:AF815),$AF$2:$AF$1001,0),1)&gt;=100000,INDEX($AM$1005:$BM$1005,1,MATCH(COLUMNS($AM$1006:BF1006),$AM$1006:$BM$1006,0))&gt;=100000), " ",IF(INDEX($AM$2:$BM$1001,MATCH(ROWS($AF$2:AF815),$AF$2:$AF$1001,0),MATCH(COLUMNS($AM$1006:BF1006),$AM$1006:$BM$1006,0)), HYPERLINK("#",""), HYPERLINK(CONCATENATE("#metadata!", ADDRESS(INDEX($AH$2:$AH$1001,MATCH(ROWS($AF$2:AF815),$AF$2:$AF$1001,0),0), INDEX($AM$1004:$BM$1004,1,MATCH(COLUMNS($AM$1006:BF1006),$AM$1006:$BM$1006,0)))),"Fix")))</f>
        <v xml:space="preserve"> </v>
      </c>
      <c r="V815" s="4" t="str">
        <f ca="1">IF(OR(INDEX($AG$2:$AG$1001,MATCH(ROWS($AF$2:AF815),$AF$2:$AF$1001,0),1)&gt;=100000,INDEX($AM$1005:$BM$1005,1,MATCH(COLUMNS($AM$1006:BG1006),$AM$1006:$BM$1006,0))&gt;=100000), " ",IF(INDEX($AM$2:$BM$1001,MATCH(ROWS($AF$2:AF815),$AF$2:$AF$1001,0),MATCH(COLUMNS($AM$1006:BG1006),$AM$1006:$BM$1006,0)), HYPERLINK("#",""), HYPERLINK(CONCATENATE("#metadata!", ADDRESS(INDEX($AH$2:$AH$1001,MATCH(ROWS($AF$2:AF815),$AF$2:$AF$1001,0),0), INDEX($AM$1004:$BM$1004,1,MATCH(COLUMNS($AM$1006:BG1006),$AM$1006:$BM$1006,0)))),"Fix")))</f>
        <v xml:space="preserve"> </v>
      </c>
      <c r="W815" s="4" t="str">
        <f ca="1">IF(OR(INDEX($AG$2:$AG$1001,MATCH(ROWS($AF$2:AF815),$AF$2:$AF$1001,0),1)&gt;=100000,INDEX($AM$1005:$BM$1005,1,MATCH(COLUMNS($AM$1006:BH1006),$AM$1006:$BM$1006,0))&gt;=100000), " ",IF(INDEX($AM$2:$BM$1001,MATCH(ROWS($AF$2:AF815),$AF$2:$AF$1001,0),MATCH(COLUMNS($AM$1006:BH1006),$AM$1006:$BM$1006,0)), HYPERLINK("#",""), HYPERLINK(CONCATENATE("#metadata!", ADDRESS(INDEX($AH$2:$AH$1001,MATCH(ROWS($AF$2:AF815),$AF$2:$AF$1001,0),0), INDEX($AM$1004:$BM$1004,1,MATCH(COLUMNS($AM$1006:BH1006),$AM$1006:$BM$1006,0)))),"Fix")))</f>
        <v xml:space="preserve"> </v>
      </c>
      <c r="X815" s="4" t="str">
        <f ca="1">IF(OR(INDEX($AG$2:$AG$1001,MATCH(ROWS($AF$2:AF815),$AF$2:$AF$1001,0),1)&gt;=100000,INDEX($AM$1005:$BM$1005,1,MATCH(COLUMNS($AM$1006:BI1006),$AM$1006:$BM$1006,0))&gt;=100000), " ",IF(INDEX($AM$2:$BM$1001,MATCH(ROWS($AF$2:AF815),$AF$2:$AF$1001,0),MATCH(COLUMNS($AM$1006:BI1006),$AM$1006:$BM$1006,0)), HYPERLINK("#",""), HYPERLINK(CONCATENATE("#metadata!", ADDRESS(INDEX($AH$2:$AH$1001,MATCH(ROWS($AF$2:AF815),$AF$2:$AF$1001,0),0), INDEX($AM$1004:$BM$1004,1,MATCH(COLUMNS($AM$1006:BI1006),$AM$1006:$BM$1006,0)))),"Fix")))</f>
        <v xml:space="preserve"> </v>
      </c>
      <c r="Y815" s="4" t="str">
        <f ca="1">IF(OR(INDEX($AG$2:$AG$1001,MATCH(ROWS($AF$2:AF815),$AF$2:$AF$1001,0),1)&gt;=100000,INDEX($AM$1005:$BM$1005,1,MATCH(COLUMNS($AM$1006:BJ1006),$AM$1006:$BM$1006,0))&gt;=100000), " ",IF(INDEX($AM$2:$BM$1001,MATCH(ROWS($AF$2:AF815),$AF$2:$AF$1001,0),MATCH(COLUMNS($AM$1006:BJ1006),$AM$1006:$BM$1006,0)), HYPERLINK("#",""), HYPERLINK(CONCATENATE("#metadata!", ADDRESS(INDEX($AH$2:$AH$1001,MATCH(ROWS($AF$2:AF815),$AF$2:$AF$1001,0),0), INDEX($AM$1004:$BM$1004,1,MATCH(COLUMNS($AM$1006:BJ1006),$AM$1006:$BM$1006,0)))),"Fix")))</f>
        <v xml:space="preserve"> </v>
      </c>
      <c r="Z815" s="4" t="str">
        <f ca="1">IF(OR(INDEX($AG$2:$AG$1001,MATCH(ROWS($AF$2:AF815),$AF$2:$AF$1001,0),1)&gt;=100000,INDEX($AM$1005:$BM$1005,1,MATCH(COLUMNS($AM$1006:BK1006),$AM$1006:$BM$1006,0))&gt;=100000), " ",IF(INDEX($AM$2:$BM$1001,MATCH(ROWS($AF$2:AF815),$AF$2:$AF$1001,0),MATCH(COLUMNS($AM$1006:BK1006),$AM$1006:$BM$1006,0)), HYPERLINK("#",""), HYPERLINK(CONCATENATE("#metadata!", ADDRESS(INDEX($AH$2:$AH$1001,MATCH(ROWS($AF$2:AF815),$AF$2:$AF$1001,0),0), INDEX($AM$1004:$BM$1004,1,MATCH(COLUMNS($AM$1006:BK1006),$AM$1006:$BM$1006,0)))),"Fix")))</f>
        <v xml:space="preserve"> </v>
      </c>
      <c r="AA815" s="4" t="str">
        <f ca="1">IF(OR(INDEX($AG$2:$AG$1001,MATCH(ROWS($AF$2:AF815),$AF$2:$AF$1001,0),1)&gt;=100000,INDEX($AM$1005:$BM$1005,1,MATCH(COLUMNS($AM$1006:BL1006),$AM$1006:$BM$1006,0))&gt;=100000), " ",IF(INDEX($AM$2:$BM$1001,MATCH(ROWS($AF$2:AF815),$AF$2:$AF$1001,0),MATCH(COLUMNS($AM$1006:BL1006),$AM$1006:$BM$1006,0)), HYPERLINK("#",""), HYPERLINK(CONCATENATE("#metadata!", ADDRESS(INDEX($AH$2:$AH$1001,MATCH(ROWS($AF$2:AF815),$AF$2:$AF$1001,0),0), INDEX($AM$1004:$BM$1004,1,MATCH(COLUMNS($AM$1006:BL1006),$AM$1006:$BM$1006,0)))),"Fix")))</f>
        <v xml:space="preserve"> </v>
      </c>
      <c r="AB815" s="4" t="str">
        <f ca="1">IF(OR(INDEX($AG$2:$AG$1001,MATCH(ROWS($AF$2:AF815),$AF$2:$AF$1001,0),1)&gt;=100000,INDEX($AM$1005:$BM$1005,1,MATCH(COLUMNS($AM$1006:BM1006),$AM$1006:$BM$1006,0))&gt;=100000), " ",IF(INDEX($AM$2:$BM$1001,MATCH(ROWS($AF$2:AF815),$AF$2:$AF$1001,0),MATCH(COLUMNS($AM$1006:BM1006),$AM$1006:$BM$1006,0)), HYPERLINK("#",""), HYPERLINK(CONCATENATE("#metadata!", ADDRESS(INDEX($AH$2:$AH$1001,MATCH(ROWS($AF$2:AF815),$AF$2:$AF$1001,0),0), INDEX($AM$1004:$BM$1004,1,MATCH(COLUMNS($AM$1006:BM1006),$AM$1006:$BM$1006,0)))),"Fix")))</f>
        <v xml:space="preserve"> </v>
      </c>
      <c r="AF815">
        <v>814</v>
      </c>
      <c r="AG815">
        <v>100815</v>
      </c>
      <c r="AH815">
        <v>815</v>
      </c>
      <c r="AI815" t="b">
        <f t="shared" si="12"/>
        <v>1</v>
      </c>
      <c r="AJ815" t="b">
        <f>COUNTBLANK(metadata!B815:AB815)=COLUMNS(metadata!B815:AB815)</f>
        <v>1</v>
      </c>
      <c r="AK815" t="str">
        <v/>
      </c>
      <c r="AM815" t="b">
        <f ca="1">AND(IF(metadata!B815="",FALSE,TRUE),COUNTIF(metadata!B:B, metadata!B815) = 1,NOT(ISERROR(SUMPRODUCT(SEARCH(MID(metadata!B815,ROW(INDIRECT("1:"&amp;LEN(metadata!B815))), 1),"0123456789abcdefghijklmnopqrstuvwxyzABCDEFGHIJKLMNOPQRSTUVWXYZ.")))))</f>
        <v>0</v>
      </c>
      <c r="AN815" t="b">
        <f ca="1">OR(AND(IF(metadata!C815="",FALSE,TRUE),OR(EXACT(metadata!C815,"missing: not collected"),EXACT(metadata!C815,"missing: not provided"),EXACT(metadata!C815,"missing: restricted access"))),AND(IF(metadata!C815="",FALSE,TRUE),AND(AND(IFERROR(INT(LEFT(metadata!C815,4))&gt;1900,FALSE),IFERROR(INT(LEFT(metadata!C815,4))&lt;=YEAR(NOW()),FALSE)), OR(MID(metadata!C815,5,1)="", AND(AND(MID(metadata!C815,5,1)="-",IFERROR(INT(MID(metadata!C815,6,1))&gt;=0,FALSE),IFERROR(INT(MID(metadata!C815,6,1))&lt;=1,FALSE),NOT(MID(metadata!C815,7,1)=""),IFERROR(INT(MID(metadata!C815,6,2))&gt;=1,FALSE),IFERROR(INT(MID(metadata!C815,6,2))&lt;=12,FALSE)), OR(MID(metadata!C815,8,1)="", AND(AND(MID(metadata!C815,8,1)="-",IFERROR(INT(MID(metadata!C815,9,1))&gt;=0,FALSE),IFERROR(INT(MID(metadata!C815,9,1))&lt;=3,FALSE),NOT(MID(metadata!C815,10,1)=""),IFERROR(INT(MID(metadata!C815,9,2))&gt;=1,FALSE),IFERROR(INT(MID(metadata!C815,9,2))&lt;=31,FALSE)), OR(MID(metadata!C815,11,1)="", AND(AND(MID(metadata!C815,11,1)=" ",IFERROR(INT(MID(metadata!C815,12,1))&gt;=0,FALSE),IFERROR(INT(MID(metadata!C815,12,1))&lt;=2,FALSE),NOT(MID(metadata!C815,13,1)=""),IFERROR(INT(MID(metadata!C815,12,2))&gt;=0,FALSE),IFERROR(INT(MID(metadata!C815,12,2))&lt;=23,FALSE)), OR(MID(metadata!C815,14,1)="", AND(AND(MID(metadata!C815,14,1)=":",IFERROR(INT(MID(metadata!C815,15,1))&gt;=0,FALSE),IFERROR(INT(MID(metadata!C815,15,1))&lt;=5,FALSE),NOT(MID(metadata!C815,16,1)=""),IFERROR(INT(MID(metadata!C815,15,2))&gt;=0,FALSE),IFERROR(INT(MID(metadata!C815,15,2))&lt;=59,FALSE)), OR(MID(metadata!C815,17,1)="", AND(AND(MID(metadata!C815,17,1)=":",IFERROR(INT(MID(metadata!C815,18,1))&gt;=0,FALSE),IFERROR(INT(MID(metadata!C815,18,1))&lt;=5,FALSE),NOT(MID(metadata!C815,19,1)=""),IFERROR(INT(MID(metadata!C815,18,2))&gt;=0,FALSE),IFERROR(INT(MID(metadata!C815,18,2))&lt;=59,FALSE)), LEN(metadata!C815)&lt;=19)))))))))))))</f>
        <v>0</v>
      </c>
      <c r="AO815" t="b">
        <f>AND(IF(metadata!D815="",FALSE,TRUE),EXACT(metadata!D815,"Not applicable"))</f>
        <v>0</v>
      </c>
      <c r="AP815" t="b">
        <f>IF(metadata!E815="",FALSE,TRUE)</f>
        <v>0</v>
      </c>
      <c r="AQ815" t="b">
        <f>OR(AND(IF(metadata!F815="",FALSE,TRUE),OR(EXACT(metadata!F815,"missing: not collected"),EXACT(metadata!F815,"missing: not provided"))),AND(IF(metadata!F815="",FALSE,TRUE),OR(EXACT(metadata!F815,"TRUE"),EXACT(metadata!F815,"FALSE"))))</f>
        <v>0</v>
      </c>
      <c r="AR815" t="b">
        <f>OR(AND(IF(metadata!G815="",FALSE,TRUE),OR(EXACT(metadata!G815,"missing: not collected"),EXACT(metadata!G815,"missing: not provided"),EXACT(metadata!G815,"missing: restricted access"))),AND(IF(metadata!G815="",FALSE,ISNUMBER(VALUE(metadata!G815))),metadata!G815&gt;=-413))</f>
        <v>0</v>
      </c>
      <c r="AS815" t="b">
        <f>AND(IF(metadata!H815="",FALSE,TRUE),EXACT(metadata!H815,"meters"))</f>
        <v>0</v>
      </c>
      <c r="AT815" t="b">
        <f>AND(IF(metadata!I815="",FALSE,TRUE),OR(EXACT(metadata!I815,"Host-associated"),EXACT(metadata!I815,"Free-living")))</f>
        <v>0</v>
      </c>
      <c r="AU815" t="b">
        <f>AND(IF(metadata!J815="",FALSE,TRUE),OR(EXACT(metadata!J815,"Animal"),EXACT(metadata!J815,"Fungus"),EXACT(metadata!J815,"Plant"),EXACT(metadata!J815,"Saline"),EXACT(metadata!J815,"Non-saline")))</f>
        <v>0</v>
      </c>
      <c r="AV815" t="b">
        <f>AND(IF(metadata!K815="",FALSE,TRUE),OR(EXACT(metadata!K815,"Plant secretion"),EXACT(metadata!K815,"Plant rhizosphere"),EXACT(metadata!K815,"Plant surface"),EXACT(metadata!K815,"Plant corpus"),EXACT(metadata!K815,"Fungus surface"),EXACT(metadata!K815,"Fungus corpus"),EXACT(metadata!K815,"Animal surface"),EXACT(metadata!K815,"Animal proximal gut"),EXACT(metadata!K815,"Animal corpus"),EXACT(metadata!K815,"Animal distal gut"),EXACT(metadata!K815,"Animal secretion"),EXACT(metadata!K815,"Sub-surface (non-saline)"),EXACT(metadata!K815,"Surface (non-saline)"),EXACT(metadata!K815,"Water (non-saline)"),EXACT(metadata!K815,"Soil (non-saline)"),EXACT(metadata!K815,"Aerosol (non-saline)"),EXACT(metadata!K815,"Sediment (non-saline)"),EXACT(metadata!K815,"Surface (saline)"),EXACT(metadata!K815,"Water (saline)"),EXACT(metadata!K815,"Hypersaline (saline)"),EXACT(metadata!K815,"Aerosol (saline)"),EXACT(metadata!K815,"Sediment (saline)")))</f>
        <v>0</v>
      </c>
      <c r="AW815" t="b">
        <f>IF(metadata!L815="",FALSE,TRUE)</f>
        <v>0</v>
      </c>
      <c r="AX815" t="b">
        <f>IF(metadata!M815="",FALSE,TRUE)</f>
        <v>0</v>
      </c>
      <c r="AY815" t="b">
        <f>IF(metadata!N815="",FALSE,TRUE)</f>
        <v>0</v>
      </c>
      <c r="AZ815" t="b">
        <f>OR(AND(IF(metadata!O815="",FALSE,TRUE),OR(EXACT(metadata!O815,"missing: not collected"),EXACT(metadata!O815,"missing: not provided"),EXACT(metadata!O815,"missing: restricted access"))),AND(IF(metadata!O815="",FALSE,TRUE),OR(EXACT(metadata!O815,"air"),EXACT(metadata!O815,"built environment"),EXACT(metadata!O815,"host-associated"),EXACT(metadata!O815,"human-associated"),EXACT(metadata!O815,"human-skin"),EXACT(metadata!O815,"human-oral"),EXACT(metadata!O815,"human-gut"),EXACT(metadata!O815,"human-vaginal"),EXACT(metadata!O815,"microbial mat/biofilm"),EXACT(metadata!O815,"misc environment"),EXACT(metadata!O815,"plant-associated"),EXACT(metadata!O815,"sediment"),EXACT(metadata!O815,"soil"),EXACT(metadata!O815,"wastewater/sludge"),EXACT(metadata!O815,"water"))))</f>
        <v>0</v>
      </c>
      <c r="BA815" t="b">
        <f>IF(metadata!P815="",FALSE,TRUE)</f>
        <v>0</v>
      </c>
      <c r="BB815" t="b">
        <f>IF(metadata!Q815="",FALSE,TRUE)</f>
        <v>0</v>
      </c>
      <c r="BC815" t="b">
        <f>OR(AND(IF(metadata!R815="",FALSE,TRUE),OR(EXACT(metadata!R815,"missing: not collected"),EXACT(metadata!R815,"missing: not provided"),EXACT(metadata!R815,"missing: restricted access"))),AND(IF(metadata!R815="",FALSE,ISNUMBER(VALUE(metadata!R815))),metadata!R815&gt;=-90,metadata!R815&lt;=90))</f>
        <v>0</v>
      </c>
      <c r="BD815" t="b">
        <f>AND(IF(metadata!S815="",FALSE,TRUE),EXACT(metadata!S815,"Decimal degrees"))</f>
        <v>0</v>
      </c>
      <c r="BE815" t="b">
        <f>OR(AND(IF(metadata!T815="",FALSE,TRUE),OR(EXACT(metadata!T815,"missing: not collected"),EXACT(metadata!T815,"missing: not provided"),EXACT(metadata!T815,"missing: restricted access"))),AND(IF(metadata!T815="",FALSE,ISNUMBER(VALUE(metadata!T815))),metadata!T815&gt;=-180,metadata!T815&lt;=180))</f>
        <v>0</v>
      </c>
      <c r="BF815" t="b">
        <f>AND(IF(metadata!U815="",FALSE,TRUE),EXACT(metadata!U815,"Decimal degrees"))</f>
        <v>0</v>
      </c>
      <c r="BG815" t="b">
        <f>IF(metadata!V815="",FALSE,TRUE)</f>
        <v>0</v>
      </c>
      <c r="BH815" t="b">
        <f>OR(AND(IF(metadata!W815="",FALSE,TRUE),OR(EXACT(metadata!W815,"missing: not collected"),EXACT(metadata!W815,"missing: not provided"),EXACT(metadata!W815,"missing: restricted access"))),AND(IF(metadata!W815="",FALSE,TRUE),OR(EXACT(metadata!W815,"TRUE"),EXACT(metadata!W815,"FALSE"))))</f>
        <v>0</v>
      </c>
      <c r="BI815" t="b">
        <f>AND(IF(metadata!X815="",FALSE,TRUE),EXACT(metadata!X815,"other"))</f>
        <v>0</v>
      </c>
      <c r="BJ815" t="b">
        <f>IF(metadata!Y815="",FALSE,TRUE)</f>
        <v>0</v>
      </c>
      <c r="BK815" t="b">
        <f>OR(AND(IF(metadata!Z815="",FALSE,TRUE),OR(EXACT(metadata!Z815,"missing: not collected"),EXACT(metadata!Z815,"missing: not provided"))),AND(IF(metadata!Z815="",FALSE,IF(ISERROR(INT(metadata!Z815)),FALSE,INT(metadata!Z815)=metadata!Z815)),metadata!Z815&gt;0))</f>
        <v>0</v>
      </c>
      <c r="BL815" t="b">
        <f>AND(IF(metadata!AA815="",FALSE,TRUE),EXACT(metadata!AA815,"Not applicable"))</f>
        <v>0</v>
      </c>
      <c r="BM815" t="b">
        <f>IF(metadata!AB815="",FALSE,TRUE)</f>
        <v>0</v>
      </c>
    </row>
    <row r="816" spans="1:65" x14ac:dyDescent="0.2">
      <c r="A816" s="5" t="str">
        <f ca="1">IF(B816=" "," ",HYPERLINK(CONCATENATE("#metadata!",ADDRESS(INDEX($AH$2:$AH$1001,MATCH(ROWS($AF$2:AF816),$AF$2:$AF$1001,0),0),1)),INDEX($AK$2:$AK$1001,MATCH(ROWS($AF$2:AF816),$AF$2:$AF$1001,0),0)))</f>
        <v xml:space="preserve"> </v>
      </c>
      <c r="B816" s="4" t="str">
        <f ca="1">IF(OR(INDEX($AG$2:$AG$1001,MATCH(ROWS($AF$2:AF816),$AF$2:$AF$1001,0),1)&gt;=100000,INDEX($AM$1005:$BM$1005,1,MATCH(COLUMNS($AM$1006:AM1006),$AM$1006:$BM$1006,0))&gt;=100000), " ",IF(INDEX($AM$2:$BM$1001,MATCH(ROWS($AF$2:AF816),$AF$2:$AF$1001,0),MATCH(COLUMNS($AM$1006:AM1006),$AM$1006:$BM$1006,0)), HYPERLINK("#",""), HYPERLINK(CONCATENATE("#metadata!", ADDRESS(INDEX($AH$2:$AH$1001,MATCH(ROWS($AF$2:AF816),$AF$2:$AF$1001,0),0), INDEX($AM$1004:$BM$1004,1,MATCH(COLUMNS($AM$1006:AM1006),$AM$1006:$BM$1006,0)))),"Fix")))</f>
        <v xml:space="preserve"> </v>
      </c>
      <c r="C816" s="4" t="str">
        <f ca="1">IF(OR(INDEX($AG$2:$AG$1001,MATCH(ROWS($AF$2:AF816),$AF$2:$AF$1001,0),1)&gt;=100000,INDEX($AM$1005:$BM$1005,1,MATCH(COLUMNS($AM$1006:AN1006),$AM$1006:$BM$1006,0))&gt;=100000), " ",IF(INDEX($AM$2:$BM$1001,MATCH(ROWS($AF$2:AF816),$AF$2:$AF$1001,0),MATCH(COLUMNS($AM$1006:AN1006),$AM$1006:$BM$1006,0)), HYPERLINK("#",""), HYPERLINK(CONCATENATE("#metadata!", ADDRESS(INDEX($AH$2:$AH$1001,MATCH(ROWS($AF$2:AF816),$AF$2:$AF$1001,0),0), INDEX($AM$1004:$BM$1004,1,MATCH(COLUMNS($AM$1006:AN1006),$AM$1006:$BM$1006,0)))),"Fix")))</f>
        <v xml:space="preserve"> </v>
      </c>
      <c r="D816" s="4" t="str">
        <f ca="1">IF(OR(INDEX($AG$2:$AG$1001,MATCH(ROWS($AF$2:AF816),$AF$2:$AF$1001,0),1)&gt;=100000,INDEX($AM$1005:$BM$1005,1,MATCH(COLUMNS($AM$1006:AO1006),$AM$1006:$BM$1006,0))&gt;=100000), " ",IF(INDEX($AM$2:$BM$1001,MATCH(ROWS($AF$2:AF816),$AF$2:$AF$1001,0),MATCH(COLUMNS($AM$1006:AO1006),$AM$1006:$BM$1006,0)), HYPERLINK("#",""), HYPERLINK(CONCATENATE("#metadata!", ADDRESS(INDEX($AH$2:$AH$1001,MATCH(ROWS($AF$2:AF816),$AF$2:$AF$1001,0),0), INDEX($AM$1004:$BM$1004,1,MATCH(COLUMNS($AM$1006:AO1006),$AM$1006:$BM$1006,0)))),"Fix")))</f>
        <v xml:space="preserve"> </v>
      </c>
      <c r="E816" s="4" t="str">
        <f ca="1">IF(OR(INDEX($AG$2:$AG$1001,MATCH(ROWS($AF$2:AF816),$AF$2:$AF$1001,0),1)&gt;=100000,INDEX($AM$1005:$BM$1005,1,MATCH(COLUMNS($AM$1006:AP1006),$AM$1006:$BM$1006,0))&gt;=100000), " ",IF(INDEX($AM$2:$BM$1001,MATCH(ROWS($AF$2:AF816),$AF$2:$AF$1001,0),MATCH(COLUMNS($AM$1006:AP1006),$AM$1006:$BM$1006,0)), HYPERLINK("#",""), HYPERLINK(CONCATENATE("#metadata!", ADDRESS(INDEX($AH$2:$AH$1001,MATCH(ROWS($AF$2:AF816),$AF$2:$AF$1001,0),0), INDEX($AM$1004:$BM$1004,1,MATCH(COLUMNS($AM$1006:AP1006),$AM$1006:$BM$1006,0)))),"Fix")))</f>
        <v xml:space="preserve"> </v>
      </c>
      <c r="F816" s="4" t="str">
        <f ca="1">IF(OR(INDEX($AG$2:$AG$1001,MATCH(ROWS($AF$2:AF816),$AF$2:$AF$1001,0),1)&gt;=100000,INDEX($AM$1005:$BM$1005,1,MATCH(COLUMNS($AM$1006:AQ1006),$AM$1006:$BM$1006,0))&gt;=100000), " ",IF(INDEX($AM$2:$BM$1001,MATCH(ROWS($AF$2:AF816),$AF$2:$AF$1001,0),MATCH(COLUMNS($AM$1006:AQ1006),$AM$1006:$BM$1006,0)), HYPERLINK("#",""), HYPERLINK(CONCATENATE("#metadata!", ADDRESS(INDEX($AH$2:$AH$1001,MATCH(ROWS($AF$2:AF816),$AF$2:$AF$1001,0),0), INDEX($AM$1004:$BM$1004,1,MATCH(COLUMNS($AM$1006:AQ1006),$AM$1006:$BM$1006,0)))),"Fix")))</f>
        <v xml:space="preserve"> </v>
      </c>
      <c r="G816" s="4" t="str">
        <f ca="1">IF(OR(INDEX($AG$2:$AG$1001,MATCH(ROWS($AF$2:AF816),$AF$2:$AF$1001,0),1)&gt;=100000,INDEX($AM$1005:$BM$1005,1,MATCH(COLUMNS($AM$1006:AR1006),$AM$1006:$BM$1006,0))&gt;=100000), " ",IF(INDEX($AM$2:$BM$1001,MATCH(ROWS($AF$2:AF816),$AF$2:$AF$1001,0),MATCH(COLUMNS($AM$1006:AR1006),$AM$1006:$BM$1006,0)), HYPERLINK("#",""), HYPERLINK(CONCATENATE("#metadata!", ADDRESS(INDEX($AH$2:$AH$1001,MATCH(ROWS($AF$2:AF816),$AF$2:$AF$1001,0),0), INDEX($AM$1004:$BM$1004,1,MATCH(COLUMNS($AM$1006:AR1006),$AM$1006:$BM$1006,0)))),"Fix")))</f>
        <v xml:space="preserve"> </v>
      </c>
      <c r="H816" s="4" t="str">
        <f ca="1">IF(OR(INDEX($AG$2:$AG$1001,MATCH(ROWS($AF$2:AF816),$AF$2:$AF$1001,0),1)&gt;=100000,INDEX($AM$1005:$BM$1005,1,MATCH(COLUMNS($AM$1006:AS1006),$AM$1006:$BM$1006,0))&gt;=100000), " ",IF(INDEX($AM$2:$BM$1001,MATCH(ROWS($AF$2:AF816),$AF$2:$AF$1001,0),MATCH(COLUMNS($AM$1006:AS1006),$AM$1006:$BM$1006,0)), HYPERLINK("#",""), HYPERLINK(CONCATENATE("#metadata!", ADDRESS(INDEX($AH$2:$AH$1001,MATCH(ROWS($AF$2:AF816),$AF$2:$AF$1001,0),0), INDEX($AM$1004:$BM$1004,1,MATCH(COLUMNS($AM$1006:AS1006),$AM$1006:$BM$1006,0)))),"Fix")))</f>
        <v xml:space="preserve"> </v>
      </c>
      <c r="I816" s="4" t="str">
        <f ca="1">IF(OR(INDEX($AG$2:$AG$1001,MATCH(ROWS($AF$2:AF816),$AF$2:$AF$1001,0),1)&gt;=100000,INDEX($AM$1005:$BM$1005,1,MATCH(COLUMNS($AM$1006:AT1006),$AM$1006:$BM$1006,0))&gt;=100000), " ",IF(INDEX($AM$2:$BM$1001,MATCH(ROWS($AF$2:AF816),$AF$2:$AF$1001,0),MATCH(COLUMNS($AM$1006:AT1006),$AM$1006:$BM$1006,0)), HYPERLINK("#",""), HYPERLINK(CONCATENATE("#metadata!", ADDRESS(INDEX($AH$2:$AH$1001,MATCH(ROWS($AF$2:AF816),$AF$2:$AF$1001,0),0), INDEX($AM$1004:$BM$1004,1,MATCH(COLUMNS($AM$1006:AT1006),$AM$1006:$BM$1006,0)))),"Fix")))</f>
        <v xml:space="preserve"> </v>
      </c>
      <c r="J816" s="4" t="str">
        <f ca="1">IF(OR(INDEX($AG$2:$AG$1001,MATCH(ROWS($AF$2:AF816),$AF$2:$AF$1001,0),1)&gt;=100000,INDEX($AM$1005:$BM$1005,1,MATCH(COLUMNS($AM$1006:AU1006),$AM$1006:$BM$1006,0))&gt;=100000), " ",IF(INDEX($AM$2:$BM$1001,MATCH(ROWS($AF$2:AF816),$AF$2:$AF$1001,0),MATCH(COLUMNS($AM$1006:AU1006),$AM$1006:$BM$1006,0)), HYPERLINK("#",""), HYPERLINK(CONCATENATE("#metadata!", ADDRESS(INDEX($AH$2:$AH$1001,MATCH(ROWS($AF$2:AF816),$AF$2:$AF$1001,0),0), INDEX($AM$1004:$BM$1004,1,MATCH(COLUMNS($AM$1006:AU1006),$AM$1006:$BM$1006,0)))),"Fix")))</f>
        <v xml:space="preserve"> </v>
      </c>
      <c r="K816" s="4" t="str">
        <f ca="1">IF(OR(INDEX($AG$2:$AG$1001,MATCH(ROWS($AF$2:AF816),$AF$2:$AF$1001,0),1)&gt;=100000,INDEX($AM$1005:$BM$1005,1,MATCH(COLUMNS($AM$1006:AV1006),$AM$1006:$BM$1006,0))&gt;=100000), " ",IF(INDEX($AM$2:$BM$1001,MATCH(ROWS($AF$2:AF816),$AF$2:$AF$1001,0),MATCH(COLUMNS($AM$1006:AV1006),$AM$1006:$BM$1006,0)), HYPERLINK("#",""), HYPERLINK(CONCATENATE("#metadata!", ADDRESS(INDEX($AH$2:$AH$1001,MATCH(ROWS($AF$2:AF816),$AF$2:$AF$1001,0),0), INDEX($AM$1004:$BM$1004,1,MATCH(COLUMNS($AM$1006:AV1006),$AM$1006:$BM$1006,0)))),"Fix")))</f>
        <v xml:space="preserve"> </v>
      </c>
      <c r="L816" s="4" t="str">
        <f ca="1">IF(OR(INDEX($AG$2:$AG$1001,MATCH(ROWS($AF$2:AF816),$AF$2:$AF$1001,0),1)&gt;=100000,INDEX($AM$1005:$BM$1005,1,MATCH(COLUMNS($AM$1006:AW1006),$AM$1006:$BM$1006,0))&gt;=100000), " ",IF(INDEX($AM$2:$BM$1001,MATCH(ROWS($AF$2:AF816),$AF$2:$AF$1001,0),MATCH(COLUMNS($AM$1006:AW1006),$AM$1006:$BM$1006,0)), HYPERLINK("#",""), HYPERLINK(CONCATENATE("#metadata!", ADDRESS(INDEX($AH$2:$AH$1001,MATCH(ROWS($AF$2:AF816),$AF$2:$AF$1001,0),0), INDEX($AM$1004:$BM$1004,1,MATCH(COLUMNS($AM$1006:AW1006),$AM$1006:$BM$1006,0)))),"Fix")))</f>
        <v xml:space="preserve"> </v>
      </c>
      <c r="M816" s="4" t="str">
        <f ca="1">IF(OR(INDEX($AG$2:$AG$1001,MATCH(ROWS($AF$2:AF816),$AF$2:$AF$1001,0),1)&gt;=100000,INDEX($AM$1005:$BM$1005,1,MATCH(COLUMNS($AM$1006:AX1006),$AM$1006:$BM$1006,0))&gt;=100000), " ",IF(INDEX($AM$2:$BM$1001,MATCH(ROWS($AF$2:AF816),$AF$2:$AF$1001,0),MATCH(COLUMNS($AM$1006:AX1006),$AM$1006:$BM$1006,0)), HYPERLINK("#",""), HYPERLINK(CONCATENATE("#metadata!", ADDRESS(INDEX($AH$2:$AH$1001,MATCH(ROWS($AF$2:AF816),$AF$2:$AF$1001,0),0), INDEX($AM$1004:$BM$1004,1,MATCH(COLUMNS($AM$1006:AX1006),$AM$1006:$BM$1006,0)))),"Fix")))</f>
        <v xml:space="preserve"> </v>
      </c>
      <c r="N816" s="4" t="str">
        <f ca="1">IF(OR(INDEX($AG$2:$AG$1001,MATCH(ROWS($AF$2:AF816),$AF$2:$AF$1001,0),1)&gt;=100000,INDEX($AM$1005:$BM$1005,1,MATCH(COLUMNS($AM$1006:AY1006),$AM$1006:$BM$1006,0))&gt;=100000), " ",IF(INDEX($AM$2:$BM$1001,MATCH(ROWS($AF$2:AF816),$AF$2:$AF$1001,0),MATCH(COLUMNS($AM$1006:AY1006),$AM$1006:$BM$1006,0)), HYPERLINK("#",""), HYPERLINK(CONCATENATE("#metadata!", ADDRESS(INDEX($AH$2:$AH$1001,MATCH(ROWS($AF$2:AF816),$AF$2:$AF$1001,0),0), INDEX($AM$1004:$BM$1004,1,MATCH(COLUMNS($AM$1006:AY1006),$AM$1006:$BM$1006,0)))),"Fix")))</f>
        <v xml:space="preserve"> </v>
      </c>
      <c r="O816" s="4" t="str">
        <f ca="1">IF(OR(INDEX($AG$2:$AG$1001,MATCH(ROWS($AF$2:AF816),$AF$2:$AF$1001,0),1)&gt;=100000,INDEX($AM$1005:$BM$1005,1,MATCH(COLUMNS($AM$1006:AZ1006),$AM$1006:$BM$1006,0))&gt;=100000), " ",IF(INDEX($AM$2:$BM$1001,MATCH(ROWS($AF$2:AF816),$AF$2:$AF$1001,0),MATCH(COLUMNS($AM$1006:AZ1006),$AM$1006:$BM$1006,0)), HYPERLINK("#",""), HYPERLINK(CONCATENATE("#metadata!", ADDRESS(INDEX($AH$2:$AH$1001,MATCH(ROWS($AF$2:AF816),$AF$2:$AF$1001,0),0), INDEX($AM$1004:$BM$1004,1,MATCH(COLUMNS($AM$1006:AZ1006),$AM$1006:$BM$1006,0)))),"Fix")))</f>
        <v xml:space="preserve"> </v>
      </c>
      <c r="P816" s="4" t="str">
        <f ca="1">IF(OR(INDEX($AG$2:$AG$1001,MATCH(ROWS($AF$2:AF816),$AF$2:$AF$1001,0),1)&gt;=100000,INDEX($AM$1005:$BM$1005,1,MATCH(COLUMNS($AM$1006:BA1006),$AM$1006:$BM$1006,0))&gt;=100000), " ",IF(INDEX($AM$2:$BM$1001,MATCH(ROWS($AF$2:AF816),$AF$2:$AF$1001,0),MATCH(COLUMNS($AM$1006:BA1006),$AM$1006:$BM$1006,0)), HYPERLINK("#",""), HYPERLINK(CONCATENATE("#metadata!", ADDRESS(INDEX($AH$2:$AH$1001,MATCH(ROWS($AF$2:AF816),$AF$2:$AF$1001,0),0), INDEX($AM$1004:$BM$1004,1,MATCH(COLUMNS($AM$1006:BA1006),$AM$1006:$BM$1006,0)))),"Fix")))</f>
        <v xml:space="preserve"> </v>
      </c>
      <c r="Q816" s="4" t="str">
        <f ca="1">IF(OR(INDEX($AG$2:$AG$1001,MATCH(ROWS($AF$2:AF816),$AF$2:$AF$1001,0),1)&gt;=100000,INDEX($AM$1005:$BM$1005,1,MATCH(COLUMNS($AM$1006:BB1006),$AM$1006:$BM$1006,0))&gt;=100000), " ",IF(INDEX($AM$2:$BM$1001,MATCH(ROWS($AF$2:AF816),$AF$2:$AF$1001,0),MATCH(COLUMNS($AM$1006:BB1006),$AM$1006:$BM$1006,0)), HYPERLINK("#",""), HYPERLINK(CONCATENATE("#metadata!", ADDRESS(INDEX($AH$2:$AH$1001,MATCH(ROWS($AF$2:AF816),$AF$2:$AF$1001,0),0), INDEX($AM$1004:$BM$1004,1,MATCH(COLUMNS($AM$1006:BB1006),$AM$1006:$BM$1006,0)))),"Fix")))</f>
        <v xml:space="preserve"> </v>
      </c>
      <c r="R816" s="4" t="str">
        <f ca="1">IF(OR(INDEX($AG$2:$AG$1001,MATCH(ROWS($AF$2:AF816),$AF$2:$AF$1001,0),1)&gt;=100000,INDEX($AM$1005:$BM$1005,1,MATCH(COLUMNS($AM$1006:BC1006),$AM$1006:$BM$1006,0))&gt;=100000), " ",IF(INDEX($AM$2:$BM$1001,MATCH(ROWS($AF$2:AF816),$AF$2:$AF$1001,0),MATCH(COLUMNS($AM$1006:BC1006),$AM$1006:$BM$1006,0)), HYPERLINK("#",""), HYPERLINK(CONCATENATE("#metadata!", ADDRESS(INDEX($AH$2:$AH$1001,MATCH(ROWS($AF$2:AF816),$AF$2:$AF$1001,0),0), INDEX($AM$1004:$BM$1004,1,MATCH(COLUMNS($AM$1006:BC1006),$AM$1006:$BM$1006,0)))),"Fix")))</f>
        <v xml:space="preserve"> </v>
      </c>
      <c r="S816" s="4" t="str">
        <f ca="1">IF(OR(INDEX($AG$2:$AG$1001,MATCH(ROWS($AF$2:AF816),$AF$2:$AF$1001,0),1)&gt;=100000,INDEX($AM$1005:$BM$1005,1,MATCH(COLUMNS($AM$1006:BD1006),$AM$1006:$BM$1006,0))&gt;=100000), " ",IF(INDEX($AM$2:$BM$1001,MATCH(ROWS($AF$2:AF816),$AF$2:$AF$1001,0),MATCH(COLUMNS($AM$1006:BD1006),$AM$1006:$BM$1006,0)), HYPERLINK("#",""), HYPERLINK(CONCATENATE("#metadata!", ADDRESS(INDEX($AH$2:$AH$1001,MATCH(ROWS($AF$2:AF816),$AF$2:$AF$1001,0),0), INDEX($AM$1004:$BM$1004,1,MATCH(COLUMNS($AM$1006:BD1006),$AM$1006:$BM$1006,0)))),"Fix")))</f>
        <v xml:space="preserve"> </v>
      </c>
      <c r="T816" s="4" t="str">
        <f ca="1">IF(OR(INDEX($AG$2:$AG$1001,MATCH(ROWS($AF$2:AF816),$AF$2:$AF$1001,0),1)&gt;=100000,INDEX($AM$1005:$BM$1005,1,MATCH(COLUMNS($AM$1006:BE1006),$AM$1006:$BM$1006,0))&gt;=100000), " ",IF(INDEX($AM$2:$BM$1001,MATCH(ROWS($AF$2:AF816),$AF$2:$AF$1001,0),MATCH(COLUMNS($AM$1006:BE1006),$AM$1006:$BM$1006,0)), HYPERLINK("#",""), HYPERLINK(CONCATENATE("#metadata!", ADDRESS(INDEX($AH$2:$AH$1001,MATCH(ROWS($AF$2:AF816),$AF$2:$AF$1001,0),0), INDEX($AM$1004:$BM$1004,1,MATCH(COLUMNS($AM$1006:BE1006),$AM$1006:$BM$1006,0)))),"Fix")))</f>
        <v xml:space="preserve"> </v>
      </c>
      <c r="U816" s="4" t="str">
        <f ca="1">IF(OR(INDEX($AG$2:$AG$1001,MATCH(ROWS($AF$2:AF816),$AF$2:$AF$1001,0),1)&gt;=100000,INDEX($AM$1005:$BM$1005,1,MATCH(COLUMNS($AM$1006:BF1006),$AM$1006:$BM$1006,0))&gt;=100000), " ",IF(INDEX($AM$2:$BM$1001,MATCH(ROWS($AF$2:AF816),$AF$2:$AF$1001,0),MATCH(COLUMNS($AM$1006:BF1006),$AM$1006:$BM$1006,0)), HYPERLINK("#",""), HYPERLINK(CONCATENATE("#metadata!", ADDRESS(INDEX($AH$2:$AH$1001,MATCH(ROWS($AF$2:AF816),$AF$2:$AF$1001,0),0), INDEX($AM$1004:$BM$1004,1,MATCH(COLUMNS($AM$1006:BF1006),$AM$1006:$BM$1006,0)))),"Fix")))</f>
        <v xml:space="preserve"> </v>
      </c>
      <c r="V816" s="4" t="str">
        <f ca="1">IF(OR(INDEX($AG$2:$AG$1001,MATCH(ROWS($AF$2:AF816),$AF$2:$AF$1001,0),1)&gt;=100000,INDEX($AM$1005:$BM$1005,1,MATCH(COLUMNS($AM$1006:BG1006),$AM$1006:$BM$1006,0))&gt;=100000), " ",IF(INDEX($AM$2:$BM$1001,MATCH(ROWS($AF$2:AF816),$AF$2:$AF$1001,0),MATCH(COLUMNS($AM$1006:BG1006),$AM$1006:$BM$1006,0)), HYPERLINK("#",""), HYPERLINK(CONCATENATE("#metadata!", ADDRESS(INDEX($AH$2:$AH$1001,MATCH(ROWS($AF$2:AF816),$AF$2:$AF$1001,0),0), INDEX($AM$1004:$BM$1004,1,MATCH(COLUMNS($AM$1006:BG1006),$AM$1006:$BM$1006,0)))),"Fix")))</f>
        <v xml:space="preserve"> </v>
      </c>
      <c r="W816" s="4" t="str">
        <f ca="1">IF(OR(INDEX($AG$2:$AG$1001,MATCH(ROWS($AF$2:AF816),$AF$2:$AF$1001,0),1)&gt;=100000,INDEX($AM$1005:$BM$1005,1,MATCH(COLUMNS($AM$1006:BH1006),$AM$1006:$BM$1006,0))&gt;=100000), " ",IF(INDEX($AM$2:$BM$1001,MATCH(ROWS($AF$2:AF816),$AF$2:$AF$1001,0),MATCH(COLUMNS($AM$1006:BH1006),$AM$1006:$BM$1006,0)), HYPERLINK("#",""), HYPERLINK(CONCATENATE("#metadata!", ADDRESS(INDEX($AH$2:$AH$1001,MATCH(ROWS($AF$2:AF816),$AF$2:$AF$1001,0),0), INDEX($AM$1004:$BM$1004,1,MATCH(COLUMNS($AM$1006:BH1006),$AM$1006:$BM$1006,0)))),"Fix")))</f>
        <v xml:space="preserve"> </v>
      </c>
      <c r="X816" s="4" t="str">
        <f ca="1">IF(OR(INDEX($AG$2:$AG$1001,MATCH(ROWS($AF$2:AF816),$AF$2:$AF$1001,0),1)&gt;=100000,INDEX($AM$1005:$BM$1005,1,MATCH(COLUMNS($AM$1006:BI1006),$AM$1006:$BM$1006,0))&gt;=100000), " ",IF(INDEX($AM$2:$BM$1001,MATCH(ROWS($AF$2:AF816),$AF$2:$AF$1001,0),MATCH(COLUMNS($AM$1006:BI1006),$AM$1006:$BM$1006,0)), HYPERLINK("#",""), HYPERLINK(CONCATENATE("#metadata!", ADDRESS(INDEX($AH$2:$AH$1001,MATCH(ROWS($AF$2:AF816),$AF$2:$AF$1001,0),0), INDEX($AM$1004:$BM$1004,1,MATCH(COLUMNS($AM$1006:BI1006),$AM$1006:$BM$1006,0)))),"Fix")))</f>
        <v xml:space="preserve"> </v>
      </c>
      <c r="Y816" s="4" t="str">
        <f ca="1">IF(OR(INDEX($AG$2:$AG$1001,MATCH(ROWS($AF$2:AF816),$AF$2:$AF$1001,0),1)&gt;=100000,INDEX($AM$1005:$BM$1005,1,MATCH(COLUMNS($AM$1006:BJ1006),$AM$1006:$BM$1006,0))&gt;=100000), " ",IF(INDEX($AM$2:$BM$1001,MATCH(ROWS($AF$2:AF816),$AF$2:$AF$1001,0),MATCH(COLUMNS($AM$1006:BJ1006),$AM$1006:$BM$1006,0)), HYPERLINK("#",""), HYPERLINK(CONCATENATE("#metadata!", ADDRESS(INDEX($AH$2:$AH$1001,MATCH(ROWS($AF$2:AF816),$AF$2:$AF$1001,0),0), INDEX($AM$1004:$BM$1004,1,MATCH(COLUMNS($AM$1006:BJ1006),$AM$1006:$BM$1006,0)))),"Fix")))</f>
        <v xml:space="preserve"> </v>
      </c>
      <c r="Z816" s="4" t="str">
        <f ca="1">IF(OR(INDEX($AG$2:$AG$1001,MATCH(ROWS($AF$2:AF816),$AF$2:$AF$1001,0),1)&gt;=100000,INDEX($AM$1005:$BM$1005,1,MATCH(COLUMNS($AM$1006:BK1006),$AM$1006:$BM$1006,0))&gt;=100000), " ",IF(INDEX($AM$2:$BM$1001,MATCH(ROWS($AF$2:AF816),$AF$2:$AF$1001,0),MATCH(COLUMNS($AM$1006:BK1006),$AM$1006:$BM$1006,0)), HYPERLINK("#",""), HYPERLINK(CONCATENATE("#metadata!", ADDRESS(INDEX($AH$2:$AH$1001,MATCH(ROWS($AF$2:AF816),$AF$2:$AF$1001,0),0), INDEX($AM$1004:$BM$1004,1,MATCH(COLUMNS($AM$1006:BK1006),$AM$1006:$BM$1006,0)))),"Fix")))</f>
        <v xml:space="preserve"> </v>
      </c>
      <c r="AA816" s="4" t="str">
        <f ca="1">IF(OR(INDEX($AG$2:$AG$1001,MATCH(ROWS($AF$2:AF816),$AF$2:$AF$1001,0),1)&gt;=100000,INDEX($AM$1005:$BM$1005,1,MATCH(COLUMNS($AM$1006:BL1006),$AM$1006:$BM$1006,0))&gt;=100000), " ",IF(INDEX($AM$2:$BM$1001,MATCH(ROWS($AF$2:AF816),$AF$2:$AF$1001,0),MATCH(COLUMNS($AM$1006:BL1006),$AM$1006:$BM$1006,0)), HYPERLINK("#",""), HYPERLINK(CONCATENATE("#metadata!", ADDRESS(INDEX($AH$2:$AH$1001,MATCH(ROWS($AF$2:AF816),$AF$2:$AF$1001,0),0), INDEX($AM$1004:$BM$1004,1,MATCH(COLUMNS($AM$1006:BL1006),$AM$1006:$BM$1006,0)))),"Fix")))</f>
        <v xml:space="preserve"> </v>
      </c>
      <c r="AB816" s="4" t="str">
        <f ca="1">IF(OR(INDEX($AG$2:$AG$1001,MATCH(ROWS($AF$2:AF816),$AF$2:$AF$1001,0),1)&gt;=100000,INDEX($AM$1005:$BM$1005,1,MATCH(COLUMNS($AM$1006:BM1006),$AM$1006:$BM$1006,0))&gt;=100000), " ",IF(INDEX($AM$2:$BM$1001,MATCH(ROWS($AF$2:AF816),$AF$2:$AF$1001,0),MATCH(COLUMNS($AM$1006:BM1006),$AM$1006:$BM$1006,0)), HYPERLINK("#",""), HYPERLINK(CONCATENATE("#metadata!", ADDRESS(INDEX($AH$2:$AH$1001,MATCH(ROWS($AF$2:AF816),$AF$2:$AF$1001,0),0), INDEX($AM$1004:$BM$1004,1,MATCH(COLUMNS($AM$1006:BM1006),$AM$1006:$BM$1006,0)))),"Fix")))</f>
        <v xml:space="preserve"> </v>
      </c>
      <c r="AF816">
        <v>815</v>
      </c>
      <c r="AG816">
        <v>100816</v>
      </c>
      <c r="AH816">
        <v>816</v>
      </c>
      <c r="AI816" t="b">
        <f t="shared" si="12"/>
        <v>1</v>
      </c>
      <c r="AJ816" t="b">
        <f>COUNTBLANK(metadata!B816:AB816)=COLUMNS(metadata!B816:AB816)</f>
        <v>1</v>
      </c>
      <c r="AK816" t="str">
        <v/>
      </c>
      <c r="AM816" t="b">
        <f ca="1">AND(IF(metadata!B816="",FALSE,TRUE),COUNTIF(metadata!B:B, metadata!B816) = 1,NOT(ISERROR(SUMPRODUCT(SEARCH(MID(metadata!B816,ROW(INDIRECT("1:"&amp;LEN(metadata!B816))), 1),"0123456789abcdefghijklmnopqrstuvwxyzABCDEFGHIJKLMNOPQRSTUVWXYZ.")))))</f>
        <v>0</v>
      </c>
      <c r="AN816" t="b">
        <f ca="1">OR(AND(IF(metadata!C816="",FALSE,TRUE),OR(EXACT(metadata!C816,"missing: not collected"),EXACT(metadata!C816,"missing: not provided"),EXACT(metadata!C816,"missing: restricted access"))),AND(IF(metadata!C816="",FALSE,TRUE),AND(AND(IFERROR(INT(LEFT(metadata!C816,4))&gt;1900,FALSE),IFERROR(INT(LEFT(metadata!C816,4))&lt;=YEAR(NOW()),FALSE)), OR(MID(metadata!C816,5,1)="", AND(AND(MID(metadata!C816,5,1)="-",IFERROR(INT(MID(metadata!C816,6,1))&gt;=0,FALSE),IFERROR(INT(MID(metadata!C816,6,1))&lt;=1,FALSE),NOT(MID(metadata!C816,7,1)=""),IFERROR(INT(MID(metadata!C816,6,2))&gt;=1,FALSE),IFERROR(INT(MID(metadata!C816,6,2))&lt;=12,FALSE)), OR(MID(metadata!C816,8,1)="", AND(AND(MID(metadata!C816,8,1)="-",IFERROR(INT(MID(metadata!C816,9,1))&gt;=0,FALSE),IFERROR(INT(MID(metadata!C816,9,1))&lt;=3,FALSE),NOT(MID(metadata!C816,10,1)=""),IFERROR(INT(MID(metadata!C816,9,2))&gt;=1,FALSE),IFERROR(INT(MID(metadata!C816,9,2))&lt;=31,FALSE)), OR(MID(metadata!C816,11,1)="", AND(AND(MID(metadata!C816,11,1)=" ",IFERROR(INT(MID(metadata!C816,12,1))&gt;=0,FALSE),IFERROR(INT(MID(metadata!C816,12,1))&lt;=2,FALSE),NOT(MID(metadata!C816,13,1)=""),IFERROR(INT(MID(metadata!C816,12,2))&gt;=0,FALSE),IFERROR(INT(MID(metadata!C816,12,2))&lt;=23,FALSE)), OR(MID(metadata!C816,14,1)="", AND(AND(MID(metadata!C816,14,1)=":",IFERROR(INT(MID(metadata!C816,15,1))&gt;=0,FALSE),IFERROR(INT(MID(metadata!C816,15,1))&lt;=5,FALSE),NOT(MID(metadata!C816,16,1)=""),IFERROR(INT(MID(metadata!C816,15,2))&gt;=0,FALSE),IFERROR(INT(MID(metadata!C816,15,2))&lt;=59,FALSE)), OR(MID(metadata!C816,17,1)="", AND(AND(MID(metadata!C816,17,1)=":",IFERROR(INT(MID(metadata!C816,18,1))&gt;=0,FALSE),IFERROR(INT(MID(metadata!C816,18,1))&lt;=5,FALSE),NOT(MID(metadata!C816,19,1)=""),IFERROR(INT(MID(metadata!C816,18,2))&gt;=0,FALSE),IFERROR(INT(MID(metadata!C816,18,2))&lt;=59,FALSE)), LEN(metadata!C816)&lt;=19)))))))))))))</f>
        <v>0</v>
      </c>
      <c r="AO816" t="b">
        <f>AND(IF(metadata!D816="",FALSE,TRUE),EXACT(metadata!D816,"Not applicable"))</f>
        <v>0</v>
      </c>
      <c r="AP816" t="b">
        <f>IF(metadata!E816="",FALSE,TRUE)</f>
        <v>0</v>
      </c>
      <c r="AQ816" t="b">
        <f>OR(AND(IF(metadata!F816="",FALSE,TRUE),OR(EXACT(metadata!F816,"missing: not collected"),EXACT(metadata!F816,"missing: not provided"))),AND(IF(metadata!F816="",FALSE,TRUE),OR(EXACT(metadata!F816,"TRUE"),EXACT(metadata!F816,"FALSE"))))</f>
        <v>0</v>
      </c>
      <c r="AR816" t="b">
        <f>OR(AND(IF(metadata!G816="",FALSE,TRUE),OR(EXACT(metadata!G816,"missing: not collected"),EXACT(metadata!G816,"missing: not provided"),EXACT(metadata!G816,"missing: restricted access"))),AND(IF(metadata!G816="",FALSE,ISNUMBER(VALUE(metadata!G816))),metadata!G816&gt;=-413))</f>
        <v>0</v>
      </c>
      <c r="AS816" t="b">
        <f>AND(IF(metadata!H816="",FALSE,TRUE),EXACT(metadata!H816,"meters"))</f>
        <v>0</v>
      </c>
      <c r="AT816" t="b">
        <f>AND(IF(metadata!I816="",FALSE,TRUE),OR(EXACT(metadata!I816,"Host-associated"),EXACT(metadata!I816,"Free-living")))</f>
        <v>0</v>
      </c>
      <c r="AU816" t="b">
        <f>AND(IF(metadata!J816="",FALSE,TRUE),OR(EXACT(metadata!J816,"Animal"),EXACT(metadata!J816,"Fungus"),EXACT(metadata!J816,"Plant"),EXACT(metadata!J816,"Saline"),EXACT(metadata!J816,"Non-saline")))</f>
        <v>0</v>
      </c>
      <c r="AV816" t="b">
        <f>AND(IF(metadata!K816="",FALSE,TRUE),OR(EXACT(metadata!K816,"Plant secretion"),EXACT(metadata!K816,"Plant rhizosphere"),EXACT(metadata!K816,"Plant surface"),EXACT(metadata!K816,"Plant corpus"),EXACT(metadata!K816,"Fungus surface"),EXACT(metadata!K816,"Fungus corpus"),EXACT(metadata!K816,"Animal surface"),EXACT(metadata!K816,"Animal proximal gut"),EXACT(metadata!K816,"Animal corpus"),EXACT(metadata!K816,"Animal distal gut"),EXACT(metadata!K816,"Animal secretion"),EXACT(metadata!K816,"Sub-surface (non-saline)"),EXACT(metadata!K816,"Surface (non-saline)"),EXACT(metadata!K816,"Water (non-saline)"),EXACT(metadata!K816,"Soil (non-saline)"),EXACT(metadata!K816,"Aerosol (non-saline)"),EXACT(metadata!K816,"Sediment (non-saline)"),EXACT(metadata!K816,"Surface (saline)"),EXACT(metadata!K816,"Water (saline)"),EXACT(metadata!K816,"Hypersaline (saline)"),EXACT(metadata!K816,"Aerosol (saline)"),EXACT(metadata!K816,"Sediment (saline)")))</f>
        <v>0</v>
      </c>
      <c r="AW816" t="b">
        <f>IF(metadata!L816="",FALSE,TRUE)</f>
        <v>0</v>
      </c>
      <c r="AX816" t="b">
        <f>IF(metadata!M816="",FALSE,TRUE)</f>
        <v>0</v>
      </c>
      <c r="AY816" t="b">
        <f>IF(metadata!N816="",FALSE,TRUE)</f>
        <v>0</v>
      </c>
      <c r="AZ816" t="b">
        <f>OR(AND(IF(metadata!O816="",FALSE,TRUE),OR(EXACT(metadata!O816,"missing: not collected"),EXACT(metadata!O816,"missing: not provided"),EXACT(metadata!O816,"missing: restricted access"))),AND(IF(metadata!O816="",FALSE,TRUE),OR(EXACT(metadata!O816,"air"),EXACT(metadata!O816,"built environment"),EXACT(metadata!O816,"host-associated"),EXACT(metadata!O816,"human-associated"),EXACT(metadata!O816,"human-skin"),EXACT(metadata!O816,"human-oral"),EXACT(metadata!O816,"human-gut"),EXACT(metadata!O816,"human-vaginal"),EXACT(metadata!O816,"microbial mat/biofilm"),EXACT(metadata!O816,"misc environment"),EXACT(metadata!O816,"plant-associated"),EXACT(metadata!O816,"sediment"),EXACT(metadata!O816,"soil"),EXACT(metadata!O816,"wastewater/sludge"),EXACT(metadata!O816,"water"))))</f>
        <v>0</v>
      </c>
      <c r="BA816" t="b">
        <f>IF(metadata!P816="",FALSE,TRUE)</f>
        <v>0</v>
      </c>
      <c r="BB816" t="b">
        <f>IF(metadata!Q816="",FALSE,TRUE)</f>
        <v>0</v>
      </c>
      <c r="BC816" t="b">
        <f>OR(AND(IF(metadata!R816="",FALSE,TRUE),OR(EXACT(metadata!R816,"missing: not collected"),EXACT(metadata!R816,"missing: not provided"),EXACT(metadata!R816,"missing: restricted access"))),AND(IF(metadata!R816="",FALSE,ISNUMBER(VALUE(metadata!R816))),metadata!R816&gt;=-90,metadata!R816&lt;=90))</f>
        <v>0</v>
      </c>
      <c r="BD816" t="b">
        <f>AND(IF(metadata!S816="",FALSE,TRUE),EXACT(metadata!S816,"Decimal degrees"))</f>
        <v>0</v>
      </c>
      <c r="BE816" t="b">
        <f>OR(AND(IF(metadata!T816="",FALSE,TRUE),OR(EXACT(metadata!T816,"missing: not collected"),EXACT(metadata!T816,"missing: not provided"),EXACT(metadata!T816,"missing: restricted access"))),AND(IF(metadata!T816="",FALSE,ISNUMBER(VALUE(metadata!T816))),metadata!T816&gt;=-180,metadata!T816&lt;=180))</f>
        <v>0</v>
      </c>
      <c r="BF816" t="b">
        <f>AND(IF(metadata!U816="",FALSE,TRUE),EXACT(metadata!U816,"Decimal degrees"))</f>
        <v>0</v>
      </c>
      <c r="BG816" t="b">
        <f>IF(metadata!V816="",FALSE,TRUE)</f>
        <v>0</v>
      </c>
      <c r="BH816" t="b">
        <f>OR(AND(IF(metadata!W816="",FALSE,TRUE),OR(EXACT(metadata!W816,"missing: not collected"),EXACT(metadata!W816,"missing: not provided"),EXACT(metadata!W816,"missing: restricted access"))),AND(IF(metadata!W816="",FALSE,TRUE),OR(EXACT(metadata!W816,"TRUE"),EXACT(metadata!W816,"FALSE"))))</f>
        <v>0</v>
      </c>
      <c r="BI816" t="b">
        <f>AND(IF(metadata!X816="",FALSE,TRUE),EXACT(metadata!X816,"other"))</f>
        <v>0</v>
      </c>
      <c r="BJ816" t="b">
        <f>IF(metadata!Y816="",FALSE,TRUE)</f>
        <v>0</v>
      </c>
      <c r="BK816" t="b">
        <f>OR(AND(IF(metadata!Z816="",FALSE,TRUE),OR(EXACT(metadata!Z816,"missing: not collected"),EXACT(metadata!Z816,"missing: not provided"))),AND(IF(metadata!Z816="",FALSE,IF(ISERROR(INT(metadata!Z816)),FALSE,INT(metadata!Z816)=metadata!Z816)),metadata!Z816&gt;0))</f>
        <v>0</v>
      </c>
      <c r="BL816" t="b">
        <f>AND(IF(metadata!AA816="",FALSE,TRUE),EXACT(metadata!AA816,"Not applicable"))</f>
        <v>0</v>
      </c>
      <c r="BM816" t="b">
        <f>IF(metadata!AB816="",FALSE,TRUE)</f>
        <v>0</v>
      </c>
    </row>
    <row r="817" spans="1:65" x14ac:dyDescent="0.2">
      <c r="A817" s="5" t="str">
        <f ca="1">IF(B817=" "," ",HYPERLINK(CONCATENATE("#metadata!",ADDRESS(INDEX($AH$2:$AH$1001,MATCH(ROWS($AF$2:AF817),$AF$2:$AF$1001,0),0),1)),INDEX($AK$2:$AK$1001,MATCH(ROWS($AF$2:AF817),$AF$2:$AF$1001,0),0)))</f>
        <v xml:space="preserve"> </v>
      </c>
      <c r="B817" s="4" t="str">
        <f ca="1">IF(OR(INDEX($AG$2:$AG$1001,MATCH(ROWS($AF$2:AF817),$AF$2:$AF$1001,0),1)&gt;=100000,INDEX($AM$1005:$BM$1005,1,MATCH(COLUMNS($AM$1006:AM1006),$AM$1006:$BM$1006,0))&gt;=100000), " ",IF(INDEX($AM$2:$BM$1001,MATCH(ROWS($AF$2:AF817),$AF$2:$AF$1001,0),MATCH(COLUMNS($AM$1006:AM1006),$AM$1006:$BM$1006,0)), HYPERLINK("#",""), HYPERLINK(CONCATENATE("#metadata!", ADDRESS(INDEX($AH$2:$AH$1001,MATCH(ROWS($AF$2:AF817),$AF$2:$AF$1001,0),0), INDEX($AM$1004:$BM$1004,1,MATCH(COLUMNS($AM$1006:AM1006),$AM$1006:$BM$1006,0)))),"Fix")))</f>
        <v xml:space="preserve"> </v>
      </c>
      <c r="C817" s="4" t="str">
        <f ca="1">IF(OR(INDEX($AG$2:$AG$1001,MATCH(ROWS($AF$2:AF817),$AF$2:$AF$1001,0),1)&gt;=100000,INDEX($AM$1005:$BM$1005,1,MATCH(COLUMNS($AM$1006:AN1006),$AM$1006:$BM$1006,0))&gt;=100000), " ",IF(INDEX($AM$2:$BM$1001,MATCH(ROWS($AF$2:AF817),$AF$2:$AF$1001,0),MATCH(COLUMNS($AM$1006:AN1006),$AM$1006:$BM$1006,0)), HYPERLINK("#",""), HYPERLINK(CONCATENATE("#metadata!", ADDRESS(INDEX($AH$2:$AH$1001,MATCH(ROWS($AF$2:AF817),$AF$2:$AF$1001,0),0), INDEX($AM$1004:$BM$1004,1,MATCH(COLUMNS($AM$1006:AN1006),$AM$1006:$BM$1006,0)))),"Fix")))</f>
        <v xml:space="preserve"> </v>
      </c>
      <c r="D817" s="4" t="str">
        <f ca="1">IF(OR(INDEX($AG$2:$AG$1001,MATCH(ROWS($AF$2:AF817),$AF$2:$AF$1001,0),1)&gt;=100000,INDEX($AM$1005:$BM$1005,1,MATCH(COLUMNS($AM$1006:AO1006),$AM$1006:$BM$1006,0))&gt;=100000), " ",IF(INDEX($AM$2:$BM$1001,MATCH(ROWS($AF$2:AF817),$AF$2:$AF$1001,0),MATCH(COLUMNS($AM$1006:AO1006),$AM$1006:$BM$1006,0)), HYPERLINK("#",""), HYPERLINK(CONCATENATE("#metadata!", ADDRESS(INDEX($AH$2:$AH$1001,MATCH(ROWS($AF$2:AF817),$AF$2:$AF$1001,0),0), INDEX($AM$1004:$BM$1004,1,MATCH(COLUMNS($AM$1006:AO1006),$AM$1006:$BM$1006,0)))),"Fix")))</f>
        <v xml:space="preserve"> </v>
      </c>
      <c r="E817" s="4" t="str">
        <f ca="1">IF(OR(INDEX($AG$2:$AG$1001,MATCH(ROWS($AF$2:AF817),$AF$2:$AF$1001,0),1)&gt;=100000,INDEX($AM$1005:$BM$1005,1,MATCH(COLUMNS($AM$1006:AP1006),$AM$1006:$BM$1006,0))&gt;=100000), " ",IF(INDEX($AM$2:$BM$1001,MATCH(ROWS($AF$2:AF817),$AF$2:$AF$1001,0),MATCH(COLUMNS($AM$1006:AP1006),$AM$1006:$BM$1006,0)), HYPERLINK("#",""), HYPERLINK(CONCATENATE("#metadata!", ADDRESS(INDEX($AH$2:$AH$1001,MATCH(ROWS($AF$2:AF817),$AF$2:$AF$1001,0),0), INDEX($AM$1004:$BM$1004,1,MATCH(COLUMNS($AM$1006:AP1006),$AM$1006:$BM$1006,0)))),"Fix")))</f>
        <v xml:space="preserve"> </v>
      </c>
      <c r="F817" s="4" t="str">
        <f ca="1">IF(OR(INDEX($AG$2:$AG$1001,MATCH(ROWS($AF$2:AF817),$AF$2:$AF$1001,0),1)&gt;=100000,INDEX($AM$1005:$BM$1005,1,MATCH(COLUMNS($AM$1006:AQ1006),$AM$1006:$BM$1006,0))&gt;=100000), " ",IF(INDEX($AM$2:$BM$1001,MATCH(ROWS($AF$2:AF817),$AF$2:$AF$1001,0),MATCH(COLUMNS($AM$1006:AQ1006),$AM$1006:$BM$1006,0)), HYPERLINK("#",""), HYPERLINK(CONCATENATE("#metadata!", ADDRESS(INDEX($AH$2:$AH$1001,MATCH(ROWS($AF$2:AF817),$AF$2:$AF$1001,0),0), INDEX($AM$1004:$BM$1004,1,MATCH(COLUMNS($AM$1006:AQ1006),$AM$1006:$BM$1006,0)))),"Fix")))</f>
        <v xml:space="preserve"> </v>
      </c>
      <c r="G817" s="4" t="str">
        <f ca="1">IF(OR(INDEX($AG$2:$AG$1001,MATCH(ROWS($AF$2:AF817),$AF$2:$AF$1001,0),1)&gt;=100000,INDEX($AM$1005:$BM$1005,1,MATCH(COLUMNS($AM$1006:AR1006),$AM$1006:$BM$1006,0))&gt;=100000), " ",IF(INDEX($AM$2:$BM$1001,MATCH(ROWS($AF$2:AF817),$AF$2:$AF$1001,0),MATCH(COLUMNS($AM$1006:AR1006),$AM$1006:$BM$1006,0)), HYPERLINK("#",""), HYPERLINK(CONCATENATE("#metadata!", ADDRESS(INDEX($AH$2:$AH$1001,MATCH(ROWS($AF$2:AF817),$AF$2:$AF$1001,0),0), INDEX($AM$1004:$BM$1004,1,MATCH(COLUMNS($AM$1006:AR1006),$AM$1006:$BM$1006,0)))),"Fix")))</f>
        <v xml:space="preserve"> </v>
      </c>
      <c r="H817" s="4" t="str">
        <f ca="1">IF(OR(INDEX($AG$2:$AG$1001,MATCH(ROWS($AF$2:AF817),$AF$2:$AF$1001,0),1)&gt;=100000,INDEX($AM$1005:$BM$1005,1,MATCH(COLUMNS($AM$1006:AS1006),$AM$1006:$BM$1006,0))&gt;=100000), " ",IF(INDEX($AM$2:$BM$1001,MATCH(ROWS($AF$2:AF817),$AF$2:$AF$1001,0),MATCH(COLUMNS($AM$1006:AS1006),$AM$1006:$BM$1006,0)), HYPERLINK("#",""), HYPERLINK(CONCATENATE("#metadata!", ADDRESS(INDEX($AH$2:$AH$1001,MATCH(ROWS($AF$2:AF817),$AF$2:$AF$1001,0),0), INDEX($AM$1004:$BM$1004,1,MATCH(COLUMNS($AM$1006:AS1006),$AM$1006:$BM$1006,0)))),"Fix")))</f>
        <v xml:space="preserve"> </v>
      </c>
      <c r="I817" s="4" t="str">
        <f ca="1">IF(OR(INDEX($AG$2:$AG$1001,MATCH(ROWS($AF$2:AF817),$AF$2:$AF$1001,0),1)&gt;=100000,INDEX($AM$1005:$BM$1005,1,MATCH(COLUMNS($AM$1006:AT1006),$AM$1006:$BM$1006,0))&gt;=100000), " ",IF(INDEX($AM$2:$BM$1001,MATCH(ROWS($AF$2:AF817),$AF$2:$AF$1001,0),MATCH(COLUMNS($AM$1006:AT1006),$AM$1006:$BM$1006,0)), HYPERLINK("#",""), HYPERLINK(CONCATENATE("#metadata!", ADDRESS(INDEX($AH$2:$AH$1001,MATCH(ROWS($AF$2:AF817),$AF$2:$AF$1001,0),0), INDEX($AM$1004:$BM$1004,1,MATCH(COLUMNS($AM$1006:AT1006),$AM$1006:$BM$1006,0)))),"Fix")))</f>
        <v xml:space="preserve"> </v>
      </c>
      <c r="J817" s="4" t="str">
        <f ca="1">IF(OR(INDEX($AG$2:$AG$1001,MATCH(ROWS($AF$2:AF817),$AF$2:$AF$1001,0),1)&gt;=100000,INDEX($AM$1005:$BM$1005,1,MATCH(COLUMNS($AM$1006:AU1006),$AM$1006:$BM$1006,0))&gt;=100000), " ",IF(INDEX($AM$2:$BM$1001,MATCH(ROWS($AF$2:AF817),$AF$2:$AF$1001,0),MATCH(COLUMNS($AM$1006:AU1006),$AM$1006:$BM$1006,0)), HYPERLINK("#",""), HYPERLINK(CONCATENATE("#metadata!", ADDRESS(INDEX($AH$2:$AH$1001,MATCH(ROWS($AF$2:AF817),$AF$2:$AF$1001,0),0), INDEX($AM$1004:$BM$1004,1,MATCH(COLUMNS($AM$1006:AU1006),$AM$1006:$BM$1006,0)))),"Fix")))</f>
        <v xml:space="preserve"> </v>
      </c>
      <c r="K817" s="4" t="str">
        <f ca="1">IF(OR(INDEX($AG$2:$AG$1001,MATCH(ROWS($AF$2:AF817),$AF$2:$AF$1001,0),1)&gt;=100000,INDEX($AM$1005:$BM$1005,1,MATCH(COLUMNS($AM$1006:AV1006),$AM$1006:$BM$1006,0))&gt;=100000), " ",IF(INDEX($AM$2:$BM$1001,MATCH(ROWS($AF$2:AF817),$AF$2:$AF$1001,0),MATCH(COLUMNS($AM$1006:AV1006),$AM$1006:$BM$1006,0)), HYPERLINK("#",""), HYPERLINK(CONCATENATE("#metadata!", ADDRESS(INDEX($AH$2:$AH$1001,MATCH(ROWS($AF$2:AF817),$AF$2:$AF$1001,0),0), INDEX($AM$1004:$BM$1004,1,MATCH(COLUMNS($AM$1006:AV1006),$AM$1006:$BM$1006,0)))),"Fix")))</f>
        <v xml:space="preserve"> </v>
      </c>
      <c r="L817" s="4" t="str">
        <f ca="1">IF(OR(INDEX($AG$2:$AG$1001,MATCH(ROWS($AF$2:AF817),$AF$2:$AF$1001,0),1)&gt;=100000,INDEX($AM$1005:$BM$1005,1,MATCH(COLUMNS($AM$1006:AW1006),$AM$1006:$BM$1006,0))&gt;=100000), " ",IF(INDEX($AM$2:$BM$1001,MATCH(ROWS($AF$2:AF817),$AF$2:$AF$1001,0),MATCH(COLUMNS($AM$1006:AW1006),$AM$1006:$BM$1006,0)), HYPERLINK("#",""), HYPERLINK(CONCATENATE("#metadata!", ADDRESS(INDEX($AH$2:$AH$1001,MATCH(ROWS($AF$2:AF817),$AF$2:$AF$1001,0),0), INDEX($AM$1004:$BM$1004,1,MATCH(COLUMNS($AM$1006:AW1006),$AM$1006:$BM$1006,0)))),"Fix")))</f>
        <v xml:space="preserve"> </v>
      </c>
      <c r="M817" s="4" t="str">
        <f ca="1">IF(OR(INDEX($AG$2:$AG$1001,MATCH(ROWS($AF$2:AF817),$AF$2:$AF$1001,0),1)&gt;=100000,INDEX($AM$1005:$BM$1005,1,MATCH(COLUMNS($AM$1006:AX1006),$AM$1006:$BM$1006,0))&gt;=100000), " ",IF(INDEX($AM$2:$BM$1001,MATCH(ROWS($AF$2:AF817),$AF$2:$AF$1001,0),MATCH(COLUMNS($AM$1006:AX1006),$AM$1006:$BM$1006,0)), HYPERLINK("#",""), HYPERLINK(CONCATENATE("#metadata!", ADDRESS(INDEX($AH$2:$AH$1001,MATCH(ROWS($AF$2:AF817),$AF$2:$AF$1001,0),0), INDEX($AM$1004:$BM$1004,1,MATCH(COLUMNS($AM$1006:AX1006),$AM$1006:$BM$1006,0)))),"Fix")))</f>
        <v xml:space="preserve"> </v>
      </c>
      <c r="N817" s="4" t="str">
        <f ca="1">IF(OR(INDEX($AG$2:$AG$1001,MATCH(ROWS($AF$2:AF817),$AF$2:$AF$1001,0),1)&gt;=100000,INDEX($AM$1005:$BM$1005,1,MATCH(COLUMNS($AM$1006:AY1006),$AM$1006:$BM$1006,0))&gt;=100000), " ",IF(INDEX($AM$2:$BM$1001,MATCH(ROWS($AF$2:AF817),$AF$2:$AF$1001,0),MATCH(COLUMNS($AM$1006:AY1006),$AM$1006:$BM$1006,0)), HYPERLINK("#",""), HYPERLINK(CONCATENATE("#metadata!", ADDRESS(INDEX($AH$2:$AH$1001,MATCH(ROWS($AF$2:AF817),$AF$2:$AF$1001,0),0), INDEX($AM$1004:$BM$1004,1,MATCH(COLUMNS($AM$1006:AY1006),$AM$1006:$BM$1006,0)))),"Fix")))</f>
        <v xml:space="preserve"> </v>
      </c>
      <c r="O817" s="4" t="str">
        <f ca="1">IF(OR(INDEX($AG$2:$AG$1001,MATCH(ROWS($AF$2:AF817),$AF$2:$AF$1001,0),1)&gt;=100000,INDEX($AM$1005:$BM$1005,1,MATCH(COLUMNS($AM$1006:AZ1006),$AM$1006:$BM$1006,0))&gt;=100000), " ",IF(INDEX($AM$2:$BM$1001,MATCH(ROWS($AF$2:AF817),$AF$2:$AF$1001,0),MATCH(COLUMNS($AM$1006:AZ1006),$AM$1006:$BM$1006,0)), HYPERLINK("#",""), HYPERLINK(CONCATENATE("#metadata!", ADDRESS(INDEX($AH$2:$AH$1001,MATCH(ROWS($AF$2:AF817),$AF$2:$AF$1001,0),0), INDEX($AM$1004:$BM$1004,1,MATCH(COLUMNS($AM$1006:AZ1006),$AM$1006:$BM$1006,0)))),"Fix")))</f>
        <v xml:space="preserve"> </v>
      </c>
      <c r="P817" s="4" t="str">
        <f ca="1">IF(OR(INDEX($AG$2:$AG$1001,MATCH(ROWS($AF$2:AF817),$AF$2:$AF$1001,0),1)&gt;=100000,INDEX($AM$1005:$BM$1005,1,MATCH(COLUMNS($AM$1006:BA1006),$AM$1006:$BM$1006,0))&gt;=100000), " ",IF(INDEX($AM$2:$BM$1001,MATCH(ROWS($AF$2:AF817),$AF$2:$AF$1001,0),MATCH(COLUMNS($AM$1006:BA1006),$AM$1006:$BM$1006,0)), HYPERLINK("#",""), HYPERLINK(CONCATENATE("#metadata!", ADDRESS(INDEX($AH$2:$AH$1001,MATCH(ROWS($AF$2:AF817),$AF$2:$AF$1001,0),0), INDEX($AM$1004:$BM$1004,1,MATCH(COLUMNS($AM$1006:BA1006),$AM$1006:$BM$1006,0)))),"Fix")))</f>
        <v xml:space="preserve"> </v>
      </c>
      <c r="Q817" s="4" t="str">
        <f ca="1">IF(OR(INDEX($AG$2:$AG$1001,MATCH(ROWS($AF$2:AF817),$AF$2:$AF$1001,0),1)&gt;=100000,INDEX($AM$1005:$BM$1005,1,MATCH(COLUMNS($AM$1006:BB1006),$AM$1006:$BM$1006,0))&gt;=100000), " ",IF(INDEX($AM$2:$BM$1001,MATCH(ROWS($AF$2:AF817),$AF$2:$AF$1001,0),MATCH(COLUMNS($AM$1006:BB1006),$AM$1006:$BM$1006,0)), HYPERLINK("#",""), HYPERLINK(CONCATENATE("#metadata!", ADDRESS(INDEX($AH$2:$AH$1001,MATCH(ROWS($AF$2:AF817),$AF$2:$AF$1001,0),0), INDEX($AM$1004:$BM$1004,1,MATCH(COLUMNS($AM$1006:BB1006),$AM$1006:$BM$1006,0)))),"Fix")))</f>
        <v xml:space="preserve"> </v>
      </c>
      <c r="R817" s="4" t="str">
        <f ca="1">IF(OR(INDEX($AG$2:$AG$1001,MATCH(ROWS($AF$2:AF817),$AF$2:$AF$1001,0),1)&gt;=100000,INDEX($AM$1005:$BM$1005,1,MATCH(COLUMNS($AM$1006:BC1006),$AM$1006:$BM$1006,0))&gt;=100000), " ",IF(INDEX($AM$2:$BM$1001,MATCH(ROWS($AF$2:AF817),$AF$2:$AF$1001,0),MATCH(COLUMNS($AM$1006:BC1006),$AM$1006:$BM$1006,0)), HYPERLINK("#",""), HYPERLINK(CONCATENATE("#metadata!", ADDRESS(INDEX($AH$2:$AH$1001,MATCH(ROWS($AF$2:AF817),$AF$2:$AF$1001,0),0), INDEX($AM$1004:$BM$1004,1,MATCH(COLUMNS($AM$1006:BC1006),$AM$1006:$BM$1006,0)))),"Fix")))</f>
        <v xml:space="preserve"> </v>
      </c>
      <c r="S817" s="4" t="str">
        <f ca="1">IF(OR(INDEX($AG$2:$AG$1001,MATCH(ROWS($AF$2:AF817),$AF$2:$AF$1001,0),1)&gt;=100000,INDEX($AM$1005:$BM$1005,1,MATCH(COLUMNS($AM$1006:BD1006),$AM$1006:$BM$1006,0))&gt;=100000), " ",IF(INDEX($AM$2:$BM$1001,MATCH(ROWS($AF$2:AF817),$AF$2:$AF$1001,0),MATCH(COLUMNS($AM$1006:BD1006),$AM$1006:$BM$1006,0)), HYPERLINK("#",""), HYPERLINK(CONCATENATE("#metadata!", ADDRESS(INDEX($AH$2:$AH$1001,MATCH(ROWS($AF$2:AF817),$AF$2:$AF$1001,0),0), INDEX($AM$1004:$BM$1004,1,MATCH(COLUMNS($AM$1006:BD1006),$AM$1006:$BM$1006,0)))),"Fix")))</f>
        <v xml:space="preserve"> </v>
      </c>
      <c r="T817" s="4" t="str">
        <f ca="1">IF(OR(INDEX($AG$2:$AG$1001,MATCH(ROWS($AF$2:AF817),$AF$2:$AF$1001,0),1)&gt;=100000,INDEX($AM$1005:$BM$1005,1,MATCH(COLUMNS($AM$1006:BE1006),$AM$1006:$BM$1006,0))&gt;=100000), " ",IF(INDEX($AM$2:$BM$1001,MATCH(ROWS($AF$2:AF817),$AF$2:$AF$1001,0),MATCH(COLUMNS($AM$1006:BE1006),$AM$1006:$BM$1006,0)), HYPERLINK("#",""), HYPERLINK(CONCATENATE("#metadata!", ADDRESS(INDEX($AH$2:$AH$1001,MATCH(ROWS($AF$2:AF817),$AF$2:$AF$1001,0),0), INDEX($AM$1004:$BM$1004,1,MATCH(COLUMNS($AM$1006:BE1006),$AM$1006:$BM$1006,0)))),"Fix")))</f>
        <v xml:space="preserve"> </v>
      </c>
      <c r="U817" s="4" t="str">
        <f ca="1">IF(OR(INDEX($AG$2:$AG$1001,MATCH(ROWS($AF$2:AF817),$AF$2:$AF$1001,0),1)&gt;=100000,INDEX($AM$1005:$BM$1005,1,MATCH(COLUMNS($AM$1006:BF1006),$AM$1006:$BM$1006,0))&gt;=100000), " ",IF(INDEX($AM$2:$BM$1001,MATCH(ROWS($AF$2:AF817),$AF$2:$AF$1001,0),MATCH(COLUMNS($AM$1006:BF1006),$AM$1006:$BM$1006,0)), HYPERLINK("#",""), HYPERLINK(CONCATENATE("#metadata!", ADDRESS(INDEX($AH$2:$AH$1001,MATCH(ROWS($AF$2:AF817),$AF$2:$AF$1001,0),0), INDEX($AM$1004:$BM$1004,1,MATCH(COLUMNS($AM$1006:BF1006),$AM$1006:$BM$1006,0)))),"Fix")))</f>
        <v xml:space="preserve"> </v>
      </c>
      <c r="V817" s="4" t="str">
        <f ca="1">IF(OR(INDEX($AG$2:$AG$1001,MATCH(ROWS($AF$2:AF817),$AF$2:$AF$1001,0),1)&gt;=100000,INDEX($AM$1005:$BM$1005,1,MATCH(COLUMNS($AM$1006:BG1006),$AM$1006:$BM$1006,0))&gt;=100000), " ",IF(INDEX($AM$2:$BM$1001,MATCH(ROWS($AF$2:AF817),$AF$2:$AF$1001,0),MATCH(COLUMNS($AM$1006:BG1006),$AM$1006:$BM$1006,0)), HYPERLINK("#",""), HYPERLINK(CONCATENATE("#metadata!", ADDRESS(INDEX($AH$2:$AH$1001,MATCH(ROWS($AF$2:AF817),$AF$2:$AF$1001,0),0), INDEX($AM$1004:$BM$1004,1,MATCH(COLUMNS($AM$1006:BG1006),$AM$1006:$BM$1006,0)))),"Fix")))</f>
        <v xml:space="preserve"> </v>
      </c>
      <c r="W817" s="4" t="str">
        <f ca="1">IF(OR(INDEX($AG$2:$AG$1001,MATCH(ROWS($AF$2:AF817),$AF$2:$AF$1001,0),1)&gt;=100000,INDEX($AM$1005:$BM$1005,1,MATCH(COLUMNS($AM$1006:BH1006),$AM$1006:$BM$1006,0))&gt;=100000), " ",IF(INDEX($AM$2:$BM$1001,MATCH(ROWS($AF$2:AF817),$AF$2:$AF$1001,0),MATCH(COLUMNS($AM$1006:BH1006),$AM$1006:$BM$1006,0)), HYPERLINK("#",""), HYPERLINK(CONCATENATE("#metadata!", ADDRESS(INDEX($AH$2:$AH$1001,MATCH(ROWS($AF$2:AF817),$AF$2:$AF$1001,0),0), INDEX($AM$1004:$BM$1004,1,MATCH(COLUMNS($AM$1006:BH1006),$AM$1006:$BM$1006,0)))),"Fix")))</f>
        <v xml:space="preserve"> </v>
      </c>
      <c r="X817" s="4" t="str">
        <f ca="1">IF(OR(INDEX($AG$2:$AG$1001,MATCH(ROWS($AF$2:AF817),$AF$2:$AF$1001,0),1)&gt;=100000,INDEX($AM$1005:$BM$1005,1,MATCH(COLUMNS($AM$1006:BI1006),$AM$1006:$BM$1006,0))&gt;=100000), " ",IF(INDEX($AM$2:$BM$1001,MATCH(ROWS($AF$2:AF817),$AF$2:$AF$1001,0),MATCH(COLUMNS($AM$1006:BI1006),$AM$1006:$BM$1006,0)), HYPERLINK("#",""), HYPERLINK(CONCATENATE("#metadata!", ADDRESS(INDEX($AH$2:$AH$1001,MATCH(ROWS($AF$2:AF817),$AF$2:$AF$1001,0),0), INDEX($AM$1004:$BM$1004,1,MATCH(COLUMNS($AM$1006:BI1006),$AM$1006:$BM$1006,0)))),"Fix")))</f>
        <v xml:space="preserve"> </v>
      </c>
      <c r="Y817" s="4" t="str">
        <f ca="1">IF(OR(INDEX($AG$2:$AG$1001,MATCH(ROWS($AF$2:AF817),$AF$2:$AF$1001,0),1)&gt;=100000,INDEX($AM$1005:$BM$1005,1,MATCH(COLUMNS($AM$1006:BJ1006),$AM$1006:$BM$1006,0))&gt;=100000), " ",IF(INDEX($AM$2:$BM$1001,MATCH(ROWS($AF$2:AF817),$AF$2:$AF$1001,0),MATCH(COLUMNS($AM$1006:BJ1006),$AM$1006:$BM$1006,0)), HYPERLINK("#",""), HYPERLINK(CONCATENATE("#metadata!", ADDRESS(INDEX($AH$2:$AH$1001,MATCH(ROWS($AF$2:AF817),$AF$2:$AF$1001,0),0), INDEX($AM$1004:$BM$1004,1,MATCH(COLUMNS($AM$1006:BJ1006),$AM$1006:$BM$1006,0)))),"Fix")))</f>
        <v xml:space="preserve"> </v>
      </c>
      <c r="Z817" s="4" t="str">
        <f ca="1">IF(OR(INDEX($AG$2:$AG$1001,MATCH(ROWS($AF$2:AF817),$AF$2:$AF$1001,0),1)&gt;=100000,INDEX($AM$1005:$BM$1005,1,MATCH(COLUMNS($AM$1006:BK1006),$AM$1006:$BM$1006,0))&gt;=100000), " ",IF(INDEX($AM$2:$BM$1001,MATCH(ROWS($AF$2:AF817),$AF$2:$AF$1001,0),MATCH(COLUMNS($AM$1006:BK1006),$AM$1006:$BM$1006,0)), HYPERLINK("#",""), HYPERLINK(CONCATENATE("#metadata!", ADDRESS(INDEX($AH$2:$AH$1001,MATCH(ROWS($AF$2:AF817),$AF$2:$AF$1001,0),0), INDEX($AM$1004:$BM$1004,1,MATCH(COLUMNS($AM$1006:BK1006),$AM$1006:$BM$1006,0)))),"Fix")))</f>
        <v xml:space="preserve"> </v>
      </c>
      <c r="AA817" s="4" t="str">
        <f ca="1">IF(OR(INDEX($AG$2:$AG$1001,MATCH(ROWS($AF$2:AF817),$AF$2:$AF$1001,0),1)&gt;=100000,INDEX($AM$1005:$BM$1005,1,MATCH(COLUMNS($AM$1006:BL1006),$AM$1006:$BM$1006,0))&gt;=100000), " ",IF(INDEX($AM$2:$BM$1001,MATCH(ROWS($AF$2:AF817),$AF$2:$AF$1001,0),MATCH(COLUMNS($AM$1006:BL1006),$AM$1006:$BM$1006,0)), HYPERLINK("#",""), HYPERLINK(CONCATENATE("#metadata!", ADDRESS(INDEX($AH$2:$AH$1001,MATCH(ROWS($AF$2:AF817),$AF$2:$AF$1001,0),0), INDEX($AM$1004:$BM$1004,1,MATCH(COLUMNS($AM$1006:BL1006),$AM$1006:$BM$1006,0)))),"Fix")))</f>
        <v xml:space="preserve"> </v>
      </c>
      <c r="AB817" s="4" t="str">
        <f ca="1">IF(OR(INDEX($AG$2:$AG$1001,MATCH(ROWS($AF$2:AF817),$AF$2:$AF$1001,0),1)&gt;=100000,INDEX($AM$1005:$BM$1005,1,MATCH(COLUMNS($AM$1006:BM1006),$AM$1006:$BM$1006,0))&gt;=100000), " ",IF(INDEX($AM$2:$BM$1001,MATCH(ROWS($AF$2:AF817),$AF$2:$AF$1001,0),MATCH(COLUMNS($AM$1006:BM1006),$AM$1006:$BM$1006,0)), HYPERLINK("#",""), HYPERLINK(CONCATENATE("#metadata!", ADDRESS(INDEX($AH$2:$AH$1001,MATCH(ROWS($AF$2:AF817),$AF$2:$AF$1001,0),0), INDEX($AM$1004:$BM$1004,1,MATCH(COLUMNS($AM$1006:BM1006),$AM$1006:$BM$1006,0)))),"Fix")))</f>
        <v xml:space="preserve"> </v>
      </c>
      <c r="AF817">
        <v>816</v>
      </c>
      <c r="AG817">
        <v>100817</v>
      </c>
      <c r="AH817">
        <v>817</v>
      </c>
      <c r="AI817" t="b">
        <f t="shared" si="12"/>
        <v>1</v>
      </c>
      <c r="AJ817" t="b">
        <f>COUNTBLANK(metadata!B817:AB817)=COLUMNS(metadata!B817:AB817)</f>
        <v>1</v>
      </c>
      <c r="AK817" t="str">
        <v/>
      </c>
      <c r="AM817" t="b">
        <f ca="1">AND(IF(metadata!B817="",FALSE,TRUE),COUNTIF(metadata!B:B, metadata!B817) = 1,NOT(ISERROR(SUMPRODUCT(SEARCH(MID(metadata!B817,ROW(INDIRECT("1:"&amp;LEN(metadata!B817))), 1),"0123456789abcdefghijklmnopqrstuvwxyzABCDEFGHIJKLMNOPQRSTUVWXYZ.")))))</f>
        <v>0</v>
      </c>
      <c r="AN817" t="b">
        <f ca="1">OR(AND(IF(metadata!C817="",FALSE,TRUE),OR(EXACT(metadata!C817,"missing: not collected"),EXACT(metadata!C817,"missing: not provided"),EXACT(metadata!C817,"missing: restricted access"))),AND(IF(metadata!C817="",FALSE,TRUE),AND(AND(IFERROR(INT(LEFT(metadata!C817,4))&gt;1900,FALSE),IFERROR(INT(LEFT(metadata!C817,4))&lt;=YEAR(NOW()),FALSE)), OR(MID(metadata!C817,5,1)="", AND(AND(MID(metadata!C817,5,1)="-",IFERROR(INT(MID(metadata!C817,6,1))&gt;=0,FALSE),IFERROR(INT(MID(metadata!C817,6,1))&lt;=1,FALSE),NOT(MID(metadata!C817,7,1)=""),IFERROR(INT(MID(metadata!C817,6,2))&gt;=1,FALSE),IFERROR(INT(MID(metadata!C817,6,2))&lt;=12,FALSE)), OR(MID(metadata!C817,8,1)="", AND(AND(MID(metadata!C817,8,1)="-",IFERROR(INT(MID(metadata!C817,9,1))&gt;=0,FALSE),IFERROR(INT(MID(metadata!C817,9,1))&lt;=3,FALSE),NOT(MID(metadata!C817,10,1)=""),IFERROR(INT(MID(metadata!C817,9,2))&gt;=1,FALSE),IFERROR(INT(MID(metadata!C817,9,2))&lt;=31,FALSE)), OR(MID(metadata!C817,11,1)="", AND(AND(MID(metadata!C817,11,1)=" ",IFERROR(INT(MID(metadata!C817,12,1))&gt;=0,FALSE),IFERROR(INT(MID(metadata!C817,12,1))&lt;=2,FALSE),NOT(MID(metadata!C817,13,1)=""),IFERROR(INT(MID(metadata!C817,12,2))&gt;=0,FALSE),IFERROR(INT(MID(metadata!C817,12,2))&lt;=23,FALSE)), OR(MID(metadata!C817,14,1)="", AND(AND(MID(metadata!C817,14,1)=":",IFERROR(INT(MID(metadata!C817,15,1))&gt;=0,FALSE),IFERROR(INT(MID(metadata!C817,15,1))&lt;=5,FALSE),NOT(MID(metadata!C817,16,1)=""),IFERROR(INT(MID(metadata!C817,15,2))&gt;=0,FALSE),IFERROR(INT(MID(metadata!C817,15,2))&lt;=59,FALSE)), OR(MID(metadata!C817,17,1)="", AND(AND(MID(metadata!C817,17,1)=":",IFERROR(INT(MID(metadata!C817,18,1))&gt;=0,FALSE),IFERROR(INT(MID(metadata!C817,18,1))&lt;=5,FALSE),NOT(MID(metadata!C817,19,1)=""),IFERROR(INT(MID(metadata!C817,18,2))&gt;=0,FALSE),IFERROR(INT(MID(metadata!C817,18,2))&lt;=59,FALSE)), LEN(metadata!C817)&lt;=19)))))))))))))</f>
        <v>0</v>
      </c>
      <c r="AO817" t="b">
        <f>AND(IF(metadata!D817="",FALSE,TRUE),EXACT(metadata!D817,"Not applicable"))</f>
        <v>0</v>
      </c>
      <c r="AP817" t="b">
        <f>IF(metadata!E817="",FALSE,TRUE)</f>
        <v>0</v>
      </c>
      <c r="AQ817" t="b">
        <f>OR(AND(IF(metadata!F817="",FALSE,TRUE),OR(EXACT(metadata!F817,"missing: not collected"),EXACT(metadata!F817,"missing: not provided"))),AND(IF(metadata!F817="",FALSE,TRUE),OR(EXACT(metadata!F817,"TRUE"),EXACT(metadata!F817,"FALSE"))))</f>
        <v>0</v>
      </c>
      <c r="AR817" t="b">
        <f>OR(AND(IF(metadata!G817="",FALSE,TRUE),OR(EXACT(metadata!G817,"missing: not collected"),EXACT(metadata!G817,"missing: not provided"),EXACT(metadata!G817,"missing: restricted access"))),AND(IF(metadata!G817="",FALSE,ISNUMBER(VALUE(metadata!G817))),metadata!G817&gt;=-413))</f>
        <v>0</v>
      </c>
      <c r="AS817" t="b">
        <f>AND(IF(metadata!H817="",FALSE,TRUE),EXACT(metadata!H817,"meters"))</f>
        <v>0</v>
      </c>
      <c r="AT817" t="b">
        <f>AND(IF(metadata!I817="",FALSE,TRUE),OR(EXACT(metadata!I817,"Host-associated"),EXACT(metadata!I817,"Free-living")))</f>
        <v>0</v>
      </c>
      <c r="AU817" t="b">
        <f>AND(IF(metadata!J817="",FALSE,TRUE),OR(EXACT(metadata!J817,"Animal"),EXACT(metadata!J817,"Fungus"),EXACT(metadata!J817,"Plant"),EXACT(metadata!J817,"Saline"),EXACT(metadata!J817,"Non-saline")))</f>
        <v>0</v>
      </c>
      <c r="AV817" t="b">
        <f>AND(IF(metadata!K817="",FALSE,TRUE),OR(EXACT(metadata!K817,"Plant secretion"),EXACT(metadata!K817,"Plant rhizosphere"),EXACT(metadata!K817,"Plant surface"),EXACT(metadata!K817,"Plant corpus"),EXACT(metadata!K817,"Fungus surface"),EXACT(metadata!K817,"Fungus corpus"),EXACT(metadata!K817,"Animal surface"),EXACT(metadata!K817,"Animal proximal gut"),EXACT(metadata!K817,"Animal corpus"),EXACT(metadata!K817,"Animal distal gut"),EXACT(metadata!K817,"Animal secretion"),EXACT(metadata!K817,"Sub-surface (non-saline)"),EXACT(metadata!K817,"Surface (non-saline)"),EXACT(metadata!K817,"Water (non-saline)"),EXACT(metadata!K817,"Soil (non-saline)"),EXACT(metadata!K817,"Aerosol (non-saline)"),EXACT(metadata!K817,"Sediment (non-saline)"),EXACT(metadata!K817,"Surface (saline)"),EXACT(metadata!K817,"Water (saline)"),EXACT(metadata!K817,"Hypersaline (saline)"),EXACT(metadata!K817,"Aerosol (saline)"),EXACT(metadata!K817,"Sediment (saline)")))</f>
        <v>0</v>
      </c>
      <c r="AW817" t="b">
        <f>IF(metadata!L817="",FALSE,TRUE)</f>
        <v>0</v>
      </c>
      <c r="AX817" t="b">
        <f>IF(metadata!M817="",FALSE,TRUE)</f>
        <v>0</v>
      </c>
      <c r="AY817" t="b">
        <f>IF(metadata!N817="",FALSE,TRUE)</f>
        <v>0</v>
      </c>
      <c r="AZ817" t="b">
        <f>OR(AND(IF(metadata!O817="",FALSE,TRUE),OR(EXACT(metadata!O817,"missing: not collected"),EXACT(metadata!O817,"missing: not provided"),EXACT(metadata!O817,"missing: restricted access"))),AND(IF(metadata!O817="",FALSE,TRUE),OR(EXACT(metadata!O817,"air"),EXACT(metadata!O817,"built environment"),EXACT(metadata!O817,"host-associated"),EXACT(metadata!O817,"human-associated"),EXACT(metadata!O817,"human-skin"),EXACT(metadata!O817,"human-oral"),EXACT(metadata!O817,"human-gut"),EXACT(metadata!O817,"human-vaginal"),EXACT(metadata!O817,"microbial mat/biofilm"),EXACT(metadata!O817,"misc environment"),EXACT(metadata!O817,"plant-associated"),EXACT(metadata!O817,"sediment"),EXACT(metadata!O817,"soil"),EXACT(metadata!O817,"wastewater/sludge"),EXACT(metadata!O817,"water"))))</f>
        <v>0</v>
      </c>
      <c r="BA817" t="b">
        <f>IF(metadata!P817="",FALSE,TRUE)</f>
        <v>0</v>
      </c>
      <c r="BB817" t="b">
        <f>IF(metadata!Q817="",FALSE,TRUE)</f>
        <v>0</v>
      </c>
      <c r="BC817" t="b">
        <f>OR(AND(IF(metadata!R817="",FALSE,TRUE),OR(EXACT(metadata!R817,"missing: not collected"),EXACT(metadata!R817,"missing: not provided"),EXACT(metadata!R817,"missing: restricted access"))),AND(IF(metadata!R817="",FALSE,ISNUMBER(VALUE(metadata!R817))),metadata!R817&gt;=-90,metadata!R817&lt;=90))</f>
        <v>0</v>
      </c>
      <c r="BD817" t="b">
        <f>AND(IF(metadata!S817="",FALSE,TRUE),EXACT(metadata!S817,"Decimal degrees"))</f>
        <v>0</v>
      </c>
      <c r="BE817" t="b">
        <f>OR(AND(IF(metadata!T817="",FALSE,TRUE),OR(EXACT(metadata!T817,"missing: not collected"),EXACT(metadata!T817,"missing: not provided"),EXACT(metadata!T817,"missing: restricted access"))),AND(IF(metadata!T817="",FALSE,ISNUMBER(VALUE(metadata!T817))),metadata!T817&gt;=-180,metadata!T817&lt;=180))</f>
        <v>0</v>
      </c>
      <c r="BF817" t="b">
        <f>AND(IF(metadata!U817="",FALSE,TRUE),EXACT(metadata!U817,"Decimal degrees"))</f>
        <v>0</v>
      </c>
      <c r="BG817" t="b">
        <f>IF(metadata!V817="",FALSE,TRUE)</f>
        <v>0</v>
      </c>
      <c r="BH817" t="b">
        <f>OR(AND(IF(metadata!W817="",FALSE,TRUE),OR(EXACT(metadata!W817,"missing: not collected"),EXACT(metadata!W817,"missing: not provided"),EXACT(metadata!W817,"missing: restricted access"))),AND(IF(metadata!W817="",FALSE,TRUE),OR(EXACT(metadata!W817,"TRUE"),EXACT(metadata!W817,"FALSE"))))</f>
        <v>0</v>
      </c>
      <c r="BI817" t="b">
        <f>AND(IF(metadata!X817="",FALSE,TRUE),EXACT(metadata!X817,"other"))</f>
        <v>0</v>
      </c>
      <c r="BJ817" t="b">
        <f>IF(metadata!Y817="",FALSE,TRUE)</f>
        <v>0</v>
      </c>
      <c r="BK817" t="b">
        <f>OR(AND(IF(metadata!Z817="",FALSE,TRUE),OR(EXACT(metadata!Z817,"missing: not collected"),EXACT(metadata!Z817,"missing: not provided"))),AND(IF(metadata!Z817="",FALSE,IF(ISERROR(INT(metadata!Z817)),FALSE,INT(metadata!Z817)=metadata!Z817)),metadata!Z817&gt;0))</f>
        <v>0</v>
      </c>
      <c r="BL817" t="b">
        <f>AND(IF(metadata!AA817="",FALSE,TRUE),EXACT(metadata!AA817,"Not applicable"))</f>
        <v>0</v>
      </c>
      <c r="BM817" t="b">
        <f>IF(metadata!AB817="",FALSE,TRUE)</f>
        <v>0</v>
      </c>
    </row>
    <row r="818" spans="1:65" x14ac:dyDescent="0.2">
      <c r="A818" s="5" t="str">
        <f ca="1">IF(B818=" "," ",HYPERLINK(CONCATENATE("#metadata!",ADDRESS(INDEX($AH$2:$AH$1001,MATCH(ROWS($AF$2:AF818),$AF$2:$AF$1001,0),0),1)),INDEX($AK$2:$AK$1001,MATCH(ROWS($AF$2:AF818),$AF$2:$AF$1001,0),0)))</f>
        <v xml:space="preserve"> </v>
      </c>
      <c r="B818" s="4" t="str">
        <f ca="1">IF(OR(INDEX($AG$2:$AG$1001,MATCH(ROWS($AF$2:AF818),$AF$2:$AF$1001,0),1)&gt;=100000,INDEX($AM$1005:$BM$1005,1,MATCH(COLUMNS($AM$1006:AM1006),$AM$1006:$BM$1006,0))&gt;=100000), " ",IF(INDEX($AM$2:$BM$1001,MATCH(ROWS($AF$2:AF818),$AF$2:$AF$1001,0),MATCH(COLUMNS($AM$1006:AM1006),$AM$1006:$BM$1006,0)), HYPERLINK("#",""), HYPERLINK(CONCATENATE("#metadata!", ADDRESS(INDEX($AH$2:$AH$1001,MATCH(ROWS($AF$2:AF818),$AF$2:$AF$1001,0),0), INDEX($AM$1004:$BM$1004,1,MATCH(COLUMNS($AM$1006:AM1006),$AM$1006:$BM$1006,0)))),"Fix")))</f>
        <v xml:space="preserve"> </v>
      </c>
      <c r="C818" s="4" t="str">
        <f ca="1">IF(OR(INDEX($AG$2:$AG$1001,MATCH(ROWS($AF$2:AF818),$AF$2:$AF$1001,0),1)&gt;=100000,INDEX($AM$1005:$BM$1005,1,MATCH(COLUMNS($AM$1006:AN1006),$AM$1006:$BM$1006,0))&gt;=100000), " ",IF(INDEX($AM$2:$BM$1001,MATCH(ROWS($AF$2:AF818),$AF$2:$AF$1001,0),MATCH(COLUMNS($AM$1006:AN1006),$AM$1006:$BM$1006,0)), HYPERLINK("#",""), HYPERLINK(CONCATENATE("#metadata!", ADDRESS(INDEX($AH$2:$AH$1001,MATCH(ROWS($AF$2:AF818),$AF$2:$AF$1001,0),0), INDEX($AM$1004:$BM$1004,1,MATCH(COLUMNS($AM$1006:AN1006),$AM$1006:$BM$1006,0)))),"Fix")))</f>
        <v xml:space="preserve"> </v>
      </c>
      <c r="D818" s="4" t="str">
        <f ca="1">IF(OR(INDEX($AG$2:$AG$1001,MATCH(ROWS($AF$2:AF818),$AF$2:$AF$1001,0),1)&gt;=100000,INDEX($AM$1005:$BM$1005,1,MATCH(COLUMNS($AM$1006:AO1006),$AM$1006:$BM$1006,0))&gt;=100000), " ",IF(INDEX($AM$2:$BM$1001,MATCH(ROWS($AF$2:AF818),$AF$2:$AF$1001,0),MATCH(COLUMNS($AM$1006:AO1006),$AM$1006:$BM$1006,0)), HYPERLINK("#",""), HYPERLINK(CONCATENATE("#metadata!", ADDRESS(INDEX($AH$2:$AH$1001,MATCH(ROWS($AF$2:AF818),$AF$2:$AF$1001,0),0), INDEX($AM$1004:$BM$1004,1,MATCH(COLUMNS($AM$1006:AO1006),$AM$1006:$BM$1006,0)))),"Fix")))</f>
        <v xml:space="preserve"> </v>
      </c>
      <c r="E818" s="4" t="str">
        <f ca="1">IF(OR(INDEX($AG$2:$AG$1001,MATCH(ROWS($AF$2:AF818),$AF$2:$AF$1001,0),1)&gt;=100000,INDEX($AM$1005:$BM$1005,1,MATCH(COLUMNS($AM$1006:AP1006),$AM$1006:$BM$1006,0))&gt;=100000), " ",IF(INDEX($AM$2:$BM$1001,MATCH(ROWS($AF$2:AF818),$AF$2:$AF$1001,0),MATCH(COLUMNS($AM$1006:AP1006),$AM$1006:$BM$1006,0)), HYPERLINK("#",""), HYPERLINK(CONCATENATE("#metadata!", ADDRESS(INDEX($AH$2:$AH$1001,MATCH(ROWS($AF$2:AF818),$AF$2:$AF$1001,0),0), INDEX($AM$1004:$BM$1004,1,MATCH(COLUMNS($AM$1006:AP1006),$AM$1006:$BM$1006,0)))),"Fix")))</f>
        <v xml:space="preserve"> </v>
      </c>
      <c r="F818" s="4" t="str">
        <f ca="1">IF(OR(INDEX($AG$2:$AG$1001,MATCH(ROWS($AF$2:AF818),$AF$2:$AF$1001,0),1)&gt;=100000,INDEX($AM$1005:$BM$1005,1,MATCH(COLUMNS($AM$1006:AQ1006),$AM$1006:$BM$1006,0))&gt;=100000), " ",IF(INDEX($AM$2:$BM$1001,MATCH(ROWS($AF$2:AF818),$AF$2:$AF$1001,0),MATCH(COLUMNS($AM$1006:AQ1006),$AM$1006:$BM$1006,0)), HYPERLINK("#",""), HYPERLINK(CONCATENATE("#metadata!", ADDRESS(INDEX($AH$2:$AH$1001,MATCH(ROWS($AF$2:AF818),$AF$2:$AF$1001,0),0), INDEX($AM$1004:$BM$1004,1,MATCH(COLUMNS($AM$1006:AQ1006),$AM$1006:$BM$1006,0)))),"Fix")))</f>
        <v xml:space="preserve"> </v>
      </c>
      <c r="G818" s="4" t="str">
        <f ca="1">IF(OR(INDEX($AG$2:$AG$1001,MATCH(ROWS($AF$2:AF818),$AF$2:$AF$1001,0),1)&gt;=100000,INDEX($AM$1005:$BM$1005,1,MATCH(COLUMNS($AM$1006:AR1006),$AM$1006:$BM$1006,0))&gt;=100000), " ",IF(INDEX($AM$2:$BM$1001,MATCH(ROWS($AF$2:AF818),$AF$2:$AF$1001,0),MATCH(COLUMNS($AM$1006:AR1006),$AM$1006:$BM$1006,0)), HYPERLINK("#",""), HYPERLINK(CONCATENATE("#metadata!", ADDRESS(INDEX($AH$2:$AH$1001,MATCH(ROWS($AF$2:AF818),$AF$2:$AF$1001,0),0), INDEX($AM$1004:$BM$1004,1,MATCH(COLUMNS($AM$1006:AR1006),$AM$1006:$BM$1006,0)))),"Fix")))</f>
        <v xml:space="preserve"> </v>
      </c>
      <c r="H818" s="4" t="str">
        <f ca="1">IF(OR(INDEX($AG$2:$AG$1001,MATCH(ROWS($AF$2:AF818),$AF$2:$AF$1001,0),1)&gt;=100000,INDEX($AM$1005:$BM$1005,1,MATCH(COLUMNS($AM$1006:AS1006),$AM$1006:$BM$1006,0))&gt;=100000), " ",IF(INDEX($AM$2:$BM$1001,MATCH(ROWS($AF$2:AF818),$AF$2:$AF$1001,0),MATCH(COLUMNS($AM$1006:AS1006),$AM$1006:$BM$1006,0)), HYPERLINK("#",""), HYPERLINK(CONCATENATE("#metadata!", ADDRESS(INDEX($AH$2:$AH$1001,MATCH(ROWS($AF$2:AF818),$AF$2:$AF$1001,0),0), INDEX($AM$1004:$BM$1004,1,MATCH(COLUMNS($AM$1006:AS1006),$AM$1006:$BM$1006,0)))),"Fix")))</f>
        <v xml:space="preserve"> </v>
      </c>
      <c r="I818" s="4" t="str">
        <f ca="1">IF(OR(INDEX($AG$2:$AG$1001,MATCH(ROWS($AF$2:AF818),$AF$2:$AF$1001,0),1)&gt;=100000,INDEX($AM$1005:$BM$1005,1,MATCH(COLUMNS($AM$1006:AT1006),$AM$1006:$BM$1006,0))&gt;=100000), " ",IF(INDEX($AM$2:$BM$1001,MATCH(ROWS($AF$2:AF818),$AF$2:$AF$1001,0),MATCH(COLUMNS($AM$1006:AT1006),$AM$1006:$BM$1006,0)), HYPERLINK("#",""), HYPERLINK(CONCATENATE("#metadata!", ADDRESS(INDEX($AH$2:$AH$1001,MATCH(ROWS($AF$2:AF818),$AF$2:$AF$1001,0),0), INDEX($AM$1004:$BM$1004,1,MATCH(COLUMNS($AM$1006:AT1006),$AM$1006:$BM$1006,0)))),"Fix")))</f>
        <v xml:space="preserve"> </v>
      </c>
      <c r="J818" s="4" t="str">
        <f ca="1">IF(OR(INDEX($AG$2:$AG$1001,MATCH(ROWS($AF$2:AF818),$AF$2:$AF$1001,0),1)&gt;=100000,INDEX($AM$1005:$BM$1005,1,MATCH(COLUMNS($AM$1006:AU1006),$AM$1006:$BM$1006,0))&gt;=100000), " ",IF(INDEX($AM$2:$BM$1001,MATCH(ROWS($AF$2:AF818),$AF$2:$AF$1001,0),MATCH(COLUMNS($AM$1006:AU1006),$AM$1006:$BM$1006,0)), HYPERLINK("#",""), HYPERLINK(CONCATENATE("#metadata!", ADDRESS(INDEX($AH$2:$AH$1001,MATCH(ROWS($AF$2:AF818),$AF$2:$AF$1001,0),0), INDEX($AM$1004:$BM$1004,1,MATCH(COLUMNS($AM$1006:AU1006),$AM$1006:$BM$1006,0)))),"Fix")))</f>
        <v xml:space="preserve"> </v>
      </c>
      <c r="K818" s="4" t="str">
        <f ca="1">IF(OR(INDEX($AG$2:$AG$1001,MATCH(ROWS($AF$2:AF818),$AF$2:$AF$1001,0),1)&gt;=100000,INDEX($AM$1005:$BM$1005,1,MATCH(COLUMNS($AM$1006:AV1006),$AM$1006:$BM$1006,0))&gt;=100000), " ",IF(INDEX($AM$2:$BM$1001,MATCH(ROWS($AF$2:AF818),$AF$2:$AF$1001,0),MATCH(COLUMNS($AM$1006:AV1006),$AM$1006:$BM$1006,0)), HYPERLINK("#",""), HYPERLINK(CONCATENATE("#metadata!", ADDRESS(INDEX($AH$2:$AH$1001,MATCH(ROWS($AF$2:AF818),$AF$2:$AF$1001,0),0), INDEX($AM$1004:$BM$1004,1,MATCH(COLUMNS($AM$1006:AV1006),$AM$1006:$BM$1006,0)))),"Fix")))</f>
        <v xml:space="preserve"> </v>
      </c>
      <c r="L818" s="4" t="str">
        <f ca="1">IF(OR(INDEX($AG$2:$AG$1001,MATCH(ROWS($AF$2:AF818),$AF$2:$AF$1001,0),1)&gt;=100000,INDEX($AM$1005:$BM$1005,1,MATCH(COLUMNS($AM$1006:AW1006),$AM$1006:$BM$1006,0))&gt;=100000), " ",IF(INDEX($AM$2:$BM$1001,MATCH(ROWS($AF$2:AF818),$AF$2:$AF$1001,0),MATCH(COLUMNS($AM$1006:AW1006),$AM$1006:$BM$1006,0)), HYPERLINK("#",""), HYPERLINK(CONCATENATE("#metadata!", ADDRESS(INDEX($AH$2:$AH$1001,MATCH(ROWS($AF$2:AF818),$AF$2:$AF$1001,0),0), INDEX($AM$1004:$BM$1004,1,MATCH(COLUMNS($AM$1006:AW1006),$AM$1006:$BM$1006,0)))),"Fix")))</f>
        <v xml:space="preserve"> </v>
      </c>
      <c r="M818" s="4" t="str">
        <f ca="1">IF(OR(INDEX($AG$2:$AG$1001,MATCH(ROWS($AF$2:AF818),$AF$2:$AF$1001,0),1)&gt;=100000,INDEX($AM$1005:$BM$1005,1,MATCH(COLUMNS($AM$1006:AX1006),$AM$1006:$BM$1006,0))&gt;=100000), " ",IF(INDEX($AM$2:$BM$1001,MATCH(ROWS($AF$2:AF818),$AF$2:$AF$1001,0),MATCH(COLUMNS($AM$1006:AX1006),$AM$1006:$BM$1006,0)), HYPERLINK("#",""), HYPERLINK(CONCATENATE("#metadata!", ADDRESS(INDEX($AH$2:$AH$1001,MATCH(ROWS($AF$2:AF818),$AF$2:$AF$1001,0),0), INDEX($AM$1004:$BM$1004,1,MATCH(COLUMNS($AM$1006:AX1006),$AM$1006:$BM$1006,0)))),"Fix")))</f>
        <v xml:space="preserve"> </v>
      </c>
      <c r="N818" s="4" t="str">
        <f ca="1">IF(OR(INDEX($AG$2:$AG$1001,MATCH(ROWS($AF$2:AF818),$AF$2:$AF$1001,0),1)&gt;=100000,INDEX($AM$1005:$BM$1005,1,MATCH(COLUMNS($AM$1006:AY1006),$AM$1006:$BM$1006,0))&gt;=100000), " ",IF(INDEX($AM$2:$BM$1001,MATCH(ROWS($AF$2:AF818),$AF$2:$AF$1001,0),MATCH(COLUMNS($AM$1006:AY1006),$AM$1006:$BM$1006,0)), HYPERLINK("#",""), HYPERLINK(CONCATENATE("#metadata!", ADDRESS(INDEX($AH$2:$AH$1001,MATCH(ROWS($AF$2:AF818),$AF$2:$AF$1001,0),0), INDEX($AM$1004:$BM$1004,1,MATCH(COLUMNS($AM$1006:AY1006),$AM$1006:$BM$1006,0)))),"Fix")))</f>
        <v xml:space="preserve"> </v>
      </c>
      <c r="O818" s="4" t="str">
        <f ca="1">IF(OR(INDEX($AG$2:$AG$1001,MATCH(ROWS($AF$2:AF818),$AF$2:$AF$1001,0),1)&gt;=100000,INDEX($AM$1005:$BM$1005,1,MATCH(COLUMNS($AM$1006:AZ1006),$AM$1006:$BM$1006,0))&gt;=100000), " ",IF(INDEX($AM$2:$BM$1001,MATCH(ROWS($AF$2:AF818),$AF$2:$AF$1001,0),MATCH(COLUMNS($AM$1006:AZ1006),$AM$1006:$BM$1006,0)), HYPERLINK("#",""), HYPERLINK(CONCATENATE("#metadata!", ADDRESS(INDEX($AH$2:$AH$1001,MATCH(ROWS($AF$2:AF818),$AF$2:$AF$1001,0),0), INDEX($AM$1004:$BM$1004,1,MATCH(COLUMNS($AM$1006:AZ1006),$AM$1006:$BM$1006,0)))),"Fix")))</f>
        <v xml:space="preserve"> </v>
      </c>
      <c r="P818" s="4" t="str">
        <f ca="1">IF(OR(INDEX($AG$2:$AG$1001,MATCH(ROWS($AF$2:AF818),$AF$2:$AF$1001,0),1)&gt;=100000,INDEX($AM$1005:$BM$1005,1,MATCH(COLUMNS($AM$1006:BA1006),$AM$1006:$BM$1006,0))&gt;=100000), " ",IF(INDEX($AM$2:$BM$1001,MATCH(ROWS($AF$2:AF818),$AF$2:$AF$1001,0),MATCH(COLUMNS($AM$1006:BA1006),$AM$1006:$BM$1006,0)), HYPERLINK("#",""), HYPERLINK(CONCATENATE("#metadata!", ADDRESS(INDEX($AH$2:$AH$1001,MATCH(ROWS($AF$2:AF818),$AF$2:$AF$1001,0),0), INDEX($AM$1004:$BM$1004,1,MATCH(COLUMNS($AM$1006:BA1006),$AM$1006:$BM$1006,0)))),"Fix")))</f>
        <v xml:space="preserve"> </v>
      </c>
      <c r="Q818" s="4" t="str">
        <f ca="1">IF(OR(INDEX($AG$2:$AG$1001,MATCH(ROWS($AF$2:AF818),$AF$2:$AF$1001,0),1)&gt;=100000,INDEX($AM$1005:$BM$1005,1,MATCH(COLUMNS($AM$1006:BB1006),$AM$1006:$BM$1006,0))&gt;=100000), " ",IF(INDEX($AM$2:$BM$1001,MATCH(ROWS($AF$2:AF818),$AF$2:$AF$1001,0),MATCH(COLUMNS($AM$1006:BB1006),$AM$1006:$BM$1006,0)), HYPERLINK("#",""), HYPERLINK(CONCATENATE("#metadata!", ADDRESS(INDEX($AH$2:$AH$1001,MATCH(ROWS($AF$2:AF818),$AF$2:$AF$1001,0),0), INDEX($AM$1004:$BM$1004,1,MATCH(COLUMNS($AM$1006:BB1006),$AM$1006:$BM$1006,0)))),"Fix")))</f>
        <v xml:space="preserve"> </v>
      </c>
      <c r="R818" s="4" t="str">
        <f ca="1">IF(OR(INDEX($AG$2:$AG$1001,MATCH(ROWS($AF$2:AF818),$AF$2:$AF$1001,0),1)&gt;=100000,INDEX($AM$1005:$BM$1005,1,MATCH(COLUMNS($AM$1006:BC1006),$AM$1006:$BM$1006,0))&gt;=100000), " ",IF(INDEX($AM$2:$BM$1001,MATCH(ROWS($AF$2:AF818),$AF$2:$AF$1001,0),MATCH(COLUMNS($AM$1006:BC1006),$AM$1006:$BM$1006,0)), HYPERLINK("#",""), HYPERLINK(CONCATENATE("#metadata!", ADDRESS(INDEX($AH$2:$AH$1001,MATCH(ROWS($AF$2:AF818),$AF$2:$AF$1001,0),0), INDEX($AM$1004:$BM$1004,1,MATCH(COLUMNS($AM$1006:BC1006),$AM$1006:$BM$1006,0)))),"Fix")))</f>
        <v xml:space="preserve"> </v>
      </c>
      <c r="S818" s="4" t="str">
        <f ca="1">IF(OR(INDEX($AG$2:$AG$1001,MATCH(ROWS($AF$2:AF818),$AF$2:$AF$1001,0),1)&gt;=100000,INDEX($AM$1005:$BM$1005,1,MATCH(COLUMNS($AM$1006:BD1006),$AM$1006:$BM$1006,0))&gt;=100000), " ",IF(INDEX($AM$2:$BM$1001,MATCH(ROWS($AF$2:AF818),$AF$2:$AF$1001,0),MATCH(COLUMNS($AM$1006:BD1006),$AM$1006:$BM$1006,0)), HYPERLINK("#",""), HYPERLINK(CONCATENATE("#metadata!", ADDRESS(INDEX($AH$2:$AH$1001,MATCH(ROWS($AF$2:AF818),$AF$2:$AF$1001,0),0), INDEX($AM$1004:$BM$1004,1,MATCH(COLUMNS($AM$1006:BD1006),$AM$1006:$BM$1006,0)))),"Fix")))</f>
        <v xml:space="preserve"> </v>
      </c>
      <c r="T818" s="4" t="str">
        <f ca="1">IF(OR(INDEX($AG$2:$AG$1001,MATCH(ROWS($AF$2:AF818),$AF$2:$AF$1001,0),1)&gt;=100000,INDEX($AM$1005:$BM$1005,1,MATCH(COLUMNS($AM$1006:BE1006),$AM$1006:$BM$1006,0))&gt;=100000), " ",IF(INDEX($AM$2:$BM$1001,MATCH(ROWS($AF$2:AF818),$AF$2:$AF$1001,0),MATCH(COLUMNS($AM$1006:BE1006),$AM$1006:$BM$1006,0)), HYPERLINK("#",""), HYPERLINK(CONCATENATE("#metadata!", ADDRESS(INDEX($AH$2:$AH$1001,MATCH(ROWS($AF$2:AF818),$AF$2:$AF$1001,0),0), INDEX($AM$1004:$BM$1004,1,MATCH(COLUMNS($AM$1006:BE1006),$AM$1006:$BM$1006,0)))),"Fix")))</f>
        <v xml:space="preserve"> </v>
      </c>
      <c r="U818" s="4" t="str">
        <f ca="1">IF(OR(INDEX($AG$2:$AG$1001,MATCH(ROWS($AF$2:AF818),$AF$2:$AF$1001,0),1)&gt;=100000,INDEX($AM$1005:$BM$1005,1,MATCH(COLUMNS($AM$1006:BF1006),$AM$1006:$BM$1006,0))&gt;=100000), " ",IF(INDEX($AM$2:$BM$1001,MATCH(ROWS($AF$2:AF818),$AF$2:$AF$1001,0),MATCH(COLUMNS($AM$1006:BF1006),$AM$1006:$BM$1006,0)), HYPERLINK("#",""), HYPERLINK(CONCATENATE("#metadata!", ADDRESS(INDEX($AH$2:$AH$1001,MATCH(ROWS($AF$2:AF818),$AF$2:$AF$1001,0),0), INDEX($AM$1004:$BM$1004,1,MATCH(COLUMNS($AM$1006:BF1006),$AM$1006:$BM$1006,0)))),"Fix")))</f>
        <v xml:space="preserve"> </v>
      </c>
      <c r="V818" s="4" t="str">
        <f ca="1">IF(OR(INDEX($AG$2:$AG$1001,MATCH(ROWS($AF$2:AF818),$AF$2:$AF$1001,0),1)&gt;=100000,INDEX($AM$1005:$BM$1005,1,MATCH(COLUMNS($AM$1006:BG1006),$AM$1006:$BM$1006,0))&gt;=100000), " ",IF(INDEX($AM$2:$BM$1001,MATCH(ROWS($AF$2:AF818),$AF$2:$AF$1001,0),MATCH(COLUMNS($AM$1006:BG1006),$AM$1006:$BM$1006,0)), HYPERLINK("#",""), HYPERLINK(CONCATENATE("#metadata!", ADDRESS(INDEX($AH$2:$AH$1001,MATCH(ROWS($AF$2:AF818),$AF$2:$AF$1001,0),0), INDEX($AM$1004:$BM$1004,1,MATCH(COLUMNS($AM$1006:BG1006),$AM$1006:$BM$1006,0)))),"Fix")))</f>
        <v xml:space="preserve"> </v>
      </c>
      <c r="W818" s="4" t="str">
        <f ca="1">IF(OR(INDEX($AG$2:$AG$1001,MATCH(ROWS($AF$2:AF818),$AF$2:$AF$1001,0),1)&gt;=100000,INDEX($AM$1005:$BM$1005,1,MATCH(COLUMNS($AM$1006:BH1006),$AM$1006:$BM$1006,0))&gt;=100000), " ",IF(INDEX($AM$2:$BM$1001,MATCH(ROWS($AF$2:AF818),$AF$2:$AF$1001,0),MATCH(COLUMNS($AM$1006:BH1006),$AM$1006:$BM$1006,0)), HYPERLINK("#",""), HYPERLINK(CONCATENATE("#metadata!", ADDRESS(INDEX($AH$2:$AH$1001,MATCH(ROWS($AF$2:AF818),$AF$2:$AF$1001,0),0), INDEX($AM$1004:$BM$1004,1,MATCH(COLUMNS($AM$1006:BH1006),$AM$1006:$BM$1006,0)))),"Fix")))</f>
        <v xml:space="preserve"> </v>
      </c>
      <c r="X818" s="4" t="str">
        <f ca="1">IF(OR(INDEX($AG$2:$AG$1001,MATCH(ROWS($AF$2:AF818),$AF$2:$AF$1001,0),1)&gt;=100000,INDEX($AM$1005:$BM$1005,1,MATCH(COLUMNS($AM$1006:BI1006),$AM$1006:$BM$1006,0))&gt;=100000), " ",IF(INDEX($AM$2:$BM$1001,MATCH(ROWS($AF$2:AF818),$AF$2:$AF$1001,0),MATCH(COLUMNS($AM$1006:BI1006),$AM$1006:$BM$1006,0)), HYPERLINK("#",""), HYPERLINK(CONCATENATE("#metadata!", ADDRESS(INDEX($AH$2:$AH$1001,MATCH(ROWS($AF$2:AF818),$AF$2:$AF$1001,0),0), INDEX($AM$1004:$BM$1004,1,MATCH(COLUMNS($AM$1006:BI1006),$AM$1006:$BM$1006,0)))),"Fix")))</f>
        <v xml:space="preserve"> </v>
      </c>
      <c r="Y818" s="4" t="str">
        <f ca="1">IF(OR(INDEX($AG$2:$AG$1001,MATCH(ROWS($AF$2:AF818),$AF$2:$AF$1001,0),1)&gt;=100000,INDEX($AM$1005:$BM$1005,1,MATCH(COLUMNS($AM$1006:BJ1006),$AM$1006:$BM$1006,0))&gt;=100000), " ",IF(INDEX($AM$2:$BM$1001,MATCH(ROWS($AF$2:AF818),$AF$2:$AF$1001,0),MATCH(COLUMNS($AM$1006:BJ1006),$AM$1006:$BM$1006,0)), HYPERLINK("#",""), HYPERLINK(CONCATENATE("#metadata!", ADDRESS(INDEX($AH$2:$AH$1001,MATCH(ROWS($AF$2:AF818),$AF$2:$AF$1001,0),0), INDEX($AM$1004:$BM$1004,1,MATCH(COLUMNS($AM$1006:BJ1006),$AM$1006:$BM$1006,0)))),"Fix")))</f>
        <v xml:space="preserve"> </v>
      </c>
      <c r="Z818" s="4" t="str">
        <f ca="1">IF(OR(INDEX($AG$2:$AG$1001,MATCH(ROWS($AF$2:AF818),$AF$2:$AF$1001,0),1)&gt;=100000,INDEX($AM$1005:$BM$1005,1,MATCH(COLUMNS($AM$1006:BK1006),$AM$1006:$BM$1006,0))&gt;=100000), " ",IF(INDEX($AM$2:$BM$1001,MATCH(ROWS($AF$2:AF818),$AF$2:$AF$1001,0),MATCH(COLUMNS($AM$1006:BK1006),$AM$1006:$BM$1006,0)), HYPERLINK("#",""), HYPERLINK(CONCATENATE("#metadata!", ADDRESS(INDEX($AH$2:$AH$1001,MATCH(ROWS($AF$2:AF818),$AF$2:$AF$1001,0),0), INDEX($AM$1004:$BM$1004,1,MATCH(COLUMNS($AM$1006:BK1006),$AM$1006:$BM$1006,0)))),"Fix")))</f>
        <v xml:space="preserve"> </v>
      </c>
      <c r="AA818" s="4" t="str">
        <f ca="1">IF(OR(INDEX($AG$2:$AG$1001,MATCH(ROWS($AF$2:AF818),$AF$2:$AF$1001,0),1)&gt;=100000,INDEX($AM$1005:$BM$1005,1,MATCH(COLUMNS($AM$1006:BL1006),$AM$1006:$BM$1006,0))&gt;=100000), " ",IF(INDEX($AM$2:$BM$1001,MATCH(ROWS($AF$2:AF818),$AF$2:$AF$1001,0),MATCH(COLUMNS($AM$1006:BL1006),$AM$1006:$BM$1006,0)), HYPERLINK("#",""), HYPERLINK(CONCATENATE("#metadata!", ADDRESS(INDEX($AH$2:$AH$1001,MATCH(ROWS($AF$2:AF818),$AF$2:$AF$1001,0),0), INDEX($AM$1004:$BM$1004,1,MATCH(COLUMNS($AM$1006:BL1006),$AM$1006:$BM$1006,0)))),"Fix")))</f>
        <v xml:space="preserve"> </v>
      </c>
      <c r="AB818" s="4" t="str">
        <f ca="1">IF(OR(INDEX($AG$2:$AG$1001,MATCH(ROWS($AF$2:AF818),$AF$2:$AF$1001,0),1)&gt;=100000,INDEX($AM$1005:$BM$1005,1,MATCH(COLUMNS($AM$1006:BM1006),$AM$1006:$BM$1006,0))&gt;=100000), " ",IF(INDEX($AM$2:$BM$1001,MATCH(ROWS($AF$2:AF818),$AF$2:$AF$1001,0),MATCH(COLUMNS($AM$1006:BM1006),$AM$1006:$BM$1006,0)), HYPERLINK("#",""), HYPERLINK(CONCATENATE("#metadata!", ADDRESS(INDEX($AH$2:$AH$1001,MATCH(ROWS($AF$2:AF818),$AF$2:$AF$1001,0),0), INDEX($AM$1004:$BM$1004,1,MATCH(COLUMNS($AM$1006:BM1006),$AM$1006:$BM$1006,0)))),"Fix")))</f>
        <v xml:space="preserve"> </v>
      </c>
      <c r="AF818">
        <v>817</v>
      </c>
      <c r="AG818">
        <v>100818</v>
      </c>
      <c r="AH818">
        <v>818</v>
      </c>
      <c r="AI818" t="b">
        <f t="shared" si="12"/>
        <v>1</v>
      </c>
      <c r="AJ818" t="b">
        <f>COUNTBLANK(metadata!B818:AB818)=COLUMNS(metadata!B818:AB818)</f>
        <v>1</v>
      </c>
      <c r="AK818" t="str">
        <v/>
      </c>
      <c r="AM818" t="b">
        <f ca="1">AND(IF(metadata!B818="",FALSE,TRUE),COUNTIF(metadata!B:B, metadata!B818) = 1,NOT(ISERROR(SUMPRODUCT(SEARCH(MID(metadata!B818,ROW(INDIRECT("1:"&amp;LEN(metadata!B818))), 1),"0123456789abcdefghijklmnopqrstuvwxyzABCDEFGHIJKLMNOPQRSTUVWXYZ.")))))</f>
        <v>0</v>
      </c>
      <c r="AN818" t="b">
        <f ca="1">OR(AND(IF(metadata!C818="",FALSE,TRUE),OR(EXACT(metadata!C818,"missing: not collected"),EXACT(metadata!C818,"missing: not provided"),EXACT(metadata!C818,"missing: restricted access"))),AND(IF(metadata!C818="",FALSE,TRUE),AND(AND(IFERROR(INT(LEFT(metadata!C818,4))&gt;1900,FALSE),IFERROR(INT(LEFT(metadata!C818,4))&lt;=YEAR(NOW()),FALSE)), OR(MID(metadata!C818,5,1)="", AND(AND(MID(metadata!C818,5,1)="-",IFERROR(INT(MID(metadata!C818,6,1))&gt;=0,FALSE),IFERROR(INT(MID(metadata!C818,6,1))&lt;=1,FALSE),NOT(MID(metadata!C818,7,1)=""),IFERROR(INT(MID(metadata!C818,6,2))&gt;=1,FALSE),IFERROR(INT(MID(metadata!C818,6,2))&lt;=12,FALSE)), OR(MID(metadata!C818,8,1)="", AND(AND(MID(metadata!C818,8,1)="-",IFERROR(INT(MID(metadata!C818,9,1))&gt;=0,FALSE),IFERROR(INT(MID(metadata!C818,9,1))&lt;=3,FALSE),NOT(MID(metadata!C818,10,1)=""),IFERROR(INT(MID(metadata!C818,9,2))&gt;=1,FALSE),IFERROR(INT(MID(metadata!C818,9,2))&lt;=31,FALSE)), OR(MID(metadata!C818,11,1)="", AND(AND(MID(metadata!C818,11,1)=" ",IFERROR(INT(MID(metadata!C818,12,1))&gt;=0,FALSE),IFERROR(INT(MID(metadata!C818,12,1))&lt;=2,FALSE),NOT(MID(metadata!C818,13,1)=""),IFERROR(INT(MID(metadata!C818,12,2))&gt;=0,FALSE),IFERROR(INT(MID(metadata!C818,12,2))&lt;=23,FALSE)), OR(MID(metadata!C818,14,1)="", AND(AND(MID(metadata!C818,14,1)=":",IFERROR(INT(MID(metadata!C818,15,1))&gt;=0,FALSE),IFERROR(INT(MID(metadata!C818,15,1))&lt;=5,FALSE),NOT(MID(metadata!C818,16,1)=""),IFERROR(INT(MID(metadata!C818,15,2))&gt;=0,FALSE),IFERROR(INT(MID(metadata!C818,15,2))&lt;=59,FALSE)), OR(MID(metadata!C818,17,1)="", AND(AND(MID(metadata!C818,17,1)=":",IFERROR(INT(MID(metadata!C818,18,1))&gt;=0,FALSE),IFERROR(INT(MID(metadata!C818,18,1))&lt;=5,FALSE),NOT(MID(metadata!C818,19,1)=""),IFERROR(INT(MID(metadata!C818,18,2))&gt;=0,FALSE),IFERROR(INT(MID(metadata!C818,18,2))&lt;=59,FALSE)), LEN(metadata!C818)&lt;=19)))))))))))))</f>
        <v>0</v>
      </c>
      <c r="AO818" t="b">
        <f>AND(IF(metadata!D818="",FALSE,TRUE),EXACT(metadata!D818,"Not applicable"))</f>
        <v>0</v>
      </c>
      <c r="AP818" t="b">
        <f>IF(metadata!E818="",FALSE,TRUE)</f>
        <v>0</v>
      </c>
      <c r="AQ818" t="b">
        <f>OR(AND(IF(metadata!F818="",FALSE,TRUE),OR(EXACT(metadata!F818,"missing: not collected"),EXACT(metadata!F818,"missing: not provided"))),AND(IF(metadata!F818="",FALSE,TRUE),OR(EXACT(metadata!F818,"TRUE"),EXACT(metadata!F818,"FALSE"))))</f>
        <v>0</v>
      </c>
      <c r="AR818" t="b">
        <f>OR(AND(IF(metadata!G818="",FALSE,TRUE),OR(EXACT(metadata!G818,"missing: not collected"),EXACT(metadata!G818,"missing: not provided"),EXACT(metadata!G818,"missing: restricted access"))),AND(IF(metadata!G818="",FALSE,ISNUMBER(VALUE(metadata!G818))),metadata!G818&gt;=-413))</f>
        <v>0</v>
      </c>
      <c r="AS818" t="b">
        <f>AND(IF(metadata!H818="",FALSE,TRUE),EXACT(metadata!H818,"meters"))</f>
        <v>0</v>
      </c>
      <c r="AT818" t="b">
        <f>AND(IF(metadata!I818="",FALSE,TRUE),OR(EXACT(metadata!I818,"Host-associated"),EXACT(metadata!I818,"Free-living")))</f>
        <v>0</v>
      </c>
      <c r="AU818" t="b">
        <f>AND(IF(metadata!J818="",FALSE,TRUE),OR(EXACT(metadata!J818,"Animal"),EXACT(metadata!J818,"Fungus"),EXACT(metadata!J818,"Plant"),EXACT(metadata!J818,"Saline"),EXACT(metadata!J818,"Non-saline")))</f>
        <v>0</v>
      </c>
      <c r="AV818" t="b">
        <f>AND(IF(metadata!K818="",FALSE,TRUE),OR(EXACT(metadata!K818,"Plant secretion"),EXACT(metadata!K818,"Plant rhizosphere"),EXACT(metadata!K818,"Plant surface"),EXACT(metadata!K818,"Plant corpus"),EXACT(metadata!K818,"Fungus surface"),EXACT(metadata!K818,"Fungus corpus"),EXACT(metadata!K818,"Animal surface"),EXACT(metadata!K818,"Animal proximal gut"),EXACT(metadata!K818,"Animal corpus"),EXACT(metadata!K818,"Animal distal gut"),EXACT(metadata!K818,"Animal secretion"),EXACT(metadata!K818,"Sub-surface (non-saline)"),EXACT(metadata!K818,"Surface (non-saline)"),EXACT(metadata!K818,"Water (non-saline)"),EXACT(metadata!K818,"Soil (non-saline)"),EXACT(metadata!K818,"Aerosol (non-saline)"),EXACT(metadata!K818,"Sediment (non-saline)"),EXACT(metadata!K818,"Surface (saline)"),EXACT(metadata!K818,"Water (saline)"),EXACT(metadata!K818,"Hypersaline (saline)"),EXACT(metadata!K818,"Aerosol (saline)"),EXACT(metadata!K818,"Sediment (saline)")))</f>
        <v>0</v>
      </c>
      <c r="AW818" t="b">
        <f>IF(metadata!L818="",FALSE,TRUE)</f>
        <v>0</v>
      </c>
      <c r="AX818" t="b">
        <f>IF(metadata!M818="",FALSE,TRUE)</f>
        <v>0</v>
      </c>
      <c r="AY818" t="b">
        <f>IF(metadata!N818="",FALSE,TRUE)</f>
        <v>0</v>
      </c>
      <c r="AZ818" t="b">
        <f>OR(AND(IF(metadata!O818="",FALSE,TRUE),OR(EXACT(metadata!O818,"missing: not collected"),EXACT(metadata!O818,"missing: not provided"),EXACT(metadata!O818,"missing: restricted access"))),AND(IF(metadata!O818="",FALSE,TRUE),OR(EXACT(metadata!O818,"air"),EXACT(metadata!O818,"built environment"),EXACT(metadata!O818,"host-associated"),EXACT(metadata!O818,"human-associated"),EXACT(metadata!O818,"human-skin"),EXACT(metadata!O818,"human-oral"),EXACT(metadata!O818,"human-gut"),EXACT(metadata!O818,"human-vaginal"),EXACT(metadata!O818,"microbial mat/biofilm"),EXACT(metadata!O818,"misc environment"),EXACT(metadata!O818,"plant-associated"),EXACT(metadata!O818,"sediment"),EXACT(metadata!O818,"soil"),EXACT(metadata!O818,"wastewater/sludge"),EXACT(metadata!O818,"water"))))</f>
        <v>0</v>
      </c>
      <c r="BA818" t="b">
        <f>IF(metadata!P818="",FALSE,TRUE)</f>
        <v>0</v>
      </c>
      <c r="BB818" t="b">
        <f>IF(metadata!Q818="",FALSE,TRUE)</f>
        <v>0</v>
      </c>
      <c r="BC818" t="b">
        <f>OR(AND(IF(metadata!R818="",FALSE,TRUE),OR(EXACT(metadata!R818,"missing: not collected"),EXACT(metadata!R818,"missing: not provided"),EXACT(metadata!R818,"missing: restricted access"))),AND(IF(metadata!R818="",FALSE,ISNUMBER(VALUE(metadata!R818))),metadata!R818&gt;=-90,metadata!R818&lt;=90))</f>
        <v>0</v>
      </c>
      <c r="BD818" t="b">
        <f>AND(IF(metadata!S818="",FALSE,TRUE),EXACT(metadata!S818,"Decimal degrees"))</f>
        <v>0</v>
      </c>
      <c r="BE818" t="b">
        <f>OR(AND(IF(metadata!T818="",FALSE,TRUE),OR(EXACT(metadata!T818,"missing: not collected"),EXACT(metadata!T818,"missing: not provided"),EXACT(metadata!T818,"missing: restricted access"))),AND(IF(metadata!T818="",FALSE,ISNUMBER(VALUE(metadata!T818))),metadata!T818&gt;=-180,metadata!T818&lt;=180))</f>
        <v>0</v>
      </c>
      <c r="BF818" t="b">
        <f>AND(IF(metadata!U818="",FALSE,TRUE),EXACT(metadata!U818,"Decimal degrees"))</f>
        <v>0</v>
      </c>
      <c r="BG818" t="b">
        <f>IF(metadata!V818="",FALSE,TRUE)</f>
        <v>0</v>
      </c>
      <c r="BH818" t="b">
        <f>OR(AND(IF(metadata!W818="",FALSE,TRUE),OR(EXACT(metadata!W818,"missing: not collected"),EXACT(metadata!W818,"missing: not provided"),EXACT(metadata!W818,"missing: restricted access"))),AND(IF(metadata!W818="",FALSE,TRUE),OR(EXACT(metadata!W818,"TRUE"),EXACT(metadata!W818,"FALSE"))))</f>
        <v>0</v>
      </c>
      <c r="BI818" t="b">
        <f>AND(IF(metadata!X818="",FALSE,TRUE),EXACT(metadata!X818,"other"))</f>
        <v>0</v>
      </c>
      <c r="BJ818" t="b">
        <f>IF(metadata!Y818="",FALSE,TRUE)</f>
        <v>0</v>
      </c>
      <c r="BK818" t="b">
        <f>OR(AND(IF(metadata!Z818="",FALSE,TRUE),OR(EXACT(metadata!Z818,"missing: not collected"),EXACT(metadata!Z818,"missing: not provided"))),AND(IF(metadata!Z818="",FALSE,IF(ISERROR(INT(metadata!Z818)),FALSE,INT(metadata!Z818)=metadata!Z818)),metadata!Z818&gt;0))</f>
        <v>0</v>
      </c>
      <c r="BL818" t="b">
        <f>AND(IF(metadata!AA818="",FALSE,TRUE),EXACT(metadata!AA818,"Not applicable"))</f>
        <v>0</v>
      </c>
      <c r="BM818" t="b">
        <f>IF(metadata!AB818="",FALSE,TRUE)</f>
        <v>0</v>
      </c>
    </row>
    <row r="819" spans="1:65" x14ac:dyDescent="0.2">
      <c r="A819" s="5" t="str">
        <f ca="1">IF(B819=" "," ",HYPERLINK(CONCATENATE("#metadata!",ADDRESS(INDEX($AH$2:$AH$1001,MATCH(ROWS($AF$2:AF819),$AF$2:$AF$1001,0),0),1)),INDEX($AK$2:$AK$1001,MATCH(ROWS($AF$2:AF819),$AF$2:$AF$1001,0),0)))</f>
        <v xml:space="preserve"> </v>
      </c>
      <c r="B819" s="4" t="str">
        <f ca="1">IF(OR(INDEX($AG$2:$AG$1001,MATCH(ROWS($AF$2:AF819),$AF$2:$AF$1001,0),1)&gt;=100000,INDEX($AM$1005:$BM$1005,1,MATCH(COLUMNS($AM$1006:AM1006),$AM$1006:$BM$1006,0))&gt;=100000), " ",IF(INDEX($AM$2:$BM$1001,MATCH(ROWS($AF$2:AF819),$AF$2:$AF$1001,0),MATCH(COLUMNS($AM$1006:AM1006),$AM$1006:$BM$1006,0)), HYPERLINK("#",""), HYPERLINK(CONCATENATE("#metadata!", ADDRESS(INDEX($AH$2:$AH$1001,MATCH(ROWS($AF$2:AF819),$AF$2:$AF$1001,0),0), INDEX($AM$1004:$BM$1004,1,MATCH(COLUMNS($AM$1006:AM1006),$AM$1006:$BM$1006,0)))),"Fix")))</f>
        <v xml:space="preserve"> </v>
      </c>
      <c r="C819" s="4" t="str">
        <f ca="1">IF(OR(INDEX($AG$2:$AG$1001,MATCH(ROWS($AF$2:AF819),$AF$2:$AF$1001,0),1)&gt;=100000,INDEX($AM$1005:$BM$1005,1,MATCH(COLUMNS($AM$1006:AN1006),$AM$1006:$BM$1006,0))&gt;=100000), " ",IF(INDEX($AM$2:$BM$1001,MATCH(ROWS($AF$2:AF819),$AF$2:$AF$1001,0),MATCH(COLUMNS($AM$1006:AN1006),$AM$1006:$BM$1006,0)), HYPERLINK("#",""), HYPERLINK(CONCATENATE("#metadata!", ADDRESS(INDEX($AH$2:$AH$1001,MATCH(ROWS($AF$2:AF819),$AF$2:$AF$1001,0),0), INDEX($AM$1004:$BM$1004,1,MATCH(COLUMNS($AM$1006:AN1006),$AM$1006:$BM$1006,0)))),"Fix")))</f>
        <v xml:space="preserve"> </v>
      </c>
      <c r="D819" s="4" t="str">
        <f ca="1">IF(OR(INDEX($AG$2:$AG$1001,MATCH(ROWS($AF$2:AF819),$AF$2:$AF$1001,0),1)&gt;=100000,INDEX($AM$1005:$BM$1005,1,MATCH(COLUMNS($AM$1006:AO1006),$AM$1006:$BM$1006,0))&gt;=100000), " ",IF(INDEX($AM$2:$BM$1001,MATCH(ROWS($AF$2:AF819),$AF$2:$AF$1001,0),MATCH(COLUMNS($AM$1006:AO1006),$AM$1006:$BM$1006,0)), HYPERLINK("#",""), HYPERLINK(CONCATENATE("#metadata!", ADDRESS(INDEX($AH$2:$AH$1001,MATCH(ROWS($AF$2:AF819),$AF$2:$AF$1001,0),0), INDEX($AM$1004:$BM$1004,1,MATCH(COLUMNS($AM$1006:AO1006),$AM$1006:$BM$1006,0)))),"Fix")))</f>
        <v xml:space="preserve"> </v>
      </c>
      <c r="E819" s="4" t="str">
        <f ca="1">IF(OR(INDEX($AG$2:$AG$1001,MATCH(ROWS($AF$2:AF819),$AF$2:$AF$1001,0),1)&gt;=100000,INDEX($AM$1005:$BM$1005,1,MATCH(COLUMNS($AM$1006:AP1006),$AM$1006:$BM$1006,0))&gt;=100000), " ",IF(INDEX($AM$2:$BM$1001,MATCH(ROWS($AF$2:AF819),$AF$2:$AF$1001,0),MATCH(COLUMNS($AM$1006:AP1006),$AM$1006:$BM$1006,0)), HYPERLINK("#",""), HYPERLINK(CONCATENATE("#metadata!", ADDRESS(INDEX($AH$2:$AH$1001,MATCH(ROWS($AF$2:AF819),$AF$2:$AF$1001,0),0), INDEX($AM$1004:$BM$1004,1,MATCH(COLUMNS($AM$1006:AP1006),$AM$1006:$BM$1006,0)))),"Fix")))</f>
        <v xml:space="preserve"> </v>
      </c>
      <c r="F819" s="4" t="str">
        <f ca="1">IF(OR(INDEX($AG$2:$AG$1001,MATCH(ROWS($AF$2:AF819),$AF$2:$AF$1001,0),1)&gt;=100000,INDEX($AM$1005:$BM$1005,1,MATCH(COLUMNS($AM$1006:AQ1006),$AM$1006:$BM$1006,0))&gt;=100000), " ",IF(INDEX($AM$2:$BM$1001,MATCH(ROWS($AF$2:AF819),$AF$2:$AF$1001,0),MATCH(COLUMNS($AM$1006:AQ1006),$AM$1006:$BM$1006,0)), HYPERLINK("#",""), HYPERLINK(CONCATENATE("#metadata!", ADDRESS(INDEX($AH$2:$AH$1001,MATCH(ROWS($AF$2:AF819),$AF$2:$AF$1001,0),0), INDEX($AM$1004:$BM$1004,1,MATCH(COLUMNS($AM$1006:AQ1006),$AM$1006:$BM$1006,0)))),"Fix")))</f>
        <v xml:space="preserve"> </v>
      </c>
      <c r="G819" s="4" t="str">
        <f ca="1">IF(OR(INDEX($AG$2:$AG$1001,MATCH(ROWS($AF$2:AF819),$AF$2:$AF$1001,0),1)&gt;=100000,INDEX($AM$1005:$BM$1005,1,MATCH(COLUMNS($AM$1006:AR1006),$AM$1006:$BM$1006,0))&gt;=100000), " ",IF(INDEX($AM$2:$BM$1001,MATCH(ROWS($AF$2:AF819),$AF$2:$AF$1001,0),MATCH(COLUMNS($AM$1006:AR1006),$AM$1006:$BM$1006,0)), HYPERLINK("#",""), HYPERLINK(CONCATENATE("#metadata!", ADDRESS(INDEX($AH$2:$AH$1001,MATCH(ROWS($AF$2:AF819),$AF$2:$AF$1001,0),0), INDEX($AM$1004:$BM$1004,1,MATCH(COLUMNS($AM$1006:AR1006),$AM$1006:$BM$1006,0)))),"Fix")))</f>
        <v xml:space="preserve"> </v>
      </c>
      <c r="H819" s="4" t="str">
        <f ca="1">IF(OR(INDEX($AG$2:$AG$1001,MATCH(ROWS($AF$2:AF819),$AF$2:$AF$1001,0),1)&gt;=100000,INDEX($AM$1005:$BM$1005,1,MATCH(COLUMNS($AM$1006:AS1006),$AM$1006:$BM$1006,0))&gt;=100000), " ",IF(INDEX($AM$2:$BM$1001,MATCH(ROWS($AF$2:AF819),$AF$2:$AF$1001,0),MATCH(COLUMNS($AM$1006:AS1006),$AM$1006:$BM$1006,0)), HYPERLINK("#",""), HYPERLINK(CONCATENATE("#metadata!", ADDRESS(INDEX($AH$2:$AH$1001,MATCH(ROWS($AF$2:AF819),$AF$2:$AF$1001,0),0), INDEX($AM$1004:$BM$1004,1,MATCH(COLUMNS($AM$1006:AS1006),$AM$1006:$BM$1006,0)))),"Fix")))</f>
        <v xml:space="preserve"> </v>
      </c>
      <c r="I819" s="4" t="str">
        <f ca="1">IF(OR(INDEX($AG$2:$AG$1001,MATCH(ROWS($AF$2:AF819),$AF$2:$AF$1001,0),1)&gt;=100000,INDEX($AM$1005:$BM$1005,1,MATCH(COLUMNS($AM$1006:AT1006),$AM$1006:$BM$1006,0))&gt;=100000), " ",IF(INDEX($AM$2:$BM$1001,MATCH(ROWS($AF$2:AF819),$AF$2:$AF$1001,0),MATCH(COLUMNS($AM$1006:AT1006),$AM$1006:$BM$1006,0)), HYPERLINK("#",""), HYPERLINK(CONCATENATE("#metadata!", ADDRESS(INDEX($AH$2:$AH$1001,MATCH(ROWS($AF$2:AF819),$AF$2:$AF$1001,0),0), INDEX($AM$1004:$BM$1004,1,MATCH(COLUMNS($AM$1006:AT1006),$AM$1006:$BM$1006,0)))),"Fix")))</f>
        <v xml:space="preserve"> </v>
      </c>
      <c r="J819" s="4" t="str">
        <f ca="1">IF(OR(INDEX($AG$2:$AG$1001,MATCH(ROWS($AF$2:AF819),$AF$2:$AF$1001,0),1)&gt;=100000,INDEX($AM$1005:$BM$1005,1,MATCH(COLUMNS($AM$1006:AU1006),$AM$1006:$BM$1006,0))&gt;=100000), " ",IF(INDEX($AM$2:$BM$1001,MATCH(ROWS($AF$2:AF819),$AF$2:$AF$1001,0),MATCH(COLUMNS($AM$1006:AU1006),$AM$1006:$BM$1006,0)), HYPERLINK("#",""), HYPERLINK(CONCATENATE("#metadata!", ADDRESS(INDEX($AH$2:$AH$1001,MATCH(ROWS($AF$2:AF819),$AF$2:$AF$1001,0),0), INDEX($AM$1004:$BM$1004,1,MATCH(COLUMNS($AM$1006:AU1006),$AM$1006:$BM$1006,0)))),"Fix")))</f>
        <v xml:space="preserve"> </v>
      </c>
      <c r="K819" s="4" t="str">
        <f ca="1">IF(OR(INDEX($AG$2:$AG$1001,MATCH(ROWS($AF$2:AF819),$AF$2:$AF$1001,0),1)&gt;=100000,INDEX($AM$1005:$BM$1005,1,MATCH(COLUMNS($AM$1006:AV1006),$AM$1006:$BM$1006,0))&gt;=100000), " ",IF(INDEX($AM$2:$BM$1001,MATCH(ROWS($AF$2:AF819),$AF$2:$AF$1001,0),MATCH(COLUMNS($AM$1006:AV1006),$AM$1006:$BM$1006,0)), HYPERLINK("#",""), HYPERLINK(CONCATENATE("#metadata!", ADDRESS(INDEX($AH$2:$AH$1001,MATCH(ROWS($AF$2:AF819),$AF$2:$AF$1001,0),0), INDEX($AM$1004:$BM$1004,1,MATCH(COLUMNS($AM$1006:AV1006),$AM$1006:$BM$1006,0)))),"Fix")))</f>
        <v xml:space="preserve"> </v>
      </c>
      <c r="L819" s="4" t="str">
        <f ca="1">IF(OR(INDEX($AG$2:$AG$1001,MATCH(ROWS($AF$2:AF819),$AF$2:$AF$1001,0),1)&gt;=100000,INDEX($AM$1005:$BM$1005,1,MATCH(COLUMNS($AM$1006:AW1006),$AM$1006:$BM$1006,0))&gt;=100000), " ",IF(INDEX($AM$2:$BM$1001,MATCH(ROWS($AF$2:AF819),$AF$2:$AF$1001,0),MATCH(COLUMNS($AM$1006:AW1006),$AM$1006:$BM$1006,0)), HYPERLINK("#",""), HYPERLINK(CONCATENATE("#metadata!", ADDRESS(INDEX($AH$2:$AH$1001,MATCH(ROWS($AF$2:AF819),$AF$2:$AF$1001,0),0), INDEX($AM$1004:$BM$1004,1,MATCH(COLUMNS($AM$1006:AW1006),$AM$1006:$BM$1006,0)))),"Fix")))</f>
        <v xml:space="preserve"> </v>
      </c>
      <c r="M819" s="4" t="str">
        <f ca="1">IF(OR(INDEX($AG$2:$AG$1001,MATCH(ROWS($AF$2:AF819),$AF$2:$AF$1001,0),1)&gt;=100000,INDEX($AM$1005:$BM$1005,1,MATCH(COLUMNS($AM$1006:AX1006),$AM$1006:$BM$1006,0))&gt;=100000), " ",IF(INDEX($AM$2:$BM$1001,MATCH(ROWS($AF$2:AF819),$AF$2:$AF$1001,0),MATCH(COLUMNS($AM$1006:AX1006),$AM$1006:$BM$1006,0)), HYPERLINK("#",""), HYPERLINK(CONCATENATE("#metadata!", ADDRESS(INDEX($AH$2:$AH$1001,MATCH(ROWS($AF$2:AF819),$AF$2:$AF$1001,0),0), INDEX($AM$1004:$BM$1004,1,MATCH(COLUMNS($AM$1006:AX1006),$AM$1006:$BM$1006,0)))),"Fix")))</f>
        <v xml:space="preserve"> </v>
      </c>
      <c r="N819" s="4" t="str">
        <f ca="1">IF(OR(INDEX($AG$2:$AG$1001,MATCH(ROWS($AF$2:AF819),$AF$2:$AF$1001,0),1)&gt;=100000,INDEX($AM$1005:$BM$1005,1,MATCH(COLUMNS($AM$1006:AY1006),$AM$1006:$BM$1006,0))&gt;=100000), " ",IF(INDEX($AM$2:$BM$1001,MATCH(ROWS($AF$2:AF819),$AF$2:$AF$1001,0),MATCH(COLUMNS($AM$1006:AY1006),$AM$1006:$BM$1006,0)), HYPERLINK("#",""), HYPERLINK(CONCATENATE("#metadata!", ADDRESS(INDEX($AH$2:$AH$1001,MATCH(ROWS($AF$2:AF819),$AF$2:$AF$1001,0),0), INDEX($AM$1004:$BM$1004,1,MATCH(COLUMNS($AM$1006:AY1006),$AM$1006:$BM$1006,0)))),"Fix")))</f>
        <v xml:space="preserve"> </v>
      </c>
      <c r="O819" s="4" t="str">
        <f ca="1">IF(OR(INDEX($AG$2:$AG$1001,MATCH(ROWS($AF$2:AF819),$AF$2:$AF$1001,0),1)&gt;=100000,INDEX($AM$1005:$BM$1005,1,MATCH(COLUMNS($AM$1006:AZ1006),$AM$1006:$BM$1006,0))&gt;=100000), " ",IF(INDEX($AM$2:$BM$1001,MATCH(ROWS($AF$2:AF819),$AF$2:$AF$1001,0),MATCH(COLUMNS($AM$1006:AZ1006),$AM$1006:$BM$1006,0)), HYPERLINK("#",""), HYPERLINK(CONCATENATE("#metadata!", ADDRESS(INDEX($AH$2:$AH$1001,MATCH(ROWS($AF$2:AF819),$AF$2:$AF$1001,0),0), INDEX($AM$1004:$BM$1004,1,MATCH(COLUMNS($AM$1006:AZ1006),$AM$1006:$BM$1006,0)))),"Fix")))</f>
        <v xml:space="preserve"> </v>
      </c>
      <c r="P819" s="4" t="str">
        <f ca="1">IF(OR(INDEX($AG$2:$AG$1001,MATCH(ROWS($AF$2:AF819),$AF$2:$AF$1001,0),1)&gt;=100000,INDEX($AM$1005:$BM$1005,1,MATCH(COLUMNS($AM$1006:BA1006),$AM$1006:$BM$1006,0))&gt;=100000), " ",IF(INDEX($AM$2:$BM$1001,MATCH(ROWS($AF$2:AF819),$AF$2:$AF$1001,0),MATCH(COLUMNS($AM$1006:BA1006),$AM$1006:$BM$1006,0)), HYPERLINK("#",""), HYPERLINK(CONCATENATE("#metadata!", ADDRESS(INDEX($AH$2:$AH$1001,MATCH(ROWS($AF$2:AF819),$AF$2:$AF$1001,0),0), INDEX($AM$1004:$BM$1004,1,MATCH(COLUMNS($AM$1006:BA1006),$AM$1006:$BM$1006,0)))),"Fix")))</f>
        <v xml:space="preserve"> </v>
      </c>
      <c r="Q819" s="4" t="str">
        <f ca="1">IF(OR(INDEX($AG$2:$AG$1001,MATCH(ROWS($AF$2:AF819),$AF$2:$AF$1001,0),1)&gt;=100000,INDEX($AM$1005:$BM$1005,1,MATCH(COLUMNS($AM$1006:BB1006),$AM$1006:$BM$1006,0))&gt;=100000), " ",IF(INDEX($AM$2:$BM$1001,MATCH(ROWS($AF$2:AF819),$AF$2:$AF$1001,0),MATCH(COLUMNS($AM$1006:BB1006),$AM$1006:$BM$1006,0)), HYPERLINK("#",""), HYPERLINK(CONCATENATE("#metadata!", ADDRESS(INDEX($AH$2:$AH$1001,MATCH(ROWS($AF$2:AF819),$AF$2:$AF$1001,0),0), INDEX($AM$1004:$BM$1004,1,MATCH(COLUMNS($AM$1006:BB1006),$AM$1006:$BM$1006,0)))),"Fix")))</f>
        <v xml:space="preserve"> </v>
      </c>
      <c r="R819" s="4" t="str">
        <f ca="1">IF(OR(INDEX($AG$2:$AG$1001,MATCH(ROWS($AF$2:AF819),$AF$2:$AF$1001,0),1)&gt;=100000,INDEX($AM$1005:$BM$1005,1,MATCH(COLUMNS($AM$1006:BC1006),$AM$1006:$BM$1006,0))&gt;=100000), " ",IF(INDEX($AM$2:$BM$1001,MATCH(ROWS($AF$2:AF819),$AF$2:$AF$1001,0),MATCH(COLUMNS($AM$1006:BC1006),$AM$1006:$BM$1006,0)), HYPERLINK("#",""), HYPERLINK(CONCATENATE("#metadata!", ADDRESS(INDEX($AH$2:$AH$1001,MATCH(ROWS($AF$2:AF819),$AF$2:$AF$1001,0),0), INDEX($AM$1004:$BM$1004,1,MATCH(COLUMNS($AM$1006:BC1006),$AM$1006:$BM$1006,0)))),"Fix")))</f>
        <v xml:space="preserve"> </v>
      </c>
      <c r="S819" s="4" t="str">
        <f ca="1">IF(OR(INDEX($AG$2:$AG$1001,MATCH(ROWS($AF$2:AF819),$AF$2:$AF$1001,0),1)&gt;=100000,INDEX($AM$1005:$BM$1005,1,MATCH(COLUMNS($AM$1006:BD1006),$AM$1006:$BM$1006,0))&gt;=100000), " ",IF(INDEX($AM$2:$BM$1001,MATCH(ROWS($AF$2:AF819),$AF$2:$AF$1001,0),MATCH(COLUMNS($AM$1006:BD1006),$AM$1006:$BM$1006,0)), HYPERLINK("#",""), HYPERLINK(CONCATENATE("#metadata!", ADDRESS(INDEX($AH$2:$AH$1001,MATCH(ROWS($AF$2:AF819),$AF$2:$AF$1001,0),0), INDEX($AM$1004:$BM$1004,1,MATCH(COLUMNS($AM$1006:BD1006),$AM$1006:$BM$1006,0)))),"Fix")))</f>
        <v xml:space="preserve"> </v>
      </c>
      <c r="T819" s="4" t="str">
        <f ca="1">IF(OR(INDEX($AG$2:$AG$1001,MATCH(ROWS($AF$2:AF819),$AF$2:$AF$1001,0),1)&gt;=100000,INDEX($AM$1005:$BM$1005,1,MATCH(COLUMNS($AM$1006:BE1006),$AM$1006:$BM$1006,0))&gt;=100000), " ",IF(INDEX($AM$2:$BM$1001,MATCH(ROWS($AF$2:AF819),$AF$2:$AF$1001,0),MATCH(COLUMNS($AM$1006:BE1006),$AM$1006:$BM$1006,0)), HYPERLINK("#",""), HYPERLINK(CONCATENATE("#metadata!", ADDRESS(INDEX($AH$2:$AH$1001,MATCH(ROWS($AF$2:AF819),$AF$2:$AF$1001,0),0), INDEX($AM$1004:$BM$1004,1,MATCH(COLUMNS($AM$1006:BE1006),$AM$1006:$BM$1006,0)))),"Fix")))</f>
        <v xml:space="preserve"> </v>
      </c>
      <c r="U819" s="4" t="str">
        <f ca="1">IF(OR(INDEX($AG$2:$AG$1001,MATCH(ROWS($AF$2:AF819),$AF$2:$AF$1001,0),1)&gt;=100000,INDEX($AM$1005:$BM$1005,1,MATCH(COLUMNS($AM$1006:BF1006),$AM$1006:$BM$1006,0))&gt;=100000), " ",IF(INDEX($AM$2:$BM$1001,MATCH(ROWS($AF$2:AF819),$AF$2:$AF$1001,0),MATCH(COLUMNS($AM$1006:BF1006),$AM$1006:$BM$1006,0)), HYPERLINK("#",""), HYPERLINK(CONCATENATE("#metadata!", ADDRESS(INDEX($AH$2:$AH$1001,MATCH(ROWS($AF$2:AF819),$AF$2:$AF$1001,0),0), INDEX($AM$1004:$BM$1004,1,MATCH(COLUMNS($AM$1006:BF1006),$AM$1006:$BM$1006,0)))),"Fix")))</f>
        <v xml:space="preserve"> </v>
      </c>
      <c r="V819" s="4" t="str">
        <f ca="1">IF(OR(INDEX($AG$2:$AG$1001,MATCH(ROWS($AF$2:AF819),$AF$2:$AF$1001,0),1)&gt;=100000,INDEX($AM$1005:$BM$1005,1,MATCH(COLUMNS($AM$1006:BG1006),$AM$1006:$BM$1006,0))&gt;=100000), " ",IF(INDEX($AM$2:$BM$1001,MATCH(ROWS($AF$2:AF819),$AF$2:$AF$1001,0),MATCH(COLUMNS($AM$1006:BG1006),$AM$1006:$BM$1006,0)), HYPERLINK("#",""), HYPERLINK(CONCATENATE("#metadata!", ADDRESS(INDEX($AH$2:$AH$1001,MATCH(ROWS($AF$2:AF819),$AF$2:$AF$1001,0),0), INDEX($AM$1004:$BM$1004,1,MATCH(COLUMNS($AM$1006:BG1006),$AM$1006:$BM$1006,0)))),"Fix")))</f>
        <v xml:space="preserve"> </v>
      </c>
      <c r="W819" s="4" t="str">
        <f ca="1">IF(OR(INDEX($AG$2:$AG$1001,MATCH(ROWS($AF$2:AF819),$AF$2:$AF$1001,0),1)&gt;=100000,INDEX($AM$1005:$BM$1005,1,MATCH(COLUMNS($AM$1006:BH1006),$AM$1006:$BM$1006,0))&gt;=100000), " ",IF(INDEX($AM$2:$BM$1001,MATCH(ROWS($AF$2:AF819),$AF$2:$AF$1001,0),MATCH(COLUMNS($AM$1006:BH1006),$AM$1006:$BM$1006,0)), HYPERLINK("#",""), HYPERLINK(CONCATENATE("#metadata!", ADDRESS(INDEX($AH$2:$AH$1001,MATCH(ROWS($AF$2:AF819),$AF$2:$AF$1001,0),0), INDEX($AM$1004:$BM$1004,1,MATCH(COLUMNS($AM$1006:BH1006),$AM$1006:$BM$1006,0)))),"Fix")))</f>
        <v xml:space="preserve"> </v>
      </c>
      <c r="X819" s="4" t="str">
        <f ca="1">IF(OR(INDEX($AG$2:$AG$1001,MATCH(ROWS($AF$2:AF819),$AF$2:$AF$1001,0),1)&gt;=100000,INDEX($AM$1005:$BM$1005,1,MATCH(COLUMNS($AM$1006:BI1006),$AM$1006:$BM$1006,0))&gt;=100000), " ",IF(INDEX($AM$2:$BM$1001,MATCH(ROWS($AF$2:AF819),$AF$2:$AF$1001,0),MATCH(COLUMNS($AM$1006:BI1006),$AM$1006:$BM$1006,0)), HYPERLINK("#",""), HYPERLINK(CONCATENATE("#metadata!", ADDRESS(INDEX($AH$2:$AH$1001,MATCH(ROWS($AF$2:AF819),$AF$2:$AF$1001,0),0), INDEX($AM$1004:$BM$1004,1,MATCH(COLUMNS($AM$1006:BI1006),$AM$1006:$BM$1006,0)))),"Fix")))</f>
        <v xml:space="preserve"> </v>
      </c>
      <c r="Y819" s="4" t="str">
        <f ca="1">IF(OR(INDEX($AG$2:$AG$1001,MATCH(ROWS($AF$2:AF819),$AF$2:$AF$1001,0),1)&gt;=100000,INDEX($AM$1005:$BM$1005,1,MATCH(COLUMNS($AM$1006:BJ1006),$AM$1006:$BM$1006,0))&gt;=100000), " ",IF(INDEX($AM$2:$BM$1001,MATCH(ROWS($AF$2:AF819),$AF$2:$AF$1001,0),MATCH(COLUMNS($AM$1006:BJ1006),$AM$1006:$BM$1006,0)), HYPERLINK("#",""), HYPERLINK(CONCATENATE("#metadata!", ADDRESS(INDEX($AH$2:$AH$1001,MATCH(ROWS($AF$2:AF819),$AF$2:$AF$1001,0),0), INDEX($AM$1004:$BM$1004,1,MATCH(COLUMNS($AM$1006:BJ1006),$AM$1006:$BM$1006,0)))),"Fix")))</f>
        <v xml:space="preserve"> </v>
      </c>
      <c r="Z819" s="4" t="str">
        <f ca="1">IF(OR(INDEX($AG$2:$AG$1001,MATCH(ROWS($AF$2:AF819),$AF$2:$AF$1001,0),1)&gt;=100000,INDEX($AM$1005:$BM$1005,1,MATCH(COLUMNS($AM$1006:BK1006),$AM$1006:$BM$1006,0))&gt;=100000), " ",IF(INDEX($AM$2:$BM$1001,MATCH(ROWS($AF$2:AF819),$AF$2:$AF$1001,0),MATCH(COLUMNS($AM$1006:BK1006),$AM$1006:$BM$1006,0)), HYPERLINK("#",""), HYPERLINK(CONCATENATE("#metadata!", ADDRESS(INDEX($AH$2:$AH$1001,MATCH(ROWS($AF$2:AF819),$AF$2:$AF$1001,0),0), INDEX($AM$1004:$BM$1004,1,MATCH(COLUMNS($AM$1006:BK1006),$AM$1006:$BM$1006,0)))),"Fix")))</f>
        <v xml:space="preserve"> </v>
      </c>
      <c r="AA819" s="4" t="str">
        <f ca="1">IF(OR(INDEX($AG$2:$AG$1001,MATCH(ROWS($AF$2:AF819),$AF$2:$AF$1001,0),1)&gt;=100000,INDEX($AM$1005:$BM$1005,1,MATCH(COLUMNS($AM$1006:BL1006),$AM$1006:$BM$1006,0))&gt;=100000), " ",IF(INDEX($AM$2:$BM$1001,MATCH(ROWS($AF$2:AF819),$AF$2:$AF$1001,0),MATCH(COLUMNS($AM$1006:BL1006),$AM$1006:$BM$1006,0)), HYPERLINK("#",""), HYPERLINK(CONCATENATE("#metadata!", ADDRESS(INDEX($AH$2:$AH$1001,MATCH(ROWS($AF$2:AF819),$AF$2:$AF$1001,0),0), INDEX($AM$1004:$BM$1004,1,MATCH(COLUMNS($AM$1006:BL1006),$AM$1006:$BM$1006,0)))),"Fix")))</f>
        <v xml:space="preserve"> </v>
      </c>
      <c r="AB819" s="4" t="str">
        <f ca="1">IF(OR(INDEX($AG$2:$AG$1001,MATCH(ROWS($AF$2:AF819),$AF$2:$AF$1001,0),1)&gt;=100000,INDEX($AM$1005:$BM$1005,1,MATCH(COLUMNS($AM$1006:BM1006),$AM$1006:$BM$1006,0))&gt;=100000), " ",IF(INDEX($AM$2:$BM$1001,MATCH(ROWS($AF$2:AF819),$AF$2:$AF$1001,0),MATCH(COLUMNS($AM$1006:BM1006),$AM$1006:$BM$1006,0)), HYPERLINK("#",""), HYPERLINK(CONCATENATE("#metadata!", ADDRESS(INDEX($AH$2:$AH$1001,MATCH(ROWS($AF$2:AF819),$AF$2:$AF$1001,0),0), INDEX($AM$1004:$BM$1004,1,MATCH(COLUMNS($AM$1006:BM1006),$AM$1006:$BM$1006,0)))),"Fix")))</f>
        <v xml:space="preserve"> </v>
      </c>
      <c r="AF819">
        <v>818</v>
      </c>
      <c r="AG819">
        <v>100819</v>
      </c>
      <c r="AH819">
        <v>819</v>
      </c>
      <c r="AI819" t="b">
        <f t="shared" si="12"/>
        <v>1</v>
      </c>
      <c r="AJ819" t="b">
        <f>COUNTBLANK(metadata!B819:AB819)=COLUMNS(metadata!B819:AB819)</f>
        <v>1</v>
      </c>
      <c r="AK819" t="str">
        <v/>
      </c>
      <c r="AM819" t="b">
        <f ca="1">AND(IF(metadata!B819="",FALSE,TRUE),COUNTIF(metadata!B:B, metadata!B819) = 1,NOT(ISERROR(SUMPRODUCT(SEARCH(MID(metadata!B819,ROW(INDIRECT("1:"&amp;LEN(metadata!B819))), 1),"0123456789abcdefghijklmnopqrstuvwxyzABCDEFGHIJKLMNOPQRSTUVWXYZ.")))))</f>
        <v>0</v>
      </c>
      <c r="AN819" t="b">
        <f ca="1">OR(AND(IF(metadata!C819="",FALSE,TRUE),OR(EXACT(metadata!C819,"missing: not collected"),EXACT(metadata!C819,"missing: not provided"),EXACT(metadata!C819,"missing: restricted access"))),AND(IF(metadata!C819="",FALSE,TRUE),AND(AND(IFERROR(INT(LEFT(metadata!C819,4))&gt;1900,FALSE),IFERROR(INT(LEFT(metadata!C819,4))&lt;=YEAR(NOW()),FALSE)), OR(MID(metadata!C819,5,1)="", AND(AND(MID(metadata!C819,5,1)="-",IFERROR(INT(MID(metadata!C819,6,1))&gt;=0,FALSE),IFERROR(INT(MID(metadata!C819,6,1))&lt;=1,FALSE),NOT(MID(metadata!C819,7,1)=""),IFERROR(INT(MID(metadata!C819,6,2))&gt;=1,FALSE),IFERROR(INT(MID(metadata!C819,6,2))&lt;=12,FALSE)), OR(MID(metadata!C819,8,1)="", AND(AND(MID(metadata!C819,8,1)="-",IFERROR(INT(MID(metadata!C819,9,1))&gt;=0,FALSE),IFERROR(INT(MID(metadata!C819,9,1))&lt;=3,FALSE),NOT(MID(metadata!C819,10,1)=""),IFERROR(INT(MID(metadata!C819,9,2))&gt;=1,FALSE),IFERROR(INT(MID(metadata!C819,9,2))&lt;=31,FALSE)), OR(MID(metadata!C819,11,1)="", AND(AND(MID(metadata!C819,11,1)=" ",IFERROR(INT(MID(metadata!C819,12,1))&gt;=0,FALSE),IFERROR(INT(MID(metadata!C819,12,1))&lt;=2,FALSE),NOT(MID(metadata!C819,13,1)=""),IFERROR(INT(MID(metadata!C819,12,2))&gt;=0,FALSE),IFERROR(INT(MID(metadata!C819,12,2))&lt;=23,FALSE)), OR(MID(metadata!C819,14,1)="", AND(AND(MID(metadata!C819,14,1)=":",IFERROR(INT(MID(metadata!C819,15,1))&gt;=0,FALSE),IFERROR(INT(MID(metadata!C819,15,1))&lt;=5,FALSE),NOT(MID(metadata!C819,16,1)=""),IFERROR(INT(MID(metadata!C819,15,2))&gt;=0,FALSE),IFERROR(INT(MID(metadata!C819,15,2))&lt;=59,FALSE)), OR(MID(metadata!C819,17,1)="", AND(AND(MID(metadata!C819,17,1)=":",IFERROR(INT(MID(metadata!C819,18,1))&gt;=0,FALSE),IFERROR(INT(MID(metadata!C819,18,1))&lt;=5,FALSE),NOT(MID(metadata!C819,19,1)=""),IFERROR(INT(MID(metadata!C819,18,2))&gt;=0,FALSE),IFERROR(INT(MID(metadata!C819,18,2))&lt;=59,FALSE)), LEN(metadata!C819)&lt;=19)))))))))))))</f>
        <v>0</v>
      </c>
      <c r="AO819" t="b">
        <f>AND(IF(metadata!D819="",FALSE,TRUE),EXACT(metadata!D819,"Not applicable"))</f>
        <v>0</v>
      </c>
      <c r="AP819" t="b">
        <f>IF(metadata!E819="",FALSE,TRUE)</f>
        <v>0</v>
      </c>
      <c r="AQ819" t="b">
        <f>OR(AND(IF(metadata!F819="",FALSE,TRUE),OR(EXACT(metadata!F819,"missing: not collected"),EXACT(metadata!F819,"missing: not provided"))),AND(IF(metadata!F819="",FALSE,TRUE),OR(EXACT(metadata!F819,"TRUE"),EXACT(metadata!F819,"FALSE"))))</f>
        <v>0</v>
      </c>
      <c r="AR819" t="b">
        <f>OR(AND(IF(metadata!G819="",FALSE,TRUE),OR(EXACT(metadata!G819,"missing: not collected"),EXACT(metadata!G819,"missing: not provided"),EXACT(metadata!G819,"missing: restricted access"))),AND(IF(metadata!G819="",FALSE,ISNUMBER(VALUE(metadata!G819))),metadata!G819&gt;=-413))</f>
        <v>0</v>
      </c>
      <c r="AS819" t="b">
        <f>AND(IF(metadata!H819="",FALSE,TRUE),EXACT(metadata!H819,"meters"))</f>
        <v>0</v>
      </c>
      <c r="AT819" t="b">
        <f>AND(IF(metadata!I819="",FALSE,TRUE),OR(EXACT(metadata!I819,"Host-associated"),EXACT(metadata!I819,"Free-living")))</f>
        <v>0</v>
      </c>
      <c r="AU819" t="b">
        <f>AND(IF(metadata!J819="",FALSE,TRUE),OR(EXACT(metadata!J819,"Animal"),EXACT(metadata!J819,"Fungus"),EXACT(metadata!J819,"Plant"),EXACT(metadata!J819,"Saline"),EXACT(metadata!J819,"Non-saline")))</f>
        <v>0</v>
      </c>
      <c r="AV819" t="b">
        <f>AND(IF(metadata!K819="",FALSE,TRUE),OR(EXACT(metadata!K819,"Plant secretion"),EXACT(metadata!K819,"Plant rhizosphere"),EXACT(metadata!K819,"Plant surface"),EXACT(metadata!K819,"Plant corpus"),EXACT(metadata!K819,"Fungus surface"),EXACT(metadata!K819,"Fungus corpus"),EXACT(metadata!K819,"Animal surface"),EXACT(metadata!K819,"Animal proximal gut"),EXACT(metadata!K819,"Animal corpus"),EXACT(metadata!K819,"Animal distal gut"),EXACT(metadata!K819,"Animal secretion"),EXACT(metadata!K819,"Sub-surface (non-saline)"),EXACT(metadata!K819,"Surface (non-saline)"),EXACT(metadata!K819,"Water (non-saline)"),EXACT(metadata!K819,"Soil (non-saline)"),EXACT(metadata!K819,"Aerosol (non-saline)"),EXACT(metadata!K819,"Sediment (non-saline)"),EXACT(metadata!K819,"Surface (saline)"),EXACT(metadata!K819,"Water (saline)"),EXACT(metadata!K819,"Hypersaline (saline)"),EXACT(metadata!K819,"Aerosol (saline)"),EXACT(metadata!K819,"Sediment (saline)")))</f>
        <v>0</v>
      </c>
      <c r="AW819" t="b">
        <f>IF(metadata!L819="",FALSE,TRUE)</f>
        <v>0</v>
      </c>
      <c r="AX819" t="b">
        <f>IF(metadata!M819="",FALSE,TRUE)</f>
        <v>0</v>
      </c>
      <c r="AY819" t="b">
        <f>IF(metadata!N819="",FALSE,TRUE)</f>
        <v>0</v>
      </c>
      <c r="AZ819" t="b">
        <f>OR(AND(IF(metadata!O819="",FALSE,TRUE),OR(EXACT(metadata!O819,"missing: not collected"),EXACT(metadata!O819,"missing: not provided"),EXACT(metadata!O819,"missing: restricted access"))),AND(IF(metadata!O819="",FALSE,TRUE),OR(EXACT(metadata!O819,"air"),EXACT(metadata!O819,"built environment"),EXACT(metadata!O819,"host-associated"),EXACT(metadata!O819,"human-associated"),EXACT(metadata!O819,"human-skin"),EXACT(metadata!O819,"human-oral"),EXACT(metadata!O819,"human-gut"),EXACT(metadata!O819,"human-vaginal"),EXACT(metadata!O819,"microbial mat/biofilm"),EXACT(metadata!O819,"misc environment"),EXACT(metadata!O819,"plant-associated"),EXACT(metadata!O819,"sediment"),EXACT(metadata!O819,"soil"),EXACT(metadata!O819,"wastewater/sludge"),EXACT(metadata!O819,"water"))))</f>
        <v>0</v>
      </c>
      <c r="BA819" t="b">
        <f>IF(metadata!P819="",FALSE,TRUE)</f>
        <v>0</v>
      </c>
      <c r="BB819" t="b">
        <f>IF(metadata!Q819="",FALSE,TRUE)</f>
        <v>0</v>
      </c>
      <c r="BC819" t="b">
        <f>OR(AND(IF(metadata!R819="",FALSE,TRUE),OR(EXACT(metadata!R819,"missing: not collected"),EXACT(metadata!R819,"missing: not provided"),EXACT(metadata!R819,"missing: restricted access"))),AND(IF(metadata!R819="",FALSE,ISNUMBER(VALUE(metadata!R819))),metadata!R819&gt;=-90,metadata!R819&lt;=90))</f>
        <v>0</v>
      </c>
      <c r="BD819" t="b">
        <f>AND(IF(metadata!S819="",FALSE,TRUE),EXACT(metadata!S819,"Decimal degrees"))</f>
        <v>0</v>
      </c>
      <c r="BE819" t="b">
        <f>OR(AND(IF(metadata!T819="",FALSE,TRUE),OR(EXACT(metadata!T819,"missing: not collected"),EXACT(metadata!T819,"missing: not provided"),EXACT(metadata!T819,"missing: restricted access"))),AND(IF(metadata!T819="",FALSE,ISNUMBER(VALUE(metadata!T819))),metadata!T819&gt;=-180,metadata!T819&lt;=180))</f>
        <v>0</v>
      </c>
      <c r="BF819" t="b">
        <f>AND(IF(metadata!U819="",FALSE,TRUE),EXACT(metadata!U819,"Decimal degrees"))</f>
        <v>0</v>
      </c>
      <c r="BG819" t="b">
        <f>IF(metadata!V819="",FALSE,TRUE)</f>
        <v>0</v>
      </c>
      <c r="BH819" t="b">
        <f>OR(AND(IF(metadata!W819="",FALSE,TRUE),OR(EXACT(metadata!W819,"missing: not collected"),EXACT(metadata!W819,"missing: not provided"),EXACT(metadata!W819,"missing: restricted access"))),AND(IF(metadata!W819="",FALSE,TRUE),OR(EXACT(metadata!W819,"TRUE"),EXACT(metadata!W819,"FALSE"))))</f>
        <v>0</v>
      </c>
      <c r="BI819" t="b">
        <f>AND(IF(metadata!X819="",FALSE,TRUE),EXACT(metadata!X819,"other"))</f>
        <v>0</v>
      </c>
      <c r="BJ819" t="b">
        <f>IF(metadata!Y819="",FALSE,TRUE)</f>
        <v>0</v>
      </c>
      <c r="BK819" t="b">
        <f>OR(AND(IF(metadata!Z819="",FALSE,TRUE),OR(EXACT(metadata!Z819,"missing: not collected"),EXACT(metadata!Z819,"missing: not provided"))),AND(IF(metadata!Z819="",FALSE,IF(ISERROR(INT(metadata!Z819)),FALSE,INT(metadata!Z819)=metadata!Z819)),metadata!Z819&gt;0))</f>
        <v>0</v>
      </c>
      <c r="BL819" t="b">
        <f>AND(IF(metadata!AA819="",FALSE,TRUE),EXACT(metadata!AA819,"Not applicable"))</f>
        <v>0</v>
      </c>
      <c r="BM819" t="b">
        <f>IF(metadata!AB819="",FALSE,TRUE)</f>
        <v>0</v>
      </c>
    </row>
    <row r="820" spans="1:65" x14ac:dyDescent="0.2">
      <c r="A820" s="5" t="str">
        <f ca="1">IF(B820=" "," ",HYPERLINK(CONCATENATE("#metadata!",ADDRESS(INDEX($AH$2:$AH$1001,MATCH(ROWS($AF$2:AF820),$AF$2:$AF$1001,0),0),1)),INDEX($AK$2:$AK$1001,MATCH(ROWS($AF$2:AF820),$AF$2:$AF$1001,0),0)))</f>
        <v xml:space="preserve"> </v>
      </c>
      <c r="B820" s="4" t="str">
        <f ca="1">IF(OR(INDEX($AG$2:$AG$1001,MATCH(ROWS($AF$2:AF820),$AF$2:$AF$1001,0),1)&gt;=100000,INDEX($AM$1005:$BM$1005,1,MATCH(COLUMNS($AM$1006:AM1006),$AM$1006:$BM$1006,0))&gt;=100000), " ",IF(INDEX($AM$2:$BM$1001,MATCH(ROWS($AF$2:AF820),$AF$2:$AF$1001,0),MATCH(COLUMNS($AM$1006:AM1006),$AM$1006:$BM$1006,0)), HYPERLINK("#",""), HYPERLINK(CONCATENATE("#metadata!", ADDRESS(INDEX($AH$2:$AH$1001,MATCH(ROWS($AF$2:AF820),$AF$2:$AF$1001,0),0), INDEX($AM$1004:$BM$1004,1,MATCH(COLUMNS($AM$1006:AM1006),$AM$1006:$BM$1006,0)))),"Fix")))</f>
        <v xml:space="preserve"> </v>
      </c>
      <c r="C820" s="4" t="str">
        <f ca="1">IF(OR(INDEX($AG$2:$AG$1001,MATCH(ROWS($AF$2:AF820),$AF$2:$AF$1001,0),1)&gt;=100000,INDEX($AM$1005:$BM$1005,1,MATCH(COLUMNS($AM$1006:AN1006),$AM$1006:$BM$1006,0))&gt;=100000), " ",IF(INDEX($AM$2:$BM$1001,MATCH(ROWS($AF$2:AF820),$AF$2:$AF$1001,0),MATCH(COLUMNS($AM$1006:AN1006),$AM$1006:$BM$1006,0)), HYPERLINK("#",""), HYPERLINK(CONCATENATE("#metadata!", ADDRESS(INDEX($AH$2:$AH$1001,MATCH(ROWS($AF$2:AF820),$AF$2:$AF$1001,0),0), INDEX($AM$1004:$BM$1004,1,MATCH(COLUMNS($AM$1006:AN1006),$AM$1006:$BM$1006,0)))),"Fix")))</f>
        <v xml:space="preserve"> </v>
      </c>
      <c r="D820" s="4" t="str">
        <f ca="1">IF(OR(INDEX($AG$2:$AG$1001,MATCH(ROWS($AF$2:AF820),$AF$2:$AF$1001,0),1)&gt;=100000,INDEX($AM$1005:$BM$1005,1,MATCH(COLUMNS($AM$1006:AO1006),$AM$1006:$BM$1006,0))&gt;=100000), " ",IF(INDEX($AM$2:$BM$1001,MATCH(ROWS($AF$2:AF820),$AF$2:$AF$1001,0),MATCH(COLUMNS($AM$1006:AO1006),$AM$1006:$BM$1006,0)), HYPERLINK("#",""), HYPERLINK(CONCATENATE("#metadata!", ADDRESS(INDEX($AH$2:$AH$1001,MATCH(ROWS($AF$2:AF820),$AF$2:$AF$1001,0),0), INDEX($AM$1004:$BM$1004,1,MATCH(COLUMNS($AM$1006:AO1006),$AM$1006:$BM$1006,0)))),"Fix")))</f>
        <v xml:space="preserve"> </v>
      </c>
      <c r="E820" s="4" t="str">
        <f ca="1">IF(OR(INDEX($AG$2:$AG$1001,MATCH(ROWS($AF$2:AF820),$AF$2:$AF$1001,0),1)&gt;=100000,INDEX($AM$1005:$BM$1005,1,MATCH(COLUMNS($AM$1006:AP1006),$AM$1006:$BM$1006,0))&gt;=100000), " ",IF(INDEX($AM$2:$BM$1001,MATCH(ROWS($AF$2:AF820),$AF$2:$AF$1001,0),MATCH(COLUMNS($AM$1006:AP1006),$AM$1006:$BM$1006,0)), HYPERLINK("#",""), HYPERLINK(CONCATENATE("#metadata!", ADDRESS(INDEX($AH$2:$AH$1001,MATCH(ROWS($AF$2:AF820),$AF$2:$AF$1001,0),0), INDEX($AM$1004:$BM$1004,1,MATCH(COLUMNS($AM$1006:AP1006),$AM$1006:$BM$1006,0)))),"Fix")))</f>
        <v xml:space="preserve"> </v>
      </c>
      <c r="F820" s="4" t="str">
        <f ca="1">IF(OR(INDEX($AG$2:$AG$1001,MATCH(ROWS($AF$2:AF820),$AF$2:$AF$1001,0),1)&gt;=100000,INDEX($AM$1005:$BM$1005,1,MATCH(COLUMNS($AM$1006:AQ1006),$AM$1006:$BM$1006,0))&gt;=100000), " ",IF(INDEX($AM$2:$BM$1001,MATCH(ROWS($AF$2:AF820),$AF$2:$AF$1001,0),MATCH(COLUMNS($AM$1006:AQ1006),$AM$1006:$BM$1006,0)), HYPERLINK("#",""), HYPERLINK(CONCATENATE("#metadata!", ADDRESS(INDEX($AH$2:$AH$1001,MATCH(ROWS($AF$2:AF820),$AF$2:$AF$1001,0),0), INDEX($AM$1004:$BM$1004,1,MATCH(COLUMNS($AM$1006:AQ1006),$AM$1006:$BM$1006,0)))),"Fix")))</f>
        <v xml:space="preserve"> </v>
      </c>
      <c r="G820" s="4" t="str">
        <f ca="1">IF(OR(INDEX($AG$2:$AG$1001,MATCH(ROWS($AF$2:AF820),$AF$2:$AF$1001,0),1)&gt;=100000,INDEX($AM$1005:$BM$1005,1,MATCH(COLUMNS($AM$1006:AR1006),$AM$1006:$BM$1006,0))&gt;=100000), " ",IF(INDEX($AM$2:$BM$1001,MATCH(ROWS($AF$2:AF820),$AF$2:$AF$1001,0),MATCH(COLUMNS($AM$1006:AR1006),$AM$1006:$BM$1006,0)), HYPERLINK("#",""), HYPERLINK(CONCATENATE("#metadata!", ADDRESS(INDEX($AH$2:$AH$1001,MATCH(ROWS($AF$2:AF820),$AF$2:$AF$1001,0),0), INDEX($AM$1004:$BM$1004,1,MATCH(COLUMNS($AM$1006:AR1006),$AM$1006:$BM$1006,0)))),"Fix")))</f>
        <v xml:space="preserve"> </v>
      </c>
      <c r="H820" s="4" t="str">
        <f ca="1">IF(OR(INDEX($AG$2:$AG$1001,MATCH(ROWS($AF$2:AF820),$AF$2:$AF$1001,0),1)&gt;=100000,INDEX($AM$1005:$BM$1005,1,MATCH(COLUMNS($AM$1006:AS1006),$AM$1006:$BM$1006,0))&gt;=100000), " ",IF(INDEX($AM$2:$BM$1001,MATCH(ROWS($AF$2:AF820),$AF$2:$AF$1001,0),MATCH(COLUMNS($AM$1006:AS1006),$AM$1006:$BM$1006,0)), HYPERLINK("#",""), HYPERLINK(CONCATENATE("#metadata!", ADDRESS(INDEX($AH$2:$AH$1001,MATCH(ROWS($AF$2:AF820),$AF$2:$AF$1001,0),0), INDEX($AM$1004:$BM$1004,1,MATCH(COLUMNS($AM$1006:AS1006),$AM$1006:$BM$1006,0)))),"Fix")))</f>
        <v xml:space="preserve"> </v>
      </c>
      <c r="I820" s="4" t="str">
        <f ca="1">IF(OR(INDEX($AG$2:$AG$1001,MATCH(ROWS($AF$2:AF820),$AF$2:$AF$1001,0),1)&gt;=100000,INDEX($AM$1005:$BM$1005,1,MATCH(COLUMNS($AM$1006:AT1006),$AM$1006:$BM$1006,0))&gt;=100000), " ",IF(INDEX($AM$2:$BM$1001,MATCH(ROWS($AF$2:AF820),$AF$2:$AF$1001,0),MATCH(COLUMNS($AM$1006:AT1006),$AM$1006:$BM$1006,0)), HYPERLINK("#",""), HYPERLINK(CONCATENATE("#metadata!", ADDRESS(INDEX($AH$2:$AH$1001,MATCH(ROWS($AF$2:AF820),$AF$2:$AF$1001,0),0), INDEX($AM$1004:$BM$1004,1,MATCH(COLUMNS($AM$1006:AT1006),$AM$1006:$BM$1006,0)))),"Fix")))</f>
        <v xml:space="preserve"> </v>
      </c>
      <c r="J820" s="4" t="str">
        <f ca="1">IF(OR(INDEX($AG$2:$AG$1001,MATCH(ROWS($AF$2:AF820),$AF$2:$AF$1001,0),1)&gt;=100000,INDEX($AM$1005:$BM$1005,1,MATCH(COLUMNS($AM$1006:AU1006),$AM$1006:$BM$1006,0))&gt;=100000), " ",IF(INDEX($AM$2:$BM$1001,MATCH(ROWS($AF$2:AF820),$AF$2:$AF$1001,0),MATCH(COLUMNS($AM$1006:AU1006),$AM$1006:$BM$1006,0)), HYPERLINK("#",""), HYPERLINK(CONCATENATE("#metadata!", ADDRESS(INDEX($AH$2:$AH$1001,MATCH(ROWS($AF$2:AF820),$AF$2:$AF$1001,0),0), INDEX($AM$1004:$BM$1004,1,MATCH(COLUMNS($AM$1006:AU1006),$AM$1006:$BM$1006,0)))),"Fix")))</f>
        <v xml:space="preserve"> </v>
      </c>
      <c r="K820" s="4" t="str">
        <f ca="1">IF(OR(INDEX($AG$2:$AG$1001,MATCH(ROWS($AF$2:AF820),$AF$2:$AF$1001,0),1)&gt;=100000,INDEX($AM$1005:$BM$1005,1,MATCH(COLUMNS($AM$1006:AV1006),$AM$1006:$BM$1006,0))&gt;=100000), " ",IF(INDEX($AM$2:$BM$1001,MATCH(ROWS($AF$2:AF820),$AF$2:$AF$1001,0),MATCH(COLUMNS($AM$1006:AV1006),$AM$1006:$BM$1006,0)), HYPERLINK("#",""), HYPERLINK(CONCATENATE("#metadata!", ADDRESS(INDEX($AH$2:$AH$1001,MATCH(ROWS($AF$2:AF820),$AF$2:$AF$1001,0),0), INDEX($AM$1004:$BM$1004,1,MATCH(COLUMNS($AM$1006:AV1006),$AM$1006:$BM$1006,0)))),"Fix")))</f>
        <v xml:space="preserve"> </v>
      </c>
      <c r="L820" s="4" t="str">
        <f ca="1">IF(OR(INDEX($AG$2:$AG$1001,MATCH(ROWS($AF$2:AF820),$AF$2:$AF$1001,0),1)&gt;=100000,INDEX($AM$1005:$BM$1005,1,MATCH(COLUMNS($AM$1006:AW1006),$AM$1006:$BM$1006,0))&gt;=100000), " ",IF(INDEX($AM$2:$BM$1001,MATCH(ROWS($AF$2:AF820),$AF$2:$AF$1001,0),MATCH(COLUMNS($AM$1006:AW1006),$AM$1006:$BM$1006,0)), HYPERLINK("#",""), HYPERLINK(CONCATENATE("#metadata!", ADDRESS(INDEX($AH$2:$AH$1001,MATCH(ROWS($AF$2:AF820),$AF$2:$AF$1001,0),0), INDEX($AM$1004:$BM$1004,1,MATCH(COLUMNS($AM$1006:AW1006),$AM$1006:$BM$1006,0)))),"Fix")))</f>
        <v xml:space="preserve"> </v>
      </c>
      <c r="M820" s="4" t="str">
        <f ca="1">IF(OR(INDEX($AG$2:$AG$1001,MATCH(ROWS($AF$2:AF820),$AF$2:$AF$1001,0),1)&gt;=100000,INDEX($AM$1005:$BM$1005,1,MATCH(COLUMNS($AM$1006:AX1006),$AM$1006:$BM$1006,0))&gt;=100000), " ",IF(INDEX($AM$2:$BM$1001,MATCH(ROWS($AF$2:AF820),$AF$2:$AF$1001,0),MATCH(COLUMNS($AM$1006:AX1006),$AM$1006:$BM$1006,0)), HYPERLINK("#",""), HYPERLINK(CONCATENATE("#metadata!", ADDRESS(INDEX($AH$2:$AH$1001,MATCH(ROWS($AF$2:AF820),$AF$2:$AF$1001,0),0), INDEX($AM$1004:$BM$1004,1,MATCH(COLUMNS($AM$1006:AX1006),$AM$1006:$BM$1006,0)))),"Fix")))</f>
        <v xml:space="preserve"> </v>
      </c>
      <c r="N820" s="4" t="str">
        <f ca="1">IF(OR(INDEX($AG$2:$AG$1001,MATCH(ROWS($AF$2:AF820),$AF$2:$AF$1001,0),1)&gt;=100000,INDEX($AM$1005:$BM$1005,1,MATCH(COLUMNS($AM$1006:AY1006),$AM$1006:$BM$1006,0))&gt;=100000), " ",IF(INDEX($AM$2:$BM$1001,MATCH(ROWS($AF$2:AF820),$AF$2:$AF$1001,0),MATCH(COLUMNS($AM$1006:AY1006),$AM$1006:$BM$1006,0)), HYPERLINK("#",""), HYPERLINK(CONCATENATE("#metadata!", ADDRESS(INDEX($AH$2:$AH$1001,MATCH(ROWS($AF$2:AF820),$AF$2:$AF$1001,0),0), INDEX($AM$1004:$BM$1004,1,MATCH(COLUMNS($AM$1006:AY1006),$AM$1006:$BM$1006,0)))),"Fix")))</f>
        <v xml:space="preserve"> </v>
      </c>
      <c r="O820" s="4" t="str">
        <f ca="1">IF(OR(INDEX($AG$2:$AG$1001,MATCH(ROWS($AF$2:AF820),$AF$2:$AF$1001,0),1)&gt;=100000,INDEX($AM$1005:$BM$1005,1,MATCH(COLUMNS($AM$1006:AZ1006),$AM$1006:$BM$1006,0))&gt;=100000), " ",IF(INDEX($AM$2:$BM$1001,MATCH(ROWS($AF$2:AF820),$AF$2:$AF$1001,0),MATCH(COLUMNS($AM$1006:AZ1006),$AM$1006:$BM$1006,0)), HYPERLINK("#",""), HYPERLINK(CONCATENATE("#metadata!", ADDRESS(INDEX($AH$2:$AH$1001,MATCH(ROWS($AF$2:AF820),$AF$2:$AF$1001,0),0), INDEX($AM$1004:$BM$1004,1,MATCH(COLUMNS($AM$1006:AZ1006),$AM$1006:$BM$1006,0)))),"Fix")))</f>
        <v xml:space="preserve"> </v>
      </c>
      <c r="P820" s="4" t="str">
        <f ca="1">IF(OR(INDEX($AG$2:$AG$1001,MATCH(ROWS($AF$2:AF820),$AF$2:$AF$1001,0),1)&gt;=100000,INDEX($AM$1005:$BM$1005,1,MATCH(COLUMNS($AM$1006:BA1006),$AM$1006:$BM$1006,0))&gt;=100000), " ",IF(INDEX($AM$2:$BM$1001,MATCH(ROWS($AF$2:AF820),$AF$2:$AF$1001,0),MATCH(COLUMNS($AM$1006:BA1006),$AM$1006:$BM$1006,0)), HYPERLINK("#",""), HYPERLINK(CONCATENATE("#metadata!", ADDRESS(INDEX($AH$2:$AH$1001,MATCH(ROWS($AF$2:AF820),$AF$2:$AF$1001,0),0), INDEX($AM$1004:$BM$1004,1,MATCH(COLUMNS($AM$1006:BA1006),$AM$1006:$BM$1006,0)))),"Fix")))</f>
        <v xml:space="preserve"> </v>
      </c>
      <c r="Q820" s="4" t="str">
        <f ca="1">IF(OR(INDEX($AG$2:$AG$1001,MATCH(ROWS($AF$2:AF820),$AF$2:$AF$1001,0),1)&gt;=100000,INDEX($AM$1005:$BM$1005,1,MATCH(COLUMNS($AM$1006:BB1006),$AM$1006:$BM$1006,0))&gt;=100000), " ",IF(INDEX($AM$2:$BM$1001,MATCH(ROWS($AF$2:AF820),$AF$2:$AF$1001,0),MATCH(COLUMNS($AM$1006:BB1006),$AM$1006:$BM$1006,0)), HYPERLINK("#",""), HYPERLINK(CONCATENATE("#metadata!", ADDRESS(INDEX($AH$2:$AH$1001,MATCH(ROWS($AF$2:AF820),$AF$2:$AF$1001,0),0), INDEX($AM$1004:$BM$1004,1,MATCH(COLUMNS($AM$1006:BB1006),$AM$1006:$BM$1006,0)))),"Fix")))</f>
        <v xml:space="preserve"> </v>
      </c>
      <c r="R820" s="4" t="str">
        <f ca="1">IF(OR(INDEX($AG$2:$AG$1001,MATCH(ROWS($AF$2:AF820),$AF$2:$AF$1001,0),1)&gt;=100000,INDEX($AM$1005:$BM$1005,1,MATCH(COLUMNS($AM$1006:BC1006),$AM$1006:$BM$1006,0))&gt;=100000), " ",IF(INDEX($AM$2:$BM$1001,MATCH(ROWS($AF$2:AF820),$AF$2:$AF$1001,0),MATCH(COLUMNS($AM$1006:BC1006),$AM$1006:$BM$1006,0)), HYPERLINK("#",""), HYPERLINK(CONCATENATE("#metadata!", ADDRESS(INDEX($AH$2:$AH$1001,MATCH(ROWS($AF$2:AF820),$AF$2:$AF$1001,0),0), INDEX($AM$1004:$BM$1004,1,MATCH(COLUMNS($AM$1006:BC1006),$AM$1006:$BM$1006,0)))),"Fix")))</f>
        <v xml:space="preserve"> </v>
      </c>
      <c r="S820" s="4" t="str">
        <f ca="1">IF(OR(INDEX($AG$2:$AG$1001,MATCH(ROWS($AF$2:AF820),$AF$2:$AF$1001,0),1)&gt;=100000,INDEX($AM$1005:$BM$1005,1,MATCH(COLUMNS($AM$1006:BD1006),$AM$1006:$BM$1006,0))&gt;=100000), " ",IF(INDEX($AM$2:$BM$1001,MATCH(ROWS($AF$2:AF820),$AF$2:$AF$1001,0),MATCH(COLUMNS($AM$1006:BD1006),$AM$1006:$BM$1006,0)), HYPERLINK("#",""), HYPERLINK(CONCATENATE("#metadata!", ADDRESS(INDEX($AH$2:$AH$1001,MATCH(ROWS($AF$2:AF820),$AF$2:$AF$1001,0),0), INDEX($AM$1004:$BM$1004,1,MATCH(COLUMNS($AM$1006:BD1006),$AM$1006:$BM$1006,0)))),"Fix")))</f>
        <v xml:space="preserve"> </v>
      </c>
      <c r="T820" s="4" t="str">
        <f ca="1">IF(OR(INDEX($AG$2:$AG$1001,MATCH(ROWS($AF$2:AF820),$AF$2:$AF$1001,0),1)&gt;=100000,INDEX($AM$1005:$BM$1005,1,MATCH(COLUMNS($AM$1006:BE1006),$AM$1006:$BM$1006,0))&gt;=100000), " ",IF(INDEX($AM$2:$BM$1001,MATCH(ROWS($AF$2:AF820),$AF$2:$AF$1001,0),MATCH(COLUMNS($AM$1006:BE1006),$AM$1006:$BM$1006,0)), HYPERLINK("#",""), HYPERLINK(CONCATENATE("#metadata!", ADDRESS(INDEX($AH$2:$AH$1001,MATCH(ROWS($AF$2:AF820),$AF$2:$AF$1001,0),0), INDEX($AM$1004:$BM$1004,1,MATCH(COLUMNS($AM$1006:BE1006),$AM$1006:$BM$1006,0)))),"Fix")))</f>
        <v xml:space="preserve"> </v>
      </c>
      <c r="U820" s="4" t="str">
        <f ca="1">IF(OR(INDEX($AG$2:$AG$1001,MATCH(ROWS($AF$2:AF820),$AF$2:$AF$1001,0),1)&gt;=100000,INDEX($AM$1005:$BM$1005,1,MATCH(COLUMNS($AM$1006:BF1006),$AM$1006:$BM$1006,0))&gt;=100000), " ",IF(INDEX($AM$2:$BM$1001,MATCH(ROWS($AF$2:AF820),$AF$2:$AF$1001,0),MATCH(COLUMNS($AM$1006:BF1006),$AM$1006:$BM$1006,0)), HYPERLINK("#",""), HYPERLINK(CONCATENATE("#metadata!", ADDRESS(INDEX($AH$2:$AH$1001,MATCH(ROWS($AF$2:AF820),$AF$2:$AF$1001,0),0), INDEX($AM$1004:$BM$1004,1,MATCH(COLUMNS($AM$1006:BF1006),$AM$1006:$BM$1006,0)))),"Fix")))</f>
        <v xml:space="preserve"> </v>
      </c>
      <c r="V820" s="4" t="str">
        <f ca="1">IF(OR(INDEX($AG$2:$AG$1001,MATCH(ROWS($AF$2:AF820),$AF$2:$AF$1001,0),1)&gt;=100000,INDEX($AM$1005:$BM$1005,1,MATCH(COLUMNS($AM$1006:BG1006),$AM$1006:$BM$1006,0))&gt;=100000), " ",IF(INDEX($AM$2:$BM$1001,MATCH(ROWS($AF$2:AF820),$AF$2:$AF$1001,0),MATCH(COLUMNS($AM$1006:BG1006),$AM$1006:$BM$1006,0)), HYPERLINK("#",""), HYPERLINK(CONCATENATE("#metadata!", ADDRESS(INDEX($AH$2:$AH$1001,MATCH(ROWS($AF$2:AF820),$AF$2:$AF$1001,0),0), INDEX($AM$1004:$BM$1004,1,MATCH(COLUMNS($AM$1006:BG1006),$AM$1006:$BM$1006,0)))),"Fix")))</f>
        <v xml:space="preserve"> </v>
      </c>
      <c r="W820" s="4" t="str">
        <f ca="1">IF(OR(INDEX($AG$2:$AG$1001,MATCH(ROWS($AF$2:AF820),$AF$2:$AF$1001,0),1)&gt;=100000,INDEX($AM$1005:$BM$1005,1,MATCH(COLUMNS($AM$1006:BH1006),$AM$1006:$BM$1006,0))&gt;=100000), " ",IF(INDEX($AM$2:$BM$1001,MATCH(ROWS($AF$2:AF820),$AF$2:$AF$1001,0),MATCH(COLUMNS($AM$1006:BH1006),$AM$1006:$BM$1006,0)), HYPERLINK("#",""), HYPERLINK(CONCATENATE("#metadata!", ADDRESS(INDEX($AH$2:$AH$1001,MATCH(ROWS($AF$2:AF820),$AF$2:$AF$1001,0),0), INDEX($AM$1004:$BM$1004,1,MATCH(COLUMNS($AM$1006:BH1006),$AM$1006:$BM$1006,0)))),"Fix")))</f>
        <v xml:space="preserve"> </v>
      </c>
      <c r="X820" s="4" t="str">
        <f ca="1">IF(OR(INDEX($AG$2:$AG$1001,MATCH(ROWS($AF$2:AF820),$AF$2:$AF$1001,0),1)&gt;=100000,INDEX($AM$1005:$BM$1005,1,MATCH(COLUMNS($AM$1006:BI1006),$AM$1006:$BM$1006,0))&gt;=100000), " ",IF(INDEX($AM$2:$BM$1001,MATCH(ROWS($AF$2:AF820),$AF$2:$AF$1001,0),MATCH(COLUMNS($AM$1006:BI1006),$AM$1006:$BM$1006,0)), HYPERLINK("#",""), HYPERLINK(CONCATENATE("#metadata!", ADDRESS(INDEX($AH$2:$AH$1001,MATCH(ROWS($AF$2:AF820),$AF$2:$AF$1001,0),0), INDEX($AM$1004:$BM$1004,1,MATCH(COLUMNS($AM$1006:BI1006),$AM$1006:$BM$1006,0)))),"Fix")))</f>
        <v xml:space="preserve"> </v>
      </c>
      <c r="Y820" s="4" t="str">
        <f ca="1">IF(OR(INDEX($AG$2:$AG$1001,MATCH(ROWS($AF$2:AF820),$AF$2:$AF$1001,0),1)&gt;=100000,INDEX($AM$1005:$BM$1005,1,MATCH(COLUMNS($AM$1006:BJ1006),$AM$1006:$BM$1006,0))&gt;=100000), " ",IF(INDEX($AM$2:$BM$1001,MATCH(ROWS($AF$2:AF820),$AF$2:$AF$1001,0),MATCH(COLUMNS($AM$1006:BJ1006),$AM$1006:$BM$1006,0)), HYPERLINK("#",""), HYPERLINK(CONCATENATE("#metadata!", ADDRESS(INDEX($AH$2:$AH$1001,MATCH(ROWS($AF$2:AF820),$AF$2:$AF$1001,0),0), INDEX($AM$1004:$BM$1004,1,MATCH(COLUMNS($AM$1006:BJ1006),$AM$1006:$BM$1006,0)))),"Fix")))</f>
        <v xml:space="preserve"> </v>
      </c>
      <c r="Z820" s="4" t="str">
        <f ca="1">IF(OR(INDEX($AG$2:$AG$1001,MATCH(ROWS($AF$2:AF820),$AF$2:$AF$1001,0),1)&gt;=100000,INDEX($AM$1005:$BM$1005,1,MATCH(COLUMNS($AM$1006:BK1006),$AM$1006:$BM$1006,0))&gt;=100000), " ",IF(INDEX($AM$2:$BM$1001,MATCH(ROWS($AF$2:AF820),$AF$2:$AF$1001,0),MATCH(COLUMNS($AM$1006:BK1006),$AM$1006:$BM$1006,0)), HYPERLINK("#",""), HYPERLINK(CONCATENATE("#metadata!", ADDRESS(INDEX($AH$2:$AH$1001,MATCH(ROWS($AF$2:AF820),$AF$2:$AF$1001,0),0), INDEX($AM$1004:$BM$1004,1,MATCH(COLUMNS($AM$1006:BK1006),$AM$1006:$BM$1006,0)))),"Fix")))</f>
        <v xml:space="preserve"> </v>
      </c>
      <c r="AA820" s="4" t="str">
        <f ca="1">IF(OR(INDEX($AG$2:$AG$1001,MATCH(ROWS($AF$2:AF820),$AF$2:$AF$1001,0),1)&gt;=100000,INDEX($AM$1005:$BM$1005,1,MATCH(COLUMNS($AM$1006:BL1006),$AM$1006:$BM$1006,0))&gt;=100000), " ",IF(INDEX($AM$2:$BM$1001,MATCH(ROWS($AF$2:AF820),$AF$2:$AF$1001,0),MATCH(COLUMNS($AM$1006:BL1006),$AM$1006:$BM$1006,0)), HYPERLINK("#",""), HYPERLINK(CONCATENATE("#metadata!", ADDRESS(INDEX($AH$2:$AH$1001,MATCH(ROWS($AF$2:AF820),$AF$2:$AF$1001,0),0), INDEX($AM$1004:$BM$1004,1,MATCH(COLUMNS($AM$1006:BL1006),$AM$1006:$BM$1006,0)))),"Fix")))</f>
        <v xml:space="preserve"> </v>
      </c>
      <c r="AB820" s="4" t="str">
        <f ca="1">IF(OR(INDEX($AG$2:$AG$1001,MATCH(ROWS($AF$2:AF820),$AF$2:$AF$1001,0),1)&gt;=100000,INDEX($AM$1005:$BM$1005,1,MATCH(COLUMNS($AM$1006:BM1006),$AM$1006:$BM$1006,0))&gt;=100000), " ",IF(INDEX($AM$2:$BM$1001,MATCH(ROWS($AF$2:AF820),$AF$2:$AF$1001,0),MATCH(COLUMNS($AM$1006:BM1006),$AM$1006:$BM$1006,0)), HYPERLINK("#",""), HYPERLINK(CONCATENATE("#metadata!", ADDRESS(INDEX($AH$2:$AH$1001,MATCH(ROWS($AF$2:AF820),$AF$2:$AF$1001,0),0), INDEX($AM$1004:$BM$1004,1,MATCH(COLUMNS($AM$1006:BM1006),$AM$1006:$BM$1006,0)))),"Fix")))</f>
        <v xml:space="preserve"> </v>
      </c>
      <c r="AF820">
        <v>819</v>
      </c>
      <c r="AG820">
        <v>100820</v>
      </c>
      <c r="AH820">
        <v>820</v>
      </c>
      <c r="AI820" t="b">
        <f t="shared" si="12"/>
        <v>1</v>
      </c>
      <c r="AJ820" t="b">
        <f>COUNTBLANK(metadata!B820:AB820)=COLUMNS(metadata!B820:AB820)</f>
        <v>1</v>
      </c>
      <c r="AK820" t="str">
        <v/>
      </c>
      <c r="AM820" t="b">
        <f ca="1">AND(IF(metadata!B820="",FALSE,TRUE),COUNTIF(metadata!B:B, metadata!B820) = 1,NOT(ISERROR(SUMPRODUCT(SEARCH(MID(metadata!B820,ROW(INDIRECT("1:"&amp;LEN(metadata!B820))), 1),"0123456789abcdefghijklmnopqrstuvwxyzABCDEFGHIJKLMNOPQRSTUVWXYZ.")))))</f>
        <v>0</v>
      </c>
      <c r="AN820" t="b">
        <f ca="1">OR(AND(IF(metadata!C820="",FALSE,TRUE),OR(EXACT(metadata!C820,"missing: not collected"),EXACT(metadata!C820,"missing: not provided"),EXACT(metadata!C820,"missing: restricted access"))),AND(IF(metadata!C820="",FALSE,TRUE),AND(AND(IFERROR(INT(LEFT(metadata!C820,4))&gt;1900,FALSE),IFERROR(INT(LEFT(metadata!C820,4))&lt;=YEAR(NOW()),FALSE)), OR(MID(metadata!C820,5,1)="", AND(AND(MID(metadata!C820,5,1)="-",IFERROR(INT(MID(metadata!C820,6,1))&gt;=0,FALSE),IFERROR(INT(MID(metadata!C820,6,1))&lt;=1,FALSE),NOT(MID(metadata!C820,7,1)=""),IFERROR(INT(MID(metadata!C820,6,2))&gt;=1,FALSE),IFERROR(INT(MID(metadata!C820,6,2))&lt;=12,FALSE)), OR(MID(metadata!C820,8,1)="", AND(AND(MID(metadata!C820,8,1)="-",IFERROR(INT(MID(metadata!C820,9,1))&gt;=0,FALSE),IFERROR(INT(MID(metadata!C820,9,1))&lt;=3,FALSE),NOT(MID(metadata!C820,10,1)=""),IFERROR(INT(MID(metadata!C820,9,2))&gt;=1,FALSE),IFERROR(INT(MID(metadata!C820,9,2))&lt;=31,FALSE)), OR(MID(metadata!C820,11,1)="", AND(AND(MID(metadata!C820,11,1)=" ",IFERROR(INT(MID(metadata!C820,12,1))&gt;=0,FALSE),IFERROR(INT(MID(metadata!C820,12,1))&lt;=2,FALSE),NOT(MID(metadata!C820,13,1)=""),IFERROR(INT(MID(metadata!C820,12,2))&gt;=0,FALSE),IFERROR(INT(MID(metadata!C820,12,2))&lt;=23,FALSE)), OR(MID(metadata!C820,14,1)="", AND(AND(MID(metadata!C820,14,1)=":",IFERROR(INT(MID(metadata!C820,15,1))&gt;=0,FALSE),IFERROR(INT(MID(metadata!C820,15,1))&lt;=5,FALSE),NOT(MID(metadata!C820,16,1)=""),IFERROR(INT(MID(metadata!C820,15,2))&gt;=0,FALSE),IFERROR(INT(MID(metadata!C820,15,2))&lt;=59,FALSE)), OR(MID(metadata!C820,17,1)="", AND(AND(MID(metadata!C820,17,1)=":",IFERROR(INT(MID(metadata!C820,18,1))&gt;=0,FALSE),IFERROR(INT(MID(metadata!C820,18,1))&lt;=5,FALSE),NOT(MID(metadata!C820,19,1)=""),IFERROR(INT(MID(metadata!C820,18,2))&gt;=0,FALSE),IFERROR(INT(MID(metadata!C820,18,2))&lt;=59,FALSE)), LEN(metadata!C820)&lt;=19)))))))))))))</f>
        <v>0</v>
      </c>
      <c r="AO820" t="b">
        <f>AND(IF(metadata!D820="",FALSE,TRUE),EXACT(metadata!D820,"Not applicable"))</f>
        <v>0</v>
      </c>
      <c r="AP820" t="b">
        <f>IF(metadata!E820="",FALSE,TRUE)</f>
        <v>0</v>
      </c>
      <c r="AQ820" t="b">
        <f>OR(AND(IF(metadata!F820="",FALSE,TRUE),OR(EXACT(metadata!F820,"missing: not collected"),EXACT(metadata!F820,"missing: not provided"))),AND(IF(metadata!F820="",FALSE,TRUE),OR(EXACT(metadata!F820,"TRUE"),EXACT(metadata!F820,"FALSE"))))</f>
        <v>0</v>
      </c>
      <c r="AR820" t="b">
        <f>OR(AND(IF(metadata!G820="",FALSE,TRUE),OR(EXACT(metadata!G820,"missing: not collected"),EXACT(metadata!G820,"missing: not provided"),EXACT(metadata!G820,"missing: restricted access"))),AND(IF(metadata!G820="",FALSE,ISNUMBER(VALUE(metadata!G820))),metadata!G820&gt;=-413))</f>
        <v>0</v>
      </c>
      <c r="AS820" t="b">
        <f>AND(IF(metadata!H820="",FALSE,TRUE),EXACT(metadata!H820,"meters"))</f>
        <v>0</v>
      </c>
      <c r="AT820" t="b">
        <f>AND(IF(metadata!I820="",FALSE,TRUE),OR(EXACT(metadata!I820,"Host-associated"),EXACT(metadata!I820,"Free-living")))</f>
        <v>0</v>
      </c>
      <c r="AU820" t="b">
        <f>AND(IF(metadata!J820="",FALSE,TRUE),OR(EXACT(metadata!J820,"Animal"),EXACT(metadata!J820,"Fungus"),EXACT(metadata!J820,"Plant"),EXACT(metadata!J820,"Saline"),EXACT(metadata!J820,"Non-saline")))</f>
        <v>0</v>
      </c>
      <c r="AV820" t="b">
        <f>AND(IF(metadata!K820="",FALSE,TRUE),OR(EXACT(metadata!K820,"Plant secretion"),EXACT(metadata!K820,"Plant rhizosphere"),EXACT(metadata!K820,"Plant surface"),EXACT(metadata!K820,"Plant corpus"),EXACT(metadata!K820,"Fungus surface"),EXACT(metadata!K820,"Fungus corpus"),EXACT(metadata!K820,"Animal surface"),EXACT(metadata!K820,"Animal proximal gut"),EXACT(metadata!K820,"Animal corpus"),EXACT(metadata!K820,"Animal distal gut"),EXACT(metadata!K820,"Animal secretion"),EXACT(metadata!K820,"Sub-surface (non-saline)"),EXACT(metadata!K820,"Surface (non-saline)"),EXACT(metadata!K820,"Water (non-saline)"),EXACT(metadata!K820,"Soil (non-saline)"),EXACT(metadata!K820,"Aerosol (non-saline)"),EXACT(metadata!K820,"Sediment (non-saline)"),EXACT(metadata!K820,"Surface (saline)"),EXACT(metadata!K820,"Water (saline)"),EXACT(metadata!K820,"Hypersaline (saline)"),EXACT(metadata!K820,"Aerosol (saline)"),EXACT(metadata!K820,"Sediment (saline)")))</f>
        <v>0</v>
      </c>
      <c r="AW820" t="b">
        <f>IF(metadata!L820="",FALSE,TRUE)</f>
        <v>0</v>
      </c>
      <c r="AX820" t="b">
        <f>IF(metadata!M820="",FALSE,TRUE)</f>
        <v>0</v>
      </c>
      <c r="AY820" t="b">
        <f>IF(metadata!N820="",FALSE,TRUE)</f>
        <v>0</v>
      </c>
      <c r="AZ820" t="b">
        <f>OR(AND(IF(metadata!O820="",FALSE,TRUE),OR(EXACT(metadata!O820,"missing: not collected"),EXACT(metadata!O820,"missing: not provided"),EXACT(metadata!O820,"missing: restricted access"))),AND(IF(metadata!O820="",FALSE,TRUE),OR(EXACT(metadata!O820,"air"),EXACT(metadata!O820,"built environment"),EXACT(metadata!O820,"host-associated"),EXACT(metadata!O820,"human-associated"),EXACT(metadata!O820,"human-skin"),EXACT(metadata!O820,"human-oral"),EXACT(metadata!O820,"human-gut"),EXACT(metadata!O820,"human-vaginal"),EXACT(metadata!O820,"microbial mat/biofilm"),EXACT(metadata!O820,"misc environment"),EXACT(metadata!O820,"plant-associated"),EXACT(metadata!O820,"sediment"),EXACT(metadata!O820,"soil"),EXACT(metadata!O820,"wastewater/sludge"),EXACT(metadata!O820,"water"))))</f>
        <v>0</v>
      </c>
      <c r="BA820" t="b">
        <f>IF(metadata!P820="",FALSE,TRUE)</f>
        <v>0</v>
      </c>
      <c r="BB820" t="b">
        <f>IF(metadata!Q820="",FALSE,TRUE)</f>
        <v>0</v>
      </c>
      <c r="BC820" t="b">
        <f>OR(AND(IF(metadata!R820="",FALSE,TRUE),OR(EXACT(metadata!R820,"missing: not collected"),EXACT(metadata!R820,"missing: not provided"),EXACT(metadata!R820,"missing: restricted access"))),AND(IF(metadata!R820="",FALSE,ISNUMBER(VALUE(metadata!R820))),metadata!R820&gt;=-90,metadata!R820&lt;=90))</f>
        <v>0</v>
      </c>
      <c r="BD820" t="b">
        <f>AND(IF(metadata!S820="",FALSE,TRUE),EXACT(metadata!S820,"Decimal degrees"))</f>
        <v>0</v>
      </c>
      <c r="BE820" t="b">
        <f>OR(AND(IF(metadata!T820="",FALSE,TRUE),OR(EXACT(metadata!T820,"missing: not collected"),EXACT(metadata!T820,"missing: not provided"),EXACT(metadata!T820,"missing: restricted access"))),AND(IF(metadata!T820="",FALSE,ISNUMBER(VALUE(metadata!T820))),metadata!T820&gt;=-180,metadata!T820&lt;=180))</f>
        <v>0</v>
      </c>
      <c r="BF820" t="b">
        <f>AND(IF(metadata!U820="",FALSE,TRUE),EXACT(metadata!U820,"Decimal degrees"))</f>
        <v>0</v>
      </c>
      <c r="BG820" t="b">
        <f>IF(metadata!V820="",FALSE,TRUE)</f>
        <v>0</v>
      </c>
      <c r="BH820" t="b">
        <f>OR(AND(IF(metadata!W820="",FALSE,TRUE),OR(EXACT(metadata!W820,"missing: not collected"),EXACT(metadata!W820,"missing: not provided"),EXACT(metadata!W820,"missing: restricted access"))),AND(IF(metadata!W820="",FALSE,TRUE),OR(EXACT(metadata!W820,"TRUE"),EXACT(metadata!W820,"FALSE"))))</f>
        <v>0</v>
      </c>
      <c r="BI820" t="b">
        <f>AND(IF(metadata!X820="",FALSE,TRUE),EXACT(metadata!X820,"other"))</f>
        <v>0</v>
      </c>
      <c r="BJ820" t="b">
        <f>IF(metadata!Y820="",FALSE,TRUE)</f>
        <v>0</v>
      </c>
      <c r="BK820" t="b">
        <f>OR(AND(IF(metadata!Z820="",FALSE,TRUE),OR(EXACT(metadata!Z820,"missing: not collected"),EXACT(metadata!Z820,"missing: not provided"))),AND(IF(metadata!Z820="",FALSE,IF(ISERROR(INT(metadata!Z820)),FALSE,INT(metadata!Z820)=metadata!Z820)),metadata!Z820&gt;0))</f>
        <v>0</v>
      </c>
      <c r="BL820" t="b">
        <f>AND(IF(metadata!AA820="",FALSE,TRUE),EXACT(metadata!AA820,"Not applicable"))</f>
        <v>0</v>
      </c>
      <c r="BM820" t="b">
        <f>IF(metadata!AB820="",FALSE,TRUE)</f>
        <v>0</v>
      </c>
    </row>
    <row r="821" spans="1:65" x14ac:dyDescent="0.2">
      <c r="A821" s="5" t="str">
        <f ca="1">IF(B821=" "," ",HYPERLINK(CONCATENATE("#metadata!",ADDRESS(INDEX($AH$2:$AH$1001,MATCH(ROWS($AF$2:AF821),$AF$2:$AF$1001,0),0),1)),INDEX($AK$2:$AK$1001,MATCH(ROWS($AF$2:AF821),$AF$2:$AF$1001,0),0)))</f>
        <v xml:space="preserve"> </v>
      </c>
      <c r="B821" s="4" t="str">
        <f ca="1">IF(OR(INDEX($AG$2:$AG$1001,MATCH(ROWS($AF$2:AF821),$AF$2:$AF$1001,0),1)&gt;=100000,INDEX($AM$1005:$BM$1005,1,MATCH(COLUMNS($AM$1006:AM1006),$AM$1006:$BM$1006,0))&gt;=100000), " ",IF(INDEX($AM$2:$BM$1001,MATCH(ROWS($AF$2:AF821),$AF$2:$AF$1001,0),MATCH(COLUMNS($AM$1006:AM1006),$AM$1006:$BM$1006,0)), HYPERLINK("#",""), HYPERLINK(CONCATENATE("#metadata!", ADDRESS(INDEX($AH$2:$AH$1001,MATCH(ROWS($AF$2:AF821),$AF$2:$AF$1001,0),0), INDEX($AM$1004:$BM$1004,1,MATCH(COLUMNS($AM$1006:AM1006),$AM$1006:$BM$1006,0)))),"Fix")))</f>
        <v xml:space="preserve"> </v>
      </c>
      <c r="C821" s="4" t="str">
        <f ca="1">IF(OR(INDEX($AG$2:$AG$1001,MATCH(ROWS($AF$2:AF821),$AF$2:$AF$1001,0),1)&gt;=100000,INDEX($AM$1005:$BM$1005,1,MATCH(COLUMNS($AM$1006:AN1006),$AM$1006:$BM$1006,0))&gt;=100000), " ",IF(INDEX($AM$2:$BM$1001,MATCH(ROWS($AF$2:AF821),$AF$2:$AF$1001,0),MATCH(COLUMNS($AM$1006:AN1006),$AM$1006:$BM$1006,0)), HYPERLINK("#",""), HYPERLINK(CONCATENATE("#metadata!", ADDRESS(INDEX($AH$2:$AH$1001,MATCH(ROWS($AF$2:AF821),$AF$2:$AF$1001,0),0), INDEX($AM$1004:$BM$1004,1,MATCH(COLUMNS($AM$1006:AN1006),$AM$1006:$BM$1006,0)))),"Fix")))</f>
        <v xml:space="preserve"> </v>
      </c>
      <c r="D821" s="4" t="str">
        <f ca="1">IF(OR(INDEX($AG$2:$AG$1001,MATCH(ROWS($AF$2:AF821),$AF$2:$AF$1001,0),1)&gt;=100000,INDEX($AM$1005:$BM$1005,1,MATCH(COLUMNS($AM$1006:AO1006),$AM$1006:$BM$1006,0))&gt;=100000), " ",IF(INDEX($AM$2:$BM$1001,MATCH(ROWS($AF$2:AF821),$AF$2:$AF$1001,0),MATCH(COLUMNS($AM$1006:AO1006),$AM$1006:$BM$1006,0)), HYPERLINK("#",""), HYPERLINK(CONCATENATE("#metadata!", ADDRESS(INDEX($AH$2:$AH$1001,MATCH(ROWS($AF$2:AF821),$AF$2:$AF$1001,0),0), INDEX($AM$1004:$BM$1004,1,MATCH(COLUMNS($AM$1006:AO1006),$AM$1006:$BM$1006,0)))),"Fix")))</f>
        <v xml:space="preserve"> </v>
      </c>
      <c r="E821" s="4" t="str">
        <f ca="1">IF(OR(INDEX($AG$2:$AG$1001,MATCH(ROWS($AF$2:AF821),$AF$2:$AF$1001,0),1)&gt;=100000,INDEX($AM$1005:$BM$1005,1,MATCH(COLUMNS($AM$1006:AP1006),$AM$1006:$BM$1006,0))&gt;=100000), " ",IF(INDEX($AM$2:$BM$1001,MATCH(ROWS($AF$2:AF821),$AF$2:$AF$1001,0),MATCH(COLUMNS($AM$1006:AP1006),$AM$1006:$BM$1006,0)), HYPERLINK("#",""), HYPERLINK(CONCATENATE("#metadata!", ADDRESS(INDEX($AH$2:$AH$1001,MATCH(ROWS($AF$2:AF821),$AF$2:$AF$1001,0),0), INDEX($AM$1004:$BM$1004,1,MATCH(COLUMNS($AM$1006:AP1006),$AM$1006:$BM$1006,0)))),"Fix")))</f>
        <v xml:space="preserve"> </v>
      </c>
      <c r="F821" s="4" t="str">
        <f ca="1">IF(OR(INDEX($AG$2:$AG$1001,MATCH(ROWS($AF$2:AF821),$AF$2:$AF$1001,0),1)&gt;=100000,INDEX($AM$1005:$BM$1005,1,MATCH(COLUMNS($AM$1006:AQ1006),$AM$1006:$BM$1006,0))&gt;=100000), " ",IF(INDEX($AM$2:$BM$1001,MATCH(ROWS($AF$2:AF821),$AF$2:$AF$1001,0),MATCH(COLUMNS($AM$1006:AQ1006),$AM$1006:$BM$1006,0)), HYPERLINK("#",""), HYPERLINK(CONCATENATE("#metadata!", ADDRESS(INDEX($AH$2:$AH$1001,MATCH(ROWS($AF$2:AF821),$AF$2:$AF$1001,0),0), INDEX($AM$1004:$BM$1004,1,MATCH(COLUMNS($AM$1006:AQ1006),$AM$1006:$BM$1006,0)))),"Fix")))</f>
        <v xml:space="preserve"> </v>
      </c>
      <c r="G821" s="4" t="str">
        <f ca="1">IF(OR(INDEX($AG$2:$AG$1001,MATCH(ROWS($AF$2:AF821),$AF$2:$AF$1001,0),1)&gt;=100000,INDEX($AM$1005:$BM$1005,1,MATCH(COLUMNS($AM$1006:AR1006),$AM$1006:$BM$1006,0))&gt;=100000), " ",IF(INDEX($AM$2:$BM$1001,MATCH(ROWS($AF$2:AF821),$AF$2:$AF$1001,0),MATCH(COLUMNS($AM$1006:AR1006),$AM$1006:$BM$1006,0)), HYPERLINK("#",""), HYPERLINK(CONCATENATE("#metadata!", ADDRESS(INDEX($AH$2:$AH$1001,MATCH(ROWS($AF$2:AF821),$AF$2:$AF$1001,0),0), INDEX($AM$1004:$BM$1004,1,MATCH(COLUMNS($AM$1006:AR1006),$AM$1006:$BM$1006,0)))),"Fix")))</f>
        <v xml:space="preserve"> </v>
      </c>
      <c r="H821" s="4" t="str">
        <f ca="1">IF(OR(INDEX($AG$2:$AG$1001,MATCH(ROWS($AF$2:AF821),$AF$2:$AF$1001,0),1)&gt;=100000,INDEX($AM$1005:$BM$1005,1,MATCH(COLUMNS($AM$1006:AS1006),$AM$1006:$BM$1006,0))&gt;=100000), " ",IF(INDEX($AM$2:$BM$1001,MATCH(ROWS($AF$2:AF821),$AF$2:$AF$1001,0),MATCH(COLUMNS($AM$1006:AS1006),$AM$1006:$BM$1006,0)), HYPERLINK("#",""), HYPERLINK(CONCATENATE("#metadata!", ADDRESS(INDEX($AH$2:$AH$1001,MATCH(ROWS($AF$2:AF821),$AF$2:$AF$1001,0),0), INDEX($AM$1004:$BM$1004,1,MATCH(COLUMNS($AM$1006:AS1006),$AM$1006:$BM$1006,0)))),"Fix")))</f>
        <v xml:space="preserve"> </v>
      </c>
      <c r="I821" s="4" t="str">
        <f ca="1">IF(OR(INDEX($AG$2:$AG$1001,MATCH(ROWS($AF$2:AF821),$AF$2:$AF$1001,0),1)&gt;=100000,INDEX($AM$1005:$BM$1005,1,MATCH(COLUMNS($AM$1006:AT1006),$AM$1006:$BM$1006,0))&gt;=100000), " ",IF(INDEX($AM$2:$BM$1001,MATCH(ROWS($AF$2:AF821),$AF$2:$AF$1001,0),MATCH(COLUMNS($AM$1006:AT1006),$AM$1006:$BM$1006,0)), HYPERLINK("#",""), HYPERLINK(CONCATENATE("#metadata!", ADDRESS(INDEX($AH$2:$AH$1001,MATCH(ROWS($AF$2:AF821),$AF$2:$AF$1001,0),0), INDEX($AM$1004:$BM$1004,1,MATCH(COLUMNS($AM$1006:AT1006),$AM$1006:$BM$1006,0)))),"Fix")))</f>
        <v xml:space="preserve"> </v>
      </c>
      <c r="J821" s="4" t="str">
        <f ca="1">IF(OR(INDEX($AG$2:$AG$1001,MATCH(ROWS($AF$2:AF821),$AF$2:$AF$1001,0),1)&gt;=100000,INDEX($AM$1005:$BM$1005,1,MATCH(COLUMNS($AM$1006:AU1006),$AM$1006:$BM$1006,0))&gt;=100000), " ",IF(INDEX($AM$2:$BM$1001,MATCH(ROWS($AF$2:AF821),$AF$2:$AF$1001,0),MATCH(COLUMNS($AM$1006:AU1006),$AM$1006:$BM$1006,0)), HYPERLINK("#",""), HYPERLINK(CONCATENATE("#metadata!", ADDRESS(INDEX($AH$2:$AH$1001,MATCH(ROWS($AF$2:AF821),$AF$2:$AF$1001,0),0), INDEX($AM$1004:$BM$1004,1,MATCH(COLUMNS($AM$1006:AU1006),$AM$1006:$BM$1006,0)))),"Fix")))</f>
        <v xml:space="preserve"> </v>
      </c>
      <c r="K821" s="4" t="str">
        <f ca="1">IF(OR(INDEX($AG$2:$AG$1001,MATCH(ROWS($AF$2:AF821),$AF$2:$AF$1001,0),1)&gt;=100000,INDEX($AM$1005:$BM$1005,1,MATCH(COLUMNS($AM$1006:AV1006),$AM$1006:$BM$1006,0))&gt;=100000), " ",IF(INDEX($AM$2:$BM$1001,MATCH(ROWS($AF$2:AF821),$AF$2:$AF$1001,0),MATCH(COLUMNS($AM$1006:AV1006),$AM$1006:$BM$1006,0)), HYPERLINK("#",""), HYPERLINK(CONCATENATE("#metadata!", ADDRESS(INDEX($AH$2:$AH$1001,MATCH(ROWS($AF$2:AF821),$AF$2:$AF$1001,0),0), INDEX($AM$1004:$BM$1004,1,MATCH(COLUMNS($AM$1006:AV1006),$AM$1006:$BM$1006,0)))),"Fix")))</f>
        <v xml:space="preserve"> </v>
      </c>
      <c r="L821" s="4" t="str">
        <f ca="1">IF(OR(INDEX($AG$2:$AG$1001,MATCH(ROWS($AF$2:AF821),$AF$2:$AF$1001,0),1)&gt;=100000,INDEX($AM$1005:$BM$1005,1,MATCH(COLUMNS($AM$1006:AW1006),$AM$1006:$BM$1006,0))&gt;=100000), " ",IF(INDEX($AM$2:$BM$1001,MATCH(ROWS($AF$2:AF821),$AF$2:$AF$1001,0),MATCH(COLUMNS($AM$1006:AW1006),$AM$1006:$BM$1006,0)), HYPERLINK("#",""), HYPERLINK(CONCATENATE("#metadata!", ADDRESS(INDEX($AH$2:$AH$1001,MATCH(ROWS($AF$2:AF821),$AF$2:$AF$1001,0),0), INDEX($AM$1004:$BM$1004,1,MATCH(COLUMNS($AM$1006:AW1006),$AM$1006:$BM$1006,0)))),"Fix")))</f>
        <v xml:space="preserve"> </v>
      </c>
      <c r="M821" s="4" t="str">
        <f ca="1">IF(OR(INDEX($AG$2:$AG$1001,MATCH(ROWS($AF$2:AF821),$AF$2:$AF$1001,0),1)&gt;=100000,INDEX($AM$1005:$BM$1005,1,MATCH(COLUMNS($AM$1006:AX1006),$AM$1006:$BM$1006,0))&gt;=100000), " ",IF(INDEX($AM$2:$BM$1001,MATCH(ROWS($AF$2:AF821),$AF$2:$AF$1001,0),MATCH(COLUMNS($AM$1006:AX1006),$AM$1006:$BM$1006,0)), HYPERLINK("#",""), HYPERLINK(CONCATENATE("#metadata!", ADDRESS(INDEX($AH$2:$AH$1001,MATCH(ROWS($AF$2:AF821),$AF$2:$AF$1001,0),0), INDEX($AM$1004:$BM$1004,1,MATCH(COLUMNS($AM$1006:AX1006),$AM$1006:$BM$1006,0)))),"Fix")))</f>
        <v xml:space="preserve"> </v>
      </c>
      <c r="N821" s="4" t="str">
        <f ca="1">IF(OR(INDEX($AG$2:$AG$1001,MATCH(ROWS($AF$2:AF821),$AF$2:$AF$1001,0),1)&gt;=100000,INDEX($AM$1005:$BM$1005,1,MATCH(COLUMNS($AM$1006:AY1006),$AM$1006:$BM$1006,0))&gt;=100000), " ",IF(INDEX($AM$2:$BM$1001,MATCH(ROWS($AF$2:AF821),$AF$2:$AF$1001,0),MATCH(COLUMNS($AM$1006:AY1006),$AM$1006:$BM$1006,0)), HYPERLINK("#",""), HYPERLINK(CONCATENATE("#metadata!", ADDRESS(INDEX($AH$2:$AH$1001,MATCH(ROWS($AF$2:AF821),$AF$2:$AF$1001,0),0), INDEX($AM$1004:$BM$1004,1,MATCH(COLUMNS($AM$1006:AY1006),$AM$1006:$BM$1006,0)))),"Fix")))</f>
        <v xml:space="preserve"> </v>
      </c>
      <c r="O821" s="4" t="str">
        <f ca="1">IF(OR(INDEX($AG$2:$AG$1001,MATCH(ROWS($AF$2:AF821),$AF$2:$AF$1001,0),1)&gt;=100000,INDEX($AM$1005:$BM$1005,1,MATCH(COLUMNS($AM$1006:AZ1006),$AM$1006:$BM$1006,0))&gt;=100000), " ",IF(INDEX($AM$2:$BM$1001,MATCH(ROWS($AF$2:AF821),$AF$2:$AF$1001,0),MATCH(COLUMNS($AM$1006:AZ1006),$AM$1006:$BM$1006,0)), HYPERLINK("#",""), HYPERLINK(CONCATENATE("#metadata!", ADDRESS(INDEX($AH$2:$AH$1001,MATCH(ROWS($AF$2:AF821),$AF$2:$AF$1001,0),0), INDEX($AM$1004:$BM$1004,1,MATCH(COLUMNS($AM$1006:AZ1006),$AM$1006:$BM$1006,0)))),"Fix")))</f>
        <v xml:space="preserve"> </v>
      </c>
      <c r="P821" s="4" t="str">
        <f ca="1">IF(OR(INDEX($AG$2:$AG$1001,MATCH(ROWS($AF$2:AF821),$AF$2:$AF$1001,0),1)&gt;=100000,INDEX($AM$1005:$BM$1005,1,MATCH(COLUMNS($AM$1006:BA1006),$AM$1006:$BM$1006,0))&gt;=100000), " ",IF(INDEX($AM$2:$BM$1001,MATCH(ROWS($AF$2:AF821),$AF$2:$AF$1001,0),MATCH(COLUMNS($AM$1006:BA1006),$AM$1006:$BM$1006,0)), HYPERLINK("#",""), HYPERLINK(CONCATENATE("#metadata!", ADDRESS(INDEX($AH$2:$AH$1001,MATCH(ROWS($AF$2:AF821),$AF$2:$AF$1001,0),0), INDEX($AM$1004:$BM$1004,1,MATCH(COLUMNS($AM$1006:BA1006),$AM$1006:$BM$1006,0)))),"Fix")))</f>
        <v xml:space="preserve"> </v>
      </c>
      <c r="Q821" s="4" t="str">
        <f ca="1">IF(OR(INDEX($AG$2:$AG$1001,MATCH(ROWS($AF$2:AF821),$AF$2:$AF$1001,0),1)&gt;=100000,INDEX($AM$1005:$BM$1005,1,MATCH(COLUMNS($AM$1006:BB1006),$AM$1006:$BM$1006,0))&gt;=100000), " ",IF(INDEX($AM$2:$BM$1001,MATCH(ROWS($AF$2:AF821),$AF$2:$AF$1001,0),MATCH(COLUMNS($AM$1006:BB1006),$AM$1006:$BM$1006,0)), HYPERLINK("#",""), HYPERLINK(CONCATENATE("#metadata!", ADDRESS(INDEX($AH$2:$AH$1001,MATCH(ROWS($AF$2:AF821),$AF$2:$AF$1001,0),0), INDEX($AM$1004:$BM$1004,1,MATCH(COLUMNS($AM$1006:BB1006),$AM$1006:$BM$1006,0)))),"Fix")))</f>
        <v xml:space="preserve"> </v>
      </c>
      <c r="R821" s="4" t="str">
        <f ca="1">IF(OR(INDEX($AG$2:$AG$1001,MATCH(ROWS($AF$2:AF821),$AF$2:$AF$1001,0),1)&gt;=100000,INDEX($AM$1005:$BM$1005,1,MATCH(COLUMNS($AM$1006:BC1006),$AM$1006:$BM$1006,0))&gt;=100000), " ",IF(INDEX($AM$2:$BM$1001,MATCH(ROWS($AF$2:AF821),$AF$2:$AF$1001,0),MATCH(COLUMNS($AM$1006:BC1006),$AM$1006:$BM$1006,0)), HYPERLINK("#",""), HYPERLINK(CONCATENATE("#metadata!", ADDRESS(INDEX($AH$2:$AH$1001,MATCH(ROWS($AF$2:AF821),$AF$2:$AF$1001,0),0), INDEX($AM$1004:$BM$1004,1,MATCH(COLUMNS($AM$1006:BC1006),$AM$1006:$BM$1006,0)))),"Fix")))</f>
        <v xml:space="preserve"> </v>
      </c>
      <c r="S821" s="4" t="str">
        <f ca="1">IF(OR(INDEX($AG$2:$AG$1001,MATCH(ROWS($AF$2:AF821),$AF$2:$AF$1001,0),1)&gt;=100000,INDEX($AM$1005:$BM$1005,1,MATCH(COLUMNS($AM$1006:BD1006),$AM$1006:$BM$1006,0))&gt;=100000), " ",IF(INDEX($AM$2:$BM$1001,MATCH(ROWS($AF$2:AF821),$AF$2:$AF$1001,0),MATCH(COLUMNS($AM$1006:BD1006),$AM$1006:$BM$1006,0)), HYPERLINK("#",""), HYPERLINK(CONCATENATE("#metadata!", ADDRESS(INDEX($AH$2:$AH$1001,MATCH(ROWS($AF$2:AF821),$AF$2:$AF$1001,0),0), INDEX($AM$1004:$BM$1004,1,MATCH(COLUMNS($AM$1006:BD1006),$AM$1006:$BM$1006,0)))),"Fix")))</f>
        <v xml:space="preserve"> </v>
      </c>
      <c r="T821" s="4" t="str">
        <f ca="1">IF(OR(INDEX($AG$2:$AG$1001,MATCH(ROWS($AF$2:AF821),$AF$2:$AF$1001,0),1)&gt;=100000,INDEX($AM$1005:$BM$1005,1,MATCH(COLUMNS($AM$1006:BE1006),$AM$1006:$BM$1006,0))&gt;=100000), " ",IF(INDEX($AM$2:$BM$1001,MATCH(ROWS($AF$2:AF821),$AF$2:$AF$1001,0),MATCH(COLUMNS($AM$1006:BE1006),$AM$1006:$BM$1006,0)), HYPERLINK("#",""), HYPERLINK(CONCATENATE("#metadata!", ADDRESS(INDEX($AH$2:$AH$1001,MATCH(ROWS($AF$2:AF821),$AF$2:$AF$1001,0),0), INDEX($AM$1004:$BM$1004,1,MATCH(COLUMNS($AM$1006:BE1006),$AM$1006:$BM$1006,0)))),"Fix")))</f>
        <v xml:space="preserve"> </v>
      </c>
      <c r="U821" s="4" t="str">
        <f ca="1">IF(OR(INDEX($AG$2:$AG$1001,MATCH(ROWS($AF$2:AF821),$AF$2:$AF$1001,0),1)&gt;=100000,INDEX($AM$1005:$BM$1005,1,MATCH(COLUMNS($AM$1006:BF1006),$AM$1006:$BM$1006,0))&gt;=100000), " ",IF(INDEX($AM$2:$BM$1001,MATCH(ROWS($AF$2:AF821),$AF$2:$AF$1001,0),MATCH(COLUMNS($AM$1006:BF1006),$AM$1006:$BM$1006,0)), HYPERLINK("#",""), HYPERLINK(CONCATENATE("#metadata!", ADDRESS(INDEX($AH$2:$AH$1001,MATCH(ROWS($AF$2:AF821),$AF$2:$AF$1001,0),0), INDEX($AM$1004:$BM$1004,1,MATCH(COLUMNS($AM$1006:BF1006),$AM$1006:$BM$1006,0)))),"Fix")))</f>
        <v xml:space="preserve"> </v>
      </c>
      <c r="V821" s="4" t="str">
        <f ca="1">IF(OR(INDEX($AG$2:$AG$1001,MATCH(ROWS($AF$2:AF821),$AF$2:$AF$1001,0),1)&gt;=100000,INDEX($AM$1005:$BM$1005,1,MATCH(COLUMNS($AM$1006:BG1006),$AM$1006:$BM$1006,0))&gt;=100000), " ",IF(INDEX($AM$2:$BM$1001,MATCH(ROWS($AF$2:AF821),$AF$2:$AF$1001,0),MATCH(COLUMNS($AM$1006:BG1006),$AM$1006:$BM$1006,0)), HYPERLINK("#",""), HYPERLINK(CONCATENATE("#metadata!", ADDRESS(INDEX($AH$2:$AH$1001,MATCH(ROWS($AF$2:AF821),$AF$2:$AF$1001,0),0), INDEX($AM$1004:$BM$1004,1,MATCH(COLUMNS($AM$1006:BG1006),$AM$1006:$BM$1006,0)))),"Fix")))</f>
        <v xml:space="preserve"> </v>
      </c>
      <c r="W821" s="4" t="str">
        <f ca="1">IF(OR(INDEX($AG$2:$AG$1001,MATCH(ROWS($AF$2:AF821),$AF$2:$AF$1001,0),1)&gt;=100000,INDEX($AM$1005:$BM$1005,1,MATCH(COLUMNS($AM$1006:BH1006),$AM$1006:$BM$1006,0))&gt;=100000), " ",IF(INDEX($AM$2:$BM$1001,MATCH(ROWS($AF$2:AF821),$AF$2:$AF$1001,0),MATCH(COLUMNS($AM$1006:BH1006),$AM$1006:$BM$1006,0)), HYPERLINK("#",""), HYPERLINK(CONCATENATE("#metadata!", ADDRESS(INDEX($AH$2:$AH$1001,MATCH(ROWS($AF$2:AF821),$AF$2:$AF$1001,0),0), INDEX($AM$1004:$BM$1004,1,MATCH(COLUMNS($AM$1006:BH1006),$AM$1006:$BM$1006,0)))),"Fix")))</f>
        <v xml:space="preserve"> </v>
      </c>
      <c r="X821" s="4" t="str">
        <f ca="1">IF(OR(INDEX($AG$2:$AG$1001,MATCH(ROWS($AF$2:AF821),$AF$2:$AF$1001,0),1)&gt;=100000,INDEX($AM$1005:$BM$1005,1,MATCH(COLUMNS($AM$1006:BI1006),$AM$1006:$BM$1006,0))&gt;=100000), " ",IF(INDEX($AM$2:$BM$1001,MATCH(ROWS($AF$2:AF821),$AF$2:$AF$1001,0),MATCH(COLUMNS($AM$1006:BI1006),$AM$1006:$BM$1006,0)), HYPERLINK("#",""), HYPERLINK(CONCATENATE("#metadata!", ADDRESS(INDEX($AH$2:$AH$1001,MATCH(ROWS($AF$2:AF821),$AF$2:$AF$1001,0),0), INDEX($AM$1004:$BM$1004,1,MATCH(COLUMNS($AM$1006:BI1006),$AM$1006:$BM$1006,0)))),"Fix")))</f>
        <v xml:space="preserve"> </v>
      </c>
      <c r="Y821" s="4" t="str">
        <f ca="1">IF(OR(INDEX($AG$2:$AG$1001,MATCH(ROWS($AF$2:AF821),$AF$2:$AF$1001,0),1)&gt;=100000,INDEX($AM$1005:$BM$1005,1,MATCH(COLUMNS($AM$1006:BJ1006),$AM$1006:$BM$1006,0))&gt;=100000), " ",IF(INDEX($AM$2:$BM$1001,MATCH(ROWS($AF$2:AF821),$AF$2:$AF$1001,0),MATCH(COLUMNS($AM$1006:BJ1006),$AM$1006:$BM$1006,0)), HYPERLINK("#",""), HYPERLINK(CONCATENATE("#metadata!", ADDRESS(INDEX($AH$2:$AH$1001,MATCH(ROWS($AF$2:AF821),$AF$2:$AF$1001,0),0), INDEX($AM$1004:$BM$1004,1,MATCH(COLUMNS($AM$1006:BJ1006),$AM$1006:$BM$1006,0)))),"Fix")))</f>
        <v xml:space="preserve"> </v>
      </c>
      <c r="Z821" s="4" t="str">
        <f ca="1">IF(OR(INDEX($AG$2:$AG$1001,MATCH(ROWS($AF$2:AF821),$AF$2:$AF$1001,0),1)&gt;=100000,INDEX($AM$1005:$BM$1005,1,MATCH(COLUMNS($AM$1006:BK1006),$AM$1006:$BM$1006,0))&gt;=100000), " ",IF(INDEX($AM$2:$BM$1001,MATCH(ROWS($AF$2:AF821),$AF$2:$AF$1001,0),MATCH(COLUMNS($AM$1006:BK1006),$AM$1006:$BM$1006,0)), HYPERLINK("#",""), HYPERLINK(CONCATENATE("#metadata!", ADDRESS(INDEX($AH$2:$AH$1001,MATCH(ROWS($AF$2:AF821),$AF$2:$AF$1001,0),0), INDEX($AM$1004:$BM$1004,1,MATCH(COLUMNS($AM$1006:BK1006),$AM$1006:$BM$1006,0)))),"Fix")))</f>
        <v xml:space="preserve"> </v>
      </c>
      <c r="AA821" s="4" t="str">
        <f ca="1">IF(OR(INDEX($AG$2:$AG$1001,MATCH(ROWS($AF$2:AF821),$AF$2:$AF$1001,0),1)&gt;=100000,INDEX($AM$1005:$BM$1005,1,MATCH(COLUMNS($AM$1006:BL1006),$AM$1006:$BM$1006,0))&gt;=100000), " ",IF(INDEX($AM$2:$BM$1001,MATCH(ROWS($AF$2:AF821),$AF$2:$AF$1001,0),MATCH(COLUMNS($AM$1006:BL1006),$AM$1006:$BM$1006,0)), HYPERLINK("#",""), HYPERLINK(CONCATENATE("#metadata!", ADDRESS(INDEX($AH$2:$AH$1001,MATCH(ROWS($AF$2:AF821),$AF$2:$AF$1001,0),0), INDEX($AM$1004:$BM$1004,1,MATCH(COLUMNS($AM$1006:BL1006),$AM$1006:$BM$1006,0)))),"Fix")))</f>
        <v xml:space="preserve"> </v>
      </c>
      <c r="AB821" s="4" t="str">
        <f ca="1">IF(OR(INDEX($AG$2:$AG$1001,MATCH(ROWS($AF$2:AF821),$AF$2:$AF$1001,0),1)&gt;=100000,INDEX($AM$1005:$BM$1005,1,MATCH(COLUMNS($AM$1006:BM1006),$AM$1006:$BM$1006,0))&gt;=100000), " ",IF(INDEX($AM$2:$BM$1001,MATCH(ROWS($AF$2:AF821),$AF$2:$AF$1001,0),MATCH(COLUMNS($AM$1006:BM1006),$AM$1006:$BM$1006,0)), HYPERLINK("#",""), HYPERLINK(CONCATENATE("#metadata!", ADDRESS(INDEX($AH$2:$AH$1001,MATCH(ROWS($AF$2:AF821),$AF$2:$AF$1001,0),0), INDEX($AM$1004:$BM$1004,1,MATCH(COLUMNS($AM$1006:BM1006),$AM$1006:$BM$1006,0)))),"Fix")))</f>
        <v xml:space="preserve"> </v>
      </c>
      <c r="AF821">
        <v>820</v>
      </c>
      <c r="AG821">
        <v>100821</v>
      </c>
      <c r="AH821">
        <v>821</v>
      </c>
      <c r="AI821" t="b">
        <f t="shared" si="12"/>
        <v>1</v>
      </c>
      <c r="AJ821" t="b">
        <f>COUNTBLANK(metadata!B821:AB821)=COLUMNS(metadata!B821:AB821)</f>
        <v>1</v>
      </c>
      <c r="AK821" t="str">
        <v/>
      </c>
      <c r="AM821" t="b">
        <f ca="1">AND(IF(metadata!B821="",FALSE,TRUE),COUNTIF(metadata!B:B, metadata!B821) = 1,NOT(ISERROR(SUMPRODUCT(SEARCH(MID(metadata!B821,ROW(INDIRECT("1:"&amp;LEN(metadata!B821))), 1),"0123456789abcdefghijklmnopqrstuvwxyzABCDEFGHIJKLMNOPQRSTUVWXYZ.")))))</f>
        <v>0</v>
      </c>
      <c r="AN821" t="b">
        <f ca="1">OR(AND(IF(metadata!C821="",FALSE,TRUE),OR(EXACT(metadata!C821,"missing: not collected"),EXACT(metadata!C821,"missing: not provided"),EXACT(metadata!C821,"missing: restricted access"))),AND(IF(metadata!C821="",FALSE,TRUE),AND(AND(IFERROR(INT(LEFT(metadata!C821,4))&gt;1900,FALSE),IFERROR(INT(LEFT(metadata!C821,4))&lt;=YEAR(NOW()),FALSE)), OR(MID(metadata!C821,5,1)="", AND(AND(MID(metadata!C821,5,1)="-",IFERROR(INT(MID(metadata!C821,6,1))&gt;=0,FALSE),IFERROR(INT(MID(metadata!C821,6,1))&lt;=1,FALSE),NOT(MID(metadata!C821,7,1)=""),IFERROR(INT(MID(metadata!C821,6,2))&gt;=1,FALSE),IFERROR(INT(MID(metadata!C821,6,2))&lt;=12,FALSE)), OR(MID(metadata!C821,8,1)="", AND(AND(MID(metadata!C821,8,1)="-",IFERROR(INT(MID(metadata!C821,9,1))&gt;=0,FALSE),IFERROR(INT(MID(metadata!C821,9,1))&lt;=3,FALSE),NOT(MID(metadata!C821,10,1)=""),IFERROR(INT(MID(metadata!C821,9,2))&gt;=1,FALSE),IFERROR(INT(MID(metadata!C821,9,2))&lt;=31,FALSE)), OR(MID(metadata!C821,11,1)="", AND(AND(MID(metadata!C821,11,1)=" ",IFERROR(INT(MID(metadata!C821,12,1))&gt;=0,FALSE),IFERROR(INT(MID(metadata!C821,12,1))&lt;=2,FALSE),NOT(MID(metadata!C821,13,1)=""),IFERROR(INT(MID(metadata!C821,12,2))&gt;=0,FALSE),IFERROR(INT(MID(metadata!C821,12,2))&lt;=23,FALSE)), OR(MID(metadata!C821,14,1)="", AND(AND(MID(metadata!C821,14,1)=":",IFERROR(INT(MID(metadata!C821,15,1))&gt;=0,FALSE),IFERROR(INT(MID(metadata!C821,15,1))&lt;=5,FALSE),NOT(MID(metadata!C821,16,1)=""),IFERROR(INT(MID(metadata!C821,15,2))&gt;=0,FALSE),IFERROR(INT(MID(metadata!C821,15,2))&lt;=59,FALSE)), OR(MID(metadata!C821,17,1)="", AND(AND(MID(metadata!C821,17,1)=":",IFERROR(INT(MID(metadata!C821,18,1))&gt;=0,FALSE),IFERROR(INT(MID(metadata!C821,18,1))&lt;=5,FALSE),NOT(MID(metadata!C821,19,1)=""),IFERROR(INT(MID(metadata!C821,18,2))&gt;=0,FALSE),IFERROR(INT(MID(metadata!C821,18,2))&lt;=59,FALSE)), LEN(metadata!C821)&lt;=19)))))))))))))</f>
        <v>0</v>
      </c>
      <c r="AO821" t="b">
        <f>AND(IF(metadata!D821="",FALSE,TRUE),EXACT(metadata!D821,"Not applicable"))</f>
        <v>0</v>
      </c>
      <c r="AP821" t="b">
        <f>IF(metadata!E821="",FALSE,TRUE)</f>
        <v>0</v>
      </c>
      <c r="AQ821" t="b">
        <f>OR(AND(IF(metadata!F821="",FALSE,TRUE),OR(EXACT(metadata!F821,"missing: not collected"),EXACT(metadata!F821,"missing: not provided"))),AND(IF(metadata!F821="",FALSE,TRUE),OR(EXACT(metadata!F821,"TRUE"),EXACT(metadata!F821,"FALSE"))))</f>
        <v>0</v>
      </c>
      <c r="AR821" t="b">
        <f>OR(AND(IF(metadata!G821="",FALSE,TRUE),OR(EXACT(metadata!G821,"missing: not collected"),EXACT(metadata!G821,"missing: not provided"),EXACT(metadata!G821,"missing: restricted access"))),AND(IF(metadata!G821="",FALSE,ISNUMBER(VALUE(metadata!G821))),metadata!G821&gt;=-413))</f>
        <v>0</v>
      </c>
      <c r="AS821" t="b">
        <f>AND(IF(metadata!H821="",FALSE,TRUE),EXACT(metadata!H821,"meters"))</f>
        <v>0</v>
      </c>
      <c r="AT821" t="b">
        <f>AND(IF(metadata!I821="",FALSE,TRUE),OR(EXACT(metadata!I821,"Host-associated"),EXACT(metadata!I821,"Free-living")))</f>
        <v>0</v>
      </c>
      <c r="AU821" t="b">
        <f>AND(IF(metadata!J821="",FALSE,TRUE),OR(EXACT(metadata!J821,"Animal"),EXACT(metadata!J821,"Fungus"),EXACT(metadata!J821,"Plant"),EXACT(metadata!J821,"Saline"),EXACT(metadata!J821,"Non-saline")))</f>
        <v>0</v>
      </c>
      <c r="AV821" t="b">
        <f>AND(IF(metadata!K821="",FALSE,TRUE),OR(EXACT(metadata!K821,"Plant secretion"),EXACT(metadata!K821,"Plant rhizosphere"),EXACT(metadata!K821,"Plant surface"),EXACT(metadata!K821,"Plant corpus"),EXACT(metadata!K821,"Fungus surface"),EXACT(metadata!K821,"Fungus corpus"),EXACT(metadata!K821,"Animal surface"),EXACT(metadata!K821,"Animal proximal gut"),EXACT(metadata!K821,"Animal corpus"),EXACT(metadata!K821,"Animal distal gut"),EXACT(metadata!K821,"Animal secretion"),EXACT(metadata!K821,"Sub-surface (non-saline)"),EXACT(metadata!K821,"Surface (non-saline)"),EXACT(metadata!K821,"Water (non-saline)"),EXACT(metadata!K821,"Soil (non-saline)"),EXACT(metadata!K821,"Aerosol (non-saline)"),EXACT(metadata!K821,"Sediment (non-saline)"),EXACT(metadata!K821,"Surface (saline)"),EXACT(metadata!K821,"Water (saline)"),EXACT(metadata!K821,"Hypersaline (saline)"),EXACT(metadata!K821,"Aerosol (saline)"),EXACT(metadata!K821,"Sediment (saline)")))</f>
        <v>0</v>
      </c>
      <c r="AW821" t="b">
        <f>IF(metadata!L821="",FALSE,TRUE)</f>
        <v>0</v>
      </c>
      <c r="AX821" t="b">
        <f>IF(metadata!M821="",FALSE,TRUE)</f>
        <v>0</v>
      </c>
      <c r="AY821" t="b">
        <f>IF(metadata!N821="",FALSE,TRUE)</f>
        <v>0</v>
      </c>
      <c r="AZ821" t="b">
        <f>OR(AND(IF(metadata!O821="",FALSE,TRUE),OR(EXACT(metadata!O821,"missing: not collected"),EXACT(metadata!O821,"missing: not provided"),EXACT(metadata!O821,"missing: restricted access"))),AND(IF(metadata!O821="",FALSE,TRUE),OR(EXACT(metadata!O821,"air"),EXACT(metadata!O821,"built environment"),EXACT(metadata!O821,"host-associated"),EXACT(metadata!O821,"human-associated"),EXACT(metadata!O821,"human-skin"),EXACT(metadata!O821,"human-oral"),EXACT(metadata!O821,"human-gut"),EXACT(metadata!O821,"human-vaginal"),EXACT(metadata!O821,"microbial mat/biofilm"),EXACT(metadata!O821,"misc environment"),EXACT(metadata!O821,"plant-associated"),EXACT(metadata!O821,"sediment"),EXACT(metadata!O821,"soil"),EXACT(metadata!O821,"wastewater/sludge"),EXACT(metadata!O821,"water"))))</f>
        <v>0</v>
      </c>
      <c r="BA821" t="b">
        <f>IF(metadata!P821="",FALSE,TRUE)</f>
        <v>0</v>
      </c>
      <c r="BB821" t="b">
        <f>IF(metadata!Q821="",FALSE,TRUE)</f>
        <v>0</v>
      </c>
      <c r="BC821" t="b">
        <f>OR(AND(IF(metadata!R821="",FALSE,TRUE),OR(EXACT(metadata!R821,"missing: not collected"),EXACT(metadata!R821,"missing: not provided"),EXACT(metadata!R821,"missing: restricted access"))),AND(IF(metadata!R821="",FALSE,ISNUMBER(VALUE(metadata!R821))),metadata!R821&gt;=-90,metadata!R821&lt;=90))</f>
        <v>0</v>
      </c>
      <c r="BD821" t="b">
        <f>AND(IF(metadata!S821="",FALSE,TRUE),EXACT(metadata!S821,"Decimal degrees"))</f>
        <v>0</v>
      </c>
      <c r="BE821" t="b">
        <f>OR(AND(IF(metadata!T821="",FALSE,TRUE),OR(EXACT(metadata!T821,"missing: not collected"),EXACT(metadata!T821,"missing: not provided"),EXACT(metadata!T821,"missing: restricted access"))),AND(IF(metadata!T821="",FALSE,ISNUMBER(VALUE(metadata!T821))),metadata!T821&gt;=-180,metadata!T821&lt;=180))</f>
        <v>0</v>
      </c>
      <c r="BF821" t="b">
        <f>AND(IF(metadata!U821="",FALSE,TRUE),EXACT(metadata!U821,"Decimal degrees"))</f>
        <v>0</v>
      </c>
      <c r="BG821" t="b">
        <f>IF(metadata!V821="",FALSE,TRUE)</f>
        <v>0</v>
      </c>
      <c r="BH821" t="b">
        <f>OR(AND(IF(metadata!W821="",FALSE,TRUE),OR(EXACT(metadata!W821,"missing: not collected"),EXACT(metadata!W821,"missing: not provided"),EXACT(metadata!W821,"missing: restricted access"))),AND(IF(metadata!W821="",FALSE,TRUE),OR(EXACT(metadata!W821,"TRUE"),EXACT(metadata!W821,"FALSE"))))</f>
        <v>0</v>
      </c>
      <c r="BI821" t="b">
        <f>AND(IF(metadata!X821="",FALSE,TRUE),EXACT(metadata!X821,"other"))</f>
        <v>0</v>
      </c>
      <c r="BJ821" t="b">
        <f>IF(metadata!Y821="",FALSE,TRUE)</f>
        <v>0</v>
      </c>
      <c r="BK821" t="b">
        <f>OR(AND(IF(metadata!Z821="",FALSE,TRUE),OR(EXACT(metadata!Z821,"missing: not collected"),EXACT(metadata!Z821,"missing: not provided"))),AND(IF(metadata!Z821="",FALSE,IF(ISERROR(INT(metadata!Z821)),FALSE,INT(metadata!Z821)=metadata!Z821)),metadata!Z821&gt;0))</f>
        <v>0</v>
      </c>
      <c r="BL821" t="b">
        <f>AND(IF(metadata!AA821="",FALSE,TRUE),EXACT(metadata!AA821,"Not applicable"))</f>
        <v>0</v>
      </c>
      <c r="BM821" t="b">
        <f>IF(metadata!AB821="",FALSE,TRUE)</f>
        <v>0</v>
      </c>
    </row>
    <row r="822" spans="1:65" x14ac:dyDescent="0.2">
      <c r="A822" s="5" t="str">
        <f ca="1">IF(B822=" "," ",HYPERLINK(CONCATENATE("#metadata!",ADDRESS(INDEX($AH$2:$AH$1001,MATCH(ROWS($AF$2:AF822),$AF$2:$AF$1001,0),0),1)),INDEX($AK$2:$AK$1001,MATCH(ROWS($AF$2:AF822),$AF$2:$AF$1001,0),0)))</f>
        <v xml:space="preserve"> </v>
      </c>
      <c r="B822" s="4" t="str">
        <f ca="1">IF(OR(INDEX($AG$2:$AG$1001,MATCH(ROWS($AF$2:AF822),$AF$2:$AF$1001,0),1)&gt;=100000,INDEX($AM$1005:$BM$1005,1,MATCH(COLUMNS($AM$1006:AM1006),$AM$1006:$BM$1006,0))&gt;=100000), " ",IF(INDEX($AM$2:$BM$1001,MATCH(ROWS($AF$2:AF822),$AF$2:$AF$1001,0),MATCH(COLUMNS($AM$1006:AM1006),$AM$1006:$BM$1006,0)), HYPERLINK("#",""), HYPERLINK(CONCATENATE("#metadata!", ADDRESS(INDEX($AH$2:$AH$1001,MATCH(ROWS($AF$2:AF822),$AF$2:$AF$1001,0),0), INDEX($AM$1004:$BM$1004,1,MATCH(COLUMNS($AM$1006:AM1006),$AM$1006:$BM$1006,0)))),"Fix")))</f>
        <v xml:space="preserve"> </v>
      </c>
      <c r="C822" s="4" t="str">
        <f ca="1">IF(OR(INDEX($AG$2:$AG$1001,MATCH(ROWS($AF$2:AF822),$AF$2:$AF$1001,0),1)&gt;=100000,INDEX($AM$1005:$BM$1005,1,MATCH(COLUMNS($AM$1006:AN1006),$AM$1006:$BM$1006,0))&gt;=100000), " ",IF(INDEX($AM$2:$BM$1001,MATCH(ROWS($AF$2:AF822),$AF$2:$AF$1001,0),MATCH(COLUMNS($AM$1006:AN1006),$AM$1006:$BM$1006,0)), HYPERLINK("#",""), HYPERLINK(CONCATENATE("#metadata!", ADDRESS(INDEX($AH$2:$AH$1001,MATCH(ROWS($AF$2:AF822),$AF$2:$AF$1001,0),0), INDEX($AM$1004:$BM$1004,1,MATCH(COLUMNS($AM$1006:AN1006),$AM$1006:$BM$1006,0)))),"Fix")))</f>
        <v xml:space="preserve"> </v>
      </c>
      <c r="D822" s="4" t="str">
        <f ca="1">IF(OR(INDEX($AG$2:$AG$1001,MATCH(ROWS($AF$2:AF822),$AF$2:$AF$1001,0),1)&gt;=100000,INDEX($AM$1005:$BM$1005,1,MATCH(COLUMNS($AM$1006:AO1006),$AM$1006:$BM$1006,0))&gt;=100000), " ",IF(INDEX($AM$2:$BM$1001,MATCH(ROWS($AF$2:AF822),$AF$2:$AF$1001,0),MATCH(COLUMNS($AM$1006:AO1006),$AM$1006:$BM$1006,0)), HYPERLINK("#",""), HYPERLINK(CONCATENATE("#metadata!", ADDRESS(INDEX($AH$2:$AH$1001,MATCH(ROWS($AF$2:AF822),$AF$2:$AF$1001,0),0), INDEX($AM$1004:$BM$1004,1,MATCH(COLUMNS($AM$1006:AO1006),$AM$1006:$BM$1006,0)))),"Fix")))</f>
        <v xml:space="preserve"> </v>
      </c>
      <c r="E822" s="4" t="str">
        <f ca="1">IF(OR(INDEX($AG$2:$AG$1001,MATCH(ROWS($AF$2:AF822),$AF$2:$AF$1001,0),1)&gt;=100000,INDEX($AM$1005:$BM$1005,1,MATCH(COLUMNS($AM$1006:AP1006),$AM$1006:$BM$1006,0))&gt;=100000), " ",IF(INDEX($AM$2:$BM$1001,MATCH(ROWS($AF$2:AF822),$AF$2:$AF$1001,0),MATCH(COLUMNS($AM$1006:AP1006),$AM$1006:$BM$1006,0)), HYPERLINK("#",""), HYPERLINK(CONCATENATE("#metadata!", ADDRESS(INDEX($AH$2:$AH$1001,MATCH(ROWS($AF$2:AF822),$AF$2:$AF$1001,0),0), INDEX($AM$1004:$BM$1004,1,MATCH(COLUMNS($AM$1006:AP1006),$AM$1006:$BM$1006,0)))),"Fix")))</f>
        <v xml:space="preserve"> </v>
      </c>
      <c r="F822" s="4" t="str">
        <f ca="1">IF(OR(INDEX($AG$2:$AG$1001,MATCH(ROWS($AF$2:AF822),$AF$2:$AF$1001,0),1)&gt;=100000,INDEX($AM$1005:$BM$1005,1,MATCH(COLUMNS($AM$1006:AQ1006),$AM$1006:$BM$1006,0))&gt;=100000), " ",IF(INDEX($AM$2:$BM$1001,MATCH(ROWS($AF$2:AF822),$AF$2:$AF$1001,0),MATCH(COLUMNS($AM$1006:AQ1006),$AM$1006:$BM$1006,0)), HYPERLINK("#",""), HYPERLINK(CONCATENATE("#metadata!", ADDRESS(INDEX($AH$2:$AH$1001,MATCH(ROWS($AF$2:AF822),$AF$2:$AF$1001,0),0), INDEX($AM$1004:$BM$1004,1,MATCH(COLUMNS($AM$1006:AQ1006),$AM$1006:$BM$1006,0)))),"Fix")))</f>
        <v xml:space="preserve"> </v>
      </c>
      <c r="G822" s="4" t="str">
        <f ca="1">IF(OR(INDEX($AG$2:$AG$1001,MATCH(ROWS($AF$2:AF822),$AF$2:$AF$1001,0),1)&gt;=100000,INDEX($AM$1005:$BM$1005,1,MATCH(COLUMNS($AM$1006:AR1006),$AM$1006:$BM$1006,0))&gt;=100000), " ",IF(INDEX($AM$2:$BM$1001,MATCH(ROWS($AF$2:AF822),$AF$2:$AF$1001,0),MATCH(COLUMNS($AM$1006:AR1006),$AM$1006:$BM$1006,0)), HYPERLINK("#",""), HYPERLINK(CONCATENATE("#metadata!", ADDRESS(INDEX($AH$2:$AH$1001,MATCH(ROWS($AF$2:AF822),$AF$2:$AF$1001,0),0), INDEX($AM$1004:$BM$1004,1,MATCH(COLUMNS($AM$1006:AR1006),$AM$1006:$BM$1006,0)))),"Fix")))</f>
        <v xml:space="preserve"> </v>
      </c>
      <c r="H822" s="4" t="str">
        <f ca="1">IF(OR(INDEX($AG$2:$AG$1001,MATCH(ROWS($AF$2:AF822),$AF$2:$AF$1001,0),1)&gt;=100000,INDEX($AM$1005:$BM$1005,1,MATCH(COLUMNS($AM$1006:AS1006),$AM$1006:$BM$1006,0))&gt;=100000), " ",IF(INDEX($AM$2:$BM$1001,MATCH(ROWS($AF$2:AF822),$AF$2:$AF$1001,0),MATCH(COLUMNS($AM$1006:AS1006),$AM$1006:$BM$1006,0)), HYPERLINK("#",""), HYPERLINK(CONCATENATE("#metadata!", ADDRESS(INDEX($AH$2:$AH$1001,MATCH(ROWS($AF$2:AF822),$AF$2:$AF$1001,0),0), INDEX($AM$1004:$BM$1004,1,MATCH(COLUMNS($AM$1006:AS1006),$AM$1006:$BM$1006,0)))),"Fix")))</f>
        <v xml:space="preserve"> </v>
      </c>
      <c r="I822" s="4" t="str">
        <f ca="1">IF(OR(INDEX($AG$2:$AG$1001,MATCH(ROWS($AF$2:AF822),$AF$2:$AF$1001,0),1)&gt;=100000,INDEX($AM$1005:$BM$1005,1,MATCH(COLUMNS($AM$1006:AT1006),$AM$1006:$BM$1006,0))&gt;=100000), " ",IF(INDEX($AM$2:$BM$1001,MATCH(ROWS($AF$2:AF822),$AF$2:$AF$1001,0),MATCH(COLUMNS($AM$1006:AT1006),$AM$1006:$BM$1006,0)), HYPERLINK("#",""), HYPERLINK(CONCATENATE("#metadata!", ADDRESS(INDEX($AH$2:$AH$1001,MATCH(ROWS($AF$2:AF822),$AF$2:$AF$1001,0),0), INDEX($AM$1004:$BM$1004,1,MATCH(COLUMNS($AM$1006:AT1006),$AM$1006:$BM$1006,0)))),"Fix")))</f>
        <v xml:space="preserve"> </v>
      </c>
      <c r="J822" s="4" t="str">
        <f ca="1">IF(OR(INDEX($AG$2:$AG$1001,MATCH(ROWS($AF$2:AF822),$AF$2:$AF$1001,0),1)&gt;=100000,INDEX($AM$1005:$BM$1005,1,MATCH(COLUMNS($AM$1006:AU1006),$AM$1006:$BM$1006,0))&gt;=100000), " ",IF(INDEX($AM$2:$BM$1001,MATCH(ROWS($AF$2:AF822),$AF$2:$AF$1001,0),MATCH(COLUMNS($AM$1006:AU1006),$AM$1006:$BM$1006,0)), HYPERLINK("#",""), HYPERLINK(CONCATENATE("#metadata!", ADDRESS(INDEX($AH$2:$AH$1001,MATCH(ROWS($AF$2:AF822),$AF$2:$AF$1001,0),0), INDEX($AM$1004:$BM$1004,1,MATCH(COLUMNS($AM$1006:AU1006),$AM$1006:$BM$1006,0)))),"Fix")))</f>
        <v xml:space="preserve"> </v>
      </c>
      <c r="K822" s="4" t="str">
        <f ca="1">IF(OR(INDEX($AG$2:$AG$1001,MATCH(ROWS($AF$2:AF822),$AF$2:$AF$1001,0),1)&gt;=100000,INDEX($AM$1005:$BM$1005,1,MATCH(COLUMNS($AM$1006:AV1006),$AM$1006:$BM$1006,0))&gt;=100000), " ",IF(INDEX($AM$2:$BM$1001,MATCH(ROWS($AF$2:AF822),$AF$2:$AF$1001,0),MATCH(COLUMNS($AM$1006:AV1006),$AM$1006:$BM$1006,0)), HYPERLINK("#",""), HYPERLINK(CONCATENATE("#metadata!", ADDRESS(INDEX($AH$2:$AH$1001,MATCH(ROWS($AF$2:AF822),$AF$2:$AF$1001,0),0), INDEX($AM$1004:$BM$1004,1,MATCH(COLUMNS($AM$1006:AV1006),$AM$1006:$BM$1006,0)))),"Fix")))</f>
        <v xml:space="preserve"> </v>
      </c>
      <c r="L822" s="4" t="str">
        <f ca="1">IF(OR(INDEX($AG$2:$AG$1001,MATCH(ROWS($AF$2:AF822),$AF$2:$AF$1001,0),1)&gt;=100000,INDEX($AM$1005:$BM$1005,1,MATCH(COLUMNS($AM$1006:AW1006),$AM$1006:$BM$1006,0))&gt;=100000), " ",IF(INDEX($AM$2:$BM$1001,MATCH(ROWS($AF$2:AF822),$AF$2:$AF$1001,0),MATCH(COLUMNS($AM$1006:AW1006),$AM$1006:$BM$1006,0)), HYPERLINK("#",""), HYPERLINK(CONCATENATE("#metadata!", ADDRESS(INDEX($AH$2:$AH$1001,MATCH(ROWS($AF$2:AF822),$AF$2:$AF$1001,0),0), INDEX($AM$1004:$BM$1004,1,MATCH(COLUMNS($AM$1006:AW1006),$AM$1006:$BM$1006,0)))),"Fix")))</f>
        <v xml:space="preserve"> </v>
      </c>
      <c r="M822" s="4" t="str">
        <f ca="1">IF(OR(INDEX($AG$2:$AG$1001,MATCH(ROWS($AF$2:AF822),$AF$2:$AF$1001,0),1)&gt;=100000,INDEX($AM$1005:$BM$1005,1,MATCH(COLUMNS($AM$1006:AX1006),$AM$1006:$BM$1006,0))&gt;=100000), " ",IF(INDEX($AM$2:$BM$1001,MATCH(ROWS($AF$2:AF822),$AF$2:$AF$1001,0),MATCH(COLUMNS($AM$1006:AX1006),$AM$1006:$BM$1006,0)), HYPERLINK("#",""), HYPERLINK(CONCATENATE("#metadata!", ADDRESS(INDEX($AH$2:$AH$1001,MATCH(ROWS($AF$2:AF822),$AF$2:$AF$1001,0),0), INDEX($AM$1004:$BM$1004,1,MATCH(COLUMNS($AM$1006:AX1006),$AM$1006:$BM$1006,0)))),"Fix")))</f>
        <v xml:space="preserve"> </v>
      </c>
      <c r="N822" s="4" t="str">
        <f ca="1">IF(OR(INDEX($AG$2:$AG$1001,MATCH(ROWS($AF$2:AF822),$AF$2:$AF$1001,0),1)&gt;=100000,INDEX($AM$1005:$BM$1005,1,MATCH(COLUMNS($AM$1006:AY1006),$AM$1006:$BM$1006,0))&gt;=100000), " ",IF(INDEX($AM$2:$BM$1001,MATCH(ROWS($AF$2:AF822),$AF$2:$AF$1001,0),MATCH(COLUMNS($AM$1006:AY1006),$AM$1006:$BM$1006,0)), HYPERLINK("#",""), HYPERLINK(CONCATENATE("#metadata!", ADDRESS(INDEX($AH$2:$AH$1001,MATCH(ROWS($AF$2:AF822),$AF$2:$AF$1001,0),0), INDEX($AM$1004:$BM$1004,1,MATCH(COLUMNS($AM$1006:AY1006),$AM$1006:$BM$1006,0)))),"Fix")))</f>
        <v xml:space="preserve"> </v>
      </c>
      <c r="O822" s="4" t="str">
        <f ca="1">IF(OR(INDEX($AG$2:$AG$1001,MATCH(ROWS($AF$2:AF822),$AF$2:$AF$1001,0),1)&gt;=100000,INDEX($AM$1005:$BM$1005,1,MATCH(COLUMNS($AM$1006:AZ1006),$AM$1006:$BM$1006,0))&gt;=100000), " ",IF(INDEX($AM$2:$BM$1001,MATCH(ROWS($AF$2:AF822),$AF$2:$AF$1001,0),MATCH(COLUMNS($AM$1006:AZ1006),$AM$1006:$BM$1006,0)), HYPERLINK("#",""), HYPERLINK(CONCATENATE("#metadata!", ADDRESS(INDEX($AH$2:$AH$1001,MATCH(ROWS($AF$2:AF822),$AF$2:$AF$1001,0),0), INDEX($AM$1004:$BM$1004,1,MATCH(COLUMNS($AM$1006:AZ1006),$AM$1006:$BM$1006,0)))),"Fix")))</f>
        <v xml:space="preserve"> </v>
      </c>
      <c r="P822" s="4" t="str">
        <f ca="1">IF(OR(INDEX($AG$2:$AG$1001,MATCH(ROWS($AF$2:AF822),$AF$2:$AF$1001,0),1)&gt;=100000,INDEX($AM$1005:$BM$1005,1,MATCH(COLUMNS($AM$1006:BA1006),$AM$1006:$BM$1006,0))&gt;=100000), " ",IF(INDEX($AM$2:$BM$1001,MATCH(ROWS($AF$2:AF822),$AF$2:$AF$1001,0),MATCH(COLUMNS($AM$1006:BA1006),$AM$1006:$BM$1006,0)), HYPERLINK("#",""), HYPERLINK(CONCATENATE("#metadata!", ADDRESS(INDEX($AH$2:$AH$1001,MATCH(ROWS($AF$2:AF822),$AF$2:$AF$1001,0),0), INDEX($AM$1004:$BM$1004,1,MATCH(COLUMNS($AM$1006:BA1006),$AM$1006:$BM$1006,0)))),"Fix")))</f>
        <v xml:space="preserve"> </v>
      </c>
      <c r="Q822" s="4" t="str">
        <f ca="1">IF(OR(INDEX($AG$2:$AG$1001,MATCH(ROWS($AF$2:AF822),$AF$2:$AF$1001,0),1)&gt;=100000,INDEX($AM$1005:$BM$1005,1,MATCH(COLUMNS($AM$1006:BB1006),$AM$1006:$BM$1006,0))&gt;=100000), " ",IF(INDEX($AM$2:$BM$1001,MATCH(ROWS($AF$2:AF822),$AF$2:$AF$1001,0),MATCH(COLUMNS($AM$1006:BB1006),$AM$1006:$BM$1006,0)), HYPERLINK("#",""), HYPERLINK(CONCATENATE("#metadata!", ADDRESS(INDEX($AH$2:$AH$1001,MATCH(ROWS($AF$2:AF822),$AF$2:$AF$1001,0),0), INDEX($AM$1004:$BM$1004,1,MATCH(COLUMNS($AM$1006:BB1006),$AM$1006:$BM$1006,0)))),"Fix")))</f>
        <v xml:space="preserve"> </v>
      </c>
      <c r="R822" s="4" t="str">
        <f ca="1">IF(OR(INDEX($AG$2:$AG$1001,MATCH(ROWS($AF$2:AF822),$AF$2:$AF$1001,0),1)&gt;=100000,INDEX($AM$1005:$BM$1005,1,MATCH(COLUMNS($AM$1006:BC1006),$AM$1006:$BM$1006,0))&gt;=100000), " ",IF(INDEX($AM$2:$BM$1001,MATCH(ROWS($AF$2:AF822),$AF$2:$AF$1001,0),MATCH(COLUMNS($AM$1006:BC1006),$AM$1006:$BM$1006,0)), HYPERLINK("#",""), HYPERLINK(CONCATENATE("#metadata!", ADDRESS(INDEX($AH$2:$AH$1001,MATCH(ROWS($AF$2:AF822),$AF$2:$AF$1001,0),0), INDEX($AM$1004:$BM$1004,1,MATCH(COLUMNS($AM$1006:BC1006),$AM$1006:$BM$1006,0)))),"Fix")))</f>
        <v xml:space="preserve"> </v>
      </c>
      <c r="S822" s="4" t="str">
        <f ca="1">IF(OR(INDEX($AG$2:$AG$1001,MATCH(ROWS($AF$2:AF822),$AF$2:$AF$1001,0),1)&gt;=100000,INDEX($AM$1005:$BM$1005,1,MATCH(COLUMNS($AM$1006:BD1006),$AM$1006:$BM$1006,0))&gt;=100000), " ",IF(INDEX($AM$2:$BM$1001,MATCH(ROWS($AF$2:AF822),$AF$2:$AF$1001,0),MATCH(COLUMNS($AM$1006:BD1006),$AM$1006:$BM$1006,0)), HYPERLINK("#",""), HYPERLINK(CONCATENATE("#metadata!", ADDRESS(INDEX($AH$2:$AH$1001,MATCH(ROWS($AF$2:AF822),$AF$2:$AF$1001,0),0), INDEX($AM$1004:$BM$1004,1,MATCH(COLUMNS($AM$1006:BD1006),$AM$1006:$BM$1006,0)))),"Fix")))</f>
        <v xml:space="preserve"> </v>
      </c>
      <c r="T822" s="4" t="str">
        <f ca="1">IF(OR(INDEX($AG$2:$AG$1001,MATCH(ROWS($AF$2:AF822),$AF$2:$AF$1001,0),1)&gt;=100000,INDEX($AM$1005:$BM$1005,1,MATCH(COLUMNS($AM$1006:BE1006),$AM$1006:$BM$1006,0))&gt;=100000), " ",IF(INDEX($AM$2:$BM$1001,MATCH(ROWS($AF$2:AF822),$AF$2:$AF$1001,0),MATCH(COLUMNS($AM$1006:BE1006),$AM$1006:$BM$1006,0)), HYPERLINK("#",""), HYPERLINK(CONCATENATE("#metadata!", ADDRESS(INDEX($AH$2:$AH$1001,MATCH(ROWS($AF$2:AF822),$AF$2:$AF$1001,0),0), INDEX($AM$1004:$BM$1004,1,MATCH(COLUMNS($AM$1006:BE1006),$AM$1006:$BM$1006,0)))),"Fix")))</f>
        <v xml:space="preserve"> </v>
      </c>
      <c r="U822" s="4" t="str">
        <f ca="1">IF(OR(INDEX($AG$2:$AG$1001,MATCH(ROWS($AF$2:AF822),$AF$2:$AF$1001,0),1)&gt;=100000,INDEX($AM$1005:$BM$1005,1,MATCH(COLUMNS($AM$1006:BF1006),$AM$1006:$BM$1006,0))&gt;=100000), " ",IF(INDEX($AM$2:$BM$1001,MATCH(ROWS($AF$2:AF822),$AF$2:$AF$1001,0),MATCH(COLUMNS($AM$1006:BF1006),$AM$1006:$BM$1006,0)), HYPERLINK("#",""), HYPERLINK(CONCATENATE("#metadata!", ADDRESS(INDEX($AH$2:$AH$1001,MATCH(ROWS($AF$2:AF822),$AF$2:$AF$1001,0),0), INDEX($AM$1004:$BM$1004,1,MATCH(COLUMNS($AM$1006:BF1006),$AM$1006:$BM$1006,0)))),"Fix")))</f>
        <v xml:space="preserve"> </v>
      </c>
      <c r="V822" s="4" t="str">
        <f ca="1">IF(OR(INDEX($AG$2:$AG$1001,MATCH(ROWS($AF$2:AF822),$AF$2:$AF$1001,0),1)&gt;=100000,INDEX($AM$1005:$BM$1005,1,MATCH(COLUMNS($AM$1006:BG1006),$AM$1006:$BM$1006,0))&gt;=100000), " ",IF(INDEX($AM$2:$BM$1001,MATCH(ROWS($AF$2:AF822),$AF$2:$AF$1001,0),MATCH(COLUMNS($AM$1006:BG1006),$AM$1006:$BM$1006,0)), HYPERLINK("#",""), HYPERLINK(CONCATENATE("#metadata!", ADDRESS(INDEX($AH$2:$AH$1001,MATCH(ROWS($AF$2:AF822),$AF$2:$AF$1001,0),0), INDEX($AM$1004:$BM$1004,1,MATCH(COLUMNS($AM$1006:BG1006),$AM$1006:$BM$1006,0)))),"Fix")))</f>
        <v xml:space="preserve"> </v>
      </c>
      <c r="W822" s="4" t="str">
        <f ca="1">IF(OR(INDEX($AG$2:$AG$1001,MATCH(ROWS($AF$2:AF822),$AF$2:$AF$1001,0),1)&gt;=100000,INDEX($AM$1005:$BM$1005,1,MATCH(COLUMNS($AM$1006:BH1006),$AM$1006:$BM$1006,0))&gt;=100000), " ",IF(INDEX($AM$2:$BM$1001,MATCH(ROWS($AF$2:AF822),$AF$2:$AF$1001,0),MATCH(COLUMNS($AM$1006:BH1006),$AM$1006:$BM$1006,0)), HYPERLINK("#",""), HYPERLINK(CONCATENATE("#metadata!", ADDRESS(INDEX($AH$2:$AH$1001,MATCH(ROWS($AF$2:AF822),$AF$2:$AF$1001,0),0), INDEX($AM$1004:$BM$1004,1,MATCH(COLUMNS($AM$1006:BH1006),$AM$1006:$BM$1006,0)))),"Fix")))</f>
        <v xml:space="preserve"> </v>
      </c>
      <c r="X822" s="4" t="str">
        <f ca="1">IF(OR(INDEX($AG$2:$AG$1001,MATCH(ROWS($AF$2:AF822),$AF$2:$AF$1001,0),1)&gt;=100000,INDEX($AM$1005:$BM$1005,1,MATCH(COLUMNS($AM$1006:BI1006),$AM$1006:$BM$1006,0))&gt;=100000), " ",IF(INDEX($AM$2:$BM$1001,MATCH(ROWS($AF$2:AF822),$AF$2:$AF$1001,0),MATCH(COLUMNS($AM$1006:BI1006),$AM$1006:$BM$1006,0)), HYPERLINK("#",""), HYPERLINK(CONCATENATE("#metadata!", ADDRESS(INDEX($AH$2:$AH$1001,MATCH(ROWS($AF$2:AF822),$AF$2:$AF$1001,0),0), INDEX($AM$1004:$BM$1004,1,MATCH(COLUMNS($AM$1006:BI1006),$AM$1006:$BM$1006,0)))),"Fix")))</f>
        <v xml:space="preserve"> </v>
      </c>
      <c r="Y822" s="4" t="str">
        <f ca="1">IF(OR(INDEX($AG$2:$AG$1001,MATCH(ROWS($AF$2:AF822),$AF$2:$AF$1001,0),1)&gt;=100000,INDEX($AM$1005:$BM$1005,1,MATCH(COLUMNS($AM$1006:BJ1006),$AM$1006:$BM$1006,0))&gt;=100000), " ",IF(INDEX($AM$2:$BM$1001,MATCH(ROWS($AF$2:AF822),$AF$2:$AF$1001,0),MATCH(COLUMNS($AM$1006:BJ1006),$AM$1006:$BM$1006,0)), HYPERLINK("#",""), HYPERLINK(CONCATENATE("#metadata!", ADDRESS(INDEX($AH$2:$AH$1001,MATCH(ROWS($AF$2:AF822),$AF$2:$AF$1001,0),0), INDEX($AM$1004:$BM$1004,1,MATCH(COLUMNS($AM$1006:BJ1006),$AM$1006:$BM$1006,0)))),"Fix")))</f>
        <v xml:space="preserve"> </v>
      </c>
      <c r="Z822" s="4" t="str">
        <f ca="1">IF(OR(INDEX($AG$2:$AG$1001,MATCH(ROWS($AF$2:AF822),$AF$2:$AF$1001,0),1)&gt;=100000,INDEX($AM$1005:$BM$1005,1,MATCH(COLUMNS($AM$1006:BK1006),$AM$1006:$BM$1006,0))&gt;=100000), " ",IF(INDEX($AM$2:$BM$1001,MATCH(ROWS($AF$2:AF822),$AF$2:$AF$1001,0),MATCH(COLUMNS($AM$1006:BK1006),$AM$1006:$BM$1006,0)), HYPERLINK("#",""), HYPERLINK(CONCATENATE("#metadata!", ADDRESS(INDEX($AH$2:$AH$1001,MATCH(ROWS($AF$2:AF822),$AF$2:$AF$1001,0),0), INDEX($AM$1004:$BM$1004,1,MATCH(COLUMNS($AM$1006:BK1006),$AM$1006:$BM$1006,0)))),"Fix")))</f>
        <v xml:space="preserve"> </v>
      </c>
      <c r="AA822" s="4" t="str">
        <f ca="1">IF(OR(INDEX($AG$2:$AG$1001,MATCH(ROWS($AF$2:AF822),$AF$2:$AF$1001,0),1)&gt;=100000,INDEX($AM$1005:$BM$1005,1,MATCH(COLUMNS($AM$1006:BL1006),$AM$1006:$BM$1006,0))&gt;=100000), " ",IF(INDEX($AM$2:$BM$1001,MATCH(ROWS($AF$2:AF822),$AF$2:$AF$1001,0),MATCH(COLUMNS($AM$1006:BL1006),$AM$1006:$BM$1006,0)), HYPERLINK("#",""), HYPERLINK(CONCATENATE("#metadata!", ADDRESS(INDEX($AH$2:$AH$1001,MATCH(ROWS($AF$2:AF822),$AF$2:$AF$1001,0),0), INDEX($AM$1004:$BM$1004,1,MATCH(COLUMNS($AM$1006:BL1006),$AM$1006:$BM$1006,0)))),"Fix")))</f>
        <v xml:space="preserve"> </v>
      </c>
      <c r="AB822" s="4" t="str">
        <f ca="1">IF(OR(INDEX($AG$2:$AG$1001,MATCH(ROWS($AF$2:AF822),$AF$2:$AF$1001,0),1)&gt;=100000,INDEX($AM$1005:$BM$1005,1,MATCH(COLUMNS($AM$1006:BM1006),$AM$1006:$BM$1006,0))&gt;=100000), " ",IF(INDEX($AM$2:$BM$1001,MATCH(ROWS($AF$2:AF822),$AF$2:$AF$1001,0),MATCH(COLUMNS($AM$1006:BM1006),$AM$1006:$BM$1006,0)), HYPERLINK("#",""), HYPERLINK(CONCATENATE("#metadata!", ADDRESS(INDEX($AH$2:$AH$1001,MATCH(ROWS($AF$2:AF822),$AF$2:$AF$1001,0),0), INDEX($AM$1004:$BM$1004,1,MATCH(COLUMNS($AM$1006:BM1006),$AM$1006:$BM$1006,0)))),"Fix")))</f>
        <v xml:space="preserve"> </v>
      </c>
      <c r="AF822">
        <v>821</v>
      </c>
      <c r="AG822">
        <v>100822</v>
      </c>
      <c r="AH822">
        <v>822</v>
      </c>
      <c r="AI822" t="b">
        <f t="shared" si="12"/>
        <v>1</v>
      </c>
      <c r="AJ822" t="b">
        <f>COUNTBLANK(metadata!B822:AB822)=COLUMNS(metadata!B822:AB822)</f>
        <v>1</v>
      </c>
      <c r="AK822" t="str">
        <v/>
      </c>
      <c r="AM822" t="b">
        <f ca="1">AND(IF(metadata!B822="",FALSE,TRUE),COUNTIF(metadata!B:B, metadata!B822) = 1,NOT(ISERROR(SUMPRODUCT(SEARCH(MID(metadata!B822,ROW(INDIRECT("1:"&amp;LEN(metadata!B822))), 1),"0123456789abcdefghijklmnopqrstuvwxyzABCDEFGHIJKLMNOPQRSTUVWXYZ.")))))</f>
        <v>0</v>
      </c>
      <c r="AN822" t="b">
        <f ca="1">OR(AND(IF(metadata!C822="",FALSE,TRUE),OR(EXACT(metadata!C822,"missing: not collected"),EXACT(metadata!C822,"missing: not provided"),EXACT(metadata!C822,"missing: restricted access"))),AND(IF(metadata!C822="",FALSE,TRUE),AND(AND(IFERROR(INT(LEFT(metadata!C822,4))&gt;1900,FALSE),IFERROR(INT(LEFT(metadata!C822,4))&lt;=YEAR(NOW()),FALSE)), OR(MID(metadata!C822,5,1)="", AND(AND(MID(metadata!C822,5,1)="-",IFERROR(INT(MID(metadata!C822,6,1))&gt;=0,FALSE),IFERROR(INT(MID(metadata!C822,6,1))&lt;=1,FALSE),NOT(MID(metadata!C822,7,1)=""),IFERROR(INT(MID(metadata!C822,6,2))&gt;=1,FALSE),IFERROR(INT(MID(metadata!C822,6,2))&lt;=12,FALSE)), OR(MID(metadata!C822,8,1)="", AND(AND(MID(metadata!C822,8,1)="-",IFERROR(INT(MID(metadata!C822,9,1))&gt;=0,FALSE),IFERROR(INT(MID(metadata!C822,9,1))&lt;=3,FALSE),NOT(MID(metadata!C822,10,1)=""),IFERROR(INT(MID(metadata!C822,9,2))&gt;=1,FALSE),IFERROR(INT(MID(metadata!C822,9,2))&lt;=31,FALSE)), OR(MID(metadata!C822,11,1)="", AND(AND(MID(metadata!C822,11,1)=" ",IFERROR(INT(MID(metadata!C822,12,1))&gt;=0,FALSE),IFERROR(INT(MID(metadata!C822,12,1))&lt;=2,FALSE),NOT(MID(metadata!C822,13,1)=""),IFERROR(INT(MID(metadata!C822,12,2))&gt;=0,FALSE),IFERROR(INT(MID(metadata!C822,12,2))&lt;=23,FALSE)), OR(MID(metadata!C822,14,1)="", AND(AND(MID(metadata!C822,14,1)=":",IFERROR(INT(MID(metadata!C822,15,1))&gt;=0,FALSE),IFERROR(INT(MID(metadata!C822,15,1))&lt;=5,FALSE),NOT(MID(metadata!C822,16,1)=""),IFERROR(INT(MID(metadata!C822,15,2))&gt;=0,FALSE),IFERROR(INT(MID(metadata!C822,15,2))&lt;=59,FALSE)), OR(MID(metadata!C822,17,1)="", AND(AND(MID(metadata!C822,17,1)=":",IFERROR(INT(MID(metadata!C822,18,1))&gt;=0,FALSE),IFERROR(INT(MID(metadata!C822,18,1))&lt;=5,FALSE),NOT(MID(metadata!C822,19,1)=""),IFERROR(INT(MID(metadata!C822,18,2))&gt;=0,FALSE),IFERROR(INT(MID(metadata!C822,18,2))&lt;=59,FALSE)), LEN(metadata!C822)&lt;=19)))))))))))))</f>
        <v>0</v>
      </c>
      <c r="AO822" t="b">
        <f>AND(IF(metadata!D822="",FALSE,TRUE),EXACT(metadata!D822,"Not applicable"))</f>
        <v>0</v>
      </c>
      <c r="AP822" t="b">
        <f>IF(metadata!E822="",FALSE,TRUE)</f>
        <v>0</v>
      </c>
      <c r="AQ822" t="b">
        <f>OR(AND(IF(metadata!F822="",FALSE,TRUE),OR(EXACT(metadata!F822,"missing: not collected"),EXACT(metadata!F822,"missing: not provided"))),AND(IF(metadata!F822="",FALSE,TRUE),OR(EXACT(metadata!F822,"TRUE"),EXACT(metadata!F822,"FALSE"))))</f>
        <v>0</v>
      </c>
      <c r="AR822" t="b">
        <f>OR(AND(IF(metadata!G822="",FALSE,TRUE),OR(EXACT(metadata!G822,"missing: not collected"),EXACT(metadata!G822,"missing: not provided"),EXACT(metadata!G822,"missing: restricted access"))),AND(IF(metadata!G822="",FALSE,ISNUMBER(VALUE(metadata!G822))),metadata!G822&gt;=-413))</f>
        <v>0</v>
      </c>
      <c r="AS822" t="b">
        <f>AND(IF(metadata!H822="",FALSE,TRUE),EXACT(metadata!H822,"meters"))</f>
        <v>0</v>
      </c>
      <c r="AT822" t="b">
        <f>AND(IF(metadata!I822="",FALSE,TRUE),OR(EXACT(metadata!I822,"Host-associated"),EXACT(metadata!I822,"Free-living")))</f>
        <v>0</v>
      </c>
      <c r="AU822" t="b">
        <f>AND(IF(metadata!J822="",FALSE,TRUE),OR(EXACT(metadata!J822,"Animal"),EXACT(metadata!J822,"Fungus"),EXACT(metadata!J822,"Plant"),EXACT(metadata!J822,"Saline"),EXACT(metadata!J822,"Non-saline")))</f>
        <v>0</v>
      </c>
      <c r="AV822" t="b">
        <f>AND(IF(metadata!K822="",FALSE,TRUE),OR(EXACT(metadata!K822,"Plant secretion"),EXACT(metadata!K822,"Plant rhizosphere"),EXACT(metadata!K822,"Plant surface"),EXACT(metadata!K822,"Plant corpus"),EXACT(metadata!K822,"Fungus surface"),EXACT(metadata!K822,"Fungus corpus"),EXACT(metadata!K822,"Animal surface"),EXACT(metadata!K822,"Animal proximal gut"),EXACT(metadata!K822,"Animal corpus"),EXACT(metadata!K822,"Animal distal gut"),EXACT(metadata!K822,"Animal secretion"),EXACT(metadata!K822,"Sub-surface (non-saline)"),EXACT(metadata!K822,"Surface (non-saline)"),EXACT(metadata!K822,"Water (non-saline)"),EXACT(metadata!K822,"Soil (non-saline)"),EXACT(metadata!K822,"Aerosol (non-saline)"),EXACT(metadata!K822,"Sediment (non-saline)"),EXACT(metadata!K822,"Surface (saline)"),EXACT(metadata!K822,"Water (saline)"),EXACT(metadata!K822,"Hypersaline (saline)"),EXACT(metadata!K822,"Aerosol (saline)"),EXACT(metadata!K822,"Sediment (saline)")))</f>
        <v>0</v>
      </c>
      <c r="AW822" t="b">
        <f>IF(metadata!L822="",FALSE,TRUE)</f>
        <v>0</v>
      </c>
      <c r="AX822" t="b">
        <f>IF(metadata!M822="",FALSE,TRUE)</f>
        <v>0</v>
      </c>
      <c r="AY822" t="b">
        <f>IF(metadata!N822="",FALSE,TRUE)</f>
        <v>0</v>
      </c>
      <c r="AZ822" t="b">
        <f>OR(AND(IF(metadata!O822="",FALSE,TRUE),OR(EXACT(metadata!O822,"missing: not collected"),EXACT(metadata!O822,"missing: not provided"),EXACT(metadata!O822,"missing: restricted access"))),AND(IF(metadata!O822="",FALSE,TRUE),OR(EXACT(metadata!O822,"air"),EXACT(metadata!O822,"built environment"),EXACT(metadata!O822,"host-associated"),EXACT(metadata!O822,"human-associated"),EXACT(metadata!O822,"human-skin"),EXACT(metadata!O822,"human-oral"),EXACT(metadata!O822,"human-gut"),EXACT(metadata!O822,"human-vaginal"),EXACT(metadata!O822,"microbial mat/biofilm"),EXACT(metadata!O822,"misc environment"),EXACT(metadata!O822,"plant-associated"),EXACT(metadata!O822,"sediment"),EXACT(metadata!O822,"soil"),EXACT(metadata!O822,"wastewater/sludge"),EXACT(metadata!O822,"water"))))</f>
        <v>0</v>
      </c>
      <c r="BA822" t="b">
        <f>IF(metadata!P822="",FALSE,TRUE)</f>
        <v>0</v>
      </c>
      <c r="BB822" t="b">
        <f>IF(metadata!Q822="",FALSE,TRUE)</f>
        <v>0</v>
      </c>
      <c r="BC822" t="b">
        <f>OR(AND(IF(metadata!R822="",FALSE,TRUE),OR(EXACT(metadata!R822,"missing: not collected"),EXACT(metadata!R822,"missing: not provided"),EXACT(metadata!R822,"missing: restricted access"))),AND(IF(metadata!R822="",FALSE,ISNUMBER(VALUE(metadata!R822))),metadata!R822&gt;=-90,metadata!R822&lt;=90))</f>
        <v>0</v>
      </c>
      <c r="BD822" t="b">
        <f>AND(IF(metadata!S822="",FALSE,TRUE),EXACT(metadata!S822,"Decimal degrees"))</f>
        <v>0</v>
      </c>
      <c r="BE822" t="b">
        <f>OR(AND(IF(metadata!T822="",FALSE,TRUE),OR(EXACT(metadata!T822,"missing: not collected"),EXACT(metadata!T822,"missing: not provided"),EXACT(metadata!T822,"missing: restricted access"))),AND(IF(metadata!T822="",FALSE,ISNUMBER(VALUE(metadata!T822))),metadata!T822&gt;=-180,metadata!T822&lt;=180))</f>
        <v>0</v>
      </c>
      <c r="BF822" t="b">
        <f>AND(IF(metadata!U822="",FALSE,TRUE),EXACT(metadata!U822,"Decimal degrees"))</f>
        <v>0</v>
      </c>
      <c r="BG822" t="b">
        <f>IF(metadata!V822="",FALSE,TRUE)</f>
        <v>0</v>
      </c>
      <c r="BH822" t="b">
        <f>OR(AND(IF(metadata!W822="",FALSE,TRUE),OR(EXACT(metadata!W822,"missing: not collected"),EXACT(metadata!W822,"missing: not provided"),EXACT(metadata!W822,"missing: restricted access"))),AND(IF(metadata!W822="",FALSE,TRUE),OR(EXACT(metadata!W822,"TRUE"),EXACT(metadata!W822,"FALSE"))))</f>
        <v>0</v>
      </c>
      <c r="BI822" t="b">
        <f>AND(IF(metadata!X822="",FALSE,TRUE),EXACT(metadata!X822,"other"))</f>
        <v>0</v>
      </c>
      <c r="BJ822" t="b">
        <f>IF(metadata!Y822="",FALSE,TRUE)</f>
        <v>0</v>
      </c>
      <c r="BK822" t="b">
        <f>OR(AND(IF(metadata!Z822="",FALSE,TRUE),OR(EXACT(metadata!Z822,"missing: not collected"),EXACT(metadata!Z822,"missing: not provided"))),AND(IF(metadata!Z822="",FALSE,IF(ISERROR(INT(metadata!Z822)),FALSE,INT(metadata!Z822)=metadata!Z822)),metadata!Z822&gt;0))</f>
        <v>0</v>
      </c>
      <c r="BL822" t="b">
        <f>AND(IF(metadata!AA822="",FALSE,TRUE),EXACT(metadata!AA822,"Not applicable"))</f>
        <v>0</v>
      </c>
      <c r="BM822" t="b">
        <f>IF(metadata!AB822="",FALSE,TRUE)</f>
        <v>0</v>
      </c>
    </row>
    <row r="823" spans="1:65" x14ac:dyDescent="0.2">
      <c r="A823" s="5" t="str">
        <f ca="1">IF(B823=" "," ",HYPERLINK(CONCATENATE("#metadata!",ADDRESS(INDEX($AH$2:$AH$1001,MATCH(ROWS($AF$2:AF823),$AF$2:$AF$1001,0),0),1)),INDEX($AK$2:$AK$1001,MATCH(ROWS($AF$2:AF823),$AF$2:$AF$1001,0),0)))</f>
        <v xml:space="preserve"> </v>
      </c>
      <c r="B823" s="4" t="str">
        <f ca="1">IF(OR(INDEX($AG$2:$AG$1001,MATCH(ROWS($AF$2:AF823),$AF$2:$AF$1001,0),1)&gt;=100000,INDEX($AM$1005:$BM$1005,1,MATCH(COLUMNS($AM$1006:AM1006),$AM$1006:$BM$1006,0))&gt;=100000), " ",IF(INDEX($AM$2:$BM$1001,MATCH(ROWS($AF$2:AF823),$AF$2:$AF$1001,0),MATCH(COLUMNS($AM$1006:AM1006),$AM$1006:$BM$1006,0)), HYPERLINK("#",""), HYPERLINK(CONCATENATE("#metadata!", ADDRESS(INDEX($AH$2:$AH$1001,MATCH(ROWS($AF$2:AF823),$AF$2:$AF$1001,0),0), INDEX($AM$1004:$BM$1004,1,MATCH(COLUMNS($AM$1006:AM1006),$AM$1006:$BM$1006,0)))),"Fix")))</f>
        <v xml:space="preserve"> </v>
      </c>
      <c r="C823" s="4" t="str">
        <f ca="1">IF(OR(INDEX($AG$2:$AG$1001,MATCH(ROWS($AF$2:AF823),$AF$2:$AF$1001,0),1)&gt;=100000,INDEX($AM$1005:$BM$1005,1,MATCH(COLUMNS($AM$1006:AN1006),$AM$1006:$BM$1006,0))&gt;=100000), " ",IF(INDEX($AM$2:$BM$1001,MATCH(ROWS($AF$2:AF823),$AF$2:$AF$1001,0),MATCH(COLUMNS($AM$1006:AN1006),$AM$1006:$BM$1006,0)), HYPERLINK("#",""), HYPERLINK(CONCATENATE("#metadata!", ADDRESS(INDEX($AH$2:$AH$1001,MATCH(ROWS($AF$2:AF823),$AF$2:$AF$1001,0),0), INDEX($AM$1004:$BM$1004,1,MATCH(COLUMNS($AM$1006:AN1006),$AM$1006:$BM$1006,0)))),"Fix")))</f>
        <v xml:space="preserve"> </v>
      </c>
      <c r="D823" s="4" t="str">
        <f ca="1">IF(OR(INDEX($AG$2:$AG$1001,MATCH(ROWS($AF$2:AF823),$AF$2:$AF$1001,0),1)&gt;=100000,INDEX($AM$1005:$BM$1005,1,MATCH(COLUMNS($AM$1006:AO1006),$AM$1006:$BM$1006,0))&gt;=100000), " ",IF(INDEX($AM$2:$BM$1001,MATCH(ROWS($AF$2:AF823),$AF$2:$AF$1001,0),MATCH(COLUMNS($AM$1006:AO1006),$AM$1006:$BM$1006,0)), HYPERLINK("#",""), HYPERLINK(CONCATENATE("#metadata!", ADDRESS(INDEX($AH$2:$AH$1001,MATCH(ROWS($AF$2:AF823),$AF$2:$AF$1001,0),0), INDEX($AM$1004:$BM$1004,1,MATCH(COLUMNS($AM$1006:AO1006),$AM$1006:$BM$1006,0)))),"Fix")))</f>
        <v xml:space="preserve"> </v>
      </c>
      <c r="E823" s="4" t="str">
        <f ca="1">IF(OR(INDEX($AG$2:$AG$1001,MATCH(ROWS($AF$2:AF823),$AF$2:$AF$1001,0),1)&gt;=100000,INDEX($AM$1005:$BM$1005,1,MATCH(COLUMNS($AM$1006:AP1006),$AM$1006:$BM$1006,0))&gt;=100000), " ",IF(INDEX($AM$2:$BM$1001,MATCH(ROWS($AF$2:AF823),$AF$2:$AF$1001,0),MATCH(COLUMNS($AM$1006:AP1006),$AM$1006:$BM$1006,0)), HYPERLINK("#",""), HYPERLINK(CONCATENATE("#metadata!", ADDRESS(INDEX($AH$2:$AH$1001,MATCH(ROWS($AF$2:AF823),$AF$2:$AF$1001,0),0), INDEX($AM$1004:$BM$1004,1,MATCH(COLUMNS($AM$1006:AP1006),$AM$1006:$BM$1006,0)))),"Fix")))</f>
        <v xml:space="preserve"> </v>
      </c>
      <c r="F823" s="4" t="str">
        <f ca="1">IF(OR(INDEX($AG$2:$AG$1001,MATCH(ROWS($AF$2:AF823),$AF$2:$AF$1001,0),1)&gt;=100000,INDEX($AM$1005:$BM$1005,1,MATCH(COLUMNS($AM$1006:AQ1006),$AM$1006:$BM$1006,0))&gt;=100000), " ",IF(INDEX($AM$2:$BM$1001,MATCH(ROWS($AF$2:AF823),$AF$2:$AF$1001,0),MATCH(COLUMNS($AM$1006:AQ1006),$AM$1006:$BM$1006,0)), HYPERLINK("#",""), HYPERLINK(CONCATENATE("#metadata!", ADDRESS(INDEX($AH$2:$AH$1001,MATCH(ROWS($AF$2:AF823),$AF$2:$AF$1001,0),0), INDEX($AM$1004:$BM$1004,1,MATCH(COLUMNS($AM$1006:AQ1006),$AM$1006:$BM$1006,0)))),"Fix")))</f>
        <v xml:space="preserve"> </v>
      </c>
      <c r="G823" s="4" t="str">
        <f ca="1">IF(OR(INDEX($AG$2:$AG$1001,MATCH(ROWS($AF$2:AF823),$AF$2:$AF$1001,0),1)&gt;=100000,INDEX($AM$1005:$BM$1005,1,MATCH(COLUMNS($AM$1006:AR1006),$AM$1006:$BM$1006,0))&gt;=100000), " ",IF(INDEX($AM$2:$BM$1001,MATCH(ROWS($AF$2:AF823),$AF$2:$AF$1001,0),MATCH(COLUMNS($AM$1006:AR1006),$AM$1006:$BM$1006,0)), HYPERLINK("#",""), HYPERLINK(CONCATENATE("#metadata!", ADDRESS(INDEX($AH$2:$AH$1001,MATCH(ROWS($AF$2:AF823),$AF$2:$AF$1001,0),0), INDEX($AM$1004:$BM$1004,1,MATCH(COLUMNS($AM$1006:AR1006),$AM$1006:$BM$1006,0)))),"Fix")))</f>
        <v xml:space="preserve"> </v>
      </c>
      <c r="H823" s="4" t="str">
        <f ca="1">IF(OR(INDEX($AG$2:$AG$1001,MATCH(ROWS($AF$2:AF823),$AF$2:$AF$1001,0),1)&gt;=100000,INDEX($AM$1005:$BM$1005,1,MATCH(COLUMNS($AM$1006:AS1006),$AM$1006:$BM$1006,0))&gt;=100000), " ",IF(INDEX($AM$2:$BM$1001,MATCH(ROWS($AF$2:AF823),$AF$2:$AF$1001,0),MATCH(COLUMNS($AM$1006:AS1006),$AM$1006:$BM$1006,0)), HYPERLINK("#",""), HYPERLINK(CONCATENATE("#metadata!", ADDRESS(INDEX($AH$2:$AH$1001,MATCH(ROWS($AF$2:AF823),$AF$2:$AF$1001,0),0), INDEX($AM$1004:$BM$1004,1,MATCH(COLUMNS($AM$1006:AS1006),$AM$1006:$BM$1006,0)))),"Fix")))</f>
        <v xml:space="preserve"> </v>
      </c>
      <c r="I823" s="4" t="str">
        <f ca="1">IF(OR(INDEX($AG$2:$AG$1001,MATCH(ROWS($AF$2:AF823),$AF$2:$AF$1001,0),1)&gt;=100000,INDEX($AM$1005:$BM$1005,1,MATCH(COLUMNS($AM$1006:AT1006),$AM$1006:$BM$1006,0))&gt;=100000), " ",IF(INDEX($AM$2:$BM$1001,MATCH(ROWS($AF$2:AF823),$AF$2:$AF$1001,0),MATCH(COLUMNS($AM$1006:AT1006),$AM$1006:$BM$1006,0)), HYPERLINK("#",""), HYPERLINK(CONCATENATE("#metadata!", ADDRESS(INDEX($AH$2:$AH$1001,MATCH(ROWS($AF$2:AF823),$AF$2:$AF$1001,0),0), INDEX($AM$1004:$BM$1004,1,MATCH(COLUMNS($AM$1006:AT1006),$AM$1006:$BM$1006,0)))),"Fix")))</f>
        <v xml:space="preserve"> </v>
      </c>
      <c r="J823" s="4" t="str">
        <f ca="1">IF(OR(INDEX($AG$2:$AG$1001,MATCH(ROWS($AF$2:AF823),$AF$2:$AF$1001,0),1)&gt;=100000,INDEX($AM$1005:$BM$1005,1,MATCH(COLUMNS($AM$1006:AU1006),$AM$1006:$BM$1006,0))&gt;=100000), " ",IF(INDEX($AM$2:$BM$1001,MATCH(ROWS($AF$2:AF823),$AF$2:$AF$1001,0),MATCH(COLUMNS($AM$1006:AU1006),$AM$1006:$BM$1006,0)), HYPERLINK("#",""), HYPERLINK(CONCATENATE("#metadata!", ADDRESS(INDEX($AH$2:$AH$1001,MATCH(ROWS($AF$2:AF823),$AF$2:$AF$1001,0),0), INDEX($AM$1004:$BM$1004,1,MATCH(COLUMNS($AM$1006:AU1006),$AM$1006:$BM$1006,0)))),"Fix")))</f>
        <v xml:space="preserve"> </v>
      </c>
      <c r="K823" s="4" t="str">
        <f ca="1">IF(OR(INDEX($AG$2:$AG$1001,MATCH(ROWS($AF$2:AF823),$AF$2:$AF$1001,0),1)&gt;=100000,INDEX($AM$1005:$BM$1005,1,MATCH(COLUMNS($AM$1006:AV1006),$AM$1006:$BM$1006,0))&gt;=100000), " ",IF(INDEX($AM$2:$BM$1001,MATCH(ROWS($AF$2:AF823),$AF$2:$AF$1001,0),MATCH(COLUMNS($AM$1006:AV1006),$AM$1006:$BM$1006,0)), HYPERLINK("#",""), HYPERLINK(CONCATENATE("#metadata!", ADDRESS(INDEX($AH$2:$AH$1001,MATCH(ROWS($AF$2:AF823),$AF$2:$AF$1001,0),0), INDEX($AM$1004:$BM$1004,1,MATCH(COLUMNS($AM$1006:AV1006),$AM$1006:$BM$1006,0)))),"Fix")))</f>
        <v xml:space="preserve"> </v>
      </c>
      <c r="L823" s="4" t="str">
        <f ca="1">IF(OR(INDEX($AG$2:$AG$1001,MATCH(ROWS($AF$2:AF823),$AF$2:$AF$1001,0),1)&gt;=100000,INDEX($AM$1005:$BM$1005,1,MATCH(COLUMNS($AM$1006:AW1006),$AM$1006:$BM$1006,0))&gt;=100000), " ",IF(INDEX($AM$2:$BM$1001,MATCH(ROWS($AF$2:AF823),$AF$2:$AF$1001,0),MATCH(COLUMNS($AM$1006:AW1006),$AM$1006:$BM$1006,0)), HYPERLINK("#",""), HYPERLINK(CONCATENATE("#metadata!", ADDRESS(INDEX($AH$2:$AH$1001,MATCH(ROWS($AF$2:AF823),$AF$2:$AF$1001,0),0), INDEX($AM$1004:$BM$1004,1,MATCH(COLUMNS($AM$1006:AW1006),$AM$1006:$BM$1006,0)))),"Fix")))</f>
        <v xml:space="preserve"> </v>
      </c>
      <c r="M823" s="4" t="str">
        <f ca="1">IF(OR(INDEX($AG$2:$AG$1001,MATCH(ROWS($AF$2:AF823),$AF$2:$AF$1001,0),1)&gt;=100000,INDEX($AM$1005:$BM$1005,1,MATCH(COLUMNS($AM$1006:AX1006),$AM$1006:$BM$1006,0))&gt;=100000), " ",IF(INDEX($AM$2:$BM$1001,MATCH(ROWS($AF$2:AF823),$AF$2:$AF$1001,0),MATCH(COLUMNS($AM$1006:AX1006),$AM$1006:$BM$1006,0)), HYPERLINK("#",""), HYPERLINK(CONCATENATE("#metadata!", ADDRESS(INDEX($AH$2:$AH$1001,MATCH(ROWS($AF$2:AF823),$AF$2:$AF$1001,0),0), INDEX($AM$1004:$BM$1004,1,MATCH(COLUMNS($AM$1006:AX1006),$AM$1006:$BM$1006,0)))),"Fix")))</f>
        <v xml:space="preserve"> </v>
      </c>
      <c r="N823" s="4" t="str">
        <f ca="1">IF(OR(INDEX($AG$2:$AG$1001,MATCH(ROWS($AF$2:AF823),$AF$2:$AF$1001,0),1)&gt;=100000,INDEX($AM$1005:$BM$1005,1,MATCH(COLUMNS($AM$1006:AY1006),$AM$1006:$BM$1006,0))&gt;=100000), " ",IF(INDEX($AM$2:$BM$1001,MATCH(ROWS($AF$2:AF823),$AF$2:$AF$1001,0),MATCH(COLUMNS($AM$1006:AY1006),$AM$1006:$BM$1006,0)), HYPERLINK("#",""), HYPERLINK(CONCATENATE("#metadata!", ADDRESS(INDEX($AH$2:$AH$1001,MATCH(ROWS($AF$2:AF823),$AF$2:$AF$1001,0),0), INDEX($AM$1004:$BM$1004,1,MATCH(COLUMNS($AM$1006:AY1006),$AM$1006:$BM$1006,0)))),"Fix")))</f>
        <v xml:space="preserve"> </v>
      </c>
      <c r="O823" s="4" t="str">
        <f ca="1">IF(OR(INDEX($AG$2:$AG$1001,MATCH(ROWS($AF$2:AF823),$AF$2:$AF$1001,0),1)&gt;=100000,INDEX($AM$1005:$BM$1005,1,MATCH(COLUMNS($AM$1006:AZ1006),$AM$1006:$BM$1006,0))&gt;=100000), " ",IF(INDEX($AM$2:$BM$1001,MATCH(ROWS($AF$2:AF823),$AF$2:$AF$1001,0),MATCH(COLUMNS($AM$1006:AZ1006),$AM$1006:$BM$1006,0)), HYPERLINK("#",""), HYPERLINK(CONCATENATE("#metadata!", ADDRESS(INDEX($AH$2:$AH$1001,MATCH(ROWS($AF$2:AF823),$AF$2:$AF$1001,0),0), INDEX($AM$1004:$BM$1004,1,MATCH(COLUMNS($AM$1006:AZ1006),$AM$1006:$BM$1006,0)))),"Fix")))</f>
        <v xml:space="preserve"> </v>
      </c>
      <c r="P823" s="4" t="str">
        <f ca="1">IF(OR(INDEX($AG$2:$AG$1001,MATCH(ROWS($AF$2:AF823),$AF$2:$AF$1001,0),1)&gt;=100000,INDEX($AM$1005:$BM$1005,1,MATCH(COLUMNS($AM$1006:BA1006),$AM$1006:$BM$1006,0))&gt;=100000), " ",IF(INDEX($AM$2:$BM$1001,MATCH(ROWS($AF$2:AF823),$AF$2:$AF$1001,0),MATCH(COLUMNS($AM$1006:BA1006),$AM$1006:$BM$1006,0)), HYPERLINK("#",""), HYPERLINK(CONCATENATE("#metadata!", ADDRESS(INDEX($AH$2:$AH$1001,MATCH(ROWS($AF$2:AF823),$AF$2:$AF$1001,0),0), INDEX($AM$1004:$BM$1004,1,MATCH(COLUMNS($AM$1006:BA1006),$AM$1006:$BM$1006,0)))),"Fix")))</f>
        <v xml:space="preserve"> </v>
      </c>
      <c r="Q823" s="4" t="str">
        <f ca="1">IF(OR(INDEX($AG$2:$AG$1001,MATCH(ROWS($AF$2:AF823),$AF$2:$AF$1001,0),1)&gt;=100000,INDEX($AM$1005:$BM$1005,1,MATCH(COLUMNS($AM$1006:BB1006),$AM$1006:$BM$1006,0))&gt;=100000), " ",IF(INDEX($AM$2:$BM$1001,MATCH(ROWS($AF$2:AF823),$AF$2:$AF$1001,0),MATCH(COLUMNS($AM$1006:BB1006),$AM$1006:$BM$1006,0)), HYPERLINK("#",""), HYPERLINK(CONCATENATE("#metadata!", ADDRESS(INDEX($AH$2:$AH$1001,MATCH(ROWS($AF$2:AF823),$AF$2:$AF$1001,0),0), INDEX($AM$1004:$BM$1004,1,MATCH(COLUMNS($AM$1006:BB1006),$AM$1006:$BM$1006,0)))),"Fix")))</f>
        <v xml:space="preserve"> </v>
      </c>
      <c r="R823" s="4" t="str">
        <f ca="1">IF(OR(INDEX($AG$2:$AG$1001,MATCH(ROWS($AF$2:AF823),$AF$2:$AF$1001,0),1)&gt;=100000,INDEX($AM$1005:$BM$1005,1,MATCH(COLUMNS($AM$1006:BC1006),$AM$1006:$BM$1006,0))&gt;=100000), " ",IF(INDEX($AM$2:$BM$1001,MATCH(ROWS($AF$2:AF823),$AF$2:$AF$1001,0),MATCH(COLUMNS($AM$1006:BC1006),$AM$1006:$BM$1006,0)), HYPERLINK("#",""), HYPERLINK(CONCATENATE("#metadata!", ADDRESS(INDEX($AH$2:$AH$1001,MATCH(ROWS($AF$2:AF823),$AF$2:$AF$1001,0),0), INDEX($AM$1004:$BM$1004,1,MATCH(COLUMNS($AM$1006:BC1006),$AM$1006:$BM$1006,0)))),"Fix")))</f>
        <v xml:space="preserve"> </v>
      </c>
      <c r="S823" s="4" t="str">
        <f ca="1">IF(OR(INDEX($AG$2:$AG$1001,MATCH(ROWS($AF$2:AF823),$AF$2:$AF$1001,0),1)&gt;=100000,INDEX($AM$1005:$BM$1005,1,MATCH(COLUMNS($AM$1006:BD1006),$AM$1006:$BM$1006,0))&gt;=100000), " ",IF(INDEX($AM$2:$BM$1001,MATCH(ROWS($AF$2:AF823),$AF$2:$AF$1001,0),MATCH(COLUMNS($AM$1006:BD1006),$AM$1006:$BM$1006,0)), HYPERLINK("#",""), HYPERLINK(CONCATENATE("#metadata!", ADDRESS(INDEX($AH$2:$AH$1001,MATCH(ROWS($AF$2:AF823),$AF$2:$AF$1001,0),0), INDEX($AM$1004:$BM$1004,1,MATCH(COLUMNS($AM$1006:BD1006),$AM$1006:$BM$1006,0)))),"Fix")))</f>
        <v xml:space="preserve"> </v>
      </c>
      <c r="T823" s="4" t="str">
        <f ca="1">IF(OR(INDEX($AG$2:$AG$1001,MATCH(ROWS($AF$2:AF823),$AF$2:$AF$1001,0),1)&gt;=100000,INDEX($AM$1005:$BM$1005,1,MATCH(COLUMNS($AM$1006:BE1006),$AM$1006:$BM$1006,0))&gt;=100000), " ",IF(INDEX($AM$2:$BM$1001,MATCH(ROWS($AF$2:AF823),$AF$2:$AF$1001,0),MATCH(COLUMNS($AM$1006:BE1006),$AM$1006:$BM$1006,0)), HYPERLINK("#",""), HYPERLINK(CONCATENATE("#metadata!", ADDRESS(INDEX($AH$2:$AH$1001,MATCH(ROWS($AF$2:AF823),$AF$2:$AF$1001,0),0), INDEX($AM$1004:$BM$1004,1,MATCH(COLUMNS($AM$1006:BE1006),$AM$1006:$BM$1006,0)))),"Fix")))</f>
        <v xml:space="preserve"> </v>
      </c>
      <c r="U823" s="4" t="str">
        <f ca="1">IF(OR(INDEX($AG$2:$AG$1001,MATCH(ROWS($AF$2:AF823),$AF$2:$AF$1001,0),1)&gt;=100000,INDEX($AM$1005:$BM$1005,1,MATCH(COLUMNS($AM$1006:BF1006),$AM$1006:$BM$1006,0))&gt;=100000), " ",IF(INDEX($AM$2:$BM$1001,MATCH(ROWS($AF$2:AF823),$AF$2:$AF$1001,0),MATCH(COLUMNS($AM$1006:BF1006),$AM$1006:$BM$1006,0)), HYPERLINK("#",""), HYPERLINK(CONCATENATE("#metadata!", ADDRESS(INDEX($AH$2:$AH$1001,MATCH(ROWS($AF$2:AF823),$AF$2:$AF$1001,0),0), INDEX($AM$1004:$BM$1004,1,MATCH(COLUMNS($AM$1006:BF1006),$AM$1006:$BM$1006,0)))),"Fix")))</f>
        <v xml:space="preserve"> </v>
      </c>
      <c r="V823" s="4" t="str">
        <f ca="1">IF(OR(INDEX($AG$2:$AG$1001,MATCH(ROWS($AF$2:AF823),$AF$2:$AF$1001,0),1)&gt;=100000,INDEX($AM$1005:$BM$1005,1,MATCH(COLUMNS($AM$1006:BG1006),$AM$1006:$BM$1006,0))&gt;=100000), " ",IF(INDEX($AM$2:$BM$1001,MATCH(ROWS($AF$2:AF823),$AF$2:$AF$1001,0),MATCH(COLUMNS($AM$1006:BG1006),$AM$1006:$BM$1006,0)), HYPERLINK("#",""), HYPERLINK(CONCATENATE("#metadata!", ADDRESS(INDEX($AH$2:$AH$1001,MATCH(ROWS($AF$2:AF823),$AF$2:$AF$1001,0),0), INDEX($AM$1004:$BM$1004,1,MATCH(COLUMNS($AM$1006:BG1006),$AM$1006:$BM$1006,0)))),"Fix")))</f>
        <v xml:space="preserve"> </v>
      </c>
      <c r="W823" s="4" t="str">
        <f ca="1">IF(OR(INDEX($AG$2:$AG$1001,MATCH(ROWS($AF$2:AF823),$AF$2:$AF$1001,0),1)&gt;=100000,INDEX($AM$1005:$BM$1005,1,MATCH(COLUMNS($AM$1006:BH1006),$AM$1006:$BM$1006,0))&gt;=100000), " ",IF(INDEX($AM$2:$BM$1001,MATCH(ROWS($AF$2:AF823),$AF$2:$AF$1001,0),MATCH(COLUMNS($AM$1006:BH1006),$AM$1006:$BM$1006,0)), HYPERLINK("#",""), HYPERLINK(CONCATENATE("#metadata!", ADDRESS(INDEX($AH$2:$AH$1001,MATCH(ROWS($AF$2:AF823),$AF$2:$AF$1001,0),0), INDEX($AM$1004:$BM$1004,1,MATCH(COLUMNS($AM$1006:BH1006),$AM$1006:$BM$1006,0)))),"Fix")))</f>
        <v xml:space="preserve"> </v>
      </c>
      <c r="X823" s="4" t="str">
        <f ca="1">IF(OR(INDEX($AG$2:$AG$1001,MATCH(ROWS($AF$2:AF823),$AF$2:$AF$1001,0),1)&gt;=100000,INDEX($AM$1005:$BM$1005,1,MATCH(COLUMNS($AM$1006:BI1006),$AM$1006:$BM$1006,0))&gt;=100000), " ",IF(INDEX($AM$2:$BM$1001,MATCH(ROWS($AF$2:AF823),$AF$2:$AF$1001,0),MATCH(COLUMNS($AM$1006:BI1006),$AM$1006:$BM$1006,0)), HYPERLINK("#",""), HYPERLINK(CONCATENATE("#metadata!", ADDRESS(INDEX($AH$2:$AH$1001,MATCH(ROWS($AF$2:AF823),$AF$2:$AF$1001,0),0), INDEX($AM$1004:$BM$1004,1,MATCH(COLUMNS($AM$1006:BI1006),$AM$1006:$BM$1006,0)))),"Fix")))</f>
        <v xml:space="preserve"> </v>
      </c>
      <c r="Y823" s="4" t="str">
        <f ca="1">IF(OR(INDEX($AG$2:$AG$1001,MATCH(ROWS($AF$2:AF823),$AF$2:$AF$1001,0),1)&gt;=100000,INDEX($AM$1005:$BM$1005,1,MATCH(COLUMNS($AM$1006:BJ1006),$AM$1006:$BM$1006,0))&gt;=100000), " ",IF(INDEX($AM$2:$BM$1001,MATCH(ROWS($AF$2:AF823),$AF$2:$AF$1001,0),MATCH(COLUMNS($AM$1006:BJ1006),$AM$1006:$BM$1006,0)), HYPERLINK("#",""), HYPERLINK(CONCATENATE("#metadata!", ADDRESS(INDEX($AH$2:$AH$1001,MATCH(ROWS($AF$2:AF823),$AF$2:$AF$1001,0),0), INDEX($AM$1004:$BM$1004,1,MATCH(COLUMNS($AM$1006:BJ1006),$AM$1006:$BM$1006,0)))),"Fix")))</f>
        <v xml:space="preserve"> </v>
      </c>
      <c r="Z823" s="4" t="str">
        <f ca="1">IF(OR(INDEX($AG$2:$AG$1001,MATCH(ROWS($AF$2:AF823),$AF$2:$AF$1001,0),1)&gt;=100000,INDEX($AM$1005:$BM$1005,1,MATCH(COLUMNS($AM$1006:BK1006),$AM$1006:$BM$1006,0))&gt;=100000), " ",IF(INDEX($AM$2:$BM$1001,MATCH(ROWS($AF$2:AF823),$AF$2:$AF$1001,0),MATCH(COLUMNS($AM$1006:BK1006),$AM$1006:$BM$1006,0)), HYPERLINK("#",""), HYPERLINK(CONCATENATE("#metadata!", ADDRESS(INDEX($AH$2:$AH$1001,MATCH(ROWS($AF$2:AF823),$AF$2:$AF$1001,0),0), INDEX($AM$1004:$BM$1004,1,MATCH(COLUMNS($AM$1006:BK1006),$AM$1006:$BM$1006,0)))),"Fix")))</f>
        <v xml:space="preserve"> </v>
      </c>
      <c r="AA823" s="4" t="str">
        <f ca="1">IF(OR(INDEX($AG$2:$AG$1001,MATCH(ROWS($AF$2:AF823),$AF$2:$AF$1001,0),1)&gt;=100000,INDEX($AM$1005:$BM$1005,1,MATCH(COLUMNS($AM$1006:BL1006),$AM$1006:$BM$1006,0))&gt;=100000), " ",IF(INDEX($AM$2:$BM$1001,MATCH(ROWS($AF$2:AF823),$AF$2:$AF$1001,0),MATCH(COLUMNS($AM$1006:BL1006),$AM$1006:$BM$1006,0)), HYPERLINK("#",""), HYPERLINK(CONCATENATE("#metadata!", ADDRESS(INDEX($AH$2:$AH$1001,MATCH(ROWS($AF$2:AF823),$AF$2:$AF$1001,0),0), INDEX($AM$1004:$BM$1004,1,MATCH(COLUMNS($AM$1006:BL1006),$AM$1006:$BM$1006,0)))),"Fix")))</f>
        <v xml:space="preserve"> </v>
      </c>
      <c r="AB823" s="4" t="str">
        <f ca="1">IF(OR(INDEX($AG$2:$AG$1001,MATCH(ROWS($AF$2:AF823),$AF$2:$AF$1001,0),1)&gt;=100000,INDEX($AM$1005:$BM$1005,1,MATCH(COLUMNS($AM$1006:BM1006),$AM$1006:$BM$1006,0))&gt;=100000), " ",IF(INDEX($AM$2:$BM$1001,MATCH(ROWS($AF$2:AF823),$AF$2:$AF$1001,0),MATCH(COLUMNS($AM$1006:BM1006),$AM$1006:$BM$1006,0)), HYPERLINK("#",""), HYPERLINK(CONCATENATE("#metadata!", ADDRESS(INDEX($AH$2:$AH$1001,MATCH(ROWS($AF$2:AF823),$AF$2:$AF$1001,0),0), INDEX($AM$1004:$BM$1004,1,MATCH(COLUMNS($AM$1006:BM1006),$AM$1006:$BM$1006,0)))),"Fix")))</f>
        <v xml:space="preserve"> </v>
      </c>
      <c r="AF823">
        <v>822</v>
      </c>
      <c r="AG823">
        <v>100823</v>
      </c>
      <c r="AH823">
        <v>823</v>
      </c>
      <c r="AI823" t="b">
        <f t="shared" si="12"/>
        <v>1</v>
      </c>
      <c r="AJ823" t="b">
        <f>COUNTBLANK(metadata!B823:AB823)=COLUMNS(metadata!B823:AB823)</f>
        <v>1</v>
      </c>
      <c r="AK823" t="str">
        <v/>
      </c>
      <c r="AM823" t="b">
        <f ca="1">AND(IF(metadata!B823="",FALSE,TRUE),COUNTIF(metadata!B:B, metadata!B823) = 1,NOT(ISERROR(SUMPRODUCT(SEARCH(MID(metadata!B823,ROW(INDIRECT("1:"&amp;LEN(metadata!B823))), 1),"0123456789abcdefghijklmnopqrstuvwxyzABCDEFGHIJKLMNOPQRSTUVWXYZ.")))))</f>
        <v>0</v>
      </c>
      <c r="AN823" t="b">
        <f ca="1">OR(AND(IF(metadata!C823="",FALSE,TRUE),OR(EXACT(metadata!C823,"missing: not collected"),EXACT(metadata!C823,"missing: not provided"),EXACT(metadata!C823,"missing: restricted access"))),AND(IF(metadata!C823="",FALSE,TRUE),AND(AND(IFERROR(INT(LEFT(metadata!C823,4))&gt;1900,FALSE),IFERROR(INT(LEFT(metadata!C823,4))&lt;=YEAR(NOW()),FALSE)), OR(MID(metadata!C823,5,1)="", AND(AND(MID(metadata!C823,5,1)="-",IFERROR(INT(MID(metadata!C823,6,1))&gt;=0,FALSE),IFERROR(INT(MID(metadata!C823,6,1))&lt;=1,FALSE),NOT(MID(metadata!C823,7,1)=""),IFERROR(INT(MID(metadata!C823,6,2))&gt;=1,FALSE),IFERROR(INT(MID(metadata!C823,6,2))&lt;=12,FALSE)), OR(MID(metadata!C823,8,1)="", AND(AND(MID(metadata!C823,8,1)="-",IFERROR(INT(MID(metadata!C823,9,1))&gt;=0,FALSE),IFERROR(INT(MID(metadata!C823,9,1))&lt;=3,FALSE),NOT(MID(metadata!C823,10,1)=""),IFERROR(INT(MID(metadata!C823,9,2))&gt;=1,FALSE),IFERROR(INT(MID(metadata!C823,9,2))&lt;=31,FALSE)), OR(MID(metadata!C823,11,1)="", AND(AND(MID(metadata!C823,11,1)=" ",IFERROR(INT(MID(metadata!C823,12,1))&gt;=0,FALSE),IFERROR(INT(MID(metadata!C823,12,1))&lt;=2,FALSE),NOT(MID(metadata!C823,13,1)=""),IFERROR(INT(MID(metadata!C823,12,2))&gt;=0,FALSE),IFERROR(INT(MID(metadata!C823,12,2))&lt;=23,FALSE)), OR(MID(metadata!C823,14,1)="", AND(AND(MID(metadata!C823,14,1)=":",IFERROR(INT(MID(metadata!C823,15,1))&gt;=0,FALSE),IFERROR(INT(MID(metadata!C823,15,1))&lt;=5,FALSE),NOT(MID(metadata!C823,16,1)=""),IFERROR(INT(MID(metadata!C823,15,2))&gt;=0,FALSE),IFERROR(INT(MID(metadata!C823,15,2))&lt;=59,FALSE)), OR(MID(metadata!C823,17,1)="", AND(AND(MID(metadata!C823,17,1)=":",IFERROR(INT(MID(metadata!C823,18,1))&gt;=0,FALSE),IFERROR(INT(MID(metadata!C823,18,1))&lt;=5,FALSE),NOT(MID(metadata!C823,19,1)=""),IFERROR(INT(MID(metadata!C823,18,2))&gt;=0,FALSE),IFERROR(INT(MID(metadata!C823,18,2))&lt;=59,FALSE)), LEN(metadata!C823)&lt;=19)))))))))))))</f>
        <v>0</v>
      </c>
      <c r="AO823" t="b">
        <f>AND(IF(metadata!D823="",FALSE,TRUE),EXACT(metadata!D823,"Not applicable"))</f>
        <v>0</v>
      </c>
      <c r="AP823" t="b">
        <f>IF(metadata!E823="",FALSE,TRUE)</f>
        <v>0</v>
      </c>
      <c r="AQ823" t="b">
        <f>OR(AND(IF(metadata!F823="",FALSE,TRUE),OR(EXACT(metadata!F823,"missing: not collected"),EXACT(metadata!F823,"missing: not provided"))),AND(IF(metadata!F823="",FALSE,TRUE),OR(EXACT(metadata!F823,"TRUE"),EXACT(metadata!F823,"FALSE"))))</f>
        <v>0</v>
      </c>
      <c r="AR823" t="b">
        <f>OR(AND(IF(metadata!G823="",FALSE,TRUE),OR(EXACT(metadata!G823,"missing: not collected"),EXACT(metadata!G823,"missing: not provided"),EXACT(metadata!G823,"missing: restricted access"))),AND(IF(metadata!G823="",FALSE,ISNUMBER(VALUE(metadata!G823))),metadata!G823&gt;=-413))</f>
        <v>0</v>
      </c>
      <c r="AS823" t="b">
        <f>AND(IF(metadata!H823="",FALSE,TRUE),EXACT(metadata!H823,"meters"))</f>
        <v>0</v>
      </c>
      <c r="AT823" t="b">
        <f>AND(IF(metadata!I823="",FALSE,TRUE),OR(EXACT(metadata!I823,"Host-associated"),EXACT(metadata!I823,"Free-living")))</f>
        <v>0</v>
      </c>
      <c r="AU823" t="b">
        <f>AND(IF(metadata!J823="",FALSE,TRUE),OR(EXACT(metadata!J823,"Animal"),EXACT(metadata!J823,"Fungus"),EXACT(metadata!J823,"Plant"),EXACT(metadata!J823,"Saline"),EXACT(metadata!J823,"Non-saline")))</f>
        <v>0</v>
      </c>
      <c r="AV823" t="b">
        <f>AND(IF(metadata!K823="",FALSE,TRUE),OR(EXACT(metadata!K823,"Plant secretion"),EXACT(metadata!K823,"Plant rhizosphere"),EXACT(metadata!K823,"Plant surface"),EXACT(metadata!K823,"Plant corpus"),EXACT(metadata!K823,"Fungus surface"),EXACT(metadata!K823,"Fungus corpus"),EXACT(metadata!K823,"Animal surface"),EXACT(metadata!K823,"Animal proximal gut"),EXACT(metadata!K823,"Animal corpus"),EXACT(metadata!K823,"Animal distal gut"),EXACT(metadata!K823,"Animal secretion"),EXACT(metadata!K823,"Sub-surface (non-saline)"),EXACT(metadata!K823,"Surface (non-saline)"),EXACT(metadata!K823,"Water (non-saline)"),EXACT(metadata!K823,"Soil (non-saline)"),EXACT(metadata!K823,"Aerosol (non-saline)"),EXACT(metadata!K823,"Sediment (non-saline)"),EXACT(metadata!K823,"Surface (saline)"),EXACT(metadata!K823,"Water (saline)"),EXACT(metadata!K823,"Hypersaline (saline)"),EXACT(metadata!K823,"Aerosol (saline)"),EXACT(metadata!K823,"Sediment (saline)")))</f>
        <v>0</v>
      </c>
      <c r="AW823" t="b">
        <f>IF(metadata!L823="",FALSE,TRUE)</f>
        <v>0</v>
      </c>
      <c r="AX823" t="b">
        <f>IF(metadata!M823="",FALSE,TRUE)</f>
        <v>0</v>
      </c>
      <c r="AY823" t="b">
        <f>IF(metadata!N823="",FALSE,TRUE)</f>
        <v>0</v>
      </c>
      <c r="AZ823" t="b">
        <f>OR(AND(IF(metadata!O823="",FALSE,TRUE),OR(EXACT(metadata!O823,"missing: not collected"),EXACT(metadata!O823,"missing: not provided"),EXACT(metadata!O823,"missing: restricted access"))),AND(IF(metadata!O823="",FALSE,TRUE),OR(EXACT(metadata!O823,"air"),EXACT(metadata!O823,"built environment"),EXACT(metadata!O823,"host-associated"),EXACT(metadata!O823,"human-associated"),EXACT(metadata!O823,"human-skin"),EXACT(metadata!O823,"human-oral"),EXACT(metadata!O823,"human-gut"),EXACT(metadata!O823,"human-vaginal"),EXACT(metadata!O823,"microbial mat/biofilm"),EXACT(metadata!O823,"misc environment"),EXACT(metadata!O823,"plant-associated"),EXACT(metadata!O823,"sediment"),EXACT(metadata!O823,"soil"),EXACT(metadata!O823,"wastewater/sludge"),EXACT(metadata!O823,"water"))))</f>
        <v>0</v>
      </c>
      <c r="BA823" t="b">
        <f>IF(metadata!P823="",FALSE,TRUE)</f>
        <v>0</v>
      </c>
      <c r="BB823" t="b">
        <f>IF(metadata!Q823="",FALSE,TRUE)</f>
        <v>0</v>
      </c>
      <c r="BC823" t="b">
        <f>OR(AND(IF(metadata!R823="",FALSE,TRUE),OR(EXACT(metadata!R823,"missing: not collected"),EXACT(metadata!R823,"missing: not provided"),EXACT(metadata!R823,"missing: restricted access"))),AND(IF(metadata!R823="",FALSE,ISNUMBER(VALUE(metadata!R823))),metadata!R823&gt;=-90,metadata!R823&lt;=90))</f>
        <v>0</v>
      </c>
      <c r="BD823" t="b">
        <f>AND(IF(metadata!S823="",FALSE,TRUE),EXACT(metadata!S823,"Decimal degrees"))</f>
        <v>0</v>
      </c>
      <c r="BE823" t="b">
        <f>OR(AND(IF(metadata!T823="",FALSE,TRUE),OR(EXACT(metadata!T823,"missing: not collected"),EXACT(metadata!T823,"missing: not provided"),EXACT(metadata!T823,"missing: restricted access"))),AND(IF(metadata!T823="",FALSE,ISNUMBER(VALUE(metadata!T823))),metadata!T823&gt;=-180,metadata!T823&lt;=180))</f>
        <v>0</v>
      </c>
      <c r="BF823" t="b">
        <f>AND(IF(metadata!U823="",FALSE,TRUE),EXACT(metadata!U823,"Decimal degrees"))</f>
        <v>0</v>
      </c>
      <c r="BG823" t="b">
        <f>IF(metadata!V823="",FALSE,TRUE)</f>
        <v>0</v>
      </c>
      <c r="BH823" t="b">
        <f>OR(AND(IF(metadata!W823="",FALSE,TRUE),OR(EXACT(metadata!W823,"missing: not collected"),EXACT(metadata!W823,"missing: not provided"),EXACT(metadata!W823,"missing: restricted access"))),AND(IF(metadata!W823="",FALSE,TRUE),OR(EXACT(metadata!W823,"TRUE"),EXACT(metadata!W823,"FALSE"))))</f>
        <v>0</v>
      </c>
      <c r="BI823" t="b">
        <f>AND(IF(metadata!X823="",FALSE,TRUE),EXACT(metadata!X823,"other"))</f>
        <v>0</v>
      </c>
      <c r="BJ823" t="b">
        <f>IF(metadata!Y823="",FALSE,TRUE)</f>
        <v>0</v>
      </c>
      <c r="BK823" t="b">
        <f>OR(AND(IF(metadata!Z823="",FALSE,TRUE),OR(EXACT(metadata!Z823,"missing: not collected"),EXACT(metadata!Z823,"missing: not provided"))),AND(IF(metadata!Z823="",FALSE,IF(ISERROR(INT(metadata!Z823)),FALSE,INT(metadata!Z823)=metadata!Z823)),metadata!Z823&gt;0))</f>
        <v>0</v>
      </c>
      <c r="BL823" t="b">
        <f>AND(IF(metadata!AA823="",FALSE,TRUE),EXACT(metadata!AA823,"Not applicable"))</f>
        <v>0</v>
      </c>
      <c r="BM823" t="b">
        <f>IF(metadata!AB823="",FALSE,TRUE)</f>
        <v>0</v>
      </c>
    </row>
    <row r="824" spans="1:65" x14ac:dyDescent="0.2">
      <c r="A824" s="5" t="str">
        <f ca="1">IF(B824=" "," ",HYPERLINK(CONCATENATE("#metadata!",ADDRESS(INDEX($AH$2:$AH$1001,MATCH(ROWS($AF$2:AF824),$AF$2:$AF$1001,0),0),1)),INDEX($AK$2:$AK$1001,MATCH(ROWS($AF$2:AF824),$AF$2:$AF$1001,0),0)))</f>
        <v xml:space="preserve"> </v>
      </c>
      <c r="B824" s="4" t="str">
        <f ca="1">IF(OR(INDEX($AG$2:$AG$1001,MATCH(ROWS($AF$2:AF824),$AF$2:$AF$1001,0),1)&gt;=100000,INDEX($AM$1005:$BM$1005,1,MATCH(COLUMNS($AM$1006:AM1006),$AM$1006:$BM$1006,0))&gt;=100000), " ",IF(INDEX($AM$2:$BM$1001,MATCH(ROWS($AF$2:AF824),$AF$2:$AF$1001,0),MATCH(COLUMNS($AM$1006:AM1006),$AM$1006:$BM$1006,0)), HYPERLINK("#",""), HYPERLINK(CONCATENATE("#metadata!", ADDRESS(INDEX($AH$2:$AH$1001,MATCH(ROWS($AF$2:AF824),$AF$2:$AF$1001,0),0), INDEX($AM$1004:$BM$1004,1,MATCH(COLUMNS($AM$1006:AM1006),$AM$1006:$BM$1006,0)))),"Fix")))</f>
        <v xml:space="preserve"> </v>
      </c>
      <c r="C824" s="4" t="str">
        <f ca="1">IF(OR(INDEX($AG$2:$AG$1001,MATCH(ROWS($AF$2:AF824),$AF$2:$AF$1001,0),1)&gt;=100000,INDEX($AM$1005:$BM$1005,1,MATCH(COLUMNS($AM$1006:AN1006),$AM$1006:$BM$1006,0))&gt;=100000), " ",IF(INDEX($AM$2:$BM$1001,MATCH(ROWS($AF$2:AF824),$AF$2:$AF$1001,0),MATCH(COLUMNS($AM$1006:AN1006),$AM$1006:$BM$1006,0)), HYPERLINK("#",""), HYPERLINK(CONCATENATE("#metadata!", ADDRESS(INDEX($AH$2:$AH$1001,MATCH(ROWS($AF$2:AF824),$AF$2:$AF$1001,0),0), INDEX($AM$1004:$BM$1004,1,MATCH(COLUMNS($AM$1006:AN1006),$AM$1006:$BM$1006,0)))),"Fix")))</f>
        <v xml:space="preserve"> </v>
      </c>
      <c r="D824" s="4" t="str">
        <f ca="1">IF(OR(INDEX($AG$2:$AG$1001,MATCH(ROWS($AF$2:AF824),$AF$2:$AF$1001,0),1)&gt;=100000,INDEX($AM$1005:$BM$1005,1,MATCH(COLUMNS($AM$1006:AO1006),$AM$1006:$BM$1006,0))&gt;=100000), " ",IF(INDEX($AM$2:$BM$1001,MATCH(ROWS($AF$2:AF824),$AF$2:$AF$1001,0),MATCH(COLUMNS($AM$1006:AO1006),$AM$1006:$BM$1006,0)), HYPERLINK("#",""), HYPERLINK(CONCATENATE("#metadata!", ADDRESS(INDEX($AH$2:$AH$1001,MATCH(ROWS($AF$2:AF824),$AF$2:$AF$1001,0),0), INDEX($AM$1004:$BM$1004,1,MATCH(COLUMNS($AM$1006:AO1006),$AM$1006:$BM$1006,0)))),"Fix")))</f>
        <v xml:space="preserve"> </v>
      </c>
      <c r="E824" s="4" t="str">
        <f ca="1">IF(OR(INDEX($AG$2:$AG$1001,MATCH(ROWS($AF$2:AF824),$AF$2:$AF$1001,0),1)&gt;=100000,INDEX($AM$1005:$BM$1005,1,MATCH(COLUMNS($AM$1006:AP1006),$AM$1006:$BM$1006,0))&gt;=100000), " ",IF(INDEX($AM$2:$BM$1001,MATCH(ROWS($AF$2:AF824),$AF$2:$AF$1001,0),MATCH(COLUMNS($AM$1006:AP1006),$AM$1006:$BM$1006,0)), HYPERLINK("#",""), HYPERLINK(CONCATENATE("#metadata!", ADDRESS(INDEX($AH$2:$AH$1001,MATCH(ROWS($AF$2:AF824),$AF$2:$AF$1001,0),0), INDEX($AM$1004:$BM$1004,1,MATCH(COLUMNS($AM$1006:AP1006),$AM$1006:$BM$1006,0)))),"Fix")))</f>
        <v xml:space="preserve"> </v>
      </c>
      <c r="F824" s="4" t="str">
        <f ca="1">IF(OR(INDEX($AG$2:$AG$1001,MATCH(ROWS($AF$2:AF824),$AF$2:$AF$1001,0),1)&gt;=100000,INDEX($AM$1005:$BM$1005,1,MATCH(COLUMNS($AM$1006:AQ1006),$AM$1006:$BM$1006,0))&gt;=100000), " ",IF(INDEX($AM$2:$BM$1001,MATCH(ROWS($AF$2:AF824),$AF$2:$AF$1001,0),MATCH(COLUMNS($AM$1006:AQ1006),$AM$1006:$BM$1006,0)), HYPERLINK("#",""), HYPERLINK(CONCATENATE("#metadata!", ADDRESS(INDEX($AH$2:$AH$1001,MATCH(ROWS($AF$2:AF824),$AF$2:$AF$1001,0),0), INDEX($AM$1004:$BM$1004,1,MATCH(COLUMNS($AM$1006:AQ1006),$AM$1006:$BM$1006,0)))),"Fix")))</f>
        <v xml:space="preserve"> </v>
      </c>
      <c r="G824" s="4" t="str">
        <f ca="1">IF(OR(INDEX($AG$2:$AG$1001,MATCH(ROWS($AF$2:AF824),$AF$2:$AF$1001,0),1)&gt;=100000,INDEX($AM$1005:$BM$1005,1,MATCH(COLUMNS($AM$1006:AR1006),$AM$1006:$BM$1006,0))&gt;=100000), " ",IF(INDEX($AM$2:$BM$1001,MATCH(ROWS($AF$2:AF824),$AF$2:$AF$1001,0),MATCH(COLUMNS($AM$1006:AR1006),$AM$1006:$BM$1006,0)), HYPERLINK("#",""), HYPERLINK(CONCATENATE("#metadata!", ADDRESS(INDEX($AH$2:$AH$1001,MATCH(ROWS($AF$2:AF824),$AF$2:$AF$1001,0),0), INDEX($AM$1004:$BM$1004,1,MATCH(COLUMNS($AM$1006:AR1006),$AM$1006:$BM$1006,0)))),"Fix")))</f>
        <v xml:space="preserve"> </v>
      </c>
      <c r="H824" s="4" t="str">
        <f ca="1">IF(OR(INDEX($AG$2:$AG$1001,MATCH(ROWS($AF$2:AF824),$AF$2:$AF$1001,0),1)&gt;=100000,INDEX($AM$1005:$BM$1005,1,MATCH(COLUMNS($AM$1006:AS1006),$AM$1006:$BM$1006,0))&gt;=100000), " ",IF(INDEX($AM$2:$BM$1001,MATCH(ROWS($AF$2:AF824),$AF$2:$AF$1001,0),MATCH(COLUMNS($AM$1006:AS1006),$AM$1006:$BM$1006,0)), HYPERLINK("#",""), HYPERLINK(CONCATENATE("#metadata!", ADDRESS(INDEX($AH$2:$AH$1001,MATCH(ROWS($AF$2:AF824),$AF$2:$AF$1001,0),0), INDEX($AM$1004:$BM$1004,1,MATCH(COLUMNS($AM$1006:AS1006),$AM$1006:$BM$1006,0)))),"Fix")))</f>
        <v xml:space="preserve"> </v>
      </c>
      <c r="I824" s="4" t="str">
        <f ca="1">IF(OR(INDEX($AG$2:$AG$1001,MATCH(ROWS($AF$2:AF824),$AF$2:$AF$1001,0),1)&gt;=100000,INDEX($AM$1005:$BM$1005,1,MATCH(COLUMNS($AM$1006:AT1006),$AM$1006:$BM$1006,0))&gt;=100000), " ",IF(INDEX($AM$2:$BM$1001,MATCH(ROWS($AF$2:AF824),$AF$2:$AF$1001,0),MATCH(COLUMNS($AM$1006:AT1006),$AM$1006:$BM$1006,0)), HYPERLINK("#",""), HYPERLINK(CONCATENATE("#metadata!", ADDRESS(INDEX($AH$2:$AH$1001,MATCH(ROWS($AF$2:AF824),$AF$2:$AF$1001,0),0), INDEX($AM$1004:$BM$1004,1,MATCH(COLUMNS($AM$1006:AT1006),$AM$1006:$BM$1006,0)))),"Fix")))</f>
        <v xml:space="preserve"> </v>
      </c>
      <c r="J824" s="4" t="str">
        <f ca="1">IF(OR(INDEX($AG$2:$AG$1001,MATCH(ROWS($AF$2:AF824),$AF$2:$AF$1001,0),1)&gt;=100000,INDEX($AM$1005:$BM$1005,1,MATCH(COLUMNS($AM$1006:AU1006),$AM$1006:$BM$1006,0))&gt;=100000), " ",IF(INDEX($AM$2:$BM$1001,MATCH(ROWS($AF$2:AF824),$AF$2:$AF$1001,0),MATCH(COLUMNS($AM$1006:AU1006),$AM$1006:$BM$1006,0)), HYPERLINK("#",""), HYPERLINK(CONCATENATE("#metadata!", ADDRESS(INDEX($AH$2:$AH$1001,MATCH(ROWS($AF$2:AF824),$AF$2:$AF$1001,0),0), INDEX($AM$1004:$BM$1004,1,MATCH(COLUMNS($AM$1006:AU1006),$AM$1006:$BM$1006,0)))),"Fix")))</f>
        <v xml:space="preserve"> </v>
      </c>
      <c r="K824" s="4" t="str">
        <f ca="1">IF(OR(INDEX($AG$2:$AG$1001,MATCH(ROWS($AF$2:AF824),$AF$2:$AF$1001,0),1)&gt;=100000,INDEX($AM$1005:$BM$1005,1,MATCH(COLUMNS($AM$1006:AV1006),$AM$1006:$BM$1006,0))&gt;=100000), " ",IF(INDEX($AM$2:$BM$1001,MATCH(ROWS($AF$2:AF824),$AF$2:$AF$1001,0),MATCH(COLUMNS($AM$1006:AV1006),$AM$1006:$BM$1006,0)), HYPERLINK("#",""), HYPERLINK(CONCATENATE("#metadata!", ADDRESS(INDEX($AH$2:$AH$1001,MATCH(ROWS($AF$2:AF824),$AF$2:$AF$1001,0),0), INDEX($AM$1004:$BM$1004,1,MATCH(COLUMNS($AM$1006:AV1006),$AM$1006:$BM$1006,0)))),"Fix")))</f>
        <v xml:space="preserve"> </v>
      </c>
      <c r="L824" s="4" t="str">
        <f ca="1">IF(OR(INDEX($AG$2:$AG$1001,MATCH(ROWS($AF$2:AF824),$AF$2:$AF$1001,0),1)&gt;=100000,INDEX($AM$1005:$BM$1005,1,MATCH(COLUMNS($AM$1006:AW1006),$AM$1006:$BM$1006,0))&gt;=100000), " ",IF(INDEX($AM$2:$BM$1001,MATCH(ROWS($AF$2:AF824),$AF$2:$AF$1001,0),MATCH(COLUMNS($AM$1006:AW1006),$AM$1006:$BM$1006,0)), HYPERLINK("#",""), HYPERLINK(CONCATENATE("#metadata!", ADDRESS(INDEX($AH$2:$AH$1001,MATCH(ROWS($AF$2:AF824),$AF$2:$AF$1001,0),0), INDEX($AM$1004:$BM$1004,1,MATCH(COLUMNS($AM$1006:AW1006),$AM$1006:$BM$1006,0)))),"Fix")))</f>
        <v xml:space="preserve"> </v>
      </c>
      <c r="M824" s="4" t="str">
        <f ca="1">IF(OR(INDEX($AG$2:$AG$1001,MATCH(ROWS($AF$2:AF824),$AF$2:$AF$1001,0),1)&gt;=100000,INDEX($AM$1005:$BM$1005,1,MATCH(COLUMNS($AM$1006:AX1006),$AM$1006:$BM$1006,0))&gt;=100000), " ",IF(INDEX($AM$2:$BM$1001,MATCH(ROWS($AF$2:AF824),$AF$2:$AF$1001,0),MATCH(COLUMNS($AM$1006:AX1006),$AM$1006:$BM$1006,0)), HYPERLINK("#",""), HYPERLINK(CONCATENATE("#metadata!", ADDRESS(INDEX($AH$2:$AH$1001,MATCH(ROWS($AF$2:AF824),$AF$2:$AF$1001,0),0), INDEX($AM$1004:$BM$1004,1,MATCH(COLUMNS($AM$1006:AX1006),$AM$1006:$BM$1006,0)))),"Fix")))</f>
        <v xml:space="preserve"> </v>
      </c>
      <c r="N824" s="4" t="str">
        <f ca="1">IF(OR(INDEX($AG$2:$AG$1001,MATCH(ROWS($AF$2:AF824),$AF$2:$AF$1001,0),1)&gt;=100000,INDEX($AM$1005:$BM$1005,1,MATCH(COLUMNS($AM$1006:AY1006),$AM$1006:$BM$1006,0))&gt;=100000), " ",IF(INDEX($AM$2:$BM$1001,MATCH(ROWS($AF$2:AF824),$AF$2:$AF$1001,0),MATCH(COLUMNS($AM$1006:AY1006),$AM$1006:$BM$1006,0)), HYPERLINK("#",""), HYPERLINK(CONCATENATE("#metadata!", ADDRESS(INDEX($AH$2:$AH$1001,MATCH(ROWS($AF$2:AF824),$AF$2:$AF$1001,0),0), INDEX($AM$1004:$BM$1004,1,MATCH(COLUMNS($AM$1006:AY1006),$AM$1006:$BM$1006,0)))),"Fix")))</f>
        <v xml:space="preserve"> </v>
      </c>
      <c r="O824" s="4" t="str">
        <f ca="1">IF(OR(INDEX($AG$2:$AG$1001,MATCH(ROWS($AF$2:AF824),$AF$2:$AF$1001,0),1)&gt;=100000,INDEX($AM$1005:$BM$1005,1,MATCH(COLUMNS($AM$1006:AZ1006),$AM$1006:$BM$1006,0))&gt;=100000), " ",IF(INDEX($AM$2:$BM$1001,MATCH(ROWS($AF$2:AF824),$AF$2:$AF$1001,0),MATCH(COLUMNS($AM$1006:AZ1006),$AM$1006:$BM$1006,0)), HYPERLINK("#",""), HYPERLINK(CONCATENATE("#metadata!", ADDRESS(INDEX($AH$2:$AH$1001,MATCH(ROWS($AF$2:AF824),$AF$2:$AF$1001,0),0), INDEX($AM$1004:$BM$1004,1,MATCH(COLUMNS($AM$1006:AZ1006),$AM$1006:$BM$1006,0)))),"Fix")))</f>
        <v xml:space="preserve"> </v>
      </c>
      <c r="P824" s="4" t="str">
        <f ca="1">IF(OR(INDEX($AG$2:$AG$1001,MATCH(ROWS($AF$2:AF824),$AF$2:$AF$1001,0),1)&gt;=100000,INDEX($AM$1005:$BM$1005,1,MATCH(COLUMNS($AM$1006:BA1006),$AM$1006:$BM$1006,0))&gt;=100000), " ",IF(INDEX($AM$2:$BM$1001,MATCH(ROWS($AF$2:AF824),$AF$2:$AF$1001,0),MATCH(COLUMNS($AM$1006:BA1006),$AM$1006:$BM$1006,0)), HYPERLINK("#",""), HYPERLINK(CONCATENATE("#metadata!", ADDRESS(INDEX($AH$2:$AH$1001,MATCH(ROWS($AF$2:AF824),$AF$2:$AF$1001,0),0), INDEX($AM$1004:$BM$1004,1,MATCH(COLUMNS($AM$1006:BA1006),$AM$1006:$BM$1006,0)))),"Fix")))</f>
        <v xml:space="preserve"> </v>
      </c>
      <c r="Q824" s="4" t="str">
        <f ca="1">IF(OR(INDEX($AG$2:$AG$1001,MATCH(ROWS($AF$2:AF824),$AF$2:$AF$1001,0),1)&gt;=100000,INDEX($AM$1005:$BM$1005,1,MATCH(COLUMNS($AM$1006:BB1006),$AM$1006:$BM$1006,0))&gt;=100000), " ",IF(INDEX($AM$2:$BM$1001,MATCH(ROWS($AF$2:AF824),$AF$2:$AF$1001,0),MATCH(COLUMNS($AM$1006:BB1006),$AM$1006:$BM$1006,0)), HYPERLINK("#",""), HYPERLINK(CONCATENATE("#metadata!", ADDRESS(INDEX($AH$2:$AH$1001,MATCH(ROWS($AF$2:AF824),$AF$2:$AF$1001,0),0), INDEX($AM$1004:$BM$1004,1,MATCH(COLUMNS($AM$1006:BB1006),$AM$1006:$BM$1006,0)))),"Fix")))</f>
        <v xml:space="preserve"> </v>
      </c>
      <c r="R824" s="4" t="str">
        <f ca="1">IF(OR(INDEX($AG$2:$AG$1001,MATCH(ROWS($AF$2:AF824),$AF$2:$AF$1001,0),1)&gt;=100000,INDEX($AM$1005:$BM$1005,1,MATCH(COLUMNS($AM$1006:BC1006),$AM$1006:$BM$1006,0))&gt;=100000), " ",IF(INDEX($AM$2:$BM$1001,MATCH(ROWS($AF$2:AF824),$AF$2:$AF$1001,0),MATCH(COLUMNS($AM$1006:BC1006),$AM$1006:$BM$1006,0)), HYPERLINK("#",""), HYPERLINK(CONCATENATE("#metadata!", ADDRESS(INDEX($AH$2:$AH$1001,MATCH(ROWS($AF$2:AF824),$AF$2:$AF$1001,0),0), INDEX($AM$1004:$BM$1004,1,MATCH(COLUMNS($AM$1006:BC1006),$AM$1006:$BM$1006,0)))),"Fix")))</f>
        <v xml:space="preserve"> </v>
      </c>
      <c r="S824" s="4" t="str">
        <f ca="1">IF(OR(INDEX($AG$2:$AG$1001,MATCH(ROWS($AF$2:AF824),$AF$2:$AF$1001,0),1)&gt;=100000,INDEX($AM$1005:$BM$1005,1,MATCH(COLUMNS($AM$1006:BD1006),$AM$1006:$BM$1006,0))&gt;=100000), " ",IF(INDEX($AM$2:$BM$1001,MATCH(ROWS($AF$2:AF824),$AF$2:$AF$1001,0),MATCH(COLUMNS($AM$1006:BD1006),$AM$1006:$BM$1006,0)), HYPERLINK("#",""), HYPERLINK(CONCATENATE("#metadata!", ADDRESS(INDEX($AH$2:$AH$1001,MATCH(ROWS($AF$2:AF824),$AF$2:$AF$1001,0),0), INDEX($AM$1004:$BM$1004,1,MATCH(COLUMNS($AM$1006:BD1006),$AM$1006:$BM$1006,0)))),"Fix")))</f>
        <v xml:space="preserve"> </v>
      </c>
      <c r="T824" s="4" t="str">
        <f ca="1">IF(OR(INDEX($AG$2:$AG$1001,MATCH(ROWS($AF$2:AF824),$AF$2:$AF$1001,0),1)&gt;=100000,INDEX($AM$1005:$BM$1005,1,MATCH(COLUMNS($AM$1006:BE1006),$AM$1006:$BM$1006,0))&gt;=100000), " ",IF(INDEX($AM$2:$BM$1001,MATCH(ROWS($AF$2:AF824),$AF$2:$AF$1001,0),MATCH(COLUMNS($AM$1006:BE1006),$AM$1006:$BM$1006,0)), HYPERLINK("#",""), HYPERLINK(CONCATENATE("#metadata!", ADDRESS(INDEX($AH$2:$AH$1001,MATCH(ROWS($AF$2:AF824),$AF$2:$AF$1001,0),0), INDEX($AM$1004:$BM$1004,1,MATCH(COLUMNS($AM$1006:BE1006),$AM$1006:$BM$1006,0)))),"Fix")))</f>
        <v xml:space="preserve"> </v>
      </c>
      <c r="U824" s="4" t="str">
        <f ca="1">IF(OR(INDEX($AG$2:$AG$1001,MATCH(ROWS($AF$2:AF824),$AF$2:$AF$1001,0),1)&gt;=100000,INDEX($AM$1005:$BM$1005,1,MATCH(COLUMNS($AM$1006:BF1006),$AM$1006:$BM$1006,0))&gt;=100000), " ",IF(INDEX($AM$2:$BM$1001,MATCH(ROWS($AF$2:AF824),$AF$2:$AF$1001,0),MATCH(COLUMNS($AM$1006:BF1006),$AM$1006:$BM$1006,0)), HYPERLINK("#",""), HYPERLINK(CONCATENATE("#metadata!", ADDRESS(INDEX($AH$2:$AH$1001,MATCH(ROWS($AF$2:AF824),$AF$2:$AF$1001,0),0), INDEX($AM$1004:$BM$1004,1,MATCH(COLUMNS($AM$1006:BF1006),$AM$1006:$BM$1006,0)))),"Fix")))</f>
        <v xml:space="preserve"> </v>
      </c>
      <c r="V824" s="4" t="str">
        <f ca="1">IF(OR(INDEX($AG$2:$AG$1001,MATCH(ROWS($AF$2:AF824),$AF$2:$AF$1001,0),1)&gt;=100000,INDEX($AM$1005:$BM$1005,1,MATCH(COLUMNS($AM$1006:BG1006),$AM$1006:$BM$1006,0))&gt;=100000), " ",IF(INDEX($AM$2:$BM$1001,MATCH(ROWS($AF$2:AF824),$AF$2:$AF$1001,0),MATCH(COLUMNS($AM$1006:BG1006),$AM$1006:$BM$1006,0)), HYPERLINK("#",""), HYPERLINK(CONCATENATE("#metadata!", ADDRESS(INDEX($AH$2:$AH$1001,MATCH(ROWS($AF$2:AF824),$AF$2:$AF$1001,0),0), INDEX($AM$1004:$BM$1004,1,MATCH(COLUMNS($AM$1006:BG1006),$AM$1006:$BM$1006,0)))),"Fix")))</f>
        <v xml:space="preserve"> </v>
      </c>
      <c r="W824" s="4" t="str">
        <f ca="1">IF(OR(INDEX($AG$2:$AG$1001,MATCH(ROWS($AF$2:AF824),$AF$2:$AF$1001,0),1)&gt;=100000,INDEX($AM$1005:$BM$1005,1,MATCH(COLUMNS($AM$1006:BH1006),$AM$1006:$BM$1006,0))&gt;=100000), " ",IF(INDEX($AM$2:$BM$1001,MATCH(ROWS($AF$2:AF824),$AF$2:$AF$1001,0),MATCH(COLUMNS($AM$1006:BH1006),$AM$1006:$BM$1006,0)), HYPERLINK("#",""), HYPERLINK(CONCATENATE("#metadata!", ADDRESS(INDEX($AH$2:$AH$1001,MATCH(ROWS($AF$2:AF824),$AF$2:$AF$1001,0),0), INDEX($AM$1004:$BM$1004,1,MATCH(COLUMNS($AM$1006:BH1006),$AM$1006:$BM$1006,0)))),"Fix")))</f>
        <v xml:space="preserve"> </v>
      </c>
      <c r="X824" s="4" t="str">
        <f ca="1">IF(OR(INDEX($AG$2:$AG$1001,MATCH(ROWS($AF$2:AF824),$AF$2:$AF$1001,0),1)&gt;=100000,INDEX($AM$1005:$BM$1005,1,MATCH(COLUMNS($AM$1006:BI1006),$AM$1006:$BM$1006,0))&gt;=100000), " ",IF(INDEX($AM$2:$BM$1001,MATCH(ROWS($AF$2:AF824),$AF$2:$AF$1001,0),MATCH(COLUMNS($AM$1006:BI1006),$AM$1006:$BM$1006,0)), HYPERLINK("#",""), HYPERLINK(CONCATENATE("#metadata!", ADDRESS(INDEX($AH$2:$AH$1001,MATCH(ROWS($AF$2:AF824),$AF$2:$AF$1001,0),0), INDEX($AM$1004:$BM$1004,1,MATCH(COLUMNS($AM$1006:BI1006),$AM$1006:$BM$1006,0)))),"Fix")))</f>
        <v xml:space="preserve"> </v>
      </c>
      <c r="Y824" s="4" t="str">
        <f ca="1">IF(OR(INDEX($AG$2:$AG$1001,MATCH(ROWS($AF$2:AF824),$AF$2:$AF$1001,0),1)&gt;=100000,INDEX($AM$1005:$BM$1005,1,MATCH(COLUMNS($AM$1006:BJ1006),$AM$1006:$BM$1006,0))&gt;=100000), " ",IF(INDEX($AM$2:$BM$1001,MATCH(ROWS($AF$2:AF824),$AF$2:$AF$1001,0),MATCH(COLUMNS($AM$1006:BJ1006),$AM$1006:$BM$1006,0)), HYPERLINK("#",""), HYPERLINK(CONCATENATE("#metadata!", ADDRESS(INDEX($AH$2:$AH$1001,MATCH(ROWS($AF$2:AF824),$AF$2:$AF$1001,0),0), INDEX($AM$1004:$BM$1004,1,MATCH(COLUMNS($AM$1006:BJ1006),$AM$1006:$BM$1006,0)))),"Fix")))</f>
        <v xml:space="preserve"> </v>
      </c>
      <c r="Z824" s="4" t="str">
        <f ca="1">IF(OR(INDEX($AG$2:$AG$1001,MATCH(ROWS($AF$2:AF824),$AF$2:$AF$1001,0),1)&gt;=100000,INDEX($AM$1005:$BM$1005,1,MATCH(COLUMNS($AM$1006:BK1006),$AM$1006:$BM$1006,0))&gt;=100000), " ",IF(INDEX($AM$2:$BM$1001,MATCH(ROWS($AF$2:AF824),$AF$2:$AF$1001,0),MATCH(COLUMNS($AM$1006:BK1006),$AM$1006:$BM$1006,0)), HYPERLINK("#",""), HYPERLINK(CONCATENATE("#metadata!", ADDRESS(INDEX($AH$2:$AH$1001,MATCH(ROWS($AF$2:AF824),$AF$2:$AF$1001,0),0), INDEX($AM$1004:$BM$1004,1,MATCH(COLUMNS($AM$1006:BK1006),$AM$1006:$BM$1006,0)))),"Fix")))</f>
        <v xml:space="preserve"> </v>
      </c>
      <c r="AA824" s="4" t="str">
        <f ca="1">IF(OR(INDEX($AG$2:$AG$1001,MATCH(ROWS($AF$2:AF824),$AF$2:$AF$1001,0),1)&gt;=100000,INDEX($AM$1005:$BM$1005,1,MATCH(COLUMNS($AM$1006:BL1006),$AM$1006:$BM$1006,0))&gt;=100000), " ",IF(INDEX($AM$2:$BM$1001,MATCH(ROWS($AF$2:AF824),$AF$2:$AF$1001,0),MATCH(COLUMNS($AM$1006:BL1006),$AM$1006:$BM$1006,0)), HYPERLINK("#",""), HYPERLINK(CONCATENATE("#metadata!", ADDRESS(INDEX($AH$2:$AH$1001,MATCH(ROWS($AF$2:AF824),$AF$2:$AF$1001,0),0), INDEX($AM$1004:$BM$1004,1,MATCH(COLUMNS($AM$1006:BL1006),$AM$1006:$BM$1006,0)))),"Fix")))</f>
        <v xml:space="preserve"> </v>
      </c>
      <c r="AB824" s="4" t="str">
        <f ca="1">IF(OR(INDEX($AG$2:$AG$1001,MATCH(ROWS($AF$2:AF824),$AF$2:$AF$1001,0),1)&gt;=100000,INDEX($AM$1005:$BM$1005,1,MATCH(COLUMNS($AM$1006:BM1006),$AM$1006:$BM$1006,0))&gt;=100000), " ",IF(INDEX($AM$2:$BM$1001,MATCH(ROWS($AF$2:AF824),$AF$2:$AF$1001,0),MATCH(COLUMNS($AM$1006:BM1006),$AM$1006:$BM$1006,0)), HYPERLINK("#",""), HYPERLINK(CONCATENATE("#metadata!", ADDRESS(INDEX($AH$2:$AH$1001,MATCH(ROWS($AF$2:AF824),$AF$2:$AF$1001,0),0), INDEX($AM$1004:$BM$1004,1,MATCH(COLUMNS($AM$1006:BM1006),$AM$1006:$BM$1006,0)))),"Fix")))</f>
        <v xml:space="preserve"> </v>
      </c>
      <c r="AF824">
        <v>823</v>
      </c>
      <c r="AG824">
        <v>100824</v>
      </c>
      <c r="AH824">
        <v>824</v>
      </c>
      <c r="AI824" t="b">
        <f t="shared" si="12"/>
        <v>1</v>
      </c>
      <c r="AJ824" t="b">
        <f>COUNTBLANK(metadata!B824:AB824)=COLUMNS(metadata!B824:AB824)</f>
        <v>1</v>
      </c>
      <c r="AK824" t="str">
        <v/>
      </c>
      <c r="AM824" t="b">
        <f ca="1">AND(IF(metadata!B824="",FALSE,TRUE),COUNTIF(metadata!B:B, metadata!B824) = 1,NOT(ISERROR(SUMPRODUCT(SEARCH(MID(metadata!B824,ROW(INDIRECT("1:"&amp;LEN(metadata!B824))), 1),"0123456789abcdefghijklmnopqrstuvwxyzABCDEFGHIJKLMNOPQRSTUVWXYZ.")))))</f>
        <v>0</v>
      </c>
      <c r="AN824" t="b">
        <f ca="1">OR(AND(IF(metadata!C824="",FALSE,TRUE),OR(EXACT(metadata!C824,"missing: not collected"),EXACT(metadata!C824,"missing: not provided"),EXACT(metadata!C824,"missing: restricted access"))),AND(IF(metadata!C824="",FALSE,TRUE),AND(AND(IFERROR(INT(LEFT(metadata!C824,4))&gt;1900,FALSE),IFERROR(INT(LEFT(metadata!C824,4))&lt;=YEAR(NOW()),FALSE)), OR(MID(metadata!C824,5,1)="", AND(AND(MID(metadata!C824,5,1)="-",IFERROR(INT(MID(metadata!C824,6,1))&gt;=0,FALSE),IFERROR(INT(MID(metadata!C824,6,1))&lt;=1,FALSE),NOT(MID(metadata!C824,7,1)=""),IFERROR(INT(MID(metadata!C824,6,2))&gt;=1,FALSE),IFERROR(INT(MID(metadata!C824,6,2))&lt;=12,FALSE)), OR(MID(metadata!C824,8,1)="", AND(AND(MID(metadata!C824,8,1)="-",IFERROR(INT(MID(metadata!C824,9,1))&gt;=0,FALSE),IFERROR(INT(MID(metadata!C824,9,1))&lt;=3,FALSE),NOT(MID(metadata!C824,10,1)=""),IFERROR(INT(MID(metadata!C824,9,2))&gt;=1,FALSE),IFERROR(INT(MID(metadata!C824,9,2))&lt;=31,FALSE)), OR(MID(metadata!C824,11,1)="", AND(AND(MID(metadata!C824,11,1)=" ",IFERROR(INT(MID(metadata!C824,12,1))&gt;=0,FALSE),IFERROR(INT(MID(metadata!C824,12,1))&lt;=2,FALSE),NOT(MID(metadata!C824,13,1)=""),IFERROR(INT(MID(metadata!C824,12,2))&gt;=0,FALSE),IFERROR(INT(MID(metadata!C824,12,2))&lt;=23,FALSE)), OR(MID(metadata!C824,14,1)="", AND(AND(MID(metadata!C824,14,1)=":",IFERROR(INT(MID(metadata!C824,15,1))&gt;=0,FALSE),IFERROR(INT(MID(metadata!C824,15,1))&lt;=5,FALSE),NOT(MID(metadata!C824,16,1)=""),IFERROR(INT(MID(metadata!C824,15,2))&gt;=0,FALSE),IFERROR(INT(MID(metadata!C824,15,2))&lt;=59,FALSE)), OR(MID(metadata!C824,17,1)="", AND(AND(MID(metadata!C824,17,1)=":",IFERROR(INT(MID(metadata!C824,18,1))&gt;=0,FALSE),IFERROR(INT(MID(metadata!C824,18,1))&lt;=5,FALSE),NOT(MID(metadata!C824,19,1)=""),IFERROR(INT(MID(metadata!C824,18,2))&gt;=0,FALSE),IFERROR(INT(MID(metadata!C824,18,2))&lt;=59,FALSE)), LEN(metadata!C824)&lt;=19)))))))))))))</f>
        <v>0</v>
      </c>
      <c r="AO824" t="b">
        <f>AND(IF(metadata!D824="",FALSE,TRUE),EXACT(metadata!D824,"Not applicable"))</f>
        <v>0</v>
      </c>
      <c r="AP824" t="b">
        <f>IF(metadata!E824="",FALSE,TRUE)</f>
        <v>0</v>
      </c>
      <c r="AQ824" t="b">
        <f>OR(AND(IF(metadata!F824="",FALSE,TRUE),OR(EXACT(metadata!F824,"missing: not collected"),EXACT(metadata!F824,"missing: not provided"))),AND(IF(metadata!F824="",FALSE,TRUE),OR(EXACT(metadata!F824,"TRUE"),EXACT(metadata!F824,"FALSE"))))</f>
        <v>0</v>
      </c>
      <c r="AR824" t="b">
        <f>OR(AND(IF(metadata!G824="",FALSE,TRUE),OR(EXACT(metadata!G824,"missing: not collected"),EXACT(metadata!G824,"missing: not provided"),EXACT(metadata!G824,"missing: restricted access"))),AND(IF(metadata!G824="",FALSE,ISNUMBER(VALUE(metadata!G824))),metadata!G824&gt;=-413))</f>
        <v>0</v>
      </c>
      <c r="AS824" t="b">
        <f>AND(IF(metadata!H824="",FALSE,TRUE),EXACT(metadata!H824,"meters"))</f>
        <v>0</v>
      </c>
      <c r="AT824" t="b">
        <f>AND(IF(metadata!I824="",FALSE,TRUE),OR(EXACT(metadata!I824,"Host-associated"),EXACT(metadata!I824,"Free-living")))</f>
        <v>0</v>
      </c>
      <c r="AU824" t="b">
        <f>AND(IF(metadata!J824="",FALSE,TRUE),OR(EXACT(metadata!J824,"Animal"),EXACT(metadata!J824,"Fungus"),EXACT(metadata!J824,"Plant"),EXACT(metadata!J824,"Saline"),EXACT(metadata!J824,"Non-saline")))</f>
        <v>0</v>
      </c>
      <c r="AV824" t="b">
        <f>AND(IF(metadata!K824="",FALSE,TRUE),OR(EXACT(metadata!K824,"Plant secretion"),EXACT(metadata!K824,"Plant rhizosphere"),EXACT(metadata!K824,"Plant surface"),EXACT(metadata!K824,"Plant corpus"),EXACT(metadata!K824,"Fungus surface"),EXACT(metadata!K824,"Fungus corpus"),EXACT(metadata!K824,"Animal surface"),EXACT(metadata!K824,"Animal proximal gut"),EXACT(metadata!K824,"Animal corpus"),EXACT(metadata!K824,"Animal distal gut"),EXACT(metadata!K824,"Animal secretion"),EXACT(metadata!K824,"Sub-surface (non-saline)"),EXACT(metadata!K824,"Surface (non-saline)"),EXACT(metadata!K824,"Water (non-saline)"),EXACT(metadata!K824,"Soil (non-saline)"),EXACT(metadata!K824,"Aerosol (non-saline)"),EXACT(metadata!K824,"Sediment (non-saline)"),EXACT(metadata!K824,"Surface (saline)"),EXACT(metadata!K824,"Water (saline)"),EXACT(metadata!K824,"Hypersaline (saline)"),EXACT(metadata!K824,"Aerosol (saline)"),EXACT(metadata!K824,"Sediment (saline)")))</f>
        <v>0</v>
      </c>
      <c r="AW824" t="b">
        <f>IF(metadata!L824="",FALSE,TRUE)</f>
        <v>0</v>
      </c>
      <c r="AX824" t="b">
        <f>IF(metadata!M824="",FALSE,TRUE)</f>
        <v>0</v>
      </c>
      <c r="AY824" t="b">
        <f>IF(metadata!N824="",FALSE,TRUE)</f>
        <v>0</v>
      </c>
      <c r="AZ824" t="b">
        <f>OR(AND(IF(metadata!O824="",FALSE,TRUE),OR(EXACT(metadata!O824,"missing: not collected"),EXACT(metadata!O824,"missing: not provided"),EXACT(metadata!O824,"missing: restricted access"))),AND(IF(metadata!O824="",FALSE,TRUE),OR(EXACT(metadata!O824,"air"),EXACT(metadata!O824,"built environment"),EXACT(metadata!O824,"host-associated"),EXACT(metadata!O824,"human-associated"),EXACT(metadata!O824,"human-skin"),EXACT(metadata!O824,"human-oral"),EXACT(metadata!O824,"human-gut"),EXACT(metadata!O824,"human-vaginal"),EXACT(metadata!O824,"microbial mat/biofilm"),EXACT(metadata!O824,"misc environment"),EXACT(metadata!O824,"plant-associated"),EXACT(metadata!O824,"sediment"),EXACT(metadata!O824,"soil"),EXACT(metadata!O824,"wastewater/sludge"),EXACT(metadata!O824,"water"))))</f>
        <v>0</v>
      </c>
      <c r="BA824" t="b">
        <f>IF(metadata!P824="",FALSE,TRUE)</f>
        <v>0</v>
      </c>
      <c r="BB824" t="b">
        <f>IF(metadata!Q824="",FALSE,TRUE)</f>
        <v>0</v>
      </c>
      <c r="BC824" t="b">
        <f>OR(AND(IF(metadata!R824="",FALSE,TRUE),OR(EXACT(metadata!R824,"missing: not collected"),EXACT(metadata!R824,"missing: not provided"),EXACT(metadata!R824,"missing: restricted access"))),AND(IF(metadata!R824="",FALSE,ISNUMBER(VALUE(metadata!R824))),metadata!R824&gt;=-90,metadata!R824&lt;=90))</f>
        <v>0</v>
      </c>
      <c r="BD824" t="b">
        <f>AND(IF(metadata!S824="",FALSE,TRUE),EXACT(metadata!S824,"Decimal degrees"))</f>
        <v>0</v>
      </c>
      <c r="BE824" t="b">
        <f>OR(AND(IF(metadata!T824="",FALSE,TRUE),OR(EXACT(metadata!T824,"missing: not collected"),EXACT(metadata!T824,"missing: not provided"),EXACT(metadata!T824,"missing: restricted access"))),AND(IF(metadata!T824="",FALSE,ISNUMBER(VALUE(metadata!T824))),metadata!T824&gt;=-180,metadata!T824&lt;=180))</f>
        <v>0</v>
      </c>
      <c r="BF824" t="b">
        <f>AND(IF(metadata!U824="",FALSE,TRUE),EXACT(metadata!U824,"Decimal degrees"))</f>
        <v>0</v>
      </c>
      <c r="BG824" t="b">
        <f>IF(metadata!V824="",FALSE,TRUE)</f>
        <v>0</v>
      </c>
      <c r="BH824" t="b">
        <f>OR(AND(IF(metadata!W824="",FALSE,TRUE),OR(EXACT(metadata!W824,"missing: not collected"),EXACT(metadata!W824,"missing: not provided"),EXACT(metadata!W824,"missing: restricted access"))),AND(IF(metadata!W824="",FALSE,TRUE),OR(EXACT(metadata!W824,"TRUE"),EXACT(metadata!W824,"FALSE"))))</f>
        <v>0</v>
      </c>
      <c r="BI824" t="b">
        <f>AND(IF(metadata!X824="",FALSE,TRUE),EXACT(metadata!X824,"other"))</f>
        <v>0</v>
      </c>
      <c r="BJ824" t="b">
        <f>IF(metadata!Y824="",FALSE,TRUE)</f>
        <v>0</v>
      </c>
      <c r="BK824" t="b">
        <f>OR(AND(IF(metadata!Z824="",FALSE,TRUE),OR(EXACT(metadata!Z824,"missing: not collected"),EXACT(metadata!Z824,"missing: not provided"))),AND(IF(metadata!Z824="",FALSE,IF(ISERROR(INT(metadata!Z824)),FALSE,INT(metadata!Z824)=metadata!Z824)),metadata!Z824&gt;0))</f>
        <v>0</v>
      </c>
      <c r="BL824" t="b">
        <f>AND(IF(metadata!AA824="",FALSE,TRUE),EXACT(metadata!AA824,"Not applicable"))</f>
        <v>0</v>
      </c>
      <c r="BM824" t="b">
        <f>IF(metadata!AB824="",FALSE,TRUE)</f>
        <v>0</v>
      </c>
    </row>
    <row r="825" spans="1:65" x14ac:dyDescent="0.2">
      <c r="A825" s="5" t="str">
        <f ca="1">IF(B825=" "," ",HYPERLINK(CONCATENATE("#metadata!",ADDRESS(INDEX($AH$2:$AH$1001,MATCH(ROWS($AF$2:AF825),$AF$2:$AF$1001,0),0),1)),INDEX($AK$2:$AK$1001,MATCH(ROWS($AF$2:AF825),$AF$2:$AF$1001,0),0)))</f>
        <v xml:space="preserve"> </v>
      </c>
      <c r="B825" s="4" t="str">
        <f ca="1">IF(OR(INDEX($AG$2:$AG$1001,MATCH(ROWS($AF$2:AF825),$AF$2:$AF$1001,0),1)&gt;=100000,INDEX($AM$1005:$BM$1005,1,MATCH(COLUMNS($AM$1006:AM1006),$AM$1006:$BM$1006,0))&gt;=100000), " ",IF(INDEX($AM$2:$BM$1001,MATCH(ROWS($AF$2:AF825),$AF$2:$AF$1001,0),MATCH(COLUMNS($AM$1006:AM1006),$AM$1006:$BM$1006,0)), HYPERLINK("#",""), HYPERLINK(CONCATENATE("#metadata!", ADDRESS(INDEX($AH$2:$AH$1001,MATCH(ROWS($AF$2:AF825),$AF$2:$AF$1001,0),0), INDEX($AM$1004:$BM$1004,1,MATCH(COLUMNS($AM$1006:AM1006),$AM$1006:$BM$1006,0)))),"Fix")))</f>
        <v xml:space="preserve"> </v>
      </c>
      <c r="C825" s="4" t="str">
        <f ca="1">IF(OR(INDEX($AG$2:$AG$1001,MATCH(ROWS($AF$2:AF825),$AF$2:$AF$1001,0),1)&gt;=100000,INDEX($AM$1005:$BM$1005,1,MATCH(COLUMNS($AM$1006:AN1006),$AM$1006:$BM$1006,0))&gt;=100000), " ",IF(INDEX($AM$2:$BM$1001,MATCH(ROWS($AF$2:AF825),$AF$2:$AF$1001,0),MATCH(COLUMNS($AM$1006:AN1006),$AM$1006:$BM$1006,0)), HYPERLINK("#",""), HYPERLINK(CONCATENATE("#metadata!", ADDRESS(INDEX($AH$2:$AH$1001,MATCH(ROWS($AF$2:AF825),$AF$2:$AF$1001,0),0), INDEX($AM$1004:$BM$1004,1,MATCH(COLUMNS($AM$1006:AN1006),$AM$1006:$BM$1006,0)))),"Fix")))</f>
        <v xml:space="preserve"> </v>
      </c>
      <c r="D825" s="4" t="str">
        <f ca="1">IF(OR(INDEX($AG$2:$AG$1001,MATCH(ROWS($AF$2:AF825),$AF$2:$AF$1001,0),1)&gt;=100000,INDEX($AM$1005:$BM$1005,1,MATCH(COLUMNS($AM$1006:AO1006),$AM$1006:$BM$1006,0))&gt;=100000), " ",IF(INDEX($AM$2:$BM$1001,MATCH(ROWS($AF$2:AF825),$AF$2:$AF$1001,0),MATCH(COLUMNS($AM$1006:AO1006),$AM$1006:$BM$1006,0)), HYPERLINK("#",""), HYPERLINK(CONCATENATE("#metadata!", ADDRESS(INDEX($AH$2:$AH$1001,MATCH(ROWS($AF$2:AF825),$AF$2:$AF$1001,0),0), INDEX($AM$1004:$BM$1004,1,MATCH(COLUMNS($AM$1006:AO1006),$AM$1006:$BM$1006,0)))),"Fix")))</f>
        <v xml:space="preserve"> </v>
      </c>
      <c r="E825" s="4" t="str">
        <f ca="1">IF(OR(INDEX($AG$2:$AG$1001,MATCH(ROWS($AF$2:AF825),$AF$2:$AF$1001,0),1)&gt;=100000,INDEX($AM$1005:$BM$1005,1,MATCH(COLUMNS($AM$1006:AP1006),$AM$1006:$BM$1006,0))&gt;=100000), " ",IF(INDEX($AM$2:$BM$1001,MATCH(ROWS($AF$2:AF825),$AF$2:$AF$1001,0),MATCH(COLUMNS($AM$1006:AP1006),$AM$1006:$BM$1006,0)), HYPERLINK("#",""), HYPERLINK(CONCATENATE("#metadata!", ADDRESS(INDEX($AH$2:$AH$1001,MATCH(ROWS($AF$2:AF825),$AF$2:$AF$1001,0),0), INDEX($AM$1004:$BM$1004,1,MATCH(COLUMNS($AM$1006:AP1006),$AM$1006:$BM$1006,0)))),"Fix")))</f>
        <v xml:space="preserve"> </v>
      </c>
      <c r="F825" s="4" t="str">
        <f ca="1">IF(OR(INDEX($AG$2:$AG$1001,MATCH(ROWS($AF$2:AF825),$AF$2:$AF$1001,0),1)&gt;=100000,INDEX($AM$1005:$BM$1005,1,MATCH(COLUMNS($AM$1006:AQ1006),$AM$1006:$BM$1006,0))&gt;=100000), " ",IF(INDEX($AM$2:$BM$1001,MATCH(ROWS($AF$2:AF825),$AF$2:$AF$1001,0),MATCH(COLUMNS($AM$1006:AQ1006),$AM$1006:$BM$1006,0)), HYPERLINK("#",""), HYPERLINK(CONCATENATE("#metadata!", ADDRESS(INDEX($AH$2:$AH$1001,MATCH(ROWS($AF$2:AF825),$AF$2:$AF$1001,0),0), INDEX($AM$1004:$BM$1004,1,MATCH(COLUMNS($AM$1006:AQ1006),$AM$1006:$BM$1006,0)))),"Fix")))</f>
        <v xml:space="preserve"> </v>
      </c>
      <c r="G825" s="4" t="str">
        <f ca="1">IF(OR(INDEX($AG$2:$AG$1001,MATCH(ROWS($AF$2:AF825),$AF$2:$AF$1001,0),1)&gt;=100000,INDEX($AM$1005:$BM$1005,1,MATCH(COLUMNS($AM$1006:AR1006),$AM$1006:$BM$1006,0))&gt;=100000), " ",IF(INDEX($AM$2:$BM$1001,MATCH(ROWS($AF$2:AF825),$AF$2:$AF$1001,0),MATCH(COLUMNS($AM$1006:AR1006),$AM$1006:$BM$1006,0)), HYPERLINK("#",""), HYPERLINK(CONCATENATE("#metadata!", ADDRESS(INDEX($AH$2:$AH$1001,MATCH(ROWS($AF$2:AF825),$AF$2:$AF$1001,0),0), INDEX($AM$1004:$BM$1004,1,MATCH(COLUMNS($AM$1006:AR1006),$AM$1006:$BM$1006,0)))),"Fix")))</f>
        <v xml:space="preserve"> </v>
      </c>
      <c r="H825" s="4" t="str">
        <f ca="1">IF(OR(INDEX($AG$2:$AG$1001,MATCH(ROWS($AF$2:AF825),$AF$2:$AF$1001,0),1)&gt;=100000,INDEX($AM$1005:$BM$1005,1,MATCH(COLUMNS($AM$1006:AS1006),$AM$1006:$BM$1006,0))&gt;=100000), " ",IF(INDEX($AM$2:$BM$1001,MATCH(ROWS($AF$2:AF825),$AF$2:$AF$1001,0),MATCH(COLUMNS($AM$1006:AS1006),$AM$1006:$BM$1006,0)), HYPERLINK("#",""), HYPERLINK(CONCATENATE("#metadata!", ADDRESS(INDEX($AH$2:$AH$1001,MATCH(ROWS($AF$2:AF825),$AF$2:$AF$1001,0),0), INDEX($AM$1004:$BM$1004,1,MATCH(COLUMNS($AM$1006:AS1006),$AM$1006:$BM$1006,0)))),"Fix")))</f>
        <v xml:space="preserve"> </v>
      </c>
      <c r="I825" s="4" t="str">
        <f ca="1">IF(OR(INDEX($AG$2:$AG$1001,MATCH(ROWS($AF$2:AF825),$AF$2:$AF$1001,0),1)&gt;=100000,INDEX($AM$1005:$BM$1005,1,MATCH(COLUMNS($AM$1006:AT1006),$AM$1006:$BM$1006,0))&gt;=100000), " ",IF(INDEX($AM$2:$BM$1001,MATCH(ROWS($AF$2:AF825),$AF$2:$AF$1001,0),MATCH(COLUMNS($AM$1006:AT1006),$AM$1006:$BM$1006,0)), HYPERLINK("#",""), HYPERLINK(CONCATENATE("#metadata!", ADDRESS(INDEX($AH$2:$AH$1001,MATCH(ROWS($AF$2:AF825),$AF$2:$AF$1001,0),0), INDEX($AM$1004:$BM$1004,1,MATCH(COLUMNS($AM$1006:AT1006),$AM$1006:$BM$1006,0)))),"Fix")))</f>
        <v xml:space="preserve"> </v>
      </c>
      <c r="J825" s="4" t="str">
        <f ca="1">IF(OR(INDEX($AG$2:$AG$1001,MATCH(ROWS($AF$2:AF825),$AF$2:$AF$1001,0),1)&gt;=100000,INDEX($AM$1005:$BM$1005,1,MATCH(COLUMNS($AM$1006:AU1006),$AM$1006:$BM$1006,0))&gt;=100000), " ",IF(INDEX($AM$2:$BM$1001,MATCH(ROWS($AF$2:AF825),$AF$2:$AF$1001,0),MATCH(COLUMNS($AM$1006:AU1006),$AM$1006:$BM$1006,0)), HYPERLINK("#",""), HYPERLINK(CONCATENATE("#metadata!", ADDRESS(INDEX($AH$2:$AH$1001,MATCH(ROWS($AF$2:AF825),$AF$2:$AF$1001,0),0), INDEX($AM$1004:$BM$1004,1,MATCH(COLUMNS($AM$1006:AU1006),$AM$1006:$BM$1006,0)))),"Fix")))</f>
        <v xml:space="preserve"> </v>
      </c>
      <c r="K825" s="4" t="str">
        <f ca="1">IF(OR(INDEX($AG$2:$AG$1001,MATCH(ROWS($AF$2:AF825),$AF$2:$AF$1001,0),1)&gt;=100000,INDEX($AM$1005:$BM$1005,1,MATCH(COLUMNS($AM$1006:AV1006),$AM$1006:$BM$1006,0))&gt;=100000), " ",IF(INDEX($AM$2:$BM$1001,MATCH(ROWS($AF$2:AF825),$AF$2:$AF$1001,0),MATCH(COLUMNS($AM$1006:AV1006),$AM$1006:$BM$1006,0)), HYPERLINK("#",""), HYPERLINK(CONCATENATE("#metadata!", ADDRESS(INDEX($AH$2:$AH$1001,MATCH(ROWS($AF$2:AF825),$AF$2:$AF$1001,0),0), INDEX($AM$1004:$BM$1004,1,MATCH(COLUMNS($AM$1006:AV1006),$AM$1006:$BM$1006,0)))),"Fix")))</f>
        <v xml:space="preserve"> </v>
      </c>
      <c r="L825" s="4" t="str">
        <f ca="1">IF(OR(INDEX($AG$2:$AG$1001,MATCH(ROWS($AF$2:AF825),$AF$2:$AF$1001,0),1)&gt;=100000,INDEX($AM$1005:$BM$1005,1,MATCH(COLUMNS($AM$1006:AW1006),$AM$1006:$BM$1006,0))&gt;=100000), " ",IF(INDEX($AM$2:$BM$1001,MATCH(ROWS($AF$2:AF825),$AF$2:$AF$1001,0),MATCH(COLUMNS($AM$1006:AW1006),$AM$1006:$BM$1006,0)), HYPERLINK("#",""), HYPERLINK(CONCATENATE("#metadata!", ADDRESS(INDEX($AH$2:$AH$1001,MATCH(ROWS($AF$2:AF825),$AF$2:$AF$1001,0),0), INDEX($AM$1004:$BM$1004,1,MATCH(COLUMNS($AM$1006:AW1006),$AM$1006:$BM$1006,0)))),"Fix")))</f>
        <v xml:space="preserve"> </v>
      </c>
      <c r="M825" s="4" t="str">
        <f ca="1">IF(OR(INDEX($AG$2:$AG$1001,MATCH(ROWS($AF$2:AF825),$AF$2:$AF$1001,0),1)&gt;=100000,INDEX($AM$1005:$BM$1005,1,MATCH(COLUMNS($AM$1006:AX1006),$AM$1006:$BM$1006,0))&gt;=100000), " ",IF(INDEX($AM$2:$BM$1001,MATCH(ROWS($AF$2:AF825),$AF$2:$AF$1001,0),MATCH(COLUMNS($AM$1006:AX1006),$AM$1006:$BM$1006,0)), HYPERLINK("#",""), HYPERLINK(CONCATENATE("#metadata!", ADDRESS(INDEX($AH$2:$AH$1001,MATCH(ROWS($AF$2:AF825),$AF$2:$AF$1001,0),0), INDEX($AM$1004:$BM$1004,1,MATCH(COLUMNS($AM$1006:AX1006),$AM$1006:$BM$1006,0)))),"Fix")))</f>
        <v xml:space="preserve"> </v>
      </c>
      <c r="N825" s="4" t="str">
        <f ca="1">IF(OR(INDEX($AG$2:$AG$1001,MATCH(ROWS($AF$2:AF825),$AF$2:$AF$1001,0),1)&gt;=100000,INDEX($AM$1005:$BM$1005,1,MATCH(COLUMNS($AM$1006:AY1006),$AM$1006:$BM$1006,0))&gt;=100000), " ",IF(INDEX($AM$2:$BM$1001,MATCH(ROWS($AF$2:AF825),$AF$2:$AF$1001,0),MATCH(COLUMNS($AM$1006:AY1006),$AM$1006:$BM$1006,0)), HYPERLINK("#",""), HYPERLINK(CONCATENATE("#metadata!", ADDRESS(INDEX($AH$2:$AH$1001,MATCH(ROWS($AF$2:AF825),$AF$2:$AF$1001,0),0), INDEX($AM$1004:$BM$1004,1,MATCH(COLUMNS($AM$1006:AY1006),$AM$1006:$BM$1006,0)))),"Fix")))</f>
        <v xml:space="preserve"> </v>
      </c>
      <c r="O825" s="4" t="str">
        <f ca="1">IF(OR(INDEX($AG$2:$AG$1001,MATCH(ROWS($AF$2:AF825),$AF$2:$AF$1001,0),1)&gt;=100000,INDEX($AM$1005:$BM$1005,1,MATCH(COLUMNS($AM$1006:AZ1006),$AM$1006:$BM$1006,0))&gt;=100000), " ",IF(INDEX($AM$2:$BM$1001,MATCH(ROWS($AF$2:AF825),$AF$2:$AF$1001,0),MATCH(COLUMNS($AM$1006:AZ1006),$AM$1006:$BM$1006,0)), HYPERLINK("#",""), HYPERLINK(CONCATENATE("#metadata!", ADDRESS(INDEX($AH$2:$AH$1001,MATCH(ROWS($AF$2:AF825),$AF$2:$AF$1001,0),0), INDEX($AM$1004:$BM$1004,1,MATCH(COLUMNS($AM$1006:AZ1006),$AM$1006:$BM$1006,0)))),"Fix")))</f>
        <v xml:space="preserve"> </v>
      </c>
      <c r="P825" s="4" t="str">
        <f ca="1">IF(OR(INDEX($AG$2:$AG$1001,MATCH(ROWS($AF$2:AF825),$AF$2:$AF$1001,0),1)&gt;=100000,INDEX($AM$1005:$BM$1005,1,MATCH(COLUMNS($AM$1006:BA1006),$AM$1006:$BM$1006,0))&gt;=100000), " ",IF(INDEX($AM$2:$BM$1001,MATCH(ROWS($AF$2:AF825),$AF$2:$AF$1001,0),MATCH(COLUMNS($AM$1006:BA1006),$AM$1006:$BM$1006,0)), HYPERLINK("#",""), HYPERLINK(CONCATENATE("#metadata!", ADDRESS(INDEX($AH$2:$AH$1001,MATCH(ROWS($AF$2:AF825),$AF$2:$AF$1001,0),0), INDEX($AM$1004:$BM$1004,1,MATCH(COLUMNS($AM$1006:BA1006),$AM$1006:$BM$1006,0)))),"Fix")))</f>
        <v xml:space="preserve"> </v>
      </c>
      <c r="Q825" s="4" t="str">
        <f ca="1">IF(OR(INDEX($AG$2:$AG$1001,MATCH(ROWS($AF$2:AF825),$AF$2:$AF$1001,0),1)&gt;=100000,INDEX($AM$1005:$BM$1005,1,MATCH(COLUMNS($AM$1006:BB1006),$AM$1006:$BM$1006,0))&gt;=100000), " ",IF(INDEX($AM$2:$BM$1001,MATCH(ROWS($AF$2:AF825),$AF$2:$AF$1001,0),MATCH(COLUMNS($AM$1006:BB1006),$AM$1006:$BM$1006,0)), HYPERLINK("#",""), HYPERLINK(CONCATENATE("#metadata!", ADDRESS(INDEX($AH$2:$AH$1001,MATCH(ROWS($AF$2:AF825),$AF$2:$AF$1001,0),0), INDEX($AM$1004:$BM$1004,1,MATCH(COLUMNS($AM$1006:BB1006),$AM$1006:$BM$1006,0)))),"Fix")))</f>
        <v xml:space="preserve"> </v>
      </c>
      <c r="R825" s="4" t="str">
        <f ca="1">IF(OR(INDEX($AG$2:$AG$1001,MATCH(ROWS($AF$2:AF825),$AF$2:$AF$1001,0),1)&gt;=100000,INDEX($AM$1005:$BM$1005,1,MATCH(COLUMNS($AM$1006:BC1006),$AM$1006:$BM$1006,0))&gt;=100000), " ",IF(INDEX($AM$2:$BM$1001,MATCH(ROWS($AF$2:AF825),$AF$2:$AF$1001,0),MATCH(COLUMNS($AM$1006:BC1006),$AM$1006:$BM$1006,0)), HYPERLINK("#",""), HYPERLINK(CONCATENATE("#metadata!", ADDRESS(INDEX($AH$2:$AH$1001,MATCH(ROWS($AF$2:AF825),$AF$2:$AF$1001,0),0), INDEX($AM$1004:$BM$1004,1,MATCH(COLUMNS($AM$1006:BC1006),$AM$1006:$BM$1006,0)))),"Fix")))</f>
        <v xml:space="preserve"> </v>
      </c>
      <c r="S825" s="4" t="str">
        <f ca="1">IF(OR(INDEX($AG$2:$AG$1001,MATCH(ROWS($AF$2:AF825),$AF$2:$AF$1001,0),1)&gt;=100000,INDEX($AM$1005:$BM$1005,1,MATCH(COLUMNS($AM$1006:BD1006),$AM$1006:$BM$1006,0))&gt;=100000), " ",IF(INDEX($AM$2:$BM$1001,MATCH(ROWS($AF$2:AF825),$AF$2:$AF$1001,0),MATCH(COLUMNS($AM$1006:BD1006),$AM$1006:$BM$1006,0)), HYPERLINK("#",""), HYPERLINK(CONCATENATE("#metadata!", ADDRESS(INDEX($AH$2:$AH$1001,MATCH(ROWS($AF$2:AF825),$AF$2:$AF$1001,0),0), INDEX($AM$1004:$BM$1004,1,MATCH(COLUMNS($AM$1006:BD1006),$AM$1006:$BM$1006,0)))),"Fix")))</f>
        <v xml:space="preserve"> </v>
      </c>
      <c r="T825" s="4" t="str">
        <f ca="1">IF(OR(INDEX($AG$2:$AG$1001,MATCH(ROWS($AF$2:AF825),$AF$2:$AF$1001,0),1)&gt;=100000,INDEX($AM$1005:$BM$1005,1,MATCH(COLUMNS($AM$1006:BE1006),$AM$1006:$BM$1006,0))&gt;=100000), " ",IF(INDEX($AM$2:$BM$1001,MATCH(ROWS($AF$2:AF825),$AF$2:$AF$1001,0),MATCH(COLUMNS($AM$1006:BE1006),$AM$1006:$BM$1006,0)), HYPERLINK("#",""), HYPERLINK(CONCATENATE("#metadata!", ADDRESS(INDEX($AH$2:$AH$1001,MATCH(ROWS($AF$2:AF825),$AF$2:$AF$1001,0),0), INDEX($AM$1004:$BM$1004,1,MATCH(COLUMNS($AM$1006:BE1006),$AM$1006:$BM$1006,0)))),"Fix")))</f>
        <v xml:space="preserve"> </v>
      </c>
      <c r="U825" s="4" t="str">
        <f ca="1">IF(OR(INDEX($AG$2:$AG$1001,MATCH(ROWS($AF$2:AF825),$AF$2:$AF$1001,0),1)&gt;=100000,INDEX($AM$1005:$BM$1005,1,MATCH(COLUMNS($AM$1006:BF1006),$AM$1006:$BM$1006,0))&gt;=100000), " ",IF(INDEX($AM$2:$BM$1001,MATCH(ROWS($AF$2:AF825),$AF$2:$AF$1001,0),MATCH(COLUMNS($AM$1006:BF1006),$AM$1006:$BM$1006,0)), HYPERLINK("#",""), HYPERLINK(CONCATENATE("#metadata!", ADDRESS(INDEX($AH$2:$AH$1001,MATCH(ROWS($AF$2:AF825),$AF$2:$AF$1001,0),0), INDEX($AM$1004:$BM$1004,1,MATCH(COLUMNS($AM$1006:BF1006),$AM$1006:$BM$1006,0)))),"Fix")))</f>
        <v xml:space="preserve"> </v>
      </c>
      <c r="V825" s="4" t="str">
        <f ca="1">IF(OR(INDEX($AG$2:$AG$1001,MATCH(ROWS($AF$2:AF825),$AF$2:$AF$1001,0),1)&gt;=100000,INDEX($AM$1005:$BM$1005,1,MATCH(COLUMNS($AM$1006:BG1006),$AM$1006:$BM$1006,0))&gt;=100000), " ",IF(INDEX($AM$2:$BM$1001,MATCH(ROWS($AF$2:AF825),$AF$2:$AF$1001,0),MATCH(COLUMNS($AM$1006:BG1006),$AM$1006:$BM$1006,0)), HYPERLINK("#",""), HYPERLINK(CONCATENATE("#metadata!", ADDRESS(INDEX($AH$2:$AH$1001,MATCH(ROWS($AF$2:AF825),$AF$2:$AF$1001,0),0), INDEX($AM$1004:$BM$1004,1,MATCH(COLUMNS($AM$1006:BG1006),$AM$1006:$BM$1006,0)))),"Fix")))</f>
        <v xml:space="preserve"> </v>
      </c>
      <c r="W825" s="4" t="str">
        <f ca="1">IF(OR(INDEX($AG$2:$AG$1001,MATCH(ROWS($AF$2:AF825),$AF$2:$AF$1001,0),1)&gt;=100000,INDEX($AM$1005:$BM$1005,1,MATCH(COLUMNS($AM$1006:BH1006),$AM$1006:$BM$1006,0))&gt;=100000), " ",IF(INDEX($AM$2:$BM$1001,MATCH(ROWS($AF$2:AF825),$AF$2:$AF$1001,0),MATCH(COLUMNS($AM$1006:BH1006),$AM$1006:$BM$1006,0)), HYPERLINK("#",""), HYPERLINK(CONCATENATE("#metadata!", ADDRESS(INDEX($AH$2:$AH$1001,MATCH(ROWS($AF$2:AF825),$AF$2:$AF$1001,0),0), INDEX($AM$1004:$BM$1004,1,MATCH(COLUMNS($AM$1006:BH1006),$AM$1006:$BM$1006,0)))),"Fix")))</f>
        <v xml:space="preserve"> </v>
      </c>
      <c r="X825" s="4" t="str">
        <f ca="1">IF(OR(INDEX($AG$2:$AG$1001,MATCH(ROWS($AF$2:AF825),$AF$2:$AF$1001,0),1)&gt;=100000,INDEX($AM$1005:$BM$1005,1,MATCH(COLUMNS($AM$1006:BI1006),$AM$1006:$BM$1006,0))&gt;=100000), " ",IF(INDEX($AM$2:$BM$1001,MATCH(ROWS($AF$2:AF825),$AF$2:$AF$1001,0),MATCH(COLUMNS($AM$1006:BI1006),$AM$1006:$BM$1006,0)), HYPERLINK("#",""), HYPERLINK(CONCATENATE("#metadata!", ADDRESS(INDEX($AH$2:$AH$1001,MATCH(ROWS($AF$2:AF825),$AF$2:$AF$1001,0),0), INDEX($AM$1004:$BM$1004,1,MATCH(COLUMNS($AM$1006:BI1006),$AM$1006:$BM$1006,0)))),"Fix")))</f>
        <v xml:space="preserve"> </v>
      </c>
      <c r="Y825" s="4" t="str">
        <f ca="1">IF(OR(INDEX($AG$2:$AG$1001,MATCH(ROWS($AF$2:AF825),$AF$2:$AF$1001,0),1)&gt;=100000,INDEX($AM$1005:$BM$1005,1,MATCH(COLUMNS($AM$1006:BJ1006),$AM$1006:$BM$1006,0))&gt;=100000), " ",IF(INDEX($AM$2:$BM$1001,MATCH(ROWS($AF$2:AF825),$AF$2:$AF$1001,0),MATCH(COLUMNS($AM$1006:BJ1006),$AM$1006:$BM$1006,0)), HYPERLINK("#",""), HYPERLINK(CONCATENATE("#metadata!", ADDRESS(INDEX($AH$2:$AH$1001,MATCH(ROWS($AF$2:AF825),$AF$2:$AF$1001,0),0), INDEX($AM$1004:$BM$1004,1,MATCH(COLUMNS($AM$1006:BJ1006),$AM$1006:$BM$1006,0)))),"Fix")))</f>
        <v xml:space="preserve"> </v>
      </c>
      <c r="Z825" s="4" t="str">
        <f ca="1">IF(OR(INDEX($AG$2:$AG$1001,MATCH(ROWS($AF$2:AF825),$AF$2:$AF$1001,0),1)&gt;=100000,INDEX($AM$1005:$BM$1005,1,MATCH(COLUMNS($AM$1006:BK1006),$AM$1006:$BM$1006,0))&gt;=100000), " ",IF(INDEX($AM$2:$BM$1001,MATCH(ROWS($AF$2:AF825),$AF$2:$AF$1001,0),MATCH(COLUMNS($AM$1006:BK1006),$AM$1006:$BM$1006,0)), HYPERLINK("#",""), HYPERLINK(CONCATENATE("#metadata!", ADDRESS(INDEX($AH$2:$AH$1001,MATCH(ROWS($AF$2:AF825),$AF$2:$AF$1001,0),0), INDEX($AM$1004:$BM$1004,1,MATCH(COLUMNS($AM$1006:BK1006),$AM$1006:$BM$1006,0)))),"Fix")))</f>
        <v xml:space="preserve"> </v>
      </c>
      <c r="AA825" s="4" t="str">
        <f ca="1">IF(OR(INDEX($AG$2:$AG$1001,MATCH(ROWS($AF$2:AF825),$AF$2:$AF$1001,0),1)&gt;=100000,INDEX($AM$1005:$BM$1005,1,MATCH(COLUMNS($AM$1006:BL1006),$AM$1006:$BM$1006,0))&gt;=100000), " ",IF(INDEX($AM$2:$BM$1001,MATCH(ROWS($AF$2:AF825),$AF$2:$AF$1001,0),MATCH(COLUMNS($AM$1006:BL1006),$AM$1006:$BM$1006,0)), HYPERLINK("#",""), HYPERLINK(CONCATENATE("#metadata!", ADDRESS(INDEX($AH$2:$AH$1001,MATCH(ROWS($AF$2:AF825),$AF$2:$AF$1001,0),0), INDEX($AM$1004:$BM$1004,1,MATCH(COLUMNS($AM$1006:BL1006),$AM$1006:$BM$1006,0)))),"Fix")))</f>
        <v xml:space="preserve"> </v>
      </c>
      <c r="AB825" s="4" t="str">
        <f ca="1">IF(OR(INDEX($AG$2:$AG$1001,MATCH(ROWS($AF$2:AF825),$AF$2:$AF$1001,0),1)&gt;=100000,INDEX($AM$1005:$BM$1005,1,MATCH(COLUMNS($AM$1006:BM1006),$AM$1006:$BM$1006,0))&gt;=100000), " ",IF(INDEX($AM$2:$BM$1001,MATCH(ROWS($AF$2:AF825),$AF$2:$AF$1001,0),MATCH(COLUMNS($AM$1006:BM1006),$AM$1006:$BM$1006,0)), HYPERLINK("#",""), HYPERLINK(CONCATENATE("#metadata!", ADDRESS(INDEX($AH$2:$AH$1001,MATCH(ROWS($AF$2:AF825),$AF$2:$AF$1001,0),0), INDEX($AM$1004:$BM$1004,1,MATCH(COLUMNS($AM$1006:BM1006),$AM$1006:$BM$1006,0)))),"Fix")))</f>
        <v xml:space="preserve"> </v>
      </c>
      <c r="AF825">
        <v>824</v>
      </c>
      <c r="AG825">
        <v>100825</v>
      </c>
      <c r="AH825">
        <v>825</v>
      </c>
      <c r="AI825" t="b">
        <f t="shared" si="12"/>
        <v>1</v>
      </c>
      <c r="AJ825" t="b">
        <f>COUNTBLANK(metadata!B825:AB825)=COLUMNS(metadata!B825:AB825)</f>
        <v>1</v>
      </c>
      <c r="AK825" t="str">
        <v/>
      </c>
      <c r="AM825" t="b">
        <f ca="1">AND(IF(metadata!B825="",FALSE,TRUE),COUNTIF(metadata!B:B, metadata!B825) = 1,NOT(ISERROR(SUMPRODUCT(SEARCH(MID(metadata!B825,ROW(INDIRECT("1:"&amp;LEN(metadata!B825))), 1),"0123456789abcdefghijklmnopqrstuvwxyzABCDEFGHIJKLMNOPQRSTUVWXYZ.")))))</f>
        <v>0</v>
      </c>
      <c r="AN825" t="b">
        <f ca="1">OR(AND(IF(metadata!C825="",FALSE,TRUE),OR(EXACT(metadata!C825,"missing: not collected"),EXACT(metadata!C825,"missing: not provided"),EXACT(metadata!C825,"missing: restricted access"))),AND(IF(metadata!C825="",FALSE,TRUE),AND(AND(IFERROR(INT(LEFT(metadata!C825,4))&gt;1900,FALSE),IFERROR(INT(LEFT(metadata!C825,4))&lt;=YEAR(NOW()),FALSE)), OR(MID(metadata!C825,5,1)="", AND(AND(MID(metadata!C825,5,1)="-",IFERROR(INT(MID(metadata!C825,6,1))&gt;=0,FALSE),IFERROR(INT(MID(metadata!C825,6,1))&lt;=1,FALSE),NOT(MID(metadata!C825,7,1)=""),IFERROR(INT(MID(metadata!C825,6,2))&gt;=1,FALSE),IFERROR(INT(MID(metadata!C825,6,2))&lt;=12,FALSE)), OR(MID(metadata!C825,8,1)="", AND(AND(MID(metadata!C825,8,1)="-",IFERROR(INT(MID(metadata!C825,9,1))&gt;=0,FALSE),IFERROR(INT(MID(metadata!C825,9,1))&lt;=3,FALSE),NOT(MID(metadata!C825,10,1)=""),IFERROR(INT(MID(metadata!C825,9,2))&gt;=1,FALSE),IFERROR(INT(MID(metadata!C825,9,2))&lt;=31,FALSE)), OR(MID(metadata!C825,11,1)="", AND(AND(MID(metadata!C825,11,1)=" ",IFERROR(INT(MID(metadata!C825,12,1))&gt;=0,FALSE),IFERROR(INT(MID(metadata!C825,12,1))&lt;=2,FALSE),NOT(MID(metadata!C825,13,1)=""),IFERROR(INT(MID(metadata!C825,12,2))&gt;=0,FALSE),IFERROR(INT(MID(metadata!C825,12,2))&lt;=23,FALSE)), OR(MID(metadata!C825,14,1)="", AND(AND(MID(metadata!C825,14,1)=":",IFERROR(INT(MID(metadata!C825,15,1))&gt;=0,FALSE),IFERROR(INT(MID(metadata!C825,15,1))&lt;=5,FALSE),NOT(MID(metadata!C825,16,1)=""),IFERROR(INT(MID(metadata!C825,15,2))&gt;=0,FALSE),IFERROR(INT(MID(metadata!C825,15,2))&lt;=59,FALSE)), OR(MID(metadata!C825,17,1)="", AND(AND(MID(metadata!C825,17,1)=":",IFERROR(INT(MID(metadata!C825,18,1))&gt;=0,FALSE),IFERROR(INT(MID(metadata!C825,18,1))&lt;=5,FALSE),NOT(MID(metadata!C825,19,1)=""),IFERROR(INT(MID(metadata!C825,18,2))&gt;=0,FALSE),IFERROR(INT(MID(metadata!C825,18,2))&lt;=59,FALSE)), LEN(metadata!C825)&lt;=19)))))))))))))</f>
        <v>0</v>
      </c>
      <c r="AO825" t="b">
        <f>AND(IF(metadata!D825="",FALSE,TRUE),EXACT(metadata!D825,"Not applicable"))</f>
        <v>0</v>
      </c>
      <c r="AP825" t="b">
        <f>IF(metadata!E825="",FALSE,TRUE)</f>
        <v>0</v>
      </c>
      <c r="AQ825" t="b">
        <f>OR(AND(IF(metadata!F825="",FALSE,TRUE),OR(EXACT(metadata!F825,"missing: not collected"),EXACT(metadata!F825,"missing: not provided"))),AND(IF(metadata!F825="",FALSE,TRUE),OR(EXACT(metadata!F825,"TRUE"),EXACT(metadata!F825,"FALSE"))))</f>
        <v>0</v>
      </c>
      <c r="AR825" t="b">
        <f>OR(AND(IF(metadata!G825="",FALSE,TRUE),OR(EXACT(metadata!G825,"missing: not collected"),EXACT(metadata!G825,"missing: not provided"),EXACT(metadata!G825,"missing: restricted access"))),AND(IF(metadata!G825="",FALSE,ISNUMBER(VALUE(metadata!G825))),metadata!G825&gt;=-413))</f>
        <v>0</v>
      </c>
      <c r="AS825" t="b">
        <f>AND(IF(metadata!H825="",FALSE,TRUE),EXACT(metadata!H825,"meters"))</f>
        <v>0</v>
      </c>
      <c r="AT825" t="b">
        <f>AND(IF(metadata!I825="",FALSE,TRUE),OR(EXACT(metadata!I825,"Host-associated"),EXACT(metadata!I825,"Free-living")))</f>
        <v>0</v>
      </c>
      <c r="AU825" t="b">
        <f>AND(IF(metadata!J825="",FALSE,TRUE),OR(EXACT(metadata!J825,"Animal"),EXACT(metadata!J825,"Fungus"),EXACT(metadata!J825,"Plant"),EXACT(metadata!J825,"Saline"),EXACT(metadata!J825,"Non-saline")))</f>
        <v>0</v>
      </c>
      <c r="AV825" t="b">
        <f>AND(IF(metadata!K825="",FALSE,TRUE),OR(EXACT(metadata!K825,"Plant secretion"),EXACT(metadata!K825,"Plant rhizosphere"),EXACT(metadata!K825,"Plant surface"),EXACT(metadata!K825,"Plant corpus"),EXACT(metadata!K825,"Fungus surface"),EXACT(metadata!K825,"Fungus corpus"),EXACT(metadata!K825,"Animal surface"),EXACT(metadata!K825,"Animal proximal gut"),EXACT(metadata!K825,"Animal corpus"),EXACT(metadata!K825,"Animal distal gut"),EXACT(metadata!K825,"Animal secretion"),EXACT(metadata!K825,"Sub-surface (non-saline)"),EXACT(metadata!K825,"Surface (non-saline)"),EXACT(metadata!K825,"Water (non-saline)"),EXACT(metadata!K825,"Soil (non-saline)"),EXACT(metadata!K825,"Aerosol (non-saline)"),EXACT(metadata!K825,"Sediment (non-saline)"),EXACT(metadata!K825,"Surface (saline)"),EXACT(metadata!K825,"Water (saline)"),EXACT(metadata!K825,"Hypersaline (saline)"),EXACT(metadata!K825,"Aerosol (saline)"),EXACT(metadata!K825,"Sediment (saline)")))</f>
        <v>0</v>
      </c>
      <c r="AW825" t="b">
        <f>IF(metadata!L825="",FALSE,TRUE)</f>
        <v>0</v>
      </c>
      <c r="AX825" t="b">
        <f>IF(metadata!M825="",FALSE,TRUE)</f>
        <v>0</v>
      </c>
      <c r="AY825" t="b">
        <f>IF(metadata!N825="",FALSE,TRUE)</f>
        <v>0</v>
      </c>
      <c r="AZ825" t="b">
        <f>OR(AND(IF(metadata!O825="",FALSE,TRUE),OR(EXACT(metadata!O825,"missing: not collected"),EXACT(metadata!O825,"missing: not provided"),EXACT(metadata!O825,"missing: restricted access"))),AND(IF(metadata!O825="",FALSE,TRUE),OR(EXACT(metadata!O825,"air"),EXACT(metadata!O825,"built environment"),EXACT(metadata!O825,"host-associated"),EXACT(metadata!O825,"human-associated"),EXACT(metadata!O825,"human-skin"),EXACT(metadata!O825,"human-oral"),EXACT(metadata!O825,"human-gut"),EXACT(metadata!O825,"human-vaginal"),EXACT(metadata!O825,"microbial mat/biofilm"),EXACT(metadata!O825,"misc environment"),EXACT(metadata!O825,"plant-associated"),EXACT(metadata!O825,"sediment"),EXACT(metadata!O825,"soil"),EXACT(metadata!O825,"wastewater/sludge"),EXACT(metadata!O825,"water"))))</f>
        <v>0</v>
      </c>
      <c r="BA825" t="b">
        <f>IF(metadata!P825="",FALSE,TRUE)</f>
        <v>0</v>
      </c>
      <c r="BB825" t="b">
        <f>IF(metadata!Q825="",FALSE,TRUE)</f>
        <v>0</v>
      </c>
      <c r="BC825" t="b">
        <f>OR(AND(IF(metadata!R825="",FALSE,TRUE),OR(EXACT(metadata!R825,"missing: not collected"),EXACT(metadata!R825,"missing: not provided"),EXACT(metadata!R825,"missing: restricted access"))),AND(IF(metadata!R825="",FALSE,ISNUMBER(VALUE(metadata!R825))),metadata!R825&gt;=-90,metadata!R825&lt;=90))</f>
        <v>0</v>
      </c>
      <c r="BD825" t="b">
        <f>AND(IF(metadata!S825="",FALSE,TRUE),EXACT(metadata!S825,"Decimal degrees"))</f>
        <v>0</v>
      </c>
      <c r="BE825" t="b">
        <f>OR(AND(IF(metadata!T825="",FALSE,TRUE),OR(EXACT(metadata!T825,"missing: not collected"),EXACT(metadata!T825,"missing: not provided"),EXACT(metadata!T825,"missing: restricted access"))),AND(IF(metadata!T825="",FALSE,ISNUMBER(VALUE(metadata!T825))),metadata!T825&gt;=-180,metadata!T825&lt;=180))</f>
        <v>0</v>
      </c>
      <c r="BF825" t="b">
        <f>AND(IF(metadata!U825="",FALSE,TRUE),EXACT(metadata!U825,"Decimal degrees"))</f>
        <v>0</v>
      </c>
      <c r="BG825" t="b">
        <f>IF(metadata!V825="",FALSE,TRUE)</f>
        <v>0</v>
      </c>
      <c r="BH825" t="b">
        <f>OR(AND(IF(metadata!W825="",FALSE,TRUE),OR(EXACT(metadata!W825,"missing: not collected"),EXACT(metadata!W825,"missing: not provided"),EXACT(metadata!W825,"missing: restricted access"))),AND(IF(metadata!W825="",FALSE,TRUE),OR(EXACT(metadata!W825,"TRUE"),EXACT(metadata!W825,"FALSE"))))</f>
        <v>0</v>
      </c>
      <c r="BI825" t="b">
        <f>AND(IF(metadata!X825="",FALSE,TRUE),EXACT(metadata!X825,"other"))</f>
        <v>0</v>
      </c>
      <c r="BJ825" t="b">
        <f>IF(metadata!Y825="",FALSE,TRUE)</f>
        <v>0</v>
      </c>
      <c r="BK825" t="b">
        <f>OR(AND(IF(metadata!Z825="",FALSE,TRUE),OR(EXACT(metadata!Z825,"missing: not collected"),EXACT(metadata!Z825,"missing: not provided"))),AND(IF(metadata!Z825="",FALSE,IF(ISERROR(INT(metadata!Z825)),FALSE,INT(metadata!Z825)=metadata!Z825)),metadata!Z825&gt;0))</f>
        <v>0</v>
      </c>
      <c r="BL825" t="b">
        <f>AND(IF(metadata!AA825="",FALSE,TRUE),EXACT(metadata!AA825,"Not applicable"))</f>
        <v>0</v>
      </c>
      <c r="BM825" t="b">
        <f>IF(metadata!AB825="",FALSE,TRUE)</f>
        <v>0</v>
      </c>
    </row>
    <row r="826" spans="1:65" x14ac:dyDescent="0.2">
      <c r="A826" s="5" t="str">
        <f ca="1">IF(B826=" "," ",HYPERLINK(CONCATENATE("#metadata!",ADDRESS(INDEX($AH$2:$AH$1001,MATCH(ROWS($AF$2:AF826),$AF$2:$AF$1001,0),0),1)),INDEX($AK$2:$AK$1001,MATCH(ROWS($AF$2:AF826),$AF$2:$AF$1001,0),0)))</f>
        <v xml:space="preserve"> </v>
      </c>
      <c r="B826" s="4" t="str">
        <f ca="1">IF(OR(INDEX($AG$2:$AG$1001,MATCH(ROWS($AF$2:AF826),$AF$2:$AF$1001,0),1)&gt;=100000,INDEX($AM$1005:$BM$1005,1,MATCH(COLUMNS($AM$1006:AM1006),$AM$1006:$BM$1006,0))&gt;=100000), " ",IF(INDEX($AM$2:$BM$1001,MATCH(ROWS($AF$2:AF826),$AF$2:$AF$1001,0),MATCH(COLUMNS($AM$1006:AM1006),$AM$1006:$BM$1006,0)), HYPERLINK("#",""), HYPERLINK(CONCATENATE("#metadata!", ADDRESS(INDEX($AH$2:$AH$1001,MATCH(ROWS($AF$2:AF826),$AF$2:$AF$1001,0),0), INDEX($AM$1004:$BM$1004,1,MATCH(COLUMNS($AM$1006:AM1006),$AM$1006:$BM$1006,0)))),"Fix")))</f>
        <v xml:space="preserve"> </v>
      </c>
      <c r="C826" s="4" t="str">
        <f ca="1">IF(OR(INDEX($AG$2:$AG$1001,MATCH(ROWS($AF$2:AF826),$AF$2:$AF$1001,0),1)&gt;=100000,INDEX($AM$1005:$BM$1005,1,MATCH(COLUMNS($AM$1006:AN1006),$AM$1006:$BM$1006,0))&gt;=100000), " ",IF(INDEX($AM$2:$BM$1001,MATCH(ROWS($AF$2:AF826),$AF$2:$AF$1001,0),MATCH(COLUMNS($AM$1006:AN1006),$AM$1006:$BM$1006,0)), HYPERLINK("#",""), HYPERLINK(CONCATENATE("#metadata!", ADDRESS(INDEX($AH$2:$AH$1001,MATCH(ROWS($AF$2:AF826),$AF$2:$AF$1001,0),0), INDEX($AM$1004:$BM$1004,1,MATCH(COLUMNS($AM$1006:AN1006),$AM$1006:$BM$1006,0)))),"Fix")))</f>
        <v xml:space="preserve"> </v>
      </c>
      <c r="D826" s="4" t="str">
        <f ca="1">IF(OR(INDEX($AG$2:$AG$1001,MATCH(ROWS($AF$2:AF826),$AF$2:$AF$1001,0),1)&gt;=100000,INDEX($AM$1005:$BM$1005,1,MATCH(COLUMNS($AM$1006:AO1006),$AM$1006:$BM$1006,0))&gt;=100000), " ",IF(INDEX($AM$2:$BM$1001,MATCH(ROWS($AF$2:AF826),$AF$2:$AF$1001,0),MATCH(COLUMNS($AM$1006:AO1006),$AM$1006:$BM$1006,0)), HYPERLINK("#",""), HYPERLINK(CONCATENATE("#metadata!", ADDRESS(INDEX($AH$2:$AH$1001,MATCH(ROWS($AF$2:AF826),$AF$2:$AF$1001,0),0), INDEX($AM$1004:$BM$1004,1,MATCH(COLUMNS($AM$1006:AO1006),$AM$1006:$BM$1006,0)))),"Fix")))</f>
        <v xml:space="preserve"> </v>
      </c>
      <c r="E826" s="4" t="str">
        <f ca="1">IF(OR(INDEX($AG$2:$AG$1001,MATCH(ROWS($AF$2:AF826),$AF$2:$AF$1001,0),1)&gt;=100000,INDEX($AM$1005:$BM$1005,1,MATCH(COLUMNS($AM$1006:AP1006),$AM$1006:$BM$1006,0))&gt;=100000), " ",IF(INDEX($AM$2:$BM$1001,MATCH(ROWS($AF$2:AF826),$AF$2:$AF$1001,0),MATCH(COLUMNS($AM$1006:AP1006),$AM$1006:$BM$1006,0)), HYPERLINK("#",""), HYPERLINK(CONCATENATE("#metadata!", ADDRESS(INDEX($AH$2:$AH$1001,MATCH(ROWS($AF$2:AF826),$AF$2:$AF$1001,0),0), INDEX($AM$1004:$BM$1004,1,MATCH(COLUMNS($AM$1006:AP1006),$AM$1006:$BM$1006,0)))),"Fix")))</f>
        <v xml:space="preserve"> </v>
      </c>
      <c r="F826" s="4" t="str">
        <f ca="1">IF(OR(INDEX($AG$2:$AG$1001,MATCH(ROWS($AF$2:AF826),$AF$2:$AF$1001,0),1)&gt;=100000,INDEX($AM$1005:$BM$1005,1,MATCH(COLUMNS($AM$1006:AQ1006),$AM$1006:$BM$1006,0))&gt;=100000), " ",IF(INDEX($AM$2:$BM$1001,MATCH(ROWS($AF$2:AF826),$AF$2:$AF$1001,0),MATCH(COLUMNS($AM$1006:AQ1006),$AM$1006:$BM$1006,0)), HYPERLINK("#",""), HYPERLINK(CONCATENATE("#metadata!", ADDRESS(INDEX($AH$2:$AH$1001,MATCH(ROWS($AF$2:AF826),$AF$2:$AF$1001,0),0), INDEX($AM$1004:$BM$1004,1,MATCH(COLUMNS($AM$1006:AQ1006),$AM$1006:$BM$1006,0)))),"Fix")))</f>
        <v xml:space="preserve"> </v>
      </c>
      <c r="G826" s="4" t="str">
        <f ca="1">IF(OR(INDEX($AG$2:$AG$1001,MATCH(ROWS($AF$2:AF826),$AF$2:$AF$1001,0),1)&gt;=100000,INDEX($AM$1005:$BM$1005,1,MATCH(COLUMNS($AM$1006:AR1006),$AM$1006:$BM$1006,0))&gt;=100000), " ",IF(INDEX($AM$2:$BM$1001,MATCH(ROWS($AF$2:AF826),$AF$2:$AF$1001,0),MATCH(COLUMNS($AM$1006:AR1006),$AM$1006:$BM$1006,0)), HYPERLINK("#",""), HYPERLINK(CONCATENATE("#metadata!", ADDRESS(INDEX($AH$2:$AH$1001,MATCH(ROWS($AF$2:AF826),$AF$2:$AF$1001,0),0), INDEX($AM$1004:$BM$1004,1,MATCH(COLUMNS($AM$1006:AR1006),$AM$1006:$BM$1006,0)))),"Fix")))</f>
        <v xml:space="preserve"> </v>
      </c>
      <c r="H826" s="4" t="str">
        <f ca="1">IF(OR(INDEX($AG$2:$AG$1001,MATCH(ROWS($AF$2:AF826),$AF$2:$AF$1001,0),1)&gt;=100000,INDEX($AM$1005:$BM$1005,1,MATCH(COLUMNS($AM$1006:AS1006),$AM$1006:$BM$1006,0))&gt;=100000), " ",IF(INDEX($AM$2:$BM$1001,MATCH(ROWS($AF$2:AF826),$AF$2:$AF$1001,0),MATCH(COLUMNS($AM$1006:AS1006),$AM$1006:$BM$1006,0)), HYPERLINK("#",""), HYPERLINK(CONCATENATE("#metadata!", ADDRESS(INDEX($AH$2:$AH$1001,MATCH(ROWS($AF$2:AF826),$AF$2:$AF$1001,0),0), INDEX($AM$1004:$BM$1004,1,MATCH(COLUMNS($AM$1006:AS1006),$AM$1006:$BM$1006,0)))),"Fix")))</f>
        <v xml:space="preserve"> </v>
      </c>
      <c r="I826" s="4" t="str">
        <f ca="1">IF(OR(INDEX($AG$2:$AG$1001,MATCH(ROWS($AF$2:AF826),$AF$2:$AF$1001,0),1)&gt;=100000,INDEX($AM$1005:$BM$1005,1,MATCH(COLUMNS($AM$1006:AT1006),$AM$1006:$BM$1006,0))&gt;=100000), " ",IF(INDEX($AM$2:$BM$1001,MATCH(ROWS($AF$2:AF826),$AF$2:$AF$1001,0),MATCH(COLUMNS($AM$1006:AT1006),$AM$1006:$BM$1006,0)), HYPERLINK("#",""), HYPERLINK(CONCATENATE("#metadata!", ADDRESS(INDEX($AH$2:$AH$1001,MATCH(ROWS($AF$2:AF826),$AF$2:$AF$1001,0),0), INDEX($AM$1004:$BM$1004,1,MATCH(COLUMNS($AM$1006:AT1006),$AM$1006:$BM$1006,0)))),"Fix")))</f>
        <v xml:space="preserve"> </v>
      </c>
      <c r="J826" s="4" t="str">
        <f ca="1">IF(OR(INDEX($AG$2:$AG$1001,MATCH(ROWS($AF$2:AF826),$AF$2:$AF$1001,0),1)&gt;=100000,INDEX($AM$1005:$BM$1005,1,MATCH(COLUMNS($AM$1006:AU1006),$AM$1006:$BM$1006,0))&gt;=100000), " ",IF(INDEX($AM$2:$BM$1001,MATCH(ROWS($AF$2:AF826),$AF$2:$AF$1001,0),MATCH(COLUMNS($AM$1006:AU1006),$AM$1006:$BM$1006,0)), HYPERLINK("#",""), HYPERLINK(CONCATENATE("#metadata!", ADDRESS(INDEX($AH$2:$AH$1001,MATCH(ROWS($AF$2:AF826),$AF$2:$AF$1001,0),0), INDEX($AM$1004:$BM$1004,1,MATCH(COLUMNS($AM$1006:AU1006),$AM$1006:$BM$1006,0)))),"Fix")))</f>
        <v xml:space="preserve"> </v>
      </c>
      <c r="K826" s="4" t="str">
        <f ca="1">IF(OR(INDEX($AG$2:$AG$1001,MATCH(ROWS($AF$2:AF826),$AF$2:$AF$1001,0),1)&gt;=100000,INDEX($AM$1005:$BM$1005,1,MATCH(COLUMNS($AM$1006:AV1006),$AM$1006:$BM$1006,0))&gt;=100000), " ",IF(INDEX($AM$2:$BM$1001,MATCH(ROWS($AF$2:AF826),$AF$2:$AF$1001,0),MATCH(COLUMNS($AM$1006:AV1006),$AM$1006:$BM$1006,0)), HYPERLINK("#",""), HYPERLINK(CONCATENATE("#metadata!", ADDRESS(INDEX($AH$2:$AH$1001,MATCH(ROWS($AF$2:AF826),$AF$2:$AF$1001,0),0), INDEX($AM$1004:$BM$1004,1,MATCH(COLUMNS($AM$1006:AV1006),$AM$1006:$BM$1006,0)))),"Fix")))</f>
        <v xml:space="preserve"> </v>
      </c>
      <c r="L826" s="4" t="str">
        <f ca="1">IF(OR(INDEX($AG$2:$AG$1001,MATCH(ROWS($AF$2:AF826),$AF$2:$AF$1001,0),1)&gt;=100000,INDEX($AM$1005:$BM$1005,1,MATCH(COLUMNS($AM$1006:AW1006),$AM$1006:$BM$1006,0))&gt;=100000), " ",IF(INDEX($AM$2:$BM$1001,MATCH(ROWS($AF$2:AF826),$AF$2:$AF$1001,0),MATCH(COLUMNS($AM$1006:AW1006),$AM$1006:$BM$1006,0)), HYPERLINK("#",""), HYPERLINK(CONCATENATE("#metadata!", ADDRESS(INDEX($AH$2:$AH$1001,MATCH(ROWS($AF$2:AF826),$AF$2:$AF$1001,0),0), INDEX($AM$1004:$BM$1004,1,MATCH(COLUMNS($AM$1006:AW1006),$AM$1006:$BM$1006,0)))),"Fix")))</f>
        <v xml:space="preserve"> </v>
      </c>
      <c r="M826" s="4" t="str">
        <f ca="1">IF(OR(INDEX($AG$2:$AG$1001,MATCH(ROWS($AF$2:AF826),$AF$2:$AF$1001,0),1)&gt;=100000,INDEX($AM$1005:$BM$1005,1,MATCH(COLUMNS($AM$1006:AX1006),$AM$1006:$BM$1006,0))&gt;=100000), " ",IF(INDEX($AM$2:$BM$1001,MATCH(ROWS($AF$2:AF826),$AF$2:$AF$1001,0),MATCH(COLUMNS($AM$1006:AX1006),$AM$1006:$BM$1006,0)), HYPERLINK("#",""), HYPERLINK(CONCATENATE("#metadata!", ADDRESS(INDEX($AH$2:$AH$1001,MATCH(ROWS($AF$2:AF826),$AF$2:$AF$1001,0),0), INDEX($AM$1004:$BM$1004,1,MATCH(COLUMNS($AM$1006:AX1006),$AM$1006:$BM$1006,0)))),"Fix")))</f>
        <v xml:space="preserve"> </v>
      </c>
      <c r="N826" s="4" t="str">
        <f ca="1">IF(OR(INDEX($AG$2:$AG$1001,MATCH(ROWS($AF$2:AF826),$AF$2:$AF$1001,0),1)&gt;=100000,INDEX($AM$1005:$BM$1005,1,MATCH(COLUMNS($AM$1006:AY1006),$AM$1006:$BM$1006,0))&gt;=100000), " ",IF(INDEX($AM$2:$BM$1001,MATCH(ROWS($AF$2:AF826),$AF$2:$AF$1001,0),MATCH(COLUMNS($AM$1006:AY1006),$AM$1006:$BM$1006,0)), HYPERLINK("#",""), HYPERLINK(CONCATENATE("#metadata!", ADDRESS(INDEX($AH$2:$AH$1001,MATCH(ROWS($AF$2:AF826),$AF$2:$AF$1001,0),0), INDEX($AM$1004:$BM$1004,1,MATCH(COLUMNS($AM$1006:AY1006),$AM$1006:$BM$1006,0)))),"Fix")))</f>
        <v xml:space="preserve"> </v>
      </c>
      <c r="O826" s="4" t="str">
        <f ca="1">IF(OR(INDEX($AG$2:$AG$1001,MATCH(ROWS($AF$2:AF826),$AF$2:$AF$1001,0),1)&gt;=100000,INDEX($AM$1005:$BM$1005,1,MATCH(COLUMNS($AM$1006:AZ1006),$AM$1006:$BM$1006,0))&gt;=100000), " ",IF(INDEX($AM$2:$BM$1001,MATCH(ROWS($AF$2:AF826),$AF$2:$AF$1001,0),MATCH(COLUMNS($AM$1006:AZ1006),$AM$1006:$BM$1006,0)), HYPERLINK("#",""), HYPERLINK(CONCATENATE("#metadata!", ADDRESS(INDEX($AH$2:$AH$1001,MATCH(ROWS($AF$2:AF826),$AF$2:$AF$1001,0),0), INDEX($AM$1004:$BM$1004,1,MATCH(COLUMNS($AM$1006:AZ1006),$AM$1006:$BM$1006,0)))),"Fix")))</f>
        <v xml:space="preserve"> </v>
      </c>
      <c r="P826" s="4" t="str">
        <f ca="1">IF(OR(INDEX($AG$2:$AG$1001,MATCH(ROWS($AF$2:AF826),$AF$2:$AF$1001,0),1)&gt;=100000,INDEX($AM$1005:$BM$1005,1,MATCH(COLUMNS($AM$1006:BA1006),$AM$1006:$BM$1006,0))&gt;=100000), " ",IF(INDEX($AM$2:$BM$1001,MATCH(ROWS($AF$2:AF826),$AF$2:$AF$1001,0),MATCH(COLUMNS($AM$1006:BA1006),$AM$1006:$BM$1006,0)), HYPERLINK("#",""), HYPERLINK(CONCATENATE("#metadata!", ADDRESS(INDEX($AH$2:$AH$1001,MATCH(ROWS($AF$2:AF826),$AF$2:$AF$1001,0),0), INDEX($AM$1004:$BM$1004,1,MATCH(COLUMNS($AM$1006:BA1006),$AM$1006:$BM$1006,0)))),"Fix")))</f>
        <v xml:space="preserve"> </v>
      </c>
      <c r="Q826" s="4" t="str">
        <f ca="1">IF(OR(INDEX($AG$2:$AG$1001,MATCH(ROWS($AF$2:AF826),$AF$2:$AF$1001,0),1)&gt;=100000,INDEX($AM$1005:$BM$1005,1,MATCH(COLUMNS($AM$1006:BB1006),$AM$1006:$BM$1006,0))&gt;=100000), " ",IF(INDEX($AM$2:$BM$1001,MATCH(ROWS($AF$2:AF826),$AF$2:$AF$1001,0),MATCH(COLUMNS($AM$1006:BB1006),$AM$1006:$BM$1006,0)), HYPERLINK("#",""), HYPERLINK(CONCATENATE("#metadata!", ADDRESS(INDEX($AH$2:$AH$1001,MATCH(ROWS($AF$2:AF826),$AF$2:$AF$1001,0),0), INDEX($AM$1004:$BM$1004,1,MATCH(COLUMNS($AM$1006:BB1006),$AM$1006:$BM$1006,0)))),"Fix")))</f>
        <v xml:space="preserve"> </v>
      </c>
      <c r="R826" s="4" t="str">
        <f ca="1">IF(OR(INDEX($AG$2:$AG$1001,MATCH(ROWS($AF$2:AF826),$AF$2:$AF$1001,0),1)&gt;=100000,INDEX($AM$1005:$BM$1005,1,MATCH(COLUMNS($AM$1006:BC1006),$AM$1006:$BM$1006,0))&gt;=100000), " ",IF(INDEX($AM$2:$BM$1001,MATCH(ROWS($AF$2:AF826),$AF$2:$AF$1001,0),MATCH(COLUMNS($AM$1006:BC1006),$AM$1006:$BM$1006,0)), HYPERLINK("#",""), HYPERLINK(CONCATENATE("#metadata!", ADDRESS(INDEX($AH$2:$AH$1001,MATCH(ROWS($AF$2:AF826),$AF$2:$AF$1001,0),0), INDEX($AM$1004:$BM$1004,1,MATCH(COLUMNS($AM$1006:BC1006),$AM$1006:$BM$1006,0)))),"Fix")))</f>
        <v xml:space="preserve"> </v>
      </c>
      <c r="S826" s="4" t="str">
        <f ca="1">IF(OR(INDEX($AG$2:$AG$1001,MATCH(ROWS($AF$2:AF826),$AF$2:$AF$1001,0),1)&gt;=100000,INDEX($AM$1005:$BM$1005,1,MATCH(COLUMNS($AM$1006:BD1006),$AM$1006:$BM$1006,0))&gt;=100000), " ",IF(INDEX($AM$2:$BM$1001,MATCH(ROWS($AF$2:AF826),$AF$2:$AF$1001,0),MATCH(COLUMNS($AM$1006:BD1006),$AM$1006:$BM$1006,0)), HYPERLINK("#",""), HYPERLINK(CONCATENATE("#metadata!", ADDRESS(INDEX($AH$2:$AH$1001,MATCH(ROWS($AF$2:AF826),$AF$2:$AF$1001,0),0), INDEX($AM$1004:$BM$1004,1,MATCH(COLUMNS($AM$1006:BD1006),$AM$1006:$BM$1006,0)))),"Fix")))</f>
        <v xml:space="preserve"> </v>
      </c>
      <c r="T826" s="4" t="str">
        <f ca="1">IF(OR(INDEX($AG$2:$AG$1001,MATCH(ROWS($AF$2:AF826),$AF$2:$AF$1001,0),1)&gt;=100000,INDEX($AM$1005:$BM$1005,1,MATCH(COLUMNS($AM$1006:BE1006),$AM$1006:$BM$1006,0))&gt;=100000), " ",IF(INDEX($AM$2:$BM$1001,MATCH(ROWS($AF$2:AF826),$AF$2:$AF$1001,0),MATCH(COLUMNS($AM$1006:BE1006),$AM$1006:$BM$1006,0)), HYPERLINK("#",""), HYPERLINK(CONCATENATE("#metadata!", ADDRESS(INDEX($AH$2:$AH$1001,MATCH(ROWS($AF$2:AF826),$AF$2:$AF$1001,0),0), INDEX($AM$1004:$BM$1004,1,MATCH(COLUMNS($AM$1006:BE1006),$AM$1006:$BM$1006,0)))),"Fix")))</f>
        <v xml:space="preserve"> </v>
      </c>
      <c r="U826" s="4" t="str">
        <f ca="1">IF(OR(INDEX($AG$2:$AG$1001,MATCH(ROWS($AF$2:AF826),$AF$2:$AF$1001,0),1)&gt;=100000,INDEX($AM$1005:$BM$1005,1,MATCH(COLUMNS($AM$1006:BF1006),$AM$1006:$BM$1006,0))&gt;=100000), " ",IF(INDEX($AM$2:$BM$1001,MATCH(ROWS($AF$2:AF826),$AF$2:$AF$1001,0),MATCH(COLUMNS($AM$1006:BF1006),$AM$1006:$BM$1006,0)), HYPERLINK("#",""), HYPERLINK(CONCATENATE("#metadata!", ADDRESS(INDEX($AH$2:$AH$1001,MATCH(ROWS($AF$2:AF826),$AF$2:$AF$1001,0),0), INDEX($AM$1004:$BM$1004,1,MATCH(COLUMNS($AM$1006:BF1006),$AM$1006:$BM$1006,0)))),"Fix")))</f>
        <v xml:space="preserve"> </v>
      </c>
      <c r="V826" s="4" t="str">
        <f ca="1">IF(OR(INDEX($AG$2:$AG$1001,MATCH(ROWS($AF$2:AF826),$AF$2:$AF$1001,0),1)&gt;=100000,INDEX($AM$1005:$BM$1005,1,MATCH(COLUMNS($AM$1006:BG1006),$AM$1006:$BM$1006,0))&gt;=100000), " ",IF(INDEX($AM$2:$BM$1001,MATCH(ROWS($AF$2:AF826),$AF$2:$AF$1001,0),MATCH(COLUMNS($AM$1006:BG1006),$AM$1006:$BM$1006,0)), HYPERLINK("#",""), HYPERLINK(CONCATENATE("#metadata!", ADDRESS(INDEX($AH$2:$AH$1001,MATCH(ROWS($AF$2:AF826),$AF$2:$AF$1001,0),0), INDEX($AM$1004:$BM$1004,1,MATCH(COLUMNS($AM$1006:BG1006),$AM$1006:$BM$1006,0)))),"Fix")))</f>
        <v xml:space="preserve"> </v>
      </c>
      <c r="W826" s="4" t="str">
        <f ca="1">IF(OR(INDEX($AG$2:$AG$1001,MATCH(ROWS($AF$2:AF826),$AF$2:$AF$1001,0),1)&gt;=100000,INDEX($AM$1005:$BM$1005,1,MATCH(COLUMNS($AM$1006:BH1006),$AM$1006:$BM$1006,0))&gt;=100000), " ",IF(INDEX($AM$2:$BM$1001,MATCH(ROWS($AF$2:AF826),$AF$2:$AF$1001,0),MATCH(COLUMNS($AM$1006:BH1006),$AM$1006:$BM$1006,0)), HYPERLINK("#",""), HYPERLINK(CONCATENATE("#metadata!", ADDRESS(INDEX($AH$2:$AH$1001,MATCH(ROWS($AF$2:AF826),$AF$2:$AF$1001,0),0), INDEX($AM$1004:$BM$1004,1,MATCH(COLUMNS($AM$1006:BH1006),$AM$1006:$BM$1006,0)))),"Fix")))</f>
        <v xml:space="preserve"> </v>
      </c>
      <c r="X826" s="4" t="str">
        <f ca="1">IF(OR(INDEX($AG$2:$AG$1001,MATCH(ROWS($AF$2:AF826),$AF$2:$AF$1001,0),1)&gt;=100000,INDEX($AM$1005:$BM$1005,1,MATCH(COLUMNS($AM$1006:BI1006),$AM$1006:$BM$1006,0))&gt;=100000), " ",IF(INDEX($AM$2:$BM$1001,MATCH(ROWS($AF$2:AF826),$AF$2:$AF$1001,0),MATCH(COLUMNS($AM$1006:BI1006),$AM$1006:$BM$1006,0)), HYPERLINK("#",""), HYPERLINK(CONCATENATE("#metadata!", ADDRESS(INDEX($AH$2:$AH$1001,MATCH(ROWS($AF$2:AF826),$AF$2:$AF$1001,0),0), INDEX($AM$1004:$BM$1004,1,MATCH(COLUMNS($AM$1006:BI1006),$AM$1006:$BM$1006,0)))),"Fix")))</f>
        <v xml:space="preserve"> </v>
      </c>
      <c r="Y826" s="4" t="str">
        <f ca="1">IF(OR(INDEX($AG$2:$AG$1001,MATCH(ROWS($AF$2:AF826),$AF$2:$AF$1001,0),1)&gt;=100000,INDEX($AM$1005:$BM$1005,1,MATCH(COLUMNS($AM$1006:BJ1006),$AM$1006:$BM$1006,0))&gt;=100000), " ",IF(INDEX($AM$2:$BM$1001,MATCH(ROWS($AF$2:AF826),$AF$2:$AF$1001,0),MATCH(COLUMNS($AM$1006:BJ1006),$AM$1006:$BM$1006,0)), HYPERLINK("#",""), HYPERLINK(CONCATENATE("#metadata!", ADDRESS(INDEX($AH$2:$AH$1001,MATCH(ROWS($AF$2:AF826),$AF$2:$AF$1001,0),0), INDEX($AM$1004:$BM$1004,1,MATCH(COLUMNS($AM$1006:BJ1006),$AM$1006:$BM$1006,0)))),"Fix")))</f>
        <v xml:space="preserve"> </v>
      </c>
      <c r="Z826" s="4" t="str">
        <f ca="1">IF(OR(INDEX($AG$2:$AG$1001,MATCH(ROWS($AF$2:AF826),$AF$2:$AF$1001,0),1)&gt;=100000,INDEX($AM$1005:$BM$1005,1,MATCH(COLUMNS($AM$1006:BK1006),$AM$1006:$BM$1006,0))&gt;=100000), " ",IF(INDEX($AM$2:$BM$1001,MATCH(ROWS($AF$2:AF826),$AF$2:$AF$1001,0),MATCH(COLUMNS($AM$1006:BK1006),$AM$1006:$BM$1006,0)), HYPERLINK("#",""), HYPERLINK(CONCATENATE("#metadata!", ADDRESS(INDEX($AH$2:$AH$1001,MATCH(ROWS($AF$2:AF826),$AF$2:$AF$1001,0),0), INDEX($AM$1004:$BM$1004,1,MATCH(COLUMNS($AM$1006:BK1006),$AM$1006:$BM$1006,0)))),"Fix")))</f>
        <v xml:space="preserve"> </v>
      </c>
      <c r="AA826" s="4" t="str">
        <f ca="1">IF(OR(INDEX($AG$2:$AG$1001,MATCH(ROWS($AF$2:AF826),$AF$2:$AF$1001,0),1)&gt;=100000,INDEX($AM$1005:$BM$1005,1,MATCH(COLUMNS($AM$1006:BL1006),$AM$1006:$BM$1006,0))&gt;=100000), " ",IF(INDEX($AM$2:$BM$1001,MATCH(ROWS($AF$2:AF826),$AF$2:$AF$1001,0),MATCH(COLUMNS($AM$1006:BL1006),$AM$1006:$BM$1006,0)), HYPERLINK("#",""), HYPERLINK(CONCATENATE("#metadata!", ADDRESS(INDEX($AH$2:$AH$1001,MATCH(ROWS($AF$2:AF826),$AF$2:$AF$1001,0),0), INDEX($AM$1004:$BM$1004,1,MATCH(COLUMNS($AM$1006:BL1006),$AM$1006:$BM$1006,0)))),"Fix")))</f>
        <v xml:space="preserve"> </v>
      </c>
      <c r="AB826" s="4" t="str">
        <f ca="1">IF(OR(INDEX($AG$2:$AG$1001,MATCH(ROWS($AF$2:AF826),$AF$2:$AF$1001,0),1)&gt;=100000,INDEX($AM$1005:$BM$1005,1,MATCH(COLUMNS($AM$1006:BM1006),$AM$1006:$BM$1006,0))&gt;=100000), " ",IF(INDEX($AM$2:$BM$1001,MATCH(ROWS($AF$2:AF826),$AF$2:$AF$1001,0),MATCH(COLUMNS($AM$1006:BM1006),$AM$1006:$BM$1006,0)), HYPERLINK("#",""), HYPERLINK(CONCATENATE("#metadata!", ADDRESS(INDEX($AH$2:$AH$1001,MATCH(ROWS($AF$2:AF826),$AF$2:$AF$1001,0),0), INDEX($AM$1004:$BM$1004,1,MATCH(COLUMNS($AM$1006:BM1006),$AM$1006:$BM$1006,0)))),"Fix")))</f>
        <v xml:space="preserve"> </v>
      </c>
      <c r="AF826">
        <v>825</v>
      </c>
      <c r="AG826">
        <v>100826</v>
      </c>
      <c r="AH826">
        <v>826</v>
      </c>
      <c r="AI826" t="b">
        <f t="shared" si="12"/>
        <v>1</v>
      </c>
      <c r="AJ826" t="b">
        <f>COUNTBLANK(metadata!B826:AB826)=COLUMNS(metadata!B826:AB826)</f>
        <v>1</v>
      </c>
      <c r="AK826" t="str">
        <v/>
      </c>
      <c r="AM826" t="b">
        <f ca="1">AND(IF(metadata!B826="",FALSE,TRUE),COUNTIF(metadata!B:B, metadata!B826) = 1,NOT(ISERROR(SUMPRODUCT(SEARCH(MID(metadata!B826,ROW(INDIRECT("1:"&amp;LEN(metadata!B826))), 1),"0123456789abcdefghijklmnopqrstuvwxyzABCDEFGHIJKLMNOPQRSTUVWXYZ.")))))</f>
        <v>0</v>
      </c>
      <c r="AN826" t="b">
        <f ca="1">OR(AND(IF(metadata!C826="",FALSE,TRUE),OR(EXACT(metadata!C826,"missing: not collected"),EXACT(metadata!C826,"missing: not provided"),EXACT(metadata!C826,"missing: restricted access"))),AND(IF(metadata!C826="",FALSE,TRUE),AND(AND(IFERROR(INT(LEFT(metadata!C826,4))&gt;1900,FALSE),IFERROR(INT(LEFT(metadata!C826,4))&lt;=YEAR(NOW()),FALSE)), OR(MID(metadata!C826,5,1)="", AND(AND(MID(metadata!C826,5,1)="-",IFERROR(INT(MID(metadata!C826,6,1))&gt;=0,FALSE),IFERROR(INT(MID(metadata!C826,6,1))&lt;=1,FALSE),NOT(MID(metadata!C826,7,1)=""),IFERROR(INT(MID(metadata!C826,6,2))&gt;=1,FALSE),IFERROR(INT(MID(metadata!C826,6,2))&lt;=12,FALSE)), OR(MID(metadata!C826,8,1)="", AND(AND(MID(metadata!C826,8,1)="-",IFERROR(INT(MID(metadata!C826,9,1))&gt;=0,FALSE),IFERROR(INT(MID(metadata!C826,9,1))&lt;=3,FALSE),NOT(MID(metadata!C826,10,1)=""),IFERROR(INT(MID(metadata!C826,9,2))&gt;=1,FALSE),IFERROR(INT(MID(metadata!C826,9,2))&lt;=31,FALSE)), OR(MID(metadata!C826,11,1)="", AND(AND(MID(metadata!C826,11,1)=" ",IFERROR(INT(MID(metadata!C826,12,1))&gt;=0,FALSE),IFERROR(INT(MID(metadata!C826,12,1))&lt;=2,FALSE),NOT(MID(metadata!C826,13,1)=""),IFERROR(INT(MID(metadata!C826,12,2))&gt;=0,FALSE),IFERROR(INT(MID(metadata!C826,12,2))&lt;=23,FALSE)), OR(MID(metadata!C826,14,1)="", AND(AND(MID(metadata!C826,14,1)=":",IFERROR(INT(MID(metadata!C826,15,1))&gt;=0,FALSE),IFERROR(INT(MID(metadata!C826,15,1))&lt;=5,FALSE),NOT(MID(metadata!C826,16,1)=""),IFERROR(INT(MID(metadata!C826,15,2))&gt;=0,FALSE),IFERROR(INT(MID(metadata!C826,15,2))&lt;=59,FALSE)), OR(MID(metadata!C826,17,1)="", AND(AND(MID(metadata!C826,17,1)=":",IFERROR(INT(MID(metadata!C826,18,1))&gt;=0,FALSE),IFERROR(INT(MID(metadata!C826,18,1))&lt;=5,FALSE),NOT(MID(metadata!C826,19,1)=""),IFERROR(INT(MID(metadata!C826,18,2))&gt;=0,FALSE),IFERROR(INT(MID(metadata!C826,18,2))&lt;=59,FALSE)), LEN(metadata!C826)&lt;=19)))))))))))))</f>
        <v>0</v>
      </c>
      <c r="AO826" t="b">
        <f>AND(IF(metadata!D826="",FALSE,TRUE),EXACT(metadata!D826,"Not applicable"))</f>
        <v>0</v>
      </c>
      <c r="AP826" t="b">
        <f>IF(metadata!E826="",FALSE,TRUE)</f>
        <v>0</v>
      </c>
      <c r="AQ826" t="b">
        <f>OR(AND(IF(metadata!F826="",FALSE,TRUE),OR(EXACT(metadata!F826,"missing: not collected"),EXACT(metadata!F826,"missing: not provided"))),AND(IF(metadata!F826="",FALSE,TRUE),OR(EXACT(metadata!F826,"TRUE"),EXACT(metadata!F826,"FALSE"))))</f>
        <v>0</v>
      </c>
      <c r="AR826" t="b">
        <f>OR(AND(IF(metadata!G826="",FALSE,TRUE),OR(EXACT(metadata!G826,"missing: not collected"),EXACT(metadata!G826,"missing: not provided"),EXACT(metadata!G826,"missing: restricted access"))),AND(IF(metadata!G826="",FALSE,ISNUMBER(VALUE(metadata!G826))),metadata!G826&gt;=-413))</f>
        <v>0</v>
      </c>
      <c r="AS826" t="b">
        <f>AND(IF(metadata!H826="",FALSE,TRUE),EXACT(metadata!H826,"meters"))</f>
        <v>0</v>
      </c>
      <c r="AT826" t="b">
        <f>AND(IF(metadata!I826="",FALSE,TRUE),OR(EXACT(metadata!I826,"Host-associated"),EXACT(metadata!I826,"Free-living")))</f>
        <v>0</v>
      </c>
      <c r="AU826" t="b">
        <f>AND(IF(metadata!J826="",FALSE,TRUE),OR(EXACT(metadata!J826,"Animal"),EXACT(metadata!J826,"Fungus"),EXACT(metadata!J826,"Plant"),EXACT(metadata!J826,"Saline"),EXACT(metadata!J826,"Non-saline")))</f>
        <v>0</v>
      </c>
      <c r="AV826" t="b">
        <f>AND(IF(metadata!K826="",FALSE,TRUE),OR(EXACT(metadata!K826,"Plant secretion"),EXACT(metadata!K826,"Plant rhizosphere"),EXACT(metadata!K826,"Plant surface"),EXACT(metadata!K826,"Plant corpus"),EXACT(metadata!K826,"Fungus surface"),EXACT(metadata!K826,"Fungus corpus"),EXACT(metadata!K826,"Animal surface"),EXACT(metadata!K826,"Animal proximal gut"),EXACT(metadata!K826,"Animal corpus"),EXACT(metadata!K826,"Animal distal gut"),EXACT(metadata!K826,"Animal secretion"),EXACT(metadata!K826,"Sub-surface (non-saline)"),EXACT(metadata!K826,"Surface (non-saline)"),EXACT(metadata!K826,"Water (non-saline)"),EXACT(metadata!K826,"Soil (non-saline)"),EXACT(metadata!K826,"Aerosol (non-saline)"),EXACT(metadata!K826,"Sediment (non-saline)"),EXACT(metadata!K826,"Surface (saline)"),EXACT(metadata!K826,"Water (saline)"),EXACT(metadata!K826,"Hypersaline (saline)"),EXACT(metadata!K826,"Aerosol (saline)"),EXACT(metadata!K826,"Sediment (saline)")))</f>
        <v>0</v>
      </c>
      <c r="AW826" t="b">
        <f>IF(metadata!L826="",FALSE,TRUE)</f>
        <v>0</v>
      </c>
      <c r="AX826" t="b">
        <f>IF(metadata!M826="",FALSE,TRUE)</f>
        <v>0</v>
      </c>
      <c r="AY826" t="b">
        <f>IF(metadata!N826="",FALSE,TRUE)</f>
        <v>0</v>
      </c>
      <c r="AZ826" t="b">
        <f>OR(AND(IF(metadata!O826="",FALSE,TRUE),OR(EXACT(metadata!O826,"missing: not collected"),EXACT(metadata!O826,"missing: not provided"),EXACT(metadata!O826,"missing: restricted access"))),AND(IF(metadata!O826="",FALSE,TRUE),OR(EXACT(metadata!O826,"air"),EXACT(metadata!O826,"built environment"),EXACT(metadata!O826,"host-associated"),EXACT(metadata!O826,"human-associated"),EXACT(metadata!O826,"human-skin"),EXACT(metadata!O826,"human-oral"),EXACT(metadata!O826,"human-gut"),EXACT(metadata!O826,"human-vaginal"),EXACT(metadata!O826,"microbial mat/biofilm"),EXACT(metadata!O826,"misc environment"),EXACT(metadata!O826,"plant-associated"),EXACT(metadata!O826,"sediment"),EXACT(metadata!O826,"soil"),EXACT(metadata!O826,"wastewater/sludge"),EXACT(metadata!O826,"water"))))</f>
        <v>0</v>
      </c>
      <c r="BA826" t="b">
        <f>IF(metadata!P826="",FALSE,TRUE)</f>
        <v>0</v>
      </c>
      <c r="BB826" t="b">
        <f>IF(metadata!Q826="",FALSE,TRUE)</f>
        <v>0</v>
      </c>
      <c r="BC826" t="b">
        <f>OR(AND(IF(metadata!R826="",FALSE,TRUE),OR(EXACT(metadata!R826,"missing: not collected"),EXACT(metadata!R826,"missing: not provided"),EXACT(metadata!R826,"missing: restricted access"))),AND(IF(metadata!R826="",FALSE,ISNUMBER(VALUE(metadata!R826))),metadata!R826&gt;=-90,metadata!R826&lt;=90))</f>
        <v>0</v>
      </c>
      <c r="BD826" t="b">
        <f>AND(IF(metadata!S826="",FALSE,TRUE),EXACT(metadata!S826,"Decimal degrees"))</f>
        <v>0</v>
      </c>
      <c r="BE826" t="b">
        <f>OR(AND(IF(metadata!T826="",FALSE,TRUE),OR(EXACT(metadata!T826,"missing: not collected"),EXACT(metadata!T826,"missing: not provided"),EXACT(metadata!T826,"missing: restricted access"))),AND(IF(metadata!T826="",FALSE,ISNUMBER(VALUE(metadata!T826))),metadata!T826&gt;=-180,metadata!T826&lt;=180))</f>
        <v>0</v>
      </c>
      <c r="BF826" t="b">
        <f>AND(IF(metadata!U826="",FALSE,TRUE),EXACT(metadata!U826,"Decimal degrees"))</f>
        <v>0</v>
      </c>
      <c r="BG826" t="b">
        <f>IF(metadata!V826="",FALSE,TRUE)</f>
        <v>0</v>
      </c>
      <c r="BH826" t="b">
        <f>OR(AND(IF(metadata!W826="",FALSE,TRUE),OR(EXACT(metadata!W826,"missing: not collected"),EXACT(metadata!W826,"missing: not provided"),EXACT(metadata!W826,"missing: restricted access"))),AND(IF(metadata!W826="",FALSE,TRUE),OR(EXACT(metadata!W826,"TRUE"),EXACT(metadata!W826,"FALSE"))))</f>
        <v>0</v>
      </c>
      <c r="BI826" t="b">
        <f>AND(IF(metadata!X826="",FALSE,TRUE),EXACT(metadata!X826,"other"))</f>
        <v>0</v>
      </c>
      <c r="BJ826" t="b">
        <f>IF(metadata!Y826="",FALSE,TRUE)</f>
        <v>0</v>
      </c>
      <c r="BK826" t="b">
        <f>OR(AND(IF(metadata!Z826="",FALSE,TRUE),OR(EXACT(metadata!Z826,"missing: not collected"),EXACT(metadata!Z826,"missing: not provided"))),AND(IF(metadata!Z826="",FALSE,IF(ISERROR(INT(metadata!Z826)),FALSE,INT(metadata!Z826)=metadata!Z826)),metadata!Z826&gt;0))</f>
        <v>0</v>
      </c>
      <c r="BL826" t="b">
        <f>AND(IF(metadata!AA826="",FALSE,TRUE),EXACT(metadata!AA826,"Not applicable"))</f>
        <v>0</v>
      </c>
      <c r="BM826" t="b">
        <f>IF(metadata!AB826="",FALSE,TRUE)</f>
        <v>0</v>
      </c>
    </row>
    <row r="827" spans="1:65" x14ac:dyDescent="0.2">
      <c r="A827" s="5" t="str">
        <f ca="1">IF(B827=" "," ",HYPERLINK(CONCATENATE("#metadata!",ADDRESS(INDEX($AH$2:$AH$1001,MATCH(ROWS($AF$2:AF827),$AF$2:$AF$1001,0),0),1)),INDEX($AK$2:$AK$1001,MATCH(ROWS($AF$2:AF827),$AF$2:$AF$1001,0),0)))</f>
        <v xml:space="preserve"> </v>
      </c>
      <c r="B827" s="4" t="str">
        <f ca="1">IF(OR(INDEX($AG$2:$AG$1001,MATCH(ROWS($AF$2:AF827),$AF$2:$AF$1001,0),1)&gt;=100000,INDEX($AM$1005:$BM$1005,1,MATCH(COLUMNS($AM$1006:AM1006),$AM$1006:$BM$1006,0))&gt;=100000), " ",IF(INDEX($AM$2:$BM$1001,MATCH(ROWS($AF$2:AF827),$AF$2:$AF$1001,0),MATCH(COLUMNS($AM$1006:AM1006),$AM$1006:$BM$1006,0)), HYPERLINK("#",""), HYPERLINK(CONCATENATE("#metadata!", ADDRESS(INDEX($AH$2:$AH$1001,MATCH(ROWS($AF$2:AF827),$AF$2:$AF$1001,0),0), INDEX($AM$1004:$BM$1004,1,MATCH(COLUMNS($AM$1006:AM1006),$AM$1006:$BM$1006,0)))),"Fix")))</f>
        <v xml:space="preserve"> </v>
      </c>
      <c r="C827" s="4" t="str">
        <f ca="1">IF(OR(INDEX($AG$2:$AG$1001,MATCH(ROWS($AF$2:AF827),$AF$2:$AF$1001,0),1)&gt;=100000,INDEX($AM$1005:$BM$1005,1,MATCH(COLUMNS($AM$1006:AN1006),$AM$1006:$BM$1006,0))&gt;=100000), " ",IF(INDEX($AM$2:$BM$1001,MATCH(ROWS($AF$2:AF827),$AF$2:$AF$1001,0),MATCH(COLUMNS($AM$1006:AN1006),$AM$1006:$BM$1006,0)), HYPERLINK("#",""), HYPERLINK(CONCATENATE("#metadata!", ADDRESS(INDEX($AH$2:$AH$1001,MATCH(ROWS($AF$2:AF827),$AF$2:$AF$1001,0),0), INDEX($AM$1004:$BM$1004,1,MATCH(COLUMNS($AM$1006:AN1006),$AM$1006:$BM$1006,0)))),"Fix")))</f>
        <v xml:space="preserve"> </v>
      </c>
      <c r="D827" s="4" t="str">
        <f ca="1">IF(OR(INDEX($AG$2:$AG$1001,MATCH(ROWS($AF$2:AF827),$AF$2:$AF$1001,0),1)&gt;=100000,INDEX($AM$1005:$BM$1005,1,MATCH(COLUMNS($AM$1006:AO1006),$AM$1006:$BM$1006,0))&gt;=100000), " ",IF(INDEX($AM$2:$BM$1001,MATCH(ROWS($AF$2:AF827),$AF$2:$AF$1001,0),MATCH(COLUMNS($AM$1006:AO1006),$AM$1006:$BM$1006,0)), HYPERLINK("#",""), HYPERLINK(CONCATENATE("#metadata!", ADDRESS(INDEX($AH$2:$AH$1001,MATCH(ROWS($AF$2:AF827),$AF$2:$AF$1001,0),0), INDEX($AM$1004:$BM$1004,1,MATCH(COLUMNS($AM$1006:AO1006),$AM$1006:$BM$1006,0)))),"Fix")))</f>
        <v xml:space="preserve"> </v>
      </c>
      <c r="E827" s="4" t="str">
        <f ca="1">IF(OR(INDEX($AG$2:$AG$1001,MATCH(ROWS($AF$2:AF827),$AF$2:$AF$1001,0),1)&gt;=100000,INDEX($AM$1005:$BM$1005,1,MATCH(COLUMNS($AM$1006:AP1006),$AM$1006:$BM$1006,0))&gt;=100000), " ",IF(INDEX($AM$2:$BM$1001,MATCH(ROWS($AF$2:AF827),$AF$2:$AF$1001,0),MATCH(COLUMNS($AM$1006:AP1006),$AM$1006:$BM$1006,0)), HYPERLINK("#",""), HYPERLINK(CONCATENATE("#metadata!", ADDRESS(INDEX($AH$2:$AH$1001,MATCH(ROWS($AF$2:AF827),$AF$2:$AF$1001,0),0), INDEX($AM$1004:$BM$1004,1,MATCH(COLUMNS($AM$1006:AP1006),$AM$1006:$BM$1006,0)))),"Fix")))</f>
        <v xml:space="preserve"> </v>
      </c>
      <c r="F827" s="4" t="str">
        <f ca="1">IF(OR(INDEX($AG$2:$AG$1001,MATCH(ROWS($AF$2:AF827),$AF$2:$AF$1001,0),1)&gt;=100000,INDEX($AM$1005:$BM$1005,1,MATCH(COLUMNS($AM$1006:AQ1006),$AM$1006:$BM$1006,0))&gt;=100000), " ",IF(INDEX($AM$2:$BM$1001,MATCH(ROWS($AF$2:AF827),$AF$2:$AF$1001,0),MATCH(COLUMNS($AM$1006:AQ1006),$AM$1006:$BM$1006,0)), HYPERLINK("#",""), HYPERLINK(CONCATENATE("#metadata!", ADDRESS(INDEX($AH$2:$AH$1001,MATCH(ROWS($AF$2:AF827),$AF$2:$AF$1001,0),0), INDEX($AM$1004:$BM$1004,1,MATCH(COLUMNS($AM$1006:AQ1006),$AM$1006:$BM$1006,0)))),"Fix")))</f>
        <v xml:space="preserve"> </v>
      </c>
      <c r="G827" s="4" t="str">
        <f ca="1">IF(OR(INDEX($AG$2:$AG$1001,MATCH(ROWS($AF$2:AF827),$AF$2:$AF$1001,0),1)&gt;=100000,INDEX($AM$1005:$BM$1005,1,MATCH(COLUMNS($AM$1006:AR1006),$AM$1006:$BM$1006,0))&gt;=100000), " ",IF(INDEX($AM$2:$BM$1001,MATCH(ROWS($AF$2:AF827),$AF$2:$AF$1001,0),MATCH(COLUMNS($AM$1006:AR1006),$AM$1006:$BM$1006,0)), HYPERLINK("#",""), HYPERLINK(CONCATENATE("#metadata!", ADDRESS(INDEX($AH$2:$AH$1001,MATCH(ROWS($AF$2:AF827),$AF$2:$AF$1001,0),0), INDEX($AM$1004:$BM$1004,1,MATCH(COLUMNS($AM$1006:AR1006),$AM$1006:$BM$1006,0)))),"Fix")))</f>
        <v xml:space="preserve"> </v>
      </c>
      <c r="H827" s="4" t="str">
        <f ca="1">IF(OR(INDEX($AG$2:$AG$1001,MATCH(ROWS($AF$2:AF827),$AF$2:$AF$1001,0),1)&gt;=100000,INDEX($AM$1005:$BM$1005,1,MATCH(COLUMNS($AM$1006:AS1006),$AM$1006:$BM$1006,0))&gt;=100000), " ",IF(INDEX($AM$2:$BM$1001,MATCH(ROWS($AF$2:AF827),$AF$2:$AF$1001,0),MATCH(COLUMNS($AM$1006:AS1006),$AM$1006:$BM$1006,0)), HYPERLINK("#",""), HYPERLINK(CONCATENATE("#metadata!", ADDRESS(INDEX($AH$2:$AH$1001,MATCH(ROWS($AF$2:AF827),$AF$2:$AF$1001,0),0), INDEX($AM$1004:$BM$1004,1,MATCH(COLUMNS($AM$1006:AS1006),$AM$1006:$BM$1006,0)))),"Fix")))</f>
        <v xml:space="preserve"> </v>
      </c>
      <c r="I827" s="4" t="str">
        <f ca="1">IF(OR(INDEX($AG$2:$AG$1001,MATCH(ROWS($AF$2:AF827),$AF$2:$AF$1001,0),1)&gt;=100000,INDEX($AM$1005:$BM$1005,1,MATCH(COLUMNS($AM$1006:AT1006),$AM$1006:$BM$1006,0))&gt;=100000), " ",IF(INDEX($AM$2:$BM$1001,MATCH(ROWS($AF$2:AF827),$AF$2:$AF$1001,0),MATCH(COLUMNS($AM$1006:AT1006),$AM$1006:$BM$1006,0)), HYPERLINK("#",""), HYPERLINK(CONCATENATE("#metadata!", ADDRESS(INDEX($AH$2:$AH$1001,MATCH(ROWS($AF$2:AF827),$AF$2:$AF$1001,0),0), INDEX($AM$1004:$BM$1004,1,MATCH(COLUMNS($AM$1006:AT1006),$AM$1006:$BM$1006,0)))),"Fix")))</f>
        <v xml:space="preserve"> </v>
      </c>
      <c r="J827" s="4" t="str">
        <f ca="1">IF(OR(INDEX($AG$2:$AG$1001,MATCH(ROWS($AF$2:AF827),$AF$2:$AF$1001,0),1)&gt;=100000,INDEX($AM$1005:$BM$1005,1,MATCH(COLUMNS($AM$1006:AU1006),$AM$1006:$BM$1006,0))&gt;=100000), " ",IF(INDEX($AM$2:$BM$1001,MATCH(ROWS($AF$2:AF827),$AF$2:$AF$1001,0),MATCH(COLUMNS($AM$1006:AU1006),$AM$1006:$BM$1006,0)), HYPERLINK("#",""), HYPERLINK(CONCATENATE("#metadata!", ADDRESS(INDEX($AH$2:$AH$1001,MATCH(ROWS($AF$2:AF827),$AF$2:$AF$1001,0),0), INDEX($AM$1004:$BM$1004,1,MATCH(COLUMNS($AM$1006:AU1006),$AM$1006:$BM$1006,0)))),"Fix")))</f>
        <v xml:space="preserve"> </v>
      </c>
      <c r="K827" s="4" t="str">
        <f ca="1">IF(OR(INDEX($AG$2:$AG$1001,MATCH(ROWS($AF$2:AF827),$AF$2:$AF$1001,0),1)&gt;=100000,INDEX($AM$1005:$BM$1005,1,MATCH(COLUMNS($AM$1006:AV1006),$AM$1006:$BM$1006,0))&gt;=100000), " ",IF(INDEX($AM$2:$BM$1001,MATCH(ROWS($AF$2:AF827),$AF$2:$AF$1001,0),MATCH(COLUMNS($AM$1006:AV1006),$AM$1006:$BM$1006,0)), HYPERLINK("#",""), HYPERLINK(CONCATENATE("#metadata!", ADDRESS(INDEX($AH$2:$AH$1001,MATCH(ROWS($AF$2:AF827),$AF$2:$AF$1001,0),0), INDEX($AM$1004:$BM$1004,1,MATCH(COLUMNS($AM$1006:AV1006),$AM$1006:$BM$1006,0)))),"Fix")))</f>
        <v xml:space="preserve"> </v>
      </c>
      <c r="L827" s="4" t="str">
        <f ca="1">IF(OR(INDEX($AG$2:$AG$1001,MATCH(ROWS($AF$2:AF827),$AF$2:$AF$1001,0),1)&gt;=100000,INDEX($AM$1005:$BM$1005,1,MATCH(COLUMNS($AM$1006:AW1006),$AM$1006:$BM$1006,0))&gt;=100000), " ",IF(INDEX($AM$2:$BM$1001,MATCH(ROWS($AF$2:AF827),$AF$2:$AF$1001,0),MATCH(COLUMNS($AM$1006:AW1006),$AM$1006:$BM$1006,0)), HYPERLINK("#",""), HYPERLINK(CONCATENATE("#metadata!", ADDRESS(INDEX($AH$2:$AH$1001,MATCH(ROWS($AF$2:AF827),$AF$2:$AF$1001,0),0), INDEX($AM$1004:$BM$1004,1,MATCH(COLUMNS($AM$1006:AW1006),$AM$1006:$BM$1006,0)))),"Fix")))</f>
        <v xml:space="preserve"> </v>
      </c>
      <c r="M827" s="4" t="str">
        <f ca="1">IF(OR(INDEX($AG$2:$AG$1001,MATCH(ROWS($AF$2:AF827),$AF$2:$AF$1001,0),1)&gt;=100000,INDEX($AM$1005:$BM$1005,1,MATCH(COLUMNS($AM$1006:AX1006),$AM$1006:$BM$1006,0))&gt;=100000), " ",IF(INDEX($AM$2:$BM$1001,MATCH(ROWS($AF$2:AF827),$AF$2:$AF$1001,0),MATCH(COLUMNS($AM$1006:AX1006),$AM$1006:$BM$1006,0)), HYPERLINK("#",""), HYPERLINK(CONCATENATE("#metadata!", ADDRESS(INDEX($AH$2:$AH$1001,MATCH(ROWS($AF$2:AF827),$AF$2:$AF$1001,0),0), INDEX($AM$1004:$BM$1004,1,MATCH(COLUMNS($AM$1006:AX1006),$AM$1006:$BM$1006,0)))),"Fix")))</f>
        <v xml:space="preserve"> </v>
      </c>
      <c r="N827" s="4" t="str">
        <f ca="1">IF(OR(INDEX($AG$2:$AG$1001,MATCH(ROWS($AF$2:AF827),$AF$2:$AF$1001,0),1)&gt;=100000,INDEX($AM$1005:$BM$1005,1,MATCH(COLUMNS($AM$1006:AY1006),$AM$1006:$BM$1006,0))&gt;=100000), " ",IF(INDEX($AM$2:$BM$1001,MATCH(ROWS($AF$2:AF827),$AF$2:$AF$1001,0),MATCH(COLUMNS($AM$1006:AY1006),$AM$1006:$BM$1006,0)), HYPERLINK("#",""), HYPERLINK(CONCATENATE("#metadata!", ADDRESS(INDEX($AH$2:$AH$1001,MATCH(ROWS($AF$2:AF827),$AF$2:$AF$1001,0),0), INDEX($AM$1004:$BM$1004,1,MATCH(COLUMNS($AM$1006:AY1006),$AM$1006:$BM$1006,0)))),"Fix")))</f>
        <v xml:space="preserve"> </v>
      </c>
      <c r="O827" s="4" t="str">
        <f ca="1">IF(OR(INDEX($AG$2:$AG$1001,MATCH(ROWS($AF$2:AF827),$AF$2:$AF$1001,0),1)&gt;=100000,INDEX($AM$1005:$BM$1005,1,MATCH(COLUMNS($AM$1006:AZ1006),$AM$1006:$BM$1006,0))&gt;=100000), " ",IF(INDEX($AM$2:$BM$1001,MATCH(ROWS($AF$2:AF827),$AF$2:$AF$1001,0),MATCH(COLUMNS($AM$1006:AZ1006),$AM$1006:$BM$1006,0)), HYPERLINK("#",""), HYPERLINK(CONCATENATE("#metadata!", ADDRESS(INDEX($AH$2:$AH$1001,MATCH(ROWS($AF$2:AF827),$AF$2:$AF$1001,0),0), INDEX($AM$1004:$BM$1004,1,MATCH(COLUMNS($AM$1006:AZ1006),$AM$1006:$BM$1006,0)))),"Fix")))</f>
        <v xml:space="preserve"> </v>
      </c>
      <c r="P827" s="4" t="str">
        <f ca="1">IF(OR(INDEX($AG$2:$AG$1001,MATCH(ROWS($AF$2:AF827),$AF$2:$AF$1001,0),1)&gt;=100000,INDEX($AM$1005:$BM$1005,1,MATCH(COLUMNS($AM$1006:BA1006),$AM$1006:$BM$1006,0))&gt;=100000), " ",IF(INDEX($AM$2:$BM$1001,MATCH(ROWS($AF$2:AF827),$AF$2:$AF$1001,0),MATCH(COLUMNS($AM$1006:BA1006),$AM$1006:$BM$1006,0)), HYPERLINK("#",""), HYPERLINK(CONCATENATE("#metadata!", ADDRESS(INDEX($AH$2:$AH$1001,MATCH(ROWS($AF$2:AF827),$AF$2:$AF$1001,0),0), INDEX($AM$1004:$BM$1004,1,MATCH(COLUMNS($AM$1006:BA1006),$AM$1006:$BM$1006,0)))),"Fix")))</f>
        <v xml:space="preserve"> </v>
      </c>
      <c r="Q827" s="4" t="str">
        <f ca="1">IF(OR(INDEX($AG$2:$AG$1001,MATCH(ROWS($AF$2:AF827),$AF$2:$AF$1001,0),1)&gt;=100000,INDEX($AM$1005:$BM$1005,1,MATCH(COLUMNS($AM$1006:BB1006),$AM$1006:$BM$1006,0))&gt;=100000), " ",IF(INDEX($AM$2:$BM$1001,MATCH(ROWS($AF$2:AF827),$AF$2:$AF$1001,0),MATCH(COLUMNS($AM$1006:BB1006),$AM$1006:$BM$1006,0)), HYPERLINK("#",""), HYPERLINK(CONCATENATE("#metadata!", ADDRESS(INDEX($AH$2:$AH$1001,MATCH(ROWS($AF$2:AF827),$AF$2:$AF$1001,0),0), INDEX($AM$1004:$BM$1004,1,MATCH(COLUMNS($AM$1006:BB1006),$AM$1006:$BM$1006,0)))),"Fix")))</f>
        <v xml:space="preserve"> </v>
      </c>
      <c r="R827" s="4" t="str">
        <f ca="1">IF(OR(INDEX($AG$2:$AG$1001,MATCH(ROWS($AF$2:AF827),$AF$2:$AF$1001,0),1)&gt;=100000,INDEX($AM$1005:$BM$1005,1,MATCH(COLUMNS($AM$1006:BC1006),$AM$1006:$BM$1006,0))&gt;=100000), " ",IF(INDEX($AM$2:$BM$1001,MATCH(ROWS($AF$2:AF827),$AF$2:$AF$1001,0),MATCH(COLUMNS($AM$1006:BC1006),$AM$1006:$BM$1006,0)), HYPERLINK("#",""), HYPERLINK(CONCATENATE("#metadata!", ADDRESS(INDEX($AH$2:$AH$1001,MATCH(ROWS($AF$2:AF827),$AF$2:$AF$1001,0),0), INDEX($AM$1004:$BM$1004,1,MATCH(COLUMNS($AM$1006:BC1006),$AM$1006:$BM$1006,0)))),"Fix")))</f>
        <v xml:space="preserve"> </v>
      </c>
      <c r="S827" s="4" t="str">
        <f ca="1">IF(OR(INDEX($AG$2:$AG$1001,MATCH(ROWS($AF$2:AF827),$AF$2:$AF$1001,0),1)&gt;=100000,INDEX($AM$1005:$BM$1005,1,MATCH(COLUMNS($AM$1006:BD1006),$AM$1006:$BM$1006,0))&gt;=100000), " ",IF(INDEX($AM$2:$BM$1001,MATCH(ROWS($AF$2:AF827),$AF$2:$AF$1001,0),MATCH(COLUMNS($AM$1006:BD1006),$AM$1006:$BM$1006,0)), HYPERLINK("#",""), HYPERLINK(CONCATENATE("#metadata!", ADDRESS(INDEX($AH$2:$AH$1001,MATCH(ROWS($AF$2:AF827),$AF$2:$AF$1001,0),0), INDEX($AM$1004:$BM$1004,1,MATCH(COLUMNS($AM$1006:BD1006),$AM$1006:$BM$1006,0)))),"Fix")))</f>
        <v xml:space="preserve"> </v>
      </c>
      <c r="T827" s="4" t="str">
        <f ca="1">IF(OR(INDEX($AG$2:$AG$1001,MATCH(ROWS($AF$2:AF827),$AF$2:$AF$1001,0),1)&gt;=100000,INDEX($AM$1005:$BM$1005,1,MATCH(COLUMNS($AM$1006:BE1006),$AM$1006:$BM$1006,0))&gt;=100000), " ",IF(INDEX($AM$2:$BM$1001,MATCH(ROWS($AF$2:AF827),$AF$2:$AF$1001,0),MATCH(COLUMNS($AM$1006:BE1006),$AM$1006:$BM$1006,0)), HYPERLINK("#",""), HYPERLINK(CONCATENATE("#metadata!", ADDRESS(INDEX($AH$2:$AH$1001,MATCH(ROWS($AF$2:AF827),$AF$2:$AF$1001,0),0), INDEX($AM$1004:$BM$1004,1,MATCH(COLUMNS($AM$1006:BE1006),$AM$1006:$BM$1006,0)))),"Fix")))</f>
        <v xml:space="preserve"> </v>
      </c>
      <c r="U827" s="4" t="str">
        <f ca="1">IF(OR(INDEX($AG$2:$AG$1001,MATCH(ROWS($AF$2:AF827),$AF$2:$AF$1001,0),1)&gt;=100000,INDEX($AM$1005:$BM$1005,1,MATCH(COLUMNS($AM$1006:BF1006),$AM$1006:$BM$1006,0))&gt;=100000), " ",IF(INDEX($AM$2:$BM$1001,MATCH(ROWS($AF$2:AF827),$AF$2:$AF$1001,0),MATCH(COLUMNS($AM$1006:BF1006),$AM$1006:$BM$1006,0)), HYPERLINK("#",""), HYPERLINK(CONCATENATE("#metadata!", ADDRESS(INDEX($AH$2:$AH$1001,MATCH(ROWS($AF$2:AF827),$AF$2:$AF$1001,0),0), INDEX($AM$1004:$BM$1004,1,MATCH(COLUMNS($AM$1006:BF1006),$AM$1006:$BM$1006,0)))),"Fix")))</f>
        <v xml:space="preserve"> </v>
      </c>
      <c r="V827" s="4" t="str">
        <f ca="1">IF(OR(INDEX($AG$2:$AG$1001,MATCH(ROWS($AF$2:AF827),$AF$2:$AF$1001,0),1)&gt;=100000,INDEX($AM$1005:$BM$1005,1,MATCH(COLUMNS($AM$1006:BG1006),$AM$1006:$BM$1006,0))&gt;=100000), " ",IF(INDEX($AM$2:$BM$1001,MATCH(ROWS($AF$2:AF827),$AF$2:$AF$1001,0),MATCH(COLUMNS($AM$1006:BG1006),$AM$1006:$BM$1006,0)), HYPERLINK("#",""), HYPERLINK(CONCATENATE("#metadata!", ADDRESS(INDEX($AH$2:$AH$1001,MATCH(ROWS($AF$2:AF827),$AF$2:$AF$1001,0),0), INDEX($AM$1004:$BM$1004,1,MATCH(COLUMNS($AM$1006:BG1006),$AM$1006:$BM$1006,0)))),"Fix")))</f>
        <v xml:space="preserve"> </v>
      </c>
      <c r="W827" s="4" t="str">
        <f ca="1">IF(OR(INDEX($AG$2:$AG$1001,MATCH(ROWS($AF$2:AF827),$AF$2:$AF$1001,0),1)&gt;=100000,INDEX($AM$1005:$BM$1005,1,MATCH(COLUMNS($AM$1006:BH1006),$AM$1006:$BM$1006,0))&gt;=100000), " ",IF(INDEX($AM$2:$BM$1001,MATCH(ROWS($AF$2:AF827),$AF$2:$AF$1001,0),MATCH(COLUMNS($AM$1006:BH1006),$AM$1006:$BM$1006,0)), HYPERLINK("#",""), HYPERLINK(CONCATENATE("#metadata!", ADDRESS(INDEX($AH$2:$AH$1001,MATCH(ROWS($AF$2:AF827),$AF$2:$AF$1001,0),0), INDEX($AM$1004:$BM$1004,1,MATCH(COLUMNS($AM$1006:BH1006),$AM$1006:$BM$1006,0)))),"Fix")))</f>
        <v xml:space="preserve"> </v>
      </c>
      <c r="X827" s="4" t="str">
        <f ca="1">IF(OR(INDEX($AG$2:$AG$1001,MATCH(ROWS($AF$2:AF827),$AF$2:$AF$1001,0),1)&gt;=100000,INDEX($AM$1005:$BM$1005,1,MATCH(COLUMNS($AM$1006:BI1006),$AM$1006:$BM$1006,0))&gt;=100000), " ",IF(INDEX($AM$2:$BM$1001,MATCH(ROWS($AF$2:AF827),$AF$2:$AF$1001,0),MATCH(COLUMNS($AM$1006:BI1006),$AM$1006:$BM$1006,0)), HYPERLINK("#",""), HYPERLINK(CONCATENATE("#metadata!", ADDRESS(INDEX($AH$2:$AH$1001,MATCH(ROWS($AF$2:AF827),$AF$2:$AF$1001,0),0), INDEX($AM$1004:$BM$1004,1,MATCH(COLUMNS($AM$1006:BI1006),$AM$1006:$BM$1006,0)))),"Fix")))</f>
        <v xml:space="preserve"> </v>
      </c>
      <c r="Y827" s="4" t="str">
        <f ca="1">IF(OR(INDEX($AG$2:$AG$1001,MATCH(ROWS($AF$2:AF827),$AF$2:$AF$1001,0),1)&gt;=100000,INDEX($AM$1005:$BM$1005,1,MATCH(COLUMNS($AM$1006:BJ1006),$AM$1006:$BM$1006,0))&gt;=100000), " ",IF(INDEX($AM$2:$BM$1001,MATCH(ROWS($AF$2:AF827),$AF$2:$AF$1001,0),MATCH(COLUMNS($AM$1006:BJ1006),$AM$1006:$BM$1006,0)), HYPERLINK("#",""), HYPERLINK(CONCATENATE("#metadata!", ADDRESS(INDEX($AH$2:$AH$1001,MATCH(ROWS($AF$2:AF827),$AF$2:$AF$1001,0),0), INDEX($AM$1004:$BM$1004,1,MATCH(COLUMNS($AM$1006:BJ1006),$AM$1006:$BM$1006,0)))),"Fix")))</f>
        <v xml:space="preserve"> </v>
      </c>
      <c r="Z827" s="4" t="str">
        <f ca="1">IF(OR(INDEX($AG$2:$AG$1001,MATCH(ROWS($AF$2:AF827),$AF$2:$AF$1001,0),1)&gt;=100000,INDEX($AM$1005:$BM$1005,1,MATCH(COLUMNS($AM$1006:BK1006),$AM$1006:$BM$1006,0))&gt;=100000), " ",IF(INDEX($AM$2:$BM$1001,MATCH(ROWS($AF$2:AF827),$AF$2:$AF$1001,0),MATCH(COLUMNS($AM$1006:BK1006),$AM$1006:$BM$1006,0)), HYPERLINK("#",""), HYPERLINK(CONCATENATE("#metadata!", ADDRESS(INDEX($AH$2:$AH$1001,MATCH(ROWS($AF$2:AF827),$AF$2:$AF$1001,0),0), INDEX($AM$1004:$BM$1004,1,MATCH(COLUMNS($AM$1006:BK1006),$AM$1006:$BM$1006,0)))),"Fix")))</f>
        <v xml:space="preserve"> </v>
      </c>
      <c r="AA827" s="4" t="str">
        <f ca="1">IF(OR(INDEX($AG$2:$AG$1001,MATCH(ROWS($AF$2:AF827),$AF$2:$AF$1001,0),1)&gt;=100000,INDEX($AM$1005:$BM$1005,1,MATCH(COLUMNS($AM$1006:BL1006),$AM$1006:$BM$1006,0))&gt;=100000), " ",IF(INDEX($AM$2:$BM$1001,MATCH(ROWS($AF$2:AF827),$AF$2:$AF$1001,0),MATCH(COLUMNS($AM$1006:BL1006),$AM$1006:$BM$1006,0)), HYPERLINK("#",""), HYPERLINK(CONCATENATE("#metadata!", ADDRESS(INDEX($AH$2:$AH$1001,MATCH(ROWS($AF$2:AF827),$AF$2:$AF$1001,0),0), INDEX($AM$1004:$BM$1004,1,MATCH(COLUMNS($AM$1006:BL1006),$AM$1006:$BM$1006,0)))),"Fix")))</f>
        <v xml:space="preserve"> </v>
      </c>
      <c r="AB827" s="4" t="str">
        <f ca="1">IF(OR(INDEX($AG$2:$AG$1001,MATCH(ROWS($AF$2:AF827),$AF$2:$AF$1001,0),1)&gt;=100000,INDEX($AM$1005:$BM$1005,1,MATCH(COLUMNS($AM$1006:BM1006),$AM$1006:$BM$1006,0))&gt;=100000), " ",IF(INDEX($AM$2:$BM$1001,MATCH(ROWS($AF$2:AF827),$AF$2:$AF$1001,0),MATCH(COLUMNS($AM$1006:BM1006),$AM$1006:$BM$1006,0)), HYPERLINK("#",""), HYPERLINK(CONCATENATE("#metadata!", ADDRESS(INDEX($AH$2:$AH$1001,MATCH(ROWS($AF$2:AF827),$AF$2:$AF$1001,0),0), INDEX($AM$1004:$BM$1004,1,MATCH(COLUMNS($AM$1006:BM1006),$AM$1006:$BM$1006,0)))),"Fix")))</f>
        <v xml:space="preserve"> </v>
      </c>
      <c r="AF827">
        <v>826</v>
      </c>
      <c r="AG827">
        <v>100827</v>
      </c>
      <c r="AH827">
        <v>827</v>
      </c>
      <c r="AI827" t="b">
        <f t="shared" si="12"/>
        <v>1</v>
      </c>
      <c r="AJ827" t="b">
        <f>COUNTBLANK(metadata!B827:AB827)=COLUMNS(metadata!B827:AB827)</f>
        <v>1</v>
      </c>
      <c r="AK827" t="str">
        <v/>
      </c>
      <c r="AM827" t="b">
        <f ca="1">AND(IF(metadata!B827="",FALSE,TRUE),COUNTIF(metadata!B:B, metadata!B827) = 1,NOT(ISERROR(SUMPRODUCT(SEARCH(MID(metadata!B827,ROW(INDIRECT("1:"&amp;LEN(metadata!B827))), 1),"0123456789abcdefghijklmnopqrstuvwxyzABCDEFGHIJKLMNOPQRSTUVWXYZ.")))))</f>
        <v>0</v>
      </c>
      <c r="AN827" t="b">
        <f ca="1">OR(AND(IF(metadata!C827="",FALSE,TRUE),OR(EXACT(metadata!C827,"missing: not collected"),EXACT(metadata!C827,"missing: not provided"),EXACT(metadata!C827,"missing: restricted access"))),AND(IF(metadata!C827="",FALSE,TRUE),AND(AND(IFERROR(INT(LEFT(metadata!C827,4))&gt;1900,FALSE),IFERROR(INT(LEFT(metadata!C827,4))&lt;=YEAR(NOW()),FALSE)), OR(MID(metadata!C827,5,1)="", AND(AND(MID(metadata!C827,5,1)="-",IFERROR(INT(MID(metadata!C827,6,1))&gt;=0,FALSE),IFERROR(INT(MID(metadata!C827,6,1))&lt;=1,FALSE),NOT(MID(metadata!C827,7,1)=""),IFERROR(INT(MID(metadata!C827,6,2))&gt;=1,FALSE),IFERROR(INT(MID(metadata!C827,6,2))&lt;=12,FALSE)), OR(MID(metadata!C827,8,1)="", AND(AND(MID(metadata!C827,8,1)="-",IFERROR(INT(MID(metadata!C827,9,1))&gt;=0,FALSE),IFERROR(INT(MID(metadata!C827,9,1))&lt;=3,FALSE),NOT(MID(metadata!C827,10,1)=""),IFERROR(INT(MID(metadata!C827,9,2))&gt;=1,FALSE),IFERROR(INT(MID(metadata!C827,9,2))&lt;=31,FALSE)), OR(MID(metadata!C827,11,1)="", AND(AND(MID(metadata!C827,11,1)=" ",IFERROR(INT(MID(metadata!C827,12,1))&gt;=0,FALSE),IFERROR(INT(MID(metadata!C827,12,1))&lt;=2,FALSE),NOT(MID(metadata!C827,13,1)=""),IFERROR(INT(MID(metadata!C827,12,2))&gt;=0,FALSE),IFERROR(INT(MID(metadata!C827,12,2))&lt;=23,FALSE)), OR(MID(metadata!C827,14,1)="", AND(AND(MID(metadata!C827,14,1)=":",IFERROR(INT(MID(metadata!C827,15,1))&gt;=0,FALSE),IFERROR(INT(MID(metadata!C827,15,1))&lt;=5,FALSE),NOT(MID(metadata!C827,16,1)=""),IFERROR(INT(MID(metadata!C827,15,2))&gt;=0,FALSE),IFERROR(INT(MID(metadata!C827,15,2))&lt;=59,FALSE)), OR(MID(metadata!C827,17,1)="", AND(AND(MID(metadata!C827,17,1)=":",IFERROR(INT(MID(metadata!C827,18,1))&gt;=0,FALSE),IFERROR(INT(MID(metadata!C827,18,1))&lt;=5,FALSE),NOT(MID(metadata!C827,19,1)=""),IFERROR(INT(MID(metadata!C827,18,2))&gt;=0,FALSE),IFERROR(INT(MID(metadata!C827,18,2))&lt;=59,FALSE)), LEN(metadata!C827)&lt;=19)))))))))))))</f>
        <v>0</v>
      </c>
      <c r="AO827" t="b">
        <f>AND(IF(metadata!D827="",FALSE,TRUE),EXACT(metadata!D827,"Not applicable"))</f>
        <v>0</v>
      </c>
      <c r="AP827" t="b">
        <f>IF(metadata!E827="",FALSE,TRUE)</f>
        <v>0</v>
      </c>
      <c r="AQ827" t="b">
        <f>OR(AND(IF(metadata!F827="",FALSE,TRUE),OR(EXACT(metadata!F827,"missing: not collected"),EXACT(metadata!F827,"missing: not provided"))),AND(IF(metadata!F827="",FALSE,TRUE),OR(EXACT(metadata!F827,"TRUE"),EXACT(metadata!F827,"FALSE"))))</f>
        <v>0</v>
      </c>
      <c r="AR827" t="b">
        <f>OR(AND(IF(metadata!G827="",FALSE,TRUE),OR(EXACT(metadata!G827,"missing: not collected"),EXACT(metadata!G827,"missing: not provided"),EXACT(metadata!G827,"missing: restricted access"))),AND(IF(metadata!G827="",FALSE,ISNUMBER(VALUE(metadata!G827))),metadata!G827&gt;=-413))</f>
        <v>0</v>
      </c>
      <c r="AS827" t="b">
        <f>AND(IF(metadata!H827="",FALSE,TRUE),EXACT(metadata!H827,"meters"))</f>
        <v>0</v>
      </c>
      <c r="AT827" t="b">
        <f>AND(IF(metadata!I827="",FALSE,TRUE),OR(EXACT(metadata!I827,"Host-associated"),EXACT(metadata!I827,"Free-living")))</f>
        <v>0</v>
      </c>
      <c r="AU827" t="b">
        <f>AND(IF(metadata!J827="",FALSE,TRUE),OR(EXACT(metadata!J827,"Animal"),EXACT(metadata!J827,"Fungus"),EXACT(metadata!J827,"Plant"),EXACT(metadata!J827,"Saline"),EXACT(metadata!J827,"Non-saline")))</f>
        <v>0</v>
      </c>
      <c r="AV827" t="b">
        <f>AND(IF(metadata!K827="",FALSE,TRUE),OR(EXACT(metadata!K827,"Plant secretion"),EXACT(metadata!K827,"Plant rhizosphere"),EXACT(metadata!K827,"Plant surface"),EXACT(metadata!K827,"Plant corpus"),EXACT(metadata!K827,"Fungus surface"),EXACT(metadata!K827,"Fungus corpus"),EXACT(metadata!K827,"Animal surface"),EXACT(metadata!K827,"Animal proximal gut"),EXACT(metadata!K827,"Animal corpus"),EXACT(metadata!K827,"Animal distal gut"),EXACT(metadata!K827,"Animal secretion"),EXACT(metadata!K827,"Sub-surface (non-saline)"),EXACT(metadata!K827,"Surface (non-saline)"),EXACT(metadata!K827,"Water (non-saline)"),EXACT(metadata!K827,"Soil (non-saline)"),EXACT(metadata!K827,"Aerosol (non-saline)"),EXACT(metadata!K827,"Sediment (non-saline)"),EXACT(metadata!K827,"Surface (saline)"),EXACT(metadata!K827,"Water (saline)"),EXACT(metadata!K827,"Hypersaline (saline)"),EXACT(metadata!K827,"Aerosol (saline)"),EXACT(metadata!K827,"Sediment (saline)")))</f>
        <v>0</v>
      </c>
      <c r="AW827" t="b">
        <f>IF(metadata!L827="",FALSE,TRUE)</f>
        <v>0</v>
      </c>
      <c r="AX827" t="b">
        <f>IF(metadata!M827="",FALSE,TRUE)</f>
        <v>0</v>
      </c>
      <c r="AY827" t="b">
        <f>IF(metadata!N827="",FALSE,TRUE)</f>
        <v>0</v>
      </c>
      <c r="AZ827" t="b">
        <f>OR(AND(IF(metadata!O827="",FALSE,TRUE),OR(EXACT(metadata!O827,"missing: not collected"),EXACT(metadata!O827,"missing: not provided"),EXACT(metadata!O827,"missing: restricted access"))),AND(IF(metadata!O827="",FALSE,TRUE),OR(EXACT(metadata!O827,"air"),EXACT(metadata!O827,"built environment"),EXACT(metadata!O827,"host-associated"),EXACT(metadata!O827,"human-associated"),EXACT(metadata!O827,"human-skin"),EXACT(metadata!O827,"human-oral"),EXACT(metadata!O827,"human-gut"),EXACT(metadata!O827,"human-vaginal"),EXACT(metadata!O827,"microbial mat/biofilm"),EXACT(metadata!O827,"misc environment"),EXACT(metadata!O827,"plant-associated"),EXACT(metadata!O827,"sediment"),EXACT(metadata!O827,"soil"),EXACT(metadata!O827,"wastewater/sludge"),EXACT(metadata!O827,"water"))))</f>
        <v>0</v>
      </c>
      <c r="BA827" t="b">
        <f>IF(metadata!P827="",FALSE,TRUE)</f>
        <v>0</v>
      </c>
      <c r="BB827" t="b">
        <f>IF(metadata!Q827="",FALSE,TRUE)</f>
        <v>0</v>
      </c>
      <c r="BC827" t="b">
        <f>OR(AND(IF(metadata!R827="",FALSE,TRUE),OR(EXACT(metadata!R827,"missing: not collected"),EXACT(metadata!R827,"missing: not provided"),EXACT(metadata!R827,"missing: restricted access"))),AND(IF(metadata!R827="",FALSE,ISNUMBER(VALUE(metadata!R827))),metadata!R827&gt;=-90,metadata!R827&lt;=90))</f>
        <v>0</v>
      </c>
      <c r="BD827" t="b">
        <f>AND(IF(metadata!S827="",FALSE,TRUE),EXACT(metadata!S827,"Decimal degrees"))</f>
        <v>0</v>
      </c>
      <c r="BE827" t="b">
        <f>OR(AND(IF(metadata!T827="",FALSE,TRUE),OR(EXACT(metadata!T827,"missing: not collected"),EXACT(metadata!T827,"missing: not provided"),EXACT(metadata!T827,"missing: restricted access"))),AND(IF(metadata!T827="",FALSE,ISNUMBER(VALUE(metadata!T827))),metadata!T827&gt;=-180,metadata!T827&lt;=180))</f>
        <v>0</v>
      </c>
      <c r="BF827" t="b">
        <f>AND(IF(metadata!U827="",FALSE,TRUE),EXACT(metadata!U827,"Decimal degrees"))</f>
        <v>0</v>
      </c>
      <c r="BG827" t="b">
        <f>IF(metadata!V827="",FALSE,TRUE)</f>
        <v>0</v>
      </c>
      <c r="BH827" t="b">
        <f>OR(AND(IF(metadata!W827="",FALSE,TRUE),OR(EXACT(metadata!W827,"missing: not collected"),EXACT(metadata!W827,"missing: not provided"),EXACT(metadata!W827,"missing: restricted access"))),AND(IF(metadata!W827="",FALSE,TRUE),OR(EXACT(metadata!W827,"TRUE"),EXACT(metadata!W827,"FALSE"))))</f>
        <v>0</v>
      </c>
      <c r="BI827" t="b">
        <f>AND(IF(metadata!X827="",FALSE,TRUE),EXACT(metadata!X827,"other"))</f>
        <v>0</v>
      </c>
      <c r="BJ827" t="b">
        <f>IF(metadata!Y827="",FALSE,TRUE)</f>
        <v>0</v>
      </c>
      <c r="BK827" t="b">
        <f>OR(AND(IF(metadata!Z827="",FALSE,TRUE),OR(EXACT(metadata!Z827,"missing: not collected"),EXACT(metadata!Z827,"missing: not provided"))),AND(IF(metadata!Z827="",FALSE,IF(ISERROR(INT(metadata!Z827)),FALSE,INT(metadata!Z827)=metadata!Z827)),metadata!Z827&gt;0))</f>
        <v>0</v>
      </c>
      <c r="BL827" t="b">
        <f>AND(IF(metadata!AA827="",FALSE,TRUE),EXACT(metadata!AA827,"Not applicable"))</f>
        <v>0</v>
      </c>
      <c r="BM827" t="b">
        <f>IF(metadata!AB827="",FALSE,TRUE)</f>
        <v>0</v>
      </c>
    </row>
    <row r="828" spans="1:65" x14ac:dyDescent="0.2">
      <c r="A828" s="5" t="str">
        <f ca="1">IF(B828=" "," ",HYPERLINK(CONCATENATE("#metadata!",ADDRESS(INDEX($AH$2:$AH$1001,MATCH(ROWS($AF$2:AF828),$AF$2:$AF$1001,0),0),1)),INDEX($AK$2:$AK$1001,MATCH(ROWS($AF$2:AF828),$AF$2:$AF$1001,0),0)))</f>
        <v xml:space="preserve"> </v>
      </c>
      <c r="B828" s="4" t="str">
        <f ca="1">IF(OR(INDEX($AG$2:$AG$1001,MATCH(ROWS($AF$2:AF828),$AF$2:$AF$1001,0),1)&gt;=100000,INDEX($AM$1005:$BM$1005,1,MATCH(COLUMNS($AM$1006:AM1006),$AM$1006:$BM$1006,0))&gt;=100000), " ",IF(INDEX($AM$2:$BM$1001,MATCH(ROWS($AF$2:AF828),$AF$2:$AF$1001,0),MATCH(COLUMNS($AM$1006:AM1006),$AM$1006:$BM$1006,0)), HYPERLINK("#",""), HYPERLINK(CONCATENATE("#metadata!", ADDRESS(INDEX($AH$2:$AH$1001,MATCH(ROWS($AF$2:AF828),$AF$2:$AF$1001,0),0), INDEX($AM$1004:$BM$1004,1,MATCH(COLUMNS($AM$1006:AM1006),$AM$1006:$BM$1006,0)))),"Fix")))</f>
        <v xml:space="preserve"> </v>
      </c>
      <c r="C828" s="4" t="str">
        <f ca="1">IF(OR(INDEX($AG$2:$AG$1001,MATCH(ROWS($AF$2:AF828),$AF$2:$AF$1001,0),1)&gt;=100000,INDEX($AM$1005:$BM$1005,1,MATCH(COLUMNS($AM$1006:AN1006),$AM$1006:$BM$1006,0))&gt;=100000), " ",IF(INDEX($AM$2:$BM$1001,MATCH(ROWS($AF$2:AF828),$AF$2:$AF$1001,0),MATCH(COLUMNS($AM$1006:AN1006),$AM$1006:$BM$1006,0)), HYPERLINK("#",""), HYPERLINK(CONCATENATE("#metadata!", ADDRESS(INDEX($AH$2:$AH$1001,MATCH(ROWS($AF$2:AF828),$AF$2:$AF$1001,0),0), INDEX($AM$1004:$BM$1004,1,MATCH(COLUMNS($AM$1006:AN1006),$AM$1006:$BM$1006,0)))),"Fix")))</f>
        <v xml:space="preserve"> </v>
      </c>
      <c r="D828" s="4" t="str">
        <f ca="1">IF(OR(INDEX($AG$2:$AG$1001,MATCH(ROWS($AF$2:AF828),$AF$2:$AF$1001,0),1)&gt;=100000,INDEX($AM$1005:$BM$1005,1,MATCH(COLUMNS($AM$1006:AO1006),$AM$1006:$BM$1006,0))&gt;=100000), " ",IF(INDEX($AM$2:$BM$1001,MATCH(ROWS($AF$2:AF828),$AF$2:$AF$1001,0),MATCH(COLUMNS($AM$1006:AO1006),$AM$1006:$BM$1006,0)), HYPERLINK("#",""), HYPERLINK(CONCATENATE("#metadata!", ADDRESS(INDEX($AH$2:$AH$1001,MATCH(ROWS($AF$2:AF828),$AF$2:$AF$1001,0),0), INDEX($AM$1004:$BM$1004,1,MATCH(COLUMNS($AM$1006:AO1006),$AM$1006:$BM$1006,0)))),"Fix")))</f>
        <v xml:space="preserve"> </v>
      </c>
      <c r="E828" s="4" t="str">
        <f ca="1">IF(OR(INDEX($AG$2:$AG$1001,MATCH(ROWS($AF$2:AF828),$AF$2:$AF$1001,0),1)&gt;=100000,INDEX($AM$1005:$BM$1005,1,MATCH(COLUMNS($AM$1006:AP1006),$AM$1006:$BM$1006,0))&gt;=100000), " ",IF(INDEX($AM$2:$BM$1001,MATCH(ROWS($AF$2:AF828),$AF$2:$AF$1001,0),MATCH(COLUMNS($AM$1006:AP1006),$AM$1006:$BM$1006,0)), HYPERLINK("#",""), HYPERLINK(CONCATENATE("#metadata!", ADDRESS(INDEX($AH$2:$AH$1001,MATCH(ROWS($AF$2:AF828),$AF$2:$AF$1001,0),0), INDEX($AM$1004:$BM$1004,1,MATCH(COLUMNS($AM$1006:AP1006),$AM$1006:$BM$1006,0)))),"Fix")))</f>
        <v xml:space="preserve"> </v>
      </c>
      <c r="F828" s="4" t="str">
        <f ca="1">IF(OR(INDEX($AG$2:$AG$1001,MATCH(ROWS($AF$2:AF828),$AF$2:$AF$1001,0),1)&gt;=100000,INDEX($AM$1005:$BM$1005,1,MATCH(COLUMNS($AM$1006:AQ1006),$AM$1006:$BM$1006,0))&gt;=100000), " ",IF(INDEX($AM$2:$BM$1001,MATCH(ROWS($AF$2:AF828),$AF$2:$AF$1001,0),MATCH(COLUMNS($AM$1006:AQ1006),$AM$1006:$BM$1006,0)), HYPERLINK("#",""), HYPERLINK(CONCATENATE("#metadata!", ADDRESS(INDEX($AH$2:$AH$1001,MATCH(ROWS($AF$2:AF828),$AF$2:$AF$1001,0),0), INDEX($AM$1004:$BM$1004,1,MATCH(COLUMNS($AM$1006:AQ1006),$AM$1006:$BM$1006,0)))),"Fix")))</f>
        <v xml:space="preserve"> </v>
      </c>
      <c r="G828" s="4" t="str">
        <f ca="1">IF(OR(INDEX($AG$2:$AG$1001,MATCH(ROWS($AF$2:AF828),$AF$2:$AF$1001,0),1)&gt;=100000,INDEX($AM$1005:$BM$1005,1,MATCH(COLUMNS($AM$1006:AR1006),$AM$1006:$BM$1006,0))&gt;=100000), " ",IF(INDEX($AM$2:$BM$1001,MATCH(ROWS($AF$2:AF828),$AF$2:$AF$1001,0),MATCH(COLUMNS($AM$1006:AR1006),$AM$1006:$BM$1006,0)), HYPERLINK("#",""), HYPERLINK(CONCATENATE("#metadata!", ADDRESS(INDEX($AH$2:$AH$1001,MATCH(ROWS($AF$2:AF828),$AF$2:$AF$1001,0),0), INDEX($AM$1004:$BM$1004,1,MATCH(COLUMNS($AM$1006:AR1006),$AM$1006:$BM$1006,0)))),"Fix")))</f>
        <v xml:space="preserve"> </v>
      </c>
      <c r="H828" s="4" t="str">
        <f ca="1">IF(OR(INDEX($AG$2:$AG$1001,MATCH(ROWS($AF$2:AF828),$AF$2:$AF$1001,0),1)&gt;=100000,INDEX($AM$1005:$BM$1005,1,MATCH(COLUMNS($AM$1006:AS1006),$AM$1006:$BM$1006,0))&gt;=100000), " ",IF(INDEX($AM$2:$BM$1001,MATCH(ROWS($AF$2:AF828),$AF$2:$AF$1001,0),MATCH(COLUMNS($AM$1006:AS1006),$AM$1006:$BM$1006,0)), HYPERLINK("#",""), HYPERLINK(CONCATENATE("#metadata!", ADDRESS(INDEX($AH$2:$AH$1001,MATCH(ROWS($AF$2:AF828),$AF$2:$AF$1001,0),0), INDEX($AM$1004:$BM$1004,1,MATCH(COLUMNS($AM$1006:AS1006),$AM$1006:$BM$1006,0)))),"Fix")))</f>
        <v xml:space="preserve"> </v>
      </c>
      <c r="I828" s="4" t="str">
        <f ca="1">IF(OR(INDEX($AG$2:$AG$1001,MATCH(ROWS($AF$2:AF828),$AF$2:$AF$1001,0),1)&gt;=100000,INDEX($AM$1005:$BM$1005,1,MATCH(COLUMNS($AM$1006:AT1006),$AM$1006:$BM$1006,0))&gt;=100000), " ",IF(INDEX($AM$2:$BM$1001,MATCH(ROWS($AF$2:AF828),$AF$2:$AF$1001,0),MATCH(COLUMNS($AM$1006:AT1006),$AM$1006:$BM$1006,0)), HYPERLINK("#",""), HYPERLINK(CONCATENATE("#metadata!", ADDRESS(INDEX($AH$2:$AH$1001,MATCH(ROWS($AF$2:AF828),$AF$2:$AF$1001,0),0), INDEX($AM$1004:$BM$1004,1,MATCH(COLUMNS($AM$1006:AT1006),$AM$1006:$BM$1006,0)))),"Fix")))</f>
        <v xml:space="preserve"> </v>
      </c>
      <c r="J828" s="4" t="str">
        <f ca="1">IF(OR(INDEX($AG$2:$AG$1001,MATCH(ROWS($AF$2:AF828),$AF$2:$AF$1001,0),1)&gt;=100000,INDEX($AM$1005:$BM$1005,1,MATCH(COLUMNS($AM$1006:AU1006),$AM$1006:$BM$1006,0))&gt;=100000), " ",IF(INDEX($AM$2:$BM$1001,MATCH(ROWS($AF$2:AF828),$AF$2:$AF$1001,0),MATCH(COLUMNS($AM$1006:AU1006),$AM$1006:$BM$1006,0)), HYPERLINK("#",""), HYPERLINK(CONCATENATE("#metadata!", ADDRESS(INDEX($AH$2:$AH$1001,MATCH(ROWS($AF$2:AF828),$AF$2:$AF$1001,0),0), INDEX($AM$1004:$BM$1004,1,MATCH(COLUMNS($AM$1006:AU1006),$AM$1006:$BM$1006,0)))),"Fix")))</f>
        <v xml:space="preserve"> </v>
      </c>
      <c r="K828" s="4" t="str">
        <f ca="1">IF(OR(INDEX($AG$2:$AG$1001,MATCH(ROWS($AF$2:AF828),$AF$2:$AF$1001,0),1)&gt;=100000,INDEX($AM$1005:$BM$1005,1,MATCH(COLUMNS($AM$1006:AV1006),$AM$1006:$BM$1006,0))&gt;=100000), " ",IF(INDEX($AM$2:$BM$1001,MATCH(ROWS($AF$2:AF828),$AF$2:$AF$1001,0),MATCH(COLUMNS($AM$1006:AV1006),$AM$1006:$BM$1006,0)), HYPERLINK("#",""), HYPERLINK(CONCATENATE("#metadata!", ADDRESS(INDEX($AH$2:$AH$1001,MATCH(ROWS($AF$2:AF828),$AF$2:$AF$1001,0),0), INDEX($AM$1004:$BM$1004,1,MATCH(COLUMNS($AM$1006:AV1006),$AM$1006:$BM$1006,0)))),"Fix")))</f>
        <v xml:space="preserve"> </v>
      </c>
      <c r="L828" s="4" t="str">
        <f ca="1">IF(OR(INDEX($AG$2:$AG$1001,MATCH(ROWS($AF$2:AF828),$AF$2:$AF$1001,0),1)&gt;=100000,INDEX($AM$1005:$BM$1005,1,MATCH(COLUMNS($AM$1006:AW1006),$AM$1006:$BM$1006,0))&gt;=100000), " ",IF(INDEX($AM$2:$BM$1001,MATCH(ROWS($AF$2:AF828),$AF$2:$AF$1001,0),MATCH(COLUMNS($AM$1006:AW1006),$AM$1006:$BM$1006,0)), HYPERLINK("#",""), HYPERLINK(CONCATENATE("#metadata!", ADDRESS(INDEX($AH$2:$AH$1001,MATCH(ROWS($AF$2:AF828),$AF$2:$AF$1001,0),0), INDEX($AM$1004:$BM$1004,1,MATCH(COLUMNS($AM$1006:AW1006),$AM$1006:$BM$1006,0)))),"Fix")))</f>
        <v xml:space="preserve"> </v>
      </c>
      <c r="M828" s="4" t="str">
        <f ca="1">IF(OR(INDEX($AG$2:$AG$1001,MATCH(ROWS($AF$2:AF828),$AF$2:$AF$1001,0),1)&gt;=100000,INDEX($AM$1005:$BM$1005,1,MATCH(COLUMNS($AM$1006:AX1006),$AM$1006:$BM$1006,0))&gt;=100000), " ",IF(INDEX($AM$2:$BM$1001,MATCH(ROWS($AF$2:AF828),$AF$2:$AF$1001,0),MATCH(COLUMNS($AM$1006:AX1006),$AM$1006:$BM$1006,0)), HYPERLINK("#",""), HYPERLINK(CONCATENATE("#metadata!", ADDRESS(INDEX($AH$2:$AH$1001,MATCH(ROWS($AF$2:AF828),$AF$2:$AF$1001,0),0), INDEX($AM$1004:$BM$1004,1,MATCH(COLUMNS($AM$1006:AX1006),$AM$1006:$BM$1006,0)))),"Fix")))</f>
        <v xml:space="preserve"> </v>
      </c>
      <c r="N828" s="4" t="str">
        <f ca="1">IF(OR(INDEX($AG$2:$AG$1001,MATCH(ROWS($AF$2:AF828),$AF$2:$AF$1001,0),1)&gt;=100000,INDEX($AM$1005:$BM$1005,1,MATCH(COLUMNS($AM$1006:AY1006),$AM$1006:$BM$1006,0))&gt;=100000), " ",IF(INDEX($AM$2:$BM$1001,MATCH(ROWS($AF$2:AF828),$AF$2:$AF$1001,0),MATCH(COLUMNS($AM$1006:AY1006),$AM$1006:$BM$1006,0)), HYPERLINK("#",""), HYPERLINK(CONCATENATE("#metadata!", ADDRESS(INDEX($AH$2:$AH$1001,MATCH(ROWS($AF$2:AF828),$AF$2:$AF$1001,0),0), INDEX($AM$1004:$BM$1004,1,MATCH(COLUMNS($AM$1006:AY1006),$AM$1006:$BM$1006,0)))),"Fix")))</f>
        <v xml:space="preserve"> </v>
      </c>
      <c r="O828" s="4" t="str">
        <f ca="1">IF(OR(INDEX($AG$2:$AG$1001,MATCH(ROWS($AF$2:AF828),$AF$2:$AF$1001,0),1)&gt;=100000,INDEX($AM$1005:$BM$1005,1,MATCH(COLUMNS($AM$1006:AZ1006),$AM$1006:$BM$1006,0))&gt;=100000), " ",IF(INDEX($AM$2:$BM$1001,MATCH(ROWS($AF$2:AF828),$AF$2:$AF$1001,0),MATCH(COLUMNS($AM$1006:AZ1006),$AM$1006:$BM$1006,0)), HYPERLINK("#",""), HYPERLINK(CONCATENATE("#metadata!", ADDRESS(INDEX($AH$2:$AH$1001,MATCH(ROWS($AF$2:AF828),$AF$2:$AF$1001,0),0), INDEX($AM$1004:$BM$1004,1,MATCH(COLUMNS($AM$1006:AZ1006),$AM$1006:$BM$1006,0)))),"Fix")))</f>
        <v xml:space="preserve"> </v>
      </c>
      <c r="P828" s="4" t="str">
        <f ca="1">IF(OR(INDEX($AG$2:$AG$1001,MATCH(ROWS($AF$2:AF828),$AF$2:$AF$1001,0),1)&gt;=100000,INDEX($AM$1005:$BM$1005,1,MATCH(COLUMNS($AM$1006:BA1006),$AM$1006:$BM$1006,0))&gt;=100000), " ",IF(INDEX($AM$2:$BM$1001,MATCH(ROWS($AF$2:AF828),$AF$2:$AF$1001,0),MATCH(COLUMNS($AM$1006:BA1006),$AM$1006:$BM$1006,0)), HYPERLINK("#",""), HYPERLINK(CONCATENATE("#metadata!", ADDRESS(INDEX($AH$2:$AH$1001,MATCH(ROWS($AF$2:AF828),$AF$2:$AF$1001,0),0), INDEX($AM$1004:$BM$1004,1,MATCH(COLUMNS($AM$1006:BA1006),$AM$1006:$BM$1006,0)))),"Fix")))</f>
        <v xml:space="preserve"> </v>
      </c>
      <c r="Q828" s="4" t="str">
        <f ca="1">IF(OR(INDEX($AG$2:$AG$1001,MATCH(ROWS($AF$2:AF828),$AF$2:$AF$1001,0),1)&gt;=100000,INDEX($AM$1005:$BM$1005,1,MATCH(COLUMNS($AM$1006:BB1006),$AM$1006:$BM$1006,0))&gt;=100000), " ",IF(INDEX($AM$2:$BM$1001,MATCH(ROWS($AF$2:AF828),$AF$2:$AF$1001,0),MATCH(COLUMNS($AM$1006:BB1006),$AM$1006:$BM$1006,0)), HYPERLINK("#",""), HYPERLINK(CONCATENATE("#metadata!", ADDRESS(INDEX($AH$2:$AH$1001,MATCH(ROWS($AF$2:AF828),$AF$2:$AF$1001,0),0), INDEX($AM$1004:$BM$1004,1,MATCH(COLUMNS($AM$1006:BB1006),$AM$1006:$BM$1006,0)))),"Fix")))</f>
        <v xml:space="preserve"> </v>
      </c>
      <c r="R828" s="4" t="str">
        <f ca="1">IF(OR(INDEX($AG$2:$AG$1001,MATCH(ROWS($AF$2:AF828),$AF$2:$AF$1001,0),1)&gt;=100000,INDEX($AM$1005:$BM$1005,1,MATCH(COLUMNS($AM$1006:BC1006),$AM$1006:$BM$1006,0))&gt;=100000), " ",IF(INDEX($AM$2:$BM$1001,MATCH(ROWS($AF$2:AF828),$AF$2:$AF$1001,0),MATCH(COLUMNS($AM$1006:BC1006),$AM$1006:$BM$1006,0)), HYPERLINK("#",""), HYPERLINK(CONCATENATE("#metadata!", ADDRESS(INDEX($AH$2:$AH$1001,MATCH(ROWS($AF$2:AF828),$AF$2:$AF$1001,0),0), INDEX($AM$1004:$BM$1004,1,MATCH(COLUMNS($AM$1006:BC1006),$AM$1006:$BM$1006,0)))),"Fix")))</f>
        <v xml:space="preserve"> </v>
      </c>
      <c r="S828" s="4" t="str">
        <f ca="1">IF(OR(INDEX($AG$2:$AG$1001,MATCH(ROWS($AF$2:AF828),$AF$2:$AF$1001,0),1)&gt;=100000,INDEX($AM$1005:$BM$1005,1,MATCH(COLUMNS($AM$1006:BD1006),$AM$1006:$BM$1006,0))&gt;=100000), " ",IF(INDEX($AM$2:$BM$1001,MATCH(ROWS($AF$2:AF828),$AF$2:$AF$1001,0),MATCH(COLUMNS($AM$1006:BD1006),$AM$1006:$BM$1006,0)), HYPERLINK("#",""), HYPERLINK(CONCATENATE("#metadata!", ADDRESS(INDEX($AH$2:$AH$1001,MATCH(ROWS($AF$2:AF828),$AF$2:$AF$1001,0),0), INDEX($AM$1004:$BM$1004,1,MATCH(COLUMNS($AM$1006:BD1006),$AM$1006:$BM$1006,0)))),"Fix")))</f>
        <v xml:space="preserve"> </v>
      </c>
      <c r="T828" s="4" t="str">
        <f ca="1">IF(OR(INDEX($AG$2:$AG$1001,MATCH(ROWS($AF$2:AF828),$AF$2:$AF$1001,0),1)&gt;=100000,INDEX($AM$1005:$BM$1005,1,MATCH(COLUMNS($AM$1006:BE1006),$AM$1006:$BM$1006,0))&gt;=100000), " ",IF(INDEX($AM$2:$BM$1001,MATCH(ROWS($AF$2:AF828),$AF$2:$AF$1001,0),MATCH(COLUMNS($AM$1006:BE1006),$AM$1006:$BM$1006,0)), HYPERLINK("#",""), HYPERLINK(CONCATENATE("#metadata!", ADDRESS(INDEX($AH$2:$AH$1001,MATCH(ROWS($AF$2:AF828),$AF$2:$AF$1001,0),0), INDEX($AM$1004:$BM$1004,1,MATCH(COLUMNS($AM$1006:BE1006),$AM$1006:$BM$1006,0)))),"Fix")))</f>
        <v xml:space="preserve"> </v>
      </c>
      <c r="U828" s="4" t="str">
        <f ca="1">IF(OR(INDEX($AG$2:$AG$1001,MATCH(ROWS($AF$2:AF828),$AF$2:$AF$1001,0),1)&gt;=100000,INDEX($AM$1005:$BM$1005,1,MATCH(COLUMNS($AM$1006:BF1006),$AM$1006:$BM$1006,0))&gt;=100000), " ",IF(INDEX($AM$2:$BM$1001,MATCH(ROWS($AF$2:AF828),$AF$2:$AF$1001,0),MATCH(COLUMNS($AM$1006:BF1006),$AM$1006:$BM$1006,0)), HYPERLINK("#",""), HYPERLINK(CONCATENATE("#metadata!", ADDRESS(INDEX($AH$2:$AH$1001,MATCH(ROWS($AF$2:AF828),$AF$2:$AF$1001,0),0), INDEX($AM$1004:$BM$1004,1,MATCH(COLUMNS($AM$1006:BF1006),$AM$1006:$BM$1006,0)))),"Fix")))</f>
        <v xml:space="preserve"> </v>
      </c>
      <c r="V828" s="4" t="str">
        <f ca="1">IF(OR(INDEX($AG$2:$AG$1001,MATCH(ROWS($AF$2:AF828),$AF$2:$AF$1001,0),1)&gt;=100000,INDEX($AM$1005:$BM$1005,1,MATCH(COLUMNS($AM$1006:BG1006),$AM$1006:$BM$1006,0))&gt;=100000), " ",IF(INDEX($AM$2:$BM$1001,MATCH(ROWS($AF$2:AF828),$AF$2:$AF$1001,0),MATCH(COLUMNS($AM$1006:BG1006),$AM$1006:$BM$1006,0)), HYPERLINK("#",""), HYPERLINK(CONCATENATE("#metadata!", ADDRESS(INDEX($AH$2:$AH$1001,MATCH(ROWS($AF$2:AF828),$AF$2:$AF$1001,0),0), INDEX($AM$1004:$BM$1004,1,MATCH(COLUMNS($AM$1006:BG1006),$AM$1006:$BM$1006,0)))),"Fix")))</f>
        <v xml:space="preserve"> </v>
      </c>
      <c r="W828" s="4" t="str">
        <f ca="1">IF(OR(INDEX($AG$2:$AG$1001,MATCH(ROWS($AF$2:AF828),$AF$2:$AF$1001,0),1)&gt;=100000,INDEX($AM$1005:$BM$1005,1,MATCH(COLUMNS($AM$1006:BH1006),$AM$1006:$BM$1006,0))&gt;=100000), " ",IF(INDEX($AM$2:$BM$1001,MATCH(ROWS($AF$2:AF828),$AF$2:$AF$1001,0),MATCH(COLUMNS($AM$1006:BH1006),$AM$1006:$BM$1006,0)), HYPERLINK("#",""), HYPERLINK(CONCATENATE("#metadata!", ADDRESS(INDEX($AH$2:$AH$1001,MATCH(ROWS($AF$2:AF828),$AF$2:$AF$1001,0),0), INDEX($AM$1004:$BM$1004,1,MATCH(COLUMNS($AM$1006:BH1006),$AM$1006:$BM$1006,0)))),"Fix")))</f>
        <v xml:space="preserve"> </v>
      </c>
      <c r="X828" s="4" t="str">
        <f ca="1">IF(OR(INDEX($AG$2:$AG$1001,MATCH(ROWS($AF$2:AF828),$AF$2:$AF$1001,0),1)&gt;=100000,INDEX($AM$1005:$BM$1005,1,MATCH(COLUMNS($AM$1006:BI1006),$AM$1006:$BM$1006,0))&gt;=100000), " ",IF(INDEX($AM$2:$BM$1001,MATCH(ROWS($AF$2:AF828),$AF$2:$AF$1001,0),MATCH(COLUMNS($AM$1006:BI1006),$AM$1006:$BM$1006,0)), HYPERLINK("#",""), HYPERLINK(CONCATENATE("#metadata!", ADDRESS(INDEX($AH$2:$AH$1001,MATCH(ROWS($AF$2:AF828),$AF$2:$AF$1001,0),0), INDEX($AM$1004:$BM$1004,1,MATCH(COLUMNS($AM$1006:BI1006),$AM$1006:$BM$1006,0)))),"Fix")))</f>
        <v xml:space="preserve"> </v>
      </c>
      <c r="Y828" s="4" t="str">
        <f ca="1">IF(OR(INDEX($AG$2:$AG$1001,MATCH(ROWS($AF$2:AF828),$AF$2:$AF$1001,0),1)&gt;=100000,INDEX($AM$1005:$BM$1005,1,MATCH(COLUMNS($AM$1006:BJ1006),$AM$1006:$BM$1006,0))&gt;=100000), " ",IF(INDEX($AM$2:$BM$1001,MATCH(ROWS($AF$2:AF828),$AF$2:$AF$1001,0),MATCH(COLUMNS($AM$1006:BJ1006),$AM$1006:$BM$1006,0)), HYPERLINK("#",""), HYPERLINK(CONCATENATE("#metadata!", ADDRESS(INDEX($AH$2:$AH$1001,MATCH(ROWS($AF$2:AF828),$AF$2:$AF$1001,0),0), INDEX($AM$1004:$BM$1004,1,MATCH(COLUMNS($AM$1006:BJ1006),$AM$1006:$BM$1006,0)))),"Fix")))</f>
        <v xml:space="preserve"> </v>
      </c>
      <c r="Z828" s="4" t="str">
        <f ca="1">IF(OR(INDEX($AG$2:$AG$1001,MATCH(ROWS($AF$2:AF828),$AF$2:$AF$1001,0),1)&gt;=100000,INDEX($AM$1005:$BM$1005,1,MATCH(COLUMNS($AM$1006:BK1006),$AM$1006:$BM$1006,0))&gt;=100000), " ",IF(INDEX($AM$2:$BM$1001,MATCH(ROWS($AF$2:AF828),$AF$2:$AF$1001,0),MATCH(COLUMNS($AM$1006:BK1006),$AM$1006:$BM$1006,0)), HYPERLINK("#",""), HYPERLINK(CONCATENATE("#metadata!", ADDRESS(INDEX($AH$2:$AH$1001,MATCH(ROWS($AF$2:AF828),$AF$2:$AF$1001,0),0), INDEX($AM$1004:$BM$1004,1,MATCH(COLUMNS($AM$1006:BK1006),$AM$1006:$BM$1006,0)))),"Fix")))</f>
        <v xml:space="preserve"> </v>
      </c>
      <c r="AA828" s="4" t="str">
        <f ca="1">IF(OR(INDEX($AG$2:$AG$1001,MATCH(ROWS($AF$2:AF828),$AF$2:$AF$1001,0),1)&gt;=100000,INDEX($AM$1005:$BM$1005,1,MATCH(COLUMNS($AM$1006:BL1006),$AM$1006:$BM$1006,0))&gt;=100000), " ",IF(INDEX($AM$2:$BM$1001,MATCH(ROWS($AF$2:AF828),$AF$2:$AF$1001,0),MATCH(COLUMNS($AM$1006:BL1006),$AM$1006:$BM$1006,0)), HYPERLINK("#",""), HYPERLINK(CONCATENATE("#metadata!", ADDRESS(INDEX($AH$2:$AH$1001,MATCH(ROWS($AF$2:AF828),$AF$2:$AF$1001,0),0), INDEX($AM$1004:$BM$1004,1,MATCH(COLUMNS($AM$1006:BL1006),$AM$1006:$BM$1006,0)))),"Fix")))</f>
        <v xml:space="preserve"> </v>
      </c>
      <c r="AB828" s="4" t="str">
        <f ca="1">IF(OR(INDEX($AG$2:$AG$1001,MATCH(ROWS($AF$2:AF828),$AF$2:$AF$1001,0),1)&gt;=100000,INDEX($AM$1005:$BM$1005,1,MATCH(COLUMNS($AM$1006:BM1006),$AM$1006:$BM$1006,0))&gt;=100000), " ",IF(INDEX($AM$2:$BM$1001,MATCH(ROWS($AF$2:AF828),$AF$2:$AF$1001,0),MATCH(COLUMNS($AM$1006:BM1006),$AM$1006:$BM$1006,0)), HYPERLINK("#",""), HYPERLINK(CONCATENATE("#metadata!", ADDRESS(INDEX($AH$2:$AH$1001,MATCH(ROWS($AF$2:AF828),$AF$2:$AF$1001,0),0), INDEX($AM$1004:$BM$1004,1,MATCH(COLUMNS($AM$1006:BM1006),$AM$1006:$BM$1006,0)))),"Fix")))</f>
        <v xml:space="preserve"> </v>
      </c>
      <c r="AF828">
        <v>827</v>
      </c>
      <c r="AG828">
        <v>100828</v>
      </c>
      <c r="AH828">
        <v>828</v>
      </c>
      <c r="AI828" t="b">
        <f t="shared" si="12"/>
        <v>1</v>
      </c>
      <c r="AJ828" t="b">
        <f>COUNTBLANK(metadata!B828:AB828)=COLUMNS(metadata!B828:AB828)</f>
        <v>1</v>
      </c>
      <c r="AK828" t="str">
        <v/>
      </c>
      <c r="AM828" t="b">
        <f ca="1">AND(IF(metadata!B828="",FALSE,TRUE),COUNTIF(metadata!B:B, metadata!B828) = 1,NOT(ISERROR(SUMPRODUCT(SEARCH(MID(metadata!B828,ROW(INDIRECT("1:"&amp;LEN(metadata!B828))), 1),"0123456789abcdefghijklmnopqrstuvwxyzABCDEFGHIJKLMNOPQRSTUVWXYZ.")))))</f>
        <v>0</v>
      </c>
      <c r="AN828" t="b">
        <f ca="1">OR(AND(IF(metadata!C828="",FALSE,TRUE),OR(EXACT(metadata!C828,"missing: not collected"),EXACT(metadata!C828,"missing: not provided"),EXACT(metadata!C828,"missing: restricted access"))),AND(IF(metadata!C828="",FALSE,TRUE),AND(AND(IFERROR(INT(LEFT(metadata!C828,4))&gt;1900,FALSE),IFERROR(INT(LEFT(metadata!C828,4))&lt;=YEAR(NOW()),FALSE)), OR(MID(metadata!C828,5,1)="", AND(AND(MID(metadata!C828,5,1)="-",IFERROR(INT(MID(metadata!C828,6,1))&gt;=0,FALSE),IFERROR(INT(MID(metadata!C828,6,1))&lt;=1,FALSE),NOT(MID(metadata!C828,7,1)=""),IFERROR(INT(MID(metadata!C828,6,2))&gt;=1,FALSE),IFERROR(INT(MID(metadata!C828,6,2))&lt;=12,FALSE)), OR(MID(metadata!C828,8,1)="", AND(AND(MID(metadata!C828,8,1)="-",IFERROR(INT(MID(metadata!C828,9,1))&gt;=0,FALSE),IFERROR(INT(MID(metadata!C828,9,1))&lt;=3,FALSE),NOT(MID(metadata!C828,10,1)=""),IFERROR(INT(MID(metadata!C828,9,2))&gt;=1,FALSE),IFERROR(INT(MID(metadata!C828,9,2))&lt;=31,FALSE)), OR(MID(metadata!C828,11,1)="", AND(AND(MID(metadata!C828,11,1)=" ",IFERROR(INT(MID(metadata!C828,12,1))&gt;=0,FALSE),IFERROR(INT(MID(metadata!C828,12,1))&lt;=2,FALSE),NOT(MID(metadata!C828,13,1)=""),IFERROR(INT(MID(metadata!C828,12,2))&gt;=0,FALSE),IFERROR(INT(MID(metadata!C828,12,2))&lt;=23,FALSE)), OR(MID(metadata!C828,14,1)="", AND(AND(MID(metadata!C828,14,1)=":",IFERROR(INT(MID(metadata!C828,15,1))&gt;=0,FALSE),IFERROR(INT(MID(metadata!C828,15,1))&lt;=5,FALSE),NOT(MID(metadata!C828,16,1)=""),IFERROR(INT(MID(metadata!C828,15,2))&gt;=0,FALSE),IFERROR(INT(MID(metadata!C828,15,2))&lt;=59,FALSE)), OR(MID(metadata!C828,17,1)="", AND(AND(MID(metadata!C828,17,1)=":",IFERROR(INT(MID(metadata!C828,18,1))&gt;=0,FALSE),IFERROR(INT(MID(metadata!C828,18,1))&lt;=5,FALSE),NOT(MID(metadata!C828,19,1)=""),IFERROR(INT(MID(metadata!C828,18,2))&gt;=0,FALSE),IFERROR(INT(MID(metadata!C828,18,2))&lt;=59,FALSE)), LEN(metadata!C828)&lt;=19)))))))))))))</f>
        <v>0</v>
      </c>
      <c r="AO828" t="b">
        <f>AND(IF(metadata!D828="",FALSE,TRUE),EXACT(metadata!D828,"Not applicable"))</f>
        <v>0</v>
      </c>
      <c r="AP828" t="b">
        <f>IF(metadata!E828="",FALSE,TRUE)</f>
        <v>0</v>
      </c>
      <c r="AQ828" t="b">
        <f>OR(AND(IF(metadata!F828="",FALSE,TRUE),OR(EXACT(metadata!F828,"missing: not collected"),EXACT(metadata!F828,"missing: not provided"))),AND(IF(metadata!F828="",FALSE,TRUE),OR(EXACT(metadata!F828,"TRUE"),EXACT(metadata!F828,"FALSE"))))</f>
        <v>0</v>
      </c>
      <c r="AR828" t="b">
        <f>OR(AND(IF(metadata!G828="",FALSE,TRUE),OR(EXACT(metadata!G828,"missing: not collected"),EXACT(metadata!G828,"missing: not provided"),EXACT(metadata!G828,"missing: restricted access"))),AND(IF(metadata!G828="",FALSE,ISNUMBER(VALUE(metadata!G828))),metadata!G828&gt;=-413))</f>
        <v>0</v>
      </c>
      <c r="AS828" t="b">
        <f>AND(IF(metadata!H828="",FALSE,TRUE),EXACT(metadata!H828,"meters"))</f>
        <v>0</v>
      </c>
      <c r="AT828" t="b">
        <f>AND(IF(metadata!I828="",FALSE,TRUE),OR(EXACT(metadata!I828,"Host-associated"),EXACT(metadata!I828,"Free-living")))</f>
        <v>0</v>
      </c>
      <c r="AU828" t="b">
        <f>AND(IF(metadata!J828="",FALSE,TRUE),OR(EXACT(metadata!J828,"Animal"),EXACT(metadata!J828,"Fungus"),EXACT(metadata!J828,"Plant"),EXACT(metadata!J828,"Saline"),EXACT(metadata!J828,"Non-saline")))</f>
        <v>0</v>
      </c>
      <c r="AV828" t="b">
        <f>AND(IF(metadata!K828="",FALSE,TRUE),OR(EXACT(metadata!K828,"Plant secretion"),EXACT(metadata!K828,"Plant rhizosphere"),EXACT(metadata!K828,"Plant surface"),EXACT(metadata!K828,"Plant corpus"),EXACT(metadata!K828,"Fungus surface"),EXACT(metadata!K828,"Fungus corpus"),EXACT(metadata!K828,"Animal surface"),EXACT(metadata!K828,"Animal proximal gut"),EXACT(metadata!K828,"Animal corpus"),EXACT(metadata!K828,"Animal distal gut"),EXACT(metadata!K828,"Animal secretion"),EXACT(metadata!K828,"Sub-surface (non-saline)"),EXACT(metadata!K828,"Surface (non-saline)"),EXACT(metadata!K828,"Water (non-saline)"),EXACT(metadata!K828,"Soil (non-saline)"),EXACT(metadata!K828,"Aerosol (non-saline)"),EXACT(metadata!K828,"Sediment (non-saline)"),EXACT(metadata!K828,"Surface (saline)"),EXACT(metadata!K828,"Water (saline)"),EXACT(metadata!K828,"Hypersaline (saline)"),EXACT(metadata!K828,"Aerosol (saline)"),EXACT(metadata!K828,"Sediment (saline)")))</f>
        <v>0</v>
      </c>
      <c r="AW828" t="b">
        <f>IF(metadata!L828="",FALSE,TRUE)</f>
        <v>0</v>
      </c>
      <c r="AX828" t="b">
        <f>IF(metadata!M828="",FALSE,TRUE)</f>
        <v>0</v>
      </c>
      <c r="AY828" t="b">
        <f>IF(metadata!N828="",FALSE,TRUE)</f>
        <v>0</v>
      </c>
      <c r="AZ828" t="b">
        <f>OR(AND(IF(metadata!O828="",FALSE,TRUE),OR(EXACT(metadata!O828,"missing: not collected"),EXACT(metadata!O828,"missing: not provided"),EXACT(metadata!O828,"missing: restricted access"))),AND(IF(metadata!O828="",FALSE,TRUE),OR(EXACT(metadata!O828,"air"),EXACT(metadata!O828,"built environment"),EXACT(metadata!O828,"host-associated"),EXACT(metadata!O828,"human-associated"),EXACT(metadata!O828,"human-skin"),EXACT(metadata!O828,"human-oral"),EXACT(metadata!O828,"human-gut"),EXACT(metadata!O828,"human-vaginal"),EXACT(metadata!O828,"microbial mat/biofilm"),EXACT(metadata!O828,"misc environment"),EXACT(metadata!O828,"plant-associated"),EXACT(metadata!O828,"sediment"),EXACT(metadata!O828,"soil"),EXACT(metadata!O828,"wastewater/sludge"),EXACT(metadata!O828,"water"))))</f>
        <v>0</v>
      </c>
      <c r="BA828" t="b">
        <f>IF(metadata!P828="",FALSE,TRUE)</f>
        <v>0</v>
      </c>
      <c r="BB828" t="b">
        <f>IF(metadata!Q828="",FALSE,TRUE)</f>
        <v>0</v>
      </c>
      <c r="BC828" t="b">
        <f>OR(AND(IF(metadata!R828="",FALSE,TRUE),OR(EXACT(metadata!R828,"missing: not collected"),EXACT(metadata!R828,"missing: not provided"),EXACT(metadata!R828,"missing: restricted access"))),AND(IF(metadata!R828="",FALSE,ISNUMBER(VALUE(metadata!R828))),metadata!R828&gt;=-90,metadata!R828&lt;=90))</f>
        <v>0</v>
      </c>
      <c r="BD828" t="b">
        <f>AND(IF(metadata!S828="",FALSE,TRUE),EXACT(metadata!S828,"Decimal degrees"))</f>
        <v>0</v>
      </c>
      <c r="BE828" t="b">
        <f>OR(AND(IF(metadata!T828="",FALSE,TRUE),OR(EXACT(metadata!T828,"missing: not collected"),EXACT(metadata!T828,"missing: not provided"),EXACT(metadata!T828,"missing: restricted access"))),AND(IF(metadata!T828="",FALSE,ISNUMBER(VALUE(metadata!T828))),metadata!T828&gt;=-180,metadata!T828&lt;=180))</f>
        <v>0</v>
      </c>
      <c r="BF828" t="b">
        <f>AND(IF(metadata!U828="",FALSE,TRUE),EXACT(metadata!U828,"Decimal degrees"))</f>
        <v>0</v>
      </c>
      <c r="BG828" t="b">
        <f>IF(metadata!V828="",FALSE,TRUE)</f>
        <v>0</v>
      </c>
      <c r="BH828" t="b">
        <f>OR(AND(IF(metadata!W828="",FALSE,TRUE),OR(EXACT(metadata!W828,"missing: not collected"),EXACT(metadata!W828,"missing: not provided"),EXACT(metadata!W828,"missing: restricted access"))),AND(IF(metadata!W828="",FALSE,TRUE),OR(EXACT(metadata!W828,"TRUE"),EXACT(metadata!W828,"FALSE"))))</f>
        <v>0</v>
      </c>
      <c r="BI828" t="b">
        <f>AND(IF(metadata!X828="",FALSE,TRUE),EXACT(metadata!X828,"other"))</f>
        <v>0</v>
      </c>
      <c r="BJ828" t="b">
        <f>IF(metadata!Y828="",FALSE,TRUE)</f>
        <v>0</v>
      </c>
      <c r="BK828" t="b">
        <f>OR(AND(IF(metadata!Z828="",FALSE,TRUE),OR(EXACT(metadata!Z828,"missing: not collected"),EXACT(metadata!Z828,"missing: not provided"))),AND(IF(metadata!Z828="",FALSE,IF(ISERROR(INT(metadata!Z828)),FALSE,INT(metadata!Z828)=metadata!Z828)),metadata!Z828&gt;0))</f>
        <v>0</v>
      </c>
      <c r="BL828" t="b">
        <f>AND(IF(metadata!AA828="",FALSE,TRUE),EXACT(metadata!AA828,"Not applicable"))</f>
        <v>0</v>
      </c>
      <c r="BM828" t="b">
        <f>IF(metadata!AB828="",FALSE,TRUE)</f>
        <v>0</v>
      </c>
    </row>
    <row r="829" spans="1:65" x14ac:dyDescent="0.2">
      <c r="A829" s="5" t="str">
        <f ca="1">IF(B829=" "," ",HYPERLINK(CONCATENATE("#metadata!",ADDRESS(INDEX($AH$2:$AH$1001,MATCH(ROWS($AF$2:AF829),$AF$2:$AF$1001,0),0),1)),INDEX($AK$2:$AK$1001,MATCH(ROWS($AF$2:AF829),$AF$2:$AF$1001,0),0)))</f>
        <v xml:space="preserve"> </v>
      </c>
      <c r="B829" s="4" t="str">
        <f ca="1">IF(OR(INDEX($AG$2:$AG$1001,MATCH(ROWS($AF$2:AF829),$AF$2:$AF$1001,0),1)&gt;=100000,INDEX($AM$1005:$BM$1005,1,MATCH(COLUMNS($AM$1006:AM1006),$AM$1006:$BM$1006,0))&gt;=100000), " ",IF(INDEX($AM$2:$BM$1001,MATCH(ROWS($AF$2:AF829),$AF$2:$AF$1001,0),MATCH(COLUMNS($AM$1006:AM1006),$AM$1006:$BM$1006,0)), HYPERLINK("#",""), HYPERLINK(CONCATENATE("#metadata!", ADDRESS(INDEX($AH$2:$AH$1001,MATCH(ROWS($AF$2:AF829),$AF$2:$AF$1001,0),0), INDEX($AM$1004:$BM$1004,1,MATCH(COLUMNS($AM$1006:AM1006),$AM$1006:$BM$1006,0)))),"Fix")))</f>
        <v xml:space="preserve"> </v>
      </c>
      <c r="C829" s="4" t="str">
        <f ca="1">IF(OR(INDEX($AG$2:$AG$1001,MATCH(ROWS($AF$2:AF829),$AF$2:$AF$1001,0),1)&gt;=100000,INDEX($AM$1005:$BM$1005,1,MATCH(COLUMNS($AM$1006:AN1006),$AM$1006:$BM$1006,0))&gt;=100000), " ",IF(INDEX($AM$2:$BM$1001,MATCH(ROWS($AF$2:AF829),$AF$2:$AF$1001,0),MATCH(COLUMNS($AM$1006:AN1006),$AM$1006:$BM$1006,0)), HYPERLINK("#",""), HYPERLINK(CONCATENATE("#metadata!", ADDRESS(INDEX($AH$2:$AH$1001,MATCH(ROWS($AF$2:AF829),$AF$2:$AF$1001,0),0), INDEX($AM$1004:$BM$1004,1,MATCH(COLUMNS($AM$1006:AN1006),$AM$1006:$BM$1006,0)))),"Fix")))</f>
        <v xml:space="preserve"> </v>
      </c>
      <c r="D829" s="4" t="str">
        <f ca="1">IF(OR(INDEX($AG$2:$AG$1001,MATCH(ROWS($AF$2:AF829),$AF$2:$AF$1001,0),1)&gt;=100000,INDEX($AM$1005:$BM$1005,1,MATCH(COLUMNS($AM$1006:AO1006),$AM$1006:$BM$1006,0))&gt;=100000), " ",IF(INDEX($AM$2:$BM$1001,MATCH(ROWS($AF$2:AF829),$AF$2:$AF$1001,0),MATCH(COLUMNS($AM$1006:AO1006),$AM$1006:$BM$1006,0)), HYPERLINK("#",""), HYPERLINK(CONCATENATE("#metadata!", ADDRESS(INDEX($AH$2:$AH$1001,MATCH(ROWS($AF$2:AF829),$AF$2:$AF$1001,0),0), INDEX($AM$1004:$BM$1004,1,MATCH(COLUMNS($AM$1006:AO1006),$AM$1006:$BM$1006,0)))),"Fix")))</f>
        <v xml:space="preserve"> </v>
      </c>
      <c r="E829" s="4" t="str">
        <f ca="1">IF(OR(INDEX($AG$2:$AG$1001,MATCH(ROWS($AF$2:AF829),$AF$2:$AF$1001,0),1)&gt;=100000,INDEX($AM$1005:$BM$1005,1,MATCH(COLUMNS($AM$1006:AP1006),$AM$1006:$BM$1006,0))&gt;=100000), " ",IF(INDEX($AM$2:$BM$1001,MATCH(ROWS($AF$2:AF829),$AF$2:$AF$1001,0),MATCH(COLUMNS($AM$1006:AP1006),$AM$1006:$BM$1006,0)), HYPERLINK("#",""), HYPERLINK(CONCATENATE("#metadata!", ADDRESS(INDEX($AH$2:$AH$1001,MATCH(ROWS($AF$2:AF829),$AF$2:$AF$1001,0),0), INDEX($AM$1004:$BM$1004,1,MATCH(COLUMNS($AM$1006:AP1006),$AM$1006:$BM$1006,0)))),"Fix")))</f>
        <v xml:space="preserve"> </v>
      </c>
      <c r="F829" s="4" t="str">
        <f ca="1">IF(OR(INDEX($AG$2:$AG$1001,MATCH(ROWS($AF$2:AF829),$AF$2:$AF$1001,0),1)&gt;=100000,INDEX($AM$1005:$BM$1005,1,MATCH(COLUMNS($AM$1006:AQ1006),$AM$1006:$BM$1006,0))&gt;=100000), " ",IF(INDEX($AM$2:$BM$1001,MATCH(ROWS($AF$2:AF829),$AF$2:$AF$1001,0),MATCH(COLUMNS($AM$1006:AQ1006),$AM$1006:$BM$1006,0)), HYPERLINK("#",""), HYPERLINK(CONCATENATE("#metadata!", ADDRESS(INDEX($AH$2:$AH$1001,MATCH(ROWS($AF$2:AF829),$AF$2:$AF$1001,0),0), INDEX($AM$1004:$BM$1004,1,MATCH(COLUMNS($AM$1006:AQ1006),$AM$1006:$BM$1006,0)))),"Fix")))</f>
        <v xml:space="preserve"> </v>
      </c>
      <c r="G829" s="4" t="str">
        <f ca="1">IF(OR(INDEX($AG$2:$AG$1001,MATCH(ROWS($AF$2:AF829),$AF$2:$AF$1001,0),1)&gt;=100000,INDEX($AM$1005:$BM$1005,1,MATCH(COLUMNS($AM$1006:AR1006),$AM$1006:$BM$1006,0))&gt;=100000), " ",IF(INDEX($AM$2:$BM$1001,MATCH(ROWS($AF$2:AF829),$AF$2:$AF$1001,0),MATCH(COLUMNS($AM$1006:AR1006),$AM$1006:$BM$1006,0)), HYPERLINK("#",""), HYPERLINK(CONCATENATE("#metadata!", ADDRESS(INDEX($AH$2:$AH$1001,MATCH(ROWS($AF$2:AF829),$AF$2:$AF$1001,0),0), INDEX($AM$1004:$BM$1004,1,MATCH(COLUMNS($AM$1006:AR1006),$AM$1006:$BM$1006,0)))),"Fix")))</f>
        <v xml:space="preserve"> </v>
      </c>
      <c r="H829" s="4" t="str">
        <f ca="1">IF(OR(INDEX($AG$2:$AG$1001,MATCH(ROWS($AF$2:AF829),$AF$2:$AF$1001,0),1)&gt;=100000,INDEX($AM$1005:$BM$1005,1,MATCH(COLUMNS($AM$1006:AS1006),$AM$1006:$BM$1006,0))&gt;=100000), " ",IF(INDEX($AM$2:$BM$1001,MATCH(ROWS($AF$2:AF829),$AF$2:$AF$1001,0),MATCH(COLUMNS($AM$1006:AS1006),$AM$1006:$BM$1006,0)), HYPERLINK("#",""), HYPERLINK(CONCATENATE("#metadata!", ADDRESS(INDEX($AH$2:$AH$1001,MATCH(ROWS($AF$2:AF829),$AF$2:$AF$1001,0),0), INDEX($AM$1004:$BM$1004,1,MATCH(COLUMNS($AM$1006:AS1006),$AM$1006:$BM$1006,0)))),"Fix")))</f>
        <v xml:space="preserve"> </v>
      </c>
      <c r="I829" s="4" t="str">
        <f ca="1">IF(OR(INDEX($AG$2:$AG$1001,MATCH(ROWS($AF$2:AF829),$AF$2:$AF$1001,0),1)&gt;=100000,INDEX($AM$1005:$BM$1005,1,MATCH(COLUMNS($AM$1006:AT1006),$AM$1006:$BM$1006,0))&gt;=100000), " ",IF(INDEX($AM$2:$BM$1001,MATCH(ROWS($AF$2:AF829),$AF$2:$AF$1001,0),MATCH(COLUMNS($AM$1006:AT1006),$AM$1006:$BM$1006,0)), HYPERLINK("#",""), HYPERLINK(CONCATENATE("#metadata!", ADDRESS(INDEX($AH$2:$AH$1001,MATCH(ROWS($AF$2:AF829),$AF$2:$AF$1001,0),0), INDEX($AM$1004:$BM$1004,1,MATCH(COLUMNS($AM$1006:AT1006),$AM$1006:$BM$1006,0)))),"Fix")))</f>
        <v xml:space="preserve"> </v>
      </c>
      <c r="J829" s="4" t="str">
        <f ca="1">IF(OR(INDEX($AG$2:$AG$1001,MATCH(ROWS($AF$2:AF829),$AF$2:$AF$1001,0),1)&gt;=100000,INDEX($AM$1005:$BM$1005,1,MATCH(COLUMNS($AM$1006:AU1006),$AM$1006:$BM$1006,0))&gt;=100000), " ",IF(INDEX($AM$2:$BM$1001,MATCH(ROWS($AF$2:AF829),$AF$2:$AF$1001,0),MATCH(COLUMNS($AM$1006:AU1006),$AM$1006:$BM$1006,0)), HYPERLINK("#",""), HYPERLINK(CONCATENATE("#metadata!", ADDRESS(INDEX($AH$2:$AH$1001,MATCH(ROWS($AF$2:AF829),$AF$2:$AF$1001,0),0), INDEX($AM$1004:$BM$1004,1,MATCH(COLUMNS($AM$1006:AU1006),$AM$1006:$BM$1006,0)))),"Fix")))</f>
        <v xml:space="preserve"> </v>
      </c>
      <c r="K829" s="4" t="str">
        <f ca="1">IF(OR(INDEX($AG$2:$AG$1001,MATCH(ROWS($AF$2:AF829),$AF$2:$AF$1001,0),1)&gt;=100000,INDEX($AM$1005:$BM$1005,1,MATCH(COLUMNS($AM$1006:AV1006),$AM$1006:$BM$1006,0))&gt;=100000), " ",IF(INDEX($AM$2:$BM$1001,MATCH(ROWS($AF$2:AF829),$AF$2:$AF$1001,0),MATCH(COLUMNS($AM$1006:AV1006),$AM$1006:$BM$1006,0)), HYPERLINK("#",""), HYPERLINK(CONCATENATE("#metadata!", ADDRESS(INDEX($AH$2:$AH$1001,MATCH(ROWS($AF$2:AF829),$AF$2:$AF$1001,0),0), INDEX($AM$1004:$BM$1004,1,MATCH(COLUMNS($AM$1006:AV1006),$AM$1006:$BM$1006,0)))),"Fix")))</f>
        <v xml:space="preserve"> </v>
      </c>
      <c r="L829" s="4" t="str">
        <f ca="1">IF(OR(INDEX($AG$2:$AG$1001,MATCH(ROWS($AF$2:AF829),$AF$2:$AF$1001,0),1)&gt;=100000,INDEX($AM$1005:$BM$1005,1,MATCH(COLUMNS($AM$1006:AW1006),$AM$1006:$BM$1006,0))&gt;=100000), " ",IF(INDEX($AM$2:$BM$1001,MATCH(ROWS($AF$2:AF829),$AF$2:$AF$1001,0),MATCH(COLUMNS($AM$1006:AW1006),$AM$1006:$BM$1006,0)), HYPERLINK("#",""), HYPERLINK(CONCATENATE("#metadata!", ADDRESS(INDEX($AH$2:$AH$1001,MATCH(ROWS($AF$2:AF829),$AF$2:$AF$1001,0),0), INDEX($AM$1004:$BM$1004,1,MATCH(COLUMNS($AM$1006:AW1006),$AM$1006:$BM$1006,0)))),"Fix")))</f>
        <v xml:space="preserve"> </v>
      </c>
      <c r="M829" s="4" t="str">
        <f ca="1">IF(OR(INDEX($AG$2:$AG$1001,MATCH(ROWS($AF$2:AF829),$AF$2:$AF$1001,0),1)&gt;=100000,INDEX($AM$1005:$BM$1005,1,MATCH(COLUMNS($AM$1006:AX1006),$AM$1006:$BM$1006,0))&gt;=100000), " ",IF(INDEX($AM$2:$BM$1001,MATCH(ROWS($AF$2:AF829),$AF$2:$AF$1001,0),MATCH(COLUMNS($AM$1006:AX1006),$AM$1006:$BM$1006,0)), HYPERLINK("#",""), HYPERLINK(CONCATENATE("#metadata!", ADDRESS(INDEX($AH$2:$AH$1001,MATCH(ROWS($AF$2:AF829),$AF$2:$AF$1001,0),0), INDEX($AM$1004:$BM$1004,1,MATCH(COLUMNS($AM$1006:AX1006),$AM$1006:$BM$1006,0)))),"Fix")))</f>
        <v xml:space="preserve"> </v>
      </c>
      <c r="N829" s="4" t="str">
        <f ca="1">IF(OR(INDEX($AG$2:$AG$1001,MATCH(ROWS($AF$2:AF829),$AF$2:$AF$1001,0),1)&gt;=100000,INDEX($AM$1005:$BM$1005,1,MATCH(COLUMNS($AM$1006:AY1006),$AM$1006:$BM$1006,0))&gt;=100000), " ",IF(INDEX($AM$2:$BM$1001,MATCH(ROWS($AF$2:AF829),$AF$2:$AF$1001,0),MATCH(COLUMNS($AM$1006:AY1006),$AM$1006:$BM$1006,0)), HYPERLINK("#",""), HYPERLINK(CONCATENATE("#metadata!", ADDRESS(INDEX($AH$2:$AH$1001,MATCH(ROWS($AF$2:AF829),$AF$2:$AF$1001,0),0), INDEX($AM$1004:$BM$1004,1,MATCH(COLUMNS($AM$1006:AY1006),$AM$1006:$BM$1006,0)))),"Fix")))</f>
        <v xml:space="preserve"> </v>
      </c>
      <c r="O829" s="4" t="str">
        <f ca="1">IF(OR(INDEX($AG$2:$AG$1001,MATCH(ROWS($AF$2:AF829),$AF$2:$AF$1001,0),1)&gt;=100000,INDEX($AM$1005:$BM$1005,1,MATCH(COLUMNS($AM$1006:AZ1006),$AM$1006:$BM$1006,0))&gt;=100000), " ",IF(INDEX($AM$2:$BM$1001,MATCH(ROWS($AF$2:AF829),$AF$2:$AF$1001,0),MATCH(COLUMNS($AM$1006:AZ1006),$AM$1006:$BM$1006,0)), HYPERLINK("#",""), HYPERLINK(CONCATENATE("#metadata!", ADDRESS(INDEX($AH$2:$AH$1001,MATCH(ROWS($AF$2:AF829),$AF$2:$AF$1001,0),0), INDEX($AM$1004:$BM$1004,1,MATCH(COLUMNS($AM$1006:AZ1006),$AM$1006:$BM$1006,0)))),"Fix")))</f>
        <v xml:space="preserve"> </v>
      </c>
      <c r="P829" s="4" t="str">
        <f ca="1">IF(OR(INDEX($AG$2:$AG$1001,MATCH(ROWS($AF$2:AF829),$AF$2:$AF$1001,0),1)&gt;=100000,INDEX($AM$1005:$BM$1005,1,MATCH(COLUMNS($AM$1006:BA1006),$AM$1006:$BM$1006,0))&gt;=100000), " ",IF(INDEX($AM$2:$BM$1001,MATCH(ROWS($AF$2:AF829),$AF$2:$AF$1001,0),MATCH(COLUMNS($AM$1006:BA1006),$AM$1006:$BM$1006,0)), HYPERLINK("#",""), HYPERLINK(CONCATENATE("#metadata!", ADDRESS(INDEX($AH$2:$AH$1001,MATCH(ROWS($AF$2:AF829),$AF$2:$AF$1001,0),0), INDEX($AM$1004:$BM$1004,1,MATCH(COLUMNS($AM$1006:BA1006),$AM$1006:$BM$1006,0)))),"Fix")))</f>
        <v xml:space="preserve"> </v>
      </c>
      <c r="Q829" s="4" t="str">
        <f ca="1">IF(OR(INDEX($AG$2:$AG$1001,MATCH(ROWS($AF$2:AF829),$AF$2:$AF$1001,0),1)&gt;=100000,INDEX($AM$1005:$BM$1005,1,MATCH(COLUMNS($AM$1006:BB1006),$AM$1006:$BM$1006,0))&gt;=100000), " ",IF(INDEX($AM$2:$BM$1001,MATCH(ROWS($AF$2:AF829),$AF$2:$AF$1001,0),MATCH(COLUMNS($AM$1006:BB1006),$AM$1006:$BM$1006,0)), HYPERLINK("#",""), HYPERLINK(CONCATENATE("#metadata!", ADDRESS(INDEX($AH$2:$AH$1001,MATCH(ROWS($AF$2:AF829),$AF$2:$AF$1001,0),0), INDEX($AM$1004:$BM$1004,1,MATCH(COLUMNS($AM$1006:BB1006),$AM$1006:$BM$1006,0)))),"Fix")))</f>
        <v xml:space="preserve"> </v>
      </c>
      <c r="R829" s="4" t="str">
        <f ca="1">IF(OR(INDEX($AG$2:$AG$1001,MATCH(ROWS($AF$2:AF829),$AF$2:$AF$1001,0),1)&gt;=100000,INDEX($AM$1005:$BM$1005,1,MATCH(COLUMNS($AM$1006:BC1006),$AM$1006:$BM$1006,0))&gt;=100000), " ",IF(INDEX($AM$2:$BM$1001,MATCH(ROWS($AF$2:AF829),$AF$2:$AF$1001,0),MATCH(COLUMNS($AM$1006:BC1006),$AM$1006:$BM$1006,0)), HYPERLINK("#",""), HYPERLINK(CONCATENATE("#metadata!", ADDRESS(INDEX($AH$2:$AH$1001,MATCH(ROWS($AF$2:AF829),$AF$2:$AF$1001,0),0), INDEX($AM$1004:$BM$1004,1,MATCH(COLUMNS($AM$1006:BC1006),$AM$1006:$BM$1006,0)))),"Fix")))</f>
        <v xml:space="preserve"> </v>
      </c>
      <c r="S829" s="4" t="str">
        <f ca="1">IF(OR(INDEX($AG$2:$AG$1001,MATCH(ROWS($AF$2:AF829),$AF$2:$AF$1001,0),1)&gt;=100000,INDEX($AM$1005:$BM$1005,1,MATCH(COLUMNS($AM$1006:BD1006),$AM$1006:$BM$1006,0))&gt;=100000), " ",IF(INDEX($AM$2:$BM$1001,MATCH(ROWS($AF$2:AF829),$AF$2:$AF$1001,0),MATCH(COLUMNS($AM$1006:BD1006),$AM$1006:$BM$1006,0)), HYPERLINK("#",""), HYPERLINK(CONCATENATE("#metadata!", ADDRESS(INDEX($AH$2:$AH$1001,MATCH(ROWS($AF$2:AF829),$AF$2:$AF$1001,0),0), INDEX($AM$1004:$BM$1004,1,MATCH(COLUMNS($AM$1006:BD1006),$AM$1006:$BM$1006,0)))),"Fix")))</f>
        <v xml:space="preserve"> </v>
      </c>
      <c r="T829" s="4" t="str">
        <f ca="1">IF(OR(INDEX($AG$2:$AG$1001,MATCH(ROWS($AF$2:AF829),$AF$2:$AF$1001,0),1)&gt;=100000,INDEX($AM$1005:$BM$1005,1,MATCH(COLUMNS($AM$1006:BE1006),$AM$1006:$BM$1006,0))&gt;=100000), " ",IF(INDEX($AM$2:$BM$1001,MATCH(ROWS($AF$2:AF829),$AF$2:$AF$1001,0),MATCH(COLUMNS($AM$1006:BE1006),$AM$1006:$BM$1006,0)), HYPERLINK("#",""), HYPERLINK(CONCATENATE("#metadata!", ADDRESS(INDEX($AH$2:$AH$1001,MATCH(ROWS($AF$2:AF829),$AF$2:$AF$1001,0),0), INDEX($AM$1004:$BM$1004,1,MATCH(COLUMNS($AM$1006:BE1006),$AM$1006:$BM$1006,0)))),"Fix")))</f>
        <v xml:space="preserve"> </v>
      </c>
      <c r="U829" s="4" t="str">
        <f ca="1">IF(OR(INDEX($AG$2:$AG$1001,MATCH(ROWS($AF$2:AF829),$AF$2:$AF$1001,0),1)&gt;=100000,INDEX($AM$1005:$BM$1005,1,MATCH(COLUMNS($AM$1006:BF1006),$AM$1006:$BM$1006,0))&gt;=100000), " ",IF(INDEX($AM$2:$BM$1001,MATCH(ROWS($AF$2:AF829),$AF$2:$AF$1001,0),MATCH(COLUMNS($AM$1006:BF1006),$AM$1006:$BM$1006,0)), HYPERLINK("#",""), HYPERLINK(CONCATENATE("#metadata!", ADDRESS(INDEX($AH$2:$AH$1001,MATCH(ROWS($AF$2:AF829),$AF$2:$AF$1001,0),0), INDEX($AM$1004:$BM$1004,1,MATCH(COLUMNS($AM$1006:BF1006),$AM$1006:$BM$1006,0)))),"Fix")))</f>
        <v xml:space="preserve"> </v>
      </c>
      <c r="V829" s="4" t="str">
        <f ca="1">IF(OR(INDEX($AG$2:$AG$1001,MATCH(ROWS($AF$2:AF829),$AF$2:$AF$1001,0),1)&gt;=100000,INDEX($AM$1005:$BM$1005,1,MATCH(COLUMNS($AM$1006:BG1006),$AM$1006:$BM$1006,0))&gt;=100000), " ",IF(INDEX($AM$2:$BM$1001,MATCH(ROWS($AF$2:AF829),$AF$2:$AF$1001,0),MATCH(COLUMNS($AM$1006:BG1006),$AM$1006:$BM$1006,0)), HYPERLINK("#",""), HYPERLINK(CONCATENATE("#metadata!", ADDRESS(INDEX($AH$2:$AH$1001,MATCH(ROWS($AF$2:AF829),$AF$2:$AF$1001,0),0), INDEX($AM$1004:$BM$1004,1,MATCH(COLUMNS($AM$1006:BG1006),$AM$1006:$BM$1006,0)))),"Fix")))</f>
        <v xml:space="preserve"> </v>
      </c>
      <c r="W829" s="4" t="str">
        <f ca="1">IF(OR(INDEX($AG$2:$AG$1001,MATCH(ROWS($AF$2:AF829),$AF$2:$AF$1001,0),1)&gt;=100000,INDEX($AM$1005:$BM$1005,1,MATCH(COLUMNS($AM$1006:BH1006),$AM$1006:$BM$1006,0))&gt;=100000), " ",IF(INDEX($AM$2:$BM$1001,MATCH(ROWS($AF$2:AF829),$AF$2:$AF$1001,0),MATCH(COLUMNS($AM$1006:BH1006),$AM$1006:$BM$1006,0)), HYPERLINK("#",""), HYPERLINK(CONCATENATE("#metadata!", ADDRESS(INDEX($AH$2:$AH$1001,MATCH(ROWS($AF$2:AF829),$AF$2:$AF$1001,0),0), INDEX($AM$1004:$BM$1004,1,MATCH(COLUMNS($AM$1006:BH1006),$AM$1006:$BM$1006,0)))),"Fix")))</f>
        <v xml:space="preserve"> </v>
      </c>
      <c r="X829" s="4" t="str">
        <f ca="1">IF(OR(INDEX($AG$2:$AG$1001,MATCH(ROWS($AF$2:AF829),$AF$2:$AF$1001,0),1)&gt;=100000,INDEX($AM$1005:$BM$1005,1,MATCH(COLUMNS($AM$1006:BI1006),$AM$1006:$BM$1006,0))&gt;=100000), " ",IF(INDEX($AM$2:$BM$1001,MATCH(ROWS($AF$2:AF829),$AF$2:$AF$1001,0),MATCH(COLUMNS($AM$1006:BI1006),$AM$1006:$BM$1006,0)), HYPERLINK("#",""), HYPERLINK(CONCATENATE("#metadata!", ADDRESS(INDEX($AH$2:$AH$1001,MATCH(ROWS($AF$2:AF829),$AF$2:$AF$1001,0),0), INDEX($AM$1004:$BM$1004,1,MATCH(COLUMNS($AM$1006:BI1006),$AM$1006:$BM$1006,0)))),"Fix")))</f>
        <v xml:space="preserve"> </v>
      </c>
      <c r="Y829" s="4" t="str">
        <f ca="1">IF(OR(INDEX($AG$2:$AG$1001,MATCH(ROWS($AF$2:AF829),$AF$2:$AF$1001,0),1)&gt;=100000,INDEX($AM$1005:$BM$1005,1,MATCH(COLUMNS($AM$1006:BJ1006),$AM$1006:$BM$1006,0))&gt;=100000), " ",IF(INDEX($AM$2:$BM$1001,MATCH(ROWS($AF$2:AF829),$AF$2:$AF$1001,0),MATCH(COLUMNS($AM$1006:BJ1006),$AM$1006:$BM$1006,0)), HYPERLINK("#",""), HYPERLINK(CONCATENATE("#metadata!", ADDRESS(INDEX($AH$2:$AH$1001,MATCH(ROWS($AF$2:AF829),$AF$2:$AF$1001,0),0), INDEX($AM$1004:$BM$1004,1,MATCH(COLUMNS($AM$1006:BJ1006),$AM$1006:$BM$1006,0)))),"Fix")))</f>
        <v xml:space="preserve"> </v>
      </c>
      <c r="Z829" s="4" t="str">
        <f ca="1">IF(OR(INDEX($AG$2:$AG$1001,MATCH(ROWS($AF$2:AF829),$AF$2:$AF$1001,0),1)&gt;=100000,INDEX($AM$1005:$BM$1005,1,MATCH(COLUMNS($AM$1006:BK1006),$AM$1006:$BM$1006,0))&gt;=100000), " ",IF(INDEX($AM$2:$BM$1001,MATCH(ROWS($AF$2:AF829),$AF$2:$AF$1001,0),MATCH(COLUMNS($AM$1006:BK1006),$AM$1006:$BM$1006,0)), HYPERLINK("#",""), HYPERLINK(CONCATENATE("#metadata!", ADDRESS(INDEX($AH$2:$AH$1001,MATCH(ROWS($AF$2:AF829),$AF$2:$AF$1001,0),0), INDEX($AM$1004:$BM$1004,1,MATCH(COLUMNS($AM$1006:BK1006),$AM$1006:$BM$1006,0)))),"Fix")))</f>
        <v xml:space="preserve"> </v>
      </c>
      <c r="AA829" s="4" t="str">
        <f ca="1">IF(OR(INDEX($AG$2:$AG$1001,MATCH(ROWS($AF$2:AF829),$AF$2:$AF$1001,0),1)&gt;=100000,INDEX($AM$1005:$BM$1005,1,MATCH(COLUMNS($AM$1006:BL1006),$AM$1006:$BM$1006,0))&gt;=100000), " ",IF(INDEX($AM$2:$BM$1001,MATCH(ROWS($AF$2:AF829),$AF$2:$AF$1001,0),MATCH(COLUMNS($AM$1006:BL1006),$AM$1006:$BM$1006,0)), HYPERLINK("#",""), HYPERLINK(CONCATENATE("#metadata!", ADDRESS(INDEX($AH$2:$AH$1001,MATCH(ROWS($AF$2:AF829),$AF$2:$AF$1001,0),0), INDEX($AM$1004:$BM$1004,1,MATCH(COLUMNS($AM$1006:BL1006),$AM$1006:$BM$1006,0)))),"Fix")))</f>
        <v xml:space="preserve"> </v>
      </c>
      <c r="AB829" s="4" t="str">
        <f ca="1">IF(OR(INDEX($AG$2:$AG$1001,MATCH(ROWS($AF$2:AF829),$AF$2:$AF$1001,0),1)&gt;=100000,INDEX($AM$1005:$BM$1005,1,MATCH(COLUMNS($AM$1006:BM1006),$AM$1006:$BM$1006,0))&gt;=100000), " ",IF(INDEX($AM$2:$BM$1001,MATCH(ROWS($AF$2:AF829),$AF$2:$AF$1001,0),MATCH(COLUMNS($AM$1006:BM1006),$AM$1006:$BM$1006,0)), HYPERLINK("#",""), HYPERLINK(CONCATENATE("#metadata!", ADDRESS(INDEX($AH$2:$AH$1001,MATCH(ROWS($AF$2:AF829),$AF$2:$AF$1001,0),0), INDEX($AM$1004:$BM$1004,1,MATCH(COLUMNS($AM$1006:BM1006),$AM$1006:$BM$1006,0)))),"Fix")))</f>
        <v xml:space="preserve"> </v>
      </c>
      <c r="AF829">
        <v>828</v>
      </c>
      <c r="AG829">
        <v>100829</v>
      </c>
      <c r="AH829">
        <v>829</v>
      </c>
      <c r="AI829" t="b">
        <f t="shared" si="12"/>
        <v>1</v>
      </c>
      <c r="AJ829" t="b">
        <f>COUNTBLANK(metadata!B829:AB829)=COLUMNS(metadata!B829:AB829)</f>
        <v>1</v>
      </c>
      <c r="AK829" t="str">
        <v/>
      </c>
      <c r="AM829" t="b">
        <f ca="1">AND(IF(metadata!B829="",FALSE,TRUE),COUNTIF(metadata!B:B, metadata!B829) = 1,NOT(ISERROR(SUMPRODUCT(SEARCH(MID(metadata!B829,ROW(INDIRECT("1:"&amp;LEN(metadata!B829))), 1),"0123456789abcdefghijklmnopqrstuvwxyzABCDEFGHIJKLMNOPQRSTUVWXYZ.")))))</f>
        <v>0</v>
      </c>
      <c r="AN829" t="b">
        <f ca="1">OR(AND(IF(metadata!C829="",FALSE,TRUE),OR(EXACT(metadata!C829,"missing: not collected"),EXACT(metadata!C829,"missing: not provided"),EXACT(metadata!C829,"missing: restricted access"))),AND(IF(metadata!C829="",FALSE,TRUE),AND(AND(IFERROR(INT(LEFT(metadata!C829,4))&gt;1900,FALSE),IFERROR(INT(LEFT(metadata!C829,4))&lt;=YEAR(NOW()),FALSE)), OR(MID(metadata!C829,5,1)="", AND(AND(MID(metadata!C829,5,1)="-",IFERROR(INT(MID(metadata!C829,6,1))&gt;=0,FALSE),IFERROR(INT(MID(metadata!C829,6,1))&lt;=1,FALSE),NOT(MID(metadata!C829,7,1)=""),IFERROR(INT(MID(metadata!C829,6,2))&gt;=1,FALSE),IFERROR(INT(MID(metadata!C829,6,2))&lt;=12,FALSE)), OR(MID(metadata!C829,8,1)="", AND(AND(MID(metadata!C829,8,1)="-",IFERROR(INT(MID(metadata!C829,9,1))&gt;=0,FALSE),IFERROR(INT(MID(metadata!C829,9,1))&lt;=3,FALSE),NOT(MID(metadata!C829,10,1)=""),IFERROR(INT(MID(metadata!C829,9,2))&gt;=1,FALSE),IFERROR(INT(MID(metadata!C829,9,2))&lt;=31,FALSE)), OR(MID(metadata!C829,11,1)="", AND(AND(MID(metadata!C829,11,1)=" ",IFERROR(INT(MID(metadata!C829,12,1))&gt;=0,FALSE),IFERROR(INT(MID(metadata!C829,12,1))&lt;=2,FALSE),NOT(MID(metadata!C829,13,1)=""),IFERROR(INT(MID(metadata!C829,12,2))&gt;=0,FALSE),IFERROR(INT(MID(metadata!C829,12,2))&lt;=23,FALSE)), OR(MID(metadata!C829,14,1)="", AND(AND(MID(metadata!C829,14,1)=":",IFERROR(INT(MID(metadata!C829,15,1))&gt;=0,FALSE),IFERROR(INT(MID(metadata!C829,15,1))&lt;=5,FALSE),NOT(MID(metadata!C829,16,1)=""),IFERROR(INT(MID(metadata!C829,15,2))&gt;=0,FALSE),IFERROR(INT(MID(metadata!C829,15,2))&lt;=59,FALSE)), OR(MID(metadata!C829,17,1)="", AND(AND(MID(metadata!C829,17,1)=":",IFERROR(INT(MID(metadata!C829,18,1))&gt;=0,FALSE),IFERROR(INT(MID(metadata!C829,18,1))&lt;=5,FALSE),NOT(MID(metadata!C829,19,1)=""),IFERROR(INT(MID(metadata!C829,18,2))&gt;=0,FALSE),IFERROR(INT(MID(metadata!C829,18,2))&lt;=59,FALSE)), LEN(metadata!C829)&lt;=19)))))))))))))</f>
        <v>0</v>
      </c>
      <c r="AO829" t="b">
        <f>AND(IF(metadata!D829="",FALSE,TRUE),EXACT(metadata!D829,"Not applicable"))</f>
        <v>0</v>
      </c>
      <c r="AP829" t="b">
        <f>IF(metadata!E829="",FALSE,TRUE)</f>
        <v>0</v>
      </c>
      <c r="AQ829" t="b">
        <f>OR(AND(IF(metadata!F829="",FALSE,TRUE),OR(EXACT(metadata!F829,"missing: not collected"),EXACT(metadata!F829,"missing: not provided"))),AND(IF(metadata!F829="",FALSE,TRUE),OR(EXACT(metadata!F829,"TRUE"),EXACT(metadata!F829,"FALSE"))))</f>
        <v>0</v>
      </c>
      <c r="AR829" t="b">
        <f>OR(AND(IF(metadata!G829="",FALSE,TRUE),OR(EXACT(metadata!G829,"missing: not collected"),EXACT(metadata!G829,"missing: not provided"),EXACT(metadata!G829,"missing: restricted access"))),AND(IF(metadata!G829="",FALSE,ISNUMBER(VALUE(metadata!G829))),metadata!G829&gt;=-413))</f>
        <v>0</v>
      </c>
      <c r="AS829" t="b">
        <f>AND(IF(metadata!H829="",FALSE,TRUE),EXACT(metadata!H829,"meters"))</f>
        <v>0</v>
      </c>
      <c r="AT829" t="b">
        <f>AND(IF(metadata!I829="",FALSE,TRUE),OR(EXACT(metadata!I829,"Host-associated"),EXACT(metadata!I829,"Free-living")))</f>
        <v>0</v>
      </c>
      <c r="AU829" t="b">
        <f>AND(IF(metadata!J829="",FALSE,TRUE),OR(EXACT(metadata!J829,"Animal"),EXACT(metadata!J829,"Fungus"),EXACT(metadata!J829,"Plant"),EXACT(metadata!J829,"Saline"),EXACT(metadata!J829,"Non-saline")))</f>
        <v>0</v>
      </c>
      <c r="AV829" t="b">
        <f>AND(IF(metadata!K829="",FALSE,TRUE),OR(EXACT(metadata!K829,"Plant secretion"),EXACT(metadata!K829,"Plant rhizosphere"),EXACT(metadata!K829,"Plant surface"),EXACT(metadata!K829,"Plant corpus"),EXACT(metadata!K829,"Fungus surface"),EXACT(metadata!K829,"Fungus corpus"),EXACT(metadata!K829,"Animal surface"),EXACT(metadata!K829,"Animal proximal gut"),EXACT(metadata!K829,"Animal corpus"),EXACT(metadata!K829,"Animal distal gut"),EXACT(metadata!K829,"Animal secretion"),EXACT(metadata!K829,"Sub-surface (non-saline)"),EXACT(metadata!K829,"Surface (non-saline)"),EXACT(metadata!K829,"Water (non-saline)"),EXACT(metadata!K829,"Soil (non-saline)"),EXACT(metadata!K829,"Aerosol (non-saline)"),EXACT(metadata!K829,"Sediment (non-saline)"),EXACT(metadata!K829,"Surface (saline)"),EXACT(metadata!K829,"Water (saline)"),EXACT(metadata!K829,"Hypersaline (saline)"),EXACT(metadata!K829,"Aerosol (saline)"),EXACT(metadata!K829,"Sediment (saline)")))</f>
        <v>0</v>
      </c>
      <c r="AW829" t="b">
        <f>IF(metadata!L829="",FALSE,TRUE)</f>
        <v>0</v>
      </c>
      <c r="AX829" t="b">
        <f>IF(metadata!M829="",FALSE,TRUE)</f>
        <v>0</v>
      </c>
      <c r="AY829" t="b">
        <f>IF(metadata!N829="",FALSE,TRUE)</f>
        <v>0</v>
      </c>
      <c r="AZ829" t="b">
        <f>OR(AND(IF(metadata!O829="",FALSE,TRUE),OR(EXACT(metadata!O829,"missing: not collected"),EXACT(metadata!O829,"missing: not provided"),EXACT(metadata!O829,"missing: restricted access"))),AND(IF(metadata!O829="",FALSE,TRUE),OR(EXACT(metadata!O829,"air"),EXACT(metadata!O829,"built environment"),EXACT(metadata!O829,"host-associated"),EXACT(metadata!O829,"human-associated"),EXACT(metadata!O829,"human-skin"),EXACT(metadata!O829,"human-oral"),EXACT(metadata!O829,"human-gut"),EXACT(metadata!O829,"human-vaginal"),EXACT(metadata!O829,"microbial mat/biofilm"),EXACT(metadata!O829,"misc environment"),EXACT(metadata!O829,"plant-associated"),EXACT(metadata!O829,"sediment"),EXACT(metadata!O829,"soil"),EXACT(metadata!O829,"wastewater/sludge"),EXACT(metadata!O829,"water"))))</f>
        <v>0</v>
      </c>
      <c r="BA829" t="b">
        <f>IF(metadata!P829="",FALSE,TRUE)</f>
        <v>0</v>
      </c>
      <c r="BB829" t="b">
        <f>IF(metadata!Q829="",FALSE,TRUE)</f>
        <v>0</v>
      </c>
      <c r="BC829" t="b">
        <f>OR(AND(IF(metadata!R829="",FALSE,TRUE),OR(EXACT(metadata!R829,"missing: not collected"),EXACT(metadata!R829,"missing: not provided"),EXACT(metadata!R829,"missing: restricted access"))),AND(IF(metadata!R829="",FALSE,ISNUMBER(VALUE(metadata!R829))),metadata!R829&gt;=-90,metadata!R829&lt;=90))</f>
        <v>0</v>
      </c>
      <c r="BD829" t="b">
        <f>AND(IF(metadata!S829="",FALSE,TRUE),EXACT(metadata!S829,"Decimal degrees"))</f>
        <v>0</v>
      </c>
      <c r="BE829" t="b">
        <f>OR(AND(IF(metadata!T829="",FALSE,TRUE),OR(EXACT(metadata!T829,"missing: not collected"),EXACT(metadata!T829,"missing: not provided"),EXACT(metadata!T829,"missing: restricted access"))),AND(IF(metadata!T829="",FALSE,ISNUMBER(VALUE(metadata!T829))),metadata!T829&gt;=-180,metadata!T829&lt;=180))</f>
        <v>0</v>
      </c>
      <c r="BF829" t="b">
        <f>AND(IF(metadata!U829="",FALSE,TRUE),EXACT(metadata!U829,"Decimal degrees"))</f>
        <v>0</v>
      </c>
      <c r="BG829" t="b">
        <f>IF(metadata!V829="",FALSE,TRUE)</f>
        <v>0</v>
      </c>
      <c r="BH829" t="b">
        <f>OR(AND(IF(metadata!W829="",FALSE,TRUE),OR(EXACT(metadata!W829,"missing: not collected"),EXACT(metadata!W829,"missing: not provided"),EXACT(metadata!W829,"missing: restricted access"))),AND(IF(metadata!W829="",FALSE,TRUE),OR(EXACT(metadata!W829,"TRUE"),EXACT(metadata!W829,"FALSE"))))</f>
        <v>0</v>
      </c>
      <c r="BI829" t="b">
        <f>AND(IF(metadata!X829="",FALSE,TRUE),EXACT(metadata!X829,"other"))</f>
        <v>0</v>
      </c>
      <c r="BJ829" t="b">
        <f>IF(metadata!Y829="",FALSE,TRUE)</f>
        <v>0</v>
      </c>
      <c r="BK829" t="b">
        <f>OR(AND(IF(metadata!Z829="",FALSE,TRUE),OR(EXACT(metadata!Z829,"missing: not collected"),EXACT(metadata!Z829,"missing: not provided"))),AND(IF(metadata!Z829="",FALSE,IF(ISERROR(INT(metadata!Z829)),FALSE,INT(metadata!Z829)=metadata!Z829)),metadata!Z829&gt;0))</f>
        <v>0</v>
      </c>
      <c r="BL829" t="b">
        <f>AND(IF(metadata!AA829="",FALSE,TRUE),EXACT(metadata!AA829,"Not applicable"))</f>
        <v>0</v>
      </c>
      <c r="BM829" t="b">
        <f>IF(metadata!AB829="",FALSE,TRUE)</f>
        <v>0</v>
      </c>
    </row>
    <row r="830" spans="1:65" x14ac:dyDescent="0.2">
      <c r="A830" s="5" t="str">
        <f ca="1">IF(B830=" "," ",HYPERLINK(CONCATENATE("#metadata!",ADDRESS(INDEX($AH$2:$AH$1001,MATCH(ROWS($AF$2:AF830),$AF$2:$AF$1001,0),0),1)),INDEX($AK$2:$AK$1001,MATCH(ROWS($AF$2:AF830),$AF$2:$AF$1001,0),0)))</f>
        <v xml:space="preserve"> </v>
      </c>
      <c r="B830" s="4" t="str">
        <f ca="1">IF(OR(INDEX($AG$2:$AG$1001,MATCH(ROWS($AF$2:AF830),$AF$2:$AF$1001,0),1)&gt;=100000,INDEX($AM$1005:$BM$1005,1,MATCH(COLUMNS($AM$1006:AM1006),$AM$1006:$BM$1006,0))&gt;=100000), " ",IF(INDEX($AM$2:$BM$1001,MATCH(ROWS($AF$2:AF830),$AF$2:$AF$1001,0),MATCH(COLUMNS($AM$1006:AM1006),$AM$1006:$BM$1006,0)), HYPERLINK("#",""), HYPERLINK(CONCATENATE("#metadata!", ADDRESS(INDEX($AH$2:$AH$1001,MATCH(ROWS($AF$2:AF830),$AF$2:$AF$1001,0),0), INDEX($AM$1004:$BM$1004,1,MATCH(COLUMNS($AM$1006:AM1006),$AM$1006:$BM$1006,0)))),"Fix")))</f>
        <v xml:space="preserve"> </v>
      </c>
      <c r="C830" s="4" t="str">
        <f ca="1">IF(OR(INDEX($AG$2:$AG$1001,MATCH(ROWS($AF$2:AF830),$AF$2:$AF$1001,0),1)&gt;=100000,INDEX($AM$1005:$BM$1005,1,MATCH(COLUMNS($AM$1006:AN1006),$AM$1006:$BM$1006,0))&gt;=100000), " ",IF(INDEX($AM$2:$BM$1001,MATCH(ROWS($AF$2:AF830),$AF$2:$AF$1001,0),MATCH(COLUMNS($AM$1006:AN1006),$AM$1006:$BM$1006,0)), HYPERLINK("#",""), HYPERLINK(CONCATENATE("#metadata!", ADDRESS(INDEX($AH$2:$AH$1001,MATCH(ROWS($AF$2:AF830),$AF$2:$AF$1001,0),0), INDEX($AM$1004:$BM$1004,1,MATCH(COLUMNS($AM$1006:AN1006),$AM$1006:$BM$1006,0)))),"Fix")))</f>
        <v xml:space="preserve"> </v>
      </c>
      <c r="D830" s="4" t="str">
        <f ca="1">IF(OR(INDEX($AG$2:$AG$1001,MATCH(ROWS($AF$2:AF830),$AF$2:$AF$1001,0),1)&gt;=100000,INDEX($AM$1005:$BM$1005,1,MATCH(COLUMNS($AM$1006:AO1006),$AM$1006:$BM$1006,0))&gt;=100000), " ",IF(INDEX($AM$2:$BM$1001,MATCH(ROWS($AF$2:AF830),$AF$2:$AF$1001,0),MATCH(COLUMNS($AM$1006:AO1006),$AM$1006:$BM$1006,0)), HYPERLINK("#",""), HYPERLINK(CONCATENATE("#metadata!", ADDRESS(INDEX($AH$2:$AH$1001,MATCH(ROWS($AF$2:AF830),$AF$2:$AF$1001,0),0), INDEX($AM$1004:$BM$1004,1,MATCH(COLUMNS($AM$1006:AO1006),$AM$1006:$BM$1006,0)))),"Fix")))</f>
        <v xml:space="preserve"> </v>
      </c>
      <c r="E830" s="4" t="str">
        <f ca="1">IF(OR(INDEX($AG$2:$AG$1001,MATCH(ROWS($AF$2:AF830),$AF$2:$AF$1001,0),1)&gt;=100000,INDEX($AM$1005:$BM$1005,1,MATCH(COLUMNS($AM$1006:AP1006),$AM$1006:$BM$1006,0))&gt;=100000), " ",IF(INDEX($AM$2:$BM$1001,MATCH(ROWS($AF$2:AF830),$AF$2:$AF$1001,0),MATCH(COLUMNS($AM$1006:AP1006),$AM$1006:$BM$1006,0)), HYPERLINK("#",""), HYPERLINK(CONCATENATE("#metadata!", ADDRESS(INDEX($AH$2:$AH$1001,MATCH(ROWS($AF$2:AF830),$AF$2:$AF$1001,0),0), INDEX($AM$1004:$BM$1004,1,MATCH(COLUMNS($AM$1006:AP1006),$AM$1006:$BM$1006,0)))),"Fix")))</f>
        <v xml:space="preserve"> </v>
      </c>
      <c r="F830" s="4" t="str">
        <f ca="1">IF(OR(INDEX($AG$2:$AG$1001,MATCH(ROWS($AF$2:AF830),$AF$2:$AF$1001,0),1)&gt;=100000,INDEX($AM$1005:$BM$1005,1,MATCH(COLUMNS($AM$1006:AQ1006),$AM$1006:$BM$1006,0))&gt;=100000), " ",IF(INDEX($AM$2:$BM$1001,MATCH(ROWS($AF$2:AF830),$AF$2:$AF$1001,0),MATCH(COLUMNS($AM$1006:AQ1006),$AM$1006:$BM$1006,0)), HYPERLINK("#",""), HYPERLINK(CONCATENATE("#metadata!", ADDRESS(INDEX($AH$2:$AH$1001,MATCH(ROWS($AF$2:AF830),$AF$2:$AF$1001,0),0), INDEX($AM$1004:$BM$1004,1,MATCH(COLUMNS($AM$1006:AQ1006),$AM$1006:$BM$1006,0)))),"Fix")))</f>
        <v xml:space="preserve"> </v>
      </c>
      <c r="G830" s="4" t="str">
        <f ca="1">IF(OR(INDEX($AG$2:$AG$1001,MATCH(ROWS($AF$2:AF830),$AF$2:$AF$1001,0),1)&gt;=100000,INDEX($AM$1005:$BM$1005,1,MATCH(COLUMNS($AM$1006:AR1006),$AM$1006:$BM$1006,0))&gt;=100000), " ",IF(INDEX($AM$2:$BM$1001,MATCH(ROWS($AF$2:AF830),$AF$2:$AF$1001,0),MATCH(COLUMNS($AM$1006:AR1006),$AM$1006:$BM$1006,0)), HYPERLINK("#",""), HYPERLINK(CONCATENATE("#metadata!", ADDRESS(INDEX($AH$2:$AH$1001,MATCH(ROWS($AF$2:AF830),$AF$2:$AF$1001,0),0), INDEX($AM$1004:$BM$1004,1,MATCH(COLUMNS($AM$1006:AR1006),$AM$1006:$BM$1006,0)))),"Fix")))</f>
        <v xml:space="preserve"> </v>
      </c>
      <c r="H830" s="4" t="str">
        <f ca="1">IF(OR(INDEX($AG$2:$AG$1001,MATCH(ROWS($AF$2:AF830),$AF$2:$AF$1001,0),1)&gt;=100000,INDEX($AM$1005:$BM$1005,1,MATCH(COLUMNS($AM$1006:AS1006),$AM$1006:$BM$1006,0))&gt;=100000), " ",IF(INDEX($AM$2:$BM$1001,MATCH(ROWS($AF$2:AF830),$AF$2:$AF$1001,0),MATCH(COLUMNS($AM$1006:AS1006),$AM$1006:$BM$1006,0)), HYPERLINK("#",""), HYPERLINK(CONCATENATE("#metadata!", ADDRESS(INDEX($AH$2:$AH$1001,MATCH(ROWS($AF$2:AF830),$AF$2:$AF$1001,0),0), INDEX($AM$1004:$BM$1004,1,MATCH(COLUMNS($AM$1006:AS1006),$AM$1006:$BM$1006,0)))),"Fix")))</f>
        <v xml:space="preserve"> </v>
      </c>
      <c r="I830" s="4" t="str">
        <f ca="1">IF(OR(INDEX($AG$2:$AG$1001,MATCH(ROWS($AF$2:AF830),$AF$2:$AF$1001,0),1)&gt;=100000,INDEX($AM$1005:$BM$1005,1,MATCH(COLUMNS($AM$1006:AT1006),$AM$1006:$BM$1006,0))&gt;=100000), " ",IF(INDEX($AM$2:$BM$1001,MATCH(ROWS($AF$2:AF830),$AF$2:$AF$1001,0),MATCH(COLUMNS($AM$1006:AT1006),$AM$1006:$BM$1006,0)), HYPERLINK("#",""), HYPERLINK(CONCATENATE("#metadata!", ADDRESS(INDEX($AH$2:$AH$1001,MATCH(ROWS($AF$2:AF830),$AF$2:$AF$1001,0),0), INDEX($AM$1004:$BM$1004,1,MATCH(COLUMNS($AM$1006:AT1006),$AM$1006:$BM$1006,0)))),"Fix")))</f>
        <v xml:space="preserve"> </v>
      </c>
      <c r="J830" s="4" t="str">
        <f ca="1">IF(OR(INDEX($AG$2:$AG$1001,MATCH(ROWS($AF$2:AF830),$AF$2:$AF$1001,0),1)&gt;=100000,INDEX($AM$1005:$BM$1005,1,MATCH(COLUMNS($AM$1006:AU1006),$AM$1006:$BM$1006,0))&gt;=100000), " ",IF(INDEX($AM$2:$BM$1001,MATCH(ROWS($AF$2:AF830),$AF$2:$AF$1001,0),MATCH(COLUMNS($AM$1006:AU1006),$AM$1006:$BM$1006,0)), HYPERLINK("#",""), HYPERLINK(CONCATENATE("#metadata!", ADDRESS(INDEX($AH$2:$AH$1001,MATCH(ROWS($AF$2:AF830),$AF$2:$AF$1001,0),0), INDEX($AM$1004:$BM$1004,1,MATCH(COLUMNS($AM$1006:AU1006),$AM$1006:$BM$1006,0)))),"Fix")))</f>
        <v xml:space="preserve"> </v>
      </c>
      <c r="K830" s="4" t="str">
        <f ca="1">IF(OR(INDEX($AG$2:$AG$1001,MATCH(ROWS($AF$2:AF830),$AF$2:$AF$1001,0),1)&gt;=100000,INDEX($AM$1005:$BM$1005,1,MATCH(COLUMNS($AM$1006:AV1006),$AM$1006:$BM$1006,0))&gt;=100000), " ",IF(INDEX($AM$2:$BM$1001,MATCH(ROWS($AF$2:AF830),$AF$2:$AF$1001,0),MATCH(COLUMNS($AM$1006:AV1006),$AM$1006:$BM$1006,0)), HYPERLINK("#",""), HYPERLINK(CONCATENATE("#metadata!", ADDRESS(INDEX($AH$2:$AH$1001,MATCH(ROWS($AF$2:AF830),$AF$2:$AF$1001,0),0), INDEX($AM$1004:$BM$1004,1,MATCH(COLUMNS($AM$1006:AV1006),$AM$1006:$BM$1006,0)))),"Fix")))</f>
        <v xml:space="preserve"> </v>
      </c>
      <c r="L830" s="4" t="str">
        <f ca="1">IF(OR(INDEX($AG$2:$AG$1001,MATCH(ROWS($AF$2:AF830),$AF$2:$AF$1001,0),1)&gt;=100000,INDEX($AM$1005:$BM$1005,1,MATCH(COLUMNS($AM$1006:AW1006),$AM$1006:$BM$1006,0))&gt;=100000), " ",IF(INDEX($AM$2:$BM$1001,MATCH(ROWS($AF$2:AF830),$AF$2:$AF$1001,0),MATCH(COLUMNS($AM$1006:AW1006),$AM$1006:$BM$1006,0)), HYPERLINK("#",""), HYPERLINK(CONCATENATE("#metadata!", ADDRESS(INDEX($AH$2:$AH$1001,MATCH(ROWS($AF$2:AF830),$AF$2:$AF$1001,0),0), INDEX($AM$1004:$BM$1004,1,MATCH(COLUMNS($AM$1006:AW1006),$AM$1006:$BM$1006,0)))),"Fix")))</f>
        <v xml:space="preserve"> </v>
      </c>
      <c r="M830" s="4" t="str">
        <f ca="1">IF(OR(INDEX($AG$2:$AG$1001,MATCH(ROWS($AF$2:AF830),$AF$2:$AF$1001,0),1)&gt;=100000,INDEX($AM$1005:$BM$1005,1,MATCH(COLUMNS($AM$1006:AX1006),$AM$1006:$BM$1006,0))&gt;=100000), " ",IF(INDEX($AM$2:$BM$1001,MATCH(ROWS($AF$2:AF830),$AF$2:$AF$1001,0),MATCH(COLUMNS($AM$1006:AX1006),$AM$1006:$BM$1006,0)), HYPERLINK("#",""), HYPERLINK(CONCATENATE("#metadata!", ADDRESS(INDEX($AH$2:$AH$1001,MATCH(ROWS($AF$2:AF830),$AF$2:$AF$1001,0),0), INDEX($AM$1004:$BM$1004,1,MATCH(COLUMNS($AM$1006:AX1006),$AM$1006:$BM$1006,0)))),"Fix")))</f>
        <v xml:space="preserve"> </v>
      </c>
      <c r="N830" s="4" t="str">
        <f ca="1">IF(OR(INDEX($AG$2:$AG$1001,MATCH(ROWS($AF$2:AF830),$AF$2:$AF$1001,0),1)&gt;=100000,INDEX($AM$1005:$BM$1005,1,MATCH(COLUMNS($AM$1006:AY1006),$AM$1006:$BM$1006,0))&gt;=100000), " ",IF(INDEX($AM$2:$BM$1001,MATCH(ROWS($AF$2:AF830),$AF$2:$AF$1001,0),MATCH(COLUMNS($AM$1006:AY1006),$AM$1006:$BM$1006,0)), HYPERLINK("#",""), HYPERLINK(CONCATENATE("#metadata!", ADDRESS(INDEX($AH$2:$AH$1001,MATCH(ROWS($AF$2:AF830),$AF$2:$AF$1001,0),0), INDEX($AM$1004:$BM$1004,1,MATCH(COLUMNS($AM$1006:AY1006),$AM$1006:$BM$1006,0)))),"Fix")))</f>
        <v xml:space="preserve"> </v>
      </c>
      <c r="O830" s="4" t="str">
        <f ca="1">IF(OR(INDEX($AG$2:$AG$1001,MATCH(ROWS($AF$2:AF830),$AF$2:$AF$1001,0),1)&gt;=100000,INDEX($AM$1005:$BM$1005,1,MATCH(COLUMNS($AM$1006:AZ1006),$AM$1006:$BM$1006,0))&gt;=100000), " ",IF(INDEX($AM$2:$BM$1001,MATCH(ROWS($AF$2:AF830),$AF$2:$AF$1001,0),MATCH(COLUMNS($AM$1006:AZ1006),$AM$1006:$BM$1006,0)), HYPERLINK("#",""), HYPERLINK(CONCATENATE("#metadata!", ADDRESS(INDEX($AH$2:$AH$1001,MATCH(ROWS($AF$2:AF830),$AF$2:$AF$1001,0),0), INDEX($AM$1004:$BM$1004,1,MATCH(COLUMNS($AM$1006:AZ1006),$AM$1006:$BM$1006,0)))),"Fix")))</f>
        <v xml:space="preserve"> </v>
      </c>
      <c r="P830" s="4" t="str">
        <f ca="1">IF(OR(INDEX($AG$2:$AG$1001,MATCH(ROWS($AF$2:AF830),$AF$2:$AF$1001,0),1)&gt;=100000,INDEX($AM$1005:$BM$1005,1,MATCH(COLUMNS($AM$1006:BA1006),$AM$1006:$BM$1006,0))&gt;=100000), " ",IF(INDEX($AM$2:$BM$1001,MATCH(ROWS($AF$2:AF830),$AF$2:$AF$1001,0),MATCH(COLUMNS($AM$1006:BA1006),$AM$1006:$BM$1006,0)), HYPERLINK("#",""), HYPERLINK(CONCATENATE("#metadata!", ADDRESS(INDEX($AH$2:$AH$1001,MATCH(ROWS($AF$2:AF830),$AF$2:$AF$1001,0),0), INDEX($AM$1004:$BM$1004,1,MATCH(COLUMNS($AM$1006:BA1006),$AM$1006:$BM$1006,0)))),"Fix")))</f>
        <v xml:space="preserve"> </v>
      </c>
      <c r="Q830" s="4" t="str">
        <f ca="1">IF(OR(INDEX($AG$2:$AG$1001,MATCH(ROWS($AF$2:AF830),$AF$2:$AF$1001,0),1)&gt;=100000,INDEX($AM$1005:$BM$1005,1,MATCH(COLUMNS($AM$1006:BB1006),$AM$1006:$BM$1006,0))&gt;=100000), " ",IF(INDEX($AM$2:$BM$1001,MATCH(ROWS($AF$2:AF830),$AF$2:$AF$1001,0),MATCH(COLUMNS($AM$1006:BB1006),$AM$1006:$BM$1006,0)), HYPERLINK("#",""), HYPERLINK(CONCATENATE("#metadata!", ADDRESS(INDEX($AH$2:$AH$1001,MATCH(ROWS($AF$2:AF830),$AF$2:$AF$1001,0),0), INDEX($AM$1004:$BM$1004,1,MATCH(COLUMNS($AM$1006:BB1006),$AM$1006:$BM$1006,0)))),"Fix")))</f>
        <v xml:space="preserve"> </v>
      </c>
      <c r="R830" s="4" t="str">
        <f ca="1">IF(OR(INDEX($AG$2:$AG$1001,MATCH(ROWS($AF$2:AF830),$AF$2:$AF$1001,0),1)&gt;=100000,INDEX($AM$1005:$BM$1005,1,MATCH(COLUMNS($AM$1006:BC1006),$AM$1006:$BM$1006,0))&gt;=100000), " ",IF(INDEX($AM$2:$BM$1001,MATCH(ROWS($AF$2:AF830),$AF$2:$AF$1001,0),MATCH(COLUMNS($AM$1006:BC1006),$AM$1006:$BM$1006,0)), HYPERLINK("#",""), HYPERLINK(CONCATENATE("#metadata!", ADDRESS(INDEX($AH$2:$AH$1001,MATCH(ROWS($AF$2:AF830),$AF$2:$AF$1001,0),0), INDEX($AM$1004:$BM$1004,1,MATCH(COLUMNS($AM$1006:BC1006),$AM$1006:$BM$1006,0)))),"Fix")))</f>
        <v xml:space="preserve"> </v>
      </c>
      <c r="S830" s="4" t="str">
        <f ca="1">IF(OR(INDEX($AG$2:$AG$1001,MATCH(ROWS($AF$2:AF830),$AF$2:$AF$1001,0),1)&gt;=100000,INDEX($AM$1005:$BM$1005,1,MATCH(COLUMNS($AM$1006:BD1006),$AM$1006:$BM$1006,0))&gt;=100000), " ",IF(INDEX($AM$2:$BM$1001,MATCH(ROWS($AF$2:AF830),$AF$2:$AF$1001,0),MATCH(COLUMNS($AM$1006:BD1006),$AM$1006:$BM$1006,0)), HYPERLINK("#",""), HYPERLINK(CONCATENATE("#metadata!", ADDRESS(INDEX($AH$2:$AH$1001,MATCH(ROWS($AF$2:AF830),$AF$2:$AF$1001,0),0), INDEX($AM$1004:$BM$1004,1,MATCH(COLUMNS($AM$1006:BD1006),$AM$1006:$BM$1006,0)))),"Fix")))</f>
        <v xml:space="preserve"> </v>
      </c>
      <c r="T830" s="4" t="str">
        <f ca="1">IF(OR(INDEX($AG$2:$AG$1001,MATCH(ROWS($AF$2:AF830),$AF$2:$AF$1001,0),1)&gt;=100000,INDEX($AM$1005:$BM$1005,1,MATCH(COLUMNS($AM$1006:BE1006),$AM$1006:$BM$1006,0))&gt;=100000), " ",IF(INDEX($AM$2:$BM$1001,MATCH(ROWS($AF$2:AF830),$AF$2:$AF$1001,0),MATCH(COLUMNS($AM$1006:BE1006),$AM$1006:$BM$1006,0)), HYPERLINK("#",""), HYPERLINK(CONCATENATE("#metadata!", ADDRESS(INDEX($AH$2:$AH$1001,MATCH(ROWS($AF$2:AF830),$AF$2:$AF$1001,0),0), INDEX($AM$1004:$BM$1004,1,MATCH(COLUMNS($AM$1006:BE1006),$AM$1006:$BM$1006,0)))),"Fix")))</f>
        <v xml:space="preserve"> </v>
      </c>
      <c r="U830" s="4" t="str">
        <f ca="1">IF(OR(INDEX($AG$2:$AG$1001,MATCH(ROWS($AF$2:AF830),$AF$2:$AF$1001,0),1)&gt;=100000,INDEX($AM$1005:$BM$1005,1,MATCH(COLUMNS($AM$1006:BF1006),$AM$1006:$BM$1006,0))&gt;=100000), " ",IF(INDEX($AM$2:$BM$1001,MATCH(ROWS($AF$2:AF830),$AF$2:$AF$1001,0),MATCH(COLUMNS($AM$1006:BF1006),$AM$1006:$BM$1006,0)), HYPERLINK("#",""), HYPERLINK(CONCATENATE("#metadata!", ADDRESS(INDEX($AH$2:$AH$1001,MATCH(ROWS($AF$2:AF830),$AF$2:$AF$1001,0),0), INDEX($AM$1004:$BM$1004,1,MATCH(COLUMNS($AM$1006:BF1006),$AM$1006:$BM$1006,0)))),"Fix")))</f>
        <v xml:space="preserve"> </v>
      </c>
      <c r="V830" s="4" t="str">
        <f ca="1">IF(OR(INDEX($AG$2:$AG$1001,MATCH(ROWS($AF$2:AF830),$AF$2:$AF$1001,0),1)&gt;=100000,INDEX($AM$1005:$BM$1005,1,MATCH(COLUMNS($AM$1006:BG1006),$AM$1006:$BM$1006,0))&gt;=100000), " ",IF(INDEX($AM$2:$BM$1001,MATCH(ROWS($AF$2:AF830),$AF$2:$AF$1001,0),MATCH(COLUMNS($AM$1006:BG1006),$AM$1006:$BM$1006,0)), HYPERLINK("#",""), HYPERLINK(CONCATENATE("#metadata!", ADDRESS(INDEX($AH$2:$AH$1001,MATCH(ROWS($AF$2:AF830),$AF$2:$AF$1001,0),0), INDEX($AM$1004:$BM$1004,1,MATCH(COLUMNS($AM$1006:BG1006),$AM$1006:$BM$1006,0)))),"Fix")))</f>
        <v xml:space="preserve"> </v>
      </c>
      <c r="W830" s="4" t="str">
        <f ca="1">IF(OR(INDEX($AG$2:$AG$1001,MATCH(ROWS($AF$2:AF830),$AF$2:$AF$1001,0),1)&gt;=100000,INDEX($AM$1005:$BM$1005,1,MATCH(COLUMNS($AM$1006:BH1006),$AM$1006:$BM$1006,0))&gt;=100000), " ",IF(INDEX($AM$2:$BM$1001,MATCH(ROWS($AF$2:AF830),$AF$2:$AF$1001,0),MATCH(COLUMNS($AM$1006:BH1006),$AM$1006:$BM$1006,0)), HYPERLINK("#",""), HYPERLINK(CONCATENATE("#metadata!", ADDRESS(INDEX($AH$2:$AH$1001,MATCH(ROWS($AF$2:AF830),$AF$2:$AF$1001,0),0), INDEX($AM$1004:$BM$1004,1,MATCH(COLUMNS($AM$1006:BH1006),$AM$1006:$BM$1006,0)))),"Fix")))</f>
        <v xml:space="preserve"> </v>
      </c>
      <c r="X830" s="4" t="str">
        <f ca="1">IF(OR(INDEX($AG$2:$AG$1001,MATCH(ROWS($AF$2:AF830),$AF$2:$AF$1001,0),1)&gt;=100000,INDEX($AM$1005:$BM$1005,1,MATCH(COLUMNS($AM$1006:BI1006),$AM$1006:$BM$1006,0))&gt;=100000), " ",IF(INDEX($AM$2:$BM$1001,MATCH(ROWS($AF$2:AF830),$AF$2:$AF$1001,0),MATCH(COLUMNS($AM$1006:BI1006),$AM$1006:$BM$1006,0)), HYPERLINK("#",""), HYPERLINK(CONCATENATE("#metadata!", ADDRESS(INDEX($AH$2:$AH$1001,MATCH(ROWS($AF$2:AF830),$AF$2:$AF$1001,0),0), INDEX($AM$1004:$BM$1004,1,MATCH(COLUMNS($AM$1006:BI1006),$AM$1006:$BM$1006,0)))),"Fix")))</f>
        <v xml:space="preserve"> </v>
      </c>
      <c r="Y830" s="4" t="str">
        <f ca="1">IF(OR(INDEX($AG$2:$AG$1001,MATCH(ROWS($AF$2:AF830),$AF$2:$AF$1001,0),1)&gt;=100000,INDEX($AM$1005:$BM$1005,1,MATCH(COLUMNS($AM$1006:BJ1006),$AM$1006:$BM$1006,0))&gt;=100000), " ",IF(INDEX($AM$2:$BM$1001,MATCH(ROWS($AF$2:AF830),$AF$2:$AF$1001,0),MATCH(COLUMNS($AM$1006:BJ1006),$AM$1006:$BM$1006,0)), HYPERLINK("#",""), HYPERLINK(CONCATENATE("#metadata!", ADDRESS(INDEX($AH$2:$AH$1001,MATCH(ROWS($AF$2:AF830),$AF$2:$AF$1001,0),0), INDEX($AM$1004:$BM$1004,1,MATCH(COLUMNS($AM$1006:BJ1006),$AM$1006:$BM$1006,0)))),"Fix")))</f>
        <v xml:space="preserve"> </v>
      </c>
      <c r="Z830" s="4" t="str">
        <f ca="1">IF(OR(INDEX($AG$2:$AG$1001,MATCH(ROWS($AF$2:AF830),$AF$2:$AF$1001,0),1)&gt;=100000,INDEX($AM$1005:$BM$1005,1,MATCH(COLUMNS($AM$1006:BK1006),$AM$1006:$BM$1006,0))&gt;=100000), " ",IF(INDEX($AM$2:$BM$1001,MATCH(ROWS($AF$2:AF830),$AF$2:$AF$1001,0),MATCH(COLUMNS($AM$1006:BK1006),$AM$1006:$BM$1006,0)), HYPERLINK("#",""), HYPERLINK(CONCATENATE("#metadata!", ADDRESS(INDEX($AH$2:$AH$1001,MATCH(ROWS($AF$2:AF830),$AF$2:$AF$1001,0),0), INDEX($AM$1004:$BM$1004,1,MATCH(COLUMNS($AM$1006:BK1006),$AM$1006:$BM$1006,0)))),"Fix")))</f>
        <v xml:space="preserve"> </v>
      </c>
      <c r="AA830" s="4" t="str">
        <f ca="1">IF(OR(INDEX($AG$2:$AG$1001,MATCH(ROWS($AF$2:AF830),$AF$2:$AF$1001,0),1)&gt;=100000,INDEX($AM$1005:$BM$1005,1,MATCH(COLUMNS($AM$1006:BL1006),$AM$1006:$BM$1006,0))&gt;=100000), " ",IF(INDEX($AM$2:$BM$1001,MATCH(ROWS($AF$2:AF830),$AF$2:$AF$1001,0),MATCH(COLUMNS($AM$1006:BL1006),$AM$1006:$BM$1006,0)), HYPERLINK("#",""), HYPERLINK(CONCATENATE("#metadata!", ADDRESS(INDEX($AH$2:$AH$1001,MATCH(ROWS($AF$2:AF830),$AF$2:$AF$1001,0),0), INDEX($AM$1004:$BM$1004,1,MATCH(COLUMNS($AM$1006:BL1006),$AM$1006:$BM$1006,0)))),"Fix")))</f>
        <v xml:space="preserve"> </v>
      </c>
      <c r="AB830" s="4" t="str">
        <f ca="1">IF(OR(INDEX($AG$2:$AG$1001,MATCH(ROWS($AF$2:AF830),$AF$2:$AF$1001,0),1)&gt;=100000,INDEX($AM$1005:$BM$1005,1,MATCH(COLUMNS($AM$1006:BM1006),$AM$1006:$BM$1006,0))&gt;=100000), " ",IF(INDEX($AM$2:$BM$1001,MATCH(ROWS($AF$2:AF830),$AF$2:$AF$1001,0),MATCH(COLUMNS($AM$1006:BM1006),$AM$1006:$BM$1006,0)), HYPERLINK("#",""), HYPERLINK(CONCATENATE("#metadata!", ADDRESS(INDEX($AH$2:$AH$1001,MATCH(ROWS($AF$2:AF830),$AF$2:$AF$1001,0),0), INDEX($AM$1004:$BM$1004,1,MATCH(COLUMNS($AM$1006:BM1006),$AM$1006:$BM$1006,0)))),"Fix")))</f>
        <v xml:space="preserve"> </v>
      </c>
      <c r="AF830">
        <v>829</v>
      </c>
      <c r="AG830">
        <v>100830</v>
      </c>
      <c r="AH830">
        <v>830</v>
      </c>
      <c r="AI830" t="b">
        <f t="shared" si="12"/>
        <v>1</v>
      </c>
      <c r="AJ830" t="b">
        <f>COUNTBLANK(metadata!B830:AB830)=COLUMNS(metadata!B830:AB830)</f>
        <v>1</v>
      </c>
      <c r="AK830" t="str">
        <v/>
      </c>
      <c r="AM830" t="b">
        <f ca="1">AND(IF(metadata!B830="",FALSE,TRUE),COUNTIF(metadata!B:B, metadata!B830) = 1,NOT(ISERROR(SUMPRODUCT(SEARCH(MID(metadata!B830,ROW(INDIRECT("1:"&amp;LEN(metadata!B830))), 1),"0123456789abcdefghijklmnopqrstuvwxyzABCDEFGHIJKLMNOPQRSTUVWXYZ.")))))</f>
        <v>0</v>
      </c>
      <c r="AN830" t="b">
        <f ca="1">OR(AND(IF(metadata!C830="",FALSE,TRUE),OR(EXACT(metadata!C830,"missing: not collected"),EXACT(metadata!C830,"missing: not provided"),EXACT(metadata!C830,"missing: restricted access"))),AND(IF(metadata!C830="",FALSE,TRUE),AND(AND(IFERROR(INT(LEFT(metadata!C830,4))&gt;1900,FALSE),IFERROR(INT(LEFT(metadata!C830,4))&lt;=YEAR(NOW()),FALSE)), OR(MID(metadata!C830,5,1)="", AND(AND(MID(metadata!C830,5,1)="-",IFERROR(INT(MID(metadata!C830,6,1))&gt;=0,FALSE),IFERROR(INT(MID(metadata!C830,6,1))&lt;=1,FALSE),NOT(MID(metadata!C830,7,1)=""),IFERROR(INT(MID(metadata!C830,6,2))&gt;=1,FALSE),IFERROR(INT(MID(metadata!C830,6,2))&lt;=12,FALSE)), OR(MID(metadata!C830,8,1)="", AND(AND(MID(metadata!C830,8,1)="-",IFERROR(INT(MID(metadata!C830,9,1))&gt;=0,FALSE),IFERROR(INT(MID(metadata!C830,9,1))&lt;=3,FALSE),NOT(MID(metadata!C830,10,1)=""),IFERROR(INT(MID(metadata!C830,9,2))&gt;=1,FALSE),IFERROR(INT(MID(metadata!C830,9,2))&lt;=31,FALSE)), OR(MID(metadata!C830,11,1)="", AND(AND(MID(metadata!C830,11,1)=" ",IFERROR(INT(MID(metadata!C830,12,1))&gt;=0,FALSE),IFERROR(INT(MID(metadata!C830,12,1))&lt;=2,FALSE),NOT(MID(metadata!C830,13,1)=""),IFERROR(INT(MID(metadata!C830,12,2))&gt;=0,FALSE),IFERROR(INT(MID(metadata!C830,12,2))&lt;=23,FALSE)), OR(MID(metadata!C830,14,1)="", AND(AND(MID(metadata!C830,14,1)=":",IFERROR(INT(MID(metadata!C830,15,1))&gt;=0,FALSE),IFERROR(INT(MID(metadata!C830,15,1))&lt;=5,FALSE),NOT(MID(metadata!C830,16,1)=""),IFERROR(INT(MID(metadata!C830,15,2))&gt;=0,FALSE),IFERROR(INT(MID(metadata!C830,15,2))&lt;=59,FALSE)), OR(MID(metadata!C830,17,1)="", AND(AND(MID(metadata!C830,17,1)=":",IFERROR(INT(MID(metadata!C830,18,1))&gt;=0,FALSE),IFERROR(INT(MID(metadata!C830,18,1))&lt;=5,FALSE),NOT(MID(metadata!C830,19,1)=""),IFERROR(INT(MID(metadata!C830,18,2))&gt;=0,FALSE),IFERROR(INT(MID(metadata!C830,18,2))&lt;=59,FALSE)), LEN(metadata!C830)&lt;=19)))))))))))))</f>
        <v>0</v>
      </c>
      <c r="AO830" t="b">
        <f>AND(IF(metadata!D830="",FALSE,TRUE),EXACT(metadata!D830,"Not applicable"))</f>
        <v>0</v>
      </c>
      <c r="AP830" t="b">
        <f>IF(metadata!E830="",FALSE,TRUE)</f>
        <v>0</v>
      </c>
      <c r="AQ830" t="b">
        <f>OR(AND(IF(metadata!F830="",FALSE,TRUE),OR(EXACT(metadata!F830,"missing: not collected"),EXACT(metadata!F830,"missing: not provided"))),AND(IF(metadata!F830="",FALSE,TRUE),OR(EXACT(metadata!F830,"TRUE"),EXACT(metadata!F830,"FALSE"))))</f>
        <v>0</v>
      </c>
      <c r="AR830" t="b">
        <f>OR(AND(IF(metadata!G830="",FALSE,TRUE),OR(EXACT(metadata!G830,"missing: not collected"),EXACT(metadata!G830,"missing: not provided"),EXACT(metadata!G830,"missing: restricted access"))),AND(IF(metadata!G830="",FALSE,ISNUMBER(VALUE(metadata!G830))),metadata!G830&gt;=-413))</f>
        <v>0</v>
      </c>
      <c r="AS830" t="b">
        <f>AND(IF(metadata!H830="",FALSE,TRUE),EXACT(metadata!H830,"meters"))</f>
        <v>0</v>
      </c>
      <c r="AT830" t="b">
        <f>AND(IF(metadata!I830="",FALSE,TRUE),OR(EXACT(metadata!I830,"Host-associated"),EXACT(metadata!I830,"Free-living")))</f>
        <v>0</v>
      </c>
      <c r="AU830" t="b">
        <f>AND(IF(metadata!J830="",FALSE,TRUE),OR(EXACT(metadata!J830,"Animal"),EXACT(metadata!J830,"Fungus"),EXACT(metadata!J830,"Plant"),EXACT(metadata!J830,"Saline"),EXACT(metadata!J830,"Non-saline")))</f>
        <v>0</v>
      </c>
      <c r="AV830" t="b">
        <f>AND(IF(metadata!K830="",FALSE,TRUE),OR(EXACT(metadata!K830,"Plant secretion"),EXACT(metadata!K830,"Plant rhizosphere"),EXACT(metadata!K830,"Plant surface"),EXACT(metadata!K830,"Plant corpus"),EXACT(metadata!K830,"Fungus surface"),EXACT(metadata!K830,"Fungus corpus"),EXACT(metadata!K830,"Animal surface"),EXACT(metadata!K830,"Animal proximal gut"),EXACT(metadata!K830,"Animal corpus"),EXACT(metadata!K830,"Animal distal gut"),EXACT(metadata!K830,"Animal secretion"),EXACT(metadata!K830,"Sub-surface (non-saline)"),EXACT(metadata!K830,"Surface (non-saline)"),EXACT(metadata!K830,"Water (non-saline)"),EXACT(metadata!K830,"Soil (non-saline)"),EXACT(metadata!K830,"Aerosol (non-saline)"),EXACT(metadata!K830,"Sediment (non-saline)"),EXACT(metadata!K830,"Surface (saline)"),EXACT(metadata!K830,"Water (saline)"),EXACT(metadata!K830,"Hypersaline (saline)"),EXACT(metadata!K830,"Aerosol (saline)"),EXACT(metadata!K830,"Sediment (saline)")))</f>
        <v>0</v>
      </c>
      <c r="AW830" t="b">
        <f>IF(metadata!L830="",FALSE,TRUE)</f>
        <v>0</v>
      </c>
      <c r="AX830" t="b">
        <f>IF(metadata!M830="",FALSE,TRUE)</f>
        <v>0</v>
      </c>
      <c r="AY830" t="b">
        <f>IF(metadata!N830="",FALSE,TRUE)</f>
        <v>0</v>
      </c>
      <c r="AZ830" t="b">
        <f>OR(AND(IF(metadata!O830="",FALSE,TRUE),OR(EXACT(metadata!O830,"missing: not collected"),EXACT(metadata!O830,"missing: not provided"),EXACT(metadata!O830,"missing: restricted access"))),AND(IF(metadata!O830="",FALSE,TRUE),OR(EXACT(metadata!O830,"air"),EXACT(metadata!O830,"built environment"),EXACT(metadata!O830,"host-associated"),EXACT(metadata!O830,"human-associated"),EXACT(metadata!O830,"human-skin"),EXACT(metadata!O830,"human-oral"),EXACT(metadata!O830,"human-gut"),EXACT(metadata!O830,"human-vaginal"),EXACT(metadata!O830,"microbial mat/biofilm"),EXACT(metadata!O830,"misc environment"),EXACT(metadata!O830,"plant-associated"),EXACT(metadata!O830,"sediment"),EXACT(metadata!O830,"soil"),EXACT(metadata!O830,"wastewater/sludge"),EXACT(metadata!O830,"water"))))</f>
        <v>0</v>
      </c>
      <c r="BA830" t="b">
        <f>IF(metadata!P830="",FALSE,TRUE)</f>
        <v>0</v>
      </c>
      <c r="BB830" t="b">
        <f>IF(metadata!Q830="",FALSE,TRUE)</f>
        <v>0</v>
      </c>
      <c r="BC830" t="b">
        <f>OR(AND(IF(metadata!R830="",FALSE,TRUE),OR(EXACT(metadata!R830,"missing: not collected"),EXACT(metadata!R830,"missing: not provided"),EXACT(metadata!R830,"missing: restricted access"))),AND(IF(metadata!R830="",FALSE,ISNUMBER(VALUE(metadata!R830))),metadata!R830&gt;=-90,metadata!R830&lt;=90))</f>
        <v>0</v>
      </c>
      <c r="BD830" t="b">
        <f>AND(IF(metadata!S830="",FALSE,TRUE),EXACT(metadata!S830,"Decimal degrees"))</f>
        <v>0</v>
      </c>
      <c r="BE830" t="b">
        <f>OR(AND(IF(metadata!T830="",FALSE,TRUE),OR(EXACT(metadata!T830,"missing: not collected"),EXACT(metadata!T830,"missing: not provided"),EXACT(metadata!T830,"missing: restricted access"))),AND(IF(metadata!T830="",FALSE,ISNUMBER(VALUE(metadata!T830))),metadata!T830&gt;=-180,metadata!T830&lt;=180))</f>
        <v>0</v>
      </c>
      <c r="BF830" t="b">
        <f>AND(IF(metadata!U830="",FALSE,TRUE),EXACT(metadata!U830,"Decimal degrees"))</f>
        <v>0</v>
      </c>
      <c r="BG830" t="b">
        <f>IF(metadata!V830="",FALSE,TRUE)</f>
        <v>0</v>
      </c>
      <c r="BH830" t="b">
        <f>OR(AND(IF(metadata!W830="",FALSE,TRUE),OR(EXACT(metadata!W830,"missing: not collected"),EXACT(metadata!W830,"missing: not provided"),EXACT(metadata!W830,"missing: restricted access"))),AND(IF(metadata!W830="",FALSE,TRUE),OR(EXACT(metadata!W830,"TRUE"),EXACT(metadata!W830,"FALSE"))))</f>
        <v>0</v>
      </c>
      <c r="BI830" t="b">
        <f>AND(IF(metadata!X830="",FALSE,TRUE),EXACT(metadata!X830,"other"))</f>
        <v>0</v>
      </c>
      <c r="BJ830" t="b">
        <f>IF(metadata!Y830="",FALSE,TRUE)</f>
        <v>0</v>
      </c>
      <c r="BK830" t="b">
        <f>OR(AND(IF(metadata!Z830="",FALSE,TRUE),OR(EXACT(metadata!Z830,"missing: not collected"),EXACT(metadata!Z830,"missing: not provided"))),AND(IF(metadata!Z830="",FALSE,IF(ISERROR(INT(metadata!Z830)),FALSE,INT(metadata!Z830)=metadata!Z830)),metadata!Z830&gt;0))</f>
        <v>0</v>
      </c>
      <c r="BL830" t="b">
        <f>AND(IF(metadata!AA830="",FALSE,TRUE),EXACT(metadata!AA830,"Not applicable"))</f>
        <v>0</v>
      </c>
      <c r="BM830" t="b">
        <f>IF(metadata!AB830="",FALSE,TRUE)</f>
        <v>0</v>
      </c>
    </row>
    <row r="831" spans="1:65" x14ac:dyDescent="0.2">
      <c r="A831" s="5" t="str">
        <f ca="1">IF(B831=" "," ",HYPERLINK(CONCATENATE("#metadata!",ADDRESS(INDEX($AH$2:$AH$1001,MATCH(ROWS($AF$2:AF831),$AF$2:$AF$1001,0),0),1)),INDEX($AK$2:$AK$1001,MATCH(ROWS($AF$2:AF831),$AF$2:$AF$1001,0),0)))</f>
        <v xml:space="preserve"> </v>
      </c>
      <c r="B831" s="4" t="str">
        <f ca="1">IF(OR(INDEX($AG$2:$AG$1001,MATCH(ROWS($AF$2:AF831),$AF$2:$AF$1001,0),1)&gt;=100000,INDEX($AM$1005:$BM$1005,1,MATCH(COLUMNS($AM$1006:AM1006),$AM$1006:$BM$1006,0))&gt;=100000), " ",IF(INDEX($AM$2:$BM$1001,MATCH(ROWS($AF$2:AF831),$AF$2:$AF$1001,0),MATCH(COLUMNS($AM$1006:AM1006),$AM$1006:$BM$1006,0)), HYPERLINK("#",""), HYPERLINK(CONCATENATE("#metadata!", ADDRESS(INDEX($AH$2:$AH$1001,MATCH(ROWS($AF$2:AF831),$AF$2:$AF$1001,0),0), INDEX($AM$1004:$BM$1004,1,MATCH(COLUMNS($AM$1006:AM1006),$AM$1006:$BM$1006,0)))),"Fix")))</f>
        <v xml:space="preserve"> </v>
      </c>
      <c r="C831" s="4" t="str">
        <f ca="1">IF(OR(INDEX($AG$2:$AG$1001,MATCH(ROWS($AF$2:AF831),$AF$2:$AF$1001,0),1)&gt;=100000,INDEX($AM$1005:$BM$1005,1,MATCH(COLUMNS($AM$1006:AN1006),$AM$1006:$BM$1006,0))&gt;=100000), " ",IF(INDEX($AM$2:$BM$1001,MATCH(ROWS($AF$2:AF831),$AF$2:$AF$1001,0),MATCH(COLUMNS($AM$1006:AN1006),$AM$1006:$BM$1006,0)), HYPERLINK("#",""), HYPERLINK(CONCATENATE("#metadata!", ADDRESS(INDEX($AH$2:$AH$1001,MATCH(ROWS($AF$2:AF831),$AF$2:$AF$1001,0),0), INDEX($AM$1004:$BM$1004,1,MATCH(COLUMNS($AM$1006:AN1006),$AM$1006:$BM$1006,0)))),"Fix")))</f>
        <v xml:space="preserve"> </v>
      </c>
      <c r="D831" s="4" t="str">
        <f ca="1">IF(OR(INDEX($AG$2:$AG$1001,MATCH(ROWS($AF$2:AF831),$AF$2:$AF$1001,0),1)&gt;=100000,INDEX($AM$1005:$BM$1005,1,MATCH(COLUMNS($AM$1006:AO1006),$AM$1006:$BM$1006,0))&gt;=100000), " ",IF(INDEX($AM$2:$BM$1001,MATCH(ROWS($AF$2:AF831),$AF$2:$AF$1001,0),MATCH(COLUMNS($AM$1006:AO1006),$AM$1006:$BM$1006,0)), HYPERLINK("#",""), HYPERLINK(CONCATENATE("#metadata!", ADDRESS(INDEX($AH$2:$AH$1001,MATCH(ROWS($AF$2:AF831),$AF$2:$AF$1001,0),0), INDEX($AM$1004:$BM$1004,1,MATCH(COLUMNS($AM$1006:AO1006),$AM$1006:$BM$1006,0)))),"Fix")))</f>
        <v xml:space="preserve"> </v>
      </c>
      <c r="E831" s="4" t="str">
        <f ca="1">IF(OR(INDEX($AG$2:$AG$1001,MATCH(ROWS($AF$2:AF831),$AF$2:$AF$1001,0),1)&gt;=100000,INDEX($AM$1005:$BM$1005,1,MATCH(COLUMNS($AM$1006:AP1006),$AM$1006:$BM$1006,0))&gt;=100000), " ",IF(INDEX($AM$2:$BM$1001,MATCH(ROWS($AF$2:AF831),$AF$2:$AF$1001,0),MATCH(COLUMNS($AM$1006:AP1006),$AM$1006:$BM$1006,0)), HYPERLINK("#",""), HYPERLINK(CONCATENATE("#metadata!", ADDRESS(INDEX($AH$2:$AH$1001,MATCH(ROWS($AF$2:AF831),$AF$2:$AF$1001,0),0), INDEX($AM$1004:$BM$1004,1,MATCH(COLUMNS($AM$1006:AP1006),$AM$1006:$BM$1006,0)))),"Fix")))</f>
        <v xml:space="preserve"> </v>
      </c>
      <c r="F831" s="4" t="str">
        <f ca="1">IF(OR(INDEX($AG$2:$AG$1001,MATCH(ROWS($AF$2:AF831),$AF$2:$AF$1001,0),1)&gt;=100000,INDEX($AM$1005:$BM$1005,1,MATCH(COLUMNS($AM$1006:AQ1006),$AM$1006:$BM$1006,0))&gt;=100000), " ",IF(INDEX($AM$2:$BM$1001,MATCH(ROWS($AF$2:AF831),$AF$2:$AF$1001,0),MATCH(COLUMNS($AM$1006:AQ1006),$AM$1006:$BM$1006,0)), HYPERLINK("#",""), HYPERLINK(CONCATENATE("#metadata!", ADDRESS(INDEX($AH$2:$AH$1001,MATCH(ROWS($AF$2:AF831),$AF$2:$AF$1001,0),0), INDEX($AM$1004:$BM$1004,1,MATCH(COLUMNS($AM$1006:AQ1006),$AM$1006:$BM$1006,0)))),"Fix")))</f>
        <v xml:space="preserve"> </v>
      </c>
      <c r="G831" s="4" t="str">
        <f ca="1">IF(OR(INDEX($AG$2:$AG$1001,MATCH(ROWS($AF$2:AF831),$AF$2:$AF$1001,0),1)&gt;=100000,INDEX($AM$1005:$BM$1005,1,MATCH(COLUMNS($AM$1006:AR1006),$AM$1006:$BM$1006,0))&gt;=100000), " ",IF(INDEX($AM$2:$BM$1001,MATCH(ROWS($AF$2:AF831),$AF$2:$AF$1001,0),MATCH(COLUMNS($AM$1006:AR1006),$AM$1006:$BM$1006,0)), HYPERLINK("#",""), HYPERLINK(CONCATENATE("#metadata!", ADDRESS(INDEX($AH$2:$AH$1001,MATCH(ROWS($AF$2:AF831),$AF$2:$AF$1001,0),0), INDEX($AM$1004:$BM$1004,1,MATCH(COLUMNS($AM$1006:AR1006),$AM$1006:$BM$1006,0)))),"Fix")))</f>
        <v xml:space="preserve"> </v>
      </c>
      <c r="H831" s="4" t="str">
        <f ca="1">IF(OR(INDEX($AG$2:$AG$1001,MATCH(ROWS($AF$2:AF831),$AF$2:$AF$1001,0),1)&gt;=100000,INDEX($AM$1005:$BM$1005,1,MATCH(COLUMNS($AM$1006:AS1006),$AM$1006:$BM$1006,0))&gt;=100000), " ",IF(INDEX($AM$2:$BM$1001,MATCH(ROWS($AF$2:AF831),$AF$2:$AF$1001,0),MATCH(COLUMNS($AM$1006:AS1006),$AM$1006:$BM$1006,0)), HYPERLINK("#",""), HYPERLINK(CONCATENATE("#metadata!", ADDRESS(INDEX($AH$2:$AH$1001,MATCH(ROWS($AF$2:AF831),$AF$2:$AF$1001,0),0), INDEX($AM$1004:$BM$1004,1,MATCH(COLUMNS($AM$1006:AS1006),$AM$1006:$BM$1006,0)))),"Fix")))</f>
        <v xml:space="preserve"> </v>
      </c>
      <c r="I831" s="4" t="str">
        <f ca="1">IF(OR(INDEX($AG$2:$AG$1001,MATCH(ROWS($AF$2:AF831),$AF$2:$AF$1001,0),1)&gt;=100000,INDEX($AM$1005:$BM$1005,1,MATCH(COLUMNS($AM$1006:AT1006),$AM$1006:$BM$1006,0))&gt;=100000), " ",IF(INDEX($AM$2:$BM$1001,MATCH(ROWS($AF$2:AF831),$AF$2:$AF$1001,0),MATCH(COLUMNS($AM$1006:AT1006),$AM$1006:$BM$1006,0)), HYPERLINK("#",""), HYPERLINK(CONCATENATE("#metadata!", ADDRESS(INDEX($AH$2:$AH$1001,MATCH(ROWS($AF$2:AF831),$AF$2:$AF$1001,0),0), INDEX($AM$1004:$BM$1004,1,MATCH(COLUMNS($AM$1006:AT1006),$AM$1006:$BM$1006,0)))),"Fix")))</f>
        <v xml:space="preserve"> </v>
      </c>
      <c r="J831" s="4" t="str">
        <f ca="1">IF(OR(INDEX($AG$2:$AG$1001,MATCH(ROWS($AF$2:AF831),$AF$2:$AF$1001,0),1)&gt;=100000,INDEX($AM$1005:$BM$1005,1,MATCH(COLUMNS($AM$1006:AU1006),$AM$1006:$BM$1006,0))&gt;=100000), " ",IF(INDEX($AM$2:$BM$1001,MATCH(ROWS($AF$2:AF831),$AF$2:$AF$1001,0),MATCH(COLUMNS($AM$1006:AU1006),$AM$1006:$BM$1006,0)), HYPERLINK("#",""), HYPERLINK(CONCATENATE("#metadata!", ADDRESS(INDEX($AH$2:$AH$1001,MATCH(ROWS($AF$2:AF831),$AF$2:$AF$1001,0),0), INDEX($AM$1004:$BM$1004,1,MATCH(COLUMNS($AM$1006:AU1006),$AM$1006:$BM$1006,0)))),"Fix")))</f>
        <v xml:space="preserve"> </v>
      </c>
      <c r="K831" s="4" t="str">
        <f ca="1">IF(OR(INDEX($AG$2:$AG$1001,MATCH(ROWS($AF$2:AF831),$AF$2:$AF$1001,0),1)&gt;=100000,INDEX($AM$1005:$BM$1005,1,MATCH(COLUMNS($AM$1006:AV1006),$AM$1006:$BM$1006,0))&gt;=100000), " ",IF(INDEX($AM$2:$BM$1001,MATCH(ROWS($AF$2:AF831),$AF$2:$AF$1001,0),MATCH(COLUMNS($AM$1006:AV1006),$AM$1006:$BM$1006,0)), HYPERLINK("#",""), HYPERLINK(CONCATENATE("#metadata!", ADDRESS(INDEX($AH$2:$AH$1001,MATCH(ROWS($AF$2:AF831),$AF$2:$AF$1001,0),0), INDEX($AM$1004:$BM$1004,1,MATCH(COLUMNS($AM$1006:AV1006),$AM$1006:$BM$1006,0)))),"Fix")))</f>
        <v xml:space="preserve"> </v>
      </c>
      <c r="L831" s="4" t="str">
        <f ca="1">IF(OR(INDEX($AG$2:$AG$1001,MATCH(ROWS($AF$2:AF831),$AF$2:$AF$1001,0),1)&gt;=100000,INDEX($AM$1005:$BM$1005,1,MATCH(COLUMNS($AM$1006:AW1006),$AM$1006:$BM$1006,0))&gt;=100000), " ",IF(INDEX($AM$2:$BM$1001,MATCH(ROWS($AF$2:AF831),$AF$2:$AF$1001,0),MATCH(COLUMNS($AM$1006:AW1006),$AM$1006:$BM$1006,0)), HYPERLINK("#",""), HYPERLINK(CONCATENATE("#metadata!", ADDRESS(INDEX($AH$2:$AH$1001,MATCH(ROWS($AF$2:AF831),$AF$2:$AF$1001,0),0), INDEX($AM$1004:$BM$1004,1,MATCH(COLUMNS($AM$1006:AW1006),$AM$1006:$BM$1006,0)))),"Fix")))</f>
        <v xml:space="preserve"> </v>
      </c>
      <c r="M831" s="4" t="str">
        <f ca="1">IF(OR(INDEX($AG$2:$AG$1001,MATCH(ROWS($AF$2:AF831),$AF$2:$AF$1001,0),1)&gt;=100000,INDEX($AM$1005:$BM$1005,1,MATCH(COLUMNS($AM$1006:AX1006),$AM$1006:$BM$1006,0))&gt;=100000), " ",IF(INDEX($AM$2:$BM$1001,MATCH(ROWS($AF$2:AF831),$AF$2:$AF$1001,0),MATCH(COLUMNS($AM$1006:AX1006),$AM$1006:$BM$1006,0)), HYPERLINK("#",""), HYPERLINK(CONCATENATE("#metadata!", ADDRESS(INDEX($AH$2:$AH$1001,MATCH(ROWS($AF$2:AF831),$AF$2:$AF$1001,0),0), INDEX($AM$1004:$BM$1004,1,MATCH(COLUMNS($AM$1006:AX1006),$AM$1006:$BM$1006,0)))),"Fix")))</f>
        <v xml:space="preserve"> </v>
      </c>
      <c r="N831" s="4" t="str">
        <f ca="1">IF(OR(INDEX($AG$2:$AG$1001,MATCH(ROWS($AF$2:AF831),$AF$2:$AF$1001,0),1)&gt;=100000,INDEX($AM$1005:$BM$1005,1,MATCH(COLUMNS($AM$1006:AY1006),$AM$1006:$BM$1006,0))&gt;=100000), " ",IF(INDEX($AM$2:$BM$1001,MATCH(ROWS($AF$2:AF831),$AF$2:$AF$1001,0),MATCH(COLUMNS($AM$1006:AY1006),$AM$1006:$BM$1006,0)), HYPERLINK("#",""), HYPERLINK(CONCATENATE("#metadata!", ADDRESS(INDEX($AH$2:$AH$1001,MATCH(ROWS($AF$2:AF831),$AF$2:$AF$1001,0),0), INDEX($AM$1004:$BM$1004,1,MATCH(COLUMNS($AM$1006:AY1006),$AM$1006:$BM$1006,0)))),"Fix")))</f>
        <v xml:space="preserve"> </v>
      </c>
      <c r="O831" s="4" t="str">
        <f ca="1">IF(OR(INDEX($AG$2:$AG$1001,MATCH(ROWS($AF$2:AF831),$AF$2:$AF$1001,0),1)&gt;=100000,INDEX($AM$1005:$BM$1005,1,MATCH(COLUMNS($AM$1006:AZ1006),$AM$1006:$BM$1006,0))&gt;=100000), " ",IF(INDEX($AM$2:$BM$1001,MATCH(ROWS($AF$2:AF831),$AF$2:$AF$1001,0),MATCH(COLUMNS($AM$1006:AZ1006),$AM$1006:$BM$1006,0)), HYPERLINK("#",""), HYPERLINK(CONCATENATE("#metadata!", ADDRESS(INDEX($AH$2:$AH$1001,MATCH(ROWS($AF$2:AF831),$AF$2:$AF$1001,0),0), INDEX($AM$1004:$BM$1004,1,MATCH(COLUMNS($AM$1006:AZ1006),$AM$1006:$BM$1006,0)))),"Fix")))</f>
        <v xml:space="preserve"> </v>
      </c>
      <c r="P831" s="4" t="str">
        <f ca="1">IF(OR(INDEX($AG$2:$AG$1001,MATCH(ROWS($AF$2:AF831),$AF$2:$AF$1001,0),1)&gt;=100000,INDEX($AM$1005:$BM$1005,1,MATCH(COLUMNS($AM$1006:BA1006),$AM$1006:$BM$1006,0))&gt;=100000), " ",IF(INDEX($AM$2:$BM$1001,MATCH(ROWS($AF$2:AF831),$AF$2:$AF$1001,0),MATCH(COLUMNS($AM$1006:BA1006),$AM$1006:$BM$1006,0)), HYPERLINK("#",""), HYPERLINK(CONCATENATE("#metadata!", ADDRESS(INDEX($AH$2:$AH$1001,MATCH(ROWS($AF$2:AF831),$AF$2:$AF$1001,0),0), INDEX($AM$1004:$BM$1004,1,MATCH(COLUMNS($AM$1006:BA1006),$AM$1006:$BM$1006,0)))),"Fix")))</f>
        <v xml:space="preserve"> </v>
      </c>
      <c r="Q831" s="4" t="str">
        <f ca="1">IF(OR(INDEX($AG$2:$AG$1001,MATCH(ROWS($AF$2:AF831),$AF$2:$AF$1001,0),1)&gt;=100000,INDEX($AM$1005:$BM$1005,1,MATCH(COLUMNS($AM$1006:BB1006),$AM$1006:$BM$1006,0))&gt;=100000), " ",IF(INDEX($AM$2:$BM$1001,MATCH(ROWS($AF$2:AF831),$AF$2:$AF$1001,0),MATCH(COLUMNS($AM$1006:BB1006),$AM$1006:$BM$1006,0)), HYPERLINK("#",""), HYPERLINK(CONCATENATE("#metadata!", ADDRESS(INDEX($AH$2:$AH$1001,MATCH(ROWS($AF$2:AF831),$AF$2:$AF$1001,0),0), INDEX($AM$1004:$BM$1004,1,MATCH(COLUMNS($AM$1006:BB1006),$AM$1006:$BM$1006,0)))),"Fix")))</f>
        <v xml:space="preserve"> </v>
      </c>
      <c r="R831" s="4" t="str">
        <f ca="1">IF(OR(INDEX($AG$2:$AG$1001,MATCH(ROWS($AF$2:AF831),$AF$2:$AF$1001,0),1)&gt;=100000,INDEX($AM$1005:$BM$1005,1,MATCH(COLUMNS($AM$1006:BC1006),$AM$1006:$BM$1006,0))&gt;=100000), " ",IF(INDEX($AM$2:$BM$1001,MATCH(ROWS($AF$2:AF831),$AF$2:$AF$1001,0),MATCH(COLUMNS($AM$1006:BC1006),$AM$1006:$BM$1006,0)), HYPERLINK("#",""), HYPERLINK(CONCATENATE("#metadata!", ADDRESS(INDEX($AH$2:$AH$1001,MATCH(ROWS($AF$2:AF831),$AF$2:$AF$1001,0),0), INDEX($AM$1004:$BM$1004,1,MATCH(COLUMNS($AM$1006:BC1006),$AM$1006:$BM$1006,0)))),"Fix")))</f>
        <v xml:space="preserve"> </v>
      </c>
      <c r="S831" s="4" t="str">
        <f ca="1">IF(OR(INDEX($AG$2:$AG$1001,MATCH(ROWS($AF$2:AF831),$AF$2:$AF$1001,0),1)&gt;=100000,INDEX($AM$1005:$BM$1005,1,MATCH(COLUMNS($AM$1006:BD1006),$AM$1006:$BM$1006,0))&gt;=100000), " ",IF(INDEX($AM$2:$BM$1001,MATCH(ROWS($AF$2:AF831),$AF$2:$AF$1001,0),MATCH(COLUMNS($AM$1006:BD1006),$AM$1006:$BM$1006,0)), HYPERLINK("#",""), HYPERLINK(CONCATENATE("#metadata!", ADDRESS(INDEX($AH$2:$AH$1001,MATCH(ROWS($AF$2:AF831),$AF$2:$AF$1001,0),0), INDEX($AM$1004:$BM$1004,1,MATCH(COLUMNS($AM$1006:BD1006),$AM$1006:$BM$1006,0)))),"Fix")))</f>
        <v xml:space="preserve"> </v>
      </c>
      <c r="T831" s="4" t="str">
        <f ca="1">IF(OR(INDEX($AG$2:$AG$1001,MATCH(ROWS($AF$2:AF831),$AF$2:$AF$1001,0),1)&gt;=100000,INDEX($AM$1005:$BM$1005,1,MATCH(COLUMNS($AM$1006:BE1006),$AM$1006:$BM$1006,0))&gt;=100000), " ",IF(INDEX($AM$2:$BM$1001,MATCH(ROWS($AF$2:AF831),$AF$2:$AF$1001,0),MATCH(COLUMNS($AM$1006:BE1006),$AM$1006:$BM$1006,0)), HYPERLINK("#",""), HYPERLINK(CONCATENATE("#metadata!", ADDRESS(INDEX($AH$2:$AH$1001,MATCH(ROWS($AF$2:AF831),$AF$2:$AF$1001,0),0), INDEX($AM$1004:$BM$1004,1,MATCH(COLUMNS($AM$1006:BE1006),$AM$1006:$BM$1006,0)))),"Fix")))</f>
        <v xml:space="preserve"> </v>
      </c>
      <c r="U831" s="4" t="str">
        <f ca="1">IF(OR(INDEX($AG$2:$AG$1001,MATCH(ROWS($AF$2:AF831),$AF$2:$AF$1001,0),1)&gt;=100000,INDEX($AM$1005:$BM$1005,1,MATCH(COLUMNS($AM$1006:BF1006),$AM$1006:$BM$1006,0))&gt;=100000), " ",IF(INDEX($AM$2:$BM$1001,MATCH(ROWS($AF$2:AF831),$AF$2:$AF$1001,0),MATCH(COLUMNS($AM$1006:BF1006),$AM$1006:$BM$1006,0)), HYPERLINK("#",""), HYPERLINK(CONCATENATE("#metadata!", ADDRESS(INDEX($AH$2:$AH$1001,MATCH(ROWS($AF$2:AF831),$AF$2:$AF$1001,0),0), INDEX($AM$1004:$BM$1004,1,MATCH(COLUMNS($AM$1006:BF1006),$AM$1006:$BM$1006,0)))),"Fix")))</f>
        <v xml:space="preserve"> </v>
      </c>
      <c r="V831" s="4" t="str">
        <f ca="1">IF(OR(INDEX($AG$2:$AG$1001,MATCH(ROWS($AF$2:AF831),$AF$2:$AF$1001,0),1)&gt;=100000,INDEX($AM$1005:$BM$1005,1,MATCH(COLUMNS($AM$1006:BG1006),$AM$1006:$BM$1006,0))&gt;=100000), " ",IF(INDEX($AM$2:$BM$1001,MATCH(ROWS($AF$2:AF831),$AF$2:$AF$1001,0),MATCH(COLUMNS($AM$1006:BG1006),$AM$1006:$BM$1006,0)), HYPERLINK("#",""), HYPERLINK(CONCATENATE("#metadata!", ADDRESS(INDEX($AH$2:$AH$1001,MATCH(ROWS($AF$2:AF831),$AF$2:$AF$1001,0),0), INDEX($AM$1004:$BM$1004,1,MATCH(COLUMNS($AM$1006:BG1006),$AM$1006:$BM$1006,0)))),"Fix")))</f>
        <v xml:space="preserve"> </v>
      </c>
      <c r="W831" s="4" t="str">
        <f ca="1">IF(OR(INDEX($AG$2:$AG$1001,MATCH(ROWS($AF$2:AF831),$AF$2:$AF$1001,0),1)&gt;=100000,INDEX($AM$1005:$BM$1005,1,MATCH(COLUMNS($AM$1006:BH1006),$AM$1006:$BM$1006,0))&gt;=100000), " ",IF(INDEX($AM$2:$BM$1001,MATCH(ROWS($AF$2:AF831),$AF$2:$AF$1001,0),MATCH(COLUMNS($AM$1006:BH1006),$AM$1006:$BM$1006,0)), HYPERLINK("#",""), HYPERLINK(CONCATENATE("#metadata!", ADDRESS(INDEX($AH$2:$AH$1001,MATCH(ROWS($AF$2:AF831),$AF$2:$AF$1001,0),0), INDEX($AM$1004:$BM$1004,1,MATCH(COLUMNS($AM$1006:BH1006),$AM$1006:$BM$1006,0)))),"Fix")))</f>
        <v xml:space="preserve"> </v>
      </c>
      <c r="X831" s="4" t="str">
        <f ca="1">IF(OR(INDEX($AG$2:$AG$1001,MATCH(ROWS($AF$2:AF831),$AF$2:$AF$1001,0),1)&gt;=100000,INDEX($AM$1005:$BM$1005,1,MATCH(COLUMNS($AM$1006:BI1006),$AM$1006:$BM$1006,0))&gt;=100000), " ",IF(INDEX($AM$2:$BM$1001,MATCH(ROWS($AF$2:AF831),$AF$2:$AF$1001,0),MATCH(COLUMNS($AM$1006:BI1006),$AM$1006:$BM$1006,0)), HYPERLINK("#",""), HYPERLINK(CONCATENATE("#metadata!", ADDRESS(INDEX($AH$2:$AH$1001,MATCH(ROWS($AF$2:AF831),$AF$2:$AF$1001,0),0), INDEX($AM$1004:$BM$1004,1,MATCH(COLUMNS($AM$1006:BI1006),$AM$1006:$BM$1006,0)))),"Fix")))</f>
        <v xml:space="preserve"> </v>
      </c>
      <c r="Y831" s="4" t="str">
        <f ca="1">IF(OR(INDEX($AG$2:$AG$1001,MATCH(ROWS($AF$2:AF831),$AF$2:$AF$1001,0),1)&gt;=100000,INDEX($AM$1005:$BM$1005,1,MATCH(COLUMNS($AM$1006:BJ1006),$AM$1006:$BM$1006,0))&gt;=100000), " ",IF(INDEX($AM$2:$BM$1001,MATCH(ROWS($AF$2:AF831),$AF$2:$AF$1001,0),MATCH(COLUMNS($AM$1006:BJ1006),$AM$1006:$BM$1006,0)), HYPERLINK("#",""), HYPERLINK(CONCATENATE("#metadata!", ADDRESS(INDEX($AH$2:$AH$1001,MATCH(ROWS($AF$2:AF831),$AF$2:$AF$1001,0),0), INDEX($AM$1004:$BM$1004,1,MATCH(COLUMNS($AM$1006:BJ1006),$AM$1006:$BM$1006,0)))),"Fix")))</f>
        <v xml:space="preserve"> </v>
      </c>
      <c r="Z831" s="4" t="str">
        <f ca="1">IF(OR(INDEX($AG$2:$AG$1001,MATCH(ROWS($AF$2:AF831),$AF$2:$AF$1001,0),1)&gt;=100000,INDEX($AM$1005:$BM$1005,1,MATCH(COLUMNS($AM$1006:BK1006),$AM$1006:$BM$1006,0))&gt;=100000), " ",IF(INDEX($AM$2:$BM$1001,MATCH(ROWS($AF$2:AF831),$AF$2:$AF$1001,0),MATCH(COLUMNS($AM$1006:BK1006),$AM$1006:$BM$1006,0)), HYPERLINK("#",""), HYPERLINK(CONCATENATE("#metadata!", ADDRESS(INDEX($AH$2:$AH$1001,MATCH(ROWS($AF$2:AF831),$AF$2:$AF$1001,0),0), INDEX($AM$1004:$BM$1004,1,MATCH(COLUMNS($AM$1006:BK1006),$AM$1006:$BM$1006,0)))),"Fix")))</f>
        <v xml:space="preserve"> </v>
      </c>
      <c r="AA831" s="4" t="str">
        <f ca="1">IF(OR(INDEX($AG$2:$AG$1001,MATCH(ROWS($AF$2:AF831),$AF$2:$AF$1001,0),1)&gt;=100000,INDEX($AM$1005:$BM$1005,1,MATCH(COLUMNS($AM$1006:BL1006),$AM$1006:$BM$1006,0))&gt;=100000), " ",IF(INDEX($AM$2:$BM$1001,MATCH(ROWS($AF$2:AF831),$AF$2:$AF$1001,0),MATCH(COLUMNS($AM$1006:BL1006),$AM$1006:$BM$1006,0)), HYPERLINK("#",""), HYPERLINK(CONCATENATE("#metadata!", ADDRESS(INDEX($AH$2:$AH$1001,MATCH(ROWS($AF$2:AF831),$AF$2:$AF$1001,0),0), INDEX($AM$1004:$BM$1004,1,MATCH(COLUMNS($AM$1006:BL1006),$AM$1006:$BM$1006,0)))),"Fix")))</f>
        <v xml:space="preserve"> </v>
      </c>
      <c r="AB831" s="4" t="str">
        <f ca="1">IF(OR(INDEX($AG$2:$AG$1001,MATCH(ROWS($AF$2:AF831),$AF$2:$AF$1001,0),1)&gt;=100000,INDEX($AM$1005:$BM$1005,1,MATCH(COLUMNS($AM$1006:BM1006),$AM$1006:$BM$1006,0))&gt;=100000), " ",IF(INDEX($AM$2:$BM$1001,MATCH(ROWS($AF$2:AF831),$AF$2:$AF$1001,0),MATCH(COLUMNS($AM$1006:BM1006),$AM$1006:$BM$1006,0)), HYPERLINK("#",""), HYPERLINK(CONCATENATE("#metadata!", ADDRESS(INDEX($AH$2:$AH$1001,MATCH(ROWS($AF$2:AF831),$AF$2:$AF$1001,0),0), INDEX($AM$1004:$BM$1004,1,MATCH(COLUMNS($AM$1006:BM1006),$AM$1006:$BM$1006,0)))),"Fix")))</f>
        <v xml:space="preserve"> </v>
      </c>
      <c r="AF831">
        <v>830</v>
      </c>
      <c r="AG831">
        <v>100831</v>
      </c>
      <c r="AH831">
        <v>831</v>
      </c>
      <c r="AI831" t="b">
        <f t="shared" si="12"/>
        <v>1</v>
      </c>
      <c r="AJ831" t="b">
        <f>COUNTBLANK(metadata!B831:AB831)=COLUMNS(metadata!B831:AB831)</f>
        <v>1</v>
      </c>
      <c r="AK831" t="str">
        <v/>
      </c>
      <c r="AM831" t="b">
        <f ca="1">AND(IF(metadata!B831="",FALSE,TRUE),COUNTIF(metadata!B:B, metadata!B831) = 1,NOT(ISERROR(SUMPRODUCT(SEARCH(MID(metadata!B831,ROW(INDIRECT("1:"&amp;LEN(metadata!B831))), 1),"0123456789abcdefghijklmnopqrstuvwxyzABCDEFGHIJKLMNOPQRSTUVWXYZ.")))))</f>
        <v>0</v>
      </c>
      <c r="AN831" t="b">
        <f ca="1">OR(AND(IF(metadata!C831="",FALSE,TRUE),OR(EXACT(metadata!C831,"missing: not collected"),EXACT(metadata!C831,"missing: not provided"),EXACT(metadata!C831,"missing: restricted access"))),AND(IF(metadata!C831="",FALSE,TRUE),AND(AND(IFERROR(INT(LEFT(metadata!C831,4))&gt;1900,FALSE),IFERROR(INT(LEFT(metadata!C831,4))&lt;=YEAR(NOW()),FALSE)), OR(MID(metadata!C831,5,1)="", AND(AND(MID(metadata!C831,5,1)="-",IFERROR(INT(MID(metadata!C831,6,1))&gt;=0,FALSE),IFERROR(INT(MID(metadata!C831,6,1))&lt;=1,FALSE),NOT(MID(metadata!C831,7,1)=""),IFERROR(INT(MID(metadata!C831,6,2))&gt;=1,FALSE),IFERROR(INT(MID(metadata!C831,6,2))&lt;=12,FALSE)), OR(MID(metadata!C831,8,1)="", AND(AND(MID(metadata!C831,8,1)="-",IFERROR(INT(MID(metadata!C831,9,1))&gt;=0,FALSE),IFERROR(INT(MID(metadata!C831,9,1))&lt;=3,FALSE),NOT(MID(metadata!C831,10,1)=""),IFERROR(INT(MID(metadata!C831,9,2))&gt;=1,FALSE),IFERROR(INT(MID(metadata!C831,9,2))&lt;=31,FALSE)), OR(MID(metadata!C831,11,1)="", AND(AND(MID(metadata!C831,11,1)=" ",IFERROR(INT(MID(metadata!C831,12,1))&gt;=0,FALSE),IFERROR(INT(MID(metadata!C831,12,1))&lt;=2,FALSE),NOT(MID(metadata!C831,13,1)=""),IFERROR(INT(MID(metadata!C831,12,2))&gt;=0,FALSE),IFERROR(INT(MID(metadata!C831,12,2))&lt;=23,FALSE)), OR(MID(metadata!C831,14,1)="", AND(AND(MID(metadata!C831,14,1)=":",IFERROR(INT(MID(metadata!C831,15,1))&gt;=0,FALSE),IFERROR(INT(MID(metadata!C831,15,1))&lt;=5,FALSE),NOT(MID(metadata!C831,16,1)=""),IFERROR(INT(MID(metadata!C831,15,2))&gt;=0,FALSE),IFERROR(INT(MID(metadata!C831,15,2))&lt;=59,FALSE)), OR(MID(metadata!C831,17,1)="", AND(AND(MID(metadata!C831,17,1)=":",IFERROR(INT(MID(metadata!C831,18,1))&gt;=0,FALSE),IFERROR(INT(MID(metadata!C831,18,1))&lt;=5,FALSE),NOT(MID(metadata!C831,19,1)=""),IFERROR(INT(MID(metadata!C831,18,2))&gt;=0,FALSE),IFERROR(INT(MID(metadata!C831,18,2))&lt;=59,FALSE)), LEN(metadata!C831)&lt;=19)))))))))))))</f>
        <v>0</v>
      </c>
      <c r="AO831" t="b">
        <f>AND(IF(metadata!D831="",FALSE,TRUE),EXACT(metadata!D831,"Not applicable"))</f>
        <v>0</v>
      </c>
      <c r="AP831" t="b">
        <f>IF(metadata!E831="",FALSE,TRUE)</f>
        <v>0</v>
      </c>
      <c r="AQ831" t="b">
        <f>OR(AND(IF(metadata!F831="",FALSE,TRUE),OR(EXACT(metadata!F831,"missing: not collected"),EXACT(metadata!F831,"missing: not provided"))),AND(IF(metadata!F831="",FALSE,TRUE),OR(EXACT(metadata!F831,"TRUE"),EXACT(metadata!F831,"FALSE"))))</f>
        <v>0</v>
      </c>
      <c r="AR831" t="b">
        <f>OR(AND(IF(metadata!G831="",FALSE,TRUE),OR(EXACT(metadata!G831,"missing: not collected"),EXACT(metadata!G831,"missing: not provided"),EXACT(metadata!G831,"missing: restricted access"))),AND(IF(metadata!G831="",FALSE,ISNUMBER(VALUE(metadata!G831))),metadata!G831&gt;=-413))</f>
        <v>0</v>
      </c>
      <c r="AS831" t="b">
        <f>AND(IF(metadata!H831="",FALSE,TRUE),EXACT(metadata!H831,"meters"))</f>
        <v>0</v>
      </c>
      <c r="AT831" t="b">
        <f>AND(IF(metadata!I831="",FALSE,TRUE),OR(EXACT(metadata!I831,"Host-associated"),EXACT(metadata!I831,"Free-living")))</f>
        <v>0</v>
      </c>
      <c r="AU831" t="b">
        <f>AND(IF(metadata!J831="",FALSE,TRUE),OR(EXACT(metadata!J831,"Animal"),EXACT(metadata!J831,"Fungus"),EXACT(metadata!J831,"Plant"),EXACT(metadata!J831,"Saline"),EXACT(metadata!J831,"Non-saline")))</f>
        <v>0</v>
      </c>
      <c r="AV831" t="b">
        <f>AND(IF(metadata!K831="",FALSE,TRUE),OR(EXACT(metadata!K831,"Plant secretion"),EXACT(metadata!K831,"Plant rhizosphere"),EXACT(metadata!K831,"Plant surface"),EXACT(metadata!K831,"Plant corpus"),EXACT(metadata!K831,"Fungus surface"),EXACT(metadata!K831,"Fungus corpus"),EXACT(metadata!K831,"Animal surface"),EXACT(metadata!K831,"Animal proximal gut"),EXACT(metadata!K831,"Animal corpus"),EXACT(metadata!K831,"Animal distal gut"),EXACT(metadata!K831,"Animal secretion"),EXACT(metadata!K831,"Sub-surface (non-saline)"),EXACT(metadata!K831,"Surface (non-saline)"),EXACT(metadata!K831,"Water (non-saline)"),EXACT(metadata!K831,"Soil (non-saline)"),EXACT(metadata!K831,"Aerosol (non-saline)"),EXACT(metadata!K831,"Sediment (non-saline)"),EXACT(metadata!K831,"Surface (saline)"),EXACT(metadata!K831,"Water (saline)"),EXACT(metadata!K831,"Hypersaline (saline)"),EXACT(metadata!K831,"Aerosol (saline)"),EXACT(metadata!K831,"Sediment (saline)")))</f>
        <v>0</v>
      </c>
      <c r="AW831" t="b">
        <f>IF(metadata!L831="",FALSE,TRUE)</f>
        <v>0</v>
      </c>
      <c r="AX831" t="b">
        <f>IF(metadata!M831="",FALSE,TRUE)</f>
        <v>0</v>
      </c>
      <c r="AY831" t="b">
        <f>IF(metadata!N831="",FALSE,TRUE)</f>
        <v>0</v>
      </c>
      <c r="AZ831" t="b">
        <f>OR(AND(IF(metadata!O831="",FALSE,TRUE),OR(EXACT(metadata!O831,"missing: not collected"),EXACT(metadata!O831,"missing: not provided"),EXACT(metadata!O831,"missing: restricted access"))),AND(IF(metadata!O831="",FALSE,TRUE),OR(EXACT(metadata!O831,"air"),EXACT(metadata!O831,"built environment"),EXACT(metadata!O831,"host-associated"),EXACT(metadata!O831,"human-associated"),EXACT(metadata!O831,"human-skin"),EXACT(metadata!O831,"human-oral"),EXACT(metadata!O831,"human-gut"),EXACT(metadata!O831,"human-vaginal"),EXACT(metadata!O831,"microbial mat/biofilm"),EXACT(metadata!O831,"misc environment"),EXACT(metadata!O831,"plant-associated"),EXACT(metadata!O831,"sediment"),EXACT(metadata!O831,"soil"),EXACT(metadata!O831,"wastewater/sludge"),EXACT(metadata!O831,"water"))))</f>
        <v>0</v>
      </c>
      <c r="BA831" t="b">
        <f>IF(metadata!P831="",FALSE,TRUE)</f>
        <v>0</v>
      </c>
      <c r="BB831" t="b">
        <f>IF(metadata!Q831="",FALSE,TRUE)</f>
        <v>0</v>
      </c>
      <c r="BC831" t="b">
        <f>OR(AND(IF(metadata!R831="",FALSE,TRUE),OR(EXACT(metadata!R831,"missing: not collected"),EXACT(metadata!R831,"missing: not provided"),EXACT(metadata!R831,"missing: restricted access"))),AND(IF(metadata!R831="",FALSE,ISNUMBER(VALUE(metadata!R831))),metadata!R831&gt;=-90,metadata!R831&lt;=90))</f>
        <v>0</v>
      </c>
      <c r="BD831" t="b">
        <f>AND(IF(metadata!S831="",FALSE,TRUE),EXACT(metadata!S831,"Decimal degrees"))</f>
        <v>0</v>
      </c>
      <c r="BE831" t="b">
        <f>OR(AND(IF(metadata!T831="",FALSE,TRUE),OR(EXACT(metadata!T831,"missing: not collected"),EXACT(metadata!T831,"missing: not provided"),EXACT(metadata!T831,"missing: restricted access"))),AND(IF(metadata!T831="",FALSE,ISNUMBER(VALUE(metadata!T831))),metadata!T831&gt;=-180,metadata!T831&lt;=180))</f>
        <v>0</v>
      </c>
      <c r="BF831" t="b">
        <f>AND(IF(metadata!U831="",FALSE,TRUE),EXACT(metadata!U831,"Decimal degrees"))</f>
        <v>0</v>
      </c>
      <c r="BG831" t="b">
        <f>IF(metadata!V831="",FALSE,TRUE)</f>
        <v>0</v>
      </c>
      <c r="BH831" t="b">
        <f>OR(AND(IF(metadata!W831="",FALSE,TRUE),OR(EXACT(metadata!W831,"missing: not collected"),EXACT(metadata!W831,"missing: not provided"),EXACT(metadata!W831,"missing: restricted access"))),AND(IF(metadata!W831="",FALSE,TRUE),OR(EXACT(metadata!W831,"TRUE"),EXACT(metadata!W831,"FALSE"))))</f>
        <v>0</v>
      </c>
      <c r="BI831" t="b">
        <f>AND(IF(metadata!X831="",FALSE,TRUE),EXACT(metadata!X831,"other"))</f>
        <v>0</v>
      </c>
      <c r="BJ831" t="b">
        <f>IF(metadata!Y831="",FALSE,TRUE)</f>
        <v>0</v>
      </c>
      <c r="BK831" t="b">
        <f>OR(AND(IF(metadata!Z831="",FALSE,TRUE),OR(EXACT(metadata!Z831,"missing: not collected"),EXACT(metadata!Z831,"missing: not provided"))),AND(IF(metadata!Z831="",FALSE,IF(ISERROR(INT(metadata!Z831)),FALSE,INT(metadata!Z831)=metadata!Z831)),metadata!Z831&gt;0))</f>
        <v>0</v>
      </c>
      <c r="BL831" t="b">
        <f>AND(IF(metadata!AA831="",FALSE,TRUE),EXACT(metadata!AA831,"Not applicable"))</f>
        <v>0</v>
      </c>
      <c r="BM831" t="b">
        <f>IF(metadata!AB831="",FALSE,TRUE)</f>
        <v>0</v>
      </c>
    </row>
    <row r="832" spans="1:65" x14ac:dyDescent="0.2">
      <c r="A832" s="5" t="str">
        <f ca="1">IF(B832=" "," ",HYPERLINK(CONCATENATE("#metadata!",ADDRESS(INDEX($AH$2:$AH$1001,MATCH(ROWS($AF$2:AF832),$AF$2:$AF$1001,0),0),1)),INDEX($AK$2:$AK$1001,MATCH(ROWS($AF$2:AF832),$AF$2:$AF$1001,0),0)))</f>
        <v xml:space="preserve"> </v>
      </c>
      <c r="B832" s="4" t="str">
        <f ca="1">IF(OR(INDEX($AG$2:$AG$1001,MATCH(ROWS($AF$2:AF832),$AF$2:$AF$1001,0),1)&gt;=100000,INDEX($AM$1005:$BM$1005,1,MATCH(COLUMNS($AM$1006:AM1006),$AM$1006:$BM$1006,0))&gt;=100000), " ",IF(INDEX($AM$2:$BM$1001,MATCH(ROWS($AF$2:AF832),$AF$2:$AF$1001,0),MATCH(COLUMNS($AM$1006:AM1006),$AM$1006:$BM$1006,0)), HYPERLINK("#",""), HYPERLINK(CONCATENATE("#metadata!", ADDRESS(INDEX($AH$2:$AH$1001,MATCH(ROWS($AF$2:AF832),$AF$2:$AF$1001,0),0), INDEX($AM$1004:$BM$1004,1,MATCH(COLUMNS($AM$1006:AM1006),$AM$1006:$BM$1006,0)))),"Fix")))</f>
        <v xml:space="preserve"> </v>
      </c>
      <c r="C832" s="4" t="str">
        <f ca="1">IF(OR(INDEX($AG$2:$AG$1001,MATCH(ROWS($AF$2:AF832),$AF$2:$AF$1001,0),1)&gt;=100000,INDEX($AM$1005:$BM$1005,1,MATCH(COLUMNS($AM$1006:AN1006),$AM$1006:$BM$1006,0))&gt;=100000), " ",IF(INDEX($AM$2:$BM$1001,MATCH(ROWS($AF$2:AF832),$AF$2:$AF$1001,0),MATCH(COLUMNS($AM$1006:AN1006),$AM$1006:$BM$1006,0)), HYPERLINK("#",""), HYPERLINK(CONCATENATE("#metadata!", ADDRESS(INDEX($AH$2:$AH$1001,MATCH(ROWS($AF$2:AF832),$AF$2:$AF$1001,0),0), INDEX($AM$1004:$BM$1004,1,MATCH(COLUMNS($AM$1006:AN1006),$AM$1006:$BM$1006,0)))),"Fix")))</f>
        <v xml:space="preserve"> </v>
      </c>
      <c r="D832" s="4" t="str">
        <f ca="1">IF(OR(INDEX($AG$2:$AG$1001,MATCH(ROWS($AF$2:AF832),$AF$2:$AF$1001,0),1)&gt;=100000,INDEX($AM$1005:$BM$1005,1,MATCH(COLUMNS($AM$1006:AO1006),$AM$1006:$BM$1006,0))&gt;=100000), " ",IF(INDEX($AM$2:$BM$1001,MATCH(ROWS($AF$2:AF832),$AF$2:$AF$1001,0),MATCH(COLUMNS($AM$1006:AO1006),$AM$1006:$BM$1006,0)), HYPERLINK("#",""), HYPERLINK(CONCATENATE("#metadata!", ADDRESS(INDEX($AH$2:$AH$1001,MATCH(ROWS($AF$2:AF832),$AF$2:$AF$1001,0),0), INDEX($AM$1004:$BM$1004,1,MATCH(COLUMNS($AM$1006:AO1006),$AM$1006:$BM$1006,0)))),"Fix")))</f>
        <v xml:space="preserve"> </v>
      </c>
      <c r="E832" s="4" t="str">
        <f ca="1">IF(OR(INDEX($AG$2:$AG$1001,MATCH(ROWS($AF$2:AF832),$AF$2:$AF$1001,0),1)&gt;=100000,INDEX($AM$1005:$BM$1005,1,MATCH(COLUMNS($AM$1006:AP1006),$AM$1006:$BM$1006,0))&gt;=100000), " ",IF(INDEX($AM$2:$BM$1001,MATCH(ROWS($AF$2:AF832),$AF$2:$AF$1001,0),MATCH(COLUMNS($AM$1006:AP1006),$AM$1006:$BM$1006,0)), HYPERLINK("#",""), HYPERLINK(CONCATENATE("#metadata!", ADDRESS(INDEX($AH$2:$AH$1001,MATCH(ROWS($AF$2:AF832),$AF$2:$AF$1001,0),0), INDEX($AM$1004:$BM$1004,1,MATCH(COLUMNS($AM$1006:AP1006),$AM$1006:$BM$1006,0)))),"Fix")))</f>
        <v xml:space="preserve"> </v>
      </c>
      <c r="F832" s="4" t="str">
        <f ca="1">IF(OR(INDEX($AG$2:$AG$1001,MATCH(ROWS($AF$2:AF832),$AF$2:$AF$1001,0),1)&gt;=100000,INDEX($AM$1005:$BM$1005,1,MATCH(COLUMNS($AM$1006:AQ1006),$AM$1006:$BM$1006,0))&gt;=100000), " ",IF(INDEX($AM$2:$BM$1001,MATCH(ROWS($AF$2:AF832),$AF$2:$AF$1001,0),MATCH(COLUMNS($AM$1006:AQ1006),$AM$1006:$BM$1006,0)), HYPERLINK("#",""), HYPERLINK(CONCATENATE("#metadata!", ADDRESS(INDEX($AH$2:$AH$1001,MATCH(ROWS($AF$2:AF832),$AF$2:$AF$1001,0),0), INDEX($AM$1004:$BM$1004,1,MATCH(COLUMNS($AM$1006:AQ1006),$AM$1006:$BM$1006,0)))),"Fix")))</f>
        <v xml:space="preserve"> </v>
      </c>
      <c r="G832" s="4" t="str">
        <f ca="1">IF(OR(INDEX($AG$2:$AG$1001,MATCH(ROWS($AF$2:AF832),$AF$2:$AF$1001,0),1)&gt;=100000,INDEX($AM$1005:$BM$1005,1,MATCH(COLUMNS($AM$1006:AR1006),$AM$1006:$BM$1006,0))&gt;=100000), " ",IF(INDEX($AM$2:$BM$1001,MATCH(ROWS($AF$2:AF832),$AF$2:$AF$1001,0),MATCH(COLUMNS($AM$1006:AR1006),$AM$1006:$BM$1006,0)), HYPERLINK("#",""), HYPERLINK(CONCATENATE("#metadata!", ADDRESS(INDEX($AH$2:$AH$1001,MATCH(ROWS($AF$2:AF832),$AF$2:$AF$1001,0),0), INDEX($AM$1004:$BM$1004,1,MATCH(COLUMNS($AM$1006:AR1006),$AM$1006:$BM$1006,0)))),"Fix")))</f>
        <v xml:space="preserve"> </v>
      </c>
      <c r="H832" s="4" t="str">
        <f ca="1">IF(OR(INDEX($AG$2:$AG$1001,MATCH(ROWS($AF$2:AF832),$AF$2:$AF$1001,0),1)&gt;=100000,INDEX($AM$1005:$BM$1005,1,MATCH(COLUMNS($AM$1006:AS1006),$AM$1006:$BM$1006,0))&gt;=100000), " ",IF(INDEX($AM$2:$BM$1001,MATCH(ROWS($AF$2:AF832),$AF$2:$AF$1001,0),MATCH(COLUMNS($AM$1006:AS1006),$AM$1006:$BM$1006,0)), HYPERLINK("#",""), HYPERLINK(CONCATENATE("#metadata!", ADDRESS(INDEX($AH$2:$AH$1001,MATCH(ROWS($AF$2:AF832),$AF$2:$AF$1001,0),0), INDEX($AM$1004:$BM$1004,1,MATCH(COLUMNS($AM$1006:AS1006),$AM$1006:$BM$1006,0)))),"Fix")))</f>
        <v xml:space="preserve"> </v>
      </c>
      <c r="I832" s="4" t="str">
        <f ca="1">IF(OR(INDEX($AG$2:$AG$1001,MATCH(ROWS($AF$2:AF832),$AF$2:$AF$1001,0),1)&gt;=100000,INDEX($AM$1005:$BM$1005,1,MATCH(COLUMNS($AM$1006:AT1006),$AM$1006:$BM$1006,0))&gt;=100000), " ",IF(INDEX($AM$2:$BM$1001,MATCH(ROWS($AF$2:AF832),$AF$2:$AF$1001,0),MATCH(COLUMNS($AM$1006:AT1006),$AM$1006:$BM$1006,0)), HYPERLINK("#",""), HYPERLINK(CONCATENATE("#metadata!", ADDRESS(INDEX($AH$2:$AH$1001,MATCH(ROWS($AF$2:AF832),$AF$2:$AF$1001,0),0), INDEX($AM$1004:$BM$1004,1,MATCH(COLUMNS($AM$1006:AT1006),$AM$1006:$BM$1006,0)))),"Fix")))</f>
        <v xml:space="preserve"> </v>
      </c>
      <c r="J832" s="4" t="str">
        <f ca="1">IF(OR(INDEX($AG$2:$AG$1001,MATCH(ROWS($AF$2:AF832),$AF$2:$AF$1001,0),1)&gt;=100000,INDEX($AM$1005:$BM$1005,1,MATCH(COLUMNS($AM$1006:AU1006),$AM$1006:$BM$1006,0))&gt;=100000), " ",IF(INDEX($AM$2:$BM$1001,MATCH(ROWS($AF$2:AF832),$AF$2:$AF$1001,0),MATCH(COLUMNS($AM$1006:AU1006),$AM$1006:$BM$1006,0)), HYPERLINK("#",""), HYPERLINK(CONCATENATE("#metadata!", ADDRESS(INDEX($AH$2:$AH$1001,MATCH(ROWS($AF$2:AF832),$AF$2:$AF$1001,0),0), INDEX($AM$1004:$BM$1004,1,MATCH(COLUMNS($AM$1006:AU1006),$AM$1006:$BM$1006,0)))),"Fix")))</f>
        <v xml:space="preserve"> </v>
      </c>
      <c r="K832" s="4" t="str">
        <f ca="1">IF(OR(INDEX($AG$2:$AG$1001,MATCH(ROWS($AF$2:AF832),$AF$2:$AF$1001,0),1)&gt;=100000,INDEX($AM$1005:$BM$1005,1,MATCH(COLUMNS($AM$1006:AV1006),$AM$1006:$BM$1006,0))&gt;=100000), " ",IF(INDEX($AM$2:$BM$1001,MATCH(ROWS($AF$2:AF832),$AF$2:$AF$1001,0),MATCH(COLUMNS($AM$1006:AV1006),$AM$1006:$BM$1006,0)), HYPERLINK("#",""), HYPERLINK(CONCATENATE("#metadata!", ADDRESS(INDEX($AH$2:$AH$1001,MATCH(ROWS($AF$2:AF832),$AF$2:$AF$1001,0),0), INDEX($AM$1004:$BM$1004,1,MATCH(COLUMNS($AM$1006:AV1006),$AM$1006:$BM$1006,0)))),"Fix")))</f>
        <v xml:space="preserve"> </v>
      </c>
      <c r="L832" s="4" t="str">
        <f ca="1">IF(OR(INDEX($AG$2:$AG$1001,MATCH(ROWS($AF$2:AF832),$AF$2:$AF$1001,0),1)&gt;=100000,INDEX($AM$1005:$BM$1005,1,MATCH(COLUMNS($AM$1006:AW1006),$AM$1006:$BM$1006,0))&gt;=100000), " ",IF(INDEX($AM$2:$BM$1001,MATCH(ROWS($AF$2:AF832),$AF$2:$AF$1001,0),MATCH(COLUMNS($AM$1006:AW1006),$AM$1006:$BM$1006,0)), HYPERLINK("#",""), HYPERLINK(CONCATENATE("#metadata!", ADDRESS(INDEX($AH$2:$AH$1001,MATCH(ROWS($AF$2:AF832),$AF$2:$AF$1001,0),0), INDEX($AM$1004:$BM$1004,1,MATCH(COLUMNS($AM$1006:AW1006),$AM$1006:$BM$1006,0)))),"Fix")))</f>
        <v xml:space="preserve"> </v>
      </c>
      <c r="M832" s="4" t="str">
        <f ca="1">IF(OR(INDEX($AG$2:$AG$1001,MATCH(ROWS($AF$2:AF832),$AF$2:$AF$1001,0),1)&gt;=100000,INDEX($AM$1005:$BM$1005,1,MATCH(COLUMNS($AM$1006:AX1006),$AM$1006:$BM$1006,0))&gt;=100000), " ",IF(INDEX($AM$2:$BM$1001,MATCH(ROWS($AF$2:AF832),$AF$2:$AF$1001,0),MATCH(COLUMNS($AM$1006:AX1006),$AM$1006:$BM$1006,0)), HYPERLINK("#",""), HYPERLINK(CONCATENATE("#metadata!", ADDRESS(INDEX($AH$2:$AH$1001,MATCH(ROWS($AF$2:AF832),$AF$2:$AF$1001,0),0), INDEX($AM$1004:$BM$1004,1,MATCH(COLUMNS($AM$1006:AX1006),$AM$1006:$BM$1006,0)))),"Fix")))</f>
        <v xml:space="preserve"> </v>
      </c>
      <c r="N832" s="4" t="str">
        <f ca="1">IF(OR(INDEX($AG$2:$AG$1001,MATCH(ROWS($AF$2:AF832),$AF$2:$AF$1001,0),1)&gt;=100000,INDEX($AM$1005:$BM$1005,1,MATCH(COLUMNS($AM$1006:AY1006),$AM$1006:$BM$1006,0))&gt;=100000), " ",IF(INDEX($AM$2:$BM$1001,MATCH(ROWS($AF$2:AF832),$AF$2:$AF$1001,0),MATCH(COLUMNS($AM$1006:AY1006),$AM$1006:$BM$1006,0)), HYPERLINK("#",""), HYPERLINK(CONCATENATE("#metadata!", ADDRESS(INDEX($AH$2:$AH$1001,MATCH(ROWS($AF$2:AF832),$AF$2:$AF$1001,0),0), INDEX($AM$1004:$BM$1004,1,MATCH(COLUMNS($AM$1006:AY1006),$AM$1006:$BM$1006,0)))),"Fix")))</f>
        <v xml:space="preserve"> </v>
      </c>
      <c r="O832" s="4" t="str">
        <f ca="1">IF(OR(INDEX($AG$2:$AG$1001,MATCH(ROWS($AF$2:AF832),$AF$2:$AF$1001,0),1)&gt;=100000,INDEX($AM$1005:$BM$1005,1,MATCH(COLUMNS($AM$1006:AZ1006),$AM$1006:$BM$1006,0))&gt;=100000), " ",IF(INDEX($AM$2:$BM$1001,MATCH(ROWS($AF$2:AF832),$AF$2:$AF$1001,0),MATCH(COLUMNS($AM$1006:AZ1006),$AM$1006:$BM$1006,0)), HYPERLINK("#",""), HYPERLINK(CONCATENATE("#metadata!", ADDRESS(INDEX($AH$2:$AH$1001,MATCH(ROWS($AF$2:AF832),$AF$2:$AF$1001,0),0), INDEX($AM$1004:$BM$1004,1,MATCH(COLUMNS($AM$1006:AZ1006),$AM$1006:$BM$1006,0)))),"Fix")))</f>
        <v xml:space="preserve"> </v>
      </c>
      <c r="P832" s="4" t="str">
        <f ca="1">IF(OR(INDEX($AG$2:$AG$1001,MATCH(ROWS($AF$2:AF832),$AF$2:$AF$1001,0),1)&gt;=100000,INDEX($AM$1005:$BM$1005,1,MATCH(COLUMNS($AM$1006:BA1006),$AM$1006:$BM$1006,0))&gt;=100000), " ",IF(INDEX($AM$2:$BM$1001,MATCH(ROWS($AF$2:AF832),$AF$2:$AF$1001,0),MATCH(COLUMNS($AM$1006:BA1006),$AM$1006:$BM$1006,0)), HYPERLINK("#",""), HYPERLINK(CONCATENATE("#metadata!", ADDRESS(INDEX($AH$2:$AH$1001,MATCH(ROWS($AF$2:AF832),$AF$2:$AF$1001,0),0), INDEX($AM$1004:$BM$1004,1,MATCH(COLUMNS($AM$1006:BA1006),$AM$1006:$BM$1006,0)))),"Fix")))</f>
        <v xml:space="preserve"> </v>
      </c>
      <c r="Q832" s="4" t="str">
        <f ca="1">IF(OR(INDEX($AG$2:$AG$1001,MATCH(ROWS($AF$2:AF832),$AF$2:$AF$1001,0),1)&gt;=100000,INDEX($AM$1005:$BM$1005,1,MATCH(COLUMNS($AM$1006:BB1006),$AM$1006:$BM$1006,0))&gt;=100000), " ",IF(INDEX($AM$2:$BM$1001,MATCH(ROWS($AF$2:AF832),$AF$2:$AF$1001,0),MATCH(COLUMNS($AM$1006:BB1006),$AM$1006:$BM$1006,0)), HYPERLINK("#",""), HYPERLINK(CONCATENATE("#metadata!", ADDRESS(INDEX($AH$2:$AH$1001,MATCH(ROWS($AF$2:AF832),$AF$2:$AF$1001,0),0), INDEX($AM$1004:$BM$1004,1,MATCH(COLUMNS($AM$1006:BB1006),$AM$1006:$BM$1006,0)))),"Fix")))</f>
        <v xml:space="preserve"> </v>
      </c>
      <c r="R832" s="4" t="str">
        <f ca="1">IF(OR(INDEX($AG$2:$AG$1001,MATCH(ROWS($AF$2:AF832),$AF$2:$AF$1001,0),1)&gt;=100000,INDEX($AM$1005:$BM$1005,1,MATCH(COLUMNS($AM$1006:BC1006),$AM$1006:$BM$1006,0))&gt;=100000), " ",IF(INDEX($AM$2:$BM$1001,MATCH(ROWS($AF$2:AF832),$AF$2:$AF$1001,0),MATCH(COLUMNS($AM$1006:BC1006),$AM$1006:$BM$1006,0)), HYPERLINK("#",""), HYPERLINK(CONCATENATE("#metadata!", ADDRESS(INDEX($AH$2:$AH$1001,MATCH(ROWS($AF$2:AF832),$AF$2:$AF$1001,0),0), INDEX($AM$1004:$BM$1004,1,MATCH(COLUMNS($AM$1006:BC1006),$AM$1006:$BM$1006,0)))),"Fix")))</f>
        <v xml:space="preserve"> </v>
      </c>
      <c r="S832" s="4" t="str">
        <f ca="1">IF(OR(INDEX($AG$2:$AG$1001,MATCH(ROWS($AF$2:AF832),$AF$2:$AF$1001,0),1)&gt;=100000,INDEX($AM$1005:$BM$1005,1,MATCH(COLUMNS($AM$1006:BD1006),$AM$1006:$BM$1006,0))&gt;=100000), " ",IF(INDEX($AM$2:$BM$1001,MATCH(ROWS($AF$2:AF832),$AF$2:$AF$1001,0),MATCH(COLUMNS($AM$1006:BD1006),$AM$1006:$BM$1006,0)), HYPERLINK("#",""), HYPERLINK(CONCATENATE("#metadata!", ADDRESS(INDEX($AH$2:$AH$1001,MATCH(ROWS($AF$2:AF832),$AF$2:$AF$1001,0),0), INDEX($AM$1004:$BM$1004,1,MATCH(COLUMNS($AM$1006:BD1006),$AM$1006:$BM$1006,0)))),"Fix")))</f>
        <v xml:space="preserve"> </v>
      </c>
      <c r="T832" s="4" t="str">
        <f ca="1">IF(OR(INDEX($AG$2:$AG$1001,MATCH(ROWS($AF$2:AF832),$AF$2:$AF$1001,0),1)&gt;=100000,INDEX($AM$1005:$BM$1005,1,MATCH(COLUMNS($AM$1006:BE1006),$AM$1006:$BM$1006,0))&gt;=100000), " ",IF(INDEX($AM$2:$BM$1001,MATCH(ROWS($AF$2:AF832),$AF$2:$AF$1001,0),MATCH(COLUMNS($AM$1006:BE1006),$AM$1006:$BM$1006,0)), HYPERLINK("#",""), HYPERLINK(CONCATENATE("#metadata!", ADDRESS(INDEX($AH$2:$AH$1001,MATCH(ROWS($AF$2:AF832),$AF$2:$AF$1001,0),0), INDEX($AM$1004:$BM$1004,1,MATCH(COLUMNS($AM$1006:BE1006),$AM$1006:$BM$1006,0)))),"Fix")))</f>
        <v xml:space="preserve"> </v>
      </c>
      <c r="U832" s="4" t="str">
        <f ca="1">IF(OR(INDEX($AG$2:$AG$1001,MATCH(ROWS($AF$2:AF832),$AF$2:$AF$1001,0),1)&gt;=100000,INDEX($AM$1005:$BM$1005,1,MATCH(COLUMNS($AM$1006:BF1006),$AM$1006:$BM$1006,0))&gt;=100000), " ",IF(INDEX($AM$2:$BM$1001,MATCH(ROWS($AF$2:AF832),$AF$2:$AF$1001,0),MATCH(COLUMNS($AM$1006:BF1006),$AM$1006:$BM$1006,0)), HYPERLINK("#",""), HYPERLINK(CONCATENATE("#metadata!", ADDRESS(INDEX($AH$2:$AH$1001,MATCH(ROWS($AF$2:AF832),$AF$2:$AF$1001,0),0), INDEX($AM$1004:$BM$1004,1,MATCH(COLUMNS($AM$1006:BF1006),$AM$1006:$BM$1006,0)))),"Fix")))</f>
        <v xml:space="preserve"> </v>
      </c>
      <c r="V832" s="4" t="str">
        <f ca="1">IF(OR(INDEX($AG$2:$AG$1001,MATCH(ROWS($AF$2:AF832),$AF$2:$AF$1001,0),1)&gt;=100000,INDEX($AM$1005:$BM$1005,1,MATCH(COLUMNS($AM$1006:BG1006),$AM$1006:$BM$1006,0))&gt;=100000), " ",IF(INDEX($AM$2:$BM$1001,MATCH(ROWS($AF$2:AF832),$AF$2:$AF$1001,0),MATCH(COLUMNS($AM$1006:BG1006),$AM$1006:$BM$1006,0)), HYPERLINK("#",""), HYPERLINK(CONCATENATE("#metadata!", ADDRESS(INDEX($AH$2:$AH$1001,MATCH(ROWS($AF$2:AF832),$AF$2:$AF$1001,0),0), INDEX($AM$1004:$BM$1004,1,MATCH(COLUMNS($AM$1006:BG1006),$AM$1006:$BM$1006,0)))),"Fix")))</f>
        <v xml:space="preserve"> </v>
      </c>
      <c r="W832" s="4" t="str">
        <f ca="1">IF(OR(INDEX($AG$2:$AG$1001,MATCH(ROWS($AF$2:AF832),$AF$2:$AF$1001,0),1)&gt;=100000,INDEX($AM$1005:$BM$1005,1,MATCH(COLUMNS($AM$1006:BH1006),$AM$1006:$BM$1006,0))&gt;=100000), " ",IF(INDEX($AM$2:$BM$1001,MATCH(ROWS($AF$2:AF832),$AF$2:$AF$1001,0),MATCH(COLUMNS($AM$1006:BH1006),$AM$1006:$BM$1006,0)), HYPERLINK("#",""), HYPERLINK(CONCATENATE("#metadata!", ADDRESS(INDEX($AH$2:$AH$1001,MATCH(ROWS($AF$2:AF832),$AF$2:$AF$1001,0),0), INDEX($AM$1004:$BM$1004,1,MATCH(COLUMNS($AM$1006:BH1006),$AM$1006:$BM$1006,0)))),"Fix")))</f>
        <v xml:space="preserve"> </v>
      </c>
      <c r="X832" s="4" t="str">
        <f ca="1">IF(OR(INDEX($AG$2:$AG$1001,MATCH(ROWS($AF$2:AF832),$AF$2:$AF$1001,0),1)&gt;=100000,INDEX($AM$1005:$BM$1005,1,MATCH(COLUMNS($AM$1006:BI1006),$AM$1006:$BM$1006,0))&gt;=100000), " ",IF(INDEX($AM$2:$BM$1001,MATCH(ROWS($AF$2:AF832),$AF$2:$AF$1001,0),MATCH(COLUMNS($AM$1006:BI1006),$AM$1006:$BM$1006,0)), HYPERLINK("#",""), HYPERLINK(CONCATENATE("#metadata!", ADDRESS(INDEX($AH$2:$AH$1001,MATCH(ROWS($AF$2:AF832),$AF$2:$AF$1001,0),0), INDEX($AM$1004:$BM$1004,1,MATCH(COLUMNS($AM$1006:BI1006),$AM$1006:$BM$1006,0)))),"Fix")))</f>
        <v xml:space="preserve"> </v>
      </c>
      <c r="Y832" s="4" t="str">
        <f ca="1">IF(OR(INDEX($AG$2:$AG$1001,MATCH(ROWS($AF$2:AF832),$AF$2:$AF$1001,0),1)&gt;=100000,INDEX($AM$1005:$BM$1005,1,MATCH(COLUMNS($AM$1006:BJ1006),$AM$1006:$BM$1006,0))&gt;=100000), " ",IF(INDEX($AM$2:$BM$1001,MATCH(ROWS($AF$2:AF832),$AF$2:$AF$1001,0),MATCH(COLUMNS($AM$1006:BJ1006),$AM$1006:$BM$1006,0)), HYPERLINK("#",""), HYPERLINK(CONCATENATE("#metadata!", ADDRESS(INDEX($AH$2:$AH$1001,MATCH(ROWS($AF$2:AF832),$AF$2:$AF$1001,0),0), INDEX($AM$1004:$BM$1004,1,MATCH(COLUMNS($AM$1006:BJ1006),$AM$1006:$BM$1006,0)))),"Fix")))</f>
        <v xml:space="preserve"> </v>
      </c>
      <c r="Z832" s="4" t="str">
        <f ca="1">IF(OR(INDEX($AG$2:$AG$1001,MATCH(ROWS($AF$2:AF832),$AF$2:$AF$1001,0),1)&gt;=100000,INDEX($AM$1005:$BM$1005,1,MATCH(COLUMNS($AM$1006:BK1006),$AM$1006:$BM$1006,0))&gt;=100000), " ",IF(INDEX($AM$2:$BM$1001,MATCH(ROWS($AF$2:AF832),$AF$2:$AF$1001,0),MATCH(COLUMNS($AM$1006:BK1006),$AM$1006:$BM$1006,0)), HYPERLINK("#",""), HYPERLINK(CONCATENATE("#metadata!", ADDRESS(INDEX($AH$2:$AH$1001,MATCH(ROWS($AF$2:AF832),$AF$2:$AF$1001,0),0), INDEX($AM$1004:$BM$1004,1,MATCH(COLUMNS($AM$1006:BK1006),$AM$1006:$BM$1006,0)))),"Fix")))</f>
        <v xml:space="preserve"> </v>
      </c>
      <c r="AA832" s="4" t="str">
        <f ca="1">IF(OR(INDEX($AG$2:$AG$1001,MATCH(ROWS($AF$2:AF832),$AF$2:$AF$1001,0),1)&gt;=100000,INDEX($AM$1005:$BM$1005,1,MATCH(COLUMNS($AM$1006:BL1006),$AM$1006:$BM$1006,0))&gt;=100000), " ",IF(INDEX($AM$2:$BM$1001,MATCH(ROWS($AF$2:AF832),$AF$2:$AF$1001,0),MATCH(COLUMNS($AM$1006:BL1006),$AM$1006:$BM$1006,0)), HYPERLINK("#",""), HYPERLINK(CONCATENATE("#metadata!", ADDRESS(INDEX($AH$2:$AH$1001,MATCH(ROWS($AF$2:AF832),$AF$2:$AF$1001,0),0), INDEX($AM$1004:$BM$1004,1,MATCH(COLUMNS($AM$1006:BL1006),$AM$1006:$BM$1006,0)))),"Fix")))</f>
        <v xml:space="preserve"> </v>
      </c>
      <c r="AB832" s="4" t="str">
        <f ca="1">IF(OR(INDEX($AG$2:$AG$1001,MATCH(ROWS($AF$2:AF832),$AF$2:$AF$1001,0),1)&gt;=100000,INDEX($AM$1005:$BM$1005,1,MATCH(COLUMNS($AM$1006:BM1006),$AM$1006:$BM$1006,0))&gt;=100000), " ",IF(INDEX($AM$2:$BM$1001,MATCH(ROWS($AF$2:AF832),$AF$2:$AF$1001,0),MATCH(COLUMNS($AM$1006:BM1006),$AM$1006:$BM$1006,0)), HYPERLINK("#",""), HYPERLINK(CONCATENATE("#metadata!", ADDRESS(INDEX($AH$2:$AH$1001,MATCH(ROWS($AF$2:AF832),$AF$2:$AF$1001,0),0), INDEX($AM$1004:$BM$1004,1,MATCH(COLUMNS($AM$1006:BM1006),$AM$1006:$BM$1006,0)))),"Fix")))</f>
        <v xml:space="preserve"> </v>
      </c>
      <c r="AF832">
        <v>831</v>
      </c>
      <c r="AG832">
        <v>100832</v>
      </c>
      <c r="AH832">
        <v>832</v>
      </c>
      <c r="AI832" t="b">
        <f t="shared" si="12"/>
        <v>1</v>
      </c>
      <c r="AJ832" t="b">
        <f>COUNTBLANK(metadata!B832:AB832)=COLUMNS(metadata!B832:AB832)</f>
        <v>1</v>
      </c>
      <c r="AK832" t="str">
        <v/>
      </c>
      <c r="AM832" t="b">
        <f ca="1">AND(IF(metadata!B832="",FALSE,TRUE),COUNTIF(metadata!B:B, metadata!B832) = 1,NOT(ISERROR(SUMPRODUCT(SEARCH(MID(metadata!B832,ROW(INDIRECT("1:"&amp;LEN(metadata!B832))), 1),"0123456789abcdefghijklmnopqrstuvwxyzABCDEFGHIJKLMNOPQRSTUVWXYZ.")))))</f>
        <v>0</v>
      </c>
      <c r="AN832" t="b">
        <f ca="1">OR(AND(IF(metadata!C832="",FALSE,TRUE),OR(EXACT(metadata!C832,"missing: not collected"),EXACT(metadata!C832,"missing: not provided"),EXACT(metadata!C832,"missing: restricted access"))),AND(IF(metadata!C832="",FALSE,TRUE),AND(AND(IFERROR(INT(LEFT(metadata!C832,4))&gt;1900,FALSE),IFERROR(INT(LEFT(metadata!C832,4))&lt;=YEAR(NOW()),FALSE)), OR(MID(metadata!C832,5,1)="", AND(AND(MID(metadata!C832,5,1)="-",IFERROR(INT(MID(metadata!C832,6,1))&gt;=0,FALSE),IFERROR(INT(MID(metadata!C832,6,1))&lt;=1,FALSE),NOT(MID(metadata!C832,7,1)=""),IFERROR(INT(MID(metadata!C832,6,2))&gt;=1,FALSE),IFERROR(INT(MID(metadata!C832,6,2))&lt;=12,FALSE)), OR(MID(metadata!C832,8,1)="", AND(AND(MID(metadata!C832,8,1)="-",IFERROR(INT(MID(metadata!C832,9,1))&gt;=0,FALSE),IFERROR(INT(MID(metadata!C832,9,1))&lt;=3,FALSE),NOT(MID(metadata!C832,10,1)=""),IFERROR(INT(MID(metadata!C832,9,2))&gt;=1,FALSE),IFERROR(INT(MID(metadata!C832,9,2))&lt;=31,FALSE)), OR(MID(metadata!C832,11,1)="", AND(AND(MID(metadata!C832,11,1)=" ",IFERROR(INT(MID(metadata!C832,12,1))&gt;=0,FALSE),IFERROR(INT(MID(metadata!C832,12,1))&lt;=2,FALSE),NOT(MID(metadata!C832,13,1)=""),IFERROR(INT(MID(metadata!C832,12,2))&gt;=0,FALSE),IFERROR(INT(MID(metadata!C832,12,2))&lt;=23,FALSE)), OR(MID(metadata!C832,14,1)="", AND(AND(MID(metadata!C832,14,1)=":",IFERROR(INT(MID(metadata!C832,15,1))&gt;=0,FALSE),IFERROR(INT(MID(metadata!C832,15,1))&lt;=5,FALSE),NOT(MID(metadata!C832,16,1)=""),IFERROR(INT(MID(metadata!C832,15,2))&gt;=0,FALSE),IFERROR(INT(MID(metadata!C832,15,2))&lt;=59,FALSE)), OR(MID(metadata!C832,17,1)="", AND(AND(MID(metadata!C832,17,1)=":",IFERROR(INT(MID(metadata!C832,18,1))&gt;=0,FALSE),IFERROR(INT(MID(metadata!C832,18,1))&lt;=5,FALSE),NOT(MID(metadata!C832,19,1)=""),IFERROR(INT(MID(metadata!C832,18,2))&gt;=0,FALSE),IFERROR(INT(MID(metadata!C832,18,2))&lt;=59,FALSE)), LEN(metadata!C832)&lt;=19)))))))))))))</f>
        <v>0</v>
      </c>
      <c r="AO832" t="b">
        <f>AND(IF(metadata!D832="",FALSE,TRUE),EXACT(metadata!D832,"Not applicable"))</f>
        <v>0</v>
      </c>
      <c r="AP832" t="b">
        <f>IF(metadata!E832="",FALSE,TRUE)</f>
        <v>0</v>
      </c>
      <c r="AQ832" t="b">
        <f>OR(AND(IF(metadata!F832="",FALSE,TRUE),OR(EXACT(metadata!F832,"missing: not collected"),EXACT(metadata!F832,"missing: not provided"))),AND(IF(metadata!F832="",FALSE,TRUE),OR(EXACT(metadata!F832,"TRUE"),EXACT(metadata!F832,"FALSE"))))</f>
        <v>0</v>
      </c>
      <c r="AR832" t="b">
        <f>OR(AND(IF(metadata!G832="",FALSE,TRUE),OR(EXACT(metadata!G832,"missing: not collected"),EXACT(metadata!G832,"missing: not provided"),EXACT(metadata!G832,"missing: restricted access"))),AND(IF(metadata!G832="",FALSE,ISNUMBER(VALUE(metadata!G832))),metadata!G832&gt;=-413))</f>
        <v>0</v>
      </c>
      <c r="AS832" t="b">
        <f>AND(IF(metadata!H832="",FALSE,TRUE),EXACT(metadata!H832,"meters"))</f>
        <v>0</v>
      </c>
      <c r="AT832" t="b">
        <f>AND(IF(metadata!I832="",FALSE,TRUE),OR(EXACT(metadata!I832,"Host-associated"),EXACT(metadata!I832,"Free-living")))</f>
        <v>0</v>
      </c>
      <c r="AU832" t="b">
        <f>AND(IF(metadata!J832="",FALSE,TRUE),OR(EXACT(metadata!J832,"Animal"),EXACT(metadata!J832,"Fungus"),EXACT(metadata!J832,"Plant"),EXACT(metadata!J832,"Saline"),EXACT(metadata!J832,"Non-saline")))</f>
        <v>0</v>
      </c>
      <c r="AV832" t="b">
        <f>AND(IF(metadata!K832="",FALSE,TRUE),OR(EXACT(metadata!K832,"Plant secretion"),EXACT(metadata!K832,"Plant rhizosphere"),EXACT(metadata!K832,"Plant surface"),EXACT(metadata!K832,"Plant corpus"),EXACT(metadata!K832,"Fungus surface"),EXACT(metadata!K832,"Fungus corpus"),EXACT(metadata!K832,"Animal surface"),EXACT(metadata!K832,"Animal proximal gut"),EXACT(metadata!K832,"Animal corpus"),EXACT(metadata!K832,"Animal distal gut"),EXACT(metadata!K832,"Animal secretion"),EXACT(metadata!K832,"Sub-surface (non-saline)"),EXACT(metadata!K832,"Surface (non-saline)"),EXACT(metadata!K832,"Water (non-saline)"),EXACT(metadata!K832,"Soil (non-saline)"),EXACT(metadata!K832,"Aerosol (non-saline)"),EXACT(metadata!K832,"Sediment (non-saline)"),EXACT(metadata!K832,"Surface (saline)"),EXACT(metadata!K832,"Water (saline)"),EXACT(metadata!K832,"Hypersaline (saline)"),EXACT(metadata!K832,"Aerosol (saline)"),EXACT(metadata!K832,"Sediment (saline)")))</f>
        <v>0</v>
      </c>
      <c r="AW832" t="b">
        <f>IF(metadata!L832="",FALSE,TRUE)</f>
        <v>0</v>
      </c>
      <c r="AX832" t="b">
        <f>IF(metadata!M832="",FALSE,TRUE)</f>
        <v>0</v>
      </c>
      <c r="AY832" t="b">
        <f>IF(metadata!N832="",FALSE,TRUE)</f>
        <v>0</v>
      </c>
      <c r="AZ832" t="b">
        <f>OR(AND(IF(metadata!O832="",FALSE,TRUE),OR(EXACT(metadata!O832,"missing: not collected"),EXACT(metadata!O832,"missing: not provided"),EXACT(metadata!O832,"missing: restricted access"))),AND(IF(metadata!O832="",FALSE,TRUE),OR(EXACT(metadata!O832,"air"),EXACT(metadata!O832,"built environment"),EXACT(metadata!O832,"host-associated"),EXACT(metadata!O832,"human-associated"),EXACT(metadata!O832,"human-skin"),EXACT(metadata!O832,"human-oral"),EXACT(metadata!O832,"human-gut"),EXACT(metadata!O832,"human-vaginal"),EXACT(metadata!O832,"microbial mat/biofilm"),EXACT(metadata!O832,"misc environment"),EXACT(metadata!O832,"plant-associated"),EXACT(metadata!O832,"sediment"),EXACT(metadata!O832,"soil"),EXACT(metadata!O832,"wastewater/sludge"),EXACT(metadata!O832,"water"))))</f>
        <v>0</v>
      </c>
      <c r="BA832" t="b">
        <f>IF(metadata!P832="",FALSE,TRUE)</f>
        <v>0</v>
      </c>
      <c r="BB832" t="b">
        <f>IF(metadata!Q832="",FALSE,TRUE)</f>
        <v>0</v>
      </c>
      <c r="BC832" t="b">
        <f>OR(AND(IF(metadata!R832="",FALSE,TRUE),OR(EXACT(metadata!R832,"missing: not collected"),EXACT(metadata!R832,"missing: not provided"),EXACT(metadata!R832,"missing: restricted access"))),AND(IF(metadata!R832="",FALSE,ISNUMBER(VALUE(metadata!R832))),metadata!R832&gt;=-90,metadata!R832&lt;=90))</f>
        <v>0</v>
      </c>
      <c r="BD832" t="b">
        <f>AND(IF(metadata!S832="",FALSE,TRUE),EXACT(metadata!S832,"Decimal degrees"))</f>
        <v>0</v>
      </c>
      <c r="BE832" t="b">
        <f>OR(AND(IF(metadata!T832="",FALSE,TRUE),OR(EXACT(metadata!T832,"missing: not collected"),EXACT(metadata!T832,"missing: not provided"),EXACT(metadata!T832,"missing: restricted access"))),AND(IF(metadata!T832="",FALSE,ISNUMBER(VALUE(metadata!T832))),metadata!T832&gt;=-180,metadata!T832&lt;=180))</f>
        <v>0</v>
      </c>
      <c r="BF832" t="b">
        <f>AND(IF(metadata!U832="",FALSE,TRUE),EXACT(metadata!U832,"Decimal degrees"))</f>
        <v>0</v>
      </c>
      <c r="BG832" t="b">
        <f>IF(metadata!V832="",FALSE,TRUE)</f>
        <v>0</v>
      </c>
      <c r="BH832" t="b">
        <f>OR(AND(IF(metadata!W832="",FALSE,TRUE),OR(EXACT(metadata!W832,"missing: not collected"),EXACT(metadata!W832,"missing: not provided"),EXACT(metadata!W832,"missing: restricted access"))),AND(IF(metadata!W832="",FALSE,TRUE),OR(EXACT(metadata!W832,"TRUE"),EXACT(metadata!W832,"FALSE"))))</f>
        <v>0</v>
      </c>
      <c r="BI832" t="b">
        <f>AND(IF(metadata!X832="",FALSE,TRUE),EXACT(metadata!X832,"other"))</f>
        <v>0</v>
      </c>
      <c r="BJ832" t="b">
        <f>IF(metadata!Y832="",FALSE,TRUE)</f>
        <v>0</v>
      </c>
      <c r="BK832" t="b">
        <f>OR(AND(IF(metadata!Z832="",FALSE,TRUE),OR(EXACT(metadata!Z832,"missing: not collected"),EXACT(metadata!Z832,"missing: not provided"))),AND(IF(metadata!Z832="",FALSE,IF(ISERROR(INT(metadata!Z832)),FALSE,INT(metadata!Z832)=metadata!Z832)),metadata!Z832&gt;0))</f>
        <v>0</v>
      </c>
      <c r="BL832" t="b">
        <f>AND(IF(metadata!AA832="",FALSE,TRUE),EXACT(metadata!AA832,"Not applicable"))</f>
        <v>0</v>
      </c>
      <c r="BM832" t="b">
        <f>IF(metadata!AB832="",FALSE,TRUE)</f>
        <v>0</v>
      </c>
    </row>
    <row r="833" spans="1:65" x14ac:dyDescent="0.2">
      <c r="A833" s="5" t="str">
        <f ca="1">IF(B833=" "," ",HYPERLINK(CONCATENATE("#metadata!",ADDRESS(INDEX($AH$2:$AH$1001,MATCH(ROWS($AF$2:AF833),$AF$2:$AF$1001,0),0),1)),INDEX($AK$2:$AK$1001,MATCH(ROWS($AF$2:AF833),$AF$2:$AF$1001,0),0)))</f>
        <v xml:space="preserve"> </v>
      </c>
      <c r="B833" s="4" t="str">
        <f ca="1">IF(OR(INDEX($AG$2:$AG$1001,MATCH(ROWS($AF$2:AF833),$AF$2:$AF$1001,0),1)&gt;=100000,INDEX($AM$1005:$BM$1005,1,MATCH(COLUMNS($AM$1006:AM1006),$AM$1006:$BM$1006,0))&gt;=100000), " ",IF(INDEX($AM$2:$BM$1001,MATCH(ROWS($AF$2:AF833),$AF$2:$AF$1001,0),MATCH(COLUMNS($AM$1006:AM1006),$AM$1006:$BM$1006,0)), HYPERLINK("#",""), HYPERLINK(CONCATENATE("#metadata!", ADDRESS(INDEX($AH$2:$AH$1001,MATCH(ROWS($AF$2:AF833),$AF$2:$AF$1001,0),0), INDEX($AM$1004:$BM$1004,1,MATCH(COLUMNS($AM$1006:AM1006),$AM$1006:$BM$1006,0)))),"Fix")))</f>
        <v xml:space="preserve"> </v>
      </c>
      <c r="C833" s="4" t="str">
        <f ca="1">IF(OR(INDEX($AG$2:$AG$1001,MATCH(ROWS($AF$2:AF833),$AF$2:$AF$1001,0),1)&gt;=100000,INDEX($AM$1005:$BM$1005,1,MATCH(COLUMNS($AM$1006:AN1006),$AM$1006:$BM$1006,0))&gt;=100000), " ",IF(INDEX($AM$2:$BM$1001,MATCH(ROWS($AF$2:AF833),$AF$2:$AF$1001,0),MATCH(COLUMNS($AM$1006:AN1006),$AM$1006:$BM$1006,0)), HYPERLINK("#",""), HYPERLINK(CONCATENATE("#metadata!", ADDRESS(INDEX($AH$2:$AH$1001,MATCH(ROWS($AF$2:AF833),$AF$2:$AF$1001,0),0), INDEX($AM$1004:$BM$1004,1,MATCH(COLUMNS($AM$1006:AN1006),$AM$1006:$BM$1006,0)))),"Fix")))</f>
        <v xml:space="preserve"> </v>
      </c>
      <c r="D833" s="4" t="str">
        <f ca="1">IF(OR(INDEX($AG$2:$AG$1001,MATCH(ROWS($AF$2:AF833),$AF$2:$AF$1001,0),1)&gt;=100000,INDEX($AM$1005:$BM$1005,1,MATCH(COLUMNS($AM$1006:AO1006),$AM$1006:$BM$1006,0))&gt;=100000), " ",IF(INDEX($AM$2:$BM$1001,MATCH(ROWS($AF$2:AF833),$AF$2:$AF$1001,0),MATCH(COLUMNS($AM$1006:AO1006),$AM$1006:$BM$1006,0)), HYPERLINK("#",""), HYPERLINK(CONCATENATE("#metadata!", ADDRESS(INDEX($AH$2:$AH$1001,MATCH(ROWS($AF$2:AF833),$AF$2:$AF$1001,0),0), INDEX($AM$1004:$BM$1004,1,MATCH(COLUMNS($AM$1006:AO1006),$AM$1006:$BM$1006,0)))),"Fix")))</f>
        <v xml:space="preserve"> </v>
      </c>
      <c r="E833" s="4" t="str">
        <f ca="1">IF(OR(INDEX($AG$2:$AG$1001,MATCH(ROWS($AF$2:AF833),$AF$2:$AF$1001,0),1)&gt;=100000,INDEX($AM$1005:$BM$1005,1,MATCH(COLUMNS($AM$1006:AP1006),$AM$1006:$BM$1006,0))&gt;=100000), " ",IF(INDEX($AM$2:$BM$1001,MATCH(ROWS($AF$2:AF833),$AF$2:$AF$1001,0),MATCH(COLUMNS($AM$1006:AP1006),$AM$1006:$BM$1006,0)), HYPERLINK("#",""), HYPERLINK(CONCATENATE("#metadata!", ADDRESS(INDEX($AH$2:$AH$1001,MATCH(ROWS($AF$2:AF833),$AF$2:$AF$1001,0),0), INDEX($AM$1004:$BM$1004,1,MATCH(COLUMNS($AM$1006:AP1006),$AM$1006:$BM$1006,0)))),"Fix")))</f>
        <v xml:space="preserve"> </v>
      </c>
      <c r="F833" s="4" t="str">
        <f ca="1">IF(OR(INDEX($AG$2:$AG$1001,MATCH(ROWS($AF$2:AF833),$AF$2:$AF$1001,0),1)&gt;=100000,INDEX($AM$1005:$BM$1005,1,MATCH(COLUMNS($AM$1006:AQ1006),$AM$1006:$BM$1006,0))&gt;=100000), " ",IF(INDEX($AM$2:$BM$1001,MATCH(ROWS($AF$2:AF833),$AF$2:$AF$1001,0),MATCH(COLUMNS($AM$1006:AQ1006),$AM$1006:$BM$1006,0)), HYPERLINK("#",""), HYPERLINK(CONCATENATE("#metadata!", ADDRESS(INDEX($AH$2:$AH$1001,MATCH(ROWS($AF$2:AF833),$AF$2:$AF$1001,0),0), INDEX($AM$1004:$BM$1004,1,MATCH(COLUMNS($AM$1006:AQ1006),$AM$1006:$BM$1006,0)))),"Fix")))</f>
        <v xml:space="preserve"> </v>
      </c>
      <c r="G833" s="4" t="str">
        <f ca="1">IF(OR(INDEX($AG$2:$AG$1001,MATCH(ROWS($AF$2:AF833),$AF$2:$AF$1001,0),1)&gt;=100000,INDEX($AM$1005:$BM$1005,1,MATCH(COLUMNS($AM$1006:AR1006),$AM$1006:$BM$1006,0))&gt;=100000), " ",IF(INDEX($AM$2:$BM$1001,MATCH(ROWS($AF$2:AF833),$AF$2:$AF$1001,0),MATCH(COLUMNS($AM$1006:AR1006),$AM$1006:$BM$1006,0)), HYPERLINK("#",""), HYPERLINK(CONCATENATE("#metadata!", ADDRESS(INDEX($AH$2:$AH$1001,MATCH(ROWS($AF$2:AF833),$AF$2:$AF$1001,0),0), INDEX($AM$1004:$BM$1004,1,MATCH(COLUMNS($AM$1006:AR1006),$AM$1006:$BM$1006,0)))),"Fix")))</f>
        <v xml:space="preserve"> </v>
      </c>
      <c r="H833" s="4" t="str">
        <f ca="1">IF(OR(INDEX($AG$2:$AG$1001,MATCH(ROWS($AF$2:AF833),$AF$2:$AF$1001,0),1)&gt;=100000,INDEX($AM$1005:$BM$1005,1,MATCH(COLUMNS($AM$1006:AS1006),$AM$1006:$BM$1006,0))&gt;=100000), " ",IF(INDEX($AM$2:$BM$1001,MATCH(ROWS($AF$2:AF833),$AF$2:$AF$1001,0),MATCH(COLUMNS($AM$1006:AS1006),$AM$1006:$BM$1006,0)), HYPERLINK("#",""), HYPERLINK(CONCATENATE("#metadata!", ADDRESS(INDEX($AH$2:$AH$1001,MATCH(ROWS($AF$2:AF833),$AF$2:$AF$1001,0),0), INDEX($AM$1004:$BM$1004,1,MATCH(COLUMNS($AM$1006:AS1006),$AM$1006:$BM$1006,0)))),"Fix")))</f>
        <v xml:space="preserve"> </v>
      </c>
      <c r="I833" s="4" t="str">
        <f ca="1">IF(OR(INDEX($AG$2:$AG$1001,MATCH(ROWS($AF$2:AF833),$AF$2:$AF$1001,0),1)&gt;=100000,INDEX($AM$1005:$BM$1005,1,MATCH(COLUMNS($AM$1006:AT1006),$AM$1006:$BM$1006,0))&gt;=100000), " ",IF(INDEX($AM$2:$BM$1001,MATCH(ROWS($AF$2:AF833),$AF$2:$AF$1001,0),MATCH(COLUMNS($AM$1006:AT1006),$AM$1006:$BM$1006,0)), HYPERLINK("#",""), HYPERLINK(CONCATENATE("#metadata!", ADDRESS(INDEX($AH$2:$AH$1001,MATCH(ROWS($AF$2:AF833),$AF$2:$AF$1001,0),0), INDEX($AM$1004:$BM$1004,1,MATCH(COLUMNS($AM$1006:AT1006),$AM$1006:$BM$1006,0)))),"Fix")))</f>
        <v xml:space="preserve"> </v>
      </c>
      <c r="J833" s="4" t="str">
        <f ca="1">IF(OR(INDEX($AG$2:$AG$1001,MATCH(ROWS($AF$2:AF833),$AF$2:$AF$1001,0),1)&gt;=100000,INDEX($AM$1005:$BM$1005,1,MATCH(COLUMNS($AM$1006:AU1006),$AM$1006:$BM$1006,0))&gt;=100000), " ",IF(INDEX($AM$2:$BM$1001,MATCH(ROWS($AF$2:AF833),$AF$2:$AF$1001,0),MATCH(COLUMNS($AM$1006:AU1006),$AM$1006:$BM$1006,0)), HYPERLINK("#",""), HYPERLINK(CONCATENATE("#metadata!", ADDRESS(INDEX($AH$2:$AH$1001,MATCH(ROWS($AF$2:AF833),$AF$2:$AF$1001,0),0), INDEX($AM$1004:$BM$1004,1,MATCH(COLUMNS($AM$1006:AU1006),$AM$1006:$BM$1006,0)))),"Fix")))</f>
        <v xml:space="preserve"> </v>
      </c>
      <c r="K833" s="4" t="str">
        <f ca="1">IF(OR(INDEX($AG$2:$AG$1001,MATCH(ROWS($AF$2:AF833),$AF$2:$AF$1001,0),1)&gt;=100000,INDEX($AM$1005:$BM$1005,1,MATCH(COLUMNS($AM$1006:AV1006),$AM$1006:$BM$1006,0))&gt;=100000), " ",IF(INDEX($AM$2:$BM$1001,MATCH(ROWS($AF$2:AF833),$AF$2:$AF$1001,0),MATCH(COLUMNS($AM$1006:AV1006),$AM$1006:$BM$1006,0)), HYPERLINK("#",""), HYPERLINK(CONCATENATE("#metadata!", ADDRESS(INDEX($AH$2:$AH$1001,MATCH(ROWS($AF$2:AF833),$AF$2:$AF$1001,0),0), INDEX($AM$1004:$BM$1004,1,MATCH(COLUMNS($AM$1006:AV1006),$AM$1006:$BM$1006,0)))),"Fix")))</f>
        <v xml:space="preserve"> </v>
      </c>
      <c r="L833" s="4" t="str">
        <f ca="1">IF(OR(INDEX($AG$2:$AG$1001,MATCH(ROWS($AF$2:AF833),$AF$2:$AF$1001,0),1)&gt;=100000,INDEX($AM$1005:$BM$1005,1,MATCH(COLUMNS($AM$1006:AW1006),$AM$1006:$BM$1006,0))&gt;=100000), " ",IF(INDEX($AM$2:$BM$1001,MATCH(ROWS($AF$2:AF833),$AF$2:$AF$1001,0),MATCH(COLUMNS($AM$1006:AW1006),$AM$1006:$BM$1006,0)), HYPERLINK("#",""), HYPERLINK(CONCATENATE("#metadata!", ADDRESS(INDEX($AH$2:$AH$1001,MATCH(ROWS($AF$2:AF833),$AF$2:$AF$1001,0),0), INDEX($AM$1004:$BM$1004,1,MATCH(COLUMNS($AM$1006:AW1006),$AM$1006:$BM$1006,0)))),"Fix")))</f>
        <v xml:space="preserve"> </v>
      </c>
      <c r="M833" s="4" t="str">
        <f ca="1">IF(OR(INDEX($AG$2:$AG$1001,MATCH(ROWS($AF$2:AF833),$AF$2:$AF$1001,0),1)&gt;=100000,INDEX($AM$1005:$BM$1005,1,MATCH(COLUMNS($AM$1006:AX1006),$AM$1006:$BM$1006,0))&gt;=100000), " ",IF(INDEX($AM$2:$BM$1001,MATCH(ROWS($AF$2:AF833),$AF$2:$AF$1001,0),MATCH(COLUMNS($AM$1006:AX1006),$AM$1006:$BM$1006,0)), HYPERLINK("#",""), HYPERLINK(CONCATENATE("#metadata!", ADDRESS(INDEX($AH$2:$AH$1001,MATCH(ROWS($AF$2:AF833),$AF$2:$AF$1001,0),0), INDEX($AM$1004:$BM$1004,1,MATCH(COLUMNS($AM$1006:AX1006),$AM$1006:$BM$1006,0)))),"Fix")))</f>
        <v xml:space="preserve"> </v>
      </c>
      <c r="N833" s="4" t="str">
        <f ca="1">IF(OR(INDEX($AG$2:$AG$1001,MATCH(ROWS($AF$2:AF833),$AF$2:$AF$1001,0),1)&gt;=100000,INDEX($AM$1005:$BM$1005,1,MATCH(COLUMNS($AM$1006:AY1006),$AM$1006:$BM$1006,0))&gt;=100000), " ",IF(INDEX($AM$2:$BM$1001,MATCH(ROWS($AF$2:AF833),$AF$2:$AF$1001,0),MATCH(COLUMNS($AM$1006:AY1006),$AM$1006:$BM$1006,0)), HYPERLINK("#",""), HYPERLINK(CONCATENATE("#metadata!", ADDRESS(INDEX($AH$2:$AH$1001,MATCH(ROWS($AF$2:AF833),$AF$2:$AF$1001,0),0), INDEX($AM$1004:$BM$1004,1,MATCH(COLUMNS($AM$1006:AY1006),$AM$1006:$BM$1006,0)))),"Fix")))</f>
        <v xml:space="preserve"> </v>
      </c>
      <c r="O833" s="4" t="str">
        <f ca="1">IF(OR(INDEX($AG$2:$AG$1001,MATCH(ROWS($AF$2:AF833),$AF$2:$AF$1001,0),1)&gt;=100000,INDEX($AM$1005:$BM$1005,1,MATCH(COLUMNS($AM$1006:AZ1006),$AM$1006:$BM$1006,0))&gt;=100000), " ",IF(INDEX($AM$2:$BM$1001,MATCH(ROWS($AF$2:AF833),$AF$2:$AF$1001,0),MATCH(COLUMNS($AM$1006:AZ1006),$AM$1006:$BM$1006,0)), HYPERLINK("#",""), HYPERLINK(CONCATENATE("#metadata!", ADDRESS(INDEX($AH$2:$AH$1001,MATCH(ROWS($AF$2:AF833),$AF$2:$AF$1001,0),0), INDEX($AM$1004:$BM$1004,1,MATCH(COLUMNS($AM$1006:AZ1006),$AM$1006:$BM$1006,0)))),"Fix")))</f>
        <v xml:space="preserve"> </v>
      </c>
      <c r="P833" s="4" t="str">
        <f ca="1">IF(OR(INDEX($AG$2:$AG$1001,MATCH(ROWS($AF$2:AF833),$AF$2:$AF$1001,0),1)&gt;=100000,INDEX($AM$1005:$BM$1005,1,MATCH(COLUMNS($AM$1006:BA1006),$AM$1006:$BM$1006,0))&gt;=100000), " ",IF(INDEX($AM$2:$BM$1001,MATCH(ROWS($AF$2:AF833),$AF$2:$AF$1001,0),MATCH(COLUMNS($AM$1006:BA1006),$AM$1006:$BM$1006,0)), HYPERLINK("#",""), HYPERLINK(CONCATENATE("#metadata!", ADDRESS(INDEX($AH$2:$AH$1001,MATCH(ROWS($AF$2:AF833),$AF$2:$AF$1001,0),0), INDEX($AM$1004:$BM$1004,1,MATCH(COLUMNS($AM$1006:BA1006),$AM$1006:$BM$1006,0)))),"Fix")))</f>
        <v xml:space="preserve"> </v>
      </c>
      <c r="Q833" s="4" t="str">
        <f ca="1">IF(OR(INDEX($AG$2:$AG$1001,MATCH(ROWS($AF$2:AF833),$AF$2:$AF$1001,0),1)&gt;=100000,INDEX($AM$1005:$BM$1005,1,MATCH(COLUMNS($AM$1006:BB1006),$AM$1006:$BM$1006,0))&gt;=100000), " ",IF(INDEX($AM$2:$BM$1001,MATCH(ROWS($AF$2:AF833),$AF$2:$AF$1001,0),MATCH(COLUMNS($AM$1006:BB1006),$AM$1006:$BM$1006,0)), HYPERLINK("#",""), HYPERLINK(CONCATENATE("#metadata!", ADDRESS(INDEX($AH$2:$AH$1001,MATCH(ROWS($AF$2:AF833),$AF$2:$AF$1001,0),0), INDEX($AM$1004:$BM$1004,1,MATCH(COLUMNS($AM$1006:BB1006),$AM$1006:$BM$1006,0)))),"Fix")))</f>
        <v xml:space="preserve"> </v>
      </c>
      <c r="R833" s="4" t="str">
        <f ca="1">IF(OR(INDEX($AG$2:$AG$1001,MATCH(ROWS($AF$2:AF833),$AF$2:$AF$1001,0),1)&gt;=100000,INDEX($AM$1005:$BM$1005,1,MATCH(COLUMNS($AM$1006:BC1006),$AM$1006:$BM$1006,0))&gt;=100000), " ",IF(INDEX($AM$2:$BM$1001,MATCH(ROWS($AF$2:AF833),$AF$2:$AF$1001,0),MATCH(COLUMNS($AM$1006:BC1006),$AM$1006:$BM$1006,0)), HYPERLINK("#",""), HYPERLINK(CONCATENATE("#metadata!", ADDRESS(INDEX($AH$2:$AH$1001,MATCH(ROWS($AF$2:AF833),$AF$2:$AF$1001,0),0), INDEX($AM$1004:$BM$1004,1,MATCH(COLUMNS($AM$1006:BC1006),$AM$1006:$BM$1006,0)))),"Fix")))</f>
        <v xml:space="preserve"> </v>
      </c>
      <c r="S833" s="4" t="str">
        <f ca="1">IF(OR(INDEX($AG$2:$AG$1001,MATCH(ROWS($AF$2:AF833),$AF$2:$AF$1001,0),1)&gt;=100000,INDEX($AM$1005:$BM$1005,1,MATCH(COLUMNS($AM$1006:BD1006),$AM$1006:$BM$1006,0))&gt;=100000), " ",IF(INDEX($AM$2:$BM$1001,MATCH(ROWS($AF$2:AF833),$AF$2:$AF$1001,0),MATCH(COLUMNS($AM$1006:BD1006),$AM$1006:$BM$1006,0)), HYPERLINK("#",""), HYPERLINK(CONCATENATE("#metadata!", ADDRESS(INDEX($AH$2:$AH$1001,MATCH(ROWS($AF$2:AF833),$AF$2:$AF$1001,0),0), INDEX($AM$1004:$BM$1004,1,MATCH(COLUMNS($AM$1006:BD1006),$AM$1006:$BM$1006,0)))),"Fix")))</f>
        <v xml:space="preserve"> </v>
      </c>
      <c r="T833" s="4" t="str">
        <f ca="1">IF(OR(INDEX($AG$2:$AG$1001,MATCH(ROWS($AF$2:AF833),$AF$2:$AF$1001,0),1)&gt;=100000,INDEX($AM$1005:$BM$1005,1,MATCH(COLUMNS($AM$1006:BE1006),$AM$1006:$BM$1006,0))&gt;=100000), " ",IF(INDEX($AM$2:$BM$1001,MATCH(ROWS($AF$2:AF833),$AF$2:$AF$1001,0),MATCH(COLUMNS($AM$1006:BE1006),$AM$1006:$BM$1006,0)), HYPERLINK("#",""), HYPERLINK(CONCATENATE("#metadata!", ADDRESS(INDEX($AH$2:$AH$1001,MATCH(ROWS($AF$2:AF833),$AF$2:$AF$1001,0),0), INDEX($AM$1004:$BM$1004,1,MATCH(COLUMNS($AM$1006:BE1006),$AM$1006:$BM$1006,0)))),"Fix")))</f>
        <v xml:space="preserve"> </v>
      </c>
      <c r="U833" s="4" t="str">
        <f ca="1">IF(OR(INDEX($AG$2:$AG$1001,MATCH(ROWS($AF$2:AF833),$AF$2:$AF$1001,0),1)&gt;=100000,INDEX($AM$1005:$BM$1005,1,MATCH(COLUMNS($AM$1006:BF1006),$AM$1006:$BM$1006,0))&gt;=100000), " ",IF(INDEX($AM$2:$BM$1001,MATCH(ROWS($AF$2:AF833),$AF$2:$AF$1001,0),MATCH(COLUMNS($AM$1006:BF1006),$AM$1006:$BM$1006,0)), HYPERLINK("#",""), HYPERLINK(CONCATENATE("#metadata!", ADDRESS(INDEX($AH$2:$AH$1001,MATCH(ROWS($AF$2:AF833),$AF$2:$AF$1001,0),0), INDEX($AM$1004:$BM$1004,1,MATCH(COLUMNS($AM$1006:BF1006),$AM$1006:$BM$1006,0)))),"Fix")))</f>
        <v xml:space="preserve"> </v>
      </c>
      <c r="V833" s="4" t="str">
        <f ca="1">IF(OR(INDEX($AG$2:$AG$1001,MATCH(ROWS($AF$2:AF833),$AF$2:$AF$1001,0),1)&gt;=100000,INDEX($AM$1005:$BM$1005,1,MATCH(COLUMNS($AM$1006:BG1006),$AM$1006:$BM$1006,0))&gt;=100000), " ",IF(INDEX($AM$2:$BM$1001,MATCH(ROWS($AF$2:AF833),$AF$2:$AF$1001,0),MATCH(COLUMNS($AM$1006:BG1006),$AM$1006:$BM$1006,0)), HYPERLINK("#",""), HYPERLINK(CONCATENATE("#metadata!", ADDRESS(INDEX($AH$2:$AH$1001,MATCH(ROWS($AF$2:AF833),$AF$2:$AF$1001,0),0), INDEX($AM$1004:$BM$1004,1,MATCH(COLUMNS($AM$1006:BG1006),$AM$1006:$BM$1006,0)))),"Fix")))</f>
        <v xml:space="preserve"> </v>
      </c>
      <c r="W833" s="4" t="str">
        <f ca="1">IF(OR(INDEX($AG$2:$AG$1001,MATCH(ROWS($AF$2:AF833),$AF$2:$AF$1001,0),1)&gt;=100000,INDEX($AM$1005:$BM$1005,1,MATCH(COLUMNS($AM$1006:BH1006),$AM$1006:$BM$1006,0))&gt;=100000), " ",IF(INDEX($AM$2:$BM$1001,MATCH(ROWS($AF$2:AF833),$AF$2:$AF$1001,0),MATCH(COLUMNS($AM$1006:BH1006),$AM$1006:$BM$1006,0)), HYPERLINK("#",""), HYPERLINK(CONCATENATE("#metadata!", ADDRESS(INDEX($AH$2:$AH$1001,MATCH(ROWS($AF$2:AF833),$AF$2:$AF$1001,0),0), INDEX($AM$1004:$BM$1004,1,MATCH(COLUMNS($AM$1006:BH1006),$AM$1006:$BM$1006,0)))),"Fix")))</f>
        <v xml:space="preserve"> </v>
      </c>
      <c r="X833" s="4" t="str">
        <f ca="1">IF(OR(INDEX($AG$2:$AG$1001,MATCH(ROWS($AF$2:AF833),$AF$2:$AF$1001,0),1)&gt;=100000,INDEX($AM$1005:$BM$1005,1,MATCH(COLUMNS($AM$1006:BI1006),$AM$1006:$BM$1006,0))&gt;=100000), " ",IF(INDEX($AM$2:$BM$1001,MATCH(ROWS($AF$2:AF833),$AF$2:$AF$1001,0),MATCH(COLUMNS($AM$1006:BI1006),$AM$1006:$BM$1006,0)), HYPERLINK("#",""), HYPERLINK(CONCATENATE("#metadata!", ADDRESS(INDEX($AH$2:$AH$1001,MATCH(ROWS($AF$2:AF833),$AF$2:$AF$1001,0),0), INDEX($AM$1004:$BM$1004,1,MATCH(COLUMNS($AM$1006:BI1006),$AM$1006:$BM$1006,0)))),"Fix")))</f>
        <v xml:space="preserve"> </v>
      </c>
      <c r="Y833" s="4" t="str">
        <f ca="1">IF(OR(INDEX($AG$2:$AG$1001,MATCH(ROWS($AF$2:AF833),$AF$2:$AF$1001,0),1)&gt;=100000,INDEX($AM$1005:$BM$1005,1,MATCH(COLUMNS($AM$1006:BJ1006),$AM$1006:$BM$1006,0))&gt;=100000), " ",IF(INDEX($AM$2:$BM$1001,MATCH(ROWS($AF$2:AF833),$AF$2:$AF$1001,0),MATCH(COLUMNS($AM$1006:BJ1006),$AM$1006:$BM$1006,0)), HYPERLINK("#",""), HYPERLINK(CONCATENATE("#metadata!", ADDRESS(INDEX($AH$2:$AH$1001,MATCH(ROWS($AF$2:AF833),$AF$2:$AF$1001,0),0), INDEX($AM$1004:$BM$1004,1,MATCH(COLUMNS($AM$1006:BJ1006),$AM$1006:$BM$1006,0)))),"Fix")))</f>
        <v xml:space="preserve"> </v>
      </c>
      <c r="Z833" s="4" t="str">
        <f ca="1">IF(OR(INDEX($AG$2:$AG$1001,MATCH(ROWS($AF$2:AF833),$AF$2:$AF$1001,0),1)&gt;=100000,INDEX($AM$1005:$BM$1005,1,MATCH(COLUMNS($AM$1006:BK1006),$AM$1006:$BM$1006,0))&gt;=100000), " ",IF(INDEX($AM$2:$BM$1001,MATCH(ROWS($AF$2:AF833),$AF$2:$AF$1001,0),MATCH(COLUMNS($AM$1006:BK1006),$AM$1006:$BM$1006,0)), HYPERLINK("#",""), HYPERLINK(CONCATENATE("#metadata!", ADDRESS(INDEX($AH$2:$AH$1001,MATCH(ROWS($AF$2:AF833),$AF$2:$AF$1001,0),0), INDEX($AM$1004:$BM$1004,1,MATCH(COLUMNS($AM$1006:BK1006),$AM$1006:$BM$1006,0)))),"Fix")))</f>
        <v xml:space="preserve"> </v>
      </c>
      <c r="AA833" s="4" t="str">
        <f ca="1">IF(OR(INDEX($AG$2:$AG$1001,MATCH(ROWS($AF$2:AF833),$AF$2:$AF$1001,0),1)&gt;=100000,INDEX($AM$1005:$BM$1005,1,MATCH(COLUMNS($AM$1006:BL1006),$AM$1006:$BM$1006,0))&gt;=100000), " ",IF(INDEX($AM$2:$BM$1001,MATCH(ROWS($AF$2:AF833),$AF$2:$AF$1001,0),MATCH(COLUMNS($AM$1006:BL1006),$AM$1006:$BM$1006,0)), HYPERLINK("#",""), HYPERLINK(CONCATENATE("#metadata!", ADDRESS(INDEX($AH$2:$AH$1001,MATCH(ROWS($AF$2:AF833),$AF$2:$AF$1001,0),0), INDEX($AM$1004:$BM$1004,1,MATCH(COLUMNS($AM$1006:BL1006),$AM$1006:$BM$1006,0)))),"Fix")))</f>
        <v xml:space="preserve"> </v>
      </c>
      <c r="AB833" s="4" t="str">
        <f ca="1">IF(OR(INDEX($AG$2:$AG$1001,MATCH(ROWS($AF$2:AF833),$AF$2:$AF$1001,0),1)&gt;=100000,INDEX($AM$1005:$BM$1005,1,MATCH(COLUMNS($AM$1006:BM1006),$AM$1006:$BM$1006,0))&gt;=100000), " ",IF(INDEX($AM$2:$BM$1001,MATCH(ROWS($AF$2:AF833),$AF$2:$AF$1001,0),MATCH(COLUMNS($AM$1006:BM1006),$AM$1006:$BM$1006,0)), HYPERLINK("#",""), HYPERLINK(CONCATENATE("#metadata!", ADDRESS(INDEX($AH$2:$AH$1001,MATCH(ROWS($AF$2:AF833),$AF$2:$AF$1001,0),0), INDEX($AM$1004:$BM$1004,1,MATCH(COLUMNS($AM$1006:BM1006),$AM$1006:$BM$1006,0)))),"Fix")))</f>
        <v xml:space="preserve"> </v>
      </c>
      <c r="AF833">
        <v>832</v>
      </c>
      <c r="AG833">
        <v>100833</v>
      </c>
      <c r="AH833">
        <v>833</v>
      </c>
      <c r="AI833" t="b">
        <f t="shared" si="12"/>
        <v>1</v>
      </c>
      <c r="AJ833" t="b">
        <f>COUNTBLANK(metadata!B833:AB833)=COLUMNS(metadata!B833:AB833)</f>
        <v>1</v>
      </c>
      <c r="AK833" t="str">
        <v/>
      </c>
      <c r="AM833" t="b">
        <f ca="1">AND(IF(metadata!B833="",FALSE,TRUE),COUNTIF(metadata!B:B, metadata!B833) = 1,NOT(ISERROR(SUMPRODUCT(SEARCH(MID(metadata!B833,ROW(INDIRECT("1:"&amp;LEN(metadata!B833))), 1),"0123456789abcdefghijklmnopqrstuvwxyzABCDEFGHIJKLMNOPQRSTUVWXYZ.")))))</f>
        <v>0</v>
      </c>
      <c r="AN833" t="b">
        <f ca="1">OR(AND(IF(metadata!C833="",FALSE,TRUE),OR(EXACT(metadata!C833,"missing: not collected"),EXACT(metadata!C833,"missing: not provided"),EXACT(metadata!C833,"missing: restricted access"))),AND(IF(metadata!C833="",FALSE,TRUE),AND(AND(IFERROR(INT(LEFT(metadata!C833,4))&gt;1900,FALSE),IFERROR(INT(LEFT(metadata!C833,4))&lt;=YEAR(NOW()),FALSE)), OR(MID(metadata!C833,5,1)="", AND(AND(MID(metadata!C833,5,1)="-",IFERROR(INT(MID(metadata!C833,6,1))&gt;=0,FALSE),IFERROR(INT(MID(metadata!C833,6,1))&lt;=1,FALSE),NOT(MID(metadata!C833,7,1)=""),IFERROR(INT(MID(metadata!C833,6,2))&gt;=1,FALSE),IFERROR(INT(MID(metadata!C833,6,2))&lt;=12,FALSE)), OR(MID(metadata!C833,8,1)="", AND(AND(MID(metadata!C833,8,1)="-",IFERROR(INT(MID(metadata!C833,9,1))&gt;=0,FALSE),IFERROR(INT(MID(metadata!C833,9,1))&lt;=3,FALSE),NOT(MID(metadata!C833,10,1)=""),IFERROR(INT(MID(metadata!C833,9,2))&gt;=1,FALSE),IFERROR(INT(MID(metadata!C833,9,2))&lt;=31,FALSE)), OR(MID(metadata!C833,11,1)="", AND(AND(MID(metadata!C833,11,1)=" ",IFERROR(INT(MID(metadata!C833,12,1))&gt;=0,FALSE),IFERROR(INT(MID(metadata!C833,12,1))&lt;=2,FALSE),NOT(MID(metadata!C833,13,1)=""),IFERROR(INT(MID(metadata!C833,12,2))&gt;=0,FALSE),IFERROR(INT(MID(metadata!C833,12,2))&lt;=23,FALSE)), OR(MID(metadata!C833,14,1)="", AND(AND(MID(metadata!C833,14,1)=":",IFERROR(INT(MID(metadata!C833,15,1))&gt;=0,FALSE),IFERROR(INT(MID(metadata!C833,15,1))&lt;=5,FALSE),NOT(MID(metadata!C833,16,1)=""),IFERROR(INT(MID(metadata!C833,15,2))&gt;=0,FALSE),IFERROR(INT(MID(metadata!C833,15,2))&lt;=59,FALSE)), OR(MID(metadata!C833,17,1)="", AND(AND(MID(metadata!C833,17,1)=":",IFERROR(INT(MID(metadata!C833,18,1))&gt;=0,FALSE),IFERROR(INT(MID(metadata!C833,18,1))&lt;=5,FALSE),NOT(MID(metadata!C833,19,1)=""),IFERROR(INT(MID(metadata!C833,18,2))&gt;=0,FALSE),IFERROR(INT(MID(metadata!C833,18,2))&lt;=59,FALSE)), LEN(metadata!C833)&lt;=19)))))))))))))</f>
        <v>0</v>
      </c>
      <c r="AO833" t="b">
        <f>AND(IF(metadata!D833="",FALSE,TRUE),EXACT(metadata!D833,"Not applicable"))</f>
        <v>0</v>
      </c>
      <c r="AP833" t="b">
        <f>IF(metadata!E833="",FALSE,TRUE)</f>
        <v>0</v>
      </c>
      <c r="AQ833" t="b">
        <f>OR(AND(IF(metadata!F833="",FALSE,TRUE),OR(EXACT(metadata!F833,"missing: not collected"),EXACT(metadata!F833,"missing: not provided"))),AND(IF(metadata!F833="",FALSE,TRUE),OR(EXACT(metadata!F833,"TRUE"),EXACT(metadata!F833,"FALSE"))))</f>
        <v>0</v>
      </c>
      <c r="AR833" t="b">
        <f>OR(AND(IF(metadata!G833="",FALSE,TRUE),OR(EXACT(metadata!G833,"missing: not collected"),EXACT(metadata!G833,"missing: not provided"),EXACT(metadata!G833,"missing: restricted access"))),AND(IF(metadata!G833="",FALSE,ISNUMBER(VALUE(metadata!G833))),metadata!G833&gt;=-413))</f>
        <v>0</v>
      </c>
      <c r="AS833" t="b">
        <f>AND(IF(metadata!H833="",FALSE,TRUE),EXACT(metadata!H833,"meters"))</f>
        <v>0</v>
      </c>
      <c r="AT833" t="b">
        <f>AND(IF(metadata!I833="",FALSE,TRUE),OR(EXACT(metadata!I833,"Host-associated"),EXACT(metadata!I833,"Free-living")))</f>
        <v>0</v>
      </c>
      <c r="AU833" t="b">
        <f>AND(IF(metadata!J833="",FALSE,TRUE),OR(EXACT(metadata!J833,"Animal"),EXACT(metadata!J833,"Fungus"),EXACT(metadata!J833,"Plant"),EXACT(metadata!J833,"Saline"),EXACT(metadata!J833,"Non-saline")))</f>
        <v>0</v>
      </c>
      <c r="AV833" t="b">
        <f>AND(IF(metadata!K833="",FALSE,TRUE),OR(EXACT(metadata!K833,"Plant secretion"),EXACT(metadata!K833,"Plant rhizosphere"),EXACT(metadata!K833,"Plant surface"),EXACT(metadata!K833,"Plant corpus"),EXACT(metadata!K833,"Fungus surface"),EXACT(metadata!K833,"Fungus corpus"),EXACT(metadata!K833,"Animal surface"),EXACT(metadata!K833,"Animal proximal gut"),EXACT(metadata!K833,"Animal corpus"),EXACT(metadata!K833,"Animal distal gut"),EXACT(metadata!K833,"Animal secretion"),EXACT(metadata!K833,"Sub-surface (non-saline)"),EXACT(metadata!K833,"Surface (non-saline)"),EXACT(metadata!K833,"Water (non-saline)"),EXACT(metadata!K833,"Soil (non-saline)"),EXACT(metadata!K833,"Aerosol (non-saline)"),EXACT(metadata!K833,"Sediment (non-saline)"),EXACT(metadata!K833,"Surface (saline)"),EXACT(metadata!K833,"Water (saline)"),EXACT(metadata!K833,"Hypersaline (saline)"),EXACT(metadata!K833,"Aerosol (saline)"),EXACT(metadata!K833,"Sediment (saline)")))</f>
        <v>0</v>
      </c>
      <c r="AW833" t="b">
        <f>IF(metadata!L833="",FALSE,TRUE)</f>
        <v>0</v>
      </c>
      <c r="AX833" t="b">
        <f>IF(metadata!M833="",FALSE,TRUE)</f>
        <v>0</v>
      </c>
      <c r="AY833" t="b">
        <f>IF(metadata!N833="",FALSE,TRUE)</f>
        <v>0</v>
      </c>
      <c r="AZ833" t="b">
        <f>OR(AND(IF(metadata!O833="",FALSE,TRUE),OR(EXACT(metadata!O833,"missing: not collected"),EXACT(metadata!O833,"missing: not provided"),EXACT(metadata!O833,"missing: restricted access"))),AND(IF(metadata!O833="",FALSE,TRUE),OR(EXACT(metadata!O833,"air"),EXACT(metadata!O833,"built environment"),EXACT(metadata!O833,"host-associated"),EXACT(metadata!O833,"human-associated"),EXACT(metadata!O833,"human-skin"),EXACT(metadata!O833,"human-oral"),EXACT(metadata!O833,"human-gut"),EXACT(metadata!O833,"human-vaginal"),EXACT(metadata!O833,"microbial mat/biofilm"),EXACT(metadata!O833,"misc environment"),EXACT(metadata!O833,"plant-associated"),EXACT(metadata!O833,"sediment"),EXACT(metadata!O833,"soil"),EXACT(metadata!O833,"wastewater/sludge"),EXACT(metadata!O833,"water"))))</f>
        <v>0</v>
      </c>
      <c r="BA833" t="b">
        <f>IF(metadata!P833="",FALSE,TRUE)</f>
        <v>0</v>
      </c>
      <c r="BB833" t="b">
        <f>IF(metadata!Q833="",FALSE,TRUE)</f>
        <v>0</v>
      </c>
      <c r="BC833" t="b">
        <f>OR(AND(IF(metadata!R833="",FALSE,TRUE),OR(EXACT(metadata!R833,"missing: not collected"),EXACT(metadata!R833,"missing: not provided"),EXACT(metadata!R833,"missing: restricted access"))),AND(IF(metadata!R833="",FALSE,ISNUMBER(VALUE(metadata!R833))),metadata!R833&gt;=-90,metadata!R833&lt;=90))</f>
        <v>0</v>
      </c>
      <c r="BD833" t="b">
        <f>AND(IF(metadata!S833="",FALSE,TRUE),EXACT(metadata!S833,"Decimal degrees"))</f>
        <v>0</v>
      </c>
      <c r="BE833" t="b">
        <f>OR(AND(IF(metadata!T833="",FALSE,TRUE),OR(EXACT(metadata!T833,"missing: not collected"),EXACT(metadata!T833,"missing: not provided"),EXACT(metadata!T833,"missing: restricted access"))),AND(IF(metadata!T833="",FALSE,ISNUMBER(VALUE(metadata!T833))),metadata!T833&gt;=-180,metadata!T833&lt;=180))</f>
        <v>0</v>
      </c>
      <c r="BF833" t="b">
        <f>AND(IF(metadata!U833="",FALSE,TRUE),EXACT(metadata!U833,"Decimal degrees"))</f>
        <v>0</v>
      </c>
      <c r="BG833" t="b">
        <f>IF(metadata!V833="",FALSE,TRUE)</f>
        <v>0</v>
      </c>
      <c r="BH833" t="b">
        <f>OR(AND(IF(metadata!W833="",FALSE,TRUE),OR(EXACT(metadata!W833,"missing: not collected"),EXACT(metadata!W833,"missing: not provided"),EXACT(metadata!W833,"missing: restricted access"))),AND(IF(metadata!W833="",FALSE,TRUE),OR(EXACT(metadata!W833,"TRUE"),EXACT(metadata!W833,"FALSE"))))</f>
        <v>0</v>
      </c>
      <c r="BI833" t="b">
        <f>AND(IF(metadata!X833="",FALSE,TRUE),EXACT(metadata!X833,"other"))</f>
        <v>0</v>
      </c>
      <c r="BJ833" t="b">
        <f>IF(metadata!Y833="",FALSE,TRUE)</f>
        <v>0</v>
      </c>
      <c r="BK833" t="b">
        <f>OR(AND(IF(metadata!Z833="",FALSE,TRUE),OR(EXACT(metadata!Z833,"missing: not collected"),EXACT(metadata!Z833,"missing: not provided"))),AND(IF(metadata!Z833="",FALSE,IF(ISERROR(INT(metadata!Z833)),FALSE,INT(metadata!Z833)=metadata!Z833)),metadata!Z833&gt;0))</f>
        <v>0</v>
      </c>
      <c r="BL833" t="b">
        <f>AND(IF(metadata!AA833="",FALSE,TRUE),EXACT(metadata!AA833,"Not applicable"))</f>
        <v>0</v>
      </c>
      <c r="BM833" t="b">
        <f>IF(metadata!AB833="",FALSE,TRUE)</f>
        <v>0</v>
      </c>
    </row>
    <row r="834" spans="1:65" x14ac:dyDescent="0.2">
      <c r="A834" s="5" t="str">
        <f ca="1">IF(B834=" "," ",HYPERLINK(CONCATENATE("#metadata!",ADDRESS(INDEX($AH$2:$AH$1001,MATCH(ROWS($AF$2:AF834),$AF$2:$AF$1001,0),0),1)),INDEX($AK$2:$AK$1001,MATCH(ROWS($AF$2:AF834),$AF$2:$AF$1001,0),0)))</f>
        <v xml:space="preserve"> </v>
      </c>
      <c r="B834" s="4" t="str">
        <f ca="1">IF(OR(INDEX($AG$2:$AG$1001,MATCH(ROWS($AF$2:AF834),$AF$2:$AF$1001,0),1)&gt;=100000,INDEX($AM$1005:$BM$1005,1,MATCH(COLUMNS($AM$1006:AM1006),$AM$1006:$BM$1006,0))&gt;=100000), " ",IF(INDEX($AM$2:$BM$1001,MATCH(ROWS($AF$2:AF834),$AF$2:$AF$1001,0),MATCH(COLUMNS($AM$1006:AM1006),$AM$1006:$BM$1006,0)), HYPERLINK("#",""), HYPERLINK(CONCATENATE("#metadata!", ADDRESS(INDEX($AH$2:$AH$1001,MATCH(ROWS($AF$2:AF834),$AF$2:$AF$1001,0),0), INDEX($AM$1004:$BM$1004,1,MATCH(COLUMNS($AM$1006:AM1006),$AM$1006:$BM$1006,0)))),"Fix")))</f>
        <v xml:space="preserve"> </v>
      </c>
      <c r="C834" s="4" t="str">
        <f ca="1">IF(OR(INDEX($AG$2:$AG$1001,MATCH(ROWS($AF$2:AF834),$AF$2:$AF$1001,0),1)&gt;=100000,INDEX($AM$1005:$BM$1005,1,MATCH(COLUMNS($AM$1006:AN1006),$AM$1006:$BM$1006,0))&gt;=100000), " ",IF(INDEX($AM$2:$BM$1001,MATCH(ROWS($AF$2:AF834),$AF$2:$AF$1001,0),MATCH(COLUMNS($AM$1006:AN1006),$AM$1006:$BM$1006,0)), HYPERLINK("#",""), HYPERLINK(CONCATENATE("#metadata!", ADDRESS(INDEX($AH$2:$AH$1001,MATCH(ROWS($AF$2:AF834),$AF$2:$AF$1001,0),0), INDEX($AM$1004:$BM$1004,1,MATCH(COLUMNS($AM$1006:AN1006),$AM$1006:$BM$1006,0)))),"Fix")))</f>
        <v xml:space="preserve"> </v>
      </c>
      <c r="D834" s="4" t="str">
        <f ca="1">IF(OR(INDEX($AG$2:$AG$1001,MATCH(ROWS($AF$2:AF834),$AF$2:$AF$1001,0),1)&gt;=100000,INDEX($AM$1005:$BM$1005,1,MATCH(COLUMNS($AM$1006:AO1006),$AM$1006:$BM$1006,0))&gt;=100000), " ",IF(INDEX($AM$2:$BM$1001,MATCH(ROWS($AF$2:AF834),$AF$2:$AF$1001,0),MATCH(COLUMNS($AM$1006:AO1006),$AM$1006:$BM$1006,0)), HYPERLINK("#",""), HYPERLINK(CONCATENATE("#metadata!", ADDRESS(INDEX($AH$2:$AH$1001,MATCH(ROWS($AF$2:AF834),$AF$2:$AF$1001,0),0), INDEX($AM$1004:$BM$1004,1,MATCH(COLUMNS($AM$1006:AO1006),$AM$1006:$BM$1006,0)))),"Fix")))</f>
        <v xml:space="preserve"> </v>
      </c>
      <c r="E834" s="4" t="str">
        <f ca="1">IF(OR(INDEX($AG$2:$AG$1001,MATCH(ROWS($AF$2:AF834),$AF$2:$AF$1001,0),1)&gt;=100000,INDEX($AM$1005:$BM$1005,1,MATCH(COLUMNS($AM$1006:AP1006),$AM$1006:$BM$1006,0))&gt;=100000), " ",IF(INDEX($AM$2:$BM$1001,MATCH(ROWS($AF$2:AF834),$AF$2:$AF$1001,0),MATCH(COLUMNS($AM$1006:AP1006),$AM$1006:$BM$1006,0)), HYPERLINK("#",""), HYPERLINK(CONCATENATE("#metadata!", ADDRESS(INDEX($AH$2:$AH$1001,MATCH(ROWS($AF$2:AF834),$AF$2:$AF$1001,0),0), INDEX($AM$1004:$BM$1004,1,MATCH(COLUMNS($AM$1006:AP1006),$AM$1006:$BM$1006,0)))),"Fix")))</f>
        <v xml:space="preserve"> </v>
      </c>
      <c r="F834" s="4" t="str">
        <f ca="1">IF(OR(INDEX($AG$2:$AG$1001,MATCH(ROWS($AF$2:AF834),$AF$2:$AF$1001,0),1)&gt;=100000,INDEX($AM$1005:$BM$1005,1,MATCH(COLUMNS($AM$1006:AQ1006),$AM$1006:$BM$1006,0))&gt;=100000), " ",IF(INDEX($AM$2:$BM$1001,MATCH(ROWS($AF$2:AF834),$AF$2:$AF$1001,0),MATCH(COLUMNS($AM$1006:AQ1006),$AM$1006:$BM$1006,0)), HYPERLINK("#",""), HYPERLINK(CONCATENATE("#metadata!", ADDRESS(INDEX($AH$2:$AH$1001,MATCH(ROWS($AF$2:AF834),$AF$2:$AF$1001,0),0), INDEX($AM$1004:$BM$1004,1,MATCH(COLUMNS($AM$1006:AQ1006),$AM$1006:$BM$1006,0)))),"Fix")))</f>
        <v xml:space="preserve"> </v>
      </c>
      <c r="G834" s="4" t="str">
        <f ca="1">IF(OR(INDEX($AG$2:$AG$1001,MATCH(ROWS($AF$2:AF834),$AF$2:$AF$1001,0),1)&gt;=100000,INDEX($AM$1005:$BM$1005,1,MATCH(COLUMNS($AM$1006:AR1006),$AM$1006:$BM$1006,0))&gt;=100000), " ",IF(INDEX($AM$2:$BM$1001,MATCH(ROWS($AF$2:AF834),$AF$2:$AF$1001,0),MATCH(COLUMNS($AM$1006:AR1006),$AM$1006:$BM$1006,0)), HYPERLINK("#",""), HYPERLINK(CONCATENATE("#metadata!", ADDRESS(INDEX($AH$2:$AH$1001,MATCH(ROWS($AF$2:AF834),$AF$2:$AF$1001,0),0), INDEX($AM$1004:$BM$1004,1,MATCH(COLUMNS($AM$1006:AR1006),$AM$1006:$BM$1006,0)))),"Fix")))</f>
        <v xml:space="preserve"> </v>
      </c>
      <c r="H834" s="4" t="str">
        <f ca="1">IF(OR(INDEX($AG$2:$AG$1001,MATCH(ROWS($AF$2:AF834),$AF$2:$AF$1001,0),1)&gt;=100000,INDEX($AM$1005:$BM$1005,1,MATCH(COLUMNS($AM$1006:AS1006),$AM$1006:$BM$1006,0))&gt;=100000), " ",IF(INDEX($AM$2:$BM$1001,MATCH(ROWS($AF$2:AF834),$AF$2:$AF$1001,0),MATCH(COLUMNS($AM$1006:AS1006),$AM$1006:$BM$1006,0)), HYPERLINK("#",""), HYPERLINK(CONCATENATE("#metadata!", ADDRESS(INDEX($AH$2:$AH$1001,MATCH(ROWS($AF$2:AF834),$AF$2:$AF$1001,0),0), INDEX($AM$1004:$BM$1004,1,MATCH(COLUMNS($AM$1006:AS1006),$AM$1006:$BM$1006,0)))),"Fix")))</f>
        <v xml:space="preserve"> </v>
      </c>
      <c r="I834" s="4" t="str">
        <f ca="1">IF(OR(INDEX($AG$2:$AG$1001,MATCH(ROWS($AF$2:AF834),$AF$2:$AF$1001,0),1)&gt;=100000,INDEX($AM$1005:$BM$1005,1,MATCH(COLUMNS($AM$1006:AT1006),$AM$1006:$BM$1006,0))&gt;=100000), " ",IF(INDEX($AM$2:$BM$1001,MATCH(ROWS($AF$2:AF834),$AF$2:$AF$1001,0),MATCH(COLUMNS($AM$1006:AT1006),$AM$1006:$BM$1006,0)), HYPERLINK("#",""), HYPERLINK(CONCATENATE("#metadata!", ADDRESS(INDEX($AH$2:$AH$1001,MATCH(ROWS($AF$2:AF834),$AF$2:$AF$1001,0),0), INDEX($AM$1004:$BM$1004,1,MATCH(COLUMNS($AM$1006:AT1006),$AM$1006:$BM$1006,0)))),"Fix")))</f>
        <v xml:space="preserve"> </v>
      </c>
      <c r="J834" s="4" t="str">
        <f ca="1">IF(OR(INDEX($AG$2:$AG$1001,MATCH(ROWS($AF$2:AF834),$AF$2:$AF$1001,0),1)&gt;=100000,INDEX($AM$1005:$BM$1005,1,MATCH(COLUMNS($AM$1006:AU1006),$AM$1006:$BM$1006,0))&gt;=100000), " ",IF(INDEX($AM$2:$BM$1001,MATCH(ROWS($AF$2:AF834),$AF$2:$AF$1001,0),MATCH(COLUMNS($AM$1006:AU1006),$AM$1006:$BM$1006,0)), HYPERLINK("#",""), HYPERLINK(CONCATENATE("#metadata!", ADDRESS(INDEX($AH$2:$AH$1001,MATCH(ROWS($AF$2:AF834),$AF$2:$AF$1001,0),0), INDEX($AM$1004:$BM$1004,1,MATCH(COLUMNS($AM$1006:AU1006),$AM$1006:$BM$1006,0)))),"Fix")))</f>
        <v xml:space="preserve"> </v>
      </c>
      <c r="K834" s="4" t="str">
        <f ca="1">IF(OR(INDEX($AG$2:$AG$1001,MATCH(ROWS($AF$2:AF834),$AF$2:$AF$1001,0),1)&gt;=100000,INDEX($AM$1005:$BM$1005,1,MATCH(COLUMNS($AM$1006:AV1006),$AM$1006:$BM$1006,0))&gt;=100000), " ",IF(INDEX($AM$2:$BM$1001,MATCH(ROWS($AF$2:AF834),$AF$2:$AF$1001,0),MATCH(COLUMNS($AM$1006:AV1006),$AM$1006:$BM$1006,0)), HYPERLINK("#",""), HYPERLINK(CONCATENATE("#metadata!", ADDRESS(INDEX($AH$2:$AH$1001,MATCH(ROWS($AF$2:AF834),$AF$2:$AF$1001,0),0), INDEX($AM$1004:$BM$1004,1,MATCH(COLUMNS($AM$1006:AV1006),$AM$1006:$BM$1006,0)))),"Fix")))</f>
        <v xml:space="preserve"> </v>
      </c>
      <c r="L834" s="4" t="str">
        <f ca="1">IF(OR(INDEX($AG$2:$AG$1001,MATCH(ROWS($AF$2:AF834),$AF$2:$AF$1001,0),1)&gt;=100000,INDEX($AM$1005:$BM$1005,1,MATCH(COLUMNS($AM$1006:AW1006),$AM$1006:$BM$1006,0))&gt;=100000), " ",IF(INDEX($AM$2:$BM$1001,MATCH(ROWS($AF$2:AF834),$AF$2:$AF$1001,0),MATCH(COLUMNS($AM$1006:AW1006),$AM$1006:$BM$1006,0)), HYPERLINK("#",""), HYPERLINK(CONCATENATE("#metadata!", ADDRESS(INDEX($AH$2:$AH$1001,MATCH(ROWS($AF$2:AF834),$AF$2:$AF$1001,0),0), INDEX($AM$1004:$BM$1004,1,MATCH(COLUMNS($AM$1006:AW1006),$AM$1006:$BM$1006,0)))),"Fix")))</f>
        <v xml:space="preserve"> </v>
      </c>
      <c r="M834" s="4" t="str">
        <f ca="1">IF(OR(INDEX($AG$2:$AG$1001,MATCH(ROWS($AF$2:AF834),$AF$2:$AF$1001,0),1)&gt;=100000,INDEX($AM$1005:$BM$1005,1,MATCH(COLUMNS($AM$1006:AX1006),$AM$1006:$BM$1006,0))&gt;=100000), " ",IF(INDEX($AM$2:$BM$1001,MATCH(ROWS($AF$2:AF834),$AF$2:$AF$1001,0),MATCH(COLUMNS($AM$1006:AX1006),$AM$1006:$BM$1006,0)), HYPERLINK("#",""), HYPERLINK(CONCATENATE("#metadata!", ADDRESS(INDEX($AH$2:$AH$1001,MATCH(ROWS($AF$2:AF834),$AF$2:$AF$1001,0),0), INDEX($AM$1004:$BM$1004,1,MATCH(COLUMNS($AM$1006:AX1006),$AM$1006:$BM$1006,0)))),"Fix")))</f>
        <v xml:space="preserve"> </v>
      </c>
      <c r="N834" s="4" t="str">
        <f ca="1">IF(OR(INDEX($AG$2:$AG$1001,MATCH(ROWS($AF$2:AF834),$AF$2:$AF$1001,0),1)&gt;=100000,INDEX($AM$1005:$BM$1005,1,MATCH(COLUMNS($AM$1006:AY1006),$AM$1006:$BM$1006,0))&gt;=100000), " ",IF(INDEX($AM$2:$BM$1001,MATCH(ROWS($AF$2:AF834),$AF$2:$AF$1001,0),MATCH(COLUMNS($AM$1006:AY1006),$AM$1006:$BM$1006,0)), HYPERLINK("#",""), HYPERLINK(CONCATENATE("#metadata!", ADDRESS(INDEX($AH$2:$AH$1001,MATCH(ROWS($AF$2:AF834),$AF$2:$AF$1001,0),0), INDEX($AM$1004:$BM$1004,1,MATCH(COLUMNS($AM$1006:AY1006),$AM$1006:$BM$1006,0)))),"Fix")))</f>
        <v xml:space="preserve"> </v>
      </c>
      <c r="O834" s="4" t="str">
        <f ca="1">IF(OR(INDEX($AG$2:$AG$1001,MATCH(ROWS($AF$2:AF834),$AF$2:$AF$1001,0),1)&gt;=100000,INDEX($AM$1005:$BM$1005,1,MATCH(COLUMNS($AM$1006:AZ1006),$AM$1006:$BM$1006,0))&gt;=100000), " ",IF(INDEX($AM$2:$BM$1001,MATCH(ROWS($AF$2:AF834),$AF$2:$AF$1001,0),MATCH(COLUMNS($AM$1006:AZ1006),$AM$1006:$BM$1006,0)), HYPERLINK("#",""), HYPERLINK(CONCATENATE("#metadata!", ADDRESS(INDEX($AH$2:$AH$1001,MATCH(ROWS($AF$2:AF834),$AF$2:$AF$1001,0),0), INDEX($AM$1004:$BM$1004,1,MATCH(COLUMNS($AM$1006:AZ1006),$AM$1006:$BM$1006,0)))),"Fix")))</f>
        <v xml:space="preserve"> </v>
      </c>
      <c r="P834" s="4" t="str">
        <f ca="1">IF(OR(INDEX($AG$2:$AG$1001,MATCH(ROWS($AF$2:AF834),$AF$2:$AF$1001,0),1)&gt;=100000,INDEX($AM$1005:$BM$1005,1,MATCH(COLUMNS($AM$1006:BA1006),$AM$1006:$BM$1006,0))&gt;=100000), " ",IF(INDEX($AM$2:$BM$1001,MATCH(ROWS($AF$2:AF834),$AF$2:$AF$1001,0),MATCH(COLUMNS($AM$1006:BA1006),$AM$1006:$BM$1006,0)), HYPERLINK("#",""), HYPERLINK(CONCATENATE("#metadata!", ADDRESS(INDEX($AH$2:$AH$1001,MATCH(ROWS($AF$2:AF834),$AF$2:$AF$1001,0),0), INDEX($AM$1004:$BM$1004,1,MATCH(COLUMNS($AM$1006:BA1006),$AM$1006:$BM$1006,0)))),"Fix")))</f>
        <v xml:space="preserve"> </v>
      </c>
      <c r="Q834" s="4" t="str">
        <f ca="1">IF(OR(INDEX($AG$2:$AG$1001,MATCH(ROWS($AF$2:AF834),$AF$2:$AF$1001,0),1)&gt;=100000,INDEX($AM$1005:$BM$1005,1,MATCH(COLUMNS($AM$1006:BB1006),$AM$1006:$BM$1006,0))&gt;=100000), " ",IF(INDEX($AM$2:$BM$1001,MATCH(ROWS($AF$2:AF834),$AF$2:$AF$1001,0),MATCH(COLUMNS($AM$1006:BB1006),$AM$1006:$BM$1006,0)), HYPERLINK("#",""), HYPERLINK(CONCATENATE("#metadata!", ADDRESS(INDEX($AH$2:$AH$1001,MATCH(ROWS($AF$2:AF834),$AF$2:$AF$1001,0),0), INDEX($AM$1004:$BM$1004,1,MATCH(COLUMNS($AM$1006:BB1006),$AM$1006:$BM$1006,0)))),"Fix")))</f>
        <v xml:space="preserve"> </v>
      </c>
      <c r="R834" s="4" t="str">
        <f ca="1">IF(OR(INDEX($AG$2:$AG$1001,MATCH(ROWS($AF$2:AF834),$AF$2:$AF$1001,0),1)&gt;=100000,INDEX($AM$1005:$BM$1005,1,MATCH(COLUMNS($AM$1006:BC1006),$AM$1006:$BM$1006,0))&gt;=100000), " ",IF(INDEX($AM$2:$BM$1001,MATCH(ROWS($AF$2:AF834),$AF$2:$AF$1001,0),MATCH(COLUMNS($AM$1006:BC1006),$AM$1006:$BM$1006,0)), HYPERLINK("#",""), HYPERLINK(CONCATENATE("#metadata!", ADDRESS(INDEX($AH$2:$AH$1001,MATCH(ROWS($AF$2:AF834),$AF$2:$AF$1001,0),0), INDEX($AM$1004:$BM$1004,1,MATCH(COLUMNS($AM$1006:BC1006),$AM$1006:$BM$1006,0)))),"Fix")))</f>
        <v xml:space="preserve"> </v>
      </c>
      <c r="S834" s="4" t="str">
        <f ca="1">IF(OR(INDEX($AG$2:$AG$1001,MATCH(ROWS($AF$2:AF834),$AF$2:$AF$1001,0),1)&gt;=100000,INDEX($AM$1005:$BM$1005,1,MATCH(COLUMNS($AM$1006:BD1006),$AM$1006:$BM$1006,0))&gt;=100000), " ",IF(INDEX($AM$2:$BM$1001,MATCH(ROWS($AF$2:AF834),$AF$2:$AF$1001,0),MATCH(COLUMNS($AM$1006:BD1006),$AM$1006:$BM$1006,0)), HYPERLINK("#",""), HYPERLINK(CONCATENATE("#metadata!", ADDRESS(INDEX($AH$2:$AH$1001,MATCH(ROWS($AF$2:AF834),$AF$2:$AF$1001,0),0), INDEX($AM$1004:$BM$1004,1,MATCH(COLUMNS($AM$1006:BD1006),$AM$1006:$BM$1006,0)))),"Fix")))</f>
        <v xml:space="preserve"> </v>
      </c>
      <c r="T834" s="4" t="str">
        <f ca="1">IF(OR(INDEX($AG$2:$AG$1001,MATCH(ROWS($AF$2:AF834),$AF$2:$AF$1001,0),1)&gt;=100000,INDEX($AM$1005:$BM$1005,1,MATCH(COLUMNS($AM$1006:BE1006),$AM$1006:$BM$1006,0))&gt;=100000), " ",IF(INDEX($AM$2:$BM$1001,MATCH(ROWS($AF$2:AF834),$AF$2:$AF$1001,0),MATCH(COLUMNS($AM$1006:BE1006),$AM$1006:$BM$1006,0)), HYPERLINK("#",""), HYPERLINK(CONCATENATE("#metadata!", ADDRESS(INDEX($AH$2:$AH$1001,MATCH(ROWS($AF$2:AF834),$AF$2:$AF$1001,0),0), INDEX($AM$1004:$BM$1004,1,MATCH(COLUMNS($AM$1006:BE1006),$AM$1006:$BM$1006,0)))),"Fix")))</f>
        <v xml:space="preserve"> </v>
      </c>
      <c r="U834" s="4" t="str">
        <f ca="1">IF(OR(INDEX($AG$2:$AG$1001,MATCH(ROWS($AF$2:AF834),$AF$2:$AF$1001,0),1)&gt;=100000,INDEX($AM$1005:$BM$1005,1,MATCH(COLUMNS($AM$1006:BF1006),$AM$1006:$BM$1006,0))&gt;=100000), " ",IF(INDEX($AM$2:$BM$1001,MATCH(ROWS($AF$2:AF834),$AF$2:$AF$1001,0),MATCH(COLUMNS($AM$1006:BF1006),$AM$1006:$BM$1006,0)), HYPERLINK("#",""), HYPERLINK(CONCATENATE("#metadata!", ADDRESS(INDEX($AH$2:$AH$1001,MATCH(ROWS($AF$2:AF834),$AF$2:$AF$1001,0),0), INDEX($AM$1004:$BM$1004,1,MATCH(COLUMNS($AM$1006:BF1006),$AM$1006:$BM$1006,0)))),"Fix")))</f>
        <v xml:space="preserve"> </v>
      </c>
      <c r="V834" s="4" t="str">
        <f ca="1">IF(OR(INDEX($AG$2:$AG$1001,MATCH(ROWS($AF$2:AF834),$AF$2:$AF$1001,0),1)&gt;=100000,INDEX($AM$1005:$BM$1005,1,MATCH(COLUMNS($AM$1006:BG1006),$AM$1006:$BM$1006,0))&gt;=100000), " ",IF(INDEX($AM$2:$BM$1001,MATCH(ROWS($AF$2:AF834),$AF$2:$AF$1001,0),MATCH(COLUMNS($AM$1006:BG1006),$AM$1006:$BM$1006,0)), HYPERLINK("#",""), HYPERLINK(CONCATENATE("#metadata!", ADDRESS(INDEX($AH$2:$AH$1001,MATCH(ROWS($AF$2:AF834),$AF$2:$AF$1001,0),0), INDEX($AM$1004:$BM$1004,1,MATCH(COLUMNS($AM$1006:BG1006),$AM$1006:$BM$1006,0)))),"Fix")))</f>
        <v xml:space="preserve"> </v>
      </c>
      <c r="W834" s="4" t="str">
        <f ca="1">IF(OR(INDEX($AG$2:$AG$1001,MATCH(ROWS($AF$2:AF834),$AF$2:$AF$1001,0),1)&gt;=100000,INDEX($AM$1005:$BM$1005,1,MATCH(COLUMNS($AM$1006:BH1006),$AM$1006:$BM$1006,0))&gt;=100000), " ",IF(INDEX($AM$2:$BM$1001,MATCH(ROWS($AF$2:AF834),$AF$2:$AF$1001,0),MATCH(COLUMNS($AM$1006:BH1006),$AM$1006:$BM$1006,0)), HYPERLINK("#",""), HYPERLINK(CONCATENATE("#metadata!", ADDRESS(INDEX($AH$2:$AH$1001,MATCH(ROWS($AF$2:AF834),$AF$2:$AF$1001,0),0), INDEX($AM$1004:$BM$1004,1,MATCH(COLUMNS($AM$1006:BH1006),$AM$1006:$BM$1006,0)))),"Fix")))</f>
        <v xml:space="preserve"> </v>
      </c>
      <c r="X834" s="4" t="str">
        <f ca="1">IF(OR(INDEX($AG$2:$AG$1001,MATCH(ROWS($AF$2:AF834),$AF$2:$AF$1001,0),1)&gt;=100000,INDEX($AM$1005:$BM$1005,1,MATCH(COLUMNS($AM$1006:BI1006),$AM$1006:$BM$1006,0))&gt;=100000), " ",IF(INDEX($AM$2:$BM$1001,MATCH(ROWS($AF$2:AF834),$AF$2:$AF$1001,0),MATCH(COLUMNS($AM$1006:BI1006),$AM$1006:$BM$1006,0)), HYPERLINK("#",""), HYPERLINK(CONCATENATE("#metadata!", ADDRESS(INDEX($AH$2:$AH$1001,MATCH(ROWS($AF$2:AF834),$AF$2:$AF$1001,0),0), INDEX($AM$1004:$BM$1004,1,MATCH(COLUMNS($AM$1006:BI1006),$AM$1006:$BM$1006,0)))),"Fix")))</f>
        <v xml:space="preserve"> </v>
      </c>
      <c r="Y834" s="4" t="str">
        <f ca="1">IF(OR(INDEX($AG$2:$AG$1001,MATCH(ROWS($AF$2:AF834),$AF$2:$AF$1001,0),1)&gt;=100000,INDEX($AM$1005:$BM$1005,1,MATCH(COLUMNS($AM$1006:BJ1006),$AM$1006:$BM$1006,0))&gt;=100000), " ",IF(INDEX($AM$2:$BM$1001,MATCH(ROWS($AF$2:AF834),$AF$2:$AF$1001,0),MATCH(COLUMNS($AM$1006:BJ1006),$AM$1006:$BM$1006,0)), HYPERLINK("#",""), HYPERLINK(CONCATENATE("#metadata!", ADDRESS(INDEX($AH$2:$AH$1001,MATCH(ROWS($AF$2:AF834),$AF$2:$AF$1001,0),0), INDEX($AM$1004:$BM$1004,1,MATCH(COLUMNS($AM$1006:BJ1006),$AM$1006:$BM$1006,0)))),"Fix")))</f>
        <v xml:space="preserve"> </v>
      </c>
      <c r="Z834" s="4" t="str">
        <f ca="1">IF(OR(INDEX($AG$2:$AG$1001,MATCH(ROWS($AF$2:AF834),$AF$2:$AF$1001,0),1)&gt;=100000,INDEX($AM$1005:$BM$1005,1,MATCH(COLUMNS($AM$1006:BK1006),$AM$1006:$BM$1006,0))&gt;=100000), " ",IF(INDEX($AM$2:$BM$1001,MATCH(ROWS($AF$2:AF834),$AF$2:$AF$1001,0),MATCH(COLUMNS($AM$1006:BK1006),$AM$1006:$BM$1006,0)), HYPERLINK("#",""), HYPERLINK(CONCATENATE("#metadata!", ADDRESS(INDEX($AH$2:$AH$1001,MATCH(ROWS($AF$2:AF834),$AF$2:$AF$1001,0),0), INDEX($AM$1004:$BM$1004,1,MATCH(COLUMNS($AM$1006:BK1006),$AM$1006:$BM$1006,0)))),"Fix")))</f>
        <v xml:space="preserve"> </v>
      </c>
      <c r="AA834" s="4" t="str">
        <f ca="1">IF(OR(INDEX($AG$2:$AG$1001,MATCH(ROWS($AF$2:AF834),$AF$2:$AF$1001,0),1)&gt;=100000,INDEX($AM$1005:$BM$1005,1,MATCH(COLUMNS($AM$1006:BL1006),$AM$1006:$BM$1006,0))&gt;=100000), " ",IF(INDEX($AM$2:$BM$1001,MATCH(ROWS($AF$2:AF834),$AF$2:$AF$1001,0),MATCH(COLUMNS($AM$1006:BL1006),$AM$1006:$BM$1006,0)), HYPERLINK("#",""), HYPERLINK(CONCATENATE("#metadata!", ADDRESS(INDEX($AH$2:$AH$1001,MATCH(ROWS($AF$2:AF834),$AF$2:$AF$1001,0),0), INDEX($AM$1004:$BM$1004,1,MATCH(COLUMNS($AM$1006:BL1006),$AM$1006:$BM$1006,0)))),"Fix")))</f>
        <v xml:space="preserve"> </v>
      </c>
      <c r="AB834" s="4" t="str">
        <f ca="1">IF(OR(INDEX($AG$2:$AG$1001,MATCH(ROWS($AF$2:AF834),$AF$2:$AF$1001,0),1)&gt;=100000,INDEX($AM$1005:$BM$1005,1,MATCH(COLUMNS($AM$1006:BM1006),$AM$1006:$BM$1006,0))&gt;=100000), " ",IF(INDEX($AM$2:$BM$1001,MATCH(ROWS($AF$2:AF834),$AF$2:$AF$1001,0),MATCH(COLUMNS($AM$1006:BM1006),$AM$1006:$BM$1006,0)), HYPERLINK("#",""), HYPERLINK(CONCATENATE("#metadata!", ADDRESS(INDEX($AH$2:$AH$1001,MATCH(ROWS($AF$2:AF834),$AF$2:$AF$1001,0),0), INDEX($AM$1004:$BM$1004,1,MATCH(COLUMNS($AM$1006:BM1006),$AM$1006:$BM$1006,0)))),"Fix")))</f>
        <v xml:space="preserve"> </v>
      </c>
      <c r="AF834">
        <v>833</v>
      </c>
      <c r="AG834">
        <v>100834</v>
      </c>
      <c r="AH834">
        <v>834</v>
      </c>
      <c r="AI834" t="b">
        <f t="shared" ref="AI834:AI897" si="13">IF(AJ834,TRUE,AND(AM834:BM834))</f>
        <v>1</v>
      </c>
      <c r="AJ834" t="b">
        <f>COUNTBLANK(metadata!B834:AB834)=COLUMNS(metadata!B834:AB834)</f>
        <v>1</v>
      </c>
      <c r="AK834" t="str">
        <v/>
      </c>
      <c r="AM834" t="b">
        <f ca="1">AND(IF(metadata!B834="",FALSE,TRUE),COUNTIF(metadata!B:B, metadata!B834) = 1,NOT(ISERROR(SUMPRODUCT(SEARCH(MID(metadata!B834,ROW(INDIRECT("1:"&amp;LEN(metadata!B834))), 1),"0123456789abcdefghijklmnopqrstuvwxyzABCDEFGHIJKLMNOPQRSTUVWXYZ.")))))</f>
        <v>0</v>
      </c>
      <c r="AN834" t="b">
        <f ca="1">OR(AND(IF(metadata!C834="",FALSE,TRUE),OR(EXACT(metadata!C834,"missing: not collected"),EXACT(metadata!C834,"missing: not provided"),EXACT(metadata!C834,"missing: restricted access"))),AND(IF(metadata!C834="",FALSE,TRUE),AND(AND(IFERROR(INT(LEFT(metadata!C834,4))&gt;1900,FALSE),IFERROR(INT(LEFT(metadata!C834,4))&lt;=YEAR(NOW()),FALSE)), OR(MID(metadata!C834,5,1)="", AND(AND(MID(metadata!C834,5,1)="-",IFERROR(INT(MID(metadata!C834,6,1))&gt;=0,FALSE),IFERROR(INT(MID(metadata!C834,6,1))&lt;=1,FALSE),NOT(MID(metadata!C834,7,1)=""),IFERROR(INT(MID(metadata!C834,6,2))&gt;=1,FALSE),IFERROR(INT(MID(metadata!C834,6,2))&lt;=12,FALSE)), OR(MID(metadata!C834,8,1)="", AND(AND(MID(metadata!C834,8,1)="-",IFERROR(INT(MID(metadata!C834,9,1))&gt;=0,FALSE),IFERROR(INT(MID(metadata!C834,9,1))&lt;=3,FALSE),NOT(MID(metadata!C834,10,1)=""),IFERROR(INT(MID(metadata!C834,9,2))&gt;=1,FALSE),IFERROR(INT(MID(metadata!C834,9,2))&lt;=31,FALSE)), OR(MID(metadata!C834,11,1)="", AND(AND(MID(metadata!C834,11,1)=" ",IFERROR(INT(MID(metadata!C834,12,1))&gt;=0,FALSE),IFERROR(INT(MID(metadata!C834,12,1))&lt;=2,FALSE),NOT(MID(metadata!C834,13,1)=""),IFERROR(INT(MID(metadata!C834,12,2))&gt;=0,FALSE),IFERROR(INT(MID(metadata!C834,12,2))&lt;=23,FALSE)), OR(MID(metadata!C834,14,1)="", AND(AND(MID(metadata!C834,14,1)=":",IFERROR(INT(MID(metadata!C834,15,1))&gt;=0,FALSE),IFERROR(INT(MID(metadata!C834,15,1))&lt;=5,FALSE),NOT(MID(metadata!C834,16,1)=""),IFERROR(INT(MID(metadata!C834,15,2))&gt;=0,FALSE),IFERROR(INT(MID(metadata!C834,15,2))&lt;=59,FALSE)), OR(MID(metadata!C834,17,1)="", AND(AND(MID(metadata!C834,17,1)=":",IFERROR(INT(MID(metadata!C834,18,1))&gt;=0,FALSE),IFERROR(INT(MID(metadata!C834,18,1))&lt;=5,FALSE),NOT(MID(metadata!C834,19,1)=""),IFERROR(INT(MID(metadata!C834,18,2))&gt;=0,FALSE),IFERROR(INT(MID(metadata!C834,18,2))&lt;=59,FALSE)), LEN(metadata!C834)&lt;=19)))))))))))))</f>
        <v>0</v>
      </c>
      <c r="AO834" t="b">
        <f>AND(IF(metadata!D834="",FALSE,TRUE),EXACT(metadata!D834,"Not applicable"))</f>
        <v>0</v>
      </c>
      <c r="AP834" t="b">
        <f>IF(metadata!E834="",FALSE,TRUE)</f>
        <v>0</v>
      </c>
      <c r="AQ834" t="b">
        <f>OR(AND(IF(metadata!F834="",FALSE,TRUE),OR(EXACT(metadata!F834,"missing: not collected"),EXACT(metadata!F834,"missing: not provided"))),AND(IF(metadata!F834="",FALSE,TRUE),OR(EXACT(metadata!F834,"TRUE"),EXACT(metadata!F834,"FALSE"))))</f>
        <v>0</v>
      </c>
      <c r="AR834" t="b">
        <f>OR(AND(IF(metadata!G834="",FALSE,TRUE),OR(EXACT(metadata!G834,"missing: not collected"),EXACT(metadata!G834,"missing: not provided"),EXACT(metadata!G834,"missing: restricted access"))),AND(IF(metadata!G834="",FALSE,ISNUMBER(VALUE(metadata!G834))),metadata!G834&gt;=-413))</f>
        <v>0</v>
      </c>
      <c r="AS834" t="b">
        <f>AND(IF(metadata!H834="",FALSE,TRUE),EXACT(metadata!H834,"meters"))</f>
        <v>0</v>
      </c>
      <c r="AT834" t="b">
        <f>AND(IF(metadata!I834="",FALSE,TRUE),OR(EXACT(metadata!I834,"Host-associated"),EXACT(metadata!I834,"Free-living")))</f>
        <v>0</v>
      </c>
      <c r="AU834" t="b">
        <f>AND(IF(metadata!J834="",FALSE,TRUE),OR(EXACT(metadata!J834,"Animal"),EXACT(metadata!J834,"Fungus"),EXACT(metadata!J834,"Plant"),EXACT(metadata!J834,"Saline"),EXACT(metadata!J834,"Non-saline")))</f>
        <v>0</v>
      </c>
      <c r="AV834" t="b">
        <f>AND(IF(metadata!K834="",FALSE,TRUE),OR(EXACT(metadata!K834,"Plant secretion"),EXACT(metadata!K834,"Plant rhizosphere"),EXACT(metadata!K834,"Plant surface"),EXACT(metadata!K834,"Plant corpus"),EXACT(metadata!K834,"Fungus surface"),EXACT(metadata!K834,"Fungus corpus"),EXACT(metadata!K834,"Animal surface"),EXACT(metadata!K834,"Animal proximal gut"),EXACT(metadata!K834,"Animal corpus"),EXACT(metadata!K834,"Animal distal gut"),EXACT(metadata!K834,"Animal secretion"),EXACT(metadata!K834,"Sub-surface (non-saline)"),EXACT(metadata!K834,"Surface (non-saline)"),EXACT(metadata!K834,"Water (non-saline)"),EXACT(metadata!K834,"Soil (non-saline)"),EXACT(metadata!K834,"Aerosol (non-saline)"),EXACT(metadata!K834,"Sediment (non-saline)"),EXACT(metadata!K834,"Surface (saline)"),EXACT(metadata!K834,"Water (saline)"),EXACT(metadata!K834,"Hypersaline (saline)"),EXACT(metadata!K834,"Aerosol (saline)"),EXACT(metadata!K834,"Sediment (saline)")))</f>
        <v>0</v>
      </c>
      <c r="AW834" t="b">
        <f>IF(metadata!L834="",FALSE,TRUE)</f>
        <v>0</v>
      </c>
      <c r="AX834" t="b">
        <f>IF(metadata!M834="",FALSE,TRUE)</f>
        <v>0</v>
      </c>
      <c r="AY834" t="b">
        <f>IF(metadata!N834="",FALSE,TRUE)</f>
        <v>0</v>
      </c>
      <c r="AZ834" t="b">
        <f>OR(AND(IF(metadata!O834="",FALSE,TRUE),OR(EXACT(metadata!O834,"missing: not collected"),EXACT(metadata!O834,"missing: not provided"),EXACT(metadata!O834,"missing: restricted access"))),AND(IF(metadata!O834="",FALSE,TRUE),OR(EXACT(metadata!O834,"air"),EXACT(metadata!O834,"built environment"),EXACT(metadata!O834,"host-associated"),EXACT(metadata!O834,"human-associated"),EXACT(metadata!O834,"human-skin"),EXACT(metadata!O834,"human-oral"),EXACT(metadata!O834,"human-gut"),EXACT(metadata!O834,"human-vaginal"),EXACT(metadata!O834,"microbial mat/biofilm"),EXACT(metadata!O834,"misc environment"),EXACT(metadata!O834,"plant-associated"),EXACT(metadata!O834,"sediment"),EXACT(metadata!O834,"soil"),EXACT(metadata!O834,"wastewater/sludge"),EXACT(metadata!O834,"water"))))</f>
        <v>0</v>
      </c>
      <c r="BA834" t="b">
        <f>IF(metadata!P834="",FALSE,TRUE)</f>
        <v>0</v>
      </c>
      <c r="BB834" t="b">
        <f>IF(metadata!Q834="",FALSE,TRUE)</f>
        <v>0</v>
      </c>
      <c r="BC834" t="b">
        <f>OR(AND(IF(metadata!R834="",FALSE,TRUE),OR(EXACT(metadata!R834,"missing: not collected"),EXACT(metadata!R834,"missing: not provided"),EXACT(metadata!R834,"missing: restricted access"))),AND(IF(metadata!R834="",FALSE,ISNUMBER(VALUE(metadata!R834))),metadata!R834&gt;=-90,metadata!R834&lt;=90))</f>
        <v>0</v>
      </c>
      <c r="BD834" t="b">
        <f>AND(IF(metadata!S834="",FALSE,TRUE),EXACT(metadata!S834,"Decimal degrees"))</f>
        <v>0</v>
      </c>
      <c r="BE834" t="b">
        <f>OR(AND(IF(metadata!T834="",FALSE,TRUE),OR(EXACT(metadata!T834,"missing: not collected"),EXACT(metadata!T834,"missing: not provided"),EXACT(metadata!T834,"missing: restricted access"))),AND(IF(metadata!T834="",FALSE,ISNUMBER(VALUE(metadata!T834))),metadata!T834&gt;=-180,metadata!T834&lt;=180))</f>
        <v>0</v>
      </c>
      <c r="BF834" t="b">
        <f>AND(IF(metadata!U834="",FALSE,TRUE),EXACT(metadata!U834,"Decimal degrees"))</f>
        <v>0</v>
      </c>
      <c r="BG834" t="b">
        <f>IF(metadata!V834="",FALSE,TRUE)</f>
        <v>0</v>
      </c>
      <c r="BH834" t="b">
        <f>OR(AND(IF(metadata!W834="",FALSE,TRUE),OR(EXACT(metadata!W834,"missing: not collected"),EXACT(metadata!W834,"missing: not provided"),EXACT(metadata!W834,"missing: restricted access"))),AND(IF(metadata!W834="",FALSE,TRUE),OR(EXACT(metadata!W834,"TRUE"),EXACT(metadata!W834,"FALSE"))))</f>
        <v>0</v>
      </c>
      <c r="BI834" t="b">
        <f>AND(IF(metadata!X834="",FALSE,TRUE),EXACT(metadata!X834,"other"))</f>
        <v>0</v>
      </c>
      <c r="BJ834" t="b">
        <f>IF(metadata!Y834="",FALSE,TRUE)</f>
        <v>0</v>
      </c>
      <c r="BK834" t="b">
        <f>OR(AND(IF(metadata!Z834="",FALSE,TRUE),OR(EXACT(metadata!Z834,"missing: not collected"),EXACT(metadata!Z834,"missing: not provided"))),AND(IF(metadata!Z834="",FALSE,IF(ISERROR(INT(metadata!Z834)),FALSE,INT(metadata!Z834)=metadata!Z834)),metadata!Z834&gt;0))</f>
        <v>0</v>
      </c>
      <c r="BL834" t="b">
        <f>AND(IF(metadata!AA834="",FALSE,TRUE),EXACT(metadata!AA834,"Not applicable"))</f>
        <v>0</v>
      </c>
      <c r="BM834" t="b">
        <f>IF(metadata!AB834="",FALSE,TRUE)</f>
        <v>0</v>
      </c>
    </row>
    <row r="835" spans="1:65" x14ac:dyDescent="0.2">
      <c r="A835" s="5" t="str">
        <f ca="1">IF(B835=" "," ",HYPERLINK(CONCATENATE("#metadata!",ADDRESS(INDEX($AH$2:$AH$1001,MATCH(ROWS($AF$2:AF835),$AF$2:$AF$1001,0),0),1)),INDEX($AK$2:$AK$1001,MATCH(ROWS($AF$2:AF835),$AF$2:$AF$1001,0),0)))</f>
        <v xml:space="preserve"> </v>
      </c>
      <c r="B835" s="4" t="str">
        <f ca="1">IF(OR(INDEX($AG$2:$AG$1001,MATCH(ROWS($AF$2:AF835),$AF$2:$AF$1001,0),1)&gt;=100000,INDEX($AM$1005:$BM$1005,1,MATCH(COLUMNS($AM$1006:AM1006),$AM$1006:$BM$1006,0))&gt;=100000), " ",IF(INDEX($AM$2:$BM$1001,MATCH(ROWS($AF$2:AF835),$AF$2:$AF$1001,0),MATCH(COLUMNS($AM$1006:AM1006),$AM$1006:$BM$1006,0)), HYPERLINK("#",""), HYPERLINK(CONCATENATE("#metadata!", ADDRESS(INDEX($AH$2:$AH$1001,MATCH(ROWS($AF$2:AF835),$AF$2:$AF$1001,0),0), INDEX($AM$1004:$BM$1004,1,MATCH(COLUMNS($AM$1006:AM1006),$AM$1006:$BM$1006,0)))),"Fix")))</f>
        <v xml:space="preserve"> </v>
      </c>
      <c r="C835" s="4" t="str">
        <f ca="1">IF(OR(INDEX($AG$2:$AG$1001,MATCH(ROWS($AF$2:AF835),$AF$2:$AF$1001,0),1)&gt;=100000,INDEX($AM$1005:$BM$1005,1,MATCH(COLUMNS($AM$1006:AN1006),$AM$1006:$BM$1006,0))&gt;=100000), " ",IF(INDEX($AM$2:$BM$1001,MATCH(ROWS($AF$2:AF835),$AF$2:$AF$1001,0),MATCH(COLUMNS($AM$1006:AN1006),$AM$1006:$BM$1006,0)), HYPERLINK("#",""), HYPERLINK(CONCATENATE("#metadata!", ADDRESS(INDEX($AH$2:$AH$1001,MATCH(ROWS($AF$2:AF835),$AF$2:$AF$1001,0),0), INDEX($AM$1004:$BM$1004,1,MATCH(COLUMNS($AM$1006:AN1006),$AM$1006:$BM$1006,0)))),"Fix")))</f>
        <v xml:space="preserve"> </v>
      </c>
      <c r="D835" s="4" t="str">
        <f ca="1">IF(OR(INDEX($AG$2:$AG$1001,MATCH(ROWS($AF$2:AF835),$AF$2:$AF$1001,0),1)&gt;=100000,INDEX($AM$1005:$BM$1005,1,MATCH(COLUMNS($AM$1006:AO1006),$AM$1006:$BM$1006,0))&gt;=100000), " ",IF(INDEX($AM$2:$BM$1001,MATCH(ROWS($AF$2:AF835),$AF$2:$AF$1001,0),MATCH(COLUMNS($AM$1006:AO1006),$AM$1006:$BM$1006,0)), HYPERLINK("#",""), HYPERLINK(CONCATENATE("#metadata!", ADDRESS(INDEX($AH$2:$AH$1001,MATCH(ROWS($AF$2:AF835),$AF$2:$AF$1001,0),0), INDEX($AM$1004:$BM$1004,1,MATCH(COLUMNS($AM$1006:AO1006),$AM$1006:$BM$1006,0)))),"Fix")))</f>
        <v xml:space="preserve"> </v>
      </c>
      <c r="E835" s="4" t="str">
        <f ca="1">IF(OR(INDEX($AG$2:$AG$1001,MATCH(ROWS($AF$2:AF835),$AF$2:$AF$1001,0),1)&gt;=100000,INDEX($AM$1005:$BM$1005,1,MATCH(COLUMNS($AM$1006:AP1006),$AM$1006:$BM$1006,0))&gt;=100000), " ",IF(INDEX($AM$2:$BM$1001,MATCH(ROWS($AF$2:AF835),$AF$2:$AF$1001,0),MATCH(COLUMNS($AM$1006:AP1006),$AM$1006:$BM$1006,0)), HYPERLINK("#",""), HYPERLINK(CONCATENATE("#metadata!", ADDRESS(INDEX($AH$2:$AH$1001,MATCH(ROWS($AF$2:AF835),$AF$2:$AF$1001,0),0), INDEX($AM$1004:$BM$1004,1,MATCH(COLUMNS($AM$1006:AP1006),$AM$1006:$BM$1006,0)))),"Fix")))</f>
        <v xml:space="preserve"> </v>
      </c>
      <c r="F835" s="4" t="str">
        <f ca="1">IF(OR(INDEX($AG$2:$AG$1001,MATCH(ROWS($AF$2:AF835),$AF$2:$AF$1001,0),1)&gt;=100000,INDEX($AM$1005:$BM$1005,1,MATCH(COLUMNS($AM$1006:AQ1006),$AM$1006:$BM$1006,0))&gt;=100000), " ",IF(INDEX($AM$2:$BM$1001,MATCH(ROWS($AF$2:AF835),$AF$2:$AF$1001,0),MATCH(COLUMNS($AM$1006:AQ1006),$AM$1006:$BM$1006,0)), HYPERLINK("#",""), HYPERLINK(CONCATENATE("#metadata!", ADDRESS(INDEX($AH$2:$AH$1001,MATCH(ROWS($AF$2:AF835),$AF$2:$AF$1001,0),0), INDEX($AM$1004:$BM$1004,1,MATCH(COLUMNS($AM$1006:AQ1006),$AM$1006:$BM$1006,0)))),"Fix")))</f>
        <v xml:space="preserve"> </v>
      </c>
      <c r="G835" s="4" t="str">
        <f ca="1">IF(OR(INDEX($AG$2:$AG$1001,MATCH(ROWS($AF$2:AF835),$AF$2:$AF$1001,0),1)&gt;=100000,INDEX($AM$1005:$BM$1005,1,MATCH(COLUMNS($AM$1006:AR1006),$AM$1006:$BM$1006,0))&gt;=100000), " ",IF(INDEX($AM$2:$BM$1001,MATCH(ROWS($AF$2:AF835),$AF$2:$AF$1001,0),MATCH(COLUMNS($AM$1006:AR1006),$AM$1006:$BM$1006,0)), HYPERLINK("#",""), HYPERLINK(CONCATENATE("#metadata!", ADDRESS(INDEX($AH$2:$AH$1001,MATCH(ROWS($AF$2:AF835),$AF$2:$AF$1001,0),0), INDEX($AM$1004:$BM$1004,1,MATCH(COLUMNS($AM$1006:AR1006),$AM$1006:$BM$1006,0)))),"Fix")))</f>
        <v xml:space="preserve"> </v>
      </c>
      <c r="H835" s="4" t="str">
        <f ca="1">IF(OR(INDEX($AG$2:$AG$1001,MATCH(ROWS($AF$2:AF835),$AF$2:$AF$1001,0),1)&gt;=100000,INDEX($AM$1005:$BM$1005,1,MATCH(COLUMNS($AM$1006:AS1006),$AM$1006:$BM$1006,0))&gt;=100000), " ",IF(INDEX($AM$2:$BM$1001,MATCH(ROWS($AF$2:AF835),$AF$2:$AF$1001,0),MATCH(COLUMNS($AM$1006:AS1006),$AM$1006:$BM$1006,0)), HYPERLINK("#",""), HYPERLINK(CONCATENATE("#metadata!", ADDRESS(INDEX($AH$2:$AH$1001,MATCH(ROWS($AF$2:AF835),$AF$2:$AF$1001,0),0), INDEX($AM$1004:$BM$1004,1,MATCH(COLUMNS($AM$1006:AS1006),$AM$1006:$BM$1006,0)))),"Fix")))</f>
        <v xml:space="preserve"> </v>
      </c>
      <c r="I835" s="4" t="str">
        <f ca="1">IF(OR(INDEX($AG$2:$AG$1001,MATCH(ROWS($AF$2:AF835),$AF$2:$AF$1001,0),1)&gt;=100000,INDEX($AM$1005:$BM$1005,1,MATCH(COLUMNS($AM$1006:AT1006),$AM$1006:$BM$1006,0))&gt;=100000), " ",IF(INDEX($AM$2:$BM$1001,MATCH(ROWS($AF$2:AF835),$AF$2:$AF$1001,0),MATCH(COLUMNS($AM$1006:AT1006),$AM$1006:$BM$1006,0)), HYPERLINK("#",""), HYPERLINK(CONCATENATE("#metadata!", ADDRESS(INDEX($AH$2:$AH$1001,MATCH(ROWS($AF$2:AF835),$AF$2:$AF$1001,0),0), INDEX($AM$1004:$BM$1004,1,MATCH(COLUMNS($AM$1006:AT1006),$AM$1006:$BM$1006,0)))),"Fix")))</f>
        <v xml:space="preserve"> </v>
      </c>
      <c r="J835" s="4" t="str">
        <f ca="1">IF(OR(INDEX($AG$2:$AG$1001,MATCH(ROWS($AF$2:AF835),$AF$2:$AF$1001,0),1)&gt;=100000,INDEX($AM$1005:$BM$1005,1,MATCH(COLUMNS($AM$1006:AU1006),$AM$1006:$BM$1006,0))&gt;=100000), " ",IF(INDEX($AM$2:$BM$1001,MATCH(ROWS($AF$2:AF835),$AF$2:$AF$1001,0),MATCH(COLUMNS($AM$1006:AU1006),$AM$1006:$BM$1006,0)), HYPERLINK("#",""), HYPERLINK(CONCATENATE("#metadata!", ADDRESS(INDEX($AH$2:$AH$1001,MATCH(ROWS($AF$2:AF835),$AF$2:$AF$1001,0),0), INDEX($AM$1004:$BM$1004,1,MATCH(COLUMNS($AM$1006:AU1006),$AM$1006:$BM$1006,0)))),"Fix")))</f>
        <v xml:space="preserve"> </v>
      </c>
      <c r="K835" s="4" t="str">
        <f ca="1">IF(OR(INDEX($AG$2:$AG$1001,MATCH(ROWS($AF$2:AF835),$AF$2:$AF$1001,0),1)&gt;=100000,INDEX($AM$1005:$BM$1005,1,MATCH(COLUMNS($AM$1006:AV1006),$AM$1006:$BM$1006,0))&gt;=100000), " ",IF(INDEX($AM$2:$BM$1001,MATCH(ROWS($AF$2:AF835),$AF$2:$AF$1001,0),MATCH(COLUMNS($AM$1006:AV1006),$AM$1006:$BM$1006,0)), HYPERLINK("#",""), HYPERLINK(CONCATENATE("#metadata!", ADDRESS(INDEX($AH$2:$AH$1001,MATCH(ROWS($AF$2:AF835),$AF$2:$AF$1001,0),0), INDEX($AM$1004:$BM$1004,1,MATCH(COLUMNS($AM$1006:AV1006),$AM$1006:$BM$1006,0)))),"Fix")))</f>
        <v xml:space="preserve"> </v>
      </c>
      <c r="L835" s="4" t="str">
        <f ca="1">IF(OR(INDEX($AG$2:$AG$1001,MATCH(ROWS($AF$2:AF835),$AF$2:$AF$1001,0),1)&gt;=100000,INDEX($AM$1005:$BM$1005,1,MATCH(COLUMNS($AM$1006:AW1006),$AM$1006:$BM$1006,0))&gt;=100000), " ",IF(INDEX($AM$2:$BM$1001,MATCH(ROWS($AF$2:AF835),$AF$2:$AF$1001,0),MATCH(COLUMNS($AM$1006:AW1006),$AM$1006:$BM$1006,0)), HYPERLINK("#",""), HYPERLINK(CONCATENATE("#metadata!", ADDRESS(INDEX($AH$2:$AH$1001,MATCH(ROWS($AF$2:AF835),$AF$2:$AF$1001,0),0), INDEX($AM$1004:$BM$1004,1,MATCH(COLUMNS($AM$1006:AW1006),$AM$1006:$BM$1006,0)))),"Fix")))</f>
        <v xml:space="preserve"> </v>
      </c>
      <c r="M835" s="4" t="str">
        <f ca="1">IF(OR(INDEX($AG$2:$AG$1001,MATCH(ROWS($AF$2:AF835),$AF$2:$AF$1001,0),1)&gt;=100000,INDEX($AM$1005:$BM$1005,1,MATCH(COLUMNS($AM$1006:AX1006),$AM$1006:$BM$1006,0))&gt;=100000), " ",IF(INDEX($AM$2:$BM$1001,MATCH(ROWS($AF$2:AF835),$AF$2:$AF$1001,0),MATCH(COLUMNS($AM$1006:AX1006),$AM$1006:$BM$1006,0)), HYPERLINK("#",""), HYPERLINK(CONCATENATE("#metadata!", ADDRESS(INDEX($AH$2:$AH$1001,MATCH(ROWS($AF$2:AF835),$AF$2:$AF$1001,0),0), INDEX($AM$1004:$BM$1004,1,MATCH(COLUMNS($AM$1006:AX1006),$AM$1006:$BM$1006,0)))),"Fix")))</f>
        <v xml:space="preserve"> </v>
      </c>
      <c r="N835" s="4" t="str">
        <f ca="1">IF(OR(INDEX($AG$2:$AG$1001,MATCH(ROWS($AF$2:AF835),$AF$2:$AF$1001,0),1)&gt;=100000,INDEX($AM$1005:$BM$1005,1,MATCH(COLUMNS($AM$1006:AY1006),$AM$1006:$BM$1006,0))&gt;=100000), " ",IF(INDEX($AM$2:$BM$1001,MATCH(ROWS($AF$2:AF835),$AF$2:$AF$1001,0),MATCH(COLUMNS($AM$1006:AY1006),$AM$1006:$BM$1006,0)), HYPERLINK("#",""), HYPERLINK(CONCATENATE("#metadata!", ADDRESS(INDEX($AH$2:$AH$1001,MATCH(ROWS($AF$2:AF835),$AF$2:$AF$1001,0),0), INDEX($AM$1004:$BM$1004,1,MATCH(COLUMNS($AM$1006:AY1006),$AM$1006:$BM$1006,0)))),"Fix")))</f>
        <v xml:space="preserve"> </v>
      </c>
      <c r="O835" s="4" t="str">
        <f ca="1">IF(OR(INDEX($AG$2:$AG$1001,MATCH(ROWS($AF$2:AF835),$AF$2:$AF$1001,0),1)&gt;=100000,INDEX($AM$1005:$BM$1005,1,MATCH(COLUMNS($AM$1006:AZ1006),$AM$1006:$BM$1006,0))&gt;=100000), " ",IF(INDEX($AM$2:$BM$1001,MATCH(ROWS($AF$2:AF835),$AF$2:$AF$1001,0),MATCH(COLUMNS($AM$1006:AZ1006),$AM$1006:$BM$1006,0)), HYPERLINK("#",""), HYPERLINK(CONCATENATE("#metadata!", ADDRESS(INDEX($AH$2:$AH$1001,MATCH(ROWS($AF$2:AF835),$AF$2:$AF$1001,0),0), INDEX($AM$1004:$BM$1004,1,MATCH(COLUMNS($AM$1006:AZ1006),$AM$1006:$BM$1006,0)))),"Fix")))</f>
        <v xml:space="preserve"> </v>
      </c>
      <c r="P835" s="4" t="str">
        <f ca="1">IF(OR(INDEX($AG$2:$AG$1001,MATCH(ROWS($AF$2:AF835),$AF$2:$AF$1001,0),1)&gt;=100000,INDEX($AM$1005:$BM$1005,1,MATCH(COLUMNS($AM$1006:BA1006),$AM$1006:$BM$1006,0))&gt;=100000), " ",IF(INDEX($AM$2:$BM$1001,MATCH(ROWS($AF$2:AF835),$AF$2:$AF$1001,0),MATCH(COLUMNS($AM$1006:BA1006),$AM$1006:$BM$1006,0)), HYPERLINK("#",""), HYPERLINK(CONCATENATE("#metadata!", ADDRESS(INDEX($AH$2:$AH$1001,MATCH(ROWS($AF$2:AF835),$AF$2:$AF$1001,0),0), INDEX($AM$1004:$BM$1004,1,MATCH(COLUMNS($AM$1006:BA1006),$AM$1006:$BM$1006,0)))),"Fix")))</f>
        <v xml:space="preserve"> </v>
      </c>
      <c r="Q835" s="4" t="str">
        <f ca="1">IF(OR(INDEX($AG$2:$AG$1001,MATCH(ROWS($AF$2:AF835),$AF$2:$AF$1001,0),1)&gt;=100000,INDEX($AM$1005:$BM$1005,1,MATCH(COLUMNS($AM$1006:BB1006),$AM$1006:$BM$1006,0))&gt;=100000), " ",IF(INDEX($AM$2:$BM$1001,MATCH(ROWS($AF$2:AF835),$AF$2:$AF$1001,0),MATCH(COLUMNS($AM$1006:BB1006),$AM$1006:$BM$1006,0)), HYPERLINK("#",""), HYPERLINK(CONCATENATE("#metadata!", ADDRESS(INDEX($AH$2:$AH$1001,MATCH(ROWS($AF$2:AF835),$AF$2:$AF$1001,0),0), INDEX($AM$1004:$BM$1004,1,MATCH(COLUMNS($AM$1006:BB1006),$AM$1006:$BM$1006,0)))),"Fix")))</f>
        <v xml:space="preserve"> </v>
      </c>
      <c r="R835" s="4" t="str">
        <f ca="1">IF(OR(INDEX($AG$2:$AG$1001,MATCH(ROWS($AF$2:AF835),$AF$2:$AF$1001,0),1)&gt;=100000,INDEX($AM$1005:$BM$1005,1,MATCH(COLUMNS($AM$1006:BC1006),$AM$1006:$BM$1006,0))&gt;=100000), " ",IF(INDEX($AM$2:$BM$1001,MATCH(ROWS($AF$2:AF835),$AF$2:$AF$1001,0),MATCH(COLUMNS($AM$1006:BC1006),$AM$1006:$BM$1006,0)), HYPERLINK("#",""), HYPERLINK(CONCATENATE("#metadata!", ADDRESS(INDEX($AH$2:$AH$1001,MATCH(ROWS($AF$2:AF835),$AF$2:$AF$1001,0),0), INDEX($AM$1004:$BM$1004,1,MATCH(COLUMNS($AM$1006:BC1006),$AM$1006:$BM$1006,0)))),"Fix")))</f>
        <v xml:space="preserve"> </v>
      </c>
      <c r="S835" s="4" t="str">
        <f ca="1">IF(OR(INDEX($AG$2:$AG$1001,MATCH(ROWS($AF$2:AF835),$AF$2:$AF$1001,0),1)&gt;=100000,INDEX($AM$1005:$BM$1005,1,MATCH(COLUMNS($AM$1006:BD1006),$AM$1006:$BM$1006,0))&gt;=100000), " ",IF(INDEX($AM$2:$BM$1001,MATCH(ROWS($AF$2:AF835),$AF$2:$AF$1001,0),MATCH(COLUMNS($AM$1006:BD1006),$AM$1006:$BM$1006,0)), HYPERLINK("#",""), HYPERLINK(CONCATENATE("#metadata!", ADDRESS(INDEX($AH$2:$AH$1001,MATCH(ROWS($AF$2:AF835),$AF$2:$AF$1001,0),0), INDEX($AM$1004:$BM$1004,1,MATCH(COLUMNS($AM$1006:BD1006),$AM$1006:$BM$1006,0)))),"Fix")))</f>
        <v xml:space="preserve"> </v>
      </c>
      <c r="T835" s="4" t="str">
        <f ca="1">IF(OR(INDEX($AG$2:$AG$1001,MATCH(ROWS($AF$2:AF835),$AF$2:$AF$1001,0),1)&gt;=100000,INDEX($AM$1005:$BM$1005,1,MATCH(COLUMNS($AM$1006:BE1006),$AM$1006:$BM$1006,0))&gt;=100000), " ",IF(INDEX($AM$2:$BM$1001,MATCH(ROWS($AF$2:AF835),$AF$2:$AF$1001,0),MATCH(COLUMNS($AM$1006:BE1006),$AM$1006:$BM$1006,0)), HYPERLINK("#",""), HYPERLINK(CONCATENATE("#metadata!", ADDRESS(INDEX($AH$2:$AH$1001,MATCH(ROWS($AF$2:AF835),$AF$2:$AF$1001,0),0), INDEX($AM$1004:$BM$1004,1,MATCH(COLUMNS($AM$1006:BE1006),$AM$1006:$BM$1006,0)))),"Fix")))</f>
        <v xml:space="preserve"> </v>
      </c>
      <c r="U835" s="4" t="str">
        <f ca="1">IF(OR(INDEX($AG$2:$AG$1001,MATCH(ROWS($AF$2:AF835),$AF$2:$AF$1001,0),1)&gt;=100000,INDEX($AM$1005:$BM$1005,1,MATCH(COLUMNS($AM$1006:BF1006),$AM$1006:$BM$1006,0))&gt;=100000), " ",IF(INDEX($AM$2:$BM$1001,MATCH(ROWS($AF$2:AF835),$AF$2:$AF$1001,0),MATCH(COLUMNS($AM$1006:BF1006),$AM$1006:$BM$1006,0)), HYPERLINK("#",""), HYPERLINK(CONCATENATE("#metadata!", ADDRESS(INDEX($AH$2:$AH$1001,MATCH(ROWS($AF$2:AF835),$AF$2:$AF$1001,0),0), INDEX($AM$1004:$BM$1004,1,MATCH(COLUMNS($AM$1006:BF1006),$AM$1006:$BM$1006,0)))),"Fix")))</f>
        <v xml:space="preserve"> </v>
      </c>
      <c r="V835" s="4" t="str">
        <f ca="1">IF(OR(INDEX($AG$2:$AG$1001,MATCH(ROWS($AF$2:AF835),$AF$2:$AF$1001,0),1)&gt;=100000,INDEX($AM$1005:$BM$1005,1,MATCH(COLUMNS($AM$1006:BG1006),$AM$1006:$BM$1006,0))&gt;=100000), " ",IF(INDEX($AM$2:$BM$1001,MATCH(ROWS($AF$2:AF835),$AF$2:$AF$1001,0),MATCH(COLUMNS($AM$1006:BG1006),$AM$1006:$BM$1006,0)), HYPERLINK("#",""), HYPERLINK(CONCATENATE("#metadata!", ADDRESS(INDEX($AH$2:$AH$1001,MATCH(ROWS($AF$2:AF835),$AF$2:$AF$1001,0),0), INDEX($AM$1004:$BM$1004,1,MATCH(COLUMNS($AM$1006:BG1006),$AM$1006:$BM$1006,0)))),"Fix")))</f>
        <v xml:space="preserve"> </v>
      </c>
      <c r="W835" s="4" t="str">
        <f ca="1">IF(OR(INDEX($AG$2:$AG$1001,MATCH(ROWS($AF$2:AF835),$AF$2:$AF$1001,0),1)&gt;=100000,INDEX($AM$1005:$BM$1005,1,MATCH(COLUMNS($AM$1006:BH1006),$AM$1006:$BM$1006,0))&gt;=100000), " ",IF(INDEX($AM$2:$BM$1001,MATCH(ROWS($AF$2:AF835),$AF$2:$AF$1001,0),MATCH(COLUMNS($AM$1006:BH1006),$AM$1006:$BM$1006,0)), HYPERLINK("#",""), HYPERLINK(CONCATENATE("#metadata!", ADDRESS(INDEX($AH$2:$AH$1001,MATCH(ROWS($AF$2:AF835),$AF$2:$AF$1001,0),0), INDEX($AM$1004:$BM$1004,1,MATCH(COLUMNS($AM$1006:BH1006),$AM$1006:$BM$1006,0)))),"Fix")))</f>
        <v xml:space="preserve"> </v>
      </c>
      <c r="X835" s="4" t="str">
        <f ca="1">IF(OR(INDEX($AG$2:$AG$1001,MATCH(ROWS($AF$2:AF835),$AF$2:$AF$1001,0),1)&gt;=100000,INDEX($AM$1005:$BM$1005,1,MATCH(COLUMNS($AM$1006:BI1006),$AM$1006:$BM$1006,0))&gt;=100000), " ",IF(INDEX($AM$2:$BM$1001,MATCH(ROWS($AF$2:AF835),$AF$2:$AF$1001,0),MATCH(COLUMNS($AM$1006:BI1006),$AM$1006:$BM$1006,0)), HYPERLINK("#",""), HYPERLINK(CONCATENATE("#metadata!", ADDRESS(INDEX($AH$2:$AH$1001,MATCH(ROWS($AF$2:AF835),$AF$2:$AF$1001,0),0), INDEX($AM$1004:$BM$1004,1,MATCH(COLUMNS($AM$1006:BI1006),$AM$1006:$BM$1006,0)))),"Fix")))</f>
        <v xml:space="preserve"> </v>
      </c>
      <c r="Y835" s="4" t="str">
        <f ca="1">IF(OR(INDEX($AG$2:$AG$1001,MATCH(ROWS($AF$2:AF835),$AF$2:$AF$1001,0),1)&gt;=100000,INDEX($AM$1005:$BM$1005,1,MATCH(COLUMNS($AM$1006:BJ1006),$AM$1006:$BM$1006,0))&gt;=100000), " ",IF(INDEX($AM$2:$BM$1001,MATCH(ROWS($AF$2:AF835),$AF$2:$AF$1001,0),MATCH(COLUMNS($AM$1006:BJ1006),$AM$1006:$BM$1006,0)), HYPERLINK("#",""), HYPERLINK(CONCATENATE("#metadata!", ADDRESS(INDEX($AH$2:$AH$1001,MATCH(ROWS($AF$2:AF835),$AF$2:$AF$1001,0),0), INDEX($AM$1004:$BM$1004,1,MATCH(COLUMNS($AM$1006:BJ1006),$AM$1006:$BM$1006,0)))),"Fix")))</f>
        <v xml:space="preserve"> </v>
      </c>
      <c r="Z835" s="4" t="str">
        <f ca="1">IF(OR(INDEX($AG$2:$AG$1001,MATCH(ROWS($AF$2:AF835),$AF$2:$AF$1001,0),1)&gt;=100000,INDEX($AM$1005:$BM$1005,1,MATCH(COLUMNS($AM$1006:BK1006),$AM$1006:$BM$1006,0))&gt;=100000), " ",IF(INDEX($AM$2:$BM$1001,MATCH(ROWS($AF$2:AF835),$AF$2:$AF$1001,0),MATCH(COLUMNS($AM$1006:BK1006),$AM$1006:$BM$1006,0)), HYPERLINK("#",""), HYPERLINK(CONCATENATE("#metadata!", ADDRESS(INDEX($AH$2:$AH$1001,MATCH(ROWS($AF$2:AF835),$AF$2:$AF$1001,0),0), INDEX($AM$1004:$BM$1004,1,MATCH(COLUMNS($AM$1006:BK1006),$AM$1006:$BM$1006,0)))),"Fix")))</f>
        <v xml:space="preserve"> </v>
      </c>
      <c r="AA835" s="4" t="str">
        <f ca="1">IF(OR(INDEX($AG$2:$AG$1001,MATCH(ROWS($AF$2:AF835),$AF$2:$AF$1001,0),1)&gt;=100000,INDEX($AM$1005:$BM$1005,1,MATCH(COLUMNS($AM$1006:BL1006),$AM$1006:$BM$1006,0))&gt;=100000), " ",IF(INDEX($AM$2:$BM$1001,MATCH(ROWS($AF$2:AF835),$AF$2:$AF$1001,0),MATCH(COLUMNS($AM$1006:BL1006),$AM$1006:$BM$1006,0)), HYPERLINK("#",""), HYPERLINK(CONCATENATE("#metadata!", ADDRESS(INDEX($AH$2:$AH$1001,MATCH(ROWS($AF$2:AF835),$AF$2:$AF$1001,0),0), INDEX($AM$1004:$BM$1004,1,MATCH(COLUMNS($AM$1006:BL1006),$AM$1006:$BM$1006,0)))),"Fix")))</f>
        <v xml:space="preserve"> </v>
      </c>
      <c r="AB835" s="4" t="str">
        <f ca="1">IF(OR(INDEX($AG$2:$AG$1001,MATCH(ROWS($AF$2:AF835),$AF$2:$AF$1001,0),1)&gt;=100000,INDEX($AM$1005:$BM$1005,1,MATCH(COLUMNS($AM$1006:BM1006),$AM$1006:$BM$1006,0))&gt;=100000), " ",IF(INDEX($AM$2:$BM$1001,MATCH(ROWS($AF$2:AF835),$AF$2:$AF$1001,0),MATCH(COLUMNS($AM$1006:BM1006),$AM$1006:$BM$1006,0)), HYPERLINK("#",""), HYPERLINK(CONCATENATE("#metadata!", ADDRESS(INDEX($AH$2:$AH$1001,MATCH(ROWS($AF$2:AF835),$AF$2:$AF$1001,0),0), INDEX($AM$1004:$BM$1004,1,MATCH(COLUMNS($AM$1006:BM1006),$AM$1006:$BM$1006,0)))),"Fix")))</f>
        <v xml:space="preserve"> </v>
      </c>
      <c r="AF835">
        <v>834</v>
      </c>
      <c r="AG835">
        <v>100835</v>
      </c>
      <c r="AH835">
        <v>835</v>
      </c>
      <c r="AI835" t="b">
        <f t="shared" si="13"/>
        <v>1</v>
      </c>
      <c r="AJ835" t="b">
        <f>COUNTBLANK(metadata!B835:AB835)=COLUMNS(metadata!B835:AB835)</f>
        <v>1</v>
      </c>
      <c r="AK835" t="str">
        <v/>
      </c>
      <c r="AM835" t="b">
        <f ca="1">AND(IF(metadata!B835="",FALSE,TRUE),COUNTIF(metadata!B:B, metadata!B835) = 1,NOT(ISERROR(SUMPRODUCT(SEARCH(MID(metadata!B835,ROW(INDIRECT("1:"&amp;LEN(metadata!B835))), 1),"0123456789abcdefghijklmnopqrstuvwxyzABCDEFGHIJKLMNOPQRSTUVWXYZ.")))))</f>
        <v>0</v>
      </c>
      <c r="AN835" t="b">
        <f ca="1">OR(AND(IF(metadata!C835="",FALSE,TRUE),OR(EXACT(metadata!C835,"missing: not collected"),EXACT(metadata!C835,"missing: not provided"),EXACT(metadata!C835,"missing: restricted access"))),AND(IF(metadata!C835="",FALSE,TRUE),AND(AND(IFERROR(INT(LEFT(metadata!C835,4))&gt;1900,FALSE),IFERROR(INT(LEFT(metadata!C835,4))&lt;=YEAR(NOW()),FALSE)), OR(MID(metadata!C835,5,1)="", AND(AND(MID(metadata!C835,5,1)="-",IFERROR(INT(MID(metadata!C835,6,1))&gt;=0,FALSE),IFERROR(INT(MID(metadata!C835,6,1))&lt;=1,FALSE),NOT(MID(metadata!C835,7,1)=""),IFERROR(INT(MID(metadata!C835,6,2))&gt;=1,FALSE),IFERROR(INT(MID(metadata!C835,6,2))&lt;=12,FALSE)), OR(MID(metadata!C835,8,1)="", AND(AND(MID(metadata!C835,8,1)="-",IFERROR(INT(MID(metadata!C835,9,1))&gt;=0,FALSE),IFERROR(INT(MID(metadata!C835,9,1))&lt;=3,FALSE),NOT(MID(metadata!C835,10,1)=""),IFERROR(INT(MID(metadata!C835,9,2))&gt;=1,FALSE),IFERROR(INT(MID(metadata!C835,9,2))&lt;=31,FALSE)), OR(MID(metadata!C835,11,1)="", AND(AND(MID(metadata!C835,11,1)=" ",IFERROR(INT(MID(metadata!C835,12,1))&gt;=0,FALSE),IFERROR(INT(MID(metadata!C835,12,1))&lt;=2,FALSE),NOT(MID(metadata!C835,13,1)=""),IFERROR(INT(MID(metadata!C835,12,2))&gt;=0,FALSE),IFERROR(INT(MID(metadata!C835,12,2))&lt;=23,FALSE)), OR(MID(metadata!C835,14,1)="", AND(AND(MID(metadata!C835,14,1)=":",IFERROR(INT(MID(metadata!C835,15,1))&gt;=0,FALSE),IFERROR(INT(MID(metadata!C835,15,1))&lt;=5,FALSE),NOT(MID(metadata!C835,16,1)=""),IFERROR(INT(MID(metadata!C835,15,2))&gt;=0,FALSE),IFERROR(INT(MID(metadata!C835,15,2))&lt;=59,FALSE)), OR(MID(metadata!C835,17,1)="", AND(AND(MID(metadata!C835,17,1)=":",IFERROR(INT(MID(metadata!C835,18,1))&gt;=0,FALSE),IFERROR(INT(MID(metadata!C835,18,1))&lt;=5,FALSE),NOT(MID(metadata!C835,19,1)=""),IFERROR(INT(MID(metadata!C835,18,2))&gt;=0,FALSE),IFERROR(INT(MID(metadata!C835,18,2))&lt;=59,FALSE)), LEN(metadata!C835)&lt;=19)))))))))))))</f>
        <v>0</v>
      </c>
      <c r="AO835" t="b">
        <f>AND(IF(metadata!D835="",FALSE,TRUE),EXACT(metadata!D835,"Not applicable"))</f>
        <v>0</v>
      </c>
      <c r="AP835" t="b">
        <f>IF(metadata!E835="",FALSE,TRUE)</f>
        <v>0</v>
      </c>
      <c r="AQ835" t="b">
        <f>OR(AND(IF(metadata!F835="",FALSE,TRUE),OR(EXACT(metadata!F835,"missing: not collected"),EXACT(metadata!F835,"missing: not provided"))),AND(IF(metadata!F835="",FALSE,TRUE),OR(EXACT(metadata!F835,"TRUE"),EXACT(metadata!F835,"FALSE"))))</f>
        <v>0</v>
      </c>
      <c r="AR835" t="b">
        <f>OR(AND(IF(metadata!G835="",FALSE,TRUE),OR(EXACT(metadata!G835,"missing: not collected"),EXACT(metadata!G835,"missing: not provided"),EXACT(metadata!G835,"missing: restricted access"))),AND(IF(metadata!G835="",FALSE,ISNUMBER(VALUE(metadata!G835))),metadata!G835&gt;=-413))</f>
        <v>0</v>
      </c>
      <c r="AS835" t="b">
        <f>AND(IF(metadata!H835="",FALSE,TRUE),EXACT(metadata!H835,"meters"))</f>
        <v>0</v>
      </c>
      <c r="AT835" t="b">
        <f>AND(IF(metadata!I835="",FALSE,TRUE),OR(EXACT(metadata!I835,"Host-associated"),EXACT(metadata!I835,"Free-living")))</f>
        <v>0</v>
      </c>
      <c r="AU835" t="b">
        <f>AND(IF(metadata!J835="",FALSE,TRUE),OR(EXACT(metadata!J835,"Animal"),EXACT(metadata!J835,"Fungus"),EXACT(metadata!J835,"Plant"),EXACT(metadata!J835,"Saline"),EXACT(metadata!J835,"Non-saline")))</f>
        <v>0</v>
      </c>
      <c r="AV835" t="b">
        <f>AND(IF(metadata!K835="",FALSE,TRUE),OR(EXACT(metadata!K835,"Plant secretion"),EXACT(metadata!K835,"Plant rhizosphere"),EXACT(metadata!K835,"Plant surface"),EXACT(metadata!K835,"Plant corpus"),EXACT(metadata!K835,"Fungus surface"),EXACT(metadata!K835,"Fungus corpus"),EXACT(metadata!K835,"Animal surface"),EXACT(metadata!K835,"Animal proximal gut"),EXACT(metadata!K835,"Animal corpus"),EXACT(metadata!K835,"Animal distal gut"),EXACT(metadata!K835,"Animal secretion"),EXACT(metadata!K835,"Sub-surface (non-saline)"),EXACT(metadata!K835,"Surface (non-saline)"),EXACT(metadata!K835,"Water (non-saline)"),EXACT(metadata!K835,"Soil (non-saline)"),EXACT(metadata!K835,"Aerosol (non-saline)"),EXACT(metadata!K835,"Sediment (non-saline)"),EXACT(metadata!K835,"Surface (saline)"),EXACT(metadata!K835,"Water (saline)"),EXACT(metadata!K835,"Hypersaline (saline)"),EXACT(metadata!K835,"Aerosol (saline)"),EXACT(metadata!K835,"Sediment (saline)")))</f>
        <v>0</v>
      </c>
      <c r="AW835" t="b">
        <f>IF(metadata!L835="",FALSE,TRUE)</f>
        <v>0</v>
      </c>
      <c r="AX835" t="b">
        <f>IF(metadata!M835="",FALSE,TRUE)</f>
        <v>0</v>
      </c>
      <c r="AY835" t="b">
        <f>IF(metadata!N835="",FALSE,TRUE)</f>
        <v>0</v>
      </c>
      <c r="AZ835" t="b">
        <f>OR(AND(IF(metadata!O835="",FALSE,TRUE),OR(EXACT(metadata!O835,"missing: not collected"),EXACT(metadata!O835,"missing: not provided"),EXACT(metadata!O835,"missing: restricted access"))),AND(IF(metadata!O835="",FALSE,TRUE),OR(EXACT(metadata!O835,"air"),EXACT(metadata!O835,"built environment"),EXACT(metadata!O835,"host-associated"),EXACT(metadata!O835,"human-associated"),EXACT(metadata!O835,"human-skin"),EXACT(metadata!O835,"human-oral"),EXACT(metadata!O835,"human-gut"),EXACT(metadata!O835,"human-vaginal"),EXACT(metadata!O835,"microbial mat/biofilm"),EXACT(metadata!O835,"misc environment"),EXACT(metadata!O835,"plant-associated"),EXACT(metadata!O835,"sediment"),EXACT(metadata!O835,"soil"),EXACT(metadata!O835,"wastewater/sludge"),EXACT(metadata!O835,"water"))))</f>
        <v>0</v>
      </c>
      <c r="BA835" t="b">
        <f>IF(metadata!P835="",FALSE,TRUE)</f>
        <v>0</v>
      </c>
      <c r="BB835" t="b">
        <f>IF(metadata!Q835="",FALSE,TRUE)</f>
        <v>0</v>
      </c>
      <c r="BC835" t="b">
        <f>OR(AND(IF(metadata!R835="",FALSE,TRUE),OR(EXACT(metadata!R835,"missing: not collected"),EXACT(metadata!R835,"missing: not provided"),EXACT(metadata!R835,"missing: restricted access"))),AND(IF(metadata!R835="",FALSE,ISNUMBER(VALUE(metadata!R835))),metadata!R835&gt;=-90,metadata!R835&lt;=90))</f>
        <v>0</v>
      </c>
      <c r="BD835" t="b">
        <f>AND(IF(metadata!S835="",FALSE,TRUE),EXACT(metadata!S835,"Decimal degrees"))</f>
        <v>0</v>
      </c>
      <c r="BE835" t="b">
        <f>OR(AND(IF(metadata!T835="",FALSE,TRUE),OR(EXACT(metadata!T835,"missing: not collected"),EXACT(metadata!T835,"missing: not provided"),EXACT(metadata!T835,"missing: restricted access"))),AND(IF(metadata!T835="",FALSE,ISNUMBER(VALUE(metadata!T835))),metadata!T835&gt;=-180,metadata!T835&lt;=180))</f>
        <v>0</v>
      </c>
      <c r="BF835" t="b">
        <f>AND(IF(metadata!U835="",FALSE,TRUE),EXACT(metadata!U835,"Decimal degrees"))</f>
        <v>0</v>
      </c>
      <c r="BG835" t="b">
        <f>IF(metadata!V835="",FALSE,TRUE)</f>
        <v>0</v>
      </c>
      <c r="BH835" t="b">
        <f>OR(AND(IF(metadata!W835="",FALSE,TRUE),OR(EXACT(metadata!W835,"missing: not collected"),EXACT(metadata!W835,"missing: not provided"),EXACT(metadata!W835,"missing: restricted access"))),AND(IF(metadata!W835="",FALSE,TRUE),OR(EXACT(metadata!W835,"TRUE"),EXACT(metadata!W835,"FALSE"))))</f>
        <v>0</v>
      </c>
      <c r="BI835" t="b">
        <f>AND(IF(metadata!X835="",FALSE,TRUE),EXACT(metadata!X835,"other"))</f>
        <v>0</v>
      </c>
      <c r="BJ835" t="b">
        <f>IF(metadata!Y835="",FALSE,TRUE)</f>
        <v>0</v>
      </c>
      <c r="BK835" t="b">
        <f>OR(AND(IF(metadata!Z835="",FALSE,TRUE),OR(EXACT(metadata!Z835,"missing: not collected"),EXACT(metadata!Z835,"missing: not provided"))),AND(IF(metadata!Z835="",FALSE,IF(ISERROR(INT(metadata!Z835)),FALSE,INT(metadata!Z835)=metadata!Z835)),metadata!Z835&gt;0))</f>
        <v>0</v>
      </c>
      <c r="BL835" t="b">
        <f>AND(IF(metadata!AA835="",FALSE,TRUE),EXACT(metadata!AA835,"Not applicable"))</f>
        <v>0</v>
      </c>
      <c r="BM835" t="b">
        <f>IF(metadata!AB835="",FALSE,TRUE)</f>
        <v>0</v>
      </c>
    </row>
    <row r="836" spans="1:65" x14ac:dyDescent="0.2">
      <c r="A836" s="5" t="str">
        <f ca="1">IF(B836=" "," ",HYPERLINK(CONCATENATE("#metadata!",ADDRESS(INDEX($AH$2:$AH$1001,MATCH(ROWS($AF$2:AF836),$AF$2:$AF$1001,0),0),1)),INDEX($AK$2:$AK$1001,MATCH(ROWS($AF$2:AF836),$AF$2:$AF$1001,0),0)))</f>
        <v xml:space="preserve"> </v>
      </c>
      <c r="B836" s="4" t="str">
        <f ca="1">IF(OR(INDEX($AG$2:$AG$1001,MATCH(ROWS($AF$2:AF836),$AF$2:$AF$1001,0),1)&gt;=100000,INDEX($AM$1005:$BM$1005,1,MATCH(COLUMNS($AM$1006:AM1006),$AM$1006:$BM$1006,0))&gt;=100000), " ",IF(INDEX($AM$2:$BM$1001,MATCH(ROWS($AF$2:AF836),$AF$2:$AF$1001,0),MATCH(COLUMNS($AM$1006:AM1006),$AM$1006:$BM$1006,0)), HYPERLINK("#",""), HYPERLINK(CONCATENATE("#metadata!", ADDRESS(INDEX($AH$2:$AH$1001,MATCH(ROWS($AF$2:AF836),$AF$2:$AF$1001,0),0), INDEX($AM$1004:$BM$1004,1,MATCH(COLUMNS($AM$1006:AM1006),$AM$1006:$BM$1006,0)))),"Fix")))</f>
        <v xml:space="preserve"> </v>
      </c>
      <c r="C836" s="4" t="str">
        <f ca="1">IF(OR(INDEX($AG$2:$AG$1001,MATCH(ROWS($AF$2:AF836),$AF$2:$AF$1001,0),1)&gt;=100000,INDEX($AM$1005:$BM$1005,1,MATCH(COLUMNS($AM$1006:AN1006),$AM$1006:$BM$1006,0))&gt;=100000), " ",IF(INDEX($AM$2:$BM$1001,MATCH(ROWS($AF$2:AF836),$AF$2:$AF$1001,0),MATCH(COLUMNS($AM$1006:AN1006),$AM$1006:$BM$1006,0)), HYPERLINK("#",""), HYPERLINK(CONCATENATE("#metadata!", ADDRESS(INDEX($AH$2:$AH$1001,MATCH(ROWS($AF$2:AF836),$AF$2:$AF$1001,0),0), INDEX($AM$1004:$BM$1004,1,MATCH(COLUMNS($AM$1006:AN1006),$AM$1006:$BM$1006,0)))),"Fix")))</f>
        <v xml:space="preserve"> </v>
      </c>
      <c r="D836" s="4" t="str">
        <f ca="1">IF(OR(INDEX($AG$2:$AG$1001,MATCH(ROWS($AF$2:AF836),$AF$2:$AF$1001,0),1)&gt;=100000,INDEX($AM$1005:$BM$1005,1,MATCH(COLUMNS($AM$1006:AO1006),$AM$1006:$BM$1006,0))&gt;=100000), " ",IF(INDEX($AM$2:$BM$1001,MATCH(ROWS($AF$2:AF836),$AF$2:$AF$1001,0),MATCH(COLUMNS($AM$1006:AO1006),$AM$1006:$BM$1006,0)), HYPERLINK("#",""), HYPERLINK(CONCATENATE("#metadata!", ADDRESS(INDEX($AH$2:$AH$1001,MATCH(ROWS($AF$2:AF836),$AF$2:$AF$1001,0),0), INDEX($AM$1004:$BM$1004,1,MATCH(COLUMNS($AM$1006:AO1006),$AM$1006:$BM$1006,0)))),"Fix")))</f>
        <v xml:space="preserve"> </v>
      </c>
      <c r="E836" s="4" t="str">
        <f ca="1">IF(OR(INDEX($AG$2:$AG$1001,MATCH(ROWS($AF$2:AF836),$AF$2:$AF$1001,0),1)&gt;=100000,INDEX($AM$1005:$BM$1005,1,MATCH(COLUMNS($AM$1006:AP1006),$AM$1006:$BM$1006,0))&gt;=100000), " ",IF(INDEX($AM$2:$BM$1001,MATCH(ROWS($AF$2:AF836),$AF$2:$AF$1001,0),MATCH(COLUMNS($AM$1006:AP1006),$AM$1006:$BM$1006,0)), HYPERLINK("#",""), HYPERLINK(CONCATENATE("#metadata!", ADDRESS(INDEX($AH$2:$AH$1001,MATCH(ROWS($AF$2:AF836),$AF$2:$AF$1001,0),0), INDEX($AM$1004:$BM$1004,1,MATCH(COLUMNS($AM$1006:AP1006),$AM$1006:$BM$1006,0)))),"Fix")))</f>
        <v xml:space="preserve"> </v>
      </c>
      <c r="F836" s="4" t="str">
        <f ca="1">IF(OR(INDEX($AG$2:$AG$1001,MATCH(ROWS($AF$2:AF836),$AF$2:$AF$1001,0),1)&gt;=100000,INDEX($AM$1005:$BM$1005,1,MATCH(COLUMNS($AM$1006:AQ1006),$AM$1006:$BM$1006,0))&gt;=100000), " ",IF(INDEX($AM$2:$BM$1001,MATCH(ROWS($AF$2:AF836),$AF$2:$AF$1001,0),MATCH(COLUMNS($AM$1006:AQ1006),$AM$1006:$BM$1006,0)), HYPERLINK("#",""), HYPERLINK(CONCATENATE("#metadata!", ADDRESS(INDEX($AH$2:$AH$1001,MATCH(ROWS($AF$2:AF836),$AF$2:$AF$1001,0),0), INDEX($AM$1004:$BM$1004,1,MATCH(COLUMNS($AM$1006:AQ1006),$AM$1006:$BM$1006,0)))),"Fix")))</f>
        <v xml:space="preserve"> </v>
      </c>
      <c r="G836" s="4" t="str">
        <f ca="1">IF(OR(INDEX($AG$2:$AG$1001,MATCH(ROWS($AF$2:AF836),$AF$2:$AF$1001,0),1)&gt;=100000,INDEX($AM$1005:$BM$1005,1,MATCH(COLUMNS($AM$1006:AR1006),$AM$1006:$BM$1006,0))&gt;=100000), " ",IF(INDEX($AM$2:$BM$1001,MATCH(ROWS($AF$2:AF836),$AF$2:$AF$1001,0),MATCH(COLUMNS($AM$1006:AR1006),$AM$1006:$BM$1006,0)), HYPERLINK("#",""), HYPERLINK(CONCATENATE("#metadata!", ADDRESS(INDEX($AH$2:$AH$1001,MATCH(ROWS($AF$2:AF836),$AF$2:$AF$1001,0),0), INDEX($AM$1004:$BM$1004,1,MATCH(COLUMNS($AM$1006:AR1006),$AM$1006:$BM$1006,0)))),"Fix")))</f>
        <v xml:space="preserve"> </v>
      </c>
      <c r="H836" s="4" t="str">
        <f ca="1">IF(OR(INDEX($AG$2:$AG$1001,MATCH(ROWS($AF$2:AF836),$AF$2:$AF$1001,0),1)&gt;=100000,INDEX($AM$1005:$BM$1005,1,MATCH(COLUMNS($AM$1006:AS1006),$AM$1006:$BM$1006,0))&gt;=100000), " ",IF(INDEX($AM$2:$BM$1001,MATCH(ROWS($AF$2:AF836),$AF$2:$AF$1001,0),MATCH(COLUMNS($AM$1006:AS1006),$AM$1006:$BM$1006,0)), HYPERLINK("#",""), HYPERLINK(CONCATENATE("#metadata!", ADDRESS(INDEX($AH$2:$AH$1001,MATCH(ROWS($AF$2:AF836),$AF$2:$AF$1001,0),0), INDEX($AM$1004:$BM$1004,1,MATCH(COLUMNS($AM$1006:AS1006),$AM$1006:$BM$1006,0)))),"Fix")))</f>
        <v xml:space="preserve"> </v>
      </c>
      <c r="I836" s="4" t="str">
        <f ca="1">IF(OR(INDEX($AG$2:$AG$1001,MATCH(ROWS($AF$2:AF836),$AF$2:$AF$1001,0),1)&gt;=100000,INDEX($AM$1005:$BM$1005,1,MATCH(COLUMNS($AM$1006:AT1006),$AM$1006:$BM$1006,0))&gt;=100000), " ",IF(INDEX($AM$2:$BM$1001,MATCH(ROWS($AF$2:AF836),$AF$2:$AF$1001,0),MATCH(COLUMNS($AM$1006:AT1006),$AM$1006:$BM$1006,0)), HYPERLINK("#",""), HYPERLINK(CONCATENATE("#metadata!", ADDRESS(INDEX($AH$2:$AH$1001,MATCH(ROWS($AF$2:AF836),$AF$2:$AF$1001,0),0), INDEX($AM$1004:$BM$1004,1,MATCH(COLUMNS($AM$1006:AT1006),$AM$1006:$BM$1006,0)))),"Fix")))</f>
        <v xml:space="preserve"> </v>
      </c>
      <c r="J836" s="4" t="str">
        <f ca="1">IF(OR(INDEX($AG$2:$AG$1001,MATCH(ROWS($AF$2:AF836),$AF$2:$AF$1001,0),1)&gt;=100000,INDEX($AM$1005:$BM$1005,1,MATCH(COLUMNS($AM$1006:AU1006),$AM$1006:$BM$1006,0))&gt;=100000), " ",IF(INDEX($AM$2:$BM$1001,MATCH(ROWS($AF$2:AF836),$AF$2:$AF$1001,0),MATCH(COLUMNS($AM$1006:AU1006),$AM$1006:$BM$1006,0)), HYPERLINK("#",""), HYPERLINK(CONCATENATE("#metadata!", ADDRESS(INDEX($AH$2:$AH$1001,MATCH(ROWS($AF$2:AF836),$AF$2:$AF$1001,0),0), INDEX($AM$1004:$BM$1004,1,MATCH(COLUMNS($AM$1006:AU1006),$AM$1006:$BM$1006,0)))),"Fix")))</f>
        <v xml:space="preserve"> </v>
      </c>
      <c r="K836" s="4" t="str">
        <f ca="1">IF(OR(INDEX($AG$2:$AG$1001,MATCH(ROWS($AF$2:AF836),$AF$2:$AF$1001,0),1)&gt;=100000,INDEX($AM$1005:$BM$1005,1,MATCH(COLUMNS($AM$1006:AV1006),$AM$1006:$BM$1006,0))&gt;=100000), " ",IF(INDEX($AM$2:$BM$1001,MATCH(ROWS($AF$2:AF836),$AF$2:$AF$1001,0),MATCH(COLUMNS($AM$1006:AV1006),$AM$1006:$BM$1006,0)), HYPERLINK("#",""), HYPERLINK(CONCATENATE("#metadata!", ADDRESS(INDEX($AH$2:$AH$1001,MATCH(ROWS($AF$2:AF836),$AF$2:$AF$1001,0),0), INDEX($AM$1004:$BM$1004,1,MATCH(COLUMNS($AM$1006:AV1006),$AM$1006:$BM$1006,0)))),"Fix")))</f>
        <v xml:space="preserve"> </v>
      </c>
      <c r="L836" s="4" t="str">
        <f ca="1">IF(OR(INDEX($AG$2:$AG$1001,MATCH(ROWS($AF$2:AF836),$AF$2:$AF$1001,0),1)&gt;=100000,INDEX($AM$1005:$BM$1005,1,MATCH(COLUMNS($AM$1006:AW1006),$AM$1006:$BM$1006,0))&gt;=100000), " ",IF(INDEX($AM$2:$BM$1001,MATCH(ROWS($AF$2:AF836),$AF$2:$AF$1001,0),MATCH(COLUMNS($AM$1006:AW1006),$AM$1006:$BM$1006,0)), HYPERLINK("#",""), HYPERLINK(CONCATENATE("#metadata!", ADDRESS(INDEX($AH$2:$AH$1001,MATCH(ROWS($AF$2:AF836),$AF$2:$AF$1001,0),0), INDEX($AM$1004:$BM$1004,1,MATCH(COLUMNS($AM$1006:AW1006),$AM$1006:$BM$1006,0)))),"Fix")))</f>
        <v xml:space="preserve"> </v>
      </c>
      <c r="M836" s="4" t="str">
        <f ca="1">IF(OR(INDEX($AG$2:$AG$1001,MATCH(ROWS($AF$2:AF836),$AF$2:$AF$1001,0),1)&gt;=100000,INDEX($AM$1005:$BM$1005,1,MATCH(COLUMNS($AM$1006:AX1006),$AM$1006:$BM$1006,0))&gt;=100000), " ",IF(INDEX($AM$2:$BM$1001,MATCH(ROWS($AF$2:AF836),$AF$2:$AF$1001,0),MATCH(COLUMNS($AM$1006:AX1006),$AM$1006:$BM$1006,0)), HYPERLINK("#",""), HYPERLINK(CONCATENATE("#metadata!", ADDRESS(INDEX($AH$2:$AH$1001,MATCH(ROWS($AF$2:AF836),$AF$2:$AF$1001,0),0), INDEX($AM$1004:$BM$1004,1,MATCH(COLUMNS($AM$1006:AX1006),$AM$1006:$BM$1006,0)))),"Fix")))</f>
        <v xml:space="preserve"> </v>
      </c>
      <c r="N836" s="4" t="str">
        <f ca="1">IF(OR(INDEX($AG$2:$AG$1001,MATCH(ROWS($AF$2:AF836),$AF$2:$AF$1001,0),1)&gt;=100000,INDEX($AM$1005:$BM$1005,1,MATCH(COLUMNS($AM$1006:AY1006),$AM$1006:$BM$1006,0))&gt;=100000), " ",IF(INDEX($AM$2:$BM$1001,MATCH(ROWS($AF$2:AF836),$AF$2:$AF$1001,0),MATCH(COLUMNS($AM$1006:AY1006),$AM$1006:$BM$1006,0)), HYPERLINK("#",""), HYPERLINK(CONCATENATE("#metadata!", ADDRESS(INDEX($AH$2:$AH$1001,MATCH(ROWS($AF$2:AF836),$AF$2:$AF$1001,0),0), INDEX($AM$1004:$BM$1004,1,MATCH(COLUMNS($AM$1006:AY1006),$AM$1006:$BM$1006,0)))),"Fix")))</f>
        <v xml:space="preserve"> </v>
      </c>
      <c r="O836" s="4" t="str">
        <f ca="1">IF(OR(INDEX($AG$2:$AG$1001,MATCH(ROWS($AF$2:AF836),$AF$2:$AF$1001,0),1)&gt;=100000,INDEX($AM$1005:$BM$1005,1,MATCH(COLUMNS($AM$1006:AZ1006),$AM$1006:$BM$1006,0))&gt;=100000), " ",IF(INDEX($AM$2:$BM$1001,MATCH(ROWS($AF$2:AF836),$AF$2:$AF$1001,0),MATCH(COLUMNS($AM$1006:AZ1006),$AM$1006:$BM$1006,0)), HYPERLINK("#",""), HYPERLINK(CONCATENATE("#metadata!", ADDRESS(INDEX($AH$2:$AH$1001,MATCH(ROWS($AF$2:AF836),$AF$2:$AF$1001,0),0), INDEX($AM$1004:$BM$1004,1,MATCH(COLUMNS($AM$1006:AZ1006),$AM$1006:$BM$1006,0)))),"Fix")))</f>
        <v xml:space="preserve"> </v>
      </c>
      <c r="P836" s="4" t="str">
        <f ca="1">IF(OR(INDEX($AG$2:$AG$1001,MATCH(ROWS($AF$2:AF836),$AF$2:$AF$1001,0),1)&gt;=100000,INDEX($AM$1005:$BM$1005,1,MATCH(COLUMNS($AM$1006:BA1006),$AM$1006:$BM$1006,0))&gt;=100000), " ",IF(INDEX($AM$2:$BM$1001,MATCH(ROWS($AF$2:AF836),$AF$2:$AF$1001,0),MATCH(COLUMNS($AM$1006:BA1006),$AM$1006:$BM$1006,0)), HYPERLINK("#",""), HYPERLINK(CONCATENATE("#metadata!", ADDRESS(INDEX($AH$2:$AH$1001,MATCH(ROWS($AF$2:AF836),$AF$2:$AF$1001,0),0), INDEX($AM$1004:$BM$1004,1,MATCH(COLUMNS($AM$1006:BA1006),$AM$1006:$BM$1006,0)))),"Fix")))</f>
        <v xml:space="preserve"> </v>
      </c>
      <c r="Q836" s="4" t="str">
        <f ca="1">IF(OR(INDEX($AG$2:$AG$1001,MATCH(ROWS($AF$2:AF836),$AF$2:$AF$1001,0),1)&gt;=100000,INDEX($AM$1005:$BM$1005,1,MATCH(COLUMNS($AM$1006:BB1006),$AM$1006:$BM$1006,0))&gt;=100000), " ",IF(INDEX($AM$2:$BM$1001,MATCH(ROWS($AF$2:AF836),$AF$2:$AF$1001,0),MATCH(COLUMNS($AM$1006:BB1006),$AM$1006:$BM$1006,0)), HYPERLINK("#",""), HYPERLINK(CONCATENATE("#metadata!", ADDRESS(INDEX($AH$2:$AH$1001,MATCH(ROWS($AF$2:AF836),$AF$2:$AF$1001,0),0), INDEX($AM$1004:$BM$1004,1,MATCH(COLUMNS($AM$1006:BB1006),$AM$1006:$BM$1006,0)))),"Fix")))</f>
        <v xml:space="preserve"> </v>
      </c>
      <c r="R836" s="4" t="str">
        <f ca="1">IF(OR(INDEX($AG$2:$AG$1001,MATCH(ROWS($AF$2:AF836),$AF$2:$AF$1001,0),1)&gt;=100000,INDEX($AM$1005:$BM$1005,1,MATCH(COLUMNS($AM$1006:BC1006),$AM$1006:$BM$1006,0))&gt;=100000), " ",IF(INDEX($AM$2:$BM$1001,MATCH(ROWS($AF$2:AF836),$AF$2:$AF$1001,0),MATCH(COLUMNS($AM$1006:BC1006),$AM$1006:$BM$1006,0)), HYPERLINK("#",""), HYPERLINK(CONCATENATE("#metadata!", ADDRESS(INDEX($AH$2:$AH$1001,MATCH(ROWS($AF$2:AF836),$AF$2:$AF$1001,0),0), INDEX($AM$1004:$BM$1004,1,MATCH(COLUMNS($AM$1006:BC1006),$AM$1006:$BM$1006,0)))),"Fix")))</f>
        <v xml:space="preserve"> </v>
      </c>
      <c r="S836" s="4" t="str">
        <f ca="1">IF(OR(INDEX($AG$2:$AG$1001,MATCH(ROWS($AF$2:AF836),$AF$2:$AF$1001,0),1)&gt;=100000,INDEX($AM$1005:$BM$1005,1,MATCH(COLUMNS($AM$1006:BD1006),$AM$1006:$BM$1006,0))&gt;=100000), " ",IF(INDEX($AM$2:$BM$1001,MATCH(ROWS($AF$2:AF836),$AF$2:$AF$1001,0),MATCH(COLUMNS($AM$1006:BD1006),$AM$1006:$BM$1006,0)), HYPERLINK("#",""), HYPERLINK(CONCATENATE("#metadata!", ADDRESS(INDEX($AH$2:$AH$1001,MATCH(ROWS($AF$2:AF836),$AF$2:$AF$1001,0),0), INDEX($AM$1004:$BM$1004,1,MATCH(COLUMNS($AM$1006:BD1006),$AM$1006:$BM$1006,0)))),"Fix")))</f>
        <v xml:space="preserve"> </v>
      </c>
      <c r="T836" s="4" t="str">
        <f ca="1">IF(OR(INDEX($AG$2:$AG$1001,MATCH(ROWS($AF$2:AF836),$AF$2:$AF$1001,0),1)&gt;=100000,INDEX($AM$1005:$BM$1005,1,MATCH(COLUMNS($AM$1006:BE1006),$AM$1006:$BM$1006,0))&gt;=100000), " ",IF(INDEX($AM$2:$BM$1001,MATCH(ROWS($AF$2:AF836),$AF$2:$AF$1001,0),MATCH(COLUMNS($AM$1006:BE1006),$AM$1006:$BM$1006,0)), HYPERLINK("#",""), HYPERLINK(CONCATENATE("#metadata!", ADDRESS(INDEX($AH$2:$AH$1001,MATCH(ROWS($AF$2:AF836),$AF$2:$AF$1001,0),0), INDEX($AM$1004:$BM$1004,1,MATCH(COLUMNS($AM$1006:BE1006),$AM$1006:$BM$1006,0)))),"Fix")))</f>
        <v xml:space="preserve"> </v>
      </c>
      <c r="U836" s="4" t="str">
        <f ca="1">IF(OR(INDEX($AG$2:$AG$1001,MATCH(ROWS($AF$2:AF836),$AF$2:$AF$1001,0),1)&gt;=100000,INDEX($AM$1005:$BM$1005,1,MATCH(COLUMNS($AM$1006:BF1006),$AM$1006:$BM$1006,0))&gt;=100000), " ",IF(INDEX($AM$2:$BM$1001,MATCH(ROWS($AF$2:AF836),$AF$2:$AF$1001,0),MATCH(COLUMNS($AM$1006:BF1006),$AM$1006:$BM$1006,0)), HYPERLINK("#",""), HYPERLINK(CONCATENATE("#metadata!", ADDRESS(INDEX($AH$2:$AH$1001,MATCH(ROWS($AF$2:AF836),$AF$2:$AF$1001,0),0), INDEX($AM$1004:$BM$1004,1,MATCH(COLUMNS($AM$1006:BF1006),$AM$1006:$BM$1006,0)))),"Fix")))</f>
        <v xml:space="preserve"> </v>
      </c>
      <c r="V836" s="4" t="str">
        <f ca="1">IF(OR(INDEX($AG$2:$AG$1001,MATCH(ROWS($AF$2:AF836),$AF$2:$AF$1001,0),1)&gt;=100000,INDEX($AM$1005:$BM$1005,1,MATCH(COLUMNS($AM$1006:BG1006),$AM$1006:$BM$1006,0))&gt;=100000), " ",IF(INDEX($AM$2:$BM$1001,MATCH(ROWS($AF$2:AF836),$AF$2:$AF$1001,0),MATCH(COLUMNS($AM$1006:BG1006),$AM$1006:$BM$1006,0)), HYPERLINK("#",""), HYPERLINK(CONCATENATE("#metadata!", ADDRESS(INDEX($AH$2:$AH$1001,MATCH(ROWS($AF$2:AF836),$AF$2:$AF$1001,0),0), INDEX($AM$1004:$BM$1004,1,MATCH(COLUMNS($AM$1006:BG1006),$AM$1006:$BM$1006,0)))),"Fix")))</f>
        <v xml:space="preserve"> </v>
      </c>
      <c r="W836" s="4" t="str">
        <f ca="1">IF(OR(INDEX($AG$2:$AG$1001,MATCH(ROWS($AF$2:AF836),$AF$2:$AF$1001,0),1)&gt;=100000,INDEX($AM$1005:$BM$1005,1,MATCH(COLUMNS($AM$1006:BH1006),$AM$1006:$BM$1006,0))&gt;=100000), " ",IF(INDEX($AM$2:$BM$1001,MATCH(ROWS($AF$2:AF836),$AF$2:$AF$1001,0),MATCH(COLUMNS($AM$1006:BH1006),$AM$1006:$BM$1006,0)), HYPERLINK("#",""), HYPERLINK(CONCATENATE("#metadata!", ADDRESS(INDEX($AH$2:$AH$1001,MATCH(ROWS($AF$2:AF836),$AF$2:$AF$1001,0),0), INDEX($AM$1004:$BM$1004,1,MATCH(COLUMNS($AM$1006:BH1006),$AM$1006:$BM$1006,0)))),"Fix")))</f>
        <v xml:space="preserve"> </v>
      </c>
      <c r="X836" s="4" t="str">
        <f ca="1">IF(OR(INDEX($AG$2:$AG$1001,MATCH(ROWS($AF$2:AF836),$AF$2:$AF$1001,0),1)&gt;=100000,INDEX($AM$1005:$BM$1005,1,MATCH(COLUMNS($AM$1006:BI1006),$AM$1006:$BM$1006,0))&gt;=100000), " ",IF(INDEX($AM$2:$BM$1001,MATCH(ROWS($AF$2:AF836),$AF$2:$AF$1001,0),MATCH(COLUMNS($AM$1006:BI1006),$AM$1006:$BM$1006,0)), HYPERLINK("#",""), HYPERLINK(CONCATENATE("#metadata!", ADDRESS(INDEX($AH$2:$AH$1001,MATCH(ROWS($AF$2:AF836),$AF$2:$AF$1001,0),0), INDEX($AM$1004:$BM$1004,1,MATCH(COLUMNS($AM$1006:BI1006),$AM$1006:$BM$1006,0)))),"Fix")))</f>
        <v xml:space="preserve"> </v>
      </c>
      <c r="Y836" s="4" t="str">
        <f ca="1">IF(OR(INDEX($AG$2:$AG$1001,MATCH(ROWS($AF$2:AF836),$AF$2:$AF$1001,0),1)&gt;=100000,INDEX($AM$1005:$BM$1005,1,MATCH(COLUMNS($AM$1006:BJ1006),$AM$1006:$BM$1006,0))&gt;=100000), " ",IF(INDEX($AM$2:$BM$1001,MATCH(ROWS($AF$2:AF836),$AF$2:$AF$1001,0),MATCH(COLUMNS($AM$1006:BJ1006),$AM$1006:$BM$1006,0)), HYPERLINK("#",""), HYPERLINK(CONCATENATE("#metadata!", ADDRESS(INDEX($AH$2:$AH$1001,MATCH(ROWS($AF$2:AF836),$AF$2:$AF$1001,0),0), INDEX($AM$1004:$BM$1004,1,MATCH(COLUMNS($AM$1006:BJ1006),$AM$1006:$BM$1006,0)))),"Fix")))</f>
        <v xml:space="preserve"> </v>
      </c>
      <c r="Z836" s="4" t="str">
        <f ca="1">IF(OR(INDEX($AG$2:$AG$1001,MATCH(ROWS($AF$2:AF836),$AF$2:$AF$1001,0),1)&gt;=100000,INDEX($AM$1005:$BM$1005,1,MATCH(COLUMNS($AM$1006:BK1006),$AM$1006:$BM$1006,0))&gt;=100000), " ",IF(INDEX($AM$2:$BM$1001,MATCH(ROWS($AF$2:AF836),$AF$2:$AF$1001,0),MATCH(COLUMNS($AM$1006:BK1006),$AM$1006:$BM$1006,0)), HYPERLINK("#",""), HYPERLINK(CONCATENATE("#metadata!", ADDRESS(INDEX($AH$2:$AH$1001,MATCH(ROWS($AF$2:AF836),$AF$2:$AF$1001,0),0), INDEX($AM$1004:$BM$1004,1,MATCH(COLUMNS($AM$1006:BK1006),$AM$1006:$BM$1006,0)))),"Fix")))</f>
        <v xml:space="preserve"> </v>
      </c>
      <c r="AA836" s="4" t="str">
        <f ca="1">IF(OR(INDEX($AG$2:$AG$1001,MATCH(ROWS($AF$2:AF836),$AF$2:$AF$1001,0),1)&gt;=100000,INDEX($AM$1005:$BM$1005,1,MATCH(COLUMNS($AM$1006:BL1006),$AM$1006:$BM$1006,0))&gt;=100000), " ",IF(INDEX($AM$2:$BM$1001,MATCH(ROWS($AF$2:AF836),$AF$2:$AF$1001,0),MATCH(COLUMNS($AM$1006:BL1006),$AM$1006:$BM$1006,0)), HYPERLINK("#",""), HYPERLINK(CONCATENATE("#metadata!", ADDRESS(INDEX($AH$2:$AH$1001,MATCH(ROWS($AF$2:AF836),$AF$2:$AF$1001,0),0), INDEX($AM$1004:$BM$1004,1,MATCH(COLUMNS($AM$1006:BL1006),$AM$1006:$BM$1006,0)))),"Fix")))</f>
        <v xml:space="preserve"> </v>
      </c>
      <c r="AB836" s="4" t="str">
        <f ca="1">IF(OR(INDEX($AG$2:$AG$1001,MATCH(ROWS($AF$2:AF836),$AF$2:$AF$1001,0),1)&gt;=100000,INDEX($AM$1005:$BM$1005,1,MATCH(COLUMNS($AM$1006:BM1006),$AM$1006:$BM$1006,0))&gt;=100000), " ",IF(INDEX($AM$2:$BM$1001,MATCH(ROWS($AF$2:AF836),$AF$2:$AF$1001,0),MATCH(COLUMNS($AM$1006:BM1006),$AM$1006:$BM$1006,0)), HYPERLINK("#",""), HYPERLINK(CONCATENATE("#metadata!", ADDRESS(INDEX($AH$2:$AH$1001,MATCH(ROWS($AF$2:AF836),$AF$2:$AF$1001,0),0), INDEX($AM$1004:$BM$1004,1,MATCH(COLUMNS($AM$1006:BM1006),$AM$1006:$BM$1006,0)))),"Fix")))</f>
        <v xml:space="preserve"> </v>
      </c>
      <c r="AF836">
        <v>835</v>
      </c>
      <c r="AG836">
        <v>100836</v>
      </c>
      <c r="AH836">
        <v>836</v>
      </c>
      <c r="AI836" t="b">
        <f t="shared" si="13"/>
        <v>1</v>
      </c>
      <c r="AJ836" t="b">
        <f>COUNTBLANK(metadata!B836:AB836)=COLUMNS(metadata!B836:AB836)</f>
        <v>1</v>
      </c>
      <c r="AK836" t="str">
        <v/>
      </c>
      <c r="AM836" t="b">
        <f ca="1">AND(IF(metadata!B836="",FALSE,TRUE),COUNTIF(metadata!B:B, metadata!B836) = 1,NOT(ISERROR(SUMPRODUCT(SEARCH(MID(metadata!B836,ROW(INDIRECT("1:"&amp;LEN(metadata!B836))), 1),"0123456789abcdefghijklmnopqrstuvwxyzABCDEFGHIJKLMNOPQRSTUVWXYZ.")))))</f>
        <v>0</v>
      </c>
      <c r="AN836" t="b">
        <f ca="1">OR(AND(IF(metadata!C836="",FALSE,TRUE),OR(EXACT(metadata!C836,"missing: not collected"),EXACT(metadata!C836,"missing: not provided"),EXACT(metadata!C836,"missing: restricted access"))),AND(IF(metadata!C836="",FALSE,TRUE),AND(AND(IFERROR(INT(LEFT(metadata!C836,4))&gt;1900,FALSE),IFERROR(INT(LEFT(metadata!C836,4))&lt;=YEAR(NOW()),FALSE)), OR(MID(metadata!C836,5,1)="", AND(AND(MID(metadata!C836,5,1)="-",IFERROR(INT(MID(metadata!C836,6,1))&gt;=0,FALSE),IFERROR(INT(MID(metadata!C836,6,1))&lt;=1,FALSE),NOT(MID(metadata!C836,7,1)=""),IFERROR(INT(MID(metadata!C836,6,2))&gt;=1,FALSE),IFERROR(INT(MID(metadata!C836,6,2))&lt;=12,FALSE)), OR(MID(metadata!C836,8,1)="", AND(AND(MID(metadata!C836,8,1)="-",IFERROR(INT(MID(metadata!C836,9,1))&gt;=0,FALSE),IFERROR(INT(MID(metadata!C836,9,1))&lt;=3,FALSE),NOT(MID(metadata!C836,10,1)=""),IFERROR(INT(MID(metadata!C836,9,2))&gt;=1,FALSE),IFERROR(INT(MID(metadata!C836,9,2))&lt;=31,FALSE)), OR(MID(metadata!C836,11,1)="", AND(AND(MID(metadata!C836,11,1)=" ",IFERROR(INT(MID(metadata!C836,12,1))&gt;=0,FALSE),IFERROR(INT(MID(metadata!C836,12,1))&lt;=2,FALSE),NOT(MID(metadata!C836,13,1)=""),IFERROR(INT(MID(metadata!C836,12,2))&gt;=0,FALSE),IFERROR(INT(MID(metadata!C836,12,2))&lt;=23,FALSE)), OR(MID(metadata!C836,14,1)="", AND(AND(MID(metadata!C836,14,1)=":",IFERROR(INT(MID(metadata!C836,15,1))&gt;=0,FALSE),IFERROR(INT(MID(metadata!C836,15,1))&lt;=5,FALSE),NOT(MID(metadata!C836,16,1)=""),IFERROR(INT(MID(metadata!C836,15,2))&gt;=0,FALSE),IFERROR(INT(MID(metadata!C836,15,2))&lt;=59,FALSE)), OR(MID(metadata!C836,17,1)="", AND(AND(MID(metadata!C836,17,1)=":",IFERROR(INT(MID(metadata!C836,18,1))&gt;=0,FALSE),IFERROR(INT(MID(metadata!C836,18,1))&lt;=5,FALSE),NOT(MID(metadata!C836,19,1)=""),IFERROR(INT(MID(metadata!C836,18,2))&gt;=0,FALSE),IFERROR(INT(MID(metadata!C836,18,2))&lt;=59,FALSE)), LEN(metadata!C836)&lt;=19)))))))))))))</f>
        <v>0</v>
      </c>
      <c r="AO836" t="b">
        <f>AND(IF(metadata!D836="",FALSE,TRUE),EXACT(metadata!D836,"Not applicable"))</f>
        <v>0</v>
      </c>
      <c r="AP836" t="b">
        <f>IF(metadata!E836="",FALSE,TRUE)</f>
        <v>0</v>
      </c>
      <c r="AQ836" t="b">
        <f>OR(AND(IF(metadata!F836="",FALSE,TRUE),OR(EXACT(metadata!F836,"missing: not collected"),EXACT(metadata!F836,"missing: not provided"))),AND(IF(metadata!F836="",FALSE,TRUE),OR(EXACT(metadata!F836,"TRUE"),EXACT(metadata!F836,"FALSE"))))</f>
        <v>0</v>
      </c>
      <c r="AR836" t="b">
        <f>OR(AND(IF(metadata!G836="",FALSE,TRUE),OR(EXACT(metadata!G836,"missing: not collected"),EXACT(metadata!G836,"missing: not provided"),EXACT(metadata!G836,"missing: restricted access"))),AND(IF(metadata!G836="",FALSE,ISNUMBER(VALUE(metadata!G836))),metadata!G836&gt;=-413))</f>
        <v>0</v>
      </c>
      <c r="AS836" t="b">
        <f>AND(IF(metadata!H836="",FALSE,TRUE),EXACT(metadata!H836,"meters"))</f>
        <v>0</v>
      </c>
      <c r="AT836" t="b">
        <f>AND(IF(metadata!I836="",FALSE,TRUE),OR(EXACT(metadata!I836,"Host-associated"),EXACT(metadata!I836,"Free-living")))</f>
        <v>0</v>
      </c>
      <c r="AU836" t="b">
        <f>AND(IF(metadata!J836="",FALSE,TRUE),OR(EXACT(metadata!J836,"Animal"),EXACT(metadata!J836,"Fungus"),EXACT(metadata!J836,"Plant"),EXACT(metadata!J836,"Saline"),EXACT(metadata!J836,"Non-saline")))</f>
        <v>0</v>
      </c>
      <c r="AV836" t="b">
        <f>AND(IF(metadata!K836="",FALSE,TRUE),OR(EXACT(metadata!K836,"Plant secretion"),EXACT(metadata!K836,"Plant rhizosphere"),EXACT(metadata!K836,"Plant surface"),EXACT(metadata!K836,"Plant corpus"),EXACT(metadata!K836,"Fungus surface"),EXACT(metadata!K836,"Fungus corpus"),EXACT(metadata!K836,"Animal surface"),EXACT(metadata!K836,"Animal proximal gut"),EXACT(metadata!K836,"Animal corpus"),EXACT(metadata!K836,"Animal distal gut"),EXACT(metadata!K836,"Animal secretion"),EXACT(metadata!K836,"Sub-surface (non-saline)"),EXACT(metadata!K836,"Surface (non-saline)"),EXACT(metadata!K836,"Water (non-saline)"),EXACT(metadata!K836,"Soil (non-saline)"),EXACT(metadata!K836,"Aerosol (non-saline)"),EXACT(metadata!K836,"Sediment (non-saline)"),EXACT(metadata!K836,"Surface (saline)"),EXACT(metadata!K836,"Water (saline)"),EXACT(metadata!K836,"Hypersaline (saline)"),EXACT(metadata!K836,"Aerosol (saline)"),EXACT(metadata!K836,"Sediment (saline)")))</f>
        <v>0</v>
      </c>
      <c r="AW836" t="b">
        <f>IF(metadata!L836="",FALSE,TRUE)</f>
        <v>0</v>
      </c>
      <c r="AX836" t="b">
        <f>IF(metadata!M836="",FALSE,TRUE)</f>
        <v>0</v>
      </c>
      <c r="AY836" t="b">
        <f>IF(metadata!N836="",FALSE,TRUE)</f>
        <v>0</v>
      </c>
      <c r="AZ836" t="b">
        <f>OR(AND(IF(metadata!O836="",FALSE,TRUE),OR(EXACT(metadata!O836,"missing: not collected"),EXACT(metadata!O836,"missing: not provided"),EXACT(metadata!O836,"missing: restricted access"))),AND(IF(metadata!O836="",FALSE,TRUE),OR(EXACT(metadata!O836,"air"),EXACT(metadata!O836,"built environment"),EXACT(metadata!O836,"host-associated"),EXACT(metadata!O836,"human-associated"),EXACT(metadata!O836,"human-skin"),EXACT(metadata!O836,"human-oral"),EXACT(metadata!O836,"human-gut"),EXACT(metadata!O836,"human-vaginal"),EXACT(metadata!O836,"microbial mat/biofilm"),EXACT(metadata!O836,"misc environment"),EXACT(metadata!O836,"plant-associated"),EXACT(metadata!O836,"sediment"),EXACT(metadata!O836,"soil"),EXACT(metadata!O836,"wastewater/sludge"),EXACT(metadata!O836,"water"))))</f>
        <v>0</v>
      </c>
      <c r="BA836" t="b">
        <f>IF(metadata!P836="",FALSE,TRUE)</f>
        <v>0</v>
      </c>
      <c r="BB836" t="b">
        <f>IF(metadata!Q836="",FALSE,TRUE)</f>
        <v>0</v>
      </c>
      <c r="BC836" t="b">
        <f>OR(AND(IF(metadata!R836="",FALSE,TRUE),OR(EXACT(metadata!R836,"missing: not collected"),EXACT(metadata!R836,"missing: not provided"),EXACT(metadata!R836,"missing: restricted access"))),AND(IF(metadata!R836="",FALSE,ISNUMBER(VALUE(metadata!R836))),metadata!R836&gt;=-90,metadata!R836&lt;=90))</f>
        <v>0</v>
      </c>
      <c r="BD836" t="b">
        <f>AND(IF(metadata!S836="",FALSE,TRUE),EXACT(metadata!S836,"Decimal degrees"))</f>
        <v>0</v>
      </c>
      <c r="BE836" t="b">
        <f>OR(AND(IF(metadata!T836="",FALSE,TRUE),OR(EXACT(metadata!T836,"missing: not collected"),EXACT(metadata!T836,"missing: not provided"),EXACT(metadata!T836,"missing: restricted access"))),AND(IF(metadata!T836="",FALSE,ISNUMBER(VALUE(metadata!T836))),metadata!T836&gt;=-180,metadata!T836&lt;=180))</f>
        <v>0</v>
      </c>
      <c r="BF836" t="b">
        <f>AND(IF(metadata!U836="",FALSE,TRUE),EXACT(metadata!U836,"Decimal degrees"))</f>
        <v>0</v>
      </c>
      <c r="BG836" t="b">
        <f>IF(metadata!V836="",FALSE,TRUE)</f>
        <v>0</v>
      </c>
      <c r="BH836" t="b">
        <f>OR(AND(IF(metadata!W836="",FALSE,TRUE),OR(EXACT(metadata!W836,"missing: not collected"),EXACT(metadata!W836,"missing: not provided"),EXACT(metadata!W836,"missing: restricted access"))),AND(IF(metadata!W836="",FALSE,TRUE),OR(EXACT(metadata!W836,"TRUE"),EXACT(metadata!W836,"FALSE"))))</f>
        <v>0</v>
      </c>
      <c r="BI836" t="b">
        <f>AND(IF(metadata!X836="",FALSE,TRUE),EXACT(metadata!X836,"other"))</f>
        <v>0</v>
      </c>
      <c r="BJ836" t="b">
        <f>IF(metadata!Y836="",FALSE,TRUE)</f>
        <v>0</v>
      </c>
      <c r="BK836" t="b">
        <f>OR(AND(IF(metadata!Z836="",FALSE,TRUE),OR(EXACT(metadata!Z836,"missing: not collected"),EXACT(metadata!Z836,"missing: not provided"))),AND(IF(metadata!Z836="",FALSE,IF(ISERROR(INT(metadata!Z836)),FALSE,INT(metadata!Z836)=metadata!Z836)),metadata!Z836&gt;0))</f>
        <v>0</v>
      </c>
      <c r="BL836" t="b">
        <f>AND(IF(metadata!AA836="",FALSE,TRUE),EXACT(metadata!AA836,"Not applicable"))</f>
        <v>0</v>
      </c>
      <c r="BM836" t="b">
        <f>IF(metadata!AB836="",FALSE,TRUE)</f>
        <v>0</v>
      </c>
    </row>
    <row r="837" spans="1:65" x14ac:dyDescent="0.2">
      <c r="A837" s="5" t="str">
        <f ca="1">IF(B837=" "," ",HYPERLINK(CONCATENATE("#metadata!",ADDRESS(INDEX($AH$2:$AH$1001,MATCH(ROWS($AF$2:AF837),$AF$2:$AF$1001,0),0),1)),INDEX($AK$2:$AK$1001,MATCH(ROWS($AF$2:AF837),$AF$2:$AF$1001,0),0)))</f>
        <v xml:space="preserve"> </v>
      </c>
      <c r="B837" s="4" t="str">
        <f ca="1">IF(OR(INDEX($AG$2:$AG$1001,MATCH(ROWS($AF$2:AF837),$AF$2:$AF$1001,0),1)&gt;=100000,INDEX($AM$1005:$BM$1005,1,MATCH(COLUMNS($AM$1006:AM1006),$AM$1006:$BM$1006,0))&gt;=100000), " ",IF(INDEX($AM$2:$BM$1001,MATCH(ROWS($AF$2:AF837),$AF$2:$AF$1001,0),MATCH(COLUMNS($AM$1006:AM1006),$AM$1006:$BM$1006,0)), HYPERLINK("#",""), HYPERLINK(CONCATENATE("#metadata!", ADDRESS(INDEX($AH$2:$AH$1001,MATCH(ROWS($AF$2:AF837),$AF$2:$AF$1001,0),0), INDEX($AM$1004:$BM$1004,1,MATCH(COLUMNS($AM$1006:AM1006),$AM$1006:$BM$1006,0)))),"Fix")))</f>
        <v xml:space="preserve"> </v>
      </c>
      <c r="C837" s="4" t="str">
        <f ca="1">IF(OR(INDEX($AG$2:$AG$1001,MATCH(ROWS($AF$2:AF837),$AF$2:$AF$1001,0),1)&gt;=100000,INDEX($AM$1005:$BM$1005,1,MATCH(COLUMNS($AM$1006:AN1006),$AM$1006:$BM$1006,0))&gt;=100000), " ",IF(INDEX($AM$2:$BM$1001,MATCH(ROWS($AF$2:AF837),$AF$2:$AF$1001,0),MATCH(COLUMNS($AM$1006:AN1006),$AM$1006:$BM$1006,0)), HYPERLINK("#",""), HYPERLINK(CONCATENATE("#metadata!", ADDRESS(INDEX($AH$2:$AH$1001,MATCH(ROWS($AF$2:AF837),$AF$2:$AF$1001,0),0), INDEX($AM$1004:$BM$1004,1,MATCH(COLUMNS($AM$1006:AN1006),$AM$1006:$BM$1006,0)))),"Fix")))</f>
        <v xml:space="preserve"> </v>
      </c>
      <c r="D837" s="4" t="str">
        <f ca="1">IF(OR(INDEX($AG$2:$AG$1001,MATCH(ROWS($AF$2:AF837),$AF$2:$AF$1001,0),1)&gt;=100000,INDEX($AM$1005:$BM$1005,1,MATCH(COLUMNS($AM$1006:AO1006),$AM$1006:$BM$1006,0))&gt;=100000), " ",IF(INDEX($AM$2:$BM$1001,MATCH(ROWS($AF$2:AF837),$AF$2:$AF$1001,0),MATCH(COLUMNS($AM$1006:AO1006),$AM$1006:$BM$1006,0)), HYPERLINK("#",""), HYPERLINK(CONCATENATE("#metadata!", ADDRESS(INDEX($AH$2:$AH$1001,MATCH(ROWS($AF$2:AF837),$AF$2:$AF$1001,0),0), INDEX($AM$1004:$BM$1004,1,MATCH(COLUMNS($AM$1006:AO1006),$AM$1006:$BM$1006,0)))),"Fix")))</f>
        <v xml:space="preserve"> </v>
      </c>
      <c r="E837" s="4" t="str">
        <f ca="1">IF(OR(INDEX($AG$2:$AG$1001,MATCH(ROWS($AF$2:AF837),$AF$2:$AF$1001,0),1)&gt;=100000,INDEX($AM$1005:$BM$1005,1,MATCH(COLUMNS($AM$1006:AP1006),$AM$1006:$BM$1006,0))&gt;=100000), " ",IF(INDEX($AM$2:$BM$1001,MATCH(ROWS($AF$2:AF837),$AF$2:$AF$1001,0),MATCH(COLUMNS($AM$1006:AP1006),$AM$1006:$BM$1006,0)), HYPERLINK("#",""), HYPERLINK(CONCATENATE("#metadata!", ADDRESS(INDEX($AH$2:$AH$1001,MATCH(ROWS($AF$2:AF837),$AF$2:$AF$1001,0),0), INDEX($AM$1004:$BM$1004,1,MATCH(COLUMNS($AM$1006:AP1006),$AM$1006:$BM$1006,0)))),"Fix")))</f>
        <v xml:space="preserve"> </v>
      </c>
      <c r="F837" s="4" t="str">
        <f ca="1">IF(OR(INDEX($AG$2:$AG$1001,MATCH(ROWS($AF$2:AF837),$AF$2:$AF$1001,0),1)&gt;=100000,INDEX($AM$1005:$BM$1005,1,MATCH(COLUMNS($AM$1006:AQ1006),$AM$1006:$BM$1006,0))&gt;=100000), " ",IF(INDEX($AM$2:$BM$1001,MATCH(ROWS($AF$2:AF837),$AF$2:$AF$1001,0),MATCH(COLUMNS($AM$1006:AQ1006),$AM$1006:$BM$1006,0)), HYPERLINK("#",""), HYPERLINK(CONCATENATE("#metadata!", ADDRESS(INDEX($AH$2:$AH$1001,MATCH(ROWS($AF$2:AF837),$AF$2:$AF$1001,0),0), INDEX($AM$1004:$BM$1004,1,MATCH(COLUMNS($AM$1006:AQ1006),$AM$1006:$BM$1006,0)))),"Fix")))</f>
        <v xml:space="preserve"> </v>
      </c>
      <c r="G837" s="4" t="str">
        <f ca="1">IF(OR(INDEX($AG$2:$AG$1001,MATCH(ROWS($AF$2:AF837),$AF$2:$AF$1001,0),1)&gt;=100000,INDEX($AM$1005:$BM$1005,1,MATCH(COLUMNS($AM$1006:AR1006),$AM$1006:$BM$1006,0))&gt;=100000), " ",IF(INDEX($AM$2:$BM$1001,MATCH(ROWS($AF$2:AF837),$AF$2:$AF$1001,0),MATCH(COLUMNS($AM$1006:AR1006),$AM$1006:$BM$1006,0)), HYPERLINK("#",""), HYPERLINK(CONCATENATE("#metadata!", ADDRESS(INDEX($AH$2:$AH$1001,MATCH(ROWS($AF$2:AF837),$AF$2:$AF$1001,0),0), INDEX($AM$1004:$BM$1004,1,MATCH(COLUMNS($AM$1006:AR1006),$AM$1006:$BM$1006,0)))),"Fix")))</f>
        <v xml:space="preserve"> </v>
      </c>
      <c r="H837" s="4" t="str">
        <f ca="1">IF(OR(INDEX($AG$2:$AG$1001,MATCH(ROWS($AF$2:AF837),$AF$2:$AF$1001,0),1)&gt;=100000,INDEX($AM$1005:$BM$1005,1,MATCH(COLUMNS($AM$1006:AS1006),$AM$1006:$BM$1006,0))&gt;=100000), " ",IF(INDEX($AM$2:$BM$1001,MATCH(ROWS($AF$2:AF837),$AF$2:$AF$1001,0),MATCH(COLUMNS($AM$1006:AS1006),$AM$1006:$BM$1006,0)), HYPERLINK("#",""), HYPERLINK(CONCATENATE("#metadata!", ADDRESS(INDEX($AH$2:$AH$1001,MATCH(ROWS($AF$2:AF837),$AF$2:$AF$1001,0),0), INDEX($AM$1004:$BM$1004,1,MATCH(COLUMNS($AM$1006:AS1006),$AM$1006:$BM$1006,0)))),"Fix")))</f>
        <v xml:space="preserve"> </v>
      </c>
      <c r="I837" s="4" t="str">
        <f ca="1">IF(OR(INDEX($AG$2:$AG$1001,MATCH(ROWS($AF$2:AF837),$AF$2:$AF$1001,0),1)&gt;=100000,INDEX($AM$1005:$BM$1005,1,MATCH(COLUMNS($AM$1006:AT1006),$AM$1006:$BM$1006,0))&gt;=100000), " ",IF(INDEX($AM$2:$BM$1001,MATCH(ROWS($AF$2:AF837),$AF$2:$AF$1001,0),MATCH(COLUMNS($AM$1006:AT1006),$AM$1006:$BM$1006,0)), HYPERLINK("#",""), HYPERLINK(CONCATENATE("#metadata!", ADDRESS(INDEX($AH$2:$AH$1001,MATCH(ROWS($AF$2:AF837),$AF$2:$AF$1001,0),0), INDEX($AM$1004:$BM$1004,1,MATCH(COLUMNS($AM$1006:AT1006),$AM$1006:$BM$1006,0)))),"Fix")))</f>
        <v xml:space="preserve"> </v>
      </c>
      <c r="J837" s="4" t="str">
        <f ca="1">IF(OR(INDEX($AG$2:$AG$1001,MATCH(ROWS($AF$2:AF837),$AF$2:$AF$1001,0),1)&gt;=100000,INDEX($AM$1005:$BM$1005,1,MATCH(COLUMNS($AM$1006:AU1006),$AM$1006:$BM$1006,0))&gt;=100000), " ",IF(INDEX($AM$2:$BM$1001,MATCH(ROWS($AF$2:AF837),$AF$2:$AF$1001,0),MATCH(COLUMNS($AM$1006:AU1006),$AM$1006:$BM$1006,0)), HYPERLINK("#",""), HYPERLINK(CONCATENATE("#metadata!", ADDRESS(INDEX($AH$2:$AH$1001,MATCH(ROWS($AF$2:AF837),$AF$2:$AF$1001,0),0), INDEX($AM$1004:$BM$1004,1,MATCH(COLUMNS($AM$1006:AU1006),$AM$1006:$BM$1006,0)))),"Fix")))</f>
        <v xml:space="preserve"> </v>
      </c>
      <c r="K837" s="4" t="str">
        <f ca="1">IF(OR(INDEX($AG$2:$AG$1001,MATCH(ROWS($AF$2:AF837),$AF$2:$AF$1001,0),1)&gt;=100000,INDEX($AM$1005:$BM$1005,1,MATCH(COLUMNS($AM$1006:AV1006),$AM$1006:$BM$1006,0))&gt;=100000), " ",IF(INDEX($AM$2:$BM$1001,MATCH(ROWS($AF$2:AF837),$AF$2:$AF$1001,0),MATCH(COLUMNS($AM$1006:AV1006),$AM$1006:$BM$1006,0)), HYPERLINK("#",""), HYPERLINK(CONCATENATE("#metadata!", ADDRESS(INDEX($AH$2:$AH$1001,MATCH(ROWS($AF$2:AF837),$AF$2:$AF$1001,0),0), INDEX($AM$1004:$BM$1004,1,MATCH(COLUMNS($AM$1006:AV1006),$AM$1006:$BM$1006,0)))),"Fix")))</f>
        <v xml:space="preserve"> </v>
      </c>
      <c r="L837" s="4" t="str">
        <f ca="1">IF(OR(INDEX($AG$2:$AG$1001,MATCH(ROWS($AF$2:AF837),$AF$2:$AF$1001,0),1)&gt;=100000,INDEX($AM$1005:$BM$1005,1,MATCH(COLUMNS($AM$1006:AW1006),$AM$1006:$BM$1006,0))&gt;=100000), " ",IF(INDEX($AM$2:$BM$1001,MATCH(ROWS($AF$2:AF837),$AF$2:$AF$1001,0),MATCH(COLUMNS($AM$1006:AW1006),$AM$1006:$BM$1006,0)), HYPERLINK("#",""), HYPERLINK(CONCATENATE("#metadata!", ADDRESS(INDEX($AH$2:$AH$1001,MATCH(ROWS($AF$2:AF837),$AF$2:$AF$1001,0),0), INDEX($AM$1004:$BM$1004,1,MATCH(COLUMNS($AM$1006:AW1006),$AM$1006:$BM$1006,0)))),"Fix")))</f>
        <v xml:space="preserve"> </v>
      </c>
      <c r="M837" s="4" t="str">
        <f ca="1">IF(OR(INDEX($AG$2:$AG$1001,MATCH(ROWS($AF$2:AF837),$AF$2:$AF$1001,0),1)&gt;=100000,INDEX($AM$1005:$BM$1005,1,MATCH(COLUMNS($AM$1006:AX1006),$AM$1006:$BM$1006,0))&gt;=100000), " ",IF(INDEX($AM$2:$BM$1001,MATCH(ROWS($AF$2:AF837),$AF$2:$AF$1001,0),MATCH(COLUMNS($AM$1006:AX1006),$AM$1006:$BM$1006,0)), HYPERLINK("#",""), HYPERLINK(CONCATENATE("#metadata!", ADDRESS(INDEX($AH$2:$AH$1001,MATCH(ROWS($AF$2:AF837),$AF$2:$AF$1001,0),0), INDEX($AM$1004:$BM$1004,1,MATCH(COLUMNS($AM$1006:AX1006),$AM$1006:$BM$1006,0)))),"Fix")))</f>
        <v xml:space="preserve"> </v>
      </c>
      <c r="N837" s="4" t="str">
        <f ca="1">IF(OR(INDEX($AG$2:$AG$1001,MATCH(ROWS($AF$2:AF837),$AF$2:$AF$1001,0),1)&gt;=100000,INDEX($AM$1005:$BM$1005,1,MATCH(COLUMNS($AM$1006:AY1006),$AM$1006:$BM$1006,0))&gt;=100000), " ",IF(INDEX($AM$2:$BM$1001,MATCH(ROWS($AF$2:AF837),$AF$2:$AF$1001,0),MATCH(COLUMNS($AM$1006:AY1006),$AM$1006:$BM$1006,0)), HYPERLINK("#",""), HYPERLINK(CONCATENATE("#metadata!", ADDRESS(INDEX($AH$2:$AH$1001,MATCH(ROWS($AF$2:AF837),$AF$2:$AF$1001,0),0), INDEX($AM$1004:$BM$1004,1,MATCH(COLUMNS($AM$1006:AY1006),$AM$1006:$BM$1006,0)))),"Fix")))</f>
        <v xml:space="preserve"> </v>
      </c>
      <c r="O837" s="4" t="str">
        <f ca="1">IF(OR(INDEX($AG$2:$AG$1001,MATCH(ROWS($AF$2:AF837),$AF$2:$AF$1001,0),1)&gt;=100000,INDEX($AM$1005:$BM$1005,1,MATCH(COLUMNS($AM$1006:AZ1006),$AM$1006:$BM$1006,0))&gt;=100000), " ",IF(INDEX($AM$2:$BM$1001,MATCH(ROWS($AF$2:AF837),$AF$2:$AF$1001,0),MATCH(COLUMNS($AM$1006:AZ1006),$AM$1006:$BM$1006,0)), HYPERLINK("#",""), HYPERLINK(CONCATENATE("#metadata!", ADDRESS(INDEX($AH$2:$AH$1001,MATCH(ROWS($AF$2:AF837),$AF$2:$AF$1001,0),0), INDEX($AM$1004:$BM$1004,1,MATCH(COLUMNS($AM$1006:AZ1006),$AM$1006:$BM$1006,0)))),"Fix")))</f>
        <v xml:space="preserve"> </v>
      </c>
      <c r="P837" s="4" t="str">
        <f ca="1">IF(OR(INDEX($AG$2:$AG$1001,MATCH(ROWS($AF$2:AF837),$AF$2:$AF$1001,0),1)&gt;=100000,INDEX($AM$1005:$BM$1005,1,MATCH(COLUMNS($AM$1006:BA1006),$AM$1006:$BM$1006,0))&gt;=100000), " ",IF(INDEX($AM$2:$BM$1001,MATCH(ROWS($AF$2:AF837),$AF$2:$AF$1001,0),MATCH(COLUMNS($AM$1006:BA1006),$AM$1006:$BM$1006,0)), HYPERLINK("#",""), HYPERLINK(CONCATENATE("#metadata!", ADDRESS(INDEX($AH$2:$AH$1001,MATCH(ROWS($AF$2:AF837),$AF$2:$AF$1001,0),0), INDEX($AM$1004:$BM$1004,1,MATCH(COLUMNS($AM$1006:BA1006),$AM$1006:$BM$1006,0)))),"Fix")))</f>
        <v xml:space="preserve"> </v>
      </c>
      <c r="Q837" s="4" t="str">
        <f ca="1">IF(OR(INDEX($AG$2:$AG$1001,MATCH(ROWS($AF$2:AF837),$AF$2:$AF$1001,0),1)&gt;=100000,INDEX($AM$1005:$BM$1005,1,MATCH(COLUMNS($AM$1006:BB1006),$AM$1006:$BM$1006,0))&gt;=100000), " ",IF(INDEX($AM$2:$BM$1001,MATCH(ROWS($AF$2:AF837),$AF$2:$AF$1001,0),MATCH(COLUMNS($AM$1006:BB1006),$AM$1006:$BM$1006,0)), HYPERLINK("#",""), HYPERLINK(CONCATENATE("#metadata!", ADDRESS(INDEX($AH$2:$AH$1001,MATCH(ROWS($AF$2:AF837),$AF$2:$AF$1001,0),0), INDEX($AM$1004:$BM$1004,1,MATCH(COLUMNS($AM$1006:BB1006),$AM$1006:$BM$1006,0)))),"Fix")))</f>
        <v xml:space="preserve"> </v>
      </c>
      <c r="R837" s="4" t="str">
        <f ca="1">IF(OR(INDEX($AG$2:$AG$1001,MATCH(ROWS($AF$2:AF837),$AF$2:$AF$1001,0),1)&gt;=100000,INDEX($AM$1005:$BM$1005,1,MATCH(COLUMNS($AM$1006:BC1006),$AM$1006:$BM$1006,0))&gt;=100000), " ",IF(INDEX($AM$2:$BM$1001,MATCH(ROWS($AF$2:AF837),$AF$2:$AF$1001,0),MATCH(COLUMNS($AM$1006:BC1006),$AM$1006:$BM$1006,0)), HYPERLINK("#",""), HYPERLINK(CONCATENATE("#metadata!", ADDRESS(INDEX($AH$2:$AH$1001,MATCH(ROWS($AF$2:AF837),$AF$2:$AF$1001,0),0), INDEX($AM$1004:$BM$1004,1,MATCH(COLUMNS($AM$1006:BC1006),$AM$1006:$BM$1006,0)))),"Fix")))</f>
        <v xml:space="preserve"> </v>
      </c>
      <c r="S837" s="4" t="str">
        <f ca="1">IF(OR(INDEX($AG$2:$AG$1001,MATCH(ROWS($AF$2:AF837),$AF$2:$AF$1001,0),1)&gt;=100000,INDEX($AM$1005:$BM$1005,1,MATCH(COLUMNS($AM$1006:BD1006),$AM$1006:$BM$1006,0))&gt;=100000), " ",IF(INDEX($AM$2:$BM$1001,MATCH(ROWS($AF$2:AF837),$AF$2:$AF$1001,0),MATCH(COLUMNS($AM$1006:BD1006),$AM$1006:$BM$1006,0)), HYPERLINK("#",""), HYPERLINK(CONCATENATE("#metadata!", ADDRESS(INDEX($AH$2:$AH$1001,MATCH(ROWS($AF$2:AF837),$AF$2:$AF$1001,0),0), INDEX($AM$1004:$BM$1004,1,MATCH(COLUMNS($AM$1006:BD1006),$AM$1006:$BM$1006,0)))),"Fix")))</f>
        <v xml:space="preserve"> </v>
      </c>
      <c r="T837" s="4" t="str">
        <f ca="1">IF(OR(INDEX($AG$2:$AG$1001,MATCH(ROWS($AF$2:AF837),$AF$2:$AF$1001,0),1)&gt;=100000,INDEX($AM$1005:$BM$1005,1,MATCH(COLUMNS($AM$1006:BE1006),$AM$1006:$BM$1006,0))&gt;=100000), " ",IF(INDEX($AM$2:$BM$1001,MATCH(ROWS($AF$2:AF837),$AF$2:$AF$1001,0),MATCH(COLUMNS($AM$1006:BE1006),$AM$1006:$BM$1006,0)), HYPERLINK("#",""), HYPERLINK(CONCATENATE("#metadata!", ADDRESS(INDEX($AH$2:$AH$1001,MATCH(ROWS($AF$2:AF837),$AF$2:$AF$1001,0),0), INDEX($AM$1004:$BM$1004,1,MATCH(COLUMNS($AM$1006:BE1006),$AM$1006:$BM$1006,0)))),"Fix")))</f>
        <v xml:space="preserve"> </v>
      </c>
      <c r="U837" s="4" t="str">
        <f ca="1">IF(OR(INDEX($AG$2:$AG$1001,MATCH(ROWS($AF$2:AF837),$AF$2:$AF$1001,0),1)&gt;=100000,INDEX($AM$1005:$BM$1005,1,MATCH(COLUMNS($AM$1006:BF1006),$AM$1006:$BM$1006,0))&gt;=100000), " ",IF(INDEX($AM$2:$BM$1001,MATCH(ROWS($AF$2:AF837),$AF$2:$AF$1001,0),MATCH(COLUMNS($AM$1006:BF1006),$AM$1006:$BM$1006,0)), HYPERLINK("#",""), HYPERLINK(CONCATENATE("#metadata!", ADDRESS(INDEX($AH$2:$AH$1001,MATCH(ROWS($AF$2:AF837),$AF$2:$AF$1001,0),0), INDEX($AM$1004:$BM$1004,1,MATCH(COLUMNS($AM$1006:BF1006),$AM$1006:$BM$1006,0)))),"Fix")))</f>
        <v xml:space="preserve"> </v>
      </c>
      <c r="V837" s="4" t="str">
        <f ca="1">IF(OR(INDEX($AG$2:$AG$1001,MATCH(ROWS($AF$2:AF837),$AF$2:$AF$1001,0),1)&gt;=100000,INDEX($AM$1005:$BM$1005,1,MATCH(COLUMNS($AM$1006:BG1006),$AM$1006:$BM$1006,0))&gt;=100000), " ",IF(INDEX($AM$2:$BM$1001,MATCH(ROWS($AF$2:AF837),$AF$2:$AF$1001,0),MATCH(COLUMNS($AM$1006:BG1006),$AM$1006:$BM$1006,0)), HYPERLINK("#",""), HYPERLINK(CONCATENATE("#metadata!", ADDRESS(INDEX($AH$2:$AH$1001,MATCH(ROWS($AF$2:AF837),$AF$2:$AF$1001,0),0), INDEX($AM$1004:$BM$1004,1,MATCH(COLUMNS($AM$1006:BG1006),$AM$1006:$BM$1006,0)))),"Fix")))</f>
        <v xml:space="preserve"> </v>
      </c>
      <c r="W837" s="4" t="str">
        <f ca="1">IF(OR(INDEX($AG$2:$AG$1001,MATCH(ROWS($AF$2:AF837),$AF$2:$AF$1001,0),1)&gt;=100000,INDEX($AM$1005:$BM$1005,1,MATCH(COLUMNS($AM$1006:BH1006),$AM$1006:$BM$1006,0))&gt;=100000), " ",IF(INDEX($AM$2:$BM$1001,MATCH(ROWS($AF$2:AF837),$AF$2:$AF$1001,0),MATCH(COLUMNS($AM$1006:BH1006),$AM$1006:$BM$1006,0)), HYPERLINK("#",""), HYPERLINK(CONCATENATE("#metadata!", ADDRESS(INDEX($AH$2:$AH$1001,MATCH(ROWS($AF$2:AF837),$AF$2:$AF$1001,0),0), INDEX($AM$1004:$BM$1004,1,MATCH(COLUMNS($AM$1006:BH1006),$AM$1006:$BM$1006,0)))),"Fix")))</f>
        <v xml:space="preserve"> </v>
      </c>
      <c r="X837" s="4" t="str">
        <f ca="1">IF(OR(INDEX($AG$2:$AG$1001,MATCH(ROWS($AF$2:AF837),$AF$2:$AF$1001,0),1)&gt;=100000,INDEX($AM$1005:$BM$1005,1,MATCH(COLUMNS($AM$1006:BI1006),$AM$1006:$BM$1006,0))&gt;=100000), " ",IF(INDEX($AM$2:$BM$1001,MATCH(ROWS($AF$2:AF837),$AF$2:$AF$1001,0),MATCH(COLUMNS($AM$1006:BI1006),$AM$1006:$BM$1006,0)), HYPERLINK("#",""), HYPERLINK(CONCATENATE("#metadata!", ADDRESS(INDEX($AH$2:$AH$1001,MATCH(ROWS($AF$2:AF837),$AF$2:$AF$1001,0),0), INDEX($AM$1004:$BM$1004,1,MATCH(COLUMNS($AM$1006:BI1006),$AM$1006:$BM$1006,0)))),"Fix")))</f>
        <v xml:space="preserve"> </v>
      </c>
      <c r="Y837" s="4" t="str">
        <f ca="1">IF(OR(INDEX($AG$2:$AG$1001,MATCH(ROWS($AF$2:AF837),$AF$2:$AF$1001,0),1)&gt;=100000,INDEX($AM$1005:$BM$1005,1,MATCH(COLUMNS($AM$1006:BJ1006),$AM$1006:$BM$1006,0))&gt;=100000), " ",IF(INDEX($AM$2:$BM$1001,MATCH(ROWS($AF$2:AF837),$AF$2:$AF$1001,0),MATCH(COLUMNS($AM$1006:BJ1006),$AM$1006:$BM$1006,0)), HYPERLINK("#",""), HYPERLINK(CONCATENATE("#metadata!", ADDRESS(INDEX($AH$2:$AH$1001,MATCH(ROWS($AF$2:AF837),$AF$2:$AF$1001,0),0), INDEX($AM$1004:$BM$1004,1,MATCH(COLUMNS($AM$1006:BJ1006),$AM$1006:$BM$1006,0)))),"Fix")))</f>
        <v xml:space="preserve"> </v>
      </c>
      <c r="Z837" s="4" t="str">
        <f ca="1">IF(OR(INDEX($AG$2:$AG$1001,MATCH(ROWS($AF$2:AF837),$AF$2:$AF$1001,0),1)&gt;=100000,INDEX($AM$1005:$BM$1005,1,MATCH(COLUMNS($AM$1006:BK1006),$AM$1006:$BM$1006,0))&gt;=100000), " ",IF(INDEX($AM$2:$BM$1001,MATCH(ROWS($AF$2:AF837),$AF$2:$AF$1001,0),MATCH(COLUMNS($AM$1006:BK1006),$AM$1006:$BM$1006,0)), HYPERLINK("#",""), HYPERLINK(CONCATENATE("#metadata!", ADDRESS(INDEX($AH$2:$AH$1001,MATCH(ROWS($AF$2:AF837),$AF$2:$AF$1001,0),0), INDEX($AM$1004:$BM$1004,1,MATCH(COLUMNS($AM$1006:BK1006),$AM$1006:$BM$1006,0)))),"Fix")))</f>
        <v xml:space="preserve"> </v>
      </c>
      <c r="AA837" s="4" t="str">
        <f ca="1">IF(OR(INDEX($AG$2:$AG$1001,MATCH(ROWS($AF$2:AF837),$AF$2:$AF$1001,0),1)&gt;=100000,INDEX($AM$1005:$BM$1005,1,MATCH(COLUMNS($AM$1006:BL1006),$AM$1006:$BM$1006,0))&gt;=100000), " ",IF(INDEX($AM$2:$BM$1001,MATCH(ROWS($AF$2:AF837),$AF$2:$AF$1001,0),MATCH(COLUMNS($AM$1006:BL1006),$AM$1006:$BM$1006,0)), HYPERLINK("#",""), HYPERLINK(CONCATENATE("#metadata!", ADDRESS(INDEX($AH$2:$AH$1001,MATCH(ROWS($AF$2:AF837),$AF$2:$AF$1001,0),0), INDEX($AM$1004:$BM$1004,1,MATCH(COLUMNS($AM$1006:BL1006),$AM$1006:$BM$1006,0)))),"Fix")))</f>
        <v xml:space="preserve"> </v>
      </c>
      <c r="AB837" s="4" t="str">
        <f ca="1">IF(OR(INDEX($AG$2:$AG$1001,MATCH(ROWS($AF$2:AF837),$AF$2:$AF$1001,0),1)&gt;=100000,INDEX($AM$1005:$BM$1005,1,MATCH(COLUMNS($AM$1006:BM1006),$AM$1006:$BM$1006,0))&gt;=100000), " ",IF(INDEX($AM$2:$BM$1001,MATCH(ROWS($AF$2:AF837),$AF$2:$AF$1001,0),MATCH(COLUMNS($AM$1006:BM1006),$AM$1006:$BM$1006,0)), HYPERLINK("#",""), HYPERLINK(CONCATENATE("#metadata!", ADDRESS(INDEX($AH$2:$AH$1001,MATCH(ROWS($AF$2:AF837),$AF$2:$AF$1001,0),0), INDEX($AM$1004:$BM$1004,1,MATCH(COLUMNS($AM$1006:BM1006),$AM$1006:$BM$1006,0)))),"Fix")))</f>
        <v xml:space="preserve"> </v>
      </c>
      <c r="AF837">
        <v>836</v>
      </c>
      <c r="AG837">
        <v>100837</v>
      </c>
      <c r="AH837">
        <v>837</v>
      </c>
      <c r="AI837" t="b">
        <f t="shared" si="13"/>
        <v>1</v>
      </c>
      <c r="AJ837" t="b">
        <f>COUNTBLANK(metadata!B837:AB837)=COLUMNS(metadata!B837:AB837)</f>
        <v>1</v>
      </c>
      <c r="AK837" t="str">
        <v/>
      </c>
      <c r="AM837" t="b">
        <f ca="1">AND(IF(metadata!B837="",FALSE,TRUE),COUNTIF(metadata!B:B, metadata!B837) = 1,NOT(ISERROR(SUMPRODUCT(SEARCH(MID(metadata!B837,ROW(INDIRECT("1:"&amp;LEN(metadata!B837))), 1),"0123456789abcdefghijklmnopqrstuvwxyzABCDEFGHIJKLMNOPQRSTUVWXYZ.")))))</f>
        <v>0</v>
      </c>
      <c r="AN837" t="b">
        <f ca="1">OR(AND(IF(metadata!C837="",FALSE,TRUE),OR(EXACT(metadata!C837,"missing: not collected"),EXACT(metadata!C837,"missing: not provided"),EXACT(metadata!C837,"missing: restricted access"))),AND(IF(metadata!C837="",FALSE,TRUE),AND(AND(IFERROR(INT(LEFT(metadata!C837,4))&gt;1900,FALSE),IFERROR(INT(LEFT(metadata!C837,4))&lt;=YEAR(NOW()),FALSE)), OR(MID(metadata!C837,5,1)="", AND(AND(MID(metadata!C837,5,1)="-",IFERROR(INT(MID(metadata!C837,6,1))&gt;=0,FALSE),IFERROR(INT(MID(metadata!C837,6,1))&lt;=1,FALSE),NOT(MID(metadata!C837,7,1)=""),IFERROR(INT(MID(metadata!C837,6,2))&gt;=1,FALSE),IFERROR(INT(MID(metadata!C837,6,2))&lt;=12,FALSE)), OR(MID(metadata!C837,8,1)="", AND(AND(MID(metadata!C837,8,1)="-",IFERROR(INT(MID(metadata!C837,9,1))&gt;=0,FALSE),IFERROR(INT(MID(metadata!C837,9,1))&lt;=3,FALSE),NOT(MID(metadata!C837,10,1)=""),IFERROR(INT(MID(metadata!C837,9,2))&gt;=1,FALSE),IFERROR(INT(MID(metadata!C837,9,2))&lt;=31,FALSE)), OR(MID(metadata!C837,11,1)="", AND(AND(MID(metadata!C837,11,1)=" ",IFERROR(INT(MID(metadata!C837,12,1))&gt;=0,FALSE),IFERROR(INT(MID(metadata!C837,12,1))&lt;=2,FALSE),NOT(MID(metadata!C837,13,1)=""),IFERROR(INT(MID(metadata!C837,12,2))&gt;=0,FALSE),IFERROR(INT(MID(metadata!C837,12,2))&lt;=23,FALSE)), OR(MID(metadata!C837,14,1)="", AND(AND(MID(metadata!C837,14,1)=":",IFERROR(INT(MID(metadata!C837,15,1))&gt;=0,FALSE),IFERROR(INT(MID(metadata!C837,15,1))&lt;=5,FALSE),NOT(MID(metadata!C837,16,1)=""),IFERROR(INT(MID(metadata!C837,15,2))&gt;=0,FALSE),IFERROR(INT(MID(metadata!C837,15,2))&lt;=59,FALSE)), OR(MID(metadata!C837,17,1)="", AND(AND(MID(metadata!C837,17,1)=":",IFERROR(INT(MID(metadata!C837,18,1))&gt;=0,FALSE),IFERROR(INT(MID(metadata!C837,18,1))&lt;=5,FALSE),NOT(MID(metadata!C837,19,1)=""),IFERROR(INT(MID(metadata!C837,18,2))&gt;=0,FALSE),IFERROR(INT(MID(metadata!C837,18,2))&lt;=59,FALSE)), LEN(metadata!C837)&lt;=19)))))))))))))</f>
        <v>0</v>
      </c>
      <c r="AO837" t="b">
        <f>AND(IF(metadata!D837="",FALSE,TRUE),EXACT(metadata!D837,"Not applicable"))</f>
        <v>0</v>
      </c>
      <c r="AP837" t="b">
        <f>IF(metadata!E837="",FALSE,TRUE)</f>
        <v>0</v>
      </c>
      <c r="AQ837" t="b">
        <f>OR(AND(IF(metadata!F837="",FALSE,TRUE),OR(EXACT(metadata!F837,"missing: not collected"),EXACT(metadata!F837,"missing: not provided"))),AND(IF(metadata!F837="",FALSE,TRUE),OR(EXACT(metadata!F837,"TRUE"),EXACT(metadata!F837,"FALSE"))))</f>
        <v>0</v>
      </c>
      <c r="AR837" t="b">
        <f>OR(AND(IF(metadata!G837="",FALSE,TRUE),OR(EXACT(metadata!G837,"missing: not collected"),EXACT(metadata!G837,"missing: not provided"),EXACT(metadata!G837,"missing: restricted access"))),AND(IF(metadata!G837="",FALSE,ISNUMBER(VALUE(metadata!G837))),metadata!G837&gt;=-413))</f>
        <v>0</v>
      </c>
      <c r="AS837" t="b">
        <f>AND(IF(metadata!H837="",FALSE,TRUE),EXACT(metadata!H837,"meters"))</f>
        <v>0</v>
      </c>
      <c r="AT837" t="b">
        <f>AND(IF(metadata!I837="",FALSE,TRUE),OR(EXACT(metadata!I837,"Host-associated"),EXACT(metadata!I837,"Free-living")))</f>
        <v>0</v>
      </c>
      <c r="AU837" t="b">
        <f>AND(IF(metadata!J837="",FALSE,TRUE),OR(EXACT(metadata!J837,"Animal"),EXACT(metadata!J837,"Fungus"),EXACT(metadata!J837,"Plant"),EXACT(metadata!J837,"Saline"),EXACT(metadata!J837,"Non-saline")))</f>
        <v>0</v>
      </c>
      <c r="AV837" t="b">
        <f>AND(IF(metadata!K837="",FALSE,TRUE),OR(EXACT(metadata!K837,"Plant secretion"),EXACT(metadata!K837,"Plant rhizosphere"),EXACT(metadata!K837,"Plant surface"),EXACT(metadata!K837,"Plant corpus"),EXACT(metadata!K837,"Fungus surface"),EXACT(metadata!K837,"Fungus corpus"),EXACT(metadata!K837,"Animal surface"),EXACT(metadata!K837,"Animal proximal gut"),EXACT(metadata!K837,"Animal corpus"),EXACT(metadata!K837,"Animal distal gut"),EXACT(metadata!K837,"Animal secretion"),EXACT(metadata!K837,"Sub-surface (non-saline)"),EXACT(metadata!K837,"Surface (non-saline)"),EXACT(metadata!K837,"Water (non-saline)"),EXACT(metadata!K837,"Soil (non-saline)"),EXACT(metadata!K837,"Aerosol (non-saline)"),EXACT(metadata!K837,"Sediment (non-saline)"),EXACT(metadata!K837,"Surface (saline)"),EXACT(metadata!K837,"Water (saline)"),EXACT(metadata!K837,"Hypersaline (saline)"),EXACT(metadata!K837,"Aerosol (saline)"),EXACT(metadata!K837,"Sediment (saline)")))</f>
        <v>0</v>
      </c>
      <c r="AW837" t="b">
        <f>IF(metadata!L837="",FALSE,TRUE)</f>
        <v>0</v>
      </c>
      <c r="AX837" t="b">
        <f>IF(metadata!M837="",FALSE,TRUE)</f>
        <v>0</v>
      </c>
      <c r="AY837" t="b">
        <f>IF(metadata!N837="",FALSE,TRUE)</f>
        <v>0</v>
      </c>
      <c r="AZ837" t="b">
        <f>OR(AND(IF(metadata!O837="",FALSE,TRUE),OR(EXACT(metadata!O837,"missing: not collected"),EXACT(metadata!O837,"missing: not provided"),EXACT(metadata!O837,"missing: restricted access"))),AND(IF(metadata!O837="",FALSE,TRUE),OR(EXACT(metadata!O837,"air"),EXACT(metadata!O837,"built environment"),EXACT(metadata!O837,"host-associated"),EXACT(metadata!O837,"human-associated"),EXACT(metadata!O837,"human-skin"),EXACT(metadata!O837,"human-oral"),EXACT(metadata!O837,"human-gut"),EXACT(metadata!O837,"human-vaginal"),EXACT(metadata!O837,"microbial mat/biofilm"),EXACT(metadata!O837,"misc environment"),EXACT(metadata!O837,"plant-associated"),EXACT(metadata!O837,"sediment"),EXACT(metadata!O837,"soil"),EXACT(metadata!O837,"wastewater/sludge"),EXACT(metadata!O837,"water"))))</f>
        <v>0</v>
      </c>
      <c r="BA837" t="b">
        <f>IF(metadata!P837="",FALSE,TRUE)</f>
        <v>0</v>
      </c>
      <c r="BB837" t="b">
        <f>IF(metadata!Q837="",FALSE,TRUE)</f>
        <v>0</v>
      </c>
      <c r="BC837" t="b">
        <f>OR(AND(IF(metadata!R837="",FALSE,TRUE),OR(EXACT(metadata!R837,"missing: not collected"),EXACT(metadata!R837,"missing: not provided"),EXACT(metadata!R837,"missing: restricted access"))),AND(IF(metadata!R837="",FALSE,ISNUMBER(VALUE(metadata!R837))),metadata!R837&gt;=-90,metadata!R837&lt;=90))</f>
        <v>0</v>
      </c>
      <c r="BD837" t="b">
        <f>AND(IF(metadata!S837="",FALSE,TRUE),EXACT(metadata!S837,"Decimal degrees"))</f>
        <v>0</v>
      </c>
      <c r="BE837" t="b">
        <f>OR(AND(IF(metadata!T837="",FALSE,TRUE),OR(EXACT(metadata!T837,"missing: not collected"),EXACT(metadata!T837,"missing: not provided"),EXACT(metadata!T837,"missing: restricted access"))),AND(IF(metadata!T837="",FALSE,ISNUMBER(VALUE(metadata!T837))),metadata!T837&gt;=-180,metadata!T837&lt;=180))</f>
        <v>0</v>
      </c>
      <c r="BF837" t="b">
        <f>AND(IF(metadata!U837="",FALSE,TRUE),EXACT(metadata!U837,"Decimal degrees"))</f>
        <v>0</v>
      </c>
      <c r="BG837" t="b">
        <f>IF(metadata!V837="",FALSE,TRUE)</f>
        <v>0</v>
      </c>
      <c r="BH837" t="b">
        <f>OR(AND(IF(metadata!W837="",FALSE,TRUE),OR(EXACT(metadata!W837,"missing: not collected"),EXACT(metadata!W837,"missing: not provided"),EXACT(metadata!W837,"missing: restricted access"))),AND(IF(metadata!W837="",FALSE,TRUE),OR(EXACT(metadata!W837,"TRUE"),EXACT(metadata!W837,"FALSE"))))</f>
        <v>0</v>
      </c>
      <c r="BI837" t="b">
        <f>AND(IF(metadata!X837="",FALSE,TRUE),EXACT(metadata!X837,"other"))</f>
        <v>0</v>
      </c>
      <c r="BJ837" t="b">
        <f>IF(metadata!Y837="",FALSE,TRUE)</f>
        <v>0</v>
      </c>
      <c r="BK837" t="b">
        <f>OR(AND(IF(metadata!Z837="",FALSE,TRUE),OR(EXACT(metadata!Z837,"missing: not collected"),EXACT(metadata!Z837,"missing: not provided"))),AND(IF(metadata!Z837="",FALSE,IF(ISERROR(INT(metadata!Z837)),FALSE,INT(metadata!Z837)=metadata!Z837)),metadata!Z837&gt;0))</f>
        <v>0</v>
      </c>
      <c r="BL837" t="b">
        <f>AND(IF(metadata!AA837="",FALSE,TRUE),EXACT(metadata!AA837,"Not applicable"))</f>
        <v>0</v>
      </c>
      <c r="BM837" t="b">
        <f>IF(metadata!AB837="",FALSE,TRUE)</f>
        <v>0</v>
      </c>
    </row>
    <row r="838" spans="1:65" x14ac:dyDescent="0.2">
      <c r="A838" s="5" t="str">
        <f ca="1">IF(B838=" "," ",HYPERLINK(CONCATENATE("#metadata!",ADDRESS(INDEX($AH$2:$AH$1001,MATCH(ROWS($AF$2:AF838),$AF$2:$AF$1001,0),0),1)),INDEX($AK$2:$AK$1001,MATCH(ROWS($AF$2:AF838),$AF$2:$AF$1001,0),0)))</f>
        <v xml:space="preserve"> </v>
      </c>
      <c r="B838" s="4" t="str">
        <f ca="1">IF(OR(INDEX($AG$2:$AG$1001,MATCH(ROWS($AF$2:AF838),$AF$2:$AF$1001,0),1)&gt;=100000,INDEX($AM$1005:$BM$1005,1,MATCH(COLUMNS($AM$1006:AM1006),$AM$1006:$BM$1006,0))&gt;=100000), " ",IF(INDEX($AM$2:$BM$1001,MATCH(ROWS($AF$2:AF838),$AF$2:$AF$1001,0),MATCH(COLUMNS($AM$1006:AM1006),$AM$1006:$BM$1006,0)), HYPERLINK("#",""), HYPERLINK(CONCATENATE("#metadata!", ADDRESS(INDEX($AH$2:$AH$1001,MATCH(ROWS($AF$2:AF838),$AF$2:$AF$1001,0),0), INDEX($AM$1004:$BM$1004,1,MATCH(COLUMNS($AM$1006:AM1006),$AM$1006:$BM$1006,0)))),"Fix")))</f>
        <v xml:space="preserve"> </v>
      </c>
      <c r="C838" s="4" t="str">
        <f ca="1">IF(OR(INDEX($AG$2:$AG$1001,MATCH(ROWS($AF$2:AF838),$AF$2:$AF$1001,0),1)&gt;=100000,INDEX($AM$1005:$BM$1005,1,MATCH(COLUMNS($AM$1006:AN1006),$AM$1006:$BM$1006,0))&gt;=100000), " ",IF(INDEX($AM$2:$BM$1001,MATCH(ROWS($AF$2:AF838),$AF$2:$AF$1001,0),MATCH(COLUMNS($AM$1006:AN1006),$AM$1006:$BM$1006,0)), HYPERLINK("#",""), HYPERLINK(CONCATENATE("#metadata!", ADDRESS(INDEX($AH$2:$AH$1001,MATCH(ROWS($AF$2:AF838),$AF$2:$AF$1001,0),0), INDEX($AM$1004:$BM$1004,1,MATCH(COLUMNS($AM$1006:AN1006),$AM$1006:$BM$1006,0)))),"Fix")))</f>
        <v xml:space="preserve"> </v>
      </c>
      <c r="D838" s="4" t="str">
        <f ca="1">IF(OR(INDEX($AG$2:$AG$1001,MATCH(ROWS($AF$2:AF838),$AF$2:$AF$1001,0),1)&gt;=100000,INDEX($AM$1005:$BM$1005,1,MATCH(COLUMNS($AM$1006:AO1006),$AM$1006:$BM$1006,0))&gt;=100000), " ",IF(INDEX($AM$2:$BM$1001,MATCH(ROWS($AF$2:AF838),$AF$2:$AF$1001,0),MATCH(COLUMNS($AM$1006:AO1006),$AM$1006:$BM$1006,0)), HYPERLINK("#",""), HYPERLINK(CONCATENATE("#metadata!", ADDRESS(INDEX($AH$2:$AH$1001,MATCH(ROWS($AF$2:AF838),$AF$2:$AF$1001,0),0), INDEX($AM$1004:$BM$1004,1,MATCH(COLUMNS($AM$1006:AO1006),$AM$1006:$BM$1006,0)))),"Fix")))</f>
        <v xml:space="preserve"> </v>
      </c>
      <c r="E838" s="4" t="str">
        <f ca="1">IF(OR(INDEX($AG$2:$AG$1001,MATCH(ROWS($AF$2:AF838),$AF$2:$AF$1001,0),1)&gt;=100000,INDEX($AM$1005:$BM$1005,1,MATCH(COLUMNS($AM$1006:AP1006),$AM$1006:$BM$1006,0))&gt;=100000), " ",IF(INDEX($AM$2:$BM$1001,MATCH(ROWS($AF$2:AF838),$AF$2:$AF$1001,0),MATCH(COLUMNS($AM$1006:AP1006),$AM$1006:$BM$1006,0)), HYPERLINK("#",""), HYPERLINK(CONCATENATE("#metadata!", ADDRESS(INDEX($AH$2:$AH$1001,MATCH(ROWS($AF$2:AF838),$AF$2:$AF$1001,0),0), INDEX($AM$1004:$BM$1004,1,MATCH(COLUMNS($AM$1006:AP1006),$AM$1006:$BM$1006,0)))),"Fix")))</f>
        <v xml:space="preserve"> </v>
      </c>
      <c r="F838" s="4" t="str">
        <f ca="1">IF(OR(INDEX($AG$2:$AG$1001,MATCH(ROWS($AF$2:AF838),$AF$2:$AF$1001,0),1)&gt;=100000,INDEX($AM$1005:$BM$1005,1,MATCH(COLUMNS($AM$1006:AQ1006),$AM$1006:$BM$1006,0))&gt;=100000), " ",IF(INDEX($AM$2:$BM$1001,MATCH(ROWS($AF$2:AF838),$AF$2:$AF$1001,0),MATCH(COLUMNS($AM$1006:AQ1006),$AM$1006:$BM$1006,0)), HYPERLINK("#",""), HYPERLINK(CONCATENATE("#metadata!", ADDRESS(INDEX($AH$2:$AH$1001,MATCH(ROWS($AF$2:AF838),$AF$2:$AF$1001,0),0), INDEX($AM$1004:$BM$1004,1,MATCH(COLUMNS($AM$1006:AQ1006),$AM$1006:$BM$1006,0)))),"Fix")))</f>
        <v xml:space="preserve"> </v>
      </c>
      <c r="G838" s="4" t="str">
        <f ca="1">IF(OR(INDEX($AG$2:$AG$1001,MATCH(ROWS($AF$2:AF838),$AF$2:$AF$1001,0),1)&gt;=100000,INDEX($AM$1005:$BM$1005,1,MATCH(COLUMNS($AM$1006:AR1006),$AM$1006:$BM$1006,0))&gt;=100000), " ",IF(INDEX($AM$2:$BM$1001,MATCH(ROWS($AF$2:AF838),$AF$2:$AF$1001,0),MATCH(COLUMNS($AM$1006:AR1006),$AM$1006:$BM$1006,0)), HYPERLINK("#",""), HYPERLINK(CONCATENATE("#metadata!", ADDRESS(INDEX($AH$2:$AH$1001,MATCH(ROWS($AF$2:AF838),$AF$2:$AF$1001,0),0), INDEX($AM$1004:$BM$1004,1,MATCH(COLUMNS($AM$1006:AR1006),$AM$1006:$BM$1006,0)))),"Fix")))</f>
        <v xml:space="preserve"> </v>
      </c>
      <c r="H838" s="4" t="str">
        <f ca="1">IF(OR(INDEX($AG$2:$AG$1001,MATCH(ROWS($AF$2:AF838),$AF$2:$AF$1001,0),1)&gt;=100000,INDEX($AM$1005:$BM$1005,1,MATCH(COLUMNS($AM$1006:AS1006),$AM$1006:$BM$1006,0))&gt;=100000), " ",IF(INDEX($AM$2:$BM$1001,MATCH(ROWS($AF$2:AF838),$AF$2:$AF$1001,0),MATCH(COLUMNS($AM$1006:AS1006),$AM$1006:$BM$1006,0)), HYPERLINK("#",""), HYPERLINK(CONCATENATE("#metadata!", ADDRESS(INDEX($AH$2:$AH$1001,MATCH(ROWS($AF$2:AF838),$AF$2:$AF$1001,0),0), INDEX($AM$1004:$BM$1004,1,MATCH(COLUMNS($AM$1006:AS1006),$AM$1006:$BM$1006,0)))),"Fix")))</f>
        <v xml:space="preserve"> </v>
      </c>
      <c r="I838" s="4" t="str">
        <f ca="1">IF(OR(INDEX($AG$2:$AG$1001,MATCH(ROWS($AF$2:AF838),$AF$2:$AF$1001,0),1)&gt;=100000,INDEX($AM$1005:$BM$1005,1,MATCH(COLUMNS($AM$1006:AT1006),$AM$1006:$BM$1006,0))&gt;=100000), " ",IF(INDEX($AM$2:$BM$1001,MATCH(ROWS($AF$2:AF838),$AF$2:$AF$1001,0),MATCH(COLUMNS($AM$1006:AT1006),$AM$1006:$BM$1006,0)), HYPERLINK("#",""), HYPERLINK(CONCATENATE("#metadata!", ADDRESS(INDEX($AH$2:$AH$1001,MATCH(ROWS($AF$2:AF838),$AF$2:$AF$1001,0),0), INDEX($AM$1004:$BM$1004,1,MATCH(COLUMNS($AM$1006:AT1006),$AM$1006:$BM$1006,0)))),"Fix")))</f>
        <v xml:space="preserve"> </v>
      </c>
      <c r="J838" s="4" t="str">
        <f ca="1">IF(OR(INDEX($AG$2:$AG$1001,MATCH(ROWS($AF$2:AF838),$AF$2:$AF$1001,0),1)&gt;=100000,INDEX($AM$1005:$BM$1005,1,MATCH(COLUMNS($AM$1006:AU1006),$AM$1006:$BM$1006,0))&gt;=100000), " ",IF(INDEX($AM$2:$BM$1001,MATCH(ROWS($AF$2:AF838),$AF$2:$AF$1001,0),MATCH(COLUMNS($AM$1006:AU1006),$AM$1006:$BM$1006,0)), HYPERLINK("#",""), HYPERLINK(CONCATENATE("#metadata!", ADDRESS(INDEX($AH$2:$AH$1001,MATCH(ROWS($AF$2:AF838),$AF$2:$AF$1001,0),0), INDEX($AM$1004:$BM$1004,1,MATCH(COLUMNS($AM$1006:AU1006),$AM$1006:$BM$1006,0)))),"Fix")))</f>
        <v xml:space="preserve"> </v>
      </c>
      <c r="K838" s="4" t="str">
        <f ca="1">IF(OR(INDEX($AG$2:$AG$1001,MATCH(ROWS($AF$2:AF838),$AF$2:$AF$1001,0),1)&gt;=100000,INDEX($AM$1005:$BM$1005,1,MATCH(COLUMNS($AM$1006:AV1006),$AM$1006:$BM$1006,0))&gt;=100000), " ",IF(INDEX($AM$2:$BM$1001,MATCH(ROWS($AF$2:AF838),$AF$2:$AF$1001,0),MATCH(COLUMNS($AM$1006:AV1006),$AM$1006:$BM$1006,0)), HYPERLINK("#",""), HYPERLINK(CONCATENATE("#metadata!", ADDRESS(INDEX($AH$2:$AH$1001,MATCH(ROWS($AF$2:AF838),$AF$2:$AF$1001,0),0), INDEX($AM$1004:$BM$1004,1,MATCH(COLUMNS($AM$1006:AV1006),$AM$1006:$BM$1006,0)))),"Fix")))</f>
        <v xml:space="preserve"> </v>
      </c>
      <c r="L838" s="4" t="str">
        <f ca="1">IF(OR(INDEX($AG$2:$AG$1001,MATCH(ROWS($AF$2:AF838),$AF$2:$AF$1001,0),1)&gt;=100000,INDEX($AM$1005:$BM$1005,1,MATCH(COLUMNS($AM$1006:AW1006),$AM$1006:$BM$1006,0))&gt;=100000), " ",IF(INDEX($AM$2:$BM$1001,MATCH(ROWS($AF$2:AF838),$AF$2:$AF$1001,0),MATCH(COLUMNS($AM$1006:AW1006),$AM$1006:$BM$1006,0)), HYPERLINK("#",""), HYPERLINK(CONCATENATE("#metadata!", ADDRESS(INDEX($AH$2:$AH$1001,MATCH(ROWS($AF$2:AF838),$AF$2:$AF$1001,0),0), INDEX($AM$1004:$BM$1004,1,MATCH(COLUMNS($AM$1006:AW1006),$AM$1006:$BM$1006,0)))),"Fix")))</f>
        <v xml:space="preserve"> </v>
      </c>
      <c r="M838" s="4" t="str">
        <f ca="1">IF(OR(INDEX($AG$2:$AG$1001,MATCH(ROWS($AF$2:AF838),$AF$2:$AF$1001,0),1)&gt;=100000,INDEX($AM$1005:$BM$1005,1,MATCH(COLUMNS($AM$1006:AX1006),$AM$1006:$BM$1006,0))&gt;=100000), " ",IF(INDEX($AM$2:$BM$1001,MATCH(ROWS($AF$2:AF838),$AF$2:$AF$1001,0),MATCH(COLUMNS($AM$1006:AX1006),$AM$1006:$BM$1006,0)), HYPERLINK("#",""), HYPERLINK(CONCATENATE("#metadata!", ADDRESS(INDEX($AH$2:$AH$1001,MATCH(ROWS($AF$2:AF838),$AF$2:$AF$1001,0),0), INDEX($AM$1004:$BM$1004,1,MATCH(COLUMNS($AM$1006:AX1006),$AM$1006:$BM$1006,0)))),"Fix")))</f>
        <v xml:space="preserve"> </v>
      </c>
      <c r="N838" s="4" t="str">
        <f ca="1">IF(OR(INDEX($AG$2:$AG$1001,MATCH(ROWS($AF$2:AF838),$AF$2:$AF$1001,0),1)&gt;=100000,INDEX($AM$1005:$BM$1005,1,MATCH(COLUMNS($AM$1006:AY1006),$AM$1006:$BM$1006,0))&gt;=100000), " ",IF(INDEX($AM$2:$BM$1001,MATCH(ROWS($AF$2:AF838),$AF$2:$AF$1001,0),MATCH(COLUMNS($AM$1006:AY1006),$AM$1006:$BM$1006,0)), HYPERLINK("#",""), HYPERLINK(CONCATENATE("#metadata!", ADDRESS(INDEX($AH$2:$AH$1001,MATCH(ROWS($AF$2:AF838),$AF$2:$AF$1001,0),0), INDEX($AM$1004:$BM$1004,1,MATCH(COLUMNS($AM$1006:AY1006),$AM$1006:$BM$1006,0)))),"Fix")))</f>
        <v xml:space="preserve"> </v>
      </c>
      <c r="O838" s="4" t="str">
        <f ca="1">IF(OR(INDEX($AG$2:$AG$1001,MATCH(ROWS($AF$2:AF838),$AF$2:$AF$1001,0),1)&gt;=100000,INDEX($AM$1005:$BM$1005,1,MATCH(COLUMNS($AM$1006:AZ1006),$AM$1006:$BM$1006,0))&gt;=100000), " ",IF(INDEX($AM$2:$BM$1001,MATCH(ROWS($AF$2:AF838),$AF$2:$AF$1001,0),MATCH(COLUMNS($AM$1006:AZ1006),$AM$1006:$BM$1006,0)), HYPERLINK("#",""), HYPERLINK(CONCATENATE("#metadata!", ADDRESS(INDEX($AH$2:$AH$1001,MATCH(ROWS($AF$2:AF838),$AF$2:$AF$1001,0),0), INDEX($AM$1004:$BM$1004,1,MATCH(COLUMNS($AM$1006:AZ1006),$AM$1006:$BM$1006,0)))),"Fix")))</f>
        <v xml:space="preserve"> </v>
      </c>
      <c r="P838" s="4" t="str">
        <f ca="1">IF(OR(INDEX($AG$2:$AG$1001,MATCH(ROWS($AF$2:AF838),$AF$2:$AF$1001,0),1)&gt;=100000,INDEX($AM$1005:$BM$1005,1,MATCH(COLUMNS($AM$1006:BA1006),$AM$1006:$BM$1006,0))&gt;=100000), " ",IF(INDEX($AM$2:$BM$1001,MATCH(ROWS($AF$2:AF838),$AF$2:$AF$1001,0),MATCH(COLUMNS($AM$1006:BA1006),$AM$1006:$BM$1006,0)), HYPERLINK("#",""), HYPERLINK(CONCATENATE("#metadata!", ADDRESS(INDEX($AH$2:$AH$1001,MATCH(ROWS($AF$2:AF838),$AF$2:$AF$1001,0),0), INDEX($AM$1004:$BM$1004,1,MATCH(COLUMNS($AM$1006:BA1006),$AM$1006:$BM$1006,0)))),"Fix")))</f>
        <v xml:space="preserve"> </v>
      </c>
      <c r="Q838" s="4" t="str">
        <f ca="1">IF(OR(INDEX($AG$2:$AG$1001,MATCH(ROWS($AF$2:AF838),$AF$2:$AF$1001,0),1)&gt;=100000,INDEX($AM$1005:$BM$1005,1,MATCH(COLUMNS($AM$1006:BB1006),$AM$1006:$BM$1006,0))&gt;=100000), " ",IF(INDEX($AM$2:$BM$1001,MATCH(ROWS($AF$2:AF838),$AF$2:$AF$1001,0),MATCH(COLUMNS($AM$1006:BB1006),$AM$1006:$BM$1006,0)), HYPERLINK("#",""), HYPERLINK(CONCATENATE("#metadata!", ADDRESS(INDEX($AH$2:$AH$1001,MATCH(ROWS($AF$2:AF838),$AF$2:$AF$1001,0),0), INDEX($AM$1004:$BM$1004,1,MATCH(COLUMNS($AM$1006:BB1006),$AM$1006:$BM$1006,0)))),"Fix")))</f>
        <v xml:space="preserve"> </v>
      </c>
      <c r="R838" s="4" t="str">
        <f ca="1">IF(OR(INDEX($AG$2:$AG$1001,MATCH(ROWS($AF$2:AF838),$AF$2:$AF$1001,0),1)&gt;=100000,INDEX($AM$1005:$BM$1005,1,MATCH(COLUMNS($AM$1006:BC1006),$AM$1006:$BM$1006,0))&gt;=100000), " ",IF(INDEX($AM$2:$BM$1001,MATCH(ROWS($AF$2:AF838),$AF$2:$AF$1001,0),MATCH(COLUMNS($AM$1006:BC1006),$AM$1006:$BM$1006,0)), HYPERLINK("#",""), HYPERLINK(CONCATENATE("#metadata!", ADDRESS(INDEX($AH$2:$AH$1001,MATCH(ROWS($AF$2:AF838),$AF$2:$AF$1001,0),0), INDEX($AM$1004:$BM$1004,1,MATCH(COLUMNS($AM$1006:BC1006),$AM$1006:$BM$1006,0)))),"Fix")))</f>
        <v xml:space="preserve"> </v>
      </c>
      <c r="S838" s="4" t="str">
        <f ca="1">IF(OR(INDEX($AG$2:$AG$1001,MATCH(ROWS($AF$2:AF838),$AF$2:$AF$1001,0),1)&gt;=100000,INDEX($AM$1005:$BM$1005,1,MATCH(COLUMNS($AM$1006:BD1006),$AM$1006:$BM$1006,0))&gt;=100000), " ",IF(INDEX($AM$2:$BM$1001,MATCH(ROWS($AF$2:AF838),$AF$2:$AF$1001,0),MATCH(COLUMNS($AM$1006:BD1006),$AM$1006:$BM$1006,0)), HYPERLINK("#",""), HYPERLINK(CONCATENATE("#metadata!", ADDRESS(INDEX($AH$2:$AH$1001,MATCH(ROWS($AF$2:AF838),$AF$2:$AF$1001,0),0), INDEX($AM$1004:$BM$1004,1,MATCH(COLUMNS($AM$1006:BD1006),$AM$1006:$BM$1006,0)))),"Fix")))</f>
        <v xml:space="preserve"> </v>
      </c>
      <c r="T838" s="4" t="str">
        <f ca="1">IF(OR(INDEX($AG$2:$AG$1001,MATCH(ROWS($AF$2:AF838),$AF$2:$AF$1001,0),1)&gt;=100000,INDEX($AM$1005:$BM$1005,1,MATCH(COLUMNS($AM$1006:BE1006),$AM$1006:$BM$1006,0))&gt;=100000), " ",IF(INDEX($AM$2:$BM$1001,MATCH(ROWS($AF$2:AF838),$AF$2:$AF$1001,0),MATCH(COLUMNS($AM$1006:BE1006),$AM$1006:$BM$1006,0)), HYPERLINK("#",""), HYPERLINK(CONCATENATE("#metadata!", ADDRESS(INDEX($AH$2:$AH$1001,MATCH(ROWS($AF$2:AF838),$AF$2:$AF$1001,0),0), INDEX($AM$1004:$BM$1004,1,MATCH(COLUMNS($AM$1006:BE1006),$AM$1006:$BM$1006,0)))),"Fix")))</f>
        <v xml:space="preserve"> </v>
      </c>
      <c r="U838" s="4" t="str">
        <f ca="1">IF(OR(INDEX($AG$2:$AG$1001,MATCH(ROWS($AF$2:AF838),$AF$2:$AF$1001,0),1)&gt;=100000,INDEX($AM$1005:$BM$1005,1,MATCH(COLUMNS($AM$1006:BF1006),$AM$1006:$BM$1006,0))&gt;=100000), " ",IF(INDEX($AM$2:$BM$1001,MATCH(ROWS($AF$2:AF838),$AF$2:$AF$1001,0),MATCH(COLUMNS($AM$1006:BF1006),$AM$1006:$BM$1006,0)), HYPERLINK("#",""), HYPERLINK(CONCATENATE("#metadata!", ADDRESS(INDEX($AH$2:$AH$1001,MATCH(ROWS($AF$2:AF838),$AF$2:$AF$1001,0),0), INDEX($AM$1004:$BM$1004,1,MATCH(COLUMNS($AM$1006:BF1006),$AM$1006:$BM$1006,0)))),"Fix")))</f>
        <v xml:space="preserve"> </v>
      </c>
      <c r="V838" s="4" t="str">
        <f ca="1">IF(OR(INDEX($AG$2:$AG$1001,MATCH(ROWS($AF$2:AF838),$AF$2:$AF$1001,0),1)&gt;=100000,INDEX($AM$1005:$BM$1005,1,MATCH(COLUMNS($AM$1006:BG1006),$AM$1006:$BM$1006,0))&gt;=100000), " ",IF(INDEX($AM$2:$BM$1001,MATCH(ROWS($AF$2:AF838),$AF$2:$AF$1001,0),MATCH(COLUMNS($AM$1006:BG1006),$AM$1006:$BM$1006,0)), HYPERLINK("#",""), HYPERLINK(CONCATENATE("#metadata!", ADDRESS(INDEX($AH$2:$AH$1001,MATCH(ROWS($AF$2:AF838),$AF$2:$AF$1001,0),0), INDEX($AM$1004:$BM$1004,1,MATCH(COLUMNS($AM$1006:BG1006),$AM$1006:$BM$1006,0)))),"Fix")))</f>
        <v xml:space="preserve"> </v>
      </c>
      <c r="W838" s="4" t="str">
        <f ca="1">IF(OR(INDEX($AG$2:$AG$1001,MATCH(ROWS($AF$2:AF838),$AF$2:$AF$1001,0),1)&gt;=100000,INDEX($AM$1005:$BM$1005,1,MATCH(COLUMNS($AM$1006:BH1006),$AM$1006:$BM$1006,0))&gt;=100000), " ",IF(INDEX($AM$2:$BM$1001,MATCH(ROWS($AF$2:AF838),$AF$2:$AF$1001,0),MATCH(COLUMNS($AM$1006:BH1006),$AM$1006:$BM$1006,0)), HYPERLINK("#",""), HYPERLINK(CONCATENATE("#metadata!", ADDRESS(INDEX($AH$2:$AH$1001,MATCH(ROWS($AF$2:AF838),$AF$2:$AF$1001,0),0), INDEX($AM$1004:$BM$1004,1,MATCH(COLUMNS($AM$1006:BH1006),$AM$1006:$BM$1006,0)))),"Fix")))</f>
        <v xml:space="preserve"> </v>
      </c>
      <c r="X838" s="4" t="str">
        <f ca="1">IF(OR(INDEX($AG$2:$AG$1001,MATCH(ROWS($AF$2:AF838),$AF$2:$AF$1001,0),1)&gt;=100000,INDEX($AM$1005:$BM$1005,1,MATCH(COLUMNS($AM$1006:BI1006),$AM$1006:$BM$1006,0))&gt;=100000), " ",IF(INDEX($AM$2:$BM$1001,MATCH(ROWS($AF$2:AF838),$AF$2:$AF$1001,0),MATCH(COLUMNS($AM$1006:BI1006),$AM$1006:$BM$1006,0)), HYPERLINK("#",""), HYPERLINK(CONCATENATE("#metadata!", ADDRESS(INDEX($AH$2:$AH$1001,MATCH(ROWS($AF$2:AF838),$AF$2:$AF$1001,0),0), INDEX($AM$1004:$BM$1004,1,MATCH(COLUMNS($AM$1006:BI1006),$AM$1006:$BM$1006,0)))),"Fix")))</f>
        <v xml:space="preserve"> </v>
      </c>
      <c r="Y838" s="4" t="str">
        <f ca="1">IF(OR(INDEX($AG$2:$AG$1001,MATCH(ROWS($AF$2:AF838),$AF$2:$AF$1001,0),1)&gt;=100000,INDEX($AM$1005:$BM$1005,1,MATCH(COLUMNS($AM$1006:BJ1006),$AM$1006:$BM$1006,0))&gt;=100000), " ",IF(INDEX($AM$2:$BM$1001,MATCH(ROWS($AF$2:AF838),$AF$2:$AF$1001,0),MATCH(COLUMNS($AM$1006:BJ1006),$AM$1006:$BM$1006,0)), HYPERLINK("#",""), HYPERLINK(CONCATENATE("#metadata!", ADDRESS(INDEX($AH$2:$AH$1001,MATCH(ROWS($AF$2:AF838),$AF$2:$AF$1001,0),0), INDEX($AM$1004:$BM$1004,1,MATCH(COLUMNS($AM$1006:BJ1006),$AM$1006:$BM$1006,0)))),"Fix")))</f>
        <v xml:space="preserve"> </v>
      </c>
      <c r="Z838" s="4" t="str">
        <f ca="1">IF(OR(INDEX($AG$2:$AG$1001,MATCH(ROWS($AF$2:AF838),$AF$2:$AF$1001,0),1)&gt;=100000,INDEX($AM$1005:$BM$1005,1,MATCH(COLUMNS($AM$1006:BK1006),$AM$1006:$BM$1006,0))&gt;=100000), " ",IF(INDEX($AM$2:$BM$1001,MATCH(ROWS($AF$2:AF838),$AF$2:$AF$1001,0),MATCH(COLUMNS($AM$1006:BK1006),$AM$1006:$BM$1006,0)), HYPERLINK("#",""), HYPERLINK(CONCATENATE("#metadata!", ADDRESS(INDEX($AH$2:$AH$1001,MATCH(ROWS($AF$2:AF838),$AF$2:$AF$1001,0),0), INDEX($AM$1004:$BM$1004,1,MATCH(COLUMNS($AM$1006:BK1006),$AM$1006:$BM$1006,0)))),"Fix")))</f>
        <v xml:space="preserve"> </v>
      </c>
      <c r="AA838" s="4" t="str">
        <f ca="1">IF(OR(INDEX($AG$2:$AG$1001,MATCH(ROWS($AF$2:AF838),$AF$2:$AF$1001,0),1)&gt;=100000,INDEX($AM$1005:$BM$1005,1,MATCH(COLUMNS($AM$1006:BL1006),$AM$1006:$BM$1006,0))&gt;=100000), " ",IF(INDEX($AM$2:$BM$1001,MATCH(ROWS($AF$2:AF838),$AF$2:$AF$1001,0),MATCH(COLUMNS($AM$1006:BL1006),$AM$1006:$BM$1006,0)), HYPERLINK("#",""), HYPERLINK(CONCATENATE("#metadata!", ADDRESS(INDEX($AH$2:$AH$1001,MATCH(ROWS($AF$2:AF838),$AF$2:$AF$1001,0),0), INDEX($AM$1004:$BM$1004,1,MATCH(COLUMNS($AM$1006:BL1006),$AM$1006:$BM$1006,0)))),"Fix")))</f>
        <v xml:space="preserve"> </v>
      </c>
      <c r="AB838" s="4" t="str">
        <f ca="1">IF(OR(INDEX($AG$2:$AG$1001,MATCH(ROWS($AF$2:AF838),$AF$2:$AF$1001,0),1)&gt;=100000,INDEX($AM$1005:$BM$1005,1,MATCH(COLUMNS($AM$1006:BM1006),$AM$1006:$BM$1006,0))&gt;=100000), " ",IF(INDEX($AM$2:$BM$1001,MATCH(ROWS($AF$2:AF838),$AF$2:$AF$1001,0),MATCH(COLUMNS($AM$1006:BM1006),$AM$1006:$BM$1006,0)), HYPERLINK("#",""), HYPERLINK(CONCATENATE("#metadata!", ADDRESS(INDEX($AH$2:$AH$1001,MATCH(ROWS($AF$2:AF838),$AF$2:$AF$1001,0),0), INDEX($AM$1004:$BM$1004,1,MATCH(COLUMNS($AM$1006:BM1006),$AM$1006:$BM$1006,0)))),"Fix")))</f>
        <v xml:space="preserve"> </v>
      </c>
      <c r="AF838">
        <v>837</v>
      </c>
      <c r="AG838">
        <v>100838</v>
      </c>
      <c r="AH838">
        <v>838</v>
      </c>
      <c r="AI838" t="b">
        <f t="shared" si="13"/>
        <v>1</v>
      </c>
      <c r="AJ838" t="b">
        <f>COUNTBLANK(metadata!B838:AB838)=COLUMNS(metadata!B838:AB838)</f>
        <v>1</v>
      </c>
      <c r="AK838" t="str">
        <v/>
      </c>
      <c r="AM838" t="b">
        <f ca="1">AND(IF(metadata!B838="",FALSE,TRUE),COUNTIF(metadata!B:B, metadata!B838) = 1,NOT(ISERROR(SUMPRODUCT(SEARCH(MID(metadata!B838,ROW(INDIRECT("1:"&amp;LEN(metadata!B838))), 1),"0123456789abcdefghijklmnopqrstuvwxyzABCDEFGHIJKLMNOPQRSTUVWXYZ.")))))</f>
        <v>0</v>
      </c>
      <c r="AN838" t="b">
        <f ca="1">OR(AND(IF(metadata!C838="",FALSE,TRUE),OR(EXACT(metadata!C838,"missing: not collected"),EXACT(metadata!C838,"missing: not provided"),EXACT(metadata!C838,"missing: restricted access"))),AND(IF(metadata!C838="",FALSE,TRUE),AND(AND(IFERROR(INT(LEFT(metadata!C838,4))&gt;1900,FALSE),IFERROR(INT(LEFT(metadata!C838,4))&lt;=YEAR(NOW()),FALSE)), OR(MID(metadata!C838,5,1)="", AND(AND(MID(metadata!C838,5,1)="-",IFERROR(INT(MID(metadata!C838,6,1))&gt;=0,FALSE),IFERROR(INT(MID(metadata!C838,6,1))&lt;=1,FALSE),NOT(MID(metadata!C838,7,1)=""),IFERROR(INT(MID(metadata!C838,6,2))&gt;=1,FALSE),IFERROR(INT(MID(metadata!C838,6,2))&lt;=12,FALSE)), OR(MID(metadata!C838,8,1)="", AND(AND(MID(metadata!C838,8,1)="-",IFERROR(INT(MID(metadata!C838,9,1))&gt;=0,FALSE),IFERROR(INT(MID(metadata!C838,9,1))&lt;=3,FALSE),NOT(MID(metadata!C838,10,1)=""),IFERROR(INT(MID(metadata!C838,9,2))&gt;=1,FALSE),IFERROR(INT(MID(metadata!C838,9,2))&lt;=31,FALSE)), OR(MID(metadata!C838,11,1)="", AND(AND(MID(metadata!C838,11,1)=" ",IFERROR(INT(MID(metadata!C838,12,1))&gt;=0,FALSE),IFERROR(INT(MID(metadata!C838,12,1))&lt;=2,FALSE),NOT(MID(metadata!C838,13,1)=""),IFERROR(INT(MID(metadata!C838,12,2))&gt;=0,FALSE),IFERROR(INT(MID(metadata!C838,12,2))&lt;=23,FALSE)), OR(MID(metadata!C838,14,1)="", AND(AND(MID(metadata!C838,14,1)=":",IFERROR(INT(MID(metadata!C838,15,1))&gt;=0,FALSE),IFERROR(INT(MID(metadata!C838,15,1))&lt;=5,FALSE),NOT(MID(metadata!C838,16,1)=""),IFERROR(INT(MID(metadata!C838,15,2))&gt;=0,FALSE),IFERROR(INT(MID(metadata!C838,15,2))&lt;=59,FALSE)), OR(MID(metadata!C838,17,1)="", AND(AND(MID(metadata!C838,17,1)=":",IFERROR(INT(MID(metadata!C838,18,1))&gt;=0,FALSE),IFERROR(INT(MID(metadata!C838,18,1))&lt;=5,FALSE),NOT(MID(metadata!C838,19,1)=""),IFERROR(INT(MID(metadata!C838,18,2))&gt;=0,FALSE),IFERROR(INT(MID(metadata!C838,18,2))&lt;=59,FALSE)), LEN(metadata!C838)&lt;=19)))))))))))))</f>
        <v>0</v>
      </c>
      <c r="AO838" t="b">
        <f>AND(IF(metadata!D838="",FALSE,TRUE),EXACT(metadata!D838,"Not applicable"))</f>
        <v>0</v>
      </c>
      <c r="AP838" t="b">
        <f>IF(metadata!E838="",FALSE,TRUE)</f>
        <v>0</v>
      </c>
      <c r="AQ838" t="b">
        <f>OR(AND(IF(metadata!F838="",FALSE,TRUE),OR(EXACT(metadata!F838,"missing: not collected"),EXACT(metadata!F838,"missing: not provided"))),AND(IF(metadata!F838="",FALSE,TRUE),OR(EXACT(metadata!F838,"TRUE"),EXACT(metadata!F838,"FALSE"))))</f>
        <v>0</v>
      </c>
      <c r="AR838" t="b">
        <f>OR(AND(IF(metadata!G838="",FALSE,TRUE),OR(EXACT(metadata!G838,"missing: not collected"),EXACT(metadata!G838,"missing: not provided"),EXACT(metadata!G838,"missing: restricted access"))),AND(IF(metadata!G838="",FALSE,ISNUMBER(VALUE(metadata!G838))),metadata!G838&gt;=-413))</f>
        <v>0</v>
      </c>
      <c r="AS838" t="b">
        <f>AND(IF(metadata!H838="",FALSE,TRUE),EXACT(metadata!H838,"meters"))</f>
        <v>0</v>
      </c>
      <c r="AT838" t="b">
        <f>AND(IF(metadata!I838="",FALSE,TRUE),OR(EXACT(metadata!I838,"Host-associated"),EXACT(metadata!I838,"Free-living")))</f>
        <v>0</v>
      </c>
      <c r="AU838" t="b">
        <f>AND(IF(metadata!J838="",FALSE,TRUE),OR(EXACT(metadata!J838,"Animal"),EXACT(metadata!J838,"Fungus"),EXACT(metadata!J838,"Plant"),EXACT(metadata!J838,"Saline"),EXACT(metadata!J838,"Non-saline")))</f>
        <v>0</v>
      </c>
      <c r="AV838" t="b">
        <f>AND(IF(metadata!K838="",FALSE,TRUE),OR(EXACT(metadata!K838,"Plant secretion"),EXACT(metadata!K838,"Plant rhizosphere"),EXACT(metadata!K838,"Plant surface"),EXACT(metadata!K838,"Plant corpus"),EXACT(metadata!K838,"Fungus surface"),EXACT(metadata!K838,"Fungus corpus"),EXACT(metadata!K838,"Animal surface"),EXACT(metadata!K838,"Animal proximal gut"),EXACT(metadata!K838,"Animal corpus"),EXACT(metadata!K838,"Animal distal gut"),EXACT(metadata!K838,"Animal secretion"),EXACT(metadata!K838,"Sub-surface (non-saline)"),EXACT(metadata!K838,"Surface (non-saline)"),EXACT(metadata!K838,"Water (non-saline)"),EXACT(metadata!K838,"Soil (non-saline)"),EXACT(metadata!K838,"Aerosol (non-saline)"),EXACT(metadata!K838,"Sediment (non-saline)"),EXACT(metadata!K838,"Surface (saline)"),EXACT(metadata!K838,"Water (saline)"),EXACT(metadata!K838,"Hypersaline (saline)"),EXACT(metadata!K838,"Aerosol (saline)"),EXACT(metadata!K838,"Sediment (saline)")))</f>
        <v>0</v>
      </c>
      <c r="AW838" t="b">
        <f>IF(metadata!L838="",FALSE,TRUE)</f>
        <v>0</v>
      </c>
      <c r="AX838" t="b">
        <f>IF(metadata!M838="",FALSE,TRUE)</f>
        <v>0</v>
      </c>
      <c r="AY838" t="b">
        <f>IF(metadata!N838="",FALSE,TRUE)</f>
        <v>0</v>
      </c>
      <c r="AZ838" t="b">
        <f>OR(AND(IF(metadata!O838="",FALSE,TRUE),OR(EXACT(metadata!O838,"missing: not collected"),EXACT(metadata!O838,"missing: not provided"),EXACT(metadata!O838,"missing: restricted access"))),AND(IF(metadata!O838="",FALSE,TRUE),OR(EXACT(metadata!O838,"air"),EXACT(metadata!O838,"built environment"),EXACT(metadata!O838,"host-associated"),EXACT(metadata!O838,"human-associated"),EXACT(metadata!O838,"human-skin"),EXACT(metadata!O838,"human-oral"),EXACT(metadata!O838,"human-gut"),EXACT(metadata!O838,"human-vaginal"),EXACT(metadata!O838,"microbial mat/biofilm"),EXACT(metadata!O838,"misc environment"),EXACT(metadata!O838,"plant-associated"),EXACT(metadata!O838,"sediment"),EXACT(metadata!O838,"soil"),EXACT(metadata!O838,"wastewater/sludge"),EXACT(metadata!O838,"water"))))</f>
        <v>0</v>
      </c>
      <c r="BA838" t="b">
        <f>IF(metadata!P838="",FALSE,TRUE)</f>
        <v>0</v>
      </c>
      <c r="BB838" t="b">
        <f>IF(metadata!Q838="",FALSE,TRUE)</f>
        <v>0</v>
      </c>
      <c r="BC838" t="b">
        <f>OR(AND(IF(metadata!R838="",FALSE,TRUE),OR(EXACT(metadata!R838,"missing: not collected"),EXACT(metadata!R838,"missing: not provided"),EXACT(metadata!R838,"missing: restricted access"))),AND(IF(metadata!R838="",FALSE,ISNUMBER(VALUE(metadata!R838))),metadata!R838&gt;=-90,metadata!R838&lt;=90))</f>
        <v>0</v>
      </c>
      <c r="BD838" t="b">
        <f>AND(IF(metadata!S838="",FALSE,TRUE),EXACT(metadata!S838,"Decimal degrees"))</f>
        <v>0</v>
      </c>
      <c r="BE838" t="b">
        <f>OR(AND(IF(metadata!T838="",FALSE,TRUE),OR(EXACT(metadata!T838,"missing: not collected"),EXACT(metadata!T838,"missing: not provided"),EXACT(metadata!T838,"missing: restricted access"))),AND(IF(metadata!T838="",FALSE,ISNUMBER(VALUE(metadata!T838))),metadata!T838&gt;=-180,metadata!T838&lt;=180))</f>
        <v>0</v>
      </c>
      <c r="BF838" t="b">
        <f>AND(IF(metadata!U838="",FALSE,TRUE),EXACT(metadata!U838,"Decimal degrees"))</f>
        <v>0</v>
      </c>
      <c r="BG838" t="b">
        <f>IF(metadata!V838="",FALSE,TRUE)</f>
        <v>0</v>
      </c>
      <c r="BH838" t="b">
        <f>OR(AND(IF(metadata!W838="",FALSE,TRUE),OR(EXACT(metadata!W838,"missing: not collected"),EXACT(metadata!W838,"missing: not provided"),EXACT(metadata!W838,"missing: restricted access"))),AND(IF(metadata!W838="",FALSE,TRUE),OR(EXACT(metadata!W838,"TRUE"),EXACT(metadata!W838,"FALSE"))))</f>
        <v>0</v>
      </c>
      <c r="BI838" t="b">
        <f>AND(IF(metadata!X838="",FALSE,TRUE),EXACT(metadata!X838,"other"))</f>
        <v>0</v>
      </c>
      <c r="BJ838" t="b">
        <f>IF(metadata!Y838="",FALSE,TRUE)</f>
        <v>0</v>
      </c>
      <c r="BK838" t="b">
        <f>OR(AND(IF(metadata!Z838="",FALSE,TRUE),OR(EXACT(metadata!Z838,"missing: not collected"),EXACT(metadata!Z838,"missing: not provided"))),AND(IF(metadata!Z838="",FALSE,IF(ISERROR(INT(metadata!Z838)),FALSE,INT(metadata!Z838)=metadata!Z838)),metadata!Z838&gt;0))</f>
        <v>0</v>
      </c>
      <c r="BL838" t="b">
        <f>AND(IF(metadata!AA838="",FALSE,TRUE),EXACT(metadata!AA838,"Not applicable"))</f>
        <v>0</v>
      </c>
      <c r="BM838" t="b">
        <f>IF(metadata!AB838="",FALSE,TRUE)</f>
        <v>0</v>
      </c>
    </row>
    <row r="839" spans="1:65" x14ac:dyDescent="0.2">
      <c r="A839" s="5" t="str">
        <f ca="1">IF(B839=" "," ",HYPERLINK(CONCATENATE("#metadata!",ADDRESS(INDEX($AH$2:$AH$1001,MATCH(ROWS($AF$2:AF839),$AF$2:$AF$1001,0),0),1)),INDEX($AK$2:$AK$1001,MATCH(ROWS($AF$2:AF839),$AF$2:$AF$1001,0),0)))</f>
        <v xml:space="preserve"> </v>
      </c>
      <c r="B839" s="4" t="str">
        <f ca="1">IF(OR(INDEX($AG$2:$AG$1001,MATCH(ROWS($AF$2:AF839),$AF$2:$AF$1001,0),1)&gt;=100000,INDEX($AM$1005:$BM$1005,1,MATCH(COLUMNS($AM$1006:AM1006),$AM$1006:$BM$1006,0))&gt;=100000), " ",IF(INDEX($AM$2:$BM$1001,MATCH(ROWS($AF$2:AF839),$AF$2:$AF$1001,0),MATCH(COLUMNS($AM$1006:AM1006),$AM$1006:$BM$1006,0)), HYPERLINK("#",""), HYPERLINK(CONCATENATE("#metadata!", ADDRESS(INDEX($AH$2:$AH$1001,MATCH(ROWS($AF$2:AF839),$AF$2:$AF$1001,0),0), INDEX($AM$1004:$BM$1004,1,MATCH(COLUMNS($AM$1006:AM1006),$AM$1006:$BM$1006,0)))),"Fix")))</f>
        <v xml:space="preserve"> </v>
      </c>
      <c r="C839" s="4" t="str">
        <f ca="1">IF(OR(INDEX($AG$2:$AG$1001,MATCH(ROWS($AF$2:AF839),$AF$2:$AF$1001,0),1)&gt;=100000,INDEX($AM$1005:$BM$1005,1,MATCH(COLUMNS($AM$1006:AN1006),$AM$1006:$BM$1006,0))&gt;=100000), " ",IF(INDEX($AM$2:$BM$1001,MATCH(ROWS($AF$2:AF839),$AF$2:$AF$1001,0),MATCH(COLUMNS($AM$1006:AN1006),$AM$1006:$BM$1006,0)), HYPERLINK("#",""), HYPERLINK(CONCATENATE("#metadata!", ADDRESS(INDEX($AH$2:$AH$1001,MATCH(ROWS($AF$2:AF839),$AF$2:$AF$1001,0),0), INDEX($AM$1004:$BM$1004,1,MATCH(COLUMNS($AM$1006:AN1006),$AM$1006:$BM$1006,0)))),"Fix")))</f>
        <v xml:space="preserve"> </v>
      </c>
      <c r="D839" s="4" t="str">
        <f ca="1">IF(OR(INDEX($AG$2:$AG$1001,MATCH(ROWS($AF$2:AF839),$AF$2:$AF$1001,0),1)&gt;=100000,INDEX($AM$1005:$BM$1005,1,MATCH(COLUMNS($AM$1006:AO1006),$AM$1006:$BM$1006,0))&gt;=100000), " ",IF(INDEX($AM$2:$BM$1001,MATCH(ROWS($AF$2:AF839),$AF$2:$AF$1001,0),MATCH(COLUMNS($AM$1006:AO1006),$AM$1006:$BM$1006,0)), HYPERLINK("#",""), HYPERLINK(CONCATENATE("#metadata!", ADDRESS(INDEX($AH$2:$AH$1001,MATCH(ROWS($AF$2:AF839),$AF$2:$AF$1001,0),0), INDEX($AM$1004:$BM$1004,1,MATCH(COLUMNS($AM$1006:AO1006),$AM$1006:$BM$1006,0)))),"Fix")))</f>
        <v xml:space="preserve"> </v>
      </c>
      <c r="E839" s="4" t="str">
        <f ca="1">IF(OR(INDEX($AG$2:$AG$1001,MATCH(ROWS($AF$2:AF839),$AF$2:$AF$1001,0),1)&gt;=100000,INDEX($AM$1005:$BM$1005,1,MATCH(COLUMNS($AM$1006:AP1006),$AM$1006:$BM$1006,0))&gt;=100000), " ",IF(INDEX($AM$2:$BM$1001,MATCH(ROWS($AF$2:AF839),$AF$2:$AF$1001,0),MATCH(COLUMNS($AM$1006:AP1006),$AM$1006:$BM$1006,0)), HYPERLINK("#",""), HYPERLINK(CONCATENATE("#metadata!", ADDRESS(INDEX($AH$2:$AH$1001,MATCH(ROWS($AF$2:AF839),$AF$2:$AF$1001,0),0), INDEX($AM$1004:$BM$1004,1,MATCH(COLUMNS($AM$1006:AP1006),$AM$1006:$BM$1006,0)))),"Fix")))</f>
        <v xml:space="preserve"> </v>
      </c>
      <c r="F839" s="4" t="str">
        <f ca="1">IF(OR(INDEX($AG$2:$AG$1001,MATCH(ROWS($AF$2:AF839),$AF$2:$AF$1001,0),1)&gt;=100000,INDEX($AM$1005:$BM$1005,1,MATCH(COLUMNS($AM$1006:AQ1006),$AM$1006:$BM$1006,0))&gt;=100000), " ",IF(INDEX($AM$2:$BM$1001,MATCH(ROWS($AF$2:AF839),$AF$2:$AF$1001,0),MATCH(COLUMNS($AM$1006:AQ1006),$AM$1006:$BM$1006,0)), HYPERLINK("#",""), HYPERLINK(CONCATENATE("#metadata!", ADDRESS(INDEX($AH$2:$AH$1001,MATCH(ROWS($AF$2:AF839),$AF$2:$AF$1001,0),0), INDEX($AM$1004:$BM$1004,1,MATCH(COLUMNS($AM$1006:AQ1006),$AM$1006:$BM$1006,0)))),"Fix")))</f>
        <v xml:space="preserve"> </v>
      </c>
      <c r="G839" s="4" t="str">
        <f ca="1">IF(OR(INDEX($AG$2:$AG$1001,MATCH(ROWS($AF$2:AF839),$AF$2:$AF$1001,0),1)&gt;=100000,INDEX($AM$1005:$BM$1005,1,MATCH(COLUMNS($AM$1006:AR1006),$AM$1006:$BM$1006,0))&gt;=100000), " ",IF(INDEX($AM$2:$BM$1001,MATCH(ROWS($AF$2:AF839),$AF$2:$AF$1001,0),MATCH(COLUMNS($AM$1006:AR1006),$AM$1006:$BM$1006,0)), HYPERLINK("#",""), HYPERLINK(CONCATENATE("#metadata!", ADDRESS(INDEX($AH$2:$AH$1001,MATCH(ROWS($AF$2:AF839),$AF$2:$AF$1001,0),0), INDEX($AM$1004:$BM$1004,1,MATCH(COLUMNS($AM$1006:AR1006),$AM$1006:$BM$1006,0)))),"Fix")))</f>
        <v xml:space="preserve"> </v>
      </c>
      <c r="H839" s="4" t="str">
        <f ca="1">IF(OR(INDEX($AG$2:$AG$1001,MATCH(ROWS($AF$2:AF839),$AF$2:$AF$1001,0),1)&gt;=100000,INDEX($AM$1005:$BM$1005,1,MATCH(COLUMNS($AM$1006:AS1006),$AM$1006:$BM$1006,0))&gt;=100000), " ",IF(INDEX($AM$2:$BM$1001,MATCH(ROWS($AF$2:AF839),$AF$2:$AF$1001,0),MATCH(COLUMNS($AM$1006:AS1006),$AM$1006:$BM$1006,0)), HYPERLINK("#",""), HYPERLINK(CONCATENATE("#metadata!", ADDRESS(INDEX($AH$2:$AH$1001,MATCH(ROWS($AF$2:AF839),$AF$2:$AF$1001,0),0), INDEX($AM$1004:$BM$1004,1,MATCH(COLUMNS($AM$1006:AS1006),$AM$1006:$BM$1006,0)))),"Fix")))</f>
        <v xml:space="preserve"> </v>
      </c>
      <c r="I839" s="4" t="str">
        <f ca="1">IF(OR(INDEX($AG$2:$AG$1001,MATCH(ROWS($AF$2:AF839),$AF$2:$AF$1001,0),1)&gt;=100000,INDEX($AM$1005:$BM$1005,1,MATCH(COLUMNS($AM$1006:AT1006),$AM$1006:$BM$1006,0))&gt;=100000), " ",IF(INDEX($AM$2:$BM$1001,MATCH(ROWS($AF$2:AF839),$AF$2:$AF$1001,0),MATCH(COLUMNS($AM$1006:AT1006),$AM$1006:$BM$1006,0)), HYPERLINK("#",""), HYPERLINK(CONCATENATE("#metadata!", ADDRESS(INDEX($AH$2:$AH$1001,MATCH(ROWS($AF$2:AF839),$AF$2:$AF$1001,0),0), INDEX($AM$1004:$BM$1004,1,MATCH(COLUMNS($AM$1006:AT1006),$AM$1006:$BM$1006,0)))),"Fix")))</f>
        <v xml:space="preserve"> </v>
      </c>
      <c r="J839" s="4" t="str">
        <f ca="1">IF(OR(INDEX($AG$2:$AG$1001,MATCH(ROWS($AF$2:AF839),$AF$2:$AF$1001,0),1)&gt;=100000,INDEX($AM$1005:$BM$1005,1,MATCH(COLUMNS($AM$1006:AU1006),$AM$1006:$BM$1006,0))&gt;=100000), " ",IF(INDEX($AM$2:$BM$1001,MATCH(ROWS($AF$2:AF839),$AF$2:$AF$1001,0),MATCH(COLUMNS($AM$1006:AU1006),$AM$1006:$BM$1006,0)), HYPERLINK("#",""), HYPERLINK(CONCATENATE("#metadata!", ADDRESS(INDEX($AH$2:$AH$1001,MATCH(ROWS($AF$2:AF839),$AF$2:$AF$1001,0),0), INDEX($AM$1004:$BM$1004,1,MATCH(COLUMNS($AM$1006:AU1006),$AM$1006:$BM$1006,0)))),"Fix")))</f>
        <v xml:space="preserve"> </v>
      </c>
      <c r="K839" s="4" t="str">
        <f ca="1">IF(OR(INDEX($AG$2:$AG$1001,MATCH(ROWS($AF$2:AF839),$AF$2:$AF$1001,0),1)&gt;=100000,INDEX($AM$1005:$BM$1005,1,MATCH(COLUMNS($AM$1006:AV1006),$AM$1006:$BM$1006,0))&gt;=100000), " ",IF(INDEX($AM$2:$BM$1001,MATCH(ROWS($AF$2:AF839),$AF$2:$AF$1001,0),MATCH(COLUMNS($AM$1006:AV1006),$AM$1006:$BM$1006,0)), HYPERLINK("#",""), HYPERLINK(CONCATENATE("#metadata!", ADDRESS(INDEX($AH$2:$AH$1001,MATCH(ROWS($AF$2:AF839),$AF$2:$AF$1001,0),0), INDEX($AM$1004:$BM$1004,1,MATCH(COLUMNS($AM$1006:AV1006),$AM$1006:$BM$1006,0)))),"Fix")))</f>
        <v xml:space="preserve"> </v>
      </c>
      <c r="L839" s="4" t="str">
        <f ca="1">IF(OR(INDEX($AG$2:$AG$1001,MATCH(ROWS($AF$2:AF839),$AF$2:$AF$1001,0),1)&gt;=100000,INDEX($AM$1005:$BM$1005,1,MATCH(COLUMNS($AM$1006:AW1006),$AM$1006:$BM$1006,0))&gt;=100000), " ",IF(INDEX($AM$2:$BM$1001,MATCH(ROWS($AF$2:AF839),$AF$2:$AF$1001,0),MATCH(COLUMNS($AM$1006:AW1006),$AM$1006:$BM$1006,0)), HYPERLINK("#",""), HYPERLINK(CONCATENATE("#metadata!", ADDRESS(INDEX($AH$2:$AH$1001,MATCH(ROWS($AF$2:AF839),$AF$2:$AF$1001,0),0), INDEX($AM$1004:$BM$1004,1,MATCH(COLUMNS($AM$1006:AW1006),$AM$1006:$BM$1006,0)))),"Fix")))</f>
        <v xml:space="preserve"> </v>
      </c>
      <c r="M839" s="4" t="str">
        <f ca="1">IF(OR(INDEX($AG$2:$AG$1001,MATCH(ROWS($AF$2:AF839),$AF$2:$AF$1001,0),1)&gt;=100000,INDEX($AM$1005:$BM$1005,1,MATCH(COLUMNS($AM$1006:AX1006),$AM$1006:$BM$1006,0))&gt;=100000), " ",IF(INDEX($AM$2:$BM$1001,MATCH(ROWS($AF$2:AF839),$AF$2:$AF$1001,0),MATCH(COLUMNS($AM$1006:AX1006),$AM$1006:$BM$1006,0)), HYPERLINK("#",""), HYPERLINK(CONCATENATE("#metadata!", ADDRESS(INDEX($AH$2:$AH$1001,MATCH(ROWS($AF$2:AF839),$AF$2:$AF$1001,0),0), INDEX($AM$1004:$BM$1004,1,MATCH(COLUMNS($AM$1006:AX1006),$AM$1006:$BM$1006,0)))),"Fix")))</f>
        <v xml:space="preserve"> </v>
      </c>
      <c r="N839" s="4" t="str">
        <f ca="1">IF(OR(INDEX($AG$2:$AG$1001,MATCH(ROWS($AF$2:AF839),$AF$2:$AF$1001,0),1)&gt;=100000,INDEX($AM$1005:$BM$1005,1,MATCH(COLUMNS($AM$1006:AY1006),$AM$1006:$BM$1006,0))&gt;=100000), " ",IF(INDEX($AM$2:$BM$1001,MATCH(ROWS($AF$2:AF839),$AF$2:$AF$1001,0),MATCH(COLUMNS($AM$1006:AY1006),$AM$1006:$BM$1006,0)), HYPERLINK("#",""), HYPERLINK(CONCATENATE("#metadata!", ADDRESS(INDEX($AH$2:$AH$1001,MATCH(ROWS($AF$2:AF839),$AF$2:$AF$1001,0),0), INDEX($AM$1004:$BM$1004,1,MATCH(COLUMNS($AM$1006:AY1006),$AM$1006:$BM$1006,0)))),"Fix")))</f>
        <v xml:space="preserve"> </v>
      </c>
      <c r="O839" s="4" t="str">
        <f ca="1">IF(OR(INDEX($AG$2:$AG$1001,MATCH(ROWS($AF$2:AF839),$AF$2:$AF$1001,0),1)&gt;=100000,INDEX($AM$1005:$BM$1005,1,MATCH(COLUMNS($AM$1006:AZ1006),$AM$1006:$BM$1006,0))&gt;=100000), " ",IF(INDEX($AM$2:$BM$1001,MATCH(ROWS($AF$2:AF839),$AF$2:$AF$1001,0),MATCH(COLUMNS($AM$1006:AZ1006),$AM$1006:$BM$1006,0)), HYPERLINK("#",""), HYPERLINK(CONCATENATE("#metadata!", ADDRESS(INDEX($AH$2:$AH$1001,MATCH(ROWS($AF$2:AF839),$AF$2:$AF$1001,0),0), INDEX($AM$1004:$BM$1004,1,MATCH(COLUMNS($AM$1006:AZ1006),$AM$1006:$BM$1006,0)))),"Fix")))</f>
        <v xml:space="preserve"> </v>
      </c>
      <c r="P839" s="4" t="str">
        <f ca="1">IF(OR(INDEX($AG$2:$AG$1001,MATCH(ROWS($AF$2:AF839),$AF$2:$AF$1001,0),1)&gt;=100000,INDEX($AM$1005:$BM$1005,1,MATCH(COLUMNS($AM$1006:BA1006),$AM$1006:$BM$1006,0))&gt;=100000), " ",IF(INDEX($AM$2:$BM$1001,MATCH(ROWS($AF$2:AF839),$AF$2:$AF$1001,0),MATCH(COLUMNS($AM$1006:BA1006),$AM$1006:$BM$1006,0)), HYPERLINK("#",""), HYPERLINK(CONCATENATE("#metadata!", ADDRESS(INDEX($AH$2:$AH$1001,MATCH(ROWS($AF$2:AF839),$AF$2:$AF$1001,0),0), INDEX($AM$1004:$BM$1004,1,MATCH(COLUMNS($AM$1006:BA1006),$AM$1006:$BM$1006,0)))),"Fix")))</f>
        <v xml:space="preserve"> </v>
      </c>
      <c r="Q839" s="4" t="str">
        <f ca="1">IF(OR(INDEX($AG$2:$AG$1001,MATCH(ROWS($AF$2:AF839),$AF$2:$AF$1001,0),1)&gt;=100000,INDEX($AM$1005:$BM$1005,1,MATCH(COLUMNS($AM$1006:BB1006),$AM$1006:$BM$1006,0))&gt;=100000), " ",IF(INDEX($AM$2:$BM$1001,MATCH(ROWS($AF$2:AF839),$AF$2:$AF$1001,0),MATCH(COLUMNS($AM$1006:BB1006),$AM$1006:$BM$1006,0)), HYPERLINK("#",""), HYPERLINK(CONCATENATE("#metadata!", ADDRESS(INDEX($AH$2:$AH$1001,MATCH(ROWS($AF$2:AF839),$AF$2:$AF$1001,0),0), INDEX($AM$1004:$BM$1004,1,MATCH(COLUMNS($AM$1006:BB1006),$AM$1006:$BM$1006,0)))),"Fix")))</f>
        <v xml:space="preserve"> </v>
      </c>
      <c r="R839" s="4" t="str">
        <f ca="1">IF(OR(INDEX($AG$2:$AG$1001,MATCH(ROWS($AF$2:AF839),$AF$2:$AF$1001,0),1)&gt;=100000,INDEX($AM$1005:$BM$1005,1,MATCH(COLUMNS($AM$1006:BC1006),$AM$1006:$BM$1006,0))&gt;=100000), " ",IF(INDEX($AM$2:$BM$1001,MATCH(ROWS($AF$2:AF839),$AF$2:$AF$1001,0),MATCH(COLUMNS($AM$1006:BC1006),$AM$1006:$BM$1006,0)), HYPERLINK("#",""), HYPERLINK(CONCATENATE("#metadata!", ADDRESS(INDEX($AH$2:$AH$1001,MATCH(ROWS($AF$2:AF839),$AF$2:$AF$1001,0),0), INDEX($AM$1004:$BM$1004,1,MATCH(COLUMNS($AM$1006:BC1006),$AM$1006:$BM$1006,0)))),"Fix")))</f>
        <v xml:space="preserve"> </v>
      </c>
      <c r="S839" s="4" t="str">
        <f ca="1">IF(OR(INDEX($AG$2:$AG$1001,MATCH(ROWS($AF$2:AF839),$AF$2:$AF$1001,0),1)&gt;=100000,INDEX($AM$1005:$BM$1005,1,MATCH(COLUMNS($AM$1006:BD1006),$AM$1006:$BM$1006,0))&gt;=100000), " ",IF(INDEX($AM$2:$BM$1001,MATCH(ROWS($AF$2:AF839),$AF$2:$AF$1001,0),MATCH(COLUMNS($AM$1006:BD1006),$AM$1006:$BM$1006,0)), HYPERLINK("#",""), HYPERLINK(CONCATENATE("#metadata!", ADDRESS(INDEX($AH$2:$AH$1001,MATCH(ROWS($AF$2:AF839),$AF$2:$AF$1001,0),0), INDEX($AM$1004:$BM$1004,1,MATCH(COLUMNS($AM$1006:BD1006),$AM$1006:$BM$1006,0)))),"Fix")))</f>
        <v xml:space="preserve"> </v>
      </c>
      <c r="T839" s="4" t="str">
        <f ca="1">IF(OR(INDEX($AG$2:$AG$1001,MATCH(ROWS($AF$2:AF839),$AF$2:$AF$1001,0),1)&gt;=100000,INDEX($AM$1005:$BM$1005,1,MATCH(COLUMNS($AM$1006:BE1006),$AM$1006:$BM$1006,0))&gt;=100000), " ",IF(INDEX($AM$2:$BM$1001,MATCH(ROWS($AF$2:AF839),$AF$2:$AF$1001,0),MATCH(COLUMNS($AM$1006:BE1006),$AM$1006:$BM$1006,0)), HYPERLINK("#",""), HYPERLINK(CONCATENATE("#metadata!", ADDRESS(INDEX($AH$2:$AH$1001,MATCH(ROWS($AF$2:AF839),$AF$2:$AF$1001,0),0), INDEX($AM$1004:$BM$1004,1,MATCH(COLUMNS($AM$1006:BE1006),$AM$1006:$BM$1006,0)))),"Fix")))</f>
        <v xml:space="preserve"> </v>
      </c>
      <c r="U839" s="4" t="str">
        <f ca="1">IF(OR(INDEX($AG$2:$AG$1001,MATCH(ROWS($AF$2:AF839),$AF$2:$AF$1001,0),1)&gt;=100000,INDEX($AM$1005:$BM$1005,1,MATCH(COLUMNS($AM$1006:BF1006),$AM$1006:$BM$1006,0))&gt;=100000), " ",IF(INDEX($AM$2:$BM$1001,MATCH(ROWS($AF$2:AF839),$AF$2:$AF$1001,0),MATCH(COLUMNS($AM$1006:BF1006),$AM$1006:$BM$1006,0)), HYPERLINK("#",""), HYPERLINK(CONCATENATE("#metadata!", ADDRESS(INDEX($AH$2:$AH$1001,MATCH(ROWS($AF$2:AF839),$AF$2:$AF$1001,0),0), INDEX($AM$1004:$BM$1004,1,MATCH(COLUMNS($AM$1006:BF1006),$AM$1006:$BM$1006,0)))),"Fix")))</f>
        <v xml:space="preserve"> </v>
      </c>
      <c r="V839" s="4" t="str">
        <f ca="1">IF(OR(INDEX($AG$2:$AG$1001,MATCH(ROWS($AF$2:AF839),$AF$2:$AF$1001,0),1)&gt;=100000,INDEX($AM$1005:$BM$1005,1,MATCH(COLUMNS($AM$1006:BG1006),$AM$1006:$BM$1006,0))&gt;=100000), " ",IF(INDEX($AM$2:$BM$1001,MATCH(ROWS($AF$2:AF839),$AF$2:$AF$1001,0),MATCH(COLUMNS($AM$1006:BG1006),$AM$1006:$BM$1006,0)), HYPERLINK("#",""), HYPERLINK(CONCATENATE("#metadata!", ADDRESS(INDEX($AH$2:$AH$1001,MATCH(ROWS($AF$2:AF839),$AF$2:$AF$1001,0),0), INDEX($AM$1004:$BM$1004,1,MATCH(COLUMNS($AM$1006:BG1006),$AM$1006:$BM$1006,0)))),"Fix")))</f>
        <v xml:space="preserve"> </v>
      </c>
      <c r="W839" s="4" t="str">
        <f ca="1">IF(OR(INDEX($AG$2:$AG$1001,MATCH(ROWS($AF$2:AF839),$AF$2:$AF$1001,0),1)&gt;=100000,INDEX($AM$1005:$BM$1005,1,MATCH(COLUMNS($AM$1006:BH1006),$AM$1006:$BM$1006,0))&gt;=100000), " ",IF(INDEX($AM$2:$BM$1001,MATCH(ROWS($AF$2:AF839),$AF$2:$AF$1001,0),MATCH(COLUMNS($AM$1006:BH1006),$AM$1006:$BM$1006,0)), HYPERLINK("#",""), HYPERLINK(CONCATENATE("#metadata!", ADDRESS(INDEX($AH$2:$AH$1001,MATCH(ROWS($AF$2:AF839),$AF$2:$AF$1001,0),0), INDEX($AM$1004:$BM$1004,1,MATCH(COLUMNS($AM$1006:BH1006),$AM$1006:$BM$1006,0)))),"Fix")))</f>
        <v xml:space="preserve"> </v>
      </c>
      <c r="X839" s="4" t="str">
        <f ca="1">IF(OR(INDEX($AG$2:$AG$1001,MATCH(ROWS($AF$2:AF839),$AF$2:$AF$1001,0),1)&gt;=100000,INDEX($AM$1005:$BM$1005,1,MATCH(COLUMNS($AM$1006:BI1006),$AM$1006:$BM$1006,0))&gt;=100000), " ",IF(INDEX($AM$2:$BM$1001,MATCH(ROWS($AF$2:AF839),$AF$2:$AF$1001,0),MATCH(COLUMNS($AM$1006:BI1006),$AM$1006:$BM$1006,0)), HYPERLINK("#",""), HYPERLINK(CONCATENATE("#metadata!", ADDRESS(INDEX($AH$2:$AH$1001,MATCH(ROWS($AF$2:AF839),$AF$2:$AF$1001,0),0), INDEX($AM$1004:$BM$1004,1,MATCH(COLUMNS($AM$1006:BI1006),$AM$1006:$BM$1006,0)))),"Fix")))</f>
        <v xml:space="preserve"> </v>
      </c>
      <c r="Y839" s="4" t="str">
        <f ca="1">IF(OR(INDEX($AG$2:$AG$1001,MATCH(ROWS($AF$2:AF839),$AF$2:$AF$1001,0),1)&gt;=100000,INDEX($AM$1005:$BM$1005,1,MATCH(COLUMNS($AM$1006:BJ1006),$AM$1006:$BM$1006,0))&gt;=100000), " ",IF(INDEX($AM$2:$BM$1001,MATCH(ROWS($AF$2:AF839),$AF$2:$AF$1001,0),MATCH(COLUMNS($AM$1006:BJ1006),$AM$1006:$BM$1006,0)), HYPERLINK("#",""), HYPERLINK(CONCATENATE("#metadata!", ADDRESS(INDEX($AH$2:$AH$1001,MATCH(ROWS($AF$2:AF839),$AF$2:$AF$1001,0),0), INDEX($AM$1004:$BM$1004,1,MATCH(COLUMNS($AM$1006:BJ1006),$AM$1006:$BM$1006,0)))),"Fix")))</f>
        <v xml:space="preserve"> </v>
      </c>
      <c r="Z839" s="4" t="str">
        <f ca="1">IF(OR(INDEX($AG$2:$AG$1001,MATCH(ROWS($AF$2:AF839),$AF$2:$AF$1001,0),1)&gt;=100000,INDEX($AM$1005:$BM$1005,1,MATCH(COLUMNS($AM$1006:BK1006),$AM$1006:$BM$1006,0))&gt;=100000), " ",IF(INDEX($AM$2:$BM$1001,MATCH(ROWS($AF$2:AF839),$AF$2:$AF$1001,0),MATCH(COLUMNS($AM$1006:BK1006),$AM$1006:$BM$1006,0)), HYPERLINK("#",""), HYPERLINK(CONCATENATE("#metadata!", ADDRESS(INDEX($AH$2:$AH$1001,MATCH(ROWS($AF$2:AF839),$AF$2:$AF$1001,0),0), INDEX($AM$1004:$BM$1004,1,MATCH(COLUMNS($AM$1006:BK1006),$AM$1006:$BM$1006,0)))),"Fix")))</f>
        <v xml:space="preserve"> </v>
      </c>
      <c r="AA839" s="4" t="str">
        <f ca="1">IF(OR(INDEX($AG$2:$AG$1001,MATCH(ROWS($AF$2:AF839),$AF$2:$AF$1001,0),1)&gt;=100000,INDEX($AM$1005:$BM$1005,1,MATCH(COLUMNS($AM$1006:BL1006),$AM$1006:$BM$1006,0))&gt;=100000), " ",IF(INDEX($AM$2:$BM$1001,MATCH(ROWS($AF$2:AF839),$AF$2:$AF$1001,0),MATCH(COLUMNS($AM$1006:BL1006),$AM$1006:$BM$1006,0)), HYPERLINK("#",""), HYPERLINK(CONCATENATE("#metadata!", ADDRESS(INDEX($AH$2:$AH$1001,MATCH(ROWS($AF$2:AF839),$AF$2:$AF$1001,0),0), INDEX($AM$1004:$BM$1004,1,MATCH(COLUMNS($AM$1006:BL1006),$AM$1006:$BM$1006,0)))),"Fix")))</f>
        <v xml:space="preserve"> </v>
      </c>
      <c r="AB839" s="4" t="str">
        <f ca="1">IF(OR(INDEX($AG$2:$AG$1001,MATCH(ROWS($AF$2:AF839),$AF$2:$AF$1001,0),1)&gt;=100000,INDEX($AM$1005:$BM$1005,1,MATCH(COLUMNS($AM$1006:BM1006),$AM$1006:$BM$1006,0))&gt;=100000), " ",IF(INDEX($AM$2:$BM$1001,MATCH(ROWS($AF$2:AF839),$AF$2:$AF$1001,0),MATCH(COLUMNS($AM$1006:BM1006),$AM$1006:$BM$1006,0)), HYPERLINK("#",""), HYPERLINK(CONCATENATE("#metadata!", ADDRESS(INDEX($AH$2:$AH$1001,MATCH(ROWS($AF$2:AF839),$AF$2:$AF$1001,0),0), INDEX($AM$1004:$BM$1004,1,MATCH(COLUMNS($AM$1006:BM1006),$AM$1006:$BM$1006,0)))),"Fix")))</f>
        <v xml:space="preserve"> </v>
      </c>
      <c r="AF839">
        <v>838</v>
      </c>
      <c r="AG839">
        <v>100839</v>
      </c>
      <c r="AH839">
        <v>839</v>
      </c>
      <c r="AI839" t="b">
        <f t="shared" si="13"/>
        <v>1</v>
      </c>
      <c r="AJ839" t="b">
        <f>COUNTBLANK(metadata!B839:AB839)=COLUMNS(metadata!B839:AB839)</f>
        <v>1</v>
      </c>
      <c r="AK839" t="str">
        <v/>
      </c>
      <c r="AM839" t="b">
        <f ca="1">AND(IF(metadata!B839="",FALSE,TRUE),COUNTIF(metadata!B:B, metadata!B839) = 1,NOT(ISERROR(SUMPRODUCT(SEARCH(MID(metadata!B839,ROW(INDIRECT("1:"&amp;LEN(metadata!B839))), 1),"0123456789abcdefghijklmnopqrstuvwxyzABCDEFGHIJKLMNOPQRSTUVWXYZ.")))))</f>
        <v>0</v>
      </c>
      <c r="AN839" t="b">
        <f ca="1">OR(AND(IF(metadata!C839="",FALSE,TRUE),OR(EXACT(metadata!C839,"missing: not collected"),EXACT(metadata!C839,"missing: not provided"),EXACT(metadata!C839,"missing: restricted access"))),AND(IF(metadata!C839="",FALSE,TRUE),AND(AND(IFERROR(INT(LEFT(metadata!C839,4))&gt;1900,FALSE),IFERROR(INT(LEFT(metadata!C839,4))&lt;=YEAR(NOW()),FALSE)), OR(MID(metadata!C839,5,1)="", AND(AND(MID(metadata!C839,5,1)="-",IFERROR(INT(MID(metadata!C839,6,1))&gt;=0,FALSE),IFERROR(INT(MID(metadata!C839,6,1))&lt;=1,FALSE),NOT(MID(metadata!C839,7,1)=""),IFERROR(INT(MID(metadata!C839,6,2))&gt;=1,FALSE),IFERROR(INT(MID(metadata!C839,6,2))&lt;=12,FALSE)), OR(MID(metadata!C839,8,1)="", AND(AND(MID(metadata!C839,8,1)="-",IFERROR(INT(MID(metadata!C839,9,1))&gt;=0,FALSE),IFERROR(INT(MID(metadata!C839,9,1))&lt;=3,FALSE),NOT(MID(metadata!C839,10,1)=""),IFERROR(INT(MID(metadata!C839,9,2))&gt;=1,FALSE),IFERROR(INT(MID(metadata!C839,9,2))&lt;=31,FALSE)), OR(MID(metadata!C839,11,1)="", AND(AND(MID(metadata!C839,11,1)=" ",IFERROR(INT(MID(metadata!C839,12,1))&gt;=0,FALSE),IFERROR(INT(MID(metadata!C839,12,1))&lt;=2,FALSE),NOT(MID(metadata!C839,13,1)=""),IFERROR(INT(MID(metadata!C839,12,2))&gt;=0,FALSE),IFERROR(INT(MID(metadata!C839,12,2))&lt;=23,FALSE)), OR(MID(metadata!C839,14,1)="", AND(AND(MID(metadata!C839,14,1)=":",IFERROR(INT(MID(metadata!C839,15,1))&gt;=0,FALSE),IFERROR(INT(MID(metadata!C839,15,1))&lt;=5,FALSE),NOT(MID(metadata!C839,16,1)=""),IFERROR(INT(MID(metadata!C839,15,2))&gt;=0,FALSE),IFERROR(INT(MID(metadata!C839,15,2))&lt;=59,FALSE)), OR(MID(metadata!C839,17,1)="", AND(AND(MID(metadata!C839,17,1)=":",IFERROR(INT(MID(metadata!C839,18,1))&gt;=0,FALSE),IFERROR(INT(MID(metadata!C839,18,1))&lt;=5,FALSE),NOT(MID(metadata!C839,19,1)=""),IFERROR(INT(MID(metadata!C839,18,2))&gt;=0,FALSE),IFERROR(INT(MID(metadata!C839,18,2))&lt;=59,FALSE)), LEN(metadata!C839)&lt;=19)))))))))))))</f>
        <v>0</v>
      </c>
      <c r="AO839" t="b">
        <f>AND(IF(metadata!D839="",FALSE,TRUE),EXACT(metadata!D839,"Not applicable"))</f>
        <v>0</v>
      </c>
      <c r="AP839" t="b">
        <f>IF(metadata!E839="",FALSE,TRUE)</f>
        <v>0</v>
      </c>
      <c r="AQ839" t="b">
        <f>OR(AND(IF(metadata!F839="",FALSE,TRUE),OR(EXACT(metadata!F839,"missing: not collected"),EXACT(metadata!F839,"missing: not provided"))),AND(IF(metadata!F839="",FALSE,TRUE),OR(EXACT(metadata!F839,"TRUE"),EXACT(metadata!F839,"FALSE"))))</f>
        <v>0</v>
      </c>
      <c r="AR839" t="b">
        <f>OR(AND(IF(metadata!G839="",FALSE,TRUE),OR(EXACT(metadata!G839,"missing: not collected"),EXACT(metadata!G839,"missing: not provided"),EXACT(metadata!G839,"missing: restricted access"))),AND(IF(metadata!G839="",FALSE,ISNUMBER(VALUE(metadata!G839))),metadata!G839&gt;=-413))</f>
        <v>0</v>
      </c>
      <c r="AS839" t="b">
        <f>AND(IF(metadata!H839="",FALSE,TRUE),EXACT(metadata!H839,"meters"))</f>
        <v>0</v>
      </c>
      <c r="AT839" t="b">
        <f>AND(IF(metadata!I839="",FALSE,TRUE),OR(EXACT(metadata!I839,"Host-associated"),EXACT(metadata!I839,"Free-living")))</f>
        <v>0</v>
      </c>
      <c r="AU839" t="b">
        <f>AND(IF(metadata!J839="",FALSE,TRUE),OR(EXACT(metadata!J839,"Animal"),EXACT(metadata!J839,"Fungus"),EXACT(metadata!J839,"Plant"),EXACT(metadata!J839,"Saline"),EXACT(metadata!J839,"Non-saline")))</f>
        <v>0</v>
      </c>
      <c r="AV839" t="b">
        <f>AND(IF(metadata!K839="",FALSE,TRUE),OR(EXACT(metadata!K839,"Plant secretion"),EXACT(metadata!K839,"Plant rhizosphere"),EXACT(metadata!K839,"Plant surface"),EXACT(metadata!K839,"Plant corpus"),EXACT(metadata!K839,"Fungus surface"),EXACT(metadata!K839,"Fungus corpus"),EXACT(metadata!K839,"Animal surface"),EXACT(metadata!K839,"Animal proximal gut"),EXACT(metadata!K839,"Animal corpus"),EXACT(metadata!K839,"Animal distal gut"),EXACT(metadata!K839,"Animal secretion"),EXACT(metadata!K839,"Sub-surface (non-saline)"),EXACT(metadata!K839,"Surface (non-saline)"),EXACT(metadata!K839,"Water (non-saline)"),EXACT(metadata!K839,"Soil (non-saline)"),EXACT(metadata!K839,"Aerosol (non-saline)"),EXACT(metadata!K839,"Sediment (non-saline)"),EXACT(metadata!K839,"Surface (saline)"),EXACT(metadata!K839,"Water (saline)"),EXACT(metadata!K839,"Hypersaline (saline)"),EXACT(metadata!K839,"Aerosol (saline)"),EXACT(metadata!K839,"Sediment (saline)")))</f>
        <v>0</v>
      </c>
      <c r="AW839" t="b">
        <f>IF(metadata!L839="",FALSE,TRUE)</f>
        <v>0</v>
      </c>
      <c r="AX839" t="b">
        <f>IF(metadata!M839="",FALSE,TRUE)</f>
        <v>0</v>
      </c>
      <c r="AY839" t="b">
        <f>IF(metadata!N839="",FALSE,TRUE)</f>
        <v>0</v>
      </c>
      <c r="AZ839" t="b">
        <f>OR(AND(IF(metadata!O839="",FALSE,TRUE),OR(EXACT(metadata!O839,"missing: not collected"),EXACT(metadata!O839,"missing: not provided"),EXACT(metadata!O839,"missing: restricted access"))),AND(IF(metadata!O839="",FALSE,TRUE),OR(EXACT(metadata!O839,"air"),EXACT(metadata!O839,"built environment"),EXACT(metadata!O839,"host-associated"),EXACT(metadata!O839,"human-associated"),EXACT(metadata!O839,"human-skin"),EXACT(metadata!O839,"human-oral"),EXACT(metadata!O839,"human-gut"),EXACT(metadata!O839,"human-vaginal"),EXACT(metadata!O839,"microbial mat/biofilm"),EXACT(metadata!O839,"misc environment"),EXACT(metadata!O839,"plant-associated"),EXACT(metadata!O839,"sediment"),EXACT(metadata!O839,"soil"),EXACT(metadata!O839,"wastewater/sludge"),EXACT(metadata!O839,"water"))))</f>
        <v>0</v>
      </c>
      <c r="BA839" t="b">
        <f>IF(metadata!P839="",FALSE,TRUE)</f>
        <v>0</v>
      </c>
      <c r="BB839" t="b">
        <f>IF(metadata!Q839="",FALSE,TRUE)</f>
        <v>0</v>
      </c>
      <c r="BC839" t="b">
        <f>OR(AND(IF(metadata!R839="",FALSE,TRUE),OR(EXACT(metadata!R839,"missing: not collected"),EXACT(metadata!R839,"missing: not provided"),EXACT(metadata!R839,"missing: restricted access"))),AND(IF(metadata!R839="",FALSE,ISNUMBER(VALUE(metadata!R839))),metadata!R839&gt;=-90,metadata!R839&lt;=90))</f>
        <v>0</v>
      </c>
      <c r="BD839" t="b">
        <f>AND(IF(metadata!S839="",FALSE,TRUE),EXACT(metadata!S839,"Decimal degrees"))</f>
        <v>0</v>
      </c>
      <c r="BE839" t="b">
        <f>OR(AND(IF(metadata!T839="",FALSE,TRUE),OR(EXACT(metadata!T839,"missing: not collected"),EXACT(metadata!T839,"missing: not provided"),EXACT(metadata!T839,"missing: restricted access"))),AND(IF(metadata!T839="",FALSE,ISNUMBER(VALUE(metadata!T839))),metadata!T839&gt;=-180,metadata!T839&lt;=180))</f>
        <v>0</v>
      </c>
      <c r="BF839" t="b">
        <f>AND(IF(metadata!U839="",FALSE,TRUE),EXACT(metadata!U839,"Decimal degrees"))</f>
        <v>0</v>
      </c>
      <c r="BG839" t="b">
        <f>IF(metadata!V839="",FALSE,TRUE)</f>
        <v>0</v>
      </c>
      <c r="BH839" t="b">
        <f>OR(AND(IF(metadata!W839="",FALSE,TRUE),OR(EXACT(metadata!W839,"missing: not collected"),EXACT(metadata!W839,"missing: not provided"),EXACT(metadata!W839,"missing: restricted access"))),AND(IF(metadata!W839="",FALSE,TRUE),OR(EXACT(metadata!W839,"TRUE"),EXACT(metadata!W839,"FALSE"))))</f>
        <v>0</v>
      </c>
      <c r="BI839" t="b">
        <f>AND(IF(metadata!X839="",FALSE,TRUE),EXACT(metadata!X839,"other"))</f>
        <v>0</v>
      </c>
      <c r="BJ839" t="b">
        <f>IF(metadata!Y839="",FALSE,TRUE)</f>
        <v>0</v>
      </c>
      <c r="BK839" t="b">
        <f>OR(AND(IF(metadata!Z839="",FALSE,TRUE),OR(EXACT(metadata!Z839,"missing: not collected"),EXACT(metadata!Z839,"missing: not provided"))),AND(IF(metadata!Z839="",FALSE,IF(ISERROR(INT(metadata!Z839)),FALSE,INT(metadata!Z839)=metadata!Z839)),metadata!Z839&gt;0))</f>
        <v>0</v>
      </c>
      <c r="BL839" t="b">
        <f>AND(IF(metadata!AA839="",FALSE,TRUE),EXACT(metadata!AA839,"Not applicable"))</f>
        <v>0</v>
      </c>
      <c r="BM839" t="b">
        <f>IF(metadata!AB839="",FALSE,TRUE)</f>
        <v>0</v>
      </c>
    </row>
    <row r="840" spans="1:65" x14ac:dyDescent="0.2">
      <c r="A840" s="5" t="str">
        <f ca="1">IF(B840=" "," ",HYPERLINK(CONCATENATE("#metadata!",ADDRESS(INDEX($AH$2:$AH$1001,MATCH(ROWS($AF$2:AF840),$AF$2:$AF$1001,0),0),1)),INDEX($AK$2:$AK$1001,MATCH(ROWS($AF$2:AF840),$AF$2:$AF$1001,0),0)))</f>
        <v xml:space="preserve"> </v>
      </c>
      <c r="B840" s="4" t="str">
        <f ca="1">IF(OR(INDEX($AG$2:$AG$1001,MATCH(ROWS($AF$2:AF840),$AF$2:$AF$1001,0),1)&gt;=100000,INDEX($AM$1005:$BM$1005,1,MATCH(COLUMNS($AM$1006:AM1006),$AM$1006:$BM$1006,0))&gt;=100000), " ",IF(INDEX($AM$2:$BM$1001,MATCH(ROWS($AF$2:AF840),$AF$2:$AF$1001,0),MATCH(COLUMNS($AM$1006:AM1006),$AM$1006:$BM$1006,0)), HYPERLINK("#",""), HYPERLINK(CONCATENATE("#metadata!", ADDRESS(INDEX($AH$2:$AH$1001,MATCH(ROWS($AF$2:AF840),$AF$2:$AF$1001,0),0), INDEX($AM$1004:$BM$1004,1,MATCH(COLUMNS($AM$1006:AM1006),$AM$1006:$BM$1006,0)))),"Fix")))</f>
        <v xml:space="preserve"> </v>
      </c>
      <c r="C840" s="4" t="str">
        <f ca="1">IF(OR(INDEX($AG$2:$AG$1001,MATCH(ROWS($AF$2:AF840),$AF$2:$AF$1001,0),1)&gt;=100000,INDEX($AM$1005:$BM$1005,1,MATCH(COLUMNS($AM$1006:AN1006),$AM$1006:$BM$1006,0))&gt;=100000), " ",IF(INDEX($AM$2:$BM$1001,MATCH(ROWS($AF$2:AF840),$AF$2:$AF$1001,0),MATCH(COLUMNS($AM$1006:AN1006),$AM$1006:$BM$1006,0)), HYPERLINK("#",""), HYPERLINK(CONCATENATE("#metadata!", ADDRESS(INDEX($AH$2:$AH$1001,MATCH(ROWS($AF$2:AF840),$AF$2:$AF$1001,0),0), INDEX($AM$1004:$BM$1004,1,MATCH(COLUMNS($AM$1006:AN1006),$AM$1006:$BM$1006,0)))),"Fix")))</f>
        <v xml:space="preserve"> </v>
      </c>
      <c r="D840" s="4" t="str">
        <f ca="1">IF(OR(INDEX($AG$2:$AG$1001,MATCH(ROWS($AF$2:AF840),$AF$2:$AF$1001,0),1)&gt;=100000,INDEX($AM$1005:$BM$1005,1,MATCH(COLUMNS($AM$1006:AO1006),$AM$1006:$BM$1006,0))&gt;=100000), " ",IF(INDEX($AM$2:$BM$1001,MATCH(ROWS($AF$2:AF840),$AF$2:$AF$1001,0),MATCH(COLUMNS($AM$1006:AO1006),$AM$1006:$BM$1006,0)), HYPERLINK("#",""), HYPERLINK(CONCATENATE("#metadata!", ADDRESS(INDEX($AH$2:$AH$1001,MATCH(ROWS($AF$2:AF840),$AF$2:$AF$1001,0),0), INDEX($AM$1004:$BM$1004,1,MATCH(COLUMNS($AM$1006:AO1006),$AM$1006:$BM$1006,0)))),"Fix")))</f>
        <v xml:space="preserve"> </v>
      </c>
      <c r="E840" s="4" t="str">
        <f ca="1">IF(OR(INDEX($AG$2:$AG$1001,MATCH(ROWS($AF$2:AF840),$AF$2:$AF$1001,0),1)&gt;=100000,INDEX($AM$1005:$BM$1005,1,MATCH(COLUMNS($AM$1006:AP1006),$AM$1006:$BM$1006,0))&gt;=100000), " ",IF(INDEX($AM$2:$BM$1001,MATCH(ROWS($AF$2:AF840),$AF$2:$AF$1001,0),MATCH(COLUMNS($AM$1006:AP1006),$AM$1006:$BM$1006,0)), HYPERLINK("#",""), HYPERLINK(CONCATENATE("#metadata!", ADDRESS(INDEX($AH$2:$AH$1001,MATCH(ROWS($AF$2:AF840),$AF$2:$AF$1001,0),0), INDEX($AM$1004:$BM$1004,1,MATCH(COLUMNS($AM$1006:AP1006),$AM$1006:$BM$1006,0)))),"Fix")))</f>
        <v xml:space="preserve"> </v>
      </c>
      <c r="F840" s="4" t="str">
        <f ca="1">IF(OR(INDEX($AG$2:$AG$1001,MATCH(ROWS($AF$2:AF840),$AF$2:$AF$1001,0),1)&gt;=100000,INDEX($AM$1005:$BM$1005,1,MATCH(COLUMNS($AM$1006:AQ1006),$AM$1006:$BM$1006,0))&gt;=100000), " ",IF(INDEX($AM$2:$BM$1001,MATCH(ROWS($AF$2:AF840),$AF$2:$AF$1001,0),MATCH(COLUMNS($AM$1006:AQ1006),$AM$1006:$BM$1006,0)), HYPERLINK("#",""), HYPERLINK(CONCATENATE("#metadata!", ADDRESS(INDEX($AH$2:$AH$1001,MATCH(ROWS($AF$2:AF840),$AF$2:$AF$1001,0),0), INDEX($AM$1004:$BM$1004,1,MATCH(COLUMNS($AM$1006:AQ1006),$AM$1006:$BM$1006,0)))),"Fix")))</f>
        <v xml:space="preserve"> </v>
      </c>
      <c r="G840" s="4" t="str">
        <f ca="1">IF(OR(INDEX($AG$2:$AG$1001,MATCH(ROWS($AF$2:AF840),$AF$2:$AF$1001,0),1)&gt;=100000,INDEX($AM$1005:$BM$1005,1,MATCH(COLUMNS($AM$1006:AR1006),$AM$1006:$BM$1006,0))&gt;=100000), " ",IF(INDEX($AM$2:$BM$1001,MATCH(ROWS($AF$2:AF840),$AF$2:$AF$1001,0),MATCH(COLUMNS($AM$1006:AR1006),$AM$1006:$BM$1006,0)), HYPERLINK("#",""), HYPERLINK(CONCATENATE("#metadata!", ADDRESS(INDEX($AH$2:$AH$1001,MATCH(ROWS($AF$2:AF840),$AF$2:$AF$1001,0),0), INDEX($AM$1004:$BM$1004,1,MATCH(COLUMNS($AM$1006:AR1006),$AM$1006:$BM$1006,0)))),"Fix")))</f>
        <v xml:space="preserve"> </v>
      </c>
      <c r="H840" s="4" t="str">
        <f ca="1">IF(OR(INDEX($AG$2:$AG$1001,MATCH(ROWS($AF$2:AF840),$AF$2:$AF$1001,0),1)&gt;=100000,INDEX($AM$1005:$BM$1005,1,MATCH(COLUMNS($AM$1006:AS1006),$AM$1006:$BM$1006,0))&gt;=100000), " ",IF(INDEX($AM$2:$BM$1001,MATCH(ROWS($AF$2:AF840),$AF$2:$AF$1001,0),MATCH(COLUMNS($AM$1006:AS1006),$AM$1006:$BM$1006,0)), HYPERLINK("#",""), HYPERLINK(CONCATENATE("#metadata!", ADDRESS(INDEX($AH$2:$AH$1001,MATCH(ROWS($AF$2:AF840),$AF$2:$AF$1001,0),0), INDEX($AM$1004:$BM$1004,1,MATCH(COLUMNS($AM$1006:AS1006),$AM$1006:$BM$1006,0)))),"Fix")))</f>
        <v xml:space="preserve"> </v>
      </c>
      <c r="I840" s="4" t="str">
        <f ca="1">IF(OR(INDEX($AG$2:$AG$1001,MATCH(ROWS($AF$2:AF840),$AF$2:$AF$1001,0),1)&gt;=100000,INDEX($AM$1005:$BM$1005,1,MATCH(COLUMNS($AM$1006:AT1006),$AM$1006:$BM$1006,0))&gt;=100000), " ",IF(INDEX($AM$2:$BM$1001,MATCH(ROWS($AF$2:AF840),$AF$2:$AF$1001,0),MATCH(COLUMNS($AM$1006:AT1006),$AM$1006:$BM$1006,0)), HYPERLINK("#",""), HYPERLINK(CONCATENATE("#metadata!", ADDRESS(INDEX($AH$2:$AH$1001,MATCH(ROWS($AF$2:AF840),$AF$2:$AF$1001,0),0), INDEX($AM$1004:$BM$1004,1,MATCH(COLUMNS($AM$1006:AT1006),$AM$1006:$BM$1006,0)))),"Fix")))</f>
        <v xml:space="preserve"> </v>
      </c>
      <c r="J840" s="4" t="str">
        <f ca="1">IF(OR(INDEX($AG$2:$AG$1001,MATCH(ROWS($AF$2:AF840),$AF$2:$AF$1001,0),1)&gt;=100000,INDEX($AM$1005:$BM$1005,1,MATCH(COLUMNS($AM$1006:AU1006),$AM$1006:$BM$1006,0))&gt;=100000), " ",IF(INDEX($AM$2:$BM$1001,MATCH(ROWS($AF$2:AF840),$AF$2:$AF$1001,0),MATCH(COLUMNS($AM$1006:AU1006),$AM$1006:$BM$1006,0)), HYPERLINK("#",""), HYPERLINK(CONCATENATE("#metadata!", ADDRESS(INDEX($AH$2:$AH$1001,MATCH(ROWS($AF$2:AF840),$AF$2:$AF$1001,0),0), INDEX($AM$1004:$BM$1004,1,MATCH(COLUMNS($AM$1006:AU1006),$AM$1006:$BM$1006,0)))),"Fix")))</f>
        <v xml:space="preserve"> </v>
      </c>
      <c r="K840" s="4" t="str">
        <f ca="1">IF(OR(INDEX($AG$2:$AG$1001,MATCH(ROWS($AF$2:AF840),$AF$2:$AF$1001,0),1)&gt;=100000,INDEX($AM$1005:$BM$1005,1,MATCH(COLUMNS($AM$1006:AV1006),$AM$1006:$BM$1006,0))&gt;=100000), " ",IF(INDEX($AM$2:$BM$1001,MATCH(ROWS($AF$2:AF840),$AF$2:$AF$1001,0),MATCH(COLUMNS($AM$1006:AV1006),$AM$1006:$BM$1006,0)), HYPERLINK("#",""), HYPERLINK(CONCATENATE("#metadata!", ADDRESS(INDEX($AH$2:$AH$1001,MATCH(ROWS($AF$2:AF840),$AF$2:$AF$1001,0),0), INDEX($AM$1004:$BM$1004,1,MATCH(COLUMNS($AM$1006:AV1006),$AM$1006:$BM$1006,0)))),"Fix")))</f>
        <v xml:space="preserve"> </v>
      </c>
      <c r="L840" s="4" t="str">
        <f ca="1">IF(OR(INDEX($AG$2:$AG$1001,MATCH(ROWS($AF$2:AF840),$AF$2:$AF$1001,0),1)&gt;=100000,INDEX($AM$1005:$BM$1005,1,MATCH(COLUMNS($AM$1006:AW1006),$AM$1006:$BM$1006,0))&gt;=100000), " ",IF(INDEX($AM$2:$BM$1001,MATCH(ROWS($AF$2:AF840),$AF$2:$AF$1001,0),MATCH(COLUMNS($AM$1006:AW1006),$AM$1006:$BM$1006,0)), HYPERLINK("#",""), HYPERLINK(CONCATENATE("#metadata!", ADDRESS(INDEX($AH$2:$AH$1001,MATCH(ROWS($AF$2:AF840),$AF$2:$AF$1001,0),0), INDEX($AM$1004:$BM$1004,1,MATCH(COLUMNS($AM$1006:AW1006),$AM$1006:$BM$1006,0)))),"Fix")))</f>
        <v xml:space="preserve"> </v>
      </c>
      <c r="M840" s="4" t="str">
        <f ca="1">IF(OR(INDEX($AG$2:$AG$1001,MATCH(ROWS($AF$2:AF840),$AF$2:$AF$1001,0),1)&gt;=100000,INDEX($AM$1005:$BM$1005,1,MATCH(COLUMNS($AM$1006:AX1006),$AM$1006:$BM$1006,0))&gt;=100000), " ",IF(INDEX($AM$2:$BM$1001,MATCH(ROWS($AF$2:AF840),$AF$2:$AF$1001,0),MATCH(COLUMNS($AM$1006:AX1006),$AM$1006:$BM$1006,0)), HYPERLINK("#",""), HYPERLINK(CONCATENATE("#metadata!", ADDRESS(INDEX($AH$2:$AH$1001,MATCH(ROWS($AF$2:AF840),$AF$2:$AF$1001,0),0), INDEX($AM$1004:$BM$1004,1,MATCH(COLUMNS($AM$1006:AX1006),$AM$1006:$BM$1006,0)))),"Fix")))</f>
        <v xml:space="preserve"> </v>
      </c>
      <c r="N840" s="4" t="str">
        <f ca="1">IF(OR(INDEX($AG$2:$AG$1001,MATCH(ROWS($AF$2:AF840),$AF$2:$AF$1001,0),1)&gt;=100000,INDEX($AM$1005:$BM$1005,1,MATCH(COLUMNS($AM$1006:AY1006),$AM$1006:$BM$1006,0))&gt;=100000), " ",IF(INDEX($AM$2:$BM$1001,MATCH(ROWS($AF$2:AF840),$AF$2:$AF$1001,0),MATCH(COLUMNS($AM$1006:AY1006),$AM$1006:$BM$1006,0)), HYPERLINK("#",""), HYPERLINK(CONCATENATE("#metadata!", ADDRESS(INDEX($AH$2:$AH$1001,MATCH(ROWS($AF$2:AF840),$AF$2:$AF$1001,0),0), INDEX($AM$1004:$BM$1004,1,MATCH(COLUMNS($AM$1006:AY1006),$AM$1006:$BM$1006,0)))),"Fix")))</f>
        <v xml:space="preserve"> </v>
      </c>
      <c r="O840" s="4" t="str">
        <f ca="1">IF(OR(INDEX($AG$2:$AG$1001,MATCH(ROWS($AF$2:AF840),$AF$2:$AF$1001,0),1)&gt;=100000,INDEX($AM$1005:$BM$1005,1,MATCH(COLUMNS($AM$1006:AZ1006),$AM$1006:$BM$1006,0))&gt;=100000), " ",IF(INDEX($AM$2:$BM$1001,MATCH(ROWS($AF$2:AF840),$AF$2:$AF$1001,0),MATCH(COLUMNS($AM$1006:AZ1006),$AM$1006:$BM$1006,0)), HYPERLINK("#",""), HYPERLINK(CONCATENATE("#metadata!", ADDRESS(INDEX($AH$2:$AH$1001,MATCH(ROWS($AF$2:AF840),$AF$2:$AF$1001,0),0), INDEX($AM$1004:$BM$1004,1,MATCH(COLUMNS($AM$1006:AZ1006),$AM$1006:$BM$1006,0)))),"Fix")))</f>
        <v xml:space="preserve"> </v>
      </c>
      <c r="P840" s="4" t="str">
        <f ca="1">IF(OR(INDEX($AG$2:$AG$1001,MATCH(ROWS($AF$2:AF840),$AF$2:$AF$1001,0),1)&gt;=100000,INDEX($AM$1005:$BM$1005,1,MATCH(COLUMNS($AM$1006:BA1006),$AM$1006:$BM$1006,0))&gt;=100000), " ",IF(INDEX($AM$2:$BM$1001,MATCH(ROWS($AF$2:AF840),$AF$2:$AF$1001,0),MATCH(COLUMNS($AM$1006:BA1006),$AM$1006:$BM$1006,0)), HYPERLINK("#",""), HYPERLINK(CONCATENATE("#metadata!", ADDRESS(INDEX($AH$2:$AH$1001,MATCH(ROWS($AF$2:AF840),$AF$2:$AF$1001,0),0), INDEX($AM$1004:$BM$1004,1,MATCH(COLUMNS($AM$1006:BA1006),$AM$1006:$BM$1006,0)))),"Fix")))</f>
        <v xml:space="preserve"> </v>
      </c>
      <c r="Q840" s="4" t="str">
        <f ca="1">IF(OR(INDEX($AG$2:$AG$1001,MATCH(ROWS($AF$2:AF840),$AF$2:$AF$1001,0),1)&gt;=100000,INDEX($AM$1005:$BM$1005,1,MATCH(COLUMNS($AM$1006:BB1006),$AM$1006:$BM$1006,0))&gt;=100000), " ",IF(INDEX($AM$2:$BM$1001,MATCH(ROWS($AF$2:AF840),$AF$2:$AF$1001,0),MATCH(COLUMNS($AM$1006:BB1006),$AM$1006:$BM$1006,0)), HYPERLINK("#",""), HYPERLINK(CONCATENATE("#metadata!", ADDRESS(INDEX($AH$2:$AH$1001,MATCH(ROWS($AF$2:AF840),$AF$2:$AF$1001,0),0), INDEX($AM$1004:$BM$1004,1,MATCH(COLUMNS($AM$1006:BB1006),$AM$1006:$BM$1006,0)))),"Fix")))</f>
        <v xml:space="preserve"> </v>
      </c>
      <c r="R840" s="4" t="str">
        <f ca="1">IF(OR(INDEX($AG$2:$AG$1001,MATCH(ROWS($AF$2:AF840),$AF$2:$AF$1001,0),1)&gt;=100000,INDEX($AM$1005:$BM$1005,1,MATCH(COLUMNS($AM$1006:BC1006),$AM$1006:$BM$1006,0))&gt;=100000), " ",IF(INDEX($AM$2:$BM$1001,MATCH(ROWS($AF$2:AF840),$AF$2:$AF$1001,0),MATCH(COLUMNS($AM$1006:BC1006),$AM$1006:$BM$1006,0)), HYPERLINK("#",""), HYPERLINK(CONCATENATE("#metadata!", ADDRESS(INDEX($AH$2:$AH$1001,MATCH(ROWS($AF$2:AF840),$AF$2:$AF$1001,0),0), INDEX($AM$1004:$BM$1004,1,MATCH(COLUMNS($AM$1006:BC1006),$AM$1006:$BM$1006,0)))),"Fix")))</f>
        <v xml:space="preserve"> </v>
      </c>
      <c r="S840" s="4" t="str">
        <f ca="1">IF(OR(INDEX($AG$2:$AG$1001,MATCH(ROWS($AF$2:AF840),$AF$2:$AF$1001,0),1)&gt;=100000,INDEX($AM$1005:$BM$1005,1,MATCH(COLUMNS($AM$1006:BD1006),$AM$1006:$BM$1006,0))&gt;=100000), " ",IF(INDEX($AM$2:$BM$1001,MATCH(ROWS($AF$2:AF840),$AF$2:$AF$1001,0),MATCH(COLUMNS($AM$1006:BD1006),$AM$1006:$BM$1006,0)), HYPERLINK("#",""), HYPERLINK(CONCATENATE("#metadata!", ADDRESS(INDEX($AH$2:$AH$1001,MATCH(ROWS($AF$2:AF840),$AF$2:$AF$1001,0),0), INDEX($AM$1004:$BM$1004,1,MATCH(COLUMNS($AM$1006:BD1006),$AM$1006:$BM$1006,0)))),"Fix")))</f>
        <v xml:space="preserve"> </v>
      </c>
      <c r="T840" s="4" t="str">
        <f ca="1">IF(OR(INDEX($AG$2:$AG$1001,MATCH(ROWS($AF$2:AF840),$AF$2:$AF$1001,0),1)&gt;=100000,INDEX($AM$1005:$BM$1005,1,MATCH(COLUMNS($AM$1006:BE1006),$AM$1006:$BM$1006,0))&gt;=100000), " ",IF(INDEX($AM$2:$BM$1001,MATCH(ROWS($AF$2:AF840),$AF$2:$AF$1001,0),MATCH(COLUMNS($AM$1006:BE1006),$AM$1006:$BM$1006,0)), HYPERLINK("#",""), HYPERLINK(CONCATENATE("#metadata!", ADDRESS(INDEX($AH$2:$AH$1001,MATCH(ROWS($AF$2:AF840),$AF$2:$AF$1001,0),0), INDEX($AM$1004:$BM$1004,1,MATCH(COLUMNS($AM$1006:BE1006),$AM$1006:$BM$1006,0)))),"Fix")))</f>
        <v xml:space="preserve"> </v>
      </c>
      <c r="U840" s="4" t="str">
        <f ca="1">IF(OR(INDEX($AG$2:$AG$1001,MATCH(ROWS($AF$2:AF840),$AF$2:$AF$1001,0),1)&gt;=100000,INDEX($AM$1005:$BM$1005,1,MATCH(COLUMNS($AM$1006:BF1006),$AM$1006:$BM$1006,0))&gt;=100000), " ",IF(INDEX($AM$2:$BM$1001,MATCH(ROWS($AF$2:AF840),$AF$2:$AF$1001,0),MATCH(COLUMNS($AM$1006:BF1006),$AM$1006:$BM$1006,0)), HYPERLINK("#",""), HYPERLINK(CONCATENATE("#metadata!", ADDRESS(INDEX($AH$2:$AH$1001,MATCH(ROWS($AF$2:AF840),$AF$2:$AF$1001,0),0), INDEX($AM$1004:$BM$1004,1,MATCH(COLUMNS($AM$1006:BF1006),$AM$1006:$BM$1006,0)))),"Fix")))</f>
        <v xml:space="preserve"> </v>
      </c>
      <c r="V840" s="4" t="str">
        <f ca="1">IF(OR(INDEX($AG$2:$AG$1001,MATCH(ROWS($AF$2:AF840),$AF$2:$AF$1001,0),1)&gt;=100000,INDEX($AM$1005:$BM$1005,1,MATCH(COLUMNS($AM$1006:BG1006),$AM$1006:$BM$1006,0))&gt;=100000), " ",IF(INDEX($AM$2:$BM$1001,MATCH(ROWS($AF$2:AF840),$AF$2:$AF$1001,0),MATCH(COLUMNS($AM$1006:BG1006),$AM$1006:$BM$1006,0)), HYPERLINK("#",""), HYPERLINK(CONCATENATE("#metadata!", ADDRESS(INDEX($AH$2:$AH$1001,MATCH(ROWS($AF$2:AF840),$AF$2:$AF$1001,0),0), INDEX($AM$1004:$BM$1004,1,MATCH(COLUMNS($AM$1006:BG1006),$AM$1006:$BM$1006,0)))),"Fix")))</f>
        <v xml:space="preserve"> </v>
      </c>
      <c r="W840" s="4" t="str">
        <f ca="1">IF(OR(INDEX($AG$2:$AG$1001,MATCH(ROWS($AF$2:AF840),$AF$2:$AF$1001,0),1)&gt;=100000,INDEX($AM$1005:$BM$1005,1,MATCH(COLUMNS($AM$1006:BH1006),$AM$1006:$BM$1006,0))&gt;=100000), " ",IF(INDEX($AM$2:$BM$1001,MATCH(ROWS($AF$2:AF840),$AF$2:$AF$1001,0),MATCH(COLUMNS($AM$1006:BH1006),$AM$1006:$BM$1006,0)), HYPERLINK("#",""), HYPERLINK(CONCATENATE("#metadata!", ADDRESS(INDEX($AH$2:$AH$1001,MATCH(ROWS($AF$2:AF840),$AF$2:$AF$1001,0),0), INDEX($AM$1004:$BM$1004,1,MATCH(COLUMNS($AM$1006:BH1006),$AM$1006:$BM$1006,0)))),"Fix")))</f>
        <v xml:space="preserve"> </v>
      </c>
      <c r="X840" s="4" t="str">
        <f ca="1">IF(OR(INDEX($AG$2:$AG$1001,MATCH(ROWS($AF$2:AF840),$AF$2:$AF$1001,0),1)&gt;=100000,INDEX($AM$1005:$BM$1005,1,MATCH(COLUMNS($AM$1006:BI1006),$AM$1006:$BM$1006,0))&gt;=100000), " ",IF(INDEX($AM$2:$BM$1001,MATCH(ROWS($AF$2:AF840),$AF$2:$AF$1001,0),MATCH(COLUMNS($AM$1006:BI1006),$AM$1006:$BM$1006,0)), HYPERLINK("#",""), HYPERLINK(CONCATENATE("#metadata!", ADDRESS(INDEX($AH$2:$AH$1001,MATCH(ROWS($AF$2:AF840),$AF$2:$AF$1001,0),0), INDEX($AM$1004:$BM$1004,1,MATCH(COLUMNS($AM$1006:BI1006),$AM$1006:$BM$1006,0)))),"Fix")))</f>
        <v xml:space="preserve"> </v>
      </c>
      <c r="Y840" s="4" t="str">
        <f ca="1">IF(OR(INDEX($AG$2:$AG$1001,MATCH(ROWS($AF$2:AF840),$AF$2:$AF$1001,0),1)&gt;=100000,INDEX($AM$1005:$BM$1005,1,MATCH(COLUMNS($AM$1006:BJ1006),$AM$1006:$BM$1006,0))&gt;=100000), " ",IF(INDEX($AM$2:$BM$1001,MATCH(ROWS($AF$2:AF840),$AF$2:$AF$1001,0),MATCH(COLUMNS($AM$1006:BJ1006),$AM$1006:$BM$1006,0)), HYPERLINK("#",""), HYPERLINK(CONCATENATE("#metadata!", ADDRESS(INDEX($AH$2:$AH$1001,MATCH(ROWS($AF$2:AF840),$AF$2:$AF$1001,0),0), INDEX($AM$1004:$BM$1004,1,MATCH(COLUMNS($AM$1006:BJ1006),$AM$1006:$BM$1006,0)))),"Fix")))</f>
        <v xml:space="preserve"> </v>
      </c>
      <c r="Z840" s="4" t="str">
        <f ca="1">IF(OR(INDEX($AG$2:$AG$1001,MATCH(ROWS($AF$2:AF840),$AF$2:$AF$1001,0),1)&gt;=100000,INDEX($AM$1005:$BM$1005,1,MATCH(COLUMNS($AM$1006:BK1006),$AM$1006:$BM$1006,0))&gt;=100000), " ",IF(INDEX($AM$2:$BM$1001,MATCH(ROWS($AF$2:AF840),$AF$2:$AF$1001,0),MATCH(COLUMNS($AM$1006:BK1006),$AM$1006:$BM$1006,0)), HYPERLINK("#",""), HYPERLINK(CONCATENATE("#metadata!", ADDRESS(INDEX($AH$2:$AH$1001,MATCH(ROWS($AF$2:AF840),$AF$2:$AF$1001,0),0), INDEX($AM$1004:$BM$1004,1,MATCH(COLUMNS($AM$1006:BK1006),$AM$1006:$BM$1006,0)))),"Fix")))</f>
        <v xml:space="preserve"> </v>
      </c>
      <c r="AA840" s="4" t="str">
        <f ca="1">IF(OR(INDEX($AG$2:$AG$1001,MATCH(ROWS($AF$2:AF840),$AF$2:$AF$1001,0),1)&gt;=100000,INDEX($AM$1005:$BM$1005,1,MATCH(COLUMNS($AM$1006:BL1006),$AM$1006:$BM$1006,0))&gt;=100000), " ",IF(INDEX($AM$2:$BM$1001,MATCH(ROWS($AF$2:AF840),$AF$2:$AF$1001,0),MATCH(COLUMNS($AM$1006:BL1006),$AM$1006:$BM$1006,0)), HYPERLINK("#",""), HYPERLINK(CONCATENATE("#metadata!", ADDRESS(INDEX($AH$2:$AH$1001,MATCH(ROWS($AF$2:AF840),$AF$2:$AF$1001,0),0), INDEX($AM$1004:$BM$1004,1,MATCH(COLUMNS($AM$1006:BL1006),$AM$1006:$BM$1006,0)))),"Fix")))</f>
        <v xml:space="preserve"> </v>
      </c>
      <c r="AB840" s="4" t="str">
        <f ca="1">IF(OR(INDEX($AG$2:$AG$1001,MATCH(ROWS($AF$2:AF840),$AF$2:$AF$1001,0),1)&gt;=100000,INDEX($AM$1005:$BM$1005,1,MATCH(COLUMNS($AM$1006:BM1006),$AM$1006:$BM$1006,0))&gt;=100000), " ",IF(INDEX($AM$2:$BM$1001,MATCH(ROWS($AF$2:AF840),$AF$2:$AF$1001,0),MATCH(COLUMNS($AM$1006:BM1006),$AM$1006:$BM$1006,0)), HYPERLINK("#",""), HYPERLINK(CONCATENATE("#metadata!", ADDRESS(INDEX($AH$2:$AH$1001,MATCH(ROWS($AF$2:AF840),$AF$2:$AF$1001,0),0), INDEX($AM$1004:$BM$1004,1,MATCH(COLUMNS($AM$1006:BM1006),$AM$1006:$BM$1006,0)))),"Fix")))</f>
        <v xml:space="preserve"> </v>
      </c>
      <c r="AF840">
        <v>839</v>
      </c>
      <c r="AG840">
        <v>100840</v>
      </c>
      <c r="AH840">
        <v>840</v>
      </c>
      <c r="AI840" t="b">
        <f t="shared" si="13"/>
        <v>1</v>
      </c>
      <c r="AJ840" t="b">
        <f>COUNTBLANK(metadata!B840:AB840)=COLUMNS(metadata!B840:AB840)</f>
        <v>1</v>
      </c>
      <c r="AK840" t="str">
        <v/>
      </c>
      <c r="AM840" t="b">
        <f ca="1">AND(IF(metadata!B840="",FALSE,TRUE),COUNTIF(metadata!B:B, metadata!B840) = 1,NOT(ISERROR(SUMPRODUCT(SEARCH(MID(metadata!B840,ROW(INDIRECT("1:"&amp;LEN(metadata!B840))), 1),"0123456789abcdefghijklmnopqrstuvwxyzABCDEFGHIJKLMNOPQRSTUVWXYZ.")))))</f>
        <v>0</v>
      </c>
      <c r="AN840" t="b">
        <f ca="1">OR(AND(IF(metadata!C840="",FALSE,TRUE),OR(EXACT(metadata!C840,"missing: not collected"),EXACT(metadata!C840,"missing: not provided"),EXACT(metadata!C840,"missing: restricted access"))),AND(IF(metadata!C840="",FALSE,TRUE),AND(AND(IFERROR(INT(LEFT(metadata!C840,4))&gt;1900,FALSE),IFERROR(INT(LEFT(metadata!C840,4))&lt;=YEAR(NOW()),FALSE)), OR(MID(metadata!C840,5,1)="", AND(AND(MID(metadata!C840,5,1)="-",IFERROR(INT(MID(metadata!C840,6,1))&gt;=0,FALSE),IFERROR(INT(MID(metadata!C840,6,1))&lt;=1,FALSE),NOT(MID(metadata!C840,7,1)=""),IFERROR(INT(MID(metadata!C840,6,2))&gt;=1,FALSE),IFERROR(INT(MID(metadata!C840,6,2))&lt;=12,FALSE)), OR(MID(metadata!C840,8,1)="", AND(AND(MID(metadata!C840,8,1)="-",IFERROR(INT(MID(metadata!C840,9,1))&gt;=0,FALSE),IFERROR(INT(MID(metadata!C840,9,1))&lt;=3,FALSE),NOT(MID(metadata!C840,10,1)=""),IFERROR(INT(MID(metadata!C840,9,2))&gt;=1,FALSE),IFERROR(INT(MID(metadata!C840,9,2))&lt;=31,FALSE)), OR(MID(metadata!C840,11,1)="", AND(AND(MID(metadata!C840,11,1)=" ",IFERROR(INT(MID(metadata!C840,12,1))&gt;=0,FALSE),IFERROR(INT(MID(metadata!C840,12,1))&lt;=2,FALSE),NOT(MID(metadata!C840,13,1)=""),IFERROR(INT(MID(metadata!C840,12,2))&gt;=0,FALSE),IFERROR(INT(MID(metadata!C840,12,2))&lt;=23,FALSE)), OR(MID(metadata!C840,14,1)="", AND(AND(MID(metadata!C840,14,1)=":",IFERROR(INT(MID(metadata!C840,15,1))&gt;=0,FALSE),IFERROR(INT(MID(metadata!C840,15,1))&lt;=5,FALSE),NOT(MID(metadata!C840,16,1)=""),IFERROR(INT(MID(metadata!C840,15,2))&gt;=0,FALSE),IFERROR(INT(MID(metadata!C840,15,2))&lt;=59,FALSE)), OR(MID(metadata!C840,17,1)="", AND(AND(MID(metadata!C840,17,1)=":",IFERROR(INT(MID(metadata!C840,18,1))&gt;=0,FALSE),IFERROR(INT(MID(metadata!C840,18,1))&lt;=5,FALSE),NOT(MID(metadata!C840,19,1)=""),IFERROR(INT(MID(metadata!C840,18,2))&gt;=0,FALSE),IFERROR(INT(MID(metadata!C840,18,2))&lt;=59,FALSE)), LEN(metadata!C840)&lt;=19)))))))))))))</f>
        <v>0</v>
      </c>
      <c r="AO840" t="b">
        <f>AND(IF(metadata!D840="",FALSE,TRUE),EXACT(metadata!D840,"Not applicable"))</f>
        <v>0</v>
      </c>
      <c r="AP840" t="b">
        <f>IF(metadata!E840="",FALSE,TRUE)</f>
        <v>0</v>
      </c>
      <c r="AQ840" t="b">
        <f>OR(AND(IF(metadata!F840="",FALSE,TRUE),OR(EXACT(metadata!F840,"missing: not collected"),EXACT(metadata!F840,"missing: not provided"))),AND(IF(metadata!F840="",FALSE,TRUE),OR(EXACT(metadata!F840,"TRUE"),EXACT(metadata!F840,"FALSE"))))</f>
        <v>0</v>
      </c>
      <c r="AR840" t="b">
        <f>OR(AND(IF(metadata!G840="",FALSE,TRUE),OR(EXACT(metadata!G840,"missing: not collected"),EXACT(metadata!G840,"missing: not provided"),EXACT(metadata!G840,"missing: restricted access"))),AND(IF(metadata!G840="",FALSE,ISNUMBER(VALUE(metadata!G840))),metadata!G840&gt;=-413))</f>
        <v>0</v>
      </c>
      <c r="AS840" t="b">
        <f>AND(IF(metadata!H840="",FALSE,TRUE),EXACT(metadata!H840,"meters"))</f>
        <v>0</v>
      </c>
      <c r="AT840" t="b">
        <f>AND(IF(metadata!I840="",FALSE,TRUE),OR(EXACT(metadata!I840,"Host-associated"),EXACT(metadata!I840,"Free-living")))</f>
        <v>0</v>
      </c>
      <c r="AU840" t="b">
        <f>AND(IF(metadata!J840="",FALSE,TRUE),OR(EXACT(metadata!J840,"Animal"),EXACT(metadata!J840,"Fungus"),EXACT(metadata!J840,"Plant"),EXACT(metadata!J840,"Saline"),EXACT(metadata!J840,"Non-saline")))</f>
        <v>0</v>
      </c>
      <c r="AV840" t="b">
        <f>AND(IF(metadata!K840="",FALSE,TRUE),OR(EXACT(metadata!K840,"Plant secretion"),EXACT(metadata!K840,"Plant rhizosphere"),EXACT(metadata!K840,"Plant surface"),EXACT(metadata!K840,"Plant corpus"),EXACT(metadata!K840,"Fungus surface"),EXACT(metadata!K840,"Fungus corpus"),EXACT(metadata!K840,"Animal surface"),EXACT(metadata!K840,"Animal proximal gut"),EXACT(metadata!K840,"Animal corpus"),EXACT(metadata!K840,"Animal distal gut"),EXACT(metadata!K840,"Animal secretion"),EXACT(metadata!K840,"Sub-surface (non-saline)"),EXACT(metadata!K840,"Surface (non-saline)"),EXACT(metadata!K840,"Water (non-saline)"),EXACT(metadata!K840,"Soil (non-saline)"),EXACT(metadata!K840,"Aerosol (non-saline)"),EXACT(metadata!K840,"Sediment (non-saline)"),EXACT(metadata!K840,"Surface (saline)"),EXACT(metadata!K840,"Water (saline)"),EXACT(metadata!K840,"Hypersaline (saline)"),EXACT(metadata!K840,"Aerosol (saline)"),EXACT(metadata!K840,"Sediment (saline)")))</f>
        <v>0</v>
      </c>
      <c r="AW840" t="b">
        <f>IF(metadata!L840="",FALSE,TRUE)</f>
        <v>0</v>
      </c>
      <c r="AX840" t="b">
        <f>IF(metadata!M840="",FALSE,TRUE)</f>
        <v>0</v>
      </c>
      <c r="AY840" t="b">
        <f>IF(metadata!N840="",FALSE,TRUE)</f>
        <v>0</v>
      </c>
      <c r="AZ840" t="b">
        <f>OR(AND(IF(metadata!O840="",FALSE,TRUE),OR(EXACT(metadata!O840,"missing: not collected"),EXACT(metadata!O840,"missing: not provided"),EXACT(metadata!O840,"missing: restricted access"))),AND(IF(metadata!O840="",FALSE,TRUE),OR(EXACT(metadata!O840,"air"),EXACT(metadata!O840,"built environment"),EXACT(metadata!O840,"host-associated"),EXACT(metadata!O840,"human-associated"),EXACT(metadata!O840,"human-skin"),EXACT(metadata!O840,"human-oral"),EXACT(metadata!O840,"human-gut"),EXACT(metadata!O840,"human-vaginal"),EXACT(metadata!O840,"microbial mat/biofilm"),EXACT(metadata!O840,"misc environment"),EXACT(metadata!O840,"plant-associated"),EXACT(metadata!O840,"sediment"),EXACT(metadata!O840,"soil"),EXACT(metadata!O840,"wastewater/sludge"),EXACT(metadata!O840,"water"))))</f>
        <v>0</v>
      </c>
      <c r="BA840" t="b">
        <f>IF(metadata!P840="",FALSE,TRUE)</f>
        <v>0</v>
      </c>
      <c r="BB840" t="b">
        <f>IF(metadata!Q840="",FALSE,TRUE)</f>
        <v>0</v>
      </c>
      <c r="BC840" t="b">
        <f>OR(AND(IF(metadata!R840="",FALSE,TRUE),OR(EXACT(metadata!R840,"missing: not collected"),EXACT(metadata!R840,"missing: not provided"),EXACT(metadata!R840,"missing: restricted access"))),AND(IF(metadata!R840="",FALSE,ISNUMBER(VALUE(metadata!R840))),metadata!R840&gt;=-90,metadata!R840&lt;=90))</f>
        <v>0</v>
      </c>
      <c r="BD840" t="b">
        <f>AND(IF(metadata!S840="",FALSE,TRUE),EXACT(metadata!S840,"Decimal degrees"))</f>
        <v>0</v>
      </c>
      <c r="BE840" t="b">
        <f>OR(AND(IF(metadata!T840="",FALSE,TRUE),OR(EXACT(metadata!T840,"missing: not collected"),EXACT(metadata!T840,"missing: not provided"),EXACT(metadata!T840,"missing: restricted access"))),AND(IF(metadata!T840="",FALSE,ISNUMBER(VALUE(metadata!T840))),metadata!T840&gt;=-180,metadata!T840&lt;=180))</f>
        <v>0</v>
      </c>
      <c r="BF840" t="b">
        <f>AND(IF(metadata!U840="",FALSE,TRUE),EXACT(metadata!U840,"Decimal degrees"))</f>
        <v>0</v>
      </c>
      <c r="BG840" t="b">
        <f>IF(metadata!V840="",FALSE,TRUE)</f>
        <v>0</v>
      </c>
      <c r="BH840" t="b">
        <f>OR(AND(IF(metadata!W840="",FALSE,TRUE),OR(EXACT(metadata!W840,"missing: not collected"),EXACT(metadata!W840,"missing: not provided"),EXACT(metadata!W840,"missing: restricted access"))),AND(IF(metadata!W840="",FALSE,TRUE),OR(EXACT(metadata!W840,"TRUE"),EXACT(metadata!W840,"FALSE"))))</f>
        <v>0</v>
      </c>
      <c r="BI840" t="b">
        <f>AND(IF(metadata!X840="",FALSE,TRUE),EXACT(metadata!X840,"other"))</f>
        <v>0</v>
      </c>
      <c r="BJ840" t="b">
        <f>IF(metadata!Y840="",FALSE,TRUE)</f>
        <v>0</v>
      </c>
      <c r="BK840" t="b">
        <f>OR(AND(IF(metadata!Z840="",FALSE,TRUE),OR(EXACT(metadata!Z840,"missing: not collected"),EXACT(metadata!Z840,"missing: not provided"))),AND(IF(metadata!Z840="",FALSE,IF(ISERROR(INT(metadata!Z840)),FALSE,INT(metadata!Z840)=metadata!Z840)),metadata!Z840&gt;0))</f>
        <v>0</v>
      </c>
      <c r="BL840" t="b">
        <f>AND(IF(metadata!AA840="",FALSE,TRUE),EXACT(metadata!AA840,"Not applicable"))</f>
        <v>0</v>
      </c>
      <c r="BM840" t="b">
        <f>IF(metadata!AB840="",FALSE,TRUE)</f>
        <v>0</v>
      </c>
    </row>
    <row r="841" spans="1:65" x14ac:dyDescent="0.2">
      <c r="A841" s="5" t="str">
        <f ca="1">IF(B841=" "," ",HYPERLINK(CONCATENATE("#metadata!",ADDRESS(INDEX($AH$2:$AH$1001,MATCH(ROWS($AF$2:AF841),$AF$2:$AF$1001,0),0),1)),INDEX($AK$2:$AK$1001,MATCH(ROWS($AF$2:AF841),$AF$2:$AF$1001,0),0)))</f>
        <v xml:space="preserve"> </v>
      </c>
      <c r="B841" s="4" t="str">
        <f ca="1">IF(OR(INDEX($AG$2:$AG$1001,MATCH(ROWS($AF$2:AF841),$AF$2:$AF$1001,0),1)&gt;=100000,INDEX($AM$1005:$BM$1005,1,MATCH(COLUMNS($AM$1006:AM1006),$AM$1006:$BM$1006,0))&gt;=100000), " ",IF(INDEX($AM$2:$BM$1001,MATCH(ROWS($AF$2:AF841),$AF$2:$AF$1001,0),MATCH(COLUMNS($AM$1006:AM1006),$AM$1006:$BM$1006,0)), HYPERLINK("#",""), HYPERLINK(CONCATENATE("#metadata!", ADDRESS(INDEX($AH$2:$AH$1001,MATCH(ROWS($AF$2:AF841),$AF$2:$AF$1001,0),0), INDEX($AM$1004:$BM$1004,1,MATCH(COLUMNS($AM$1006:AM1006),$AM$1006:$BM$1006,0)))),"Fix")))</f>
        <v xml:space="preserve"> </v>
      </c>
      <c r="C841" s="4" t="str">
        <f ca="1">IF(OR(INDEX($AG$2:$AG$1001,MATCH(ROWS($AF$2:AF841),$AF$2:$AF$1001,0),1)&gt;=100000,INDEX($AM$1005:$BM$1005,1,MATCH(COLUMNS($AM$1006:AN1006),$AM$1006:$BM$1006,0))&gt;=100000), " ",IF(INDEX($AM$2:$BM$1001,MATCH(ROWS($AF$2:AF841),$AF$2:$AF$1001,0),MATCH(COLUMNS($AM$1006:AN1006),$AM$1006:$BM$1006,0)), HYPERLINK("#",""), HYPERLINK(CONCATENATE("#metadata!", ADDRESS(INDEX($AH$2:$AH$1001,MATCH(ROWS($AF$2:AF841),$AF$2:$AF$1001,0),0), INDEX($AM$1004:$BM$1004,1,MATCH(COLUMNS($AM$1006:AN1006),$AM$1006:$BM$1006,0)))),"Fix")))</f>
        <v xml:space="preserve"> </v>
      </c>
      <c r="D841" s="4" t="str">
        <f ca="1">IF(OR(INDEX($AG$2:$AG$1001,MATCH(ROWS($AF$2:AF841),$AF$2:$AF$1001,0),1)&gt;=100000,INDEX($AM$1005:$BM$1005,1,MATCH(COLUMNS($AM$1006:AO1006),$AM$1006:$BM$1006,0))&gt;=100000), " ",IF(INDEX($AM$2:$BM$1001,MATCH(ROWS($AF$2:AF841),$AF$2:$AF$1001,0),MATCH(COLUMNS($AM$1006:AO1006),$AM$1006:$BM$1006,0)), HYPERLINK("#",""), HYPERLINK(CONCATENATE("#metadata!", ADDRESS(INDEX($AH$2:$AH$1001,MATCH(ROWS($AF$2:AF841),$AF$2:$AF$1001,0),0), INDEX($AM$1004:$BM$1004,1,MATCH(COLUMNS($AM$1006:AO1006),$AM$1006:$BM$1006,0)))),"Fix")))</f>
        <v xml:space="preserve"> </v>
      </c>
      <c r="E841" s="4" t="str">
        <f ca="1">IF(OR(INDEX($AG$2:$AG$1001,MATCH(ROWS($AF$2:AF841),$AF$2:$AF$1001,0),1)&gt;=100000,INDEX($AM$1005:$BM$1005,1,MATCH(COLUMNS($AM$1006:AP1006),$AM$1006:$BM$1006,0))&gt;=100000), " ",IF(INDEX($AM$2:$BM$1001,MATCH(ROWS($AF$2:AF841),$AF$2:$AF$1001,0),MATCH(COLUMNS($AM$1006:AP1006),$AM$1006:$BM$1006,0)), HYPERLINK("#",""), HYPERLINK(CONCATENATE("#metadata!", ADDRESS(INDEX($AH$2:$AH$1001,MATCH(ROWS($AF$2:AF841),$AF$2:$AF$1001,0),0), INDEX($AM$1004:$BM$1004,1,MATCH(COLUMNS($AM$1006:AP1006),$AM$1006:$BM$1006,0)))),"Fix")))</f>
        <v xml:space="preserve"> </v>
      </c>
      <c r="F841" s="4" t="str">
        <f ca="1">IF(OR(INDEX($AG$2:$AG$1001,MATCH(ROWS($AF$2:AF841),$AF$2:$AF$1001,0),1)&gt;=100000,INDEX($AM$1005:$BM$1005,1,MATCH(COLUMNS($AM$1006:AQ1006),$AM$1006:$BM$1006,0))&gt;=100000), " ",IF(INDEX($AM$2:$BM$1001,MATCH(ROWS($AF$2:AF841),$AF$2:$AF$1001,0),MATCH(COLUMNS($AM$1006:AQ1006),$AM$1006:$BM$1006,0)), HYPERLINK("#",""), HYPERLINK(CONCATENATE("#metadata!", ADDRESS(INDEX($AH$2:$AH$1001,MATCH(ROWS($AF$2:AF841),$AF$2:$AF$1001,0),0), INDEX($AM$1004:$BM$1004,1,MATCH(COLUMNS($AM$1006:AQ1006),$AM$1006:$BM$1006,0)))),"Fix")))</f>
        <v xml:space="preserve"> </v>
      </c>
      <c r="G841" s="4" t="str">
        <f ca="1">IF(OR(INDEX($AG$2:$AG$1001,MATCH(ROWS($AF$2:AF841),$AF$2:$AF$1001,0),1)&gt;=100000,INDEX($AM$1005:$BM$1005,1,MATCH(COLUMNS($AM$1006:AR1006),$AM$1006:$BM$1006,0))&gt;=100000), " ",IF(INDEX($AM$2:$BM$1001,MATCH(ROWS($AF$2:AF841),$AF$2:$AF$1001,0),MATCH(COLUMNS($AM$1006:AR1006),$AM$1006:$BM$1006,0)), HYPERLINK("#",""), HYPERLINK(CONCATENATE("#metadata!", ADDRESS(INDEX($AH$2:$AH$1001,MATCH(ROWS($AF$2:AF841),$AF$2:$AF$1001,0),0), INDEX($AM$1004:$BM$1004,1,MATCH(COLUMNS($AM$1006:AR1006),$AM$1006:$BM$1006,0)))),"Fix")))</f>
        <v xml:space="preserve"> </v>
      </c>
      <c r="H841" s="4" t="str">
        <f ca="1">IF(OR(INDEX($AG$2:$AG$1001,MATCH(ROWS($AF$2:AF841),$AF$2:$AF$1001,0),1)&gt;=100000,INDEX($AM$1005:$BM$1005,1,MATCH(COLUMNS($AM$1006:AS1006),$AM$1006:$BM$1006,0))&gt;=100000), " ",IF(INDEX($AM$2:$BM$1001,MATCH(ROWS($AF$2:AF841),$AF$2:$AF$1001,0),MATCH(COLUMNS($AM$1006:AS1006),$AM$1006:$BM$1006,0)), HYPERLINK("#",""), HYPERLINK(CONCATENATE("#metadata!", ADDRESS(INDEX($AH$2:$AH$1001,MATCH(ROWS($AF$2:AF841),$AF$2:$AF$1001,0),0), INDEX($AM$1004:$BM$1004,1,MATCH(COLUMNS($AM$1006:AS1006),$AM$1006:$BM$1006,0)))),"Fix")))</f>
        <v xml:space="preserve"> </v>
      </c>
      <c r="I841" s="4" t="str">
        <f ca="1">IF(OR(INDEX($AG$2:$AG$1001,MATCH(ROWS($AF$2:AF841),$AF$2:$AF$1001,0),1)&gt;=100000,INDEX($AM$1005:$BM$1005,1,MATCH(COLUMNS($AM$1006:AT1006),$AM$1006:$BM$1006,0))&gt;=100000), " ",IF(INDEX($AM$2:$BM$1001,MATCH(ROWS($AF$2:AF841),$AF$2:$AF$1001,0),MATCH(COLUMNS($AM$1006:AT1006),$AM$1006:$BM$1006,0)), HYPERLINK("#",""), HYPERLINK(CONCATENATE("#metadata!", ADDRESS(INDEX($AH$2:$AH$1001,MATCH(ROWS($AF$2:AF841),$AF$2:$AF$1001,0),0), INDEX($AM$1004:$BM$1004,1,MATCH(COLUMNS($AM$1006:AT1006),$AM$1006:$BM$1006,0)))),"Fix")))</f>
        <v xml:space="preserve"> </v>
      </c>
      <c r="J841" s="4" t="str">
        <f ca="1">IF(OR(INDEX($AG$2:$AG$1001,MATCH(ROWS($AF$2:AF841),$AF$2:$AF$1001,0),1)&gt;=100000,INDEX($AM$1005:$BM$1005,1,MATCH(COLUMNS($AM$1006:AU1006),$AM$1006:$BM$1006,0))&gt;=100000), " ",IF(INDEX($AM$2:$BM$1001,MATCH(ROWS($AF$2:AF841),$AF$2:$AF$1001,0),MATCH(COLUMNS($AM$1006:AU1006),$AM$1006:$BM$1006,0)), HYPERLINK("#",""), HYPERLINK(CONCATENATE("#metadata!", ADDRESS(INDEX($AH$2:$AH$1001,MATCH(ROWS($AF$2:AF841),$AF$2:$AF$1001,0),0), INDEX($AM$1004:$BM$1004,1,MATCH(COLUMNS($AM$1006:AU1006),$AM$1006:$BM$1006,0)))),"Fix")))</f>
        <v xml:space="preserve"> </v>
      </c>
      <c r="K841" s="4" t="str">
        <f ca="1">IF(OR(INDEX($AG$2:$AG$1001,MATCH(ROWS($AF$2:AF841),$AF$2:$AF$1001,0),1)&gt;=100000,INDEX($AM$1005:$BM$1005,1,MATCH(COLUMNS($AM$1006:AV1006),$AM$1006:$BM$1006,0))&gt;=100000), " ",IF(INDEX($AM$2:$BM$1001,MATCH(ROWS($AF$2:AF841),$AF$2:$AF$1001,0),MATCH(COLUMNS($AM$1006:AV1006),$AM$1006:$BM$1006,0)), HYPERLINK("#",""), HYPERLINK(CONCATENATE("#metadata!", ADDRESS(INDEX($AH$2:$AH$1001,MATCH(ROWS($AF$2:AF841),$AF$2:$AF$1001,0),0), INDEX($AM$1004:$BM$1004,1,MATCH(COLUMNS($AM$1006:AV1006),$AM$1006:$BM$1006,0)))),"Fix")))</f>
        <v xml:space="preserve"> </v>
      </c>
      <c r="L841" s="4" t="str">
        <f ca="1">IF(OR(INDEX($AG$2:$AG$1001,MATCH(ROWS($AF$2:AF841),$AF$2:$AF$1001,0),1)&gt;=100000,INDEX($AM$1005:$BM$1005,1,MATCH(COLUMNS($AM$1006:AW1006),$AM$1006:$BM$1006,0))&gt;=100000), " ",IF(INDEX($AM$2:$BM$1001,MATCH(ROWS($AF$2:AF841),$AF$2:$AF$1001,0),MATCH(COLUMNS($AM$1006:AW1006),$AM$1006:$BM$1006,0)), HYPERLINK("#",""), HYPERLINK(CONCATENATE("#metadata!", ADDRESS(INDEX($AH$2:$AH$1001,MATCH(ROWS($AF$2:AF841),$AF$2:$AF$1001,0),0), INDEX($AM$1004:$BM$1004,1,MATCH(COLUMNS($AM$1006:AW1006),$AM$1006:$BM$1006,0)))),"Fix")))</f>
        <v xml:space="preserve"> </v>
      </c>
      <c r="M841" s="4" t="str">
        <f ca="1">IF(OR(INDEX($AG$2:$AG$1001,MATCH(ROWS($AF$2:AF841),$AF$2:$AF$1001,0),1)&gt;=100000,INDEX($AM$1005:$BM$1005,1,MATCH(COLUMNS($AM$1006:AX1006),$AM$1006:$BM$1006,0))&gt;=100000), " ",IF(INDEX($AM$2:$BM$1001,MATCH(ROWS($AF$2:AF841),$AF$2:$AF$1001,0),MATCH(COLUMNS($AM$1006:AX1006),$AM$1006:$BM$1006,0)), HYPERLINK("#",""), HYPERLINK(CONCATENATE("#metadata!", ADDRESS(INDEX($AH$2:$AH$1001,MATCH(ROWS($AF$2:AF841),$AF$2:$AF$1001,0),0), INDEX($AM$1004:$BM$1004,1,MATCH(COLUMNS($AM$1006:AX1006),$AM$1006:$BM$1006,0)))),"Fix")))</f>
        <v xml:space="preserve"> </v>
      </c>
      <c r="N841" s="4" t="str">
        <f ca="1">IF(OR(INDEX($AG$2:$AG$1001,MATCH(ROWS($AF$2:AF841),$AF$2:$AF$1001,0),1)&gt;=100000,INDEX($AM$1005:$BM$1005,1,MATCH(COLUMNS($AM$1006:AY1006),$AM$1006:$BM$1006,0))&gt;=100000), " ",IF(INDEX($AM$2:$BM$1001,MATCH(ROWS($AF$2:AF841),$AF$2:$AF$1001,0),MATCH(COLUMNS($AM$1006:AY1006),$AM$1006:$BM$1006,0)), HYPERLINK("#",""), HYPERLINK(CONCATENATE("#metadata!", ADDRESS(INDEX($AH$2:$AH$1001,MATCH(ROWS($AF$2:AF841),$AF$2:$AF$1001,0),0), INDEX($AM$1004:$BM$1004,1,MATCH(COLUMNS($AM$1006:AY1006),$AM$1006:$BM$1006,0)))),"Fix")))</f>
        <v xml:space="preserve"> </v>
      </c>
      <c r="O841" s="4" t="str">
        <f ca="1">IF(OR(INDEX($AG$2:$AG$1001,MATCH(ROWS($AF$2:AF841),$AF$2:$AF$1001,0),1)&gt;=100000,INDEX($AM$1005:$BM$1005,1,MATCH(COLUMNS($AM$1006:AZ1006),$AM$1006:$BM$1006,0))&gt;=100000), " ",IF(INDEX($AM$2:$BM$1001,MATCH(ROWS($AF$2:AF841),$AF$2:$AF$1001,0),MATCH(COLUMNS($AM$1006:AZ1006),$AM$1006:$BM$1006,0)), HYPERLINK("#",""), HYPERLINK(CONCATENATE("#metadata!", ADDRESS(INDEX($AH$2:$AH$1001,MATCH(ROWS($AF$2:AF841),$AF$2:$AF$1001,0),0), INDEX($AM$1004:$BM$1004,1,MATCH(COLUMNS($AM$1006:AZ1006),$AM$1006:$BM$1006,0)))),"Fix")))</f>
        <v xml:space="preserve"> </v>
      </c>
      <c r="P841" s="4" t="str">
        <f ca="1">IF(OR(INDEX($AG$2:$AG$1001,MATCH(ROWS($AF$2:AF841),$AF$2:$AF$1001,0),1)&gt;=100000,INDEX($AM$1005:$BM$1005,1,MATCH(COLUMNS($AM$1006:BA1006),$AM$1006:$BM$1006,0))&gt;=100000), " ",IF(INDEX($AM$2:$BM$1001,MATCH(ROWS($AF$2:AF841),$AF$2:$AF$1001,0),MATCH(COLUMNS($AM$1006:BA1006),$AM$1006:$BM$1006,0)), HYPERLINK("#",""), HYPERLINK(CONCATENATE("#metadata!", ADDRESS(INDEX($AH$2:$AH$1001,MATCH(ROWS($AF$2:AF841),$AF$2:$AF$1001,0),0), INDEX($AM$1004:$BM$1004,1,MATCH(COLUMNS($AM$1006:BA1006),$AM$1006:$BM$1006,0)))),"Fix")))</f>
        <v xml:space="preserve"> </v>
      </c>
      <c r="Q841" s="4" t="str">
        <f ca="1">IF(OR(INDEX($AG$2:$AG$1001,MATCH(ROWS($AF$2:AF841),$AF$2:$AF$1001,0),1)&gt;=100000,INDEX($AM$1005:$BM$1005,1,MATCH(COLUMNS($AM$1006:BB1006),$AM$1006:$BM$1006,0))&gt;=100000), " ",IF(INDEX($AM$2:$BM$1001,MATCH(ROWS($AF$2:AF841),$AF$2:$AF$1001,0),MATCH(COLUMNS($AM$1006:BB1006),$AM$1006:$BM$1006,0)), HYPERLINK("#",""), HYPERLINK(CONCATENATE("#metadata!", ADDRESS(INDEX($AH$2:$AH$1001,MATCH(ROWS($AF$2:AF841),$AF$2:$AF$1001,0),0), INDEX($AM$1004:$BM$1004,1,MATCH(COLUMNS($AM$1006:BB1006),$AM$1006:$BM$1006,0)))),"Fix")))</f>
        <v xml:space="preserve"> </v>
      </c>
      <c r="R841" s="4" t="str">
        <f ca="1">IF(OR(INDEX($AG$2:$AG$1001,MATCH(ROWS($AF$2:AF841),$AF$2:$AF$1001,0),1)&gt;=100000,INDEX($AM$1005:$BM$1005,1,MATCH(COLUMNS($AM$1006:BC1006),$AM$1006:$BM$1006,0))&gt;=100000), " ",IF(INDEX($AM$2:$BM$1001,MATCH(ROWS($AF$2:AF841),$AF$2:$AF$1001,0),MATCH(COLUMNS($AM$1006:BC1006),$AM$1006:$BM$1006,0)), HYPERLINK("#",""), HYPERLINK(CONCATENATE("#metadata!", ADDRESS(INDEX($AH$2:$AH$1001,MATCH(ROWS($AF$2:AF841),$AF$2:$AF$1001,0),0), INDEX($AM$1004:$BM$1004,1,MATCH(COLUMNS($AM$1006:BC1006),$AM$1006:$BM$1006,0)))),"Fix")))</f>
        <v xml:space="preserve"> </v>
      </c>
      <c r="S841" s="4" t="str">
        <f ca="1">IF(OR(INDEX($AG$2:$AG$1001,MATCH(ROWS($AF$2:AF841),$AF$2:$AF$1001,0),1)&gt;=100000,INDEX($AM$1005:$BM$1005,1,MATCH(COLUMNS($AM$1006:BD1006),$AM$1006:$BM$1006,0))&gt;=100000), " ",IF(INDEX($AM$2:$BM$1001,MATCH(ROWS($AF$2:AF841),$AF$2:$AF$1001,0),MATCH(COLUMNS($AM$1006:BD1006),$AM$1006:$BM$1006,0)), HYPERLINK("#",""), HYPERLINK(CONCATENATE("#metadata!", ADDRESS(INDEX($AH$2:$AH$1001,MATCH(ROWS($AF$2:AF841),$AF$2:$AF$1001,0),0), INDEX($AM$1004:$BM$1004,1,MATCH(COLUMNS($AM$1006:BD1006),$AM$1006:$BM$1006,0)))),"Fix")))</f>
        <v xml:space="preserve"> </v>
      </c>
      <c r="T841" s="4" t="str">
        <f ca="1">IF(OR(INDEX($AG$2:$AG$1001,MATCH(ROWS($AF$2:AF841),$AF$2:$AF$1001,0),1)&gt;=100000,INDEX($AM$1005:$BM$1005,1,MATCH(COLUMNS($AM$1006:BE1006),$AM$1006:$BM$1006,0))&gt;=100000), " ",IF(INDEX($AM$2:$BM$1001,MATCH(ROWS($AF$2:AF841),$AF$2:$AF$1001,0),MATCH(COLUMNS($AM$1006:BE1006),$AM$1006:$BM$1006,0)), HYPERLINK("#",""), HYPERLINK(CONCATENATE("#metadata!", ADDRESS(INDEX($AH$2:$AH$1001,MATCH(ROWS($AF$2:AF841),$AF$2:$AF$1001,0),0), INDEX($AM$1004:$BM$1004,1,MATCH(COLUMNS($AM$1006:BE1006),$AM$1006:$BM$1006,0)))),"Fix")))</f>
        <v xml:space="preserve"> </v>
      </c>
      <c r="U841" s="4" t="str">
        <f ca="1">IF(OR(INDEX($AG$2:$AG$1001,MATCH(ROWS($AF$2:AF841),$AF$2:$AF$1001,0),1)&gt;=100000,INDEX($AM$1005:$BM$1005,1,MATCH(COLUMNS($AM$1006:BF1006),$AM$1006:$BM$1006,0))&gt;=100000), " ",IF(INDEX($AM$2:$BM$1001,MATCH(ROWS($AF$2:AF841),$AF$2:$AF$1001,0),MATCH(COLUMNS($AM$1006:BF1006),$AM$1006:$BM$1006,0)), HYPERLINK("#",""), HYPERLINK(CONCATENATE("#metadata!", ADDRESS(INDEX($AH$2:$AH$1001,MATCH(ROWS($AF$2:AF841),$AF$2:$AF$1001,0),0), INDEX($AM$1004:$BM$1004,1,MATCH(COLUMNS($AM$1006:BF1006),$AM$1006:$BM$1006,0)))),"Fix")))</f>
        <v xml:space="preserve"> </v>
      </c>
      <c r="V841" s="4" t="str">
        <f ca="1">IF(OR(INDEX($AG$2:$AG$1001,MATCH(ROWS($AF$2:AF841),$AF$2:$AF$1001,0),1)&gt;=100000,INDEX($AM$1005:$BM$1005,1,MATCH(COLUMNS($AM$1006:BG1006),$AM$1006:$BM$1006,0))&gt;=100000), " ",IF(INDEX($AM$2:$BM$1001,MATCH(ROWS($AF$2:AF841),$AF$2:$AF$1001,0),MATCH(COLUMNS($AM$1006:BG1006),$AM$1006:$BM$1006,0)), HYPERLINK("#",""), HYPERLINK(CONCATENATE("#metadata!", ADDRESS(INDEX($AH$2:$AH$1001,MATCH(ROWS($AF$2:AF841),$AF$2:$AF$1001,0),0), INDEX($AM$1004:$BM$1004,1,MATCH(COLUMNS($AM$1006:BG1006),$AM$1006:$BM$1006,0)))),"Fix")))</f>
        <v xml:space="preserve"> </v>
      </c>
      <c r="W841" s="4" t="str">
        <f ca="1">IF(OR(INDEX($AG$2:$AG$1001,MATCH(ROWS($AF$2:AF841),$AF$2:$AF$1001,0),1)&gt;=100000,INDEX($AM$1005:$BM$1005,1,MATCH(COLUMNS($AM$1006:BH1006),$AM$1006:$BM$1006,0))&gt;=100000), " ",IF(INDEX($AM$2:$BM$1001,MATCH(ROWS($AF$2:AF841),$AF$2:$AF$1001,0),MATCH(COLUMNS($AM$1006:BH1006),$AM$1006:$BM$1006,0)), HYPERLINK("#",""), HYPERLINK(CONCATENATE("#metadata!", ADDRESS(INDEX($AH$2:$AH$1001,MATCH(ROWS($AF$2:AF841),$AF$2:$AF$1001,0),0), INDEX($AM$1004:$BM$1004,1,MATCH(COLUMNS($AM$1006:BH1006),$AM$1006:$BM$1006,0)))),"Fix")))</f>
        <v xml:space="preserve"> </v>
      </c>
      <c r="X841" s="4" t="str">
        <f ca="1">IF(OR(INDEX($AG$2:$AG$1001,MATCH(ROWS($AF$2:AF841),$AF$2:$AF$1001,0),1)&gt;=100000,INDEX($AM$1005:$BM$1005,1,MATCH(COLUMNS($AM$1006:BI1006),$AM$1006:$BM$1006,0))&gt;=100000), " ",IF(INDEX($AM$2:$BM$1001,MATCH(ROWS($AF$2:AF841),$AF$2:$AF$1001,0),MATCH(COLUMNS($AM$1006:BI1006),$AM$1006:$BM$1006,0)), HYPERLINK("#",""), HYPERLINK(CONCATENATE("#metadata!", ADDRESS(INDEX($AH$2:$AH$1001,MATCH(ROWS($AF$2:AF841),$AF$2:$AF$1001,0),0), INDEX($AM$1004:$BM$1004,1,MATCH(COLUMNS($AM$1006:BI1006),$AM$1006:$BM$1006,0)))),"Fix")))</f>
        <v xml:space="preserve"> </v>
      </c>
      <c r="Y841" s="4" t="str">
        <f ca="1">IF(OR(INDEX($AG$2:$AG$1001,MATCH(ROWS($AF$2:AF841),$AF$2:$AF$1001,0),1)&gt;=100000,INDEX($AM$1005:$BM$1005,1,MATCH(COLUMNS($AM$1006:BJ1006),$AM$1006:$BM$1006,0))&gt;=100000), " ",IF(INDEX($AM$2:$BM$1001,MATCH(ROWS($AF$2:AF841),$AF$2:$AF$1001,0),MATCH(COLUMNS($AM$1006:BJ1006),$AM$1006:$BM$1006,0)), HYPERLINK("#",""), HYPERLINK(CONCATENATE("#metadata!", ADDRESS(INDEX($AH$2:$AH$1001,MATCH(ROWS($AF$2:AF841),$AF$2:$AF$1001,0),0), INDEX($AM$1004:$BM$1004,1,MATCH(COLUMNS($AM$1006:BJ1006),$AM$1006:$BM$1006,0)))),"Fix")))</f>
        <v xml:space="preserve"> </v>
      </c>
      <c r="Z841" s="4" t="str">
        <f ca="1">IF(OR(INDEX($AG$2:$AG$1001,MATCH(ROWS($AF$2:AF841),$AF$2:$AF$1001,0),1)&gt;=100000,INDEX($AM$1005:$BM$1005,1,MATCH(COLUMNS($AM$1006:BK1006),$AM$1006:$BM$1006,0))&gt;=100000), " ",IF(INDEX($AM$2:$BM$1001,MATCH(ROWS($AF$2:AF841),$AF$2:$AF$1001,0),MATCH(COLUMNS($AM$1006:BK1006),$AM$1006:$BM$1006,0)), HYPERLINK("#",""), HYPERLINK(CONCATENATE("#metadata!", ADDRESS(INDEX($AH$2:$AH$1001,MATCH(ROWS($AF$2:AF841),$AF$2:$AF$1001,0),0), INDEX($AM$1004:$BM$1004,1,MATCH(COLUMNS($AM$1006:BK1006),$AM$1006:$BM$1006,0)))),"Fix")))</f>
        <v xml:space="preserve"> </v>
      </c>
      <c r="AA841" s="4" t="str">
        <f ca="1">IF(OR(INDEX($AG$2:$AG$1001,MATCH(ROWS($AF$2:AF841),$AF$2:$AF$1001,0),1)&gt;=100000,INDEX($AM$1005:$BM$1005,1,MATCH(COLUMNS($AM$1006:BL1006),$AM$1006:$BM$1006,0))&gt;=100000), " ",IF(INDEX($AM$2:$BM$1001,MATCH(ROWS($AF$2:AF841),$AF$2:$AF$1001,0),MATCH(COLUMNS($AM$1006:BL1006),$AM$1006:$BM$1006,0)), HYPERLINK("#",""), HYPERLINK(CONCATENATE("#metadata!", ADDRESS(INDEX($AH$2:$AH$1001,MATCH(ROWS($AF$2:AF841),$AF$2:$AF$1001,0),0), INDEX($AM$1004:$BM$1004,1,MATCH(COLUMNS($AM$1006:BL1006),$AM$1006:$BM$1006,0)))),"Fix")))</f>
        <v xml:space="preserve"> </v>
      </c>
      <c r="AB841" s="4" t="str">
        <f ca="1">IF(OR(INDEX($AG$2:$AG$1001,MATCH(ROWS($AF$2:AF841),$AF$2:$AF$1001,0),1)&gt;=100000,INDEX($AM$1005:$BM$1005,1,MATCH(COLUMNS($AM$1006:BM1006),$AM$1006:$BM$1006,0))&gt;=100000), " ",IF(INDEX($AM$2:$BM$1001,MATCH(ROWS($AF$2:AF841),$AF$2:$AF$1001,0),MATCH(COLUMNS($AM$1006:BM1006),$AM$1006:$BM$1006,0)), HYPERLINK("#",""), HYPERLINK(CONCATENATE("#metadata!", ADDRESS(INDEX($AH$2:$AH$1001,MATCH(ROWS($AF$2:AF841),$AF$2:$AF$1001,0),0), INDEX($AM$1004:$BM$1004,1,MATCH(COLUMNS($AM$1006:BM1006),$AM$1006:$BM$1006,0)))),"Fix")))</f>
        <v xml:space="preserve"> </v>
      </c>
      <c r="AF841">
        <v>840</v>
      </c>
      <c r="AG841">
        <v>100841</v>
      </c>
      <c r="AH841">
        <v>841</v>
      </c>
      <c r="AI841" t="b">
        <f t="shared" si="13"/>
        <v>1</v>
      </c>
      <c r="AJ841" t="b">
        <f>COUNTBLANK(metadata!B841:AB841)=COLUMNS(metadata!B841:AB841)</f>
        <v>1</v>
      </c>
      <c r="AK841" t="str">
        <v/>
      </c>
      <c r="AM841" t="b">
        <f ca="1">AND(IF(metadata!B841="",FALSE,TRUE),COUNTIF(metadata!B:B, metadata!B841) = 1,NOT(ISERROR(SUMPRODUCT(SEARCH(MID(metadata!B841,ROW(INDIRECT("1:"&amp;LEN(metadata!B841))), 1),"0123456789abcdefghijklmnopqrstuvwxyzABCDEFGHIJKLMNOPQRSTUVWXYZ.")))))</f>
        <v>0</v>
      </c>
      <c r="AN841" t="b">
        <f ca="1">OR(AND(IF(metadata!C841="",FALSE,TRUE),OR(EXACT(metadata!C841,"missing: not collected"),EXACT(metadata!C841,"missing: not provided"),EXACT(metadata!C841,"missing: restricted access"))),AND(IF(metadata!C841="",FALSE,TRUE),AND(AND(IFERROR(INT(LEFT(metadata!C841,4))&gt;1900,FALSE),IFERROR(INT(LEFT(metadata!C841,4))&lt;=YEAR(NOW()),FALSE)), OR(MID(metadata!C841,5,1)="", AND(AND(MID(metadata!C841,5,1)="-",IFERROR(INT(MID(metadata!C841,6,1))&gt;=0,FALSE),IFERROR(INT(MID(metadata!C841,6,1))&lt;=1,FALSE),NOT(MID(metadata!C841,7,1)=""),IFERROR(INT(MID(metadata!C841,6,2))&gt;=1,FALSE),IFERROR(INT(MID(metadata!C841,6,2))&lt;=12,FALSE)), OR(MID(metadata!C841,8,1)="", AND(AND(MID(metadata!C841,8,1)="-",IFERROR(INT(MID(metadata!C841,9,1))&gt;=0,FALSE),IFERROR(INT(MID(metadata!C841,9,1))&lt;=3,FALSE),NOT(MID(metadata!C841,10,1)=""),IFERROR(INT(MID(metadata!C841,9,2))&gt;=1,FALSE),IFERROR(INT(MID(metadata!C841,9,2))&lt;=31,FALSE)), OR(MID(metadata!C841,11,1)="", AND(AND(MID(metadata!C841,11,1)=" ",IFERROR(INT(MID(metadata!C841,12,1))&gt;=0,FALSE),IFERROR(INT(MID(metadata!C841,12,1))&lt;=2,FALSE),NOT(MID(metadata!C841,13,1)=""),IFERROR(INT(MID(metadata!C841,12,2))&gt;=0,FALSE),IFERROR(INT(MID(metadata!C841,12,2))&lt;=23,FALSE)), OR(MID(metadata!C841,14,1)="", AND(AND(MID(metadata!C841,14,1)=":",IFERROR(INT(MID(metadata!C841,15,1))&gt;=0,FALSE),IFERROR(INT(MID(metadata!C841,15,1))&lt;=5,FALSE),NOT(MID(metadata!C841,16,1)=""),IFERROR(INT(MID(metadata!C841,15,2))&gt;=0,FALSE),IFERROR(INT(MID(metadata!C841,15,2))&lt;=59,FALSE)), OR(MID(metadata!C841,17,1)="", AND(AND(MID(metadata!C841,17,1)=":",IFERROR(INT(MID(metadata!C841,18,1))&gt;=0,FALSE),IFERROR(INT(MID(metadata!C841,18,1))&lt;=5,FALSE),NOT(MID(metadata!C841,19,1)=""),IFERROR(INT(MID(metadata!C841,18,2))&gt;=0,FALSE),IFERROR(INT(MID(metadata!C841,18,2))&lt;=59,FALSE)), LEN(metadata!C841)&lt;=19)))))))))))))</f>
        <v>0</v>
      </c>
      <c r="AO841" t="b">
        <f>AND(IF(metadata!D841="",FALSE,TRUE),EXACT(metadata!D841,"Not applicable"))</f>
        <v>0</v>
      </c>
      <c r="AP841" t="b">
        <f>IF(metadata!E841="",FALSE,TRUE)</f>
        <v>0</v>
      </c>
      <c r="AQ841" t="b">
        <f>OR(AND(IF(metadata!F841="",FALSE,TRUE),OR(EXACT(metadata!F841,"missing: not collected"),EXACT(metadata!F841,"missing: not provided"))),AND(IF(metadata!F841="",FALSE,TRUE),OR(EXACT(metadata!F841,"TRUE"),EXACT(metadata!F841,"FALSE"))))</f>
        <v>0</v>
      </c>
      <c r="AR841" t="b">
        <f>OR(AND(IF(metadata!G841="",FALSE,TRUE),OR(EXACT(metadata!G841,"missing: not collected"),EXACT(metadata!G841,"missing: not provided"),EXACT(metadata!G841,"missing: restricted access"))),AND(IF(metadata!G841="",FALSE,ISNUMBER(VALUE(metadata!G841))),metadata!G841&gt;=-413))</f>
        <v>0</v>
      </c>
      <c r="AS841" t="b">
        <f>AND(IF(metadata!H841="",FALSE,TRUE),EXACT(metadata!H841,"meters"))</f>
        <v>0</v>
      </c>
      <c r="AT841" t="b">
        <f>AND(IF(metadata!I841="",FALSE,TRUE),OR(EXACT(metadata!I841,"Host-associated"),EXACT(metadata!I841,"Free-living")))</f>
        <v>0</v>
      </c>
      <c r="AU841" t="b">
        <f>AND(IF(metadata!J841="",FALSE,TRUE),OR(EXACT(metadata!J841,"Animal"),EXACT(metadata!J841,"Fungus"),EXACT(metadata!J841,"Plant"),EXACT(metadata!J841,"Saline"),EXACT(metadata!J841,"Non-saline")))</f>
        <v>0</v>
      </c>
      <c r="AV841" t="b">
        <f>AND(IF(metadata!K841="",FALSE,TRUE),OR(EXACT(metadata!K841,"Plant secretion"),EXACT(metadata!K841,"Plant rhizosphere"),EXACT(metadata!K841,"Plant surface"),EXACT(metadata!K841,"Plant corpus"),EXACT(metadata!K841,"Fungus surface"),EXACT(metadata!K841,"Fungus corpus"),EXACT(metadata!K841,"Animal surface"),EXACT(metadata!K841,"Animal proximal gut"),EXACT(metadata!K841,"Animal corpus"),EXACT(metadata!K841,"Animal distal gut"),EXACT(metadata!K841,"Animal secretion"),EXACT(metadata!K841,"Sub-surface (non-saline)"),EXACT(metadata!K841,"Surface (non-saline)"),EXACT(metadata!K841,"Water (non-saline)"),EXACT(metadata!K841,"Soil (non-saline)"),EXACT(metadata!K841,"Aerosol (non-saline)"),EXACT(metadata!K841,"Sediment (non-saline)"),EXACT(metadata!K841,"Surface (saline)"),EXACT(metadata!K841,"Water (saline)"),EXACT(metadata!K841,"Hypersaline (saline)"),EXACT(metadata!K841,"Aerosol (saline)"),EXACT(metadata!K841,"Sediment (saline)")))</f>
        <v>0</v>
      </c>
      <c r="AW841" t="b">
        <f>IF(metadata!L841="",FALSE,TRUE)</f>
        <v>0</v>
      </c>
      <c r="AX841" t="b">
        <f>IF(metadata!M841="",FALSE,TRUE)</f>
        <v>0</v>
      </c>
      <c r="AY841" t="b">
        <f>IF(metadata!N841="",FALSE,TRUE)</f>
        <v>0</v>
      </c>
      <c r="AZ841" t="b">
        <f>OR(AND(IF(metadata!O841="",FALSE,TRUE),OR(EXACT(metadata!O841,"missing: not collected"),EXACT(metadata!O841,"missing: not provided"),EXACT(metadata!O841,"missing: restricted access"))),AND(IF(metadata!O841="",FALSE,TRUE),OR(EXACT(metadata!O841,"air"),EXACT(metadata!O841,"built environment"),EXACT(metadata!O841,"host-associated"),EXACT(metadata!O841,"human-associated"),EXACT(metadata!O841,"human-skin"),EXACT(metadata!O841,"human-oral"),EXACT(metadata!O841,"human-gut"),EXACT(metadata!O841,"human-vaginal"),EXACT(metadata!O841,"microbial mat/biofilm"),EXACT(metadata!O841,"misc environment"),EXACT(metadata!O841,"plant-associated"),EXACT(metadata!O841,"sediment"),EXACT(metadata!O841,"soil"),EXACT(metadata!O841,"wastewater/sludge"),EXACT(metadata!O841,"water"))))</f>
        <v>0</v>
      </c>
      <c r="BA841" t="b">
        <f>IF(metadata!P841="",FALSE,TRUE)</f>
        <v>0</v>
      </c>
      <c r="BB841" t="b">
        <f>IF(metadata!Q841="",FALSE,TRUE)</f>
        <v>0</v>
      </c>
      <c r="BC841" t="b">
        <f>OR(AND(IF(metadata!R841="",FALSE,TRUE),OR(EXACT(metadata!R841,"missing: not collected"),EXACT(metadata!R841,"missing: not provided"),EXACT(metadata!R841,"missing: restricted access"))),AND(IF(metadata!R841="",FALSE,ISNUMBER(VALUE(metadata!R841))),metadata!R841&gt;=-90,metadata!R841&lt;=90))</f>
        <v>0</v>
      </c>
      <c r="BD841" t="b">
        <f>AND(IF(metadata!S841="",FALSE,TRUE),EXACT(metadata!S841,"Decimal degrees"))</f>
        <v>0</v>
      </c>
      <c r="BE841" t="b">
        <f>OR(AND(IF(metadata!T841="",FALSE,TRUE),OR(EXACT(metadata!T841,"missing: not collected"),EXACT(metadata!T841,"missing: not provided"),EXACT(metadata!T841,"missing: restricted access"))),AND(IF(metadata!T841="",FALSE,ISNUMBER(VALUE(metadata!T841))),metadata!T841&gt;=-180,metadata!T841&lt;=180))</f>
        <v>0</v>
      </c>
      <c r="BF841" t="b">
        <f>AND(IF(metadata!U841="",FALSE,TRUE),EXACT(metadata!U841,"Decimal degrees"))</f>
        <v>0</v>
      </c>
      <c r="BG841" t="b">
        <f>IF(metadata!V841="",FALSE,TRUE)</f>
        <v>0</v>
      </c>
      <c r="BH841" t="b">
        <f>OR(AND(IF(metadata!W841="",FALSE,TRUE),OR(EXACT(metadata!W841,"missing: not collected"),EXACT(metadata!W841,"missing: not provided"),EXACT(metadata!W841,"missing: restricted access"))),AND(IF(metadata!W841="",FALSE,TRUE),OR(EXACT(metadata!W841,"TRUE"),EXACT(metadata!W841,"FALSE"))))</f>
        <v>0</v>
      </c>
      <c r="BI841" t="b">
        <f>AND(IF(metadata!X841="",FALSE,TRUE),EXACT(metadata!X841,"other"))</f>
        <v>0</v>
      </c>
      <c r="BJ841" t="b">
        <f>IF(metadata!Y841="",FALSE,TRUE)</f>
        <v>0</v>
      </c>
      <c r="BK841" t="b">
        <f>OR(AND(IF(metadata!Z841="",FALSE,TRUE),OR(EXACT(metadata!Z841,"missing: not collected"),EXACT(metadata!Z841,"missing: not provided"))),AND(IF(metadata!Z841="",FALSE,IF(ISERROR(INT(metadata!Z841)),FALSE,INT(metadata!Z841)=metadata!Z841)),metadata!Z841&gt;0))</f>
        <v>0</v>
      </c>
      <c r="BL841" t="b">
        <f>AND(IF(metadata!AA841="",FALSE,TRUE),EXACT(metadata!AA841,"Not applicable"))</f>
        <v>0</v>
      </c>
      <c r="BM841" t="b">
        <f>IF(metadata!AB841="",FALSE,TRUE)</f>
        <v>0</v>
      </c>
    </row>
    <row r="842" spans="1:65" x14ac:dyDescent="0.2">
      <c r="A842" s="5" t="str">
        <f ca="1">IF(B842=" "," ",HYPERLINK(CONCATENATE("#metadata!",ADDRESS(INDEX($AH$2:$AH$1001,MATCH(ROWS($AF$2:AF842),$AF$2:$AF$1001,0),0),1)),INDEX($AK$2:$AK$1001,MATCH(ROWS($AF$2:AF842),$AF$2:$AF$1001,0),0)))</f>
        <v xml:space="preserve"> </v>
      </c>
      <c r="B842" s="4" t="str">
        <f ca="1">IF(OR(INDEX($AG$2:$AG$1001,MATCH(ROWS($AF$2:AF842),$AF$2:$AF$1001,0),1)&gt;=100000,INDEX($AM$1005:$BM$1005,1,MATCH(COLUMNS($AM$1006:AM1006),$AM$1006:$BM$1006,0))&gt;=100000), " ",IF(INDEX($AM$2:$BM$1001,MATCH(ROWS($AF$2:AF842),$AF$2:$AF$1001,0),MATCH(COLUMNS($AM$1006:AM1006),$AM$1006:$BM$1006,0)), HYPERLINK("#",""), HYPERLINK(CONCATENATE("#metadata!", ADDRESS(INDEX($AH$2:$AH$1001,MATCH(ROWS($AF$2:AF842),$AF$2:$AF$1001,0),0), INDEX($AM$1004:$BM$1004,1,MATCH(COLUMNS($AM$1006:AM1006),$AM$1006:$BM$1006,0)))),"Fix")))</f>
        <v xml:space="preserve"> </v>
      </c>
      <c r="C842" s="4" t="str">
        <f ca="1">IF(OR(INDEX($AG$2:$AG$1001,MATCH(ROWS($AF$2:AF842),$AF$2:$AF$1001,0),1)&gt;=100000,INDEX($AM$1005:$BM$1005,1,MATCH(COLUMNS($AM$1006:AN1006),$AM$1006:$BM$1006,0))&gt;=100000), " ",IF(INDEX($AM$2:$BM$1001,MATCH(ROWS($AF$2:AF842),$AF$2:$AF$1001,0),MATCH(COLUMNS($AM$1006:AN1006),$AM$1006:$BM$1006,0)), HYPERLINK("#",""), HYPERLINK(CONCATENATE("#metadata!", ADDRESS(INDEX($AH$2:$AH$1001,MATCH(ROWS($AF$2:AF842),$AF$2:$AF$1001,0),0), INDEX($AM$1004:$BM$1004,1,MATCH(COLUMNS($AM$1006:AN1006),$AM$1006:$BM$1006,0)))),"Fix")))</f>
        <v xml:space="preserve"> </v>
      </c>
      <c r="D842" s="4" t="str">
        <f ca="1">IF(OR(INDEX($AG$2:$AG$1001,MATCH(ROWS($AF$2:AF842),$AF$2:$AF$1001,0),1)&gt;=100000,INDEX($AM$1005:$BM$1005,1,MATCH(COLUMNS($AM$1006:AO1006),$AM$1006:$BM$1006,0))&gt;=100000), " ",IF(INDEX($AM$2:$BM$1001,MATCH(ROWS($AF$2:AF842),$AF$2:$AF$1001,0),MATCH(COLUMNS($AM$1006:AO1006),$AM$1006:$BM$1006,0)), HYPERLINK("#",""), HYPERLINK(CONCATENATE("#metadata!", ADDRESS(INDEX($AH$2:$AH$1001,MATCH(ROWS($AF$2:AF842),$AF$2:$AF$1001,0),0), INDEX($AM$1004:$BM$1004,1,MATCH(COLUMNS($AM$1006:AO1006),$AM$1006:$BM$1006,0)))),"Fix")))</f>
        <v xml:space="preserve"> </v>
      </c>
      <c r="E842" s="4" t="str">
        <f ca="1">IF(OR(INDEX($AG$2:$AG$1001,MATCH(ROWS($AF$2:AF842),$AF$2:$AF$1001,0),1)&gt;=100000,INDEX($AM$1005:$BM$1005,1,MATCH(COLUMNS($AM$1006:AP1006),$AM$1006:$BM$1006,0))&gt;=100000), " ",IF(INDEX($AM$2:$BM$1001,MATCH(ROWS($AF$2:AF842),$AF$2:$AF$1001,0),MATCH(COLUMNS($AM$1006:AP1006),$AM$1006:$BM$1006,0)), HYPERLINK("#",""), HYPERLINK(CONCATENATE("#metadata!", ADDRESS(INDEX($AH$2:$AH$1001,MATCH(ROWS($AF$2:AF842),$AF$2:$AF$1001,0),0), INDEX($AM$1004:$BM$1004,1,MATCH(COLUMNS($AM$1006:AP1006),$AM$1006:$BM$1006,0)))),"Fix")))</f>
        <v xml:space="preserve"> </v>
      </c>
      <c r="F842" s="4" t="str">
        <f ca="1">IF(OR(INDEX($AG$2:$AG$1001,MATCH(ROWS($AF$2:AF842),$AF$2:$AF$1001,0),1)&gt;=100000,INDEX($AM$1005:$BM$1005,1,MATCH(COLUMNS($AM$1006:AQ1006),$AM$1006:$BM$1006,0))&gt;=100000), " ",IF(INDEX($AM$2:$BM$1001,MATCH(ROWS($AF$2:AF842),$AF$2:$AF$1001,0),MATCH(COLUMNS($AM$1006:AQ1006),$AM$1006:$BM$1006,0)), HYPERLINK("#",""), HYPERLINK(CONCATENATE("#metadata!", ADDRESS(INDEX($AH$2:$AH$1001,MATCH(ROWS($AF$2:AF842),$AF$2:$AF$1001,0),0), INDEX($AM$1004:$BM$1004,1,MATCH(COLUMNS($AM$1006:AQ1006),$AM$1006:$BM$1006,0)))),"Fix")))</f>
        <v xml:space="preserve"> </v>
      </c>
      <c r="G842" s="4" t="str">
        <f ca="1">IF(OR(INDEX($AG$2:$AG$1001,MATCH(ROWS($AF$2:AF842),$AF$2:$AF$1001,0),1)&gt;=100000,INDEX($AM$1005:$BM$1005,1,MATCH(COLUMNS($AM$1006:AR1006),$AM$1006:$BM$1006,0))&gt;=100000), " ",IF(INDEX($AM$2:$BM$1001,MATCH(ROWS($AF$2:AF842),$AF$2:$AF$1001,0),MATCH(COLUMNS($AM$1006:AR1006),$AM$1006:$BM$1006,0)), HYPERLINK("#",""), HYPERLINK(CONCATENATE("#metadata!", ADDRESS(INDEX($AH$2:$AH$1001,MATCH(ROWS($AF$2:AF842),$AF$2:$AF$1001,0),0), INDEX($AM$1004:$BM$1004,1,MATCH(COLUMNS($AM$1006:AR1006),$AM$1006:$BM$1006,0)))),"Fix")))</f>
        <v xml:space="preserve"> </v>
      </c>
      <c r="H842" s="4" t="str">
        <f ca="1">IF(OR(INDEX($AG$2:$AG$1001,MATCH(ROWS($AF$2:AF842),$AF$2:$AF$1001,0),1)&gt;=100000,INDEX($AM$1005:$BM$1005,1,MATCH(COLUMNS($AM$1006:AS1006),$AM$1006:$BM$1006,0))&gt;=100000), " ",IF(INDEX($AM$2:$BM$1001,MATCH(ROWS($AF$2:AF842),$AF$2:$AF$1001,0),MATCH(COLUMNS($AM$1006:AS1006),$AM$1006:$BM$1006,0)), HYPERLINK("#",""), HYPERLINK(CONCATENATE("#metadata!", ADDRESS(INDEX($AH$2:$AH$1001,MATCH(ROWS($AF$2:AF842),$AF$2:$AF$1001,0),0), INDEX($AM$1004:$BM$1004,1,MATCH(COLUMNS($AM$1006:AS1006),$AM$1006:$BM$1006,0)))),"Fix")))</f>
        <v xml:space="preserve"> </v>
      </c>
      <c r="I842" s="4" t="str">
        <f ca="1">IF(OR(INDEX($AG$2:$AG$1001,MATCH(ROWS($AF$2:AF842),$AF$2:$AF$1001,0),1)&gt;=100000,INDEX($AM$1005:$BM$1005,1,MATCH(COLUMNS($AM$1006:AT1006),$AM$1006:$BM$1006,0))&gt;=100000), " ",IF(INDEX($AM$2:$BM$1001,MATCH(ROWS($AF$2:AF842),$AF$2:$AF$1001,0),MATCH(COLUMNS($AM$1006:AT1006),$AM$1006:$BM$1006,0)), HYPERLINK("#",""), HYPERLINK(CONCATENATE("#metadata!", ADDRESS(INDEX($AH$2:$AH$1001,MATCH(ROWS($AF$2:AF842),$AF$2:$AF$1001,0),0), INDEX($AM$1004:$BM$1004,1,MATCH(COLUMNS($AM$1006:AT1006),$AM$1006:$BM$1006,0)))),"Fix")))</f>
        <v xml:space="preserve"> </v>
      </c>
      <c r="J842" s="4" t="str">
        <f ca="1">IF(OR(INDEX($AG$2:$AG$1001,MATCH(ROWS($AF$2:AF842),$AF$2:$AF$1001,0),1)&gt;=100000,INDEX($AM$1005:$BM$1005,1,MATCH(COLUMNS($AM$1006:AU1006),$AM$1006:$BM$1006,0))&gt;=100000), " ",IF(INDEX($AM$2:$BM$1001,MATCH(ROWS($AF$2:AF842),$AF$2:$AF$1001,0),MATCH(COLUMNS($AM$1006:AU1006),$AM$1006:$BM$1006,0)), HYPERLINK("#",""), HYPERLINK(CONCATENATE("#metadata!", ADDRESS(INDEX($AH$2:$AH$1001,MATCH(ROWS($AF$2:AF842),$AF$2:$AF$1001,0),0), INDEX($AM$1004:$BM$1004,1,MATCH(COLUMNS($AM$1006:AU1006),$AM$1006:$BM$1006,0)))),"Fix")))</f>
        <v xml:space="preserve"> </v>
      </c>
      <c r="K842" s="4" t="str">
        <f ca="1">IF(OR(INDEX($AG$2:$AG$1001,MATCH(ROWS($AF$2:AF842),$AF$2:$AF$1001,0),1)&gt;=100000,INDEX($AM$1005:$BM$1005,1,MATCH(COLUMNS($AM$1006:AV1006),$AM$1006:$BM$1006,0))&gt;=100000), " ",IF(INDEX($AM$2:$BM$1001,MATCH(ROWS($AF$2:AF842),$AF$2:$AF$1001,0),MATCH(COLUMNS($AM$1006:AV1006),$AM$1006:$BM$1006,0)), HYPERLINK("#",""), HYPERLINK(CONCATENATE("#metadata!", ADDRESS(INDEX($AH$2:$AH$1001,MATCH(ROWS($AF$2:AF842),$AF$2:$AF$1001,0),0), INDEX($AM$1004:$BM$1004,1,MATCH(COLUMNS($AM$1006:AV1006),$AM$1006:$BM$1006,0)))),"Fix")))</f>
        <v xml:space="preserve"> </v>
      </c>
      <c r="L842" s="4" t="str">
        <f ca="1">IF(OR(INDEX($AG$2:$AG$1001,MATCH(ROWS($AF$2:AF842),$AF$2:$AF$1001,0),1)&gt;=100000,INDEX($AM$1005:$BM$1005,1,MATCH(COLUMNS($AM$1006:AW1006),$AM$1006:$BM$1006,0))&gt;=100000), " ",IF(INDEX($AM$2:$BM$1001,MATCH(ROWS($AF$2:AF842),$AF$2:$AF$1001,0),MATCH(COLUMNS($AM$1006:AW1006),$AM$1006:$BM$1006,0)), HYPERLINK("#",""), HYPERLINK(CONCATENATE("#metadata!", ADDRESS(INDEX($AH$2:$AH$1001,MATCH(ROWS($AF$2:AF842),$AF$2:$AF$1001,0),0), INDEX($AM$1004:$BM$1004,1,MATCH(COLUMNS($AM$1006:AW1006),$AM$1006:$BM$1006,0)))),"Fix")))</f>
        <v xml:space="preserve"> </v>
      </c>
      <c r="M842" s="4" t="str">
        <f ca="1">IF(OR(INDEX($AG$2:$AG$1001,MATCH(ROWS($AF$2:AF842),$AF$2:$AF$1001,0),1)&gt;=100000,INDEX($AM$1005:$BM$1005,1,MATCH(COLUMNS($AM$1006:AX1006),$AM$1006:$BM$1006,0))&gt;=100000), " ",IF(INDEX($AM$2:$BM$1001,MATCH(ROWS($AF$2:AF842),$AF$2:$AF$1001,0),MATCH(COLUMNS($AM$1006:AX1006),$AM$1006:$BM$1006,0)), HYPERLINK("#",""), HYPERLINK(CONCATENATE("#metadata!", ADDRESS(INDEX($AH$2:$AH$1001,MATCH(ROWS($AF$2:AF842),$AF$2:$AF$1001,0),0), INDEX($AM$1004:$BM$1004,1,MATCH(COLUMNS($AM$1006:AX1006),$AM$1006:$BM$1006,0)))),"Fix")))</f>
        <v xml:space="preserve"> </v>
      </c>
      <c r="N842" s="4" t="str">
        <f ca="1">IF(OR(INDEX($AG$2:$AG$1001,MATCH(ROWS($AF$2:AF842),$AF$2:$AF$1001,0),1)&gt;=100000,INDEX($AM$1005:$BM$1005,1,MATCH(COLUMNS($AM$1006:AY1006),$AM$1006:$BM$1006,0))&gt;=100000), " ",IF(INDEX($AM$2:$BM$1001,MATCH(ROWS($AF$2:AF842),$AF$2:$AF$1001,0),MATCH(COLUMNS($AM$1006:AY1006),$AM$1006:$BM$1006,0)), HYPERLINK("#",""), HYPERLINK(CONCATENATE("#metadata!", ADDRESS(INDEX($AH$2:$AH$1001,MATCH(ROWS($AF$2:AF842),$AF$2:$AF$1001,0),0), INDEX($AM$1004:$BM$1004,1,MATCH(COLUMNS($AM$1006:AY1006),$AM$1006:$BM$1006,0)))),"Fix")))</f>
        <v xml:space="preserve"> </v>
      </c>
      <c r="O842" s="4" t="str">
        <f ca="1">IF(OR(INDEX($AG$2:$AG$1001,MATCH(ROWS($AF$2:AF842),$AF$2:$AF$1001,0),1)&gt;=100000,INDEX($AM$1005:$BM$1005,1,MATCH(COLUMNS($AM$1006:AZ1006),$AM$1006:$BM$1006,0))&gt;=100000), " ",IF(INDEX($AM$2:$BM$1001,MATCH(ROWS($AF$2:AF842),$AF$2:$AF$1001,0),MATCH(COLUMNS($AM$1006:AZ1006),$AM$1006:$BM$1006,0)), HYPERLINK("#",""), HYPERLINK(CONCATENATE("#metadata!", ADDRESS(INDEX($AH$2:$AH$1001,MATCH(ROWS($AF$2:AF842),$AF$2:$AF$1001,0),0), INDEX($AM$1004:$BM$1004,1,MATCH(COLUMNS($AM$1006:AZ1006),$AM$1006:$BM$1006,0)))),"Fix")))</f>
        <v xml:space="preserve"> </v>
      </c>
      <c r="P842" s="4" t="str">
        <f ca="1">IF(OR(INDEX($AG$2:$AG$1001,MATCH(ROWS($AF$2:AF842),$AF$2:$AF$1001,0),1)&gt;=100000,INDEX($AM$1005:$BM$1005,1,MATCH(COLUMNS($AM$1006:BA1006),$AM$1006:$BM$1006,0))&gt;=100000), " ",IF(INDEX($AM$2:$BM$1001,MATCH(ROWS($AF$2:AF842),$AF$2:$AF$1001,0),MATCH(COLUMNS($AM$1006:BA1006),$AM$1006:$BM$1006,0)), HYPERLINK("#",""), HYPERLINK(CONCATENATE("#metadata!", ADDRESS(INDEX($AH$2:$AH$1001,MATCH(ROWS($AF$2:AF842),$AF$2:$AF$1001,0),0), INDEX($AM$1004:$BM$1004,1,MATCH(COLUMNS($AM$1006:BA1006),$AM$1006:$BM$1006,0)))),"Fix")))</f>
        <v xml:space="preserve"> </v>
      </c>
      <c r="Q842" s="4" t="str">
        <f ca="1">IF(OR(INDEX($AG$2:$AG$1001,MATCH(ROWS($AF$2:AF842),$AF$2:$AF$1001,0),1)&gt;=100000,INDEX($AM$1005:$BM$1005,1,MATCH(COLUMNS($AM$1006:BB1006),$AM$1006:$BM$1006,0))&gt;=100000), " ",IF(INDEX($AM$2:$BM$1001,MATCH(ROWS($AF$2:AF842),$AF$2:$AF$1001,0),MATCH(COLUMNS($AM$1006:BB1006),$AM$1006:$BM$1006,0)), HYPERLINK("#",""), HYPERLINK(CONCATENATE("#metadata!", ADDRESS(INDEX($AH$2:$AH$1001,MATCH(ROWS($AF$2:AF842),$AF$2:$AF$1001,0),0), INDEX($AM$1004:$BM$1004,1,MATCH(COLUMNS($AM$1006:BB1006),$AM$1006:$BM$1006,0)))),"Fix")))</f>
        <v xml:space="preserve"> </v>
      </c>
      <c r="R842" s="4" t="str">
        <f ca="1">IF(OR(INDEX($AG$2:$AG$1001,MATCH(ROWS($AF$2:AF842),$AF$2:$AF$1001,0),1)&gt;=100000,INDEX($AM$1005:$BM$1005,1,MATCH(COLUMNS($AM$1006:BC1006),$AM$1006:$BM$1006,0))&gt;=100000), " ",IF(INDEX($AM$2:$BM$1001,MATCH(ROWS($AF$2:AF842),$AF$2:$AF$1001,0),MATCH(COLUMNS($AM$1006:BC1006),$AM$1006:$BM$1006,0)), HYPERLINK("#",""), HYPERLINK(CONCATENATE("#metadata!", ADDRESS(INDEX($AH$2:$AH$1001,MATCH(ROWS($AF$2:AF842),$AF$2:$AF$1001,0),0), INDEX($AM$1004:$BM$1004,1,MATCH(COLUMNS($AM$1006:BC1006),$AM$1006:$BM$1006,0)))),"Fix")))</f>
        <v xml:space="preserve"> </v>
      </c>
      <c r="S842" s="4" t="str">
        <f ca="1">IF(OR(INDEX($AG$2:$AG$1001,MATCH(ROWS($AF$2:AF842),$AF$2:$AF$1001,0),1)&gt;=100000,INDEX($AM$1005:$BM$1005,1,MATCH(COLUMNS($AM$1006:BD1006),$AM$1006:$BM$1006,0))&gt;=100000), " ",IF(INDEX($AM$2:$BM$1001,MATCH(ROWS($AF$2:AF842),$AF$2:$AF$1001,0),MATCH(COLUMNS($AM$1006:BD1006),$AM$1006:$BM$1006,0)), HYPERLINK("#",""), HYPERLINK(CONCATENATE("#metadata!", ADDRESS(INDEX($AH$2:$AH$1001,MATCH(ROWS($AF$2:AF842),$AF$2:$AF$1001,0),0), INDEX($AM$1004:$BM$1004,1,MATCH(COLUMNS($AM$1006:BD1006),$AM$1006:$BM$1006,0)))),"Fix")))</f>
        <v xml:space="preserve"> </v>
      </c>
      <c r="T842" s="4" t="str">
        <f ca="1">IF(OR(INDEX($AG$2:$AG$1001,MATCH(ROWS($AF$2:AF842),$AF$2:$AF$1001,0),1)&gt;=100000,INDEX($AM$1005:$BM$1005,1,MATCH(COLUMNS($AM$1006:BE1006),$AM$1006:$BM$1006,0))&gt;=100000), " ",IF(INDEX($AM$2:$BM$1001,MATCH(ROWS($AF$2:AF842),$AF$2:$AF$1001,0),MATCH(COLUMNS($AM$1006:BE1006),$AM$1006:$BM$1006,0)), HYPERLINK("#",""), HYPERLINK(CONCATENATE("#metadata!", ADDRESS(INDEX($AH$2:$AH$1001,MATCH(ROWS($AF$2:AF842),$AF$2:$AF$1001,0),0), INDEX($AM$1004:$BM$1004,1,MATCH(COLUMNS($AM$1006:BE1006),$AM$1006:$BM$1006,0)))),"Fix")))</f>
        <v xml:space="preserve"> </v>
      </c>
      <c r="U842" s="4" t="str">
        <f ca="1">IF(OR(INDEX($AG$2:$AG$1001,MATCH(ROWS($AF$2:AF842),$AF$2:$AF$1001,0),1)&gt;=100000,INDEX($AM$1005:$BM$1005,1,MATCH(COLUMNS($AM$1006:BF1006),$AM$1006:$BM$1006,0))&gt;=100000), " ",IF(INDEX($AM$2:$BM$1001,MATCH(ROWS($AF$2:AF842),$AF$2:$AF$1001,0),MATCH(COLUMNS($AM$1006:BF1006),$AM$1006:$BM$1006,0)), HYPERLINK("#",""), HYPERLINK(CONCATENATE("#metadata!", ADDRESS(INDEX($AH$2:$AH$1001,MATCH(ROWS($AF$2:AF842),$AF$2:$AF$1001,0),0), INDEX($AM$1004:$BM$1004,1,MATCH(COLUMNS($AM$1006:BF1006),$AM$1006:$BM$1006,0)))),"Fix")))</f>
        <v xml:space="preserve"> </v>
      </c>
      <c r="V842" s="4" t="str">
        <f ca="1">IF(OR(INDEX($AG$2:$AG$1001,MATCH(ROWS($AF$2:AF842),$AF$2:$AF$1001,0),1)&gt;=100000,INDEX($AM$1005:$BM$1005,1,MATCH(COLUMNS($AM$1006:BG1006),$AM$1006:$BM$1006,0))&gt;=100000), " ",IF(INDEX($AM$2:$BM$1001,MATCH(ROWS($AF$2:AF842),$AF$2:$AF$1001,0),MATCH(COLUMNS($AM$1006:BG1006),$AM$1006:$BM$1006,0)), HYPERLINK("#",""), HYPERLINK(CONCATENATE("#metadata!", ADDRESS(INDEX($AH$2:$AH$1001,MATCH(ROWS($AF$2:AF842),$AF$2:$AF$1001,0),0), INDEX($AM$1004:$BM$1004,1,MATCH(COLUMNS($AM$1006:BG1006),$AM$1006:$BM$1006,0)))),"Fix")))</f>
        <v xml:space="preserve"> </v>
      </c>
      <c r="W842" s="4" t="str">
        <f ca="1">IF(OR(INDEX($AG$2:$AG$1001,MATCH(ROWS($AF$2:AF842),$AF$2:$AF$1001,0),1)&gt;=100000,INDEX($AM$1005:$BM$1005,1,MATCH(COLUMNS($AM$1006:BH1006),$AM$1006:$BM$1006,0))&gt;=100000), " ",IF(INDEX($AM$2:$BM$1001,MATCH(ROWS($AF$2:AF842),$AF$2:$AF$1001,0),MATCH(COLUMNS($AM$1006:BH1006),$AM$1006:$BM$1006,0)), HYPERLINK("#",""), HYPERLINK(CONCATENATE("#metadata!", ADDRESS(INDEX($AH$2:$AH$1001,MATCH(ROWS($AF$2:AF842),$AF$2:$AF$1001,0),0), INDEX($AM$1004:$BM$1004,1,MATCH(COLUMNS($AM$1006:BH1006),$AM$1006:$BM$1006,0)))),"Fix")))</f>
        <v xml:space="preserve"> </v>
      </c>
      <c r="X842" s="4" t="str">
        <f ca="1">IF(OR(INDEX($AG$2:$AG$1001,MATCH(ROWS($AF$2:AF842),$AF$2:$AF$1001,0),1)&gt;=100000,INDEX($AM$1005:$BM$1005,1,MATCH(COLUMNS($AM$1006:BI1006),$AM$1006:$BM$1006,0))&gt;=100000), " ",IF(INDEX($AM$2:$BM$1001,MATCH(ROWS($AF$2:AF842),$AF$2:$AF$1001,0),MATCH(COLUMNS($AM$1006:BI1006),$AM$1006:$BM$1006,0)), HYPERLINK("#",""), HYPERLINK(CONCATENATE("#metadata!", ADDRESS(INDEX($AH$2:$AH$1001,MATCH(ROWS($AF$2:AF842),$AF$2:$AF$1001,0),0), INDEX($AM$1004:$BM$1004,1,MATCH(COLUMNS($AM$1006:BI1006),$AM$1006:$BM$1006,0)))),"Fix")))</f>
        <v xml:space="preserve"> </v>
      </c>
      <c r="Y842" s="4" t="str">
        <f ca="1">IF(OR(INDEX($AG$2:$AG$1001,MATCH(ROWS($AF$2:AF842),$AF$2:$AF$1001,0),1)&gt;=100000,INDEX($AM$1005:$BM$1005,1,MATCH(COLUMNS($AM$1006:BJ1006),$AM$1006:$BM$1006,0))&gt;=100000), " ",IF(INDEX($AM$2:$BM$1001,MATCH(ROWS($AF$2:AF842),$AF$2:$AF$1001,0),MATCH(COLUMNS($AM$1006:BJ1006),$AM$1006:$BM$1006,0)), HYPERLINK("#",""), HYPERLINK(CONCATENATE("#metadata!", ADDRESS(INDEX($AH$2:$AH$1001,MATCH(ROWS($AF$2:AF842),$AF$2:$AF$1001,0),0), INDEX($AM$1004:$BM$1004,1,MATCH(COLUMNS($AM$1006:BJ1006),$AM$1006:$BM$1006,0)))),"Fix")))</f>
        <v xml:space="preserve"> </v>
      </c>
      <c r="Z842" s="4" t="str">
        <f ca="1">IF(OR(INDEX($AG$2:$AG$1001,MATCH(ROWS($AF$2:AF842),$AF$2:$AF$1001,0),1)&gt;=100000,INDEX($AM$1005:$BM$1005,1,MATCH(COLUMNS($AM$1006:BK1006),$AM$1006:$BM$1006,0))&gt;=100000), " ",IF(INDEX($AM$2:$BM$1001,MATCH(ROWS($AF$2:AF842),$AF$2:$AF$1001,0),MATCH(COLUMNS($AM$1006:BK1006),$AM$1006:$BM$1006,0)), HYPERLINK("#",""), HYPERLINK(CONCATENATE("#metadata!", ADDRESS(INDEX($AH$2:$AH$1001,MATCH(ROWS($AF$2:AF842),$AF$2:$AF$1001,0),0), INDEX($AM$1004:$BM$1004,1,MATCH(COLUMNS($AM$1006:BK1006),$AM$1006:$BM$1006,0)))),"Fix")))</f>
        <v xml:space="preserve"> </v>
      </c>
      <c r="AA842" s="4" t="str">
        <f ca="1">IF(OR(INDEX($AG$2:$AG$1001,MATCH(ROWS($AF$2:AF842),$AF$2:$AF$1001,0),1)&gt;=100000,INDEX($AM$1005:$BM$1005,1,MATCH(COLUMNS($AM$1006:BL1006),$AM$1006:$BM$1006,0))&gt;=100000), " ",IF(INDEX($AM$2:$BM$1001,MATCH(ROWS($AF$2:AF842),$AF$2:$AF$1001,0),MATCH(COLUMNS($AM$1006:BL1006),$AM$1006:$BM$1006,0)), HYPERLINK("#",""), HYPERLINK(CONCATENATE("#metadata!", ADDRESS(INDEX($AH$2:$AH$1001,MATCH(ROWS($AF$2:AF842),$AF$2:$AF$1001,0),0), INDEX($AM$1004:$BM$1004,1,MATCH(COLUMNS($AM$1006:BL1006),$AM$1006:$BM$1006,0)))),"Fix")))</f>
        <v xml:space="preserve"> </v>
      </c>
      <c r="AB842" s="4" t="str">
        <f ca="1">IF(OR(INDEX($AG$2:$AG$1001,MATCH(ROWS($AF$2:AF842),$AF$2:$AF$1001,0),1)&gt;=100000,INDEX($AM$1005:$BM$1005,1,MATCH(COLUMNS($AM$1006:BM1006),$AM$1006:$BM$1006,0))&gt;=100000), " ",IF(INDEX($AM$2:$BM$1001,MATCH(ROWS($AF$2:AF842),$AF$2:$AF$1001,0),MATCH(COLUMNS($AM$1006:BM1006),$AM$1006:$BM$1006,0)), HYPERLINK("#",""), HYPERLINK(CONCATENATE("#metadata!", ADDRESS(INDEX($AH$2:$AH$1001,MATCH(ROWS($AF$2:AF842),$AF$2:$AF$1001,0),0), INDEX($AM$1004:$BM$1004,1,MATCH(COLUMNS($AM$1006:BM1006),$AM$1006:$BM$1006,0)))),"Fix")))</f>
        <v xml:space="preserve"> </v>
      </c>
      <c r="AF842">
        <v>841</v>
      </c>
      <c r="AG842">
        <v>100842</v>
      </c>
      <c r="AH842">
        <v>842</v>
      </c>
      <c r="AI842" t="b">
        <f t="shared" si="13"/>
        <v>1</v>
      </c>
      <c r="AJ842" t="b">
        <f>COUNTBLANK(metadata!B842:AB842)=COLUMNS(metadata!B842:AB842)</f>
        <v>1</v>
      </c>
      <c r="AK842" t="str">
        <v/>
      </c>
      <c r="AM842" t="b">
        <f ca="1">AND(IF(metadata!B842="",FALSE,TRUE),COUNTIF(metadata!B:B, metadata!B842) = 1,NOT(ISERROR(SUMPRODUCT(SEARCH(MID(metadata!B842,ROW(INDIRECT("1:"&amp;LEN(metadata!B842))), 1),"0123456789abcdefghijklmnopqrstuvwxyzABCDEFGHIJKLMNOPQRSTUVWXYZ.")))))</f>
        <v>0</v>
      </c>
      <c r="AN842" t="b">
        <f ca="1">OR(AND(IF(metadata!C842="",FALSE,TRUE),OR(EXACT(metadata!C842,"missing: not collected"),EXACT(metadata!C842,"missing: not provided"),EXACT(metadata!C842,"missing: restricted access"))),AND(IF(metadata!C842="",FALSE,TRUE),AND(AND(IFERROR(INT(LEFT(metadata!C842,4))&gt;1900,FALSE),IFERROR(INT(LEFT(metadata!C842,4))&lt;=YEAR(NOW()),FALSE)), OR(MID(metadata!C842,5,1)="", AND(AND(MID(metadata!C842,5,1)="-",IFERROR(INT(MID(metadata!C842,6,1))&gt;=0,FALSE),IFERROR(INT(MID(metadata!C842,6,1))&lt;=1,FALSE),NOT(MID(metadata!C842,7,1)=""),IFERROR(INT(MID(metadata!C842,6,2))&gt;=1,FALSE),IFERROR(INT(MID(metadata!C842,6,2))&lt;=12,FALSE)), OR(MID(metadata!C842,8,1)="", AND(AND(MID(metadata!C842,8,1)="-",IFERROR(INT(MID(metadata!C842,9,1))&gt;=0,FALSE),IFERROR(INT(MID(metadata!C842,9,1))&lt;=3,FALSE),NOT(MID(metadata!C842,10,1)=""),IFERROR(INT(MID(metadata!C842,9,2))&gt;=1,FALSE),IFERROR(INT(MID(metadata!C842,9,2))&lt;=31,FALSE)), OR(MID(metadata!C842,11,1)="", AND(AND(MID(metadata!C842,11,1)=" ",IFERROR(INT(MID(metadata!C842,12,1))&gt;=0,FALSE),IFERROR(INT(MID(metadata!C842,12,1))&lt;=2,FALSE),NOT(MID(metadata!C842,13,1)=""),IFERROR(INT(MID(metadata!C842,12,2))&gt;=0,FALSE),IFERROR(INT(MID(metadata!C842,12,2))&lt;=23,FALSE)), OR(MID(metadata!C842,14,1)="", AND(AND(MID(metadata!C842,14,1)=":",IFERROR(INT(MID(metadata!C842,15,1))&gt;=0,FALSE),IFERROR(INT(MID(metadata!C842,15,1))&lt;=5,FALSE),NOT(MID(metadata!C842,16,1)=""),IFERROR(INT(MID(metadata!C842,15,2))&gt;=0,FALSE),IFERROR(INT(MID(metadata!C842,15,2))&lt;=59,FALSE)), OR(MID(metadata!C842,17,1)="", AND(AND(MID(metadata!C842,17,1)=":",IFERROR(INT(MID(metadata!C842,18,1))&gt;=0,FALSE),IFERROR(INT(MID(metadata!C842,18,1))&lt;=5,FALSE),NOT(MID(metadata!C842,19,1)=""),IFERROR(INT(MID(metadata!C842,18,2))&gt;=0,FALSE),IFERROR(INT(MID(metadata!C842,18,2))&lt;=59,FALSE)), LEN(metadata!C842)&lt;=19)))))))))))))</f>
        <v>0</v>
      </c>
      <c r="AO842" t="b">
        <f>AND(IF(metadata!D842="",FALSE,TRUE),EXACT(metadata!D842,"Not applicable"))</f>
        <v>0</v>
      </c>
      <c r="AP842" t="b">
        <f>IF(metadata!E842="",FALSE,TRUE)</f>
        <v>0</v>
      </c>
      <c r="AQ842" t="b">
        <f>OR(AND(IF(metadata!F842="",FALSE,TRUE),OR(EXACT(metadata!F842,"missing: not collected"),EXACT(metadata!F842,"missing: not provided"))),AND(IF(metadata!F842="",FALSE,TRUE),OR(EXACT(metadata!F842,"TRUE"),EXACT(metadata!F842,"FALSE"))))</f>
        <v>0</v>
      </c>
      <c r="AR842" t="b">
        <f>OR(AND(IF(metadata!G842="",FALSE,TRUE),OR(EXACT(metadata!G842,"missing: not collected"),EXACT(metadata!G842,"missing: not provided"),EXACT(metadata!G842,"missing: restricted access"))),AND(IF(metadata!G842="",FALSE,ISNUMBER(VALUE(metadata!G842))),metadata!G842&gt;=-413))</f>
        <v>0</v>
      </c>
      <c r="AS842" t="b">
        <f>AND(IF(metadata!H842="",FALSE,TRUE),EXACT(metadata!H842,"meters"))</f>
        <v>0</v>
      </c>
      <c r="AT842" t="b">
        <f>AND(IF(metadata!I842="",FALSE,TRUE),OR(EXACT(metadata!I842,"Host-associated"),EXACT(metadata!I842,"Free-living")))</f>
        <v>0</v>
      </c>
      <c r="AU842" t="b">
        <f>AND(IF(metadata!J842="",FALSE,TRUE),OR(EXACT(metadata!J842,"Animal"),EXACT(metadata!J842,"Fungus"),EXACT(metadata!J842,"Plant"),EXACT(metadata!J842,"Saline"),EXACT(metadata!J842,"Non-saline")))</f>
        <v>0</v>
      </c>
      <c r="AV842" t="b">
        <f>AND(IF(metadata!K842="",FALSE,TRUE),OR(EXACT(metadata!K842,"Plant secretion"),EXACT(metadata!K842,"Plant rhizosphere"),EXACT(metadata!K842,"Plant surface"),EXACT(metadata!K842,"Plant corpus"),EXACT(metadata!K842,"Fungus surface"),EXACT(metadata!K842,"Fungus corpus"),EXACT(metadata!K842,"Animal surface"),EXACT(metadata!K842,"Animal proximal gut"),EXACT(metadata!K842,"Animal corpus"),EXACT(metadata!K842,"Animal distal gut"),EXACT(metadata!K842,"Animal secretion"),EXACT(metadata!K842,"Sub-surface (non-saline)"),EXACT(metadata!K842,"Surface (non-saline)"),EXACT(metadata!K842,"Water (non-saline)"),EXACT(metadata!K842,"Soil (non-saline)"),EXACT(metadata!K842,"Aerosol (non-saline)"),EXACT(metadata!K842,"Sediment (non-saline)"),EXACT(metadata!K842,"Surface (saline)"),EXACT(metadata!K842,"Water (saline)"),EXACT(metadata!K842,"Hypersaline (saline)"),EXACT(metadata!K842,"Aerosol (saline)"),EXACT(metadata!K842,"Sediment (saline)")))</f>
        <v>0</v>
      </c>
      <c r="AW842" t="b">
        <f>IF(metadata!L842="",FALSE,TRUE)</f>
        <v>0</v>
      </c>
      <c r="AX842" t="b">
        <f>IF(metadata!M842="",FALSE,TRUE)</f>
        <v>0</v>
      </c>
      <c r="AY842" t="b">
        <f>IF(metadata!N842="",FALSE,TRUE)</f>
        <v>0</v>
      </c>
      <c r="AZ842" t="b">
        <f>OR(AND(IF(metadata!O842="",FALSE,TRUE),OR(EXACT(metadata!O842,"missing: not collected"),EXACT(metadata!O842,"missing: not provided"),EXACT(metadata!O842,"missing: restricted access"))),AND(IF(metadata!O842="",FALSE,TRUE),OR(EXACT(metadata!O842,"air"),EXACT(metadata!O842,"built environment"),EXACT(metadata!O842,"host-associated"),EXACT(metadata!O842,"human-associated"),EXACT(metadata!O842,"human-skin"),EXACT(metadata!O842,"human-oral"),EXACT(metadata!O842,"human-gut"),EXACT(metadata!O842,"human-vaginal"),EXACT(metadata!O842,"microbial mat/biofilm"),EXACT(metadata!O842,"misc environment"),EXACT(metadata!O842,"plant-associated"),EXACT(metadata!O842,"sediment"),EXACT(metadata!O842,"soil"),EXACT(metadata!O842,"wastewater/sludge"),EXACT(metadata!O842,"water"))))</f>
        <v>0</v>
      </c>
      <c r="BA842" t="b">
        <f>IF(metadata!P842="",FALSE,TRUE)</f>
        <v>0</v>
      </c>
      <c r="BB842" t="b">
        <f>IF(metadata!Q842="",FALSE,TRUE)</f>
        <v>0</v>
      </c>
      <c r="BC842" t="b">
        <f>OR(AND(IF(metadata!R842="",FALSE,TRUE),OR(EXACT(metadata!R842,"missing: not collected"),EXACT(metadata!R842,"missing: not provided"),EXACT(metadata!R842,"missing: restricted access"))),AND(IF(metadata!R842="",FALSE,ISNUMBER(VALUE(metadata!R842))),metadata!R842&gt;=-90,metadata!R842&lt;=90))</f>
        <v>0</v>
      </c>
      <c r="BD842" t="b">
        <f>AND(IF(metadata!S842="",FALSE,TRUE),EXACT(metadata!S842,"Decimal degrees"))</f>
        <v>0</v>
      </c>
      <c r="BE842" t="b">
        <f>OR(AND(IF(metadata!T842="",FALSE,TRUE),OR(EXACT(metadata!T842,"missing: not collected"),EXACT(metadata!T842,"missing: not provided"),EXACT(metadata!T842,"missing: restricted access"))),AND(IF(metadata!T842="",FALSE,ISNUMBER(VALUE(metadata!T842))),metadata!T842&gt;=-180,metadata!T842&lt;=180))</f>
        <v>0</v>
      </c>
      <c r="BF842" t="b">
        <f>AND(IF(metadata!U842="",FALSE,TRUE),EXACT(metadata!U842,"Decimal degrees"))</f>
        <v>0</v>
      </c>
      <c r="BG842" t="b">
        <f>IF(metadata!V842="",FALSE,TRUE)</f>
        <v>0</v>
      </c>
      <c r="BH842" t="b">
        <f>OR(AND(IF(metadata!W842="",FALSE,TRUE),OR(EXACT(metadata!W842,"missing: not collected"),EXACT(metadata!W842,"missing: not provided"),EXACT(metadata!W842,"missing: restricted access"))),AND(IF(metadata!W842="",FALSE,TRUE),OR(EXACT(metadata!W842,"TRUE"),EXACT(metadata!W842,"FALSE"))))</f>
        <v>0</v>
      </c>
      <c r="BI842" t="b">
        <f>AND(IF(metadata!X842="",FALSE,TRUE),EXACT(metadata!X842,"other"))</f>
        <v>0</v>
      </c>
      <c r="BJ842" t="b">
        <f>IF(metadata!Y842="",FALSE,TRUE)</f>
        <v>0</v>
      </c>
      <c r="BK842" t="b">
        <f>OR(AND(IF(metadata!Z842="",FALSE,TRUE),OR(EXACT(metadata!Z842,"missing: not collected"),EXACT(metadata!Z842,"missing: not provided"))),AND(IF(metadata!Z842="",FALSE,IF(ISERROR(INT(metadata!Z842)),FALSE,INT(metadata!Z842)=metadata!Z842)),metadata!Z842&gt;0))</f>
        <v>0</v>
      </c>
      <c r="BL842" t="b">
        <f>AND(IF(metadata!AA842="",FALSE,TRUE),EXACT(metadata!AA842,"Not applicable"))</f>
        <v>0</v>
      </c>
      <c r="BM842" t="b">
        <f>IF(metadata!AB842="",FALSE,TRUE)</f>
        <v>0</v>
      </c>
    </row>
    <row r="843" spans="1:65" x14ac:dyDescent="0.2">
      <c r="A843" s="5" t="str">
        <f ca="1">IF(B843=" "," ",HYPERLINK(CONCATENATE("#metadata!",ADDRESS(INDEX($AH$2:$AH$1001,MATCH(ROWS($AF$2:AF843),$AF$2:$AF$1001,0),0),1)),INDEX($AK$2:$AK$1001,MATCH(ROWS($AF$2:AF843),$AF$2:$AF$1001,0),0)))</f>
        <v xml:space="preserve"> </v>
      </c>
      <c r="B843" s="4" t="str">
        <f ca="1">IF(OR(INDEX($AG$2:$AG$1001,MATCH(ROWS($AF$2:AF843),$AF$2:$AF$1001,0),1)&gt;=100000,INDEX($AM$1005:$BM$1005,1,MATCH(COLUMNS($AM$1006:AM1006),$AM$1006:$BM$1006,0))&gt;=100000), " ",IF(INDEX($AM$2:$BM$1001,MATCH(ROWS($AF$2:AF843),$AF$2:$AF$1001,0),MATCH(COLUMNS($AM$1006:AM1006),$AM$1006:$BM$1006,0)), HYPERLINK("#",""), HYPERLINK(CONCATENATE("#metadata!", ADDRESS(INDEX($AH$2:$AH$1001,MATCH(ROWS($AF$2:AF843),$AF$2:$AF$1001,0),0), INDEX($AM$1004:$BM$1004,1,MATCH(COLUMNS($AM$1006:AM1006),$AM$1006:$BM$1006,0)))),"Fix")))</f>
        <v xml:space="preserve"> </v>
      </c>
      <c r="C843" s="4" t="str">
        <f ca="1">IF(OR(INDEX($AG$2:$AG$1001,MATCH(ROWS($AF$2:AF843),$AF$2:$AF$1001,0),1)&gt;=100000,INDEX($AM$1005:$BM$1005,1,MATCH(COLUMNS($AM$1006:AN1006),$AM$1006:$BM$1006,0))&gt;=100000), " ",IF(INDEX($AM$2:$BM$1001,MATCH(ROWS($AF$2:AF843),$AF$2:$AF$1001,0),MATCH(COLUMNS($AM$1006:AN1006),$AM$1006:$BM$1006,0)), HYPERLINK("#",""), HYPERLINK(CONCATENATE("#metadata!", ADDRESS(INDEX($AH$2:$AH$1001,MATCH(ROWS($AF$2:AF843),$AF$2:$AF$1001,0),0), INDEX($AM$1004:$BM$1004,1,MATCH(COLUMNS($AM$1006:AN1006),$AM$1006:$BM$1006,0)))),"Fix")))</f>
        <v xml:space="preserve"> </v>
      </c>
      <c r="D843" s="4" t="str">
        <f ca="1">IF(OR(INDEX($AG$2:$AG$1001,MATCH(ROWS($AF$2:AF843),$AF$2:$AF$1001,0),1)&gt;=100000,INDEX($AM$1005:$BM$1005,1,MATCH(COLUMNS($AM$1006:AO1006),$AM$1006:$BM$1006,0))&gt;=100000), " ",IF(INDEX($AM$2:$BM$1001,MATCH(ROWS($AF$2:AF843),$AF$2:$AF$1001,0),MATCH(COLUMNS($AM$1006:AO1006),$AM$1006:$BM$1006,0)), HYPERLINK("#",""), HYPERLINK(CONCATENATE("#metadata!", ADDRESS(INDEX($AH$2:$AH$1001,MATCH(ROWS($AF$2:AF843),$AF$2:$AF$1001,0),0), INDEX($AM$1004:$BM$1004,1,MATCH(COLUMNS($AM$1006:AO1006),$AM$1006:$BM$1006,0)))),"Fix")))</f>
        <v xml:space="preserve"> </v>
      </c>
      <c r="E843" s="4" t="str">
        <f ca="1">IF(OR(INDEX($AG$2:$AG$1001,MATCH(ROWS($AF$2:AF843),$AF$2:$AF$1001,0),1)&gt;=100000,INDEX($AM$1005:$BM$1005,1,MATCH(COLUMNS($AM$1006:AP1006),$AM$1006:$BM$1006,0))&gt;=100000), " ",IF(INDEX($AM$2:$BM$1001,MATCH(ROWS($AF$2:AF843),$AF$2:$AF$1001,0),MATCH(COLUMNS($AM$1006:AP1006),$AM$1006:$BM$1006,0)), HYPERLINK("#",""), HYPERLINK(CONCATENATE("#metadata!", ADDRESS(INDEX($AH$2:$AH$1001,MATCH(ROWS($AF$2:AF843),$AF$2:$AF$1001,0),0), INDEX($AM$1004:$BM$1004,1,MATCH(COLUMNS($AM$1006:AP1006),$AM$1006:$BM$1006,0)))),"Fix")))</f>
        <v xml:space="preserve"> </v>
      </c>
      <c r="F843" s="4" t="str">
        <f ca="1">IF(OR(INDEX($AG$2:$AG$1001,MATCH(ROWS($AF$2:AF843),$AF$2:$AF$1001,0),1)&gt;=100000,INDEX($AM$1005:$BM$1005,1,MATCH(COLUMNS($AM$1006:AQ1006),$AM$1006:$BM$1006,0))&gt;=100000), " ",IF(INDEX($AM$2:$BM$1001,MATCH(ROWS($AF$2:AF843),$AF$2:$AF$1001,0),MATCH(COLUMNS($AM$1006:AQ1006),$AM$1006:$BM$1006,0)), HYPERLINK("#",""), HYPERLINK(CONCATENATE("#metadata!", ADDRESS(INDEX($AH$2:$AH$1001,MATCH(ROWS($AF$2:AF843),$AF$2:$AF$1001,0),0), INDEX($AM$1004:$BM$1004,1,MATCH(COLUMNS($AM$1006:AQ1006),$AM$1006:$BM$1006,0)))),"Fix")))</f>
        <v xml:space="preserve"> </v>
      </c>
      <c r="G843" s="4" t="str">
        <f ca="1">IF(OR(INDEX($AG$2:$AG$1001,MATCH(ROWS($AF$2:AF843),$AF$2:$AF$1001,0),1)&gt;=100000,INDEX($AM$1005:$BM$1005,1,MATCH(COLUMNS($AM$1006:AR1006),$AM$1006:$BM$1006,0))&gt;=100000), " ",IF(INDEX($AM$2:$BM$1001,MATCH(ROWS($AF$2:AF843),$AF$2:$AF$1001,0),MATCH(COLUMNS($AM$1006:AR1006),$AM$1006:$BM$1006,0)), HYPERLINK("#",""), HYPERLINK(CONCATENATE("#metadata!", ADDRESS(INDEX($AH$2:$AH$1001,MATCH(ROWS($AF$2:AF843),$AF$2:$AF$1001,0),0), INDEX($AM$1004:$BM$1004,1,MATCH(COLUMNS($AM$1006:AR1006),$AM$1006:$BM$1006,0)))),"Fix")))</f>
        <v xml:space="preserve"> </v>
      </c>
      <c r="H843" s="4" t="str">
        <f ca="1">IF(OR(INDEX($AG$2:$AG$1001,MATCH(ROWS($AF$2:AF843),$AF$2:$AF$1001,0),1)&gt;=100000,INDEX($AM$1005:$BM$1005,1,MATCH(COLUMNS($AM$1006:AS1006),$AM$1006:$BM$1006,0))&gt;=100000), " ",IF(INDEX($AM$2:$BM$1001,MATCH(ROWS($AF$2:AF843),$AF$2:$AF$1001,0),MATCH(COLUMNS($AM$1006:AS1006),$AM$1006:$BM$1006,0)), HYPERLINK("#",""), HYPERLINK(CONCATENATE("#metadata!", ADDRESS(INDEX($AH$2:$AH$1001,MATCH(ROWS($AF$2:AF843),$AF$2:$AF$1001,0),0), INDEX($AM$1004:$BM$1004,1,MATCH(COLUMNS($AM$1006:AS1006),$AM$1006:$BM$1006,0)))),"Fix")))</f>
        <v xml:space="preserve"> </v>
      </c>
      <c r="I843" s="4" t="str">
        <f ca="1">IF(OR(INDEX($AG$2:$AG$1001,MATCH(ROWS($AF$2:AF843),$AF$2:$AF$1001,0),1)&gt;=100000,INDEX($AM$1005:$BM$1005,1,MATCH(COLUMNS($AM$1006:AT1006),$AM$1006:$BM$1006,0))&gt;=100000), " ",IF(INDEX($AM$2:$BM$1001,MATCH(ROWS($AF$2:AF843),$AF$2:$AF$1001,0),MATCH(COLUMNS($AM$1006:AT1006),$AM$1006:$BM$1006,0)), HYPERLINK("#",""), HYPERLINK(CONCATENATE("#metadata!", ADDRESS(INDEX($AH$2:$AH$1001,MATCH(ROWS($AF$2:AF843),$AF$2:$AF$1001,0),0), INDEX($AM$1004:$BM$1004,1,MATCH(COLUMNS($AM$1006:AT1006),$AM$1006:$BM$1006,0)))),"Fix")))</f>
        <v xml:space="preserve"> </v>
      </c>
      <c r="J843" s="4" t="str">
        <f ca="1">IF(OR(INDEX($AG$2:$AG$1001,MATCH(ROWS($AF$2:AF843),$AF$2:$AF$1001,0),1)&gt;=100000,INDEX($AM$1005:$BM$1005,1,MATCH(COLUMNS($AM$1006:AU1006),$AM$1006:$BM$1006,0))&gt;=100000), " ",IF(INDEX($AM$2:$BM$1001,MATCH(ROWS($AF$2:AF843),$AF$2:$AF$1001,0),MATCH(COLUMNS($AM$1006:AU1006),$AM$1006:$BM$1006,0)), HYPERLINK("#",""), HYPERLINK(CONCATENATE("#metadata!", ADDRESS(INDEX($AH$2:$AH$1001,MATCH(ROWS($AF$2:AF843),$AF$2:$AF$1001,0),0), INDEX($AM$1004:$BM$1004,1,MATCH(COLUMNS($AM$1006:AU1006),$AM$1006:$BM$1006,0)))),"Fix")))</f>
        <v xml:space="preserve"> </v>
      </c>
      <c r="K843" s="4" t="str">
        <f ca="1">IF(OR(INDEX($AG$2:$AG$1001,MATCH(ROWS($AF$2:AF843),$AF$2:$AF$1001,0),1)&gt;=100000,INDEX($AM$1005:$BM$1005,1,MATCH(COLUMNS($AM$1006:AV1006),$AM$1006:$BM$1006,0))&gt;=100000), " ",IF(INDEX($AM$2:$BM$1001,MATCH(ROWS($AF$2:AF843),$AF$2:$AF$1001,0),MATCH(COLUMNS($AM$1006:AV1006),$AM$1006:$BM$1006,0)), HYPERLINK("#",""), HYPERLINK(CONCATENATE("#metadata!", ADDRESS(INDEX($AH$2:$AH$1001,MATCH(ROWS($AF$2:AF843),$AF$2:$AF$1001,0),0), INDEX($AM$1004:$BM$1004,1,MATCH(COLUMNS($AM$1006:AV1006),$AM$1006:$BM$1006,0)))),"Fix")))</f>
        <v xml:space="preserve"> </v>
      </c>
      <c r="L843" s="4" t="str">
        <f ca="1">IF(OR(INDEX($AG$2:$AG$1001,MATCH(ROWS($AF$2:AF843),$AF$2:$AF$1001,0),1)&gt;=100000,INDEX($AM$1005:$BM$1005,1,MATCH(COLUMNS($AM$1006:AW1006),$AM$1006:$BM$1006,0))&gt;=100000), " ",IF(INDEX($AM$2:$BM$1001,MATCH(ROWS($AF$2:AF843),$AF$2:$AF$1001,0),MATCH(COLUMNS($AM$1006:AW1006),$AM$1006:$BM$1006,0)), HYPERLINK("#",""), HYPERLINK(CONCATENATE("#metadata!", ADDRESS(INDEX($AH$2:$AH$1001,MATCH(ROWS($AF$2:AF843),$AF$2:$AF$1001,0),0), INDEX($AM$1004:$BM$1004,1,MATCH(COLUMNS($AM$1006:AW1006),$AM$1006:$BM$1006,0)))),"Fix")))</f>
        <v xml:space="preserve"> </v>
      </c>
      <c r="M843" s="4" t="str">
        <f ca="1">IF(OR(INDEX($AG$2:$AG$1001,MATCH(ROWS($AF$2:AF843),$AF$2:$AF$1001,0),1)&gt;=100000,INDEX($AM$1005:$BM$1005,1,MATCH(COLUMNS($AM$1006:AX1006),$AM$1006:$BM$1006,0))&gt;=100000), " ",IF(INDEX($AM$2:$BM$1001,MATCH(ROWS($AF$2:AF843),$AF$2:$AF$1001,0),MATCH(COLUMNS($AM$1006:AX1006),$AM$1006:$BM$1006,0)), HYPERLINK("#",""), HYPERLINK(CONCATENATE("#metadata!", ADDRESS(INDEX($AH$2:$AH$1001,MATCH(ROWS($AF$2:AF843),$AF$2:$AF$1001,0),0), INDEX($AM$1004:$BM$1004,1,MATCH(COLUMNS($AM$1006:AX1006),$AM$1006:$BM$1006,0)))),"Fix")))</f>
        <v xml:space="preserve"> </v>
      </c>
      <c r="N843" s="4" t="str">
        <f ca="1">IF(OR(INDEX($AG$2:$AG$1001,MATCH(ROWS($AF$2:AF843),$AF$2:$AF$1001,0),1)&gt;=100000,INDEX($AM$1005:$BM$1005,1,MATCH(COLUMNS($AM$1006:AY1006),$AM$1006:$BM$1006,0))&gt;=100000), " ",IF(INDEX($AM$2:$BM$1001,MATCH(ROWS($AF$2:AF843),$AF$2:$AF$1001,0),MATCH(COLUMNS($AM$1006:AY1006),$AM$1006:$BM$1006,0)), HYPERLINK("#",""), HYPERLINK(CONCATENATE("#metadata!", ADDRESS(INDEX($AH$2:$AH$1001,MATCH(ROWS($AF$2:AF843),$AF$2:$AF$1001,0),0), INDEX($AM$1004:$BM$1004,1,MATCH(COLUMNS($AM$1006:AY1006),$AM$1006:$BM$1006,0)))),"Fix")))</f>
        <v xml:space="preserve"> </v>
      </c>
      <c r="O843" s="4" t="str">
        <f ca="1">IF(OR(INDEX($AG$2:$AG$1001,MATCH(ROWS($AF$2:AF843),$AF$2:$AF$1001,0),1)&gt;=100000,INDEX($AM$1005:$BM$1005,1,MATCH(COLUMNS($AM$1006:AZ1006),$AM$1006:$BM$1006,0))&gt;=100000), " ",IF(INDEX($AM$2:$BM$1001,MATCH(ROWS($AF$2:AF843),$AF$2:$AF$1001,0),MATCH(COLUMNS($AM$1006:AZ1006),$AM$1006:$BM$1006,0)), HYPERLINK("#",""), HYPERLINK(CONCATENATE("#metadata!", ADDRESS(INDEX($AH$2:$AH$1001,MATCH(ROWS($AF$2:AF843),$AF$2:$AF$1001,0),0), INDEX($AM$1004:$BM$1004,1,MATCH(COLUMNS($AM$1006:AZ1006),$AM$1006:$BM$1006,0)))),"Fix")))</f>
        <v xml:space="preserve"> </v>
      </c>
      <c r="P843" s="4" t="str">
        <f ca="1">IF(OR(INDEX($AG$2:$AG$1001,MATCH(ROWS($AF$2:AF843),$AF$2:$AF$1001,0),1)&gt;=100000,INDEX($AM$1005:$BM$1005,1,MATCH(COLUMNS($AM$1006:BA1006),$AM$1006:$BM$1006,0))&gt;=100000), " ",IF(INDEX($AM$2:$BM$1001,MATCH(ROWS($AF$2:AF843),$AF$2:$AF$1001,0),MATCH(COLUMNS($AM$1006:BA1006),$AM$1006:$BM$1006,0)), HYPERLINK("#",""), HYPERLINK(CONCATENATE("#metadata!", ADDRESS(INDEX($AH$2:$AH$1001,MATCH(ROWS($AF$2:AF843),$AF$2:$AF$1001,0),0), INDEX($AM$1004:$BM$1004,1,MATCH(COLUMNS($AM$1006:BA1006),$AM$1006:$BM$1006,0)))),"Fix")))</f>
        <v xml:space="preserve"> </v>
      </c>
      <c r="Q843" s="4" t="str">
        <f ca="1">IF(OR(INDEX($AG$2:$AG$1001,MATCH(ROWS($AF$2:AF843),$AF$2:$AF$1001,0),1)&gt;=100000,INDEX($AM$1005:$BM$1005,1,MATCH(COLUMNS($AM$1006:BB1006),$AM$1006:$BM$1006,0))&gt;=100000), " ",IF(INDEX($AM$2:$BM$1001,MATCH(ROWS($AF$2:AF843),$AF$2:$AF$1001,0),MATCH(COLUMNS($AM$1006:BB1006),$AM$1006:$BM$1006,0)), HYPERLINK("#",""), HYPERLINK(CONCATENATE("#metadata!", ADDRESS(INDEX($AH$2:$AH$1001,MATCH(ROWS($AF$2:AF843),$AF$2:$AF$1001,0),0), INDEX($AM$1004:$BM$1004,1,MATCH(COLUMNS($AM$1006:BB1006),$AM$1006:$BM$1006,0)))),"Fix")))</f>
        <v xml:space="preserve"> </v>
      </c>
      <c r="R843" s="4" t="str">
        <f ca="1">IF(OR(INDEX($AG$2:$AG$1001,MATCH(ROWS($AF$2:AF843),$AF$2:$AF$1001,0),1)&gt;=100000,INDEX($AM$1005:$BM$1005,1,MATCH(COLUMNS($AM$1006:BC1006),$AM$1006:$BM$1006,0))&gt;=100000), " ",IF(INDEX($AM$2:$BM$1001,MATCH(ROWS($AF$2:AF843),$AF$2:$AF$1001,0),MATCH(COLUMNS($AM$1006:BC1006),$AM$1006:$BM$1006,0)), HYPERLINK("#",""), HYPERLINK(CONCATENATE("#metadata!", ADDRESS(INDEX($AH$2:$AH$1001,MATCH(ROWS($AF$2:AF843),$AF$2:$AF$1001,0),0), INDEX($AM$1004:$BM$1004,1,MATCH(COLUMNS($AM$1006:BC1006),$AM$1006:$BM$1006,0)))),"Fix")))</f>
        <v xml:space="preserve"> </v>
      </c>
      <c r="S843" s="4" t="str">
        <f ca="1">IF(OR(INDEX($AG$2:$AG$1001,MATCH(ROWS($AF$2:AF843),$AF$2:$AF$1001,0),1)&gt;=100000,INDEX($AM$1005:$BM$1005,1,MATCH(COLUMNS($AM$1006:BD1006),$AM$1006:$BM$1006,0))&gt;=100000), " ",IF(INDEX($AM$2:$BM$1001,MATCH(ROWS($AF$2:AF843),$AF$2:$AF$1001,0),MATCH(COLUMNS($AM$1006:BD1006),$AM$1006:$BM$1006,0)), HYPERLINK("#",""), HYPERLINK(CONCATENATE("#metadata!", ADDRESS(INDEX($AH$2:$AH$1001,MATCH(ROWS($AF$2:AF843),$AF$2:$AF$1001,0),0), INDEX($AM$1004:$BM$1004,1,MATCH(COLUMNS($AM$1006:BD1006),$AM$1006:$BM$1006,0)))),"Fix")))</f>
        <v xml:space="preserve"> </v>
      </c>
      <c r="T843" s="4" t="str">
        <f ca="1">IF(OR(INDEX($AG$2:$AG$1001,MATCH(ROWS($AF$2:AF843),$AF$2:$AF$1001,0),1)&gt;=100000,INDEX($AM$1005:$BM$1005,1,MATCH(COLUMNS($AM$1006:BE1006),$AM$1006:$BM$1006,0))&gt;=100000), " ",IF(INDEX($AM$2:$BM$1001,MATCH(ROWS($AF$2:AF843),$AF$2:$AF$1001,0),MATCH(COLUMNS($AM$1006:BE1006),$AM$1006:$BM$1006,0)), HYPERLINK("#",""), HYPERLINK(CONCATENATE("#metadata!", ADDRESS(INDEX($AH$2:$AH$1001,MATCH(ROWS($AF$2:AF843),$AF$2:$AF$1001,0),0), INDEX($AM$1004:$BM$1004,1,MATCH(COLUMNS($AM$1006:BE1006),$AM$1006:$BM$1006,0)))),"Fix")))</f>
        <v xml:space="preserve"> </v>
      </c>
      <c r="U843" s="4" t="str">
        <f ca="1">IF(OR(INDEX($AG$2:$AG$1001,MATCH(ROWS($AF$2:AF843),$AF$2:$AF$1001,0),1)&gt;=100000,INDEX($AM$1005:$BM$1005,1,MATCH(COLUMNS($AM$1006:BF1006),$AM$1006:$BM$1006,0))&gt;=100000), " ",IF(INDEX($AM$2:$BM$1001,MATCH(ROWS($AF$2:AF843),$AF$2:$AF$1001,0),MATCH(COLUMNS($AM$1006:BF1006),$AM$1006:$BM$1006,0)), HYPERLINK("#",""), HYPERLINK(CONCATENATE("#metadata!", ADDRESS(INDEX($AH$2:$AH$1001,MATCH(ROWS($AF$2:AF843),$AF$2:$AF$1001,0),0), INDEX($AM$1004:$BM$1004,1,MATCH(COLUMNS($AM$1006:BF1006),$AM$1006:$BM$1006,0)))),"Fix")))</f>
        <v xml:space="preserve"> </v>
      </c>
      <c r="V843" s="4" t="str">
        <f ca="1">IF(OR(INDEX($AG$2:$AG$1001,MATCH(ROWS($AF$2:AF843),$AF$2:$AF$1001,0),1)&gt;=100000,INDEX($AM$1005:$BM$1005,1,MATCH(COLUMNS($AM$1006:BG1006),$AM$1006:$BM$1006,0))&gt;=100000), " ",IF(INDEX($AM$2:$BM$1001,MATCH(ROWS($AF$2:AF843),$AF$2:$AF$1001,0),MATCH(COLUMNS($AM$1006:BG1006),$AM$1006:$BM$1006,0)), HYPERLINK("#",""), HYPERLINK(CONCATENATE("#metadata!", ADDRESS(INDEX($AH$2:$AH$1001,MATCH(ROWS($AF$2:AF843),$AF$2:$AF$1001,0),0), INDEX($AM$1004:$BM$1004,1,MATCH(COLUMNS($AM$1006:BG1006),$AM$1006:$BM$1006,0)))),"Fix")))</f>
        <v xml:space="preserve"> </v>
      </c>
      <c r="W843" s="4" t="str">
        <f ca="1">IF(OR(INDEX($AG$2:$AG$1001,MATCH(ROWS($AF$2:AF843),$AF$2:$AF$1001,0),1)&gt;=100000,INDEX($AM$1005:$BM$1005,1,MATCH(COLUMNS($AM$1006:BH1006),$AM$1006:$BM$1006,0))&gt;=100000), " ",IF(INDEX($AM$2:$BM$1001,MATCH(ROWS($AF$2:AF843),$AF$2:$AF$1001,0),MATCH(COLUMNS($AM$1006:BH1006),$AM$1006:$BM$1006,0)), HYPERLINK("#",""), HYPERLINK(CONCATENATE("#metadata!", ADDRESS(INDEX($AH$2:$AH$1001,MATCH(ROWS($AF$2:AF843),$AF$2:$AF$1001,0),0), INDEX($AM$1004:$BM$1004,1,MATCH(COLUMNS($AM$1006:BH1006),$AM$1006:$BM$1006,0)))),"Fix")))</f>
        <v xml:space="preserve"> </v>
      </c>
      <c r="X843" s="4" t="str">
        <f ca="1">IF(OR(INDEX($AG$2:$AG$1001,MATCH(ROWS($AF$2:AF843),$AF$2:$AF$1001,0),1)&gt;=100000,INDEX($AM$1005:$BM$1005,1,MATCH(COLUMNS($AM$1006:BI1006),$AM$1006:$BM$1006,0))&gt;=100000), " ",IF(INDEX($AM$2:$BM$1001,MATCH(ROWS($AF$2:AF843),$AF$2:$AF$1001,0),MATCH(COLUMNS($AM$1006:BI1006),$AM$1006:$BM$1006,0)), HYPERLINK("#",""), HYPERLINK(CONCATENATE("#metadata!", ADDRESS(INDEX($AH$2:$AH$1001,MATCH(ROWS($AF$2:AF843),$AF$2:$AF$1001,0),0), INDEX($AM$1004:$BM$1004,1,MATCH(COLUMNS($AM$1006:BI1006),$AM$1006:$BM$1006,0)))),"Fix")))</f>
        <v xml:space="preserve"> </v>
      </c>
      <c r="Y843" s="4" t="str">
        <f ca="1">IF(OR(INDEX($AG$2:$AG$1001,MATCH(ROWS($AF$2:AF843),$AF$2:$AF$1001,0),1)&gt;=100000,INDEX($AM$1005:$BM$1005,1,MATCH(COLUMNS($AM$1006:BJ1006),$AM$1006:$BM$1006,0))&gt;=100000), " ",IF(INDEX($AM$2:$BM$1001,MATCH(ROWS($AF$2:AF843),$AF$2:$AF$1001,0),MATCH(COLUMNS($AM$1006:BJ1006),$AM$1006:$BM$1006,0)), HYPERLINK("#",""), HYPERLINK(CONCATENATE("#metadata!", ADDRESS(INDEX($AH$2:$AH$1001,MATCH(ROWS($AF$2:AF843),$AF$2:$AF$1001,0),0), INDEX($AM$1004:$BM$1004,1,MATCH(COLUMNS($AM$1006:BJ1006),$AM$1006:$BM$1006,0)))),"Fix")))</f>
        <v xml:space="preserve"> </v>
      </c>
      <c r="Z843" s="4" t="str">
        <f ca="1">IF(OR(INDEX($AG$2:$AG$1001,MATCH(ROWS($AF$2:AF843),$AF$2:$AF$1001,0),1)&gt;=100000,INDEX($AM$1005:$BM$1005,1,MATCH(COLUMNS($AM$1006:BK1006),$AM$1006:$BM$1006,0))&gt;=100000), " ",IF(INDEX($AM$2:$BM$1001,MATCH(ROWS($AF$2:AF843),$AF$2:$AF$1001,0),MATCH(COLUMNS($AM$1006:BK1006),$AM$1006:$BM$1006,0)), HYPERLINK("#",""), HYPERLINK(CONCATENATE("#metadata!", ADDRESS(INDEX($AH$2:$AH$1001,MATCH(ROWS($AF$2:AF843),$AF$2:$AF$1001,0),0), INDEX($AM$1004:$BM$1004,1,MATCH(COLUMNS($AM$1006:BK1006),$AM$1006:$BM$1006,0)))),"Fix")))</f>
        <v xml:space="preserve"> </v>
      </c>
      <c r="AA843" s="4" t="str">
        <f ca="1">IF(OR(INDEX($AG$2:$AG$1001,MATCH(ROWS($AF$2:AF843),$AF$2:$AF$1001,0),1)&gt;=100000,INDEX($AM$1005:$BM$1005,1,MATCH(COLUMNS($AM$1006:BL1006),$AM$1006:$BM$1006,0))&gt;=100000), " ",IF(INDEX($AM$2:$BM$1001,MATCH(ROWS($AF$2:AF843),$AF$2:$AF$1001,0),MATCH(COLUMNS($AM$1006:BL1006),$AM$1006:$BM$1006,0)), HYPERLINK("#",""), HYPERLINK(CONCATENATE("#metadata!", ADDRESS(INDEX($AH$2:$AH$1001,MATCH(ROWS($AF$2:AF843),$AF$2:$AF$1001,0),0), INDEX($AM$1004:$BM$1004,1,MATCH(COLUMNS($AM$1006:BL1006),$AM$1006:$BM$1006,0)))),"Fix")))</f>
        <v xml:space="preserve"> </v>
      </c>
      <c r="AB843" s="4" t="str">
        <f ca="1">IF(OR(INDEX($AG$2:$AG$1001,MATCH(ROWS($AF$2:AF843),$AF$2:$AF$1001,0),1)&gt;=100000,INDEX($AM$1005:$BM$1005,1,MATCH(COLUMNS($AM$1006:BM1006),$AM$1006:$BM$1006,0))&gt;=100000), " ",IF(INDEX($AM$2:$BM$1001,MATCH(ROWS($AF$2:AF843),$AF$2:$AF$1001,0),MATCH(COLUMNS($AM$1006:BM1006),$AM$1006:$BM$1006,0)), HYPERLINK("#",""), HYPERLINK(CONCATENATE("#metadata!", ADDRESS(INDEX($AH$2:$AH$1001,MATCH(ROWS($AF$2:AF843),$AF$2:$AF$1001,0),0), INDEX($AM$1004:$BM$1004,1,MATCH(COLUMNS($AM$1006:BM1006),$AM$1006:$BM$1006,0)))),"Fix")))</f>
        <v xml:space="preserve"> </v>
      </c>
      <c r="AF843">
        <v>842</v>
      </c>
      <c r="AG843">
        <v>100843</v>
      </c>
      <c r="AH843">
        <v>843</v>
      </c>
      <c r="AI843" t="b">
        <f t="shared" si="13"/>
        <v>1</v>
      </c>
      <c r="AJ843" t="b">
        <f>COUNTBLANK(metadata!B843:AB843)=COLUMNS(metadata!B843:AB843)</f>
        <v>1</v>
      </c>
      <c r="AK843" t="str">
        <v/>
      </c>
      <c r="AM843" t="b">
        <f ca="1">AND(IF(metadata!B843="",FALSE,TRUE),COUNTIF(metadata!B:B, metadata!B843) = 1,NOT(ISERROR(SUMPRODUCT(SEARCH(MID(metadata!B843,ROW(INDIRECT("1:"&amp;LEN(metadata!B843))), 1),"0123456789abcdefghijklmnopqrstuvwxyzABCDEFGHIJKLMNOPQRSTUVWXYZ.")))))</f>
        <v>0</v>
      </c>
      <c r="AN843" t="b">
        <f ca="1">OR(AND(IF(metadata!C843="",FALSE,TRUE),OR(EXACT(metadata!C843,"missing: not collected"),EXACT(metadata!C843,"missing: not provided"),EXACT(metadata!C843,"missing: restricted access"))),AND(IF(metadata!C843="",FALSE,TRUE),AND(AND(IFERROR(INT(LEFT(metadata!C843,4))&gt;1900,FALSE),IFERROR(INT(LEFT(metadata!C843,4))&lt;=YEAR(NOW()),FALSE)), OR(MID(metadata!C843,5,1)="", AND(AND(MID(metadata!C843,5,1)="-",IFERROR(INT(MID(metadata!C843,6,1))&gt;=0,FALSE),IFERROR(INT(MID(metadata!C843,6,1))&lt;=1,FALSE),NOT(MID(metadata!C843,7,1)=""),IFERROR(INT(MID(metadata!C843,6,2))&gt;=1,FALSE),IFERROR(INT(MID(metadata!C843,6,2))&lt;=12,FALSE)), OR(MID(metadata!C843,8,1)="", AND(AND(MID(metadata!C843,8,1)="-",IFERROR(INT(MID(metadata!C843,9,1))&gt;=0,FALSE),IFERROR(INT(MID(metadata!C843,9,1))&lt;=3,FALSE),NOT(MID(metadata!C843,10,1)=""),IFERROR(INT(MID(metadata!C843,9,2))&gt;=1,FALSE),IFERROR(INT(MID(metadata!C843,9,2))&lt;=31,FALSE)), OR(MID(metadata!C843,11,1)="", AND(AND(MID(metadata!C843,11,1)=" ",IFERROR(INT(MID(metadata!C843,12,1))&gt;=0,FALSE),IFERROR(INT(MID(metadata!C843,12,1))&lt;=2,FALSE),NOT(MID(metadata!C843,13,1)=""),IFERROR(INT(MID(metadata!C843,12,2))&gt;=0,FALSE),IFERROR(INT(MID(metadata!C843,12,2))&lt;=23,FALSE)), OR(MID(metadata!C843,14,1)="", AND(AND(MID(metadata!C843,14,1)=":",IFERROR(INT(MID(metadata!C843,15,1))&gt;=0,FALSE),IFERROR(INT(MID(metadata!C843,15,1))&lt;=5,FALSE),NOT(MID(metadata!C843,16,1)=""),IFERROR(INT(MID(metadata!C843,15,2))&gt;=0,FALSE),IFERROR(INT(MID(metadata!C843,15,2))&lt;=59,FALSE)), OR(MID(metadata!C843,17,1)="", AND(AND(MID(metadata!C843,17,1)=":",IFERROR(INT(MID(metadata!C843,18,1))&gt;=0,FALSE),IFERROR(INT(MID(metadata!C843,18,1))&lt;=5,FALSE),NOT(MID(metadata!C843,19,1)=""),IFERROR(INT(MID(metadata!C843,18,2))&gt;=0,FALSE),IFERROR(INT(MID(metadata!C843,18,2))&lt;=59,FALSE)), LEN(metadata!C843)&lt;=19)))))))))))))</f>
        <v>0</v>
      </c>
      <c r="AO843" t="b">
        <f>AND(IF(metadata!D843="",FALSE,TRUE),EXACT(metadata!D843,"Not applicable"))</f>
        <v>0</v>
      </c>
      <c r="AP843" t="b">
        <f>IF(metadata!E843="",FALSE,TRUE)</f>
        <v>0</v>
      </c>
      <c r="AQ843" t="b">
        <f>OR(AND(IF(metadata!F843="",FALSE,TRUE),OR(EXACT(metadata!F843,"missing: not collected"),EXACT(metadata!F843,"missing: not provided"))),AND(IF(metadata!F843="",FALSE,TRUE),OR(EXACT(metadata!F843,"TRUE"),EXACT(metadata!F843,"FALSE"))))</f>
        <v>0</v>
      </c>
      <c r="AR843" t="b">
        <f>OR(AND(IF(metadata!G843="",FALSE,TRUE),OR(EXACT(metadata!G843,"missing: not collected"),EXACT(metadata!G843,"missing: not provided"),EXACT(metadata!G843,"missing: restricted access"))),AND(IF(metadata!G843="",FALSE,ISNUMBER(VALUE(metadata!G843))),metadata!G843&gt;=-413))</f>
        <v>0</v>
      </c>
      <c r="AS843" t="b">
        <f>AND(IF(metadata!H843="",FALSE,TRUE),EXACT(metadata!H843,"meters"))</f>
        <v>0</v>
      </c>
      <c r="AT843" t="b">
        <f>AND(IF(metadata!I843="",FALSE,TRUE),OR(EXACT(metadata!I843,"Host-associated"),EXACT(metadata!I843,"Free-living")))</f>
        <v>0</v>
      </c>
      <c r="AU843" t="b">
        <f>AND(IF(metadata!J843="",FALSE,TRUE),OR(EXACT(metadata!J843,"Animal"),EXACT(metadata!J843,"Fungus"),EXACT(metadata!J843,"Plant"),EXACT(metadata!J843,"Saline"),EXACT(metadata!J843,"Non-saline")))</f>
        <v>0</v>
      </c>
      <c r="AV843" t="b">
        <f>AND(IF(metadata!K843="",FALSE,TRUE),OR(EXACT(metadata!K843,"Plant secretion"),EXACT(metadata!K843,"Plant rhizosphere"),EXACT(metadata!K843,"Plant surface"),EXACT(metadata!K843,"Plant corpus"),EXACT(metadata!K843,"Fungus surface"),EXACT(metadata!K843,"Fungus corpus"),EXACT(metadata!K843,"Animal surface"),EXACT(metadata!K843,"Animal proximal gut"),EXACT(metadata!K843,"Animal corpus"),EXACT(metadata!K843,"Animal distal gut"),EXACT(metadata!K843,"Animal secretion"),EXACT(metadata!K843,"Sub-surface (non-saline)"),EXACT(metadata!K843,"Surface (non-saline)"),EXACT(metadata!K843,"Water (non-saline)"),EXACT(metadata!K843,"Soil (non-saline)"),EXACT(metadata!K843,"Aerosol (non-saline)"),EXACT(metadata!K843,"Sediment (non-saline)"),EXACT(metadata!K843,"Surface (saline)"),EXACT(metadata!K843,"Water (saline)"),EXACT(metadata!K843,"Hypersaline (saline)"),EXACT(metadata!K843,"Aerosol (saline)"),EXACT(metadata!K843,"Sediment (saline)")))</f>
        <v>0</v>
      </c>
      <c r="AW843" t="b">
        <f>IF(metadata!L843="",FALSE,TRUE)</f>
        <v>0</v>
      </c>
      <c r="AX843" t="b">
        <f>IF(metadata!M843="",FALSE,TRUE)</f>
        <v>0</v>
      </c>
      <c r="AY843" t="b">
        <f>IF(metadata!N843="",FALSE,TRUE)</f>
        <v>0</v>
      </c>
      <c r="AZ843" t="b">
        <f>OR(AND(IF(metadata!O843="",FALSE,TRUE),OR(EXACT(metadata!O843,"missing: not collected"),EXACT(metadata!O843,"missing: not provided"),EXACT(metadata!O843,"missing: restricted access"))),AND(IF(metadata!O843="",FALSE,TRUE),OR(EXACT(metadata!O843,"air"),EXACT(metadata!O843,"built environment"),EXACT(metadata!O843,"host-associated"),EXACT(metadata!O843,"human-associated"),EXACT(metadata!O843,"human-skin"),EXACT(metadata!O843,"human-oral"),EXACT(metadata!O843,"human-gut"),EXACT(metadata!O843,"human-vaginal"),EXACT(metadata!O843,"microbial mat/biofilm"),EXACT(metadata!O843,"misc environment"),EXACT(metadata!O843,"plant-associated"),EXACT(metadata!O843,"sediment"),EXACT(metadata!O843,"soil"),EXACT(metadata!O843,"wastewater/sludge"),EXACT(metadata!O843,"water"))))</f>
        <v>0</v>
      </c>
      <c r="BA843" t="b">
        <f>IF(metadata!P843="",FALSE,TRUE)</f>
        <v>0</v>
      </c>
      <c r="BB843" t="b">
        <f>IF(metadata!Q843="",FALSE,TRUE)</f>
        <v>0</v>
      </c>
      <c r="BC843" t="b">
        <f>OR(AND(IF(metadata!R843="",FALSE,TRUE),OR(EXACT(metadata!R843,"missing: not collected"),EXACT(metadata!R843,"missing: not provided"),EXACT(metadata!R843,"missing: restricted access"))),AND(IF(metadata!R843="",FALSE,ISNUMBER(VALUE(metadata!R843))),metadata!R843&gt;=-90,metadata!R843&lt;=90))</f>
        <v>0</v>
      </c>
      <c r="BD843" t="b">
        <f>AND(IF(metadata!S843="",FALSE,TRUE),EXACT(metadata!S843,"Decimal degrees"))</f>
        <v>0</v>
      </c>
      <c r="BE843" t="b">
        <f>OR(AND(IF(metadata!T843="",FALSE,TRUE),OR(EXACT(metadata!T843,"missing: not collected"),EXACT(metadata!T843,"missing: not provided"),EXACT(metadata!T843,"missing: restricted access"))),AND(IF(metadata!T843="",FALSE,ISNUMBER(VALUE(metadata!T843))),metadata!T843&gt;=-180,metadata!T843&lt;=180))</f>
        <v>0</v>
      </c>
      <c r="BF843" t="b">
        <f>AND(IF(metadata!U843="",FALSE,TRUE),EXACT(metadata!U843,"Decimal degrees"))</f>
        <v>0</v>
      </c>
      <c r="BG843" t="b">
        <f>IF(metadata!V843="",FALSE,TRUE)</f>
        <v>0</v>
      </c>
      <c r="BH843" t="b">
        <f>OR(AND(IF(metadata!W843="",FALSE,TRUE),OR(EXACT(metadata!W843,"missing: not collected"),EXACT(metadata!W843,"missing: not provided"),EXACT(metadata!W843,"missing: restricted access"))),AND(IF(metadata!W843="",FALSE,TRUE),OR(EXACT(metadata!W843,"TRUE"),EXACT(metadata!W843,"FALSE"))))</f>
        <v>0</v>
      </c>
      <c r="BI843" t="b">
        <f>AND(IF(metadata!X843="",FALSE,TRUE),EXACT(metadata!X843,"other"))</f>
        <v>0</v>
      </c>
      <c r="BJ843" t="b">
        <f>IF(metadata!Y843="",FALSE,TRUE)</f>
        <v>0</v>
      </c>
      <c r="BK843" t="b">
        <f>OR(AND(IF(metadata!Z843="",FALSE,TRUE),OR(EXACT(metadata!Z843,"missing: not collected"),EXACT(metadata!Z843,"missing: not provided"))),AND(IF(metadata!Z843="",FALSE,IF(ISERROR(INT(metadata!Z843)),FALSE,INT(metadata!Z843)=metadata!Z843)),metadata!Z843&gt;0))</f>
        <v>0</v>
      </c>
      <c r="BL843" t="b">
        <f>AND(IF(metadata!AA843="",FALSE,TRUE),EXACT(metadata!AA843,"Not applicable"))</f>
        <v>0</v>
      </c>
      <c r="BM843" t="b">
        <f>IF(metadata!AB843="",FALSE,TRUE)</f>
        <v>0</v>
      </c>
    </row>
    <row r="844" spans="1:65" x14ac:dyDescent="0.2">
      <c r="A844" s="5" t="str">
        <f ca="1">IF(B844=" "," ",HYPERLINK(CONCATENATE("#metadata!",ADDRESS(INDEX($AH$2:$AH$1001,MATCH(ROWS($AF$2:AF844),$AF$2:$AF$1001,0),0),1)),INDEX($AK$2:$AK$1001,MATCH(ROWS($AF$2:AF844),$AF$2:$AF$1001,0),0)))</f>
        <v xml:space="preserve"> </v>
      </c>
      <c r="B844" s="4" t="str">
        <f ca="1">IF(OR(INDEX($AG$2:$AG$1001,MATCH(ROWS($AF$2:AF844),$AF$2:$AF$1001,0),1)&gt;=100000,INDEX($AM$1005:$BM$1005,1,MATCH(COLUMNS($AM$1006:AM1006),$AM$1006:$BM$1006,0))&gt;=100000), " ",IF(INDEX($AM$2:$BM$1001,MATCH(ROWS($AF$2:AF844),$AF$2:$AF$1001,0),MATCH(COLUMNS($AM$1006:AM1006),$AM$1006:$BM$1006,0)), HYPERLINK("#",""), HYPERLINK(CONCATENATE("#metadata!", ADDRESS(INDEX($AH$2:$AH$1001,MATCH(ROWS($AF$2:AF844),$AF$2:$AF$1001,0),0), INDEX($AM$1004:$BM$1004,1,MATCH(COLUMNS($AM$1006:AM1006),$AM$1006:$BM$1006,0)))),"Fix")))</f>
        <v xml:space="preserve"> </v>
      </c>
      <c r="C844" s="4" t="str">
        <f ca="1">IF(OR(INDEX($AG$2:$AG$1001,MATCH(ROWS($AF$2:AF844),$AF$2:$AF$1001,0),1)&gt;=100000,INDEX($AM$1005:$BM$1005,1,MATCH(COLUMNS($AM$1006:AN1006),$AM$1006:$BM$1006,0))&gt;=100000), " ",IF(INDEX($AM$2:$BM$1001,MATCH(ROWS($AF$2:AF844),$AF$2:$AF$1001,0),MATCH(COLUMNS($AM$1006:AN1006),$AM$1006:$BM$1006,0)), HYPERLINK("#",""), HYPERLINK(CONCATENATE("#metadata!", ADDRESS(INDEX($AH$2:$AH$1001,MATCH(ROWS($AF$2:AF844),$AF$2:$AF$1001,0),0), INDEX($AM$1004:$BM$1004,1,MATCH(COLUMNS($AM$1006:AN1006),$AM$1006:$BM$1006,0)))),"Fix")))</f>
        <v xml:space="preserve"> </v>
      </c>
      <c r="D844" s="4" t="str">
        <f ca="1">IF(OR(INDEX($AG$2:$AG$1001,MATCH(ROWS($AF$2:AF844),$AF$2:$AF$1001,0),1)&gt;=100000,INDEX($AM$1005:$BM$1005,1,MATCH(COLUMNS($AM$1006:AO1006),$AM$1006:$BM$1006,0))&gt;=100000), " ",IF(INDEX($AM$2:$BM$1001,MATCH(ROWS($AF$2:AF844),$AF$2:$AF$1001,0),MATCH(COLUMNS($AM$1006:AO1006),$AM$1006:$BM$1006,0)), HYPERLINK("#",""), HYPERLINK(CONCATENATE("#metadata!", ADDRESS(INDEX($AH$2:$AH$1001,MATCH(ROWS($AF$2:AF844),$AF$2:$AF$1001,0),0), INDEX($AM$1004:$BM$1004,1,MATCH(COLUMNS($AM$1006:AO1006),$AM$1006:$BM$1006,0)))),"Fix")))</f>
        <v xml:space="preserve"> </v>
      </c>
      <c r="E844" s="4" t="str">
        <f ca="1">IF(OR(INDEX($AG$2:$AG$1001,MATCH(ROWS($AF$2:AF844),$AF$2:$AF$1001,0),1)&gt;=100000,INDEX($AM$1005:$BM$1005,1,MATCH(COLUMNS($AM$1006:AP1006),$AM$1006:$BM$1006,0))&gt;=100000), " ",IF(INDEX($AM$2:$BM$1001,MATCH(ROWS($AF$2:AF844),$AF$2:$AF$1001,0),MATCH(COLUMNS($AM$1006:AP1006),$AM$1006:$BM$1006,0)), HYPERLINK("#",""), HYPERLINK(CONCATENATE("#metadata!", ADDRESS(INDEX($AH$2:$AH$1001,MATCH(ROWS($AF$2:AF844),$AF$2:$AF$1001,0),0), INDEX($AM$1004:$BM$1004,1,MATCH(COLUMNS($AM$1006:AP1006),$AM$1006:$BM$1006,0)))),"Fix")))</f>
        <v xml:space="preserve"> </v>
      </c>
      <c r="F844" s="4" t="str">
        <f ca="1">IF(OR(INDEX($AG$2:$AG$1001,MATCH(ROWS($AF$2:AF844),$AF$2:$AF$1001,0),1)&gt;=100000,INDEX($AM$1005:$BM$1005,1,MATCH(COLUMNS($AM$1006:AQ1006),$AM$1006:$BM$1006,0))&gt;=100000), " ",IF(INDEX($AM$2:$BM$1001,MATCH(ROWS($AF$2:AF844),$AF$2:$AF$1001,0),MATCH(COLUMNS($AM$1006:AQ1006),$AM$1006:$BM$1006,0)), HYPERLINK("#",""), HYPERLINK(CONCATENATE("#metadata!", ADDRESS(INDEX($AH$2:$AH$1001,MATCH(ROWS($AF$2:AF844),$AF$2:$AF$1001,0),0), INDEX($AM$1004:$BM$1004,1,MATCH(COLUMNS($AM$1006:AQ1006),$AM$1006:$BM$1006,0)))),"Fix")))</f>
        <v xml:space="preserve"> </v>
      </c>
      <c r="G844" s="4" t="str">
        <f ca="1">IF(OR(INDEX($AG$2:$AG$1001,MATCH(ROWS($AF$2:AF844),$AF$2:$AF$1001,0),1)&gt;=100000,INDEX($AM$1005:$BM$1005,1,MATCH(COLUMNS($AM$1006:AR1006),$AM$1006:$BM$1006,0))&gt;=100000), " ",IF(INDEX($AM$2:$BM$1001,MATCH(ROWS($AF$2:AF844),$AF$2:$AF$1001,0),MATCH(COLUMNS($AM$1006:AR1006),$AM$1006:$BM$1006,0)), HYPERLINK("#",""), HYPERLINK(CONCATENATE("#metadata!", ADDRESS(INDEX($AH$2:$AH$1001,MATCH(ROWS($AF$2:AF844),$AF$2:$AF$1001,0),0), INDEX($AM$1004:$BM$1004,1,MATCH(COLUMNS($AM$1006:AR1006),$AM$1006:$BM$1006,0)))),"Fix")))</f>
        <v xml:space="preserve"> </v>
      </c>
      <c r="H844" s="4" t="str">
        <f ca="1">IF(OR(INDEX($AG$2:$AG$1001,MATCH(ROWS($AF$2:AF844),$AF$2:$AF$1001,0),1)&gt;=100000,INDEX($AM$1005:$BM$1005,1,MATCH(COLUMNS($AM$1006:AS1006),$AM$1006:$BM$1006,0))&gt;=100000), " ",IF(INDEX($AM$2:$BM$1001,MATCH(ROWS($AF$2:AF844),$AF$2:$AF$1001,0),MATCH(COLUMNS($AM$1006:AS1006),$AM$1006:$BM$1006,0)), HYPERLINK("#",""), HYPERLINK(CONCATENATE("#metadata!", ADDRESS(INDEX($AH$2:$AH$1001,MATCH(ROWS($AF$2:AF844),$AF$2:$AF$1001,0),0), INDEX($AM$1004:$BM$1004,1,MATCH(COLUMNS($AM$1006:AS1006),$AM$1006:$BM$1006,0)))),"Fix")))</f>
        <v xml:space="preserve"> </v>
      </c>
      <c r="I844" s="4" t="str">
        <f ca="1">IF(OR(INDEX($AG$2:$AG$1001,MATCH(ROWS($AF$2:AF844),$AF$2:$AF$1001,0),1)&gt;=100000,INDEX($AM$1005:$BM$1005,1,MATCH(COLUMNS($AM$1006:AT1006),$AM$1006:$BM$1006,0))&gt;=100000), " ",IF(INDEX($AM$2:$BM$1001,MATCH(ROWS($AF$2:AF844),$AF$2:$AF$1001,0),MATCH(COLUMNS($AM$1006:AT1006),$AM$1006:$BM$1006,0)), HYPERLINK("#",""), HYPERLINK(CONCATENATE("#metadata!", ADDRESS(INDEX($AH$2:$AH$1001,MATCH(ROWS($AF$2:AF844),$AF$2:$AF$1001,0),0), INDEX($AM$1004:$BM$1004,1,MATCH(COLUMNS($AM$1006:AT1006),$AM$1006:$BM$1006,0)))),"Fix")))</f>
        <v xml:space="preserve"> </v>
      </c>
      <c r="J844" s="4" t="str">
        <f ca="1">IF(OR(INDEX($AG$2:$AG$1001,MATCH(ROWS($AF$2:AF844),$AF$2:$AF$1001,0),1)&gt;=100000,INDEX($AM$1005:$BM$1005,1,MATCH(COLUMNS($AM$1006:AU1006),$AM$1006:$BM$1006,0))&gt;=100000), " ",IF(INDEX($AM$2:$BM$1001,MATCH(ROWS($AF$2:AF844),$AF$2:$AF$1001,0),MATCH(COLUMNS($AM$1006:AU1006),$AM$1006:$BM$1006,0)), HYPERLINK("#",""), HYPERLINK(CONCATENATE("#metadata!", ADDRESS(INDEX($AH$2:$AH$1001,MATCH(ROWS($AF$2:AF844),$AF$2:$AF$1001,0),0), INDEX($AM$1004:$BM$1004,1,MATCH(COLUMNS($AM$1006:AU1006),$AM$1006:$BM$1006,0)))),"Fix")))</f>
        <v xml:space="preserve"> </v>
      </c>
      <c r="K844" s="4" t="str">
        <f ca="1">IF(OR(INDEX($AG$2:$AG$1001,MATCH(ROWS($AF$2:AF844),$AF$2:$AF$1001,0),1)&gt;=100000,INDEX($AM$1005:$BM$1005,1,MATCH(COLUMNS($AM$1006:AV1006),$AM$1006:$BM$1006,0))&gt;=100000), " ",IF(INDEX($AM$2:$BM$1001,MATCH(ROWS($AF$2:AF844),$AF$2:$AF$1001,0),MATCH(COLUMNS($AM$1006:AV1006),$AM$1006:$BM$1006,0)), HYPERLINK("#",""), HYPERLINK(CONCATENATE("#metadata!", ADDRESS(INDEX($AH$2:$AH$1001,MATCH(ROWS($AF$2:AF844),$AF$2:$AF$1001,0),0), INDEX($AM$1004:$BM$1004,1,MATCH(COLUMNS($AM$1006:AV1006),$AM$1006:$BM$1006,0)))),"Fix")))</f>
        <v xml:space="preserve"> </v>
      </c>
      <c r="L844" s="4" t="str">
        <f ca="1">IF(OR(INDEX($AG$2:$AG$1001,MATCH(ROWS($AF$2:AF844),$AF$2:$AF$1001,0),1)&gt;=100000,INDEX($AM$1005:$BM$1005,1,MATCH(COLUMNS($AM$1006:AW1006),$AM$1006:$BM$1006,0))&gt;=100000), " ",IF(INDEX($AM$2:$BM$1001,MATCH(ROWS($AF$2:AF844),$AF$2:$AF$1001,0),MATCH(COLUMNS($AM$1006:AW1006),$AM$1006:$BM$1006,0)), HYPERLINK("#",""), HYPERLINK(CONCATENATE("#metadata!", ADDRESS(INDEX($AH$2:$AH$1001,MATCH(ROWS($AF$2:AF844),$AF$2:$AF$1001,0),0), INDEX($AM$1004:$BM$1004,1,MATCH(COLUMNS($AM$1006:AW1006),$AM$1006:$BM$1006,0)))),"Fix")))</f>
        <v xml:space="preserve"> </v>
      </c>
      <c r="M844" s="4" t="str">
        <f ca="1">IF(OR(INDEX($AG$2:$AG$1001,MATCH(ROWS($AF$2:AF844),$AF$2:$AF$1001,0),1)&gt;=100000,INDEX($AM$1005:$BM$1005,1,MATCH(COLUMNS($AM$1006:AX1006),$AM$1006:$BM$1006,0))&gt;=100000), " ",IF(INDEX($AM$2:$BM$1001,MATCH(ROWS($AF$2:AF844),$AF$2:$AF$1001,0),MATCH(COLUMNS($AM$1006:AX1006),$AM$1006:$BM$1006,0)), HYPERLINK("#",""), HYPERLINK(CONCATENATE("#metadata!", ADDRESS(INDEX($AH$2:$AH$1001,MATCH(ROWS($AF$2:AF844),$AF$2:$AF$1001,0),0), INDEX($AM$1004:$BM$1004,1,MATCH(COLUMNS($AM$1006:AX1006),$AM$1006:$BM$1006,0)))),"Fix")))</f>
        <v xml:space="preserve"> </v>
      </c>
      <c r="N844" s="4" t="str">
        <f ca="1">IF(OR(INDEX($AG$2:$AG$1001,MATCH(ROWS($AF$2:AF844),$AF$2:$AF$1001,0),1)&gt;=100000,INDEX($AM$1005:$BM$1005,1,MATCH(COLUMNS($AM$1006:AY1006),$AM$1006:$BM$1006,0))&gt;=100000), " ",IF(INDEX($AM$2:$BM$1001,MATCH(ROWS($AF$2:AF844),$AF$2:$AF$1001,0),MATCH(COLUMNS($AM$1006:AY1006),$AM$1006:$BM$1006,0)), HYPERLINK("#",""), HYPERLINK(CONCATENATE("#metadata!", ADDRESS(INDEX($AH$2:$AH$1001,MATCH(ROWS($AF$2:AF844),$AF$2:$AF$1001,0),0), INDEX($AM$1004:$BM$1004,1,MATCH(COLUMNS($AM$1006:AY1006),$AM$1006:$BM$1006,0)))),"Fix")))</f>
        <v xml:space="preserve"> </v>
      </c>
      <c r="O844" s="4" t="str">
        <f ca="1">IF(OR(INDEX($AG$2:$AG$1001,MATCH(ROWS($AF$2:AF844),$AF$2:$AF$1001,0),1)&gt;=100000,INDEX($AM$1005:$BM$1005,1,MATCH(COLUMNS($AM$1006:AZ1006),$AM$1006:$BM$1006,0))&gt;=100000), " ",IF(INDEX($AM$2:$BM$1001,MATCH(ROWS($AF$2:AF844),$AF$2:$AF$1001,0),MATCH(COLUMNS($AM$1006:AZ1006),$AM$1006:$BM$1006,0)), HYPERLINK("#",""), HYPERLINK(CONCATENATE("#metadata!", ADDRESS(INDEX($AH$2:$AH$1001,MATCH(ROWS($AF$2:AF844),$AF$2:$AF$1001,0),0), INDEX($AM$1004:$BM$1004,1,MATCH(COLUMNS($AM$1006:AZ1006),$AM$1006:$BM$1006,0)))),"Fix")))</f>
        <v xml:space="preserve"> </v>
      </c>
      <c r="P844" s="4" t="str">
        <f ca="1">IF(OR(INDEX($AG$2:$AG$1001,MATCH(ROWS($AF$2:AF844),$AF$2:$AF$1001,0),1)&gt;=100000,INDEX($AM$1005:$BM$1005,1,MATCH(COLUMNS($AM$1006:BA1006),$AM$1006:$BM$1006,0))&gt;=100000), " ",IF(INDEX($AM$2:$BM$1001,MATCH(ROWS($AF$2:AF844),$AF$2:$AF$1001,0),MATCH(COLUMNS($AM$1006:BA1006),$AM$1006:$BM$1006,0)), HYPERLINK("#",""), HYPERLINK(CONCATENATE("#metadata!", ADDRESS(INDEX($AH$2:$AH$1001,MATCH(ROWS($AF$2:AF844),$AF$2:$AF$1001,0),0), INDEX($AM$1004:$BM$1004,1,MATCH(COLUMNS($AM$1006:BA1006),$AM$1006:$BM$1006,0)))),"Fix")))</f>
        <v xml:space="preserve"> </v>
      </c>
      <c r="Q844" s="4" t="str">
        <f ca="1">IF(OR(INDEX($AG$2:$AG$1001,MATCH(ROWS($AF$2:AF844),$AF$2:$AF$1001,0),1)&gt;=100000,INDEX($AM$1005:$BM$1005,1,MATCH(COLUMNS($AM$1006:BB1006),$AM$1006:$BM$1006,0))&gt;=100000), " ",IF(INDEX($AM$2:$BM$1001,MATCH(ROWS($AF$2:AF844),$AF$2:$AF$1001,0),MATCH(COLUMNS($AM$1006:BB1006),$AM$1006:$BM$1006,0)), HYPERLINK("#",""), HYPERLINK(CONCATENATE("#metadata!", ADDRESS(INDEX($AH$2:$AH$1001,MATCH(ROWS($AF$2:AF844),$AF$2:$AF$1001,0),0), INDEX($AM$1004:$BM$1004,1,MATCH(COLUMNS($AM$1006:BB1006),$AM$1006:$BM$1006,0)))),"Fix")))</f>
        <v xml:space="preserve"> </v>
      </c>
      <c r="R844" s="4" t="str">
        <f ca="1">IF(OR(INDEX($AG$2:$AG$1001,MATCH(ROWS($AF$2:AF844),$AF$2:$AF$1001,0),1)&gt;=100000,INDEX($AM$1005:$BM$1005,1,MATCH(COLUMNS($AM$1006:BC1006),$AM$1006:$BM$1006,0))&gt;=100000), " ",IF(INDEX($AM$2:$BM$1001,MATCH(ROWS($AF$2:AF844),$AF$2:$AF$1001,0),MATCH(COLUMNS($AM$1006:BC1006),$AM$1006:$BM$1006,0)), HYPERLINK("#",""), HYPERLINK(CONCATENATE("#metadata!", ADDRESS(INDEX($AH$2:$AH$1001,MATCH(ROWS($AF$2:AF844),$AF$2:$AF$1001,0),0), INDEX($AM$1004:$BM$1004,1,MATCH(COLUMNS($AM$1006:BC1006),$AM$1006:$BM$1006,0)))),"Fix")))</f>
        <v xml:space="preserve"> </v>
      </c>
      <c r="S844" s="4" t="str">
        <f ca="1">IF(OR(INDEX($AG$2:$AG$1001,MATCH(ROWS($AF$2:AF844),$AF$2:$AF$1001,0),1)&gt;=100000,INDEX($AM$1005:$BM$1005,1,MATCH(COLUMNS($AM$1006:BD1006),$AM$1006:$BM$1006,0))&gt;=100000), " ",IF(INDEX($AM$2:$BM$1001,MATCH(ROWS($AF$2:AF844),$AF$2:$AF$1001,0),MATCH(COLUMNS($AM$1006:BD1006),$AM$1006:$BM$1006,0)), HYPERLINK("#",""), HYPERLINK(CONCATENATE("#metadata!", ADDRESS(INDEX($AH$2:$AH$1001,MATCH(ROWS($AF$2:AF844),$AF$2:$AF$1001,0),0), INDEX($AM$1004:$BM$1004,1,MATCH(COLUMNS($AM$1006:BD1006),$AM$1006:$BM$1006,0)))),"Fix")))</f>
        <v xml:space="preserve"> </v>
      </c>
      <c r="T844" s="4" t="str">
        <f ca="1">IF(OR(INDEX($AG$2:$AG$1001,MATCH(ROWS($AF$2:AF844),$AF$2:$AF$1001,0),1)&gt;=100000,INDEX($AM$1005:$BM$1005,1,MATCH(COLUMNS($AM$1006:BE1006),$AM$1006:$BM$1006,0))&gt;=100000), " ",IF(INDEX($AM$2:$BM$1001,MATCH(ROWS($AF$2:AF844),$AF$2:$AF$1001,0),MATCH(COLUMNS($AM$1006:BE1006),$AM$1006:$BM$1006,0)), HYPERLINK("#",""), HYPERLINK(CONCATENATE("#metadata!", ADDRESS(INDEX($AH$2:$AH$1001,MATCH(ROWS($AF$2:AF844),$AF$2:$AF$1001,0),0), INDEX($AM$1004:$BM$1004,1,MATCH(COLUMNS($AM$1006:BE1006),$AM$1006:$BM$1006,0)))),"Fix")))</f>
        <v xml:space="preserve"> </v>
      </c>
      <c r="U844" s="4" t="str">
        <f ca="1">IF(OR(INDEX($AG$2:$AG$1001,MATCH(ROWS($AF$2:AF844),$AF$2:$AF$1001,0),1)&gt;=100000,INDEX($AM$1005:$BM$1005,1,MATCH(COLUMNS($AM$1006:BF1006),$AM$1006:$BM$1006,0))&gt;=100000), " ",IF(INDEX($AM$2:$BM$1001,MATCH(ROWS($AF$2:AF844),$AF$2:$AF$1001,0),MATCH(COLUMNS($AM$1006:BF1006),$AM$1006:$BM$1006,0)), HYPERLINK("#",""), HYPERLINK(CONCATENATE("#metadata!", ADDRESS(INDEX($AH$2:$AH$1001,MATCH(ROWS($AF$2:AF844),$AF$2:$AF$1001,0),0), INDEX($AM$1004:$BM$1004,1,MATCH(COLUMNS($AM$1006:BF1006),$AM$1006:$BM$1006,0)))),"Fix")))</f>
        <v xml:space="preserve"> </v>
      </c>
      <c r="V844" s="4" t="str">
        <f ca="1">IF(OR(INDEX($AG$2:$AG$1001,MATCH(ROWS($AF$2:AF844),$AF$2:$AF$1001,0),1)&gt;=100000,INDEX($AM$1005:$BM$1005,1,MATCH(COLUMNS($AM$1006:BG1006),$AM$1006:$BM$1006,0))&gt;=100000), " ",IF(INDEX($AM$2:$BM$1001,MATCH(ROWS($AF$2:AF844),$AF$2:$AF$1001,0),MATCH(COLUMNS($AM$1006:BG1006),$AM$1006:$BM$1006,0)), HYPERLINK("#",""), HYPERLINK(CONCATENATE("#metadata!", ADDRESS(INDEX($AH$2:$AH$1001,MATCH(ROWS($AF$2:AF844),$AF$2:$AF$1001,0),0), INDEX($AM$1004:$BM$1004,1,MATCH(COLUMNS($AM$1006:BG1006),$AM$1006:$BM$1006,0)))),"Fix")))</f>
        <v xml:space="preserve"> </v>
      </c>
      <c r="W844" s="4" t="str">
        <f ca="1">IF(OR(INDEX($AG$2:$AG$1001,MATCH(ROWS($AF$2:AF844),$AF$2:$AF$1001,0),1)&gt;=100000,INDEX($AM$1005:$BM$1005,1,MATCH(COLUMNS($AM$1006:BH1006),$AM$1006:$BM$1006,0))&gt;=100000), " ",IF(INDEX($AM$2:$BM$1001,MATCH(ROWS($AF$2:AF844),$AF$2:$AF$1001,0),MATCH(COLUMNS($AM$1006:BH1006),$AM$1006:$BM$1006,0)), HYPERLINK("#",""), HYPERLINK(CONCATENATE("#metadata!", ADDRESS(INDEX($AH$2:$AH$1001,MATCH(ROWS($AF$2:AF844),$AF$2:$AF$1001,0),0), INDEX($AM$1004:$BM$1004,1,MATCH(COLUMNS($AM$1006:BH1006),$AM$1006:$BM$1006,0)))),"Fix")))</f>
        <v xml:space="preserve"> </v>
      </c>
      <c r="X844" s="4" t="str">
        <f ca="1">IF(OR(INDEX($AG$2:$AG$1001,MATCH(ROWS($AF$2:AF844),$AF$2:$AF$1001,0),1)&gt;=100000,INDEX($AM$1005:$BM$1005,1,MATCH(COLUMNS($AM$1006:BI1006),$AM$1006:$BM$1006,0))&gt;=100000), " ",IF(INDEX($AM$2:$BM$1001,MATCH(ROWS($AF$2:AF844),$AF$2:$AF$1001,0),MATCH(COLUMNS($AM$1006:BI1006),$AM$1006:$BM$1006,0)), HYPERLINK("#",""), HYPERLINK(CONCATENATE("#metadata!", ADDRESS(INDEX($AH$2:$AH$1001,MATCH(ROWS($AF$2:AF844),$AF$2:$AF$1001,0),0), INDEX($AM$1004:$BM$1004,1,MATCH(COLUMNS($AM$1006:BI1006),$AM$1006:$BM$1006,0)))),"Fix")))</f>
        <v xml:space="preserve"> </v>
      </c>
      <c r="Y844" s="4" t="str">
        <f ca="1">IF(OR(INDEX($AG$2:$AG$1001,MATCH(ROWS($AF$2:AF844),$AF$2:$AF$1001,0),1)&gt;=100000,INDEX($AM$1005:$BM$1005,1,MATCH(COLUMNS($AM$1006:BJ1006),$AM$1006:$BM$1006,0))&gt;=100000), " ",IF(INDEX($AM$2:$BM$1001,MATCH(ROWS($AF$2:AF844),$AF$2:$AF$1001,0),MATCH(COLUMNS($AM$1006:BJ1006),$AM$1006:$BM$1006,0)), HYPERLINK("#",""), HYPERLINK(CONCATENATE("#metadata!", ADDRESS(INDEX($AH$2:$AH$1001,MATCH(ROWS($AF$2:AF844),$AF$2:$AF$1001,0),0), INDEX($AM$1004:$BM$1004,1,MATCH(COLUMNS($AM$1006:BJ1006),$AM$1006:$BM$1006,0)))),"Fix")))</f>
        <v xml:space="preserve"> </v>
      </c>
      <c r="Z844" s="4" t="str">
        <f ca="1">IF(OR(INDEX($AG$2:$AG$1001,MATCH(ROWS($AF$2:AF844),$AF$2:$AF$1001,0),1)&gt;=100000,INDEX($AM$1005:$BM$1005,1,MATCH(COLUMNS($AM$1006:BK1006),$AM$1006:$BM$1006,0))&gt;=100000), " ",IF(INDEX($AM$2:$BM$1001,MATCH(ROWS($AF$2:AF844),$AF$2:$AF$1001,0),MATCH(COLUMNS($AM$1006:BK1006),$AM$1006:$BM$1006,0)), HYPERLINK("#",""), HYPERLINK(CONCATENATE("#metadata!", ADDRESS(INDEX($AH$2:$AH$1001,MATCH(ROWS($AF$2:AF844),$AF$2:$AF$1001,0),0), INDEX($AM$1004:$BM$1004,1,MATCH(COLUMNS($AM$1006:BK1006),$AM$1006:$BM$1006,0)))),"Fix")))</f>
        <v xml:space="preserve"> </v>
      </c>
      <c r="AA844" s="4" t="str">
        <f ca="1">IF(OR(INDEX($AG$2:$AG$1001,MATCH(ROWS($AF$2:AF844),$AF$2:$AF$1001,0),1)&gt;=100000,INDEX($AM$1005:$BM$1005,1,MATCH(COLUMNS($AM$1006:BL1006),$AM$1006:$BM$1006,0))&gt;=100000), " ",IF(INDEX($AM$2:$BM$1001,MATCH(ROWS($AF$2:AF844),$AF$2:$AF$1001,0),MATCH(COLUMNS($AM$1006:BL1006),$AM$1006:$BM$1006,0)), HYPERLINK("#",""), HYPERLINK(CONCATENATE("#metadata!", ADDRESS(INDEX($AH$2:$AH$1001,MATCH(ROWS($AF$2:AF844),$AF$2:$AF$1001,0),0), INDEX($AM$1004:$BM$1004,1,MATCH(COLUMNS($AM$1006:BL1006),$AM$1006:$BM$1006,0)))),"Fix")))</f>
        <v xml:space="preserve"> </v>
      </c>
      <c r="AB844" s="4" t="str">
        <f ca="1">IF(OR(INDEX($AG$2:$AG$1001,MATCH(ROWS($AF$2:AF844),$AF$2:$AF$1001,0),1)&gt;=100000,INDEX($AM$1005:$BM$1005,1,MATCH(COLUMNS($AM$1006:BM1006),$AM$1006:$BM$1006,0))&gt;=100000), " ",IF(INDEX($AM$2:$BM$1001,MATCH(ROWS($AF$2:AF844),$AF$2:$AF$1001,0),MATCH(COLUMNS($AM$1006:BM1006),$AM$1006:$BM$1006,0)), HYPERLINK("#",""), HYPERLINK(CONCATENATE("#metadata!", ADDRESS(INDEX($AH$2:$AH$1001,MATCH(ROWS($AF$2:AF844),$AF$2:$AF$1001,0),0), INDEX($AM$1004:$BM$1004,1,MATCH(COLUMNS($AM$1006:BM1006),$AM$1006:$BM$1006,0)))),"Fix")))</f>
        <v xml:space="preserve"> </v>
      </c>
      <c r="AF844">
        <v>843</v>
      </c>
      <c r="AG844">
        <v>100844</v>
      </c>
      <c r="AH844">
        <v>844</v>
      </c>
      <c r="AI844" t="b">
        <f t="shared" si="13"/>
        <v>1</v>
      </c>
      <c r="AJ844" t="b">
        <f>COUNTBLANK(metadata!B844:AB844)=COLUMNS(metadata!B844:AB844)</f>
        <v>1</v>
      </c>
      <c r="AK844" t="str">
        <v/>
      </c>
      <c r="AM844" t="b">
        <f ca="1">AND(IF(metadata!B844="",FALSE,TRUE),COUNTIF(metadata!B:B, metadata!B844) = 1,NOT(ISERROR(SUMPRODUCT(SEARCH(MID(metadata!B844,ROW(INDIRECT("1:"&amp;LEN(metadata!B844))), 1),"0123456789abcdefghijklmnopqrstuvwxyzABCDEFGHIJKLMNOPQRSTUVWXYZ.")))))</f>
        <v>0</v>
      </c>
      <c r="AN844" t="b">
        <f ca="1">OR(AND(IF(metadata!C844="",FALSE,TRUE),OR(EXACT(metadata!C844,"missing: not collected"),EXACT(metadata!C844,"missing: not provided"),EXACT(metadata!C844,"missing: restricted access"))),AND(IF(metadata!C844="",FALSE,TRUE),AND(AND(IFERROR(INT(LEFT(metadata!C844,4))&gt;1900,FALSE),IFERROR(INT(LEFT(metadata!C844,4))&lt;=YEAR(NOW()),FALSE)), OR(MID(metadata!C844,5,1)="", AND(AND(MID(metadata!C844,5,1)="-",IFERROR(INT(MID(metadata!C844,6,1))&gt;=0,FALSE),IFERROR(INT(MID(metadata!C844,6,1))&lt;=1,FALSE),NOT(MID(metadata!C844,7,1)=""),IFERROR(INT(MID(metadata!C844,6,2))&gt;=1,FALSE),IFERROR(INT(MID(metadata!C844,6,2))&lt;=12,FALSE)), OR(MID(metadata!C844,8,1)="", AND(AND(MID(metadata!C844,8,1)="-",IFERROR(INT(MID(metadata!C844,9,1))&gt;=0,FALSE),IFERROR(INT(MID(metadata!C844,9,1))&lt;=3,FALSE),NOT(MID(metadata!C844,10,1)=""),IFERROR(INT(MID(metadata!C844,9,2))&gt;=1,FALSE),IFERROR(INT(MID(metadata!C844,9,2))&lt;=31,FALSE)), OR(MID(metadata!C844,11,1)="", AND(AND(MID(metadata!C844,11,1)=" ",IFERROR(INT(MID(metadata!C844,12,1))&gt;=0,FALSE),IFERROR(INT(MID(metadata!C844,12,1))&lt;=2,FALSE),NOT(MID(metadata!C844,13,1)=""),IFERROR(INT(MID(metadata!C844,12,2))&gt;=0,FALSE),IFERROR(INT(MID(metadata!C844,12,2))&lt;=23,FALSE)), OR(MID(metadata!C844,14,1)="", AND(AND(MID(metadata!C844,14,1)=":",IFERROR(INT(MID(metadata!C844,15,1))&gt;=0,FALSE),IFERROR(INT(MID(metadata!C844,15,1))&lt;=5,FALSE),NOT(MID(metadata!C844,16,1)=""),IFERROR(INT(MID(metadata!C844,15,2))&gt;=0,FALSE),IFERROR(INT(MID(metadata!C844,15,2))&lt;=59,FALSE)), OR(MID(metadata!C844,17,1)="", AND(AND(MID(metadata!C844,17,1)=":",IFERROR(INT(MID(metadata!C844,18,1))&gt;=0,FALSE),IFERROR(INT(MID(metadata!C844,18,1))&lt;=5,FALSE),NOT(MID(metadata!C844,19,1)=""),IFERROR(INT(MID(metadata!C844,18,2))&gt;=0,FALSE),IFERROR(INT(MID(metadata!C844,18,2))&lt;=59,FALSE)), LEN(metadata!C844)&lt;=19)))))))))))))</f>
        <v>0</v>
      </c>
      <c r="AO844" t="b">
        <f>AND(IF(metadata!D844="",FALSE,TRUE),EXACT(metadata!D844,"Not applicable"))</f>
        <v>0</v>
      </c>
      <c r="AP844" t="b">
        <f>IF(metadata!E844="",FALSE,TRUE)</f>
        <v>0</v>
      </c>
      <c r="AQ844" t="b">
        <f>OR(AND(IF(metadata!F844="",FALSE,TRUE),OR(EXACT(metadata!F844,"missing: not collected"),EXACT(metadata!F844,"missing: not provided"))),AND(IF(metadata!F844="",FALSE,TRUE),OR(EXACT(metadata!F844,"TRUE"),EXACT(metadata!F844,"FALSE"))))</f>
        <v>0</v>
      </c>
      <c r="AR844" t="b">
        <f>OR(AND(IF(metadata!G844="",FALSE,TRUE),OR(EXACT(metadata!G844,"missing: not collected"),EXACT(metadata!G844,"missing: not provided"),EXACT(metadata!G844,"missing: restricted access"))),AND(IF(metadata!G844="",FALSE,ISNUMBER(VALUE(metadata!G844))),metadata!G844&gt;=-413))</f>
        <v>0</v>
      </c>
      <c r="AS844" t="b">
        <f>AND(IF(metadata!H844="",FALSE,TRUE),EXACT(metadata!H844,"meters"))</f>
        <v>0</v>
      </c>
      <c r="AT844" t="b">
        <f>AND(IF(metadata!I844="",FALSE,TRUE),OR(EXACT(metadata!I844,"Host-associated"),EXACT(metadata!I844,"Free-living")))</f>
        <v>0</v>
      </c>
      <c r="AU844" t="b">
        <f>AND(IF(metadata!J844="",FALSE,TRUE),OR(EXACT(metadata!J844,"Animal"),EXACT(metadata!J844,"Fungus"),EXACT(metadata!J844,"Plant"),EXACT(metadata!J844,"Saline"),EXACT(metadata!J844,"Non-saline")))</f>
        <v>0</v>
      </c>
      <c r="AV844" t="b">
        <f>AND(IF(metadata!K844="",FALSE,TRUE),OR(EXACT(metadata!K844,"Plant secretion"),EXACT(metadata!K844,"Plant rhizosphere"),EXACT(metadata!K844,"Plant surface"),EXACT(metadata!K844,"Plant corpus"),EXACT(metadata!K844,"Fungus surface"),EXACT(metadata!K844,"Fungus corpus"),EXACT(metadata!K844,"Animal surface"),EXACT(metadata!K844,"Animal proximal gut"),EXACT(metadata!K844,"Animal corpus"),EXACT(metadata!K844,"Animal distal gut"),EXACT(metadata!K844,"Animal secretion"),EXACT(metadata!K844,"Sub-surface (non-saline)"),EXACT(metadata!K844,"Surface (non-saline)"),EXACT(metadata!K844,"Water (non-saline)"),EXACT(metadata!K844,"Soil (non-saline)"),EXACT(metadata!K844,"Aerosol (non-saline)"),EXACT(metadata!K844,"Sediment (non-saline)"),EXACT(metadata!K844,"Surface (saline)"),EXACT(metadata!K844,"Water (saline)"),EXACT(metadata!K844,"Hypersaline (saline)"),EXACT(metadata!K844,"Aerosol (saline)"),EXACT(metadata!K844,"Sediment (saline)")))</f>
        <v>0</v>
      </c>
      <c r="AW844" t="b">
        <f>IF(metadata!L844="",FALSE,TRUE)</f>
        <v>0</v>
      </c>
      <c r="AX844" t="b">
        <f>IF(metadata!M844="",FALSE,TRUE)</f>
        <v>0</v>
      </c>
      <c r="AY844" t="b">
        <f>IF(metadata!N844="",FALSE,TRUE)</f>
        <v>0</v>
      </c>
      <c r="AZ844" t="b">
        <f>OR(AND(IF(metadata!O844="",FALSE,TRUE),OR(EXACT(metadata!O844,"missing: not collected"),EXACT(metadata!O844,"missing: not provided"),EXACT(metadata!O844,"missing: restricted access"))),AND(IF(metadata!O844="",FALSE,TRUE),OR(EXACT(metadata!O844,"air"),EXACT(metadata!O844,"built environment"),EXACT(metadata!O844,"host-associated"),EXACT(metadata!O844,"human-associated"),EXACT(metadata!O844,"human-skin"),EXACT(metadata!O844,"human-oral"),EXACT(metadata!O844,"human-gut"),EXACT(metadata!O844,"human-vaginal"),EXACT(metadata!O844,"microbial mat/biofilm"),EXACT(metadata!O844,"misc environment"),EXACT(metadata!O844,"plant-associated"),EXACT(metadata!O844,"sediment"),EXACT(metadata!O844,"soil"),EXACT(metadata!O844,"wastewater/sludge"),EXACT(metadata!O844,"water"))))</f>
        <v>0</v>
      </c>
      <c r="BA844" t="b">
        <f>IF(metadata!P844="",FALSE,TRUE)</f>
        <v>0</v>
      </c>
      <c r="BB844" t="b">
        <f>IF(metadata!Q844="",FALSE,TRUE)</f>
        <v>0</v>
      </c>
      <c r="BC844" t="b">
        <f>OR(AND(IF(metadata!R844="",FALSE,TRUE),OR(EXACT(metadata!R844,"missing: not collected"),EXACT(metadata!R844,"missing: not provided"),EXACT(metadata!R844,"missing: restricted access"))),AND(IF(metadata!R844="",FALSE,ISNUMBER(VALUE(metadata!R844))),metadata!R844&gt;=-90,metadata!R844&lt;=90))</f>
        <v>0</v>
      </c>
      <c r="BD844" t="b">
        <f>AND(IF(metadata!S844="",FALSE,TRUE),EXACT(metadata!S844,"Decimal degrees"))</f>
        <v>0</v>
      </c>
      <c r="BE844" t="b">
        <f>OR(AND(IF(metadata!T844="",FALSE,TRUE),OR(EXACT(metadata!T844,"missing: not collected"),EXACT(metadata!T844,"missing: not provided"),EXACT(metadata!T844,"missing: restricted access"))),AND(IF(metadata!T844="",FALSE,ISNUMBER(VALUE(metadata!T844))),metadata!T844&gt;=-180,metadata!T844&lt;=180))</f>
        <v>0</v>
      </c>
      <c r="BF844" t="b">
        <f>AND(IF(metadata!U844="",FALSE,TRUE),EXACT(metadata!U844,"Decimal degrees"))</f>
        <v>0</v>
      </c>
      <c r="BG844" t="b">
        <f>IF(metadata!V844="",FALSE,TRUE)</f>
        <v>0</v>
      </c>
      <c r="BH844" t="b">
        <f>OR(AND(IF(metadata!W844="",FALSE,TRUE),OR(EXACT(metadata!W844,"missing: not collected"),EXACT(metadata!W844,"missing: not provided"),EXACT(metadata!W844,"missing: restricted access"))),AND(IF(metadata!W844="",FALSE,TRUE),OR(EXACT(metadata!W844,"TRUE"),EXACT(metadata!W844,"FALSE"))))</f>
        <v>0</v>
      </c>
      <c r="BI844" t="b">
        <f>AND(IF(metadata!X844="",FALSE,TRUE),EXACT(metadata!X844,"other"))</f>
        <v>0</v>
      </c>
      <c r="BJ844" t="b">
        <f>IF(metadata!Y844="",FALSE,TRUE)</f>
        <v>0</v>
      </c>
      <c r="BK844" t="b">
        <f>OR(AND(IF(metadata!Z844="",FALSE,TRUE),OR(EXACT(metadata!Z844,"missing: not collected"),EXACT(metadata!Z844,"missing: not provided"))),AND(IF(metadata!Z844="",FALSE,IF(ISERROR(INT(metadata!Z844)),FALSE,INT(metadata!Z844)=metadata!Z844)),metadata!Z844&gt;0))</f>
        <v>0</v>
      </c>
      <c r="BL844" t="b">
        <f>AND(IF(metadata!AA844="",FALSE,TRUE),EXACT(metadata!AA844,"Not applicable"))</f>
        <v>0</v>
      </c>
      <c r="BM844" t="b">
        <f>IF(metadata!AB844="",FALSE,TRUE)</f>
        <v>0</v>
      </c>
    </row>
    <row r="845" spans="1:65" x14ac:dyDescent="0.2">
      <c r="A845" s="5" t="str">
        <f ca="1">IF(B845=" "," ",HYPERLINK(CONCATENATE("#metadata!",ADDRESS(INDEX($AH$2:$AH$1001,MATCH(ROWS($AF$2:AF845),$AF$2:$AF$1001,0),0),1)),INDEX($AK$2:$AK$1001,MATCH(ROWS($AF$2:AF845),$AF$2:$AF$1001,0),0)))</f>
        <v xml:space="preserve"> </v>
      </c>
      <c r="B845" s="4" t="str">
        <f ca="1">IF(OR(INDEX($AG$2:$AG$1001,MATCH(ROWS($AF$2:AF845),$AF$2:$AF$1001,0),1)&gt;=100000,INDEX($AM$1005:$BM$1005,1,MATCH(COLUMNS($AM$1006:AM1006),$AM$1006:$BM$1006,0))&gt;=100000), " ",IF(INDEX($AM$2:$BM$1001,MATCH(ROWS($AF$2:AF845),$AF$2:$AF$1001,0),MATCH(COLUMNS($AM$1006:AM1006),$AM$1006:$BM$1006,0)), HYPERLINK("#",""), HYPERLINK(CONCATENATE("#metadata!", ADDRESS(INDEX($AH$2:$AH$1001,MATCH(ROWS($AF$2:AF845),$AF$2:$AF$1001,0),0), INDEX($AM$1004:$BM$1004,1,MATCH(COLUMNS($AM$1006:AM1006),$AM$1006:$BM$1006,0)))),"Fix")))</f>
        <v xml:space="preserve"> </v>
      </c>
      <c r="C845" s="4" t="str">
        <f ca="1">IF(OR(INDEX($AG$2:$AG$1001,MATCH(ROWS($AF$2:AF845),$AF$2:$AF$1001,0),1)&gt;=100000,INDEX($AM$1005:$BM$1005,1,MATCH(COLUMNS($AM$1006:AN1006),$AM$1006:$BM$1006,0))&gt;=100000), " ",IF(INDEX($AM$2:$BM$1001,MATCH(ROWS($AF$2:AF845),$AF$2:$AF$1001,0),MATCH(COLUMNS($AM$1006:AN1006),$AM$1006:$BM$1006,0)), HYPERLINK("#",""), HYPERLINK(CONCATENATE("#metadata!", ADDRESS(INDEX($AH$2:$AH$1001,MATCH(ROWS($AF$2:AF845),$AF$2:$AF$1001,0),0), INDEX($AM$1004:$BM$1004,1,MATCH(COLUMNS($AM$1006:AN1006),$AM$1006:$BM$1006,0)))),"Fix")))</f>
        <v xml:space="preserve"> </v>
      </c>
      <c r="D845" s="4" t="str">
        <f ca="1">IF(OR(INDEX($AG$2:$AG$1001,MATCH(ROWS($AF$2:AF845),$AF$2:$AF$1001,0),1)&gt;=100000,INDEX($AM$1005:$BM$1005,1,MATCH(COLUMNS($AM$1006:AO1006),$AM$1006:$BM$1006,0))&gt;=100000), " ",IF(INDEX($AM$2:$BM$1001,MATCH(ROWS($AF$2:AF845),$AF$2:$AF$1001,0),MATCH(COLUMNS($AM$1006:AO1006),$AM$1006:$BM$1006,0)), HYPERLINK("#",""), HYPERLINK(CONCATENATE("#metadata!", ADDRESS(INDEX($AH$2:$AH$1001,MATCH(ROWS($AF$2:AF845),$AF$2:$AF$1001,0),0), INDEX($AM$1004:$BM$1004,1,MATCH(COLUMNS($AM$1006:AO1006),$AM$1006:$BM$1006,0)))),"Fix")))</f>
        <v xml:space="preserve"> </v>
      </c>
      <c r="E845" s="4" t="str">
        <f ca="1">IF(OR(INDEX($AG$2:$AG$1001,MATCH(ROWS($AF$2:AF845),$AF$2:$AF$1001,0),1)&gt;=100000,INDEX($AM$1005:$BM$1005,1,MATCH(COLUMNS($AM$1006:AP1006),$AM$1006:$BM$1006,0))&gt;=100000), " ",IF(INDEX($AM$2:$BM$1001,MATCH(ROWS($AF$2:AF845),$AF$2:$AF$1001,0),MATCH(COLUMNS($AM$1006:AP1006),$AM$1006:$BM$1006,0)), HYPERLINK("#",""), HYPERLINK(CONCATENATE("#metadata!", ADDRESS(INDEX($AH$2:$AH$1001,MATCH(ROWS($AF$2:AF845),$AF$2:$AF$1001,0),0), INDEX($AM$1004:$BM$1004,1,MATCH(COLUMNS($AM$1006:AP1006),$AM$1006:$BM$1006,0)))),"Fix")))</f>
        <v xml:space="preserve"> </v>
      </c>
      <c r="F845" s="4" t="str">
        <f ca="1">IF(OR(INDEX($AG$2:$AG$1001,MATCH(ROWS($AF$2:AF845),$AF$2:$AF$1001,0),1)&gt;=100000,INDEX($AM$1005:$BM$1005,1,MATCH(COLUMNS($AM$1006:AQ1006),$AM$1006:$BM$1006,0))&gt;=100000), " ",IF(INDEX($AM$2:$BM$1001,MATCH(ROWS($AF$2:AF845),$AF$2:$AF$1001,0),MATCH(COLUMNS($AM$1006:AQ1006),$AM$1006:$BM$1006,0)), HYPERLINK("#",""), HYPERLINK(CONCATENATE("#metadata!", ADDRESS(INDEX($AH$2:$AH$1001,MATCH(ROWS($AF$2:AF845),$AF$2:$AF$1001,0),0), INDEX($AM$1004:$BM$1004,1,MATCH(COLUMNS($AM$1006:AQ1006),$AM$1006:$BM$1006,0)))),"Fix")))</f>
        <v xml:space="preserve"> </v>
      </c>
      <c r="G845" s="4" t="str">
        <f ca="1">IF(OR(INDEX($AG$2:$AG$1001,MATCH(ROWS($AF$2:AF845),$AF$2:$AF$1001,0),1)&gt;=100000,INDEX($AM$1005:$BM$1005,1,MATCH(COLUMNS($AM$1006:AR1006),$AM$1006:$BM$1006,0))&gt;=100000), " ",IF(INDEX($AM$2:$BM$1001,MATCH(ROWS($AF$2:AF845),$AF$2:$AF$1001,0),MATCH(COLUMNS($AM$1006:AR1006),$AM$1006:$BM$1006,0)), HYPERLINK("#",""), HYPERLINK(CONCATENATE("#metadata!", ADDRESS(INDEX($AH$2:$AH$1001,MATCH(ROWS($AF$2:AF845),$AF$2:$AF$1001,0),0), INDEX($AM$1004:$BM$1004,1,MATCH(COLUMNS($AM$1006:AR1006),$AM$1006:$BM$1006,0)))),"Fix")))</f>
        <v xml:space="preserve"> </v>
      </c>
      <c r="H845" s="4" t="str">
        <f ca="1">IF(OR(INDEX($AG$2:$AG$1001,MATCH(ROWS($AF$2:AF845),$AF$2:$AF$1001,0),1)&gt;=100000,INDEX($AM$1005:$BM$1005,1,MATCH(COLUMNS($AM$1006:AS1006),$AM$1006:$BM$1006,0))&gt;=100000), " ",IF(INDEX($AM$2:$BM$1001,MATCH(ROWS($AF$2:AF845),$AF$2:$AF$1001,0),MATCH(COLUMNS($AM$1006:AS1006),$AM$1006:$BM$1006,0)), HYPERLINK("#",""), HYPERLINK(CONCATENATE("#metadata!", ADDRESS(INDEX($AH$2:$AH$1001,MATCH(ROWS($AF$2:AF845),$AF$2:$AF$1001,0),0), INDEX($AM$1004:$BM$1004,1,MATCH(COLUMNS($AM$1006:AS1006),$AM$1006:$BM$1006,0)))),"Fix")))</f>
        <v xml:space="preserve"> </v>
      </c>
      <c r="I845" s="4" t="str">
        <f ca="1">IF(OR(INDEX($AG$2:$AG$1001,MATCH(ROWS($AF$2:AF845),$AF$2:$AF$1001,0),1)&gt;=100000,INDEX($AM$1005:$BM$1005,1,MATCH(COLUMNS($AM$1006:AT1006),$AM$1006:$BM$1006,0))&gt;=100000), " ",IF(INDEX($AM$2:$BM$1001,MATCH(ROWS($AF$2:AF845),$AF$2:$AF$1001,0),MATCH(COLUMNS($AM$1006:AT1006),$AM$1006:$BM$1006,0)), HYPERLINK("#",""), HYPERLINK(CONCATENATE("#metadata!", ADDRESS(INDEX($AH$2:$AH$1001,MATCH(ROWS($AF$2:AF845),$AF$2:$AF$1001,0),0), INDEX($AM$1004:$BM$1004,1,MATCH(COLUMNS($AM$1006:AT1006),$AM$1006:$BM$1006,0)))),"Fix")))</f>
        <v xml:space="preserve"> </v>
      </c>
      <c r="J845" s="4" t="str">
        <f ca="1">IF(OR(INDEX($AG$2:$AG$1001,MATCH(ROWS($AF$2:AF845),$AF$2:$AF$1001,0),1)&gt;=100000,INDEX($AM$1005:$BM$1005,1,MATCH(COLUMNS($AM$1006:AU1006),$AM$1006:$BM$1006,0))&gt;=100000), " ",IF(INDEX($AM$2:$BM$1001,MATCH(ROWS($AF$2:AF845),$AF$2:$AF$1001,0),MATCH(COLUMNS($AM$1006:AU1006),$AM$1006:$BM$1006,0)), HYPERLINK("#",""), HYPERLINK(CONCATENATE("#metadata!", ADDRESS(INDEX($AH$2:$AH$1001,MATCH(ROWS($AF$2:AF845),$AF$2:$AF$1001,0),0), INDEX($AM$1004:$BM$1004,1,MATCH(COLUMNS($AM$1006:AU1006),$AM$1006:$BM$1006,0)))),"Fix")))</f>
        <v xml:space="preserve"> </v>
      </c>
      <c r="K845" s="4" t="str">
        <f ca="1">IF(OR(INDEX($AG$2:$AG$1001,MATCH(ROWS($AF$2:AF845),$AF$2:$AF$1001,0),1)&gt;=100000,INDEX($AM$1005:$BM$1005,1,MATCH(COLUMNS($AM$1006:AV1006),$AM$1006:$BM$1006,0))&gt;=100000), " ",IF(INDEX($AM$2:$BM$1001,MATCH(ROWS($AF$2:AF845),$AF$2:$AF$1001,0),MATCH(COLUMNS($AM$1006:AV1006),$AM$1006:$BM$1006,0)), HYPERLINK("#",""), HYPERLINK(CONCATENATE("#metadata!", ADDRESS(INDEX($AH$2:$AH$1001,MATCH(ROWS($AF$2:AF845),$AF$2:$AF$1001,0),0), INDEX($AM$1004:$BM$1004,1,MATCH(COLUMNS($AM$1006:AV1006),$AM$1006:$BM$1006,0)))),"Fix")))</f>
        <v xml:space="preserve"> </v>
      </c>
      <c r="L845" s="4" t="str">
        <f ca="1">IF(OR(INDEX($AG$2:$AG$1001,MATCH(ROWS($AF$2:AF845),$AF$2:$AF$1001,0),1)&gt;=100000,INDEX($AM$1005:$BM$1005,1,MATCH(COLUMNS($AM$1006:AW1006),$AM$1006:$BM$1006,0))&gt;=100000), " ",IF(INDEX($AM$2:$BM$1001,MATCH(ROWS($AF$2:AF845),$AF$2:$AF$1001,0),MATCH(COLUMNS($AM$1006:AW1006),$AM$1006:$BM$1006,0)), HYPERLINK("#",""), HYPERLINK(CONCATENATE("#metadata!", ADDRESS(INDEX($AH$2:$AH$1001,MATCH(ROWS($AF$2:AF845),$AF$2:$AF$1001,0),0), INDEX($AM$1004:$BM$1004,1,MATCH(COLUMNS($AM$1006:AW1006),$AM$1006:$BM$1006,0)))),"Fix")))</f>
        <v xml:space="preserve"> </v>
      </c>
      <c r="M845" s="4" t="str">
        <f ca="1">IF(OR(INDEX($AG$2:$AG$1001,MATCH(ROWS($AF$2:AF845),$AF$2:$AF$1001,0),1)&gt;=100000,INDEX($AM$1005:$BM$1005,1,MATCH(COLUMNS($AM$1006:AX1006),$AM$1006:$BM$1006,0))&gt;=100000), " ",IF(INDEX($AM$2:$BM$1001,MATCH(ROWS($AF$2:AF845),$AF$2:$AF$1001,0),MATCH(COLUMNS($AM$1006:AX1006),$AM$1006:$BM$1006,0)), HYPERLINK("#",""), HYPERLINK(CONCATENATE("#metadata!", ADDRESS(INDEX($AH$2:$AH$1001,MATCH(ROWS($AF$2:AF845),$AF$2:$AF$1001,0),0), INDEX($AM$1004:$BM$1004,1,MATCH(COLUMNS($AM$1006:AX1006),$AM$1006:$BM$1006,0)))),"Fix")))</f>
        <v xml:space="preserve"> </v>
      </c>
      <c r="N845" s="4" t="str">
        <f ca="1">IF(OR(INDEX($AG$2:$AG$1001,MATCH(ROWS($AF$2:AF845),$AF$2:$AF$1001,0),1)&gt;=100000,INDEX($AM$1005:$BM$1005,1,MATCH(COLUMNS($AM$1006:AY1006),$AM$1006:$BM$1006,0))&gt;=100000), " ",IF(INDEX($AM$2:$BM$1001,MATCH(ROWS($AF$2:AF845),$AF$2:$AF$1001,0),MATCH(COLUMNS($AM$1006:AY1006),$AM$1006:$BM$1006,0)), HYPERLINK("#",""), HYPERLINK(CONCATENATE("#metadata!", ADDRESS(INDEX($AH$2:$AH$1001,MATCH(ROWS($AF$2:AF845),$AF$2:$AF$1001,0),0), INDEX($AM$1004:$BM$1004,1,MATCH(COLUMNS($AM$1006:AY1006),$AM$1006:$BM$1006,0)))),"Fix")))</f>
        <v xml:space="preserve"> </v>
      </c>
      <c r="O845" s="4" t="str">
        <f ca="1">IF(OR(INDEX($AG$2:$AG$1001,MATCH(ROWS($AF$2:AF845),$AF$2:$AF$1001,0),1)&gt;=100000,INDEX($AM$1005:$BM$1005,1,MATCH(COLUMNS($AM$1006:AZ1006),$AM$1006:$BM$1006,0))&gt;=100000), " ",IF(INDEX($AM$2:$BM$1001,MATCH(ROWS($AF$2:AF845),$AF$2:$AF$1001,0),MATCH(COLUMNS($AM$1006:AZ1006),$AM$1006:$BM$1006,0)), HYPERLINK("#",""), HYPERLINK(CONCATENATE("#metadata!", ADDRESS(INDEX($AH$2:$AH$1001,MATCH(ROWS($AF$2:AF845),$AF$2:$AF$1001,0),0), INDEX($AM$1004:$BM$1004,1,MATCH(COLUMNS($AM$1006:AZ1006),$AM$1006:$BM$1006,0)))),"Fix")))</f>
        <v xml:space="preserve"> </v>
      </c>
      <c r="P845" s="4" t="str">
        <f ca="1">IF(OR(INDEX($AG$2:$AG$1001,MATCH(ROWS($AF$2:AF845),$AF$2:$AF$1001,0),1)&gt;=100000,INDEX($AM$1005:$BM$1005,1,MATCH(COLUMNS($AM$1006:BA1006),$AM$1006:$BM$1006,0))&gt;=100000), " ",IF(INDEX($AM$2:$BM$1001,MATCH(ROWS($AF$2:AF845),$AF$2:$AF$1001,0),MATCH(COLUMNS($AM$1006:BA1006),$AM$1006:$BM$1006,0)), HYPERLINK("#",""), HYPERLINK(CONCATENATE("#metadata!", ADDRESS(INDEX($AH$2:$AH$1001,MATCH(ROWS($AF$2:AF845),$AF$2:$AF$1001,0),0), INDEX($AM$1004:$BM$1004,1,MATCH(COLUMNS($AM$1006:BA1006),$AM$1006:$BM$1006,0)))),"Fix")))</f>
        <v xml:space="preserve"> </v>
      </c>
      <c r="Q845" s="4" t="str">
        <f ca="1">IF(OR(INDEX($AG$2:$AG$1001,MATCH(ROWS($AF$2:AF845),$AF$2:$AF$1001,0),1)&gt;=100000,INDEX($AM$1005:$BM$1005,1,MATCH(COLUMNS($AM$1006:BB1006),$AM$1006:$BM$1006,0))&gt;=100000), " ",IF(INDEX($AM$2:$BM$1001,MATCH(ROWS($AF$2:AF845),$AF$2:$AF$1001,0),MATCH(COLUMNS($AM$1006:BB1006),$AM$1006:$BM$1006,0)), HYPERLINK("#",""), HYPERLINK(CONCATENATE("#metadata!", ADDRESS(INDEX($AH$2:$AH$1001,MATCH(ROWS($AF$2:AF845),$AF$2:$AF$1001,0),0), INDEX($AM$1004:$BM$1004,1,MATCH(COLUMNS($AM$1006:BB1006),$AM$1006:$BM$1006,0)))),"Fix")))</f>
        <v xml:space="preserve"> </v>
      </c>
      <c r="R845" s="4" t="str">
        <f ca="1">IF(OR(INDEX($AG$2:$AG$1001,MATCH(ROWS($AF$2:AF845),$AF$2:$AF$1001,0),1)&gt;=100000,INDEX($AM$1005:$BM$1005,1,MATCH(COLUMNS($AM$1006:BC1006),$AM$1006:$BM$1006,0))&gt;=100000), " ",IF(INDEX($AM$2:$BM$1001,MATCH(ROWS($AF$2:AF845),$AF$2:$AF$1001,0),MATCH(COLUMNS($AM$1006:BC1006),$AM$1006:$BM$1006,0)), HYPERLINK("#",""), HYPERLINK(CONCATENATE("#metadata!", ADDRESS(INDEX($AH$2:$AH$1001,MATCH(ROWS($AF$2:AF845),$AF$2:$AF$1001,0),0), INDEX($AM$1004:$BM$1004,1,MATCH(COLUMNS($AM$1006:BC1006),$AM$1006:$BM$1006,0)))),"Fix")))</f>
        <v xml:space="preserve"> </v>
      </c>
      <c r="S845" s="4" t="str">
        <f ca="1">IF(OR(INDEX($AG$2:$AG$1001,MATCH(ROWS($AF$2:AF845),$AF$2:$AF$1001,0),1)&gt;=100000,INDEX($AM$1005:$BM$1005,1,MATCH(COLUMNS($AM$1006:BD1006),$AM$1006:$BM$1006,0))&gt;=100000), " ",IF(INDEX($AM$2:$BM$1001,MATCH(ROWS($AF$2:AF845),$AF$2:$AF$1001,0),MATCH(COLUMNS($AM$1006:BD1006),$AM$1006:$BM$1006,0)), HYPERLINK("#",""), HYPERLINK(CONCATENATE("#metadata!", ADDRESS(INDEX($AH$2:$AH$1001,MATCH(ROWS($AF$2:AF845),$AF$2:$AF$1001,0),0), INDEX($AM$1004:$BM$1004,1,MATCH(COLUMNS($AM$1006:BD1006),$AM$1006:$BM$1006,0)))),"Fix")))</f>
        <v xml:space="preserve"> </v>
      </c>
      <c r="T845" s="4" t="str">
        <f ca="1">IF(OR(INDEX($AG$2:$AG$1001,MATCH(ROWS($AF$2:AF845),$AF$2:$AF$1001,0),1)&gt;=100000,INDEX($AM$1005:$BM$1005,1,MATCH(COLUMNS($AM$1006:BE1006),$AM$1006:$BM$1006,0))&gt;=100000), " ",IF(INDEX($AM$2:$BM$1001,MATCH(ROWS($AF$2:AF845),$AF$2:$AF$1001,0),MATCH(COLUMNS($AM$1006:BE1006),$AM$1006:$BM$1006,0)), HYPERLINK("#",""), HYPERLINK(CONCATENATE("#metadata!", ADDRESS(INDEX($AH$2:$AH$1001,MATCH(ROWS($AF$2:AF845),$AF$2:$AF$1001,0),0), INDEX($AM$1004:$BM$1004,1,MATCH(COLUMNS($AM$1006:BE1006),$AM$1006:$BM$1006,0)))),"Fix")))</f>
        <v xml:space="preserve"> </v>
      </c>
      <c r="U845" s="4" t="str">
        <f ca="1">IF(OR(INDEX($AG$2:$AG$1001,MATCH(ROWS($AF$2:AF845),$AF$2:$AF$1001,0),1)&gt;=100000,INDEX($AM$1005:$BM$1005,1,MATCH(COLUMNS($AM$1006:BF1006),$AM$1006:$BM$1006,0))&gt;=100000), " ",IF(INDEX($AM$2:$BM$1001,MATCH(ROWS($AF$2:AF845),$AF$2:$AF$1001,0),MATCH(COLUMNS($AM$1006:BF1006),$AM$1006:$BM$1006,0)), HYPERLINK("#",""), HYPERLINK(CONCATENATE("#metadata!", ADDRESS(INDEX($AH$2:$AH$1001,MATCH(ROWS($AF$2:AF845),$AF$2:$AF$1001,0),0), INDEX($AM$1004:$BM$1004,1,MATCH(COLUMNS($AM$1006:BF1006),$AM$1006:$BM$1006,0)))),"Fix")))</f>
        <v xml:space="preserve"> </v>
      </c>
      <c r="V845" s="4" t="str">
        <f ca="1">IF(OR(INDEX($AG$2:$AG$1001,MATCH(ROWS($AF$2:AF845),$AF$2:$AF$1001,0),1)&gt;=100000,INDEX($AM$1005:$BM$1005,1,MATCH(COLUMNS($AM$1006:BG1006),$AM$1006:$BM$1006,0))&gt;=100000), " ",IF(INDEX($AM$2:$BM$1001,MATCH(ROWS($AF$2:AF845),$AF$2:$AF$1001,0),MATCH(COLUMNS($AM$1006:BG1006),$AM$1006:$BM$1006,0)), HYPERLINK("#",""), HYPERLINK(CONCATENATE("#metadata!", ADDRESS(INDEX($AH$2:$AH$1001,MATCH(ROWS($AF$2:AF845),$AF$2:$AF$1001,0),0), INDEX($AM$1004:$BM$1004,1,MATCH(COLUMNS($AM$1006:BG1006),$AM$1006:$BM$1006,0)))),"Fix")))</f>
        <v xml:space="preserve"> </v>
      </c>
      <c r="W845" s="4" t="str">
        <f ca="1">IF(OR(INDEX($AG$2:$AG$1001,MATCH(ROWS($AF$2:AF845),$AF$2:$AF$1001,0),1)&gt;=100000,INDEX($AM$1005:$BM$1005,1,MATCH(COLUMNS($AM$1006:BH1006),$AM$1006:$BM$1006,0))&gt;=100000), " ",IF(INDEX($AM$2:$BM$1001,MATCH(ROWS($AF$2:AF845),$AF$2:$AF$1001,0),MATCH(COLUMNS($AM$1006:BH1006),$AM$1006:$BM$1006,0)), HYPERLINK("#",""), HYPERLINK(CONCATENATE("#metadata!", ADDRESS(INDEX($AH$2:$AH$1001,MATCH(ROWS($AF$2:AF845),$AF$2:$AF$1001,0),0), INDEX($AM$1004:$BM$1004,1,MATCH(COLUMNS($AM$1006:BH1006),$AM$1006:$BM$1006,0)))),"Fix")))</f>
        <v xml:space="preserve"> </v>
      </c>
      <c r="X845" s="4" t="str">
        <f ca="1">IF(OR(INDEX($AG$2:$AG$1001,MATCH(ROWS($AF$2:AF845),$AF$2:$AF$1001,0),1)&gt;=100000,INDEX($AM$1005:$BM$1005,1,MATCH(COLUMNS($AM$1006:BI1006),$AM$1006:$BM$1006,0))&gt;=100000), " ",IF(INDEX($AM$2:$BM$1001,MATCH(ROWS($AF$2:AF845),$AF$2:$AF$1001,0),MATCH(COLUMNS($AM$1006:BI1006),$AM$1006:$BM$1006,0)), HYPERLINK("#",""), HYPERLINK(CONCATENATE("#metadata!", ADDRESS(INDEX($AH$2:$AH$1001,MATCH(ROWS($AF$2:AF845),$AF$2:$AF$1001,0),0), INDEX($AM$1004:$BM$1004,1,MATCH(COLUMNS($AM$1006:BI1006),$AM$1006:$BM$1006,0)))),"Fix")))</f>
        <v xml:space="preserve"> </v>
      </c>
      <c r="Y845" s="4" t="str">
        <f ca="1">IF(OR(INDEX($AG$2:$AG$1001,MATCH(ROWS($AF$2:AF845),$AF$2:$AF$1001,0),1)&gt;=100000,INDEX($AM$1005:$BM$1005,1,MATCH(COLUMNS($AM$1006:BJ1006),$AM$1006:$BM$1006,0))&gt;=100000), " ",IF(INDEX($AM$2:$BM$1001,MATCH(ROWS($AF$2:AF845),$AF$2:$AF$1001,0),MATCH(COLUMNS($AM$1006:BJ1006),$AM$1006:$BM$1006,0)), HYPERLINK("#",""), HYPERLINK(CONCATENATE("#metadata!", ADDRESS(INDEX($AH$2:$AH$1001,MATCH(ROWS($AF$2:AF845),$AF$2:$AF$1001,0),0), INDEX($AM$1004:$BM$1004,1,MATCH(COLUMNS($AM$1006:BJ1006),$AM$1006:$BM$1006,0)))),"Fix")))</f>
        <v xml:space="preserve"> </v>
      </c>
      <c r="Z845" s="4" t="str">
        <f ca="1">IF(OR(INDEX($AG$2:$AG$1001,MATCH(ROWS($AF$2:AF845),$AF$2:$AF$1001,0),1)&gt;=100000,INDEX($AM$1005:$BM$1005,1,MATCH(COLUMNS($AM$1006:BK1006),$AM$1006:$BM$1006,0))&gt;=100000), " ",IF(INDEX($AM$2:$BM$1001,MATCH(ROWS($AF$2:AF845),$AF$2:$AF$1001,0),MATCH(COLUMNS($AM$1006:BK1006),$AM$1006:$BM$1006,0)), HYPERLINK("#",""), HYPERLINK(CONCATENATE("#metadata!", ADDRESS(INDEX($AH$2:$AH$1001,MATCH(ROWS($AF$2:AF845),$AF$2:$AF$1001,0),0), INDEX($AM$1004:$BM$1004,1,MATCH(COLUMNS($AM$1006:BK1006),$AM$1006:$BM$1006,0)))),"Fix")))</f>
        <v xml:space="preserve"> </v>
      </c>
      <c r="AA845" s="4" t="str">
        <f ca="1">IF(OR(INDEX($AG$2:$AG$1001,MATCH(ROWS($AF$2:AF845),$AF$2:$AF$1001,0),1)&gt;=100000,INDEX($AM$1005:$BM$1005,1,MATCH(COLUMNS($AM$1006:BL1006),$AM$1006:$BM$1006,0))&gt;=100000), " ",IF(INDEX($AM$2:$BM$1001,MATCH(ROWS($AF$2:AF845),$AF$2:$AF$1001,0),MATCH(COLUMNS($AM$1006:BL1006),$AM$1006:$BM$1006,0)), HYPERLINK("#",""), HYPERLINK(CONCATENATE("#metadata!", ADDRESS(INDEX($AH$2:$AH$1001,MATCH(ROWS($AF$2:AF845),$AF$2:$AF$1001,0),0), INDEX($AM$1004:$BM$1004,1,MATCH(COLUMNS($AM$1006:BL1006),$AM$1006:$BM$1006,0)))),"Fix")))</f>
        <v xml:space="preserve"> </v>
      </c>
      <c r="AB845" s="4" t="str">
        <f ca="1">IF(OR(INDEX($AG$2:$AG$1001,MATCH(ROWS($AF$2:AF845),$AF$2:$AF$1001,0),1)&gt;=100000,INDEX($AM$1005:$BM$1005,1,MATCH(COLUMNS($AM$1006:BM1006),$AM$1006:$BM$1006,0))&gt;=100000), " ",IF(INDEX($AM$2:$BM$1001,MATCH(ROWS($AF$2:AF845),$AF$2:$AF$1001,0),MATCH(COLUMNS($AM$1006:BM1006),$AM$1006:$BM$1006,0)), HYPERLINK("#",""), HYPERLINK(CONCATENATE("#metadata!", ADDRESS(INDEX($AH$2:$AH$1001,MATCH(ROWS($AF$2:AF845),$AF$2:$AF$1001,0),0), INDEX($AM$1004:$BM$1004,1,MATCH(COLUMNS($AM$1006:BM1006),$AM$1006:$BM$1006,0)))),"Fix")))</f>
        <v xml:space="preserve"> </v>
      </c>
      <c r="AF845">
        <v>844</v>
      </c>
      <c r="AG845">
        <v>100845</v>
      </c>
      <c r="AH845">
        <v>845</v>
      </c>
      <c r="AI845" t="b">
        <f t="shared" si="13"/>
        <v>1</v>
      </c>
      <c r="AJ845" t="b">
        <f>COUNTBLANK(metadata!B845:AB845)=COLUMNS(metadata!B845:AB845)</f>
        <v>1</v>
      </c>
      <c r="AK845" t="str">
        <v/>
      </c>
      <c r="AM845" t="b">
        <f ca="1">AND(IF(metadata!B845="",FALSE,TRUE),COUNTIF(metadata!B:B, metadata!B845) = 1,NOT(ISERROR(SUMPRODUCT(SEARCH(MID(metadata!B845,ROW(INDIRECT("1:"&amp;LEN(metadata!B845))), 1),"0123456789abcdefghijklmnopqrstuvwxyzABCDEFGHIJKLMNOPQRSTUVWXYZ.")))))</f>
        <v>0</v>
      </c>
      <c r="AN845" t="b">
        <f ca="1">OR(AND(IF(metadata!C845="",FALSE,TRUE),OR(EXACT(metadata!C845,"missing: not collected"),EXACT(metadata!C845,"missing: not provided"),EXACT(metadata!C845,"missing: restricted access"))),AND(IF(metadata!C845="",FALSE,TRUE),AND(AND(IFERROR(INT(LEFT(metadata!C845,4))&gt;1900,FALSE),IFERROR(INT(LEFT(metadata!C845,4))&lt;=YEAR(NOW()),FALSE)), OR(MID(metadata!C845,5,1)="", AND(AND(MID(metadata!C845,5,1)="-",IFERROR(INT(MID(metadata!C845,6,1))&gt;=0,FALSE),IFERROR(INT(MID(metadata!C845,6,1))&lt;=1,FALSE),NOT(MID(metadata!C845,7,1)=""),IFERROR(INT(MID(metadata!C845,6,2))&gt;=1,FALSE),IFERROR(INT(MID(metadata!C845,6,2))&lt;=12,FALSE)), OR(MID(metadata!C845,8,1)="", AND(AND(MID(metadata!C845,8,1)="-",IFERROR(INT(MID(metadata!C845,9,1))&gt;=0,FALSE),IFERROR(INT(MID(metadata!C845,9,1))&lt;=3,FALSE),NOT(MID(metadata!C845,10,1)=""),IFERROR(INT(MID(metadata!C845,9,2))&gt;=1,FALSE),IFERROR(INT(MID(metadata!C845,9,2))&lt;=31,FALSE)), OR(MID(metadata!C845,11,1)="", AND(AND(MID(metadata!C845,11,1)=" ",IFERROR(INT(MID(metadata!C845,12,1))&gt;=0,FALSE),IFERROR(INT(MID(metadata!C845,12,1))&lt;=2,FALSE),NOT(MID(metadata!C845,13,1)=""),IFERROR(INT(MID(metadata!C845,12,2))&gt;=0,FALSE),IFERROR(INT(MID(metadata!C845,12,2))&lt;=23,FALSE)), OR(MID(metadata!C845,14,1)="", AND(AND(MID(metadata!C845,14,1)=":",IFERROR(INT(MID(metadata!C845,15,1))&gt;=0,FALSE),IFERROR(INT(MID(metadata!C845,15,1))&lt;=5,FALSE),NOT(MID(metadata!C845,16,1)=""),IFERROR(INT(MID(metadata!C845,15,2))&gt;=0,FALSE),IFERROR(INT(MID(metadata!C845,15,2))&lt;=59,FALSE)), OR(MID(metadata!C845,17,1)="", AND(AND(MID(metadata!C845,17,1)=":",IFERROR(INT(MID(metadata!C845,18,1))&gt;=0,FALSE),IFERROR(INT(MID(metadata!C845,18,1))&lt;=5,FALSE),NOT(MID(metadata!C845,19,1)=""),IFERROR(INT(MID(metadata!C845,18,2))&gt;=0,FALSE),IFERROR(INT(MID(metadata!C845,18,2))&lt;=59,FALSE)), LEN(metadata!C845)&lt;=19)))))))))))))</f>
        <v>0</v>
      </c>
      <c r="AO845" t="b">
        <f>AND(IF(metadata!D845="",FALSE,TRUE),EXACT(metadata!D845,"Not applicable"))</f>
        <v>0</v>
      </c>
      <c r="AP845" t="b">
        <f>IF(metadata!E845="",FALSE,TRUE)</f>
        <v>0</v>
      </c>
      <c r="AQ845" t="b">
        <f>OR(AND(IF(metadata!F845="",FALSE,TRUE),OR(EXACT(metadata!F845,"missing: not collected"),EXACT(metadata!F845,"missing: not provided"))),AND(IF(metadata!F845="",FALSE,TRUE),OR(EXACT(metadata!F845,"TRUE"),EXACT(metadata!F845,"FALSE"))))</f>
        <v>0</v>
      </c>
      <c r="AR845" t="b">
        <f>OR(AND(IF(metadata!G845="",FALSE,TRUE),OR(EXACT(metadata!G845,"missing: not collected"),EXACT(metadata!G845,"missing: not provided"),EXACT(metadata!G845,"missing: restricted access"))),AND(IF(metadata!G845="",FALSE,ISNUMBER(VALUE(metadata!G845))),metadata!G845&gt;=-413))</f>
        <v>0</v>
      </c>
      <c r="AS845" t="b">
        <f>AND(IF(metadata!H845="",FALSE,TRUE),EXACT(metadata!H845,"meters"))</f>
        <v>0</v>
      </c>
      <c r="AT845" t="b">
        <f>AND(IF(metadata!I845="",FALSE,TRUE),OR(EXACT(metadata!I845,"Host-associated"),EXACT(metadata!I845,"Free-living")))</f>
        <v>0</v>
      </c>
      <c r="AU845" t="b">
        <f>AND(IF(metadata!J845="",FALSE,TRUE),OR(EXACT(metadata!J845,"Animal"),EXACT(metadata!J845,"Fungus"),EXACT(metadata!J845,"Plant"),EXACT(metadata!J845,"Saline"),EXACT(metadata!J845,"Non-saline")))</f>
        <v>0</v>
      </c>
      <c r="AV845" t="b">
        <f>AND(IF(metadata!K845="",FALSE,TRUE),OR(EXACT(metadata!K845,"Plant secretion"),EXACT(metadata!K845,"Plant rhizosphere"),EXACT(metadata!K845,"Plant surface"),EXACT(metadata!K845,"Plant corpus"),EXACT(metadata!K845,"Fungus surface"),EXACT(metadata!K845,"Fungus corpus"),EXACT(metadata!K845,"Animal surface"),EXACT(metadata!K845,"Animal proximal gut"),EXACT(metadata!K845,"Animal corpus"),EXACT(metadata!K845,"Animal distal gut"),EXACT(metadata!K845,"Animal secretion"),EXACT(metadata!K845,"Sub-surface (non-saline)"),EXACT(metadata!K845,"Surface (non-saline)"),EXACT(metadata!K845,"Water (non-saline)"),EXACT(metadata!K845,"Soil (non-saline)"),EXACT(metadata!K845,"Aerosol (non-saline)"),EXACT(metadata!K845,"Sediment (non-saline)"),EXACT(metadata!K845,"Surface (saline)"),EXACT(metadata!K845,"Water (saline)"),EXACT(metadata!K845,"Hypersaline (saline)"),EXACT(metadata!K845,"Aerosol (saline)"),EXACT(metadata!K845,"Sediment (saline)")))</f>
        <v>0</v>
      </c>
      <c r="AW845" t="b">
        <f>IF(metadata!L845="",FALSE,TRUE)</f>
        <v>0</v>
      </c>
      <c r="AX845" t="b">
        <f>IF(metadata!M845="",FALSE,TRUE)</f>
        <v>0</v>
      </c>
      <c r="AY845" t="b">
        <f>IF(metadata!N845="",FALSE,TRUE)</f>
        <v>0</v>
      </c>
      <c r="AZ845" t="b">
        <f>OR(AND(IF(metadata!O845="",FALSE,TRUE),OR(EXACT(metadata!O845,"missing: not collected"),EXACT(metadata!O845,"missing: not provided"),EXACT(metadata!O845,"missing: restricted access"))),AND(IF(metadata!O845="",FALSE,TRUE),OR(EXACT(metadata!O845,"air"),EXACT(metadata!O845,"built environment"),EXACT(metadata!O845,"host-associated"),EXACT(metadata!O845,"human-associated"),EXACT(metadata!O845,"human-skin"),EXACT(metadata!O845,"human-oral"),EXACT(metadata!O845,"human-gut"),EXACT(metadata!O845,"human-vaginal"),EXACT(metadata!O845,"microbial mat/biofilm"),EXACT(metadata!O845,"misc environment"),EXACT(metadata!O845,"plant-associated"),EXACT(metadata!O845,"sediment"),EXACT(metadata!O845,"soil"),EXACT(metadata!O845,"wastewater/sludge"),EXACT(metadata!O845,"water"))))</f>
        <v>0</v>
      </c>
      <c r="BA845" t="b">
        <f>IF(metadata!P845="",FALSE,TRUE)</f>
        <v>0</v>
      </c>
      <c r="BB845" t="b">
        <f>IF(metadata!Q845="",FALSE,TRUE)</f>
        <v>0</v>
      </c>
      <c r="BC845" t="b">
        <f>OR(AND(IF(metadata!R845="",FALSE,TRUE),OR(EXACT(metadata!R845,"missing: not collected"),EXACT(metadata!R845,"missing: not provided"),EXACT(metadata!R845,"missing: restricted access"))),AND(IF(metadata!R845="",FALSE,ISNUMBER(VALUE(metadata!R845))),metadata!R845&gt;=-90,metadata!R845&lt;=90))</f>
        <v>0</v>
      </c>
      <c r="BD845" t="b">
        <f>AND(IF(metadata!S845="",FALSE,TRUE),EXACT(metadata!S845,"Decimal degrees"))</f>
        <v>0</v>
      </c>
      <c r="BE845" t="b">
        <f>OR(AND(IF(metadata!T845="",FALSE,TRUE),OR(EXACT(metadata!T845,"missing: not collected"),EXACT(metadata!T845,"missing: not provided"),EXACT(metadata!T845,"missing: restricted access"))),AND(IF(metadata!T845="",FALSE,ISNUMBER(VALUE(metadata!T845))),metadata!T845&gt;=-180,metadata!T845&lt;=180))</f>
        <v>0</v>
      </c>
      <c r="BF845" t="b">
        <f>AND(IF(metadata!U845="",FALSE,TRUE),EXACT(metadata!U845,"Decimal degrees"))</f>
        <v>0</v>
      </c>
      <c r="BG845" t="b">
        <f>IF(metadata!V845="",FALSE,TRUE)</f>
        <v>0</v>
      </c>
      <c r="BH845" t="b">
        <f>OR(AND(IF(metadata!W845="",FALSE,TRUE),OR(EXACT(metadata!W845,"missing: not collected"),EXACT(metadata!W845,"missing: not provided"),EXACT(metadata!W845,"missing: restricted access"))),AND(IF(metadata!W845="",FALSE,TRUE),OR(EXACT(metadata!W845,"TRUE"),EXACT(metadata!W845,"FALSE"))))</f>
        <v>0</v>
      </c>
      <c r="BI845" t="b">
        <f>AND(IF(metadata!X845="",FALSE,TRUE),EXACT(metadata!X845,"other"))</f>
        <v>0</v>
      </c>
      <c r="BJ845" t="b">
        <f>IF(metadata!Y845="",FALSE,TRUE)</f>
        <v>0</v>
      </c>
      <c r="BK845" t="b">
        <f>OR(AND(IF(metadata!Z845="",FALSE,TRUE),OR(EXACT(metadata!Z845,"missing: not collected"),EXACT(metadata!Z845,"missing: not provided"))),AND(IF(metadata!Z845="",FALSE,IF(ISERROR(INT(metadata!Z845)),FALSE,INT(metadata!Z845)=metadata!Z845)),metadata!Z845&gt;0))</f>
        <v>0</v>
      </c>
      <c r="BL845" t="b">
        <f>AND(IF(metadata!AA845="",FALSE,TRUE),EXACT(metadata!AA845,"Not applicable"))</f>
        <v>0</v>
      </c>
      <c r="BM845" t="b">
        <f>IF(metadata!AB845="",FALSE,TRUE)</f>
        <v>0</v>
      </c>
    </row>
    <row r="846" spans="1:65" x14ac:dyDescent="0.2">
      <c r="A846" s="5" t="str">
        <f ca="1">IF(B846=" "," ",HYPERLINK(CONCATENATE("#metadata!",ADDRESS(INDEX($AH$2:$AH$1001,MATCH(ROWS($AF$2:AF846),$AF$2:$AF$1001,0),0),1)),INDEX($AK$2:$AK$1001,MATCH(ROWS($AF$2:AF846),$AF$2:$AF$1001,0),0)))</f>
        <v xml:space="preserve"> </v>
      </c>
      <c r="B846" s="4" t="str">
        <f ca="1">IF(OR(INDEX($AG$2:$AG$1001,MATCH(ROWS($AF$2:AF846),$AF$2:$AF$1001,0),1)&gt;=100000,INDEX($AM$1005:$BM$1005,1,MATCH(COLUMNS($AM$1006:AM1006),$AM$1006:$BM$1006,0))&gt;=100000), " ",IF(INDEX($AM$2:$BM$1001,MATCH(ROWS($AF$2:AF846),$AF$2:$AF$1001,0),MATCH(COLUMNS($AM$1006:AM1006),$AM$1006:$BM$1006,0)), HYPERLINK("#",""), HYPERLINK(CONCATENATE("#metadata!", ADDRESS(INDEX($AH$2:$AH$1001,MATCH(ROWS($AF$2:AF846),$AF$2:$AF$1001,0),0), INDEX($AM$1004:$BM$1004,1,MATCH(COLUMNS($AM$1006:AM1006),$AM$1006:$BM$1006,0)))),"Fix")))</f>
        <v xml:space="preserve"> </v>
      </c>
      <c r="C846" s="4" t="str">
        <f ca="1">IF(OR(INDEX($AG$2:$AG$1001,MATCH(ROWS($AF$2:AF846),$AF$2:$AF$1001,0),1)&gt;=100000,INDEX($AM$1005:$BM$1005,1,MATCH(COLUMNS($AM$1006:AN1006),$AM$1006:$BM$1006,0))&gt;=100000), " ",IF(INDEX($AM$2:$BM$1001,MATCH(ROWS($AF$2:AF846),$AF$2:$AF$1001,0),MATCH(COLUMNS($AM$1006:AN1006),$AM$1006:$BM$1006,0)), HYPERLINK("#",""), HYPERLINK(CONCATENATE("#metadata!", ADDRESS(INDEX($AH$2:$AH$1001,MATCH(ROWS($AF$2:AF846),$AF$2:$AF$1001,0),0), INDEX($AM$1004:$BM$1004,1,MATCH(COLUMNS($AM$1006:AN1006),$AM$1006:$BM$1006,0)))),"Fix")))</f>
        <v xml:space="preserve"> </v>
      </c>
      <c r="D846" s="4" t="str">
        <f ca="1">IF(OR(INDEX($AG$2:$AG$1001,MATCH(ROWS($AF$2:AF846),$AF$2:$AF$1001,0),1)&gt;=100000,INDEX($AM$1005:$BM$1005,1,MATCH(COLUMNS($AM$1006:AO1006),$AM$1006:$BM$1006,0))&gt;=100000), " ",IF(INDEX($AM$2:$BM$1001,MATCH(ROWS($AF$2:AF846),$AF$2:$AF$1001,0),MATCH(COLUMNS($AM$1006:AO1006),$AM$1006:$BM$1006,0)), HYPERLINK("#",""), HYPERLINK(CONCATENATE("#metadata!", ADDRESS(INDEX($AH$2:$AH$1001,MATCH(ROWS($AF$2:AF846),$AF$2:$AF$1001,0),0), INDEX($AM$1004:$BM$1004,1,MATCH(COLUMNS($AM$1006:AO1006),$AM$1006:$BM$1006,0)))),"Fix")))</f>
        <v xml:space="preserve"> </v>
      </c>
      <c r="E846" s="4" t="str">
        <f ca="1">IF(OR(INDEX($AG$2:$AG$1001,MATCH(ROWS($AF$2:AF846),$AF$2:$AF$1001,0),1)&gt;=100000,INDEX($AM$1005:$BM$1005,1,MATCH(COLUMNS($AM$1006:AP1006),$AM$1006:$BM$1006,0))&gt;=100000), " ",IF(INDEX($AM$2:$BM$1001,MATCH(ROWS($AF$2:AF846),$AF$2:$AF$1001,0),MATCH(COLUMNS($AM$1006:AP1006),$AM$1006:$BM$1006,0)), HYPERLINK("#",""), HYPERLINK(CONCATENATE("#metadata!", ADDRESS(INDEX($AH$2:$AH$1001,MATCH(ROWS($AF$2:AF846),$AF$2:$AF$1001,0),0), INDEX($AM$1004:$BM$1004,1,MATCH(COLUMNS($AM$1006:AP1006),$AM$1006:$BM$1006,0)))),"Fix")))</f>
        <v xml:space="preserve"> </v>
      </c>
      <c r="F846" s="4" t="str">
        <f ca="1">IF(OR(INDEX($AG$2:$AG$1001,MATCH(ROWS($AF$2:AF846),$AF$2:$AF$1001,0),1)&gt;=100000,INDEX($AM$1005:$BM$1005,1,MATCH(COLUMNS($AM$1006:AQ1006),$AM$1006:$BM$1006,0))&gt;=100000), " ",IF(INDEX($AM$2:$BM$1001,MATCH(ROWS($AF$2:AF846),$AF$2:$AF$1001,0),MATCH(COLUMNS($AM$1006:AQ1006),$AM$1006:$BM$1006,0)), HYPERLINK("#",""), HYPERLINK(CONCATENATE("#metadata!", ADDRESS(INDEX($AH$2:$AH$1001,MATCH(ROWS($AF$2:AF846),$AF$2:$AF$1001,0),0), INDEX($AM$1004:$BM$1004,1,MATCH(COLUMNS($AM$1006:AQ1006),$AM$1006:$BM$1006,0)))),"Fix")))</f>
        <v xml:space="preserve"> </v>
      </c>
      <c r="G846" s="4" t="str">
        <f ca="1">IF(OR(INDEX($AG$2:$AG$1001,MATCH(ROWS($AF$2:AF846),$AF$2:$AF$1001,0),1)&gt;=100000,INDEX($AM$1005:$BM$1005,1,MATCH(COLUMNS($AM$1006:AR1006),$AM$1006:$BM$1006,0))&gt;=100000), " ",IF(INDEX($AM$2:$BM$1001,MATCH(ROWS($AF$2:AF846),$AF$2:$AF$1001,0),MATCH(COLUMNS($AM$1006:AR1006),$AM$1006:$BM$1006,0)), HYPERLINK("#",""), HYPERLINK(CONCATENATE("#metadata!", ADDRESS(INDEX($AH$2:$AH$1001,MATCH(ROWS($AF$2:AF846),$AF$2:$AF$1001,0),0), INDEX($AM$1004:$BM$1004,1,MATCH(COLUMNS($AM$1006:AR1006),$AM$1006:$BM$1006,0)))),"Fix")))</f>
        <v xml:space="preserve"> </v>
      </c>
      <c r="H846" s="4" t="str">
        <f ca="1">IF(OR(INDEX($AG$2:$AG$1001,MATCH(ROWS($AF$2:AF846),$AF$2:$AF$1001,0),1)&gt;=100000,INDEX($AM$1005:$BM$1005,1,MATCH(COLUMNS($AM$1006:AS1006),$AM$1006:$BM$1006,0))&gt;=100000), " ",IF(INDEX($AM$2:$BM$1001,MATCH(ROWS($AF$2:AF846),$AF$2:$AF$1001,0),MATCH(COLUMNS($AM$1006:AS1006),$AM$1006:$BM$1006,0)), HYPERLINK("#",""), HYPERLINK(CONCATENATE("#metadata!", ADDRESS(INDEX($AH$2:$AH$1001,MATCH(ROWS($AF$2:AF846),$AF$2:$AF$1001,0),0), INDEX($AM$1004:$BM$1004,1,MATCH(COLUMNS($AM$1006:AS1006),$AM$1006:$BM$1006,0)))),"Fix")))</f>
        <v xml:space="preserve"> </v>
      </c>
      <c r="I846" s="4" t="str">
        <f ca="1">IF(OR(INDEX($AG$2:$AG$1001,MATCH(ROWS($AF$2:AF846),$AF$2:$AF$1001,0),1)&gt;=100000,INDEX($AM$1005:$BM$1005,1,MATCH(COLUMNS($AM$1006:AT1006),$AM$1006:$BM$1006,0))&gt;=100000), " ",IF(INDEX($AM$2:$BM$1001,MATCH(ROWS($AF$2:AF846),$AF$2:$AF$1001,0),MATCH(COLUMNS($AM$1006:AT1006),$AM$1006:$BM$1006,0)), HYPERLINK("#",""), HYPERLINK(CONCATENATE("#metadata!", ADDRESS(INDEX($AH$2:$AH$1001,MATCH(ROWS($AF$2:AF846),$AF$2:$AF$1001,0),0), INDEX($AM$1004:$BM$1004,1,MATCH(COLUMNS($AM$1006:AT1006),$AM$1006:$BM$1006,0)))),"Fix")))</f>
        <v xml:space="preserve"> </v>
      </c>
      <c r="J846" s="4" t="str">
        <f ca="1">IF(OR(INDEX($AG$2:$AG$1001,MATCH(ROWS($AF$2:AF846),$AF$2:$AF$1001,0),1)&gt;=100000,INDEX($AM$1005:$BM$1005,1,MATCH(COLUMNS($AM$1006:AU1006),$AM$1006:$BM$1006,0))&gt;=100000), " ",IF(INDEX($AM$2:$BM$1001,MATCH(ROWS($AF$2:AF846),$AF$2:$AF$1001,0),MATCH(COLUMNS($AM$1006:AU1006),$AM$1006:$BM$1006,0)), HYPERLINK("#",""), HYPERLINK(CONCATENATE("#metadata!", ADDRESS(INDEX($AH$2:$AH$1001,MATCH(ROWS($AF$2:AF846),$AF$2:$AF$1001,0),0), INDEX($AM$1004:$BM$1004,1,MATCH(COLUMNS($AM$1006:AU1006),$AM$1006:$BM$1006,0)))),"Fix")))</f>
        <v xml:space="preserve"> </v>
      </c>
      <c r="K846" s="4" t="str">
        <f ca="1">IF(OR(INDEX($AG$2:$AG$1001,MATCH(ROWS($AF$2:AF846),$AF$2:$AF$1001,0),1)&gt;=100000,INDEX($AM$1005:$BM$1005,1,MATCH(COLUMNS($AM$1006:AV1006),$AM$1006:$BM$1006,0))&gt;=100000), " ",IF(INDEX($AM$2:$BM$1001,MATCH(ROWS($AF$2:AF846),$AF$2:$AF$1001,0),MATCH(COLUMNS($AM$1006:AV1006),$AM$1006:$BM$1006,0)), HYPERLINK("#",""), HYPERLINK(CONCATENATE("#metadata!", ADDRESS(INDEX($AH$2:$AH$1001,MATCH(ROWS($AF$2:AF846),$AF$2:$AF$1001,0),0), INDEX($AM$1004:$BM$1004,1,MATCH(COLUMNS($AM$1006:AV1006),$AM$1006:$BM$1006,0)))),"Fix")))</f>
        <v xml:space="preserve"> </v>
      </c>
      <c r="L846" s="4" t="str">
        <f ca="1">IF(OR(INDEX($AG$2:$AG$1001,MATCH(ROWS($AF$2:AF846),$AF$2:$AF$1001,0),1)&gt;=100000,INDEX($AM$1005:$BM$1005,1,MATCH(COLUMNS($AM$1006:AW1006),$AM$1006:$BM$1006,0))&gt;=100000), " ",IF(INDEX($AM$2:$BM$1001,MATCH(ROWS($AF$2:AF846),$AF$2:$AF$1001,0),MATCH(COLUMNS($AM$1006:AW1006),$AM$1006:$BM$1006,0)), HYPERLINK("#",""), HYPERLINK(CONCATENATE("#metadata!", ADDRESS(INDEX($AH$2:$AH$1001,MATCH(ROWS($AF$2:AF846),$AF$2:$AF$1001,0),0), INDEX($AM$1004:$BM$1004,1,MATCH(COLUMNS($AM$1006:AW1006),$AM$1006:$BM$1006,0)))),"Fix")))</f>
        <v xml:space="preserve"> </v>
      </c>
      <c r="M846" s="4" t="str">
        <f ca="1">IF(OR(INDEX($AG$2:$AG$1001,MATCH(ROWS($AF$2:AF846),$AF$2:$AF$1001,0),1)&gt;=100000,INDEX($AM$1005:$BM$1005,1,MATCH(COLUMNS($AM$1006:AX1006),$AM$1006:$BM$1006,0))&gt;=100000), " ",IF(INDEX($AM$2:$BM$1001,MATCH(ROWS($AF$2:AF846),$AF$2:$AF$1001,0),MATCH(COLUMNS($AM$1006:AX1006),$AM$1006:$BM$1006,0)), HYPERLINK("#",""), HYPERLINK(CONCATENATE("#metadata!", ADDRESS(INDEX($AH$2:$AH$1001,MATCH(ROWS($AF$2:AF846),$AF$2:$AF$1001,0),0), INDEX($AM$1004:$BM$1004,1,MATCH(COLUMNS($AM$1006:AX1006),$AM$1006:$BM$1006,0)))),"Fix")))</f>
        <v xml:space="preserve"> </v>
      </c>
      <c r="N846" s="4" t="str">
        <f ca="1">IF(OR(INDEX($AG$2:$AG$1001,MATCH(ROWS($AF$2:AF846),$AF$2:$AF$1001,0),1)&gt;=100000,INDEX($AM$1005:$BM$1005,1,MATCH(COLUMNS($AM$1006:AY1006),$AM$1006:$BM$1006,0))&gt;=100000), " ",IF(INDEX($AM$2:$BM$1001,MATCH(ROWS($AF$2:AF846),$AF$2:$AF$1001,0),MATCH(COLUMNS($AM$1006:AY1006),$AM$1006:$BM$1006,0)), HYPERLINK("#",""), HYPERLINK(CONCATENATE("#metadata!", ADDRESS(INDEX($AH$2:$AH$1001,MATCH(ROWS($AF$2:AF846),$AF$2:$AF$1001,0),0), INDEX($AM$1004:$BM$1004,1,MATCH(COLUMNS($AM$1006:AY1006),$AM$1006:$BM$1006,0)))),"Fix")))</f>
        <v xml:space="preserve"> </v>
      </c>
      <c r="O846" s="4" t="str">
        <f ca="1">IF(OR(INDEX($AG$2:$AG$1001,MATCH(ROWS($AF$2:AF846),$AF$2:$AF$1001,0),1)&gt;=100000,INDEX($AM$1005:$BM$1005,1,MATCH(COLUMNS($AM$1006:AZ1006),$AM$1006:$BM$1006,0))&gt;=100000), " ",IF(INDEX($AM$2:$BM$1001,MATCH(ROWS($AF$2:AF846),$AF$2:$AF$1001,0),MATCH(COLUMNS($AM$1006:AZ1006),$AM$1006:$BM$1006,0)), HYPERLINK("#",""), HYPERLINK(CONCATENATE("#metadata!", ADDRESS(INDEX($AH$2:$AH$1001,MATCH(ROWS($AF$2:AF846),$AF$2:$AF$1001,0),0), INDEX($AM$1004:$BM$1004,1,MATCH(COLUMNS($AM$1006:AZ1006),$AM$1006:$BM$1006,0)))),"Fix")))</f>
        <v xml:space="preserve"> </v>
      </c>
      <c r="P846" s="4" t="str">
        <f ca="1">IF(OR(INDEX($AG$2:$AG$1001,MATCH(ROWS($AF$2:AF846),$AF$2:$AF$1001,0),1)&gt;=100000,INDEX($AM$1005:$BM$1005,1,MATCH(COLUMNS($AM$1006:BA1006),$AM$1006:$BM$1006,0))&gt;=100000), " ",IF(INDEX($AM$2:$BM$1001,MATCH(ROWS($AF$2:AF846),$AF$2:$AF$1001,0),MATCH(COLUMNS($AM$1006:BA1006),$AM$1006:$BM$1006,0)), HYPERLINK("#",""), HYPERLINK(CONCATENATE("#metadata!", ADDRESS(INDEX($AH$2:$AH$1001,MATCH(ROWS($AF$2:AF846),$AF$2:$AF$1001,0),0), INDEX($AM$1004:$BM$1004,1,MATCH(COLUMNS($AM$1006:BA1006),$AM$1006:$BM$1006,0)))),"Fix")))</f>
        <v xml:space="preserve"> </v>
      </c>
      <c r="Q846" s="4" t="str">
        <f ca="1">IF(OR(INDEX($AG$2:$AG$1001,MATCH(ROWS($AF$2:AF846),$AF$2:$AF$1001,0),1)&gt;=100000,INDEX($AM$1005:$BM$1005,1,MATCH(COLUMNS($AM$1006:BB1006),$AM$1006:$BM$1006,0))&gt;=100000), " ",IF(INDEX($AM$2:$BM$1001,MATCH(ROWS($AF$2:AF846),$AF$2:$AF$1001,0),MATCH(COLUMNS($AM$1006:BB1006),$AM$1006:$BM$1006,0)), HYPERLINK("#",""), HYPERLINK(CONCATENATE("#metadata!", ADDRESS(INDEX($AH$2:$AH$1001,MATCH(ROWS($AF$2:AF846),$AF$2:$AF$1001,0),0), INDEX($AM$1004:$BM$1004,1,MATCH(COLUMNS($AM$1006:BB1006),$AM$1006:$BM$1006,0)))),"Fix")))</f>
        <v xml:space="preserve"> </v>
      </c>
      <c r="R846" s="4" t="str">
        <f ca="1">IF(OR(INDEX($AG$2:$AG$1001,MATCH(ROWS($AF$2:AF846),$AF$2:$AF$1001,0),1)&gt;=100000,INDEX($AM$1005:$BM$1005,1,MATCH(COLUMNS($AM$1006:BC1006),$AM$1006:$BM$1006,0))&gt;=100000), " ",IF(INDEX($AM$2:$BM$1001,MATCH(ROWS($AF$2:AF846),$AF$2:$AF$1001,0),MATCH(COLUMNS($AM$1006:BC1006),$AM$1006:$BM$1006,0)), HYPERLINK("#",""), HYPERLINK(CONCATENATE("#metadata!", ADDRESS(INDEX($AH$2:$AH$1001,MATCH(ROWS($AF$2:AF846),$AF$2:$AF$1001,0),0), INDEX($AM$1004:$BM$1004,1,MATCH(COLUMNS($AM$1006:BC1006),$AM$1006:$BM$1006,0)))),"Fix")))</f>
        <v xml:space="preserve"> </v>
      </c>
      <c r="S846" s="4" t="str">
        <f ca="1">IF(OR(INDEX($AG$2:$AG$1001,MATCH(ROWS($AF$2:AF846),$AF$2:$AF$1001,0),1)&gt;=100000,INDEX($AM$1005:$BM$1005,1,MATCH(COLUMNS($AM$1006:BD1006),$AM$1006:$BM$1006,0))&gt;=100000), " ",IF(INDEX($AM$2:$BM$1001,MATCH(ROWS($AF$2:AF846),$AF$2:$AF$1001,0),MATCH(COLUMNS($AM$1006:BD1006),$AM$1006:$BM$1006,0)), HYPERLINK("#",""), HYPERLINK(CONCATENATE("#metadata!", ADDRESS(INDEX($AH$2:$AH$1001,MATCH(ROWS($AF$2:AF846),$AF$2:$AF$1001,0),0), INDEX($AM$1004:$BM$1004,1,MATCH(COLUMNS($AM$1006:BD1006),$AM$1006:$BM$1006,0)))),"Fix")))</f>
        <v xml:space="preserve"> </v>
      </c>
      <c r="T846" s="4" t="str">
        <f ca="1">IF(OR(INDEX($AG$2:$AG$1001,MATCH(ROWS($AF$2:AF846),$AF$2:$AF$1001,0),1)&gt;=100000,INDEX($AM$1005:$BM$1005,1,MATCH(COLUMNS($AM$1006:BE1006),$AM$1006:$BM$1006,0))&gt;=100000), " ",IF(INDEX($AM$2:$BM$1001,MATCH(ROWS($AF$2:AF846),$AF$2:$AF$1001,0),MATCH(COLUMNS($AM$1006:BE1006),$AM$1006:$BM$1006,0)), HYPERLINK("#",""), HYPERLINK(CONCATENATE("#metadata!", ADDRESS(INDEX($AH$2:$AH$1001,MATCH(ROWS($AF$2:AF846),$AF$2:$AF$1001,0),0), INDEX($AM$1004:$BM$1004,1,MATCH(COLUMNS($AM$1006:BE1006),$AM$1006:$BM$1006,0)))),"Fix")))</f>
        <v xml:space="preserve"> </v>
      </c>
      <c r="U846" s="4" t="str">
        <f ca="1">IF(OR(INDEX($AG$2:$AG$1001,MATCH(ROWS($AF$2:AF846),$AF$2:$AF$1001,0),1)&gt;=100000,INDEX($AM$1005:$BM$1005,1,MATCH(COLUMNS($AM$1006:BF1006),$AM$1006:$BM$1006,0))&gt;=100000), " ",IF(INDEX($AM$2:$BM$1001,MATCH(ROWS($AF$2:AF846),$AF$2:$AF$1001,0),MATCH(COLUMNS($AM$1006:BF1006),$AM$1006:$BM$1006,0)), HYPERLINK("#",""), HYPERLINK(CONCATENATE("#metadata!", ADDRESS(INDEX($AH$2:$AH$1001,MATCH(ROWS($AF$2:AF846),$AF$2:$AF$1001,0),0), INDEX($AM$1004:$BM$1004,1,MATCH(COLUMNS($AM$1006:BF1006),$AM$1006:$BM$1006,0)))),"Fix")))</f>
        <v xml:space="preserve"> </v>
      </c>
      <c r="V846" s="4" t="str">
        <f ca="1">IF(OR(INDEX($AG$2:$AG$1001,MATCH(ROWS($AF$2:AF846),$AF$2:$AF$1001,0),1)&gt;=100000,INDEX($AM$1005:$BM$1005,1,MATCH(COLUMNS($AM$1006:BG1006),$AM$1006:$BM$1006,0))&gt;=100000), " ",IF(INDEX($AM$2:$BM$1001,MATCH(ROWS($AF$2:AF846),$AF$2:$AF$1001,0),MATCH(COLUMNS($AM$1006:BG1006),$AM$1006:$BM$1006,0)), HYPERLINK("#",""), HYPERLINK(CONCATENATE("#metadata!", ADDRESS(INDEX($AH$2:$AH$1001,MATCH(ROWS($AF$2:AF846),$AF$2:$AF$1001,0),0), INDEX($AM$1004:$BM$1004,1,MATCH(COLUMNS($AM$1006:BG1006),$AM$1006:$BM$1006,0)))),"Fix")))</f>
        <v xml:space="preserve"> </v>
      </c>
      <c r="W846" s="4" t="str">
        <f ca="1">IF(OR(INDEX($AG$2:$AG$1001,MATCH(ROWS($AF$2:AF846),$AF$2:$AF$1001,0),1)&gt;=100000,INDEX($AM$1005:$BM$1005,1,MATCH(COLUMNS($AM$1006:BH1006),$AM$1006:$BM$1006,0))&gt;=100000), " ",IF(INDEX($AM$2:$BM$1001,MATCH(ROWS($AF$2:AF846),$AF$2:$AF$1001,0),MATCH(COLUMNS($AM$1006:BH1006),$AM$1006:$BM$1006,0)), HYPERLINK("#",""), HYPERLINK(CONCATENATE("#metadata!", ADDRESS(INDEX($AH$2:$AH$1001,MATCH(ROWS($AF$2:AF846),$AF$2:$AF$1001,0),0), INDEX($AM$1004:$BM$1004,1,MATCH(COLUMNS($AM$1006:BH1006),$AM$1006:$BM$1006,0)))),"Fix")))</f>
        <v xml:space="preserve"> </v>
      </c>
      <c r="X846" s="4" t="str">
        <f ca="1">IF(OR(INDEX($AG$2:$AG$1001,MATCH(ROWS($AF$2:AF846),$AF$2:$AF$1001,0),1)&gt;=100000,INDEX($AM$1005:$BM$1005,1,MATCH(COLUMNS($AM$1006:BI1006),$AM$1006:$BM$1006,0))&gt;=100000), " ",IF(INDEX($AM$2:$BM$1001,MATCH(ROWS($AF$2:AF846),$AF$2:$AF$1001,0),MATCH(COLUMNS($AM$1006:BI1006),$AM$1006:$BM$1006,0)), HYPERLINK("#",""), HYPERLINK(CONCATENATE("#metadata!", ADDRESS(INDEX($AH$2:$AH$1001,MATCH(ROWS($AF$2:AF846),$AF$2:$AF$1001,0),0), INDEX($AM$1004:$BM$1004,1,MATCH(COLUMNS($AM$1006:BI1006),$AM$1006:$BM$1006,0)))),"Fix")))</f>
        <v xml:space="preserve"> </v>
      </c>
      <c r="Y846" s="4" t="str">
        <f ca="1">IF(OR(INDEX($AG$2:$AG$1001,MATCH(ROWS($AF$2:AF846),$AF$2:$AF$1001,0),1)&gt;=100000,INDEX($AM$1005:$BM$1005,1,MATCH(COLUMNS($AM$1006:BJ1006),$AM$1006:$BM$1006,0))&gt;=100000), " ",IF(INDEX($AM$2:$BM$1001,MATCH(ROWS($AF$2:AF846),$AF$2:$AF$1001,0),MATCH(COLUMNS($AM$1006:BJ1006),$AM$1006:$BM$1006,0)), HYPERLINK("#",""), HYPERLINK(CONCATENATE("#metadata!", ADDRESS(INDEX($AH$2:$AH$1001,MATCH(ROWS($AF$2:AF846),$AF$2:$AF$1001,0),0), INDEX($AM$1004:$BM$1004,1,MATCH(COLUMNS($AM$1006:BJ1006),$AM$1006:$BM$1006,0)))),"Fix")))</f>
        <v xml:space="preserve"> </v>
      </c>
      <c r="Z846" s="4" t="str">
        <f ca="1">IF(OR(INDEX($AG$2:$AG$1001,MATCH(ROWS($AF$2:AF846),$AF$2:$AF$1001,0),1)&gt;=100000,INDEX($AM$1005:$BM$1005,1,MATCH(COLUMNS($AM$1006:BK1006),$AM$1006:$BM$1006,0))&gt;=100000), " ",IF(INDEX($AM$2:$BM$1001,MATCH(ROWS($AF$2:AF846),$AF$2:$AF$1001,0),MATCH(COLUMNS($AM$1006:BK1006),$AM$1006:$BM$1006,0)), HYPERLINK("#",""), HYPERLINK(CONCATENATE("#metadata!", ADDRESS(INDEX($AH$2:$AH$1001,MATCH(ROWS($AF$2:AF846),$AF$2:$AF$1001,0),0), INDEX($AM$1004:$BM$1004,1,MATCH(COLUMNS($AM$1006:BK1006),$AM$1006:$BM$1006,0)))),"Fix")))</f>
        <v xml:space="preserve"> </v>
      </c>
      <c r="AA846" s="4" t="str">
        <f ca="1">IF(OR(INDEX($AG$2:$AG$1001,MATCH(ROWS($AF$2:AF846),$AF$2:$AF$1001,0),1)&gt;=100000,INDEX($AM$1005:$BM$1005,1,MATCH(COLUMNS($AM$1006:BL1006),$AM$1006:$BM$1006,0))&gt;=100000), " ",IF(INDEX($AM$2:$BM$1001,MATCH(ROWS($AF$2:AF846),$AF$2:$AF$1001,0),MATCH(COLUMNS($AM$1006:BL1006),$AM$1006:$BM$1006,0)), HYPERLINK("#",""), HYPERLINK(CONCATENATE("#metadata!", ADDRESS(INDEX($AH$2:$AH$1001,MATCH(ROWS($AF$2:AF846),$AF$2:$AF$1001,0),0), INDEX($AM$1004:$BM$1004,1,MATCH(COLUMNS($AM$1006:BL1006),$AM$1006:$BM$1006,0)))),"Fix")))</f>
        <v xml:space="preserve"> </v>
      </c>
      <c r="AB846" s="4" t="str">
        <f ca="1">IF(OR(INDEX($AG$2:$AG$1001,MATCH(ROWS($AF$2:AF846),$AF$2:$AF$1001,0),1)&gt;=100000,INDEX($AM$1005:$BM$1005,1,MATCH(COLUMNS($AM$1006:BM1006),$AM$1006:$BM$1006,0))&gt;=100000), " ",IF(INDEX($AM$2:$BM$1001,MATCH(ROWS($AF$2:AF846),$AF$2:$AF$1001,0),MATCH(COLUMNS($AM$1006:BM1006),$AM$1006:$BM$1006,0)), HYPERLINK("#",""), HYPERLINK(CONCATENATE("#metadata!", ADDRESS(INDEX($AH$2:$AH$1001,MATCH(ROWS($AF$2:AF846),$AF$2:$AF$1001,0),0), INDEX($AM$1004:$BM$1004,1,MATCH(COLUMNS($AM$1006:BM1006),$AM$1006:$BM$1006,0)))),"Fix")))</f>
        <v xml:space="preserve"> </v>
      </c>
      <c r="AF846">
        <v>845</v>
      </c>
      <c r="AG846">
        <v>100846</v>
      </c>
      <c r="AH846">
        <v>846</v>
      </c>
      <c r="AI846" t="b">
        <f t="shared" si="13"/>
        <v>1</v>
      </c>
      <c r="AJ846" t="b">
        <f>COUNTBLANK(metadata!B846:AB846)=COLUMNS(metadata!B846:AB846)</f>
        <v>1</v>
      </c>
      <c r="AK846" t="str">
        <v/>
      </c>
      <c r="AM846" t="b">
        <f ca="1">AND(IF(metadata!B846="",FALSE,TRUE),COUNTIF(metadata!B:B, metadata!B846) = 1,NOT(ISERROR(SUMPRODUCT(SEARCH(MID(metadata!B846,ROW(INDIRECT("1:"&amp;LEN(metadata!B846))), 1),"0123456789abcdefghijklmnopqrstuvwxyzABCDEFGHIJKLMNOPQRSTUVWXYZ.")))))</f>
        <v>0</v>
      </c>
      <c r="AN846" t="b">
        <f ca="1">OR(AND(IF(metadata!C846="",FALSE,TRUE),OR(EXACT(metadata!C846,"missing: not collected"),EXACT(metadata!C846,"missing: not provided"),EXACT(metadata!C846,"missing: restricted access"))),AND(IF(metadata!C846="",FALSE,TRUE),AND(AND(IFERROR(INT(LEFT(metadata!C846,4))&gt;1900,FALSE),IFERROR(INT(LEFT(metadata!C846,4))&lt;=YEAR(NOW()),FALSE)), OR(MID(metadata!C846,5,1)="", AND(AND(MID(metadata!C846,5,1)="-",IFERROR(INT(MID(metadata!C846,6,1))&gt;=0,FALSE),IFERROR(INT(MID(metadata!C846,6,1))&lt;=1,FALSE),NOT(MID(metadata!C846,7,1)=""),IFERROR(INT(MID(metadata!C846,6,2))&gt;=1,FALSE),IFERROR(INT(MID(metadata!C846,6,2))&lt;=12,FALSE)), OR(MID(metadata!C846,8,1)="", AND(AND(MID(metadata!C846,8,1)="-",IFERROR(INT(MID(metadata!C846,9,1))&gt;=0,FALSE),IFERROR(INT(MID(metadata!C846,9,1))&lt;=3,FALSE),NOT(MID(metadata!C846,10,1)=""),IFERROR(INT(MID(metadata!C846,9,2))&gt;=1,FALSE),IFERROR(INT(MID(metadata!C846,9,2))&lt;=31,FALSE)), OR(MID(metadata!C846,11,1)="", AND(AND(MID(metadata!C846,11,1)=" ",IFERROR(INT(MID(metadata!C846,12,1))&gt;=0,FALSE),IFERROR(INT(MID(metadata!C846,12,1))&lt;=2,FALSE),NOT(MID(metadata!C846,13,1)=""),IFERROR(INT(MID(metadata!C846,12,2))&gt;=0,FALSE),IFERROR(INT(MID(metadata!C846,12,2))&lt;=23,FALSE)), OR(MID(metadata!C846,14,1)="", AND(AND(MID(metadata!C846,14,1)=":",IFERROR(INT(MID(metadata!C846,15,1))&gt;=0,FALSE),IFERROR(INT(MID(metadata!C846,15,1))&lt;=5,FALSE),NOT(MID(metadata!C846,16,1)=""),IFERROR(INT(MID(metadata!C846,15,2))&gt;=0,FALSE),IFERROR(INT(MID(metadata!C846,15,2))&lt;=59,FALSE)), OR(MID(metadata!C846,17,1)="", AND(AND(MID(metadata!C846,17,1)=":",IFERROR(INT(MID(metadata!C846,18,1))&gt;=0,FALSE),IFERROR(INT(MID(metadata!C846,18,1))&lt;=5,FALSE),NOT(MID(metadata!C846,19,1)=""),IFERROR(INT(MID(metadata!C846,18,2))&gt;=0,FALSE),IFERROR(INT(MID(metadata!C846,18,2))&lt;=59,FALSE)), LEN(metadata!C846)&lt;=19)))))))))))))</f>
        <v>0</v>
      </c>
      <c r="AO846" t="b">
        <f>AND(IF(metadata!D846="",FALSE,TRUE),EXACT(metadata!D846,"Not applicable"))</f>
        <v>0</v>
      </c>
      <c r="AP846" t="b">
        <f>IF(metadata!E846="",FALSE,TRUE)</f>
        <v>0</v>
      </c>
      <c r="AQ846" t="b">
        <f>OR(AND(IF(metadata!F846="",FALSE,TRUE),OR(EXACT(metadata!F846,"missing: not collected"),EXACT(metadata!F846,"missing: not provided"))),AND(IF(metadata!F846="",FALSE,TRUE),OR(EXACT(metadata!F846,"TRUE"),EXACT(metadata!F846,"FALSE"))))</f>
        <v>0</v>
      </c>
      <c r="AR846" t="b">
        <f>OR(AND(IF(metadata!G846="",FALSE,TRUE),OR(EXACT(metadata!G846,"missing: not collected"),EXACT(metadata!G846,"missing: not provided"),EXACT(metadata!G846,"missing: restricted access"))),AND(IF(metadata!G846="",FALSE,ISNUMBER(VALUE(metadata!G846))),metadata!G846&gt;=-413))</f>
        <v>0</v>
      </c>
      <c r="AS846" t="b">
        <f>AND(IF(metadata!H846="",FALSE,TRUE),EXACT(metadata!H846,"meters"))</f>
        <v>0</v>
      </c>
      <c r="AT846" t="b">
        <f>AND(IF(metadata!I846="",FALSE,TRUE),OR(EXACT(metadata!I846,"Host-associated"),EXACT(metadata!I846,"Free-living")))</f>
        <v>0</v>
      </c>
      <c r="AU846" t="b">
        <f>AND(IF(metadata!J846="",FALSE,TRUE),OR(EXACT(metadata!J846,"Animal"),EXACT(metadata!J846,"Fungus"),EXACT(metadata!J846,"Plant"),EXACT(metadata!J846,"Saline"),EXACT(metadata!J846,"Non-saline")))</f>
        <v>0</v>
      </c>
      <c r="AV846" t="b">
        <f>AND(IF(metadata!K846="",FALSE,TRUE),OR(EXACT(metadata!K846,"Plant secretion"),EXACT(metadata!K846,"Plant rhizosphere"),EXACT(metadata!K846,"Plant surface"),EXACT(metadata!K846,"Plant corpus"),EXACT(metadata!K846,"Fungus surface"),EXACT(metadata!K846,"Fungus corpus"),EXACT(metadata!K846,"Animal surface"),EXACT(metadata!K846,"Animal proximal gut"),EXACT(metadata!K846,"Animal corpus"),EXACT(metadata!K846,"Animal distal gut"),EXACT(metadata!K846,"Animal secretion"),EXACT(metadata!K846,"Sub-surface (non-saline)"),EXACT(metadata!K846,"Surface (non-saline)"),EXACT(metadata!K846,"Water (non-saline)"),EXACT(metadata!K846,"Soil (non-saline)"),EXACT(metadata!K846,"Aerosol (non-saline)"),EXACT(metadata!K846,"Sediment (non-saline)"),EXACT(metadata!K846,"Surface (saline)"),EXACT(metadata!K846,"Water (saline)"),EXACT(metadata!K846,"Hypersaline (saline)"),EXACT(metadata!K846,"Aerosol (saline)"),EXACT(metadata!K846,"Sediment (saline)")))</f>
        <v>0</v>
      </c>
      <c r="AW846" t="b">
        <f>IF(metadata!L846="",FALSE,TRUE)</f>
        <v>0</v>
      </c>
      <c r="AX846" t="b">
        <f>IF(metadata!M846="",FALSE,TRUE)</f>
        <v>0</v>
      </c>
      <c r="AY846" t="b">
        <f>IF(metadata!N846="",FALSE,TRUE)</f>
        <v>0</v>
      </c>
      <c r="AZ846" t="b">
        <f>OR(AND(IF(metadata!O846="",FALSE,TRUE),OR(EXACT(metadata!O846,"missing: not collected"),EXACT(metadata!O846,"missing: not provided"),EXACT(metadata!O846,"missing: restricted access"))),AND(IF(metadata!O846="",FALSE,TRUE),OR(EXACT(metadata!O846,"air"),EXACT(metadata!O846,"built environment"),EXACT(metadata!O846,"host-associated"),EXACT(metadata!O846,"human-associated"),EXACT(metadata!O846,"human-skin"),EXACT(metadata!O846,"human-oral"),EXACT(metadata!O846,"human-gut"),EXACT(metadata!O846,"human-vaginal"),EXACT(metadata!O846,"microbial mat/biofilm"),EXACT(metadata!O846,"misc environment"),EXACT(metadata!O846,"plant-associated"),EXACT(metadata!O846,"sediment"),EXACT(metadata!O846,"soil"),EXACT(metadata!O846,"wastewater/sludge"),EXACT(metadata!O846,"water"))))</f>
        <v>0</v>
      </c>
      <c r="BA846" t="b">
        <f>IF(metadata!P846="",FALSE,TRUE)</f>
        <v>0</v>
      </c>
      <c r="BB846" t="b">
        <f>IF(metadata!Q846="",FALSE,TRUE)</f>
        <v>0</v>
      </c>
      <c r="BC846" t="b">
        <f>OR(AND(IF(metadata!R846="",FALSE,TRUE),OR(EXACT(metadata!R846,"missing: not collected"),EXACT(metadata!R846,"missing: not provided"),EXACT(metadata!R846,"missing: restricted access"))),AND(IF(metadata!R846="",FALSE,ISNUMBER(VALUE(metadata!R846))),metadata!R846&gt;=-90,metadata!R846&lt;=90))</f>
        <v>0</v>
      </c>
      <c r="BD846" t="b">
        <f>AND(IF(metadata!S846="",FALSE,TRUE),EXACT(metadata!S846,"Decimal degrees"))</f>
        <v>0</v>
      </c>
      <c r="BE846" t="b">
        <f>OR(AND(IF(metadata!T846="",FALSE,TRUE),OR(EXACT(metadata!T846,"missing: not collected"),EXACT(metadata!T846,"missing: not provided"),EXACT(metadata!T846,"missing: restricted access"))),AND(IF(metadata!T846="",FALSE,ISNUMBER(VALUE(metadata!T846))),metadata!T846&gt;=-180,metadata!T846&lt;=180))</f>
        <v>0</v>
      </c>
      <c r="BF846" t="b">
        <f>AND(IF(metadata!U846="",FALSE,TRUE),EXACT(metadata!U846,"Decimal degrees"))</f>
        <v>0</v>
      </c>
      <c r="BG846" t="b">
        <f>IF(metadata!V846="",FALSE,TRUE)</f>
        <v>0</v>
      </c>
      <c r="BH846" t="b">
        <f>OR(AND(IF(metadata!W846="",FALSE,TRUE),OR(EXACT(metadata!W846,"missing: not collected"),EXACT(metadata!W846,"missing: not provided"),EXACT(metadata!W846,"missing: restricted access"))),AND(IF(metadata!W846="",FALSE,TRUE),OR(EXACT(metadata!W846,"TRUE"),EXACT(metadata!W846,"FALSE"))))</f>
        <v>0</v>
      </c>
      <c r="BI846" t="b">
        <f>AND(IF(metadata!X846="",FALSE,TRUE),EXACT(metadata!X846,"other"))</f>
        <v>0</v>
      </c>
      <c r="BJ846" t="b">
        <f>IF(metadata!Y846="",FALSE,TRUE)</f>
        <v>0</v>
      </c>
      <c r="BK846" t="b">
        <f>OR(AND(IF(metadata!Z846="",FALSE,TRUE),OR(EXACT(metadata!Z846,"missing: not collected"),EXACT(metadata!Z846,"missing: not provided"))),AND(IF(metadata!Z846="",FALSE,IF(ISERROR(INT(metadata!Z846)),FALSE,INT(metadata!Z846)=metadata!Z846)),metadata!Z846&gt;0))</f>
        <v>0</v>
      </c>
      <c r="BL846" t="b">
        <f>AND(IF(metadata!AA846="",FALSE,TRUE),EXACT(metadata!AA846,"Not applicable"))</f>
        <v>0</v>
      </c>
      <c r="BM846" t="b">
        <f>IF(metadata!AB846="",FALSE,TRUE)</f>
        <v>0</v>
      </c>
    </row>
    <row r="847" spans="1:65" x14ac:dyDescent="0.2">
      <c r="A847" s="5" t="str">
        <f ca="1">IF(B847=" "," ",HYPERLINK(CONCATENATE("#metadata!",ADDRESS(INDEX($AH$2:$AH$1001,MATCH(ROWS($AF$2:AF847),$AF$2:$AF$1001,0),0),1)),INDEX($AK$2:$AK$1001,MATCH(ROWS($AF$2:AF847),$AF$2:$AF$1001,0),0)))</f>
        <v xml:space="preserve"> </v>
      </c>
      <c r="B847" s="4" t="str">
        <f ca="1">IF(OR(INDEX($AG$2:$AG$1001,MATCH(ROWS($AF$2:AF847),$AF$2:$AF$1001,0),1)&gt;=100000,INDEX($AM$1005:$BM$1005,1,MATCH(COLUMNS($AM$1006:AM1006),$AM$1006:$BM$1006,0))&gt;=100000), " ",IF(INDEX($AM$2:$BM$1001,MATCH(ROWS($AF$2:AF847),$AF$2:$AF$1001,0),MATCH(COLUMNS($AM$1006:AM1006),$AM$1006:$BM$1006,0)), HYPERLINK("#",""), HYPERLINK(CONCATENATE("#metadata!", ADDRESS(INDEX($AH$2:$AH$1001,MATCH(ROWS($AF$2:AF847),$AF$2:$AF$1001,0),0), INDEX($AM$1004:$BM$1004,1,MATCH(COLUMNS($AM$1006:AM1006),$AM$1006:$BM$1006,0)))),"Fix")))</f>
        <v xml:space="preserve"> </v>
      </c>
      <c r="C847" s="4" t="str">
        <f ca="1">IF(OR(INDEX($AG$2:$AG$1001,MATCH(ROWS($AF$2:AF847),$AF$2:$AF$1001,0),1)&gt;=100000,INDEX($AM$1005:$BM$1005,1,MATCH(COLUMNS($AM$1006:AN1006),$AM$1006:$BM$1006,0))&gt;=100000), " ",IF(INDEX($AM$2:$BM$1001,MATCH(ROWS($AF$2:AF847),$AF$2:$AF$1001,0),MATCH(COLUMNS($AM$1006:AN1006),$AM$1006:$BM$1006,0)), HYPERLINK("#",""), HYPERLINK(CONCATENATE("#metadata!", ADDRESS(INDEX($AH$2:$AH$1001,MATCH(ROWS($AF$2:AF847),$AF$2:$AF$1001,0),0), INDEX($AM$1004:$BM$1004,1,MATCH(COLUMNS($AM$1006:AN1006),$AM$1006:$BM$1006,0)))),"Fix")))</f>
        <v xml:space="preserve"> </v>
      </c>
      <c r="D847" s="4" t="str">
        <f ca="1">IF(OR(INDEX($AG$2:$AG$1001,MATCH(ROWS($AF$2:AF847),$AF$2:$AF$1001,0),1)&gt;=100000,INDEX($AM$1005:$BM$1005,1,MATCH(COLUMNS($AM$1006:AO1006),$AM$1006:$BM$1006,0))&gt;=100000), " ",IF(INDEX($AM$2:$BM$1001,MATCH(ROWS($AF$2:AF847),$AF$2:$AF$1001,0),MATCH(COLUMNS($AM$1006:AO1006),$AM$1006:$BM$1006,0)), HYPERLINK("#",""), HYPERLINK(CONCATENATE("#metadata!", ADDRESS(INDEX($AH$2:$AH$1001,MATCH(ROWS($AF$2:AF847),$AF$2:$AF$1001,0),0), INDEX($AM$1004:$BM$1004,1,MATCH(COLUMNS($AM$1006:AO1006),$AM$1006:$BM$1006,0)))),"Fix")))</f>
        <v xml:space="preserve"> </v>
      </c>
      <c r="E847" s="4" t="str">
        <f ca="1">IF(OR(INDEX($AG$2:$AG$1001,MATCH(ROWS($AF$2:AF847),$AF$2:$AF$1001,0),1)&gt;=100000,INDEX($AM$1005:$BM$1005,1,MATCH(COLUMNS($AM$1006:AP1006),$AM$1006:$BM$1006,0))&gt;=100000), " ",IF(INDEX($AM$2:$BM$1001,MATCH(ROWS($AF$2:AF847),$AF$2:$AF$1001,0),MATCH(COLUMNS($AM$1006:AP1006),$AM$1006:$BM$1006,0)), HYPERLINK("#",""), HYPERLINK(CONCATENATE("#metadata!", ADDRESS(INDEX($AH$2:$AH$1001,MATCH(ROWS($AF$2:AF847),$AF$2:$AF$1001,0),0), INDEX($AM$1004:$BM$1004,1,MATCH(COLUMNS($AM$1006:AP1006),$AM$1006:$BM$1006,0)))),"Fix")))</f>
        <v xml:space="preserve"> </v>
      </c>
      <c r="F847" s="4" t="str">
        <f ca="1">IF(OR(INDEX($AG$2:$AG$1001,MATCH(ROWS($AF$2:AF847),$AF$2:$AF$1001,0),1)&gt;=100000,INDEX($AM$1005:$BM$1005,1,MATCH(COLUMNS($AM$1006:AQ1006),$AM$1006:$BM$1006,0))&gt;=100000), " ",IF(INDEX($AM$2:$BM$1001,MATCH(ROWS($AF$2:AF847),$AF$2:$AF$1001,0),MATCH(COLUMNS($AM$1006:AQ1006),$AM$1006:$BM$1006,0)), HYPERLINK("#",""), HYPERLINK(CONCATENATE("#metadata!", ADDRESS(INDEX($AH$2:$AH$1001,MATCH(ROWS($AF$2:AF847),$AF$2:$AF$1001,0),0), INDEX($AM$1004:$BM$1004,1,MATCH(COLUMNS($AM$1006:AQ1006),$AM$1006:$BM$1006,0)))),"Fix")))</f>
        <v xml:space="preserve"> </v>
      </c>
      <c r="G847" s="4" t="str">
        <f ca="1">IF(OR(INDEX($AG$2:$AG$1001,MATCH(ROWS($AF$2:AF847),$AF$2:$AF$1001,0),1)&gt;=100000,INDEX($AM$1005:$BM$1005,1,MATCH(COLUMNS($AM$1006:AR1006),$AM$1006:$BM$1006,0))&gt;=100000), " ",IF(INDEX($AM$2:$BM$1001,MATCH(ROWS($AF$2:AF847),$AF$2:$AF$1001,0),MATCH(COLUMNS($AM$1006:AR1006),$AM$1006:$BM$1006,0)), HYPERLINK("#",""), HYPERLINK(CONCATENATE("#metadata!", ADDRESS(INDEX($AH$2:$AH$1001,MATCH(ROWS($AF$2:AF847),$AF$2:$AF$1001,0),0), INDEX($AM$1004:$BM$1004,1,MATCH(COLUMNS($AM$1006:AR1006),$AM$1006:$BM$1006,0)))),"Fix")))</f>
        <v xml:space="preserve"> </v>
      </c>
      <c r="H847" s="4" t="str">
        <f ca="1">IF(OR(INDEX($AG$2:$AG$1001,MATCH(ROWS($AF$2:AF847),$AF$2:$AF$1001,0),1)&gt;=100000,INDEX($AM$1005:$BM$1005,1,MATCH(COLUMNS($AM$1006:AS1006),$AM$1006:$BM$1006,0))&gt;=100000), " ",IF(INDEX($AM$2:$BM$1001,MATCH(ROWS($AF$2:AF847),$AF$2:$AF$1001,0),MATCH(COLUMNS($AM$1006:AS1006),$AM$1006:$BM$1006,0)), HYPERLINK("#",""), HYPERLINK(CONCATENATE("#metadata!", ADDRESS(INDEX($AH$2:$AH$1001,MATCH(ROWS($AF$2:AF847),$AF$2:$AF$1001,0),0), INDEX($AM$1004:$BM$1004,1,MATCH(COLUMNS($AM$1006:AS1006),$AM$1006:$BM$1006,0)))),"Fix")))</f>
        <v xml:space="preserve"> </v>
      </c>
      <c r="I847" s="4" t="str">
        <f ca="1">IF(OR(INDEX($AG$2:$AG$1001,MATCH(ROWS($AF$2:AF847),$AF$2:$AF$1001,0),1)&gt;=100000,INDEX($AM$1005:$BM$1005,1,MATCH(COLUMNS($AM$1006:AT1006),$AM$1006:$BM$1006,0))&gt;=100000), " ",IF(INDEX($AM$2:$BM$1001,MATCH(ROWS($AF$2:AF847),$AF$2:$AF$1001,0),MATCH(COLUMNS($AM$1006:AT1006),$AM$1006:$BM$1006,0)), HYPERLINK("#",""), HYPERLINK(CONCATENATE("#metadata!", ADDRESS(INDEX($AH$2:$AH$1001,MATCH(ROWS($AF$2:AF847),$AF$2:$AF$1001,0),0), INDEX($AM$1004:$BM$1004,1,MATCH(COLUMNS($AM$1006:AT1006),$AM$1006:$BM$1006,0)))),"Fix")))</f>
        <v xml:space="preserve"> </v>
      </c>
      <c r="J847" s="4" t="str">
        <f ca="1">IF(OR(INDEX($AG$2:$AG$1001,MATCH(ROWS($AF$2:AF847),$AF$2:$AF$1001,0),1)&gt;=100000,INDEX($AM$1005:$BM$1005,1,MATCH(COLUMNS($AM$1006:AU1006),$AM$1006:$BM$1006,0))&gt;=100000), " ",IF(INDEX($AM$2:$BM$1001,MATCH(ROWS($AF$2:AF847),$AF$2:$AF$1001,0),MATCH(COLUMNS($AM$1006:AU1006),$AM$1006:$BM$1006,0)), HYPERLINK("#",""), HYPERLINK(CONCATENATE("#metadata!", ADDRESS(INDEX($AH$2:$AH$1001,MATCH(ROWS($AF$2:AF847),$AF$2:$AF$1001,0),0), INDEX($AM$1004:$BM$1004,1,MATCH(COLUMNS($AM$1006:AU1006),$AM$1006:$BM$1006,0)))),"Fix")))</f>
        <v xml:space="preserve"> </v>
      </c>
      <c r="K847" s="4" t="str">
        <f ca="1">IF(OR(INDEX($AG$2:$AG$1001,MATCH(ROWS($AF$2:AF847),$AF$2:$AF$1001,0),1)&gt;=100000,INDEX($AM$1005:$BM$1005,1,MATCH(COLUMNS($AM$1006:AV1006),$AM$1006:$BM$1006,0))&gt;=100000), " ",IF(INDEX($AM$2:$BM$1001,MATCH(ROWS($AF$2:AF847),$AF$2:$AF$1001,0),MATCH(COLUMNS($AM$1006:AV1006),$AM$1006:$BM$1006,0)), HYPERLINK("#",""), HYPERLINK(CONCATENATE("#metadata!", ADDRESS(INDEX($AH$2:$AH$1001,MATCH(ROWS($AF$2:AF847),$AF$2:$AF$1001,0),0), INDEX($AM$1004:$BM$1004,1,MATCH(COLUMNS($AM$1006:AV1006),$AM$1006:$BM$1006,0)))),"Fix")))</f>
        <v xml:space="preserve"> </v>
      </c>
      <c r="L847" s="4" t="str">
        <f ca="1">IF(OR(INDEX($AG$2:$AG$1001,MATCH(ROWS($AF$2:AF847),$AF$2:$AF$1001,0),1)&gt;=100000,INDEX($AM$1005:$BM$1005,1,MATCH(COLUMNS($AM$1006:AW1006),$AM$1006:$BM$1006,0))&gt;=100000), " ",IF(INDEX($AM$2:$BM$1001,MATCH(ROWS($AF$2:AF847),$AF$2:$AF$1001,0),MATCH(COLUMNS($AM$1006:AW1006),$AM$1006:$BM$1006,0)), HYPERLINK("#",""), HYPERLINK(CONCATENATE("#metadata!", ADDRESS(INDEX($AH$2:$AH$1001,MATCH(ROWS($AF$2:AF847),$AF$2:$AF$1001,0),0), INDEX($AM$1004:$BM$1004,1,MATCH(COLUMNS($AM$1006:AW1006),$AM$1006:$BM$1006,0)))),"Fix")))</f>
        <v xml:space="preserve"> </v>
      </c>
      <c r="M847" s="4" t="str">
        <f ca="1">IF(OR(INDEX($AG$2:$AG$1001,MATCH(ROWS($AF$2:AF847),$AF$2:$AF$1001,0),1)&gt;=100000,INDEX($AM$1005:$BM$1005,1,MATCH(COLUMNS($AM$1006:AX1006),$AM$1006:$BM$1006,0))&gt;=100000), " ",IF(INDEX($AM$2:$BM$1001,MATCH(ROWS($AF$2:AF847),$AF$2:$AF$1001,0),MATCH(COLUMNS($AM$1006:AX1006),$AM$1006:$BM$1006,0)), HYPERLINK("#",""), HYPERLINK(CONCATENATE("#metadata!", ADDRESS(INDEX($AH$2:$AH$1001,MATCH(ROWS($AF$2:AF847),$AF$2:$AF$1001,0),0), INDEX($AM$1004:$BM$1004,1,MATCH(COLUMNS($AM$1006:AX1006),$AM$1006:$BM$1006,0)))),"Fix")))</f>
        <v xml:space="preserve"> </v>
      </c>
      <c r="N847" s="4" t="str">
        <f ca="1">IF(OR(INDEX($AG$2:$AG$1001,MATCH(ROWS($AF$2:AF847),$AF$2:$AF$1001,0),1)&gt;=100000,INDEX($AM$1005:$BM$1005,1,MATCH(COLUMNS($AM$1006:AY1006),$AM$1006:$BM$1006,0))&gt;=100000), " ",IF(INDEX($AM$2:$BM$1001,MATCH(ROWS($AF$2:AF847),$AF$2:$AF$1001,0),MATCH(COLUMNS($AM$1006:AY1006),$AM$1006:$BM$1006,0)), HYPERLINK("#",""), HYPERLINK(CONCATENATE("#metadata!", ADDRESS(INDEX($AH$2:$AH$1001,MATCH(ROWS($AF$2:AF847),$AF$2:$AF$1001,0),0), INDEX($AM$1004:$BM$1004,1,MATCH(COLUMNS($AM$1006:AY1006),$AM$1006:$BM$1006,0)))),"Fix")))</f>
        <v xml:space="preserve"> </v>
      </c>
      <c r="O847" s="4" t="str">
        <f ca="1">IF(OR(INDEX($AG$2:$AG$1001,MATCH(ROWS($AF$2:AF847),$AF$2:$AF$1001,0),1)&gt;=100000,INDEX($AM$1005:$BM$1005,1,MATCH(COLUMNS($AM$1006:AZ1006),$AM$1006:$BM$1006,0))&gt;=100000), " ",IF(INDEX($AM$2:$BM$1001,MATCH(ROWS($AF$2:AF847),$AF$2:$AF$1001,0),MATCH(COLUMNS($AM$1006:AZ1006),$AM$1006:$BM$1006,0)), HYPERLINK("#",""), HYPERLINK(CONCATENATE("#metadata!", ADDRESS(INDEX($AH$2:$AH$1001,MATCH(ROWS($AF$2:AF847),$AF$2:$AF$1001,0),0), INDEX($AM$1004:$BM$1004,1,MATCH(COLUMNS($AM$1006:AZ1006),$AM$1006:$BM$1006,0)))),"Fix")))</f>
        <v xml:space="preserve"> </v>
      </c>
      <c r="P847" s="4" t="str">
        <f ca="1">IF(OR(INDEX($AG$2:$AG$1001,MATCH(ROWS($AF$2:AF847),$AF$2:$AF$1001,0),1)&gt;=100000,INDEX($AM$1005:$BM$1005,1,MATCH(COLUMNS($AM$1006:BA1006),$AM$1006:$BM$1006,0))&gt;=100000), " ",IF(INDEX($AM$2:$BM$1001,MATCH(ROWS($AF$2:AF847),$AF$2:$AF$1001,0),MATCH(COLUMNS($AM$1006:BA1006),$AM$1006:$BM$1006,0)), HYPERLINK("#",""), HYPERLINK(CONCATENATE("#metadata!", ADDRESS(INDEX($AH$2:$AH$1001,MATCH(ROWS($AF$2:AF847),$AF$2:$AF$1001,0),0), INDEX($AM$1004:$BM$1004,1,MATCH(COLUMNS($AM$1006:BA1006),$AM$1006:$BM$1006,0)))),"Fix")))</f>
        <v xml:space="preserve"> </v>
      </c>
      <c r="Q847" s="4" t="str">
        <f ca="1">IF(OR(INDEX($AG$2:$AG$1001,MATCH(ROWS($AF$2:AF847),$AF$2:$AF$1001,0),1)&gt;=100000,INDEX($AM$1005:$BM$1005,1,MATCH(COLUMNS($AM$1006:BB1006),$AM$1006:$BM$1006,0))&gt;=100000), " ",IF(INDEX($AM$2:$BM$1001,MATCH(ROWS($AF$2:AF847),$AF$2:$AF$1001,0),MATCH(COLUMNS($AM$1006:BB1006),$AM$1006:$BM$1006,0)), HYPERLINK("#",""), HYPERLINK(CONCATENATE("#metadata!", ADDRESS(INDEX($AH$2:$AH$1001,MATCH(ROWS($AF$2:AF847),$AF$2:$AF$1001,0),0), INDEX($AM$1004:$BM$1004,1,MATCH(COLUMNS($AM$1006:BB1006),$AM$1006:$BM$1006,0)))),"Fix")))</f>
        <v xml:space="preserve"> </v>
      </c>
      <c r="R847" s="4" t="str">
        <f ca="1">IF(OR(INDEX($AG$2:$AG$1001,MATCH(ROWS($AF$2:AF847),$AF$2:$AF$1001,0),1)&gt;=100000,INDEX($AM$1005:$BM$1005,1,MATCH(COLUMNS($AM$1006:BC1006),$AM$1006:$BM$1006,0))&gt;=100000), " ",IF(INDEX($AM$2:$BM$1001,MATCH(ROWS($AF$2:AF847),$AF$2:$AF$1001,0),MATCH(COLUMNS($AM$1006:BC1006),$AM$1006:$BM$1006,0)), HYPERLINK("#",""), HYPERLINK(CONCATENATE("#metadata!", ADDRESS(INDEX($AH$2:$AH$1001,MATCH(ROWS($AF$2:AF847),$AF$2:$AF$1001,0),0), INDEX($AM$1004:$BM$1004,1,MATCH(COLUMNS($AM$1006:BC1006),$AM$1006:$BM$1006,0)))),"Fix")))</f>
        <v xml:space="preserve"> </v>
      </c>
      <c r="S847" s="4" t="str">
        <f ca="1">IF(OR(INDEX($AG$2:$AG$1001,MATCH(ROWS($AF$2:AF847),$AF$2:$AF$1001,0),1)&gt;=100000,INDEX($AM$1005:$BM$1005,1,MATCH(COLUMNS($AM$1006:BD1006),$AM$1006:$BM$1006,0))&gt;=100000), " ",IF(INDEX($AM$2:$BM$1001,MATCH(ROWS($AF$2:AF847),$AF$2:$AF$1001,0),MATCH(COLUMNS($AM$1006:BD1006),$AM$1006:$BM$1006,0)), HYPERLINK("#",""), HYPERLINK(CONCATENATE("#metadata!", ADDRESS(INDEX($AH$2:$AH$1001,MATCH(ROWS($AF$2:AF847),$AF$2:$AF$1001,0),0), INDEX($AM$1004:$BM$1004,1,MATCH(COLUMNS($AM$1006:BD1006),$AM$1006:$BM$1006,0)))),"Fix")))</f>
        <v xml:space="preserve"> </v>
      </c>
      <c r="T847" s="4" t="str">
        <f ca="1">IF(OR(INDEX($AG$2:$AG$1001,MATCH(ROWS($AF$2:AF847),$AF$2:$AF$1001,0),1)&gt;=100000,INDEX($AM$1005:$BM$1005,1,MATCH(COLUMNS($AM$1006:BE1006),$AM$1006:$BM$1006,0))&gt;=100000), " ",IF(INDEX($AM$2:$BM$1001,MATCH(ROWS($AF$2:AF847),$AF$2:$AF$1001,0),MATCH(COLUMNS($AM$1006:BE1006),$AM$1006:$BM$1006,0)), HYPERLINK("#",""), HYPERLINK(CONCATENATE("#metadata!", ADDRESS(INDEX($AH$2:$AH$1001,MATCH(ROWS($AF$2:AF847),$AF$2:$AF$1001,0),0), INDEX($AM$1004:$BM$1004,1,MATCH(COLUMNS($AM$1006:BE1006),$AM$1006:$BM$1006,0)))),"Fix")))</f>
        <v xml:space="preserve"> </v>
      </c>
      <c r="U847" s="4" t="str">
        <f ca="1">IF(OR(INDEX($AG$2:$AG$1001,MATCH(ROWS($AF$2:AF847),$AF$2:$AF$1001,0),1)&gt;=100000,INDEX($AM$1005:$BM$1005,1,MATCH(COLUMNS($AM$1006:BF1006),$AM$1006:$BM$1006,0))&gt;=100000), " ",IF(INDEX($AM$2:$BM$1001,MATCH(ROWS($AF$2:AF847),$AF$2:$AF$1001,0),MATCH(COLUMNS($AM$1006:BF1006),$AM$1006:$BM$1006,0)), HYPERLINK("#",""), HYPERLINK(CONCATENATE("#metadata!", ADDRESS(INDEX($AH$2:$AH$1001,MATCH(ROWS($AF$2:AF847),$AF$2:$AF$1001,0),0), INDEX($AM$1004:$BM$1004,1,MATCH(COLUMNS($AM$1006:BF1006),$AM$1006:$BM$1006,0)))),"Fix")))</f>
        <v xml:space="preserve"> </v>
      </c>
      <c r="V847" s="4" t="str">
        <f ca="1">IF(OR(INDEX($AG$2:$AG$1001,MATCH(ROWS($AF$2:AF847),$AF$2:$AF$1001,0),1)&gt;=100000,INDEX($AM$1005:$BM$1005,1,MATCH(COLUMNS($AM$1006:BG1006),$AM$1006:$BM$1006,0))&gt;=100000), " ",IF(INDEX($AM$2:$BM$1001,MATCH(ROWS($AF$2:AF847),$AF$2:$AF$1001,0),MATCH(COLUMNS($AM$1006:BG1006),$AM$1006:$BM$1006,0)), HYPERLINK("#",""), HYPERLINK(CONCATENATE("#metadata!", ADDRESS(INDEX($AH$2:$AH$1001,MATCH(ROWS($AF$2:AF847),$AF$2:$AF$1001,0),0), INDEX($AM$1004:$BM$1004,1,MATCH(COLUMNS($AM$1006:BG1006),$AM$1006:$BM$1006,0)))),"Fix")))</f>
        <v xml:space="preserve"> </v>
      </c>
      <c r="W847" s="4" t="str">
        <f ca="1">IF(OR(INDEX($AG$2:$AG$1001,MATCH(ROWS($AF$2:AF847),$AF$2:$AF$1001,0),1)&gt;=100000,INDEX($AM$1005:$BM$1005,1,MATCH(COLUMNS($AM$1006:BH1006),$AM$1006:$BM$1006,0))&gt;=100000), " ",IF(INDEX($AM$2:$BM$1001,MATCH(ROWS($AF$2:AF847),$AF$2:$AF$1001,0),MATCH(COLUMNS($AM$1006:BH1006),$AM$1006:$BM$1006,0)), HYPERLINK("#",""), HYPERLINK(CONCATENATE("#metadata!", ADDRESS(INDEX($AH$2:$AH$1001,MATCH(ROWS($AF$2:AF847),$AF$2:$AF$1001,0),0), INDEX($AM$1004:$BM$1004,1,MATCH(COLUMNS($AM$1006:BH1006),$AM$1006:$BM$1006,0)))),"Fix")))</f>
        <v xml:space="preserve"> </v>
      </c>
      <c r="X847" s="4" t="str">
        <f ca="1">IF(OR(INDEX($AG$2:$AG$1001,MATCH(ROWS($AF$2:AF847),$AF$2:$AF$1001,0),1)&gt;=100000,INDEX($AM$1005:$BM$1005,1,MATCH(COLUMNS($AM$1006:BI1006),$AM$1006:$BM$1006,0))&gt;=100000), " ",IF(INDEX($AM$2:$BM$1001,MATCH(ROWS($AF$2:AF847),$AF$2:$AF$1001,0),MATCH(COLUMNS($AM$1006:BI1006),$AM$1006:$BM$1006,0)), HYPERLINK("#",""), HYPERLINK(CONCATENATE("#metadata!", ADDRESS(INDEX($AH$2:$AH$1001,MATCH(ROWS($AF$2:AF847),$AF$2:$AF$1001,0),0), INDEX($AM$1004:$BM$1004,1,MATCH(COLUMNS($AM$1006:BI1006),$AM$1006:$BM$1006,0)))),"Fix")))</f>
        <v xml:space="preserve"> </v>
      </c>
      <c r="Y847" s="4" t="str">
        <f ca="1">IF(OR(INDEX($AG$2:$AG$1001,MATCH(ROWS($AF$2:AF847),$AF$2:$AF$1001,0),1)&gt;=100000,INDEX($AM$1005:$BM$1005,1,MATCH(COLUMNS($AM$1006:BJ1006),$AM$1006:$BM$1006,0))&gt;=100000), " ",IF(INDEX($AM$2:$BM$1001,MATCH(ROWS($AF$2:AF847),$AF$2:$AF$1001,0),MATCH(COLUMNS($AM$1006:BJ1006),$AM$1006:$BM$1006,0)), HYPERLINK("#",""), HYPERLINK(CONCATENATE("#metadata!", ADDRESS(INDEX($AH$2:$AH$1001,MATCH(ROWS($AF$2:AF847),$AF$2:$AF$1001,0),0), INDEX($AM$1004:$BM$1004,1,MATCH(COLUMNS($AM$1006:BJ1006),$AM$1006:$BM$1006,0)))),"Fix")))</f>
        <v xml:space="preserve"> </v>
      </c>
      <c r="Z847" s="4" t="str">
        <f ca="1">IF(OR(INDEX($AG$2:$AG$1001,MATCH(ROWS($AF$2:AF847),$AF$2:$AF$1001,0),1)&gt;=100000,INDEX($AM$1005:$BM$1005,1,MATCH(COLUMNS($AM$1006:BK1006),$AM$1006:$BM$1006,0))&gt;=100000), " ",IF(INDEX($AM$2:$BM$1001,MATCH(ROWS($AF$2:AF847),$AF$2:$AF$1001,0),MATCH(COLUMNS($AM$1006:BK1006),$AM$1006:$BM$1006,0)), HYPERLINK("#",""), HYPERLINK(CONCATENATE("#metadata!", ADDRESS(INDEX($AH$2:$AH$1001,MATCH(ROWS($AF$2:AF847),$AF$2:$AF$1001,0),0), INDEX($AM$1004:$BM$1004,1,MATCH(COLUMNS($AM$1006:BK1006),$AM$1006:$BM$1006,0)))),"Fix")))</f>
        <v xml:space="preserve"> </v>
      </c>
      <c r="AA847" s="4" t="str">
        <f ca="1">IF(OR(INDEX($AG$2:$AG$1001,MATCH(ROWS($AF$2:AF847),$AF$2:$AF$1001,0),1)&gt;=100000,INDEX($AM$1005:$BM$1005,1,MATCH(COLUMNS($AM$1006:BL1006),$AM$1006:$BM$1006,0))&gt;=100000), " ",IF(INDEX($AM$2:$BM$1001,MATCH(ROWS($AF$2:AF847),$AF$2:$AF$1001,0),MATCH(COLUMNS($AM$1006:BL1006),$AM$1006:$BM$1006,0)), HYPERLINK("#",""), HYPERLINK(CONCATENATE("#metadata!", ADDRESS(INDEX($AH$2:$AH$1001,MATCH(ROWS($AF$2:AF847),$AF$2:$AF$1001,0),0), INDEX($AM$1004:$BM$1004,1,MATCH(COLUMNS($AM$1006:BL1006),$AM$1006:$BM$1006,0)))),"Fix")))</f>
        <v xml:space="preserve"> </v>
      </c>
      <c r="AB847" s="4" t="str">
        <f ca="1">IF(OR(INDEX($AG$2:$AG$1001,MATCH(ROWS($AF$2:AF847),$AF$2:$AF$1001,0),1)&gt;=100000,INDEX($AM$1005:$BM$1005,1,MATCH(COLUMNS($AM$1006:BM1006),$AM$1006:$BM$1006,0))&gt;=100000), " ",IF(INDEX($AM$2:$BM$1001,MATCH(ROWS($AF$2:AF847),$AF$2:$AF$1001,0),MATCH(COLUMNS($AM$1006:BM1006),$AM$1006:$BM$1006,0)), HYPERLINK("#",""), HYPERLINK(CONCATENATE("#metadata!", ADDRESS(INDEX($AH$2:$AH$1001,MATCH(ROWS($AF$2:AF847),$AF$2:$AF$1001,0),0), INDEX($AM$1004:$BM$1004,1,MATCH(COLUMNS($AM$1006:BM1006),$AM$1006:$BM$1006,0)))),"Fix")))</f>
        <v xml:space="preserve"> </v>
      </c>
      <c r="AF847">
        <v>846</v>
      </c>
      <c r="AG847">
        <v>100847</v>
      </c>
      <c r="AH847">
        <v>847</v>
      </c>
      <c r="AI847" t="b">
        <f t="shared" si="13"/>
        <v>1</v>
      </c>
      <c r="AJ847" t="b">
        <f>COUNTBLANK(metadata!B847:AB847)=COLUMNS(metadata!B847:AB847)</f>
        <v>1</v>
      </c>
      <c r="AK847" t="str">
        <v/>
      </c>
      <c r="AM847" t="b">
        <f ca="1">AND(IF(metadata!B847="",FALSE,TRUE),COUNTIF(metadata!B:B, metadata!B847) = 1,NOT(ISERROR(SUMPRODUCT(SEARCH(MID(metadata!B847,ROW(INDIRECT("1:"&amp;LEN(metadata!B847))), 1),"0123456789abcdefghijklmnopqrstuvwxyzABCDEFGHIJKLMNOPQRSTUVWXYZ.")))))</f>
        <v>0</v>
      </c>
      <c r="AN847" t="b">
        <f ca="1">OR(AND(IF(metadata!C847="",FALSE,TRUE),OR(EXACT(metadata!C847,"missing: not collected"),EXACT(metadata!C847,"missing: not provided"),EXACT(metadata!C847,"missing: restricted access"))),AND(IF(metadata!C847="",FALSE,TRUE),AND(AND(IFERROR(INT(LEFT(metadata!C847,4))&gt;1900,FALSE),IFERROR(INT(LEFT(metadata!C847,4))&lt;=YEAR(NOW()),FALSE)), OR(MID(metadata!C847,5,1)="", AND(AND(MID(metadata!C847,5,1)="-",IFERROR(INT(MID(metadata!C847,6,1))&gt;=0,FALSE),IFERROR(INT(MID(metadata!C847,6,1))&lt;=1,FALSE),NOT(MID(metadata!C847,7,1)=""),IFERROR(INT(MID(metadata!C847,6,2))&gt;=1,FALSE),IFERROR(INT(MID(metadata!C847,6,2))&lt;=12,FALSE)), OR(MID(metadata!C847,8,1)="", AND(AND(MID(metadata!C847,8,1)="-",IFERROR(INT(MID(metadata!C847,9,1))&gt;=0,FALSE),IFERROR(INT(MID(metadata!C847,9,1))&lt;=3,FALSE),NOT(MID(metadata!C847,10,1)=""),IFERROR(INT(MID(metadata!C847,9,2))&gt;=1,FALSE),IFERROR(INT(MID(metadata!C847,9,2))&lt;=31,FALSE)), OR(MID(metadata!C847,11,1)="", AND(AND(MID(metadata!C847,11,1)=" ",IFERROR(INT(MID(metadata!C847,12,1))&gt;=0,FALSE),IFERROR(INT(MID(metadata!C847,12,1))&lt;=2,FALSE),NOT(MID(metadata!C847,13,1)=""),IFERROR(INT(MID(metadata!C847,12,2))&gt;=0,FALSE),IFERROR(INT(MID(metadata!C847,12,2))&lt;=23,FALSE)), OR(MID(metadata!C847,14,1)="", AND(AND(MID(metadata!C847,14,1)=":",IFERROR(INT(MID(metadata!C847,15,1))&gt;=0,FALSE),IFERROR(INT(MID(metadata!C847,15,1))&lt;=5,FALSE),NOT(MID(metadata!C847,16,1)=""),IFERROR(INT(MID(metadata!C847,15,2))&gt;=0,FALSE),IFERROR(INT(MID(metadata!C847,15,2))&lt;=59,FALSE)), OR(MID(metadata!C847,17,1)="", AND(AND(MID(metadata!C847,17,1)=":",IFERROR(INT(MID(metadata!C847,18,1))&gt;=0,FALSE),IFERROR(INT(MID(metadata!C847,18,1))&lt;=5,FALSE),NOT(MID(metadata!C847,19,1)=""),IFERROR(INT(MID(metadata!C847,18,2))&gt;=0,FALSE),IFERROR(INT(MID(metadata!C847,18,2))&lt;=59,FALSE)), LEN(metadata!C847)&lt;=19)))))))))))))</f>
        <v>0</v>
      </c>
      <c r="AO847" t="b">
        <f>AND(IF(metadata!D847="",FALSE,TRUE),EXACT(metadata!D847,"Not applicable"))</f>
        <v>0</v>
      </c>
      <c r="AP847" t="b">
        <f>IF(metadata!E847="",FALSE,TRUE)</f>
        <v>0</v>
      </c>
      <c r="AQ847" t="b">
        <f>OR(AND(IF(metadata!F847="",FALSE,TRUE),OR(EXACT(metadata!F847,"missing: not collected"),EXACT(metadata!F847,"missing: not provided"))),AND(IF(metadata!F847="",FALSE,TRUE),OR(EXACT(metadata!F847,"TRUE"),EXACT(metadata!F847,"FALSE"))))</f>
        <v>0</v>
      </c>
      <c r="AR847" t="b">
        <f>OR(AND(IF(metadata!G847="",FALSE,TRUE),OR(EXACT(metadata!G847,"missing: not collected"),EXACT(metadata!G847,"missing: not provided"),EXACT(metadata!G847,"missing: restricted access"))),AND(IF(metadata!G847="",FALSE,ISNUMBER(VALUE(metadata!G847))),metadata!G847&gt;=-413))</f>
        <v>0</v>
      </c>
      <c r="AS847" t="b">
        <f>AND(IF(metadata!H847="",FALSE,TRUE),EXACT(metadata!H847,"meters"))</f>
        <v>0</v>
      </c>
      <c r="AT847" t="b">
        <f>AND(IF(metadata!I847="",FALSE,TRUE),OR(EXACT(metadata!I847,"Host-associated"),EXACT(metadata!I847,"Free-living")))</f>
        <v>0</v>
      </c>
      <c r="AU847" t="b">
        <f>AND(IF(metadata!J847="",FALSE,TRUE),OR(EXACT(metadata!J847,"Animal"),EXACT(metadata!J847,"Fungus"),EXACT(metadata!J847,"Plant"),EXACT(metadata!J847,"Saline"),EXACT(metadata!J847,"Non-saline")))</f>
        <v>0</v>
      </c>
      <c r="AV847" t="b">
        <f>AND(IF(metadata!K847="",FALSE,TRUE),OR(EXACT(metadata!K847,"Plant secretion"),EXACT(metadata!K847,"Plant rhizosphere"),EXACT(metadata!K847,"Plant surface"),EXACT(metadata!K847,"Plant corpus"),EXACT(metadata!K847,"Fungus surface"),EXACT(metadata!K847,"Fungus corpus"),EXACT(metadata!K847,"Animal surface"),EXACT(metadata!K847,"Animal proximal gut"),EXACT(metadata!K847,"Animal corpus"),EXACT(metadata!K847,"Animal distal gut"),EXACT(metadata!K847,"Animal secretion"),EXACT(metadata!K847,"Sub-surface (non-saline)"),EXACT(metadata!K847,"Surface (non-saline)"),EXACT(metadata!K847,"Water (non-saline)"),EXACT(metadata!K847,"Soil (non-saline)"),EXACT(metadata!K847,"Aerosol (non-saline)"),EXACT(metadata!K847,"Sediment (non-saline)"),EXACT(metadata!K847,"Surface (saline)"),EXACT(metadata!K847,"Water (saline)"),EXACT(metadata!K847,"Hypersaline (saline)"),EXACT(metadata!K847,"Aerosol (saline)"),EXACT(metadata!K847,"Sediment (saline)")))</f>
        <v>0</v>
      </c>
      <c r="AW847" t="b">
        <f>IF(metadata!L847="",FALSE,TRUE)</f>
        <v>0</v>
      </c>
      <c r="AX847" t="b">
        <f>IF(metadata!M847="",FALSE,TRUE)</f>
        <v>0</v>
      </c>
      <c r="AY847" t="b">
        <f>IF(metadata!N847="",FALSE,TRUE)</f>
        <v>0</v>
      </c>
      <c r="AZ847" t="b">
        <f>OR(AND(IF(metadata!O847="",FALSE,TRUE),OR(EXACT(metadata!O847,"missing: not collected"),EXACT(metadata!O847,"missing: not provided"),EXACT(metadata!O847,"missing: restricted access"))),AND(IF(metadata!O847="",FALSE,TRUE),OR(EXACT(metadata!O847,"air"),EXACT(metadata!O847,"built environment"),EXACT(metadata!O847,"host-associated"),EXACT(metadata!O847,"human-associated"),EXACT(metadata!O847,"human-skin"),EXACT(metadata!O847,"human-oral"),EXACT(metadata!O847,"human-gut"),EXACT(metadata!O847,"human-vaginal"),EXACT(metadata!O847,"microbial mat/biofilm"),EXACT(metadata!O847,"misc environment"),EXACT(metadata!O847,"plant-associated"),EXACT(metadata!O847,"sediment"),EXACT(metadata!O847,"soil"),EXACT(metadata!O847,"wastewater/sludge"),EXACT(metadata!O847,"water"))))</f>
        <v>0</v>
      </c>
      <c r="BA847" t="b">
        <f>IF(metadata!P847="",FALSE,TRUE)</f>
        <v>0</v>
      </c>
      <c r="BB847" t="b">
        <f>IF(metadata!Q847="",FALSE,TRUE)</f>
        <v>0</v>
      </c>
      <c r="BC847" t="b">
        <f>OR(AND(IF(metadata!R847="",FALSE,TRUE),OR(EXACT(metadata!R847,"missing: not collected"),EXACT(metadata!R847,"missing: not provided"),EXACT(metadata!R847,"missing: restricted access"))),AND(IF(metadata!R847="",FALSE,ISNUMBER(VALUE(metadata!R847))),metadata!R847&gt;=-90,metadata!R847&lt;=90))</f>
        <v>0</v>
      </c>
      <c r="BD847" t="b">
        <f>AND(IF(metadata!S847="",FALSE,TRUE),EXACT(metadata!S847,"Decimal degrees"))</f>
        <v>0</v>
      </c>
      <c r="BE847" t="b">
        <f>OR(AND(IF(metadata!T847="",FALSE,TRUE),OR(EXACT(metadata!T847,"missing: not collected"),EXACT(metadata!T847,"missing: not provided"),EXACT(metadata!T847,"missing: restricted access"))),AND(IF(metadata!T847="",FALSE,ISNUMBER(VALUE(metadata!T847))),metadata!T847&gt;=-180,metadata!T847&lt;=180))</f>
        <v>0</v>
      </c>
      <c r="BF847" t="b">
        <f>AND(IF(metadata!U847="",FALSE,TRUE),EXACT(metadata!U847,"Decimal degrees"))</f>
        <v>0</v>
      </c>
      <c r="BG847" t="b">
        <f>IF(metadata!V847="",FALSE,TRUE)</f>
        <v>0</v>
      </c>
      <c r="BH847" t="b">
        <f>OR(AND(IF(metadata!W847="",FALSE,TRUE),OR(EXACT(metadata!W847,"missing: not collected"),EXACT(metadata!W847,"missing: not provided"),EXACT(metadata!W847,"missing: restricted access"))),AND(IF(metadata!W847="",FALSE,TRUE),OR(EXACT(metadata!W847,"TRUE"),EXACT(metadata!W847,"FALSE"))))</f>
        <v>0</v>
      </c>
      <c r="BI847" t="b">
        <f>AND(IF(metadata!X847="",FALSE,TRUE),EXACT(metadata!X847,"other"))</f>
        <v>0</v>
      </c>
      <c r="BJ847" t="b">
        <f>IF(metadata!Y847="",FALSE,TRUE)</f>
        <v>0</v>
      </c>
      <c r="BK847" t="b">
        <f>OR(AND(IF(metadata!Z847="",FALSE,TRUE),OR(EXACT(metadata!Z847,"missing: not collected"),EXACT(metadata!Z847,"missing: not provided"))),AND(IF(metadata!Z847="",FALSE,IF(ISERROR(INT(metadata!Z847)),FALSE,INT(metadata!Z847)=metadata!Z847)),metadata!Z847&gt;0))</f>
        <v>0</v>
      </c>
      <c r="BL847" t="b">
        <f>AND(IF(metadata!AA847="",FALSE,TRUE),EXACT(metadata!AA847,"Not applicable"))</f>
        <v>0</v>
      </c>
      <c r="BM847" t="b">
        <f>IF(metadata!AB847="",FALSE,TRUE)</f>
        <v>0</v>
      </c>
    </row>
    <row r="848" spans="1:65" x14ac:dyDescent="0.2">
      <c r="A848" s="5" t="str">
        <f ca="1">IF(B848=" "," ",HYPERLINK(CONCATENATE("#metadata!",ADDRESS(INDEX($AH$2:$AH$1001,MATCH(ROWS($AF$2:AF848),$AF$2:$AF$1001,0),0),1)),INDEX($AK$2:$AK$1001,MATCH(ROWS($AF$2:AF848),$AF$2:$AF$1001,0),0)))</f>
        <v xml:space="preserve"> </v>
      </c>
      <c r="B848" s="4" t="str">
        <f ca="1">IF(OR(INDEX($AG$2:$AG$1001,MATCH(ROWS($AF$2:AF848),$AF$2:$AF$1001,0),1)&gt;=100000,INDEX($AM$1005:$BM$1005,1,MATCH(COLUMNS($AM$1006:AM1006),$AM$1006:$BM$1006,0))&gt;=100000), " ",IF(INDEX($AM$2:$BM$1001,MATCH(ROWS($AF$2:AF848),$AF$2:$AF$1001,0),MATCH(COLUMNS($AM$1006:AM1006),$AM$1006:$BM$1006,0)), HYPERLINK("#",""), HYPERLINK(CONCATENATE("#metadata!", ADDRESS(INDEX($AH$2:$AH$1001,MATCH(ROWS($AF$2:AF848),$AF$2:$AF$1001,0),0), INDEX($AM$1004:$BM$1004,1,MATCH(COLUMNS($AM$1006:AM1006),$AM$1006:$BM$1006,0)))),"Fix")))</f>
        <v xml:space="preserve"> </v>
      </c>
      <c r="C848" s="4" t="str">
        <f ca="1">IF(OR(INDEX($AG$2:$AG$1001,MATCH(ROWS($AF$2:AF848),$AF$2:$AF$1001,0),1)&gt;=100000,INDEX($AM$1005:$BM$1005,1,MATCH(COLUMNS($AM$1006:AN1006),$AM$1006:$BM$1006,0))&gt;=100000), " ",IF(INDEX($AM$2:$BM$1001,MATCH(ROWS($AF$2:AF848),$AF$2:$AF$1001,0),MATCH(COLUMNS($AM$1006:AN1006),$AM$1006:$BM$1006,0)), HYPERLINK("#",""), HYPERLINK(CONCATENATE("#metadata!", ADDRESS(INDEX($AH$2:$AH$1001,MATCH(ROWS($AF$2:AF848),$AF$2:$AF$1001,0),0), INDEX($AM$1004:$BM$1004,1,MATCH(COLUMNS($AM$1006:AN1006),$AM$1006:$BM$1006,0)))),"Fix")))</f>
        <v xml:space="preserve"> </v>
      </c>
      <c r="D848" s="4" t="str">
        <f ca="1">IF(OR(INDEX($AG$2:$AG$1001,MATCH(ROWS($AF$2:AF848),$AF$2:$AF$1001,0),1)&gt;=100000,INDEX($AM$1005:$BM$1005,1,MATCH(COLUMNS($AM$1006:AO1006),$AM$1006:$BM$1006,0))&gt;=100000), " ",IF(INDEX($AM$2:$BM$1001,MATCH(ROWS($AF$2:AF848),$AF$2:$AF$1001,0),MATCH(COLUMNS($AM$1006:AO1006),$AM$1006:$BM$1006,0)), HYPERLINK("#",""), HYPERLINK(CONCATENATE("#metadata!", ADDRESS(INDEX($AH$2:$AH$1001,MATCH(ROWS($AF$2:AF848),$AF$2:$AF$1001,0),0), INDEX($AM$1004:$BM$1004,1,MATCH(COLUMNS($AM$1006:AO1006),$AM$1006:$BM$1006,0)))),"Fix")))</f>
        <v xml:space="preserve"> </v>
      </c>
      <c r="E848" s="4" t="str">
        <f ca="1">IF(OR(INDEX($AG$2:$AG$1001,MATCH(ROWS($AF$2:AF848),$AF$2:$AF$1001,0),1)&gt;=100000,INDEX($AM$1005:$BM$1005,1,MATCH(COLUMNS($AM$1006:AP1006),$AM$1006:$BM$1006,0))&gt;=100000), " ",IF(INDEX($AM$2:$BM$1001,MATCH(ROWS($AF$2:AF848),$AF$2:$AF$1001,0),MATCH(COLUMNS($AM$1006:AP1006),$AM$1006:$BM$1006,0)), HYPERLINK("#",""), HYPERLINK(CONCATENATE("#metadata!", ADDRESS(INDEX($AH$2:$AH$1001,MATCH(ROWS($AF$2:AF848),$AF$2:$AF$1001,0),0), INDEX($AM$1004:$BM$1004,1,MATCH(COLUMNS($AM$1006:AP1006),$AM$1006:$BM$1006,0)))),"Fix")))</f>
        <v xml:space="preserve"> </v>
      </c>
      <c r="F848" s="4" t="str">
        <f ca="1">IF(OR(INDEX($AG$2:$AG$1001,MATCH(ROWS($AF$2:AF848),$AF$2:$AF$1001,0),1)&gt;=100000,INDEX($AM$1005:$BM$1005,1,MATCH(COLUMNS($AM$1006:AQ1006),$AM$1006:$BM$1006,0))&gt;=100000), " ",IF(INDEX($AM$2:$BM$1001,MATCH(ROWS($AF$2:AF848),$AF$2:$AF$1001,0),MATCH(COLUMNS($AM$1006:AQ1006),$AM$1006:$BM$1006,0)), HYPERLINK("#",""), HYPERLINK(CONCATENATE("#metadata!", ADDRESS(INDEX($AH$2:$AH$1001,MATCH(ROWS($AF$2:AF848),$AF$2:$AF$1001,0),0), INDEX($AM$1004:$BM$1004,1,MATCH(COLUMNS($AM$1006:AQ1006),$AM$1006:$BM$1006,0)))),"Fix")))</f>
        <v xml:space="preserve"> </v>
      </c>
      <c r="G848" s="4" t="str">
        <f ca="1">IF(OR(INDEX($AG$2:$AG$1001,MATCH(ROWS($AF$2:AF848),$AF$2:$AF$1001,0),1)&gt;=100000,INDEX($AM$1005:$BM$1005,1,MATCH(COLUMNS($AM$1006:AR1006),$AM$1006:$BM$1006,0))&gt;=100000), " ",IF(INDEX($AM$2:$BM$1001,MATCH(ROWS($AF$2:AF848),$AF$2:$AF$1001,0),MATCH(COLUMNS($AM$1006:AR1006),$AM$1006:$BM$1006,0)), HYPERLINK("#",""), HYPERLINK(CONCATENATE("#metadata!", ADDRESS(INDEX($AH$2:$AH$1001,MATCH(ROWS($AF$2:AF848),$AF$2:$AF$1001,0),0), INDEX($AM$1004:$BM$1004,1,MATCH(COLUMNS($AM$1006:AR1006),$AM$1006:$BM$1006,0)))),"Fix")))</f>
        <v xml:space="preserve"> </v>
      </c>
      <c r="H848" s="4" t="str">
        <f ca="1">IF(OR(INDEX($AG$2:$AG$1001,MATCH(ROWS($AF$2:AF848),$AF$2:$AF$1001,0),1)&gt;=100000,INDEX($AM$1005:$BM$1005,1,MATCH(COLUMNS($AM$1006:AS1006),$AM$1006:$BM$1006,0))&gt;=100000), " ",IF(INDEX($AM$2:$BM$1001,MATCH(ROWS($AF$2:AF848),$AF$2:$AF$1001,0),MATCH(COLUMNS($AM$1006:AS1006),$AM$1006:$BM$1006,0)), HYPERLINK("#",""), HYPERLINK(CONCATENATE("#metadata!", ADDRESS(INDEX($AH$2:$AH$1001,MATCH(ROWS($AF$2:AF848),$AF$2:$AF$1001,0),0), INDEX($AM$1004:$BM$1004,1,MATCH(COLUMNS($AM$1006:AS1006),$AM$1006:$BM$1006,0)))),"Fix")))</f>
        <v xml:space="preserve"> </v>
      </c>
      <c r="I848" s="4" t="str">
        <f ca="1">IF(OR(INDEX($AG$2:$AG$1001,MATCH(ROWS($AF$2:AF848),$AF$2:$AF$1001,0),1)&gt;=100000,INDEX($AM$1005:$BM$1005,1,MATCH(COLUMNS($AM$1006:AT1006),$AM$1006:$BM$1006,0))&gt;=100000), " ",IF(INDEX($AM$2:$BM$1001,MATCH(ROWS($AF$2:AF848),$AF$2:$AF$1001,0),MATCH(COLUMNS($AM$1006:AT1006),$AM$1006:$BM$1006,0)), HYPERLINK("#",""), HYPERLINK(CONCATENATE("#metadata!", ADDRESS(INDEX($AH$2:$AH$1001,MATCH(ROWS($AF$2:AF848),$AF$2:$AF$1001,0),0), INDEX($AM$1004:$BM$1004,1,MATCH(COLUMNS($AM$1006:AT1006),$AM$1006:$BM$1006,0)))),"Fix")))</f>
        <v xml:space="preserve"> </v>
      </c>
      <c r="J848" s="4" t="str">
        <f ca="1">IF(OR(INDEX($AG$2:$AG$1001,MATCH(ROWS($AF$2:AF848),$AF$2:$AF$1001,0),1)&gt;=100000,INDEX($AM$1005:$BM$1005,1,MATCH(COLUMNS($AM$1006:AU1006),$AM$1006:$BM$1006,0))&gt;=100000), " ",IF(INDEX($AM$2:$BM$1001,MATCH(ROWS($AF$2:AF848),$AF$2:$AF$1001,0),MATCH(COLUMNS($AM$1006:AU1006),$AM$1006:$BM$1006,0)), HYPERLINK("#",""), HYPERLINK(CONCATENATE("#metadata!", ADDRESS(INDEX($AH$2:$AH$1001,MATCH(ROWS($AF$2:AF848),$AF$2:$AF$1001,0),0), INDEX($AM$1004:$BM$1004,1,MATCH(COLUMNS($AM$1006:AU1006),$AM$1006:$BM$1006,0)))),"Fix")))</f>
        <v xml:space="preserve"> </v>
      </c>
      <c r="K848" s="4" t="str">
        <f ca="1">IF(OR(INDEX($AG$2:$AG$1001,MATCH(ROWS($AF$2:AF848),$AF$2:$AF$1001,0),1)&gt;=100000,INDEX($AM$1005:$BM$1005,1,MATCH(COLUMNS($AM$1006:AV1006),$AM$1006:$BM$1006,0))&gt;=100000), " ",IF(INDEX($AM$2:$BM$1001,MATCH(ROWS($AF$2:AF848),$AF$2:$AF$1001,0),MATCH(COLUMNS($AM$1006:AV1006),$AM$1006:$BM$1006,0)), HYPERLINK("#",""), HYPERLINK(CONCATENATE("#metadata!", ADDRESS(INDEX($AH$2:$AH$1001,MATCH(ROWS($AF$2:AF848),$AF$2:$AF$1001,0),0), INDEX($AM$1004:$BM$1004,1,MATCH(COLUMNS($AM$1006:AV1006),$AM$1006:$BM$1006,0)))),"Fix")))</f>
        <v xml:space="preserve"> </v>
      </c>
      <c r="L848" s="4" t="str">
        <f ca="1">IF(OR(INDEX($AG$2:$AG$1001,MATCH(ROWS($AF$2:AF848),$AF$2:$AF$1001,0),1)&gt;=100000,INDEX($AM$1005:$BM$1005,1,MATCH(COLUMNS($AM$1006:AW1006),$AM$1006:$BM$1006,0))&gt;=100000), " ",IF(INDEX($AM$2:$BM$1001,MATCH(ROWS($AF$2:AF848),$AF$2:$AF$1001,0),MATCH(COLUMNS($AM$1006:AW1006),$AM$1006:$BM$1006,0)), HYPERLINK("#",""), HYPERLINK(CONCATENATE("#metadata!", ADDRESS(INDEX($AH$2:$AH$1001,MATCH(ROWS($AF$2:AF848),$AF$2:$AF$1001,0),0), INDEX($AM$1004:$BM$1004,1,MATCH(COLUMNS($AM$1006:AW1006),$AM$1006:$BM$1006,0)))),"Fix")))</f>
        <v xml:space="preserve"> </v>
      </c>
      <c r="M848" s="4" t="str">
        <f ca="1">IF(OR(INDEX($AG$2:$AG$1001,MATCH(ROWS($AF$2:AF848),$AF$2:$AF$1001,0),1)&gt;=100000,INDEX($AM$1005:$BM$1005,1,MATCH(COLUMNS($AM$1006:AX1006),$AM$1006:$BM$1006,0))&gt;=100000), " ",IF(INDEX($AM$2:$BM$1001,MATCH(ROWS($AF$2:AF848),$AF$2:$AF$1001,0),MATCH(COLUMNS($AM$1006:AX1006),$AM$1006:$BM$1006,0)), HYPERLINK("#",""), HYPERLINK(CONCATENATE("#metadata!", ADDRESS(INDEX($AH$2:$AH$1001,MATCH(ROWS($AF$2:AF848),$AF$2:$AF$1001,0),0), INDEX($AM$1004:$BM$1004,1,MATCH(COLUMNS($AM$1006:AX1006),$AM$1006:$BM$1006,0)))),"Fix")))</f>
        <v xml:space="preserve"> </v>
      </c>
      <c r="N848" s="4" t="str">
        <f ca="1">IF(OR(INDEX($AG$2:$AG$1001,MATCH(ROWS($AF$2:AF848),$AF$2:$AF$1001,0),1)&gt;=100000,INDEX($AM$1005:$BM$1005,1,MATCH(COLUMNS($AM$1006:AY1006),$AM$1006:$BM$1006,0))&gt;=100000), " ",IF(INDEX($AM$2:$BM$1001,MATCH(ROWS($AF$2:AF848),$AF$2:$AF$1001,0),MATCH(COLUMNS($AM$1006:AY1006),$AM$1006:$BM$1006,0)), HYPERLINK("#",""), HYPERLINK(CONCATENATE("#metadata!", ADDRESS(INDEX($AH$2:$AH$1001,MATCH(ROWS($AF$2:AF848),$AF$2:$AF$1001,0),0), INDEX($AM$1004:$BM$1004,1,MATCH(COLUMNS($AM$1006:AY1006),$AM$1006:$BM$1006,0)))),"Fix")))</f>
        <v xml:space="preserve"> </v>
      </c>
      <c r="O848" s="4" t="str">
        <f ca="1">IF(OR(INDEX($AG$2:$AG$1001,MATCH(ROWS($AF$2:AF848),$AF$2:$AF$1001,0),1)&gt;=100000,INDEX($AM$1005:$BM$1005,1,MATCH(COLUMNS($AM$1006:AZ1006),$AM$1006:$BM$1006,0))&gt;=100000), " ",IF(INDEX($AM$2:$BM$1001,MATCH(ROWS($AF$2:AF848),$AF$2:$AF$1001,0),MATCH(COLUMNS($AM$1006:AZ1006),$AM$1006:$BM$1006,0)), HYPERLINK("#",""), HYPERLINK(CONCATENATE("#metadata!", ADDRESS(INDEX($AH$2:$AH$1001,MATCH(ROWS($AF$2:AF848),$AF$2:$AF$1001,0),0), INDEX($AM$1004:$BM$1004,1,MATCH(COLUMNS($AM$1006:AZ1006),$AM$1006:$BM$1006,0)))),"Fix")))</f>
        <v xml:space="preserve"> </v>
      </c>
      <c r="P848" s="4" t="str">
        <f ca="1">IF(OR(INDEX($AG$2:$AG$1001,MATCH(ROWS($AF$2:AF848),$AF$2:$AF$1001,0),1)&gt;=100000,INDEX($AM$1005:$BM$1005,1,MATCH(COLUMNS($AM$1006:BA1006),$AM$1006:$BM$1006,0))&gt;=100000), " ",IF(INDEX($AM$2:$BM$1001,MATCH(ROWS($AF$2:AF848),$AF$2:$AF$1001,0),MATCH(COLUMNS($AM$1006:BA1006),$AM$1006:$BM$1006,0)), HYPERLINK("#",""), HYPERLINK(CONCATENATE("#metadata!", ADDRESS(INDEX($AH$2:$AH$1001,MATCH(ROWS($AF$2:AF848),$AF$2:$AF$1001,0),0), INDEX($AM$1004:$BM$1004,1,MATCH(COLUMNS($AM$1006:BA1006),$AM$1006:$BM$1006,0)))),"Fix")))</f>
        <v xml:space="preserve"> </v>
      </c>
      <c r="Q848" s="4" t="str">
        <f ca="1">IF(OR(INDEX($AG$2:$AG$1001,MATCH(ROWS($AF$2:AF848),$AF$2:$AF$1001,0),1)&gt;=100000,INDEX($AM$1005:$BM$1005,1,MATCH(COLUMNS($AM$1006:BB1006),$AM$1006:$BM$1006,0))&gt;=100000), " ",IF(INDEX($AM$2:$BM$1001,MATCH(ROWS($AF$2:AF848),$AF$2:$AF$1001,0),MATCH(COLUMNS($AM$1006:BB1006),$AM$1006:$BM$1006,0)), HYPERLINK("#",""), HYPERLINK(CONCATENATE("#metadata!", ADDRESS(INDEX($AH$2:$AH$1001,MATCH(ROWS($AF$2:AF848),$AF$2:$AF$1001,0),0), INDEX($AM$1004:$BM$1004,1,MATCH(COLUMNS($AM$1006:BB1006),$AM$1006:$BM$1006,0)))),"Fix")))</f>
        <v xml:space="preserve"> </v>
      </c>
      <c r="R848" s="4" t="str">
        <f ca="1">IF(OR(INDEX($AG$2:$AG$1001,MATCH(ROWS($AF$2:AF848),$AF$2:$AF$1001,0),1)&gt;=100000,INDEX($AM$1005:$BM$1005,1,MATCH(COLUMNS($AM$1006:BC1006),$AM$1006:$BM$1006,0))&gt;=100000), " ",IF(INDEX($AM$2:$BM$1001,MATCH(ROWS($AF$2:AF848),$AF$2:$AF$1001,0),MATCH(COLUMNS($AM$1006:BC1006),$AM$1006:$BM$1006,0)), HYPERLINK("#",""), HYPERLINK(CONCATENATE("#metadata!", ADDRESS(INDEX($AH$2:$AH$1001,MATCH(ROWS($AF$2:AF848),$AF$2:$AF$1001,0),0), INDEX($AM$1004:$BM$1004,1,MATCH(COLUMNS($AM$1006:BC1006),$AM$1006:$BM$1006,0)))),"Fix")))</f>
        <v xml:space="preserve"> </v>
      </c>
      <c r="S848" s="4" t="str">
        <f ca="1">IF(OR(INDEX($AG$2:$AG$1001,MATCH(ROWS($AF$2:AF848),$AF$2:$AF$1001,0),1)&gt;=100000,INDEX($AM$1005:$BM$1005,1,MATCH(COLUMNS($AM$1006:BD1006),$AM$1006:$BM$1006,0))&gt;=100000), " ",IF(INDEX($AM$2:$BM$1001,MATCH(ROWS($AF$2:AF848),$AF$2:$AF$1001,0),MATCH(COLUMNS($AM$1006:BD1006),$AM$1006:$BM$1006,0)), HYPERLINK("#",""), HYPERLINK(CONCATENATE("#metadata!", ADDRESS(INDEX($AH$2:$AH$1001,MATCH(ROWS($AF$2:AF848),$AF$2:$AF$1001,0),0), INDEX($AM$1004:$BM$1004,1,MATCH(COLUMNS($AM$1006:BD1006),$AM$1006:$BM$1006,0)))),"Fix")))</f>
        <v xml:space="preserve"> </v>
      </c>
      <c r="T848" s="4" t="str">
        <f ca="1">IF(OR(INDEX($AG$2:$AG$1001,MATCH(ROWS($AF$2:AF848),$AF$2:$AF$1001,0),1)&gt;=100000,INDEX($AM$1005:$BM$1005,1,MATCH(COLUMNS($AM$1006:BE1006),$AM$1006:$BM$1006,0))&gt;=100000), " ",IF(INDEX($AM$2:$BM$1001,MATCH(ROWS($AF$2:AF848),$AF$2:$AF$1001,0),MATCH(COLUMNS($AM$1006:BE1006),$AM$1006:$BM$1006,0)), HYPERLINK("#",""), HYPERLINK(CONCATENATE("#metadata!", ADDRESS(INDEX($AH$2:$AH$1001,MATCH(ROWS($AF$2:AF848),$AF$2:$AF$1001,0),0), INDEX($AM$1004:$BM$1004,1,MATCH(COLUMNS($AM$1006:BE1006),$AM$1006:$BM$1006,0)))),"Fix")))</f>
        <v xml:space="preserve"> </v>
      </c>
      <c r="U848" s="4" t="str">
        <f ca="1">IF(OR(INDEX($AG$2:$AG$1001,MATCH(ROWS($AF$2:AF848),$AF$2:$AF$1001,0),1)&gt;=100000,INDEX($AM$1005:$BM$1005,1,MATCH(COLUMNS($AM$1006:BF1006),$AM$1006:$BM$1006,0))&gt;=100000), " ",IF(INDEX($AM$2:$BM$1001,MATCH(ROWS($AF$2:AF848),$AF$2:$AF$1001,0),MATCH(COLUMNS($AM$1006:BF1006),$AM$1006:$BM$1006,0)), HYPERLINK("#",""), HYPERLINK(CONCATENATE("#metadata!", ADDRESS(INDEX($AH$2:$AH$1001,MATCH(ROWS($AF$2:AF848),$AF$2:$AF$1001,0),0), INDEX($AM$1004:$BM$1004,1,MATCH(COLUMNS($AM$1006:BF1006),$AM$1006:$BM$1006,0)))),"Fix")))</f>
        <v xml:space="preserve"> </v>
      </c>
      <c r="V848" s="4" t="str">
        <f ca="1">IF(OR(INDEX($AG$2:$AG$1001,MATCH(ROWS($AF$2:AF848),$AF$2:$AF$1001,0),1)&gt;=100000,INDEX($AM$1005:$BM$1005,1,MATCH(COLUMNS($AM$1006:BG1006),$AM$1006:$BM$1006,0))&gt;=100000), " ",IF(INDEX($AM$2:$BM$1001,MATCH(ROWS($AF$2:AF848),$AF$2:$AF$1001,0),MATCH(COLUMNS($AM$1006:BG1006),$AM$1006:$BM$1006,0)), HYPERLINK("#",""), HYPERLINK(CONCATENATE("#metadata!", ADDRESS(INDEX($AH$2:$AH$1001,MATCH(ROWS($AF$2:AF848),$AF$2:$AF$1001,0),0), INDEX($AM$1004:$BM$1004,1,MATCH(COLUMNS($AM$1006:BG1006),$AM$1006:$BM$1006,0)))),"Fix")))</f>
        <v xml:space="preserve"> </v>
      </c>
      <c r="W848" s="4" t="str">
        <f ca="1">IF(OR(INDEX($AG$2:$AG$1001,MATCH(ROWS($AF$2:AF848),$AF$2:$AF$1001,0),1)&gt;=100000,INDEX($AM$1005:$BM$1005,1,MATCH(COLUMNS($AM$1006:BH1006),$AM$1006:$BM$1006,0))&gt;=100000), " ",IF(INDEX($AM$2:$BM$1001,MATCH(ROWS($AF$2:AF848),$AF$2:$AF$1001,0),MATCH(COLUMNS($AM$1006:BH1006),$AM$1006:$BM$1006,0)), HYPERLINK("#",""), HYPERLINK(CONCATENATE("#metadata!", ADDRESS(INDEX($AH$2:$AH$1001,MATCH(ROWS($AF$2:AF848),$AF$2:$AF$1001,0),0), INDEX($AM$1004:$BM$1004,1,MATCH(COLUMNS($AM$1006:BH1006),$AM$1006:$BM$1006,0)))),"Fix")))</f>
        <v xml:space="preserve"> </v>
      </c>
      <c r="X848" s="4" t="str">
        <f ca="1">IF(OR(INDEX($AG$2:$AG$1001,MATCH(ROWS($AF$2:AF848),$AF$2:$AF$1001,0),1)&gt;=100000,INDEX($AM$1005:$BM$1005,1,MATCH(COLUMNS($AM$1006:BI1006),$AM$1006:$BM$1006,0))&gt;=100000), " ",IF(INDEX($AM$2:$BM$1001,MATCH(ROWS($AF$2:AF848),$AF$2:$AF$1001,0),MATCH(COLUMNS($AM$1006:BI1006),$AM$1006:$BM$1006,0)), HYPERLINK("#",""), HYPERLINK(CONCATENATE("#metadata!", ADDRESS(INDEX($AH$2:$AH$1001,MATCH(ROWS($AF$2:AF848),$AF$2:$AF$1001,0),0), INDEX($AM$1004:$BM$1004,1,MATCH(COLUMNS($AM$1006:BI1006),$AM$1006:$BM$1006,0)))),"Fix")))</f>
        <v xml:space="preserve"> </v>
      </c>
      <c r="Y848" s="4" t="str">
        <f ca="1">IF(OR(INDEX($AG$2:$AG$1001,MATCH(ROWS($AF$2:AF848),$AF$2:$AF$1001,0),1)&gt;=100000,INDEX($AM$1005:$BM$1005,1,MATCH(COLUMNS($AM$1006:BJ1006),$AM$1006:$BM$1006,0))&gt;=100000), " ",IF(INDEX($AM$2:$BM$1001,MATCH(ROWS($AF$2:AF848),$AF$2:$AF$1001,0),MATCH(COLUMNS($AM$1006:BJ1006),$AM$1006:$BM$1006,0)), HYPERLINK("#",""), HYPERLINK(CONCATENATE("#metadata!", ADDRESS(INDEX($AH$2:$AH$1001,MATCH(ROWS($AF$2:AF848),$AF$2:$AF$1001,0),0), INDEX($AM$1004:$BM$1004,1,MATCH(COLUMNS($AM$1006:BJ1006),$AM$1006:$BM$1006,0)))),"Fix")))</f>
        <v xml:space="preserve"> </v>
      </c>
      <c r="Z848" s="4" t="str">
        <f ca="1">IF(OR(INDEX($AG$2:$AG$1001,MATCH(ROWS($AF$2:AF848),$AF$2:$AF$1001,0),1)&gt;=100000,INDEX($AM$1005:$BM$1005,1,MATCH(COLUMNS($AM$1006:BK1006),$AM$1006:$BM$1006,0))&gt;=100000), " ",IF(INDEX($AM$2:$BM$1001,MATCH(ROWS($AF$2:AF848),$AF$2:$AF$1001,0),MATCH(COLUMNS($AM$1006:BK1006),$AM$1006:$BM$1006,0)), HYPERLINK("#",""), HYPERLINK(CONCATENATE("#metadata!", ADDRESS(INDEX($AH$2:$AH$1001,MATCH(ROWS($AF$2:AF848),$AF$2:$AF$1001,0),0), INDEX($AM$1004:$BM$1004,1,MATCH(COLUMNS($AM$1006:BK1006),$AM$1006:$BM$1006,0)))),"Fix")))</f>
        <v xml:space="preserve"> </v>
      </c>
      <c r="AA848" s="4" t="str">
        <f ca="1">IF(OR(INDEX($AG$2:$AG$1001,MATCH(ROWS($AF$2:AF848),$AF$2:$AF$1001,0),1)&gt;=100000,INDEX($AM$1005:$BM$1005,1,MATCH(COLUMNS($AM$1006:BL1006),$AM$1006:$BM$1006,0))&gt;=100000), " ",IF(INDEX($AM$2:$BM$1001,MATCH(ROWS($AF$2:AF848),$AF$2:$AF$1001,0),MATCH(COLUMNS($AM$1006:BL1006),$AM$1006:$BM$1006,0)), HYPERLINK("#",""), HYPERLINK(CONCATENATE("#metadata!", ADDRESS(INDEX($AH$2:$AH$1001,MATCH(ROWS($AF$2:AF848),$AF$2:$AF$1001,0),0), INDEX($AM$1004:$BM$1004,1,MATCH(COLUMNS($AM$1006:BL1006),$AM$1006:$BM$1006,0)))),"Fix")))</f>
        <v xml:space="preserve"> </v>
      </c>
      <c r="AB848" s="4" t="str">
        <f ca="1">IF(OR(INDEX($AG$2:$AG$1001,MATCH(ROWS($AF$2:AF848),$AF$2:$AF$1001,0),1)&gt;=100000,INDEX($AM$1005:$BM$1005,1,MATCH(COLUMNS($AM$1006:BM1006),$AM$1006:$BM$1006,0))&gt;=100000), " ",IF(INDEX($AM$2:$BM$1001,MATCH(ROWS($AF$2:AF848),$AF$2:$AF$1001,0),MATCH(COLUMNS($AM$1006:BM1006),$AM$1006:$BM$1006,0)), HYPERLINK("#",""), HYPERLINK(CONCATENATE("#metadata!", ADDRESS(INDEX($AH$2:$AH$1001,MATCH(ROWS($AF$2:AF848),$AF$2:$AF$1001,0),0), INDEX($AM$1004:$BM$1004,1,MATCH(COLUMNS($AM$1006:BM1006),$AM$1006:$BM$1006,0)))),"Fix")))</f>
        <v xml:space="preserve"> </v>
      </c>
      <c r="AF848">
        <v>847</v>
      </c>
      <c r="AG848">
        <v>100848</v>
      </c>
      <c r="AH848">
        <v>848</v>
      </c>
      <c r="AI848" t="b">
        <f t="shared" si="13"/>
        <v>1</v>
      </c>
      <c r="AJ848" t="b">
        <f>COUNTBLANK(metadata!B848:AB848)=COLUMNS(metadata!B848:AB848)</f>
        <v>1</v>
      </c>
      <c r="AK848" t="str">
        <v/>
      </c>
      <c r="AM848" t="b">
        <f ca="1">AND(IF(metadata!B848="",FALSE,TRUE),COUNTIF(metadata!B:B, metadata!B848) = 1,NOT(ISERROR(SUMPRODUCT(SEARCH(MID(metadata!B848,ROW(INDIRECT("1:"&amp;LEN(metadata!B848))), 1),"0123456789abcdefghijklmnopqrstuvwxyzABCDEFGHIJKLMNOPQRSTUVWXYZ.")))))</f>
        <v>0</v>
      </c>
      <c r="AN848" t="b">
        <f ca="1">OR(AND(IF(metadata!C848="",FALSE,TRUE),OR(EXACT(metadata!C848,"missing: not collected"),EXACT(metadata!C848,"missing: not provided"),EXACT(metadata!C848,"missing: restricted access"))),AND(IF(metadata!C848="",FALSE,TRUE),AND(AND(IFERROR(INT(LEFT(metadata!C848,4))&gt;1900,FALSE),IFERROR(INT(LEFT(metadata!C848,4))&lt;=YEAR(NOW()),FALSE)), OR(MID(metadata!C848,5,1)="", AND(AND(MID(metadata!C848,5,1)="-",IFERROR(INT(MID(metadata!C848,6,1))&gt;=0,FALSE),IFERROR(INT(MID(metadata!C848,6,1))&lt;=1,FALSE),NOT(MID(metadata!C848,7,1)=""),IFERROR(INT(MID(metadata!C848,6,2))&gt;=1,FALSE),IFERROR(INT(MID(metadata!C848,6,2))&lt;=12,FALSE)), OR(MID(metadata!C848,8,1)="", AND(AND(MID(metadata!C848,8,1)="-",IFERROR(INT(MID(metadata!C848,9,1))&gt;=0,FALSE),IFERROR(INT(MID(metadata!C848,9,1))&lt;=3,FALSE),NOT(MID(metadata!C848,10,1)=""),IFERROR(INT(MID(metadata!C848,9,2))&gt;=1,FALSE),IFERROR(INT(MID(metadata!C848,9,2))&lt;=31,FALSE)), OR(MID(metadata!C848,11,1)="", AND(AND(MID(metadata!C848,11,1)=" ",IFERROR(INT(MID(metadata!C848,12,1))&gt;=0,FALSE),IFERROR(INT(MID(metadata!C848,12,1))&lt;=2,FALSE),NOT(MID(metadata!C848,13,1)=""),IFERROR(INT(MID(metadata!C848,12,2))&gt;=0,FALSE),IFERROR(INT(MID(metadata!C848,12,2))&lt;=23,FALSE)), OR(MID(metadata!C848,14,1)="", AND(AND(MID(metadata!C848,14,1)=":",IFERROR(INT(MID(metadata!C848,15,1))&gt;=0,FALSE),IFERROR(INT(MID(metadata!C848,15,1))&lt;=5,FALSE),NOT(MID(metadata!C848,16,1)=""),IFERROR(INT(MID(metadata!C848,15,2))&gt;=0,FALSE),IFERROR(INT(MID(metadata!C848,15,2))&lt;=59,FALSE)), OR(MID(metadata!C848,17,1)="", AND(AND(MID(metadata!C848,17,1)=":",IFERROR(INT(MID(metadata!C848,18,1))&gt;=0,FALSE),IFERROR(INT(MID(metadata!C848,18,1))&lt;=5,FALSE),NOT(MID(metadata!C848,19,1)=""),IFERROR(INT(MID(metadata!C848,18,2))&gt;=0,FALSE),IFERROR(INT(MID(metadata!C848,18,2))&lt;=59,FALSE)), LEN(metadata!C848)&lt;=19)))))))))))))</f>
        <v>0</v>
      </c>
      <c r="AO848" t="b">
        <f>AND(IF(metadata!D848="",FALSE,TRUE),EXACT(metadata!D848,"Not applicable"))</f>
        <v>0</v>
      </c>
      <c r="AP848" t="b">
        <f>IF(metadata!E848="",FALSE,TRUE)</f>
        <v>0</v>
      </c>
      <c r="AQ848" t="b">
        <f>OR(AND(IF(metadata!F848="",FALSE,TRUE),OR(EXACT(metadata!F848,"missing: not collected"),EXACT(metadata!F848,"missing: not provided"))),AND(IF(metadata!F848="",FALSE,TRUE),OR(EXACT(metadata!F848,"TRUE"),EXACT(metadata!F848,"FALSE"))))</f>
        <v>0</v>
      </c>
      <c r="AR848" t="b">
        <f>OR(AND(IF(metadata!G848="",FALSE,TRUE),OR(EXACT(metadata!G848,"missing: not collected"),EXACT(metadata!G848,"missing: not provided"),EXACT(metadata!G848,"missing: restricted access"))),AND(IF(metadata!G848="",FALSE,ISNUMBER(VALUE(metadata!G848))),metadata!G848&gt;=-413))</f>
        <v>0</v>
      </c>
      <c r="AS848" t="b">
        <f>AND(IF(metadata!H848="",FALSE,TRUE),EXACT(metadata!H848,"meters"))</f>
        <v>0</v>
      </c>
      <c r="AT848" t="b">
        <f>AND(IF(metadata!I848="",FALSE,TRUE),OR(EXACT(metadata!I848,"Host-associated"),EXACT(metadata!I848,"Free-living")))</f>
        <v>0</v>
      </c>
      <c r="AU848" t="b">
        <f>AND(IF(metadata!J848="",FALSE,TRUE),OR(EXACT(metadata!J848,"Animal"),EXACT(metadata!J848,"Fungus"),EXACT(metadata!J848,"Plant"),EXACT(metadata!J848,"Saline"),EXACT(metadata!J848,"Non-saline")))</f>
        <v>0</v>
      </c>
      <c r="AV848" t="b">
        <f>AND(IF(metadata!K848="",FALSE,TRUE),OR(EXACT(metadata!K848,"Plant secretion"),EXACT(metadata!K848,"Plant rhizosphere"),EXACT(metadata!K848,"Plant surface"),EXACT(metadata!K848,"Plant corpus"),EXACT(metadata!K848,"Fungus surface"),EXACT(metadata!K848,"Fungus corpus"),EXACT(metadata!K848,"Animal surface"),EXACT(metadata!K848,"Animal proximal gut"),EXACT(metadata!K848,"Animal corpus"),EXACT(metadata!K848,"Animal distal gut"),EXACT(metadata!K848,"Animal secretion"),EXACT(metadata!K848,"Sub-surface (non-saline)"),EXACT(metadata!K848,"Surface (non-saline)"),EXACT(metadata!K848,"Water (non-saline)"),EXACT(metadata!K848,"Soil (non-saline)"),EXACT(metadata!K848,"Aerosol (non-saline)"),EXACT(metadata!K848,"Sediment (non-saline)"),EXACT(metadata!K848,"Surface (saline)"),EXACT(metadata!K848,"Water (saline)"),EXACT(metadata!K848,"Hypersaline (saline)"),EXACT(metadata!K848,"Aerosol (saline)"),EXACT(metadata!K848,"Sediment (saline)")))</f>
        <v>0</v>
      </c>
      <c r="AW848" t="b">
        <f>IF(metadata!L848="",FALSE,TRUE)</f>
        <v>0</v>
      </c>
      <c r="AX848" t="b">
        <f>IF(metadata!M848="",FALSE,TRUE)</f>
        <v>0</v>
      </c>
      <c r="AY848" t="b">
        <f>IF(metadata!N848="",FALSE,TRUE)</f>
        <v>0</v>
      </c>
      <c r="AZ848" t="b">
        <f>OR(AND(IF(metadata!O848="",FALSE,TRUE),OR(EXACT(metadata!O848,"missing: not collected"),EXACT(metadata!O848,"missing: not provided"),EXACT(metadata!O848,"missing: restricted access"))),AND(IF(metadata!O848="",FALSE,TRUE),OR(EXACT(metadata!O848,"air"),EXACT(metadata!O848,"built environment"),EXACT(metadata!O848,"host-associated"),EXACT(metadata!O848,"human-associated"),EXACT(metadata!O848,"human-skin"),EXACT(metadata!O848,"human-oral"),EXACT(metadata!O848,"human-gut"),EXACT(metadata!O848,"human-vaginal"),EXACT(metadata!O848,"microbial mat/biofilm"),EXACT(metadata!O848,"misc environment"),EXACT(metadata!O848,"plant-associated"),EXACT(metadata!O848,"sediment"),EXACT(metadata!O848,"soil"),EXACT(metadata!O848,"wastewater/sludge"),EXACT(metadata!O848,"water"))))</f>
        <v>0</v>
      </c>
      <c r="BA848" t="b">
        <f>IF(metadata!P848="",FALSE,TRUE)</f>
        <v>0</v>
      </c>
      <c r="BB848" t="b">
        <f>IF(metadata!Q848="",FALSE,TRUE)</f>
        <v>0</v>
      </c>
      <c r="BC848" t="b">
        <f>OR(AND(IF(metadata!R848="",FALSE,TRUE),OR(EXACT(metadata!R848,"missing: not collected"),EXACT(metadata!R848,"missing: not provided"),EXACT(metadata!R848,"missing: restricted access"))),AND(IF(metadata!R848="",FALSE,ISNUMBER(VALUE(metadata!R848))),metadata!R848&gt;=-90,metadata!R848&lt;=90))</f>
        <v>0</v>
      </c>
      <c r="BD848" t="b">
        <f>AND(IF(metadata!S848="",FALSE,TRUE),EXACT(metadata!S848,"Decimal degrees"))</f>
        <v>0</v>
      </c>
      <c r="BE848" t="b">
        <f>OR(AND(IF(metadata!T848="",FALSE,TRUE),OR(EXACT(metadata!T848,"missing: not collected"),EXACT(metadata!T848,"missing: not provided"),EXACT(metadata!T848,"missing: restricted access"))),AND(IF(metadata!T848="",FALSE,ISNUMBER(VALUE(metadata!T848))),metadata!T848&gt;=-180,metadata!T848&lt;=180))</f>
        <v>0</v>
      </c>
      <c r="BF848" t="b">
        <f>AND(IF(metadata!U848="",FALSE,TRUE),EXACT(metadata!U848,"Decimal degrees"))</f>
        <v>0</v>
      </c>
      <c r="BG848" t="b">
        <f>IF(metadata!V848="",FALSE,TRUE)</f>
        <v>0</v>
      </c>
      <c r="BH848" t="b">
        <f>OR(AND(IF(metadata!W848="",FALSE,TRUE),OR(EXACT(metadata!W848,"missing: not collected"),EXACT(metadata!W848,"missing: not provided"),EXACT(metadata!W848,"missing: restricted access"))),AND(IF(metadata!W848="",FALSE,TRUE),OR(EXACT(metadata!W848,"TRUE"),EXACT(metadata!W848,"FALSE"))))</f>
        <v>0</v>
      </c>
      <c r="BI848" t="b">
        <f>AND(IF(metadata!X848="",FALSE,TRUE),EXACT(metadata!X848,"other"))</f>
        <v>0</v>
      </c>
      <c r="BJ848" t="b">
        <f>IF(metadata!Y848="",FALSE,TRUE)</f>
        <v>0</v>
      </c>
      <c r="BK848" t="b">
        <f>OR(AND(IF(metadata!Z848="",FALSE,TRUE),OR(EXACT(metadata!Z848,"missing: not collected"),EXACT(metadata!Z848,"missing: not provided"))),AND(IF(metadata!Z848="",FALSE,IF(ISERROR(INT(metadata!Z848)),FALSE,INT(metadata!Z848)=metadata!Z848)),metadata!Z848&gt;0))</f>
        <v>0</v>
      </c>
      <c r="BL848" t="b">
        <f>AND(IF(metadata!AA848="",FALSE,TRUE),EXACT(metadata!AA848,"Not applicable"))</f>
        <v>0</v>
      </c>
      <c r="BM848" t="b">
        <f>IF(metadata!AB848="",FALSE,TRUE)</f>
        <v>0</v>
      </c>
    </row>
    <row r="849" spans="1:65" x14ac:dyDescent="0.2">
      <c r="A849" s="5" t="str">
        <f ca="1">IF(B849=" "," ",HYPERLINK(CONCATENATE("#metadata!",ADDRESS(INDEX($AH$2:$AH$1001,MATCH(ROWS($AF$2:AF849),$AF$2:$AF$1001,0),0),1)),INDEX($AK$2:$AK$1001,MATCH(ROWS($AF$2:AF849),$AF$2:$AF$1001,0),0)))</f>
        <v xml:space="preserve"> </v>
      </c>
      <c r="B849" s="4" t="str">
        <f ca="1">IF(OR(INDEX($AG$2:$AG$1001,MATCH(ROWS($AF$2:AF849),$AF$2:$AF$1001,0),1)&gt;=100000,INDEX($AM$1005:$BM$1005,1,MATCH(COLUMNS($AM$1006:AM1006),$AM$1006:$BM$1006,0))&gt;=100000), " ",IF(INDEX($AM$2:$BM$1001,MATCH(ROWS($AF$2:AF849),$AF$2:$AF$1001,0),MATCH(COLUMNS($AM$1006:AM1006),$AM$1006:$BM$1006,0)), HYPERLINK("#",""), HYPERLINK(CONCATENATE("#metadata!", ADDRESS(INDEX($AH$2:$AH$1001,MATCH(ROWS($AF$2:AF849),$AF$2:$AF$1001,0),0), INDEX($AM$1004:$BM$1004,1,MATCH(COLUMNS($AM$1006:AM1006),$AM$1006:$BM$1006,0)))),"Fix")))</f>
        <v xml:space="preserve"> </v>
      </c>
      <c r="C849" s="4" t="str">
        <f ca="1">IF(OR(INDEX($AG$2:$AG$1001,MATCH(ROWS($AF$2:AF849),$AF$2:$AF$1001,0),1)&gt;=100000,INDEX($AM$1005:$BM$1005,1,MATCH(COLUMNS($AM$1006:AN1006),$AM$1006:$BM$1006,0))&gt;=100000), " ",IF(INDEX($AM$2:$BM$1001,MATCH(ROWS($AF$2:AF849),$AF$2:$AF$1001,0),MATCH(COLUMNS($AM$1006:AN1006),$AM$1006:$BM$1006,0)), HYPERLINK("#",""), HYPERLINK(CONCATENATE("#metadata!", ADDRESS(INDEX($AH$2:$AH$1001,MATCH(ROWS($AF$2:AF849),$AF$2:$AF$1001,0),0), INDEX($AM$1004:$BM$1004,1,MATCH(COLUMNS($AM$1006:AN1006),$AM$1006:$BM$1006,0)))),"Fix")))</f>
        <v xml:space="preserve"> </v>
      </c>
      <c r="D849" s="4" t="str">
        <f ca="1">IF(OR(INDEX($AG$2:$AG$1001,MATCH(ROWS($AF$2:AF849),$AF$2:$AF$1001,0),1)&gt;=100000,INDEX($AM$1005:$BM$1005,1,MATCH(COLUMNS($AM$1006:AO1006),$AM$1006:$BM$1006,0))&gt;=100000), " ",IF(INDEX($AM$2:$BM$1001,MATCH(ROWS($AF$2:AF849),$AF$2:$AF$1001,0),MATCH(COLUMNS($AM$1006:AO1006),$AM$1006:$BM$1006,0)), HYPERLINK("#",""), HYPERLINK(CONCATENATE("#metadata!", ADDRESS(INDEX($AH$2:$AH$1001,MATCH(ROWS($AF$2:AF849),$AF$2:$AF$1001,0),0), INDEX($AM$1004:$BM$1004,1,MATCH(COLUMNS($AM$1006:AO1006),$AM$1006:$BM$1006,0)))),"Fix")))</f>
        <v xml:space="preserve"> </v>
      </c>
      <c r="E849" s="4" t="str">
        <f ca="1">IF(OR(INDEX($AG$2:$AG$1001,MATCH(ROWS($AF$2:AF849),$AF$2:$AF$1001,0),1)&gt;=100000,INDEX($AM$1005:$BM$1005,1,MATCH(COLUMNS($AM$1006:AP1006),$AM$1006:$BM$1006,0))&gt;=100000), " ",IF(INDEX($AM$2:$BM$1001,MATCH(ROWS($AF$2:AF849),$AF$2:$AF$1001,0),MATCH(COLUMNS($AM$1006:AP1006),$AM$1006:$BM$1006,0)), HYPERLINK("#",""), HYPERLINK(CONCATENATE("#metadata!", ADDRESS(INDEX($AH$2:$AH$1001,MATCH(ROWS($AF$2:AF849),$AF$2:$AF$1001,0),0), INDEX($AM$1004:$BM$1004,1,MATCH(COLUMNS($AM$1006:AP1006),$AM$1006:$BM$1006,0)))),"Fix")))</f>
        <v xml:space="preserve"> </v>
      </c>
      <c r="F849" s="4" t="str">
        <f ca="1">IF(OR(INDEX($AG$2:$AG$1001,MATCH(ROWS($AF$2:AF849),$AF$2:$AF$1001,0),1)&gt;=100000,INDEX($AM$1005:$BM$1005,1,MATCH(COLUMNS($AM$1006:AQ1006),$AM$1006:$BM$1006,0))&gt;=100000), " ",IF(INDEX($AM$2:$BM$1001,MATCH(ROWS($AF$2:AF849),$AF$2:$AF$1001,0),MATCH(COLUMNS($AM$1006:AQ1006),$AM$1006:$BM$1006,0)), HYPERLINK("#",""), HYPERLINK(CONCATENATE("#metadata!", ADDRESS(INDEX($AH$2:$AH$1001,MATCH(ROWS($AF$2:AF849),$AF$2:$AF$1001,0),0), INDEX($AM$1004:$BM$1004,1,MATCH(COLUMNS($AM$1006:AQ1006),$AM$1006:$BM$1006,0)))),"Fix")))</f>
        <v xml:space="preserve"> </v>
      </c>
      <c r="G849" s="4" t="str">
        <f ca="1">IF(OR(INDEX($AG$2:$AG$1001,MATCH(ROWS($AF$2:AF849),$AF$2:$AF$1001,0),1)&gt;=100000,INDEX($AM$1005:$BM$1005,1,MATCH(COLUMNS($AM$1006:AR1006),$AM$1006:$BM$1006,0))&gt;=100000), " ",IF(INDEX($AM$2:$BM$1001,MATCH(ROWS($AF$2:AF849),$AF$2:$AF$1001,0),MATCH(COLUMNS($AM$1006:AR1006),$AM$1006:$BM$1006,0)), HYPERLINK("#",""), HYPERLINK(CONCATENATE("#metadata!", ADDRESS(INDEX($AH$2:$AH$1001,MATCH(ROWS($AF$2:AF849),$AF$2:$AF$1001,0),0), INDEX($AM$1004:$BM$1004,1,MATCH(COLUMNS($AM$1006:AR1006),$AM$1006:$BM$1006,0)))),"Fix")))</f>
        <v xml:space="preserve"> </v>
      </c>
      <c r="H849" s="4" t="str">
        <f ca="1">IF(OR(INDEX($AG$2:$AG$1001,MATCH(ROWS($AF$2:AF849),$AF$2:$AF$1001,0),1)&gt;=100000,INDEX($AM$1005:$BM$1005,1,MATCH(COLUMNS($AM$1006:AS1006),$AM$1006:$BM$1006,0))&gt;=100000), " ",IF(INDEX($AM$2:$BM$1001,MATCH(ROWS($AF$2:AF849),$AF$2:$AF$1001,0),MATCH(COLUMNS($AM$1006:AS1006),$AM$1006:$BM$1006,0)), HYPERLINK("#",""), HYPERLINK(CONCATENATE("#metadata!", ADDRESS(INDEX($AH$2:$AH$1001,MATCH(ROWS($AF$2:AF849),$AF$2:$AF$1001,0),0), INDEX($AM$1004:$BM$1004,1,MATCH(COLUMNS($AM$1006:AS1006),$AM$1006:$BM$1006,0)))),"Fix")))</f>
        <v xml:space="preserve"> </v>
      </c>
      <c r="I849" s="4" t="str">
        <f ca="1">IF(OR(INDEX($AG$2:$AG$1001,MATCH(ROWS($AF$2:AF849),$AF$2:$AF$1001,0),1)&gt;=100000,INDEX($AM$1005:$BM$1005,1,MATCH(COLUMNS($AM$1006:AT1006),$AM$1006:$BM$1006,0))&gt;=100000), " ",IF(INDEX($AM$2:$BM$1001,MATCH(ROWS($AF$2:AF849),$AF$2:$AF$1001,0),MATCH(COLUMNS($AM$1006:AT1006),$AM$1006:$BM$1006,0)), HYPERLINK("#",""), HYPERLINK(CONCATENATE("#metadata!", ADDRESS(INDEX($AH$2:$AH$1001,MATCH(ROWS($AF$2:AF849),$AF$2:$AF$1001,0),0), INDEX($AM$1004:$BM$1004,1,MATCH(COLUMNS($AM$1006:AT1006),$AM$1006:$BM$1006,0)))),"Fix")))</f>
        <v xml:space="preserve"> </v>
      </c>
      <c r="J849" s="4" t="str">
        <f ca="1">IF(OR(INDEX($AG$2:$AG$1001,MATCH(ROWS($AF$2:AF849),$AF$2:$AF$1001,0),1)&gt;=100000,INDEX($AM$1005:$BM$1005,1,MATCH(COLUMNS($AM$1006:AU1006),$AM$1006:$BM$1006,0))&gt;=100000), " ",IF(INDEX($AM$2:$BM$1001,MATCH(ROWS($AF$2:AF849),$AF$2:$AF$1001,0),MATCH(COLUMNS($AM$1006:AU1006),$AM$1006:$BM$1006,0)), HYPERLINK("#",""), HYPERLINK(CONCATENATE("#metadata!", ADDRESS(INDEX($AH$2:$AH$1001,MATCH(ROWS($AF$2:AF849),$AF$2:$AF$1001,0),0), INDEX($AM$1004:$BM$1004,1,MATCH(COLUMNS($AM$1006:AU1006),$AM$1006:$BM$1006,0)))),"Fix")))</f>
        <v xml:space="preserve"> </v>
      </c>
      <c r="K849" s="4" t="str">
        <f ca="1">IF(OR(INDEX($AG$2:$AG$1001,MATCH(ROWS($AF$2:AF849),$AF$2:$AF$1001,0),1)&gt;=100000,INDEX($AM$1005:$BM$1005,1,MATCH(COLUMNS($AM$1006:AV1006),$AM$1006:$BM$1006,0))&gt;=100000), " ",IF(INDEX($AM$2:$BM$1001,MATCH(ROWS($AF$2:AF849),$AF$2:$AF$1001,0),MATCH(COLUMNS($AM$1006:AV1006),$AM$1006:$BM$1006,0)), HYPERLINK("#",""), HYPERLINK(CONCATENATE("#metadata!", ADDRESS(INDEX($AH$2:$AH$1001,MATCH(ROWS($AF$2:AF849),$AF$2:$AF$1001,0),0), INDEX($AM$1004:$BM$1004,1,MATCH(COLUMNS($AM$1006:AV1006),$AM$1006:$BM$1006,0)))),"Fix")))</f>
        <v xml:space="preserve"> </v>
      </c>
      <c r="L849" s="4" t="str">
        <f ca="1">IF(OR(INDEX($AG$2:$AG$1001,MATCH(ROWS($AF$2:AF849),$AF$2:$AF$1001,0),1)&gt;=100000,INDEX($AM$1005:$BM$1005,1,MATCH(COLUMNS($AM$1006:AW1006),$AM$1006:$BM$1006,0))&gt;=100000), " ",IF(INDEX($AM$2:$BM$1001,MATCH(ROWS($AF$2:AF849),$AF$2:$AF$1001,0),MATCH(COLUMNS($AM$1006:AW1006),$AM$1006:$BM$1006,0)), HYPERLINK("#",""), HYPERLINK(CONCATENATE("#metadata!", ADDRESS(INDEX($AH$2:$AH$1001,MATCH(ROWS($AF$2:AF849),$AF$2:$AF$1001,0),0), INDEX($AM$1004:$BM$1004,1,MATCH(COLUMNS($AM$1006:AW1006),$AM$1006:$BM$1006,0)))),"Fix")))</f>
        <v xml:space="preserve"> </v>
      </c>
      <c r="M849" s="4" t="str">
        <f ca="1">IF(OR(INDEX($AG$2:$AG$1001,MATCH(ROWS($AF$2:AF849),$AF$2:$AF$1001,0),1)&gt;=100000,INDEX($AM$1005:$BM$1005,1,MATCH(COLUMNS($AM$1006:AX1006),$AM$1006:$BM$1006,0))&gt;=100000), " ",IF(INDEX($AM$2:$BM$1001,MATCH(ROWS($AF$2:AF849),$AF$2:$AF$1001,0),MATCH(COLUMNS($AM$1006:AX1006),$AM$1006:$BM$1006,0)), HYPERLINK("#",""), HYPERLINK(CONCATENATE("#metadata!", ADDRESS(INDEX($AH$2:$AH$1001,MATCH(ROWS($AF$2:AF849),$AF$2:$AF$1001,0),0), INDEX($AM$1004:$BM$1004,1,MATCH(COLUMNS($AM$1006:AX1006),$AM$1006:$BM$1006,0)))),"Fix")))</f>
        <v xml:space="preserve"> </v>
      </c>
      <c r="N849" s="4" t="str">
        <f ca="1">IF(OR(INDEX($AG$2:$AG$1001,MATCH(ROWS($AF$2:AF849),$AF$2:$AF$1001,0),1)&gt;=100000,INDEX($AM$1005:$BM$1005,1,MATCH(COLUMNS($AM$1006:AY1006),$AM$1006:$BM$1006,0))&gt;=100000), " ",IF(INDEX($AM$2:$BM$1001,MATCH(ROWS($AF$2:AF849),$AF$2:$AF$1001,0),MATCH(COLUMNS($AM$1006:AY1006),$AM$1006:$BM$1006,0)), HYPERLINK("#",""), HYPERLINK(CONCATENATE("#metadata!", ADDRESS(INDEX($AH$2:$AH$1001,MATCH(ROWS($AF$2:AF849),$AF$2:$AF$1001,0),0), INDEX($AM$1004:$BM$1004,1,MATCH(COLUMNS($AM$1006:AY1006),$AM$1006:$BM$1006,0)))),"Fix")))</f>
        <v xml:space="preserve"> </v>
      </c>
      <c r="O849" s="4" t="str">
        <f ca="1">IF(OR(INDEX($AG$2:$AG$1001,MATCH(ROWS($AF$2:AF849),$AF$2:$AF$1001,0),1)&gt;=100000,INDEX($AM$1005:$BM$1005,1,MATCH(COLUMNS($AM$1006:AZ1006),$AM$1006:$BM$1006,0))&gt;=100000), " ",IF(INDEX($AM$2:$BM$1001,MATCH(ROWS($AF$2:AF849),$AF$2:$AF$1001,0),MATCH(COLUMNS($AM$1006:AZ1006),$AM$1006:$BM$1006,0)), HYPERLINK("#",""), HYPERLINK(CONCATENATE("#metadata!", ADDRESS(INDEX($AH$2:$AH$1001,MATCH(ROWS($AF$2:AF849),$AF$2:$AF$1001,0),0), INDEX($AM$1004:$BM$1004,1,MATCH(COLUMNS($AM$1006:AZ1006),$AM$1006:$BM$1006,0)))),"Fix")))</f>
        <v xml:space="preserve"> </v>
      </c>
      <c r="P849" s="4" t="str">
        <f ca="1">IF(OR(INDEX($AG$2:$AG$1001,MATCH(ROWS($AF$2:AF849),$AF$2:$AF$1001,0),1)&gt;=100000,INDEX($AM$1005:$BM$1005,1,MATCH(COLUMNS($AM$1006:BA1006),$AM$1006:$BM$1006,0))&gt;=100000), " ",IF(INDEX($AM$2:$BM$1001,MATCH(ROWS($AF$2:AF849),$AF$2:$AF$1001,0),MATCH(COLUMNS($AM$1006:BA1006),$AM$1006:$BM$1006,0)), HYPERLINK("#",""), HYPERLINK(CONCATENATE("#metadata!", ADDRESS(INDEX($AH$2:$AH$1001,MATCH(ROWS($AF$2:AF849),$AF$2:$AF$1001,0),0), INDEX($AM$1004:$BM$1004,1,MATCH(COLUMNS($AM$1006:BA1006),$AM$1006:$BM$1006,0)))),"Fix")))</f>
        <v xml:space="preserve"> </v>
      </c>
      <c r="Q849" s="4" t="str">
        <f ca="1">IF(OR(INDEX($AG$2:$AG$1001,MATCH(ROWS($AF$2:AF849),$AF$2:$AF$1001,0),1)&gt;=100000,INDEX($AM$1005:$BM$1005,1,MATCH(COLUMNS($AM$1006:BB1006),$AM$1006:$BM$1006,0))&gt;=100000), " ",IF(INDEX($AM$2:$BM$1001,MATCH(ROWS($AF$2:AF849),$AF$2:$AF$1001,0),MATCH(COLUMNS($AM$1006:BB1006),$AM$1006:$BM$1006,0)), HYPERLINK("#",""), HYPERLINK(CONCATENATE("#metadata!", ADDRESS(INDEX($AH$2:$AH$1001,MATCH(ROWS($AF$2:AF849),$AF$2:$AF$1001,0),0), INDEX($AM$1004:$BM$1004,1,MATCH(COLUMNS($AM$1006:BB1006),$AM$1006:$BM$1006,0)))),"Fix")))</f>
        <v xml:space="preserve"> </v>
      </c>
      <c r="R849" s="4" t="str">
        <f ca="1">IF(OR(INDEX($AG$2:$AG$1001,MATCH(ROWS($AF$2:AF849),$AF$2:$AF$1001,0),1)&gt;=100000,INDEX($AM$1005:$BM$1005,1,MATCH(COLUMNS($AM$1006:BC1006),$AM$1006:$BM$1006,0))&gt;=100000), " ",IF(INDEX($AM$2:$BM$1001,MATCH(ROWS($AF$2:AF849),$AF$2:$AF$1001,0),MATCH(COLUMNS($AM$1006:BC1006),$AM$1006:$BM$1006,0)), HYPERLINK("#",""), HYPERLINK(CONCATENATE("#metadata!", ADDRESS(INDEX($AH$2:$AH$1001,MATCH(ROWS($AF$2:AF849),$AF$2:$AF$1001,0),0), INDEX($AM$1004:$BM$1004,1,MATCH(COLUMNS($AM$1006:BC1006),$AM$1006:$BM$1006,0)))),"Fix")))</f>
        <v xml:space="preserve"> </v>
      </c>
      <c r="S849" s="4" t="str">
        <f ca="1">IF(OR(INDEX($AG$2:$AG$1001,MATCH(ROWS($AF$2:AF849),$AF$2:$AF$1001,0),1)&gt;=100000,INDEX($AM$1005:$BM$1005,1,MATCH(COLUMNS($AM$1006:BD1006),$AM$1006:$BM$1006,0))&gt;=100000), " ",IF(INDEX($AM$2:$BM$1001,MATCH(ROWS($AF$2:AF849),$AF$2:$AF$1001,0),MATCH(COLUMNS($AM$1006:BD1006),$AM$1006:$BM$1006,0)), HYPERLINK("#",""), HYPERLINK(CONCATENATE("#metadata!", ADDRESS(INDEX($AH$2:$AH$1001,MATCH(ROWS($AF$2:AF849),$AF$2:$AF$1001,0),0), INDEX($AM$1004:$BM$1004,1,MATCH(COLUMNS($AM$1006:BD1006),$AM$1006:$BM$1006,0)))),"Fix")))</f>
        <v xml:space="preserve"> </v>
      </c>
      <c r="T849" s="4" t="str">
        <f ca="1">IF(OR(INDEX($AG$2:$AG$1001,MATCH(ROWS($AF$2:AF849),$AF$2:$AF$1001,0),1)&gt;=100000,INDEX($AM$1005:$BM$1005,1,MATCH(COLUMNS($AM$1006:BE1006),$AM$1006:$BM$1006,0))&gt;=100000), " ",IF(INDEX($AM$2:$BM$1001,MATCH(ROWS($AF$2:AF849),$AF$2:$AF$1001,0),MATCH(COLUMNS($AM$1006:BE1006),$AM$1006:$BM$1006,0)), HYPERLINK("#",""), HYPERLINK(CONCATENATE("#metadata!", ADDRESS(INDEX($AH$2:$AH$1001,MATCH(ROWS($AF$2:AF849),$AF$2:$AF$1001,0),0), INDEX($AM$1004:$BM$1004,1,MATCH(COLUMNS($AM$1006:BE1006),$AM$1006:$BM$1006,0)))),"Fix")))</f>
        <v xml:space="preserve"> </v>
      </c>
      <c r="U849" s="4" t="str">
        <f ca="1">IF(OR(INDEX($AG$2:$AG$1001,MATCH(ROWS($AF$2:AF849),$AF$2:$AF$1001,0),1)&gt;=100000,INDEX($AM$1005:$BM$1005,1,MATCH(COLUMNS($AM$1006:BF1006),$AM$1006:$BM$1006,0))&gt;=100000), " ",IF(INDEX($AM$2:$BM$1001,MATCH(ROWS($AF$2:AF849),$AF$2:$AF$1001,0),MATCH(COLUMNS($AM$1006:BF1006),$AM$1006:$BM$1006,0)), HYPERLINK("#",""), HYPERLINK(CONCATENATE("#metadata!", ADDRESS(INDEX($AH$2:$AH$1001,MATCH(ROWS($AF$2:AF849),$AF$2:$AF$1001,0),0), INDEX($AM$1004:$BM$1004,1,MATCH(COLUMNS($AM$1006:BF1006),$AM$1006:$BM$1006,0)))),"Fix")))</f>
        <v xml:space="preserve"> </v>
      </c>
      <c r="V849" s="4" t="str">
        <f ca="1">IF(OR(INDEX($AG$2:$AG$1001,MATCH(ROWS($AF$2:AF849),$AF$2:$AF$1001,0),1)&gt;=100000,INDEX($AM$1005:$BM$1005,1,MATCH(COLUMNS($AM$1006:BG1006),$AM$1006:$BM$1006,0))&gt;=100000), " ",IF(INDEX($AM$2:$BM$1001,MATCH(ROWS($AF$2:AF849),$AF$2:$AF$1001,0),MATCH(COLUMNS($AM$1006:BG1006),$AM$1006:$BM$1006,0)), HYPERLINK("#",""), HYPERLINK(CONCATENATE("#metadata!", ADDRESS(INDEX($AH$2:$AH$1001,MATCH(ROWS($AF$2:AF849),$AF$2:$AF$1001,0),0), INDEX($AM$1004:$BM$1004,1,MATCH(COLUMNS($AM$1006:BG1006),$AM$1006:$BM$1006,0)))),"Fix")))</f>
        <v xml:space="preserve"> </v>
      </c>
      <c r="W849" s="4" t="str">
        <f ca="1">IF(OR(INDEX($AG$2:$AG$1001,MATCH(ROWS($AF$2:AF849),$AF$2:$AF$1001,0),1)&gt;=100000,INDEX($AM$1005:$BM$1005,1,MATCH(COLUMNS($AM$1006:BH1006),$AM$1006:$BM$1006,0))&gt;=100000), " ",IF(INDEX($AM$2:$BM$1001,MATCH(ROWS($AF$2:AF849),$AF$2:$AF$1001,0),MATCH(COLUMNS($AM$1006:BH1006),$AM$1006:$BM$1006,0)), HYPERLINK("#",""), HYPERLINK(CONCATENATE("#metadata!", ADDRESS(INDEX($AH$2:$AH$1001,MATCH(ROWS($AF$2:AF849),$AF$2:$AF$1001,0),0), INDEX($AM$1004:$BM$1004,1,MATCH(COLUMNS($AM$1006:BH1006),$AM$1006:$BM$1006,0)))),"Fix")))</f>
        <v xml:space="preserve"> </v>
      </c>
      <c r="X849" s="4" t="str">
        <f ca="1">IF(OR(INDEX($AG$2:$AG$1001,MATCH(ROWS($AF$2:AF849),$AF$2:$AF$1001,0),1)&gt;=100000,INDEX($AM$1005:$BM$1005,1,MATCH(COLUMNS($AM$1006:BI1006),$AM$1006:$BM$1006,0))&gt;=100000), " ",IF(INDEX($AM$2:$BM$1001,MATCH(ROWS($AF$2:AF849),$AF$2:$AF$1001,0),MATCH(COLUMNS($AM$1006:BI1006),$AM$1006:$BM$1006,0)), HYPERLINK("#",""), HYPERLINK(CONCATENATE("#metadata!", ADDRESS(INDEX($AH$2:$AH$1001,MATCH(ROWS($AF$2:AF849),$AF$2:$AF$1001,0),0), INDEX($AM$1004:$BM$1004,1,MATCH(COLUMNS($AM$1006:BI1006),$AM$1006:$BM$1006,0)))),"Fix")))</f>
        <v xml:space="preserve"> </v>
      </c>
      <c r="Y849" s="4" t="str">
        <f ca="1">IF(OR(INDEX($AG$2:$AG$1001,MATCH(ROWS($AF$2:AF849),$AF$2:$AF$1001,0),1)&gt;=100000,INDEX($AM$1005:$BM$1005,1,MATCH(COLUMNS($AM$1006:BJ1006),$AM$1006:$BM$1006,0))&gt;=100000), " ",IF(INDEX($AM$2:$BM$1001,MATCH(ROWS($AF$2:AF849),$AF$2:$AF$1001,0),MATCH(COLUMNS($AM$1006:BJ1006),$AM$1006:$BM$1006,0)), HYPERLINK("#",""), HYPERLINK(CONCATENATE("#metadata!", ADDRESS(INDEX($AH$2:$AH$1001,MATCH(ROWS($AF$2:AF849),$AF$2:$AF$1001,0),0), INDEX($AM$1004:$BM$1004,1,MATCH(COLUMNS($AM$1006:BJ1006),$AM$1006:$BM$1006,0)))),"Fix")))</f>
        <v xml:space="preserve"> </v>
      </c>
      <c r="Z849" s="4" t="str">
        <f ca="1">IF(OR(INDEX($AG$2:$AG$1001,MATCH(ROWS($AF$2:AF849),$AF$2:$AF$1001,0),1)&gt;=100000,INDEX($AM$1005:$BM$1005,1,MATCH(COLUMNS($AM$1006:BK1006),$AM$1006:$BM$1006,0))&gt;=100000), " ",IF(INDEX($AM$2:$BM$1001,MATCH(ROWS($AF$2:AF849),$AF$2:$AF$1001,0),MATCH(COLUMNS($AM$1006:BK1006),$AM$1006:$BM$1006,0)), HYPERLINK("#",""), HYPERLINK(CONCATENATE("#metadata!", ADDRESS(INDEX($AH$2:$AH$1001,MATCH(ROWS($AF$2:AF849),$AF$2:$AF$1001,0),0), INDEX($AM$1004:$BM$1004,1,MATCH(COLUMNS($AM$1006:BK1006),$AM$1006:$BM$1006,0)))),"Fix")))</f>
        <v xml:space="preserve"> </v>
      </c>
      <c r="AA849" s="4" t="str">
        <f ca="1">IF(OR(INDEX($AG$2:$AG$1001,MATCH(ROWS($AF$2:AF849),$AF$2:$AF$1001,0),1)&gt;=100000,INDEX($AM$1005:$BM$1005,1,MATCH(COLUMNS($AM$1006:BL1006),$AM$1006:$BM$1006,0))&gt;=100000), " ",IF(INDEX($AM$2:$BM$1001,MATCH(ROWS($AF$2:AF849),$AF$2:$AF$1001,0),MATCH(COLUMNS($AM$1006:BL1006),$AM$1006:$BM$1006,0)), HYPERLINK("#",""), HYPERLINK(CONCATENATE("#metadata!", ADDRESS(INDEX($AH$2:$AH$1001,MATCH(ROWS($AF$2:AF849),$AF$2:$AF$1001,0),0), INDEX($AM$1004:$BM$1004,1,MATCH(COLUMNS($AM$1006:BL1006),$AM$1006:$BM$1006,0)))),"Fix")))</f>
        <v xml:space="preserve"> </v>
      </c>
      <c r="AB849" s="4" t="str">
        <f ca="1">IF(OR(INDEX($AG$2:$AG$1001,MATCH(ROWS($AF$2:AF849),$AF$2:$AF$1001,0),1)&gt;=100000,INDEX($AM$1005:$BM$1005,1,MATCH(COLUMNS($AM$1006:BM1006),$AM$1006:$BM$1006,0))&gt;=100000), " ",IF(INDEX($AM$2:$BM$1001,MATCH(ROWS($AF$2:AF849),$AF$2:$AF$1001,0),MATCH(COLUMNS($AM$1006:BM1006),$AM$1006:$BM$1006,0)), HYPERLINK("#",""), HYPERLINK(CONCATENATE("#metadata!", ADDRESS(INDEX($AH$2:$AH$1001,MATCH(ROWS($AF$2:AF849),$AF$2:$AF$1001,0),0), INDEX($AM$1004:$BM$1004,1,MATCH(COLUMNS($AM$1006:BM1006),$AM$1006:$BM$1006,0)))),"Fix")))</f>
        <v xml:space="preserve"> </v>
      </c>
      <c r="AF849">
        <v>848</v>
      </c>
      <c r="AG849">
        <v>100849</v>
      </c>
      <c r="AH849">
        <v>849</v>
      </c>
      <c r="AI849" t="b">
        <f t="shared" si="13"/>
        <v>1</v>
      </c>
      <c r="AJ849" t="b">
        <f>COUNTBLANK(metadata!B849:AB849)=COLUMNS(metadata!B849:AB849)</f>
        <v>1</v>
      </c>
      <c r="AK849" t="str">
        <v/>
      </c>
      <c r="AM849" t="b">
        <f ca="1">AND(IF(metadata!B849="",FALSE,TRUE),COUNTIF(metadata!B:B, metadata!B849) = 1,NOT(ISERROR(SUMPRODUCT(SEARCH(MID(metadata!B849,ROW(INDIRECT("1:"&amp;LEN(metadata!B849))), 1),"0123456789abcdefghijklmnopqrstuvwxyzABCDEFGHIJKLMNOPQRSTUVWXYZ.")))))</f>
        <v>0</v>
      </c>
      <c r="AN849" t="b">
        <f ca="1">OR(AND(IF(metadata!C849="",FALSE,TRUE),OR(EXACT(metadata!C849,"missing: not collected"),EXACT(metadata!C849,"missing: not provided"),EXACT(metadata!C849,"missing: restricted access"))),AND(IF(metadata!C849="",FALSE,TRUE),AND(AND(IFERROR(INT(LEFT(metadata!C849,4))&gt;1900,FALSE),IFERROR(INT(LEFT(metadata!C849,4))&lt;=YEAR(NOW()),FALSE)), OR(MID(metadata!C849,5,1)="", AND(AND(MID(metadata!C849,5,1)="-",IFERROR(INT(MID(metadata!C849,6,1))&gt;=0,FALSE),IFERROR(INT(MID(metadata!C849,6,1))&lt;=1,FALSE),NOT(MID(metadata!C849,7,1)=""),IFERROR(INT(MID(metadata!C849,6,2))&gt;=1,FALSE),IFERROR(INT(MID(metadata!C849,6,2))&lt;=12,FALSE)), OR(MID(metadata!C849,8,1)="", AND(AND(MID(metadata!C849,8,1)="-",IFERROR(INT(MID(metadata!C849,9,1))&gt;=0,FALSE),IFERROR(INT(MID(metadata!C849,9,1))&lt;=3,FALSE),NOT(MID(metadata!C849,10,1)=""),IFERROR(INT(MID(metadata!C849,9,2))&gt;=1,FALSE),IFERROR(INT(MID(metadata!C849,9,2))&lt;=31,FALSE)), OR(MID(metadata!C849,11,1)="", AND(AND(MID(metadata!C849,11,1)=" ",IFERROR(INT(MID(metadata!C849,12,1))&gt;=0,FALSE),IFERROR(INT(MID(metadata!C849,12,1))&lt;=2,FALSE),NOT(MID(metadata!C849,13,1)=""),IFERROR(INT(MID(metadata!C849,12,2))&gt;=0,FALSE),IFERROR(INT(MID(metadata!C849,12,2))&lt;=23,FALSE)), OR(MID(metadata!C849,14,1)="", AND(AND(MID(metadata!C849,14,1)=":",IFERROR(INT(MID(metadata!C849,15,1))&gt;=0,FALSE),IFERROR(INT(MID(metadata!C849,15,1))&lt;=5,FALSE),NOT(MID(metadata!C849,16,1)=""),IFERROR(INT(MID(metadata!C849,15,2))&gt;=0,FALSE),IFERROR(INT(MID(metadata!C849,15,2))&lt;=59,FALSE)), OR(MID(metadata!C849,17,1)="", AND(AND(MID(metadata!C849,17,1)=":",IFERROR(INT(MID(metadata!C849,18,1))&gt;=0,FALSE),IFERROR(INT(MID(metadata!C849,18,1))&lt;=5,FALSE),NOT(MID(metadata!C849,19,1)=""),IFERROR(INT(MID(metadata!C849,18,2))&gt;=0,FALSE),IFERROR(INT(MID(metadata!C849,18,2))&lt;=59,FALSE)), LEN(metadata!C849)&lt;=19)))))))))))))</f>
        <v>0</v>
      </c>
      <c r="AO849" t="b">
        <f>AND(IF(metadata!D849="",FALSE,TRUE),EXACT(metadata!D849,"Not applicable"))</f>
        <v>0</v>
      </c>
      <c r="AP849" t="b">
        <f>IF(metadata!E849="",FALSE,TRUE)</f>
        <v>0</v>
      </c>
      <c r="AQ849" t="b">
        <f>OR(AND(IF(metadata!F849="",FALSE,TRUE),OR(EXACT(metadata!F849,"missing: not collected"),EXACT(metadata!F849,"missing: not provided"))),AND(IF(metadata!F849="",FALSE,TRUE),OR(EXACT(metadata!F849,"TRUE"),EXACT(metadata!F849,"FALSE"))))</f>
        <v>0</v>
      </c>
      <c r="AR849" t="b">
        <f>OR(AND(IF(metadata!G849="",FALSE,TRUE),OR(EXACT(metadata!G849,"missing: not collected"),EXACT(metadata!G849,"missing: not provided"),EXACT(metadata!G849,"missing: restricted access"))),AND(IF(metadata!G849="",FALSE,ISNUMBER(VALUE(metadata!G849))),metadata!G849&gt;=-413))</f>
        <v>0</v>
      </c>
      <c r="AS849" t="b">
        <f>AND(IF(metadata!H849="",FALSE,TRUE),EXACT(metadata!H849,"meters"))</f>
        <v>0</v>
      </c>
      <c r="AT849" t="b">
        <f>AND(IF(metadata!I849="",FALSE,TRUE),OR(EXACT(metadata!I849,"Host-associated"),EXACT(metadata!I849,"Free-living")))</f>
        <v>0</v>
      </c>
      <c r="AU849" t="b">
        <f>AND(IF(metadata!J849="",FALSE,TRUE),OR(EXACT(metadata!J849,"Animal"),EXACT(metadata!J849,"Fungus"),EXACT(metadata!J849,"Plant"),EXACT(metadata!J849,"Saline"),EXACT(metadata!J849,"Non-saline")))</f>
        <v>0</v>
      </c>
      <c r="AV849" t="b">
        <f>AND(IF(metadata!K849="",FALSE,TRUE),OR(EXACT(metadata!K849,"Plant secretion"),EXACT(metadata!K849,"Plant rhizosphere"),EXACT(metadata!K849,"Plant surface"),EXACT(metadata!K849,"Plant corpus"),EXACT(metadata!K849,"Fungus surface"),EXACT(metadata!K849,"Fungus corpus"),EXACT(metadata!K849,"Animal surface"),EXACT(metadata!K849,"Animal proximal gut"),EXACT(metadata!K849,"Animal corpus"),EXACT(metadata!K849,"Animal distal gut"),EXACT(metadata!K849,"Animal secretion"),EXACT(metadata!K849,"Sub-surface (non-saline)"),EXACT(metadata!K849,"Surface (non-saline)"),EXACT(metadata!K849,"Water (non-saline)"),EXACT(metadata!K849,"Soil (non-saline)"),EXACT(metadata!K849,"Aerosol (non-saline)"),EXACT(metadata!K849,"Sediment (non-saline)"),EXACT(metadata!K849,"Surface (saline)"),EXACT(metadata!K849,"Water (saline)"),EXACT(metadata!K849,"Hypersaline (saline)"),EXACT(metadata!K849,"Aerosol (saline)"),EXACT(metadata!K849,"Sediment (saline)")))</f>
        <v>0</v>
      </c>
      <c r="AW849" t="b">
        <f>IF(metadata!L849="",FALSE,TRUE)</f>
        <v>0</v>
      </c>
      <c r="AX849" t="b">
        <f>IF(metadata!M849="",FALSE,TRUE)</f>
        <v>0</v>
      </c>
      <c r="AY849" t="b">
        <f>IF(metadata!N849="",FALSE,TRUE)</f>
        <v>0</v>
      </c>
      <c r="AZ849" t="b">
        <f>OR(AND(IF(metadata!O849="",FALSE,TRUE),OR(EXACT(metadata!O849,"missing: not collected"),EXACT(metadata!O849,"missing: not provided"),EXACT(metadata!O849,"missing: restricted access"))),AND(IF(metadata!O849="",FALSE,TRUE),OR(EXACT(metadata!O849,"air"),EXACT(metadata!O849,"built environment"),EXACT(metadata!O849,"host-associated"),EXACT(metadata!O849,"human-associated"),EXACT(metadata!O849,"human-skin"),EXACT(metadata!O849,"human-oral"),EXACT(metadata!O849,"human-gut"),EXACT(metadata!O849,"human-vaginal"),EXACT(metadata!O849,"microbial mat/biofilm"),EXACT(metadata!O849,"misc environment"),EXACT(metadata!O849,"plant-associated"),EXACT(metadata!O849,"sediment"),EXACT(metadata!O849,"soil"),EXACT(metadata!O849,"wastewater/sludge"),EXACT(metadata!O849,"water"))))</f>
        <v>0</v>
      </c>
      <c r="BA849" t="b">
        <f>IF(metadata!P849="",FALSE,TRUE)</f>
        <v>0</v>
      </c>
      <c r="BB849" t="b">
        <f>IF(metadata!Q849="",FALSE,TRUE)</f>
        <v>0</v>
      </c>
      <c r="BC849" t="b">
        <f>OR(AND(IF(metadata!R849="",FALSE,TRUE),OR(EXACT(metadata!R849,"missing: not collected"),EXACT(metadata!R849,"missing: not provided"),EXACT(metadata!R849,"missing: restricted access"))),AND(IF(metadata!R849="",FALSE,ISNUMBER(VALUE(metadata!R849))),metadata!R849&gt;=-90,metadata!R849&lt;=90))</f>
        <v>0</v>
      </c>
      <c r="BD849" t="b">
        <f>AND(IF(metadata!S849="",FALSE,TRUE),EXACT(metadata!S849,"Decimal degrees"))</f>
        <v>0</v>
      </c>
      <c r="BE849" t="b">
        <f>OR(AND(IF(metadata!T849="",FALSE,TRUE),OR(EXACT(metadata!T849,"missing: not collected"),EXACT(metadata!T849,"missing: not provided"),EXACT(metadata!T849,"missing: restricted access"))),AND(IF(metadata!T849="",FALSE,ISNUMBER(VALUE(metadata!T849))),metadata!T849&gt;=-180,metadata!T849&lt;=180))</f>
        <v>0</v>
      </c>
      <c r="BF849" t="b">
        <f>AND(IF(metadata!U849="",FALSE,TRUE),EXACT(metadata!U849,"Decimal degrees"))</f>
        <v>0</v>
      </c>
      <c r="BG849" t="b">
        <f>IF(metadata!V849="",FALSE,TRUE)</f>
        <v>0</v>
      </c>
      <c r="BH849" t="b">
        <f>OR(AND(IF(metadata!W849="",FALSE,TRUE),OR(EXACT(metadata!W849,"missing: not collected"),EXACT(metadata!W849,"missing: not provided"),EXACT(metadata!W849,"missing: restricted access"))),AND(IF(metadata!W849="",FALSE,TRUE),OR(EXACT(metadata!W849,"TRUE"),EXACT(metadata!W849,"FALSE"))))</f>
        <v>0</v>
      </c>
      <c r="BI849" t="b">
        <f>AND(IF(metadata!X849="",FALSE,TRUE),EXACT(metadata!X849,"other"))</f>
        <v>0</v>
      </c>
      <c r="BJ849" t="b">
        <f>IF(metadata!Y849="",FALSE,TRUE)</f>
        <v>0</v>
      </c>
      <c r="BK849" t="b">
        <f>OR(AND(IF(metadata!Z849="",FALSE,TRUE),OR(EXACT(metadata!Z849,"missing: not collected"),EXACT(metadata!Z849,"missing: not provided"))),AND(IF(metadata!Z849="",FALSE,IF(ISERROR(INT(metadata!Z849)),FALSE,INT(metadata!Z849)=metadata!Z849)),metadata!Z849&gt;0))</f>
        <v>0</v>
      </c>
      <c r="BL849" t="b">
        <f>AND(IF(metadata!AA849="",FALSE,TRUE),EXACT(metadata!AA849,"Not applicable"))</f>
        <v>0</v>
      </c>
      <c r="BM849" t="b">
        <f>IF(metadata!AB849="",FALSE,TRUE)</f>
        <v>0</v>
      </c>
    </row>
    <row r="850" spans="1:65" x14ac:dyDescent="0.2">
      <c r="A850" s="5" t="str">
        <f ca="1">IF(B850=" "," ",HYPERLINK(CONCATENATE("#metadata!",ADDRESS(INDEX($AH$2:$AH$1001,MATCH(ROWS($AF$2:AF850),$AF$2:$AF$1001,0),0),1)),INDEX($AK$2:$AK$1001,MATCH(ROWS($AF$2:AF850),$AF$2:$AF$1001,0),0)))</f>
        <v xml:space="preserve"> </v>
      </c>
      <c r="B850" s="4" t="str">
        <f ca="1">IF(OR(INDEX($AG$2:$AG$1001,MATCH(ROWS($AF$2:AF850),$AF$2:$AF$1001,0),1)&gt;=100000,INDEX($AM$1005:$BM$1005,1,MATCH(COLUMNS($AM$1006:AM1006),$AM$1006:$BM$1006,0))&gt;=100000), " ",IF(INDEX($AM$2:$BM$1001,MATCH(ROWS($AF$2:AF850),$AF$2:$AF$1001,0),MATCH(COLUMNS($AM$1006:AM1006),$AM$1006:$BM$1006,0)), HYPERLINK("#",""), HYPERLINK(CONCATENATE("#metadata!", ADDRESS(INDEX($AH$2:$AH$1001,MATCH(ROWS($AF$2:AF850),$AF$2:$AF$1001,0),0), INDEX($AM$1004:$BM$1004,1,MATCH(COLUMNS($AM$1006:AM1006),$AM$1006:$BM$1006,0)))),"Fix")))</f>
        <v xml:space="preserve"> </v>
      </c>
      <c r="C850" s="4" t="str">
        <f ca="1">IF(OR(INDEX($AG$2:$AG$1001,MATCH(ROWS($AF$2:AF850),$AF$2:$AF$1001,0),1)&gt;=100000,INDEX($AM$1005:$BM$1005,1,MATCH(COLUMNS($AM$1006:AN1006),$AM$1006:$BM$1006,0))&gt;=100000), " ",IF(INDEX($AM$2:$BM$1001,MATCH(ROWS($AF$2:AF850),$AF$2:$AF$1001,0),MATCH(COLUMNS($AM$1006:AN1006),$AM$1006:$BM$1006,0)), HYPERLINK("#",""), HYPERLINK(CONCATENATE("#metadata!", ADDRESS(INDEX($AH$2:$AH$1001,MATCH(ROWS($AF$2:AF850),$AF$2:$AF$1001,0),0), INDEX($AM$1004:$BM$1004,1,MATCH(COLUMNS($AM$1006:AN1006),$AM$1006:$BM$1006,0)))),"Fix")))</f>
        <v xml:space="preserve"> </v>
      </c>
      <c r="D850" s="4" t="str">
        <f ca="1">IF(OR(INDEX($AG$2:$AG$1001,MATCH(ROWS($AF$2:AF850),$AF$2:$AF$1001,0),1)&gt;=100000,INDEX($AM$1005:$BM$1005,1,MATCH(COLUMNS($AM$1006:AO1006),$AM$1006:$BM$1006,0))&gt;=100000), " ",IF(INDEX($AM$2:$BM$1001,MATCH(ROWS($AF$2:AF850),$AF$2:$AF$1001,0),MATCH(COLUMNS($AM$1006:AO1006),$AM$1006:$BM$1006,0)), HYPERLINK("#",""), HYPERLINK(CONCATENATE("#metadata!", ADDRESS(INDEX($AH$2:$AH$1001,MATCH(ROWS($AF$2:AF850),$AF$2:$AF$1001,0),0), INDEX($AM$1004:$BM$1004,1,MATCH(COLUMNS($AM$1006:AO1006),$AM$1006:$BM$1006,0)))),"Fix")))</f>
        <v xml:space="preserve"> </v>
      </c>
      <c r="E850" s="4" t="str">
        <f ca="1">IF(OR(INDEX($AG$2:$AG$1001,MATCH(ROWS($AF$2:AF850),$AF$2:$AF$1001,0),1)&gt;=100000,INDEX($AM$1005:$BM$1005,1,MATCH(COLUMNS($AM$1006:AP1006),$AM$1006:$BM$1006,0))&gt;=100000), " ",IF(INDEX($AM$2:$BM$1001,MATCH(ROWS($AF$2:AF850),$AF$2:$AF$1001,0),MATCH(COLUMNS($AM$1006:AP1006),$AM$1006:$BM$1006,0)), HYPERLINK("#",""), HYPERLINK(CONCATENATE("#metadata!", ADDRESS(INDEX($AH$2:$AH$1001,MATCH(ROWS($AF$2:AF850),$AF$2:$AF$1001,0),0), INDEX($AM$1004:$BM$1004,1,MATCH(COLUMNS($AM$1006:AP1006),$AM$1006:$BM$1006,0)))),"Fix")))</f>
        <v xml:space="preserve"> </v>
      </c>
      <c r="F850" s="4" t="str">
        <f ca="1">IF(OR(INDEX($AG$2:$AG$1001,MATCH(ROWS($AF$2:AF850),$AF$2:$AF$1001,0),1)&gt;=100000,INDEX($AM$1005:$BM$1005,1,MATCH(COLUMNS($AM$1006:AQ1006),$AM$1006:$BM$1006,0))&gt;=100000), " ",IF(INDEX($AM$2:$BM$1001,MATCH(ROWS($AF$2:AF850),$AF$2:$AF$1001,0),MATCH(COLUMNS($AM$1006:AQ1006),$AM$1006:$BM$1006,0)), HYPERLINK("#",""), HYPERLINK(CONCATENATE("#metadata!", ADDRESS(INDEX($AH$2:$AH$1001,MATCH(ROWS($AF$2:AF850),$AF$2:$AF$1001,0),0), INDEX($AM$1004:$BM$1004,1,MATCH(COLUMNS($AM$1006:AQ1006),$AM$1006:$BM$1006,0)))),"Fix")))</f>
        <v xml:space="preserve"> </v>
      </c>
      <c r="G850" s="4" t="str">
        <f ca="1">IF(OR(INDEX($AG$2:$AG$1001,MATCH(ROWS($AF$2:AF850),$AF$2:$AF$1001,0),1)&gt;=100000,INDEX($AM$1005:$BM$1005,1,MATCH(COLUMNS($AM$1006:AR1006),$AM$1006:$BM$1006,0))&gt;=100000), " ",IF(INDEX($AM$2:$BM$1001,MATCH(ROWS($AF$2:AF850),$AF$2:$AF$1001,0),MATCH(COLUMNS($AM$1006:AR1006),$AM$1006:$BM$1006,0)), HYPERLINK("#",""), HYPERLINK(CONCATENATE("#metadata!", ADDRESS(INDEX($AH$2:$AH$1001,MATCH(ROWS($AF$2:AF850),$AF$2:$AF$1001,0),0), INDEX($AM$1004:$BM$1004,1,MATCH(COLUMNS($AM$1006:AR1006),$AM$1006:$BM$1006,0)))),"Fix")))</f>
        <v xml:space="preserve"> </v>
      </c>
      <c r="H850" s="4" t="str">
        <f ca="1">IF(OR(INDEX($AG$2:$AG$1001,MATCH(ROWS($AF$2:AF850),$AF$2:$AF$1001,0),1)&gt;=100000,INDEX($AM$1005:$BM$1005,1,MATCH(COLUMNS($AM$1006:AS1006),$AM$1006:$BM$1006,0))&gt;=100000), " ",IF(INDEX($AM$2:$BM$1001,MATCH(ROWS($AF$2:AF850),$AF$2:$AF$1001,0),MATCH(COLUMNS($AM$1006:AS1006),$AM$1006:$BM$1006,0)), HYPERLINK("#",""), HYPERLINK(CONCATENATE("#metadata!", ADDRESS(INDEX($AH$2:$AH$1001,MATCH(ROWS($AF$2:AF850),$AF$2:$AF$1001,0),0), INDEX($AM$1004:$BM$1004,1,MATCH(COLUMNS($AM$1006:AS1006),$AM$1006:$BM$1006,0)))),"Fix")))</f>
        <v xml:space="preserve"> </v>
      </c>
      <c r="I850" s="4" t="str">
        <f ca="1">IF(OR(INDEX($AG$2:$AG$1001,MATCH(ROWS($AF$2:AF850),$AF$2:$AF$1001,0),1)&gt;=100000,INDEX($AM$1005:$BM$1005,1,MATCH(COLUMNS($AM$1006:AT1006),$AM$1006:$BM$1006,0))&gt;=100000), " ",IF(INDEX($AM$2:$BM$1001,MATCH(ROWS($AF$2:AF850),$AF$2:$AF$1001,0),MATCH(COLUMNS($AM$1006:AT1006),$AM$1006:$BM$1006,0)), HYPERLINK("#",""), HYPERLINK(CONCATENATE("#metadata!", ADDRESS(INDEX($AH$2:$AH$1001,MATCH(ROWS($AF$2:AF850),$AF$2:$AF$1001,0),0), INDEX($AM$1004:$BM$1004,1,MATCH(COLUMNS($AM$1006:AT1006),$AM$1006:$BM$1006,0)))),"Fix")))</f>
        <v xml:space="preserve"> </v>
      </c>
      <c r="J850" s="4" t="str">
        <f ca="1">IF(OR(INDEX($AG$2:$AG$1001,MATCH(ROWS($AF$2:AF850),$AF$2:$AF$1001,0),1)&gt;=100000,INDEX($AM$1005:$BM$1005,1,MATCH(COLUMNS($AM$1006:AU1006),$AM$1006:$BM$1006,0))&gt;=100000), " ",IF(INDEX($AM$2:$BM$1001,MATCH(ROWS($AF$2:AF850),$AF$2:$AF$1001,0),MATCH(COLUMNS($AM$1006:AU1006),$AM$1006:$BM$1006,0)), HYPERLINK("#",""), HYPERLINK(CONCATENATE("#metadata!", ADDRESS(INDEX($AH$2:$AH$1001,MATCH(ROWS($AF$2:AF850),$AF$2:$AF$1001,0),0), INDEX($AM$1004:$BM$1004,1,MATCH(COLUMNS($AM$1006:AU1006),$AM$1006:$BM$1006,0)))),"Fix")))</f>
        <v xml:space="preserve"> </v>
      </c>
      <c r="K850" s="4" t="str">
        <f ca="1">IF(OR(INDEX($AG$2:$AG$1001,MATCH(ROWS($AF$2:AF850),$AF$2:$AF$1001,0),1)&gt;=100000,INDEX($AM$1005:$BM$1005,1,MATCH(COLUMNS($AM$1006:AV1006),$AM$1006:$BM$1006,0))&gt;=100000), " ",IF(INDEX($AM$2:$BM$1001,MATCH(ROWS($AF$2:AF850),$AF$2:$AF$1001,0),MATCH(COLUMNS($AM$1006:AV1006),$AM$1006:$BM$1006,0)), HYPERLINK("#",""), HYPERLINK(CONCATENATE("#metadata!", ADDRESS(INDEX($AH$2:$AH$1001,MATCH(ROWS($AF$2:AF850),$AF$2:$AF$1001,0),0), INDEX($AM$1004:$BM$1004,1,MATCH(COLUMNS($AM$1006:AV1006),$AM$1006:$BM$1006,0)))),"Fix")))</f>
        <v xml:space="preserve"> </v>
      </c>
      <c r="L850" s="4" t="str">
        <f ca="1">IF(OR(INDEX($AG$2:$AG$1001,MATCH(ROWS($AF$2:AF850),$AF$2:$AF$1001,0),1)&gt;=100000,INDEX($AM$1005:$BM$1005,1,MATCH(COLUMNS($AM$1006:AW1006),$AM$1006:$BM$1006,0))&gt;=100000), " ",IF(INDEX($AM$2:$BM$1001,MATCH(ROWS($AF$2:AF850),$AF$2:$AF$1001,0),MATCH(COLUMNS($AM$1006:AW1006),$AM$1006:$BM$1006,0)), HYPERLINK("#",""), HYPERLINK(CONCATENATE("#metadata!", ADDRESS(INDEX($AH$2:$AH$1001,MATCH(ROWS($AF$2:AF850),$AF$2:$AF$1001,0),0), INDEX($AM$1004:$BM$1004,1,MATCH(COLUMNS($AM$1006:AW1006),$AM$1006:$BM$1006,0)))),"Fix")))</f>
        <v xml:space="preserve"> </v>
      </c>
      <c r="M850" s="4" t="str">
        <f ca="1">IF(OR(INDEX($AG$2:$AG$1001,MATCH(ROWS($AF$2:AF850),$AF$2:$AF$1001,0),1)&gt;=100000,INDEX($AM$1005:$BM$1005,1,MATCH(COLUMNS($AM$1006:AX1006),$AM$1006:$BM$1006,0))&gt;=100000), " ",IF(INDEX($AM$2:$BM$1001,MATCH(ROWS($AF$2:AF850),$AF$2:$AF$1001,0),MATCH(COLUMNS($AM$1006:AX1006),$AM$1006:$BM$1006,0)), HYPERLINK("#",""), HYPERLINK(CONCATENATE("#metadata!", ADDRESS(INDEX($AH$2:$AH$1001,MATCH(ROWS($AF$2:AF850),$AF$2:$AF$1001,0),0), INDEX($AM$1004:$BM$1004,1,MATCH(COLUMNS($AM$1006:AX1006),$AM$1006:$BM$1006,0)))),"Fix")))</f>
        <v xml:space="preserve"> </v>
      </c>
      <c r="N850" s="4" t="str">
        <f ca="1">IF(OR(INDEX($AG$2:$AG$1001,MATCH(ROWS($AF$2:AF850),$AF$2:$AF$1001,0),1)&gt;=100000,INDEX($AM$1005:$BM$1005,1,MATCH(COLUMNS($AM$1006:AY1006),$AM$1006:$BM$1006,0))&gt;=100000), " ",IF(INDEX($AM$2:$BM$1001,MATCH(ROWS($AF$2:AF850),$AF$2:$AF$1001,0),MATCH(COLUMNS($AM$1006:AY1006),$AM$1006:$BM$1006,0)), HYPERLINK("#",""), HYPERLINK(CONCATENATE("#metadata!", ADDRESS(INDEX($AH$2:$AH$1001,MATCH(ROWS($AF$2:AF850),$AF$2:$AF$1001,0),0), INDEX($AM$1004:$BM$1004,1,MATCH(COLUMNS($AM$1006:AY1006),$AM$1006:$BM$1006,0)))),"Fix")))</f>
        <v xml:space="preserve"> </v>
      </c>
      <c r="O850" s="4" t="str">
        <f ca="1">IF(OR(INDEX($AG$2:$AG$1001,MATCH(ROWS($AF$2:AF850),$AF$2:$AF$1001,0),1)&gt;=100000,INDEX($AM$1005:$BM$1005,1,MATCH(COLUMNS($AM$1006:AZ1006),$AM$1006:$BM$1006,0))&gt;=100000), " ",IF(INDEX($AM$2:$BM$1001,MATCH(ROWS($AF$2:AF850),$AF$2:$AF$1001,0),MATCH(COLUMNS($AM$1006:AZ1006),$AM$1006:$BM$1006,0)), HYPERLINK("#",""), HYPERLINK(CONCATENATE("#metadata!", ADDRESS(INDEX($AH$2:$AH$1001,MATCH(ROWS($AF$2:AF850),$AF$2:$AF$1001,0),0), INDEX($AM$1004:$BM$1004,1,MATCH(COLUMNS($AM$1006:AZ1006),$AM$1006:$BM$1006,0)))),"Fix")))</f>
        <v xml:space="preserve"> </v>
      </c>
      <c r="P850" s="4" t="str">
        <f ca="1">IF(OR(INDEX($AG$2:$AG$1001,MATCH(ROWS($AF$2:AF850),$AF$2:$AF$1001,0),1)&gt;=100000,INDEX($AM$1005:$BM$1005,1,MATCH(COLUMNS($AM$1006:BA1006),$AM$1006:$BM$1006,0))&gt;=100000), " ",IF(INDEX($AM$2:$BM$1001,MATCH(ROWS($AF$2:AF850),$AF$2:$AF$1001,0),MATCH(COLUMNS($AM$1006:BA1006),$AM$1006:$BM$1006,0)), HYPERLINK("#",""), HYPERLINK(CONCATENATE("#metadata!", ADDRESS(INDEX($AH$2:$AH$1001,MATCH(ROWS($AF$2:AF850),$AF$2:$AF$1001,0),0), INDEX($AM$1004:$BM$1004,1,MATCH(COLUMNS($AM$1006:BA1006),$AM$1006:$BM$1006,0)))),"Fix")))</f>
        <v xml:space="preserve"> </v>
      </c>
      <c r="Q850" s="4" t="str">
        <f ca="1">IF(OR(INDEX($AG$2:$AG$1001,MATCH(ROWS($AF$2:AF850),$AF$2:$AF$1001,0),1)&gt;=100000,INDEX($AM$1005:$BM$1005,1,MATCH(COLUMNS($AM$1006:BB1006),$AM$1006:$BM$1006,0))&gt;=100000), " ",IF(INDEX($AM$2:$BM$1001,MATCH(ROWS($AF$2:AF850),$AF$2:$AF$1001,0),MATCH(COLUMNS($AM$1006:BB1006),$AM$1006:$BM$1006,0)), HYPERLINK("#",""), HYPERLINK(CONCATENATE("#metadata!", ADDRESS(INDEX($AH$2:$AH$1001,MATCH(ROWS($AF$2:AF850),$AF$2:$AF$1001,0),0), INDEX($AM$1004:$BM$1004,1,MATCH(COLUMNS($AM$1006:BB1006),$AM$1006:$BM$1006,0)))),"Fix")))</f>
        <v xml:space="preserve"> </v>
      </c>
      <c r="R850" s="4" t="str">
        <f ca="1">IF(OR(INDEX($AG$2:$AG$1001,MATCH(ROWS($AF$2:AF850),$AF$2:$AF$1001,0),1)&gt;=100000,INDEX($AM$1005:$BM$1005,1,MATCH(COLUMNS($AM$1006:BC1006),$AM$1006:$BM$1006,0))&gt;=100000), " ",IF(INDEX($AM$2:$BM$1001,MATCH(ROWS($AF$2:AF850),$AF$2:$AF$1001,0),MATCH(COLUMNS($AM$1006:BC1006),$AM$1006:$BM$1006,0)), HYPERLINK("#",""), HYPERLINK(CONCATENATE("#metadata!", ADDRESS(INDEX($AH$2:$AH$1001,MATCH(ROWS($AF$2:AF850),$AF$2:$AF$1001,0),0), INDEX($AM$1004:$BM$1004,1,MATCH(COLUMNS($AM$1006:BC1006),$AM$1006:$BM$1006,0)))),"Fix")))</f>
        <v xml:space="preserve"> </v>
      </c>
      <c r="S850" s="4" t="str">
        <f ca="1">IF(OR(INDEX($AG$2:$AG$1001,MATCH(ROWS($AF$2:AF850),$AF$2:$AF$1001,0),1)&gt;=100000,INDEX($AM$1005:$BM$1005,1,MATCH(COLUMNS($AM$1006:BD1006),$AM$1006:$BM$1006,0))&gt;=100000), " ",IF(INDEX($AM$2:$BM$1001,MATCH(ROWS($AF$2:AF850),$AF$2:$AF$1001,0),MATCH(COLUMNS($AM$1006:BD1006),$AM$1006:$BM$1006,0)), HYPERLINK("#",""), HYPERLINK(CONCATENATE("#metadata!", ADDRESS(INDEX($AH$2:$AH$1001,MATCH(ROWS($AF$2:AF850),$AF$2:$AF$1001,0),0), INDEX($AM$1004:$BM$1004,1,MATCH(COLUMNS($AM$1006:BD1006),$AM$1006:$BM$1006,0)))),"Fix")))</f>
        <v xml:space="preserve"> </v>
      </c>
      <c r="T850" s="4" t="str">
        <f ca="1">IF(OR(INDEX($AG$2:$AG$1001,MATCH(ROWS($AF$2:AF850),$AF$2:$AF$1001,0),1)&gt;=100000,INDEX($AM$1005:$BM$1005,1,MATCH(COLUMNS($AM$1006:BE1006),$AM$1006:$BM$1006,0))&gt;=100000), " ",IF(INDEX($AM$2:$BM$1001,MATCH(ROWS($AF$2:AF850),$AF$2:$AF$1001,0),MATCH(COLUMNS($AM$1006:BE1006),$AM$1006:$BM$1006,0)), HYPERLINK("#",""), HYPERLINK(CONCATENATE("#metadata!", ADDRESS(INDEX($AH$2:$AH$1001,MATCH(ROWS($AF$2:AF850),$AF$2:$AF$1001,0),0), INDEX($AM$1004:$BM$1004,1,MATCH(COLUMNS($AM$1006:BE1006),$AM$1006:$BM$1006,0)))),"Fix")))</f>
        <v xml:space="preserve"> </v>
      </c>
      <c r="U850" s="4" t="str">
        <f ca="1">IF(OR(INDEX($AG$2:$AG$1001,MATCH(ROWS($AF$2:AF850),$AF$2:$AF$1001,0),1)&gt;=100000,INDEX($AM$1005:$BM$1005,1,MATCH(COLUMNS($AM$1006:BF1006),$AM$1006:$BM$1006,0))&gt;=100000), " ",IF(INDEX($AM$2:$BM$1001,MATCH(ROWS($AF$2:AF850),$AF$2:$AF$1001,0),MATCH(COLUMNS($AM$1006:BF1006),$AM$1006:$BM$1006,0)), HYPERLINK("#",""), HYPERLINK(CONCATENATE("#metadata!", ADDRESS(INDEX($AH$2:$AH$1001,MATCH(ROWS($AF$2:AF850),$AF$2:$AF$1001,0),0), INDEX($AM$1004:$BM$1004,1,MATCH(COLUMNS($AM$1006:BF1006),$AM$1006:$BM$1006,0)))),"Fix")))</f>
        <v xml:space="preserve"> </v>
      </c>
      <c r="V850" s="4" t="str">
        <f ca="1">IF(OR(INDEX($AG$2:$AG$1001,MATCH(ROWS($AF$2:AF850),$AF$2:$AF$1001,0),1)&gt;=100000,INDEX($AM$1005:$BM$1005,1,MATCH(COLUMNS($AM$1006:BG1006),$AM$1006:$BM$1006,0))&gt;=100000), " ",IF(INDEX($AM$2:$BM$1001,MATCH(ROWS($AF$2:AF850),$AF$2:$AF$1001,0),MATCH(COLUMNS($AM$1006:BG1006),$AM$1006:$BM$1006,0)), HYPERLINK("#",""), HYPERLINK(CONCATENATE("#metadata!", ADDRESS(INDEX($AH$2:$AH$1001,MATCH(ROWS($AF$2:AF850),$AF$2:$AF$1001,0),0), INDEX($AM$1004:$BM$1004,1,MATCH(COLUMNS($AM$1006:BG1006),$AM$1006:$BM$1006,0)))),"Fix")))</f>
        <v xml:space="preserve"> </v>
      </c>
      <c r="W850" s="4" t="str">
        <f ca="1">IF(OR(INDEX($AG$2:$AG$1001,MATCH(ROWS($AF$2:AF850),$AF$2:$AF$1001,0),1)&gt;=100000,INDEX($AM$1005:$BM$1005,1,MATCH(COLUMNS($AM$1006:BH1006),$AM$1006:$BM$1006,0))&gt;=100000), " ",IF(INDEX($AM$2:$BM$1001,MATCH(ROWS($AF$2:AF850),$AF$2:$AF$1001,0),MATCH(COLUMNS($AM$1006:BH1006),$AM$1006:$BM$1006,0)), HYPERLINK("#",""), HYPERLINK(CONCATENATE("#metadata!", ADDRESS(INDEX($AH$2:$AH$1001,MATCH(ROWS($AF$2:AF850),$AF$2:$AF$1001,0),0), INDEX($AM$1004:$BM$1004,1,MATCH(COLUMNS($AM$1006:BH1006),$AM$1006:$BM$1006,0)))),"Fix")))</f>
        <v xml:space="preserve"> </v>
      </c>
      <c r="X850" s="4" t="str">
        <f ca="1">IF(OR(INDEX($AG$2:$AG$1001,MATCH(ROWS($AF$2:AF850),$AF$2:$AF$1001,0),1)&gt;=100000,INDEX($AM$1005:$BM$1005,1,MATCH(COLUMNS($AM$1006:BI1006),$AM$1006:$BM$1006,0))&gt;=100000), " ",IF(INDEX($AM$2:$BM$1001,MATCH(ROWS($AF$2:AF850),$AF$2:$AF$1001,0),MATCH(COLUMNS($AM$1006:BI1006),$AM$1006:$BM$1006,0)), HYPERLINK("#",""), HYPERLINK(CONCATENATE("#metadata!", ADDRESS(INDEX($AH$2:$AH$1001,MATCH(ROWS($AF$2:AF850),$AF$2:$AF$1001,0),0), INDEX($AM$1004:$BM$1004,1,MATCH(COLUMNS($AM$1006:BI1006),$AM$1006:$BM$1006,0)))),"Fix")))</f>
        <v xml:space="preserve"> </v>
      </c>
      <c r="Y850" s="4" t="str">
        <f ca="1">IF(OR(INDEX($AG$2:$AG$1001,MATCH(ROWS($AF$2:AF850),$AF$2:$AF$1001,0),1)&gt;=100000,INDEX($AM$1005:$BM$1005,1,MATCH(COLUMNS($AM$1006:BJ1006),$AM$1006:$BM$1006,0))&gt;=100000), " ",IF(INDEX($AM$2:$BM$1001,MATCH(ROWS($AF$2:AF850),$AF$2:$AF$1001,0),MATCH(COLUMNS($AM$1006:BJ1006),$AM$1006:$BM$1006,0)), HYPERLINK("#",""), HYPERLINK(CONCATENATE("#metadata!", ADDRESS(INDEX($AH$2:$AH$1001,MATCH(ROWS($AF$2:AF850),$AF$2:$AF$1001,0),0), INDEX($AM$1004:$BM$1004,1,MATCH(COLUMNS($AM$1006:BJ1006),$AM$1006:$BM$1006,0)))),"Fix")))</f>
        <v xml:space="preserve"> </v>
      </c>
      <c r="Z850" s="4" t="str">
        <f ca="1">IF(OR(INDEX($AG$2:$AG$1001,MATCH(ROWS($AF$2:AF850),$AF$2:$AF$1001,0),1)&gt;=100000,INDEX($AM$1005:$BM$1005,1,MATCH(COLUMNS($AM$1006:BK1006),$AM$1006:$BM$1006,0))&gt;=100000), " ",IF(INDEX($AM$2:$BM$1001,MATCH(ROWS($AF$2:AF850),$AF$2:$AF$1001,0),MATCH(COLUMNS($AM$1006:BK1006),$AM$1006:$BM$1006,0)), HYPERLINK("#",""), HYPERLINK(CONCATENATE("#metadata!", ADDRESS(INDEX($AH$2:$AH$1001,MATCH(ROWS($AF$2:AF850),$AF$2:$AF$1001,0),0), INDEX($AM$1004:$BM$1004,1,MATCH(COLUMNS($AM$1006:BK1006),$AM$1006:$BM$1006,0)))),"Fix")))</f>
        <v xml:space="preserve"> </v>
      </c>
      <c r="AA850" s="4" t="str">
        <f ca="1">IF(OR(INDEX($AG$2:$AG$1001,MATCH(ROWS($AF$2:AF850),$AF$2:$AF$1001,0),1)&gt;=100000,INDEX($AM$1005:$BM$1005,1,MATCH(COLUMNS($AM$1006:BL1006),$AM$1006:$BM$1006,0))&gt;=100000), " ",IF(INDEX($AM$2:$BM$1001,MATCH(ROWS($AF$2:AF850),$AF$2:$AF$1001,0),MATCH(COLUMNS($AM$1006:BL1006),$AM$1006:$BM$1006,0)), HYPERLINK("#",""), HYPERLINK(CONCATENATE("#metadata!", ADDRESS(INDEX($AH$2:$AH$1001,MATCH(ROWS($AF$2:AF850),$AF$2:$AF$1001,0),0), INDEX($AM$1004:$BM$1004,1,MATCH(COLUMNS($AM$1006:BL1006),$AM$1006:$BM$1006,0)))),"Fix")))</f>
        <v xml:space="preserve"> </v>
      </c>
      <c r="AB850" s="4" t="str">
        <f ca="1">IF(OR(INDEX($AG$2:$AG$1001,MATCH(ROWS($AF$2:AF850),$AF$2:$AF$1001,0),1)&gt;=100000,INDEX($AM$1005:$BM$1005,1,MATCH(COLUMNS($AM$1006:BM1006),$AM$1006:$BM$1006,0))&gt;=100000), " ",IF(INDEX($AM$2:$BM$1001,MATCH(ROWS($AF$2:AF850),$AF$2:$AF$1001,0),MATCH(COLUMNS($AM$1006:BM1006),$AM$1006:$BM$1006,0)), HYPERLINK("#",""), HYPERLINK(CONCATENATE("#metadata!", ADDRESS(INDEX($AH$2:$AH$1001,MATCH(ROWS($AF$2:AF850),$AF$2:$AF$1001,0),0), INDEX($AM$1004:$BM$1004,1,MATCH(COLUMNS($AM$1006:BM1006),$AM$1006:$BM$1006,0)))),"Fix")))</f>
        <v xml:space="preserve"> </v>
      </c>
      <c r="AF850">
        <v>849</v>
      </c>
      <c r="AG850">
        <v>100850</v>
      </c>
      <c r="AH850">
        <v>850</v>
      </c>
      <c r="AI850" t="b">
        <f t="shared" si="13"/>
        <v>1</v>
      </c>
      <c r="AJ850" t="b">
        <f>COUNTBLANK(metadata!B850:AB850)=COLUMNS(metadata!B850:AB850)</f>
        <v>1</v>
      </c>
      <c r="AK850" t="str">
        <v/>
      </c>
      <c r="AM850" t="b">
        <f ca="1">AND(IF(metadata!B850="",FALSE,TRUE),COUNTIF(metadata!B:B, metadata!B850) = 1,NOT(ISERROR(SUMPRODUCT(SEARCH(MID(metadata!B850,ROW(INDIRECT("1:"&amp;LEN(metadata!B850))), 1),"0123456789abcdefghijklmnopqrstuvwxyzABCDEFGHIJKLMNOPQRSTUVWXYZ.")))))</f>
        <v>0</v>
      </c>
      <c r="AN850" t="b">
        <f ca="1">OR(AND(IF(metadata!C850="",FALSE,TRUE),OR(EXACT(metadata!C850,"missing: not collected"),EXACT(metadata!C850,"missing: not provided"),EXACT(metadata!C850,"missing: restricted access"))),AND(IF(metadata!C850="",FALSE,TRUE),AND(AND(IFERROR(INT(LEFT(metadata!C850,4))&gt;1900,FALSE),IFERROR(INT(LEFT(metadata!C850,4))&lt;=YEAR(NOW()),FALSE)), OR(MID(metadata!C850,5,1)="", AND(AND(MID(metadata!C850,5,1)="-",IFERROR(INT(MID(metadata!C850,6,1))&gt;=0,FALSE),IFERROR(INT(MID(metadata!C850,6,1))&lt;=1,FALSE),NOT(MID(metadata!C850,7,1)=""),IFERROR(INT(MID(metadata!C850,6,2))&gt;=1,FALSE),IFERROR(INT(MID(metadata!C850,6,2))&lt;=12,FALSE)), OR(MID(metadata!C850,8,1)="", AND(AND(MID(metadata!C850,8,1)="-",IFERROR(INT(MID(metadata!C850,9,1))&gt;=0,FALSE),IFERROR(INT(MID(metadata!C850,9,1))&lt;=3,FALSE),NOT(MID(metadata!C850,10,1)=""),IFERROR(INT(MID(metadata!C850,9,2))&gt;=1,FALSE),IFERROR(INT(MID(metadata!C850,9,2))&lt;=31,FALSE)), OR(MID(metadata!C850,11,1)="", AND(AND(MID(metadata!C850,11,1)=" ",IFERROR(INT(MID(metadata!C850,12,1))&gt;=0,FALSE),IFERROR(INT(MID(metadata!C850,12,1))&lt;=2,FALSE),NOT(MID(metadata!C850,13,1)=""),IFERROR(INT(MID(metadata!C850,12,2))&gt;=0,FALSE),IFERROR(INT(MID(metadata!C850,12,2))&lt;=23,FALSE)), OR(MID(metadata!C850,14,1)="", AND(AND(MID(metadata!C850,14,1)=":",IFERROR(INT(MID(metadata!C850,15,1))&gt;=0,FALSE),IFERROR(INT(MID(metadata!C850,15,1))&lt;=5,FALSE),NOT(MID(metadata!C850,16,1)=""),IFERROR(INT(MID(metadata!C850,15,2))&gt;=0,FALSE),IFERROR(INT(MID(metadata!C850,15,2))&lt;=59,FALSE)), OR(MID(metadata!C850,17,1)="", AND(AND(MID(metadata!C850,17,1)=":",IFERROR(INT(MID(metadata!C850,18,1))&gt;=0,FALSE),IFERROR(INT(MID(metadata!C850,18,1))&lt;=5,FALSE),NOT(MID(metadata!C850,19,1)=""),IFERROR(INT(MID(metadata!C850,18,2))&gt;=0,FALSE),IFERROR(INT(MID(metadata!C850,18,2))&lt;=59,FALSE)), LEN(metadata!C850)&lt;=19)))))))))))))</f>
        <v>0</v>
      </c>
      <c r="AO850" t="b">
        <f>AND(IF(metadata!D850="",FALSE,TRUE),EXACT(metadata!D850,"Not applicable"))</f>
        <v>0</v>
      </c>
      <c r="AP850" t="b">
        <f>IF(metadata!E850="",FALSE,TRUE)</f>
        <v>0</v>
      </c>
      <c r="AQ850" t="b">
        <f>OR(AND(IF(metadata!F850="",FALSE,TRUE),OR(EXACT(metadata!F850,"missing: not collected"),EXACT(metadata!F850,"missing: not provided"))),AND(IF(metadata!F850="",FALSE,TRUE),OR(EXACT(metadata!F850,"TRUE"),EXACT(metadata!F850,"FALSE"))))</f>
        <v>0</v>
      </c>
      <c r="AR850" t="b">
        <f>OR(AND(IF(metadata!G850="",FALSE,TRUE),OR(EXACT(metadata!G850,"missing: not collected"),EXACT(metadata!G850,"missing: not provided"),EXACT(metadata!G850,"missing: restricted access"))),AND(IF(metadata!G850="",FALSE,ISNUMBER(VALUE(metadata!G850))),metadata!G850&gt;=-413))</f>
        <v>0</v>
      </c>
      <c r="AS850" t="b">
        <f>AND(IF(metadata!H850="",FALSE,TRUE),EXACT(metadata!H850,"meters"))</f>
        <v>0</v>
      </c>
      <c r="AT850" t="b">
        <f>AND(IF(metadata!I850="",FALSE,TRUE),OR(EXACT(metadata!I850,"Host-associated"),EXACT(metadata!I850,"Free-living")))</f>
        <v>0</v>
      </c>
      <c r="AU850" t="b">
        <f>AND(IF(metadata!J850="",FALSE,TRUE),OR(EXACT(metadata!J850,"Animal"),EXACT(metadata!J850,"Fungus"),EXACT(metadata!J850,"Plant"),EXACT(metadata!J850,"Saline"),EXACT(metadata!J850,"Non-saline")))</f>
        <v>0</v>
      </c>
      <c r="AV850" t="b">
        <f>AND(IF(metadata!K850="",FALSE,TRUE),OR(EXACT(metadata!K850,"Plant secretion"),EXACT(metadata!K850,"Plant rhizosphere"),EXACT(metadata!K850,"Plant surface"),EXACT(metadata!K850,"Plant corpus"),EXACT(metadata!K850,"Fungus surface"),EXACT(metadata!K850,"Fungus corpus"),EXACT(metadata!K850,"Animal surface"),EXACT(metadata!K850,"Animal proximal gut"),EXACT(metadata!K850,"Animal corpus"),EXACT(metadata!K850,"Animal distal gut"),EXACT(metadata!K850,"Animal secretion"),EXACT(metadata!K850,"Sub-surface (non-saline)"),EXACT(metadata!K850,"Surface (non-saline)"),EXACT(metadata!K850,"Water (non-saline)"),EXACT(metadata!K850,"Soil (non-saline)"),EXACT(metadata!K850,"Aerosol (non-saline)"),EXACT(metadata!K850,"Sediment (non-saline)"),EXACT(metadata!K850,"Surface (saline)"),EXACT(metadata!K850,"Water (saline)"),EXACT(metadata!K850,"Hypersaline (saline)"),EXACT(metadata!K850,"Aerosol (saline)"),EXACT(metadata!K850,"Sediment (saline)")))</f>
        <v>0</v>
      </c>
      <c r="AW850" t="b">
        <f>IF(metadata!L850="",FALSE,TRUE)</f>
        <v>0</v>
      </c>
      <c r="AX850" t="b">
        <f>IF(metadata!M850="",FALSE,TRUE)</f>
        <v>0</v>
      </c>
      <c r="AY850" t="b">
        <f>IF(metadata!N850="",FALSE,TRUE)</f>
        <v>0</v>
      </c>
      <c r="AZ850" t="b">
        <f>OR(AND(IF(metadata!O850="",FALSE,TRUE),OR(EXACT(metadata!O850,"missing: not collected"),EXACT(metadata!O850,"missing: not provided"),EXACT(metadata!O850,"missing: restricted access"))),AND(IF(metadata!O850="",FALSE,TRUE),OR(EXACT(metadata!O850,"air"),EXACT(metadata!O850,"built environment"),EXACT(metadata!O850,"host-associated"),EXACT(metadata!O850,"human-associated"),EXACT(metadata!O850,"human-skin"),EXACT(metadata!O850,"human-oral"),EXACT(metadata!O850,"human-gut"),EXACT(metadata!O850,"human-vaginal"),EXACT(metadata!O850,"microbial mat/biofilm"),EXACT(metadata!O850,"misc environment"),EXACT(metadata!O850,"plant-associated"),EXACT(metadata!O850,"sediment"),EXACT(metadata!O850,"soil"),EXACT(metadata!O850,"wastewater/sludge"),EXACT(metadata!O850,"water"))))</f>
        <v>0</v>
      </c>
      <c r="BA850" t="b">
        <f>IF(metadata!P850="",FALSE,TRUE)</f>
        <v>0</v>
      </c>
      <c r="BB850" t="b">
        <f>IF(metadata!Q850="",FALSE,TRUE)</f>
        <v>0</v>
      </c>
      <c r="BC850" t="b">
        <f>OR(AND(IF(metadata!R850="",FALSE,TRUE),OR(EXACT(metadata!R850,"missing: not collected"),EXACT(metadata!R850,"missing: not provided"),EXACT(metadata!R850,"missing: restricted access"))),AND(IF(metadata!R850="",FALSE,ISNUMBER(VALUE(metadata!R850))),metadata!R850&gt;=-90,metadata!R850&lt;=90))</f>
        <v>0</v>
      </c>
      <c r="BD850" t="b">
        <f>AND(IF(metadata!S850="",FALSE,TRUE),EXACT(metadata!S850,"Decimal degrees"))</f>
        <v>0</v>
      </c>
      <c r="BE850" t="b">
        <f>OR(AND(IF(metadata!T850="",FALSE,TRUE),OR(EXACT(metadata!T850,"missing: not collected"),EXACT(metadata!T850,"missing: not provided"),EXACT(metadata!T850,"missing: restricted access"))),AND(IF(metadata!T850="",FALSE,ISNUMBER(VALUE(metadata!T850))),metadata!T850&gt;=-180,metadata!T850&lt;=180))</f>
        <v>0</v>
      </c>
      <c r="BF850" t="b">
        <f>AND(IF(metadata!U850="",FALSE,TRUE),EXACT(metadata!U850,"Decimal degrees"))</f>
        <v>0</v>
      </c>
      <c r="BG850" t="b">
        <f>IF(metadata!V850="",FALSE,TRUE)</f>
        <v>0</v>
      </c>
      <c r="BH850" t="b">
        <f>OR(AND(IF(metadata!W850="",FALSE,TRUE),OR(EXACT(metadata!W850,"missing: not collected"),EXACT(metadata!W850,"missing: not provided"),EXACT(metadata!W850,"missing: restricted access"))),AND(IF(metadata!W850="",FALSE,TRUE),OR(EXACT(metadata!W850,"TRUE"),EXACT(metadata!W850,"FALSE"))))</f>
        <v>0</v>
      </c>
      <c r="BI850" t="b">
        <f>AND(IF(metadata!X850="",FALSE,TRUE),EXACT(metadata!X850,"other"))</f>
        <v>0</v>
      </c>
      <c r="BJ850" t="b">
        <f>IF(metadata!Y850="",FALSE,TRUE)</f>
        <v>0</v>
      </c>
      <c r="BK850" t="b">
        <f>OR(AND(IF(metadata!Z850="",FALSE,TRUE),OR(EXACT(metadata!Z850,"missing: not collected"),EXACT(metadata!Z850,"missing: not provided"))),AND(IF(metadata!Z850="",FALSE,IF(ISERROR(INT(metadata!Z850)),FALSE,INT(metadata!Z850)=metadata!Z850)),metadata!Z850&gt;0))</f>
        <v>0</v>
      </c>
      <c r="BL850" t="b">
        <f>AND(IF(metadata!AA850="",FALSE,TRUE),EXACT(metadata!AA850,"Not applicable"))</f>
        <v>0</v>
      </c>
      <c r="BM850" t="b">
        <f>IF(metadata!AB850="",FALSE,TRUE)</f>
        <v>0</v>
      </c>
    </row>
    <row r="851" spans="1:65" x14ac:dyDescent="0.2">
      <c r="A851" s="5" t="str">
        <f ca="1">IF(B851=" "," ",HYPERLINK(CONCATENATE("#metadata!",ADDRESS(INDEX($AH$2:$AH$1001,MATCH(ROWS($AF$2:AF851),$AF$2:$AF$1001,0),0),1)),INDEX($AK$2:$AK$1001,MATCH(ROWS($AF$2:AF851),$AF$2:$AF$1001,0),0)))</f>
        <v xml:space="preserve"> </v>
      </c>
      <c r="B851" s="4" t="str">
        <f ca="1">IF(OR(INDEX($AG$2:$AG$1001,MATCH(ROWS($AF$2:AF851),$AF$2:$AF$1001,0),1)&gt;=100000,INDEX($AM$1005:$BM$1005,1,MATCH(COLUMNS($AM$1006:AM1006),$AM$1006:$BM$1006,0))&gt;=100000), " ",IF(INDEX($AM$2:$BM$1001,MATCH(ROWS($AF$2:AF851),$AF$2:$AF$1001,0),MATCH(COLUMNS($AM$1006:AM1006),$AM$1006:$BM$1006,0)), HYPERLINK("#",""), HYPERLINK(CONCATENATE("#metadata!", ADDRESS(INDEX($AH$2:$AH$1001,MATCH(ROWS($AF$2:AF851),$AF$2:$AF$1001,0),0), INDEX($AM$1004:$BM$1004,1,MATCH(COLUMNS($AM$1006:AM1006),$AM$1006:$BM$1006,0)))),"Fix")))</f>
        <v xml:space="preserve"> </v>
      </c>
      <c r="C851" s="4" t="str">
        <f ca="1">IF(OR(INDEX($AG$2:$AG$1001,MATCH(ROWS($AF$2:AF851),$AF$2:$AF$1001,0),1)&gt;=100000,INDEX($AM$1005:$BM$1005,1,MATCH(COLUMNS($AM$1006:AN1006),$AM$1006:$BM$1006,0))&gt;=100000), " ",IF(INDEX($AM$2:$BM$1001,MATCH(ROWS($AF$2:AF851),$AF$2:$AF$1001,0),MATCH(COLUMNS($AM$1006:AN1006),$AM$1006:$BM$1006,0)), HYPERLINK("#",""), HYPERLINK(CONCATENATE("#metadata!", ADDRESS(INDEX($AH$2:$AH$1001,MATCH(ROWS($AF$2:AF851),$AF$2:$AF$1001,0),0), INDEX($AM$1004:$BM$1004,1,MATCH(COLUMNS($AM$1006:AN1006),$AM$1006:$BM$1006,0)))),"Fix")))</f>
        <v xml:space="preserve"> </v>
      </c>
      <c r="D851" s="4" t="str">
        <f ca="1">IF(OR(INDEX($AG$2:$AG$1001,MATCH(ROWS($AF$2:AF851),$AF$2:$AF$1001,0),1)&gt;=100000,INDEX($AM$1005:$BM$1005,1,MATCH(COLUMNS($AM$1006:AO1006),$AM$1006:$BM$1006,0))&gt;=100000), " ",IF(INDEX($AM$2:$BM$1001,MATCH(ROWS($AF$2:AF851),$AF$2:$AF$1001,0),MATCH(COLUMNS($AM$1006:AO1006),$AM$1006:$BM$1006,0)), HYPERLINK("#",""), HYPERLINK(CONCATENATE("#metadata!", ADDRESS(INDEX($AH$2:$AH$1001,MATCH(ROWS($AF$2:AF851),$AF$2:$AF$1001,0),0), INDEX($AM$1004:$BM$1004,1,MATCH(COLUMNS($AM$1006:AO1006),$AM$1006:$BM$1006,0)))),"Fix")))</f>
        <v xml:space="preserve"> </v>
      </c>
      <c r="E851" s="4" t="str">
        <f ca="1">IF(OR(INDEX($AG$2:$AG$1001,MATCH(ROWS($AF$2:AF851),$AF$2:$AF$1001,0),1)&gt;=100000,INDEX($AM$1005:$BM$1005,1,MATCH(COLUMNS($AM$1006:AP1006),$AM$1006:$BM$1006,0))&gt;=100000), " ",IF(INDEX($AM$2:$BM$1001,MATCH(ROWS($AF$2:AF851),$AF$2:$AF$1001,0),MATCH(COLUMNS($AM$1006:AP1006),$AM$1006:$BM$1006,0)), HYPERLINK("#",""), HYPERLINK(CONCATENATE("#metadata!", ADDRESS(INDEX($AH$2:$AH$1001,MATCH(ROWS($AF$2:AF851),$AF$2:$AF$1001,0),0), INDEX($AM$1004:$BM$1004,1,MATCH(COLUMNS($AM$1006:AP1006),$AM$1006:$BM$1006,0)))),"Fix")))</f>
        <v xml:space="preserve"> </v>
      </c>
      <c r="F851" s="4" t="str">
        <f ca="1">IF(OR(INDEX($AG$2:$AG$1001,MATCH(ROWS($AF$2:AF851),$AF$2:$AF$1001,0),1)&gt;=100000,INDEX($AM$1005:$BM$1005,1,MATCH(COLUMNS($AM$1006:AQ1006),$AM$1006:$BM$1006,0))&gt;=100000), " ",IF(INDEX($AM$2:$BM$1001,MATCH(ROWS($AF$2:AF851),$AF$2:$AF$1001,0),MATCH(COLUMNS($AM$1006:AQ1006),$AM$1006:$BM$1006,0)), HYPERLINK("#",""), HYPERLINK(CONCATENATE("#metadata!", ADDRESS(INDEX($AH$2:$AH$1001,MATCH(ROWS($AF$2:AF851),$AF$2:$AF$1001,0),0), INDEX($AM$1004:$BM$1004,1,MATCH(COLUMNS($AM$1006:AQ1006),$AM$1006:$BM$1006,0)))),"Fix")))</f>
        <v xml:space="preserve"> </v>
      </c>
      <c r="G851" s="4" t="str">
        <f ca="1">IF(OR(INDEX($AG$2:$AG$1001,MATCH(ROWS($AF$2:AF851),$AF$2:$AF$1001,0),1)&gt;=100000,INDEX($AM$1005:$BM$1005,1,MATCH(COLUMNS($AM$1006:AR1006),$AM$1006:$BM$1006,0))&gt;=100000), " ",IF(INDEX($AM$2:$BM$1001,MATCH(ROWS($AF$2:AF851),$AF$2:$AF$1001,0),MATCH(COLUMNS($AM$1006:AR1006),$AM$1006:$BM$1006,0)), HYPERLINK("#",""), HYPERLINK(CONCATENATE("#metadata!", ADDRESS(INDEX($AH$2:$AH$1001,MATCH(ROWS($AF$2:AF851),$AF$2:$AF$1001,0),0), INDEX($AM$1004:$BM$1004,1,MATCH(COLUMNS($AM$1006:AR1006),$AM$1006:$BM$1006,0)))),"Fix")))</f>
        <v xml:space="preserve"> </v>
      </c>
      <c r="H851" s="4" t="str">
        <f ca="1">IF(OR(INDEX($AG$2:$AG$1001,MATCH(ROWS($AF$2:AF851),$AF$2:$AF$1001,0),1)&gt;=100000,INDEX($AM$1005:$BM$1005,1,MATCH(COLUMNS($AM$1006:AS1006),$AM$1006:$BM$1006,0))&gt;=100000), " ",IF(INDEX($AM$2:$BM$1001,MATCH(ROWS($AF$2:AF851),$AF$2:$AF$1001,0),MATCH(COLUMNS($AM$1006:AS1006),$AM$1006:$BM$1006,0)), HYPERLINK("#",""), HYPERLINK(CONCATENATE("#metadata!", ADDRESS(INDEX($AH$2:$AH$1001,MATCH(ROWS($AF$2:AF851),$AF$2:$AF$1001,0),0), INDEX($AM$1004:$BM$1004,1,MATCH(COLUMNS($AM$1006:AS1006),$AM$1006:$BM$1006,0)))),"Fix")))</f>
        <v xml:space="preserve"> </v>
      </c>
      <c r="I851" s="4" t="str">
        <f ca="1">IF(OR(INDEX($AG$2:$AG$1001,MATCH(ROWS($AF$2:AF851),$AF$2:$AF$1001,0),1)&gt;=100000,INDEX($AM$1005:$BM$1005,1,MATCH(COLUMNS($AM$1006:AT1006),$AM$1006:$BM$1006,0))&gt;=100000), " ",IF(INDEX($AM$2:$BM$1001,MATCH(ROWS($AF$2:AF851),$AF$2:$AF$1001,0),MATCH(COLUMNS($AM$1006:AT1006),$AM$1006:$BM$1006,0)), HYPERLINK("#",""), HYPERLINK(CONCATENATE("#metadata!", ADDRESS(INDEX($AH$2:$AH$1001,MATCH(ROWS($AF$2:AF851),$AF$2:$AF$1001,0),0), INDEX($AM$1004:$BM$1004,1,MATCH(COLUMNS($AM$1006:AT1006),$AM$1006:$BM$1006,0)))),"Fix")))</f>
        <v xml:space="preserve"> </v>
      </c>
      <c r="J851" s="4" t="str">
        <f ca="1">IF(OR(INDEX($AG$2:$AG$1001,MATCH(ROWS($AF$2:AF851),$AF$2:$AF$1001,0),1)&gt;=100000,INDEX($AM$1005:$BM$1005,1,MATCH(COLUMNS($AM$1006:AU1006),$AM$1006:$BM$1006,0))&gt;=100000), " ",IF(INDEX($AM$2:$BM$1001,MATCH(ROWS($AF$2:AF851),$AF$2:$AF$1001,0),MATCH(COLUMNS($AM$1006:AU1006),$AM$1006:$BM$1006,0)), HYPERLINK("#",""), HYPERLINK(CONCATENATE("#metadata!", ADDRESS(INDEX($AH$2:$AH$1001,MATCH(ROWS($AF$2:AF851),$AF$2:$AF$1001,0),0), INDEX($AM$1004:$BM$1004,1,MATCH(COLUMNS($AM$1006:AU1006),$AM$1006:$BM$1006,0)))),"Fix")))</f>
        <v xml:space="preserve"> </v>
      </c>
      <c r="K851" s="4" t="str">
        <f ca="1">IF(OR(INDEX($AG$2:$AG$1001,MATCH(ROWS($AF$2:AF851),$AF$2:$AF$1001,0),1)&gt;=100000,INDEX($AM$1005:$BM$1005,1,MATCH(COLUMNS($AM$1006:AV1006),$AM$1006:$BM$1006,0))&gt;=100000), " ",IF(INDEX($AM$2:$BM$1001,MATCH(ROWS($AF$2:AF851),$AF$2:$AF$1001,0),MATCH(COLUMNS($AM$1006:AV1006),$AM$1006:$BM$1006,0)), HYPERLINK("#",""), HYPERLINK(CONCATENATE("#metadata!", ADDRESS(INDEX($AH$2:$AH$1001,MATCH(ROWS($AF$2:AF851),$AF$2:$AF$1001,0),0), INDEX($AM$1004:$BM$1004,1,MATCH(COLUMNS($AM$1006:AV1006),$AM$1006:$BM$1006,0)))),"Fix")))</f>
        <v xml:space="preserve"> </v>
      </c>
      <c r="L851" s="4" t="str">
        <f ca="1">IF(OR(INDEX($AG$2:$AG$1001,MATCH(ROWS($AF$2:AF851),$AF$2:$AF$1001,0),1)&gt;=100000,INDEX($AM$1005:$BM$1005,1,MATCH(COLUMNS($AM$1006:AW1006),$AM$1006:$BM$1006,0))&gt;=100000), " ",IF(INDEX($AM$2:$BM$1001,MATCH(ROWS($AF$2:AF851),$AF$2:$AF$1001,0),MATCH(COLUMNS($AM$1006:AW1006),$AM$1006:$BM$1006,0)), HYPERLINK("#",""), HYPERLINK(CONCATENATE("#metadata!", ADDRESS(INDEX($AH$2:$AH$1001,MATCH(ROWS($AF$2:AF851),$AF$2:$AF$1001,0),0), INDEX($AM$1004:$BM$1004,1,MATCH(COLUMNS($AM$1006:AW1006),$AM$1006:$BM$1006,0)))),"Fix")))</f>
        <v xml:space="preserve"> </v>
      </c>
      <c r="M851" s="4" t="str">
        <f ca="1">IF(OR(INDEX($AG$2:$AG$1001,MATCH(ROWS($AF$2:AF851),$AF$2:$AF$1001,0),1)&gt;=100000,INDEX($AM$1005:$BM$1005,1,MATCH(COLUMNS($AM$1006:AX1006),$AM$1006:$BM$1006,0))&gt;=100000), " ",IF(INDEX($AM$2:$BM$1001,MATCH(ROWS($AF$2:AF851),$AF$2:$AF$1001,0),MATCH(COLUMNS($AM$1006:AX1006),$AM$1006:$BM$1006,0)), HYPERLINK("#",""), HYPERLINK(CONCATENATE("#metadata!", ADDRESS(INDEX($AH$2:$AH$1001,MATCH(ROWS($AF$2:AF851),$AF$2:$AF$1001,0),0), INDEX($AM$1004:$BM$1004,1,MATCH(COLUMNS($AM$1006:AX1006),$AM$1006:$BM$1006,0)))),"Fix")))</f>
        <v xml:space="preserve"> </v>
      </c>
      <c r="N851" s="4" t="str">
        <f ca="1">IF(OR(INDEX($AG$2:$AG$1001,MATCH(ROWS($AF$2:AF851),$AF$2:$AF$1001,0),1)&gt;=100000,INDEX($AM$1005:$BM$1005,1,MATCH(COLUMNS($AM$1006:AY1006),$AM$1006:$BM$1006,0))&gt;=100000), " ",IF(INDEX($AM$2:$BM$1001,MATCH(ROWS($AF$2:AF851),$AF$2:$AF$1001,0),MATCH(COLUMNS($AM$1006:AY1006),$AM$1006:$BM$1006,0)), HYPERLINK("#",""), HYPERLINK(CONCATENATE("#metadata!", ADDRESS(INDEX($AH$2:$AH$1001,MATCH(ROWS($AF$2:AF851),$AF$2:$AF$1001,0),0), INDEX($AM$1004:$BM$1004,1,MATCH(COLUMNS($AM$1006:AY1006),$AM$1006:$BM$1006,0)))),"Fix")))</f>
        <v xml:space="preserve"> </v>
      </c>
      <c r="O851" s="4" t="str">
        <f ca="1">IF(OR(INDEX($AG$2:$AG$1001,MATCH(ROWS($AF$2:AF851),$AF$2:$AF$1001,0),1)&gt;=100000,INDEX($AM$1005:$BM$1005,1,MATCH(COLUMNS($AM$1006:AZ1006),$AM$1006:$BM$1006,0))&gt;=100000), " ",IF(INDEX($AM$2:$BM$1001,MATCH(ROWS($AF$2:AF851),$AF$2:$AF$1001,0),MATCH(COLUMNS($AM$1006:AZ1006),$AM$1006:$BM$1006,0)), HYPERLINK("#",""), HYPERLINK(CONCATENATE("#metadata!", ADDRESS(INDEX($AH$2:$AH$1001,MATCH(ROWS($AF$2:AF851),$AF$2:$AF$1001,0),0), INDEX($AM$1004:$BM$1004,1,MATCH(COLUMNS($AM$1006:AZ1006),$AM$1006:$BM$1006,0)))),"Fix")))</f>
        <v xml:space="preserve"> </v>
      </c>
      <c r="P851" s="4" t="str">
        <f ca="1">IF(OR(INDEX($AG$2:$AG$1001,MATCH(ROWS($AF$2:AF851),$AF$2:$AF$1001,0),1)&gt;=100000,INDEX($AM$1005:$BM$1005,1,MATCH(COLUMNS($AM$1006:BA1006),$AM$1006:$BM$1006,0))&gt;=100000), " ",IF(INDEX($AM$2:$BM$1001,MATCH(ROWS($AF$2:AF851),$AF$2:$AF$1001,0),MATCH(COLUMNS($AM$1006:BA1006),$AM$1006:$BM$1006,0)), HYPERLINK("#",""), HYPERLINK(CONCATENATE("#metadata!", ADDRESS(INDEX($AH$2:$AH$1001,MATCH(ROWS($AF$2:AF851),$AF$2:$AF$1001,0),0), INDEX($AM$1004:$BM$1004,1,MATCH(COLUMNS($AM$1006:BA1006),$AM$1006:$BM$1006,0)))),"Fix")))</f>
        <v xml:space="preserve"> </v>
      </c>
      <c r="Q851" s="4" t="str">
        <f ca="1">IF(OR(INDEX($AG$2:$AG$1001,MATCH(ROWS($AF$2:AF851),$AF$2:$AF$1001,0),1)&gt;=100000,INDEX($AM$1005:$BM$1005,1,MATCH(COLUMNS($AM$1006:BB1006),$AM$1006:$BM$1006,0))&gt;=100000), " ",IF(INDEX($AM$2:$BM$1001,MATCH(ROWS($AF$2:AF851),$AF$2:$AF$1001,0),MATCH(COLUMNS($AM$1006:BB1006),$AM$1006:$BM$1006,0)), HYPERLINK("#",""), HYPERLINK(CONCATENATE("#metadata!", ADDRESS(INDEX($AH$2:$AH$1001,MATCH(ROWS($AF$2:AF851),$AF$2:$AF$1001,0),0), INDEX($AM$1004:$BM$1004,1,MATCH(COLUMNS($AM$1006:BB1006),$AM$1006:$BM$1006,0)))),"Fix")))</f>
        <v xml:space="preserve"> </v>
      </c>
      <c r="R851" s="4" t="str">
        <f ca="1">IF(OR(INDEX($AG$2:$AG$1001,MATCH(ROWS($AF$2:AF851),$AF$2:$AF$1001,0),1)&gt;=100000,INDEX($AM$1005:$BM$1005,1,MATCH(COLUMNS($AM$1006:BC1006),$AM$1006:$BM$1006,0))&gt;=100000), " ",IF(INDEX($AM$2:$BM$1001,MATCH(ROWS($AF$2:AF851),$AF$2:$AF$1001,0),MATCH(COLUMNS($AM$1006:BC1006),$AM$1006:$BM$1006,0)), HYPERLINK("#",""), HYPERLINK(CONCATENATE("#metadata!", ADDRESS(INDEX($AH$2:$AH$1001,MATCH(ROWS($AF$2:AF851),$AF$2:$AF$1001,0),0), INDEX($AM$1004:$BM$1004,1,MATCH(COLUMNS($AM$1006:BC1006),$AM$1006:$BM$1006,0)))),"Fix")))</f>
        <v xml:space="preserve"> </v>
      </c>
      <c r="S851" s="4" t="str">
        <f ca="1">IF(OR(INDEX($AG$2:$AG$1001,MATCH(ROWS($AF$2:AF851),$AF$2:$AF$1001,0),1)&gt;=100000,INDEX($AM$1005:$BM$1005,1,MATCH(COLUMNS($AM$1006:BD1006),$AM$1006:$BM$1006,0))&gt;=100000), " ",IF(INDEX($AM$2:$BM$1001,MATCH(ROWS($AF$2:AF851),$AF$2:$AF$1001,0),MATCH(COLUMNS($AM$1006:BD1006),$AM$1006:$BM$1006,0)), HYPERLINK("#",""), HYPERLINK(CONCATENATE("#metadata!", ADDRESS(INDEX($AH$2:$AH$1001,MATCH(ROWS($AF$2:AF851),$AF$2:$AF$1001,0),0), INDEX($AM$1004:$BM$1004,1,MATCH(COLUMNS($AM$1006:BD1006),$AM$1006:$BM$1006,0)))),"Fix")))</f>
        <v xml:space="preserve"> </v>
      </c>
      <c r="T851" s="4" t="str">
        <f ca="1">IF(OR(INDEX($AG$2:$AG$1001,MATCH(ROWS($AF$2:AF851),$AF$2:$AF$1001,0),1)&gt;=100000,INDEX($AM$1005:$BM$1005,1,MATCH(COLUMNS($AM$1006:BE1006),$AM$1006:$BM$1006,0))&gt;=100000), " ",IF(INDEX($AM$2:$BM$1001,MATCH(ROWS($AF$2:AF851),$AF$2:$AF$1001,0),MATCH(COLUMNS($AM$1006:BE1006),$AM$1006:$BM$1006,0)), HYPERLINK("#",""), HYPERLINK(CONCATENATE("#metadata!", ADDRESS(INDEX($AH$2:$AH$1001,MATCH(ROWS($AF$2:AF851),$AF$2:$AF$1001,0),0), INDEX($AM$1004:$BM$1004,1,MATCH(COLUMNS($AM$1006:BE1006),$AM$1006:$BM$1006,0)))),"Fix")))</f>
        <v xml:space="preserve"> </v>
      </c>
      <c r="U851" s="4" t="str">
        <f ca="1">IF(OR(INDEX($AG$2:$AG$1001,MATCH(ROWS($AF$2:AF851),$AF$2:$AF$1001,0),1)&gt;=100000,INDEX($AM$1005:$BM$1005,1,MATCH(COLUMNS($AM$1006:BF1006),$AM$1006:$BM$1006,0))&gt;=100000), " ",IF(INDEX($AM$2:$BM$1001,MATCH(ROWS($AF$2:AF851),$AF$2:$AF$1001,0),MATCH(COLUMNS($AM$1006:BF1006),$AM$1006:$BM$1006,0)), HYPERLINK("#",""), HYPERLINK(CONCATENATE("#metadata!", ADDRESS(INDEX($AH$2:$AH$1001,MATCH(ROWS($AF$2:AF851),$AF$2:$AF$1001,0),0), INDEX($AM$1004:$BM$1004,1,MATCH(COLUMNS($AM$1006:BF1006),$AM$1006:$BM$1006,0)))),"Fix")))</f>
        <v xml:space="preserve"> </v>
      </c>
      <c r="V851" s="4" t="str">
        <f ca="1">IF(OR(INDEX($AG$2:$AG$1001,MATCH(ROWS($AF$2:AF851),$AF$2:$AF$1001,0),1)&gt;=100000,INDEX($AM$1005:$BM$1005,1,MATCH(COLUMNS($AM$1006:BG1006),$AM$1006:$BM$1006,0))&gt;=100000), " ",IF(INDEX($AM$2:$BM$1001,MATCH(ROWS($AF$2:AF851),$AF$2:$AF$1001,0),MATCH(COLUMNS($AM$1006:BG1006),$AM$1006:$BM$1006,0)), HYPERLINK("#",""), HYPERLINK(CONCATENATE("#metadata!", ADDRESS(INDEX($AH$2:$AH$1001,MATCH(ROWS($AF$2:AF851),$AF$2:$AF$1001,0),0), INDEX($AM$1004:$BM$1004,1,MATCH(COLUMNS($AM$1006:BG1006),$AM$1006:$BM$1006,0)))),"Fix")))</f>
        <v xml:space="preserve"> </v>
      </c>
      <c r="W851" s="4" t="str">
        <f ca="1">IF(OR(INDEX($AG$2:$AG$1001,MATCH(ROWS($AF$2:AF851),$AF$2:$AF$1001,0),1)&gt;=100000,INDEX($AM$1005:$BM$1005,1,MATCH(COLUMNS($AM$1006:BH1006),$AM$1006:$BM$1006,0))&gt;=100000), " ",IF(INDEX($AM$2:$BM$1001,MATCH(ROWS($AF$2:AF851),$AF$2:$AF$1001,0),MATCH(COLUMNS($AM$1006:BH1006),$AM$1006:$BM$1006,0)), HYPERLINK("#",""), HYPERLINK(CONCATENATE("#metadata!", ADDRESS(INDEX($AH$2:$AH$1001,MATCH(ROWS($AF$2:AF851),$AF$2:$AF$1001,0),0), INDEX($AM$1004:$BM$1004,1,MATCH(COLUMNS($AM$1006:BH1006),$AM$1006:$BM$1006,0)))),"Fix")))</f>
        <v xml:space="preserve"> </v>
      </c>
      <c r="X851" s="4" t="str">
        <f ca="1">IF(OR(INDEX($AG$2:$AG$1001,MATCH(ROWS($AF$2:AF851),$AF$2:$AF$1001,0),1)&gt;=100000,INDEX($AM$1005:$BM$1005,1,MATCH(COLUMNS($AM$1006:BI1006),$AM$1006:$BM$1006,0))&gt;=100000), " ",IF(INDEX($AM$2:$BM$1001,MATCH(ROWS($AF$2:AF851),$AF$2:$AF$1001,0),MATCH(COLUMNS($AM$1006:BI1006),$AM$1006:$BM$1006,0)), HYPERLINK("#",""), HYPERLINK(CONCATENATE("#metadata!", ADDRESS(INDEX($AH$2:$AH$1001,MATCH(ROWS($AF$2:AF851),$AF$2:$AF$1001,0),0), INDEX($AM$1004:$BM$1004,1,MATCH(COLUMNS($AM$1006:BI1006),$AM$1006:$BM$1006,0)))),"Fix")))</f>
        <v xml:space="preserve"> </v>
      </c>
      <c r="Y851" s="4" t="str">
        <f ca="1">IF(OR(INDEX($AG$2:$AG$1001,MATCH(ROWS($AF$2:AF851),$AF$2:$AF$1001,0),1)&gt;=100000,INDEX($AM$1005:$BM$1005,1,MATCH(COLUMNS($AM$1006:BJ1006),$AM$1006:$BM$1006,0))&gt;=100000), " ",IF(INDEX($AM$2:$BM$1001,MATCH(ROWS($AF$2:AF851),$AF$2:$AF$1001,0),MATCH(COLUMNS($AM$1006:BJ1006),$AM$1006:$BM$1006,0)), HYPERLINK("#",""), HYPERLINK(CONCATENATE("#metadata!", ADDRESS(INDEX($AH$2:$AH$1001,MATCH(ROWS($AF$2:AF851),$AF$2:$AF$1001,0),0), INDEX($AM$1004:$BM$1004,1,MATCH(COLUMNS($AM$1006:BJ1006),$AM$1006:$BM$1006,0)))),"Fix")))</f>
        <v xml:space="preserve"> </v>
      </c>
      <c r="Z851" s="4" t="str">
        <f ca="1">IF(OR(INDEX($AG$2:$AG$1001,MATCH(ROWS($AF$2:AF851),$AF$2:$AF$1001,0),1)&gt;=100000,INDEX($AM$1005:$BM$1005,1,MATCH(COLUMNS($AM$1006:BK1006),$AM$1006:$BM$1006,0))&gt;=100000), " ",IF(INDEX($AM$2:$BM$1001,MATCH(ROWS($AF$2:AF851),$AF$2:$AF$1001,0),MATCH(COLUMNS($AM$1006:BK1006),$AM$1006:$BM$1006,0)), HYPERLINK("#",""), HYPERLINK(CONCATENATE("#metadata!", ADDRESS(INDEX($AH$2:$AH$1001,MATCH(ROWS($AF$2:AF851),$AF$2:$AF$1001,0),0), INDEX($AM$1004:$BM$1004,1,MATCH(COLUMNS($AM$1006:BK1006),$AM$1006:$BM$1006,0)))),"Fix")))</f>
        <v xml:space="preserve"> </v>
      </c>
      <c r="AA851" s="4" t="str">
        <f ca="1">IF(OR(INDEX($AG$2:$AG$1001,MATCH(ROWS($AF$2:AF851),$AF$2:$AF$1001,0),1)&gt;=100000,INDEX($AM$1005:$BM$1005,1,MATCH(COLUMNS($AM$1006:BL1006),$AM$1006:$BM$1006,0))&gt;=100000), " ",IF(INDEX($AM$2:$BM$1001,MATCH(ROWS($AF$2:AF851),$AF$2:$AF$1001,0),MATCH(COLUMNS($AM$1006:BL1006),$AM$1006:$BM$1006,0)), HYPERLINK("#",""), HYPERLINK(CONCATENATE("#metadata!", ADDRESS(INDEX($AH$2:$AH$1001,MATCH(ROWS($AF$2:AF851),$AF$2:$AF$1001,0),0), INDEX($AM$1004:$BM$1004,1,MATCH(COLUMNS($AM$1006:BL1006),$AM$1006:$BM$1006,0)))),"Fix")))</f>
        <v xml:space="preserve"> </v>
      </c>
      <c r="AB851" s="4" t="str">
        <f ca="1">IF(OR(INDEX($AG$2:$AG$1001,MATCH(ROWS($AF$2:AF851),$AF$2:$AF$1001,0),1)&gt;=100000,INDEX($AM$1005:$BM$1005,1,MATCH(COLUMNS($AM$1006:BM1006),$AM$1006:$BM$1006,0))&gt;=100000), " ",IF(INDEX($AM$2:$BM$1001,MATCH(ROWS($AF$2:AF851),$AF$2:$AF$1001,0),MATCH(COLUMNS($AM$1006:BM1006),$AM$1006:$BM$1006,0)), HYPERLINK("#",""), HYPERLINK(CONCATENATE("#metadata!", ADDRESS(INDEX($AH$2:$AH$1001,MATCH(ROWS($AF$2:AF851),$AF$2:$AF$1001,0),0), INDEX($AM$1004:$BM$1004,1,MATCH(COLUMNS($AM$1006:BM1006),$AM$1006:$BM$1006,0)))),"Fix")))</f>
        <v xml:space="preserve"> </v>
      </c>
      <c r="AF851">
        <v>850</v>
      </c>
      <c r="AG851">
        <v>100851</v>
      </c>
      <c r="AH851">
        <v>851</v>
      </c>
      <c r="AI851" t="b">
        <f t="shared" si="13"/>
        <v>1</v>
      </c>
      <c r="AJ851" t="b">
        <f>COUNTBLANK(metadata!B851:AB851)=COLUMNS(metadata!B851:AB851)</f>
        <v>1</v>
      </c>
      <c r="AK851" t="str">
        <v/>
      </c>
      <c r="AM851" t="b">
        <f ca="1">AND(IF(metadata!B851="",FALSE,TRUE),COUNTIF(metadata!B:B, metadata!B851) = 1,NOT(ISERROR(SUMPRODUCT(SEARCH(MID(metadata!B851,ROW(INDIRECT("1:"&amp;LEN(metadata!B851))), 1),"0123456789abcdefghijklmnopqrstuvwxyzABCDEFGHIJKLMNOPQRSTUVWXYZ.")))))</f>
        <v>0</v>
      </c>
      <c r="AN851" t="b">
        <f ca="1">OR(AND(IF(metadata!C851="",FALSE,TRUE),OR(EXACT(metadata!C851,"missing: not collected"),EXACT(metadata!C851,"missing: not provided"),EXACT(metadata!C851,"missing: restricted access"))),AND(IF(metadata!C851="",FALSE,TRUE),AND(AND(IFERROR(INT(LEFT(metadata!C851,4))&gt;1900,FALSE),IFERROR(INT(LEFT(metadata!C851,4))&lt;=YEAR(NOW()),FALSE)), OR(MID(metadata!C851,5,1)="", AND(AND(MID(metadata!C851,5,1)="-",IFERROR(INT(MID(metadata!C851,6,1))&gt;=0,FALSE),IFERROR(INT(MID(metadata!C851,6,1))&lt;=1,FALSE),NOT(MID(metadata!C851,7,1)=""),IFERROR(INT(MID(metadata!C851,6,2))&gt;=1,FALSE),IFERROR(INT(MID(metadata!C851,6,2))&lt;=12,FALSE)), OR(MID(metadata!C851,8,1)="", AND(AND(MID(metadata!C851,8,1)="-",IFERROR(INT(MID(metadata!C851,9,1))&gt;=0,FALSE),IFERROR(INT(MID(metadata!C851,9,1))&lt;=3,FALSE),NOT(MID(metadata!C851,10,1)=""),IFERROR(INT(MID(metadata!C851,9,2))&gt;=1,FALSE),IFERROR(INT(MID(metadata!C851,9,2))&lt;=31,FALSE)), OR(MID(metadata!C851,11,1)="", AND(AND(MID(metadata!C851,11,1)=" ",IFERROR(INT(MID(metadata!C851,12,1))&gt;=0,FALSE),IFERROR(INT(MID(metadata!C851,12,1))&lt;=2,FALSE),NOT(MID(metadata!C851,13,1)=""),IFERROR(INT(MID(metadata!C851,12,2))&gt;=0,FALSE),IFERROR(INT(MID(metadata!C851,12,2))&lt;=23,FALSE)), OR(MID(metadata!C851,14,1)="", AND(AND(MID(metadata!C851,14,1)=":",IFERROR(INT(MID(metadata!C851,15,1))&gt;=0,FALSE),IFERROR(INT(MID(metadata!C851,15,1))&lt;=5,FALSE),NOT(MID(metadata!C851,16,1)=""),IFERROR(INT(MID(metadata!C851,15,2))&gt;=0,FALSE),IFERROR(INT(MID(metadata!C851,15,2))&lt;=59,FALSE)), OR(MID(metadata!C851,17,1)="", AND(AND(MID(metadata!C851,17,1)=":",IFERROR(INT(MID(metadata!C851,18,1))&gt;=0,FALSE),IFERROR(INT(MID(metadata!C851,18,1))&lt;=5,FALSE),NOT(MID(metadata!C851,19,1)=""),IFERROR(INT(MID(metadata!C851,18,2))&gt;=0,FALSE),IFERROR(INT(MID(metadata!C851,18,2))&lt;=59,FALSE)), LEN(metadata!C851)&lt;=19)))))))))))))</f>
        <v>0</v>
      </c>
      <c r="AO851" t="b">
        <f>AND(IF(metadata!D851="",FALSE,TRUE),EXACT(metadata!D851,"Not applicable"))</f>
        <v>0</v>
      </c>
      <c r="AP851" t="b">
        <f>IF(metadata!E851="",FALSE,TRUE)</f>
        <v>0</v>
      </c>
      <c r="AQ851" t="b">
        <f>OR(AND(IF(metadata!F851="",FALSE,TRUE),OR(EXACT(metadata!F851,"missing: not collected"),EXACT(metadata!F851,"missing: not provided"))),AND(IF(metadata!F851="",FALSE,TRUE),OR(EXACT(metadata!F851,"TRUE"),EXACT(metadata!F851,"FALSE"))))</f>
        <v>0</v>
      </c>
      <c r="AR851" t="b">
        <f>OR(AND(IF(metadata!G851="",FALSE,TRUE),OR(EXACT(metadata!G851,"missing: not collected"),EXACT(metadata!G851,"missing: not provided"),EXACT(metadata!G851,"missing: restricted access"))),AND(IF(metadata!G851="",FALSE,ISNUMBER(VALUE(metadata!G851))),metadata!G851&gt;=-413))</f>
        <v>0</v>
      </c>
      <c r="AS851" t="b">
        <f>AND(IF(metadata!H851="",FALSE,TRUE),EXACT(metadata!H851,"meters"))</f>
        <v>0</v>
      </c>
      <c r="AT851" t="b">
        <f>AND(IF(metadata!I851="",FALSE,TRUE),OR(EXACT(metadata!I851,"Host-associated"),EXACT(metadata!I851,"Free-living")))</f>
        <v>0</v>
      </c>
      <c r="AU851" t="b">
        <f>AND(IF(metadata!J851="",FALSE,TRUE),OR(EXACT(metadata!J851,"Animal"),EXACT(metadata!J851,"Fungus"),EXACT(metadata!J851,"Plant"),EXACT(metadata!J851,"Saline"),EXACT(metadata!J851,"Non-saline")))</f>
        <v>0</v>
      </c>
      <c r="AV851" t="b">
        <f>AND(IF(metadata!K851="",FALSE,TRUE),OR(EXACT(metadata!K851,"Plant secretion"),EXACT(metadata!K851,"Plant rhizosphere"),EXACT(metadata!K851,"Plant surface"),EXACT(metadata!K851,"Plant corpus"),EXACT(metadata!K851,"Fungus surface"),EXACT(metadata!K851,"Fungus corpus"),EXACT(metadata!K851,"Animal surface"),EXACT(metadata!K851,"Animal proximal gut"),EXACT(metadata!K851,"Animal corpus"),EXACT(metadata!K851,"Animal distal gut"),EXACT(metadata!K851,"Animal secretion"),EXACT(metadata!K851,"Sub-surface (non-saline)"),EXACT(metadata!K851,"Surface (non-saline)"),EXACT(metadata!K851,"Water (non-saline)"),EXACT(metadata!K851,"Soil (non-saline)"),EXACT(metadata!K851,"Aerosol (non-saline)"),EXACT(metadata!K851,"Sediment (non-saline)"),EXACT(metadata!K851,"Surface (saline)"),EXACT(metadata!K851,"Water (saline)"),EXACT(metadata!K851,"Hypersaline (saline)"),EXACT(metadata!K851,"Aerosol (saline)"),EXACT(metadata!K851,"Sediment (saline)")))</f>
        <v>0</v>
      </c>
      <c r="AW851" t="b">
        <f>IF(metadata!L851="",FALSE,TRUE)</f>
        <v>0</v>
      </c>
      <c r="AX851" t="b">
        <f>IF(metadata!M851="",FALSE,TRUE)</f>
        <v>0</v>
      </c>
      <c r="AY851" t="b">
        <f>IF(metadata!N851="",FALSE,TRUE)</f>
        <v>0</v>
      </c>
      <c r="AZ851" t="b">
        <f>OR(AND(IF(metadata!O851="",FALSE,TRUE),OR(EXACT(metadata!O851,"missing: not collected"),EXACT(metadata!O851,"missing: not provided"),EXACT(metadata!O851,"missing: restricted access"))),AND(IF(metadata!O851="",FALSE,TRUE),OR(EXACT(metadata!O851,"air"),EXACT(metadata!O851,"built environment"),EXACT(metadata!O851,"host-associated"),EXACT(metadata!O851,"human-associated"),EXACT(metadata!O851,"human-skin"),EXACT(metadata!O851,"human-oral"),EXACT(metadata!O851,"human-gut"),EXACT(metadata!O851,"human-vaginal"),EXACT(metadata!O851,"microbial mat/biofilm"),EXACT(metadata!O851,"misc environment"),EXACT(metadata!O851,"plant-associated"),EXACT(metadata!O851,"sediment"),EXACT(metadata!O851,"soil"),EXACT(metadata!O851,"wastewater/sludge"),EXACT(metadata!O851,"water"))))</f>
        <v>0</v>
      </c>
      <c r="BA851" t="b">
        <f>IF(metadata!P851="",FALSE,TRUE)</f>
        <v>0</v>
      </c>
      <c r="BB851" t="b">
        <f>IF(metadata!Q851="",FALSE,TRUE)</f>
        <v>0</v>
      </c>
      <c r="BC851" t="b">
        <f>OR(AND(IF(metadata!R851="",FALSE,TRUE),OR(EXACT(metadata!R851,"missing: not collected"),EXACT(metadata!R851,"missing: not provided"),EXACT(metadata!R851,"missing: restricted access"))),AND(IF(metadata!R851="",FALSE,ISNUMBER(VALUE(metadata!R851))),metadata!R851&gt;=-90,metadata!R851&lt;=90))</f>
        <v>0</v>
      </c>
      <c r="BD851" t="b">
        <f>AND(IF(metadata!S851="",FALSE,TRUE),EXACT(metadata!S851,"Decimal degrees"))</f>
        <v>0</v>
      </c>
      <c r="BE851" t="b">
        <f>OR(AND(IF(metadata!T851="",FALSE,TRUE),OR(EXACT(metadata!T851,"missing: not collected"),EXACT(metadata!T851,"missing: not provided"),EXACT(metadata!T851,"missing: restricted access"))),AND(IF(metadata!T851="",FALSE,ISNUMBER(VALUE(metadata!T851))),metadata!T851&gt;=-180,metadata!T851&lt;=180))</f>
        <v>0</v>
      </c>
      <c r="BF851" t="b">
        <f>AND(IF(metadata!U851="",FALSE,TRUE),EXACT(metadata!U851,"Decimal degrees"))</f>
        <v>0</v>
      </c>
      <c r="BG851" t="b">
        <f>IF(metadata!V851="",FALSE,TRUE)</f>
        <v>0</v>
      </c>
      <c r="BH851" t="b">
        <f>OR(AND(IF(metadata!W851="",FALSE,TRUE),OR(EXACT(metadata!W851,"missing: not collected"),EXACT(metadata!W851,"missing: not provided"),EXACT(metadata!W851,"missing: restricted access"))),AND(IF(metadata!W851="",FALSE,TRUE),OR(EXACT(metadata!W851,"TRUE"),EXACT(metadata!W851,"FALSE"))))</f>
        <v>0</v>
      </c>
      <c r="BI851" t="b">
        <f>AND(IF(metadata!X851="",FALSE,TRUE),EXACT(metadata!X851,"other"))</f>
        <v>0</v>
      </c>
      <c r="BJ851" t="b">
        <f>IF(metadata!Y851="",FALSE,TRUE)</f>
        <v>0</v>
      </c>
      <c r="BK851" t="b">
        <f>OR(AND(IF(metadata!Z851="",FALSE,TRUE),OR(EXACT(metadata!Z851,"missing: not collected"),EXACT(metadata!Z851,"missing: not provided"))),AND(IF(metadata!Z851="",FALSE,IF(ISERROR(INT(metadata!Z851)),FALSE,INT(metadata!Z851)=metadata!Z851)),metadata!Z851&gt;0))</f>
        <v>0</v>
      </c>
      <c r="BL851" t="b">
        <f>AND(IF(metadata!AA851="",FALSE,TRUE),EXACT(metadata!AA851,"Not applicable"))</f>
        <v>0</v>
      </c>
      <c r="BM851" t="b">
        <f>IF(metadata!AB851="",FALSE,TRUE)</f>
        <v>0</v>
      </c>
    </row>
    <row r="852" spans="1:65" x14ac:dyDescent="0.2">
      <c r="A852" s="5" t="str">
        <f ca="1">IF(B852=" "," ",HYPERLINK(CONCATENATE("#metadata!",ADDRESS(INDEX($AH$2:$AH$1001,MATCH(ROWS($AF$2:AF852),$AF$2:$AF$1001,0),0),1)),INDEX($AK$2:$AK$1001,MATCH(ROWS($AF$2:AF852),$AF$2:$AF$1001,0),0)))</f>
        <v xml:space="preserve"> </v>
      </c>
      <c r="B852" s="4" t="str">
        <f ca="1">IF(OR(INDEX($AG$2:$AG$1001,MATCH(ROWS($AF$2:AF852),$AF$2:$AF$1001,0),1)&gt;=100000,INDEX($AM$1005:$BM$1005,1,MATCH(COLUMNS($AM$1006:AM1006),$AM$1006:$BM$1006,0))&gt;=100000), " ",IF(INDEX($AM$2:$BM$1001,MATCH(ROWS($AF$2:AF852),$AF$2:$AF$1001,0),MATCH(COLUMNS($AM$1006:AM1006),$AM$1006:$BM$1006,0)), HYPERLINK("#",""), HYPERLINK(CONCATENATE("#metadata!", ADDRESS(INDEX($AH$2:$AH$1001,MATCH(ROWS($AF$2:AF852),$AF$2:$AF$1001,0),0), INDEX($AM$1004:$BM$1004,1,MATCH(COLUMNS($AM$1006:AM1006),$AM$1006:$BM$1006,0)))),"Fix")))</f>
        <v xml:space="preserve"> </v>
      </c>
      <c r="C852" s="4" t="str">
        <f ca="1">IF(OR(INDEX($AG$2:$AG$1001,MATCH(ROWS($AF$2:AF852),$AF$2:$AF$1001,0),1)&gt;=100000,INDEX($AM$1005:$BM$1005,1,MATCH(COLUMNS($AM$1006:AN1006),$AM$1006:$BM$1006,0))&gt;=100000), " ",IF(INDEX($AM$2:$BM$1001,MATCH(ROWS($AF$2:AF852),$AF$2:$AF$1001,0),MATCH(COLUMNS($AM$1006:AN1006),$AM$1006:$BM$1006,0)), HYPERLINK("#",""), HYPERLINK(CONCATENATE("#metadata!", ADDRESS(INDEX($AH$2:$AH$1001,MATCH(ROWS($AF$2:AF852),$AF$2:$AF$1001,0),0), INDEX($AM$1004:$BM$1004,1,MATCH(COLUMNS($AM$1006:AN1006),$AM$1006:$BM$1006,0)))),"Fix")))</f>
        <v xml:space="preserve"> </v>
      </c>
      <c r="D852" s="4" t="str">
        <f ca="1">IF(OR(INDEX($AG$2:$AG$1001,MATCH(ROWS($AF$2:AF852),$AF$2:$AF$1001,0),1)&gt;=100000,INDEX($AM$1005:$BM$1005,1,MATCH(COLUMNS($AM$1006:AO1006),$AM$1006:$BM$1006,0))&gt;=100000), " ",IF(INDEX($AM$2:$BM$1001,MATCH(ROWS($AF$2:AF852),$AF$2:$AF$1001,0),MATCH(COLUMNS($AM$1006:AO1006),$AM$1006:$BM$1006,0)), HYPERLINK("#",""), HYPERLINK(CONCATENATE("#metadata!", ADDRESS(INDEX($AH$2:$AH$1001,MATCH(ROWS($AF$2:AF852),$AF$2:$AF$1001,0),0), INDEX($AM$1004:$BM$1004,1,MATCH(COLUMNS($AM$1006:AO1006),$AM$1006:$BM$1006,0)))),"Fix")))</f>
        <v xml:space="preserve"> </v>
      </c>
      <c r="E852" s="4" t="str">
        <f ca="1">IF(OR(INDEX($AG$2:$AG$1001,MATCH(ROWS($AF$2:AF852),$AF$2:$AF$1001,0),1)&gt;=100000,INDEX($AM$1005:$BM$1005,1,MATCH(COLUMNS($AM$1006:AP1006),$AM$1006:$BM$1006,0))&gt;=100000), " ",IF(INDEX($AM$2:$BM$1001,MATCH(ROWS($AF$2:AF852),$AF$2:$AF$1001,0),MATCH(COLUMNS($AM$1006:AP1006),$AM$1006:$BM$1006,0)), HYPERLINK("#",""), HYPERLINK(CONCATENATE("#metadata!", ADDRESS(INDEX($AH$2:$AH$1001,MATCH(ROWS($AF$2:AF852),$AF$2:$AF$1001,0),0), INDEX($AM$1004:$BM$1004,1,MATCH(COLUMNS($AM$1006:AP1006),$AM$1006:$BM$1006,0)))),"Fix")))</f>
        <v xml:space="preserve"> </v>
      </c>
      <c r="F852" s="4" t="str">
        <f ca="1">IF(OR(INDEX($AG$2:$AG$1001,MATCH(ROWS($AF$2:AF852),$AF$2:$AF$1001,0),1)&gt;=100000,INDEX($AM$1005:$BM$1005,1,MATCH(COLUMNS($AM$1006:AQ1006),$AM$1006:$BM$1006,0))&gt;=100000), " ",IF(INDEX($AM$2:$BM$1001,MATCH(ROWS($AF$2:AF852),$AF$2:$AF$1001,0),MATCH(COLUMNS($AM$1006:AQ1006),$AM$1006:$BM$1006,0)), HYPERLINK("#",""), HYPERLINK(CONCATENATE("#metadata!", ADDRESS(INDEX($AH$2:$AH$1001,MATCH(ROWS($AF$2:AF852),$AF$2:$AF$1001,0),0), INDEX($AM$1004:$BM$1004,1,MATCH(COLUMNS($AM$1006:AQ1006),$AM$1006:$BM$1006,0)))),"Fix")))</f>
        <v xml:space="preserve"> </v>
      </c>
      <c r="G852" s="4" t="str">
        <f ca="1">IF(OR(INDEX($AG$2:$AG$1001,MATCH(ROWS($AF$2:AF852),$AF$2:$AF$1001,0),1)&gt;=100000,INDEX($AM$1005:$BM$1005,1,MATCH(COLUMNS($AM$1006:AR1006),$AM$1006:$BM$1006,0))&gt;=100000), " ",IF(INDEX($AM$2:$BM$1001,MATCH(ROWS($AF$2:AF852),$AF$2:$AF$1001,0),MATCH(COLUMNS($AM$1006:AR1006),$AM$1006:$BM$1006,0)), HYPERLINK("#",""), HYPERLINK(CONCATENATE("#metadata!", ADDRESS(INDEX($AH$2:$AH$1001,MATCH(ROWS($AF$2:AF852),$AF$2:$AF$1001,0),0), INDEX($AM$1004:$BM$1004,1,MATCH(COLUMNS($AM$1006:AR1006),$AM$1006:$BM$1006,0)))),"Fix")))</f>
        <v xml:space="preserve"> </v>
      </c>
      <c r="H852" s="4" t="str">
        <f ca="1">IF(OR(INDEX($AG$2:$AG$1001,MATCH(ROWS($AF$2:AF852),$AF$2:$AF$1001,0),1)&gt;=100000,INDEX($AM$1005:$BM$1005,1,MATCH(COLUMNS($AM$1006:AS1006),$AM$1006:$BM$1006,0))&gt;=100000), " ",IF(INDEX($AM$2:$BM$1001,MATCH(ROWS($AF$2:AF852),$AF$2:$AF$1001,0),MATCH(COLUMNS($AM$1006:AS1006),$AM$1006:$BM$1006,0)), HYPERLINK("#",""), HYPERLINK(CONCATENATE("#metadata!", ADDRESS(INDEX($AH$2:$AH$1001,MATCH(ROWS($AF$2:AF852),$AF$2:$AF$1001,0),0), INDEX($AM$1004:$BM$1004,1,MATCH(COLUMNS($AM$1006:AS1006),$AM$1006:$BM$1006,0)))),"Fix")))</f>
        <v xml:space="preserve"> </v>
      </c>
      <c r="I852" s="4" t="str">
        <f ca="1">IF(OR(INDEX($AG$2:$AG$1001,MATCH(ROWS($AF$2:AF852),$AF$2:$AF$1001,0),1)&gt;=100000,INDEX($AM$1005:$BM$1005,1,MATCH(COLUMNS($AM$1006:AT1006),$AM$1006:$BM$1006,0))&gt;=100000), " ",IF(INDEX($AM$2:$BM$1001,MATCH(ROWS($AF$2:AF852),$AF$2:$AF$1001,0),MATCH(COLUMNS($AM$1006:AT1006),$AM$1006:$BM$1006,0)), HYPERLINK("#",""), HYPERLINK(CONCATENATE("#metadata!", ADDRESS(INDEX($AH$2:$AH$1001,MATCH(ROWS($AF$2:AF852),$AF$2:$AF$1001,0),0), INDEX($AM$1004:$BM$1004,1,MATCH(COLUMNS($AM$1006:AT1006),$AM$1006:$BM$1006,0)))),"Fix")))</f>
        <v xml:space="preserve"> </v>
      </c>
      <c r="J852" s="4" t="str">
        <f ca="1">IF(OR(INDEX($AG$2:$AG$1001,MATCH(ROWS($AF$2:AF852),$AF$2:$AF$1001,0),1)&gt;=100000,INDEX($AM$1005:$BM$1005,1,MATCH(COLUMNS($AM$1006:AU1006),$AM$1006:$BM$1006,0))&gt;=100000), " ",IF(INDEX($AM$2:$BM$1001,MATCH(ROWS($AF$2:AF852),$AF$2:$AF$1001,0),MATCH(COLUMNS($AM$1006:AU1006),$AM$1006:$BM$1006,0)), HYPERLINK("#",""), HYPERLINK(CONCATENATE("#metadata!", ADDRESS(INDEX($AH$2:$AH$1001,MATCH(ROWS($AF$2:AF852),$AF$2:$AF$1001,0),0), INDEX($AM$1004:$BM$1004,1,MATCH(COLUMNS($AM$1006:AU1006),$AM$1006:$BM$1006,0)))),"Fix")))</f>
        <v xml:space="preserve"> </v>
      </c>
      <c r="K852" s="4" t="str">
        <f ca="1">IF(OR(INDEX($AG$2:$AG$1001,MATCH(ROWS($AF$2:AF852),$AF$2:$AF$1001,0),1)&gt;=100000,INDEX($AM$1005:$BM$1005,1,MATCH(COLUMNS($AM$1006:AV1006),$AM$1006:$BM$1006,0))&gt;=100000), " ",IF(INDEX($AM$2:$BM$1001,MATCH(ROWS($AF$2:AF852),$AF$2:$AF$1001,0),MATCH(COLUMNS($AM$1006:AV1006),$AM$1006:$BM$1006,0)), HYPERLINK("#",""), HYPERLINK(CONCATENATE("#metadata!", ADDRESS(INDEX($AH$2:$AH$1001,MATCH(ROWS($AF$2:AF852),$AF$2:$AF$1001,0),0), INDEX($AM$1004:$BM$1004,1,MATCH(COLUMNS($AM$1006:AV1006),$AM$1006:$BM$1006,0)))),"Fix")))</f>
        <v xml:space="preserve"> </v>
      </c>
      <c r="L852" s="4" t="str">
        <f ca="1">IF(OR(INDEX($AG$2:$AG$1001,MATCH(ROWS($AF$2:AF852),$AF$2:$AF$1001,0),1)&gt;=100000,INDEX($AM$1005:$BM$1005,1,MATCH(COLUMNS($AM$1006:AW1006),$AM$1006:$BM$1006,0))&gt;=100000), " ",IF(INDEX($AM$2:$BM$1001,MATCH(ROWS($AF$2:AF852),$AF$2:$AF$1001,0),MATCH(COLUMNS($AM$1006:AW1006),$AM$1006:$BM$1006,0)), HYPERLINK("#",""), HYPERLINK(CONCATENATE("#metadata!", ADDRESS(INDEX($AH$2:$AH$1001,MATCH(ROWS($AF$2:AF852),$AF$2:$AF$1001,0),0), INDEX($AM$1004:$BM$1004,1,MATCH(COLUMNS($AM$1006:AW1006),$AM$1006:$BM$1006,0)))),"Fix")))</f>
        <v xml:space="preserve"> </v>
      </c>
      <c r="M852" s="4" t="str">
        <f ca="1">IF(OR(INDEX($AG$2:$AG$1001,MATCH(ROWS($AF$2:AF852),$AF$2:$AF$1001,0),1)&gt;=100000,INDEX($AM$1005:$BM$1005,1,MATCH(COLUMNS($AM$1006:AX1006),$AM$1006:$BM$1006,0))&gt;=100000), " ",IF(INDEX($AM$2:$BM$1001,MATCH(ROWS($AF$2:AF852),$AF$2:$AF$1001,0),MATCH(COLUMNS($AM$1006:AX1006),$AM$1006:$BM$1006,0)), HYPERLINK("#",""), HYPERLINK(CONCATENATE("#metadata!", ADDRESS(INDEX($AH$2:$AH$1001,MATCH(ROWS($AF$2:AF852),$AF$2:$AF$1001,0),0), INDEX($AM$1004:$BM$1004,1,MATCH(COLUMNS($AM$1006:AX1006),$AM$1006:$BM$1006,0)))),"Fix")))</f>
        <v xml:space="preserve"> </v>
      </c>
      <c r="N852" s="4" t="str">
        <f ca="1">IF(OR(INDEX($AG$2:$AG$1001,MATCH(ROWS($AF$2:AF852),$AF$2:$AF$1001,0),1)&gt;=100000,INDEX($AM$1005:$BM$1005,1,MATCH(COLUMNS($AM$1006:AY1006),$AM$1006:$BM$1006,0))&gt;=100000), " ",IF(INDEX($AM$2:$BM$1001,MATCH(ROWS($AF$2:AF852),$AF$2:$AF$1001,0),MATCH(COLUMNS($AM$1006:AY1006),$AM$1006:$BM$1006,0)), HYPERLINK("#",""), HYPERLINK(CONCATENATE("#metadata!", ADDRESS(INDEX($AH$2:$AH$1001,MATCH(ROWS($AF$2:AF852),$AF$2:$AF$1001,0),0), INDEX($AM$1004:$BM$1004,1,MATCH(COLUMNS($AM$1006:AY1006),$AM$1006:$BM$1006,0)))),"Fix")))</f>
        <v xml:space="preserve"> </v>
      </c>
      <c r="O852" s="4" t="str">
        <f ca="1">IF(OR(INDEX($AG$2:$AG$1001,MATCH(ROWS($AF$2:AF852),$AF$2:$AF$1001,0),1)&gt;=100000,INDEX($AM$1005:$BM$1005,1,MATCH(COLUMNS($AM$1006:AZ1006),$AM$1006:$BM$1006,0))&gt;=100000), " ",IF(INDEX($AM$2:$BM$1001,MATCH(ROWS($AF$2:AF852),$AF$2:$AF$1001,0),MATCH(COLUMNS($AM$1006:AZ1006),$AM$1006:$BM$1006,0)), HYPERLINK("#",""), HYPERLINK(CONCATENATE("#metadata!", ADDRESS(INDEX($AH$2:$AH$1001,MATCH(ROWS($AF$2:AF852),$AF$2:$AF$1001,0),0), INDEX($AM$1004:$BM$1004,1,MATCH(COLUMNS($AM$1006:AZ1006),$AM$1006:$BM$1006,0)))),"Fix")))</f>
        <v xml:space="preserve"> </v>
      </c>
      <c r="P852" s="4" t="str">
        <f ca="1">IF(OR(INDEX($AG$2:$AG$1001,MATCH(ROWS($AF$2:AF852),$AF$2:$AF$1001,0),1)&gt;=100000,INDEX($AM$1005:$BM$1005,1,MATCH(COLUMNS($AM$1006:BA1006),$AM$1006:$BM$1006,0))&gt;=100000), " ",IF(INDEX($AM$2:$BM$1001,MATCH(ROWS($AF$2:AF852),$AF$2:$AF$1001,0),MATCH(COLUMNS($AM$1006:BA1006),$AM$1006:$BM$1006,0)), HYPERLINK("#",""), HYPERLINK(CONCATENATE("#metadata!", ADDRESS(INDEX($AH$2:$AH$1001,MATCH(ROWS($AF$2:AF852),$AF$2:$AF$1001,0),0), INDEX($AM$1004:$BM$1004,1,MATCH(COLUMNS($AM$1006:BA1006),$AM$1006:$BM$1006,0)))),"Fix")))</f>
        <v xml:space="preserve"> </v>
      </c>
      <c r="Q852" s="4" t="str">
        <f ca="1">IF(OR(INDEX($AG$2:$AG$1001,MATCH(ROWS($AF$2:AF852),$AF$2:$AF$1001,0),1)&gt;=100000,INDEX($AM$1005:$BM$1005,1,MATCH(COLUMNS($AM$1006:BB1006),$AM$1006:$BM$1006,0))&gt;=100000), " ",IF(INDEX($AM$2:$BM$1001,MATCH(ROWS($AF$2:AF852),$AF$2:$AF$1001,0),MATCH(COLUMNS($AM$1006:BB1006),$AM$1006:$BM$1006,0)), HYPERLINK("#",""), HYPERLINK(CONCATENATE("#metadata!", ADDRESS(INDEX($AH$2:$AH$1001,MATCH(ROWS($AF$2:AF852),$AF$2:$AF$1001,0),0), INDEX($AM$1004:$BM$1004,1,MATCH(COLUMNS($AM$1006:BB1006),$AM$1006:$BM$1006,0)))),"Fix")))</f>
        <v xml:space="preserve"> </v>
      </c>
      <c r="R852" s="4" t="str">
        <f ca="1">IF(OR(INDEX($AG$2:$AG$1001,MATCH(ROWS($AF$2:AF852),$AF$2:$AF$1001,0),1)&gt;=100000,INDEX($AM$1005:$BM$1005,1,MATCH(COLUMNS($AM$1006:BC1006),$AM$1006:$BM$1006,0))&gt;=100000), " ",IF(INDEX($AM$2:$BM$1001,MATCH(ROWS($AF$2:AF852),$AF$2:$AF$1001,0),MATCH(COLUMNS($AM$1006:BC1006),$AM$1006:$BM$1006,0)), HYPERLINK("#",""), HYPERLINK(CONCATENATE("#metadata!", ADDRESS(INDEX($AH$2:$AH$1001,MATCH(ROWS($AF$2:AF852),$AF$2:$AF$1001,0),0), INDEX($AM$1004:$BM$1004,1,MATCH(COLUMNS($AM$1006:BC1006),$AM$1006:$BM$1006,0)))),"Fix")))</f>
        <v xml:space="preserve"> </v>
      </c>
      <c r="S852" s="4" t="str">
        <f ca="1">IF(OR(INDEX($AG$2:$AG$1001,MATCH(ROWS($AF$2:AF852),$AF$2:$AF$1001,0),1)&gt;=100000,INDEX($AM$1005:$BM$1005,1,MATCH(COLUMNS($AM$1006:BD1006),$AM$1006:$BM$1006,0))&gt;=100000), " ",IF(INDEX($AM$2:$BM$1001,MATCH(ROWS($AF$2:AF852),$AF$2:$AF$1001,0),MATCH(COLUMNS($AM$1006:BD1006),$AM$1006:$BM$1006,0)), HYPERLINK("#",""), HYPERLINK(CONCATENATE("#metadata!", ADDRESS(INDEX($AH$2:$AH$1001,MATCH(ROWS($AF$2:AF852),$AF$2:$AF$1001,0),0), INDEX($AM$1004:$BM$1004,1,MATCH(COLUMNS($AM$1006:BD1006),$AM$1006:$BM$1006,0)))),"Fix")))</f>
        <v xml:space="preserve"> </v>
      </c>
      <c r="T852" s="4" t="str">
        <f ca="1">IF(OR(INDEX($AG$2:$AG$1001,MATCH(ROWS($AF$2:AF852),$AF$2:$AF$1001,0),1)&gt;=100000,INDEX($AM$1005:$BM$1005,1,MATCH(COLUMNS($AM$1006:BE1006),$AM$1006:$BM$1006,0))&gt;=100000), " ",IF(INDEX($AM$2:$BM$1001,MATCH(ROWS($AF$2:AF852),$AF$2:$AF$1001,0),MATCH(COLUMNS($AM$1006:BE1006),$AM$1006:$BM$1006,0)), HYPERLINK("#",""), HYPERLINK(CONCATENATE("#metadata!", ADDRESS(INDEX($AH$2:$AH$1001,MATCH(ROWS($AF$2:AF852),$AF$2:$AF$1001,0),0), INDEX($AM$1004:$BM$1004,1,MATCH(COLUMNS($AM$1006:BE1006),$AM$1006:$BM$1006,0)))),"Fix")))</f>
        <v xml:space="preserve"> </v>
      </c>
      <c r="U852" s="4" t="str">
        <f ca="1">IF(OR(INDEX($AG$2:$AG$1001,MATCH(ROWS($AF$2:AF852),$AF$2:$AF$1001,0),1)&gt;=100000,INDEX($AM$1005:$BM$1005,1,MATCH(COLUMNS($AM$1006:BF1006),$AM$1006:$BM$1006,0))&gt;=100000), " ",IF(INDEX($AM$2:$BM$1001,MATCH(ROWS($AF$2:AF852),$AF$2:$AF$1001,0),MATCH(COLUMNS($AM$1006:BF1006),$AM$1006:$BM$1006,0)), HYPERLINK("#",""), HYPERLINK(CONCATENATE("#metadata!", ADDRESS(INDEX($AH$2:$AH$1001,MATCH(ROWS($AF$2:AF852),$AF$2:$AF$1001,0),0), INDEX($AM$1004:$BM$1004,1,MATCH(COLUMNS($AM$1006:BF1006),$AM$1006:$BM$1006,0)))),"Fix")))</f>
        <v xml:space="preserve"> </v>
      </c>
      <c r="V852" s="4" t="str">
        <f ca="1">IF(OR(INDEX($AG$2:$AG$1001,MATCH(ROWS($AF$2:AF852),$AF$2:$AF$1001,0),1)&gt;=100000,INDEX($AM$1005:$BM$1005,1,MATCH(COLUMNS($AM$1006:BG1006),$AM$1006:$BM$1006,0))&gt;=100000), " ",IF(INDEX($AM$2:$BM$1001,MATCH(ROWS($AF$2:AF852),$AF$2:$AF$1001,0),MATCH(COLUMNS($AM$1006:BG1006),$AM$1006:$BM$1006,0)), HYPERLINK("#",""), HYPERLINK(CONCATENATE("#metadata!", ADDRESS(INDEX($AH$2:$AH$1001,MATCH(ROWS($AF$2:AF852),$AF$2:$AF$1001,0),0), INDEX($AM$1004:$BM$1004,1,MATCH(COLUMNS($AM$1006:BG1006),$AM$1006:$BM$1006,0)))),"Fix")))</f>
        <v xml:space="preserve"> </v>
      </c>
      <c r="W852" s="4" t="str">
        <f ca="1">IF(OR(INDEX($AG$2:$AG$1001,MATCH(ROWS($AF$2:AF852),$AF$2:$AF$1001,0),1)&gt;=100000,INDEX($AM$1005:$BM$1005,1,MATCH(COLUMNS($AM$1006:BH1006),$AM$1006:$BM$1006,0))&gt;=100000), " ",IF(INDEX($AM$2:$BM$1001,MATCH(ROWS($AF$2:AF852),$AF$2:$AF$1001,0),MATCH(COLUMNS($AM$1006:BH1006),$AM$1006:$BM$1006,0)), HYPERLINK("#",""), HYPERLINK(CONCATENATE("#metadata!", ADDRESS(INDEX($AH$2:$AH$1001,MATCH(ROWS($AF$2:AF852),$AF$2:$AF$1001,0),0), INDEX($AM$1004:$BM$1004,1,MATCH(COLUMNS($AM$1006:BH1006),$AM$1006:$BM$1006,0)))),"Fix")))</f>
        <v xml:space="preserve"> </v>
      </c>
      <c r="X852" s="4" t="str">
        <f ca="1">IF(OR(INDEX($AG$2:$AG$1001,MATCH(ROWS($AF$2:AF852),$AF$2:$AF$1001,0),1)&gt;=100000,INDEX($AM$1005:$BM$1005,1,MATCH(COLUMNS($AM$1006:BI1006),$AM$1006:$BM$1006,0))&gt;=100000), " ",IF(INDEX($AM$2:$BM$1001,MATCH(ROWS($AF$2:AF852),$AF$2:$AF$1001,0),MATCH(COLUMNS($AM$1006:BI1006),$AM$1006:$BM$1006,0)), HYPERLINK("#",""), HYPERLINK(CONCATENATE("#metadata!", ADDRESS(INDEX($AH$2:$AH$1001,MATCH(ROWS($AF$2:AF852),$AF$2:$AF$1001,0),0), INDEX($AM$1004:$BM$1004,1,MATCH(COLUMNS($AM$1006:BI1006),$AM$1006:$BM$1006,0)))),"Fix")))</f>
        <v xml:space="preserve"> </v>
      </c>
      <c r="Y852" s="4" t="str">
        <f ca="1">IF(OR(INDEX($AG$2:$AG$1001,MATCH(ROWS($AF$2:AF852),$AF$2:$AF$1001,0),1)&gt;=100000,INDEX($AM$1005:$BM$1005,1,MATCH(COLUMNS($AM$1006:BJ1006),$AM$1006:$BM$1006,0))&gt;=100000), " ",IF(INDEX($AM$2:$BM$1001,MATCH(ROWS($AF$2:AF852),$AF$2:$AF$1001,0),MATCH(COLUMNS($AM$1006:BJ1006),$AM$1006:$BM$1006,0)), HYPERLINK("#",""), HYPERLINK(CONCATENATE("#metadata!", ADDRESS(INDEX($AH$2:$AH$1001,MATCH(ROWS($AF$2:AF852),$AF$2:$AF$1001,0),0), INDEX($AM$1004:$BM$1004,1,MATCH(COLUMNS($AM$1006:BJ1006),$AM$1006:$BM$1006,0)))),"Fix")))</f>
        <v xml:space="preserve"> </v>
      </c>
      <c r="Z852" s="4" t="str">
        <f ca="1">IF(OR(INDEX($AG$2:$AG$1001,MATCH(ROWS($AF$2:AF852),$AF$2:$AF$1001,0),1)&gt;=100000,INDEX($AM$1005:$BM$1005,1,MATCH(COLUMNS($AM$1006:BK1006),$AM$1006:$BM$1006,0))&gt;=100000), " ",IF(INDEX($AM$2:$BM$1001,MATCH(ROWS($AF$2:AF852),$AF$2:$AF$1001,0),MATCH(COLUMNS($AM$1006:BK1006),$AM$1006:$BM$1006,0)), HYPERLINK("#",""), HYPERLINK(CONCATENATE("#metadata!", ADDRESS(INDEX($AH$2:$AH$1001,MATCH(ROWS($AF$2:AF852),$AF$2:$AF$1001,0),0), INDEX($AM$1004:$BM$1004,1,MATCH(COLUMNS($AM$1006:BK1006),$AM$1006:$BM$1006,0)))),"Fix")))</f>
        <v xml:space="preserve"> </v>
      </c>
      <c r="AA852" s="4" t="str">
        <f ca="1">IF(OR(INDEX($AG$2:$AG$1001,MATCH(ROWS($AF$2:AF852),$AF$2:$AF$1001,0),1)&gt;=100000,INDEX($AM$1005:$BM$1005,1,MATCH(COLUMNS($AM$1006:BL1006),$AM$1006:$BM$1006,0))&gt;=100000), " ",IF(INDEX($AM$2:$BM$1001,MATCH(ROWS($AF$2:AF852),$AF$2:$AF$1001,0),MATCH(COLUMNS($AM$1006:BL1006),$AM$1006:$BM$1006,0)), HYPERLINK("#",""), HYPERLINK(CONCATENATE("#metadata!", ADDRESS(INDEX($AH$2:$AH$1001,MATCH(ROWS($AF$2:AF852),$AF$2:$AF$1001,0),0), INDEX($AM$1004:$BM$1004,1,MATCH(COLUMNS($AM$1006:BL1006),$AM$1006:$BM$1006,0)))),"Fix")))</f>
        <v xml:space="preserve"> </v>
      </c>
      <c r="AB852" s="4" t="str">
        <f ca="1">IF(OR(INDEX($AG$2:$AG$1001,MATCH(ROWS($AF$2:AF852),$AF$2:$AF$1001,0),1)&gt;=100000,INDEX($AM$1005:$BM$1005,1,MATCH(COLUMNS($AM$1006:BM1006),$AM$1006:$BM$1006,0))&gt;=100000), " ",IF(INDEX($AM$2:$BM$1001,MATCH(ROWS($AF$2:AF852),$AF$2:$AF$1001,0),MATCH(COLUMNS($AM$1006:BM1006),$AM$1006:$BM$1006,0)), HYPERLINK("#",""), HYPERLINK(CONCATENATE("#metadata!", ADDRESS(INDEX($AH$2:$AH$1001,MATCH(ROWS($AF$2:AF852),$AF$2:$AF$1001,0),0), INDEX($AM$1004:$BM$1004,1,MATCH(COLUMNS($AM$1006:BM1006),$AM$1006:$BM$1006,0)))),"Fix")))</f>
        <v xml:space="preserve"> </v>
      </c>
      <c r="AF852">
        <v>851</v>
      </c>
      <c r="AG852">
        <v>100852</v>
      </c>
      <c r="AH852">
        <v>852</v>
      </c>
      <c r="AI852" t="b">
        <f t="shared" si="13"/>
        <v>1</v>
      </c>
      <c r="AJ852" t="b">
        <f>COUNTBLANK(metadata!B852:AB852)=COLUMNS(metadata!B852:AB852)</f>
        <v>1</v>
      </c>
      <c r="AK852" t="str">
        <v/>
      </c>
      <c r="AM852" t="b">
        <f ca="1">AND(IF(metadata!B852="",FALSE,TRUE),COUNTIF(metadata!B:B, metadata!B852) = 1,NOT(ISERROR(SUMPRODUCT(SEARCH(MID(metadata!B852,ROW(INDIRECT("1:"&amp;LEN(metadata!B852))), 1),"0123456789abcdefghijklmnopqrstuvwxyzABCDEFGHIJKLMNOPQRSTUVWXYZ.")))))</f>
        <v>0</v>
      </c>
      <c r="AN852" t="b">
        <f ca="1">OR(AND(IF(metadata!C852="",FALSE,TRUE),OR(EXACT(metadata!C852,"missing: not collected"),EXACT(metadata!C852,"missing: not provided"),EXACT(metadata!C852,"missing: restricted access"))),AND(IF(metadata!C852="",FALSE,TRUE),AND(AND(IFERROR(INT(LEFT(metadata!C852,4))&gt;1900,FALSE),IFERROR(INT(LEFT(metadata!C852,4))&lt;=YEAR(NOW()),FALSE)), OR(MID(metadata!C852,5,1)="", AND(AND(MID(metadata!C852,5,1)="-",IFERROR(INT(MID(metadata!C852,6,1))&gt;=0,FALSE),IFERROR(INT(MID(metadata!C852,6,1))&lt;=1,FALSE),NOT(MID(metadata!C852,7,1)=""),IFERROR(INT(MID(metadata!C852,6,2))&gt;=1,FALSE),IFERROR(INT(MID(metadata!C852,6,2))&lt;=12,FALSE)), OR(MID(metadata!C852,8,1)="", AND(AND(MID(metadata!C852,8,1)="-",IFERROR(INT(MID(metadata!C852,9,1))&gt;=0,FALSE),IFERROR(INT(MID(metadata!C852,9,1))&lt;=3,FALSE),NOT(MID(metadata!C852,10,1)=""),IFERROR(INT(MID(metadata!C852,9,2))&gt;=1,FALSE),IFERROR(INT(MID(metadata!C852,9,2))&lt;=31,FALSE)), OR(MID(metadata!C852,11,1)="", AND(AND(MID(metadata!C852,11,1)=" ",IFERROR(INT(MID(metadata!C852,12,1))&gt;=0,FALSE),IFERROR(INT(MID(metadata!C852,12,1))&lt;=2,FALSE),NOT(MID(metadata!C852,13,1)=""),IFERROR(INT(MID(metadata!C852,12,2))&gt;=0,FALSE),IFERROR(INT(MID(metadata!C852,12,2))&lt;=23,FALSE)), OR(MID(metadata!C852,14,1)="", AND(AND(MID(metadata!C852,14,1)=":",IFERROR(INT(MID(metadata!C852,15,1))&gt;=0,FALSE),IFERROR(INT(MID(metadata!C852,15,1))&lt;=5,FALSE),NOT(MID(metadata!C852,16,1)=""),IFERROR(INT(MID(metadata!C852,15,2))&gt;=0,FALSE),IFERROR(INT(MID(metadata!C852,15,2))&lt;=59,FALSE)), OR(MID(metadata!C852,17,1)="", AND(AND(MID(metadata!C852,17,1)=":",IFERROR(INT(MID(metadata!C852,18,1))&gt;=0,FALSE),IFERROR(INT(MID(metadata!C852,18,1))&lt;=5,FALSE),NOT(MID(metadata!C852,19,1)=""),IFERROR(INT(MID(metadata!C852,18,2))&gt;=0,FALSE),IFERROR(INT(MID(metadata!C852,18,2))&lt;=59,FALSE)), LEN(metadata!C852)&lt;=19)))))))))))))</f>
        <v>0</v>
      </c>
      <c r="AO852" t="b">
        <f>AND(IF(metadata!D852="",FALSE,TRUE),EXACT(metadata!D852,"Not applicable"))</f>
        <v>0</v>
      </c>
      <c r="AP852" t="b">
        <f>IF(metadata!E852="",FALSE,TRUE)</f>
        <v>0</v>
      </c>
      <c r="AQ852" t="b">
        <f>OR(AND(IF(metadata!F852="",FALSE,TRUE),OR(EXACT(metadata!F852,"missing: not collected"),EXACT(metadata!F852,"missing: not provided"))),AND(IF(metadata!F852="",FALSE,TRUE),OR(EXACT(metadata!F852,"TRUE"),EXACT(metadata!F852,"FALSE"))))</f>
        <v>0</v>
      </c>
      <c r="AR852" t="b">
        <f>OR(AND(IF(metadata!G852="",FALSE,TRUE),OR(EXACT(metadata!G852,"missing: not collected"),EXACT(metadata!G852,"missing: not provided"),EXACT(metadata!G852,"missing: restricted access"))),AND(IF(metadata!G852="",FALSE,ISNUMBER(VALUE(metadata!G852))),metadata!G852&gt;=-413))</f>
        <v>0</v>
      </c>
      <c r="AS852" t="b">
        <f>AND(IF(metadata!H852="",FALSE,TRUE),EXACT(metadata!H852,"meters"))</f>
        <v>0</v>
      </c>
      <c r="AT852" t="b">
        <f>AND(IF(metadata!I852="",FALSE,TRUE),OR(EXACT(metadata!I852,"Host-associated"),EXACT(metadata!I852,"Free-living")))</f>
        <v>0</v>
      </c>
      <c r="AU852" t="b">
        <f>AND(IF(metadata!J852="",FALSE,TRUE),OR(EXACT(metadata!J852,"Animal"),EXACT(metadata!J852,"Fungus"),EXACT(metadata!J852,"Plant"),EXACT(metadata!J852,"Saline"),EXACT(metadata!J852,"Non-saline")))</f>
        <v>0</v>
      </c>
      <c r="AV852" t="b">
        <f>AND(IF(metadata!K852="",FALSE,TRUE),OR(EXACT(metadata!K852,"Plant secretion"),EXACT(metadata!K852,"Plant rhizosphere"),EXACT(metadata!K852,"Plant surface"),EXACT(metadata!K852,"Plant corpus"),EXACT(metadata!K852,"Fungus surface"),EXACT(metadata!K852,"Fungus corpus"),EXACT(metadata!K852,"Animal surface"),EXACT(metadata!K852,"Animal proximal gut"),EXACT(metadata!K852,"Animal corpus"),EXACT(metadata!K852,"Animal distal gut"),EXACT(metadata!K852,"Animal secretion"),EXACT(metadata!K852,"Sub-surface (non-saline)"),EXACT(metadata!K852,"Surface (non-saline)"),EXACT(metadata!K852,"Water (non-saline)"),EXACT(metadata!K852,"Soil (non-saline)"),EXACT(metadata!K852,"Aerosol (non-saline)"),EXACT(metadata!K852,"Sediment (non-saline)"),EXACT(metadata!K852,"Surface (saline)"),EXACT(metadata!K852,"Water (saline)"),EXACT(metadata!K852,"Hypersaline (saline)"),EXACT(metadata!K852,"Aerosol (saline)"),EXACT(metadata!K852,"Sediment (saline)")))</f>
        <v>0</v>
      </c>
      <c r="AW852" t="b">
        <f>IF(metadata!L852="",FALSE,TRUE)</f>
        <v>0</v>
      </c>
      <c r="AX852" t="b">
        <f>IF(metadata!M852="",FALSE,TRUE)</f>
        <v>0</v>
      </c>
      <c r="AY852" t="b">
        <f>IF(metadata!N852="",FALSE,TRUE)</f>
        <v>0</v>
      </c>
      <c r="AZ852" t="b">
        <f>OR(AND(IF(metadata!O852="",FALSE,TRUE),OR(EXACT(metadata!O852,"missing: not collected"),EXACT(metadata!O852,"missing: not provided"),EXACT(metadata!O852,"missing: restricted access"))),AND(IF(metadata!O852="",FALSE,TRUE),OR(EXACT(metadata!O852,"air"),EXACT(metadata!O852,"built environment"),EXACT(metadata!O852,"host-associated"),EXACT(metadata!O852,"human-associated"),EXACT(metadata!O852,"human-skin"),EXACT(metadata!O852,"human-oral"),EXACT(metadata!O852,"human-gut"),EXACT(metadata!O852,"human-vaginal"),EXACT(metadata!O852,"microbial mat/biofilm"),EXACT(metadata!O852,"misc environment"),EXACT(metadata!O852,"plant-associated"),EXACT(metadata!O852,"sediment"),EXACT(metadata!O852,"soil"),EXACT(metadata!O852,"wastewater/sludge"),EXACT(metadata!O852,"water"))))</f>
        <v>0</v>
      </c>
      <c r="BA852" t="b">
        <f>IF(metadata!P852="",FALSE,TRUE)</f>
        <v>0</v>
      </c>
      <c r="BB852" t="b">
        <f>IF(metadata!Q852="",FALSE,TRUE)</f>
        <v>0</v>
      </c>
      <c r="BC852" t="b">
        <f>OR(AND(IF(metadata!R852="",FALSE,TRUE),OR(EXACT(metadata!R852,"missing: not collected"),EXACT(metadata!R852,"missing: not provided"),EXACT(metadata!R852,"missing: restricted access"))),AND(IF(metadata!R852="",FALSE,ISNUMBER(VALUE(metadata!R852))),metadata!R852&gt;=-90,metadata!R852&lt;=90))</f>
        <v>0</v>
      </c>
      <c r="BD852" t="b">
        <f>AND(IF(metadata!S852="",FALSE,TRUE),EXACT(metadata!S852,"Decimal degrees"))</f>
        <v>0</v>
      </c>
      <c r="BE852" t="b">
        <f>OR(AND(IF(metadata!T852="",FALSE,TRUE),OR(EXACT(metadata!T852,"missing: not collected"),EXACT(metadata!T852,"missing: not provided"),EXACT(metadata!T852,"missing: restricted access"))),AND(IF(metadata!T852="",FALSE,ISNUMBER(VALUE(metadata!T852))),metadata!T852&gt;=-180,metadata!T852&lt;=180))</f>
        <v>0</v>
      </c>
      <c r="BF852" t="b">
        <f>AND(IF(metadata!U852="",FALSE,TRUE),EXACT(metadata!U852,"Decimal degrees"))</f>
        <v>0</v>
      </c>
      <c r="BG852" t="b">
        <f>IF(metadata!V852="",FALSE,TRUE)</f>
        <v>0</v>
      </c>
      <c r="BH852" t="b">
        <f>OR(AND(IF(metadata!W852="",FALSE,TRUE),OR(EXACT(metadata!W852,"missing: not collected"),EXACT(metadata!W852,"missing: not provided"),EXACT(metadata!W852,"missing: restricted access"))),AND(IF(metadata!W852="",FALSE,TRUE),OR(EXACT(metadata!W852,"TRUE"),EXACT(metadata!W852,"FALSE"))))</f>
        <v>0</v>
      </c>
      <c r="BI852" t="b">
        <f>AND(IF(metadata!X852="",FALSE,TRUE),EXACT(metadata!X852,"other"))</f>
        <v>0</v>
      </c>
      <c r="BJ852" t="b">
        <f>IF(metadata!Y852="",FALSE,TRUE)</f>
        <v>0</v>
      </c>
      <c r="BK852" t="b">
        <f>OR(AND(IF(metadata!Z852="",FALSE,TRUE),OR(EXACT(metadata!Z852,"missing: not collected"),EXACT(metadata!Z852,"missing: not provided"))),AND(IF(metadata!Z852="",FALSE,IF(ISERROR(INT(metadata!Z852)),FALSE,INT(metadata!Z852)=metadata!Z852)),metadata!Z852&gt;0))</f>
        <v>0</v>
      </c>
      <c r="BL852" t="b">
        <f>AND(IF(metadata!AA852="",FALSE,TRUE),EXACT(metadata!AA852,"Not applicable"))</f>
        <v>0</v>
      </c>
      <c r="BM852" t="b">
        <f>IF(metadata!AB852="",FALSE,TRUE)</f>
        <v>0</v>
      </c>
    </row>
    <row r="853" spans="1:65" x14ac:dyDescent="0.2">
      <c r="A853" s="5" t="str">
        <f ca="1">IF(B853=" "," ",HYPERLINK(CONCATENATE("#metadata!",ADDRESS(INDEX($AH$2:$AH$1001,MATCH(ROWS($AF$2:AF853),$AF$2:$AF$1001,0),0),1)),INDEX($AK$2:$AK$1001,MATCH(ROWS($AF$2:AF853),$AF$2:$AF$1001,0),0)))</f>
        <v xml:space="preserve"> </v>
      </c>
      <c r="B853" s="4" t="str">
        <f ca="1">IF(OR(INDEX($AG$2:$AG$1001,MATCH(ROWS($AF$2:AF853),$AF$2:$AF$1001,0),1)&gt;=100000,INDEX($AM$1005:$BM$1005,1,MATCH(COLUMNS($AM$1006:AM1006),$AM$1006:$BM$1006,0))&gt;=100000), " ",IF(INDEX($AM$2:$BM$1001,MATCH(ROWS($AF$2:AF853),$AF$2:$AF$1001,0),MATCH(COLUMNS($AM$1006:AM1006),$AM$1006:$BM$1006,0)), HYPERLINK("#",""), HYPERLINK(CONCATENATE("#metadata!", ADDRESS(INDEX($AH$2:$AH$1001,MATCH(ROWS($AF$2:AF853),$AF$2:$AF$1001,0),0), INDEX($AM$1004:$BM$1004,1,MATCH(COLUMNS($AM$1006:AM1006),$AM$1006:$BM$1006,0)))),"Fix")))</f>
        <v xml:space="preserve"> </v>
      </c>
      <c r="C853" s="4" t="str">
        <f ca="1">IF(OR(INDEX($AG$2:$AG$1001,MATCH(ROWS($AF$2:AF853),$AF$2:$AF$1001,0),1)&gt;=100000,INDEX($AM$1005:$BM$1005,1,MATCH(COLUMNS($AM$1006:AN1006),$AM$1006:$BM$1006,0))&gt;=100000), " ",IF(INDEX($AM$2:$BM$1001,MATCH(ROWS($AF$2:AF853),$AF$2:$AF$1001,0),MATCH(COLUMNS($AM$1006:AN1006),$AM$1006:$BM$1006,0)), HYPERLINK("#",""), HYPERLINK(CONCATENATE("#metadata!", ADDRESS(INDEX($AH$2:$AH$1001,MATCH(ROWS($AF$2:AF853),$AF$2:$AF$1001,0),0), INDEX($AM$1004:$BM$1004,1,MATCH(COLUMNS($AM$1006:AN1006),$AM$1006:$BM$1006,0)))),"Fix")))</f>
        <v xml:space="preserve"> </v>
      </c>
      <c r="D853" s="4" t="str">
        <f ca="1">IF(OR(INDEX($AG$2:$AG$1001,MATCH(ROWS($AF$2:AF853),$AF$2:$AF$1001,0),1)&gt;=100000,INDEX($AM$1005:$BM$1005,1,MATCH(COLUMNS($AM$1006:AO1006),$AM$1006:$BM$1006,0))&gt;=100000), " ",IF(INDEX($AM$2:$BM$1001,MATCH(ROWS($AF$2:AF853),$AF$2:$AF$1001,0),MATCH(COLUMNS($AM$1006:AO1006),$AM$1006:$BM$1006,0)), HYPERLINK("#",""), HYPERLINK(CONCATENATE("#metadata!", ADDRESS(INDEX($AH$2:$AH$1001,MATCH(ROWS($AF$2:AF853),$AF$2:$AF$1001,0),0), INDEX($AM$1004:$BM$1004,1,MATCH(COLUMNS($AM$1006:AO1006),$AM$1006:$BM$1006,0)))),"Fix")))</f>
        <v xml:space="preserve"> </v>
      </c>
      <c r="E853" s="4" t="str">
        <f ca="1">IF(OR(INDEX($AG$2:$AG$1001,MATCH(ROWS($AF$2:AF853),$AF$2:$AF$1001,0),1)&gt;=100000,INDEX($AM$1005:$BM$1005,1,MATCH(COLUMNS($AM$1006:AP1006),$AM$1006:$BM$1006,0))&gt;=100000), " ",IF(INDEX($AM$2:$BM$1001,MATCH(ROWS($AF$2:AF853),$AF$2:$AF$1001,0),MATCH(COLUMNS($AM$1006:AP1006),$AM$1006:$BM$1006,0)), HYPERLINK("#",""), HYPERLINK(CONCATENATE("#metadata!", ADDRESS(INDEX($AH$2:$AH$1001,MATCH(ROWS($AF$2:AF853),$AF$2:$AF$1001,0),0), INDEX($AM$1004:$BM$1004,1,MATCH(COLUMNS($AM$1006:AP1006),$AM$1006:$BM$1006,0)))),"Fix")))</f>
        <v xml:space="preserve"> </v>
      </c>
      <c r="F853" s="4" t="str">
        <f ca="1">IF(OR(INDEX($AG$2:$AG$1001,MATCH(ROWS($AF$2:AF853),$AF$2:$AF$1001,0),1)&gt;=100000,INDEX($AM$1005:$BM$1005,1,MATCH(COLUMNS($AM$1006:AQ1006),$AM$1006:$BM$1006,0))&gt;=100000), " ",IF(INDEX($AM$2:$BM$1001,MATCH(ROWS($AF$2:AF853),$AF$2:$AF$1001,0),MATCH(COLUMNS($AM$1006:AQ1006),$AM$1006:$BM$1006,0)), HYPERLINK("#",""), HYPERLINK(CONCATENATE("#metadata!", ADDRESS(INDEX($AH$2:$AH$1001,MATCH(ROWS($AF$2:AF853),$AF$2:$AF$1001,0),0), INDEX($AM$1004:$BM$1004,1,MATCH(COLUMNS($AM$1006:AQ1006),$AM$1006:$BM$1006,0)))),"Fix")))</f>
        <v xml:space="preserve"> </v>
      </c>
      <c r="G853" s="4" t="str">
        <f ca="1">IF(OR(INDEX($AG$2:$AG$1001,MATCH(ROWS($AF$2:AF853),$AF$2:$AF$1001,0),1)&gt;=100000,INDEX($AM$1005:$BM$1005,1,MATCH(COLUMNS($AM$1006:AR1006),$AM$1006:$BM$1006,0))&gt;=100000), " ",IF(INDEX($AM$2:$BM$1001,MATCH(ROWS($AF$2:AF853),$AF$2:$AF$1001,0),MATCH(COLUMNS($AM$1006:AR1006),$AM$1006:$BM$1006,0)), HYPERLINK("#",""), HYPERLINK(CONCATENATE("#metadata!", ADDRESS(INDEX($AH$2:$AH$1001,MATCH(ROWS($AF$2:AF853),$AF$2:$AF$1001,0),0), INDEX($AM$1004:$BM$1004,1,MATCH(COLUMNS($AM$1006:AR1006),$AM$1006:$BM$1006,0)))),"Fix")))</f>
        <v xml:space="preserve"> </v>
      </c>
      <c r="H853" s="4" t="str">
        <f ca="1">IF(OR(INDEX($AG$2:$AG$1001,MATCH(ROWS($AF$2:AF853),$AF$2:$AF$1001,0),1)&gt;=100000,INDEX($AM$1005:$BM$1005,1,MATCH(COLUMNS($AM$1006:AS1006),$AM$1006:$BM$1006,0))&gt;=100000), " ",IF(INDEX($AM$2:$BM$1001,MATCH(ROWS($AF$2:AF853),$AF$2:$AF$1001,0),MATCH(COLUMNS($AM$1006:AS1006),$AM$1006:$BM$1006,0)), HYPERLINK("#",""), HYPERLINK(CONCATENATE("#metadata!", ADDRESS(INDEX($AH$2:$AH$1001,MATCH(ROWS($AF$2:AF853),$AF$2:$AF$1001,0),0), INDEX($AM$1004:$BM$1004,1,MATCH(COLUMNS($AM$1006:AS1006),$AM$1006:$BM$1006,0)))),"Fix")))</f>
        <v xml:space="preserve"> </v>
      </c>
      <c r="I853" s="4" t="str">
        <f ca="1">IF(OR(INDEX($AG$2:$AG$1001,MATCH(ROWS($AF$2:AF853),$AF$2:$AF$1001,0),1)&gt;=100000,INDEX($AM$1005:$BM$1005,1,MATCH(COLUMNS($AM$1006:AT1006),$AM$1006:$BM$1006,0))&gt;=100000), " ",IF(INDEX($AM$2:$BM$1001,MATCH(ROWS($AF$2:AF853),$AF$2:$AF$1001,0),MATCH(COLUMNS($AM$1006:AT1006),$AM$1006:$BM$1006,0)), HYPERLINK("#",""), HYPERLINK(CONCATENATE("#metadata!", ADDRESS(INDEX($AH$2:$AH$1001,MATCH(ROWS($AF$2:AF853),$AF$2:$AF$1001,0),0), INDEX($AM$1004:$BM$1004,1,MATCH(COLUMNS($AM$1006:AT1006),$AM$1006:$BM$1006,0)))),"Fix")))</f>
        <v xml:space="preserve"> </v>
      </c>
      <c r="J853" s="4" t="str">
        <f ca="1">IF(OR(INDEX($AG$2:$AG$1001,MATCH(ROWS($AF$2:AF853),$AF$2:$AF$1001,0),1)&gt;=100000,INDEX($AM$1005:$BM$1005,1,MATCH(COLUMNS($AM$1006:AU1006),$AM$1006:$BM$1006,0))&gt;=100000), " ",IF(INDEX($AM$2:$BM$1001,MATCH(ROWS($AF$2:AF853),$AF$2:$AF$1001,0),MATCH(COLUMNS($AM$1006:AU1006),$AM$1006:$BM$1006,0)), HYPERLINK("#",""), HYPERLINK(CONCATENATE("#metadata!", ADDRESS(INDEX($AH$2:$AH$1001,MATCH(ROWS($AF$2:AF853),$AF$2:$AF$1001,0),0), INDEX($AM$1004:$BM$1004,1,MATCH(COLUMNS($AM$1006:AU1006),$AM$1006:$BM$1006,0)))),"Fix")))</f>
        <v xml:space="preserve"> </v>
      </c>
      <c r="K853" s="4" t="str">
        <f ca="1">IF(OR(INDEX($AG$2:$AG$1001,MATCH(ROWS($AF$2:AF853),$AF$2:$AF$1001,0),1)&gt;=100000,INDEX($AM$1005:$BM$1005,1,MATCH(COLUMNS($AM$1006:AV1006),$AM$1006:$BM$1006,0))&gt;=100000), " ",IF(INDEX($AM$2:$BM$1001,MATCH(ROWS($AF$2:AF853),$AF$2:$AF$1001,0),MATCH(COLUMNS($AM$1006:AV1006),$AM$1006:$BM$1006,0)), HYPERLINK("#",""), HYPERLINK(CONCATENATE("#metadata!", ADDRESS(INDEX($AH$2:$AH$1001,MATCH(ROWS($AF$2:AF853),$AF$2:$AF$1001,0),0), INDEX($AM$1004:$BM$1004,1,MATCH(COLUMNS($AM$1006:AV1006),$AM$1006:$BM$1006,0)))),"Fix")))</f>
        <v xml:space="preserve"> </v>
      </c>
      <c r="L853" s="4" t="str">
        <f ca="1">IF(OR(INDEX($AG$2:$AG$1001,MATCH(ROWS($AF$2:AF853),$AF$2:$AF$1001,0),1)&gt;=100000,INDEX($AM$1005:$BM$1005,1,MATCH(COLUMNS($AM$1006:AW1006),$AM$1006:$BM$1006,0))&gt;=100000), " ",IF(INDEX($AM$2:$BM$1001,MATCH(ROWS($AF$2:AF853),$AF$2:$AF$1001,0),MATCH(COLUMNS($AM$1006:AW1006),$AM$1006:$BM$1006,0)), HYPERLINK("#",""), HYPERLINK(CONCATENATE("#metadata!", ADDRESS(INDEX($AH$2:$AH$1001,MATCH(ROWS($AF$2:AF853),$AF$2:$AF$1001,0),0), INDEX($AM$1004:$BM$1004,1,MATCH(COLUMNS($AM$1006:AW1006),$AM$1006:$BM$1006,0)))),"Fix")))</f>
        <v xml:space="preserve"> </v>
      </c>
      <c r="M853" s="4" t="str">
        <f ca="1">IF(OR(INDEX($AG$2:$AG$1001,MATCH(ROWS($AF$2:AF853),$AF$2:$AF$1001,0),1)&gt;=100000,INDEX($AM$1005:$BM$1005,1,MATCH(COLUMNS($AM$1006:AX1006),$AM$1006:$BM$1006,0))&gt;=100000), " ",IF(INDEX($AM$2:$BM$1001,MATCH(ROWS($AF$2:AF853),$AF$2:$AF$1001,0),MATCH(COLUMNS($AM$1006:AX1006),$AM$1006:$BM$1006,0)), HYPERLINK("#",""), HYPERLINK(CONCATENATE("#metadata!", ADDRESS(INDEX($AH$2:$AH$1001,MATCH(ROWS($AF$2:AF853),$AF$2:$AF$1001,0),0), INDEX($AM$1004:$BM$1004,1,MATCH(COLUMNS($AM$1006:AX1006),$AM$1006:$BM$1006,0)))),"Fix")))</f>
        <v xml:space="preserve"> </v>
      </c>
      <c r="N853" s="4" t="str">
        <f ca="1">IF(OR(INDEX($AG$2:$AG$1001,MATCH(ROWS($AF$2:AF853),$AF$2:$AF$1001,0),1)&gt;=100000,INDEX($AM$1005:$BM$1005,1,MATCH(COLUMNS($AM$1006:AY1006),$AM$1006:$BM$1006,0))&gt;=100000), " ",IF(INDEX($AM$2:$BM$1001,MATCH(ROWS($AF$2:AF853),$AF$2:$AF$1001,0),MATCH(COLUMNS($AM$1006:AY1006),$AM$1006:$BM$1006,0)), HYPERLINK("#",""), HYPERLINK(CONCATENATE("#metadata!", ADDRESS(INDEX($AH$2:$AH$1001,MATCH(ROWS($AF$2:AF853),$AF$2:$AF$1001,0),0), INDEX($AM$1004:$BM$1004,1,MATCH(COLUMNS($AM$1006:AY1006),$AM$1006:$BM$1006,0)))),"Fix")))</f>
        <v xml:space="preserve"> </v>
      </c>
      <c r="O853" s="4" t="str">
        <f ca="1">IF(OR(INDEX($AG$2:$AG$1001,MATCH(ROWS($AF$2:AF853),$AF$2:$AF$1001,0),1)&gt;=100000,INDEX($AM$1005:$BM$1005,1,MATCH(COLUMNS($AM$1006:AZ1006),$AM$1006:$BM$1006,0))&gt;=100000), " ",IF(INDEX($AM$2:$BM$1001,MATCH(ROWS($AF$2:AF853),$AF$2:$AF$1001,0),MATCH(COLUMNS($AM$1006:AZ1006),$AM$1006:$BM$1006,0)), HYPERLINK("#",""), HYPERLINK(CONCATENATE("#metadata!", ADDRESS(INDEX($AH$2:$AH$1001,MATCH(ROWS($AF$2:AF853),$AF$2:$AF$1001,0),0), INDEX($AM$1004:$BM$1004,1,MATCH(COLUMNS($AM$1006:AZ1006),$AM$1006:$BM$1006,0)))),"Fix")))</f>
        <v xml:space="preserve"> </v>
      </c>
      <c r="P853" s="4" t="str">
        <f ca="1">IF(OR(INDEX($AG$2:$AG$1001,MATCH(ROWS($AF$2:AF853),$AF$2:$AF$1001,0),1)&gt;=100000,INDEX($AM$1005:$BM$1005,1,MATCH(COLUMNS($AM$1006:BA1006),$AM$1006:$BM$1006,0))&gt;=100000), " ",IF(INDEX($AM$2:$BM$1001,MATCH(ROWS($AF$2:AF853),$AF$2:$AF$1001,0),MATCH(COLUMNS($AM$1006:BA1006),$AM$1006:$BM$1006,0)), HYPERLINK("#",""), HYPERLINK(CONCATENATE("#metadata!", ADDRESS(INDEX($AH$2:$AH$1001,MATCH(ROWS($AF$2:AF853),$AF$2:$AF$1001,0),0), INDEX($AM$1004:$BM$1004,1,MATCH(COLUMNS($AM$1006:BA1006),$AM$1006:$BM$1006,0)))),"Fix")))</f>
        <v xml:space="preserve"> </v>
      </c>
      <c r="Q853" s="4" t="str">
        <f ca="1">IF(OR(INDEX($AG$2:$AG$1001,MATCH(ROWS($AF$2:AF853),$AF$2:$AF$1001,0),1)&gt;=100000,INDEX($AM$1005:$BM$1005,1,MATCH(COLUMNS($AM$1006:BB1006),$AM$1006:$BM$1006,0))&gt;=100000), " ",IF(INDEX($AM$2:$BM$1001,MATCH(ROWS($AF$2:AF853),$AF$2:$AF$1001,0),MATCH(COLUMNS($AM$1006:BB1006),$AM$1006:$BM$1006,0)), HYPERLINK("#",""), HYPERLINK(CONCATENATE("#metadata!", ADDRESS(INDEX($AH$2:$AH$1001,MATCH(ROWS($AF$2:AF853),$AF$2:$AF$1001,0),0), INDEX($AM$1004:$BM$1004,1,MATCH(COLUMNS($AM$1006:BB1006),$AM$1006:$BM$1006,0)))),"Fix")))</f>
        <v xml:space="preserve"> </v>
      </c>
      <c r="R853" s="4" t="str">
        <f ca="1">IF(OR(INDEX($AG$2:$AG$1001,MATCH(ROWS($AF$2:AF853),$AF$2:$AF$1001,0),1)&gt;=100000,INDEX($AM$1005:$BM$1005,1,MATCH(COLUMNS($AM$1006:BC1006),$AM$1006:$BM$1006,0))&gt;=100000), " ",IF(INDEX($AM$2:$BM$1001,MATCH(ROWS($AF$2:AF853),$AF$2:$AF$1001,0),MATCH(COLUMNS($AM$1006:BC1006),$AM$1006:$BM$1006,0)), HYPERLINK("#",""), HYPERLINK(CONCATENATE("#metadata!", ADDRESS(INDEX($AH$2:$AH$1001,MATCH(ROWS($AF$2:AF853),$AF$2:$AF$1001,0),0), INDEX($AM$1004:$BM$1004,1,MATCH(COLUMNS($AM$1006:BC1006),$AM$1006:$BM$1006,0)))),"Fix")))</f>
        <v xml:space="preserve"> </v>
      </c>
      <c r="S853" s="4" t="str">
        <f ca="1">IF(OR(INDEX($AG$2:$AG$1001,MATCH(ROWS($AF$2:AF853),$AF$2:$AF$1001,0),1)&gt;=100000,INDEX($AM$1005:$BM$1005,1,MATCH(COLUMNS($AM$1006:BD1006),$AM$1006:$BM$1006,0))&gt;=100000), " ",IF(INDEX($AM$2:$BM$1001,MATCH(ROWS($AF$2:AF853),$AF$2:$AF$1001,0),MATCH(COLUMNS($AM$1006:BD1006),$AM$1006:$BM$1006,0)), HYPERLINK("#",""), HYPERLINK(CONCATENATE("#metadata!", ADDRESS(INDEX($AH$2:$AH$1001,MATCH(ROWS($AF$2:AF853),$AF$2:$AF$1001,0),0), INDEX($AM$1004:$BM$1004,1,MATCH(COLUMNS($AM$1006:BD1006),$AM$1006:$BM$1006,0)))),"Fix")))</f>
        <v xml:space="preserve"> </v>
      </c>
      <c r="T853" s="4" t="str">
        <f ca="1">IF(OR(INDEX($AG$2:$AG$1001,MATCH(ROWS($AF$2:AF853),$AF$2:$AF$1001,0),1)&gt;=100000,INDEX($AM$1005:$BM$1005,1,MATCH(COLUMNS($AM$1006:BE1006),$AM$1006:$BM$1006,0))&gt;=100000), " ",IF(INDEX($AM$2:$BM$1001,MATCH(ROWS($AF$2:AF853),$AF$2:$AF$1001,0),MATCH(COLUMNS($AM$1006:BE1006),$AM$1006:$BM$1006,0)), HYPERLINK("#",""), HYPERLINK(CONCATENATE("#metadata!", ADDRESS(INDEX($AH$2:$AH$1001,MATCH(ROWS($AF$2:AF853),$AF$2:$AF$1001,0),0), INDEX($AM$1004:$BM$1004,1,MATCH(COLUMNS($AM$1006:BE1006),$AM$1006:$BM$1006,0)))),"Fix")))</f>
        <v xml:space="preserve"> </v>
      </c>
      <c r="U853" s="4" t="str">
        <f ca="1">IF(OR(INDEX($AG$2:$AG$1001,MATCH(ROWS($AF$2:AF853),$AF$2:$AF$1001,0),1)&gt;=100000,INDEX($AM$1005:$BM$1005,1,MATCH(COLUMNS($AM$1006:BF1006),$AM$1006:$BM$1006,0))&gt;=100000), " ",IF(INDEX($AM$2:$BM$1001,MATCH(ROWS($AF$2:AF853),$AF$2:$AF$1001,0),MATCH(COLUMNS($AM$1006:BF1006),$AM$1006:$BM$1006,0)), HYPERLINK("#",""), HYPERLINK(CONCATENATE("#metadata!", ADDRESS(INDEX($AH$2:$AH$1001,MATCH(ROWS($AF$2:AF853),$AF$2:$AF$1001,0),0), INDEX($AM$1004:$BM$1004,1,MATCH(COLUMNS($AM$1006:BF1006),$AM$1006:$BM$1006,0)))),"Fix")))</f>
        <v xml:space="preserve"> </v>
      </c>
      <c r="V853" s="4" t="str">
        <f ca="1">IF(OR(INDEX($AG$2:$AG$1001,MATCH(ROWS($AF$2:AF853),$AF$2:$AF$1001,0),1)&gt;=100000,INDEX($AM$1005:$BM$1005,1,MATCH(COLUMNS($AM$1006:BG1006),$AM$1006:$BM$1006,0))&gt;=100000), " ",IF(INDEX($AM$2:$BM$1001,MATCH(ROWS($AF$2:AF853),$AF$2:$AF$1001,0),MATCH(COLUMNS($AM$1006:BG1006),$AM$1006:$BM$1006,0)), HYPERLINK("#",""), HYPERLINK(CONCATENATE("#metadata!", ADDRESS(INDEX($AH$2:$AH$1001,MATCH(ROWS($AF$2:AF853),$AF$2:$AF$1001,0),0), INDEX($AM$1004:$BM$1004,1,MATCH(COLUMNS($AM$1006:BG1006),$AM$1006:$BM$1006,0)))),"Fix")))</f>
        <v xml:space="preserve"> </v>
      </c>
      <c r="W853" s="4" t="str">
        <f ca="1">IF(OR(INDEX($AG$2:$AG$1001,MATCH(ROWS($AF$2:AF853),$AF$2:$AF$1001,0),1)&gt;=100000,INDEX($AM$1005:$BM$1005,1,MATCH(COLUMNS($AM$1006:BH1006),$AM$1006:$BM$1006,0))&gt;=100000), " ",IF(INDEX($AM$2:$BM$1001,MATCH(ROWS($AF$2:AF853),$AF$2:$AF$1001,0),MATCH(COLUMNS($AM$1006:BH1006),$AM$1006:$BM$1006,0)), HYPERLINK("#",""), HYPERLINK(CONCATENATE("#metadata!", ADDRESS(INDEX($AH$2:$AH$1001,MATCH(ROWS($AF$2:AF853),$AF$2:$AF$1001,0),0), INDEX($AM$1004:$BM$1004,1,MATCH(COLUMNS($AM$1006:BH1006),$AM$1006:$BM$1006,0)))),"Fix")))</f>
        <v xml:space="preserve"> </v>
      </c>
      <c r="X853" s="4" t="str">
        <f ca="1">IF(OR(INDEX($AG$2:$AG$1001,MATCH(ROWS($AF$2:AF853),$AF$2:$AF$1001,0),1)&gt;=100000,INDEX($AM$1005:$BM$1005,1,MATCH(COLUMNS($AM$1006:BI1006),$AM$1006:$BM$1006,0))&gt;=100000), " ",IF(INDEX($AM$2:$BM$1001,MATCH(ROWS($AF$2:AF853),$AF$2:$AF$1001,0),MATCH(COLUMNS($AM$1006:BI1006),$AM$1006:$BM$1006,0)), HYPERLINK("#",""), HYPERLINK(CONCATENATE("#metadata!", ADDRESS(INDEX($AH$2:$AH$1001,MATCH(ROWS($AF$2:AF853),$AF$2:$AF$1001,0),0), INDEX($AM$1004:$BM$1004,1,MATCH(COLUMNS($AM$1006:BI1006),$AM$1006:$BM$1006,0)))),"Fix")))</f>
        <v xml:space="preserve"> </v>
      </c>
      <c r="Y853" s="4" t="str">
        <f ca="1">IF(OR(INDEX($AG$2:$AG$1001,MATCH(ROWS($AF$2:AF853),$AF$2:$AF$1001,0),1)&gt;=100000,INDEX($AM$1005:$BM$1005,1,MATCH(COLUMNS($AM$1006:BJ1006),$AM$1006:$BM$1006,0))&gt;=100000), " ",IF(INDEX($AM$2:$BM$1001,MATCH(ROWS($AF$2:AF853),$AF$2:$AF$1001,0),MATCH(COLUMNS($AM$1006:BJ1006),$AM$1006:$BM$1006,0)), HYPERLINK("#",""), HYPERLINK(CONCATENATE("#metadata!", ADDRESS(INDEX($AH$2:$AH$1001,MATCH(ROWS($AF$2:AF853),$AF$2:$AF$1001,0),0), INDEX($AM$1004:$BM$1004,1,MATCH(COLUMNS($AM$1006:BJ1006),$AM$1006:$BM$1006,0)))),"Fix")))</f>
        <v xml:space="preserve"> </v>
      </c>
      <c r="Z853" s="4" t="str">
        <f ca="1">IF(OR(INDEX($AG$2:$AG$1001,MATCH(ROWS($AF$2:AF853),$AF$2:$AF$1001,0),1)&gt;=100000,INDEX($AM$1005:$BM$1005,1,MATCH(COLUMNS($AM$1006:BK1006),$AM$1006:$BM$1006,0))&gt;=100000), " ",IF(INDEX($AM$2:$BM$1001,MATCH(ROWS($AF$2:AF853),$AF$2:$AF$1001,0),MATCH(COLUMNS($AM$1006:BK1006),$AM$1006:$BM$1006,0)), HYPERLINK("#",""), HYPERLINK(CONCATENATE("#metadata!", ADDRESS(INDEX($AH$2:$AH$1001,MATCH(ROWS($AF$2:AF853),$AF$2:$AF$1001,0),0), INDEX($AM$1004:$BM$1004,1,MATCH(COLUMNS($AM$1006:BK1006),$AM$1006:$BM$1006,0)))),"Fix")))</f>
        <v xml:space="preserve"> </v>
      </c>
      <c r="AA853" s="4" t="str">
        <f ca="1">IF(OR(INDEX($AG$2:$AG$1001,MATCH(ROWS($AF$2:AF853),$AF$2:$AF$1001,0),1)&gt;=100000,INDEX($AM$1005:$BM$1005,1,MATCH(COLUMNS($AM$1006:BL1006),$AM$1006:$BM$1006,0))&gt;=100000), " ",IF(INDEX($AM$2:$BM$1001,MATCH(ROWS($AF$2:AF853),$AF$2:$AF$1001,0),MATCH(COLUMNS($AM$1006:BL1006),$AM$1006:$BM$1006,0)), HYPERLINK("#",""), HYPERLINK(CONCATENATE("#metadata!", ADDRESS(INDEX($AH$2:$AH$1001,MATCH(ROWS($AF$2:AF853),$AF$2:$AF$1001,0),0), INDEX($AM$1004:$BM$1004,1,MATCH(COLUMNS($AM$1006:BL1006),$AM$1006:$BM$1006,0)))),"Fix")))</f>
        <v xml:space="preserve"> </v>
      </c>
      <c r="AB853" s="4" t="str">
        <f ca="1">IF(OR(INDEX($AG$2:$AG$1001,MATCH(ROWS($AF$2:AF853),$AF$2:$AF$1001,0),1)&gt;=100000,INDEX($AM$1005:$BM$1005,1,MATCH(COLUMNS($AM$1006:BM1006),$AM$1006:$BM$1006,0))&gt;=100000), " ",IF(INDEX($AM$2:$BM$1001,MATCH(ROWS($AF$2:AF853),$AF$2:$AF$1001,0),MATCH(COLUMNS($AM$1006:BM1006),$AM$1006:$BM$1006,0)), HYPERLINK("#",""), HYPERLINK(CONCATENATE("#metadata!", ADDRESS(INDEX($AH$2:$AH$1001,MATCH(ROWS($AF$2:AF853),$AF$2:$AF$1001,0),0), INDEX($AM$1004:$BM$1004,1,MATCH(COLUMNS($AM$1006:BM1006),$AM$1006:$BM$1006,0)))),"Fix")))</f>
        <v xml:space="preserve"> </v>
      </c>
      <c r="AF853">
        <v>852</v>
      </c>
      <c r="AG853">
        <v>100853</v>
      </c>
      <c r="AH853">
        <v>853</v>
      </c>
      <c r="AI853" t="b">
        <f t="shared" si="13"/>
        <v>1</v>
      </c>
      <c r="AJ853" t="b">
        <f>COUNTBLANK(metadata!B853:AB853)=COLUMNS(metadata!B853:AB853)</f>
        <v>1</v>
      </c>
      <c r="AK853" t="str">
        <v/>
      </c>
      <c r="AM853" t="b">
        <f ca="1">AND(IF(metadata!B853="",FALSE,TRUE),COUNTIF(metadata!B:B, metadata!B853) = 1,NOT(ISERROR(SUMPRODUCT(SEARCH(MID(metadata!B853,ROW(INDIRECT("1:"&amp;LEN(metadata!B853))), 1),"0123456789abcdefghijklmnopqrstuvwxyzABCDEFGHIJKLMNOPQRSTUVWXYZ.")))))</f>
        <v>0</v>
      </c>
      <c r="AN853" t="b">
        <f ca="1">OR(AND(IF(metadata!C853="",FALSE,TRUE),OR(EXACT(metadata!C853,"missing: not collected"),EXACT(metadata!C853,"missing: not provided"),EXACT(metadata!C853,"missing: restricted access"))),AND(IF(metadata!C853="",FALSE,TRUE),AND(AND(IFERROR(INT(LEFT(metadata!C853,4))&gt;1900,FALSE),IFERROR(INT(LEFT(metadata!C853,4))&lt;=YEAR(NOW()),FALSE)), OR(MID(metadata!C853,5,1)="", AND(AND(MID(metadata!C853,5,1)="-",IFERROR(INT(MID(metadata!C853,6,1))&gt;=0,FALSE),IFERROR(INT(MID(metadata!C853,6,1))&lt;=1,FALSE),NOT(MID(metadata!C853,7,1)=""),IFERROR(INT(MID(metadata!C853,6,2))&gt;=1,FALSE),IFERROR(INT(MID(metadata!C853,6,2))&lt;=12,FALSE)), OR(MID(metadata!C853,8,1)="", AND(AND(MID(metadata!C853,8,1)="-",IFERROR(INT(MID(metadata!C853,9,1))&gt;=0,FALSE),IFERROR(INT(MID(metadata!C853,9,1))&lt;=3,FALSE),NOT(MID(metadata!C853,10,1)=""),IFERROR(INT(MID(metadata!C853,9,2))&gt;=1,FALSE),IFERROR(INT(MID(metadata!C853,9,2))&lt;=31,FALSE)), OR(MID(metadata!C853,11,1)="", AND(AND(MID(metadata!C853,11,1)=" ",IFERROR(INT(MID(metadata!C853,12,1))&gt;=0,FALSE),IFERROR(INT(MID(metadata!C853,12,1))&lt;=2,FALSE),NOT(MID(metadata!C853,13,1)=""),IFERROR(INT(MID(metadata!C853,12,2))&gt;=0,FALSE),IFERROR(INT(MID(metadata!C853,12,2))&lt;=23,FALSE)), OR(MID(metadata!C853,14,1)="", AND(AND(MID(metadata!C853,14,1)=":",IFERROR(INT(MID(metadata!C853,15,1))&gt;=0,FALSE),IFERROR(INT(MID(metadata!C853,15,1))&lt;=5,FALSE),NOT(MID(metadata!C853,16,1)=""),IFERROR(INT(MID(metadata!C853,15,2))&gt;=0,FALSE),IFERROR(INT(MID(metadata!C853,15,2))&lt;=59,FALSE)), OR(MID(metadata!C853,17,1)="", AND(AND(MID(metadata!C853,17,1)=":",IFERROR(INT(MID(metadata!C853,18,1))&gt;=0,FALSE),IFERROR(INT(MID(metadata!C853,18,1))&lt;=5,FALSE),NOT(MID(metadata!C853,19,1)=""),IFERROR(INT(MID(metadata!C853,18,2))&gt;=0,FALSE),IFERROR(INT(MID(metadata!C853,18,2))&lt;=59,FALSE)), LEN(metadata!C853)&lt;=19)))))))))))))</f>
        <v>0</v>
      </c>
      <c r="AO853" t="b">
        <f>AND(IF(metadata!D853="",FALSE,TRUE),EXACT(metadata!D853,"Not applicable"))</f>
        <v>0</v>
      </c>
      <c r="AP853" t="b">
        <f>IF(metadata!E853="",FALSE,TRUE)</f>
        <v>0</v>
      </c>
      <c r="AQ853" t="b">
        <f>OR(AND(IF(metadata!F853="",FALSE,TRUE),OR(EXACT(metadata!F853,"missing: not collected"),EXACT(metadata!F853,"missing: not provided"))),AND(IF(metadata!F853="",FALSE,TRUE),OR(EXACT(metadata!F853,"TRUE"),EXACT(metadata!F853,"FALSE"))))</f>
        <v>0</v>
      </c>
      <c r="AR853" t="b">
        <f>OR(AND(IF(metadata!G853="",FALSE,TRUE),OR(EXACT(metadata!G853,"missing: not collected"),EXACT(metadata!G853,"missing: not provided"),EXACT(metadata!G853,"missing: restricted access"))),AND(IF(metadata!G853="",FALSE,ISNUMBER(VALUE(metadata!G853))),metadata!G853&gt;=-413))</f>
        <v>0</v>
      </c>
      <c r="AS853" t="b">
        <f>AND(IF(metadata!H853="",FALSE,TRUE),EXACT(metadata!H853,"meters"))</f>
        <v>0</v>
      </c>
      <c r="AT853" t="b">
        <f>AND(IF(metadata!I853="",FALSE,TRUE),OR(EXACT(metadata!I853,"Host-associated"),EXACT(metadata!I853,"Free-living")))</f>
        <v>0</v>
      </c>
      <c r="AU853" t="b">
        <f>AND(IF(metadata!J853="",FALSE,TRUE),OR(EXACT(metadata!J853,"Animal"),EXACT(metadata!J853,"Fungus"),EXACT(metadata!J853,"Plant"),EXACT(metadata!J853,"Saline"),EXACT(metadata!J853,"Non-saline")))</f>
        <v>0</v>
      </c>
      <c r="AV853" t="b">
        <f>AND(IF(metadata!K853="",FALSE,TRUE),OR(EXACT(metadata!K853,"Plant secretion"),EXACT(metadata!K853,"Plant rhizosphere"),EXACT(metadata!K853,"Plant surface"),EXACT(metadata!K853,"Plant corpus"),EXACT(metadata!K853,"Fungus surface"),EXACT(metadata!K853,"Fungus corpus"),EXACT(metadata!K853,"Animal surface"),EXACT(metadata!K853,"Animal proximal gut"),EXACT(metadata!K853,"Animal corpus"),EXACT(metadata!K853,"Animal distal gut"),EXACT(metadata!K853,"Animal secretion"),EXACT(metadata!K853,"Sub-surface (non-saline)"),EXACT(metadata!K853,"Surface (non-saline)"),EXACT(metadata!K853,"Water (non-saline)"),EXACT(metadata!K853,"Soil (non-saline)"),EXACT(metadata!K853,"Aerosol (non-saline)"),EXACT(metadata!K853,"Sediment (non-saline)"),EXACT(metadata!K853,"Surface (saline)"),EXACT(metadata!K853,"Water (saline)"),EXACT(metadata!K853,"Hypersaline (saline)"),EXACT(metadata!K853,"Aerosol (saline)"),EXACT(metadata!K853,"Sediment (saline)")))</f>
        <v>0</v>
      </c>
      <c r="AW853" t="b">
        <f>IF(metadata!L853="",FALSE,TRUE)</f>
        <v>0</v>
      </c>
      <c r="AX853" t="b">
        <f>IF(metadata!M853="",FALSE,TRUE)</f>
        <v>0</v>
      </c>
      <c r="AY853" t="b">
        <f>IF(metadata!N853="",FALSE,TRUE)</f>
        <v>0</v>
      </c>
      <c r="AZ853" t="b">
        <f>OR(AND(IF(metadata!O853="",FALSE,TRUE),OR(EXACT(metadata!O853,"missing: not collected"),EXACT(metadata!O853,"missing: not provided"),EXACT(metadata!O853,"missing: restricted access"))),AND(IF(metadata!O853="",FALSE,TRUE),OR(EXACT(metadata!O853,"air"),EXACT(metadata!O853,"built environment"),EXACT(metadata!O853,"host-associated"),EXACT(metadata!O853,"human-associated"),EXACT(metadata!O853,"human-skin"),EXACT(metadata!O853,"human-oral"),EXACT(metadata!O853,"human-gut"),EXACT(metadata!O853,"human-vaginal"),EXACT(metadata!O853,"microbial mat/biofilm"),EXACT(metadata!O853,"misc environment"),EXACT(metadata!O853,"plant-associated"),EXACT(metadata!O853,"sediment"),EXACT(metadata!O853,"soil"),EXACT(metadata!O853,"wastewater/sludge"),EXACT(metadata!O853,"water"))))</f>
        <v>0</v>
      </c>
      <c r="BA853" t="b">
        <f>IF(metadata!P853="",FALSE,TRUE)</f>
        <v>0</v>
      </c>
      <c r="BB853" t="b">
        <f>IF(metadata!Q853="",FALSE,TRUE)</f>
        <v>0</v>
      </c>
      <c r="BC853" t="b">
        <f>OR(AND(IF(metadata!R853="",FALSE,TRUE),OR(EXACT(metadata!R853,"missing: not collected"),EXACT(metadata!R853,"missing: not provided"),EXACT(metadata!R853,"missing: restricted access"))),AND(IF(metadata!R853="",FALSE,ISNUMBER(VALUE(metadata!R853))),metadata!R853&gt;=-90,metadata!R853&lt;=90))</f>
        <v>0</v>
      </c>
      <c r="BD853" t="b">
        <f>AND(IF(metadata!S853="",FALSE,TRUE),EXACT(metadata!S853,"Decimal degrees"))</f>
        <v>0</v>
      </c>
      <c r="BE853" t="b">
        <f>OR(AND(IF(metadata!T853="",FALSE,TRUE),OR(EXACT(metadata!T853,"missing: not collected"),EXACT(metadata!T853,"missing: not provided"),EXACT(metadata!T853,"missing: restricted access"))),AND(IF(metadata!T853="",FALSE,ISNUMBER(VALUE(metadata!T853))),metadata!T853&gt;=-180,metadata!T853&lt;=180))</f>
        <v>0</v>
      </c>
      <c r="BF853" t="b">
        <f>AND(IF(metadata!U853="",FALSE,TRUE),EXACT(metadata!U853,"Decimal degrees"))</f>
        <v>0</v>
      </c>
      <c r="BG853" t="b">
        <f>IF(metadata!V853="",FALSE,TRUE)</f>
        <v>0</v>
      </c>
      <c r="BH853" t="b">
        <f>OR(AND(IF(metadata!W853="",FALSE,TRUE),OR(EXACT(metadata!W853,"missing: not collected"),EXACT(metadata!W853,"missing: not provided"),EXACT(metadata!W853,"missing: restricted access"))),AND(IF(metadata!W853="",FALSE,TRUE),OR(EXACT(metadata!W853,"TRUE"),EXACT(metadata!W853,"FALSE"))))</f>
        <v>0</v>
      </c>
      <c r="BI853" t="b">
        <f>AND(IF(metadata!X853="",FALSE,TRUE),EXACT(metadata!X853,"other"))</f>
        <v>0</v>
      </c>
      <c r="BJ853" t="b">
        <f>IF(metadata!Y853="",FALSE,TRUE)</f>
        <v>0</v>
      </c>
      <c r="BK853" t="b">
        <f>OR(AND(IF(metadata!Z853="",FALSE,TRUE),OR(EXACT(metadata!Z853,"missing: not collected"),EXACT(metadata!Z853,"missing: not provided"))),AND(IF(metadata!Z853="",FALSE,IF(ISERROR(INT(metadata!Z853)),FALSE,INT(metadata!Z853)=metadata!Z853)),metadata!Z853&gt;0))</f>
        <v>0</v>
      </c>
      <c r="BL853" t="b">
        <f>AND(IF(metadata!AA853="",FALSE,TRUE),EXACT(metadata!AA853,"Not applicable"))</f>
        <v>0</v>
      </c>
      <c r="BM853" t="b">
        <f>IF(metadata!AB853="",FALSE,TRUE)</f>
        <v>0</v>
      </c>
    </row>
    <row r="854" spans="1:65" x14ac:dyDescent="0.2">
      <c r="A854" s="5" t="str">
        <f ca="1">IF(B854=" "," ",HYPERLINK(CONCATENATE("#metadata!",ADDRESS(INDEX($AH$2:$AH$1001,MATCH(ROWS($AF$2:AF854),$AF$2:$AF$1001,0),0),1)),INDEX($AK$2:$AK$1001,MATCH(ROWS($AF$2:AF854),$AF$2:$AF$1001,0),0)))</f>
        <v xml:space="preserve"> </v>
      </c>
      <c r="B854" s="4" t="str">
        <f ca="1">IF(OR(INDEX($AG$2:$AG$1001,MATCH(ROWS($AF$2:AF854),$AF$2:$AF$1001,0),1)&gt;=100000,INDEX($AM$1005:$BM$1005,1,MATCH(COLUMNS($AM$1006:AM1006),$AM$1006:$BM$1006,0))&gt;=100000), " ",IF(INDEX($AM$2:$BM$1001,MATCH(ROWS($AF$2:AF854),$AF$2:$AF$1001,0),MATCH(COLUMNS($AM$1006:AM1006),$AM$1006:$BM$1006,0)), HYPERLINK("#",""), HYPERLINK(CONCATENATE("#metadata!", ADDRESS(INDEX($AH$2:$AH$1001,MATCH(ROWS($AF$2:AF854),$AF$2:$AF$1001,0),0), INDEX($AM$1004:$BM$1004,1,MATCH(COLUMNS($AM$1006:AM1006),$AM$1006:$BM$1006,0)))),"Fix")))</f>
        <v xml:space="preserve"> </v>
      </c>
      <c r="C854" s="4" t="str">
        <f ca="1">IF(OR(INDEX($AG$2:$AG$1001,MATCH(ROWS($AF$2:AF854),$AF$2:$AF$1001,0),1)&gt;=100000,INDEX($AM$1005:$BM$1005,1,MATCH(COLUMNS($AM$1006:AN1006),$AM$1006:$BM$1006,0))&gt;=100000), " ",IF(INDEX($AM$2:$BM$1001,MATCH(ROWS($AF$2:AF854),$AF$2:$AF$1001,0),MATCH(COLUMNS($AM$1006:AN1006),$AM$1006:$BM$1006,0)), HYPERLINK("#",""), HYPERLINK(CONCATENATE("#metadata!", ADDRESS(INDEX($AH$2:$AH$1001,MATCH(ROWS($AF$2:AF854),$AF$2:$AF$1001,0),0), INDEX($AM$1004:$BM$1004,1,MATCH(COLUMNS($AM$1006:AN1006),$AM$1006:$BM$1006,0)))),"Fix")))</f>
        <v xml:space="preserve"> </v>
      </c>
      <c r="D854" s="4" t="str">
        <f ca="1">IF(OR(INDEX($AG$2:$AG$1001,MATCH(ROWS($AF$2:AF854),$AF$2:$AF$1001,0),1)&gt;=100000,INDEX($AM$1005:$BM$1005,1,MATCH(COLUMNS($AM$1006:AO1006),$AM$1006:$BM$1006,0))&gt;=100000), " ",IF(INDEX($AM$2:$BM$1001,MATCH(ROWS($AF$2:AF854),$AF$2:$AF$1001,0),MATCH(COLUMNS($AM$1006:AO1006),$AM$1006:$BM$1006,0)), HYPERLINK("#",""), HYPERLINK(CONCATENATE("#metadata!", ADDRESS(INDEX($AH$2:$AH$1001,MATCH(ROWS($AF$2:AF854),$AF$2:$AF$1001,0),0), INDEX($AM$1004:$BM$1004,1,MATCH(COLUMNS($AM$1006:AO1006),$AM$1006:$BM$1006,0)))),"Fix")))</f>
        <v xml:space="preserve"> </v>
      </c>
      <c r="E854" s="4" t="str">
        <f ca="1">IF(OR(INDEX($AG$2:$AG$1001,MATCH(ROWS($AF$2:AF854),$AF$2:$AF$1001,0),1)&gt;=100000,INDEX($AM$1005:$BM$1005,1,MATCH(COLUMNS($AM$1006:AP1006),$AM$1006:$BM$1006,0))&gt;=100000), " ",IF(INDEX($AM$2:$BM$1001,MATCH(ROWS($AF$2:AF854),$AF$2:$AF$1001,0),MATCH(COLUMNS($AM$1006:AP1006),$AM$1006:$BM$1006,0)), HYPERLINK("#",""), HYPERLINK(CONCATENATE("#metadata!", ADDRESS(INDEX($AH$2:$AH$1001,MATCH(ROWS($AF$2:AF854),$AF$2:$AF$1001,0),0), INDEX($AM$1004:$BM$1004,1,MATCH(COLUMNS($AM$1006:AP1006),$AM$1006:$BM$1006,0)))),"Fix")))</f>
        <v xml:space="preserve"> </v>
      </c>
      <c r="F854" s="4" t="str">
        <f ca="1">IF(OR(INDEX($AG$2:$AG$1001,MATCH(ROWS($AF$2:AF854),$AF$2:$AF$1001,0),1)&gt;=100000,INDEX($AM$1005:$BM$1005,1,MATCH(COLUMNS($AM$1006:AQ1006),$AM$1006:$BM$1006,0))&gt;=100000), " ",IF(INDEX($AM$2:$BM$1001,MATCH(ROWS($AF$2:AF854),$AF$2:$AF$1001,0),MATCH(COLUMNS($AM$1006:AQ1006),$AM$1006:$BM$1006,0)), HYPERLINK("#",""), HYPERLINK(CONCATENATE("#metadata!", ADDRESS(INDEX($AH$2:$AH$1001,MATCH(ROWS($AF$2:AF854),$AF$2:$AF$1001,0),0), INDEX($AM$1004:$BM$1004,1,MATCH(COLUMNS($AM$1006:AQ1006),$AM$1006:$BM$1006,0)))),"Fix")))</f>
        <v xml:space="preserve"> </v>
      </c>
      <c r="G854" s="4" t="str">
        <f ca="1">IF(OR(INDEX($AG$2:$AG$1001,MATCH(ROWS($AF$2:AF854),$AF$2:$AF$1001,0),1)&gt;=100000,INDEX($AM$1005:$BM$1005,1,MATCH(COLUMNS($AM$1006:AR1006),$AM$1006:$BM$1006,0))&gt;=100000), " ",IF(INDEX($AM$2:$BM$1001,MATCH(ROWS($AF$2:AF854),$AF$2:$AF$1001,0),MATCH(COLUMNS($AM$1006:AR1006),$AM$1006:$BM$1006,0)), HYPERLINK("#",""), HYPERLINK(CONCATENATE("#metadata!", ADDRESS(INDEX($AH$2:$AH$1001,MATCH(ROWS($AF$2:AF854),$AF$2:$AF$1001,0),0), INDEX($AM$1004:$BM$1004,1,MATCH(COLUMNS($AM$1006:AR1006),$AM$1006:$BM$1006,0)))),"Fix")))</f>
        <v xml:space="preserve"> </v>
      </c>
      <c r="H854" s="4" t="str">
        <f ca="1">IF(OR(INDEX($AG$2:$AG$1001,MATCH(ROWS($AF$2:AF854),$AF$2:$AF$1001,0),1)&gt;=100000,INDEX($AM$1005:$BM$1005,1,MATCH(COLUMNS($AM$1006:AS1006),$AM$1006:$BM$1006,0))&gt;=100000), " ",IF(INDEX($AM$2:$BM$1001,MATCH(ROWS($AF$2:AF854),$AF$2:$AF$1001,0),MATCH(COLUMNS($AM$1006:AS1006),$AM$1006:$BM$1006,0)), HYPERLINK("#",""), HYPERLINK(CONCATENATE("#metadata!", ADDRESS(INDEX($AH$2:$AH$1001,MATCH(ROWS($AF$2:AF854),$AF$2:$AF$1001,0),0), INDEX($AM$1004:$BM$1004,1,MATCH(COLUMNS($AM$1006:AS1006),$AM$1006:$BM$1006,0)))),"Fix")))</f>
        <v xml:space="preserve"> </v>
      </c>
      <c r="I854" s="4" t="str">
        <f ca="1">IF(OR(INDEX($AG$2:$AG$1001,MATCH(ROWS($AF$2:AF854),$AF$2:$AF$1001,0),1)&gt;=100000,INDEX($AM$1005:$BM$1005,1,MATCH(COLUMNS($AM$1006:AT1006),$AM$1006:$BM$1006,0))&gt;=100000), " ",IF(INDEX($AM$2:$BM$1001,MATCH(ROWS($AF$2:AF854),$AF$2:$AF$1001,0),MATCH(COLUMNS($AM$1006:AT1006),$AM$1006:$BM$1006,0)), HYPERLINK("#",""), HYPERLINK(CONCATENATE("#metadata!", ADDRESS(INDEX($AH$2:$AH$1001,MATCH(ROWS($AF$2:AF854),$AF$2:$AF$1001,0),0), INDEX($AM$1004:$BM$1004,1,MATCH(COLUMNS($AM$1006:AT1006),$AM$1006:$BM$1006,0)))),"Fix")))</f>
        <v xml:space="preserve"> </v>
      </c>
      <c r="J854" s="4" t="str">
        <f ca="1">IF(OR(INDEX($AG$2:$AG$1001,MATCH(ROWS($AF$2:AF854),$AF$2:$AF$1001,0),1)&gt;=100000,INDEX($AM$1005:$BM$1005,1,MATCH(COLUMNS($AM$1006:AU1006),$AM$1006:$BM$1006,0))&gt;=100000), " ",IF(INDEX($AM$2:$BM$1001,MATCH(ROWS($AF$2:AF854),$AF$2:$AF$1001,0),MATCH(COLUMNS($AM$1006:AU1006),$AM$1006:$BM$1006,0)), HYPERLINK("#",""), HYPERLINK(CONCATENATE("#metadata!", ADDRESS(INDEX($AH$2:$AH$1001,MATCH(ROWS($AF$2:AF854),$AF$2:$AF$1001,0),0), INDEX($AM$1004:$BM$1004,1,MATCH(COLUMNS($AM$1006:AU1006),$AM$1006:$BM$1006,0)))),"Fix")))</f>
        <v xml:space="preserve"> </v>
      </c>
      <c r="K854" s="4" t="str">
        <f ca="1">IF(OR(INDEX($AG$2:$AG$1001,MATCH(ROWS($AF$2:AF854),$AF$2:$AF$1001,0),1)&gt;=100000,INDEX($AM$1005:$BM$1005,1,MATCH(COLUMNS($AM$1006:AV1006),$AM$1006:$BM$1006,0))&gt;=100000), " ",IF(INDEX($AM$2:$BM$1001,MATCH(ROWS($AF$2:AF854),$AF$2:$AF$1001,0),MATCH(COLUMNS($AM$1006:AV1006),$AM$1006:$BM$1006,0)), HYPERLINK("#",""), HYPERLINK(CONCATENATE("#metadata!", ADDRESS(INDEX($AH$2:$AH$1001,MATCH(ROWS($AF$2:AF854),$AF$2:$AF$1001,0),0), INDEX($AM$1004:$BM$1004,1,MATCH(COLUMNS($AM$1006:AV1006),$AM$1006:$BM$1006,0)))),"Fix")))</f>
        <v xml:space="preserve"> </v>
      </c>
      <c r="L854" s="4" t="str">
        <f ca="1">IF(OR(INDEX($AG$2:$AG$1001,MATCH(ROWS($AF$2:AF854),$AF$2:$AF$1001,0),1)&gt;=100000,INDEX($AM$1005:$BM$1005,1,MATCH(COLUMNS($AM$1006:AW1006),$AM$1006:$BM$1006,0))&gt;=100000), " ",IF(INDEX($AM$2:$BM$1001,MATCH(ROWS($AF$2:AF854),$AF$2:$AF$1001,0),MATCH(COLUMNS($AM$1006:AW1006),$AM$1006:$BM$1006,0)), HYPERLINK("#",""), HYPERLINK(CONCATENATE("#metadata!", ADDRESS(INDEX($AH$2:$AH$1001,MATCH(ROWS($AF$2:AF854),$AF$2:$AF$1001,0),0), INDEX($AM$1004:$BM$1004,1,MATCH(COLUMNS($AM$1006:AW1006),$AM$1006:$BM$1006,0)))),"Fix")))</f>
        <v xml:space="preserve"> </v>
      </c>
      <c r="M854" s="4" t="str">
        <f ca="1">IF(OR(INDEX($AG$2:$AG$1001,MATCH(ROWS($AF$2:AF854),$AF$2:$AF$1001,0),1)&gt;=100000,INDEX($AM$1005:$BM$1005,1,MATCH(COLUMNS($AM$1006:AX1006),$AM$1006:$BM$1006,0))&gt;=100000), " ",IF(INDEX($AM$2:$BM$1001,MATCH(ROWS($AF$2:AF854),$AF$2:$AF$1001,0),MATCH(COLUMNS($AM$1006:AX1006),$AM$1006:$BM$1006,0)), HYPERLINK("#",""), HYPERLINK(CONCATENATE("#metadata!", ADDRESS(INDEX($AH$2:$AH$1001,MATCH(ROWS($AF$2:AF854),$AF$2:$AF$1001,0),0), INDEX($AM$1004:$BM$1004,1,MATCH(COLUMNS($AM$1006:AX1006),$AM$1006:$BM$1006,0)))),"Fix")))</f>
        <v xml:space="preserve"> </v>
      </c>
      <c r="N854" s="4" t="str">
        <f ca="1">IF(OR(INDEX($AG$2:$AG$1001,MATCH(ROWS($AF$2:AF854),$AF$2:$AF$1001,0),1)&gt;=100000,INDEX($AM$1005:$BM$1005,1,MATCH(COLUMNS($AM$1006:AY1006),$AM$1006:$BM$1006,0))&gt;=100000), " ",IF(INDEX($AM$2:$BM$1001,MATCH(ROWS($AF$2:AF854),$AF$2:$AF$1001,0),MATCH(COLUMNS($AM$1006:AY1006),$AM$1006:$BM$1006,0)), HYPERLINK("#",""), HYPERLINK(CONCATENATE("#metadata!", ADDRESS(INDEX($AH$2:$AH$1001,MATCH(ROWS($AF$2:AF854),$AF$2:$AF$1001,0),0), INDEX($AM$1004:$BM$1004,1,MATCH(COLUMNS($AM$1006:AY1006),$AM$1006:$BM$1006,0)))),"Fix")))</f>
        <v xml:space="preserve"> </v>
      </c>
      <c r="O854" s="4" t="str">
        <f ca="1">IF(OR(INDEX($AG$2:$AG$1001,MATCH(ROWS($AF$2:AF854),$AF$2:$AF$1001,0),1)&gt;=100000,INDEX($AM$1005:$BM$1005,1,MATCH(COLUMNS($AM$1006:AZ1006),$AM$1006:$BM$1006,0))&gt;=100000), " ",IF(INDEX($AM$2:$BM$1001,MATCH(ROWS($AF$2:AF854),$AF$2:$AF$1001,0),MATCH(COLUMNS($AM$1006:AZ1006),$AM$1006:$BM$1006,0)), HYPERLINK("#",""), HYPERLINK(CONCATENATE("#metadata!", ADDRESS(INDEX($AH$2:$AH$1001,MATCH(ROWS($AF$2:AF854),$AF$2:$AF$1001,0),0), INDEX($AM$1004:$BM$1004,1,MATCH(COLUMNS($AM$1006:AZ1006),$AM$1006:$BM$1006,0)))),"Fix")))</f>
        <v xml:space="preserve"> </v>
      </c>
      <c r="P854" s="4" t="str">
        <f ca="1">IF(OR(INDEX($AG$2:$AG$1001,MATCH(ROWS($AF$2:AF854),$AF$2:$AF$1001,0),1)&gt;=100000,INDEX($AM$1005:$BM$1005,1,MATCH(COLUMNS($AM$1006:BA1006),$AM$1006:$BM$1006,0))&gt;=100000), " ",IF(INDEX($AM$2:$BM$1001,MATCH(ROWS($AF$2:AF854),$AF$2:$AF$1001,0),MATCH(COLUMNS($AM$1006:BA1006),$AM$1006:$BM$1006,0)), HYPERLINK("#",""), HYPERLINK(CONCATENATE("#metadata!", ADDRESS(INDEX($AH$2:$AH$1001,MATCH(ROWS($AF$2:AF854),$AF$2:$AF$1001,0),0), INDEX($AM$1004:$BM$1004,1,MATCH(COLUMNS($AM$1006:BA1006),$AM$1006:$BM$1006,0)))),"Fix")))</f>
        <v xml:space="preserve"> </v>
      </c>
      <c r="Q854" s="4" t="str">
        <f ca="1">IF(OR(INDEX($AG$2:$AG$1001,MATCH(ROWS($AF$2:AF854),$AF$2:$AF$1001,0),1)&gt;=100000,INDEX($AM$1005:$BM$1005,1,MATCH(COLUMNS($AM$1006:BB1006),$AM$1006:$BM$1006,0))&gt;=100000), " ",IF(INDEX($AM$2:$BM$1001,MATCH(ROWS($AF$2:AF854),$AF$2:$AF$1001,0),MATCH(COLUMNS($AM$1006:BB1006),$AM$1006:$BM$1006,0)), HYPERLINK("#",""), HYPERLINK(CONCATENATE("#metadata!", ADDRESS(INDEX($AH$2:$AH$1001,MATCH(ROWS($AF$2:AF854),$AF$2:$AF$1001,0),0), INDEX($AM$1004:$BM$1004,1,MATCH(COLUMNS($AM$1006:BB1006),$AM$1006:$BM$1006,0)))),"Fix")))</f>
        <v xml:space="preserve"> </v>
      </c>
      <c r="R854" s="4" t="str">
        <f ca="1">IF(OR(INDEX($AG$2:$AG$1001,MATCH(ROWS($AF$2:AF854),$AF$2:$AF$1001,0),1)&gt;=100000,INDEX($AM$1005:$BM$1005,1,MATCH(COLUMNS($AM$1006:BC1006),$AM$1006:$BM$1006,0))&gt;=100000), " ",IF(INDEX($AM$2:$BM$1001,MATCH(ROWS($AF$2:AF854),$AF$2:$AF$1001,0),MATCH(COLUMNS($AM$1006:BC1006),$AM$1006:$BM$1006,0)), HYPERLINK("#",""), HYPERLINK(CONCATENATE("#metadata!", ADDRESS(INDEX($AH$2:$AH$1001,MATCH(ROWS($AF$2:AF854),$AF$2:$AF$1001,0),0), INDEX($AM$1004:$BM$1004,1,MATCH(COLUMNS($AM$1006:BC1006),$AM$1006:$BM$1006,0)))),"Fix")))</f>
        <v xml:space="preserve"> </v>
      </c>
      <c r="S854" s="4" t="str">
        <f ca="1">IF(OR(INDEX($AG$2:$AG$1001,MATCH(ROWS($AF$2:AF854),$AF$2:$AF$1001,0),1)&gt;=100000,INDEX($AM$1005:$BM$1005,1,MATCH(COLUMNS($AM$1006:BD1006),$AM$1006:$BM$1006,0))&gt;=100000), " ",IF(INDEX($AM$2:$BM$1001,MATCH(ROWS($AF$2:AF854),$AF$2:$AF$1001,0),MATCH(COLUMNS($AM$1006:BD1006),$AM$1006:$BM$1006,0)), HYPERLINK("#",""), HYPERLINK(CONCATENATE("#metadata!", ADDRESS(INDEX($AH$2:$AH$1001,MATCH(ROWS($AF$2:AF854),$AF$2:$AF$1001,0),0), INDEX($AM$1004:$BM$1004,1,MATCH(COLUMNS($AM$1006:BD1006),$AM$1006:$BM$1006,0)))),"Fix")))</f>
        <v xml:space="preserve"> </v>
      </c>
      <c r="T854" s="4" t="str">
        <f ca="1">IF(OR(INDEX($AG$2:$AG$1001,MATCH(ROWS($AF$2:AF854),$AF$2:$AF$1001,0),1)&gt;=100000,INDEX($AM$1005:$BM$1005,1,MATCH(COLUMNS($AM$1006:BE1006),$AM$1006:$BM$1006,0))&gt;=100000), " ",IF(INDEX($AM$2:$BM$1001,MATCH(ROWS($AF$2:AF854),$AF$2:$AF$1001,0),MATCH(COLUMNS($AM$1006:BE1006),$AM$1006:$BM$1006,0)), HYPERLINK("#",""), HYPERLINK(CONCATENATE("#metadata!", ADDRESS(INDEX($AH$2:$AH$1001,MATCH(ROWS($AF$2:AF854),$AF$2:$AF$1001,0),0), INDEX($AM$1004:$BM$1004,1,MATCH(COLUMNS($AM$1006:BE1006),$AM$1006:$BM$1006,0)))),"Fix")))</f>
        <v xml:space="preserve"> </v>
      </c>
      <c r="U854" s="4" t="str">
        <f ca="1">IF(OR(INDEX($AG$2:$AG$1001,MATCH(ROWS($AF$2:AF854),$AF$2:$AF$1001,0),1)&gt;=100000,INDEX($AM$1005:$BM$1005,1,MATCH(COLUMNS($AM$1006:BF1006),$AM$1006:$BM$1006,0))&gt;=100000), " ",IF(INDEX($AM$2:$BM$1001,MATCH(ROWS($AF$2:AF854),$AF$2:$AF$1001,0),MATCH(COLUMNS($AM$1006:BF1006),$AM$1006:$BM$1006,0)), HYPERLINK("#",""), HYPERLINK(CONCATENATE("#metadata!", ADDRESS(INDEX($AH$2:$AH$1001,MATCH(ROWS($AF$2:AF854),$AF$2:$AF$1001,0),0), INDEX($AM$1004:$BM$1004,1,MATCH(COLUMNS($AM$1006:BF1006),$AM$1006:$BM$1006,0)))),"Fix")))</f>
        <v xml:space="preserve"> </v>
      </c>
      <c r="V854" s="4" t="str">
        <f ca="1">IF(OR(INDEX($AG$2:$AG$1001,MATCH(ROWS($AF$2:AF854),$AF$2:$AF$1001,0),1)&gt;=100000,INDEX($AM$1005:$BM$1005,1,MATCH(COLUMNS($AM$1006:BG1006),$AM$1006:$BM$1006,0))&gt;=100000), " ",IF(INDEX($AM$2:$BM$1001,MATCH(ROWS($AF$2:AF854),$AF$2:$AF$1001,0),MATCH(COLUMNS($AM$1006:BG1006),$AM$1006:$BM$1006,0)), HYPERLINK("#",""), HYPERLINK(CONCATENATE("#metadata!", ADDRESS(INDEX($AH$2:$AH$1001,MATCH(ROWS($AF$2:AF854),$AF$2:$AF$1001,0),0), INDEX($AM$1004:$BM$1004,1,MATCH(COLUMNS($AM$1006:BG1006),$AM$1006:$BM$1006,0)))),"Fix")))</f>
        <v xml:space="preserve"> </v>
      </c>
      <c r="W854" s="4" t="str">
        <f ca="1">IF(OR(INDEX($AG$2:$AG$1001,MATCH(ROWS($AF$2:AF854),$AF$2:$AF$1001,0),1)&gt;=100000,INDEX($AM$1005:$BM$1005,1,MATCH(COLUMNS($AM$1006:BH1006),$AM$1006:$BM$1006,0))&gt;=100000), " ",IF(INDEX($AM$2:$BM$1001,MATCH(ROWS($AF$2:AF854),$AF$2:$AF$1001,0),MATCH(COLUMNS($AM$1006:BH1006),$AM$1006:$BM$1006,0)), HYPERLINK("#",""), HYPERLINK(CONCATENATE("#metadata!", ADDRESS(INDEX($AH$2:$AH$1001,MATCH(ROWS($AF$2:AF854),$AF$2:$AF$1001,0),0), INDEX($AM$1004:$BM$1004,1,MATCH(COLUMNS($AM$1006:BH1006),$AM$1006:$BM$1006,0)))),"Fix")))</f>
        <v xml:space="preserve"> </v>
      </c>
      <c r="X854" s="4" t="str">
        <f ca="1">IF(OR(INDEX($AG$2:$AG$1001,MATCH(ROWS($AF$2:AF854),$AF$2:$AF$1001,0),1)&gt;=100000,INDEX($AM$1005:$BM$1005,1,MATCH(COLUMNS($AM$1006:BI1006),$AM$1006:$BM$1006,0))&gt;=100000), " ",IF(INDEX($AM$2:$BM$1001,MATCH(ROWS($AF$2:AF854),$AF$2:$AF$1001,0),MATCH(COLUMNS($AM$1006:BI1006),$AM$1006:$BM$1006,0)), HYPERLINK("#",""), HYPERLINK(CONCATENATE("#metadata!", ADDRESS(INDEX($AH$2:$AH$1001,MATCH(ROWS($AF$2:AF854),$AF$2:$AF$1001,0),0), INDEX($AM$1004:$BM$1004,1,MATCH(COLUMNS($AM$1006:BI1006),$AM$1006:$BM$1006,0)))),"Fix")))</f>
        <v xml:space="preserve"> </v>
      </c>
      <c r="Y854" s="4" t="str">
        <f ca="1">IF(OR(INDEX($AG$2:$AG$1001,MATCH(ROWS($AF$2:AF854),$AF$2:$AF$1001,0),1)&gt;=100000,INDEX($AM$1005:$BM$1005,1,MATCH(COLUMNS($AM$1006:BJ1006),$AM$1006:$BM$1006,0))&gt;=100000), " ",IF(INDEX($AM$2:$BM$1001,MATCH(ROWS($AF$2:AF854),$AF$2:$AF$1001,0),MATCH(COLUMNS($AM$1006:BJ1006),$AM$1006:$BM$1006,0)), HYPERLINK("#",""), HYPERLINK(CONCATENATE("#metadata!", ADDRESS(INDEX($AH$2:$AH$1001,MATCH(ROWS($AF$2:AF854),$AF$2:$AF$1001,0),0), INDEX($AM$1004:$BM$1004,1,MATCH(COLUMNS($AM$1006:BJ1006),$AM$1006:$BM$1006,0)))),"Fix")))</f>
        <v xml:space="preserve"> </v>
      </c>
      <c r="Z854" s="4" t="str">
        <f ca="1">IF(OR(INDEX($AG$2:$AG$1001,MATCH(ROWS($AF$2:AF854),$AF$2:$AF$1001,0),1)&gt;=100000,INDEX($AM$1005:$BM$1005,1,MATCH(COLUMNS($AM$1006:BK1006),$AM$1006:$BM$1006,0))&gt;=100000), " ",IF(INDEX($AM$2:$BM$1001,MATCH(ROWS($AF$2:AF854),$AF$2:$AF$1001,0),MATCH(COLUMNS($AM$1006:BK1006),$AM$1006:$BM$1006,0)), HYPERLINK("#",""), HYPERLINK(CONCATENATE("#metadata!", ADDRESS(INDEX($AH$2:$AH$1001,MATCH(ROWS($AF$2:AF854),$AF$2:$AF$1001,0),0), INDEX($AM$1004:$BM$1004,1,MATCH(COLUMNS($AM$1006:BK1006),$AM$1006:$BM$1006,0)))),"Fix")))</f>
        <v xml:space="preserve"> </v>
      </c>
      <c r="AA854" s="4" t="str">
        <f ca="1">IF(OR(INDEX($AG$2:$AG$1001,MATCH(ROWS($AF$2:AF854),$AF$2:$AF$1001,0),1)&gt;=100000,INDEX($AM$1005:$BM$1005,1,MATCH(COLUMNS($AM$1006:BL1006),$AM$1006:$BM$1006,0))&gt;=100000), " ",IF(INDEX($AM$2:$BM$1001,MATCH(ROWS($AF$2:AF854),$AF$2:$AF$1001,0),MATCH(COLUMNS($AM$1006:BL1006),$AM$1006:$BM$1006,0)), HYPERLINK("#",""), HYPERLINK(CONCATENATE("#metadata!", ADDRESS(INDEX($AH$2:$AH$1001,MATCH(ROWS($AF$2:AF854),$AF$2:$AF$1001,0),0), INDEX($AM$1004:$BM$1004,1,MATCH(COLUMNS($AM$1006:BL1006),$AM$1006:$BM$1006,0)))),"Fix")))</f>
        <v xml:space="preserve"> </v>
      </c>
      <c r="AB854" s="4" t="str">
        <f ca="1">IF(OR(INDEX($AG$2:$AG$1001,MATCH(ROWS($AF$2:AF854),$AF$2:$AF$1001,0),1)&gt;=100000,INDEX($AM$1005:$BM$1005,1,MATCH(COLUMNS($AM$1006:BM1006),$AM$1006:$BM$1006,0))&gt;=100000), " ",IF(INDEX($AM$2:$BM$1001,MATCH(ROWS($AF$2:AF854),$AF$2:$AF$1001,0),MATCH(COLUMNS($AM$1006:BM1006),$AM$1006:$BM$1006,0)), HYPERLINK("#",""), HYPERLINK(CONCATENATE("#metadata!", ADDRESS(INDEX($AH$2:$AH$1001,MATCH(ROWS($AF$2:AF854),$AF$2:$AF$1001,0),0), INDEX($AM$1004:$BM$1004,1,MATCH(COLUMNS($AM$1006:BM1006),$AM$1006:$BM$1006,0)))),"Fix")))</f>
        <v xml:space="preserve"> </v>
      </c>
      <c r="AF854">
        <v>853</v>
      </c>
      <c r="AG854">
        <v>100854</v>
      </c>
      <c r="AH854">
        <v>854</v>
      </c>
      <c r="AI854" t="b">
        <f t="shared" si="13"/>
        <v>1</v>
      </c>
      <c r="AJ854" t="b">
        <f>COUNTBLANK(metadata!B854:AB854)=COLUMNS(metadata!B854:AB854)</f>
        <v>1</v>
      </c>
      <c r="AK854" t="str">
        <v/>
      </c>
      <c r="AM854" t="b">
        <f ca="1">AND(IF(metadata!B854="",FALSE,TRUE),COUNTIF(metadata!B:B, metadata!B854) = 1,NOT(ISERROR(SUMPRODUCT(SEARCH(MID(metadata!B854,ROW(INDIRECT("1:"&amp;LEN(metadata!B854))), 1),"0123456789abcdefghijklmnopqrstuvwxyzABCDEFGHIJKLMNOPQRSTUVWXYZ.")))))</f>
        <v>0</v>
      </c>
      <c r="AN854" t="b">
        <f ca="1">OR(AND(IF(metadata!C854="",FALSE,TRUE),OR(EXACT(metadata!C854,"missing: not collected"),EXACT(metadata!C854,"missing: not provided"),EXACT(metadata!C854,"missing: restricted access"))),AND(IF(metadata!C854="",FALSE,TRUE),AND(AND(IFERROR(INT(LEFT(metadata!C854,4))&gt;1900,FALSE),IFERROR(INT(LEFT(metadata!C854,4))&lt;=YEAR(NOW()),FALSE)), OR(MID(metadata!C854,5,1)="", AND(AND(MID(metadata!C854,5,1)="-",IFERROR(INT(MID(metadata!C854,6,1))&gt;=0,FALSE),IFERROR(INT(MID(metadata!C854,6,1))&lt;=1,FALSE),NOT(MID(metadata!C854,7,1)=""),IFERROR(INT(MID(metadata!C854,6,2))&gt;=1,FALSE),IFERROR(INT(MID(metadata!C854,6,2))&lt;=12,FALSE)), OR(MID(metadata!C854,8,1)="", AND(AND(MID(metadata!C854,8,1)="-",IFERROR(INT(MID(metadata!C854,9,1))&gt;=0,FALSE),IFERROR(INT(MID(metadata!C854,9,1))&lt;=3,FALSE),NOT(MID(metadata!C854,10,1)=""),IFERROR(INT(MID(metadata!C854,9,2))&gt;=1,FALSE),IFERROR(INT(MID(metadata!C854,9,2))&lt;=31,FALSE)), OR(MID(metadata!C854,11,1)="", AND(AND(MID(metadata!C854,11,1)=" ",IFERROR(INT(MID(metadata!C854,12,1))&gt;=0,FALSE),IFERROR(INT(MID(metadata!C854,12,1))&lt;=2,FALSE),NOT(MID(metadata!C854,13,1)=""),IFERROR(INT(MID(metadata!C854,12,2))&gt;=0,FALSE),IFERROR(INT(MID(metadata!C854,12,2))&lt;=23,FALSE)), OR(MID(metadata!C854,14,1)="", AND(AND(MID(metadata!C854,14,1)=":",IFERROR(INT(MID(metadata!C854,15,1))&gt;=0,FALSE),IFERROR(INT(MID(metadata!C854,15,1))&lt;=5,FALSE),NOT(MID(metadata!C854,16,1)=""),IFERROR(INT(MID(metadata!C854,15,2))&gt;=0,FALSE),IFERROR(INT(MID(metadata!C854,15,2))&lt;=59,FALSE)), OR(MID(metadata!C854,17,1)="", AND(AND(MID(metadata!C854,17,1)=":",IFERROR(INT(MID(metadata!C854,18,1))&gt;=0,FALSE),IFERROR(INT(MID(metadata!C854,18,1))&lt;=5,FALSE),NOT(MID(metadata!C854,19,1)=""),IFERROR(INT(MID(metadata!C854,18,2))&gt;=0,FALSE),IFERROR(INT(MID(metadata!C854,18,2))&lt;=59,FALSE)), LEN(metadata!C854)&lt;=19)))))))))))))</f>
        <v>0</v>
      </c>
      <c r="AO854" t="b">
        <f>AND(IF(metadata!D854="",FALSE,TRUE),EXACT(metadata!D854,"Not applicable"))</f>
        <v>0</v>
      </c>
      <c r="AP854" t="b">
        <f>IF(metadata!E854="",FALSE,TRUE)</f>
        <v>0</v>
      </c>
      <c r="AQ854" t="b">
        <f>OR(AND(IF(metadata!F854="",FALSE,TRUE),OR(EXACT(metadata!F854,"missing: not collected"),EXACT(metadata!F854,"missing: not provided"))),AND(IF(metadata!F854="",FALSE,TRUE),OR(EXACT(metadata!F854,"TRUE"),EXACT(metadata!F854,"FALSE"))))</f>
        <v>0</v>
      </c>
      <c r="AR854" t="b">
        <f>OR(AND(IF(metadata!G854="",FALSE,TRUE),OR(EXACT(metadata!G854,"missing: not collected"),EXACT(metadata!G854,"missing: not provided"),EXACT(metadata!G854,"missing: restricted access"))),AND(IF(metadata!G854="",FALSE,ISNUMBER(VALUE(metadata!G854))),metadata!G854&gt;=-413))</f>
        <v>0</v>
      </c>
      <c r="AS854" t="b">
        <f>AND(IF(metadata!H854="",FALSE,TRUE),EXACT(metadata!H854,"meters"))</f>
        <v>0</v>
      </c>
      <c r="AT854" t="b">
        <f>AND(IF(metadata!I854="",FALSE,TRUE),OR(EXACT(metadata!I854,"Host-associated"),EXACT(metadata!I854,"Free-living")))</f>
        <v>0</v>
      </c>
      <c r="AU854" t="b">
        <f>AND(IF(metadata!J854="",FALSE,TRUE),OR(EXACT(metadata!J854,"Animal"),EXACT(metadata!J854,"Fungus"),EXACT(metadata!J854,"Plant"),EXACT(metadata!J854,"Saline"),EXACT(metadata!J854,"Non-saline")))</f>
        <v>0</v>
      </c>
      <c r="AV854" t="b">
        <f>AND(IF(metadata!K854="",FALSE,TRUE),OR(EXACT(metadata!K854,"Plant secretion"),EXACT(metadata!K854,"Plant rhizosphere"),EXACT(metadata!K854,"Plant surface"),EXACT(metadata!K854,"Plant corpus"),EXACT(metadata!K854,"Fungus surface"),EXACT(metadata!K854,"Fungus corpus"),EXACT(metadata!K854,"Animal surface"),EXACT(metadata!K854,"Animal proximal gut"),EXACT(metadata!K854,"Animal corpus"),EXACT(metadata!K854,"Animal distal gut"),EXACT(metadata!K854,"Animal secretion"),EXACT(metadata!K854,"Sub-surface (non-saline)"),EXACT(metadata!K854,"Surface (non-saline)"),EXACT(metadata!K854,"Water (non-saline)"),EXACT(metadata!K854,"Soil (non-saline)"),EXACT(metadata!K854,"Aerosol (non-saline)"),EXACT(metadata!K854,"Sediment (non-saline)"),EXACT(metadata!K854,"Surface (saline)"),EXACT(metadata!K854,"Water (saline)"),EXACT(metadata!K854,"Hypersaline (saline)"),EXACT(metadata!K854,"Aerosol (saline)"),EXACT(metadata!K854,"Sediment (saline)")))</f>
        <v>0</v>
      </c>
      <c r="AW854" t="b">
        <f>IF(metadata!L854="",FALSE,TRUE)</f>
        <v>0</v>
      </c>
      <c r="AX854" t="b">
        <f>IF(metadata!M854="",FALSE,TRUE)</f>
        <v>0</v>
      </c>
      <c r="AY854" t="b">
        <f>IF(metadata!N854="",FALSE,TRUE)</f>
        <v>0</v>
      </c>
      <c r="AZ854" t="b">
        <f>OR(AND(IF(metadata!O854="",FALSE,TRUE),OR(EXACT(metadata!O854,"missing: not collected"),EXACT(metadata!O854,"missing: not provided"),EXACT(metadata!O854,"missing: restricted access"))),AND(IF(metadata!O854="",FALSE,TRUE),OR(EXACT(metadata!O854,"air"),EXACT(metadata!O854,"built environment"),EXACT(metadata!O854,"host-associated"),EXACT(metadata!O854,"human-associated"),EXACT(metadata!O854,"human-skin"),EXACT(metadata!O854,"human-oral"),EXACT(metadata!O854,"human-gut"),EXACT(metadata!O854,"human-vaginal"),EXACT(metadata!O854,"microbial mat/biofilm"),EXACT(metadata!O854,"misc environment"),EXACT(metadata!O854,"plant-associated"),EXACT(metadata!O854,"sediment"),EXACT(metadata!O854,"soil"),EXACT(metadata!O854,"wastewater/sludge"),EXACT(metadata!O854,"water"))))</f>
        <v>0</v>
      </c>
      <c r="BA854" t="b">
        <f>IF(metadata!P854="",FALSE,TRUE)</f>
        <v>0</v>
      </c>
      <c r="BB854" t="b">
        <f>IF(metadata!Q854="",FALSE,TRUE)</f>
        <v>0</v>
      </c>
      <c r="BC854" t="b">
        <f>OR(AND(IF(metadata!R854="",FALSE,TRUE),OR(EXACT(metadata!R854,"missing: not collected"),EXACT(metadata!R854,"missing: not provided"),EXACT(metadata!R854,"missing: restricted access"))),AND(IF(metadata!R854="",FALSE,ISNUMBER(VALUE(metadata!R854))),metadata!R854&gt;=-90,metadata!R854&lt;=90))</f>
        <v>0</v>
      </c>
      <c r="BD854" t="b">
        <f>AND(IF(metadata!S854="",FALSE,TRUE),EXACT(metadata!S854,"Decimal degrees"))</f>
        <v>0</v>
      </c>
      <c r="BE854" t="b">
        <f>OR(AND(IF(metadata!T854="",FALSE,TRUE),OR(EXACT(metadata!T854,"missing: not collected"),EXACT(metadata!T854,"missing: not provided"),EXACT(metadata!T854,"missing: restricted access"))),AND(IF(metadata!T854="",FALSE,ISNUMBER(VALUE(metadata!T854))),metadata!T854&gt;=-180,metadata!T854&lt;=180))</f>
        <v>0</v>
      </c>
      <c r="BF854" t="b">
        <f>AND(IF(metadata!U854="",FALSE,TRUE),EXACT(metadata!U854,"Decimal degrees"))</f>
        <v>0</v>
      </c>
      <c r="BG854" t="b">
        <f>IF(metadata!V854="",FALSE,TRUE)</f>
        <v>0</v>
      </c>
      <c r="BH854" t="b">
        <f>OR(AND(IF(metadata!W854="",FALSE,TRUE),OR(EXACT(metadata!W854,"missing: not collected"),EXACT(metadata!W854,"missing: not provided"),EXACT(metadata!W854,"missing: restricted access"))),AND(IF(metadata!W854="",FALSE,TRUE),OR(EXACT(metadata!W854,"TRUE"),EXACT(metadata!W854,"FALSE"))))</f>
        <v>0</v>
      </c>
      <c r="BI854" t="b">
        <f>AND(IF(metadata!X854="",FALSE,TRUE),EXACT(metadata!X854,"other"))</f>
        <v>0</v>
      </c>
      <c r="BJ854" t="b">
        <f>IF(metadata!Y854="",FALSE,TRUE)</f>
        <v>0</v>
      </c>
      <c r="BK854" t="b">
        <f>OR(AND(IF(metadata!Z854="",FALSE,TRUE),OR(EXACT(metadata!Z854,"missing: not collected"),EXACT(metadata!Z854,"missing: not provided"))),AND(IF(metadata!Z854="",FALSE,IF(ISERROR(INT(metadata!Z854)),FALSE,INT(metadata!Z854)=metadata!Z854)),metadata!Z854&gt;0))</f>
        <v>0</v>
      </c>
      <c r="BL854" t="b">
        <f>AND(IF(metadata!AA854="",FALSE,TRUE),EXACT(metadata!AA854,"Not applicable"))</f>
        <v>0</v>
      </c>
      <c r="BM854" t="b">
        <f>IF(metadata!AB854="",FALSE,TRUE)</f>
        <v>0</v>
      </c>
    </row>
    <row r="855" spans="1:65" x14ac:dyDescent="0.2">
      <c r="A855" s="5" t="str">
        <f ca="1">IF(B855=" "," ",HYPERLINK(CONCATENATE("#metadata!",ADDRESS(INDEX($AH$2:$AH$1001,MATCH(ROWS($AF$2:AF855),$AF$2:$AF$1001,0),0),1)),INDEX($AK$2:$AK$1001,MATCH(ROWS($AF$2:AF855),$AF$2:$AF$1001,0),0)))</f>
        <v xml:space="preserve"> </v>
      </c>
      <c r="B855" s="4" t="str">
        <f ca="1">IF(OR(INDEX($AG$2:$AG$1001,MATCH(ROWS($AF$2:AF855),$AF$2:$AF$1001,0),1)&gt;=100000,INDEX($AM$1005:$BM$1005,1,MATCH(COLUMNS($AM$1006:AM1006),$AM$1006:$BM$1006,0))&gt;=100000), " ",IF(INDEX($AM$2:$BM$1001,MATCH(ROWS($AF$2:AF855),$AF$2:$AF$1001,0),MATCH(COLUMNS($AM$1006:AM1006),$AM$1006:$BM$1006,0)), HYPERLINK("#",""), HYPERLINK(CONCATENATE("#metadata!", ADDRESS(INDEX($AH$2:$AH$1001,MATCH(ROWS($AF$2:AF855),$AF$2:$AF$1001,0),0), INDEX($AM$1004:$BM$1004,1,MATCH(COLUMNS($AM$1006:AM1006),$AM$1006:$BM$1006,0)))),"Fix")))</f>
        <v xml:space="preserve"> </v>
      </c>
      <c r="C855" s="4" t="str">
        <f ca="1">IF(OR(INDEX($AG$2:$AG$1001,MATCH(ROWS($AF$2:AF855),$AF$2:$AF$1001,0),1)&gt;=100000,INDEX($AM$1005:$BM$1005,1,MATCH(COLUMNS($AM$1006:AN1006),$AM$1006:$BM$1006,0))&gt;=100000), " ",IF(INDEX($AM$2:$BM$1001,MATCH(ROWS($AF$2:AF855),$AF$2:$AF$1001,0),MATCH(COLUMNS($AM$1006:AN1006),$AM$1006:$BM$1006,0)), HYPERLINK("#",""), HYPERLINK(CONCATENATE("#metadata!", ADDRESS(INDEX($AH$2:$AH$1001,MATCH(ROWS($AF$2:AF855),$AF$2:$AF$1001,0),0), INDEX($AM$1004:$BM$1004,1,MATCH(COLUMNS($AM$1006:AN1006),$AM$1006:$BM$1006,0)))),"Fix")))</f>
        <v xml:space="preserve"> </v>
      </c>
      <c r="D855" s="4" t="str">
        <f ca="1">IF(OR(INDEX($AG$2:$AG$1001,MATCH(ROWS($AF$2:AF855),$AF$2:$AF$1001,0),1)&gt;=100000,INDEX($AM$1005:$BM$1005,1,MATCH(COLUMNS($AM$1006:AO1006),$AM$1006:$BM$1006,0))&gt;=100000), " ",IF(INDEX($AM$2:$BM$1001,MATCH(ROWS($AF$2:AF855),$AF$2:$AF$1001,0),MATCH(COLUMNS($AM$1006:AO1006),$AM$1006:$BM$1006,0)), HYPERLINK("#",""), HYPERLINK(CONCATENATE("#metadata!", ADDRESS(INDEX($AH$2:$AH$1001,MATCH(ROWS($AF$2:AF855),$AF$2:$AF$1001,0),0), INDEX($AM$1004:$BM$1004,1,MATCH(COLUMNS($AM$1006:AO1006),$AM$1006:$BM$1006,0)))),"Fix")))</f>
        <v xml:space="preserve"> </v>
      </c>
      <c r="E855" s="4" t="str">
        <f ca="1">IF(OR(INDEX($AG$2:$AG$1001,MATCH(ROWS($AF$2:AF855),$AF$2:$AF$1001,0),1)&gt;=100000,INDEX($AM$1005:$BM$1005,1,MATCH(COLUMNS($AM$1006:AP1006),$AM$1006:$BM$1006,0))&gt;=100000), " ",IF(INDEX($AM$2:$BM$1001,MATCH(ROWS($AF$2:AF855),$AF$2:$AF$1001,0),MATCH(COLUMNS($AM$1006:AP1006),$AM$1006:$BM$1006,0)), HYPERLINK("#",""), HYPERLINK(CONCATENATE("#metadata!", ADDRESS(INDEX($AH$2:$AH$1001,MATCH(ROWS($AF$2:AF855),$AF$2:$AF$1001,0),0), INDEX($AM$1004:$BM$1004,1,MATCH(COLUMNS($AM$1006:AP1006),$AM$1006:$BM$1006,0)))),"Fix")))</f>
        <v xml:space="preserve"> </v>
      </c>
      <c r="F855" s="4" t="str">
        <f ca="1">IF(OR(INDEX($AG$2:$AG$1001,MATCH(ROWS($AF$2:AF855),$AF$2:$AF$1001,0),1)&gt;=100000,INDEX($AM$1005:$BM$1005,1,MATCH(COLUMNS($AM$1006:AQ1006),$AM$1006:$BM$1006,0))&gt;=100000), " ",IF(INDEX($AM$2:$BM$1001,MATCH(ROWS($AF$2:AF855),$AF$2:$AF$1001,0),MATCH(COLUMNS($AM$1006:AQ1006),$AM$1006:$BM$1006,0)), HYPERLINK("#",""), HYPERLINK(CONCATENATE("#metadata!", ADDRESS(INDEX($AH$2:$AH$1001,MATCH(ROWS($AF$2:AF855),$AF$2:$AF$1001,0),0), INDEX($AM$1004:$BM$1004,1,MATCH(COLUMNS($AM$1006:AQ1006),$AM$1006:$BM$1006,0)))),"Fix")))</f>
        <v xml:space="preserve"> </v>
      </c>
      <c r="G855" s="4" t="str">
        <f ca="1">IF(OR(INDEX($AG$2:$AG$1001,MATCH(ROWS($AF$2:AF855),$AF$2:$AF$1001,0),1)&gt;=100000,INDEX($AM$1005:$BM$1005,1,MATCH(COLUMNS($AM$1006:AR1006),$AM$1006:$BM$1006,0))&gt;=100000), " ",IF(INDEX($AM$2:$BM$1001,MATCH(ROWS($AF$2:AF855),$AF$2:$AF$1001,0),MATCH(COLUMNS($AM$1006:AR1006),$AM$1006:$BM$1006,0)), HYPERLINK("#",""), HYPERLINK(CONCATENATE("#metadata!", ADDRESS(INDEX($AH$2:$AH$1001,MATCH(ROWS($AF$2:AF855),$AF$2:$AF$1001,0),0), INDEX($AM$1004:$BM$1004,1,MATCH(COLUMNS($AM$1006:AR1006),$AM$1006:$BM$1006,0)))),"Fix")))</f>
        <v xml:space="preserve"> </v>
      </c>
      <c r="H855" s="4" t="str">
        <f ca="1">IF(OR(INDEX($AG$2:$AG$1001,MATCH(ROWS($AF$2:AF855),$AF$2:$AF$1001,0),1)&gt;=100000,INDEX($AM$1005:$BM$1005,1,MATCH(COLUMNS($AM$1006:AS1006),$AM$1006:$BM$1006,0))&gt;=100000), " ",IF(INDEX($AM$2:$BM$1001,MATCH(ROWS($AF$2:AF855),$AF$2:$AF$1001,0),MATCH(COLUMNS($AM$1006:AS1006),$AM$1006:$BM$1006,0)), HYPERLINK("#",""), HYPERLINK(CONCATENATE("#metadata!", ADDRESS(INDEX($AH$2:$AH$1001,MATCH(ROWS($AF$2:AF855),$AF$2:$AF$1001,0),0), INDEX($AM$1004:$BM$1004,1,MATCH(COLUMNS($AM$1006:AS1006),$AM$1006:$BM$1006,0)))),"Fix")))</f>
        <v xml:space="preserve"> </v>
      </c>
      <c r="I855" s="4" t="str">
        <f ca="1">IF(OR(INDEX($AG$2:$AG$1001,MATCH(ROWS($AF$2:AF855),$AF$2:$AF$1001,0),1)&gt;=100000,INDEX($AM$1005:$BM$1005,1,MATCH(COLUMNS($AM$1006:AT1006),$AM$1006:$BM$1006,0))&gt;=100000), " ",IF(INDEX($AM$2:$BM$1001,MATCH(ROWS($AF$2:AF855),$AF$2:$AF$1001,0),MATCH(COLUMNS($AM$1006:AT1006),$AM$1006:$BM$1006,0)), HYPERLINK("#",""), HYPERLINK(CONCATENATE("#metadata!", ADDRESS(INDEX($AH$2:$AH$1001,MATCH(ROWS($AF$2:AF855),$AF$2:$AF$1001,0),0), INDEX($AM$1004:$BM$1004,1,MATCH(COLUMNS($AM$1006:AT1006),$AM$1006:$BM$1006,0)))),"Fix")))</f>
        <v xml:space="preserve"> </v>
      </c>
      <c r="J855" s="4" t="str">
        <f ca="1">IF(OR(INDEX($AG$2:$AG$1001,MATCH(ROWS($AF$2:AF855),$AF$2:$AF$1001,0),1)&gt;=100000,INDEX($AM$1005:$BM$1005,1,MATCH(COLUMNS($AM$1006:AU1006),$AM$1006:$BM$1006,0))&gt;=100000), " ",IF(INDEX($AM$2:$BM$1001,MATCH(ROWS($AF$2:AF855),$AF$2:$AF$1001,0),MATCH(COLUMNS($AM$1006:AU1006),$AM$1006:$BM$1006,0)), HYPERLINK("#",""), HYPERLINK(CONCATENATE("#metadata!", ADDRESS(INDEX($AH$2:$AH$1001,MATCH(ROWS($AF$2:AF855),$AF$2:$AF$1001,0),0), INDEX($AM$1004:$BM$1004,1,MATCH(COLUMNS($AM$1006:AU1006),$AM$1006:$BM$1006,0)))),"Fix")))</f>
        <v xml:space="preserve"> </v>
      </c>
      <c r="K855" s="4" t="str">
        <f ca="1">IF(OR(INDEX($AG$2:$AG$1001,MATCH(ROWS($AF$2:AF855),$AF$2:$AF$1001,0),1)&gt;=100000,INDEX($AM$1005:$BM$1005,1,MATCH(COLUMNS($AM$1006:AV1006),$AM$1006:$BM$1006,0))&gt;=100000), " ",IF(INDEX($AM$2:$BM$1001,MATCH(ROWS($AF$2:AF855),$AF$2:$AF$1001,0),MATCH(COLUMNS($AM$1006:AV1006),$AM$1006:$BM$1006,0)), HYPERLINK("#",""), HYPERLINK(CONCATENATE("#metadata!", ADDRESS(INDEX($AH$2:$AH$1001,MATCH(ROWS($AF$2:AF855),$AF$2:$AF$1001,0),0), INDEX($AM$1004:$BM$1004,1,MATCH(COLUMNS($AM$1006:AV1006),$AM$1006:$BM$1006,0)))),"Fix")))</f>
        <v xml:space="preserve"> </v>
      </c>
      <c r="L855" s="4" t="str">
        <f ca="1">IF(OR(INDEX($AG$2:$AG$1001,MATCH(ROWS($AF$2:AF855),$AF$2:$AF$1001,0),1)&gt;=100000,INDEX($AM$1005:$BM$1005,1,MATCH(COLUMNS($AM$1006:AW1006),$AM$1006:$BM$1006,0))&gt;=100000), " ",IF(INDEX($AM$2:$BM$1001,MATCH(ROWS($AF$2:AF855),$AF$2:$AF$1001,0),MATCH(COLUMNS($AM$1006:AW1006),$AM$1006:$BM$1006,0)), HYPERLINK("#",""), HYPERLINK(CONCATENATE("#metadata!", ADDRESS(INDEX($AH$2:$AH$1001,MATCH(ROWS($AF$2:AF855),$AF$2:$AF$1001,0),0), INDEX($AM$1004:$BM$1004,1,MATCH(COLUMNS($AM$1006:AW1006),$AM$1006:$BM$1006,0)))),"Fix")))</f>
        <v xml:space="preserve"> </v>
      </c>
      <c r="M855" s="4" t="str">
        <f ca="1">IF(OR(INDEX($AG$2:$AG$1001,MATCH(ROWS($AF$2:AF855),$AF$2:$AF$1001,0),1)&gt;=100000,INDEX($AM$1005:$BM$1005,1,MATCH(COLUMNS($AM$1006:AX1006),$AM$1006:$BM$1006,0))&gt;=100000), " ",IF(INDEX($AM$2:$BM$1001,MATCH(ROWS($AF$2:AF855),$AF$2:$AF$1001,0),MATCH(COLUMNS($AM$1006:AX1006),$AM$1006:$BM$1006,0)), HYPERLINK("#",""), HYPERLINK(CONCATENATE("#metadata!", ADDRESS(INDEX($AH$2:$AH$1001,MATCH(ROWS($AF$2:AF855),$AF$2:$AF$1001,0),0), INDEX($AM$1004:$BM$1004,1,MATCH(COLUMNS($AM$1006:AX1006),$AM$1006:$BM$1006,0)))),"Fix")))</f>
        <v xml:space="preserve"> </v>
      </c>
      <c r="N855" s="4" t="str">
        <f ca="1">IF(OR(INDEX($AG$2:$AG$1001,MATCH(ROWS($AF$2:AF855),$AF$2:$AF$1001,0),1)&gt;=100000,INDEX($AM$1005:$BM$1005,1,MATCH(COLUMNS($AM$1006:AY1006),$AM$1006:$BM$1006,0))&gt;=100000), " ",IF(INDEX($AM$2:$BM$1001,MATCH(ROWS($AF$2:AF855),$AF$2:$AF$1001,0),MATCH(COLUMNS($AM$1006:AY1006),$AM$1006:$BM$1006,0)), HYPERLINK("#",""), HYPERLINK(CONCATENATE("#metadata!", ADDRESS(INDEX($AH$2:$AH$1001,MATCH(ROWS($AF$2:AF855),$AF$2:$AF$1001,0),0), INDEX($AM$1004:$BM$1004,1,MATCH(COLUMNS($AM$1006:AY1006),$AM$1006:$BM$1006,0)))),"Fix")))</f>
        <v xml:space="preserve"> </v>
      </c>
      <c r="O855" s="4" t="str">
        <f ca="1">IF(OR(INDEX($AG$2:$AG$1001,MATCH(ROWS($AF$2:AF855),$AF$2:$AF$1001,0),1)&gt;=100000,INDEX($AM$1005:$BM$1005,1,MATCH(COLUMNS($AM$1006:AZ1006),$AM$1006:$BM$1006,0))&gt;=100000), " ",IF(INDEX($AM$2:$BM$1001,MATCH(ROWS($AF$2:AF855),$AF$2:$AF$1001,0),MATCH(COLUMNS($AM$1006:AZ1006),$AM$1006:$BM$1006,0)), HYPERLINK("#",""), HYPERLINK(CONCATENATE("#metadata!", ADDRESS(INDEX($AH$2:$AH$1001,MATCH(ROWS($AF$2:AF855),$AF$2:$AF$1001,0),0), INDEX($AM$1004:$BM$1004,1,MATCH(COLUMNS($AM$1006:AZ1006),$AM$1006:$BM$1006,0)))),"Fix")))</f>
        <v xml:space="preserve"> </v>
      </c>
      <c r="P855" s="4" t="str">
        <f ca="1">IF(OR(INDEX($AG$2:$AG$1001,MATCH(ROWS($AF$2:AF855),$AF$2:$AF$1001,0),1)&gt;=100000,INDEX($AM$1005:$BM$1005,1,MATCH(COLUMNS($AM$1006:BA1006),$AM$1006:$BM$1006,0))&gt;=100000), " ",IF(INDEX($AM$2:$BM$1001,MATCH(ROWS($AF$2:AF855),$AF$2:$AF$1001,0),MATCH(COLUMNS($AM$1006:BA1006),$AM$1006:$BM$1006,0)), HYPERLINK("#",""), HYPERLINK(CONCATENATE("#metadata!", ADDRESS(INDEX($AH$2:$AH$1001,MATCH(ROWS($AF$2:AF855),$AF$2:$AF$1001,0),0), INDEX($AM$1004:$BM$1004,1,MATCH(COLUMNS($AM$1006:BA1006),$AM$1006:$BM$1006,0)))),"Fix")))</f>
        <v xml:space="preserve"> </v>
      </c>
      <c r="Q855" s="4" t="str">
        <f ca="1">IF(OR(INDEX($AG$2:$AG$1001,MATCH(ROWS($AF$2:AF855),$AF$2:$AF$1001,0),1)&gt;=100000,INDEX($AM$1005:$BM$1005,1,MATCH(COLUMNS($AM$1006:BB1006),$AM$1006:$BM$1006,0))&gt;=100000), " ",IF(INDEX($AM$2:$BM$1001,MATCH(ROWS($AF$2:AF855),$AF$2:$AF$1001,0),MATCH(COLUMNS($AM$1006:BB1006),$AM$1006:$BM$1006,0)), HYPERLINK("#",""), HYPERLINK(CONCATENATE("#metadata!", ADDRESS(INDEX($AH$2:$AH$1001,MATCH(ROWS($AF$2:AF855),$AF$2:$AF$1001,0),0), INDEX($AM$1004:$BM$1004,1,MATCH(COLUMNS($AM$1006:BB1006),$AM$1006:$BM$1006,0)))),"Fix")))</f>
        <v xml:space="preserve"> </v>
      </c>
      <c r="R855" s="4" t="str">
        <f ca="1">IF(OR(INDEX($AG$2:$AG$1001,MATCH(ROWS($AF$2:AF855),$AF$2:$AF$1001,0),1)&gt;=100000,INDEX($AM$1005:$BM$1005,1,MATCH(COLUMNS($AM$1006:BC1006),$AM$1006:$BM$1006,0))&gt;=100000), " ",IF(INDEX($AM$2:$BM$1001,MATCH(ROWS($AF$2:AF855),$AF$2:$AF$1001,0),MATCH(COLUMNS($AM$1006:BC1006),$AM$1006:$BM$1006,0)), HYPERLINK("#",""), HYPERLINK(CONCATENATE("#metadata!", ADDRESS(INDEX($AH$2:$AH$1001,MATCH(ROWS($AF$2:AF855),$AF$2:$AF$1001,0),0), INDEX($AM$1004:$BM$1004,1,MATCH(COLUMNS($AM$1006:BC1006),$AM$1006:$BM$1006,0)))),"Fix")))</f>
        <v xml:space="preserve"> </v>
      </c>
      <c r="S855" s="4" t="str">
        <f ca="1">IF(OR(INDEX($AG$2:$AG$1001,MATCH(ROWS($AF$2:AF855),$AF$2:$AF$1001,0),1)&gt;=100000,INDEX($AM$1005:$BM$1005,1,MATCH(COLUMNS($AM$1006:BD1006),$AM$1006:$BM$1006,0))&gt;=100000), " ",IF(INDEX($AM$2:$BM$1001,MATCH(ROWS($AF$2:AF855),$AF$2:$AF$1001,0),MATCH(COLUMNS($AM$1006:BD1006),$AM$1006:$BM$1006,0)), HYPERLINK("#",""), HYPERLINK(CONCATENATE("#metadata!", ADDRESS(INDEX($AH$2:$AH$1001,MATCH(ROWS($AF$2:AF855),$AF$2:$AF$1001,0),0), INDEX($AM$1004:$BM$1004,1,MATCH(COLUMNS($AM$1006:BD1006),$AM$1006:$BM$1006,0)))),"Fix")))</f>
        <v xml:space="preserve"> </v>
      </c>
      <c r="T855" s="4" t="str">
        <f ca="1">IF(OR(INDEX($AG$2:$AG$1001,MATCH(ROWS($AF$2:AF855),$AF$2:$AF$1001,0),1)&gt;=100000,INDEX($AM$1005:$BM$1005,1,MATCH(COLUMNS($AM$1006:BE1006),$AM$1006:$BM$1006,0))&gt;=100000), " ",IF(INDEX($AM$2:$BM$1001,MATCH(ROWS($AF$2:AF855),$AF$2:$AF$1001,0),MATCH(COLUMNS($AM$1006:BE1006),$AM$1006:$BM$1006,0)), HYPERLINK("#",""), HYPERLINK(CONCATENATE("#metadata!", ADDRESS(INDEX($AH$2:$AH$1001,MATCH(ROWS($AF$2:AF855),$AF$2:$AF$1001,0),0), INDEX($AM$1004:$BM$1004,1,MATCH(COLUMNS($AM$1006:BE1006),$AM$1006:$BM$1006,0)))),"Fix")))</f>
        <v xml:space="preserve"> </v>
      </c>
      <c r="U855" s="4" t="str">
        <f ca="1">IF(OR(INDEX($AG$2:$AG$1001,MATCH(ROWS($AF$2:AF855),$AF$2:$AF$1001,0),1)&gt;=100000,INDEX($AM$1005:$BM$1005,1,MATCH(COLUMNS($AM$1006:BF1006),$AM$1006:$BM$1006,0))&gt;=100000), " ",IF(INDEX($AM$2:$BM$1001,MATCH(ROWS($AF$2:AF855),$AF$2:$AF$1001,0),MATCH(COLUMNS($AM$1006:BF1006),$AM$1006:$BM$1006,0)), HYPERLINK("#",""), HYPERLINK(CONCATENATE("#metadata!", ADDRESS(INDEX($AH$2:$AH$1001,MATCH(ROWS($AF$2:AF855),$AF$2:$AF$1001,0),0), INDEX($AM$1004:$BM$1004,1,MATCH(COLUMNS($AM$1006:BF1006),$AM$1006:$BM$1006,0)))),"Fix")))</f>
        <v xml:space="preserve"> </v>
      </c>
      <c r="V855" s="4" t="str">
        <f ca="1">IF(OR(INDEX($AG$2:$AG$1001,MATCH(ROWS($AF$2:AF855),$AF$2:$AF$1001,0),1)&gt;=100000,INDEX($AM$1005:$BM$1005,1,MATCH(COLUMNS($AM$1006:BG1006),$AM$1006:$BM$1006,0))&gt;=100000), " ",IF(INDEX($AM$2:$BM$1001,MATCH(ROWS($AF$2:AF855),$AF$2:$AF$1001,0),MATCH(COLUMNS($AM$1006:BG1006),$AM$1006:$BM$1006,0)), HYPERLINK("#",""), HYPERLINK(CONCATENATE("#metadata!", ADDRESS(INDEX($AH$2:$AH$1001,MATCH(ROWS($AF$2:AF855),$AF$2:$AF$1001,0),0), INDEX($AM$1004:$BM$1004,1,MATCH(COLUMNS($AM$1006:BG1006),$AM$1006:$BM$1006,0)))),"Fix")))</f>
        <v xml:space="preserve"> </v>
      </c>
      <c r="W855" s="4" t="str">
        <f ca="1">IF(OR(INDEX($AG$2:$AG$1001,MATCH(ROWS($AF$2:AF855),$AF$2:$AF$1001,0),1)&gt;=100000,INDEX($AM$1005:$BM$1005,1,MATCH(COLUMNS($AM$1006:BH1006),$AM$1006:$BM$1006,0))&gt;=100000), " ",IF(INDEX($AM$2:$BM$1001,MATCH(ROWS($AF$2:AF855),$AF$2:$AF$1001,0),MATCH(COLUMNS($AM$1006:BH1006),$AM$1006:$BM$1006,0)), HYPERLINK("#",""), HYPERLINK(CONCATENATE("#metadata!", ADDRESS(INDEX($AH$2:$AH$1001,MATCH(ROWS($AF$2:AF855),$AF$2:$AF$1001,0),0), INDEX($AM$1004:$BM$1004,1,MATCH(COLUMNS($AM$1006:BH1006),$AM$1006:$BM$1006,0)))),"Fix")))</f>
        <v xml:space="preserve"> </v>
      </c>
      <c r="X855" s="4" t="str">
        <f ca="1">IF(OR(INDEX($AG$2:$AG$1001,MATCH(ROWS($AF$2:AF855),$AF$2:$AF$1001,0),1)&gt;=100000,INDEX($AM$1005:$BM$1005,1,MATCH(COLUMNS($AM$1006:BI1006),$AM$1006:$BM$1006,0))&gt;=100000), " ",IF(INDEX($AM$2:$BM$1001,MATCH(ROWS($AF$2:AF855),$AF$2:$AF$1001,0),MATCH(COLUMNS($AM$1006:BI1006),$AM$1006:$BM$1006,0)), HYPERLINK("#",""), HYPERLINK(CONCATENATE("#metadata!", ADDRESS(INDEX($AH$2:$AH$1001,MATCH(ROWS($AF$2:AF855),$AF$2:$AF$1001,0),0), INDEX($AM$1004:$BM$1004,1,MATCH(COLUMNS($AM$1006:BI1006),$AM$1006:$BM$1006,0)))),"Fix")))</f>
        <v xml:space="preserve"> </v>
      </c>
      <c r="Y855" s="4" t="str">
        <f ca="1">IF(OR(INDEX($AG$2:$AG$1001,MATCH(ROWS($AF$2:AF855),$AF$2:$AF$1001,0),1)&gt;=100000,INDEX($AM$1005:$BM$1005,1,MATCH(COLUMNS($AM$1006:BJ1006),$AM$1006:$BM$1006,0))&gt;=100000), " ",IF(INDEX($AM$2:$BM$1001,MATCH(ROWS($AF$2:AF855),$AF$2:$AF$1001,0),MATCH(COLUMNS($AM$1006:BJ1006),$AM$1006:$BM$1006,0)), HYPERLINK("#",""), HYPERLINK(CONCATENATE("#metadata!", ADDRESS(INDEX($AH$2:$AH$1001,MATCH(ROWS($AF$2:AF855),$AF$2:$AF$1001,0),0), INDEX($AM$1004:$BM$1004,1,MATCH(COLUMNS($AM$1006:BJ1006),$AM$1006:$BM$1006,0)))),"Fix")))</f>
        <v xml:space="preserve"> </v>
      </c>
      <c r="Z855" s="4" t="str">
        <f ca="1">IF(OR(INDEX($AG$2:$AG$1001,MATCH(ROWS($AF$2:AF855),$AF$2:$AF$1001,0),1)&gt;=100000,INDEX($AM$1005:$BM$1005,1,MATCH(COLUMNS($AM$1006:BK1006),$AM$1006:$BM$1006,0))&gt;=100000), " ",IF(INDEX($AM$2:$BM$1001,MATCH(ROWS($AF$2:AF855),$AF$2:$AF$1001,0),MATCH(COLUMNS($AM$1006:BK1006),$AM$1006:$BM$1006,0)), HYPERLINK("#",""), HYPERLINK(CONCATENATE("#metadata!", ADDRESS(INDEX($AH$2:$AH$1001,MATCH(ROWS($AF$2:AF855),$AF$2:$AF$1001,0),0), INDEX($AM$1004:$BM$1004,1,MATCH(COLUMNS($AM$1006:BK1006),$AM$1006:$BM$1006,0)))),"Fix")))</f>
        <v xml:space="preserve"> </v>
      </c>
      <c r="AA855" s="4" t="str">
        <f ca="1">IF(OR(INDEX($AG$2:$AG$1001,MATCH(ROWS($AF$2:AF855),$AF$2:$AF$1001,0),1)&gt;=100000,INDEX($AM$1005:$BM$1005,1,MATCH(COLUMNS($AM$1006:BL1006),$AM$1006:$BM$1006,0))&gt;=100000), " ",IF(INDEX($AM$2:$BM$1001,MATCH(ROWS($AF$2:AF855),$AF$2:$AF$1001,0),MATCH(COLUMNS($AM$1006:BL1006),$AM$1006:$BM$1006,0)), HYPERLINK("#",""), HYPERLINK(CONCATENATE("#metadata!", ADDRESS(INDEX($AH$2:$AH$1001,MATCH(ROWS($AF$2:AF855),$AF$2:$AF$1001,0),0), INDEX($AM$1004:$BM$1004,1,MATCH(COLUMNS($AM$1006:BL1006),$AM$1006:$BM$1006,0)))),"Fix")))</f>
        <v xml:space="preserve"> </v>
      </c>
      <c r="AB855" s="4" t="str">
        <f ca="1">IF(OR(INDEX($AG$2:$AG$1001,MATCH(ROWS($AF$2:AF855),$AF$2:$AF$1001,0),1)&gt;=100000,INDEX($AM$1005:$BM$1005,1,MATCH(COLUMNS($AM$1006:BM1006),$AM$1006:$BM$1006,0))&gt;=100000), " ",IF(INDEX($AM$2:$BM$1001,MATCH(ROWS($AF$2:AF855),$AF$2:$AF$1001,0),MATCH(COLUMNS($AM$1006:BM1006),$AM$1006:$BM$1006,0)), HYPERLINK("#",""), HYPERLINK(CONCATENATE("#metadata!", ADDRESS(INDEX($AH$2:$AH$1001,MATCH(ROWS($AF$2:AF855),$AF$2:$AF$1001,0),0), INDEX($AM$1004:$BM$1004,1,MATCH(COLUMNS($AM$1006:BM1006),$AM$1006:$BM$1006,0)))),"Fix")))</f>
        <v xml:space="preserve"> </v>
      </c>
      <c r="AF855">
        <v>854</v>
      </c>
      <c r="AG855">
        <v>100855</v>
      </c>
      <c r="AH855">
        <v>855</v>
      </c>
      <c r="AI855" t="b">
        <f t="shared" si="13"/>
        <v>1</v>
      </c>
      <c r="AJ855" t="b">
        <f>COUNTBLANK(metadata!B855:AB855)=COLUMNS(metadata!B855:AB855)</f>
        <v>1</v>
      </c>
      <c r="AK855" t="str">
        <v/>
      </c>
      <c r="AM855" t="b">
        <f ca="1">AND(IF(metadata!B855="",FALSE,TRUE),COUNTIF(metadata!B:B, metadata!B855) = 1,NOT(ISERROR(SUMPRODUCT(SEARCH(MID(metadata!B855,ROW(INDIRECT("1:"&amp;LEN(metadata!B855))), 1),"0123456789abcdefghijklmnopqrstuvwxyzABCDEFGHIJKLMNOPQRSTUVWXYZ.")))))</f>
        <v>0</v>
      </c>
      <c r="AN855" t="b">
        <f ca="1">OR(AND(IF(metadata!C855="",FALSE,TRUE),OR(EXACT(metadata!C855,"missing: not collected"),EXACT(metadata!C855,"missing: not provided"),EXACT(metadata!C855,"missing: restricted access"))),AND(IF(metadata!C855="",FALSE,TRUE),AND(AND(IFERROR(INT(LEFT(metadata!C855,4))&gt;1900,FALSE),IFERROR(INT(LEFT(metadata!C855,4))&lt;=YEAR(NOW()),FALSE)), OR(MID(metadata!C855,5,1)="", AND(AND(MID(metadata!C855,5,1)="-",IFERROR(INT(MID(metadata!C855,6,1))&gt;=0,FALSE),IFERROR(INT(MID(metadata!C855,6,1))&lt;=1,FALSE),NOT(MID(metadata!C855,7,1)=""),IFERROR(INT(MID(metadata!C855,6,2))&gt;=1,FALSE),IFERROR(INT(MID(metadata!C855,6,2))&lt;=12,FALSE)), OR(MID(metadata!C855,8,1)="", AND(AND(MID(metadata!C855,8,1)="-",IFERROR(INT(MID(metadata!C855,9,1))&gt;=0,FALSE),IFERROR(INT(MID(metadata!C855,9,1))&lt;=3,FALSE),NOT(MID(metadata!C855,10,1)=""),IFERROR(INT(MID(metadata!C855,9,2))&gt;=1,FALSE),IFERROR(INT(MID(metadata!C855,9,2))&lt;=31,FALSE)), OR(MID(metadata!C855,11,1)="", AND(AND(MID(metadata!C855,11,1)=" ",IFERROR(INT(MID(metadata!C855,12,1))&gt;=0,FALSE),IFERROR(INT(MID(metadata!C855,12,1))&lt;=2,FALSE),NOT(MID(metadata!C855,13,1)=""),IFERROR(INT(MID(metadata!C855,12,2))&gt;=0,FALSE),IFERROR(INT(MID(metadata!C855,12,2))&lt;=23,FALSE)), OR(MID(metadata!C855,14,1)="", AND(AND(MID(metadata!C855,14,1)=":",IFERROR(INT(MID(metadata!C855,15,1))&gt;=0,FALSE),IFERROR(INT(MID(metadata!C855,15,1))&lt;=5,FALSE),NOT(MID(metadata!C855,16,1)=""),IFERROR(INT(MID(metadata!C855,15,2))&gt;=0,FALSE),IFERROR(INT(MID(metadata!C855,15,2))&lt;=59,FALSE)), OR(MID(metadata!C855,17,1)="", AND(AND(MID(metadata!C855,17,1)=":",IFERROR(INT(MID(metadata!C855,18,1))&gt;=0,FALSE),IFERROR(INT(MID(metadata!C855,18,1))&lt;=5,FALSE),NOT(MID(metadata!C855,19,1)=""),IFERROR(INT(MID(metadata!C855,18,2))&gt;=0,FALSE),IFERROR(INT(MID(metadata!C855,18,2))&lt;=59,FALSE)), LEN(metadata!C855)&lt;=19)))))))))))))</f>
        <v>0</v>
      </c>
      <c r="AO855" t="b">
        <f>AND(IF(metadata!D855="",FALSE,TRUE),EXACT(metadata!D855,"Not applicable"))</f>
        <v>0</v>
      </c>
      <c r="AP855" t="b">
        <f>IF(metadata!E855="",FALSE,TRUE)</f>
        <v>0</v>
      </c>
      <c r="AQ855" t="b">
        <f>OR(AND(IF(metadata!F855="",FALSE,TRUE),OR(EXACT(metadata!F855,"missing: not collected"),EXACT(metadata!F855,"missing: not provided"))),AND(IF(metadata!F855="",FALSE,TRUE),OR(EXACT(metadata!F855,"TRUE"),EXACT(metadata!F855,"FALSE"))))</f>
        <v>0</v>
      </c>
      <c r="AR855" t="b">
        <f>OR(AND(IF(metadata!G855="",FALSE,TRUE),OR(EXACT(metadata!G855,"missing: not collected"),EXACT(metadata!G855,"missing: not provided"),EXACT(metadata!G855,"missing: restricted access"))),AND(IF(metadata!G855="",FALSE,ISNUMBER(VALUE(metadata!G855))),metadata!G855&gt;=-413))</f>
        <v>0</v>
      </c>
      <c r="AS855" t="b">
        <f>AND(IF(metadata!H855="",FALSE,TRUE),EXACT(metadata!H855,"meters"))</f>
        <v>0</v>
      </c>
      <c r="AT855" t="b">
        <f>AND(IF(metadata!I855="",FALSE,TRUE),OR(EXACT(metadata!I855,"Host-associated"),EXACT(metadata!I855,"Free-living")))</f>
        <v>0</v>
      </c>
      <c r="AU855" t="b">
        <f>AND(IF(metadata!J855="",FALSE,TRUE),OR(EXACT(metadata!J855,"Animal"),EXACT(metadata!J855,"Fungus"),EXACT(metadata!J855,"Plant"),EXACT(metadata!J855,"Saline"),EXACT(metadata!J855,"Non-saline")))</f>
        <v>0</v>
      </c>
      <c r="AV855" t="b">
        <f>AND(IF(metadata!K855="",FALSE,TRUE),OR(EXACT(metadata!K855,"Plant secretion"),EXACT(metadata!K855,"Plant rhizosphere"),EXACT(metadata!K855,"Plant surface"),EXACT(metadata!K855,"Plant corpus"),EXACT(metadata!K855,"Fungus surface"),EXACT(metadata!K855,"Fungus corpus"),EXACT(metadata!K855,"Animal surface"),EXACT(metadata!K855,"Animal proximal gut"),EXACT(metadata!K855,"Animal corpus"),EXACT(metadata!K855,"Animal distal gut"),EXACT(metadata!K855,"Animal secretion"),EXACT(metadata!K855,"Sub-surface (non-saline)"),EXACT(metadata!K855,"Surface (non-saline)"),EXACT(metadata!K855,"Water (non-saline)"),EXACT(metadata!K855,"Soil (non-saline)"),EXACT(metadata!K855,"Aerosol (non-saline)"),EXACT(metadata!K855,"Sediment (non-saline)"),EXACT(metadata!K855,"Surface (saline)"),EXACT(metadata!K855,"Water (saline)"),EXACT(metadata!K855,"Hypersaline (saline)"),EXACT(metadata!K855,"Aerosol (saline)"),EXACT(metadata!K855,"Sediment (saline)")))</f>
        <v>0</v>
      </c>
      <c r="AW855" t="b">
        <f>IF(metadata!L855="",FALSE,TRUE)</f>
        <v>0</v>
      </c>
      <c r="AX855" t="b">
        <f>IF(metadata!M855="",FALSE,TRUE)</f>
        <v>0</v>
      </c>
      <c r="AY855" t="b">
        <f>IF(metadata!N855="",FALSE,TRUE)</f>
        <v>0</v>
      </c>
      <c r="AZ855" t="b">
        <f>OR(AND(IF(metadata!O855="",FALSE,TRUE),OR(EXACT(metadata!O855,"missing: not collected"),EXACT(metadata!O855,"missing: not provided"),EXACT(metadata!O855,"missing: restricted access"))),AND(IF(metadata!O855="",FALSE,TRUE),OR(EXACT(metadata!O855,"air"),EXACT(metadata!O855,"built environment"),EXACT(metadata!O855,"host-associated"),EXACT(metadata!O855,"human-associated"),EXACT(metadata!O855,"human-skin"),EXACT(metadata!O855,"human-oral"),EXACT(metadata!O855,"human-gut"),EXACT(metadata!O855,"human-vaginal"),EXACT(metadata!O855,"microbial mat/biofilm"),EXACT(metadata!O855,"misc environment"),EXACT(metadata!O855,"plant-associated"),EXACT(metadata!O855,"sediment"),EXACT(metadata!O855,"soil"),EXACT(metadata!O855,"wastewater/sludge"),EXACT(metadata!O855,"water"))))</f>
        <v>0</v>
      </c>
      <c r="BA855" t="b">
        <f>IF(metadata!P855="",FALSE,TRUE)</f>
        <v>0</v>
      </c>
      <c r="BB855" t="b">
        <f>IF(metadata!Q855="",FALSE,TRUE)</f>
        <v>0</v>
      </c>
      <c r="BC855" t="b">
        <f>OR(AND(IF(metadata!R855="",FALSE,TRUE),OR(EXACT(metadata!R855,"missing: not collected"),EXACT(metadata!R855,"missing: not provided"),EXACT(metadata!R855,"missing: restricted access"))),AND(IF(metadata!R855="",FALSE,ISNUMBER(VALUE(metadata!R855))),metadata!R855&gt;=-90,metadata!R855&lt;=90))</f>
        <v>0</v>
      </c>
      <c r="BD855" t="b">
        <f>AND(IF(metadata!S855="",FALSE,TRUE),EXACT(metadata!S855,"Decimal degrees"))</f>
        <v>0</v>
      </c>
      <c r="BE855" t="b">
        <f>OR(AND(IF(metadata!T855="",FALSE,TRUE),OR(EXACT(metadata!T855,"missing: not collected"),EXACT(metadata!T855,"missing: not provided"),EXACT(metadata!T855,"missing: restricted access"))),AND(IF(metadata!T855="",FALSE,ISNUMBER(VALUE(metadata!T855))),metadata!T855&gt;=-180,metadata!T855&lt;=180))</f>
        <v>0</v>
      </c>
      <c r="BF855" t="b">
        <f>AND(IF(metadata!U855="",FALSE,TRUE),EXACT(metadata!U855,"Decimal degrees"))</f>
        <v>0</v>
      </c>
      <c r="BG855" t="b">
        <f>IF(metadata!V855="",FALSE,TRUE)</f>
        <v>0</v>
      </c>
      <c r="BH855" t="b">
        <f>OR(AND(IF(metadata!W855="",FALSE,TRUE),OR(EXACT(metadata!W855,"missing: not collected"),EXACT(metadata!W855,"missing: not provided"),EXACT(metadata!W855,"missing: restricted access"))),AND(IF(metadata!W855="",FALSE,TRUE),OR(EXACT(metadata!W855,"TRUE"),EXACT(metadata!W855,"FALSE"))))</f>
        <v>0</v>
      </c>
      <c r="BI855" t="b">
        <f>AND(IF(metadata!X855="",FALSE,TRUE),EXACT(metadata!X855,"other"))</f>
        <v>0</v>
      </c>
      <c r="BJ855" t="b">
        <f>IF(metadata!Y855="",FALSE,TRUE)</f>
        <v>0</v>
      </c>
      <c r="BK855" t="b">
        <f>OR(AND(IF(metadata!Z855="",FALSE,TRUE),OR(EXACT(metadata!Z855,"missing: not collected"),EXACT(metadata!Z855,"missing: not provided"))),AND(IF(metadata!Z855="",FALSE,IF(ISERROR(INT(metadata!Z855)),FALSE,INT(metadata!Z855)=metadata!Z855)),metadata!Z855&gt;0))</f>
        <v>0</v>
      </c>
      <c r="BL855" t="b">
        <f>AND(IF(metadata!AA855="",FALSE,TRUE),EXACT(metadata!AA855,"Not applicable"))</f>
        <v>0</v>
      </c>
      <c r="BM855" t="b">
        <f>IF(metadata!AB855="",FALSE,TRUE)</f>
        <v>0</v>
      </c>
    </row>
    <row r="856" spans="1:65" x14ac:dyDescent="0.2">
      <c r="A856" s="5" t="str">
        <f ca="1">IF(B856=" "," ",HYPERLINK(CONCATENATE("#metadata!",ADDRESS(INDEX($AH$2:$AH$1001,MATCH(ROWS($AF$2:AF856),$AF$2:$AF$1001,0),0),1)),INDEX($AK$2:$AK$1001,MATCH(ROWS($AF$2:AF856),$AF$2:$AF$1001,0),0)))</f>
        <v xml:space="preserve"> </v>
      </c>
      <c r="B856" s="4" t="str">
        <f ca="1">IF(OR(INDEX($AG$2:$AG$1001,MATCH(ROWS($AF$2:AF856),$AF$2:$AF$1001,0),1)&gt;=100000,INDEX($AM$1005:$BM$1005,1,MATCH(COLUMNS($AM$1006:AM1006),$AM$1006:$BM$1006,0))&gt;=100000), " ",IF(INDEX($AM$2:$BM$1001,MATCH(ROWS($AF$2:AF856),$AF$2:$AF$1001,0),MATCH(COLUMNS($AM$1006:AM1006),$AM$1006:$BM$1006,0)), HYPERLINK("#",""), HYPERLINK(CONCATENATE("#metadata!", ADDRESS(INDEX($AH$2:$AH$1001,MATCH(ROWS($AF$2:AF856),$AF$2:$AF$1001,0),0), INDEX($AM$1004:$BM$1004,1,MATCH(COLUMNS($AM$1006:AM1006),$AM$1006:$BM$1006,0)))),"Fix")))</f>
        <v xml:space="preserve"> </v>
      </c>
      <c r="C856" s="4" t="str">
        <f ca="1">IF(OR(INDEX($AG$2:$AG$1001,MATCH(ROWS($AF$2:AF856),$AF$2:$AF$1001,0),1)&gt;=100000,INDEX($AM$1005:$BM$1005,1,MATCH(COLUMNS($AM$1006:AN1006),$AM$1006:$BM$1006,0))&gt;=100000), " ",IF(INDEX($AM$2:$BM$1001,MATCH(ROWS($AF$2:AF856),$AF$2:$AF$1001,0),MATCH(COLUMNS($AM$1006:AN1006),$AM$1006:$BM$1006,0)), HYPERLINK("#",""), HYPERLINK(CONCATENATE("#metadata!", ADDRESS(INDEX($AH$2:$AH$1001,MATCH(ROWS($AF$2:AF856),$AF$2:$AF$1001,0),0), INDEX($AM$1004:$BM$1004,1,MATCH(COLUMNS($AM$1006:AN1006),$AM$1006:$BM$1006,0)))),"Fix")))</f>
        <v xml:space="preserve"> </v>
      </c>
      <c r="D856" s="4" t="str">
        <f ca="1">IF(OR(INDEX($AG$2:$AG$1001,MATCH(ROWS($AF$2:AF856),$AF$2:$AF$1001,0),1)&gt;=100000,INDEX($AM$1005:$BM$1005,1,MATCH(COLUMNS($AM$1006:AO1006),$AM$1006:$BM$1006,0))&gt;=100000), " ",IF(INDEX($AM$2:$BM$1001,MATCH(ROWS($AF$2:AF856),$AF$2:$AF$1001,0),MATCH(COLUMNS($AM$1006:AO1006),$AM$1006:$BM$1006,0)), HYPERLINK("#",""), HYPERLINK(CONCATENATE("#metadata!", ADDRESS(INDEX($AH$2:$AH$1001,MATCH(ROWS($AF$2:AF856),$AF$2:$AF$1001,0),0), INDEX($AM$1004:$BM$1004,1,MATCH(COLUMNS($AM$1006:AO1006),$AM$1006:$BM$1006,0)))),"Fix")))</f>
        <v xml:space="preserve"> </v>
      </c>
      <c r="E856" s="4" t="str">
        <f ca="1">IF(OR(INDEX($AG$2:$AG$1001,MATCH(ROWS($AF$2:AF856),$AF$2:$AF$1001,0),1)&gt;=100000,INDEX($AM$1005:$BM$1005,1,MATCH(COLUMNS($AM$1006:AP1006),$AM$1006:$BM$1006,0))&gt;=100000), " ",IF(INDEX($AM$2:$BM$1001,MATCH(ROWS($AF$2:AF856),$AF$2:$AF$1001,0),MATCH(COLUMNS($AM$1006:AP1006),$AM$1006:$BM$1006,0)), HYPERLINK("#",""), HYPERLINK(CONCATENATE("#metadata!", ADDRESS(INDEX($AH$2:$AH$1001,MATCH(ROWS($AF$2:AF856),$AF$2:$AF$1001,0),0), INDEX($AM$1004:$BM$1004,1,MATCH(COLUMNS($AM$1006:AP1006),$AM$1006:$BM$1006,0)))),"Fix")))</f>
        <v xml:space="preserve"> </v>
      </c>
      <c r="F856" s="4" t="str">
        <f ca="1">IF(OR(INDEX($AG$2:$AG$1001,MATCH(ROWS($AF$2:AF856),$AF$2:$AF$1001,0),1)&gt;=100000,INDEX($AM$1005:$BM$1005,1,MATCH(COLUMNS($AM$1006:AQ1006),$AM$1006:$BM$1006,0))&gt;=100000), " ",IF(INDEX($AM$2:$BM$1001,MATCH(ROWS($AF$2:AF856),$AF$2:$AF$1001,0),MATCH(COLUMNS($AM$1006:AQ1006),$AM$1006:$BM$1006,0)), HYPERLINK("#",""), HYPERLINK(CONCATENATE("#metadata!", ADDRESS(INDEX($AH$2:$AH$1001,MATCH(ROWS($AF$2:AF856),$AF$2:$AF$1001,0),0), INDEX($AM$1004:$BM$1004,1,MATCH(COLUMNS($AM$1006:AQ1006),$AM$1006:$BM$1006,0)))),"Fix")))</f>
        <v xml:space="preserve"> </v>
      </c>
      <c r="G856" s="4" t="str">
        <f ca="1">IF(OR(INDEX($AG$2:$AG$1001,MATCH(ROWS($AF$2:AF856),$AF$2:$AF$1001,0),1)&gt;=100000,INDEX($AM$1005:$BM$1005,1,MATCH(COLUMNS($AM$1006:AR1006),$AM$1006:$BM$1006,0))&gt;=100000), " ",IF(INDEX($AM$2:$BM$1001,MATCH(ROWS($AF$2:AF856),$AF$2:$AF$1001,0),MATCH(COLUMNS($AM$1006:AR1006),$AM$1006:$BM$1006,0)), HYPERLINK("#",""), HYPERLINK(CONCATENATE("#metadata!", ADDRESS(INDEX($AH$2:$AH$1001,MATCH(ROWS($AF$2:AF856),$AF$2:$AF$1001,0),0), INDEX($AM$1004:$BM$1004,1,MATCH(COLUMNS($AM$1006:AR1006),$AM$1006:$BM$1006,0)))),"Fix")))</f>
        <v xml:space="preserve"> </v>
      </c>
      <c r="H856" s="4" t="str">
        <f ca="1">IF(OR(INDEX($AG$2:$AG$1001,MATCH(ROWS($AF$2:AF856),$AF$2:$AF$1001,0),1)&gt;=100000,INDEX($AM$1005:$BM$1005,1,MATCH(COLUMNS($AM$1006:AS1006),$AM$1006:$BM$1006,0))&gt;=100000), " ",IF(INDEX($AM$2:$BM$1001,MATCH(ROWS($AF$2:AF856),$AF$2:$AF$1001,0),MATCH(COLUMNS($AM$1006:AS1006),$AM$1006:$BM$1006,0)), HYPERLINK("#",""), HYPERLINK(CONCATENATE("#metadata!", ADDRESS(INDEX($AH$2:$AH$1001,MATCH(ROWS($AF$2:AF856),$AF$2:$AF$1001,0),0), INDEX($AM$1004:$BM$1004,1,MATCH(COLUMNS($AM$1006:AS1006),$AM$1006:$BM$1006,0)))),"Fix")))</f>
        <v xml:space="preserve"> </v>
      </c>
      <c r="I856" s="4" t="str">
        <f ca="1">IF(OR(INDEX($AG$2:$AG$1001,MATCH(ROWS($AF$2:AF856),$AF$2:$AF$1001,0),1)&gt;=100000,INDEX($AM$1005:$BM$1005,1,MATCH(COLUMNS($AM$1006:AT1006),$AM$1006:$BM$1006,0))&gt;=100000), " ",IF(INDEX($AM$2:$BM$1001,MATCH(ROWS($AF$2:AF856),$AF$2:$AF$1001,0),MATCH(COLUMNS($AM$1006:AT1006),$AM$1006:$BM$1006,0)), HYPERLINK("#",""), HYPERLINK(CONCATENATE("#metadata!", ADDRESS(INDEX($AH$2:$AH$1001,MATCH(ROWS($AF$2:AF856),$AF$2:$AF$1001,0),0), INDEX($AM$1004:$BM$1004,1,MATCH(COLUMNS($AM$1006:AT1006),$AM$1006:$BM$1006,0)))),"Fix")))</f>
        <v xml:space="preserve"> </v>
      </c>
      <c r="J856" s="4" t="str">
        <f ca="1">IF(OR(INDEX($AG$2:$AG$1001,MATCH(ROWS($AF$2:AF856),$AF$2:$AF$1001,0),1)&gt;=100000,INDEX($AM$1005:$BM$1005,1,MATCH(COLUMNS($AM$1006:AU1006),$AM$1006:$BM$1006,0))&gt;=100000), " ",IF(INDEX($AM$2:$BM$1001,MATCH(ROWS($AF$2:AF856),$AF$2:$AF$1001,0),MATCH(COLUMNS($AM$1006:AU1006),$AM$1006:$BM$1006,0)), HYPERLINK("#",""), HYPERLINK(CONCATENATE("#metadata!", ADDRESS(INDEX($AH$2:$AH$1001,MATCH(ROWS($AF$2:AF856),$AF$2:$AF$1001,0),0), INDEX($AM$1004:$BM$1004,1,MATCH(COLUMNS($AM$1006:AU1006),$AM$1006:$BM$1006,0)))),"Fix")))</f>
        <v xml:space="preserve"> </v>
      </c>
      <c r="K856" s="4" t="str">
        <f ca="1">IF(OR(INDEX($AG$2:$AG$1001,MATCH(ROWS($AF$2:AF856),$AF$2:$AF$1001,0),1)&gt;=100000,INDEX($AM$1005:$BM$1005,1,MATCH(COLUMNS($AM$1006:AV1006),$AM$1006:$BM$1006,0))&gt;=100000), " ",IF(INDEX($AM$2:$BM$1001,MATCH(ROWS($AF$2:AF856),$AF$2:$AF$1001,0),MATCH(COLUMNS($AM$1006:AV1006),$AM$1006:$BM$1006,0)), HYPERLINK("#",""), HYPERLINK(CONCATENATE("#metadata!", ADDRESS(INDEX($AH$2:$AH$1001,MATCH(ROWS($AF$2:AF856),$AF$2:$AF$1001,0),0), INDEX($AM$1004:$BM$1004,1,MATCH(COLUMNS($AM$1006:AV1006),$AM$1006:$BM$1006,0)))),"Fix")))</f>
        <v xml:space="preserve"> </v>
      </c>
      <c r="L856" s="4" t="str">
        <f ca="1">IF(OR(INDEX($AG$2:$AG$1001,MATCH(ROWS($AF$2:AF856),$AF$2:$AF$1001,0),1)&gt;=100000,INDEX($AM$1005:$BM$1005,1,MATCH(COLUMNS($AM$1006:AW1006),$AM$1006:$BM$1006,0))&gt;=100000), " ",IF(INDEX($AM$2:$BM$1001,MATCH(ROWS($AF$2:AF856),$AF$2:$AF$1001,0),MATCH(COLUMNS($AM$1006:AW1006),$AM$1006:$BM$1006,0)), HYPERLINK("#",""), HYPERLINK(CONCATENATE("#metadata!", ADDRESS(INDEX($AH$2:$AH$1001,MATCH(ROWS($AF$2:AF856),$AF$2:$AF$1001,0),0), INDEX($AM$1004:$BM$1004,1,MATCH(COLUMNS($AM$1006:AW1006),$AM$1006:$BM$1006,0)))),"Fix")))</f>
        <v xml:space="preserve"> </v>
      </c>
      <c r="M856" s="4" t="str">
        <f ca="1">IF(OR(INDEX($AG$2:$AG$1001,MATCH(ROWS($AF$2:AF856),$AF$2:$AF$1001,0),1)&gt;=100000,INDEX($AM$1005:$BM$1005,1,MATCH(COLUMNS($AM$1006:AX1006),$AM$1006:$BM$1006,0))&gt;=100000), " ",IF(INDEX($AM$2:$BM$1001,MATCH(ROWS($AF$2:AF856),$AF$2:$AF$1001,0),MATCH(COLUMNS($AM$1006:AX1006),$AM$1006:$BM$1006,0)), HYPERLINK("#",""), HYPERLINK(CONCATENATE("#metadata!", ADDRESS(INDEX($AH$2:$AH$1001,MATCH(ROWS($AF$2:AF856),$AF$2:$AF$1001,0),0), INDEX($AM$1004:$BM$1004,1,MATCH(COLUMNS($AM$1006:AX1006),$AM$1006:$BM$1006,0)))),"Fix")))</f>
        <v xml:space="preserve"> </v>
      </c>
      <c r="N856" s="4" t="str">
        <f ca="1">IF(OR(INDEX($AG$2:$AG$1001,MATCH(ROWS($AF$2:AF856),$AF$2:$AF$1001,0),1)&gt;=100000,INDEX($AM$1005:$BM$1005,1,MATCH(COLUMNS($AM$1006:AY1006),$AM$1006:$BM$1006,0))&gt;=100000), " ",IF(INDEX($AM$2:$BM$1001,MATCH(ROWS($AF$2:AF856),$AF$2:$AF$1001,0),MATCH(COLUMNS($AM$1006:AY1006),$AM$1006:$BM$1006,0)), HYPERLINK("#",""), HYPERLINK(CONCATENATE("#metadata!", ADDRESS(INDEX($AH$2:$AH$1001,MATCH(ROWS($AF$2:AF856),$AF$2:$AF$1001,0),0), INDEX($AM$1004:$BM$1004,1,MATCH(COLUMNS($AM$1006:AY1006),$AM$1006:$BM$1006,0)))),"Fix")))</f>
        <v xml:space="preserve"> </v>
      </c>
      <c r="O856" s="4" t="str">
        <f ca="1">IF(OR(INDEX($AG$2:$AG$1001,MATCH(ROWS($AF$2:AF856),$AF$2:$AF$1001,0),1)&gt;=100000,INDEX($AM$1005:$BM$1005,1,MATCH(COLUMNS($AM$1006:AZ1006),$AM$1006:$BM$1006,0))&gt;=100000), " ",IF(INDEX($AM$2:$BM$1001,MATCH(ROWS($AF$2:AF856),$AF$2:$AF$1001,0),MATCH(COLUMNS($AM$1006:AZ1006),$AM$1006:$BM$1006,0)), HYPERLINK("#",""), HYPERLINK(CONCATENATE("#metadata!", ADDRESS(INDEX($AH$2:$AH$1001,MATCH(ROWS($AF$2:AF856),$AF$2:$AF$1001,0),0), INDEX($AM$1004:$BM$1004,1,MATCH(COLUMNS($AM$1006:AZ1006),$AM$1006:$BM$1006,0)))),"Fix")))</f>
        <v xml:space="preserve"> </v>
      </c>
      <c r="P856" s="4" t="str">
        <f ca="1">IF(OR(INDEX($AG$2:$AG$1001,MATCH(ROWS($AF$2:AF856),$AF$2:$AF$1001,0),1)&gt;=100000,INDEX($AM$1005:$BM$1005,1,MATCH(COLUMNS($AM$1006:BA1006),$AM$1006:$BM$1006,0))&gt;=100000), " ",IF(INDEX($AM$2:$BM$1001,MATCH(ROWS($AF$2:AF856),$AF$2:$AF$1001,0),MATCH(COLUMNS($AM$1006:BA1006),$AM$1006:$BM$1006,0)), HYPERLINK("#",""), HYPERLINK(CONCATENATE("#metadata!", ADDRESS(INDEX($AH$2:$AH$1001,MATCH(ROWS($AF$2:AF856),$AF$2:$AF$1001,0),0), INDEX($AM$1004:$BM$1004,1,MATCH(COLUMNS($AM$1006:BA1006),$AM$1006:$BM$1006,0)))),"Fix")))</f>
        <v xml:space="preserve"> </v>
      </c>
      <c r="Q856" s="4" t="str">
        <f ca="1">IF(OR(INDEX($AG$2:$AG$1001,MATCH(ROWS($AF$2:AF856),$AF$2:$AF$1001,0),1)&gt;=100000,INDEX($AM$1005:$BM$1005,1,MATCH(COLUMNS($AM$1006:BB1006),$AM$1006:$BM$1006,0))&gt;=100000), " ",IF(INDEX($AM$2:$BM$1001,MATCH(ROWS($AF$2:AF856),$AF$2:$AF$1001,0),MATCH(COLUMNS($AM$1006:BB1006),$AM$1006:$BM$1006,0)), HYPERLINK("#",""), HYPERLINK(CONCATENATE("#metadata!", ADDRESS(INDEX($AH$2:$AH$1001,MATCH(ROWS($AF$2:AF856),$AF$2:$AF$1001,0),0), INDEX($AM$1004:$BM$1004,1,MATCH(COLUMNS($AM$1006:BB1006),$AM$1006:$BM$1006,0)))),"Fix")))</f>
        <v xml:space="preserve"> </v>
      </c>
      <c r="R856" s="4" t="str">
        <f ca="1">IF(OR(INDEX($AG$2:$AG$1001,MATCH(ROWS($AF$2:AF856),$AF$2:$AF$1001,0),1)&gt;=100000,INDEX($AM$1005:$BM$1005,1,MATCH(COLUMNS($AM$1006:BC1006),$AM$1006:$BM$1006,0))&gt;=100000), " ",IF(INDEX($AM$2:$BM$1001,MATCH(ROWS($AF$2:AF856),$AF$2:$AF$1001,0),MATCH(COLUMNS($AM$1006:BC1006),$AM$1006:$BM$1006,0)), HYPERLINK("#",""), HYPERLINK(CONCATENATE("#metadata!", ADDRESS(INDEX($AH$2:$AH$1001,MATCH(ROWS($AF$2:AF856),$AF$2:$AF$1001,0),0), INDEX($AM$1004:$BM$1004,1,MATCH(COLUMNS($AM$1006:BC1006),$AM$1006:$BM$1006,0)))),"Fix")))</f>
        <v xml:space="preserve"> </v>
      </c>
      <c r="S856" s="4" t="str">
        <f ca="1">IF(OR(INDEX($AG$2:$AG$1001,MATCH(ROWS($AF$2:AF856),$AF$2:$AF$1001,0),1)&gt;=100000,INDEX($AM$1005:$BM$1005,1,MATCH(COLUMNS($AM$1006:BD1006),$AM$1006:$BM$1006,0))&gt;=100000), " ",IF(INDEX($AM$2:$BM$1001,MATCH(ROWS($AF$2:AF856),$AF$2:$AF$1001,0),MATCH(COLUMNS($AM$1006:BD1006),$AM$1006:$BM$1006,0)), HYPERLINK("#",""), HYPERLINK(CONCATENATE("#metadata!", ADDRESS(INDEX($AH$2:$AH$1001,MATCH(ROWS($AF$2:AF856),$AF$2:$AF$1001,0),0), INDEX($AM$1004:$BM$1004,1,MATCH(COLUMNS($AM$1006:BD1006),$AM$1006:$BM$1006,0)))),"Fix")))</f>
        <v xml:space="preserve"> </v>
      </c>
      <c r="T856" s="4" t="str">
        <f ca="1">IF(OR(INDEX($AG$2:$AG$1001,MATCH(ROWS($AF$2:AF856),$AF$2:$AF$1001,0),1)&gt;=100000,INDEX($AM$1005:$BM$1005,1,MATCH(COLUMNS($AM$1006:BE1006),$AM$1006:$BM$1006,0))&gt;=100000), " ",IF(INDEX($AM$2:$BM$1001,MATCH(ROWS($AF$2:AF856),$AF$2:$AF$1001,0),MATCH(COLUMNS($AM$1006:BE1006),$AM$1006:$BM$1006,0)), HYPERLINK("#",""), HYPERLINK(CONCATENATE("#metadata!", ADDRESS(INDEX($AH$2:$AH$1001,MATCH(ROWS($AF$2:AF856),$AF$2:$AF$1001,0),0), INDEX($AM$1004:$BM$1004,1,MATCH(COLUMNS($AM$1006:BE1006),$AM$1006:$BM$1006,0)))),"Fix")))</f>
        <v xml:space="preserve"> </v>
      </c>
      <c r="U856" s="4" t="str">
        <f ca="1">IF(OR(INDEX($AG$2:$AG$1001,MATCH(ROWS($AF$2:AF856),$AF$2:$AF$1001,0),1)&gt;=100000,INDEX($AM$1005:$BM$1005,1,MATCH(COLUMNS($AM$1006:BF1006),$AM$1006:$BM$1006,0))&gt;=100000), " ",IF(INDEX($AM$2:$BM$1001,MATCH(ROWS($AF$2:AF856),$AF$2:$AF$1001,0),MATCH(COLUMNS($AM$1006:BF1006),$AM$1006:$BM$1006,0)), HYPERLINK("#",""), HYPERLINK(CONCATENATE("#metadata!", ADDRESS(INDEX($AH$2:$AH$1001,MATCH(ROWS($AF$2:AF856),$AF$2:$AF$1001,0),0), INDEX($AM$1004:$BM$1004,1,MATCH(COLUMNS($AM$1006:BF1006),$AM$1006:$BM$1006,0)))),"Fix")))</f>
        <v xml:space="preserve"> </v>
      </c>
      <c r="V856" s="4" t="str">
        <f ca="1">IF(OR(INDEX($AG$2:$AG$1001,MATCH(ROWS($AF$2:AF856),$AF$2:$AF$1001,0),1)&gt;=100000,INDEX($AM$1005:$BM$1005,1,MATCH(COLUMNS($AM$1006:BG1006),$AM$1006:$BM$1006,0))&gt;=100000), " ",IF(INDEX($AM$2:$BM$1001,MATCH(ROWS($AF$2:AF856),$AF$2:$AF$1001,0),MATCH(COLUMNS($AM$1006:BG1006),$AM$1006:$BM$1006,0)), HYPERLINK("#",""), HYPERLINK(CONCATENATE("#metadata!", ADDRESS(INDEX($AH$2:$AH$1001,MATCH(ROWS($AF$2:AF856),$AF$2:$AF$1001,0),0), INDEX($AM$1004:$BM$1004,1,MATCH(COLUMNS($AM$1006:BG1006),$AM$1006:$BM$1006,0)))),"Fix")))</f>
        <v xml:space="preserve"> </v>
      </c>
      <c r="W856" s="4" t="str">
        <f ca="1">IF(OR(INDEX($AG$2:$AG$1001,MATCH(ROWS($AF$2:AF856),$AF$2:$AF$1001,0),1)&gt;=100000,INDEX($AM$1005:$BM$1005,1,MATCH(COLUMNS($AM$1006:BH1006),$AM$1006:$BM$1006,0))&gt;=100000), " ",IF(INDEX($AM$2:$BM$1001,MATCH(ROWS($AF$2:AF856),$AF$2:$AF$1001,0),MATCH(COLUMNS($AM$1006:BH1006),$AM$1006:$BM$1006,0)), HYPERLINK("#",""), HYPERLINK(CONCATENATE("#metadata!", ADDRESS(INDEX($AH$2:$AH$1001,MATCH(ROWS($AF$2:AF856),$AF$2:$AF$1001,0),0), INDEX($AM$1004:$BM$1004,1,MATCH(COLUMNS($AM$1006:BH1006),$AM$1006:$BM$1006,0)))),"Fix")))</f>
        <v xml:space="preserve"> </v>
      </c>
      <c r="X856" s="4" t="str">
        <f ca="1">IF(OR(INDEX($AG$2:$AG$1001,MATCH(ROWS($AF$2:AF856),$AF$2:$AF$1001,0),1)&gt;=100000,INDEX($AM$1005:$BM$1005,1,MATCH(COLUMNS($AM$1006:BI1006),$AM$1006:$BM$1006,0))&gt;=100000), " ",IF(INDEX($AM$2:$BM$1001,MATCH(ROWS($AF$2:AF856),$AF$2:$AF$1001,0),MATCH(COLUMNS($AM$1006:BI1006),$AM$1006:$BM$1006,0)), HYPERLINK("#",""), HYPERLINK(CONCATENATE("#metadata!", ADDRESS(INDEX($AH$2:$AH$1001,MATCH(ROWS($AF$2:AF856),$AF$2:$AF$1001,0),0), INDEX($AM$1004:$BM$1004,1,MATCH(COLUMNS($AM$1006:BI1006),$AM$1006:$BM$1006,0)))),"Fix")))</f>
        <v xml:space="preserve"> </v>
      </c>
      <c r="Y856" s="4" t="str">
        <f ca="1">IF(OR(INDEX($AG$2:$AG$1001,MATCH(ROWS($AF$2:AF856),$AF$2:$AF$1001,0),1)&gt;=100000,INDEX($AM$1005:$BM$1005,1,MATCH(COLUMNS($AM$1006:BJ1006),$AM$1006:$BM$1006,0))&gt;=100000), " ",IF(INDEX($AM$2:$BM$1001,MATCH(ROWS($AF$2:AF856),$AF$2:$AF$1001,0),MATCH(COLUMNS($AM$1006:BJ1006),$AM$1006:$BM$1006,0)), HYPERLINK("#",""), HYPERLINK(CONCATENATE("#metadata!", ADDRESS(INDEX($AH$2:$AH$1001,MATCH(ROWS($AF$2:AF856),$AF$2:$AF$1001,0),0), INDEX($AM$1004:$BM$1004,1,MATCH(COLUMNS($AM$1006:BJ1006),$AM$1006:$BM$1006,0)))),"Fix")))</f>
        <v xml:space="preserve"> </v>
      </c>
      <c r="Z856" s="4" t="str">
        <f ca="1">IF(OR(INDEX($AG$2:$AG$1001,MATCH(ROWS($AF$2:AF856),$AF$2:$AF$1001,0),1)&gt;=100000,INDEX($AM$1005:$BM$1005,1,MATCH(COLUMNS($AM$1006:BK1006),$AM$1006:$BM$1006,0))&gt;=100000), " ",IF(INDEX($AM$2:$BM$1001,MATCH(ROWS($AF$2:AF856),$AF$2:$AF$1001,0),MATCH(COLUMNS($AM$1006:BK1006),$AM$1006:$BM$1006,0)), HYPERLINK("#",""), HYPERLINK(CONCATENATE("#metadata!", ADDRESS(INDEX($AH$2:$AH$1001,MATCH(ROWS($AF$2:AF856),$AF$2:$AF$1001,0),0), INDEX($AM$1004:$BM$1004,1,MATCH(COLUMNS($AM$1006:BK1006),$AM$1006:$BM$1006,0)))),"Fix")))</f>
        <v xml:space="preserve"> </v>
      </c>
      <c r="AA856" s="4" t="str">
        <f ca="1">IF(OR(INDEX($AG$2:$AG$1001,MATCH(ROWS($AF$2:AF856),$AF$2:$AF$1001,0),1)&gt;=100000,INDEX($AM$1005:$BM$1005,1,MATCH(COLUMNS($AM$1006:BL1006),$AM$1006:$BM$1006,0))&gt;=100000), " ",IF(INDEX($AM$2:$BM$1001,MATCH(ROWS($AF$2:AF856),$AF$2:$AF$1001,0),MATCH(COLUMNS($AM$1006:BL1006),$AM$1006:$BM$1006,0)), HYPERLINK("#",""), HYPERLINK(CONCATENATE("#metadata!", ADDRESS(INDEX($AH$2:$AH$1001,MATCH(ROWS($AF$2:AF856),$AF$2:$AF$1001,0),0), INDEX($AM$1004:$BM$1004,1,MATCH(COLUMNS($AM$1006:BL1006),$AM$1006:$BM$1006,0)))),"Fix")))</f>
        <v xml:space="preserve"> </v>
      </c>
      <c r="AB856" s="4" t="str">
        <f ca="1">IF(OR(INDEX($AG$2:$AG$1001,MATCH(ROWS($AF$2:AF856),$AF$2:$AF$1001,0),1)&gt;=100000,INDEX($AM$1005:$BM$1005,1,MATCH(COLUMNS($AM$1006:BM1006),$AM$1006:$BM$1006,0))&gt;=100000), " ",IF(INDEX($AM$2:$BM$1001,MATCH(ROWS($AF$2:AF856),$AF$2:$AF$1001,0),MATCH(COLUMNS($AM$1006:BM1006),$AM$1006:$BM$1006,0)), HYPERLINK("#",""), HYPERLINK(CONCATENATE("#metadata!", ADDRESS(INDEX($AH$2:$AH$1001,MATCH(ROWS($AF$2:AF856),$AF$2:$AF$1001,0),0), INDEX($AM$1004:$BM$1004,1,MATCH(COLUMNS($AM$1006:BM1006),$AM$1006:$BM$1006,0)))),"Fix")))</f>
        <v xml:space="preserve"> </v>
      </c>
      <c r="AF856">
        <v>855</v>
      </c>
      <c r="AG856">
        <v>100856</v>
      </c>
      <c r="AH856">
        <v>856</v>
      </c>
      <c r="AI856" t="b">
        <f t="shared" si="13"/>
        <v>1</v>
      </c>
      <c r="AJ856" t="b">
        <f>COUNTBLANK(metadata!B856:AB856)=COLUMNS(metadata!B856:AB856)</f>
        <v>1</v>
      </c>
      <c r="AK856" t="str">
        <v/>
      </c>
      <c r="AM856" t="b">
        <f ca="1">AND(IF(metadata!B856="",FALSE,TRUE),COUNTIF(metadata!B:B, metadata!B856) = 1,NOT(ISERROR(SUMPRODUCT(SEARCH(MID(metadata!B856,ROW(INDIRECT("1:"&amp;LEN(metadata!B856))), 1),"0123456789abcdefghijklmnopqrstuvwxyzABCDEFGHIJKLMNOPQRSTUVWXYZ.")))))</f>
        <v>0</v>
      </c>
      <c r="AN856" t="b">
        <f ca="1">OR(AND(IF(metadata!C856="",FALSE,TRUE),OR(EXACT(metadata!C856,"missing: not collected"),EXACT(metadata!C856,"missing: not provided"),EXACT(metadata!C856,"missing: restricted access"))),AND(IF(metadata!C856="",FALSE,TRUE),AND(AND(IFERROR(INT(LEFT(metadata!C856,4))&gt;1900,FALSE),IFERROR(INT(LEFT(metadata!C856,4))&lt;=YEAR(NOW()),FALSE)), OR(MID(metadata!C856,5,1)="", AND(AND(MID(metadata!C856,5,1)="-",IFERROR(INT(MID(metadata!C856,6,1))&gt;=0,FALSE),IFERROR(INT(MID(metadata!C856,6,1))&lt;=1,FALSE),NOT(MID(metadata!C856,7,1)=""),IFERROR(INT(MID(metadata!C856,6,2))&gt;=1,FALSE),IFERROR(INT(MID(metadata!C856,6,2))&lt;=12,FALSE)), OR(MID(metadata!C856,8,1)="", AND(AND(MID(metadata!C856,8,1)="-",IFERROR(INT(MID(metadata!C856,9,1))&gt;=0,FALSE),IFERROR(INT(MID(metadata!C856,9,1))&lt;=3,FALSE),NOT(MID(metadata!C856,10,1)=""),IFERROR(INT(MID(metadata!C856,9,2))&gt;=1,FALSE),IFERROR(INT(MID(metadata!C856,9,2))&lt;=31,FALSE)), OR(MID(metadata!C856,11,1)="", AND(AND(MID(metadata!C856,11,1)=" ",IFERROR(INT(MID(metadata!C856,12,1))&gt;=0,FALSE),IFERROR(INT(MID(metadata!C856,12,1))&lt;=2,FALSE),NOT(MID(metadata!C856,13,1)=""),IFERROR(INT(MID(metadata!C856,12,2))&gt;=0,FALSE),IFERROR(INT(MID(metadata!C856,12,2))&lt;=23,FALSE)), OR(MID(metadata!C856,14,1)="", AND(AND(MID(metadata!C856,14,1)=":",IFERROR(INT(MID(metadata!C856,15,1))&gt;=0,FALSE),IFERROR(INT(MID(metadata!C856,15,1))&lt;=5,FALSE),NOT(MID(metadata!C856,16,1)=""),IFERROR(INT(MID(metadata!C856,15,2))&gt;=0,FALSE),IFERROR(INT(MID(metadata!C856,15,2))&lt;=59,FALSE)), OR(MID(metadata!C856,17,1)="", AND(AND(MID(metadata!C856,17,1)=":",IFERROR(INT(MID(metadata!C856,18,1))&gt;=0,FALSE),IFERROR(INT(MID(metadata!C856,18,1))&lt;=5,FALSE),NOT(MID(metadata!C856,19,1)=""),IFERROR(INT(MID(metadata!C856,18,2))&gt;=0,FALSE),IFERROR(INT(MID(metadata!C856,18,2))&lt;=59,FALSE)), LEN(metadata!C856)&lt;=19)))))))))))))</f>
        <v>0</v>
      </c>
      <c r="AO856" t="b">
        <f>AND(IF(metadata!D856="",FALSE,TRUE),EXACT(metadata!D856,"Not applicable"))</f>
        <v>0</v>
      </c>
      <c r="AP856" t="b">
        <f>IF(metadata!E856="",FALSE,TRUE)</f>
        <v>0</v>
      </c>
      <c r="AQ856" t="b">
        <f>OR(AND(IF(metadata!F856="",FALSE,TRUE),OR(EXACT(metadata!F856,"missing: not collected"),EXACT(metadata!F856,"missing: not provided"))),AND(IF(metadata!F856="",FALSE,TRUE),OR(EXACT(metadata!F856,"TRUE"),EXACT(metadata!F856,"FALSE"))))</f>
        <v>0</v>
      </c>
      <c r="AR856" t="b">
        <f>OR(AND(IF(metadata!G856="",FALSE,TRUE),OR(EXACT(metadata!G856,"missing: not collected"),EXACT(metadata!G856,"missing: not provided"),EXACT(metadata!G856,"missing: restricted access"))),AND(IF(metadata!G856="",FALSE,ISNUMBER(VALUE(metadata!G856))),metadata!G856&gt;=-413))</f>
        <v>0</v>
      </c>
      <c r="AS856" t="b">
        <f>AND(IF(metadata!H856="",FALSE,TRUE),EXACT(metadata!H856,"meters"))</f>
        <v>0</v>
      </c>
      <c r="AT856" t="b">
        <f>AND(IF(metadata!I856="",FALSE,TRUE),OR(EXACT(metadata!I856,"Host-associated"),EXACT(metadata!I856,"Free-living")))</f>
        <v>0</v>
      </c>
      <c r="AU856" t="b">
        <f>AND(IF(metadata!J856="",FALSE,TRUE),OR(EXACT(metadata!J856,"Animal"),EXACT(metadata!J856,"Fungus"),EXACT(metadata!J856,"Plant"),EXACT(metadata!J856,"Saline"),EXACT(metadata!J856,"Non-saline")))</f>
        <v>0</v>
      </c>
      <c r="AV856" t="b">
        <f>AND(IF(metadata!K856="",FALSE,TRUE),OR(EXACT(metadata!K856,"Plant secretion"),EXACT(metadata!K856,"Plant rhizosphere"),EXACT(metadata!K856,"Plant surface"),EXACT(metadata!K856,"Plant corpus"),EXACT(metadata!K856,"Fungus surface"),EXACT(metadata!K856,"Fungus corpus"),EXACT(metadata!K856,"Animal surface"),EXACT(metadata!K856,"Animal proximal gut"),EXACT(metadata!K856,"Animal corpus"),EXACT(metadata!K856,"Animal distal gut"),EXACT(metadata!K856,"Animal secretion"),EXACT(metadata!K856,"Sub-surface (non-saline)"),EXACT(metadata!K856,"Surface (non-saline)"),EXACT(metadata!K856,"Water (non-saline)"),EXACT(metadata!K856,"Soil (non-saline)"),EXACT(metadata!K856,"Aerosol (non-saline)"),EXACT(metadata!K856,"Sediment (non-saline)"),EXACT(metadata!K856,"Surface (saline)"),EXACT(metadata!K856,"Water (saline)"),EXACT(metadata!K856,"Hypersaline (saline)"),EXACT(metadata!K856,"Aerosol (saline)"),EXACT(metadata!K856,"Sediment (saline)")))</f>
        <v>0</v>
      </c>
      <c r="AW856" t="b">
        <f>IF(metadata!L856="",FALSE,TRUE)</f>
        <v>0</v>
      </c>
      <c r="AX856" t="b">
        <f>IF(metadata!M856="",FALSE,TRUE)</f>
        <v>0</v>
      </c>
      <c r="AY856" t="b">
        <f>IF(metadata!N856="",FALSE,TRUE)</f>
        <v>0</v>
      </c>
      <c r="AZ856" t="b">
        <f>OR(AND(IF(metadata!O856="",FALSE,TRUE),OR(EXACT(metadata!O856,"missing: not collected"),EXACT(metadata!O856,"missing: not provided"),EXACT(metadata!O856,"missing: restricted access"))),AND(IF(metadata!O856="",FALSE,TRUE),OR(EXACT(metadata!O856,"air"),EXACT(metadata!O856,"built environment"),EXACT(metadata!O856,"host-associated"),EXACT(metadata!O856,"human-associated"),EXACT(metadata!O856,"human-skin"),EXACT(metadata!O856,"human-oral"),EXACT(metadata!O856,"human-gut"),EXACT(metadata!O856,"human-vaginal"),EXACT(metadata!O856,"microbial mat/biofilm"),EXACT(metadata!O856,"misc environment"),EXACT(metadata!O856,"plant-associated"),EXACT(metadata!O856,"sediment"),EXACT(metadata!O856,"soil"),EXACT(metadata!O856,"wastewater/sludge"),EXACT(metadata!O856,"water"))))</f>
        <v>0</v>
      </c>
      <c r="BA856" t="b">
        <f>IF(metadata!P856="",FALSE,TRUE)</f>
        <v>0</v>
      </c>
      <c r="BB856" t="b">
        <f>IF(metadata!Q856="",FALSE,TRUE)</f>
        <v>0</v>
      </c>
      <c r="BC856" t="b">
        <f>OR(AND(IF(metadata!R856="",FALSE,TRUE),OR(EXACT(metadata!R856,"missing: not collected"),EXACT(metadata!R856,"missing: not provided"),EXACT(metadata!R856,"missing: restricted access"))),AND(IF(metadata!R856="",FALSE,ISNUMBER(VALUE(metadata!R856))),metadata!R856&gt;=-90,metadata!R856&lt;=90))</f>
        <v>0</v>
      </c>
      <c r="BD856" t="b">
        <f>AND(IF(metadata!S856="",FALSE,TRUE),EXACT(metadata!S856,"Decimal degrees"))</f>
        <v>0</v>
      </c>
      <c r="BE856" t="b">
        <f>OR(AND(IF(metadata!T856="",FALSE,TRUE),OR(EXACT(metadata!T856,"missing: not collected"),EXACT(metadata!T856,"missing: not provided"),EXACT(metadata!T856,"missing: restricted access"))),AND(IF(metadata!T856="",FALSE,ISNUMBER(VALUE(metadata!T856))),metadata!T856&gt;=-180,metadata!T856&lt;=180))</f>
        <v>0</v>
      </c>
      <c r="BF856" t="b">
        <f>AND(IF(metadata!U856="",FALSE,TRUE),EXACT(metadata!U856,"Decimal degrees"))</f>
        <v>0</v>
      </c>
      <c r="BG856" t="b">
        <f>IF(metadata!V856="",FALSE,TRUE)</f>
        <v>0</v>
      </c>
      <c r="BH856" t="b">
        <f>OR(AND(IF(metadata!W856="",FALSE,TRUE),OR(EXACT(metadata!W856,"missing: not collected"),EXACT(metadata!W856,"missing: not provided"),EXACT(metadata!W856,"missing: restricted access"))),AND(IF(metadata!W856="",FALSE,TRUE),OR(EXACT(metadata!W856,"TRUE"),EXACT(metadata!W856,"FALSE"))))</f>
        <v>0</v>
      </c>
      <c r="BI856" t="b">
        <f>AND(IF(metadata!X856="",FALSE,TRUE),EXACT(metadata!X856,"other"))</f>
        <v>0</v>
      </c>
      <c r="BJ856" t="b">
        <f>IF(metadata!Y856="",FALSE,TRUE)</f>
        <v>0</v>
      </c>
      <c r="BK856" t="b">
        <f>OR(AND(IF(metadata!Z856="",FALSE,TRUE),OR(EXACT(metadata!Z856,"missing: not collected"),EXACT(metadata!Z856,"missing: not provided"))),AND(IF(metadata!Z856="",FALSE,IF(ISERROR(INT(metadata!Z856)),FALSE,INT(metadata!Z856)=metadata!Z856)),metadata!Z856&gt;0))</f>
        <v>0</v>
      </c>
      <c r="BL856" t="b">
        <f>AND(IF(metadata!AA856="",FALSE,TRUE),EXACT(metadata!AA856,"Not applicable"))</f>
        <v>0</v>
      </c>
      <c r="BM856" t="b">
        <f>IF(metadata!AB856="",FALSE,TRUE)</f>
        <v>0</v>
      </c>
    </row>
    <row r="857" spans="1:65" x14ac:dyDescent="0.2">
      <c r="A857" s="5" t="str">
        <f ca="1">IF(B857=" "," ",HYPERLINK(CONCATENATE("#metadata!",ADDRESS(INDEX($AH$2:$AH$1001,MATCH(ROWS($AF$2:AF857),$AF$2:$AF$1001,0),0),1)),INDEX($AK$2:$AK$1001,MATCH(ROWS($AF$2:AF857),$AF$2:$AF$1001,0),0)))</f>
        <v xml:space="preserve"> </v>
      </c>
      <c r="B857" s="4" t="str">
        <f ca="1">IF(OR(INDEX($AG$2:$AG$1001,MATCH(ROWS($AF$2:AF857),$AF$2:$AF$1001,0),1)&gt;=100000,INDEX($AM$1005:$BM$1005,1,MATCH(COLUMNS($AM$1006:AM1006),$AM$1006:$BM$1006,0))&gt;=100000), " ",IF(INDEX($AM$2:$BM$1001,MATCH(ROWS($AF$2:AF857),$AF$2:$AF$1001,0),MATCH(COLUMNS($AM$1006:AM1006),$AM$1006:$BM$1006,0)), HYPERLINK("#",""), HYPERLINK(CONCATENATE("#metadata!", ADDRESS(INDEX($AH$2:$AH$1001,MATCH(ROWS($AF$2:AF857),$AF$2:$AF$1001,0),0), INDEX($AM$1004:$BM$1004,1,MATCH(COLUMNS($AM$1006:AM1006),$AM$1006:$BM$1006,0)))),"Fix")))</f>
        <v xml:space="preserve"> </v>
      </c>
      <c r="C857" s="4" t="str">
        <f ca="1">IF(OR(INDEX($AG$2:$AG$1001,MATCH(ROWS($AF$2:AF857),$AF$2:$AF$1001,0),1)&gt;=100000,INDEX($AM$1005:$BM$1005,1,MATCH(COLUMNS($AM$1006:AN1006),$AM$1006:$BM$1006,0))&gt;=100000), " ",IF(INDEX($AM$2:$BM$1001,MATCH(ROWS($AF$2:AF857),$AF$2:$AF$1001,0),MATCH(COLUMNS($AM$1006:AN1006),$AM$1006:$BM$1006,0)), HYPERLINK("#",""), HYPERLINK(CONCATENATE("#metadata!", ADDRESS(INDEX($AH$2:$AH$1001,MATCH(ROWS($AF$2:AF857),$AF$2:$AF$1001,0),0), INDEX($AM$1004:$BM$1004,1,MATCH(COLUMNS($AM$1006:AN1006),$AM$1006:$BM$1006,0)))),"Fix")))</f>
        <v xml:space="preserve"> </v>
      </c>
      <c r="D857" s="4" t="str">
        <f ca="1">IF(OR(INDEX($AG$2:$AG$1001,MATCH(ROWS($AF$2:AF857),$AF$2:$AF$1001,0),1)&gt;=100000,INDEX($AM$1005:$BM$1005,1,MATCH(COLUMNS($AM$1006:AO1006),$AM$1006:$BM$1006,0))&gt;=100000), " ",IF(INDEX($AM$2:$BM$1001,MATCH(ROWS($AF$2:AF857),$AF$2:$AF$1001,0),MATCH(COLUMNS($AM$1006:AO1006),$AM$1006:$BM$1006,0)), HYPERLINK("#",""), HYPERLINK(CONCATENATE("#metadata!", ADDRESS(INDEX($AH$2:$AH$1001,MATCH(ROWS($AF$2:AF857),$AF$2:$AF$1001,0),0), INDEX($AM$1004:$BM$1004,1,MATCH(COLUMNS($AM$1006:AO1006),$AM$1006:$BM$1006,0)))),"Fix")))</f>
        <v xml:space="preserve"> </v>
      </c>
      <c r="E857" s="4" t="str">
        <f ca="1">IF(OR(INDEX($AG$2:$AG$1001,MATCH(ROWS($AF$2:AF857),$AF$2:$AF$1001,0),1)&gt;=100000,INDEX($AM$1005:$BM$1005,1,MATCH(COLUMNS($AM$1006:AP1006),$AM$1006:$BM$1006,0))&gt;=100000), " ",IF(INDEX($AM$2:$BM$1001,MATCH(ROWS($AF$2:AF857),$AF$2:$AF$1001,0),MATCH(COLUMNS($AM$1006:AP1006),$AM$1006:$BM$1006,0)), HYPERLINK("#",""), HYPERLINK(CONCATENATE("#metadata!", ADDRESS(INDEX($AH$2:$AH$1001,MATCH(ROWS($AF$2:AF857),$AF$2:$AF$1001,0),0), INDEX($AM$1004:$BM$1004,1,MATCH(COLUMNS($AM$1006:AP1006),$AM$1006:$BM$1006,0)))),"Fix")))</f>
        <v xml:space="preserve"> </v>
      </c>
      <c r="F857" s="4" t="str">
        <f ca="1">IF(OR(INDEX($AG$2:$AG$1001,MATCH(ROWS($AF$2:AF857),$AF$2:$AF$1001,0),1)&gt;=100000,INDEX($AM$1005:$BM$1005,1,MATCH(COLUMNS($AM$1006:AQ1006),$AM$1006:$BM$1006,0))&gt;=100000), " ",IF(INDEX($AM$2:$BM$1001,MATCH(ROWS($AF$2:AF857),$AF$2:$AF$1001,0),MATCH(COLUMNS($AM$1006:AQ1006),$AM$1006:$BM$1006,0)), HYPERLINK("#",""), HYPERLINK(CONCATENATE("#metadata!", ADDRESS(INDEX($AH$2:$AH$1001,MATCH(ROWS($AF$2:AF857),$AF$2:$AF$1001,0),0), INDEX($AM$1004:$BM$1004,1,MATCH(COLUMNS($AM$1006:AQ1006),$AM$1006:$BM$1006,0)))),"Fix")))</f>
        <v xml:space="preserve"> </v>
      </c>
      <c r="G857" s="4" t="str">
        <f ca="1">IF(OR(INDEX($AG$2:$AG$1001,MATCH(ROWS($AF$2:AF857),$AF$2:$AF$1001,0),1)&gt;=100000,INDEX($AM$1005:$BM$1005,1,MATCH(COLUMNS($AM$1006:AR1006),$AM$1006:$BM$1006,0))&gt;=100000), " ",IF(INDEX($AM$2:$BM$1001,MATCH(ROWS($AF$2:AF857),$AF$2:$AF$1001,0),MATCH(COLUMNS($AM$1006:AR1006),$AM$1006:$BM$1006,0)), HYPERLINK("#",""), HYPERLINK(CONCATENATE("#metadata!", ADDRESS(INDEX($AH$2:$AH$1001,MATCH(ROWS($AF$2:AF857),$AF$2:$AF$1001,0),0), INDEX($AM$1004:$BM$1004,1,MATCH(COLUMNS($AM$1006:AR1006),$AM$1006:$BM$1006,0)))),"Fix")))</f>
        <v xml:space="preserve"> </v>
      </c>
      <c r="H857" s="4" t="str">
        <f ca="1">IF(OR(INDEX($AG$2:$AG$1001,MATCH(ROWS($AF$2:AF857),$AF$2:$AF$1001,0),1)&gt;=100000,INDEX($AM$1005:$BM$1005,1,MATCH(COLUMNS($AM$1006:AS1006),$AM$1006:$BM$1006,0))&gt;=100000), " ",IF(INDEX($AM$2:$BM$1001,MATCH(ROWS($AF$2:AF857),$AF$2:$AF$1001,0),MATCH(COLUMNS($AM$1006:AS1006),$AM$1006:$BM$1006,0)), HYPERLINK("#",""), HYPERLINK(CONCATENATE("#metadata!", ADDRESS(INDEX($AH$2:$AH$1001,MATCH(ROWS($AF$2:AF857),$AF$2:$AF$1001,0),0), INDEX($AM$1004:$BM$1004,1,MATCH(COLUMNS($AM$1006:AS1006),$AM$1006:$BM$1006,0)))),"Fix")))</f>
        <v xml:space="preserve"> </v>
      </c>
      <c r="I857" s="4" t="str">
        <f ca="1">IF(OR(INDEX($AG$2:$AG$1001,MATCH(ROWS($AF$2:AF857),$AF$2:$AF$1001,0),1)&gt;=100000,INDEX($AM$1005:$BM$1005,1,MATCH(COLUMNS($AM$1006:AT1006),$AM$1006:$BM$1006,0))&gt;=100000), " ",IF(INDEX($AM$2:$BM$1001,MATCH(ROWS($AF$2:AF857),$AF$2:$AF$1001,0),MATCH(COLUMNS($AM$1006:AT1006),$AM$1006:$BM$1006,0)), HYPERLINK("#",""), HYPERLINK(CONCATENATE("#metadata!", ADDRESS(INDEX($AH$2:$AH$1001,MATCH(ROWS($AF$2:AF857),$AF$2:$AF$1001,0),0), INDEX($AM$1004:$BM$1004,1,MATCH(COLUMNS($AM$1006:AT1006),$AM$1006:$BM$1006,0)))),"Fix")))</f>
        <v xml:space="preserve"> </v>
      </c>
      <c r="J857" s="4" t="str">
        <f ca="1">IF(OR(INDEX($AG$2:$AG$1001,MATCH(ROWS($AF$2:AF857),$AF$2:$AF$1001,0),1)&gt;=100000,INDEX($AM$1005:$BM$1005,1,MATCH(COLUMNS($AM$1006:AU1006),$AM$1006:$BM$1006,0))&gt;=100000), " ",IF(INDEX($AM$2:$BM$1001,MATCH(ROWS($AF$2:AF857),$AF$2:$AF$1001,0),MATCH(COLUMNS($AM$1006:AU1006),$AM$1006:$BM$1006,0)), HYPERLINK("#",""), HYPERLINK(CONCATENATE("#metadata!", ADDRESS(INDEX($AH$2:$AH$1001,MATCH(ROWS($AF$2:AF857),$AF$2:$AF$1001,0),0), INDEX($AM$1004:$BM$1004,1,MATCH(COLUMNS($AM$1006:AU1006),$AM$1006:$BM$1006,0)))),"Fix")))</f>
        <v xml:space="preserve"> </v>
      </c>
      <c r="K857" s="4" t="str">
        <f ca="1">IF(OR(INDEX($AG$2:$AG$1001,MATCH(ROWS($AF$2:AF857),$AF$2:$AF$1001,0),1)&gt;=100000,INDEX($AM$1005:$BM$1005,1,MATCH(COLUMNS($AM$1006:AV1006),$AM$1006:$BM$1006,0))&gt;=100000), " ",IF(INDEX($AM$2:$BM$1001,MATCH(ROWS($AF$2:AF857),$AF$2:$AF$1001,0),MATCH(COLUMNS($AM$1006:AV1006),$AM$1006:$BM$1006,0)), HYPERLINK("#",""), HYPERLINK(CONCATENATE("#metadata!", ADDRESS(INDEX($AH$2:$AH$1001,MATCH(ROWS($AF$2:AF857),$AF$2:$AF$1001,0),0), INDEX($AM$1004:$BM$1004,1,MATCH(COLUMNS($AM$1006:AV1006),$AM$1006:$BM$1006,0)))),"Fix")))</f>
        <v xml:space="preserve"> </v>
      </c>
      <c r="L857" s="4" t="str">
        <f ca="1">IF(OR(INDEX($AG$2:$AG$1001,MATCH(ROWS($AF$2:AF857),$AF$2:$AF$1001,0),1)&gt;=100000,INDEX($AM$1005:$BM$1005,1,MATCH(COLUMNS($AM$1006:AW1006),$AM$1006:$BM$1006,0))&gt;=100000), " ",IF(INDEX($AM$2:$BM$1001,MATCH(ROWS($AF$2:AF857),$AF$2:$AF$1001,0),MATCH(COLUMNS($AM$1006:AW1006),$AM$1006:$BM$1006,0)), HYPERLINK("#",""), HYPERLINK(CONCATENATE("#metadata!", ADDRESS(INDEX($AH$2:$AH$1001,MATCH(ROWS($AF$2:AF857),$AF$2:$AF$1001,0),0), INDEX($AM$1004:$BM$1004,1,MATCH(COLUMNS($AM$1006:AW1006),$AM$1006:$BM$1006,0)))),"Fix")))</f>
        <v xml:space="preserve"> </v>
      </c>
      <c r="M857" s="4" t="str">
        <f ca="1">IF(OR(INDEX($AG$2:$AG$1001,MATCH(ROWS($AF$2:AF857),$AF$2:$AF$1001,0),1)&gt;=100000,INDEX($AM$1005:$BM$1005,1,MATCH(COLUMNS($AM$1006:AX1006),$AM$1006:$BM$1006,0))&gt;=100000), " ",IF(INDEX($AM$2:$BM$1001,MATCH(ROWS($AF$2:AF857),$AF$2:$AF$1001,0),MATCH(COLUMNS($AM$1006:AX1006),$AM$1006:$BM$1006,0)), HYPERLINK("#",""), HYPERLINK(CONCATENATE("#metadata!", ADDRESS(INDEX($AH$2:$AH$1001,MATCH(ROWS($AF$2:AF857),$AF$2:$AF$1001,0),0), INDEX($AM$1004:$BM$1004,1,MATCH(COLUMNS($AM$1006:AX1006),$AM$1006:$BM$1006,0)))),"Fix")))</f>
        <v xml:space="preserve"> </v>
      </c>
      <c r="N857" s="4" t="str">
        <f ca="1">IF(OR(INDEX($AG$2:$AG$1001,MATCH(ROWS($AF$2:AF857),$AF$2:$AF$1001,0),1)&gt;=100000,INDEX($AM$1005:$BM$1005,1,MATCH(COLUMNS($AM$1006:AY1006),$AM$1006:$BM$1006,0))&gt;=100000), " ",IF(INDEX($AM$2:$BM$1001,MATCH(ROWS($AF$2:AF857),$AF$2:$AF$1001,0),MATCH(COLUMNS($AM$1006:AY1006),$AM$1006:$BM$1006,0)), HYPERLINK("#",""), HYPERLINK(CONCATENATE("#metadata!", ADDRESS(INDEX($AH$2:$AH$1001,MATCH(ROWS($AF$2:AF857),$AF$2:$AF$1001,0),0), INDEX($AM$1004:$BM$1004,1,MATCH(COLUMNS($AM$1006:AY1006),$AM$1006:$BM$1006,0)))),"Fix")))</f>
        <v xml:space="preserve"> </v>
      </c>
      <c r="O857" s="4" t="str">
        <f ca="1">IF(OR(INDEX($AG$2:$AG$1001,MATCH(ROWS($AF$2:AF857),$AF$2:$AF$1001,0),1)&gt;=100000,INDEX($AM$1005:$BM$1005,1,MATCH(COLUMNS($AM$1006:AZ1006),$AM$1006:$BM$1006,0))&gt;=100000), " ",IF(INDEX($AM$2:$BM$1001,MATCH(ROWS($AF$2:AF857),$AF$2:$AF$1001,0),MATCH(COLUMNS($AM$1006:AZ1006),$AM$1006:$BM$1006,0)), HYPERLINK("#",""), HYPERLINK(CONCATENATE("#metadata!", ADDRESS(INDEX($AH$2:$AH$1001,MATCH(ROWS($AF$2:AF857),$AF$2:$AF$1001,0),0), INDEX($AM$1004:$BM$1004,1,MATCH(COLUMNS($AM$1006:AZ1006),$AM$1006:$BM$1006,0)))),"Fix")))</f>
        <v xml:space="preserve"> </v>
      </c>
      <c r="P857" s="4" t="str">
        <f ca="1">IF(OR(INDEX($AG$2:$AG$1001,MATCH(ROWS($AF$2:AF857),$AF$2:$AF$1001,0),1)&gt;=100000,INDEX($AM$1005:$BM$1005,1,MATCH(COLUMNS($AM$1006:BA1006),$AM$1006:$BM$1006,0))&gt;=100000), " ",IF(INDEX($AM$2:$BM$1001,MATCH(ROWS($AF$2:AF857),$AF$2:$AF$1001,0),MATCH(COLUMNS($AM$1006:BA1006),$AM$1006:$BM$1006,0)), HYPERLINK("#",""), HYPERLINK(CONCATENATE("#metadata!", ADDRESS(INDEX($AH$2:$AH$1001,MATCH(ROWS($AF$2:AF857),$AF$2:$AF$1001,0),0), INDEX($AM$1004:$BM$1004,1,MATCH(COLUMNS($AM$1006:BA1006),$AM$1006:$BM$1006,0)))),"Fix")))</f>
        <v xml:space="preserve"> </v>
      </c>
      <c r="Q857" s="4" t="str">
        <f ca="1">IF(OR(INDEX($AG$2:$AG$1001,MATCH(ROWS($AF$2:AF857),$AF$2:$AF$1001,0),1)&gt;=100000,INDEX($AM$1005:$BM$1005,1,MATCH(COLUMNS($AM$1006:BB1006),$AM$1006:$BM$1006,0))&gt;=100000), " ",IF(INDEX($AM$2:$BM$1001,MATCH(ROWS($AF$2:AF857),$AF$2:$AF$1001,0),MATCH(COLUMNS($AM$1006:BB1006),$AM$1006:$BM$1006,0)), HYPERLINK("#",""), HYPERLINK(CONCATENATE("#metadata!", ADDRESS(INDEX($AH$2:$AH$1001,MATCH(ROWS($AF$2:AF857),$AF$2:$AF$1001,0),0), INDEX($AM$1004:$BM$1004,1,MATCH(COLUMNS($AM$1006:BB1006),$AM$1006:$BM$1006,0)))),"Fix")))</f>
        <v xml:space="preserve"> </v>
      </c>
      <c r="R857" s="4" t="str">
        <f ca="1">IF(OR(INDEX($AG$2:$AG$1001,MATCH(ROWS($AF$2:AF857),$AF$2:$AF$1001,0),1)&gt;=100000,INDEX($AM$1005:$BM$1005,1,MATCH(COLUMNS($AM$1006:BC1006),$AM$1006:$BM$1006,0))&gt;=100000), " ",IF(INDEX($AM$2:$BM$1001,MATCH(ROWS($AF$2:AF857),$AF$2:$AF$1001,0),MATCH(COLUMNS($AM$1006:BC1006),$AM$1006:$BM$1006,0)), HYPERLINK("#",""), HYPERLINK(CONCATENATE("#metadata!", ADDRESS(INDEX($AH$2:$AH$1001,MATCH(ROWS($AF$2:AF857),$AF$2:$AF$1001,0),0), INDEX($AM$1004:$BM$1004,1,MATCH(COLUMNS($AM$1006:BC1006),$AM$1006:$BM$1006,0)))),"Fix")))</f>
        <v xml:space="preserve"> </v>
      </c>
      <c r="S857" s="4" t="str">
        <f ca="1">IF(OR(INDEX($AG$2:$AG$1001,MATCH(ROWS($AF$2:AF857),$AF$2:$AF$1001,0),1)&gt;=100000,INDEX($AM$1005:$BM$1005,1,MATCH(COLUMNS($AM$1006:BD1006),$AM$1006:$BM$1006,0))&gt;=100000), " ",IF(INDEX($AM$2:$BM$1001,MATCH(ROWS($AF$2:AF857),$AF$2:$AF$1001,0),MATCH(COLUMNS($AM$1006:BD1006),$AM$1006:$BM$1006,0)), HYPERLINK("#",""), HYPERLINK(CONCATENATE("#metadata!", ADDRESS(INDEX($AH$2:$AH$1001,MATCH(ROWS($AF$2:AF857),$AF$2:$AF$1001,0),0), INDEX($AM$1004:$BM$1004,1,MATCH(COLUMNS($AM$1006:BD1006),$AM$1006:$BM$1006,0)))),"Fix")))</f>
        <v xml:space="preserve"> </v>
      </c>
      <c r="T857" s="4" t="str">
        <f ca="1">IF(OR(INDEX($AG$2:$AG$1001,MATCH(ROWS($AF$2:AF857),$AF$2:$AF$1001,0),1)&gt;=100000,INDEX($AM$1005:$BM$1005,1,MATCH(COLUMNS($AM$1006:BE1006),$AM$1006:$BM$1006,0))&gt;=100000), " ",IF(INDEX($AM$2:$BM$1001,MATCH(ROWS($AF$2:AF857),$AF$2:$AF$1001,0),MATCH(COLUMNS($AM$1006:BE1006),$AM$1006:$BM$1006,0)), HYPERLINK("#",""), HYPERLINK(CONCATENATE("#metadata!", ADDRESS(INDEX($AH$2:$AH$1001,MATCH(ROWS($AF$2:AF857),$AF$2:$AF$1001,0),0), INDEX($AM$1004:$BM$1004,1,MATCH(COLUMNS($AM$1006:BE1006),$AM$1006:$BM$1006,0)))),"Fix")))</f>
        <v xml:space="preserve"> </v>
      </c>
      <c r="U857" s="4" t="str">
        <f ca="1">IF(OR(INDEX($AG$2:$AG$1001,MATCH(ROWS($AF$2:AF857),$AF$2:$AF$1001,0),1)&gt;=100000,INDEX($AM$1005:$BM$1005,1,MATCH(COLUMNS($AM$1006:BF1006),$AM$1006:$BM$1006,0))&gt;=100000), " ",IF(INDEX($AM$2:$BM$1001,MATCH(ROWS($AF$2:AF857),$AF$2:$AF$1001,0),MATCH(COLUMNS($AM$1006:BF1006),$AM$1006:$BM$1006,0)), HYPERLINK("#",""), HYPERLINK(CONCATENATE("#metadata!", ADDRESS(INDEX($AH$2:$AH$1001,MATCH(ROWS($AF$2:AF857),$AF$2:$AF$1001,0),0), INDEX($AM$1004:$BM$1004,1,MATCH(COLUMNS($AM$1006:BF1006),$AM$1006:$BM$1006,0)))),"Fix")))</f>
        <v xml:space="preserve"> </v>
      </c>
      <c r="V857" s="4" t="str">
        <f ca="1">IF(OR(INDEX($AG$2:$AG$1001,MATCH(ROWS($AF$2:AF857),$AF$2:$AF$1001,0),1)&gt;=100000,INDEX($AM$1005:$BM$1005,1,MATCH(COLUMNS($AM$1006:BG1006),$AM$1006:$BM$1006,0))&gt;=100000), " ",IF(INDEX($AM$2:$BM$1001,MATCH(ROWS($AF$2:AF857),$AF$2:$AF$1001,0),MATCH(COLUMNS($AM$1006:BG1006),$AM$1006:$BM$1006,0)), HYPERLINK("#",""), HYPERLINK(CONCATENATE("#metadata!", ADDRESS(INDEX($AH$2:$AH$1001,MATCH(ROWS($AF$2:AF857),$AF$2:$AF$1001,0),0), INDEX($AM$1004:$BM$1004,1,MATCH(COLUMNS($AM$1006:BG1006),$AM$1006:$BM$1006,0)))),"Fix")))</f>
        <v xml:space="preserve"> </v>
      </c>
      <c r="W857" s="4" t="str">
        <f ca="1">IF(OR(INDEX($AG$2:$AG$1001,MATCH(ROWS($AF$2:AF857),$AF$2:$AF$1001,0),1)&gt;=100000,INDEX($AM$1005:$BM$1005,1,MATCH(COLUMNS($AM$1006:BH1006),$AM$1006:$BM$1006,0))&gt;=100000), " ",IF(INDEX($AM$2:$BM$1001,MATCH(ROWS($AF$2:AF857),$AF$2:$AF$1001,0),MATCH(COLUMNS($AM$1006:BH1006),$AM$1006:$BM$1006,0)), HYPERLINK("#",""), HYPERLINK(CONCATENATE("#metadata!", ADDRESS(INDEX($AH$2:$AH$1001,MATCH(ROWS($AF$2:AF857),$AF$2:$AF$1001,0),0), INDEX($AM$1004:$BM$1004,1,MATCH(COLUMNS($AM$1006:BH1006),$AM$1006:$BM$1006,0)))),"Fix")))</f>
        <v xml:space="preserve"> </v>
      </c>
      <c r="X857" s="4" t="str">
        <f ca="1">IF(OR(INDEX($AG$2:$AG$1001,MATCH(ROWS($AF$2:AF857),$AF$2:$AF$1001,0),1)&gt;=100000,INDEX($AM$1005:$BM$1005,1,MATCH(COLUMNS($AM$1006:BI1006),$AM$1006:$BM$1006,0))&gt;=100000), " ",IF(INDEX($AM$2:$BM$1001,MATCH(ROWS($AF$2:AF857),$AF$2:$AF$1001,0),MATCH(COLUMNS($AM$1006:BI1006),$AM$1006:$BM$1006,0)), HYPERLINK("#",""), HYPERLINK(CONCATENATE("#metadata!", ADDRESS(INDEX($AH$2:$AH$1001,MATCH(ROWS($AF$2:AF857),$AF$2:$AF$1001,0),0), INDEX($AM$1004:$BM$1004,1,MATCH(COLUMNS($AM$1006:BI1006),$AM$1006:$BM$1006,0)))),"Fix")))</f>
        <v xml:space="preserve"> </v>
      </c>
      <c r="Y857" s="4" t="str">
        <f ca="1">IF(OR(INDEX($AG$2:$AG$1001,MATCH(ROWS($AF$2:AF857),$AF$2:$AF$1001,0),1)&gt;=100000,INDEX($AM$1005:$BM$1005,1,MATCH(COLUMNS($AM$1006:BJ1006),$AM$1006:$BM$1006,0))&gt;=100000), " ",IF(INDEX($AM$2:$BM$1001,MATCH(ROWS($AF$2:AF857),$AF$2:$AF$1001,0),MATCH(COLUMNS($AM$1006:BJ1006),$AM$1006:$BM$1006,0)), HYPERLINK("#",""), HYPERLINK(CONCATENATE("#metadata!", ADDRESS(INDEX($AH$2:$AH$1001,MATCH(ROWS($AF$2:AF857),$AF$2:$AF$1001,0),0), INDEX($AM$1004:$BM$1004,1,MATCH(COLUMNS($AM$1006:BJ1006),$AM$1006:$BM$1006,0)))),"Fix")))</f>
        <v xml:space="preserve"> </v>
      </c>
      <c r="Z857" s="4" t="str">
        <f ca="1">IF(OR(INDEX($AG$2:$AG$1001,MATCH(ROWS($AF$2:AF857),$AF$2:$AF$1001,0),1)&gt;=100000,INDEX($AM$1005:$BM$1005,1,MATCH(COLUMNS($AM$1006:BK1006),$AM$1006:$BM$1006,0))&gt;=100000), " ",IF(INDEX($AM$2:$BM$1001,MATCH(ROWS($AF$2:AF857),$AF$2:$AF$1001,0),MATCH(COLUMNS($AM$1006:BK1006),$AM$1006:$BM$1006,0)), HYPERLINK("#",""), HYPERLINK(CONCATENATE("#metadata!", ADDRESS(INDEX($AH$2:$AH$1001,MATCH(ROWS($AF$2:AF857),$AF$2:$AF$1001,0),0), INDEX($AM$1004:$BM$1004,1,MATCH(COLUMNS($AM$1006:BK1006),$AM$1006:$BM$1006,0)))),"Fix")))</f>
        <v xml:space="preserve"> </v>
      </c>
      <c r="AA857" s="4" t="str">
        <f ca="1">IF(OR(INDEX($AG$2:$AG$1001,MATCH(ROWS($AF$2:AF857),$AF$2:$AF$1001,0),1)&gt;=100000,INDEX($AM$1005:$BM$1005,1,MATCH(COLUMNS($AM$1006:BL1006),$AM$1006:$BM$1006,0))&gt;=100000), " ",IF(INDEX($AM$2:$BM$1001,MATCH(ROWS($AF$2:AF857),$AF$2:$AF$1001,0),MATCH(COLUMNS($AM$1006:BL1006),$AM$1006:$BM$1006,0)), HYPERLINK("#",""), HYPERLINK(CONCATENATE("#metadata!", ADDRESS(INDEX($AH$2:$AH$1001,MATCH(ROWS($AF$2:AF857),$AF$2:$AF$1001,0),0), INDEX($AM$1004:$BM$1004,1,MATCH(COLUMNS($AM$1006:BL1006),$AM$1006:$BM$1006,0)))),"Fix")))</f>
        <v xml:space="preserve"> </v>
      </c>
      <c r="AB857" s="4" t="str">
        <f ca="1">IF(OR(INDEX($AG$2:$AG$1001,MATCH(ROWS($AF$2:AF857),$AF$2:$AF$1001,0),1)&gt;=100000,INDEX($AM$1005:$BM$1005,1,MATCH(COLUMNS($AM$1006:BM1006),$AM$1006:$BM$1006,0))&gt;=100000), " ",IF(INDEX($AM$2:$BM$1001,MATCH(ROWS($AF$2:AF857),$AF$2:$AF$1001,0),MATCH(COLUMNS($AM$1006:BM1006),$AM$1006:$BM$1006,0)), HYPERLINK("#",""), HYPERLINK(CONCATENATE("#metadata!", ADDRESS(INDEX($AH$2:$AH$1001,MATCH(ROWS($AF$2:AF857),$AF$2:$AF$1001,0),0), INDEX($AM$1004:$BM$1004,1,MATCH(COLUMNS($AM$1006:BM1006),$AM$1006:$BM$1006,0)))),"Fix")))</f>
        <v xml:space="preserve"> </v>
      </c>
      <c r="AF857">
        <v>856</v>
      </c>
      <c r="AG857">
        <v>100857</v>
      </c>
      <c r="AH857">
        <v>857</v>
      </c>
      <c r="AI857" t="b">
        <f t="shared" si="13"/>
        <v>1</v>
      </c>
      <c r="AJ857" t="b">
        <f>COUNTBLANK(metadata!B857:AB857)=COLUMNS(metadata!B857:AB857)</f>
        <v>1</v>
      </c>
      <c r="AK857" t="str">
        <v/>
      </c>
      <c r="AM857" t="b">
        <f ca="1">AND(IF(metadata!B857="",FALSE,TRUE),COUNTIF(metadata!B:B, metadata!B857) = 1,NOT(ISERROR(SUMPRODUCT(SEARCH(MID(metadata!B857,ROW(INDIRECT("1:"&amp;LEN(metadata!B857))), 1),"0123456789abcdefghijklmnopqrstuvwxyzABCDEFGHIJKLMNOPQRSTUVWXYZ.")))))</f>
        <v>0</v>
      </c>
      <c r="AN857" t="b">
        <f ca="1">OR(AND(IF(metadata!C857="",FALSE,TRUE),OR(EXACT(metadata!C857,"missing: not collected"),EXACT(metadata!C857,"missing: not provided"),EXACT(metadata!C857,"missing: restricted access"))),AND(IF(metadata!C857="",FALSE,TRUE),AND(AND(IFERROR(INT(LEFT(metadata!C857,4))&gt;1900,FALSE),IFERROR(INT(LEFT(metadata!C857,4))&lt;=YEAR(NOW()),FALSE)), OR(MID(metadata!C857,5,1)="", AND(AND(MID(metadata!C857,5,1)="-",IFERROR(INT(MID(metadata!C857,6,1))&gt;=0,FALSE),IFERROR(INT(MID(metadata!C857,6,1))&lt;=1,FALSE),NOT(MID(metadata!C857,7,1)=""),IFERROR(INT(MID(metadata!C857,6,2))&gt;=1,FALSE),IFERROR(INT(MID(metadata!C857,6,2))&lt;=12,FALSE)), OR(MID(metadata!C857,8,1)="", AND(AND(MID(metadata!C857,8,1)="-",IFERROR(INT(MID(metadata!C857,9,1))&gt;=0,FALSE),IFERROR(INT(MID(metadata!C857,9,1))&lt;=3,FALSE),NOT(MID(metadata!C857,10,1)=""),IFERROR(INT(MID(metadata!C857,9,2))&gt;=1,FALSE),IFERROR(INT(MID(metadata!C857,9,2))&lt;=31,FALSE)), OR(MID(metadata!C857,11,1)="", AND(AND(MID(metadata!C857,11,1)=" ",IFERROR(INT(MID(metadata!C857,12,1))&gt;=0,FALSE),IFERROR(INT(MID(metadata!C857,12,1))&lt;=2,FALSE),NOT(MID(metadata!C857,13,1)=""),IFERROR(INT(MID(metadata!C857,12,2))&gt;=0,FALSE),IFERROR(INT(MID(metadata!C857,12,2))&lt;=23,FALSE)), OR(MID(metadata!C857,14,1)="", AND(AND(MID(metadata!C857,14,1)=":",IFERROR(INT(MID(metadata!C857,15,1))&gt;=0,FALSE),IFERROR(INT(MID(metadata!C857,15,1))&lt;=5,FALSE),NOT(MID(metadata!C857,16,1)=""),IFERROR(INT(MID(metadata!C857,15,2))&gt;=0,FALSE),IFERROR(INT(MID(metadata!C857,15,2))&lt;=59,FALSE)), OR(MID(metadata!C857,17,1)="", AND(AND(MID(metadata!C857,17,1)=":",IFERROR(INT(MID(metadata!C857,18,1))&gt;=0,FALSE),IFERROR(INT(MID(metadata!C857,18,1))&lt;=5,FALSE),NOT(MID(metadata!C857,19,1)=""),IFERROR(INT(MID(metadata!C857,18,2))&gt;=0,FALSE),IFERROR(INT(MID(metadata!C857,18,2))&lt;=59,FALSE)), LEN(metadata!C857)&lt;=19)))))))))))))</f>
        <v>0</v>
      </c>
      <c r="AO857" t="b">
        <f>AND(IF(metadata!D857="",FALSE,TRUE),EXACT(metadata!D857,"Not applicable"))</f>
        <v>0</v>
      </c>
      <c r="AP857" t="b">
        <f>IF(metadata!E857="",FALSE,TRUE)</f>
        <v>0</v>
      </c>
      <c r="AQ857" t="b">
        <f>OR(AND(IF(metadata!F857="",FALSE,TRUE),OR(EXACT(metadata!F857,"missing: not collected"),EXACT(metadata!F857,"missing: not provided"))),AND(IF(metadata!F857="",FALSE,TRUE),OR(EXACT(metadata!F857,"TRUE"),EXACT(metadata!F857,"FALSE"))))</f>
        <v>0</v>
      </c>
      <c r="AR857" t="b">
        <f>OR(AND(IF(metadata!G857="",FALSE,TRUE),OR(EXACT(metadata!G857,"missing: not collected"),EXACT(metadata!G857,"missing: not provided"),EXACT(metadata!G857,"missing: restricted access"))),AND(IF(metadata!G857="",FALSE,ISNUMBER(VALUE(metadata!G857))),metadata!G857&gt;=-413))</f>
        <v>0</v>
      </c>
      <c r="AS857" t="b">
        <f>AND(IF(metadata!H857="",FALSE,TRUE),EXACT(metadata!H857,"meters"))</f>
        <v>0</v>
      </c>
      <c r="AT857" t="b">
        <f>AND(IF(metadata!I857="",FALSE,TRUE),OR(EXACT(metadata!I857,"Host-associated"),EXACT(metadata!I857,"Free-living")))</f>
        <v>0</v>
      </c>
      <c r="AU857" t="b">
        <f>AND(IF(metadata!J857="",FALSE,TRUE),OR(EXACT(metadata!J857,"Animal"),EXACT(metadata!J857,"Fungus"),EXACT(metadata!J857,"Plant"),EXACT(metadata!J857,"Saline"),EXACT(metadata!J857,"Non-saline")))</f>
        <v>0</v>
      </c>
      <c r="AV857" t="b">
        <f>AND(IF(metadata!K857="",FALSE,TRUE),OR(EXACT(metadata!K857,"Plant secretion"),EXACT(metadata!K857,"Plant rhizosphere"),EXACT(metadata!K857,"Plant surface"),EXACT(metadata!K857,"Plant corpus"),EXACT(metadata!K857,"Fungus surface"),EXACT(metadata!K857,"Fungus corpus"),EXACT(metadata!K857,"Animal surface"),EXACT(metadata!K857,"Animal proximal gut"),EXACT(metadata!K857,"Animal corpus"),EXACT(metadata!K857,"Animal distal gut"),EXACT(metadata!K857,"Animal secretion"),EXACT(metadata!K857,"Sub-surface (non-saline)"),EXACT(metadata!K857,"Surface (non-saline)"),EXACT(metadata!K857,"Water (non-saline)"),EXACT(metadata!K857,"Soil (non-saline)"),EXACT(metadata!K857,"Aerosol (non-saline)"),EXACT(metadata!K857,"Sediment (non-saline)"),EXACT(metadata!K857,"Surface (saline)"),EXACT(metadata!K857,"Water (saline)"),EXACT(metadata!K857,"Hypersaline (saline)"),EXACT(metadata!K857,"Aerosol (saline)"),EXACT(metadata!K857,"Sediment (saline)")))</f>
        <v>0</v>
      </c>
      <c r="AW857" t="b">
        <f>IF(metadata!L857="",FALSE,TRUE)</f>
        <v>0</v>
      </c>
      <c r="AX857" t="b">
        <f>IF(metadata!M857="",FALSE,TRUE)</f>
        <v>0</v>
      </c>
      <c r="AY857" t="b">
        <f>IF(metadata!N857="",FALSE,TRUE)</f>
        <v>0</v>
      </c>
      <c r="AZ857" t="b">
        <f>OR(AND(IF(metadata!O857="",FALSE,TRUE),OR(EXACT(metadata!O857,"missing: not collected"),EXACT(metadata!O857,"missing: not provided"),EXACT(metadata!O857,"missing: restricted access"))),AND(IF(metadata!O857="",FALSE,TRUE),OR(EXACT(metadata!O857,"air"),EXACT(metadata!O857,"built environment"),EXACT(metadata!O857,"host-associated"),EXACT(metadata!O857,"human-associated"),EXACT(metadata!O857,"human-skin"),EXACT(metadata!O857,"human-oral"),EXACT(metadata!O857,"human-gut"),EXACT(metadata!O857,"human-vaginal"),EXACT(metadata!O857,"microbial mat/biofilm"),EXACT(metadata!O857,"misc environment"),EXACT(metadata!O857,"plant-associated"),EXACT(metadata!O857,"sediment"),EXACT(metadata!O857,"soil"),EXACT(metadata!O857,"wastewater/sludge"),EXACT(metadata!O857,"water"))))</f>
        <v>0</v>
      </c>
      <c r="BA857" t="b">
        <f>IF(metadata!P857="",FALSE,TRUE)</f>
        <v>0</v>
      </c>
      <c r="BB857" t="b">
        <f>IF(metadata!Q857="",FALSE,TRUE)</f>
        <v>0</v>
      </c>
      <c r="BC857" t="b">
        <f>OR(AND(IF(metadata!R857="",FALSE,TRUE),OR(EXACT(metadata!R857,"missing: not collected"),EXACT(metadata!R857,"missing: not provided"),EXACT(metadata!R857,"missing: restricted access"))),AND(IF(metadata!R857="",FALSE,ISNUMBER(VALUE(metadata!R857))),metadata!R857&gt;=-90,metadata!R857&lt;=90))</f>
        <v>0</v>
      </c>
      <c r="BD857" t="b">
        <f>AND(IF(metadata!S857="",FALSE,TRUE),EXACT(metadata!S857,"Decimal degrees"))</f>
        <v>0</v>
      </c>
      <c r="BE857" t="b">
        <f>OR(AND(IF(metadata!T857="",FALSE,TRUE),OR(EXACT(metadata!T857,"missing: not collected"),EXACT(metadata!T857,"missing: not provided"),EXACT(metadata!T857,"missing: restricted access"))),AND(IF(metadata!T857="",FALSE,ISNUMBER(VALUE(metadata!T857))),metadata!T857&gt;=-180,metadata!T857&lt;=180))</f>
        <v>0</v>
      </c>
      <c r="BF857" t="b">
        <f>AND(IF(metadata!U857="",FALSE,TRUE),EXACT(metadata!U857,"Decimal degrees"))</f>
        <v>0</v>
      </c>
      <c r="BG857" t="b">
        <f>IF(metadata!V857="",FALSE,TRUE)</f>
        <v>0</v>
      </c>
      <c r="BH857" t="b">
        <f>OR(AND(IF(metadata!W857="",FALSE,TRUE),OR(EXACT(metadata!W857,"missing: not collected"),EXACT(metadata!W857,"missing: not provided"),EXACT(metadata!W857,"missing: restricted access"))),AND(IF(metadata!W857="",FALSE,TRUE),OR(EXACT(metadata!W857,"TRUE"),EXACT(metadata!W857,"FALSE"))))</f>
        <v>0</v>
      </c>
      <c r="BI857" t="b">
        <f>AND(IF(metadata!X857="",FALSE,TRUE),EXACT(metadata!X857,"other"))</f>
        <v>0</v>
      </c>
      <c r="BJ857" t="b">
        <f>IF(metadata!Y857="",FALSE,TRUE)</f>
        <v>0</v>
      </c>
      <c r="BK857" t="b">
        <f>OR(AND(IF(metadata!Z857="",FALSE,TRUE),OR(EXACT(metadata!Z857,"missing: not collected"),EXACT(metadata!Z857,"missing: not provided"))),AND(IF(metadata!Z857="",FALSE,IF(ISERROR(INT(metadata!Z857)),FALSE,INT(metadata!Z857)=metadata!Z857)),metadata!Z857&gt;0))</f>
        <v>0</v>
      </c>
      <c r="BL857" t="b">
        <f>AND(IF(metadata!AA857="",FALSE,TRUE),EXACT(metadata!AA857,"Not applicable"))</f>
        <v>0</v>
      </c>
      <c r="BM857" t="b">
        <f>IF(metadata!AB857="",FALSE,TRUE)</f>
        <v>0</v>
      </c>
    </row>
    <row r="858" spans="1:65" x14ac:dyDescent="0.2">
      <c r="A858" s="5" t="str">
        <f ca="1">IF(B858=" "," ",HYPERLINK(CONCATENATE("#metadata!",ADDRESS(INDEX($AH$2:$AH$1001,MATCH(ROWS($AF$2:AF858),$AF$2:$AF$1001,0),0),1)),INDEX($AK$2:$AK$1001,MATCH(ROWS($AF$2:AF858),$AF$2:$AF$1001,0),0)))</f>
        <v xml:space="preserve"> </v>
      </c>
      <c r="B858" s="4" t="str">
        <f ca="1">IF(OR(INDEX($AG$2:$AG$1001,MATCH(ROWS($AF$2:AF858),$AF$2:$AF$1001,0),1)&gt;=100000,INDEX($AM$1005:$BM$1005,1,MATCH(COLUMNS($AM$1006:AM1006),$AM$1006:$BM$1006,0))&gt;=100000), " ",IF(INDEX($AM$2:$BM$1001,MATCH(ROWS($AF$2:AF858),$AF$2:$AF$1001,0),MATCH(COLUMNS($AM$1006:AM1006),$AM$1006:$BM$1006,0)), HYPERLINK("#",""), HYPERLINK(CONCATENATE("#metadata!", ADDRESS(INDEX($AH$2:$AH$1001,MATCH(ROWS($AF$2:AF858),$AF$2:$AF$1001,0),0), INDEX($AM$1004:$BM$1004,1,MATCH(COLUMNS($AM$1006:AM1006),$AM$1006:$BM$1006,0)))),"Fix")))</f>
        <v xml:space="preserve"> </v>
      </c>
      <c r="C858" s="4" t="str">
        <f ca="1">IF(OR(INDEX($AG$2:$AG$1001,MATCH(ROWS($AF$2:AF858),$AF$2:$AF$1001,0),1)&gt;=100000,INDEX($AM$1005:$BM$1005,1,MATCH(COLUMNS($AM$1006:AN1006),$AM$1006:$BM$1006,0))&gt;=100000), " ",IF(INDEX($AM$2:$BM$1001,MATCH(ROWS($AF$2:AF858),$AF$2:$AF$1001,0),MATCH(COLUMNS($AM$1006:AN1006),$AM$1006:$BM$1006,0)), HYPERLINK("#",""), HYPERLINK(CONCATENATE("#metadata!", ADDRESS(INDEX($AH$2:$AH$1001,MATCH(ROWS($AF$2:AF858),$AF$2:$AF$1001,0),0), INDEX($AM$1004:$BM$1004,1,MATCH(COLUMNS($AM$1006:AN1006),$AM$1006:$BM$1006,0)))),"Fix")))</f>
        <v xml:space="preserve"> </v>
      </c>
      <c r="D858" s="4" t="str">
        <f ca="1">IF(OR(INDEX($AG$2:$AG$1001,MATCH(ROWS($AF$2:AF858),$AF$2:$AF$1001,0),1)&gt;=100000,INDEX($AM$1005:$BM$1005,1,MATCH(COLUMNS($AM$1006:AO1006),$AM$1006:$BM$1006,0))&gt;=100000), " ",IF(INDEX($AM$2:$BM$1001,MATCH(ROWS($AF$2:AF858),$AF$2:$AF$1001,0),MATCH(COLUMNS($AM$1006:AO1006),$AM$1006:$BM$1006,0)), HYPERLINK("#",""), HYPERLINK(CONCATENATE("#metadata!", ADDRESS(INDEX($AH$2:$AH$1001,MATCH(ROWS($AF$2:AF858),$AF$2:$AF$1001,0),0), INDEX($AM$1004:$BM$1004,1,MATCH(COLUMNS($AM$1006:AO1006),$AM$1006:$BM$1006,0)))),"Fix")))</f>
        <v xml:space="preserve"> </v>
      </c>
      <c r="E858" s="4" t="str">
        <f ca="1">IF(OR(INDEX($AG$2:$AG$1001,MATCH(ROWS($AF$2:AF858),$AF$2:$AF$1001,0),1)&gt;=100000,INDEX($AM$1005:$BM$1005,1,MATCH(COLUMNS($AM$1006:AP1006),$AM$1006:$BM$1006,0))&gt;=100000), " ",IF(INDEX($AM$2:$BM$1001,MATCH(ROWS($AF$2:AF858),$AF$2:$AF$1001,0),MATCH(COLUMNS($AM$1006:AP1006),$AM$1006:$BM$1006,0)), HYPERLINK("#",""), HYPERLINK(CONCATENATE("#metadata!", ADDRESS(INDEX($AH$2:$AH$1001,MATCH(ROWS($AF$2:AF858),$AF$2:$AF$1001,0),0), INDEX($AM$1004:$BM$1004,1,MATCH(COLUMNS($AM$1006:AP1006),$AM$1006:$BM$1006,0)))),"Fix")))</f>
        <v xml:space="preserve"> </v>
      </c>
      <c r="F858" s="4" t="str">
        <f ca="1">IF(OR(INDEX($AG$2:$AG$1001,MATCH(ROWS($AF$2:AF858),$AF$2:$AF$1001,0),1)&gt;=100000,INDEX($AM$1005:$BM$1005,1,MATCH(COLUMNS($AM$1006:AQ1006),$AM$1006:$BM$1006,0))&gt;=100000), " ",IF(INDEX($AM$2:$BM$1001,MATCH(ROWS($AF$2:AF858),$AF$2:$AF$1001,0),MATCH(COLUMNS($AM$1006:AQ1006),$AM$1006:$BM$1006,0)), HYPERLINK("#",""), HYPERLINK(CONCATENATE("#metadata!", ADDRESS(INDEX($AH$2:$AH$1001,MATCH(ROWS($AF$2:AF858),$AF$2:$AF$1001,0),0), INDEX($AM$1004:$BM$1004,1,MATCH(COLUMNS($AM$1006:AQ1006),$AM$1006:$BM$1006,0)))),"Fix")))</f>
        <v xml:space="preserve"> </v>
      </c>
      <c r="G858" s="4" t="str">
        <f ca="1">IF(OR(INDEX($AG$2:$AG$1001,MATCH(ROWS($AF$2:AF858),$AF$2:$AF$1001,0),1)&gt;=100000,INDEX($AM$1005:$BM$1005,1,MATCH(COLUMNS($AM$1006:AR1006),$AM$1006:$BM$1006,0))&gt;=100000), " ",IF(INDEX($AM$2:$BM$1001,MATCH(ROWS($AF$2:AF858),$AF$2:$AF$1001,0),MATCH(COLUMNS($AM$1006:AR1006),$AM$1006:$BM$1006,0)), HYPERLINK("#",""), HYPERLINK(CONCATENATE("#metadata!", ADDRESS(INDEX($AH$2:$AH$1001,MATCH(ROWS($AF$2:AF858),$AF$2:$AF$1001,0),0), INDEX($AM$1004:$BM$1004,1,MATCH(COLUMNS($AM$1006:AR1006),$AM$1006:$BM$1006,0)))),"Fix")))</f>
        <v xml:space="preserve"> </v>
      </c>
      <c r="H858" s="4" t="str">
        <f ca="1">IF(OR(INDEX($AG$2:$AG$1001,MATCH(ROWS($AF$2:AF858),$AF$2:$AF$1001,0),1)&gt;=100000,INDEX($AM$1005:$BM$1005,1,MATCH(COLUMNS($AM$1006:AS1006),$AM$1006:$BM$1006,0))&gt;=100000), " ",IF(INDEX($AM$2:$BM$1001,MATCH(ROWS($AF$2:AF858),$AF$2:$AF$1001,0),MATCH(COLUMNS($AM$1006:AS1006),$AM$1006:$BM$1006,0)), HYPERLINK("#",""), HYPERLINK(CONCATENATE("#metadata!", ADDRESS(INDEX($AH$2:$AH$1001,MATCH(ROWS($AF$2:AF858),$AF$2:$AF$1001,0),0), INDEX($AM$1004:$BM$1004,1,MATCH(COLUMNS($AM$1006:AS1006),$AM$1006:$BM$1006,0)))),"Fix")))</f>
        <v xml:space="preserve"> </v>
      </c>
      <c r="I858" s="4" t="str">
        <f ca="1">IF(OR(INDEX($AG$2:$AG$1001,MATCH(ROWS($AF$2:AF858),$AF$2:$AF$1001,0),1)&gt;=100000,INDEX($AM$1005:$BM$1005,1,MATCH(COLUMNS($AM$1006:AT1006),$AM$1006:$BM$1006,0))&gt;=100000), " ",IF(INDEX($AM$2:$BM$1001,MATCH(ROWS($AF$2:AF858),$AF$2:$AF$1001,0),MATCH(COLUMNS($AM$1006:AT1006),$AM$1006:$BM$1006,0)), HYPERLINK("#",""), HYPERLINK(CONCATENATE("#metadata!", ADDRESS(INDEX($AH$2:$AH$1001,MATCH(ROWS($AF$2:AF858),$AF$2:$AF$1001,0),0), INDEX($AM$1004:$BM$1004,1,MATCH(COLUMNS($AM$1006:AT1006),$AM$1006:$BM$1006,0)))),"Fix")))</f>
        <v xml:space="preserve"> </v>
      </c>
      <c r="J858" s="4" t="str">
        <f ca="1">IF(OR(INDEX($AG$2:$AG$1001,MATCH(ROWS($AF$2:AF858),$AF$2:$AF$1001,0),1)&gt;=100000,INDEX($AM$1005:$BM$1005,1,MATCH(COLUMNS($AM$1006:AU1006),$AM$1006:$BM$1006,0))&gt;=100000), " ",IF(INDEX($AM$2:$BM$1001,MATCH(ROWS($AF$2:AF858),$AF$2:$AF$1001,0),MATCH(COLUMNS($AM$1006:AU1006),$AM$1006:$BM$1006,0)), HYPERLINK("#",""), HYPERLINK(CONCATENATE("#metadata!", ADDRESS(INDEX($AH$2:$AH$1001,MATCH(ROWS($AF$2:AF858),$AF$2:$AF$1001,0),0), INDEX($AM$1004:$BM$1004,1,MATCH(COLUMNS($AM$1006:AU1006),$AM$1006:$BM$1006,0)))),"Fix")))</f>
        <v xml:space="preserve"> </v>
      </c>
      <c r="K858" s="4" t="str">
        <f ca="1">IF(OR(INDEX($AG$2:$AG$1001,MATCH(ROWS($AF$2:AF858),$AF$2:$AF$1001,0),1)&gt;=100000,INDEX($AM$1005:$BM$1005,1,MATCH(COLUMNS($AM$1006:AV1006),$AM$1006:$BM$1006,0))&gt;=100000), " ",IF(INDEX($AM$2:$BM$1001,MATCH(ROWS($AF$2:AF858),$AF$2:$AF$1001,0),MATCH(COLUMNS($AM$1006:AV1006),$AM$1006:$BM$1006,0)), HYPERLINK("#",""), HYPERLINK(CONCATENATE("#metadata!", ADDRESS(INDEX($AH$2:$AH$1001,MATCH(ROWS($AF$2:AF858),$AF$2:$AF$1001,0),0), INDEX($AM$1004:$BM$1004,1,MATCH(COLUMNS($AM$1006:AV1006),$AM$1006:$BM$1006,0)))),"Fix")))</f>
        <v xml:space="preserve"> </v>
      </c>
      <c r="L858" s="4" t="str">
        <f ca="1">IF(OR(INDEX($AG$2:$AG$1001,MATCH(ROWS($AF$2:AF858),$AF$2:$AF$1001,0),1)&gt;=100000,INDEX($AM$1005:$BM$1005,1,MATCH(COLUMNS($AM$1006:AW1006),$AM$1006:$BM$1006,0))&gt;=100000), " ",IF(INDEX($AM$2:$BM$1001,MATCH(ROWS($AF$2:AF858),$AF$2:$AF$1001,0),MATCH(COLUMNS($AM$1006:AW1006),$AM$1006:$BM$1006,0)), HYPERLINK("#",""), HYPERLINK(CONCATENATE("#metadata!", ADDRESS(INDEX($AH$2:$AH$1001,MATCH(ROWS($AF$2:AF858),$AF$2:$AF$1001,0),0), INDEX($AM$1004:$BM$1004,1,MATCH(COLUMNS($AM$1006:AW1006),$AM$1006:$BM$1006,0)))),"Fix")))</f>
        <v xml:space="preserve"> </v>
      </c>
      <c r="M858" s="4" t="str">
        <f ca="1">IF(OR(INDEX($AG$2:$AG$1001,MATCH(ROWS($AF$2:AF858),$AF$2:$AF$1001,0),1)&gt;=100000,INDEX($AM$1005:$BM$1005,1,MATCH(COLUMNS($AM$1006:AX1006),$AM$1006:$BM$1006,0))&gt;=100000), " ",IF(INDEX($AM$2:$BM$1001,MATCH(ROWS($AF$2:AF858),$AF$2:$AF$1001,0),MATCH(COLUMNS($AM$1006:AX1006),$AM$1006:$BM$1006,0)), HYPERLINK("#",""), HYPERLINK(CONCATENATE("#metadata!", ADDRESS(INDEX($AH$2:$AH$1001,MATCH(ROWS($AF$2:AF858),$AF$2:$AF$1001,0),0), INDEX($AM$1004:$BM$1004,1,MATCH(COLUMNS($AM$1006:AX1006),$AM$1006:$BM$1006,0)))),"Fix")))</f>
        <v xml:space="preserve"> </v>
      </c>
      <c r="N858" s="4" t="str">
        <f ca="1">IF(OR(INDEX($AG$2:$AG$1001,MATCH(ROWS($AF$2:AF858),$AF$2:$AF$1001,0),1)&gt;=100000,INDEX($AM$1005:$BM$1005,1,MATCH(COLUMNS($AM$1006:AY1006),$AM$1006:$BM$1006,0))&gt;=100000), " ",IF(INDEX($AM$2:$BM$1001,MATCH(ROWS($AF$2:AF858),$AF$2:$AF$1001,0),MATCH(COLUMNS($AM$1006:AY1006),$AM$1006:$BM$1006,0)), HYPERLINK("#",""), HYPERLINK(CONCATENATE("#metadata!", ADDRESS(INDEX($AH$2:$AH$1001,MATCH(ROWS($AF$2:AF858),$AF$2:$AF$1001,0),0), INDEX($AM$1004:$BM$1004,1,MATCH(COLUMNS($AM$1006:AY1006),$AM$1006:$BM$1006,0)))),"Fix")))</f>
        <v xml:space="preserve"> </v>
      </c>
      <c r="O858" s="4" t="str">
        <f ca="1">IF(OR(INDEX($AG$2:$AG$1001,MATCH(ROWS($AF$2:AF858),$AF$2:$AF$1001,0),1)&gt;=100000,INDEX($AM$1005:$BM$1005,1,MATCH(COLUMNS($AM$1006:AZ1006),$AM$1006:$BM$1006,0))&gt;=100000), " ",IF(INDEX($AM$2:$BM$1001,MATCH(ROWS($AF$2:AF858),$AF$2:$AF$1001,0),MATCH(COLUMNS($AM$1006:AZ1006),$AM$1006:$BM$1006,0)), HYPERLINK("#",""), HYPERLINK(CONCATENATE("#metadata!", ADDRESS(INDEX($AH$2:$AH$1001,MATCH(ROWS($AF$2:AF858),$AF$2:$AF$1001,0),0), INDEX($AM$1004:$BM$1004,1,MATCH(COLUMNS($AM$1006:AZ1006),$AM$1006:$BM$1006,0)))),"Fix")))</f>
        <v xml:space="preserve"> </v>
      </c>
      <c r="P858" s="4" t="str">
        <f ca="1">IF(OR(INDEX($AG$2:$AG$1001,MATCH(ROWS($AF$2:AF858),$AF$2:$AF$1001,0),1)&gt;=100000,INDEX($AM$1005:$BM$1005,1,MATCH(COLUMNS($AM$1006:BA1006),$AM$1006:$BM$1006,0))&gt;=100000), " ",IF(INDEX($AM$2:$BM$1001,MATCH(ROWS($AF$2:AF858),$AF$2:$AF$1001,0),MATCH(COLUMNS($AM$1006:BA1006),$AM$1006:$BM$1006,0)), HYPERLINK("#",""), HYPERLINK(CONCATENATE("#metadata!", ADDRESS(INDEX($AH$2:$AH$1001,MATCH(ROWS($AF$2:AF858),$AF$2:$AF$1001,0),0), INDEX($AM$1004:$BM$1004,1,MATCH(COLUMNS($AM$1006:BA1006),$AM$1006:$BM$1006,0)))),"Fix")))</f>
        <v xml:space="preserve"> </v>
      </c>
      <c r="Q858" s="4" t="str">
        <f ca="1">IF(OR(INDEX($AG$2:$AG$1001,MATCH(ROWS($AF$2:AF858),$AF$2:$AF$1001,0),1)&gt;=100000,INDEX($AM$1005:$BM$1005,1,MATCH(COLUMNS($AM$1006:BB1006),$AM$1006:$BM$1006,0))&gt;=100000), " ",IF(INDEX($AM$2:$BM$1001,MATCH(ROWS($AF$2:AF858),$AF$2:$AF$1001,0),MATCH(COLUMNS($AM$1006:BB1006),$AM$1006:$BM$1006,0)), HYPERLINK("#",""), HYPERLINK(CONCATENATE("#metadata!", ADDRESS(INDEX($AH$2:$AH$1001,MATCH(ROWS($AF$2:AF858),$AF$2:$AF$1001,0),0), INDEX($AM$1004:$BM$1004,1,MATCH(COLUMNS($AM$1006:BB1006),$AM$1006:$BM$1006,0)))),"Fix")))</f>
        <v xml:space="preserve"> </v>
      </c>
      <c r="R858" s="4" t="str">
        <f ca="1">IF(OR(INDEX($AG$2:$AG$1001,MATCH(ROWS($AF$2:AF858),$AF$2:$AF$1001,0),1)&gt;=100000,INDEX($AM$1005:$BM$1005,1,MATCH(COLUMNS($AM$1006:BC1006),$AM$1006:$BM$1006,0))&gt;=100000), " ",IF(INDEX($AM$2:$BM$1001,MATCH(ROWS($AF$2:AF858),$AF$2:$AF$1001,0),MATCH(COLUMNS($AM$1006:BC1006),$AM$1006:$BM$1006,0)), HYPERLINK("#",""), HYPERLINK(CONCATENATE("#metadata!", ADDRESS(INDEX($AH$2:$AH$1001,MATCH(ROWS($AF$2:AF858),$AF$2:$AF$1001,0),0), INDEX($AM$1004:$BM$1004,1,MATCH(COLUMNS($AM$1006:BC1006),$AM$1006:$BM$1006,0)))),"Fix")))</f>
        <v xml:space="preserve"> </v>
      </c>
      <c r="S858" s="4" t="str">
        <f ca="1">IF(OR(INDEX($AG$2:$AG$1001,MATCH(ROWS($AF$2:AF858),$AF$2:$AF$1001,0),1)&gt;=100000,INDEX($AM$1005:$BM$1005,1,MATCH(COLUMNS($AM$1006:BD1006),$AM$1006:$BM$1006,0))&gt;=100000), " ",IF(INDEX($AM$2:$BM$1001,MATCH(ROWS($AF$2:AF858),$AF$2:$AF$1001,0),MATCH(COLUMNS($AM$1006:BD1006),$AM$1006:$BM$1006,0)), HYPERLINK("#",""), HYPERLINK(CONCATENATE("#metadata!", ADDRESS(INDEX($AH$2:$AH$1001,MATCH(ROWS($AF$2:AF858),$AF$2:$AF$1001,0),0), INDEX($AM$1004:$BM$1004,1,MATCH(COLUMNS($AM$1006:BD1006),$AM$1006:$BM$1006,0)))),"Fix")))</f>
        <v xml:space="preserve"> </v>
      </c>
      <c r="T858" s="4" t="str">
        <f ca="1">IF(OR(INDEX($AG$2:$AG$1001,MATCH(ROWS($AF$2:AF858),$AF$2:$AF$1001,0),1)&gt;=100000,INDEX($AM$1005:$BM$1005,1,MATCH(COLUMNS($AM$1006:BE1006),$AM$1006:$BM$1006,0))&gt;=100000), " ",IF(INDEX($AM$2:$BM$1001,MATCH(ROWS($AF$2:AF858),$AF$2:$AF$1001,0),MATCH(COLUMNS($AM$1006:BE1006),$AM$1006:$BM$1006,0)), HYPERLINK("#",""), HYPERLINK(CONCATENATE("#metadata!", ADDRESS(INDEX($AH$2:$AH$1001,MATCH(ROWS($AF$2:AF858),$AF$2:$AF$1001,0),0), INDEX($AM$1004:$BM$1004,1,MATCH(COLUMNS($AM$1006:BE1006),$AM$1006:$BM$1006,0)))),"Fix")))</f>
        <v xml:space="preserve"> </v>
      </c>
      <c r="U858" s="4" t="str">
        <f ca="1">IF(OR(INDEX($AG$2:$AG$1001,MATCH(ROWS($AF$2:AF858),$AF$2:$AF$1001,0),1)&gt;=100000,INDEX($AM$1005:$BM$1005,1,MATCH(COLUMNS($AM$1006:BF1006),$AM$1006:$BM$1006,0))&gt;=100000), " ",IF(INDEX($AM$2:$BM$1001,MATCH(ROWS($AF$2:AF858),$AF$2:$AF$1001,0),MATCH(COLUMNS($AM$1006:BF1006),$AM$1006:$BM$1006,0)), HYPERLINK("#",""), HYPERLINK(CONCATENATE("#metadata!", ADDRESS(INDEX($AH$2:$AH$1001,MATCH(ROWS($AF$2:AF858),$AF$2:$AF$1001,0),0), INDEX($AM$1004:$BM$1004,1,MATCH(COLUMNS($AM$1006:BF1006),$AM$1006:$BM$1006,0)))),"Fix")))</f>
        <v xml:space="preserve"> </v>
      </c>
      <c r="V858" s="4" t="str">
        <f ca="1">IF(OR(INDEX($AG$2:$AG$1001,MATCH(ROWS($AF$2:AF858),$AF$2:$AF$1001,0),1)&gt;=100000,INDEX($AM$1005:$BM$1005,1,MATCH(COLUMNS($AM$1006:BG1006),$AM$1006:$BM$1006,0))&gt;=100000), " ",IF(INDEX($AM$2:$BM$1001,MATCH(ROWS($AF$2:AF858),$AF$2:$AF$1001,0),MATCH(COLUMNS($AM$1006:BG1006),$AM$1006:$BM$1006,0)), HYPERLINK("#",""), HYPERLINK(CONCATENATE("#metadata!", ADDRESS(INDEX($AH$2:$AH$1001,MATCH(ROWS($AF$2:AF858),$AF$2:$AF$1001,0),0), INDEX($AM$1004:$BM$1004,1,MATCH(COLUMNS($AM$1006:BG1006),$AM$1006:$BM$1006,0)))),"Fix")))</f>
        <v xml:space="preserve"> </v>
      </c>
      <c r="W858" s="4" t="str">
        <f ca="1">IF(OR(INDEX($AG$2:$AG$1001,MATCH(ROWS($AF$2:AF858),$AF$2:$AF$1001,0),1)&gt;=100000,INDEX($AM$1005:$BM$1005,1,MATCH(COLUMNS($AM$1006:BH1006),$AM$1006:$BM$1006,0))&gt;=100000), " ",IF(INDEX($AM$2:$BM$1001,MATCH(ROWS($AF$2:AF858),$AF$2:$AF$1001,0),MATCH(COLUMNS($AM$1006:BH1006),$AM$1006:$BM$1006,0)), HYPERLINK("#",""), HYPERLINK(CONCATENATE("#metadata!", ADDRESS(INDEX($AH$2:$AH$1001,MATCH(ROWS($AF$2:AF858),$AF$2:$AF$1001,0),0), INDEX($AM$1004:$BM$1004,1,MATCH(COLUMNS($AM$1006:BH1006),$AM$1006:$BM$1006,0)))),"Fix")))</f>
        <v xml:space="preserve"> </v>
      </c>
      <c r="X858" s="4" t="str">
        <f ca="1">IF(OR(INDEX($AG$2:$AG$1001,MATCH(ROWS($AF$2:AF858),$AF$2:$AF$1001,0),1)&gt;=100000,INDEX($AM$1005:$BM$1005,1,MATCH(COLUMNS($AM$1006:BI1006),$AM$1006:$BM$1006,0))&gt;=100000), " ",IF(INDEX($AM$2:$BM$1001,MATCH(ROWS($AF$2:AF858),$AF$2:$AF$1001,0),MATCH(COLUMNS($AM$1006:BI1006),$AM$1006:$BM$1006,0)), HYPERLINK("#",""), HYPERLINK(CONCATENATE("#metadata!", ADDRESS(INDEX($AH$2:$AH$1001,MATCH(ROWS($AF$2:AF858),$AF$2:$AF$1001,0),0), INDEX($AM$1004:$BM$1004,1,MATCH(COLUMNS($AM$1006:BI1006),$AM$1006:$BM$1006,0)))),"Fix")))</f>
        <v xml:space="preserve"> </v>
      </c>
      <c r="Y858" s="4" t="str">
        <f ca="1">IF(OR(INDEX($AG$2:$AG$1001,MATCH(ROWS($AF$2:AF858),$AF$2:$AF$1001,0),1)&gt;=100000,INDEX($AM$1005:$BM$1005,1,MATCH(COLUMNS($AM$1006:BJ1006),$AM$1006:$BM$1006,0))&gt;=100000), " ",IF(INDEX($AM$2:$BM$1001,MATCH(ROWS($AF$2:AF858),$AF$2:$AF$1001,0),MATCH(COLUMNS($AM$1006:BJ1006),$AM$1006:$BM$1006,0)), HYPERLINK("#",""), HYPERLINK(CONCATENATE("#metadata!", ADDRESS(INDEX($AH$2:$AH$1001,MATCH(ROWS($AF$2:AF858),$AF$2:$AF$1001,0),0), INDEX($AM$1004:$BM$1004,1,MATCH(COLUMNS($AM$1006:BJ1006),$AM$1006:$BM$1006,0)))),"Fix")))</f>
        <v xml:space="preserve"> </v>
      </c>
      <c r="Z858" s="4" t="str">
        <f ca="1">IF(OR(INDEX($AG$2:$AG$1001,MATCH(ROWS($AF$2:AF858),$AF$2:$AF$1001,0),1)&gt;=100000,INDEX($AM$1005:$BM$1005,1,MATCH(COLUMNS($AM$1006:BK1006),$AM$1006:$BM$1006,0))&gt;=100000), " ",IF(INDEX($AM$2:$BM$1001,MATCH(ROWS($AF$2:AF858),$AF$2:$AF$1001,0),MATCH(COLUMNS($AM$1006:BK1006),$AM$1006:$BM$1006,0)), HYPERLINK("#",""), HYPERLINK(CONCATENATE("#metadata!", ADDRESS(INDEX($AH$2:$AH$1001,MATCH(ROWS($AF$2:AF858),$AF$2:$AF$1001,0),0), INDEX($AM$1004:$BM$1004,1,MATCH(COLUMNS($AM$1006:BK1006),$AM$1006:$BM$1006,0)))),"Fix")))</f>
        <v xml:space="preserve"> </v>
      </c>
      <c r="AA858" s="4" t="str">
        <f ca="1">IF(OR(INDEX($AG$2:$AG$1001,MATCH(ROWS($AF$2:AF858),$AF$2:$AF$1001,0),1)&gt;=100000,INDEX($AM$1005:$BM$1005,1,MATCH(COLUMNS($AM$1006:BL1006),$AM$1006:$BM$1006,0))&gt;=100000), " ",IF(INDEX($AM$2:$BM$1001,MATCH(ROWS($AF$2:AF858),$AF$2:$AF$1001,0),MATCH(COLUMNS($AM$1006:BL1006),$AM$1006:$BM$1006,0)), HYPERLINK("#",""), HYPERLINK(CONCATENATE("#metadata!", ADDRESS(INDEX($AH$2:$AH$1001,MATCH(ROWS($AF$2:AF858),$AF$2:$AF$1001,0),0), INDEX($AM$1004:$BM$1004,1,MATCH(COLUMNS($AM$1006:BL1006),$AM$1006:$BM$1006,0)))),"Fix")))</f>
        <v xml:space="preserve"> </v>
      </c>
      <c r="AB858" s="4" t="str">
        <f ca="1">IF(OR(INDEX($AG$2:$AG$1001,MATCH(ROWS($AF$2:AF858),$AF$2:$AF$1001,0),1)&gt;=100000,INDEX($AM$1005:$BM$1005,1,MATCH(COLUMNS($AM$1006:BM1006),$AM$1006:$BM$1006,0))&gt;=100000), " ",IF(INDEX($AM$2:$BM$1001,MATCH(ROWS($AF$2:AF858),$AF$2:$AF$1001,0),MATCH(COLUMNS($AM$1006:BM1006),$AM$1006:$BM$1006,0)), HYPERLINK("#",""), HYPERLINK(CONCATENATE("#metadata!", ADDRESS(INDEX($AH$2:$AH$1001,MATCH(ROWS($AF$2:AF858),$AF$2:$AF$1001,0),0), INDEX($AM$1004:$BM$1004,1,MATCH(COLUMNS($AM$1006:BM1006),$AM$1006:$BM$1006,0)))),"Fix")))</f>
        <v xml:space="preserve"> </v>
      </c>
      <c r="AF858">
        <v>857</v>
      </c>
      <c r="AG858">
        <v>100858</v>
      </c>
      <c r="AH858">
        <v>858</v>
      </c>
      <c r="AI858" t="b">
        <f t="shared" si="13"/>
        <v>1</v>
      </c>
      <c r="AJ858" t="b">
        <f>COUNTBLANK(metadata!B858:AB858)=COLUMNS(metadata!B858:AB858)</f>
        <v>1</v>
      </c>
      <c r="AK858" t="str">
        <v/>
      </c>
      <c r="AM858" t="b">
        <f ca="1">AND(IF(metadata!B858="",FALSE,TRUE),COUNTIF(metadata!B:B, metadata!B858) = 1,NOT(ISERROR(SUMPRODUCT(SEARCH(MID(metadata!B858,ROW(INDIRECT("1:"&amp;LEN(metadata!B858))), 1),"0123456789abcdefghijklmnopqrstuvwxyzABCDEFGHIJKLMNOPQRSTUVWXYZ.")))))</f>
        <v>0</v>
      </c>
      <c r="AN858" t="b">
        <f ca="1">OR(AND(IF(metadata!C858="",FALSE,TRUE),OR(EXACT(metadata!C858,"missing: not collected"),EXACT(metadata!C858,"missing: not provided"),EXACT(metadata!C858,"missing: restricted access"))),AND(IF(metadata!C858="",FALSE,TRUE),AND(AND(IFERROR(INT(LEFT(metadata!C858,4))&gt;1900,FALSE),IFERROR(INT(LEFT(metadata!C858,4))&lt;=YEAR(NOW()),FALSE)), OR(MID(metadata!C858,5,1)="", AND(AND(MID(metadata!C858,5,1)="-",IFERROR(INT(MID(metadata!C858,6,1))&gt;=0,FALSE),IFERROR(INT(MID(metadata!C858,6,1))&lt;=1,FALSE),NOT(MID(metadata!C858,7,1)=""),IFERROR(INT(MID(metadata!C858,6,2))&gt;=1,FALSE),IFERROR(INT(MID(metadata!C858,6,2))&lt;=12,FALSE)), OR(MID(metadata!C858,8,1)="", AND(AND(MID(metadata!C858,8,1)="-",IFERROR(INT(MID(metadata!C858,9,1))&gt;=0,FALSE),IFERROR(INT(MID(metadata!C858,9,1))&lt;=3,FALSE),NOT(MID(metadata!C858,10,1)=""),IFERROR(INT(MID(metadata!C858,9,2))&gt;=1,FALSE),IFERROR(INT(MID(metadata!C858,9,2))&lt;=31,FALSE)), OR(MID(metadata!C858,11,1)="", AND(AND(MID(metadata!C858,11,1)=" ",IFERROR(INT(MID(metadata!C858,12,1))&gt;=0,FALSE),IFERROR(INT(MID(metadata!C858,12,1))&lt;=2,FALSE),NOT(MID(metadata!C858,13,1)=""),IFERROR(INT(MID(metadata!C858,12,2))&gt;=0,FALSE),IFERROR(INT(MID(metadata!C858,12,2))&lt;=23,FALSE)), OR(MID(metadata!C858,14,1)="", AND(AND(MID(metadata!C858,14,1)=":",IFERROR(INT(MID(metadata!C858,15,1))&gt;=0,FALSE),IFERROR(INT(MID(metadata!C858,15,1))&lt;=5,FALSE),NOT(MID(metadata!C858,16,1)=""),IFERROR(INT(MID(metadata!C858,15,2))&gt;=0,FALSE),IFERROR(INT(MID(metadata!C858,15,2))&lt;=59,FALSE)), OR(MID(metadata!C858,17,1)="", AND(AND(MID(metadata!C858,17,1)=":",IFERROR(INT(MID(metadata!C858,18,1))&gt;=0,FALSE),IFERROR(INT(MID(metadata!C858,18,1))&lt;=5,FALSE),NOT(MID(metadata!C858,19,1)=""),IFERROR(INT(MID(metadata!C858,18,2))&gt;=0,FALSE),IFERROR(INT(MID(metadata!C858,18,2))&lt;=59,FALSE)), LEN(metadata!C858)&lt;=19)))))))))))))</f>
        <v>0</v>
      </c>
      <c r="AO858" t="b">
        <f>AND(IF(metadata!D858="",FALSE,TRUE),EXACT(metadata!D858,"Not applicable"))</f>
        <v>0</v>
      </c>
      <c r="AP858" t="b">
        <f>IF(metadata!E858="",FALSE,TRUE)</f>
        <v>0</v>
      </c>
      <c r="AQ858" t="b">
        <f>OR(AND(IF(metadata!F858="",FALSE,TRUE),OR(EXACT(metadata!F858,"missing: not collected"),EXACT(metadata!F858,"missing: not provided"))),AND(IF(metadata!F858="",FALSE,TRUE),OR(EXACT(metadata!F858,"TRUE"),EXACT(metadata!F858,"FALSE"))))</f>
        <v>0</v>
      </c>
      <c r="AR858" t="b">
        <f>OR(AND(IF(metadata!G858="",FALSE,TRUE),OR(EXACT(metadata!G858,"missing: not collected"),EXACT(metadata!G858,"missing: not provided"),EXACT(metadata!G858,"missing: restricted access"))),AND(IF(metadata!G858="",FALSE,ISNUMBER(VALUE(metadata!G858))),metadata!G858&gt;=-413))</f>
        <v>0</v>
      </c>
      <c r="AS858" t="b">
        <f>AND(IF(metadata!H858="",FALSE,TRUE),EXACT(metadata!H858,"meters"))</f>
        <v>0</v>
      </c>
      <c r="AT858" t="b">
        <f>AND(IF(metadata!I858="",FALSE,TRUE),OR(EXACT(metadata!I858,"Host-associated"),EXACT(metadata!I858,"Free-living")))</f>
        <v>0</v>
      </c>
      <c r="AU858" t="b">
        <f>AND(IF(metadata!J858="",FALSE,TRUE),OR(EXACT(metadata!J858,"Animal"),EXACT(metadata!J858,"Fungus"),EXACT(metadata!J858,"Plant"),EXACT(metadata!J858,"Saline"),EXACT(metadata!J858,"Non-saline")))</f>
        <v>0</v>
      </c>
      <c r="AV858" t="b">
        <f>AND(IF(metadata!K858="",FALSE,TRUE),OR(EXACT(metadata!K858,"Plant secretion"),EXACT(metadata!K858,"Plant rhizosphere"),EXACT(metadata!K858,"Plant surface"),EXACT(metadata!K858,"Plant corpus"),EXACT(metadata!K858,"Fungus surface"),EXACT(metadata!K858,"Fungus corpus"),EXACT(metadata!K858,"Animal surface"),EXACT(metadata!K858,"Animal proximal gut"),EXACT(metadata!K858,"Animal corpus"),EXACT(metadata!K858,"Animal distal gut"),EXACT(metadata!K858,"Animal secretion"),EXACT(metadata!K858,"Sub-surface (non-saline)"),EXACT(metadata!K858,"Surface (non-saline)"),EXACT(metadata!K858,"Water (non-saline)"),EXACT(metadata!K858,"Soil (non-saline)"),EXACT(metadata!K858,"Aerosol (non-saline)"),EXACT(metadata!K858,"Sediment (non-saline)"),EXACT(metadata!K858,"Surface (saline)"),EXACT(metadata!K858,"Water (saline)"),EXACT(metadata!K858,"Hypersaline (saline)"),EXACT(metadata!K858,"Aerosol (saline)"),EXACT(metadata!K858,"Sediment (saline)")))</f>
        <v>0</v>
      </c>
      <c r="AW858" t="b">
        <f>IF(metadata!L858="",FALSE,TRUE)</f>
        <v>0</v>
      </c>
      <c r="AX858" t="b">
        <f>IF(metadata!M858="",FALSE,TRUE)</f>
        <v>0</v>
      </c>
      <c r="AY858" t="b">
        <f>IF(metadata!N858="",FALSE,TRUE)</f>
        <v>0</v>
      </c>
      <c r="AZ858" t="b">
        <f>OR(AND(IF(metadata!O858="",FALSE,TRUE),OR(EXACT(metadata!O858,"missing: not collected"),EXACT(metadata!O858,"missing: not provided"),EXACT(metadata!O858,"missing: restricted access"))),AND(IF(metadata!O858="",FALSE,TRUE),OR(EXACT(metadata!O858,"air"),EXACT(metadata!O858,"built environment"),EXACT(metadata!O858,"host-associated"),EXACT(metadata!O858,"human-associated"),EXACT(metadata!O858,"human-skin"),EXACT(metadata!O858,"human-oral"),EXACT(metadata!O858,"human-gut"),EXACT(metadata!O858,"human-vaginal"),EXACT(metadata!O858,"microbial mat/biofilm"),EXACT(metadata!O858,"misc environment"),EXACT(metadata!O858,"plant-associated"),EXACT(metadata!O858,"sediment"),EXACT(metadata!O858,"soil"),EXACT(metadata!O858,"wastewater/sludge"),EXACT(metadata!O858,"water"))))</f>
        <v>0</v>
      </c>
      <c r="BA858" t="b">
        <f>IF(metadata!P858="",FALSE,TRUE)</f>
        <v>0</v>
      </c>
      <c r="BB858" t="b">
        <f>IF(metadata!Q858="",FALSE,TRUE)</f>
        <v>0</v>
      </c>
      <c r="BC858" t="b">
        <f>OR(AND(IF(metadata!R858="",FALSE,TRUE),OR(EXACT(metadata!R858,"missing: not collected"),EXACT(metadata!R858,"missing: not provided"),EXACT(metadata!R858,"missing: restricted access"))),AND(IF(metadata!R858="",FALSE,ISNUMBER(VALUE(metadata!R858))),metadata!R858&gt;=-90,metadata!R858&lt;=90))</f>
        <v>0</v>
      </c>
      <c r="BD858" t="b">
        <f>AND(IF(metadata!S858="",FALSE,TRUE),EXACT(metadata!S858,"Decimal degrees"))</f>
        <v>0</v>
      </c>
      <c r="BE858" t="b">
        <f>OR(AND(IF(metadata!T858="",FALSE,TRUE),OR(EXACT(metadata!T858,"missing: not collected"),EXACT(metadata!T858,"missing: not provided"),EXACT(metadata!T858,"missing: restricted access"))),AND(IF(metadata!T858="",FALSE,ISNUMBER(VALUE(metadata!T858))),metadata!T858&gt;=-180,metadata!T858&lt;=180))</f>
        <v>0</v>
      </c>
      <c r="BF858" t="b">
        <f>AND(IF(metadata!U858="",FALSE,TRUE),EXACT(metadata!U858,"Decimal degrees"))</f>
        <v>0</v>
      </c>
      <c r="BG858" t="b">
        <f>IF(metadata!V858="",FALSE,TRUE)</f>
        <v>0</v>
      </c>
      <c r="BH858" t="b">
        <f>OR(AND(IF(metadata!W858="",FALSE,TRUE),OR(EXACT(metadata!W858,"missing: not collected"),EXACT(metadata!W858,"missing: not provided"),EXACT(metadata!W858,"missing: restricted access"))),AND(IF(metadata!W858="",FALSE,TRUE),OR(EXACT(metadata!W858,"TRUE"),EXACT(metadata!W858,"FALSE"))))</f>
        <v>0</v>
      </c>
      <c r="BI858" t="b">
        <f>AND(IF(metadata!X858="",FALSE,TRUE),EXACT(metadata!X858,"other"))</f>
        <v>0</v>
      </c>
      <c r="BJ858" t="b">
        <f>IF(metadata!Y858="",FALSE,TRUE)</f>
        <v>0</v>
      </c>
      <c r="BK858" t="b">
        <f>OR(AND(IF(metadata!Z858="",FALSE,TRUE),OR(EXACT(metadata!Z858,"missing: not collected"),EXACT(metadata!Z858,"missing: not provided"))),AND(IF(metadata!Z858="",FALSE,IF(ISERROR(INT(metadata!Z858)),FALSE,INT(metadata!Z858)=metadata!Z858)),metadata!Z858&gt;0))</f>
        <v>0</v>
      </c>
      <c r="BL858" t="b">
        <f>AND(IF(metadata!AA858="",FALSE,TRUE),EXACT(metadata!AA858,"Not applicable"))</f>
        <v>0</v>
      </c>
      <c r="BM858" t="b">
        <f>IF(metadata!AB858="",FALSE,TRUE)</f>
        <v>0</v>
      </c>
    </row>
    <row r="859" spans="1:65" x14ac:dyDescent="0.2">
      <c r="A859" s="5" t="str">
        <f ca="1">IF(B859=" "," ",HYPERLINK(CONCATENATE("#metadata!",ADDRESS(INDEX($AH$2:$AH$1001,MATCH(ROWS($AF$2:AF859),$AF$2:$AF$1001,0),0),1)),INDEX($AK$2:$AK$1001,MATCH(ROWS($AF$2:AF859),$AF$2:$AF$1001,0),0)))</f>
        <v xml:space="preserve"> </v>
      </c>
      <c r="B859" s="4" t="str">
        <f ca="1">IF(OR(INDEX($AG$2:$AG$1001,MATCH(ROWS($AF$2:AF859),$AF$2:$AF$1001,0),1)&gt;=100000,INDEX($AM$1005:$BM$1005,1,MATCH(COLUMNS($AM$1006:AM1006),$AM$1006:$BM$1006,0))&gt;=100000), " ",IF(INDEX($AM$2:$BM$1001,MATCH(ROWS($AF$2:AF859),$AF$2:$AF$1001,0),MATCH(COLUMNS($AM$1006:AM1006),$AM$1006:$BM$1006,0)), HYPERLINK("#",""), HYPERLINK(CONCATENATE("#metadata!", ADDRESS(INDEX($AH$2:$AH$1001,MATCH(ROWS($AF$2:AF859),$AF$2:$AF$1001,0),0), INDEX($AM$1004:$BM$1004,1,MATCH(COLUMNS($AM$1006:AM1006),$AM$1006:$BM$1006,0)))),"Fix")))</f>
        <v xml:space="preserve"> </v>
      </c>
      <c r="C859" s="4" t="str">
        <f ca="1">IF(OR(INDEX($AG$2:$AG$1001,MATCH(ROWS($AF$2:AF859),$AF$2:$AF$1001,0),1)&gt;=100000,INDEX($AM$1005:$BM$1005,1,MATCH(COLUMNS($AM$1006:AN1006),$AM$1006:$BM$1006,0))&gt;=100000), " ",IF(INDEX($AM$2:$BM$1001,MATCH(ROWS($AF$2:AF859),$AF$2:$AF$1001,0),MATCH(COLUMNS($AM$1006:AN1006),$AM$1006:$BM$1006,0)), HYPERLINK("#",""), HYPERLINK(CONCATENATE("#metadata!", ADDRESS(INDEX($AH$2:$AH$1001,MATCH(ROWS($AF$2:AF859),$AF$2:$AF$1001,0),0), INDEX($AM$1004:$BM$1004,1,MATCH(COLUMNS($AM$1006:AN1006),$AM$1006:$BM$1006,0)))),"Fix")))</f>
        <v xml:space="preserve"> </v>
      </c>
      <c r="D859" s="4" t="str">
        <f ca="1">IF(OR(INDEX($AG$2:$AG$1001,MATCH(ROWS($AF$2:AF859),$AF$2:$AF$1001,0),1)&gt;=100000,INDEX($AM$1005:$BM$1005,1,MATCH(COLUMNS($AM$1006:AO1006),$AM$1006:$BM$1006,0))&gt;=100000), " ",IF(INDEX($AM$2:$BM$1001,MATCH(ROWS($AF$2:AF859),$AF$2:$AF$1001,0),MATCH(COLUMNS($AM$1006:AO1006),$AM$1006:$BM$1006,0)), HYPERLINK("#",""), HYPERLINK(CONCATENATE("#metadata!", ADDRESS(INDEX($AH$2:$AH$1001,MATCH(ROWS($AF$2:AF859),$AF$2:$AF$1001,0),0), INDEX($AM$1004:$BM$1004,1,MATCH(COLUMNS($AM$1006:AO1006),$AM$1006:$BM$1006,0)))),"Fix")))</f>
        <v xml:space="preserve"> </v>
      </c>
      <c r="E859" s="4" t="str">
        <f ca="1">IF(OR(INDEX($AG$2:$AG$1001,MATCH(ROWS($AF$2:AF859),$AF$2:$AF$1001,0),1)&gt;=100000,INDEX($AM$1005:$BM$1005,1,MATCH(COLUMNS($AM$1006:AP1006),$AM$1006:$BM$1006,0))&gt;=100000), " ",IF(INDEX($AM$2:$BM$1001,MATCH(ROWS($AF$2:AF859),$AF$2:$AF$1001,0),MATCH(COLUMNS($AM$1006:AP1006),$AM$1006:$BM$1006,0)), HYPERLINK("#",""), HYPERLINK(CONCATENATE("#metadata!", ADDRESS(INDEX($AH$2:$AH$1001,MATCH(ROWS($AF$2:AF859),$AF$2:$AF$1001,0),0), INDEX($AM$1004:$BM$1004,1,MATCH(COLUMNS($AM$1006:AP1006),$AM$1006:$BM$1006,0)))),"Fix")))</f>
        <v xml:space="preserve"> </v>
      </c>
      <c r="F859" s="4" t="str">
        <f ca="1">IF(OR(INDEX($AG$2:$AG$1001,MATCH(ROWS($AF$2:AF859),$AF$2:$AF$1001,0),1)&gt;=100000,INDEX($AM$1005:$BM$1005,1,MATCH(COLUMNS($AM$1006:AQ1006),$AM$1006:$BM$1006,0))&gt;=100000), " ",IF(INDEX($AM$2:$BM$1001,MATCH(ROWS($AF$2:AF859),$AF$2:$AF$1001,0),MATCH(COLUMNS($AM$1006:AQ1006),$AM$1006:$BM$1006,0)), HYPERLINK("#",""), HYPERLINK(CONCATENATE("#metadata!", ADDRESS(INDEX($AH$2:$AH$1001,MATCH(ROWS($AF$2:AF859),$AF$2:$AF$1001,0),0), INDEX($AM$1004:$BM$1004,1,MATCH(COLUMNS($AM$1006:AQ1006),$AM$1006:$BM$1006,0)))),"Fix")))</f>
        <v xml:space="preserve"> </v>
      </c>
      <c r="G859" s="4" t="str">
        <f ca="1">IF(OR(INDEX($AG$2:$AG$1001,MATCH(ROWS($AF$2:AF859),$AF$2:$AF$1001,0),1)&gt;=100000,INDEX($AM$1005:$BM$1005,1,MATCH(COLUMNS($AM$1006:AR1006),$AM$1006:$BM$1006,0))&gt;=100000), " ",IF(INDEX($AM$2:$BM$1001,MATCH(ROWS($AF$2:AF859),$AF$2:$AF$1001,0),MATCH(COLUMNS($AM$1006:AR1006),$AM$1006:$BM$1006,0)), HYPERLINK("#",""), HYPERLINK(CONCATENATE("#metadata!", ADDRESS(INDEX($AH$2:$AH$1001,MATCH(ROWS($AF$2:AF859),$AF$2:$AF$1001,0),0), INDEX($AM$1004:$BM$1004,1,MATCH(COLUMNS($AM$1006:AR1006),$AM$1006:$BM$1006,0)))),"Fix")))</f>
        <v xml:space="preserve"> </v>
      </c>
      <c r="H859" s="4" t="str">
        <f ca="1">IF(OR(INDEX($AG$2:$AG$1001,MATCH(ROWS($AF$2:AF859),$AF$2:$AF$1001,0),1)&gt;=100000,INDEX($AM$1005:$BM$1005,1,MATCH(COLUMNS($AM$1006:AS1006),$AM$1006:$BM$1006,0))&gt;=100000), " ",IF(INDEX($AM$2:$BM$1001,MATCH(ROWS($AF$2:AF859),$AF$2:$AF$1001,0),MATCH(COLUMNS($AM$1006:AS1006),$AM$1006:$BM$1006,0)), HYPERLINK("#",""), HYPERLINK(CONCATENATE("#metadata!", ADDRESS(INDEX($AH$2:$AH$1001,MATCH(ROWS($AF$2:AF859),$AF$2:$AF$1001,0),0), INDEX($AM$1004:$BM$1004,1,MATCH(COLUMNS($AM$1006:AS1006),$AM$1006:$BM$1006,0)))),"Fix")))</f>
        <v xml:space="preserve"> </v>
      </c>
      <c r="I859" s="4" t="str">
        <f ca="1">IF(OR(INDEX($AG$2:$AG$1001,MATCH(ROWS($AF$2:AF859),$AF$2:$AF$1001,0),1)&gt;=100000,INDEX($AM$1005:$BM$1005,1,MATCH(COLUMNS($AM$1006:AT1006),$AM$1006:$BM$1006,0))&gt;=100000), " ",IF(INDEX($AM$2:$BM$1001,MATCH(ROWS($AF$2:AF859),$AF$2:$AF$1001,0),MATCH(COLUMNS($AM$1006:AT1006),$AM$1006:$BM$1006,0)), HYPERLINK("#",""), HYPERLINK(CONCATENATE("#metadata!", ADDRESS(INDEX($AH$2:$AH$1001,MATCH(ROWS($AF$2:AF859),$AF$2:$AF$1001,0),0), INDEX($AM$1004:$BM$1004,1,MATCH(COLUMNS($AM$1006:AT1006),$AM$1006:$BM$1006,0)))),"Fix")))</f>
        <v xml:space="preserve"> </v>
      </c>
      <c r="J859" s="4" t="str">
        <f ca="1">IF(OR(INDEX($AG$2:$AG$1001,MATCH(ROWS($AF$2:AF859),$AF$2:$AF$1001,0),1)&gt;=100000,INDEX($AM$1005:$BM$1005,1,MATCH(COLUMNS($AM$1006:AU1006),$AM$1006:$BM$1006,0))&gt;=100000), " ",IF(INDEX($AM$2:$BM$1001,MATCH(ROWS($AF$2:AF859),$AF$2:$AF$1001,0),MATCH(COLUMNS($AM$1006:AU1006),$AM$1006:$BM$1006,0)), HYPERLINK("#",""), HYPERLINK(CONCATENATE("#metadata!", ADDRESS(INDEX($AH$2:$AH$1001,MATCH(ROWS($AF$2:AF859),$AF$2:$AF$1001,0),0), INDEX($AM$1004:$BM$1004,1,MATCH(COLUMNS($AM$1006:AU1006),$AM$1006:$BM$1006,0)))),"Fix")))</f>
        <v xml:space="preserve"> </v>
      </c>
      <c r="K859" s="4" t="str">
        <f ca="1">IF(OR(INDEX($AG$2:$AG$1001,MATCH(ROWS($AF$2:AF859),$AF$2:$AF$1001,0),1)&gt;=100000,INDEX($AM$1005:$BM$1005,1,MATCH(COLUMNS($AM$1006:AV1006),$AM$1006:$BM$1006,0))&gt;=100000), " ",IF(INDEX($AM$2:$BM$1001,MATCH(ROWS($AF$2:AF859),$AF$2:$AF$1001,0),MATCH(COLUMNS($AM$1006:AV1006),$AM$1006:$BM$1006,0)), HYPERLINK("#",""), HYPERLINK(CONCATENATE("#metadata!", ADDRESS(INDEX($AH$2:$AH$1001,MATCH(ROWS($AF$2:AF859),$AF$2:$AF$1001,0),0), INDEX($AM$1004:$BM$1004,1,MATCH(COLUMNS($AM$1006:AV1006),$AM$1006:$BM$1006,0)))),"Fix")))</f>
        <v xml:space="preserve"> </v>
      </c>
      <c r="L859" s="4" t="str">
        <f ca="1">IF(OR(INDEX($AG$2:$AG$1001,MATCH(ROWS($AF$2:AF859),$AF$2:$AF$1001,0),1)&gt;=100000,INDEX($AM$1005:$BM$1005,1,MATCH(COLUMNS($AM$1006:AW1006),$AM$1006:$BM$1006,0))&gt;=100000), " ",IF(INDEX($AM$2:$BM$1001,MATCH(ROWS($AF$2:AF859),$AF$2:$AF$1001,0),MATCH(COLUMNS($AM$1006:AW1006),$AM$1006:$BM$1006,0)), HYPERLINK("#",""), HYPERLINK(CONCATENATE("#metadata!", ADDRESS(INDEX($AH$2:$AH$1001,MATCH(ROWS($AF$2:AF859),$AF$2:$AF$1001,0),0), INDEX($AM$1004:$BM$1004,1,MATCH(COLUMNS($AM$1006:AW1006),$AM$1006:$BM$1006,0)))),"Fix")))</f>
        <v xml:space="preserve"> </v>
      </c>
      <c r="M859" s="4" t="str">
        <f ca="1">IF(OR(INDEX($AG$2:$AG$1001,MATCH(ROWS($AF$2:AF859),$AF$2:$AF$1001,0),1)&gt;=100000,INDEX($AM$1005:$BM$1005,1,MATCH(COLUMNS($AM$1006:AX1006),$AM$1006:$BM$1006,0))&gt;=100000), " ",IF(INDEX($AM$2:$BM$1001,MATCH(ROWS($AF$2:AF859),$AF$2:$AF$1001,0),MATCH(COLUMNS($AM$1006:AX1006),$AM$1006:$BM$1006,0)), HYPERLINK("#",""), HYPERLINK(CONCATENATE("#metadata!", ADDRESS(INDEX($AH$2:$AH$1001,MATCH(ROWS($AF$2:AF859),$AF$2:$AF$1001,0),0), INDEX($AM$1004:$BM$1004,1,MATCH(COLUMNS($AM$1006:AX1006),$AM$1006:$BM$1006,0)))),"Fix")))</f>
        <v xml:space="preserve"> </v>
      </c>
      <c r="N859" s="4" t="str">
        <f ca="1">IF(OR(INDEX($AG$2:$AG$1001,MATCH(ROWS($AF$2:AF859),$AF$2:$AF$1001,0),1)&gt;=100000,INDEX($AM$1005:$BM$1005,1,MATCH(COLUMNS($AM$1006:AY1006),$AM$1006:$BM$1006,0))&gt;=100000), " ",IF(INDEX($AM$2:$BM$1001,MATCH(ROWS($AF$2:AF859),$AF$2:$AF$1001,0),MATCH(COLUMNS($AM$1006:AY1006),$AM$1006:$BM$1006,0)), HYPERLINK("#",""), HYPERLINK(CONCATENATE("#metadata!", ADDRESS(INDEX($AH$2:$AH$1001,MATCH(ROWS($AF$2:AF859),$AF$2:$AF$1001,0),0), INDEX($AM$1004:$BM$1004,1,MATCH(COLUMNS($AM$1006:AY1006),$AM$1006:$BM$1006,0)))),"Fix")))</f>
        <v xml:space="preserve"> </v>
      </c>
      <c r="O859" s="4" t="str">
        <f ca="1">IF(OR(INDEX($AG$2:$AG$1001,MATCH(ROWS($AF$2:AF859),$AF$2:$AF$1001,0),1)&gt;=100000,INDEX($AM$1005:$BM$1005,1,MATCH(COLUMNS($AM$1006:AZ1006),$AM$1006:$BM$1006,0))&gt;=100000), " ",IF(INDEX($AM$2:$BM$1001,MATCH(ROWS($AF$2:AF859),$AF$2:$AF$1001,0),MATCH(COLUMNS($AM$1006:AZ1006),$AM$1006:$BM$1006,0)), HYPERLINK("#",""), HYPERLINK(CONCATENATE("#metadata!", ADDRESS(INDEX($AH$2:$AH$1001,MATCH(ROWS($AF$2:AF859),$AF$2:$AF$1001,0),0), INDEX($AM$1004:$BM$1004,1,MATCH(COLUMNS($AM$1006:AZ1006),$AM$1006:$BM$1006,0)))),"Fix")))</f>
        <v xml:space="preserve"> </v>
      </c>
      <c r="P859" s="4" t="str">
        <f ca="1">IF(OR(INDEX($AG$2:$AG$1001,MATCH(ROWS($AF$2:AF859),$AF$2:$AF$1001,0),1)&gt;=100000,INDEX($AM$1005:$BM$1005,1,MATCH(COLUMNS($AM$1006:BA1006),$AM$1006:$BM$1006,0))&gt;=100000), " ",IF(INDEX($AM$2:$BM$1001,MATCH(ROWS($AF$2:AF859),$AF$2:$AF$1001,0),MATCH(COLUMNS($AM$1006:BA1006),$AM$1006:$BM$1006,0)), HYPERLINK("#",""), HYPERLINK(CONCATENATE("#metadata!", ADDRESS(INDEX($AH$2:$AH$1001,MATCH(ROWS($AF$2:AF859),$AF$2:$AF$1001,0),0), INDEX($AM$1004:$BM$1004,1,MATCH(COLUMNS($AM$1006:BA1006),$AM$1006:$BM$1006,0)))),"Fix")))</f>
        <v xml:space="preserve"> </v>
      </c>
      <c r="Q859" s="4" t="str">
        <f ca="1">IF(OR(INDEX($AG$2:$AG$1001,MATCH(ROWS($AF$2:AF859),$AF$2:$AF$1001,0),1)&gt;=100000,INDEX($AM$1005:$BM$1005,1,MATCH(COLUMNS($AM$1006:BB1006),$AM$1006:$BM$1006,0))&gt;=100000), " ",IF(INDEX($AM$2:$BM$1001,MATCH(ROWS($AF$2:AF859),$AF$2:$AF$1001,0),MATCH(COLUMNS($AM$1006:BB1006),$AM$1006:$BM$1006,0)), HYPERLINK("#",""), HYPERLINK(CONCATENATE("#metadata!", ADDRESS(INDEX($AH$2:$AH$1001,MATCH(ROWS($AF$2:AF859),$AF$2:$AF$1001,0),0), INDEX($AM$1004:$BM$1004,1,MATCH(COLUMNS($AM$1006:BB1006),$AM$1006:$BM$1006,0)))),"Fix")))</f>
        <v xml:space="preserve"> </v>
      </c>
      <c r="R859" s="4" t="str">
        <f ca="1">IF(OR(INDEX($AG$2:$AG$1001,MATCH(ROWS($AF$2:AF859),$AF$2:$AF$1001,0),1)&gt;=100000,INDEX($AM$1005:$BM$1005,1,MATCH(COLUMNS($AM$1006:BC1006),$AM$1006:$BM$1006,0))&gt;=100000), " ",IF(INDEX($AM$2:$BM$1001,MATCH(ROWS($AF$2:AF859),$AF$2:$AF$1001,0),MATCH(COLUMNS($AM$1006:BC1006),$AM$1006:$BM$1006,0)), HYPERLINK("#",""), HYPERLINK(CONCATENATE("#metadata!", ADDRESS(INDEX($AH$2:$AH$1001,MATCH(ROWS($AF$2:AF859),$AF$2:$AF$1001,0),0), INDEX($AM$1004:$BM$1004,1,MATCH(COLUMNS($AM$1006:BC1006),$AM$1006:$BM$1006,0)))),"Fix")))</f>
        <v xml:space="preserve"> </v>
      </c>
      <c r="S859" s="4" t="str">
        <f ca="1">IF(OR(INDEX($AG$2:$AG$1001,MATCH(ROWS($AF$2:AF859),$AF$2:$AF$1001,0),1)&gt;=100000,INDEX($AM$1005:$BM$1005,1,MATCH(COLUMNS($AM$1006:BD1006),$AM$1006:$BM$1006,0))&gt;=100000), " ",IF(INDEX($AM$2:$BM$1001,MATCH(ROWS($AF$2:AF859),$AF$2:$AF$1001,0),MATCH(COLUMNS($AM$1006:BD1006),$AM$1006:$BM$1006,0)), HYPERLINK("#",""), HYPERLINK(CONCATENATE("#metadata!", ADDRESS(INDEX($AH$2:$AH$1001,MATCH(ROWS($AF$2:AF859),$AF$2:$AF$1001,0),0), INDEX($AM$1004:$BM$1004,1,MATCH(COLUMNS($AM$1006:BD1006),$AM$1006:$BM$1006,0)))),"Fix")))</f>
        <v xml:space="preserve"> </v>
      </c>
      <c r="T859" s="4" t="str">
        <f ca="1">IF(OR(INDEX($AG$2:$AG$1001,MATCH(ROWS($AF$2:AF859),$AF$2:$AF$1001,0),1)&gt;=100000,INDEX($AM$1005:$BM$1005,1,MATCH(COLUMNS($AM$1006:BE1006),$AM$1006:$BM$1006,0))&gt;=100000), " ",IF(INDEX($AM$2:$BM$1001,MATCH(ROWS($AF$2:AF859),$AF$2:$AF$1001,0),MATCH(COLUMNS($AM$1006:BE1006),$AM$1006:$BM$1006,0)), HYPERLINK("#",""), HYPERLINK(CONCATENATE("#metadata!", ADDRESS(INDEX($AH$2:$AH$1001,MATCH(ROWS($AF$2:AF859),$AF$2:$AF$1001,0),0), INDEX($AM$1004:$BM$1004,1,MATCH(COLUMNS($AM$1006:BE1006),$AM$1006:$BM$1006,0)))),"Fix")))</f>
        <v xml:space="preserve"> </v>
      </c>
      <c r="U859" s="4" t="str">
        <f ca="1">IF(OR(INDEX($AG$2:$AG$1001,MATCH(ROWS($AF$2:AF859),$AF$2:$AF$1001,0),1)&gt;=100000,INDEX($AM$1005:$BM$1005,1,MATCH(COLUMNS($AM$1006:BF1006),$AM$1006:$BM$1006,0))&gt;=100000), " ",IF(INDEX($AM$2:$BM$1001,MATCH(ROWS($AF$2:AF859),$AF$2:$AF$1001,0),MATCH(COLUMNS($AM$1006:BF1006),$AM$1006:$BM$1006,0)), HYPERLINK("#",""), HYPERLINK(CONCATENATE("#metadata!", ADDRESS(INDEX($AH$2:$AH$1001,MATCH(ROWS($AF$2:AF859),$AF$2:$AF$1001,0),0), INDEX($AM$1004:$BM$1004,1,MATCH(COLUMNS($AM$1006:BF1006),$AM$1006:$BM$1006,0)))),"Fix")))</f>
        <v xml:space="preserve"> </v>
      </c>
      <c r="V859" s="4" t="str">
        <f ca="1">IF(OR(INDEX($AG$2:$AG$1001,MATCH(ROWS($AF$2:AF859),$AF$2:$AF$1001,0),1)&gt;=100000,INDEX($AM$1005:$BM$1005,1,MATCH(COLUMNS($AM$1006:BG1006),$AM$1006:$BM$1006,0))&gt;=100000), " ",IF(INDEX($AM$2:$BM$1001,MATCH(ROWS($AF$2:AF859),$AF$2:$AF$1001,0),MATCH(COLUMNS($AM$1006:BG1006),$AM$1006:$BM$1006,0)), HYPERLINK("#",""), HYPERLINK(CONCATENATE("#metadata!", ADDRESS(INDEX($AH$2:$AH$1001,MATCH(ROWS($AF$2:AF859),$AF$2:$AF$1001,0),0), INDEX($AM$1004:$BM$1004,1,MATCH(COLUMNS($AM$1006:BG1006),$AM$1006:$BM$1006,0)))),"Fix")))</f>
        <v xml:space="preserve"> </v>
      </c>
      <c r="W859" s="4" t="str">
        <f ca="1">IF(OR(INDEX($AG$2:$AG$1001,MATCH(ROWS($AF$2:AF859),$AF$2:$AF$1001,0),1)&gt;=100000,INDEX($AM$1005:$BM$1005,1,MATCH(COLUMNS($AM$1006:BH1006),$AM$1006:$BM$1006,0))&gt;=100000), " ",IF(INDEX($AM$2:$BM$1001,MATCH(ROWS($AF$2:AF859),$AF$2:$AF$1001,0),MATCH(COLUMNS($AM$1006:BH1006),$AM$1006:$BM$1006,0)), HYPERLINK("#",""), HYPERLINK(CONCATENATE("#metadata!", ADDRESS(INDEX($AH$2:$AH$1001,MATCH(ROWS($AF$2:AF859),$AF$2:$AF$1001,0),0), INDEX($AM$1004:$BM$1004,1,MATCH(COLUMNS($AM$1006:BH1006),$AM$1006:$BM$1006,0)))),"Fix")))</f>
        <v xml:space="preserve"> </v>
      </c>
      <c r="X859" s="4" t="str">
        <f ca="1">IF(OR(INDEX($AG$2:$AG$1001,MATCH(ROWS($AF$2:AF859),$AF$2:$AF$1001,0),1)&gt;=100000,INDEX($AM$1005:$BM$1005,1,MATCH(COLUMNS($AM$1006:BI1006),$AM$1006:$BM$1006,0))&gt;=100000), " ",IF(INDEX($AM$2:$BM$1001,MATCH(ROWS($AF$2:AF859),$AF$2:$AF$1001,0),MATCH(COLUMNS($AM$1006:BI1006),$AM$1006:$BM$1006,0)), HYPERLINK("#",""), HYPERLINK(CONCATENATE("#metadata!", ADDRESS(INDEX($AH$2:$AH$1001,MATCH(ROWS($AF$2:AF859),$AF$2:$AF$1001,0),0), INDEX($AM$1004:$BM$1004,1,MATCH(COLUMNS($AM$1006:BI1006),$AM$1006:$BM$1006,0)))),"Fix")))</f>
        <v xml:space="preserve"> </v>
      </c>
      <c r="Y859" s="4" t="str">
        <f ca="1">IF(OR(INDEX($AG$2:$AG$1001,MATCH(ROWS($AF$2:AF859),$AF$2:$AF$1001,0),1)&gt;=100000,INDEX($AM$1005:$BM$1005,1,MATCH(COLUMNS($AM$1006:BJ1006),$AM$1006:$BM$1006,0))&gt;=100000), " ",IF(INDEX($AM$2:$BM$1001,MATCH(ROWS($AF$2:AF859),$AF$2:$AF$1001,0),MATCH(COLUMNS($AM$1006:BJ1006),$AM$1006:$BM$1006,0)), HYPERLINK("#",""), HYPERLINK(CONCATENATE("#metadata!", ADDRESS(INDEX($AH$2:$AH$1001,MATCH(ROWS($AF$2:AF859),$AF$2:$AF$1001,0),0), INDEX($AM$1004:$BM$1004,1,MATCH(COLUMNS($AM$1006:BJ1006),$AM$1006:$BM$1006,0)))),"Fix")))</f>
        <v xml:space="preserve"> </v>
      </c>
      <c r="Z859" s="4" t="str">
        <f ca="1">IF(OR(INDEX($AG$2:$AG$1001,MATCH(ROWS($AF$2:AF859),$AF$2:$AF$1001,0),1)&gt;=100000,INDEX($AM$1005:$BM$1005,1,MATCH(COLUMNS($AM$1006:BK1006),$AM$1006:$BM$1006,0))&gt;=100000), " ",IF(INDEX($AM$2:$BM$1001,MATCH(ROWS($AF$2:AF859),$AF$2:$AF$1001,0),MATCH(COLUMNS($AM$1006:BK1006),$AM$1006:$BM$1006,0)), HYPERLINK("#",""), HYPERLINK(CONCATENATE("#metadata!", ADDRESS(INDEX($AH$2:$AH$1001,MATCH(ROWS($AF$2:AF859),$AF$2:$AF$1001,0),0), INDEX($AM$1004:$BM$1004,1,MATCH(COLUMNS($AM$1006:BK1006),$AM$1006:$BM$1006,0)))),"Fix")))</f>
        <v xml:space="preserve"> </v>
      </c>
      <c r="AA859" s="4" t="str">
        <f ca="1">IF(OR(INDEX($AG$2:$AG$1001,MATCH(ROWS($AF$2:AF859),$AF$2:$AF$1001,0),1)&gt;=100000,INDEX($AM$1005:$BM$1005,1,MATCH(COLUMNS($AM$1006:BL1006),$AM$1006:$BM$1006,0))&gt;=100000), " ",IF(INDEX($AM$2:$BM$1001,MATCH(ROWS($AF$2:AF859),$AF$2:$AF$1001,0),MATCH(COLUMNS($AM$1006:BL1006),$AM$1006:$BM$1006,0)), HYPERLINK("#",""), HYPERLINK(CONCATENATE("#metadata!", ADDRESS(INDEX($AH$2:$AH$1001,MATCH(ROWS($AF$2:AF859),$AF$2:$AF$1001,0),0), INDEX($AM$1004:$BM$1004,1,MATCH(COLUMNS($AM$1006:BL1006),$AM$1006:$BM$1006,0)))),"Fix")))</f>
        <v xml:space="preserve"> </v>
      </c>
      <c r="AB859" s="4" t="str">
        <f ca="1">IF(OR(INDEX($AG$2:$AG$1001,MATCH(ROWS($AF$2:AF859),$AF$2:$AF$1001,0),1)&gt;=100000,INDEX($AM$1005:$BM$1005,1,MATCH(COLUMNS($AM$1006:BM1006),$AM$1006:$BM$1006,0))&gt;=100000), " ",IF(INDEX($AM$2:$BM$1001,MATCH(ROWS($AF$2:AF859),$AF$2:$AF$1001,0),MATCH(COLUMNS($AM$1006:BM1006),$AM$1006:$BM$1006,0)), HYPERLINK("#",""), HYPERLINK(CONCATENATE("#metadata!", ADDRESS(INDEX($AH$2:$AH$1001,MATCH(ROWS($AF$2:AF859),$AF$2:$AF$1001,0),0), INDEX($AM$1004:$BM$1004,1,MATCH(COLUMNS($AM$1006:BM1006),$AM$1006:$BM$1006,0)))),"Fix")))</f>
        <v xml:space="preserve"> </v>
      </c>
      <c r="AF859">
        <v>858</v>
      </c>
      <c r="AG859">
        <v>100859</v>
      </c>
      <c r="AH859">
        <v>859</v>
      </c>
      <c r="AI859" t="b">
        <f t="shared" si="13"/>
        <v>1</v>
      </c>
      <c r="AJ859" t="b">
        <f>COUNTBLANK(metadata!B859:AB859)=COLUMNS(metadata!B859:AB859)</f>
        <v>1</v>
      </c>
      <c r="AK859" t="str">
        <v/>
      </c>
      <c r="AM859" t="b">
        <f ca="1">AND(IF(metadata!B859="",FALSE,TRUE),COUNTIF(metadata!B:B, metadata!B859) = 1,NOT(ISERROR(SUMPRODUCT(SEARCH(MID(metadata!B859,ROW(INDIRECT("1:"&amp;LEN(metadata!B859))), 1),"0123456789abcdefghijklmnopqrstuvwxyzABCDEFGHIJKLMNOPQRSTUVWXYZ.")))))</f>
        <v>0</v>
      </c>
      <c r="AN859" t="b">
        <f ca="1">OR(AND(IF(metadata!C859="",FALSE,TRUE),OR(EXACT(metadata!C859,"missing: not collected"),EXACT(metadata!C859,"missing: not provided"),EXACT(metadata!C859,"missing: restricted access"))),AND(IF(metadata!C859="",FALSE,TRUE),AND(AND(IFERROR(INT(LEFT(metadata!C859,4))&gt;1900,FALSE),IFERROR(INT(LEFT(metadata!C859,4))&lt;=YEAR(NOW()),FALSE)), OR(MID(metadata!C859,5,1)="", AND(AND(MID(metadata!C859,5,1)="-",IFERROR(INT(MID(metadata!C859,6,1))&gt;=0,FALSE),IFERROR(INT(MID(metadata!C859,6,1))&lt;=1,FALSE),NOT(MID(metadata!C859,7,1)=""),IFERROR(INT(MID(metadata!C859,6,2))&gt;=1,FALSE),IFERROR(INT(MID(metadata!C859,6,2))&lt;=12,FALSE)), OR(MID(metadata!C859,8,1)="", AND(AND(MID(metadata!C859,8,1)="-",IFERROR(INT(MID(metadata!C859,9,1))&gt;=0,FALSE),IFERROR(INT(MID(metadata!C859,9,1))&lt;=3,FALSE),NOT(MID(metadata!C859,10,1)=""),IFERROR(INT(MID(metadata!C859,9,2))&gt;=1,FALSE),IFERROR(INT(MID(metadata!C859,9,2))&lt;=31,FALSE)), OR(MID(metadata!C859,11,1)="", AND(AND(MID(metadata!C859,11,1)=" ",IFERROR(INT(MID(metadata!C859,12,1))&gt;=0,FALSE),IFERROR(INT(MID(metadata!C859,12,1))&lt;=2,FALSE),NOT(MID(metadata!C859,13,1)=""),IFERROR(INT(MID(metadata!C859,12,2))&gt;=0,FALSE),IFERROR(INT(MID(metadata!C859,12,2))&lt;=23,FALSE)), OR(MID(metadata!C859,14,1)="", AND(AND(MID(metadata!C859,14,1)=":",IFERROR(INT(MID(metadata!C859,15,1))&gt;=0,FALSE),IFERROR(INT(MID(metadata!C859,15,1))&lt;=5,FALSE),NOT(MID(metadata!C859,16,1)=""),IFERROR(INT(MID(metadata!C859,15,2))&gt;=0,FALSE),IFERROR(INT(MID(metadata!C859,15,2))&lt;=59,FALSE)), OR(MID(metadata!C859,17,1)="", AND(AND(MID(metadata!C859,17,1)=":",IFERROR(INT(MID(metadata!C859,18,1))&gt;=0,FALSE),IFERROR(INT(MID(metadata!C859,18,1))&lt;=5,FALSE),NOT(MID(metadata!C859,19,1)=""),IFERROR(INT(MID(metadata!C859,18,2))&gt;=0,FALSE),IFERROR(INT(MID(metadata!C859,18,2))&lt;=59,FALSE)), LEN(metadata!C859)&lt;=19)))))))))))))</f>
        <v>0</v>
      </c>
      <c r="AO859" t="b">
        <f>AND(IF(metadata!D859="",FALSE,TRUE),EXACT(metadata!D859,"Not applicable"))</f>
        <v>0</v>
      </c>
      <c r="AP859" t="b">
        <f>IF(metadata!E859="",FALSE,TRUE)</f>
        <v>0</v>
      </c>
      <c r="AQ859" t="b">
        <f>OR(AND(IF(metadata!F859="",FALSE,TRUE),OR(EXACT(metadata!F859,"missing: not collected"),EXACT(metadata!F859,"missing: not provided"))),AND(IF(metadata!F859="",FALSE,TRUE),OR(EXACT(metadata!F859,"TRUE"),EXACT(metadata!F859,"FALSE"))))</f>
        <v>0</v>
      </c>
      <c r="AR859" t="b">
        <f>OR(AND(IF(metadata!G859="",FALSE,TRUE),OR(EXACT(metadata!G859,"missing: not collected"),EXACT(metadata!G859,"missing: not provided"),EXACT(metadata!G859,"missing: restricted access"))),AND(IF(metadata!G859="",FALSE,ISNUMBER(VALUE(metadata!G859))),metadata!G859&gt;=-413))</f>
        <v>0</v>
      </c>
      <c r="AS859" t="b">
        <f>AND(IF(metadata!H859="",FALSE,TRUE),EXACT(metadata!H859,"meters"))</f>
        <v>0</v>
      </c>
      <c r="AT859" t="b">
        <f>AND(IF(metadata!I859="",FALSE,TRUE),OR(EXACT(metadata!I859,"Host-associated"),EXACT(metadata!I859,"Free-living")))</f>
        <v>0</v>
      </c>
      <c r="AU859" t="b">
        <f>AND(IF(metadata!J859="",FALSE,TRUE),OR(EXACT(metadata!J859,"Animal"),EXACT(metadata!J859,"Fungus"),EXACT(metadata!J859,"Plant"),EXACT(metadata!J859,"Saline"),EXACT(metadata!J859,"Non-saline")))</f>
        <v>0</v>
      </c>
      <c r="AV859" t="b">
        <f>AND(IF(metadata!K859="",FALSE,TRUE),OR(EXACT(metadata!K859,"Plant secretion"),EXACT(metadata!K859,"Plant rhizosphere"),EXACT(metadata!K859,"Plant surface"),EXACT(metadata!K859,"Plant corpus"),EXACT(metadata!K859,"Fungus surface"),EXACT(metadata!K859,"Fungus corpus"),EXACT(metadata!K859,"Animal surface"),EXACT(metadata!K859,"Animal proximal gut"),EXACT(metadata!K859,"Animal corpus"),EXACT(metadata!K859,"Animal distal gut"),EXACT(metadata!K859,"Animal secretion"),EXACT(metadata!K859,"Sub-surface (non-saline)"),EXACT(metadata!K859,"Surface (non-saline)"),EXACT(metadata!K859,"Water (non-saline)"),EXACT(metadata!K859,"Soil (non-saline)"),EXACT(metadata!K859,"Aerosol (non-saline)"),EXACT(metadata!K859,"Sediment (non-saline)"),EXACT(metadata!K859,"Surface (saline)"),EXACT(metadata!K859,"Water (saline)"),EXACT(metadata!K859,"Hypersaline (saline)"),EXACT(metadata!K859,"Aerosol (saline)"),EXACT(metadata!K859,"Sediment (saline)")))</f>
        <v>0</v>
      </c>
      <c r="AW859" t="b">
        <f>IF(metadata!L859="",FALSE,TRUE)</f>
        <v>0</v>
      </c>
      <c r="AX859" t="b">
        <f>IF(metadata!M859="",FALSE,TRUE)</f>
        <v>0</v>
      </c>
      <c r="AY859" t="b">
        <f>IF(metadata!N859="",FALSE,TRUE)</f>
        <v>0</v>
      </c>
      <c r="AZ859" t="b">
        <f>OR(AND(IF(metadata!O859="",FALSE,TRUE),OR(EXACT(metadata!O859,"missing: not collected"),EXACT(metadata!O859,"missing: not provided"),EXACT(metadata!O859,"missing: restricted access"))),AND(IF(metadata!O859="",FALSE,TRUE),OR(EXACT(metadata!O859,"air"),EXACT(metadata!O859,"built environment"),EXACT(metadata!O859,"host-associated"),EXACT(metadata!O859,"human-associated"),EXACT(metadata!O859,"human-skin"),EXACT(metadata!O859,"human-oral"),EXACT(metadata!O859,"human-gut"),EXACT(metadata!O859,"human-vaginal"),EXACT(metadata!O859,"microbial mat/biofilm"),EXACT(metadata!O859,"misc environment"),EXACT(metadata!O859,"plant-associated"),EXACT(metadata!O859,"sediment"),EXACT(metadata!O859,"soil"),EXACT(metadata!O859,"wastewater/sludge"),EXACT(metadata!O859,"water"))))</f>
        <v>0</v>
      </c>
      <c r="BA859" t="b">
        <f>IF(metadata!P859="",FALSE,TRUE)</f>
        <v>0</v>
      </c>
      <c r="BB859" t="b">
        <f>IF(metadata!Q859="",FALSE,TRUE)</f>
        <v>0</v>
      </c>
      <c r="BC859" t="b">
        <f>OR(AND(IF(metadata!R859="",FALSE,TRUE),OR(EXACT(metadata!R859,"missing: not collected"),EXACT(metadata!R859,"missing: not provided"),EXACT(metadata!R859,"missing: restricted access"))),AND(IF(metadata!R859="",FALSE,ISNUMBER(VALUE(metadata!R859))),metadata!R859&gt;=-90,metadata!R859&lt;=90))</f>
        <v>0</v>
      </c>
      <c r="BD859" t="b">
        <f>AND(IF(metadata!S859="",FALSE,TRUE),EXACT(metadata!S859,"Decimal degrees"))</f>
        <v>0</v>
      </c>
      <c r="BE859" t="b">
        <f>OR(AND(IF(metadata!T859="",FALSE,TRUE),OR(EXACT(metadata!T859,"missing: not collected"),EXACT(metadata!T859,"missing: not provided"),EXACT(metadata!T859,"missing: restricted access"))),AND(IF(metadata!T859="",FALSE,ISNUMBER(VALUE(metadata!T859))),metadata!T859&gt;=-180,metadata!T859&lt;=180))</f>
        <v>0</v>
      </c>
      <c r="BF859" t="b">
        <f>AND(IF(metadata!U859="",FALSE,TRUE),EXACT(metadata!U859,"Decimal degrees"))</f>
        <v>0</v>
      </c>
      <c r="BG859" t="b">
        <f>IF(metadata!V859="",FALSE,TRUE)</f>
        <v>0</v>
      </c>
      <c r="BH859" t="b">
        <f>OR(AND(IF(metadata!W859="",FALSE,TRUE),OR(EXACT(metadata!W859,"missing: not collected"),EXACT(metadata!W859,"missing: not provided"),EXACT(metadata!W859,"missing: restricted access"))),AND(IF(metadata!W859="",FALSE,TRUE),OR(EXACT(metadata!W859,"TRUE"),EXACT(metadata!W859,"FALSE"))))</f>
        <v>0</v>
      </c>
      <c r="BI859" t="b">
        <f>AND(IF(metadata!X859="",FALSE,TRUE),EXACT(metadata!X859,"other"))</f>
        <v>0</v>
      </c>
      <c r="BJ859" t="b">
        <f>IF(metadata!Y859="",FALSE,TRUE)</f>
        <v>0</v>
      </c>
      <c r="BK859" t="b">
        <f>OR(AND(IF(metadata!Z859="",FALSE,TRUE),OR(EXACT(metadata!Z859,"missing: not collected"),EXACT(metadata!Z859,"missing: not provided"))),AND(IF(metadata!Z859="",FALSE,IF(ISERROR(INT(metadata!Z859)),FALSE,INT(metadata!Z859)=metadata!Z859)),metadata!Z859&gt;0))</f>
        <v>0</v>
      </c>
      <c r="BL859" t="b">
        <f>AND(IF(metadata!AA859="",FALSE,TRUE),EXACT(metadata!AA859,"Not applicable"))</f>
        <v>0</v>
      </c>
      <c r="BM859" t="b">
        <f>IF(metadata!AB859="",FALSE,TRUE)</f>
        <v>0</v>
      </c>
    </row>
    <row r="860" spans="1:65" x14ac:dyDescent="0.2">
      <c r="A860" s="5" t="str">
        <f ca="1">IF(B860=" "," ",HYPERLINK(CONCATENATE("#metadata!",ADDRESS(INDEX($AH$2:$AH$1001,MATCH(ROWS($AF$2:AF860),$AF$2:$AF$1001,0),0),1)),INDEX($AK$2:$AK$1001,MATCH(ROWS($AF$2:AF860),$AF$2:$AF$1001,0),0)))</f>
        <v xml:space="preserve"> </v>
      </c>
      <c r="B860" s="4" t="str">
        <f ca="1">IF(OR(INDEX($AG$2:$AG$1001,MATCH(ROWS($AF$2:AF860),$AF$2:$AF$1001,0),1)&gt;=100000,INDEX($AM$1005:$BM$1005,1,MATCH(COLUMNS($AM$1006:AM1006),$AM$1006:$BM$1006,0))&gt;=100000), " ",IF(INDEX($AM$2:$BM$1001,MATCH(ROWS($AF$2:AF860),$AF$2:$AF$1001,0),MATCH(COLUMNS($AM$1006:AM1006),$AM$1006:$BM$1006,0)), HYPERLINK("#",""), HYPERLINK(CONCATENATE("#metadata!", ADDRESS(INDEX($AH$2:$AH$1001,MATCH(ROWS($AF$2:AF860),$AF$2:$AF$1001,0),0), INDEX($AM$1004:$BM$1004,1,MATCH(COLUMNS($AM$1006:AM1006),$AM$1006:$BM$1006,0)))),"Fix")))</f>
        <v xml:space="preserve"> </v>
      </c>
      <c r="C860" s="4" t="str">
        <f ca="1">IF(OR(INDEX($AG$2:$AG$1001,MATCH(ROWS($AF$2:AF860),$AF$2:$AF$1001,0),1)&gt;=100000,INDEX($AM$1005:$BM$1005,1,MATCH(COLUMNS($AM$1006:AN1006),$AM$1006:$BM$1006,0))&gt;=100000), " ",IF(INDEX($AM$2:$BM$1001,MATCH(ROWS($AF$2:AF860),$AF$2:$AF$1001,0),MATCH(COLUMNS($AM$1006:AN1006),$AM$1006:$BM$1006,0)), HYPERLINK("#",""), HYPERLINK(CONCATENATE("#metadata!", ADDRESS(INDEX($AH$2:$AH$1001,MATCH(ROWS($AF$2:AF860),$AF$2:$AF$1001,0),0), INDEX($AM$1004:$BM$1004,1,MATCH(COLUMNS($AM$1006:AN1006),$AM$1006:$BM$1006,0)))),"Fix")))</f>
        <v xml:space="preserve"> </v>
      </c>
      <c r="D860" s="4" t="str">
        <f ca="1">IF(OR(INDEX($AG$2:$AG$1001,MATCH(ROWS($AF$2:AF860),$AF$2:$AF$1001,0),1)&gt;=100000,INDEX($AM$1005:$BM$1005,1,MATCH(COLUMNS($AM$1006:AO1006),$AM$1006:$BM$1006,0))&gt;=100000), " ",IF(INDEX($AM$2:$BM$1001,MATCH(ROWS($AF$2:AF860),$AF$2:$AF$1001,0),MATCH(COLUMNS($AM$1006:AO1006),$AM$1006:$BM$1006,0)), HYPERLINK("#",""), HYPERLINK(CONCATENATE("#metadata!", ADDRESS(INDEX($AH$2:$AH$1001,MATCH(ROWS($AF$2:AF860),$AF$2:$AF$1001,0),0), INDEX($AM$1004:$BM$1004,1,MATCH(COLUMNS($AM$1006:AO1006),$AM$1006:$BM$1006,0)))),"Fix")))</f>
        <v xml:space="preserve"> </v>
      </c>
      <c r="E860" s="4" t="str">
        <f ca="1">IF(OR(INDEX($AG$2:$AG$1001,MATCH(ROWS($AF$2:AF860),$AF$2:$AF$1001,0),1)&gt;=100000,INDEX($AM$1005:$BM$1005,1,MATCH(COLUMNS($AM$1006:AP1006),$AM$1006:$BM$1006,0))&gt;=100000), " ",IF(INDEX($AM$2:$BM$1001,MATCH(ROWS($AF$2:AF860),$AF$2:$AF$1001,0),MATCH(COLUMNS($AM$1006:AP1006),$AM$1006:$BM$1006,0)), HYPERLINK("#",""), HYPERLINK(CONCATENATE("#metadata!", ADDRESS(INDEX($AH$2:$AH$1001,MATCH(ROWS($AF$2:AF860),$AF$2:$AF$1001,0),0), INDEX($AM$1004:$BM$1004,1,MATCH(COLUMNS($AM$1006:AP1006),$AM$1006:$BM$1006,0)))),"Fix")))</f>
        <v xml:space="preserve"> </v>
      </c>
      <c r="F860" s="4" t="str">
        <f ca="1">IF(OR(INDEX($AG$2:$AG$1001,MATCH(ROWS($AF$2:AF860),$AF$2:$AF$1001,0),1)&gt;=100000,INDEX($AM$1005:$BM$1005,1,MATCH(COLUMNS($AM$1006:AQ1006),$AM$1006:$BM$1006,0))&gt;=100000), " ",IF(INDEX($AM$2:$BM$1001,MATCH(ROWS($AF$2:AF860),$AF$2:$AF$1001,0),MATCH(COLUMNS($AM$1006:AQ1006),$AM$1006:$BM$1006,0)), HYPERLINK("#",""), HYPERLINK(CONCATENATE("#metadata!", ADDRESS(INDEX($AH$2:$AH$1001,MATCH(ROWS($AF$2:AF860),$AF$2:$AF$1001,0),0), INDEX($AM$1004:$BM$1004,1,MATCH(COLUMNS($AM$1006:AQ1006),$AM$1006:$BM$1006,0)))),"Fix")))</f>
        <v xml:space="preserve"> </v>
      </c>
      <c r="G860" s="4" t="str">
        <f ca="1">IF(OR(INDEX($AG$2:$AG$1001,MATCH(ROWS($AF$2:AF860),$AF$2:$AF$1001,0),1)&gt;=100000,INDEX($AM$1005:$BM$1005,1,MATCH(COLUMNS($AM$1006:AR1006),$AM$1006:$BM$1006,0))&gt;=100000), " ",IF(INDEX($AM$2:$BM$1001,MATCH(ROWS($AF$2:AF860),$AF$2:$AF$1001,0),MATCH(COLUMNS($AM$1006:AR1006),$AM$1006:$BM$1006,0)), HYPERLINK("#",""), HYPERLINK(CONCATENATE("#metadata!", ADDRESS(INDEX($AH$2:$AH$1001,MATCH(ROWS($AF$2:AF860),$AF$2:$AF$1001,0),0), INDEX($AM$1004:$BM$1004,1,MATCH(COLUMNS($AM$1006:AR1006),$AM$1006:$BM$1006,0)))),"Fix")))</f>
        <v xml:space="preserve"> </v>
      </c>
      <c r="H860" s="4" t="str">
        <f ca="1">IF(OR(INDEX($AG$2:$AG$1001,MATCH(ROWS($AF$2:AF860),$AF$2:$AF$1001,0),1)&gt;=100000,INDEX($AM$1005:$BM$1005,1,MATCH(COLUMNS($AM$1006:AS1006),$AM$1006:$BM$1006,0))&gt;=100000), " ",IF(INDEX($AM$2:$BM$1001,MATCH(ROWS($AF$2:AF860),$AF$2:$AF$1001,0),MATCH(COLUMNS($AM$1006:AS1006),$AM$1006:$BM$1006,0)), HYPERLINK("#",""), HYPERLINK(CONCATENATE("#metadata!", ADDRESS(INDEX($AH$2:$AH$1001,MATCH(ROWS($AF$2:AF860),$AF$2:$AF$1001,0),0), INDEX($AM$1004:$BM$1004,1,MATCH(COLUMNS($AM$1006:AS1006),$AM$1006:$BM$1006,0)))),"Fix")))</f>
        <v xml:space="preserve"> </v>
      </c>
      <c r="I860" s="4" t="str">
        <f ca="1">IF(OR(INDEX($AG$2:$AG$1001,MATCH(ROWS($AF$2:AF860),$AF$2:$AF$1001,0),1)&gt;=100000,INDEX($AM$1005:$BM$1005,1,MATCH(COLUMNS($AM$1006:AT1006),$AM$1006:$BM$1006,0))&gt;=100000), " ",IF(INDEX($AM$2:$BM$1001,MATCH(ROWS($AF$2:AF860),$AF$2:$AF$1001,0),MATCH(COLUMNS($AM$1006:AT1006),$AM$1006:$BM$1006,0)), HYPERLINK("#",""), HYPERLINK(CONCATENATE("#metadata!", ADDRESS(INDEX($AH$2:$AH$1001,MATCH(ROWS($AF$2:AF860),$AF$2:$AF$1001,0),0), INDEX($AM$1004:$BM$1004,1,MATCH(COLUMNS($AM$1006:AT1006),$AM$1006:$BM$1006,0)))),"Fix")))</f>
        <v xml:space="preserve"> </v>
      </c>
      <c r="J860" s="4" t="str">
        <f ca="1">IF(OR(INDEX($AG$2:$AG$1001,MATCH(ROWS($AF$2:AF860),$AF$2:$AF$1001,0),1)&gt;=100000,INDEX($AM$1005:$BM$1005,1,MATCH(COLUMNS($AM$1006:AU1006),$AM$1006:$BM$1006,0))&gt;=100000), " ",IF(INDEX($AM$2:$BM$1001,MATCH(ROWS($AF$2:AF860),$AF$2:$AF$1001,0),MATCH(COLUMNS($AM$1006:AU1006),$AM$1006:$BM$1006,0)), HYPERLINK("#",""), HYPERLINK(CONCATENATE("#metadata!", ADDRESS(INDEX($AH$2:$AH$1001,MATCH(ROWS($AF$2:AF860),$AF$2:$AF$1001,0),0), INDEX($AM$1004:$BM$1004,1,MATCH(COLUMNS($AM$1006:AU1006),$AM$1006:$BM$1006,0)))),"Fix")))</f>
        <v xml:space="preserve"> </v>
      </c>
      <c r="K860" s="4" t="str">
        <f ca="1">IF(OR(INDEX($AG$2:$AG$1001,MATCH(ROWS($AF$2:AF860),$AF$2:$AF$1001,0),1)&gt;=100000,INDEX($AM$1005:$BM$1005,1,MATCH(COLUMNS($AM$1006:AV1006),$AM$1006:$BM$1006,0))&gt;=100000), " ",IF(INDEX($AM$2:$BM$1001,MATCH(ROWS($AF$2:AF860),$AF$2:$AF$1001,0),MATCH(COLUMNS($AM$1006:AV1006),$AM$1006:$BM$1006,0)), HYPERLINK("#",""), HYPERLINK(CONCATENATE("#metadata!", ADDRESS(INDEX($AH$2:$AH$1001,MATCH(ROWS($AF$2:AF860),$AF$2:$AF$1001,0),0), INDEX($AM$1004:$BM$1004,1,MATCH(COLUMNS($AM$1006:AV1006),$AM$1006:$BM$1006,0)))),"Fix")))</f>
        <v xml:space="preserve"> </v>
      </c>
      <c r="L860" s="4" t="str">
        <f ca="1">IF(OR(INDEX($AG$2:$AG$1001,MATCH(ROWS($AF$2:AF860),$AF$2:$AF$1001,0),1)&gt;=100000,INDEX($AM$1005:$BM$1005,1,MATCH(COLUMNS($AM$1006:AW1006),$AM$1006:$BM$1006,0))&gt;=100000), " ",IF(INDEX($AM$2:$BM$1001,MATCH(ROWS($AF$2:AF860),$AF$2:$AF$1001,0),MATCH(COLUMNS($AM$1006:AW1006),$AM$1006:$BM$1006,0)), HYPERLINK("#",""), HYPERLINK(CONCATENATE("#metadata!", ADDRESS(INDEX($AH$2:$AH$1001,MATCH(ROWS($AF$2:AF860),$AF$2:$AF$1001,0),0), INDEX($AM$1004:$BM$1004,1,MATCH(COLUMNS($AM$1006:AW1006),$AM$1006:$BM$1006,0)))),"Fix")))</f>
        <v xml:space="preserve"> </v>
      </c>
      <c r="M860" s="4" t="str">
        <f ca="1">IF(OR(INDEX($AG$2:$AG$1001,MATCH(ROWS($AF$2:AF860),$AF$2:$AF$1001,0),1)&gt;=100000,INDEX($AM$1005:$BM$1005,1,MATCH(COLUMNS($AM$1006:AX1006),$AM$1006:$BM$1006,0))&gt;=100000), " ",IF(INDEX($AM$2:$BM$1001,MATCH(ROWS($AF$2:AF860),$AF$2:$AF$1001,0),MATCH(COLUMNS($AM$1006:AX1006),$AM$1006:$BM$1006,0)), HYPERLINK("#",""), HYPERLINK(CONCATENATE("#metadata!", ADDRESS(INDEX($AH$2:$AH$1001,MATCH(ROWS($AF$2:AF860),$AF$2:$AF$1001,0),0), INDEX($AM$1004:$BM$1004,1,MATCH(COLUMNS($AM$1006:AX1006),$AM$1006:$BM$1006,0)))),"Fix")))</f>
        <v xml:space="preserve"> </v>
      </c>
      <c r="N860" s="4" t="str">
        <f ca="1">IF(OR(INDEX($AG$2:$AG$1001,MATCH(ROWS($AF$2:AF860),$AF$2:$AF$1001,0),1)&gt;=100000,INDEX($AM$1005:$BM$1005,1,MATCH(COLUMNS($AM$1006:AY1006),$AM$1006:$BM$1006,0))&gt;=100000), " ",IF(INDEX($AM$2:$BM$1001,MATCH(ROWS($AF$2:AF860),$AF$2:$AF$1001,0),MATCH(COLUMNS($AM$1006:AY1006),$AM$1006:$BM$1006,0)), HYPERLINK("#",""), HYPERLINK(CONCATENATE("#metadata!", ADDRESS(INDEX($AH$2:$AH$1001,MATCH(ROWS($AF$2:AF860),$AF$2:$AF$1001,0),0), INDEX($AM$1004:$BM$1004,1,MATCH(COLUMNS($AM$1006:AY1006),$AM$1006:$BM$1006,0)))),"Fix")))</f>
        <v xml:space="preserve"> </v>
      </c>
      <c r="O860" s="4" t="str">
        <f ca="1">IF(OR(INDEX($AG$2:$AG$1001,MATCH(ROWS($AF$2:AF860),$AF$2:$AF$1001,0),1)&gt;=100000,INDEX($AM$1005:$BM$1005,1,MATCH(COLUMNS($AM$1006:AZ1006),$AM$1006:$BM$1006,0))&gt;=100000), " ",IF(INDEX($AM$2:$BM$1001,MATCH(ROWS($AF$2:AF860),$AF$2:$AF$1001,0),MATCH(COLUMNS($AM$1006:AZ1006),$AM$1006:$BM$1006,0)), HYPERLINK("#",""), HYPERLINK(CONCATENATE("#metadata!", ADDRESS(INDEX($AH$2:$AH$1001,MATCH(ROWS($AF$2:AF860),$AF$2:$AF$1001,0),0), INDEX($AM$1004:$BM$1004,1,MATCH(COLUMNS($AM$1006:AZ1006),$AM$1006:$BM$1006,0)))),"Fix")))</f>
        <v xml:space="preserve"> </v>
      </c>
      <c r="P860" s="4" t="str">
        <f ca="1">IF(OR(INDEX($AG$2:$AG$1001,MATCH(ROWS($AF$2:AF860),$AF$2:$AF$1001,0),1)&gt;=100000,INDEX($AM$1005:$BM$1005,1,MATCH(COLUMNS($AM$1006:BA1006),$AM$1006:$BM$1006,0))&gt;=100000), " ",IF(INDEX($AM$2:$BM$1001,MATCH(ROWS($AF$2:AF860),$AF$2:$AF$1001,0),MATCH(COLUMNS($AM$1006:BA1006),$AM$1006:$BM$1006,0)), HYPERLINK("#",""), HYPERLINK(CONCATENATE("#metadata!", ADDRESS(INDEX($AH$2:$AH$1001,MATCH(ROWS($AF$2:AF860),$AF$2:$AF$1001,0),0), INDEX($AM$1004:$BM$1004,1,MATCH(COLUMNS($AM$1006:BA1006),$AM$1006:$BM$1006,0)))),"Fix")))</f>
        <v xml:space="preserve"> </v>
      </c>
      <c r="Q860" s="4" t="str">
        <f ca="1">IF(OR(INDEX($AG$2:$AG$1001,MATCH(ROWS($AF$2:AF860),$AF$2:$AF$1001,0),1)&gt;=100000,INDEX($AM$1005:$BM$1005,1,MATCH(COLUMNS($AM$1006:BB1006),$AM$1006:$BM$1006,0))&gt;=100000), " ",IF(INDEX($AM$2:$BM$1001,MATCH(ROWS($AF$2:AF860),$AF$2:$AF$1001,0),MATCH(COLUMNS($AM$1006:BB1006),$AM$1006:$BM$1006,0)), HYPERLINK("#",""), HYPERLINK(CONCATENATE("#metadata!", ADDRESS(INDEX($AH$2:$AH$1001,MATCH(ROWS($AF$2:AF860),$AF$2:$AF$1001,0),0), INDEX($AM$1004:$BM$1004,1,MATCH(COLUMNS($AM$1006:BB1006),$AM$1006:$BM$1006,0)))),"Fix")))</f>
        <v xml:space="preserve"> </v>
      </c>
      <c r="R860" s="4" t="str">
        <f ca="1">IF(OR(INDEX($AG$2:$AG$1001,MATCH(ROWS($AF$2:AF860),$AF$2:$AF$1001,0),1)&gt;=100000,INDEX($AM$1005:$BM$1005,1,MATCH(COLUMNS($AM$1006:BC1006),$AM$1006:$BM$1006,0))&gt;=100000), " ",IF(INDEX($AM$2:$BM$1001,MATCH(ROWS($AF$2:AF860),$AF$2:$AF$1001,0),MATCH(COLUMNS($AM$1006:BC1006),$AM$1006:$BM$1006,0)), HYPERLINK("#",""), HYPERLINK(CONCATENATE("#metadata!", ADDRESS(INDEX($AH$2:$AH$1001,MATCH(ROWS($AF$2:AF860),$AF$2:$AF$1001,0),0), INDEX($AM$1004:$BM$1004,1,MATCH(COLUMNS($AM$1006:BC1006),$AM$1006:$BM$1006,0)))),"Fix")))</f>
        <v xml:space="preserve"> </v>
      </c>
      <c r="S860" s="4" t="str">
        <f ca="1">IF(OR(INDEX($AG$2:$AG$1001,MATCH(ROWS($AF$2:AF860),$AF$2:$AF$1001,0),1)&gt;=100000,INDEX($AM$1005:$BM$1005,1,MATCH(COLUMNS($AM$1006:BD1006),$AM$1006:$BM$1006,0))&gt;=100000), " ",IF(INDEX($AM$2:$BM$1001,MATCH(ROWS($AF$2:AF860),$AF$2:$AF$1001,0),MATCH(COLUMNS($AM$1006:BD1006),$AM$1006:$BM$1006,0)), HYPERLINK("#",""), HYPERLINK(CONCATENATE("#metadata!", ADDRESS(INDEX($AH$2:$AH$1001,MATCH(ROWS($AF$2:AF860),$AF$2:$AF$1001,0),0), INDEX($AM$1004:$BM$1004,1,MATCH(COLUMNS($AM$1006:BD1006),$AM$1006:$BM$1006,0)))),"Fix")))</f>
        <v xml:space="preserve"> </v>
      </c>
      <c r="T860" s="4" t="str">
        <f ca="1">IF(OR(INDEX($AG$2:$AG$1001,MATCH(ROWS($AF$2:AF860),$AF$2:$AF$1001,0),1)&gt;=100000,INDEX($AM$1005:$BM$1005,1,MATCH(COLUMNS($AM$1006:BE1006),$AM$1006:$BM$1006,0))&gt;=100000), " ",IF(INDEX($AM$2:$BM$1001,MATCH(ROWS($AF$2:AF860),$AF$2:$AF$1001,0),MATCH(COLUMNS($AM$1006:BE1006),$AM$1006:$BM$1006,0)), HYPERLINK("#",""), HYPERLINK(CONCATENATE("#metadata!", ADDRESS(INDEX($AH$2:$AH$1001,MATCH(ROWS($AF$2:AF860),$AF$2:$AF$1001,0),0), INDEX($AM$1004:$BM$1004,1,MATCH(COLUMNS($AM$1006:BE1006),$AM$1006:$BM$1006,0)))),"Fix")))</f>
        <v xml:space="preserve"> </v>
      </c>
      <c r="U860" s="4" t="str">
        <f ca="1">IF(OR(INDEX($AG$2:$AG$1001,MATCH(ROWS($AF$2:AF860),$AF$2:$AF$1001,0),1)&gt;=100000,INDEX($AM$1005:$BM$1005,1,MATCH(COLUMNS($AM$1006:BF1006),$AM$1006:$BM$1006,0))&gt;=100000), " ",IF(INDEX($AM$2:$BM$1001,MATCH(ROWS($AF$2:AF860),$AF$2:$AF$1001,0),MATCH(COLUMNS($AM$1006:BF1006),$AM$1006:$BM$1006,0)), HYPERLINK("#",""), HYPERLINK(CONCATENATE("#metadata!", ADDRESS(INDEX($AH$2:$AH$1001,MATCH(ROWS($AF$2:AF860),$AF$2:$AF$1001,0),0), INDEX($AM$1004:$BM$1004,1,MATCH(COLUMNS($AM$1006:BF1006),$AM$1006:$BM$1006,0)))),"Fix")))</f>
        <v xml:space="preserve"> </v>
      </c>
      <c r="V860" s="4" t="str">
        <f ca="1">IF(OR(INDEX($AG$2:$AG$1001,MATCH(ROWS($AF$2:AF860),$AF$2:$AF$1001,0),1)&gt;=100000,INDEX($AM$1005:$BM$1005,1,MATCH(COLUMNS($AM$1006:BG1006),$AM$1006:$BM$1006,0))&gt;=100000), " ",IF(INDEX($AM$2:$BM$1001,MATCH(ROWS($AF$2:AF860),$AF$2:$AF$1001,0),MATCH(COLUMNS($AM$1006:BG1006),$AM$1006:$BM$1006,0)), HYPERLINK("#",""), HYPERLINK(CONCATENATE("#metadata!", ADDRESS(INDEX($AH$2:$AH$1001,MATCH(ROWS($AF$2:AF860),$AF$2:$AF$1001,0),0), INDEX($AM$1004:$BM$1004,1,MATCH(COLUMNS($AM$1006:BG1006),$AM$1006:$BM$1006,0)))),"Fix")))</f>
        <v xml:space="preserve"> </v>
      </c>
      <c r="W860" s="4" t="str">
        <f ca="1">IF(OR(INDEX($AG$2:$AG$1001,MATCH(ROWS($AF$2:AF860),$AF$2:$AF$1001,0),1)&gt;=100000,INDEX($AM$1005:$BM$1005,1,MATCH(COLUMNS($AM$1006:BH1006),$AM$1006:$BM$1006,0))&gt;=100000), " ",IF(INDEX($AM$2:$BM$1001,MATCH(ROWS($AF$2:AF860),$AF$2:$AF$1001,0),MATCH(COLUMNS($AM$1006:BH1006),$AM$1006:$BM$1006,0)), HYPERLINK("#",""), HYPERLINK(CONCATENATE("#metadata!", ADDRESS(INDEX($AH$2:$AH$1001,MATCH(ROWS($AF$2:AF860),$AF$2:$AF$1001,0),0), INDEX($AM$1004:$BM$1004,1,MATCH(COLUMNS($AM$1006:BH1006),$AM$1006:$BM$1006,0)))),"Fix")))</f>
        <v xml:space="preserve"> </v>
      </c>
      <c r="X860" s="4" t="str">
        <f ca="1">IF(OR(INDEX($AG$2:$AG$1001,MATCH(ROWS($AF$2:AF860),$AF$2:$AF$1001,0),1)&gt;=100000,INDEX($AM$1005:$BM$1005,1,MATCH(COLUMNS($AM$1006:BI1006),$AM$1006:$BM$1006,0))&gt;=100000), " ",IF(INDEX($AM$2:$BM$1001,MATCH(ROWS($AF$2:AF860),$AF$2:$AF$1001,0),MATCH(COLUMNS($AM$1006:BI1006),$AM$1006:$BM$1006,0)), HYPERLINK("#",""), HYPERLINK(CONCATENATE("#metadata!", ADDRESS(INDEX($AH$2:$AH$1001,MATCH(ROWS($AF$2:AF860),$AF$2:$AF$1001,0),0), INDEX($AM$1004:$BM$1004,1,MATCH(COLUMNS($AM$1006:BI1006),$AM$1006:$BM$1006,0)))),"Fix")))</f>
        <v xml:space="preserve"> </v>
      </c>
      <c r="Y860" s="4" t="str">
        <f ca="1">IF(OR(INDEX($AG$2:$AG$1001,MATCH(ROWS($AF$2:AF860),$AF$2:$AF$1001,0),1)&gt;=100000,INDEX($AM$1005:$BM$1005,1,MATCH(COLUMNS($AM$1006:BJ1006),$AM$1006:$BM$1006,0))&gt;=100000), " ",IF(INDEX($AM$2:$BM$1001,MATCH(ROWS($AF$2:AF860),$AF$2:$AF$1001,0),MATCH(COLUMNS($AM$1006:BJ1006),$AM$1006:$BM$1006,0)), HYPERLINK("#",""), HYPERLINK(CONCATENATE("#metadata!", ADDRESS(INDEX($AH$2:$AH$1001,MATCH(ROWS($AF$2:AF860),$AF$2:$AF$1001,0),0), INDEX($AM$1004:$BM$1004,1,MATCH(COLUMNS($AM$1006:BJ1006),$AM$1006:$BM$1006,0)))),"Fix")))</f>
        <v xml:space="preserve"> </v>
      </c>
      <c r="Z860" s="4" t="str">
        <f ca="1">IF(OR(INDEX($AG$2:$AG$1001,MATCH(ROWS($AF$2:AF860),$AF$2:$AF$1001,0),1)&gt;=100000,INDEX($AM$1005:$BM$1005,1,MATCH(COLUMNS($AM$1006:BK1006),$AM$1006:$BM$1006,0))&gt;=100000), " ",IF(INDEX($AM$2:$BM$1001,MATCH(ROWS($AF$2:AF860),$AF$2:$AF$1001,0),MATCH(COLUMNS($AM$1006:BK1006),$AM$1006:$BM$1006,0)), HYPERLINK("#",""), HYPERLINK(CONCATENATE("#metadata!", ADDRESS(INDEX($AH$2:$AH$1001,MATCH(ROWS($AF$2:AF860),$AF$2:$AF$1001,0),0), INDEX($AM$1004:$BM$1004,1,MATCH(COLUMNS($AM$1006:BK1006),$AM$1006:$BM$1006,0)))),"Fix")))</f>
        <v xml:space="preserve"> </v>
      </c>
      <c r="AA860" s="4" t="str">
        <f ca="1">IF(OR(INDEX($AG$2:$AG$1001,MATCH(ROWS($AF$2:AF860),$AF$2:$AF$1001,0),1)&gt;=100000,INDEX($AM$1005:$BM$1005,1,MATCH(COLUMNS($AM$1006:BL1006),$AM$1006:$BM$1006,0))&gt;=100000), " ",IF(INDEX($AM$2:$BM$1001,MATCH(ROWS($AF$2:AF860),$AF$2:$AF$1001,0),MATCH(COLUMNS($AM$1006:BL1006),$AM$1006:$BM$1006,0)), HYPERLINK("#",""), HYPERLINK(CONCATENATE("#metadata!", ADDRESS(INDEX($AH$2:$AH$1001,MATCH(ROWS($AF$2:AF860),$AF$2:$AF$1001,0),0), INDEX($AM$1004:$BM$1004,1,MATCH(COLUMNS($AM$1006:BL1006),$AM$1006:$BM$1006,0)))),"Fix")))</f>
        <v xml:space="preserve"> </v>
      </c>
      <c r="AB860" s="4" t="str">
        <f ca="1">IF(OR(INDEX($AG$2:$AG$1001,MATCH(ROWS($AF$2:AF860),$AF$2:$AF$1001,0),1)&gt;=100000,INDEX($AM$1005:$BM$1005,1,MATCH(COLUMNS($AM$1006:BM1006),$AM$1006:$BM$1006,0))&gt;=100000), " ",IF(INDEX($AM$2:$BM$1001,MATCH(ROWS($AF$2:AF860),$AF$2:$AF$1001,0),MATCH(COLUMNS($AM$1006:BM1006),$AM$1006:$BM$1006,0)), HYPERLINK("#",""), HYPERLINK(CONCATENATE("#metadata!", ADDRESS(INDEX($AH$2:$AH$1001,MATCH(ROWS($AF$2:AF860),$AF$2:$AF$1001,0),0), INDEX($AM$1004:$BM$1004,1,MATCH(COLUMNS($AM$1006:BM1006),$AM$1006:$BM$1006,0)))),"Fix")))</f>
        <v xml:space="preserve"> </v>
      </c>
      <c r="AF860">
        <v>859</v>
      </c>
      <c r="AG860">
        <v>100860</v>
      </c>
      <c r="AH860">
        <v>860</v>
      </c>
      <c r="AI860" t="b">
        <f t="shared" si="13"/>
        <v>1</v>
      </c>
      <c r="AJ860" t="b">
        <f>COUNTBLANK(metadata!B860:AB860)=COLUMNS(metadata!B860:AB860)</f>
        <v>1</v>
      </c>
      <c r="AK860" t="str">
        <v/>
      </c>
      <c r="AM860" t="b">
        <f ca="1">AND(IF(metadata!B860="",FALSE,TRUE),COUNTIF(metadata!B:B, metadata!B860) = 1,NOT(ISERROR(SUMPRODUCT(SEARCH(MID(metadata!B860,ROW(INDIRECT("1:"&amp;LEN(metadata!B860))), 1),"0123456789abcdefghijklmnopqrstuvwxyzABCDEFGHIJKLMNOPQRSTUVWXYZ.")))))</f>
        <v>0</v>
      </c>
      <c r="AN860" t="b">
        <f ca="1">OR(AND(IF(metadata!C860="",FALSE,TRUE),OR(EXACT(metadata!C860,"missing: not collected"),EXACT(metadata!C860,"missing: not provided"),EXACT(metadata!C860,"missing: restricted access"))),AND(IF(metadata!C860="",FALSE,TRUE),AND(AND(IFERROR(INT(LEFT(metadata!C860,4))&gt;1900,FALSE),IFERROR(INT(LEFT(metadata!C860,4))&lt;=YEAR(NOW()),FALSE)), OR(MID(metadata!C860,5,1)="", AND(AND(MID(metadata!C860,5,1)="-",IFERROR(INT(MID(metadata!C860,6,1))&gt;=0,FALSE),IFERROR(INT(MID(metadata!C860,6,1))&lt;=1,FALSE),NOT(MID(metadata!C860,7,1)=""),IFERROR(INT(MID(metadata!C860,6,2))&gt;=1,FALSE),IFERROR(INT(MID(metadata!C860,6,2))&lt;=12,FALSE)), OR(MID(metadata!C860,8,1)="", AND(AND(MID(metadata!C860,8,1)="-",IFERROR(INT(MID(metadata!C860,9,1))&gt;=0,FALSE),IFERROR(INT(MID(metadata!C860,9,1))&lt;=3,FALSE),NOT(MID(metadata!C860,10,1)=""),IFERROR(INT(MID(metadata!C860,9,2))&gt;=1,FALSE),IFERROR(INT(MID(metadata!C860,9,2))&lt;=31,FALSE)), OR(MID(metadata!C860,11,1)="", AND(AND(MID(metadata!C860,11,1)=" ",IFERROR(INT(MID(metadata!C860,12,1))&gt;=0,FALSE),IFERROR(INT(MID(metadata!C860,12,1))&lt;=2,FALSE),NOT(MID(metadata!C860,13,1)=""),IFERROR(INT(MID(metadata!C860,12,2))&gt;=0,FALSE),IFERROR(INT(MID(metadata!C860,12,2))&lt;=23,FALSE)), OR(MID(metadata!C860,14,1)="", AND(AND(MID(metadata!C860,14,1)=":",IFERROR(INT(MID(metadata!C860,15,1))&gt;=0,FALSE),IFERROR(INT(MID(metadata!C860,15,1))&lt;=5,FALSE),NOT(MID(metadata!C860,16,1)=""),IFERROR(INT(MID(metadata!C860,15,2))&gt;=0,FALSE),IFERROR(INT(MID(metadata!C860,15,2))&lt;=59,FALSE)), OR(MID(metadata!C860,17,1)="", AND(AND(MID(metadata!C860,17,1)=":",IFERROR(INT(MID(metadata!C860,18,1))&gt;=0,FALSE),IFERROR(INT(MID(metadata!C860,18,1))&lt;=5,FALSE),NOT(MID(metadata!C860,19,1)=""),IFERROR(INT(MID(metadata!C860,18,2))&gt;=0,FALSE),IFERROR(INT(MID(metadata!C860,18,2))&lt;=59,FALSE)), LEN(metadata!C860)&lt;=19)))))))))))))</f>
        <v>0</v>
      </c>
      <c r="AO860" t="b">
        <f>AND(IF(metadata!D860="",FALSE,TRUE),EXACT(metadata!D860,"Not applicable"))</f>
        <v>0</v>
      </c>
      <c r="AP860" t="b">
        <f>IF(metadata!E860="",FALSE,TRUE)</f>
        <v>0</v>
      </c>
      <c r="AQ860" t="b">
        <f>OR(AND(IF(metadata!F860="",FALSE,TRUE),OR(EXACT(metadata!F860,"missing: not collected"),EXACT(metadata!F860,"missing: not provided"))),AND(IF(metadata!F860="",FALSE,TRUE),OR(EXACT(metadata!F860,"TRUE"),EXACT(metadata!F860,"FALSE"))))</f>
        <v>0</v>
      </c>
      <c r="AR860" t="b">
        <f>OR(AND(IF(metadata!G860="",FALSE,TRUE),OR(EXACT(metadata!G860,"missing: not collected"),EXACT(metadata!G860,"missing: not provided"),EXACT(metadata!G860,"missing: restricted access"))),AND(IF(metadata!G860="",FALSE,ISNUMBER(VALUE(metadata!G860))),metadata!G860&gt;=-413))</f>
        <v>0</v>
      </c>
      <c r="AS860" t="b">
        <f>AND(IF(metadata!H860="",FALSE,TRUE),EXACT(metadata!H860,"meters"))</f>
        <v>0</v>
      </c>
      <c r="AT860" t="b">
        <f>AND(IF(metadata!I860="",FALSE,TRUE),OR(EXACT(metadata!I860,"Host-associated"),EXACT(metadata!I860,"Free-living")))</f>
        <v>0</v>
      </c>
      <c r="AU860" t="b">
        <f>AND(IF(metadata!J860="",FALSE,TRUE),OR(EXACT(metadata!J860,"Animal"),EXACT(metadata!J860,"Fungus"),EXACT(metadata!J860,"Plant"),EXACT(metadata!J860,"Saline"),EXACT(metadata!J860,"Non-saline")))</f>
        <v>0</v>
      </c>
      <c r="AV860" t="b">
        <f>AND(IF(metadata!K860="",FALSE,TRUE),OR(EXACT(metadata!K860,"Plant secretion"),EXACT(metadata!K860,"Plant rhizosphere"),EXACT(metadata!K860,"Plant surface"),EXACT(metadata!K860,"Plant corpus"),EXACT(metadata!K860,"Fungus surface"),EXACT(metadata!K860,"Fungus corpus"),EXACT(metadata!K860,"Animal surface"),EXACT(metadata!K860,"Animal proximal gut"),EXACT(metadata!K860,"Animal corpus"),EXACT(metadata!K860,"Animal distal gut"),EXACT(metadata!K860,"Animal secretion"),EXACT(metadata!K860,"Sub-surface (non-saline)"),EXACT(metadata!K860,"Surface (non-saline)"),EXACT(metadata!K860,"Water (non-saline)"),EXACT(metadata!K860,"Soil (non-saline)"),EXACT(metadata!K860,"Aerosol (non-saline)"),EXACT(metadata!K860,"Sediment (non-saline)"),EXACT(metadata!K860,"Surface (saline)"),EXACT(metadata!K860,"Water (saline)"),EXACT(metadata!K860,"Hypersaline (saline)"),EXACT(metadata!K860,"Aerosol (saline)"),EXACT(metadata!K860,"Sediment (saline)")))</f>
        <v>0</v>
      </c>
      <c r="AW860" t="b">
        <f>IF(metadata!L860="",FALSE,TRUE)</f>
        <v>0</v>
      </c>
      <c r="AX860" t="b">
        <f>IF(metadata!M860="",FALSE,TRUE)</f>
        <v>0</v>
      </c>
      <c r="AY860" t="b">
        <f>IF(metadata!N860="",FALSE,TRUE)</f>
        <v>0</v>
      </c>
      <c r="AZ860" t="b">
        <f>OR(AND(IF(metadata!O860="",FALSE,TRUE),OR(EXACT(metadata!O860,"missing: not collected"),EXACT(metadata!O860,"missing: not provided"),EXACT(metadata!O860,"missing: restricted access"))),AND(IF(metadata!O860="",FALSE,TRUE),OR(EXACT(metadata!O860,"air"),EXACT(metadata!O860,"built environment"),EXACT(metadata!O860,"host-associated"),EXACT(metadata!O860,"human-associated"),EXACT(metadata!O860,"human-skin"),EXACT(metadata!O860,"human-oral"),EXACT(metadata!O860,"human-gut"),EXACT(metadata!O860,"human-vaginal"),EXACT(metadata!O860,"microbial mat/biofilm"),EXACT(metadata!O860,"misc environment"),EXACT(metadata!O860,"plant-associated"),EXACT(metadata!O860,"sediment"),EXACT(metadata!O860,"soil"),EXACT(metadata!O860,"wastewater/sludge"),EXACT(metadata!O860,"water"))))</f>
        <v>0</v>
      </c>
      <c r="BA860" t="b">
        <f>IF(metadata!P860="",FALSE,TRUE)</f>
        <v>0</v>
      </c>
      <c r="BB860" t="b">
        <f>IF(metadata!Q860="",FALSE,TRUE)</f>
        <v>0</v>
      </c>
      <c r="BC860" t="b">
        <f>OR(AND(IF(metadata!R860="",FALSE,TRUE),OR(EXACT(metadata!R860,"missing: not collected"),EXACT(metadata!R860,"missing: not provided"),EXACT(metadata!R860,"missing: restricted access"))),AND(IF(metadata!R860="",FALSE,ISNUMBER(VALUE(metadata!R860))),metadata!R860&gt;=-90,metadata!R860&lt;=90))</f>
        <v>0</v>
      </c>
      <c r="BD860" t="b">
        <f>AND(IF(metadata!S860="",FALSE,TRUE),EXACT(metadata!S860,"Decimal degrees"))</f>
        <v>0</v>
      </c>
      <c r="BE860" t="b">
        <f>OR(AND(IF(metadata!T860="",FALSE,TRUE),OR(EXACT(metadata!T860,"missing: not collected"),EXACT(metadata!T860,"missing: not provided"),EXACT(metadata!T860,"missing: restricted access"))),AND(IF(metadata!T860="",FALSE,ISNUMBER(VALUE(metadata!T860))),metadata!T860&gt;=-180,metadata!T860&lt;=180))</f>
        <v>0</v>
      </c>
      <c r="BF860" t="b">
        <f>AND(IF(metadata!U860="",FALSE,TRUE),EXACT(metadata!U860,"Decimal degrees"))</f>
        <v>0</v>
      </c>
      <c r="BG860" t="b">
        <f>IF(metadata!V860="",FALSE,TRUE)</f>
        <v>0</v>
      </c>
      <c r="BH860" t="b">
        <f>OR(AND(IF(metadata!W860="",FALSE,TRUE),OR(EXACT(metadata!W860,"missing: not collected"),EXACT(metadata!W860,"missing: not provided"),EXACT(metadata!W860,"missing: restricted access"))),AND(IF(metadata!W860="",FALSE,TRUE),OR(EXACT(metadata!W860,"TRUE"),EXACT(metadata!W860,"FALSE"))))</f>
        <v>0</v>
      </c>
      <c r="BI860" t="b">
        <f>AND(IF(metadata!X860="",FALSE,TRUE),EXACT(metadata!X860,"other"))</f>
        <v>0</v>
      </c>
      <c r="BJ860" t="b">
        <f>IF(metadata!Y860="",FALSE,TRUE)</f>
        <v>0</v>
      </c>
      <c r="BK860" t="b">
        <f>OR(AND(IF(metadata!Z860="",FALSE,TRUE),OR(EXACT(metadata!Z860,"missing: not collected"),EXACT(metadata!Z860,"missing: not provided"))),AND(IF(metadata!Z860="",FALSE,IF(ISERROR(INT(metadata!Z860)),FALSE,INT(metadata!Z860)=metadata!Z860)),metadata!Z860&gt;0))</f>
        <v>0</v>
      </c>
      <c r="BL860" t="b">
        <f>AND(IF(metadata!AA860="",FALSE,TRUE),EXACT(metadata!AA860,"Not applicable"))</f>
        <v>0</v>
      </c>
      <c r="BM860" t="b">
        <f>IF(metadata!AB860="",FALSE,TRUE)</f>
        <v>0</v>
      </c>
    </row>
    <row r="861" spans="1:65" x14ac:dyDescent="0.2">
      <c r="A861" s="5" t="str">
        <f ca="1">IF(B861=" "," ",HYPERLINK(CONCATENATE("#metadata!",ADDRESS(INDEX($AH$2:$AH$1001,MATCH(ROWS($AF$2:AF861),$AF$2:$AF$1001,0),0),1)),INDEX($AK$2:$AK$1001,MATCH(ROWS($AF$2:AF861),$AF$2:$AF$1001,0),0)))</f>
        <v xml:space="preserve"> </v>
      </c>
      <c r="B861" s="4" t="str">
        <f ca="1">IF(OR(INDEX($AG$2:$AG$1001,MATCH(ROWS($AF$2:AF861),$AF$2:$AF$1001,0),1)&gt;=100000,INDEX($AM$1005:$BM$1005,1,MATCH(COLUMNS($AM$1006:AM1006),$AM$1006:$BM$1006,0))&gt;=100000), " ",IF(INDEX($AM$2:$BM$1001,MATCH(ROWS($AF$2:AF861),$AF$2:$AF$1001,0),MATCH(COLUMNS($AM$1006:AM1006),$AM$1006:$BM$1006,0)), HYPERLINK("#",""), HYPERLINK(CONCATENATE("#metadata!", ADDRESS(INDEX($AH$2:$AH$1001,MATCH(ROWS($AF$2:AF861),$AF$2:$AF$1001,0),0), INDEX($AM$1004:$BM$1004,1,MATCH(COLUMNS($AM$1006:AM1006),$AM$1006:$BM$1006,0)))),"Fix")))</f>
        <v xml:space="preserve"> </v>
      </c>
      <c r="C861" s="4" t="str">
        <f ca="1">IF(OR(INDEX($AG$2:$AG$1001,MATCH(ROWS($AF$2:AF861),$AF$2:$AF$1001,0),1)&gt;=100000,INDEX($AM$1005:$BM$1005,1,MATCH(COLUMNS($AM$1006:AN1006),$AM$1006:$BM$1006,0))&gt;=100000), " ",IF(INDEX($AM$2:$BM$1001,MATCH(ROWS($AF$2:AF861),$AF$2:$AF$1001,0),MATCH(COLUMNS($AM$1006:AN1006),$AM$1006:$BM$1006,0)), HYPERLINK("#",""), HYPERLINK(CONCATENATE("#metadata!", ADDRESS(INDEX($AH$2:$AH$1001,MATCH(ROWS($AF$2:AF861),$AF$2:$AF$1001,0),0), INDEX($AM$1004:$BM$1004,1,MATCH(COLUMNS($AM$1006:AN1006),$AM$1006:$BM$1006,0)))),"Fix")))</f>
        <v xml:space="preserve"> </v>
      </c>
      <c r="D861" s="4" t="str">
        <f ca="1">IF(OR(INDEX($AG$2:$AG$1001,MATCH(ROWS($AF$2:AF861),$AF$2:$AF$1001,0),1)&gt;=100000,INDEX($AM$1005:$BM$1005,1,MATCH(COLUMNS($AM$1006:AO1006),$AM$1006:$BM$1006,0))&gt;=100000), " ",IF(INDEX($AM$2:$BM$1001,MATCH(ROWS($AF$2:AF861),$AF$2:$AF$1001,0),MATCH(COLUMNS($AM$1006:AO1006),$AM$1006:$BM$1006,0)), HYPERLINK("#",""), HYPERLINK(CONCATENATE("#metadata!", ADDRESS(INDEX($AH$2:$AH$1001,MATCH(ROWS($AF$2:AF861),$AF$2:$AF$1001,0),0), INDEX($AM$1004:$BM$1004,1,MATCH(COLUMNS($AM$1006:AO1006),$AM$1006:$BM$1006,0)))),"Fix")))</f>
        <v xml:space="preserve"> </v>
      </c>
      <c r="E861" s="4" t="str">
        <f ca="1">IF(OR(INDEX($AG$2:$AG$1001,MATCH(ROWS($AF$2:AF861),$AF$2:$AF$1001,0),1)&gt;=100000,INDEX($AM$1005:$BM$1005,1,MATCH(COLUMNS($AM$1006:AP1006),$AM$1006:$BM$1006,0))&gt;=100000), " ",IF(INDEX($AM$2:$BM$1001,MATCH(ROWS($AF$2:AF861),$AF$2:$AF$1001,0),MATCH(COLUMNS($AM$1006:AP1006),$AM$1006:$BM$1006,0)), HYPERLINK("#",""), HYPERLINK(CONCATENATE("#metadata!", ADDRESS(INDEX($AH$2:$AH$1001,MATCH(ROWS($AF$2:AF861),$AF$2:$AF$1001,0),0), INDEX($AM$1004:$BM$1004,1,MATCH(COLUMNS($AM$1006:AP1006),$AM$1006:$BM$1006,0)))),"Fix")))</f>
        <v xml:space="preserve"> </v>
      </c>
      <c r="F861" s="4" t="str">
        <f ca="1">IF(OR(INDEX($AG$2:$AG$1001,MATCH(ROWS($AF$2:AF861),$AF$2:$AF$1001,0),1)&gt;=100000,INDEX($AM$1005:$BM$1005,1,MATCH(COLUMNS($AM$1006:AQ1006),$AM$1006:$BM$1006,0))&gt;=100000), " ",IF(INDEX($AM$2:$BM$1001,MATCH(ROWS($AF$2:AF861),$AF$2:$AF$1001,0),MATCH(COLUMNS($AM$1006:AQ1006),$AM$1006:$BM$1006,0)), HYPERLINK("#",""), HYPERLINK(CONCATENATE("#metadata!", ADDRESS(INDEX($AH$2:$AH$1001,MATCH(ROWS($AF$2:AF861),$AF$2:$AF$1001,0),0), INDEX($AM$1004:$BM$1004,1,MATCH(COLUMNS($AM$1006:AQ1006),$AM$1006:$BM$1006,0)))),"Fix")))</f>
        <v xml:space="preserve"> </v>
      </c>
      <c r="G861" s="4" t="str">
        <f ca="1">IF(OR(INDEX($AG$2:$AG$1001,MATCH(ROWS($AF$2:AF861),$AF$2:$AF$1001,0),1)&gt;=100000,INDEX($AM$1005:$BM$1005,1,MATCH(COLUMNS($AM$1006:AR1006),$AM$1006:$BM$1006,0))&gt;=100000), " ",IF(INDEX($AM$2:$BM$1001,MATCH(ROWS($AF$2:AF861),$AF$2:$AF$1001,0),MATCH(COLUMNS($AM$1006:AR1006),$AM$1006:$BM$1006,0)), HYPERLINK("#",""), HYPERLINK(CONCATENATE("#metadata!", ADDRESS(INDEX($AH$2:$AH$1001,MATCH(ROWS($AF$2:AF861),$AF$2:$AF$1001,0),0), INDEX($AM$1004:$BM$1004,1,MATCH(COLUMNS($AM$1006:AR1006),$AM$1006:$BM$1006,0)))),"Fix")))</f>
        <v xml:space="preserve"> </v>
      </c>
      <c r="H861" s="4" t="str">
        <f ca="1">IF(OR(INDEX($AG$2:$AG$1001,MATCH(ROWS($AF$2:AF861),$AF$2:$AF$1001,0),1)&gt;=100000,INDEX($AM$1005:$BM$1005,1,MATCH(COLUMNS($AM$1006:AS1006),$AM$1006:$BM$1006,0))&gt;=100000), " ",IF(INDEX($AM$2:$BM$1001,MATCH(ROWS($AF$2:AF861),$AF$2:$AF$1001,0),MATCH(COLUMNS($AM$1006:AS1006),$AM$1006:$BM$1006,0)), HYPERLINK("#",""), HYPERLINK(CONCATENATE("#metadata!", ADDRESS(INDEX($AH$2:$AH$1001,MATCH(ROWS($AF$2:AF861),$AF$2:$AF$1001,0),0), INDEX($AM$1004:$BM$1004,1,MATCH(COLUMNS($AM$1006:AS1006),$AM$1006:$BM$1006,0)))),"Fix")))</f>
        <v xml:space="preserve"> </v>
      </c>
      <c r="I861" s="4" t="str">
        <f ca="1">IF(OR(INDEX($AG$2:$AG$1001,MATCH(ROWS($AF$2:AF861),$AF$2:$AF$1001,0),1)&gt;=100000,INDEX($AM$1005:$BM$1005,1,MATCH(COLUMNS($AM$1006:AT1006),$AM$1006:$BM$1006,0))&gt;=100000), " ",IF(INDEX($AM$2:$BM$1001,MATCH(ROWS($AF$2:AF861),$AF$2:$AF$1001,0),MATCH(COLUMNS($AM$1006:AT1006),$AM$1006:$BM$1006,0)), HYPERLINK("#",""), HYPERLINK(CONCATENATE("#metadata!", ADDRESS(INDEX($AH$2:$AH$1001,MATCH(ROWS($AF$2:AF861),$AF$2:$AF$1001,0),0), INDEX($AM$1004:$BM$1004,1,MATCH(COLUMNS($AM$1006:AT1006),$AM$1006:$BM$1006,0)))),"Fix")))</f>
        <v xml:space="preserve"> </v>
      </c>
      <c r="J861" s="4" t="str">
        <f ca="1">IF(OR(INDEX($AG$2:$AG$1001,MATCH(ROWS($AF$2:AF861),$AF$2:$AF$1001,0),1)&gt;=100000,INDEX($AM$1005:$BM$1005,1,MATCH(COLUMNS($AM$1006:AU1006),$AM$1006:$BM$1006,0))&gt;=100000), " ",IF(INDEX($AM$2:$BM$1001,MATCH(ROWS($AF$2:AF861),$AF$2:$AF$1001,0),MATCH(COLUMNS($AM$1006:AU1006),$AM$1006:$BM$1006,0)), HYPERLINK("#",""), HYPERLINK(CONCATENATE("#metadata!", ADDRESS(INDEX($AH$2:$AH$1001,MATCH(ROWS($AF$2:AF861),$AF$2:$AF$1001,0),0), INDEX($AM$1004:$BM$1004,1,MATCH(COLUMNS($AM$1006:AU1006),$AM$1006:$BM$1006,0)))),"Fix")))</f>
        <v xml:space="preserve"> </v>
      </c>
      <c r="K861" s="4" t="str">
        <f ca="1">IF(OR(INDEX($AG$2:$AG$1001,MATCH(ROWS($AF$2:AF861),$AF$2:$AF$1001,0),1)&gt;=100000,INDEX($AM$1005:$BM$1005,1,MATCH(COLUMNS($AM$1006:AV1006),$AM$1006:$BM$1006,0))&gt;=100000), " ",IF(INDEX($AM$2:$BM$1001,MATCH(ROWS($AF$2:AF861),$AF$2:$AF$1001,0),MATCH(COLUMNS($AM$1006:AV1006),$AM$1006:$BM$1006,0)), HYPERLINK("#",""), HYPERLINK(CONCATENATE("#metadata!", ADDRESS(INDEX($AH$2:$AH$1001,MATCH(ROWS($AF$2:AF861),$AF$2:$AF$1001,0),0), INDEX($AM$1004:$BM$1004,1,MATCH(COLUMNS($AM$1006:AV1006),$AM$1006:$BM$1006,0)))),"Fix")))</f>
        <v xml:space="preserve"> </v>
      </c>
      <c r="L861" s="4" t="str">
        <f ca="1">IF(OR(INDEX($AG$2:$AG$1001,MATCH(ROWS($AF$2:AF861),$AF$2:$AF$1001,0),1)&gt;=100000,INDEX($AM$1005:$BM$1005,1,MATCH(COLUMNS($AM$1006:AW1006),$AM$1006:$BM$1006,0))&gt;=100000), " ",IF(INDEX($AM$2:$BM$1001,MATCH(ROWS($AF$2:AF861),$AF$2:$AF$1001,0),MATCH(COLUMNS($AM$1006:AW1006),$AM$1006:$BM$1006,0)), HYPERLINK("#",""), HYPERLINK(CONCATENATE("#metadata!", ADDRESS(INDEX($AH$2:$AH$1001,MATCH(ROWS($AF$2:AF861),$AF$2:$AF$1001,0),0), INDEX($AM$1004:$BM$1004,1,MATCH(COLUMNS($AM$1006:AW1006),$AM$1006:$BM$1006,0)))),"Fix")))</f>
        <v xml:space="preserve"> </v>
      </c>
      <c r="M861" s="4" t="str">
        <f ca="1">IF(OR(INDEX($AG$2:$AG$1001,MATCH(ROWS($AF$2:AF861),$AF$2:$AF$1001,0),1)&gt;=100000,INDEX($AM$1005:$BM$1005,1,MATCH(COLUMNS($AM$1006:AX1006),$AM$1006:$BM$1006,0))&gt;=100000), " ",IF(INDEX($AM$2:$BM$1001,MATCH(ROWS($AF$2:AF861),$AF$2:$AF$1001,0),MATCH(COLUMNS($AM$1006:AX1006),$AM$1006:$BM$1006,0)), HYPERLINK("#",""), HYPERLINK(CONCATENATE("#metadata!", ADDRESS(INDEX($AH$2:$AH$1001,MATCH(ROWS($AF$2:AF861),$AF$2:$AF$1001,0),0), INDEX($AM$1004:$BM$1004,1,MATCH(COLUMNS($AM$1006:AX1006),$AM$1006:$BM$1006,0)))),"Fix")))</f>
        <v xml:space="preserve"> </v>
      </c>
      <c r="N861" s="4" t="str">
        <f ca="1">IF(OR(INDEX($AG$2:$AG$1001,MATCH(ROWS($AF$2:AF861),$AF$2:$AF$1001,0),1)&gt;=100000,INDEX($AM$1005:$BM$1005,1,MATCH(COLUMNS($AM$1006:AY1006),$AM$1006:$BM$1006,0))&gt;=100000), " ",IF(INDEX($AM$2:$BM$1001,MATCH(ROWS($AF$2:AF861),$AF$2:$AF$1001,0),MATCH(COLUMNS($AM$1006:AY1006),$AM$1006:$BM$1006,0)), HYPERLINK("#",""), HYPERLINK(CONCATENATE("#metadata!", ADDRESS(INDEX($AH$2:$AH$1001,MATCH(ROWS($AF$2:AF861),$AF$2:$AF$1001,0),0), INDEX($AM$1004:$BM$1004,1,MATCH(COLUMNS($AM$1006:AY1006),$AM$1006:$BM$1006,0)))),"Fix")))</f>
        <v xml:space="preserve"> </v>
      </c>
      <c r="O861" s="4" t="str">
        <f ca="1">IF(OR(INDEX($AG$2:$AG$1001,MATCH(ROWS($AF$2:AF861),$AF$2:$AF$1001,0),1)&gt;=100000,INDEX($AM$1005:$BM$1005,1,MATCH(COLUMNS($AM$1006:AZ1006),$AM$1006:$BM$1006,0))&gt;=100000), " ",IF(INDEX($AM$2:$BM$1001,MATCH(ROWS($AF$2:AF861),$AF$2:$AF$1001,0),MATCH(COLUMNS($AM$1006:AZ1006),$AM$1006:$BM$1006,0)), HYPERLINK("#",""), HYPERLINK(CONCATENATE("#metadata!", ADDRESS(INDEX($AH$2:$AH$1001,MATCH(ROWS($AF$2:AF861),$AF$2:$AF$1001,0),0), INDEX($AM$1004:$BM$1004,1,MATCH(COLUMNS($AM$1006:AZ1006),$AM$1006:$BM$1006,0)))),"Fix")))</f>
        <v xml:space="preserve"> </v>
      </c>
      <c r="P861" s="4" t="str">
        <f ca="1">IF(OR(INDEX($AG$2:$AG$1001,MATCH(ROWS($AF$2:AF861),$AF$2:$AF$1001,0),1)&gt;=100000,INDEX($AM$1005:$BM$1005,1,MATCH(COLUMNS($AM$1006:BA1006),$AM$1006:$BM$1006,0))&gt;=100000), " ",IF(INDEX($AM$2:$BM$1001,MATCH(ROWS($AF$2:AF861),$AF$2:$AF$1001,0),MATCH(COLUMNS($AM$1006:BA1006),$AM$1006:$BM$1006,0)), HYPERLINK("#",""), HYPERLINK(CONCATENATE("#metadata!", ADDRESS(INDEX($AH$2:$AH$1001,MATCH(ROWS($AF$2:AF861),$AF$2:$AF$1001,0),0), INDEX($AM$1004:$BM$1004,1,MATCH(COLUMNS($AM$1006:BA1006),$AM$1006:$BM$1006,0)))),"Fix")))</f>
        <v xml:space="preserve"> </v>
      </c>
      <c r="Q861" s="4" t="str">
        <f ca="1">IF(OR(INDEX($AG$2:$AG$1001,MATCH(ROWS($AF$2:AF861),$AF$2:$AF$1001,0),1)&gt;=100000,INDEX($AM$1005:$BM$1005,1,MATCH(COLUMNS($AM$1006:BB1006),$AM$1006:$BM$1006,0))&gt;=100000), " ",IF(INDEX($AM$2:$BM$1001,MATCH(ROWS($AF$2:AF861),$AF$2:$AF$1001,0),MATCH(COLUMNS($AM$1006:BB1006),$AM$1006:$BM$1006,0)), HYPERLINK("#",""), HYPERLINK(CONCATENATE("#metadata!", ADDRESS(INDEX($AH$2:$AH$1001,MATCH(ROWS($AF$2:AF861),$AF$2:$AF$1001,0),0), INDEX($AM$1004:$BM$1004,1,MATCH(COLUMNS($AM$1006:BB1006),$AM$1006:$BM$1006,0)))),"Fix")))</f>
        <v xml:space="preserve"> </v>
      </c>
      <c r="R861" s="4" t="str">
        <f ca="1">IF(OR(INDEX($AG$2:$AG$1001,MATCH(ROWS($AF$2:AF861),$AF$2:$AF$1001,0),1)&gt;=100000,INDEX($AM$1005:$BM$1005,1,MATCH(COLUMNS($AM$1006:BC1006),$AM$1006:$BM$1006,0))&gt;=100000), " ",IF(INDEX($AM$2:$BM$1001,MATCH(ROWS($AF$2:AF861),$AF$2:$AF$1001,0),MATCH(COLUMNS($AM$1006:BC1006),$AM$1006:$BM$1006,0)), HYPERLINK("#",""), HYPERLINK(CONCATENATE("#metadata!", ADDRESS(INDEX($AH$2:$AH$1001,MATCH(ROWS($AF$2:AF861),$AF$2:$AF$1001,0),0), INDEX($AM$1004:$BM$1004,1,MATCH(COLUMNS($AM$1006:BC1006),$AM$1006:$BM$1006,0)))),"Fix")))</f>
        <v xml:space="preserve"> </v>
      </c>
      <c r="S861" s="4" t="str">
        <f ca="1">IF(OR(INDEX($AG$2:$AG$1001,MATCH(ROWS($AF$2:AF861),$AF$2:$AF$1001,0),1)&gt;=100000,INDEX($AM$1005:$BM$1005,1,MATCH(COLUMNS($AM$1006:BD1006),$AM$1006:$BM$1006,0))&gt;=100000), " ",IF(INDEX($AM$2:$BM$1001,MATCH(ROWS($AF$2:AF861),$AF$2:$AF$1001,0),MATCH(COLUMNS($AM$1006:BD1006),$AM$1006:$BM$1006,0)), HYPERLINK("#",""), HYPERLINK(CONCATENATE("#metadata!", ADDRESS(INDEX($AH$2:$AH$1001,MATCH(ROWS($AF$2:AF861),$AF$2:$AF$1001,0),0), INDEX($AM$1004:$BM$1004,1,MATCH(COLUMNS($AM$1006:BD1006),$AM$1006:$BM$1006,0)))),"Fix")))</f>
        <v xml:space="preserve"> </v>
      </c>
      <c r="T861" s="4" t="str">
        <f ca="1">IF(OR(INDEX($AG$2:$AG$1001,MATCH(ROWS($AF$2:AF861),$AF$2:$AF$1001,0),1)&gt;=100000,INDEX($AM$1005:$BM$1005,1,MATCH(COLUMNS($AM$1006:BE1006),$AM$1006:$BM$1006,0))&gt;=100000), " ",IF(INDEX($AM$2:$BM$1001,MATCH(ROWS($AF$2:AF861),$AF$2:$AF$1001,0),MATCH(COLUMNS($AM$1006:BE1006),$AM$1006:$BM$1006,0)), HYPERLINK("#",""), HYPERLINK(CONCATENATE("#metadata!", ADDRESS(INDEX($AH$2:$AH$1001,MATCH(ROWS($AF$2:AF861),$AF$2:$AF$1001,0),0), INDEX($AM$1004:$BM$1004,1,MATCH(COLUMNS($AM$1006:BE1006),$AM$1006:$BM$1006,0)))),"Fix")))</f>
        <v xml:space="preserve"> </v>
      </c>
      <c r="U861" s="4" t="str">
        <f ca="1">IF(OR(INDEX($AG$2:$AG$1001,MATCH(ROWS($AF$2:AF861),$AF$2:$AF$1001,0),1)&gt;=100000,INDEX($AM$1005:$BM$1005,1,MATCH(COLUMNS($AM$1006:BF1006),$AM$1006:$BM$1006,0))&gt;=100000), " ",IF(INDEX($AM$2:$BM$1001,MATCH(ROWS($AF$2:AF861),$AF$2:$AF$1001,0),MATCH(COLUMNS($AM$1006:BF1006),$AM$1006:$BM$1006,0)), HYPERLINK("#",""), HYPERLINK(CONCATENATE("#metadata!", ADDRESS(INDEX($AH$2:$AH$1001,MATCH(ROWS($AF$2:AF861),$AF$2:$AF$1001,0),0), INDEX($AM$1004:$BM$1004,1,MATCH(COLUMNS($AM$1006:BF1006),$AM$1006:$BM$1006,0)))),"Fix")))</f>
        <v xml:space="preserve"> </v>
      </c>
      <c r="V861" s="4" t="str">
        <f ca="1">IF(OR(INDEX($AG$2:$AG$1001,MATCH(ROWS($AF$2:AF861),$AF$2:$AF$1001,0),1)&gt;=100000,INDEX($AM$1005:$BM$1005,1,MATCH(COLUMNS($AM$1006:BG1006),$AM$1006:$BM$1006,0))&gt;=100000), " ",IF(INDEX($AM$2:$BM$1001,MATCH(ROWS($AF$2:AF861),$AF$2:$AF$1001,0),MATCH(COLUMNS($AM$1006:BG1006),$AM$1006:$BM$1006,0)), HYPERLINK("#",""), HYPERLINK(CONCATENATE("#metadata!", ADDRESS(INDEX($AH$2:$AH$1001,MATCH(ROWS($AF$2:AF861),$AF$2:$AF$1001,0),0), INDEX($AM$1004:$BM$1004,1,MATCH(COLUMNS($AM$1006:BG1006),$AM$1006:$BM$1006,0)))),"Fix")))</f>
        <v xml:space="preserve"> </v>
      </c>
      <c r="W861" s="4" t="str">
        <f ca="1">IF(OR(INDEX($AG$2:$AG$1001,MATCH(ROWS($AF$2:AF861),$AF$2:$AF$1001,0),1)&gt;=100000,INDEX($AM$1005:$BM$1005,1,MATCH(COLUMNS($AM$1006:BH1006),$AM$1006:$BM$1006,0))&gt;=100000), " ",IF(INDEX($AM$2:$BM$1001,MATCH(ROWS($AF$2:AF861),$AF$2:$AF$1001,0),MATCH(COLUMNS($AM$1006:BH1006),$AM$1006:$BM$1006,0)), HYPERLINK("#",""), HYPERLINK(CONCATENATE("#metadata!", ADDRESS(INDEX($AH$2:$AH$1001,MATCH(ROWS($AF$2:AF861),$AF$2:$AF$1001,0),0), INDEX($AM$1004:$BM$1004,1,MATCH(COLUMNS($AM$1006:BH1006),$AM$1006:$BM$1006,0)))),"Fix")))</f>
        <v xml:space="preserve"> </v>
      </c>
      <c r="X861" s="4" t="str">
        <f ca="1">IF(OR(INDEX($AG$2:$AG$1001,MATCH(ROWS($AF$2:AF861),$AF$2:$AF$1001,0),1)&gt;=100000,INDEX($AM$1005:$BM$1005,1,MATCH(COLUMNS($AM$1006:BI1006),$AM$1006:$BM$1006,0))&gt;=100000), " ",IF(INDEX($AM$2:$BM$1001,MATCH(ROWS($AF$2:AF861),$AF$2:$AF$1001,0),MATCH(COLUMNS($AM$1006:BI1006),$AM$1006:$BM$1006,0)), HYPERLINK("#",""), HYPERLINK(CONCATENATE("#metadata!", ADDRESS(INDEX($AH$2:$AH$1001,MATCH(ROWS($AF$2:AF861),$AF$2:$AF$1001,0),0), INDEX($AM$1004:$BM$1004,1,MATCH(COLUMNS($AM$1006:BI1006),$AM$1006:$BM$1006,0)))),"Fix")))</f>
        <v xml:space="preserve"> </v>
      </c>
      <c r="Y861" s="4" t="str">
        <f ca="1">IF(OR(INDEX($AG$2:$AG$1001,MATCH(ROWS($AF$2:AF861),$AF$2:$AF$1001,0),1)&gt;=100000,INDEX($AM$1005:$BM$1005,1,MATCH(COLUMNS($AM$1006:BJ1006),$AM$1006:$BM$1006,0))&gt;=100000), " ",IF(INDEX($AM$2:$BM$1001,MATCH(ROWS($AF$2:AF861),$AF$2:$AF$1001,0),MATCH(COLUMNS($AM$1006:BJ1006),$AM$1006:$BM$1006,0)), HYPERLINK("#",""), HYPERLINK(CONCATENATE("#metadata!", ADDRESS(INDEX($AH$2:$AH$1001,MATCH(ROWS($AF$2:AF861),$AF$2:$AF$1001,0),0), INDEX($AM$1004:$BM$1004,1,MATCH(COLUMNS($AM$1006:BJ1006),$AM$1006:$BM$1006,0)))),"Fix")))</f>
        <v xml:space="preserve"> </v>
      </c>
      <c r="Z861" s="4" t="str">
        <f ca="1">IF(OR(INDEX($AG$2:$AG$1001,MATCH(ROWS($AF$2:AF861),$AF$2:$AF$1001,0),1)&gt;=100000,INDEX($AM$1005:$BM$1005,1,MATCH(COLUMNS($AM$1006:BK1006),$AM$1006:$BM$1006,0))&gt;=100000), " ",IF(INDEX($AM$2:$BM$1001,MATCH(ROWS($AF$2:AF861),$AF$2:$AF$1001,0),MATCH(COLUMNS($AM$1006:BK1006),$AM$1006:$BM$1006,0)), HYPERLINK("#",""), HYPERLINK(CONCATENATE("#metadata!", ADDRESS(INDEX($AH$2:$AH$1001,MATCH(ROWS($AF$2:AF861),$AF$2:$AF$1001,0),0), INDEX($AM$1004:$BM$1004,1,MATCH(COLUMNS($AM$1006:BK1006),$AM$1006:$BM$1006,0)))),"Fix")))</f>
        <v xml:space="preserve"> </v>
      </c>
      <c r="AA861" s="4" t="str">
        <f ca="1">IF(OR(INDEX($AG$2:$AG$1001,MATCH(ROWS($AF$2:AF861),$AF$2:$AF$1001,0),1)&gt;=100000,INDEX($AM$1005:$BM$1005,1,MATCH(COLUMNS($AM$1006:BL1006),$AM$1006:$BM$1006,0))&gt;=100000), " ",IF(INDEX($AM$2:$BM$1001,MATCH(ROWS($AF$2:AF861),$AF$2:$AF$1001,0),MATCH(COLUMNS($AM$1006:BL1006),$AM$1006:$BM$1006,0)), HYPERLINK("#",""), HYPERLINK(CONCATENATE("#metadata!", ADDRESS(INDEX($AH$2:$AH$1001,MATCH(ROWS($AF$2:AF861),$AF$2:$AF$1001,0),0), INDEX($AM$1004:$BM$1004,1,MATCH(COLUMNS($AM$1006:BL1006),$AM$1006:$BM$1006,0)))),"Fix")))</f>
        <v xml:space="preserve"> </v>
      </c>
      <c r="AB861" s="4" t="str">
        <f ca="1">IF(OR(INDEX($AG$2:$AG$1001,MATCH(ROWS($AF$2:AF861),$AF$2:$AF$1001,0),1)&gt;=100000,INDEX($AM$1005:$BM$1005,1,MATCH(COLUMNS($AM$1006:BM1006),$AM$1006:$BM$1006,0))&gt;=100000), " ",IF(INDEX($AM$2:$BM$1001,MATCH(ROWS($AF$2:AF861),$AF$2:$AF$1001,0),MATCH(COLUMNS($AM$1006:BM1006),$AM$1006:$BM$1006,0)), HYPERLINK("#",""), HYPERLINK(CONCATENATE("#metadata!", ADDRESS(INDEX($AH$2:$AH$1001,MATCH(ROWS($AF$2:AF861),$AF$2:$AF$1001,0),0), INDEX($AM$1004:$BM$1004,1,MATCH(COLUMNS($AM$1006:BM1006),$AM$1006:$BM$1006,0)))),"Fix")))</f>
        <v xml:space="preserve"> </v>
      </c>
      <c r="AF861">
        <v>860</v>
      </c>
      <c r="AG861">
        <v>100861</v>
      </c>
      <c r="AH861">
        <v>861</v>
      </c>
      <c r="AI861" t="b">
        <f t="shared" si="13"/>
        <v>1</v>
      </c>
      <c r="AJ861" t="b">
        <f>COUNTBLANK(metadata!B861:AB861)=COLUMNS(metadata!B861:AB861)</f>
        <v>1</v>
      </c>
      <c r="AK861" t="str">
        <v/>
      </c>
      <c r="AM861" t="b">
        <f ca="1">AND(IF(metadata!B861="",FALSE,TRUE),COUNTIF(metadata!B:B, metadata!B861) = 1,NOT(ISERROR(SUMPRODUCT(SEARCH(MID(metadata!B861,ROW(INDIRECT("1:"&amp;LEN(metadata!B861))), 1),"0123456789abcdefghijklmnopqrstuvwxyzABCDEFGHIJKLMNOPQRSTUVWXYZ.")))))</f>
        <v>0</v>
      </c>
      <c r="AN861" t="b">
        <f ca="1">OR(AND(IF(metadata!C861="",FALSE,TRUE),OR(EXACT(metadata!C861,"missing: not collected"),EXACT(metadata!C861,"missing: not provided"),EXACT(metadata!C861,"missing: restricted access"))),AND(IF(metadata!C861="",FALSE,TRUE),AND(AND(IFERROR(INT(LEFT(metadata!C861,4))&gt;1900,FALSE),IFERROR(INT(LEFT(metadata!C861,4))&lt;=YEAR(NOW()),FALSE)), OR(MID(metadata!C861,5,1)="", AND(AND(MID(metadata!C861,5,1)="-",IFERROR(INT(MID(metadata!C861,6,1))&gt;=0,FALSE),IFERROR(INT(MID(metadata!C861,6,1))&lt;=1,FALSE),NOT(MID(metadata!C861,7,1)=""),IFERROR(INT(MID(metadata!C861,6,2))&gt;=1,FALSE),IFERROR(INT(MID(metadata!C861,6,2))&lt;=12,FALSE)), OR(MID(metadata!C861,8,1)="", AND(AND(MID(metadata!C861,8,1)="-",IFERROR(INT(MID(metadata!C861,9,1))&gt;=0,FALSE),IFERROR(INT(MID(metadata!C861,9,1))&lt;=3,FALSE),NOT(MID(metadata!C861,10,1)=""),IFERROR(INT(MID(metadata!C861,9,2))&gt;=1,FALSE),IFERROR(INT(MID(metadata!C861,9,2))&lt;=31,FALSE)), OR(MID(metadata!C861,11,1)="", AND(AND(MID(metadata!C861,11,1)=" ",IFERROR(INT(MID(metadata!C861,12,1))&gt;=0,FALSE),IFERROR(INT(MID(metadata!C861,12,1))&lt;=2,FALSE),NOT(MID(metadata!C861,13,1)=""),IFERROR(INT(MID(metadata!C861,12,2))&gt;=0,FALSE),IFERROR(INT(MID(metadata!C861,12,2))&lt;=23,FALSE)), OR(MID(metadata!C861,14,1)="", AND(AND(MID(metadata!C861,14,1)=":",IFERROR(INT(MID(metadata!C861,15,1))&gt;=0,FALSE),IFERROR(INT(MID(metadata!C861,15,1))&lt;=5,FALSE),NOT(MID(metadata!C861,16,1)=""),IFERROR(INT(MID(metadata!C861,15,2))&gt;=0,FALSE),IFERROR(INT(MID(metadata!C861,15,2))&lt;=59,FALSE)), OR(MID(metadata!C861,17,1)="", AND(AND(MID(metadata!C861,17,1)=":",IFERROR(INT(MID(metadata!C861,18,1))&gt;=0,FALSE),IFERROR(INT(MID(metadata!C861,18,1))&lt;=5,FALSE),NOT(MID(metadata!C861,19,1)=""),IFERROR(INT(MID(metadata!C861,18,2))&gt;=0,FALSE),IFERROR(INT(MID(metadata!C861,18,2))&lt;=59,FALSE)), LEN(metadata!C861)&lt;=19)))))))))))))</f>
        <v>0</v>
      </c>
      <c r="AO861" t="b">
        <f>AND(IF(metadata!D861="",FALSE,TRUE),EXACT(metadata!D861,"Not applicable"))</f>
        <v>0</v>
      </c>
      <c r="AP861" t="b">
        <f>IF(metadata!E861="",FALSE,TRUE)</f>
        <v>0</v>
      </c>
      <c r="AQ861" t="b">
        <f>OR(AND(IF(metadata!F861="",FALSE,TRUE),OR(EXACT(metadata!F861,"missing: not collected"),EXACT(metadata!F861,"missing: not provided"))),AND(IF(metadata!F861="",FALSE,TRUE),OR(EXACT(metadata!F861,"TRUE"),EXACT(metadata!F861,"FALSE"))))</f>
        <v>0</v>
      </c>
      <c r="AR861" t="b">
        <f>OR(AND(IF(metadata!G861="",FALSE,TRUE),OR(EXACT(metadata!G861,"missing: not collected"),EXACT(metadata!G861,"missing: not provided"),EXACT(metadata!G861,"missing: restricted access"))),AND(IF(metadata!G861="",FALSE,ISNUMBER(VALUE(metadata!G861))),metadata!G861&gt;=-413))</f>
        <v>0</v>
      </c>
      <c r="AS861" t="b">
        <f>AND(IF(metadata!H861="",FALSE,TRUE),EXACT(metadata!H861,"meters"))</f>
        <v>0</v>
      </c>
      <c r="AT861" t="b">
        <f>AND(IF(metadata!I861="",FALSE,TRUE),OR(EXACT(metadata!I861,"Host-associated"),EXACT(metadata!I861,"Free-living")))</f>
        <v>0</v>
      </c>
      <c r="AU861" t="b">
        <f>AND(IF(metadata!J861="",FALSE,TRUE),OR(EXACT(metadata!J861,"Animal"),EXACT(metadata!J861,"Fungus"),EXACT(metadata!J861,"Plant"),EXACT(metadata!J861,"Saline"),EXACT(metadata!J861,"Non-saline")))</f>
        <v>0</v>
      </c>
      <c r="AV861" t="b">
        <f>AND(IF(metadata!K861="",FALSE,TRUE),OR(EXACT(metadata!K861,"Plant secretion"),EXACT(metadata!K861,"Plant rhizosphere"),EXACT(metadata!K861,"Plant surface"),EXACT(metadata!K861,"Plant corpus"),EXACT(metadata!K861,"Fungus surface"),EXACT(metadata!K861,"Fungus corpus"),EXACT(metadata!K861,"Animal surface"),EXACT(metadata!K861,"Animal proximal gut"),EXACT(metadata!K861,"Animal corpus"),EXACT(metadata!K861,"Animal distal gut"),EXACT(metadata!K861,"Animal secretion"),EXACT(metadata!K861,"Sub-surface (non-saline)"),EXACT(metadata!K861,"Surface (non-saline)"),EXACT(metadata!K861,"Water (non-saline)"),EXACT(metadata!K861,"Soil (non-saline)"),EXACT(metadata!K861,"Aerosol (non-saline)"),EXACT(metadata!K861,"Sediment (non-saline)"),EXACT(metadata!K861,"Surface (saline)"),EXACT(metadata!K861,"Water (saline)"),EXACT(metadata!K861,"Hypersaline (saline)"),EXACT(metadata!K861,"Aerosol (saline)"),EXACT(metadata!K861,"Sediment (saline)")))</f>
        <v>0</v>
      </c>
      <c r="AW861" t="b">
        <f>IF(metadata!L861="",FALSE,TRUE)</f>
        <v>0</v>
      </c>
      <c r="AX861" t="b">
        <f>IF(metadata!M861="",FALSE,TRUE)</f>
        <v>0</v>
      </c>
      <c r="AY861" t="b">
        <f>IF(metadata!N861="",FALSE,TRUE)</f>
        <v>0</v>
      </c>
      <c r="AZ861" t="b">
        <f>OR(AND(IF(metadata!O861="",FALSE,TRUE),OR(EXACT(metadata!O861,"missing: not collected"),EXACT(metadata!O861,"missing: not provided"),EXACT(metadata!O861,"missing: restricted access"))),AND(IF(metadata!O861="",FALSE,TRUE),OR(EXACT(metadata!O861,"air"),EXACT(metadata!O861,"built environment"),EXACT(metadata!O861,"host-associated"),EXACT(metadata!O861,"human-associated"),EXACT(metadata!O861,"human-skin"),EXACT(metadata!O861,"human-oral"),EXACT(metadata!O861,"human-gut"),EXACT(metadata!O861,"human-vaginal"),EXACT(metadata!O861,"microbial mat/biofilm"),EXACT(metadata!O861,"misc environment"),EXACT(metadata!O861,"plant-associated"),EXACT(metadata!O861,"sediment"),EXACT(metadata!O861,"soil"),EXACT(metadata!O861,"wastewater/sludge"),EXACT(metadata!O861,"water"))))</f>
        <v>0</v>
      </c>
      <c r="BA861" t="b">
        <f>IF(metadata!P861="",FALSE,TRUE)</f>
        <v>0</v>
      </c>
      <c r="BB861" t="b">
        <f>IF(metadata!Q861="",FALSE,TRUE)</f>
        <v>0</v>
      </c>
      <c r="BC861" t="b">
        <f>OR(AND(IF(metadata!R861="",FALSE,TRUE),OR(EXACT(metadata!R861,"missing: not collected"),EXACT(metadata!R861,"missing: not provided"),EXACT(metadata!R861,"missing: restricted access"))),AND(IF(metadata!R861="",FALSE,ISNUMBER(VALUE(metadata!R861))),metadata!R861&gt;=-90,metadata!R861&lt;=90))</f>
        <v>0</v>
      </c>
      <c r="BD861" t="b">
        <f>AND(IF(metadata!S861="",FALSE,TRUE),EXACT(metadata!S861,"Decimal degrees"))</f>
        <v>0</v>
      </c>
      <c r="BE861" t="b">
        <f>OR(AND(IF(metadata!T861="",FALSE,TRUE),OR(EXACT(metadata!T861,"missing: not collected"),EXACT(metadata!T861,"missing: not provided"),EXACT(metadata!T861,"missing: restricted access"))),AND(IF(metadata!T861="",FALSE,ISNUMBER(VALUE(metadata!T861))),metadata!T861&gt;=-180,metadata!T861&lt;=180))</f>
        <v>0</v>
      </c>
      <c r="BF861" t="b">
        <f>AND(IF(metadata!U861="",FALSE,TRUE),EXACT(metadata!U861,"Decimal degrees"))</f>
        <v>0</v>
      </c>
      <c r="BG861" t="b">
        <f>IF(metadata!V861="",FALSE,TRUE)</f>
        <v>0</v>
      </c>
      <c r="BH861" t="b">
        <f>OR(AND(IF(metadata!W861="",FALSE,TRUE),OR(EXACT(metadata!W861,"missing: not collected"),EXACT(metadata!W861,"missing: not provided"),EXACT(metadata!W861,"missing: restricted access"))),AND(IF(metadata!W861="",FALSE,TRUE),OR(EXACT(metadata!W861,"TRUE"),EXACT(metadata!W861,"FALSE"))))</f>
        <v>0</v>
      </c>
      <c r="BI861" t="b">
        <f>AND(IF(metadata!X861="",FALSE,TRUE),EXACT(metadata!X861,"other"))</f>
        <v>0</v>
      </c>
      <c r="BJ861" t="b">
        <f>IF(metadata!Y861="",FALSE,TRUE)</f>
        <v>0</v>
      </c>
      <c r="BK861" t="b">
        <f>OR(AND(IF(metadata!Z861="",FALSE,TRUE),OR(EXACT(metadata!Z861,"missing: not collected"),EXACT(metadata!Z861,"missing: not provided"))),AND(IF(metadata!Z861="",FALSE,IF(ISERROR(INT(metadata!Z861)),FALSE,INT(metadata!Z861)=metadata!Z861)),metadata!Z861&gt;0))</f>
        <v>0</v>
      </c>
      <c r="BL861" t="b">
        <f>AND(IF(metadata!AA861="",FALSE,TRUE),EXACT(metadata!AA861,"Not applicable"))</f>
        <v>0</v>
      </c>
      <c r="BM861" t="b">
        <f>IF(metadata!AB861="",FALSE,TRUE)</f>
        <v>0</v>
      </c>
    </row>
    <row r="862" spans="1:65" x14ac:dyDescent="0.2">
      <c r="A862" s="5" t="str">
        <f ca="1">IF(B862=" "," ",HYPERLINK(CONCATENATE("#metadata!",ADDRESS(INDEX($AH$2:$AH$1001,MATCH(ROWS($AF$2:AF862),$AF$2:$AF$1001,0),0),1)),INDEX($AK$2:$AK$1001,MATCH(ROWS($AF$2:AF862),$AF$2:$AF$1001,0),0)))</f>
        <v xml:space="preserve"> </v>
      </c>
      <c r="B862" s="4" t="str">
        <f ca="1">IF(OR(INDEX($AG$2:$AG$1001,MATCH(ROWS($AF$2:AF862),$AF$2:$AF$1001,0),1)&gt;=100000,INDEX($AM$1005:$BM$1005,1,MATCH(COLUMNS($AM$1006:AM1006),$AM$1006:$BM$1006,0))&gt;=100000), " ",IF(INDEX($AM$2:$BM$1001,MATCH(ROWS($AF$2:AF862),$AF$2:$AF$1001,0),MATCH(COLUMNS($AM$1006:AM1006),$AM$1006:$BM$1006,0)), HYPERLINK("#",""), HYPERLINK(CONCATENATE("#metadata!", ADDRESS(INDEX($AH$2:$AH$1001,MATCH(ROWS($AF$2:AF862),$AF$2:$AF$1001,0),0), INDEX($AM$1004:$BM$1004,1,MATCH(COLUMNS($AM$1006:AM1006),$AM$1006:$BM$1006,0)))),"Fix")))</f>
        <v xml:space="preserve"> </v>
      </c>
      <c r="C862" s="4" t="str">
        <f ca="1">IF(OR(INDEX($AG$2:$AG$1001,MATCH(ROWS($AF$2:AF862),$AF$2:$AF$1001,0),1)&gt;=100000,INDEX($AM$1005:$BM$1005,1,MATCH(COLUMNS($AM$1006:AN1006),$AM$1006:$BM$1006,0))&gt;=100000), " ",IF(INDEX($AM$2:$BM$1001,MATCH(ROWS($AF$2:AF862),$AF$2:$AF$1001,0),MATCH(COLUMNS($AM$1006:AN1006),$AM$1006:$BM$1006,0)), HYPERLINK("#",""), HYPERLINK(CONCATENATE("#metadata!", ADDRESS(INDEX($AH$2:$AH$1001,MATCH(ROWS($AF$2:AF862),$AF$2:$AF$1001,0),0), INDEX($AM$1004:$BM$1004,1,MATCH(COLUMNS($AM$1006:AN1006),$AM$1006:$BM$1006,0)))),"Fix")))</f>
        <v xml:space="preserve"> </v>
      </c>
      <c r="D862" s="4" t="str">
        <f ca="1">IF(OR(INDEX($AG$2:$AG$1001,MATCH(ROWS($AF$2:AF862),$AF$2:$AF$1001,0),1)&gt;=100000,INDEX($AM$1005:$BM$1005,1,MATCH(COLUMNS($AM$1006:AO1006),$AM$1006:$BM$1006,0))&gt;=100000), " ",IF(INDEX($AM$2:$BM$1001,MATCH(ROWS($AF$2:AF862),$AF$2:$AF$1001,0),MATCH(COLUMNS($AM$1006:AO1006),$AM$1006:$BM$1006,0)), HYPERLINK("#",""), HYPERLINK(CONCATENATE("#metadata!", ADDRESS(INDEX($AH$2:$AH$1001,MATCH(ROWS($AF$2:AF862),$AF$2:$AF$1001,0),0), INDEX($AM$1004:$BM$1004,1,MATCH(COLUMNS($AM$1006:AO1006),$AM$1006:$BM$1006,0)))),"Fix")))</f>
        <v xml:space="preserve"> </v>
      </c>
      <c r="E862" s="4" t="str">
        <f ca="1">IF(OR(INDEX($AG$2:$AG$1001,MATCH(ROWS($AF$2:AF862),$AF$2:$AF$1001,0),1)&gt;=100000,INDEX($AM$1005:$BM$1005,1,MATCH(COLUMNS($AM$1006:AP1006),$AM$1006:$BM$1006,0))&gt;=100000), " ",IF(INDEX($AM$2:$BM$1001,MATCH(ROWS($AF$2:AF862),$AF$2:$AF$1001,0),MATCH(COLUMNS($AM$1006:AP1006),$AM$1006:$BM$1006,0)), HYPERLINK("#",""), HYPERLINK(CONCATENATE("#metadata!", ADDRESS(INDEX($AH$2:$AH$1001,MATCH(ROWS($AF$2:AF862),$AF$2:$AF$1001,0),0), INDEX($AM$1004:$BM$1004,1,MATCH(COLUMNS($AM$1006:AP1006),$AM$1006:$BM$1006,0)))),"Fix")))</f>
        <v xml:space="preserve"> </v>
      </c>
      <c r="F862" s="4" t="str">
        <f ca="1">IF(OR(INDEX($AG$2:$AG$1001,MATCH(ROWS($AF$2:AF862),$AF$2:$AF$1001,0),1)&gt;=100000,INDEX($AM$1005:$BM$1005,1,MATCH(COLUMNS($AM$1006:AQ1006),$AM$1006:$BM$1006,0))&gt;=100000), " ",IF(INDEX($AM$2:$BM$1001,MATCH(ROWS($AF$2:AF862),$AF$2:$AF$1001,0),MATCH(COLUMNS($AM$1006:AQ1006),$AM$1006:$BM$1006,0)), HYPERLINK("#",""), HYPERLINK(CONCATENATE("#metadata!", ADDRESS(INDEX($AH$2:$AH$1001,MATCH(ROWS($AF$2:AF862),$AF$2:$AF$1001,0),0), INDEX($AM$1004:$BM$1004,1,MATCH(COLUMNS($AM$1006:AQ1006),$AM$1006:$BM$1006,0)))),"Fix")))</f>
        <v xml:space="preserve"> </v>
      </c>
      <c r="G862" s="4" t="str">
        <f ca="1">IF(OR(INDEX($AG$2:$AG$1001,MATCH(ROWS($AF$2:AF862),$AF$2:$AF$1001,0),1)&gt;=100000,INDEX($AM$1005:$BM$1005,1,MATCH(COLUMNS($AM$1006:AR1006),$AM$1006:$BM$1006,0))&gt;=100000), " ",IF(INDEX($AM$2:$BM$1001,MATCH(ROWS($AF$2:AF862),$AF$2:$AF$1001,0),MATCH(COLUMNS($AM$1006:AR1006),$AM$1006:$BM$1006,0)), HYPERLINK("#",""), HYPERLINK(CONCATENATE("#metadata!", ADDRESS(INDEX($AH$2:$AH$1001,MATCH(ROWS($AF$2:AF862),$AF$2:$AF$1001,0),0), INDEX($AM$1004:$BM$1004,1,MATCH(COLUMNS($AM$1006:AR1006),$AM$1006:$BM$1006,0)))),"Fix")))</f>
        <v xml:space="preserve"> </v>
      </c>
      <c r="H862" s="4" t="str">
        <f ca="1">IF(OR(INDEX($AG$2:$AG$1001,MATCH(ROWS($AF$2:AF862),$AF$2:$AF$1001,0),1)&gt;=100000,INDEX($AM$1005:$BM$1005,1,MATCH(COLUMNS($AM$1006:AS1006),$AM$1006:$BM$1006,0))&gt;=100000), " ",IF(INDEX($AM$2:$BM$1001,MATCH(ROWS($AF$2:AF862),$AF$2:$AF$1001,0),MATCH(COLUMNS($AM$1006:AS1006),$AM$1006:$BM$1006,0)), HYPERLINK("#",""), HYPERLINK(CONCATENATE("#metadata!", ADDRESS(INDEX($AH$2:$AH$1001,MATCH(ROWS($AF$2:AF862),$AF$2:$AF$1001,0),0), INDEX($AM$1004:$BM$1004,1,MATCH(COLUMNS($AM$1006:AS1006),$AM$1006:$BM$1006,0)))),"Fix")))</f>
        <v xml:space="preserve"> </v>
      </c>
      <c r="I862" s="4" t="str">
        <f ca="1">IF(OR(INDEX($AG$2:$AG$1001,MATCH(ROWS($AF$2:AF862),$AF$2:$AF$1001,0),1)&gt;=100000,INDEX($AM$1005:$BM$1005,1,MATCH(COLUMNS($AM$1006:AT1006),$AM$1006:$BM$1006,0))&gt;=100000), " ",IF(INDEX($AM$2:$BM$1001,MATCH(ROWS($AF$2:AF862),$AF$2:$AF$1001,0),MATCH(COLUMNS($AM$1006:AT1006),$AM$1006:$BM$1006,0)), HYPERLINK("#",""), HYPERLINK(CONCATENATE("#metadata!", ADDRESS(INDEX($AH$2:$AH$1001,MATCH(ROWS($AF$2:AF862),$AF$2:$AF$1001,0),0), INDEX($AM$1004:$BM$1004,1,MATCH(COLUMNS($AM$1006:AT1006),$AM$1006:$BM$1006,0)))),"Fix")))</f>
        <v xml:space="preserve"> </v>
      </c>
      <c r="J862" s="4" t="str">
        <f ca="1">IF(OR(INDEX($AG$2:$AG$1001,MATCH(ROWS($AF$2:AF862),$AF$2:$AF$1001,0),1)&gt;=100000,INDEX($AM$1005:$BM$1005,1,MATCH(COLUMNS($AM$1006:AU1006),$AM$1006:$BM$1006,0))&gt;=100000), " ",IF(INDEX($AM$2:$BM$1001,MATCH(ROWS($AF$2:AF862),$AF$2:$AF$1001,0),MATCH(COLUMNS($AM$1006:AU1006),$AM$1006:$BM$1006,0)), HYPERLINK("#",""), HYPERLINK(CONCATENATE("#metadata!", ADDRESS(INDEX($AH$2:$AH$1001,MATCH(ROWS($AF$2:AF862),$AF$2:$AF$1001,0),0), INDEX($AM$1004:$BM$1004,1,MATCH(COLUMNS($AM$1006:AU1006),$AM$1006:$BM$1006,0)))),"Fix")))</f>
        <v xml:space="preserve"> </v>
      </c>
      <c r="K862" s="4" t="str">
        <f ca="1">IF(OR(INDEX($AG$2:$AG$1001,MATCH(ROWS($AF$2:AF862),$AF$2:$AF$1001,0),1)&gt;=100000,INDEX($AM$1005:$BM$1005,1,MATCH(COLUMNS($AM$1006:AV1006),$AM$1006:$BM$1006,0))&gt;=100000), " ",IF(INDEX($AM$2:$BM$1001,MATCH(ROWS($AF$2:AF862),$AF$2:$AF$1001,0),MATCH(COLUMNS($AM$1006:AV1006),$AM$1006:$BM$1006,0)), HYPERLINK("#",""), HYPERLINK(CONCATENATE("#metadata!", ADDRESS(INDEX($AH$2:$AH$1001,MATCH(ROWS($AF$2:AF862),$AF$2:$AF$1001,0),0), INDEX($AM$1004:$BM$1004,1,MATCH(COLUMNS($AM$1006:AV1006),$AM$1006:$BM$1006,0)))),"Fix")))</f>
        <v xml:space="preserve"> </v>
      </c>
      <c r="L862" s="4" t="str">
        <f ca="1">IF(OR(INDEX($AG$2:$AG$1001,MATCH(ROWS($AF$2:AF862),$AF$2:$AF$1001,0),1)&gt;=100000,INDEX($AM$1005:$BM$1005,1,MATCH(COLUMNS($AM$1006:AW1006),$AM$1006:$BM$1006,0))&gt;=100000), " ",IF(INDEX($AM$2:$BM$1001,MATCH(ROWS($AF$2:AF862),$AF$2:$AF$1001,0),MATCH(COLUMNS($AM$1006:AW1006),$AM$1006:$BM$1006,0)), HYPERLINK("#",""), HYPERLINK(CONCATENATE("#metadata!", ADDRESS(INDEX($AH$2:$AH$1001,MATCH(ROWS($AF$2:AF862),$AF$2:$AF$1001,0),0), INDEX($AM$1004:$BM$1004,1,MATCH(COLUMNS($AM$1006:AW1006),$AM$1006:$BM$1006,0)))),"Fix")))</f>
        <v xml:space="preserve"> </v>
      </c>
      <c r="M862" s="4" t="str">
        <f ca="1">IF(OR(INDEX($AG$2:$AG$1001,MATCH(ROWS($AF$2:AF862),$AF$2:$AF$1001,0),1)&gt;=100000,INDEX($AM$1005:$BM$1005,1,MATCH(COLUMNS($AM$1006:AX1006),$AM$1006:$BM$1006,0))&gt;=100000), " ",IF(INDEX($AM$2:$BM$1001,MATCH(ROWS($AF$2:AF862),$AF$2:$AF$1001,0),MATCH(COLUMNS($AM$1006:AX1006),$AM$1006:$BM$1006,0)), HYPERLINK("#",""), HYPERLINK(CONCATENATE("#metadata!", ADDRESS(INDEX($AH$2:$AH$1001,MATCH(ROWS($AF$2:AF862),$AF$2:$AF$1001,0),0), INDEX($AM$1004:$BM$1004,1,MATCH(COLUMNS($AM$1006:AX1006),$AM$1006:$BM$1006,0)))),"Fix")))</f>
        <v xml:space="preserve"> </v>
      </c>
      <c r="N862" s="4" t="str">
        <f ca="1">IF(OR(INDEX($AG$2:$AG$1001,MATCH(ROWS($AF$2:AF862),$AF$2:$AF$1001,0),1)&gt;=100000,INDEX($AM$1005:$BM$1005,1,MATCH(COLUMNS($AM$1006:AY1006),$AM$1006:$BM$1006,0))&gt;=100000), " ",IF(INDEX($AM$2:$BM$1001,MATCH(ROWS($AF$2:AF862),$AF$2:$AF$1001,0),MATCH(COLUMNS($AM$1006:AY1006),$AM$1006:$BM$1006,0)), HYPERLINK("#",""), HYPERLINK(CONCATENATE("#metadata!", ADDRESS(INDEX($AH$2:$AH$1001,MATCH(ROWS($AF$2:AF862),$AF$2:$AF$1001,0),0), INDEX($AM$1004:$BM$1004,1,MATCH(COLUMNS($AM$1006:AY1006),$AM$1006:$BM$1006,0)))),"Fix")))</f>
        <v xml:space="preserve"> </v>
      </c>
      <c r="O862" s="4" t="str">
        <f ca="1">IF(OR(INDEX($AG$2:$AG$1001,MATCH(ROWS($AF$2:AF862),$AF$2:$AF$1001,0),1)&gt;=100000,INDEX($AM$1005:$BM$1005,1,MATCH(COLUMNS($AM$1006:AZ1006),$AM$1006:$BM$1006,0))&gt;=100000), " ",IF(INDEX($AM$2:$BM$1001,MATCH(ROWS($AF$2:AF862),$AF$2:$AF$1001,0),MATCH(COLUMNS($AM$1006:AZ1006),$AM$1006:$BM$1006,0)), HYPERLINK("#",""), HYPERLINK(CONCATENATE("#metadata!", ADDRESS(INDEX($AH$2:$AH$1001,MATCH(ROWS($AF$2:AF862),$AF$2:$AF$1001,0),0), INDEX($AM$1004:$BM$1004,1,MATCH(COLUMNS($AM$1006:AZ1006),$AM$1006:$BM$1006,0)))),"Fix")))</f>
        <v xml:space="preserve"> </v>
      </c>
      <c r="P862" s="4" t="str">
        <f ca="1">IF(OR(INDEX($AG$2:$AG$1001,MATCH(ROWS($AF$2:AF862),$AF$2:$AF$1001,0),1)&gt;=100000,INDEX($AM$1005:$BM$1005,1,MATCH(COLUMNS($AM$1006:BA1006),$AM$1006:$BM$1006,0))&gt;=100000), " ",IF(INDEX($AM$2:$BM$1001,MATCH(ROWS($AF$2:AF862),$AF$2:$AF$1001,0),MATCH(COLUMNS($AM$1006:BA1006),$AM$1006:$BM$1006,0)), HYPERLINK("#",""), HYPERLINK(CONCATENATE("#metadata!", ADDRESS(INDEX($AH$2:$AH$1001,MATCH(ROWS($AF$2:AF862),$AF$2:$AF$1001,0),0), INDEX($AM$1004:$BM$1004,1,MATCH(COLUMNS($AM$1006:BA1006),$AM$1006:$BM$1006,0)))),"Fix")))</f>
        <v xml:space="preserve"> </v>
      </c>
      <c r="Q862" s="4" t="str">
        <f ca="1">IF(OR(INDEX($AG$2:$AG$1001,MATCH(ROWS($AF$2:AF862),$AF$2:$AF$1001,0),1)&gt;=100000,INDEX($AM$1005:$BM$1005,1,MATCH(COLUMNS($AM$1006:BB1006),$AM$1006:$BM$1006,0))&gt;=100000), " ",IF(INDEX($AM$2:$BM$1001,MATCH(ROWS($AF$2:AF862),$AF$2:$AF$1001,0),MATCH(COLUMNS($AM$1006:BB1006),$AM$1006:$BM$1006,0)), HYPERLINK("#",""), HYPERLINK(CONCATENATE("#metadata!", ADDRESS(INDEX($AH$2:$AH$1001,MATCH(ROWS($AF$2:AF862),$AF$2:$AF$1001,0),0), INDEX($AM$1004:$BM$1004,1,MATCH(COLUMNS($AM$1006:BB1006),$AM$1006:$BM$1006,0)))),"Fix")))</f>
        <v xml:space="preserve"> </v>
      </c>
      <c r="R862" s="4" t="str">
        <f ca="1">IF(OR(INDEX($AG$2:$AG$1001,MATCH(ROWS($AF$2:AF862),$AF$2:$AF$1001,0),1)&gt;=100000,INDEX($AM$1005:$BM$1005,1,MATCH(COLUMNS($AM$1006:BC1006),$AM$1006:$BM$1006,0))&gt;=100000), " ",IF(INDEX($AM$2:$BM$1001,MATCH(ROWS($AF$2:AF862),$AF$2:$AF$1001,0),MATCH(COLUMNS($AM$1006:BC1006),$AM$1006:$BM$1006,0)), HYPERLINK("#",""), HYPERLINK(CONCATENATE("#metadata!", ADDRESS(INDEX($AH$2:$AH$1001,MATCH(ROWS($AF$2:AF862),$AF$2:$AF$1001,0),0), INDEX($AM$1004:$BM$1004,1,MATCH(COLUMNS($AM$1006:BC1006),$AM$1006:$BM$1006,0)))),"Fix")))</f>
        <v xml:space="preserve"> </v>
      </c>
      <c r="S862" s="4" t="str">
        <f ca="1">IF(OR(INDEX($AG$2:$AG$1001,MATCH(ROWS($AF$2:AF862),$AF$2:$AF$1001,0),1)&gt;=100000,INDEX($AM$1005:$BM$1005,1,MATCH(COLUMNS($AM$1006:BD1006),$AM$1006:$BM$1006,0))&gt;=100000), " ",IF(INDEX($AM$2:$BM$1001,MATCH(ROWS($AF$2:AF862),$AF$2:$AF$1001,0),MATCH(COLUMNS($AM$1006:BD1006),$AM$1006:$BM$1006,0)), HYPERLINK("#",""), HYPERLINK(CONCATENATE("#metadata!", ADDRESS(INDEX($AH$2:$AH$1001,MATCH(ROWS($AF$2:AF862),$AF$2:$AF$1001,0),0), INDEX($AM$1004:$BM$1004,1,MATCH(COLUMNS($AM$1006:BD1006),$AM$1006:$BM$1006,0)))),"Fix")))</f>
        <v xml:space="preserve"> </v>
      </c>
      <c r="T862" s="4" t="str">
        <f ca="1">IF(OR(INDEX($AG$2:$AG$1001,MATCH(ROWS($AF$2:AF862),$AF$2:$AF$1001,0),1)&gt;=100000,INDEX($AM$1005:$BM$1005,1,MATCH(COLUMNS($AM$1006:BE1006),$AM$1006:$BM$1006,0))&gt;=100000), " ",IF(INDEX($AM$2:$BM$1001,MATCH(ROWS($AF$2:AF862),$AF$2:$AF$1001,0),MATCH(COLUMNS($AM$1006:BE1006),$AM$1006:$BM$1006,0)), HYPERLINK("#",""), HYPERLINK(CONCATENATE("#metadata!", ADDRESS(INDEX($AH$2:$AH$1001,MATCH(ROWS($AF$2:AF862),$AF$2:$AF$1001,0),0), INDEX($AM$1004:$BM$1004,1,MATCH(COLUMNS($AM$1006:BE1006),$AM$1006:$BM$1006,0)))),"Fix")))</f>
        <v xml:space="preserve"> </v>
      </c>
      <c r="U862" s="4" t="str">
        <f ca="1">IF(OR(INDEX($AG$2:$AG$1001,MATCH(ROWS($AF$2:AF862),$AF$2:$AF$1001,0),1)&gt;=100000,INDEX($AM$1005:$BM$1005,1,MATCH(COLUMNS($AM$1006:BF1006),$AM$1006:$BM$1006,0))&gt;=100000), " ",IF(INDEX($AM$2:$BM$1001,MATCH(ROWS($AF$2:AF862),$AF$2:$AF$1001,0),MATCH(COLUMNS($AM$1006:BF1006),$AM$1006:$BM$1006,0)), HYPERLINK("#",""), HYPERLINK(CONCATENATE("#metadata!", ADDRESS(INDEX($AH$2:$AH$1001,MATCH(ROWS($AF$2:AF862),$AF$2:$AF$1001,0),0), INDEX($AM$1004:$BM$1004,1,MATCH(COLUMNS($AM$1006:BF1006),$AM$1006:$BM$1006,0)))),"Fix")))</f>
        <v xml:space="preserve"> </v>
      </c>
      <c r="V862" s="4" t="str">
        <f ca="1">IF(OR(INDEX($AG$2:$AG$1001,MATCH(ROWS($AF$2:AF862),$AF$2:$AF$1001,0),1)&gt;=100000,INDEX($AM$1005:$BM$1005,1,MATCH(COLUMNS($AM$1006:BG1006),$AM$1006:$BM$1006,0))&gt;=100000), " ",IF(INDEX($AM$2:$BM$1001,MATCH(ROWS($AF$2:AF862),$AF$2:$AF$1001,0),MATCH(COLUMNS($AM$1006:BG1006),$AM$1006:$BM$1006,0)), HYPERLINK("#",""), HYPERLINK(CONCATENATE("#metadata!", ADDRESS(INDEX($AH$2:$AH$1001,MATCH(ROWS($AF$2:AF862),$AF$2:$AF$1001,0),0), INDEX($AM$1004:$BM$1004,1,MATCH(COLUMNS($AM$1006:BG1006),$AM$1006:$BM$1006,0)))),"Fix")))</f>
        <v xml:space="preserve"> </v>
      </c>
      <c r="W862" s="4" t="str">
        <f ca="1">IF(OR(INDEX($AG$2:$AG$1001,MATCH(ROWS($AF$2:AF862),$AF$2:$AF$1001,0),1)&gt;=100000,INDEX($AM$1005:$BM$1005,1,MATCH(COLUMNS($AM$1006:BH1006),$AM$1006:$BM$1006,0))&gt;=100000), " ",IF(INDEX($AM$2:$BM$1001,MATCH(ROWS($AF$2:AF862),$AF$2:$AF$1001,0),MATCH(COLUMNS($AM$1006:BH1006),$AM$1006:$BM$1006,0)), HYPERLINK("#",""), HYPERLINK(CONCATENATE("#metadata!", ADDRESS(INDEX($AH$2:$AH$1001,MATCH(ROWS($AF$2:AF862),$AF$2:$AF$1001,0),0), INDEX($AM$1004:$BM$1004,1,MATCH(COLUMNS($AM$1006:BH1006),$AM$1006:$BM$1006,0)))),"Fix")))</f>
        <v xml:space="preserve"> </v>
      </c>
      <c r="X862" s="4" t="str">
        <f ca="1">IF(OR(INDEX($AG$2:$AG$1001,MATCH(ROWS($AF$2:AF862),$AF$2:$AF$1001,0),1)&gt;=100000,INDEX($AM$1005:$BM$1005,1,MATCH(COLUMNS($AM$1006:BI1006),$AM$1006:$BM$1006,0))&gt;=100000), " ",IF(INDEX($AM$2:$BM$1001,MATCH(ROWS($AF$2:AF862),$AF$2:$AF$1001,0),MATCH(COLUMNS($AM$1006:BI1006),$AM$1006:$BM$1006,0)), HYPERLINK("#",""), HYPERLINK(CONCATENATE("#metadata!", ADDRESS(INDEX($AH$2:$AH$1001,MATCH(ROWS($AF$2:AF862),$AF$2:$AF$1001,0),0), INDEX($AM$1004:$BM$1004,1,MATCH(COLUMNS($AM$1006:BI1006),$AM$1006:$BM$1006,0)))),"Fix")))</f>
        <v xml:space="preserve"> </v>
      </c>
      <c r="Y862" s="4" t="str">
        <f ca="1">IF(OR(INDEX($AG$2:$AG$1001,MATCH(ROWS($AF$2:AF862),$AF$2:$AF$1001,0),1)&gt;=100000,INDEX($AM$1005:$BM$1005,1,MATCH(COLUMNS($AM$1006:BJ1006),$AM$1006:$BM$1006,0))&gt;=100000), " ",IF(INDEX($AM$2:$BM$1001,MATCH(ROWS($AF$2:AF862),$AF$2:$AF$1001,0),MATCH(COLUMNS($AM$1006:BJ1006),$AM$1006:$BM$1006,0)), HYPERLINK("#",""), HYPERLINK(CONCATENATE("#metadata!", ADDRESS(INDEX($AH$2:$AH$1001,MATCH(ROWS($AF$2:AF862),$AF$2:$AF$1001,0),0), INDEX($AM$1004:$BM$1004,1,MATCH(COLUMNS($AM$1006:BJ1006),$AM$1006:$BM$1006,0)))),"Fix")))</f>
        <v xml:space="preserve"> </v>
      </c>
      <c r="Z862" s="4" t="str">
        <f ca="1">IF(OR(INDEX($AG$2:$AG$1001,MATCH(ROWS($AF$2:AF862),$AF$2:$AF$1001,0),1)&gt;=100000,INDEX($AM$1005:$BM$1005,1,MATCH(COLUMNS($AM$1006:BK1006),$AM$1006:$BM$1006,0))&gt;=100000), " ",IF(INDEX($AM$2:$BM$1001,MATCH(ROWS($AF$2:AF862),$AF$2:$AF$1001,0),MATCH(COLUMNS($AM$1006:BK1006),$AM$1006:$BM$1006,0)), HYPERLINK("#",""), HYPERLINK(CONCATENATE("#metadata!", ADDRESS(INDEX($AH$2:$AH$1001,MATCH(ROWS($AF$2:AF862),$AF$2:$AF$1001,0),0), INDEX($AM$1004:$BM$1004,1,MATCH(COLUMNS($AM$1006:BK1006),$AM$1006:$BM$1006,0)))),"Fix")))</f>
        <v xml:space="preserve"> </v>
      </c>
      <c r="AA862" s="4" t="str">
        <f ca="1">IF(OR(INDEX($AG$2:$AG$1001,MATCH(ROWS($AF$2:AF862),$AF$2:$AF$1001,0),1)&gt;=100000,INDEX($AM$1005:$BM$1005,1,MATCH(COLUMNS($AM$1006:BL1006),$AM$1006:$BM$1006,0))&gt;=100000), " ",IF(INDEX($AM$2:$BM$1001,MATCH(ROWS($AF$2:AF862),$AF$2:$AF$1001,0),MATCH(COLUMNS($AM$1006:BL1006),$AM$1006:$BM$1006,0)), HYPERLINK("#",""), HYPERLINK(CONCATENATE("#metadata!", ADDRESS(INDEX($AH$2:$AH$1001,MATCH(ROWS($AF$2:AF862),$AF$2:$AF$1001,0),0), INDEX($AM$1004:$BM$1004,1,MATCH(COLUMNS($AM$1006:BL1006),$AM$1006:$BM$1006,0)))),"Fix")))</f>
        <v xml:space="preserve"> </v>
      </c>
      <c r="AB862" s="4" t="str">
        <f ca="1">IF(OR(INDEX($AG$2:$AG$1001,MATCH(ROWS($AF$2:AF862),$AF$2:$AF$1001,0),1)&gt;=100000,INDEX($AM$1005:$BM$1005,1,MATCH(COLUMNS($AM$1006:BM1006),$AM$1006:$BM$1006,0))&gt;=100000), " ",IF(INDEX($AM$2:$BM$1001,MATCH(ROWS($AF$2:AF862),$AF$2:$AF$1001,0),MATCH(COLUMNS($AM$1006:BM1006),$AM$1006:$BM$1006,0)), HYPERLINK("#",""), HYPERLINK(CONCATENATE("#metadata!", ADDRESS(INDEX($AH$2:$AH$1001,MATCH(ROWS($AF$2:AF862),$AF$2:$AF$1001,0),0), INDEX($AM$1004:$BM$1004,1,MATCH(COLUMNS($AM$1006:BM1006),$AM$1006:$BM$1006,0)))),"Fix")))</f>
        <v xml:space="preserve"> </v>
      </c>
      <c r="AF862">
        <v>861</v>
      </c>
      <c r="AG862">
        <v>100862</v>
      </c>
      <c r="AH862">
        <v>862</v>
      </c>
      <c r="AI862" t="b">
        <f t="shared" si="13"/>
        <v>1</v>
      </c>
      <c r="AJ862" t="b">
        <f>COUNTBLANK(metadata!B862:AB862)=COLUMNS(metadata!B862:AB862)</f>
        <v>1</v>
      </c>
      <c r="AK862" t="str">
        <v/>
      </c>
      <c r="AM862" t="b">
        <f ca="1">AND(IF(metadata!B862="",FALSE,TRUE),COUNTIF(metadata!B:B, metadata!B862) = 1,NOT(ISERROR(SUMPRODUCT(SEARCH(MID(metadata!B862,ROW(INDIRECT("1:"&amp;LEN(metadata!B862))), 1),"0123456789abcdefghijklmnopqrstuvwxyzABCDEFGHIJKLMNOPQRSTUVWXYZ.")))))</f>
        <v>0</v>
      </c>
      <c r="AN862" t="b">
        <f ca="1">OR(AND(IF(metadata!C862="",FALSE,TRUE),OR(EXACT(metadata!C862,"missing: not collected"),EXACT(metadata!C862,"missing: not provided"),EXACT(metadata!C862,"missing: restricted access"))),AND(IF(metadata!C862="",FALSE,TRUE),AND(AND(IFERROR(INT(LEFT(metadata!C862,4))&gt;1900,FALSE),IFERROR(INT(LEFT(metadata!C862,4))&lt;=YEAR(NOW()),FALSE)), OR(MID(metadata!C862,5,1)="", AND(AND(MID(metadata!C862,5,1)="-",IFERROR(INT(MID(metadata!C862,6,1))&gt;=0,FALSE),IFERROR(INT(MID(metadata!C862,6,1))&lt;=1,FALSE),NOT(MID(metadata!C862,7,1)=""),IFERROR(INT(MID(metadata!C862,6,2))&gt;=1,FALSE),IFERROR(INT(MID(metadata!C862,6,2))&lt;=12,FALSE)), OR(MID(metadata!C862,8,1)="", AND(AND(MID(metadata!C862,8,1)="-",IFERROR(INT(MID(metadata!C862,9,1))&gt;=0,FALSE),IFERROR(INT(MID(metadata!C862,9,1))&lt;=3,FALSE),NOT(MID(metadata!C862,10,1)=""),IFERROR(INT(MID(metadata!C862,9,2))&gt;=1,FALSE),IFERROR(INT(MID(metadata!C862,9,2))&lt;=31,FALSE)), OR(MID(metadata!C862,11,1)="", AND(AND(MID(metadata!C862,11,1)=" ",IFERROR(INT(MID(metadata!C862,12,1))&gt;=0,FALSE),IFERROR(INT(MID(metadata!C862,12,1))&lt;=2,FALSE),NOT(MID(metadata!C862,13,1)=""),IFERROR(INT(MID(metadata!C862,12,2))&gt;=0,FALSE),IFERROR(INT(MID(metadata!C862,12,2))&lt;=23,FALSE)), OR(MID(metadata!C862,14,1)="", AND(AND(MID(metadata!C862,14,1)=":",IFERROR(INT(MID(metadata!C862,15,1))&gt;=0,FALSE),IFERROR(INT(MID(metadata!C862,15,1))&lt;=5,FALSE),NOT(MID(metadata!C862,16,1)=""),IFERROR(INT(MID(metadata!C862,15,2))&gt;=0,FALSE),IFERROR(INT(MID(metadata!C862,15,2))&lt;=59,FALSE)), OR(MID(metadata!C862,17,1)="", AND(AND(MID(metadata!C862,17,1)=":",IFERROR(INT(MID(metadata!C862,18,1))&gt;=0,FALSE),IFERROR(INT(MID(metadata!C862,18,1))&lt;=5,FALSE),NOT(MID(metadata!C862,19,1)=""),IFERROR(INT(MID(metadata!C862,18,2))&gt;=0,FALSE),IFERROR(INT(MID(metadata!C862,18,2))&lt;=59,FALSE)), LEN(metadata!C862)&lt;=19)))))))))))))</f>
        <v>0</v>
      </c>
      <c r="AO862" t="b">
        <f>AND(IF(metadata!D862="",FALSE,TRUE),EXACT(metadata!D862,"Not applicable"))</f>
        <v>0</v>
      </c>
      <c r="AP862" t="b">
        <f>IF(metadata!E862="",FALSE,TRUE)</f>
        <v>0</v>
      </c>
      <c r="AQ862" t="b">
        <f>OR(AND(IF(metadata!F862="",FALSE,TRUE),OR(EXACT(metadata!F862,"missing: not collected"),EXACT(metadata!F862,"missing: not provided"))),AND(IF(metadata!F862="",FALSE,TRUE),OR(EXACT(metadata!F862,"TRUE"),EXACT(metadata!F862,"FALSE"))))</f>
        <v>0</v>
      </c>
      <c r="AR862" t="b">
        <f>OR(AND(IF(metadata!G862="",FALSE,TRUE),OR(EXACT(metadata!G862,"missing: not collected"),EXACT(metadata!G862,"missing: not provided"),EXACT(metadata!G862,"missing: restricted access"))),AND(IF(metadata!G862="",FALSE,ISNUMBER(VALUE(metadata!G862))),metadata!G862&gt;=-413))</f>
        <v>0</v>
      </c>
      <c r="AS862" t="b">
        <f>AND(IF(metadata!H862="",FALSE,TRUE),EXACT(metadata!H862,"meters"))</f>
        <v>0</v>
      </c>
      <c r="AT862" t="b">
        <f>AND(IF(metadata!I862="",FALSE,TRUE),OR(EXACT(metadata!I862,"Host-associated"),EXACT(metadata!I862,"Free-living")))</f>
        <v>0</v>
      </c>
      <c r="AU862" t="b">
        <f>AND(IF(metadata!J862="",FALSE,TRUE),OR(EXACT(metadata!J862,"Animal"),EXACT(metadata!J862,"Fungus"),EXACT(metadata!J862,"Plant"),EXACT(metadata!J862,"Saline"),EXACT(metadata!J862,"Non-saline")))</f>
        <v>0</v>
      </c>
      <c r="AV862" t="b">
        <f>AND(IF(metadata!K862="",FALSE,TRUE),OR(EXACT(metadata!K862,"Plant secretion"),EXACT(metadata!K862,"Plant rhizosphere"),EXACT(metadata!K862,"Plant surface"),EXACT(metadata!K862,"Plant corpus"),EXACT(metadata!K862,"Fungus surface"),EXACT(metadata!K862,"Fungus corpus"),EXACT(metadata!K862,"Animal surface"),EXACT(metadata!K862,"Animal proximal gut"),EXACT(metadata!K862,"Animal corpus"),EXACT(metadata!K862,"Animal distal gut"),EXACT(metadata!K862,"Animal secretion"),EXACT(metadata!K862,"Sub-surface (non-saline)"),EXACT(metadata!K862,"Surface (non-saline)"),EXACT(metadata!K862,"Water (non-saline)"),EXACT(metadata!K862,"Soil (non-saline)"),EXACT(metadata!K862,"Aerosol (non-saline)"),EXACT(metadata!K862,"Sediment (non-saline)"),EXACT(metadata!K862,"Surface (saline)"),EXACT(metadata!K862,"Water (saline)"),EXACT(metadata!K862,"Hypersaline (saline)"),EXACT(metadata!K862,"Aerosol (saline)"),EXACT(metadata!K862,"Sediment (saline)")))</f>
        <v>0</v>
      </c>
      <c r="AW862" t="b">
        <f>IF(metadata!L862="",FALSE,TRUE)</f>
        <v>0</v>
      </c>
      <c r="AX862" t="b">
        <f>IF(metadata!M862="",FALSE,TRUE)</f>
        <v>0</v>
      </c>
      <c r="AY862" t="b">
        <f>IF(metadata!N862="",FALSE,TRUE)</f>
        <v>0</v>
      </c>
      <c r="AZ862" t="b">
        <f>OR(AND(IF(metadata!O862="",FALSE,TRUE),OR(EXACT(metadata!O862,"missing: not collected"),EXACT(metadata!O862,"missing: not provided"),EXACT(metadata!O862,"missing: restricted access"))),AND(IF(metadata!O862="",FALSE,TRUE),OR(EXACT(metadata!O862,"air"),EXACT(metadata!O862,"built environment"),EXACT(metadata!O862,"host-associated"),EXACT(metadata!O862,"human-associated"),EXACT(metadata!O862,"human-skin"),EXACT(metadata!O862,"human-oral"),EXACT(metadata!O862,"human-gut"),EXACT(metadata!O862,"human-vaginal"),EXACT(metadata!O862,"microbial mat/biofilm"),EXACT(metadata!O862,"misc environment"),EXACT(metadata!O862,"plant-associated"),EXACT(metadata!O862,"sediment"),EXACT(metadata!O862,"soil"),EXACT(metadata!O862,"wastewater/sludge"),EXACT(metadata!O862,"water"))))</f>
        <v>0</v>
      </c>
      <c r="BA862" t="b">
        <f>IF(metadata!P862="",FALSE,TRUE)</f>
        <v>0</v>
      </c>
      <c r="BB862" t="b">
        <f>IF(metadata!Q862="",FALSE,TRUE)</f>
        <v>0</v>
      </c>
      <c r="BC862" t="b">
        <f>OR(AND(IF(metadata!R862="",FALSE,TRUE),OR(EXACT(metadata!R862,"missing: not collected"),EXACT(metadata!R862,"missing: not provided"),EXACT(metadata!R862,"missing: restricted access"))),AND(IF(metadata!R862="",FALSE,ISNUMBER(VALUE(metadata!R862))),metadata!R862&gt;=-90,metadata!R862&lt;=90))</f>
        <v>0</v>
      </c>
      <c r="BD862" t="b">
        <f>AND(IF(metadata!S862="",FALSE,TRUE),EXACT(metadata!S862,"Decimal degrees"))</f>
        <v>0</v>
      </c>
      <c r="BE862" t="b">
        <f>OR(AND(IF(metadata!T862="",FALSE,TRUE),OR(EXACT(metadata!T862,"missing: not collected"),EXACT(metadata!T862,"missing: not provided"),EXACT(metadata!T862,"missing: restricted access"))),AND(IF(metadata!T862="",FALSE,ISNUMBER(VALUE(metadata!T862))),metadata!T862&gt;=-180,metadata!T862&lt;=180))</f>
        <v>0</v>
      </c>
      <c r="BF862" t="b">
        <f>AND(IF(metadata!U862="",FALSE,TRUE),EXACT(metadata!U862,"Decimal degrees"))</f>
        <v>0</v>
      </c>
      <c r="BG862" t="b">
        <f>IF(metadata!V862="",FALSE,TRUE)</f>
        <v>0</v>
      </c>
      <c r="BH862" t="b">
        <f>OR(AND(IF(metadata!W862="",FALSE,TRUE),OR(EXACT(metadata!W862,"missing: not collected"),EXACT(metadata!W862,"missing: not provided"),EXACT(metadata!W862,"missing: restricted access"))),AND(IF(metadata!W862="",FALSE,TRUE),OR(EXACT(metadata!W862,"TRUE"),EXACT(metadata!W862,"FALSE"))))</f>
        <v>0</v>
      </c>
      <c r="BI862" t="b">
        <f>AND(IF(metadata!X862="",FALSE,TRUE),EXACT(metadata!X862,"other"))</f>
        <v>0</v>
      </c>
      <c r="BJ862" t="b">
        <f>IF(metadata!Y862="",FALSE,TRUE)</f>
        <v>0</v>
      </c>
      <c r="BK862" t="b">
        <f>OR(AND(IF(metadata!Z862="",FALSE,TRUE),OR(EXACT(metadata!Z862,"missing: not collected"),EXACT(metadata!Z862,"missing: not provided"))),AND(IF(metadata!Z862="",FALSE,IF(ISERROR(INT(metadata!Z862)),FALSE,INT(metadata!Z862)=metadata!Z862)),metadata!Z862&gt;0))</f>
        <v>0</v>
      </c>
      <c r="BL862" t="b">
        <f>AND(IF(metadata!AA862="",FALSE,TRUE),EXACT(metadata!AA862,"Not applicable"))</f>
        <v>0</v>
      </c>
      <c r="BM862" t="b">
        <f>IF(metadata!AB862="",FALSE,TRUE)</f>
        <v>0</v>
      </c>
    </row>
    <row r="863" spans="1:65" x14ac:dyDescent="0.2">
      <c r="A863" s="5" t="str">
        <f ca="1">IF(B863=" "," ",HYPERLINK(CONCATENATE("#metadata!",ADDRESS(INDEX($AH$2:$AH$1001,MATCH(ROWS($AF$2:AF863),$AF$2:$AF$1001,0),0),1)),INDEX($AK$2:$AK$1001,MATCH(ROWS($AF$2:AF863),$AF$2:$AF$1001,0),0)))</f>
        <v xml:space="preserve"> </v>
      </c>
      <c r="B863" s="4" t="str">
        <f ca="1">IF(OR(INDEX($AG$2:$AG$1001,MATCH(ROWS($AF$2:AF863),$AF$2:$AF$1001,0),1)&gt;=100000,INDEX($AM$1005:$BM$1005,1,MATCH(COLUMNS($AM$1006:AM1006),$AM$1006:$BM$1006,0))&gt;=100000), " ",IF(INDEX($AM$2:$BM$1001,MATCH(ROWS($AF$2:AF863),$AF$2:$AF$1001,0),MATCH(COLUMNS($AM$1006:AM1006),$AM$1006:$BM$1006,0)), HYPERLINK("#",""), HYPERLINK(CONCATENATE("#metadata!", ADDRESS(INDEX($AH$2:$AH$1001,MATCH(ROWS($AF$2:AF863),$AF$2:$AF$1001,0),0), INDEX($AM$1004:$BM$1004,1,MATCH(COLUMNS($AM$1006:AM1006),$AM$1006:$BM$1006,0)))),"Fix")))</f>
        <v xml:space="preserve"> </v>
      </c>
      <c r="C863" s="4" t="str">
        <f ca="1">IF(OR(INDEX($AG$2:$AG$1001,MATCH(ROWS($AF$2:AF863),$AF$2:$AF$1001,0),1)&gt;=100000,INDEX($AM$1005:$BM$1005,1,MATCH(COLUMNS($AM$1006:AN1006),$AM$1006:$BM$1006,0))&gt;=100000), " ",IF(INDEX($AM$2:$BM$1001,MATCH(ROWS($AF$2:AF863),$AF$2:$AF$1001,0),MATCH(COLUMNS($AM$1006:AN1006),$AM$1006:$BM$1006,0)), HYPERLINK("#",""), HYPERLINK(CONCATENATE("#metadata!", ADDRESS(INDEX($AH$2:$AH$1001,MATCH(ROWS($AF$2:AF863),$AF$2:$AF$1001,0),0), INDEX($AM$1004:$BM$1004,1,MATCH(COLUMNS($AM$1006:AN1006),$AM$1006:$BM$1006,0)))),"Fix")))</f>
        <v xml:space="preserve"> </v>
      </c>
      <c r="D863" s="4" t="str">
        <f ca="1">IF(OR(INDEX($AG$2:$AG$1001,MATCH(ROWS($AF$2:AF863),$AF$2:$AF$1001,0),1)&gt;=100000,INDEX($AM$1005:$BM$1005,1,MATCH(COLUMNS($AM$1006:AO1006),$AM$1006:$BM$1006,0))&gt;=100000), " ",IF(INDEX($AM$2:$BM$1001,MATCH(ROWS($AF$2:AF863),$AF$2:$AF$1001,0),MATCH(COLUMNS($AM$1006:AO1006),$AM$1006:$BM$1006,0)), HYPERLINK("#",""), HYPERLINK(CONCATENATE("#metadata!", ADDRESS(INDEX($AH$2:$AH$1001,MATCH(ROWS($AF$2:AF863),$AF$2:$AF$1001,0),0), INDEX($AM$1004:$BM$1004,1,MATCH(COLUMNS($AM$1006:AO1006),$AM$1006:$BM$1006,0)))),"Fix")))</f>
        <v xml:space="preserve"> </v>
      </c>
      <c r="E863" s="4" t="str">
        <f ca="1">IF(OR(INDEX($AG$2:$AG$1001,MATCH(ROWS($AF$2:AF863),$AF$2:$AF$1001,0),1)&gt;=100000,INDEX($AM$1005:$BM$1005,1,MATCH(COLUMNS($AM$1006:AP1006),$AM$1006:$BM$1006,0))&gt;=100000), " ",IF(INDEX($AM$2:$BM$1001,MATCH(ROWS($AF$2:AF863),$AF$2:$AF$1001,0),MATCH(COLUMNS($AM$1006:AP1006),$AM$1006:$BM$1006,0)), HYPERLINK("#",""), HYPERLINK(CONCATENATE("#metadata!", ADDRESS(INDEX($AH$2:$AH$1001,MATCH(ROWS($AF$2:AF863),$AF$2:$AF$1001,0),0), INDEX($AM$1004:$BM$1004,1,MATCH(COLUMNS($AM$1006:AP1006),$AM$1006:$BM$1006,0)))),"Fix")))</f>
        <v xml:space="preserve"> </v>
      </c>
      <c r="F863" s="4" t="str">
        <f ca="1">IF(OR(INDEX($AG$2:$AG$1001,MATCH(ROWS($AF$2:AF863),$AF$2:$AF$1001,0),1)&gt;=100000,INDEX($AM$1005:$BM$1005,1,MATCH(COLUMNS($AM$1006:AQ1006),$AM$1006:$BM$1006,0))&gt;=100000), " ",IF(INDEX($AM$2:$BM$1001,MATCH(ROWS($AF$2:AF863),$AF$2:$AF$1001,0),MATCH(COLUMNS($AM$1006:AQ1006),$AM$1006:$BM$1006,0)), HYPERLINK("#",""), HYPERLINK(CONCATENATE("#metadata!", ADDRESS(INDEX($AH$2:$AH$1001,MATCH(ROWS($AF$2:AF863),$AF$2:$AF$1001,0),0), INDEX($AM$1004:$BM$1004,1,MATCH(COLUMNS($AM$1006:AQ1006),$AM$1006:$BM$1006,0)))),"Fix")))</f>
        <v xml:space="preserve"> </v>
      </c>
      <c r="G863" s="4" t="str">
        <f ca="1">IF(OR(INDEX($AG$2:$AG$1001,MATCH(ROWS($AF$2:AF863),$AF$2:$AF$1001,0),1)&gt;=100000,INDEX($AM$1005:$BM$1005,1,MATCH(COLUMNS($AM$1006:AR1006),$AM$1006:$BM$1006,0))&gt;=100000), " ",IF(INDEX($AM$2:$BM$1001,MATCH(ROWS($AF$2:AF863),$AF$2:$AF$1001,0),MATCH(COLUMNS($AM$1006:AR1006),$AM$1006:$BM$1006,0)), HYPERLINK("#",""), HYPERLINK(CONCATENATE("#metadata!", ADDRESS(INDEX($AH$2:$AH$1001,MATCH(ROWS($AF$2:AF863),$AF$2:$AF$1001,0),0), INDEX($AM$1004:$BM$1004,1,MATCH(COLUMNS($AM$1006:AR1006),$AM$1006:$BM$1006,0)))),"Fix")))</f>
        <v xml:space="preserve"> </v>
      </c>
      <c r="H863" s="4" t="str">
        <f ca="1">IF(OR(INDEX($AG$2:$AG$1001,MATCH(ROWS($AF$2:AF863),$AF$2:$AF$1001,0),1)&gt;=100000,INDEX($AM$1005:$BM$1005,1,MATCH(COLUMNS($AM$1006:AS1006),$AM$1006:$BM$1006,0))&gt;=100000), " ",IF(INDEX($AM$2:$BM$1001,MATCH(ROWS($AF$2:AF863),$AF$2:$AF$1001,0),MATCH(COLUMNS($AM$1006:AS1006),$AM$1006:$BM$1006,0)), HYPERLINK("#",""), HYPERLINK(CONCATENATE("#metadata!", ADDRESS(INDEX($AH$2:$AH$1001,MATCH(ROWS($AF$2:AF863),$AF$2:$AF$1001,0),0), INDEX($AM$1004:$BM$1004,1,MATCH(COLUMNS($AM$1006:AS1006),$AM$1006:$BM$1006,0)))),"Fix")))</f>
        <v xml:space="preserve"> </v>
      </c>
      <c r="I863" s="4" t="str">
        <f ca="1">IF(OR(INDEX($AG$2:$AG$1001,MATCH(ROWS($AF$2:AF863),$AF$2:$AF$1001,0),1)&gt;=100000,INDEX($AM$1005:$BM$1005,1,MATCH(COLUMNS($AM$1006:AT1006),$AM$1006:$BM$1006,0))&gt;=100000), " ",IF(INDEX($AM$2:$BM$1001,MATCH(ROWS($AF$2:AF863),$AF$2:$AF$1001,0),MATCH(COLUMNS($AM$1006:AT1006),$AM$1006:$BM$1006,0)), HYPERLINK("#",""), HYPERLINK(CONCATENATE("#metadata!", ADDRESS(INDEX($AH$2:$AH$1001,MATCH(ROWS($AF$2:AF863),$AF$2:$AF$1001,0),0), INDEX($AM$1004:$BM$1004,1,MATCH(COLUMNS($AM$1006:AT1006),$AM$1006:$BM$1006,0)))),"Fix")))</f>
        <v xml:space="preserve"> </v>
      </c>
      <c r="J863" s="4" t="str">
        <f ca="1">IF(OR(INDEX($AG$2:$AG$1001,MATCH(ROWS($AF$2:AF863),$AF$2:$AF$1001,0),1)&gt;=100000,INDEX($AM$1005:$BM$1005,1,MATCH(COLUMNS($AM$1006:AU1006),$AM$1006:$BM$1006,0))&gt;=100000), " ",IF(INDEX($AM$2:$BM$1001,MATCH(ROWS($AF$2:AF863),$AF$2:$AF$1001,0),MATCH(COLUMNS($AM$1006:AU1006),$AM$1006:$BM$1006,0)), HYPERLINK("#",""), HYPERLINK(CONCATENATE("#metadata!", ADDRESS(INDEX($AH$2:$AH$1001,MATCH(ROWS($AF$2:AF863),$AF$2:$AF$1001,0),0), INDEX($AM$1004:$BM$1004,1,MATCH(COLUMNS($AM$1006:AU1006),$AM$1006:$BM$1006,0)))),"Fix")))</f>
        <v xml:space="preserve"> </v>
      </c>
      <c r="K863" s="4" t="str">
        <f ca="1">IF(OR(INDEX($AG$2:$AG$1001,MATCH(ROWS($AF$2:AF863),$AF$2:$AF$1001,0),1)&gt;=100000,INDEX($AM$1005:$BM$1005,1,MATCH(COLUMNS($AM$1006:AV1006),$AM$1006:$BM$1006,0))&gt;=100000), " ",IF(INDEX($AM$2:$BM$1001,MATCH(ROWS($AF$2:AF863),$AF$2:$AF$1001,0),MATCH(COLUMNS($AM$1006:AV1006),$AM$1006:$BM$1006,0)), HYPERLINK("#",""), HYPERLINK(CONCATENATE("#metadata!", ADDRESS(INDEX($AH$2:$AH$1001,MATCH(ROWS($AF$2:AF863),$AF$2:$AF$1001,0),0), INDEX($AM$1004:$BM$1004,1,MATCH(COLUMNS($AM$1006:AV1006),$AM$1006:$BM$1006,0)))),"Fix")))</f>
        <v xml:space="preserve"> </v>
      </c>
      <c r="L863" s="4" t="str">
        <f ca="1">IF(OR(INDEX($AG$2:$AG$1001,MATCH(ROWS($AF$2:AF863),$AF$2:$AF$1001,0),1)&gt;=100000,INDEX($AM$1005:$BM$1005,1,MATCH(COLUMNS($AM$1006:AW1006),$AM$1006:$BM$1006,0))&gt;=100000), " ",IF(INDEX($AM$2:$BM$1001,MATCH(ROWS($AF$2:AF863),$AF$2:$AF$1001,0),MATCH(COLUMNS($AM$1006:AW1006),$AM$1006:$BM$1006,0)), HYPERLINK("#",""), HYPERLINK(CONCATENATE("#metadata!", ADDRESS(INDEX($AH$2:$AH$1001,MATCH(ROWS($AF$2:AF863),$AF$2:$AF$1001,0),0), INDEX($AM$1004:$BM$1004,1,MATCH(COLUMNS($AM$1006:AW1006),$AM$1006:$BM$1006,0)))),"Fix")))</f>
        <v xml:space="preserve"> </v>
      </c>
      <c r="M863" s="4" t="str">
        <f ca="1">IF(OR(INDEX($AG$2:$AG$1001,MATCH(ROWS($AF$2:AF863),$AF$2:$AF$1001,0),1)&gt;=100000,INDEX($AM$1005:$BM$1005,1,MATCH(COLUMNS($AM$1006:AX1006),$AM$1006:$BM$1006,0))&gt;=100000), " ",IF(INDEX($AM$2:$BM$1001,MATCH(ROWS($AF$2:AF863),$AF$2:$AF$1001,0),MATCH(COLUMNS($AM$1006:AX1006),$AM$1006:$BM$1006,0)), HYPERLINK("#",""), HYPERLINK(CONCATENATE("#metadata!", ADDRESS(INDEX($AH$2:$AH$1001,MATCH(ROWS($AF$2:AF863),$AF$2:$AF$1001,0),0), INDEX($AM$1004:$BM$1004,1,MATCH(COLUMNS($AM$1006:AX1006),$AM$1006:$BM$1006,0)))),"Fix")))</f>
        <v xml:space="preserve"> </v>
      </c>
      <c r="N863" s="4" t="str">
        <f ca="1">IF(OR(INDEX($AG$2:$AG$1001,MATCH(ROWS($AF$2:AF863),$AF$2:$AF$1001,0),1)&gt;=100000,INDEX($AM$1005:$BM$1005,1,MATCH(COLUMNS($AM$1006:AY1006),$AM$1006:$BM$1006,0))&gt;=100000), " ",IF(INDEX($AM$2:$BM$1001,MATCH(ROWS($AF$2:AF863),$AF$2:$AF$1001,0),MATCH(COLUMNS($AM$1006:AY1006),$AM$1006:$BM$1006,0)), HYPERLINK("#",""), HYPERLINK(CONCATENATE("#metadata!", ADDRESS(INDEX($AH$2:$AH$1001,MATCH(ROWS($AF$2:AF863),$AF$2:$AF$1001,0),0), INDEX($AM$1004:$BM$1004,1,MATCH(COLUMNS($AM$1006:AY1006),$AM$1006:$BM$1006,0)))),"Fix")))</f>
        <v xml:space="preserve"> </v>
      </c>
      <c r="O863" s="4" t="str">
        <f ca="1">IF(OR(INDEX($AG$2:$AG$1001,MATCH(ROWS($AF$2:AF863),$AF$2:$AF$1001,0),1)&gt;=100000,INDEX($AM$1005:$BM$1005,1,MATCH(COLUMNS($AM$1006:AZ1006),$AM$1006:$BM$1006,0))&gt;=100000), " ",IF(INDEX($AM$2:$BM$1001,MATCH(ROWS($AF$2:AF863),$AF$2:$AF$1001,0),MATCH(COLUMNS($AM$1006:AZ1006),$AM$1006:$BM$1006,0)), HYPERLINK("#",""), HYPERLINK(CONCATENATE("#metadata!", ADDRESS(INDEX($AH$2:$AH$1001,MATCH(ROWS($AF$2:AF863),$AF$2:$AF$1001,0),0), INDEX($AM$1004:$BM$1004,1,MATCH(COLUMNS($AM$1006:AZ1006),$AM$1006:$BM$1006,0)))),"Fix")))</f>
        <v xml:space="preserve"> </v>
      </c>
      <c r="P863" s="4" t="str">
        <f ca="1">IF(OR(INDEX($AG$2:$AG$1001,MATCH(ROWS($AF$2:AF863),$AF$2:$AF$1001,0),1)&gt;=100000,INDEX($AM$1005:$BM$1005,1,MATCH(COLUMNS($AM$1006:BA1006),$AM$1006:$BM$1006,0))&gt;=100000), " ",IF(INDEX($AM$2:$BM$1001,MATCH(ROWS($AF$2:AF863),$AF$2:$AF$1001,0),MATCH(COLUMNS($AM$1006:BA1006),$AM$1006:$BM$1006,0)), HYPERLINK("#",""), HYPERLINK(CONCATENATE("#metadata!", ADDRESS(INDEX($AH$2:$AH$1001,MATCH(ROWS($AF$2:AF863),$AF$2:$AF$1001,0),0), INDEX($AM$1004:$BM$1004,1,MATCH(COLUMNS($AM$1006:BA1006),$AM$1006:$BM$1006,0)))),"Fix")))</f>
        <v xml:space="preserve"> </v>
      </c>
      <c r="Q863" s="4" t="str">
        <f ca="1">IF(OR(INDEX($AG$2:$AG$1001,MATCH(ROWS($AF$2:AF863),$AF$2:$AF$1001,0),1)&gt;=100000,INDEX($AM$1005:$BM$1005,1,MATCH(COLUMNS($AM$1006:BB1006),$AM$1006:$BM$1006,0))&gt;=100000), " ",IF(INDEX($AM$2:$BM$1001,MATCH(ROWS($AF$2:AF863),$AF$2:$AF$1001,0),MATCH(COLUMNS($AM$1006:BB1006),$AM$1006:$BM$1006,0)), HYPERLINK("#",""), HYPERLINK(CONCATENATE("#metadata!", ADDRESS(INDEX($AH$2:$AH$1001,MATCH(ROWS($AF$2:AF863),$AF$2:$AF$1001,0),0), INDEX($AM$1004:$BM$1004,1,MATCH(COLUMNS($AM$1006:BB1006),$AM$1006:$BM$1006,0)))),"Fix")))</f>
        <v xml:space="preserve"> </v>
      </c>
      <c r="R863" s="4" t="str">
        <f ca="1">IF(OR(INDEX($AG$2:$AG$1001,MATCH(ROWS($AF$2:AF863),$AF$2:$AF$1001,0),1)&gt;=100000,INDEX($AM$1005:$BM$1005,1,MATCH(COLUMNS($AM$1006:BC1006),$AM$1006:$BM$1006,0))&gt;=100000), " ",IF(INDEX($AM$2:$BM$1001,MATCH(ROWS($AF$2:AF863),$AF$2:$AF$1001,0),MATCH(COLUMNS($AM$1006:BC1006),$AM$1006:$BM$1006,0)), HYPERLINK("#",""), HYPERLINK(CONCATENATE("#metadata!", ADDRESS(INDEX($AH$2:$AH$1001,MATCH(ROWS($AF$2:AF863),$AF$2:$AF$1001,0),0), INDEX($AM$1004:$BM$1004,1,MATCH(COLUMNS($AM$1006:BC1006),$AM$1006:$BM$1006,0)))),"Fix")))</f>
        <v xml:space="preserve"> </v>
      </c>
      <c r="S863" s="4" t="str">
        <f ca="1">IF(OR(INDEX($AG$2:$AG$1001,MATCH(ROWS($AF$2:AF863),$AF$2:$AF$1001,0),1)&gt;=100000,INDEX($AM$1005:$BM$1005,1,MATCH(COLUMNS($AM$1006:BD1006),$AM$1006:$BM$1006,0))&gt;=100000), " ",IF(INDEX($AM$2:$BM$1001,MATCH(ROWS($AF$2:AF863),$AF$2:$AF$1001,0),MATCH(COLUMNS($AM$1006:BD1006),$AM$1006:$BM$1006,0)), HYPERLINK("#",""), HYPERLINK(CONCATENATE("#metadata!", ADDRESS(INDEX($AH$2:$AH$1001,MATCH(ROWS($AF$2:AF863),$AF$2:$AF$1001,0),0), INDEX($AM$1004:$BM$1004,1,MATCH(COLUMNS($AM$1006:BD1006),$AM$1006:$BM$1006,0)))),"Fix")))</f>
        <v xml:space="preserve"> </v>
      </c>
      <c r="T863" s="4" t="str">
        <f ca="1">IF(OR(INDEX($AG$2:$AG$1001,MATCH(ROWS($AF$2:AF863),$AF$2:$AF$1001,0),1)&gt;=100000,INDEX($AM$1005:$BM$1005,1,MATCH(COLUMNS($AM$1006:BE1006),$AM$1006:$BM$1006,0))&gt;=100000), " ",IF(INDEX($AM$2:$BM$1001,MATCH(ROWS($AF$2:AF863),$AF$2:$AF$1001,0),MATCH(COLUMNS($AM$1006:BE1006),$AM$1006:$BM$1006,0)), HYPERLINK("#",""), HYPERLINK(CONCATENATE("#metadata!", ADDRESS(INDEX($AH$2:$AH$1001,MATCH(ROWS($AF$2:AF863),$AF$2:$AF$1001,0),0), INDEX($AM$1004:$BM$1004,1,MATCH(COLUMNS($AM$1006:BE1006),$AM$1006:$BM$1006,0)))),"Fix")))</f>
        <v xml:space="preserve"> </v>
      </c>
      <c r="U863" s="4" t="str">
        <f ca="1">IF(OR(INDEX($AG$2:$AG$1001,MATCH(ROWS($AF$2:AF863),$AF$2:$AF$1001,0),1)&gt;=100000,INDEX($AM$1005:$BM$1005,1,MATCH(COLUMNS($AM$1006:BF1006),$AM$1006:$BM$1006,0))&gt;=100000), " ",IF(INDEX($AM$2:$BM$1001,MATCH(ROWS($AF$2:AF863),$AF$2:$AF$1001,0),MATCH(COLUMNS($AM$1006:BF1006),$AM$1006:$BM$1006,0)), HYPERLINK("#",""), HYPERLINK(CONCATENATE("#metadata!", ADDRESS(INDEX($AH$2:$AH$1001,MATCH(ROWS($AF$2:AF863),$AF$2:$AF$1001,0),0), INDEX($AM$1004:$BM$1004,1,MATCH(COLUMNS($AM$1006:BF1006),$AM$1006:$BM$1006,0)))),"Fix")))</f>
        <v xml:space="preserve"> </v>
      </c>
      <c r="V863" s="4" t="str">
        <f ca="1">IF(OR(INDEX($AG$2:$AG$1001,MATCH(ROWS($AF$2:AF863),$AF$2:$AF$1001,0),1)&gt;=100000,INDEX($AM$1005:$BM$1005,1,MATCH(COLUMNS($AM$1006:BG1006),$AM$1006:$BM$1006,0))&gt;=100000), " ",IF(INDEX($AM$2:$BM$1001,MATCH(ROWS($AF$2:AF863),$AF$2:$AF$1001,0),MATCH(COLUMNS($AM$1006:BG1006),$AM$1006:$BM$1006,0)), HYPERLINK("#",""), HYPERLINK(CONCATENATE("#metadata!", ADDRESS(INDEX($AH$2:$AH$1001,MATCH(ROWS($AF$2:AF863),$AF$2:$AF$1001,0),0), INDEX($AM$1004:$BM$1004,1,MATCH(COLUMNS($AM$1006:BG1006),$AM$1006:$BM$1006,0)))),"Fix")))</f>
        <v xml:space="preserve"> </v>
      </c>
      <c r="W863" s="4" t="str">
        <f ca="1">IF(OR(INDEX($AG$2:$AG$1001,MATCH(ROWS($AF$2:AF863),$AF$2:$AF$1001,0),1)&gt;=100000,INDEX($AM$1005:$BM$1005,1,MATCH(COLUMNS($AM$1006:BH1006),$AM$1006:$BM$1006,0))&gt;=100000), " ",IF(INDEX($AM$2:$BM$1001,MATCH(ROWS($AF$2:AF863),$AF$2:$AF$1001,0),MATCH(COLUMNS($AM$1006:BH1006),$AM$1006:$BM$1006,0)), HYPERLINK("#",""), HYPERLINK(CONCATENATE("#metadata!", ADDRESS(INDEX($AH$2:$AH$1001,MATCH(ROWS($AF$2:AF863),$AF$2:$AF$1001,0),0), INDEX($AM$1004:$BM$1004,1,MATCH(COLUMNS($AM$1006:BH1006),$AM$1006:$BM$1006,0)))),"Fix")))</f>
        <v xml:space="preserve"> </v>
      </c>
      <c r="X863" s="4" t="str">
        <f ca="1">IF(OR(INDEX($AG$2:$AG$1001,MATCH(ROWS($AF$2:AF863),$AF$2:$AF$1001,0),1)&gt;=100000,INDEX($AM$1005:$BM$1005,1,MATCH(COLUMNS($AM$1006:BI1006),$AM$1006:$BM$1006,0))&gt;=100000), " ",IF(INDEX($AM$2:$BM$1001,MATCH(ROWS($AF$2:AF863),$AF$2:$AF$1001,0),MATCH(COLUMNS($AM$1006:BI1006),$AM$1006:$BM$1006,0)), HYPERLINK("#",""), HYPERLINK(CONCATENATE("#metadata!", ADDRESS(INDEX($AH$2:$AH$1001,MATCH(ROWS($AF$2:AF863),$AF$2:$AF$1001,0),0), INDEX($AM$1004:$BM$1004,1,MATCH(COLUMNS($AM$1006:BI1006),$AM$1006:$BM$1006,0)))),"Fix")))</f>
        <v xml:space="preserve"> </v>
      </c>
      <c r="Y863" s="4" t="str">
        <f ca="1">IF(OR(INDEX($AG$2:$AG$1001,MATCH(ROWS($AF$2:AF863),$AF$2:$AF$1001,0),1)&gt;=100000,INDEX($AM$1005:$BM$1005,1,MATCH(COLUMNS($AM$1006:BJ1006),$AM$1006:$BM$1006,0))&gt;=100000), " ",IF(INDEX($AM$2:$BM$1001,MATCH(ROWS($AF$2:AF863),$AF$2:$AF$1001,0),MATCH(COLUMNS($AM$1006:BJ1006),$AM$1006:$BM$1006,0)), HYPERLINK("#",""), HYPERLINK(CONCATENATE("#metadata!", ADDRESS(INDEX($AH$2:$AH$1001,MATCH(ROWS($AF$2:AF863),$AF$2:$AF$1001,0),0), INDEX($AM$1004:$BM$1004,1,MATCH(COLUMNS($AM$1006:BJ1006),$AM$1006:$BM$1006,0)))),"Fix")))</f>
        <v xml:space="preserve"> </v>
      </c>
      <c r="Z863" s="4" t="str">
        <f ca="1">IF(OR(INDEX($AG$2:$AG$1001,MATCH(ROWS($AF$2:AF863),$AF$2:$AF$1001,0),1)&gt;=100000,INDEX($AM$1005:$BM$1005,1,MATCH(COLUMNS($AM$1006:BK1006),$AM$1006:$BM$1006,0))&gt;=100000), " ",IF(INDEX($AM$2:$BM$1001,MATCH(ROWS($AF$2:AF863),$AF$2:$AF$1001,0),MATCH(COLUMNS($AM$1006:BK1006),$AM$1006:$BM$1006,0)), HYPERLINK("#",""), HYPERLINK(CONCATENATE("#metadata!", ADDRESS(INDEX($AH$2:$AH$1001,MATCH(ROWS($AF$2:AF863),$AF$2:$AF$1001,0),0), INDEX($AM$1004:$BM$1004,1,MATCH(COLUMNS($AM$1006:BK1006),$AM$1006:$BM$1006,0)))),"Fix")))</f>
        <v xml:space="preserve"> </v>
      </c>
      <c r="AA863" s="4" t="str">
        <f ca="1">IF(OR(INDEX($AG$2:$AG$1001,MATCH(ROWS($AF$2:AF863),$AF$2:$AF$1001,0),1)&gt;=100000,INDEX($AM$1005:$BM$1005,1,MATCH(COLUMNS($AM$1006:BL1006),$AM$1006:$BM$1006,0))&gt;=100000), " ",IF(INDEX($AM$2:$BM$1001,MATCH(ROWS($AF$2:AF863),$AF$2:$AF$1001,0),MATCH(COLUMNS($AM$1006:BL1006),$AM$1006:$BM$1006,0)), HYPERLINK("#",""), HYPERLINK(CONCATENATE("#metadata!", ADDRESS(INDEX($AH$2:$AH$1001,MATCH(ROWS($AF$2:AF863),$AF$2:$AF$1001,0),0), INDEX($AM$1004:$BM$1004,1,MATCH(COLUMNS($AM$1006:BL1006),$AM$1006:$BM$1006,0)))),"Fix")))</f>
        <v xml:space="preserve"> </v>
      </c>
      <c r="AB863" s="4" t="str">
        <f ca="1">IF(OR(INDEX($AG$2:$AG$1001,MATCH(ROWS($AF$2:AF863),$AF$2:$AF$1001,0),1)&gt;=100000,INDEX($AM$1005:$BM$1005,1,MATCH(COLUMNS($AM$1006:BM1006),$AM$1006:$BM$1006,0))&gt;=100000), " ",IF(INDEX($AM$2:$BM$1001,MATCH(ROWS($AF$2:AF863),$AF$2:$AF$1001,0),MATCH(COLUMNS($AM$1006:BM1006),$AM$1006:$BM$1006,0)), HYPERLINK("#",""), HYPERLINK(CONCATENATE("#metadata!", ADDRESS(INDEX($AH$2:$AH$1001,MATCH(ROWS($AF$2:AF863),$AF$2:$AF$1001,0),0), INDEX($AM$1004:$BM$1004,1,MATCH(COLUMNS($AM$1006:BM1006),$AM$1006:$BM$1006,0)))),"Fix")))</f>
        <v xml:space="preserve"> </v>
      </c>
      <c r="AF863">
        <v>862</v>
      </c>
      <c r="AG863">
        <v>100863</v>
      </c>
      <c r="AH863">
        <v>863</v>
      </c>
      <c r="AI863" t="b">
        <f t="shared" si="13"/>
        <v>1</v>
      </c>
      <c r="AJ863" t="b">
        <f>COUNTBLANK(metadata!B863:AB863)=COLUMNS(metadata!B863:AB863)</f>
        <v>1</v>
      </c>
      <c r="AK863" t="str">
        <v/>
      </c>
      <c r="AM863" t="b">
        <f ca="1">AND(IF(metadata!B863="",FALSE,TRUE),COUNTIF(metadata!B:B, metadata!B863) = 1,NOT(ISERROR(SUMPRODUCT(SEARCH(MID(metadata!B863,ROW(INDIRECT("1:"&amp;LEN(metadata!B863))), 1),"0123456789abcdefghijklmnopqrstuvwxyzABCDEFGHIJKLMNOPQRSTUVWXYZ.")))))</f>
        <v>0</v>
      </c>
      <c r="AN863" t="b">
        <f ca="1">OR(AND(IF(metadata!C863="",FALSE,TRUE),OR(EXACT(metadata!C863,"missing: not collected"),EXACT(metadata!C863,"missing: not provided"),EXACT(metadata!C863,"missing: restricted access"))),AND(IF(metadata!C863="",FALSE,TRUE),AND(AND(IFERROR(INT(LEFT(metadata!C863,4))&gt;1900,FALSE),IFERROR(INT(LEFT(metadata!C863,4))&lt;=YEAR(NOW()),FALSE)), OR(MID(metadata!C863,5,1)="", AND(AND(MID(metadata!C863,5,1)="-",IFERROR(INT(MID(metadata!C863,6,1))&gt;=0,FALSE),IFERROR(INT(MID(metadata!C863,6,1))&lt;=1,FALSE),NOT(MID(metadata!C863,7,1)=""),IFERROR(INT(MID(metadata!C863,6,2))&gt;=1,FALSE),IFERROR(INT(MID(metadata!C863,6,2))&lt;=12,FALSE)), OR(MID(metadata!C863,8,1)="", AND(AND(MID(metadata!C863,8,1)="-",IFERROR(INT(MID(metadata!C863,9,1))&gt;=0,FALSE),IFERROR(INT(MID(metadata!C863,9,1))&lt;=3,FALSE),NOT(MID(metadata!C863,10,1)=""),IFERROR(INT(MID(metadata!C863,9,2))&gt;=1,FALSE),IFERROR(INT(MID(metadata!C863,9,2))&lt;=31,FALSE)), OR(MID(metadata!C863,11,1)="", AND(AND(MID(metadata!C863,11,1)=" ",IFERROR(INT(MID(metadata!C863,12,1))&gt;=0,FALSE),IFERROR(INT(MID(metadata!C863,12,1))&lt;=2,FALSE),NOT(MID(metadata!C863,13,1)=""),IFERROR(INT(MID(metadata!C863,12,2))&gt;=0,FALSE),IFERROR(INT(MID(metadata!C863,12,2))&lt;=23,FALSE)), OR(MID(metadata!C863,14,1)="", AND(AND(MID(metadata!C863,14,1)=":",IFERROR(INT(MID(metadata!C863,15,1))&gt;=0,FALSE),IFERROR(INT(MID(metadata!C863,15,1))&lt;=5,FALSE),NOT(MID(metadata!C863,16,1)=""),IFERROR(INT(MID(metadata!C863,15,2))&gt;=0,FALSE),IFERROR(INT(MID(metadata!C863,15,2))&lt;=59,FALSE)), OR(MID(metadata!C863,17,1)="", AND(AND(MID(metadata!C863,17,1)=":",IFERROR(INT(MID(metadata!C863,18,1))&gt;=0,FALSE),IFERROR(INT(MID(metadata!C863,18,1))&lt;=5,FALSE),NOT(MID(metadata!C863,19,1)=""),IFERROR(INT(MID(metadata!C863,18,2))&gt;=0,FALSE),IFERROR(INT(MID(metadata!C863,18,2))&lt;=59,FALSE)), LEN(metadata!C863)&lt;=19)))))))))))))</f>
        <v>0</v>
      </c>
      <c r="AO863" t="b">
        <f>AND(IF(metadata!D863="",FALSE,TRUE),EXACT(metadata!D863,"Not applicable"))</f>
        <v>0</v>
      </c>
      <c r="AP863" t="b">
        <f>IF(metadata!E863="",FALSE,TRUE)</f>
        <v>0</v>
      </c>
      <c r="AQ863" t="b">
        <f>OR(AND(IF(metadata!F863="",FALSE,TRUE),OR(EXACT(metadata!F863,"missing: not collected"),EXACT(metadata!F863,"missing: not provided"))),AND(IF(metadata!F863="",FALSE,TRUE),OR(EXACT(metadata!F863,"TRUE"),EXACT(metadata!F863,"FALSE"))))</f>
        <v>0</v>
      </c>
      <c r="AR863" t="b">
        <f>OR(AND(IF(metadata!G863="",FALSE,TRUE),OR(EXACT(metadata!G863,"missing: not collected"),EXACT(metadata!G863,"missing: not provided"),EXACT(metadata!G863,"missing: restricted access"))),AND(IF(metadata!G863="",FALSE,ISNUMBER(VALUE(metadata!G863))),metadata!G863&gt;=-413))</f>
        <v>0</v>
      </c>
      <c r="AS863" t="b">
        <f>AND(IF(metadata!H863="",FALSE,TRUE),EXACT(metadata!H863,"meters"))</f>
        <v>0</v>
      </c>
      <c r="AT863" t="b">
        <f>AND(IF(metadata!I863="",FALSE,TRUE),OR(EXACT(metadata!I863,"Host-associated"),EXACT(metadata!I863,"Free-living")))</f>
        <v>0</v>
      </c>
      <c r="AU863" t="b">
        <f>AND(IF(metadata!J863="",FALSE,TRUE),OR(EXACT(metadata!J863,"Animal"),EXACT(metadata!J863,"Fungus"),EXACT(metadata!J863,"Plant"),EXACT(metadata!J863,"Saline"),EXACT(metadata!J863,"Non-saline")))</f>
        <v>0</v>
      </c>
      <c r="AV863" t="b">
        <f>AND(IF(metadata!K863="",FALSE,TRUE),OR(EXACT(metadata!K863,"Plant secretion"),EXACT(metadata!K863,"Plant rhizosphere"),EXACT(metadata!K863,"Plant surface"),EXACT(metadata!K863,"Plant corpus"),EXACT(metadata!K863,"Fungus surface"),EXACT(metadata!K863,"Fungus corpus"),EXACT(metadata!K863,"Animal surface"),EXACT(metadata!K863,"Animal proximal gut"),EXACT(metadata!K863,"Animal corpus"),EXACT(metadata!K863,"Animal distal gut"),EXACT(metadata!K863,"Animal secretion"),EXACT(metadata!K863,"Sub-surface (non-saline)"),EXACT(metadata!K863,"Surface (non-saline)"),EXACT(metadata!K863,"Water (non-saline)"),EXACT(metadata!K863,"Soil (non-saline)"),EXACT(metadata!K863,"Aerosol (non-saline)"),EXACT(metadata!K863,"Sediment (non-saline)"),EXACT(metadata!K863,"Surface (saline)"),EXACT(metadata!K863,"Water (saline)"),EXACT(metadata!K863,"Hypersaline (saline)"),EXACT(metadata!K863,"Aerosol (saline)"),EXACT(metadata!K863,"Sediment (saline)")))</f>
        <v>0</v>
      </c>
      <c r="AW863" t="b">
        <f>IF(metadata!L863="",FALSE,TRUE)</f>
        <v>0</v>
      </c>
      <c r="AX863" t="b">
        <f>IF(metadata!M863="",FALSE,TRUE)</f>
        <v>0</v>
      </c>
      <c r="AY863" t="b">
        <f>IF(metadata!N863="",FALSE,TRUE)</f>
        <v>0</v>
      </c>
      <c r="AZ863" t="b">
        <f>OR(AND(IF(metadata!O863="",FALSE,TRUE),OR(EXACT(metadata!O863,"missing: not collected"),EXACT(metadata!O863,"missing: not provided"),EXACT(metadata!O863,"missing: restricted access"))),AND(IF(metadata!O863="",FALSE,TRUE),OR(EXACT(metadata!O863,"air"),EXACT(metadata!O863,"built environment"),EXACT(metadata!O863,"host-associated"),EXACT(metadata!O863,"human-associated"),EXACT(metadata!O863,"human-skin"),EXACT(metadata!O863,"human-oral"),EXACT(metadata!O863,"human-gut"),EXACT(metadata!O863,"human-vaginal"),EXACT(metadata!O863,"microbial mat/biofilm"),EXACT(metadata!O863,"misc environment"),EXACT(metadata!O863,"plant-associated"),EXACT(metadata!O863,"sediment"),EXACT(metadata!O863,"soil"),EXACT(metadata!O863,"wastewater/sludge"),EXACT(metadata!O863,"water"))))</f>
        <v>0</v>
      </c>
      <c r="BA863" t="b">
        <f>IF(metadata!P863="",FALSE,TRUE)</f>
        <v>0</v>
      </c>
      <c r="BB863" t="b">
        <f>IF(metadata!Q863="",FALSE,TRUE)</f>
        <v>0</v>
      </c>
      <c r="BC863" t="b">
        <f>OR(AND(IF(metadata!R863="",FALSE,TRUE),OR(EXACT(metadata!R863,"missing: not collected"),EXACT(metadata!R863,"missing: not provided"),EXACT(metadata!R863,"missing: restricted access"))),AND(IF(metadata!R863="",FALSE,ISNUMBER(VALUE(metadata!R863))),metadata!R863&gt;=-90,metadata!R863&lt;=90))</f>
        <v>0</v>
      </c>
      <c r="BD863" t="b">
        <f>AND(IF(metadata!S863="",FALSE,TRUE),EXACT(metadata!S863,"Decimal degrees"))</f>
        <v>0</v>
      </c>
      <c r="BE863" t="b">
        <f>OR(AND(IF(metadata!T863="",FALSE,TRUE),OR(EXACT(metadata!T863,"missing: not collected"),EXACT(metadata!T863,"missing: not provided"),EXACT(metadata!T863,"missing: restricted access"))),AND(IF(metadata!T863="",FALSE,ISNUMBER(VALUE(metadata!T863))),metadata!T863&gt;=-180,metadata!T863&lt;=180))</f>
        <v>0</v>
      </c>
      <c r="BF863" t="b">
        <f>AND(IF(metadata!U863="",FALSE,TRUE),EXACT(metadata!U863,"Decimal degrees"))</f>
        <v>0</v>
      </c>
      <c r="BG863" t="b">
        <f>IF(metadata!V863="",FALSE,TRUE)</f>
        <v>0</v>
      </c>
      <c r="BH863" t="b">
        <f>OR(AND(IF(metadata!W863="",FALSE,TRUE),OR(EXACT(metadata!W863,"missing: not collected"),EXACT(metadata!W863,"missing: not provided"),EXACT(metadata!W863,"missing: restricted access"))),AND(IF(metadata!W863="",FALSE,TRUE),OR(EXACT(metadata!W863,"TRUE"),EXACT(metadata!W863,"FALSE"))))</f>
        <v>0</v>
      </c>
      <c r="BI863" t="b">
        <f>AND(IF(metadata!X863="",FALSE,TRUE),EXACT(metadata!X863,"other"))</f>
        <v>0</v>
      </c>
      <c r="BJ863" t="b">
        <f>IF(metadata!Y863="",FALSE,TRUE)</f>
        <v>0</v>
      </c>
      <c r="BK863" t="b">
        <f>OR(AND(IF(metadata!Z863="",FALSE,TRUE),OR(EXACT(metadata!Z863,"missing: not collected"),EXACT(metadata!Z863,"missing: not provided"))),AND(IF(metadata!Z863="",FALSE,IF(ISERROR(INT(metadata!Z863)),FALSE,INT(metadata!Z863)=metadata!Z863)),metadata!Z863&gt;0))</f>
        <v>0</v>
      </c>
      <c r="BL863" t="b">
        <f>AND(IF(metadata!AA863="",FALSE,TRUE),EXACT(metadata!AA863,"Not applicable"))</f>
        <v>0</v>
      </c>
      <c r="BM863" t="b">
        <f>IF(metadata!AB863="",FALSE,TRUE)</f>
        <v>0</v>
      </c>
    </row>
    <row r="864" spans="1:65" x14ac:dyDescent="0.2">
      <c r="A864" s="5" t="str">
        <f ca="1">IF(B864=" "," ",HYPERLINK(CONCATENATE("#metadata!",ADDRESS(INDEX($AH$2:$AH$1001,MATCH(ROWS($AF$2:AF864),$AF$2:$AF$1001,0),0),1)),INDEX($AK$2:$AK$1001,MATCH(ROWS($AF$2:AF864),$AF$2:$AF$1001,0),0)))</f>
        <v xml:space="preserve"> </v>
      </c>
      <c r="B864" s="4" t="str">
        <f ca="1">IF(OR(INDEX($AG$2:$AG$1001,MATCH(ROWS($AF$2:AF864),$AF$2:$AF$1001,0),1)&gt;=100000,INDEX($AM$1005:$BM$1005,1,MATCH(COLUMNS($AM$1006:AM1006),$AM$1006:$BM$1006,0))&gt;=100000), " ",IF(INDEX($AM$2:$BM$1001,MATCH(ROWS($AF$2:AF864),$AF$2:$AF$1001,0),MATCH(COLUMNS($AM$1006:AM1006),$AM$1006:$BM$1006,0)), HYPERLINK("#",""), HYPERLINK(CONCATENATE("#metadata!", ADDRESS(INDEX($AH$2:$AH$1001,MATCH(ROWS($AF$2:AF864),$AF$2:$AF$1001,0),0), INDEX($AM$1004:$BM$1004,1,MATCH(COLUMNS($AM$1006:AM1006),$AM$1006:$BM$1006,0)))),"Fix")))</f>
        <v xml:space="preserve"> </v>
      </c>
      <c r="C864" s="4" t="str">
        <f ca="1">IF(OR(INDEX($AG$2:$AG$1001,MATCH(ROWS($AF$2:AF864),$AF$2:$AF$1001,0),1)&gt;=100000,INDEX($AM$1005:$BM$1005,1,MATCH(COLUMNS($AM$1006:AN1006),$AM$1006:$BM$1006,0))&gt;=100000), " ",IF(INDEX($AM$2:$BM$1001,MATCH(ROWS($AF$2:AF864),$AF$2:$AF$1001,0),MATCH(COLUMNS($AM$1006:AN1006),$AM$1006:$BM$1006,0)), HYPERLINK("#",""), HYPERLINK(CONCATENATE("#metadata!", ADDRESS(INDEX($AH$2:$AH$1001,MATCH(ROWS($AF$2:AF864),$AF$2:$AF$1001,0),0), INDEX($AM$1004:$BM$1004,1,MATCH(COLUMNS($AM$1006:AN1006),$AM$1006:$BM$1006,0)))),"Fix")))</f>
        <v xml:space="preserve"> </v>
      </c>
      <c r="D864" s="4" t="str">
        <f ca="1">IF(OR(INDEX($AG$2:$AG$1001,MATCH(ROWS($AF$2:AF864),$AF$2:$AF$1001,0),1)&gt;=100000,INDEX($AM$1005:$BM$1005,1,MATCH(COLUMNS($AM$1006:AO1006),$AM$1006:$BM$1006,0))&gt;=100000), " ",IF(INDEX($AM$2:$BM$1001,MATCH(ROWS($AF$2:AF864),$AF$2:$AF$1001,0),MATCH(COLUMNS($AM$1006:AO1006),$AM$1006:$BM$1006,0)), HYPERLINK("#",""), HYPERLINK(CONCATENATE("#metadata!", ADDRESS(INDEX($AH$2:$AH$1001,MATCH(ROWS($AF$2:AF864),$AF$2:$AF$1001,0),0), INDEX($AM$1004:$BM$1004,1,MATCH(COLUMNS($AM$1006:AO1006),$AM$1006:$BM$1006,0)))),"Fix")))</f>
        <v xml:space="preserve"> </v>
      </c>
      <c r="E864" s="4" t="str">
        <f ca="1">IF(OR(INDEX($AG$2:$AG$1001,MATCH(ROWS($AF$2:AF864),$AF$2:$AF$1001,0),1)&gt;=100000,INDEX($AM$1005:$BM$1005,1,MATCH(COLUMNS($AM$1006:AP1006),$AM$1006:$BM$1006,0))&gt;=100000), " ",IF(INDEX($AM$2:$BM$1001,MATCH(ROWS($AF$2:AF864),$AF$2:$AF$1001,0),MATCH(COLUMNS($AM$1006:AP1006),$AM$1006:$BM$1006,0)), HYPERLINK("#",""), HYPERLINK(CONCATENATE("#metadata!", ADDRESS(INDEX($AH$2:$AH$1001,MATCH(ROWS($AF$2:AF864),$AF$2:$AF$1001,0),0), INDEX($AM$1004:$BM$1004,1,MATCH(COLUMNS($AM$1006:AP1006),$AM$1006:$BM$1006,0)))),"Fix")))</f>
        <v xml:space="preserve"> </v>
      </c>
      <c r="F864" s="4" t="str">
        <f ca="1">IF(OR(INDEX($AG$2:$AG$1001,MATCH(ROWS($AF$2:AF864),$AF$2:$AF$1001,0),1)&gt;=100000,INDEX($AM$1005:$BM$1005,1,MATCH(COLUMNS($AM$1006:AQ1006),$AM$1006:$BM$1006,0))&gt;=100000), " ",IF(INDEX($AM$2:$BM$1001,MATCH(ROWS($AF$2:AF864),$AF$2:$AF$1001,0),MATCH(COLUMNS($AM$1006:AQ1006),$AM$1006:$BM$1006,0)), HYPERLINK("#",""), HYPERLINK(CONCATENATE("#metadata!", ADDRESS(INDEX($AH$2:$AH$1001,MATCH(ROWS($AF$2:AF864),$AF$2:$AF$1001,0),0), INDEX($AM$1004:$BM$1004,1,MATCH(COLUMNS($AM$1006:AQ1006),$AM$1006:$BM$1006,0)))),"Fix")))</f>
        <v xml:space="preserve"> </v>
      </c>
      <c r="G864" s="4" t="str">
        <f ca="1">IF(OR(INDEX($AG$2:$AG$1001,MATCH(ROWS($AF$2:AF864),$AF$2:$AF$1001,0),1)&gt;=100000,INDEX($AM$1005:$BM$1005,1,MATCH(COLUMNS($AM$1006:AR1006),$AM$1006:$BM$1006,0))&gt;=100000), " ",IF(INDEX($AM$2:$BM$1001,MATCH(ROWS($AF$2:AF864),$AF$2:$AF$1001,0),MATCH(COLUMNS($AM$1006:AR1006),$AM$1006:$BM$1006,0)), HYPERLINK("#",""), HYPERLINK(CONCATENATE("#metadata!", ADDRESS(INDEX($AH$2:$AH$1001,MATCH(ROWS($AF$2:AF864),$AF$2:$AF$1001,0),0), INDEX($AM$1004:$BM$1004,1,MATCH(COLUMNS($AM$1006:AR1006),$AM$1006:$BM$1006,0)))),"Fix")))</f>
        <v xml:space="preserve"> </v>
      </c>
      <c r="H864" s="4" t="str">
        <f ca="1">IF(OR(INDEX($AG$2:$AG$1001,MATCH(ROWS($AF$2:AF864),$AF$2:$AF$1001,0),1)&gt;=100000,INDEX($AM$1005:$BM$1005,1,MATCH(COLUMNS($AM$1006:AS1006),$AM$1006:$BM$1006,0))&gt;=100000), " ",IF(INDEX($AM$2:$BM$1001,MATCH(ROWS($AF$2:AF864),$AF$2:$AF$1001,0),MATCH(COLUMNS($AM$1006:AS1006),$AM$1006:$BM$1006,0)), HYPERLINK("#",""), HYPERLINK(CONCATENATE("#metadata!", ADDRESS(INDEX($AH$2:$AH$1001,MATCH(ROWS($AF$2:AF864),$AF$2:$AF$1001,0),0), INDEX($AM$1004:$BM$1004,1,MATCH(COLUMNS($AM$1006:AS1006),$AM$1006:$BM$1006,0)))),"Fix")))</f>
        <v xml:space="preserve"> </v>
      </c>
      <c r="I864" s="4" t="str">
        <f ca="1">IF(OR(INDEX($AG$2:$AG$1001,MATCH(ROWS($AF$2:AF864),$AF$2:$AF$1001,0),1)&gt;=100000,INDEX($AM$1005:$BM$1005,1,MATCH(COLUMNS($AM$1006:AT1006),$AM$1006:$BM$1006,0))&gt;=100000), " ",IF(INDEX($AM$2:$BM$1001,MATCH(ROWS($AF$2:AF864),$AF$2:$AF$1001,0),MATCH(COLUMNS($AM$1006:AT1006),$AM$1006:$BM$1006,0)), HYPERLINK("#",""), HYPERLINK(CONCATENATE("#metadata!", ADDRESS(INDEX($AH$2:$AH$1001,MATCH(ROWS($AF$2:AF864),$AF$2:$AF$1001,0),0), INDEX($AM$1004:$BM$1004,1,MATCH(COLUMNS($AM$1006:AT1006),$AM$1006:$BM$1006,0)))),"Fix")))</f>
        <v xml:space="preserve"> </v>
      </c>
      <c r="J864" s="4" t="str">
        <f ca="1">IF(OR(INDEX($AG$2:$AG$1001,MATCH(ROWS($AF$2:AF864),$AF$2:$AF$1001,0),1)&gt;=100000,INDEX($AM$1005:$BM$1005,1,MATCH(COLUMNS($AM$1006:AU1006),$AM$1006:$BM$1006,0))&gt;=100000), " ",IF(INDEX($AM$2:$BM$1001,MATCH(ROWS($AF$2:AF864),$AF$2:$AF$1001,0),MATCH(COLUMNS($AM$1006:AU1006),$AM$1006:$BM$1006,0)), HYPERLINK("#",""), HYPERLINK(CONCATENATE("#metadata!", ADDRESS(INDEX($AH$2:$AH$1001,MATCH(ROWS($AF$2:AF864),$AF$2:$AF$1001,0),0), INDEX($AM$1004:$BM$1004,1,MATCH(COLUMNS($AM$1006:AU1006),$AM$1006:$BM$1006,0)))),"Fix")))</f>
        <v xml:space="preserve"> </v>
      </c>
      <c r="K864" s="4" t="str">
        <f ca="1">IF(OR(INDEX($AG$2:$AG$1001,MATCH(ROWS($AF$2:AF864),$AF$2:$AF$1001,0),1)&gt;=100000,INDEX($AM$1005:$BM$1005,1,MATCH(COLUMNS($AM$1006:AV1006),$AM$1006:$BM$1006,0))&gt;=100000), " ",IF(INDEX($AM$2:$BM$1001,MATCH(ROWS($AF$2:AF864),$AF$2:$AF$1001,0),MATCH(COLUMNS($AM$1006:AV1006),$AM$1006:$BM$1006,0)), HYPERLINK("#",""), HYPERLINK(CONCATENATE("#metadata!", ADDRESS(INDEX($AH$2:$AH$1001,MATCH(ROWS($AF$2:AF864),$AF$2:$AF$1001,0),0), INDEX($AM$1004:$BM$1004,1,MATCH(COLUMNS($AM$1006:AV1006),$AM$1006:$BM$1006,0)))),"Fix")))</f>
        <v xml:space="preserve"> </v>
      </c>
      <c r="L864" s="4" t="str">
        <f ca="1">IF(OR(INDEX($AG$2:$AG$1001,MATCH(ROWS($AF$2:AF864),$AF$2:$AF$1001,0),1)&gt;=100000,INDEX($AM$1005:$BM$1005,1,MATCH(COLUMNS($AM$1006:AW1006),$AM$1006:$BM$1006,0))&gt;=100000), " ",IF(INDEX($AM$2:$BM$1001,MATCH(ROWS($AF$2:AF864),$AF$2:$AF$1001,0),MATCH(COLUMNS($AM$1006:AW1006),$AM$1006:$BM$1006,0)), HYPERLINK("#",""), HYPERLINK(CONCATENATE("#metadata!", ADDRESS(INDEX($AH$2:$AH$1001,MATCH(ROWS($AF$2:AF864),$AF$2:$AF$1001,0),0), INDEX($AM$1004:$BM$1004,1,MATCH(COLUMNS($AM$1006:AW1006),$AM$1006:$BM$1006,0)))),"Fix")))</f>
        <v xml:space="preserve"> </v>
      </c>
      <c r="M864" s="4" t="str">
        <f ca="1">IF(OR(INDEX($AG$2:$AG$1001,MATCH(ROWS($AF$2:AF864),$AF$2:$AF$1001,0),1)&gt;=100000,INDEX($AM$1005:$BM$1005,1,MATCH(COLUMNS($AM$1006:AX1006),$AM$1006:$BM$1006,0))&gt;=100000), " ",IF(INDEX($AM$2:$BM$1001,MATCH(ROWS($AF$2:AF864),$AF$2:$AF$1001,0),MATCH(COLUMNS($AM$1006:AX1006),$AM$1006:$BM$1006,0)), HYPERLINK("#",""), HYPERLINK(CONCATENATE("#metadata!", ADDRESS(INDEX($AH$2:$AH$1001,MATCH(ROWS($AF$2:AF864),$AF$2:$AF$1001,0),0), INDEX($AM$1004:$BM$1004,1,MATCH(COLUMNS($AM$1006:AX1006),$AM$1006:$BM$1006,0)))),"Fix")))</f>
        <v xml:space="preserve"> </v>
      </c>
      <c r="N864" s="4" t="str">
        <f ca="1">IF(OR(INDEX($AG$2:$AG$1001,MATCH(ROWS($AF$2:AF864),$AF$2:$AF$1001,0),1)&gt;=100000,INDEX($AM$1005:$BM$1005,1,MATCH(COLUMNS($AM$1006:AY1006),$AM$1006:$BM$1006,0))&gt;=100000), " ",IF(INDEX($AM$2:$BM$1001,MATCH(ROWS($AF$2:AF864),$AF$2:$AF$1001,0),MATCH(COLUMNS($AM$1006:AY1006),$AM$1006:$BM$1006,0)), HYPERLINK("#",""), HYPERLINK(CONCATENATE("#metadata!", ADDRESS(INDEX($AH$2:$AH$1001,MATCH(ROWS($AF$2:AF864),$AF$2:$AF$1001,0),0), INDEX($AM$1004:$BM$1004,1,MATCH(COLUMNS($AM$1006:AY1006),$AM$1006:$BM$1006,0)))),"Fix")))</f>
        <v xml:space="preserve"> </v>
      </c>
      <c r="O864" s="4" t="str">
        <f ca="1">IF(OR(INDEX($AG$2:$AG$1001,MATCH(ROWS($AF$2:AF864),$AF$2:$AF$1001,0),1)&gt;=100000,INDEX($AM$1005:$BM$1005,1,MATCH(COLUMNS($AM$1006:AZ1006),$AM$1006:$BM$1006,0))&gt;=100000), " ",IF(INDEX($AM$2:$BM$1001,MATCH(ROWS($AF$2:AF864),$AF$2:$AF$1001,0),MATCH(COLUMNS($AM$1006:AZ1006),$AM$1006:$BM$1006,0)), HYPERLINK("#",""), HYPERLINK(CONCATENATE("#metadata!", ADDRESS(INDEX($AH$2:$AH$1001,MATCH(ROWS($AF$2:AF864),$AF$2:$AF$1001,0),0), INDEX($AM$1004:$BM$1004,1,MATCH(COLUMNS($AM$1006:AZ1006),$AM$1006:$BM$1006,0)))),"Fix")))</f>
        <v xml:space="preserve"> </v>
      </c>
      <c r="P864" s="4" t="str">
        <f ca="1">IF(OR(INDEX($AG$2:$AG$1001,MATCH(ROWS($AF$2:AF864),$AF$2:$AF$1001,0),1)&gt;=100000,INDEX($AM$1005:$BM$1005,1,MATCH(COLUMNS($AM$1006:BA1006),$AM$1006:$BM$1006,0))&gt;=100000), " ",IF(INDEX($AM$2:$BM$1001,MATCH(ROWS($AF$2:AF864),$AF$2:$AF$1001,0),MATCH(COLUMNS($AM$1006:BA1006),$AM$1006:$BM$1006,0)), HYPERLINK("#",""), HYPERLINK(CONCATENATE("#metadata!", ADDRESS(INDEX($AH$2:$AH$1001,MATCH(ROWS($AF$2:AF864),$AF$2:$AF$1001,0),0), INDEX($AM$1004:$BM$1004,1,MATCH(COLUMNS($AM$1006:BA1006),$AM$1006:$BM$1006,0)))),"Fix")))</f>
        <v xml:space="preserve"> </v>
      </c>
      <c r="Q864" s="4" t="str">
        <f ca="1">IF(OR(INDEX($AG$2:$AG$1001,MATCH(ROWS($AF$2:AF864),$AF$2:$AF$1001,0),1)&gt;=100000,INDEX($AM$1005:$BM$1005,1,MATCH(COLUMNS($AM$1006:BB1006),$AM$1006:$BM$1006,0))&gt;=100000), " ",IF(INDEX($AM$2:$BM$1001,MATCH(ROWS($AF$2:AF864),$AF$2:$AF$1001,0),MATCH(COLUMNS($AM$1006:BB1006),$AM$1006:$BM$1006,0)), HYPERLINK("#",""), HYPERLINK(CONCATENATE("#metadata!", ADDRESS(INDEX($AH$2:$AH$1001,MATCH(ROWS($AF$2:AF864),$AF$2:$AF$1001,0),0), INDEX($AM$1004:$BM$1004,1,MATCH(COLUMNS($AM$1006:BB1006),$AM$1006:$BM$1006,0)))),"Fix")))</f>
        <v xml:space="preserve"> </v>
      </c>
      <c r="R864" s="4" t="str">
        <f ca="1">IF(OR(INDEX($AG$2:$AG$1001,MATCH(ROWS($AF$2:AF864),$AF$2:$AF$1001,0),1)&gt;=100000,INDEX($AM$1005:$BM$1005,1,MATCH(COLUMNS($AM$1006:BC1006),$AM$1006:$BM$1006,0))&gt;=100000), " ",IF(INDEX($AM$2:$BM$1001,MATCH(ROWS($AF$2:AF864),$AF$2:$AF$1001,0),MATCH(COLUMNS($AM$1006:BC1006),$AM$1006:$BM$1006,0)), HYPERLINK("#",""), HYPERLINK(CONCATENATE("#metadata!", ADDRESS(INDEX($AH$2:$AH$1001,MATCH(ROWS($AF$2:AF864),$AF$2:$AF$1001,0),0), INDEX($AM$1004:$BM$1004,1,MATCH(COLUMNS($AM$1006:BC1006),$AM$1006:$BM$1006,0)))),"Fix")))</f>
        <v xml:space="preserve"> </v>
      </c>
      <c r="S864" s="4" t="str">
        <f ca="1">IF(OR(INDEX($AG$2:$AG$1001,MATCH(ROWS($AF$2:AF864),$AF$2:$AF$1001,0),1)&gt;=100000,INDEX($AM$1005:$BM$1005,1,MATCH(COLUMNS($AM$1006:BD1006),$AM$1006:$BM$1006,0))&gt;=100000), " ",IF(INDEX($AM$2:$BM$1001,MATCH(ROWS($AF$2:AF864),$AF$2:$AF$1001,0),MATCH(COLUMNS($AM$1006:BD1006),$AM$1006:$BM$1006,0)), HYPERLINK("#",""), HYPERLINK(CONCATENATE("#metadata!", ADDRESS(INDEX($AH$2:$AH$1001,MATCH(ROWS($AF$2:AF864),$AF$2:$AF$1001,0),0), INDEX($AM$1004:$BM$1004,1,MATCH(COLUMNS($AM$1006:BD1006),$AM$1006:$BM$1006,0)))),"Fix")))</f>
        <v xml:space="preserve"> </v>
      </c>
      <c r="T864" s="4" t="str">
        <f ca="1">IF(OR(INDEX($AG$2:$AG$1001,MATCH(ROWS($AF$2:AF864),$AF$2:$AF$1001,0),1)&gt;=100000,INDEX($AM$1005:$BM$1005,1,MATCH(COLUMNS($AM$1006:BE1006),$AM$1006:$BM$1006,0))&gt;=100000), " ",IF(INDEX($AM$2:$BM$1001,MATCH(ROWS($AF$2:AF864),$AF$2:$AF$1001,0),MATCH(COLUMNS($AM$1006:BE1006),$AM$1006:$BM$1006,0)), HYPERLINK("#",""), HYPERLINK(CONCATENATE("#metadata!", ADDRESS(INDEX($AH$2:$AH$1001,MATCH(ROWS($AF$2:AF864),$AF$2:$AF$1001,0),0), INDEX($AM$1004:$BM$1004,1,MATCH(COLUMNS($AM$1006:BE1006),$AM$1006:$BM$1006,0)))),"Fix")))</f>
        <v xml:space="preserve"> </v>
      </c>
      <c r="U864" s="4" t="str">
        <f ca="1">IF(OR(INDEX($AG$2:$AG$1001,MATCH(ROWS($AF$2:AF864),$AF$2:$AF$1001,0),1)&gt;=100000,INDEX($AM$1005:$BM$1005,1,MATCH(COLUMNS($AM$1006:BF1006),$AM$1006:$BM$1006,0))&gt;=100000), " ",IF(INDEX($AM$2:$BM$1001,MATCH(ROWS($AF$2:AF864),$AF$2:$AF$1001,0),MATCH(COLUMNS($AM$1006:BF1006),$AM$1006:$BM$1006,0)), HYPERLINK("#",""), HYPERLINK(CONCATENATE("#metadata!", ADDRESS(INDEX($AH$2:$AH$1001,MATCH(ROWS($AF$2:AF864),$AF$2:$AF$1001,0),0), INDEX($AM$1004:$BM$1004,1,MATCH(COLUMNS($AM$1006:BF1006),$AM$1006:$BM$1006,0)))),"Fix")))</f>
        <v xml:space="preserve"> </v>
      </c>
      <c r="V864" s="4" t="str">
        <f ca="1">IF(OR(INDEX($AG$2:$AG$1001,MATCH(ROWS($AF$2:AF864),$AF$2:$AF$1001,0),1)&gt;=100000,INDEX($AM$1005:$BM$1005,1,MATCH(COLUMNS($AM$1006:BG1006),$AM$1006:$BM$1006,0))&gt;=100000), " ",IF(INDEX($AM$2:$BM$1001,MATCH(ROWS($AF$2:AF864),$AF$2:$AF$1001,0),MATCH(COLUMNS($AM$1006:BG1006),$AM$1006:$BM$1006,0)), HYPERLINK("#",""), HYPERLINK(CONCATENATE("#metadata!", ADDRESS(INDEX($AH$2:$AH$1001,MATCH(ROWS($AF$2:AF864),$AF$2:$AF$1001,0),0), INDEX($AM$1004:$BM$1004,1,MATCH(COLUMNS($AM$1006:BG1006),$AM$1006:$BM$1006,0)))),"Fix")))</f>
        <v xml:space="preserve"> </v>
      </c>
      <c r="W864" s="4" t="str">
        <f ca="1">IF(OR(INDEX($AG$2:$AG$1001,MATCH(ROWS($AF$2:AF864),$AF$2:$AF$1001,0),1)&gt;=100000,INDEX($AM$1005:$BM$1005,1,MATCH(COLUMNS($AM$1006:BH1006),$AM$1006:$BM$1006,0))&gt;=100000), " ",IF(INDEX($AM$2:$BM$1001,MATCH(ROWS($AF$2:AF864),$AF$2:$AF$1001,0),MATCH(COLUMNS($AM$1006:BH1006),$AM$1006:$BM$1006,0)), HYPERLINK("#",""), HYPERLINK(CONCATENATE("#metadata!", ADDRESS(INDEX($AH$2:$AH$1001,MATCH(ROWS($AF$2:AF864),$AF$2:$AF$1001,0),0), INDEX($AM$1004:$BM$1004,1,MATCH(COLUMNS($AM$1006:BH1006),$AM$1006:$BM$1006,0)))),"Fix")))</f>
        <v xml:space="preserve"> </v>
      </c>
      <c r="X864" s="4" t="str">
        <f ca="1">IF(OR(INDEX($AG$2:$AG$1001,MATCH(ROWS($AF$2:AF864),$AF$2:$AF$1001,0),1)&gt;=100000,INDEX($AM$1005:$BM$1005,1,MATCH(COLUMNS($AM$1006:BI1006),$AM$1006:$BM$1006,0))&gt;=100000), " ",IF(INDEX($AM$2:$BM$1001,MATCH(ROWS($AF$2:AF864),$AF$2:$AF$1001,0),MATCH(COLUMNS($AM$1006:BI1006),$AM$1006:$BM$1006,0)), HYPERLINK("#",""), HYPERLINK(CONCATENATE("#metadata!", ADDRESS(INDEX($AH$2:$AH$1001,MATCH(ROWS($AF$2:AF864),$AF$2:$AF$1001,0),0), INDEX($AM$1004:$BM$1004,1,MATCH(COLUMNS($AM$1006:BI1006),$AM$1006:$BM$1006,0)))),"Fix")))</f>
        <v xml:space="preserve"> </v>
      </c>
      <c r="Y864" s="4" t="str">
        <f ca="1">IF(OR(INDEX($AG$2:$AG$1001,MATCH(ROWS($AF$2:AF864),$AF$2:$AF$1001,0),1)&gt;=100000,INDEX($AM$1005:$BM$1005,1,MATCH(COLUMNS($AM$1006:BJ1006),$AM$1006:$BM$1006,0))&gt;=100000), " ",IF(INDEX($AM$2:$BM$1001,MATCH(ROWS($AF$2:AF864),$AF$2:$AF$1001,0),MATCH(COLUMNS($AM$1006:BJ1006),$AM$1006:$BM$1006,0)), HYPERLINK("#",""), HYPERLINK(CONCATENATE("#metadata!", ADDRESS(INDEX($AH$2:$AH$1001,MATCH(ROWS($AF$2:AF864),$AF$2:$AF$1001,0),0), INDEX($AM$1004:$BM$1004,1,MATCH(COLUMNS($AM$1006:BJ1006),$AM$1006:$BM$1006,0)))),"Fix")))</f>
        <v xml:space="preserve"> </v>
      </c>
      <c r="Z864" s="4" t="str">
        <f ca="1">IF(OR(INDEX($AG$2:$AG$1001,MATCH(ROWS($AF$2:AF864),$AF$2:$AF$1001,0),1)&gt;=100000,INDEX($AM$1005:$BM$1005,1,MATCH(COLUMNS($AM$1006:BK1006),$AM$1006:$BM$1006,0))&gt;=100000), " ",IF(INDEX($AM$2:$BM$1001,MATCH(ROWS($AF$2:AF864),$AF$2:$AF$1001,0),MATCH(COLUMNS($AM$1006:BK1006),$AM$1006:$BM$1006,0)), HYPERLINK("#",""), HYPERLINK(CONCATENATE("#metadata!", ADDRESS(INDEX($AH$2:$AH$1001,MATCH(ROWS($AF$2:AF864),$AF$2:$AF$1001,0),0), INDEX($AM$1004:$BM$1004,1,MATCH(COLUMNS($AM$1006:BK1006),$AM$1006:$BM$1006,0)))),"Fix")))</f>
        <v xml:space="preserve"> </v>
      </c>
      <c r="AA864" s="4" t="str">
        <f ca="1">IF(OR(INDEX($AG$2:$AG$1001,MATCH(ROWS($AF$2:AF864),$AF$2:$AF$1001,0),1)&gt;=100000,INDEX($AM$1005:$BM$1005,1,MATCH(COLUMNS($AM$1006:BL1006),$AM$1006:$BM$1006,0))&gt;=100000), " ",IF(INDEX($AM$2:$BM$1001,MATCH(ROWS($AF$2:AF864),$AF$2:$AF$1001,0),MATCH(COLUMNS($AM$1006:BL1006),$AM$1006:$BM$1006,0)), HYPERLINK("#",""), HYPERLINK(CONCATENATE("#metadata!", ADDRESS(INDEX($AH$2:$AH$1001,MATCH(ROWS($AF$2:AF864),$AF$2:$AF$1001,0),0), INDEX($AM$1004:$BM$1004,1,MATCH(COLUMNS($AM$1006:BL1006),$AM$1006:$BM$1006,0)))),"Fix")))</f>
        <v xml:space="preserve"> </v>
      </c>
      <c r="AB864" s="4" t="str">
        <f ca="1">IF(OR(INDEX($AG$2:$AG$1001,MATCH(ROWS($AF$2:AF864),$AF$2:$AF$1001,0),1)&gt;=100000,INDEX($AM$1005:$BM$1005,1,MATCH(COLUMNS($AM$1006:BM1006),$AM$1006:$BM$1006,0))&gt;=100000), " ",IF(INDEX($AM$2:$BM$1001,MATCH(ROWS($AF$2:AF864),$AF$2:$AF$1001,0),MATCH(COLUMNS($AM$1006:BM1006),$AM$1006:$BM$1006,0)), HYPERLINK("#",""), HYPERLINK(CONCATENATE("#metadata!", ADDRESS(INDEX($AH$2:$AH$1001,MATCH(ROWS($AF$2:AF864),$AF$2:$AF$1001,0),0), INDEX($AM$1004:$BM$1004,1,MATCH(COLUMNS($AM$1006:BM1006),$AM$1006:$BM$1006,0)))),"Fix")))</f>
        <v xml:space="preserve"> </v>
      </c>
      <c r="AF864">
        <v>863</v>
      </c>
      <c r="AG864">
        <v>100864</v>
      </c>
      <c r="AH864">
        <v>864</v>
      </c>
      <c r="AI864" t="b">
        <f t="shared" si="13"/>
        <v>1</v>
      </c>
      <c r="AJ864" t="b">
        <f>COUNTBLANK(metadata!B864:AB864)=COLUMNS(metadata!B864:AB864)</f>
        <v>1</v>
      </c>
      <c r="AK864" t="str">
        <v/>
      </c>
      <c r="AM864" t="b">
        <f ca="1">AND(IF(metadata!B864="",FALSE,TRUE),COUNTIF(metadata!B:B, metadata!B864) = 1,NOT(ISERROR(SUMPRODUCT(SEARCH(MID(metadata!B864,ROW(INDIRECT("1:"&amp;LEN(metadata!B864))), 1),"0123456789abcdefghijklmnopqrstuvwxyzABCDEFGHIJKLMNOPQRSTUVWXYZ.")))))</f>
        <v>0</v>
      </c>
      <c r="AN864" t="b">
        <f ca="1">OR(AND(IF(metadata!C864="",FALSE,TRUE),OR(EXACT(metadata!C864,"missing: not collected"),EXACT(metadata!C864,"missing: not provided"),EXACT(metadata!C864,"missing: restricted access"))),AND(IF(metadata!C864="",FALSE,TRUE),AND(AND(IFERROR(INT(LEFT(metadata!C864,4))&gt;1900,FALSE),IFERROR(INT(LEFT(metadata!C864,4))&lt;=YEAR(NOW()),FALSE)), OR(MID(metadata!C864,5,1)="", AND(AND(MID(metadata!C864,5,1)="-",IFERROR(INT(MID(metadata!C864,6,1))&gt;=0,FALSE),IFERROR(INT(MID(metadata!C864,6,1))&lt;=1,FALSE),NOT(MID(metadata!C864,7,1)=""),IFERROR(INT(MID(metadata!C864,6,2))&gt;=1,FALSE),IFERROR(INT(MID(metadata!C864,6,2))&lt;=12,FALSE)), OR(MID(metadata!C864,8,1)="", AND(AND(MID(metadata!C864,8,1)="-",IFERROR(INT(MID(metadata!C864,9,1))&gt;=0,FALSE),IFERROR(INT(MID(metadata!C864,9,1))&lt;=3,FALSE),NOT(MID(metadata!C864,10,1)=""),IFERROR(INT(MID(metadata!C864,9,2))&gt;=1,FALSE),IFERROR(INT(MID(metadata!C864,9,2))&lt;=31,FALSE)), OR(MID(metadata!C864,11,1)="", AND(AND(MID(metadata!C864,11,1)=" ",IFERROR(INT(MID(metadata!C864,12,1))&gt;=0,FALSE),IFERROR(INT(MID(metadata!C864,12,1))&lt;=2,FALSE),NOT(MID(metadata!C864,13,1)=""),IFERROR(INT(MID(metadata!C864,12,2))&gt;=0,FALSE),IFERROR(INT(MID(metadata!C864,12,2))&lt;=23,FALSE)), OR(MID(metadata!C864,14,1)="", AND(AND(MID(metadata!C864,14,1)=":",IFERROR(INT(MID(metadata!C864,15,1))&gt;=0,FALSE),IFERROR(INT(MID(metadata!C864,15,1))&lt;=5,FALSE),NOT(MID(metadata!C864,16,1)=""),IFERROR(INT(MID(metadata!C864,15,2))&gt;=0,FALSE),IFERROR(INT(MID(metadata!C864,15,2))&lt;=59,FALSE)), OR(MID(metadata!C864,17,1)="", AND(AND(MID(metadata!C864,17,1)=":",IFERROR(INT(MID(metadata!C864,18,1))&gt;=0,FALSE),IFERROR(INT(MID(metadata!C864,18,1))&lt;=5,FALSE),NOT(MID(metadata!C864,19,1)=""),IFERROR(INT(MID(metadata!C864,18,2))&gt;=0,FALSE),IFERROR(INT(MID(metadata!C864,18,2))&lt;=59,FALSE)), LEN(metadata!C864)&lt;=19)))))))))))))</f>
        <v>0</v>
      </c>
      <c r="AO864" t="b">
        <f>AND(IF(metadata!D864="",FALSE,TRUE),EXACT(metadata!D864,"Not applicable"))</f>
        <v>0</v>
      </c>
      <c r="AP864" t="b">
        <f>IF(metadata!E864="",FALSE,TRUE)</f>
        <v>0</v>
      </c>
      <c r="AQ864" t="b">
        <f>OR(AND(IF(metadata!F864="",FALSE,TRUE),OR(EXACT(metadata!F864,"missing: not collected"),EXACT(metadata!F864,"missing: not provided"))),AND(IF(metadata!F864="",FALSE,TRUE),OR(EXACT(metadata!F864,"TRUE"),EXACT(metadata!F864,"FALSE"))))</f>
        <v>0</v>
      </c>
      <c r="AR864" t="b">
        <f>OR(AND(IF(metadata!G864="",FALSE,TRUE),OR(EXACT(metadata!G864,"missing: not collected"),EXACT(metadata!G864,"missing: not provided"),EXACT(metadata!G864,"missing: restricted access"))),AND(IF(metadata!G864="",FALSE,ISNUMBER(VALUE(metadata!G864))),metadata!G864&gt;=-413))</f>
        <v>0</v>
      </c>
      <c r="AS864" t="b">
        <f>AND(IF(metadata!H864="",FALSE,TRUE),EXACT(metadata!H864,"meters"))</f>
        <v>0</v>
      </c>
      <c r="AT864" t="b">
        <f>AND(IF(metadata!I864="",FALSE,TRUE),OR(EXACT(metadata!I864,"Host-associated"),EXACT(metadata!I864,"Free-living")))</f>
        <v>0</v>
      </c>
      <c r="AU864" t="b">
        <f>AND(IF(metadata!J864="",FALSE,TRUE),OR(EXACT(metadata!J864,"Animal"),EXACT(metadata!J864,"Fungus"),EXACT(metadata!J864,"Plant"),EXACT(metadata!J864,"Saline"),EXACT(metadata!J864,"Non-saline")))</f>
        <v>0</v>
      </c>
      <c r="AV864" t="b">
        <f>AND(IF(metadata!K864="",FALSE,TRUE),OR(EXACT(metadata!K864,"Plant secretion"),EXACT(metadata!K864,"Plant rhizosphere"),EXACT(metadata!K864,"Plant surface"),EXACT(metadata!K864,"Plant corpus"),EXACT(metadata!K864,"Fungus surface"),EXACT(metadata!K864,"Fungus corpus"),EXACT(metadata!K864,"Animal surface"),EXACT(metadata!K864,"Animal proximal gut"),EXACT(metadata!K864,"Animal corpus"),EXACT(metadata!K864,"Animal distal gut"),EXACT(metadata!K864,"Animal secretion"),EXACT(metadata!K864,"Sub-surface (non-saline)"),EXACT(metadata!K864,"Surface (non-saline)"),EXACT(metadata!K864,"Water (non-saline)"),EXACT(metadata!K864,"Soil (non-saline)"),EXACT(metadata!K864,"Aerosol (non-saline)"),EXACT(metadata!K864,"Sediment (non-saline)"),EXACT(metadata!K864,"Surface (saline)"),EXACT(metadata!K864,"Water (saline)"),EXACT(metadata!K864,"Hypersaline (saline)"),EXACT(metadata!K864,"Aerosol (saline)"),EXACT(metadata!K864,"Sediment (saline)")))</f>
        <v>0</v>
      </c>
      <c r="AW864" t="b">
        <f>IF(metadata!L864="",FALSE,TRUE)</f>
        <v>0</v>
      </c>
      <c r="AX864" t="b">
        <f>IF(metadata!M864="",FALSE,TRUE)</f>
        <v>0</v>
      </c>
      <c r="AY864" t="b">
        <f>IF(metadata!N864="",FALSE,TRUE)</f>
        <v>0</v>
      </c>
      <c r="AZ864" t="b">
        <f>OR(AND(IF(metadata!O864="",FALSE,TRUE),OR(EXACT(metadata!O864,"missing: not collected"),EXACT(metadata!O864,"missing: not provided"),EXACT(metadata!O864,"missing: restricted access"))),AND(IF(metadata!O864="",FALSE,TRUE),OR(EXACT(metadata!O864,"air"),EXACT(metadata!O864,"built environment"),EXACT(metadata!O864,"host-associated"),EXACT(metadata!O864,"human-associated"),EXACT(metadata!O864,"human-skin"),EXACT(metadata!O864,"human-oral"),EXACT(metadata!O864,"human-gut"),EXACT(metadata!O864,"human-vaginal"),EXACT(metadata!O864,"microbial mat/biofilm"),EXACT(metadata!O864,"misc environment"),EXACT(metadata!O864,"plant-associated"),EXACT(metadata!O864,"sediment"),EXACT(metadata!O864,"soil"),EXACT(metadata!O864,"wastewater/sludge"),EXACT(metadata!O864,"water"))))</f>
        <v>0</v>
      </c>
      <c r="BA864" t="b">
        <f>IF(metadata!P864="",FALSE,TRUE)</f>
        <v>0</v>
      </c>
      <c r="BB864" t="b">
        <f>IF(metadata!Q864="",FALSE,TRUE)</f>
        <v>0</v>
      </c>
      <c r="BC864" t="b">
        <f>OR(AND(IF(metadata!R864="",FALSE,TRUE),OR(EXACT(metadata!R864,"missing: not collected"),EXACT(metadata!R864,"missing: not provided"),EXACT(metadata!R864,"missing: restricted access"))),AND(IF(metadata!R864="",FALSE,ISNUMBER(VALUE(metadata!R864))),metadata!R864&gt;=-90,metadata!R864&lt;=90))</f>
        <v>0</v>
      </c>
      <c r="BD864" t="b">
        <f>AND(IF(metadata!S864="",FALSE,TRUE),EXACT(metadata!S864,"Decimal degrees"))</f>
        <v>0</v>
      </c>
      <c r="BE864" t="b">
        <f>OR(AND(IF(metadata!T864="",FALSE,TRUE),OR(EXACT(metadata!T864,"missing: not collected"),EXACT(metadata!T864,"missing: not provided"),EXACT(metadata!T864,"missing: restricted access"))),AND(IF(metadata!T864="",FALSE,ISNUMBER(VALUE(metadata!T864))),metadata!T864&gt;=-180,metadata!T864&lt;=180))</f>
        <v>0</v>
      </c>
      <c r="BF864" t="b">
        <f>AND(IF(metadata!U864="",FALSE,TRUE),EXACT(metadata!U864,"Decimal degrees"))</f>
        <v>0</v>
      </c>
      <c r="BG864" t="b">
        <f>IF(metadata!V864="",FALSE,TRUE)</f>
        <v>0</v>
      </c>
      <c r="BH864" t="b">
        <f>OR(AND(IF(metadata!W864="",FALSE,TRUE),OR(EXACT(metadata!W864,"missing: not collected"),EXACT(metadata!W864,"missing: not provided"),EXACT(metadata!W864,"missing: restricted access"))),AND(IF(metadata!W864="",FALSE,TRUE),OR(EXACT(metadata!W864,"TRUE"),EXACT(metadata!W864,"FALSE"))))</f>
        <v>0</v>
      </c>
      <c r="BI864" t="b">
        <f>AND(IF(metadata!X864="",FALSE,TRUE),EXACT(metadata!X864,"other"))</f>
        <v>0</v>
      </c>
      <c r="BJ864" t="b">
        <f>IF(metadata!Y864="",FALSE,TRUE)</f>
        <v>0</v>
      </c>
      <c r="BK864" t="b">
        <f>OR(AND(IF(metadata!Z864="",FALSE,TRUE),OR(EXACT(metadata!Z864,"missing: not collected"),EXACT(metadata!Z864,"missing: not provided"))),AND(IF(metadata!Z864="",FALSE,IF(ISERROR(INT(metadata!Z864)),FALSE,INT(metadata!Z864)=metadata!Z864)),metadata!Z864&gt;0))</f>
        <v>0</v>
      </c>
      <c r="BL864" t="b">
        <f>AND(IF(metadata!AA864="",FALSE,TRUE),EXACT(metadata!AA864,"Not applicable"))</f>
        <v>0</v>
      </c>
      <c r="BM864" t="b">
        <f>IF(metadata!AB864="",FALSE,TRUE)</f>
        <v>0</v>
      </c>
    </row>
    <row r="865" spans="1:65" x14ac:dyDescent="0.2">
      <c r="A865" s="5" t="str">
        <f ca="1">IF(B865=" "," ",HYPERLINK(CONCATENATE("#metadata!",ADDRESS(INDEX($AH$2:$AH$1001,MATCH(ROWS($AF$2:AF865),$AF$2:$AF$1001,0),0),1)),INDEX($AK$2:$AK$1001,MATCH(ROWS($AF$2:AF865),$AF$2:$AF$1001,0),0)))</f>
        <v xml:space="preserve"> </v>
      </c>
      <c r="B865" s="4" t="str">
        <f ca="1">IF(OR(INDEX($AG$2:$AG$1001,MATCH(ROWS($AF$2:AF865),$AF$2:$AF$1001,0),1)&gt;=100000,INDEX($AM$1005:$BM$1005,1,MATCH(COLUMNS($AM$1006:AM1006),$AM$1006:$BM$1006,0))&gt;=100000), " ",IF(INDEX($AM$2:$BM$1001,MATCH(ROWS($AF$2:AF865),$AF$2:$AF$1001,0),MATCH(COLUMNS($AM$1006:AM1006),$AM$1006:$BM$1006,0)), HYPERLINK("#",""), HYPERLINK(CONCATENATE("#metadata!", ADDRESS(INDEX($AH$2:$AH$1001,MATCH(ROWS($AF$2:AF865),$AF$2:$AF$1001,0),0), INDEX($AM$1004:$BM$1004,1,MATCH(COLUMNS($AM$1006:AM1006),$AM$1006:$BM$1006,0)))),"Fix")))</f>
        <v xml:space="preserve"> </v>
      </c>
      <c r="C865" s="4" t="str">
        <f ca="1">IF(OR(INDEX($AG$2:$AG$1001,MATCH(ROWS($AF$2:AF865),$AF$2:$AF$1001,0),1)&gt;=100000,INDEX($AM$1005:$BM$1005,1,MATCH(COLUMNS($AM$1006:AN1006),$AM$1006:$BM$1006,0))&gt;=100000), " ",IF(INDEX($AM$2:$BM$1001,MATCH(ROWS($AF$2:AF865),$AF$2:$AF$1001,0),MATCH(COLUMNS($AM$1006:AN1006),$AM$1006:$BM$1006,0)), HYPERLINK("#",""), HYPERLINK(CONCATENATE("#metadata!", ADDRESS(INDEX($AH$2:$AH$1001,MATCH(ROWS($AF$2:AF865),$AF$2:$AF$1001,0),0), INDEX($AM$1004:$BM$1004,1,MATCH(COLUMNS($AM$1006:AN1006),$AM$1006:$BM$1006,0)))),"Fix")))</f>
        <v xml:space="preserve"> </v>
      </c>
      <c r="D865" s="4" t="str">
        <f ca="1">IF(OR(INDEX($AG$2:$AG$1001,MATCH(ROWS($AF$2:AF865),$AF$2:$AF$1001,0),1)&gt;=100000,INDEX($AM$1005:$BM$1005,1,MATCH(COLUMNS($AM$1006:AO1006),$AM$1006:$BM$1006,0))&gt;=100000), " ",IF(INDEX($AM$2:$BM$1001,MATCH(ROWS($AF$2:AF865),$AF$2:$AF$1001,0),MATCH(COLUMNS($AM$1006:AO1006),$AM$1006:$BM$1006,0)), HYPERLINK("#",""), HYPERLINK(CONCATENATE("#metadata!", ADDRESS(INDEX($AH$2:$AH$1001,MATCH(ROWS($AF$2:AF865),$AF$2:$AF$1001,0),0), INDEX($AM$1004:$BM$1004,1,MATCH(COLUMNS($AM$1006:AO1006),$AM$1006:$BM$1006,0)))),"Fix")))</f>
        <v xml:space="preserve"> </v>
      </c>
      <c r="E865" s="4" t="str">
        <f ca="1">IF(OR(INDEX($AG$2:$AG$1001,MATCH(ROWS($AF$2:AF865),$AF$2:$AF$1001,0),1)&gt;=100000,INDEX($AM$1005:$BM$1005,1,MATCH(COLUMNS($AM$1006:AP1006),$AM$1006:$BM$1006,0))&gt;=100000), " ",IF(INDEX($AM$2:$BM$1001,MATCH(ROWS($AF$2:AF865),$AF$2:$AF$1001,0),MATCH(COLUMNS($AM$1006:AP1006),$AM$1006:$BM$1006,0)), HYPERLINK("#",""), HYPERLINK(CONCATENATE("#metadata!", ADDRESS(INDEX($AH$2:$AH$1001,MATCH(ROWS($AF$2:AF865),$AF$2:$AF$1001,0),0), INDEX($AM$1004:$BM$1004,1,MATCH(COLUMNS($AM$1006:AP1006),$AM$1006:$BM$1006,0)))),"Fix")))</f>
        <v xml:space="preserve"> </v>
      </c>
      <c r="F865" s="4" t="str">
        <f ca="1">IF(OR(INDEX($AG$2:$AG$1001,MATCH(ROWS($AF$2:AF865),$AF$2:$AF$1001,0),1)&gt;=100000,INDEX($AM$1005:$BM$1005,1,MATCH(COLUMNS($AM$1006:AQ1006),$AM$1006:$BM$1006,0))&gt;=100000), " ",IF(INDEX($AM$2:$BM$1001,MATCH(ROWS($AF$2:AF865),$AF$2:$AF$1001,0),MATCH(COLUMNS($AM$1006:AQ1006),$AM$1006:$BM$1006,0)), HYPERLINK("#",""), HYPERLINK(CONCATENATE("#metadata!", ADDRESS(INDEX($AH$2:$AH$1001,MATCH(ROWS($AF$2:AF865),$AF$2:$AF$1001,0),0), INDEX($AM$1004:$BM$1004,1,MATCH(COLUMNS($AM$1006:AQ1006),$AM$1006:$BM$1006,0)))),"Fix")))</f>
        <v xml:space="preserve"> </v>
      </c>
      <c r="G865" s="4" t="str">
        <f ca="1">IF(OR(INDEX($AG$2:$AG$1001,MATCH(ROWS($AF$2:AF865),$AF$2:$AF$1001,0),1)&gt;=100000,INDEX($AM$1005:$BM$1005,1,MATCH(COLUMNS($AM$1006:AR1006),$AM$1006:$BM$1006,0))&gt;=100000), " ",IF(INDEX($AM$2:$BM$1001,MATCH(ROWS($AF$2:AF865),$AF$2:$AF$1001,0),MATCH(COLUMNS($AM$1006:AR1006),$AM$1006:$BM$1006,0)), HYPERLINK("#",""), HYPERLINK(CONCATENATE("#metadata!", ADDRESS(INDEX($AH$2:$AH$1001,MATCH(ROWS($AF$2:AF865),$AF$2:$AF$1001,0),0), INDEX($AM$1004:$BM$1004,1,MATCH(COLUMNS($AM$1006:AR1006),$AM$1006:$BM$1006,0)))),"Fix")))</f>
        <v xml:space="preserve"> </v>
      </c>
      <c r="H865" s="4" t="str">
        <f ca="1">IF(OR(INDEX($AG$2:$AG$1001,MATCH(ROWS($AF$2:AF865),$AF$2:$AF$1001,0),1)&gt;=100000,INDEX($AM$1005:$BM$1005,1,MATCH(COLUMNS($AM$1006:AS1006),$AM$1006:$BM$1006,0))&gt;=100000), " ",IF(INDEX($AM$2:$BM$1001,MATCH(ROWS($AF$2:AF865),$AF$2:$AF$1001,0),MATCH(COLUMNS($AM$1006:AS1006),$AM$1006:$BM$1006,0)), HYPERLINK("#",""), HYPERLINK(CONCATENATE("#metadata!", ADDRESS(INDEX($AH$2:$AH$1001,MATCH(ROWS($AF$2:AF865),$AF$2:$AF$1001,0),0), INDEX($AM$1004:$BM$1004,1,MATCH(COLUMNS($AM$1006:AS1006),$AM$1006:$BM$1006,0)))),"Fix")))</f>
        <v xml:space="preserve"> </v>
      </c>
      <c r="I865" s="4" t="str">
        <f ca="1">IF(OR(INDEX($AG$2:$AG$1001,MATCH(ROWS($AF$2:AF865),$AF$2:$AF$1001,0),1)&gt;=100000,INDEX($AM$1005:$BM$1005,1,MATCH(COLUMNS($AM$1006:AT1006),$AM$1006:$BM$1006,0))&gt;=100000), " ",IF(INDEX($AM$2:$BM$1001,MATCH(ROWS($AF$2:AF865),$AF$2:$AF$1001,0),MATCH(COLUMNS($AM$1006:AT1006),$AM$1006:$BM$1006,0)), HYPERLINK("#",""), HYPERLINK(CONCATENATE("#metadata!", ADDRESS(INDEX($AH$2:$AH$1001,MATCH(ROWS($AF$2:AF865),$AF$2:$AF$1001,0),0), INDEX($AM$1004:$BM$1004,1,MATCH(COLUMNS($AM$1006:AT1006),$AM$1006:$BM$1006,0)))),"Fix")))</f>
        <v xml:space="preserve"> </v>
      </c>
      <c r="J865" s="4" t="str">
        <f ca="1">IF(OR(INDEX($AG$2:$AG$1001,MATCH(ROWS($AF$2:AF865),$AF$2:$AF$1001,0),1)&gt;=100000,INDEX($AM$1005:$BM$1005,1,MATCH(COLUMNS($AM$1006:AU1006),$AM$1006:$BM$1006,0))&gt;=100000), " ",IF(INDEX($AM$2:$BM$1001,MATCH(ROWS($AF$2:AF865),$AF$2:$AF$1001,0),MATCH(COLUMNS($AM$1006:AU1006),$AM$1006:$BM$1006,0)), HYPERLINK("#",""), HYPERLINK(CONCATENATE("#metadata!", ADDRESS(INDEX($AH$2:$AH$1001,MATCH(ROWS($AF$2:AF865),$AF$2:$AF$1001,0),0), INDEX($AM$1004:$BM$1004,1,MATCH(COLUMNS($AM$1006:AU1006),$AM$1006:$BM$1006,0)))),"Fix")))</f>
        <v xml:space="preserve"> </v>
      </c>
      <c r="K865" s="4" t="str">
        <f ca="1">IF(OR(INDEX($AG$2:$AG$1001,MATCH(ROWS($AF$2:AF865),$AF$2:$AF$1001,0),1)&gt;=100000,INDEX($AM$1005:$BM$1005,1,MATCH(COLUMNS($AM$1006:AV1006),$AM$1006:$BM$1006,0))&gt;=100000), " ",IF(INDEX($AM$2:$BM$1001,MATCH(ROWS($AF$2:AF865),$AF$2:$AF$1001,0),MATCH(COLUMNS($AM$1006:AV1006),$AM$1006:$BM$1006,0)), HYPERLINK("#",""), HYPERLINK(CONCATENATE("#metadata!", ADDRESS(INDEX($AH$2:$AH$1001,MATCH(ROWS($AF$2:AF865),$AF$2:$AF$1001,0),0), INDEX($AM$1004:$BM$1004,1,MATCH(COLUMNS($AM$1006:AV1006),$AM$1006:$BM$1006,0)))),"Fix")))</f>
        <v xml:space="preserve"> </v>
      </c>
      <c r="L865" s="4" t="str">
        <f ca="1">IF(OR(INDEX($AG$2:$AG$1001,MATCH(ROWS($AF$2:AF865),$AF$2:$AF$1001,0),1)&gt;=100000,INDEX($AM$1005:$BM$1005,1,MATCH(COLUMNS($AM$1006:AW1006),$AM$1006:$BM$1006,0))&gt;=100000), " ",IF(INDEX($AM$2:$BM$1001,MATCH(ROWS($AF$2:AF865),$AF$2:$AF$1001,0),MATCH(COLUMNS($AM$1006:AW1006),$AM$1006:$BM$1006,0)), HYPERLINK("#",""), HYPERLINK(CONCATENATE("#metadata!", ADDRESS(INDEX($AH$2:$AH$1001,MATCH(ROWS($AF$2:AF865),$AF$2:$AF$1001,0),0), INDEX($AM$1004:$BM$1004,1,MATCH(COLUMNS($AM$1006:AW1006),$AM$1006:$BM$1006,0)))),"Fix")))</f>
        <v xml:space="preserve"> </v>
      </c>
      <c r="M865" s="4" t="str">
        <f ca="1">IF(OR(INDEX($AG$2:$AG$1001,MATCH(ROWS($AF$2:AF865),$AF$2:$AF$1001,0),1)&gt;=100000,INDEX($AM$1005:$BM$1005,1,MATCH(COLUMNS($AM$1006:AX1006),$AM$1006:$BM$1006,0))&gt;=100000), " ",IF(INDEX($AM$2:$BM$1001,MATCH(ROWS($AF$2:AF865),$AF$2:$AF$1001,0),MATCH(COLUMNS($AM$1006:AX1006),$AM$1006:$BM$1006,0)), HYPERLINK("#",""), HYPERLINK(CONCATENATE("#metadata!", ADDRESS(INDEX($AH$2:$AH$1001,MATCH(ROWS($AF$2:AF865),$AF$2:$AF$1001,0),0), INDEX($AM$1004:$BM$1004,1,MATCH(COLUMNS($AM$1006:AX1006),$AM$1006:$BM$1006,0)))),"Fix")))</f>
        <v xml:space="preserve"> </v>
      </c>
      <c r="N865" s="4" t="str">
        <f ca="1">IF(OR(INDEX($AG$2:$AG$1001,MATCH(ROWS($AF$2:AF865),$AF$2:$AF$1001,0),1)&gt;=100000,INDEX($AM$1005:$BM$1005,1,MATCH(COLUMNS($AM$1006:AY1006),$AM$1006:$BM$1006,0))&gt;=100000), " ",IF(INDEX($AM$2:$BM$1001,MATCH(ROWS($AF$2:AF865),$AF$2:$AF$1001,0),MATCH(COLUMNS($AM$1006:AY1006),$AM$1006:$BM$1006,0)), HYPERLINK("#",""), HYPERLINK(CONCATENATE("#metadata!", ADDRESS(INDEX($AH$2:$AH$1001,MATCH(ROWS($AF$2:AF865),$AF$2:$AF$1001,0),0), INDEX($AM$1004:$BM$1004,1,MATCH(COLUMNS($AM$1006:AY1006),$AM$1006:$BM$1006,0)))),"Fix")))</f>
        <v xml:space="preserve"> </v>
      </c>
      <c r="O865" s="4" t="str">
        <f ca="1">IF(OR(INDEX($AG$2:$AG$1001,MATCH(ROWS($AF$2:AF865),$AF$2:$AF$1001,0),1)&gt;=100000,INDEX($AM$1005:$BM$1005,1,MATCH(COLUMNS($AM$1006:AZ1006),$AM$1006:$BM$1006,0))&gt;=100000), " ",IF(INDEX($AM$2:$BM$1001,MATCH(ROWS($AF$2:AF865),$AF$2:$AF$1001,0),MATCH(COLUMNS($AM$1006:AZ1006),$AM$1006:$BM$1006,0)), HYPERLINK("#",""), HYPERLINK(CONCATENATE("#metadata!", ADDRESS(INDEX($AH$2:$AH$1001,MATCH(ROWS($AF$2:AF865),$AF$2:$AF$1001,0),0), INDEX($AM$1004:$BM$1004,1,MATCH(COLUMNS($AM$1006:AZ1006),$AM$1006:$BM$1006,0)))),"Fix")))</f>
        <v xml:space="preserve"> </v>
      </c>
      <c r="P865" s="4" t="str">
        <f ca="1">IF(OR(INDEX($AG$2:$AG$1001,MATCH(ROWS($AF$2:AF865),$AF$2:$AF$1001,0),1)&gt;=100000,INDEX($AM$1005:$BM$1005,1,MATCH(COLUMNS($AM$1006:BA1006),$AM$1006:$BM$1006,0))&gt;=100000), " ",IF(INDEX($AM$2:$BM$1001,MATCH(ROWS($AF$2:AF865),$AF$2:$AF$1001,0),MATCH(COLUMNS($AM$1006:BA1006),$AM$1006:$BM$1006,0)), HYPERLINK("#",""), HYPERLINK(CONCATENATE("#metadata!", ADDRESS(INDEX($AH$2:$AH$1001,MATCH(ROWS($AF$2:AF865),$AF$2:$AF$1001,0),0), INDEX($AM$1004:$BM$1004,1,MATCH(COLUMNS($AM$1006:BA1006),$AM$1006:$BM$1006,0)))),"Fix")))</f>
        <v xml:space="preserve"> </v>
      </c>
      <c r="Q865" s="4" t="str">
        <f ca="1">IF(OR(INDEX($AG$2:$AG$1001,MATCH(ROWS($AF$2:AF865),$AF$2:$AF$1001,0),1)&gt;=100000,INDEX($AM$1005:$BM$1005,1,MATCH(COLUMNS($AM$1006:BB1006),$AM$1006:$BM$1006,0))&gt;=100000), " ",IF(INDEX($AM$2:$BM$1001,MATCH(ROWS($AF$2:AF865),$AF$2:$AF$1001,0),MATCH(COLUMNS($AM$1006:BB1006),$AM$1006:$BM$1006,0)), HYPERLINK("#",""), HYPERLINK(CONCATENATE("#metadata!", ADDRESS(INDEX($AH$2:$AH$1001,MATCH(ROWS($AF$2:AF865),$AF$2:$AF$1001,0),0), INDEX($AM$1004:$BM$1004,1,MATCH(COLUMNS($AM$1006:BB1006),$AM$1006:$BM$1006,0)))),"Fix")))</f>
        <v xml:space="preserve"> </v>
      </c>
      <c r="R865" s="4" t="str">
        <f ca="1">IF(OR(INDEX($AG$2:$AG$1001,MATCH(ROWS($AF$2:AF865),$AF$2:$AF$1001,0),1)&gt;=100000,INDEX($AM$1005:$BM$1005,1,MATCH(COLUMNS($AM$1006:BC1006),$AM$1006:$BM$1006,0))&gt;=100000), " ",IF(INDEX($AM$2:$BM$1001,MATCH(ROWS($AF$2:AF865),$AF$2:$AF$1001,0),MATCH(COLUMNS($AM$1006:BC1006),$AM$1006:$BM$1006,0)), HYPERLINK("#",""), HYPERLINK(CONCATENATE("#metadata!", ADDRESS(INDEX($AH$2:$AH$1001,MATCH(ROWS($AF$2:AF865),$AF$2:$AF$1001,0),0), INDEX($AM$1004:$BM$1004,1,MATCH(COLUMNS($AM$1006:BC1006),$AM$1006:$BM$1006,0)))),"Fix")))</f>
        <v xml:space="preserve"> </v>
      </c>
      <c r="S865" s="4" t="str">
        <f ca="1">IF(OR(INDEX($AG$2:$AG$1001,MATCH(ROWS($AF$2:AF865),$AF$2:$AF$1001,0),1)&gt;=100000,INDEX($AM$1005:$BM$1005,1,MATCH(COLUMNS($AM$1006:BD1006),$AM$1006:$BM$1006,0))&gt;=100000), " ",IF(INDEX($AM$2:$BM$1001,MATCH(ROWS($AF$2:AF865),$AF$2:$AF$1001,0),MATCH(COLUMNS($AM$1006:BD1006),$AM$1006:$BM$1006,0)), HYPERLINK("#",""), HYPERLINK(CONCATENATE("#metadata!", ADDRESS(INDEX($AH$2:$AH$1001,MATCH(ROWS($AF$2:AF865),$AF$2:$AF$1001,0),0), INDEX($AM$1004:$BM$1004,1,MATCH(COLUMNS($AM$1006:BD1006),$AM$1006:$BM$1006,0)))),"Fix")))</f>
        <v xml:space="preserve"> </v>
      </c>
      <c r="T865" s="4" t="str">
        <f ca="1">IF(OR(INDEX($AG$2:$AG$1001,MATCH(ROWS($AF$2:AF865),$AF$2:$AF$1001,0),1)&gt;=100000,INDEX($AM$1005:$BM$1005,1,MATCH(COLUMNS($AM$1006:BE1006),$AM$1006:$BM$1006,0))&gt;=100000), " ",IF(INDEX($AM$2:$BM$1001,MATCH(ROWS($AF$2:AF865),$AF$2:$AF$1001,0),MATCH(COLUMNS($AM$1006:BE1006),$AM$1006:$BM$1006,0)), HYPERLINK("#",""), HYPERLINK(CONCATENATE("#metadata!", ADDRESS(INDEX($AH$2:$AH$1001,MATCH(ROWS($AF$2:AF865),$AF$2:$AF$1001,0),0), INDEX($AM$1004:$BM$1004,1,MATCH(COLUMNS($AM$1006:BE1006),$AM$1006:$BM$1006,0)))),"Fix")))</f>
        <v xml:space="preserve"> </v>
      </c>
      <c r="U865" s="4" t="str">
        <f ca="1">IF(OR(INDEX($AG$2:$AG$1001,MATCH(ROWS($AF$2:AF865),$AF$2:$AF$1001,0),1)&gt;=100000,INDEX($AM$1005:$BM$1005,1,MATCH(COLUMNS($AM$1006:BF1006),$AM$1006:$BM$1006,0))&gt;=100000), " ",IF(INDEX($AM$2:$BM$1001,MATCH(ROWS($AF$2:AF865),$AF$2:$AF$1001,0),MATCH(COLUMNS($AM$1006:BF1006),$AM$1006:$BM$1006,0)), HYPERLINK("#",""), HYPERLINK(CONCATENATE("#metadata!", ADDRESS(INDEX($AH$2:$AH$1001,MATCH(ROWS($AF$2:AF865),$AF$2:$AF$1001,0),0), INDEX($AM$1004:$BM$1004,1,MATCH(COLUMNS($AM$1006:BF1006),$AM$1006:$BM$1006,0)))),"Fix")))</f>
        <v xml:space="preserve"> </v>
      </c>
      <c r="V865" s="4" t="str">
        <f ca="1">IF(OR(INDEX($AG$2:$AG$1001,MATCH(ROWS($AF$2:AF865),$AF$2:$AF$1001,0),1)&gt;=100000,INDEX($AM$1005:$BM$1005,1,MATCH(COLUMNS($AM$1006:BG1006),$AM$1006:$BM$1006,0))&gt;=100000), " ",IF(INDEX($AM$2:$BM$1001,MATCH(ROWS($AF$2:AF865),$AF$2:$AF$1001,0),MATCH(COLUMNS($AM$1006:BG1006),$AM$1006:$BM$1006,0)), HYPERLINK("#",""), HYPERLINK(CONCATENATE("#metadata!", ADDRESS(INDEX($AH$2:$AH$1001,MATCH(ROWS($AF$2:AF865),$AF$2:$AF$1001,0),0), INDEX($AM$1004:$BM$1004,1,MATCH(COLUMNS($AM$1006:BG1006),$AM$1006:$BM$1006,0)))),"Fix")))</f>
        <v xml:space="preserve"> </v>
      </c>
      <c r="W865" s="4" t="str">
        <f ca="1">IF(OR(INDEX($AG$2:$AG$1001,MATCH(ROWS($AF$2:AF865),$AF$2:$AF$1001,0),1)&gt;=100000,INDEX($AM$1005:$BM$1005,1,MATCH(COLUMNS($AM$1006:BH1006),$AM$1006:$BM$1006,0))&gt;=100000), " ",IF(INDEX($AM$2:$BM$1001,MATCH(ROWS($AF$2:AF865),$AF$2:$AF$1001,0),MATCH(COLUMNS($AM$1006:BH1006),$AM$1006:$BM$1006,0)), HYPERLINK("#",""), HYPERLINK(CONCATENATE("#metadata!", ADDRESS(INDEX($AH$2:$AH$1001,MATCH(ROWS($AF$2:AF865),$AF$2:$AF$1001,0),0), INDEX($AM$1004:$BM$1004,1,MATCH(COLUMNS($AM$1006:BH1006),$AM$1006:$BM$1006,0)))),"Fix")))</f>
        <v xml:space="preserve"> </v>
      </c>
      <c r="X865" s="4" t="str">
        <f ca="1">IF(OR(INDEX($AG$2:$AG$1001,MATCH(ROWS($AF$2:AF865),$AF$2:$AF$1001,0),1)&gt;=100000,INDEX($AM$1005:$BM$1005,1,MATCH(COLUMNS($AM$1006:BI1006),$AM$1006:$BM$1006,0))&gt;=100000), " ",IF(INDEX($AM$2:$BM$1001,MATCH(ROWS($AF$2:AF865),$AF$2:$AF$1001,0),MATCH(COLUMNS($AM$1006:BI1006),$AM$1006:$BM$1006,0)), HYPERLINK("#",""), HYPERLINK(CONCATENATE("#metadata!", ADDRESS(INDEX($AH$2:$AH$1001,MATCH(ROWS($AF$2:AF865),$AF$2:$AF$1001,0),0), INDEX($AM$1004:$BM$1004,1,MATCH(COLUMNS($AM$1006:BI1006),$AM$1006:$BM$1006,0)))),"Fix")))</f>
        <v xml:space="preserve"> </v>
      </c>
      <c r="Y865" s="4" t="str">
        <f ca="1">IF(OR(INDEX($AG$2:$AG$1001,MATCH(ROWS($AF$2:AF865),$AF$2:$AF$1001,0),1)&gt;=100000,INDEX($AM$1005:$BM$1005,1,MATCH(COLUMNS($AM$1006:BJ1006),$AM$1006:$BM$1006,0))&gt;=100000), " ",IF(INDEX($AM$2:$BM$1001,MATCH(ROWS($AF$2:AF865),$AF$2:$AF$1001,0),MATCH(COLUMNS($AM$1006:BJ1006),$AM$1006:$BM$1006,0)), HYPERLINK("#",""), HYPERLINK(CONCATENATE("#metadata!", ADDRESS(INDEX($AH$2:$AH$1001,MATCH(ROWS($AF$2:AF865),$AF$2:$AF$1001,0),0), INDEX($AM$1004:$BM$1004,1,MATCH(COLUMNS($AM$1006:BJ1006),$AM$1006:$BM$1006,0)))),"Fix")))</f>
        <v xml:space="preserve"> </v>
      </c>
      <c r="Z865" s="4" t="str">
        <f ca="1">IF(OR(INDEX($AG$2:$AG$1001,MATCH(ROWS($AF$2:AF865),$AF$2:$AF$1001,0),1)&gt;=100000,INDEX($AM$1005:$BM$1005,1,MATCH(COLUMNS($AM$1006:BK1006),$AM$1006:$BM$1006,0))&gt;=100000), " ",IF(INDEX($AM$2:$BM$1001,MATCH(ROWS($AF$2:AF865),$AF$2:$AF$1001,0),MATCH(COLUMNS($AM$1006:BK1006),$AM$1006:$BM$1006,0)), HYPERLINK("#",""), HYPERLINK(CONCATENATE("#metadata!", ADDRESS(INDEX($AH$2:$AH$1001,MATCH(ROWS($AF$2:AF865),$AF$2:$AF$1001,0),0), INDEX($AM$1004:$BM$1004,1,MATCH(COLUMNS($AM$1006:BK1006),$AM$1006:$BM$1006,0)))),"Fix")))</f>
        <v xml:space="preserve"> </v>
      </c>
      <c r="AA865" s="4" t="str">
        <f ca="1">IF(OR(INDEX($AG$2:$AG$1001,MATCH(ROWS($AF$2:AF865),$AF$2:$AF$1001,0),1)&gt;=100000,INDEX($AM$1005:$BM$1005,1,MATCH(COLUMNS($AM$1006:BL1006),$AM$1006:$BM$1006,0))&gt;=100000), " ",IF(INDEX($AM$2:$BM$1001,MATCH(ROWS($AF$2:AF865),$AF$2:$AF$1001,0),MATCH(COLUMNS($AM$1006:BL1006),$AM$1006:$BM$1006,0)), HYPERLINK("#",""), HYPERLINK(CONCATENATE("#metadata!", ADDRESS(INDEX($AH$2:$AH$1001,MATCH(ROWS($AF$2:AF865),$AF$2:$AF$1001,0),0), INDEX($AM$1004:$BM$1004,1,MATCH(COLUMNS($AM$1006:BL1006),$AM$1006:$BM$1006,0)))),"Fix")))</f>
        <v xml:space="preserve"> </v>
      </c>
      <c r="AB865" s="4" t="str">
        <f ca="1">IF(OR(INDEX($AG$2:$AG$1001,MATCH(ROWS($AF$2:AF865),$AF$2:$AF$1001,0),1)&gt;=100000,INDEX($AM$1005:$BM$1005,1,MATCH(COLUMNS($AM$1006:BM1006),$AM$1006:$BM$1006,0))&gt;=100000), " ",IF(INDEX($AM$2:$BM$1001,MATCH(ROWS($AF$2:AF865),$AF$2:$AF$1001,0),MATCH(COLUMNS($AM$1006:BM1006),$AM$1006:$BM$1006,0)), HYPERLINK("#",""), HYPERLINK(CONCATENATE("#metadata!", ADDRESS(INDEX($AH$2:$AH$1001,MATCH(ROWS($AF$2:AF865),$AF$2:$AF$1001,0),0), INDEX($AM$1004:$BM$1004,1,MATCH(COLUMNS($AM$1006:BM1006),$AM$1006:$BM$1006,0)))),"Fix")))</f>
        <v xml:space="preserve"> </v>
      </c>
      <c r="AF865">
        <v>864</v>
      </c>
      <c r="AG865">
        <v>100865</v>
      </c>
      <c r="AH865">
        <v>865</v>
      </c>
      <c r="AI865" t="b">
        <f t="shared" si="13"/>
        <v>1</v>
      </c>
      <c r="AJ865" t="b">
        <f>COUNTBLANK(metadata!B865:AB865)=COLUMNS(metadata!B865:AB865)</f>
        <v>1</v>
      </c>
      <c r="AK865" t="str">
        <v/>
      </c>
      <c r="AM865" t="b">
        <f ca="1">AND(IF(metadata!B865="",FALSE,TRUE),COUNTIF(metadata!B:B, metadata!B865) = 1,NOT(ISERROR(SUMPRODUCT(SEARCH(MID(metadata!B865,ROW(INDIRECT("1:"&amp;LEN(metadata!B865))), 1),"0123456789abcdefghijklmnopqrstuvwxyzABCDEFGHIJKLMNOPQRSTUVWXYZ.")))))</f>
        <v>0</v>
      </c>
      <c r="AN865" t="b">
        <f ca="1">OR(AND(IF(metadata!C865="",FALSE,TRUE),OR(EXACT(metadata!C865,"missing: not collected"),EXACT(metadata!C865,"missing: not provided"),EXACT(metadata!C865,"missing: restricted access"))),AND(IF(metadata!C865="",FALSE,TRUE),AND(AND(IFERROR(INT(LEFT(metadata!C865,4))&gt;1900,FALSE),IFERROR(INT(LEFT(metadata!C865,4))&lt;=YEAR(NOW()),FALSE)), OR(MID(metadata!C865,5,1)="", AND(AND(MID(metadata!C865,5,1)="-",IFERROR(INT(MID(metadata!C865,6,1))&gt;=0,FALSE),IFERROR(INT(MID(metadata!C865,6,1))&lt;=1,FALSE),NOT(MID(metadata!C865,7,1)=""),IFERROR(INT(MID(metadata!C865,6,2))&gt;=1,FALSE),IFERROR(INT(MID(metadata!C865,6,2))&lt;=12,FALSE)), OR(MID(metadata!C865,8,1)="", AND(AND(MID(metadata!C865,8,1)="-",IFERROR(INT(MID(metadata!C865,9,1))&gt;=0,FALSE),IFERROR(INT(MID(metadata!C865,9,1))&lt;=3,FALSE),NOT(MID(metadata!C865,10,1)=""),IFERROR(INT(MID(metadata!C865,9,2))&gt;=1,FALSE),IFERROR(INT(MID(metadata!C865,9,2))&lt;=31,FALSE)), OR(MID(metadata!C865,11,1)="", AND(AND(MID(metadata!C865,11,1)=" ",IFERROR(INT(MID(metadata!C865,12,1))&gt;=0,FALSE),IFERROR(INT(MID(metadata!C865,12,1))&lt;=2,FALSE),NOT(MID(metadata!C865,13,1)=""),IFERROR(INT(MID(metadata!C865,12,2))&gt;=0,FALSE),IFERROR(INT(MID(metadata!C865,12,2))&lt;=23,FALSE)), OR(MID(metadata!C865,14,1)="", AND(AND(MID(metadata!C865,14,1)=":",IFERROR(INT(MID(metadata!C865,15,1))&gt;=0,FALSE),IFERROR(INT(MID(metadata!C865,15,1))&lt;=5,FALSE),NOT(MID(metadata!C865,16,1)=""),IFERROR(INT(MID(metadata!C865,15,2))&gt;=0,FALSE),IFERROR(INT(MID(metadata!C865,15,2))&lt;=59,FALSE)), OR(MID(metadata!C865,17,1)="", AND(AND(MID(metadata!C865,17,1)=":",IFERROR(INT(MID(metadata!C865,18,1))&gt;=0,FALSE),IFERROR(INT(MID(metadata!C865,18,1))&lt;=5,FALSE),NOT(MID(metadata!C865,19,1)=""),IFERROR(INT(MID(metadata!C865,18,2))&gt;=0,FALSE),IFERROR(INT(MID(metadata!C865,18,2))&lt;=59,FALSE)), LEN(metadata!C865)&lt;=19)))))))))))))</f>
        <v>0</v>
      </c>
      <c r="AO865" t="b">
        <f>AND(IF(metadata!D865="",FALSE,TRUE),EXACT(metadata!D865,"Not applicable"))</f>
        <v>0</v>
      </c>
      <c r="AP865" t="b">
        <f>IF(metadata!E865="",FALSE,TRUE)</f>
        <v>0</v>
      </c>
      <c r="AQ865" t="b">
        <f>OR(AND(IF(metadata!F865="",FALSE,TRUE),OR(EXACT(metadata!F865,"missing: not collected"),EXACT(metadata!F865,"missing: not provided"))),AND(IF(metadata!F865="",FALSE,TRUE),OR(EXACT(metadata!F865,"TRUE"),EXACT(metadata!F865,"FALSE"))))</f>
        <v>0</v>
      </c>
      <c r="AR865" t="b">
        <f>OR(AND(IF(metadata!G865="",FALSE,TRUE),OR(EXACT(metadata!G865,"missing: not collected"),EXACT(metadata!G865,"missing: not provided"),EXACT(metadata!G865,"missing: restricted access"))),AND(IF(metadata!G865="",FALSE,ISNUMBER(VALUE(metadata!G865))),metadata!G865&gt;=-413))</f>
        <v>0</v>
      </c>
      <c r="AS865" t="b">
        <f>AND(IF(metadata!H865="",FALSE,TRUE),EXACT(metadata!H865,"meters"))</f>
        <v>0</v>
      </c>
      <c r="AT865" t="b">
        <f>AND(IF(metadata!I865="",FALSE,TRUE),OR(EXACT(metadata!I865,"Host-associated"),EXACT(metadata!I865,"Free-living")))</f>
        <v>0</v>
      </c>
      <c r="AU865" t="b">
        <f>AND(IF(metadata!J865="",FALSE,TRUE),OR(EXACT(metadata!J865,"Animal"),EXACT(metadata!J865,"Fungus"),EXACT(metadata!J865,"Plant"),EXACT(metadata!J865,"Saline"),EXACT(metadata!J865,"Non-saline")))</f>
        <v>0</v>
      </c>
      <c r="AV865" t="b">
        <f>AND(IF(metadata!K865="",FALSE,TRUE),OR(EXACT(metadata!K865,"Plant secretion"),EXACT(metadata!K865,"Plant rhizosphere"),EXACT(metadata!K865,"Plant surface"),EXACT(metadata!K865,"Plant corpus"),EXACT(metadata!K865,"Fungus surface"),EXACT(metadata!K865,"Fungus corpus"),EXACT(metadata!K865,"Animal surface"),EXACT(metadata!K865,"Animal proximal gut"),EXACT(metadata!K865,"Animal corpus"),EXACT(metadata!K865,"Animal distal gut"),EXACT(metadata!K865,"Animal secretion"),EXACT(metadata!K865,"Sub-surface (non-saline)"),EXACT(metadata!K865,"Surface (non-saline)"),EXACT(metadata!K865,"Water (non-saline)"),EXACT(metadata!K865,"Soil (non-saline)"),EXACT(metadata!K865,"Aerosol (non-saline)"),EXACT(metadata!K865,"Sediment (non-saline)"),EXACT(metadata!K865,"Surface (saline)"),EXACT(metadata!K865,"Water (saline)"),EXACT(metadata!K865,"Hypersaline (saline)"),EXACT(metadata!K865,"Aerosol (saline)"),EXACT(metadata!K865,"Sediment (saline)")))</f>
        <v>0</v>
      </c>
      <c r="AW865" t="b">
        <f>IF(metadata!L865="",FALSE,TRUE)</f>
        <v>0</v>
      </c>
      <c r="AX865" t="b">
        <f>IF(metadata!M865="",FALSE,TRUE)</f>
        <v>0</v>
      </c>
      <c r="AY865" t="b">
        <f>IF(metadata!N865="",FALSE,TRUE)</f>
        <v>0</v>
      </c>
      <c r="AZ865" t="b">
        <f>OR(AND(IF(metadata!O865="",FALSE,TRUE),OR(EXACT(metadata!O865,"missing: not collected"),EXACT(metadata!O865,"missing: not provided"),EXACT(metadata!O865,"missing: restricted access"))),AND(IF(metadata!O865="",FALSE,TRUE),OR(EXACT(metadata!O865,"air"),EXACT(metadata!O865,"built environment"),EXACT(metadata!O865,"host-associated"),EXACT(metadata!O865,"human-associated"),EXACT(metadata!O865,"human-skin"),EXACT(metadata!O865,"human-oral"),EXACT(metadata!O865,"human-gut"),EXACT(metadata!O865,"human-vaginal"),EXACT(metadata!O865,"microbial mat/biofilm"),EXACT(metadata!O865,"misc environment"),EXACT(metadata!O865,"plant-associated"),EXACT(metadata!O865,"sediment"),EXACT(metadata!O865,"soil"),EXACT(metadata!O865,"wastewater/sludge"),EXACT(metadata!O865,"water"))))</f>
        <v>0</v>
      </c>
      <c r="BA865" t="b">
        <f>IF(metadata!P865="",FALSE,TRUE)</f>
        <v>0</v>
      </c>
      <c r="BB865" t="b">
        <f>IF(metadata!Q865="",FALSE,TRUE)</f>
        <v>0</v>
      </c>
      <c r="BC865" t="b">
        <f>OR(AND(IF(metadata!R865="",FALSE,TRUE),OR(EXACT(metadata!R865,"missing: not collected"),EXACT(metadata!R865,"missing: not provided"),EXACT(metadata!R865,"missing: restricted access"))),AND(IF(metadata!R865="",FALSE,ISNUMBER(VALUE(metadata!R865))),metadata!R865&gt;=-90,metadata!R865&lt;=90))</f>
        <v>0</v>
      </c>
      <c r="BD865" t="b">
        <f>AND(IF(metadata!S865="",FALSE,TRUE),EXACT(metadata!S865,"Decimal degrees"))</f>
        <v>0</v>
      </c>
      <c r="BE865" t="b">
        <f>OR(AND(IF(metadata!T865="",FALSE,TRUE),OR(EXACT(metadata!T865,"missing: not collected"),EXACT(metadata!T865,"missing: not provided"),EXACT(metadata!T865,"missing: restricted access"))),AND(IF(metadata!T865="",FALSE,ISNUMBER(VALUE(metadata!T865))),metadata!T865&gt;=-180,metadata!T865&lt;=180))</f>
        <v>0</v>
      </c>
      <c r="BF865" t="b">
        <f>AND(IF(metadata!U865="",FALSE,TRUE),EXACT(metadata!U865,"Decimal degrees"))</f>
        <v>0</v>
      </c>
      <c r="BG865" t="b">
        <f>IF(metadata!V865="",FALSE,TRUE)</f>
        <v>0</v>
      </c>
      <c r="BH865" t="b">
        <f>OR(AND(IF(metadata!W865="",FALSE,TRUE),OR(EXACT(metadata!W865,"missing: not collected"),EXACT(metadata!W865,"missing: not provided"),EXACT(metadata!W865,"missing: restricted access"))),AND(IF(metadata!W865="",FALSE,TRUE),OR(EXACT(metadata!W865,"TRUE"),EXACT(metadata!W865,"FALSE"))))</f>
        <v>0</v>
      </c>
      <c r="BI865" t="b">
        <f>AND(IF(metadata!X865="",FALSE,TRUE),EXACT(metadata!X865,"other"))</f>
        <v>0</v>
      </c>
      <c r="BJ865" t="b">
        <f>IF(metadata!Y865="",FALSE,TRUE)</f>
        <v>0</v>
      </c>
      <c r="BK865" t="b">
        <f>OR(AND(IF(metadata!Z865="",FALSE,TRUE),OR(EXACT(metadata!Z865,"missing: not collected"),EXACT(metadata!Z865,"missing: not provided"))),AND(IF(metadata!Z865="",FALSE,IF(ISERROR(INT(metadata!Z865)),FALSE,INT(metadata!Z865)=metadata!Z865)),metadata!Z865&gt;0))</f>
        <v>0</v>
      </c>
      <c r="BL865" t="b">
        <f>AND(IF(metadata!AA865="",FALSE,TRUE),EXACT(metadata!AA865,"Not applicable"))</f>
        <v>0</v>
      </c>
      <c r="BM865" t="b">
        <f>IF(metadata!AB865="",FALSE,TRUE)</f>
        <v>0</v>
      </c>
    </row>
    <row r="866" spans="1:65" x14ac:dyDescent="0.2">
      <c r="A866" s="5" t="str">
        <f ca="1">IF(B866=" "," ",HYPERLINK(CONCATENATE("#metadata!",ADDRESS(INDEX($AH$2:$AH$1001,MATCH(ROWS($AF$2:AF866),$AF$2:$AF$1001,0),0),1)),INDEX($AK$2:$AK$1001,MATCH(ROWS($AF$2:AF866),$AF$2:$AF$1001,0),0)))</f>
        <v xml:space="preserve"> </v>
      </c>
      <c r="B866" s="4" t="str">
        <f ca="1">IF(OR(INDEX($AG$2:$AG$1001,MATCH(ROWS($AF$2:AF866),$AF$2:$AF$1001,0),1)&gt;=100000,INDEX($AM$1005:$BM$1005,1,MATCH(COLUMNS($AM$1006:AM1006),$AM$1006:$BM$1006,0))&gt;=100000), " ",IF(INDEX($AM$2:$BM$1001,MATCH(ROWS($AF$2:AF866),$AF$2:$AF$1001,0),MATCH(COLUMNS($AM$1006:AM1006),$AM$1006:$BM$1006,0)), HYPERLINK("#",""), HYPERLINK(CONCATENATE("#metadata!", ADDRESS(INDEX($AH$2:$AH$1001,MATCH(ROWS($AF$2:AF866),$AF$2:$AF$1001,0),0), INDEX($AM$1004:$BM$1004,1,MATCH(COLUMNS($AM$1006:AM1006),$AM$1006:$BM$1006,0)))),"Fix")))</f>
        <v xml:space="preserve"> </v>
      </c>
      <c r="C866" s="4" t="str">
        <f ca="1">IF(OR(INDEX($AG$2:$AG$1001,MATCH(ROWS($AF$2:AF866),$AF$2:$AF$1001,0),1)&gt;=100000,INDEX($AM$1005:$BM$1005,1,MATCH(COLUMNS($AM$1006:AN1006),$AM$1006:$BM$1006,0))&gt;=100000), " ",IF(INDEX($AM$2:$BM$1001,MATCH(ROWS($AF$2:AF866),$AF$2:$AF$1001,0),MATCH(COLUMNS($AM$1006:AN1006),$AM$1006:$BM$1006,0)), HYPERLINK("#",""), HYPERLINK(CONCATENATE("#metadata!", ADDRESS(INDEX($AH$2:$AH$1001,MATCH(ROWS($AF$2:AF866),$AF$2:$AF$1001,0),0), INDEX($AM$1004:$BM$1004,1,MATCH(COLUMNS($AM$1006:AN1006),$AM$1006:$BM$1006,0)))),"Fix")))</f>
        <v xml:space="preserve"> </v>
      </c>
      <c r="D866" s="4" t="str">
        <f ca="1">IF(OR(INDEX($AG$2:$AG$1001,MATCH(ROWS($AF$2:AF866),$AF$2:$AF$1001,0),1)&gt;=100000,INDEX($AM$1005:$BM$1005,1,MATCH(COLUMNS($AM$1006:AO1006),$AM$1006:$BM$1006,0))&gt;=100000), " ",IF(INDEX($AM$2:$BM$1001,MATCH(ROWS($AF$2:AF866),$AF$2:$AF$1001,0),MATCH(COLUMNS($AM$1006:AO1006),$AM$1006:$BM$1006,0)), HYPERLINK("#",""), HYPERLINK(CONCATENATE("#metadata!", ADDRESS(INDEX($AH$2:$AH$1001,MATCH(ROWS($AF$2:AF866),$AF$2:$AF$1001,0),0), INDEX($AM$1004:$BM$1004,1,MATCH(COLUMNS($AM$1006:AO1006),$AM$1006:$BM$1006,0)))),"Fix")))</f>
        <v xml:space="preserve"> </v>
      </c>
      <c r="E866" s="4" t="str">
        <f ca="1">IF(OR(INDEX($AG$2:$AG$1001,MATCH(ROWS($AF$2:AF866),$AF$2:$AF$1001,0),1)&gt;=100000,INDEX($AM$1005:$BM$1005,1,MATCH(COLUMNS($AM$1006:AP1006),$AM$1006:$BM$1006,0))&gt;=100000), " ",IF(INDEX($AM$2:$BM$1001,MATCH(ROWS($AF$2:AF866),$AF$2:$AF$1001,0),MATCH(COLUMNS($AM$1006:AP1006),$AM$1006:$BM$1006,0)), HYPERLINK("#",""), HYPERLINK(CONCATENATE("#metadata!", ADDRESS(INDEX($AH$2:$AH$1001,MATCH(ROWS($AF$2:AF866),$AF$2:$AF$1001,0),0), INDEX($AM$1004:$BM$1004,1,MATCH(COLUMNS($AM$1006:AP1006),$AM$1006:$BM$1006,0)))),"Fix")))</f>
        <v xml:space="preserve"> </v>
      </c>
      <c r="F866" s="4" t="str">
        <f ca="1">IF(OR(INDEX($AG$2:$AG$1001,MATCH(ROWS($AF$2:AF866),$AF$2:$AF$1001,0),1)&gt;=100000,INDEX($AM$1005:$BM$1005,1,MATCH(COLUMNS($AM$1006:AQ1006),$AM$1006:$BM$1006,0))&gt;=100000), " ",IF(INDEX($AM$2:$BM$1001,MATCH(ROWS($AF$2:AF866),$AF$2:$AF$1001,0),MATCH(COLUMNS($AM$1006:AQ1006),$AM$1006:$BM$1006,0)), HYPERLINK("#",""), HYPERLINK(CONCATENATE("#metadata!", ADDRESS(INDEX($AH$2:$AH$1001,MATCH(ROWS($AF$2:AF866),$AF$2:$AF$1001,0),0), INDEX($AM$1004:$BM$1004,1,MATCH(COLUMNS($AM$1006:AQ1006),$AM$1006:$BM$1006,0)))),"Fix")))</f>
        <v xml:space="preserve"> </v>
      </c>
      <c r="G866" s="4" t="str">
        <f ca="1">IF(OR(INDEX($AG$2:$AG$1001,MATCH(ROWS($AF$2:AF866),$AF$2:$AF$1001,0),1)&gt;=100000,INDEX($AM$1005:$BM$1005,1,MATCH(COLUMNS($AM$1006:AR1006),$AM$1006:$BM$1006,0))&gt;=100000), " ",IF(INDEX($AM$2:$BM$1001,MATCH(ROWS($AF$2:AF866),$AF$2:$AF$1001,0),MATCH(COLUMNS($AM$1006:AR1006),$AM$1006:$BM$1006,0)), HYPERLINK("#",""), HYPERLINK(CONCATENATE("#metadata!", ADDRESS(INDEX($AH$2:$AH$1001,MATCH(ROWS($AF$2:AF866),$AF$2:$AF$1001,0),0), INDEX($AM$1004:$BM$1004,1,MATCH(COLUMNS($AM$1006:AR1006),$AM$1006:$BM$1006,0)))),"Fix")))</f>
        <v xml:space="preserve"> </v>
      </c>
      <c r="H866" s="4" t="str">
        <f ca="1">IF(OR(INDEX($AG$2:$AG$1001,MATCH(ROWS($AF$2:AF866),$AF$2:$AF$1001,0),1)&gt;=100000,INDEX($AM$1005:$BM$1005,1,MATCH(COLUMNS($AM$1006:AS1006),$AM$1006:$BM$1006,0))&gt;=100000), " ",IF(INDEX($AM$2:$BM$1001,MATCH(ROWS($AF$2:AF866),$AF$2:$AF$1001,0),MATCH(COLUMNS($AM$1006:AS1006),$AM$1006:$BM$1006,0)), HYPERLINK("#",""), HYPERLINK(CONCATENATE("#metadata!", ADDRESS(INDEX($AH$2:$AH$1001,MATCH(ROWS($AF$2:AF866),$AF$2:$AF$1001,0),0), INDEX($AM$1004:$BM$1004,1,MATCH(COLUMNS($AM$1006:AS1006),$AM$1006:$BM$1006,0)))),"Fix")))</f>
        <v xml:space="preserve"> </v>
      </c>
      <c r="I866" s="4" t="str">
        <f ca="1">IF(OR(INDEX($AG$2:$AG$1001,MATCH(ROWS($AF$2:AF866),$AF$2:$AF$1001,0),1)&gt;=100000,INDEX($AM$1005:$BM$1005,1,MATCH(COLUMNS($AM$1006:AT1006),$AM$1006:$BM$1006,0))&gt;=100000), " ",IF(INDEX($AM$2:$BM$1001,MATCH(ROWS($AF$2:AF866),$AF$2:$AF$1001,0),MATCH(COLUMNS($AM$1006:AT1006),$AM$1006:$BM$1006,0)), HYPERLINK("#",""), HYPERLINK(CONCATENATE("#metadata!", ADDRESS(INDEX($AH$2:$AH$1001,MATCH(ROWS($AF$2:AF866),$AF$2:$AF$1001,0),0), INDEX($AM$1004:$BM$1004,1,MATCH(COLUMNS($AM$1006:AT1006),$AM$1006:$BM$1006,0)))),"Fix")))</f>
        <v xml:space="preserve"> </v>
      </c>
      <c r="J866" s="4" t="str">
        <f ca="1">IF(OR(INDEX($AG$2:$AG$1001,MATCH(ROWS($AF$2:AF866),$AF$2:$AF$1001,0),1)&gt;=100000,INDEX($AM$1005:$BM$1005,1,MATCH(COLUMNS($AM$1006:AU1006),$AM$1006:$BM$1006,0))&gt;=100000), " ",IF(INDEX($AM$2:$BM$1001,MATCH(ROWS($AF$2:AF866),$AF$2:$AF$1001,0),MATCH(COLUMNS($AM$1006:AU1006),$AM$1006:$BM$1006,0)), HYPERLINK("#",""), HYPERLINK(CONCATENATE("#metadata!", ADDRESS(INDEX($AH$2:$AH$1001,MATCH(ROWS($AF$2:AF866),$AF$2:$AF$1001,0),0), INDEX($AM$1004:$BM$1004,1,MATCH(COLUMNS($AM$1006:AU1006),$AM$1006:$BM$1006,0)))),"Fix")))</f>
        <v xml:space="preserve"> </v>
      </c>
      <c r="K866" s="4" t="str">
        <f ca="1">IF(OR(INDEX($AG$2:$AG$1001,MATCH(ROWS($AF$2:AF866),$AF$2:$AF$1001,0),1)&gt;=100000,INDEX($AM$1005:$BM$1005,1,MATCH(COLUMNS($AM$1006:AV1006),$AM$1006:$BM$1006,0))&gt;=100000), " ",IF(INDEX($AM$2:$BM$1001,MATCH(ROWS($AF$2:AF866),$AF$2:$AF$1001,0),MATCH(COLUMNS($AM$1006:AV1006),$AM$1006:$BM$1006,0)), HYPERLINK("#",""), HYPERLINK(CONCATENATE("#metadata!", ADDRESS(INDEX($AH$2:$AH$1001,MATCH(ROWS($AF$2:AF866),$AF$2:$AF$1001,0),0), INDEX($AM$1004:$BM$1004,1,MATCH(COLUMNS($AM$1006:AV1006),$AM$1006:$BM$1006,0)))),"Fix")))</f>
        <v xml:space="preserve"> </v>
      </c>
      <c r="L866" s="4" t="str">
        <f ca="1">IF(OR(INDEX($AG$2:$AG$1001,MATCH(ROWS($AF$2:AF866),$AF$2:$AF$1001,0),1)&gt;=100000,INDEX($AM$1005:$BM$1005,1,MATCH(COLUMNS($AM$1006:AW1006),$AM$1006:$BM$1006,0))&gt;=100000), " ",IF(INDEX($AM$2:$BM$1001,MATCH(ROWS($AF$2:AF866),$AF$2:$AF$1001,0),MATCH(COLUMNS($AM$1006:AW1006),$AM$1006:$BM$1006,0)), HYPERLINK("#",""), HYPERLINK(CONCATENATE("#metadata!", ADDRESS(INDEX($AH$2:$AH$1001,MATCH(ROWS($AF$2:AF866),$AF$2:$AF$1001,0),0), INDEX($AM$1004:$BM$1004,1,MATCH(COLUMNS($AM$1006:AW1006),$AM$1006:$BM$1006,0)))),"Fix")))</f>
        <v xml:space="preserve"> </v>
      </c>
      <c r="M866" s="4" t="str">
        <f ca="1">IF(OR(INDEX($AG$2:$AG$1001,MATCH(ROWS($AF$2:AF866),$AF$2:$AF$1001,0),1)&gt;=100000,INDEX($AM$1005:$BM$1005,1,MATCH(COLUMNS($AM$1006:AX1006),$AM$1006:$BM$1006,0))&gt;=100000), " ",IF(INDEX($AM$2:$BM$1001,MATCH(ROWS($AF$2:AF866),$AF$2:$AF$1001,0),MATCH(COLUMNS($AM$1006:AX1006),$AM$1006:$BM$1006,0)), HYPERLINK("#",""), HYPERLINK(CONCATENATE("#metadata!", ADDRESS(INDEX($AH$2:$AH$1001,MATCH(ROWS($AF$2:AF866),$AF$2:$AF$1001,0),0), INDEX($AM$1004:$BM$1004,1,MATCH(COLUMNS($AM$1006:AX1006),$AM$1006:$BM$1006,0)))),"Fix")))</f>
        <v xml:space="preserve"> </v>
      </c>
      <c r="N866" s="4" t="str">
        <f ca="1">IF(OR(INDEX($AG$2:$AG$1001,MATCH(ROWS($AF$2:AF866),$AF$2:$AF$1001,0),1)&gt;=100000,INDEX($AM$1005:$BM$1005,1,MATCH(COLUMNS($AM$1006:AY1006),$AM$1006:$BM$1006,0))&gt;=100000), " ",IF(INDEX($AM$2:$BM$1001,MATCH(ROWS($AF$2:AF866),$AF$2:$AF$1001,0),MATCH(COLUMNS($AM$1006:AY1006),$AM$1006:$BM$1006,0)), HYPERLINK("#",""), HYPERLINK(CONCATENATE("#metadata!", ADDRESS(INDEX($AH$2:$AH$1001,MATCH(ROWS($AF$2:AF866),$AF$2:$AF$1001,0),0), INDEX($AM$1004:$BM$1004,1,MATCH(COLUMNS($AM$1006:AY1006),$AM$1006:$BM$1006,0)))),"Fix")))</f>
        <v xml:space="preserve"> </v>
      </c>
      <c r="O866" s="4" t="str">
        <f ca="1">IF(OR(INDEX($AG$2:$AG$1001,MATCH(ROWS($AF$2:AF866),$AF$2:$AF$1001,0),1)&gt;=100000,INDEX($AM$1005:$BM$1005,1,MATCH(COLUMNS($AM$1006:AZ1006),$AM$1006:$BM$1006,0))&gt;=100000), " ",IF(INDEX($AM$2:$BM$1001,MATCH(ROWS($AF$2:AF866),$AF$2:$AF$1001,0),MATCH(COLUMNS($AM$1006:AZ1006),$AM$1006:$BM$1006,0)), HYPERLINK("#",""), HYPERLINK(CONCATENATE("#metadata!", ADDRESS(INDEX($AH$2:$AH$1001,MATCH(ROWS($AF$2:AF866),$AF$2:$AF$1001,0),0), INDEX($AM$1004:$BM$1004,1,MATCH(COLUMNS($AM$1006:AZ1006),$AM$1006:$BM$1006,0)))),"Fix")))</f>
        <v xml:space="preserve"> </v>
      </c>
      <c r="P866" s="4" t="str">
        <f ca="1">IF(OR(INDEX($AG$2:$AG$1001,MATCH(ROWS($AF$2:AF866),$AF$2:$AF$1001,0),1)&gt;=100000,INDEX($AM$1005:$BM$1005,1,MATCH(COLUMNS($AM$1006:BA1006),$AM$1006:$BM$1006,0))&gt;=100000), " ",IF(INDEX($AM$2:$BM$1001,MATCH(ROWS($AF$2:AF866),$AF$2:$AF$1001,0),MATCH(COLUMNS($AM$1006:BA1006),$AM$1006:$BM$1006,0)), HYPERLINK("#",""), HYPERLINK(CONCATENATE("#metadata!", ADDRESS(INDEX($AH$2:$AH$1001,MATCH(ROWS($AF$2:AF866),$AF$2:$AF$1001,0),0), INDEX($AM$1004:$BM$1004,1,MATCH(COLUMNS($AM$1006:BA1006),$AM$1006:$BM$1006,0)))),"Fix")))</f>
        <v xml:space="preserve"> </v>
      </c>
      <c r="Q866" s="4" t="str">
        <f ca="1">IF(OR(INDEX($AG$2:$AG$1001,MATCH(ROWS($AF$2:AF866),$AF$2:$AF$1001,0),1)&gt;=100000,INDEX($AM$1005:$BM$1005,1,MATCH(COLUMNS($AM$1006:BB1006),$AM$1006:$BM$1006,0))&gt;=100000), " ",IF(INDEX($AM$2:$BM$1001,MATCH(ROWS($AF$2:AF866),$AF$2:$AF$1001,0),MATCH(COLUMNS($AM$1006:BB1006),$AM$1006:$BM$1006,0)), HYPERLINK("#",""), HYPERLINK(CONCATENATE("#metadata!", ADDRESS(INDEX($AH$2:$AH$1001,MATCH(ROWS($AF$2:AF866),$AF$2:$AF$1001,0),0), INDEX($AM$1004:$BM$1004,1,MATCH(COLUMNS($AM$1006:BB1006),$AM$1006:$BM$1006,0)))),"Fix")))</f>
        <v xml:space="preserve"> </v>
      </c>
      <c r="R866" s="4" t="str">
        <f ca="1">IF(OR(INDEX($AG$2:$AG$1001,MATCH(ROWS($AF$2:AF866),$AF$2:$AF$1001,0),1)&gt;=100000,INDEX($AM$1005:$BM$1005,1,MATCH(COLUMNS($AM$1006:BC1006),$AM$1006:$BM$1006,0))&gt;=100000), " ",IF(INDEX($AM$2:$BM$1001,MATCH(ROWS($AF$2:AF866),$AF$2:$AF$1001,0),MATCH(COLUMNS($AM$1006:BC1006),$AM$1006:$BM$1006,0)), HYPERLINK("#",""), HYPERLINK(CONCATENATE("#metadata!", ADDRESS(INDEX($AH$2:$AH$1001,MATCH(ROWS($AF$2:AF866),$AF$2:$AF$1001,0),0), INDEX($AM$1004:$BM$1004,1,MATCH(COLUMNS($AM$1006:BC1006),$AM$1006:$BM$1006,0)))),"Fix")))</f>
        <v xml:space="preserve"> </v>
      </c>
      <c r="S866" s="4" t="str">
        <f ca="1">IF(OR(INDEX($AG$2:$AG$1001,MATCH(ROWS($AF$2:AF866),$AF$2:$AF$1001,0),1)&gt;=100000,INDEX($AM$1005:$BM$1005,1,MATCH(COLUMNS($AM$1006:BD1006),$AM$1006:$BM$1006,0))&gt;=100000), " ",IF(INDEX($AM$2:$BM$1001,MATCH(ROWS($AF$2:AF866),$AF$2:$AF$1001,0),MATCH(COLUMNS($AM$1006:BD1006),$AM$1006:$BM$1006,0)), HYPERLINK("#",""), HYPERLINK(CONCATENATE("#metadata!", ADDRESS(INDEX($AH$2:$AH$1001,MATCH(ROWS($AF$2:AF866),$AF$2:$AF$1001,0),0), INDEX($AM$1004:$BM$1004,1,MATCH(COLUMNS($AM$1006:BD1006),$AM$1006:$BM$1006,0)))),"Fix")))</f>
        <v xml:space="preserve"> </v>
      </c>
      <c r="T866" s="4" t="str">
        <f ca="1">IF(OR(INDEX($AG$2:$AG$1001,MATCH(ROWS($AF$2:AF866),$AF$2:$AF$1001,0),1)&gt;=100000,INDEX($AM$1005:$BM$1005,1,MATCH(COLUMNS($AM$1006:BE1006),$AM$1006:$BM$1006,0))&gt;=100000), " ",IF(INDEX($AM$2:$BM$1001,MATCH(ROWS($AF$2:AF866),$AF$2:$AF$1001,0),MATCH(COLUMNS($AM$1006:BE1006),$AM$1006:$BM$1006,0)), HYPERLINK("#",""), HYPERLINK(CONCATENATE("#metadata!", ADDRESS(INDEX($AH$2:$AH$1001,MATCH(ROWS($AF$2:AF866),$AF$2:$AF$1001,0),0), INDEX($AM$1004:$BM$1004,1,MATCH(COLUMNS($AM$1006:BE1006),$AM$1006:$BM$1006,0)))),"Fix")))</f>
        <v xml:space="preserve"> </v>
      </c>
      <c r="U866" s="4" t="str">
        <f ca="1">IF(OR(INDEX($AG$2:$AG$1001,MATCH(ROWS($AF$2:AF866),$AF$2:$AF$1001,0),1)&gt;=100000,INDEX($AM$1005:$BM$1005,1,MATCH(COLUMNS($AM$1006:BF1006),$AM$1006:$BM$1006,0))&gt;=100000), " ",IF(INDEX($AM$2:$BM$1001,MATCH(ROWS($AF$2:AF866),$AF$2:$AF$1001,0),MATCH(COLUMNS($AM$1006:BF1006),$AM$1006:$BM$1006,0)), HYPERLINK("#",""), HYPERLINK(CONCATENATE("#metadata!", ADDRESS(INDEX($AH$2:$AH$1001,MATCH(ROWS($AF$2:AF866),$AF$2:$AF$1001,0),0), INDEX($AM$1004:$BM$1004,1,MATCH(COLUMNS($AM$1006:BF1006),$AM$1006:$BM$1006,0)))),"Fix")))</f>
        <v xml:space="preserve"> </v>
      </c>
      <c r="V866" s="4" t="str">
        <f ca="1">IF(OR(INDEX($AG$2:$AG$1001,MATCH(ROWS($AF$2:AF866),$AF$2:$AF$1001,0),1)&gt;=100000,INDEX($AM$1005:$BM$1005,1,MATCH(COLUMNS($AM$1006:BG1006),$AM$1006:$BM$1006,0))&gt;=100000), " ",IF(INDEX($AM$2:$BM$1001,MATCH(ROWS($AF$2:AF866),$AF$2:$AF$1001,0),MATCH(COLUMNS($AM$1006:BG1006),$AM$1006:$BM$1006,0)), HYPERLINK("#",""), HYPERLINK(CONCATENATE("#metadata!", ADDRESS(INDEX($AH$2:$AH$1001,MATCH(ROWS($AF$2:AF866),$AF$2:$AF$1001,0),0), INDEX($AM$1004:$BM$1004,1,MATCH(COLUMNS($AM$1006:BG1006),$AM$1006:$BM$1006,0)))),"Fix")))</f>
        <v xml:space="preserve"> </v>
      </c>
      <c r="W866" s="4" t="str">
        <f ca="1">IF(OR(INDEX($AG$2:$AG$1001,MATCH(ROWS($AF$2:AF866),$AF$2:$AF$1001,0),1)&gt;=100000,INDEX($AM$1005:$BM$1005,1,MATCH(COLUMNS($AM$1006:BH1006),$AM$1006:$BM$1006,0))&gt;=100000), " ",IF(INDEX($AM$2:$BM$1001,MATCH(ROWS($AF$2:AF866),$AF$2:$AF$1001,0),MATCH(COLUMNS($AM$1006:BH1006),$AM$1006:$BM$1006,0)), HYPERLINK("#",""), HYPERLINK(CONCATENATE("#metadata!", ADDRESS(INDEX($AH$2:$AH$1001,MATCH(ROWS($AF$2:AF866),$AF$2:$AF$1001,0),0), INDEX($AM$1004:$BM$1004,1,MATCH(COLUMNS($AM$1006:BH1006),$AM$1006:$BM$1006,0)))),"Fix")))</f>
        <v xml:space="preserve"> </v>
      </c>
      <c r="X866" s="4" t="str">
        <f ca="1">IF(OR(INDEX($AG$2:$AG$1001,MATCH(ROWS($AF$2:AF866),$AF$2:$AF$1001,0),1)&gt;=100000,INDEX($AM$1005:$BM$1005,1,MATCH(COLUMNS($AM$1006:BI1006),$AM$1006:$BM$1006,0))&gt;=100000), " ",IF(INDEX($AM$2:$BM$1001,MATCH(ROWS($AF$2:AF866),$AF$2:$AF$1001,0),MATCH(COLUMNS($AM$1006:BI1006),$AM$1006:$BM$1006,0)), HYPERLINK("#",""), HYPERLINK(CONCATENATE("#metadata!", ADDRESS(INDEX($AH$2:$AH$1001,MATCH(ROWS($AF$2:AF866),$AF$2:$AF$1001,0),0), INDEX($AM$1004:$BM$1004,1,MATCH(COLUMNS($AM$1006:BI1006),$AM$1006:$BM$1006,0)))),"Fix")))</f>
        <v xml:space="preserve"> </v>
      </c>
      <c r="Y866" s="4" t="str">
        <f ca="1">IF(OR(INDEX($AG$2:$AG$1001,MATCH(ROWS($AF$2:AF866),$AF$2:$AF$1001,0),1)&gt;=100000,INDEX($AM$1005:$BM$1005,1,MATCH(COLUMNS($AM$1006:BJ1006),$AM$1006:$BM$1006,0))&gt;=100000), " ",IF(INDEX($AM$2:$BM$1001,MATCH(ROWS($AF$2:AF866),$AF$2:$AF$1001,0),MATCH(COLUMNS($AM$1006:BJ1006),$AM$1006:$BM$1006,0)), HYPERLINK("#",""), HYPERLINK(CONCATENATE("#metadata!", ADDRESS(INDEX($AH$2:$AH$1001,MATCH(ROWS($AF$2:AF866),$AF$2:$AF$1001,0),0), INDEX($AM$1004:$BM$1004,1,MATCH(COLUMNS($AM$1006:BJ1006),$AM$1006:$BM$1006,0)))),"Fix")))</f>
        <v xml:space="preserve"> </v>
      </c>
      <c r="Z866" s="4" t="str">
        <f ca="1">IF(OR(INDEX($AG$2:$AG$1001,MATCH(ROWS($AF$2:AF866),$AF$2:$AF$1001,0),1)&gt;=100000,INDEX($AM$1005:$BM$1005,1,MATCH(COLUMNS($AM$1006:BK1006),$AM$1006:$BM$1006,0))&gt;=100000), " ",IF(INDEX($AM$2:$BM$1001,MATCH(ROWS($AF$2:AF866),$AF$2:$AF$1001,0),MATCH(COLUMNS($AM$1006:BK1006),$AM$1006:$BM$1006,0)), HYPERLINK("#",""), HYPERLINK(CONCATENATE("#metadata!", ADDRESS(INDEX($AH$2:$AH$1001,MATCH(ROWS($AF$2:AF866),$AF$2:$AF$1001,0),0), INDEX($AM$1004:$BM$1004,1,MATCH(COLUMNS($AM$1006:BK1006),$AM$1006:$BM$1006,0)))),"Fix")))</f>
        <v xml:space="preserve"> </v>
      </c>
      <c r="AA866" s="4" t="str">
        <f ca="1">IF(OR(INDEX($AG$2:$AG$1001,MATCH(ROWS($AF$2:AF866),$AF$2:$AF$1001,0),1)&gt;=100000,INDEX($AM$1005:$BM$1005,1,MATCH(COLUMNS($AM$1006:BL1006),$AM$1006:$BM$1006,0))&gt;=100000), " ",IF(INDEX($AM$2:$BM$1001,MATCH(ROWS($AF$2:AF866),$AF$2:$AF$1001,0),MATCH(COLUMNS($AM$1006:BL1006),$AM$1006:$BM$1006,0)), HYPERLINK("#",""), HYPERLINK(CONCATENATE("#metadata!", ADDRESS(INDEX($AH$2:$AH$1001,MATCH(ROWS($AF$2:AF866),$AF$2:$AF$1001,0),0), INDEX($AM$1004:$BM$1004,1,MATCH(COLUMNS($AM$1006:BL1006),$AM$1006:$BM$1006,0)))),"Fix")))</f>
        <v xml:space="preserve"> </v>
      </c>
      <c r="AB866" s="4" t="str">
        <f ca="1">IF(OR(INDEX($AG$2:$AG$1001,MATCH(ROWS($AF$2:AF866),$AF$2:$AF$1001,0),1)&gt;=100000,INDEX($AM$1005:$BM$1005,1,MATCH(COLUMNS($AM$1006:BM1006),$AM$1006:$BM$1006,0))&gt;=100000), " ",IF(INDEX($AM$2:$BM$1001,MATCH(ROWS($AF$2:AF866),$AF$2:$AF$1001,0),MATCH(COLUMNS($AM$1006:BM1006),$AM$1006:$BM$1006,0)), HYPERLINK("#",""), HYPERLINK(CONCATENATE("#metadata!", ADDRESS(INDEX($AH$2:$AH$1001,MATCH(ROWS($AF$2:AF866),$AF$2:$AF$1001,0),0), INDEX($AM$1004:$BM$1004,1,MATCH(COLUMNS($AM$1006:BM1006),$AM$1006:$BM$1006,0)))),"Fix")))</f>
        <v xml:space="preserve"> </v>
      </c>
      <c r="AF866">
        <v>865</v>
      </c>
      <c r="AG866">
        <v>100866</v>
      </c>
      <c r="AH866">
        <v>866</v>
      </c>
      <c r="AI866" t="b">
        <f t="shared" si="13"/>
        <v>1</v>
      </c>
      <c r="AJ866" t="b">
        <f>COUNTBLANK(metadata!B866:AB866)=COLUMNS(metadata!B866:AB866)</f>
        <v>1</v>
      </c>
      <c r="AK866" t="str">
        <v/>
      </c>
      <c r="AM866" t="b">
        <f ca="1">AND(IF(metadata!B866="",FALSE,TRUE),COUNTIF(metadata!B:B, metadata!B866) = 1,NOT(ISERROR(SUMPRODUCT(SEARCH(MID(metadata!B866,ROW(INDIRECT("1:"&amp;LEN(metadata!B866))), 1),"0123456789abcdefghijklmnopqrstuvwxyzABCDEFGHIJKLMNOPQRSTUVWXYZ.")))))</f>
        <v>0</v>
      </c>
      <c r="AN866" t="b">
        <f ca="1">OR(AND(IF(metadata!C866="",FALSE,TRUE),OR(EXACT(metadata!C866,"missing: not collected"),EXACT(metadata!C866,"missing: not provided"),EXACT(metadata!C866,"missing: restricted access"))),AND(IF(metadata!C866="",FALSE,TRUE),AND(AND(IFERROR(INT(LEFT(metadata!C866,4))&gt;1900,FALSE),IFERROR(INT(LEFT(metadata!C866,4))&lt;=YEAR(NOW()),FALSE)), OR(MID(metadata!C866,5,1)="", AND(AND(MID(metadata!C866,5,1)="-",IFERROR(INT(MID(metadata!C866,6,1))&gt;=0,FALSE),IFERROR(INT(MID(metadata!C866,6,1))&lt;=1,FALSE),NOT(MID(metadata!C866,7,1)=""),IFERROR(INT(MID(metadata!C866,6,2))&gt;=1,FALSE),IFERROR(INT(MID(metadata!C866,6,2))&lt;=12,FALSE)), OR(MID(metadata!C866,8,1)="", AND(AND(MID(metadata!C866,8,1)="-",IFERROR(INT(MID(metadata!C866,9,1))&gt;=0,FALSE),IFERROR(INT(MID(metadata!C866,9,1))&lt;=3,FALSE),NOT(MID(metadata!C866,10,1)=""),IFERROR(INT(MID(metadata!C866,9,2))&gt;=1,FALSE),IFERROR(INT(MID(metadata!C866,9,2))&lt;=31,FALSE)), OR(MID(metadata!C866,11,1)="", AND(AND(MID(metadata!C866,11,1)=" ",IFERROR(INT(MID(metadata!C866,12,1))&gt;=0,FALSE),IFERROR(INT(MID(metadata!C866,12,1))&lt;=2,FALSE),NOT(MID(metadata!C866,13,1)=""),IFERROR(INT(MID(metadata!C866,12,2))&gt;=0,FALSE),IFERROR(INT(MID(metadata!C866,12,2))&lt;=23,FALSE)), OR(MID(metadata!C866,14,1)="", AND(AND(MID(metadata!C866,14,1)=":",IFERROR(INT(MID(metadata!C866,15,1))&gt;=0,FALSE),IFERROR(INT(MID(metadata!C866,15,1))&lt;=5,FALSE),NOT(MID(metadata!C866,16,1)=""),IFERROR(INT(MID(metadata!C866,15,2))&gt;=0,FALSE),IFERROR(INT(MID(metadata!C866,15,2))&lt;=59,FALSE)), OR(MID(metadata!C866,17,1)="", AND(AND(MID(metadata!C866,17,1)=":",IFERROR(INT(MID(metadata!C866,18,1))&gt;=0,FALSE),IFERROR(INT(MID(metadata!C866,18,1))&lt;=5,FALSE),NOT(MID(metadata!C866,19,1)=""),IFERROR(INT(MID(metadata!C866,18,2))&gt;=0,FALSE),IFERROR(INT(MID(metadata!C866,18,2))&lt;=59,FALSE)), LEN(metadata!C866)&lt;=19)))))))))))))</f>
        <v>0</v>
      </c>
      <c r="AO866" t="b">
        <f>AND(IF(metadata!D866="",FALSE,TRUE),EXACT(metadata!D866,"Not applicable"))</f>
        <v>0</v>
      </c>
      <c r="AP866" t="b">
        <f>IF(metadata!E866="",FALSE,TRUE)</f>
        <v>0</v>
      </c>
      <c r="AQ866" t="b">
        <f>OR(AND(IF(metadata!F866="",FALSE,TRUE),OR(EXACT(metadata!F866,"missing: not collected"),EXACT(metadata!F866,"missing: not provided"))),AND(IF(metadata!F866="",FALSE,TRUE),OR(EXACT(metadata!F866,"TRUE"),EXACT(metadata!F866,"FALSE"))))</f>
        <v>0</v>
      </c>
      <c r="AR866" t="b">
        <f>OR(AND(IF(metadata!G866="",FALSE,TRUE),OR(EXACT(metadata!G866,"missing: not collected"),EXACT(metadata!G866,"missing: not provided"),EXACT(metadata!G866,"missing: restricted access"))),AND(IF(metadata!G866="",FALSE,ISNUMBER(VALUE(metadata!G866))),metadata!G866&gt;=-413))</f>
        <v>0</v>
      </c>
      <c r="AS866" t="b">
        <f>AND(IF(metadata!H866="",FALSE,TRUE),EXACT(metadata!H866,"meters"))</f>
        <v>0</v>
      </c>
      <c r="AT866" t="b">
        <f>AND(IF(metadata!I866="",FALSE,TRUE),OR(EXACT(metadata!I866,"Host-associated"),EXACT(metadata!I866,"Free-living")))</f>
        <v>0</v>
      </c>
      <c r="AU866" t="b">
        <f>AND(IF(metadata!J866="",FALSE,TRUE),OR(EXACT(metadata!J866,"Animal"),EXACT(metadata!J866,"Fungus"),EXACT(metadata!J866,"Plant"),EXACT(metadata!J866,"Saline"),EXACT(metadata!J866,"Non-saline")))</f>
        <v>0</v>
      </c>
      <c r="AV866" t="b">
        <f>AND(IF(metadata!K866="",FALSE,TRUE),OR(EXACT(metadata!K866,"Plant secretion"),EXACT(metadata!K866,"Plant rhizosphere"),EXACT(metadata!K866,"Plant surface"),EXACT(metadata!K866,"Plant corpus"),EXACT(metadata!K866,"Fungus surface"),EXACT(metadata!K866,"Fungus corpus"),EXACT(metadata!K866,"Animal surface"),EXACT(metadata!K866,"Animal proximal gut"),EXACT(metadata!K866,"Animal corpus"),EXACT(metadata!K866,"Animal distal gut"),EXACT(metadata!K866,"Animal secretion"),EXACT(metadata!K866,"Sub-surface (non-saline)"),EXACT(metadata!K866,"Surface (non-saline)"),EXACT(metadata!K866,"Water (non-saline)"),EXACT(metadata!K866,"Soil (non-saline)"),EXACT(metadata!K866,"Aerosol (non-saline)"),EXACT(metadata!K866,"Sediment (non-saline)"),EXACT(metadata!K866,"Surface (saline)"),EXACT(metadata!K866,"Water (saline)"),EXACT(metadata!K866,"Hypersaline (saline)"),EXACT(metadata!K866,"Aerosol (saline)"),EXACT(metadata!K866,"Sediment (saline)")))</f>
        <v>0</v>
      </c>
      <c r="AW866" t="b">
        <f>IF(metadata!L866="",FALSE,TRUE)</f>
        <v>0</v>
      </c>
      <c r="AX866" t="b">
        <f>IF(metadata!M866="",FALSE,TRUE)</f>
        <v>0</v>
      </c>
      <c r="AY866" t="b">
        <f>IF(metadata!N866="",FALSE,TRUE)</f>
        <v>0</v>
      </c>
      <c r="AZ866" t="b">
        <f>OR(AND(IF(metadata!O866="",FALSE,TRUE),OR(EXACT(metadata!O866,"missing: not collected"),EXACT(metadata!O866,"missing: not provided"),EXACT(metadata!O866,"missing: restricted access"))),AND(IF(metadata!O866="",FALSE,TRUE),OR(EXACT(metadata!O866,"air"),EXACT(metadata!O866,"built environment"),EXACT(metadata!O866,"host-associated"),EXACT(metadata!O866,"human-associated"),EXACT(metadata!O866,"human-skin"),EXACT(metadata!O866,"human-oral"),EXACT(metadata!O866,"human-gut"),EXACT(metadata!O866,"human-vaginal"),EXACT(metadata!O866,"microbial mat/biofilm"),EXACT(metadata!O866,"misc environment"),EXACT(metadata!O866,"plant-associated"),EXACT(metadata!O866,"sediment"),EXACT(metadata!O866,"soil"),EXACT(metadata!O866,"wastewater/sludge"),EXACT(metadata!O866,"water"))))</f>
        <v>0</v>
      </c>
      <c r="BA866" t="b">
        <f>IF(metadata!P866="",FALSE,TRUE)</f>
        <v>0</v>
      </c>
      <c r="BB866" t="b">
        <f>IF(metadata!Q866="",FALSE,TRUE)</f>
        <v>0</v>
      </c>
      <c r="BC866" t="b">
        <f>OR(AND(IF(metadata!R866="",FALSE,TRUE),OR(EXACT(metadata!R866,"missing: not collected"),EXACT(metadata!R866,"missing: not provided"),EXACT(metadata!R866,"missing: restricted access"))),AND(IF(metadata!R866="",FALSE,ISNUMBER(VALUE(metadata!R866))),metadata!R866&gt;=-90,metadata!R866&lt;=90))</f>
        <v>0</v>
      </c>
      <c r="BD866" t="b">
        <f>AND(IF(metadata!S866="",FALSE,TRUE),EXACT(metadata!S866,"Decimal degrees"))</f>
        <v>0</v>
      </c>
      <c r="BE866" t="b">
        <f>OR(AND(IF(metadata!T866="",FALSE,TRUE),OR(EXACT(metadata!T866,"missing: not collected"),EXACT(metadata!T866,"missing: not provided"),EXACT(metadata!T866,"missing: restricted access"))),AND(IF(metadata!T866="",FALSE,ISNUMBER(VALUE(metadata!T866))),metadata!T866&gt;=-180,metadata!T866&lt;=180))</f>
        <v>0</v>
      </c>
      <c r="BF866" t="b">
        <f>AND(IF(metadata!U866="",FALSE,TRUE),EXACT(metadata!U866,"Decimal degrees"))</f>
        <v>0</v>
      </c>
      <c r="BG866" t="b">
        <f>IF(metadata!V866="",FALSE,TRUE)</f>
        <v>0</v>
      </c>
      <c r="BH866" t="b">
        <f>OR(AND(IF(metadata!W866="",FALSE,TRUE),OR(EXACT(metadata!W866,"missing: not collected"),EXACT(metadata!W866,"missing: not provided"),EXACT(metadata!W866,"missing: restricted access"))),AND(IF(metadata!W866="",FALSE,TRUE),OR(EXACT(metadata!W866,"TRUE"),EXACT(metadata!W866,"FALSE"))))</f>
        <v>0</v>
      </c>
      <c r="BI866" t="b">
        <f>AND(IF(metadata!X866="",FALSE,TRUE),EXACT(metadata!X866,"other"))</f>
        <v>0</v>
      </c>
      <c r="BJ866" t="b">
        <f>IF(metadata!Y866="",FALSE,TRUE)</f>
        <v>0</v>
      </c>
      <c r="BK866" t="b">
        <f>OR(AND(IF(metadata!Z866="",FALSE,TRUE),OR(EXACT(metadata!Z866,"missing: not collected"),EXACT(metadata!Z866,"missing: not provided"))),AND(IF(metadata!Z866="",FALSE,IF(ISERROR(INT(metadata!Z866)),FALSE,INT(metadata!Z866)=metadata!Z866)),metadata!Z866&gt;0))</f>
        <v>0</v>
      </c>
      <c r="BL866" t="b">
        <f>AND(IF(metadata!AA866="",FALSE,TRUE),EXACT(metadata!AA866,"Not applicable"))</f>
        <v>0</v>
      </c>
      <c r="BM866" t="b">
        <f>IF(metadata!AB866="",FALSE,TRUE)</f>
        <v>0</v>
      </c>
    </row>
    <row r="867" spans="1:65" x14ac:dyDescent="0.2">
      <c r="A867" s="5" t="str">
        <f ca="1">IF(B867=" "," ",HYPERLINK(CONCATENATE("#metadata!",ADDRESS(INDEX($AH$2:$AH$1001,MATCH(ROWS($AF$2:AF867),$AF$2:$AF$1001,0),0),1)),INDEX($AK$2:$AK$1001,MATCH(ROWS($AF$2:AF867),$AF$2:$AF$1001,0),0)))</f>
        <v xml:space="preserve"> </v>
      </c>
      <c r="B867" s="4" t="str">
        <f ca="1">IF(OR(INDEX($AG$2:$AG$1001,MATCH(ROWS($AF$2:AF867),$AF$2:$AF$1001,0),1)&gt;=100000,INDEX($AM$1005:$BM$1005,1,MATCH(COLUMNS($AM$1006:AM1006),$AM$1006:$BM$1006,0))&gt;=100000), " ",IF(INDEX($AM$2:$BM$1001,MATCH(ROWS($AF$2:AF867),$AF$2:$AF$1001,0),MATCH(COLUMNS($AM$1006:AM1006),$AM$1006:$BM$1006,0)), HYPERLINK("#",""), HYPERLINK(CONCATENATE("#metadata!", ADDRESS(INDEX($AH$2:$AH$1001,MATCH(ROWS($AF$2:AF867),$AF$2:$AF$1001,0),0), INDEX($AM$1004:$BM$1004,1,MATCH(COLUMNS($AM$1006:AM1006),$AM$1006:$BM$1006,0)))),"Fix")))</f>
        <v xml:space="preserve"> </v>
      </c>
      <c r="C867" s="4" t="str">
        <f ca="1">IF(OR(INDEX($AG$2:$AG$1001,MATCH(ROWS($AF$2:AF867),$AF$2:$AF$1001,0),1)&gt;=100000,INDEX($AM$1005:$BM$1005,1,MATCH(COLUMNS($AM$1006:AN1006),$AM$1006:$BM$1006,0))&gt;=100000), " ",IF(INDEX($AM$2:$BM$1001,MATCH(ROWS($AF$2:AF867),$AF$2:$AF$1001,0),MATCH(COLUMNS($AM$1006:AN1006),$AM$1006:$BM$1006,0)), HYPERLINK("#",""), HYPERLINK(CONCATENATE("#metadata!", ADDRESS(INDEX($AH$2:$AH$1001,MATCH(ROWS($AF$2:AF867),$AF$2:$AF$1001,0),0), INDEX($AM$1004:$BM$1004,1,MATCH(COLUMNS($AM$1006:AN1006),$AM$1006:$BM$1006,0)))),"Fix")))</f>
        <v xml:space="preserve"> </v>
      </c>
      <c r="D867" s="4" t="str">
        <f ca="1">IF(OR(INDEX($AG$2:$AG$1001,MATCH(ROWS($AF$2:AF867),$AF$2:$AF$1001,0),1)&gt;=100000,INDEX($AM$1005:$BM$1005,1,MATCH(COLUMNS($AM$1006:AO1006),$AM$1006:$BM$1006,0))&gt;=100000), " ",IF(INDEX($AM$2:$BM$1001,MATCH(ROWS($AF$2:AF867),$AF$2:$AF$1001,0),MATCH(COLUMNS($AM$1006:AO1006),$AM$1006:$BM$1006,0)), HYPERLINK("#",""), HYPERLINK(CONCATENATE("#metadata!", ADDRESS(INDEX($AH$2:$AH$1001,MATCH(ROWS($AF$2:AF867),$AF$2:$AF$1001,0),0), INDEX($AM$1004:$BM$1004,1,MATCH(COLUMNS($AM$1006:AO1006),$AM$1006:$BM$1006,0)))),"Fix")))</f>
        <v xml:space="preserve"> </v>
      </c>
      <c r="E867" s="4" t="str">
        <f ca="1">IF(OR(INDEX($AG$2:$AG$1001,MATCH(ROWS($AF$2:AF867),$AF$2:$AF$1001,0),1)&gt;=100000,INDEX($AM$1005:$BM$1005,1,MATCH(COLUMNS($AM$1006:AP1006),$AM$1006:$BM$1006,0))&gt;=100000), " ",IF(INDEX($AM$2:$BM$1001,MATCH(ROWS($AF$2:AF867),$AF$2:$AF$1001,0),MATCH(COLUMNS($AM$1006:AP1006),$AM$1006:$BM$1006,0)), HYPERLINK("#",""), HYPERLINK(CONCATENATE("#metadata!", ADDRESS(INDEX($AH$2:$AH$1001,MATCH(ROWS($AF$2:AF867),$AF$2:$AF$1001,0),0), INDEX($AM$1004:$BM$1004,1,MATCH(COLUMNS($AM$1006:AP1006),$AM$1006:$BM$1006,0)))),"Fix")))</f>
        <v xml:space="preserve"> </v>
      </c>
      <c r="F867" s="4" t="str">
        <f ca="1">IF(OR(INDEX($AG$2:$AG$1001,MATCH(ROWS($AF$2:AF867),$AF$2:$AF$1001,0),1)&gt;=100000,INDEX($AM$1005:$BM$1005,1,MATCH(COLUMNS($AM$1006:AQ1006),$AM$1006:$BM$1006,0))&gt;=100000), " ",IF(INDEX($AM$2:$BM$1001,MATCH(ROWS($AF$2:AF867),$AF$2:$AF$1001,0),MATCH(COLUMNS($AM$1006:AQ1006),$AM$1006:$BM$1006,0)), HYPERLINK("#",""), HYPERLINK(CONCATENATE("#metadata!", ADDRESS(INDEX($AH$2:$AH$1001,MATCH(ROWS($AF$2:AF867),$AF$2:$AF$1001,0),0), INDEX($AM$1004:$BM$1004,1,MATCH(COLUMNS($AM$1006:AQ1006),$AM$1006:$BM$1006,0)))),"Fix")))</f>
        <v xml:space="preserve"> </v>
      </c>
      <c r="G867" s="4" t="str">
        <f ca="1">IF(OR(INDEX($AG$2:$AG$1001,MATCH(ROWS($AF$2:AF867),$AF$2:$AF$1001,0),1)&gt;=100000,INDEX($AM$1005:$BM$1005,1,MATCH(COLUMNS($AM$1006:AR1006),$AM$1006:$BM$1006,0))&gt;=100000), " ",IF(INDEX($AM$2:$BM$1001,MATCH(ROWS($AF$2:AF867),$AF$2:$AF$1001,0),MATCH(COLUMNS($AM$1006:AR1006),$AM$1006:$BM$1006,0)), HYPERLINK("#",""), HYPERLINK(CONCATENATE("#metadata!", ADDRESS(INDEX($AH$2:$AH$1001,MATCH(ROWS($AF$2:AF867),$AF$2:$AF$1001,0),0), INDEX($AM$1004:$BM$1004,1,MATCH(COLUMNS($AM$1006:AR1006),$AM$1006:$BM$1006,0)))),"Fix")))</f>
        <v xml:space="preserve"> </v>
      </c>
      <c r="H867" s="4" t="str">
        <f ca="1">IF(OR(INDEX($AG$2:$AG$1001,MATCH(ROWS($AF$2:AF867),$AF$2:$AF$1001,0),1)&gt;=100000,INDEX($AM$1005:$BM$1005,1,MATCH(COLUMNS($AM$1006:AS1006),$AM$1006:$BM$1006,0))&gt;=100000), " ",IF(INDEX($AM$2:$BM$1001,MATCH(ROWS($AF$2:AF867),$AF$2:$AF$1001,0),MATCH(COLUMNS($AM$1006:AS1006),$AM$1006:$BM$1006,0)), HYPERLINK("#",""), HYPERLINK(CONCATENATE("#metadata!", ADDRESS(INDEX($AH$2:$AH$1001,MATCH(ROWS($AF$2:AF867),$AF$2:$AF$1001,0),0), INDEX($AM$1004:$BM$1004,1,MATCH(COLUMNS($AM$1006:AS1006),$AM$1006:$BM$1006,0)))),"Fix")))</f>
        <v xml:space="preserve"> </v>
      </c>
      <c r="I867" s="4" t="str">
        <f ca="1">IF(OR(INDEX($AG$2:$AG$1001,MATCH(ROWS($AF$2:AF867),$AF$2:$AF$1001,0),1)&gt;=100000,INDEX($AM$1005:$BM$1005,1,MATCH(COLUMNS($AM$1006:AT1006),$AM$1006:$BM$1006,0))&gt;=100000), " ",IF(INDEX($AM$2:$BM$1001,MATCH(ROWS($AF$2:AF867),$AF$2:$AF$1001,0),MATCH(COLUMNS($AM$1006:AT1006),$AM$1006:$BM$1006,0)), HYPERLINK("#",""), HYPERLINK(CONCATENATE("#metadata!", ADDRESS(INDEX($AH$2:$AH$1001,MATCH(ROWS($AF$2:AF867),$AF$2:$AF$1001,0),0), INDEX($AM$1004:$BM$1004,1,MATCH(COLUMNS($AM$1006:AT1006),$AM$1006:$BM$1006,0)))),"Fix")))</f>
        <v xml:space="preserve"> </v>
      </c>
      <c r="J867" s="4" t="str">
        <f ca="1">IF(OR(INDEX($AG$2:$AG$1001,MATCH(ROWS($AF$2:AF867),$AF$2:$AF$1001,0),1)&gt;=100000,INDEX($AM$1005:$BM$1005,1,MATCH(COLUMNS($AM$1006:AU1006),$AM$1006:$BM$1006,0))&gt;=100000), " ",IF(INDEX($AM$2:$BM$1001,MATCH(ROWS($AF$2:AF867),$AF$2:$AF$1001,0),MATCH(COLUMNS($AM$1006:AU1006),$AM$1006:$BM$1006,0)), HYPERLINK("#",""), HYPERLINK(CONCATENATE("#metadata!", ADDRESS(INDEX($AH$2:$AH$1001,MATCH(ROWS($AF$2:AF867),$AF$2:$AF$1001,0),0), INDEX($AM$1004:$BM$1004,1,MATCH(COLUMNS($AM$1006:AU1006),$AM$1006:$BM$1006,0)))),"Fix")))</f>
        <v xml:space="preserve"> </v>
      </c>
      <c r="K867" s="4" t="str">
        <f ca="1">IF(OR(INDEX($AG$2:$AG$1001,MATCH(ROWS($AF$2:AF867),$AF$2:$AF$1001,0),1)&gt;=100000,INDEX($AM$1005:$BM$1005,1,MATCH(COLUMNS($AM$1006:AV1006),$AM$1006:$BM$1006,0))&gt;=100000), " ",IF(INDEX($AM$2:$BM$1001,MATCH(ROWS($AF$2:AF867),$AF$2:$AF$1001,0),MATCH(COLUMNS($AM$1006:AV1006),$AM$1006:$BM$1006,0)), HYPERLINK("#",""), HYPERLINK(CONCATENATE("#metadata!", ADDRESS(INDEX($AH$2:$AH$1001,MATCH(ROWS($AF$2:AF867),$AF$2:$AF$1001,0),0), INDEX($AM$1004:$BM$1004,1,MATCH(COLUMNS($AM$1006:AV1006),$AM$1006:$BM$1006,0)))),"Fix")))</f>
        <v xml:space="preserve"> </v>
      </c>
      <c r="L867" s="4" t="str">
        <f ca="1">IF(OR(INDEX($AG$2:$AG$1001,MATCH(ROWS($AF$2:AF867),$AF$2:$AF$1001,0),1)&gt;=100000,INDEX($AM$1005:$BM$1005,1,MATCH(COLUMNS($AM$1006:AW1006),$AM$1006:$BM$1006,0))&gt;=100000), " ",IF(INDEX($AM$2:$BM$1001,MATCH(ROWS($AF$2:AF867),$AF$2:$AF$1001,0),MATCH(COLUMNS($AM$1006:AW1006),$AM$1006:$BM$1006,0)), HYPERLINK("#",""), HYPERLINK(CONCATENATE("#metadata!", ADDRESS(INDEX($AH$2:$AH$1001,MATCH(ROWS($AF$2:AF867),$AF$2:$AF$1001,0),0), INDEX($AM$1004:$BM$1004,1,MATCH(COLUMNS($AM$1006:AW1006),$AM$1006:$BM$1006,0)))),"Fix")))</f>
        <v xml:space="preserve"> </v>
      </c>
      <c r="M867" s="4" t="str">
        <f ca="1">IF(OR(INDEX($AG$2:$AG$1001,MATCH(ROWS($AF$2:AF867),$AF$2:$AF$1001,0),1)&gt;=100000,INDEX($AM$1005:$BM$1005,1,MATCH(COLUMNS($AM$1006:AX1006),$AM$1006:$BM$1006,0))&gt;=100000), " ",IF(INDEX($AM$2:$BM$1001,MATCH(ROWS($AF$2:AF867),$AF$2:$AF$1001,0),MATCH(COLUMNS($AM$1006:AX1006),$AM$1006:$BM$1006,0)), HYPERLINK("#",""), HYPERLINK(CONCATENATE("#metadata!", ADDRESS(INDEX($AH$2:$AH$1001,MATCH(ROWS($AF$2:AF867),$AF$2:$AF$1001,0),0), INDEX($AM$1004:$BM$1004,1,MATCH(COLUMNS($AM$1006:AX1006),$AM$1006:$BM$1006,0)))),"Fix")))</f>
        <v xml:space="preserve"> </v>
      </c>
      <c r="N867" s="4" t="str">
        <f ca="1">IF(OR(INDEX($AG$2:$AG$1001,MATCH(ROWS($AF$2:AF867),$AF$2:$AF$1001,0),1)&gt;=100000,INDEX($AM$1005:$BM$1005,1,MATCH(COLUMNS($AM$1006:AY1006),$AM$1006:$BM$1006,0))&gt;=100000), " ",IF(INDEX($AM$2:$BM$1001,MATCH(ROWS($AF$2:AF867),$AF$2:$AF$1001,0),MATCH(COLUMNS($AM$1006:AY1006),$AM$1006:$BM$1006,0)), HYPERLINK("#",""), HYPERLINK(CONCATENATE("#metadata!", ADDRESS(INDEX($AH$2:$AH$1001,MATCH(ROWS($AF$2:AF867),$AF$2:$AF$1001,0),0), INDEX($AM$1004:$BM$1004,1,MATCH(COLUMNS($AM$1006:AY1006),$AM$1006:$BM$1006,0)))),"Fix")))</f>
        <v xml:space="preserve"> </v>
      </c>
      <c r="O867" s="4" t="str">
        <f ca="1">IF(OR(INDEX($AG$2:$AG$1001,MATCH(ROWS($AF$2:AF867),$AF$2:$AF$1001,0),1)&gt;=100000,INDEX($AM$1005:$BM$1005,1,MATCH(COLUMNS($AM$1006:AZ1006),$AM$1006:$BM$1006,0))&gt;=100000), " ",IF(INDEX($AM$2:$BM$1001,MATCH(ROWS($AF$2:AF867),$AF$2:$AF$1001,0),MATCH(COLUMNS($AM$1006:AZ1006),$AM$1006:$BM$1006,0)), HYPERLINK("#",""), HYPERLINK(CONCATENATE("#metadata!", ADDRESS(INDEX($AH$2:$AH$1001,MATCH(ROWS($AF$2:AF867),$AF$2:$AF$1001,0),0), INDEX($AM$1004:$BM$1004,1,MATCH(COLUMNS($AM$1006:AZ1006),$AM$1006:$BM$1006,0)))),"Fix")))</f>
        <v xml:space="preserve"> </v>
      </c>
      <c r="P867" s="4" t="str">
        <f ca="1">IF(OR(INDEX($AG$2:$AG$1001,MATCH(ROWS($AF$2:AF867),$AF$2:$AF$1001,0),1)&gt;=100000,INDEX($AM$1005:$BM$1005,1,MATCH(COLUMNS($AM$1006:BA1006),$AM$1006:$BM$1006,0))&gt;=100000), " ",IF(INDEX($AM$2:$BM$1001,MATCH(ROWS($AF$2:AF867),$AF$2:$AF$1001,0),MATCH(COLUMNS($AM$1006:BA1006),$AM$1006:$BM$1006,0)), HYPERLINK("#",""), HYPERLINK(CONCATENATE("#metadata!", ADDRESS(INDEX($AH$2:$AH$1001,MATCH(ROWS($AF$2:AF867),$AF$2:$AF$1001,0),0), INDEX($AM$1004:$BM$1004,1,MATCH(COLUMNS($AM$1006:BA1006),$AM$1006:$BM$1006,0)))),"Fix")))</f>
        <v xml:space="preserve"> </v>
      </c>
      <c r="Q867" s="4" t="str">
        <f ca="1">IF(OR(INDEX($AG$2:$AG$1001,MATCH(ROWS($AF$2:AF867),$AF$2:$AF$1001,0),1)&gt;=100000,INDEX($AM$1005:$BM$1005,1,MATCH(COLUMNS($AM$1006:BB1006),$AM$1006:$BM$1006,0))&gt;=100000), " ",IF(INDEX($AM$2:$BM$1001,MATCH(ROWS($AF$2:AF867),$AF$2:$AF$1001,0),MATCH(COLUMNS($AM$1006:BB1006),$AM$1006:$BM$1006,0)), HYPERLINK("#",""), HYPERLINK(CONCATENATE("#metadata!", ADDRESS(INDEX($AH$2:$AH$1001,MATCH(ROWS($AF$2:AF867),$AF$2:$AF$1001,0),0), INDEX($AM$1004:$BM$1004,1,MATCH(COLUMNS($AM$1006:BB1006),$AM$1006:$BM$1006,0)))),"Fix")))</f>
        <v xml:space="preserve"> </v>
      </c>
      <c r="R867" s="4" t="str">
        <f ca="1">IF(OR(INDEX($AG$2:$AG$1001,MATCH(ROWS($AF$2:AF867),$AF$2:$AF$1001,0),1)&gt;=100000,INDEX($AM$1005:$BM$1005,1,MATCH(COLUMNS($AM$1006:BC1006),$AM$1006:$BM$1006,0))&gt;=100000), " ",IF(INDEX($AM$2:$BM$1001,MATCH(ROWS($AF$2:AF867),$AF$2:$AF$1001,0),MATCH(COLUMNS($AM$1006:BC1006),$AM$1006:$BM$1006,0)), HYPERLINK("#",""), HYPERLINK(CONCATENATE("#metadata!", ADDRESS(INDEX($AH$2:$AH$1001,MATCH(ROWS($AF$2:AF867),$AF$2:$AF$1001,0),0), INDEX($AM$1004:$BM$1004,1,MATCH(COLUMNS($AM$1006:BC1006),$AM$1006:$BM$1006,0)))),"Fix")))</f>
        <v xml:space="preserve"> </v>
      </c>
      <c r="S867" s="4" t="str">
        <f ca="1">IF(OR(INDEX($AG$2:$AG$1001,MATCH(ROWS($AF$2:AF867),$AF$2:$AF$1001,0),1)&gt;=100000,INDEX($AM$1005:$BM$1005,1,MATCH(COLUMNS($AM$1006:BD1006),$AM$1006:$BM$1006,0))&gt;=100000), " ",IF(INDEX($AM$2:$BM$1001,MATCH(ROWS($AF$2:AF867),$AF$2:$AF$1001,0),MATCH(COLUMNS($AM$1006:BD1006),$AM$1006:$BM$1006,0)), HYPERLINK("#",""), HYPERLINK(CONCATENATE("#metadata!", ADDRESS(INDEX($AH$2:$AH$1001,MATCH(ROWS($AF$2:AF867),$AF$2:$AF$1001,0),0), INDEX($AM$1004:$BM$1004,1,MATCH(COLUMNS($AM$1006:BD1006),$AM$1006:$BM$1006,0)))),"Fix")))</f>
        <v xml:space="preserve"> </v>
      </c>
      <c r="T867" s="4" t="str">
        <f ca="1">IF(OR(INDEX($AG$2:$AG$1001,MATCH(ROWS($AF$2:AF867),$AF$2:$AF$1001,0),1)&gt;=100000,INDEX($AM$1005:$BM$1005,1,MATCH(COLUMNS($AM$1006:BE1006),$AM$1006:$BM$1006,0))&gt;=100000), " ",IF(INDEX($AM$2:$BM$1001,MATCH(ROWS($AF$2:AF867),$AF$2:$AF$1001,0),MATCH(COLUMNS($AM$1006:BE1006),$AM$1006:$BM$1006,0)), HYPERLINK("#",""), HYPERLINK(CONCATENATE("#metadata!", ADDRESS(INDEX($AH$2:$AH$1001,MATCH(ROWS($AF$2:AF867),$AF$2:$AF$1001,0),0), INDEX($AM$1004:$BM$1004,1,MATCH(COLUMNS($AM$1006:BE1006),$AM$1006:$BM$1006,0)))),"Fix")))</f>
        <v xml:space="preserve"> </v>
      </c>
      <c r="U867" s="4" t="str">
        <f ca="1">IF(OR(INDEX($AG$2:$AG$1001,MATCH(ROWS($AF$2:AF867),$AF$2:$AF$1001,0),1)&gt;=100000,INDEX($AM$1005:$BM$1005,1,MATCH(COLUMNS($AM$1006:BF1006),$AM$1006:$BM$1006,0))&gt;=100000), " ",IF(INDEX($AM$2:$BM$1001,MATCH(ROWS($AF$2:AF867),$AF$2:$AF$1001,0),MATCH(COLUMNS($AM$1006:BF1006),$AM$1006:$BM$1006,0)), HYPERLINK("#",""), HYPERLINK(CONCATENATE("#metadata!", ADDRESS(INDEX($AH$2:$AH$1001,MATCH(ROWS($AF$2:AF867),$AF$2:$AF$1001,0),0), INDEX($AM$1004:$BM$1004,1,MATCH(COLUMNS($AM$1006:BF1006),$AM$1006:$BM$1006,0)))),"Fix")))</f>
        <v xml:space="preserve"> </v>
      </c>
      <c r="V867" s="4" t="str">
        <f ca="1">IF(OR(INDEX($AG$2:$AG$1001,MATCH(ROWS($AF$2:AF867),$AF$2:$AF$1001,0),1)&gt;=100000,INDEX($AM$1005:$BM$1005,1,MATCH(COLUMNS($AM$1006:BG1006),$AM$1006:$BM$1006,0))&gt;=100000), " ",IF(INDEX($AM$2:$BM$1001,MATCH(ROWS($AF$2:AF867),$AF$2:$AF$1001,0),MATCH(COLUMNS($AM$1006:BG1006),$AM$1006:$BM$1006,0)), HYPERLINK("#",""), HYPERLINK(CONCATENATE("#metadata!", ADDRESS(INDEX($AH$2:$AH$1001,MATCH(ROWS($AF$2:AF867),$AF$2:$AF$1001,0),0), INDEX($AM$1004:$BM$1004,1,MATCH(COLUMNS($AM$1006:BG1006),$AM$1006:$BM$1006,0)))),"Fix")))</f>
        <v xml:space="preserve"> </v>
      </c>
      <c r="W867" s="4" t="str">
        <f ca="1">IF(OR(INDEX($AG$2:$AG$1001,MATCH(ROWS($AF$2:AF867),$AF$2:$AF$1001,0),1)&gt;=100000,INDEX($AM$1005:$BM$1005,1,MATCH(COLUMNS($AM$1006:BH1006),$AM$1006:$BM$1006,0))&gt;=100000), " ",IF(INDEX($AM$2:$BM$1001,MATCH(ROWS($AF$2:AF867),$AF$2:$AF$1001,0),MATCH(COLUMNS($AM$1006:BH1006),$AM$1006:$BM$1006,0)), HYPERLINK("#",""), HYPERLINK(CONCATENATE("#metadata!", ADDRESS(INDEX($AH$2:$AH$1001,MATCH(ROWS($AF$2:AF867),$AF$2:$AF$1001,0),0), INDEX($AM$1004:$BM$1004,1,MATCH(COLUMNS($AM$1006:BH1006),$AM$1006:$BM$1006,0)))),"Fix")))</f>
        <v xml:space="preserve"> </v>
      </c>
      <c r="X867" s="4" t="str">
        <f ca="1">IF(OR(INDEX($AG$2:$AG$1001,MATCH(ROWS($AF$2:AF867),$AF$2:$AF$1001,0),1)&gt;=100000,INDEX($AM$1005:$BM$1005,1,MATCH(COLUMNS($AM$1006:BI1006),$AM$1006:$BM$1006,0))&gt;=100000), " ",IF(INDEX($AM$2:$BM$1001,MATCH(ROWS($AF$2:AF867),$AF$2:$AF$1001,0),MATCH(COLUMNS($AM$1006:BI1006),$AM$1006:$BM$1006,0)), HYPERLINK("#",""), HYPERLINK(CONCATENATE("#metadata!", ADDRESS(INDEX($AH$2:$AH$1001,MATCH(ROWS($AF$2:AF867),$AF$2:$AF$1001,0),0), INDEX($AM$1004:$BM$1004,1,MATCH(COLUMNS($AM$1006:BI1006),$AM$1006:$BM$1006,0)))),"Fix")))</f>
        <v xml:space="preserve"> </v>
      </c>
      <c r="Y867" s="4" t="str">
        <f ca="1">IF(OR(INDEX($AG$2:$AG$1001,MATCH(ROWS($AF$2:AF867),$AF$2:$AF$1001,0),1)&gt;=100000,INDEX($AM$1005:$BM$1005,1,MATCH(COLUMNS($AM$1006:BJ1006),$AM$1006:$BM$1006,0))&gt;=100000), " ",IF(INDEX($AM$2:$BM$1001,MATCH(ROWS($AF$2:AF867),$AF$2:$AF$1001,0),MATCH(COLUMNS($AM$1006:BJ1006),$AM$1006:$BM$1006,0)), HYPERLINK("#",""), HYPERLINK(CONCATENATE("#metadata!", ADDRESS(INDEX($AH$2:$AH$1001,MATCH(ROWS($AF$2:AF867),$AF$2:$AF$1001,0),0), INDEX($AM$1004:$BM$1004,1,MATCH(COLUMNS($AM$1006:BJ1006),$AM$1006:$BM$1006,0)))),"Fix")))</f>
        <v xml:space="preserve"> </v>
      </c>
      <c r="Z867" s="4" t="str">
        <f ca="1">IF(OR(INDEX($AG$2:$AG$1001,MATCH(ROWS($AF$2:AF867),$AF$2:$AF$1001,0),1)&gt;=100000,INDEX($AM$1005:$BM$1005,1,MATCH(COLUMNS($AM$1006:BK1006),$AM$1006:$BM$1006,0))&gt;=100000), " ",IF(INDEX($AM$2:$BM$1001,MATCH(ROWS($AF$2:AF867),$AF$2:$AF$1001,0),MATCH(COLUMNS($AM$1006:BK1006),$AM$1006:$BM$1006,0)), HYPERLINK("#",""), HYPERLINK(CONCATENATE("#metadata!", ADDRESS(INDEX($AH$2:$AH$1001,MATCH(ROWS($AF$2:AF867),$AF$2:$AF$1001,0),0), INDEX($AM$1004:$BM$1004,1,MATCH(COLUMNS($AM$1006:BK1006),$AM$1006:$BM$1006,0)))),"Fix")))</f>
        <v xml:space="preserve"> </v>
      </c>
      <c r="AA867" s="4" t="str">
        <f ca="1">IF(OR(INDEX($AG$2:$AG$1001,MATCH(ROWS($AF$2:AF867),$AF$2:$AF$1001,0),1)&gt;=100000,INDEX($AM$1005:$BM$1005,1,MATCH(COLUMNS($AM$1006:BL1006),$AM$1006:$BM$1006,0))&gt;=100000), " ",IF(INDEX($AM$2:$BM$1001,MATCH(ROWS($AF$2:AF867),$AF$2:$AF$1001,0),MATCH(COLUMNS($AM$1006:BL1006),$AM$1006:$BM$1006,0)), HYPERLINK("#",""), HYPERLINK(CONCATENATE("#metadata!", ADDRESS(INDEX($AH$2:$AH$1001,MATCH(ROWS($AF$2:AF867),$AF$2:$AF$1001,0),0), INDEX($AM$1004:$BM$1004,1,MATCH(COLUMNS($AM$1006:BL1006),$AM$1006:$BM$1006,0)))),"Fix")))</f>
        <v xml:space="preserve"> </v>
      </c>
      <c r="AB867" s="4" t="str">
        <f ca="1">IF(OR(INDEX($AG$2:$AG$1001,MATCH(ROWS($AF$2:AF867),$AF$2:$AF$1001,0),1)&gt;=100000,INDEX($AM$1005:$BM$1005,1,MATCH(COLUMNS($AM$1006:BM1006),$AM$1006:$BM$1006,0))&gt;=100000), " ",IF(INDEX($AM$2:$BM$1001,MATCH(ROWS($AF$2:AF867),$AF$2:$AF$1001,0),MATCH(COLUMNS($AM$1006:BM1006),$AM$1006:$BM$1006,0)), HYPERLINK("#",""), HYPERLINK(CONCATENATE("#metadata!", ADDRESS(INDEX($AH$2:$AH$1001,MATCH(ROWS($AF$2:AF867),$AF$2:$AF$1001,0),0), INDEX($AM$1004:$BM$1004,1,MATCH(COLUMNS($AM$1006:BM1006),$AM$1006:$BM$1006,0)))),"Fix")))</f>
        <v xml:space="preserve"> </v>
      </c>
      <c r="AF867">
        <v>866</v>
      </c>
      <c r="AG867">
        <v>100867</v>
      </c>
      <c r="AH867">
        <v>867</v>
      </c>
      <c r="AI867" t="b">
        <f t="shared" si="13"/>
        <v>1</v>
      </c>
      <c r="AJ867" t="b">
        <f>COUNTBLANK(metadata!B867:AB867)=COLUMNS(metadata!B867:AB867)</f>
        <v>1</v>
      </c>
      <c r="AK867" t="str">
        <v/>
      </c>
      <c r="AM867" t="b">
        <f ca="1">AND(IF(metadata!B867="",FALSE,TRUE),COUNTIF(metadata!B:B, metadata!B867) = 1,NOT(ISERROR(SUMPRODUCT(SEARCH(MID(metadata!B867,ROW(INDIRECT("1:"&amp;LEN(metadata!B867))), 1),"0123456789abcdefghijklmnopqrstuvwxyzABCDEFGHIJKLMNOPQRSTUVWXYZ.")))))</f>
        <v>0</v>
      </c>
      <c r="AN867" t="b">
        <f ca="1">OR(AND(IF(metadata!C867="",FALSE,TRUE),OR(EXACT(metadata!C867,"missing: not collected"),EXACT(metadata!C867,"missing: not provided"),EXACT(metadata!C867,"missing: restricted access"))),AND(IF(metadata!C867="",FALSE,TRUE),AND(AND(IFERROR(INT(LEFT(metadata!C867,4))&gt;1900,FALSE),IFERROR(INT(LEFT(metadata!C867,4))&lt;=YEAR(NOW()),FALSE)), OR(MID(metadata!C867,5,1)="", AND(AND(MID(metadata!C867,5,1)="-",IFERROR(INT(MID(metadata!C867,6,1))&gt;=0,FALSE),IFERROR(INT(MID(metadata!C867,6,1))&lt;=1,FALSE),NOT(MID(metadata!C867,7,1)=""),IFERROR(INT(MID(metadata!C867,6,2))&gt;=1,FALSE),IFERROR(INT(MID(metadata!C867,6,2))&lt;=12,FALSE)), OR(MID(metadata!C867,8,1)="", AND(AND(MID(metadata!C867,8,1)="-",IFERROR(INT(MID(metadata!C867,9,1))&gt;=0,FALSE),IFERROR(INT(MID(metadata!C867,9,1))&lt;=3,FALSE),NOT(MID(metadata!C867,10,1)=""),IFERROR(INT(MID(metadata!C867,9,2))&gt;=1,FALSE),IFERROR(INT(MID(metadata!C867,9,2))&lt;=31,FALSE)), OR(MID(metadata!C867,11,1)="", AND(AND(MID(metadata!C867,11,1)=" ",IFERROR(INT(MID(metadata!C867,12,1))&gt;=0,FALSE),IFERROR(INT(MID(metadata!C867,12,1))&lt;=2,FALSE),NOT(MID(metadata!C867,13,1)=""),IFERROR(INT(MID(metadata!C867,12,2))&gt;=0,FALSE),IFERROR(INT(MID(metadata!C867,12,2))&lt;=23,FALSE)), OR(MID(metadata!C867,14,1)="", AND(AND(MID(metadata!C867,14,1)=":",IFERROR(INT(MID(metadata!C867,15,1))&gt;=0,FALSE),IFERROR(INT(MID(metadata!C867,15,1))&lt;=5,FALSE),NOT(MID(metadata!C867,16,1)=""),IFERROR(INT(MID(metadata!C867,15,2))&gt;=0,FALSE),IFERROR(INT(MID(metadata!C867,15,2))&lt;=59,FALSE)), OR(MID(metadata!C867,17,1)="", AND(AND(MID(metadata!C867,17,1)=":",IFERROR(INT(MID(metadata!C867,18,1))&gt;=0,FALSE),IFERROR(INT(MID(metadata!C867,18,1))&lt;=5,FALSE),NOT(MID(metadata!C867,19,1)=""),IFERROR(INT(MID(metadata!C867,18,2))&gt;=0,FALSE),IFERROR(INT(MID(metadata!C867,18,2))&lt;=59,FALSE)), LEN(metadata!C867)&lt;=19)))))))))))))</f>
        <v>0</v>
      </c>
      <c r="AO867" t="b">
        <f>AND(IF(metadata!D867="",FALSE,TRUE),EXACT(metadata!D867,"Not applicable"))</f>
        <v>0</v>
      </c>
      <c r="AP867" t="b">
        <f>IF(metadata!E867="",FALSE,TRUE)</f>
        <v>0</v>
      </c>
      <c r="AQ867" t="b">
        <f>OR(AND(IF(metadata!F867="",FALSE,TRUE),OR(EXACT(metadata!F867,"missing: not collected"),EXACT(metadata!F867,"missing: not provided"))),AND(IF(metadata!F867="",FALSE,TRUE),OR(EXACT(metadata!F867,"TRUE"),EXACT(metadata!F867,"FALSE"))))</f>
        <v>0</v>
      </c>
      <c r="AR867" t="b">
        <f>OR(AND(IF(metadata!G867="",FALSE,TRUE),OR(EXACT(metadata!G867,"missing: not collected"),EXACT(metadata!G867,"missing: not provided"),EXACT(metadata!G867,"missing: restricted access"))),AND(IF(metadata!G867="",FALSE,ISNUMBER(VALUE(metadata!G867))),metadata!G867&gt;=-413))</f>
        <v>0</v>
      </c>
      <c r="AS867" t="b">
        <f>AND(IF(metadata!H867="",FALSE,TRUE),EXACT(metadata!H867,"meters"))</f>
        <v>0</v>
      </c>
      <c r="AT867" t="b">
        <f>AND(IF(metadata!I867="",FALSE,TRUE),OR(EXACT(metadata!I867,"Host-associated"),EXACT(metadata!I867,"Free-living")))</f>
        <v>0</v>
      </c>
      <c r="AU867" t="b">
        <f>AND(IF(metadata!J867="",FALSE,TRUE),OR(EXACT(metadata!J867,"Animal"),EXACT(metadata!J867,"Fungus"),EXACT(metadata!J867,"Plant"),EXACT(metadata!J867,"Saline"),EXACT(metadata!J867,"Non-saline")))</f>
        <v>0</v>
      </c>
      <c r="AV867" t="b">
        <f>AND(IF(metadata!K867="",FALSE,TRUE),OR(EXACT(metadata!K867,"Plant secretion"),EXACT(metadata!K867,"Plant rhizosphere"),EXACT(metadata!K867,"Plant surface"),EXACT(metadata!K867,"Plant corpus"),EXACT(metadata!K867,"Fungus surface"),EXACT(metadata!K867,"Fungus corpus"),EXACT(metadata!K867,"Animal surface"),EXACT(metadata!K867,"Animal proximal gut"),EXACT(metadata!K867,"Animal corpus"),EXACT(metadata!K867,"Animal distal gut"),EXACT(metadata!K867,"Animal secretion"),EXACT(metadata!K867,"Sub-surface (non-saline)"),EXACT(metadata!K867,"Surface (non-saline)"),EXACT(metadata!K867,"Water (non-saline)"),EXACT(metadata!K867,"Soil (non-saline)"),EXACT(metadata!K867,"Aerosol (non-saline)"),EXACT(metadata!K867,"Sediment (non-saline)"),EXACT(metadata!K867,"Surface (saline)"),EXACT(metadata!K867,"Water (saline)"),EXACT(metadata!K867,"Hypersaline (saline)"),EXACT(metadata!K867,"Aerosol (saline)"),EXACT(metadata!K867,"Sediment (saline)")))</f>
        <v>0</v>
      </c>
      <c r="AW867" t="b">
        <f>IF(metadata!L867="",FALSE,TRUE)</f>
        <v>0</v>
      </c>
      <c r="AX867" t="b">
        <f>IF(metadata!M867="",FALSE,TRUE)</f>
        <v>0</v>
      </c>
      <c r="AY867" t="b">
        <f>IF(metadata!N867="",FALSE,TRUE)</f>
        <v>0</v>
      </c>
      <c r="AZ867" t="b">
        <f>OR(AND(IF(metadata!O867="",FALSE,TRUE),OR(EXACT(metadata!O867,"missing: not collected"),EXACT(metadata!O867,"missing: not provided"),EXACT(metadata!O867,"missing: restricted access"))),AND(IF(metadata!O867="",FALSE,TRUE),OR(EXACT(metadata!O867,"air"),EXACT(metadata!O867,"built environment"),EXACT(metadata!O867,"host-associated"),EXACT(metadata!O867,"human-associated"),EXACT(metadata!O867,"human-skin"),EXACT(metadata!O867,"human-oral"),EXACT(metadata!O867,"human-gut"),EXACT(metadata!O867,"human-vaginal"),EXACT(metadata!O867,"microbial mat/biofilm"),EXACT(metadata!O867,"misc environment"),EXACT(metadata!O867,"plant-associated"),EXACT(metadata!O867,"sediment"),EXACT(metadata!O867,"soil"),EXACT(metadata!O867,"wastewater/sludge"),EXACT(metadata!O867,"water"))))</f>
        <v>0</v>
      </c>
      <c r="BA867" t="b">
        <f>IF(metadata!P867="",FALSE,TRUE)</f>
        <v>0</v>
      </c>
      <c r="BB867" t="b">
        <f>IF(metadata!Q867="",FALSE,TRUE)</f>
        <v>0</v>
      </c>
      <c r="BC867" t="b">
        <f>OR(AND(IF(metadata!R867="",FALSE,TRUE),OR(EXACT(metadata!R867,"missing: not collected"),EXACT(metadata!R867,"missing: not provided"),EXACT(metadata!R867,"missing: restricted access"))),AND(IF(metadata!R867="",FALSE,ISNUMBER(VALUE(metadata!R867))),metadata!R867&gt;=-90,metadata!R867&lt;=90))</f>
        <v>0</v>
      </c>
      <c r="BD867" t="b">
        <f>AND(IF(metadata!S867="",FALSE,TRUE),EXACT(metadata!S867,"Decimal degrees"))</f>
        <v>0</v>
      </c>
      <c r="BE867" t="b">
        <f>OR(AND(IF(metadata!T867="",FALSE,TRUE),OR(EXACT(metadata!T867,"missing: not collected"),EXACT(metadata!T867,"missing: not provided"),EXACT(metadata!T867,"missing: restricted access"))),AND(IF(metadata!T867="",FALSE,ISNUMBER(VALUE(metadata!T867))),metadata!T867&gt;=-180,metadata!T867&lt;=180))</f>
        <v>0</v>
      </c>
      <c r="BF867" t="b">
        <f>AND(IF(metadata!U867="",FALSE,TRUE),EXACT(metadata!U867,"Decimal degrees"))</f>
        <v>0</v>
      </c>
      <c r="BG867" t="b">
        <f>IF(metadata!V867="",FALSE,TRUE)</f>
        <v>0</v>
      </c>
      <c r="BH867" t="b">
        <f>OR(AND(IF(metadata!W867="",FALSE,TRUE),OR(EXACT(metadata!W867,"missing: not collected"),EXACT(metadata!W867,"missing: not provided"),EXACT(metadata!W867,"missing: restricted access"))),AND(IF(metadata!W867="",FALSE,TRUE),OR(EXACT(metadata!W867,"TRUE"),EXACT(metadata!W867,"FALSE"))))</f>
        <v>0</v>
      </c>
      <c r="BI867" t="b">
        <f>AND(IF(metadata!X867="",FALSE,TRUE),EXACT(metadata!X867,"other"))</f>
        <v>0</v>
      </c>
      <c r="BJ867" t="b">
        <f>IF(metadata!Y867="",FALSE,TRUE)</f>
        <v>0</v>
      </c>
      <c r="BK867" t="b">
        <f>OR(AND(IF(metadata!Z867="",FALSE,TRUE),OR(EXACT(metadata!Z867,"missing: not collected"),EXACT(metadata!Z867,"missing: not provided"))),AND(IF(metadata!Z867="",FALSE,IF(ISERROR(INT(metadata!Z867)),FALSE,INT(metadata!Z867)=metadata!Z867)),metadata!Z867&gt;0))</f>
        <v>0</v>
      </c>
      <c r="BL867" t="b">
        <f>AND(IF(metadata!AA867="",FALSE,TRUE),EXACT(metadata!AA867,"Not applicable"))</f>
        <v>0</v>
      </c>
      <c r="BM867" t="b">
        <f>IF(metadata!AB867="",FALSE,TRUE)</f>
        <v>0</v>
      </c>
    </row>
    <row r="868" spans="1:65" x14ac:dyDescent="0.2">
      <c r="A868" s="5" t="str">
        <f ca="1">IF(B868=" "," ",HYPERLINK(CONCATENATE("#metadata!",ADDRESS(INDEX($AH$2:$AH$1001,MATCH(ROWS($AF$2:AF868),$AF$2:$AF$1001,0),0),1)),INDEX($AK$2:$AK$1001,MATCH(ROWS($AF$2:AF868),$AF$2:$AF$1001,0),0)))</f>
        <v xml:space="preserve"> </v>
      </c>
      <c r="B868" s="4" t="str">
        <f ca="1">IF(OR(INDEX($AG$2:$AG$1001,MATCH(ROWS($AF$2:AF868),$AF$2:$AF$1001,0),1)&gt;=100000,INDEX($AM$1005:$BM$1005,1,MATCH(COLUMNS($AM$1006:AM1006),$AM$1006:$BM$1006,0))&gt;=100000), " ",IF(INDEX($AM$2:$BM$1001,MATCH(ROWS($AF$2:AF868),$AF$2:$AF$1001,0),MATCH(COLUMNS($AM$1006:AM1006),$AM$1006:$BM$1006,0)), HYPERLINK("#",""), HYPERLINK(CONCATENATE("#metadata!", ADDRESS(INDEX($AH$2:$AH$1001,MATCH(ROWS($AF$2:AF868),$AF$2:$AF$1001,0),0), INDEX($AM$1004:$BM$1004,1,MATCH(COLUMNS($AM$1006:AM1006),$AM$1006:$BM$1006,0)))),"Fix")))</f>
        <v xml:space="preserve"> </v>
      </c>
      <c r="C868" s="4" t="str">
        <f ca="1">IF(OR(INDEX($AG$2:$AG$1001,MATCH(ROWS($AF$2:AF868),$AF$2:$AF$1001,0),1)&gt;=100000,INDEX($AM$1005:$BM$1005,1,MATCH(COLUMNS($AM$1006:AN1006),$AM$1006:$BM$1006,0))&gt;=100000), " ",IF(INDEX($AM$2:$BM$1001,MATCH(ROWS($AF$2:AF868),$AF$2:$AF$1001,0),MATCH(COLUMNS($AM$1006:AN1006),$AM$1006:$BM$1006,0)), HYPERLINK("#",""), HYPERLINK(CONCATENATE("#metadata!", ADDRESS(INDEX($AH$2:$AH$1001,MATCH(ROWS($AF$2:AF868),$AF$2:$AF$1001,0),0), INDEX($AM$1004:$BM$1004,1,MATCH(COLUMNS($AM$1006:AN1006),$AM$1006:$BM$1006,0)))),"Fix")))</f>
        <v xml:space="preserve"> </v>
      </c>
      <c r="D868" s="4" t="str">
        <f ca="1">IF(OR(INDEX($AG$2:$AG$1001,MATCH(ROWS($AF$2:AF868),$AF$2:$AF$1001,0),1)&gt;=100000,INDEX($AM$1005:$BM$1005,1,MATCH(COLUMNS($AM$1006:AO1006),$AM$1006:$BM$1006,0))&gt;=100000), " ",IF(INDEX($AM$2:$BM$1001,MATCH(ROWS($AF$2:AF868),$AF$2:$AF$1001,0),MATCH(COLUMNS($AM$1006:AO1006),$AM$1006:$BM$1006,0)), HYPERLINK("#",""), HYPERLINK(CONCATENATE("#metadata!", ADDRESS(INDEX($AH$2:$AH$1001,MATCH(ROWS($AF$2:AF868),$AF$2:$AF$1001,0),0), INDEX($AM$1004:$BM$1004,1,MATCH(COLUMNS($AM$1006:AO1006),$AM$1006:$BM$1006,0)))),"Fix")))</f>
        <v xml:space="preserve"> </v>
      </c>
      <c r="E868" s="4" t="str">
        <f ca="1">IF(OR(INDEX($AG$2:$AG$1001,MATCH(ROWS($AF$2:AF868),$AF$2:$AF$1001,0),1)&gt;=100000,INDEX($AM$1005:$BM$1005,1,MATCH(COLUMNS($AM$1006:AP1006),$AM$1006:$BM$1006,0))&gt;=100000), " ",IF(INDEX($AM$2:$BM$1001,MATCH(ROWS($AF$2:AF868),$AF$2:$AF$1001,0),MATCH(COLUMNS($AM$1006:AP1006),$AM$1006:$BM$1006,0)), HYPERLINK("#",""), HYPERLINK(CONCATENATE("#metadata!", ADDRESS(INDEX($AH$2:$AH$1001,MATCH(ROWS($AF$2:AF868),$AF$2:$AF$1001,0),0), INDEX($AM$1004:$BM$1004,1,MATCH(COLUMNS($AM$1006:AP1006),$AM$1006:$BM$1006,0)))),"Fix")))</f>
        <v xml:space="preserve"> </v>
      </c>
      <c r="F868" s="4" t="str">
        <f ca="1">IF(OR(INDEX($AG$2:$AG$1001,MATCH(ROWS($AF$2:AF868),$AF$2:$AF$1001,0),1)&gt;=100000,INDEX($AM$1005:$BM$1005,1,MATCH(COLUMNS($AM$1006:AQ1006),$AM$1006:$BM$1006,0))&gt;=100000), " ",IF(INDEX($AM$2:$BM$1001,MATCH(ROWS($AF$2:AF868),$AF$2:$AF$1001,0),MATCH(COLUMNS($AM$1006:AQ1006),$AM$1006:$BM$1006,0)), HYPERLINK("#",""), HYPERLINK(CONCATENATE("#metadata!", ADDRESS(INDEX($AH$2:$AH$1001,MATCH(ROWS($AF$2:AF868),$AF$2:$AF$1001,0),0), INDEX($AM$1004:$BM$1004,1,MATCH(COLUMNS($AM$1006:AQ1006),$AM$1006:$BM$1006,0)))),"Fix")))</f>
        <v xml:space="preserve"> </v>
      </c>
      <c r="G868" s="4" t="str">
        <f ca="1">IF(OR(INDEX($AG$2:$AG$1001,MATCH(ROWS($AF$2:AF868),$AF$2:$AF$1001,0),1)&gt;=100000,INDEX($AM$1005:$BM$1005,1,MATCH(COLUMNS($AM$1006:AR1006),$AM$1006:$BM$1006,0))&gt;=100000), " ",IF(INDEX($AM$2:$BM$1001,MATCH(ROWS($AF$2:AF868),$AF$2:$AF$1001,0),MATCH(COLUMNS($AM$1006:AR1006),$AM$1006:$BM$1006,0)), HYPERLINK("#",""), HYPERLINK(CONCATENATE("#metadata!", ADDRESS(INDEX($AH$2:$AH$1001,MATCH(ROWS($AF$2:AF868),$AF$2:$AF$1001,0),0), INDEX($AM$1004:$BM$1004,1,MATCH(COLUMNS($AM$1006:AR1006),$AM$1006:$BM$1006,0)))),"Fix")))</f>
        <v xml:space="preserve"> </v>
      </c>
      <c r="H868" s="4" t="str">
        <f ca="1">IF(OR(INDEX($AG$2:$AG$1001,MATCH(ROWS($AF$2:AF868),$AF$2:$AF$1001,0),1)&gt;=100000,INDEX($AM$1005:$BM$1005,1,MATCH(COLUMNS($AM$1006:AS1006),$AM$1006:$BM$1006,0))&gt;=100000), " ",IF(INDEX($AM$2:$BM$1001,MATCH(ROWS($AF$2:AF868),$AF$2:$AF$1001,0),MATCH(COLUMNS($AM$1006:AS1006),$AM$1006:$BM$1006,0)), HYPERLINK("#",""), HYPERLINK(CONCATENATE("#metadata!", ADDRESS(INDEX($AH$2:$AH$1001,MATCH(ROWS($AF$2:AF868),$AF$2:$AF$1001,0),0), INDEX($AM$1004:$BM$1004,1,MATCH(COLUMNS($AM$1006:AS1006),$AM$1006:$BM$1006,0)))),"Fix")))</f>
        <v xml:space="preserve"> </v>
      </c>
      <c r="I868" s="4" t="str">
        <f ca="1">IF(OR(INDEX($AG$2:$AG$1001,MATCH(ROWS($AF$2:AF868),$AF$2:$AF$1001,0),1)&gt;=100000,INDEX($AM$1005:$BM$1005,1,MATCH(COLUMNS($AM$1006:AT1006),$AM$1006:$BM$1006,0))&gt;=100000), " ",IF(INDEX($AM$2:$BM$1001,MATCH(ROWS($AF$2:AF868),$AF$2:$AF$1001,0),MATCH(COLUMNS($AM$1006:AT1006),$AM$1006:$BM$1006,0)), HYPERLINK("#",""), HYPERLINK(CONCATENATE("#metadata!", ADDRESS(INDEX($AH$2:$AH$1001,MATCH(ROWS($AF$2:AF868),$AF$2:$AF$1001,0),0), INDEX($AM$1004:$BM$1004,1,MATCH(COLUMNS($AM$1006:AT1006),$AM$1006:$BM$1006,0)))),"Fix")))</f>
        <v xml:space="preserve"> </v>
      </c>
      <c r="J868" s="4" t="str">
        <f ca="1">IF(OR(INDEX($AG$2:$AG$1001,MATCH(ROWS($AF$2:AF868),$AF$2:$AF$1001,0),1)&gt;=100000,INDEX($AM$1005:$BM$1005,1,MATCH(COLUMNS($AM$1006:AU1006),$AM$1006:$BM$1006,0))&gt;=100000), " ",IF(INDEX($AM$2:$BM$1001,MATCH(ROWS($AF$2:AF868),$AF$2:$AF$1001,0),MATCH(COLUMNS($AM$1006:AU1006),$AM$1006:$BM$1006,0)), HYPERLINK("#",""), HYPERLINK(CONCATENATE("#metadata!", ADDRESS(INDEX($AH$2:$AH$1001,MATCH(ROWS($AF$2:AF868),$AF$2:$AF$1001,0),0), INDEX($AM$1004:$BM$1004,1,MATCH(COLUMNS($AM$1006:AU1006),$AM$1006:$BM$1006,0)))),"Fix")))</f>
        <v xml:space="preserve"> </v>
      </c>
      <c r="K868" s="4" t="str">
        <f ca="1">IF(OR(INDEX($AG$2:$AG$1001,MATCH(ROWS($AF$2:AF868),$AF$2:$AF$1001,0),1)&gt;=100000,INDEX($AM$1005:$BM$1005,1,MATCH(COLUMNS($AM$1006:AV1006),$AM$1006:$BM$1006,0))&gt;=100000), " ",IF(INDEX($AM$2:$BM$1001,MATCH(ROWS($AF$2:AF868),$AF$2:$AF$1001,0),MATCH(COLUMNS($AM$1006:AV1006),$AM$1006:$BM$1006,0)), HYPERLINK("#",""), HYPERLINK(CONCATENATE("#metadata!", ADDRESS(INDEX($AH$2:$AH$1001,MATCH(ROWS($AF$2:AF868),$AF$2:$AF$1001,0),0), INDEX($AM$1004:$BM$1004,1,MATCH(COLUMNS($AM$1006:AV1006),$AM$1006:$BM$1006,0)))),"Fix")))</f>
        <v xml:space="preserve"> </v>
      </c>
      <c r="L868" s="4" t="str">
        <f ca="1">IF(OR(INDEX($AG$2:$AG$1001,MATCH(ROWS($AF$2:AF868),$AF$2:$AF$1001,0),1)&gt;=100000,INDEX($AM$1005:$BM$1005,1,MATCH(COLUMNS($AM$1006:AW1006),$AM$1006:$BM$1006,0))&gt;=100000), " ",IF(INDEX($AM$2:$BM$1001,MATCH(ROWS($AF$2:AF868),$AF$2:$AF$1001,0),MATCH(COLUMNS($AM$1006:AW1006),$AM$1006:$BM$1006,0)), HYPERLINK("#",""), HYPERLINK(CONCATENATE("#metadata!", ADDRESS(INDEX($AH$2:$AH$1001,MATCH(ROWS($AF$2:AF868),$AF$2:$AF$1001,0),0), INDEX($AM$1004:$BM$1004,1,MATCH(COLUMNS($AM$1006:AW1006),$AM$1006:$BM$1006,0)))),"Fix")))</f>
        <v xml:space="preserve"> </v>
      </c>
      <c r="M868" s="4" t="str">
        <f ca="1">IF(OR(INDEX($AG$2:$AG$1001,MATCH(ROWS($AF$2:AF868),$AF$2:$AF$1001,0),1)&gt;=100000,INDEX($AM$1005:$BM$1005,1,MATCH(COLUMNS($AM$1006:AX1006),$AM$1006:$BM$1006,0))&gt;=100000), " ",IF(INDEX($AM$2:$BM$1001,MATCH(ROWS($AF$2:AF868),$AF$2:$AF$1001,0),MATCH(COLUMNS($AM$1006:AX1006),$AM$1006:$BM$1006,0)), HYPERLINK("#",""), HYPERLINK(CONCATENATE("#metadata!", ADDRESS(INDEX($AH$2:$AH$1001,MATCH(ROWS($AF$2:AF868),$AF$2:$AF$1001,0),0), INDEX($AM$1004:$BM$1004,1,MATCH(COLUMNS($AM$1006:AX1006),$AM$1006:$BM$1006,0)))),"Fix")))</f>
        <v xml:space="preserve"> </v>
      </c>
      <c r="N868" s="4" t="str">
        <f ca="1">IF(OR(INDEX($AG$2:$AG$1001,MATCH(ROWS($AF$2:AF868),$AF$2:$AF$1001,0),1)&gt;=100000,INDEX($AM$1005:$BM$1005,1,MATCH(COLUMNS($AM$1006:AY1006),$AM$1006:$BM$1006,0))&gt;=100000), " ",IF(INDEX($AM$2:$BM$1001,MATCH(ROWS($AF$2:AF868),$AF$2:$AF$1001,0),MATCH(COLUMNS($AM$1006:AY1006),$AM$1006:$BM$1006,0)), HYPERLINK("#",""), HYPERLINK(CONCATENATE("#metadata!", ADDRESS(INDEX($AH$2:$AH$1001,MATCH(ROWS($AF$2:AF868),$AF$2:$AF$1001,0),0), INDEX($AM$1004:$BM$1004,1,MATCH(COLUMNS($AM$1006:AY1006),$AM$1006:$BM$1006,0)))),"Fix")))</f>
        <v xml:space="preserve"> </v>
      </c>
      <c r="O868" s="4" t="str">
        <f ca="1">IF(OR(INDEX($AG$2:$AG$1001,MATCH(ROWS($AF$2:AF868),$AF$2:$AF$1001,0),1)&gt;=100000,INDEX($AM$1005:$BM$1005,1,MATCH(COLUMNS($AM$1006:AZ1006),$AM$1006:$BM$1006,0))&gt;=100000), " ",IF(INDEX($AM$2:$BM$1001,MATCH(ROWS($AF$2:AF868),$AF$2:$AF$1001,0),MATCH(COLUMNS($AM$1006:AZ1006),$AM$1006:$BM$1006,0)), HYPERLINK("#",""), HYPERLINK(CONCATENATE("#metadata!", ADDRESS(INDEX($AH$2:$AH$1001,MATCH(ROWS($AF$2:AF868),$AF$2:$AF$1001,0),0), INDEX($AM$1004:$BM$1004,1,MATCH(COLUMNS($AM$1006:AZ1006),$AM$1006:$BM$1006,0)))),"Fix")))</f>
        <v xml:space="preserve"> </v>
      </c>
      <c r="P868" s="4" t="str">
        <f ca="1">IF(OR(INDEX($AG$2:$AG$1001,MATCH(ROWS($AF$2:AF868),$AF$2:$AF$1001,0),1)&gt;=100000,INDEX($AM$1005:$BM$1005,1,MATCH(COLUMNS($AM$1006:BA1006),$AM$1006:$BM$1006,0))&gt;=100000), " ",IF(INDEX($AM$2:$BM$1001,MATCH(ROWS($AF$2:AF868),$AF$2:$AF$1001,0),MATCH(COLUMNS($AM$1006:BA1006),$AM$1006:$BM$1006,0)), HYPERLINK("#",""), HYPERLINK(CONCATENATE("#metadata!", ADDRESS(INDEX($AH$2:$AH$1001,MATCH(ROWS($AF$2:AF868),$AF$2:$AF$1001,0),0), INDEX($AM$1004:$BM$1004,1,MATCH(COLUMNS($AM$1006:BA1006),$AM$1006:$BM$1006,0)))),"Fix")))</f>
        <v xml:space="preserve"> </v>
      </c>
      <c r="Q868" s="4" t="str">
        <f ca="1">IF(OR(INDEX($AG$2:$AG$1001,MATCH(ROWS($AF$2:AF868),$AF$2:$AF$1001,0),1)&gt;=100000,INDEX($AM$1005:$BM$1005,1,MATCH(COLUMNS($AM$1006:BB1006),$AM$1006:$BM$1006,0))&gt;=100000), " ",IF(INDEX($AM$2:$BM$1001,MATCH(ROWS($AF$2:AF868),$AF$2:$AF$1001,0),MATCH(COLUMNS($AM$1006:BB1006),$AM$1006:$BM$1006,0)), HYPERLINK("#",""), HYPERLINK(CONCATENATE("#metadata!", ADDRESS(INDEX($AH$2:$AH$1001,MATCH(ROWS($AF$2:AF868),$AF$2:$AF$1001,0),0), INDEX($AM$1004:$BM$1004,1,MATCH(COLUMNS($AM$1006:BB1006),$AM$1006:$BM$1006,0)))),"Fix")))</f>
        <v xml:space="preserve"> </v>
      </c>
      <c r="R868" s="4" t="str">
        <f ca="1">IF(OR(INDEX($AG$2:$AG$1001,MATCH(ROWS($AF$2:AF868),$AF$2:$AF$1001,0),1)&gt;=100000,INDEX($AM$1005:$BM$1005,1,MATCH(COLUMNS($AM$1006:BC1006),$AM$1006:$BM$1006,0))&gt;=100000), " ",IF(INDEX($AM$2:$BM$1001,MATCH(ROWS($AF$2:AF868),$AF$2:$AF$1001,0),MATCH(COLUMNS($AM$1006:BC1006),$AM$1006:$BM$1006,0)), HYPERLINK("#",""), HYPERLINK(CONCATENATE("#metadata!", ADDRESS(INDEX($AH$2:$AH$1001,MATCH(ROWS($AF$2:AF868),$AF$2:$AF$1001,0),0), INDEX($AM$1004:$BM$1004,1,MATCH(COLUMNS($AM$1006:BC1006),$AM$1006:$BM$1006,0)))),"Fix")))</f>
        <v xml:space="preserve"> </v>
      </c>
      <c r="S868" s="4" t="str">
        <f ca="1">IF(OR(INDEX($AG$2:$AG$1001,MATCH(ROWS($AF$2:AF868),$AF$2:$AF$1001,0),1)&gt;=100000,INDEX($AM$1005:$BM$1005,1,MATCH(COLUMNS($AM$1006:BD1006),$AM$1006:$BM$1006,0))&gt;=100000), " ",IF(INDEX($AM$2:$BM$1001,MATCH(ROWS($AF$2:AF868),$AF$2:$AF$1001,0),MATCH(COLUMNS($AM$1006:BD1006),$AM$1006:$BM$1006,0)), HYPERLINK("#",""), HYPERLINK(CONCATENATE("#metadata!", ADDRESS(INDEX($AH$2:$AH$1001,MATCH(ROWS($AF$2:AF868),$AF$2:$AF$1001,0),0), INDEX($AM$1004:$BM$1004,1,MATCH(COLUMNS($AM$1006:BD1006),$AM$1006:$BM$1006,0)))),"Fix")))</f>
        <v xml:space="preserve"> </v>
      </c>
      <c r="T868" s="4" t="str">
        <f ca="1">IF(OR(INDEX($AG$2:$AG$1001,MATCH(ROWS($AF$2:AF868),$AF$2:$AF$1001,0),1)&gt;=100000,INDEX($AM$1005:$BM$1005,1,MATCH(COLUMNS($AM$1006:BE1006),$AM$1006:$BM$1006,0))&gt;=100000), " ",IF(INDEX($AM$2:$BM$1001,MATCH(ROWS($AF$2:AF868),$AF$2:$AF$1001,0),MATCH(COLUMNS($AM$1006:BE1006),$AM$1006:$BM$1006,0)), HYPERLINK("#",""), HYPERLINK(CONCATENATE("#metadata!", ADDRESS(INDEX($AH$2:$AH$1001,MATCH(ROWS($AF$2:AF868),$AF$2:$AF$1001,0),0), INDEX($AM$1004:$BM$1004,1,MATCH(COLUMNS($AM$1006:BE1006),$AM$1006:$BM$1006,0)))),"Fix")))</f>
        <v xml:space="preserve"> </v>
      </c>
      <c r="U868" s="4" t="str">
        <f ca="1">IF(OR(INDEX($AG$2:$AG$1001,MATCH(ROWS($AF$2:AF868),$AF$2:$AF$1001,0),1)&gt;=100000,INDEX($AM$1005:$BM$1005,1,MATCH(COLUMNS($AM$1006:BF1006),$AM$1006:$BM$1006,0))&gt;=100000), " ",IF(INDEX($AM$2:$BM$1001,MATCH(ROWS($AF$2:AF868),$AF$2:$AF$1001,0),MATCH(COLUMNS($AM$1006:BF1006),$AM$1006:$BM$1006,0)), HYPERLINK("#",""), HYPERLINK(CONCATENATE("#metadata!", ADDRESS(INDEX($AH$2:$AH$1001,MATCH(ROWS($AF$2:AF868),$AF$2:$AF$1001,0),0), INDEX($AM$1004:$BM$1004,1,MATCH(COLUMNS($AM$1006:BF1006),$AM$1006:$BM$1006,0)))),"Fix")))</f>
        <v xml:space="preserve"> </v>
      </c>
      <c r="V868" s="4" t="str">
        <f ca="1">IF(OR(INDEX($AG$2:$AG$1001,MATCH(ROWS($AF$2:AF868),$AF$2:$AF$1001,0),1)&gt;=100000,INDEX($AM$1005:$BM$1005,1,MATCH(COLUMNS($AM$1006:BG1006),$AM$1006:$BM$1006,0))&gt;=100000), " ",IF(INDEX($AM$2:$BM$1001,MATCH(ROWS($AF$2:AF868),$AF$2:$AF$1001,0),MATCH(COLUMNS($AM$1006:BG1006),$AM$1006:$BM$1006,0)), HYPERLINK("#",""), HYPERLINK(CONCATENATE("#metadata!", ADDRESS(INDEX($AH$2:$AH$1001,MATCH(ROWS($AF$2:AF868),$AF$2:$AF$1001,0),0), INDEX($AM$1004:$BM$1004,1,MATCH(COLUMNS($AM$1006:BG1006),$AM$1006:$BM$1006,0)))),"Fix")))</f>
        <v xml:space="preserve"> </v>
      </c>
      <c r="W868" s="4" t="str">
        <f ca="1">IF(OR(INDEX($AG$2:$AG$1001,MATCH(ROWS($AF$2:AF868),$AF$2:$AF$1001,0),1)&gt;=100000,INDEX($AM$1005:$BM$1005,1,MATCH(COLUMNS($AM$1006:BH1006),$AM$1006:$BM$1006,0))&gt;=100000), " ",IF(INDEX($AM$2:$BM$1001,MATCH(ROWS($AF$2:AF868),$AF$2:$AF$1001,0),MATCH(COLUMNS($AM$1006:BH1006),$AM$1006:$BM$1006,0)), HYPERLINK("#",""), HYPERLINK(CONCATENATE("#metadata!", ADDRESS(INDEX($AH$2:$AH$1001,MATCH(ROWS($AF$2:AF868),$AF$2:$AF$1001,0),0), INDEX($AM$1004:$BM$1004,1,MATCH(COLUMNS($AM$1006:BH1006),$AM$1006:$BM$1006,0)))),"Fix")))</f>
        <v xml:space="preserve"> </v>
      </c>
      <c r="X868" s="4" t="str">
        <f ca="1">IF(OR(INDEX($AG$2:$AG$1001,MATCH(ROWS($AF$2:AF868),$AF$2:$AF$1001,0),1)&gt;=100000,INDEX($AM$1005:$BM$1005,1,MATCH(COLUMNS($AM$1006:BI1006),$AM$1006:$BM$1006,0))&gt;=100000), " ",IF(INDEX($AM$2:$BM$1001,MATCH(ROWS($AF$2:AF868),$AF$2:$AF$1001,0),MATCH(COLUMNS($AM$1006:BI1006),$AM$1006:$BM$1006,0)), HYPERLINK("#",""), HYPERLINK(CONCATENATE("#metadata!", ADDRESS(INDEX($AH$2:$AH$1001,MATCH(ROWS($AF$2:AF868),$AF$2:$AF$1001,0),0), INDEX($AM$1004:$BM$1004,1,MATCH(COLUMNS($AM$1006:BI1006),$AM$1006:$BM$1006,0)))),"Fix")))</f>
        <v xml:space="preserve"> </v>
      </c>
      <c r="Y868" s="4" t="str">
        <f ca="1">IF(OR(INDEX($AG$2:$AG$1001,MATCH(ROWS($AF$2:AF868),$AF$2:$AF$1001,0),1)&gt;=100000,INDEX($AM$1005:$BM$1005,1,MATCH(COLUMNS($AM$1006:BJ1006),$AM$1006:$BM$1006,0))&gt;=100000), " ",IF(INDEX($AM$2:$BM$1001,MATCH(ROWS($AF$2:AF868),$AF$2:$AF$1001,0),MATCH(COLUMNS($AM$1006:BJ1006),$AM$1006:$BM$1006,0)), HYPERLINK("#",""), HYPERLINK(CONCATENATE("#metadata!", ADDRESS(INDEX($AH$2:$AH$1001,MATCH(ROWS($AF$2:AF868),$AF$2:$AF$1001,0),0), INDEX($AM$1004:$BM$1004,1,MATCH(COLUMNS($AM$1006:BJ1006),$AM$1006:$BM$1006,0)))),"Fix")))</f>
        <v xml:space="preserve"> </v>
      </c>
      <c r="Z868" s="4" t="str">
        <f ca="1">IF(OR(INDEX($AG$2:$AG$1001,MATCH(ROWS($AF$2:AF868),$AF$2:$AF$1001,0),1)&gt;=100000,INDEX($AM$1005:$BM$1005,1,MATCH(COLUMNS($AM$1006:BK1006),$AM$1006:$BM$1006,0))&gt;=100000), " ",IF(INDEX($AM$2:$BM$1001,MATCH(ROWS($AF$2:AF868),$AF$2:$AF$1001,0),MATCH(COLUMNS($AM$1006:BK1006),$AM$1006:$BM$1006,0)), HYPERLINK("#",""), HYPERLINK(CONCATENATE("#metadata!", ADDRESS(INDEX($AH$2:$AH$1001,MATCH(ROWS($AF$2:AF868),$AF$2:$AF$1001,0),0), INDEX($AM$1004:$BM$1004,1,MATCH(COLUMNS($AM$1006:BK1006),$AM$1006:$BM$1006,0)))),"Fix")))</f>
        <v xml:space="preserve"> </v>
      </c>
      <c r="AA868" s="4" t="str">
        <f ca="1">IF(OR(INDEX($AG$2:$AG$1001,MATCH(ROWS($AF$2:AF868),$AF$2:$AF$1001,0),1)&gt;=100000,INDEX($AM$1005:$BM$1005,1,MATCH(COLUMNS($AM$1006:BL1006),$AM$1006:$BM$1006,0))&gt;=100000), " ",IF(INDEX($AM$2:$BM$1001,MATCH(ROWS($AF$2:AF868),$AF$2:$AF$1001,0),MATCH(COLUMNS($AM$1006:BL1006),$AM$1006:$BM$1006,0)), HYPERLINK("#",""), HYPERLINK(CONCATENATE("#metadata!", ADDRESS(INDEX($AH$2:$AH$1001,MATCH(ROWS($AF$2:AF868),$AF$2:$AF$1001,0),0), INDEX($AM$1004:$BM$1004,1,MATCH(COLUMNS($AM$1006:BL1006),$AM$1006:$BM$1006,0)))),"Fix")))</f>
        <v xml:space="preserve"> </v>
      </c>
      <c r="AB868" s="4" t="str">
        <f ca="1">IF(OR(INDEX($AG$2:$AG$1001,MATCH(ROWS($AF$2:AF868),$AF$2:$AF$1001,0),1)&gt;=100000,INDEX($AM$1005:$BM$1005,1,MATCH(COLUMNS($AM$1006:BM1006),$AM$1006:$BM$1006,0))&gt;=100000), " ",IF(INDEX($AM$2:$BM$1001,MATCH(ROWS($AF$2:AF868),$AF$2:$AF$1001,0),MATCH(COLUMNS($AM$1006:BM1006),$AM$1006:$BM$1006,0)), HYPERLINK("#",""), HYPERLINK(CONCATENATE("#metadata!", ADDRESS(INDEX($AH$2:$AH$1001,MATCH(ROWS($AF$2:AF868),$AF$2:$AF$1001,0),0), INDEX($AM$1004:$BM$1004,1,MATCH(COLUMNS($AM$1006:BM1006),$AM$1006:$BM$1006,0)))),"Fix")))</f>
        <v xml:space="preserve"> </v>
      </c>
      <c r="AF868">
        <v>867</v>
      </c>
      <c r="AG868">
        <v>100868</v>
      </c>
      <c r="AH868">
        <v>868</v>
      </c>
      <c r="AI868" t="b">
        <f t="shared" si="13"/>
        <v>1</v>
      </c>
      <c r="AJ868" t="b">
        <f>COUNTBLANK(metadata!B868:AB868)=COLUMNS(metadata!B868:AB868)</f>
        <v>1</v>
      </c>
      <c r="AK868" t="str">
        <v/>
      </c>
      <c r="AM868" t="b">
        <f ca="1">AND(IF(metadata!B868="",FALSE,TRUE),COUNTIF(metadata!B:B, metadata!B868) = 1,NOT(ISERROR(SUMPRODUCT(SEARCH(MID(metadata!B868,ROW(INDIRECT("1:"&amp;LEN(metadata!B868))), 1),"0123456789abcdefghijklmnopqrstuvwxyzABCDEFGHIJKLMNOPQRSTUVWXYZ.")))))</f>
        <v>0</v>
      </c>
      <c r="AN868" t="b">
        <f ca="1">OR(AND(IF(metadata!C868="",FALSE,TRUE),OR(EXACT(metadata!C868,"missing: not collected"),EXACT(metadata!C868,"missing: not provided"),EXACT(metadata!C868,"missing: restricted access"))),AND(IF(metadata!C868="",FALSE,TRUE),AND(AND(IFERROR(INT(LEFT(metadata!C868,4))&gt;1900,FALSE),IFERROR(INT(LEFT(metadata!C868,4))&lt;=YEAR(NOW()),FALSE)), OR(MID(metadata!C868,5,1)="", AND(AND(MID(metadata!C868,5,1)="-",IFERROR(INT(MID(metadata!C868,6,1))&gt;=0,FALSE),IFERROR(INT(MID(metadata!C868,6,1))&lt;=1,FALSE),NOT(MID(metadata!C868,7,1)=""),IFERROR(INT(MID(metadata!C868,6,2))&gt;=1,FALSE),IFERROR(INT(MID(metadata!C868,6,2))&lt;=12,FALSE)), OR(MID(metadata!C868,8,1)="", AND(AND(MID(metadata!C868,8,1)="-",IFERROR(INT(MID(metadata!C868,9,1))&gt;=0,FALSE),IFERROR(INT(MID(metadata!C868,9,1))&lt;=3,FALSE),NOT(MID(metadata!C868,10,1)=""),IFERROR(INT(MID(metadata!C868,9,2))&gt;=1,FALSE),IFERROR(INT(MID(metadata!C868,9,2))&lt;=31,FALSE)), OR(MID(metadata!C868,11,1)="", AND(AND(MID(metadata!C868,11,1)=" ",IFERROR(INT(MID(metadata!C868,12,1))&gt;=0,FALSE),IFERROR(INT(MID(metadata!C868,12,1))&lt;=2,FALSE),NOT(MID(metadata!C868,13,1)=""),IFERROR(INT(MID(metadata!C868,12,2))&gt;=0,FALSE),IFERROR(INT(MID(metadata!C868,12,2))&lt;=23,FALSE)), OR(MID(metadata!C868,14,1)="", AND(AND(MID(metadata!C868,14,1)=":",IFERROR(INT(MID(metadata!C868,15,1))&gt;=0,FALSE),IFERROR(INT(MID(metadata!C868,15,1))&lt;=5,FALSE),NOT(MID(metadata!C868,16,1)=""),IFERROR(INT(MID(metadata!C868,15,2))&gt;=0,FALSE),IFERROR(INT(MID(metadata!C868,15,2))&lt;=59,FALSE)), OR(MID(metadata!C868,17,1)="", AND(AND(MID(metadata!C868,17,1)=":",IFERROR(INT(MID(metadata!C868,18,1))&gt;=0,FALSE),IFERROR(INT(MID(metadata!C868,18,1))&lt;=5,FALSE),NOT(MID(metadata!C868,19,1)=""),IFERROR(INT(MID(metadata!C868,18,2))&gt;=0,FALSE),IFERROR(INT(MID(metadata!C868,18,2))&lt;=59,FALSE)), LEN(metadata!C868)&lt;=19)))))))))))))</f>
        <v>0</v>
      </c>
      <c r="AO868" t="b">
        <f>AND(IF(metadata!D868="",FALSE,TRUE),EXACT(metadata!D868,"Not applicable"))</f>
        <v>0</v>
      </c>
      <c r="AP868" t="b">
        <f>IF(metadata!E868="",FALSE,TRUE)</f>
        <v>0</v>
      </c>
      <c r="AQ868" t="b">
        <f>OR(AND(IF(metadata!F868="",FALSE,TRUE),OR(EXACT(metadata!F868,"missing: not collected"),EXACT(metadata!F868,"missing: not provided"))),AND(IF(metadata!F868="",FALSE,TRUE),OR(EXACT(metadata!F868,"TRUE"),EXACT(metadata!F868,"FALSE"))))</f>
        <v>0</v>
      </c>
      <c r="AR868" t="b">
        <f>OR(AND(IF(metadata!G868="",FALSE,TRUE),OR(EXACT(metadata!G868,"missing: not collected"),EXACT(metadata!G868,"missing: not provided"),EXACT(metadata!G868,"missing: restricted access"))),AND(IF(metadata!G868="",FALSE,ISNUMBER(VALUE(metadata!G868))),metadata!G868&gt;=-413))</f>
        <v>0</v>
      </c>
      <c r="AS868" t="b">
        <f>AND(IF(metadata!H868="",FALSE,TRUE),EXACT(metadata!H868,"meters"))</f>
        <v>0</v>
      </c>
      <c r="AT868" t="b">
        <f>AND(IF(metadata!I868="",FALSE,TRUE),OR(EXACT(metadata!I868,"Host-associated"),EXACT(metadata!I868,"Free-living")))</f>
        <v>0</v>
      </c>
      <c r="AU868" t="b">
        <f>AND(IF(metadata!J868="",FALSE,TRUE),OR(EXACT(metadata!J868,"Animal"),EXACT(metadata!J868,"Fungus"),EXACT(metadata!J868,"Plant"),EXACT(metadata!J868,"Saline"),EXACT(metadata!J868,"Non-saline")))</f>
        <v>0</v>
      </c>
      <c r="AV868" t="b">
        <f>AND(IF(metadata!K868="",FALSE,TRUE),OR(EXACT(metadata!K868,"Plant secretion"),EXACT(metadata!K868,"Plant rhizosphere"),EXACT(metadata!K868,"Plant surface"),EXACT(metadata!K868,"Plant corpus"),EXACT(metadata!K868,"Fungus surface"),EXACT(metadata!K868,"Fungus corpus"),EXACT(metadata!K868,"Animal surface"),EXACT(metadata!K868,"Animal proximal gut"),EXACT(metadata!K868,"Animal corpus"),EXACT(metadata!K868,"Animal distal gut"),EXACT(metadata!K868,"Animal secretion"),EXACT(metadata!K868,"Sub-surface (non-saline)"),EXACT(metadata!K868,"Surface (non-saline)"),EXACT(metadata!K868,"Water (non-saline)"),EXACT(metadata!K868,"Soil (non-saline)"),EXACT(metadata!K868,"Aerosol (non-saline)"),EXACT(metadata!K868,"Sediment (non-saline)"),EXACT(metadata!K868,"Surface (saline)"),EXACT(metadata!K868,"Water (saline)"),EXACT(metadata!K868,"Hypersaline (saline)"),EXACT(metadata!K868,"Aerosol (saline)"),EXACT(metadata!K868,"Sediment (saline)")))</f>
        <v>0</v>
      </c>
      <c r="AW868" t="b">
        <f>IF(metadata!L868="",FALSE,TRUE)</f>
        <v>0</v>
      </c>
      <c r="AX868" t="b">
        <f>IF(metadata!M868="",FALSE,TRUE)</f>
        <v>0</v>
      </c>
      <c r="AY868" t="b">
        <f>IF(metadata!N868="",FALSE,TRUE)</f>
        <v>0</v>
      </c>
      <c r="AZ868" t="b">
        <f>OR(AND(IF(metadata!O868="",FALSE,TRUE),OR(EXACT(metadata!O868,"missing: not collected"),EXACT(metadata!O868,"missing: not provided"),EXACT(metadata!O868,"missing: restricted access"))),AND(IF(metadata!O868="",FALSE,TRUE),OR(EXACT(metadata!O868,"air"),EXACT(metadata!O868,"built environment"),EXACT(metadata!O868,"host-associated"),EXACT(metadata!O868,"human-associated"),EXACT(metadata!O868,"human-skin"),EXACT(metadata!O868,"human-oral"),EXACT(metadata!O868,"human-gut"),EXACT(metadata!O868,"human-vaginal"),EXACT(metadata!O868,"microbial mat/biofilm"),EXACT(metadata!O868,"misc environment"),EXACT(metadata!O868,"plant-associated"),EXACT(metadata!O868,"sediment"),EXACT(metadata!O868,"soil"),EXACT(metadata!O868,"wastewater/sludge"),EXACT(metadata!O868,"water"))))</f>
        <v>0</v>
      </c>
      <c r="BA868" t="b">
        <f>IF(metadata!P868="",FALSE,TRUE)</f>
        <v>0</v>
      </c>
      <c r="BB868" t="b">
        <f>IF(metadata!Q868="",FALSE,TRUE)</f>
        <v>0</v>
      </c>
      <c r="BC868" t="b">
        <f>OR(AND(IF(metadata!R868="",FALSE,TRUE),OR(EXACT(metadata!R868,"missing: not collected"),EXACT(metadata!R868,"missing: not provided"),EXACT(metadata!R868,"missing: restricted access"))),AND(IF(metadata!R868="",FALSE,ISNUMBER(VALUE(metadata!R868))),metadata!R868&gt;=-90,metadata!R868&lt;=90))</f>
        <v>0</v>
      </c>
      <c r="BD868" t="b">
        <f>AND(IF(metadata!S868="",FALSE,TRUE),EXACT(metadata!S868,"Decimal degrees"))</f>
        <v>0</v>
      </c>
      <c r="BE868" t="b">
        <f>OR(AND(IF(metadata!T868="",FALSE,TRUE),OR(EXACT(metadata!T868,"missing: not collected"),EXACT(metadata!T868,"missing: not provided"),EXACT(metadata!T868,"missing: restricted access"))),AND(IF(metadata!T868="",FALSE,ISNUMBER(VALUE(metadata!T868))),metadata!T868&gt;=-180,metadata!T868&lt;=180))</f>
        <v>0</v>
      </c>
      <c r="BF868" t="b">
        <f>AND(IF(metadata!U868="",FALSE,TRUE),EXACT(metadata!U868,"Decimal degrees"))</f>
        <v>0</v>
      </c>
      <c r="BG868" t="b">
        <f>IF(metadata!V868="",FALSE,TRUE)</f>
        <v>0</v>
      </c>
      <c r="BH868" t="b">
        <f>OR(AND(IF(metadata!W868="",FALSE,TRUE),OR(EXACT(metadata!W868,"missing: not collected"),EXACT(metadata!W868,"missing: not provided"),EXACT(metadata!W868,"missing: restricted access"))),AND(IF(metadata!W868="",FALSE,TRUE),OR(EXACT(metadata!W868,"TRUE"),EXACT(metadata!W868,"FALSE"))))</f>
        <v>0</v>
      </c>
      <c r="BI868" t="b">
        <f>AND(IF(metadata!X868="",FALSE,TRUE),EXACT(metadata!X868,"other"))</f>
        <v>0</v>
      </c>
      <c r="BJ868" t="b">
        <f>IF(metadata!Y868="",FALSE,TRUE)</f>
        <v>0</v>
      </c>
      <c r="BK868" t="b">
        <f>OR(AND(IF(metadata!Z868="",FALSE,TRUE),OR(EXACT(metadata!Z868,"missing: not collected"),EXACT(metadata!Z868,"missing: not provided"))),AND(IF(metadata!Z868="",FALSE,IF(ISERROR(INT(metadata!Z868)),FALSE,INT(metadata!Z868)=metadata!Z868)),metadata!Z868&gt;0))</f>
        <v>0</v>
      </c>
      <c r="BL868" t="b">
        <f>AND(IF(metadata!AA868="",FALSE,TRUE),EXACT(metadata!AA868,"Not applicable"))</f>
        <v>0</v>
      </c>
      <c r="BM868" t="b">
        <f>IF(metadata!AB868="",FALSE,TRUE)</f>
        <v>0</v>
      </c>
    </row>
    <row r="869" spans="1:65" x14ac:dyDescent="0.2">
      <c r="A869" s="5" t="str">
        <f ca="1">IF(B869=" "," ",HYPERLINK(CONCATENATE("#metadata!",ADDRESS(INDEX($AH$2:$AH$1001,MATCH(ROWS($AF$2:AF869),$AF$2:$AF$1001,0),0),1)),INDEX($AK$2:$AK$1001,MATCH(ROWS($AF$2:AF869),$AF$2:$AF$1001,0),0)))</f>
        <v xml:space="preserve"> </v>
      </c>
      <c r="B869" s="4" t="str">
        <f ca="1">IF(OR(INDEX($AG$2:$AG$1001,MATCH(ROWS($AF$2:AF869),$AF$2:$AF$1001,0),1)&gt;=100000,INDEX($AM$1005:$BM$1005,1,MATCH(COLUMNS($AM$1006:AM1006),$AM$1006:$BM$1006,0))&gt;=100000), " ",IF(INDEX($AM$2:$BM$1001,MATCH(ROWS($AF$2:AF869),$AF$2:$AF$1001,0),MATCH(COLUMNS($AM$1006:AM1006),$AM$1006:$BM$1006,0)), HYPERLINK("#",""), HYPERLINK(CONCATENATE("#metadata!", ADDRESS(INDEX($AH$2:$AH$1001,MATCH(ROWS($AF$2:AF869),$AF$2:$AF$1001,0),0), INDEX($AM$1004:$BM$1004,1,MATCH(COLUMNS($AM$1006:AM1006),$AM$1006:$BM$1006,0)))),"Fix")))</f>
        <v xml:space="preserve"> </v>
      </c>
      <c r="C869" s="4" t="str">
        <f ca="1">IF(OR(INDEX($AG$2:$AG$1001,MATCH(ROWS($AF$2:AF869),$AF$2:$AF$1001,0),1)&gt;=100000,INDEX($AM$1005:$BM$1005,1,MATCH(COLUMNS($AM$1006:AN1006),$AM$1006:$BM$1006,0))&gt;=100000), " ",IF(INDEX($AM$2:$BM$1001,MATCH(ROWS($AF$2:AF869),$AF$2:$AF$1001,0),MATCH(COLUMNS($AM$1006:AN1006),$AM$1006:$BM$1006,0)), HYPERLINK("#",""), HYPERLINK(CONCATENATE("#metadata!", ADDRESS(INDEX($AH$2:$AH$1001,MATCH(ROWS($AF$2:AF869),$AF$2:$AF$1001,0),0), INDEX($AM$1004:$BM$1004,1,MATCH(COLUMNS($AM$1006:AN1006),$AM$1006:$BM$1006,0)))),"Fix")))</f>
        <v xml:space="preserve"> </v>
      </c>
      <c r="D869" s="4" t="str">
        <f ca="1">IF(OR(INDEX($AG$2:$AG$1001,MATCH(ROWS($AF$2:AF869),$AF$2:$AF$1001,0),1)&gt;=100000,INDEX($AM$1005:$BM$1005,1,MATCH(COLUMNS($AM$1006:AO1006),$AM$1006:$BM$1006,0))&gt;=100000), " ",IF(INDEX($AM$2:$BM$1001,MATCH(ROWS($AF$2:AF869),$AF$2:$AF$1001,0),MATCH(COLUMNS($AM$1006:AO1006),$AM$1006:$BM$1006,0)), HYPERLINK("#",""), HYPERLINK(CONCATENATE("#metadata!", ADDRESS(INDEX($AH$2:$AH$1001,MATCH(ROWS($AF$2:AF869),$AF$2:$AF$1001,0),0), INDEX($AM$1004:$BM$1004,1,MATCH(COLUMNS($AM$1006:AO1006),$AM$1006:$BM$1006,0)))),"Fix")))</f>
        <v xml:space="preserve"> </v>
      </c>
      <c r="E869" s="4" t="str">
        <f ca="1">IF(OR(INDEX($AG$2:$AG$1001,MATCH(ROWS($AF$2:AF869),$AF$2:$AF$1001,0),1)&gt;=100000,INDEX($AM$1005:$BM$1005,1,MATCH(COLUMNS($AM$1006:AP1006),$AM$1006:$BM$1006,0))&gt;=100000), " ",IF(INDEX($AM$2:$BM$1001,MATCH(ROWS($AF$2:AF869),$AF$2:$AF$1001,0),MATCH(COLUMNS($AM$1006:AP1006),$AM$1006:$BM$1006,0)), HYPERLINK("#",""), HYPERLINK(CONCATENATE("#metadata!", ADDRESS(INDEX($AH$2:$AH$1001,MATCH(ROWS($AF$2:AF869),$AF$2:$AF$1001,0),0), INDEX($AM$1004:$BM$1004,1,MATCH(COLUMNS($AM$1006:AP1006),$AM$1006:$BM$1006,0)))),"Fix")))</f>
        <v xml:space="preserve"> </v>
      </c>
      <c r="F869" s="4" t="str">
        <f ca="1">IF(OR(INDEX($AG$2:$AG$1001,MATCH(ROWS($AF$2:AF869),$AF$2:$AF$1001,0),1)&gt;=100000,INDEX($AM$1005:$BM$1005,1,MATCH(COLUMNS($AM$1006:AQ1006),$AM$1006:$BM$1006,0))&gt;=100000), " ",IF(INDEX($AM$2:$BM$1001,MATCH(ROWS($AF$2:AF869),$AF$2:$AF$1001,0),MATCH(COLUMNS($AM$1006:AQ1006),$AM$1006:$BM$1006,0)), HYPERLINK("#",""), HYPERLINK(CONCATENATE("#metadata!", ADDRESS(INDEX($AH$2:$AH$1001,MATCH(ROWS($AF$2:AF869),$AF$2:$AF$1001,0),0), INDEX($AM$1004:$BM$1004,1,MATCH(COLUMNS($AM$1006:AQ1006),$AM$1006:$BM$1006,0)))),"Fix")))</f>
        <v xml:space="preserve"> </v>
      </c>
      <c r="G869" s="4" t="str">
        <f ca="1">IF(OR(INDEX($AG$2:$AG$1001,MATCH(ROWS($AF$2:AF869),$AF$2:$AF$1001,0),1)&gt;=100000,INDEX($AM$1005:$BM$1005,1,MATCH(COLUMNS($AM$1006:AR1006),$AM$1006:$BM$1006,0))&gt;=100000), " ",IF(INDEX($AM$2:$BM$1001,MATCH(ROWS($AF$2:AF869),$AF$2:$AF$1001,0),MATCH(COLUMNS($AM$1006:AR1006),$AM$1006:$BM$1006,0)), HYPERLINK("#",""), HYPERLINK(CONCATENATE("#metadata!", ADDRESS(INDEX($AH$2:$AH$1001,MATCH(ROWS($AF$2:AF869),$AF$2:$AF$1001,0),0), INDEX($AM$1004:$BM$1004,1,MATCH(COLUMNS($AM$1006:AR1006),$AM$1006:$BM$1006,0)))),"Fix")))</f>
        <v xml:space="preserve"> </v>
      </c>
      <c r="H869" s="4" t="str">
        <f ca="1">IF(OR(INDEX($AG$2:$AG$1001,MATCH(ROWS($AF$2:AF869),$AF$2:$AF$1001,0),1)&gt;=100000,INDEX($AM$1005:$BM$1005,1,MATCH(COLUMNS($AM$1006:AS1006),$AM$1006:$BM$1006,0))&gt;=100000), " ",IF(INDEX($AM$2:$BM$1001,MATCH(ROWS($AF$2:AF869),$AF$2:$AF$1001,0),MATCH(COLUMNS($AM$1006:AS1006),$AM$1006:$BM$1006,0)), HYPERLINK("#",""), HYPERLINK(CONCATENATE("#metadata!", ADDRESS(INDEX($AH$2:$AH$1001,MATCH(ROWS($AF$2:AF869),$AF$2:$AF$1001,0),0), INDEX($AM$1004:$BM$1004,1,MATCH(COLUMNS($AM$1006:AS1006),$AM$1006:$BM$1006,0)))),"Fix")))</f>
        <v xml:space="preserve"> </v>
      </c>
      <c r="I869" s="4" t="str">
        <f ca="1">IF(OR(INDEX($AG$2:$AG$1001,MATCH(ROWS($AF$2:AF869),$AF$2:$AF$1001,0),1)&gt;=100000,INDEX($AM$1005:$BM$1005,1,MATCH(COLUMNS($AM$1006:AT1006),$AM$1006:$BM$1006,0))&gt;=100000), " ",IF(INDEX($AM$2:$BM$1001,MATCH(ROWS($AF$2:AF869),$AF$2:$AF$1001,0),MATCH(COLUMNS($AM$1006:AT1006),$AM$1006:$BM$1006,0)), HYPERLINK("#",""), HYPERLINK(CONCATENATE("#metadata!", ADDRESS(INDEX($AH$2:$AH$1001,MATCH(ROWS($AF$2:AF869),$AF$2:$AF$1001,0),0), INDEX($AM$1004:$BM$1004,1,MATCH(COLUMNS($AM$1006:AT1006),$AM$1006:$BM$1006,0)))),"Fix")))</f>
        <v xml:space="preserve"> </v>
      </c>
      <c r="J869" s="4" t="str">
        <f ca="1">IF(OR(INDEX($AG$2:$AG$1001,MATCH(ROWS($AF$2:AF869),$AF$2:$AF$1001,0),1)&gt;=100000,INDEX($AM$1005:$BM$1005,1,MATCH(COLUMNS($AM$1006:AU1006),$AM$1006:$BM$1006,0))&gt;=100000), " ",IF(INDEX($AM$2:$BM$1001,MATCH(ROWS($AF$2:AF869),$AF$2:$AF$1001,0),MATCH(COLUMNS($AM$1006:AU1006),$AM$1006:$BM$1006,0)), HYPERLINK("#",""), HYPERLINK(CONCATENATE("#metadata!", ADDRESS(INDEX($AH$2:$AH$1001,MATCH(ROWS($AF$2:AF869),$AF$2:$AF$1001,0),0), INDEX($AM$1004:$BM$1004,1,MATCH(COLUMNS($AM$1006:AU1006),$AM$1006:$BM$1006,0)))),"Fix")))</f>
        <v xml:space="preserve"> </v>
      </c>
      <c r="K869" s="4" t="str">
        <f ca="1">IF(OR(INDEX($AG$2:$AG$1001,MATCH(ROWS($AF$2:AF869),$AF$2:$AF$1001,0),1)&gt;=100000,INDEX($AM$1005:$BM$1005,1,MATCH(COLUMNS($AM$1006:AV1006),$AM$1006:$BM$1006,0))&gt;=100000), " ",IF(INDEX($AM$2:$BM$1001,MATCH(ROWS($AF$2:AF869),$AF$2:$AF$1001,0),MATCH(COLUMNS($AM$1006:AV1006),$AM$1006:$BM$1006,0)), HYPERLINK("#",""), HYPERLINK(CONCATENATE("#metadata!", ADDRESS(INDEX($AH$2:$AH$1001,MATCH(ROWS($AF$2:AF869),$AF$2:$AF$1001,0),0), INDEX($AM$1004:$BM$1004,1,MATCH(COLUMNS($AM$1006:AV1006),$AM$1006:$BM$1006,0)))),"Fix")))</f>
        <v xml:space="preserve"> </v>
      </c>
      <c r="L869" s="4" t="str">
        <f ca="1">IF(OR(INDEX($AG$2:$AG$1001,MATCH(ROWS($AF$2:AF869),$AF$2:$AF$1001,0),1)&gt;=100000,INDEX($AM$1005:$BM$1005,1,MATCH(COLUMNS($AM$1006:AW1006),$AM$1006:$BM$1006,0))&gt;=100000), " ",IF(INDEX($AM$2:$BM$1001,MATCH(ROWS($AF$2:AF869),$AF$2:$AF$1001,0),MATCH(COLUMNS($AM$1006:AW1006),$AM$1006:$BM$1006,0)), HYPERLINK("#",""), HYPERLINK(CONCATENATE("#metadata!", ADDRESS(INDEX($AH$2:$AH$1001,MATCH(ROWS($AF$2:AF869),$AF$2:$AF$1001,0),0), INDEX($AM$1004:$BM$1004,1,MATCH(COLUMNS($AM$1006:AW1006),$AM$1006:$BM$1006,0)))),"Fix")))</f>
        <v xml:space="preserve"> </v>
      </c>
      <c r="M869" s="4" t="str">
        <f ca="1">IF(OR(INDEX($AG$2:$AG$1001,MATCH(ROWS($AF$2:AF869),$AF$2:$AF$1001,0),1)&gt;=100000,INDEX($AM$1005:$BM$1005,1,MATCH(COLUMNS($AM$1006:AX1006),$AM$1006:$BM$1006,0))&gt;=100000), " ",IF(INDEX($AM$2:$BM$1001,MATCH(ROWS($AF$2:AF869),$AF$2:$AF$1001,0),MATCH(COLUMNS($AM$1006:AX1006),$AM$1006:$BM$1006,0)), HYPERLINK("#",""), HYPERLINK(CONCATENATE("#metadata!", ADDRESS(INDEX($AH$2:$AH$1001,MATCH(ROWS($AF$2:AF869),$AF$2:$AF$1001,0),0), INDEX($AM$1004:$BM$1004,1,MATCH(COLUMNS($AM$1006:AX1006),$AM$1006:$BM$1006,0)))),"Fix")))</f>
        <v xml:space="preserve"> </v>
      </c>
      <c r="N869" s="4" t="str">
        <f ca="1">IF(OR(INDEX($AG$2:$AG$1001,MATCH(ROWS($AF$2:AF869),$AF$2:$AF$1001,0),1)&gt;=100000,INDEX($AM$1005:$BM$1005,1,MATCH(COLUMNS($AM$1006:AY1006),$AM$1006:$BM$1006,0))&gt;=100000), " ",IF(INDEX($AM$2:$BM$1001,MATCH(ROWS($AF$2:AF869),$AF$2:$AF$1001,0),MATCH(COLUMNS($AM$1006:AY1006),$AM$1006:$BM$1006,0)), HYPERLINK("#",""), HYPERLINK(CONCATENATE("#metadata!", ADDRESS(INDEX($AH$2:$AH$1001,MATCH(ROWS($AF$2:AF869),$AF$2:$AF$1001,0),0), INDEX($AM$1004:$BM$1004,1,MATCH(COLUMNS($AM$1006:AY1006),$AM$1006:$BM$1006,0)))),"Fix")))</f>
        <v xml:space="preserve"> </v>
      </c>
      <c r="O869" s="4" t="str">
        <f ca="1">IF(OR(INDEX($AG$2:$AG$1001,MATCH(ROWS($AF$2:AF869),$AF$2:$AF$1001,0),1)&gt;=100000,INDEX($AM$1005:$BM$1005,1,MATCH(COLUMNS($AM$1006:AZ1006),$AM$1006:$BM$1006,0))&gt;=100000), " ",IF(INDEX($AM$2:$BM$1001,MATCH(ROWS($AF$2:AF869),$AF$2:$AF$1001,0),MATCH(COLUMNS($AM$1006:AZ1006),$AM$1006:$BM$1006,0)), HYPERLINK("#",""), HYPERLINK(CONCATENATE("#metadata!", ADDRESS(INDEX($AH$2:$AH$1001,MATCH(ROWS($AF$2:AF869),$AF$2:$AF$1001,0),0), INDEX($AM$1004:$BM$1004,1,MATCH(COLUMNS($AM$1006:AZ1006),$AM$1006:$BM$1006,0)))),"Fix")))</f>
        <v xml:space="preserve"> </v>
      </c>
      <c r="P869" s="4" t="str">
        <f ca="1">IF(OR(INDEX($AG$2:$AG$1001,MATCH(ROWS($AF$2:AF869),$AF$2:$AF$1001,0),1)&gt;=100000,INDEX($AM$1005:$BM$1005,1,MATCH(COLUMNS($AM$1006:BA1006),$AM$1006:$BM$1006,0))&gt;=100000), " ",IF(INDEX($AM$2:$BM$1001,MATCH(ROWS($AF$2:AF869),$AF$2:$AF$1001,0),MATCH(COLUMNS($AM$1006:BA1006),$AM$1006:$BM$1006,0)), HYPERLINK("#",""), HYPERLINK(CONCATENATE("#metadata!", ADDRESS(INDEX($AH$2:$AH$1001,MATCH(ROWS($AF$2:AF869),$AF$2:$AF$1001,0),0), INDEX($AM$1004:$BM$1004,1,MATCH(COLUMNS($AM$1006:BA1006),$AM$1006:$BM$1006,0)))),"Fix")))</f>
        <v xml:space="preserve"> </v>
      </c>
      <c r="Q869" s="4" t="str">
        <f ca="1">IF(OR(INDEX($AG$2:$AG$1001,MATCH(ROWS($AF$2:AF869),$AF$2:$AF$1001,0),1)&gt;=100000,INDEX($AM$1005:$BM$1005,1,MATCH(COLUMNS($AM$1006:BB1006),$AM$1006:$BM$1006,0))&gt;=100000), " ",IF(INDEX($AM$2:$BM$1001,MATCH(ROWS($AF$2:AF869),$AF$2:$AF$1001,0),MATCH(COLUMNS($AM$1006:BB1006),$AM$1006:$BM$1006,0)), HYPERLINK("#",""), HYPERLINK(CONCATENATE("#metadata!", ADDRESS(INDEX($AH$2:$AH$1001,MATCH(ROWS($AF$2:AF869),$AF$2:$AF$1001,0),0), INDEX($AM$1004:$BM$1004,1,MATCH(COLUMNS($AM$1006:BB1006),$AM$1006:$BM$1006,0)))),"Fix")))</f>
        <v xml:space="preserve"> </v>
      </c>
      <c r="R869" s="4" t="str">
        <f ca="1">IF(OR(INDEX($AG$2:$AG$1001,MATCH(ROWS($AF$2:AF869),$AF$2:$AF$1001,0),1)&gt;=100000,INDEX($AM$1005:$BM$1005,1,MATCH(COLUMNS($AM$1006:BC1006),$AM$1006:$BM$1006,0))&gt;=100000), " ",IF(INDEX($AM$2:$BM$1001,MATCH(ROWS($AF$2:AF869),$AF$2:$AF$1001,0),MATCH(COLUMNS($AM$1006:BC1006),$AM$1006:$BM$1006,0)), HYPERLINK("#",""), HYPERLINK(CONCATENATE("#metadata!", ADDRESS(INDEX($AH$2:$AH$1001,MATCH(ROWS($AF$2:AF869),$AF$2:$AF$1001,0),0), INDEX($AM$1004:$BM$1004,1,MATCH(COLUMNS($AM$1006:BC1006),$AM$1006:$BM$1006,0)))),"Fix")))</f>
        <v xml:space="preserve"> </v>
      </c>
      <c r="S869" s="4" t="str">
        <f ca="1">IF(OR(INDEX($AG$2:$AG$1001,MATCH(ROWS($AF$2:AF869),$AF$2:$AF$1001,0),1)&gt;=100000,INDEX($AM$1005:$BM$1005,1,MATCH(COLUMNS($AM$1006:BD1006),$AM$1006:$BM$1006,0))&gt;=100000), " ",IF(INDEX($AM$2:$BM$1001,MATCH(ROWS($AF$2:AF869),$AF$2:$AF$1001,0),MATCH(COLUMNS($AM$1006:BD1006),$AM$1006:$BM$1006,0)), HYPERLINK("#",""), HYPERLINK(CONCATENATE("#metadata!", ADDRESS(INDEX($AH$2:$AH$1001,MATCH(ROWS($AF$2:AF869),$AF$2:$AF$1001,0),0), INDEX($AM$1004:$BM$1004,1,MATCH(COLUMNS($AM$1006:BD1006),$AM$1006:$BM$1006,0)))),"Fix")))</f>
        <v xml:space="preserve"> </v>
      </c>
      <c r="T869" s="4" t="str">
        <f ca="1">IF(OR(INDEX($AG$2:$AG$1001,MATCH(ROWS($AF$2:AF869),$AF$2:$AF$1001,0),1)&gt;=100000,INDEX($AM$1005:$BM$1005,1,MATCH(COLUMNS($AM$1006:BE1006),$AM$1006:$BM$1006,0))&gt;=100000), " ",IF(INDEX($AM$2:$BM$1001,MATCH(ROWS($AF$2:AF869),$AF$2:$AF$1001,0),MATCH(COLUMNS($AM$1006:BE1006),$AM$1006:$BM$1006,0)), HYPERLINK("#",""), HYPERLINK(CONCATENATE("#metadata!", ADDRESS(INDEX($AH$2:$AH$1001,MATCH(ROWS($AF$2:AF869),$AF$2:$AF$1001,0),0), INDEX($AM$1004:$BM$1004,1,MATCH(COLUMNS($AM$1006:BE1006),$AM$1006:$BM$1006,0)))),"Fix")))</f>
        <v xml:space="preserve"> </v>
      </c>
      <c r="U869" s="4" t="str">
        <f ca="1">IF(OR(INDEX($AG$2:$AG$1001,MATCH(ROWS($AF$2:AF869),$AF$2:$AF$1001,0),1)&gt;=100000,INDEX($AM$1005:$BM$1005,1,MATCH(COLUMNS($AM$1006:BF1006),$AM$1006:$BM$1006,0))&gt;=100000), " ",IF(INDEX($AM$2:$BM$1001,MATCH(ROWS($AF$2:AF869),$AF$2:$AF$1001,0),MATCH(COLUMNS($AM$1006:BF1006),$AM$1006:$BM$1006,0)), HYPERLINK("#",""), HYPERLINK(CONCATENATE("#metadata!", ADDRESS(INDEX($AH$2:$AH$1001,MATCH(ROWS($AF$2:AF869),$AF$2:$AF$1001,0),0), INDEX($AM$1004:$BM$1004,1,MATCH(COLUMNS($AM$1006:BF1006),$AM$1006:$BM$1006,0)))),"Fix")))</f>
        <v xml:space="preserve"> </v>
      </c>
      <c r="V869" s="4" t="str">
        <f ca="1">IF(OR(INDEX($AG$2:$AG$1001,MATCH(ROWS($AF$2:AF869),$AF$2:$AF$1001,0),1)&gt;=100000,INDEX($AM$1005:$BM$1005,1,MATCH(COLUMNS($AM$1006:BG1006),$AM$1006:$BM$1006,0))&gt;=100000), " ",IF(INDEX($AM$2:$BM$1001,MATCH(ROWS($AF$2:AF869),$AF$2:$AF$1001,0),MATCH(COLUMNS($AM$1006:BG1006),$AM$1006:$BM$1006,0)), HYPERLINK("#",""), HYPERLINK(CONCATENATE("#metadata!", ADDRESS(INDEX($AH$2:$AH$1001,MATCH(ROWS($AF$2:AF869),$AF$2:$AF$1001,0),0), INDEX($AM$1004:$BM$1004,1,MATCH(COLUMNS($AM$1006:BG1006),$AM$1006:$BM$1006,0)))),"Fix")))</f>
        <v xml:space="preserve"> </v>
      </c>
      <c r="W869" s="4" t="str">
        <f ca="1">IF(OR(INDEX($AG$2:$AG$1001,MATCH(ROWS($AF$2:AF869),$AF$2:$AF$1001,0),1)&gt;=100000,INDEX($AM$1005:$BM$1005,1,MATCH(COLUMNS($AM$1006:BH1006),$AM$1006:$BM$1006,0))&gt;=100000), " ",IF(INDEX($AM$2:$BM$1001,MATCH(ROWS($AF$2:AF869),$AF$2:$AF$1001,0),MATCH(COLUMNS($AM$1006:BH1006),$AM$1006:$BM$1006,0)), HYPERLINK("#",""), HYPERLINK(CONCATENATE("#metadata!", ADDRESS(INDEX($AH$2:$AH$1001,MATCH(ROWS($AF$2:AF869),$AF$2:$AF$1001,0),0), INDEX($AM$1004:$BM$1004,1,MATCH(COLUMNS($AM$1006:BH1006),$AM$1006:$BM$1006,0)))),"Fix")))</f>
        <v xml:space="preserve"> </v>
      </c>
      <c r="X869" s="4" t="str">
        <f ca="1">IF(OR(INDEX($AG$2:$AG$1001,MATCH(ROWS($AF$2:AF869),$AF$2:$AF$1001,0),1)&gt;=100000,INDEX($AM$1005:$BM$1005,1,MATCH(COLUMNS($AM$1006:BI1006),$AM$1006:$BM$1006,0))&gt;=100000), " ",IF(INDEX($AM$2:$BM$1001,MATCH(ROWS($AF$2:AF869),$AF$2:$AF$1001,0),MATCH(COLUMNS($AM$1006:BI1006),$AM$1006:$BM$1006,0)), HYPERLINK("#",""), HYPERLINK(CONCATENATE("#metadata!", ADDRESS(INDEX($AH$2:$AH$1001,MATCH(ROWS($AF$2:AF869),$AF$2:$AF$1001,0),0), INDEX($AM$1004:$BM$1004,1,MATCH(COLUMNS($AM$1006:BI1006),$AM$1006:$BM$1006,0)))),"Fix")))</f>
        <v xml:space="preserve"> </v>
      </c>
      <c r="Y869" s="4" t="str">
        <f ca="1">IF(OR(INDEX($AG$2:$AG$1001,MATCH(ROWS($AF$2:AF869),$AF$2:$AF$1001,0),1)&gt;=100000,INDEX($AM$1005:$BM$1005,1,MATCH(COLUMNS($AM$1006:BJ1006),$AM$1006:$BM$1006,0))&gt;=100000), " ",IF(INDEX($AM$2:$BM$1001,MATCH(ROWS($AF$2:AF869),$AF$2:$AF$1001,0),MATCH(COLUMNS($AM$1006:BJ1006),$AM$1006:$BM$1006,0)), HYPERLINK("#",""), HYPERLINK(CONCATENATE("#metadata!", ADDRESS(INDEX($AH$2:$AH$1001,MATCH(ROWS($AF$2:AF869),$AF$2:$AF$1001,0),0), INDEX($AM$1004:$BM$1004,1,MATCH(COLUMNS($AM$1006:BJ1006),$AM$1006:$BM$1006,0)))),"Fix")))</f>
        <v xml:space="preserve"> </v>
      </c>
      <c r="Z869" s="4" t="str">
        <f ca="1">IF(OR(INDEX($AG$2:$AG$1001,MATCH(ROWS($AF$2:AF869),$AF$2:$AF$1001,0),1)&gt;=100000,INDEX($AM$1005:$BM$1005,1,MATCH(COLUMNS($AM$1006:BK1006),$AM$1006:$BM$1006,0))&gt;=100000), " ",IF(INDEX($AM$2:$BM$1001,MATCH(ROWS($AF$2:AF869),$AF$2:$AF$1001,0),MATCH(COLUMNS($AM$1006:BK1006),$AM$1006:$BM$1006,0)), HYPERLINK("#",""), HYPERLINK(CONCATENATE("#metadata!", ADDRESS(INDEX($AH$2:$AH$1001,MATCH(ROWS($AF$2:AF869),$AF$2:$AF$1001,0),0), INDEX($AM$1004:$BM$1004,1,MATCH(COLUMNS($AM$1006:BK1006),$AM$1006:$BM$1006,0)))),"Fix")))</f>
        <v xml:space="preserve"> </v>
      </c>
      <c r="AA869" s="4" t="str">
        <f ca="1">IF(OR(INDEX($AG$2:$AG$1001,MATCH(ROWS($AF$2:AF869),$AF$2:$AF$1001,0),1)&gt;=100000,INDEX($AM$1005:$BM$1005,1,MATCH(COLUMNS($AM$1006:BL1006),$AM$1006:$BM$1006,0))&gt;=100000), " ",IF(INDEX($AM$2:$BM$1001,MATCH(ROWS($AF$2:AF869),$AF$2:$AF$1001,0),MATCH(COLUMNS($AM$1006:BL1006),$AM$1006:$BM$1006,0)), HYPERLINK("#",""), HYPERLINK(CONCATENATE("#metadata!", ADDRESS(INDEX($AH$2:$AH$1001,MATCH(ROWS($AF$2:AF869),$AF$2:$AF$1001,0),0), INDEX($AM$1004:$BM$1004,1,MATCH(COLUMNS($AM$1006:BL1006),$AM$1006:$BM$1006,0)))),"Fix")))</f>
        <v xml:space="preserve"> </v>
      </c>
      <c r="AB869" s="4" t="str">
        <f ca="1">IF(OR(INDEX($AG$2:$AG$1001,MATCH(ROWS($AF$2:AF869),$AF$2:$AF$1001,0),1)&gt;=100000,INDEX($AM$1005:$BM$1005,1,MATCH(COLUMNS($AM$1006:BM1006),$AM$1006:$BM$1006,0))&gt;=100000), " ",IF(INDEX($AM$2:$BM$1001,MATCH(ROWS($AF$2:AF869),$AF$2:$AF$1001,0),MATCH(COLUMNS($AM$1006:BM1006),$AM$1006:$BM$1006,0)), HYPERLINK("#",""), HYPERLINK(CONCATENATE("#metadata!", ADDRESS(INDEX($AH$2:$AH$1001,MATCH(ROWS($AF$2:AF869),$AF$2:$AF$1001,0),0), INDEX($AM$1004:$BM$1004,1,MATCH(COLUMNS($AM$1006:BM1006),$AM$1006:$BM$1006,0)))),"Fix")))</f>
        <v xml:space="preserve"> </v>
      </c>
      <c r="AF869">
        <v>868</v>
      </c>
      <c r="AG869">
        <v>100869</v>
      </c>
      <c r="AH869">
        <v>869</v>
      </c>
      <c r="AI869" t="b">
        <f t="shared" si="13"/>
        <v>1</v>
      </c>
      <c r="AJ869" t="b">
        <f>COUNTBLANK(metadata!B869:AB869)=COLUMNS(metadata!B869:AB869)</f>
        <v>1</v>
      </c>
      <c r="AK869" t="str">
        <v/>
      </c>
      <c r="AM869" t="b">
        <f ca="1">AND(IF(metadata!B869="",FALSE,TRUE),COUNTIF(metadata!B:B, metadata!B869) = 1,NOT(ISERROR(SUMPRODUCT(SEARCH(MID(metadata!B869,ROW(INDIRECT("1:"&amp;LEN(metadata!B869))), 1),"0123456789abcdefghijklmnopqrstuvwxyzABCDEFGHIJKLMNOPQRSTUVWXYZ.")))))</f>
        <v>0</v>
      </c>
      <c r="AN869" t="b">
        <f ca="1">OR(AND(IF(metadata!C869="",FALSE,TRUE),OR(EXACT(metadata!C869,"missing: not collected"),EXACT(metadata!C869,"missing: not provided"),EXACT(metadata!C869,"missing: restricted access"))),AND(IF(metadata!C869="",FALSE,TRUE),AND(AND(IFERROR(INT(LEFT(metadata!C869,4))&gt;1900,FALSE),IFERROR(INT(LEFT(metadata!C869,4))&lt;=YEAR(NOW()),FALSE)), OR(MID(metadata!C869,5,1)="", AND(AND(MID(metadata!C869,5,1)="-",IFERROR(INT(MID(metadata!C869,6,1))&gt;=0,FALSE),IFERROR(INT(MID(metadata!C869,6,1))&lt;=1,FALSE),NOT(MID(metadata!C869,7,1)=""),IFERROR(INT(MID(metadata!C869,6,2))&gt;=1,FALSE),IFERROR(INT(MID(metadata!C869,6,2))&lt;=12,FALSE)), OR(MID(metadata!C869,8,1)="", AND(AND(MID(metadata!C869,8,1)="-",IFERROR(INT(MID(metadata!C869,9,1))&gt;=0,FALSE),IFERROR(INT(MID(metadata!C869,9,1))&lt;=3,FALSE),NOT(MID(metadata!C869,10,1)=""),IFERROR(INT(MID(metadata!C869,9,2))&gt;=1,FALSE),IFERROR(INT(MID(metadata!C869,9,2))&lt;=31,FALSE)), OR(MID(metadata!C869,11,1)="", AND(AND(MID(metadata!C869,11,1)=" ",IFERROR(INT(MID(metadata!C869,12,1))&gt;=0,FALSE),IFERROR(INT(MID(metadata!C869,12,1))&lt;=2,FALSE),NOT(MID(metadata!C869,13,1)=""),IFERROR(INT(MID(metadata!C869,12,2))&gt;=0,FALSE),IFERROR(INT(MID(metadata!C869,12,2))&lt;=23,FALSE)), OR(MID(metadata!C869,14,1)="", AND(AND(MID(metadata!C869,14,1)=":",IFERROR(INT(MID(metadata!C869,15,1))&gt;=0,FALSE),IFERROR(INT(MID(metadata!C869,15,1))&lt;=5,FALSE),NOT(MID(metadata!C869,16,1)=""),IFERROR(INT(MID(metadata!C869,15,2))&gt;=0,FALSE),IFERROR(INT(MID(metadata!C869,15,2))&lt;=59,FALSE)), OR(MID(metadata!C869,17,1)="", AND(AND(MID(metadata!C869,17,1)=":",IFERROR(INT(MID(metadata!C869,18,1))&gt;=0,FALSE),IFERROR(INT(MID(metadata!C869,18,1))&lt;=5,FALSE),NOT(MID(metadata!C869,19,1)=""),IFERROR(INT(MID(metadata!C869,18,2))&gt;=0,FALSE),IFERROR(INT(MID(metadata!C869,18,2))&lt;=59,FALSE)), LEN(metadata!C869)&lt;=19)))))))))))))</f>
        <v>0</v>
      </c>
      <c r="AO869" t="b">
        <f>AND(IF(metadata!D869="",FALSE,TRUE),EXACT(metadata!D869,"Not applicable"))</f>
        <v>0</v>
      </c>
      <c r="AP869" t="b">
        <f>IF(metadata!E869="",FALSE,TRUE)</f>
        <v>0</v>
      </c>
      <c r="AQ869" t="b">
        <f>OR(AND(IF(metadata!F869="",FALSE,TRUE),OR(EXACT(metadata!F869,"missing: not collected"),EXACT(metadata!F869,"missing: not provided"))),AND(IF(metadata!F869="",FALSE,TRUE),OR(EXACT(metadata!F869,"TRUE"),EXACT(metadata!F869,"FALSE"))))</f>
        <v>0</v>
      </c>
      <c r="AR869" t="b">
        <f>OR(AND(IF(metadata!G869="",FALSE,TRUE),OR(EXACT(metadata!G869,"missing: not collected"),EXACT(metadata!G869,"missing: not provided"),EXACT(metadata!G869,"missing: restricted access"))),AND(IF(metadata!G869="",FALSE,ISNUMBER(VALUE(metadata!G869))),metadata!G869&gt;=-413))</f>
        <v>0</v>
      </c>
      <c r="AS869" t="b">
        <f>AND(IF(metadata!H869="",FALSE,TRUE),EXACT(metadata!H869,"meters"))</f>
        <v>0</v>
      </c>
      <c r="AT869" t="b">
        <f>AND(IF(metadata!I869="",FALSE,TRUE),OR(EXACT(metadata!I869,"Host-associated"),EXACT(metadata!I869,"Free-living")))</f>
        <v>0</v>
      </c>
      <c r="AU869" t="b">
        <f>AND(IF(metadata!J869="",FALSE,TRUE),OR(EXACT(metadata!J869,"Animal"),EXACT(metadata!J869,"Fungus"),EXACT(metadata!J869,"Plant"),EXACT(metadata!J869,"Saline"),EXACT(metadata!J869,"Non-saline")))</f>
        <v>0</v>
      </c>
      <c r="AV869" t="b">
        <f>AND(IF(metadata!K869="",FALSE,TRUE),OR(EXACT(metadata!K869,"Plant secretion"),EXACT(metadata!K869,"Plant rhizosphere"),EXACT(metadata!K869,"Plant surface"),EXACT(metadata!K869,"Plant corpus"),EXACT(metadata!K869,"Fungus surface"),EXACT(metadata!K869,"Fungus corpus"),EXACT(metadata!K869,"Animal surface"),EXACT(metadata!K869,"Animal proximal gut"),EXACT(metadata!K869,"Animal corpus"),EXACT(metadata!K869,"Animal distal gut"),EXACT(metadata!K869,"Animal secretion"),EXACT(metadata!K869,"Sub-surface (non-saline)"),EXACT(metadata!K869,"Surface (non-saline)"),EXACT(metadata!K869,"Water (non-saline)"),EXACT(metadata!K869,"Soil (non-saline)"),EXACT(metadata!K869,"Aerosol (non-saline)"),EXACT(metadata!K869,"Sediment (non-saline)"),EXACT(metadata!K869,"Surface (saline)"),EXACT(metadata!K869,"Water (saline)"),EXACT(metadata!K869,"Hypersaline (saline)"),EXACT(metadata!K869,"Aerosol (saline)"),EXACT(metadata!K869,"Sediment (saline)")))</f>
        <v>0</v>
      </c>
      <c r="AW869" t="b">
        <f>IF(metadata!L869="",FALSE,TRUE)</f>
        <v>0</v>
      </c>
      <c r="AX869" t="b">
        <f>IF(metadata!M869="",FALSE,TRUE)</f>
        <v>0</v>
      </c>
      <c r="AY869" t="b">
        <f>IF(metadata!N869="",FALSE,TRUE)</f>
        <v>0</v>
      </c>
      <c r="AZ869" t="b">
        <f>OR(AND(IF(metadata!O869="",FALSE,TRUE),OR(EXACT(metadata!O869,"missing: not collected"),EXACT(metadata!O869,"missing: not provided"),EXACT(metadata!O869,"missing: restricted access"))),AND(IF(metadata!O869="",FALSE,TRUE),OR(EXACT(metadata!O869,"air"),EXACT(metadata!O869,"built environment"),EXACT(metadata!O869,"host-associated"),EXACT(metadata!O869,"human-associated"),EXACT(metadata!O869,"human-skin"),EXACT(metadata!O869,"human-oral"),EXACT(metadata!O869,"human-gut"),EXACT(metadata!O869,"human-vaginal"),EXACT(metadata!O869,"microbial mat/biofilm"),EXACT(metadata!O869,"misc environment"),EXACT(metadata!O869,"plant-associated"),EXACT(metadata!O869,"sediment"),EXACT(metadata!O869,"soil"),EXACT(metadata!O869,"wastewater/sludge"),EXACT(metadata!O869,"water"))))</f>
        <v>0</v>
      </c>
      <c r="BA869" t="b">
        <f>IF(metadata!P869="",FALSE,TRUE)</f>
        <v>0</v>
      </c>
      <c r="BB869" t="b">
        <f>IF(metadata!Q869="",FALSE,TRUE)</f>
        <v>0</v>
      </c>
      <c r="BC869" t="b">
        <f>OR(AND(IF(metadata!R869="",FALSE,TRUE),OR(EXACT(metadata!R869,"missing: not collected"),EXACT(metadata!R869,"missing: not provided"),EXACT(metadata!R869,"missing: restricted access"))),AND(IF(metadata!R869="",FALSE,ISNUMBER(VALUE(metadata!R869))),metadata!R869&gt;=-90,metadata!R869&lt;=90))</f>
        <v>0</v>
      </c>
      <c r="BD869" t="b">
        <f>AND(IF(metadata!S869="",FALSE,TRUE),EXACT(metadata!S869,"Decimal degrees"))</f>
        <v>0</v>
      </c>
      <c r="BE869" t="b">
        <f>OR(AND(IF(metadata!T869="",FALSE,TRUE),OR(EXACT(metadata!T869,"missing: not collected"),EXACT(metadata!T869,"missing: not provided"),EXACT(metadata!T869,"missing: restricted access"))),AND(IF(metadata!T869="",FALSE,ISNUMBER(VALUE(metadata!T869))),metadata!T869&gt;=-180,metadata!T869&lt;=180))</f>
        <v>0</v>
      </c>
      <c r="BF869" t="b">
        <f>AND(IF(metadata!U869="",FALSE,TRUE),EXACT(metadata!U869,"Decimal degrees"))</f>
        <v>0</v>
      </c>
      <c r="BG869" t="b">
        <f>IF(metadata!V869="",FALSE,TRUE)</f>
        <v>0</v>
      </c>
      <c r="BH869" t="b">
        <f>OR(AND(IF(metadata!W869="",FALSE,TRUE),OR(EXACT(metadata!W869,"missing: not collected"),EXACT(metadata!W869,"missing: not provided"),EXACT(metadata!W869,"missing: restricted access"))),AND(IF(metadata!W869="",FALSE,TRUE),OR(EXACT(metadata!W869,"TRUE"),EXACT(metadata!W869,"FALSE"))))</f>
        <v>0</v>
      </c>
      <c r="BI869" t="b">
        <f>AND(IF(metadata!X869="",FALSE,TRUE),EXACT(metadata!X869,"other"))</f>
        <v>0</v>
      </c>
      <c r="BJ869" t="b">
        <f>IF(metadata!Y869="",FALSE,TRUE)</f>
        <v>0</v>
      </c>
      <c r="BK869" t="b">
        <f>OR(AND(IF(metadata!Z869="",FALSE,TRUE),OR(EXACT(metadata!Z869,"missing: not collected"),EXACT(metadata!Z869,"missing: not provided"))),AND(IF(metadata!Z869="",FALSE,IF(ISERROR(INT(metadata!Z869)),FALSE,INT(metadata!Z869)=metadata!Z869)),metadata!Z869&gt;0))</f>
        <v>0</v>
      </c>
      <c r="BL869" t="b">
        <f>AND(IF(metadata!AA869="",FALSE,TRUE),EXACT(metadata!AA869,"Not applicable"))</f>
        <v>0</v>
      </c>
      <c r="BM869" t="b">
        <f>IF(metadata!AB869="",FALSE,TRUE)</f>
        <v>0</v>
      </c>
    </row>
    <row r="870" spans="1:65" x14ac:dyDescent="0.2">
      <c r="A870" s="5" t="str">
        <f ca="1">IF(B870=" "," ",HYPERLINK(CONCATENATE("#metadata!",ADDRESS(INDEX($AH$2:$AH$1001,MATCH(ROWS($AF$2:AF870),$AF$2:$AF$1001,0),0),1)),INDEX($AK$2:$AK$1001,MATCH(ROWS($AF$2:AF870),$AF$2:$AF$1001,0),0)))</f>
        <v xml:space="preserve"> </v>
      </c>
      <c r="B870" s="4" t="str">
        <f ca="1">IF(OR(INDEX($AG$2:$AG$1001,MATCH(ROWS($AF$2:AF870),$AF$2:$AF$1001,0),1)&gt;=100000,INDEX($AM$1005:$BM$1005,1,MATCH(COLUMNS($AM$1006:AM1006),$AM$1006:$BM$1006,0))&gt;=100000), " ",IF(INDEX($AM$2:$BM$1001,MATCH(ROWS($AF$2:AF870),$AF$2:$AF$1001,0),MATCH(COLUMNS($AM$1006:AM1006),$AM$1006:$BM$1006,0)), HYPERLINK("#",""), HYPERLINK(CONCATENATE("#metadata!", ADDRESS(INDEX($AH$2:$AH$1001,MATCH(ROWS($AF$2:AF870),$AF$2:$AF$1001,0),0), INDEX($AM$1004:$BM$1004,1,MATCH(COLUMNS($AM$1006:AM1006),$AM$1006:$BM$1006,0)))),"Fix")))</f>
        <v xml:space="preserve"> </v>
      </c>
      <c r="C870" s="4" t="str">
        <f ca="1">IF(OR(INDEX($AG$2:$AG$1001,MATCH(ROWS($AF$2:AF870),$AF$2:$AF$1001,0),1)&gt;=100000,INDEX($AM$1005:$BM$1005,1,MATCH(COLUMNS($AM$1006:AN1006),$AM$1006:$BM$1006,0))&gt;=100000), " ",IF(INDEX($AM$2:$BM$1001,MATCH(ROWS($AF$2:AF870),$AF$2:$AF$1001,0),MATCH(COLUMNS($AM$1006:AN1006),$AM$1006:$BM$1006,0)), HYPERLINK("#",""), HYPERLINK(CONCATENATE("#metadata!", ADDRESS(INDEX($AH$2:$AH$1001,MATCH(ROWS($AF$2:AF870),$AF$2:$AF$1001,0),0), INDEX($AM$1004:$BM$1004,1,MATCH(COLUMNS($AM$1006:AN1006),$AM$1006:$BM$1006,0)))),"Fix")))</f>
        <v xml:space="preserve"> </v>
      </c>
      <c r="D870" s="4" t="str">
        <f ca="1">IF(OR(INDEX($AG$2:$AG$1001,MATCH(ROWS($AF$2:AF870),$AF$2:$AF$1001,0),1)&gt;=100000,INDEX($AM$1005:$BM$1005,1,MATCH(COLUMNS($AM$1006:AO1006),$AM$1006:$BM$1006,0))&gt;=100000), " ",IF(INDEX($AM$2:$BM$1001,MATCH(ROWS($AF$2:AF870),$AF$2:$AF$1001,0),MATCH(COLUMNS($AM$1006:AO1006),$AM$1006:$BM$1006,0)), HYPERLINK("#",""), HYPERLINK(CONCATENATE("#metadata!", ADDRESS(INDEX($AH$2:$AH$1001,MATCH(ROWS($AF$2:AF870),$AF$2:$AF$1001,0),0), INDEX($AM$1004:$BM$1004,1,MATCH(COLUMNS($AM$1006:AO1006),$AM$1006:$BM$1006,0)))),"Fix")))</f>
        <v xml:space="preserve"> </v>
      </c>
      <c r="E870" s="4" t="str">
        <f ca="1">IF(OR(INDEX($AG$2:$AG$1001,MATCH(ROWS($AF$2:AF870),$AF$2:$AF$1001,0),1)&gt;=100000,INDEX($AM$1005:$BM$1005,1,MATCH(COLUMNS($AM$1006:AP1006),$AM$1006:$BM$1006,0))&gt;=100000), " ",IF(INDEX($AM$2:$BM$1001,MATCH(ROWS($AF$2:AF870),$AF$2:$AF$1001,0),MATCH(COLUMNS($AM$1006:AP1006),$AM$1006:$BM$1006,0)), HYPERLINK("#",""), HYPERLINK(CONCATENATE("#metadata!", ADDRESS(INDEX($AH$2:$AH$1001,MATCH(ROWS($AF$2:AF870),$AF$2:$AF$1001,0),0), INDEX($AM$1004:$BM$1004,1,MATCH(COLUMNS($AM$1006:AP1006),$AM$1006:$BM$1006,0)))),"Fix")))</f>
        <v xml:space="preserve"> </v>
      </c>
      <c r="F870" s="4" t="str">
        <f ca="1">IF(OR(INDEX($AG$2:$AG$1001,MATCH(ROWS($AF$2:AF870),$AF$2:$AF$1001,0),1)&gt;=100000,INDEX($AM$1005:$BM$1005,1,MATCH(COLUMNS($AM$1006:AQ1006),$AM$1006:$BM$1006,0))&gt;=100000), " ",IF(INDEX($AM$2:$BM$1001,MATCH(ROWS($AF$2:AF870),$AF$2:$AF$1001,0),MATCH(COLUMNS($AM$1006:AQ1006),$AM$1006:$BM$1006,0)), HYPERLINK("#",""), HYPERLINK(CONCATENATE("#metadata!", ADDRESS(INDEX($AH$2:$AH$1001,MATCH(ROWS($AF$2:AF870),$AF$2:$AF$1001,0),0), INDEX($AM$1004:$BM$1004,1,MATCH(COLUMNS($AM$1006:AQ1006),$AM$1006:$BM$1006,0)))),"Fix")))</f>
        <v xml:space="preserve"> </v>
      </c>
      <c r="G870" s="4" t="str">
        <f ca="1">IF(OR(INDEX($AG$2:$AG$1001,MATCH(ROWS($AF$2:AF870),$AF$2:$AF$1001,0),1)&gt;=100000,INDEX($AM$1005:$BM$1005,1,MATCH(COLUMNS($AM$1006:AR1006),$AM$1006:$BM$1006,0))&gt;=100000), " ",IF(INDEX($AM$2:$BM$1001,MATCH(ROWS($AF$2:AF870),$AF$2:$AF$1001,0),MATCH(COLUMNS($AM$1006:AR1006),$AM$1006:$BM$1006,0)), HYPERLINK("#",""), HYPERLINK(CONCATENATE("#metadata!", ADDRESS(INDEX($AH$2:$AH$1001,MATCH(ROWS($AF$2:AF870),$AF$2:$AF$1001,0),0), INDEX($AM$1004:$BM$1004,1,MATCH(COLUMNS($AM$1006:AR1006),$AM$1006:$BM$1006,0)))),"Fix")))</f>
        <v xml:space="preserve"> </v>
      </c>
      <c r="H870" s="4" t="str">
        <f ca="1">IF(OR(INDEX($AG$2:$AG$1001,MATCH(ROWS($AF$2:AF870),$AF$2:$AF$1001,0),1)&gt;=100000,INDEX($AM$1005:$BM$1005,1,MATCH(COLUMNS($AM$1006:AS1006),$AM$1006:$BM$1006,0))&gt;=100000), " ",IF(INDEX($AM$2:$BM$1001,MATCH(ROWS($AF$2:AF870),$AF$2:$AF$1001,0),MATCH(COLUMNS($AM$1006:AS1006),$AM$1006:$BM$1006,0)), HYPERLINK("#",""), HYPERLINK(CONCATENATE("#metadata!", ADDRESS(INDEX($AH$2:$AH$1001,MATCH(ROWS($AF$2:AF870),$AF$2:$AF$1001,0),0), INDEX($AM$1004:$BM$1004,1,MATCH(COLUMNS($AM$1006:AS1006),$AM$1006:$BM$1006,0)))),"Fix")))</f>
        <v xml:space="preserve"> </v>
      </c>
      <c r="I870" s="4" t="str">
        <f ca="1">IF(OR(INDEX($AG$2:$AG$1001,MATCH(ROWS($AF$2:AF870),$AF$2:$AF$1001,0),1)&gt;=100000,INDEX($AM$1005:$BM$1005,1,MATCH(COLUMNS($AM$1006:AT1006),$AM$1006:$BM$1006,0))&gt;=100000), " ",IF(INDEX($AM$2:$BM$1001,MATCH(ROWS($AF$2:AF870),$AF$2:$AF$1001,0),MATCH(COLUMNS($AM$1006:AT1006),$AM$1006:$BM$1006,0)), HYPERLINK("#",""), HYPERLINK(CONCATENATE("#metadata!", ADDRESS(INDEX($AH$2:$AH$1001,MATCH(ROWS($AF$2:AF870),$AF$2:$AF$1001,0),0), INDEX($AM$1004:$BM$1004,1,MATCH(COLUMNS($AM$1006:AT1006),$AM$1006:$BM$1006,0)))),"Fix")))</f>
        <v xml:space="preserve"> </v>
      </c>
      <c r="J870" s="4" t="str">
        <f ca="1">IF(OR(INDEX($AG$2:$AG$1001,MATCH(ROWS($AF$2:AF870),$AF$2:$AF$1001,0),1)&gt;=100000,INDEX($AM$1005:$BM$1005,1,MATCH(COLUMNS($AM$1006:AU1006),$AM$1006:$BM$1006,0))&gt;=100000), " ",IF(INDEX($AM$2:$BM$1001,MATCH(ROWS($AF$2:AF870),$AF$2:$AF$1001,0),MATCH(COLUMNS($AM$1006:AU1006),$AM$1006:$BM$1006,0)), HYPERLINK("#",""), HYPERLINK(CONCATENATE("#metadata!", ADDRESS(INDEX($AH$2:$AH$1001,MATCH(ROWS($AF$2:AF870),$AF$2:$AF$1001,0),0), INDEX($AM$1004:$BM$1004,1,MATCH(COLUMNS($AM$1006:AU1006),$AM$1006:$BM$1006,0)))),"Fix")))</f>
        <v xml:space="preserve"> </v>
      </c>
      <c r="K870" s="4" t="str">
        <f ca="1">IF(OR(INDEX($AG$2:$AG$1001,MATCH(ROWS($AF$2:AF870),$AF$2:$AF$1001,0),1)&gt;=100000,INDEX($AM$1005:$BM$1005,1,MATCH(COLUMNS($AM$1006:AV1006),$AM$1006:$BM$1006,0))&gt;=100000), " ",IF(INDEX($AM$2:$BM$1001,MATCH(ROWS($AF$2:AF870),$AF$2:$AF$1001,0),MATCH(COLUMNS($AM$1006:AV1006),$AM$1006:$BM$1006,0)), HYPERLINK("#",""), HYPERLINK(CONCATENATE("#metadata!", ADDRESS(INDEX($AH$2:$AH$1001,MATCH(ROWS($AF$2:AF870),$AF$2:$AF$1001,0),0), INDEX($AM$1004:$BM$1004,1,MATCH(COLUMNS($AM$1006:AV1006),$AM$1006:$BM$1006,0)))),"Fix")))</f>
        <v xml:space="preserve"> </v>
      </c>
      <c r="L870" s="4" t="str">
        <f ca="1">IF(OR(INDEX($AG$2:$AG$1001,MATCH(ROWS($AF$2:AF870),$AF$2:$AF$1001,0),1)&gt;=100000,INDEX($AM$1005:$BM$1005,1,MATCH(COLUMNS($AM$1006:AW1006),$AM$1006:$BM$1006,0))&gt;=100000), " ",IF(INDEX($AM$2:$BM$1001,MATCH(ROWS($AF$2:AF870),$AF$2:$AF$1001,0),MATCH(COLUMNS($AM$1006:AW1006),$AM$1006:$BM$1006,0)), HYPERLINK("#",""), HYPERLINK(CONCATENATE("#metadata!", ADDRESS(INDEX($AH$2:$AH$1001,MATCH(ROWS($AF$2:AF870),$AF$2:$AF$1001,0),0), INDEX($AM$1004:$BM$1004,1,MATCH(COLUMNS($AM$1006:AW1006),$AM$1006:$BM$1006,0)))),"Fix")))</f>
        <v xml:space="preserve"> </v>
      </c>
      <c r="M870" s="4" t="str">
        <f ca="1">IF(OR(INDEX($AG$2:$AG$1001,MATCH(ROWS($AF$2:AF870),$AF$2:$AF$1001,0),1)&gt;=100000,INDEX($AM$1005:$BM$1005,1,MATCH(COLUMNS($AM$1006:AX1006),$AM$1006:$BM$1006,0))&gt;=100000), " ",IF(INDEX($AM$2:$BM$1001,MATCH(ROWS($AF$2:AF870),$AF$2:$AF$1001,0),MATCH(COLUMNS($AM$1006:AX1006),$AM$1006:$BM$1006,0)), HYPERLINK("#",""), HYPERLINK(CONCATENATE("#metadata!", ADDRESS(INDEX($AH$2:$AH$1001,MATCH(ROWS($AF$2:AF870),$AF$2:$AF$1001,0),0), INDEX($AM$1004:$BM$1004,1,MATCH(COLUMNS($AM$1006:AX1006),$AM$1006:$BM$1006,0)))),"Fix")))</f>
        <v xml:space="preserve"> </v>
      </c>
      <c r="N870" s="4" t="str">
        <f ca="1">IF(OR(INDEX($AG$2:$AG$1001,MATCH(ROWS($AF$2:AF870),$AF$2:$AF$1001,0),1)&gt;=100000,INDEX($AM$1005:$BM$1005,1,MATCH(COLUMNS($AM$1006:AY1006),$AM$1006:$BM$1006,0))&gt;=100000), " ",IF(INDEX($AM$2:$BM$1001,MATCH(ROWS($AF$2:AF870),$AF$2:$AF$1001,0),MATCH(COLUMNS($AM$1006:AY1006),$AM$1006:$BM$1006,0)), HYPERLINK("#",""), HYPERLINK(CONCATENATE("#metadata!", ADDRESS(INDEX($AH$2:$AH$1001,MATCH(ROWS($AF$2:AF870),$AF$2:$AF$1001,0),0), INDEX($AM$1004:$BM$1004,1,MATCH(COLUMNS($AM$1006:AY1006),$AM$1006:$BM$1006,0)))),"Fix")))</f>
        <v xml:space="preserve"> </v>
      </c>
      <c r="O870" s="4" t="str">
        <f ca="1">IF(OR(INDEX($AG$2:$AG$1001,MATCH(ROWS($AF$2:AF870),$AF$2:$AF$1001,0),1)&gt;=100000,INDEX($AM$1005:$BM$1005,1,MATCH(COLUMNS($AM$1006:AZ1006),$AM$1006:$BM$1006,0))&gt;=100000), " ",IF(INDEX($AM$2:$BM$1001,MATCH(ROWS($AF$2:AF870),$AF$2:$AF$1001,0),MATCH(COLUMNS($AM$1006:AZ1006),$AM$1006:$BM$1006,0)), HYPERLINK("#",""), HYPERLINK(CONCATENATE("#metadata!", ADDRESS(INDEX($AH$2:$AH$1001,MATCH(ROWS($AF$2:AF870),$AF$2:$AF$1001,0),0), INDEX($AM$1004:$BM$1004,1,MATCH(COLUMNS($AM$1006:AZ1006),$AM$1006:$BM$1006,0)))),"Fix")))</f>
        <v xml:space="preserve"> </v>
      </c>
      <c r="P870" s="4" t="str">
        <f ca="1">IF(OR(INDEX($AG$2:$AG$1001,MATCH(ROWS($AF$2:AF870),$AF$2:$AF$1001,0),1)&gt;=100000,INDEX($AM$1005:$BM$1005,1,MATCH(COLUMNS($AM$1006:BA1006),$AM$1006:$BM$1006,0))&gt;=100000), " ",IF(INDEX($AM$2:$BM$1001,MATCH(ROWS($AF$2:AF870),$AF$2:$AF$1001,0),MATCH(COLUMNS($AM$1006:BA1006),$AM$1006:$BM$1006,0)), HYPERLINK("#",""), HYPERLINK(CONCATENATE("#metadata!", ADDRESS(INDEX($AH$2:$AH$1001,MATCH(ROWS($AF$2:AF870),$AF$2:$AF$1001,0),0), INDEX($AM$1004:$BM$1004,1,MATCH(COLUMNS($AM$1006:BA1006),$AM$1006:$BM$1006,0)))),"Fix")))</f>
        <v xml:space="preserve"> </v>
      </c>
      <c r="Q870" s="4" t="str">
        <f ca="1">IF(OR(INDEX($AG$2:$AG$1001,MATCH(ROWS($AF$2:AF870),$AF$2:$AF$1001,0),1)&gt;=100000,INDEX($AM$1005:$BM$1005,1,MATCH(COLUMNS($AM$1006:BB1006),$AM$1006:$BM$1006,0))&gt;=100000), " ",IF(INDEX($AM$2:$BM$1001,MATCH(ROWS($AF$2:AF870),$AF$2:$AF$1001,0),MATCH(COLUMNS($AM$1006:BB1006),$AM$1006:$BM$1006,0)), HYPERLINK("#",""), HYPERLINK(CONCATENATE("#metadata!", ADDRESS(INDEX($AH$2:$AH$1001,MATCH(ROWS($AF$2:AF870),$AF$2:$AF$1001,0),0), INDEX($AM$1004:$BM$1004,1,MATCH(COLUMNS($AM$1006:BB1006),$AM$1006:$BM$1006,0)))),"Fix")))</f>
        <v xml:space="preserve"> </v>
      </c>
      <c r="R870" s="4" t="str">
        <f ca="1">IF(OR(INDEX($AG$2:$AG$1001,MATCH(ROWS($AF$2:AF870),$AF$2:$AF$1001,0),1)&gt;=100000,INDEX($AM$1005:$BM$1005,1,MATCH(COLUMNS($AM$1006:BC1006),$AM$1006:$BM$1006,0))&gt;=100000), " ",IF(INDEX($AM$2:$BM$1001,MATCH(ROWS($AF$2:AF870),$AF$2:$AF$1001,0),MATCH(COLUMNS($AM$1006:BC1006),$AM$1006:$BM$1006,0)), HYPERLINK("#",""), HYPERLINK(CONCATENATE("#metadata!", ADDRESS(INDEX($AH$2:$AH$1001,MATCH(ROWS($AF$2:AF870),$AF$2:$AF$1001,0),0), INDEX($AM$1004:$BM$1004,1,MATCH(COLUMNS($AM$1006:BC1006),$AM$1006:$BM$1006,0)))),"Fix")))</f>
        <v xml:space="preserve"> </v>
      </c>
      <c r="S870" s="4" t="str">
        <f ca="1">IF(OR(INDEX($AG$2:$AG$1001,MATCH(ROWS($AF$2:AF870),$AF$2:$AF$1001,0),1)&gt;=100000,INDEX($AM$1005:$BM$1005,1,MATCH(COLUMNS($AM$1006:BD1006),$AM$1006:$BM$1006,0))&gt;=100000), " ",IF(INDEX($AM$2:$BM$1001,MATCH(ROWS($AF$2:AF870),$AF$2:$AF$1001,0),MATCH(COLUMNS($AM$1006:BD1006),$AM$1006:$BM$1006,0)), HYPERLINK("#",""), HYPERLINK(CONCATENATE("#metadata!", ADDRESS(INDEX($AH$2:$AH$1001,MATCH(ROWS($AF$2:AF870),$AF$2:$AF$1001,0),0), INDEX($AM$1004:$BM$1004,1,MATCH(COLUMNS($AM$1006:BD1006),$AM$1006:$BM$1006,0)))),"Fix")))</f>
        <v xml:space="preserve"> </v>
      </c>
      <c r="T870" s="4" t="str">
        <f ca="1">IF(OR(INDEX($AG$2:$AG$1001,MATCH(ROWS($AF$2:AF870),$AF$2:$AF$1001,0),1)&gt;=100000,INDEX($AM$1005:$BM$1005,1,MATCH(COLUMNS($AM$1006:BE1006),$AM$1006:$BM$1006,0))&gt;=100000), " ",IF(INDEX($AM$2:$BM$1001,MATCH(ROWS($AF$2:AF870),$AF$2:$AF$1001,0),MATCH(COLUMNS($AM$1006:BE1006),$AM$1006:$BM$1006,0)), HYPERLINK("#",""), HYPERLINK(CONCATENATE("#metadata!", ADDRESS(INDEX($AH$2:$AH$1001,MATCH(ROWS($AF$2:AF870),$AF$2:$AF$1001,0),0), INDEX($AM$1004:$BM$1004,1,MATCH(COLUMNS($AM$1006:BE1006),$AM$1006:$BM$1006,0)))),"Fix")))</f>
        <v xml:space="preserve"> </v>
      </c>
      <c r="U870" s="4" t="str">
        <f ca="1">IF(OR(INDEX($AG$2:$AG$1001,MATCH(ROWS($AF$2:AF870),$AF$2:$AF$1001,0),1)&gt;=100000,INDEX($AM$1005:$BM$1005,1,MATCH(COLUMNS($AM$1006:BF1006),$AM$1006:$BM$1006,0))&gt;=100000), " ",IF(INDEX($AM$2:$BM$1001,MATCH(ROWS($AF$2:AF870),$AF$2:$AF$1001,0),MATCH(COLUMNS($AM$1006:BF1006),$AM$1006:$BM$1006,0)), HYPERLINK("#",""), HYPERLINK(CONCATENATE("#metadata!", ADDRESS(INDEX($AH$2:$AH$1001,MATCH(ROWS($AF$2:AF870),$AF$2:$AF$1001,0),0), INDEX($AM$1004:$BM$1004,1,MATCH(COLUMNS($AM$1006:BF1006),$AM$1006:$BM$1006,0)))),"Fix")))</f>
        <v xml:space="preserve"> </v>
      </c>
      <c r="V870" s="4" t="str">
        <f ca="1">IF(OR(INDEX($AG$2:$AG$1001,MATCH(ROWS($AF$2:AF870),$AF$2:$AF$1001,0),1)&gt;=100000,INDEX($AM$1005:$BM$1005,1,MATCH(COLUMNS($AM$1006:BG1006),$AM$1006:$BM$1006,0))&gt;=100000), " ",IF(INDEX($AM$2:$BM$1001,MATCH(ROWS($AF$2:AF870),$AF$2:$AF$1001,0),MATCH(COLUMNS($AM$1006:BG1006),$AM$1006:$BM$1006,0)), HYPERLINK("#",""), HYPERLINK(CONCATENATE("#metadata!", ADDRESS(INDEX($AH$2:$AH$1001,MATCH(ROWS($AF$2:AF870),$AF$2:$AF$1001,0),0), INDEX($AM$1004:$BM$1004,1,MATCH(COLUMNS($AM$1006:BG1006),$AM$1006:$BM$1006,0)))),"Fix")))</f>
        <v xml:space="preserve"> </v>
      </c>
      <c r="W870" s="4" t="str">
        <f ca="1">IF(OR(INDEX($AG$2:$AG$1001,MATCH(ROWS($AF$2:AF870),$AF$2:$AF$1001,0),1)&gt;=100000,INDEX($AM$1005:$BM$1005,1,MATCH(COLUMNS($AM$1006:BH1006),$AM$1006:$BM$1006,0))&gt;=100000), " ",IF(INDEX($AM$2:$BM$1001,MATCH(ROWS($AF$2:AF870),$AF$2:$AF$1001,0),MATCH(COLUMNS($AM$1006:BH1006),$AM$1006:$BM$1006,0)), HYPERLINK("#",""), HYPERLINK(CONCATENATE("#metadata!", ADDRESS(INDEX($AH$2:$AH$1001,MATCH(ROWS($AF$2:AF870),$AF$2:$AF$1001,0),0), INDEX($AM$1004:$BM$1004,1,MATCH(COLUMNS($AM$1006:BH1006),$AM$1006:$BM$1006,0)))),"Fix")))</f>
        <v xml:space="preserve"> </v>
      </c>
      <c r="X870" s="4" t="str">
        <f ca="1">IF(OR(INDEX($AG$2:$AG$1001,MATCH(ROWS($AF$2:AF870),$AF$2:$AF$1001,0),1)&gt;=100000,INDEX($AM$1005:$BM$1005,1,MATCH(COLUMNS($AM$1006:BI1006),$AM$1006:$BM$1006,0))&gt;=100000), " ",IF(INDEX($AM$2:$BM$1001,MATCH(ROWS($AF$2:AF870),$AF$2:$AF$1001,0),MATCH(COLUMNS($AM$1006:BI1006),$AM$1006:$BM$1006,0)), HYPERLINK("#",""), HYPERLINK(CONCATENATE("#metadata!", ADDRESS(INDEX($AH$2:$AH$1001,MATCH(ROWS($AF$2:AF870),$AF$2:$AF$1001,0),0), INDEX($AM$1004:$BM$1004,1,MATCH(COLUMNS($AM$1006:BI1006),$AM$1006:$BM$1006,0)))),"Fix")))</f>
        <v xml:space="preserve"> </v>
      </c>
      <c r="Y870" s="4" t="str">
        <f ca="1">IF(OR(INDEX($AG$2:$AG$1001,MATCH(ROWS($AF$2:AF870),$AF$2:$AF$1001,0),1)&gt;=100000,INDEX($AM$1005:$BM$1005,1,MATCH(COLUMNS($AM$1006:BJ1006),$AM$1006:$BM$1006,0))&gt;=100000), " ",IF(INDEX($AM$2:$BM$1001,MATCH(ROWS($AF$2:AF870),$AF$2:$AF$1001,0),MATCH(COLUMNS($AM$1006:BJ1006),$AM$1006:$BM$1006,0)), HYPERLINK("#",""), HYPERLINK(CONCATENATE("#metadata!", ADDRESS(INDEX($AH$2:$AH$1001,MATCH(ROWS($AF$2:AF870),$AF$2:$AF$1001,0),0), INDEX($AM$1004:$BM$1004,1,MATCH(COLUMNS($AM$1006:BJ1006),$AM$1006:$BM$1006,0)))),"Fix")))</f>
        <v xml:space="preserve"> </v>
      </c>
      <c r="Z870" s="4" t="str">
        <f ca="1">IF(OR(INDEX($AG$2:$AG$1001,MATCH(ROWS($AF$2:AF870),$AF$2:$AF$1001,0),1)&gt;=100000,INDEX($AM$1005:$BM$1005,1,MATCH(COLUMNS($AM$1006:BK1006),$AM$1006:$BM$1006,0))&gt;=100000), " ",IF(INDEX($AM$2:$BM$1001,MATCH(ROWS($AF$2:AF870),$AF$2:$AF$1001,0),MATCH(COLUMNS($AM$1006:BK1006),$AM$1006:$BM$1006,0)), HYPERLINK("#",""), HYPERLINK(CONCATENATE("#metadata!", ADDRESS(INDEX($AH$2:$AH$1001,MATCH(ROWS($AF$2:AF870),$AF$2:$AF$1001,0),0), INDEX($AM$1004:$BM$1004,1,MATCH(COLUMNS($AM$1006:BK1006),$AM$1006:$BM$1006,0)))),"Fix")))</f>
        <v xml:space="preserve"> </v>
      </c>
      <c r="AA870" s="4" t="str">
        <f ca="1">IF(OR(INDEX($AG$2:$AG$1001,MATCH(ROWS($AF$2:AF870),$AF$2:$AF$1001,0),1)&gt;=100000,INDEX($AM$1005:$BM$1005,1,MATCH(COLUMNS($AM$1006:BL1006),$AM$1006:$BM$1006,0))&gt;=100000), " ",IF(INDEX($AM$2:$BM$1001,MATCH(ROWS($AF$2:AF870),$AF$2:$AF$1001,0),MATCH(COLUMNS($AM$1006:BL1006),$AM$1006:$BM$1006,0)), HYPERLINK("#",""), HYPERLINK(CONCATENATE("#metadata!", ADDRESS(INDEX($AH$2:$AH$1001,MATCH(ROWS($AF$2:AF870),$AF$2:$AF$1001,0),0), INDEX($AM$1004:$BM$1004,1,MATCH(COLUMNS($AM$1006:BL1006),$AM$1006:$BM$1006,0)))),"Fix")))</f>
        <v xml:space="preserve"> </v>
      </c>
      <c r="AB870" s="4" t="str">
        <f ca="1">IF(OR(INDEX($AG$2:$AG$1001,MATCH(ROWS($AF$2:AF870),$AF$2:$AF$1001,0),1)&gt;=100000,INDEX($AM$1005:$BM$1005,1,MATCH(COLUMNS($AM$1006:BM1006),$AM$1006:$BM$1006,0))&gt;=100000), " ",IF(INDEX($AM$2:$BM$1001,MATCH(ROWS($AF$2:AF870),$AF$2:$AF$1001,0),MATCH(COLUMNS($AM$1006:BM1006),$AM$1006:$BM$1006,0)), HYPERLINK("#",""), HYPERLINK(CONCATENATE("#metadata!", ADDRESS(INDEX($AH$2:$AH$1001,MATCH(ROWS($AF$2:AF870),$AF$2:$AF$1001,0),0), INDEX($AM$1004:$BM$1004,1,MATCH(COLUMNS($AM$1006:BM1006),$AM$1006:$BM$1006,0)))),"Fix")))</f>
        <v xml:space="preserve"> </v>
      </c>
      <c r="AF870">
        <v>869</v>
      </c>
      <c r="AG870">
        <v>100870</v>
      </c>
      <c r="AH870">
        <v>870</v>
      </c>
      <c r="AI870" t="b">
        <f t="shared" si="13"/>
        <v>1</v>
      </c>
      <c r="AJ870" t="b">
        <f>COUNTBLANK(metadata!B870:AB870)=COLUMNS(metadata!B870:AB870)</f>
        <v>1</v>
      </c>
      <c r="AK870" t="str">
        <v/>
      </c>
      <c r="AM870" t="b">
        <f ca="1">AND(IF(metadata!B870="",FALSE,TRUE),COUNTIF(metadata!B:B, metadata!B870) = 1,NOT(ISERROR(SUMPRODUCT(SEARCH(MID(metadata!B870,ROW(INDIRECT("1:"&amp;LEN(metadata!B870))), 1),"0123456789abcdefghijklmnopqrstuvwxyzABCDEFGHIJKLMNOPQRSTUVWXYZ.")))))</f>
        <v>0</v>
      </c>
      <c r="AN870" t="b">
        <f ca="1">OR(AND(IF(metadata!C870="",FALSE,TRUE),OR(EXACT(metadata!C870,"missing: not collected"),EXACT(metadata!C870,"missing: not provided"),EXACT(metadata!C870,"missing: restricted access"))),AND(IF(metadata!C870="",FALSE,TRUE),AND(AND(IFERROR(INT(LEFT(metadata!C870,4))&gt;1900,FALSE),IFERROR(INT(LEFT(metadata!C870,4))&lt;=YEAR(NOW()),FALSE)), OR(MID(metadata!C870,5,1)="", AND(AND(MID(metadata!C870,5,1)="-",IFERROR(INT(MID(metadata!C870,6,1))&gt;=0,FALSE),IFERROR(INT(MID(metadata!C870,6,1))&lt;=1,FALSE),NOT(MID(metadata!C870,7,1)=""),IFERROR(INT(MID(metadata!C870,6,2))&gt;=1,FALSE),IFERROR(INT(MID(metadata!C870,6,2))&lt;=12,FALSE)), OR(MID(metadata!C870,8,1)="", AND(AND(MID(metadata!C870,8,1)="-",IFERROR(INT(MID(metadata!C870,9,1))&gt;=0,FALSE),IFERROR(INT(MID(metadata!C870,9,1))&lt;=3,FALSE),NOT(MID(metadata!C870,10,1)=""),IFERROR(INT(MID(metadata!C870,9,2))&gt;=1,FALSE),IFERROR(INT(MID(metadata!C870,9,2))&lt;=31,FALSE)), OR(MID(metadata!C870,11,1)="", AND(AND(MID(metadata!C870,11,1)=" ",IFERROR(INT(MID(metadata!C870,12,1))&gt;=0,FALSE),IFERROR(INT(MID(metadata!C870,12,1))&lt;=2,FALSE),NOT(MID(metadata!C870,13,1)=""),IFERROR(INT(MID(metadata!C870,12,2))&gt;=0,FALSE),IFERROR(INT(MID(metadata!C870,12,2))&lt;=23,FALSE)), OR(MID(metadata!C870,14,1)="", AND(AND(MID(metadata!C870,14,1)=":",IFERROR(INT(MID(metadata!C870,15,1))&gt;=0,FALSE),IFERROR(INT(MID(metadata!C870,15,1))&lt;=5,FALSE),NOT(MID(metadata!C870,16,1)=""),IFERROR(INT(MID(metadata!C870,15,2))&gt;=0,FALSE),IFERROR(INT(MID(metadata!C870,15,2))&lt;=59,FALSE)), OR(MID(metadata!C870,17,1)="", AND(AND(MID(metadata!C870,17,1)=":",IFERROR(INT(MID(metadata!C870,18,1))&gt;=0,FALSE),IFERROR(INT(MID(metadata!C870,18,1))&lt;=5,FALSE),NOT(MID(metadata!C870,19,1)=""),IFERROR(INT(MID(metadata!C870,18,2))&gt;=0,FALSE),IFERROR(INT(MID(metadata!C870,18,2))&lt;=59,FALSE)), LEN(metadata!C870)&lt;=19)))))))))))))</f>
        <v>0</v>
      </c>
      <c r="AO870" t="b">
        <f>AND(IF(metadata!D870="",FALSE,TRUE),EXACT(metadata!D870,"Not applicable"))</f>
        <v>0</v>
      </c>
      <c r="AP870" t="b">
        <f>IF(metadata!E870="",FALSE,TRUE)</f>
        <v>0</v>
      </c>
      <c r="AQ870" t="b">
        <f>OR(AND(IF(metadata!F870="",FALSE,TRUE),OR(EXACT(metadata!F870,"missing: not collected"),EXACT(metadata!F870,"missing: not provided"))),AND(IF(metadata!F870="",FALSE,TRUE),OR(EXACT(metadata!F870,"TRUE"),EXACT(metadata!F870,"FALSE"))))</f>
        <v>0</v>
      </c>
      <c r="AR870" t="b">
        <f>OR(AND(IF(metadata!G870="",FALSE,TRUE),OR(EXACT(metadata!G870,"missing: not collected"),EXACT(metadata!G870,"missing: not provided"),EXACT(metadata!G870,"missing: restricted access"))),AND(IF(metadata!G870="",FALSE,ISNUMBER(VALUE(metadata!G870))),metadata!G870&gt;=-413))</f>
        <v>0</v>
      </c>
      <c r="AS870" t="b">
        <f>AND(IF(metadata!H870="",FALSE,TRUE),EXACT(metadata!H870,"meters"))</f>
        <v>0</v>
      </c>
      <c r="AT870" t="b">
        <f>AND(IF(metadata!I870="",FALSE,TRUE),OR(EXACT(metadata!I870,"Host-associated"),EXACT(metadata!I870,"Free-living")))</f>
        <v>0</v>
      </c>
      <c r="AU870" t="b">
        <f>AND(IF(metadata!J870="",FALSE,TRUE),OR(EXACT(metadata!J870,"Animal"),EXACT(metadata!J870,"Fungus"),EXACT(metadata!J870,"Plant"),EXACT(metadata!J870,"Saline"),EXACT(metadata!J870,"Non-saline")))</f>
        <v>0</v>
      </c>
      <c r="AV870" t="b">
        <f>AND(IF(metadata!K870="",FALSE,TRUE),OR(EXACT(metadata!K870,"Plant secretion"),EXACT(metadata!K870,"Plant rhizosphere"),EXACT(metadata!K870,"Plant surface"),EXACT(metadata!K870,"Plant corpus"),EXACT(metadata!K870,"Fungus surface"),EXACT(metadata!K870,"Fungus corpus"),EXACT(metadata!K870,"Animal surface"),EXACT(metadata!K870,"Animal proximal gut"),EXACT(metadata!K870,"Animal corpus"),EXACT(metadata!K870,"Animal distal gut"),EXACT(metadata!K870,"Animal secretion"),EXACT(metadata!K870,"Sub-surface (non-saline)"),EXACT(metadata!K870,"Surface (non-saline)"),EXACT(metadata!K870,"Water (non-saline)"),EXACT(metadata!K870,"Soil (non-saline)"),EXACT(metadata!K870,"Aerosol (non-saline)"),EXACT(metadata!K870,"Sediment (non-saline)"),EXACT(metadata!K870,"Surface (saline)"),EXACT(metadata!K870,"Water (saline)"),EXACT(metadata!K870,"Hypersaline (saline)"),EXACT(metadata!K870,"Aerosol (saline)"),EXACT(metadata!K870,"Sediment (saline)")))</f>
        <v>0</v>
      </c>
      <c r="AW870" t="b">
        <f>IF(metadata!L870="",FALSE,TRUE)</f>
        <v>0</v>
      </c>
      <c r="AX870" t="b">
        <f>IF(metadata!M870="",FALSE,TRUE)</f>
        <v>0</v>
      </c>
      <c r="AY870" t="b">
        <f>IF(metadata!N870="",FALSE,TRUE)</f>
        <v>0</v>
      </c>
      <c r="AZ870" t="b">
        <f>OR(AND(IF(metadata!O870="",FALSE,TRUE),OR(EXACT(metadata!O870,"missing: not collected"),EXACT(metadata!O870,"missing: not provided"),EXACT(metadata!O870,"missing: restricted access"))),AND(IF(metadata!O870="",FALSE,TRUE),OR(EXACT(metadata!O870,"air"),EXACT(metadata!O870,"built environment"),EXACT(metadata!O870,"host-associated"),EXACT(metadata!O870,"human-associated"),EXACT(metadata!O870,"human-skin"),EXACT(metadata!O870,"human-oral"),EXACT(metadata!O870,"human-gut"),EXACT(metadata!O870,"human-vaginal"),EXACT(metadata!O870,"microbial mat/biofilm"),EXACT(metadata!O870,"misc environment"),EXACT(metadata!O870,"plant-associated"),EXACT(metadata!O870,"sediment"),EXACT(metadata!O870,"soil"),EXACT(metadata!O870,"wastewater/sludge"),EXACT(metadata!O870,"water"))))</f>
        <v>0</v>
      </c>
      <c r="BA870" t="b">
        <f>IF(metadata!P870="",FALSE,TRUE)</f>
        <v>0</v>
      </c>
      <c r="BB870" t="b">
        <f>IF(metadata!Q870="",FALSE,TRUE)</f>
        <v>0</v>
      </c>
      <c r="BC870" t="b">
        <f>OR(AND(IF(metadata!R870="",FALSE,TRUE),OR(EXACT(metadata!R870,"missing: not collected"),EXACT(metadata!R870,"missing: not provided"),EXACT(metadata!R870,"missing: restricted access"))),AND(IF(metadata!R870="",FALSE,ISNUMBER(VALUE(metadata!R870))),metadata!R870&gt;=-90,metadata!R870&lt;=90))</f>
        <v>0</v>
      </c>
      <c r="BD870" t="b">
        <f>AND(IF(metadata!S870="",FALSE,TRUE),EXACT(metadata!S870,"Decimal degrees"))</f>
        <v>0</v>
      </c>
      <c r="BE870" t="b">
        <f>OR(AND(IF(metadata!T870="",FALSE,TRUE),OR(EXACT(metadata!T870,"missing: not collected"),EXACT(metadata!T870,"missing: not provided"),EXACT(metadata!T870,"missing: restricted access"))),AND(IF(metadata!T870="",FALSE,ISNUMBER(VALUE(metadata!T870))),metadata!T870&gt;=-180,metadata!T870&lt;=180))</f>
        <v>0</v>
      </c>
      <c r="BF870" t="b">
        <f>AND(IF(metadata!U870="",FALSE,TRUE),EXACT(metadata!U870,"Decimal degrees"))</f>
        <v>0</v>
      </c>
      <c r="BG870" t="b">
        <f>IF(metadata!V870="",FALSE,TRUE)</f>
        <v>0</v>
      </c>
      <c r="BH870" t="b">
        <f>OR(AND(IF(metadata!W870="",FALSE,TRUE),OR(EXACT(metadata!W870,"missing: not collected"),EXACT(metadata!W870,"missing: not provided"),EXACT(metadata!W870,"missing: restricted access"))),AND(IF(metadata!W870="",FALSE,TRUE),OR(EXACT(metadata!W870,"TRUE"),EXACT(metadata!W870,"FALSE"))))</f>
        <v>0</v>
      </c>
      <c r="BI870" t="b">
        <f>AND(IF(metadata!X870="",FALSE,TRUE),EXACT(metadata!X870,"other"))</f>
        <v>0</v>
      </c>
      <c r="BJ870" t="b">
        <f>IF(metadata!Y870="",FALSE,TRUE)</f>
        <v>0</v>
      </c>
      <c r="BK870" t="b">
        <f>OR(AND(IF(metadata!Z870="",FALSE,TRUE),OR(EXACT(metadata!Z870,"missing: not collected"),EXACT(metadata!Z870,"missing: not provided"))),AND(IF(metadata!Z870="",FALSE,IF(ISERROR(INT(metadata!Z870)),FALSE,INT(metadata!Z870)=metadata!Z870)),metadata!Z870&gt;0))</f>
        <v>0</v>
      </c>
      <c r="BL870" t="b">
        <f>AND(IF(metadata!AA870="",FALSE,TRUE),EXACT(metadata!AA870,"Not applicable"))</f>
        <v>0</v>
      </c>
      <c r="BM870" t="b">
        <f>IF(metadata!AB870="",FALSE,TRUE)</f>
        <v>0</v>
      </c>
    </row>
    <row r="871" spans="1:65" x14ac:dyDescent="0.2">
      <c r="A871" s="5" t="str">
        <f ca="1">IF(B871=" "," ",HYPERLINK(CONCATENATE("#metadata!",ADDRESS(INDEX($AH$2:$AH$1001,MATCH(ROWS($AF$2:AF871),$AF$2:$AF$1001,0),0),1)),INDEX($AK$2:$AK$1001,MATCH(ROWS($AF$2:AF871),$AF$2:$AF$1001,0),0)))</f>
        <v xml:space="preserve"> </v>
      </c>
      <c r="B871" s="4" t="str">
        <f ca="1">IF(OR(INDEX($AG$2:$AG$1001,MATCH(ROWS($AF$2:AF871),$AF$2:$AF$1001,0),1)&gt;=100000,INDEX($AM$1005:$BM$1005,1,MATCH(COLUMNS($AM$1006:AM1006),$AM$1006:$BM$1006,0))&gt;=100000), " ",IF(INDEX($AM$2:$BM$1001,MATCH(ROWS($AF$2:AF871),$AF$2:$AF$1001,0),MATCH(COLUMNS($AM$1006:AM1006),$AM$1006:$BM$1006,0)), HYPERLINK("#",""), HYPERLINK(CONCATENATE("#metadata!", ADDRESS(INDEX($AH$2:$AH$1001,MATCH(ROWS($AF$2:AF871),$AF$2:$AF$1001,0),0), INDEX($AM$1004:$BM$1004,1,MATCH(COLUMNS($AM$1006:AM1006),$AM$1006:$BM$1006,0)))),"Fix")))</f>
        <v xml:space="preserve"> </v>
      </c>
      <c r="C871" s="4" t="str">
        <f ca="1">IF(OR(INDEX($AG$2:$AG$1001,MATCH(ROWS($AF$2:AF871),$AF$2:$AF$1001,0),1)&gt;=100000,INDEX($AM$1005:$BM$1005,1,MATCH(COLUMNS($AM$1006:AN1006),$AM$1006:$BM$1006,0))&gt;=100000), " ",IF(INDEX($AM$2:$BM$1001,MATCH(ROWS($AF$2:AF871),$AF$2:$AF$1001,0),MATCH(COLUMNS($AM$1006:AN1006),$AM$1006:$BM$1006,0)), HYPERLINK("#",""), HYPERLINK(CONCATENATE("#metadata!", ADDRESS(INDEX($AH$2:$AH$1001,MATCH(ROWS($AF$2:AF871),$AF$2:$AF$1001,0),0), INDEX($AM$1004:$BM$1004,1,MATCH(COLUMNS($AM$1006:AN1006),$AM$1006:$BM$1006,0)))),"Fix")))</f>
        <v xml:space="preserve"> </v>
      </c>
      <c r="D871" s="4" t="str">
        <f ca="1">IF(OR(INDEX($AG$2:$AG$1001,MATCH(ROWS($AF$2:AF871),$AF$2:$AF$1001,0),1)&gt;=100000,INDEX($AM$1005:$BM$1005,1,MATCH(COLUMNS($AM$1006:AO1006),$AM$1006:$BM$1006,0))&gt;=100000), " ",IF(INDEX($AM$2:$BM$1001,MATCH(ROWS($AF$2:AF871),$AF$2:$AF$1001,0),MATCH(COLUMNS($AM$1006:AO1006),$AM$1006:$BM$1006,0)), HYPERLINK("#",""), HYPERLINK(CONCATENATE("#metadata!", ADDRESS(INDEX($AH$2:$AH$1001,MATCH(ROWS($AF$2:AF871),$AF$2:$AF$1001,0),0), INDEX($AM$1004:$BM$1004,1,MATCH(COLUMNS($AM$1006:AO1006),$AM$1006:$BM$1006,0)))),"Fix")))</f>
        <v xml:space="preserve"> </v>
      </c>
      <c r="E871" s="4" t="str">
        <f ca="1">IF(OR(INDEX($AG$2:$AG$1001,MATCH(ROWS($AF$2:AF871),$AF$2:$AF$1001,0),1)&gt;=100000,INDEX($AM$1005:$BM$1005,1,MATCH(COLUMNS($AM$1006:AP1006),$AM$1006:$BM$1006,0))&gt;=100000), " ",IF(INDEX($AM$2:$BM$1001,MATCH(ROWS($AF$2:AF871),$AF$2:$AF$1001,0),MATCH(COLUMNS($AM$1006:AP1006),$AM$1006:$BM$1006,0)), HYPERLINK("#",""), HYPERLINK(CONCATENATE("#metadata!", ADDRESS(INDEX($AH$2:$AH$1001,MATCH(ROWS($AF$2:AF871),$AF$2:$AF$1001,0),0), INDEX($AM$1004:$BM$1004,1,MATCH(COLUMNS($AM$1006:AP1006),$AM$1006:$BM$1006,0)))),"Fix")))</f>
        <v xml:space="preserve"> </v>
      </c>
      <c r="F871" s="4" t="str">
        <f ca="1">IF(OR(INDEX($AG$2:$AG$1001,MATCH(ROWS($AF$2:AF871),$AF$2:$AF$1001,0),1)&gt;=100000,INDEX($AM$1005:$BM$1005,1,MATCH(COLUMNS($AM$1006:AQ1006),$AM$1006:$BM$1006,0))&gt;=100000), " ",IF(INDEX($AM$2:$BM$1001,MATCH(ROWS($AF$2:AF871),$AF$2:$AF$1001,0),MATCH(COLUMNS($AM$1006:AQ1006),$AM$1006:$BM$1006,0)), HYPERLINK("#",""), HYPERLINK(CONCATENATE("#metadata!", ADDRESS(INDEX($AH$2:$AH$1001,MATCH(ROWS($AF$2:AF871),$AF$2:$AF$1001,0),0), INDEX($AM$1004:$BM$1004,1,MATCH(COLUMNS($AM$1006:AQ1006),$AM$1006:$BM$1006,0)))),"Fix")))</f>
        <v xml:space="preserve"> </v>
      </c>
      <c r="G871" s="4" t="str">
        <f ca="1">IF(OR(INDEX($AG$2:$AG$1001,MATCH(ROWS($AF$2:AF871),$AF$2:$AF$1001,0),1)&gt;=100000,INDEX($AM$1005:$BM$1005,1,MATCH(COLUMNS($AM$1006:AR1006),$AM$1006:$BM$1006,0))&gt;=100000), " ",IF(INDEX($AM$2:$BM$1001,MATCH(ROWS($AF$2:AF871),$AF$2:$AF$1001,0),MATCH(COLUMNS($AM$1006:AR1006),$AM$1006:$BM$1006,0)), HYPERLINK("#",""), HYPERLINK(CONCATENATE("#metadata!", ADDRESS(INDEX($AH$2:$AH$1001,MATCH(ROWS($AF$2:AF871),$AF$2:$AF$1001,0),0), INDEX($AM$1004:$BM$1004,1,MATCH(COLUMNS($AM$1006:AR1006),$AM$1006:$BM$1006,0)))),"Fix")))</f>
        <v xml:space="preserve"> </v>
      </c>
      <c r="H871" s="4" t="str">
        <f ca="1">IF(OR(INDEX($AG$2:$AG$1001,MATCH(ROWS($AF$2:AF871),$AF$2:$AF$1001,0),1)&gt;=100000,INDEX($AM$1005:$BM$1005,1,MATCH(COLUMNS($AM$1006:AS1006),$AM$1006:$BM$1006,0))&gt;=100000), " ",IF(INDEX($AM$2:$BM$1001,MATCH(ROWS($AF$2:AF871),$AF$2:$AF$1001,0),MATCH(COLUMNS($AM$1006:AS1006),$AM$1006:$BM$1006,0)), HYPERLINK("#",""), HYPERLINK(CONCATENATE("#metadata!", ADDRESS(INDEX($AH$2:$AH$1001,MATCH(ROWS($AF$2:AF871),$AF$2:$AF$1001,0),0), INDEX($AM$1004:$BM$1004,1,MATCH(COLUMNS($AM$1006:AS1006),$AM$1006:$BM$1006,0)))),"Fix")))</f>
        <v xml:space="preserve"> </v>
      </c>
      <c r="I871" s="4" t="str">
        <f ca="1">IF(OR(INDEX($AG$2:$AG$1001,MATCH(ROWS($AF$2:AF871),$AF$2:$AF$1001,0),1)&gt;=100000,INDEX($AM$1005:$BM$1005,1,MATCH(COLUMNS($AM$1006:AT1006),$AM$1006:$BM$1006,0))&gt;=100000), " ",IF(INDEX($AM$2:$BM$1001,MATCH(ROWS($AF$2:AF871),$AF$2:$AF$1001,0),MATCH(COLUMNS($AM$1006:AT1006),$AM$1006:$BM$1006,0)), HYPERLINK("#",""), HYPERLINK(CONCATENATE("#metadata!", ADDRESS(INDEX($AH$2:$AH$1001,MATCH(ROWS($AF$2:AF871),$AF$2:$AF$1001,0),0), INDEX($AM$1004:$BM$1004,1,MATCH(COLUMNS($AM$1006:AT1006),$AM$1006:$BM$1006,0)))),"Fix")))</f>
        <v xml:space="preserve"> </v>
      </c>
      <c r="J871" s="4" t="str">
        <f ca="1">IF(OR(INDEX($AG$2:$AG$1001,MATCH(ROWS($AF$2:AF871),$AF$2:$AF$1001,0),1)&gt;=100000,INDEX($AM$1005:$BM$1005,1,MATCH(COLUMNS($AM$1006:AU1006),$AM$1006:$BM$1006,0))&gt;=100000), " ",IF(INDEX($AM$2:$BM$1001,MATCH(ROWS($AF$2:AF871),$AF$2:$AF$1001,0),MATCH(COLUMNS($AM$1006:AU1006),$AM$1006:$BM$1006,0)), HYPERLINK("#",""), HYPERLINK(CONCATENATE("#metadata!", ADDRESS(INDEX($AH$2:$AH$1001,MATCH(ROWS($AF$2:AF871),$AF$2:$AF$1001,0),0), INDEX($AM$1004:$BM$1004,1,MATCH(COLUMNS($AM$1006:AU1006),$AM$1006:$BM$1006,0)))),"Fix")))</f>
        <v xml:space="preserve"> </v>
      </c>
      <c r="K871" s="4" t="str">
        <f ca="1">IF(OR(INDEX($AG$2:$AG$1001,MATCH(ROWS($AF$2:AF871),$AF$2:$AF$1001,0),1)&gt;=100000,INDEX($AM$1005:$BM$1005,1,MATCH(COLUMNS($AM$1006:AV1006),$AM$1006:$BM$1006,0))&gt;=100000), " ",IF(INDEX($AM$2:$BM$1001,MATCH(ROWS($AF$2:AF871),$AF$2:$AF$1001,0),MATCH(COLUMNS($AM$1006:AV1006),$AM$1006:$BM$1006,0)), HYPERLINK("#",""), HYPERLINK(CONCATENATE("#metadata!", ADDRESS(INDEX($AH$2:$AH$1001,MATCH(ROWS($AF$2:AF871),$AF$2:$AF$1001,0),0), INDEX($AM$1004:$BM$1004,1,MATCH(COLUMNS($AM$1006:AV1006),$AM$1006:$BM$1006,0)))),"Fix")))</f>
        <v xml:space="preserve"> </v>
      </c>
      <c r="L871" s="4" t="str">
        <f ca="1">IF(OR(INDEX($AG$2:$AG$1001,MATCH(ROWS($AF$2:AF871),$AF$2:$AF$1001,0),1)&gt;=100000,INDEX($AM$1005:$BM$1005,1,MATCH(COLUMNS($AM$1006:AW1006),$AM$1006:$BM$1006,0))&gt;=100000), " ",IF(INDEX($AM$2:$BM$1001,MATCH(ROWS($AF$2:AF871),$AF$2:$AF$1001,0),MATCH(COLUMNS($AM$1006:AW1006),$AM$1006:$BM$1006,0)), HYPERLINK("#",""), HYPERLINK(CONCATENATE("#metadata!", ADDRESS(INDEX($AH$2:$AH$1001,MATCH(ROWS($AF$2:AF871),$AF$2:$AF$1001,0),0), INDEX($AM$1004:$BM$1004,1,MATCH(COLUMNS($AM$1006:AW1006),$AM$1006:$BM$1006,0)))),"Fix")))</f>
        <v xml:space="preserve"> </v>
      </c>
      <c r="M871" s="4" t="str">
        <f ca="1">IF(OR(INDEX($AG$2:$AG$1001,MATCH(ROWS($AF$2:AF871),$AF$2:$AF$1001,0),1)&gt;=100000,INDEX($AM$1005:$BM$1005,1,MATCH(COLUMNS($AM$1006:AX1006),$AM$1006:$BM$1006,0))&gt;=100000), " ",IF(INDEX($AM$2:$BM$1001,MATCH(ROWS($AF$2:AF871),$AF$2:$AF$1001,0),MATCH(COLUMNS($AM$1006:AX1006),$AM$1006:$BM$1006,0)), HYPERLINK("#",""), HYPERLINK(CONCATENATE("#metadata!", ADDRESS(INDEX($AH$2:$AH$1001,MATCH(ROWS($AF$2:AF871),$AF$2:$AF$1001,0),0), INDEX($AM$1004:$BM$1004,1,MATCH(COLUMNS($AM$1006:AX1006),$AM$1006:$BM$1006,0)))),"Fix")))</f>
        <v xml:space="preserve"> </v>
      </c>
      <c r="N871" s="4" t="str">
        <f ca="1">IF(OR(INDEX($AG$2:$AG$1001,MATCH(ROWS($AF$2:AF871),$AF$2:$AF$1001,0),1)&gt;=100000,INDEX($AM$1005:$BM$1005,1,MATCH(COLUMNS($AM$1006:AY1006),$AM$1006:$BM$1006,0))&gt;=100000), " ",IF(INDEX($AM$2:$BM$1001,MATCH(ROWS($AF$2:AF871),$AF$2:$AF$1001,0),MATCH(COLUMNS($AM$1006:AY1006),$AM$1006:$BM$1006,0)), HYPERLINK("#",""), HYPERLINK(CONCATENATE("#metadata!", ADDRESS(INDEX($AH$2:$AH$1001,MATCH(ROWS($AF$2:AF871),$AF$2:$AF$1001,0),0), INDEX($AM$1004:$BM$1004,1,MATCH(COLUMNS($AM$1006:AY1006),$AM$1006:$BM$1006,0)))),"Fix")))</f>
        <v xml:space="preserve"> </v>
      </c>
      <c r="O871" s="4" t="str">
        <f ca="1">IF(OR(INDEX($AG$2:$AG$1001,MATCH(ROWS($AF$2:AF871),$AF$2:$AF$1001,0),1)&gt;=100000,INDEX($AM$1005:$BM$1005,1,MATCH(COLUMNS($AM$1006:AZ1006),$AM$1006:$BM$1006,0))&gt;=100000), " ",IF(INDEX($AM$2:$BM$1001,MATCH(ROWS($AF$2:AF871),$AF$2:$AF$1001,0),MATCH(COLUMNS($AM$1006:AZ1006),$AM$1006:$BM$1006,0)), HYPERLINK("#",""), HYPERLINK(CONCATENATE("#metadata!", ADDRESS(INDEX($AH$2:$AH$1001,MATCH(ROWS($AF$2:AF871),$AF$2:$AF$1001,0),0), INDEX($AM$1004:$BM$1004,1,MATCH(COLUMNS($AM$1006:AZ1006),$AM$1006:$BM$1006,0)))),"Fix")))</f>
        <v xml:space="preserve"> </v>
      </c>
      <c r="P871" s="4" t="str">
        <f ca="1">IF(OR(INDEX($AG$2:$AG$1001,MATCH(ROWS($AF$2:AF871),$AF$2:$AF$1001,0),1)&gt;=100000,INDEX($AM$1005:$BM$1005,1,MATCH(COLUMNS($AM$1006:BA1006),$AM$1006:$BM$1006,0))&gt;=100000), " ",IF(INDEX($AM$2:$BM$1001,MATCH(ROWS($AF$2:AF871),$AF$2:$AF$1001,0),MATCH(COLUMNS($AM$1006:BA1006),$AM$1006:$BM$1006,0)), HYPERLINK("#",""), HYPERLINK(CONCATENATE("#metadata!", ADDRESS(INDEX($AH$2:$AH$1001,MATCH(ROWS($AF$2:AF871),$AF$2:$AF$1001,0),0), INDEX($AM$1004:$BM$1004,1,MATCH(COLUMNS($AM$1006:BA1006),$AM$1006:$BM$1006,0)))),"Fix")))</f>
        <v xml:space="preserve"> </v>
      </c>
      <c r="Q871" s="4" t="str">
        <f ca="1">IF(OR(INDEX($AG$2:$AG$1001,MATCH(ROWS($AF$2:AF871),$AF$2:$AF$1001,0),1)&gt;=100000,INDEX($AM$1005:$BM$1005,1,MATCH(COLUMNS($AM$1006:BB1006),$AM$1006:$BM$1006,0))&gt;=100000), " ",IF(INDEX($AM$2:$BM$1001,MATCH(ROWS($AF$2:AF871),$AF$2:$AF$1001,0),MATCH(COLUMNS($AM$1006:BB1006),$AM$1006:$BM$1006,0)), HYPERLINK("#",""), HYPERLINK(CONCATENATE("#metadata!", ADDRESS(INDEX($AH$2:$AH$1001,MATCH(ROWS($AF$2:AF871),$AF$2:$AF$1001,0),0), INDEX($AM$1004:$BM$1004,1,MATCH(COLUMNS($AM$1006:BB1006),$AM$1006:$BM$1006,0)))),"Fix")))</f>
        <v xml:space="preserve"> </v>
      </c>
      <c r="R871" s="4" t="str">
        <f ca="1">IF(OR(INDEX($AG$2:$AG$1001,MATCH(ROWS($AF$2:AF871),$AF$2:$AF$1001,0),1)&gt;=100000,INDEX($AM$1005:$BM$1005,1,MATCH(COLUMNS($AM$1006:BC1006),$AM$1006:$BM$1006,0))&gt;=100000), " ",IF(INDEX($AM$2:$BM$1001,MATCH(ROWS($AF$2:AF871),$AF$2:$AF$1001,0),MATCH(COLUMNS($AM$1006:BC1006),$AM$1006:$BM$1006,0)), HYPERLINK("#",""), HYPERLINK(CONCATENATE("#metadata!", ADDRESS(INDEX($AH$2:$AH$1001,MATCH(ROWS($AF$2:AF871),$AF$2:$AF$1001,0),0), INDEX($AM$1004:$BM$1004,1,MATCH(COLUMNS($AM$1006:BC1006),$AM$1006:$BM$1006,0)))),"Fix")))</f>
        <v xml:space="preserve"> </v>
      </c>
      <c r="S871" s="4" t="str">
        <f ca="1">IF(OR(INDEX($AG$2:$AG$1001,MATCH(ROWS($AF$2:AF871),$AF$2:$AF$1001,0),1)&gt;=100000,INDEX($AM$1005:$BM$1005,1,MATCH(COLUMNS($AM$1006:BD1006),$AM$1006:$BM$1006,0))&gt;=100000), " ",IF(INDEX($AM$2:$BM$1001,MATCH(ROWS($AF$2:AF871),$AF$2:$AF$1001,0),MATCH(COLUMNS($AM$1006:BD1006),$AM$1006:$BM$1006,0)), HYPERLINK("#",""), HYPERLINK(CONCATENATE("#metadata!", ADDRESS(INDEX($AH$2:$AH$1001,MATCH(ROWS($AF$2:AF871),$AF$2:$AF$1001,0),0), INDEX($AM$1004:$BM$1004,1,MATCH(COLUMNS($AM$1006:BD1006),$AM$1006:$BM$1006,0)))),"Fix")))</f>
        <v xml:space="preserve"> </v>
      </c>
      <c r="T871" s="4" t="str">
        <f ca="1">IF(OR(INDEX($AG$2:$AG$1001,MATCH(ROWS($AF$2:AF871),$AF$2:$AF$1001,0),1)&gt;=100000,INDEX($AM$1005:$BM$1005,1,MATCH(COLUMNS($AM$1006:BE1006),$AM$1006:$BM$1006,0))&gt;=100000), " ",IF(INDEX($AM$2:$BM$1001,MATCH(ROWS($AF$2:AF871),$AF$2:$AF$1001,0),MATCH(COLUMNS($AM$1006:BE1006),$AM$1006:$BM$1006,0)), HYPERLINK("#",""), HYPERLINK(CONCATENATE("#metadata!", ADDRESS(INDEX($AH$2:$AH$1001,MATCH(ROWS($AF$2:AF871),$AF$2:$AF$1001,0),0), INDEX($AM$1004:$BM$1004,1,MATCH(COLUMNS($AM$1006:BE1006),$AM$1006:$BM$1006,0)))),"Fix")))</f>
        <v xml:space="preserve"> </v>
      </c>
      <c r="U871" s="4" t="str">
        <f ca="1">IF(OR(INDEX($AG$2:$AG$1001,MATCH(ROWS($AF$2:AF871),$AF$2:$AF$1001,0),1)&gt;=100000,INDEX($AM$1005:$BM$1005,1,MATCH(COLUMNS($AM$1006:BF1006),$AM$1006:$BM$1006,0))&gt;=100000), " ",IF(INDEX($AM$2:$BM$1001,MATCH(ROWS($AF$2:AF871),$AF$2:$AF$1001,0),MATCH(COLUMNS($AM$1006:BF1006),$AM$1006:$BM$1006,0)), HYPERLINK("#",""), HYPERLINK(CONCATENATE("#metadata!", ADDRESS(INDEX($AH$2:$AH$1001,MATCH(ROWS($AF$2:AF871),$AF$2:$AF$1001,0),0), INDEX($AM$1004:$BM$1004,1,MATCH(COLUMNS($AM$1006:BF1006),$AM$1006:$BM$1006,0)))),"Fix")))</f>
        <v xml:space="preserve"> </v>
      </c>
      <c r="V871" s="4" t="str">
        <f ca="1">IF(OR(INDEX($AG$2:$AG$1001,MATCH(ROWS($AF$2:AF871),$AF$2:$AF$1001,0),1)&gt;=100000,INDEX($AM$1005:$BM$1005,1,MATCH(COLUMNS($AM$1006:BG1006),$AM$1006:$BM$1006,0))&gt;=100000), " ",IF(INDEX($AM$2:$BM$1001,MATCH(ROWS($AF$2:AF871),$AF$2:$AF$1001,0),MATCH(COLUMNS($AM$1006:BG1006),$AM$1006:$BM$1006,0)), HYPERLINK("#",""), HYPERLINK(CONCATENATE("#metadata!", ADDRESS(INDEX($AH$2:$AH$1001,MATCH(ROWS($AF$2:AF871),$AF$2:$AF$1001,0),0), INDEX($AM$1004:$BM$1004,1,MATCH(COLUMNS($AM$1006:BG1006),$AM$1006:$BM$1006,0)))),"Fix")))</f>
        <v xml:space="preserve"> </v>
      </c>
      <c r="W871" s="4" t="str">
        <f ca="1">IF(OR(INDEX($AG$2:$AG$1001,MATCH(ROWS($AF$2:AF871),$AF$2:$AF$1001,0),1)&gt;=100000,INDEX($AM$1005:$BM$1005,1,MATCH(COLUMNS($AM$1006:BH1006),$AM$1006:$BM$1006,0))&gt;=100000), " ",IF(INDEX($AM$2:$BM$1001,MATCH(ROWS($AF$2:AF871),$AF$2:$AF$1001,0),MATCH(COLUMNS($AM$1006:BH1006),$AM$1006:$BM$1006,0)), HYPERLINK("#",""), HYPERLINK(CONCATENATE("#metadata!", ADDRESS(INDEX($AH$2:$AH$1001,MATCH(ROWS($AF$2:AF871),$AF$2:$AF$1001,0),0), INDEX($AM$1004:$BM$1004,1,MATCH(COLUMNS($AM$1006:BH1006),$AM$1006:$BM$1006,0)))),"Fix")))</f>
        <v xml:space="preserve"> </v>
      </c>
      <c r="X871" s="4" t="str">
        <f ca="1">IF(OR(INDEX($AG$2:$AG$1001,MATCH(ROWS($AF$2:AF871),$AF$2:$AF$1001,0),1)&gt;=100000,INDEX($AM$1005:$BM$1005,1,MATCH(COLUMNS($AM$1006:BI1006),$AM$1006:$BM$1006,0))&gt;=100000), " ",IF(INDEX($AM$2:$BM$1001,MATCH(ROWS($AF$2:AF871),$AF$2:$AF$1001,0),MATCH(COLUMNS($AM$1006:BI1006),$AM$1006:$BM$1006,0)), HYPERLINK("#",""), HYPERLINK(CONCATENATE("#metadata!", ADDRESS(INDEX($AH$2:$AH$1001,MATCH(ROWS($AF$2:AF871),$AF$2:$AF$1001,0),0), INDEX($AM$1004:$BM$1004,1,MATCH(COLUMNS($AM$1006:BI1006),$AM$1006:$BM$1006,0)))),"Fix")))</f>
        <v xml:space="preserve"> </v>
      </c>
      <c r="Y871" s="4" t="str">
        <f ca="1">IF(OR(INDEX($AG$2:$AG$1001,MATCH(ROWS($AF$2:AF871),$AF$2:$AF$1001,0),1)&gt;=100000,INDEX($AM$1005:$BM$1005,1,MATCH(COLUMNS($AM$1006:BJ1006),$AM$1006:$BM$1006,0))&gt;=100000), " ",IF(INDEX($AM$2:$BM$1001,MATCH(ROWS($AF$2:AF871),$AF$2:$AF$1001,0),MATCH(COLUMNS($AM$1006:BJ1006),$AM$1006:$BM$1006,0)), HYPERLINK("#",""), HYPERLINK(CONCATENATE("#metadata!", ADDRESS(INDEX($AH$2:$AH$1001,MATCH(ROWS($AF$2:AF871),$AF$2:$AF$1001,0),0), INDEX($AM$1004:$BM$1004,1,MATCH(COLUMNS($AM$1006:BJ1006),$AM$1006:$BM$1006,0)))),"Fix")))</f>
        <v xml:space="preserve"> </v>
      </c>
      <c r="Z871" s="4" t="str">
        <f ca="1">IF(OR(INDEX($AG$2:$AG$1001,MATCH(ROWS($AF$2:AF871),$AF$2:$AF$1001,0),1)&gt;=100000,INDEX($AM$1005:$BM$1005,1,MATCH(COLUMNS($AM$1006:BK1006),$AM$1006:$BM$1006,0))&gt;=100000), " ",IF(INDEX($AM$2:$BM$1001,MATCH(ROWS($AF$2:AF871),$AF$2:$AF$1001,0),MATCH(COLUMNS($AM$1006:BK1006),$AM$1006:$BM$1006,0)), HYPERLINK("#",""), HYPERLINK(CONCATENATE("#metadata!", ADDRESS(INDEX($AH$2:$AH$1001,MATCH(ROWS($AF$2:AF871),$AF$2:$AF$1001,0),0), INDEX($AM$1004:$BM$1004,1,MATCH(COLUMNS($AM$1006:BK1006),$AM$1006:$BM$1006,0)))),"Fix")))</f>
        <v xml:space="preserve"> </v>
      </c>
      <c r="AA871" s="4" t="str">
        <f ca="1">IF(OR(INDEX($AG$2:$AG$1001,MATCH(ROWS($AF$2:AF871),$AF$2:$AF$1001,0),1)&gt;=100000,INDEX($AM$1005:$BM$1005,1,MATCH(COLUMNS($AM$1006:BL1006),$AM$1006:$BM$1006,0))&gt;=100000), " ",IF(INDEX($AM$2:$BM$1001,MATCH(ROWS($AF$2:AF871),$AF$2:$AF$1001,0),MATCH(COLUMNS($AM$1006:BL1006),$AM$1006:$BM$1006,0)), HYPERLINK("#",""), HYPERLINK(CONCATENATE("#metadata!", ADDRESS(INDEX($AH$2:$AH$1001,MATCH(ROWS($AF$2:AF871),$AF$2:$AF$1001,0),0), INDEX($AM$1004:$BM$1004,1,MATCH(COLUMNS($AM$1006:BL1006),$AM$1006:$BM$1006,0)))),"Fix")))</f>
        <v xml:space="preserve"> </v>
      </c>
      <c r="AB871" s="4" t="str">
        <f ca="1">IF(OR(INDEX($AG$2:$AG$1001,MATCH(ROWS($AF$2:AF871),$AF$2:$AF$1001,0),1)&gt;=100000,INDEX($AM$1005:$BM$1005,1,MATCH(COLUMNS($AM$1006:BM1006),$AM$1006:$BM$1006,0))&gt;=100000), " ",IF(INDEX($AM$2:$BM$1001,MATCH(ROWS($AF$2:AF871),$AF$2:$AF$1001,0),MATCH(COLUMNS($AM$1006:BM1006),$AM$1006:$BM$1006,0)), HYPERLINK("#",""), HYPERLINK(CONCATENATE("#metadata!", ADDRESS(INDEX($AH$2:$AH$1001,MATCH(ROWS($AF$2:AF871),$AF$2:$AF$1001,0),0), INDEX($AM$1004:$BM$1004,1,MATCH(COLUMNS($AM$1006:BM1006),$AM$1006:$BM$1006,0)))),"Fix")))</f>
        <v xml:space="preserve"> </v>
      </c>
      <c r="AF871">
        <v>870</v>
      </c>
      <c r="AG871">
        <v>100871</v>
      </c>
      <c r="AH871">
        <v>871</v>
      </c>
      <c r="AI871" t="b">
        <f t="shared" si="13"/>
        <v>1</v>
      </c>
      <c r="AJ871" t="b">
        <f>COUNTBLANK(metadata!B871:AB871)=COLUMNS(metadata!B871:AB871)</f>
        <v>1</v>
      </c>
      <c r="AK871" t="str">
        <v/>
      </c>
      <c r="AM871" t="b">
        <f ca="1">AND(IF(metadata!B871="",FALSE,TRUE),COUNTIF(metadata!B:B, metadata!B871) = 1,NOT(ISERROR(SUMPRODUCT(SEARCH(MID(metadata!B871,ROW(INDIRECT("1:"&amp;LEN(metadata!B871))), 1),"0123456789abcdefghijklmnopqrstuvwxyzABCDEFGHIJKLMNOPQRSTUVWXYZ.")))))</f>
        <v>0</v>
      </c>
      <c r="AN871" t="b">
        <f ca="1">OR(AND(IF(metadata!C871="",FALSE,TRUE),OR(EXACT(metadata!C871,"missing: not collected"),EXACT(metadata!C871,"missing: not provided"),EXACT(metadata!C871,"missing: restricted access"))),AND(IF(metadata!C871="",FALSE,TRUE),AND(AND(IFERROR(INT(LEFT(metadata!C871,4))&gt;1900,FALSE),IFERROR(INT(LEFT(metadata!C871,4))&lt;=YEAR(NOW()),FALSE)), OR(MID(metadata!C871,5,1)="", AND(AND(MID(metadata!C871,5,1)="-",IFERROR(INT(MID(metadata!C871,6,1))&gt;=0,FALSE),IFERROR(INT(MID(metadata!C871,6,1))&lt;=1,FALSE),NOT(MID(metadata!C871,7,1)=""),IFERROR(INT(MID(metadata!C871,6,2))&gt;=1,FALSE),IFERROR(INT(MID(metadata!C871,6,2))&lt;=12,FALSE)), OR(MID(metadata!C871,8,1)="", AND(AND(MID(metadata!C871,8,1)="-",IFERROR(INT(MID(metadata!C871,9,1))&gt;=0,FALSE),IFERROR(INT(MID(metadata!C871,9,1))&lt;=3,FALSE),NOT(MID(metadata!C871,10,1)=""),IFERROR(INT(MID(metadata!C871,9,2))&gt;=1,FALSE),IFERROR(INT(MID(metadata!C871,9,2))&lt;=31,FALSE)), OR(MID(metadata!C871,11,1)="", AND(AND(MID(metadata!C871,11,1)=" ",IFERROR(INT(MID(metadata!C871,12,1))&gt;=0,FALSE),IFERROR(INT(MID(metadata!C871,12,1))&lt;=2,FALSE),NOT(MID(metadata!C871,13,1)=""),IFERROR(INT(MID(metadata!C871,12,2))&gt;=0,FALSE),IFERROR(INT(MID(metadata!C871,12,2))&lt;=23,FALSE)), OR(MID(metadata!C871,14,1)="", AND(AND(MID(metadata!C871,14,1)=":",IFERROR(INT(MID(metadata!C871,15,1))&gt;=0,FALSE),IFERROR(INT(MID(metadata!C871,15,1))&lt;=5,FALSE),NOT(MID(metadata!C871,16,1)=""),IFERROR(INT(MID(metadata!C871,15,2))&gt;=0,FALSE),IFERROR(INT(MID(metadata!C871,15,2))&lt;=59,FALSE)), OR(MID(metadata!C871,17,1)="", AND(AND(MID(metadata!C871,17,1)=":",IFERROR(INT(MID(metadata!C871,18,1))&gt;=0,FALSE),IFERROR(INT(MID(metadata!C871,18,1))&lt;=5,FALSE),NOT(MID(metadata!C871,19,1)=""),IFERROR(INT(MID(metadata!C871,18,2))&gt;=0,FALSE),IFERROR(INT(MID(metadata!C871,18,2))&lt;=59,FALSE)), LEN(metadata!C871)&lt;=19)))))))))))))</f>
        <v>0</v>
      </c>
      <c r="AO871" t="b">
        <f>AND(IF(metadata!D871="",FALSE,TRUE),EXACT(metadata!D871,"Not applicable"))</f>
        <v>0</v>
      </c>
      <c r="AP871" t="b">
        <f>IF(metadata!E871="",FALSE,TRUE)</f>
        <v>0</v>
      </c>
      <c r="AQ871" t="b">
        <f>OR(AND(IF(metadata!F871="",FALSE,TRUE),OR(EXACT(metadata!F871,"missing: not collected"),EXACT(metadata!F871,"missing: not provided"))),AND(IF(metadata!F871="",FALSE,TRUE),OR(EXACT(metadata!F871,"TRUE"),EXACT(metadata!F871,"FALSE"))))</f>
        <v>0</v>
      </c>
      <c r="AR871" t="b">
        <f>OR(AND(IF(metadata!G871="",FALSE,TRUE),OR(EXACT(metadata!G871,"missing: not collected"),EXACT(metadata!G871,"missing: not provided"),EXACT(metadata!G871,"missing: restricted access"))),AND(IF(metadata!G871="",FALSE,ISNUMBER(VALUE(metadata!G871))),metadata!G871&gt;=-413))</f>
        <v>0</v>
      </c>
      <c r="AS871" t="b">
        <f>AND(IF(metadata!H871="",FALSE,TRUE),EXACT(metadata!H871,"meters"))</f>
        <v>0</v>
      </c>
      <c r="AT871" t="b">
        <f>AND(IF(metadata!I871="",FALSE,TRUE),OR(EXACT(metadata!I871,"Host-associated"),EXACT(metadata!I871,"Free-living")))</f>
        <v>0</v>
      </c>
      <c r="AU871" t="b">
        <f>AND(IF(metadata!J871="",FALSE,TRUE),OR(EXACT(metadata!J871,"Animal"),EXACT(metadata!J871,"Fungus"),EXACT(metadata!J871,"Plant"),EXACT(metadata!J871,"Saline"),EXACT(metadata!J871,"Non-saline")))</f>
        <v>0</v>
      </c>
      <c r="AV871" t="b">
        <f>AND(IF(metadata!K871="",FALSE,TRUE),OR(EXACT(metadata!K871,"Plant secretion"),EXACT(metadata!K871,"Plant rhizosphere"),EXACT(metadata!K871,"Plant surface"),EXACT(metadata!K871,"Plant corpus"),EXACT(metadata!K871,"Fungus surface"),EXACT(metadata!K871,"Fungus corpus"),EXACT(metadata!K871,"Animal surface"),EXACT(metadata!K871,"Animal proximal gut"),EXACT(metadata!K871,"Animal corpus"),EXACT(metadata!K871,"Animal distal gut"),EXACT(metadata!K871,"Animal secretion"),EXACT(metadata!K871,"Sub-surface (non-saline)"),EXACT(metadata!K871,"Surface (non-saline)"),EXACT(metadata!K871,"Water (non-saline)"),EXACT(metadata!K871,"Soil (non-saline)"),EXACT(metadata!K871,"Aerosol (non-saline)"),EXACT(metadata!K871,"Sediment (non-saline)"),EXACT(metadata!K871,"Surface (saline)"),EXACT(metadata!K871,"Water (saline)"),EXACT(metadata!K871,"Hypersaline (saline)"),EXACT(metadata!K871,"Aerosol (saline)"),EXACT(metadata!K871,"Sediment (saline)")))</f>
        <v>0</v>
      </c>
      <c r="AW871" t="b">
        <f>IF(metadata!L871="",FALSE,TRUE)</f>
        <v>0</v>
      </c>
      <c r="AX871" t="b">
        <f>IF(metadata!M871="",FALSE,TRUE)</f>
        <v>0</v>
      </c>
      <c r="AY871" t="b">
        <f>IF(metadata!N871="",FALSE,TRUE)</f>
        <v>0</v>
      </c>
      <c r="AZ871" t="b">
        <f>OR(AND(IF(metadata!O871="",FALSE,TRUE),OR(EXACT(metadata!O871,"missing: not collected"),EXACT(metadata!O871,"missing: not provided"),EXACT(metadata!O871,"missing: restricted access"))),AND(IF(metadata!O871="",FALSE,TRUE),OR(EXACT(metadata!O871,"air"),EXACT(metadata!O871,"built environment"),EXACT(metadata!O871,"host-associated"),EXACT(metadata!O871,"human-associated"),EXACT(metadata!O871,"human-skin"),EXACT(metadata!O871,"human-oral"),EXACT(metadata!O871,"human-gut"),EXACT(metadata!O871,"human-vaginal"),EXACT(metadata!O871,"microbial mat/biofilm"),EXACT(metadata!O871,"misc environment"),EXACT(metadata!O871,"plant-associated"),EXACT(metadata!O871,"sediment"),EXACT(metadata!O871,"soil"),EXACT(metadata!O871,"wastewater/sludge"),EXACT(metadata!O871,"water"))))</f>
        <v>0</v>
      </c>
      <c r="BA871" t="b">
        <f>IF(metadata!P871="",FALSE,TRUE)</f>
        <v>0</v>
      </c>
      <c r="BB871" t="b">
        <f>IF(metadata!Q871="",FALSE,TRUE)</f>
        <v>0</v>
      </c>
      <c r="BC871" t="b">
        <f>OR(AND(IF(metadata!R871="",FALSE,TRUE),OR(EXACT(metadata!R871,"missing: not collected"),EXACT(metadata!R871,"missing: not provided"),EXACT(metadata!R871,"missing: restricted access"))),AND(IF(metadata!R871="",FALSE,ISNUMBER(VALUE(metadata!R871))),metadata!R871&gt;=-90,metadata!R871&lt;=90))</f>
        <v>0</v>
      </c>
      <c r="BD871" t="b">
        <f>AND(IF(metadata!S871="",FALSE,TRUE),EXACT(metadata!S871,"Decimal degrees"))</f>
        <v>0</v>
      </c>
      <c r="BE871" t="b">
        <f>OR(AND(IF(metadata!T871="",FALSE,TRUE),OR(EXACT(metadata!T871,"missing: not collected"),EXACT(metadata!T871,"missing: not provided"),EXACT(metadata!T871,"missing: restricted access"))),AND(IF(metadata!T871="",FALSE,ISNUMBER(VALUE(metadata!T871))),metadata!T871&gt;=-180,metadata!T871&lt;=180))</f>
        <v>0</v>
      </c>
      <c r="BF871" t="b">
        <f>AND(IF(metadata!U871="",FALSE,TRUE),EXACT(metadata!U871,"Decimal degrees"))</f>
        <v>0</v>
      </c>
      <c r="BG871" t="b">
        <f>IF(metadata!V871="",FALSE,TRUE)</f>
        <v>0</v>
      </c>
      <c r="BH871" t="b">
        <f>OR(AND(IF(metadata!W871="",FALSE,TRUE),OR(EXACT(metadata!W871,"missing: not collected"),EXACT(metadata!W871,"missing: not provided"),EXACT(metadata!W871,"missing: restricted access"))),AND(IF(metadata!W871="",FALSE,TRUE),OR(EXACT(metadata!W871,"TRUE"),EXACT(metadata!W871,"FALSE"))))</f>
        <v>0</v>
      </c>
      <c r="BI871" t="b">
        <f>AND(IF(metadata!X871="",FALSE,TRUE),EXACT(metadata!X871,"other"))</f>
        <v>0</v>
      </c>
      <c r="BJ871" t="b">
        <f>IF(metadata!Y871="",FALSE,TRUE)</f>
        <v>0</v>
      </c>
      <c r="BK871" t="b">
        <f>OR(AND(IF(metadata!Z871="",FALSE,TRUE),OR(EXACT(metadata!Z871,"missing: not collected"),EXACT(metadata!Z871,"missing: not provided"))),AND(IF(metadata!Z871="",FALSE,IF(ISERROR(INT(metadata!Z871)),FALSE,INT(metadata!Z871)=metadata!Z871)),metadata!Z871&gt;0))</f>
        <v>0</v>
      </c>
      <c r="BL871" t="b">
        <f>AND(IF(metadata!AA871="",FALSE,TRUE),EXACT(metadata!AA871,"Not applicable"))</f>
        <v>0</v>
      </c>
      <c r="BM871" t="b">
        <f>IF(metadata!AB871="",FALSE,TRUE)</f>
        <v>0</v>
      </c>
    </row>
    <row r="872" spans="1:65" x14ac:dyDescent="0.2">
      <c r="A872" s="5" t="str">
        <f ca="1">IF(B872=" "," ",HYPERLINK(CONCATENATE("#metadata!",ADDRESS(INDEX($AH$2:$AH$1001,MATCH(ROWS($AF$2:AF872),$AF$2:$AF$1001,0),0),1)),INDEX($AK$2:$AK$1001,MATCH(ROWS($AF$2:AF872),$AF$2:$AF$1001,0),0)))</f>
        <v xml:space="preserve"> </v>
      </c>
      <c r="B872" s="4" t="str">
        <f ca="1">IF(OR(INDEX($AG$2:$AG$1001,MATCH(ROWS($AF$2:AF872),$AF$2:$AF$1001,0),1)&gt;=100000,INDEX($AM$1005:$BM$1005,1,MATCH(COLUMNS($AM$1006:AM1006),$AM$1006:$BM$1006,0))&gt;=100000), " ",IF(INDEX($AM$2:$BM$1001,MATCH(ROWS($AF$2:AF872),$AF$2:$AF$1001,0),MATCH(COLUMNS($AM$1006:AM1006),$AM$1006:$BM$1006,0)), HYPERLINK("#",""), HYPERLINK(CONCATENATE("#metadata!", ADDRESS(INDEX($AH$2:$AH$1001,MATCH(ROWS($AF$2:AF872),$AF$2:$AF$1001,0),0), INDEX($AM$1004:$BM$1004,1,MATCH(COLUMNS($AM$1006:AM1006),$AM$1006:$BM$1006,0)))),"Fix")))</f>
        <v xml:space="preserve"> </v>
      </c>
      <c r="C872" s="4" t="str">
        <f ca="1">IF(OR(INDEX($AG$2:$AG$1001,MATCH(ROWS($AF$2:AF872),$AF$2:$AF$1001,0),1)&gt;=100000,INDEX($AM$1005:$BM$1005,1,MATCH(COLUMNS($AM$1006:AN1006),$AM$1006:$BM$1006,0))&gt;=100000), " ",IF(INDEX($AM$2:$BM$1001,MATCH(ROWS($AF$2:AF872),$AF$2:$AF$1001,0),MATCH(COLUMNS($AM$1006:AN1006),$AM$1006:$BM$1006,0)), HYPERLINK("#",""), HYPERLINK(CONCATENATE("#metadata!", ADDRESS(INDEX($AH$2:$AH$1001,MATCH(ROWS($AF$2:AF872),$AF$2:$AF$1001,0),0), INDEX($AM$1004:$BM$1004,1,MATCH(COLUMNS($AM$1006:AN1006),$AM$1006:$BM$1006,0)))),"Fix")))</f>
        <v xml:space="preserve"> </v>
      </c>
      <c r="D872" s="4" t="str">
        <f ca="1">IF(OR(INDEX($AG$2:$AG$1001,MATCH(ROWS($AF$2:AF872),$AF$2:$AF$1001,0),1)&gt;=100000,INDEX($AM$1005:$BM$1005,1,MATCH(COLUMNS($AM$1006:AO1006),$AM$1006:$BM$1006,0))&gt;=100000), " ",IF(INDEX($AM$2:$BM$1001,MATCH(ROWS($AF$2:AF872),$AF$2:$AF$1001,0),MATCH(COLUMNS($AM$1006:AO1006),$AM$1006:$BM$1006,0)), HYPERLINK("#",""), HYPERLINK(CONCATENATE("#metadata!", ADDRESS(INDEX($AH$2:$AH$1001,MATCH(ROWS($AF$2:AF872),$AF$2:$AF$1001,0),0), INDEX($AM$1004:$BM$1004,1,MATCH(COLUMNS($AM$1006:AO1006),$AM$1006:$BM$1006,0)))),"Fix")))</f>
        <v xml:space="preserve"> </v>
      </c>
      <c r="E872" s="4" t="str">
        <f ca="1">IF(OR(INDEX($AG$2:$AG$1001,MATCH(ROWS($AF$2:AF872),$AF$2:$AF$1001,0),1)&gt;=100000,INDEX($AM$1005:$BM$1005,1,MATCH(COLUMNS($AM$1006:AP1006),$AM$1006:$BM$1006,0))&gt;=100000), " ",IF(INDEX($AM$2:$BM$1001,MATCH(ROWS($AF$2:AF872),$AF$2:$AF$1001,0),MATCH(COLUMNS($AM$1006:AP1006),$AM$1006:$BM$1006,0)), HYPERLINK("#",""), HYPERLINK(CONCATENATE("#metadata!", ADDRESS(INDEX($AH$2:$AH$1001,MATCH(ROWS($AF$2:AF872),$AF$2:$AF$1001,0),0), INDEX($AM$1004:$BM$1004,1,MATCH(COLUMNS($AM$1006:AP1006),$AM$1006:$BM$1006,0)))),"Fix")))</f>
        <v xml:space="preserve"> </v>
      </c>
      <c r="F872" s="4" t="str">
        <f ca="1">IF(OR(INDEX($AG$2:$AG$1001,MATCH(ROWS($AF$2:AF872),$AF$2:$AF$1001,0),1)&gt;=100000,INDEX($AM$1005:$BM$1005,1,MATCH(COLUMNS($AM$1006:AQ1006),$AM$1006:$BM$1006,0))&gt;=100000), " ",IF(INDEX($AM$2:$BM$1001,MATCH(ROWS($AF$2:AF872),$AF$2:$AF$1001,0),MATCH(COLUMNS($AM$1006:AQ1006),$AM$1006:$BM$1006,0)), HYPERLINK("#",""), HYPERLINK(CONCATENATE("#metadata!", ADDRESS(INDEX($AH$2:$AH$1001,MATCH(ROWS($AF$2:AF872),$AF$2:$AF$1001,0),0), INDEX($AM$1004:$BM$1004,1,MATCH(COLUMNS($AM$1006:AQ1006),$AM$1006:$BM$1006,0)))),"Fix")))</f>
        <v xml:space="preserve"> </v>
      </c>
      <c r="G872" s="4" t="str">
        <f ca="1">IF(OR(INDEX($AG$2:$AG$1001,MATCH(ROWS($AF$2:AF872),$AF$2:$AF$1001,0),1)&gt;=100000,INDEX($AM$1005:$BM$1005,1,MATCH(COLUMNS($AM$1006:AR1006),$AM$1006:$BM$1006,0))&gt;=100000), " ",IF(INDEX($AM$2:$BM$1001,MATCH(ROWS($AF$2:AF872),$AF$2:$AF$1001,0),MATCH(COLUMNS($AM$1006:AR1006),$AM$1006:$BM$1006,0)), HYPERLINK("#",""), HYPERLINK(CONCATENATE("#metadata!", ADDRESS(INDEX($AH$2:$AH$1001,MATCH(ROWS($AF$2:AF872),$AF$2:$AF$1001,0),0), INDEX($AM$1004:$BM$1004,1,MATCH(COLUMNS($AM$1006:AR1006),$AM$1006:$BM$1006,0)))),"Fix")))</f>
        <v xml:space="preserve"> </v>
      </c>
      <c r="H872" s="4" t="str">
        <f ca="1">IF(OR(INDEX($AG$2:$AG$1001,MATCH(ROWS($AF$2:AF872),$AF$2:$AF$1001,0),1)&gt;=100000,INDEX($AM$1005:$BM$1005,1,MATCH(COLUMNS($AM$1006:AS1006),$AM$1006:$BM$1006,0))&gt;=100000), " ",IF(INDEX($AM$2:$BM$1001,MATCH(ROWS($AF$2:AF872),$AF$2:$AF$1001,0),MATCH(COLUMNS($AM$1006:AS1006),$AM$1006:$BM$1006,0)), HYPERLINK("#",""), HYPERLINK(CONCATENATE("#metadata!", ADDRESS(INDEX($AH$2:$AH$1001,MATCH(ROWS($AF$2:AF872),$AF$2:$AF$1001,0),0), INDEX($AM$1004:$BM$1004,1,MATCH(COLUMNS($AM$1006:AS1006),$AM$1006:$BM$1006,0)))),"Fix")))</f>
        <v xml:space="preserve"> </v>
      </c>
      <c r="I872" s="4" t="str">
        <f ca="1">IF(OR(INDEX($AG$2:$AG$1001,MATCH(ROWS($AF$2:AF872),$AF$2:$AF$1001,0),1)&gt;=100000,INDEX($AM$1005:$BM$1005,1,MATCH(COLUMNS($AM$1006:AT1006),$AM$1006:$BM$1006,0))&gt;=100000), " ",IF(INDEX($AM$2:$BM$1001,MATCH(ROWS($AF$2:AF872),$AF$2:$AF$1001,0),MATCH(COLUMNS($AM$1006:AT1006),$AM$1006:$BM$1006,0)), HYPERLINK("#",""), HYPERLINK(CONCATENATE("#metadata!", ADDRESS(INDEX($AH$2:$AH$1001,MATCH(ROWS($AF$2:AF872),$AF$2:$AF$1001,0),0), INDEX($AM$1004:$BM$1004,1,MATCH(COLUMNS($AM$1006:AT1006),$AM$1006:$BM$1006,0)))),"Fix")))</f>
        <v xml:space="preserve"> </v>
      </c>
      <c r="J872" s="4" t="str">
        <f ca="1">IF(OR(INDEX($AG$2:$AG$1001,MATCH(ROWS($AF$2:AF872),$AF$2:$AF$1001,0),1)&gt;=100000,INDEX($AM$1005:$BM$1005,1,MATCH(COLUMNS($AM$1006:AU1006),$AM$1006:$BM$1006,0))&gt;=100000), " ",IF(INDEX($AM$2:$BM$1001,MATCH(ROWS($AF$2:AF872),$AF$2:$AF$1001,0),MATCH(COLUMNS($AM$1006:AU1006),$AM$1006:$BM$1006,0)), HYPERLINK("#",""), HYPERLINK(CONCATENATE("#metadata!", ADDRESS(INDEX($AH$2:$AH$1001,MATCH(ROWS($AF$2:AF872),$AF$2:$AF$1001,0),0), INDEX($AM$1004:$BM$1004,1,MATCH(COLUMNS($AM$1006:AU1006),$AM$1006:$BM$1006,0)))),"Fix")))</f>
        <v xml:space="preserve"> </v>
      </c>
      <c r="K872" s="4" t="str">
        <f ca="1">IF(OR(INDEX($AG$2:$AG$1001,MATCH(ROWS($AF$2:AF872),$AF$2:$AF$1001,0),1)&gt;=100000,INDEX($AM$1005:$BM$1005,1,MATCH(COLUMNS($AM$1006:AV1006),$AM$1006:$BM$1006,0))&gt;=100000), " ",IF(INDEX($AM$2:$BM$1001,MATCH(ROWS($AF$2:AF872),$AF$2:$AF$1001,0),MATCH(COLUMNS($AM$1006:AV1006),$AM$1006:$BM$1006,0)), HYPERLINK("#",""), HYPERLINK(CONCATENATE("#metadata!", ADDRESS(INDEX($AH$2:$AH$1001,MATCH(ROWS($AF$2:AF872),$AF$2:$AF$1001,0),0), INDEX($AM$1004:$BM$1004,1,MATCH(COLUMNS($AM$1006:AV1006),$AM$1006:$BM$1006,0)))),"Fix")))</f>
        <v xml:space="preserve"> </v>
      </c>
      <c r="L872" s="4" t="str">
        <f ca="1">IF(OR(INDEX($AG$2:$AG$1001,MATCH(ROWS($AF$2:AF872),$AF$2:$AF$1001,0),1)&gt;=100000,INDEX($AM$1005:$BM$1005,1,MATCH(COLUMNS($AM$1006:AW1006),$AM$1006:$BM$1006,0))&gt;=100000), " ",IF(INDEX($AM$2:$BM$1001,MATCH(ROWS($AF$2:AF872),$AF$2:$AF$1001,0),MATCH(COLUMNS($AM$1006:AW1006),$AM$1006:$BM$1006,0)), HYPERLINK("#",""), HYPERLINK(CONCATENATE("#metadata!", ADDRESS(INDEX($AH$2:$AH$1001,MATCH(ROWS($AF$2:AF872),$AF$2:$AF$1001,0),0), INDEX($AM$1004:$BM$1004,1,MATCH(COLUMNS($AM$1006:AW1006),$AM$1006:$BM$1006,0)))),"Fix")))</f>
        <v xml:space="preserve"> </v>
      </c>
      <c r="M872" s="4" t="str">
        <f ca="1">IF(OR(INDEX($AG$2:$AG$1001,MATCH(ROWS($AF$2:AF872),$AF$2:$AF$1001,0),1)&gt;=100000,INDEX($AM$1005:$BM$1005,1,MATCH(COLUMNS($AM$1006:AX1006),$AM$1006:$BM$1006,0))&gt;=100000), " ",IF(INDEX($AM$2:$BM$1001,MATCH(ROWS($AF$2:AF872),$AF$2:$AF$1001,0),MATCH(COLUMNS($AM$1006:AX1006),$AM$1006:$BM$1006,0)), HYPERLINK("#",""), HYPERLINK(CONCATENATE("#metadata!", ADDRESS(INDEX($AH$2:$AH$1001,MATCH(ROWS($AF$2:AF872),$AF$2:$AF$1001,0),0), INDEX($AM$1004:$BM$1004,1,MATCH(COLUMNS($AM$1006:AX1006),$AM$1006:$BM$1006,0)))),"Fix")))</f>
        <v xml:space="preserve"> </v>
      </c>
      <c r="N872" s="4" t="str">
        <f ca="1">IF(OR(INDEX($AG$2:$AG$1001,MATCH(ROWS($AF$2:AF872),$AF$2:$AF$1001,0),1)&gt;=100000,INDEX($AM$1005:$BM$1005,1,MATCH(COLUMNS($AM$1006:AY1006),$AM$1006:$BM$1006,0))&gt;=100000), " ",IF(INDEX($AM$2:$BM$1001,MATCH(ROWS($AF$2:AF872),$AF$2:$AF$1001,0),MATCH(COLUMNS($AM$1006:AY1006),$AM$1006:$BM$1006,0)), HYPERLINK("#",""), HYPERLINK(CONCATENATE("#metadata!", ADDRESS(INDEX($AH$2:$AH$1001,MATCH(ROWS($AF$2:AF872),$AF$2:$AF$1001,0),0), INDEX($AM$1004:$BM$1004,1,MATCH(COLUMNS($AM$1006:AY1006),$AM$1006:$BM$1006,0)))),"Fix")))</f>
        <v xml:space="preserve"> </v>
      </c>
      <c r="O872" s="4" t="str">
        <f ca="1">IF(OR(INDEX($AG$2:$AG$1001,MATCH(ROWS($AF$2:AF872),$AF$2:$AF$1001,0),1)&gt;=100000,INDEX($AM$1005:$BM$1005,1,MATCH(COLUMNS($AM$1006:AZ1006),$AM$1006:$BM$1006,0))&gt;=100000), " ",IF(INDEX($AM$2:$BM$1001,MATCH(ROWS($AF$2:AF872),$AF$2:$AF$1001,0),MATCH(COLUMNS($AM$1006:AZ1006),$AM$1006:$BM$1006,0)), HYPERLINK("#",""), HYPERLINK(CONCATENATE("#metadata!", ADDRESS(INDEX($AH$2:$AH$1001,MATCH(ROWS($AF$2:AF872),$AF$2:$AF$1001,0),0), INDEX($AM$1004:$BM$1004,1,MATCH(COLUMNS($AM$1006:AZ1006),$AM$1006:$BM$1006,0)))),"Fix")))</f>
        <v xml:space="preserve"> </v>
      </c>
      <c r="P872" s="4" t="str">
        <f ca="1">IF(OR(INDEX($AG$2:$AG$1001,MATCH(ROWS($AF$2:AF872),$AF$2:$AF$1001,0),1)&gt;=100000,INDEX($AM$1005:$BM$1005,1,MATCH(COLUMNS($AM$1006:BA1006),$AM$1006:$BM$1006,0))&gt;=100000), " ",IF(INDEX($AM$2:$BM$1001,MATCH(ROWS($AF$2:AF872),$AF$2:$AF$1001,0),MATCH(COLUMNS($AM$1006:BA1006),$AM$1006:$BM$1006,0)), HYPERLINK("#",""), HYPERLINK(CONCATENATE("#metadata!", ADDRESS(INDEX($AH$2:$AH$1001,MATCH(ROWS($AF$2:AF872),$AF$2:$AF$1001,0),0), INDEX($AM$1004:$BM$1004,1,MATCH(COLUMNS($AM$1006:BA1006),$AM$1006:$BM$1006,0)))),"Fix")))</f>
        <v xml:space="preserve"> </v>
      </c>
      <c r="Q872" s="4" t="str">
        <f ca="1">IF(OR(INDEX($AG$2:$AG$1001,MATCH(ROWS($AF$2:AF872),$AF$2:$AF$1001,0),1)&gt;=100000,INDEX($AM$1005:$BM$1005,1,MATCH(COLUMNS($AM$1006:BB1006),$AM$1006:$BM$1006,0))&gt;=100000), " ",IF(INDEX($AM$2:$BM$1001,MATCH(ROWS($AF$2:AF872),$AF$2:$AF$1001,0),MATCH(COLUMNS($AM$1006:BB1006),$AM$1006:$BM$1006,0)), HYPERLINK("#",""), HYPERLINK(CONCATENATE("#metadata!", ADDRESS(INDEX($AH$2:$AH$1001,MATCH(ROWS($AF$2:AF872),$AF$2:$AF$1001,0),0), INDEX($AM$1004:$BM$1004,1,MATCH(COLUMNS($AM$1006:BB1006),$AM$1006:$BM$1006,0)))),"Fix")))</f>
        <v xml:space="preserve"> </v>
      </c>
      <c r="R872" s="4" t="str">
        <f ca="1">IF(OR(INDEX($AG$2:$AG$1001,MATCH(ROWS($AF$2:AF872),$AF$2:$AF$1001,0),1)&gt;=100000,INDEX($AM$1005:$BM$1005,1,MATCH(COLUMNS($AM$1006:BC1006),$AM$1006:$BM$1006,0))&gt;=100000), " ",IF(INDEX($AM$2:$BM$1001,MATCH(ROWS($AF$2:AF872),$AF$2:$AF$1001,0),MATCH(COLUMNS($AM$1006:BC1006),$AM$1006:$BM$1006,0)), HYPERLINK("#",""), HYPERLINK(CONCATENATE("#metadata!", ADDRESS(INDEX($AH$2:$AH$1001,MATCH(ROWS($AF$2:AF872),$AF$2:$AF$1001,0),0), INDEX($AM$1004:$BM$1004,1,MATCH(COLUMNS($AM$1006:BC1006),$AM$1006:$BM$1006,0)))),"Fix")))</f>
        <v xml:space="preserve"> </v>
      </c>
      <c r="S872" s="4" t="str">
        <f ca="1">IF(OR(INDEX($AG$2:$AG$1001,MATCH(ROWS($AF$2:AF872),$AF$2:$AF$1001,0),1)&gt;=100000,INDEX($AM$1005:$BM$1005,1,MATCH(COLUMNS($AM$1006:BD1006),$AM$1006:$BM$1006,0))&gt;=100000), " ",IF(INDEX($AM$2:$BM$1001,MATCH(ROWS($AF$2:AF872),$AF$2:$AF$1001,0),MATCH(COLUMNS($AM$1006:BD1006),$AM$1006:$BM$1006,0)), HYPERLINK("#",""), HYPERLINK(CONCATENATE("#metadata!", ADDRESS(INDEX($AH$2:$AH$1001,MATCH(ROWS($AF$2:AF872),$AF$2:$AF$1001,0),0), INDEX($AM$1004:$BM$1004,1,MATCH(COLUMNS($AM$1006:BD1006),$AM$1006:$BM$1006,0)))),"Fix")))</f>
        <v xml:space="preserve"> </v>
      </c>
      <c r="T872" s="4" t="str">
        <f ca="1">IF(OR(INDEX($AG$2:$AG$1001,MATCH(ROWS($AF$2:AF872),$AF$2:$AF$1001,0),1)&gt;=100000,INDEX($AM$1005:$BM$1005,1,MATCH(COLUMNS($AM$1006:BE1006),$AM$1006:$BM$1006,0))&gt;=100000), " ",IF(INDEX($AM$2:$BM$1001,MATCH(ROWS($AF$2:AF872),$AF$2:$AF$1001,0),MATCH(COLUMNS($AM$1006:BE1006),$AM$1006:$BM$1006,0)), HYPERLINK("#",""), HYPERLINK(CONCATENATE("#metadata!", ADDRESS(INDEX($AH$2:$AH$1001,MATCH(ROWS($AF$2:AF872),$AF$2:$AF$1001,0),0), INDEX($AM$1004:$BM$1004,1,MATCH(COLUMNS($AM$1006:BE1006),$AM$1006:$BM$1006,0)))),"Fix")))</f>
        <v xml:space="preserve"> </v>
      </c>
      <c r="U872" s="4" t="str">
        <f ca="1">IF(OR(INDEX($AG$2:$AG$1001,MATCH(ROWS($AF$2:AF872),$AF$2:$AF$1001,0),1)&gt;=100000,INDEX($AM$1005:$BM$1005,1,MATCH(COLUMNS($AM$1006:BF1006),$AM$1006:$BM$1006,0))&gt;=100000), " ",IF(INDEX($AM$2:$BM$1001,MATCH(ROWS($AF$2:AF872),$AF$2:$AF$1001,0),MATCH(COLUMNS($AM$1006:BF1006),$AM$1006:$BM$1006,0)), HYPERLINK("#",""), HYPERLINK(CONCATENATE("#metadata!", ADDRESS(INDEX($AH$2:$AH$1001,MATCH(ROWS($AF$2:AF872),$AF$2:$AF$1001,0),0), INDEX($AM$1004:$BM$1004,1,MATCH(COLUMNS($AM$1006:BF1006),$AM$1006:$BM$1006,0)))),"Fix")))</f>
        <v xml:space="preserve"> </v>
      </c>
      <c r="V872" s="4" t="str">
        <f ca="1">IF(OR(INDEX($AG$2:$AG$1001,MATCH(ROWS($AF$2:AF872),$AF$2:$AF$1001,0),1)&gt;=100000,INDEX($AM$1005:$BM$1005,1,MATCH(COLUMNS($AM$1006:BG1006),$AM$1006:$BM$1006,0))&gt;=100000), " ",IF(INDEX($AM$2:$BM$1001,MATCH(ROWS($AF$2:AF872),$AF$2:$AF$1001,0),MATCH(COLUMNS($AM$1006:BG1006),$AM$1006:$BM$1006,0)), HYPERLINK("#",""), HYPERLINK(CONCATENATE("#metadata!", ADDRESS(INDEX($AH$2:$AH$1001,MATCH(ROWS($AF$2:AF872),$AF$2:$AF$1001,0),0), INDEX($AM$1004:$BM$1004,1,MATCH(COLUMNS($AM$1006:BG1006),$AM$1006:$BM$1006,0)))),"Fix")))</f>
        <v xml:space="preserve"> </v>
      </c>
      <c r="W872" s="4" t="str">
        <f ca="1">IF(OR(INDEX($AG$2:$AG$1001,MATCH(ROWS($AF$2:AF872),$AF$2:$AF$1001,0),1)&gt;=100000,INDEX($AM$1005:$BM$1005,1,MATCH(COLUMNS($AM$1006:BH1006),$AM$1006:$BM$1006,0))&gt;=100000), " ",IF(INDEX($AM$2:$BM$1001,MATCH(ROWS($AF$2:AF872),$AF$2:$AF$1001,0),MATCH(COLUMNS($AM$1006:BH1006),$AM$1006:$BM$1006,0)), HYPERLINK("#",""), HYPERLINK(CONCATENATE("#metadata!", ADDRESS(INDEX($AH$2:$AH$1001,MATCH(ROWS($AF$2:AF872),$AF$2:$AF$1001,0),0), INDEX($AM$1004:$BM$1004,1,MATCH(COLUMNS($AM$1006:BH1006),$AM$1006:$BM$1006,0)))),"Fix")))</f>
        <v xml:space="preserve"> </v>
      </c>
      <c r="X872" s="4" t="str">
        <f ca="1">IF(OR(INDEX($AG$2:$AG$1001,MATCH(ROWS($AF$2:AF872),$AF$2:$AF$1001,0),1)&gt;=100000,INDEX($AM$1005:$BM$1005,1,MATCH(COLUMNS($AM$1006:BI1006),$AM$1006:$BM$1006,0))&gt;=100000), " ",IF(INDEX($AM$2:$BM$1001,MATCH(ROWS($AF$2:AF872),$AF$2:$AF$1001,0),MATCH(COLUMNS($AM$1006:BI1006),$AM$1006:$BM$1006,0)), HYPERLINK("#",""), HYPERLINK(CONCATENATE("#metadata!", ADDRESS(INDEX($AH$2:$AH$1001,MATCH(ROWS($AF$2:AF872),$AF$2:$AF$1001,0),0), INDEX($AM$1004:$BM$1004,1,MATCH(COLUMNS($AM$1006:BI1006),$AM$1006:$BM$1006,0)))),"Fix")))</f>
        <v xml:space="preserve"> </v>
      </c>
      <c r="Y872" s="4" t="str">
        <f ca="1">IF(OR(INDEX($AG$2:$AG$1001,MATCH(ROWS($AF$2:AF872),$AF$2:$AF$1001,0),1)&gt;=100000,INDEX($AM$1005:$BM$1005,1,MATCH(COLUMNS($AM$1006:BJ1006),$AM$1006:$BM$1006,0))&gt;=100000), " ",IF(INDEX($AM$2:$BM$1001,MATCH(ROWS($AF$2:AF872),$AF$2:$AF$1001,0),MATCH(COLUMNS($AM$1006:BJ1006),$AM$1006:$BM$1006,0)), HYPERLINK("#",""), HYPERLINK(CONCATENATE("#metadata!", ADDRESS(INDEX($AH$2:$AH$1001,MATCH(ROWS($AF$2:AF872),$AF$2:$AF$1001,0),0), INDEX($AM$1004:$BM$1004,1,MATCH(COLUMNS($AM$1006:BJ1006),$AM$1006:$BM$1006,0)))),"Fix")))</f>
        <v xml:space="preserve"> </v>
      </c>
      <c r="Z872" s="4" t="str">
        <f ca="1">IF(OR(INDEX($AG$2:$AG$1001,MATCH(ROWS($AF$2:AF872),$AF$2:$AF$1001,0),1)&gt;=100000,INDEX($AM$1005:$BM$1005,1,MATCH(COLUMNS($AM$1006:BK1006),$AM$1006:$BM$1006,0))&gt;=100000), " ",IF(INDEX($AM$2:$BM$1001,MATCH(ROWS($AF$2:AF872),$AF$2:$AF$1001,0),MATCH(COLUMNS($AM$1006:BK1006),$AM$1006:$BM$1006,0)), HYPERLINK("#",""), HYPERLINK(CONCATENATE("#metadata!", ADDRESS(INDEX($AH$2:$AH$1001,MATCH(ROWS($AF$2:AF872),$AF$2:$AF$1001,0),0), INDEX($AM$1004:$BM$1004,1,MATCH(COLUMNS($AM$1006:BK1006),$AM$1006:$BM$1006,0)))),"Fix")))</f>
        <v xml:space="preserve"> </v>
      </c>
      <c r="AA872" s="4" t="str">
        <f ca="1">IF(OR(INDEX($AG$2:$AG$1001,MATCH(ROWS($AF$2:AF872),$AF$2:$AF$1001,0),1)&gt;=100000,INDEX($AM$1005:$BM$1005,1,MATCH(COLUMNS($AM$1006:BL1006),$AM$1006:$BM$1006,0))&gt;=100000), " ",IF(INDEX($AM$2:$BM$1001,MATCH(ROWS($AF$2:AF872),$AF$2:$AF$1001,0),MATCH(COLUMNS($AM$1006:BL1006),$AM$1006:$BM$1006,0)), HYPERLINK("#",""), HYPERLINK(CONCATENATE("#metadata!", ADDRESS(INDEX($AH$2:$AH$1001,MATCH(ROWS($AF$2:AF872),$AF$2:$AF$1001,0),0), INDEX($AM$1004:$BM$1004,1,MATCH(COLUMNS($AM$1006:BL1006),$AM$1006:$BM$1006,0)))),"Fix")))</f>
        <v xml:space="preserve"> </v>
      </c>
      <c r="AB872" s="4" t="str">
        <f ca="1">IF(OR(INDEX($AG$2:$AG$1001,MATCH(ROWS($AF$2:AF872),$AF$2:$AF$1001,0),1)&gt;=100000,INDEX($AM$1005:$BM$1005,1,MATCH(COLUMNS($AM$1006:BM1006),$AM$1006:$BM$1006,0))&gt;=100000), " ",IF(INDEX($AM$2:$BM$1001,MATCH(ROWS($AF$2:AF872),$AF$2:$AF$1001,0),MATCH(COLUMNS($AM$1006:BM1006),$AM$1006:$BM$1006,0)), HYPERLINK("#",""), HYPERLINK(CONCATENATE("#metadata!", ADDRESS(INDEX($AH$2:$AH$1001,MATCH(ROWS($AF$2:AF872),$AF$2:$AF$1001,0),0), INDEX($AM$1004:$BM$1004,1,MATCH(COLUMNS($AM$1006:BM1006),$AM$1006:$BM$1006,0)))),"Fix")))</f>
        <v xml:space="preserve"> </v>
      </c>
      <c r="AF872">
        <v>871</v>
      </c>
      <c r="AG872">
        <v>100872</v>
      </c>
      <c r="AH872">
        <v>872</v>
      </c>
      <c r="AI872" t="b">
        <f t="shared" si="13"/>
        <v>1</v>
      </c>
      <c r="AJ872" t="b">
        <f>COUNTBLANK(metadata!B872:AB872)=COLUMNS(metadata!B872:AB872)</f>
        <v>1</v>
      </c>
      <c r="AK872" t="str">
        <v/>
      </c>
      <c r="AM872" t="b">
        <f ca="1">AND(IF(metadata!B872="",FALSE,TRUE),COUNTIF(metadata!B:B, metadata!B872) = 1,NOT(ISERROR(SUMPRODUCT(SEARCH(MID(metadata!B872,ROW(INDIRECT("1:"&amp;LEN(metadata!B872))), 1),"0123456789abcdefghijklmnopqrstuvwxyzABCDEFGHIJKLMNOPQRSTUVWXYZ.")))))</f>
        <v>0</v>
      </c>
      <c r="AN872" t="b">
        <f ca="1">OR(AND(IF(metadata!C872="",FALSE,TRUE),OR(EXACT(metadata!C872,"missing: not collected"),EXACT(metadata!C872,"missing: not provided"),EXACT(metadata!C872,"missing: restricted access"))),AND(IF(metadata!C872="",FALSE,TRUE),AND(AND(IFERROR(INT(LEFT(metadata!C872,4))&gt;1900,FALSE),IFERROR(INT(LEFT(metadata!C872,4))&lt;=YEAR(NOW()),FALSE)), OR(MID(metadata!C872,5,1)="", AND(AND(MID(metadata!C872,5,1)="-",IFERROR(INT(MID(metadata!C872,6,1))&gt;=0,FALSE),IFERROR(INT(MID(metadata!C872,6,1))&lt;=1,FALSE),NOT(MID(metadata!C872,7,1)=""),IFERROR(INT(MID(metadata!C872,6,2))&gt;=1,FALSE),IFERROR(INT(MID(metadata!C872,6,2))&lt;=12,FALSE)), OR(MID(metadata!C872,8,1)="", AND(AND(MID(metadata!C872,8,1)="-",IFERROR(INT(MID(metadata!C872,9,1))&gt;=0,FALSE),IFERROR(INT(MID(metadata!C872,9,1))&lt;=3,FALSE),NOT(MID(metadata!C872,10,1)=""),IFERROR(INT(MID(metadata!C872,9,2))&gt;=1,FALSE),IFERROR(INT(MID(metadata!C872,9,2))&lt;=31,FALSE)), OR(MID(metadata!C872,11,1)="", AND(AND(MID(metadata!C872,11,1)=" ",IFERROR(INT(MID(metadata!C872,12,1))&gt;=0,FALSE),IFERROR(INT(MID(metadata!C872,12,1))&lt;=2,FALSE),NOT(MID(metadata!C872,13,1)=""),IFERROR(INT(MID(metadata!C872,12,2))&gt;=0,FALSE),IFERROR(INT(MID(metadata!C872,12,2))&lt;=23,FALSE)), OR(MID(metadata!C872,14,1)="", AND(AND(MID(metadata!C872,14,1)=":",IFERROR(INT(MID(metadata!C872,15,1))&gt;=0,FALSE),IFERROR(INT(MID(metadata!C872,15,1))&lt;=5,FALSE),NOT(MID(metadata!C872,16,1)=""),IFERROR(INT(MID(metadata!C872,15,2))&gt;=0,FALSE),IFERROR(INT(MID(metadata!C872,15,2))&lt;=59,FALSE)), OR(MID(metadata!C872,17,1)="", AND(AND(MID(metadata!C872,17,1)=":",IFERROR(INT(MID(metadata!C872,18,1))&gt;=0,FALSE),IFERROR(INT(MID(metadata!C872,18,1))&lt;=5,FALSE),NOT(MID(metadata!C872,19,1)=""),IFERROR(INT(MID(metadata!C872,18,2))&gt;=0,FALSE),IFERROR(INT(MID(metadata!C872,18,2))&lt;=59,FALSE)), LEN(metadata!C872)&lt;=19)))))))))))))</f>
        <v>0</v>
      </c>
      <c r="AO872" t="b">
        <f>AND(IF(metadata!D872="",FALSE,TRUE),EXACT(metadata!D872,"Not applicable"))</f>
        <v>0</v>
      </c>
      <c r="AP872" t="b">
        <f>IF(metadata!E872="",FALSE,TRUE)</f>
        <v>0</v>
      </c>
      <c r="AQ872" t="b">
        <f>OR(AND(IF(metadata!F872="",FALSE,TRUE),OR(EXACT(metadata!F872,"missing: not collected"),EXACT(metadata!F872,"missing: not provided"))),AND(IF(metadata!F872="",FALSE,TRUE),OR(EXACT(metadata!F872,"TRUE"),EXACT(metadata!F872,"FALSE"))))</f>
        <v>0</v>
      </c>
      <c r="AR872" t="b">
        <f>OR(AND(IF(metadata!G872="",FALSE,TRUE),OR(EXACT(metadata!G872,"missing: not collected"),EXACT(metadata!G872,"missing: not provided"),EXACT(metadata!G872,"missing: restricted access"))),AND(IF(metadata!G872="",FALSE,ISNUMBER(VALUE(metadata!G872))),metadata!G872&gt;=-413))</f>
        <v>0</v>
      </c>
      <c r="AS872" t="b">
        <f>AND(IF(metadata!H872="",FALSE,TRUE),EXACT(metadata!H872,"meters"))</f>
        <v>0</v>
      </c>
      <c r="AT872" t="b">
        <f>AND(IF(metadata!I872="",FALSE,TRUE),OR(EXACT(metadata!I872,"Host-associated"),EXACT(metadata!I872,"Free-living")))</f>
        <v>0</v>
      </c>
      <c r="AU872" t="b">
        <f>AND(IF(metadata!J872="",FALSE,TRUE),OR(EXACT(metadata!J872,"Animal"),EXACT(metadata!J872,"Fungus"),EXACT(metadata!J872,"Plant"),EXACT(metadata!J872,"Saline"),EXACT(metadata!J872,"Non-saline")))</f>
        <v>0</v>
      </c>
      <c r="AV872" t="b">
        <f>AND(IF(metadata!K872="",FALSE,TRUE),OR(EXACT(metadata!K872,"Plant secretion"),EXACT(metadata!K872,"Plant rhizosphere"),EXACT(metadata!K872,"Plant surface"),EXACT(metadata!K872,"Plant corpus"),EXACT(metadata!K872,"Fungus surface"),EXACT(metadata!K872,"Fungus corpus"),EXACT(metadata!K872,"Animal surface"),EXACT(metadata!K872,"Animal proximal gut"),EXACT(metadata!K872,"Animal corpus"),EXACT(metadata!K872,"Animal distal gut"),EXACT(metadata!K872,"Animal secretion"),EXACT(metadata!K872,"Sub-surface (non-saline)"),EXACT(metadata!K872,"Surface (non-saline)"),EXACT(metadata!K872,"Water (non-saline)"),EXACT(metadata!K872,"Soil (non-saline)"),EXACT(metadata!K872,"Aerosol (non-saline)"),EXACT(metadata!K872,"Sediment (non-saline)"),EXACT(metadata!K872,"Surface (saline)"),EXACT(metadata!K872,"Water (saline)"),EXACT(metadata!K872,"Hypersaline (saline)"),EXACT(metadata!K872,"Aerosol (saline)"),EXACT(metadata!K872,"Sediment (saline)")))</f>
        <v>0</v>
      </c>
      <c r="AW872" t="b">
        <f>IF(metadata!L872="",FALSE,TRUE)</f>
        <v>0</v>
      </c>
      <c r="AX872" t="b">
        <f>IF(metadata!M872="",FALSE,TRUE)</f>
        <v>0</v>
      </c>
      <c r="AY872" t="b">
        <f>IF(metadata!N872="",FALSE,TRUE)</f>
        <v>0</v>
      </c>
      <c r="AZ872" t="b">
        <f>OR(AND(IF(metadata!O872="",FALSE,TRUE),OR(EXACT(metadata!O872,"missing: not collected"),EXACT(metadata!O872,"missing: not provided"),EXACT(metadata!O872,"missing: restricted access"))),AND(IF(metadata!O872="",FALSE,TRUE),OR(EXACT(metadata!O872,"air"),EXACT(metadata!O872,"built environment"),EXACT(metadata!O872,"host-associated"),EXACT(metadata!O872,"human-associated"),EXACT(metadata!O872,"human-skin"),EXACT(metadata!O872,"human-oral"),EXACT(metadata!O872,"human-gut"),EXACT(metadata!O872,"human-vaginal"),EXACT(metadata!O872,"microbial mat/biofilm"),EXACT(metadata!O872,"misc environment"),EXACT(metadata!O872,"plant-associated"),EXACT(metadata!O872,"sediment"),EXACT(metadata!O872,"soil"),EXACT(metadata!O872,"wastewater/sludge"),EXACT(metadata!O872,"water"))))</f>
        <v>0</v>
      </c>
      <c r="BA872" t="b">
        <f>IF(metadata!P872="",FALSE,TRUE)</f>
        <v>0</v>
      </c>
      <c r="BB872" t="b">
        <f>IF(metadata!Q872="",FALSE,TRUE)</f>
        <v>0</v>
      </c>
      <c r="BC872" t="b">
        <f>OR(AND(IF(metadata!R872="",FALSE,TRUE),OR(EXACT(metadata!R872,"missing: not collected"),EXACT(metadata!R872,"missing: not provided"),EXACT(metadata!R872,"missing: restricted access"))),AND(IF(metadata!R872="",FALSE,ISNUMBER(VALUE(metadata!R872))),metadata!R872&gt;=-90,metadata!R872&lt;=90))</f>
        <v>0</v>
      </c>
      <c r="BD872" t="b">
        <f>AND(IF(metadata!S872="",FALSE,TRUE),EXACT(metadata!S872,"Decimal degrees"))</f>
        <v>0</v>
      </c>
      <c r="BE872" t="b">
        <f>OR(AND(IF(metadata!T872="",FALSE,TRUE),OR(EXACT(metadata!T872,"missing: not collected"),EXACT(metadata!T872,"missing: not provided"),EXACT(metadata!T872,"missing: restricted access"))),AND(IF(metadata!T872="",FALSE,ISNUMBER(VALUE(metadata!T872))),metadata!T872&gt;=-180,metadata!T872&lt;=180))</f>
        <v>0</v>
      </c>
      <c r="BF872" t="b">
        <f>AND(IF(metadata!U872="",FALSE,TRUE),EXACT(metadata!U872,"Decimal degrees"))</f>
        <v>0</v>
      </c>
      <c r="BG872" t="b">
        <f>IF(metadata!V872="",FALSE,TRUE)</f>
        <v>0</v>
      </c>
      <c r="BH872" t="b">
        <f>OR(AND(IF(metadata!W872="",FALSE,TRUE),OR(EXACT(metadata!W872,"missing: not collected"),EXACT(metadata!W872,"missing: not provided"),EXACT(metadata!W872,"missing: restricted access"))),AND(IF(metadata!W872="",FALSE,TRUE),OR(EXACT(metadata!W872,"TRUE"),EXACT(metadata!W872,"FALSE"))))</f>
        <v>0</v>
      </c>
      <c r="BI872" t="b">
        <f>AND(IF(metadata!X872="",FALSE,TRUE),EXACT(metadata!X872,"other"))</f>
        <v>0</v>
      </c>
      <c r="BJ872" t="b">
        <f>IF(metadata!Y872="",FALSE,TRUE)</f>
        <v>0</v>
      </c>
      <c r="BK872" t="b">
        <f>OR(AND(IF(metadata!Z872="",FALSE,TRUE),OR(EXACT(metadata!Z872,"missing: not collected"),EXACT(metadata!Z872,"missing: not provided"))),AND(IF(metadata!Z872="",FALSE,IF(ISERROR(INT(metadata!Z872)),FALSE,INT(metadata!Z872)=metadata!Z872)),metadata!Z872&gt;0))</f>
        <v>0</v>
      </c>
      <c r="BL872" t="b">
        <f>AND(IF(metadata!AA872="",FALSE,TRUE),EXACT(metadata!AA872,"Not applicable"))</f>
        <v>0</v>
      </c>
      <c r="BM872" t="b">
        <f>IF(metadata!AB872="",FALSE,TRUE)</f>
        <v>0</v>
      </c>
    </row>
    <row r="873" spans="1:65" x14ac:dyDescent="0.2">
      <c r="A873" s="5" t="str">
        <f ca="1">IF(B873=" "," ",HYPERLINK(CONCATENATE("#metadata!",ADDRESS(INDEX($AH$2:$AH$1001,MATCH(ROWS($AF$2:AF873),$AF$2:$AF$1001,0),0),1)),INDEX($AK$2:$AK$1001,MATCH(ROWS($AF$2:AF873),$AF$2:$AF$1001,0),0)))</f>
        <v xml:space="preserve"> </v>
      </c>
      <c r="B873" s="4" t="str">
        <f ca="1">IF(OR(INDEX($AG$2:$AG$1001,MATCH(ROWS($AF$2:AF873),$AF$2:$AF$1001,0),1)&gt;=100000,INDEX($AM$1005:$BM$1005,1,MATCH(COLUMNS($AM$1006:AM1006),$AM$1006:$BM$1006,0))&gt;=100000), " ",IF(INDEX($AM$2:$BM$1001,MATCH(ROWS($AF$2:AF873),$AF$2:$AF$1001,0),MATCH(COLUMNS($AM$1006:AM1006),$AM$1006:$BM$1006,0)), HYPERLINK("#",""), HYPERLINK(CONCATENATE("#metadata!", ADDRESS(INDEX($AH$2:$AH$1001,MATCH(ROWS($AF$2:AF873),$AF$2:$AF$1001,0),0), INDEX($AM$1004:$BM$1004,1,MATCH(COLUMNS($AM$1006:AM1006),$AM$1006:$BM$1006,0)))),"Fix")))</f>
        <v xml:space="preserve"> </v>
      </c>
      <c r="C873" s="4" t="str">
        <f ca="1">IF(OR(INDEX($AG$2:$AG$1001,MATCH(ROWS($AF$2:AF873),$AF$2:$AF$1001,0),1)&gt;=100000,INDEX($AM$1005:$BM$1005,1,MATCH(COLUMNS($AM$1006:AN1006),$AM$1006:$BM$1006,0))&gt;=100000), " ",IF(INDEX($AM$2:$BM$1001,MATCH(ROWS($AF$2:AF873),$AF$2:$AF$1001,0),MATCH(COLUMNS($AM$1006:AN1006),$AM$1006:$BM$1006,0)), HYPERLINK("#",""), HYPERLINK(CONCATENATE("#metadata!", ADDRESS(INDEX($AH$2:$AH$1001,MATCH(ROWS($AF$2:AF873),$AF$2:$AF$1001,0),0), INDEX($AM$1004:$BM$1004,1,MATCH(COLUMNS($AM$1006:AN1006),$AM$1006:$BM$1006,0)))),"Fix")))</f>
        <v xml:space="preserve"> </v>
      </c>
      <c r="D873" s="4" t="str">
        <f ca="1">IF(OR(INDEX($AG$2:$AG$1001,MATCH(ROWS($AF$2:AF873),$AF$2:$AF$1001,0),1)&gt;=100000,INDEX($AM$1005:$BM$1005,1,MATCH(COLUMNS($AM$1006:AO1006),$AM$1006:$BM$1006,0))&gt;=100000), " ",IF(INDEX($AM$2:$BM$1001,MATCH(ROWS($AF$2:AF873),$AF$2:$AF$1001,0),MATCH(COLUMNS($AM$1006:AO1006),$AM$1006:$BM$1006,0)), HYPERLINK("#",""), HYPERLINK(CONCATENATE("#metadata!", ADDRESS(INDEX($AH$2:$AH$1001,MATCH(ROWS($AF$2:AF873),$AF$2:$AF$1001,0),0), INDEX($AM$1004:$BM$1004,1,MATCH(COLUMNS($AM$1006:AO1006),$AM$1006:$BM$1006,0)))),"Fix")))</f>
        <v xml:space="preserve"> </v>
      </c>
      <c r="E873" s="4" t="str">
        <f ca="1">IF(OR(INDEX($AG$2:$AG$1001,MATCH(ROWS($AF$2:AF873),$AF$2:$AF$1001,0),1)&gt;=100000,INDEX($AM$1005:$BM$1005,1,MATCH(COLUMNS($AM$1006:AP1006),$AM$1006:$BM$1006,0))&gt;=100000), " ",IF(INDEX($AM$2:$BM$1001,MATCH(ROWS($AF$2:AF873),$AF$2:$AF$1001,0),MATCH(COLUMNS($AM$1006:AP1006),$AM$1006:$BM$1006,0)), HYPERLINK("#",""), HYPERLINK(CONCATENATE("#metadata!", ADDRESS(INDEX($AH$2:$AH$1001,MATCH(ROWS($AF$2:AF873),$AF$2:$AF$1001,0),0), INDEX($AM$1004:$BM$1004,1,MATCH(COLUMNS($AM$1006:AP1006),$AM$1006:$BM$1006,0)))),"Fix")))</f>
        <v xml:space="preserve"> </v>
      </c>
      <c r="F873" s="4" t="str">
        <f ca="1">IF(OR(INDEX($AG$2:$AG$1001,MATCH(ROWS($AF$2:AF873),$AF$2:$AF$1001,0),1)&gt;=100000,INDEX($AM$1005:$BM$1005,1,MATCH(COLUMNS($AM$1006:AQ1006),$AM$1006:$BM$1006,0))&gt;=100000), " ",IF(INDEX($AM$2:$BM$1001,MATCH(ROWS($AF$2:AF873),$AF$2:$AF$1001,0),MATCH(COLUMNS($AM$1006:AQ1006),$AM$1006:$BM$1006,0)), HYPERLINK("#",""), HYPERLINK(CONCATENATE("#metadata!", ADDRESS(INDEX($AH$2:$AH$1001,MATCH(ROWS($AF$2:AF873),$AF$2:$AF$1001,0),0), INDEX($AM$1004:$BM$1004,1,MATCH(COLUMNS($AM$1006:AQ1006),$AM$1006:$BM$1006,0)))),"Fix")))</f>
        <v xml:space="preserve"> </v>
      </c>
      <c r="G873" s="4" t="str">
        <f ca="1">IF(OR(INDEX($AG$2:$AG$1001,MATCH(ROWS($AF$2:AF873),$AF$2:$AF$1001,0),1)&gt;=100000,INDEX($AM$1005:$BM$1005,1,MATCH(COLUMNS($AM$1006:AR1006),$AM$1006:$BM$1006,0))&gt;=100000), " ",IF(INDEX($AM$2:$BM$1001,MATCH(ROWS($AF$2:AF873),$AF$2:$AF$1001,0),MATCH(COLUMNS($AM$1006:AR1006),$AM$1006:$BM$1006,0)), HYPERLINK("#",""), HYPERLINK(CONCATENATE("#metadata!", ADDRESS(INDEX($AH$2:$AH$1001,MATCH(ROWS($AF$2:AF873),$AF$2:$AF$1001,0),0), INDEX($AM$1004:$BM$1004,1,MATCH(COLUMNS($AM$1006:AR1006),$AM$1006:$BM$1006,0)))),"Fix")))</f>
        <v xml:space="preserve"> </v>
      </c>
      <c r="H873" s="4" t="str">
        <f ca="1">IF(OR(INDEX($AG$2:$AG$1001,MATCH(ROWS($AF$2:AF873),$AF$2:$AF$1001,0),1)&gt;=100000,INDEX($AM$1005:$BM$1005,1,MATCH(COLUMNS($AM$1006:AS1006),$AM$1006:$BM$1006,0))&gt;=100000), " ",IF(INDEX($AM$2:$BM$1001,MATCH(ROWS($AF$2:AF873),$AF$2:$AF$1001,0),MATCH(COLUMNS($AM$1006:AS1006),$AM$1006:$BM$1006,0)), HYPERLINK("#",""), HYPERLINK(CONCATENATE("#metadata!", ADDRESS(INDEX($AH$2:$AH$1001,MATCH(ROWS($AF$2:AF873),$AF$2:$AF$1001,0),0), INDEX($AM$1004:$BM$1004,1,MATCH(COLUMNS($AM$1006:AS1006),$AM$1006:$BM$1006,0)))),"Fix")))</f>
        <v xml:space="preserve"> </v>
      </c>
      <c r="I873" s="4" t="str">
        <f ca="1">IF(OR(INDEX($AG$2:$AG$1001,MATCH(ROWS($AF$2:AF873),$AF$2:$AF$1001,0),1)&gt;=100000,INDEX($AM$1005:$BM$1005,1,MATCH(COLUMNS($AM$1006:AT1006),$AM$1006:$BM$1006,0))&gt;=100000), " ",IF(INDEX($AM$2:$BM$1001,MATCH(ROWS($AF$2:AF873),$AF$2:$AF$1001,0),MATCH(COLUMNS($AM$1006:AT1006),$AM$1006:$BM$1006,0)), HYPERLINK("#",""), HYPERLINK(CONCATENATE("#metadata!", ADDRESS(INDEX($AH$2:$AH$1001,MATCH(ROWS($AF$2:AF873),$AF$2:$AF$1001,0),0), INDEX($AM$1004:$BM$1004,1,MATCH(COLUMNS($AM$1006:AT1006),$AM$1006:$BM$1006,0)))),"Fix")))</f>
        <v xml:space="preserve"> </v>
      </c>
      <c r="J873" s="4" t="str">
        <f ca="1">IF(OR(INDEX($AG$2:$AG$1001,MATCH(ROWS($AF$2:AF873),$AF$2:$AF$1001,0),1)&gt;=100000,INDEX($AM$1005:$BM$1005,1,MATCH(COLUMNS($AM$1006:AU1006),$AM$1006:$BM$1006,0))&gt;=100000), " ",IF(INDEX($AM$2:$BM$1001,MATCH(ROWS($AF$2:AF873),$AF$2:$AF$1001,0),MATCH(COLUMNS($AM$1006:AU1006),$AM$1006:$BM$1006,0)), HYPERLINK("#",""), HYPERLINK(CONCATENATE("#metadata!", ADDRESS(INDEX($AH$2:$AH$1001,MATCH(ROWS($AF$2:AF873),$AF$2:$AF$1001,0),0), INDEX($AM$1004:$BM$1004,1,MATCH(COLUMNS($AM$1006:AU1006),$AM$1006:$BM$1006,0)))),"Fix")))</f>
        <v xml:space="preserve"> </v>
      </c>
      <c r="K873" s="4" t="str">
        <f ca="1">IF(OR(INDEX($AG$2:$AG$1001,MATCH(ROWS($AF$2:AF873),$AF$2:$AF$1001,0),1)&gt;=100000,INDEX($AM$1005:$BM$1005,1,MATCH(COLUMNS($AM$1006:AV1006),$AM$1006:$BM$1006,0))&gt;=100000), " ",IF(INDEX($AM$2:$BM$1001,MATCH(ROWS($AF$2:AF873),$AF$2:$AF$1001,0),MATCH(COLUMNS($AM$1006:AV1006),$AM$1006:$BM$1006,0)), HYPERLINK("#",""), HYPERLINK(CONCATENATE("#metadata!", ADDRESS(INDEX($AH$2:$AH$1001,MATCH(ROWS($AF$2:AF873),$AF$2:$AF$1001,0),0), INDEX($AM$1004:$BM$1004,1,MATCH(COLUMNS($AM$1006:AV1006),$AM$1006:$BM$1006,0)))),"Fix")))</f>
        <v xml:space="preserve"> </v>
      </c>
      <c r="L873" s="4" t="str">
        <f ca="1">IF(OR(INDEX($AG$2:$AG$1001,MATCH(ROWS($AF$2:AF873),$AF$2:$AF$1001,0),1)&gt;=100000,INDEX($AM$1005:$BM$1005,1,MATCH(COLUMNS($AM$1006:AW1006),$AM$1006:$BM$1006,0))&gt;=100000), " ",IF(INDEX($AM$2:$BM$1001,MATCH(ROWS($AF$2:AF873),$AF$2:$AF$1001,0),MATCH(COLUMNS($AM$1006:AW1006),$AM$1006:$BM$1006,0)), HYPERLINK("#",""), HYPERLINK(CONCATENATE("#metadata!", ADDRESS(INDEX($AH$2:$AH$1001,MATCH(ROWS($AF$2:AF873),$AF$2:$AF$1001,0),0), INDEX($AM$1004:$BM$1004,1,MATCH(COLUMNS($AM$1006:AW1006),$AM$1006:$BM$1006,0)))),"Fix")))</f>
        <v xml:space="preserve"> </v>
      </c>
      <c r="M873" s="4" t="str">
        <f ca="1">IF(OR(INDEX($AG$2:$AG$1001,MATCH(ROWS($AF$2:AF873),$AF$2:$AF$1001,0),1)&gt;=100000,INDEX($AM$1005:$BM$1005,1,MATCH(COLUMNS($AM$1006:AX1006),$AM$1006:$BM$1006,0))&gt;=100000), " ",IF(INDEX($AM$2:$BM$1001,MATCH(ROWS($AF$2:AF873),$AF$2:$AF$1001,0),MATCH(COLUMNS($AM$1006:AX1006),$AM$1006:$BM$1006,0)), HYPERLINK("#",""), HYPERLINK(CONCATENATE("#metadata!", ADDRESS(INDEX($AH$2:$AH$1001,MATCH(ROWS($AF$2:AF873),$AF$2:$AF$1001,0),0), INDEX($AM$1004:$BM$1004,1,MATCH(COLUMNS($AM$1006:AX1006),$AM$1006:$BM$1006,0)))),"Fix")))</f>
        <v xml:space="preserve"> </v>
      </c>
      <c r="N873" s="4" t="str">
        <f ca="1">IF(OR(INDEX($AG$2:$AG$1001,MATCH(ROWS($AF$2:AF873),$AF$2:$AF$1001,0),1)&gt;=100000,INDEX($AM$1005:$BM$1005,1,MATCH(COLUMNS($AM$1006:AY1006),$AM$1006:$BM$1006,0))&gt;=100000), " ",IF(INDEX($AM$2:$BM$1001,MATCH(ROWS($AF$2:AF873),$AF$2:$AF$1001,0),MATCH(COLUMNS($AM$1006:AY1006),$AM$1006:$BM$1006,0)), HYPERLINK("#",""), HYPERLINK(CONCATENATE("#metadata!", ADDRESS(INDEX($AH$2:$AH$1001,MATCH(ROWS($AF$2:AF873),$AF$2:$AF$1001,0),0), INDEX($AM$1004:$BM$1004,1,MATCH(COLUMNS($AM$1006:AY1006),$AM$1006:$BM$1006,0)))),"Fix")))</f>
        <v xml:space="preserve"> </v>
      </c>
      <c r="O873" s="4" t="str">
        <f ca="1">IF(OR(INDEX($AG$2:$AG$1001,MATCH(ROWS($AF$2:AF873),$AF$2:$AF$1001,0),1)&gt;=100000,INDEX($AM$1005:$BM$1005,1,MATCH(COLUMNS($AM$1006:AZ1006),$AM$1006:$BM$1006,0))&gt;=100000), " ",IF(INDEX($AM$2:$BM$1001,MATCH(ROWS($AF$2:AF873),$AF$2:$AF$1001,0),MATCH(COLUMNS($AM$1006:AZ1006),$AM$1006:$BM$1006,0)), HYPERLINK("#",""), HYPERLINK(CONCATENATE("#metadata!", ADDRESS(INDEX($AH$2:$AH$1001,MATCH(ROWS($AF$2:AF873),$AF$2:$AF$1001,0),0), INDEX($AM$1004:$BM$1004,1,MATCH(COLUMNS($AM$1006:AZ1006),$AM$1006:$BM$1006,0)))),"Fix")))</f>
        <v xml:space="preserve"> </v>
      </c>
      <c r="P873" s="4" t="str">
        <f ca="1">IF(OR(INDEX($AG$2:$AG$1001,MATCH(ROWS($AF$2:AF873),$AF$2:$AF$1001,0),1)&gt;=100000,INDEX($AM$1005:$BM$1005,1,MATCH(COLUMNS($AM$1006:BA1006),$AM$1006:$BM$1006,0))&gt;=100000), " ",IF(INDEX($AM$2:$BM$1001,MATCH(ROWS($AF$2:AF873),$AF$2:$AF$1001,0),MATCH(COLUMNS($AM$1006:BA1006),$AM$1006:$BM$1006,0)), HYPERLINK("#",""), HYPERLINK(CONCATENATE("#metadata!", ADDRESS(INDEX($AH$2:$AH$1001,MATCH(ROWS($AF$2:AF873),$AF$2:$AF$1001,0),0), INDEX($AM$1004:$BM$1004,1,MATCH(COLUMNS($AM$1006:BA1006),$AM$1006:$BM$1006,0)))),"Fix")))</f>
        <v xml:space="preserve"> </v>
      </c>
      <c r="Q873" s="4" t="str">
        <f ca="1">IF(OR(INDEX($AG$2:$AG$1001,MATCH(ROWS($AF$2:AF873),$AF$2:$AF$1001,0),1)&gt;=100000,INDEX($AM$1005:$BM$1005,1,MATCH(COLUMNS($AM$1006:BB1006),$AM$1006:$BM$1006,0))&gt;=100000), " ",IF(INDEX($AM$2:$BM$1001,MATCH(ROWS($AF$2:AF873),$AF$2:$AF$1001,0),MATCH(COLUMNS($AM$1006:BB1006),$AM$1006:$BM$1006,0)), HYPERLINK("#",""), HYPERLINK(CONCATENATE("#metadata!", ADDRESS(INDEX($AH$2:$AH$1001,MATCH(ROWS($AF$2:AF873),$AF$2:$AF$1001,0),0), INDEX($AM$1004:$BM$1004,1,MATCH(COLUMNS($AM$1006:BB1006),$AM$1006:$BM$1006,0)))),"Fix")))</f>
        <v xml:space="preserve"> </v>
      </c>
      <c r="R873" s="4" t="str">
        <f ca="1">IF(OR(INDEX($AG$2:$AG$1001,MATCH(ROWS($AF$2:AF873),$AF$2:$AF$1001,0),1)&gt;=100000,INDEX($AM$1005:$BM$1005,1,MATCH(COLUMNS($AM$1006:BC1006),$AM$1006:$BM$1006,0))&gt;=100000), " ",IF(INDEX($AM$2:$BM$1001,MATCH(ROWS($AF$2:AF873),$AF$2:$AF$1001,0),MATCH(COLUMNS($AM$1006:BC1006),$AM$1006:$BM$1006,0)), HYPERLINK("#",""), HYPERLINK(CONCATENATE("#metadata!", ADDRESS(INDEX($AH$2:$AH$1001,MATCH(ROWS($AF$2:AF873),$AF$2:$AF$1001,0),0), INDEX($AM$1004:$BM$1004,1,MATCH(COLUMNS($AM$1006:BC1006),$AM$1006:$BM$1006,0)))),"Fix")))</f>
        <v xml:space="preserve"> </v>
      </c>
      <c r="S873" s="4" t="str">
        <f ca="1">IF(OR(INDEX($AG$2:$AG$1001,MATCH(ROWS($AF$2:AF873),$AF$2:$AF$1001,0),1)&gt;=100000,INDEX($AM$1005:$BM$1005,1,MATCH(COLUMNS($AM$1006:BD1006),$AM$1006:$BM$1006,0))&gt;=100000), " ",IF(INDEX($AM$2:$BM$1001,MATCH(ROWS($AF$2:AF873),$AF$2:$AF$1001,0),MATCH(COLUMNS($AM$1006:BD1006),$AM$1006:$BM$1006,0)), HYPERLINK("#",""), HYPERLINK(CONCATENATE("#metadata!", ADDRESS(INDEX($AH$2:$AH$1001,MATCH(ROWS($AF$2:AF873),$AF$2:$AF$1001,0),0), INDEX($AM$1004:$BM$1004,1,MATCH(COLUMNS($AM$1006:BD1006),$AM$1006:$BM$1006,0)))),"Fix")))</f>
        <v xml:space="preserve"> </v>
      </c>
      <c r="T873" s="4" t="str">
        <f ca="1">IF(OR(INDEX($AG$2:$AG$1001,MATCH(ROWS($AF$2:AF873),$AF$2:$AF$1001,0),1)&gt;=100000,INDEX($AM$1005:$BM$1005,1,MATCH(COLUMNS($AM$1006:BE1006),$AM$1006:$BM$1006,0))&gt;=100000), " ",IF(INDEX($AM$2:$BM$1001,MATCH(ROWS($AF$2:AF873),$AF$2:$AF$1001,0),MATCH(COLUMNS($AM$1006:BE1006),$AM$1006:$BM$1006,0)), HYPERLINK("#",""), HYPERLINK(CONCATENATE("#metadata!", ADDRESS(INDEX($AH$2:$AH$1001,MATCH(ROWS($AF$2:AF873),$AF$2:$AF$1001,0),0), INDEX($AM$1004:$BM$1004,1,MATCH(COLUMNS($AM$1006:BE1006),$AM$1006:$BM$1006,0)))),"Fix")))</f>
        <v xml:space="preserve"> </v>
      </c>
      <c r="U873" s="4" t="str">
        <f ca="1">IF(OR(INDEX($AG$2:$AG$1001,MATCH(ROWS($AF$2:AF873),$AF$2:$AF$1001,0),1)&gt;=100000,INDEX($AM$1005:$BM$1005,1,MATCH(COLUMNS($AM$1006:BF1006),$AM$1006:$BM$1006,0))&gt;=100000), " ",IF(INDEX($AM$2:$BM$1001,MATCH(ROWS($AF$2:AF873),$AF$2:$AF$1001,0),MATCH(COLUMNS($AM$1006:BF1006),$AM$1006:$BM$1006,0)), HYPERLINK("#",""), HYPERLINK(CONCATENATE("#metadata!", ADDRESS(INDEX($AH$2:$AH$1001,MATCH(ROWS($AF$2:AF873),$AF$2:$AF$1001,0),0), INDEX($AM$1004:$BM$1004,1,MATCH(COLUMNS($AM$1006:BF1006),$AM$1006:$BM$1006,0)))),"Fix")))</f>
        <v xml:space="preserve"> </v>
      </c>
      <c r="V873" s="4" t="str">
        <f ca="1">IF(OR(INDEX($AG$2:$AG$1001,MATCH(ROWS($AF$2:AF873),$AF$2:$AF$1001,0),1)&gt;=100000,INDEX($AM$1005:$BM$1005,1,MATCH(COLUMNS($AM$1006:BG1006),$AM$1006:$BM$1006,0))&gt;=100000), " ",IF(INDEX($AM$2:$BM$1001,MATCH(ROWS($AF$2:AF873),$AF$2:$AF$1001,0),MATCH(COLUMNS($AM$1006:BG1006),$AM$1006:$BM$1006,0)), HYPERLINK("#",""), HYPERLINK(CONCATENATE("#metadata!", ADDRESS(INDEX($AH$2:$AH$1001,MATCH(ROWS($AF$2:AF873),$AF$2:$AF$1001,0),0), INDEX($AM$1004:$BM$1004,1,MATCH(COLUMNS($AM$1006:BG1006),$AM$1006:$BM$1006,0)))),"Fix")))</f>
        <v xml:space="preserve"> </v>
      </c>
      <c r="W873" s="4" t="str">
        <f ca="1">IF(OR(INDEX($AG$2:$AG$1001,MATCH(ROWS($AF$2:AF873),$AF$2:$AF$1001,0),1)&gt;=100000,INDEX($AM$1005:$BM$1005,1,MATCH(COLUMNS($AM$1006:BH1006),$AM$1006:$BM$1006,0))&gt;=100000), " ",IF(INDEX($AM$2:$BM$1001,MATCH(ROWS($AF$2:AF873),$AF$2:$AF$1001,0),MATCH(COLUMNS($AM$1006:BH1006),$AM$1006:$BM$1006,0)), HYPERLINK("#",""), HYPERLINK(CONCATENATE("#metadata!", ADDRESS(INDEX($AH$2:$AH$1001,MATCH(ROWS($AF$2:AF873),$AF$2:$AF$1001,0),0), INDEX($AM$1004:$BM$1004,1,MATCH(COLUMNS($AM$1006:BH1006),$AM$1006:$BM$1006,0)))),"Fix")))</f>
        <v xml:space="preserve"> </v>
      </c>
      <c r="X873" s="4" t="str">
        <f ca="1">IF(OR(INDEX($AG$2:$AG$1001,MATCH(ROWS($AF$2:AF873),$AF$2:$AF$1001,0),1)&gt;=100000,INDEX($AM$1005:$BM$1005,1,MATCH(COLUMNS($AM$1006:BI1006),$AM$1006:$BM$1006,0))&gt;=100000), " ",IF(INDEX($AM$2:$BM$1001,MATCH(ROWS($AF$2:AF873),$AF$2:$AF$1001,0),MATCH(COLUMNS($AM$1006:BI1006),$AM$1006:$BM$1006,0)), HYPERLINK("#",""), HYPERLINK(CONCATENATE("#metadata!", ADDRESS(INDEX($AH$2:$AH$1001,MATCH(ROWS($AF$2:AF873),$AF$2:$AF$1001,0),0), INDEX($AM$1004:$BM$1004,1,MATCH(COLUMNS($AM$1006:BI1006),$AM$1006:$BM$1006,0)))),"Fix")))</f>
        <v xml:space="preserve"> </v>
      </c>
      <c r="Y873" s="4" t="str">
        <f ca="1">IF(OR(INDEX($AG$2:$AG$1001,MATCH(ROWS($AF$2:AF873),$AF$2:$AF$1001,0),1)&gt;=100000,INDEX($AM$1005:$BM$1005,1,MATCH(COLUMNS($AM$1006:BJ1006),$AM$1006:$BM$1006,0))&gt;=100000), " ",IF(INDEX($AM$2:$BM$1001,MATCH(ROWS($AF$2:AF873),$AF$2:$AF$1001,0),MATCH(COLUMNS($AM$1006:BJ1006),$AM$1006:$BM$1006,0)), HYPERLINK("#",""), HYPERLINK(CONCATENATE("#metadata!", ADDRESS(INDEX($AH$2:$AH$1001,MATCH(ROWS($AF$2:AF873),$AF$2:$AF$1001,0),0), INDEX($AM$1004:$BM$1004,1,MATCH(COLUMNS($AM$1006:BJ1006),$AM$1006:$BM$1006,0)))),"Fix")))</f>
        <v xml:space="preserve"> </v>
      </c>
      <c r="Z873" s="4" t="str">
        <f ca="1">IF(OR(INDEX($AG$2:$AG$1001,MATCH(ROWS($AF$2:AF873),$AF$2:$AF$1001,0),1)&gt;=100000,INDEX($AM$1005:$BM$1005,1,MATCH(COLUMNS($AM$1006:BK1006),$AM$1006:$BM$1006,0))&gt;=100000), " ",IF(INDEX($AM$2:$BM$1001,MATCH(ROWS($AF$2:AF873),$AF$2:$AF$1001,0),MATCH(COLUMNS($AM$1006:BK1006),$AM$1006:$BM$1006,0)), HYPERLINK("#",""), HYPERLINK(CONCATENATE("#metadata!", ADDRESS(INDEX($AH$2:$AH$1001,MATCH(ROWS($AF$2:AF873),$AF$2:$AF$1001,0),0), INDEX($AM$1004:$BM$1004,1,MATCH(COLUMNS($AM$1006:BK1006),$AM$1006:$BM$1006,0)))),"Fix")))</f>
        <v xml:space="preserve"> </v>
      </c>
      <c r="AA873" s="4" t="str">
        <f ca="1">IF(OR(INDEX($AG$2:$AG$1001,MATCH(ROWS($AF$2:AF873),$AF$2:$AF$1001,0),1)&gt;=100000,INDEX($AM$1005:$BM$1005,1,MATCH(COLUMNS($AM$1006:BL1006),$AM$1006:$BM$1006,0))&gt;=100000), " ",IF(INDEX($AM$2:$BM$1001,MATCH(ROWS($AF$2:AF873),$AF$2:$AF$1001,0),MATCH(COLUMNS($AM$1006:BL1006),$AM$1006:$BM$1006,0)), HYPERLINK("#",""), HYPERLINK(CONCATENATE("#metadata!", ADDRESS(INDEX($AH$2:$AH$1001,MATCH(ROWS($AF$2:AF873),$AF$2:$AF$1001,0),0), INDEX($AM$1004:$BM$1004,1,MATCH(COLUMNS($AM$1006:BL1006),$AM$1006:$BM$1006,0)))),"Fix")))</f>
        <v xml:space="preserve"> </v>
      </c>
      <c r="AB873" s="4" t="str">
        <f ca="1">IF(OR(INDEX($AG$2:$AG$1001,MATCH(ROWS($AF$2:AF873),$AF$2:$AF$1001,0),1)&gt;=100000,INDEX($AM$1005:$BM$1005,1,MATCH(COLUMNS($AM$1006:BM1006),$AM$1006:$BM$1006,0))&gt;=100000), " ",IF(INDEX($AM$2:$BM$1001,MATCH(ROWS($AF$2:AF873),$AF$2:$AF$1001,0),MATCH(COLUMNS($AM$1006:BM1006),$AM$1006:$BM$1006,0)), HYPERLINK("#",""), HYPERLINK(CONCATENATE("#metadata!", ADDRESS(INDEX($AH$2:$AH$1001,MATCH(ROWS($AF$2:AF873),$AF$2:$AF$1001,0),0), INDEX($AM$1004:$BM$1004,1,MATCH(COLUMNS($AM$1006:BM1006),$AM$1006:$BM$1006,0)))),"Fix")))</f>
        <v xml:space="preserve"> </v>
      </c>
      <c r="AF873">
        <v>872</v>
      </c>
      <c r="AG873">
        <v>100873</v>
      </c>
      <c r="AH873">
        <v>873</v>
      </c>
      <c r="AI873" t="b">
        <f t="shared" si="13"/>
        <v>1</v>
      </c>
      <c r="AJ873" t="b">
        <f>COUNTBLANK(metadata!B873:AB873)=COLUMNS(metadata!B873:AB873)</f>
        <v>1</v>
      </c>
      <c r="AK873" t="str">
        <v/>
      </c>
      <c r="AM873" t="b">
        <f ca="1">AND(IF(metadata!B873="",FALSE,TRUE),COUNTIF(metadata!B:B, metadata!B873) = 1,NOT(ISERROR(SUMPRODUCT(SEARCH(MID(metadata!B873,ROW(INDIRECT("1:"&amp;LEN(metadata!B873))), 1),"0123456789abcdefghijklmnopqrstuvwxyzABCDEFGHIJKLMNOPQRSTUVWXYZ.")))))</f>
        <v>0</v>
      </c>
      <c r="AN873" t="b">
        <f ca="1">OR(AND(IF(metadata!C873="",FALSE,TRUE),OR(EXACT(metadata!C873,"missing: not collected"),EXACT(metadata!C873,"missing: not provided"),EXACT(metadata!C873,"missing: restricted access"))),AND(IF(metadata!C873="",FALSE,TRUE),AND(AND(IFERROR(INT(LEFT(metadata!C873,4))&gt;1900,FALSE),IFERROR(INT(LEFT(metadata!C873,4))&lt;=YEAR(NOW()),FALSE)), OR(MID(metadata!C873,5,1)="", AND(AND(MID(metadata!C873,5,1)="-",IFERROR(INT(MID(metadata!C873,6,1))&gt;=0,FALSE),IFERROR(INT(MID(metadata!C873,6,1))&lt;=1,FALSE),NOT(MID(metadata!C873,7,1)=""),IFERROR(INT(MID(metadata!C873,6,2))&gt;=1,FALSE),IFERROR(INT(MID(metadata!C873,6,2))&lt;=12,FALSE)), OR(MID(metadata!C873,8,1)="", AND(AND(MID(metadata!C873,8,1)="-",IFERROR(INT(MID(metadata!C873,9,1))&gt;=0,FALSE),IFERROR(INT(MID(metadata!C873,9,1))&lt;=3,FALSE),NOT(MID(metadata!C873,10,1)=""),IFERROR(INT(MID(metadata!C873,9,2))&gt;=1,FALSE),IFERROR(INT(MID(metadata!C873,9,2))&lt;=31,FALSE)), OR(MID(metadata!C873,11,1)="", AND(AND(MID(metadata!C873,11,1)=" ",IFERROR(INT(MID(metadata!C873,12,1))&gt;=0,FALSE),IFERROR(INT(MID(metadata!C873,12,1))&lt;=2,FALSE),NOT(MID(metadata!C873,13,1)=""),IFERROR(INT(MID(metadata!C873,12,2))&gt;=0,FALSE),IFERROR(INT(MID(metadata!C873,12,2))&lt;=23,FALSE)), OR(MID(metadata!C873,14,1)="", AND(AND(MID(metadata!C873,14,1)=":",IFERROR(INT(MID(metadata!C873,15,1))&gt;=0,FALSE),IFERROR(INT(MID(metadata!C873,15,1))&lt;=5,FALSE),NOT(MID(metadata!C873,16,1)=""),IFERROR(INT(MID(metadata!C873,15,2))&gt;=0,FALSE),IFERROR(INT(MID(metadata!C873,15,2))&lt;=59,FALSE)), OR(MID(metadata!C873,17,1)="", AND(AND(MID(metadata!C873,17,1)=":",IFERROR(INT(MID(metadata!C873,18,1))&gt;=0,FALSE),IFERROR(INT(MID(metadata!C873,18,1))&lt;=5,FALSE),NOT(MID(metadata!C873,19,1)=""),IFERROR(INT(MID(metadata!C873,18,2))&gt;=0,FALSE),IFERROR(INT(MID(metadata!C873,18,2))&lt;=59,FALSE)), LEN(metadata!C873)&lt;=19)))))))))))))</f>
        <v>0</v>
      </c>
      <c r="AO873" t="b">
        <f>AND(IF(metadata!D873="",FALSE,TRUE),EXACT(metadata!D873,"Not applicable"))</f>
        <v>0</v>
      </c>
      <c r="AP873" t="b">
        <f>IF(metadata!E873="",FALSE,TRUE)</f>
        <v>0</v>
      </c>
      <c r="AQ873" t="b">
        <f>OR(AND(IF(metadata!F873="",FALSE,TRUE),OR(EXACT(metadata!F873,"missing: not collected"),EXACT(metadata!F873,"missing: not provided"))),AND(IF(metadata!F873="",FALSE,TRUE),OR(EXACT(metadata!F873,"TRUE"),EXACT(metadata!F873,"FALSE"))))</f>
        <v>0</v>
      </c>
      <c r="AR873" t="b">
        <f>OR(AND(IF(metadata!G873="",FALSE,TRUE),OR(EXACT(metadata!G873,"missing: not collected"),EXACT(metadata!G873,"missing: not provided"),EXACT(metadata!G873,"missing: restricted access"))),AND(IF(metadata!G873="",FALSE,ISNUMBER(VALUE(metadata!G873))),metadata!G873&gt;=-413))</f>
        <v>0</v>
      </c>
      <c r="AS873" t="b">
        <f>AND(IF(metadata!H873="",FALSE,TRUE),EXACT(metadata!H873,"meters"))</f>
        <v>0</v>
      </c>
      <c r="AT873" t="b">
        <f>AND(IF(metadata!I873="",FALSE,TRUE),OR(EXACT(metadata!I873,"Host-associated"),EXACT(metadata!I873,"Free-living")))</f>
        <v>0</v>
      </c>
      <c r="AU873" t="b">
        <f>AND(IF(metadata!J873="",FALSE,TRUE),OR(EXACT(metadata!J873,"Animal"),EXACT(metadata!J873,"Fungus"),EXACT(metadata!J873,"Plant"),EXACT(metadata!J873,"Saline"),EXACT(metadata!J873,"Non-saline")))</f>
        <v>0</v>
      </c>
      <c r="AV873" t="b">
        <f>AND(IF(metadata!K873="",FALSE,TRUE),OR(EXACT(metadata!K873,"Plant secretion"),EXACT(metadata!K873,"Plant rhizosphere"),EXACT(metadata!K873,"Plant surface"),EXACT(metadata!K873,"Plant corpus"),EXACT(metadata!K873,"Fungus surface"),EXACT(metadata!K873,"Fungus corpus"),EXACT(metadata!K873,"Animal surface"),EXACT(metadata!K873,"Animal proximal gut"),EXACT(metadata!K873,"Animal corpus"),EXACT(metadata!K873,"Animal distal gut"),EXACT(metadata!K873,"Animal secretion"),EXACT(metadata!K873,"Sub-surface (non-saline)"),EXACT(metadata!K873,"Surface (non-saline)"),EXACT(metadata!K873,"Water (non-saline)"),EXACT(metadata!K873,"Soil (non-saline)"),EXACT(metadata!K873,"Aerosol (non-saline)"),EXACT(metadata!K873,"Sediment (non-saline)"),EXACT(metadata!K873,"Surface (saline)"),EXACT(metadata!K873,"Water (saline)"),EXACT(metadata!K873,"Hypersaline (saline)"),EXACT(metadata!K873,"Aerosol (saline)"),EXACT(metadata!K873,"Sediment (saline)")))</f>
        <v>0</v>
      </c>
      <c r="AW873" t="b">
        <f>IF(metadata!L873="",FALSE,TRUE)</f>
        <v>0</v>
      </c>
      <c r="AX873" t="b">
        <f>IF(metadata!M873="",FALSE,TRUE)</f>
        <v>0</v>
      </c>
      <c r="AY873" t="b">
        <f>IF(metadata!N873="",FALSE,TRUE)</f>
        <v>0</v>
      </c>
      <c r="AZ873" t="b">
        <f>OR(AND(IF(metadata!O873="",FALSE,TRUE),OR(EXACT(metadata!O873,"missing: not collected"),EXACT(metadata!O873,"missing: not provided"),EXACT(metadata!O873,"missing: restricted access"))),AND(IF(metadata!O873="",FALSE,TRUE),OR(EXACT(metadata!O873,"air"),EXACT(metadata!O873,"built environment"),EXACT(metadata!O873,"host-associated"),EXACT(metadata!O873,"human-associated"),EXACT(metadata!O873,"human-skin"),EXACT(metadata!O873,"human-oral"),EXACT(metadata!O873,"human-gut"),EXACT(metadata!O873,"human-vaginal"),EXACT(metadata!O873,"microbial mat/biofilm"),EXACT(metadata!O873,"misc environment"),EXACT(metadata!O873,"plant-associated"),EXACT(metadata!O873,"sediment"),EXACT(metadata!O873,"soil"),EXACT(metadata!O873,"wastewater/sludge"),EXACT(metadata!O873,"water"))))</f>
        <v>0</v>
      </c>
      <c r="BA873" t="b">
        <f>IF(metadata!P873="",FALSE,TRUE)</f>
        <v>0</v>
      </c>
      <c r="BB873" t="b">
        <f>IF(metadata!Q873="",FALSE,TRUE)</f>
        <v>0</v>
      </c>
      <c r="BC873" t="b">
        <f>OR(AND(IF(metadata!R873="",FALSE,TRUE),OR(EXACT(metadata!R873,"missing: not collected"),EXACT(metadata!R873,"missing: not provided"),EXACT(metadata!R873,"missing: restricted access"))),AND(IF(metadata!R873="",FALSE,ISNUMBER(VALUE(metadata!R873))),metadata!R873&gt;=-90,metadata!R873&lt;=90))</f>
        <v>0</v>
      </c>
      <c r="BD873" t="b">
        <f>AND(IF(metadata!S873="",FALSE,TRUE),EXACT(metadata!S873,"Decimal degrees"))</f>
        <v>0</v>
      </c>
      <c r="BE873" t="b">
        <f>OR(AND(IF(metadata!T873="",FALSE,TRUE),OR(EXACT(metadata!T873,"missing: not collected"),EXACT(metadata!T873,"missing: not provided"),EXACT(metadata!T873,"missing: restricted access"))),AND(IF(metadata!T873="",FALSE,ISNUMBER(VALUE(metadata!T873))),metadata!T873&gt;=-180,metadata!T873&lt;=180))</f>
        <v>0</v>
      </c>
      <c r="BF873" t="b">
        <f>AND(IF(metadata!U873="",FALSE,TRUE),EXACT(metadata!U873,"Decimal degrees"))</f>
        <v>0</v>
      </c>
      <c r="BG873" t="b">
        <f>IF(metadata!V873="",FALSE,TRUE)</f>
        <v>0</v>
      </c>
      <c r="BH873" t="b">
        <f>OR(AND(IF(metadata!W873="",FALSE,TRUE),OR(EXACT(metadata!W873,"missing: not collected"),EXACT(metadata!W873,"missing: not provided"),EXACT(metadata!W873,"missing: restricted access"))),AND(IF(metadata!W873="",FALSE,TRUE),OR(EXACT(metadata!W873,"TRUE"),EXACT(metadata!W873,"FALSE"))))</f>
        <v>0</v>
      </c>
      <c r="BI873" t="b">
        <f>AND(IF(metadata!X873="",FALSE,TRUE),EXACT(metadata!X873,"other"))</f>
        <v>0</v>
      </c>
      <c r="BJ873" t="b">
        <f>IF(metadata!Y873="",FALSE,TRUE)</f>
        <v>0</v>
      </c>
      <c r="BK873" t="b">
        <f>OR(AND(IF(metadata!Z873="",FALSE,TRUE),OR(EXACT(metadata!Z873,"missing: not collected"),EXACT(metadata!Z873,"missing: not provided"))),AND(IF(metadata!Z873="",FALSE,IF(ISERROR(INT(metadata!Z873)),FALSE,INT(metadata!Z873)=metadata!Z873)),metadata!Z873&gt;0))</f>
        <v>0</v>
      </c>
      <c r="BL873" t="b">
        <f>AND(IF(metadata!AA873="",FALSE,TRUE),EXACT(metadata!AA873,"Not applicable"))</f>
        <v>0</v>
      </c>
      <c r="BM873" t="b">
        <f>IF(metadata!AB873="",FALSE,TRUE)</f>
        <v>0</v>
      </c>
    </row>
    <row r="874" spans="1:65" x14ac:dyDescent="0.2">
      <c r="A874" s="5" t="str">
        <f ca="1">IF(B874=" "," ",HYPERLINK(CONCATENATE("#metadata!",ADDRESS(INDEX($AH$2:$AH$1001,MATCH(ROWS($AF$2:AF874),$AF$2:$AF$1001,0),0),1)),INDEX($AK$2:$AK$1001,MATCH(ROWS($AF$2:AF874),$AF$2:$AF$1001,0),0)))</f>
        <v xml:space="preserve"> </v>
      </c>
      <c r="B874" s="4" t="str">
        <f ca="1">IF(OR(INDEX($AG$2:$AG$1001,MATCH(ROWS($AF$2:AF874),$AF$2:$AF$1001,0),1)&gt;=100000,INDEX($AM$1005:$BM$1005,1,MATCH(COLUMNS($AM$1006:AM1006),$AM$1006:$BM$1006,0))&gt;=100000), " ",IF(INDEX($AM$2:$BM$1001,MATCH(ROWS($AF$2:AF874),$AF$2:$AF$1001,0),MATCH(COLUMNS($AM$1006:AM1006),$AM$1006:$BM$1006,0)), HYPERLINK("#",""), HYPERLINK(CONCATENATE("#metadata!", ADDRESS(INDEX($AH$2:$AH$1001,MATCH(ROWS($AF$2:AF874),$AF$2:$AF$1001,0),0), INDEX($AM$1004:$BM$1004,1,MATCH(COLUMNS($AM$1006:AM1006),$AM$1006:$BM$1006,0)))),"Fix")))</f>
        <v xml:space="preserve"> </v>
      </c>
      <c r="C874" s="4" t="str">
        <f ca="1">IF(OR(INDEX($AG$2:$AG$1001,MATCH(ROWS($AF$2:AF874),$AF$2:$AF$1001,0),1)&gt;=100000,INDEX($AM$1005:$BM$1005,1,MATCH(COLUMNS($AM$1006:AN1006),$AM$1006:$BM$1006,0))&gt;=100000), " ",IF(INDEX($AM$2:$BM$1001,MATCH(ROWS($AF$2:AF874),$AF$2:$AF$1001,0),MATCH(COLUMNS($AM$1006:AN1006),$AM$1006:$BM$1006,0)), HYPERLINK("#",""), HYPERLINK(CONCATENATE("#metadata!", ADDRESS(INDEX($AH$2:$AH$1001,MATCH(ROWS($AF$2:AF874),$AF$2:$AF$1001,0),0), INDEX($AM$1004:$BM$1004,1,MATCH(COLUMNS($AM$1006:AN1006),$AM$1006:$BM$1006,0)))),"Fix")))</f>
        <v xml:space="preserve"> </v>
      </c>
      <c r="D874" s="4" t="str">
        <f ca="1">IF(OR(INDEX($AG$2:$AG$1001,MATCH(ROWS($AF$2:AF874),$AF$2:$AF$1001,0),1)&gt;=100000,INDEX($AM$1005:$BM$1005,1,MATCH(COLUMNS($AM$1006:AO1006),$AM$1006:$BM$1006,0))&gt;=100000), " ",IF(INDEX($AM$2:$BM$1001,MATCH(ROWS($AF$2:AF874),$AF$2:$AF$1001,0),MATCH(COLUMNS($AM$1006:AO1006),$AM$1006:$BM$1006,0)), HYPERLINK("#",""), HYPERLINK(CONCATENATE("#metadata!", ADDRESS(INDEX($AH$2:$AH$1001,MATCH(ROWS($AF$2:AF874),$AF$2:$AF$1001,0),0), INDEX($AM$1004:$BM$1004,1,MATCH(COLUMNS($AM$1006:AO1006),$AM$1006:$BM$1006,0)))),"Fix")))</f>
        <v xml:space="preserve"> </v>
      </c>
      <c r="E874" s="4" t="str">
        <f ca="1">IF(OR(INDEX($AG$2:$AG$1001,MATCH(ROWS($AF$2:AF874),$AF$2:$AF$1001,0),1)&gt;=100000,INDEX($AM$1005:$BM$1005,1,MATCH(COLUMNS($AM$1006:AP1006),$AM$1006:$BM$1006,0))&gt;=100000), " ",IF(INDEX($AM$2:$BM$1001,MATCH(ROWS($AF$2:AF874),$AF$2:$AF$1001,0),MATCH(COLUMNS($AM$1006:AP1006),$AM$1006:$BM$1006,0)), HYPERLINK("#",""), HYPERLINK(CONCATENATE("#metadata!", ADDRESS(INDEX($AH$2:$AH$1001,MATCH(ROWS($AF$2:AF874),$AF$2:$AF$1001,0),0), INDEX($AM$1004:$BM$1004,1,MATCH(COLUMNS($AM$1006:AP1006),$AM$1006:$BM$1006,0)))),"Fix")))</f>
        <v xml:space="preserve"> </v>
      </c>
      <c r="F874" s="4" t="str">
        <f ca="1">IF(OR(INDEX($AG$2:$AG$1001,MATCH(ROWS($AF$2:AF874),$AF$2:$AF$1001,0),1)&gt;=100000,INDEX($AM$1005:$BM$1005,1,MATCH(COLUMNS($AM$1006:AQ1006),$AM$1006:$BM$1006,0))&gt;=100000), " ",IF(INDEX($AM$2:$BM$1001,MATCH(ROWS($AF$2:AF874),$AF$2:$AF$1001,0),MATCH(COLUMNS($AM$1006:AQ1006),$AM$1006:$BM$1006,0)), HYPERLINK("#",""), HYPERLINK(CONCATENATE("#metadata!", ADDRESS(INDEX($AH$2:$AH$1001,MATCH(ROWS($AF$2:AF874),$AF$2:$AF$1001,0),0), INDEX($AM$1004:$BM$1004,1,MATCH(COLUMNS($AM$1006:AQ1006),$AM$1006:$BM$1006,0)))),"Fix")))</f>
        <v xml:space="preserve"> </v>
      </c>
      <c r="G874" s="4" t="str">
        <f ca="1">IF(OR(INDEX($AG$2:$AG$1001,MATCH(ROWS($AF$2:AF874),$AF$2:$AF$1001,0),1)&gt;=100000,INDEX($AM$1005:$BM$1005,1,MATCH(COLUMNS($AM$1006:AR1006),$AM$1006:$BM$1006,0))&gt;=100000), " ",IF(INDEX($AM$2:$BM$1001,MATCH(ROWS($AF$2:AF874),$AF$2:$AF$1001,0),MATCH(COLUMNS($AM$1006:AR1006),$AM$1006:$BM$1006,0)), HYPERLINK("#",""), HYPERLINK(CONCATENATE("#metadata!", ADDRESS(INDEX($AH$2:$AH$1001,MATCH(ROWS($AF$2:AF874),$AF$2:$AF$1001,0),0), INDEX($AM$1004:$BM$1004,1,MATCH(COLUMNS($AM$1006:AR1006),$AM$1006:$BM$1006,0)))),"Fix")))</f>
        <v xml:space="preserve"> </v>
      </c>
      <c r="H874" s="4" t="str">
        <f ca="1">IF(OR(INDEX($AG$2:$AG$1001,MATCH(ROWS($AF$2:AF874),$AF$2:$AF$1001,0),1)&gt;=100000,INDEX($AM$1005:$BM$1005,1,MATCH(COLUMNS($AM$1006:AS1006),$AM$1006:$BM$1006,0))&gt;=100000), " ",IF(INDEX($AM$2:$BM$1001,MATCH(ROWS($AF$2:AF874),$AF$2:$AF$1001,0),MATCH(COLUMNS($AM$1006:AS1006),$AM$1006:$BM$1006,0)), HYPERLINK("#",""), HYPERLINK(CONCATENATE("#metadata!", ADDRESS(INDEX($AH$2:$AH$1001,MATCH(ROWS($AF$2:AF874),$AF$2:$AF$1001,0),0), INDEX($AM$1004:$BM$1004,1,MATCH(COLUMNS($AM$1006:AS1006),$AM$1006:$BM$1006,0)))),"Fix")))</f>
        <v xml:space="preserve"> </v>
      </c>
      <c r="I874" s="4" t="str">
        <f ca="1">IF(OR(INDEX($AG$2:$AG$1001,MATCH(ROWS($AF$2:AF874),$AF$2:$AF$1001,0),1)&gt;=100000,INDEX($AM$1005:$BM$1005,1,MATCH(COLUMNS($AM$1006:AT1006),$AM$1006:$BM$1006,0))&gt;=100000), " ",IF(INDEX($AM$2:$BM$1001,MATCH(ROWS($AF$2:AF874),$AF$2:$AF$1001,0),MATCH(COLUMNS($AM$1006:AT1006),$AM$1006:$BM$1006,0)), HYPERLINK("#",""), HYPERLINK(CONCATENATE("#metadata!", ADDRESS(INDEX($AH$2:$AH$1001,MATCH(ROWS($AF$2:AF874),$AF$2:$AF$1001,0),0), INDEX($AM$1004:$BM$1004,1,MATCH(COLUMNS($AM$1006:AT1006),$AM$1006:$BM$1006,0)))),"Fix")))</f>
        <v xml:space="preserve"> </v>
      </c>
      <c r="J874" s="4" t="str">
        <f ca="1">IF(OR(INDEX($AG$2:$AG$1001,MATCH(ROWS($AF$2:AF874),$AF$2:$AF$1001,0),1)&gt;=100000,INDEX($AM$1005:$BM$1005,1,MATCH(COLUMNS($AM$1006:AU1006),$AM$1006:$BM$1006,0))&gt;=100000), " ",IF(INDEX($AM$2:$BM$1001,MATCH(ROWS($AF$2:AF874),$AF$2:$AF$1001,0),MATCH(COLUMNS($AM$1006:AU1006),$AM$1006:$BM$1006,0)), HYPERLINK("#",""), HYPERLINK(CONCATENATE("#metadata!", ADDRESS(INDEX($AH$2:$AH$1001,MATCH(ROWS($AF$2:AF874),$AF$2:$AF$1001,0),0), INDEX($AM$1004:$BM$1004,1,MATCH(COLUMNS($AM$1006:AU1006),$AM$1006:$BM$1006,0)))),"Fix")))</f>
        <v xml:space="preserve"> </v>
      </c>
      <c r="K874" s="4" t="str">
        <f ca="1">IF(OR(INDEX($AG$2:$AG$1001,MATCH(ROWS($AF$2:AF874),$AF$2:$AF$1001,0),1)&gt;=100000,INDEX($AM$1005:$BM$1005,1,MATCH(COLUMNS($AM$1006:AV1006),$AM$1006:$BM$1006,0))&gt;=100000), " ",IF(INDEX($AM$2:$BM$1001,MATCH(ROWS($AF$2:AF874),$AF$2:$AF$1001,0),MATCH(COLUMNS($AM$1006:AV1006),$AM$1006:$BM$1006,0)), HYPERLINK("#",""), HYPERLINK(CONCATENATE("#metadata!", ADDRESS(INDEX($AH$2:$AH$1001,MATCH(ROWS($AF$2:AF874),$AF$2:$AF$1001,0),0), INDEX($AM$1004:$BM$1004,1,MATCH(COLUMNS($AM$1006:AV1006),$AM$1006:$BM$1006,0)))),"Fix")))</f>
        <v xml:space="preserve"> </v>
      </c>
      <c r="L874" s="4" t="str">
        <f ca="1">IF(OR(INDEX($AG$2:$AG$1001,MATCH(ROWS($AF$2:AF874),$AF$2:$AF$1001,0),1)&gt;=100000,INDEX($AM$1005:$BM$1005,1,MATCH(COLUMNS($AM$1006:AW1006),$AM$1006:$BM$1006,0))&gt;=100000), " ",IF(INDEX($AM$2:$BM$1001,MATCH(ROWS($AF$2:AF874),$AF$2:$AF$1001,0),MATCH(COLUMNS($AM$1006:AW1006),$AM$1006:$BM$1006,0)), HYPERLINK("#",""), HYPERLINK(CONCATENATE("#metadata!", ADDRESS(INDEX($AH$2:$AH$1001,MATCH(ROWS($AF$2:AF874),$AF$2:$AF$1001,0),0), INDEX($AM$1004:$BM$1004,1,MATCH(COLUMNS($AM$1006:AW1006),$AM$1006:$BM$1006,0)))),"Fix")))</f>
        <v xml:space="preserve"> </v>
      </c>
      <c r="M874" s="4" t="str">
        <f ca="1">IF(OR(INDEX($AG$2:$AG$1001,MATCH(ROWS($AF$2:AF874),$AF$2:$AF$1001,0),1)&gt;=100000,INDEX($AM$1005:$BM$1005,1,MATCH(COLUMNS($AM$1006:AX1006),$AM$1006:$BM$1006,0))&gt;=100000), " ",IF(INDEX($AM$2:$BM$1001,MATCH(ROWS($AF$2:AF874),$AF$2:$AF$1001,0),MATCH(COLUMNS($AM$1006:AX1006),$AM$1006:$BM$1006,0)), HYPERLINK("#",""), HYPERLINK(CONCATENATE("#metadata!", ADDRESS(INDEX($AH$2:$AH$1001,MATCH(ROWS($AF$2:AF874),$AF$2:$AF$1001,0),0), INDEX($AM$1004:$BM$1004,1,MATCH(COLUMNS($AM$1006:AX1006),$AM$1006:$BM$1006,0)))),"Fix")))</f>
        <v xml:space="preserve"> </v>
      </c>
      <c r="N874" s="4" t="str">
        <f ca="1">IF(OR(INDEX($AG$2:$AG$1001,MATCH(ROWS($AF$2:AF874),$AF$2:$AF$1001,0),1)&gt;=100000,INDEX($AM$1005:$BM$1005,1,MATCH(COLUMNS($AM$1006:AY1006),$AM$1006:$BM$1006,0))&gt;=100000), " ",IF(INDEX($AM$2:$BM$1001,MATCH(ROWS($AF$2:AF874),$AF$2:$AF$1001,0),MATCH(COLUMNS($AM$1006:AY1006),$AM$1006:$BM$1006,0)), HYPERLINK("#",""), HYPERLINK(CONCATENATE("#metadata!", ADDRESS(INDEX($AH$2:$AH$1001,MATCH(ROWS($AF$2:AF874),$AF$2:$AF$1001,0),0), INDEX($AM$1004:$BM$1004,1,MATCH(COLUMNS($AM$1006:AY1006),$AM$1006:$BM$1006,0)))),"Fix")))</f>
        <v xml:space="preserve"> </v>
      </c>
      <c r="O874" s="4" t="str">
        <f ca="1">IF(OR(INDEX($AG$2:$AG$1001,MATCH(ROWS($AF$2:AF874),$AF$2:$AF$1001,0),1)&gt;=100000,INDEX($AM$1005:$BM$1005,1,MATCH(COLUMNS($AM$1006:AZ1006),$AM$1006:$BM$1006,0))&gt;=100000), " ",IF(INDEX($AM$2:$BM$1001,MATCH(ROWS($AF$2:AF874),$AF$2:$AF$1001,0),MATCH(COLUMNS($AM$1006:AZ1006),$AM$1006:$BM$1006,0)), HYPERLINK("#",""), HYPERLINK(CONCATENATE("#metadata!", ADDRESS(INDEX($AH$2:$AH$1001,MATCH(ROWS($AF$2:AF874),$AF$2:$AF$1001,0),0), INDEX($AM$1004:$BM$1004,1,MATCH(COLUMNS($AM$1006:AZ1006),$AM$1006:$BM$1006,0)))),"Fix")))</f>
        <v xml:space="preserve"> </v>
      </c>
      <c r="P874" s="4" t="str">
        <f ca="1">IF(OR(INDEX($AG$2:$AG$1001,MATCH(ROWS($AF$2:AF874),$AF$2:$AF$1001,0),1)&gt;=100000,INDEX($AM$1005:$BM$1005,1,MATCH(COLUMNS($AM$1006:BA1006),$AM$1006:$BM$1006,0))&gt;=100000), " ",IF(INDEX($AM$2:$BM$1001,MATCH(ROWS($AF$2:AF874),$AF$2:$AF$1001,0),MATCH(COLUMNS($AM$1006:BA1006),$AM$1006:$BM$1006,0)), HYPERLINK("#",""), HYPERLINK(CONCATENATE("#metadata!", ADDRESS(INDEX($AH$2:$AH$1001,MATCH(ROWS($AF$2:AF874),$AF$2:$AF$1001,0),0), INDEX($AM$1004:$BM$1004,1,MATCH(COLUMNS($AM$1006:BA1006),$AM$1006:$BM$1006,0)))),"Fix")))</f>
        <v xml:space="preserve"> </v>
      </c>
      <c r="Q874" s="4" t="str">
        <f ca="1">IF(OR(INDEX($AG$2:$AG$1001,MATCH(ROWS($AF$2:AF874),$AF$2:$AF$1001,0),1)&gt;=100000,INDEX($AM$1005:$BM$1005,1,MATCH(COLUMNS($AM$1006:BB1006),$AM$1006:$BM$1006,0))&gt;=100000), " ",IF(INDEX($AM$2:$BM$1001,MATCH(ROWS($AF$2:AF874),$AF$2:$AF$1001,0),MATCH(COLUMNS($AM$1006:BB1006),$AM$1006:$BM$1006,0)), HYPERLINK("#",""), HYPERLINK(CONCATENATE("#metadata!", ADDRESS(INDEX($AH$2:$AH$1001,MATCH(ROWS($AF$2:AF874),$AF$2:$AF$1001,0),0), INDEX($AM$1004:$BM$1004,1,MATCH(COLUMNS($AM$1006:BB1006),$AM$1006:$BM$1006,0)))),"Fix")))</f>
        <v xml:space="preserve"> </v>
      </c>
      <c r="R874" s="4" t="str">
        <f ca="1">IF(OR(INDEX($AG$2:$AG$1001,MATCH(ROWS($AF$2:AF874),$AF$2:$AF$1001,0),1)&gt;=100000,INDEX($AM$1005:$BM$1005,1,MATCH(COLUMNS($AM$1006:BC1006),$AM$1006:$BM$1006,0))&gt;=100000), " ",IF(INDEX($AM$2:$BM$1001,MATCH(ROWS($AF$2:AF874),$AF$2:$AF$1001,0),MATCH(COLUMNS($AM$1006:BC1006),$AM$1006:$BM$1006,0)), HYPERLINK("#",""), HYPERLINK(CONCATENATE("#metadata!", ADDRESS(INDEX($AH$2:$AH$1001,MATCH(ROWS($AF$2:AF874),$AF$2:$AF$1001,0),0), INDEX($AM$1004:$BM$1004,1,MATCH(COLUMNS($AM$1006:BC1006),$AM$1006:$BM$1006,0)))),"Fix")))</f>
        <v xml:space="preserve"> </v>
      </c>
      <c r="S874" s="4" t="str">
        <f ca="1">IF(OR(INDEX($AG$2:$AG$1001,MATCH(ROWS($AF$2:AF874),$AF$2:$AF$1001,0),1)&gt;=100000,INDEX($AM$1005:$BM$1005,1,MATCH(COLUMNS($AM$1006:BD1006),$AM$1006:$BM$1006,0))&gt;=100000), " ",IF(INDEX($AM$2:$BM$1001,MATCH(ROWS($AF$2:AF874),$AF$2:$AF$1001,0),MATCH(COLUMNS($AM$1006:BD1006),$AM$1006:$BM$1006,0)), HYPERLINK("#",""), HYPERLINK(CONCATENATE("#metadata!", ADDRESS(INDEX($AH$2:$AH$1001,MATCH(ROWS($AF$2:AF874),$AF$2:$AF$1001,0),0), INDEX($AM$1004:$BM$1004,1,MATCH(COLUMNS($AM$1006:BD1006),$AM$1006:$BM$1006,0)))),"Fix")))</f>
        <v xml:space="preserve"> </v>
      </c>
      <c r="T874" s="4" t="str">
        <f ca="1">IF(OR(INDEX($AG$2:$AG$1001,MATCH(ROWS($AF$2:AF874),$AF$2:$AF$1001,0),1)&gt;=100000,INDEX($AM$1005:$BM$1005,1,MATCH(COLUMNS($AM$1006:BE1006),$AM$1006:$BM$1006,0))&gt;=100000), " ",IF(INDEX($AM$2:$BM$1001,MATCH(ROWS($AF$2:AF874),$AF$2:$AF$1001,0),MATCH(COLUMNS($AM$1006:BE1006),$AM$1006:$BM$1006,0)), HYPERLINK("#",""), HYPERLINK(CONCATENATE("#metadata!", ADDRESS(INDEX($AH$2:$AH$1001,MATCH(ROWS($AF$2:AF874),$AF$2:$AF$1001,0),0), INDEX($AM$1004:$BM$1004,1,MATCH(COLUMNS($AM$1006:BE1006),$AM$1006:$BM$1006,0)))),"Fix")))</f>
        <v xml:space="preserve"> </v>
      </c>
      <c r="U874" s="4" t="str">
        <f ca="1">IF(OR(INDEX($AG$2:$AG$1001,MATCH(ROWS($AF$2:AF874),$AF$2:$AF$1001,0),1)&gt;=100000,INDEX($AM$1005:$BM$1005,1,MATCH(COLUMNS($AM$1006:BF1006),$AM$1006:$BM$1006,0))&gt;=100000), " ",IF(INDEX($AM$2:$BM$1001,MATCH(ROWS($AF$2:AF874),$AF$2:$AF$1001,0),MATCH(COLUMNS($AM$1006:BF1006),$AM$1006:$BM$1006,0)), HYPERLINK("#",""), HYPERLINK(CONCATENATE("#metadata!", ADDRESS(INDEX($AH$2:$AH$1001,MATCH(ROWS($AF$2:AF874),$AF$2:$AF$1001,0),0), INDEX($AM$1004:$BM$1004,1,MATCH(COLUMNS($AM$1006:BF1006),$AM$1006:$BM$1006,0)))),"Fix")))</f>
        <v xml:space="preserve"> </v>
      </c>
      <c r="V874" s="4" t="str">
        <f ca="1">IF(OR(INDEX($AG$2:$AG$1001,MATCH(ROWS($AF$2:AF874),$AF$2:$AF$1001,0),1)&gt;=100000,INDEX($AM$1005:$BM$1005,1,MATCH(COLUMNS($AM$1006:BG1006),$AM$1006:$BM$1006,0))&gt;=100000), " ",IF(INDEX($AM$2:$BM$1001,MATCH(ROWS($AF$2:AF874),$AF$2:$AF$1001,0),MATCH(COLUMNS($AM$1006:BG1006),$AM$1006:$BM$1006,0)), HYPERLINK("#",""), HYPERLINK(CONCATENATE("#metadata!", ADDRESS(INDEX($AH$2:$AH$1001,MATCH(ROWS($AF$2:AF874),$AF$2:$AF$1001,0),0), INDEX($AM$1004:$BM$1004,1,MATCH(COLUMNS($AM$1006:BG1006),$AM$1006:$BM$1006,0)))),"Fix")))</f>
        <v xml:space="preserve"> </v>
      </c>
      <c r="W874" s="4" t="str">
        <f ca="1">IF(OR(INDEX($AG$2:$AG$1001,MATCH(ROWS($AF$2:AF874),$AF$2:$AF$1001,0),1)&gt;=100000,INDEX($AM$1005:$BM$1005,1,MATCH(COLUMNS($AM$1006:BH1006),$AM$1006:$BM$1006,0))&gt;=100000), " ",IF(INDEX($AM$2:$BM$1001,MATCH(ROWS($AF$2:AF874),$AF$2:$AF$1001,0),MATCH(COLUMNS($AM$1006:BH1006),$AM$1006:$BM$1006,0)), HYPERLINK("#",""), HYPERLINK(CONCATENATE("#metadata!", ADDRESS(INDEX($AH$2:$AH$1001,MATCH(ROWS($AF$2:AF874),$AF$2:$AF$1001,0),0), INDEX($AM$1004:$BM$1004,1,MATCH(COLUMNS($AM$1006:BH1006),$AM$1006:$BM$1006,0)))),"Fix")))</f>
        <v xml:space="preserve"> </v>
      </c>
      <c r="X874" s="4" t="str">
        <f ca="1">IF(OR(INDEX($AG$2:$AG$1001,MATCH(ROWS($AF$2:AF874),$AF$2:$AF$1001,0),1)&gt;=100000,INDEX($AM$1005:$BM$1005,1,MATCH(COLUMNS($AM$1006:BI1006),$AM$1006:$BM$1006,0))&gt;=100000), " ",IF(INDEX($AM$2:$BM$1001,MATCH(ROWS($AF$2:AF874),$AF$2:$AF$1001,0),MATCH(COLUMNS($AM$1006:BI1006),$AM$1006:$BM$1006,0)), HYPERLINK("#",""), HYPERLINK(CONCATENATE("#metadata!", ADDRESS(INDEX($AH$2:$AH$1001,MATCH(ROWS($AF$2:AF874),$AF$2:$AF$1001,0),0), INDEX($AM$1004:$BM$1004,1,MATCH(COLUMNS($AM$1006:BI1006),$AM$1006:$BM$1006,0)))),"Fix")))</f>
        <v xml:space="preserve"> </v>
      </c>
      <c r="Y874" s="4" t="str">
        <f ca="1">IF(OR(INDEX($AG$2:$AG$1001,MATCH(ROWS($AF$2:AF874),$AF$2:$AF$1001,0),1)&gt;=100000,INDEX($AM$1005:$BM$1005,1,MATCH(COLUMNS($AM$1006:BJ1006),$AM$1006:$BM$1006,0))&gt;=100000), " ",IF(INDEX($AM$2:$BM$1001,MATCH(ROWS($AF$2:AF874),$AF$2:$AF$1001,0),MATCH(COLUMNS($AM$1006:BJ1006),$AM$1006:$BM$1006,0)), HYPERLINK("#",""), HYPERLINK(CONCATENATE("#metadata!", ADDRESS(INDEX($AH$2:$AH$1001,MATCH(ROWS($AF$2:AF874),$AF$2:$AF$1001,0),0), INDEX($AM$1004:$BM$1004,1,MATCH(COLUMNS($AM$1006:BJ1006),$AM$1006:$BM$1006,0)))),"Fix")))</f>
        <v xml:space="preserve"> </v>
      </c>
      <c r="Z874" s="4" t="str">
        <f ca="1">IF(OR(INDEX($AG$2:$AG$1001,MATCH(ROWS($AF$2:AF874),$AF$2:$AF$1001,0),1)&gt;=100000,INDEX($AM$1005:$BM$1005,1,MATCH(COLUMNS($AM$1006:BK1006),$AM$1006:$BM$1006,0))&gt;=100000), " ",IF(INDEX($AM$2:$BM$1001,MATCH(ROWS($AF$2:AF874),$AF$2:$AF$1001,0),MATCH(COLUMNS($AM$1006:BK1006),$AM$1006:$BM$1006,0)), HYPERLINK("#",""), HYPERLINK(CONCATENATE("#metadata!", ADDRESS(INDEX($AH$2:$AH$1001,MATCH(ROWS($AF$2:AF874),$AF$2:$AF$1001,0),0), INDEX($AM$1004:$BM$1004,1,MATCH(COLUMNS($AM$1006:BK1006),$AM$1006:$BM$1006,0)))),"Fix")))</f>
        <v xml:space="preserve"> </v>
      </c>
      <c r="AA874" s="4" t="str">
        <f ca="1">IF(OR(INDEX($AG$2:$AG$1001,MATCH(ROWS($AF$2:AF874),$AF$2:$AF$1001,0),1)&gt;=100000,INDEX($AM$1005:$BM$1005,1,MATCH(COLUMNS($AM$1006:BL1006),$AM$1006:$BM$1006,0))&gt;=100000), " ",IF(INDEX($AM$2:$BM$1001,MATCH(ROWS($AF$2:AF874),$AF$2:$AF$1001,0),MATCH(COLUMNS($AM$1006:BL1006),$AM$1006:$BM$1006,0)), HYPERLINK("#",""), HYPERLINK(CONCATENATE("#metadata!", ADDRESS(INDEX($AH$2:$AH$1001,MATCH(ROWS($AF$2:AF874),$AF$2:$AF$1001,0),0), INDEX($AM$1004:$BM$1004,1,MATCH(COLUMNS($AM$1006:BL1006),$AM$1006:$BM$1006,0)))),"Fix")))</f>
        <v xml:space="preserve"> </v>
      </c>
      <c r="AB874" s="4" t="str">
        <f ca="1">IF(OR(INDEX($AG$2:$AG$1001,MATCH(ROWS($AF$2:AF874),$AF$2:$AF$1001,0),1)&gt;=100000,INDEX($AM$1005:$BM$1005,1,MATCH(COLUMNS($AM$1006:BM1006),$AM$1006:$BM$1006,0))&gt;=100000), " ",IF(INDEX($AM$2:$BM$1001,MATCH(ROWS($AF$2:AF874),$AF$2:$AF$1001,0),MATCH(COLUMNS($AM$1006:BM1006),$AM$1006:$BM$1006,0)), HYPERLINK("#",""), HYPERLINK(CONCATENATE("#metadata!", ADDRESS(INDEX($AH$2:$AH$1001,MATCH(ROWS($AF$2:AF874),$AF$2:$AF$1001,0),0), INDEX($AM$1004:$BM$1004,1,MATCH(COLUMNS($AM$1006:BM1006),$AM$1006:$BM$1006,0)))),"Fix")))</f>
        <v xml:space="preserve"> </v>
      </c>
      <c r="AF874">
        <v>873</v>
      </c>
      <c r="AG874">
        <v>100874</v>
      </c>
      <c r="AH874">
        <v>874</v>
      </c>
      <c r="AI874" t="b">
        <f t="shared" si="13"/>
        <v>1</v>
      </c>
      <c r="AJ874" t="b">
        <f>COUNTBLANK(metadata!B874:AB874)=COLUMNS(metadata!B874:AB874)</f>
        <v>1</v>
      </c>
      <c r="AK874" t="str">
        <v/>
      </c>
      <c r="AM874" t="b">
        <f ca="1">AND(IF(metadata!B874="",FALSE,TRUE),COUNTIF(metadata!B:B, metadata!B874) = 1,NOT(ISERROR(SUMPRODUCT(SEARCH(MID(metadata!B874,ROW(INDIRECT("1:"&amp;LEN(metadata!B874))), 1),"0123456789abcdefghijklmnopqrstuvwxyzABCDEFGHIJKLMNOPQRSTUVWXYZ.")))))</f>
        <v>0</v>
      </c>
      <c r="AN874" t="b">
        <f ca="1">OR(AND(IF(metadata!C874="",FALSE,TRUE),OR(EXACT(metadata!C874,"missing: not collected"),EXACT(metadata!C874,"missing: not provided"),EXACT(metadata!C874,"missing: restricted access"))),AND(IF(metadata!C874="",FALSE,TRUE),AND(AND(IFERROR(INT(LEFT(metadata!C874,4))&gt;1900,FALSE),IFERROR(INT(LEFT(metadata!C874,4))&lt;=YEAR(NOW()),FALSE)), OR(MID(metadata!C874,5,1)="", AND(AND(MID(metadata!C874,5,1)="-",IFERROR(INT(MID(metadata!C874,6,1))&gt;=0,FALSE),IFERROR(INT(MID(metadata!C874,6,1))&lt;=1,FALSE),NOT(MID(metadata!C874,7,1)=""),IFERROR(INT(MID(metadata!C874,6,2))&gt;=1,FALSE),IFERROR(INT(MID(metadata!C874,6,2))&lt;=12,FALSE)), OR(MID(metadata!C874,8,1)="", AND(AND(MID(metadata!C874,8,1)="-",IFERROR(INT(MID(metadata!C874,9,1))&gt;=0,FALSE),IFERROR(INT(MID(metadata!C874,9,1))&lt;=3,FALSE),NOT(MID(metadata!C874,10,1)=""),IFERROR(INT(MID(metadata!C874,9,2))&gt;=1,FALSE),IFERROR(INT(MID(metadata!C874,9,2))&lt;=31,FALSE)), OR(MID(metadata!C874,11,1)="", AND(AND(MID(metadata!C874,11,1)=" ",IFERROR(INT(MID(metadata!C874,12,1))&gt;=0,FALSE),IFERROR(INT(MID(metadata!C874,12,1))&lt;=2,FALSE),NOT(MID(metadata!C874,13,1)=""),IFERROR(INT(MID(metadata!C874,12,2))&gt;=0,FALSE),IFERROR(INT(MID(metadata!C874,12,2))&lt;=23,FALSE)), OR(MID(metadata!C874,14,1)="", AND(AND(MID(metadata!C874,14,1)=":",IFERROR(INT(MID(metadata!C874,15,1))&gt;=0,FALSE),IFERROR(INT(MID(metadata!C874,15,1))&lt;=5,FALSE),NOT(MID(metadata!C874,16,1)=""),IFERROR(INT(MID(metadata!C874,15,2))&gt;=0,FALSE),IFERROR(INT(MID(metadata!C874,15,2))&lt;=59,FALSE)), OR(MID(metadata!C874,17,1)="", AND(AND(MID(metadata!C874,17,1)=":",IFERROR(INT(MID(metadata!C874,18,1))&gt;=0,FALSE),IFERROR(INT(MID(metadata!C874,18,1))&lt;=5,FALSE),NOT(MID(metadata!C874,19,1)=""),IFERROR(INT(MID(metadata!C874,18,2))&gt;=0,FALSE),IFERROR(INT(MID(metadata!C874,18,2))&lt;=59,FALSE)), LEN(metadata!C874)&lt;=19)))))))))))))</f>
        <v>0</v>
      </c>
      <c r="AO874" t="b">
        <f>AND(IF(metadata!D874="",FALSE,TRUE),EXACT(metadata!D874,"Not applicable"))</f>
        <v>0</v>
      </c>
      <c r="AP874" t="b">
        <f>IF(metadata!E874="",FALSE,TRUE)</f>
        <v>0</v>
      </c>
      <c r="AQ874" t="b">
        <f>OR(AND(IF(metadata!F874="",FALSE,TRUE),OR(EXACT(metadata!F874,"missing: not collected"),EXACT(metadata!F874,"missing: not provided"))),AND(IF(metadata!F874="",FALSE,TRUE),OR(EXACT(metadata!F874,"TRUE"),EXACT(metadata!F874,"FALSE"))))</f>
        <v>0</v>
      </c>
      <c r="AR874" t="b">
        <f>OR(AND(IF(metadata!G874="",FALSE,TRUE),OR(EXACT(metadata!G874,"missing: not collected"),EXACT(metadata!G874,"missing: not provided"),EXACT(metadata!G874,"missing: restricted access"))),AND(IF(metadata!G874="",FALSE,ISNUMBER(VALUE(metadata!G874))),metadata!G874&gt;=-413))</f>
        <v>0</v>
      </c>
      <c r="AS874" t="b">
        <f>AND(IF(metadata!H874="",FALSE,TRUE),EXACT(metadata!H874,"meters"))</f>
        <v>0</v>
      </c>
      <c r="AT874" t="b">
        <f>AND(IF(metadata!I874="",FALSE,TRUE),OR(EXACT(metadata!I874,"Host-associated"),EXACT(metadata!I874,"Free-living")))</f>
        <v>0</v>
      </c>
      <c r="AU874" t="b">
        <f>AND(IF(metadata!J874="",FALSE,TRUE),OR(EXACT(metadata!J874,"Animal"),EXACT(metadata!J874,"Fungus"),EXACT(metadata!J874,"Plant"),EXACT(metadata!J874,"Saline"),EXACT(metadata!J874,"Non-saline")))</f>
        <v>0</v>
      </c>
      <c r="AV874" t="b">
        <f>AND(IF(metadata!K874="",FALSE,TRUE),OR(EXACT(metadata!K874,"Plant secretion"),EXACT(metadata!K874,"Plant rhizosphere"),EXACT(metadata!K874,"Plant surface"),EXACT(metadata!K874,"Plant corpus"),EXACT(metadata!K874,"Fungus surface"),EXACT(metadata!K874,"Fungus corpus"),EXACT(metadata!K874,"Animal surface"),EXACT(metadata!K874,"Animal proximal gut"),EXACT(metadata!K874,"Animal corpus"),EXACT(metadata!K874,"Animal distal gut"),EXACT(metadata!K874,"Animal secretion"),EXACT(metadata!K874,"Sub-surface (non-saline)"),EXACT(metadata!K874,"Surface (non-saline)"),EXACT(metadata!K874,"Water (non-saline)"),EXACT(metadata!K874,"Soil (non-saline)"),EXACT(metadata!K874,"Aerosol (non-saline)"),EXACT(metadata!K874,"Sediment (non-saline)"),EXACT(metadata!K874,"Surface (saline)"),EXACT(metadata!K874,"Water (saline)"),EXACT(metadata!K874,"Hypersaline (saline)"),EXACT(metadata!K874,"Aerosol (saline)"),EXACT(metadata!K874,"Sediment (saline)")))</f>
        <v>0</v>
      </c>
      <c r="AW874" t="b">
        <f>IF(metadata!L874="",FALSE,TRUE)</f>
        <v>0</v>
      </c>
      <c r="AX874" t="b">
        <f>IF(metadata!M874="",FALSE,TRUE)</f>
        <v>0</v>
      </c>
      <c r="AY874" t="b">
        <f>IF(metadata!N874="",FALSE,TRUE)</f>
        <v>0</v>
      </c>
      <c r="AZ874" t="b">
        <f>OR(AND(IF(metadata!O874="",FALSE,TRUE),OR(EXACT(metadata!O874,"missing: not collected"),EXACT(metadata!O874,"missing: not provided"),EXACT(metadata!O874,"missing: restricted access"))),AND(IF(metadata!O874="",FALSE,TRUE),OR(EXACT(metadata!O874,"air"),EXACT(metadata!O874,"built environment"),EXACT(metadata!O874,"host-associated"),EXACT(metadata!O874,"human-associated"),EXACT(metadata!O874,"human-skin"),EXACT(metadata!O874,"human-oral"),EXACT(metadata!O874,"human-gut"),EXACT(metadata!O874,"human-vaginal"),EXACT(metadata!O874,"microbial mat/biofilm"),EXACT(metadata!O874,"misc environment"),EXACT(metadata!O874,"plant-associated"),EXACT(metadata!O874,"sediment"),EXACT(metadata!O874,"soil"),EXACT(metadata!O874,"wastewater/sludge"),EXACT(metadata!O874,"water"))))</f>
        <v>0</v>
      </c>
      <c r="BA874" t="b">
        <f>IF(metadata!P874="",FALSE,TRUE)</f>
        <v>0</v>
      </c>
      <c r="BB874" t="b">
        <f>IF(metadata!Q874="",FALSE,TRUE)</f>
        <v>0</v>
      </c>
      <c r="BC874" t="b">
        <f>OR(AND(IF(metadata!R874="",FALSE,TRUE),OR(EXACT(metadata!R874,"missing: not collected"),EXACT(metadata!R874,"missing: not provided"),EXACT(metadata!R874,"missing: restricted access"))),AND(IF(metadata!R874="",FALSE,ISNUMBER(VALUE(metadata!R874))),metadata!R874&gt;=-90,metadata!R874&lt;=90))</f>
        <v>0</v>
      </c>
      <c r="BD874" t="b">
        <f>AND(IF(metadata!S874="",FALSE,TRUE),EXACT(metadata!S874,"Decimal degrees"))</f>
        <v>0</v>
      </c>
      <c r="BE874" t="b">
        <f>OR(AND(IF(metadata!T874="",FALSE,TRUE),OR(EXACT(metadata!T874,"missing: not collected"),EXACT(metadata!T874,"missing: not provided"),EXACT(metadata!T874,"missing: restricted access"))),AND(IF(metadata!T874="",FALSE,ISNUMBER(VALUE(metadata!T874))),metadata!T874&gt;=-180,metadata!T874&lt;=180))</f>
        <v>0</v>
      </c>
      <c r="BF874" t="b">
        <f>AND(IF(metadata!U874="",FALSE,TRUE),EXACT(metadata!U874,"Decimal degrees"))</f>
        <v>0</v>
      </c>
      <c r="BG874" t="b">
        <f>IF(metadata!V874="",FALSE,TRUE)</f>
        <v>0</v>
      </c>
      <c r="BH874" t="b">
        <f>OR(AND(IF(metadata!W874="",FALSE,TRUE),OR(EXACT(metadata!W874,"missing: not collected"),EXACT(metadata!W874,"missing: not provided"),EXACT(metadata!W874,"missing: restricted access"))),AND(IF(metadata!W874="",FALSE,TRUE),OR(EXACT(metadata!W874,"TRUE"),EXACT(metadata!W874,"FALSE"))))</f>
        <v>0</v>
      </c>
      <c r="BI874" t="b">
        <f>AND(IF(metadata!X874="",FALSE,TRUE),EXACT(metadata!X874,"other"))</f>
        <v>0</v>
      </c>
      <c r="BJ874" t="b">
        <f>IF(metadata!Y874="",FALSE,TRUE)</f>
        <v>0</v>
      </c>
      <c r="BK874" t="b">
        <f>OR(AND(IF(metadata!Z874="",FALSE,TRUE),OR(EXACT(metadata!Z874,"missing: not collected"),EXACT(metadata!Z874,"missing: not provided"))),AND(IF(metadata!Z874="",FALSE,IF(ISERROR(INT(metadata!Z874)),FALSE,INT(metadata!Z874)=metadata!Z874)),metadata!Z874&gt;0))</f>
        <v>0</v>
      </c>
      <c r="BL874" t="b">
        <f>AND(IF(metadata!AA874="",FALSE,TRUE),EXACT(metadata!AA874,"Not applicable"))</f>
        <v>0</v>
      </c>
      <c r="BM874" t="b">
        <f>IF(metadata!AB874="",FALSE,TRUE)</f>
        <v>0</v>
      </c>
    </row>
    <row r="875" spans="1:65" x14ac:dyDescent="0.2">
      <c r="A875" s="5" t="str">
        <f ca="1">IF(B875=" "," ",HYPERLINK(CONCATENATE("#metadata!",ADDRESS(INDEX($AH$2:$AH$1001,MATCH(ROWS($AF$2:AF875),$AF$2:$AF$1001,0),0),1)),INDEX($AK$2:$AK$1001,MATCH(ROWS($AF$2:AF875),$AF$2:$AF$1001,0),0)))</f>
        <v xml:space="preserve"> </v>
      </c>
      <c r="B875" s="4" t="str">
        <f ca="1">IF(OR(INDEX($AG$2:$AG$1001,MATCH(ROWS($AF$2:AF875),$AF$2:$AF$1001,0),1)&gt;=100000,INDEX($AM$1005:$BM$1005,1,MATCH(COLUMNS($AM$1006:AM1006),$AM$1006:$BM$1006,0))&gt;=100000), " ",IF(INDEX($AM$2:$BM$1001,MATCH(ROWS($AF$2:AF875),$AF$2:$AF$1001,0),MATCH(COLUMNS($AM$1006:AM1006),$AM$1006:$BM$1006,0)), HYPERLINK("#",""), HYPERLINK(CONCATENATE("#metadata!", ADDRESS(INDEX($AH$2:$AH$1001,MATCH(ROWS($AF$2:AF875),$AF$2:$AF$1001,0),0), INDEX($AM$1004:$BM$1004,1,MATCH(COLUMNS($AM$1006:AM1006),$AM$1006:$BM$1006,0)))),"Fix")))</f>
        <v xml:space="preserve"> </v>
      </c>
      <c r="C875" s="4" t="str">
        <f ca="1">IF(OR(INDEX($AG$2:$AG$1001,MATCH(ROWS($AF$2:AF875),$AF$2:$AF$1001,0),1)&gt;=100000,INDEX($AM$1005:$BM$1005,1,MATCH(COLUMNS($AM$1006:AN1006),$AM$1006:$BM$1006,0))&gt;=100000), " ",IF(INDEX($AM$2:$BM$1001,MATCH(ROWS($AF$2:AF875),$AF$2:$AF$1001,0),MATCH(COLUMNS($AM$1006:AN1006),$AM$1006:$BM$1006,0)), HYPERLINK("#",""), HYPERLINK(CONCATENATE("#metadata!", ADDRESS(INDEX($AH$2:$AH$1001,MATCH(ROWS($AF$2:AF875),$AF$2:$AF$1001,0),0), INDEX($AM$1004:$BM$1004,1,MATCH(COLUMNS($AM$1006:AN1006),$AM$1006:$BM$1006,0)))),"Fix")))</f>
        <v xml:space="preserve"> </v>
      </c>
      <c r="D875" s="4" t="str">
        <f ca="1">IF(OR(INDEX($AG$2:$AG$1001,MATCH(ROWS($AF$2:AF875),$AF$2:$AF$1001,0),1)&gt;=100000,INDEX($AM$1005:$BM$1005,1,MATCH(COLUMNS($AM$1006:AO1006),$AM$1006:$BM$1006,0))&gt;=100000), " ",IF(INDEX($AM$2:$BM$1001,MATCH(ROWS($AF$2:AF875),$AF$2:$AF$1001,0),MATCH(COLUMNS($AM$1006:AO1006),$AM$1006:$BM$1006,0)), HYPERLINK("#",""), HYPERLINK(CONCATENATE("#metadata!", ADDRESS(INDEX($AH$2:$AH$1001,MATCH(ROWS($AF$2:AF875),$AF$2:$AF$1001,0),0), INDEX($AM$1004:$BM$1004,1,MATCH(COLUMNS($AM$1006:AO1006),$AM$1006:$BM$1006,0)))),"Fix")))</f>
        <v xml:space="preserve"> </v>
      </c>
      <c r="E875" s="4" t="str">
        <f ca="1">IF(OR(INDEX($AG$2:$AG$1001,MATCH(ROWS($AF$2:AF875),$AF$2:$AF$1001,0),1)&gt;=100000,INDEX($AM$1005:$BM$1005,1,MATCH(COLUMNS($AM$1006:AP1006),$AM$1006:$BM$1006,0))&gt;=100000), " ",IF(INDEX($AM$2:$BM$1001,MATCH(ROWS($AF$2:AF875),$AF$2:$AF$1001,0),MATCH(COLUMNS($AM$1006:AP1006),$AM$1006:$BM$1006,0)), HYPERLINK("#",""), HYPERLINK(CONCATENATE("#metadata!", ADDRESS(INDEX($AH$2:$AH$1001,MATCH(ROWS($AF$2:AF875),$AF$2:$AF$1001,0),0), INDEX($AM$1004:$BM$1004,1,MATCH(COLUMNS($AM$1006:AP1006),$AM$1006:$BM$1006,0)))),"Fix")))</f>
        <v xml:space="preserve"> </v>
      </c>
      <c r="F875" s="4" t="str">
        <f ca="1">IF(OR(INDEX($AG$2:$AG$1001,MATCH(ROWS($AF$2:AF875),$AF$2:$AF$1001,0),1)&gt;=100000,INDEX($AM$1005:$BM$1005,1,MATCH(COLUMNS($AM$1006:AQ1006),$AM$1006:$BM$1006,0))&gt;=100000), " ",IF(INDEX($AM$2:$BM$1001,MATCH(ROWS($AF$2:AF875),$AF$2:$AF$1001,0),MATCH(COLUMNS($AM$1006:AQ1006),$AM$1006:$BM$1006,0)), HYPERLINK("#",""), HYPERLINK(CONCATENATE("#metadata!", ADDRESS(INDEX($AH$2:$AH$1001,MATCH(ROWS($AF$2:AF875),$AF$2:$AF$1001,0),0), INDEX($AM$1004:$BM$1004,1,MATCH(COLUMNS($AM$1006:AQ1006),$AM$1006:$BM$1006,0)))),"Fix")))</f>
        <v xml:space="preserve"> </v>
      </c>
      <c r="G875" s="4" t="str">
        <f ca="1">IF(OR(INDEX($AG$2:$AG$1001,MATCH(ROWS($AF$2:AF875),$AF$2:$AF$1001,0),1)&gt;=100000,INDEX($AM$1005:$BM$1005,1,MATCH(COLUMNS($AM$1006:AR1006),$AM$1006:$BM$1006,0))&gt;=100000), " ",IF(INDEX($AM$2:$BM$1001,MATCH(ROWS($AF$2:AF875),$AF$2:$AF$1001,0),MATCH(COLUMNS($AM$1006:AR1006),$AM$1006:$BM$1006,0)), HYPERLINK("#",""), HYPERLINK(CONCATENATE("#metadata!", ADDRESS(INDEX($AH$2:$AH$1001,MATCH(ROWS($AF$2:AF875),$AF$2:$AF$1001,0),0), INDEX($AM$1004:$BM$1004,1,MATCH(COLUMNS($AM$1006:AR1006),$AM$1006:$BM$1006,0)))),"Fix")))</f>
        <v xml:space="preserve"> </v>
      </c>
      <c r="H875" s="4" t="str">
        <f ca="1">IF(OR(INDEX($AG$2:$AG$1001,MATCH(ROWS($AF$2:AF875),$AF$2:$AF$1001,0),1)&gt;=100000,INDEX($AM$1005:$BM$1005,1,MATCH(COLUMNS($AM$1006:AS1006),$AM$1006:$BM$1006,0))&gt;=100000), " ",IF(INDEX($AM$2:$BM$1001,MATCH(ROWS($AF$2:AF875),$AF$2:$AF$1001,0),MATCH(COLUMNS($AM$1006:AS1006),$AM$1006:$BM$1006,0)), HYPERLINK("#",""), HYPERLINK(CONCATENATE("#metadata!", ADDRESS(INDEX($AH$2:$AH$1001,MATCH(ROWS($AF$2:AF875),$AF$2:$AF$1001,0),0), INDEX($AM$1004:$BM$1004,1,MATCH(COLUMNS($AM$1006:AS1006),$AM$1006:$BM$1006,0)))),"Fix")))</f>
        <v xml:space="preserve"> </v>
      </c>
      <c r="I875" s="4" t="str">
        <f ca="1">IF(OR(INDEX($AG$2:$AG$1001,MATCH(ROWS($AF$2:AF875),$AF$2:$AF$1001,0),1)&gt;=100000,INDEX($AM$1005:$BM$1005,1,MATCH(COLUMNS($AM$1006:AT1006),$AM$1006:$BM$1006,0))&gt;=100000), " ",IF(INDEX($AM$2:$BM$1001,MATCH(ROWS($AF$2:AF875),$AF$2:$AF$1001,0),MATCH(COLUMNS($AM$1006:AT1006),$AM$1006:$BM$1006,0)), HYPERLINK("#",""), HYPERLINK(CONCATENATE("#metadata!", ADDRESS(INDEX($AH$2:$AH$1001,MATCH(ROWS($AF$2:AF875),$AF$2:$AF$1001,0),0), INDEX($AM$1004:$BM$1004,1,MATCH(COLUMNS($AM$1006:AT1006),$AM$1006:$BM$1006,0)))),"Fix")))</f>
        <v xml:space="preserve"> </v>
      </c>
      <c r="J875" s="4" t="str">
        <f ca="1">IF(OR(INDEX($AG$2:$AG$1001,MATCH(ROWS($AF$2:AF875),$AF$2:$AF$1001,0),1)&gt;=100000,INDEX($AM$1005:$BM$1005,1,MATCH(COLUMNS($AM$1006:AU1006),$AM$1006:$BM$1006,0))&gt;=100000), " ",IF(INDEX($AM$2:$BM$1001,MATCH(ROWS($AF$2:AF875),$AF$2:$AF$1001,0),MATCH(COLUMNS($AM$1006:AU1006),$AM$1006:$BM$1006,0)), HYPERLINK("#",""), HYPERLINK(CONCATENATE("#metadata!", ADDRESS(INDEX($AH$2:$AH$1001,MATCH(ROWS($AF$2:AF875),$AF$2:$AF$1001,0),0), INDEX($AM$1004:$BM$1004,1,MATCH(COLUMNS($AM$1006:AU1006),$AM$1006:$BM$1006,0)))),"Fix")))</f>
        <v xml:space="preserve"> </v>
      </c>
      <c r="K875" s="4" t="str">
        <f ca="1">IF(OR(INDEX($AG$2:$AG$1001,MATCH(ROWS($AF$2:AF875),$AF$2:$AF$1001,0),1)&gt;=100000,INDEX($AM$1005:$BM$1005,1,MATCH(COLUMNS($AM$1006:AV1006),$AM$1006:$BM$1006,0))&gt;=100000), " ",IF(INDEX($AM$2:$BM$1001,MATCH(ROWS($AF$2:AF875),$AF$2:$AF$1001,0),MATCH(COLUMNS($AM$1006:AV1006),$AM$1006:$BM$1006,0)), HYPERLINK("#",""), HYPERLINK(CONCATENATE("#metadata!", ADDRESS(INDEX($AH$2:$AH$1001,MATCH(ROWS($AF$2:AF875),$AF$2:$AF$1001,0),0), INDEX($AM$1004:$BM$1004,1,MATCH(COLUMNS($AM$1006:AV1006),$AM$1006:$BM$1006,0)))),"Fix")))</f>
        <v xml:space="preserve"> </v>
      </c>
      <c r="L875" s="4" t="str">
        <f ca="1">IF(OR(INDEX($AG$2:$AG$1001,MATCH(ROWS($AF$2:AF875),$AF$2:$AF$1001,0),1)&gt;=100000,INDEX($AM$1005:$BM$1005,1,MATCH(COLUMNS($AM$1006:AW1006),$AM$1006:$BM$1006,0))&gt;=100000), " ",IF(INDEX($AM$2:$BM$1001,MATCH(ROWS($AF$2:AF875),$AF$2:$AF$1001,0),MATCH(COLUMNS($AM$1006:AW1006),$AM$1006:$BM$1006,0)), HYPERLINK("#",""), HYPERLINK(CONCATENATE("#metadata!", ADDRESS(INDEX($AH$2:$AH$1001,MATCH(ROWS($AF$2:AF875),$AF$2:$AF$1001,0),0), INDEX($AM$1004:$BM$1004,1,MATCH(COLUMNS($AM$1006:AW1006),$AM$1006:$BM$1006,0)))),"Fix")))</f>
        <v xml:space="preserve"> </v>
      </c>
      <c r="M875" s="4" t="str">
        <f ca="1">IF(OR(INDEX($AG$2:$AG$1001,MATCH(ROWS($AF$2:AF875),$AF$2:$AF$1001,0),1)&gt;=100000,INDEX($AM$1005:$BM$1005,1,MATCH(COLUMNS($AM$1006:AX1006),$AM$1006:$BM$1006,0))&gt;=100000), " ",IF(INDEX($AM$2:$BM$1001,MATCH(ROWS($AF$2:AF875),$AF$2:$AF$1001,0),MATCH(COLUMNS($AM$1006:AX1006),$AM$1006:$BM$1006,0)), HYPERLINK("#",""), HYPERLINK(CONCATENATE("#metadata!", ADDRESS(INDEX($AH$2:$AH$1001,MATCH(ROWS($AF$2:AF875),$AF$2:$AF$1001,0),0), INDEX($AM$1004:$BM$1004,1,MATCH(COLUMNS($AM$1006:AX1006),$AM$1006:$BM$1006,0)))),"Fix")))</f>
        <v xml:space="preserve"> </v>
      </c>
      <c r="N875" s="4" t="str">
        <f ca="1">IF(OR(INDEX($AG$2:$AG$1001,MATCH(ROWS($AF$2:AF875),$AF$2:$AF$1001,0),1)&gt;=100000,INDEX($AM$1005:$BM$1005,1,MATCH(COLUMNS($AM$1006:AY1006),$AM$1006:$BM$1006,0))&gt;=100000), " ",IF(INDEX($AM$2:$BM$1001,MATCH(ROWS($AF$2:AF875),$AF$2:$AF$1001,0),MATCH(COLUMNS($AM$1006:AY1006),$AM$1006:$BM$1006,0)), HYPERLINK("#",""), HYPERLINK(CONCATENATE("#metadata!", ADDRESS(INDEX($AH$2:$AH$1001,MATCH(ROWS($AF$2:AF875),$AF$2:$AF$1001,0),0), INDEX($AM$1004:$BM$1004,1,MATCH(COLUMNS($AM$1006:AY1006),$AM$1006:$BM$1006,0)))),"Fix")))</f>
        <v xml:space="preserve"> </v>
      </c>
      <c r="O875" s="4" t="str">
        <f ca="1">IF(OR(INDEX($AG$2:$AG$1001,MATCH(ROWS($AF$2:AF875),$AF$2:$AF$1001,0),1)&gt;=100000,INDEX($AM$1005:$BM$1005,1,MATCH(COLUMNS($AM$1006:AZ1006),$AM$1006:$BM$1006,0))&gt;=100000), " ",IF(INDEX($AM$2:$BM$1001,MATCH(ROWS($AF$2:AF875),$AF$2:$AF$1001,0),MATCH(COLUMNS($AM$1006:AZ1006),$AM$1006:$BM$1006,0)), HYPERLINK("#",""), HYPERLINK(CONCATENATE("#metadata!", ADDRESS(INDEX($AH$2:$AH$1001,MATCH(ROWS($AF$2:AF875),$AF$2:$AF$1001,0),0), INDEX($AM$1004:$BM$1004,1,MATCH(COLUMNS($AM$1006:AZ1006),$AM$1006:$BM$1006,0)))),"Fix")))</f>
        <v xml:space="preserve"> </v>
      </c>
      <c r="P875" s="4" t="str">
        <f ca="1">IF(OR(INDEX($AG$2:$AG$1001,MATCH(ROWS($AF$2:AF875),$AF$2:$AF$1001,0),1)&gt;=100000,INDEX($AM$1005:$BM$1005,1,MATCH(COLUMNS($AM$1006:BA1006),$AM$1006:$BM$1006,0))&gt;=100000), " ",IF(INDEX($AM$2:$BM$1001,MATCH(ROWS($AF$2:AF875),$AF$2:$AF$1001,0),MATCH(COLUMNS($AM$1006:BA1006),$AM$1006:$BM$1006,0)), HYPERLINK("#",""), HYPERLINK(CONCATENATE("#metadata!", ADDRESS(INDEX($AH$2:$AH$1001,MATCH(ROWS($AF$2:AF875),$AF$2:$AF$1001,0),0), INDEX($AM$1004:$BM$1004,1,MATCH(COLUMNS($AM$1006:BA1006),$AM$1006:$BM$1006,0)))),"Fix")))</f>
        <v xml:space="preserve"> </v>
      </c>
      <c r="Q875" s="4" t="str">
        <f ca="1">IF(OR(INDEX($AG$2:$AG$1001,MATCH(ROWS($AF$2:AF875),$AF$2:$AF$1001,0),1)&gt;=100000,INDEX($AM$1005:$BM$1005,1,MATCH(COLUMNS($AM$1006:BB1006),$AM$1006:$BM$1006,0))&gt;=100000), " ",IF(INDEX($AM$2:$BM$1001,MATCH(ROWS($AF$2:AF875),$AF$2:$AF$1001,0),MATCH(COLUMNS($AM$1006:BB1006),$AM$1006:$BM$1006,0)), HYPERLINK("#",""), HYPERLINK(CONCATENATE("#metadata!", ADDRESS(INDEX($AH$2:$AH$1001,MATCH(ROWS($AF$2:AF875),$AF$2:$AF$1001,0),0), INDEX($AM$1004:$BM$1004,1,MATCH(COLUMNS($AM$1006:BB1006),$AM$1006:$BM$1006,0)))),"Fix")))</f>
        <v xml:space="preserve"> </v>
      </c>
      <c r="R875" s="4" t="str">
        <f ca="1">IF(OR(INDEX($AG$2:$AG$1001,MATCH(ROWS($AF$2:AF875),$AF$2:$AF$1001,0),1)&gt;=100000,INDEX($AM$1005:$BM$1005,1,MATCH(COLUMNS($AM$1006:BC1006),$AM$1006:$BM$1006,0))&gt;=100000), " ",IF(INDEX($AM$2:$BM$1001,MATCH(ROWS($AF$2:AF875),$AF$2:$AF$1001,0),MATCH(COLUMNS($AM$1006:BC1006),$AM$1006:$BM$1006,0)), HYPERLINK("#",""), HYPERLINK(CONCATENATE("#metadata!", ADDRESS(INDEX($AH$2:$AH$1001,MATCH(ROWS($AF$2:AF875),$AF$2:$AF$1001,0),0), INDEX($AM$1004:$BM$1004,1,MATCH(COLUMNS($AM$1006:BC1006),$AM$1006:$BM$1006,0)))),"Fix")))</f>
        <v xml:space="preserve"> </v>
      </c>
      <c r="S875" s="4" t="str">
        <f ca="1">IF(OR(INDEX($AG$2:$AG$1001,MATCH(ROWS($AF$2:AF875),$AF$2:$AF$1001,0),1)&gt;=100000,INDEX($AM$1005:$BM$1005,1,MATCH(COLUMNS($AM$1006:BD1006),$AM$1006:$BM$1006,0))&gt;=100000), " ",IF(INDEX($AM$2:$BM$1001,MATCH(ROWS($AF$2:AF875),$AF$2:$AF$1001,0),MATCH(COLUMNS($AM$1006:BD1006),$AM$1006:$BM$1006,0)), HYPERLINK("#",""), HYPERLINK(CONCATENATE("#metadata!", ADDRESS(INDEX($AH$2:$AH$1001,MATCH(ROWS($AF$2:AF875),$AF$2:$AF$1001,0),0), INDEX($AM$1004:$BM$1004,1,MATCH(COLUMNS($AM$1006:BD1006),$AM$1006:$BM$1006,0)))),"Fix")))</f>
        <v xml:space="preserve"> </v>
      </c>
      <c r="T875" s="4" t="str">
        <f ca="1">IF(OR(INDEX($AG$2:$AG$1001,MATCH(ROWS($AF$2:AF875),$AF$2:$AF$1001,0),1)&gt;=100000,INDEX($AM$1005:$BM$1005,1,MATCH(COLUMNS($AM$1006:BE1006),$AM$1006:$BM$1006,0))&gt;=100000), " ",IF(INDEX($AM$2:$BM$1001,MATCH(ROWS($AF$2:AF875),$AF$2:$AF$1001,0),MATCH(COLUMNS($AM$1006:BE1006),$AM$1006:$BM$1006,0)), HYPERLINK("#",""), HYPERLINK(CONCATENATE("#metadata!", ADDRESS(INDEX($AH$2:$AH$1001,MATCH(ROWS($AF$2:AF875),$AF$2:$AF$1001,0),0), INDEX($AM$1004:$BM$1004,1,MATCH(COLUMNS($AM$1006:BE1006),$AM$1006:$BM$1006,0)))),"Fix")))</f>
        <v xml:space="preserve"> </v>
      </c>
      <c r="U875" s="4" t="str">
        <f ca="1">IF(OR(INDEX($AG$2:$AG$1001,MATCH(ROWS($AF$2:AF875),$AF$2:$AF$1001,0),1)&gt;=100000,INDEX($AM$1005:$BM$1005,1,MATCH(COLUMNS($AM$1006:BF1006),$AM$1006:$BM$1006,0))&gt;=100000), " ",IF(INDEX($AM$2:$BM$1001,MATCH(ROWS($AF$2:AF875),$AF$2:$AF$1001,0),MATCH(COLUMNS($AM$1006:BF1006),$AM$1006:$BM$1006,0)), HYPERLINK("#",""), HYPERLINK(CONCATENATE("#metadata!", ADDRESS(INDEX($AH$2:$AH$1001,MATCH(ROWS($AF$2:AF875),$AF$2:$AF$1001,0),0), INDEX($AM$1004:$BM$1004,1,MATCH(COLUMNS($AM$1006:BF1006),$AM$1006:$BM$1006,0)))),"Fix")))</f>
        <v xml:space="preserve"> </v>
      </c>
      <c r="V875" s="4" t="str">
        <f ca="1">IF(OR(INDEX($AG$2:$AG$1001,MATCH(ROWS($AF$2:AF875),$AF$2:$AF$1001,0),1)&gt;=100000,INDEX($AM$1005:$BM$1005,1,MATCH(COLUMNS($AM$1006:BG1006),$AM$1006:$BM$1006,0))&gt;=100000), " ",IF(INDEX($AM$2:$BM$1001,MATCH(ROWS($AF$2:AF875),$AF$2:$AF$1001,0),MATCH(COLUMNS($AM$1006:BG1006),$AM$1006:$BM$1006,0)), HYPERLINK("#",""), HYPERLINK(CONCATENATE("#metadata!", ADDRESS(INDEX($AH$2:$AH$1001,MATCH(ROWS($AF$2:AF875),$AF$2:$AF$1001,0),0), INDEX($AM$1004:$BM$1004,1,MATCH(COLUMNS($AM$1006:BG1006),$AM$1006:$BM$1006,0)))),"Fix")))</f>
        <v xml:space="preserve"> </v>
      </c>
      <c r="W875" s="4" t="str">
        <f ca="1">IF(OR(INDEX($AG$2:$AG$1001,MATCH(ROWS($AF$2:AF875),$AF$2:$AF$1001,0),1)&gt;=100000,INDEX($AM$1005:$BM$1005,1,MATCH(COLUMNS($AM$1006:BH1006),$AM$1006:$BM$1006,0))&gt;=100000), " ",IF(INDEX($AM$2:$BM$1001,MATCH(ROWS($AF$2:AF875),$AF$2:$AF$1001,0),MATCH(COLUMNS($AM$1006:BH1006),$AM$1006:$BM$1006,0)), HYPERLINK("#",""), HYPERLINK(CONCATENATE("#metadata!", ADDRESS(INDEX($AH$2:$AH$1001,MATCH(ROWS($AF$2:AF875),$AF$2:$AF$1001,0),0), INDEX($AM$1004:$BM$1004,1,MATCH(COLUMNS($AM$1006:BH1006),$AM$1006:$BM$1006,0)))),"Fix")))</f>
        <v xml:space="preserve"> </v>
      </c>
      <c r="X875" s="4" t="str">
        <f ca="1">IF(OR(INDEX($AG$2:$AG$1001,MATCH(ROWS($AF$2:AF875),$AF$2:$AF$1001,0),1)&gt;=100000,INDEX($AM$1005:$BM$1005,1,MATCH(COLUMNS($AM$1006:BI1006),$AM$1006:$BM$1006,0))&gt;=100000), " ",IF(INDEX($AM$2:$BM$1001,MATCH(ROWS($AF$2:AF875),$AF$2:$AF$1001,0),MATCH(COLUMNS($AM$1006:BI1006),$AM$1006:$BM$1006,0)), HYPERLINK("#",""), HYPERLINK(CONCATENATE("#metadata!", ADDRESS(INDEX($AH$2:$AH$1001,MATCH(ROWS($AF$2:AF875),$AF$2:$AF$1001,0),0), INDEX($AM$1004:$BM$1004,1,MATCH(COLUMNS($AM$1006:BI1006),$AM$1006:$BM$1006,0)))),"Fix")))</f>
        <v xml:space="preserve"> </v>
      </c>
      <c r="Y875" s="4" t="str">
        <f ca="1">IF(OR(INDEX($AG$2:$AG$1001,MATCH(ROWS($AF$2:AF875),$AF$2:$AF$1001,0),1)&gt;=100000,INDEX($AM$1005:$BM$1005,1,MATCH(COLUMNS($AM$1006:BJ1006),$AM$1006:$BM$1006,0))&gt;=100000), " ",IF(INDEX($AM$2:$BM$1001,MATCH(ROWS($AF$2:AF875),$AF$2:$AF$1001,0),MATCH(COLUMNS($AM$1006:BJ1006),$AM$1006:$BM$1006,0)), HYPERLINK("#",""), HYPERLINK(CONCATENATE("#metadata!", ADDRESS(INDEX($AH$2:$AH$1001,MATCH(ROWS($AF$2:AF875),$AF$2:$AF$1001,0),0), INDEX($AM$1004:$BM$1004,1,MATCH(COLUMNS($AM$1006:BJ1006),$AM$1006:$BM$1006,0)))),"Fix")))</f>
        <v xml:space="preserve"> </v>
      </c>
      <c r="Z875" s="4" t="str">
        <f ca="1">IF(OR(INDEX($AG$2:$AG$1001,MATCH(ROWS($AF$2:AF875),$AF$2:$AF$1001,0),1)&gt;=100000,INDEX($AM$1005:$BM$1005,1,MATCH(COLUMNS($AM$1006:BK1006),$AM$1006:$BM$1006,0))&gt;=100000), " ",IF(INDEX($AM$2:$BM$1001,MATCH(ROWS($AF$2:AF875),$AF$2:$AF$1001,0),MATCH(COLUMNS($AM$1006:BK1006),$AM$1006:$BM$1006,0)), HYPERLINK("#",""), HYPERLINK(CONCATENATE("#metadata!", ADDRESS(INDEX($AH$2:$AH$1001,MATCH(ROWS($AF$2:AF875),$AF$2:$AF$1001,0),0), INDEX($AM$1004:$BM$1004,1,MATCH(COLUMNS($AM$1006:BK1006),$AM$1006:$BM$1006,0)))),"Fix")))</f>
        <v xml:space="preserve"> </v>
      </c>
      <c r="AA875" s="4" t="str">
        <f ca="1">IF(OR(INDEX($AG$2:$AG$1001,MATCH(ROWS($AF$2:AF875),$AF$2:$AF$1001,0),1)&gt;=100000,INDEX($AM$1005:$BM$1005,1,MATCH(COLUMNS($AM$1006:BL1006),$AM$1006:$BM$1006,0))&gt;=100000), " ",IF(INDEX($AM$2:$BM$1001,MATCH(ROWS($AF$2:AF875),$AF$2:$AF$1001,0),MATCH(COLUMNS($AM$1006:BL1006),$AM$1006:$BM$1006,0)), HYPERLINK("#",""), HYPERLINK(CONCATENATE("#metadata!", ADDRESS(INDEX($AH$2:$AH$1001,MATCH(ROWS($AF$2:AF875),$AF$2:$AF$1001,0),0), INDEX($AM$1004:$BM$1004,1,MATCH(COLUMNS($AM$1006:BL1006),$AM$1006:$BM$1006,0)))),"Fix")))</f>
        <v xml:space="preserve"> </v>
      </c>
      <c r="AB875" s="4" t="str">
        <f ca="1">IF(OR(INDEX($AG$2:$AG$1001,MATCH(ROWS($AF$2:AF875),$AF$2:$AF$1001,0),1)&gt;=100000,INDEX($AM$1005:$BM$1005,1,MATCH(COLUMNS($AM$1006:BM1006),$AM$1006:$BM$1006,0))&gt;=100000), " ",IF(INDEX($AM$2:$BM$1001,MATCH(ROWS($AF$2:AF875),$AF$2:$AF$1001,0),MATCH(COLUMNS($AM$1006:BM1006),$AM$1006:$BM$1006,0)), HYPERLINK("#",""), HYPERLINK(CONCATENATE("#metadata!", ADDRESS(INDEX($AH$2:$AH$1001,MATCH(ROWS($AF$2:AF875),$AF$2:$AF$1001,0),0), INDEX($AM$1004:$BM$1004,1,MATCH(COLUMNS($AM$1006:BM1006),$AM$1006:$BM$1006,0)))),"Fix")))</f>
        <v xml:space="preserve"> </v>
      </c>
      <c r="AF875">
        <v>874</v>
      </c>
      <c r="AG875">
        <v>100875</v>
      </c>
      <c r="AH875">
        <v>875</v>
      </c>
      <c r="AI875" t="b">
        <f t="shared" si="13"/>
        <v>1</v>
      </c>
      <c r="AJ875" t="b">
        <f>COUNTBLANK(metadata!B875:AB875)=COLUMNS(metadata!B875:AB875)</f>
        <v>1</v>
      </c>
      <c r="AK875" t="str">
        <v/>
      </c>
      <c r="AM875" t="b">
        <f ca="1">AND(IF(metadata!B875="",FALSE,TRUE),COUNTIF(metadata!B:B, metadata!B875) = 1,NOT(ISERROR(SUMPRODUCT(SEARCH(MID(metadata!B875,ROW(INDIRECT("1:"&amp;LEN(metadata!B875))), 1),"0123456789abcdefghijklmnopqrstuvwxyzABCDEFGHIJKLMNOPQRSTUVWXYZ.")))))</f>
        <v>0</v>
      </c>
      <c r="AN875" t="b">
        <f ca="1">OR(AND(IF(metadata!C875="",FALSE,TRUE),OR(EXACT(metadata!C875,"missing: not collected"),EXACT(metadata!C875,"missing: not provided"),EXACT(metadata!C875,"missing: restricted access"))),AND(IF(metadata!C875="",FALSE,TRUE),AND(AND(IFERROR(INT(LEFT(metadata!C875,4))&gt;1900,FALSE),IFERROR(INT(LEFT(metadata!C875,4))&lt;=YEAR(NOW()),FALSE)), OR(MID(metadata!C875,5,1)="", AND(AND(MID(metadata!C875,5,1)="-",IFERROR(INT(MID(metadata!C875,6,1))&gt;=0,FALSE),IFERROR(INT(MID(metadata!C875,6,1))&lt;=1,FALSE),NOT(MID(metadata!C875,7,1)=""),IFERROR(INT(MID(metadata!C875,6,2))&gt;=1,FALSE),IFERROR(INT(MID(metadata!C875,6,2))&lt;=12,FALSE)), OR(MID(metadata!C875,8,1)="", AND(AND(MID(metadata!C875,8,1)="-",IFERROR(INT(MID(metadata!C875,9,1))&gt;=0,FALSE),IFERROR(INT(MID(metadata!C875,9,1))&lt;=3,FALSE),NOT(MID(metadata!C875,10,1)=""),IFERROR(INT(MID(metadata!C875,9,2))&gt;=1,FALSE),IFERROR(INT(MID(metadata!C875,9,2))&lt;=31,FALSE)), OR(MID(metadata!C875,11,1)="", AND(AND(MID(metadata!C875,11,1)=" ",IFERROR(INT(MID(metadata!C875,12,1))&gt;=0,FALSE),IFERROR(INT(MID(metadata!C875,12,1))&lt;=2,FALSE),NOT(MID(metadata!C875,13,1)=""),IFERROR(INT(MID(metadata!C875,12,2))&gt;=0,FALSE),IFERROR(INT(MID(metadata!C875,12,2))&lt;=23,FALSE)), OR(MID(metadata!C875,14,1)="", AND(AND(MID(metadata!C875,14,1)=":",IFERROR(INT(MID(metadata!C875,15,1))&gt;=0,FALSE),IFERROR(INT(MID(metadata!C875,15,1))&lt;=5,FALSE),NOT(MID(metadata!C875,16,1)=""),IFERROR(INT(MID(metadata!C875,15,2))&gt;=0,FALSE),IFERROR(INT(MID(metadata!C875,15,2))&lt;=59,FALSE)), OR(MID(metadata!C875,17,1)="", AND(AND(MID(metadata!C875,17,1)=":",IFERROR(INT(MID(metadata!C875,18,1))&gt;=0,FALSE),IFERROR(INT(MID(metadata!C875,18,1))&lt;=5,FALSE),NOT(MID(metadata!C875,19,1)=""),IFERROR(INT(MID(metadata!C875,18,2))&gt;=0,FALSE),IFERROR(INT(MID(metadata!C875,18,2))&lt;=59,FALSE)), LEN(metadata!C875)&lt;=19)))))))))))))</f>
        <v>0</v>
      </c>
      <c r="AO875" t="b">
        <f>AND(IF(metadata!D875="",FALSE,TRUE),EXACT(metadata!D875,"Not applicable"))</f>
        <v>0</v>
      </c>
      <c r="AP875" t="b">
        <f>IF(metadata!E875="",FALSE,TRUE)</f>
        <v>0</v>
      </c>
      <c r="AQ875" t="b">
        <f>OR(AND(IF(metadata!F875="",FALSE,TRUE),OR(EXACT(metadata!F875,"missing: not collected"),EXACT(metadata!F875,"missing: not provided"))),AND(IF(metadata!F875="",FALSE,TRUE),OR(EXACT(metadata!F875,"TRUE"),EXACT(metadata!F875,"FALSE"))))</f>
        <v>0</v>
      </c>
      <c r="AR875" t="b">
        <f>OR(AND(IF(metadata!G875="",FALSE,TRUE),OR(EXACT(metadata!G875,"missing: not collected"),EXACT(metadata!G875,"missing: not provided"),EXACT(metadata!G875,"missing: restricted access"))),AND(IF(metadata!G875="",FALSE,ISNUMBER(VALUE(metadata!G875))),metadata!G875&gt;=-413))</f>
        <v>0</v>
      </c>
      <c r="AS875" t="b">
        <f>AND(IF(metadata!H875="",FALSE,TRUE),EXACT(metadata!H875,"meters"))</f>
        <v>0</v>
      </c>
      <c r="AT875" t="b">
        <f>AND(IF(metadata!I875="",FALSE,TRUE),OR(EXACT(metadata!I875,"Host-associated"),EXACT(metadata!I875,"Free-living")))</f>
        <v>0</v>
      </c>
      <c r="AU875" t="b">
        <f>AND(IF(metadata!J875="",FALSE,TRUE),OR(EXACT(metadata!J875,"Animal"),EXACT(metadata!J875,"Fungus"),EXACT(metadata!J875,"Plant"),EXACT(metadata!J875,"Saline"),EXACT(metadata!J875,"Non-saline")))</f>
        <v>0</v>
      </c>
      <c r="AV875" t="b">
        <f>AND(IF(metadata!K875="",FALSE,TRUE),OR(EXACT(metadata!K875,"Plant secretion"),EXACT(metadata!K875,"Plant rhizosphere"),EXACT(metadata!K875,"Plant surface"),EXACT(metadata!K875,"Plant corpus"),EXACT(metadata!K875,"Fungus surface"),EXACT(metadata!K875,"Fungus corpus"),EXACT(metadata!K875,"Animal surface"),EXACT(metadata!K875,"Animal proximal gut"),EXACT(metadata!K875,"Animal corpus"),EXACT(metadata!K875,"Animal distal gut"),EXACT(metadata!K875,"Animal secretion"),EXACT(metadata!K875,"Sub-surface (non-saline)"),EXACT(metadata!K875,"Surface (non-saline)"),EXACT(metadata!K875,"Water (non-saline)"),EXACT(metadata!K875,"Soil (non-saline)"),EXACT(metadata!K875,"Aerosol (non-saline)"),EXACT(metadata!K875,"Sediment (non-saline)"),EXACT(metadata!K875,"Surface (saline)"),EXACT(metadata!K875,"Water (saline)"),EXACT(metadata!K875,"Hypersaline (saline)"),EXACT(metadata!K875,"Aerosol (saline)"),EXACT(metadata!K875,"Sediment (saline)")))</f>
        <v>0</v>
      </c>
      <c r="AW875" t="b">
        <f>IF(metadata!L875="",FALSE,TRUE)</f>
        <v>0</v>
      </c>
      <c r="AX875" t="b">
        <f>IF(metadata!M875="",FALSE,TRUE)</f>
        <v>0</v>
      </c>
      <c r="AY875" t="b">
        <f>IF(metadata!N875="",FALSE,TRUE)</f>
        <v>0</v>
      </c>
      <c r="AZ875" t="b">
        <f>OR(AND(IF(metadata!O875="",FALSE,TRUE),OR(EXACT(metadata!O875,"missing: not collected"),EXACT(metadata!O875,"missing: not provided"),EXACT(metadata!O875,"missing: restricted access"))),AND(IF(metadata!O875="",FALSE,TRUE),OR(EXACT(metadata!O875,"air"),EXACT(metadata!O875,"built environment"),EXACT(metadata!O875,"host-associated"),EXACT(metadata!O875,"human-associated"),EXACT(metadata!O875,"human-skin"),EXACT(metadata!O875,"human-oral"),EXACT(metadata!O875,"human-gut"),EXACT(metadata!O875,"human-vaginal"),EXACT(metadata!O875,"microbial mat/biofilm"),EXACT(metadata!O875,"misc environment"),EXACT(metadata!O875,"plant-associated"),EXACT(metadata!O875,"sediment"),EXACT(metadata!O875,"soil"),EXACT(metadata!O875,"wastewater/sludge"),EXACT(metadata!O875,"water"))))</f>
        <v>0</v>
      </c>
      <c r="BA875" t="b">
        <f>IF(metadata!P875="",FALSE,TRUE)</f>
        <v>0</v>
      </c>
      <c r="BB875" t="b">
        <f>IF(metadata!Q875="",FALSE,TRUE)</f>
        <v>0</v>
      </c>
      <c r="BC875" t="b">
        <f>OR(AND(IF(metadata!R875="",FALSE,TRUE),OR(EXACT(metadata!R875,"missing: not collected"),EXACT(metadata!R875,"missing: not provided"),EXACT(metadata!R875,"missing: restricted access"))),AND(IF(metadata!R875="",FALSE,ISNUMBER(VALUE(metadata!R875))),metadata!R875&gt;=-90,metadata!R875&lt;=90))</f>
        <v>0</v>
      </c>
      <c r="BD875" t="b">
        <f>AND(IF(metadata!S875="",FALSE,TRUE),EXACT(metadata!S875,"Decimal degrees"))</f>
        <v>0</v>
      </c>
      <c r="BE875" t="b">
        <f>OR(AND(IF(metadata!T875="",FALSE,TRUE),OR(EXACT(metadata!T875,"missing: not collected"),EXACT(metadata!T875,"missing: not provided"),EXACT(metadata!T875,"missing: restricted access"))),AND(IF(metadata!T875="",FALSE,ISNUMBER(VALUE(metadata!T875))),metadata!T875&gt;=-180,metadata!T875&lt;=180))</f>
        <v>0</v>
      </c>
      <c r="BF875" t="b">
        <f>AND(IF(metadata!U875="",FALSE,TRUE),EXACT(metadata!U875,"Decimal degrees"))</f>
        <v>0</v>
      </c>
      <c r="BG875" t="b">
        <f>IF(metadata!V875="",FALSE,TRUE)</f>
        <v>0</v>
      </c>
      <c r="BH875" t="b">
        <f>OR(AND(IF(metadata!W875="",FALSE,TRUE),OR(EXACT(metadata!W875,"missing: not collected"),EXACT(metadata!W875,"missing: not provided"),EXACT(metadata!W875,"missing: restricted access"))),AND(IF(metadata!W875="",FALSE,TRUE),OR(EXACT(metadata!W875,"TRUE"),EXACT(metadata!W875,"FALSE"))))</f>
        <v>0</v>
      </c>
      <c r="BI875" t="b">
        <f>AND(IF(metadata!X875="",FALSE,TRUE),EXACT(metadata!X875,"other"))</f>
        <v>0</v>
      </c>
      <c r="BJ875" t="b">
        <f>IF(metadata!Y875="",FALSE,TRUE)</f>
        <v>0</v>
      </c>
      <c r="BK875" t="b">
        <f>OR(AND(IF(metadata!Z875="",FALSE,TRUE),OR(EXACT(metadata!Z875,"missing: not collected"),EXACT(metadata!Z875,"missing: not provided"))),AND(IF(metadata!Z875="",FALSE,IF(ISERROR(INT(metadata!Z875)),FALSE,INT(metadata!Z875)=metadata!Z875)),metadata!Z875&gt;0))</f>
        <v>0</v>
      </c>
      <c r="BL875" t="b">
        <f>AND(IF(metadata!AA875="",FALSE,TRUE),EXACT(metadata!AA875,"Not applicable"))</f>
        <v>0</v>
      </c>
      <c r="BM875" t="b">
        <f>IF(metadata!AB875="",FALSE,TRUE)</f>
        <v>0</v>
      </c>
    </row>
    <row r="876" spans="1:65" x14ac:dyDescent="0.2">
      <c r="A876" s="5" t="str">
        <f ca="1">IF(B876=" "," ",HYPERLINK(CONCATENATE("#metadata!",ADDRESS(INDEX($AH$2:$AH$1001,MATCH(ROWS($AF$2:AF876),$AF$2:$AF$1001,0),0),1)),INDEX($AK$2:$AK$1001,MATCH(ROWS($AF$2:AF876),$AF$2:$AF$1001,0),0)))</f>
        <v xml:space="preserve"> </v>
      </c>
      <c r="B876" s="4" t="str">
        <f ca="1">IF(OR(INDEX($AG$2:$AG$1001,MATCH(ROWS($AF$2:AF876),$AF$2:$AF$1001,0),1)&gt;=100000,INDEX($AM$1005:$BM$1005,1,MATCH(COLUMNS($AM$1006:AM1006),$AM$1006:$BM$1006,0))&gt;=100000), " ",IF(INDEX($AM$2:$BM$1001,MATCH(ROWS($AF$2:AF876),$AF$2:$AF$1001,0),MATCH(COLUMNS($AM$1006:AM1006),$AM$1006:$BM$1006,0)), HYPERLINK("#",""), HYPERLINK(CONCATENATE("#metadata!", ADDRESS(INDEX($AH$2:$AH$1001,MATCH(ROWS($AF$2:AF876),$AF$2:$AF$1001,0),0), INDEX($AM$1004:$BM$1004,1,MATCH(COLUMNS($AM$1006:AM1006),$AM$1006:$BM$1006,0)))),"Fix")))</f>
        <v xml:space="preserve"> </v>
      </c>
      <c r="C876" s="4" t="str">
        <f ca="1">IF(OR(INDEX($AG$2:$AG$1001,MATCH(ROWS($AF$2:AF876),$AF$2:$AF$1001,0),1)&gt;=100000,INDEX($AM$1005:$BM$1005,1,MATCH(COLUMNS($AM$1006:AN1006),$AM$1006:$BM$1006,0))&gt;=100000), " ",IF(INDEX($AM$2:$BM$1001,MATCH(ROWS($AF$2:AF876),$AF$2:$AF$1001,0),MATCH(COLUMNS($AM$1006:AN1006),$AM$1006:$BM$1006,0)), HYPERLINK("#",""), HYPERLINK(CONCATENATE("#metadata!", ADDRESS(INDEX($AH$2:$AH$1001,MATCH(ROWS($AF$2:AF876),$AF$2:$AF$1001,0),0), INDEX($AM$1004:$BM$1004,1,MATCH(COLUMNS($AM$1006:AN1006),$AM$1006:$BM$1006,0)))),"Fix")))</f>
        <v xml:space="preserve"> </v>
      </c>
      <c r="D876" s="4" t="str">
        <f ca="1">IF(OR(INDEX($AG$2:$AG$1001,MATCH(ROWS($AF$2:AF876),$AF$2:$AF$1001,0),1)&gt;=100000,INDEX($AM$1005:$BM$1005,1,MATCH(COLUMNS($AM$1006:AO1006),$AM$1006:$BM$1006,0))&gt;=100000), " ",IF(INDEX($AM$2:$BM$1001,MATCH(ROWS($AF$2:AF876),$AF$2:$AF$1001,0),MATCH(COLUMNS($AM$1006:AO1006),$AM$1006:$BM$1006,0)), HYPERLINK("#",""), HYPERLINK(CONCATENATE("#metadata!", ADDRESS(INDEX($AH$2:$AH$1001,MATCH(ROWS($AF$2:AF876),$AF$2:$AF$1001,0),0), INDEX($AM$1004:$BM$1004,1,MATCH(COLUMNS($AM$1006:AO1006),$AM$1006:$BM$1006,0)))),"Fix")))</f>
        <v xml:space="preserve"> </v>
      </c>
      <c r="E876" s="4" t="str">
        <f ca="1">IF(OR(INDEX($AG$2:$AG$1001,MATCH(ROWS($AF$2:AF876),$AF$2:$AF$1001,0),1)&gt;=100000,INDEX($AM$1005:$BM$1005,1,MATCH(COLUMNS($AM$1006:AP1006),$AM$1006:$BM$1006,0))&gt;=100000), " ",IF(INDEX($AM$2:$BM$1001,MATCH(ROWS($AF$2:AF876),$AF$2:$AF$1001,0),MATCH(COLUMNS($AM$1006:AP1006),$AM$1006:$BM$1006,0)), HYPERLINK("#",""), HYPERLINK(CONCATENATE("#metadata!", ADDRESS(INDEX($AH$2:$AH$1001,MATCH(ROWS($AF$2:AF876),$AF$2:$AF$1001,0),0), INDEX($AM$1004:$BM$1004,1,MATCH(COLUMNS($AM$1006:AP1006),$AM$1006:$BM$1006,0)))),"Fix")))</f>
        <v xml:space="preserve"> </v>
      </c>
      <c r="F876" s="4" t="str">
        <f ca="1">IF(OR(INDEX($AG$2:$AG$1001,MATCH(ROWS($AF$2:AF876),$AF$2:$AF$1001,0),1)&gt;=100000,INDEX($AM$1005:$BM$1005,1,MATCH(COLUMNS($AM$1006:AQ1006),$AM$1006:$BM$1006,0))&gt;=100000), " ",IF(INDEX($AM$2:$BM$1001,MATCH(ROWS($AF$2:AF876),$AF$2:$AF$1001,0),MATCH(COLUMNS($AM$1006:AQ1006),$AM$1006:$BM$1006,0)), HYPERLINK("#",""), HYPERLINK(CONCATENATE("#metadata!", ADDRESS(INDEX($AH$2:$AH$1001,MATCH(ROWS($AF$2:AF876),$AF$2:$AF$1001,0),0), INDEX($AM$1004:$BM$1004,1,MATCH(COLUMNS($AM$1006:AQ1006),$AM$1006:$BM$1006,0)))),"Fix")))</f>
        <v xml:space="preserve"> </v>
      </c>
      <c r="G876" s="4" t="str">
        <f ca="1">IF(OR(INDEX($AG$2:$AG$1001,MATCH(ROWS($AF$2:AF876),$AF$2:$AF$1001,0),1)&gt;=100000,INDEX($AM$1005:$BM$1005,1,MATCH(COLUMNS($AM$1006:AR1006),$AM$1006:$BM$1006,0))&gt;=100000), " ",IF(INDEX($AM$2:$BM$1001,MATCH(ROWS($AF$2:AF876),$AF$2:$AF$1001,0),MATCH(COLUMNS($AM$1006:AR1006),$AM$1006:$BM$1006,0)), HYPERLINK("#",""), HYPERLINK(CONCATENATE("#metadata!", ADDRESS(INDEX($AH$2:$AH$1001,MATCH(ROWS($AF$2:AF876),$AF$2:$AF$1001,0),0), INDEX($AM$1004:$BM$1004,1,MATCH(COLUMNS($AM$1006:AR1006),$AM$1006:$BM$1006,0)))),"Fix")))</f>
        <v xml:space="preserve"> </v>
      </c>
      <c r="H876" s="4" t="str">
        <f ca="1">IF(OR(INDEX($AG$2:$AG$1001,MATCH(ROWS($AF$2:AF876),$AF$2:$AF$1001,0),1)&gt;=100000,INDEX($AM$1005:$BM$1005,1,MATCH(COLUMNS($AM$1006:AS1006),$AM$1006:$BM$1006,0))&gt;=100000), " ",IF(INDEX($AM$2:$BM$1001,MATCH(ROWS($AF$2:AF876),$AF$2:$AF$1001,0),MATCH(COLUMNS($AM$1006:AS1006),$AM$1006:$BM$1006,0)), HYPERLINK("#",""), HYPERLINK(CONCATENATE("#metadata!", ADDRESS(INDEX($AH$2:$AH$1001,MATCH(ROWS($AF$2:AF876),$AF$2:$AF$1001,0),0), INDEX($AM$1004:$BM$1004,1,MATCH(COLUMNS($AM$1006:AS1006),$AM$1006:$BM$1006,0)))),"Fix")))</f>
        <v xml:space="preserve"> </v>
      </c>
      <c r="I876" s="4" t="str">
        <f ca="1">IF(OR(INDEX($AG$2:$AG$1001,MATCH(ROWS($AF$2:AF876),$AF$2:$AF$1001,0),1)&gt;=100000,INDEX($AM$1005:$BM$1005,1,MATCH(COLUMNS($AM$1006:AT1006),$AM$1006:$BM$1006,0))&gt;=100000), " ",IF(INDEX($AM$2:$BM$1001,MATCH(ROWS($AF$2:AF876),$AF$2:$AF$1001,0),MATCH(COLUMNS($AM$1006:AT1006),$AM$1006:$BM$1006,0)), HYPERLINK("#",""), HYPERLINK(CONCATENATE("#metadata!", ADDRESS(INDEX($AH$2:$AH$1001,MATCH(ROWS($AF$2:AF876),$AF$2:$AF$1001,0),0), INDEX($AM$1004:$BM$1004,1,MATCH(COLUMNS($AM$1006:AT1006),$AM$1006:$BM$1006,0)))),"Fix")))</f>
        <v xml:space="preserve"> </v>
      </c>
      <c r="J876" s="4" t="str">
        <f ca="1">IF(OR(INDEX($AG$2:$AG$1001,MATCH(ROWS($AF$2:AF876),$AF$2:$AF$1001,0),1)&gt;=100000,INDEX($AM$1005:$BM$1005,1,MATCH(COLUMNS($AM$1006:AU1006),$AM$1006:$BM$1006,0))&gt;=100000), " ",IF(INDEX($AM$2:$BM$1001,MATCH(ROWS($AF$2:AF876),$AF$2:$AF$1001,0),MATCH(COLUMNS($AM$1006:AU1006),$AM$1006:$BM$1006,0)), HYPERLINK("#",""), HYPERLINK(CONCATENATE("#metadata!", ADDRESS(INDEX($AH$2:$AH$1001,MATCH(ROWS($AF$2:AF876),$AF$2:$AF$1001,0),0), INDEX($AM$1004:$BM$1004,1,MATCH(COLUMNS($AM$1006:AU1006),$AM$1006:$BM$1006,0)))),"Fix")))</f>
        <v xml:space="preserve"> </v>
      </c>
      <c r="K876" s="4" t="str">
        <f ca="1">IF(OR(INDEX($AG$2:$AG$1001,MATCH(ROWS($AF$2:AF876),$AF$2:$AF$1001,0),1)&gt;=100000,INDEX($AM$1005:$BM$1005,1,MATCH(COLUMNS($AM$1006:AV1006),$AM$1006:$BM$1006,0))&gt;=100000), " ",IF(INDEX($AM$2:$BM$1001,MATCH(ROWS($AF$2:AF876),$AF$2:$AF$1001,0),MATCH(COLUMNS($AM$1006:AV1006),$AM$1006:$BM$1006,0)), HYPERLINK("#",""), HYPERLINK(CONCATENATE("#metadata!", ADDRESS(INDEX($AH$2:$AH$1001,MATCH(ROWS($AF$2:AF876),$AF$2:$AF$1001,0),0), INDEX($AM$1004:$BM$1004,1,MATCH(COLUMNS($AM$1006:AV1006),$AM$1006:$BM$1006,0)))),"Fix")))</f>
        <v xml:space="preserve"> </v>
      </c>
      <c r="L876" s="4" t="str">
        <f ca="1">IF(OR(INDEX($AG$2:$AG$1001,MATCH(ROWS($AF$2:AF876),$AF$2:$AF$1001,0),1)&gt;=100000,INDEX($AM$1005:$BM$1005,1,MATCH(COLUMNS($AM$1006:AW1006),$AM$1006:$BM$1006,0))&gt;=100000), " ",IF(INDEX($AM$2:$BM$1001,MATCH(ROWS($AF$2:AF876),$AF$2:$AF$1001,0),MATCH(COLUMNS($AM$1006:AW1006),$AM$1006:$BM$1006,0)), HYPERLINK("#",""), HYPERLINK(CONCATENATE("#metadata!", ADDRESS(INDEX($AH$2:$AH$1001,MATCH(ROWS($AF$2:AF876),$AF$2:$AF$1001,0),0), INDEX($AM$1004:$BM$1004,1,MATCH(COLUMNS($AM$1006:AW1006),$AM$1006:$BM$1006,0)))),"Fix")))</f>
        <v xml:space="preserve"> </v>
      </c>
      <c r="M876" s="4" t="str">
        <f ca="1">IF(OR(INDEX($AG$2:$AG$1001,MATCH(ROWS($AF$2:AF876),$AF$2:$AF$1001,0),1)&gt;=100000,INDEX($AM$1005:$BM$1005,1,MATCH(COLUMNS($AM$1006:AX1006),$AM$1006:$BM$1006,0))&gt;=100000), " ",IF(INDEX($AM$2:$BM$1001,MATCH(ROWS($AF$2:AF876),$AF$2:$AF$1001,0),MATCH(COLUMNS($AM$1006:AX1006),$AM$1006:$BM$1006,0)), HYPERLINK("#",""), HYPERLINK(CONCATENATE("#metadata!", ADDRESS(INDEX($AH$2:$AH$1001,MATCH(ROWS($AF$2:AF876),$AF$2:$AF$1001,0),0), INDEX($AM$1004:$BM$1004,1,MATCH(COLUMNS($AM$1006:AX1006),$AM$1006:$BM$1006,0)))),"Fix")))</f>
        <v xml:space="preserve"> </v>
      </c>
      <c r="N876" s="4" t="str">
        <f ca="1">IF(OR(INDEX($AG$2:$AG$1001,MATCH(ROWS($AF$2:AF876),$AF$2:$AF$1001,0),1)&gt;=100000,INDEX($AM$1005:$BM$1005,1,MATCH(COLUMNS($AM$1006:AY1006),$AM$1006:$BM$1006,0))&gt;=100000), " ",IF(INDEX($AM$2:$BM$1001,MATCH(ROWS($AF$2:AF876),$AF$2:$AF$1001,0),MATCH(COLUMNS($AM$1006:AY1006),$AM$1006:$BM$1006,0)), HYPERLINK("#",""), HYPERLINK(CONCATENATE("#metadata!", ADDRESS(INDEX($AH$2:$AH$1001,MATCH(ROWS($AF$2:AF876),$AF$2:$AF$1001,0),0), INDEX($AM$1004:$BM$1004,1,MATCH(COLUMNS($AM$1006:AY1006),$AM$1006:$BM$1006,0)))),"Fix")))</f>
        <v xml:space="preserve"> </v>
      </c>
      <c r="O876" s="4" t="str">
        <f ca="1">IF(OR(INDEX($AG$2:$AG$1001,MATCH(ROWS($AF$2:AF876),$AF$2:$AF$1001,0),1)&gt;=100000,INDEX($AM$1005:$BM$1005,1,MATCH(COLUMNS($AM$1006:AZ1006),$AM$1006:$BM$1006,0))&gt;=100000), " ",IF(INDEX($AM$2:$BM$1001,MATCH(ROWS($AF$2:AF876),$AF$2:$AF$1001,0),MATCH(COLUMNS($AM$1006:AZ1006),$AM$1006:$BM$1006,0)), HYPERLINK("#",""), HYPERLINK(CONCATENATE("#metadata!", ADDRESS(INDEX($AH$2:$AH$1001,MATCH(ROWS($AF$2:AF876),$AF$2:$AF$1001,0),0), INDEX($AM$1004:$BM$1004,1,MATCH(COLUMNS($AM$1006:AZ1006),$AM$1006:$BM$1006,0)))),"Fix")))</f>
        <v xml:space="preserve"> </v>
      </c>
      <c r="P876" s="4" t="str">
        <f ca="1">IF(OR(INDEX($AG$2:$AG$1001,MATCH(ROWS($AF$2:AF876),$AF$2:$AF$1001,0),1)&gt;=100000,INDEX($AM$1005:$BM$1005,1,MATCH(COLUMNS($AM$1006:BA1006),$AM$1006:$BM$1006,0))&gt;=100000), " ",IF(INDEX($AM$2:$BM$1001,MATCH(ROWS($AF$2:AF876),$AF$2:$AF$1001,0),MATCH(COLUMNS($AM$1006:BA1006),$AM$1006:$BM$1006,0)), HYPERLINK("#",""), HYPERLINK(CONCATENATE("#metadata!", ADDRESS(INDEX($AH$2:$AH$1001,MATCH(ROWS($AF$2:AF876),$AF$2:$AF$1001,0),0), INDEX($AM$1004:$BM$1004,1,MATCH(COLUMNS($AM$1006:BA1006),$AM$1006:$BM$1006,0)))),"Fix")))</f>
        <v xml:space="preserve"> </v>
      </c>
      <c r="Q876" s="4" t="str">
        <f ca="1">IF(OR(INDEX($AG$2:$AG$1001,MATCH(ROWS($AF$2:AF876),$AF$2:$AF$1001,0),1)&gt;=100000,INDEX($AM$1005:$BM$1005,1,MATCH(COLUMNS($AM$1006:BB1006),$AM$1006:$BM$1006,0))&gt;=100000), " ",IF(INDEX($AM$2:$BM$1001,MATCH(ROWS($AF$2:AF876),$AF$2:$AF$1001,0),MATCH(COLUMNS($AM$1006:BB1006),$AM$1006:$BM$1006,0)), HYPERLINK("#",""), HYPERLINK(CONCATENATE("#metadata!", ADDRESS(INDEX($AH$2:$AH$1001,MATCH(ROWS($AF$2:AF876),$AF$2:$AF$1001,0),0), INDEX($AM$1004:$BM$1004,1,MATCH(COLUMNS($AM$1006:BB1006),$AM$1006:$BM$1006,0)))),"Fix")))</f>
        <v xml:space="preserve"> </v>
      </c>
      <c r="R876" s="4" t="str">
        <f ca="1">IF(OR(INDEX($AG$2:$AG$1001,MATCH(ROWS($AF$2:AF876),$AF$2:$AF$1001,0),1)&gt;=100000,INDEX($AM$1005:$BM$1005,1,MATCH(COLUMNS($AM$1006:BC1006),$AM$1006:$BM$1006,0))&gt;=100000), " ",IF(INDEX($AM$2:$BM$1001,MATCH(ROWS($AF$2:AF876),$AF$2:$AF$1001,0),MATCH(COLUMNS($AM$1006:BC1006),$AM$1006:$BM$1006,0)), HYPERLINK("#",""), HYPERLINK(CONCATENATE("#metadata!", ADDRESS(INDEX($AH$2:$AH$1001,MATCH(ROWS($AF$2:AF876),$AF$2:$AF$1001,0),0), INDEX($AM$1004:$BM$1004,1,MATCH(COLUMNS($AM$1006:BC1006),$AM$1006:$BM$1006,0)))),"Fix")))</f>
        <v xml:space="preserve"> </v>
      </c>
      <c r="S876" s="4" t="str">
        <f ca="1">IF(OR(INDEX($AG$2:$AG$1001,MATCH(ROWS($AF$2:AF876),$AF$2:$AF$1001,0),1)&gt;=100000,INDEX($AM$1005:$BM$1005,1,MATCH(COLUMNS($AM$1006:BD1006),$AM$1006:$BM$1006,0))&gt;=100000), " ",IF(INDEX($AM$2:$BM$1001,MATCH(ROWS($AF$2:AF876),$AF$2:$AF$1001,0),MATCH(COLUMNS($AM$1006:BD1006),$AM$1006:$BM$1006,0)), HYPERLINK("#",""), HYPERLINK(CONCATENATE("#metadata!", ADDRESS(INDEX($AH$2:$AH$1001,MATCH(ROWS($AF$2:AF876),$AF$2:$AF$1001,0),0), INDEX($AM$1004:$BM$1004,1,MATCH(COLUMNS($AM$1006:BD1006),$AM$1006:$BM$1006,0)))),"Fix")))</f>
        <v xml:space="preserve"> </v>
      </c>
      <c r="T876" s="4" t="str">
        <f ca="1">IF(OR(INDEX($AG$2:$AG$1001,MATCH(ROWS($AF$2:AF876),$AF$2:$AF$1001,0),1)&gt;=100000,INDEX($AM$1005:$BM$1005,1,MATCH(COLUMNS($AM$1006:BE1006),$AM$1006:$BM$1006,0))&gt;=100000), " ",IF(INDEX($AM$2:$BM$1001,MATCH(ROWS($AF$2:AF876),$AF$2:$AF$1001,0),MATCH(COLUMNS($AM$1006:BE1006),$AM$1006:$BM$1006,0)), HYPERLINK("#",""), HYPERLINK(CONCATENATE("#metadata!", ADDRESS(INDEX($AH$2:$AH$1001,MATCH(ROWS($AF$2:AF876),$AF$2:$AF$1001,0),0), INDEX($AM$1004:$BM$1004,1,MATCH(COLUMNS($AM$1006:BE1006),$AM$1006:$BM$1006,0)))),"Fix")))</f>
        <v xml:space="preserve"> </v>
      </c>
      <c r="U876" s="4" t="str">
        <f ca="1">IF(OR(INDEX($AG$2:$AG$1001,MATCH(ROWS($AF$2:AF876),$AF$2:$AF$1001,0),1)&gt;=100000,INDEX($AM$1005:$BM$1005,1,MATCH(COLUMNS($AM$1006:BF1006),$AM$1006:$BM$1006,0))&gt;=100000), " ",IF(INDEX($AM$2:$BM$1001,MATCH(ROWS($AF$2:AF876),$AF$2:$AF$1001,0),MATCH(COLUMNS($AM$1006:BF1006),$AM$1006:$BM$1006,0)), HYPERLINK("#",""), HYPERLINK(CONCATENATE("#metadata!", ADDRESS(INDEX($AH$2:$AH$1001,MATCH(ROWS($AF$2:AF876),$AF$2:$AF$1001,0),0), INDEX($AM$1004:$BM$1004,1,MATCH(COLUMNS($AM$1006:BF1006),$AM$1006:$BM$1006,0)))),"Fix")))</f>
        <v xml:space="preserve"> </v>
      </c>
      <c r="V876" s="4" t="str">
        <f ca="1">IF(OR(INDEX($AG$2:$AG$1001,MATCH(ROWS($AF$2:AF876),$AF$2:$AF$1001,0),1)&gt;=100000,INDEX($AM$1005:$BM$1005,1,MATCH(COLUMNS($AM$1006:BG1006),$AM$1006:$BM$1006,0))&gt;=100000), " ",IF(INDEX($AM$2:$BM$1001,MATCH(ROWS($AF$2:AF876),$AF$2:$AF$1001,0),MATCH(COLUMNS($AM$1006:BG1006),$AM$1006:$BM$1006,0)), HYPERLINK("#",""), HYPERLINK(CONCATENATE("#metadata!", ADDRESS(INDEX($AH$2:$AH$1001,MATCH(ROWS($AF$2:AF876),$AF$2:$AF$1001,0),0), INDEX($AM$1004:$BM$1004,1,MATCH(COLUMNS($AM$1006:BG1006),$AM$1006:$BM$1006,0)))),"Fix")))</f>
        <v xml:space="preserve"> </v>
      </c>
      <c r="W876" s="4" t="str">
        <f ca="1">IF(OR(INDEX($AG$2:$AG$1001,MATCH(ROWS($AF$2:AF876),$AF$2:$AF$1001,0),1)&gt;=100000,INDEX($AM$1005:$BM$1005,1,MATCH(COLUMNS($AM$1006:BH1006),$AM$1006:$BM$1006,0))&gt;=100000), " ",IF(INDEX($AM$2:$BM$1001,MATCH(ROWS($AF$2:AF876),$AF$2:$AF$1001,0),MATCH(COLUMNS($AM$1006:BH1006),$AM$1006:$BM$1006,0)), HYPERLINK("#",""), HYPERLINK(CONCATENATE("#metadata!", ADDRESS(INDEX($AH$2:$AH$1001,MATCH(ROWS($AF$2:AF876),$AF$2:$AF$1001,0),0), INDEX($AM$1004:$BM$1004,1,MATCH(COLUMNS($AM$1006:BH1006),$AM$1006:$BM$1006,0)))),"Fix")))</f>
        <v xml:space="preserve"> </v>
      </c>
      <c r="X876" s="4" t="str">
        <f ca="1">IF(OR(INDEX($AG$2:$AG$1001,MATCH(ROWS($AF$2:AF876),$AF$2:$AF$1001,0),1)&gt;=100000,INDEX($AM$1005:$BM$1005,1,MATCH(COLUMNS($AM$1006:BI1006),$AM$1006:$BM$1006,0))&gt;=100000), " ",IF(INDEX($AM$2:$BM$1001,MATCH(ROWS($AF$2:AF876),$AF$2:$AF$1001,0),MATCH(COLUMNS($AM$1006:BI1006),$AM$1006:$BM$1006,0)), HYPERLINK("#",""), HYPERLINK(CONCATENATE("#metadata!", ADDRESS(INDEX($AH$2:$AH$1001,MATCH(ROWS($AF$2:AF876),$AF$2:$AF$1001,0),0), INDEX($AM$1004:$BM$1004,1,MATCH(COLUMNS($AM$1006:BI1006),$AM$1006:$BM$1006,0)))),"Fix")))</f>
        <v xml:space="preserve"> </v>
      </c>
      <c r="Y876" s="4" t="str">
        <f ca="1">IF(OR(INDEX($AG$2:$AG$1001,MATCH(ROWS($AF$2:AF876),$AF$2:$AF$1001,0),1)&gt;=100000,INDEX($AM$1005:$BM$1005,1,MATCH(COLUMNS($AM$1006:BJ1006),$AM$1006:$BM$1006,0))&gt;=100000), " ",IF(INDEX($AM$2:$BM$1001,MATCH(ROWS($AF$2:AF876),$AF$2:$AF$1001,0),MATCH(COLUMNS($AM$1006:BJ1006),$AM$1006:$BM$1006,0)), HYPERLINK("#",""), HYPERLINK(CONCATENATE("#metadata!", ADDRESS(INDEX($AH$2:$AH$1001,MATCH(ROWS($AF$2:AF876),$AF$2:$AF$1001,0),0), INDEX($AM$1004:$BM$1004,1,MATCH(COLUMNS($AM$1006:BJ1006),$AM$1006:$BM$1006,0)))),"Fix")))</f>
        <v xml:space="preserve"> </v>
      </c>
      <c r="Z876" s="4" t="str">
        <f ca="1">IF(OR(INDEX($AG$2:$AG$1001,MATCH(ROWS($AF$2:AF876),$AF$2:$AF$1001,0),1)&gt;=100000,INDEX($AM$1005:$BM$1005,1,MATCH(COLUMNS($AM$1006:BK1006),$AM$1006:$BM$1006,0))&gt;=100000), " ",IF(INDEX($AM$2:$BM$1001,MATCH(ROWS($AF$2:AF876),$AF$2:$AF$1001,0),MATCH(COLUMNS($AM$1006:BK1006),$AM$1006:$BM$1006,0)), HYPERLINK("#",""), HYPERLINK(CONCATENATE("#metadata!", ADDRESS(INDEX($AH$2:$AH$1001,MATCH(ROWS($AF$2:AF876),$AF$2:$AF$1001,0),0), INDEX($AM$1004:$BM$1004,1,MATCH(COLUMNS($AM$1006:BK1006),$AM$1006:$BM$1006,0)))),"Fix")))</f>
        <v xml:space="preserve"> </v>
      </c>
      <c r="AA876" s="4" t="str">
        <f ca="1">IF(OR(INDEX($AG$2:$AG$1001,MATCH(ROWS($AF$2:AF876),$AF$2:$AF$1001,0),1)&gt;=100000,INDEX($AM$1005:$BM$1005,1,MATCH(COLUMNS($AM$1006:BL1006),$AM$1006:$BM$1006,0))&gt;=100000), " ",IF(INDEX($AM$2:$BM$1001,MATCH(ROWS($AF$2:AF876),$AF$2:$AF$1001,0),MATCH(COLUMNS($AM$1006:BL1006),$AM$1006:$BM$1006,0)), HYPERLINK("#",""), HYPERLINK(CONCATENATE("#metadata!", ADDRESS(INDEX($AH$2:$AH$1001,MATCH(ROWS($AF$2:AF876),$AF$2:$AF$1001,0),0), INDEX($AM$1004:$BM$1004,1,MATCH(COLUMNS($AM$1006:BL1006),$AM$1006:$BM$1006,0)))),"Fix")))</f>
        <v xml:space="preserve"> </v>
      </c>
      <c r="AB876" s="4" t="str">
        <f ca="1">IF(OR(INDEX($AG$2:$AG$1001,MATCH(ROWS($AF$2:AF876),$AF$2:$AF$1001,0),1)&gt;=100000,INDEX($AM$1005:$BM$1005,1,MATCH(COLUMNS($AM$1006:BM1006),$AM$1006:$BM$1006,0))&gt;=100000), " ",IF(INDEX($AM$2:$BM$1001,MATCH(ROWS($AF$2:AF876),$AF$2:$AF$1001,0),MATCH(COLUMNS($AM$1006:BM1006),$AM$1006:$BM$1006,0)), HYPERLINK("#",""), HYPERLINK(CONCATENATE("#metadata!", ADDRESS(INDEX($AH$2:$AH$1001,MATCH(ROWS($AF$2:AF876),$AF$2:$AF$1001,0),0), INDEX($AM$1004:$BM$1004,1,MATCH(COLUMNS($AM$1006:BM1006),$AM$1006:$BM$1006,0)))),"Fix")))</f>
        <v xml:space="preserve"> </v>
      </c>
      <c r="AF876">
        <v>875</v>
      </c>
      <c r="AG876">
        <v>100876</v>
      </c>
      <c r="AH876">
        <v>876</v>
      </c>
      <c r="AI876" t="b">
        <f t="shared" si="13"/>
        <v>1</v>
      </c>
      <c r="AJ876" t="b">
        <f>COUNTBLANK(metadata!B876:AB876)=COLUMNS(metadata!B876:AB876)</f>
        <v>1</v>
      </c>
      <c r="AK876" t="str">
        <v/>
      </c>
      <c r="AM876" t="b">
        <f ca="1">AND(IF(metadata!B876="",FALSE,TRUE),COUNTIF(metadata!B:B, metadata!B876) = 1,NOT(ISERROR(SUMPRODUCT(SEARCH(MID(metadata!B876,ROW(INDIRECT("1:"&amp;LEN(metadata!B876))), 1),"0123456789abcdefghijklmnopqrstuvwxyzABCDEFGHIJKLMNOPQRSTUVWXYZ.")))))</f>
        <v>0</v>
      </c>
      <c r="AN876" t="b">
        <f ca="1">OR(AND(IF(metadata!C876="",FALSE,TRUE),OR(EXACT(metadata!C876,"missing: not collected"),EXACT(metadata!C876,"missing: not provided"),EXACT(metadata!C876,"missing: restricted access"))),AND(IF(metadata!C876="",FALSE,TRUE),AND(AND(IFERROR(INT(LEFT(metadata!C876,4))&gt;1900,FALSE),IFERROR(INT(LEFT(metadata!C876,4))&lt;=YEAR(NOW()),FALSE)), OR(MID(metadata!C876,5,1)="", AND(AND(MID(metadata!C876,5,1)="-",IFERROR(INT(MID(metadata!C876,6,1))&gt;=0,FALSE),IFERROR(INT(MID(metadata!C876,6,1))&lt;=1,FALSE),NOT(MID(metadata!C876,7,1)=""),IFERROR(INT(MID(metadata!C876,6,2))&gt;=1,FALSE),IFERROR(INT(MID(metadata!C876,6,2))&lt;=12,FALSE)), OR(MID(metadata!C876,8,1)="", AND(AND(MID(metadata!C876,8,1)="-",IFERROR(INT(MID(metadata!C876,9,1))&gt;=0,FALSE),IFERROR(INT(MID(metadata!C876,9,1))&lt;=3,FALSE),NOT(MID(metadata!C876,10,1)=""),IFERROR(INT(MID(metadata!C876,9,2))&gt;=1,FALSE),IFERROR(INT(MID(metadata!C876,9,2))&lt;=31,FALSE)), OR(MID(metadata!C876,11,1)="", AND(AND(MID(metadata!C876,11,1)=" ",IFERROR(INT(MID(metadata!C876,12,1))&gt;=0,FALSE),IFERROR(INT(MID(metadata!C876,12,1))&lt;=2,FALSE),NOT(MID(metadata!C876,13,1)=""),IFERROR(INT(MID(metadata!C876,12,2))&gt;=0,FALSE),IFERROR(INT(MID(metadata!C876,12,2))&lt;=23,FALSE)), OR(MID(metadata!C876,14,1)="", AND(AND(MID(metadata!C876,14,1)=":",IFERROR(INT(MID(metadata!C876,15,1))&gt;=0,FALSE),IFERROR(INT(MID(metadata!C876,15,1))&lt;=5,FALSE),NOT(MID(metadata!C876,16,1)=""),IFERROR(INT(MID(metadata!C876,15,2))&gt;=0,FALSE),IFERROR(INT(MID(metadata!C876,15,2))&lt;=59,FALSE)), OR(MID(metadata!C876,17,1)="", AND(AND(MID(metadata!C876,17,1)=":",IFERROR(INT(MID(metadata!C876,18,1))&gt;=0,FALSE),IFERROR(INT(MID(metadata!C876,18,1))&lt;=5,FALSE),NOT(MID(metadata!C876,19,1)=""),IFERROR(INT(MID(metadata!C876,18,2))&gt;=0,FALSE),IFERROR(INT(MID(metadata!C876,18,2))&lt;=59,FALSE)), LEN(metadata!C876)&lt;=19)))))))))))))</f>
        <v>0</v>
      </c>
      <c r="AO876" t="b">
        <f>AND(IF(metadata!D876="",FALSE,TRUE),EXACT(metadata!D876,"Not applicable"))</f>
        <v>0</v>
      </c>
      <c r="AP876" t="b">
        <f>IF(metadata!E876="",FALSE,TRUE)</f>
        <v>0</v>
      </c>
      <c r="AQ876" t="b">
        <f>OR(AND(IF(metadata!F876="",FALSE,TRUE),OR(EXACT(metadata!F876,"missing: not collected"),EXACT(metadata!F876,"missing: not provided"))),AND(IF(metadata!F876="",FALSE,TRUE),OR(EXACT(metadata!F876,"TRUE"),EXACT(metadata!F876,"FALSE"))))</f>
        <v>0</v>
      </c>
      <c r="AR876" t="b">
        <f>OR(AND(IF(metadata!G876="",FALSE,TRUE),OR(EXACT(metadata!G876,"missing: not collected"),EXACT(metadata!G876,"missing: not provided"),EXACT(metadata!G876,"missing: restricted access"))),AND(IF(metadata!G876="",FALSE,ISNUMBER(VALUE(metadata!G876))),metadata!G876&gt;=-413))</f>
        <v>0</v>
      </c>
      <c r="AS876" t="b">
        <f>AND(IF(metadata!H876="",FALSE,TRUE),EXACT(metadata!H876,"meters"))</f>
        <v>0</v>
      </c>
      <c r="AT876" t="b">
        <f>AND(IF(metadata!I876="",FALSE,TRUE),OR(EXACT(metadata!I876,"Host-associated"),EXACT(metadata!I876,"Free-living")))</f>
        <v>0</v>
      </c>
      <c r="AU876" t="b">
        <f>AND(IF(metadata!J876="",FALSE,TRUE),OR(EXACT(metadata!J876,"Animal"),EXACT(metadata!J876,"Fungus"),EXACT(metadata!J876,"Plant"),EXACT(metadata!J876,"Saline"),EXACT(metadata!J876,"Non-saline")))</f>
        <v>0</v>
      </c>
      <c r="AV876" t="b">
        <f>AND(IF(metadata!K876="",FALSE,TRUE),OR(EXACT(metadata!K876,"Plant secretion"),EXACT(metadata!K876,"Plant rhizosphere"),EXACT(metadata!K876,"Plant surface"),EXACT(metadata!K876,"Plant corpus"),EXACT(metadata!K876,"Fungus surface"),EXACT(metadata!K876,"Fungus corpus"),EXACT(metadata!K876,"Animal surface"),EXACT(metadata!K876,"Animal proximal gut"),EXACT(metadata!K876,"Animal corpus"),EXACT(metadata!K876,"Animal distal gut"),EXACT(metadata!K876,"Animal secretion"),EXACT(metadata!K876,"Sub-surface (non-saline)"),EXACT(metadata!K876,"Surface (non-saline)"),EXACT(metadata!K876,"Water (non-saline)"),EXACT(metadata!K876,"Soil (non-saline)"),EXACT(metadata!K876,"Aerosol (non-saline)"),EXACT(metadata!K876,"Sediment (non-saline)"),EXACT(metadata!K876,"Surface (saline)"),EXACT(metadata!K876,"Water (saline)"),EXACT(metadata!K876,"Hypersaline (saline)"),EXACT(metadata!K876,"Aerosol (saline)"),EXACT(metadata!K876,"Sediment (saline)")))</f>
        <v>0</v>
      </c>
      <c r="AW876" t="b">
        <f>IF(metadata!L876="",FALSE,TRUE)</f>
        <v>0</v>
      </c>
      <c r="AX876" t="b">
        <f>IF(metadata!M876="",FALSE,TRUE)</f>
        <v>0</v>
      </c>
      <c r="AY876" t="b">
        <f>IF(metadata!N876="",FALSE,TRUE)</f>
        <v>0</v>
      </c>
      <c r="AZ876" t="b">
        <f>OR(AND(IF(metadata!O876="",FALSE,TRUE),OR(EXACT(metadata!O876,"missing: not collected"),EXACT(metadata!O876,"missing: not provided"),EXACT(metadata!O876,"missing: restricted access"))),AND(IF(metadata!O876="",FALSE,TRUE),OR(EXACT(metadata!O876,"air"),EXACT(metadata!O876,"built environment"),EXACT(metadata!O876,"host-associated"),EXACT(metadata!O876,"human-associated"),EXACT(metadata!O876,"human-skin"),EXACT(metadata!O876,"human-oral"),EXACT(metadata!O876,"human-gut"),EXACT(metadata!O876,"human-vaginal"),EXACT(metadata!O876,"microbial mat/biofilm"),EXACT(metadata!O876,"misc environment"),EXACT(metadata!O876,"plant-associated"),EXACT(metadata!O876,"sediment"),EXACT(metadata!O876,"soil"),EXACT(metadata!O876,"wastewater/sludge"),EXACT(metadata!O876,"water"))))</f>
        <v>0</v>
      </c>
      <c r="BA876" t="b">
        <f>IF(metadata!P876="",FALSE,TRUE)</f>
        <v>0</v>
      </c>
      <c r="BB876" t="b">
        <f>IF(metadata!Q876="",FALSE,TRUE)</f>
        <v>0</v>
      </c>
      <c r="BC876" t="b">
        <f>OR(AND(IF(metadata!R876="",FALSE,TRUE),OR(EXACT(metadata!R876,"missing: not collected"),EXACT(metadata!R876,"missing: not provided"),EXACT(metadata!R876,"missing: restricted access"))),AND(IF(metadata!R876="",FALSE,ISNUMBER(VALUE(metadata!R876))),metadata!R876&gt;=-90,metadata!R876&lt;=90))</f>
        <v>0</v>
      </c>
      <c r="BD876" t="b">
        <f>AND(IF(metadata!S876="",FALSE,TRUE),EXACT(metadata!S876,"Decimal degrees"))</f>
        <v>0</v>
      </c>
      <c r="BE876" t="b">
        <f>OR(AND(IF(metadata!T876="",FALSE,TRUE),OR(EXACT(metadata!T876,"missing: not collected"),EXACT(metadata!T876,"missing: not provided"),EXACT(metadata!T876,"missing: restricted access"))),AND(IF(metadata!T876="",FALSE,ISNUMBER(VALUE(metadata!T876))),metadata!T876&gt;=-180,metadata!T876&lt;=180))</f>
        <v>0</v>
      </c>
      <c r="BF876" t="b">
        <f>AND(IF(metadata!U876="",FALSE,TRUE),EXACT(metadata!U876,"Decimal degrees"))</f>
        <v>0</v>
      </c>
      <c r="BG876" t="b">
        <f>IF(metadata!V876="",FALSE,TRUE)</f>
        <v>0</v>
      </c>
      <c r="BH876" t="b">
        <f>OR(AND(IF(metadata!W876="",FALSE,TRUE),OR(EXACT(metadata!W876,"missing: not collected"),EXACT(metadata!W876,"missing: not provided"),EXACT(metadata!W876,"missing: restricted access"))),AND(IF(metadata!W876="",FALSE,TRUE),OR(EXACT(metadata!W876,"TRUE"),EXACT(metadata!W876,"FALSE"))))</f>
        <v>0</v>
      </c>
      <c r="BI876" t="b">
        <f>AND(IF(metadata!X876="",FALSE,TRUE),EXACT(metadata!X876,"other"))</f>
        <v>0</v>
      </c>
      <c r="BJ876" t="b">
        <f>IF(metadata!Y876="",FALSE,TRUE)</f>
        <v>0</v>
      </c>
      <c r="BK876" t="b">
        <f>OR(AND(IF(metadata!Z876="",FALSE,TRUE),OR(EXACT(metadata!Z876,"missing: not collected"),EXACT(metadata!Z876,"missing: not provided"))),AND(IF(metadata!Z876="",FALSE,IF(ISERROR(INT(metadata!Z876)),FALSE,INT(metadata!Z876)=metadata!Z876)),metadata!Z876&gt;0))</f>
        <v>0</v>
      </c>
      <c r="BL876" t="b">
        <f>AND(IF(metadata!AA876="",FALSE,TRUE),EXACT(metadata!AA876,"Not applicable"))</f>
        <v>0</v>
      </c>
      <c r="BM876" t="b">
        <f>IF(metadata!AB876="",FALSE,TRUE)</f>
        <v>0</v>
      </c>
    </row>
    <row r="877" spans="1:65" x14ac:dyDescent="0.2">
      <c r="A877" s="5" t="str">
        <f ca="1">IF(B877=" "," ",HYPERLINK(CONCATENATE("#metadata!",ADDRESS(INDEX($AH$2:$AH$1001,MATCH(ROWS($AF$2:AF877),$AF$2:$AF$1001,0),0),1)),INDEX($AK$2:$AK$1001,MATCH(ROWS($AF$2:AF877),$AF$2:$AF$1001,0),0)))</f>
        <v xml:space="preserve"> </v>
      </c>
      <c r="B877" s="4" t="str">
        <f ca="1">IF(OR(INDEX($AG$2:$AG$1001,MATCH(ROWS($AF$2:AF877),$AF$2:$AF$1001,0),1)&gt;=100000,INDEX($AM$1005:$BM$1005,1,MATCH(COLUMNS($AM$1006:AM1006),$AM$1006:$BM$1006,0))&gt;=100000), " ",IF(INDEX($AM$2:$BM$1001,MATCH(ROWS($AF$2:AF877),$AF$2:$AF$1001,0),MATCH(COLUMNS($AM$1006:AM1006),$AM$1006:$BM$1006,0)), HYPERLINK("#",""), HYPERLINK(CONCATENATE("#metadata!", ADDRESS(INDEX($AH$2:$AH$1001,MATCH(ROWS($AF$2:AF877),$AF$2:$AF$1001,0),0), INDEX($AM$1004:$BM$1004,1,MATCH(COLUMNS($AM$1006:AM1006),$AM$1006:$BM$1006,0)))),"Fix")))</f>
        <v xml:space="preserve"> </v>
      </c>
      <c r="C877" s="4" t="str">
        <f ca="1">IF(OR(INDEX($AG$2:$AG$1001,MATCH(ROWS($AF$2:AF877),$AF$2:$AF$1001,0),1)&gt;=100000,INDEX($AM$1005:$BM$1005,1,MATCH(COLUMNS($AM$1006:AN1006),$AM$1006:$BM$1006,0))&gt;=100000), " ",IF(INDEX($AM$2:$BM$1001,MATCH(ROWS($AF$2:AF877),$AF$2:$AF$1001,0),MATCH(COLUMNS($AM$1006:AN1006),$AM$1006:$BM$1006,0)), HYPERLINK("#",""), HYPERLINK(CONCATENATE("#metadata!", ADDRESS(INDEX($AH$2:$AH$1001,MATCH(ROWS($AF$2:AF877),$AF$2:$AF$1001,0),0), INDEX($AM$1004:$BM$1004,1,MATCH(COLUMNS($AM$1006:AN1006),$AM$1006:$BM$1006,0)))),"Fix")))</f>
        <v xml:space="preserve"> </v>
      </c>
      <c r="D877" s="4" t="str">
        <f ca="1">IF(OR(INDEX($AG$2:$AG$1001,MATCH(ROWS($AF$2:AF877),$AF$2:$AF$1001,0),1)&gt;=100000,INDEX($AM$1005:$BM$1005,1,MATCH(COLUMNS($AM$1006:AO1006),$AM$1006:$BM$1006,0))&gt;=100000), " ",IF(INDEX($AM$2:$BM$1001,MATCH(ROWS($AF$2:AF877),$AF$2:$AF$1001,0),MATCH(COLUMNS($AM$1006:AO1006),$AM$1006:$BM$1006,0)), HYPERLINK("#",""), HYPERLINK(CONCATENATE("#metadata!", ADDRESS(INDEX($AH$2:$AH$1001,MATCH(ROWS($AF$2:AF877),$AF$2:$AF$1001,0),0), INDEX($AM$1004:$BM$1004,1,MATCH(COLUMNS($AM$1006:AO1006),$AM$1006:$BM$1006,0)))),"Fix")))</f>
        <v xml:space="preserve"> </v>
      </c>
      <c r="E877" s="4" t="str">
        <f ca="1">IF(OR(INDEX($AG$2:$AG$1001,MATCH(ROWS($AF$2:AF877),$AF$2:$AF$1001,0),1)&gt;=100000,INDEX($AM$1005:$BM$1005,1,MATCH(COLUMNS($AM$1006:AP1006),$AM$1006:$BM$1006,0))&gt;=100000), " ",IF(INDEX($AM$2:$BM$1001,MATCH(ROWS($AF$2:AF877),$AF$2:$AF$1001,0),MATCH(COLUMNS($AM$1006:AP1006),$AM$1006:$BM$1006,0)), HYPERLINK("#",""), HYPERLINK(CONCATENATE("#metadata!", ADDRESS(INDEX($AH$2:$AH$1001,MATCH(ROWS($AF$2:AF877),$AF$2:$AF$1001,0),0), INDEX($AM$1004:$BM$1004,1,MATCH(COLUMNS($AM$1006:AP1006),$AM$1006:$BM$1006,0)))),"Fix")))</f>
        <v xml:space="preserve"> </v>
      </c>
      <c r="F877" s="4" t="str">
        <f ca="1">IF(OR(INDEX($AG$2:$AG$1001,MATCH(ROWS($AF$2:AF877),$AF$2:$AF$1001,0),1)&gt;=100000,INDEX($AM$1005:$BM$1005,1,MATCH(COLUMNS($AM$1006:AQ1006),$AM$1006:$BM$1006,0))&gt;=100000), " ",IF(INDEX($AM$2:$BM$1001,MATCH(ROWS($AF$2:AF877),$AF$2:$AF$1001,0),MATCH(COLUMNS($AM$1006:AQ1006),$AM$1006:$BM$1006,0)), HYPERLINK("#",""), HYPERLINK(CONCATENATE("#metadata!", ADDRESS(INDEX($AH$2:$AH$1001,MATCH(ROWS($AF$2:AF877),$AF$2:$AF$1001,0),0), INDEX($AM$1004:$BM$1004,1,MATCH(COLUMNS($AM$1006:AQ1006),$AM$1006:$BM$1006,0)))),"Fix")))</f>
        <v xml:space="preserve"> </v>
      </c>
      <c r="G877" s="4" t="str">
        <f ca="1">IF(OR(INDEX($AG$2:$AG$1001,MATCH(ROWS($AF$2:AF877),$AF$2:$AF$1001,0),1)&gt;=100000,INDEX($AM$1005:$BM$1005,1,MATCH(COLUMNS($AM$1006:AR1006),$AM$1006:$BM$1006,0))&gt;=100000), " ",IF(INDEX($AM$2:$BM$1001,MATCH(ROWS($AF$2:AF877),$AF$2:$AF$1001,0),MATCH(COLUMNS($AM$1006:AR1006),$AM$1006:$BM$1006,0)), HYPERLINK("#",""), HYPERLINK(CONCATENATE("#metadata!", ADDRESS(INDEX($AH$2:$AH$1001,MATCH(ROWS($AF$2:AF877),$AF$2:$AF$1001,0),0), INDEX($AM$1004:$BM$1004,1,MATCH(COLUMNS($AM$1006:AR1006),$AM$1006:$BM$1006,0)))),"Fix")))</f>
        <v xml:space="preserve"> </v>
      </c>
      <c r="H877" s="4" t="str">
        <f ca="1">IF(OR(INDEX($AG$2:$AG$1001,MATCH(ROWS($AF$2:AF877),$AF$2:$AF$1001,0),1)&gt;=100000,INDEX($AM$1005:$BM$1005,1,MATCH(COLUMNS($AM$1006:AS1006),$AM$1006:$BM$1006,0))&gt;=100000), " ",IF(INDEX($AM$2:$BM$1001,MATCH(ROWS($AF$2:AF877),$AF$2:$AF$1001,0),MATCH(COLUMNS($AM$1006:AS1006),$AM$1006:$BM$1006,0)), HYPERLINK("#",""), HYPERLINK(CONCATENATE("#metadata!", ADDRESS(INDEX($AH$2:$AH$1001,MATCH(ROWS($AF$2:AF877),$AF$2:$AF$1001,0),0), INDEX($AM$1004:$BM$1004,1,MATCH(COLUMNS($AM$1006:AS1006),$AM$1006:$BM$1006,0)))),"Fix")))</f>
        <v xml:space="preserve"> </v>
      </c>
      <c r="I877" s="4" t="str">
        <f ca="1">IF(OR(INDEX($AG$2:$AG$1001,MATCH(ROWS($AF$2:AF877),$AF$2:$AF$1001,0),1)&gt;=100000,INDEX($AM$1005:$BM$1005,1,MATCH(COLUMNS($AM$1006:AT1006),$AM$1006:$BM$1006,0))&gt;=100000), " ",IF(INDEX($AM$2:$BM$1001,MATCH(ROWS($AF$2:AF877),$AF$2:$AF$1001,0),MATCH(COLUMNS($AM$1006:AT1006),$AM$1006:$BM$1006,0)), HYPERLINK("#",""), HYPERLINK(CONCATENATE("#metadata!", ADDRESS(INDEX($AH$2:$AH$1001,MATCH(ROWS($AF$2:AF877),$AF$2:$AF$1001,0),0), INDEX($AM$1004:$BM$1004,1,MATCH(COLUMNS($AM$1006:AT1006),$AM$1006:$BM$1006,0)))),"Fix")))</f>
        <v xml:space="preserve"> </v>
      </c>
      <c r="J877" s="4" t="str">
        <f ca="1">IF(OR(INDEX($AG$2:$AG$1001,MATCH(ROWS($AF$2:AF877),$AF$2:$AF$1001,0),1)&gt;=100000,INDEX($AM$1005:$BM$1005,1,MATCH(COLUMNS($AM$1006:AU1006),$AM$1006:$BM$1006,0))&gt;=100000), " ",IF(INDEX($AM$2:$BM$1001,MATCH(ROWS($AF$2:AF877),$AF$2:$AF$1001,0),MATCH(COLUMNS($AM$1006:AU1006),$AM$1006:$BM$1006,0)), HYPERLINK("#",""), HYPERLINK(CONCATENATE("#metadata!", ADDRESS(INDEX($AH$2:$AH$1001,MATCH(ROWS($AF$2:AF877),$AF$2:$AF$1001,0),0), INDEX($AM$1004:$BM$1004,1,MATCH(COLUMNS($AM$1006:AU1006),$AM$1006:$BM$1006,0)))),"Fix")))</f>
        <v xml:space="preserve"> </v>
      </c>
      <c r="K877" s="4" t="str">
        <f ca="1">IF(OR(INDEX($AG$2:$AG$1001,MATCH(ROWS($AF$2:AF877),$AF$2:$AF$1001,0),1)&gt;=100000,INDEX($AM$1005:$BM$1005,1,MATCH(COLUMNS($AM$1006:AV1006),$AM$1006:$BM$1006,0))&gt;=100000), " ",IF(INDEX($AM$2:$BM$1001,MATCH(ROWS($AF$2:AF877),$AF$2:$AF$1001,0),MATCH(COLUMNS($AM$1006:AV1006),$AM$1006:$BM$1006,0)), HYPERLINK("#",""), HYPERLINK(CONCATENATE("#metadata!", ADDRESS(INDEX($AH$2:$AH$1001,MATCH(ROWS($AF$2:AF877),$AF$2:$AF$1001,0),0), INDEX($AM$1004:$BM$1004,1,MATCH(COLUMNS($AM$1006:AV1006),$AM$1006:$BM$1006,0)))),"Fix")))</f>
        <v xml:space="preserve"> </v>
      </c>
      <c r="L877" s="4" t="str">
        <f ca="1">IF(OR(INDEX($AG$2:$AG$1001,MATCH(ROWS($AF$2:AF877),$AF$2:$AF$1001,0),1)&gt;=100000,INDEX($AM$1005:$BM$1005,1,MATCH(COLUMNS($AM$1006:AW1006),$AM$1006:$BM$1006,0))&gt;=100000), " ",IF(INDEX($AM$2:$BM$1001,MATCH(ROWS($AF$2:AF877),$AF$2:$AF$1001,0),MATCH(COLUMNS($AM$1006:AW1006),$AM$1006:$BM$1006,0)), HYPERLINK("#",""), HYPERLINK(CONCATENATE("#metadata!", ADDRESS(INDEX($AH$2:$AH$1001,MATCH(ROWS($AF$2:AF877),$AF$2:$AF$1001,0),0), INDEX($AM$1004:$BM$1004,1,MATCH(COLUMNS($AM$1006:AW1006),$AM$1006:$BM$1006,0)))),"Fix")))</f>
        <v xml:space="preserve"> </v>
      </c>
      <c r="M877" s="4" t="str">
        <f ca="1">IF(OR(INDEX($AG$2:$AG$1001,MATCH(ROWS($AF$2:AF877),$AF$2:$AF$1001,0),1)&gt;=100000,INDEX($AM$1005:$BM$1005,1,MATCH(COLUMNS($AM$1006:AX1006),$AM$1006:$BM$1006,0))&gt;=100000), " ",IF(INDEX($AM$2:$BM$1001,MATCH(ROWS($AF$2:AF877),$AF$2:$AF$1001,0),MATCH(COLUMNS($AM$1006:AX1006),$AM$1006:$BM$1006,0)), HYPERLINK("#",""), HYPERLINK(CONCATENATE("#metadata!", ADDRESS(INDEX($AH$2:$AH$1001,MATCH(ROWS($AF$2:AF877),$AF$2:$AF$1001,0),0), INDEX($AM$1004:$BM$1004,1,MATCH(COLUMNS($AM$1006:AX1006),$AM$1006:$BM$1006,0)))),"Fix")))</f>
        <v xml:space="preserve"> </v>
      </c>
      <c r="N877" s="4" t="str">
        <f ca="1">IF(OR(INDEX($AG$2:$AG$1001,MATCH(ROWS($AF$2:AF877),$AF$2:$AF$1001,0),1)&gt;=100000,INDEX($AM$1005:$BM$1005,1,MATCH(COLUMNS($AM$1006:AY1006),$AM$1006:$BM$1006,0))&gt;=100000), " ",IF(INDEX($AM$2:$BM$1001,MATCH(ROWS($AF$2:AF877),$AF$2:$AF$1001,0),MATCH(COLUMNS($AM$1006:AY1006),$AM$1006:$BM$1006,0)), HYPERLINK("#",""), HYPERLINK(CONCATENATE("#metadata!", ADDRESS(INDEX($AH$2:$AH$1001,MATCH(ROWS($AF$2:AF877),$AF$2:$AF$1001,0),0), INDEX($AM$1004:$BM$1004,1,MATCH(COLUMNS($AM$1006:AY1006),$AM$1006:$BM$1006,0)))),"Fix")))</f>
        <v xml:space="preserve"> </v>
      </c>
      <c r="O877" s="4" t="str">
        <f ca="1">IF(OR(INDEX($AG$2:$AG$1001,MATCH(ROWS($AF$2:AF877),$AF$2:$AF$1001,0),1)&gt;=100000,INDEX($AM$1005:$BM$1005,1,MATCH(COLUMNS($AM$1006:AZ1006),$AM$1006:$BM$1006,0))&gt;=100000), " ",IF(INDEX($AM$2:$BM$1001,MATCH(ROWS($AF$2:AF877),$AF$2:$AF$1001,0),MATCH(COLUMNS($AM$1006:AZ1006),$AM$1006:$BM$1006,0)), HYPERLINK("#",""), HYPERLINK(CONCATENATE("#metadata!", ADDRESS(INDEX($AH$2:$AH$1001,MATCH(ROWS($AF$2:AF877),$AF$2:$AF$1001,0),0), INDEX($AM$1004:$BM$1004,1,MATCH(COLUMNS($AM$1006:AZ1006),$AM$1006:$BM$1006,0)))),"Fix")))</f>
        <v xml:space="preserve"> </v>
      </c>
      <c r="P877" s="4" t="str">
        <f ca="1">IF(OR(INDEX($AG$2:$AG$1001,MATCH(ROWS($AF$2:AF877),$AF$2:$AF$1001,0),1)&gt;=100000,INDEX($AM$1005:$BM$1005,1,MATCH(COLUMNS($AM$1006:BA1006),$AM$1006:$BM$1006,0))&gt;=100000), " ",IF(INDEX($AM$2:$BM$1001,MATCH(ROWS($AF$2:AF877),$AF$2:$AF$1001,0),MATCH(COLUMNS($AM$1006:BA1006),$AM$1006:$BM$1006,0)), HYPERLINK("#",""), HYPERLINK(CONCATENATE("#metadata!", ADDRESS(INDEX($AH$2:$AH$1001,MATCH(ROWS($AF$2:AF877),$AF$2:$AF$1001,0),0), INDEX($AM$1004:$BM$1004,1,MATCH(COLUMNS($AM$1006:BA1006),$AM$1006:$BM$1006,0)))),"Fix")))</f>
        <v xml:space="preserve"> </v>
      </c>
      <c r="Q877" s="4" t="str">
        <f ca="1">IF(OR(INDEX($AG$2:$AG$1001,MATCH(ROWS($AF$2:AF877),$AF$2:$AF$1001,0),1)&gt;=100000,INDEX($AM$1005:$BM$1005,1,MATCH(COLUMNS($AM$1006:BB1006),$AM$1006:$BM$1006,0))&gt;=100000), " ",IF(INDEX($AM$2:$BM$1001,MATCH(ROWS($AF$2:AF877),$AF$2:$AF$1001,0),MATCH(COLUMNS($AM$1006:BB1006),$AM$1006:$BM$1006,0)), HYPERLINK("#",""), HYPERLINK(CONCATENATE("#metadata!", ADDRESS(INDEX($AH$2:$AH$1001,MATCH(ROWS($AF$2:AF877),$AF$2:$AF$1001,0),0), INDEX($AM$1004:$BM$1004,1,MATCH(COLUMNS($AM$1006:BB1006),$AM$1006:$BM$1006,0)))),"Fix")))</f>
        <v xml:space="preserve"> </v>
      </c>
      <c r="R877" s="4" t="str">
        <f ca="1">IF(OR(INDEX($AG$2:$AG$1001,MATCH(ROWS($AF$2:AF877),$AF$2:$AF$1001,0),1)&gt;=100000,INDEX($AM$1005:$BM$1005,1,MATCH(COLUMNS($AM$1006:BC1006),$AM$1006:$BM$1006,0))&gt;=100000), " ",IF(INDEX($AM$2:$BM$1001,MATCH(ROWS($AF$2:AF877),$AF$2:$AF$1001,0),MATCH(COLUMNS($AM$1006:BC1006),$AM$1006:$BM$1006,0)), HYPERLINK("#",""), HYPERLINK(CONCATENATE("#metadata!", ADDRESS(INDEX($AH$2:$AH$1001,MATCH(ROWS($AF$2:AF877),$AF$2:$AF$1001,0),0), INDEX($AM$1004:$BM$1004,1,MATCH(COLUMNS($AM$1006:BC1006),$AM$1006:$BM$1006,0)))),"Fix")))</f>
        <v xml:space="preserve"> </v>
      </c>
      <c r="S877" s="4" t="str">
        <f ca="1">IF(OR(INDEX($AG$2:$AG$1001,MATCH(ROWS($AF$2:AF877),$AF$2:$AF$1001,0),1)&gt;=100000,INDEX($AM$1005:$BM$1005,1,MATCH(COLUMNS($AM$1006:BD1006),$AM$1006:$BM$1006,0))&gt;=100000), " ",IF(INDEX($AM$2:$BM$1001,MATCH(ROWS($AF$2:AF877),$AF$2:$AF$1001,0),MATCH(COLUMNS($AM$1006:BD1006),$AM$1006:$BM$1006,0)), HYPERLINK("#",""), HYPERLINK(CONCATENATE("#metadata!", ADDRESS(INDEX($AH$2:$AH$1001,MATCH(ROWS($AF$2:AF877),$AF$2:$AF$1001,0),0), INDEX($AM$1004:$BM$1004,1,MATCH(COLUMNS($AM$1006:BD1006),$AM$1006:$BM$1006,0)))),"Fix")))</f>
        <v xml:space="preserve"> </v>
      </c>
      <c r="T877" s="4" t="str">
        <f ca="1">IF(OR(INDEX($AG$2:$AG$1001,MATCH(ROWS($AF$2:AF877),$AF$2:$AF$1001,0),1)&gt;=100000,INDEX($AM$1005:$BM$1005,1,MATCH(COLUMNS($AM$1006:BE1006),$AM$1006:$BM$1006,0))&gt;=100000), " ",IF(INDEX($AM$2:$BM$1001,MATCH(ROWS($AF$2:AF877),$AF$2:$AF$1001,0),MATCH(COLUMNS($AM$1006:BE1006),$AM$1006:$BM$1006,0)), HYPERLINK("#",""), HYPERLINK(CONCATENATE("#metadata!", ADDRESS(INDEX($AH$2:$AH$1001,MATCH(ROWS($AF$2:AF877),$AF$2:$AF$1001,0),0), INDEX($AM$1004:$BM$1004,1,MATCH(COLUMNS($AM$1006:BE1006),$AM$1006:$BM$1006,0)))),"Fix")))</f>
        <v xml:space="preserve"> </v>
      </c>
      <c r="U877" s="4" t="str">
        <f ca="1">IF(OR(INDEX($AG$2:$AG$1001,MATCH(ROWS($AF$2:AF877),$AF$2:$AF$1001,0),1)&gt;=100000,INDEX($AM$1005:$BM$1005,1,MATCH(COLUMNS($AM$1006:BF1006),$AM$1006:$BM$1006,0))&gt;=100000), " ",IF(INDEX($AM$2:$BM$1001,MATCH(ROWS($AF$2:AF877),$AF$2:$AF$1001,0),MATCH(COLUMNS($AM$1006:BF1006),$AM$1006:$BM$1006,0)), HYPERLINK("#",""), HYPERLINK(CONCATENATE("#metadata!", ADDRESS(INDEX($AH$2:$AH$1001,MATCH(ROWS($AF$2:AF877),$AF$2:$AF$1001,0),0), INDEX($AM$1004:$BM$1004,1,MATCH(COLUMNS($AM$1006:BF1006),$AM$1006:$BM$1006,0)))),"Fix")))</f>
        <v xml:space="preserve"> </v>
      </c>
      <c r="V877" s="4" t="str">
        <f ca="1">IF(OR(INDEX($AG$2:$AG$1001,MATCH(ROWS($AF$2:AF877),$AF$2:$AF$1001,0),1)&gt;=100000,INDEX($AM$1005:$BM$1005,1,MATCH(COLUMNS($AM$1006:BG1006),$AM$1006:$BM$1006,0))&gt;=100000), " ",IF(INDEX($AM$2:$BM$1001,MATCH(ROWS($AF$2:AF877),$AF$2:$AF$1001,0),MATCH(COLUMNS($AM$1006:BG1006),$AM$1006:$BM$1006,0)), HYPERLINK("#",""), HYPERLINK(CONCATENATE("#metadata!", ADDRESS(INDEX($AH$2:$AH$1001,MATCH(ROWS($AF$2:AF877),$AF$2:$AF$1001,0),0), INDEX($AM$1004:$BM$1004,1,MATCH(COLUMNS($AM$1006:BG1006),$AM$1006:$BM$1006,0)))),"Fix")))</f>
        <v xml:space="preserve"> </v>
      </c>
      <c r="W877" s="4" t="str">
        <f ca="1">IF(OR(INDEX($AG$2:$AG$1001,MATCH(ROWS($AF$2:AF877),$AF$2:$AF$1001,0),1)&gt;=100000,INDEX($AM$1005:$BM$1005,1,MATCH(COLUMNS($AM$1006:BH1006),$AM$1006:$BM$1006,0))&gt;=100000), " ",IF(INDEX($AM$2:$BM$1001,MATCH(ROWS($AF$2:AF877),$AF$2:$AF$1001,0),MATCH(COLUMNS($AM$1006:BH1006),$AM$1006:$BM$1006,0)), HYPERLINK("#",""), HYPERLINK(CONCATENATE("#metadata!", ADDRESS(INDEX($AH$2:$AH$1001,MATCH(ROWS($AF$2:AF877),$AF$2:$AF$1001,0),0), INDEX($AM$1004:$BM$1004,1,MATCH(COLUMNS($AM$1006:BH1006),$AM$1006:$BM$1006,0)))),"Fix")))</f>
        <v xml:space="preserve"> </v>
      </c>
      <c r="X877" s="4" t="str">
        <f ca="1">IF(OR(INDEX($AG$2:$AG$1001,MATCH(ROWS($AF$2:AF877),$AF$2:$AF$1001,0),1)&gt;=100000,INDEX($AM$1005:$BM$1005,1,MATCH(COLUMNS($AM$1006:BI1006),$AM$1006:$BM$1006,0))&gt;=100000), " ",IF(INDEX($AM$2:$BM$1001,MATCH(ROWS($AF$2:AF877),$AF$2:$AF$1001,0),MATCH(COLUMNS($AM$1006:BI1006),$AM$1006:$BM$1006,0)), HYPERLINK("#",""), HYPERLINK(CONCATENATE("#metadata!", ADDRESS(INDEX($AH$2:$AH$1001,MATCH(ROWS($AF$2:AF877),$AF$2:$AF$1001,0),0), INDEX($AM$1004:$BM$1004,1,MATCH(COLUMNS($AM$1006:BI1006),$AM$1006:$BM$1006,0)))),"Fix")))</f>
        <v xml:space="preserve"> </v>
      </c>
      <c r="Y877" s="4" t="str">
        <f ca="1">IF(OR(INDEX($AG$2:$AG$1001,MATCH(ROWS($AF$2:AF877),$AF$2:$AF$1001,0),1)&gt;=100000,INDEX($AM$1005:$BM$1005,1,MATCH(COLUMNS($AM$1006:BJ1006),$AM$1006:$BM$1006,0))&gt;=100000), " ",IF(INDEX($AM$2:$BM$1001,MATCH(ROWS($AF$2:AF877),$AF$2:$AF$1001,0),MATCH(COLUMNS($AM$1006:BJ1006),$AM$1006:$BM$1006,0)), HYPERLINK("#",""), HYPERLINK(CONCATENATE("#metadata!", ADDRESS(INDEX($AH$2:$AH$1001,MATCH(ROWS($AF$2:AF877),$AF$2:$AF$1001,0),0), INDEX($AM$1004:$BM$1004,1,MATCH(COLUMNS($AM$1006:BJ1006),$AM$1006:$BM$1006,0)))),"Fix")))</f>
        <v xml:space="preserve"> </v>
      </c>
      <c r="Z877" s="4" t="str">
        <f ca="1">IF(OR(INDEX($AG$2:$AG$1001,MATCH(ROWS($AF$2:AF877),$AF$2:$AF$1001,0),1)&gt;=100000,INDEX($AM$1005:$BM$1005,1,MATCH(COLUMNS($AM$1006:BK1006),$AM$1006:$BM$1006,0))&gt;=100000), " ",IF(INDEX($AM$2:$BM$1001,MATCH(ROWS($AF$2:AF877),$AF$2:$AF$1001,0),MATCH(COLUMNS($AM$1006:BK1006),$AM$1006:$BM$1006,0)), HYPERLINK("#",""), HYPERLINK(CONCATENATE("#metadata!", ADDRESS(INDEX($AH$2:$AH$1001,MATCH(ROWS($AF$2:AF877),$AF$2:$AF$1001,0),0), INDEX($AM$1004:$BM$1004,1,MATCH(COLUMNS($AM$1006:BK1006),$AM$1006:$BM$1006,0)))),"Fix")))</f>
        <v xml:space="preserve"> </v>
      </c>
      <c r="AA877" s="4" t="str">
        <f ca="1">IF(OR(INDEX($AG$2:$AG$1001,MATCH(ROWS($AF$2:AF877),$AF$2:$AF$1001,0),1)&gt;=100000,INDEX($AM$1005:$BM$1005,1,MATCH(COLUMNS($AM$1006:BL1006),$AM$1006:$BM$1006,0))&gt;=100000), " ",IF(INDEX($AM$2:$BM$1001,MATCH(ROWS($AF$2:AF877),$AF$2:$AF$1001,0),MATCH(COLUMNS($AM$1006:BL1006),$AM$1006:$BM$1006,0)), HYPERLINK("#",""), HYPERLINK(CONCATENATE("#metadata!", ADDRESS(INDEX($AH$2:$AH$1001,MATCH(ROWS($AF$2:AF877),$AF$2:$AF$1001,0),0), INDEX($AM$1004:$BM$1004,1,MATCH(COLUMNS($AM$1006:BL1006),$AM$1006:$BM$1006,0)))),"Fix")))</f>
        <v xml:space="preserve"> </v>
      </c>
      <c r="AB877" s="4" t="str">
        <f ca="1">IF(OR(INDEX($AG$2:$AG$1001,MATCH(ROWS($AF$2:AF877),$AF$2:$AF$1001,0),1)&gt;=100000,INDEX($AM$1005:$BM$1005,1,MATCH(COLUMNS($AM$1006:BM1006),$AM$1006:$BM$1006,0))&gt;=100000), " ",IF(INDEX($AM$2:$BM$1001,MATCH(ROWS($AF$2:AF877),$AF$2:$AF$1001,0),MATCH(COLUMNS($AM$1006:BM1006),$AM$1006:$BM$1006,0)), HYPERLINK("#",""), HYPERLINK(CONCATENATE("#metadata!", ADDRESS(INDEX($AH$2:$AH$1001,MATCH(ROWS($AF$2:AF877),$AF$2:$AF$1001,0),0), INDEX($AM$1004:$BM$1004,1,MATCH(COLUMNS($AM$1006:BM1006),$AM$1006:$BM$1006,0)))),"Fix")))</f>
        <v xml:space="preserve"> </v>
      </c>
      <c r="AF877">
        <v>876</v>
      </c>
      <c r="AG877">
        <v>100877</v>
      </c>
      <c r="AH877">
        <v>877</v>
      </c>
      <c r="AI877" t="b">
        <f t="shared" si="13"/>
        <v>1</v>
      </c>
      <c r="AJ877" t="b">
        <f>COUNTBLANK(metadata!B877:AB877)=COLUMNS(metadata!B877:AB877)</f>
        <v>1</v>
      </c>
      <c r="AK877" t="str">
        <v/>
      </c>
      <c r="AM877" t="b">
        <f ca="1">AND(IF(metadata!B877="",FALSE,TRUE),COUNTIF(metadata!B:B, metadata!B877) = 1,NOT(ISERROR(SUMPRODUCT(SEARCH(MID(metadata!B877,ROW(INDIRECT("1:"&amp;LEN(metadata!B877))), 1),"0123456789abcdefghijklmnopqrstuvwxyzABCDEFGHIJKLMNOPQRSTUVWXYZ.")))))</f>
        <v>0</v>
      </c>
      <c r="AN877" t="b">
        <f ca="1">OR(AND(IF(metadata!C877="",FALSE,TRUE),OR(EXACT(metadata!C877,"missing: not collected"),EXACT(metadata!C877,"missing: not provided"),EXACT(metadata!C877,"missing: restricted access"))),AND(IF(metadata!C877="",FALSE,TRUE),AND(AND(IFERROR(INT(LEFT(metadata!C877,4))&gt;1900,FALSE),IFERROR(INT(LEFT(metadata!C877,4))&lt;=YEAR(NOW()),FALSE)), OR(MID(metadata!C877,5,1)="", AND(AND(MID(metadata!C877,5,1)="-",IFERROR(INT(MID(metadata!C877,6,1))&gt;=0,FALSE),IFERROR(INT(MID(metadata!C877,6,1))&lt;=1,FALSE),NOT(MID(metadata!C877,7,1)=""),IFERROR(INT(MID(metadata!C877,6,2))&gt;=1,FALSE),IFERROR(INT(MID(metadata!C877,6,2))&lt;=12,FALSE)), OR(MID(metadata!C877,8,1)="", AND(AND(MID(metadata!C877,8,1)="-",IFERROR(INT(MID(metadata!C877,9,1))&gt;=0,FALSE),IFERROR(INT(MID(metadata!C877,9,1))&lt;=3,FALSE),NOT(MID(metadata!C877,10,1)=""),IFERROR(INT(MID(metadata!C877,9,2))&gt;=1,FALSE),IFERROR(INT(MID(metadata!C877,9,2))&lt;=31,FALSE)), OR(MID(metadata!C877,11,1)="", AND(AND(MID(metadata!C877,11,1)=" ",IFERROR(INT(MID(metadata!C877,12,1))&gt;=0,FALSE),IFERROR(INT(MID(metadata!C877,12,1))&lt;=2,FALSE),NOT(MID(metadata!C877,13,1)=""),IFERROR(INT(MID(metadata!C877,12,2))&gt;=0,FALSE),IFERROR(INT(MID(metadata!C877,12,2))&lt;=23,FALSE)), OR(MID(metadata!C877,14,1)="", AND(AND(MID(metadata!C877,14,1)=":",IFERROR(INT(MID(metadata!C877,15,1))&gt;=0,FALSE),IFERROR(INT(MID(metadata!C877,15,1))&lt;=5,FALSE),NOT(MID(metadata!C877,16,1)=""),IFERROR(INT(MID(metadata!C877,15,2))&gt;=0,FALSE),IFERROR(INT(MID(metadata!C877,15,2))&lt;=59,FALSE)), OR(MID(metadata!C877,17,1)="", AND(AND(MID(metadata!C877,17,1)=":",IFERROR(INT(MID(metadata!C877,18,1))&gt;=0,FALSE),IFERROR(INT(MID(metadata!C877,18,1))&lt;=5,FALSE),NOT(MID(metadata!C877,19,1)=""),IFERROR(INT(MID(metadata!C877,18,2))&gt;=0,FALSE),IFERROR(INT(MID(metadata!C877,18,2))&lt;=59,FALSE)), LEN(metadata!C877)&lt;=19)))))))))))))</f>
        <v>0</v>
      </c>
      <c r="AO877" t="b">
        <f>AND(IF(metadata!D877="",FALSE,TRUE),EXACT(metadata!D877,"Not applicable"))</f>
        <v>0</v>
      </c>
      <c r="AP877" t="b">
        <f>IF(metadata!E877="",FALSE,TRUE)</f>
        <v>0</v>
      </c>
      <c r="AQ877" t="b">
        <f>OR(AND(IF(metadata!F877="",FALSE,TRUE),OR(EXACT(metadata!F877,"missing: not collected"),EXACT(metadata!F877,"missing: not provided"))),AND(IF(metadata!F877="",FALSE,TRUE),OR(EXACT(metadata!F877,"TRUE"),EXACT(metadata!F877,"FALSE"))))</f>
        <v>0</v>
      </c>
      <c r="AR877" t="b">
        <f>OR(AND(IF(metadata!G877="",FALSE,TRUE),OR(EXACT(metadata!G877,"missing: not collected"),EXACT(metadata!G877,"missing: not provided"),EXACT(metadata!G877,"missing: restricted access"))),AND(IF(metadata!G877="",FALSE,ISNUMBER(VALUE(metadata!G877))),metadata!G877&gt;=-413))</f>
        <v>0</v>
      </c>
      <c r="AS877" t="b">
        <f>AND(IF(metadata!H877="",FALSE,TRUE),EXACT(metadata!H877,"meters"))</f>
        <v>0</v>
      </c>
      <c r="AT877" t="b">
        <f>AND(IF(metadata!I877="",FALSE,TRUE),OR(EXACT(metadata!I877,"Host-associated"),EXACT(metadata!I877,"Free-living")))</f>
        <v>0</v>
      </c>
      <c r="AU877" t="b">
        <f>AND(IF(metadata!J877="",FALSE,TRUE),OR(EXACT(metadata!J877,"Animal"),EXACT(metadata!J877,"Fungus"),EXACT(metadata!J877,"Plant"),EXACT(metadata!J877,"Saline"),EXACT(metadata!J877,"Non-saline")))</f>
        <v>0</v>
      </c>
      <c r="AV877" t="b">
        <f>AND(IF(metadata!K877="",FALSE,TRUE),OR(EXACT(metadata!K877,"Plant secretion"),EXACT(metadata!K877,"Plant rhizosphere"),EXACT(metadata!K877,"Plant surface"),EXACT(metadata!K877,"Plant corpus"),EXACT(metadata!K877,"Fungus surface"),EXACT(metadata!K877,"Fungus corpus"),EXACT(metadata!K877,"Animal surface"),EXACT(metadata!K877,"Animal proximal gut"),EXACT(metadata!K877,"Animal corpus"),EXACT(metadata!K877,"Animal distal gut"),EXACT(metadata!K877,"Animal secretion"),EXACT(metadata!K877,"Sub-surface (non-saline)"),EXACT(metadata!K877,"Surface (non-saline)"),EXACT(metadata!K877,"Water (non-saline)"),EXACT(metadata!K877,"Soil (non-saline)"),EXACT(metadata!K877,"Aerosol (non-saline)"),EXACT(metadata!K877,"Sediment (non-saline)"),EXACT(metadata!K877,"Surface (saline)"),EXACT(metadata!K877,"Water (saline)"),EXACT(metadata!K877,"Hypersaline (saline)"),EXACT(metadata!K877,"Aerosol (saline)"),EXACT(metadata!K877,"Sediment (saline)")))</f>
        <v>0</v>
      </c>
      <c r="AW877" t="b">
        <f>IF(metadata!L877="",FALSE,TRUE)</f>
        <v>0</v>
      </c>
      <c r="AX877" t="b">
        <f>IF(metadata!M877="",FALSE,TRUE)</f>
        <v>0</v>
      </c>
      <c r="AY877" t="b">
        <f>IF(metadata!N877="",FALSE,TRUE)</f>
        <v>0</v>
      </c>
      <c r="AZ877" t="b">
        <f>OR(AND(IF(metadata!O877="",FALSE,TRUE),OR(EXACT(metadata!O877,"missing: not collected"),EXACT(metadata!O877,"missing: not provided"),EXACT(metadata!O877,"missing: restricted access"))),AND(IF(metadata!O877="",FALSE,TRUE),OR(EXACT(metadata!O877,"air"),EXACT(metadata!O877,"built environment"),EXACT(metadata!O877,"host-associated"),EXACT(metadata!O877,"human-associated"),EXACT(metadata!O877,"human-skin"),EXACT(metadata!O877,"human-oral"),EXACT(metadata!O877,"human-gut"),EXACT(metadata!O877,"human-vaginal"),EXACT(metadata!O877,"microbial mat/biofilm"),EXACT(metadata!O877,"misc environment"),EXACT(metadata!O877,"plant-associated"),EXACT(metadata!O877,"sediment"),EXACT(metadata!O877,"soil"),EXACT(metadata!O877,"wastewater/sludge"),EXACT(metadata!O877,"water"))))</f>
        <v>0</v>
      </c>
      <c r="BA877" t="b">
        <f>IF(metadata!P877="",FALSE,TRUE)</f>
        <v>0</v>
      </c>
      <c r="BB877" t="b">
        <f>IF(metadata!Q877="",FALSE,TRUE)</f>
        <v>0</v>
      </c>
      <c r="BC877" t="b">
        <f>OR(AND(IF(metadata!R877="",FALSE,TRUE),OR(EXACT(metadata!R877,"missing: not collected"),EXACT(metadata!R877,"missing: not provided"),EXACT(metadata!R877,"missing: restricted access"))),AND(IF(metadata!R877="",FALSE,ISNUMBER(VALUE(metadata!R877))),metadata!R877&gt;=-90,metadata!R877&lt;=90))</f>
        <v>0</v>
      </c>
      <c r="BD877" t="b">
        <f>AND(IF(metadata!S877="",FALSE,TRUE),EXACT(metadata!S877,"Decimal degrees"))</f>
        <v>0</v>
      </c>
      <c r="BE877" t="b">
        <f>OR(AND(IF(metadata!T877="",FALSE,TRUE),OR(EXACT(metadata!T877,"missing: not collected"),EXACT(metadata!T877,"missing: not provided"),EXACT(metadata!T877,"missing: restricted access"))),AND(IF(metadata!T877="",FALSE,ISNUMBER(VALUE(metadata!T877))),metadata!T877&gt;=-180,metadata!T877&lt;=180))</f>
        <v>0</v>
      </c>
      <c r="BF877" t="b">
        <f>AND(IF(metadata!U877="",FALSE,TRUE),EXACT(metadata!U877,"Decimal degrees"))</f>
        <v>0</v>
      </c>
      <c r="BG877" t="b">
        <f>IF(metadata!V877="",FALSE,TRUE)</f>
        <v>0</v>
      </c>
      <c r="BH877" t="b">
        <f>OR(AND(IF(metadata!W877="",FALSE,TRUE),OR(EXACT(metadata!W877,"missing: not collected"),EXACT(metadata!W877,"missing: not provided"),EXACT(metadata!W877,"missing: restricted access"))),AND(IF(metadata!W877="",FALSE,TRUE),OR(EXACT(metadata!W877,"TRUE"),EXACT(metadata!W877,"FALSE"))))</f>
        <v>0</v>
      </c>
      <c r="BI877" t="b">
        <f>AND(IF(metadata!X877="",FALSE,TRUE),EXACT(metadata!X877,"other"))</f>
        <v>0</v>
      </c>
      <c r="BJ877" t="b">
        <f>IF(metadata!Y877="",FALSE,TRUE)</f>
        <v>0</v>
      </c>
      <c r="BK877" t="b">
        <f>OR(AND(IF(metadata!Z877="",FALSE,TRUE),OR(EXACT(metadata!Z877,"missing: not collected"),EXACT(metadata!Z877,"missing: not provided"))),AND(IF(metadata!Z877="",FALSE,IF(ISERROR(INT(metadata!Z877)),FALSE,INT(metadata!Z877)=metadata!Z877)),metadata!Z877&gt;0))</f>
        <v>0</v>
      </c>
      <c r="BL877" t="b">
        <f>AND(IF(metadata!AA877="",FALSE,TRUE),EXACT(metadata!AA877,"Not applicable"))</f>
        <v>0</v>
      </c>
      <c r="BM877" t="b">
        <f>IF(metadata!AB877="",FALSE,TRUE)</f>
        <v>0</v>
      </c>
    </row>
    <row r="878" spans="1:65" x14ac:dyDescent="0.2">
      <c r="A878" s="5" t="str">
        <f ca="1">IF(B878=" "," ",HYPERLINK(CONCATENATE("#metadata!",ADDRESS(INDEX($AH$2:$AH$1001,MATCH(ROWS($AF$2:AF878),$AF$2:$AF$1001,0),0),1)),INDEX($AK$2:$AK$1001,MATCH(ROWS($AF$2:AF878),$AF$2:$AF$1001,0),0)))</f>
        <v xml:space="preserve"> </v>
      </c>
      <c r="B878" s="4" t="str">
        <f ca="1">IF(OR(INDEX($AG$2:$AG$1001,MATCH(ROWS($AF$2:AF878),$AF$2:$AF$1001,0),1)&gt;=100000,INDEX($AM$1005:$BM$1005,1,MATCH(COLUMNS($AM$1006:AM1006),$AM$1006:$BM$1006,0))&gt;=100000), " ",IF(INDEX($AM$2:$BM$1001,MATCH(ROWS($AF$2:AF878),$AF$2:$AF$1001,0),MATCH(COLUMNS($AM$1006:AM1006),$AM$1006:$BM$1006,0)), HYPERLINK("#",""), HYPERLINK(CONCATENATE("#metadata!", ADDRESS(INDEX($AH$2:$AH$1001,MATCH(ROWS($AF$2:AF878),$AF$2:$AF$1001,0),0), INDEX($AM$1004:$BM$1004,1,MATCH(COLUMNS($AM$1006:AM1006),$AM$1006:$BM$1006,0)))),"Fix")))</f>
        <v xml:space="preserve"> </v>
      </c>
      <c r="C878" s="4" t="str">
        <f ca="1">IF(OR(INDEX($AG$2:$AG$1001,MATCH(ROWS($AF$2:AF878),$AF$2:$AF$1001,0),1)&gt;=100000,INDEX($AM$1005:$BM$1005,1,MATCH(COLUMNS($AM$1006:AN1006),$AM$1006:$BM$1006,0))&gt;=100000), " ",IF(INDEX($AM$2:$BM$1001,MATCH(ROWS($AF$2:AF878),$AF$2:$AF$1001,0),MATCH(COLUMNS($AM$1006:AN1006),$AM$1006:$BM$1006,0)), HYPERLINK("#",""), HYPERLINK(CONCATENATE("#metadata!", ADDRESS(INDEX($AH$2:$AH$1001,MATCH(ROWS($AF$2:AF878),$AF$2:$AF$1001,0),0), INDEX($AM$1004:$BM$1004,1,MATCH(COLUMNS($AM$1006:AN1006),$AM$1006:$BM$1006,0)))),"Fix")))</f>
        <v xml:space="preserve"> </v>
      </c>
      <c r="D878" s="4" t="str">
        <f ca="1">IF(OR(INDEX($AG$2:$AG$1001,MATCH(ROWS($AF$2:AF878),$AF$2:$AF$1001,0),1)&gt;=100000,INDEX($AM$1005:$BM$1005,1,MATCH(COLUMNS($AM$1006:AO1006),$AM$1006:$BM$1006,0))&gt;=100000), " ",IF(INDEX($AM$2:$BM$1001,MATCH(ROWS($AF$2:AF878),$AF$2:$AF$1001,0),MATCH(COLUMNS($AM$1006:AO1006),$AM$1006:$BM$1006,0)), HYPERLINK("#",""), HYPERLINK(CONCATENATE("#metadata!", ADDRESS(INDEX($AH$2:$AH$1001,MATCH(ROWS($AF$2:AF878),$AF$2:$AF$1001,0),0), INDEX($AM$1004:$BM$1004,1,MATCH(COLUMNS($AM$1006:AO1006),$AM$1006:$BM$1006,0)))),"Fix")))</f>
        <v xml:space="preserve"> </v>
      </c>
      <c r="E878" s="4" t="str">
        <f ca="1">IF(OR(INDEX($AG$2:$AG$1001,MATCH(ROWS($AF$2:AF878),$AF$2:$AF$1001,0),1)&gt;=100000,INDEX($AM$1005:$BM$1005,1,MATCH(COLUMNS($AM$1006:AP1006),$AM$1006:$BM$1006,0))&gt;=100000), " ",IF(INDEX($AM$2:$BM$1001,MATCH(ROWS($AF$2:AF878),$AF$2:$AF$1001,0),MATCH(COLUMNS($AM$1006:AP1006),$AM$1006:$BM$1006,0)), HYPERLINK("#",""), HYPERLINK(CONCATENATE("#metadata!", ADDRESS(INDEX($AH$2:$AH$1001,MATCH(ROWS($AF$2:AF878),$AF$2:$AF$1001,0),0), INDEX($AM$1004:$BM$1004,1,MATCH(COLUMNS($AM$1006:AP1006),$AM$1006:$BM$1006,0)))),"Fix")))</f>
        <v xml:space="preserve"> </v>
      </c>
      <c r="F878" s="4" t="str">
        <f ca="1">IF(OR(INDEX($AG$2:$AG$1001,MATCH(ROWS($AF$2:AF878),$AF$2:$AF$1001,0),1)&gt;=100000,INDEX($AM$1005:$BM$1005,1,MATCH(COLUMNS($AM$1006:AQ1006),$AM$1006:$BM$1006,0))&gt;=100000), " ",IF(INDEX($AM$2:$BM$1001,MATCH(ROWS($AF$2:AF878),$AF$2:$AF$1001,0),MATCH(COLUMNS($AM$1006:AQ1006),$AM$1006:$BM$1006,0)), HYPERLINK("#",""), HYPERLINK(CONCATENATE("#metadata!", ADDRESS(INDEX($AH$2:$AH$1001,MATCH(ROWS($AF$2:AF878),$AF$2:$AF$1001,0),0), INDEX($AM$1004:$BM$1004,1,MATCH(COLUMNS($AM$1006:AQ1006),$AM$1006:$BM$1006,0)))),"Fix")))</f>
        <v xml:space="preserve"> </v>
      </c>
      <c r="G878" s="4" t="str">
        <f ca="1">IF(OR(INDEX($AG$2:$AG$1001,MATCH(ROWS($AF$2:AF878),$AF$2:$AF$1001,0),1)&gt;=100000,INDEX($AM$1005:$BM$1005,1,MATCH(COLUMNS($AM$1006:AR1006),$AM$1006:$BM$1006,0))&gt;=100000), " ",IF(INDEX($AM$2:$BM$1001,MATCH(ROWS($AF$2:AF878),$AF$2:$AF$1001,0),MATCH(COLUMNS($AM$1006:AR1006),$AM$1006:$BM$1006,0)), HYPERLINK("#",""), HYPERLINK(CONCATENATE("#metadata!", ADDRESS(INDEX($AH$2:$AH$1001,MATCH(ROWS($AF$2:AF878),$AF$2:$AF$1001,0),0), INDEX($AM$1004:$BM$1004,1,MATCH(COLUMNS($AM$1006:AR1006),$AM$1006:$BM$1006,0)))),"Fix")))</f>
        <v xml:space="preserve"> </v>
      </c>
      <c r="H878" s="4" t="str">
        <f ca="1">IF(OR(INDEX($AG$2:$AG$1001,MATCH(ROWS($AF$2:AF878),$AF$2:$AF$1001,0),1)&gt;=100000,INDEX($AM$1005:$BM$1005,1,MATCH(COLUMNS($AM$1006:AS1006),$AM$1006:$BM$1006,0))&gt;=100000), " ",IF(INDEX($AM$2:$BM$1001,MATCH(ROWS($AF$2:AF878),$AF$2:$AF$1001,0),MATCH(COLUMNS($AM$1006:AS1006),$AM$1006:$BM$1006,0)), HYPERLINK("#",""), HYPERLINK(CONCATENATE("#metadata!", ADDRESS(INDEX($AH$2:$AH$1001,MATCH(ROWS($AF$2:AF878),$AF$2:$AF$1001,0),0), INDEX($AM$1004:$BM$1004,1,MATCH(COLUMNS($AM$1006:AS1006),$AM$1006:$BM$1006,0)))),"Fix")))</f>
        <v xml:space="preserve"> </v>
      </c>
      <c r="I878" s="4" t="str">
        <f ca="1">IF(OR(INDEX($AG$2:$AG$1001,MATCH(ROWS($AF$2:AF878),$AF$2:$AF$1001,0),1)&gt;=100000,INDEX($AM$1005:$BM$1005,1,MATCH(COLUMNS($AM$1006:AT1006),$AM$1006:$BM$1006,0))&gt;=100000), " ",IF(INDEX($AM$2:$BM$1001,MATCH(ROWS($AF$2:AF878),$AF$2:$AF$1001,0),MATCH(COLUMNS($AM$1006:AT1006),$AM$1006:$BM$1006,0)), HYPERLINK("#",""), HYPERLINK(CONCATENATE("#metadata!", ADDRESS(INDEX($AH$2:$AH$1001,MATCH(ROWS($AF$2:AF878),$AF$2:$AF$1001,0),0), INDEX($AM$1004:$BM$1004,1,MATCH(COLUMNS($AM$1006:AT1006),$AM$1006:$BM$1006,0)))),"Fix")))</f>
        <v xml:space="preserve"> </v>
      </c>
      <c r="J878" s="4" t="str">
        <f ca="1">IF(OR(INDEX($AG$2:$AG$1001,MATCH(ROWS($AF$2:AF878),$AF$2:$AF$1001,0),1)&gt;=100000,INDEX($AM$1005:$BM$1005,1,MATCH(COLUMNS($AM$1006:AU1006),$AM$1006:$BM$1006,0))&gt;=100000), " ",IF(INDEX($AM$2:$BM$1001,MATCH(ROWS($AF$2:AF878),$AF$2:$AF$1001,0),MATCH(COLUMNS($AM$1006:AU1006),$AM$1006:$BM$1006,0)), HYPERLINK("#",""), HYPERLINK(CONCATENATE("#metadata!", ADDRESS(INDEX($AH$2:$AH$1001,MATCH(ROWS($AF$2:AF878),$AF$2:$AF$1001,0),0), INDEX($AM$1004:$BM$1004,1,MATCH(COLUMNS($AM$1006:AU1006),$AM$1006:$BM$1006,0)))),"Fix")))</f>
        <v xml:space="preserve"> </v>
      </c>
      <c r="K878" s="4" t="str">
        <f ca="1">IF(OR(INDEX($AG$2:$AG$1001,MATCH(ROWS($AF$2:AF878),$AF$2:$AF$1001,0),1)&gt;=100000,INDEX($AM$1005:$BM$1005,1,MATCH(COLUMNS($AM$1006:AV1006),$AM$1006:$BM$1006,0))&gt;=100000), " ",IF(INDEX($AM$2:$BM$1001,MATCH(ROWS($AF$2:AF878),$AF$2:$AF$1001,0),MATCH(COLUMNS($AM$1006:AV1006),$AM$1006:$BM$1006,0)), HYPERLINK("#",""), HYPERLINK(CONCATENATE("#metadata!", ADDRESS(INDEX($AH$2:$AH$1001,MATCH(ROWS($AF$2:AF878),$AF$2:$AF$1001,0),0), INDEX($AM$1004:$BM$1004,1,MATCH(COLUMNS($AM$1006:AV1006),$AM$1006:$BM$1006,0)))),"Fix")))</f>
        <v xml:space="preserve"> </v>
      </c>
      <c r="L878" s="4" t="str">
        <f ca="1">IF(OR(INDEX($AG$2:$AG$1001,MATCH(ROWS($AF$2:AF878),$AF$2:$AF$1001,0),1)&gt;=100000,INDEX($AM$1005:$BM$1005,1,MATCH(COLUMNS($AM$1006:AW1006),$AM$1006:$BM$1006,0))&gt;=100000), " ",IF(INDEX($AM$2:$BM$1001,MATCH(ROWS($AF$2:AF878),$AF$2:$AF$1001,0),MATCH(COLUMNS($AM$1006:AW1006),$AM$1006:$BM$1006,0)), HYPERLINK("#",""), HYPERLINK(CONCATENATE("#metadata!", ADDRESS(INDEX($AH$2:$AH$1001,MATCH(ROWS($AF$2:AF878),$AF$2:$AF$1001,0),0), INDEX($AM$1004:$BM$1004,1,MATCH(COLUMNS($AM$1006:AW1006),$AM$1006:$BM$1006,0)))),"Fix")))</f>
        <v xml:space="preserve"> </v>
      </c>
      <c r="M878" s="4" t="str">
        <f ca="1">IF(OR(INDEX($AG$2:$AG$1001,MATCH(ROWS($AF$2:AF878),$AF$2:$AF$1001,0),1)&gt;=100000,INDEX($AM$1005:$BM$1005,1,MATCH(COLUMNS($AM$1006:AX1006),$AM$1006:$BM$1006,0))&gt;=100000), " ",IF(INDEX($AM$2:$BM$1001,MATCH(ROWS($AF$2:AF878),$AF$2:$AF$1001,0),MATCH(COLUMNS($AM$1006:AX1006),$AM$1006:$BM$1006,0)), HYPERLINK("#",""), HYPERLINK(CONCATENATE("#metadata!", ADDRESS(INDEX($AH$2:$AH$1001,MATCH(ROWS($AF$2:AF878),$AF$2:$AF$1001,0),0), INDEX($AM$1004:$BM$1004,1,MATCH(COLUMNS($AM$1006:AX1006),$AM$1006:$BM$1006,0)))),"Fix")))</f>
        <v xml:space="preserve"> </v>
      </c>
      <c r="N878" s="4" t="str">
        <f ca="1">IF(OR(INDEX($AG$2:$AG$1001,MATCH(ROWS($AF$2:AF878),$AF$2:$AF$1001,0),1)&gt;=100000,INDEX($AM$1005:$BM$1005,1,MATCH(COLUMNS($AM$1006:AY1006),$AM$1006:$BM$1006,0))&gt;=100000), " ",IF(INDEX($AM$2:$BM$1001,MATCH(ROWS($AF$2:AF878),$AF$2:$AF$1001,0),MATCH(COLUMNS($AM$1006:AY1006),$AM$1006:$BM$1006,0)), HYPERLINK("#",""), HYPERLINK(CONCATENATE("#metadata!", ADDRESS(INDEX($AH$2:$AH$1001,MATCH(ROWS($AF$2:AF878),$AF$2:$AF$1001,0),0), INDEX($AM$1004:$BM$1004,1,MATCH(COLUMNS($AM$1006:AY1006),$AM$1006:$BM$1006,0)))),"Fix")))</f>
        <v xml:space="preserve"> </v>
      </c>
      <c r="O878" s="4" t="str">
        <f ca="1">IF(OR(INDEX($AG$2:$AG$1001,MATCH(ROWS($AF$2:AF878),$AF$2:$AF$1001,0),1)&gt;=100000,INDEX($AM$1005:$BM$1005,1,MATCH(COLUMNS($AM$1006:AZ1006),$AM$1006:$BM$1006,0))&gt;=100000), " ",IF(INDEX($AM$2:$BM$1001,MATCH(ROWS($AF$2:AF878),$AF$2:$AF$1001,0),MATCH(COLUMNS($AM$1006:AZ1006),$AM$1006:$BM$1006,0)), HYPERLINK("#",""), HYPERLINK(CONCATENATE("#metadata!", ADDRESS(INDEX($AH$2:$AH$1001,MATCH(ROWS($AF$2:AF878),$AF$2:$AF$1001,0),0), INDEX($AM$1004:$BM$1004,1,MATCH(COLUMNS($AM$1006:AZ1006),$AM$1006:$BM$1006,0)))),"Fix")))</f>
        <v xml:space="preserve"> </v>
      </c>
      <c r="P878" s="4" t="str">
        <f ca="1">IF(OR(INDEX($AG$2:$AG$1001,MATCH(ROWS($AF$2:AF878),$AF$2:$AF$1001,0),1)&gt;=100000,INDEX($AM$1005:$BM$1005,1,MATCH(COLUMNS($AM$1006:BA1006),$AM$1006:$BM$1006,0))&gt;=100000), " ",IF(INDEX($AM$2:$BM$1001,MATCH(ROWS($AF$2:AF878),$AF$2:$AF$1001,0),MATCH(COLUMNS($AM$1006:BA1006),$AM$1006:$BM$1006,0)), HYPERLINK("#",""), HYPERLINK(CONCATENATE("#metadata!", ADDRESS(INDEX($AH$2:$AH$1001,MATCH(ROWS($AF$2:AF878),$AF$2:$AF$1001,0),0), INDEX($AM$1004:$BM$1004,1,MATCH(COLUMNS($AM$1006:BA1006),$AM$1006:$BM$1006,0)))),"Fix")))</f>
        <v xml:space="preserve"> </v>
      </c>
      <c r="Q878" s="4" t="str">
        <f ca="1">IF(OR(INDEX($AG$2:$AG$1001,MATCH(ROWS($AF$2:AF878),$AF$2:$AF$1001,0),1)&gt;=100000,INDEX($AM$1005:$BM$1005,1,MATCH(COLUMNS($AM$1006:BB1006),$AM$1006:$BM$1006,0))&gt;=100000), " ",IF(INDEX($AM$2:$BM$1001,MATCH(ROWS($AF$2:AF878),$AF$2:$AF$1001,0),MATCH(COLUMNS($AM$1006:BB1006),$AM$1006:$BM$1006,0)), HYPERLINK("#",""), HYPERLINK(CONCATENATE("#metadata!", ADDRESS(INDEX($AH$2:$AH$1001,MATCH(ROWS($AF$2:AF878),$AF$2:$AF$1001,0),0), INDEX($AM$1004:$BM$1004,1,MATCH(COLUMNS($AM$1006:BB1006),$AM$1006:$BM$1006,0)))),"Fix")))</f>
        <v xml:space="preserve"> </v>
      </c>
      <c r="R878" s="4" t="str">
        <f ca="1">IF(OR(INDEX($AG$2:$AG$1001,MATCH(ROWS($AF$2:AF878),$AF$2:$AF$1001,0),1)&gt;=100000,INDEX($AM$1005:$BM$1005,1,MATCH(COLUMNS($AM$1006:BC1006),$AM$1006:$BM$1006,0))&gt;=100000), " ",IF(INDEX($AM$2:$BM$1001,MATCH(ROWS($AF$2:AF878),$AF$2:$AF$1001,0),MATCH(COLUMNS($AM$1006:BC1006),$AM$1006:$BM$1006,0)), HYPERLINK("#",""), HYPERLINK(CONCATENATE("#metadata!", ADDRESS(INDEX($AH$2:$AH$1001,MATCH(ROWS($AF$2:AF878),$AF$2:$AF$1001,0),0), INDEX($AM$1004:$BM$1004,1,MATCH(COLUMNS($AM$1006:BC1006),$AM$1006:$BM$1006,0)))),"Fix")))</f>
        <v xml:space="preserve"> </v>
      </c>
      <c r="S878" s="4" t="str">
        <f ca="1">IF(OR(INDEX($AG$2:$AG$1001,MATCH(ROWS($AF$2:AF878),$AF$2:$AF$1001,0),1)&gt;=100000,INDEX($AM$1005:$BM$1005,1,MATCH(COLUMNS($AM$1006:BD1006),$AM$1006:$BM$1006,0))&gt;=100000), " ",IF(INDEX($AM$2:$BM$1001,MATCH(ROWS($AF$2:AF878),$AF$2:$AF$1001,0),MATCH(COLUMNS($AM$1006:BD1006),$AM$1006:$BM$1006,0)), HYPERLINK("#",""), HYPERLINK(CONCATENATE("#metadata!", ADDRESS(INDEX($AH$2:$AH$1001,MATCH(ROWS($AF$2:AF878),$AF$2:$AF$1001,0),0), INDEX($AM$1004:$BM$1004,1,MATCH(COLUMNS($AM$1006:BD1006),$AM$1006:$BM$1006,0)))),"Fix")))</f>
        <v xml:space="preserve"> </v>
      </c>
      <c r="T878" s="4" t="str">
        <f ca="1">IF(OR(INDEX($AG$2:$AG$1001,MATCH(ROWS($AF$2:AF878),$AF$2:$AF$1001,0),1)&gt;=100000,INDEX($AM$1005:$BM$1005,1,MATCH(COLUMNS($AM$1006:BE1006),$AM$1006:$BM$1006,0))&gt;=100000), " ",IF(INDEX($AM$2:$BM$1001,MATCH(ROWS($AF$2:AF878),$AF$2:$AF$1001,0),MATCH(COLUMNS($AM$1006:BE1006),$AM$1006:$BM$1006,0)), HYPERLINK("#",""), HYPERLINK(CONCATENATE("#metadata!", ADDRESS(INDEX($AH$2:$AH$1001,MATCH(ROWS($AF$2:AF878),$AF$2:$AF$1001,0),0), INDEX($AM$1004:$BM$1004,1,MATCH(COLUMNS($AM$1006:BE1006),$AM$1006:$BM$1006,0)))),"Fix")))</f>
        <v xml:space="preserve"> </v>
      </c>
      <c r="U878" s="4" t="str">
        <f ca="1">IF(OR(INDEX($AG$2:$AG$1001,MATCH(ROWS($AF$2:AF878),$AF$2:$AF$1001,0),1)&gt;=100000,INDEX($AM$1005:$BM$1005,1,MATCH(COLUMNS($AM$1006:BF1006),$AM$1006:$BM$1006,0))&gt;=100000), " ",IF(INDEX($AM$2:$BM$1001,MATCH(ROWS($AF$2:AF878),$AF$2:$AF$1001,0),MATCH(COLUMNS($AM$1006:BF1006),$AM$1006:$BM$1006,0)), HYPERLINK("#",""), HYPERLINK(CONCATENATE("#metadata!", ADDRESS(INDEX($AH$2:$AH$1001,MATCH(ROWS($AF$2:AF878),$AF$2:$AF$1001,0),0), INDEX($AM$1004:$BM$1004,1,MATCH(COLUMNS($AM$1006:BF1006),$AM$1006:$BM$1006,0)))),"Fix")))</f>
        <v xml:space="preserve"> </v>
      </c>
      <c r="V878" s="4" t="str">
        <f ca="1">IF(OR(INDEX($AG$2:$AG$1001,MATCH(ROWS($AF$2:AF878),$AF$2:$AF$1001,0),1)&gt;=100000,INDEX($AM$1005:$BM$1005,1,MATCH(COLUMNS($AM$1006:BG1006),$AM$1006:$BM$1006,0))&gt;=100000), " ",IF(INDEX($AM$2:$BM$1001,MATCH(ROWS($AF$2:AF878),$AF$2:$AF$1001,0),MATCH(COLUMNS($AM$1006:BG1006),$AM$1006:$BM$1006,0)), HYPERLINK("#",""), HYPERLINK(CONCATENATE("#metadata!", ADDRESS(INDEX($AH$2:$AH$1001,MATCH(ROWS($AF$2:AF878),$AF$2:$AF$1001,0),0), INDEX($AM$1004:$BM$1004,1,MATCH(COLUMNS($AM$1006:BG1006),$AM$1006:$BM$1006,0)))),"Fix")))</f>
        <v xml:space="preserve"> </v>
      </c>
      <c r="W878" s="4" t="str">
        <f ca="1">IF(OR(INDEX($AG$2:$AG$1001,MATCH(ROWS($AF$2:AF878),$AF$2:$AF$1001,0),1)&gt;=100000,INDEX($AM$1005:$BM$1005,1,MATCH(COLUMNS($AM$1006:BH1006),$AM$1006:$BM$1006,0))&gt;=100000), " ",IF(INDEX($AM$2:$BM$1001,MATCH(ROWS($AF$2:AF878),$AF$2:$AF$1001,0),MATCH(COLUMNS($AM$1006:BH1006),$AM$1006:$BM$1006,0)), HYPERLINK("#",""), HYPERLINK(CONCATENATE("#metadata!", ADDRESS(INDEX($AH$2:$AH$1001,MATCH(ROWS($AF$2:AF878),$AF$2:$AF$1001,0),0), INDEX($AM$1004:$BM$1004,1,MATCH(COLUMNS($AM$1006:BH1006),$AM$1006:$BM$1006,0)))),"Fix")))</f>
        <v xml:space="preserve"> </v>
      </c>
      <c r="X878" s="4" t="str">
        <f ca="1">IF(OR(INDEX($AG$2:$AG$1001,MATCH(ROWS($AF$2:AF878),$AF$2:$AF$1001,0),1)&gt;=100000,INDEX($AM$1005:$BM$1005,1,MATCH(COLUMNS($AM$1006:BI1006),$AM$1006:$BM$1006,0))&gt;=100000), " ",IF(INDEX($AM$2:$BM$1001,MATCH(ROWS($AF$2:AF878),$AF$2:$AF$1001,0),MATCH(COLUMNS($AM$1006:BI1006),$AM$1006:$BM$1006,0)), HYPERLINK("#",""), HYPERLINK(CONCATENATE("#metadata!", ADDRESS(INDEX($AH$2:$AH$1001,MATCH(ROWS($AF$2:AF878),$AF$2:$AF$1001,0),0), INDEX($AM$1004:$BM$1004,1,MATCH(COLUMNS($AM$1006:BI1006),$AM$1006:$BM$1006,0)))),"Fix")))</f>
        <v xml:space="preserve"> </v>
      </c>
      <c r="Y878" s="4" t="str">
        <f ca="1">IF(OR(INDEX($AG$2:$AG$1001,MATCH(ROWS($AF$2:AF878),$AF$2:$AF$1001,0),1)&gt;=100000,INDEX($AM$1005:$BM$1005,1,MATCH(COLUMNS($AM$1006:BJ1006),$AM$1006:$BM$1006,0))&gt;=100000), " ",IF(INDEX($AM$2:$BM$1001,MATCH(ROWS($AF$2:AF878),$AF$2:$AF$1001,0),MATCH(COLUMNS($AM$1006:BJ1006),$AM$1006:$BM$1006,0)), HYPERLINK("#",""), HYPERLINK(CONCATENATE("#metadata!", ADDRESS(INDEX($AH$2:$AH$1001,MATCH(ROWS($AF$2:AF878),$AF$2:$AF$1001,0),0), INDEX($AM$1004:$BM$1004,1,MATCH(COLUMNS($AM$1006:BJ1006),$AM$1006:$BM$1006,0)))),"Fix")))</f>
        <v xml:space="preserve"> </v>
      </c>
      <c r="Z878" s="4" t="str">
        <f ca="1">IF(OR(INDEX($AG$2:$AG$1001,MATCH(ROWS($AF$2:AF878),$AF$2:$AF$1001,0),1)&gt;=100000,INDEX($AM$1005:$BM$1005,1,MATCH(COLUMNS($AM$1006:BK1006),$AM$1006:$BM$1006,0))&gt;=100000), " ",IF(INDEX($AM$2:$BM$1001,MATCH(ROWS($AF$2:AF878),$AF$2:$AF$1001,0),MATCH(COLUMNS($AM$1006:BK1006),$AM$1006:$BM$1006,0)), HYPERLINK("#",""), HYPERLINK(CONCATENATE("#metadata!", ADDRESS(INDEX($AH$2:$AH$1001,MATCH(ROWS($AF$2:AF878),$AF$2:$AF$1001,0),0), INDEX($AM$1004:$BM$1004,1,MATCH(COLUMNS($AM$1006:BK1006),$AM$1006:$BM$1006,0)))),"Fix")))</f>
        <v xml:space="preserve"> </v>
      </c>
      <c r="AA878" s="4" t="str">
        <f ca="1">IF(OR(INDEX($AG$2:$AG$1001,MATCH(ROWS($AF$2:AF878),$AF$2:$AF$1001,0),1)&gt;=100000,INDEX($AM$1005:$BM$1005,1,MATCH(COLUMNS($AM$1006:BL1006),$AM$1006:$BM$1006,0))&gt;=100000), " ",IF(INDEX($AM$2:$BM$1001,MATCH(ROWS($AF$2:AF878),$AF$2:$AF$1001,0),MATCH(COLUMNS($AM$1006:BL1006),$AM$1006:$BM$1006,0)), HYPERLINK("#",""), HYPERLINK(CONCATENATE("#metadata!", ADDRESS(INDEX($AH$2:$AH$1001,MATCH(ROWS($AF$2:AF878),$AF$2:$AF$1001,0),0), INDEX($AM$1004:$BM$1004,1,MATCH(COLUMNS($AM$1006:BL1006),$AM$1006:$BM$1006,0)))),"Fix")))</f>
        <v xml:space="preserve"> </v>
      </c>
      <c r="AB878" s="4" t="str">
        <f ca="1">IF(OR(INDEX($AG$2:$AG$1001,MATCH(ROWS($AF$2:AF878),$AF$2:$AF$1001,0),1)&gt;=100000,INDEX($AM$1005:$BM$1005,1,MATCH(COLUMNS($AM$1006:BM1006),$AM$1006:$BM$1006,0))&gt;=100000), " ",IF(INDEX($AM$2:$BM$1001,MATCH(ROWS($AF$2:AF878),$AF$2:$AF$1001,0),MATCH(COLUMNS($AM$1006:BM1006),$AM$1006:$BM$1006,0)), HYPERLINK("#",""), HYPERLINK(CONCATENATE("#metadata!", ADDRESS(INDEX($AH$2:$AH$1001,MATCH(ROWS($AF$2:AF878),$AF$2:$AF$1001,0),0), INDEX($AM$1004:$BM$1004,1,MATCH(COLUMNS($AM$1006:BM1006),$AM$1006:$BM$1006,0)))),"Fix")))</f>
        <v xml:space="preserve"> </v>
      </c>
      <c r="AF878">
        <v>877</v>
      </c>
      <c r="AG878">
        <v>100878</v>
      </c>
      <c r="AH878">
        <v>878</v>
      </c>
      <c r="AI878" t="b">
        <f t="shared" si="13"/>
        <v>1</v>
      </c>
      <c r="AJ878" t="b">
        <f>COUNTBLANK(metadata!B878:AB878)=COLUMNS(metadata!B878:AB878)</f>
        <v>1</v>
      </c>
      <c r="AK878" t="str">
        <v/>
      </c>
      <c r="AM878" t="b">
        <f ca="1">AND(IF(metadata!B878="",FALSE,TRUE),COUNTIF(metadata!B:B, metadata!B878) = 1,NOT(ISERROR(SUMPRODUCT(SEARCH(MID(metadata!B878,ROW(INDIRECT("1:"&amp;LEN(metadata!B878))), 1),"0123456789abcdefghijklmnopqrstuvwxyzABCDEFGHIJKLMNOPQRSTUVWXYZ.")))))</f>
        <v>0</v>
      </c>
      <c r="AN878" t="b">
        <f ca="1">OR(AND(IF(metadata!C878="",FALSE,TRUE),OR(EXACT(metadata!C878,"missing: not collected"),EXACT(metadata!C878,"missing: not provided"),EXACT(metadata!C878,"missing: restricted access"))),AND(IF(metadata!C878="",FALSE,TRUE),AND(AND(IFERROR(INT(LEFT(metadata!C878,4))&gt;1900,FALSE),IFERROR(INT(LEFT(metadata!C878,4))&lt;=YEAR(NOW()),FALSE)), OR(MID(metadata!C878,5,1)="", AND(AND(MID(metadata!C878,5,1)="-",IFERROR(INT(MID(metadata!C878,6,1))&gt;=0,FALSE),IFERROR(INT(MID(metadata!C878,6,1))&lt;=1,FALSE),NOT(MID(metadata!C878,7,1)=""),IFERROR(INT(MID(metadata!C878,6,2))&gt;=1,FALSE),IFERROR(INT(MID(metadata!C878,6,2))&lt;=12,FALSE)), OR(MID(metadata!C878,8,1)="", AND(AND(MID(metadata!C878,8,1)="-",IFERROR(INT(MID(metadata!C878,9,1))&gt;=0,FALSE),IFERROR(INT(MID(metadata!C878,9,1))&lt;=3,FALSE),NOT(MID(metadata!C878,10,1)=""),IFERROR(INT(MID(metadata!C878,9,2))&gt;=1,FALSE),IFERROR(INT(MID(metadata!C878,9,2))&lt;=31,FALSE)), OR(MID(metadata!C878,11,1)="", AND(AND(MID(metadata!C878,11,1)=" ",IFERROR(INT(MID(metadata!C878,12,1))&gt;=0,FALSE),IFERROR(INT(MID(metadata!C878,12,1))&lt;=2,FALSE),NOT(MID(metadata!C878,13,1)=""),IFERROR(INT(MID(metadata!C878,12,2))&gt;=0,FALSE),IFERROR(INT(MID(metadata!C878,12,2))&lt;=23,FALSE)), OR(MID(metadata!C878,14,1)="", AND(AND(MID(metadata!C878,14,1)=":",IFERROR(INT(MID(metadata!C878,15,1))&gt;=0,FALSE),IFERROR(INT(MID(metadata!C878,15,1))&lt;=5,FALSE),NOT(MID(metadata!C878,16,1)=""),IFERROR(INT(MID(metadata!C878,15,2))&gt;=0,FALSE),IFERROR(INT(MID(metadata!C878,15,2))&lt;=59,FALSE)), OR(MID(metadata!C878,17,1)="", AND(AND(MID(metadata!C878,17,1)=":",IFERROR(INT(MID(metadata!C878,18,1))&gt;=0,FALSE),IFERROR(INT(MID(metadata!C878,18,1))&lt;=5,FALSE),NOT(MID(metadata!C878,19,1)=""),IFERROR(INT(MID(metadata!C878,18,2))&gt;=0,FALSE),IFERROR(INT(MID(metadata!C878,18,2))&lt;=59,FALSE)), LEN(metadata!C878)&lt;=19)))))))))))))</f>
        <v>0</v>
      </c>
      <c r="AO878" t="b">
        <f>AND(IF(metadata!D878="",FALSE,TRUE),EXACT(metadata!D878,"Not applicable"))</f>
        <v>0</v>
      </c>
      <c r="AP878" t="b">
        <f>IF(metadata!E878="",FALSE,TRUE)</f>
        <v>0</v>
      </c>
      <c r="AQ878" t="b">
        <f>OR(AND(IF(metadata!F878="",FALSE,TRUE),OR(EXACT(metadata!F878,"missing: not collected"),EXACT(metadata!F878,"missing: not provided"))),AND(IF(metadata!F878="",FALSE,TRUE),OR(EXACT(metadata!F878,"TRUE"),EXACT(metadata!F878,"FALSE"))))</f>
        <v>0</v>
      </c>
      <c r="AR878" t="b">
        <f>OR(AND(IF(metadata!G878="",FALSE,TRUE),OR(EXACT(metadata!G878,"missing: not collected"),EXACT(metadata!G878,"missing: not provided"),EXACT(metadata!G878,"missing: restricted access"))),AND(IF(metadata!G878="",FALSE,ISNUMBER(VALUE(metadata!G878))),metadata!G878&gt;=-413))</f>
        <v>0</v>
      </c>
      <c r="AS878" t="b">
        <f>AND(IF(metadata!H878="",FALSE,TRUE),EXACT(metadata!H878,"meters"))</f>
        <v>0</v>
      </c>
      <c r="AT878" t="b">
        <f>AND(IF(metadata!I878="",FALSE,TRUE),OR(EXACT(metadata!I878,"Host-associated"),EXACT(metadata!I878,"Free-living")))</f>
        <v>0</v>
      </c>
      <c r="AU878" t="b">
        <f>AND(IF(metadata!J878="",FALSE,TRUE),OR(EXACT(metadata!J878,"Animal"),EXACT(metadata!J878,"Fungus"),EXACT(metadata!J878,"Plant"),EXACT(metadata!J878,"Saline"),EXACT(metadata!J878,"Non-saline")))</f>
        <v>0</v>
      </c>
      <c r="AV878" t="b">
        <f>AND(IF(metadata!K878="",FALSE,TRUE),OR(EXACT(metadata!K878,"Plant secretion"),EXACT(metadata!K878,"Plant rhizosphere"),EXACT(metadata!K878,"Plant surface"),EXACT(metadata!K878,"Plant corpus"),EXACT(metadata!K878,"Fungus surface"),EXACT(metadata!K878,"Fungus corpus"),EXACT(metadata!K878,"Animal surface"),EXACT(metadata!K878,"Animal proximal gut"),EXACT(metadata!K878,"Animal corpus"),EXACT(metadata!K878,"Animal distal gut"),EXACT(metadata!K878,"Animal secretion"),EXACT(metadata!K878,"Sub-surface (non-saline)"),EXACT(metadata!K878,"Surface (non-saline)"),EXACT(metadata!K878,"Water (non-saline)"),EXACT(metadata!K878,"Soil (non-saline)"),EXACT(metadata!K878,"Aerosol (non-saline)"),EXACT(metadata!K878,"Sediment (non-saline)"),EXACT(metadata!K878,"Surface (saline)"),EXACT(metadata!K878,"Water (saline)"),EXACT(metadata!K878,"Hypersaline (saline)"),EXACT(metadata!K878,"Aerosol (saline)"),EXACT(metadata!K878,"Sediment (saline)")))</f>
        <v>0</v>
      </c>
      <c r="AW878" t="b">
        <f>IF(metadata!L878="",FALSE,TRUE)</f>
        <v>0</v>
      </c>
      <c r="AX878" t="b">
        <f>IF(metadata!M878="",FALSE,TRUE)</f>
        <v>0</v>
      </c>
      <c r="AY878" t="b">
        <f>IF(metadata!N878="",FALSE,TRUE)</f>
        <v>0</v>
      </c>
      <c r="AZ878" t="b">
        <f>OR(AND(IF(metadata!O878="",FALSE,TRUE),OR(EXACT(metadata!O878,"missing: not collected"),EXACT(metadata!O878,"missing: not provided"),EXACT(metadata!O878,"missing: restricted access"))),AND(IF(metadata!O878="",FALSE,TRUE),OR(EXACT(metadata!O878,"air"),EXACT(metadata!O878,"built environment"),EXACT(metadata!O878,"host-associated"),EXACT(metadata!O878,"human-associated"),EXACT(metadata!O878,"human-skin"),EXACT(metadata!O878,"human-oral"),EXACT(metadata!O878,"human-gut"),EXACT(metadata!O878,"human-vaginal"),EXACT(metadata!O878,"microbial mat/biofilm"),EXACT(metadata!O878,"misc environment"),EXACT(metadata!O878,"plant-associated"),EXACT(metadata!O878,"sediment"),EXACT(metadata!O878,"soil"),EXACT(metadata!O878,"wastewater/sludge"),EXACT(metadata!O878,"water"))))</f>
        <v>0</v>
      </c>
      <c r="BA878" t="b">
        <f>IF(metadata!P878="",FALSE,TRUE)</f>
        <v>0</v>
      </c>
      <c r="BB878" t="b">
        <f>IF(metadata!Q878="",FALSE,TRUE)</f>
        <v>0</v>
      </c>
      <c r="BC878" t="b">
        <f>OR(AND(IF(metadata!R878="",FALSE,TRUE),OR(EXACT(metadata!R878,"missing: not collected"),EXACT(metadata!R878,"missing: not provided"),EXACT(metadata!R878,"missing: restricted access"))),AND(IF(metadata!R878="",FALSE,ISNUMBER(VALUE(metadata!R878))),metadata!R878&gt;=-90,metadata!R878&lt;=90))</f>
        <v>0</v>
      </c>
      <c r="BD878" t="b">
        <f>AND(IF(metadata!S878="",FALSE,TRUE),EXACT(metadata!S878,"Decimal degrees"))</f>
        <v>0</v>
      </c>
      <c r="BE878" t="b">
        <f>OR(AND(IF(metadata!T878="",FALSE,TRUE),OR(EXACT(metadata!T878,"missing: not collected"),EXACT(metadata!T878,"missing: not provided"),EXACT(metadata!T878,"missing: restricted access"))),AND(IF(metadata!T878="",FALSE,ISNUMBER(VALUE(metadata!T878))),metadata!T878&gt;=-180,metadata!T878&lt;=180))</f>
        <v>0</v>
      </c>
      <c r="BF878" t="b">
        <f>AND(IF(metadata!U878="",FALSE,TRUE),EXACT(metadata!U878,"Decimal degrees"))</f>
        <v>0</v>
      </c>
      <c r="BG878" t="b">
        <f>IF(metadata!V878="",FALSE,TRUE)</f>
        <v>0</v>
      </c>
      <c r="BH878" t="b">
        <f>OR(AND(IF(metadata!W878="",FALSE,TRUE),OR(EXACT(metadata!W878,"missing: not collected"),EXACT(metadata!W878,"missing: not provided"),EXACT(metadata!W878,"missing: restricted access"))),AND(IF(metadata!W878="",FALSE,TRUE),OR(EXACT(metadata!W878,"TRUE"),EXACT(metadata!W878,"FALSE"))))</f>
        <v>0</v>
      </c>
      <c r="BI878" t="b">
        <f>AND(IF(metadata!X878="",FALSE,TRUE),EXACT(metadata!X878,"other"))</f>
        <v>0</v>
      </c>
      <c r="BJ878" t="b">
        <f>IF(metadata!Y878="",FALSE,TRUE)</f>
        <v>0</v>
      </c>
      <c r="BK878" t="b">
        <f>OR(AND(IF(metadata!Z878="",FALSE,TRUE),OR(EXACT(metadata!Z878,"missing: not collected"),EXACT(metadata!Z878,"missing: not provided"))),AND(IF(metadata!Z878="",FALSE,IF(ISERROR(INT(metadata!Z878)),FALSE,INT(metadata!Z878)=metadata!Z878)),metadata!Z878&gt;0))</f>
        <v>0</v>
      </c>
      <c r="BL878" t="b">
        <f>AND(IF(metadata!AA878="",FALSE,TRUE),EXACT(metadata!AA878,"Not applicable"))</f>
        <v>0</v>
      </c>
      <c r="BM878" t="b">
        <f>IF(metadata!AB878="",FALSE,TRUE)</f>
        <v>0</v>
      </c>
    </row>
    <row r="879" spans="1:65" x14ac:dyDescent="0.2">
      <c r="A879" s="5" t="str">
        <f ca="1">IF(B879=" "," ",HYPERLINK(CONCATENATE("#metadata!",ADDRESS(INDEX($AH$2:$AH$1001,MATCH(ROWS($AF$2:AF879),$AF$2:$AF$1001,0),0),1)),INDEX($AK$2:$AK$1001,MATCH(ROWS($AF$2:AF879),$AF$2:$AF$1001,0),0)))</f>
        <v xml:space="preserve"> </v>
      </c>
      <c r="B879" s="4" t="str">
        <f ca="1">IF(OR(INDEX($AG$2:$AG$1001,MATCH(ROWS($AF$2:AF879),$AF$2:$AF$1001,0),1)&gt;=100000,INDEX($AM$1005:$BM$1005,1,MATCH(COLUMNS($AM$1006:AM1006),$AM$1006:$BM$1006,0))&gt;=100000), " ",IF(INDEX($AM$2:$BM$1001,MATCH(ROWS($AF$2:AF879),$AF$2:$AF$1001,0),MATCH(COLUMNS($AM$1006:AM1006),$AM$1006:$BM$1006,0)), HYPERLINK("#",""), HYPERLINK(CONCATENATE("#metadata!", ADDRESS(INDEX($AH$2:$AH$1001,MATCH(ROWS($AF$2:AF879),$AF$2:$AF$1001,0),0), INDEX($AM$1004:$BM$1004,1,MATCH(COLUMNS($AM$1006:AM1006),$AM$1006:$BM$1006,0)))),"Fix")))</f>
        <v xml:space="preserve"> </v>
      </c>
      <c r="C879" s="4" t="str">
        <f ca="1">IF(OR(INDEX($AG$2:$AG$1001,MATCH(ROWS($AF$2:AF879),$AF$2:$AF$1001,0),1)&gt;=100000,INDEX($AM$1005:$BM$1005,1,MATCH(COLUMNS($AM$1006:AN1006),$AM$1006:$BM$1006,0))&gt;=100000), " ",IF(INDEX($AM$2:$BM$1001,MATCH(ROWS($AF$2:AF879),$AF$2:$AF$1001,0),MATCH(COLUMNS($AM$1006:AN1006),$AM$1006:$BM$1006,0)), HYPERLINK("#",""), HYPERLINK(CONCATENATE("#metadata!", ADDRESS(INDEX($AH$2:$AH$1001,MATCH(ROWS($AF$2:AF879),$AF$2:$AF$1001,0),0), INDEX($AM$1004:$BM$1004,1,MATCH(COLUMNS($AM$1006:AN1006),$AM$1006:$BM$1006,0)))),"Fix")))</f>
        <v xml:space="preserve"> </v>
      </c>
      <c r="D879" s="4" t="str">
        <f ca="1">IF(OR(INDEX($AG$2:$AG$1001,MATCH(ROWS($AF$2:AF879),$AF$2:$AF$1001,0),1)&gt;=100000,INDEX($AM$1005:$BM$1005,1,MATCH(COLUMNS($AM$1006:AO1006),$AM$1006:$BM$1006,0))&gt;=100000), " ",IF(INDEX($AM$2:$BM$1001,MATCH(ROWS($AF$2:AF879),$AF$2:$AF$1001,0),MATCH(COLUMNS($AM$1006:AO1006),$AM$1006:$BM$1006,0)), HYPERLINK("#",""), HYPERLINK(CONCATENATE("#metadata!", ADDRESS(INDEX($AH$2:$AH$1001,MATCH(ROWS($AF$2:AF879),$AF$2:$AF$1001,0),0), INDEX($AM$1004:$BM$1004,1,MATCH(COLUMNS($AM$1006:AO1006),$AM$1006:$BM$1006,0)))),"Fix")))</f>
        <v xml:space="preserve"> </v>
      </c>
      <c r="E879" s="4" t="str">
        <f ca="1">IF(OR(INDEX($AG$2:$AG$1001,MATCH(ROWS($AF$2:AF879),$AF$2:$AF$1001,0),1)&gt;=100000,INDEX($AM$1005:$BM$1005,1,MATCH(COLUMNS($AM$1006:AP1006),$AM$1006:$BM$1006,0))&gt;=100000), " ",IF(INDEX($AM$2:$BM$1001,MATCH(ROWS($AF$2:AF879),$AF$2:$AF$1001,0),MATCH(COLUMNS($AM$1006:AP1006),$AM$1006:$BM$1006,0)), HYPERLINK("#",""), HYPERLINK(CONCATENATE("#metadata!", ADDRESS(INDEX($AH$2:$AH$1001,MATCH(ROWS($AF$2:AF879),$AF$2:$AF$1001,0),0), INDEX($AM$1004:$BM$1004,1,MATCH(COLUMNS($AM$1006:AP1006),$AM$1006:$BM$1006,0)))),"Fix")))</f>
        <v xml:space="preserve"> </v>
      </c>
      <c r="F879" s="4" t="str">
        <f ca="1">IF(OR(INDEX($AG$2:$AG$1001,MATCH(ROWS($AF$2:AF879),$AF$2:$AF$1001,0),1)&gt;=100000,INDEX($AM$1005:$BM$1005,1,MATCH(COLUMNS($AM$1006:AQ1006),$AM$1006:$BM$1006,0))&gt;=100000), " ",IF(INDEX($AM$2:$BM$1001,MATCH(ROWS($AF$2:AF879),$AF$2:$AF$1001,0),MATCH(COLUMNS($AM$1006:AQ1006),$AM$1006:$BM$1006,0)), HYPERLINK("#",""), HYPERLINK(CONCATENATE("#metadata!", ADDRESS(INDEX($AH$2:$AH$1001,MATCH(ROWS($AF$2:AF879),$AF$2:$AF$1001,0),0), INDEX($AM$1004:$BM$1004,1,MATCH(COLUMNS($AM$1006:AQ1006),$AM$1006:$BM$1006,0)))),"Fix")))</f>
        <v xml:space="preserve"> </v>
      </c>
      <c r="G879" s="4" t="str">
        <f ca="1">IF(OR(INDEX($AG$2:$AG$1001,MATCH(ROWS($AF$2:AF879),$AF$2:$AF$1001,0),1)&gt;=100000,INDEX($AM$1005:$BM$1005,1,MATCH(COLUMNS($AM$1006:AR1006),$AM$1006:$BM$1006,0))&gt;=100000), " ",IF(INDEX($AM$2:$BM$1001,MATCH(ROWS($AF$2:AF879),$AF$2:$AF$1001,0),MATCH(COLUMNS($AM$1006:AR1006),$AM$1006:$BM$1006,0)), HYPERLINK("#",""), HYPERLINK(CONCATENATE("#metadata!", ADDRESS(INDEX($AH$2:$AH$1001,MATCH(ROWS($AF$2:AF879),$AF$2:$AF$1001,0),0), INDEX($AM$1004:$BM$1004,1,MATCH(COLUMNS($AM$1006:AR1006),$AM$1006:$BM$1006,0)))),"Fix")))</f>
        <v xml:space="preserve"> </v>
      </c>
      <c r="H879" s="4" t="str">
        <f ca="1">IF(OR(INDEX($AG$2:$AG$1001,MATCH(ROWS($AF$2:AF879),$AF$2:$AF$1001,0),1)&gt;=100000,INDEX($AM$1005:$BM$1005,1,MATCH(COLUMNS($AM$1006:AS1006),$AM$1006:$BM$1006,0))&gt;=100000), " ",IF(INDEX($AM$2:$BM$1001,MATCH(ROWS($AF$2:AF879),$AF$2:$AF$1001,0),MATCH(COLUMNS($AM$1006:AS1006),$AM$1006:$BM$1006,0)), HYPERLINK("#",""), HYPERLINK(CONCATENATE("#metadata!", ADDRESS(INDEX($AH$2:$AH$1001,MATCH(ROWS($AF$2:AF879),$AF$2:$AF$1001,0),0), INDEX($AM$1004:$BM$1004,1,MATCH(COLUMNS($AM$1006:AS1006),$AM$1006:$BM$1006,0)))),"Fix")))</f>
        <v xml:space="preserve"> </v>
      </c>
      <c r="I879" s="4" t="str">
        <f ca="1">IF(OR(INDEX($AG$2:$AG$1001,MATCH(ROWS($AF$2:AF879),$AF$2:$AF$1001,0),1)&gt;=100000,INDEX($AM$1005:$BM$1005,1,MATCH(COLUMNS($AM$1006:AT1006),$AM$1006:$BM$1006,0))&gt;=100000), " ",IF(INDEX($AM$2:$BM$1001,MATCH(ROWS($AF$2:AF879),$AF$2:$AF$1001,0),MATCH(COLUMNS($AM$1006:AT1006),$AM$1006:$BM$1006,0)), HYPERLINK("#",""), HYPERLINK(CONCATENATE("#metadata!", ADDRESS(INDEX($AH$2:$AH$1001,MATCH(ROWS($AF$2:AF879),$AF$2:$AF$1001,0),0), INDEX($AM$1004:$BM$1004,1,MATCH(COLUMNS($AM$1006:AT1006),$AM$1006:$BM$1006,0)))),"Fix")))</f>
        <v xml:space="preserve"> </v>
      </c>
      <c r="J879" s="4" t="str">
        <f ca="1">IF(OR(INDEX($AG$2:$AG$1001,MATCH(ROWS($AF$2:AF879),$AF$2:$AF$1001,0),1)&gt;=100000,INDEX($AM$1005:$BM$1005,1,MATCH(COLUMNS($AM$1006:AU1006),$AM$1006:$BM$1006,0))&gt;=100000), " ",IF(INDEX($AM$2:$BM$1001,MATCH(ROWS($AF$2:AF879),$AF$2:$AF$1001,0),MATCH(COLUMNS($AM$1006:AU1006),$AM$1006:$BM$1006,0)), HYPERLINK("#",""), HYPERLINK(CONCATENATE("#metadata!", ADDRESS(INDEX($AH$2:$AH$1001,MATCH(ROWS($AF$2:AF879),$AF$2:$AF$1001,0),0), INDEX($AM$1004:$BM$1004,1,MATCH(COLUMNS($AM$1006:AU1006),$AM$1006:$BM$1006,0)))),"Fix")))</f>
        <v xml:space="preserve"> </v>
      </c>
      <c r="K879" s="4" t="str">
        <f ca="1">IF(OR(INDEX($AG$2:$AG$1001,MATCH(ROWS($AF$2:AF879),$AF$2:$AF$1001,0),1)&gt;=100000,INDEX($AM$1005:$BM$1005,1,MATCH(COLUMNS($AM$1006:AV1006),$AM$1006:$BM$1006,0))&gt;=100000), " ",IF(INDEX($AM$2:$BM$1001,MATCH(ROWS($AF$2:AF879),$AF$2:$AF$1001,0),MATCH(COLUMNS($AM$1006:AV1006),$AM$1006:$BM$1006,0)), HYPERLINK("#",""), HYPERLINK(CONCATENATE("#metadata!", ADDRESS(INDEX($AH$2:$AH$1001,MATCH(ROWS($AF$2:AF879),$AF$2:$AF$1001,0),0), INDEX($AM$1004:$BM$1004,1,MATCH(COLUMNS($AM$1006:AV1006),$AM$1006:$BM$1006,0)))),"Fix")))</f>
        <v xml:space="preserve"> </v>
      </c>
      <c r="L879" s="4" t="str">
        <f ca="1">IF(OR(INDEX($AG$2:$AG$1001,MATCH(ROWS($AF$2:AF879),$AF$2:$AF$1001,0),1)&gt;=100000,INDEX($AM$1005:$BM$1005,1,MATCH(COLUMNS($AM$1006:AW1006),$AM$1006:$BM$1006,0))&gt;=100000), " ",IF(INDEX($AM$2:$BM$1001,MATCH(ROWS($AF$2:AF879),$AF$2:$AF$1001,0),MATCH(COLUMNS($AM$1006:AW1006),$AM$1006:$BM$1006,0)), HYPERLINK("#",""), HYPERLINK(CONCATENATE("#metadata!", ADDRESS(INDEX($AH$2:$AH$1001,MATCH(ROWS($AF$2:AF879),$AF$2:$AF$1001,0),0), INDEX($AM$1004:$BM$1004,1,MATCH(COLUMNS($AM$1006:AW1006),$AM$1006:$BM$1006,0)))),"Fix")))</f>
        <v xml:space="preserve"> </v>
      </c>
      <c r="M879" s="4" t="str">
        <f ca="1">IF(OR(INDEX($AG$2:$AG$1001,MATCH(ROWS($AF$2:AF879),$AF$2:$AF$1001,0),1)&gt;=100000,INDEX($AM$1005:$BM$1005,1,MATCH(COLUMNS($AM$1006:AX1006),$AM$1006:$BM$1006,0))&gt;=100000), " ",IF(INDEX($AM$2:$BM$1001,MATCH(ROWS($AF$2:AF879),$AF$2:$AF$1001,0),MATCH(COLUMNS($AM$1006:AX1006),$AM$1006:$BM$1006,0)), HYPERLINK("#",""), HYPERLINK(CONCATENATE("#metadata!", ADDRESS(INDEX($AH$2:$AH$1001,MATCH(ROWS($AF$2:AF879),$AF$2:$AF$1001,0),0), INDEX($AM$1004:$BM$1004,1,MATCH(COLUMNS($AM$1006:AX1006),$AM$1006:$BM$1006,0)))),"Fix")))</f>
        <v xml:space="preserve"> </v>
      </c>
      <c r="N879" s="4" t="str">
        <f ca="1">IF(OR(INDEX($AG$2:$AG$1001,MATCH(ROWS($AF$2:AF879),$AF$2:$AF$1001,0),1)&gt;=100000,INDEX($AM$1005:$BM$1005,1,MATCH(COLUMNS($AM$1006:AY1006),$AM$1006:$BM$1006,0))&gt;=100000), " ",IF(INDEX($AM$2:$BM$1001,MATCH(ROWS($AF$2:AF879),$AF$2:$AF$1001,0),MATCH(COLUMNS($AM$1006:AY1006),$AM$1006:$BM$1006,0)), HYPERLINK("#",""), HYPERLINK(CONCATENATE("#metadata!", ADDRESS(INDEX($AH$2:$AH$1001,MATCH(ROWS($AF$2:AF879),$AF$2:$AF$1001,0),0), INDEX($AM$1004:$BM$1004,1,MATCH(COLUMNS($AM$1006:AY1006),$AM$1006:$BM$1006,0)))),"Fix")))</f>
        <v xml:space="preserve"> </v>
      </c>
      <c r="O879" s="4" t="str">
        <f ca="1">IF(OR(INDEX($AG$2:$AG$1001,MATCH(ROWS($AF$2:AF879),$AF$2:$AF$1001,0),1)&gt;=100000,INDEX($AM$1005:$BM$1005,1,MATCH(COLUMNS($AM$1006:AZ1006),$AM$1006:$BM$1006,0))&gt;=100000), " ",IF(INDEX($AM$2:$BM$1001,MATCH(ROWS($AF$2:AF879),$AF$2:$AF$1001,0),MATCH(COLUMNS($AM$1006:AZ1006),$AM$1006:$BM$1006,0)), HYPERLINK("#",""), HYPERLINK(CONCATENATE("#metadata!", ADDRESS(INDEX($AH$2:$AH$1001,MATCH(ROWS($AF$2:AF879),$AF$2:$AF$1001,0),0), INDEX($AM$1004:$BM$1004,1,MATCH(COLUMNS($AM$1006:AZ1006),$AM$1006:$BM$1006,0)))),"Fix")))</f>
        <v xml:space="preserve"> </v>
      </c>
      <c r="P879" s="4" t="str">
        <f ca="1">IF(OR(INDEX($AG$2:$AG$1001,MATCH(ROWS($AF$2:AF879),$AF$2:$AF$1001,0),1)&gt;=100000,INDEX($AM$1005:$BM$1005,1,MATCH(COLUMNS($AM$1006:BA1006),$AM$1006:$BM$1006,0))&gt;=100000), " ",IF(INDEX($AM$2:$BM$1001,MATCH(ROWS($AF$2:AF879),$AF$2:$AF$1001,0),MATCH(COLUMNS($AM$1006:BA1006),$AM$1006:$BM$1006,0)), HYPERLINK("#",""), HYPERLINK(CONCATENATE("#metadata!", ADDRESS(INDEX($AH$2:$AH$1001,MATCH(ROWS($AF$2:AF879),$AF$2:$AF$1001,0),0), INDEX($AM$1004:$BM$1004,1,MATCH(COLUMNS($AM$1006:BA1006),$AM$1006:$BM$1006,0)))),"Fix")))</f>
        <v xml:space="preserve"> </v>
      </c>
      <c r="Q879" s="4" t="str">
        <f ca="1">IF(OR(INDEX($AG$2:$AG$1001,MATCH(ROWS($AF$2:AF879),$AF$2:$AF$1001,0),1)&gt;=100000,INDEX($AM$1005:$BM$1005,1,MATCH(COLUMNS($AM$1006:BB1006),$AM$1006:$BM$1006,0))&gt;=100000), " ",IF(INDEX($AM$2:$BM$1001,MATCH(ROWS($AF$2:AF879),$AF$2:$AF$1001,0),MATCH(COLUMNS($AM$1006:BB1006),$AM$1006:$BM$1006,0)), HYPERLINK("#",""), HYPERLINK(CONCATENATE("#metadata!", ADDRESS(INDEX($AH$2:$AH$1001,MATCH(ROWS($AF$2:AF879),$AF$2:$AF$1001,0),0), INDEX($AM$1004:$BM$1004,1,MATCH(COLUMNS($AM$1006:BB1006),$AM$1006:$BM$1006,0)))),"Fix")))</f>
        <v xml:space="preserve"> </v>
      </c>
      <c r="R879" s="4" t="str">
        <f ca="1">IF(OR(INDEX($AG$2:$AG$1001,MATCH(ROWS($AF$2:AF879),$AF$2:$AF$1001,0),1)&gt;=100000,INDEX($AM$1005:$BM$1005,1,MATCH(COLUMNS($AM$1006:BC1006),$AM$1006:$BM$1006,0))&gt;=100000), " ",IF(INDEX($AM$2:$BM$1001,MATCH(ROWS($AF$2:AF879),$AF$2:$AF$1001,0),MATCH(COLUMNS($AM$1006:BC1006),$AM$1006:$BM$1006,0)), HYPERLINK("#",""), HYPERLINK(CONCATENATE("#metadata!", ADDRESS(INDEX($AH$2:$AH$1001,MATCH(ROWS($AF$2:AF879),$AF$2:$AF$1001,0),0), INDEX($AM$1004:$BM$1004,1,MATCH(COLUMNS($AM$1006:BC1006),$AM$1006:$BM$1006,0)))),"Fix")))</f>
        <v xml:space="preserve"> </v>
      </c>
      <c r="S879" s="4" t="str">
        <f ca="1">IF(OR(INDEX($AG$2:$AG$1001,MATCH(ROWS($AF$2:AF879),$AF$2:$AF$1001,0),1)&gt;=100000,INDEX($AM$1005:$BM$1005,1,MATCH(COLUMNS($AM$1006:BD1006),$AM$1006:$BM$1006,0))&gt;=100000), " ",IF(INDEX($AM$2:$BM$1001,MATCH(ROWS($AF$2:AF879),$AF$2:$AF$1001,0),MATCH(COLUMNS($AM$1006:BD1006),$AM$1006:$BM$1006,0)), HYPERLINK("#",""), HYPERLINK(CONCATENATE("#metadata!", ADDRESS(INDEX($AH$2:$AH$1001,MATCH(ROWS($AF$2:AF879),$AF$2:$AF$1001,0),0), INDEX($AM$1004:$BM$1004,1,MATCH(COLUMNS($AM$1006:BD1006),$AM$1006:$BM$1006,0)))),"Fix")))</f>
        <v xml:space="preserve"> </v>
      </c>
      <c r="T879" s="4" t="str">
        <f ca="1">IF(OR(INDEX($AG$2:$AG$1001,MATCH(ROWS($AF$2:AF879),$AF$2:$AF$1001,0),1)&gt;=100000,INDEX($AM$1005:$BM$1005,1,MATCH(COLUMNS($AM$1006:BE1006),$AM$1006:$BM$1006,0))&gt;=100000), " ",IF(INDEX($AM$2:$BM$1001,MATCH(ROWS($AF$2:AF879),$AF$2:$AF$1001,0),MATCH(COLUMNS($AM$1006:BE1006),$AM$1006:$BM$1006,0)), HYPERLINK("#",""), HYPERLINK(CONCATENATE("#metadata!", ADDRESS(INDEX($AH$2:$AH$1001,MATCH(ROWS($AF$2:AF879),$AF$2:$AF$1001,0),0), INDEX($AM$1004:$BM$1004,1,MATCH(COLUMNS($AM$1006:BE1006),$AM$1006:$BM$1006,0)))),"Fix")))</f>
        <v xml:space="preserve"> </v>
      </c>
      <c r="U879" s="4" t="str">
        <f ca="1">IF(OR(INDEX($AG$2:$AG$1001,MATCH(ROWS($AF$2:AF879),$AF$2:$AF$1001,0),1)&gt;=100000,INDEX($AM$1005:$BM$1005,1,MATCH(COLUMNS($AM$1006:BF1006),$AM$1006:$BM$1006,0))&gt;=100000), " ",IF(INDEX($AM$2:$BM$1001,MATCH(ROWS($AF$2:AF879),$AF$2:$AF$1001,0),MATCH(COLUMNS($AM$1006:BF1006),$AM$1006:$BM$1006,0)), HYPERLINK("#",""), HYPERLINK(CONCATENATE("#metadata!", ADDRESS(INDEX($AH$2:$AH$1001,MATCH(ROWS($AF$2:AF879),$AF$2:$AF$1001,0),0), INDEX($AM$1004:$BM$1004,1,MATCH(COLUMNS($AM$1006:BF1006),$AM$1006:$BM$1006,0)))),"Fix")))</f>
        <v xml:space="preserve"> </v>
      </c>
      <c r="V879" s="4" t="str">
        <f ca="1">IF(OR(INDEX($AG$2:$AG$1001,MATCH(ROWS($AF$2:AF879),$AF$2:$AF$1001,0),1)&gt;=100000,INDEX($AM$1005:$BM$1005,1,MATCH(COLUMNS($AM$1006:BG1006),$AM$1006:$BM$1006,0))&gt;=100000), " ",IF(INDEX($AM$2:$BM$1001,MATCH(ROWS($AF$2:AF879),$AF$2:$AF$1001,0),MATCH(COLUMNS($AM$1006:BG1006),$AM$1006:$BM$1006,0)), HYPERLINK("#",""), HYPERLINK(CONCATENATE("#metadata!", ADDRESS(INDEX($AH$2:$AH$1001,MATCH(ROWS($AF$2:AF879),$AF$2:$AF$1001,0),0), INDEX($AM$1004:$BM$1004,1,MATCH(COLUMNS($AM$1006:BG1006),$AM$1006:$BM$1006,0)))),"Fix")))</f>
        <v xml:space="preserve"> </v>
      </c>
      <c r="W879" s="4" t="str">
        <f ca="1">IF(OR(INDEX($AG$2:$AG$1001,MATCH(ROWS($AF$2:AF879),$AF$2:$AF$1001,0),1)&gt;=100000,INDEX($AM$1005:$BM$1005,1,MATCH(COLUMNS($AM$1006:BH1006),$AM$1006:$BM$1006,0))&gt;=100000), " ",IF(INDEX($AM$2:$BM$1001,MATCH(ROWS($AF$2:AF879),$AF$2:$AF$1001,0),MATCH(COLUMNS($AM$1006:BH1006),$AM$1006:$BM$1006,0)), HYPERLINK("#",""), HYPERLINK(CONCATENATE("#metadata!", ADDRESS(INDEX($AH$2:$AH$1001,MATCH(ROWS($AF$2:AF879),$AF$2:$AF$1001,0),0), INDEX($AM$1004:$BM$1004,1,MATCH(COLUMNS($AM$1006:BH1006),$AM$1006:$BM$1006,0)))),"Fix")))</f>
        <v xml:space="preserve"> </v>
      </c>
      <c r="X879" s="4" t="str">
        <f ca="1">IF(OR(INDEX($AG$2:$AG$1001,MATCH(ROWS($AF$2:AF879),$AF$2:$AF$1001,0),1)&gt;=100000,INDEX($AM$1005:$BM$1005,1,MATCH(COLUMNS($AM$1006:BI1006),$AM$1006:$BM$1006,0))&gt;=100000), " ",IF(INDEX($AM$2:$BM$1001,MATCH(ROWS($AF$2:AF879),$AF$2:$AF$1001,0),MATCH(COLUMNS($AM$1006:BI1006),$AM$1006:$BM$1006,0)), HYPERLINK("#",""), HYPERLINK(CONCATENATE("#metadata!", ADDRESS(INDEX($AH$2:$AH$1001,MATCH(ROWS($AF$2:AF879),$AF$2:$AF$1001,0),0), INDEX($AM$1004:$BM$1004,1,MATCH(COLUMNS($AM$1006:BI1006),$AM$1006:$BM$1006,0)))),"Fix")))</f>
        <v xml:space="preserve"> </v>
      </c>
      <c r="Y879" s="4" t="str">
        <f ca="1">IF(OR(INDEX($AG$2:$AG$1001,MATCH(ROWS($AF$2:AF879),$AF$2:$AF$1001,0),1)&gt;=100000,INDEX($AM$1005:$BM$1005,1,MATCH(COLUMNS($AM$1006:BJ1006),$AM$1006:$BM$1006,0))&gt;=100000), " ",IF(INDEX($AM$2:$BM$1001,MATCH(ROWS($AF$2:AF879),$AF$2:$AF$1001,0),MATCH(COLUMNS($AM$1006:BJ1006),$AM$1006:$BM$1006,0)), HYPERLINK("#",""), HYPERLINK(CONCATENATE("#metadata!", ADDRESS(INDEX($AH$2:$AH$1001,MATCH(ROWS($AF$2:AF879),$AF$2:$AF$1001,0),0), INDEX($AM$1004:$BM$1004,1,MATCH(COLUMNS($AM$1006:BJ1006),$AM$1006:$BM$1006,0)))),"Fix")))</f>
        <v xml:space="preserve"> </v>
      </c>
      <c r="Z879" s="4" t="str">
        <f ca="1">IF(OR(INDEX($AG$2:$AG$1001,MATCH(ROWS($AF$2:AF879),$AF$2:$AF$1001,0),1)&gt;=100000,INDEX($AM$1005:$BM$1005,1,MATCH(COLUMNS($AM$1006:BK1006),$AM$1006:$BM$1006,0))&gt;=100000), " ",IF(INDEX($AM$2:$BM$1001,MATCH(ROWS($AF$2:AF879),$AF$2:$AF$1001,0),MATCH(COLUMNS($AM$1006:BK1006),$AM$1006:$BM$1006,0)), HYPERLINK("#",""), HYPERLINK(CONCATENATE("#metadata!", ADDRESS(INDEX($AH$2:$AH$1001,MATCH(ROWS($AF$2:AF879),$AF$2:$AF$1001,0),0), INDEX($AM$1004:$BM$1004,1,MATCH(COLUMNS($AM$1006:BK1006),$AM$1006:$BM$1006,0)))),"Fix")))</f>
        <v xml:space="preserve"> </v>
      </c>
      <c r="AA879" s="4" t="str">
        <f ca="1">IF(OR(INDEX($AG$2:$AG$1001,MATCH(ROWS($AF$2:AF879),$AF$2:$AF$1001,0),1)&gt;=100000,INDEX($AM$1005:$BM$1005,1,MATCH(COLUMNS($AM$1006:BL1006),$AM$1006:$BM$1006,0))&gt;=100000), " ",IF(INDEX($AM$2:$BM$1001,MATCH(ROWS($AF$2:AF879),$AF$2:$AF$1001,0),MATCH(COLUMNS($AM$1006:BL1006),$AM$1006:$BM$1006,0)), HYPERLINK("#",""), HYPERLINK(CONCATENATE("#metadata!", ADDRESS(INDEX($AH$2:$AH$1001,MATCH(ROWS($AF$2:AF879),$AF$2:$AF$1001,0),0), INDEX($AM$1004:$BM$1004,1,MATCH(COLUMNS($AM$1006:BL1006),$AM$1006:$BM$1006,0)))),"Fix")))</f>
        <v xml:space="preserve"> </v>
      </c>
      <c r="AB879" s="4" t="str">
        <f ca="1">IF(OR(INDEX($AG$2:$AG$1001,MATCH(ROWS($AF$2:AF879),$AF$2:$AF$1001,0),1)&gt;=100000,INDEX($AM$1005:$BM$1005,1,MATCH(COLUMNS($AM$1006:BM1006),$AM$1006:$BM$1006,0))&gt;=100000), " ",IF(INDEX($AM$2:$BM$1001,MATCH(ROWS($AF$2:AF879),$AF$2:$AF$1001,0),MATCH(COLUMNS($AM$1006:BM1006),$AM$1006:$BM$1006,0)), HYPERLINK("#",""), HYPERLINK(CONCATENATE("#metadata!", ADDRESS(INDEX($AH$2:$AH$1001,MATCH(ROWS($AF$2:AF879),$AF$2:$AF$1001,0),0), INDEX($AM$1004:$BM$1004,1,MATCH(COLUMNS($AM$1006:BM1006),$AM$1006:$BM$1006,0)))),"Fix")))</f>
        <v xml:space="preserve"> </v>
      </c>
      <c r="AF879">
        <v>878</v>
      </c>
      <c r="AG879">
        <v>100879</v>
      </c>
      <c r="AH879">
        <v>879</v>
      </c>
      <c r="AI879" t="b">
        <f t="shared" si="13"/>
        <v>1</v>
      </c>
      <c r="AJ879" t="b">
        <f>COUNTBLANK(metadata!B879:AB879)=COLUMNS(metadata!B879:AB879)</f>
        <v>1</v>
      </c>
      <c r="AK879" t="str">
        <v/>
      </c>
      <c r="AM879" t="b">
        <f ca="1">AND(IF(metadata!B879="",FALSE,TRUE),COUNTIF(metadata!B:B, metadata!B879) = 1,NOT(ISERROR(SUMPRODUCT(SEARCH(MID(metadata!B879,ROW(INDIRECT("1:"&amp;LEN(metadata!B879))), 1),"0123456789abcdefghijklmnopqrstuvwxyzABCDEFGHIJKLMNOPQRSTUVWXYZ.")))))</f>
        <v>0</v>
      </c>
      <c r="AN879" t="b">
        <f ca="1">OR(AND(IF(metadata!C879="",FALSE,TRUE),OR(EXACT(metadata!C879,"missing: not collected"),EXACT(metadata!C879,"missing: not provided"),EXACT(metadata!C879,"missing: restricted access"))),AND(IF(metadata!C879="",FALSE,TRUE),AND(AND(IFERROR(INT(LEFT(metadata!C879,4))&gt;1900,FALSE),IFERROR(INT(LEFT(metadata!C879,4))&lt;=YEAR(NOW()),FALSE)), OR(MID(metadata!C879,5,1)="", AND(AND(MID(metadata!C879,5,1)="-",IFERROR(INT(MID(metadata!C879,6,1))&gt;=0,FALSE),IFERROR(INT(MID(metadata!C879,6,1))&lt;=1,FALSE),NOT(MID(metadata!C879,7,1)=""),IFERROR(INT(MID(metadata!C879,6,2))&gt;=1,FALSE),IFERROR(INT(MID(metadata!C879,6,2))&lt;=12,FALSE)), OR(MID(metadata!C879,8,1)="", AND(AND(MID(metadata!C879,8,1)="-",IFERROR(INT(MID(metadata!C879,9,1))&gt;=0,FALSE),IFERROR(INT(MID(metadata!C879,9,1))&lt;=3,FALSE),NOT(MID(metadata!C879,10,1)=""),IFERROR(INT(MID(metadata!C879,9,2))&gt;=1,FALSE),IFERROR(INT(MID(metadata!C879,9,2))&lt;=31,FALSE)), OR(MID(metadata!C879,11,1)="", AND(AND(MID(metadata!C879,11,1)=" ",IFERROR(INT(MID(metadata!C879,12,1))&gt;=0,FALSE),IFERROR(INT(MID(metadata!C879,12,1))&lt;=2,FALSE),NOT(MID(metadata!C879,13,1)=""),IFERROR(INT(MID(metadata!C879,12,2))&gt;=0,FALSE),IFERROR(INT(MID(metadata!C879,12,2))&lt;=23,FALSE)), OR(MID(metadata!C879,14,1)="", AND(AND(MID(metadata!C879,14,1)=":",IFERROR(INT(MID(metadata!C879,15,1))&gt;=0,FALSE),IFERROR(INT(MID(metadata!C879,15,1))&lt;=5,FALSE),NOT(MID(metadata!C879,16,1)=""),IFERROR(INT(MID(metadata!C879,15,2))&gt;=0,FALSE),IFERROR(INT(MID(metadata!C879,15,2))&lt;=59,FALSE)), OR(MID(metadata!C879,17,1)="", AND(AND(MID(metadata!C879,17,1)=":",IFERROR(INT(MID(metadata!C879,18,1))&gt;=0,FALSE),IFERROR(INT(MID(metadata!C879,18,1))&lt;=5,FALSE),NOT(MID(metadata!C879,19,1)=""),IFERROR(INT(MID(metadata!C879,18,2))&gt;=0,FALSE),IFERROR(INT(MID(metadata!C879,18,2))&lt;=59,FALSE)), LEN(metadata!C879)&lt;=19)))))))))))))</f>
        <v>0</v>
      </c>
      <c r="AO879" t="b">
        <f>AND(IF(metadata!D879="",FALSE,TRUE),EXACT(metadata!D879,"Not applicable"))</f>
        <v>0</v>
      </c>
      <c r="AP879" t="b">
        <f>IF(metadata!E879="",FALSE,TRUE)</f>
        <v>0</v>
      </c>
      <c r="AQ879" t="b">
        <f>OR(AND(IF(metadata!F879="",FALSE,TRUE),OR(EXACT(metadata!F879,"missing: not collected"),EXACT(metadata!F879,"missing: not provided"))),AND(IF(metadata!F879="",FALSE,TRUE),OR(EXACT(metadata!F879,"TRUE"),EXACT(metadata!F879,"FALSE"))))</f>
        <v>0</v>
      </c>
      <c r="AR879" t="b">
        <f>OR(AND(IF(metadata!G879="",FALSE,TRUE),OR(EXACT(metadata!G879,"missing: not collected"),EXACT(metadata!G879,"missing: not provided"),EXACT(metadata!G879,"missing: restricted access"))),AND(IF(metadata!G879="",FALSE,ISNUMBER(VALUE(metadata!G879))),metadata!G879&gt;=-413))</f>
        <v>0</v>
      </c>
      <c r="AS879" t="b">
        <f>AND(IF(metadata!H879="",FALSE,TRUE),EXACT(metadata!H879,"meters"))</f>
        <v>0</v>
      </c>
      <c r="AT879" t="b">
        <f>AND(IF(metadata!I879="",FALSE,TRUE),OR(EXACT(metadata!I879,"Host-associated"),EXACT(metadata!I879,"Free-living")))</f>
        <v>0</v>
      </c>
      <c r="AU879" t="b">
        <f>AND(IF(metadata!J879="",FALSE,TRUE),OR(EXACT(metadata!J879,"Animal"),EXACT(metadata!J879,"Fungus"),EXACT(metadata!J879,"Plant"),EXACT(metadata!J879,"Saline"),EXACT(metadata!J879,"Non-saline")))</f>
        <v>0</v>
      </c>
      <c r="AV879" t="b">
        <f>AND(IF(metadata!K879="",FALSE,TRUE),OR(EXACT(metadata!K879,"Plant secretion"),EXACT(metadata!K879,"Plant rhizosphere"),EXACT(metadata!K879,"Plant surface"),EXACT(metadata!K879,"Plant corpus"),EXACT(metadata!K879,"Fungus surface"),EXACT(metadata!K879,"Fungus corpus"),EXACT(metadata!K879,"Animal surface"),EXACT(metadata!K879,"Animal proximal gut"),EXACT(metadata!K879,"Animal corpus"),EXACT(metadata!K879,"Animal distal gut"),EXACT(metadata!K879,"Animal secretion"),EXACT(metadata!K879,"Sub-surface (non-saline)"),EXACT(metadata!K879,"Surface (non-saline)"),EXACT(metadata!K879,"Water (non-saline)"),EXACT(metadata!K879,"Soil (non-saline)"),EXACT(metadata!K879,"Aerosol (non-saline)"),EXACT(metadata!K879,"Sediment (non-saline)"),EXACT(metadata!K879,"Surface (saline)"),EXACT(metadata!K879,"Water (saline)"),EXACT(metadata!K879,"Hypersaline (saline)"),EXACT(metadata!K879,"Aerosol (saline)"),EXACT(metadata!K879,"Sediment (saline)")))</f>
        <v>0</v>
      </c>
      <c r="AW879" t="b">
        <f>IF(metadata!L879="",FALSE,TRUE)</f>
        <v>0</v>
      </c>
      <c r="AX879" t="b">
        <f>IF(metadata!M879="",FALSE,TRUE)</f>
        <v>0</v>
      </c>
      <c r="AY879" t="b">
        <f>IF(metadata!N879="",FALSE,TRUE)</f>
        <v>0</v>
      </c>
      <c r="AZ879" t="b">
        <f>OR(AND(IF(metadata!O879="",FALSE,TRUE),OR(EXACT(metadata!O879,"missing: not collected"),EXACT(metadata!O879,"missing: not provided"),EXACT(metadata!O879,"missing: restricted access"))),AND(IF(metadata!O879="",FALSE,TRUE),OR(EXACT(metadata!O879,"air"),EXACT(metadata!O879,"built environment"),EXACT(metadata!O879,"host-associated"),EXACT(metadata!O879,"human-associated"),EXACT(metadata!O879,"human-skin"),EXACT(metadata!O879,"human-oral"),EXACT(metadata!O879,"human-gut"),EXACT(metadata!O879,"human-vaginal"),EXACT(metadata!O879,"microbial mat/biofilm"),EXACT(metadata!O879,"misc environment"),EXACT(metadata!O879,"plant-associated"),EXACT(metadata!O879,"sediment"),EXACT(metadata!O879,"soil"),EXACT(metadata!O879,"wastewater/sludge"),EXACT(metadata!O879,"water"))))</f>
        <v>0</v>
      </c>
      <c r="BA879" t="b">
        <f>IF(metadata!P879="",FALSE,TRUE)</f>
        <v>0</v>
      </c>
      <c r="BB879" t="b">
        <f>IF(metadata!Q879="",FALSE,TRUE)</f>
        <v>0</v>
      </c>
      <c r="BC879" t="b">
        <f>OR(AND(IF(metadata!R879="",FALSE,TRUE),OR(EXACT(metadata!R879,"missing: not collected"),EXACT(metadata!R879,"missing: not provided"),EXACT(metadata!R879,"missing: restricted access"))),AND(IF(metadata!R879="",FALSE,ISNUMBER(VALUE(metadata!R879))),metadata!R879&gt;=-90,metadata!R879&lt;=90))</f>
        <v>0</v>
      </c>
      <c r="BD879" t="b">
        <f>AND(IF(metadata!S879="",FALSE,TRUE),EXACT(metadata!S879,"Decimal degrees"))</f>
        <v>0</v>
      </c>
      <c r="BE879" t="b">
        <f>OR(AND(IF(metadata!T879="",FALSE,TRUE),OR(EXACT(metadata!T879,"missing: not collected"),EXACT(metadata!T879,"missing: not provided"),EXACT(metadata!T879,"missing: restricted access"))),AND(IF(metadata!T879="",FALSE,ISNUMBER(VALUE(metadata!T879))),metadata!T879&gt;=-180,metadata!T879&lt;=180))</f>
        <v>0</v>
      </c>
      <c r="BF879" t="b">
        <f>AND(IF(metadata!U879="",FALSE,TRUE),EXACT(metadata!U879,"Decimal degrees"))</f>
        <v>0</v>
      </c>
      <c r="BG879" t="b">
        <f>IF(metadata!V879="",FALSE,TRUE)</f>
        <v>0</v>
      </c>
      <c r="BH879" t="b">
        <f>OR(AND(IF(metadata!W879="",FALSE,TRUE),OR(EXACT(metadata!W879,"missing: not collected"),EXACT(metadata!W879,"missing: not provided"),EXACT(metadata!W879,"missing: restricted access"))),AND(IF(metadata!W879="",FALSE,TRUE),OR(EXACT(metadata!W879,"TRUE"),EXACT(metadata!W879,"FALSE"))))</f>
        <v>0</v>
      </c>
      <c r="BI879" t="b">
        <f>AND(IF(metadata!X879="",FALSE,TRUE),EXACT(metadata!X879,"other"))</f>
        <v>0</v>
      </c>
      <c r="BJ879" t="b">
        <f>IF(metadata!Y879="",FALSE,TRUE)</f>
        <v>0</v>
      </c>
      <c r="BK879" t="b">
        <f>OR(AND(IF(metadata!Z879="",FALSE,TRUE),OR(EXACT(metadata!Z879,"missing: not collected"),EXACT(metadata!Z879,"missing: not provided"))),AND(IF(metadata!Z879="",FALSE,IF(ISERROR(INT(metadata!Z879)),FALSE,INT(metadata!Z879)=metadata!Z879)),metadata!Z879&gt;0))</f>
        <v>0</v>
      </c>
      <c r="BL879" t="b">
        <f>AND(IF(metadata!AA879="",FALSE,TRUE),EXACT(metadata!AA879,"Not applicable"))</f>
        <v>0</v>
      </c>
      <c r="BM879" t="b">
        <f>IF(metadata!AB879="",FALSE,TRUE)</f>
        <v>0</v>
      </c>
    </row>
    <row r="880" spans="1:65" x14ac:dyDescent="0.2">
      <c r="A880" s="5" t="str">
        <f ca="1">IF(B880=" "," ",HYPERLINK(CONCATENATE("#metadata!",ADDRESS(INDEX($AH$2:$AH$1001,MATCH(ROWS($AF$2:AF880),$AF$2:$AF$1001,0),0),1)),INDEX($AK$2:$AK$1001,MATCH(ROWS($AF$2:AF880),$AF$2:$AF$1001,0),0)))</f>
        <v xml:space="preserve"> </v>
      </c>
      <c r="B880" s="4" t="str">
        <f ca="1">IF(OR(INDEX($AG$2:$AG$1001,MATCH(ROWS($AF$2:AF880),$AF$2:$AF$1001,0),1)&gt;=100000,INDEX($AM$1005:$BM$1005,1,MATCH(COLUMNS($AM$1006:AM1006),$AM$1006:$BM$1006,0))&gt;=100000), " ",IF(INDEX($AM$2:$BM$1001,MATCH(ROWS($AF$2:AF880),$AF$2:$AF$1001,0),MATCH(COLUMNS($AM$1006:AM1006),$AM$1006:$BM$1006,0)), HYPERLINK("#",""), HYPERLINK(CONCATENATE("#metadata!", ADDRESS(INDEX($AH$2:$AH$1001,MATCH(ROWS($AF$2:AF880),$AF$2:$AF$1001,0),0), INDEX($AM$1004:$BM$1004,1,MATCH(COLUMNS($AM$1006:AM1006),$AM$1006:$BM$1006,0)))),"Fix")))</f>
        <v xml:space="preserve"> </v>
      </c>
      <c r="C880" s="4" t="str">
        <f ca="1">IF(OR(INDEX($AG$2:$AG$1001,MATCH(ROWS($AF$2:AF880),$AF$2:$AF$1001,0),1)&gt;=100000,INDEX($AM$1005:$BM$1005,1,MATCH(COLUMNS($AM$1006:AN1006),$AM$1006:$BM$1006,0))&gt;=100000), " ",IF(INDEX($AM$2:$BM$1001,MATCH(ROWS($AF$2:AF880),$AF$2:$AF$1001,0),MATCH(COLUMNS($AM$1006:AN1006),$AM$1006:$BM$1006,0)), HYPERLINK("#",""), HYPERLINK(CONCATENATE("#metadata!", ADDRESS(INDEX($AH$2:$AH$1001,MATCH(ROWS($AF$2:AF880),$AF$2:$AF$1001,0),0), INDEX($AM$1004:$BM$1004,1,MATCH(COLUMNS($AM$1006:AN1006),$AM$1006:$BM$1006,0)))),"Fix")))</f>
        <v xml:space="preserve"> </v>
      </c>
      <c r="D880" s="4" t="str">
        <f ca="1">IF(OR(INDEX($AG$2:$AG$1001,MATCH(ROWS($AF$2:AF880),$AF$2:$AF$1001,0),1)&gt;=100000,INDEX($AM$1005:$BM$1005,1,MATCH(COLUMNS($AM$1006:AO1006),$AM$1006:$BM$1006,0))&gt;=100000), " ",IF(INDEX($AM$2:$BM$1001,MATCH(ROWS($AF$2:AF880),$AF$2:$AF$1001,0),MATCH(COLUMNS($AM$1006:AO1006),$AM$1006:$BM$1006,0)), HYPERLINK("#",""), HYPERLINK(CONCATENATE("#metadata!", ADDRESS(INDEX($AH$2:$AH$1001,MATCH(ROWS($AF$2:AF880),$AF$2:$AF$1001,0),0), INDEX($AM$1004:$BM$1004,1,MATCH(COLUMNS($AM$1006:AO1006),$AM$1006:$BM$1006,0)))),"Fix")))</f>
        <v xml:space="preserve"> </v>
      </c>
      <c r="E880" s="4" t="str">
        <f ca="1">IF(OR(INDEX($AG$2:$AG$1001,MATCH(ROWS($AF$2:AF880),$AF$2:$AF$1001,0),1)&gt;=100000,INDEX($AM$1005:$BM$1005,1,MATCH(COLUMNS($AM$1006:AP1006),$AM$1006:$BM$1006,0))&gt;=100000), " ",IF(INDEX($AM$2:$BM$1001,MATCH(ROWS($AF$2:AF880),$AF$2:$AF$1001,0),MATCH(COLUMNS($AM$1006:AP1006),$AM$1006:$BM$1006,0)), HYPERLINK("#",""), HYPERLINK(CONCATENATE("#metadata!", ADDRESS(INDEX($AH$2:$AH$1001,MATCH(ROWS($AF$2:AF880),$AF$2:$AF$1001,0),0), INDEX($AM$1004:$BM$1004,1,MATCH(COLUMNS($AM$1006:AP1006),$AM$1006:$BM$1006,0)))),"Fix")))</f>
        <v xml:space="preserve"> </v>
      </c>
      <c r="F880" s="4" t="str">
        <f ca="1">IF(OR(INDEX($AG$2:$AG$1001,MATCH(ROWS($AF$2:AF880),$AF$2:$AF$1001,0),1)&gt;=100000,INDEX($AM$1005:$BM$1005,1,MATCH(COLUMNS($AM$1006:AQ1006),$AM$1006:$BM$1006,0))&gt;=100000), " ",IF(INDEX($AM$2:$BM$1001,MATCH(ROWS($AF$2:AF880),$AF$2:$AF$1001,0),MATCH(COLUMNS($AM$1006:AQ1006),$AM$1006:$BM$1006,0)), HYPERLINK("#",""), HYPERLINK(CONCATENATE("#metadata!", ADDRESS(INDEX($AH$2:$AH$1001,MATCH(ROWS($AF$2:AF880),$AF$2:$AF$1001,0),0), INDEX($AM$1004:$BM$1004,1,MATCH(COLUMNS($AM$1006:AQ1006),$AM$1006:$BM$1006,0)))),"Fix")))</f>
        <v xml:space="preserve"> </v>
      </c>
      <c r="G880" s="4" t="str">
        <f ca="1">IF(OR(INDEX($AG$2:$AG$1001,MATCH(ROWS($AF$2:AF880),$AF$2:$AF$1001,0),1)&gt;=100000,INDEX($AM$1005:$BM$1005,1,MATCH(COLUMNS($AM$1006:AR1006),$AM$1006:$BM$1006,0))&gt;=100000), " ",IF(INDEX($AM$2:$BM$1001,MATCH(ROWS($AF$2:AF880),$AF$2:$AF$1001,0),MATCH(COLUMNS($AM$1006:AR1006),$AM$1006:$BM$1006,0)), HYPERLINK("#",""), HYPERLINK(CONCATENATE("#metadata!", ADDRESS(INDEX($AH$2:$AH$1001,MATCH(ROWS($AF$2:AF880),$AF$2:$AF$1001,0),0), INDEX($AM$1004:$BM$1004,1,MATCH(COLUMNS($AM$1006:AR1006),$AM$1006:$BM$1006,0)))),"Fix")))</f>
        <v xml:space="preserve"> </v>
      </c>
      <c r="H880" s="4" t="str">
        <f ca="1">IF(OR(INDEX($AG$2:$AG$1001,MATCH(ROWS($AF$2:AF880),$AF$2:$AF$1001,0),1)&gt;=100000,INDEX($AM$1005:$BM$1005,1,MATCH(COLUMNS($AM$1006:AS1006),$AM$1006:$BM$1006,0))&gt;=100000), " ",IF(INDEX($AM$2:$BM$1001,MATCH(ROWS($AF$2:AF880),$AF$2:$AF$1001,0),MATCH(COLUMNS($AM$1006:AS1006),$AM$1006:$BM$1006,0)), HYPERLINK("#",""), HYPERLINK(CONCATENATE("#metadata!", ADDRESS(INDEX($AH$2:$AH$1001,MATCH(ROWS($AF$2:AF880),$AF$2:$AF$1001,0),0), INDEX($AM$1004:$BM$1004,1,MATCH(COLUMNS($AM$1006:AS1006),$AM$1006:$BM$1006,0)))),"Fix")))</f>
        <v xml:space="preserve"> </v>
      </c>
      <c r="I880" s="4" t="str">
        <f ca="1">IF(OR(INDEX($AG$2:$AG$1001,MATCH(ROWS($AF$2:AF880),$AF$2:$AF$1001,0),1)&gt;=100000,INDEX($AM$1005:$BM$1005,1,MATCH(COLUMNS($AM$1006:AT1006),$AM$1006:$BM$1006,0))&gt;=100000), " ",IF(INDEX($AM$2:$BM$1001,MATCH(ROWS($AF$2:AF880),$AF$2:$AF$1001,0),MATCH(COLUMNS($AM$1006:AT1006),$AM$1006:$BM$1006,0)), HYPERLINK("#",""), HYPERLINK(CONCATENATE("#metadata!", ADDRESS(INDEX($AH$2:$AH$1001,MATCH(ROWS($AF$2:AF880),$AF$2:$AF$1001,0),0), INDEX($AM$1004:$BM$1004,1,MATCH(COLUMNS($AM$1006:AT1006),$AM$1006:$BM$1006,0)))),"Fix")))</f>
        <v xml:space="preserve"> </v>
      </c>
      <c r="J880" s="4" t="str">
        <f ca="1">IF(OR(INDEX($AG$2:$AG$1001,MATCH(ROWS($AF$2:AF880),$AF$2:$AF$1001,0),1)&gt;=100000,INDEX($AM$1005:$BM$1005,1,MATCH(COLUMNS($AM$1006:AU1006),$AM$1006:$BM$1006,0))&gt;=100000), " ",IF(INDEX($AM$2:$BM$1001,MATCH(ROWS($AF$2:AF880),$AF$2:$AF$1001,0),MATCH(COLUMNS($AM$1006:AU1006),$AM$1006:$BM$1006,0)), HYPERLINK("#",""), HYPERLINK(CONCATENATE("#metadata!", ADDRESS(INDEX($AH$2:$AH$1001,MATCH(ROWS($AF$2:AF880),$AF$2:$AF$1001,0),0), INDEX($AM$1004:$BM$1004,1,MATCH(COLUMNS($AM$1006:AU1006),$AM$1006:$BM$1006,0)))),"Fix")))</f>
        <v xml:space="preserve"> </v>
      </c>
      <c r="K880" s="4" t="str">
        <f ca="1">IF(OR(INDEX($AG$2:$AG$1001,MATCH(ROWS($AF$2:AF880),$AF$2:$AF$1001,0),1)&gt;=100000,INDEX($AM$1005:$BM$1005,1,MATCH(COLUMNS($AM$1006:AV1006),$AM$1006:$BM$1006,0))&gt;=100000), " ",IF(INDEX($AM$2:$BM$1001,MATCH(ROWS($AF$2:AF880),$AF$2:$AF$1001,0),MATCH(COLUMNS($AM$1006:AV1006),$AM$1006:$BM$1006,0)), HYPERLINK("#",""), HYPERLINK(CONCATENATE("#metadata!", ADDRESS(INDEX($AH$2:$AH$1001,MATCH(ROWS($AF$2:AF880),$AF$2:$AF$1001,0),0), INDEX($AM$1004:$BM$1004,1,MATCH(COLUMNS($AM$1006:AV1006),$AM$1006:$BM$1006,0)))),"Fix")))</f>
        <v xml:space="preserve"> </v>
      </c>
      <c r="L880" s="4" t="str">
        <f ca="1">IF(OR(INDEX($AG$2:$AG$1001,MATCH(ROWS($AF$2:AF880),$AF$2:$AF$1001,0),1)&gt;=100000,INDEX($AM$1005:$BM$1005,1,MATCH(COLUMNS($AM$1006:AW1006),$AM$1006:$BM$1006,0))&gt;=100000), " ",IF(INDEX($AM$2:$BM$1001,MATCH(ROWS($AF$2:AF880),$AF$2:$AF$1001,0),MATCH(COLUMNS($AM$1006:AW1006),$AM$1006:$BM$1006,0)), HYPERLINK("#",""), HYPERLINK(CONCATENATE("#metadata!", ADDRESS(INDEX($AH$2:$AH$1001,MATCH(ROWS($AF$2:AF880),$AF$2:$AF$1001,0),0), INDEX($AM$1004:$BM$1004,1,MATCH(COLUMNS($AM$1006:AW1006),$AM$1006:$BM$1006,0)))),"Fix")))</f>
        <v xml:space="preserve"> </v>
      </c>
      <c r="M880" s="4" t="str">
        <f ca="1">IF(OR(INDEX($AG$2:$AG$1001,MATCH(ROWS($AF$2:AF880),$AF$2:$AF$1001,0),1)&gt;=100000,INDEX($AM$1005:$BM$1005,1,MATCH(COLUMNS($AM$1006:AX1006),$AM$1006:$BM$1006,0))&gt;=100000), " ",IF(INDEX($AM$2:$BM$1001,MATCH(ROWS($AF$2:AF880),$AF$2:$AF$1001,0),MATCH(COLUMNS($AM$1006:AX1006),$AM$1006:$BM$1006,0)), HYPERLINK("#",""), HYPERLINK(CONCATENATE("#metadata!", ADDRESS(INDEX($AH$2:$AH$1001,MATCH(ROWS($AF$2:AF880),$AF$2:$AF$1001,0),0), INDEX($AM$1004:$BM$1004,1,MATCH(COLUMNS($AM$1006:AX1006),$AM$1006:$BM$1006,0)))),"Fix")))</f>
        <v xml:space="preserve"> </v>
      </c>
      <c r="N880" s="4" t="str">
        <f ca="1">IF(OR(INDEX($AG$2:$AG$1001,MATCH(ROWS($AF$2:AF880),$AF$2:$AF$1001,0),1)&gt;=100000,INDEX($AM$1005:$BM$1005,1,MATCH(COLUMNS($AM$1006:AY1006),$AM$1006:$BM$1006,0))&gt;=100000), " ",IF(INDEX($AM$2:$BM$1001,MATCH(ROWS($AF$2:AF880),$AF$2:$AF$1001,0),MATCH(COLUMNS($AM$1006:AY1006),$AM$1006:$BM$1006,0)), HYPERLINK("#",""), HYPERLINK(CONCATENATE("#metadata!", ADDRESS(INDEX($AH$2:$AH$1001,MATCH(ROWS($AF$2:AF880),$AF$2:$AF$1001,0),0), INDEX($AM$1004:$BM$1004,1,MATCH(COLUMNS($AM$1006:AY1006),$AM$1006:$BM$1006,0)))),"Fix")))</f>
        <v xml:space="preserve"> </v>
      </c>
      <c r="O880" s="4" t="str">
        <f ca="1">IF(OR(INDEX($AG$2:$AG$1001,MATCH(ROWS($AF$2:AF880),$AF$2:$AF$1001,0),1)&gt;=100000,INDEX($AM$1005:$BM$1005,1,MATCH(COLUMNS($AM$1006:AZ1006),$AM$1006:$BM$1006,0))&gt;=100000), " ",IF(INDEX($AM$2:$BM$1001,MATCH(ROWS($AF$2:AF880),$AF$2:$AF$1001,0),MATCH(COLUMNS($AM$1006:AZ1006),$AM$1006:$BM$1006,0)), HYPERLINK("#",""), HYPERLINK(CONCATENATE("#metadata!", ADDRESS(INDEX($AH$2:$AH$1001,MATCH(ROWS($AF$2:AF880),$AF$2:$AF$1001,0),0), INDEX($AM$1004:$BM$1004,1,MATCH(COLUMNS($AM$1006:AZ1006),$AM$1006:$BM$1006,0)))),"Fix")))</f>
        <v xml:space="preserve"> </v>
      </c>
      <c r="P880" s="4" t="str">
        <f ca="1">IF(OR(INDEX($AG$2:$AG$1001,MATCH(ROWS($AF$2:AF880),$AF$2:$AF$1001,0),1)&gt;=100000,INDEX($AM$1005:$BM$1005,1,MATCH(COLUMNS($AM$1006:BA1006),$AM$1006:$BM$1006,0))&gt;=100000), " ",IF(INDEX($AM$2:$BM$1001,MATCH(ROWS($AF$2:AF880),$AF$2:$AF$1001,0),MATCH(COLUMNS($AM$1006:BA1006),$AM$1006:$BM$1006,0)), HYPERLINK("#",""), HYPERLINK(CONCATENATE("#metadata!", ADDRESS(INDEX($AH$2:$AH$1001,MATCH(ROWS($AF$2:AF880),$AF$2:$AF$1001,0),0), INDEX($AM$1004:$BM$1004,1,MATCH(COLUMNS($AM$1006:BA1006),$AM$1006:$BM$1006,0)))),"Fix")))</f>
        <v xml:space="preserve"> </v>
      </c>
      <c r="Q880" s="4" t="str">
        <f ca="1">IF(OR(INDEX($AG$2:$AG$1001,MATCH(ROWS($AF$2:AF880),$AF$2:$AF$1001,0),1)&gt;=100000,INDEX($AM$1005:$BM$1005,1,MATCH(COLUMNS($AM$1006:BB1006),$AM$1006:$BM$1006,0))&gt;=100000), " ",IF(INDEX($AM$2:$BM$1001,MATCH(ROWS($AF$2:AF880),$AF$2:$AF$1001,0),MATCH(COLUMNS($AM$1006:BB1006),$AM$1006:$BM$1006,0)), HYPERLINK("#",""), HYPERLINK(CONCATENATE("#metadata!", ADDRESS(INDEX($AH$2:$AH$1001,MATCH(ROWS($AF$2:AF880),$AF$2:$AF$1001,0),0), INDEX($AM$1004:$BM$1004,1,MATCH(COLUMNS($AM$1006:BB1006),$AM$1006:$BM$1006,0)))),"Fix")))</f>
        <v xml:space="preserve"> </v>
      </c>
      <c r="R880" s="4" t="str">
        <f ca="1">IF(OR(INDEX($AG$2:$AG$1001,MATCH(ROWS($AF$2:AF880),$AF$2:$AF$1001,0),1)&gt;=100000,INDEX($AM$1005:$BM$1005,1,MATCH(COLUMNS($AM$1006:BC1006),$AM$1006:$BM$1006,0))&gt;=100000), " ",IF(INDEX($AM$2:$BM$1001,MATCH(ROWS($AF$2:AF880),$AF$2:$AF$1001,0),MATCH(COLUMNS($AM$1006:BC1006),$AM$1006:$BM$1006,0)), HYPERLINK("#",""), HYPERLINK(CONCATENATE("#metadata!", ADDRESS(INDEX($AH$2:$AH$1001,MATCH(ROWS($AF$2:AF880),$AF$2:$AF$1001,0),0), INDEX($AM$1004:$BM$1004,1,MATCH(COLUMNS($AM$1006:BC1006),$AM$1006:$BM$1006,0)))),"Fix")))</f>
        <v xml:space="preserve"> </v>
      </c>
      <c r="S880" s="4" t="str">
        <f ca="1">IF(OR(INDEX($AG$2:$AG$1001,MATCH(ROWS($AF$2:AF880),$AF$2:$AF$1001,0),1)&gt;=100000,INDEX($AM$1005:$BM$1005,1,MATCH(COLUMNS($AM$1006:BD1006),$AM$1006:$BM$1006,0))&gt;=100000), " ",IF(INDEX($AM$2:$BM$1001,MATCH(ROWS($AF$2:AF880),$AF$2:$AF$1001,0),MATCH(COLUMNS($AM$1006:BD1006),$AM$1006:$BM$1006,0)), HYPERLINK("#",""), HYPERLINK(CONCATENATE("#metadata!", ADDRESS(INDEX($AH$2:$AH$1001,MATCH(ROWS($AF$2:AF880),$AF$2:$AF$1001,0),0), INDEX($AM$1004:$BM$1004,1,MATCH(COLUMNS($AM$1006:BD1006),$AM$1006:$BM$1006,0)))),"Fix")))</f>
        <v xml:space="preserve"> </v>
      </c>
      <c r="T880" s="4" t="str">
        <f ca="1">IF(OR(INDEX($AG$2:$AG$1001,MATCH(ROWS($AF$2:AF880),$AF$2:$AF$1001,0),1)&gt;=100000,INDEX($AM$1005:$BM$1005,1,MATCH(COLUMNS($AM$1006:BE1006),$AM$1006:$BM$1006,0))&gt;=100000), " ",IF(INDEX($AM$2:$BM$1001,MATCH(ROWS($AF$2:AF880),$AF$2:$AF$1001,0),MATCH(COLUMNS($AM$1006:BE1006),$AM$1006:$BM$1006,0)), HYPERLINK("#",""), HYPERLINK(CONCATENATE("#metadata!", ADDRESS(INDEX($AH$2:$AH$1001,MATCH(ROWS($AF$2:AF880),$AF$2:$AF$1001,0),0), INDEX($AM$1004:$BM$1004,1,MATCH(COLUMNS($AM$1006:BE1006),$AM$1006:$BM$1006,0)))),"Fix")))</f>
        <v xml:space="preserve"> </v>
      </c>
      <c r="U880" s="4" t="str">
        <f ca="1">IF(OR(INDEX($AG$2:$AG$1001,MATCH(ROWS($AF$2:AF880),$AF$2:$AF$1001,0),1)&gt;=100000,INDEX($AM$1005:$BM$1005,1,MATCH(COLUMNS($AM$1006:BF1006),$AM$1006:$BM$1006,0))&gt;=100000), " ",IF(INDEX($AM$2:$BM$1001,MATCH(ROWS($AF$2:AF880),$AF$2:$AF$1001,0),MATCH(COLUMNS($AM$1006:BF1006),$AM$1006:$BM$1006,0)), HYPERLINK("#",""), HYPERLINK(CONCATENATE("#metadata!", ADDRESS(INDEX($AH$2:$AH$1001,MATCH(ROWS($AF$2:AF880),$AF$2:$AF$1001,0),0), INDEX($AM$1004:$BM$1004,1,MATCH(COLUMNS($AM$1006:BF1006),$AM$1006:$BM$1006,0)))),"Fix")))</f>
        <v xml:space="preserve"> </v>
      </c>
      <c r="V880" s="4" t="str">
        <f ca="1">IF(OR(INDEX($AG$2:$AG$1001,MATCH(ROWS($AF$2:AF880),$AF$2:$AF$1001,0),1)&gt;=100000,INDEX($AM$1005:$BM$1005,1,MATCH(COLUMNS($AM$1006:BG1006),$AM$1006:$BM$1006,0))&gt;=100000), " ",IF(INDEX($AM$2:$BM$1001,MATCH(ROWS($AF$2:AF880),$AF$2:$AF$1001,0),MATCH(COLUMNS($AM$1006:BG1006),$AM$1006:$BM$1006,0)), HYPERLINK("#",""), HYPERLINK(CONCATENATE("#metadata!", ADDRESS(INDEX($AH$2:$AH$1001,MATCH(ROWS($AF$2:AF880),$AF$2:$AF$1001,0),0), INDEX($AM$1004:$BM$1004,1,MATCH(COLUMNS($AM$1006:BG1006),$AM$1006:$BM$1006,0)))),"Fix")))</f>
        <v xml:space="preserve"> </v>
      </c>
      <c r="W880" s="4" t="str">
        <f ca="1">IF(OR(INDEX($AG$2:$AG$1001,MATCH(ROWS($AF$2:AF880),$AF$2:$AF$1001,0),1)&gt;=100000,INDEX($AM$1005:$BM$1005,1,MATCH(COLUMNS($AM$1006:BH1006),$AM$1006:$BM$1006,0))&gt;=100000), " ",IF(INDEX($AM$2:$BM$1001,MATCH(ROWS($AF$2:AF880),$AF$2:$AF$1001,0),MATCH(COLUMNS($AM$1006:BH1006),$AM$1006:$BM$1006,0)), HYPERLINK("#",""), HYPERLINK(CONCATENATE("#metadata!", ADDRESS(INDEX($AH$2:$AH$1001,MATCH(ROWS($AF$2:AF880),$AF$2:$AF$1001,0),0), INDEX($AM$1004:$BM$1004,1,MATCH(COLUMNS($AM$1006:BH1006),$AM$1006:$BM$1006,0)))),"Fix")))</f>
        <v xml:space="preserve"> </v>
      </c>
      <c r="X880" s="4" t="str">
        <f ca="1">IF(OR(INDEX($AG$2:$AG$1001,MATCH(ROWS($AF$2:AF880),$AF$2:$AF$1001,0),1)&gt;=100000,INDEX($AM$1005:$BM$1005,1,MATCH(COLUMNS($AM$1006:BI1006),$AM$1006:$BM$1006,0))&gt;=100000), " ",IF(INDEX($AM$2:$BM$1001,MATCH(ROWS($AF$2:AF880),$AF$2:$AF$1001,0),MATCH(COLUMNS($AM$1006:BI1006),$AM$1006:$BM$1006,0)), HYPERLINK("#",""), HYPERLINK(CONCATENATE("#metadata!", ADDRESS(INDEX($AH$2:$AH$1001,MATCH(ROWS($AF$2:AF880),$AF$2:$AF$1001,0),0), INDEX($AM$1004:$BM$1004,1,MATCH(COLUMNS($AM$1006:BI1006),$AM$1006:$BM$1006,0)))),"Fix")))</f>
        <v xml:space="preserve"> </v>
      </c>
      <c r="Y880" s="4" t="str">
        <f ca="1">IF(OR(INDEX($AG$2:$AG$1001,MATCH(ROWS($AF$2:AF880),$AF$2:$AF$1001,0),1)&gt;=100000,INDEX($AM$1005:$BM$1005,1,MATCH(COLUMNS($AM$1006:BJ1006),$AM$1006:$BM$1006,0))&gt;=100000), " ",IF(INDEX($AM$2:$BM$1001,MATCH(ROWS($AF$2:AF880),$AF$2:$AF$1001,0),MATCH(COLUMNS($AM$1006:BJ1006),$AM$1006:$BM$1006,0)), HYPERLINK("#",""), HYPERLINK(CONCATENATE("#metadata!", ADDRESS(INDEX($AH$2:$AH$1001,MATCH(ROWS($AF$2:AF880),$AF$2:$AF$1001,0),0), INDEX($AM$1004:$BM$1004,1,MATCH(COLUMNS($AM$1006:BJ1006),$AM$1006:$BM$1006,0)))),"Fix")))</f>
        <v xml:space="preserve"> </v>
      </c>
      <c r="Z880" s="4" t="str">
        <f ca="1">IF(OR(INDEX($AG$2:$AG$1001,MATCH(ROWS($AF$2:AF880),$AF$2:$AF$1001,0),1)&gt;=100000,INDEX($AM$1005:$BM$1005,1,MATCH(COLUMNS($AM$1006:BK1006),$AM$1006:$BM$1006,0))&gt;=100000), " ",IF(INDEX($AM$2:$BM$1001,MATCH(ROWS($AF$2:AF880),$AF$2:$AF$1001,0),MATCH(COLUMNS($AM$1006:BK1006),$AM$1006:$BM$1006,0)), HYPERLINK("#",""), HYPERLINK(CONCATENATE("#metadata!", ADDRESS(INDEX($AH$2:$AH$1001,MATCH(ROWS($AF$2:AF880),$AF$2:$AF$1001,0),0), INDEX($AM$1004:$BM$1004,1,MATCH(COLUMNS($AM$1006:BK1006),$AM$1006:$BM$1006,0)))),"Fix")))</f>
        <v xml:space="preserve"> </v>
      </c>
      <c r="AA880" s="4" t="str">
        <f ca="1">IF(OR(INDEX($AG$2:$AG$1001,MATCH(ROWS($AF$2:AF880),$AF$2:$AF$1001,0),1)&gt;=100000,INDEX($AM$1005:$BM$1005,1,MATCH(COLUMNS($AM$1006:BL1006),$AM$1006:$BM$1006,0))&gt;=100000), " ",IF(INDEX($AM$2:$BM$1001,MATCH(ROWS($AF$2:AF880),$AF$2:$AF$1001,0),MATCH(COLUMNS($AM$1006:BL1006),$AM$1006:$BM$1006,0)), HYPERLINK("#",""), HYPERLINK(CONCATENATE("#metadata!", ADDRESS(INDEX($AH$2:$AH$1001,MATCH(ROWS($AF$2:AF880),$AF$2:$AF$1001,0),0), INDEX($AM$1004:$BM$1004,1,MATCH(COLUMNS($AM$1006:BL1006),$AM$1006:$BM$1006,0)))),"Fix")))</f>
        <v xml:space="preserve"> </v>
      </c>
      <c r="AB880" s="4" t="str">
        <f ca="1">IF(OR(INDEX($AG$2:$AG$1001,MATCH(ROWS($AF$2:AF880),$AF$2:$AF$1001,0),1)&gt;=100000,INDEX($AM$1005:$BM$1005,1,MATCH(COLUMNS($AM$1006:BM1006),$AM$1006:$BM$1006,0))&gt;=100000), " ",IF(INDEX($AM$2:$BM$1001,MATCH(ROWS($AF$2:AF880),$AF$2:$AF$1001,0),MATCH(COLUMNS($AM$1006:BM1006),$AM$1006:$BM$1006,0)), HYPERLINK("#",""), HYPERLINK(CONCATENATE("#metadata!", ADDRESS(INDEX($AH$2:$AH$1001,MATCH(ROWS($AF$2:AF880),$AF$2:$AF$1001,0),0), INDEX($AM$1004:$BM$1004,1,MATCH(COLUMNS($AM$1006:BM1006),$AM$1006:$BM$1006,0)))),"Fix")))</f>
        <v xml:space="preserve"> </v>
      </c>
      <c r="AF880">
        <v>879</v>
      </c>
      <c r="AG880">
        <v>100880</v>
      </c>
      <c r="AH880">
        <v>880</v>
      </c>
      <c r="AI880" t="b">
        <f t="shared" si="13"/>
        <v>1</v>
      </c>
      <c r="AJ880" t="b">
        <f>COUNTBLANK(metadata!B880:AB880)=COLUMNS(metadata!B880:AB880)</f>
        <v>1</v>
      </c>
      <c r="AK880" t="str">
        <v/>
      </c>
      <c r="AM880" t="b">
        <f ca="1">AND(IF(metadata!B880="",FALSE,TRUE),COUNTIF(metadata!B:B, metadata!B880) = 1,NOT(ISERROR(SUMPRODUCT(SEARCH(MID(metadata!B880,ROW(INDIRECT("1:"&amp;LEN(metadata!B880))), 1),"0123456789abcdefghijklmnopqrstuvwxyzABCDEFGHIJKLMNOPQRSTUVWXYZ.")))))</f>
        <v>0</v>
      </c>
      <c r="AN880" t="b">
        <f ca="1">OR(AND(IF(metadata!C880="",FALSE,TRUE),OR(EXACT(metadata!C880,"missing: not collected"),EXACT(metadata!C880,"missing: not provided"),EXACT(metadata!C880,"missing: restricted access"))),AND(IF(metadata!C880="",FALSE,TRUE),AND(AND(IFERROR(INT(LEFT(metadata!C880,4))&gt;1900,FALSE),IFERROR(INT(LEFT(metadata!C880,4))&lt;=YEAR(NOW()),FALSE)), OR(MID(metadata!C880,5,1)="", AND(AND(MID(metadata!C880,5,1)="-",IFERROR(INT(MID(metadata!C880,6,1))&gt;=0,FALSE),IFERROR(INT(MID(metadata!C880,6,1))&lt;=1,FALSE),NOT(MID(metadata!C880,7,1)=""),IFERROR(INT(MID(metadata!C880,6,2))&gt;=1,FALSE),IFERROR(INT(MID(metadata!C880,6,2))&lt;=12,FALSE)), OR(MID(metadata!C880,8,1)="", AND(AND(MID(metadata!C880,8,1)="-",IFERROR(INT(MID(metadata!C880,9,1))&gt;=0,FALSE),IFERROR(INT(MID(metadata!C880,9,1))&lt;=3,FALSE),NOT(MID(metadata!C880,10,1)=""),IFERROR(INT(MID(metadata!C880,9,2))&gt;=1,FALSE),IFERROR(INT(MID(metadata!C880,9,2))&lt;=31,FALSE)), OR(MID(metadata!C880,11,1)="", AND(AND(MID(metadata!C880,11,1)=" ",IFERROR(INT(MID(metadata!C880,12,1))&gt;=0,FALSE),IFERROR(INT(MID(metadata!C880,12,1))&lt;=2,FALSE),NOT(MID(metadata!C880,13,1)=""),IFERROR(INT(MID(metadata!C880,12,2))&gt;=0,FALSE),IFERROR(INT(MID(metadata!C880,12,2))&lt;=23,FALSE)), OR(MID(metadata!C880,14,1)="", AND(AND(MID(metadata!C880,14,1)=":",IFERROR(INT(MID(metadata!C880,15,1))&gt;=0,FALSE),IFERROR(INT(MID(metadata!C880,15,1))&lt;=5,FALSE),NOT(MID(metadata!C880,16,1)=""),IFERROR(INT(MID(metadata!C880,15,2))&gt;=0,FALSE),IFERROR(INT(MID(metadata!C880,15,2))&lt;=59,FALSE)), OR(MID(metadata!C880,17,1)="", AND(AND(MID(metadata!C880,17,1)=":",IFERROR(INT(MID(metadata!C880,18,1))&gt;=0,FALSE),IFERROR(INT(MID(metadata!C880,18,1))&lt;=5,FALSE),NOT(MID(metadata!C880,19,1)=""),IFERROR(INT(MID(metadata!C880,18,2))&gt;=0,FALSE),IFERROR(INT(MID(metadata!C880,18,2))&lt;=59,FALSE)), LEN(metadata!C880)&lt;=19)))))))))))))</f>
        <v>0</v>
      </c>
      <c r="AO880" t="b">
        <f>AND(IF(metadata!D880="",FALSE,TRUE),EXACT(metadata!D880,"Not applicable"))</f>
        <v>0</v>
      </c>
      <c r="AP880" t="b">
        <f>IF(metadata!E880="",FALSE,TRUE)</f>
        <v>0</v>
      </c>
      <c r="AQ880" t="b">
        <f>OR(AND(IF(metadata!F880="",FALSE,TRUE),OR(EXACT(metadata!F880,"missing: not collected"),EXACT(metadata!F880,"missing: not provided"))),AND(IF(metadata!F880="",FALSE,TRUE),OR(EXACT(metadata!F880,"TRUE"),EXACT(metadata!F880,"FALSE"))))</f>
        <v>0</v>
      </c>
      <c r="AR880" t="b">
        <f>OR(AND(IF(metadata!G880="",FALSE,TRUE),OR(EXACT(metadata!G880,"missing: not collected"),EXACT(metadata!G880,"missing: not provided"),EXACT(metadata!G880,"missing: restricted access"))),AND(IF(metadata!G880="",FALSE,ISNUMBER(VALUE(metadata!G880))),metadata!G880&gt;=-413))</f>
        <v>0</v>
      </c>
      <c r="AS880" t="b">
        <f>AND(IF(metadata!H880="",FALSE,TRUE),EXACT(metadata!H880,"meters"))</f>
        <v>0</v>
      </c>
      <c r="AT880" t="b">
        <f>AND(IF(metadata!I880="",FALSE,TRUE),OR(EXACT(metadata!I880,"Host-associated"),EXACT(metadata!I880,"Free-living")))</f>
        <v>0</v>
      </c>
      <c r="AU880" t="b">
        <f>AND(IF(metadata!J880="",FALSE,TRUE),OR(EXACT(metadata!J880,"Animal"),EXACT(metadata!J880,"Fungus"),EXACT(metadata!J880,"Plant"),EXACT(metadata!J880,"Saline"),EXACT(metadata!J880,"Non-saline")))</f>
        <v>0</v>
      </c>
      <c r="AV880" t="b">
        <f>AND(IF(metadata!K880="",FALSE,TRUE),OR(EXACT(metadata!K880,"Plant secretion"),EXACT(metadata!K880,"Plant rhizosphere"),EXACT(metadata!K880,"Plant surface"),EXACT(metadata!K880,"Plant corpus"),EXACT(metadata!K880,"Fungus surface"),EXACT(metadata!K880,"Fungus corpus"),EXACT(metadata!K880,"Animal surface"),EXACT(metadata!K880,"Animal proximal gut"),EXACT(metadata!K880,"Animal corpus"),EXACT(metadata!K880,"Animal distal gut"),EXACT(metadata!K880,"Animal secretion"),EXACT(metadata!K880,"Sub-surface (non-saline)"),EXACT(metadata!K880,"Surface (non-saline)"),EXACT(metadata!K880,"Water (non-saline)"),EXACT(metadata!K880,"Soil (non-saline)"),EXACT(metadata!K880,"Aerosol (non-saline)"),EXACT(metadata!K880,"Sediment (non-saline)"),EXACT(metadata!K880,"Surface (saline)"),EXACT(metadata!K880,"Water (saline)"),EXACT(metadata!K880,"Hypersaline (saline)"),EXACT(metadata!K880,"Aerosol (saline)"),EXACT(metadata!K880,"Sediment (saline)")))</f>
        <v>0</v>
      </c>
      <c r="AW880" t="b">
        <f>IF(metadata!L880="",FALSE,TRUE)</f>
        <v>0</v>
      </c>
      <c r="AX880" t="b">
        <f>IF(metadata!M880="",FALSE,TRUE)</f>
        <v>0</v>
      </c>
      <c r="AY880" t="b">
        <f>IF(metadata!N880="",FALSE,TRUE)</f>
        <v>0</v>
      </c>
      <c r="AZ880" t="b">
        <f>OR(AND(IF(metadata!O880="",FALSE,TRUE),OR(EXACT(metadata!O880,"missing: not collected"),EXACT(metadata!O880,"missing: not provided"),EXACT(metadata!O880,"missing: restricted access"))),AND(IF(metadata!O880="",FALSE,TRUE),OR(EXACT(metadata!O880,"air"),EXACT(metadata!O880,"built environment"),EXACT(metadata!O880,"host-associated"),EXACT(metadata!O880,"human-associated"),EXACT(metadata!O880,"human-skin"),EXACT(metadata!O880,"human-oral"),EXACT(metadata!O880,"human-gut"),EXACT(metadata!O880,"human-vaginal"),EXACT(metadata!O880,"microbial mat/biofilm"),EXACT(metadata!O880,"misc environment"),EXACT(metadata!O880,"plant-associated"),EXACT(metadata!O880,"sediment"),EXACT(metadata!O880,"soil"),EXACT(metadata!O880,"wastewater/sludge"),EXACT(metadata!O880,"water"))))</f>
        <v>0</v>
      </c>
      <c r="BA880" t="b">
        <f>IF(metadata!P880="",FALSE,TRUE)</f>
        <v>0</v>
      </c>
      <c r="BB880" t="b">
        <f>IF(metadata!Q880="",FALSE,TRUE)</f>
        <v>0</v>
      </c>
      <c r="BC880" t="b">
        <f>OR(AND(IF(metadata!R880="",FALSE,TRUE),OR(EXACT(metadata!R880,"missing: not collected"),EXACT(metadata!R880,"missing: not provided"),EXACT(metadata!R880,"missing: restricted access"))),AND(IF(metadata!R880="",FALSE,ISNUMBER(VALUE(metadata!R880))),metadata!R880&gt;=-90,metadata!R880&lt;=90))</f>
        <v>0</v>
      </c>
      <c r="BD880" t="b">
        <f>AND(IF(metadata!S880="",FALSE,TRUE),EXACT(metadata!S880,"Decimal degrees"))</f>
        <v>0</v>
      </c>
      <c r="BE880" t="b">
        <f>OR(AND(IF(metadata!T880="",FALSE,TRUE),OR(EXACT(metadata!T880,"missing: not collected"),EXACT(metadata!T880,"missing: not provided"),EXACT(metadata!T880,"missing: restricted access"))),AND(IF(metadata!T880="",FALSE,ISNUMBER(VALUE(metadata!T880))),metadata!T880&gt;=-180,metadata!T880&lt;=180))</f>
        <v>0</v>
      </c>
      <c r="BF880" t="b">
        <f>AND(IF(metadata!U880="",FALSE,TRUE),EXACT(metadata!U880,"Decimal degrees"))</f>
        <v>0</v>
      </c>
      <c r="BG880" t="b">
        <f>IF(metadata!V880="",FALSE,TRUE)</f>
        <v>0</v>
      </c>
      <c r="BH880" t="b">
        <f>OR(AND(IF(metadata!W880="",FALSE,TRUE),OR(EXACT(metadata!W880,"missing: not collected"),EXACT(metadata!W880,"missing: not provided"),EXACT(metadata!W880,"missing: restricted access"))),AND(IF(metadata!W880="",FALSE,TRUE),OR(EXACT(metadata!W880,"TRUE"),EXACT(metadata!W880,"FALSE"))))</f>
        <v>0</v>
      </c>
      <c r="BI880" t="b">
        <f>AND(IF(metadata!X880="",FALSE,TRUE),EXACT(metadata!X880,"other"))</f>
        <v>0</v>
      </c>
      <c r="BJ880" t="b">
        <f>IF(metadata!Y880="",FALSE,TRUE)</f>
        <v>0</v>
      </c>
      <c r="BK880" t="b">
        <f>OR(AND(IF(metadata!Z880="",FALSE,TRUE),OR(EXACT(metadata!Z880,"missing: not collected"),EXACT(metadata!Z880,"missing: not provided"))),AND(IF(metadata!Z880="",FALSE,IF(ISERROR(INT(metadata!Z880)),FALSE,INT(metadata!Z880)=metadata!Z880)),metadata!Z880&gt;0))</f>
        <v>0</v>
      </c>
      <c r="BL880" t="b">
        <f>AND(IF(metadata!AA880="",FALSE,TRUE),EXACT(metadata!AA880,"Not applicable"))</f>
        <v>0</v>
      </c>
      <c r="BM880" t="b">
        <f>IF(metadata!AB880="",FALSE,TRUE)</f>
        <v>0</v>
      </c>
    </row>
    <row r="881" spans="1:65" x14ac:dyDescent="0.2">
      <c r="A881" s="5" t="str">
        <f ca="1">IF(B881=" "," ",HYPERLINK(CONCATENATE("#metadata!",ADDRESS(INDEX($AH$2:$AH$1001,MATCH(ROWS($AF$2:AF881),$AF$2:$AF$1001,0),0),1)),INDEX($AK$2:$AK$1001,MATCH(ROWS($AF$2:AF881),$AF$2:$AF$1001,0),0)))</f>
        <v xml:space="preserve"> </v>
      </c>
      <c r="B881" s="4" t="str">
        <f ca="1">IF(OR(INDEX($AG$2:$AG$1001,MATCH(ROWS($AF$2:AF881),$AF$2:$AF$1001,0),1)&gt;=100000,INDEX($AM$1005:$BM$1005,1,MATCH(COLUMNS($AM$1006:AM1006),$AM$1006:$BM$1006,0))&gt;=100000), " ",IF(INDEX($AM$2:$BM$1001,MATCH(ROWS($AF$2:AF881),$AF$2:$AF$1001,0),MATCH(COLUMNS($AM$1006:AM1006),$AM$1006:$BM$1006,0)), HYPERLINK("#",""), HYPERLINK(CONCATENATE("#metadata!", ADDRESS(INDEX($AH$2:$AH$1001,MATCH(ROWS($AF$2:AF881),$AF$2:$AF$1001,0),0), INDEX($AM$1004:$BM$1004,1,MATCH(COLUMNS($AM$1006:AM1006),$AM$1006:$BM$1006,0)))),"Fix")))</f>
        <v xml:space="preserve"> </v>
      </c>
      <c r="C881" s="4" t="str">
        <f ca="1">IF(OR(INDEX($AG$2:$AG$1001,MATCH(ROWS($AF$2:AF881),$AF$2:$AF$1001,0),1)&gt;=100000,INDEX($AM$1005:$BM$1005,1,MATCH(COLUMNS($AM$1006:AN1006),$AM$1006:$BM$1006,0))&gt;=100000), " ",IF(INDEX($AM$2:$BM$1001,MATCH(ROWS($AF$2:AF881),$AF$2:$AF$1001,0),MATCH(COLUMNS($AM$1006:AN1006),$AM$1006:$BM$1006,0)), HYPERLINK("#",""), HYPERLINK(CONCATENATE("#metadata!", ADDRESS(INDEX($AH$2:$AH$1001,MATCH(ROWS($AF$2:AF881),$AF$2:$AF$1001,0),0), INDEX($AM$1004:$BM$1004,1,MATCH(COLUMNS($AM$1006:AN1006),$AM$1006:$BM$1006,0)))),"Fix")))</f>
        <v xml:space="preserve"> </v>
      </c>
      <c r="D881" s="4" t="str">
        <f ca="1">IF(OR(INDEX($AG$2:$AG$1001,MATCH(ROWS($AF$2:AF881),$AF$2:$AF$1001,0),1)&gt;=100000,INDEX($AM$1005:$BM$1005,1,MATCH(COLUMNS($AM$1006:AO1006),$AM$1006:$BM$1006,0))&gt;=100000), " ",IF(INDEX($AM$2:$BM$1001,MATCH(ROWS($AF$2:AF881),$AF$2:$AF$1001,0),MATCH(COLUMNS($AM$1006:AO1006),$AM$1006:$BM$1006,0)), HYPERLINK("#",""), HYPERLINK(CONCATENATE("#metadata!", ADDRESS(INDEX($AH$2:$AH$1001,MATCH(ROWS($AF$2:AF881),$AF$2:$AF$1001,0),0), INDEX($AM$1004:$BM$1004,1,MATCH(COLUMNS($AM$1006:AO1006),$AM$1006:$BM$1006,0)))),"Fix")))</f>
        <v xml:space="preserve"> </v>
      </c>
      <c r="E881" s="4" t="str">
        <f ca="1">IF(OR(INDEX($AG$2:$AG$1001,MATCH(ROWS($AF$2:AF881),$AF$2:$AF$1001,0),1)&gt;=100000,INDEX($AM$1005:$BM$1005,1,MATCH(COLUMNS($AM$1006:AP1006),$AM$1006:$BM$1006,0))&gt;=100000), " ",IF(INDEX($AM$2:$BM$1001,MATCH(ROWS($AF$2:AF881),$AF$2:$AF$1001,0),MATCH(COLUMNS($AM$1006:AP1006),$AM$1006:$BM$1006,0)), HYPERLINK("#",""), HYPERLINK(CONCATENATE("#metadata!", ADDRESS(INDEX($AH$2:$AH$1001,MATCH(ROWS($AF$2:AF881),$AF$2:$AF$1001,0),0), INDEX($AM$1004:$BM$1004,1,MATCH(COLUMNS($AM$1006:AP1006),$AM$1006:$BM$1006,0)))),"Fix")))</f>
        <v xml:space="preserve"> </v>
      </c>
      <c r="F881" s="4" t="str">
        <f ca="1">IF(OR(INDEX($AG$2:$AG$1001,MATCH(ROWS($AF$2:AF881),$AF$2:$AF$1001,0),1)&gt;=100000,INDEX($AM$1005:$BM$1005,1,MATCH(COLUMNS($AM$1006:AQ1006),$AM$1006:$BM$1006,0))&gt;=100000), " ",IF(INDEX($AM$2:$BM$1001,MATCH(ROWS($AF$2:AF881),$AF$2:$AF$1001,0),MATCH(COLUMNS($AM$1006:AQ1006),$AM$1006:$BM$1006,0)), HYPERLINK("#",""), HYPERLINK(CONCATENATE("#metadata!", ADDRESS(INDEX($AH$2:$AH$1001,MATCH(ROWS($AF$2:AF881),$AF$2:$AF$1001,0),0), INDEX($AM$1004:$BM$1004,1,MATCH(COLUMNS($AM$1006:AQ1006),$AM$1006:$BM$1006,0)))),"Fix")))</f>
        <v xml:space="preserve"> </v>
      </c>
      <c r="G881" s="4" t="str">
        <f ca="1">IF(OR(INDEX($AG$2:$AG$1001,MATCH(ROWS($AF$2:AF881),$AF$2:$AF$1001,0),1)&gt;=100000,INDEX($AM$1005:$BM$1005,1,MATCH(COLUMNS($AM$1006:AR1006),$AM$1006:$BM$1006,0))&gt;=100000), " ",IF(INDEX($AM$2:$BM$1001,MATCH(ROWS($AF$2:AF881),$AF$2:$AF$1001,0),MATCH(COLUMNS($AM$1006:AR1006),$AM$1006:$BM$1006,0)), HYPERLINK("#",""), HYPERLINK(CONCATENATE("#metadata!", ADDRESS(INDEX($AH$2:$AH$1001,MATCH(ROWS($AF$2:AF881),$AF$2:$AF$1001,0),0), INDEX($AM$1004:$BM$1004,1,MATCH(COLUMNS($AM$1006:AR1006),$AM$1006:$BM$1006,0)))),"Fix")))</f>
        <v xml:space="preserve"> </v>
      </c>
      <c r="H881" s="4" t="str">
        <f ca="1">IF(OR(INDEX($AG$2:$AG$1001,MATCH(ROWS($AF$2:AF881),$AF$2:$AF$1001,0),1)&gt;=100000,INDEX($AM$1005:$BM$1005,1,MATCH(COLUMNS($AM$1006:AS1006),$AM$1006:$BM$1006,0))&gt;=100000), " ",IF(INDEX($AM$2:$BM$1001,MATCH(ROWS($AF$2:AF881),$AF$2:$AF$1001,0),MATCH(COLUMNS($AM$1006:AS1006),$AM$1006:$BM$1006,0)), HYPERLINK("#",""), HYPERLINK(CONCATENATE("#metadata!", ADDRESS(INDEX($AH$2:$AH$1001,MATCH(ROWS($AF$2:AF881),$AF$2:$AF$1001,0),0), INDEX($AM$1004:$BM$1004,1,MATCH(COLUMNS($AM$1006:AS1006),$AM$1006:$BM$1006,0)))),"Fix")))</f>
        <v xml:space="preserve"> </v>
      </c>
      <c r="I881" s="4" t="str">
        <f ca="1">IF(OR(INDEX($AG$2:$AG$1001,MATCH(ROWS($AF$2:AF881),$AF$2:$AF$1001,0),1)&gt;=100000,INDEX($AM$1005:$BM$1005,1,MATCH(COLUMNS($AM$1006:AT1006),$AM$1006:$BM$1006,0))&gt;=100000), " ",IF(INDEX($AM$2:$BM$1001,MATCH(ROWS($AF$2:AF881),$AF$2:$AF$1001,0),MATCH(COLUMNS($AM$1006:AT1006),$AM$1006:$BM$1006,0)), HYPERLINK("#",""), HYPERLINK(CONCATENATE("#metadata!", ADDRESS(INDEX($AH$2:$AH$1001,MATCH(ROWS($AF$2:AF881),$AF$2:$AF$1001,0),0), INDEX($AM$1004:$BM$1004,1,MATCH(COLUMNS($AM$1006:AT1006),$AM$1006:$BM$1006,0)))),"Fix")))</f>
        <v xml:space="preserve"> </v>
      </c>
      <c r="J881" s="4" t="str">
        <f ca="1">IF(OR(INDEX($AG$2:$AG$1001,MATCH(ROWS($AF$2:AF881),$AF$2:$AF$1001,0),1)&gt;=100000,INDEX($AM$1005:$BM$1005,1,MATCH(COLUMNS($AM$1006:AU1006),$AM$1006:$BM$1006,0))&gt;=100000), " ",IF(INDEX($AM$2:$BM$1001,MATCH(ROWS($AF$2:AF881),$AF$2:$AF$1001,0),MATCH(COLUMNS($AM$1006:AU1006),$AM$1006:$BM$1006,0)), HYPERLINK("#",""), HYPERLINK(CONCATENATE("#metadata!", ADDRESS(INDEX($AH$2:$AH$1001,MATCH(ROWS($AF$2:AF881),$AF$2:$AF$1001,0),0), INDEX($AM$1004:$BM$1004,1,MATCH(COLUMNS($AM$1006:AU1006),$AM$1006:$BM$1006,0)))),"Fix")))</f>
        <v xml:space="preserve"> </v>
      </c>
      <c r="K881" s="4" t="str">
        <f ca="1">IF(OR(INDEX($AG$2:$AG$1001,MATCH(ROWS($AF$2:AF881),$AF$2:$AF$1001,0),1)&gt;=100000,INDEX($AM$1005:$BM$1005,1,MATCH(COLUMNS($AM$1006:AV1006),$AM$1006:$BM$1006,0))&gt;=100000), " ",IF(INDEX($AM$2:$BM$1001,MATCH(ROWS($AF$2:AF881),$AF$2:$AF$1001,0),MATCH(COLUMNS($AM$1006:AV1006),$AM$1006:$BM$1006,0)), HYPERLINK("#",""), HYPERLINK(CONCATENATE("#metadata!", ADDRESS(INDEX($AH$2:$AH$1001,MATCH(ROWS($AF$2:AF881),$AF$2:$AF$1001,0),0), INDEX($AM$1004:$BM$1004,1,MATCH(COLUMNS($AM$1006:AV1006),$AM$1006:$BM$1006,0)))),"Fix")))</f>
        <v xml:space="preserve"> </v>
      </c>
      <c r="L881" s="4" t="str">
        <f ca="1">IF(OR(INDEX($AG$2:$AG$1001,MATCH(ROWS($AF$2:AF881),$AF$2:$AF$1001,0),1)&gt;=100000,INDEX($AM$1005:$BM$1005,1,MATCH(COLUMNS($AM$1006:AW1006),$AM$1006:$BM$1006,0))&gt;=100000), " ",IF(INDEX($AM$2:$BM$1001,MATCH(ROWS($AF$2:AF881),$AF$2:$AF$1001,0),MATCH(COLUMNS($AM$1006:AW1006),$AM$1006:$BM$1006,0)), HYPERLINK("#",""), HYPERLINK(CONCATENATE("#metadata!", ADDRESS(INDEX($AH$2:$AH$1001,MATCH(ROWS($AF$2:AF881),$AF$2:$AF$1001,0),0), INDEX($AM$1004:$BM$1004,1,MATCH(COLUMNS($AM$1006:AW1006),$AM$1006:$BM$1006,0)))),"Fix")))</f>
        <v xml:space="preserve"> </v>
      </c>
      <c r="M881" s="4" t="str">
        <f ca="1">IF(OR(INDEX($AG$2:$AG$1001,MATCH(ROWS($AF$2:AF881),$AF$2:$AF$1001,0),1)&gt;=100000,INDEX($AM$1005:$BM$1005,1,MATCH(COLUMNS($AM$1006:AX1006),$AM$1006:$BM$1006,0))&gt;=100000), " ",IF(INDEX($AM$2:$BM$1001,MATCH(ROWS($AF$2:AF881),$AF$2:$AF$1001,0),MATCH(COLUMNS($AM$1006:AX1006),$AM$1006:$BM$1006,0)), HYPERLINK("#",""), HYPERLINK(CONCATENATE("#metadata!", ADDRESS(INDEX($AH$2:$AH$1001,MATCH(ROWS($AF$2:AF881),$AF$2:$AF$1001,0),0), INDEX($AM$1004:$BM$1004,1,MATCH(COLUMNS($AM$1006:AX1006),$AM$1006:$BM$1006,0)))),"Fix")))</f>
        <v xml:space="preserve"> </v>
      </c>
      <c r="N881" s="4" t="str">
        <f ca="1">IF(OR(INDEX($AG$2:$AG$1001,MATCH(ROWS($AF$2:AF881),$AF$2:$AF$1001,0),1)&gt;=100000,INDEX($AM$1005:$BM$1005,1,MATCH(COLUMNS($AM$1006:AY1006),$AM$1006:$BM$1006,0))&gt;=100000), " ",IF(INDEX($AM$2:$BM$1001,MATCH(ROWS($AF$2:AF881),$AF$2:$AF$1001,0),MATCH(COLUMNS($AM$1006:AY1006),$AM$1006:$BM$1006,0)), HYPERLINK("#",""), HYPERLINK(CONCATENATE("#metadata!", ADDRESS(INDEX($AH$2:$AH$1001,MATCH(ROWS($AF$2:AF881),$AF$2:$AF$1001,0),0), INDEX($AM$1004:$BM$1004,1,MATCH(COLUMNS($AM$1006:AY1006),$AM$1006:$BM$1006,0)))),"Fix")))</f>
        <v xml:space="preserve"> </v>
      </c>
      <c r="O881" s="4" t="str">
        <f ca="1">IF(OR(INDEX($AG$2:$AG$1001,MATCH(ROWS($AF$2:AF881),$AF$2:$AF$1001,0),1)&gt;=100000,INDEX($AM$1005:$BM$1005,1,MATCH(COLUMNS($AM$1006:AZ1006),$AM$1006:$BM$1006,0))&gt;=100000), " ",IF(INDEX($AM$2:$BM$1001,MATCH(ROWS($AF$2:AF881),$AF$2:$AF$1001,0),MATCH(COLUMNS($AM$1006:AZ1006),$AM$1006:$BM$1006,0)), HYPERLINK("#",""), HYPERLINK(CONCATENATE("#metadata!", ADDRESS(INDEX($AH$2:$AH$1001,MATCH(ROWS($AF$2:AF881),$AF$2:$AF$1001,0),0), INDEX($AM$1004:$BM$1004,1,MATCH(COLUMNS($AM$1006:AZ1006),$AM$1006:$BM$1006,0)))),"Fix")))</f>
        <v xml:space="preserve"> </v>
      </c>
      <c r="P881" s="4" t="str">
        <f ca="1">IF(OR(INDEX($AG$2:$AG$1001,MATCH(ROWS($AF$2:AF881),$AF$2:$AF$1001,0),1)&gt;=100000,INDEX($AM$1005:$BM$1005,1,MATCH(COLUMNS($AM$1006:BA1006),$AM$1006:$BM$1006,0))&gt;=100000), " ",IF(INDEX($AM$2:$BM$1001,MATCH(ROWS($AF$2:AF881),$AF$2:$AF$1001,0),MATCH(COLUMNS($AM$1006:BA1006),$AM$1006:$BM$1006,0)), HYPERLINK("#",""), HYPERLINK(CONCATENATE("#metadata!", ADDRESS(INDEX($AH$2:$AH$1001,MATCH(ROWS($AF$2:AF881),$AF$2:$AF$1001,0),0), INDEX($AM$1004:$BM$1004,1,MATCH(COLUMNS($AM$1006:BA1006),$AM$1006:$BM$1006,0)))),"Fix")))</f>
        <v xml:space="preserve"> </v>
      </c>
      <c r="Q881" s="4" t="str">
        <f ca="1">IF(OR(INDEX($AG$2:$AG$1001,MATCH(ROWS($AF$2:AF881),$AF$2:$AF$1001,0),1)&gt;=100000,INDEX($AM$1005:$BM$1005,1,MATCH(COLUMNS($AM$1006:BB1006),$AM$1006:$BM$1006,0))&gt;=100000), " ",IF(INDEX($AM$2:$BM$1001,MATCH(ROWS($AF$2:AF881),$AF$2:$AF$1001,0),MATCH(COLUMNS($AM$1006:BB1006),$AM$1006:$BM$1006,0)), HYPERLINK("#",""), HYPERLINK(CONCATENATE("#metadata!", ADDRESS(INDEX($AH$2:$AH$1001,MATCH(ROWS($AF$2:AF881),$AF$2:$AF$1001,0),0), INDEX($AM$1004:$BM$1004,1,MATCH(COLUMNS($AM$1006:BB1006),$AM$1006:$BM$1006,0)))),"Fix")))</f>
        <v xml:space="preserve"> </v>
      </c>
      <c r="R881" s="4" t="str">
        <f ca="1">IF(OR(INDEX($AG$2:$AG$1001,MATCH(ROWS($AF$2:AF881),$AF$2:$AF$1001,0),1)&gt;=100000,INDEX($AM$1005:$BM$1005,1,MATCH(COLUMNS($AM$1006:BC1006),$AM$1006:$BM$1006,0))&gt;=100000), " ",IF(INDEX($AM$2:$BM$1001,MATCH(ROWS($AF$2:AF881),$AF$2:$AF$1001,0),MATCH(COLUMNS($AM$1006:BC1006),$AM$1006:$BM$1006,0)), HYPERLINK("#",""), HYPERLINK(CONCATENATE("#metadata!", ADDRESS(INDEX($AH$2:$AH$1001,MATCH(ROWS($AF$2:AF881),$AF$2:$AF$1001,0),0), INDEX($AM$1004:$BM$1004,1,MATCH(COLUMNS($AM$1006:BC1006),$AM$1006:$BM$1006,0)))),"Fix")))</f>
        <v xml:space="preserve"> </v>
      </c>
      <c r="S881" s="4" t="str">
        <f ca="1">IF(OR(INDEX($AG$2:$AG$1001,MATCH(ROWS($AF$2:AF881),$AF$2:$AF$1001,0),1)&gt;=100000,INDEX($AM$1005:$BM$1005,1,MATCH(COLUMNS($AM$1006:BD1006),$AM$1006:$BM$1006,0))&gt;=100000), " ",IF(INDEX($AM$2:$BM$1001,MATCH(ROWS($AF$2:AF881),$AF$2:$AF$1001,0),MATCH(COLUMNS($AM$1006:BD1006),$AM$1006:$BM$1006,0)), HYPERLINK("#",""), HYPERLINK(CONCATENATE("#metadata!", ADDRESS(INDEX($AH$2:$AH$1001,MATCH(ROWS($AF$2:AF881),$AF$2:$AF$1001,0),0), INDEX($AM$1004:$BM$1004,1,MATCH(COLUMNS($AM$1006:BD1006),$AM$1006:$BM$1006,0)))),"Fix")))</f>
        <v xml:space="preserve"> </v>
      </c>
      <c r="T881" s="4" t="str">
        <f ca="1">IF(OR(INDEX($AG$2:$AG$1001,MATCH(ROWS($AF$2:AF881),$AF$2:$AF$1001,0),1)&gt;=100000,INDEX($AM$1005:$BM$1005,1,MATCH(COLUMNS($AM$1006:BE1006),$AM$1006:$BM$1006,0))&gt;=100000), " ",IF(INDEX($AM$2:$BM$1001,MATCH(ROWS($AF$2:AF881),$AF$2:$AF$1001,0),MATCH(COLUMNS($AM$1006:BE1006),$AM$1006:$BM$1006,0)), HYPERLINK("#",""), HYPERLINK(CONCATENATE("#metadata!", ADDRESS(INDEX($AH$2:$AH$1001,MATCH(ROWS($AF$2:AF881),$AF$2:$AF$1001,0),0), INDEX($AM$1004:$BM$1004,1,MATCH(COLUMNS($AM$1006:BE1006),$AM$1006:$BM$1006,0)))),"Fix")))</f>
        <v xml:space="preserve"> </v>
      </c>
      <c r="U881" s="4" t="str">
        <f ca="1">IF(OR(INDEX($AG$2:$AG$1001,MATCH(ROWS($AF$2:AF881),$AF$2:$AF$1001,0),1)&gt;=100000,INDEX($AM$1005:$BM$1005,1,MATCH(COLUMNS($AM$1006:BF1006),$AM$1006:$BM$1006,0))&gt;=100000), " ",IF(INDEX($AM$2:$BM$1001,MATCH(ROWS($AF$2:AF881),$AF$2:$AF$1001,0),MATCH(COLUMNS($AM$1006:BF1006),$AM$1006:$BM$1006,0)), HYPERLINK("#",""), HYPERLINK(CONCATENATE("#metadata!", ADDRESS(INDEX($AH$2:$AH$1001,MATCH(ROWS($AF$2:AF881),$AF$2:$AF$1001,0),0), INDEX($AM$1004:$BM$1004,1,MATCH(COLUMNS($AM$1006:BF1006),$AM$1006:$BM$1006,0)))),"Fix")))</f>
        <v xml:space="preserve"> </v>
      </c>
      <c r="V881" s="4" t="str">
        <f ca="1">IF(OR(INDEX($AG$2:$AG$1001,MATCH(ROWS($AF$2:AF881),$AF$2:$AF$1001,0),1)&gt;=100000,INDEX($AM$1005:$BM$1005,1,MATCH(COLUMNS($AM$1006:BG1006),$AM$1006:$BM$1006,0))&gt;=100000), " ",IF(INDEX($AM$2:$BM$1001,MATCH(ROWS($AF$2:AF881),$AF$2:$AF$1001,0),MATCH(COLUMNS($AM$1006:BG1006),$AM$1006:$BM$1006,0)), HYPERLINK("#",""), HYPERLINK(CONCATENATE("#metadata!", ADDRESS(INDEX($AH$2:$AH$1001,MATCH(ROWS($AF$2:AF881),$AF$2:$AF$1001,0),0), INDEX($AM$1004:$BM$1004,1,MATCH(COLUMNS($AM$1006:BG1006),$AM$1006:$BM$1006,0)))),"Fix")))</f>
        <v xml:space="preserve"> </v>
      </c>
      <c r="W881" s="4" t="str">
        <f ca="1">IF(OR(INDEX($AG$2:$AG$1001,MATCH(ROWS($AF$2:AF881),$AF$2:$AF$1001,0),1)&gt;=100000,INDEX($AM$1005:$BM$1005,1,MATCH(COLUMNS($AM$1006:BH1006),$AM$1006:$BM$1006,0))&gt;=100000), " ",IF(INDEX($AM$2:$BM$1001,MATCH(ROWS($AF$2:AF881),$AF$2:$AF$1001,0),MATCH(COLUMNS($AM$1006:BH1006),$AM$1006:$BM$1006,0)), HYPERLINK("#",""), HYPERLINK(CONCATENATE("#metadata!", ADDRESS(INDEX($AH$2:$AH$1001,MATCH(ROWS($AF$2:AF881),$AF$2:$AF$1001,0),0), INDEX($AM$1004:$BM$1004,1,MATCH(COLUMNS($AM$1006:BH1006),$AM$1006:$BM$1006,0)))),"Fix")))</f>
        <v xml:space="preserve"> </v>
      </c>
      <c r="X881" s="4" t="str">
        <f ca="1">IF(OR(INDEX($AG$2:$AG$1001,MATCH(ROWS($AF$2:AF881),$AF$2:$AF$1001,0),1)&gt;=100000,INDEX($AM$1005:$BM$1005,1,MATCH(COLUMNS($AM$1006:BI1006),$AM$1006:$BM$1006,0))&gt;=100000), " ",IF(INDEX($AM$2:$BM$1001,MATCH(ROWS($AF$2:AF881),$AF$2:$AF$1001,0),MATCH(COLUMNS($AM$1006:BI1006),$AM$1006:$BM$1006,0)), HYPERLINK("#",""), HYPERLINK(CONCATENATE("#metadata!", ADDRESS(INDEX($AH$2:$AH$1001,MATCH(ROWS($AF$2:AF881),$AF$2:$AF$1001,0),0), INDEX($AM$1004:$BM$1004,1,MATCH(COLUMNS($AM$1006:BI1006),$AM$1006:$BM$1006,0)))),"Fix")))</f>
        <v xml:space="preserve"> </v>
      </c>
      <c r="Y881" s="4" t="str">
        <f ca="1">IF(OR(INDEX($AG$2:$AG$1001,MATCH(ROWS($AF$2:AF881),$AF$2:$AF$1001,0),1)&gt;=100000,INDEX($AM$1005:$BM$1005,1,MATCH(COLUMNS($AM$1006:BJ1006),$AM$1006:$BM$1006,0))&gt;=100000), " ",IF(INDEX($AM$2:$BM$1001,MATCH(ROWS($AF$2:AF881),$AF$2:$AF$1001,0),MATCH(COLUMNS($AM$1006:BJ1006),$AM$1006:$BM$1006,0)), HYPERLINK("#",""), HYPERLINK(CONCATENATE("#metadata!", ADDRESS(INDEX($AH$2:$AH$1001,MATCH(ROWS($AF$2:AF881),$AF$2:$AF$1001,0),0), INDEX($AM$1004:$BM$1004,1,MATCH(COLUMNS($AM$1006:BJ1006),$AM$1006:$BM$1006,0)))),"Fix")))</f>
        <v xml:space="preserve"> </v>
      </c>
      <c r="Z881" s="4" t="str">
        <f ca="1">IF(OR(INDEX($AG$2:$AG$1001,MATCH(ROWS($AF$2:AF881),$AF$2:$AF$1001,0),1)&gt;=100000,INDEX($AM$1005:$BM$1005,1,MATCH(COLUMNS($AM$1006:BK1006),$AM$1006:$BM$1006,0))&gt;=100000), " ",IF(INDEX($AM$2:$BM$1001,MATCH(ROWS($AF$2:AF881),$AF$2:$AF$1001,0),MATCH(COLUMNS($AM$1006:BK1006),$AM$1006:$BM$1006,0)), HYPERLINK("#",""), HYPERLINK(CONCATENATE("#metadata!", ADDRESS(INDEX($AH$2:$AH$1001,MATCH(ROWS($AF$2:AF881),$AF$2:$AF$1001,0),0), INDEX($AM$1004:$BM$1004,1,MATCH(COLUMNS($AM$1006:BK1006),$AM$1006:$BM$1006,0)))),"Fix")))</f>
        <v xml:space="preserve"> </v>
      </c>
      <c r="AA881" s="4" t="str">
        <f ca="1">IF(OR(INDEX($AG$2:$AG$1001,MATCH(ROWS($AF$2:AF881),$AF$2:$AF$1001,0),1)&gt;=100000,INDEX($AM$1005:$BM$1005,1,MATCH(COLUMNS($AM$1006:BL1006),$AM$1006:$BM$1006,0))&gt;=100000), " ",IF(INDEX($AM$2:$BM$1001,MATCH(ROWS($AF$2:AF881),$AF$2:$AF$1001,0),MATCH(COLUMNS($AM$1006:BL1006),$AM$1006:$BM$1006,0)), HYPERLINK("#",""), HYPERLINK(CONCATENATE("#metadata!", ADDRESS(INDEX($AH$2:$AH$1001,MATCH(ROWS($AF$2:AF881),$AF$2:$AF$1001,0),0), INDEX($AM$1004:$BM$1004,1,MATCH(COLUMNS($AM$1006:BL1006),$AM$1006:$BM$1006,0)))),"Fix")))</f>
        <v xml:space="preserve"> </v>
      </c>
      <c r="AB881" s="4" t="str">
        <f ca="1">IF(OR(INDEX($AG$2:$AG$1001,MATCH(ROWS($AF$2:AF881),$AF$2:$AF$1001,0),1)&gt;=100000,INDEX($AM$1005:$BM$1005,1,MATCH(COLUMNS($AM$1006:BM1006),$AM$1006:$BM$1006,0))&gt;=100000), " ",IF(INDEX($AM$2:$BM$1001,MATCH(ROWS($AF$2:AF881),$AF$2:$AF$1001,0),MATCH(COLUMNS($AM$1006:BM1006),$AM$1006:$BM$1006,0)), HYPERLINK("#",""), HYPERLINK(CONCATENATE("#metadata!", ADDRESS(INDEX($AH$2:$AH$1001,MATCH(ROWS($AF$2:AF881),$AF$2:$AF$1001,0),0), INDEX($AM$1004:$BM$1004,1,MATCH(COLUMNS($AM$1006:BM1006),$AM$1006:$BM$1006,0)))),"Fix")))</f>
        <v xml:space="preserve"> </v>
      </c>
      <c r="AF881">
        <v>880</v>
      </c>
      <c r="AG881">
        <v>100881</v>
      </c>
      <c r="AH881">
        <v>881</v>
      </c>
      <c r="AI881" t="b">
        <f t="shared" si="13"/>
        <v>1</v>
      </c>
      <c r="AJ881" t="b">
        <f>COUNTBLANK(metadata!B881:AB881)=COLUMNS(metadata!B881:AB881)</f>
        <v>1</v>
      </c>
      <c r="AK881" t="str">
        <v/>
      </c>
      <c r="AM881" t="b">
        <f ca="1">AND(IF(metadata!B881="",FALSE,TRUE),COUNTIF(metadata!B:B, metadata!B881) = 1,NOT(ISERROR(SUMPRODUCT(SEARCH(MID(metadata!B881,ROW(INDIRECT("1:"&amp;LEN(metadata!B881))), 1),"0123456789abcdefghijklmnopqrstuvwxyzABCDEFGHIJKLMNOPQRSTUVWXYZ.")))))</f>
        <v>0</v>
      </c>
      <c r="AN881" t="b">
        <f ca="1">OR(AND(IF(metadata!C881="",FALSE,TRUE),OR(EXACT(metadata!C881,"missing: not collected"),EXACT(metadata!C881,"missing: not provided"),EXACT(metadata!C881,"missing: restricted access"))),AND(IF(metadata!C881="",FALSE,TRUE),AND(AND(IFERROR(INT(LEFT(metadata!C881,4))&gt;1900,FALSE),IFERROR(INT(LEFT(metadata!C881,4))&lt;=YEAR(NOW()),FALSE)), OR(MID(metadata!C881,5,1)="", AND(AND(MID(metadata!C881,5,1)="-",IFERROR(INT(MID(metadata!C881,6,1))&gt;=0,FALSE),IFERROR(INT(MID(metadata!C881,6,1))&lt;=1,FALSE),NOT(MID(metadata!C881,7,1)=""),IFERROR(INT(MID(metadata!C881,6,2))&gt;=1,FALSE),IFERROR(INT(MID(metadata!C881,6,2))&lt;=12,FALSE)), OR(MID(metadata!C881,8,1)="", AND(AND(MID(metadata!C881,8,1)="-",IFERROR(INT(MID(metadata!C881,9,1))&gt;=0,FALSE),IFERROR(INT(MID(metadata!C881,9,1))&lt;=3,FALSE),NOT(MID(metadata!C881,10,1)=""),IFERROR(INT(MID(metadata!C881,9,2))&gt;=1,FALSE),IFERROR(INT(MID(metadata!C881,9,2))&lt;=31,FALSE)), OR(MID(metadata!C881,11,1)="", AND(AND(MID(metadata!C881,11,1)=" ",IFERROR(INT(MID(metadata!C881,12,1))&gt;=0,FALSE),IFERROR(INT(MID(metadata!C881,12,1))&lt;=2,FALSE),NOT(MID(metadata!C881,13,1)=""),IFERROR(INT(MID(metadata!C881,12,2))&gt;=0,FALSE),IFERROR(INT(MID(metadata!C881,12,2))&lt;=23,FALSE)), OR(MID(metadata!C881,14,1)="", AND(AND(MID(metadata!C881,14,1)=":",IFERROR(INT(MID(metadata!C881,15,1))&gt;=0,FALSE),IFERROR(INT(MID(metadata!C881,15,1))&lt;=5,FALSE),NOT(MID(metadata!C881,16,1)=""),IFERROR(INT(MID(metadata!C881,15,2))&gt;=0,FALSE),IFERROR(INT(MID(metadata!C881,15,2))&lt;=59,FALSE)), OR(MID(metadata!C881,17,1)="", AND(AND(MID(metadata!C881,17,1)=":",IFERROR(INT(MID(metadata!C881,18,1))&gt;=0,FALSE),IFERROR(INT(MID(metadata!C881,18,1))&lt;=5,FALSE),NOT(MID(metadata!C881,19,1)=""),IFERROR(INT(MID(metadata!C881,18,2))&gt;=0,FALSE),IFERROR(INT(MID(metadata!C881,18,2))&lt;=59,FALSE)), LEN(metadata!C881)&lt;=19)))))))))))))</f>
        <v>0</v>
      </c>
      <c r="AO881" t="b">
        <f>AND(IF(metadata!D881="",FALSE,TRUE),EXACT(metadata!D881,"Not applicable"))</f>
        <v>0</v>
      </c>
      <c r="AP881" t="b">
        <f>IF(metadata!E881="",FALSE,TRUE)</f>
        <v>0</v>
      </c>
      <c r="AQ881" t="b">
        <f>OR(AND(IF(metadata!F881="",FALSE,TRUE),OR(EXACT(metadata!F881,"missing: not collected"),EXACT(metadata!F881,"missing: not provided"))),AND(IF(metadata!F881="",FALSE,TRUE),OR(EXACT(metadata!F881,"TRUE"),EXACT(metadata!F881,"FALSE"))))</f>
        <v>0</v>
      </c>
      <c r="AR881" t="b">
        <f>OR(AND(IF(metadata!G881="",FALSE,TRUE),OR(EXACT(metadata!G881,"missing: not collected"),EXACT(metadata!G881,"missing: not provided"),EXACT(metadata!G881,"missing: restricted access"))),AND(IF(metadata!G881="",FALSE,ISNUMBER(VALUE(metadata!G881))),metadata!G881&gt;=-413))</f>
        <v>0</v>
      </c>
      <c r="AS881" t="b">
        <f>AND(IF(metadata!H881="",FALSE,TRUE),EXACT(metadata!H881,"meters"))</f>
        <v>0</v>
      </c>
      <c r="AT881" t="b">
        <f>AND(IF(metadata!I881="",FALSE,TRUE),OR(EXACT(metadata!I881,"Host-associated"),EXACT(metadata!I881,"Free-living")))</f>
        <v>0</v>
      </c>
      <c r="AU881" t="b">
        <f>AND(IF(metadata!J881="",FALSE,TRUE),OR(EXACT(metadata!J881,"Animal"),EXACT(metadata!J881,"Fungus"),EXACT(metadata!J881,"Plant"),EXACT(metadata!J881,"Saline"),EXACT(metadata!J881,"Non-saline")))</f>
        <v>0</v>
      </c>
      <c r="AV881" t="b">
        <f>AND(IF(metadata!K881="",FALSE,TRUE),OR(EXACT(metadata!K881,"Plant secretion"),EXACT(metadata!K881,"Plant rhizosphere"),EXACT(metadata!K881,"Plant surface"),EXACT(metadata!K881,"Plant corpus"),EXACT(metadata!K881,"Fungus surface"),EXACT(metadata!K881,"Fungus corpus"),EXACT(metadata!K881,"Animal surface"),EXACT(metadata!K881,"Animal proximal gut"),EXACT(metadata!K881,"Animal corpus"),EXACT(metadata!K881,"Animal distal gut"),EXACT(metadata!K881,"Animal secretion"),EXACT(metadata!K881,"Sub-surface (non-saline)"),EXACT(metadata!K881,"Surface (non-saline)"),EXACT(metadata!K881,"Water (non-saline)"),EXACT(metadata!K881,"Soil (non-saline)"),EXACT(metadata!K881,"Aerosol (non-saline)"),EXACT(metadata!K881,"Sediment (non-saline)"),EXACT(metadata!K881,"Surface (saline)"),EXACT(metadata!K881,"Water (saline)"),EXACT(metadata!K881,"Hypersaline (saline)"),EXACT(metadata!K881,"Aerosol (saline)"),EXACT(metadata!K881,"Sediment (saline)")))</f>
        <v>0</v>
      </c>
      <c r="AW881" t="b">
        <f>IF(metadata!L881="",FALSE,TRUE)</f>
        <v>0</v>
      </c>
      <c r="AX881" t="b">
        <f>IF(metadata!M881="",FALSE,TRUE)</f>
        <v>0</v>
      </c>
      <c r="AY881" t="b">
        <f>IF(metadata!N881="",FALSE,TRUE)</f>
        <v>0</v>
      </c>
      <c r="AZ881" t="b">
        <f>OR(AND(IF(metadata!O881="",FALSE,TRUE),OR(EXACT(metadata!O881,"missing: not collected"),EXACT(metadata!O881,"missing: not provided"),EXACT(metadata!O881,"missing: restricted access"))),AND(IF(metadata!O881="",FALSE,TRUE),OR(EXACT(metadata!O881,"air"),EXACT(metadata!O881,"built environment"),EXACT(metadata!O881,"host-associated"),EXACT(metadata!O881,"human-associated"),EXACT(metadata!O881,"human-skin"),EXACT(metadata!O881,"human-oral"),EXACT(metadata!O881,"human-gut"),EXACT(metadata!O881,"human-vaginal"),EXACT(metadata!O881,"microbial mat/biofilm"),EXACT(metadata!O881,"misc environment"),EXACT(metadata!O881,"plant-associated"),EXACT(metadata!O881,"sediment"),EXACT(metadata!O881,"soil"),EXACT(metadata!O881,"wastewater/sludge"),EXACT(metadata!O881,"water"))))</f>
        <v>0</v>
      </c>
      <c r="BA881" t="b">
        <f>IF(metadata!P881="",FALSE,TRUE)</f>
        <v>0</v>
      </c>
      <c r="BB881" t="b">
        <f>IF(metadata!Q881="",FALSE,TRUE)</f>
        <v>0</v>
      </c>
      <c r="BC881" t="b">
        <f>OR(AND(IF(metadata!R881="",FALSE,TRUE),OR(EXACT(metadata!R881,"missing: not collected"),EXACT(metadata!R881,"missing: not provided"),EXACT(metadata!R881,"missing: restricted access"))),AND(IF(metadata!R881="",FALSE,ISNUMBER(VALUE(metadata!R881))),metadata!R881&gt;=-90,metadata!R881&lt;=90))</f>
        <v>0</v>
      </c>
      <c r="BD881" t="b">
        <f>AND(IF(metadata!S881="",FALSE,TRUE),EXACT(metadata!S881,"Decimal degrees"))</f>
        <v>0</v>
      </c>
      <c r="BE881" t="b">
        <f>OR(AND(IF(metadata!T881="",FALSE,TRUE),OR(EXACT(metadata!T881,"missing: not collected"),EXACT(metadata!T881,"missing: not provided"),EXACT(metadata!T881,"missing: restricted access"))),AND(IF(metadata!T881="",FALSE,ISNUMBER(VALUE(metadata!T881))),metadata!T881&gt;=-180,metadata!T881&lt;=180))</f>
        <v>0</v>
      </c>
      <c r="BF881" t="b">
        <f>AND(IF(metadata!U881="",FALSE,TRUE),EXACT(metadata!U881,"Decimal degrees"))</f>
        <v>0</v>
      </c>
      <c r="BG881" t="b">
        <f>IF(metadata!V881="",FALSE,TRUE)</f>
        <v>0</v>
      </c>
      <c r="BH881" t="b">
        <f>OR(AND(IF(metadata!W881="",FALSE,TRUE),OR(EXACT(metadata!W881,"missing: not collected"),EXACT(metadata!W881,"missing: not provided"),EXACT(metadata!W881,"missing: restricted access"))),AND(IF(metadata!W881="",FALSE,TRUE),OR(EXACT(metadata!W881,"TRUE"),EXACT(metadata!W881,"FALSE"))))</f>
        <v>0</v>
      </c>
      <c r="BI881" t="b">
        <f>AND(IF(metadata!X881="",FALSE,TRUE),EXACT(metadata!X881,"other"))</f>
        <v>0</v>
      </c>
      <c r="BJ881" t="b">
        <f>IF(metadata!Y881="",FALSE,TRUE)</f>
        <v>0</v>
      </c>
      <c r="BK881" t="b">
        <f>OR(AND(IF(metadata!Z881="",FALSE,TRUE),OR(EXACT(metadata!Z881,"missing: not collected"),EXACT(metadata!Z881,"missing: not provided"))),AND(IF(metadata!Z881="",FALSE,IF(ISERROR(INT(metadata!Z881)),FALSE,INT(metadata!Z881)=metadata!Z881)),metadata!Z881&gt;0))</f>
        <v>0</v>
      </c>
      <c r="BL881" t="b">
        <f>AND(IF(metadata!AA881="",FALSE,TRUE),EXACT(metadata!AA881,"Not applicable"))</f>
        <v>0</v>
      </c>
      <c r="BM881" t="b">
        <f>IF(metadata!AB881="",FALSE,TRUE)</f>
        <v>0</v>
      </c>
    </row>
    <row r="882" spans="1:65" x14ac:dyDescent="0.2">
      <c r="A882" s="5" t="str">
        <f ca="1">IF(B882=" "," ",HYPERLINK(CONCATENATE("#metadata!",ADDRESS(INDEX($AH$2:$AH$1001,MATCH(ROWS($AF$2:AF882),$AF$2:$AF$1001,0),0),1)),INDEX($AK$2:$AK$1001,MATCH(ROWS($AF$2:AF882),$AF$2:$AF$1001,0),0)))</f>
        <v xml:space="preserve"> </v>
      </c>
      <c r="B882" s="4" t="str">
        <f ca="1">IF(OR(INDEX($AG$2:$AG$1001,MATCH(ROWS($AF$2:AF882),$AF$2:$AF$1001,0),1)&gt;=100000,INDEX($AM$1005:$BM$1005,1,MATCH(COLUMNS($AM$1006:AM1006),$AM$1006:$BM$1006,0))&gt;=100000), " ",IF(INDEX($AM$2:$BM$1001,MATCH(ROWS($AF$2:AF882),$AF$2:$AF$1001,0),MATCH(COLUMNS($AM$1006:AM1006),$AM$1006:$BM$1006,0)), HYPERLINK("#",""), HYPERLINK(CONCATENATE("#metadata!", ADDRESS(INDEX($AH$2:$AH$1001,MATCH(ROWS($AF$2:AF882),$AF$2:$AF$1001,0),0), INDEX($AM$1004:$BM$1004,1,MATCH(COLUMNS($AM$1006:AM1006),$AM$1006:$BM$1006,0)))),"Fix")))</f>
        <v xml:space="preserve"> </v>
      </c>
      <c r="C882" s="4" t="str">
        <f ca="1">IF(OR(INDEX($AG$2:$AG$1001,MATCH(ROWS($AF$2:AF882),$AF$2:$AF$1001,0),1)&gt;=100000,INDEX($AM$1005:$BM$1005,1,MATCH(COLUMNS($AM$1006:AN1006),$AM$1006:$BM$1006,0))&gt;=100000), " ",IF(INDEX($AM$2:$BM$1001,MATCH(ROWS($AF$2:AF882),$AF$2:$AF$1001,0),MATCH(COLUMNS($AM$1006:AN1006),$AM$1006:$BM$1006,0)), HYPERLINK("#",""), HYPERLINK(CONCATENATE("#metadata!", ADDRESS(INDEX($AH$2:$AH$1001,MATCH(ROWS($AF$2:AF882),$AF$2:$AF$1001,0),0), INDEX($AM$1004:$BM$1004,1,MATCH(COLUMNS($AM$1006:AN1006),$AM$1006:$BM$1006,0)))),"Fix")))</f>
        <v xml:space="preserve"> </v>
      </c>
      <c r="D882" s="4" t="str">
        <f ca="1">IF(OR(INDEX($AG$2:$AG$1001,MATCH(ROWS($AF$2:AF882),$AF$2:$AF$1001,0),1)&gt;=100000,INDEX($AM$1005:$BM$1005,1,MATCH(COLUMNS($AM$1006:AO1006),$AM$1006:$BM$1006,0))&gt;=100000), " ",IF(INDEX($AM$2:$BM$1001,MATCH(ROWS($AF$2:AF882),$AF$2:$AF$1001,0),MATCH(COLUMNS($AM$1006:AO1006),$AM$1006:$BM$1006,0)), HYPERLINK("#",""), HYPERLINK(CONCATENATE("#metadata!", ADDRESS(INDEX($AH$2:$AH$1001,MATCH(ROWS($AF$2:AF882),$AF$2:$AF$1001,0),0), INDEX($AM$1004:$BM$1004,1,MATCH(COLUMNS($AM$1006:AO1006),$AM$1006:$BM$1006,0)))),"Fix")))</f>
        <v xml:space="preserve"> </v>
      </c>
      <c r="E882" s="4" t="str">
        <f ca="1">IF(OR(INDEX($AG$2:$AG$1001,MATCH(ROWS($AF$2:AF882),$AF$2:$AF$1001,0),1)&gt;=100000,INDEX($AM$1005:$BM$1005,1,MATCH(COLUMNS($AM$1006:AP1006),$AM$1006:$BM$1006,0))&gt;=100000), " ",IF(INDEX($AM$2:$BM$1001,MATCH(ROWS($AF$2:AF882),$AF$2:$AF$1001,0),MATCH(COLUMNS($AM$1006:AP1006),$AM$1006:$BM$1006,0)), HYPERLINK("#",""), HYPERLINK(CONCATENATE("#metadata!", ADDRESS(INDEX($AH$2:$AH$1001,MATCH(ROWS($AF$2:AF882),$AF$2:$AF$1001,0),0), INDEX($AM$1004:$BM$1004,1,MATCH(COLUMNS($AM$1006:AP1006),$AM$1006:$BM$1006,0)))),"Fix")))</f>
        <v xml:space="preserve"> </v>
      </c>
      <c r="F882" s="4" t="str">
        <f ca="1">IF(OR(INDEX($AG$2:$AG$1001,MATCH(ROWS($AF$2:AF882),$AF$2:$AF$1001,0),1)&gt;=100000,INDEX($AM$1005:$BM$1005,1,MATCH(COLUMNS($AM$1006:AQ1006),$AM$1006:$BM$1006,0))&gt;=100000), " ",IF(INDEX($AM$2:$BM$1001,MATCH(ROWS($AF$2:AF882),$AF$2:$AF$1001,0),MATCH(COLUMNS($AM$1006:AQ1006),$AM$1006:$BM$1006,0)), HYPERLINK("#",""), HYPERLINK(CONCATENATE("#metadata!", ADDRESS(INDEX($AH$2:$AH$1001,MATCH(ROWS($AF$2:AF882),$AF$2:$AF$1001,0),0), INDEX($AM$1004:$BM$1004,1,MATCH(COLUMNS($AM$1006:AQ1006),$AM$1006:$BM$1006,0)))),"Fix")))</f>
        <v xml:space="preserve"> </v>
      </c>
      <c r="G882" s="4" t="str">
        <f ca="1">IF(OR(INDEX($AG$2:$AG$1001,MATCH(ROWS($AF$2:AF882),$AF$2:$AF$1001,0),1)&gt;=100000,INDEX($AM$1005:$BM$1005,1,MATCH(COLUMNS($AM$1006:AR1006),$AM$1006:$BM$1006,0))&gt;=100000), " ",IF(INDEX($AM$2:$BM$1001,MATCH(ROWS($AF$2:AF882),$AF$2:$AF$1001,0),MATCH(COLUMNS($AM$1006:AR1006),$AM$1006:$BM$1006,0)), HYPERLINK("#",""), HYPERLINK(CONCATENATE("#metadata!", ADDRESS(INDEX($AH$2:$AH$1001,MATCH(ROWS($AF$2:AF882),$AF$2:$AF$1001,0),0), INDEX($AM$1004:$BM$1004,1,MATCH(COLUMNS($AM$1006:AR1006),$AM$1006:$BM$1006,0)))),"Fix")))</f>
        <v xml:space="preserve"> </v>
      </c>
      <c r="H882" s="4" t="str">
        <f ca="1">IF(OR(INDEX($AG$2:$AG$1001,MATCH(ROWS($AF$2:AF882),$AF$2:$AF$1001,0),1)&gt;=100000,INDEX($AM$1005:$BM$1005,1,MATCH(COLUMNS($AM$1006:AS1006),$AM$1006:$BM$1006,0))&gt;=100000), " ",IF(INDEX($AM$2:$BM$1001,MATCH(ROWS($AF$2:AF882),$AF$2:$AF$1001,0),MATCH(COLUMNS($AM$1006:AS1006),$AM$1006:$BM$1006,0)), HYPERLINK("#",""), HYPERLINK(CONCATENATE("#metadata!", ADDRESS(INDEX($AH$2:$AH$1001,MATCH(ROWS($AF$2:AF882),$AF$2:$AF$1001,0),0), INDEX($AM$1004:$BM$1004,1,MATCH(COLUMNS($AM$1006:AS1006),$AM$1006:$BM$1006,0)))),"Fix")))</f>
        <v xml:space="preserve"> </v>
      </c>
      <c r="I882" s="4" t="str">
        <f ca="1">IF(OR(INDEX($AG$2:$AG$1001,MATCH(ROWS($AF$2:AF882),$AF$2:$AF$1001,0),1)&gt;=100000,INDEX($AM$1005:$BM$1005,1,MATCH(COLUMNS($AM$1006:AT1006),$AM$1006:$BM$1006,0))&gt;=100000), " ",IF(INDEX($AM$2:$BM$1001,MATCH(ROWS($AF$2:AF882),$AF$2:$AF$1001,0),MATCH(COLUMNS($AM$1006:AT1006),$AM$1006:$BM$1006,0)), HYPERLINK("#",""), HYPERLINK(CONCATENATE("#metadata!", ADDRESS(INDEX($AH$2:$AH$1001,MATCH(ROWS($AF$2:AF882),$AF$2:$AF$1001,0),0), INDEX($AM$1004:$BM$1004,1,MATCH(COLUMNS($AM$1006:AT1006),$AM$1006:$BM$1006,0)))),"Fix")))</f>
        <v xml:space="preserve"> </v>
      </c>
      <c r="J882" s="4" t="str">
        <f ca="1">IF(OR(INDEX($AG$2:$AG$1001,MATCH(ROWS($AF$2:AF882),$AF$2:$AF$1001,0),1)&gt;=100000,INDEX($AM$1005:$BM$1005,1,MATCH(COLUMNS($AM$1006:AU1006),$AM$1006:$BM$1006,0))&gt;=100000), " ",IF(INDEX($AM$2:$BM$1001,MATCH(ROWS($AF$2:AF882),$AF$2:$AF$1001,0),MATCH(COLUMNS($AM$1006:AU1006),$AM$1006:$BM$1006,0)), HYPERLINK("#",""), HYPERLINK(CONCATENATE("#metadata!", ADDRESS(INDEX($AH$2:$AH$1001,MATCH(ROWS($AF$2:AF882),$AF$2:$AF$1001,0),0), INDEX($AM$1004:$BM$1004,1,MATCH(COLUMNS($AM$1006:AU1006),$AM$1006:$BM$1006,0)))),"Fix")))</f>
        <v xml:space="preserve"> </v>
      </c>
      <c r="K882" s="4" t="str">
        <f ca="1">IF(OR(INDEX($AG$2:$AG$1001,MATCH(ROWS($AF$2:AF882),$AF$2:$AF$1001,0),1)&gt;=100000,INDEX($AM$1005:$BM$1005,1,MATCH(COLUMNS($AM$1006:AV1006),$AM$1006:$BM$1006,0))&gt;=100000), " ",IF(INDEX($AM$2:$BM$1001,MATCH(ROWS($AF$2:AF882),$AF$2:$AF$1001,0),MATCH(COLUMNS($AM$1006:AV1006),$AM$1006:$BM$1006,0)), HYPERLINK("#",""), HYPERLINK(CONCATENATE("#metadata!", ADDRESS(INDEX($AH$2:$AH$1001,MATCH(ROWS($AF$2:AF882),$AF$2:$AF$1001,0),0), INDEX($AM$1004:$BM$1004,1,MATCH(COLUMNS($AM$1006:AV1006),$AM$1006:$BM$1006,0)))),"Fix")))</f>
        <v xml:space="preserve"> </v>
      </c>
      <c r="L882" s="4" t="str">
        <f ca="1">IF(OR(INDEX($AG$2:$AG$1001,MATCH(ROWS($AF$2:AF882),$AF$2:$AF$1001,0),1)&gt;=100000,INDEX($AM$1005:$BM$1005,1,MATCH(COLUMNS($AM$1006:AW1006),$AM$1006:$BM$1006,0))&gt;=100000), " ",IF(INDEX($AM$2:$BM$1001,MATCH(ROWS($AF$2:AF882),$AF$2:$AF$1001,0),MATCH(COLUMNS($AM$1006:AW1006),$AM$1006:$BM$1006,0)), HYPERLINK("#",""), HYPERLINK(CONCATENATE("#metadata!", ADDRESS(INDEX($AH$2:$AH$1001,MATCH(ROWS($AF$2:AF882),$AF$2:$AF$1001,0),0), INDEX($AM$1004:$BM$1004,1,MATCH(COLUMNS($AM$1006:AW1006),$AM$1006:$BM$1006,0)))),"Fix")))</f>
        <v xml:space="preserve"> </v>
      </c>
      <c r="M882" s="4" t="str">
        <f ca="1">IF(OR(INDEX($AG$2:$AG$1001,MATCH(ROWS($AF$2:AF882),$AF$2:$AF$1001,0),1)&gt;=100000,INDEX($AM$1005:$BM$1005,1,MATCH(COLUMNS($AM$1006:AX1006),$AM$1006:$BM$1006,0))&gt;=100000), " ",IF(INDEX($AM$2:$BM$1001,MATCH(ROWS($AF$2:AF882),$AF$2:$AF$1001,0),MATCH(COLUMNS($AM$1006:AX1006),$AM$1006:$BM$1006,0)), HYPERLINK("#",""), HYPERLINK(CONCATENATE("#metadata!", ADDRESS(INDEX($AH$2:$AH$1001,MATCH(ROWS($AF$2:AF882),$AF$2:$AF$1001,0),0), INDEX($AM$1004:$BM$1004,1,MATCH(COLUMNS($AM$1006:AX1006),$AM$1006:$BM$1006,0)))),"Fix")))</f>
        <v xml:space="preserve"> </v>
      </c>
      <c r="N882" s="4" t="str">
        <f ca="1">IF(OR(INDEX($AG$2:$AG$1001,MATCH(ROWS($AF$2:AF882),$AF$2:$AF$1001,0),1)&gt;=100000,INDEX($AM$1005:$BM$1005,1,MATCH(COLUMNS($AM$1006:AY1006),$AM$1006:$BM$1006,0))&gt;=100000), " ",IF(INDEX($AM$2:$BM$1001,MATCH(ROWS($AF$2:AF882),$AF$2:$AF$1001,0),MATCH(COLUMNS($AM$1006:AY1006),$AM$1006:$BM$1006,0)), HYPERLINK("#",""), HYPERLINK(CONCATENATE("#metadata!", ADDRESS(INDEX($AH$2:$AH$1001,MATCH(ROWS($AF$2:AF882),$AF$2:$AF$1001,0),0), INDEX($AM$1004:$BM$1004,1,MATCH(COLUMNS($AM$1006:AY1006),$AM$1006:$BM$1006,0)))),"Fix")))</f>
        <v xml:space="preserve"> </v>
      </c>
      <c r="O882" s="4" t="str">
        <f ca="1">IF(OR(INDEX($AG$2:$AG$1001,MATCH(ROWS($AF$2:AF882),$AF$2:$AF$1001,0),1)&gt;=100000,INDEX($AM$1005:$BM$1005,1,MATCH(COLUMNS($AM$1006:AZ1006),$AM$1006:$BM$1006,0))&gt;=100000), " ",IF(INDEX($AM$2:$BM$1001,MATCH(ROWS($AF$2:AF882),$AF$2:$AF$1001,0),MATCH(COLUMNS($AM$1006:AZ1006),$AM$1006:$BM$1006,0)), HYPERLINK("#",""), HYPERLINK(CONCATENATE("#metadata!", ADDRESS(INDEX($AH$2:$AH$1001,MATCH(ROWS($AF$2:AF882),$AF$2:$AF$1001,0),0), INDEX($AM$1004:$BM$1004,1,MATCH(COLUMNS($AM$1006:AZ1006),$AM$1006:$BM$1006,0)))),"Fix")))</f>
        <v xml:space="preserve"> </v>
      </c>
      <c r="P882" s="4" t="str">
        <f ca="1">IF(OR(INDEX($AG$2:$AG$1001,MATCH(ROWS($AF$2:AF882),$AF$2:$AF$1001,0),1)&gt;=100000,INDEX($AM$1005:$BM$1005,1,MATCH(COLUMNS($AM$1006:BA1006),$AM$1006:$BM$1006,0))&gt;=100000), " ",IF(INDEX($AM$2:$BM$1001,MATCH(ROWS($AF$2:AF882),$AF$2:$AF$1001,0),MATCH(COLUMNS($AM$1006:BA1006),$AM$1006:$BM$1006,0)), HYPERLINK("#",""), HYPERLINK(CONCATENATE("#metadata!", ADDRESS(INDEX($AH$2:$AH$1001,MATCH(ROWS($AF$2:AF882),$AF$2:$AF$1001,0),0), INDEX($AM$1004:$BM$1004,1,MATCH(COLUMNS($AM$1006:BA1006),$AM$1006:$BM$1006,0)))),"Fix")))</f>
        <v xml:space="preserve"> </v>
      </c>
      <c r="Q882" s="4" t="str">
        <f ca="1">IF(OR(INDEX($AG$2:$AG$1001,MATCH(ROWS($AF$2:AF882),$AF$2:$AF$1001,0),1)&gt;=100000,INDEX($AM$1005:$BM$1005,1,MATCH(COLUMNS($AM$1006:BB1006),$AM$1006:$BM$1006,0))&gt;=100000), " ",IF(INDEX($AM$2:$BM$1001,MATCH(ROWS($AF$2:AF882),$AF$2:$AF$1001,0),MATCH(COLUMNS($AM$1006:BB1006),$AM$1006:$BM$1006,0)), HYPERLINK("#",""), HYPERLINK(CONCATENATE("#metadata!", ADDRESS(INDEX($AH$2:$AH$1001,MATCH(ROWS($AF$2:AF882),$AF$2:$AF$1001,0),0), INDEX($AM$1004:$BM$1004,1,MATCH(COLUMNS($AM$1006:BB1006),$AM$1006:$BM$1006,0)))),"Fix")))</f>
        <v xml:space="preserve"> </v>
      </c>
      <c r="R882" s="4" t="str">
        <f ca="1">IF(OR(INDEX($AG$2:$AG$1001,MATCH(ROWS($AF$2:AF882),$AF$2:$AF$1001,0),1)&gt;=100000,INDEX($AM$1005:$BM$1005,1,MATCH(COLUMNS($AM$1006:BC1006),$AM$1006:$BM$1006,0))&gt;=100000), " ",IF(INDEX($AM$2:$BM$1001,MATCH(ROWS($AF$2:AF882),$AF$2:$AF$1001,0),MATCH(COLUMNS($AM$1006:BC1006),$AM$1006:$BM$1006,0)), HYPERLINK("#",""), HYPERLINK(CONCATENATE("#metadata!", ADDRESS(INDEX($AH$2:$AH$1001,MATCH(ROWS($AF$2:AF882),$AF$2:$AF$1001,0),0), INDEX($AM$1004:$BM$1004,1,MATCH(COLUMNS($AM$1006:BC1006),$AM$1006:$BM$1006,0)))),"Fix")))</f>
        <v xml:space="preserve"> </v>
      </c>
      <c r="S882" s="4" t="str">
        <f ca="1">IF(OR(INDEX($AG$2:$AG$1001,MATCH(ROWS($AF$2:AF882),$AF$2:$AF$1001,0),1)&gt;=100000,INDEX($AM$1005:$BM$1005,1,MATCH(COLUMNS($AM$1006:BD1006),$AM$1006:$BM$1006,0))&gt;=100000), " ",IF(INDEX($AM$2:$BM$1001,MATCH(ROWS($AF$2:AF882),$AF$2:$AF$1001,0),MATCH(COLUMNS($AM$1006:BD1006),$AM$1006:$BM$1006,0)), HYPERLINK("#",""), HYPERLINK(CONCATENATE("#metadata!", ADDRESS(INDEX($AH$2:$AH$1001,MATCH(ROWS($AF$2:AF882),$AF$2:$AF$1001,0),0), INDEX($AM$1004:$BM$1004,1,MATCH(COLUMNS($AM$1006:BD1006),$AM$1006:$BM$1006,0)))),"Fix")))</f>
        <v xml:space="preserve"> </v>
      </c>
      <c r="T882" s="4" t="str">
        <f ca="1">IF(OR(INDEX($AG$2:$AG$1001,MATCH(ROWS($AF$2:AF882),$AF$2:$AF$1001,0),1)&gt;=100000,INDEX($AM$1005:$BM$1005,1,MATCH(COLUMNS($AM$1006:BE1006),$AM$1006:$BM$1006,0))&gt;=100000), " ",IF(INDEX($AM$2:$BM$1001,MATCH(ROWS($AF$2:AF882),$AF$2:$AF$1001,0),MATCH(COLUMNS($AM$1006:BE1006),$AM$1006:$BM$1006,0)), HYPERLINK("#",""), HYPERLINK(CONCATENATE("#metadata!", ADDRESS(INDEX($AH$2:$AH$1001,MATCH(ROWS($AF$2:AF882),$AF$2:$AF$1001,0),0), INDEX($AM$1004:$BM$1004,1,MATCH(COLUMNS($AM$1006:BE1006),$AM$1006:$BM$1006,0)))),"Fix")))</f>
        <v xml:space="preserve"> </v>
      </c>
      <c r="U882" s="4" t="str">
        <f ca="1">IF(OR(INDEX($AG$2:$AG$1001,MATCH(ROWS($AF$2:AF882),$AF$2:$AF$1001,0),1)&gt;=100000,INDEX($AM$1005:$BM$1005,1,MATCH(COLUMNS($AM$1006:BF1006),$AM$1006:$BM$1006,0))&gt;=100000), " ",IF(INDEX($AM$2:$BM$1001,MATCH(ROWS($AF$2:AF882),$AF$2:$AF$1001,0),MATCH(COLUMNS($AM$1006:BF1006),$AM$1006:$BM$1006,0)), HYPERLINK("#",""), HYPERLINK(CONCATENATE("#metadata!", ADDRESS(INDEX($AH$2:$AH$1001,MATCH(ROWS($AF$2:AF882),$AF$2:$AF$1001,0),0), INDEX($AM$1004:$BM$1004,1,MATCH(COLUMNS($AM$1006:BF1006),$AM$1006:$BM$1006,0)))),"Fix")))</f>
        <v xml:space="preserve"> </v>
      </c>
      <c r="V882" s="4" t="str">
        <f ca="1">IF(OR(INDEX($AG$2:$AG$1001,MATCH(ROWS($AF$2:AF882),$AF$2:$AF$1001,0),1)&gt;=100000,INDEX($AM$1005:$BM$1005,1,MATCH(COLUMNS($AM$1006:BG1006),$AM$1006:$BM$1006,0))&gt;=100000), " ",IF(INDEX($AM$2:$BM$1001,MATCH(ROWS($AF$2:AF882),$AF$2:$AF$1001,0),MATCH(COLUMNS($AM$1006:BG1006),$AM$1006:$BM$1006,0)), HYPERLINK("#",""), HYPERLINK(CONCATENATE("#metadata!", ADDRESS(INDEX($AH$2:$AH$1001,MATCH(ROWS($AF$2:AF882),$AF$2:$AF$1001,0),0), INDEX($AM$1004:$BM$1004,1,MATCH(COLUMNS($AM$1006:BG1006),$AM$1006:$BM$1006,0)))),"Fix")))</f>
        <v xml:space="preserve"> </v>
      </c>
      <c r="W882" s="4" t="str">
        <f ca="1">IF(OR(INDEX($AG$2:$AG$1001,MATCH(ROWS($AF$2:AF882),$AF$2:$AF$1001,0),1)&gt;=100000,INDEX($AM$1005:$BM$1005,1,MATCH(COLUMNS($AM$1006:BH1006),$AM$1006:$BM$1006,0))&gt;=100000), " ",IF(INDEX($AM$2:$BM$1001,MATCH(ROWS($AF$2:AF882),$AF$2:$AF$1001,0),MATCH(COLUMNS($AM$1006:BH1006),$AM$1006:$BM$1006,0)), HYPERLINK("#",""), HYPERLINK(CONCATENATE("#metadata!", ADDRESS(INDEX($AH$2:$AH$1001,MATCH(ROWS($AF$2:AF882),$AF$2:$AF$1001,0),0), INDEX($AM$1004:$BM$1004,1,MATCH(COLUMNS($AM$1006:BH1006),$AM$1006:$BM$1006,0)))),"Fix")))</f>
        <v xml:space="preserve"> </v>
      </c>
      <c r="X882" s="4" t="str">
        <f ca="1">IF(OR(INDEX($AG$2:$AG$1001,MATCH(ROWS($AF$2:AF882),$AF$2:$AF$1001,0),1)&gt;=100000,INDEX($AM$1005:$BM$1005,1,MATCH(COLUMNS($AM$1006:BI1006),$AM$1006:$BM$1006,0))&gt;=100000), " ",IF(INDEX($AM$2:$BM$1001,MATCH(ROWS($AF$2:AF882),$AF$2:$AF$1001,0),MATCH(COLUMNS($AM$1006:BI1006),$AM$1006:$BM$1006,0)), HYPERLINK("#",""), HYPERLINK(CONCATENATE("#metadata!", ADDRESS(INDEX($AH$2:$AH$1001,MATCH(ROWS($AF$2:AF882),$AF$2:$AF$1001,0),0), INDEX($AM$1004:$BM$1004,1,MATCH(COLUMNS($AM$1006:BI1006),$AM$1006:$BM$1006,0)))),"Fix")))</f>
        <v xml:space="preserve"> </v>
      </c>
      <c r="Y882" s="4" t="str">
        <f ca="1">IF(OR(INDEX($AG$2:$AG$1001,MATCH(ROWS($AF$2:AF882),$AF$2:$AF$1001,0),1)&gt;=100000,INDEX($AM$1005:$BM$1005,1,MATCH(COLUMNS($AM$1006:BJ1006),$AM$1006:$BM$1006,0))&gt;=100000), " ",IF(INDEX($AM$2:$BM$1001,MATCH(ROWS($AF$2:AF882),$AF$2:$AF$1001,0),MATCH(COLUMNS($AM$1006:BJ1006),$AM$1006:$BM$1006,0)), HYPERLINK("#",""), HYPERLINK(CONCATENATE("#metadata!", ADDRESS(INDEX($AH$2:$AH$1001,MATCH(ROWS($AF$2:AF882),$AF$2:$AF$1001,0),0), INDEX($AM$1004:$BM$1004,1,MATCH(COLUMNS($AM$1006:BJ1006),$AM$1006:$BM$1006,0)))),"Fix")))</f>
        <v xml:space="preserve"> </v>
      </c>
      <c r="Z882" s="4" t="str">
        <f ca="1">IF(OR(INDEX($AG$2:$AG$1001,MATCH(ROWS($AF$2:AF882),$AF$2:$AF$1001,0),1)&gt;=100000,INDEX($AM$1005:$BM$1005,1,MATCH(COLUMNS($AM$1006:BK1006),$AM$1006:$BM$1006,0))&gt;=100000), " ",IF(INDEX($AM$2:$BM$1001,MATCH(ROWS($AF$2:AF882),$AF$2:$AF$1001,0),MATCH(COLUMNS($AM$1006:BK1006),$AM$1006:$BM$1006,0)), HYPERLINK("#",""), HYPERLINK(CONCATENATE("#metadata!", ADDRESS(INDEX($AH$2:$AH$1001,MATCH(ROWS($AF$2:AF882),$AF$2:$AF$1001,0),0), INDEX($AM$1004:$BM$1004,1,MATCH(COLUMNS($AM$1006:BK1006),$AM$1006:$BM$1006,0)))),"Fix")))</f>
        <v xml:space="preserve"> </v>
      </c>
      <c r="AA882" s="4" t="str">
        <f ca="1">IF(OR(INDEX($AG$2:$AG$1001,MATCH(ROWS($AF$2:AF882),$AF$2:$AF$1001,0),1)&gt;=100000,INDEX($AM$1005:$BM$1005,1,MATCH(COLUMNS($AM$1006:BL1006),$AM$1006:$BM$1006,0))&gt;=100000), " ",IF(INDEX($AM$2:$BM$1001,MATCH(ROWS($AF$2:AF882),$AF$2:$AF$1001,0),MATCH(COLUMNS($AM$1006:BL1006),$AM$1006:$BM$1006,0)), HYPERLINK("#",""), HYPERLINK(CONCATENATE("#metadata!", ADDRESS(INDEX($AH$2:$AH$1001,MATCH(ROWS($AF$2:AF882),$AF$2:$AF$1001,0),0), INDEX($AM$1004:$BM$1004,1,MATCH(COLUMNS($AM$1006:BL1006),$AM$1006:$BM$1006,0)))),"Fix")))</f>
        <v xml:space="preserve"> </v>
      </c>
      <c r="AB882" s="4" t="str">
        <f ca="1">IF(OR(INDEX($AG$2:$AG$1001,MATCH(ROWS($AF$2:AF882),$AF$2:$AF$1001,0),1)&gt;=100000,INDEX($AM$1005:$BM$1005,1,MATCH(COLUMNS($AM$1006:BM1006),$AM$1006:$BM$1006,0))&gt;=100000), " ",IF(INDEX($AM$2:$BM$1001,MATCH(ROWS($AF$2:AF882),$AF$2:$AF$1001,0),MATCH(COLUMNS($AM$1006:BM1006),$AM$1006:$BM$1006,0)), HYPERLINK("#",""), HYPERLINK(CONCATENATE("#metadata!", ADDRESS(INDEX($AH$2:$AH$1001,MATCH(ROWS($AF$2:AF882),$AF$2:$AF$1001,0),0), INDEX($AM$1004:$BM$1004,1,MATCH(COLUMNS($AM$1006:BM1006),$AM$1006:$BM$1006,0)))),"Fix")))</f>
        <v xml:space="preserve"> </v>
      </c>
      <c r="AF882">
        <v>881</v>
      </c>
      <c r="AG882">
        <v>100882</v>
      </c>
      <c r="AH882">
        <v>882</v>
      </c>
      <c r="AI882" t="b">
        <f t="shared" si="13"/>
        <v>1</v>
      </c>
      <c r="AJ882" t="b">
        <f>COUNTBLANK(metadata!B882:AB882)=COLUMNS(metadata!B882:AB882)</f>
        <v>1</v>
      </c>
      <c r="AK882" t="str">
        <v/>
      </c>
      <c r="AM882" t="b">
        <f ca="1">AND(IF(metadata!B882="",FALSE,TRUE),COUNTIF(metadata!B:B, metadata!B882) = 1,NOT(ISERROR(SUMPRODUCT(SEARCH(MID(metadata!B882,ROW(INDIRECT("1:"&amp;LEN(metadata!B882))), 1),"0123456789abcdefghijklmnopqrstuvwxyzABCDEFGHIJKLMNOPQRSTUVWXYZ.")))))</f>
        <v>0</v>
      </c>
      <c r="AN882" t="b">
        <f ca="1">OR(AND(IF(metadata!C882="",FALSE,TRUE),OR(EXACT(metadata!C882,"missing: not collected"),EXACT(metadata!C882,"missing: not provided"),EXACT(metadata!C882,"missing: restricted access"))),AND(IF(metadata!C882="",FALSE,TRUE),AND(AND(IFERROR(INT(LEFT(metadata!C882,4))&gt;1900,FALSE),IFERROR(INT(LEFT(metadata!C882,4))&lt;=YEAR(NOW()),FALSE)), OR(MID(metadata!C882,5,1)="", AND(AND(MID(metadata!C882,5,1)="-",IFERROR(INT(MID(metadata!C882,6,1))&gt;=0,FALSE),IFERROR(INT(MID(metadata!C882,6,1))&lt;=1,FALSE),NOT(MID(metadata!C882,7,1)=""),IFERROR(INT(MID(metadata!C882,6,2))&gt;=1,FALSE),IFERROR(INT(MID(metadata!C882,6,2))&lt;=12,FALSE)), OR(MID(metadata!C882,8,1)="", AND(AND(MID(metadata!C882,8,1)="-",IFERROR(INT(MID(metadata!C882,9,1))&gt;=0,FALSE),IFERROR(INT(MID(metadata!C882,9,1))&lt;=3,FALSE),NOT(MID(metadata!C882,10,1)=""),IFERROR(INT(MID(metadata!C882,9,2))&gt;=1,FALSE),IFERROR(INT(MID(metadata!C882,9,2))&lt;=31,FALSE)), OR(MID(metadata!C882,11,1)="", AND(AND(MID(metadata!C882,11,1)=" ",IFERROR(INT(MID(metadata!C882,12,1))&gt;=0,FALSE),IFERROR(INT(MID(metadata!C882,12,1))&lt;=2,FALSE),NOT(MID(metadata!C882,13,1)=""),IFERROR(INT(MID(metadata!C882,12,2))&gt;=0,FALSE),IFERROR(INT(MID(metadata!C882,12,2))&lt;=23,FALSE)), OR(MID(metadata!C882,14,1)="", AND(AND(MID(metadata!C882,14,1)=":",IFERROR(INT(MID(metadata!C882,15,1))&gt;=0,FALSE),IFERROR(INT(MID(metadata!C882,15,1))&lt;=5,FALSE),NOT(MID(metadata!C882,16,1)=""),IFERROR(INT(MID(metadata!C882,15,2))&gt;=0,FALSE),IFERROR(INT(MID(metadata!C882,15,2))&lt;=59,FALSE)), OR(MID(metadata!C882,17,1)="", AND(AND(MID(metadata!C882,17,1)=":",IFERROR(INT(MID(metadata!C882,18,1))&gt;=0,FALSE),IFERROR(INT(MID(metadata!C882,18,1))&lt;=5,FALSE),NOT(MID(metadata!C882,19,1)=""),IFERROR(INT(MID(metadata!C882,18,2))&gt;=0,FALSE),IFERROR(INT(MID(metadata!C882,18,2))&lt;=59,FALSE)), LEN(metadata!C882)&lt;=19)))))))))))))</f>
        <v>0</v>
      </c>
      <c r="AO882" t="b">
        <f>AND(IF(metadata!D882="",FALSE,TRUE),EXACT(metadata!D882,"Not applicable"))</f>
        <v>0</v>
      </c>
      <c r="AP882" t="b">
        <f>IF(metadata!E882="",FALSE,TRUE)</f>
        <v>0</v>
      </c>
      <c r="AQ882" t="b">
        <f>OR(AND(IF(metadata!F882="",FALSE,TRUE),OR(EXACT(metadata!F882,"missing: not collected"),EXACT(metadata!F882,"missing: not provided"))),AND(IF(metadata!F882="",FALSE,TRUE),OR(EXACT(metadata!F882,"TRUE"),EXACT(metadata!F882,"FALSE"))))</f>
        <v>0</v>
      </c>
      <c r="AR882" t="b">
        <f>OR(AND(IF(metadata!G882="",FALSE,TRUE),OR(EXACT(metadata!G882,"missing: not collected"),EXACT(metadata!G882,"missing: not provided"),EXACT(metadata!G882,"missing: restricted access"))),AND(IF(metadata!G882="",FALSE,ISNUMBER(VALUE(metadata!G882))),metadata!G882&gt;=-413))</f>
        <v>0</v>
      </c>
      <c r="AS882" t="b">
        <f>AND(IF(metadata!H882="",FALSE,TRUE),EXACT(metadata!H882,"meters"))</f>
        <v>0</v>
      </c>
      <c r="AT882" t="b">
        <f>AND(IF(metadata!I882="",FALSE,TRUE),OR(EXACT(metadata!I882,"Host-associated"),EXACT(metadata!I882,"Free-living")))</f>
        <v>0</v>
      </c>
      <c r="AU882" t="b">
        <f>AND(IF(metadata!J882="",FALSE,TRUE),OR(EXACT(metadata!J882,"Animal"),EXACT(metadata!J882,"Fungus"),EXACT(metadata!J882,"Plant"),EXACT(metadata!J882,"Saline"),EXACT(metadata!J882,"Non-saline")))</f>
        <v>0</v>
      </c>
      <c r="AV882" t="b">
        <f>AND(IF(metadata!K882="",FALSE,TRUE),OR(EXACT(metadata!K882,"Plant secretion"),EXACT(metadata!K882,"Plant rhizosphere"),EXACT(metadata!K882,"Plant surface"),EXACT(metadata!K882,"Plant corpus"),EXACT(metadata!K882,"Fungus surface"),EXACT(metadata!K882,"Fungus corpus"),EXACT(metadata!K882,"Animal surface"),EXACT(metadata!K882,"Animal proximal gut"),EXACT(metadata!K882,"Animal corpus"),EXACT(metadata!K882,"Animal distal gut"),EXACT(metadata!K882,"Animal secretion"),EXACT(metadata!K882,"Sub-surface (non-saline)"),EXACT(metadata!K882,"Surface (non-saline)"),EXACT(metadata!K882,"Water (non-saline)"),EXACT(metadata!K882,"Soil (non-saline)"),EXACT(metadata!K882,"Aerosol (non-saline)"),EXACT(metadata!K882,"Sediment (non-saline)"),EXACT(metadata!K882,"Surface (saline)"),EXACT(metadata!K882,"Water (saline)"),EXACT(metadata!K882,"Hypersaline (saline)"),EXACT(metadata!K882,"Aerosol (saline)"),EXACT(metadata!K882,"Sediment (saline)")))</f>
        <v>0</v>
      </c>
      <c r="AW882" t="b">
        <f>IF(metadata!L882="",FALSE,TRUE)</f>
        <v>0</v>
      </c>
      <c r="AX882" t="b">
        <f>IF(metadata!M882="",FALSE,TRUE)</f>
        <v>0</v>
      </c>
      <c r="AY882" t="b">
        <f>IF(metadata!N882="",FALSE,TRUE)</f>
        <v>0</v>
      </c>
      <c r="AZ882" t="b">
        <f>OR(AND(IF(metadata!O882="",FALSE,TRUE),OR(EXACT(metadata!O882,"missing: not collected"),EXACT(metadata!O882,"missing: not provided"),EXACT(metadata!O882,"missing: restricted access"))),AND(IF(metadata!O882="",FALSE,TRUE),OR(EXACT(metadata!O882,"air"),EXACT(metadata!O882,"built environment"),EXACT(metadata!O882,"host-associated"),EXACT(metadata!O882,"human-associated"),EXACT(metadata!O882,"human-skin"),EXACT(metadata!O882,"human-oral"),EXACT(metadata!O882,"human-gut"),EXACT(metadata!O882,"human-vaginal"),EXACT(metadata!O882,"microbial mat/biofilm"),EXACT(metadata!O882,"misc environment"),EXACT(metadata!O882,"plant-associated"),EXACT(metadata!O882,"sediment"),EXACT(metadata!O882,"soil"),EXACT(metadata!O882,"wastewater/sludge"),EXACT(metadata!O882,"water"))))</f>
        <v>0</v>
      </c>
      <c r="BA882" t="b">
        <f>IF(metadata!P882="",FALSE,TRUE)</f>
        <v>0</v>
      </c>
      <c r="BB882" t="b">
        <f>IF(metadata!Q882="",FALSE,TRUE)</f>
        <v>0</v>
      </c>
      <c r="BC882" t="b">
        <f>OR(AND(IF(metadata!R882="",FALSE,TRUE),OR(EXACT(metadata!R882,"missing: not collected"),EXACT(metadata!R882,"missing: not provided"),EXACT(metadata!R882,"missing: restricted access"))),AND(IF(metadata!R882="",FALSE,ISNUMBER(VALUE(metadata!R882))),metadata!R882&gt;=-90,metadata!R882&lt;=90))</f>
        <v>0</v>
      </c>
      <c r="BD882" t="b">
        <f>AND(IF(metadata!S882="",FALSE,TRUE),EXACT(metadata!S882,"Decimal degrees"))</f>
        <v>0</v>
      </c>
      <c r="BE882" t="b">
        <f>OR(AND(IF(metadata!T882="",FALSE,TRUE),OR(EXACT(metadata!T882,"missing: not collected"),EXACT(metadata!T882,"missing: not provided"),EXACT(metadata!T882,"missing: restricted access"))),AND(IF(metadata!T882="",FALSE,ISNUMBER(VALUE(metadata!T882))),metadata!T882&gt;=-180,metadata!T882&lt;=180))</f>
        <v>0</v>
      </c>
      <c r="BF882" t="b">
        <f>AND(IF(metadata!U882="",FALSE,TRUE),EXACT(metadata!U882,"Decimal degrees"))</f>
        <v>0</v>
      </c>
      <c r="BG882" t="b">
        <f>IF(metadata!V882="",FALSE,TRUE)</f>
        <v>0</v>
      </c>
      <c r="BH882" t="b">
        <f>OR(AND(IF(metadata!W882="",FALSE,TRUE),OR(EXACT(metadata!W882,"missing: not collected"),EXACT(metadata!W882,"missing: not provided"),EXACT(metadata!W882,"missing: restricted access"))),AND(IF(metadata!W882="",FALSE,TRUE),OR(EXACT(metadata!W882,"TRUE"),EXACT(metadata!W882,"FALSE"))))</f>
        <v>0</v>
      </c>
      <c r="BI882" t="b">
        <f>AND(IF(metadata!X882="",FALSE,TRUE),EXACT(metadata!X882,"other"))</f>
        <v>0</v>
      </c>
      <c r="BJ882" t="b">
        <f>IF(metadata!Y882="",FALSE,TRUE)</f>
        <v>0</v>
      </c>
      <c r="BK882" t="b">
        <f>OR(AND(IF(metadata!Z882="",FALSE,TRUE),OR(EXACT(metadata!Z882,"missing: not collected"),EXACT(metadata!Z882,"missing: not provided"))),AND(IF(metadata!Z882="",FALSE,IF(ISERROR(INT(metadata!Z882)),FALSE,INT(metadata!Z882)=metadata!Z882)),metadata!Z882&gt;0))</f>
        <v>0</v>
      </c>
      <c r="BL882" t="b">
        <f>AND(IF(metadata!AA882="",FALSE,TRUE),EXACT(metadata!AA882,"Not applicable"))</f>
        <v>0</v>
      </c>
      <c r="BM882" t="b">
        <f>IF(metadata!AB882="",FALSE,TRUE)</f>
        <v>0</v>
      </c>
    </row>
    <row r="883" spans="1:65" x14ac:dyDescent="0.2">
      <c r="A883" s="5" t="str">
        <f ca="1">IF(B883=" "," ",HYPERLINK(CONCATENATE("#metadata!",ADDRESS(INDEX($AH$2:$AH$1001,MATCH(ROWS($AF$2:AF883),$AF$2:$AF$1001,0),0),1)),INDEX($AK$2:$AK$1001,MATCH(ROWS($AF$2:AF883),$AF$2:$AF$1001,0),0)))</f>
        <v xml:space="preserve"> </v>
      </c>
      <c r="B883" s="4" t="str">
        <f ca="1">IF(OR(INDEX($AG$2:$AG$1001,MATCH(ROWS($AF$2:AF883),$AF$2:$AF$1001,0),1)&gt;=100000,INDEX($AM$1005:$BM$1005,1,MATCH(COLUMNS($AM$1006:AM1006),$AM$1006:$BM$1006,0))&gt;=100000), " ",IF(INDEX($AM$2:$BM$1001,MATCH(ROWS($AF$2:AF883),$AF$2:$AF$1001,0),MATCH(COLUMNS($AM$1006:AM1006),$AM$1006:$BM$1006,0)), HYPERLINK("#",""), HYPERLINK(CONCATENATE("#metadata!", ADDRESS(INDEX($AH$2:$AH$1001,MATCH(ROWS($AF$2:AF883),$AF$2:$AF$1001,0),0), INDEX($AM$1004:$BM$1004,1,MATCH(COLUMNS($AM$1006:AM1006),$AM$1006:$BM$1006,0)))),"Fix")))</f>
        <v xml:space="preserve"> </v>
      </c>
      <c r="C883" s="4" t="str">
        <f ca="1">IF(OR(INDEX($AG$2:$AG$1001,MATCH(ROWS($AF$2:AF883),$AF$2:$AF$1001,0),1)&gt;=100000,INDEX($AM$1005:$BM$1005,1,MATCH(COLUMNS($AM$1006:AN1006),$AM$1006:$BM$1006,0))&gt;=100000), " ",IF(INDEX($AM$2:$BM$1001,MATCH(ROWS($AF$2:AF883),$AF$2:$AF$1001,0),MATCH(COLUMNS($AM$1006:AN1006),$AM$1006:$BM$1006,0)), HYPERLINK("#",""), HYPERLINK(CONCATENATE("#metadata!", ADDRESS(INDEX($AH$2:$AH$1001,MATCH(ROWS($AF$2:AF883),$AF$2:$AF$1001,0),0), INDEX($AM$1004:$BM$1004,1,MATCH(COLUMNS($AM$1006:AN1006),$AM$1006:$BM$1006,0)))),"Fix")))</f>
        <v xml:space="preserve"> </v>
      </c>
      <c r="D883" s="4" t="str">
        <f ca="1">IF(OR(INDEX($AG$2:$AG$1001,MATCH(ROWS($AF$2:AF883),$AF$2:$AF$1001,0),1)&gt;=100000,INDEX($AM$1005:$BM$1005,1,MATCH(COLUMNS($AM$1006:AO1006),$AM$1006:$BM$1006,0))&gt;=100000), " ",IF(INDEX($AM$2:$BM$1001,MATCH(ROWS($AF$2:AF883),$AF$2:$AF$1001,0),MATCH(COLUMNS($AM$1006:AO1006),$AM$1006:$BM$1006,0)), HYPERLINK("#",""), HYPERLINK(CONCATENATE("#metadata!", ADDRESS(INDEX($AH$2:$AH$1001,MATCH(ROWS($AF$2:AF883),$AF$2:$AF$1001,0),0), INDEX($AM$1004:$BM$1004,1,MATCH(COLUMNS($AM$1006:AO1006),$AM$1006:$BM$1006,0)))),"Fix")))</f>
        <v xml:space="preserve"> </v>
      </c>
      <c r="E883" s="4" t="str">
        <f ca="1">IF(OR(INDEX($AG$2:$AG$1001,MATCH(ROWS($AF$2:AF883),$AF$2:$AF$1001,0),1)&gt;=100000,INDEX($AM$1005:$BM$1005,1,MATCH(COLUMNS($AM$1006:AP1006),$AM$1006:$BM$1006,0))&gt;=100000), " ",IF(INDEX($AM$2:$BM$1001,MATCH(ROWS($AF$2:AF883),$AF$2:$AF$1001,0),MATCH(COLUMNS($AM$1006:AP1006),$AM$1006:$BM$1006,0)), HYPERLINK("#",""), HYPERLINK(CONCATENATE("#metadata!", ADDRESS(INDEX($AH$2:$AH$1001,MATCH(ROWS($AF$2:AF883),$AF$2:$AF$1001,0),0), INDEX($AM$1004:$BM$1004,1,MATCH(COLUMNS($AM$1006:AP1006),$AM$1006:$BM$1006,0)))),"Fix")))</f>
        <v xml:space="preserve"> </v>
      </c>
      <c r="F883" s="4" t="str">
        <f ca="1">IF(OR(INDEX($AG$2:$AG$1001,MATCH(ROWS($AF$2:AF883),$AF$2:$AF$1001,0),1)&gt;=100000,INDEX($AM$1005:$BM$1005,1,MATCH(COLUMNS($AM$1006:AQ1006),$AM$1006:$BM$1006,0))&gt;=100000), " ",IF(INDEX($AM$2:$BM$1001,MATCH(ROWS($AF$2:AF883),$AF$2:$AF$1001,0),MATCH(COLUMNS($AM$1006:AQ1006),$AM$1006:$BM$1006,0)), HYPERLINK("#",""), HYPERLINK(CONCATENATE("#metadata!", ADDRESS(INDEX($AH$2:$AH$1001,MATCH(ROWS($AF$2:AF883),$AF$2:$AF$1001,0),0), INDEX($AM$1004:$BM$1004,1,MATCH(COLUMNS($AM$1006:AQ1006),$AM$1006:$BM$1006,0)))),"Fix")))</f>
        <v xml:space="preserve"> </v>
      </c>
      <c r="G883" s="4" t="str">
        <f ca="1">IF(OR(INDEX($AG$2:$AG$1001,MATCH(ROWS($AF$2:AF883),$AF$2:$AF$1001,0),1)&gt;=100000,INDEX($AM$1005:$BM$1005,1,MATCH(COLUMNS($AM$1006:AR1006),$AM$1006:$BM$1006,0))&gt;=100000), " ",IF(INDEX($AM$2:$BM$1001,MATCH(ROWS($AF$2:AF883),$AF$2:$AF$1001,0),MATCH(COLUMNS($AM$1006:AR1006),$AM$1006:$BM$1006,0)), HYPERLINK("#",""), HYPERLINK(CONCATENATE("#metadata!", ADDRESS(INDEX($AH$2:$AH$1001,MATCH(ROWS($AF$2:AF883),$AF$2:$AF$1001,0),0), INDEX($AM$1004:$BM$1004,1,MATCH(COLUMNS($AM$1006:AR1006),$AM$1006:$BM$1006,0)))),"Fix")))</f>
        <v xml:space="preserve"> </v>
      </c>
      <c r="H883" s="4" t="str">
        <f ca="1">IF(OR(INDEX($AG$2:$AG$1001,MATCH(ROWS($AF$2:AF883),$AF$2:$AF$1001,0),1)&gt;=100000,INDEX($AM$1005:$BM$1005,1,MATCH(COLUMNS($AM$1006:AS1006),$AM$1006:$BM$1006,0))&gt;=100000), " ",IF(INDEX($AM$2:$BM$1001,MATCH(ROWS($AF$2:AF883),$AF$2:$AF$1001,0),MATCH(COLUMNS($AM$1006:AS1006),$AM$1006:$BM$1006,0)), HYPERLINK("#",""), HYPERLINK(CONCATENATE("#metadata!", ADDRESS(INDEX($AH$2:$AH$1001,MATCH(ROWS($AF$2:AF883),$AF$2:$AF$1001,0),0), INDEX($AM$1004:$BM$1004,1,MATCH(COLUMNS($AM$1006:AS1006),$AM$1006:$BM$1006,0)))),"Fix")))</f>
        <v xml:space="preserve"> </v>
      </c>
      <c r="I883" s="4" t="str">
        <f ca="1">IF(OR(INDEX($AG$2:$AG$1001,MATCH(ROWS($AF$2:AF883),$AF$2:$AF$1001,0),1)&gt;=100000,INDEX($AM$1005:$BM$1005,1,MATCH(COLUMNS($AM$1006:AT1006),$AM$1006:$BM$1006,0))&gt;=100000), " ",IF(INDEX($AM$2:$BM$1001,MATCH(ROWS($AF$2:AF883),$AF$2:$AF$1001,0),MATCH(COLUMNS($AM$1006:AT1006),$AM$1006:$BM$1006,0)), HYPERLINK("#",""), HYPERLINK(CONCATENATE("#metadata!", ADDRESS(INDEX($AH$2:$AH$1001,MATCH(ROWS($AF$2:AF883),$AF$2:$AF$1001,0),0), INDEX($AM$1004:$BM$1004,1,MATCH(COLUMNS($AM$1006:AT1006),$AM$1006:$BM$1006,0)))),"Fix")))</f>
        <v xml:space="preserve"> </v>
      </c>
      <c r="J883" s="4" t="str">
        <f ca="1">IF(OR(INDEX($AG$2:$AG$1001,MATCH(ROWS($AF$2:AF883),$AF$2:$AF$1001,0),1)&gt;=100000,INDEX($AM$1005:$BM$1005,1,MATCH(COLUMNS($AM$1006:AU1006),$AM$1006:$BM$1006,0))&gt;=100000), " ",IF(INDEX($AM$2:$BM$1001,MATCH(ROWS($AF$2:AF883),$AF$2:$AF$1001,0),MATCH(COLUMNS($AM$1006:AU1006),$AM$1006:$BM$1006,0)), HYPERLINK("#",""), HYPERLINK(CONCATENATE("#metadata!", ADDRESS(INDEX($AH$2:$AH$1001,MATCH(ROWS($AF$2:AF883),$AF$2:$AF$1001,0),0), INDEX($AM$1004:$BM$1004,1,MATCH(COLUMNS($AM$1006:AU1006),$AM$1006:$BM$1006,0)))),"Fix")))</f>
        <v xml:space="preserve"> </v>
      </c>
      <c r="K883" s="4" t="str">
        <f ca="1">IF(OR(INDEX($AG$2:$AG$1001,MATCH(ROWS($AF$2:AF883),$AF$2:$AF$1001,0),1)&gt;=100000,INDEX($AM$1005:$BM$1005,1,MATCH(COLUMNS($AM$1006:AV1006),$AM$1006:$BM$1006,0))&gt;=100000), " ",IF(INDEX($AM$2:$BM$1001,MATCH(ROWS($AF$2:AF883),$AF$2:$AF$1001,0),MATCH(COLUMNS($AM$1006:AV1006),$AM$1006:$BM$1006,0)), HYPERLINK("#",""), HYPERLINK(CONCATENATE("#metadata!", ADDRESS(INDEX($AH$2:$AH$1001,MATCH(ROWS($AF$2:AF883),$AF$2:$AF$1001,0),0), INDEX($AM$1004:$BM$1004,1,MATCH(COLUMNS($AM$1006:AV1006),$AM$1006:$BM$1006,0)))),"Fix")))</f>
        <v xml:space="preserve"> </v>
      </c>
      <c r="L883" s="4" t="str">
        <f ca="1">IF(OR(INDEX($AG$2:$AG$1001,MATCH(ROWS($AF$2:AF883),$AF$2:$AF$1001,0),1)&gt;=100000,INDEX($AM$1005:$BM$1005,1,MATCH(COLUMNS($AM$1006:AW1006),$AM$1006:$BM$1006,0))&gt;=100000), " ",IF(INDEX($AM$2:$BM$1001,MATCH(ROWS($AF$2:AF883),$AF$2:$AF$1001,0),MATCH(COLUMNS($AM$1006:AW1006),$AM$1006:$BM$1006,0)), HYPERLINK("#",""), HYPERLINK(CONCATENATE("#metadata!", ADDRESS(INDEX($AH$2:$AH$1001,MATCH(ROWS($AF$2:AF883),$AF$2:$AF$1001,0),0), INDEX($AM$1004:$BM$1004,1,MATCH(COLUMNS($AM$1006:AW1006),$AM$1006:$BM$1006,0)))),"Fix")))</f>
        <v xml:space="preserve"> </v>
      </c>
      <c r="M883" s="4" t="str">
        <f ca="1">IF(OR(INDEX($AG$2:$AG$1001,MATCH(ROWS($AF$2:AF883),$AF$2:$AF$1001,0),1)&gt;=100000,INDEX($AM$1005:$BM$1005,1,MATCH(COLUMNS($AM$1006:AX1006),$AM$1006:$BM$1006,0))&gt;=100000), " ",IF(INDEX($AM$2:$BM$1001,MATCH(ROWS($AF$2:AF883),$AF$2:$AF$1001,0),MATCH(COLUMNS($AM$1006:AX1006),$AM$1006:$BM$1006,0)), HYPERLINK("#",""), HYPERLINK(CONCATENATE("#metadata!", ADDRESS(INDEX($AH$2:$AH$1001,MATCH(ROWS($AF$2:AF883),$AF$2:$AF$1001,0),0), INDEX($AM$1004:$BM$1004,1,MATCH(COLUMNS($AM$1006:AX1006),$AM$1006:$BM$1006,0)))),"Fix")))</f>
        <v xml:space="preserve"> </v>
      </c>
      <c r="N883" s="4" t="str">
        <f ca="1">IF(OR(INDEX($AG$2:$AG$1001,MATCH(ROWS($AF$2:AF883),$AF$2:$AF$1001,0),1)&gt;=100000,INDEX($AM$1005:$BM$1005,1,MATCH(COLUMNS($AM$1006:AY1006),$AM$1006:$BM$1006,0))&gt;=100000), " ",IF(INDEX($AM$2:$BM$1001,MATCH(ROWS($AF$2:AF883),$AF$2:$AF$1001,0),MATCH(COLUMNS($AM$1006:AY1006),$AM$1006:$BM$1006,0)), HYPERLINK("#",""), HYPERLINK(CONCATENATE("#metadata!", ADDRESS(INDEX($AH$2:$AH$1001,MATCH(ROWS($AF$2:AF883),$AF$2:$AF$1001,0),0), INDEX($AM$1004:$BM$1004,1,MATCH(COLUMNS($AM$1006:AY1006),$AM$1006:$BM$1006,0)))),"Fix")))</f>
        <v xml:space="preserve"> </v>
      </c>
      <c r="O883" s="4" t="str">
        <f ca="1">IF(OR(INDEX($AG$2:$AG$1001,MATCH(ROWS($AF$2:AF883),$AF$2:$AF$1001,0),1)&gt;=100000,INDEX($AM$1005:$BM$1005,1,MATCH(COLUMNS($AM$1006:AZ1006),$AM$1006:$BM$1006,0))&gt;=100000), " ",IF(INDEX($AM$2:$BM$1001,MATCH(ROWS($AF$2:AF883),$AF$2:$AF$1001,0),MATCH(COLUMNS($AM$1006:AZ1006),$AM$1006:$BM$1006,0)), HYPERLINK("#",""), HYPERLINK(CONCATENATE("#metadata!", ADDRESS(INDEX($AH$2:$AH$1001,MATCH(ROWS($AF$2:AF883),$AF$2:$AF$1001,0),0), INDEX($AM$1004:$BM$1004,1,MATCH(COLUMNS($AM$1006:AZ1006),$AM$1006:$BM$1006,0)))),"Fix")))</f>
        <v xml:space="preserve"> </v>
      </c>
      <c r="P883" s="4" t="str">
        <f ca="1">IF(OR(INDEX($AG$2:$AG$1001,MATCH(ROWS($AF$2:AF883),$AF$2:$AF$1001,0),1)&gt;=100000,INDEX($AM$1005:$BM$1005,1,MATCH(COLUMNS($AM$1006:BA1006),$AM$1006:$BM$1006,0))&gt;=100000), " ",IF(INDEX($AM$2:$BM$1001,MATCH(ROWS($AF$2:AF883),$AF$2:$AF$1001,0),MATCH(COLUMNS($AM$1006:BA1006),$AM$1006:$BM$1006,0)), HYPERLINK("#",""), HYPERLINK(CONCATENATE("#metadata!", ADDRESS(INDEX($AH$2:$AH$1001,MATCH(ROWS($AF$2:AF883),$AF$2:$AF$1001,0),0), INDEX($AM$1004:$BM$1004,1,MATCH(COLUMNS($AM$1006:BA1006),$AM$1006:$BM$1006,0)))),"Fix")))</f>
        <v xml:space="preserve"> </v>
      </c>
      <c r="Q883" s="4" t="str">
        <f ca="1">IF(OR(INDEX($AG$2:$AG$1001,MATCH(ROWS($AF$2:AF883),$AF$2:$AF$1001,0),1)&gt;=100000,INDEX($AM$1005:$BM$1005,1,MATCH(COLUMNS($AM$1006:BB1006),$AM$1006:$BM$1006,0))&gt;=100000), " ",IF(INDEX($AM$2:$BM$1001,MATCH(ROWS($AF$2:AF883),$AF$2:$AF$1001,0),MATCH(COLUMNS($AM$1006:BB1006),$AM$1006:$BM$1006,0)), HYPERLINK("#",""), HYPERLINK(CONCATENATE("#metadata!", ADDRESS(INDEX($AH$2:$AH$1001,MATCH(ROWS($AF$2:AF883),$AF$2:$AF$1001,0),0), INDEX($AM$1004:$BM$1004,1,MATCH(COLUMNS($AM$1006:BB1006),$AM$1006:$BM$1006,0)))),"Fix")))</f>
        <v xml:space="preserve"> </v>
      </c>
      <c r="R883" s="4" t="str">
        <f ca="1">IF(OR(INDEX($AG$2:$AG$1001,MATCH(ROWS($AF$2:AF883),$AF$2:$AF$1001,0),1)&gt;=100000,INDEX($AM$1005:$BM$1005,1,MATCH(COLUMNS($AM$1006:BC1006),$AM$1006:$BM$1006,0))&gt;=100000), " ",IF(INDEX($AM$2:$BM$1001,MATCH(ROWS($AF$2:AF883),$AF$2:$AF$1001,0),MATCH(COLUMNS($AM$1006:BC1006),$AM$1006:$BM$1006,0)), HYPERLINK("#",""), HYPERLINK(CONCATENATE("#metadata!", ADDRESS(INDEX($AH$2:$AH$1001,MATCH(ROWS($AF$2:AF883),$AF$2:$AF$1001,0),0), INDEX($AM$1004:$BM$1004,1,MATCH(COLUMNS($AM$1006:BC1006),$AM$1006:$BM$1006,0)))),"Fix")))</f>
        <v xml:space="preserve"> </v>
      </c>
      <c r="S883" s="4" t="str">
        <f ca="1">IF(OR(INDEX($AG$2:$AG$1001,MATCH(ROWS($AF$2:AF883),$AF$2:$AF$1001,0),1)&gt;=100000,INDEX($AM$1005:$BM$1005,1,MATCH(COLUMNS($AM$1006:BD1006),$AM$1006:$BM$1006,0))&gt;=100000), " ",IF(INDEX($AM$2:$BM$1001,MATCH(ROWS($AF$2:AF883),$AF$2:$AF$1001,0),MATCH(COLUMNS($AM$1006:BD1006),$AM$1006:$BM$1006,0)), HYPERLINK("#",""), HYPERLINK(CONCATENATE("#metadata!", ADDRESS(INDEX($AH$2:$AH$1001,MATCH(ROWS($AF$2:AF883),$AF$2:$AF$1001,0),0), INDEX($AM$1004:$BM$1004,1,MATCH(COLUMNS($AM$1006:BD1006),$AM$1006:$BM$1006,0)))),"Fix")))</f>
        <v xml:space="preserve"> </v>
      </c>
      <c r="T883" s="4" t="str">
        <f ca="1">IF(OR(INDEX($AG$2:$AG$1001,MATCH(ROWS($AF$2:AF883),$AF$2:$AF$1001,0),1)&gt;=100000,INDEX($AM$1005:$BM$1005,1,MATCH(COLUMNS($AM$1006:BE1006),$AM$1006:$BM$1006,0))&gt;=100000), " ",IF(INDEX($AM$2:$BM$1001,MATCH(ROWS($AF$2:AF883),$AF$2:$AF$1001,0),MATCH(COLUMNS($AM$1006:BE1006),$AM$1006:$BM$1006,0)), HYPERLINK("#",""), HYPERLINK(CONCATENATE("#metadata!", ADDRESS(INDEX($AH$2:$AH$1001,MATCH(ROWS($AF$2:AF883),$AF$2:$AF$1001,0),0), INDEX($AM$1004:$BM$1004,1,MATCH(COLUMNS($AM$1006:BE1006),$AM$1006:$BM$1006,0)))),"Fix")))</f>
        <v xml:space="preserve"> </v>
      </c>
      <c r="U883" s="4" t="str">
        <f ca="1">IF(OR(INDEX($AG$2:$AG$1001,MATCH(ROWS($AF$2:AF883),$AF$2:$AF$1001,0),1)&gt;=100000,INDEX($AM$1005:$BM$1005,1,MATCH(COLUMNS($AM$1006:BF1006),$AM$1006:$BM$1006,0))&gt;=100000), " ",IF(INDEX($AM$2:$BM$1001,MATCH(ROWS($AF$2:AF883),$AF$2:$AF$1001,0),MATCH(COLUMNS($AM$1006:BF1006),$AM$1006:$BM$1006,0)), HYPERLINK("#",""), HYPERLINK(CONCATENATE("#metadata!", ADDRESS(INDEX($AH$2:$AH$1001,MATCH(ROWS($AF$2:AF883),$AF$2:$AF$1001,0),0), INDEX($AM$1004:$BM$1004,1,MATCH(COLUMNS($AM$1006:BF1006),$AM$1006:$BM$1006,0)))),"Fix")))</f>
        <v xml:space="preserve"> </v>
      </c>
      <c r="V883" s="4" t="str">
        <f ca="1">IF(OR(INDEX($AG$2:$AG$1001,MATCH(ROWS($AF$2:AF883),$AF$2:$AF$1001,0),1)&gt;=100000,INDEX($AM$1005:$BM$1005,1,MATCH(COLUMNS($AM$1006:BG1006),$AM$1006:$BM$1006,0))&gt;=100000), " ",IF(INDEX($AM$2:$BM$1001,MATCH(ROWS($AF$2:AF883),$AF$2:$AF$1001,0),MATCH(COLUMNS($AM$1006:BG1006),$AM$1006:$BM$1006,0)), HYPERLINK("#",""), HYPERLINK(CONCATENATE("#metadata!", ADDRESS(INDEX($AH$2:$AH$1001,MATCH(ROWS($AF$2:AF883),$AF$2:$AF$1001,0),0), INDEX($AM$1004:$BM$1004,1,MATCH(COLUMNS($AM$1006:BG1006),$AM$1006:$BM$1006,0)))),"Fix")))</f>
        <v xml:space="preserve"> </v>
      </c>
      <c r="W883" s="4" t="str">
        <f ca="1">IF(OR(INDEX($AG$2:$AG$1001,MATCH(ROWS($AF$2:AF883),$AF$2:$AF$1001,0),1)&gt;=100000,INDEX($AM$1005:$BM$1005,1,MATCH(COLUMNS($AM$1006:BH1006),$AM$1006:$BM$1006,0))&gt;=100000), " ",IF(INDEX($AM$2:$BM$1001,MATCH(ROWS($AF$2:AF883),$AF$2:$AF$1001,0),MATCH(COLUMNS($AM$1006:BH1006),$AM$1006:$BM$1006,0)), HYPERLINK("#",""), HYPERLINK(CONCATENATE("#metadata!", ADDRESS(INDEX($AH$2:$AH$1001,MATCH(ROWS($AF$2:AF883),$AF$2:$AF$1001,0),0), INDEX($AM$1004:$BM$1004,1,MATCH(COLUMNS($AM$1006:BH1006),$AM$1006:$BM$1006,0)))),"Fix")))</f>
        <v xml:space="preserve"> </v>
      </c>
      <c r="X883" s="4" t="str">
        <f ca="1">IF(OR(INDEX($AG$2:$AG$1001,MATCH(ROWS($AF$2:AF883),$AF$2:$AF$1001,0),1)&gt;=100000,INDEX($AM$1005:$BM$1005,1,MATCH(COLUMNS($AM$1006:BI1006),$AM$1006:$BM$1006,0))&gt;=100000), " ",IF(INDEX($AM$2:$BM$1001,MATCH(ROWS($AF$2:AF883),$AF$2:$AF$1001,0),MATCH(COLUMNS($AM$1006:BI1006),$AM$1006:$BM$1006,0)), HYPERLINK("#",""), HYPERLINK(CONCATENATE("#metadata!", ADDRESS(INDEX($AH$2:$AH$1001,MATCH(ROWS($AF$2:AF883),$AF$2:$AF$1001,0),0), INDEX($AM$1004:$BM$1004,1,MATCH(COLUMNS($AM$1006:BI1006),$AM$1006:$BM$1006,0)))),"Fix")))</f>
        <v xml:space="preserve"> </v>
      </c>
      <c r="Y883" s="4" t="str">
        <f ca="1">IF(OR(INDEX($AG$2:$AG$1001,MATCH(ROWS($AF$2:AF883),$AF$2:$AF$1001,0),1)&gt;=100000,INDEX($AM$1005:$BM$1005,1,MATCH(COLUMNS($AM$1006:BJ1006),$AM$1006:$BM$1006,0))&gt;=100000), " ",IF(INDEX($AM$2:$BM$1001,MATCH(ROWS($AF$2:AF883),$AF$2:$AF$1001,0),MATCH(COLUMNS($AM$1006:BJ1006),$AM$1006:$BM$1006,0)), HYPERLINK("#",""), HYPERLINK(CONCATENATE("#metadata!", ADDRESS(INDEX($AH$2:$AH$1001,MATCH(ROWS($AF$2:AF883),$AF$2:$AF$1001,0),0), INDEX($AM$1004:$BM$1004,1,MATCH(COLUMNS($AM$1006:BJ1006),$AM$1006:$BM$1006,0)))),"Fix")))</f>
        <v xml:space="preserve"> </v>
      </c>
      <c r="Z883" s="4" t="str">
        <f ca="1">IF(OR(INDEX($AG$2:$AG$1001,MATCH(ROWS($AF$2:AF883),$AF$2:$AF$1001,0),1)&gt;=100000,INDEX($AM$1005:$BM$1005,1,MATCH(COLUMNS($AM$1006:BK1006),$AM$1006:$BM$1006,0))&gt;=100000), " ",IF(INDEX($AM$2:$BM$1001,MATCH(ROWS($AF$2:AF883),$AF$2:$AF$1001,0),MATCH(COLUMNS($AM$1006:BK1006),$AM$1006:$BM$1006,0)), HYPERLINK("#",""), HYPERLINK(CONCATENATE("#metadata!", ADDRESS(INDEX($AH$2:$AH$1001,MATCH(ROWS($AF$2:AF883),$AF$2:$AF$1001,0),0), INDEX($AM$1004:$BM$1004,1,MATCH(COLUMNS($AM$1006:BK1006),$AM$1006:$BM$1006,0)))),"Fix")))</f>
        <v xml:space="preserve"> </v>
      </c>
      <c r="AA883" s="4" t="str">
        <f ca="1">IF(OR(INDEX($AG$2:$AG$1001,MATCH(ROWS($AF$2:AF883),$AF$2:$AF$1001,0),1)&gt;=100000,INDEX($AM$1005:$BM$1005,1,MATCH(COLUMNS($AM$1006:BL1006),$AM$1006:$BM$1006,0))&gt;=100000), " ",IF(INDEX($AM$2:$BM$1001,MATCH(ROWS($AF$2:AF883),$AF$2:$AF$1001,0),MATCH(COLUMNS($AM$1006:BL1006),$AM$1006:$BM$1006,0)), HYPERLINK("#",""), HYPERLINK(CONCATENATE("#metadata!", ADDRESS(INDEX($AH$2:$AH$1001,MATCH(ROWS($AF$2:AF883),$AF$2:$AF$1001,0),0), INDEX($AM$1004:$BM$1004,1,MATCH(COLUMNS($AM$1006:BL1006),$AM$1006:$BM$1006,0)))),"Fix")))</f>
        <v xml:space="preserve"> </v>
      </c>
      <c r="AB883" s="4" t="str">
        <f ca="1">IF(OR(INDEX($AG$2:$AG$1001,MATCH(ROWS($AF$2:AF883),$AF$2:$AF$1001,0),1)&gt;=100000,INDEX($AM$1005:$BM$1005,1,MATCH(COLUMNS($AM$1006:BM1006),$AM$1006:$BM$1006,0))&gt;=100000), " ",IF(INDEX($AM$2:$BM$1001,MATCH(ROWS($AF$2:AF883),$AF$2:$AF$1001,0),MATCH(COLUMNS($AM$1006:BM1006),$AM$1006:$BM$1006,0)), HYPERLINK("#",""), HYPERLINK(CONCATENATE("#metadata!", ADDRESS(INDEX($AH$2:$AH$1001,MATCH(ROWS($AF$2:AF883),$AF$2:$AF$1001,0),0), INDEX($AM$1004:$BM$1004,1,MATCH(COLUMNS($AM$1006:BM1006),$AM$1006:$BM$1006,0)))),"Fix")))</f>
        <v xml:space="preserve"> </v>
      </c>
      <c r="AF883">
        <v>882</v>
      </c>
      <c r="AG883">
        <v>100883</v>
      </c>
      <c r="AH883">
        <v>883</v>
      </c>
      <c r="AI883" t="b">
        <f t="shared" si="13"/>
        <v>1</v>
      </c>
      <c r="AJ883" t="b">
        <f>COUNTBLANK(metadata!B883:AB883)=COLUMNS(metadata!B883:AB883)</f>
        <v>1</v>
      </c>
      <c r="AK883" t="str">
        <v/>
      </c>
      <c r="AM883" t="b">
        <f ca="1">AND(IF(metadata!B883="",FALSE,TRUE),COUNTIF(metadata!B:B, metadata!B883) = 1,NOT(ISERROR(SUMPRODUCT(SEARCH(MID(metadata!B883,ROW(INDIRECT("1:"&amp;LEN(metadata!B883))), 1),"0123456789abcdefghijklmnopqrstuvwxyzABCDEFGHIJKLMNOPQRSTUVWXYZ.")))))</f>
        <v>0</v>
      </c>
      <c r="AN883" t="b">
        <f ca="1">OR(AND(IF(metadata!C883="",FALSE,TRUE),OR(EXACT(metadata!C883,"missing: not collected"),EXACT(metadata!C883,"missing: not provided"),EXACT(metadata!C883,"missing: restricted access"))),AND(IF(metadata!C883="",FALSE,TRUE),AND(AND(IFERROR(INT(LEFT(metadata!C883,4))&gt;1900,FALSE),IFERROR(INT(LEFT(metadata!C883,4))&lt;=YEAR(NOW()),FALSE)), OR(MID(metadata!C883,5,1)="", AND(AND(MID(metadata!C883,5,1)="-",IFERROR(INT(MID(metadata!C883,6,1))&gt;=0,FALSE),IFERROR(INT(MID(metadata!C883,6,1))&lt;=1,FALSE),NOT(MID(metadata!C883,7,1)=""),IFERROR(INT(MID(metadata!C883,6,2))&gt;=1,FALSE),IFERROR(INT(MID(metadata!C883,6,2))&lt;=12,FALSE)), OR(MID(metadata!C883,8,1)="", AND(AND(MID(metadata!C883,8,1)="-",IFERROR(INT(MID(metadata!C883,9,1))&gt;=0,FALSE),IFERROR(INT(MID(metadata!C883,9,1))&lt;=3,FALSE),NOT(MID(metadata!C883,10,1)=""),IFERROR(INT(MID(metadata!C883,9,2))&gt;=1,FALSE),IFERROR(INT(MID(metadata!C883,9,2))&lt;=31,FALSE)), OR(MID(metadata!C883,11,1)="", AND(AND(MID(metadata!C883,11,1)=" ",IFERROR(INT(MID(metadata!C883,12,1))&gt;=0,FALSE),IFERROR(INT(MID(metadata!C883,12,1))&lt;=2,FALSE),NOT(MID(metadata!C883,13,1)=""),IFERROR(INT(MID(metadata!C883,12,2))&gt;=0,FALSE),IFERROR(INT(MID(metadata!C883,12,2))&lt;=23,FALSE)), OR(MID(metadata!C883,14,1)="", AND(AND(MID(metadata!C883,14,1)=":",IFERROR(INT(MID(metadata!C883,15,1))&gt;=0,FALSE),IFERROR(INT(MID(metadata!C883,15,1))&lt;=5,FALSE),NOT(MID(metadata!C883,16,1)=""),IFERROR(INT(MID(metadata!C883,15,2))&gt;=0,FALSE),IFERROR(INT(MID(metadata!C883,15,2))&lt;=59,FALSE)), OR(MID(metadata!C883,17,1)="", AND(AND(MID(metadata!C883,17,1)=":",IFERROR(INT(MID(metadata!C883,18,1))&gt;=0,FALSE),IFERROR(INT(MID(metadata!C883,18,1))&lt;=5,FALSE),NOT(MID(metadata!C883,19,1)=""),IFERROR(INT(MID(metadata!C883,18,2))&gt;=0,FALSE),IFERROR(INT(MID(metadata!C883,18,2))&lt;=59,FALSE)), LEN(metadata!C883)&lt;=19)))))))))))))</f>
        <v>0</v>
      </c>
      <c r="AO883" t="b">
        <f>AND(IF(metadata!D883="",FALSE,TRUE),EXACT(metadata!D883,"Not applicable"))</f>
        <v>0</v>
      </c>
      <c r="AP883" t="b">
        <f>IF(metadata!E883="",FALSE,TRUE)</f>
        <v>0</v>
      </c>
      <c r="AQ883" t="b">
        <f>OR(AND(IF(metadata!F883="",FALSE,TRUE),OR(EXACT(metadata!F883,"missing: not collected"),EXACT(metadata!F883,"missing: not provided"))),AND(IF(metadata!F883="",FALSE,TRUE),OR(EXACT(metadata!F883,"TRUE"),EXACT(metadata!F883,"FALSE"))))</f>
        <v>0</v>
      </c>
      <c r="AR883" t="b">
        <f>OR(AND(IF(metadata!G883="",FALSE,TRUE),OR(EXACT(metadata!G883,"missing: not collected"),EXACT(metadata!G883,"missing: not provided"),EXACT(metadata!G883,"missing: restricted access"))),AND(IF(metadata!G883="",FALSE,ISNUMBER(VALUE(metadata!G883))),metadata!G883&gt;=-413))</f>
        <v>0</v>
      </c>
      <c r="AS883" t="b">
        <f>AND(IF(metadata!H883="",FALSE,TRUE),EXACT(metadata!H883,"meters"))</f>
        <v>0</v>
      </c>
      <c r="AT883" t="b">
        <f>AND(IF(metadata!I883="",FALSE,TRUE),OR(EXACT(metadata!I883,"Host-associated"),EXACT(metadata!I883,"Free-living")))</f>
        <v>0</v>
      </c>
      <c r="AU883" t="b">
        <f>AND(IF(metadata!J883="",FALSE,TRUE),OR(EXACT(metadata!J883,"Animal"),EXACT(metadata!J883,"Fungus"),EXACT(metadata!J883,"Plant"),EXACT(metadata!J883,"Saline"),EXACT(metadata!J883,"Non-saline")))</f>
        <v>0</v>
      </c>
      <c r="AV883" t="b">
        <f>AND(IF(metadata!K883="",FALSE,TRUE),OR(EXACT(metadata!K883,"Plant secretion"),EXACT(metadata!K883,"Plant rhizosphere"),EXACT(metadata!K883,"Plant surface"),EXACT(metadata!K883,"Plant corpus"),EXACT(metadata!K883,"Fungus surface"),EXACT(metadata!K883,"Fungus corpus"),EXACT(metadata!K883,"Animal surface"),EXACT(metadata!K883,"Animal proximal gut"),EXACT(metadata!K883,"Animal corpus"),EXACT(metadata!K883,"Animal distal gut"),EXACT(metadata!K883,"Animal secretion"),EXACT(metadata!K883,"Sub-surface (non-saline)"),EXACT(metadata!K883,"Surface (non-saline)"),EXACT(metadata!K883,"Water (non-saline)"),EXACT(metadata!K883,"Soil (non-saline)"),EXACT(metadata!K883,"Aerosol (non-saline)"),EXACT(metadata!K883,"Sediment (non-saline)"),EXACT(metadata!K883,"Surface (saline)"),EXACT(metadata!K883,"Water (saline)"),EXACT(metadata!K883,"Hypersaline (saline)"),EXACT(metadata!K883,"Aerosol (saline)"),EXACT(metadata!K883,"Sediment (saline)")))</f>
        <v>0</v>
      </c>
      <c r="AW883" t="b">
        <f>IF(metadata!L883="",FALSE,TRUE)</f>
        <v>0</v>
      </c>
      <c r="AX883" t="b">
        <f>IF(metadata!M883="",FALSE,TRUE)</f>
        <v>0</v>
      </c>
      <c r="AY883" t="b">
        <f>IF(metadata!N883="",FALSE,TRUE)</f>
        <v>0</v>
      </c>
      <c r="AZ883" t="b">
        <f>OR(AND(IF(metadata!O883="",FALSE,TRUE),OR(EXACT(metadata!O883,"missing: not collected"),EXACT(metadata!O883,"missing: not provided"),EXACT(metadata!O883,"missing: restricted access"))),AND(IF(metadata!O883="",FALSE,TRUE),OR(EXACT(metadata!O883,"air"),EXACT(metadata!O883,"built environment"),EXACT(metadata!O883,"host-associated"),EXACT(metadata!O883,"human-associated"),EXACT(metadata!O883,"human-skin"),EXACT(metadata!O883,"human-oral"),EXACT(metadata!O883,"human-gut"),EXACT(metadata!O883,"human-vaginal"),EXACT(metadata!O883,"microbial mat/biofilm"),EXACT(metadata!O883,"misc environment"),EXACT(metadata!O883,"plant-associated"),EXACT(metadata!O883,"sediment"),EXACT(metadata!O883,"soil"),EXACT(metadata!O883,"wastewater/sludge"),EXACT(metadata!O883,"water"))))</f>
        <v>0</v>
      </c>
      <c r="BA883" t="b">
        <f>IF(metadata!P883="",FALSE,TRUE)</f>
        <v>0</v>
      </c>
      <c r="BB883" t="b">
        <f>IF(metadata!Q883="",FALSE,TRUE)</f>
        <v>0</v>
      </c>
      <c r="BC883" t="b">
        <f>OR(AND(IF(metadata!R883="",FALSE,TRUE),OR(EXACT(metadata!R883,"missing: not collected"),EXACT(metadata!R883,"missing: not provided"),EXACT(metadata!R883,"missing: restricted access"))),AND(IF(metadata!R883="",FALSE,ISNUMBER(VALUE(metadata!R883))),metadata!R883&gt;=-90,metadata!R883&lt;=90))</f>
        <v>0</v>
      </c>
      <c r="BD883" t="b">
        <f>AND(IF(metadata!S883="",FALSE,TRUE),EXACT(metadata!S883,"Decimal degrees"))</f>
        <v>0</v>
      </c>
      <c r="BE883" t="b">
        <f>OR(AND(IF(metadata!T883="",FALSE,TRUE),OR(EXACT(metadata!T883,"missing: not collected"),EXACT(metadata!T883,"missing: not provided"),EXACT(metadata!T883,"missing: restricted access"))),AND(IF(metadata!T883="",FALSE,ISNUMBER(VALUE(metadata!T883))),metadata!T883&gt;=-180,metadata!T883&lt;=180))</f>
        <v>0</v>
      </c>
      <c r="BF883" t="b">
        <f>AND(IF(metadata!U883="",FALSE,TRUE),EXACT(metadata!U883,"Decimal degrees"))</f>
        <v>0</v>
      </c>
      <c r="BG883" t="b">
        <f>IF(metadata!V883="",FALSE,TRUE)</f>
        <v>0</v>
      </c>
      <c r="BH883" t="b">
        <f>OR(AND(IF(metadata!W883="",FALSE,TRUE),OR(EXACT(metadata!W883,"missing: not collected"),EXACT(metadata!W883,"missing: not provided"),EXACT(metadata!W883,"missing: restricted access"))),AND(IF(metadata!W883="",FALSE,TRUE),OR(EXACT(metadata!W883,"TRUE"),EXACT(metadata!W883,"FALSE"))))</f>
        <v>0</v>
      </c>
      <c r="BI883" t="b">
        <f>AND(IF(metadata!X883="",FALSE,TRUE),EXACT(metadata!X883,"other"))</f>
        <v>0</v>
      </c>
      <c r="BJ883" t="b">
        <f>IF(metadata!Y883="",FALSE,TRUE)</f>
        <v>0</v>
      </c>
      <c r="BK883" t="b">
        <f>OR(AND(IF(metadata!Z883="",FALSE,TRUE),OR(EXACT(metadata!Z883,"missing: not collected"),EXACT(metadata!Z883,"missing: not provided"))),AND(IF(metadata!Z883="",FALSE,IF(ISERROR(INT(metadata!Z883)),FALSE,INT(metadata!Z883)=metadata!Z883)),metadata!Z883&gt;0))</f>
        <v>0</v>
      </c>
      <c r="BL883" t="b">
        <f>AND(IF(metadata!AA883="",FALSE,TRUE),EXACT(metadata!AA883,"Not applicable"))</f>
        <v>0</v>
      </c>
      <c r="BM883" t="b">
        <f>IF(metadata!AB883="",FALSE,TRUE)</f>
        <v>0</v>
      </c>
    </row>
    <row r="884" spans="1:65" x14ac:dyDescent="0.2">
      <c r="A884" s="5" t="str">
        <f ca="1">IF(B884=" "," ",HYPERLINK(CONCATENATE("#metadata!",ADDRESS(INDEX($AH$2:$AH$1001,MATCH(ROWS($AF$2:AF884),$AF$2:$AF$1001,0),0),1)),INDEX($AK$2:$AK$1001,MATCH(ROWS($AF$2:AF884),$AF$2:$AF$1001,0),0)))</f>
        <v xml:space="preserve"> </v>
      </c>
      <c r="B884" s="4" t="str">
        <f ca="1">IF(OR(INDEX($AG$2:$AG$1001,MATCH(ROWS($AF$2:AF884),$AF$2:$AF$1001,0),1)&gt;=100000,INDEX($AM$1005:$BM$1005,1,MATCH(COLUMNS($AM$1006:AM1006),$AM$1006:$BM$1006,0))&gt;=100000), " ",IF(INDEX($AM$2:$BM$1001,MATCH(ROWS($AF$2:AF884),$AF$2:$AF$1001,0),MATCH(COLUMNS($AM$1006:AM1006),$AM$1006:$BM$1006,0)), HYPERLINK("#",""), HYPERLINK(CONCATENATE("#metadata!", ADDRESS(INDEX($AH$2:$AH$1001,MATCH(ROWS($AF$2:AF884),$AF$2:$AF$1001,0),0), INDEX($AM$1004:$BM$1004,1,MATCH(COLUMNS($AM$1006:AM1006),$AM$1006:$BM$1006,0)))),"Fix")))</f>
        <v xml:space="preserve"> </v>
      </c>
      <c r="C884" s="4" t="str">
        <f ca="1">IF(OR(INDEX($AG$2:$AG$1001,MATCH(ROWS($AF$2:AF884),$AF$2:$AF$1001,0),1)&gt;=100000,INDEX($AM$1005:$BM$1005,1,MATCH(COLUMNS($AM$1006:AN1006),$AM$1006:$BM$1006,0))&gt;=100000), " ",IF(INDEX($AM$2:$BM$1001,MATCH(ROWS($AF$2:AF884),$AF$2:$AF$1001,0),MATCH(COLUMNS($AM$1006:AN1006),$AM$1006:$BM$1006,0)), HYPERLINK("#",""), HYPERLINK(CONCATENATE("#metadata!", ADDRESS(INDEX($AH$2:$AH$1001,MATCH(ROWS($AF$2:AF884),$AF$2:$AF$1001,0),0), INDEX($AM$1004:$BM$1004,1,MATCH(COLUMNS($AM$1006:AN1006),$AM$1006:$BM$1006,0)))),"Fix")))</f>
        <v xml:space="preserve"> </v>
      </c>
      <c r="D884" s="4" t="str">
        <f ca="1">IF(OR(INDEX($AG$2:$AG$1001,MATCH(ROWS($AF$2:AF884),$AF$2:$AF$1001,0),1)&gt;=100000,INDEX($AM$1005:$BM$1005,1,MATCH(COLUMNS($AM$1006:AO1006),$AM$1006:$BM$1006,0))&gt;=100000), " ",IF(INDEX($AM$2:$BM$1001,MATCH(ROWS($AF$2:AF884),$AF$2:$AF$1001,0),MATCH(COLUMNS($AM$1006:AO1006),$AM$1006:$BM$1006,0)), HYPERLINK("#",""), HYPERLINK(CONCATENATE("#metadata!", ADDRESS(INDEX($AH$2:$AH$1001,MATCH(ROWS($AF$2:AF884),$AF$2:$AF$1001,0),0), INDEX($AM$1004:$BM$1004,1,MATCH(COLUMNS($AM$1006:AO1006),$AM$1006:$BM$1006,0)))),"Fix")))</f>
        <v xml:space="preserve"> </v>
      </c>
      <c r="E884" s="4" t="str">
        <f ca="1">IF(OR(INDEX($AG$2:$AG$1001,MATCH(ROWS($AF$2:AF884),$AF$2:$AF$1001,0),1)&gt;=100000,INDEX($AM$1005:$BM$1005,1,MATCH(COLUMNS($AM$1006:AP1006),$AM$1006:$BM$1006,0))&gt;=100000), " ",IF(INDEX($AM$2:$BM$1001,MATCH(ROWS($AF$2:AF884),$AF$2:$AF$1001,0),MATCH(COLUMNS($AM$1006:AP1006),$AM$1006:$BM$1006,0)), HYPERLINK("#",""), HYPERLINK(CONCATENATE("#metadata!", ADDRESS(INDEX($AH$2:$AH$1001,MATCH(ROWS($AF$2:AF884),$AF$2:$AF$1001,0),0), INDEX($AM$1004:$BM$1004,1,MATCH(COLUMNS($AM$1006:AP1006),$AM$1006:$BM$1006,0)))),"Fix")))</f>
        <v xml:space="preserve"> </v>
      </c>
      <c r="F884" s="4" t="str">
        <f ca="1">IF(OR(INDEX($AG$2:$AG$1001,MATCH(ROWS($AF$2:AF884),$AF$2:$AF$1001,0),1)&gt;=100000,INDEX($AM$1005:$BM$1005,1,MATCH(COLUMNS($AM$1006:AQ1006),$AM$1006:$BM$1006,0))&gt;=100000), " ",IF(INDEX($AM$2:$BM$1001,MATCH(ROWS($AF$2:AF884),$AF$2:$AF$1001,0),MATCH(COLUMNS($AM$1006:AQ1006),$AM$1006:$BM$1006,0)), HYPERLINK("#",""), HYPERLINK(CONCATENATE("#metadata!", ADDRESS(INDEX($AH$2:$AH$1001,MATCH(ROWS($AF$2:AF884),$AF$2:$AF$1001,0),0), INDEX($AM$1004:$BM$1004,1,MATCH(COLUMNS($AM$1006:AQ1006),$AM$1006:$BM$1006,0)))),"Fix")))</f>
        <v xml:space="preserve"> </v>
      </c>
      <c r="G884" s="4" t="str">
        <f ca="1">IF(OR(INDEX($AG$2:$AG$1001,MATCH(ROWS($AF$2:AF884),$AF$2:$AF$1001,0),1)&gt;=100000,INDEX($AM$1005:$BM$1005,1,MATCH(COLUMNS($AM$1006:AR1006),$AM$1006:$BM$1006,0))&gt;=100000), " ",IF(INDEX($AM$2:$BM$1001,MATCH(ROWS($AF$2:AF884),$AF$2:$AF$1001,0),MATCH(COLUMNS($AM$1006:AR1006),$AM$1006:$BM$1006,0)), HYPERLINK("#",""), HYPERLINK(CONCATENATE("#metadata!", ADDRESS(INDEX($AH$2:$AH$1001,MATCH(ROWS($AF$2:AF884),$AF$2:$AF$1001,0),0), INDEX($AM$1004:$BM$1004,1,MATCH(COLUMNS($AM$1006:AR1006),$AM$1006:$BM$1006,0)))),"Fix")))</f>
        <v xml:space="preserve"> </v>
      </c>
      <c r="H884" s="4" t="str">
        <f ca="1">IF(OR(INDEX($AG$2:$AG$1001,MATCH(ROWS($AF$2:AF884),$AF$2:$AF$1001,0),1)&gt;=100000,INDEX($AM$1005:$BM$1005,1,MATCH(COLUMNS($AM$1006:AS1006),$AM$1006:$BM$1006,0))&gt;=100000), " ",IF(INDEX($AM$2:$BM$1001,MATCH(ROWS($AF$2:AF884),$AF$2:$AF$1001,0),MATCH(COLUMNS($AM$1006:AS1006),$AM$1006:$BM$1006,0)), HYPERLINK("#",""), HYPERLINK(CONCATENATE("#metadata!", ADDRESS(INDEX($AH$2:$AH$1001,MATCH(ROWS($AF$2:AF884),$AF$2:$AF$1001,0),0), INDEX($AM$1004:$BM$1004,1,MATCH(COLUMNS($AM$1006:AS1006),$AM$1006:$BM$1006,0)))),"Fix")))</f>
        <v xml:space="preserve"> </v>
      </c>
      <c r="I884" s="4" t="str">
        <f ca="1">IF(OR(INDEX($AG$2:$AG$1001,MATCH(ROWS($AF$2:AF884),$AF$2:$AF$1001,0),1)&gt;=100000,INDEX($AM$1005:$BM$1005,1,MATCH(COLUMNS($AM$1006:AT1006),$AM$1006:$BM$1006,0))&gt;=100000), " ",IF(INDEX($AM$2:$BM$1001,MATCH(ROWS($AF$2:AF884),$AF$2:$AF$1001,0),MATCH(COLUMNS($AM$1006:AT1006),$AM$1006:$BM$1006,0)), HYPERLINK("#",""), HYPERLINK(CONCATENATE("#metadata!", ADDRESS(INDEX($AH$2:$AH$1001,MATCH(ROWS($AF$2:AF884),$AF$2:$AF$1001,0),0), INDEX($AM$1004:$BM$1004,1,MATCH(COLUMNS($AM$1006:AT1006),$AM$1006:$BM$1006,0)))),"Fix")))</f>
        <v xml:space="preserve"> </v>
      </c>
      <c r="J884" s="4" t="str">
        <f ca="1">IF(OR(INDEX($AG$2:$AG$1001,MATCH(ROWS($AF$2:AF884),$AF$2:$AF$1001,0),1)&gt;=100000,INDEX($AM$1005:$BM$1005,1,MATCH(COLUMNS($AM$1006:AU1006),$AM$1006:$BM$1006,0))&gt;=100000), " ",IF(INDEX($AM$2:$BM$1001,MATCH(ROWS($AF$2:AF884),$AF$2:$AF$1001,0),MATCH(COLUMNS($AM$1006:AU1006),$AM$1006:$BM$1006,0)), HYPERLINK("#",""), HYPERLINK(CONCATENATE("#metadata!", ADDRESS(INDEX($AH$2:$AH$1001,MATCH(ROWS($AF$2:AF884),$AF$2:$AF$1001,0),0), INDEX($AM$1004:$BM$1004,1,MATCH(COLUMNS($AM$1006:AU1006),$AM$1006:$BM$1006,0)))),"Fix")))</f>
        <v xml:space="preserve"> </v>
      </c>
      <c r="K884" s="4" t="str">
        <f ca="1">IF(OR(INDEX($AG$2:$AG$1001,MATCH(ROWS($AF$2:AF884),$AF$2:$AF$1001,0),1)&gt;=100000,INDEX($AM$1005:$BM$1005,1,MATCH(COLUMNS($AM$1006:AV1006),$AM$1006:$BM$1006,0))&gt;=100000), " ",IF(INDEX($AM$2:$BM$1001,MATCH(ROWS($AF$2:AF884),$AF$2:$AF$1001,0),MATCH(COLUMNS($AM$1006:AV1006),$AM$1006:$BM$1006,0)), HYPERLINK("#",""), HYPERLINK(CONCATENATE("#metadata!", ADDRESS(INDEX($AH$2:$AH$1001,MATCH(ROWS($AF$2:AF884),$AF$2:$AF$1001,0),0), INDEX($AM$1004:$BM$1004,1,MATCH(COLUMNS($AM$1006:AV1006),$AM$1006:$BM$1006,0)))),"Fix")))</f>
        <v xml:space="preserve"> </v>
      </c>
      <c r="L884" s="4" t="str">
        <f ca="1">IF(OR(INDEX($AG$2:$AG$1001,MATCH(ROWS($AF$2:AF884),$AF$2:$AF$1001,0),1)&gt;=100000,INDEX($AM$1005:$BM$1005,1,MATCH(COLUMNS($AM$1006:AW1006),$AM$1006:$BM$1006,0))&gt;=100000), " ",IF(INDEX($AM$2:$BM$1001,MATCH(ROWS($AF$2:AF884),$AF$2:$AF$1001,0),MATCH(COLUMNS($AM$1006:AW1006),$AM$1006:$BM$1006,0)), HYPERLINK("#",""), HYPERLINK(CONCATENATE("#metadata!", ADDRESS(INDEX($AH$2:$AH$1001,MATCH(ROWS($AF$2:AF884),$AF$2:$AF$1001,0),0), INDEX($AM$1004:$BM$1004,1,MATCH(COLUMNS($AM$1006:AW1006),$AM$1006:$BM$1006,0)))),"Fix")))</f>
        <v xml:space="preserve"> </v>
      </c>
      <c r="M884" s="4" t="str">
        <f ca="1">IF(OR(INDEX($AG$2:$AG$1001,MATCH(ROWS($AF$2:AF884),$AF$2:$AF$1001,0),1)&gt;=100000,INDEX($AM$1005:$BM$1005,1,MATCH(COLUMNS($AM$1006:AX1006),$AM$1006:$BM$1006,0))&gt;=100000), " ",IF(INDEX($AM$2:$BM$1001,MATCH(ROWS($AF$2:AF884),$AF$2:$AF$1001,0),MATCH(COLUMNS($AM$1006:AX1006),$AM$1006:$BM$1006,0)), HYPERLINK("#",""), HYPERLINK(CONCATENATE("#metadata!", ADDRESS(INDEX($AH$2:$AH$1001,MATCH(ROWS($AF$2:AF884),$AF$2:$AF$1001,0),0), INDEX($AM$1004:$BM$1004,1,MATCH(COLUMNS($AM$1006:AX1006),$AM$1006:$BM$1006,0)))),"Fix")))</f>
        <v xml:space="preserve"> </v>
      </c>
      <c r="N884" s="4" t="str">
        <f ca="1">IF(OR(INDEX($AG$2:$AG$1001,MATCH(ROWS($AF$2:AF884),$AF$2:$AF$1001,0),1)&gt;=100000,INDEX($AM$1005:$BM$1005,1,MATCH(COLUMNS($AM$1006:AY1006),$AM$1006:$BM$1006,0))&gt;=100000), " ",IF(INDEX($AM$2:$BM$1001,MATCH(ROWS($AF$2:AF884),$AF$2:$AF$1001,0),MATCH(COLUMNS($AM$1006:AY1006),$AM$1006:$BM$1006,0)), HYPERLINK("#",""), HYPERLINK(CONCATENATE("#metadata!", ADDRESS(INDEX($AH$2:$AH$1001,MATCH(ROWS($AF$2:AF884),$AF$2:$AF$1001,0),0), INDEX($AM$1004:$BM$1004,1,MATCH(COLUMNS($AM$1006:AY1006),$AM$1006:$BM$1006,0)))),"Fix")))</f>
        <v xml:space="preserve"> </v>
      </c>
      <c r="O884" s="4" t="str">
        <f ca="1">IF(OR(INDEX($AG$2:$AG$1001,MATCH(ROWS($AF$2:AF884),$AF$2:$AF$1001,0),1)&gt;=100000,INDEX($AM$1005:$BM$1005,1,MATCH(COLUMNS($AM$1006:AZ1006),$AM$1006:$BM$1006,0))&gt;=100000), " ",IF(INDEX($AM$2:$BM$1001,MATCH(ROWS($AF$2:AF884),$AF$2:$AF$1001,0),MATCH(COLUMNS($AM$1006:AZ1006),$AM$1006:$BM$1006,0)), HYPERLINK("#",""), HYPERLINK(CONCATENATE("#metadata!", ADDRESS(INDEX($AH$2:$AH$1001,MATCH(ROWS($AF$2:AF884),$AF$2:$AF$1001,0),0), INDEX($AM$1004:$BM$1004,1,MATCH(COLUMNS($AM$1006:AZ1006),$AM$1006:$BM$1006,0)))),"Fix")))</f>
        <v xml:space="preserve"> </v>
      </c>
      <c r="P884" s="4" t="str">
        <f ca="1">IF(OR(INDEX($AG$2:$AG$1001,MATCH(ROWS($AF$2:AF884),$AF$2:$AF$1001,0),1)&gt;=100000,INDEX($AM$1005:$BM$1005,1,MATCH(COLUMNS($AM$1006:BA1006),$AM$1006:$BM$1006,0))&gt;=100000), " ",IF(INDEX($AM$2:$BM$1001,MATCH(ROWS($AF$2:AF884),$AF$2:$AF$1001,0),MATCH(COLUMNS($AM$1006:BA1006),$AM$1006:$BM$1006,0)), HYPERLINK("#",""), HYPERLINK(CONCATENATE("#metadata!", ADDRESS(INDEX($AH$2:$AH$1001,MATCH(ROWS($AF$2:AF884),$AF$2:$AF$1001,0),0), INDEX($AM$1004:$BM$1004,1,MATCH(COLUMNS($AM$1006:BA1006),$AM$1006:$BM$1006,0)))),"Fix")))</f>
        <v xml:space="preserve"> </v>
      </c>
      <c r="Q884" s="4" t="str">
        <f ca="1">IF(OR(INDEX($AG$2:$AG$1001,MATCH(ROWS($AF$2:AF884),$AF$2:$AF$1001,0),1)&gt;=100000,INDEX($AM$1005:$BM$1005,1,MATCH(COLUMNS($AM$1006:BB1006),$AM$1006:$BM$1006,0))&gt;=100000), " ",IF(INDEX($AM$2:$BM$1001,MATCH(ROWS($AF$2:AF884),$AF$2:$AF$1001,0),MATCH(COLUMNS($AM$1006:BB1006),$AM$1006:$BM$1006,0)), HYPERLINK("#",""), HYPERLINK(CONCATENATE("#metadata!", ADDRESS(INDEX($AH$2:$AH$1001,MATCH(ROWS($AF$2:AF884),$AF$2:$AF$1001,0),0), INDEX($AM$1004:$BM$1004,1,MATCH(COLUMNS($AM$1006:BB1006),$AM$1006:$BM$1006,0)))),"Fix")))</f>
        <v xml:space="preserve"> </v>
      </c>
      <c r="R884" s="4" t="str">
        <f ca="1">IF(OR(INDEX($AG$2:$AG$1001,MATCH(ROWS($AF$2:AF884),$AF$2:$AF$1001,0),1)&gt;=100000,INDEX($AM$1005:$BM$1005,1,MATCH(COLUMNS($AM$1006:BC1006),$AM$1006:$BM$1006,0))&gt;=100000), " ",IF(INDEX($AM$2:$BM$1001,MATCH(ROWS($AF$2:AF884),$AF$2:$AF$1001,0),MATCH(COLUMNS($AM$1006:BC1006),$AM$1006:$BM$1006,0)), HYPERLINK("#",""), HYPERLINK(CONCATENATE("#metadata!", ADDRESS(INDEX($AH$2:$AH$1001,MATCH(ROWS($AF$2:AF884),$AF$2:$AF$1001,0),0), INDEX($AM$1004:$BM$1004,1,MATCH(COLUMNS($AM$1006:BC1006),$AM$1006:$BM$1006,0)))),"Fix")))</f>
        <v xml:space="preserve"> </v>
      </c>
      <c r="S884" s="4" t="str">
        <f ca="1">IF(OR(INDEX($AG$2:$AG$1001,MATCH(ROWS($AF$2:AF884),$AF$2:$AF$1001,0),1)&gt;=100000,INDEX($AM$1005:$BM$1005,1,MATCH(COLUMNS($AM$1006:BD1006),$AM$1006:$BM$1006,0))&gt;=100000), " ",IF(INDEX($AM$2:$BM$1001,MATCH(ROWS($AF$2:AF884),$AF$2:$AF$1001,0),MATCH(COLUMNS($AM$1006:BD1006),$AM$1006:$BM$1006,0)), HYPERLINK("#",""), HYPERLINK(CONCATENATE("#metadata!", ADDRESS(INDEX($AH$2:$AH$1001,MATCH(ROWS($AF$2:AF884),$AF$2:$AF$1001,0),0), INDEX($AM$1004:$BM$1004,1,MATCH(COLUMNS($AM$1006:BD1006),$AM$1006:$BM$1006,0)))),"Fix")))</f>
        <v xml:space="preserve"> </v>
      </c>
      <c r="T884" s="4" t="str">
        <f ca="1">IF(OR(INDEX($AG$2:$AG$1001,MATCH(ROWS($AF$2:AF884),$AF$2:$AF$1001,0),1)&gt;=100000,INDEX($AM$1005:$BM$1005,1,MATCH(COLUMNS($AM$1006:BE1006),$AM$1006:$BM$1006,0))&gt;=100000), " ",IF(INDEX($AM$2:$BM$1001,MATCH(ROWS($AF$2:AF884),$AF$2:$AF$1001,0),MATCH(COLUMNS($AM$1006:BE1006),$AM$1006:$BM$1006,0)), HYPERLINK("#",""), HYPERLINK(CONCATENATE("#metadata!", ADDRESS(INDEX($AH$2:$AH$1001,MATCH(ROWS($AF$2:AF884),$AF$2:$AF$1001,0),0), INDEX($AM$1004:$BM$1004,1,MATCH(COLUMNS($AM$1006:BE1006),$AM$1006:$BM$1006,0)))),"Fix")))</f>
        <v xml:space="preserve"> </v>
      </c>
      <c r="U884" s="4" t="str">
        <f ca="1">IF(OR(INDEX($AG$2:$AG$1001,MATCH(ROWS($AF$2:AF884),$AF$2:$AF$1001,0),1)&gt;=100000,INDEX($AM$1005:$BM$1005,1,MATCH(COLUMNS($AM$1006:BF1006),$AM$1006:$BM$1006,0))&gt;=100000), " ",IF(INDEX($AM$2:$BM$1001,MATCH(ROWS($AF$2:AF884),$AF$2:$AF$1001,0),MATCH(COLUMNS($AM$1006:BF1006),$AM$1006:$BM$1006,0)), HYPERLINK("#",""), HYPERLINK(CONCATENATE("#metadata!", ADDRESS(INDEX($AH$2:$AH$1001,MATCH(ROWS($AF$2:AF884),$AF$2:$AF$1001,0),0), INDEX($AM$1004:$BM$1004,1,MATCH(COLUMNS($AM$1006:BF1006),$AM$1006:$BM$1006,0)))),"Fix")))</f>
        <v xml:space="preserve"> </v>
      </c>
      <c r="V884" s="4" t="str">
        <f ca="1">IF(OR(INDEX($AG$2:$AG$1001,MATCH(ROWS($AF$2:AF884),$AF$2:$AF$1001,0),1)&gt;=100000,INDEX($AM$1005:$BM$1005,1,MATCH(COLUMNS($AM$1006:BG1006),$AM$1006:$BM$1006,0))&gt;=100000), " ",IF(INDEX($AM$2:$BM$1001,MATCH(ROWS($AF$2:AF884),$AF$2:$AF$1001,0),MATCH(COLUMNS($AM$1006:BG1006),$AM$1006:$BM$1006,0)), HYPERLINK("#",""), HYPERLINK(CONCATENATE("#metadata!", ADDRESS(INDEX($AH$2:$AH$1001,MATCH(ROWS($AF$2:AF884),$AF$2:$AF$1001,0),0), INDEX($AM$1004:$BM$1004,1,MATCH(COLUMNS($AM$1006:BG1006),$AM$1006:$BM$1006,0)))),"Fix")))</f>
        <v xml:space="preserve"> </v>
      </c>
      <c r="W884" s="4" t="str">
        <f ca="1">IF(OR(INDEX($AG$2:$AG$1001,MATCH(ROWS($AF$2:AF884),$AF$2:$AF$1001,0),1)&gt;=100000,INDEX($AM$1005:$BM$1005,1,MATCH(COLUMNS($AM$1006:BH1006),$AM$1006:$BM$1006,0))&gt;=100000), " ",IF(INDEX($AM$2:$BM$1001,MATCH(ROWS($AF$2:AF884),$AF$2:$AF$1001,0),MATCH(COLUMNS($AM$1006:BH1006),$AM$1006:$BM$1006,0)), HYPERLINK("#",""), HYPERLINK(CONCATENATE("#metadata!", ADDRESS(INDEX($AH$2:$AH$1001,MATCH(ROWS($AF$2:AF884),$AF$2:$AF$1001,0),0), INDEX($AM$1004:$BM$1004,1,MATCH(COLUMNS($AM$1006:BH1006),$AM$1006:$BM$1006,0)))),"Fix")))</f>
        <v xml:space="preserve"> </v>
      </c>
      <c r="X884" s="4" t="str">
        <f ca="1">IF(OR(INDEX($AG$2:$AG$1001,MATCH(ROWS($AF$2:AF884),$AF$2:$AF$1001,0),1)&gt;=100000,INDEX($AM$1005:$BM$1005,1,MATCH(COLUMNS($AM$1006:BI1006),$AM$1006:$BM$1006,0))&gt;=100000), " ",IF(INDEX($AM$2:$BM$1001,MATCH(ROWS($AF$2:AF884),$AF$2:$AF$1001,0),MATCH(COLUMNS($AM$1006:BI1006),$AM$1006:$BM$1006,0)), HYPERLINK("#",""), HYPERLINK(CONCATENATE("#metadata!", ADDRESS(INDEX($AH$2:$AH$1001,MATCH(ROWS($AF$2:AF884),$AF$2:$AF$1001,0),0), INDEX($AM$1004:$BM$1004,1,MATCH(COLUMNS($AM$1006:BI1006),$AM$1006:$BM$1006,0)))),"Fix")))</f>
        <v xml:space="preserve"> </v>
      </c>
      <c r="Y884" s="4" t="str">
        <f ca="1">IF(OR(INDEX($AG$2:$AG$1001,MATCH(ROWS($AF$2:AF884),$AF$2:$AF$1001,0),1)&gt;=100000,INDEX($AM$1005:$BM$1005,1,MATCH(COLUMNS($AM$1006:BJ1006),$AM$1006:$BM$1006,0))&gt;=100000), " ",IF(INDEX($AM$2:$BM$1001,MATCH(ROWS($AF$2:AF884),$AF$2:$AF$1001,0),MATCH(COLUMNS($AM$1006:BJ1006),$AM$1006:$BM$1006,0)), HYPERLINK("#",""), HYPERLINK(CONCATENATE("#metadata!", ADDRESS(INDEX($AH$2:$AH$1001,MATCH(ROWS($AF$2:AF884),$AF$2:$AF$1001,0),0), INDEX($AM$1004:$BM$1004,1,MATCH(COLUMNS($AM$1006:BJ1006),$AM$1006:$BM$1006,0)))),"Fix")))</f>
        <v xml:space="preserve"> </v>
      </c>
      <c r="Z884" s="4" t="str">
        <f ca="1">IF(OR(INDEX($AG$2:$AG$1001,MATCH(ROWS($AF$2:AF884),$AF$2:$AF$1001,0),1)&gt;=100000,INDEX($AM$1005:$BM$1005,1,MATCH(COLUMNS($AM$1006:BK1006),$AM$1006:$BM$1006,0))&gt;=100000), " ",IF(INDEX($AM$2:$BM$1001,MATCH(ROWS($AF$2:AF884),$AF$2:$AF$1001,0),MATCH(COLUMNS($AM$1006:BK1006),$AM$1006:$BM$1006,0)), HYPERLINK("#",""), HYPERLINK(CONCATENATE("#metadata!", ADDRESS(INDEX($AH$2:$AH$1001,MATCH(ROWS($AF$2:AF884),$AF$2:$AF$1001,0),0), INDEX($AM$1004:$BM$1004,1,MATCH(COLUMNS($AM$1006:BK1006),$AM$1006:$BM$1006,0)))),"Fix")))</f>
        <v xml:space="preserve"> </v>
      </c>
      <c r="AA884" s="4" t="str">
        <f ca="1">IF(OR(INDEX($AG$2:$AG$1001,MATCH(ROWS($AF$2:AF884),$AF$2:$AF$1001,0),1)&gt;=100000,INDEX($AM$1005:$BM$1005,1,MATCH(COLUMNS($AM$1006:BL1006),$AM$1006:$BM$1006,0))&gt;=100000), " ",IF(INDEX($AM$2:$BM$1001,MATCH(ROWS($AF$2:AF884),$AF$2:$AF$1001,0),MATCH(COLUMNS($AM$1006:BL1006),$AM$1006:$BM$1006,0)), HYPERLINK("#",""), HYPERLINK(CONCATENATE("#metadata!", ADDRESS(INDEX($AH$2:$AH$1001,MATCH(ROWS($AF$2:AF884),$AF$2:$AF$1001,0),0), INDEX($AM$1004:$BM$1004,1,MATCH(COLUMNS($AM$1006:BL1006),$AM$1006:$BM$1006,0)))),"Fix")))</f>
        <v xml:space="preserve"> </v>
      </c>
      <c r="AB884" s="4" t="str">
        <f ca="1">IF(OR(INDEX($AG$2:$AG$1001,MATCH(ROWS($AF$2:AF884),$AF$2:$AF$1001,0),1)&gt;=100000,INDEX($AM$1005:$BM$1005,1,MATCH(COLUMNS($AM$1006:BM1006),$AM$1006:$BM$1006,0))&gt;=100000), " ",IF(INDEX($AM$2:$BM$1001,MATCH(ROWS($AF$2:AF884),$AF$2:$AF$1001,0),MATCH(COLUMNS($AM$1006:BM1006),$AM$1006:$BM$1006,0)), HYPERLINK("#",""), HYPERLINK(CONCATENATE("#metadata!", ADDRESS(INDEX($AH$2:$AH$1001,MATCH(ROWS($AF$2:AF884),$AF$2:$AF$1001,0),0), INDEX($AM$1004:$BM$1004,1,MATCH(COLUMNS($AM$1006:BM1006),$AM$1006:$BM$1006,0)))),"Fix")))</f>
        <v xml:space="preserve"> </v>
      </c>
      <c r="AF884">
        <v>883</v>
      </c>
      <c r="AG884">
        <v>100884</v>
      </c>
      <c r="AH884">
        <v>884</v>
      </c>
      <c r="AI884" t="b">
        <f t="shared" si="13"/>
        <v>1</v>
      </c>
      <c r="AJ884" t="b">
        <f>COUNTBLANK(metadata!B884:AB884)=COLUMNS(metadata!B884:AB884)</f>
        <v>1</v>
      </c>
      <c r="AK884" t="str">
        <v/>
      </c>
      <c r="AM884" t="b">
        <f ca="1">AND(IF(metadata!B884="",FALSE,TRUE),COUNTIF(metadata!B:B, metadata!B884) = 1,NOT(ISERROR(SUMPRODUCT(SEARCH(MID(metadata!B884,ROW(INDIRECT("1:"&amp;LEN(metadata!B884))), 1),"0123456789abcdefghijklmnopqrstuvwxyzABCDEFGHIJKLMNOPQRSTUVWXYZ.")))))</f>
        <v>0</v>
      </c>
      <c r="AN884" t="b">
        <f ca="1">OR(AND(IF(metadata!C884="",FALSE,TRUE),OR(EXACT(metadata!C884,"missing: not collected"),EXACT(metadata!C884,"missing: not provided"),EXACT(metadata!C884,"missing: restricted access"))),AND(IF(metadata!C884="",FALSE,TRUE),AND(AND(IFERROR(INT(LEFT(metadata!C884,4))&gt;1900,FALSE),IFERROR(INT(LEFT(metadata!C884,4))&lt;=YEAR(NOW()),FALSE)), OR(MID(metadata!C884,5,1)="", AND(AND(MID(metadata!C884,5,1)="-",IFERROR(INT(MID(metadata!C884,6,1))&gt;=0,FALSE),IFERROR(INT(MID(metadata!C884,6,1))&lt;=1,FALSE),NOT(MID(metadata!C884,7,1)=""),IFERROR(INT(MID(metadata!C884,6,2))&gt;=1,FALSE),IFERROR(INT(MID(metadata!C884,6,2))&lt;=12,FALSE)), OR(MID(metadata!C884,8,1)="", AND(AND(MID(metadata!C884,8,1)="-",IFERROR(INT(MID(metadata!C884,9,1))&gt;=0,FALSE),IFERROR(INT(MID(metadata!C884,9,1))&lt;=3,FALSE),NOT(MID(metadata!C884,10,1)=""),IFERROR(INT(MID(metadata!C884,9,2))&gt;=1,FALSE),IFERROR(INT(MID(metadata!C884,9,2))&lt;=31,FALSE)), OR(MID(metadata!C884,11,1)="", AND(AND(MID(metadata!C884,11,1)=" ",IFERROR(INT(MID(metadata!C884,12,1))&gt;=0,FALSE),IFERROR(INT(MID(metadata!C884,12,1))&lt;=2,FALSE),NOT(MID(metadata!C884,13,1)=""),IFERROR(INT(MID(metadata!C884,12,2))&gt;=0,FALSE),IFERROR(INT(MID(metadata!C884,12,2))&lt;=23,FALSE)), OR(MID(metadata!C884,14,1)="", AND(AND(MID(metadata!C884,14,1)=":",IFERROR(INT(MID(metadata!C884,15,1))&gt;=0,FALSE),IFERROR(INT(MID(metadata!C884,15,1))&lt;=5,FALSE),NOT(MID(metadata!C884,16,1)=""),IFERROR(INT(MID(metadata!C884,15,2))&gt;=0,FALSE),IFERROR(INT(MID(metadata!C884,15,2))&lt;=59,FALSE)), OR(MID(metadata!C884,17,1)="", AND(AND(MID(metadata!C884,17,1)=":",IFERROR(INT(MID(metadata!C884,18,1))&gt;=0,FALSE),IFERROR(INT(MID(metadata!C884,18,1))&lt;=5,FALSE),NOT(MID(metadata!C884,19,1)=""),IFERROR(INT(MID(metadata!C884,18,2))&gt;=0,FALSE),IFERROR(INT(MID(metadata!C884,18,2))&lt;=59,FALSE)), LEN(metadata!C884)&lt;=19)))))))))))))</f>
        <v>0</v>
      </c>
      <c r="AO884" t="b">
        <f>AND(IF(metadata!D884="",FALSE,TRUE),EXACT(metadata!D884,"Not applicable"))</f>
        <v>0</v>
      </c>
      <c r="AP884" t="b">
        <f>IF(metadata!E884="",FALSE,TRUE)</f>
        <v>0</v>
      </c>
      <c r="AQ884" t="b">
        <f>OR(AND(IF(metadata!F884="",FALSE,TRUE),OR(EXACT(metadata!F884,"missing: not collected"),EXACT(metadata!F884,"missing: not provided"))),AND(IF(metadata!F884="",FALSE,TRUE),OR(EXACT(metadata!F884,"TRUE"),EXACT(metadata!F884,"FALSE"))))</f>
        <v>0</v>
      </c>
      <c r="AR884" t="b">
        <f>OR(AND(IF(metadata!G884="",FALSE,TRUE),OR(EXACT(metadata!G884,"missing: not collected"),EXACT(metadata!G884,"missing: not provided"),EXACT(metadata!G884,"missing: restricted access"))),AND(IF(metadata!G884="",FALSE,ISNUMBER(VALUE(metadata!G884))),metadata!G884&gt;=-413))</f>
        <v>0</v>
      </c>
      <c r="AS884" t="b">
        <f>AND(IF(metadata!H884="",FALSE,TRUE),EXACT(metadata!H884,"meters"))</f>
        <v>0</v>
      </c>
      <c r="AT884" t="b">
        <f>AND(IF(metadata!I884="",FALSE,TRUE),OR(EXACT(metadata!I884,"Host-associated"),EXACT(metadata!I884,"Free-living")))</f>
        <v>0</v>
      </c>
      <c r="AU884" t="b">
        <f>AND(IF(metadata!J884="",FALSE,TRUE),OR(EXACT(metadata!J884,"Animal"),EXACT(metadata!J884,"Fungus"),EXACT(metadata!J884,"Plant"),EXACT(metadata!J884,"Saline"),EXACT(metadata!J884,"Non-saline")))</f>
        <v>0</v>
      </c>
      <c r="AV884" t="b">
        <f>AND(IF(metadata!K884="",FALSE,TRUE),OR(EXACT(metadata!K884,"Plant secretion"),EXACT(metadata!K884,"Plant rhizosphere"),EXACT(metadata!K884,"Plant surface"),EXACT(metadata!K884,"Plant corpus"),EXACT(metadata!K884,"Fungus surface"),EXACT(metadata!K884,"Fungus corpus"),EXACT(metadata!K884,"Animal surface"),EXACT(metadata!K884,"Animal proximal gut"),EXACT(metadata!K884,"Animal corpus"),EXACT(metadata!K884,"Animal distal gut"),EXACT(metadata!K884,"Animal secretion"),EXACT(metadata!K884,"Sub-surface (non-saline)"),EXACT(metadata!K884,"Surface (non-saline)"),EXACT(metadata!K884,"Water (non-saline)"),EXACT(metadata!K884,"Soil (non-saline)"),EXACT(metadata!K884,"Aerosol (non-saline)"),EXACT(metadata!K884,"Sediment (non-saline)"),EXACT(metadata!K884,"Surface (saline)"),EXACT(metadata!K884,"Water (saline)"),EXACT(metadata!K884,"Hypersaline (saline)"),EXACT(metadata!K884,"Aerosol (saline)"),EXACT(metadata!K884,"Sediment (saline)")))</f>
        <v>0</v>
      </c>
      <c r="AW884" t="b">
        <f>IF(metadata!L884="",FALSE,TRUE)</f>
        <v>0</v>
      </c>
      <c r="AX884" t="b">
        <f>IF(metadata!M884="",FALSE,TRUE)</f>
        <v>0</v>
      </c>
      <c r="AY884" t="b">
        <f>IF(metadata!N884="",FALSE,TRUE)</f>
        <v>0</v>
      </c>
      <c r="AZ884" t="b">
        <f>OR(AND(IF(metadata!O884="",FALSE,TRUE),OR(EXACT(metadata!O884,"missing: not collected"),EXACT(metadata!O884,"missing: not provided"),EXACT(metadata!O884,"missing: restricted access"))),AND(IF(metadata!O884="",FALSE,TRUE),OR(EXACT(metadata!O884,"air"),EXACT(metadata!O884,"built environment"),EXACT(metadata!O884,"host-associated"),EXACT(metadata!O884,"human-associated"),EXACT(metadata!O884,"human-skin"),EXACT(metadata!O884,"human-oral"),EXACT(metadata!O884,"human-gut"),EXACT(metadata!O884,"human-vaginal"),EXACT(metadata!O884,"microbial mat/biofilm"),EXACT(metadata!O884,"misc environment"),EXACT(metadata!O884,"plant-associated"),EXACT(metadata!O884,"sediment"),EXACT(metadata!O884,"soil"),EXACT(metadata!O884,"wastewater/sludge"),EXACT(metadata!O884,"water"))))</f>
        <v>0</v>
      </c>
      <c r="BA884" t="b">
        <f>IF(metadata!P884="",FALSE,TRUE)</f>
        <v>0</v>
      </c>
      <c r="BB884" t="b">
        <f>IF(metadata!Q884="",FALSE,TRUE)</f>
        <v>0</v>
      </c>
      <c r="BC884" t="b">
        <f>OR(AND(IF(metadata!R884="",FALSE,TRUE),OR(EXACT(metadata!R884,"missing: not collected"),EXACT(metadata!R884,"missing: not provided"),EXACT(metadata!R884,"missing: restricted access"))),AND(IF(metadata!R884="",FALSE,ISNUMBER(VALUE(metadata!R884))),metadata!R884&gt;=-90,metadata!R884&lt;=90))</f>
        <v>0</v>
      </c>
      <c r="BD884" t="b">
        <f>AND(IF(metadata!S884="",FALSE,TRUE),EXACT(metadata!S884,"Decimal degrees"))</f>
        <v>0</v>
      </c>
      <c r="BE884" t="b">
        <f>OR(AND(IF(metadata!T884="",FALSE,TRUE),OR(EXACT(metadata!T884,"missing: not collected"),EXACT(metadata!T884,"missing: not provided"),EXACT(metadata!T884,"missing: restricted access"))),AND(IF(metadata!T884="",FALSE,ISNUMBER(VALUE(metadata!T884))),metadata!T884&gt;=-180,metadata!T884&lt;=180))</f>
        <v>0</v>
      </c>
      <c r="BF884" t="b">
        <f>AND(IF(metadata!U884="",FALSE,TRUE),EXACT(metadata!U884,"Decimal degrees"))</f>
        <v>0</v>
      </c>
      <c r="BG884" t="b">
        <f>IF(metadata!V884="",FALSE,TRUE)</f>
        <v>0</v>
      </c>
      <c r="BH884" t="b">
        <f>OR(AND(IF(metadata!W884="",FALSE,TRUE),OR(EXACT(metadata!W884,"missing: not collected"),EXACT(metadata!W884,"missing: not provided"),EXACT(metadata!W884,"missing: restricted access"))),AND(IF(metadata!W884="",FALSE,TRUE),OR(EXACT(metadata!W884,"TRUE"),EXACT(metadata!W884,"FALSE"))))</f>
        <v>0</v>
      </c>
      <c r="BI884" t="b">
        <f>AND(IF(metadata!X884="",FALSE,TRUE),EXACT(metadata!X884,"other"))</f>
        <v>0</v>
      </c>
      <c r="BJ884" t="b">
        <f>IF(metadata!Y884="",FALSE,TRUE)</f>
        <v>0</v>
      </c>
      <c r="BK884" t="b">
        <f>OR(AND(IF(metadata!Z884="",FALSE,TRUE),OR(EXACT(metadata!Z884,"missing: not collected"),EXACT(metadata!Z884,"missing: not provided"))),AND(IF(metadata!Z884="",FALSE,IF(ISERROR(INT(metadata!Z884)),FALSE,INT(metadata!Z884)=metadata!Z884)),metadata!Z884&gt;0))</f>
        <v>0</v>
      </c>
      <c r="BL884" t="b">
        <f>AND(IF(metadata!AA884="",FALSE,TRUE),EXACT(metadata!AA884,"Not applicable"))</f>
        <v>0</v>
      </c>
      <c r="BM884" t="b">
        <f>IF(metadata!AB884="",FALSE,TRUE)</f>
        <v>0</v>
      </c>
    </row>
    <row r="885" spans="1:65" x14ac:dyDescent="0.2">
      <c r="A885" s="5" t="str">
        <f ca="1">IF(B885=" "," ",HYPERLINK(CONCATENATE("#metadata!",ADDRESS(INDEX($AH$2:$AH$1001,MATCH(ROWS($AF$2:AF885),$AF$2:$AF$1001,0),0),1)),INDEX($AK$2:$AK$1001,MATCH(ROWS($AF$2:AF885),$AF$2:$AF$1001,0),0)))</f>
        <v xml:space="preserve"> </v>
      </c>
      <c r="B885" s="4" t="str">
        <f ca="1">IF(OR(INDEX($AG$2:$AG$1001,MATCH(ROWS($AF$2:AF885),$AF$2:$AF$1001,0),1)&gt;=100000,INDEX($AM$1005:$BM$1005,1,MATCH(COLUMNS($AM$1006:AM1006),$AM$1006:$BM$1006,0))&gt;=100000), " ",IF(INDEX($AM$2:$BM$1001,MATCH(ROWS($AF$2:AF885),$AF$2:$AF$1001,0),MATCH(COLUMNS($AM$1006:AM1006),$AM$1006:$BM$1006,0)), HYPERLINK("#",""), HYPERLINK(CONCATENATE("#metadata!", ADDRESS(INDEX($AH$2:$AH$1001,MATCH(ROWS($AF$2:AF885),$AF$2:$AF$1001,0),0), INDEX($AM$1004:$BM$1004,1,MATCH(COLUMNS($AM$1006:AM1006),$AM$1006:$BM$1006,0)))),"Fix")))</f>
        <v xml:space="preserve"> </v>
      </c>
      <c r="C885" s="4" t="str">
        <f ca="1">IF(OR(INDEX($AG$2:$AG$1001,MATCH(ROWS($AF$2:AF885),$AF$2:$AF$1001,0),1)&gt;=100000,INDEX($AM$1005:$BM$1005,1,MATCH(COLUMNS($AM$1006:AN1006),$AM$1006:$BM$1006,0))&gt;=100000), " ",IF(INDEX($AM$2:$BM$1001,MATCH(ROWS($AF$2:AF885),$AF$2:$AF$1001,0),MATCH(COLUMNS($AM$1006:AN1006),$AM$1006:$BM$1006,0)), HYPERLINK("#",""), HYPERLINK(CONCATENATE("#metadata!", ADDRESS(INDEX($AH$2:$AH$1001,MATCH(ROWS($AF$2:AF885),$AF$2:$AF$1001,0),0), INDEX($AM$1004:$BM$1004,1,MATCH(COLUMNS($AM$1006:AN1006),$AM$1006:$BM$1006,0)))),"Fix")))</f>
        <v xml:space="preserve"> </v>
      </c>
      <c r="D885" s="4" t="str">
        <f ca="1">IF(OR(INDEX($AG$2:$AG$1001,MATCH(ROWS($AF$2:AF885),$AF$2:$AF$1001,0),1)&gt;=100000,INDEX($AM$1005:$BM$1005,1,MATCH(COLUMNS($AM$1006:AO1006),$AM$1006:$BM$1006,0))&gt;=100000), " ",IF(INDEX($AM$2:$BM$1001,MATCH(ROWS($AF$2:AF885),$AF$2:$AF$1001,0),MATCH(COLUMNS($AM$1006:AO1006),$AM$1006:$BM$1006,0)), HYPERLINK("#",""), HYPERLINK(CONCATENATE("#metadata!", ADDRESS(INDEX($AH$2:$AH$1001,MATCH(ROWS($AF$2:AF885),$AF$2:$AF$1001,0),0), INDEX($AM$1004:$BM$1004,1,MATCH(COLUMNS($AM$1006:AO1006),$AM$1006:$BM$1006,0)))),"Fix")))</f>
        <v xml:space="preserve"> </v>
      </c>
      <c r="E885" s="4" t="str">
        <f ca="1">IF(OR(INDEX($AG$2:$AG$1001,MATCH(ROWS($AF$2:AF885),$AF$2:$AF$1001,0),1)&gt;=100000,INDEX($AM$1005:$BM$1005,1,MATCH(COLUMNS($AM$1006:AP1006),$AM$1006:$BM$1006,0))&gt;=100000), " ",IF(INDEX($AM$2:$BM$1001,MATCH(ROWS($AF$2:AF885),$AF$2:$AF$1001,0),MATCH(COLUMNS($AM$1006:AP1006),$AM$1006:$BM$1006,0)), HYPERLINK("#",""), HYPERLINK(CONCATENATE("#metadata!", ADDRESS(INDEX($AH$2:$AH$1001,MATCH(ROWS($AF$2:AF885),$AF$2:$AF$1001,0),0), INDEX($AM$1004:$BM$1004,1,MATCH(COLUMNS($AM$1006:AP1006),$AM$1006:$BM$1006,0)))),"Fix")))</f>
        <v xml:space="preserve"> </v>
      </c>
      <c r="F885" s="4" t="str">
        <f ca="1">IF(OR(INDEX($AG$2:$AG$1001,MATCH(ROWS($AF$2:AF885),$AF$2:$AF$1001,0),1)&gt;=100000,INDEX($AM$1005:$BM$1005,1,MATCH(COLUMNS($AM$1006:AQ1006),$AM$1006:$BM$1006,0))&gt;=100000), " ",IF(INDEX($AM$2:$BM$1001,MATCH(ROWS($AF$2:AF885),$AF$2:$AF$1001,0),MATCH(COLUMNS($AM$1006:AQ1006),$AM$1006:$BM$1006,0)), HYPERLINK("#",""), HYPERLINK(CONCATENATE("#metadata!", ADDRESS(INDEX($AH$2:$AH$1001,MATCH(ROWS($AF$2:AF885),$AF$2:$AF$1001,0),0), INDEX($AM$1004:$BM$1004,1,MATCH(COLUMNS($AM$1006:AQ1006),$AM$1006:$BM$1006,0)))),"Fix")))</f>
        <v xml:space="preserve"> </v>
      </c>
      <c r="G885" s="4" t="str">
        <f ca="1">IF(OR(INDEX($AG$2:$AG$1001,MATCH(ROWS($AF$2:AF885),$AF$2:$AF$1001,0),1)&gt;=100000,INDEX($AM$1005:$BM$1005,1,MATCH(COLUMNS($AM$1006:AR1006),$AM$1006:$BM$1006,0))&gt;=100000), " ",IF(INDEX($AM$2:$BM$1001,MATCH(ROWS($AF$2:AF885),$AF$2:$AF$1001,0),MATCH(COLUMNS($AM$1006:AR1006),$AM$1006:$BM$1006,0)), HYPERLINK("#",""), HYPERLINK(CONCATENATE("#metadata!", ADDRESS(INDEX($AH$2:$AH$1001,MATCH(ROWS($AF$2:AF885),$AF$2:$AF$1001,0),0), INDEX($AM$1004:$BM$1004,1,MATCH(COLUMNS($AM$1006:AR1006),$AM$1006:$BM$1006,0)))),"Fix")))</f>
        <v xml:space="preserve"> </v>
      </c>
      <c r="H885" s="4" t="str">
        <f ca="1">IF(OR(INDEX($AG$2:$AG$1001,MATCH(ROWS($AF$2:AF885),$AF$2:$AF$1001,0),1)&gt;=100000,INDEX($AM$1005:$BM$1005,1,MATCH(COLUMNS($AM$1006:AS1006),$AM$1006:$BM$1006,0))&gt;=100000), " ",IF(INDEX($AM$2:$BM$1001,MATCH(ROWS($AF$2:AF885),$AF$2:$AF$1001,0),MATCH(COLUMNS($AM$1006:AS1006),$AM$1006:$BM$1006,0)), HYPERLINK("#",""), HYPERLINK(CONCATENATE("#metadata!", ADDRESS(INDEX($AH$2:$AH$1001,MATCH(ROWS($AF$2:AF885),$AF$2:$AF$1001,0),0), INDEX($AM$1004:$BM$1004,1,MATCH(COLUMNS($AM$1006:AS1006),$AM$1006:$BM$1006,0)))),"Fix")))</f>
        <v xml:space="preserve"> </v>
      </c>
      <c r="I885" s="4" t="str">
        <f ca="1">IF(OR(INDEX($AG$2:$AG$1001,MATCH(ROWS($AF$2:AF885),$AF$2:$AF$1001,0),1)&gt;=100000,INDEX($AM$1005:$BM$1005,1,MATCH(COLUMNS($AM$1006:AT1006),$AM$1006:$BM$1006,0))&gt;=100000), " ",IF(INDEX($AM$2:$BM$1001,MATCH(ROWS($AF$2:AF885),$AF$2:$AF$1001,0),MATCH(COLUMNS($AM$1006:AT1006),$AM$1006:$BM$1006,0)), HYPERLINK("#",""), HYPERLINK(CONCATENATE("#metadata!", ADDRESS(INDEX($AH$2:$AH$1001,MATCH(ROWS($AF$2:AF885),$AF$2:$AF$1001,0),0), INDEX($AM$1004:$BM$1004,1,MATCH(COLUMNS($AM$1006:AT1006),$AM$1006:$BM$1006,0)))),"Fix")))</f>
        <v xml:space="preserve"> </v>
      </c>
      <c r="J885" s="4" t="str">
        <f ca="1">IF(OR(INDEX($AG$2:$AG$1001,MATCH(ROWS($AF$2:AF885),$AF$2:$AF$1001,0),1)&gt;=100000,INDEX($AM$1005:$BM$1005,1,MATCH(COLUMNS($AM$1006:AU1006),$AM$1006:$BM$1006,0))&gt;=100000), " ",IF(INDEX($AM$2:$BM$1001,MATCH(ROWS($AF$2:AF885),$AF$2:$AF$1001,0),MATCH(COLUMNS($AM$1006:AU1006),$AM$1006:$BM$1006,0)), HYPERLINK("#",""), HYPERLINK(CONCATENATE("#metadata!", ADDRESS(INDEX($AH$2:$AH$1001,MATCH(ROWS($AF$2:AF885),$AF$2:$AF$1001,0),0), INDEX($AM$1004:$BM$1004,1,MATCH(COLUMNS($AM$1006:AU1006),$AM$1006:$BM$1006,0)))),"Fix")))</f>
        <v xml:space="preserve"> </v>
      </c>
      <c r="K885" s="4" t="str">
        <f ca="1">IF(OR(INDEX($AG$2:$AG$1001,MATCH(ROWS($AF$2:AF885),$AF$2:$AF$1001,0),1)&gt;=100000,INDEX($AM$1005:$BM$1005,1,MATCH(COLUMNS($AM$1006:AV1006),$AM$1006:$BM$1006,0))&gt;=100000), " ",IF(INDEX($AM$2:$BM$1001,MATCH(ROWS($AF$2:AF885),$AF$2:$AF$1001,0),MATCH(COLUMNS($AM$1006:AV1006),$AM$1006:$BM$1006,0)), HYPERLINK("#",""), HYPERLINK(CONCATENATE("#metadata!", ADDRESS(INDEX($AH$2:$AH$1001,MATCH(ROWS($AF$2:AF885),$AF$2:$AF$1001,0),0), INDEX($AM$1004:$BM$1004,1,MATCH(COLUMNS($AM$1006:AV1006),$AM$1006:$BM$1006,0)))),"Fix")))</f>
        <v xml:space="preserve"> </v>
      </c>
      <c r="L885" s="4" t="str">
        <f ca="1">IF(OR(INDEX($AG$2:$AG$1001,MATCH(ROWS($AF$2:AF885),$AF$2:$AF$1001,0),1)&gt;=100000,INDEX($AM$1005:$BM$1005,1,MATCH(COLUMNS($AM$1006:AW1006),$AM$1006:$BM$1006,0))&gt;=100000), " ",IF(INDEX($AM$2:$BM$1001,MATCH(ROWS($AF$2:AF885),$AF$2:$AF$1001,0),MATCH(COLUMNS($AM$1006:AW1006),$AM$1006:$BM$1006,0)), HYPERLINK("#",""), HYPERLINK(CONCATENATE("#metadata!", ADDRESS(INDEX($AH$2:$AH$1001,MATCH(ROWS($AF$2:AF885),$AF$2:$AF$1001,0),0), INDEX($AM$1004:$BM$1004,1,MATCH(COLUMNS($AM$1006:AW1006),$AM$1006:$BM$1006,0)))),"Fix")))</f>
        <v xml:space="preserve"> </v>
      </c>
      <c r="M885" s="4" t="str">
        <f ca="1">IF(OR(INDEX($AG$2:$AG$1001,MATCH(ROWS($AF$2:AF885),$AF$2:$AF$1001,0),1)&gt;=100000,INDEX($AM$1005:$BM$1005,1,MATCH(COLUMNS($AM$1006:AX1006),$AM$1006:$BM$1006,0))&gt;=100000), " ",IF(INDEX($AM$2:$BM$1001,MATCH(ROWS($AF$2:AF885),$AF$2:$AF$1001,0),MATCH(COLUMNS($AM$1006:AX1006),$AM$1006:$BM$1006,0)), HYPERLINK("#",""), HYPERLINK(CONCATENATE("#metadata!", ADDRESS(INDEX($AH$2:$AH$1001,MATCH(ROWS($AF$2:AF885),$AF$2:$AF$1001,0),0), INDEX($AM$1004:$BM$1004,1,MATCH(COLUMNS($AM$1006:AX1006),$AM$1006:$BM$1006,0)))),"Fix")))</f>
        <v xml:space="preserve"> </v>
      </c>
      <c r="N885" s="4" t="str">
        <f ca="1">IF(OR(INDEX($AG$2:$AG$1001,MATCH(ROWS($AF$2:AF885),$AF$2:$AF$1001,0),1)&gt;=100000,INDEX($AM$1005:$BM$1005,1,MATCH(COLUMNS($AM$1006:AY1006),$AM$1006:$BM$1006,0))&gt;=100000), " ",IF(INDEX($AM$2:$BM$1001,MATCH(ROWS($AF$2:AF885),$AF$2:$AF$1001,0),MATCH(COLUMNS($AM$1006:AY1006),$AM$1006:$BM$1006,0)), HYPERLINK("#",""), HYPERLINK(CONCATENATE("#metadata!", ADDRESS(INDEX($AH$2:$AH$1001,MATCH(ROWS($AF$2:AF885),$AF$2:$AF$1001,0),0), INDEX($AM$1004:$BM$1004,1,MATCH(COLUMNS($AM$1006:AY1006),$AM$1006:$BM$1006,0)))),"Fix")))</f>
        <v xml:space="preserve"> </v>
      </c>
      <c r="O885" s="4" t="str">
        <f ca="1">IF(OR(INDEX($AG$2:$AG$1001,MATCH(ROWS($AF$2:AF885),$AF$2:$AF$1001,0),1)&gt;=100000,INDEX($AM$1005:$BM$1005,1,MATCH(COLUMNS($AM$1006:AZ1006),$AM$1006:$BM$1006,0))&gt;=100000), " ",IF(INDEX($AM$2:$BM$1001,MATCH(ROWS($AF$2:AF885),$AF$2:$AF$1001,0),MATCH(COLUMNS($AM$1006:AZ1006),$AM$1006:$BM$1006,0)), HYPERLINK("#",""), HYPERLINK(CONCATENATE("#metadata!", ADDRESS(INDEX($AH$2:$AH$1001,MATCH(ROWS($AF$2:AF885),$AF$2:$AF$1001,0),0), INDEX($AM$1004:$BM$1004,1,MATCH(COLUMNS($AM$1006:AZ1006),$AM$1006:$BM$1006,0)))),"Fix")))</f>
        <v xml:space="preserve"> </v>
      </c>
      <c r="P885" s="4" t="str">
        <f ca="1">IF(OR(INDEX($AG$2:$AG$1001,MATCH(ROWS($AF$2:AF885),$AF$2:$AF$1001,0),1)&gt;=100000,INDEX($AM$1005:$BM$1005,1,MATCH(COLUMNS($AM$1006:BA1006),$AM$1006:$BM$1006,0))&gt;=100000), " ",IF(INDEX($AM$2:$BM$1001,MATCH(ROWS($AF$2:AF885),$AF$2:$AF$1001,0),MATCH(COLUMNS($AM$1006:BA1006),$AM$1006:$BM$1006,0)), HYPERLINK("#",""), HYPERLINK(CONCATENATE("#metadata!", ADDRESS(INDEX($AH$2:$AH$1001,MATCH(ROWS($AF$2:AF885),$AF$2:$AF$1001,0),0), INDEX($AM$1004:$BM$1004,1,MATCH(COLUMNS($AM$1006:BA1006),$AM$1006:$BM$1006,0)))),"Fix")))</f>
        <v xml:space="preserve"> </v>
      </c>
      <c r="Q885" s="4" t="str">
        <f ca="1">IF(OR(INDEX($AG$2:$AG$1001,MATCH(ROWS($AF$2:AF885),$AF$2:$AF$1001,0),1)&gt;=100000,INDEX($AM$1005:$BM$1005,1,MATCH(COLUMNS($AM$1006:BB1006),$AM$1006:$BM$1006,0))&gt;=100000), " ",IF(INDEX($AM$2:$BM$1001,MATCH(ROWS($AF$2:AF885),$AF$2:$AF$1001,0),MATCH(COLUMNS($AM$1006:BB1006),$AM$1006:$BM$1006,0)), HYPERLINK("#",""), HYPERLINK(CONCATENATE("#metadata!", ADDRESS(INDEX($AH$2:$AH$1001,MATCH(ROWS($AF$2:AF885),$AF$2:$AF$1001,0),0), INDEX($AM$1004:$BM$1004,1,MATCH(COLUMNS($AM$1006:BB1006),$AM$1006:$BM$1006,0)))),"Fix")))</f>
        <v xml:space="preserve"> </v>
      </c>
      <c r="R885" s="4" t="str">
        <f ca="1">IF(OR(INDEX($AG$2:$AG$1001,MATCH(ROWS($AF$2:AF885),$AF$2:$AF$1001,0),1)&gt;=100000,INDEX($AM$1005:$BM$1005,1,MATCH(COLUMNS($AM$1006:BC1006),$AM$1006:$BM$1006,0))&gt;=100000), " ",IF(INDEX($AM$2:$BM$1001,MATCH(ROWS($AF$2:AF885),$AF$2:$AF$1001,0),MATCH(COLUMNS($AM$1006:BC1006),$AM$1006:$BM$1006,0)), HYPERLINK("#",""), HYPERLINK(CONCATENATE("#metadata!", ADDRESS(INDEX($AH$2:$AH$1001,MATCH(ROWS($AF$2:AF885),$AF$2:$AF$1001,0),0), INDEX($AM$1004:$BM$1004,1,MATCH(COLUMNS($AM$1006:BC1006),$AM$1006:$BM$1006,0)))),"Fix")))</f>
        <v xml:space="preserve"> </v>
      </c>
      <c r="S885" s="4" t="str">
        <f ca="1">IF(OR(INDEX($AG$2:$AG$1001,MATCH(ROWS($AF$2:AF885),$AF$2:$AF$1001,0),1)&gt;=100000,INDEX($AM$1005:$BM$1005,1,MATCH(COLUMNS($AM$1006:BD1006),$AM$1006:$BM$1006,0))&gt;=100000), " ",IF(INDEX($AM$2:$BM$1001,MATCH(ROWS($AF$2:AF885),$AF$2:$AF$1001,0),MATCH(COLUMNS($AM$1006:BD1006),$AM$1006:$BM$1006,0)), HYPERLINK("#",""), HYPERLINK(CONCATENATE("#metadata!", ADDRESS(INDEX($AH$2:$AH$1001,MATCH(ROWS($AF$2:AF885),$AF$2:$AF$1001,0),0), INDEX($AM$1004:$BM$1004,1,MATCH(COLUMNS($AM$1006:BD1006),$AM$1006:$BM$1006,0)))),"Fix")))</f>
        <v xml:space="preserve"> </v>
      </c>
      <c r="T885" s="4" t="str">
        <f ca="1">IF(OR(INDEX($AG$2:$AG$1001,MATCH(ROWS($AF$2:AF885),$AF$2:$AF$1001,0),1)&gt;=100000,INDEX($AM$1005:$BM$1005,1,MATCH(COLUMNS($AM$1006:BE1006),$AM$1006:$BM$1006,0))&gt;=100000), " ",IF(INDEX($AM$2:$BM$1001,MATCH(ROWS($AF$2:AF885),$AF$2:$AF$1001,0),MATCH(COLUMNS($AM$1006:BE1006),$AM$1006:$BM$1006,0)), HYPERLINK("#",""), HYPERLINK(CONCATENATE("#metadata!", ADDRESS(INDEX($AH$2:$AH$1001,MATCH(ROWS($AF$2:AF885),$AF$2:$AF$1001,0),0), INDEX($AM$1004:$BM$1004,1,MATCH(COLUMNS($AM$1006:BE1006),$AM$1006:$BM$1006,0)))),"Fix")))</f>
        <v xml:space="preserve"> </v>
      </c>
      <c r="U885" s="4" t="str">
        <f ca="1">IF(OR(INDEX($AG$2:$AG$1001,MATCH(ROWS($AF$2:AF885),$AF$2:$AF$1001,0),1)&gt;=100000,INDEX($AM$1005:$BM$1005,1,MATCH(COLUMNS($AM$1006:BF1006),$AM$1006:$BM$1006,0))&gt;=100000), " ",IF(INDEX($AM$2:$BM$1001,MATCH(ROWS($AF$2:AF885),$AF$2:$AF$1001,0),MATCH(COLUMNS($AM$1006:BF1006),$AM$1006:$BM$1006,0)), HYPERLINK("#",""), HYPERLINK(CONCATENATE("#metadata!", ADDRESS(INDEX($AH$2:$AH$1001,MATCH(ROWS($AF$2:AF885),$AF$2:$AF$1001,0),0), INDEX($AM$1004:$BM$1004,1,MATCH(COLUMNS($AM$1006:BF1006),$AM$1006:$BM$1006,0)))),"Fix")))</f>
        <v xml:space="preserve"> </v>
      </c>
      <c r="V885" s="4" t="str">
        <f ca="1">IF(OR(INDEX($AG$2:$AG$1001,MATCH(ROWS($AF$2:AF885),$AF$2:$AF$1001,0),1)&gt;=100000,INDEX($AM$1005:$BM$1005,1,MATCH(COLUMNS($AM$1006:BG1006),$AM$1006:$BM$1006,0))&gt;=100000), " ",IF(INDEX($AM$2:$BM$1001,MATCH(ROWS($AF$2:AF885),$AF$2:$AF$1001,0),MATCH(COLUMNS($AM$1006:BG1006),$AM$1006:$BM$1006,0)), HYPERLINK("#",""), HYPERLINK(CONCATENATE("#metadata!", ADDRESS(INDEX($AH$2:$AH$1001,MATCH(ROWS($AF$2:AF885),$AF$2:$AF$1001,0),0), INDEX($AM$1004:$BM$1004,1,MATCH(COLUMNS($AM$1006:BG1006),$AM$1006:$BM$1006,0)))),"Fix")))</f>
        <v xml:space="preserve"> </v>
      </c>
      <c r="W885" s="4" t="str">
        <f ca="1">IF(OR(INDEX($AG$2:$AG$1001,MATCH(ROWS($AF$2:AF885),$AF$2:$AF$1001,0),1)&gt;=100000,INDEX($AM$1005:$BM$1005,1,MATCH(COLUMNS($AM$1006:BH1006),$AM$1006:$BM$1006,0))&gt;=100000), " ",IF(INDEX($AM$2:$BM$1001,MATCH(ROWS($AF$2:AF885),$AF$2:$AF$1001,0),MATCH(COLUMNS($AM$1006:BH1006),$AM$1006:$BM$1006,0)), HYPERLINK("#",""), HYPERLINK(CONCATENATE("#metadata!", ADDRESS(INDEX($AH$2:$AH$1001,MATCH(ROWS($AF$2:AF885),$AF$2:$AF$1001,0),0), INDEX($AM$1004:$BM$1004,1,MATCH(COLUMNS($AM$1006:BH1006),$AM$1006:$BM$1006,0)))),"Fix")))</f>
        <v xml:space="preserve"> </v>
      </c>
      <c r="X885" s="4" t="str">
        <f ca="1">IF(OR(INDEX($AG$2:$AG$1001,MATCH(ROWS($AF$2:AF885),$AF$2:$AF$1001,0),1)&gt;=100000,INDEX($AM$1005:$BM$1005,1,MATCH(COLUMNS($AM$1006:BI1006),$AM$1006:$BM$1006,0))&gt;=100000), " ",IF(INDEX($AM$2:$BM$1001,MATCH(ROWS($AF$2:AF885),$AF$2:$AF$1001,0),MATCH(COLUMNS($AM$1006:BI1006),$AM$1006:$BM$1006,0)), HYPERLINK("#",""), HYPERLINK(CONCATENATE("#metadata!", ADDRESS(INDEX($AH$2:$AH$1001,MATCH(ROWS($AF$2:AF885),$AF$2:$AF$1001,0),0), INDEX($AM$1004:$BM$1004,1,MATCH(COLUMNS($AM$1006:BI1006),$AM$1006:$BM$1006,0)))),"Fix")))</f>
        <v xml:space="preserve"> </v>
      </c>
      <c r="Y885" s="4" t="str">
        <f ca="1">IF(OR(INDEX($AG$2:$AG$1001,MATCH(ROWS($AF$2:AF885),$AF$2:$AF$1001,0),1)&gt;=100000,INDEX($AM$1005:$BM$1005,1,MATCH(COLUMNS($AM$1006:BJ1006),$AM$1006:$BM$1006,0))&gt;=100000), " ",IF(INDEX($AM$2:$BM$1001,MATCH(ROWS($AF$2:AF885),$AF$2:$AF$1001,0),MATCH(COLUMNS($AM$1006:BJ1006),$AM$1006:$BM$1006,0)), HYPERLINK("#",""), HYPERLINK(CONCATENATE("#metadata!", ADDRESS(INDEX($AH$2:$AH$1001,MATCH(ROWS($AF$2:AF885),$AF$2:$AF$1001,0),0), INDEX($AM$1004:$BM$1004,1,MATCH(COLUMNS($AM$1006:BJ1006),$AM$1006:$BM$1006,0)))),"Fix")))</f>
        <v xml:space="preserve"> </v>
      </c>
      <c r="Z885" s="4" t="str">
        <f ca="1">IF(OR(INDEX($AG$2:$AG$1001,MATCH(ROWS($AF$2:AF885),$AF$2:$AF$1001,0),1)&gt;=100000,INDEX($AM$1005:$BM$1005,1,MATCH(COLUMNS($AM$1006:BK1006),$AM$1006:$BM$1006,0))&gt;=100000), " ",IF(INDEX($AM$2:$BM$1001,MATCH(ROWS($AF$2:AF885),$AF$2:$AF$1001,0),MATCH(COLUMNS($AM$1006:BK1006),$AM$1006:$BM$1006,0)), HYPERLINK("#",""), HYPERLINK(CONCATENATE("#metadata!", ADDRESS(INDEX($AH$2:$AH$1001,MATCH(ROWS($AF$2:AF885),$AF$2:$AF$1001,0),0), INDEX($AM$1004:$BM$1004,1,MATCH(COLUMNS($AM$1006:BK1006),$AM$1006:$BM$1006,0)))),"Fix")))</f>
        <v xml:space="preserve"> </v>
      </c>
      <c r="AA885" s="4" t="str">
        <f ca="1">IF(OR(INDEX($AG$2:$AG$1001,MATCH(ROWS($AF$2:AF885),$AF$2:$AF$1001,0),1)&gt;=100000,INDEX($AM$1005:$BM$1005,1,MATCH(COLUMNS($AM$1006:BL1006),$AM$1006:$BM$1006,0))&gt;=100000), " ",IF(INDEX($AM$2:$BM$1001,MATCH(ROWS($AF$2:AF885),$AF$2:$AF$1001,0),MATCH(COLUMNS($AM$1006:BL1006),$AM$1006:$BM$1006,0)), HYPERLINK("#",""), HYPERLINK(CONCATENATE("#metadata!", ADDRESS(INDEX($AH$2:$AH$1001,MATCH(ROWS($AF$2:AF885),$AF$2:$AF$1001,0),0), INDEX($AM$1004:$BM$1004,1,MATCH(COLUMNS($AM$1006:BL1006),$AM$1006:$BM$1006,0)))),"Fix")))</f>
        <v xml:space="preserve"> </v>
      </c>
      <c r="AB885" s="4" t="str">
        <f ca="1">IF(OR(INDEX($AG$2:$AG$1001,MATCH(ROWS($AF$2:AF885),$AF$2:$AF$1001,0),1)&gt;=100000,INDEX($AM$1005:$BM$1005,1,MATCH(COLUMNS($AM$1006:BM1006),$AM$1006:$BM$1006,0))&gt;=100000), " ",IF(INDEX($AM$2:$BM$1001,MATCH(ROWS($AF$2:AF885),$AF$2:$AF$1001,0),MATCH(COLUMNS($AM$1006:BM1006),$AM$1006:$BM$1006,0)), HYPERLINK("#",""), HYPERLINK(CONCATENATE("#metadata!", ADDRESS(INDEX($AH$2:$AH$1001,MATCH(ROWS($AF$2:AF885),$AF$2:$AF$1001,0),0), INDEX($AM$1004:$BM$1004,1,MATCH(COLUMNS($AM$1006:BM1006),$AM$1006:$BM$1006,0)))),"Fix")))</f>
        <v xml:space="preserve"> </v>
      </c>
      <c r="AF885">
        <v>884</v>
      </c>
      <c r="AG885">
        <v>100885</v>
      </c>
      <c r="AH885">
        <v>885</v>
      </c>
      <c r="AI885" t="b">
        <f t="shared" si="13"/>
        <v>1</v>
      </c>
      <c r="AJ885" t="b">
        <f>COUNTBLANK(metadata!B885:AB885)=COLUMNS(metadata!B885:AB885)</f>
        <v>1</v>
      </c>
      <c r="AK885" t="str">
        <v/>
      </c>
      <c r="AM885" t="b">
        <f ca="1">AND(IF(metadata!B885="",FALSE,TRUE),COUNTIF(metadata!B:B, metadata!B885) = 1,NOT(ISERROR(SUMPRODUCT(SEARCH(MID(metadata!B885,ROW(INDIRECT("1:"&amp;LEN(metadata!B885))), 1),"0123456789abcdefghijklmnopqrstuvwxyzABCDEFGHIJKLMNOPQRSTUVWXYZ.")))))</f>
        <v>0</v>
      </c>
      <c r="AN885" t="b">
        <f ca="1">OR(AND(IF(metadata!C885="",FALSE,TRUE),OR(EXACT(metadata!C885,"missing: not collected"),EXACT(metadata!C885,"missing: not provided"),EXACT(metadata!C885,"missing: restricted access"))),AND(IF(metadata!C885="",FALSE,TRUE),AND(AND(IFERROR(INT(LEFT(metadata!C885,4))&gt;1900,FALSE),IFERROR(INT(LEFT(metadata!C885,4))&lt;=YEAR(NOW()),FALSE)), OR(MID(metadata!C885,5,1)="", AND(AND(MID(metadata!C885,5,1)="-",IFERROR(INT(MID(metadata!C885,6,1))&gt;=0,FALSE),IFERROR(INT(MID(metadata!C885,6,1))&lt;=1,FALSE),NOT(MID(metadata!C885,7,1)=""),IFERROR(INT(MID(metadata!C885,6,2))&gt;=1,FALSE),IFERROR(INT(MID(metadata!C885,6,2))&lt;=12,FALSE)), OR(MID(metadata!C885,8,1)="", AND(AND(MID(metadata!C885,8,1)="-",IFERROR(INT(MID(metadata!C885,9,1))&gt;=0,FALSE),IFERROR(INT(MID(metadata!C885,9,1))&lt;=3,FALSE),NOT(MID(metadata!C885,10,1)=""),IFERROR(INT(MID(metadata!C885,9,2))&gt;=1,FALSE),IFERROR(INT(MID(metadata!C885,9,2))&lt;=31,FALSE)), OR(MID(metadata!C885,11,1)="", AND(AND(MID(metadata!C885,11,1)=" ",IFERROR(INT(MID(metadata!C885,12,1))&gt;=0,FALSE),IFERROR(INT(MID(metadata!C885,12,1))&lt;=2,FALSE),NOT(MID(metadata!C885,13,1)=""),IFERROR(INT(MID(metadata!C885,12,2))&gt;=0,FALSE),IFERROR(INT(MID(metadata!C885,12,2))&lt;=23,FALSE)), OR(MID(metadata!C885,14,1)="", AND(AND(MID(metadata!C885,14,1)=":",IFERROR(INT(MID(metadata!C885,15,1))&gt;=0,FALSE),IFERROR(INT(MID(metadata!C885,15,1))&lt;=5,FALSE),NOT(MID(metadata!C885,16,1)=""),IFERROR(INT(MID(metadata!C885,15,2))&gt;=0,FALSE),IFERROR(INT(MID(metadata!C885,15,2))&lt;=59,FALSE)), OR(MID(metadata!C885,17,1)="", AND(AND(MID(metadata!C885,17,1)=":",IFERROR(INT(MID(metadata!C885,18,1))&gt;=0,FALSE),IFERROR(INT(MID(metadata!C885,18,1))&lt;=5,FALSE),NOT(MID(metadata!C885,19,1)=""),IFERROR(INT(MID(metadata!C885,18,2))&gt;=0,FALSE),IFERROR(INT(MID(metadata!C885,18,2))&lt;=59,FALSE)), LEN(metadata!C885)&lt;=19)))))))))))))</f>
        <v>0</v>
      </c>
      <c r="AO885" t="b">
        <f>AND(IF(metadata!D885="",FALSE,TRUE),EXACT(metadata!D885,"Not applicable"))</f>
        <v>0</v>
      </c>
      <c r="AP885" t="b">
        <f>IF(metadata!E885="",FALSE,TRUE)</f>
        <v>0</v>
      </c>
      <c r="AQ885" t="b">
        <f>OR(AND(IF(metadata!F885="",FALSE,TRUE),OR(EXACT(metadata!F885,"missing: not collected"),EXACT(metadata!F885,"missing: not provided"))),AND(IF(metadata!F885="",FALSE,TRUE),OR(EXACT(metadata!F885,"TRUE"),EXACT(metadata!F885,"FALSE"))))</f>
        <v>0</v>
      </c>
      <c r="AR885" t="b">
        <f>OR(AND(IF(metadata!G885="",FALSE,TRUE),OR(EXACT(metadata!G885,"missing: not collected"),EXACT(metadata!G885,"missing: not provided"),EXACT(metadata!G885,"missing: restricted access"))),AND(IF(metadata!G885="",FALSE,ISNUMBER(VALUE(metadata!G885))),metadata!G885&gt;=-413))</f>
        <v>0</v>
      </c>
      <c r="AS885" t="b">
        <f>AND(IF(metadata!H885="",FALSE,TRUE),EXACT(metadata!H885,"meters"))</f>
        <v>0</v>
      </c>
      <c r="AT885" t="b">
        <f>AND(IF(metadata!I885="",FALSE,TRUE),OR(EXACT(metadata!I885,"Host-associated"),EXACT(metadata!I885,"Free-living")))</f>
        <v>0</v>
      </c>
      <c r="AU885" t="b">
        <f>AND(IF(metadata!J885="",FALSE,TRUE),OR(EXACT(metadata!J885,"Animal"),EXACT(metadata!J885,"Fungus"),EXACT(metadata!J885,"Plant"),EXACT(metadata!J885,"Saline"),EXACT(metadata!J885,"Non-saline")))</f>
        <v>0</v>
      </c>
      <c r="AV885" t="b">
        <f>AND(IF(metadata!K885="",FALSE,TRUE),OR(EXACT(metadata!K885,"Plant secretion"),EXACT(metadata!K885,"Plant rhizosphere"),EXACT(metadata!K885,"Plant surface"),EXACT(metadata!K885,"Plant corpus"),EXACT(metadata!K885,"Fungus surface"),EXACT(metadata!K885,"Fungus corpus"),EXACT(metadata!K885,"Animal surface"),EXACT(metadata!K885,"Animal proximal gut"),EXACT(metadata!K885,"Animal corpus"),EXACT(metadata!K885,"Animal distal gut"),EXACT(metadata!K885,"Animal secretion"),EXACT(metadata!K885,"Sub-surface (non-saline)"),EXACT(metadata!K885,"Surface (non-saline)"),EXACT(metadata!K885,"Water (non-saline)"),EXACT(metadata!K885,"Soil (non-saline)"),EXACT(metadata!K885,"Aerosol (non-saline)"),EXACT(metadata!K885,"Sediment (non-saline)"),EXACT(metadata!K885,"Surface (saline)"),EXACT(metadata!K885,"Water (saline)"),EXACT(metadata!K885,"Hypersaline (saline)"),EXACT(metadata!K885,"Aerosol (saline)"),EXACT(metadata!K885,"Sediment (saline)")))</f>
        <v>0</v>
      </c>
      <c r="AW885" t="b">
        <f>IF(metadata!L885="",FALSE,TRUE)</f>
        <v>0</v>
      </c>
      <c r="AX885" t="b">
        <f>IF(metadata!M885="",FALSE,TRUE)</f>
        <v>0</v>
      </c>
      <c r="AY885" t="b">
        <f>IF(metadata!N885="",FALSE,TRUE)</f>
        <v>0</v>
      </c>
      <c r="AZ885" t="b">
        <f>OR(AND(IF(metadata!O885="",FALSE,TRUE),OR(EXACT(metadata!O885,"missing: not collected"),EXACT(metadata!O885,"missing: not provided"),EXACT(metadata!O885,"missing: restricted access"))),AND(IF(metadata!O885="",FALSE,TRUE),OR(EXACT(metadata!O885,"air"),EXACT(metadata!O885,"built environment"),EXACT(metadata!O885,"host-associated"),EXACT(metadata!O885,"human-associated"),EXACT(metadata!O885,"human-skin"),EXACT(metadata!O885,"human-oral"),EXACT(metadata!O885,"human-gut"),EXACT(metadata!O885,"human-vaginal"),EXACT(metadata!O885,"microbial mat/biofilm"),EXACT(metadata!O885,"misc environment"),EXACT(metadata!O885,"plant-associated"),EXACT(metadata!O885,"sediment"),EXACT(metadata!O885,"soil"),EXACT(metadata!O885,"wastewater/sludge"),EXACT(metadata!O885,"water"))))</f>
        <v>0</v>
      </c>
      <c r="BA885" t="b">
        <f>IF(metadata!P885="",FALSE,TRUE)</f>
        <v>0</v>
      </c>
      <c r="BB885" t="b">
        <f>IF(metadata!Q885="",FALSE,TRUE)</f>
        <v>0</v>
      </c>
      <c r="BC885" t="b">
        <f>OR(AND(IF(metadata!R885="",FALSE,TRUE),OR(EXACT(metadata!R885,"missing: not collected"),EXACT(metadata!R885,"missing: not provided"),EXACT(metadata!R885,"missing: restricted access"))),AND(IF(metadata!R885="",FALSE,ISNUMBER(VALUE(metadata!R885))),metadata!R885&gt;=-90,metadata!R885&lt;=90))</f>
        <v>0</v>
      </c>
      <c r="BD885" t="b">
        <f>AND(IF(metadata!S885="",FALSE,TRUE),EXACT(metadata!S885,"Decimal degrees"))</f>
        <v>0</v>
      </c>
      <c r="BE885" t="b">
        <f>OR(AND(IF(metadata!T885="",FALSE,TRUE),OR(EXACT(metadata!T885,"missing: not collected"),EXACT(metadata!T885,"missing: not provided"),EXACT(metadata!T885,"missing: restricted access"))),AND(IF(metadata!T885="",FALSE,ISNUMBER(VALUE(metadata!T885))),metadata!T885&gt;=-180,metadata!T885&lt;=180))</f>
        <v>0</v>
      </c>
      <c r="BF885" t="b">
        <f>AND(IF(metadata!U885="",FALSE,TRUE),EXACT(metadata!U885,"Decimal degrees"))</f>
        <v>0</v>
      </c>
      <c r="BG885" t="b">
        <f>IF(metadata!V885="",FALSE,TRUE)</f>
        <v>0</v>
      </c>
      <c r="BH885" t="b">
        <f>OR(AND(IF(metadata!W885="",FALSE,TRUE),OR(EXACT(metadata!W885,"missing: not collected"),EXACT(metadata!W885,"missing: not provided"),EXACT(metadata!W885,"missing: restricted access"))),AND(IF(metadata!W885="",FALSE,TRUE),OR(EXACT(metadata!W885,"TRUE"),EXACT(metadata!W885,"FALSE"))))</f>
        <v>0</v>
      </c>
      <c r="BI885" t="b">
        <f>AND(IF(metadata!X885="",FALSE,TRUE),EXACT(metadata!X885,"other"))</f>
        <v>0</v>
      </c>
      <c r="BJ885" t="b">
        <f>IF(metadata!Y885="",FALSE,TRUE)</f>
        <v>0</v>
      </c>
      <c r="BK885" t="b">
        <f>OR(AND(IF(metadata!Z885="",FALSE,TRUE),OR(EXACT(metadata!Z885,"missing: not collected"),EXACT(metadata!Z885,"missing: not provided"))),AND(IF(metadata!Z885="",FALSE,IF(ISERROR(INT(metadata!Z885)),FALSE,INT(metadata!Z885)=metadata!Z885)),metadata!Z885&gt;0))</f>
        <v>0</v>
      </c>
      <c r="BL885" t="b">
        <f>AND(IF(metadata!AA885="",FALSE,TRUE),EXACT(metadata!AA885,"Not applicable"))</f>
        <v>0</v>
      </c>
      <c r="BM885" t="b">
        <f>IF(metadata!AB885="",FALSE,TRUE)</f>
        <v>0</v>
      </c>
    </row>
    <row r="886" spans="1:65" x14ac:dyDescent="0.2">
      <c r="A886" s="5" t="str">
        <f ca="1">IF(B886=" "," ",HYPERLINK(CONCATENATE("#metadata!",ADDRESS(INDEX($AH$2:$AH$1001,MATCH(ROWS($AF$2:AF886),$AF$2:$AF$1001,0),0),1)),INDEX($AK$2:$AK$1001,MATCH(ROWS($AF$2:AF886),$AF$2:$AF$1001,0),0)))</f>
        <v xml:space="preserve"> </v>
      </c>
      <c r="B886" s="4" t="str">
        <f ca="1">IF(OR(INDEX($AG$2:$AG$1001,MATCH(ROWS($AF$2:AF886),$AF$2:$AF$1001,0),1)&gt;=100000,INDEX($AM$1005:$BM$1005,1,MATCH(COLUMNS($AM$1006:AM1006),$AM$1006:$BM$1006,0))&gt;=100000), " ",IF(INDEX($AM$2:$BM$1001,MATCH(ROWS($AF$2:AF886),$AF$2:$AF$1001,0),MATCH(COLUMNS($AM$1006:AM1006),$AM$1006:$BM$1006,0)), HYPERLINK("#",""), HYPERLINK(CONCATENATE("#metadata!", ADDRESS(INDEX($AH$2:$AH$1001,MATCH(ROWS($AF$2:AF886),$AF$2:$AF$1001,0),0), INDEX($AM$1004:$BM$1004,1,MATCH(COLUMNS($AM$1006:AM1006),$AM$1006:$BM$1006,0)))),"Fix")))</f>
        <v xml:space="preserve"> </v>
      </c>
      <c r="C886" s="4" t="str">
        <f ca="1">IF(OR(INDEX($AG$2:$AG$1001,MATCH(ROWS($AF$2:AF886),$AF$2:$AF$1001,0),1)&gt;=100000,INDEX($AM$1005:$BM$1005,1,MATCH(COLUMNS($AM$1006:AN1006),$AM$1006:$BM$1006,0))&gt;=100000), " ",IF(INDEX($AM$2:$BM$1001,MATCH(ROWS($AF$2:AF886),$AF$2:$AF$1001,0),MATCH(COLUMNS($AM$1006:AN1006),$AM$1006:$BM$1006,0)), HYPERLINK("#",""), HYPERLINK(CONCATENATE("#metadata!", ADDRESS(INDEX($AH$2:$AH$1001,MATCH(ROWS($AF$2:AF886),$AF$2:$AF$1001,0),0), INDEX($AM$1004:$BM$1004,1,MATCH(COLUMNS($AM$1006:AN1006),$AM$1006:$BM$1006,0)))),"Fix")))</f>
        <v xml:space="preserve"> </v>
      </c>
      <c r="D886" s="4" t="str">
        <f ca="1">IF(OR(INDEX($AG$2:$AG$1001,MATCH(ROWS($AF$2:AF886),$AF$2:$AF$1001,0),1)&gt;=100000,INDEX($AM$1005:$BM$1005,1,MATCH(COLUMNS($AM$1006:AO1006),$AM$1006:$BM$1006,0))&gt;=100000), " ",IF(INDEX($AM$2:$BM$1001,MATCH(ROWS($AF$2:AF886),$AF$2:$AF$1001,0),MATCH(COLUMNS($AM$1006:AO1006),$AM$1006:$BM$1006,0)), HYPERLINK("#",""), HYPERLINK(CONCATENATE("#metadata!", ADDRESS(INDEX($AH$2:$AH$1001,MATCH(ROWS($AF$2:AF886),$AF$2:$AF$1001,0),0), INDEX($AM$1004:$BM$1004,1,MATCH(COLUMNS($AM$1006:AO1006),$AM$1006:$BM$1006,0)))),"Fix")))</f>
        <v xml:space="preserve"> </v>
      </c>
      <c r="E886" s="4" t="str">
        <f ca="1">IF(OR(INDEX($AG$2:$AG$1001,MATCH(ROWS($AF$2:AF886),$AF$2:$AF$1001,0),1)&gt;=100000,INDEX($AM$1005:$BM$1005,1,MATCH(COLUMNS($AM$1006:AP1006),$AM$1006:$BM$1006,0))&gt;=100000), " ",IF(INDEX($AM$2:$BM$1001,MATCH(ROWS($AF$2:AF886),$AF$2:$AF$1001,0),MATCH(COLUMNS($AM$1006:AP1006),$AM$1006:$BM$1006,0)), HYPERLINK("#",""), HYPERLINK(CONCATENATE("#metadata!", ADDRESS(INDEX($AH$2:$AH$1001,MATCH(ROWS($AF$2:AF886),$AF$2:$AF$1001,0),0), INDEX($AM$1004:$BM$1004,1,MATCH(COLUMNS($AM$1006:AP1006),$AM$1006:$BM$1006,0)))),"Fix")))</f>
        <v xml:space="preserve"> </v>
      </c>
      <c r="F886" s="4" t="str">
        <f ca="1">IF(OR(INDEX($AG$2:$AG$1001,MATCH(ROWS($AF$2:AF886),$AF$2:$AF$1001,0),1)&gt;=100000,INDEX($AM$1005:$BM$1005,1,MATCH(COLUMNS($AM$1006:AQ1006),$AM$1006:$BM$1006,0))&gt;=100000), " ",IF(INDEX($AM$2:$BM$1001,MATCH(ROWS($AF$2:AF886),$AF$2:$AF$1001,0),MATCH(COLUMNS($AM$1006:AQ1006),$AM$1006:$BM$1006,0)), HYPERLINK("#",""), HYPERLINK(CONCATENATE("#metadata!", ADDRESS(INDEX($AH$2:$AH$1001,MATCH(ROWS($AF$2:AF886),$AF$2:$AF$1001,0),0), INDEX($AM$1004:$BM$1004,1,MATCH(COLUMNS($AM$1006:AQ1006),$AM$1006:$BM$1006,0)))),"Fix")))</f>
        <v xml:space="preserve"> </v>
      </c>
      <c r="G886" s="4" t="str">
        <f ca="1">IF(OR(INDEX($AG$2:$AG$1001,MATCH(ROWS($AF$2:AF886),$AF$2:$AF$1001,0),1)&gt;=100000,INDEX($AM$1005:$BM$1005,1,MATCH(COLUMNS($AM$1006:AR1006),$AM$1006:$BM$1006,0))&gt;=100000), " ",IF(INDEX($AM$2:$BM$1001,MATCH(ROWS($AF$2:AF886),$AF$2:$AF$1001,0),MATCH(COLUMNS($AM$1006:AR1006),$AM$1006:$BM$1006,0)), HYPERLINK("#",""), HYPERLINK(CONCATENATE("#metadata!", ADDRESS(INDEX($AH$2:$AH$1001,MATCH(ROWS($AF$2:AF886),$AF$2:$AF$1001,0),0), INDEX($AM$1004:$BM$1004,1,MATCH(COLUMNS($AM$1006:AR1006),$AM$1006:$BM$1006,0)))),"Fix")))</f>
        <v xml:space="preserve"> </v>
      </c>
      <c r="H886" s="4" t="str">
        <f ca="1">IF(OR(INDEX($AG$2:$AG$1001,MATCH(ROWS($AF$2:AF886),$AF$2:$AF$1001,0),1)&gt;=100000,INDEX($AM$1005:$BM$1005,1,MATCH(COLUMNS($AM$1006:AS1006),$AM$1006:$BM$1006,0))&gt;=100000), " ",IF(INDEX($AM$2:$BM$1001,MATCH(ROWS($AF$2:AF886),$AF$2:$AF$1001,0),MATCH(COLUMNS($AM$1006:AS1006),$AM$1006:$BM$1006,0)), HYPERLINK("#",""), HYPERLINK(CONCATENATE("#metadata!", ADDRESS(INDEX($AH$2:$AH$1001,MATCH(ROWS($AF$2:AF886),$AF$2:$AF$1001,0),0), INDEX($AM$1004:$BM$1004,1,MATCH(COLUMNS($AM$1006:AS1006),$AM$1006:$BM$1006,0)))),"Fix")))</f>
        <v xml:space="preserve"> </v>
      </c>
      <c r="I886" s="4" t="str">
        <f ca="1">IF(OR(INDEX($AG$2:$AG$1001,MATCH(ROWS($AF$2:AF886),$AF$2:$AF$1001,0),1)&gt;=100000,INDEX($AM$1005:$BM$1005,1,MATCH(COLUMNS($AM$1006:AT1006),$AM$1006:$BM$1006,0))&gt;=100000), " ",IF(INDEX($AM$2:$BM$1001,MATCH(ROWS($AF$2:AF886),$AF$2:$AF$1001,0),MATCH(COLUMNS($AM$1006:AT1006),$AM$1006:$BM$1006,0)), HYPERLINK("#",""), HYPERLINK(CONCATENATE("#metadata!", ADDRESS(INDEX($AH$2:$AH$1001,MATCH(ROWS($AF$2:AF886),$AF$2:$AF$1001,0),0), INDEX($AM$1004:$BM$1004,1,MATCH(COLUMNS($AM$1006:AT1006),$AM$1006:$BM$1006,0)))),"Fix")))</f>
        <v xml:space="preserve"> </v>
      </c>
      <c r="J886" s="4" t="str">
        <f ca="1">IF(OR(INDEX($AG$2:$AG$1001,MATCH(ROWS($AF$2:AF886),$AF$2:$AF$1001,0),1)&gt;=100000,INDEX($AM$1005:$BM$1005,1,MATCH(COLUMNS($AM$1006:AU1006),$AM$1006:$BM$1006,0))&gt;=100000), " ",IF(INDEX($AM$2:$BM$1001,MATCH(ROWS($AF$2:AF886),$AF$2:$AF$1001,0),MATCH(COLUMNS($AM$1006:AU1006),$AM$1006:$BM$1006,0)), HYPERLINK("#",""), HYPERLINK(CONCATENATE("#metadata!", ADDRESS(INDEX($AH$2:$AH$1001,MATCH(ROWS($AF$2:AF886),$AF$2:$AF$1001,0),0), INDEX($AM$1004:$BM$1004,1,MATCH(COLUMNS($AM$1006:AU1006),$AM$1006:$BM$1006,0)))),"Fix")))</f>
        <v xml:space="preserve"> </v>
      </c>
      <c r="K886" s="4" t="str">
        <f ca="1">IF(OR(INDEX($AG$2:$AG$1001,MATCH(ROWS($AF$2:AF886),$AF$2:$AF$1001,0),1)&gt;=100000,INDEX($AM$1005:$BM$1005,1,MATCH(COLUMNS($AM$1006:AV1006),$AM$1006:$BM$1006,0))&gt;=100000), " ",IF(INDEX($AM$2:$BM$1001,MATCH(ROWS($AF$2:AF886),$AF$2:$AF$1001,0),MATCH(COLUMNS($AM$1006:AV1006),$AM$1006:$BM$1006,0)), HYPERLINK("#",""), HYPERLINK(CONCATENATE("#metadata!", ADDRESS(INDEX($AH$2:$AH$1001,MATCH(ROWS($AF$2:AF886),$AF$2:$AF$1001,0),0), INDEX($AM$1004:$BM$1004,1,MATCH(COLUMNS($AM$1006:AV1006),$AM$1006:$BM$1006,0)))),"Fix")))</f>
        <v xml:space="preserve"> </v>
      </c>
      <c r="L886" s="4" t="str">
        <f ca="1">IF(OR(INDEX($AG$2:$AG$1001,MATCH(ROWS($AF$2:AF886),$AF$2:$AF$1001,0),1)&gt;=100000,INDEX($AM$1005:$BM$1005,1,MATCH(COLUMNS($AM$1006:AW1006),$AM$1006:$BM$1006,0))&gt;=100000), " ",IF(INDEX($AM$2:$BM$1001,MATCH(ROWS($AF$2:AF886),$AF$2:$AF$1001,0),MATCH(COLUMNS($AM$1006:AW1006),$AM$1006:$BM$1006,0)), HYPERLINK("#",""), HYPERLINK(CONCATENATE("#metadata!", ADDRESS(INDEX($AH$2:$AH$1001,MATCH(ROWS($AF$2:AF886),$AF$2:$AF$1001,0),0), INDEX($AM$1004:$BM$1004,1,MATCH(COLUMNS($AM$1006:AW1006),$AM$1006:$BM$1006,0)))),"Fix")))</f>
        <v xml:space="preserve"> </v>
      </c>
      <c r="M886" s="4" t="str">
        <f ca="1">IF(OR(INDEX($AG$2:$AG$1001,MATCH(ROWS($AF$2:AF886),$AF$2:$AF$1001,0),1)&gt;=100000,INDEX($AM$1005:$BM$1005,1,MATCH(COLUMNS($AM$1006:AX1006),$AM$1006:$BM$1006,0))&gt;=100000), " ",IF(INDEX($AM$2:$BM$1001,MATCH(ROWS($AF$2:AF886),$AF$2:$AF$1001,0),MATCH(COLUMNS($AM$1006:AX1006),$AM$1006:$BM$1006,0)), HYPERLINK("#",""), HYPERLINK(CONCATENATE("#metadata!", ADDRESS(INDEX($AH$2:$AH$1001,MATCH(ROWS($AF$2:AF886),$AF$2:$AF$1001,0),0), INDEX($AM$1004:$BM$1004,1,MATCH(COLUMNS($AM$1006:AX1006),$AM$1006:$BM$1006,0)))),"Fix")))</f>
        <v xml:space="preserve"> </v>
      </c>
      <c r="N886" s="4" t="str">
        <f ca="1">IF(OR(INDEX($AG$2:$AG$1001,MATCH(ROWS($AF$2:AF886),$AF$2:$AF$1001,0),1)&gt;=100000,INDEX($AM$1005:$BM$1005,1,MATCH(COLUMNS($AM$1006:AY1006),$AM$1006:$BM$1006,0))&gt;=100000), " ",IF(INDEX($AM$2:$BM$1001,MATCH(ROWS($AF$2:AF886),$AF$2:$AF$1001,0),MATCH(COLUMNS($AM$1006:AY1006),$AM$1006:$BM$1006,0)), HYPERLINK("#",""), HYPERLINK(CONCATENATE("#metadata!", ADDRESS(INDEX($AH$2:$AH$1001,MATCH(ROWS($AF$2:AF886),$AF$2:$AF$1001,0),0), INDEX($AM$1004:$BM$1004,1,MATCH(COLUMNS($AM$1006:AY1006),$AM$1006:$BM$1006,0)))),"Fix")))</f>
        <v xml:space="preserve"> </v>
      </c>
      <c r="O886" s="4" t="str">
        <f ca="1">IF(OR(INDEX($AG$2:$AG$1001,MATCH(ROWS($AF$2:AF886),$AF$2:$AF$1001,0),1)&gt;=100000,INDEX($AM$1005:$BM$1005,1,MATCH(COLUMNS($AM$1006:AZ1006),$AM$1006:$BM$1006,0))&gt;=100000), " ",IF(INDEX($AM$2:$BM$1001,MATCH(ROWS($AF$2:AF886),$AF$2:$AF$1001,0),MATCH(COLUMNS($AM$1006:AZ1006),$AM$1006:$BM$1006,0)), HYPERLINK("#",""), HYPERLINK(CONCATENATE("#metadata!", ADDRESS(INDEX($AH$2:$AH$1001,MATCH(ROWS($AF$2:AF886),$AF$2:$AF$1001,0),0), INDEX($AM$1004:$BM$1004,1,MATCH(COLUMNS($AM$1006:AZ1006),$AM$1006:$BM$1006,0)))),"Fix")))</f>
        <v xml:space="preserve"> </v>
      </c>
      <c r="P886" s="4" t="str">
        <f ca="1">IF(OR(INDEX($AG$2:$AG$1001,MATCH(ROWS($AF$2:AF886),$AF$2:$AF$1001,0),1)&gt;=100000,INDEX($AM$1005:$BM$1005,1,MATCH(COLUMNS($AM$1006:BA1006),$AM$1006:$BM$1006,0))&gt;=100000), " ",IF(INDEX($AM$2:$BM$1001,MATCH(ROWS($AF$2:AF886),$AF$2:$AF$1001,0),MATCH(COLUMNS($AM$1006:BA1006),$AM$1006:$BM$1006,0)), HYPERLINK("#",""), HYPERLINK(CONCATENATE("#metadata!", ADDRESS(INDEX($AH$2:$AH$1001,MATCH(ROWS($AF$2:AF886),$AF$2:$AF$1001,0),0), INDEX($AM$1004:$BM$1004,1,MATCH(COLUMNS($AM$1006:BA1006),$AM$1006:$BM$1006,0)))),"Fix")))</f>
        <v xml:space="preserve"> </v>
      </c>
      <c r="Q886" s="4" t="str">
        <f ca="1">IF(OR(INDEX($AG$2:$AG$1001,MATCH(ROWS($AF$2:AF886),$AF$2:$AF$1001,0),1)&gt;=100000,INDEX($AM$1005:$BM$1005,1,MATCH(COLUMNS($AM$1006:BB1006),$AM$1006:$BM$1006,0))&gt;=100000), " ",IF(INDEX($AM$2:$BM$1001,MATCH(ROWS($AF$2:AF886),$AF$2:$AF$1001,0),MATCH(COLUMNS($AM$1006:BB1006),$AM$1006:$BM$1006,0)), HYPERLINK("#",""), HYPERLINK(CONCATENATE("#metadata!", ADDRESS(INDEX($AH$2:$AH$1001,MATCH(ROWS($AF$2:AF886),$AF$2:$AF$1001,0),0), INDEX($AM$1004:$BM$1004,1,MATCH(COLUMNS($AM$1006:BB1006),$AM$1006:$BM$1006,0)))),"Fix")))</f>
        <v xml:space="preserve"> </v>
      </c>
      <c r="R886" s="4" t="str">
        <f ca="1">IF(OR(INDEX($AG$2:$AG$1001,MATCH(ROWS($AF$2:AF886),$AF$2:$AF$1001,0),1)&gt;=100000,INDEX($AM$1005:$BM$1005,1,MATCH(COLUMNS($AM$1006:BC1006),$AM$1006:$BM$1006,0))&gt;=100000), " ",IF(INDEX($AM$2:$BM$1001,MATCH(ROWS($AF$2:AF886),$AF$2:$AF$1001,0),MATCH(COLUMNS($AM$1006:BC1006),$AM$1006:$BM$1006,0)), HYPERLINK("#",""), HYPERLINK(CONCATENATE("#metadata!", ADDRESS(INDEX($AH$2:$AH$1001,MATCH(ROWS($AF$2:AF886),$AF$2:$AF$1001,0),0), INDEX($AM$1004:$BM$1004,1,MATCH(COLUMNS($AM$1006:BC1006),$AM$1006:$BM$1006,0)))),"Fix")))</f>
        <v xml:space="preserve"> </v>
      </c>
      <c r="S886" s="4" t="str">
        <f ca="1">IF(OR(INDEX($AG$2:$AG$1001,MATCH(ROWS($AF$2:AF886),$AF$2:$AF$1001,0),1)&gt;=100000,INDEX($AM$1005:$BM$1005,1,MATCH(COLUMNS($AM$1006:BD1006),$AM$1006:$BM$1006,0))&gt;=100000), " ",IF(INDEX($AM$2:$BM$1001,MATCH(ROWS($AF$2:AF886),$AF$2:$AF$1001,0),MATCH(COLUMNS($AM$1006:BD1006),$AM$1006:$BM$1006,0)), HYPERLINK("#",""), HYPERLINK(CONCATENATE("#metadata!", ADDRESS(INDEX($AH$2:$AH$1001,MATCH(ROWS($AF$2:AF886),$AF$2:$AF$1001,0),0), INDEX($AM$1004:$BM$1004,1,MATCH(COLUMNS($AM$1006:BD1006),$AM$1006:$BM$1006,0)))),"Fix")))</f>
        <v xml:space="preserve"> </v>
      </c>
      <c r="T886" s="4" t="str">
        <f ca="1">IF(OR(INDEX($AG$2:$AG$1001,MATCH(ROWS($AF$2:AF886),$AF$2:$AF$1001,0),1)&gt;=100000,INDEX($AM$1005:$BM$1005,1,MATCH(COLUMNS($AM$1006:BE1006),$AM$1006:$BM$1006,0))&gt;=100000), " ",IF(INDEX($AM$2:$BM$1001,MATCH(ROWS($AF$2:AF886),$AF$2:$AF$1001,0),MATCH(COLUMNS($AM$1006:BE1006),$AM$1006:$BM$1006,0)), HYPERLINK("#",""), HYPERLINK(CONCATENATE("#metadata!", ADDRESS(INDEX($AH$2:$AH$1001,MATCH(ROWS($AF$2:AF886),$AF$2:$AF$1001,0),0), INDEX($AM$1004:$BM$1004,1,MATCH(COLUMNS($AM$1006:BE1006),$AM$1006:$BM$1006,0)))),"Fix")))</f>
        <v xml:space="preserve"> </v>
      </c>
      <c r="U886" s="4" t="str">
        <f ca="1">IF(OR(INDEX($AG$2:$AG$1001,MATCH(ROWS($AF$2:AF886),$AF$2:$AF$1001,0),1)&gt;=100000,INDEX($AM$1005:$BM$1005,1,MATCH(COLUMNS($AM$1006:BF1006),$AM$1006:$BM$1006,0))&gt;=100000), " ",IF(INDEX($AM$2:$BM$1001,MATCH(ROWS($AF$2:AF886),$AF$2:$AF$1001,0),MATCH(COLUMNS($AM$1006:BF1006),$AM$1006:$BM$1006,0)), HYPERLINK("#",""), HYPERLINK(CONCATENATE("#metadata!", ADDRESS(INDEX($AH$2:$AH$1001,MATCH(ROWS($AF$2:AF886),$AF$2:$AF$1001,0),0), INDEX($AM$1004:$BM$1004,1,MATCH(COLUMNS($AM$1006:BF1006),$AM$1006:$BM$1006,0)))),"Fix")))</f>
        <v xml:space="preserve"> </v>
      </c>
      <c r="V886" s="4" t="str">
        <f ca="1">IF(OR(INDEX($AG$2:$AG$1001,MATCH(ROWS($AF$2:AF886),$AF$2:$AF$1001,0),1)&gt;=100000,INDEX($AM$1005:$BM$1005,1,MATCH(COLUMNS($AM$1006:BG1006),$AM$1006:$BM$1006,0))&gt;=100000), " ",IF(INDEX($AM$2:$BM$1001,MATCH(ROWS($AF$2:AF886),$AF$2:$AF$1001,0),MATCH(COLUMNS($AM$1006:BG1006),$AM$1006:$BM$1006,0)), HYPERLINK("#",""), HYPERLINK(CONCATENATE("#metadata!", ADDRESS(INDEX($AH$2:$AH$1001,MATCH(ROWS($AF$2:AF886),$AF$2:$AF$1001,0),0), INDEX($AM$1004:$BM$1004,1,MATCH(COLUMNS($AM$1006:BG1006),$AM$1006:$BM$1006,0)))),"Fix")))</f>
        <v xml:space="preserve"> </v>
      </c>
      <c r="W886" s="4" t="str">
        <f ca="1">IF(OR(INDEX($AG$2:$AG$1001,MATCH(ROWS($AF$2:AF886),$AF$2:$AF$1001,0),1)&gt;=100000,INDEX($AM$1005:$BM$1005,1,MATCH(COLUMNS($AM$1006:BH1006),$AM$1006:$BM$1006,0))&gt;=100000), " ",IF(INDEX($AM$2:$BM$1001,MATCH(ROWS($AF$2:AF886),$AF$2:$AF$1001,0),MATCH(COLUMNS($AM$1006:BH1006),$AM$1006:$BM$1006,0)), HYPERLINK("#",""), HYPERLINK(CONCATENATE("#metadata!", ADDRESS(INDEX($AH$2:$AH$1001,MATCH(ROWS($AF$2:AF886),$AF$2:$AF$1001,0),0), INDEX($AM$1004:$BM$1004,1,MATCH(COLUMNS($AM$1006:BH1006),$AM$1006:$BM$1006,0)))),"Fix")))</f>
        <v xml:space="preserve"> </v>
      </c>
      <c r="X886" s="4" t="str">
        <f ca="1">IF(OR(INDEX($AG$2:$AG$1001,MATCH(ROWS($AF$2:AF886),$AF$2:$AF$1001,0),1)&gt;=100000,INDEX($AM$1005:$BM$1005,1,MATCH(COLUMNS($AM$1006:BI1006),$AM$1006:$BM$1006,0))&gt;=100000), " ",IF(INDEX($AM$2:$BM$1001,MATCH(ROWS($AF$2:AF886),$AF$2:$AF$1001,0),MATCH(COLUMNS($AM$1006:BI1006),$AM$1006:$BM$1006,0)), HYPERLINK("#",""), HYPERLINK(CONCATENATE("#metadata!", ADDRESS(INDEX($AH$2:$AH$1001,MATCH(ROWS($AF$2:AF886),$AF$2:$AF$1001,0),0), INDEX($AM$1004:$BM$1004,1,MATCH(COLUMNS($AM$1006:BI1006),$AM$1006:$BM$1006,0)))),"Fix")))</f>
        <v xml:space="preserve"> </v>
      </c>
      <c r="Y886" s="4" t="str">
        <f ca="1">IF(OR(INDEX($AG$2:$AG$1001,MATCH(ROWS($AF$2:AF886),$AF$2:$AF$1001,0),1)&gt;=100000,INDEX($AM$1005:$BM$1005,1,MATCH(COLUMNS($AM$1006:BJ1006),$AM$1006:$BM$1006,0))&gt;=100000), " ",IF(INDEX($AM$2:$BM$1001,MATCH(ROWS($AF$2:AF886),$AF$2:$AF$1001,0),MATCH(COLUMNS($AM$1006:BJ1006),$AM$1006:$BM$1006,0)), HYPERLINK("#",""), HYPERLINK(CONCATENATE("#metadata!", ADDRESS(INDEX($AH$2:$AH$1001,MATCH(ROWS($AF$2:AF886),$AF$2:$AF$1001,0),0), INDEX($AM$1004:$BM$1004,1,MATCH(COLUMNS($AM$1006:BJ1006),$AM$1006:$BM$1006,0)))),"Fix")))</f>
        <v xml:space="preserve"> </v>
      </c>
      <c r="Z886" s="4" t="str">
        <f ca="1">IF(OR(INDEX($AG$2:$AG$1001,MATCH(ROWS($AF$2:AF886),$AF$2:$AF$1001,0),1)&gt;=100000,INDEX($AM$1005:$BM$1005,1,MATCH(COLUMNS($AM$1006:BK1006),$AM$1006:$BM$1006,0))&gt;=100000), " ",IF(INDEX($AM$2:$BM$1001,MATCH(ROWS($AF$2:AF886),$AF$2:$AF$1001,0),MATCH(COLUMNS($AM$1006:BK1006),$AM$1006:$BM$1006,0)), HYPERLINK("#",""), HYPERLINK(CONCATENATE("#metadata!", ADDRESS(INDEX($AH$2:$AH$1001,MATCH(ROWS($AF$2:AF886),$AF$2:$AF$1001,0),0), INDEX($AM$1004:$BM$1004,1,MATCH(COLUMNS($AM$1006:BK1006),$AM$1006:$BM$1006,0)))),"Fix")))</f>
        <v xml:space="preserve"> </v>
      </c>
      <c r="AA886" s="4" t="str">
        <f ca="1">IF(OR(INDEX($AG$2:$AG$1001,MATCH(ROWS($AF$2:AF886),$AF$2:$AF$1001,0),1)&gt;=100000,INDEX($AM$1005:$BM$1005,1,MATCH(COLUMNS($AM$1006:BL1006),$AM$1006:$BM$1006,0))&gt;=100000), " ",IF(INDEX($AM$2:$BM$1001,MATCH(ROWS($AF$2:AF886),$AF$2:$AF$1001,0),MATCH(COLUMNS($AM$1006:BL1006),$AM$1006:$BM$1006,0)), HYPERLINK("#",""), HYPERLINK(CONCATENATE("#metadata!", ADDRESS(INDEX($AH$2:$AH$1001,MATCH(ROWS($AF$2:AF886),$AF$2:$AF$1001,0),0), INDEX($AM$1004:$BM$1004,1,MATCH(COLUMNS($AM$1006:BL1006),$AM$1006:$BM$1006,0)))),"Fix")))</f>
        <v xml:space="preserve"> </v>
      </c>
      <c r="AB886" s="4" t="str">
        <f ca="1">IF(OR(INDEX($AG$2:$AG$1001,MATCH(ROWS($AF$2:AF886),$AF$2:$AF$1001,0),1)&gt;=100000,INDEX($AM$1005:$BM$1005,1,MATCH(COLUMNS($AM$1006:BM1006),$AM$1006:$BM$1006,0))&gt;=100000), " ",IF(INDEX($AM$2:$BM$1001,MATCH(ROWS($AF$2:AF886),$AF$2:$AF$1001,0),MATCH(COLUMNS($AM$1006:BM1006),$AM$1006:$BM$1006,0)), HYPERLINK("#",""), HYPERLINK(CONCATENATE("#metadata!", ADDRESS(INDEX($AH$2:$AH$1001,MATCH(ROWS($AF$2:AF886),$AF$2:$AF$1001,0),0), INDEX($AM$1004:$BM$1004,1,MATCH(COLUMNS($AM$1006:BM1006),$AM$1006:$BM$1006,0)))),"Fix")))</f>
        <v xml:space="preserve"> </v>
      </c>
      <c r="AF886">
        <v>885</v>
      </c>
      <c r="AG886">
        <v>100886</v>
      </c>
      <c r="AH886">
        <v>886</v>
      </c>
      <c r="AI886" t="b">
        <f t="shared" si="13"/>
        <v>1</v>
      </c>
      <c r="AJ886" t="b">
        <f>COUNTBLANK(metadata!B886:AB886)=COLUMNS(metadata!B886:AB886)</f>
        <v>1</v>
      </c>
      <c r="AK886" t="str">
        <v/>
      </c>
      <c r="AM886" t="b">
        <f ca="1">AND(IF(metadata!B886="",FALSE,TRUE),COUNTIF(metadata!B:B, metadata!B886) = 1,NOT(ISERROR(SUMPRODUCT(SEARCH(MID(metadata!B886,ROW(INDIRECT("1:"&amp;LEN(metadata!B886))), 1),"0123456789abcdefghijklmnopqrstuvwxyzABCDEFGHIJKLMNOPQRSTUVWXYZ.")))))</f>
        <v>0</v>
      </c>
      <c r="AN886" t="b">
        <f ca="1">OR(AND(IF(metadata!C886="",FALSE,TRUE),OR(EXACT(metadata!C886,"missing: not collected"),EXACT(metadata!C886,"missing: not provided"),EXACT(metadata!C886,"missing: restricted access"))),AND(IF(metadata!C886="",FALSE,TRUE),AND(AND(IFERROR(INT(LEFT(metadata!C886,4))&gt;1900,FALSE),IFERROR(INT(LEFT(metadata!C886,4))&lt;=YEAR(NOW()),FALSE)), OR(MID(metadata!C886,5,1)="", AND(AND(MID(metadata!C886,5,1)="-",IFERROR(INT(MID(metadata!C886,6,1))&gt;=0,FALSE),IFERROR(INT(MID(metadata!C886,6,1))&lt;=1,FALSE),NOT(MID(metadata!C886,7,1)=""),IFERROR(INT(MID(metadata!C886,6,2))&gt;=1,FALSE),IFERROR(INT(MID(metadata!C886,6,2))&lt;=12,FALSE)), OR(MID(metadata!C886,8,1)="", AND(AND(MID(metadata!C886,8,1)="-",IFERROR(INT(MID(metadata!C886,9,1))&gt;=0,FALSE),IFERROR(INT(MID(metadata!C886,9,1))&lt;=3,FALSE),NOT(MID(metadata!C886,10,1)=""),IFERROR(INT(MID(metadata!C886,9,2))&gt;=1,FALSE),IFERROR(INT(MID(metadata!C886,9,2))&lt;=31,FALSE)), OR(MID(metadata!C886,11,1)="", AND(AND(MID(metadata!C886,11,1)=" ",IFERROR(INT(MID(metadata!C886,12,1))&gt;=0,FALSE),IFERROR(INT(MID(metadata!C886,12,1))&lt;=2,FALSE),NOT(MID(metadata!C886,13,1)=""),IFERROR(INT(MID(metadata!C886,12,2))&gt;=0,FALSE),IFERROR(INT(MID(metadata!C886,12,2))&lt;=23,FALSE)), OR(MID(metadata!C886,14,1)="", AND(AND(MID(metadata!C886,14,1)=":",IFERROR(INT(MID(metadata!C886,15,1))&gt;=0,FALSE),IFERROR(INT(MID(metadata!C886,15,1))&lt;=5,FALSE),NOT(MID(metadata!C886,16,1)=""),IFERROR(INT(MID(metadata!C886,15,2))&gt;=0,FALSE),IFERROR(INT(MID(metadata!C886,15,2))&lt;=59,FALSE)), OR(MID(metadata!C886,17,1)="", AND(AND(MID(metadata!C886,17,1)=":",IFERROR(INT(MID(metadata!C886,18,1))&gt;=0,FALSE),IFERROR(INT(MID(metadata!C886,18,1))&lt;=5,FALSE),NOT(MID(metadata!C886,19,1)=""),IFERROR(INT(MID(metadata!C886,18,2))&gt;=0,FALSE),IFERROR(INT(MID(metadata!C886,18,2))&lt;=59,FALSE)), LEN(metadata!C886)&lt;=19)))))))))))))</f>
        <v>0</v>
      </c>
      <c r="AO886" t="b">
        <f>AND(IF(metadata!D886="",FALSE,TRUE),EXACT(metadata!D886,"Not applicable"))</f>
        <v>0</v>
      </c>
      <c r="AP886" t="b">
        <f>IF(metadata!E886="",FALSE,TRUE)</f>
        <v>0</v>
      </c>
      <c r="AQ886" t="b">
        <f>OR(AND(IF(metadata!F886="",FALSE,TRUE),OR(EXACT(metadata!F886,"missing: not collected"),EXACT(metadata!F886,"missing: not provided"))),AND(IF(metadata!F886="",FALSE,TRUE),OR(EXACT(metadata!F886,"TRUE"),EXACT(metadata!F886,"FALSE"))))</f>
        <v>0</v>
      </c>
      <c r="AR886" t="b">
        <f>OR(AND(IF(metadata!G886="",FALSE,TRUE),OR(EXACT(metadata!G886,"missing: not collected"),EXACT(metadata!G886,"missing: not provided"),EXACT(metadata!G886,"missing: restricted access"))),AND(IF(metadata!G886="",FALSE,ISNUMBER(VALUE(metadata!G886))),metadata!G886&gt;=-413))</f>
        <v>0</v>
      </c>
      <c r="AS886" t="b">
        <f>AND(IF(metadata!H886="",FALSE,TRUE),EXACT(metadata!H886,"meters"))</f>
        <v>0</v>
      </c>
      <c r="AT886" t="b">
        <f>AND(IF(metadata!I886="",FALSE,TRUE),OR(EXACT(metadata!I886,"Host-associated"),EXACT(metadata!I886,"Free-living")))</f>
        <v>0</v>
      </c>
      <c r="AU886" t="b">
        <f>AND(IF(metadata!J886="",FALSE,TRUE),OR(EXACT(metadata!J886,"Animal"),EXACT(metadata!J886,"Fungus"),EXACT(metadata!J886,"Plant"),EXACT(metadata!J886,"Saline"),EXACT(metadata!J886,"Non-saline")))</f>
        <v>0</v>
      </c>
      <c r="AV886" t="b">
        <f>AND(IF(metadata!K886="",FALSE,TRUE),OR(EXACT(metadata!K886,"Plant secretion"),EXACT(metadata!K886,"Plant rhizosphere"),EXACT(metadata!K886,"Plant surface"),EXACT(metadata!K886,"Plant corpus"),EXACT(metadata!K886,"Fungus surface"),EXACT(metadata!K886,"Fungus corpus"),EXACT(metadata!K886,"Animal surface"),EXACT(metadata!K886,"Animal proximal gut"),EXACT(metadata!K886,"Animal corpus"),EXACT(metadata!K886,"Animal distal gut"),EXACT(metadata!K886,"Animal secretion"),EXACT(metadata!K886,"Sub-surface (non-saline)"),EXACT(metadata!K886,"Surface (non-saline)"),EXACT(metadata!K886,"Water (non-saline)"),EXACT(metadata!K886,"Soil (non-saline)"),EXACT(metadata!K886,"Aerosol (non-saline)"),EXACT(metadata!K886,"Sediment (non-saline)"),EXACT(metadata!K886,"Surface (saline)"),EXACT(metadata!K886,"Water (saline)"),EXACT(metadata!K886,"Hypersaline (saline)"),EXACT(metadata!K886,"Aerosol (saline)"),EXACT(metadata!K886,"Sediment (saline)")))</f>
        <v>0</v>
      </c>
      <c r="AW886" t="b">
        <f>IF(metadata!L886="",FALSE,TRUE)</f>
        <v>0</v>
      </c>
      <c r="AX886" t="b">
        <f>IF(metadata!M886="",FALSE,TRUE)</f>
        <v>0</v>
      </c>
      <c r="AY886" t="b">
        <f>IF(metadata!N886="",FALSE,TRUE)</f>
        <v>0</v>
      </c>
      <c r="AZ886" t="b">
        <f>OR(AND(IF(metadata!O886="",FALSE,TRUE),OR(EXACT(metadata!O886,"missing: not collected"),EXACT(metadata!O886,"missing: not provided"),EXACT(metadata!O886,"missing: restricted access"))),AND(IF(metadata!O886="",FALSE,TRUE),OR(EXACT(metadata!O886,"air"),EXACT(metadata!O886,"built environment"),EXACT(metadata!O886,"host-associated"),EXACT(metadata!O886,"human-associated"),EXACT(metadata!O886,"human-skin"),EXACT(metadata!O886,"human-oral"),EXACT(metadata!O886,"human-gut"),EXACT(metadata!O886,"human-vaginal"),EXACT(metadata!O886,"microbial mat/biofilm"),EXACT(metadata!O886,"misc environment"),EXACT(metadata!O886,"plant-associated"),EXACT(metadata!O886,"sediment"),EXACT(metadata!O886,"soil"),EXACT(metadata!O886,"wastewater/sludge"),EXACT(metadata!O886,"water"))))</f>
        <v>0</v>
      </c>
      <c r="BA886" t="b">
        <f>IF(metadata!P886="",FALSE,TRUE)</f>
        <v>0</v>
      </c>
      <c r="BB886" t="b">
        <f>IF(metadata!Q886="",FALSE,TRUE)</f>
        <v>0</v>
      </c>
      <c r="BC886" t="b">
        <f>OR(AND(IF(metadata!R886="",FALSE,TRUE),OR(EXACT(metadata!R886,"missing: not collected"),EXACT(metadata!R886,"missing: not provided"),EXACT(metadata!R886,"missing: restricted access"))),AND(IF(metadata!R886="",FALSE,ISNUMBER(VALUE(metadata!R886))),metadata!R886&gt;=-90,metadata!R886&lt;=90))</f>
        <v>0</v>
      </c>
      <c r="BD886" t="b">
        <f>AND(IF(metadata!S886="",FALSE,TRUE),EXACT(metadata!S886,"Decimal degrees"))</f>
        <v>0</v>
      </c>
      <c r="BE886" t="b">
        <f>OR(AND(IF(metadata!T886="",FALSE,TRUE),OR(EXACT(metadata!T886,"missing: not collected"),EXACT(metadata!T886,"missing: not provided"),EXACT(metadata!T886,"missing: restricted access"))),AND(IF(metadata!T886="",FALSE,ISNUMBER(VALUE(metadata!T886))),metadata!T886&gt;=-180,metadata!T886&lt;=180))</f>
        <v>0</v>
      </c>
      <c r="BF886" t="b">
        <f>AND(IF(metadata!U886="",FALSE,TRUE),EXACT(metadata!U886,"Decimal degrees"))</f>
        <v>0</v>
      </c>
      <c r="BG886" t="b">
        <f>IF(metadata!V886="",FALSE,TRUE)</f>
        <v>0</v>
      </c>
      <c r="BH886" t="b">
        <f>OR(AND(IF(metadata!W886="",FALSE,TRUE),OR(EXACT(metadata!W886,"missing: not collected"),EXACT(metadata!W886,"missing: not provided"),EXACT(metadata!W886,"missing: restricted access"))),AND(IF(metadata!W886="",FALSE,TRUE),OR(EXACT(metadata!W886,"TRUE"),EXACT(metadata!W886,"FALSE"))))</f>
        <v>0</v>
      </c>
      <c r="BI886" t="b">
        <f>AND(IF(metadata!X886="",FALSE,TRUE),EXACT(metadata!X886,"other"))</f>
        <v>0</v>
      </c>
      <c r="BJ886" t="b">
        <f>IF(metadata!Y886="",FALSE,TRUE)</f>
        <v>0</v>
      </c>
      <c r="BK886" t="b">
        <f>OR(AND(IF(metadata!Z886="",FALSE,TRUE),OR(EXACT(metadata!Z886,"missing: not collected"),EXACT(metadata!Z886,"missing: not provided"))),AND(IF(metadata!Z886="",FALSE,IF(ISERROR(INT(metadata!Z886)),FALSE,INT(metadata!Z886)=metadata!Z886)),metadata!Z886&gt;0))</f>
        <v>0</v>
      </c>
      <c r="BL886" t="b">
        <f>AND(IF(metadata!AA886="",FALSE,TRUE),EXACT(metadata!AA886,"Not applicable"))</f>
        <v>0</v>
      </c>
      <c r="BM886" t="b">
        <f>IF(metadata!AB886="",FALSE,TRUE)</f>
        <v>0</v>
      </c>
    </row>
    <row r="887" spans="1:65" x14ac:dyDescent="0.2">
      <c r="A887" s="5" t="str">
        <f ca="1">IF(B887=" "," ",HYPERLINK(CONCATENATE("#metadata!",ADDRESS(INDEX($AH$2:$AH$1001,MATCH(ROWS($AF$2:AF887),$AF$2:$AF$1001,0),0),1)),INDEX($AK$2:$AK$1001,MATCH(ROWS($AF$2:AF887),$AF$2:$AF$1001,0),0)))</f>
        <v xml:space="preserve"> </v>
      </c>
      <c r="B887" s="4" t="str">
        <f ca="1">IF(OR(INDEX($AG$2:$AG$1001,MATCH(ROWS($AF$2:AF887),$AF$2:$AF$1001,0),1)&gt;=100000,INDEX($AM$1005:$BM$1005,1,MATCH(COLUMNS($AM$1006:AM1006),$AM$1006:$BM$1006,0))&gt;=100000), " ",IF(INDEX($AM$2:$BM$1001,MATCH(ROWS($AF$2:AF887),$AF$2:$AF$1001,0),MATCH(COLUMNS($AM$1006:AM1006),$AM$1006:$BM$1006,0)), HYPERLINK("#",""), HYPERLINK(CONCATENATE("#metadata!", ADDRESS(INDEX($AH$2:$AH$1001,MATCH(ROWS($AF$2:AF887),$AF$2:$AF$1001,0),0), INDEX($AM$1004:$BM$1004,1,MATCH(COLUMNS($AM$1006:AM1006),$AM$1006:$BM$1006,0)))),"Fix")))</f>
        <v xml:space="preserve"> </v>
      </c>
      <c r="C887" s="4" t="str">
        <f ca="1">IF(OR(INDEX($AG$2:$AG$1001,MATCH(ROWS($AF$2:AF887),$AF$2:$AF$1001,0),1)&gt;=100000,INDEX($AM$1005:$BM$1005,1,MATCH(COLUMNS($AM$1006:AN1006),$AM$1006:$BM$1006,0))&gt;=100000), " ",IF(INDEX($AM$2:$BM$1001,MATCH(ROWS($AF$2:AF887),$AF$2:$AF$1001,0),MATCH(COLUMNS($AM$1006:AN1006),$AM$1006:$BM$1006,0)), HYPERLINK("#",""), HYPERLINK(CONCATENATE("#metadata!", ADDRESS(INDEX($AH$2:$AH$1001,MATCH(ROWS($AF$2:AF887),$AF$2:$AF$1001,0),0), INDEX($AM$1004:$BM$1004,1,MATCH(COLUMNS($AM$1006:AN1006),$AM$1006:$BM$1006,0)))),"Fix")))</f>
        <v xml:space="preserve"> </v>
      </c>
      <c r="D887" s="4" t="str">
        <f ca="1">IF(OR(INDEX($AG$2:$AG$1001,MATCH(ROWS($AF$2:AF887),$AF$2:$AF$1001,0),1)&gt;=100000,INDEX($AM$1005:$BM$1005,1,MATCH(COLUMNS($AM$1006:AO1006),$AM$1006:$BM$1006,0))&gt;=100000), " ",IF(INDEX($AM$2:$BM$1001,MATCH(ROWS($AF$2:AF887),$AF$2:$AF$1001,0),MATCH(COLUMNS($AM$1006:AO1006),$AM$1006:$BM$1006,0)), HYPERLINK("#",""), HYPERLINK(CONCATENATE("#metadata!", ADDRESS(INDEX($AH$2:$AH$1001,MATCH(ROWS($AF$2:AF887),$AF$2:$AF$1001,0),0), INDEX($AM$1004:$BM$1004,1,MATCH(COLUMNS($AM$1006:AO1006),$AM$1006:$BM$1006,0)))),"Fix")))</f>
        <v xml:space="preserve"> </v>
      </c>
      <c r="E887" s="4" t="str">
        <f ca="1">IF(OR(INDEX($AG$2:$AG$1001,MATCH(ROWS($AF$2:AF887),$AF$2:$AF$1001,0),1)&gt;=100000,INDEX($AM$1005:$BM$1005,1,MATCH(COLUMNS($AM$1006:AP1006),$AM$1006:$BM$1006,0))&gt;=100000), " ",IF(INDEX($AM$2:$BM$1001,MATCH(ROWS($AF$2:AF887),$AF$2:$AF$1001,0),MATCH(COLUMNS($AM$1006:AP1006),$AM$1006:$BM$1006,0)), HYPERLINK("#",""), HYPERLINK(CONCATENATE("#metadata!", ADDRESS(INDEX($AH$2:$AH$1001,MATCH(ROWS($AF$2:AF887),$AF$2:$AF$1001,0),0), INDEX($AM$1004:$BM$1004,1,MATCH(COLUMNS($AM$1006:AP1006),$AM$1006:$BM$1006,0)))),"Fix")))</f>
        <v xml:space="preserve"> </v>
      </c>
      <c r="F887" s="4" t="str">
        <f ca="1">IF(OR(INDEX($AG$2:$AG$1001,MATCH(ROWS($AF$2:AF887),$AF$2:$AF$1001,0),1)&gt;=100000,INDEX($AM$1005:$BM$1005,1,MATCH(COLUMNS($AM$1006:AQ1006),$AM$1006:$BM$1006,0))&gt;=100000), " ",IF(INDEX($AM$2:$BM$1001,MATCH(ROWS($AF$2:AF887),$AF$2:$AF$1001,0),MATCH(COLUMNS($AM$1006:AQ1006),$AM$1006:$BM$1006,0)), HYPERLINK("#",""), HYPERLINK(CONCATENATE("#metadata!", ADDRESS(INDEX($AH$2:$AH$1001,MATCH(ROWS($AF$2:AF887),$AF$2:$AF$1001,0),0), INDEX($AM$1004:$BM$1004,1,MATCH(COLUMNS($AM$1006:AQ1006),$AM$1006:$BM$1006,0)))),"Fix")))</f>
        <v xml:space="preserve"> </v>
      </c>
      <c r="G887" s="4" t="str">
        <f ca="1">IF(OR(INDEX($AG$2:$AG$1001,MATCH(ROWS($AF$2:AF887),$AF$2:$AF$1001,0),1)&gt;=100000,INDEX($AM$1005:$BM$1005,1,MATCH(COLUMNS($AM$1006:AR1006),$AM$1006:$BM$1006,0))&gt;=100000), " ",IF(INDEX($AM$2:$BM$1001,MATCH(ROWS($AF$2:AF887),$AF$2:$AF$1001,0),MATCH(COLUMNS($AM$1006:AR1006),$AM$1006:$BM$1006,0)), HYPERLINK("#",""), HYPERLINK(CONCATENATE("#metadata!", ADDRESS(INDEX($AH$2:$AH$1001,MATCH(ROWS($AF$2:AF887),$AF$2:$AF$1001,0),0), INDEX($AM$1004:$BM$1004,1,MATCH(COLUMNS($AM$1006:AR1006),$AM$1006:$BM$1006,0)))),"Fix")))</f>
        <v xml:space="preserve"> </v>
      </c>
      <c r="H887" s="4" t="str">
        <f ca="1">IF(OR(INDEX($AG$2:$AG$1001,MATCH(ROWS($AF$2:AF887),$AF$2:$AF$1001,0),1)&gt;=100000,INDEX($AM$1005:$BM$1005,1,MATCH(COLUMNS($AM$1006:AS1006),$AM$1006:$BM$1006,0))&gt;=100000), " ",IF(INDEX($AM$2:$BM$1001,MATCH(ROWS($AF$2:AF887),$AF$2:$AF$1001,0),MATCH(COLUMNS($AM$1006:AS1006),$AM$1006:$BM$1006,0)), HYPERLINK("#",""), HYPERLINK(CONCATENATE("#metadata!", ADDRESS(INDEX($AH$2:$AH$1001,MATCH(ROWS($AF$2:AF887),$AF$2:$AF$1001,0),0), INDEX($AM$1004:$BM$1004,1,MATCH(COLUMNS($AM$1006:AS1006),$AM$1006:$BM$1006,0)))),"Fix")))</f>
        <v xml:space="preserve"> </v>
      </c>
      <c r="I887" s="4" t="str">
        <f ca="1">IF(OR(INDEX($AG$2:$AG$1001,MATCH(ROWS($AF$2:AF887),$AF$2:$AF$1001,0),1)&gt;=100000,INDEX($AM$1005:$BM$1005,1,MATCH(COLUMNS($AM$1006:AT1006),$AM$1006:$BM$1006,0))&gt;=100000), " ",IF(INDEX($AM$2:$BM$1001,MATCH(ROWS($AF$2:AF887),$AF$2:$AF$1001,0),MATCH(COLUMNS($AM$1006:AT1006),$AM$1006:$BM$1006,0)), HYPERLINK("#",""), HYPERLINK(CONCATENATE("#metadata!", ADDRESS(INDEX($AH$2:$AH$1001,MATCH(ROWS($AF$2:AF887),$AF$2:$AF$1001,0),0), INDEX($AM$1004:$BM$1004,1,MATCH(COLUMNS($AM$1006:AT1006),$AM$1006:$BM$1006,0)))),"Fix")))</f>
        <v xml:space="preserve"> </v>
      </c>
      <c r="J887" s="4" t="str">
        <f ca="1">IF(OR(INDEX($AG$2:$AG$1001,MATCH(ROWS($AF$2:AF887),$AF$2:$AF$1001,0),1)&gt;=100000,INDEX($AM$1005:$BM$1005,1,MATCH(COLUMNS($AM$1006:AU1006),$AM$1006:$BM$1006,0))&gt;=100000), " ",IF(INDEX($AM$2:$BM$1001,MATCH(ROWS($AF$2:AF887),$AF$2:$AF$1001,0),MATCH(COLUMNS($AM$1006:AU1006),$AM$1006:$BM$1006,0)), HYPERLINK("#",""), HYPERLINK(CONCATENATE("#metadata!", ADDRESS(INDEX($AH$2:$AH$1001,MATCH(ROWS($AF$2:AF887),$AF$2:$AF$1001,0),0), INDEX($AM$1004:$BM$1004,1,MATCH(COLUMNS($AM$1006:AU1006),$AM$1006:$BM$1006,0)))),"Fix")))</f>
        <v xml:space="preserve"> </v>
      </c>
      <c r="K887" s="4" t="str">
        <f ca="1">IF(OR(INDEX($AG$2:$AG$1001,MATCH(ROWS($AF$2:AF887),$AF$2:$AF$1001,0),1)&gt;=100000,INDEX($AM$1005:$BM$1005,1,MATCH(COLUMNS($AM$1006:AV1006),$AM$1006:$BM$1006,0))&gt;=100000), " ",IF(INDEX($AM$2:$BM$1001,MATCH(ROWS($AF$2:AF887),$AF$2:$AF$1001,0),MATCH(COLUMNS($AM$1006:AV1006),$AM$1006:$BM$1006,0)), HYPERLINK("#",""), HYPERLINK(CONCATENATE("#metadata!", ADDRESS(INDEX($AH$2:$AH$1001,MATCH(ROWS($AF$2:AF887),$AF$2:$AF$1001,0),0), INDEX($AM$1004:$BM$1004,1,MATCH(COLUMNS($AM$1006:AV1006),$AM$1006:$BM$1006,0)))),"Fix")))</f>
        <v xml:space="preserve"> </v>
      </c>
      <c r="L887" s="4" t="str">
        <f ca="1">IF(OR(INDEX($AG$2:$AG$1001,MATCH(ROWS($AF$2:AF887),$AF$2:$AF$1001,0),1)&gt;=100000,INDEX($AM$1005:$BM$1005,1,MATCH(COLUMNS($AM$1006:AW1006),$AM$1006:$BM$1006,0))&gt;=100000), " ",IF(INDEX($AM$2:$BM$1001,MATCH(ROWS($AF$2:AF887),$AF$2:$AF$1001,0),MATCH(COLUMNS($AM$1006:AW1006),$AM$1006:$BM$1006,0)), HYPERLINK("#",""), HYPERLINK(CONCATENATE("#metadata!", ADDRESS(INDEX($AH$2:$AH$1001,MATCH(ROWS($AF$2:AF887),$AF$2:$AF$1001,0),0), INDEX($AM$1004:$BM$1004,1,MATCH(COLUMNS($AM$1006:AW1006),$AM$1006:$BM$1006,0)))),"Fix")))</f>
        <v xml:space="preserve"> </v>
      </c>
      <c r="M887" s="4" t="str">
        <f ca="1">IF(OR(INDEX($AG$2:$AG$1001,MATCH(ROWS($AF$2:AF887),$AF$2:$AF$1001,0),1)&gt;=100000,INDEX($AM$1005:$BM$1005,1,MATCH(COLUMNS($AM$1006:AX1006),$AM$1006:$BM$1006,0))&gt;=100000), " ",IF(INDEX($AM$2:$BM$1001,MATCH(ROWS($AF$2:AF887),$AF$2:$AF$1001,0),MATCH(COLUMNS($AM$1006:AX1006),$AM$1006:$BM$1006,0)), HYPERLINK("#",""), HYPERLINK(CONCATENATE("#metadata!", ADDRESS(INDEX($AH$2:$AH$1001,MATCH(ROWS($AF$2:AF887),$AF$2:$AF$1001,0),0), INDEX($AM$1004:$BM$1004,1,MATCH(COLUMNS($AM$1006:AX1006),$AM$1006:$BM$1006,0)))),"Fix")))</f>
        <v xml:space="preserve"> </v>
      </c>
      <c r="N887" s="4" t="str">
        <f ca="1">IF(OR(INDEX($AG$2:$AG$1001,MATCH(ROWS($AF$2:AF887),$AF$2:$AF$1001,0),1)&gt;=100000,INDEX($AM$1005:$BM$1005,1,MATCH(COLUMNS($AM$1006:AY1006),$AM$1006:$BM$1006,0))&gt;=100000), " ",IF(INDEX($AM$2:$BM$1001,MATCH(ROWS($AF$2:AF887),$AF$2:$AF$1001,0),MATCH(COLUMNS($AM$1006:AY1006),$AM$1006:$BM$1006,0)), HYPERLINK("#",""), HYPERLINK(CONCATENATE("#metadata!", ADDRESS(INDEX($AH$2:$AH$1001,MATCH(ROWS($AF$2:AF887),$AF$2:$AF$1001,0),0), INDEX($AM$1004:$BM$1004,1,MATCH(COLUMNS($AM$1006:AY1006),$AM$1006:$BM$1006,0)))),"Fix")))</f>
        <v xml:space="preserve"> </v>
      </c>
      <c r="O887" s="4" t="str">
        <f ca="1">IF(OR(INDEX($AG$2:$AG$1001,MATCH(ROWS($AF$2:AF887),$AF$2:$AF$1001,0),1)&gt;=100000,INDEX($AM$1005:$BM$1005,1,MATCH(COLUMNS($AM$1006:AZ1006),$AM$1006:$BM$1006,0))&gt;=100000), " ",IF(INDEX($AM$2:$BM$1001,MATCH(ROWS($AF$2:AF887),$AF$2:$AF$1001,0),MATCH(COLUMNS($AM$1006:AZ1006),$AM$1006:$BM$1006,0)), HYPERLINK("#",""), HYPERLINK(CONCATENATE("#metadata!", ADDRESS(INDEX($AH$2:$AH$1001,MATCH(ROWS($AF$2:AF887),$AF$2:$AF$1001,0),0), INDEX($AM$1004:$BM$1004,1,MATCH(COLUMNS($AM$1006:AZ1006),$AM$1006:$BM$1006,0)))),"Fix")))</f>
        <v xml:space="preserve"> </v>
      </c>
      <c r="P887" s="4" t="str">
        <f ca="1">IF(OR(INDEX($AG$2:$AG$1001,MATCH(ROWS($AF$2:AF887),$AF$2:$AF$1001,0),1)&gt;=100000,INDEX($AM$1005:$BM$1005,1,MATCH(COLUMNS($AM$1006:BA1006),$AM$1006:$BM$1006,0))&gt;=100000), " ",IF(INDEX($AM$2:$BM$1001,MATCH(ROWS($AF$2:AF887),$AF$2:$AF$1001,0),MATCH(COLUMNS($AM$1006:BA1006),$AM$1006:$BM$1006,0)), HYPERLINK("#",""), HYPERLINK(CONCATENATE("#metadata!", ADDRESS(INDEX($AH$2:$AH$1001,MATCH(ROWS($AF$2:AF887),$AF$2:$AF$1001,0),0), INDEX($AM$1004:$BM$1004,1,MATCH(COLUMNS($AM$1006:BA1006),$AM$1006:$BM$1006,0)))),"Fix")))</f>
        <v xml:space="preserve"> </v>
      </c>
      <c r="Q887" s="4" t="str">
        <f ca="1">IF(OR(INDEX($AG$2:$AG$1001,MATCH(ROWS($AF$2:AF887),$AF$2:$AF$1001,0),1)&gt;=100000,INDEX($AM$1005:$BM$1005,1,MATCH(COLUMNS($AM$1006:BB1006),$AM$1006:$BM$1006,0))&gt;=100000), " ",IF(INDEX($AM$2:$BM$1001,MATCH(ROWS($AF$2:AF887),$AF$2:$AF$1001,0),MATCH(COLUMNS($AM$1006:BB1006),$AM$1006:$BM$1006,0)), HYPERLINK("#",""), HYPERLINK(CONCATENATE("#metadata!", ADDRESS(INDEX($AH$2:$AH$1001,MATCH(ROWS($AF$2:AF887),$AF$2:$AF$1001,0),0), INDEX($AM$1004:$BM$1004,1,MATCH(COLUMNS($AM$1006:BB1006),$AM$1006:$BM$1006,0)))),"Fix")))</f>
        <v xml:space="preserve"> </v>
      </c>
      <c r="R887" s="4" t="str">
        <f ca="1">IF(OR(INDEX($AG$2:$AG$1001,MATCH(ROWS($AF$2:AF887),$AF$2:$AF$1001,0),1)&gt;=100000,INDEX($AM$1005:$BM$1005,1,MATCH(COLUMNS($AM$1006:BC1006),$AM$1006:$BM$1006,0))&gt;=100000), " ",IF(INDEX($AM$2:$BM$1001,MATCH(ROWS($AF$2:AF887),$AF$2:$AF$1001,0),MATCH(COLUMNS($AM$1006:BC1006),$AM$1006:$BM$1006,0)), HYPERLINK("#",""), HYPERLINK(CONCATENATE("#metadata!", ADDRESS(INDEX($AH$2:$AH$1001,MATCH(ROWS($AF$2:AF887),$AF$2:$AF$1001,0),0), INDEX($AM$1004:$BM$1004,1,MATCH(COLUMNS($AM$1006:BC1006),$AM$1006:$BM$1006,0)))),"Fix")))</f>
        <v xml:space="preserve"> </v>
      </c>
      <c r="S887" s="4" t="str">
        <f ca="1">IF(OR(INDEX($AG$2:$AG$1001,MATCH(ROWS($AF$2:AF887),$AF$2:$AF$1001,0),1)&gt;=100000,INDEX($AM$1005:$BM$1005,1,MATCH(COLUMNS($AM$1006:BD1006),$AM$1006:$BM$1006,0))&gt;=100000), " ",IF(INDEX($AM$2:$BM$1001,MATCH(ROWS($AF$2:AF887),$AF$2:$AF$1001,0),MATCH(COLUMNS($AM$1006:BD1006),$AM$1006:$BM$1006,0)), HYPERLINK("#",""), HYPERLINK(CONCATENATE("#metadata!", ADDRESS(INDEX($AH$2:$AH$1001,MATCH(ROWS($AF$2:AF887),$AF$2:$AF$1001,0),0), INDEX($AM$1004:$BM$1004,1,MATCH(COLUMNS($AM$1006:BD1006),$AM$1006:$BM$1006,0)))),"Fix")))</f>
        <v xml:space="preserve"> </v>
      </c>
      <c r="T887" s="4" t="str">
        <f ca="1">IF(OR(INDEX($AG$2:$AG$1001,MATCH(ROWS($AF$2:AF887),$AF$2:$AF$1001,0),1)&gt;=100000,INDEX($AM$1005:$BM$1005,1,MATCH(COLUMNS($AM$1006:BE1006),$AM$1006:$BM$1006,0))&gt;=100000), " ",IF(INDEX($AM$2:$BM$1001,MATCH(ROWS($AF$2:AF887),$AF$2:$AF$1001,0),MATCH(COLUMNS($AM$1006:BE1006),$AM$1006:$BM$1006,0)), HYPERLINK("#",""), HYPERLINK(CONCATENATE("#metadata!", ADDRESS(INDEX($AH$2:$AH$1001,MATCH(ROWS($AF$2:AF887),$AF$2:$AF$1001,0),0), INDEX($AM$1004:$BM$1004,1,MATCH(COLUMNS($AM$1006:BE1006),$AM$1006:$BM$1006,0)))),"Fix")))</f>
        <v xml:space="preserve"> </v>
      </c>
      <c r="U887" s="4" t="str">
        <f ca="1">IF(OR(INDEX($AG$2:$AG$1001,MATCH(ROWS($AF$2:AF887),$AF$2:$AF$1001,0),1)&gt;=100000,INDEX($AM$1005:$BM$1005,1,MATCH(COLUMNS($AM$1006:BF1006),$AM$1006:$BM$1006,0))&gt;=100000), " ",IF(INDEX($AM$2:$BM$1001,MATCH(ROWS($AF$2:AF887),$AF$2:$AF$1001,0),MATCH(COLUMNS($AM$1006:BF1006),$AM$1006:$BM$1006,0)), HYPERLINK("#",""), HYPERLINK(CONCATENATE("#metadata!", ADDRESS(INDEX($AH$2:$AH$1001,MATCH(ROWS($AF$2:AF887),$AF$2:$AF$1001,0),0), INDEX($AM$1004:$BM$1004,1,MATCH(COLUMNS($AM$1006:BF1006),$AM$1006:$BM$1006,0)))),"Fix")))</f>
        <v xml:space="preserve"> </v>
      </c>
      <c r="V887" s="4" t="str">
        <f ca="1">IF(OR(INDEX($AG$2:$AG$1001,MATCH(ROWS($AF$2:AF887),$AF$2:$AF$1001,0),1)&gt;=100000,INDEX($AM$1005:$BM$1005,1,MATCH(COLUMNS($AM$1006:BG1006),$AM$1006:$BM$1006,0))&gt;=100000), " ",IF(INDEX($AM$2:$BM$1001,MATCH(ROWS($AF$2:AF887),$AF$2:$AF$1001,0),MATCH(COLUMNS($AM$1006:BG1006),$AM$1006:$BM$1006,0)), HYPERLINK("#",""), HYPERLINK(CONCATENATE("#metadata!", ADDRESS(INDEX($AH$2:$AH$1001,MATCH(ROWS($AF$2:AF887),$AF$2:$AF$1001,0),0), INDEX($AM$1004:$BM$1004,1,MATCH(COLUMNS($AM$1006:BG1006),$AM$1006:$BM$1006,0)))),"Fix")))</f>
        <v xml:space="preserve"> </v>
      </c>
      <c r="W887" s="4" t="str">
        <f ca="1">IF(OR(INDEX($AG$2:$AG$1001,MATCH(ROWS($AF$2:AF887),$AF$2:$AF$1001,0),1)&gt;=100000,INDEX($AM$1005:$BM$1005,1,MATCH(COLUMNS($AM$1006:BH1006),$AM$1006:$BM$1006,0))&gt;=100000), " ",IF(INDEX($AM$2:$BM$1001,MATCH(ROWS($AF$2:AF887),$AF$2:$AF$1001,0),MATCH(COLUMNS($AM$1006:BH1006),$AM$1006:$BM$1006,0)), HYPERLINK("#",""), HYPERLINK(CONCATENATE("#metadata!", ADDRESS(INDEX($AH$2:$AH$1001,MATCH(ROWS($AF$2:AF887),$AF$2:$AF$1001,0),0), INDEX($AM$1004:$BM$1004,1,MATCH(COLUMNS($AM$1006:BH1006),$AM$1006:$BM$1006,0)))),"Fix")))</f>
        <v xml:space="preserve"> </v>
      </c>
      <c r="X887" s="4" t="str">
        <f ca="1">IF(OR(INDEX($AG$2:$AG$1001,MATCH(ROWS($AF$2:AF887),$AF$2:$AF$1001,0),1)&gt;=100000,INDEX($AM$1005:$BM$1005,1,MATCH(COLUMNS($AM$1006:BI1006),$AM$1006:$BM$1006,0))&gt;=100000), " ",IF(INDEX($AM$2:$BM$1001,MATCH(ROWS($AF$2:AF887),$AF$2:$AF$1001,0),MATCH(COLUMNS($AM$1006:BI1006),$AM$1006:$BM$1006,0)), HYPERLINK("#",""), HYPERLINK(CONCATENATE("#metadata!", ADDRESS(INDEX($AH$2:$AH$1001,MATCH(ROWS($AF$2:AF887),$AF$2:$AF$1001,0),0), INDEX($AM$1004:$BM$1004,1,MATCH(COLUMNS($AM$1006:BI1006),$AM$1006:$BM$1006,0)))),"Fix")))</f>
        <v xml:space="preserve"> </v>
      </c>
      <c r="Y887" s="4" t="str">
        <f ca="1">IF(OR(INDEX($AG$2:$AG$1001,MATCH(ROWS($AF$2:AF887),$AF$2:$AF$1001,0),1)&gt;=100000,INDEX($AM$1005:$BM$1005,1,MATCH(COLUMNS($AM$1006:BJ1006),$AM$1006:$BM$1006,0))&gt;=100000), " ",IF(INDEX($AM$2:$BM$1001,MATCH(ROWS($AF$2:AF887),$AF$2:$AF$1001,0),MATCH(COLUMNS($AM$1006:BJ1006),$AM$1006:$BM$1006,0)), HYPERLINK("#",""), HYPERLINK(CONCATENATE("#metadata!", ADDRESS(INDEX($AH$2:$AH$1001,MATCH(ROWS($AF$2:AF887),$AF$2:$AF$1001,0),0), INDEX($AM$1004:$BM$1004,1,MATCH(COLUMNS($AM$1006:BJ1006),$AM$1006:$BM$1006,0)))),"Fix")))</f>
        <v xml:space="preserve"> </v>
      </c>
      <c r="Z887" s="4" t="str">
        <f ca="1">IF(OR(INDEX($AG$2:$AG$1001,MATCH(ROWS($AF$2:AF887),$AF$2:$AF$1001,0),1)&gt;=100000,INDEX($AM$1005:$BM$1005,1,MATCH(COLUMNS($AM$1006:BK1006),$AM$1006:$BM$1006,0))&gt;=100000), " ",IF(INDEX($AM$2:$BM$1001,MATCH(ROWS($AF$2:AF887),$AF$2:$AF$1001,0),MATCH(COLUMNS($AM$1006:BK1006),$AM$1006:$BM$1006,0)), HYPERLINK("#",""), HYPERLINK(CONCATENATE("#metadata!", ADDRESS(INDEX($AH$2:$AH$1001,MATCH(ROWS($AF$2:AF887),$AF$2:$AF$1001,0),0), INDEX($AM$1004:$BM$1004,1,MATCH(COLUMNS($AM$1006:BK1006),$AM$1006:$BM$1006,0)))),"Fix")))</f>
        <v xml:space="preserve"> </v>
      </c>
      <c r="AA887" s="4" t="str">
        <f ca="1">IF(OR(INDEX($AG$2:$AG$1001,MATCH(ROWS($AF$2:AF887),$AF$2:$AF$1001,0),1)&gt;=100000,INDEX($AM$1005:$BM$1005,1,MATCH(COLUMNS($AM$1006:BL1006),$AM$1006:$BM$1006,0))&gt;=100000), " ",IF(INDEX($AM$2:$BM$1001,MATCH(ROWS($AF$2:AF887),$AF$2:$AF$1001,0),MATCH(COLUMNS($AM$1006:BL1006),$AM$1006:$BM$1006,0)), HYPERLINK("#",""), HYPERLINK(CONCATENATE("#metadata!", ADDRESS(INDEX($AH$2:$AH$1001,MATCH(ROWS($AF$2:AF887),$AF$2:$AF$1001,0),0), INDEX($AM$1004:$BM$1004,1,MATCH(COLUMNS($AM$1006:BL1006),$AM$1006:$BM$1006,0)))),"Fix")))</f>
        <v xml:space="preserve"> </v>
      </c>
      <c r="AB887" s="4" t="str">
        <f ca="1">IF(OR(INDEX($AG$2:$AG$1001,MATCH(ROWS($AF$2:AF887),$AF$2:$AF$1001,0),1)&gt;=100000,INDEX($AM$1005:$BM$1005,1,MATCH(COLUMNS($AM$1006:BM1006),$AM$1006:$BM$1006,0))&gt;=100000), " ",IF(INDEX($AM$2:$BM$1001,MATCH(ROWS($AF$2:AF887),$AF$2:$AF$1001,0),MATCH(COLUMNS($AM$1006:BM1006),$AM$1006:$BM$1006,0)), HYPERLINK("#",""), HYPERLINK(CONCATENATE("#metadata!", ADDRESS(INDEX($AH$2:$AH$1001,MATCH(ROWS($AF$2:AF887),$AF$2:$AF$1001,0),0), INDEX($AM$1004:$BM$1004,1,MATCH(COLUMNS($AM$1006:BM1006),$AM$1006:$BM$1006,0)))),"Fix")))</f>
        <v xml:space="preserve"> </v>
      </c>
      <c r="AF887">
        <v>886</v>
      </c>
      <c r="AG887">
        <v>100887</v>
      </c>
      <c r="AH887">
        <v>887</v>
      </c>
      <c r="AI887" t="b">
        <f t="shared" si="13"/>
        <v>1</v>
      </c>
      <c r="AJ887" t="b">
        <f>COUNTBLANK(metadata!B887:AB887)=COLUMNS(metadata!B887:AB887)</f>
        <v>1</v>
      </c>
      <c r="AK887" t="str">
        <v/>
      </c>
      <c r="AM887" t="b">
        <f ca="1">AND(IF(metadata!B887="",FALSE,TRUE),COUNTIF(metadata!B:B, metadata!B887) = 1,NOT(ISERROR(SUMPRODUCT(SEARCH(MID(metadata!B887,ROW(INDIRECT("1:"&amp;LEN(metadata!B887))), 1),"0123456789abcdefghijklmnopqrstuvwxyzABCDEFGHIJKLMNOPQRSTUVWXYZ.")))))</f>
        <v>0</v>
      </c>
      <c r="AN887" t="b">
        <f ca="1">OR(AND(IF(metadata!C887="",FALSE,TRUE),OR(EXACT(metadata!C887,"missing: not collected"),EXACT(metadata!C887,"missing: not provided"),EXACT(metadata!C887,"missing: restricted access"))),AND(IF(metadata!C887="",FALSE,TRUE),AND(AND(IFERROR(INT(LEFT(metadata!C887,4))&gt;1900,FALSE),IFERROR(INT(LEFT(metadata!C887,4))&lt;=YEAR(NOW()),FALSE)), OR(MID(metadata!C887,5,1)="", AND(AND(MID(metadata!C887,5,1)="-",IFERROR(INT(MID(metadata!C887,6,1))&gt;=0,FALSE),IFERROR(INT(MID(metadata!C887,6,1))&lt;=1,FALSE),NOT(MID(metadata!C887,7,1)=""),IFERROR(INT(MID(metadata!C887,6,2))&gt;=1,FALSE),IFERROR(INT(MID(metadata!C887,6,2))&lt;=12,FALSE)), OR(MID(metadata!C887,8,1)="", AND(AND(MID(metadata!C887,8,1)="-",IFERROR(INT(MID(metadata!C887,9,1))&gt;=0,FALSE),IFERROR(INT(MID(metadata!C887,9,1))&lt;=3,FALSE),NOT(MID(metadata!C887,10,1)=""),IFERROR(INT(MID(metadata!C887,9,2))&gt;=1,FALSE),IFERROR(INT(MID(metadata!C887,9,2))&lt;=31,FALSE)), OR(MID(metadata!C887,11,1)="", AND(AND(MID(metadata!C887,11,1)=" ",IFERROR(INT(MID(metadata!C887,12,1))&gt;=0,FALSE),IFERROR(INT(MID(metadata!C887,12,1))&lt;=2,FALSE),NOT(MID(metadata!C887,13,1)=""),IFERROR(INT(MID(metadata!C887,12,2))&gt;=0,FALSE),IFERROR(INT(MID(metadata!C887,12,2))&lt;=23,FALSE)), OR(MID(metadata!C887,14,1)="", AND(AND(MID(metadata!C887,14,1)=":",IFERROR(INT(MID(metadata!C887,15,1))&gt;=0,FALSE),IFERROR(INT(MID(metadata!C887,15,1))&lt;=5,FALSE),NOT(MID(metadata!C887,16,1)=""),IFERROR(INT(MID(metadata!C887,15,2))&gt;=0,FALSE),IFERROR(INT(MID(metadata!C887,15,2))&lt;=59,FALSE)), OR(MID(metadata!C887,17,1)="", AND(AND(MID(metadata!C887,17,1)=":",IFERROR(INT(MID(metadata!C887,18,1))&gt;=0,FALSE),IFERROR(INT(MID(metadata!C887,18,1))&lt;=5,FALSE),NOT(MID(metadata!C887,19,1)=""),IFERROR(INT(MID(metadata!C887,18,2))&gt;=0,FALSE),IFERROR(INT(MID(metadata!C887,18,2))&lt;=59,FALSE)), LEN(metadata!C887)&lt;=19)))))))))))))</f>
        <v>0</v>
      </c>
      <c r="AO887" t="b">
        <f>AND(IF(metadata!D887="",FALSE,TRUE),EXACT(metadata!D887,"Not applicable"))</f>
        <v>0</v>
      </c>
      <c r="AP887" t="b">
        <f>IF(metadata!E887="",FALSE,TRUE)</f>
        <v>0</v>
      </c>
      <c r="AQ887" t="b">
        <f>OR(AND(IF(metadata!F887="",FALSE,TRUE),OR(EXACT(metadata!F887,"missing: not collected"),EXACT(metadata!F887,"missing: not provided"))),AND(IF(metadata!F887="",FALSE,TRUE),OR(EXACT(metadata!F887,"TRUE"),EXACT(metadata!F887,"FALSE"))))</f>
        <v>0</v>
      </c>
      <c r="AR887" t="b">
        <f>OR(AND(IF(metadata!G887="",FALSE,TRUE),OR(EXACT(metadata!G887,"missing: not collected"),EXACT(metadata!G887,"missing: not provided"),EXACT(metadata!G887,"missing: restricted access"))),AND(IF(metadata!G887="",FALSE,ISNUMBER(VALUE(metadata!G887))),metadata!G887&gt;=-413))</f>
        <v>0</v>
      </c>
      <c r="AS887" t="b">
        <f>AND(IF(metadata!H887="",FALSE,TRUE),EXACT(metadata!H887,"meters"))</f>
        <v>0</v>
      </c>
      <c r="AT887" t="b">
        <f>AND(IF(metadata!I887="",FALSE,TRUE),OR(EXACT(metadata!I887,"Host-associated"),EXACT(metadata!I887,"Free-living")))</f>
        <v>0</v>
      </c>
      <c r="AU887" t="b">
        <f>AND(IF(metadata!J887="",FALSE,TRUE),OR(EXACT(metadata!J887,"Animal"),EXACT(metadata!J887,"Fungus"),EXACT(metadata!J887,"Plant"),EXACT(metadata!J887,"Saline"),EXACT(metadata!J887,"Non-saline")))</f>
        <v>0</v>
      </c>
      <c r="AV887" t="b">
        <f>AND(IF(metadata!K887="",FALSE,TRUE),OR(EXACT(metadata!K887,"Plant secretion"),EXACT(metadata!K887,"Plant rhizosphere"),EXACT(metadata!K887,"Plant surface"),EXACT(metadata!K887,"Plant corpus"),EXACT(metadata!K887,"Fungus surface"),EXACT(metadata!K887,"Fungus corpus"),EXACT(metadata!K887,"Animal surface"),EXACT(metadata!K887,"Animal proximal gut"),EXACT(metadata!K887,"Animal corpus"),EXACT(metadata!K887,"Animal distal gut"),EXACT(metadata!K887,"Animal secretion"),EXACT(metadata!K887,"Sub-surface (non-saline)"),EXACT(metadata!K887,"Surface (non-saline)"),EXACT(metadata!K887,"Water (non-saline)"),EXACT(metadata!K887,"Soil (non-saline)"),EXACT(metadata!K887,"Aerosol (non-saline)"),EXACT(metadata!K887,"Sediment (non-saline)"),EXACT(metadata!K887,"Surface (saline)"),EXACT(metadata!K887,"Water (saline)"),EXACT(metadata!K887,"Hypersaline (saline)"),EXACT(metadata!K887,"Aerosol (saline)"),EXACT(metadata!K887,"Sediment (saline)")))</f>
        <v>0</v>
      </c>
      <c r="AW887" t="b">
        <f>IF(metadata!L887="",FALSE,TRUE)</f>
        <v>0</v>
      </c>
      <c r="AX887" t="b">
        <f>IF(metadata!M887="",FALSE,TRUE)</f>
        <v>0</v>
      </c>
      <c r="AY887" t="b">
        <f>IF(metadata!N887="",FALSE,TRUE)</f>
        <v>0</v>
      </c>
      <c r="AZ887" t="b">
        <f>OR(AND(IF(metadata!O887="",FALSE,TRUE),OR(EXACT(metadata!O887,"missing: not collected"),EXACT(metadata!O887,"missing: not provided"),EXACT(metadata!O887,"missing: restricted access"))),AND(IF(metadata!O887="",FALSE,TRUE),OR(EXACT(metadata!O887,"air"),EXACT(metadata!O887,"built environment"),EXACT(metadata!O887,"host-associated"),EXACT(metadata!O887,"human-associated"),EXACT(metadata!O887,"human-skin"),EXACT(metadata!O887,"human-oral"),EXACT(metadata!O887,"human-gut"),EXACT(metadata!O887,"human-vaginal"),EXACT(metadata!O887,"microbial mat/biofilm"),EXACT(metadata!O887,"misc environment"),EXACT(metadata!O887,"plant-associated"),EXACT(metadata!O887,"sediment"),EXACT(metadata!O887,"soil"),EXACT(metadata!O887,"wastewater/sludge"),EXACT(metadata!O887,"water"))))</f>
        <v>0</v>
      </c>
      <c r="BA887" t="b">
        <f>IF(metadata!P887="",FALSE,TRUE)</f>
        <v>0</v>
      </c>
      <c r="BB887" t="b">
        <f>IF(metadata!Q887="",FALSE,TRUE)</f>
        <v>0</v>
      </c>
      <c r="BC887" t="b">
        <f>OR(AND(IF(metadata!R887="",FALSE,TRUE),OR(EXACT(metadata!R887,"missing: not collected"),EXACT(metadata!R887,"missing: not provided"),EXACT(metadata!R887,"missing: restricted access"))),AND(IF(metadata!R887="",FALSE,ISNUMBER(VALUE(metadata!R887))),metadata!R887&gt;=-90,metadata!R887&lt;=90))</f>
        <v>0</v>
      </c>
      <c r="BD887" t="b">
        <f>AND(IF(metadata!S887="",FALSE,TRUE),EXACT(metadata!S887,"Decimal degrees"))</f>
        <v>0</v>
      </c>
      <c r="BE887" t="b">
        <f>OR(AND(IF(metadata!T887="",FALSE,TRUE),OR(EXACT(metadata!T887,"missing: not collected"),EXACT(metadata!T887,"missing: not provided"),EXACT(metadata!T887,"missing: restricted access"))),AND(IF(metadata!T887="",FALSE,ISNUMBER(VALUE(metadata!T887))),metadata!T887&gt;=-180,metadata!T887&lt;=180))</f>
        <v>0</v>
      </c>
      <c r="BF887" t="b">
        <f>AND(IF(metadata!U887="",FALSE,TRUE),EXACT(metadata!U887,"Decimal degrees"))</f>
        <v>0</v>
      </c>
      <c r="BG887" t="b">
        <f>IF(metadata!V887="",FALSE,TRUE)</f>
        <v>0</v>
      </c>
      <c r="BH887" t="b">
        <f>OR(AND(IF(metadata!W887="",FALSE,TRUE),OR(EXACT(metadata!W887,"missing: not collected"),EXACT(metadata!W887,"missing: not provided"),EXACT(metadata!W887,"missing: restricted access"))),AND(IF(metadata!W887="",FALSE,TRUE),OR(EXACT(metadata!W887,"TRUE"),EXACT(metadata!W887,"FALSE"))))</f>
        <v>0</v>
      </c>
      <c r="BI887" t="b">
        <f>AND(IF(metadata!X887="",FALSE,TRUE),EXACT(metadata!X887,"other"))</f>
        <v>0</v>
      </c>
      <c r="BJ887" t="b">
        <f>IF(metadata!Y887="",FALSE,TRUE)</f>
        <v>0</v>
      </c>
      <c r="BK887" t="b">
        <f>OR(AND(IF(metadata!Z887="",FALSE,TRUE),OR(EXACT(metadata!Z887,"missing: not collected"),EXACT(metadata!Z887,"missing: not provided"))),AND(IF(metadata!Z887="",FALSE,IF(ISERROR(INT(metadata!Z887)),FALSE,INT(metadata!Z887)=metadata!Z887)),metadata!Z887&gt;0))</f>
        <v>0</v>
      </c>
      <c r="BL887" t="b">
        <f>AND(IF(metadata!AA887="",FALSE,TRUE),EXACT(metadata!AA887,"Not applicable"))</f>
        <v>0</v>
      </c>
      <c r="BM887" t="b">
        <f>IF(metadata!AB887="",FALSE,TRUE)</f>
        <v>0</v>
      </c>
    </row>
    <row r="888" spans="1:65" x14ac:dyDescent="0.2">
      <c r="A888" s="5" t="str">
        <f ca="1">IF(B888=" "," ",HYPERLINK(CONCATENATE("#metadata!",ADDRESS(INDEX($AH$2:$AH$1001,MATCH(ROWS($AF$2:AF888),$AF$2:$AF$1001,0),0),1)),INDEX($AK$2:$AK$1001,MATCH(ROWS($AF$2:AF888),$AF$2:$AF$1001,0),0)))</f>
        <v xml:space="preserve"> </v>
      </c>
      <c r="B888" s="4" t="str">
        <f ca="1">IF(OR(INDEX($AG$2:$AG$1001,MATCH(ROWS($AF$2:AF888),$AF$2:$AF$1001,0),1)&gt;=100000,INDEX($AM$1005:$BM$1005,1,MATCH(COLUMNS($AM$1006:AM1006),$AM$1006:$BM$1006,0))&gt;=100000), " ",IF(INDEX($AM$2:$BM$1001,MATCH(ROWS($AF$2:AF888),$AF$2:$AF$1001,0),MATCH(COLUMNS($AM$1006:AM1006),$AM$1006:$BM$1006,0)), HYPERLINK("#",""), HYPERLINK(CONCATENATE("#metadata!", ADDRESS(INDEX($AH$2:$AH$1001,MATCH(ROWS($AF$2:AF888),$AF$2:$AF$1001,0),0), INDEX($AM$1004:$BM$1004,1,MATCH(COLUMNS($AM$1006:AM1006),$AM$1006:$BM$1006,0)))),"Fix")))</f>
        <v xml:space="preserve"> </v>
      </c>
      <c r="C888" s="4" t="str">
        <f ca="1">IF(OR(INDEX($AG$2:$AG$1001,MATCH(ROWS($AF$2:AF888),$AF$2:$AF$1001,0),1)&gt;=100000,INDEX($AM$1005:$BM$1005,1,MATCH(COLUMNS($AM$1006:AN1006),$AM$1006:$BM$1006,0))&gt;=100000), " ",IF(INDEX($AM$2:$BM$1001,MATCH(ROWS($AF$2:AF888),$AF$2:$AF$1001,0),MATCH(COLUMNS($AM$1006:AN1006),$AM$1006:$BM$1006,0)), HYPERLINK("#",""), HYPERLINK(CONCATENATE("#metadata!", ADDRESS(INDEX($AH$2:$AH$1001,MATCH(ROWS($AF$2:AF888),$AF$2:$AF$1001,0),0), INDEX($AM$1004:$BM$1004,1,MATCH(COLUMNS($AM$1006:AN1006),$AM$1006:$BM$1006,0)))),"Fix")))</f>
        <v xml:space="preserve"> </v>
      </c>
      <c r="D888" s="4" t="str">
        <f ca="1">IF(OR(INDEX($AG$2:$AG$1001,MATCH(ROWS($AF$2:AF888),$AF$2:$AF$1001,0),1)&gt;=100000,INDEX($AM$1005:$BM$1005,1,MATCH(COLUMNS($AM$1006:AO1006),$AM$1006:$BM$1006,0))&gt;=100000), " ",IF(INDEX($AM$2:$BM$1001,MATCH(ROWS($AF$2:AF888),$AF$2:$AF$1001,0),MATCH(COLUMNS($AM$1006:AO1006),$AM$1006:$BM$1006,0)), HYPERLINK("#",""), HYPERLINK(CONCATENATE("#metadata!", ADDRESS(INDEX($AH$2:$AH$1001,MATCH(ROWS($AF$2:AF888),$AF$2:$AF$1001,0),0), INDEX($AM$1004:$BM$1004,1,MATCH(COLUMNS($AM$1006:AO1006),$AM$1006:$BM$1006,0)))),"Fix")))</f>
        <v xml:space="preserve"> </v>
      </c>
      <c r="E888" s="4" t="str">
        <f ca="1">IF(OR(INDEX($AG$2:$AG$1001,MATCH(ROWS($AF$2:AF888),$AF$2:$AF$1001,0),1)&gt;=100000,INDEX($AM$1005:$BM$1005,1,MATCH(COLUMNS($AM$1006:AP1006),$AM$1006:$BM$1006,0))&gt;=100000), " ",IF(INDEX($AM$2:$BM$1001,MATCH(ROWS($AF$2:AF888),$AF$2:$AF$1001,0),MATCH(COLUMNS($AM$1006:AP1006),$AM$1006:$BM$1006,0)), HYPERLINK("#",""), HYPERLINK(CONCATENATE("#metadata!", ADDRESS(INDEX($AH$2:$AH$1001,MATCH(ROWS($AF$2:AF888),$AF$2:$AF$1001,0),0), INDEX($AM$1004:$BM$1004,1,MATCH(COLUMNS($AM$1006:AP1006),$AM$1006:$BM$1006,0)))),"Fix")))</f>
        <v xml:space="preserve"> </v>
      </c>
      <c r="F888" s="4" t="str">
        <f ca="1">IF(OR(INDEX($AG$2:$AG$1001,MATCH(ROWS($AF$2:AF888),$AF$2:$AF$1001,0),1)&gt;=100000,INDEX($AM$1005:$BM$1005,1,MATCH(COLUMNS($AM$1006:AQ1006),$AM$1006:$BM$1006,0))&gt;=100000), " ",IF(INDEX($AM$2:$BM$1001,MATCH(ROWS($AF$2:AF888),$AF$2:$AF$1001,0),MATCH(COLUMNS($AM$1006:AQ1006),$AM$1006:$BM$1006,0)), HYPERLINK("#",""), HYPERLINK(CONCATENATE("#metadata!", ADDRESS(INDEX($AH$2:$AH$1001,MATCH(ROWS($AF$2:AF888),$AF$2:$AF$1001,0),0), INDEX($AM$1004:$BM$1004,1,MATCH(COLUMNS($AM$1006:AQ1006),$AM$1006:$BM$1006,0)))),"Fix")))</f>
        <v xml:space="preserve"> </v>
      </c>
      <c r="G888" s="4" t="str">
        <f ca="1">IF(OR(INDEX($AG$2:$AG$1001,MATCH(ROWS($AF$2:AF888),$AF$2:$AF$1001,0),1)&gt;=100000,INDEX($AM$1005:$BM$1005,1,MATCH(COLUMNS($AM$1006:AR1006),$AM$1006:$BM$1006,0))&gt;=100000), " ",IF(INDEX($AM$2:$BM$1001,MATCH(ROWS($AF$2:AF888),$AF$2:$AF$1001,0),MATCH(COLUMNS($AM$1006:AR1006),$AM$1006:$BM$1006,0)), HYPERLINK("#",""), HYPERLINK(CONCATENATE("#metadata!", ADDRESS(INDEX($AH$2:$AH$1001,MATCH(ROWS($AF$2:AF888),$AF$2:$AF$1001,0),0), INDEX($AM$1004:$BM$1004,1,MATCH(COLUMNS($AM$1006:AR1006),$AM$1006:$BM$1006,0)))),"Fix")))</f>
        <v xml:space="preserve"> </v>
      </c>
      <c r="H888" s="4" t="str">
        <f ca="1">IF(OR(INDEX($AG$2:$AG$1001,MATCH(ROWS($AF$2:AF888),$AF$2:$AF$1001,0),1)&gt;=100000,INDEX($AM$1005:$BM$1005,1,MATCH(COLUMNS($AM$1006:AS1006),$AM$1006:$BM$1006,0))&gt;=100000), " ",IF(INDEX($AM$2:$BM$1001,MATCH(ROWS($AF$2:AF888),$AF$2:$AF$1001,0),MATCH(COLUMNS($AM$1006:AS1006),$AM$1006:$BM$1006,0)), HYPERLINK("#",""), HYPERLINK(CONCATENATE("#metadata!", ADDRESS(INDEX($AH$2:$AH$1001,MATCH(ROWS($AF$2:AF888),$AF$2:$AF$1001,0),0), INDEX($AM$1004:$BM$1004,1,MATCH(COLUMNS($AM$1006:AS1006),$AM$1006:$BM$1006,0)))),"Fix")))</f>
        <v xml:space="preserve"> </v>
      </c>
      <c r="I888" s="4" t="str">
        <f ca="1">IF(OR(INDEX($AG$2:$AG$1001,MATCH(ROWS($AF$2:AF888),$AF$2:$AF$1001,0),1)&gt;=100000,INDEX($AM$1005:$BM$1005,1,MATCH(COLUMNS($AM$1006:AT1006),$AM$1006:$BM$1006,0))&gt;=100000), " ",IF(INDEX($AM$2:$BM$1001,MATCH(ROWS($AF$2:AF888),$AF$2:$AF$1001,0),MATCH(COLUMNS($AM$1006:AT1006),$AM$1006:$BM$1006,0)), HYPERLINK("#",""), HYPERLINK(CONCATENATE("#metadata!", ADDRESS(INDEX($AH$2:$AH$1001,MATCH(ROWS($AF$2:AF888),$AF$2:$AF$1001,0),0), INDEX($AM$1004:$BM$1004,1,MATCH(COLUMNS($AM$1006:AT1006),$AM$1006:$BM$1006,0)))),"Fix")))</f>
        <v xml:space="preserve"> </v>
      </c>
      <c r="J888" s="4" t="str">
        <f ca="1">IF(OR(INDEX($AG$2:$AG$1001,MATCH(ROWS($AF$2:AF888),$AF$2:$AF$1001,0),1)&gt;=100000,INDEX($AM$1005:$BM$1005,1,MATCH(COLUMNS($AM$1006:AU1006),$AM$1006:$BM$1006,0))&gt;=100000), " ",IF(INDEX($AM$2:$BM$1001,MATCH(ROWS($AF$2:AF888),$AF$2:$AF$1001,0),MATCH(COLUMNS($AM$1006:AU1006),$AM$1006:$BM$1006,0)), HYPERLINK("#",""), HYPERLINK(CONCATENATE("#metadata!", ADDRESS(INDEX($AH$2:$AH$1001,MATCH(ROWS($AF$2:AF888),$AF$2:$AF$1001,0),0), INDEX($AM$1004:$BM$1004,1,MATCH(COLUMNS($AM$1006:AU1006),$AM$1006:$BM$1006,0)))),"Fix")))</f>
        <v xml:space="preserve"> </v>
      </c>
      <c r="K888" s="4" t="str">
        <f ca="1">IF(OR(INDEX($AG$2:$AG$1001,MATCH(ROWS($AF$2:AF888),$AF$2:$AF$1001,0),1)&gt;=100000,INDEX($AM$1005:$BM$1005,1,MATCH(COLUMNS($AM$1006:AV1006),$AM$1006:$BM$1006,0))&gt;=100000), " ",IF(INDEX($AM$2:$BM$1001,MATCH(ROWS($AF$2:AF888),$AF$2:$AF$1001,0),MATCH(COLUMNS($AM$1006:AV1006),$AM$1006:$BM$1006,0)), HYPERLINK("#",""), HYPERLINK(CONCATENATE("#metadata!", ADDRESS(INDEX($AH$2:$AH$1001,MATCH(ROWS($AF$2:AF888),$AF$2:$AF$1001,0),0), INDEX($AM$1004:$BM$1004,1,MATCH(COLUMNS($AM$1006:AV1006),$AM$1006:$BM$1006,0)))),"Fix")))</f>
        <v xml:space="preserve"> </v>
      </c>
      <c r="L888" s="4" t="str">
        <f ca="1">IF(OR(INDEX($AG$2:$AG$1001,MATCH(ROWS($AF$2:AF888),$AF$2:$AF$1001,0),1)&gt;=100000,INDEX($AM$1005:$BM$1005,1,MATCH(COLUMNS($AM$1006:AW1006),$AM$1006:$BM$1006,0))&gt;=100000), " ",IF(INDEX($AM$2:$BM$1001,MATCH(ROWS($AF$2:AF888),$AF$2:$AF$1001,0),MATCH(COLUMNS($AM$1006:AW1006),$AM$1006:$BM$1006,0)), HYPERLINK("#",""), HYPERLINK(CONCATENATE("#metadata!", ADDRESS(INDEX($AH$2:$AH$1001,MATCH(ROWS($AF$2:AF888),$AF$2:$AF$1001,0),0), INDEX($AM$1004:$BM$1004,1,MATCH(COLUMNS($AM$1006:AW1006),$AM$1006:$BM$1006,0)))),"Fix")))</f>
        <v xml:space="preserve"> </v>
      </c>
      <c r="M888" s="4" t="str">
        <f ca="1">IF(OR(INDEX($AG$2:$AG$1001,MATCH(ROWS($AF$2:AF888),$AF$2:$AF$1001,0),1)&gt;=100000,INDEX($AM$1005:$BM$1005,1,MATCH(COLUMNS($AM$1006:AX1006),$AM$1006:$BM$1006,0))&gt;=100000), " ",IF(INDEX($AM$2:$BM$1001,MATCH(ROWS($AF$2:AF888),$AF$2:$AF$1001,0),MATCH(COLUMNS($AM$1006:AX1006),$AM$1006:$BM$1006,0)), HYPERLINK("#",""), HYPERLINK(CONCATENATE("#metadata!", ADDRESS(INDEX($AH$2:$AH$1001,MATCH(ROWS($AF$2:AF888),$AF$2:$AF$1001,0),0), INDEX($AM$1004:$BM$1004,1,MATCH(COLUMNS($AM$1006:AX1006),$AM$1006:$BM$1006,0)))),"Fix")))</f>
        <v xml:space="preserve"> </v>
      </c>
      <c r="N888" s="4" t="str">
        <f ca="1">IF(OR(INDEX($AG$2:$AG$1001,MATCH(ROWS($AF$2:AF888),$AF$2:$AF$1001,0),1)&gt;=100000,INDEX($AM$1005:$BM$1005,1,MATCH(COLUMNS($AM$1006:AY1006),$AM$1006:$BM$1006,0))&gt;=100000), " ",IF(INDEX($AM$2:$BM$1001,MATCH(ROWS($AF$2:AF888),$AF$2:$AF$1001,0),MATCH(COLUMNS($AM$1006:AY1006),$AM$1006:$BM$1006,0)), HYPERLINK("#",""), HYPERLINK(CONCATENATE("#metadata!", ADDRESS(INDEX($AH$2:$AH$1001,MATCH(ROWS($AF$2:AF888),$AF$2:$AF$1001,0),0), INDEX($AM$1004:$BM$1004,1,MATCH(COLUMNS($AM$1006:AY1006),$AM$1006:$BM$1006,0)))),"Fix")))</f>
        <v xml:space="preserve"> </v>
      </c>
      <c r="O888" s="4" t="str">
        <f ca="1">IF(OR(INDEX($AG$2:$AG$1001,MATCH(ROWS($AF$2:AF888),$AF$2:$AF$1001,0),1)&gt;=100000,INDEX($AM$1005:$BM$1005,1,MATCH(COLUMNS($AM$1006:AZ1006),$AM$1006:$BM$1006,0))&gt;=100000), " ",IF(INDEX($AM$2:$BM$1001,MATCH(ROWS($AF$2:AF888),$AF$2:$AF$1001,0),MATCH(COLUMNS($AM$1006:AZ1006),$AM$1006:$BM$1006,0)), HYPERLINK("#",""), HYPERLINK(CONCATENATE("#metadata!", ADDRESS(INDEX($AH$2:$AH$1001,MATCH(ROWS($AF$2:AF888),$AF$2:$AF$1001,0),0), INDEX($AM$1004:$BM$1004,1,MATCH(COLUMNS($AM$1006:AZ1006),$AM$1006:$BM$1006,0)))),"Fix")))</f>
        <v xml:space="preserve"> </v>
      </c>
      <c r="P888" s="4" t="str">
        <f ca="1">IF(OR(INDEX($AG$2:$AG$1001,MATCH(ROWS($AF$2:AF888),$AF$2:$AF$1001,0),1)&gt;=100000,INDEX($AM$1005:$BM$1005,1,MATCH(COLUMNS($AM$1006:BA1006),$AM$1006:$BM$1006,0))&gt;=100000), " ",IF(INDEX($AM$2:$BM$1001,MATCH(ROWS($AF$2:AF888),$AF$2:$AF$1001,0),MATCH(COLUMNS($AM$1006:BA1006),$AM$1006:$BM$1006,0)), HYPERLINK("#",""), HYPERLINK(CONCATENATE("#metadata!", ADDRESS(INDEX($AH$2:$AH$1001,MATCH(ROWS($AF$2:AF888),$AF$2:$AF$1001,0),0), INDEX($AM$1004:$BM$1004,1,MATCH(COLUMNS($AM$1006:BA1006),$AM$1006:$BM$1006,0)))),"Fix")))</f>
        <v xml:space="preserve"> </v>
      </c>
      <c r="Q888" s="4" t="str">
        <f ca="1">IF(OR(INDEX($AG$2:$AG$1001,MATCH(ROWS($AF$2:AF888),$AF$2:$AF$1001,0),1)&gt;=100000,INDEX($AM$1005:$BM$1005,1,MATCH(COLUMNS($AM$1006:BB1006),$AM$1006:$BM$1006,0))&gt;=100000), " ",IF(INDEX($AM$2:$BM$1001,MATCH(ROWS($AF$2:AF888),$AF$2:$AF$1001,0),MATCH(COLUMNS($AM$1006:BB1006),$AM$1006:$BM$1006,0)), HYPERLINK("#",""), HYPERLINK(CONCATENATE("#metadata!", ADDRESS(INDEX($AH$2:$AH$1001,MATCH(ROWS($AF$2:AF888),$AF$2:$AF$1001,0),0), INDEX($AM$1004:$BM$1004,1,MATCH(COLUMNS($AM$1006:BB1006),$AM$1006:$BM$1006,0)))),"Fix")))</f>
        <v xml:space="preserve"> </v>
      </c>
      <c r="R888" s="4" t="str">
        <f ca="1">IF(OR(INDEX($AG$2:$AG$1001,MATCH(ROWS($AF$2:AF888),$AF$2:$AF$1001,0),1)&gt;=100000,INDEX($AM$1005:$BM$1005,1,MATCH(COLUMNS($AM$1006:BC1006),$AM$1006:$BM$1006,0))&gt;=100000), " ",IF(INDEX($AM$2:$BM$1001,MATCH(ROWS($AF$2:AF888),$AF$2:$AF$1001,0),MATCH(COLUMNS($AM$1006:BC1006),$AM$1006:$BM$1006,0)), HYPERLINK("#",""), HYPERLINK(CONCATENATE("#metadata!", ADDRESS(INDEX($AH$2:$AH$1001,MATCH(ROWS($AF$2:AF888),$AF$2:$AF$1001,0),0), INDEX($AM$1004:$BM$1004,1,MATCH(COLUMNS($AM$1006:BC1006),$AM$1006:$BM$1006,0)))),"Fix")))</f>
        <v xml:space="preserve"> </v>
      </c>
      <c r="S888" s="4" t="str">
        <f ca="1">IF(OR(INDEX($AG$2:$AG$1001,MATCH(ROWS($AF$2:AF888),$AF$2:$AF$1001,0),1)&gt;=100000,INDEX($AM$1005:$BM$1005,1,MATCH(COLUMNS($AM$1006:BD1006),$AM$1006:$BM$1006,0))&gt;=100000), " ",IF(INDEX($AM$2:$BM$1001,MATCH(ROWS($AF$2:AF888),$AF$2:$AF$1001,0),MATCH(COLUMNS($AM$1006:BD1006),$AM$1006:$BM$1006,0)), HYPERLINK("#",""), HYPERLINK(CONCATENATE("#metadata!", ADDRESS(INDEX($AH$2:$AH$1001,MATCH(ROWS($AF$2:AF888),$AF$2:$AF$1001,0),0), INDEX($AM$1004:$BM$1004,1,MATCH(COLUMNS($AM$1006:BD1006),$AM$1006:$BM$1006,0)))),"Fix")))</f>
        <v xml:space="preserve"> </v>
      </c>
      <c r="T888" s="4" t="str">
        <f ca="1">IF(OR(INDEX($AG$2:$AG$1001,MATCH(ROWS($AF$2:AF888),$AF$2:$AF$1001,0),1)&gt;=100000,INDEX($AM$1005:$BM$1005,1,MATCH(COLUMNS($AM$1006:BE1006),$AM$1006:$BM$1006,0))&gt;=100000), " ",IF(INDEX($AM$2:$BM$1001,MATCH(ROWS($AF$2:AF888),$AF$2:$AF$1001,0),MATCH(COLUMNS($AM$1006:BE1006),$AM$1006:$BM$1006,0)), HYPERLINK("#",""), HYPERLINK(CONCATENATE("#metadata!", ADDRESS(INDEX($AH$2:$AH$1001,MATCH(ROWS($AF$2:AF888),$AF$2:$AF$1001,0),0), INDEX($AM$1004:$BM$1004,1,MATCH(COLUMNS($AM$1006:BE1006),$AM$1006:$BM$1006,0)))),"Fix")))</f>
        <v xml:space="preserve"> </v>
      </c>
      <c r="U888" s="4" t="str">
        <f ca="1">IF(OR(INDEX($AG$2:$AG$1001,MATCH(ROWS($AF$2:AF888),$AF$2:$AF$1001,0),1)&gt;=100000,INDEX($AM$1005:$BM$1005,1,MATCH(COLUMNS($AM$1006:BF1006),$AM$1006:$BM$1006,0))&gt;=100000), " ",IF(INDEX($AM$2:$BM$1001,MATCH(ROWS($AF$2:AF888),$AF$2:$AF$1001,0),MATCH(COLUMNS($AM$1006:BF1006),$AM$1006:$BM$1006,0)), HYPERLINK("#",""), HYPERLINK(CONCATENATE("#metadata!", ADDRESS(INDEX($AH$2:$AH$1001,MATCH(ROWS($AF$2:AF888),$AF$2:$AF$1001,0),0), INDEX($AM$1004:$BM$1004,1,MATCH(COLUMNS($AM$1006:BF1006),$AM$1006:$BM$1006,0)))),"Fix")))</f>
        <v xml:space="preserve"> </v>
      </c>
      <c r="V888" s="4" t="str">
        <f ca="1">IF(OR(INDEX($AG$2:$AG$1001,MATCH(ROWS($AF$2:AF888),$AF$2:$AF$1001,0),1)&gt;=100000,INDEX($AM$1005:$BM$1005,1,MATCH(COLUMNS($AM$1006:BG1006),$AM$1006:$BM$1006,0))&gt;=100000), " ",IF(INDEX($AM$2:$BM$1001,MATCH(ROWS($AF$2:AF888),$AF$2:$AF$1001,0),MATCH(COLUMNS($AM$1006:BG1006),$AM$1006:$BM$1006,0)), HYPERLINK("#",""), HYPERLINK(CONCATENATE("#metadata!", ADDRESS(INDEX($AH$2:$AH$1001,MATCH(ROWS($AF$2:AF888),$AF$2:$AF$1001,0),0), INDEX($AM$1004:$BM$1004,1,MATCH(COLUMNS($AM$1006:BG1006),$AM$1006:$BM$1006,0)))),"Fix")))</f>
        <v xml:space="preserve"> </v>
      </c>
      <c r="W888" s="4" t="str">
        <f ca="1">IF(OR(INDEX($AG$2:$AG$1001,MATCH(ROWS($AF$2:AF888),$AF$2:$AF$1001,0),1)&gt;=100000,INDEX($AM$1005:$BM$1005,1,MATCH(COLUMNS($AM$1006:BH1006),$AM$1006:$BM$1006,0))&gt;=100000), " ",IF(INDEX($AM$2:$BM$1001,MATCH(ROWS($AF$2:AF888),$AF$2:$AF$1001,0),MATCH(COLUMNS($AM$1006:BH1006),$AM$1006:$BM$1006,0)), HYPERLINK("#",""), HYPERLINK(CONCATENATE("#metadata!", ADDRESS(INDEX($AH$2:$AH$1001,MATCH(ROWS($AF$2:AF888),$AF$2:$AF$1001,0),0), INDEX($AM$1004:$BM$1004,1,MATCH(COLUMNS($AM$1006:BH1006),$AM$1006:$BM$1006,0)))),"Fix")))</f>
        <v xml:space="preserve"> </v>
      </c>
      <c r="X888" s="4" t="str">
        <f ca="1">IF(OR(INDEX($AG$2:$AG$1001,MATCH(ROWS($AF$2:AF888),$AF$2:$AF$1001,0),1)&gt;=100000,INDEX($AM$1005:$BM$1005,1,MATCH(COLUMNS($AM$1006:BI1006),$AM$1006:$BM$1006,0))&gt;=100000), " ",IF(INDEX($AM$2:$BM$1001,MATCH(ROWS($AF$2:AF888),$AF$2:$AF$1001,0),MATCH(COLUMNS($AM$1006:BI1006),$AM$1006:$BM$1006,0)), HYPERLINK("#",""), HYPERLINK(CONCATENATE("#metadata!", ADDRESS(INDEX($AH$2:$AH$1001,MATCH(ROWS($AF$2:AF888),$AF$2:$AF$1001,0),0), INDEX($AM$1004:$BM$1004,1,MATCH(COLUMNS($AM$1006:BI1006),$AM$1006:$BM$1006,0)))),"Fix")))</f>
        <v xml:space="preserve"> </v>
      </c>
      <c r="Y888" s="4" t="str">
        <f ca="1">IF(OR(INDEX($AG$2:$AG$1001,MATCH(ROWS($AF$2:AF888),$AF$2:$AF$1001,0),1)&gt;=100000,INDEX($AM$1005:$BM$1005,1,MATCH(COLUMNS($AM$1006:BJ1006),$AM$1006:$BM$1006,0))&gt;=100000), " ",IF(INDEX($AM$2:$BM$1001,MATCH(ROWS($AF$2:AF888),$AF$2:$AF$1001,0),MATCH(COLUMNS($AM$1006:BJ1006),$AM$1006:$BM$1006,0)), HYPERLINK("#",""), HYPERLINK(CONCATENATE("#metadata!", ADDRESS(INDEX($AH$2:$AH$1001,MATCH(ROWS($AF$2:AF888),$AF$2:$AF$1001,0),0), INDEX($AM$1004:$BM$1004,1,MATCH(COLUMNS($AM$1006:BJ1006),$AM$1006:$BM$1006,0)))),"Fix")))</f>
        <v xml:space="preserve"> </v>
      </c>
      <c r="Z888" s="4" t="str">
        <f ca="1">IF(OR(INDEX($AG$2:$AG$1001,MATCH(ROWS($AF$2:AF888),$AF$2:$AF$1001,0),1)&gt;=100000,INDEX($AM$1005:$BM$1005,1,MATCH(COLUMNS($AM$1006:BK1006),$AM$1006:$BM$1006,0))&gt;=100000), " ",IF(INDEX($AM$2:$BM$1001,MATCH(ROWS($AF$2:AF888),$AF$2:$AF$1001,0),MATCH(COLUMNS($AM$1006:BK1006),$AM$1006:$BM$1006,0)), HYPERLINK("#",""), HYPERLINK(CONCATENATE("#metadata!", ADDRESS(INDEX($AH$2:$AH$1001,MATCH(ROWS($AF$2:AF888),$AF$2:$AF$1001,0),0), INDEX($AM$1004:$BM$1004,1,MATCH(COLUMNS($AM$1006:BK1006),$AM$1006:$BM$1006,0)))),"Fix")))</f>
        <v xml:space="preserve"> </v>
      </c>
      <c r="AA888" s="4" t="str">
        <f ca="1">IF(OR(INDEX($AG$2:$AG$1001,MATCH(ROWS($AF$2:AF888),$AF$2:$AF$1001,0),1)&gt;=100000,INDEX($AM$1005:$BM$1005,1,MATCH(COLUMNS($AM$1006:BL1006),$AM$1006:$BM$1006,0))&gt;=100000), " ",IF(INDEX($AM$2:$BM$1001,MATCH(ROWS($AF$2:AF888),$AF$2:$AF$1001,0),MATCH(COLUMNS($AM$1006:BL1006),$AM$1006:$BM$1006,0)), HYPERLINK("#",""), HYPERLINK(CONCATENATE("#metadata!", ADDRESS(INDEX($AH$2:$AH$1001,MATCH(ROWS($AF$2:AF888),$AF$2:$AF$1001,0),0), INDEX($AM$1004:$BM$1004,1,MATCH(COLUMNS($AM$1006:BL1006),$AM$1006:$BM$1006,0)))),"Fix")))</f>
        <v xml:space="preserve"> </v>
      </c>
      <c r="AB888" s="4" t="str">
        <f ca="1">IF(OR(INDEX($AG$2:$AG$1001,MATCH(ROWS($AF$2:AF888),$AF$2:$AF$1001,0),1)&gt;=100000,INDEX($AM$1005:$BM$1005,1,MATCH(COLUMNS($AM$1006:BM1006),$AM$1006:$BM$1006,0))&gt;=100000), " ",IF(INDEX($AM$2:$BM$1001,MATCH(ROWS($AF$2:AF888),$AF$2:$AF$1001,0),MATCH(COLUMNS($AM$1006:BM1006),$AM$1006:$BM$1006,0)), HYPERLINK("#",""), HYPERLINK(CONCATENATE("#metadata!", ADDRESS(INDEX($AH$2:$AH$1001,MATCH(ROWS($AF$2:AF888),$AF$2:$AF$1001,0),0), INDEX($AM$1004:$BM$1004,1,MATCH(COLUMNS($AM$1006:BM1006),$AM$1006:$BM$1006,0)))),"Fix")))</f>
        <v xml:space="preserve"> </v>
      </c>
      <c r="AF888">
        <v>887</v>
      </c>
      <c r="AG888">
        <v>100888</v>
      </c>
      <c r="AH888">
        <v>888</v>
      </c>
      <c r="AI888" t="b">
        <f t="shared" si="13"/>
        <v>1</v>
      </c>
      <c r="AJ888" t="b">
        <f>COUNTBLANK(metadata!B888:AB888)=COLUMNS(metadata!B888:AB888)</f>
        <v>1</v>
      </c>
      <c r="AK888" t="str">
        <v/>
      </c>
      <c r="AM888" t="b">
        <f ca="1">AND(IF(metadata!B888="",FALSE,TRUE),COUNTIF(metadata!B:B, metadata!B888) = 1,NOT(ISERROR(SUMPRODUCT(SEARCH(MID(metadata!B888,ROW(INDIRECT("1:"&amp;LEN(metadata!B888))), 1),"0123456789abcdefghijklmnopqrstuvwxyzABCDEFGHIJKLMNOPQRSTUVWXYZ.")))))</f>
        <v>0</v>
      </c>
      <c r="AN888" t="b">
        <f ca="1">OR(AND(IF(metadata!C888="",FALSE,TRUE),OR(EXACT(metadata!C888,"missing: not collected"),EXACT(metadata!C888,"missing: not provided"),EXACT(metadata!C888,"missing: restricted access"))),AND(IF(metadata!C888="",FALSE,TRUE),AND(AND(IFERROR(INT(LEFT(metadata!C888,4))&gt;1900,FALSE),IFERROR(INT(LEFT(metadata!C888,4))&lt;=YEAR(NOW()),FALSE)), OR(MID(metadata!C888,5,1)="", AND(AND(MID(metadata!C888,5,1)="-",IFERROR(INT(MID(metadata!C888,6,1))&gt;=0,FALSE),IFERROR(INT(MID(metadata!C888,6,1))&lt;=1,FALSE),NOT(MID(metadata!C888,7,1)=""),IFERROR(INT(MID(metadata!C888,6,2))&gt;=1,FALSE),IFERROR(INT(MID(metadata!C888,6,2))&lt;=12,FALSE)), OR(MID(metadata!C888,8,1)="", AND(AND(MID(metadata!C888,8,1)="-",IFERROR(INT(MID(metadata!C888,9,1))&gt;=0,FALSE),IFERROR(INT(MID(metadata!C888,9,1))&lt;=3,FALSE),NOT(MID(metadata!C888,10,1)=""),IFERROR(INT(MID(metadata!C888,9,2))&gt;=1,FALSE),IFERROR(INT(MID(metadata!C888,9,2))&lt;=31,FALSE)), OR(MID(metadata!C888,11,1)="", AND(AND(MID(metadata!C888,11,1)=" ",IFERROR(INT(MID(metadata!C888,12,1))&gt;=0,FALSE),IFERROR(INT(MID(metadata!C888,12,1))&lt;=2,FALSE),NOT(MID(metadata!C888,13,1)=""),IFERROR(INT(MID(metadata!C888,12,2))&gt;=0,FALSE),IFERROR(INT(MID(metadata!C888,12,2))&lt;=23,FALSE)), OR(MID(metadata!C888,14,1)="", AND(AND(MID(metadata!C888,14,1)=":",IFERROR(INT(MID(metadata!C888,15,1))&gt;=0,FALSE),IFERROR(INT(MID(metadata!C888,15,1))&lt;=5,FALSE),NOT(MID(metadata!C888,16,1)=""),IFERROR(INT(MID(metadata!C888,15,2))&gt;=0,FALSE),IFERROR(INT(MID(metadata!C888,15,2))&lt;=59,FALSE)), OR(MID(metadata!C888,17,1)="", AND(AND(MID(metadata!C888,17,1)=":",IFERROR(INT(MID(metadata!C888,18,1))&gt;=0,FALSE),IFERROR(INT(MID(metadata!C888,18,1))&lt;=5,FALSE),NOT(MID(metadata!C888,19,1)=""),IFERROR(INT(MID(metadata!C888,18,2))&gt;=0,FALSE),IFERROR(INT(MID(metadata!C888,18,2))&lt;=59,FALSE)), LEN(metadata!C888)&lt;=19)))))))))))))</f>
        <v>0</v>
      </c>
      <c r="AO888" t="b">
        <f>AND(IF(metadata!D888="",FALSE,TRUE),EXACT(metadata!D888,"Not applicable"))</f>
        <v>0</v>
      </c>
      <c r="AP888" t="b">
        <f>IF(metadata!E888="",FALSE,TRUE)</f>
        <v>0</v>
      </c>
      <c r="AQ888" t="b">
        <f>OR(AND(IF(metadata!F888="",FALSE,TRUE),OR(EXACT(metadata!F888,"missing: not collected"),EXACT(metadata!F888,"missing: not provided"))),AND(IF(metadata!F888="",FALSE,TRUE),OR(EXACT(metadata!F888,"TRUE"),EXACT(metadata!F888,"FALSE"))))</f>
        <v>0</v>
      </c>
      <c r="AR888" t="b">
        <f>OR(AND(IF(metadata!G888="",FALSE,TRUE),OR(EXACT(metadata!G888,"missing: not collected"),EXACT(metadata!G888,"missing: not provided"),EXACT(metadata!G888,"missing: restricted access"))),AND(IF(metadata!G888="",FALSE,ISNUMBER(VALUE(metadata!G888))),metadata!G888&gt;=-413))</f>
        <v>0</v>
      </c>
      <c r="AS888" t="b">
        <f>AND(IF(metadata!H888="",FALSE,TRUE),EXACT(metadata!H888,"meters"))</f>
        <v>0</v>
      </c>
      <c r="AT888" t="b">
        <f>AND(IF(metadata!I888="",FALSE,TRUE),OR(EXACT(metadata!I888,"Host-associated"),EXACT(metadata!I888,"Free-living")))</f>
        <v>0</v>
      </c>
      <c r="AU888" t="b">
        <f>AND(IF(metadata!J888="",FALSE,TRUE),OR(EXACT(metadata!J888,"Animal"),EXACT(metadata!J888,"Fungus"),EXACT(metadata!J888,"Plant"),EXACT(metadata!J888,"Saline"),EXACT(metadata!J888,"Non-saline")))</f>
        <v>0</v>
      </c>
      <c r="AV888" t="b">
        <f>AND(IF(metadata!K888="",FALSE,TRUE),OR(EXACT(metadata!K888,"Plant secretion"),EXACT(metadata!K888,"Plant rhizosphere"),EXACT(metadata!K888,"Plant surface"),EXACT(metadata!K888,"Plant corpus"),EXACT(metadata!K888,"Fungus surface"),EXACT(metadata!K888,"Fungus corpus"),EXACT(metadata!K888,"Animal surface"),EXACT(metadata!K888,"Animal proximal gut"),EXACT(metadata!K888,"Animal corpus"),EXACT(metadata!K888,"Animal distal gut"),EXACT(metadata!K888,"Animal secretion"),EXACT(metadata!K888,"Sub-surface (non-saline)"),EXACT(metadata!K888,"Surface (non-saline)"),EXACT(metadata!K888,"Water (non-saline)"),EXACT(metadata!K888,"Soil (non-saline)"),EXACT(metadata!K888,"Aerosol (non-saline)"),EXACT(metadata!K888,"Sediment (non-saline)"),EXACT(metadata!K888,"Surface (saline)"),EXACT(metadata!K888,"Water (saline)"),EXACT(metadata!K888,"Hypersaline (saline)"),EXACT(metadata!K888,"Aerosol (saline)"),EXACT(metadata!K888,"Sediment (saline)")))</f>
        <v>0</v>
      </c>
      <c r="AW888" t="b">
        <f>IF(metadata!L888="",FALSE,TRUE)</f>
        <v>0</v>
      </c>
      <c r="AX888" t="b">
        <f>IF(metadata!M888="",FALSE,TRUE)</f>
        <v>0</v>
      </c>
      <c r="AY888" t="b">
        <f>IF(metadata!N888="",FALSE,TRUE)</f>
        <v>0</v>
      </c>
      <c r="AZ888" t="b">
        <f>OR(AND(IF(metadata!O888="",FALSE,TRUE),OR(EXACT(metadata!O888,"missing: not collected"),EXACT(metadata!O888,"missing: not provided"),EXACT(metadata!O888,"missing: restricted access"))),AND(IF(metadata!O888="",FALSE,TRUE),OR(EXACT(metadata!O888,"air"),EXACT(metadata!O888,"built environment"),EXACT(metadata!O888,"host-associated"),EXACT(metadata!O888,"human-associated"),EXACT(metadata!O888,"human-skin"),EXACT(metadata!O888,"human-oral"),EXACT(metadata!O888,"human-gut"),EXACT(metadata!O888,"human-vaginal"),EXACT(metadata!O888,"microbial mat/biofilm"),EXACT(metadata!O888,"misc environment"),EXACT(metadata!O888,"plant-associated"),EXACT(metadata!O888,"sediment"),EXACT(metadata!O888,"soil"),EXACT(metadata!O888,"wastewater/sludge"),EXACT(metadata!O888,"water"))))</f>
        <v>0</v>
      </c>
      <c r="BA888" t="b">
        <f>IF(metadata!P888="",FALSE,TRUE)</f>
        <v>0</v>
      </c>
      <c r="BB888" t="b">
        <f>IF(metadata!Q888="",FALSE,TRUE)</f>
        <v>0</v>
      </c>
      <c r="BC888" t="b">
        <f>OR(AND(IF(metadata!R888="",FALSE,TRUE),OR(EXACT(metadata!R888,"missing: not collected"),EXACT(metadata!R888,"missing: not provided"),EXACT(metadata!R888,"missing: restricted access"))),AND(IF(metadata!R888="",FALSE,ISNUMBER(VALUE(metadata!R888))),metadata!R888&gt;=-90,metadata!R888&lt;=90))</f>
        <v>0</v>
      </c>
      <c r="BD888" t="b">
        <f>AND(IF(metadata!S888="",FALSE,TRUE),EXACT(metadata!S888,"Decimal degrees"))</f>
        <v>0</v>
      </c>
      <c r="BE888" t="b">
        <f>OR(AND(IF(metadata!T888="",FALSE,TRUE),OR(EXACT(metadata!T888,"missing: not collected"),EXACT(metadata!T888,"missing: not provided"),EXACT(metadata!T888,"missing: restricted access"))),AND(IF(metadata!T888="",FALSE,ISNUMBER(VALUE(metadata!T888))),metadata!T888&gt;=-180,metadata!T888&lt;=180))</f>
        <v>0</v>
      </c>
      <c r="BF888" t="b">
        <f>AND(IF(metadata!U888="",FALSE,TRUE),EXACT(metadata!U888,"Decimal degrees"))</f>
        <v>0</v>
      </c>
      <c r="BG888" t="b">
        <f>IF(metadata!V888="",FALSE,TRUE)</f>
        <v>0</v>
      </c>
      <c r="BH888" t="b">
        <f>OR(AND(IF(metadata!W888="",FALSE,TRUE),OR(EXACT(metadata!W888,"missing: not collected"),EXACT(metadata!W888,"missing: not provided"),EXACT(metadata!W888,"missing: restricted access"))),AND(IF(metadata!W888="",FALSE,TRUE),OR(EXACT(metadata!W888,"TRUE"),EXACT(metadata!W888,"FALSE"))))</f>
        <v>0</v>
      </c>
      <c r="BI888" t="b">
        <f>AND(IF(metadata!X888="",FALSE,TRUE),EXACT(metadata!X888,"other"))</f>
        <v>0</v>
      </c>
      <c r="BJ888" t="b">
        <f>IF(metadata!Y888="",FALSE,TRUE)</f>
        <v>0</v>
      </c>
      <c r="BK888" t="b">
        <f>OR(AND(IF(metadata!Z888="",FALSE,TRUE),OR(EXACT(metadata!Z888,"missing: not collected"),EXACT(metadata!Z888,"missing: not provided"))),AND(IF(metadata!Z888="",FALSE,IF(ISERROR(INT(metadata!Z888)),FALSE,INT(metadata!Z888)=metadata!Z888)),metadata!Z888&gt;0))</f>
        <v>0</v>
      </c>
      <c r="BL888" t="b">
        <f>AND(IF(metadata!AA888="",FALSE,TRUE),EXACT(metadata!AA888,"Not applicable"))</f>
        <v>0</v>
      </c>
      <c r="BM888" t="b">
        <f>IF(metadata!AB888="",FALSE,TRUE)</f>
        <v>0</v>
      </c>
    </row>
    <row r="889" spans="1:65" x14ac:dyDescent="0.2">
      <c r="A889" s="5" t="str">
        <f ca="1">IF(B889=" "," ",HYPERLINK(CONCATENATE("#metadata!",ADDRESS(INDEX($AH$2:$AH$1001,MATCH(ROWS($AF$2:AF889),$AF$2:$AF$1001,0),0),1)),INDEX($AK$2:$AK$1001,MATCH(ROWS($AF$2:AF889),$AF$2:$AF$1001,0),0)))</f>
        <v xml:space="preserve"> </v>
      </c>
      <c r="B889" s="4" t="str">
        <f ca="1">IF(OR(INDEX($AG$2:$AG$1001,MATCH(ROWS($AF$2:AF889),$AF$2:$AF$1001,0),1)&gt;=100000,INDEX($AM$1005:$BM$1005,1,MATCH(COLUMNS($AM$1006:AM1006),$AM$1006:$BM$1006,0))&gt;=100000), " ",IF(INDEX($AM$2:$BM$1001,MATCH(ROWS($AF$2:AF889),$AF$2:$AF$1001,0),MATCH(COLUMNS($AM$1006:AM1006),$AM$1006:$BM$1006,0)), HYPERLINK("#",""), HYPERLINK(CONCATENATE("#metadata!", ADDRESS(INDEX($AH$2:$AH$1001,MATCH(ROWS($AF$2:AF889),$AF$2:$AF$1001,0),0), INDEX($AM$1004:$BM$1004,1,MATCH(COLUMNS($AM$1006:AM1006),$AM$1006:$BM$1006,0)))),"Fix")))</f>
        <v xml:space="preserve"> </v>
      </c>
      <c r="C889" s="4" t="str">
        <f ca="1">IF(OR(INDEX($AG$2:$AG$1001,MATCH(ROWS($AF$2:AF889),$AF$2:$AF$1001,0),1)&gt;=100000,INDEX($AM$1005:$BM$1005,1,MATCH(COLUMNS($AM$1006:AN1006),$AM$1006:$BM$1006,0))&gt;=100000), " ",IF(INDEX($AM$2:$BM$1001,MATCH(ROWS($AF$2:AF889),$AF$2:$AF$1001,0),MATCH(COLUMNS($AM$1006:AN1006),$AM$1006:$BM$1006,0)), HYPERLINK("#",""), HYPERLINK(CONCATENATE("#metadata!", ADDRESS(INDEX($AH$2:$AH$1001,MATCH(ROWS($AF$2:AF889),$AF$2:$AF$1001,0),0), INDEX($AM$1004:$BM$1004,1,MATCH(COLUMNS($AM$1006:AN1006),$AM$1006:$BM$1006,0)))),"Fix")))</f>
        <v xml:space="preserve"> </v>
      </c>
      <c r="D889" s="4" t="str">
        <f ca="1">IF(OR(INDEX($AG$2:$AG$1001,MATCH(ROWS($AF$2:AF889),$AF$2:$AF$1001,0),1)&gt;=100000,INDEX($AM$1005:$BM$1005,1,MATCH(COLUMNS($AM$1006:AO1006),$AM$1006:$BM$1006,0))&gt;=100000), " ",IF(INDEX($AM$2:$BM$1001,MATCH(ROWS($AF$2:AF889),$AF$2:$AF$1001,0),MATCH(COLUMNS($AM$1006:AO1006),$AM$1006:$BM$1006,0)), HYPERLINK("#",""), HYPERLINK(CONCATENATE("#metadata!", ADDRESS(INDEX($AH$2:$AH$1001,MATCH(ROWS($AF$2:AF889),$AF$2:$AF$1001,0),0), INDEX($AM$1004:$BM$1004,1,MATCH(COLUMNS($AM$1006:AO1006),$AM$1006:$BM$1006,0)))),"Fix")))</f>
        <v xml:space="preserve"> </v>
      </c>
      <c r="E889" s="4" t="str">
        <f ca="1">IF(OR(INDEX($AG$2:$AG$1001,MATCH(ROWS($AF$2:AF889),$AF$2:$AF$1001,0),1)&gt;=100000,INDEX($AM$1005:$BM$1005,1,MATCH(COLUMNS($AM$1006:AP1006),$AM$1006:$BM$1006,0))&gt;=100000), " ",IF(INDEX($AM$2:$BM$1001,MATCH(ROWS($AF$2:AF889),$AF$2:$AF$1001,0),MATCH(COLUMNS($AM$1006:AP1006),$AM$1006:$BM$1006,0)), HYPERLINK("#",""), HYPERLINK(CONCATENATE("#metadata!", ADDRESS(INDEX($AH$2:$AH$1001,MATCH(ROWS($AF$2:AF889),$AF$2:$AF$1001,0),0), INDEX($AM$1004:$BM$1004,1,MATCH(COLUMNS($AM$1006:AP1006),$AM$1006:$BM$1006,0)))),"Fix")))</f>
        <v xml:space="preserve"> </v>
      </c>
      <c r="F889" s="4" t="str">
        <f ca="1">IF(OR(INDEX($AG$2:$AG$1001,MATCH(ROWS($AF$2:AF889),$AF$2:$AF$1001,0),1)&gt;=100000,INDEX($AM$1005:$BM$1005,1,MATCH(COLUMNS($AM$1006:AQ1006),$AM$1006:$BM$1006,0))&gt;=100000), " ",IF(INDEX($AM$2:$BM$1001,MATCH(ROWS($AF$2:AF889),$AF$2:$AF$1001,0),MATCH(COLUMNS($AM$1006:AQ1006),$AM$1006:$BM$1006,0)), HYPERLINK("#",""), HYPERLINK(CONCATENATE("#metadata!", ADDRESS(INDEX($AH$2:$AH$1001,MATCH(ROWS($AF$2:AF889),$AF$2:$AF$1001,0),0), INDEX($AM$1004:$BM$1004,1,MATCH(COLUMNS($AM$1006:AQ1006),$AM$1006:$BM$1006,0)))),"Fix")))</f>
        <v xml:space="preserve"> </v>
      </c>
      <c r="G889" s="4" t="str">
        <f ca="1">IF(OR(INDEX($AG$2:$AG$1001,MATCH(ROWS($AF$2:AF889),$AF$2:$AF$1001,0),1)&gt;=100000,INDEX($AM$1005:$BM$1005,1,MATCH(COLUMNS($AM$1006:AR1006),$AM$1006:$BM$1006,0))&gt;=100000), " ",IF(INDEX($AM$2:$BM$1001,MATCH(ROWS($AF$2:AF889),$AF$2:$AF$1001,0),MATCH(COLUMNS($AM$1006:AR1006),$AM$1006:$BM$1006,0)), HYPERLINK("#",""), HYPERLINK(CONCATENATE("#metadata!", ADDRESS(INDEX($AH$2:$AH$1001,MATCH(ROWS($AF$2:AF889),$AF$2:$AF$1001,0),0), INDEX($AM$1004:$BM$1004,1,MATCH(COLUMNS($AM$1006:AR1006),$AM$1006:$BM$1006,0)))),"Fix")))</f>
        <v xml:space="preserve"> </v>
      </c>
      <c r="H889" s="4" t="str">
        <f ca="1">IF(OR(INDEX($AG$2:$AG$1001,MATCH(ROWS($AF$2:AF889),$AF$2:$AF$1001,0),1)&gt;=100000,INDEX($AM$1005:$BM$1005,1,MATCH(COLUMNS($AM$1006:AS1006),$AM$1006:$BM$1006,0))&gt;=100000), " ",IF(INDEX($AM$2:$BM$1001,MATCH(ROWS($AF$2:AF889),$AF$2:$AF$1001,0),MATCH(COLUMNS($AM$1006:AS1006),$AM$1006:$BM$1006,0)), HYPERLINK("#",""), HYPERLINK(CONCATENATE("#metadata!", ADDRESS(INDEX($AH$2:$AH$1001,MATCH(ROWS($AF$2:AF889),$AF$2:$AF$1001,0),0), INDEX($AM$1004:$BM$1004,1,MATCH(COLUMNS($AM$1006:AS1006),$AM$1006:$BM$1006,0)))),"Fix")))</f>
        <v xml:space="preserve"> </v>
      </c>
      <c r="I889" s="4" t="str">
        <f ca="1">IF(OR(INDEX($AG$2:$AG$1001,MATCH(ROWS($AF$2:AF889),$AF$2:$AF$1001,0),1)&gt;=100000,INDEX($AM$1005:$BM$1005,1,MATCH(COLUMNS($AM$1006:AT1006),$AM$1006:$BM$1006,0))&gt;=100000), " ",IF(INDEX($AM$2:$BM$1001,MATCH(ROWS($AF$2:AF889),$AF$2:$AF$1001,0),MATCH(COLUMNS($AM$1006:AT1006),$AM$1006:$BM$1006,0)), HYPERLINK("#",""), HYPERLINK(CONCATENATE("#metadata!", ADDRESS(INDEX($AH$2:$AH$1001,MATCH(ROWS($AF$2:AF889),$AF$2:$AF$1001,0),0), INDEX($AM$1004:$BM$1004,1,MATCH(COLUMNS($AM$1006:AT1006),$AM$1006:$BM$1006,0)))),"Fix")))</f>
        <v xml:space="preserve"> </v>
      </c>
      <c r="J889" s="4" t="str">
        <f ca="1">IF(OR(INDEX($AG$2:$AG$1001,MATCH(ROWS($AF$2:AF889),$AF$2:$AF$1001,0),1)&gt;=100000,INDEX($AM$1005:$BM$1005,1,MATCH(COLUMNS($AM$1006:AU1006),$AM$1006:$BM$1006,0))&gt;=100000), " ",IF(INDEX($AM$2:$BM$1001,MATCH(ROWS($AF$2:AF889),$AF$2:$AF$1001,0),MATCH(COLUMNS($AM$1006:AU1006),$AM$1006:$BM$1006,0)), HYPERLINK("#",""), HYPERLINK(CONCATENATE("#metadata!", ADDRESS(INDEX($AH$2:$AH$1001,MATCH(ROWS($AF$2:AF889),$AF$2:$AF$1001,0),0), INDEX($AM$1004:$BM$1004,1,MATCH(COLUMNS($AM$1006:AU1006),$AM$1006:$BM$1006,0)))),"Fix")))</f>
        <v xml:space="preserve"> </v>
      </c>
      <c r="K889" s="4" t="str">
        <f ca="1">IF(OR(INDEX($AG$2:$AG$1001,MATCH(ROWS($AF$2:AF889),$AF$2:$AF$1001,0),1)&gt;=100000,INDEX($AM$1005:$BM$1005,1,MATCH(COLUMNS($AM$1006:AV1006),$AM$1006:$BM$1006,0))&gt;=100000), " ",IF(INDEX($AM$2:$BM$1001,MATCH(ROWS($AF$2:AF889),$AF$2:$AF$1001,0),MATCH(COLUMNS($AM$1006:AV1006),$AM$1006:$BM$1006,0)), HYPERLINK("#",""), HYPERLINK(CONCATENATE("#metadata!", ADDRESS(INDEX($AH$2:$AH$1001,MATCH(ROWS($AF$2:AF889),$AF$2:$AF$1001,0),0), INDEX($AM$1004:$BM$1004,1,MATCH(COLUMNS($AM$1006:AV1006),$AM$1006:$BM$1006,0)))),"Fix")))</f>
        <v xml:space="preserve"> </v>
      </c>
      <c r="L889" s="4" t="str">
        <f ca="1">IF(OR(INDEX($AG$2:$AG$1001,MATCH(ROWS($AF$2:AF889),$AF$2:$AF$1001,0),1)&gt;=100000,INDEX($AM$1005:$BM$1005,1,MATCH(COLUMNS($AM$1006:AW1006),$AM$1006:$BM$1006,0))&gt;=100000), " ",IF(INDEX($AM$2:$BM$1001,MATCH(ROWS($AF$2:AF889),$AF$2:$AF$1001,0),MATCH(COLUMNS($AM$1006:AW1006),$AM$1006:$BM$1006,0)), HYPERLINK("#",""), HYPERLINK(CONCATENATE("#metadata!", ADDRESS(INDEX($AH$2:$AH$1001,MATCH(ROWS($AF$2:AF889),$AF$2:$AF$1001,0),0), INDEX($AM$1004:$BM$1004,1,MATCH(COLUMNS($AM$1006:AW1006),$AM$1006:$BM$1006,0)))),"Fix")))</f>
        <v xml:space="preserve"> </v>
      </c>
      <c r="M889" s="4" t="str">
        <f ca="1">IF(OR(INDEX($AG$2:$AG$1001,MATCH(ROWS($AF$2:AF889),$AF$2:$AF$1001,0),1)&gt;=100000,INDEX($AM$1005:$BM$1005,1,MATCH(COLUMNS($AM$1006:AX1006),$AM$1006:$BM$1006,0))&gt;=100000), " ",IF(INDEX($AM$2:$BM$1001,MATCH(ROWS($AF$2:AF889),$AF$2:$AF$1001,0),MATCH(COLUMNS($AM$1006:AX1006),$AM$1006:$BM$1006,0)), HYPERLINK("#",""), HYPERLINK(CONCATENATE("#metadata!", ADDRESS(INDEX($AH$2:$AH$1001,MATCH(ROWS($AF$2:AF889),$AF$2:$AF$1001,0),0), INDEX($AM$1004:$BM$1004,1,MATCH(COLUMNS($AM$1006:AX1006),$AM$1006:$BM$1006,0)))),"Fix")))</f>
        <v xml:space="preserve"> </v>
      </c>
      <c r="N889" s="4" t="str">
        <f ca="1">IF(OR(INDEX($AG$2:$AG$1001,MATCH(ROWS($AF$2:AF889),$AF$2:$AF$1001,0),1)&gt;=100000,INDEX($AM$1005:$BM$1005,1,MATCH(COLUMNS($AM$1006:AY1006),$AM$1006:$BM$1006,0))&gt;=100000), " ",IF(INDEX($AM$2:$BM$1001,MATCH(ROWS($AF$2:AF889),$AF$2:$AF$1001,0),MATCH(COLUMNS($AM$1006:AY1006),$AM$1006:$BM$1006,0)), HYPERLINK("#",""), HYPERLINK(CONCATENATE("#metadata!", ADDRESS(INDEX($AH$2:$AH$1001,MATCH(ROWS($AF$2:AF889),$AF$2:$AF$1001,0),0), INDEX($AM$1004:$BM$1004,1,MATCH(COLUMNS($AM$1006:AY1006),$AM$1006:$BM$1006,0)))),"Fix")))</f>
        <v xml:space="preserve"> </v>
      </c>
      <c r="O889" s="4" t="str">
        <f ca="1">IF(OR(INDEX($AG$2:$AG$1001,MATCH(ROWS($AF$2:AF889),$AF$2:$AF$1001,0),1)&gt;=100000,INDEX($AM$1005:$BM$1005,1,MATCH(COLUMNS($AM$1006:AZ1006),$AM$1006:$BM$1006,0))&gt;=100000), " ",IF(INDEX($AM$2:$BM$1001,MATCH(ROWS($AF$2:AF889),$AF$2:$AF$1001,0),MATCH(COLUMNS($AM$1006:AZ1006),$AM$1006:$BM$1006,0)), HYPERLINK("#",""), HYPERLINK(CONCATENATE("#metadata!", ADDRESS(INDEX($AH$2:$AH$1001,MATCH(ROWS($AF$2:AF889),$AF$2:$AF$1001,0),0), INDEX($AM$1004:$BM$1004,1,MATCH(COLUMNS($AM$1006:AZ1006),$AM$1006:$BM$1006,0)))),"Fix")))</f>
        <v xml:space="preserve"> </v>
      </c>
      <c r="P889" s="4" t="str">
        <f ca="1">IF(OR(INDEX($AG$2:$AG$1001,MATCH(ROWS($AF$2:AF889),$AF$2:$AF$1001,0),1)&gt;=100000,INDEX($AM$1005:$BM$1005,1,MATCH(COLUMNS($AM$1006:BA1006),$AM$1006:$BM$1006,0))&gt;=100000), " ",IF(INDEX($AM$2:$BM$1001,MATCH(ROWS($AF$2:AF889),$AF$2:$AF$1001,0),MATCH(COLUMNS($AM$1006:BA1006),$AM$1006:$BM$1006,0)), HYPERLINK("#",""), HYPERLINK(CONCATENATE("#metadata!", ADDRESS(INDEX($AH$2:$AH$1001,MATCH(ROWS($AF$2:AF889),$AF$2:$AF$1001,0),0), INDEX($AM$1004:$BM$1004,1,MATCH(COLUMNS($AM$1006:BA1006),$AM$1006:$BM$1006,0)))),"Fix")))</f>
        <v xml:space="preserve"> </v>
      </c>
      <c r="Q889" s="4" t="str">
        <f ca="1">IF(OR(INDEX($AG$2:$AG$1001,MATCH(ROWS($AF$2:AF889),$AF$2:$AF$1001,0),1)&gt;=100000,INDEX($AM$1005:$BM$1005,1,MATCH(COLUMNS($AM$1006:BB1006),$AM$1006:$BM$1006,0))&gt;=100000), " ",IF(INDEX($AM$2:$BM$1001,MATCH(ROWS($AF$2:AF889),$AF$2:$AF$1001,0),MATCH(COLUMNS($AM$1006:BB1006),$AM$1006:$BM$1006,0)), HYPERLINK("#",""), HYPERLINK(CONCATENATE("#metadata!", ADDRESS(INDEX($AH$2:$AH$1001,MATCH(ROWS($AF$2:AF889),$AF$2:$AF$1001,0),0), INDEX($AM$1004:$BM$1004,1,MATCH(COLUMNS($AM$1006:BB1006),$AM$1006:$BM$1006,0)))),"Fix")))</f>
        <v xml:space="preserve"> </v>
      </c>
      <c r="R889" s="4" t="str">
        <f ca="1">IF(OR(INDEX($AG$2:$AG$1001,MATCH(ROWS($AF$2:AF889),$AF$2:$AF$1001,0),1)&gt;=100000,INDEX($AM$1005:$BM$1005,1,MATCH(COLUMNS($AM$1006:BC1006),$AM$1006:$BM$1006,0))&gt;=100000), " ",IF(INDEX($AM$2:$BM$1001,MATCH(ROWS($AF$2:AF889),$AF$2:$AF$1001,0),MATCH(COLUMNS($AM$1006:BC1006),$AM$1006:$BM$1006,0)), HYPERLINK("#",""), HYPERLINK(CONCATENATE("#metadata!", ADDRESS(INDEX($AH$2:$AH$1001,MATCH(ROWS($AF$2:AF889),$AF$2:$AF$1001,0),0), INDEX($AM$1004:$BM$1004,1,MATCH(COLUMNS($AM$1006:BC1006),$AM$1006:$BM$1006,0)))),"Fix")))</f>
        <v xml:space="preserve"> </v>
      </c>
      <c r="S889" s="4" t="str">
        <f ca="1">IF(OR(INDEX($AG$2:$AG$1001,MATCH(ROWS($AF$2:AF889),$AF$2:$AF$1001,0),1)&gt;=100000,INDEX($AM$1005:$BM$1005,1,MATCH(COLUMNS($AM$1006:BD1006),$AM$1006:$BM$1006,0))&gt;=100000), " ",IF(INDEX($AM$2:$BM$1001,MATCH(ROWS($AF$2:AF889),$AF$2:$AF$1001,0),MATCH(COLUMNS($AM$1006:BD1006),$AM$1006:$BM$1006,0)), HYPERLINK("#",""), HYPERLINK(CONCATENATE("#metadata!", ADDRESS(INDEX($AH$2:$AH$1001,MATCH(ROWS($AF$2:AF889),$AF$2:$AF$1001,0),0), INDEX($AM$1004:$BM$1004,1,MATCH(COLUMNS($AM$1006:BD1006),$AM$1006:$BM$1006,0)))),"Fix")))</f>
        <v xml:space="preserve"> </v>
      </c>
      <c r="T889" s="4" t="str">
        <f ca="1">IF(OR(INDEX($AG$2:$AG$1001,MATCH(ROWS($AF$2:AF889),$AF$2:$AF$1001,0),1)&gt;=100000,INDEX($AM$1005:$BM$1005,1,MATCH(COLUMNS($AM$1006:BE1006),$AM$1006:$BM$1006,0))&gt;=100000), " ",IF(INDEX($AM$2:$BM$1001,MATCH(ROWS($AF$2:AF889),$AF$2:$AF$1001,0),MATCH(COLUMNS($AM$1006:BE1006),$AM$1006:$BM$1006,0)), HYPERLINK("#",""), HYPERLINK(CONCATENATE("#metadata!", ADDRESS(INDEX($AH$2:$AH$1001,MATCH(ROWS($AF$2:AF889),$AF$2:$AF$1001,0),0), INDEX($AM$1004:$BM$1004,1,MATCH(COLUMNS($AM$1006:BE1006),$AM$1006:$BM$1006,0)))),"Fix")))</f>
        <v xml:space="preserve"> </v>
      </c>
      <c r="U889" s="4" t="str">
        <f ca="1">IF(OR(INDEX($AG$2:$AG$1001,MATCH(ROWS($AF$2:AF889),$AF$2:$AF$1001,0),1)&gt;=100000,INDEX($AM$1005:$BM$1005,1,MATCH(COLUMNS($AM$1006:BF1006),$AM$1006:$BM$1006,0))&gt;=100000), " ",IF(INDEX($AM$2:$BM$1001,MATCH(ROWS($AF$2:AF889),$AF$2:$AF$1001,0),MATCH(COLUMNS($AM$1006:BF1006),$AM$1006:$BM$1006,0)), HYPERLINK("#",""), HYPERLINK(CONCATENATE("#metadata!", ADDRESS(INDEX($AH$2:$AH$1001,MATCH(ROWS($AF$2:AF889),$AF$2:$AF$1001,0),0), INDEX($AM$1004:$BM$1004,1,MATCH(COLUMNS($AM$1006:BF1006),$AM$1006:$BM$1006,0)))),"Fix")))</f>
        <v xml:space="preserve"> </v>
      </c>
      <c r="V889" s="4" t="str">
        <f ca="1">IF(OR(INDEX($AG$2:$AG$1001,MATCH(ROWS($AF$2:AF889),$AF$2:$AF$1001,0),1)&gt;=100000,INDEX($AM$1005:$BM$1005,1,MATCH(COLUMNS($AM$1006:BG1006),$AM$1006:$BM$1006,0))&gt;=100000), " ",IF(INDEX($AM$2:$BM$1001,MATCH(ROWS($AF$2:AF889),$AF$2:$AF$1001,0),MATCH(COLUMNS($AM$1006:BG1006),$AM$1006:$BM$1006,0)), HYPERLINK("#",""), HYPERLINK(CONCATENATE("#metadata!", ADDRESS(INDEX($AH$2:$AH$1001,MATCH(ROWS($AF$2:AF889),$AF$2:$AF$1001,0),0), INDEX($AM$1004:$BM$1004,1,MATCH(COLUMNS($AM$1006:BG1006),$AM$1006:$BM$1006,0)))),"Fix")))</f>
        <v xml:space="preserve"> </v>
      </c>
      <c r="W889" s="4" t="str">
        <f ca="1">IF(OR(INDEX($AG$2:$AG$1001,MATCH(ROWS($AF$2:AF889),$AF$2:$AF$1001,0),1)&gt;=100000,INDEX($AM$1005:$BM$1005,1,MATCH(COLUMNS($AM$1006:BH1006),$AM$1006:$BM$1006,0))&gt;=100000), " ",IF(INDEX($AM$2:$BM$1001,MATCH(ROWS($AF$2:AF889),$AF$2:$AF$1001,0),MATCH(COLUMNS($AM$1006:BH1006),$AM$1006:$BM$1006,0)), HYPERLINK("#",""), HYPERLINK(CONCATENATE("#metadata!", ADDRESS(INDEX($AH$2:$AH$1001,MATCH(ROWS($AF$2:AF889),$AF$2:$AF$1001,0),0), INDEX($AM$1004:$BM$1004,1,MATCH(COLUMNS($AM$1006:BH1006),$AM$1006:$BM$1006,0)))),"Fix")))</f>
        <v xml:space="preserve"> </v>
      </c>
      <c r="X889" s="4" t="str">
        <f ca="1">IF(OR(INDEX($AG$2:$AG$1001,MATCH(ROWS($AF$2:AF889),$AF$2:$AF$1001,0),1)&gt;=100000,INDEX($AM$1005:$BM$1005,1,MATCH(COLUMNS($AM$1006:BI1006),$AM$1006:$BM$1006,0))&gt;=100000), " ",IF(INDEX($AM$2:$BM$1001,MATCH(ROWS($AF$2:AF889),$AF$2:$AF$1001,0),MATCH(COLUMNS($AM$1006:BI1006),$AM$1006:$BM$1006,0)), HYPERLINK("#",""), HYPERLINK(CONCATENATE("#metadata!", ADDRESS(INDEX($AH$2:$AH$1001,MATCH(ROWS($AF$2:AF889),$AF$2:$AF$1001,0),0), INDEX($AM$1004:$BM$1004,1,MATCH(COLUMNS($AM$1006:BI1006),$AM$1006:$BM$1006,0)))),"Fix")))</f>
        <v xml:space="preserve"> </v>
      </c>
      <c r="Y889" s="4" t="str">
        <f ca="1">IF(OR(INDEX($AG$2:$AG$1001,MATCH(ROWS($AF$2:AF889),$AF$2:$AF$1001,0),1)&gt;=100000,INDEX($AM$1005:$BM$1005,1,MATCH(COLUMNS($AM$1006:BJ1006),$AM$1006:$BM$1006,0))&gt;=100000), " ",IF(INDEX($AM$2:$BM$1001,MATCH(ROWS($AF$2:AF889),$AF$2:$AF$1001,0),MATCH(COLUMNS($AM$1006:BJ1006),$AM$1006:$BM$1006,0)), HYPERLINK("#",""), HYPERLINK(CONCATENATE("#metadata!", ADDRESS(INDEX($AH$2:$AH$1001,MATCH(ROWS($AF$2:AF889),$AF$2:$AF$1001,0),0), INDEX($AM$1004:$BM$1004,1,MATCH(COLUMNS($AM$1006:BJ1006),$AM$1006:$BM$1006,0)))),"Fix")))</f>
        <v xml:space="preserve"> </v>
      </c>
      <c r="Z889" s="4" t="str">
        <f ca="1">IF(OR(INDEX($AG$2:$AG$1001,MATCH(ROWS($AF$2:AF889),$AF$2:$AF$1001,0),1)&gt;=100000,INDEX($AM$1005:$BM$1005,1,MATCH(COLUMNS($AM$1006:BK1006),$AM$1006:$BM$1006,0))&gt;=100000), " ",IF(INDEX($AM$2:$BM$1001,MATCH(ROWS($AF$2:AF889),$AF$2:$AF$1001,0),MATCH(COLUMNS($AM$1006:BK1006),$AM$1006:$BM$1006,0)), HYPERLINK("#",""), HYPERLINK(CONCATENATE("#metadata!", ADDRESS(INDEX($AH$2:$AH$1001,MATCH(ROWS($AF$2:AF889),$AF$2:$AF$1001,0),0), INDEX($AM$1004:$BM$1004,1,MATCH(COLUMNS($AM$1006:BK1006),$AM$1006:$BM$1006,0)))),"Fix")))</f>
        <v xml:space="preserve"> </v>
      </c>
      <c r="AA889" s="4" t="str">
        <f ca="1">IF(OR(INDEX($AG$2:$AG$1001,MATCH(ROWS($AF$2:AF889),$AF$2:$AF$1001,0),1)&gt;=100000,INDEX($AM$1005:$BM$1005,1,MATCH(COLUMNS($AM$1006:BL1006),$AM$1006:$BM$1006,0))&gt;=100000), " ",IF(INDEX($AM$2:$BM$1001,MATCH(ROWS($AF$2:AF889),$AF$2:$AF$1001,0),MATCH(COLUMNS($AM$1006:BL1006),$AM$1006:$BM$1006,0)), HYPERLINK("#",""), HYPERLINK(CONCATENATE("#metadata!", ADDRESS(INDEX($AH$2:$AH$1001,MATCH(ROWS($AF$2:AF889),$AF$2:$AF$1001,0),0), INDEX($AM$1004:$BM$1004,1,MATCH(COLUMNS($AM$1006:BL1006),$AM$1006:$BM$1006,0)))),"Fix")))</f>
        <v xml:space="preserve"> </v>
      </c>
      <c r="AB889" s="4" t="str">
        <f ca="1">IF(OR(INDEX($AG$2:$AG$1001,MATCH(ROWS($AF$2:AF889),$AF$2:$AF$1001,0),1)&gt;=100000,INDEX($AM$1005:$BM$1005,1,MATCH(COLUMNS($AM$1006:BM1006),$AM$1006:$BM$1006,0))&gt;=100000), " ",IF(INDEX($AM$2:$BM$1001,MATCH(ROWS($AF$2:AF889),$AF$2:$AF$1001,0),MATCH(COLUMNS($AM$1006:BM1006),$AM$1006:$BM$1006,0)), HYPERLINK("#",""), HYPERLINK(CONCATENATE("#metadata!", ADDRESS(INDEX($AH$2:$AH$1001,MATCH(ROWS($AF$2:AF889),$AF$2:$AF$1001,0),0), INDEX($AM$1004:$BM$1004,1,MATCH(COLUMNS($AM$1006:BM1006),$AM$1006:$BM$1006,0)))),"Fix")))</f>
        <v xml:space="preserve"> </v>
      </c>
      <c r="AF889">
        <v>888</v>
      </c>
      <c r="AG889">
        <v>100889</v>
      </c>
      <c r="AH889">
        <v>889</v>
      </c>
      <c r="AI889" t="b">
        <f t="shared" si="13"/>
        <v>1</v>
      </c>
      <c r="AJ889" t="b">
        <f>COUNTBLANK(metadata!B889:AB889)=COLUMNS(metadata!B889:AB889)</f>
        <v>1</v>
      </c>
      <c r="AK889" t="str">
        <v/>
      </c>
      <c r="AM889" t="b">
        <f ca="1">AND(IF(metadata!B889="",FALSE,TRUE),COUNTIF(metadata!B:B, metadata!B889) = 1,NOT(ISERROR(SUMPRODUCT(SEARCH(MID(metadata!B889,ROW(INDIRECT("1:"&amp;LEN(metadata!B889))), 1),"0123456789abcdefghijklmnopqrstuvwxyzABCDEFGHIJKLMNOPQRSTUVWXYZ.")))))</f>
        <v>0</v>
      </c>
      <c r="AN889" t="b">
        <f ca="1">OR(AND(IF(metadata!C889="",FALSE,TRUE),OR(EXACT(metadata!C889,"missing: not collected"),EXACT(metadata!C889,"missing: not provided"),EXACT(metadata!C889,"missing: restricted access"))),AND(IF(metadata!C889="",FALSE,TRUE),AND(AND(IFERROR(INT(LEFT(metadata!C889,4))&gt;1900,FALSE),IFERROR(INT(LEFT(metadata!C889,4))&lt;=YEAR(NOW()),FALSE)), OR(MID(metadata!C889,5,1)="", AND(AND(MID(metadata!C889,5,1)="-",IFERROR(INT(MID(metadata!C889,6,1))&gt;=0,FALSE),IFERROR(INT(MID(metadata!C889,6,1))&lt;=1,FALSE),NOT(MID(metadata!C889,7,1)=""),IFERROR(INT(MID(metadata!C889,6,2))&gt;=1,FALSE),IFERROR(INT(MID(metadata!C889,6,2))&lt;=12,FALSE)), OR(MID(metadata!C889,8,1)="", AND(AND(MID(metadata!C889,8,1)="-",IFERROR(INT(MID(metadata!C889,9,1))&gt;=0,FALSE),IFERROR(INT(MID(metadata!C889,9,1))&lt;=3,FALSE),NOT(MID(metadata!C889,10,1)=""),IFERROR(INT(MID(metadata!C889,9,2))&gt;=1,FALSE),IFERROR(INT(MID(metadata!C889,9,2))&lt;=31,FALSE)), OR(MID(metadata!C889,11,1)="", AND(AND(MID(metadata!C889,11,1)=" ",IFERROR(INT(MID(metadata!C889,12,1))&gt;=0,FALSE),IFERROR(INT(MID(metadata!C889,12,1))&lt;=2,FALSE),NOT(MID(metadata!C889,13,1)=""),IFERROR(INT(MID(metadata!C889,12,2))&gt;=0,FALSE),IFERROR(INT(MID(metadata!C889,12,2))&lt;=23,FALSE)), OR(MID(metadata!C889,14,1)="", AND(AND(MID(metadata!C889,14,1)=":",IFERROR(INT(MID(metadata!C889,15,1))&gt;=0,FALSE),IFERROR(INT(MID(metadata!C889,15,1))&lt;=5,FALSE),NOT(MID(metadata!C889,16,1)=""),IFERROR(INT(MID(metadata!C889,15,2))&gt;=0,FALSE),IFERROR(INT(MID(metadata!C889,15,2))&lt;=59,FALSE)), OR(MID(metadata!C889,17,1)="", AND(AND(MID(metadata!C889,17,1)=":",IFERROR(INT(MID(metadata!C889,18,1))&gt;=0,FALSE),IFERROR(INT(MID(metadata!C889,18,1))&lt;=5,FALSE),NOT(MID(metadata!C889,19,1)=""),IFERROR(INT(MID(metadata!C889,18,2))&gt;=0,FALSE),IFERROR(INT(MID(metadata!C889,18,2))&lt;=59,FALSE)), LEN(metadata!C889)&lt;=19)))))))))))))</f>
        <v>0</v>
      </c>
      <c r="AO889" t="b">
        <f>AND(IF(metadata!D889="",FALSE,TRUE),EXACT(metadata!D889,"Not applicable"))</f>
        <v>0</v>
      </c>
      <c r="AP889" t="b">
        <f>IF(metadata!E889="",FALSE,TRUE)</f>
        <v>0</v>
      </c>
      <c r="AQ889" t="b">
        <f>OR(AND(IF(metadata!F889="",FALSE,TRUE),OR(EXACT(metadata!F889,"missing: not collected"),EXACT(metadata!F889,"missing: not provided"))),AND(IF(metadata!F889="",FALSE,TRUE),OR(EXACT(metadata!F889,"TRUE"),EXACT(metadata!F889,"FALSE"))))</f>
        <v>0</v>
      </c>
      <c r="AR889" t="b">
        <f>OR(AND(IF(metadata!G889="",FALSE,TRUE),OR(EXACT(metadata!G889,"missing: not collected"),EXACT(metadata!G889,"missing: not provided"),EXACT(metadata!G889,"missing: restricted access"))),AND(IF(metadata!G889="",FALSE,ISNUMBER(VALUE(metadata!G889))),metadata!G889&gt;=-413))</f>
        <v>0</v>
      </c>
      <c r="AS889" t="b">
        <f>AND(IF(metadata!H889="",FALSE,TRUE),EXACT(metadata!H889,"meters"))</f>
        <v>0</v>
      </c>
      <c r="AT889" t="b">
        <f>AND(IF(metadata!I889="",FALSE,TRUE),OR(EXACT(metadata!I889,"Host-associated"),EXACT(metadata!I889,"Free-living")))</f>
        <v>0</v>
      </c>
      <c r="AU889" t="b">
        <f>AND(IF(metadata!J889="",FALSE,TRUE),OR(EXACT(metadata!J889,"Animal"),EXACT(metadata!J889,"Fungus"),EXACT(metadata!J889,"Plant"),EXACT(metadata!J889,"Saline"),EXACT(metadata!J889,"Non-saline")))</f>
        <v>0</v>
      </c>
      <c r="AV889" t="b">
        <f>AND(IF(metadata!K889="",FALSE,TRUE),OR(EXACT(metadata!K889,"Plant secretion"),EXACT(metadata!K889,"Plant rhizosphere"),EXACT(metadata!K889,"Plant surface"),EXACT(metadata!K889,"Plant corpus"),EXACT(metadata!K889,"Fungus surface"),EXACT(metadata!K889,"Fungus corpus"),EXACT(metadata!K889,"Animal surface"),EXACT(metadata!K889,"Animal proximal gut"),EXACT(metadata!K889,"Animal corpus"),EXACT(metadata!K889,"Animal distal gut"),EXACT(metadata!K889,"Animal secretion"),EXACT(metadata!K889,"Sub-surface (non-saline)"),EXACT(metadata!K889,"Surface (non-saline)"),EXACT(metadata!K889,"Water (non-saline)"),EXACT(metadata!K889,"Soil (non-saline)"),EXACT(metadata!K889,"Aerosol (non-saline)"),EXACT(metadata!K889,"Sediment (non-saline)"),EXACT(metadata!K889,"Surface (saline)"),EXACT(metadata!K889,"Water (saline)"),EXACT(metadata!K889,"Hypersaline (saline)"),EXACT(metadata!K889,"Aerosol (saline)"),EXACT(metadata!K889,"Sediment (saline)")))</f>
        <v>0</v>
      </c>
      <c r="AW889" t="b">
        <f>IF(metadata!L889="",FALSE,TRUE)</f>
        <v>0</v>
      </c>
      <c r="AX889" t="b">
        <f>IF(metadata!M889="",FALSE,TRUE)</f>
        <v>0</v>
      </c>
      <c r="AY889" t="b">
        <f>IF(metadata!N889="",FALSE,TRUE)</f>
        <v>0</v>
      </c>
      <c r="AZ889" t="b">
        <f>OR(AND(IF(metadata!O889="",FALSE,TRUE),OR(EXACT(metadata!O889,"missing: not collected"),EXACT(metadata!O889,"missing: not provided"),EXACT(metadata!O889,"missing: restricted access"))),AND(IF(metadata!O889="",FALSE,TRUE),OR(EXACT(metadata!O889,"air"),EXACT(metadata!O889,"built environment"),EXACT(metadata!O889,"host-associated"),EXACT(metadata!O889,"human-associated"),EXACT(metadata!O889,"human-skin"),EXACT(metadata!O889,"human-oral"),EXACT(metadata!O889,"human-gut"),EXACT(metadata!O889,"human-vaginal"),EXACT(metadata!O889,"microbial mat/biofilm"),EXACT(metadata!O889,"misc environment"),EXACT(metadata!O889,"plant-associated"),EXACT(metadata!O889,"sediment"),EXACT(metadata!O889,"soil"),EXACT(metadata!O889,"wastewater/sludge"),EXACT(metadata!O889,"water"))))</f>
        <v>0</v>
      </c>
      <c r="BA889" t="b">
        <f>IF(metadata!P889="",FALSE,TRUE)</f>
        <v>0</v>
      </c>
      <c r="BB889" t="b">
        <f>IF(metadata!Q889="",FALSE,TRUE)</f>
        <v>0</v>
      </c>
      <c r="BC889" t="b">
        <f>OR(AND(IF(metadata!R889="",FALSE,TRUE),OR(EXACT(metadata!R889,"missing: not collected"),EXACT(metadata!R889,"missing: not provided"),EXACT(metadata!R889,"missing: restricted access"))),AND(IF(metadata!R889="",FALSE,ISNUMBER(VALUE(metadata!R889))),metadata!R889&gt;=-90,metadata!R889&lt;=90))</f>
        <v>0</v>
      </c>
      <c r="BD889" t="b">
        <f>AND(IF(metadata!S889="",FALSE,TRUE),EXACT(metadata!S889,"Decimal degrees"))</f>
        <v>0</v>
      </c>
      <c r="BE889" t="b">
        <f>OR(AND(IF(metadata!T889="",FALSE,TRUE),OR(EXACT(metadata!T889,"missing: not collected"),EXACT(metadata!T889,"missing: not provided"),EXACT(metadata!T889,"missing: restricted access"))),AND(IF(metadata!T889="",FALSE,ISNUMBER(VALUE(metadata!T889))),metadata!T889&gt;=-180,metadata!T889&lt;=180))</f>
        <v>0</v>
      </c>
      <c r="BF889" t="b">
        <f>AND(IF(metadata!U889="",FALSE,TRUE),EXACT(metadata!U889,"Decimal degrees"))</f>
        <v>0</v>
      </c>
      <c r="BG889" t="b">
        <f>IF(metadata!V889="",FALSE,TRUE)</f>
        <v>0</v>
      </c>
      <c r="BH889" t="b">
        <f>OR(AND(IF(metadata!W889="",FALSE,TRUE),OR(EXACT(metadata!W889,"missing: not collected"),EXACT(metadata!W889,"missing: not provided"),EXACT(metadata!W889,"missing: restricted access"))),AND(IF(metadata!W889="",FALSE,TRUE),OR(EXACT(metadata!W889,"TRUE"),EXACT(metadata!W889,"FALSE"))))</f>
        <v>0</v>
      </c>
      <c r="BI889" t="b">
        <f>AND(IF(metadata!X889="",FALSE,TRUE),EXACT(metadata!X889,"other"))</f>
        <v>0</v>
      </c>
      <c r="BJ889" t="b">
        <f>IF(metadata!Y889="",FALSE,TRUE)</f>
        <v>0</v>
      </c>
      <c r="BK889" t="b">
        <f>OR(AND(IF(metadata!Z889="",FALSE,TRUE),OR(EXACT(metadata!Z889,"missing: not collected"),EXACT(metadata!Z889,"missing: not provided"))),AND(IF(metadata!Z889="",FALSE,IF(ISERROR(INT(metadata!Z889)),FALSE,INT(metadata!Z889)=metadata!Z889)),metadata!Z889&gt;0))</f>
        <v>0</v>
      </c>
      <c r="BL889" t="b">
        <f>AND(IF(metadata!AA889="",FALSE,TRUE),EXACT(metadata!AA889,"Not applicable"))</f>
        <v>0</v>
      </c>
      <c r="BM889" t="b">
        <f>IF(metadata!AB889="",FALSE,TRUE)</f>
        <v>0</v>
      </c>
    </row>
    <row r="890" spans="1:65" x14ac:dyDescent="0.2">
      <c r="A890" s="5" t="str">
        <f ca="1">IF(B890=" "," ",HYPERLINK(CONCATENATE("#metadata!",ADDRESS(INDEX($AH$2:$AH$1001,MATCH(ROWS($AF$2:AF890),$AF$2:$AF$1001,0),0),1)),INDEX($AK$2:$AK$1001,MATCH(ROWS($AF$2:AF890),$AF$2:$AF$1001,0),0)))</f>
        <v xml:space="preserve"> </v>
      </c>
      <c r="B890" s="4" t="str">
        <f ca="1">IF(OR(INDEX($AG$2:$AG$1001,MATCH(ROWS($AF$2:AF890),$AF$2:$AF$1001,0),1)&gt;=100000,INDEX($AM$1005:$BM$1005,1,MATCH(COLUMNS($AM$1006:AM1006),$AM$1006:$BM$1006,0))&gt;=100000), " ",IF(INDEX($AM$2:$BM$1001,MATCH(ROWS($AF$2:AF890),$AF$2:$AF$1001,0),MATCH(COLUMNS($AM$1006:AM1006),$AM$1006:$BM$1006,0)), HYPERLINK("#",""), HYPERLINK(CONCATENATE("#metadata!", ADDRESS(INDEX($AH$2:$AH$1001,MATCH(ROWS($AF$2:AF890),$AF$2:$AF$1001,0),0), INDEX($AM$1004:$BM$1004,1,MATCH(COLUMNS($AM$1006:AM1006),$AM$1006:$BM$1006,0)))),"Fix")))</f>
        <v xml:space="preserve"> </v>
      </c>
      <c r="C890" s="4" t="str">
        <f ca="1">IF(OR(INDEX($AG$2:$AG$1001,MATCH(ROWS($AF$2:AF890),$AF$2:$AF$1001,0),1)&gt;=100000,INDEX($AM$1005:$BM$1005,1,MATCH(COLUMNS($AM$1006:AN1006),$AM$1006:$BM$1006,0))&gt;=100000), " ",IF(INDEX($AM$2:$BM$1001,MATCH(ROWS($AF$2:AF890),$AF$2:$AF$1001,0),MATCH(COLUMNS($AM$1006:AN1006),$AM$1006:$BM$1006,0)), HYPERLINK("#",""), HYPERLINK(CONCATENATE("#metadata!", ADDRESS(INDEX($AH$2:$AH$1001,MATCH(ROWS($AF$2:AF890),$AF$2:$AF$1001,0),0), INDEX($AM$1004:$BM$1004,1,MATCH(COLUMNS($AM$1006:AN1006),$AM$1006:$BM$1006,0)))),"Fix")))</f>
        <v xml:space="preserve"> </v>
      </c>
      <c r="D890" s="4" t="str">
        <f ca="1">IF(OR(INDEX($AG$2:$AG$1001,MATCH(ROWS($AF$2:AF890),$AF$2:$AF$1001,0),1)&gt;=100000,INDEX($AM$1005:$BM$1005,1,MATCH(COLUMNS($AM$1006:AO1006),$AM$1006:$BM$1006,0))&gt;=100000), " ",IF(INDEX($AM$2:$BM$1001,MATCH(ROWS($AF$2:AF890),$AF$2:$AF$1001,0),MATCH(COLUMNS($AM$1006:AO1006),$AM$1006:$BM$1006,0)), HYPERLINK("#",""), HYPERLINK(CONCATENATE("#metadata!", ADDRESS(INDEX($AH$2:$AH$1001,MATCH(ROWS($AF$2:AF890),$AF$2:$AF$1001,0),0), INDEX($AM$1004:$BM$1004,1,MATCH(COLUMNS($AM$1006:AO1006),$AM$1006:$BM$1006,0)))),"Fix")))</f>
        <v xml:space="preserve"> </v>
      </c>
      <c r="E890" s="4" t="str">
        <f ca="1">IF(OR(INDEX($AG$2:$AG$1001,MATCH(ROWS($AF$2:AF890),$AF$2:$AF$1001,0),1)&gt;=100000,INDEX($AM$1005:$BM$1005,1,MATCH(COLUMNS($AM$1006:AP1006),$AM$1006:$BM$1006,0))&gt;=100000), " ",IF(INDEX($AM$2:$BM$1001,MATCH(ROWS($AF$2:AF890),$AF$2:$AF$1001,0),MATCH(COLUMNS($AM$1006:AP1006),$AM$1006:$BM$1006,0)), HYPERLINK("#",""), HYPERLINK(CONCATENATE("#metadata!", ADDRESS(INDEX($AH$2:$AH$1001,MATCH(ROWS($AF$2:AF890),$AF$2:$AF$1001,0),0), INDEX($AM$1004:$BM$1004,1,MATCH(COLUMNS($AM$1006:AP1006),$AM$1006:$BM$1006,0)))),"Fix")))</f>
        <v xml:space="preserve"> </v>
      </c>
      <c r="F890" s="4" t="str">
        <f ca="1">IF(OR(INDEX($AG$2:$AG$1001,MATCH(ROWS($AF$2:AF890),$AF$2:$AF$1001,0),1)&gt;=100000,INDEX($AM$1005:$BM$1005,1,MATCH(COLUMNS($AM$1006:AQ1006),$AM$1006:$BM$1006,0))&gt;=100000), " ",IF(INDEX($AM$2:$BM$1001,MATCH(ROWS($AF$2:AF890),$AF$2:$AF$1001,0),MATCH(COLUMNS($AM$1006:AQ1006),$AM$1006:$BM$1006,0)), HYPERLINK("#",""), HYPERLINK(CONCATENATE("#metadata!", ADDRESS(INDEX($AH$2:$AH$1001,MATCH(ROWS($AF$2:AF890),$AF$2:$AF$1001,0),0), INDEX($AM$1004:$BM$1004,1,MATCH(COLUMNS($AM$1006:AQ1006),$AM$1006:$BM$1006,0)))),"Fix")))</f>
        <v xml:space="preserve"> </v>
      </c>
      <c r="G890" s="4" t="str">
        <f ca="1">IF(OR(INDEX($AG$2:$AG$1001,MATCH(ROWS($AF$2:AF890),$AF$2:$AF$1001,0),1)&gt;=100000,INDEX($AM$1005:$BM$1005,1,MATCH(COLUMNS($AM$1006:AR1006),$AM$1006:$BM$1006,0))&gt;=100000), " ",IF(INDEX($AM$2:$BM$1001,MATCH(ROWS($AF$2:AF890),$AF$2:$AF$1001,0),MATCH(COLUMNS($AM$1006:AR1006),$AM$1006:$BM$1006,0)), HYPERLINK("#",""), HYPERLINK(CONCATENATE("#metadata!", ADDRESS(INDEX($AH$2:$AH$1001,MATCH(ROWS($AF$2:AF890),$AF$2:$AF$1001,0),0), INDEX($AM$1004:$BM$1004,1,MATCH(COLUMNS($AM$1006:AR1006),$AM$1006:$BM$1006,0)))),"Fix")))</f>
        <v xml:space="preserve"> </v>
      </c>
      <c r="H890" s="4" t="str">
        <f ca="1">IF(OR(INDEX($AG$2:$AG$1001,MATCH(ROWS($AF$2:AF890),$AF$2:$AF$1001,0),1)&gt;=100000,INDEX($AM$1005:$BM$1005,1,MATCH(COLUMNS($AM$1006:AS1006),$AM$1006:$BM$1006,0))&gt;=100000), " ",IF(INDEX($AM$2:$BM$1001,MATCH(ROWS($AF$2:AF890),$AF$2:$AF$1001,0),MATCH(COLUMNS($AM$1006:AS1006),$AM$1006:$BM$1006,0)), HYPERLINK("#",""), HYPERLINK(CONCATENATE("#metadata!", ADDRESS(INDEX($AH$2:$AH$1001,MATCH(ROWS($AF$2:AF890),$AF$2:$AF$1001,0),0), INDEX($AM$1004:$BM$1004,1,MATCH(COLUMNS($AM$1006:AS1006),$AM$1006:$BM$1006,0)))),"Fix")))</f>
        <v xml:space="preserve"> </v>
      </c>
      <c r="I890" s="4" t="str">
        <f ca="1">IF(OR(INDEX($AG$2:$AG$1001,MATCH(ROWS($AF$2:AF890),$AF$2:$AF$1001,0),1)&gt;=100000,INDEX($AM$1005:$BM$1005,1,MATCH(COLUMNS($AM$1006:AT1006),$AM$1006:$BM$1006,0))&gt;=100000), " ",IF(INDEX($AM$2:$BM$1001,MATCH(ROWS($AF$2:AF890),$AF$2:$AF$1001,0),MATCH(COLUMNS($AM$1006:AT1006),$AM$1006:$BM$1006,0)), HYPERLINK("#",""), HYPERLINK(CONCATENATE("#metadata!", ADDRESS(INDEX($AH$2:$AH$1001,MATCH(ROWS($AF$2:AF890),$AF$2:$AF$1001,0),0), INDEX($AM$1004:$BM$1004,1,MATCH(COLUMNS($AM$1006:AT1006),$AM$1006:$BM$1006,0)))),"Fix")))</f>
        <v xml:space="preserve"> </v>
      </c>
      <c r="J890" s="4" t="str">
        <f ca="1">IF(OR(INDEX($AG$2:$AG$1001,MATCH(ROWS($AF$2:AF890),$AF$2:$AF$1001,0),1)&gt;=100000,INDEX($AM$1005:$BM$1005,1,MATCH(COLUMNS($AM$1006:AU1006),$AM$1006:$BM$1006,0))&gt;=100000), " ",IF(INDEX($AM$2:$BM$1001,MATCH(ROWS($AF$2:AF890),$AF$2:$AF$1001,0),MATCH(COLUMNS($AM$1006:AU1006),$AM$1006:$BM$1006,0)), HYPERLINK("#",""), HYPERLINK(CONCATENATE("#metadata!", ADDRESS(INDEX($AH$2:$AH$1001,MATCH(ROWS($AF$2:AF890),$AF$2:$AF$1001,0),0), INDEX($AM$1004:$BM$1004,1,MATCH(COLUMNS($AM$1006:AU1006),$AM$1006:$BM$1006,0)))),"Fix")))</f>
        <v xml:space="preserve"> </v>
      </c>
      <c r="K890" s="4" t="str">
        <f ca="1">IF(OR(INDEX($AG$2:$AG$1001,MATCH(ROWS($AF$2:AF890),$AF$2:$AF$1001,0),1)&gt;=100000,INDEX($AM$1005:$BM$1005,1,MATCH(COLUMNS($AM$1006:AV1006),$AM$1006:$BM$1006,0))&gt;=100000), " ",IF(INDEX($AM$2:$BM$1001,MATCH(ROWS($AF$2:AF890),$AF$2:$AF$1001,0),MATCH(COLUMNS($AM$1006:AV1006),$AM$1006:$BM$1006,0)), HYPERLINK("#",""), HYPERLINK(CONCATENATE("#metadata!", ADDRESS(INDEX($AH$2:$AH$1001,MATCH(ROWS($AF$2:AF890),$AF$2:$AF$1001,0),0), INDEX($AM$1004:$BM$1004,1,MATCH(COLUMNS($AM$1006:AV1006),$AM$1006:$BM$1006,0)))),"Fix")))</f>
        <v xml:space="preserve"> </v>
      </c>
      <c r="L890" s="4" t="str">
        <f ca="1">IF(OR(INDEX($AG$2:$AG$1001,MATCH(ROWS($AF$2:AF890),$AF$2:$AF$1001,0),1)&gt;=100000,INDEX($AM$1005:$BM$1005,1,MATCH(COLUMNS($AM$1006:AW1006),$AM$1006:$BM$1006,0))&gt;=100000), " ",IF(INDEX($AM$2:$BM$1001,MATCH(ROWS($AF$2:AF890),$AF$2:$AF$1001,0),MATCH(COLUMNS($AM$1006:AW1006),$AM$1006:$BM$1006,0)), HYPERLINK("#",""), HYPERLINK(CONCATENATE("#metadata!", ADDRESS(INDEX($AH$2:$AH$1001,MATCH(ROWS($AF$2:AF890),$AF$2:$AF$1001,0),0), INDEX($AM$1004:$BM$1004,1,MATCH(COLUMNS($AM$1006:AW1006),$AM$1006:$BM$1006,0)))),"Fix")))</f>
        <v xml:space="preserve"> </v>
      </c>
      <c r="M890" s="4" t="str">
        <f ca="1">IF(OR(INDEX($AG$2:$AG$1001,MATCH(ROWS($AF$2:AF890),$AF$2:$AF$1001,0),1)&gt;=100000,INDEX($AM$1005:$BM$1005,1,MATCH(COLUMNS($AM$1006:AX1006),$AM$1006:$BM$1006,0))&gt;=100000), " ",IF(INDEX($AM$2:$BM$1001,MATCH(ROWS($AF$2:AF890),$AF$2:$AF$1001,0),MATCH(COLUMNS($AM$1006:AX1006),$AM$1006:$BM$1006,0)), HYPERLINK("#",""), HYPERLINK(CONCATENATE("#metadata!", ADDRESS(INDEX($AH$2:$AH$1001,MATCH(ROWS($AF$2:AF890),$AF$2:$AF$1001,0),0), INDEX($AM$1004:$BM$1004,1,MATCH(COLUMNS($AM$1006:AX1006),$AM$1006:$BM$1006,0)))),"Fix")))</f>
        <v xml:space="preserve"> </v>
      </c>
      <c r="N890" s="4" t="str">
        <f ca="1">IF(OR(INDEX($AG$2:$AG$1001,MATCH(ROWS($AF$2:AF890),$AF$2:$AF$1001,0),1)&gt;=100000,INDEX($AM$1005:$BM$1005,1,MATCH(COLUMNS($AM$1006:AY1006),$AM$1006:$BM$1006,0))&gt;=100000), " ",IF(INDEX($AM$2:$BM$1001,MATCH(ROWS($AF$2:AF890),$AF$2:$AF$1001,0),MATCH(COLUMNS($AM$1006:AY1006),$AM$1006:$BM$1006,0)), HYPERLINK("#",""), HYPERLINK(CONCATENATE("#metadata!", ADDRESS(INDEX($AH$2:$AH$1001,MATCH(ROWS($AF$2:AF890),$AF$2:$AF$1001,0),0), INDEX($AM$1004:$BM$1004,1,MATCH(COLUMNS($AM$1006:AY1006),$AM$1006:$BM$1006,0)))),"Fix")))</f>
        <v xml:space="preserve"> </v>
      </c>
      <c r="O890" s="4" t="str">
        <f ca="1">IF(OR(INDEX($AG$2:$AG$1001,MATCH(ROWS($AF$2:AF890),$AF$2:$AF$1001,0),1)&gt;=100000,INDEX($AM$1005:$BM$1005,1,MATCH(COLUMNS($AM$1006:AZ1006),$AM$1006:$BM$1006,0))&gt;=100000), " ",IF(INDEX($AM$2:$BM$1001,MATCH(ROWS($AF$2:AF890),$AF$2:$AF$1001,0),MATCH(COLUMNS($AM$1006:AZ1006),$AM$1006:$BM$1006,0)), HYPERLINK("#",""), HYPERLINK(CONCATENATE("#metadata!", ADDRESS(INDEX($AH$2:$AH$1001,MATCH(ROWS($AF$2:AF890),$AF$2:$AF$1001,0),0), INDEX($AM$1004:$BM$1004,1,MATCH(COLUMNS($AM$1006:AZ1006),$AM$1006:$BM$1006,0)))),"Fix")))</f>
        <v xml:space="preserve"> </v>
      </c>
      <c r="P890" s="4" t="str">
        <f ca="1">IF(OR(INDEX($AG$2:$AG$1001,MATCH(ROWS($AF$2:AF890),$AF$2:$AF$1001,0),1)&gt;=100000,INDEX($AM$1005:$BM$1005,1,MATCH(COLUMNS($AM$1006:BA1006),$AM$1006:$BM$1006,0))&gt;=100000), " ",IF(INDEX($AM$2:$BM$1001,MATCH(ROWS($AF$2:AF890),$AF$2:$AF$1001,0),MATCH(COLUMNS($AM$1006:BA1006),$AM$1006:$BM$1006,0)), HYPERLINK("#",""), HYPERLINK(CONCATENATE("#metadata!", ADDRESS(INDEX($AH$2:$AH$1001,MATCH(ROWS($AF$2:AF890),$AF$2:$AF$1001,0),0), INDEX($AM$1004:$BM$1004,1,MATCH(COLUMNS($AM$1006:BA1006),$AM$1006:$BM$1006,0)))),"Fix")))</f>
        <v xml:space="preserve"> </v>
      </c>
      <c r="Q890" s="4" t="str">
        <f ca="1">IF(OR(INDEX($AG$2:$AG$1001,MATCH(ROWS($AF$2:AF890),$AF$2:$AF$1001,0),1)&gt;=100000,INDEX($AM$1005:$BM$1005,1,MATCH(COLUMNS($AM$1006:BB1006),$AM$1006:$BM$1006,0))&gt;=100000), " ",IF(INDEX($AM$2:$BM$1001,MATCH(ROWS($AF$2:AF890),$AF$2:$AF$1001,0),MATCH(COLUMNS($AM$1006:BB1006),$AM$1006:$BM$1006,0)), HYPERLINK("#",""), HYPERLINK(CONCATENATE("#metadata!", ADDRESS(INDEX($AH$2:$AH$1001,MATCH(ROWS($AF$2:AF890),$AF$2:$AF$1001,0),0), INDEX($AM$1004:$BM$1004,1,MATCH(COLUMNS($AM$1006:BB1006),$AM$1006:$BM$1006,0)))),"Fix")))</f>
        <v xml:space="preserve"> </v>
      </c>
      <c r="R890" s="4" t="str">
        <f ca="1">IF(OR(INDEX($AG$2:$AG$1001,MATCH(ROWS($AF$2:AF890),$AF$2:$AF$1001,0),1)&gt;=100000,INDEX($AM$1005:$BM$1005,1,MATCH(COLUMNS($AM$1006:BC1006),$AM$1006:$BM$1006,0))&gt;=100000), " ",IF(INDEX($AM$2:$BM$1001,MATCH(ROWS($AF$2:AF890),$AF$2:$AF$1001,0),MATCH(COLUMNS($AM$1006:BC1006),$AM$1006:$BM$1006,0)), HYPERLINK("#",""), HYPERLINK(CONCATENATE("#metadata!", ADDRESS(INDEX($AH$2:$AH$1001,MATCH(ROWS($AF$2:AF890),$AF$2:$AF$1001,0),0), INDEX($AM$1004:$BM$1004,1,MATCH(COLUMNS($AM$1006:BC1006),$AM$1006:$BM$1006,0)))),"Fix")))</f>
        <v xml:space="preserve"> </v>
      </c>
      <c r="S890" s="4" t="str">
        <f ca="1">IF(OR(INDEX($AG$2:$AG$1001,MATCH(ROWS($AF$2:AF890),$AF$2:$AF$1001,0),1)&gt;=100000,INDEX($AM$1005:$BM$1005,1,MATCH(COLUMNS($AM$1006:BD1006),$AM$1006:$BM$1006,0))&gt;=100000), " ",IF(INDEX($AM$2:$BM$1001,MATCH(ROWS($AF$2:AF890),$AF$2:$AF$1001,0),MATCH(COLUMNS($AM$1006:BD1006),$AM$1006:$BM$1006,0)), HYPERLINK("#",""), HYPERLINK(CONCATENATE("#metadata!", ADDRESS(INDEX($AH$2:$AH$1001,MATCH(ROWS($AF$2:AF890),$AF$2:$AF$1001,0),0), INDEX($AM$1004:$BM$1004,1,MATCH(COLUMNS($AM$1006:BD1006),$AM$1006:$BM$1006,0)))),"Fix")))</f>
        <v xml:space="preserve"> </v>
      </c>
      <c r="T890" s="4" t="str">
        <f ca="1">IF(OR(INDEX($AG$2:$AG$1001,MATCH(ROWS($AF$2:AF890),$AF$2:$AF$1001,0),1)&gt;=100000,INDEX($AM$1005:$BM$1005,1,MATCH(COLUMNS($AM$1006:BE1006),$AM$1006:$BM$1006,0))&gt;=100000), " ",IF(INDEX($AM$2:$BM$1001,MATCH(ROWS($AF$2:AF890),$AF$2:$AF$1001,0),MATCH(COLUMNS($AM$1006:BE1006),$AM$1006:$BM$1006,0)), HYPERLINK("#",""), HYPERLINK(CONCATENATE("#metadata!", ADDRESS(INDEX($AH$2:$AH$1001,MATCH(ROWS($AF$2:AF890),$AF$2:$AF$1001,0),0), INDEX($AM$1004:$BM$1004,1,MATCH(COLUMNS($AM$1006:BE1006),$AM$1006:$BM$1006,0)))),"Fix")))</f>
        <v xml:space="preserve"> </v>
      </c>
      <c r="U890" s="4" t="str">
        <f ca="1">IF(OR(INDEX($AG$2:$AG$1001,MATCH(ROWS($AF$2:AF890),$AF$2:$AF$1001,0),1)&gt;=100000,INDEX($AM$1005:$BM$1005,1,MATCH(COLUMNS($AM$1006:BF1006),$AM$1006:$BM$1006,0))&gt;=100000), " ",IF(INDEX($AM$2:$BM$1001,MATCH(ROWS($AF$2:AF890),$AF$2:$AF$1001,0),MATCH(COLUMNS($AM$1006:BF1006),$AM$1006:$BM$1006,0)), HYPERLINK("#",""), HYPERLINK(CONCATENATE("#metadata!", ADDRESS(INDEX($AH$2:$AH$1001,MATCH(ROWS($AF$2:AF890),$AF$2:$AF$1001,0),0), INDEX($AM$1004:$BM$1004,1,MATCH(COLUMNS($AM$1006:BF1006),$AM$1006:$BM$1006,0)))),"Fix")))</f>
        <v xml:space="preserve"> </v>
      </c>
      <c r="V890" s="4" t="str">
        <f ca="1">IF(OR(INDEX($AG$2:$AG$1001,MATCH(ROWS($AF$2:AF890),$AF$2:$AF$1001,0),1)&gt;=100000,INDEX($AM$1005:$BM$1005,1,MATCH(COLUMNS($AM$1006:BG1006),$AM$1006:$BM$1006,0))&gt;=100000), " ",IF(INDEX($AM$2:$BM$1001,MATCH(ROWS($AF$2:AF890),$AF$2:$AF$1001,0),MATCH(COLUMNS($AM$1006:BG1006),$AM$1006:$BM$1006,0)), HYPERLINK("#",""), HYPERLINK(CONCATENATE("#metadata!", ADDRESS(INDEX($AH$2:$AH$1001,MATCH(ROWS($AF$2:AF890),$AF$2:$AF$1001,0),0), INDEX($AM$1004:$BM$1004,1,MATCH(COLUMNS($AM$1006:BG1006),$AM$1006:$BM$1006,0)))),"Fix")))</f>
        <v xml:space="preserve"> </v>
      </c>
      <c r="W890" s="4" t="str">
        <f ca="1">IF(OR(INDEX($AG$2:$AG$1001,MATCH(ROWS($AF$2:AF890),$AF$2:$AF$1001,0),1)&gt;=100000,INDEX($AM$1005:$BM$1005,1,MATCH(COLUMNS($AM$1006:BH1006),$AM$1006:$BM$1006,0))&gt;=100000), " ",IF(INDEX($AM$2:$BM$1001,MATCH(ROWS($AF$2:AF890),$AF$2:$AF$1001,0),MATCH(COLUMNS($AM$1006:BH1006),$AM$1006:$BM$1006,0)), HYPERLINK("#",""), HYPERLINK(CONCATENATE("#metadata!", ADDRESS(INDEX($AH$2:$AH$1001,MATCH(ROWS($AF$2:AF890),$AF$2:$AF$1001,0),0), INDEX($AM$1004:$BM$1004,1,MATCH(COLUMNS($AM$1006:BH1006),$AM$1006:$BM$1006,0)))),"Fix")))</f>
        <v xml:space="preserve"> </v>
      </c>
      <c r="X890" s="4" t="str">
        <f ca="1">IF(OR(INDEX($AG$2:$AG$1001,MATCH(ROWS($AF$2:AF890),$AF$2:$AF$1001,0),1)&gt;=100000,INDEX($AM$1005:$BM$1005,1,MATCH(COLUMNS($AM$1006:BI1006),$AM$1006:$BM$1006,0))&gt;=100000), " ",IF(INDEX($AM$2:$BM$1001,MATCH(ROWS($AF$2:AF890),$AF$2:$AF$1001,0),MATCH(COLUMNS($AM$1006:BI1006),$AM$1006:$BM$1006,0)), HYPERLINK("#",""), HYPERLINK(CONCATENATE("#metadata!", ADDRESS(INDEX($AH$2:$AH$1001,MATCH(ROWS($AF$2:AF890),$AF$2:$AF$1001,0),0), INDEX($AM$1004:$BM$1004,1,MATCH(COLUMNS($AM$1006:BI1006),$AM$1006:$BM$1006,0)))),"Fix")))</f>
        <v xml:space="preserve"> </v>
      </c>
      <c r="Y890" s="4" t="str">
        <f ca="1">IF(OR(INDEX($AG$2:$AG$1001,MATCH(ROWS($AF$2:AF890),$AF$2:$AF$1001,0),1)&gt;=100000,INDEX($AM$1005:$BM$1005,1,MATCH(COLUMNS($AM$1006:BJ1006),$AM$1006:$BM$1006,0))&gt;=100000), " ",IF(INDEX($AM$2:$BM$1001,MATCH(ROWS($AF$2:AF890),$AF$2:$AF$1001,0),MATCH(COLUMNS($AM$1006:BJ1006),$AM$1006:$BM$1006,0)), HYPERLINK("#",""), HYPERLINK(CONCATENATE("#metadata!", ADDRESS(INDEX($AH$2:$AH$1001,MATCH(ROWS($AF$2:AF890),$AF$2:$AF$1001,0),0), INDEX($AM$1004:$BM$1004,1,MATCH(COLUMNS($AM$1006:BJ1006),$AM$1006:$BM$1006,0)))),"Fix")))</f>
        <v xml:space="preserve"> </v>
      </c>
      <c r="Z890" s="4" t="str">
        <f ca="1">IF(OR(INDEX($AG$2:$AG$1001,MATCH(ROWS($AF$2:AF890),$AF$2:$AF$1001,0),1)&gt;=100000,INDEX($AM$1005:$BM$1005,1,MATCH(COLUMNS($AM$1006:BK1006),$AM$1006:$BM$1006,0))&gt;=100000), " ",IF(INDEX($AM$2:$BM$1001,MATCH(ROWS($AF$2:AF890),$AF$2:$AF$1001,0),MATCH(COLUMNS($AM$1006:BK1006),$AM$1006:$BM$1006,0)), HYPERLINK("#",""), HYPERLINK(CONCATENATE("#metadata!", ADDRESS(INDEX($AH$2:$AH$1001,MATCH(ROWS($AF$2:AF890),$AF$2:$AF$1001,0),0), INDEX($AM$1004:$BM$1004,1,MATCH(COLUMNS($AM$1006:BK1006),$AM$1006:$BM$1006,0)))),"Fix")))</f>
        <v xml:space="preserve"> </v>
      </c>
      <c r="AA890" s="4" t="str">
        <f ca="1">IF(OR(INDEX($AG$2:$AG$1001,MATCH(ROWS($AF$2:AF890),$AF$2:$AF$1001,0),1)&gt;=100000,INDEX($AM$1005:$BM$1005,1,MATCH(COLUMNS($AM$1006:BL1006),$AM$1006:$BM$1006,0))&gt;=100000), " ",IF(INDEX($AM$2:$BM$1001,MATCH(ROWS($AF$2:AF890),$AF$2:$AF$1001,0),MATCH(COLUMNS($AM$1006:BL1006),$AM$1006:$BM$1006,0)), HYPERLINK("#",""), HYPERLINK(CONCATENATE("#metadata!", ADDRESS(INDEX($AH$2:$AH$1001,MATCH(ROWS($AF$2:AF890),$AF$2:$AF$1001,0),0), INDEX($AM$1004:$BM$1004,1,MATCH(COLUMNS($AM$1006:BL1006),$AM$1006:$BM$1006,0)))),"Fix")))</f>
        <v xml:space="preserve"> </v>
      </c>
      <c r="AB890" s="4" t="str">
        <f ca="1">IF(OR(INDEX($AG$2:$AG$1001,MATCH(ROWS($AF$2:AF890),$AF$2:$AF$1001,0),1)&gt;=100000,INDEX($AM$1005:$BM$1005,1,MATCH(COLUMNS($AM$1006:BM1006),$AM$1006:$BM$1006,0))&gt;=100000), " ",IF(INDEX($AM$2:$BM$1001,MATCH(ROWS($AF$2:AF890),$AF$2:$AF$1001,0),MATCH(COLUMNS($AM$1006:BM1006),$AM$1006:$BM$1006,0)), HYPERLINK("#",""), HYPERLINK(CONCATENATE("#metadata!", ADDRESS(INDEX($AH$2:$AH$1001,MATCH(ROWS($AF$2:AF890),$AF$2:$AF$1001,0),0), INDEX($AM$1004:$BM$1004,1,MATCH(COLUMNS($AM$1006:BM1006),$AM$1006:$BM$1006,0)))),"Fix")))</f>
        <v xml:space="preserve"> </v>
      </c>
      <c r="AF890">
        <v>889</v>
      </c>
      <c r="AG890">
        <v>100890</v>
      </c>
      <c r="AH890">
        <v>890</v>
      </c>
      <c r="AI890" t="b">
        <f t="shared" si="13"/>
        <v>1</v>
      </c>
      <c r="AJ890" t="b">
        <f>COUNTBLANK(metadata!B890:AB890)=COLUMNS(metadata!B890:AB890)</f>
        <v>1</v>
      </c>
      <c r="AK890" t="str">
        <v/>
      </c>
      <c r="AM890" t="b">
        <f ca="1">AND(IF(metadata!B890="",FALSE,TRUE),COUNTIF(metadata!B:B, metadata!B890) = 1,NOT(ISERROR(SUMPRODUCT(SEARCH(MID(metadata!B890,ROW(INDIRECT("1:"&amp;LEN(metadata!B890))), 1),"0123456789abcdefghijklmnopqrstuvwxyzABCDEFGHIJKLMNOPQRSTUVWXYZ.")))))</f>
        <v>0</v>
      </c>
      <c r="AN890" t="b">
        <f ca="1">OR(AND(IF(metadata!C890="",FALSE,TRUE),OR(EXACT(metadata!C890,"missing: not collected"),EXACT(metadata!C890,"missing: not provided"),EXACT(metadata!C890,"missing: restricted access"))),AND(IF(metadata!C890="",FALSE,TRUE),AND(AND(IFERROR(INT(LEFT(metadata!C890,4))&gt;1900,FALSE),IFERROR(INT(LEFT(metadata!C890,4))&lt;=YEAR(NOW()),FALSE)), OR(MID(metadata!C890,5,1)="", AND(AND(MID(metadata!C890,5,1)="-",IFERROR(INT(MID(metadata!C890,6,1))&gt;=0,FALSE),IFERROR(INT(MID(metadata!C890,6,1))&lt;=1,FALSE),NOT(MID(metadata!C890,7,1)=""),IFERROR(INT(MID(metadata!C890,6,2))&gt;=1,FALSE),IFERROR(INT(MID(metadata!C890,6,2))&lt;=12,FALSE)), OR(MID(metadata!C890,8,1)="", AND(AND(MID(metadata!C890,8,1)="-",IFERROR(INT(MID(metadata!C890,9,1))&gt;=0,FALSE),IFERROR(INT(MID(metadata!C890,9,1))&lt;=3,FALSE),NOT(MID(metadata!C890,10,1)=""),IFERROR(INT(MID(metadata!C890,9,2))&gt;=1,FALSE),IFERROR(INT(MID(metadata!C890,9,2))&lt;=31,FALSE)), OR(MID(metadata!C890,11,1)="", AND(AND(MID(metadata!C890,11,1)=" ",IFERROR(INT(MID(metadata!C890,12,1))&gt;=0,FALSE),IFERROR(INT(MID(metadata!C890,12,1))&lt;=2,FALSE),NOT(MID(metadata!C890,13,1)=""),IFERROR(INT(MID(metadata!C890,12,2))&gt;=0,FALSE),IFERROR(INT(MID(metadata!C890,12,2))&lt;=23,FALSE)), OR(MID(metadata!C890,14,1)="", AND(AND(MID(metadata!C890,14,1)=":",IFERROR(INT(MID(metadata!C890,15,1))&gt;=0,FALSE),IFERROR(INT(MID(metadata!C890,15,1))&lt;=5,FALSE),NOT(MID(metadata!C890,16,1)=""),IFERROR(INT(MID(metadata!C890,15,2))&gt;=0,FALSE),IFERROR(INT(MID(metadata!C890,15,2))&lt;=59,FALSE)), OR(MID(metadata!C890,17,1)="", AND(AND(MID(metadata!C890,17,1)=":",IFERROR(INT(MID(metadata!C890,18,1))&gt;=0,FALSE),IFERROR(INT(MID(metadata!C890,18,1))&lt;=5,FALSE),NOT(MID(metadata!C890,19,1)=""),IFERROR(INT(MID(metadata!C890,18,2))&gt;=0,FALSE),IFERROR(INT(MID(metadata!C890,18,2))&lt;=59,FALSE)), LEN(metadata!C890)&lt;=19)))))))))))))</f>
        <v>0</v>
      </c>
      <c r="AO890" t="b">
        <f>AND(IF(metadata!D890="",FALSE,TRUE),EXACT(metadata!D890,"Not applicable"))</f>
        <v>0</v>
      </c>
      <c r="AP890" t="b">
        <f>IF(metadata!E890="",FALSE,TRUE)</f>
        <v>0</v>
      </c>
      <c r="AQ890" t="b">
        <f>OR(AND(IF(metadata!F890="",FALSE,TRUE),OR(EXACT(metadata!F890,"missing: not collected"),EXACT(metadata!F890,"missing: not provided"))),AND(IF(metadata!F890="",FALSE,TRUE),OR(EXACT(metadata!F890,"TRUE"),EXACT(metadata!F890,"FALSE"))))</f>
        <v>0</v>
      </c>
      <c r="AR890" t="b">
        <f>OR(AND(IF(metadata!G890="",FALSE,TRUE),OR(EXACT(metadata!G890,"missing: not collected"),EXACT(metadata!G890,"missing: not provided"),EXACT(metadata!G890,"missing: restricted access"))),AND(IF(metadata!G890="",FALSE,ISNUMBER(VALUE(metadata!G890))),metadata!G890&gt;=-413))</f>
        <v>0</v>
      </c>
      <c r="AS890" t="b">
        <f>AND(IF(metadata!H890="",FALSE,TRUE),EXACT(metadata!H890,"meters"))</f>
        <v>0</v>
      </c>
      <c r="AT890" t="b">
        <f>AND(IF(metadata!I890="",FALSE,TRUE),OR(EXACT(metadata!I890,"Host-associated"),EXACT(metadata!I890,"Free-living")))</f>
        <v>0</v>
      </c>
      <c r="AU890" t="b">
        <f>AND(IF(metadata!J890="",FALSE,TRUE),OR(EXACT(metadata!J890,"Animal"),EXACT(metadata!J890,"Fungus"),EXACT(metadata!J890,"Plant"),EXACT(metadata!J890,"Saline"),EXACT(metadata!J890,"Non-saline")))</f>
        <v>0</v>
      </c>
      <c r="AV890" t="b">
        <f>AND(IF(metadata!K890="",FALSE,TRUE),OR(EXACT(metadata!K890,"Plant secretion"),EXACT(metadata!K890,"Plant rhizosphere"),EXACT(metadata!K890,"Plant surface"),EXACT(metadata!K890,"Plant corpus"),EXACT(metadata!K890,"Fungus surface"),EXACT(metadata!K890,"Fungus corpus"),EXACT(metadata!K890,"Animal surface"),EXACT(metadata!K890,"Animal proximal gut"),EXACT(metadata!K890,"Animal corpus"),EXACT(metadata!K890,"Animal distal gut"),EXACT(metadata!K890,"Animal secretion"),EXACT(metadata!K890,"Sub-surface (non-saline)"),EXACT(metadata!K890,"Surface (non-saline)"),EXACT(metadata!K890,"Water (non-saline)"),EXACT(metadata!K890,"Soil (non-saline)"),EXACT(metadata!K890,"Aerosol (non-saline)"),EXACT(metadata!K890,"Sediment (non-saline)"),EXACT(metadata!K890,"Surface (saline)"),EXACT(metadata!K890,"Water (saline)"),EXACT(metadata!K890,"Hypersaline (saline)"),EXACT(metadata!K890,"Aerosol (saline)"),EXACT(metadata!K890,"Sediment (saline)")))</f>
        <v>0</v>
      </c>
      <c r="AW890" t="b">
        <f>IF(metadata!L890="",FALSE,TRUE)</f>
        <v>0</v>
      </c>
      <c r="AX890" t="b">
        <f>IF(metadata!M890="",FALSE,TRUE)</f>
        <v>0</v>
      </c>
      <c r="AY890" t="b">
        <f>IF(metadata!N890="",FALSE,TRUE)</f>
        <v>0</v>
      </c>
      <c r="AZ890" t="b">
        <f>OR(AND(IF(metadata!O890="",FALSE,TRUE),OR(EXACT(metadata!O890,"missing: not collected"),EXACT(metadata!O890,"missing: not provided"),EXACT(metadata!O890,"missing: restricted access"))),AND(IF(metadata!O890="",FALSE,TRUE),OR(EXACT(metadata!O890,"air"),EXACT(metadata!O890,"built environment"),EXACT(metadata!O890,"host-associated"),EXACT(metadata!O890,"human-associated"),EXACT(metadata!O890,"human-skin"),EXACT(metadata!O890,"human-oral"),EXACT(metadata!O890,"human-gut"),EXACT(metadata!O890,"human-vaginal"),EXACT(metadata!O890,"microbial mat/biofilm"),EXACT(metadata!O890,"misc environment"),EXACT(metadata!O890,"plant-associated"),EXACT(metadata!O890,"sediment"),EXACT(metadata!O890,"soil"),EXACT(metadata!O890,"wastewater/sludge"),EXACT(metadata!O890,"water"))))</f>
        <v>0</v>
      </c>
      <c r="BA890" t="b">
        <f>IF(metadata!P890="",FALSE,TRUE)</f>
        <v>0</v>
      </c>
      <c r="BB890" t="b">
        <f>IF(metadata!Q890="",FALSE,TRUE)</f>
        <v>0</v>
      </c>
      <c r="BC890" t="b">
        <f>OR(AND(IF(metadata!R890="",FALSE,TRUE),OR(EXACT(metadata!R890,"missing: not collected"),EXACT(metadata!R890,"missing: not provided"),EXACT(metadata!R890,"missing: restricted access"))),AND(IF(metadata!R890="",FALSE,ISNUMBER(VALUE(metadata!R890))),metadata!R890&gt;=-90,metadata!R890&lt;=90))</f>
        <v>0</v>
      </c>
      <c r="BD890" t="b">
        <f>AND(IF(metadata!S890="",FALSE,TRUE),EXACT(metadata!S890,"Decimal degrees"))</f>
        <v>0</v>
      </c>
      <c r="BE890" t="b">
        <f>OR(AND(IF(metadata!T890="",FALSE,TRUE),OR(EXACT(metadata!T890,"missing: not collected"),EXACT(metadata!T890,"missing: not provided"),EXACT(metadata!T890,"missing: restricted access"))),AND(IF(metadata!T890="",FALSE,ISNUMBER(VALUE(metadata!T890))),metadata!T890&gt;=-180,metadata!T890&lt;=180))</f>
        <v>0</v>
      </c>
      <c r="BF890" t="b">
        <f>AND(IF(metadata!U890="",FALSE,TRUE),EXACT(metadata!U890,"Decimal degrees"))</f>
        <v>0</v>
      </c>
      <c r="BG890" t="b">
        <f>IF(metadata!V890="",FALSE,TRUE)</f>
        <v>0</v>
      </c>
      <c r="BH890" t="b">
        <f>OR(AND(IF(metadata!W890="",FALSE,TRUE),OR(EXACT(metadata!W890,"missing: not collected"),EXACT(metadata!W890,"missing: not provided"),EXACT(metadata!W890,"missing: restricted access"))),AND(IF(metadata!W890="",FALSE,TRUE),OR(EXACT(metadata!W890,"TRUE"),EXACT(metadata!W890,"FALSE"))))</f>
        <v>0</v>
      </c>
      <c r="BI890" t="b">
        <f>AND(IF(metadata!X890="",FALSE,TRUE),EXACT(metadata!X890,"other"))</f>
        <v>0</v>
      </c>
      <c r="BJ890" t="b">
        <f>IF(metadata!Y890="",FALSE,TRUE)</f>
        <v>0</v>
      </c>
      <c r="BK890" t="b">
        <f>OR(AND(IF(metadata!Z890="",FALSE,TRUE),OR(EXACT(metadata!Z890,"missing: not collected"),EXACT(metadata!Z890,"missing: not provided"))),AND(IF(metadata!Z890="",FALSE,IF(ISERROR(INT(metadata!Z890)),FALSE,INT(metadata!Z890)=metadata!Z890)),metadata!Z890&gt;0))</f>
        <v>0</v>
      </c>
      <c r="BL890" t="b">
        <f>AND(IF(metadata!AA890="",FALSE,TRUE),EXACT(metadata!AA890,"Not applicable"))</f>
        <v>0</v>
      </c>
      <c r="BM890" t="b">
        <f>IF(metadata!AB890="",FALSE,TRUE)</f>
        <v>0</v>
      </c>
    </row>
    <row r="891" spans="1:65" x14ac:dyDescent="0.2">
      <c r="A891" s="5" t="str">
        <f ca="1">IF(B891=" "," ",HYPERLINK(CONCATENATE("#metadata!",ADDRESS(INDEX($AH$2:$AH$1001,MATCH(ROWS($AF$2:AF891),$AF$2:$AF$1001,0),0),1)),INDEX($AK$2:$AK$1001,MATCH(ROWS($AF$2:AF891),$AF$2:$AF$1001,0),0)))</f>
        <v xml:space="preserve"> </v>
      </c>
      <c r="B891" s="4" t="str">
        <f ca="1">IF(OR(INDEX($AG$2:$AG$1001,MATCH(ROWS($AF$2:AF891),$AF$2:$AF$1001,0),1)&gt;=100000,INDEX($AM$1005:$BM$1005,1,MATCH(COLUMNS($AM$1006:AM1006),$AM$1006:$BM$1006,0))&gt;=100000), " ",IF(INDEX($AM$2:$BM$1001,MATCH(ROWS($AF$2:AF891),$AF$2:$AF$1001,0),MATCH(COLUMNS($AM$1006:AM1006),$AM$1006:$BM$1006,0)), HYPERLINK("#",""), HYPERLINK(CONCATENATE("#metadata!", ADDRESS(INDEX($AH$2:$AH$1001,MATCH(ROWS($AF$2:AF891),$AF$2:$AF$1001,0),0), INDEX($AM$1004:$BM$1004,1,MATCH(COLUMNS($AM$1006:AM1006),$AM$1006:$BM$1006,0)))),"Fix")))</f>
        <v xml:space="preserve"> </v>
      </c>
      <c r="C891" s="4" t="str">
        <f ca="1">IF(OR(INDEX($AG$2:$AG$1001,MATCH(ROWS($AF$2:AF891),$AF$2:$AF$1001,0),1)&gt;=100000,INDEX($AM$1005:$BM$1005,1,MATCH(COLUMNS($AM$1006:AN1006),$AM$1006:$BM$1006,0))&gt;=100000), " ",IF(INDEX($AM$2:$BM$1001,MATCH(ROWS($AF$2:AF891),$AF$2:$AF$1001,0),MATCH(COLUMNS($AM$1006:AN1006),$AM$1006:$BM$1006,0)), HYPERLINK("#",""), HYPERLINK(CONCATENATE("#metadata!", ADDRESS(INDEX($AH$2:$AH$1001,MATCH(ROWS($AF$2:AF891),$AF$2:$AF$1001,0),0), INDEX($AM$1004:$BM$1004,1,MATCH(COLUMNS($AM$1006:AN1006),$AM$1006:$BM$1006,0)))),"Fix")))</f>
        <v xml:space="preserve"> </v>
      </c>
      <c r="D891" s="4" t="str">
        <f ca="1">IF(OR(INDEX($AG$2:$AG$1001,MATCH(ROWS($AF$2:AF891),$AF$2:$AF$1001,0),1)&gt;=100000,INDEX($AM$1005:$BM$1005,1,MATCH(COLUMNS($AM$1006:AO1006),$AM$1006:$BM$1006,0))&gt;=100000), " ",IF(INDEX($AM$2:$BM$1001,MATCH(ROWS($AF$2:AF891),$AF$2:$AF$1001,0),MATCH(COLUMNS($AM$1006:AO1006),$AM$1006:$BM$1006,0)), HYPERLINK("#",""), HYPERLINK(CONCATENATE("#metadata!", ADDRESS(INDEX($AH$2:$AH$1001,MATCH(ROWS($AF$2:AF891),$AF$2:$AF$1001,0),0), INDEX($AM$1004:$BM$1004,1,MATCH(COLUMNS($AM$1006:AO1006),$AM$1006:$BM$1006,0)))),"Fix")))</f>
        <v xml:space="preserve"> </v>
      </c>
      <c r="E891" s="4" t="str">
        <f ca="1">IF(OR(INDEX($AG$2:$AG$1001,MATCH(ROWS($AF$2:AF891),$AF$2:$AF$1001,0),1)&gt;=100000,INDEX($AM$1005:$BM$1005,1,MATCH(COLUMNS($AM$1006:AP1006),$AM$1006:$BM$1006,0))&gt;=100000), " ",IF(INDEX($AM$2:$BM$1001,MATCH(ROWS($AF$2:AF891),$AF$2:$AF$1001,0),MATCH(COLUMNS($AM$1006:AP1006),$AM$1006:$BM$1006,0)), HYPERLINK("#",""), HYPERLINK(CONCATENATE("#metadata!", ADDRESS(INDEX($AH$2:$AH$1001,MATCH(ROWS($AF$2:AF891),$AF$2:$AF$1001,0),0), INDEX($AM$1004:$BM$1004,1,MATCH(COLUMNS($AM$1006:AP1006),$AM$1006:$BM$1006,0)))),"Fix")))</f>
        <v xml:space="preserve"> </v>
      </c>
      <c r="F891" s="4" t="str">
        <f ca="1">IF(OR(INDEX($AG$2:$AG$1001,MATCH(ROWS($AF$2:AF891),$AF$2:$AF$1001,0),1)&gt;=100000,INDEX($AM$1005:$BM$1005,1,MATCH(COLUMNS($AM$1006:AQ1006),$AM$1006:$BM$1006,0))&gt;=100000), " ",IF(INDEX($AM$2:$BM$1001,MATCH(ROWS($AF$2:AF891),$AF$2:$AF$1001,0),MATCH(COLUMNS($AM$1006:AQ1006),$AM$1006:$BM$1006,0)), HYPERLINK("#",""), HYPERLINK(CONCATENATE("#metadata!", ADDRESS(INDEX($AH$2:$AH$1001,MATCH(ROWS($AF$2:AF891),$AF$2:$AF$1001,0),0), INDEX($AM$1004:$BM$1004,1,MATCH(COLUMNS($AM$1006:AQ1006),$AM$1006:$BM$1006,0)))),"Fix")))</f>
        <v xml:space="preserve"> </v>
      </c>
      <c r="G891" s="4" t="str">
        <f ca="1">IF(OR(INDEX($AG$2:$AG$1001,MATCH(ROWS($AF$2:AF891),$AF$2:$AF$1001,0),1)&gt;=100000,INDEX($AM$1005:$BM$1005,1,MATCH(COLUMNS($AM$1006:AR1006),$AM$1006:$BM$1006,0))&gt;=100000), " ",IF(INDEX($AM$2:$BM$1001,MATCH(ROWS($AF$2:AF891),$AF$2:$AF$1001,0),MATCH(COLUMNS($AM$1006:AR1006),$AM$1006:$BM$1006,0)), HYPERLINK("#",""), HYPERLINK(CONCATENATE("#metadata!", ADDRESS(INDEX($AH$2:$AH$1001,MATCH(ROWS($AF$2:AF891),$AF$2:$AF$1001,0),0), INDEX($AM$1004:$BM$1004,1,MATCH(COLUMNS($AM$1006:AR1006),$AM$1006:$BM$1006,0)))),"Fix")))</f>
        <v xml:space="preserve"> </v>
      </c>
      <c r="H891" s="4" t="str">
        <f ca="1">IF(OR(INDEX($AG$2:$AG$1001,MATCH(ROWS($AF$2:AF891),$AF$2:$AF$1001,0),1)&gt;=100000,INDEX($AM$1005:$BM$1005,1,MATCH(COLUMNS($AM$1006:AS1006),$AM$1006:$BM$1006,0))&gt;=100000), " ",IF(INDEX($AM$2:$BM$1001,MATCH(ROWS($AF$2:AF891),$AF$2:$AF$1001,0),MATCH(COLUMNS($AM$1006:AS1006),$AM$1006:$BM$1006,0)), HYPERLINK("#",""), HYPERLINK(CONCATENATE("#metadata!", ADDRESS(INDEX($AH$2:$AH$1001,MATCH(ROWS($AF$2:AF891),$AF$2:$AF$1001,0),0), INDEX($AM$1004:$BM$1004,1,MATCH(COLUMNS($AM$1006:AS1006),$AM$1006:$BM$1006,0)))),"Fix")))</f>
        <v xml:space="preserve"> </v>
      </c>
      <c r="I891" s="4" t="str">
        <f ca="1">IF(OR(INDEX($AG$2:$AG$1001,MATCH(ROWS($AF$2:AF891),$AF$2:$AF$1001,0),1)&gt;=100000,INDEX($AM$1005:$BM$1005,1,MATCH(COLUMNS($AM$1006:AT1006),$AM$1006:$BM$1006,0))&gt;=100000), " ",IF(INDEX($AM$2:$BM$1001,MATCH(ROWS($AF$2:AF891),$AF$2:$AF$1001,0),MATCH(COLUMNS($AM$1006:AT1006),$AM$1006:$BM$1006,0)), HYPERLINK("#",""), HYPERLINK(CONCATENATE("#metadata!", ADDRESS(INDEX($AH$2:$AH$1001,MATCH(ROWS($AF$2:AF891),$AF$2:$AF$1001,0),0), INDEX($AM$1004:$BM$1004,1,MATCH(COLUMNS($AM$1006:AT1006),$AM$1006:$BM$1006,0)))),"Fix")))</f>
        <v xml:space="preserve"> </v>
      </c>
      <c r="J891" s="4" t="str">
        <f ca="1">IF(OR(INDEX($AG$2:$AG$1001,MATCH(ROWS($AF$2:AF891),$AF$2:$AF$1001,0),1)&gt;=100000,INDEX($AM$1005:$BM$1005,1,MATCH(COLUMNS($AM$1006:AU1006),$AM$1006:$BM$1006,0))&gt;=100000), " ",IF(INDEX($AM$2:$BM$1001,MATCH(ROWS($AF$2:AF891),$AF$2:$AF$1001,0),MATCH(COLUMNS($AM$1006:AU1006),$AM$1006:$BM$1006,0)), HYPERLINK("#",""), HYPERLINK(CONCATENATE("#metadata!", ADDRESS(INDEX($AH$2:$AH$1001,MATCH(ROWS($AF$2:AF891),$AF$2:$AF$1001,0),0), INDEX($AM$1004:$BM$1004,1,MATCH(COLUMNS($AM$1006:AU1006),$AM$1006:$BM$1006,0)))),"Fix")))</f>
        <v xml:space="preserve"> </v>
      </c>
      <c r="K891" s="4" t="str">
        <f ca="1">IF(OR(INDEX($AG$2:$AG$1001,MATCH(ROWS($AF$2:AF891),$AF$2:$AF$1001,0),1)&gt;=100000,INDEX($AM$1005:$BM$1005,1,MATCH(COLUMNS($AM$1006:AV1006),$AM$1006:$BM$1006,0))&gt;=100000), " ",IF(INDEX($AM$2:$BM$1001,MATCH(ROWS($AF$2:AF891),$AF$2:$AF$1001,0),MATCH(COLUMNS($AM$1006:AV1006),$AM$1006:$BM$1006,0)), HYPERLINK("#",""), HYPERLINK(CONCATENATE("#metadata!", ADDRESS(INDEX($AH$2:$AH$1001,MATCH(ROWS($AF$2:AF891),$AF$2:$AF$1001,0),0), INDEX($AM$1004:$BM$1004,1,MATCH(COLUMNS($AM$1006:AV1006),$AM$1006:$BM$1006,0)))),"Fix")))</f>
        <v xml:space="preserve"> </v>
      </c>
      <c r="L891" s="4" t="str">
        <f ca="1">IF(OR(INDEX($AG$2:$AG$1001,MATCH(ROWS($AF$2:AF891),$AF$2:$AF$1001,0),1)&gt;=100000,INDEX($AM$1005:$BM$1005,1,MATCH(COLUMNS($AM$1006:AW1006),$AM$1006:$BM$1006,0))&gt;=100000), " ",IF(INDEX($AM$2:$BM$1001,MATCH(ROWS($AF$2:AF891),$AF$2:$AF$1001,0),MATCH(COLUMNS($AM$1006:AW1006),$AM$1006:$BM$1006,0)), HYPERLINK("#",""), HYPERLINK(CONCATENATE("#metadata!", ADDRESS(INDEX($AH$2:$AH$1001,MATCH(ROWS($AF$2:AF891),$AF$2:$AF$1001,0),0), INDEX($AM$1004:$BM$1004,1,MATCH(COLUMNS($AM$1006:AW1006),$AM$1006:$BM$1006,0)))),"Fix")))</f>
        <v xml:space="preserve"> </v>
      </c>
      <c r="M891" s="4" t="str">
        <f ca="1">IF(OR(INDEX($AG$2:$AG$1001,MATCH(ROWS($AF$2:AF891),$AF$2:$AF$1001,0),1)&gt;=100000,INDEX($AM$1005:$BM$1005,1,MATCH(COLUMNS($AM$1006:AX1006),$AM$1006:$BM$1006,0))&gt;=100000), " ",IF(INDEX($AM$2:$BM$1001,MATCH(ROWS($AF$2:AF891),$AF$2:$AF$1001,0),MATCH(COLUMNS($AM$1006:AX1006),$AM$1006:$BM$1006,0)), HYPERLINK("#",""), HYPERLINK(CONCATENATE("#metadata!", ADDRESS(INDEX($AH$2:$AH$1001,MATCH(ROWS($AF$2:AF891),$AF$2:$AF$1001,0),0), INDEX($AM$1004:$BM$1004,1,MATCH(COLUMNS($AM$1006:AX1006),$AM$1006:$BM$1006,0)))),"Fix")))</f>
        <v xml:space="preserve"> </v>
      </c>
      <c r="N891" s="4" t="str">
        <f ca="1">IF(OR(INDEX($AG$2:$AG$1001,MATCH(ROWS($AF$2:AF891),$AF$2:$AF$1001,0),1)&gt;=100000,INDEX($AM$1005:$BM$1005,1,MATCH(COLUMNS($AM$1006:AY1006),$AM$1006:$BM$1006,0))&gt;=100000), " ",IF(INDEX($AM$2:$BM$1001,MATCH(ROWS($AF$2:AF891),$AF$2:$AF$1001,0),MATCH(COLUMNS($AM$1006:AY1006),$AM$1006:$BM$1006,0)), HYPERLINK("#",""), HYPERLINK(CONCATENATE("#metadata!", ADDRESS(INDEX($AH$2:$AH$1001,MATCH(ROWS($AF$2:AF891),$AF$2:$AF$1001,0),0), INDEX($AM$1004:$BM$1004,1,MATCH(COLUMNS($AM$1006:AY1006),$AM$1006:$BM$1006,0)))),"Fix")))</f>
        <v xml:space="preserve"> </v>
      </c>
      <c r="O891" s="4" t="str">
        <f ca="1">IF(OR(INDEX($AG$2:$AG$1001,MATCH(ROWS($AF$2:AF891),$AF$2:$AF$1001,0),1)&gt;=100000,INDEX($AM$1005:$BM$1005,1,MATCH(COLUMNS($AM$1006:AZ1006),$AM$1006:$BM$1006,0))&gt;=100000), " ",IF(INDEX($AM$2:$BM$1001,MATCH(ROWS($AF$2:AF891),$AF$2:$AF$1001,0),MATCH(COLUMNS($AM$1006:AZ1006),$AM$1006:$BM$1006,0)), HYPERLINK("#",""), HYPERLINK(CONCATENATE("#metadata!", ADDRESS(INDEX($AH$2:$AH$1001,MATCH(ROWS($AF$2:AF891),$AF$2:$AF$1001,0),0), INDEX($AM$1004:$BM$1004,1,MATCH(COLUMNS($AM$1006:AZ1006),$AM$1006:$BM$1006,0)))),"Fix")))</f>
        <v xml:space="preserve"> </v>
      </c>
      <c r="P891" s="4" t="str">
        <f ca="1">IF(OR(INDEX($AG$2:$AG$1001,MATCH(ROWS($AF$2:AF891),$AF$2:$AF$1001,0),1)&gt;=100000,INDEX($AM$1005:$BM$1005,1,MATCH(COLUMNS($AM$1006:BA1006),$AM$1006:$BM$1006,0))&gt;=100000), " ",IF(INDEX($AM$2:$BM$1001,MATCH(ROWS($AF$2:AF891),$AF$2:$AF$1001,0),MATCH(COLUMNS($AM$1006:BA1006),$AM$1006:$BM$1006,0)), HYPERLINK("#",""), HYPERLINK(CONCATENATE("#metadata!", ADDRESS(INDEX($AH$2:$AH$1001,MATCH(ROWS($AF$2:AF891),$AF$2:$AF$1001,0),0), INDEX($AM$1004:$BM$1004,1,MATCH(COLUMNS($AM$1006:BA1006),$AM$1006:$BM$1006,0)))),"Fix")))</f>
        <v xml:space="preserve"> </v>
      </c>
      <c r="Q891" s="4" t="str">
        <f ca="1">IF(OR(INDEX($AG$2:$AG$1001,MATCH(ROWS($AF$2:AF891),$AF$2:$AF$1001,0),1)&gt;=100000,INDEX($AM$1005:$BM$1005,1,MATCH(COLUMNS($AM$1006:BB1006),$AM$1006:$BM$1006,0))&gt;=100000), " ",IF(INDEX($AM$2:$BM$1001,MATCH(ROWS($AF$2:AF891),$AF$2:$AF$1001,0),MATCH(COLUMNS($AM$1006:BB1006),$AM$1006:$BM$1006,0)), HYPERLINK("#",""), HYPERLINK(CONCATENATE("#metadata!", ADDRESS(INDEX($AH$2:$AH$1001,MATCH(ROWS($AF$2:AF891),$AF$2:$AF$1001,0),0), INDEX($AM$1004:$BM$1004,1,MATCH(COLUMNS($AM$1006:BB1006),$AM$1006:$BM$1006,0)))),"Fix")))</f>
        <v xml:space="preserve"> </v>
      </c>
      <c r="R891" s="4" t="str">
        <f ca="1">IF(OR(INDEX($AG$2:$AG$1001,MATCH(ROWS($AF$2:AF891),$AF$2:$AF$1001,0),1)&gt;=100000,INDEX($AM$1005:$BM$1005,1,MATCH(COLUMNS($AM$1006:BC1006),$AM$1006:$BM$1006,0))&gt;=100000), " ",IF(INDEX($AM$2:$BM$1001,MATCH(ROWS($AF$2:AF891),$AF$2:$AF$1001,0),MATCH(COLUMNS($AM$1006:BC1006),$AM$1006:$BM$1006,0)), HYPERLINK("#",""), HYPERLINK(CONCATENATE("#metadata!", ADDRESS(INDEX($AH$2:$AH$1001,MATCH(ROWS($AF$2:AF891),$AF$2:$AF$1001,0),0), INDEX($AM$1004:$BM$1004,1,MATCH(COLUMNS($AM$1006:BC1006),$AM$1006:$BM$1006,0)))),"Fix")))</f>
        <v xml:space="preserve"> </v>
      </c>
      <c r="S891" s="4" t="str">
        <f ca="1">IF(OR(INDEX($AG$2:$AG$1001,MATCH(ROWS($AF$2:AF891),$AF$2:$AF$1001,0),1)&gt;=100000,INDEX($AM$1005:$BM$1005,1,MATCH(COLUMNS($AM$1006:BD1006),$AM$1006:$BM$1006,0))&gt;=100000), " ",IF(INDEX($AM$2:$BM$1001,MATCH(ROWS($AF$2:AF891),$AF$2:$AF$1001,0),MATCH(COLUMNS($AM$1006:BD1006),$AM$1006:$BM$1006,0)), HYPERLINK("#",""), HYPERLINK(CONCATENATE("#metadata!", ADDRESS(INDEX($AH$2:$AH$1001,MATCH(ROWS($AF$2:AF891),$AF$2:$AF$1001,0),0), INDEX($AM$1004:$BM$1004,1,MATCH(COLUMNS($AM$1006:BD1006),$AM$1006:$BM$1006,0)))),"Fix")))</f>
        <v xml:space="preserve"> </v>
      </c>
      <c r="T891" s="4" t="str">
        <f ca="1">IF(OR(INDEX($AG$2:$AG$1001,MATCH(ROWS($AF$2:AF891),$AF$2:$AF$1001,0),1)&gt;=100000,INDEX($AM$1005:$BM$1005,1,MATCH(COLUMNS($AM$1006:BE1006),$AM$1006:$BM$1006,0))&gt;=100000), " ",IF(INDEX($AM$2:$BM$1001,MATCH(ROWS($AF$2:AF891),$AF$2:$AF$1001,0),MATCH(COLUMNS($AM$1006:BE1006),$AM$1006:$BM$1006,0)), HYPERLINK("#",""), HYPERLINK(CONCATENATE("#metadata!", ADDRESS(INDEX($AH$2:$AH$1001,MATCH(ROWS($AF$2:AF891),$AF$2:$AF$1001,0),0), INDEX($AM$1004:$BM$1004,1,MATCH(COLUMNS($AM$1006:BE1006),$AM$1006:$BM$1006,0)))),"Fix")))</f>
        <v xml:space="preserve"> </v>
      </c>
      <c r="U891" s="4" t="str">
        <f ca="1">IF(OR(INDEX($AG$2:$AG$1001,MATCH(ROWS($AF$2:AF891),$AF$2:$AF$1001,0),1)&gt;=100000,INDEX($AM$1005:$BM$1005,1,MATCH(COLUMNS($AM$1006:BF1006),$AM$1006:$BM$1006,0))&gt;=100000), " ",IF(INDEX($AM$2:$BM$1001,MATCH(ROWS($AF$2:AF891),$AF$2:$AF$1001,0),MATCH(COLUMNS($AM$1006:BF1006),$AM$1006:$BM$1006,0)), HYPERLINK("#",""), HYPERLINK(CONCATENATE("#metadata!", ADDRESS(INDEX($AH$2:$AH$1001,MATCH(ROWS($AF$2:AF891),$AF$2:$AF$1001,0),0), INDEX($AM$1004:$BM$1004,1,MATCH(COLUMNS($AM$1006:BF1006),$AM$1006:$BM$1006,0)))),"Fix")))</f>
        <v xml:space="preserve"> </v>
      </c>
      <c r="V891" s="4" t="str">
        <f ca="1">IF(OR(INDEX($AG$2:$AG$1001,MATCH(ROWS($AF$2:AF891),$AF$2:$AF$1001,0),1)&gt;=100000,INDEX($AM$1005:$BM$1005,1,MATCH(COLUMNS($AM$1006:BG1006),$AM$1006:$BM$1006,0))&gt;=100000), " ",IF(INDEX($AM$2:$BM$1001,MATCH(ROWS($AF$2:AF891),$AF$2:$AF$1001,0),MATCH(COLUMNS($AM$1006:BG1006),$AM$1006:$BM$1006,0)), HYPERLINK("#",""), HYPERLINK(CONCATENATE("#metadata!", ADDRESS(INDEX($AH$2:$AH$1001,MATCH(ROWS($AF$2:AF891),$AF$2:$AF$1001,0),0), INDEX($AM$1004:$BM$1004,1,MATCH(COLUMNS($AM$1006:BG1006),$AM$1006:$BM$1006,0)))),"Fix")))</f>
        <v xml:space="preserve"> </v>
      </c>
      <c r="W891" s="4" t="str">
        <f ca="1">IF(OR(INDEX($AG$2:$AG$1001,MATCH(ROWS($AF$2:AF891),$AF$2:$AF$1001,0),1)&gt;=100000,INDEX($AM$1005:$BM$1005,1,MATCH(COLUMNS($AM$1006:BH1006),$AM$1006:$BM$1006,0))&gt;=100000), " ",IF(INDEX($AM$2:$BM$1001,MATCH(ROWS($AF$2:AF891),$AF$2:$AF$1001,0),MATCH(COLUMNS($AM$1006:BH1006),$AM$1006:$BM$1006,0)), HYPERLINK("#",""), HYPERLINK(CONCATENATE("#metadata!", ADDRESS(INDEX($AH$2:$AH$1001,MATCH(ROWS($AF$2:AF891),$AF$2:$AF$1001,0),0), INDEX($AM$1004:$BM$1004,1,MATCH(COLUMNS($AM$1006:BH1006),$AM$1006:$BM$1006,0)))),"Fix")))</f>
        <v xml:space="preserve"> </v>
      </c>
      <c r="X891" s="4" t="str">
        <f ca="1">IF(OR(INDEX($AG$2:$AG$1001,MATCH(ROWS($AF$2:AF891),$AF$2:$AF$1001,0),1)&gt;=100000,INDEX($AM$1005:$BM$1005,1,MATCH(COLUMNS($AM$1006:BI1006),$AM$1006:$BM$1006,0))&gt;=100000), " ",IF(INDEX($AM$2:$BM$1001,MATCH(ROWS($AF$2:AF891),$AF$2:$AF$1001,0),MATCH(COLUMNS($AM$1006:BI1006),$AM$1006:$BM$1006,0)), HYPERLINK("#",""), HYPERLINK(CONCATENATE("#metadata!", ADDRESS(INDEX($AH$2:$AH$1001,MATCH(ROWS($AF$2:AF891),$AF$2:$AF$1001,0),0), INDEX($AM$1004:$BM$1004,1,MATCH(COLUMNS($AM$1006:BI1006),$AM$1006:$BM$1006,0)))),"Fix")))</f>
        <v xml:space="preserve"> </v>
      </c>
      <c r="Y891" s="4" t="str">
        <f ca="1">IF(OR(INDEX($AG$2:$AG$1001,MATCH(ROWS($AF$2:AF891),$AF$2:$AF$1001,0),1)&gt;=100000,INDEX($AM$1005:$BM$1005,1,MATCH(COLUMNS($AM$1006:BJ1006),$AM$1006:$BM$1006,0))&gt;=100000), " ",IF(INDEX($AM$2:$BM$1001,MATCH(ROWS($AF$2:AF891),$AF$2:$AF$1001,0),MATCH(COLUMNS($AM$1006:BJ1006),$AM$1006:$BM$1006,0)), HYPERLINK("#",""), HYPERLINK(CONCATENATE("#metadata!", ADDRESS(INDEX($AH$2:$AH$1001,MATCH(ROWS($AF$2:AF891),$AF$2:$AF$1001,0),0), INDEX($AM$1004:$BM$1004,1,MATCH(COLUMNS($AM$1006:BJ1006),$AM$1006:$BM$1006,0)))),"Fix")))</f>
        <v xml:space="preserve"> </v>
      </c>
      <c r="Z891" s="4" t="str">
        <f ca="1">IF(OR(INDEX($AG$2:$AG$1001,MATCH(ROWS($AF$2:AF891),$AF$2:$AF$1001,0),1)&gt;=100000,INDEX($AM$1005:$BM$1005,1,MATCH(COLUMNS($AM$1006:BK1006),$AM$1006:$BM$1006,0))&gt;=100000), " ",IF(INDEX($AM$2:$BM$1001,MATCH(ROWS($AF$2:AF891),$AF$2:$AF$1001,0),MATCH(COLUMNS($AM$1006:BK1006),$AM$1006:$BM$1006,0)), HYPERLINK("#",""), HYPERLINK(CONCATENATE("#metadata!", ADDRESS(INDEX($AH$2:$AH$1001,MATCH(ROWS($AF$2:AF891),$AF$2:$AF$1001,0),0), INDEX($AM$1004:$BM$1004,1,MATCH(COLUMNS($AM$1006:BK1006),$AM$1006:$BM$1006,0)))),"Fix")))</f>
        <v xml:space="preserve"> </v>
      </c>
      <c r="AA891" s="4" t="str">
        <f ca="1">IF(OR(INDEX($AG$2:$AG$1001,MATCH(ROWS($AF$2:AF891),$AF$2:$AF$1001,0),1)&gt;=100000,INDEX($AM$1005:$BM$1005,1,MATCH(COLUMNS($AM$1006:BL1006),$AM$1006:$BM$1006,0))&gt;=100000), " ",IF(INDEX($AM$2:$BM$1001,MATCH(ROWS($AF$2:AF891),$AF$2:$AF$1001,0),MATCH(COLUMNS($AM$1006:BL1006),$AM$1006:$BM$1006,0)), HYPERLINK("#",""), HYPERLINK(CONCATENATE("#metadata!", ADDRESS(INDEX($AH$2:$AH$1001,MATCH(ROWS($AF$2:AF891),$AF$2:$AF$1001,0),0), INDEX($AM$1004:$BM$1004,1,MATCH(COLUMNS($AM$1006:BL1006),$AM$1006:$BM$1006,0)))),"Fix")))</f>
        <v xml:space="preserve"> </v>
      </c>
      <c r="AB891" s="4" t="str">
        <f ca="1">IF(OR(INDEX($AG$2:$AG$1001,MATCH(ROWS($AF$2:AF891),$AF$2:$AF$1001,0),1)&gt;=100000,INDEX($AM$1005:$BM$1005,1,MATCH(COLUMNS($AM$1006:BM1006),$AM$1006:$BM$1006,0))&gt;=100000), " ",IF(INDEX($AM$2:$BM$1001,MATCH(ROWS($AF$2:AF891),$AF$2:$AF$1001,0),MATCH(COLUMNS($AM$1006:BM1006),$AM$1006:$BM$1006,0)), HYPERLINK("#",""), HYPERLINK(CONCATENATE("#metadata!", ADDRESS(INDEX($AH$2:$AH$1001,MATCH(ROWS($AF$2:AF891),$AF$2:$AF$1001,0),0), INDEX($AM$1004:$BM$1004,1,MATCH(COLUMNS($AM$1006:BM1006),$AM$1006:$BM$1006,0)))),"Fix")))</f>
        <v xml:space="preserve"> </v>
      </c>
      <c r="AF891">
        <v>890</v>
      </c>
      <c r="AG891">
        <v>100891</v>
      </c>
      <c r="AH891">
        <v>891</v>
      </c>
      <c r="AI891" t="b">
        <f t="shared" si="13"/>
        <v>1</v>
      </c>
      <c r="AJ891" t="b">
        <f>COUNTBLANK(metadata!B891:AB891)=COLUMNS(metadata!B891:AB891)</f>
        <v>1</v>
      </c>
      <c r="AK891" t="str">
        <v/>
      </c>
      <c r="AM891" t="b">
        <f ca="1">AND(IF(metadata!B891="",FALSE,TRUE),COUNTIF(metadata!B:B, metadata!B891) = 1,NOT(ISERROR(SUMPRODUCT(SEARCH(MID(metadata!B891,ROW(INDIRECT("1:"&amp;LEN(metadata!B891))), 1),"0123456789abcdefghijklmnopqrstuvwxyzABCDEFGHIJKLMNOPQRSTUVWXYZ.")))))</f>
        <v>0</v>
      </c>
      <c r="AN891" t="b">
        <f ca="1">OR(AND(IF(metadata!C891="",FALSE,TRUE),OR(EXACT(metadata!C891,"missing: not collected"),EXACT(metadata!C891,"missing: not provided"),EXACT(metadata!C891,"missing: restricted access"))),AND(IF(metadata!C891="",FALSE,TRUE),AND(AND(IFERROR(INT(LEFT(metadata!C891,4))&gt;1900,FALSE),IFERROR(INT(LEFT(metadata!C891,4))&lt;=YEAR(NOW()),FALSE)), OR(MID(metadata!C891,5,1)="", AND(AND(MID(metadata!C891,5,1)="-",IFERROR(INT(MID(metadata!C891,6,1))&gt;=0,FALSE),IFERROR(INT(MID(metadata!C891,6,1))&lt;=1,FALSE),NOT(MID(metadata!C891,7,1)=""),IFERROR(INT(MID(metadata!C891,6,2))&gt;=1,FALSE),IFERROR(INT(MID(metadata!C891,6,2))&lt;=12,FALSE)), OR(MID(metadata!C891,8,1)="", AND(AND(MID(metadata!C891,8,1)="-",IFERROR(INT(MID(metadata!C891,9,1))&gt;=0,FALSE),IFERROR(INT(MID(metadata!C891,9,1))&lt;=3,FALSE),NOT(MID(metadata!C891,10,1)=""),IFERROR(INT(MID(metadata!C891,9,2))&gt;=1,FALSE),IFERROR(INT(MID(metadata!C891,9,2))&lt;=31,FALSE)), OR(MID(metadata!C891,11,1)="", AND(AND(MID(metadata!C891,11,1)=" ",IFERROR(INT(MID(metadata!C891,12,1))&gt;=0,FALSE),IFERROR(INT(MID(metadata!C891,12,1))&lt;=2,FALSE),NOT(MID(metadata!C891,13,1)=""),IFERROR(INT(MID(metadata!C891,12,2))&gt;=0,FALSE),IFERROR(INT(MID(metadata!C891,12,2))&lt;=23,FALSE)), OR(MID(metadata!C891,14,1)="", AND(AND(MID(metadata!C891,14,1)=":",IFERROR(INT(MID(metadata!C891,15,1))&gt;=0,FALSE),IFERROR(INT(MID(metadata!C891,15,1))&lt;=5,FALSE),NOT(MID(metadata!C891,16,1)=""),IFERROR(INT(MID(metadata!C891,15,2))&gt;=0,FALSE),IFERROR(INT(MID(metadata!C891,15,2))&lt;=59,FALSE)), OR(MID(metadata!C891,17,1)="", AND(AND(MID(metadata!C891,17,1)=":",IFERROR(INT(MID(metadata!C891,18,1))&gt;=0,FALSE),IFERROR(INT(MID(metadata!C891,18,1))&lt;=5,FALSE),NOT(MID(metadata!C891,19,1)=""),IFERROR(INT(MID(metadata!C891,18,2))&gt;=0,FALSE),IFERROR(INT(MID(metadata!C891,18,2))&lt;=59,FALSE)), LEN(metadata!C891)&lt;=19)))))))))))))</f>
        <v>0</v>
      </c>
      <c r="AO891" t="b">
        <f>AND(IF(metadata!D891="",FALSE,TRUE),EXACT(metadata!D891,"Not applicable"))</f>
        <v>0</v>
      </c>
      <c r="AP891" t="b">
        <f>IF(metadata!E891="",FALSE,TRUE)</f>
        <v>0</v>
      </c>
      <c r="AQ891" t="b">
        <f>OR(AND(IF(metadata!F891="",FALSE,TRUE),OR(EXACT(metadata!F891,"missing: not collected"),EXACT(metadata!F891,"missing: not provided"))),AND(IF(metadata!F891="",FALSE,TRUE),OR(EXACT(metadata!F891,"TRUE"),EXACT(metadata!F891,"FALSE"))))</f>
        <v>0</v>
      </c>
      <c r="AR891" t="b">
        <f>OR(AND(IF(metadata!G891="",FALSE,TRUE),OR(EXACT(metadata!G891,"missing: not collected"),EXACT(metadata!G891,"missing: not provided"),EXACT(metadata!G891,"missing: restricted access"))),AND(IF(metadata!G891="",FALSE,ISNUMBER(VALUE(metadata!G891))),metadata!G891&gt;=-413))</f>
        <v>0</v>
      </c>
      <c r="AS891" t="b">
        <f>AND(IF(metadata!H891="",FALSE,TRUE),EXACT(metadata!H891,"meters"))</f>
        <v>0</v>
      </c>
      <c r="AT891" t="b">
        <f>AND(IF(metadata!I891="",FALSE,TRUE),OR(EXACT(metadata!I891,"Host-associated"),EXACT(metadata!I891,"Free-living")))</f>
        <v>0</v>
      </c>
      <c r="AU891" t="b">
        <f>AND(IF(metadata!J891="",FALSE,TRUE),OR(EXACT(metadata!J891,"Animal"),EXACT(metadata!J891,"Fungus"),EXACT(metadata!J891,"Plant"),EXACT(metadata!J891,"Saline"),EXACT(metadata!J891,"Non-saline")))</f>
        <v>0</v>
      </c>
      <c r="AV891" t="b">
        <f>AND(IF(metadata!K891="",FALSE,TRUE),OR(EXACT(metadata!K891,"Plant secretion"),EXACT(metadata!K891,"Plant rhizosphere"),EXACT(metadata!K891,"Plant surface"),EXACT(metadata!K891,"Plant corpus"),EXACT(metadata!K891,"Fungus surface"),EXACT(metadata!K891,"Fungus corpus"),EXACT(metadata!K891,"Animal surface"),EXACT(metadata!K891,"Animal proximal gut"),EXACT(metadata!K891,"Animal corpus"),EXACT(metadata!K891,"Animal distal gut"),EXACT(metadata!K891,"Animal secretion"),EXACT(metadata!K891,"Sub-surface (non-saline)"),EXACT(metadata!K891,"Surface (non-saline)"),EXACT(metadata!K891,"Water (non-saline)"),EXACT(metadata!K891,"Soil (non-saline)"),EXACT(metadata!K891,"Aerosol (non-saline)"),EXACT(metadata!K891,"Sediment (non-saline)"),EXACT(metadata!K891,"Surface (saline)"),EXACT(metadata!K891,"Water (saline)"),EXACT(metadata!K891,"Hypersaline (saline)"),EXACT(metadata!K891,"Aerosol (saline)"),EXACT(metadata!K891,"Sediment (saline)")))</f>
        <v>0</v>
      </c>
      <c r="AW891" t="b">
        <f>IF(metadata!L891="",FALSE,TRUE)</f>
        <v>0</v>
      </c>
      <c r="AX891" t="b">
        <f>IF(metadata!M891="",FALSE,TRUE)</f>
        <v>0</v>
      </c>
      <c r="AY891" t="b">
        <f>IF(metadata!N891="",FALSE,TRUE)</f>
        <v>0</v>
      </c>
      <c r="AZ891" t="b">
        <f>OR(AND(IF(metadata!O891="",FALSE,TRUE),OR(EXACT(metadata!O891,"missing: not collected"),EXACT(metadata!O891,"missing: not provided"),EXACT(metadata!O891,"missing: restricted access"))),AND(IF(metadata!O891="",FALSE,TRUE),OR(EXACT(metadata!O891,"air"),EXACT(metadata!O891,"built environment"),EXACT(metadata!O891,"host-associated"),EXACT(metadata!O891,"human-associated"),EXACT(metadata!O891,"human-skin"),EXACT(metadata!O891,"human-oral"),EXACT(metadata!O891,"human-gut"),EXACT(metadata!O891,"human-vaginal"),EXACT(metadata!O891,"microbial mat/biofilm"),EXACT(metadata!O891,"misc environment"),EXACT(metadata!O891,"plant-associated"),EXACT(metadata!O891,"sediment"),EXACT(metadata!O891,"soil"),EXACT(metadata!O891,"wastewater/sludge"),EXACT(metadata!O891,"water"))))</f>
        <v>0</v>
      </c>
      <c r="BA891" t="b">
        <f>IF(metadata!P891="",FALSE,TRUE)</f>
        <v>0</v>
      </c>
      <c r="BB891" t="b">
        <f>IF(metadata!Q891="",FALSE,TRUE)</f>
        <v>0</v>
      </c>
      <c r="BC891" t="b">
        <f>OR(AND(IF(metadata!R891="",FALSE,TRUE),OR(EXACT(metadata!R891,"missing: not collected"),EXACT(metadata!R891,"missing: not provided"),EXACT(metadata!R891,"missing: restricted access"))),AND(IF(metadata!R891="",FALSE,ISNUMBER(VALUE(metadata!R891))),metadata!R891&gt;=-90,metadata!R891&lt;=90))</f>
        <v>0</v>
      </c>
      <c r="BD891" t="b">
        <f>AND(IF(metadata!S891="",FALSE,TRUE),EXACT(metadata!S891,"Decimal degrees"))</f>
        <v>0</v>
      </c>
      <c r="BE891" t="b">
        <f>OR(AND(IF(metadata!T891="",FALSE,TRUE),OR(EXACT(metadata!T891,"missing: not collected"),EXACT(metadata!T891,"missing: not provided"),EXACT(metadata!T891,"missing: restricted access"))),AND(IF(metadata!T891="",FALSE,ISNUMBER(VALUE(metadata!T891))),metadata!T891&gt;=-180,metadata!T891&lt;=180))</f>
        <v>0</v>
      </c>
      <c r="BF891" t="b">
        <f>AND(IF(metadata!U891="",FALSE,TRUE),EXACT(metadata!U891,"Decimal degrees"))</f>
        <v>0</v>
      </c>
      <c r="BG891" t="b">
        <f>IF(metadata!V891="",FALSE,TRUE)</f>
        <v>0</v>
      </c>
      <c r="BH891" t="b">
        <f>OR(AND(IF(metadata!W891="",FALSE,TRUE),OR(EXACT(metadata!W891,"missing: not collected"),EXACT(metadata!W891,"missing: not provided"),EXACT(metadata!W891,"missing: restricted access"))),AND(IF(metadata!W891="",FALSE,TRUE),OR(EXACT(metadata!W891,"TRUE"),EXACT(metadata!W891,"FALSE"))))</f>
        <v>0</v>
      </c>
      <c r="BI891" t="b">
        <f>AND(IF(metadata!X891="",FALSE,TRUE),EXACT(metadata!X891,"other"))</f>
        <v>0</v>
      </c>
      <c r="BJ891" t="b">
        <f>IF(metadata!Y891="",FALSE,TRUE)</f>
        <v>0</v>
      </c>
      <c r="BK891" t="b">
        <f>OR(AND(IF(metadata!Z891="",FALSE,TRUE),OR(EXACT(metadata!Z891,"missing: not collected"),EXACT(metadata!Z891,"missing: not provided"))),AND(IF(metadata!Z891="",FALSE,IF(ISERROR(INT(metadata!Z891)),FALSE,INT(metadata!Z891)=metadata!Z891)),metadata!Z891&gt;0))</f>
        <v>0</v>
      </c>
      <c r="BL891" t="b">
        <f>AND(IF(metadata!AA891="",FALSE,TRUE),EXACT(metadata!AA891,"Not applicable"))</f>
        <v>0</v>
      </c>
      <c r="BM891" t="b">
        <f>IF(metadata!AB891="",FALSE,TRUE)</f>
        <v>0</v>
      </c>
    </row>
    <row r="892" spans="1:65" x14ac:dyDescent="0.2">
      <c r="A892" s="5" t="str">
        <f ca="1">IF(B892=" "," ",HYPERLINK(CONCATENATE("#metadata!",ADDRESS(INDEX($AH$2:$AH$1001,MATCH(ROWS($AF$2:AF892),$AF$2:$AF$1001,0),0),1)),INDEX($AK$2:$AK$1001,MATCH(ROWS($AF$2:AF892),$AF$2:$AF$1001,0),0)))</f>
        <v xml:space="preserve"> </v>
      </c>
      <c r="B892" s="4" t="str">
        <f ca="1">IF(OR(INDEX($AG$2:$AG$1001,MATCH(ROWS($AF$2:AF892),$AF$2:$AF$1001,0),1)&gt;=100000,INDEX($AM$1005:$BM$1005,1,MATCH(COLUMNS($AM$1006:AM1006),$AM$1006:$BM$1006,0))&gt;=100000), " ",IF(INDEX($AM$2:$BM$1001,MATCH(ROWS($AF$2:AF892),$AF$2:$AF$1001,0),MATCH(COLUMNS($AM$1006:AM1006),$AM$1006:$BM$1006,0)), HYPERLINK("#",""), HYPERLINK(CONCATENATE("#metadata!", ADDRESS(INDEX($AH$2:$AH$1001,MATCH(ROWS($AF$2:AF892),$AF$2:$AF$1001,0),0), INDEX($AM$1004:$BM$1004,1,MATCH(COLUMNS($AM$1006:AM1006),$AM$1006:$BM$1006,0)))),"Fix")))</f>
        <v xml:space="preserve"> </v>
      </c>
      <c r="C892" s="4" t="str">
        <f ca="1">IF(OR(INDEX($AG$2:$AG$1001,MATCH(ROWS($AF$2:AF892),$AF$2:$AF$1001,0),1)&gt;=100000,INDEX($AM$1005:$BM$1005,1,MATCH(COLUMNS($AM$1006:AN1006),$AM$1006:$BM$1006,0))&gt;=100000), " ",IF(INDEX($AM$2:$BM$1001,MATCH(ROWS($AF$2:AF892),$AF$2:$AF$1001,0),MATCH(COLUMNS($AM$1006:AN1006),$AM$1006:$BM$1006,0)), HYPERLINK("#",""), HYPERLINK(CONCATENATE("#metadata!", ADDRESS(INDEX($AH$2:$AH$1001,MATCH(ROWS($AF$2:AF892),$AF$2:$AF$1001,0),0), INDEX($AM$1004:$BM$1004,1,MATCH(COLUMNS($AM$1006:AN1006),$AM$1006:$BM$1006,0)))),"Fix")))</f>
        <v xml:space="preserve"> </v>
      </c>
      <c r="D892" s="4" t="str">
        <f ca="1">IF(OR(INDEX($AG$2:$AG$1001,MATCH(ROWS($AF$2:AF892),$AF$2:$AF$1001,0),1)&gt;=100000,INDEX($AM$1005:$BM$1005,1,MATCH(COLUMNS($AM$1006:AO1006),$AM$1006:$BM$1006,0))&gt;=100000), " ",IF(INDEX($AM$2:$BM$1001,MATCH(ROWS($AF$2:AF892),$AF$2:$AF$1001,0),MATCH(COLUMNS($AM$1006:AO1006),$AM$1006:$BM$1006,0)), HYPERLINK("#",""), HYPERLINK(CONCATENATE("#metadata!", ADDRESS(INDEX($AH$2:$AH$1001,MATCH(ROWS($AF$2:AF892),$AF$2:$AF$1001,0),0), INDEX($AM$1004:$BM$1004,1,MATCH(COLUMNS($AM$1006:AO1006),$AM$1006:$BM$1006,0)))),"Fix")))</f>
        <v xml:space="preserve"> </v>
      </c>
      <c r="E892" s="4" t="str">
        <f ca="1">IF(OR(INDEX($AG$2:$AG$1001,MATCH(ROWS($AF$2:AF892),$AF$2:$AF$1001,0),1)&gt;=100000,INDEX($AM$1005:$BM$1005,1,MATCH(COLUMNS($AM$1006:AP1006),$AM$1006:$BM$1006,0))&gt;=100000), " ",IF(INDEX($AM$2:$BM$1001,MATCH(ROWS($AF$2:AF892),$AF$2:$AF$1001,0),MATCH(COLUMNS($AM$1006:AP1006),$AM$1006:$BM$1006,0)), HYPERLINK("#",""), HYPERLINK(CONCATENATE("#metadata!", ADDRESS(INDEX($AH$2:$AH$1001,MATCH(ROWS($AF$2:AF892),$AF$2:$AF$1001,0),0), INDEX($AM$1004:$BM$1004,1,MATCH(COLUMNS($AM$1006:AP1006),$AM$1006:$BM$1006,0)))),"Fix")))</f>
        <v xml:space="preserve"> </v>
      </c>
      <c r="F892" s="4" t="str">
        <f ca="1">IF(OR(INDEX($AG$2:$AG$1001,MATCH(ROWS($AF$2:AF892),$AF$2:$AF$1001,0),1)&gt;=100000,INDEX($AM$1005:$BM$1005,1,MATCH(COLUMNS($AM$1006:AQ1006),$AM$1006:$BM$1006,0))&gt;=100000), " ",IF(INDEX($AM$2:$BM$1001,MATCH(ROWS($AF$2:AF892),$AF$2:$AF$1001,0),MATCH(COLUMNS($AM$1006:AQ1006),$AM$1006:$BM$1006,0)), HYPERLINK("#",""), HYPERLINK(CONCATENATE("#metadata!", ADDRESS(INDEX($AH$2:$AH$1001,MATCH(ROWS($AF$2:AF892),$AF$2:$AF$1001,0),0), INDEX($AM$1004:$BM$1004,1,MATCH(COLUMNS($AM$1006:AQ1006),$AM$1006:$BM$1006,0)))),"Fix")))</f>
        <v xml:space="preserve"> </v>
      </c>
      <c r="G892" s="4" t="str">
        <f ca="1">IF(OR(INDEX($AG$2:$AG$1001,MATCH(ROWS($AF$2:AF892),$AF$2:$AF$1001,0),1)&gt;=100000,INDEX($AM$1005:$BM$1005,1,MATCH(COLUMNS($AM$1006:AR1006),$AM$1006:$BM$1006,0))&gt;=100000), " ",IF(INDEX($AM$2:$BM$1001,MATCH(ROWS($AF$2:AF892),$AF$2:$AF$1001,0),MATCH(COLUMNS($AM$1006:AR1006),$AM$1006:$BM$1006,0)), HYPERLINK("#",""), HYPERLINK(CONCATENATE("#metadata!", ADDRESS(INDEX($AH$2:$AH$1001,MATCH(ROWS($AF$2:AF892),$AF$2:$AF$1001,0),0), INDEX($AM$1004:$BM$1004,1,MATCH(COLUMNS($AM$1006:AR1006),$AM$1006:$BM$1006,0)))),"Fix")))</f>
        <v xml:space="preserve"> </v>
      </c>
      <c r="H892" s="4" t="str">
        <f ca="1">IF(OR(INDEX($AG$2:$AG$1001,MATCH(ROWS($AF$2:AF892),$AF$2:$AF$1001,0),1)&gt;=100000,INDEX($AM$1005:$BM$1005,1,MATCH(COLUMNS($AM$1006:AS1006),$AM$1006:$BM$1006,0))&gt;=100000), " ",IF(INDEX($AM$2:$BM$1001,MATCH(ROWS($AF$2:AF892),$AF$2:$AF$1001,0),MATCH(COLUMNS($AM$1006:AS1006),$AM$1006:$BM$1006,0)), HYPERLINK("#",""), HYPERLINK(CONCATENATE("#metadata!", ADDRESS(INDEX($AH$2:$AH$1001,MATCH(ROWS($AF$2:AF892),$AF$2:$AF$1001,0),0), INDEX($AM$1004:$BM$1004,1,MATCH(COLUMNS($AM$1006:AS1006),$AM$1006:$BM$1006,0)))),"Fix")))</f>
        <v xml:space="preserve"> </v>
      </c>
      <c r="I892" s="4" t="str">
        <f ca="1">IF(OR(INDEX($AG$2:$AG$1001,MATCH(ROWS($AF$2:AF892),$AF$2:$AF$1001,0),1)&gt;=100000,INDEX($AM$1005:$BM$1005,1,MATCH(COLUMNS($AM$1006:AT1006),$AM$1006:$BM$1006,0))&gt;=100000), " ",IF(INDEX($AM$2:$BM$1001,MATCH(ROWS($AF$2:AF892),$AF$2:$AF$1001,0),MATCH(COLUMNS($AM$1006:AT1006),$AM$1006:$BM$1006,0)), HYPERLINK("#",""), HYPERLINK(CONCATENATE("#metadata!", ADDRESS(INDEX($AH$2:$AH$1001,MATCH(ROWS($AF$2:AF892),$AF$2:$AF$1001,0),0), INDEX($AM$1004:$BM$1004,1,MATCH(COLUMNS($AM$1006:AT1006),$AM$1006:$BM$1006,0)))),"Fix")))</f>
        <v xml:space="preserve"> </v>
      </c>
      <c r="J892" s="4" t="str">
        <f ca="1">IF(OR(INDEX($AG$2:$AG$1001,MATCH(ROWS($AF$2:AF892),$AF$2:$AF$1001,0),1)&gt;=100000,INDEX($AM$1005:$BM$1005,1,MATCH(COLUMNS($AM$1006:AU1006),$AM$1006:$BM$1006,0))&gt;=100000), " ",IF(INDEX($AM$2:$BM$1001,MATCH(ROWS($AF$2:AF892),$AF$2:$AF$1001,0),MATCH(COLUMNS($AM$1006:AU1006),$AM$1006:$BM$1006,0)), HYPERLINK("#",""), HYPERLINK(CONCATENATE("#metadata!", ADDRESS(INDEX($AH$2:$AH$1001,MATCH(ROWS($AF$2:AF892),$AF$2:$AF$1001,0),0), INDEX($AM$1004:$BM$1004,1,MATCH(COLUMNS($AM$1006:AU1006),$AM$1006:$BM$1006,0)))),"Fix")))</f>
        <v xml:space="preserve"> </v>
      </c>
      <c r="K892" s="4" t="str">
        <f ca="1">IF(OR(INDEX($AG$2:$AG$1001,MATCH(ROWS($AF$2:AF892),$AF$2:$AF$1001,0),1)&gt;=100000,INDEX($AM$1005:$BM$1005,1,MATCH(COLUMNS($AM$1006:AV1006),$AM$1006:$BM$1006,0))&gt;=100000), " ",IF(INDEX($AM$2:$BM$1001,MATCH(ROWS($AF$2:AF892),$AF$2:$AF$1001,0),MATCH(COLUMNS($AM$1006:AV1006),$AM$1006:$BM$1006,0)), HYPERLINK("#",""), HYPERLINK(CONCATENATE("#metadata!", ADDRESS(INDEX($AH$2:$AH$1001,MATCH(ROWS($AF$2:AF892),$AF$2:$AF$1001,0),0), INDEX($AM$1004:$BM$1004,1,MATCH(COLUMNS($AM$1006:AV1006),$AM$1006:$BM$1006,0)))),"Fix")))</f>
        <v xml:space="preserve"> </v>
      </c>
      <c r="L892" s="4" t="str">
        <f ca="1">IF(OR(INDEX($AG$2:$AG$1001,MATCH(ROWS($AF$2:AF892),$AF$2:$AF$1001,0),1)&gt;=100000,INDEX($AM$1005:$BM$1005,1,MATCH(COLUMNS($AM$1006:AW1006),$AM$1006:$BM$1006,0))&gt;=100000), " ",IF(INDEX($AM$2:$BM$1001,MATCH(ROWS($AF$2:AF892),$AF$2:$AF$1001,0),MATCH(COLUMNS($AM$1006:AW1006),$AM$1006:$BM$1006,0)), HYPERLINK("#",""), HYPERLINK(CONCATENATE("#metadata!", ADDRESS(INDEX($AH$2:$AH$1001,MATCH(ROWS($AF$2:AF892),$AF$2:$AF$1001,0),0), INDEX($AM$1004:$BM$1004,1,MATCH(COLUMNS($AM$1006:AW1006),$AM$1006:$BM$1006,0)))),"Fix")))</f>
        <v xml:space="preserve"> </v>
      </c>
      <c r="M892" s="4" t="str">
        <f ca="1">IF(OR(INDEX($AG$2:$AG$1001,MATCH(ROWS($AF$2:AF892),$AF$2:$AF$1001,0),1)&gt;=100000,INDEX($AM$1005:$BM$1005,1,MATCH(COLUMNS($AM$1006:AX1006),$AM$1006:$BM$1006,0))&gt;=100000), " ",IF(INDEX($AM$2:$BM$1001,MATCH(ROWS($AF$2:AF892),$AF$2:$AF$1001,0),MATCH(COLUMNS($AM$1006:AX1006),$AM$1006:$BM$1006,0)), HYPERLINK("#",""), HYPERLINK(CONCATENATE("#metadata!", ADDRESS(INDEX($AH$2:$AH$1001,MATCH(ROWS($AF$2:AF892),$AF$2:$AF$1001,0),0), INDEX($AM$1004:$BM$1004,1,MATCH(COLUMNS($AM$1006:AX1006),$AM$1006:$BM$1006,0)))),"Fix")))</f>
        <v xml:space="preserve"> </v>
      </c>
      <c r="N892" s="4" t="str">
        <f ca="1">IF(OR(INDEX($AG$2:$AG$1001,MATCH(ROWS($AF$2:AF892),$AF$2:$AF$1001,0),1)&gt;=100000,INDEX($AM$1005:$BM$1005,1,MATCH(COLUMNS($AM$1006:AY1006),$AM$1006:$BM$1006,0))&gt;=100000), " ",IF(INDEX($AM$2:$BM$1001,MATCH(ROWS($AF$2:AF892),$AF$2:$AF$1001,0),MATCH(COLUMNS($AM$1006:AY1006),$AM$1006:$BM$1006,0)), HYPERLINK("#",""), HYPERLINK(CONCATENATE("#metadata!", ADDRESS(INDEX($AH$2:$AH$1001,MATCH(ROWS($AF$2:AF892),$AF$2:$AF$1001,0),0), INDEX($AM$1004:$BM$1004,1,MATCH(COLUMNS($AM$1006:AY1006),$AM$1006:$BM$1006,0)))),"Fix")))</f>
        <v xml:space="preserve"> </v>
      </c>
      <c r="O892" s="4" t="str">
        <f ca="1">IF(OR(INDEX($AG$2:$AG$1001,MATCH(ROWS($AF$2:AF892),$AF$2:$AF$1001,0),1)&gt;=100000,INDEX($AM$1005:$BM$1005,1,MATCH(COLUMNS($AM$1006:AZ1006),$AM$1006:$BM$1006,0))&gt;=100000), " ",IF(INDEX($AM$2:$BM$1001,MATCH(ROWS($AF$2:AF892),$AF$2:$AF$1001,0),MATCH(COLUMNS($AM$1006:AZ1006),$AM$1006:$BM$1006,0)), HYPERLINK("#",""), HYPERLINK(CONCATENATE("#metadata!", ADDRESS(INDEX($AH$2:$AH$1001,MATCH(ROWS($AF$2:AF892),$AF$2:$AF$1001,0),0), INDEX($AM$1004:$BM$1004,1,MATCH(COLUMNS($AM$1006:AZ1006),$AM$1006:$BM$1006,0)))),"Fix")))</f>
        <v xml:space="preserve"> </v>
      </c>
      <c r="P892" s="4" t="str">
        <f ca="1">IF(OR(INDEX($AG$2:$AG$1001,MATCH(ROWS($AF$2:AF892),$AF$2:$AF$1001,0),1)&gt;=100000,INDEX($AM$1005:$BM$1005,1,MATCH(COLUMNS($AM$1006:BA1006),$AM$1006:$BM$1006,0))&gt;=100000), " ",IF(INDEX($AM$2:$BM$1001,MATCH(ROWS($AF$2:AF892),$AF$2:$AF$1001,0),MATCH(COLUMNS($AM$1006:BA1006),$AM$1006:$BM$1006,0)), HYPERLINK("#",""), HYPERLINK(CONCATENATE("#metadata!", ADDRESS(INDEX($AH$2:$AH$1001,MATCH(ROWS($AF$2:AF892),$AF$2:$AF$1001,0),0), INDEX($AM$1004:$BM$1004,1,MATCH(COLUMNS($AM$1006:BA1006),$AM$1006:$BM$1006,0)))),"Fix")))</f>
        <v xml:space="preserve"> </v>
      </c>
      <c r="Q892" s="4" t="str">
        <f ca="1">IF(OR(INDEX($AG$2:$AG$1001,MATCH(ROWS($AF$2:AF892),$AF$2:$AF$1001,0),1)&gt;=100000,INDEX($AM$1005:$BM$1005,1,MATCH(COLUMNS($AM$1006:BB1006),$AM$1006:$BM$1006,0))&gt;=100000), " ",IF(INDEX($AM$2:$BM$1001,MATCH(ROWS($AF$2:AF892),$AF$2:$AF$1001,0),MATCH(COLUMNS($AM$1006:BB1006),$AM$1006:$BM$1006,0)), HYPERLINK("#",""), HYPERLINK(CONCATENATE("#metadata!", ADDRESS(INDEX($AH$2:$AH$1001,MATCH(ROWS($AF$2:AF892),$AF$2:$AF$1001,0),0), INDEX($AM$1004:$BM$1004,1,MATCH(COLUMNS($AM$1006:BB1006),$AM$1006:$BM$1006,0)))),"Fix")))</f>
        <v xml:space="preserve"> </v>
      </c>
      <c r="R892" s="4" t="str">
        <f ca="1">IF(OR(INDEX($AG$2:$AG$1001,MATCH(ROWS($AF$2:AF892),$AF$2:$AF$1001,0),1)&gt;=100000,INDEX($AM$1005:$BM$1005,1,MATCH(COLUMNS($AM$1006:BC1006),$AM$1006:$BM$1006,0))&gt;=100000), " ",IF(INDEX($AM$2:$BM$1001,MATCH(ROWS($AF$2:AF892),$AF$2:$AF$1001,0),MATCH(COLUMNS($AM$1006:BC1006),$AM$1006:$BM$1006,0)), HYPERLINK("#",""), HYPERLINK(CONCATENATE("#metadata!", ADDRESS(INDEX($AH$2:$AH$1001,MATCH(ROWS($AF$2:AF892),$AF$2:$AF$1001,0),0), INDEX($AM$1004:$BM$1004,1,MATCH(COLUMNS($AM$1006:BC1006),$AM$1006:$BM$1006,0)))),"Fix")))</f>
        <v xml:space="preserve"> </v>
      </c>
      <c r="S892" s="4" t="str">
        <f ca="1">IF(OR(INDEX($AG$2:$AG$1001,MATCH(ROWS($AF$2:AF892),$AF$2:$AF$1001,0),1)&gt;=100000,INDEX($AM$1005:$BM$1005,1,MATCH(COLUMNS($AM$1006:BD1006),$AM$1006:$BM$1006,0))&gt;=100000), " ",IF(INDEX($AM$2:$BM$1001,MATCH(ROWS($AF$2:AF892),$AF$2:$AF$1001,0),MATCH(COLUMNS($AM$1006:BD1006),$AM$1006:$BM$1006,0)), HYPERLINK("#",""), HYPERLINK(CONCATENATE("#metadata!", ADDRESS(INDEX($AH$2:$AH$1001,MATCH(ROWS($AF$2:AF892),$AF$2:$AF$1001,0),0), INDEX($AM$1004:$BM$1004,1,MATCH(COLUMNS($AM$1006:BD1006),$AM$1006:$BM$1006,0)))),"Fix")))</f>
        <v xml:space="preserve"> </v>
      </c>
      <c r="T892" s="4" t="str">
        <f ca="1">IF(OR(INDEX($AG$2:$AG$1001,MATCH(ROWS($AF$2:AF892),$AF$2:$AF$1001,0),1)&gt;=100000,INDEX($AM$1005:$BM$1005,1,MATCH(COLUMNS($AM$1006:BE1006),$AM$1006:$BM$1006,0))&gt;=100000), " ",IF(INDEX($AM$2:$BM$1001,MATCH(ROWS($AF$2:AF892),$AF$2:$AF$1001,0),MATCH(COLUMNS($AM$1006:BE1006),$AM$1006:$BM$1006,0)), HYPERLINK("#",""), HYPERLINK(CONCATENATE("#metadata!", ADDRESS(INDEX($AH$2:$AH$1001,MATCH(ROWS($AF$2:AF892),$AF$2:$AF$1001,0),0), INDEX($AM$1004:$BM$1004,1,MATCH(COLUMNS($AM$1006:BE1006),$AM$1006:$BM$1006,0)))),"Fix")))</f>
        <v xml:space="preserve"> </v>
      </c>
      <c r="U892" s="4" t="str">
        <f ca="1">IF(OR(INDEX($AG$2:$AG$1001,MATCH(ROWS($AF$2:AF892),$AF$2:$AF$1001,0),1)&gt;=100000,INDEX($AM$1005:$BM$1005,1,MATCH(COLUMNS($AM$1006:BF1006),$AM$1006:$BM$1006,0))&gt;=100000), " ",IF(INDEX($AM$2:$BM$1001,MATCH(ROWS($AF$2:AF892),$AF$2:$AF$1001,0),MATCH(COLUMNS($AM$1006:BF1006),$AM$1006:$BM$1006,0)), HYPERLINK("#",""), HYPERLINK(CONCATENATE("#metadata!", ADDRESS(INDEX($AH$2:$AH$1001,MATCH(ROWS($AF$2:AF892),$AF$2:$AF$1001,0),0), INDEX($AM$1004:$BM$1004,1,MATCH(COLUMNS($AM$1006:BF1006),$AM$1006:$BM$1006,0)))),"Fix")))</f>
        <v xml:space="preserve"> </v>
      </c>
      <c r="V892" s="4" t="str">
        <f ca="1">IF(OR(INDEX($AG$2:$AG$1001,MATCH(ROWS($AF$2:AF892),$AF$2:$AF$1001,0),1)&gt;=100000,INDEX($AM$1005:$BM$1005,1,MATCH(COLUMNS($AM$1006:BG1006),$AM$1006:$BM$1006,0))&gt;=100000), " ",IF(INDEX($AM$2:$BM$1001,MATCH(ROWS($AF$2:AF892),$AF$2:$AF$1001,0),MATCH(COLUMNS($AM$1006:BG1006),$AM$1006:$BM$1006,0)), HYPERLINK("#",""), HYPERLINK(CONCATENATE("#metadata!", ADDRESS(INDEX($AH$2:$AH$1001,MATCH(ROWS($AF$2:AF892),$AF$2:$AF$1001,0),0), INDEX($AM$1004:$BM$1004,1,MATCH(COLUMNS($AM$1006:BG1006),$AM$1006:$BM$1006,0)))),"Fix")))</f>
        <v xml:space="preserve"> </v>
      </c>
      <c r="W892" s="4" t="str">
        <f ca="1">IF(OR(INDEX($AG$2:$AG$1001,MATCH(ROWS($AF$2:AF892),$AF$2:$AF$1001,0),1)&gt;=100000,INDEX($AM$1005:$BM$1005,1,MATCH(COLUMNS($AM$1006:BH1006),$AM$1006:$BM$1006,0))&gt;=100000), " ",IF(INDEX($AM$2:$BM$1001,MATCH(ROWS($AF$2:AF892),$AF$2:$AF$1001,0),MATCH(COLUMNS($AM$1006:BH1006),$AM$1006:$BM$1006,0)), HYPERLINK("#",""), HYPERLINK(CONCATENATE("#metadata!", ADDRESS(INDEX($AH$2:$AH$1001,MATCH(ROWS($AF$2:AF892),$AF$2:$AF$1001,0),0), INDEX($AM$1004:$BM$1004,1,MATCH(COLUMNS($AM$1006:BH1006),$AM$1006:$BM$1006,0)))),"Fix")))</f>
        <v xml:space="preserve"> </v>
      </c>
      <c r="X892" s="4" t="str">
        <f ca="1">IF(OR(INDEX($AG$2:$AG$1001,MATCH(ROWS($AF$2:AF892),$AF$2:$AF$1001,0),1)&gt;=100000,INDEX($AM$1005:$BM$1005,1,MATCH(COLUMNS($AM$1006:BI1006),$AM$1006:$BM$1006,0))&gt;=100000), " ",IF(INDEX($AM$2:$BM$1001,MATCH(ROWS($AF$2:AF892),$AF$2:$AF$1001,0),MATCH(COLUMNS($AM$1006:BI1006),$AM$1006:$BM$1006,0)), HYPERLINK("#",""), HYPERLINK(CONCATENATE("#metadata!", ADDRESS(INDEX($AH$2:$AH$1001,MATCH(ROWS($AF$2:AF892),$AF$2:$AF$1001,0),0), INDEX($AM$1004:$BM$1004,1,MATCH(COLUMNS($AM$1006:BI1006),$AM$1006:$BM$1006,0)))),"Fix")))</f>
        <v xml:space="preserve"> </v>
      </c>
      <c r="Y892" s="4" t="str">
        <f ca="1">IF(OR(INDEX($AG$2:$AG$1001,MATCH(ROWS($AF$2:AF892),$AF$2:$AF$1001,0),1)&gt;=100000,INDEX($AM$1005:$BM$1005,1,MATCH(COLUMNS($AM$1006:BJ1006),$AM$1006:$BM$1006,0))&gt;=100000), " ",IF(INDEX($AM$2:$BM$1001,MATCH(ROWS($AF$2:AF892),$AF$2:$AF$1001,0),MATCH(COLUMNS($AM$1006:BJ1006),$AM$1006:$BM$1006,0)), HYPERLINK("#",""), HYPERLINK(CONCATENATE("#metadata!", ADDRESS(INDEX($AH$2:$AH$1001,MATCH(ROWS($AF$2:AF892),$AF$2:$AF$1001,0),0), INDEX($AM$1004:$BM$1004,1,MATCH(COLUMNS($AM$1006:BJ1006),$AM$1006:$BM$1006,0)))),"Fix")))</f>
        <v xml:space="preserve"> </v>
      </c>
      <c r="Z892" s="4" t="str">
        <f ca="1">IF(OR(INDEX($AG$2:$AG$1001,MATCH(ROWS($AF$2:AF892),$AF$2:$AF$1001,0),1)&gt;=100000,INDEX($AM$1005:$BM$1005,1,MATCH(COLUMNS($AM$1006:BK1006),$AM$1006:$BM$1006,0))&gt;=100000), " ",IF(INDEX($AM$2:$BM$1001,MATCH(ROWS($AF$2:AF892),$AF$2:$AF$1001,0),MATCH(COLUMNS($AM$1006:BK1006),$AM$1006:$BM$1006,0)), HYPERLINK("#",""), HYPERLINK(CONCATENATE("#metadata!", ADDRESS(INDEX($AH$2:$AH$1001,MATCH(ROWS($AF$2:AF892),$AF$2:$AF$1001,0),0), INDEX($AM$1004:$BM$1004,1,MATCH(COLUMNS($AM$1006:BK1006),$AM$1006:$BM$1006,0)))),"Fix")))</f>
        <v xml:space="preserve"> </v>
      </c>
      <c r="AA892" s="4" t="str">
        <f ca="1">IF(OR(INDEX($AG$2:$AG$1001,MATCH(ROWS($AF$2:AF892),$AF$2:$AF$1001,0),1)&gt;=100000,INDEX($AM$1005:$BM$1005,1,MATCH(COLUMNS($AM$1006:BL1006),$AM$1006:$BM$1006,0))&gt;=100000), " ",IF(INDEX($AM$2:$BM$1001,MATCH(ROWS($AF$2:AF892),$AF$2:$AF$1001,0),MATCH(COLUMNS($AM$1006:BL1006),$AM$1006:$BM$1006,0)), HYPERLINK("#",""), HYPERLINK(CONCATENATE("#metadata!", ADDRESS(INDEX($AH$2:$AH$1001,MATCH(ROWS($AF$2:AF892),$AF$2:$AF$1001,0),0), INDEX($AM$1004:$BM$1004,1,MATCH(COLUMNS($AM$1006:BL1006),$AM$1006:$BM$1006,0)))),"Fix")))</f>
        <v xml:space="preserve"> </v>
      </c>
      <c r="AB892" s="4" t="str">
        <f ca="1">IF(OR(INDEX($AG$2:$AG$1001,MATCH(ROWS($AF$2:AF892),$AF$2:$AF$1001,0),1)&gt;=100000,INDEX($AM$1005:$BM$1005,1,MATCH(COLUMNS($AM$1006:BM1006),$AM$1006:$BM$1006,0))&gt;=100000), " ",IF(INDEX($AM$2:$BM$1001,MATCH(ROWS($AF$2:AF892),$AF$2:$AF$1001,0),MATCH(COLUMNS($AM$1006:BM1006),$AM$1006:$BM$1006,0)), HYPERLINK("#",""), HYPERLINK(CONCATENATE("#metadata!", ADDRESS(INDEX($AH$2:$AH$1001,MATCH(ROWS($AF$2:AF892),$AF$2:$AF$1001,0),0), INDEX($AM$1004:$BM$1004,1,MATCH(COLUMNS($AM$1006:BM1006),$AM$1006:$BM$1006,0)))),"Fix")))</f>
        <v xml:space="preserve"> </v>
      </c>
      <c r="AF892">
        <v>891</v>
      </c>
      <c r="AG892">
        <v>100892</v>
      </c>
      <c r="AH892">
        <v>892</v>
      </c>
      <c r="AI892" t="b">
        <f t="shared" si="13"/>
        <v>1</v>
      </c>
      <c r="AJ892" t="b">
        <f>COUNTBLANK(metadata!B892:AB892)=COLUMNS(metadata!B892:AB892)</f>
        <v>1</v>
      </c>
      <c r="AK892" t="str">
        <v/>
      </c>
      <c r="AM892" t="b">
        <f ca="1">AND(IF(metadata!B892="",FALSE,TRUE),COUNTIF(metadata!B:B, metadata!B892) = 1,NOT(ISERROR(SUMPRODUCT(SEARCH(MID(metadata!B892,ROW(INDIRECT("1:"&amp;LEN(metadata!B892))), 1),"0123456789abcdefghijklmnopqrstuvwxyzABCDEFGHIJKLMNOPQRSTUVWXYZ.")))))</f>
        <v>0</v>
      </c>
      <c r="AN892" t="b">
        <f ca="1">OR(AND(IF(metadata!C892="",FALSE,TRUE),OR(EXACT(metadata!C892,"missing: not collected"),EXACT(metadata!C892,"missing: not provided"),EXACT(metadata!C892,"missing: restricted access"))),AND(IF(metadata!C892="",FALSE,TRUE),AND(AND(IFERROR(INT(LEFT(metadata!C892,4))&gt;1900,FALSE),IFERROR(INT(LEFT(metadata!C892,4))&lt;=YEAR(NOW()),FALSE)), OR(MID(metadata!C892,5,1)="", AND(AND(MID(metadata!C892,5,1)="-",IFERROR(INT(MID(metadata!C892,6,1))&gt;=0,FALSE),IFERROR(INT(MID(metadata!C892,6,1))&lt;=1,FALSE),NOT(MID(metadata!C892,7,1)=""),IFERROR(INT(MID(metadata!C892,6,2))&gt;=1,FALSE),IFERROR(INT(MID(metadata!C892,6,2))&lt;=12,FALSE)), OR(MID(metadata!C892,8,1)="", AND(AND(MID(metadata!C892,8,1)="-",IFERROR(INT(MID(metadata!C892,9,1))&gt;=0,FALSE),IFERROR(INT(MID(metadata!C892,9,1))&lt;=3,FALSE),NOT(MID(metadata!C892,10,1)=""),IFERROR(INT(MID(metadata!C892,9,2))&gt;=1,FALSE),IFERROR(INT(MID(metadata!C892,9,2))&lt;=31,FALSE)), OR(MID(metadata!C892,11,1)="", AND(AND(MID(metadata!C892,11,1)=" ",IFERROR(INT(MID(metadata!C892,12,1))&gt;=0,FALSE),IFERROR(INT(MID(metadata!C892,12,1))&lt;=2,FALSE),NOT(MID(metadata!C892,13,1)=""),IFERROR(INT(MID(metadata!C892,12,2))&gt;=0,FALSE),IFERROR(INT(MID(metadata!C892,12,2))&lt;=23,FALSE)), OR(MID(metadata!C892,14,1)="", AND(AND(MID(metadata!C892,14,1)=":",IFERROR(INT(MID(metadata!C892,15,1))&gt;=0,FALSE),IFERROR(INT(MID(metadata!C892,15,1))&lt;=5,FALSE),NOT(MID(metadata!C892,16,1)=""),IFERROR(INT(MID(metadata!C892,15,2))&gt;=0,FALSE),IFERROR(INT(MID(metadata!C892,15,2))&lt;=59,FALSE)), OR(MID(metadata!C892,17,1)="", AND(AND(MID(metadata!C892,17,1)=":",IFERROR(INT(MID(metadata!C892,18,1))&gt;=0,FALSE),IFERROR(INT(MID(metadata!C892,18,1))&lt;=5,FALSE),NOT(MID(metadata!C892,19,1)=""),IFERROR(INT(MID(metadata!C892,18,2))&gt;=0,FALSE),IFERROR(INT(MID(metadata!C892,18,2))&lt;=59,FALSE)), LEN(metadata!C892)&lt;=19)))))))))))))</f>
        <v>0</v>
      </c>
      <c r="AO892" t="b">
        <f>AND(IF(metadata!D892="",FALSE,TRUE),EXACT(metadata!D892,"Not applicable"))</f>
        <v>0</v>
      </c>
      <c r="AP892" t="b">
        <f>IF(metadata!E892="",FALSE,TRUE)</f>
        <v>0</v>
      </c>
      <c r="AQ892" t="b">
        <f>OR(AND(IF(metadata!F892="",FALSE,TRUE),OR(EXACT(metadata!F892,"missing: not collected"),EXACT(metadata!F892,"missing: not provided"))),AND(IF(metadata!F892="",FALSE,TRUE),OR(EXACT(metadata!F892,"TRUE"),EXACT(metadata!F892,"FALSE"))))</f>
        <v>0</v>
      </c>
      <c r="AR892" t="b">
        <f>OR(AND(IF(metadata!G892="",FALSE,TRUE),OR(EXACT(metadata!G892,"missing: not collected"),EXACT(metadata!G892,"missing: not provided"),EXACT(metadata!G892,"missing: restricted access"))),AND(IF(metadata!G892="",FALSE,ISNUMBER(VALUE(metadata!G892))),metadata!G892&gt;=-413))</f>
        <v>0</v>
      </c>
      <c r="AS892" t="b">
        <f>AND(IF(metadata!H892="",FALSE,TRUE),EXACT(metadata!H892,"meters"))</f>
        <v>0</v>
      </c>
      <c r="AT892" t="b">
        <f>AND(IF(metadata!I892="",FALSE,TRUE),OR(EXACT(metadata!I892,"Host-associated"),EXACT(metadata!I892,"Free-living")))</f>
        <v>0</v>
      </c>
      <c r="AU892" t="b">
        <f>AND(IF(metadata!J892="",FALSE,TRUE),OR(EXACT(metadata!J892,"Animal"),EXACT(metadata!J892,"Fungus"),EXACT(metadata!J892,"Plant"),EXACT(metadata!J892,"Saline"),EXACT(metadata!J892,"Non-saline")))</f>
        <v>0</v>
      </c>
      <c r="AV892" t="b">
        <f>AND(IF(metadata!K892="",FALSE,TRUE),OR(EXACT(metadata!K892,"Plant secretion"),EXACT(metadata!K892,"Plant rhizosphere"),EXACT(metadata!K892,"Plant surface"),EXACT(metadata!K892,"Plant corpus"),EXACT(metadata!K892,"Fungus surface"),EXACT(metadata!K892,"Fungus corpus"),EXACT(metadata!K892,"Animal surface"),EXACT(metadata!K892,"Animal proximal gut"),EXACT(metadata!K892,"Animal corpus"),EXACT(metadata!K892,"Animal distal gut"),EXACT(metadata!K892,"Animal secretion"),EXACT(metadata!K892,"Sub-surface (non-saline)"),EXACT(metadata!K892,"Surface (non-saline)"),EXACT(metadata!K892,"Water (non-saline)"),EXACT(metadata!K892,"Soil (non-saline)"),EXACT(metadata!K892,"Aerosol (non-saline)"),EXACT(metadata!K892,"Sediment (non-saline)"),EXACT(metadata!K892,"Surface (saline)"),EXACT(metadata!K892,"Water (saline)"),EXACT(metadata!K892,"Hypersaline (saline)"),EXACT(metadata!K892,"Aerosol (saline)"),EXACT(metadata!K892,"Sediment (saline)")))</f>
        <v>0</v>
      </c>
      <c r="AW892" t="b">
        <f>IF(metadata!L892="",FALSE,TRUE)</f>
        <v>0</v>
      </c>
      <c r="AX892" t="b">
        <f>IF(metadata!M892="",FALSE,TRUE)</f>
        <v>0</v>
      </c>
      <c r="AY892" t="b">
        <f>IF(metadata!N892="",FALSE,TRUE)</f>
        <v>0</v>
      </c>
      <c r="AZ892" t="b">
        <f>OR(AND(IF(metadata!O892="",FALSE,TRUE),OR(EXACT(metadata!O892,"missing: not collected"),EXACT(metadata!O892,"missing: not provided"),EXACT(metadata!O892,"missing: restricted access"))),AND(IF(metadata!O892="",FALSE,TRUE),OR(EXACT(metadata!O892,"air"),EXACT(metadata!O892,"built environment"),EXACT(metadata!O892,"host-associated"),EXACT(metadata!O892,"human-associated"),EXACT(metadata!O892,"human-skin"),EXACT(metadata!O892,"human-oral"),EXACT(metadata!O892,"human-gut"),EXACT(metadata!O892,"human-vaginal"),EXACT(metadata!O892,"microbial mat/biofilm"),EXACT(metadata!O892,"misc environment"),EXACT(metadata!O892,"plant-associated"),EXACT(metadata!O892,"sediment"),EXACT(metadata!O892,"soil"),EXACT(metadata!O892,"wastewater/sludge"),EXACT(metadata!O892,"water"))))</f>
        <v>0</v>
      </c>
      <c r="BA892" t="b">
        <f>IF(metadata!P892="",FALSE,TRUE)</f>
        <v>0</v>
      </c>
      <c r="BB892" t="b">
        <f>IF(metadata!Q892="",FALSE,TRUE)</f>
        <v>0</v>
      </c>
      <c r="BC892" t="b">
        <f>OR(AND(IF(metadata!R892="",FALSE,TRUE),OR(EXACT(metadata!R892,"missing: not collected"),EXACT(metadata!R892,"missing: not provided"),EXACT(metadata!R892,"missing: restricted access"))),AND(IF(metadata!R892="",FALSE,ISNUMBER(VALUE(metadata!R892))),metadata!R892&gt;=-90,metadata!R892&lt;=90))</f>
        <v>0</v>
      </c>
      <c r="BD892" t="b">
        <f>AND(IF(metadata!S892="",FALSE,TRUE),EXACT(metadata!S892,"Decimal degrees"))</f>
        <v>0</v>
      </c>
      <c r="BE892" t="b">
        <f>OR(AND(IF(metadata!T892="",FALSE,TRUE),OR(EXACT(metadata!T892,"missing: not collected"),EXACT(metadata!T892,"missing: not provided"),EXACT(metadata!T892,"missing: restricted access"))),AND(IF(metadata!T892="",FALSE,ISNUMBER(VALUE(metadata!T892))),metadata!T892&gt;=-180,metadata!T892&lt;=180))</f>
        <v>0</v>
      </c>
      <c r="BF892" t="b">
        <f>AND(IF(metadata!U892="",FALSE,TRUE),EXACT(metadata!U892,"Decimal degrees"))</f>
        <v>0</v>
      </c>
      <c r="BG892" t="b">
        <f>IF(metadata!V892="",FALSE,TRUE)</f>
        <v>0</v>
      </c>
      <c r="BH892" t="b">
        <f>OR(AND(IF(metadata!W892="",FALSE,TRUE),OR(EXACT(metadata!W892,"missing: not collected"),EXACT(metadata!W892,"missing: not provided"),EXACT(metadata!W892,"missing: restricted access"))),AND(IF(metadata!W892="",FALSE,TRUE),OR(EXACT(metadata!W892,"TRUE"),EXACT(metadata!W892,"FALSE"))))</f>
        <v>0</v>
      </c>
      <c r="BI892" t="b">
        <f>AND(IF(metadata!X892="",FALSE,TRUE),EXACT(metadata!X892,"other"))</f>
        <v>0</v>
      </c>
      <c r="BJ892" t="b">
        <f>IF(metadata!Y892="",FALSE,TRUE)</f>
        <v>0</v>
      </c>
      <c r="BK892" t="b">
        <f>OR(AND(IF(metadata!Z892="",FALSE,TRUE),OR(EXACT(metadata!Z892,"missing: not collected"),EXACT(metadata!Z892,"missing: not provided"))),AND(IF(metadata!Z892="",FALSE,IF(ISERROR(INT(metadata!Z892)),FALSE,INT(metadata!Z892)=metadata!Z892)),metadata!Z892&gt;0))</f>
        <v>0</v>
      </c>
      <c r="BL892" t="b">
        <f>AND(IF(metadata!AA892="",FALSE,TRUE),EXACT(metadata!AA892,"Not applicable"))</f>
        <v>0</v>
      </c>
      <c r="BM892" t="b">
        <f>IF(metadata!AB892="",FALSE,TRUE)</f>
        <v>0</v>
      </c>
    </row>
    <row r="893" spans="1:65" x14ac:dyDescent="0.2">
      <c r="A893" s="5" t="str">
        <f ca="1">IF(B893=" "," ",HYPERLINK(CONCATENATE("#metadata!",ADDRESS(INDEX($AH$2:$AH$1001,MATCH(ROWS($AF$2:AF893),$AF$2:$AF$1001,0),0),1)),INDEX($AK$2:$AK$1001,MATCH(ROWS($AF$2:AF893),$AF$2:$AF$1001,0),0)))</f>
        <v xml:space="preserve"> </v>
      </c>
      <c r="B893" s="4" t="str">
        <f ca="1">IF(OR(INDEX($AG$2:$AG$1001,MATCH(ROWS($AF$2:AF893),$AF$2:$AF$1001,0),1)&gt;=100000,INDEX($AM$1005:$BM$1005,1,MATCH(COLUMNS($AM$1006:AM1006),$AM$1006:$BM$1006,0))&gt;=100000), " ",IF(INDEX($AM$2:$BM$1001,MATCH(ROWS($AF$2:AF893),$AF$2:$AF$1001,0),MATCH(COLUMNS($AM$1006:AM1006),$AM$1006:$BM$1006,0)), HYPERLINK("#",""), HYPERLINK(CONCATENATE("#metadata!", ADDRESS(INDEX($AH$2:$AH$1001,MATCH(ROWS($AF$2:AF893),$AF$2:$AF$1001,0),0), INDEX($AM$1004:$BM$1004,1,MATCH(COLUMNS($AM$1006:AM1006),$AM$1006:$BM$1006,0)))),"Fix")))</f>
        <v xml:space="preserve"> </v>
      </c>
      <c r="C893" s="4" t="str">
        <f ca="1">IF(OR(INDEX($AG$2:$AG$1001,MATCH(ROWS($AF$2:AF893),$AF$2:$AF$1001,0),1)&gt;=100000,INDEX($AM$1005:$BM$1005,1,MATCH(COLUMNS($AM$1006:AN1006),$AM$1006:$BM$1006,0))&gt;=100000), " ",IF(INDEX($AM$2:$BM$1001,MATCH(ROWS($AF$2:AF893),$AF$2:$AF$1001,0),MATCH(COLUMNS($AM$1006:AN1006),$AM$1006:$BM$1006,0)), HYPERLINK("#",""), HYPERLINK(CONCATENATE("#metadata!", ADDRESS(INDEX($AH$2:$AH$1001,MATCH(ROWS($AF$2:AF893),$AF$2:$AF$1001,0),0), INDEX($AM$1004:$BM$1004,1,MATCH(COLUMNS($AM$1006:AN1006),$AM$1006:$BM$1006,0)))),"Fix")))</f>
        <v xml:space="preserve"> </v>
      </c>
      <c r="D893" s="4" t="str">
        <f ca="1">IF(OR(INDEX($AG$2:$AG$1001,MATCH(ROWS($AF$2:AF893),$AF$2:$AF$1001,0),1)&gt;=100000,INDEX($AM$1005:$BM$1005,1,MATCH(COLUMNS($AM$1006:AO1006),$AM$1006:$BM$1006,0))&gt;=100000), " ",IF(INDEX($AM$2:$BM$1001,MATCH(ROWS($AF$2:AF893),$AF$2:$AF$1001,0),MATCH(COLUMNS($AM$1006:AO1006),$AM$1006:$BM$1006,0)), HYPERLINK("#",""), HYPERLINK(CONCATENATE("#metadata!", ADDRESS(INDEX($AH$2:$AH$1001,MATCH(ROWS($AF$2:AF893),$AF$2:$AF$1001,0),0), INDEX($AM$1004:$BM$1004,1,MATCH(COLUMNS($AM$1006:AO1006),$AM$1006:$BM$1006,0)))),"Fix")))</f>
        <v xml:space="preserve"> </v>
      </c>
      <c r="E893" s="4" t="str">
        <f ca="1">IF(OR(INDEX($AG$2:$AG$1001,MATCH(ROWS($AF$2:AF893),$AF$2:$AF$1001,0),1)&gt;=100000,INDEX($AM$1005:$BM$1005,1,MATCH(COLUMNS($AM$1006:AP1006),$AM$1006:$BM$1006,0))&gt;=100000), " ",IF(INDEX($AM$2:$BM$1001,MATCH(ROWS($AF$2:AF893),$AF$2:$AF$1001,0),MATCH(COLUMNS($AM$1006:AP1006),$AM$1006:$BM$1006,0)), HYPERLINK("#",""), HYPERLINK(CONCATENATE("#metadata!", ADDRESS(INDEX($AH$2:$AH$1001,MATCH(ROWS($AF$2:AF893),$AF$2:$AF$1001,0),0), INDEX($AM$1004:$BM$1004,1,MATCH(COLUMNS($AM$1006:AP1006),$AM$1006:$BM$1006,0)))),"Fix")))</f>
        <v xml:space="preserve"> </v>
      </c>
      <c r="F893" s="4" t="str">
        <f ca="1">IF(OR(INDEX($AG$2:$AG$1001,MATCH(ROWS($AF$2:AF893),$AF$2:$AF$1001,0),1)&gt;=100000,INDEX($AM$1005:$BM$1005,1,MATCH(COLUMNS($AM$1006:AQ1006),$AM$1006:$BM$1006,0))&gt;=100000), " ",IF(INDEX($AM$2:$BM$1001,MATCH(ROWS($AF$2:AF893),$AF$2:$AF$1001,0),MATCH(COLUMNS($AM$1006:AQ1006),$AM$1006:$BM$1006,0)), HYPERLINK("#",""), HYPERLINK(CONCATENATE("#metadata!", ADDRESS(INDEX($AH$2:$AH$1001,MATCH(ROWS($AF$2:AF893),$AF$2:$AF$1001,0),0), INDEX($AM$1004:$BM$1004,1,MATCH(COLUMNS($AM$1006:AQ1006),$AM$1006:$BM$1006,0)))),"Fix")))</f>
        <v xml:space="preserve"> </v>
      </c>
      <c r="G893" s="4" t="str">
        <f ca="1">IF(OR(INDEX($AG$2:$AG$1001,MATCH(ROWS($AF$2:AF893),$AF$2:$AF$1001,0),1)&gt;=100000,INDEX($AM$1005:$BM$1005,1,MATCH(COLUMNS($AM$1006:AR1006),$AM$1006:$BM$1006,0))&gt;=100000), " ",IF(INDEX($AM$2:$BM$1001,MATCH(ROWS($AF$2:AF893),$AF$2:$AF$1001,0),MATCH(COLUMNS($AM$1006:AR1006),$AM$1006:$BM$1006,0)), HYPERLINK("#",""), HYPERLINK(CONCATENATE("#metadata!", ADDRESS(INDEX($AH$2:$AH$1001,MATCH(ROWS($AF$2:AF893),$AF$2:$AF$1001,0),0), INDEX($AM$1004:$BM$1004,1,MATCH(COLUMNS($AM$1006:AR1006),$AM$1006:$BM$1006,0)))),"Fix")))</f>
        <v xml:space="preserve"> </v>
      </c>
      <c r="H893" s="4" t="str">
        <f ca="1">IF(OR(INDEX($AG$2:$AG$1001,MATCH(ROWS($AF$2:AF893),$AF$2:$AF$1001,0),1)&gt;=100000,INDEX($AM$1005:$BM$1005,1,MATCH(COLUMNS($AM$1006:AS1006),$AM$1006:$BM$1006,0))&gt;=100000), " ",IF(INDEX($AM$2:$BM$1001,MATCH(ROWS($AF$2:AF893),$AF$2:$AF$1001,0),MATCH(COLUMNS($AM$1006:AS1006),$AM$1006:$BM$1006,0)), HYPERLINK("#",""), HYPERLINK(CONCATENATE("#metadata!", ADDRESS(INDEX($AH$2:$AH$1001,MATCH(ROWS($AF$2:AF893),$AF$2:$AF$1001,0),0), INDEX($AM$1004:$BM$1004,1,MATCH(COLUMNS($AM$1006:AS1006),$AM$1006:$BM$1006,0)))),"Fix")))</f>
        <v xml:space="preserve"> </v>
      </c>
      <c r="I893" s="4" t="str">
        <f ca="1">IF(OR(INDEX($AG$2:$AG$1001,MATCH(ROWS($AF$2:AF893),$AF$2:$AF$1001,0),1)&gt;=100000,INDEX($AM$1005:$BM$1005,1,MATCH(COLUMNS($AM$1006:AT1006),$AM$1006:$BM$1006,0))&gt;=100000), " ",IF(INDEX($AM$2:$BM$1001,MATCH(ROWS($AF$2:AF893),$AF$2:$AF$1001,0),MATCH(COLUMNS($AM$1006:AT1006),$AM$1006:$BM$1006,0)), HYPERLINK("#",""), HYPERLINK(CONCATENATE("#metadata!", ADDRESS(INDEX($AH$2:$AH$1001,MATCH(ROWS($AF$2:AF893),$AF$2:$AF$1001,0),0), INDEX($AM$1004:$BM$1004,1,MATCH(COLUMNS($AM$1006:AT1006),$AM$1006:$BM$1006,0)))),"Fix")))</f>
        <v xml:space="preserve"> </v>
      </c>
      <c r="J893" s="4" t="str">
        <f ca="1">IF(OR(INDEX($AG$2:$AG$1001,MATCH(ROWS($AF$2:AF893),$AF$2:$AF$1001,0),1)&gt;=100000,INDEX($AM$1005:$BM$1005,1,MATCH(COLUMNS($AM$1006:AU1006),$AM$1006:$BM$1006,0))&gt;=100000), " ",IF(INDEX($AM$2:$BM$1001,MATCH(ROWS($AF$2:AF893),$AF$2:$AF$1001,0),MATCH(COLUMNS($AM$1006:AU1006),$AM$1006:$BM$1006,0)), HYPERLINK("#",""), HYPERLINK(CONCATENATE("#metadata!", ADDRESS(INDEX($AH$2:$AH$1001,MATCH(ROWS($AF$2:AF893),$AF$2:$AF$1001,0),0), INDEX($AM$1004:$BM$1004,1,MATCH(COLUMNS($AM$1006:AU1006),$AM$1006:$BM$1006,0)))),"Fix")))</f>
        <v xml:space="preserve"> </v>
      </c>
      <c r="K893" s="4" t="str">
        <f ca="1">IF(OR(INDEX($AG$2:$AG$1001,MATCH(ROWS($AF$2:AF893),$AF$2:$AF$1001,0),1)&gt;=100000,INDEX($AM$1005:$BM$1005,1,MATCH(COLUMNS($AM$1006:AV1006),$AM$1006:$BM$1006,0))&gt;=100000), " ",IF(INDEX($AM$2:$BM$1001,MATCH(ROWS($AF$2:AF893),$AF$2:$AF$1001,0),MATCH(COLUMNS($AM$1006:AV1006),$AM$1006:$BM$1006,0)), HYPERLINK("#",""), HYPERLINK(CONCATENATE("#metadata!", ADDRESS(INDEX($AH$2:$AH$1001,MATCH(ROWS($AF$2:AF893),$AF$2:$AF$1001,0),0), INDEX($AM$1004:$BM$1004,1,MATCH(COLUMNS($AM$1006:AV1006),$AM$1006:$BM$1006,0)))),"Fix")))</f>
        <v xml:space="preserve"> </v>
      </c>
      <c r="L893" s="4" t="str">
        <f ca="1">IF(OR(INDEX($AG$2:$AG$1001,MATCH(ROWS($AF$2:AF893),$AF$2:$AF$1001,0),1)&gt;=100000,INDEX($AM$1005:$BM$1005,1,MATCH(COLUMNS($AM$1006:AW1006),$AM$1006:$BM$1006,0))&gt;=100000), " ",IF(INDEX($AM$2:$BM$1001,MATCH(ROWS($AF$2:AF893),$AF$2:$AF$1001,0),MATCH(COLUMNS($AM$1006:AW1006),$AM$1006:$BM$1006,0)), HYPERLINK("#",""), HYPERLINK(CONCATENATE("#metadata!", ADDRESS(INDEX($AH$2:$AH$1001,MATCH(ROWS($AF$2:AF893),$AF$2:$AF$1001,0),0), INDEX($AM$1004:$BM$1004,1,MATCH(COLUMNS($AM$1006:AW1006),$AM$1006:$BM$1006,0)))),"Fix")))</f>
        <v xml:space="preserve"> </v>
      </c>
      <c r="M893" s="4" t="str">
        <f ca="1">IF(OR(INDEX($AG$2:$AG$1001,MATCH(ROWS($AF$2:AF893),$AF$2:$AF$1001,0),1)&gt;=100000,INDEX($AM$1005:$BM$1005,1,MATCH(COLUMNS($AM$1006:AX1006),$AM$1006:$BM$1006,0))&gt;=100000), " ",IF(INDEX($AM$2:$BM$1001,MATCH(ROWS($AF$2:AF893),$AF$2:$AF$1001,0),MATCH(COLUMNS($AM$1006:AX1006),$AM$1006:$BM$1006,0)), HYPERLINK("#",""), HYPERLINK(CONCATENATE("#metadata!", ADDRESS(INDEX($AH$2:$AH$1001,MATCH(ROWS($AF$2:AF893),$AF$2:$AF$1001,0),0), INDEX($AM$1004:$BM$1004,1,MATCH(COLUMNS($AM$1006:AX1006),$AM$1006:$BM$1006,0)))),"Fix")))</f>
        <v xml:space="preserve"> </v>
      </c>
      <c r="N893" s="4" t="str">
        <f ca="1">IF(OR(INDEX($AG$2:$AG$1001,MATCH(ROWS($AF$2:AF893),$AF$2:$AF$1001,0),1)&gt;=100000,INDEX($AM$1005:$BM$1005,1,MATCH(COLUMNS($AM$1006:AY1006),$AM$1006:$BM$1006,0))&gt;=100000), " ",IF(INDEX($AM$2:$BM$1001,MATCH(ROWS($AF$2:AF893),$AF$2:$AF$1001,0),MATCH(COLUMNS($AM$1006:AY1006),$AM$1006:$BM$1006,0)), HYPERLINK("#",""), HYPERLINK(CONCATENATE("#metadata!", ADDRESS(INDEX($AH$2:$AH$1001,MATCH(ROWS($AF$2:AF893),$AF$2:$AF$1001,0),0), INDEX($AM$1004:$BM$1004,1,MATCH(COLUMNS($AM$1006:AY1006),$AM$1006:$BM$1006,0)))),"Fix")))</f>
        <v xml:space="preserve"> </v>
      </c>
      <c r="O893" s="4" t="str">
        <f ca="1">IF(OR(INDEX($AG$2:$AG$1001,MATCH(ROWS($AF$2:AF893),$AF$2:$AF$1001,0),1)&gt;=100000,INDEX($AM$1005:$BM$1005,1,MATCH(COLUMNS($AM$1006:AZ1006),$AM$1006:$BM$1006,0))&gt;=100000), " ",IF(INDEX($AM$2:$BM$1001,MATCH(ROWS($AF$2:AF893),$AF$2:$AF$1001,0),MATCH(COLUMNS($AM$1006:AZ1006),$AM$1006:$BM$1006,0)), HYPERLINK("#",""), HYPERLINK(CONCATENATE("#metadata!", ADDRESS(INDEX($AH$2:$AH$1001,MATCH(ROWS($AF$2:AF893),$AF$2:$AF$1001,0),0), INDEX($AM$1004:$BM$1004,1,MATCH(COLUMNS($AM$1006:AZ1006),$AM$1006:$BM$1006,0)))),"Fix")))</f>
        <v xml:space="preserve"> </v>
      </c>
      <c r="P893" s="4" t="str">
        <f ca="1">IF(OR(INDEX($AG$2:$AG$1001,MATCH(ROWS($AF$2:AF893),$AF$2:$AF$1001,0),1)&gt;=100000,INDEX($AM$1005:$BM$1005,1,MATCH(COLUMNS($AM$1006:BA1006),$AM$1006:$BM$1006,0))&gt;=100000), " ",IF(INDEX($AM$2:$BM$1001,MATCH(ROWS($AF$2:AF893),$AF$2:$AF$1001,0),MATCH(COLUMNS($AM$1006:BA1006),$AM$1006:$BM$1006,0)), HYPERLINK("#",""), HYPERLINK(CONCATENATE("#metadata!", ADDRESS(INDEX($AH$2:$AH$1001,MATCH(ROWS($AF$2:AF893),$AF$2:$AF$1001,0),0), INDEX($AM$1004:$BM$1004,1,MATCH(COLUMNS($AM$1006:BA1006),$AM$1006:$BM$1006,0)))),"Fix")))</f>
        <v xml:space="preserve"> </v>
      </c>
      <c r="Q893" s="4" t="str">
        <f ca="1">IF(OR(INDEX($AG$2:$AG$1001,MATCH(ROWS($AF$2:AF893),$AF$2:$AF$1001,0),1)&gt;=100000,INDEX($AM$1005:$BM$1005,1,MATCH(COLUMNS($AM$1006:BB1006),$AM$1006:$BM$1006,0))&gt;=100000), " ",IF(INDEX($AM$2:$BM$1001,MATCH(ROWS($AF$2:AF893),$AF$2:$AF$1001,0),MATCH(COLUMNS($AM$1006:BB1006),$AM$1006:$BM$1006,0)), HYPERLINK("#",""), HYPERLINK(CONCATENATE("#metadata!", ADDRESS(INDEX($AH$2:$AH$1001,MATCH(ROWS($AF$2:AF893),$AF$2:$AF$1001,0),0), INDEX($AM$1004:$BM$1004,1,MATCH(COLUMNS($AM$1006:BB1006),$AM$1006:$BM$1006,0)))),"Fix")))</f>
        <v xml:space="preserve"> </v>
      </c>
      <c r="R893" s="4" t="str">
        <f ca="1">IF(OR(INDEX($AG$2:$AG$1001,MATCH(ROWS($AF$2:AF893),$AF$2:$AF$1001,0),1)&gt;=100000,INDEX($AM$1005:$BM$1005,1,MATCH(COLUMNS($AM$1006:BC1006),$AM$1006:$BM$1006,0))&gt;=100000), " ",IF(INDEX($AM$2:$BM$1001,MATCH(ROWS($AF$2:AF893),$AF$2:$AF$1001,0),MATCH(COLUMNS($AM$1006:BC1006),$AM$1006:$BM$1006,0)), HYPERLINK("#",""), HYPERLINK(CONCATENATE("#metadata!", ADDRESS(INDEX($AH$2:$AH$1001,MATCH(ROWS($AF$2:AF893),$AF$2:$AF$1001,0),0), INDEX($AM$1004:$BM$1004,1,MATCH(COLUMNS($AM$1006:BC1006),$AM$1006:$BM$1006,0)))),"Fix")))</f>
        <v xml:space="preserve"> </v>
      </c>
      <c r="S893" s="4" t="str">
        <f ca="1">IF(OR(INDEX($AG$2:$AG$1001,MATCH(ROWS($AF$2:AF893),$AF$2:$AF$1001,0),1)&gt;=100000,INDEX($AM$1005:$BM$1005,1,MATCH(COLUMNS($AM$1006:BD1006),$AM$1006:$BM$1006,0))&gt;=100000), " ",IF(INDEX($AM$2:$BM$1001,MATCH(ROWS($AF$2:AF893),$AF$2:$AF$1001,0),MATCH(COLUMNS($AM$1006:BD1006),$AM$1006:$BM$1006,0)), HYPERLINK("#",""), HYPERLINK(CONCATENATE("#metadata!", ADDRESS(INDEX($AH$2:$AH$1001,MATCH(ROWS($AF$2:AF893),$AF$2:$AF$1001,0),0), INDEX($AM$1004:$BM$1004,1,MATCH(COLUMNS($AM$1006:BD1006),$AM$1006:$BM$1006,0)))),"Fix")))</f>
        <v xml:space="preserve"> </v>
      </c>
      <c r="T893" s="4" t="str">
        <f ca="1">IF(OR(INDEX($AG$2:$AG$1001,MATCH(ROWS($AF$2:AF893),$AF$2:$AF$1001,0),1)&gt;=100000,INDEX($AM$1005:$BM$1005,1,MATCH(COLUMNS($AM$1006:BE1006),$AM$1006:$BM$1006,0))&gt;=100000), " ",IF(INDEX($AM$2:$BM$1001,MATCH(ROWS($AF$2:AF893),$AF$2:$AF$1001,0),MATCH(COLUMNS($AM$1006:BE1006),$AM$1006:$BM$1006,0)), HYPERLINK("#",""), HYPERLINK(CONCATENATE("#metadata!", ADDRESS(INDEX($AH$2:$AH$1001,MATCH(ROWS($AF$2:AF893),$AF$2:$AF$1001,0),0), INDEX($AM$1004:$BM$1004,1,MATCH(COLUMNS($AM$1006:BE1006),$AM$1006:$BM$1006,0)))),"Fix")))</f>
        <v xml:space="preserve"> </v>
      </c>
      <c r="U893" s="4" t="str">
        <f ca="1">IF(OR(INDEX($AG$2:$AG$1001,MATCH(ROWS($AF$2:AF893),$AF$2:$AF$1001,0),1)&gt;=100000,INDEX($AM$1005:$BM$1005,1,MATCH(COLUMNS($AM$1006:BF1006),$AM$1006:$BM$1006,0))&gt;=100000), " ",IF(INDEX($AM$2:$BM$1001,MATCH(ROWS($AF$2:AF893),$AF$2:$AF$1001,0),MATCH(COLUMNS($AM$1006:BF1006),$AM$1006:$BM$1006,0)), HYPERLINK("#",""), HYPERLINK(CONCATENATE("#metadata!", ADDRESS(INDEX($AH$2:$AH$1001,MATCH(ROWS($AF$2:AF893),$AF$2:$AF$1001,0),0), INDEX($AM$1004:$BM$1004,1,MATCH(COLUMNS($AM$1006:BF1006),$AM$1006:$BM$1006,0)))),"Fix")))</f>
        <v xml:space="preserve"> </v>
      </c>
      <c r="V893" s="4" t="str">
        <f ca="1">IF(OR(INDEX($AG$2:$AG$1001,MATCH(ROWS($AF$2:AF893),$AF$2:$AF$1001,0),1)&gt;=100000,INDEX($AM$1005:$BM$1005,1,MATCH(COLUMNS($AM$1006:BG1006),$AM$1006:$BM$1006,0))&gt;=100000), " ",IF(INDEX($AM$2:$BM$1001,MATCH(ROWS($AF$2:AF893),$AF$2:$AF$1001,0),MATCH(COLUMNS($AM$1006:BG1006),$AM$1006:$BM$1006,0)), HYPERLINK("#",""), HYPERLINK(CONCATENATE("#metadata!", ADDRESS(INDEX($AH$2:$AH$1001,MATCH(ROWS($AF$2:AF893),$AF$2:$AF$1001,0),0), INDEX($AM$1004:$BM$1004,1,MATCH(COLUMNS($AM$1006:BG1006),$AM$1006:$BM$1006,0)))),"Fix")))</f>
        <v xml:space="preserve"> </v>
      </c>
      <c r="W893" s="4" t="str">
        <f ca="1">IF(OR(INDEX($AG$2:$AG$1001,MATCH(ROWS($AF$2:AF893),$AF$2:$AF$1001,0),1)&gt;=100000,INDEX($AM$1005:$BM$1005,1,MATCH(COLUMNS($AM$1006:BH1006),$AM$1006:$BM$1006,0))&gt;=100000), " ",IF(INDEX($AM$2:$BM$1001,MATCH(ROWS($AF$2:AF893),$AF$2:$AF$1001,0),MATCH(COLUMNS($AM$1006:BH1006),$AM$1006:$BM$1006,0)), HYPERLINK("#",""), HYPERLINK(CONCATENATE("#metadata!", ADDRESS(INDEX($AH$2:$AH$1001,MATCH(ROWS($AF$2:AF893),$AF$2:$AF$1001,0),0), INDEX($AM$1004:$BM$1004,1,MATCH(COLUMNS($AM$1006:BH1006),$AM$1006:$BM$1006,0)))),"Fix")))</f>
        <v xml:space="preserve"> </v>
      </c>
      <c r="X893" s="4" t="str">
        <f ca="1">IF(OR(INDEX($AG$2:$AG$1001,MATCH(ROWS($AF$2:AF893),$AF$2:$AF$1001,0),1)&gt;=100000,INDEX($AM$1005:$BM$1005,1,MATCH(COLUMNS($AM$1006:BI1006),$AM$1006:$BM$1006,0))&gt;=100000), " ",IF(INDEX($AM$2:$BM$1001,MATCH(ROWS($AF$2:AF893),$AF$2:$AF$1001,0),MATCH(COLUMNS($AM$1006:BI1006),$AM$1006:$BM$1006,0)), HYPERLINK("#",""), HYPERLINK(CONCATENATE("#metadata!", ADDRESS(INDEX($AH$2:$AH$1001,MATCH(ROWS($AF$2:AF893),$AF$2:$AF$1001,0),0), INDEX($AM$1004:$BM$1004,1,MATCH(COLUMNS($AM$1006:BI1006),$AM$1006:$BM$1006,0)))),"Fix")))</f>
        <v xml:space="preserve"> </v>
      </c>
      <c r="Y893" s="4" t="str">
        <f ca="1">IF(OR(INDEX($AG$2:$AG$1001,MATCH(ROWS($AF$2:AF893),$AF$2:$AF$1001,0),1)&gt;=100000,INDEX($AM$1005:$BM$1005,1,MATCH(COLUMNS($AM$1006:BJ1006),$AM$1006:$BM$1006,0))&gt;=100000), " ",IF(INDEX($AM$2:$BM$1001,MATCH(ROWS($AF$2:AF893),$AF$2:$AF$1001,0),MATCH(COLUMNS($AM$1006:BJ1006),$AM$1006:$BM$1006,0)), HYPERLINK("#",""), HYPERLINK(CONCATENATE("#metadata!", ADDRESS(INDEX($AH$2:$AH$1001,MATCH(ROWS($AF$2:AF893),$AF$2:$AF$1001,0),0), INDEX($AM$1004:$BM$1004,1,MATCH(COLUMNS($AM$1006:BJ1006),$AM$1006:$BM$1006,0)))),"Fix")))</f>
        <v xml:space="preserve"> </v>
      </c>
      <c r="Z893" s="4" t="str">
        <f ca="1">IF(OR(INDEX($AG$2:$AG$1001,MATCH(ROWS($AF$2:AF893),$AF$2:$AF$1001,0),1)&gt;=100000,INDEX($AM$1005:$BM$1005,1,MATCH(COLUMNS($AM$1006:BK1006),$AM$1006:$BM$1006,0))&gt;=100000), " ",IF(INDEX($AM$2:$BM$1001,MATCH(ROWS($AF$2:AF893),$AF$2:$AF$1001,0),MATCH(COLUMNS($AM$1006:BK1006),$AM$1006:$BM$1006,0)), HYPERLINK("#",""), HYPERLINK(CONCATENATE("#metadata!", ADDRESS(INDEX($AH$2:$AH$1001,MATCH(ROWS($AF$2:AF893),$AF$2:$AF$1001,0),0), INDEX($AM$1004:$BM$1004,1,MATCH(COLUMNS($AM$1006:BK1006),$AM$1006:$BM$1006,0)))),"Fix")))</f>
        <v xml:space="preserve"> </v>
      </c>
      <c r="AA893" s="4" t="str">
        <f ca="1">IF(OR(INDEX($AG$2:$AG$1001,MATCH(ROWS($AF$2:AF893),$AF$2:$AF$1001,0),1)&gt;=100000,INDEX($AM$1005:$BM$1005,1,MATCH(COLUMNS($AM$1006:BL1006),$AM$1006:$BM$1006,0))&gt;=100000), " ",IF(INDEX($AM$2:$BM$1001,MATCH(ROWS($AF$2:AF893),$AF$2:$AF$1001,0),MATCH(COLUMNS($AM$1006:BL1006),$AM$1006:$BM$1006,0)), HYPERLINK("#",""), HYPERLINK(CONCATENATE("#metadata!", ADDRESS(INDEX($AH$2:$AH$1001,MATCH(ROWS($AF$2:AF893),$AF$2:$AF$1001,0),0), INDEX($AM$1004:$BM$1004,1,MATCH(COLUMNS($AM$1006:BL1006),$AM$1006:$BM$1006,0)))),"Fix")))</f>
        <v xml:space="preserve"> </v>
      </c>
      <c r="AB893" s="4" t="str">
        <f ca="1">IF(OR(INDEX($AG$2:$AG$1001,MATCH(ROWS($AF$2:AF893),$AF$2:$AF$1001,0),1)&gt;=100000,INDEX($AM$1005:$BM$1005,1,MATCH(COLUMNS($AM$1006:BM1006),$AM$1006:$BM$1006,0))&gt;=100000), " ",IF(INDEX($AM$2:$BM$1001,MATCH(ROWS($AF$2:AF893),$AF$2:$AF$1001,0),MATCH(COLUMNS($AM$1006:BM1006),$AM$1006:$BM$1006,0)), HYPERLINK("#",""), HYPERLINK(CONCATENATE("#metadata!", ADDRESS(INDEX($AH$2:$AH$1001,MATCH(ROWS($AF$2:AF893),$AF$2:$AF$1001,0),0), INDEX($AM$1004:$BM$1004,1,MATCH(COLUMNS($AM$1006:BM1006),$AM$1006:$BM$1006,0)))),"Fix")))</f>
        <v xml:space="preserve"> </v>
      </c>
      <c r="AF893">
        <v>892</v>
      </c>
      <c r="AG893">
        <v>100893</v>
      </c>
      <c r="AH893">
        <v>893</v>
      </c>
      <c r="AI893" t="b">
        <f t="shared" si="13"/>
        <v>1</v>
      </c>
      <c r="AJ893" t="b">
        <f>COUNTBLANK(metadata!B893:AB893)=COLUMNS(metadata!B893:AB893)</f>
        <v>1</v>
      </c>
      <c r="AK893" t="str">
        <v/>
      </c>
      <c r="AM893" t="b">
        <f ca="1">AND(IF(metadata!B893="",FALSE,TRUE),COUNTIF(metadata!B:B, metadata!B893) = 1,NOT(ISERROR(SUMPRODUCT(SEARCH(MID(metadata!B893,ROW(INDIRECT("1:"&amp;LEN(metadata!B893))), 1),"0123456789abcdefghijklmnopqrstuvwxyzABCDEFGHIJKLMNOPQRSTUVWXYZ.")))))</f>
        <v>0</v>
      </c>
      <c r="AN893" t="b">
        <f ca="1">OR(AND(IF(metadata!C893="",FALSE,TRUE),OR(EXACT(metadata!C893,"missing: not collected"),EXACT(metadata!C893,"missing: not provided"),EXACT(metadata!C893,"missing: restricted access"))),AND(IF(metadata!C893="",FALSE,TRUE),AND(AND(IFERROR(INT(LEFT(metadata!C893,4))&gt;1900,FALSE),IFERROR(INT(LEFT(metadata!C893,4))&lt;=YEAR(NOW()),FALSE)), OR(MID(metadata!C893,5,1)="", AND(AND(MID(metadata!C893,5,1)="-",IFERROR(INT(MID(metadata!C893,6,1))&gt;=0,FALSE),IFERROR(INT(MID(metadata!C893,6,1))&lt;=1,FALSE),NOT(MID(metadata!C893,7,1)=""),IFERROR(INT(MID(metadata!C893,6,2))&gt;=1,FALSE),IFERROR(INT(MID(metadata!C893,6,2))&lt;=12,FALSE)), OR(MID(metadata!C893,8,1)="", AND(AND(MID(metadata!C893,8,1)="-",IFERROR(INT(MID(metadata!C893,9,1))&gt;=0,FALSE),IFERROR(INT(MID(metadata!C893,9,1))&lt;=3,FALSE),NOT(MID(metadata!C893,10,1)=""),IFERROR(INT(MID(metadata!C893,9,2))&gt;=1,FALSE),IFERROR(INT(MID(metadata!C893,9,2))&lt;=31,FALSE)), OR(MID(metadata!C893,11,1)="", AND(AND(MID(metadata!C893,11,1)=" ",IFERROR(INT(MID(metadata!C893,12,1))&gt;=0,FALSE),IFERROR(INT(MID(metadata!C893,12,1))&lt;=2,FALSE),NOT(MID(metadata!C893,13,1)=""),IFERROR(INT(MID(metadata!C893,12,2))&gt;=0,FALSE),IFERROR(INT(MID(metadata!C893,12,2))&lt;=23,FALSE)), OR(MID(metadata!C893,14,1)="", AND(AND(MID(metadata!C893,14,1)=":",IFERROR(INT(MID(metadata!C893,15,1))&gt;=0,FALSE),IFERROR(INT(MID(metadata!C893,15,1))&lt;=5,FALSE),NOT(MID(metadata!C893,16,1)=""),IFERROR(INT(MID(metadata!C893,15,2))&gt;=0,FALSE),IFERROR(INT(MID(metadata!C893,15,2))&lt;=59,FALSE)), OR(MID(metadata!C893,17,1)="", AND(AND(MID(metadata!C893,17,1)=":",IFERROR(INT(MID(metadata!C893,18,1))&gt;=0,FALSE),IFERROR(INT(MID(metadata!C893,18,1))&lt;=5,FALSE),NOT(MID(metadata!C893,19,1)=""),IFERROR(INT(MID(metadata!C893,18,2))&gt;=0,FALSE),IFERROR(INT(MID(metadata!C893,18,2))&lt;=59,FALSE)), LEN(metadata!C893)&lt;=19)))))))))))))</f>
        <v>0</v>
      </c>
      <c r="AO893" t="b">
        <f>AND(IF(metadata!D893="",FALSE,TRUE),EXACT(metadata!D893,"Not applicable"))</f>
        <v>0</v>
      </c>
      <c r="AP893" t="b">
        <f>IF(metadata!E893="",FALSE,TRUE)</f>
        <v>0</v>
      </c>
      <c r="AQ893" t="b">
        <f>OR(AND(IF(metadata!F893="",FALSE,TRUE),OR(EXACT(metadata!F893,"missing: not collected"),EXACT(metadata!F893,"missing: not provided"))),AND(IF(metadata!F893="",FALSE,TRUE),OR(EXACT(metadata!F893,"TRUE"),EXACT(metadata!F893,"FALSE"))))</f>
        <v>0</v>
      </c>
      <c r="AR893" t="b">
        <f>OR(AND(IF(metadata!G893="",FALSE,TRUE),OR(EXACT(metadata!G893,"missing: not collected"),EXACT(metadata!G893,"missing: not provided"),EXACT(metadata!G893,"missing: restricted access"))),AND(IF(metadata!G893="",FALSE,ISNUMBER(VALUE(metadata!G893))),metadata!G893&gt;=-413))</f>
        <v>0</v>
      </c>
      <c r="AS893" t="b">
        <f>AND(IF(metadata!H893="",FALSE,TRUE),EXACT(metadata!H893,"meters"))</f>
        <v>0</v>
      </c>
      <c r="AT893" t="b">
        <f>AND(IF(metadata!I893="",FALSE,TRUE),OR(EXACT(metadata!I893,"Host-associated"),EXACT(metadata!I893,"Free-living")))</f>
        <v>0</v>
      </c>
      <c r="AU893" t="b">
        <f>AND(IF(metadata!J893="",FALSE,TRUE),OR(EXACT(metadata!J893,"Animal"),EXACT(metadata!J893,"Fungus"),EXACT(metadata!J893,"Plant"),EXACT(metadata!J893,"Saline"),EXACT(metadata!J893,"Non-saline")))</f>
        <v>0</v>
      </c>
      <c r="AV893" t="b">
        <f>AND(IF(metadata!K893="",FALSE,TRUE),OR(EXACT(metadata!K893,"Plant secretion"),EXACT(metadata!K893,"Plant rhizosphere"),EXACT(metadata!K893,"Plant surface"),EXACT(metadata!K893,"Plant corpus"),EXACT(metadata!K893,"Fungus surface"),EXACT(metadata!K893,"Fungus corpus"),EXACT(metadata!K893,"Animal surface"),EXACT(metadata!K893,"Animal proximal gut"),EXACT(metadata!K893,"Animal corpus"),EXACT(metadata!K893,"Animal distal gut"),EXACT(metadata!K893,"Animal secretion"),EXACT(metadata!K893,"Sub-surface (non-saline)"),EXACT(metadata!K893,"Surface (non-saline)"),EXACT(metadata!K893,"Water (non-saline)"),EXACT(metadata!K893,"Soil (non-saline)"),EXACT(metadata!K893,"Aerosol (non-saline)"),EXACT(metadata!K893,"Sediment (non-saline)"),EXACT(metadata!K893,"Surface (saline)"),EXACT(metadata!K893,"Water (saline)"),EXACT(metadata!K893,"Hypersaline (saline)"),EXACT(metadata!K893,"Aerosol (saline)"),EXACT(metadata!K893,"Sediment (saline)")))</f>
        <v>0</v>
      </c>
      <c r="AW893" t="b">
        <f>IF(metadata!L893="",FALSE,TRUE)</f>
        <v>0</v>
      </c>
      <c r="AX893" t="b">
        <f>IF(metadata!M893="",FALSE,TRUE)</f>
        <v>0</v>
      </c>
      <c r="AY893" t="b">
        <f>IF(metadata!N893="",FALSE,TRUE)</f>
        <v>0</v>
      </c>
      <c r="AZ893" t="b">
        <f>OR(AND(IF(metadata!O893="",FALSE,TRUE),OR(EXACT(metadata!O893,"missing: not collected"),EXACT(metadata!O893,"missing: not provided"),EXACT(metadata!O893,"missing: restricted access"))),AND(IF(metadata!O893="",FALSE,TRUE),OR(EXACT(metadata!O893,"air"),EXACT(metadata!O893,"built environment"),EXACT(metadata!O893,"host-associated"),EXACT(metadata!O893,"human-associated"),EXACT(metadata!O893,"human-skin"),EXACT(metadata!O893,"human-oral"),EXACT(metadata!O893,"human-gut"),EXACT(metadata!O893,"human-vaginal"),EXACT(metadata!O893,"microbial mat/biofilm"),EXACT(metadata!O893,"misc environment"),EXACT(metadata!O893,"plant-associated"),EXACT(metadata!O893,"sediment"),EXACT(metadata!O893,"soil"),EXACT(metadata!O893,"wastewater/sludge"),EXACT(metadata!O893,"water"))))</f>
        <v>0</v>
      </c>
      <c r="BA893" t="b">
        <f>IF(metadata!P893="",FALSE,TRUE)</f>
        <v>0</v>
      </c>
      <c r="BB893" t="b">
        <f>IF(metadata!Q893="",FALSE,TRUE)</f>
        <v>0</v>
      </c>
      <c r="BC893" t="b">
        <f>OR(AND(IF(metadata!R893="",FALSE,TRUE),OR(EXACT(metadata!R893,"missing: not collected"),EXACT(metadata!R893,"missing: not provided"),EXACT(metadata!R893,"missing: restricted access"))),AND(IF(metadata!R893="",FALSE,ISNUMBER(VALUE(metadata!R893))),metadata!R893&gt;=-90,metadata!R893&lt;=90))</f>
        <v>0</v>
      </c>
      <c r="BD893" t="b">
        <f>AND(IF(metadata!S893="",FALSE,TRUE),EXACT(metadata!S893,"Decimal degrees"))</f>
        <v>0</v>
      </c>
      <c r="BE893" t="b">
        <f>OR(AND(IF(metadata!T893="",FALSE,TRUE),OR(EXACT(metadata!T893,"missing: not collected"),EXACT(metadata!T893,"missing: not provided"),EXACT(metadata!T893,"missing: restricted access"))),AND(IF(metadata!T893="",FALSE,ISNUMBER(VALUE(metadata!T893))),metadata!T893&gt;=-180,metadata!T893&lt;=180))</f>
        <v>0</v>
      </c>
      <c r="BF893" t="b">
        <f>AND(IF(metadata!U893="",FALSE,TRUE),EXACT(metadata!U893,"Decimal degrees"))</f>
        <v>0</v>
      </c>
      <c r="BG893" t="b">
        <f>IF(metadata!V893="",FALSE,TRUE)</f>
        <v>0</v>
      </c>
      <c r="BH893" t="b">
        <f>OR(AND(IF(metadata!W893="",FALSE,TRUE),OR(EXACT(metadata!W893,"missing: not collected"),EXACT(metadata!W893,"missing: not provided"),EXACT(metadata!W893,"missing: restricted access"))),AND(IF(metadata!W893="",FALSE,TRUE),OR(EXACT(metadata!W893,"TRUE"),EXACT(metadata!W893,"FALSE"))))</f>
        <v>0</v>
      </c>
      <c r="BI893" t="b">
        <f>AND(IF(metadata!X893="",FALSE,TRUE),EXACT(metadata!X893,"other"))</f>
        <v>0</v>
      </c>
      <c r="BJ893" t="b">
        <f>IF(metadata!Y893="",FALSE,TRUE)</f>
        <v>0</v>
      </c>
      <c r="BK893" t="b">
        <f>OR(AND(IF(metadata!Z893="",FALSE,TRUE),OR(EXACT(metadata!Z893,"missing: not collected"),EXACT(metadata!Z893,"missing: not provided"))),AND(IF(metadata!Z893="",FALSE,IF(ISERROR(INT(metadata!Z893)),FALSE,INT(metadata!Z893)=metadata!Z893)),metadata!Z893&gt;0))</f>
        <v>0</v>
      </c>
      <c r="BL893" t="b">
        <f>AND(IF(metadata!AA893="",FALSE,TRUE),EXACT(metadata!AA893,"Not applicable"))</f>
        <v>0</v>
      </c>
      <c r="BM893" t="b">
        <f>IF(metadata!AB893="",FALSE,TRUE)</f>
        <v>0</v>
      </c>
    </row>
    <row r="894" spans="1:65" x14ac:dyDescent="0.2">
      <c r="A894" s="5" t="str">
        <f ca="1">IF(B894=" "," ",HYPERLINK(CONCATENATE("#metadata!",ADDRESS(INDEX($AH$2:$AH$1001,MATCH(ROWS($AF$2:AF894),$AF$2:$AF$1001,0),0),1)),INDEX($AK$2:$AK$1001,MATCH(ROWS($AF$2:AF894),$AF$2:$AF$1001,0),0)))</f>
        <v xml:space="preserve"> </v>
      </c>
      <c r="B894" s="4" t="str">
        <f ca="1">IF(OR(INDEX($AG$2:$AG$1001,MATCH(ROWS($AF$2:AF894),$AF$2:$AF$1001,0),1)&gt;=100000,INDEX($AM$1005:$BM$1005,1,MATCH(COLUMNS($AM$1006:AM1006),$AM$1006:$BM$1006,0))&gt;=100000), " ",IF(INDEX($AM$2:$BM$1001,MATCH(ROWS($AF$2:AF894),$AF$2:$AF$1001,0),MATCH(COLUMNS($AM$1006:AM1006),$AM$1006:$BM$1006,0)), HYPERLINK("#",""), HYPERLINK(CONCATENATE("#metadata!", ADDRESS(INDEX($AH$2:$AH$1001,MATCH(ROWS($AF$2:AF894),$AF$2:$AF$1001,0),0), INDEX($AM$1004:$BM$1004,1,MATCH(COLUMNS($AM$1006:AM1006),$AM$1006:$BM$1006,0)))),"Fix")))</f>
        <v xml:space="preserve"> </v>
      </c>
      <c r="C894" s="4" t="str">
        <f ca="1">IF(OR(INDEX($AG$2:$AG$1001,MATCH(ROWS($AF$2:AF894),$AF$2:$AF$1001,0),1)&gt;=100000,INDEX($AM$1005:$BM$1005,1,MATCH(COLUMNS($AM$1006:AN1006),$AM$1006:$BM$1006,0))&gt;=100000), " ",IF(INDEX($AM$2:$BM$1001,MATCH(ROWS($AF$2:AF894),$AF$2:$AF$1001,0),MATCH(COLUMNS($AM$1006:AN1006),$AM$1006:$BM$1006,0)), HYPERLINK("#",""), HYPERLINK(CONCATENATE("#metadata!", ADDRESS(INDEX($AH$2:$AH$1001,MATCH(ROWS($AF$2:AF894),$AF$2:$AF$1001,0),0), INDEX($AM$1004:$BM$1004,1,MATCH(COLUMNS($AM$1006:AN1006),$AM$1006:$BM$1006,0)))),"Fix")))</f>
        <v xml:space="preserve"> </v>
      </c>
      <c r="D894" s="4" t="str">
        <f ca="1">IF(OR(INDEX($AG$2:$AG$1001,MATCH(ROWS($AF$2:AF894),$AF$2:$AF$1001,0),1)&gt;=100000,INDEX($AM$1005:$BM$1005,1,MATCH(COLUMNS($AM$1006:AO1006),$AM$1006:$BM$1006,0))&gt;=100000), " ",IF(INDEX($AM$2:$BM$1001,MATCH(ROWS($AF$2:AF894),$AF$2:$AF$1001,0),MATCH(COLUMNS($AM$1006:AO1006),$AM$1006:$BM$1006,0)), HYPERLINK("#",""), HYPERLINK(CONCATENATE("#metadata!", ADDRESS(INDEX($AH$2:$AH$1001,MATCH(ROWS($AF$2:AF894),$AF$2:$AF$1001,0),0), INDEX($AM$1004:$BM$1004,1,MATCH(COLUMNS($AM$1006:AO1006),$AM$1006:$BM$1006,0)))),"Fix")))</f>
        <v xml:space="preserve"> </v>
      </c>
      <c r="E894" s="4" t="str">
        <f ca="1">IF(OR(INDEX($AG$2:$AG$1001,MATCH(ROWS($AF$2:AF894),$AF$2:$AF$1001,0),1)&gt;=100000,INDEX($AM$1005:$BM$1005,1,MATCH(COLUMNS($AM$1006:AP1006),$AM$1006:$BM$1006,0))&gt;=100000), " ",IF(INDEX($AM$2:$BM$1001,MATCH(ROWS($AF$2:AF894),$AF$2:$AF$1001,0),MATCH(COLUMNS($AM$1006:AP1006),$AM$1006:$BM$1006,0)), HYPERLINK("#",""), HYPERLINK(CONCATENATE("#metadata!", ADDRESS(INDEX($AH$2:$AH$1001,MATCH(ROWS($AF$2:AF894),$AF$2:$AF$1001,0),0), INDEX($AM$1004:$BM$1004,1,MATCH(COLUMNS($AM$1006:AP1006),$AM$1006:$BM$1006,0)))),"Fix")))</f>
        <v xml:space="preserve"> </v>
      </c>
      <c r="F894" s="4" t="str">
        <f ca="1">IF(OR(INDEX($AG$2:$AG$1001,MATCH(ROWS($AF$2:AF894),$AF$2:$AF$1001,0),1)&gt;=100000,INDEX($AM$1005:$BM$1005,1,MATCH(COLUMNS($AM$1006:AQ1006),$AM$1006:$BM$1006,0))&gt;=100000), " ",IF(INDEX($AM$2:$BM$1001,MATCH(ROWS($AF$2:AF894),$AF$2:$AF$1001,0),MATCH(COLUMNS($AM$1006:AQ1006),$AM$1006:$BM$1006,0)), HYPERLINK("#",""), HYPERLINK(CONCATENATE("#metadata!", ADDRESS(INDEX($AH$2:$AH$1001,MATCH(ROWS($AF$2:AF894),$AF$2:$AF$1001,0),0), INDEX($AM$1004:$BM$1004,1,MATCH(COLUMNS($AM$1006:AQ1006),$AM$1006:$BM$1006,0)))),"Fix")))</f>
        <v xml:space="preserve"> </v>
      </c>
      <c r="G894" s="4" t="str">
        <f ca="1">IF(OR(INDEX($AG$2:$AG$1001,MATCH(ROWS($AF$2:AF894),$AF$2:$AF$1001,0),1)&gt;=100000,INDEX($AM$1005:$BM$1005,1,MATCH(COLUMNS($AM$1006:AR1006),$AM$1006:$BM$1006,0))&gt;=100000), " ",IF(INDEX($AM$2:$BM$1001,MATCH(ROWS($AF$2:AF894),$AF$2:$AF$1001,0),MATCH(COLUMNS($AM$1006:AR1006),$AM$1006:$BM$1006,0)), HYPERLINK("#",""), HYPERLINK(CONCATENATE("#metadata!", ADDRESS(INDEX($AH$2:$AH$1001,MATCH(ROWS($AF$2:AF894),$AF$2:$AF$1001,0),0), INDEX($AM$1004:$BM$1004,1,MATCH(COLUMNS($AM$1006:AR1006),$AM$1006:$BM$1006,0)))),"Fix")))</f>
        <v xml:space="preserve"> </v>
      </c>
      <c r="H894" s="4" t="str">
        <f ca="1">IF(OR(INDEX($AG$2:$AG$1001,MATCH(ROWS($AF$2:AF894),$AF$2:$AF$1001,0),1)&gt;=100000,INDEX($AM$1005:$BM$1005,1,MATCH(COLUMNS($AM$1006:AS1006),$AM$1006:$BM$1006,0))&gt;=100000), " ",IF(INDEX($AM$2:$BM$1001,MATCH(ROWS($AF$2:AF894),$AF$2:$AF$1001,0),MATCH(COLUMNS($AM$1006:AS1006),$AM$1006:$BM$1006,0)), HYPERLINK("#",""), HYPERLINK(CONCATENATE("#metadata!", ADDRESS(INDEX($AH$2:$AH$1001,MATCH(ROWS($AF$2:AF894),$AF$2:$AF$1001,0),0), INDEX($AM$1004:$BM$1004,1,MATCH(COLUMNS($AM$1006:AS1006),$AM$1006:$BM$1006,0)))),"Fix")))</f>
        <v xml:space="preserve"> </v>
      </c>
      <c r="I894" s="4" t="str">
        <f ca="1">IF(OR(INDEX($AG$2:$AG$1001,MATCH(ROWS($AF$2:AF894),$AF$2:$AF$1001,0),1)&gt;=100000,INDEX($AM$1005:$BM$1005,1,MATCH(COLUMNS($AM$1006:AT1006),$AM$1006:$BM$1006,0))&gt;=100000), " ",IF(INDEX($AM$2:$BM$1001,MATCH(ROWS($AF$2:AF894),$AF$2:$AF$1001,0),MATCH(COLUMNS($AM$1006:AT1006),$AM$1006:$BM$1006,0)), HYPERLINK("#",""), HYPERLINK(CONCATENATE("#metadata!", ADDRESS(INDEX($AH$2:$AH$1001,MATCH(ROWS($AF$2:AF894),$AF$2:$AF$1001,0),0), INDEX($AM$1004:$BM$1004,1,MATCH(COLUMNS($AM$1006:AT1006),$AM$1006:$BM$1006,0)))),"Fix")))</f>
        <v xml:space="preserve"> </v>
      </c>
      <c r="J894" s="4" t="str">
        <f ca="1">IF(OR(INDEX($AG$2:$AG$1001,MATCH(ROWS($AF$2:AF894),$AF$2:$AF$1001,0),1)&gt;=100000,INDEX($AM$1005:$BM$1005,1,MATCH(COLUMNS($AM$1006:AU1006),$AM$1006:$BM$1006,0))&gt;=100000), " ",IF(INDEX($AM$2:$BM$1001,MATCH(ROWS($AF$2:AF894),$AF$2:$AF$1001,0),MATCH(COLUMNS($AM$1006:AU1006),$AM$1006:$BM$1006,0)), HYPERLINK("#",""), HYPERLINK(CONCATENATE("#metadata!", ADDRESS(INDEX($AH$2:$AH$1001,MATCH(ROWS($AF$2:AF894),$AF$2:$AF$1001,0),0), INDEX($AM$1004:$BM$1004,1,MATCH(COLUMNS($AM$1006:AU1006),$AM$1006:$BM$1006,0)))),"Fix")))</f>
        <v xml:space="preserve"> </v>
      </c>
      <c r="K894" s="4" t="str">
        <f ca="1">IF(OR(INDEX($AG$2:$AG$1001,MATCH(ROWS($AF$2:AF894),$AF$2:$AF$1001,0),1)&gt;=100000,INDEX($AM$1005:$BM$1005,1,MATCH(COLUMNS($AM$1006:AV1006),$AM$1006:$BM$1006,0))&gt;=100000), " ",IF(INDEX($AM$2:$BM$1001,MATCH(ROWS($AF$2:AF894),$AF$2:$AF$1001,0),MATCH(COLUMNS($AM$1006:AV1006),$AM$1006:$BM$1006,0)), HYPERLINK("#",""), HYPERLINK(CONCATENATE("#metadata!", ADDRESS(INDEX($AH$2:$AH$1001,MATCH(ROWS($AF$2:AF894),$AF$2:$AF$1001,0),0), INDEX($AM$1004:$BM$1004,1,MATCH(COLUMNS($AM$1006:AV1006),$AM$1006:$BM$1006,0)))),"Fix")))</f>
        <v xml:space="preserve"> </v>
      </c>
      <c r="L894" s="4" t="str">
        <f ca="1">IF(OR(INDEX($AG$2:$AG$1001,MATCH(ROWS($AF$2:AF894),$AF$2:$AF$1001,0),1)&gt;=100000,INDEX($AM$1005:$BM$1005,1,MATCH(COLUMNS($AM$1006:AW1006),$AM$1006:$BM$1006,0))&gt;=100000), " ",IF(INDEX($AM$2:$BM$1001,MATCH(ROWS($AF$2:AF894),$AF$2:$AF$1001,0),MATCH(COLUMNS($AM$1006:AW1006),$AM$1006:$BM$1006,0)), HYPERLINK("#",""), HYPERLINK(CONCATENATE("#metadata!", ADDRESS(INDEX($AH$2:$AH$1001,MATCH(ROWS($AF$2:AF894),$AF$2:$AF$1001,0),0), INDEX($AM$1004:$BM$1004,1,MATCH(COLUMNS($AM$1006:AW1006),$AM$1006:$BM$1006,0)))),"Fix")))</f>
        <v xml:space="preserve"> </v>
      </c>
      <c r="M894" s="4" t="str">
        <f ca="1">IF(OR(INDEX($AG$2:$AG$1001,MATCH(ROWS($AF$2:AF894),$AF$2:$AF$1001,0),1)&gt;=100000,INDEX($AM$1005:$BM$1005,1,MATCH(COLUMNS($AM$1006:AX1006),$AM$1006:$BM$1006,0))&gt;=100000), " ",IF(INDEX($AM$2:$BM$1001,MATCH(ROWS($AF$2:AF894),$AF$2:$AF$1001,0),MATCH(COLUMNS($AM$1006:AX1006),$AM$1006:$BM$1006,0)), HYPERLINK("#",""), HYPERLINK(CONCATENATE("#metadata!", ADDRESS(INDEX($AH$2:$AH$1001,MATCH(ROWS($AF$2:AF894),$AF$2:$AF$1001,0),0), INDEX($AM$1004:$BM$1004,1,MATCH(COLUMNS($AM$1006:AX1006),$AM$1006:$BM$1006,0)))),"Fix")))</f>
        <v xml:space="preserve"> </v>
      </c>
      <c r="N894" s="4" t="str">
        <f ca="1">IF(OR(INDEX($AG$2:$AG$1001,MATCH(ROWS($AF$2:AF894),$AF$2:$AF$1001,0),1)&gt;=100000,INDEX($AM$1005:$BM$1005,1,MATCH(COLUMNS($AM$1006:AY1006),$AM$1006:$BM$1006,0))&gt;=100000), " ",IF(INDEX($AM$2:$BM$1001,MATCH(ROWS($AF$2:AF894),$AF$2:$AF$1001,0),MATCH(COLUMNS($AM$1006:AY1006),$AM$1006:$BM$1006,0)), HYPERLINK("#",""), HYPERLINK(CONCATENATE("#metadata!", ADDRESS(INDEX($AH$2:$AH$1001,MATCH(ROWS($AF$2:AF894),$AF$2:$AF$1001,0),0), INDEX($AM$1004:$BM$1004,1,MATCH(COLUMNS($AM$1006:AY1006),$AM$1006:$BM$1006,0)))),"Fix")))</f>
        <v xml:space="preserve"> </v>
      </c>
      <c r="O894" s="4" t="str">
        <f ca="1">IF(OR(INDEX($AG$2:$AG$1001,MATCH(ROWS($AF$2:AF894),$AF$2:$AF$1001,0),1)&gt;=100000,INDEX($AM$1005:$BM$1005,1,MATCH(COLUMNS($AM$1006:AZ1006),$AM$1006:$BM$1006,0))&gt;=100000), " ",IF(INDEX($AM$2:$BM$1001,MATCH(ROWS($AF$2:AF894),$AF$2:$AF$1001,0),MATCH(COLUMNS($AM$1006:AZ1006),$AM$1006:$BM$1006,0)), HYPERLINK("#",""), HYPERLINK(CONCATENATE("#metadata!", ADDRESS(INDEX($AH$2:$AH$1001,MATCH(ROWS($AF$2:AF894),$AF$2:$AF$1001,0),0), INDEX($AM$1004:$BM$1004,1,MATCH(COLUMNS($AM$1006:AZ1006),$AM$1006:$BM$1006,0)))),"Fix")))</f>
        <v xml:space="preserve"> </v>
      </c>
      <c r="P894" s="4" t="str">
        <f ca="1">IF(OR(INDEX($AG$2:$AG$1001,MATCH(ROWS($AF$2:AF894),$AF$2:$AF$1001,0),1)&gt;=100000,INDEX($AM$1005:$BM$1005,1,MATCH(COLUMNS($AM$1006:BA1006),$AM$1006:$BM$1006,0))&gt;=100000), " ",IF(INDEX($AM$2:$BM$1001,MATCH(ROWS($AF$2:AF894),$AF$2:$AF$1001,0),MATCH(COLUMNS($AM$1006:BA1006),$AM$1006:$BM$1006,0)), HYPERLINK("#",""), HYPERLINK(CONCATENATE("#metadata!", ADDRESS(INDEX($AH$2:$AH$1001,MATCH(ROWS($AF$2:AF894),$AF$2:$AF$1001,0),0), INDEX($AM$1004:$BM$1004,1,MATCH(COLUMNS($AM$1006:BA1006),$AM$1006:$BM$1006,0)))),"Fix")))</f>
        <v xml:space="preserve"> </v>
      </c>
      <c r="Q894" s="4" t="str">
        <f ca="1">IF(OR(INDEX($AG$2:$AG$1001,MATCH(ROWS($AF$2:AF894),$AF$2:$AF$1001,0),1)&gt;=100000,INDEX($AM$1005:$BM$1005,1,MATCH(COLUMNS($AM$1006:BB1006),$AM$1006:$BM$1006,0))&gt;=100000), " ",IF(INDEX($AM$2:$BM$1001,MATCH(ROWS($AF$2:AF894),$AF$2:$AF$1001,0),MATCH(COLUMNS($AM$1006:BB1006),$AM$1006:$BM$1006,0)), HYPERLINK("#",""), HYPERLINK(CONCATENATE("#metadata!", ADDRESS(INDEX($AH$2:$AH$1001,MATCH(ROWS($AF$2:AF894),$AF$2:$AF$1001,0),0), INDEX($AM$1004:$BM$1004,1,MATCH(COLUMNS($AM$1006:BB1006),$AM$1006:$BM$1006,0)))),"Fix")))</f>
        <v xml:space="preserve"> </v>
      </c>
      <c r="R894" s="4" t="str">
        <f ca="1">IF(OR(INDEX($AG$2:$AG$1001,MATCH(ROWS($AF$2:AF894),$AF$2:$AF$1001,0),1)&gt;=100000,INDEX($AM$1005:$BM$1005,1,MATCH(COLUMNS($AM$1006:BC1006),$AM$1006:$BM$1006,0))&gt;=100000), " ",IF(INDEX($AM$2:$BM$1001,MATCH(ROWS($AF$2:AF894),$AF$2:$AF$1001,0),MATCH(COLUMNS($AM$1006:BC1006),$AM$1006:$BM$1006,0)), HYPERLINK("#",""), HYPERLINK(CONCATENATE("#metadata!", ADDRESS(INDEX($AH$2:$AH$1001,MATCH(ROWS($AF$2:AF894),$AF$2:$AF$1001,0),0), INDEX($AM$1004:$BM$1004,1,MATCH(COLUMNS($AM$1006:BC1006),$AM$1006:$BM$1006,0)))),"Fix")))</f>
        <v xml:space="preserve"> </v>
      </c>
      <c r="S894" s="4" t="str">
        <f ca="1">IF(OR(INDEX($AG$2:$AG$1001,MATCH(ROWS($AF$2:AF894),$AF$2:$AF$1001,0),1)&gt;=100000,INDEX($AM$1005:$BM$1005,1,MATCH(COLUMNS($AM$1006:BD1006),$AM$1006:$BM$1006,0))&gt;=100000), " ",IF(INDEX($AM$2:$BM$1001,MATCH(ROWS($AF$2:AF894),$AF$2:$AF$1001,0),MATCH(COLUMNS($AM$1006:BD1006),$AM$1006:$BM$1006,0)), HYPERLINK("#",""), HYPERLINK(CONCATENATE("#metadata!", ADDRESS(INDEX($AH$2:$AH$1001,MATCH(ROWS($AF$2:AF894),$AF$2:$AF$1001,0),0), INDEX($AM$1004:$BM$1004,1,MATCH(COLUMNS($AM$1006:BD1006),$AM$1006:$BM$1006,0)))),"Fix")))</f>
        <v xml:space="preserve"> </v>
      </c>
      <c r="T894" s="4" t="str">
        <f ca="1">IF(OR(INDEX($AG$2:$AG$1001,MATCH(ROWS($AF$2:AF894),$AF$2:$AF$1001,0),1)&gt;=100000,INDEX($AM$1005:$BM$1005,1,MATCH(COLUMNS($AM$1006:BE1006),$AM$1006:$BM$1006,0))&gt;=100000), " ",IF(INDEX($AM$2:$BM$1001,MATCH(ROWS($AF$2:AF894),$AF$2:$AF$1001,0),MATCH(COLUMNS($AM$1006:BE1006),$AM$1006:$BM$1006,0)), HYPERLINK("#",""), HYPERLINK(CONCATENATE("#metadata!", ADDRESS(INDEX($AH$2:$AH$1001,MATCH(ROWS($AF$2:AF894),$AF$2:$AF$1001,0),0), INDEX($AM$1004:$BM$1004,1,MATCH(COLUMNS($AM$1006:BE1006),$AM$1006:$BM$1006,0)))),"Fix")))</f>
        <v xml:space="preserve"> </v>
      </c>
      <c r="U894" s="4" t="str">
        <f ca="1">IF(OR(INDEX($AG$2:$AG$1001,MATCH(ROWS($AF$2:AF894),$AF$2:$AF$1001,0),1)&gt;=100000,INDEX($AM$1005:$BM$1005,1,MATCH(COLUMNS($AM$1006:BF1006),$AM$1006:$BM$1006,0))&gt;=100000), " ",IF(INDEX($AM$2:$BM$1001,MATCH(ROWS($AF$2:AF894),$AF$2:$AF$1001,0),MATCH(COLUMNS($AM$1006:BF1006),$AM$1006:$BM$1006,0)), HYPERLINK("#",""), HYPERLINK(CONCATENATE("#metadata!", ADDRESS(INDEX($AH$2:$AH$1001,MATCH(ROWS($AF$2:AF894),$AF$2:$AF$1001,0),0), INDEX($AM$1004:$BM$1004,1,MATCH(COLUMNS($AM$1006:BF1006),$AM$1006:$BM$1006,0)))),"Fix")))</f>
        <v xml:space="preserve"> </v>
      </c>
      <c r="V894" s="4" t="str">
        <f ca="1">IF(OR(INDEX($AG$2:$AG$1001,MATCH(ROWS($AF$2:AF894),$AF$2:$AF$1001,0),1)&gt;=100000,INDEX($AM$1005:$BM$1005,1,MATCH(COLUMNS($AM$1006:BG1006),$AM$1006:$BM$1006,0))&gt;=100000), " ",IF(INDEX($AM$2:$BM$1001,MATCH(ROWS($AF$2:AF894),$AF$2:$AF$1001,0),MATCH(COLUMNS($AM$1006:BG1006),$AM$1006:$BM$1006,0)), HYPERLINK("#",""), HYPERLINK(CONCATENATE("#metadata!", ADDRESS(INDEX($AH$2:$AH$1001,MATCH(ROWS($AF$2:AF894),$AF$2:$AF$1001,0),0), INDEX($AM$1004:$BM$1004,1,MATCH(COLUMNS($AM$1006:BG1006),$AM$1006:$BM$1006,0)))),"Fix")))</f>
        <v xml:space="preserve"> </v>
      </c>
      <c r="W894" s="4" t="str">
        <f ca="1">IF(OR(INDEX($AG$2:$AG$1001,MATCH(ROWS($AF$2:AF894),$AF$2:$AF$1001,0),1)&gt;=100000,INDEX($AM$1005:$BM$1005,1,MATCH(COLUMNS($AM$1006:BH1006),$AM$1006:$BM$1006,0))&gt;=100000), " ",IF(INDEX($AM$2:$BM$1001,MATCH(ROWS($AF$2:AF894),$AF$2:$AF$1001,0),MATCH(COLUMNS($AM$1006:BH1006),$AM$1006:$BM$1006,0)), HYPERLINK("#",""), HYPERLINK(CONCATENATE("#metadata!", ADDRESS(INDEX($AH$2:$AH$1001,MATCH(ROWS($AF$2:AF894),$AF$2:$AF$1001,0),0), INDEX($AM$1004:$BM$1004,1,MATCH(COLUMNS($AM$1006:BH1006),$AM$1006:$BM$1006,0)))),"Fix")))</f>
        <v xml:space="preserve"> </v>
      </c>
      <c r="X894" s="4" t="str">
        <f ca="1">IF(OR(INDEX($AG$2:$AG$1001,MATCH(ROWS($AF$2:AF894),$AF$2:$AF$1001,0),1)&gt;=100000,INDEX($AM$1005:$BM$1005,1,MATCH(COLUMNS($AM$1006:BI1006),$AM$1006:$BM$1006,0))&gt;=100000), " ",IF(INDEX($AM$2:$BM$1001,MATCH(ROWS($AF$2:AF894),$AF$2:$AF$1001,0),MATCH(COLUMNS($AM$1006:BI1006),$AM$1006:$BM$1006,0)), HYPERLINK("#",""), HYPERLINK(CONCATENATE("#metadata!", ADDRESS(INDEX($AH$2:$AH$1001,MATCH(ROWS($AF$2:AF894),$AF$2:$AF$1001,0),0), INDEX($AM$1004:$BM$1004,1,MATCH(COLUMNS($AM$1006:BI1006),$AM$1006:$BM$1006,0)))),"Fix")))</f>
        <v xml:space="preserve"> </v>
      </c>
      <c r="Y894" s="4" t="str">
        <f ca="1">IF(OR(INDEX($AG$2:$AG$1001,MATCH(ROWS($AF$2:AF894),$AF$2:$AF$1001,0),1)&gt;=100000,INDEX($AM$1005:$BM$1005,1,MATCH(COLUMNS($AM$1006:BJ1006),$AM$1006:$BM$1006,0))&gt;=100000), " ",IF(INDEX($AM$2:$BM$1001,MATCH(ROWS($AF$2:AF894),$AF$2:$AF$1001,0),MATCH(COLUMNS($AM$1006:BJ1006),$AM$1006:$BM$1006,0)), HYPERLINK("#",""), HYPERLINK(CONCATENATE("#metadata!", ADDRESS(INDEX($AH$2:$AH$1001,MATCH(ROWS($AF$2:AF894),$AF$2:$AF$1001,0),0), INDEX($AM$1004:$BM$1004,1,MATCH(COLUMNS($AM$1006:BJ1006),$AM$1006:$BM$1006,0)))),"Fix")))</f>
        <v xml:space="preserve"> </v>
      </c>
      <c r="Z894" s="4" t="str">
        <f ca="1">IF(OR(INDEX($AG$2:$AG$1001,MATCH(ROWS($AF$2:AF894),$AF$2:$AF$1001,0),1)&gt;=100000,INDEX($AM$1005:$BM$1005,1,MATCH(COLUMNS($AM$1006:BK1006),$AM$1006:$BM$1006,0))&gt;=100000), " ",IF(INDEX($AM$2:$BM$1001,MATCH(ROWS($AF$2:AF894),$AF$2:$AF$1001,0),MATCH(COLUMNS($AM$1006:BK1006),$AM$1006:$BM$1006,0)), HYPERLINK("#",""), HYPERLINK(CONCATENATE("#metadata!", ADDRESS(INDEX($AH$2:$AH$1001,MATCH(ROWS($AF$2:AF894),$AF$2:$AF$1001,0),0), INDEX($AM$1004:$BM$1004,1,MATCH(COLUMNS($AM$1006:BK1006),$AM$1006:$BM$1006,0)))),"Fix")))</f>
        <v xml:space="preserve"> </v>
      </c>
      <c r="AA894" s="4" t="str">
        <f ca="1">IF(OR(INDEX($AG$2:$AG$1001,MATCH(ROWS($AF$2:AF894),$AF$2:$AF$1001,0),1)&gt;=100000,INDEX($AM$1005:$BM$1005,1,MATCH(COLUMNS($AM$1006:BL1006),$AM$1006:$BM$1006,0))&gt;=100000), " ",IF(INDEX($AM$2:$BM$1001,MATCH(ROWS($AF$2:AF894),$AF$2:$AF$1001,0),MATCH(COLUMNS($AM$1006:BL1006),$AM$1006:$BM$1006,0)), HYPERLINK("#",""), HYPERLINK(CONCATENATE("#metadata!", ADDRESS(INDEX($AH$2:$AH$1001,MATCH(ROWS($AF$2:AF894),$AF$2:$AF$1001,0),0), INDEX($AM$1004:$BM$1004,1,MATCH(COLUMNS($AM$1006:BL1006),$AM$1006:$BM$1006,0)))),"Fix")))</f>
        <v xml:space="preserve"> </v>
      </c>
      <c r="AB894" s="4" t="str">
        <f ca="1">IF(OR(INDEX($AG$2:$AG$1001,MATCH(ROWS($AF$2:AF894),$AF$2:$AF$1001,0),1)&gt;=100000,INDEX($AM$1005:$BM$1005,1,MATCH(COLUMNS($AM$1006:BM1006),$AM$1006:$BM$1006,0))&gt;=100000), " ",IF(INDEX($AM$2:$BM$1001,MATCH(ROWS($AF$2:AF894),$AF$2:$AF$1001,0),MATCH(COLUMNS($AM$1006:BM1006),$AM$1006:$BM$1006,0)), HYPERLINK("#",""), HYPERLINK(CONCATENATE("#metadata!", ADDRESS(INDEX($AH$2:$AH$1001,MATCH(ROWS($AF$2:AF894),$AF$2:$AF$1001,0),0), INDEX($AM$1004:$BM$1004,1,MATCH(COLUMNS($AM$1006:BM1006),$AM$1006:$BM$1006,0)))),"Fix")))</f>
        <v xml:space="preserve"> </v>
      </c>
      <c r="AF894">
        <v>893</v>
      </c>
      <c r="AG894">
        <v>100894</v>
      </c>
      <c r="AH894">
        <v>894</v>
      </c>
      <c r="AI894" t="b">
        <f t="shared" si="13"/>
        <v>1</v>
      </c>
      <c r="AJ894" t="b">
        <f>COUNTBLANK(metadata!B894:AB894)=COLUMNS(metadata!B894:AB894)</f>
        <v>1</v>
      </c>
      <c r="AK894" t="str">
        <v/>
      </c>
      <c r="AM894" t="b">
        <f ca="1">AND(IF(metadata!B894="",FALSE,TRUE),COUNTIF(metadata!B:B, metadata!B894) = 1,NOT(ISERROR(SUMPRODUCT(SEARCH(MID(metadata!B894,ROW(INDIRECT("1:"&amp;LEN(metadata!B894))), 1),"0123456789abcdefghijklmnopqrstuvwxyzABCDEFGHIJKLMNOPQRSTUVWXYZ.")))))</f>
        <v>0</v>
      </c>
      <c r="AN894" t="b">
        <f ca="1">OR(AND(IF(metadata!C894="",FALSE,TRUE),OR(EXACT(metadata!C894,"missing: not collected"),EXACT(metadata!C894,"missing: not provided"),EXACT(metadata!C894,"missing: restricted access"))),AND(IF(metadata!C894="",FALSE,TRUE),AND(AND(IFERROR(INT(LEFT(metadata!C894,4))&gt;1900,FALSE),IFERROR(INT(LEFT(metadata!C894,4))&lt;=YEAR(NOW()),FALSE)), OR(MID(metadata!C894,5,1)="", AND(AND(MID(metadata!C894,5,1)="-",IFERROR(INT(MID(metadata!C894,6,1))&gt;=0,FALSE),IFERROR(INT(MID(metadata!C894,6,1))&lt;=1,FALSE),NOT(MID(metadata!C894,7,1)=""),IFERROR(INT(MID(metadata!C894,6,2))&gt;=1,FALSE),IFERROR(INT(MID(metadata!C894,6,2))&lt;=12,FALSE)), OR(MID(metadata!C894,8,1)="", AND(AND(MID(metadata!C894,8,1)="-",IFERROR(INT(MID(metadata!C894,9,1))&gt;=0,FALSE),IFERROR(INT(MID(metadata!C894,9,1))&lt;=3,FALSE),NOT(MID(metadata!C894,10,1)=""),IFERROR(INT(MID(metadata!C894,9,2))&gt;=1,FALSE),IFERROR(INT(MID(metadata!C894,9,2))&lt;=31,FALSE)), OR(MID(metadata!C894,11,1)="", AND(AND(MID(metadata!C894,11,1)=" ",IFERROR(INT(MID(metadata!C894,12,1))&gt;=0,FALSE),IFERROR(INT(MID(metadata!C894,12,1))&lt;=2,FALSE),NOT(MID(metadata!C894,13,1)=""),IFERROR(INT(MID(metadata!C894,12,2))&gt;=0,FALSE),IFERROR(INT(MID(metadata!C894,12,2))&lt;=23,FALSE)), OR(MID(metadata!C894,14,1)="", AND(AND(MID(metadata!C894,14,1)=":",IFERROR(INT(MID(metadata!C894,15,1))&gt;=0,FALSE),IFERROR(INT(MID(metadata!C894,15,1))&lt;=5,FALSE),NOT(MID(metadata!C894,16,1)=""),IFERROR(INT(MID(metadata!C894,15,2))&gt;=0,FALSE),IFERROR(INT(MID(metadata!C894,15,2))&lt;=59,FALSE)), OR(MID(metadata!C894,17,1)="", AND(AND(MID(metadata!C894,17,1)=":",IFERROR(INT(MID(metadata!C894,18,1))&gt;=0,FALSE),IFERROR(INT(MID(metadata!C894,18,1))&lt;=5,FALSE),NOT(MID(metadata!C894,19,1)=""),IFERROR(INT(MID(metadata!C894,18,2))&gt;=0,FALSE),IFERROR(INT(MID(metadata!C894,18,2))&lt;=59,FALSE)), LEN(metadata!C894)&lt;=19)))))))))))))</f>
        <v>0</v>
      </c>
      <c r="AO894" t="b">
        <f>AND(IF(metadata!D894="",FALSE,TRUE),EXACT(metadata!D894,"Not applicable"))</f>
        <v>0</v>
      </c>
      <c r="AP894" t="b">
        <f>IF(metadata!E894="",FALSE,TRUE)</f>
        <v>0</v>
      </c>
      <c r="AQ894" t="b">
        <f>OR(AND(IF(metadata!F894="",FALSE,TRUE),OR(EXACT(metadata!F894,"missing: not collected"),EXACT(metadata!F894,"missing: not provided"))),AND(IF(metadata!F894="",FALSE,TRUE),OR(EXACT(metadata!F894,"TRUE"),EXACT(metadata!F894,"FALSE"))))</f>
        <v>0</v>
      </c>
      <c r="AR894" t="b">
        <f>OR(AND(IF(metadata!G894="",FALSE,TRUE),OR(EXACT(metadata!G894,"missing: not collected"),EXACT(metadata!G894,"missing: not provided"),EXACT(metadata!G894,"missing: restricted access"))),AND(IF(metadata!G894="",FALSE,ISNUMBER(VALUE(metadata!G894))),metadata!G894&gt;=-413))</f>
        <v>0</v>
      </c>
      <c r="AS894" t="b">
        <f>AND(IF(metadata!H894="",FALSE,TRUE),EXACT(metadata!H894,"meters"))</f>
        <v>0</v>
      </c>
      <c r="AT894" t="b">
        <f>AND(IF(metadata!I894="",FALSE,TRUE),OR(EXACT(metadata!I894,"Host-associated"),EXACT(metadata!I894,"Free-living")))</f>
        <v>0</v>
      </c>
      <c r="AU894" t="b">
        <f>AND(IF(metadata!J894="",FALSE,TRUE),OR(EXACT(metadata!J894,"Animal"),EXACT(metadata!J894,"Fungus"),EXACT(metadata!J894,"Plant"),EXACT(metadata!J894,"Saline"),EXACT(metadata!J894,"Non-saline")))</f>
        <v>0</v>
      </c>
      <c r="AV894" t="b">
        <f>AND(IF(metadata!K894="",FALSE,TRUE),OR(EXACT(metadata!K894,"Plant secretion"),EXACT(metadata!K894,"Plant rhizosphere"),EXACT(metadata!K894,"Plant surface"),EXACT(metadata!K894,"Plant corpus"),EXACT(metadata!K894,"Fungus surface"),EXACT(metadata!K894,"Fungus corpus"),EXACT(metadata!K894,"Animal surface"),EXACT(metadata!K894,"Animal proximal gut"),EXACT(metadata!K894,"Animal corpus"),EXACT(metadata!K894,"Animal distal gut"),EXACT(metadata!K894,"Animal secretion"),EXACT(metadata!K894,"Sub-surface (non-saline)"),EXACT(metadata!K894,"Surface (non-saline)"),EXACT(metadata!K894,"Water (non-saline)"),EXACT(metadata!K894,"Soil (non-saline)"),EXACT(metadata!K894,"Aerosol (non-saline)"),EXACT(metadata!K894,"Sediment (non-saline)"),EXACT(metadata!K894,"Surface (saline)"),EXACT(metadata!K894,"Water (saline)"),EXACT(metadata!K894,"Hypersaline (saline)"),EXACT(metadata!K894,"Aerosol (saline)"),EXACT(metadata!K894,"Sediment (saline)")))</f>
        <v>0</v>
      </c>
      <c r="AW894" t="b">
        <f>IF(metadata!L894="",FALSE,TRUE)</f>
        <v>0</v>
      </c>
      <c r="AX894" t="b">
        <f>IF(metadata!M894="",FALSE,TRUE)</f>
        <v>0</v>
      </c>
      <c r="AY894" t="b">
        <f>IF(metadata!N894="",FALSE,TRUE)</f>
        <v>0</v>
      </c>
      <c r="AZ894" t="b">
        <f>OR(AND(IF(metadata!O894="",FALSE,TRUE),OR(EXACT(metadata!O894,"missing: not collected"),EXACT(metadata!O894,"missing: not provided"),EXACT(metadata!O894,"missing: restricted access"))),AND(IF(metadata!O894="",FALSE,TRUE),OR(EXACT(metadata!O894,"air"),EXACT(metadata!O894,"built environment"),EXACT(metadata!O894,"host-associated"),EXACT(metadata!O894,"human-associated"),EXACT(metadata!O894,"human-skin"),EXACT(metadata!O894,"human-oral"),EXACT(metadata!O894,"human-gut"),EXACT(metadata!O894,"human-vaginal"),EXACT(metadata!O894,"microbial mat/biofilm"),EXACT(metadata!O894,"misc environment"),EXACT(metadata!O894,"plant-associated"),EXACT(metadata!O894,"sediment"),EXACT(metadata!O894,"soil"),EXACT(metadata!O894,"wastewater/sludge"),EXACT(metadata!O894,"water"))))</f>
        <v>0</v>
      </c>
      <c r="BA894" t="b">
        <f>IF(metadata!P894="",FALSE,TRUE)</f>
        <v>0</v>
      </c>
      <c r="BB894" t="b">
        <f>IF(metadata!Q894="",FALSE,TRUE)</f>
        <v>0</v>
      </c>
      <c r="BC894" t="b">
        <f>OR(AND(IF(metadata!R894="",FALSE,TRUE),OR(EXACT(metadata!R894,"missing: not collected"),EXACT(metadata!R894,"missing: not provided"),EXACT(metadata!R894,"missing: restricted access"))),AND(IF(metadata!R894="",FALSE,ISNUMBER(VALUE(metadata!R894))),metadata!R894&gt;=-90,metadata!R894&lt;=90))</f>
        <v>0</v>
      </c>
      <c r="BD894" t="b">
        <f>AND(IF(metadata!S894="",FALSE,TRUE),EXACT(metadata!S894,"Decimal degrees"))</f>
        <v>0</v>
      </c>
      <c r="BE894" t="b">
        <f>OR(AND(IF(metadata!T894="",FALSE,TRUE),OR(EXACT(metadata!T894,"missing: not collected"),EXACT(metadata!T894,"missing: not provided"),EXACT(metadata!T894,"missing: restricted access"))),AND(IF(metadata!T894="",FALSE,ISNUMBER(VALUE(metadata!T894))),metadata!T894&gt;=-180,metadata!T894&lt;=180))</f>
        <v>0</v>
      </c>
      <c r="BF894" t="b">
        <f>AND(IF(metadata!U894="",FALSE,TRUE),EXACT(metadata!U894,"Decimal degrees"))</f>
        <v>0</v>
      </c>
      <c r="BG894" t="b">
        <f>IF(metadata!V894="",FALSE,TRUE)</f>
        <v>0</v>
      </c>
      <c r="BH894" t="b">
        <f>OR(AND(IF(metadata!W894="",FALSE,TRUE),OR(EXACT(metadata!W894,"missing: not collected"),EXACT(metadata!W894,"missing: not provided"),EXACT(metadata!W894,"missing: restricted access"))),AND(IF(metadata!W894="",FALSE,TRUE),OR(EXACT(metadata!W894,"TRUE"),EXACT(metadata!W894,"FALSE"))))</f>
        <v>0</v>
      </c>
      <c r="BI894" t="b">
        <f>AND(IF(metadata!X894="",FALSE,TRUE),EXACT(metadata!X894,"other"))</f>
        <v>0</v>
      </c>
      <c r="BJ894" t="b">
        <f>IF(metadata!Y894="",FALSE,TRUE)</f>
        <v>0</v>
      </c>
      <c r="BK894" t="b">
        <f>OR(AND(IF(metadata!Z894="",FALSE,TRUE),OR(EXACT(metadata!Z894,"missing: not collected"),EXACT(metadata!Z894,"missing: not provided"))),AND(IF(metadata!Z894="",FALSE,IF(ISERROR(INT(metadata!Z894)),FALSE,INT(metadata!Z894)=metadata!Z894)),metadata!Z894&gt;0))</f>
        <v>0</v>
      </c>
      <c r="BL894" t="b">
        <f>AND(IF(metadata!AA894="",FALSE,TRUE),EXACT(metadata!AA894,"Not applicable"))</f>
        <v>0</v>
      </c>
      <c r="BM894" t="b">
        <f>IF(metadata!AB894="",FALSE,TRUE)</f>
        <v>0</v>
      </c>
    </row>
    <row r="895" spans="1:65" x14ac:dyDescent="0.2">
      <c r="A895" s="5" t="str">
        <f ca="1">IF(B895=" "," ",HYPERLINK(CONCATENATE("#metadata!",ADDRESS(INDEX($AH$2:$AH$1001,MATCH(ROWS($AF$2:AF895),$AF$2:$AF$1001,0),0),1)),INDEX($AK$2:$AK$1001,MATCH(ROWS($AF$2:AF895),$AF$2:$AF$1001,0),0)))</f>
        <v xml:space="preserve"> </v>
      </c>
      <c r="B895" s="4" t="str">
        <f ca="1">IF(OR(INDEX($AG$2:$AG$1001,MATCH(ROWS($AF$2:AF895),$AF$2:$AF$1001,0),1)&gt;=100000,INDEX($AM$1005:$BM$1005,1,MATCH(COLUMNS($AM$1006:AM1006),$AM$1006:$BM$1006,0))&gt;=100000), " ",IF(INDEX($AM$2:$BM$1001,MATCH(ROWS($AF$2:AF895),$AF$2:$AF$1001,0),MATCH(COLUMNS($AM$1006:AM1006),$AM$1006:$BM$1006,0)), HYPERLINK("#",""), HYPERLINK(CONCATENATE("#metadata!", ADDRESS(INDEX($AH$2:$AH$1001,MATCH(ROWS($AF$2:AF895),$AF$2:$AF$1001,0),0), INDEX($AM$1004:$BM$1004,1,MATCH(COLUMNS($AM$1006:AM1006),$AM$1006:$BM$1006,0)))),"Fix")))</f>
        <v xml:space="preserve"> </v>
      </c>
      <c r="C895" s="4" t="str">
        <f ca="1">IF(OR(INDEX($AG$2:$AG$1001,MATCH(ROWS($AF$2:AF895),$AF$2:$AF$1001,0),1)&gt;=100000,INDEX($AM$1005:$BM$1005,1,MATCH(COLUMNS($AM$1006:AN1006),$AM$1006:$BM$1006,0))&gt;=100000), " ",IF(INDEX($AM$2:$BM$1001,MATCH(ROWS($AF$2:AF895),$AF$2:$AF$1001,0),MATCH(COLUMNS($AM$1006:AN1006),$AM$1006:$BM$1006,0)), HYPERLINK("#",""), HYPERLINK(CONCATENATE("#metadata!", ADDRESS(INDEX($AH$2:$AH$1001,MATCH(ROWS($AF$2:AF895),$AF$2:$AF$1001,0),0), INDEX($AM$1004:$BM$1004,1,MATCH(COLUMNS($AM$1006:AN1006),$AM$1006:$BM$1006,0)))),"Fix")))</f>
        <v xml:space="preserve"> </v>
      </c>
      <c r="D895" s="4" t="str">
        <f ca="1">IF(OR(INDEX($AG$2:$AG$1001,MATCH(ROWS($AF$2:AF895),$AF$2:$AF$1001,0),1)&gt;=100000,INDEX($AM$1005:$BM$1005,1,MATCH(COLUMNS($AM$1006:AO1006),$AM$1006:$BM$1006,0))&gt;=100000), " ",IF(INDEX($AM$2:$BM$1001,MATCH(ROWS($AF$2:AF895),$AF$2:$AF$1001,0),MATCH(COLUMNS($AM$1006:AO1006),$AM$1006:$BM$1006,0)), HYPERLINK("#",""), HYPERLINK(CONCATENATE("#metadata!", ADDRESS(INDEX($AH$2:$AH$1001,MATCH(ROWS($AF$2:AF895),$AF$2:$AF$1001,0),0), INDEX($AM$1004:$BM$1004,1,MATCH(COLUMNS($AM$1006:AO1006),$AM$1006:$BM$1006,0)))),"Fix")))</f>
        <v xml:space="preserve"> </v>
      </c>
      <c r="E895" s="4" t="str">
        <f ca="1">IF(OR(INDEX($AG$2:$AG$1001,MATCH(ROWS($AF$2:AF895),$AF$2:$AF$1001,0),1)&gt;=100000,INDEX($AM$1005:$BM$1005,1,MATCH(COLUMNS($AM$1006:AP1006),$AM$1006:$BM$1006,0))&gt;=100000), " ",IF(INDEX($AM$2:$BM$1001,MATCH(ROWS($AF$2:AF895),$AF$2:$AF$1001,0),MATCH(COLUMNS($AM$1006:AP1006),$AM$1006:$BM$1006,0)), HYPERLINK("#",""), HYPERLINK(CONCATENATE("#metadata!", ADDRESS(INDEX($AH$2:$AH$1001,MATCH(ROWS($AF$2:AF895),$AF$2:$AF$1001,0),0), INDEX($AM$1004:$BM$1004,1,MATCH(COLUMNS($AM$1006:AP1006),$AM$1006:$BM$1006,0)))),"Fix")))</f>
        <v xml:space="preserve"> </v>
      </c>
      <c r="F895" s="4" t="str">
        <f ca="1">IF(OR(INDEX($AG$2:$AG$1001,MATCH(ROWS($AF$2:AF895),$AF$2:$AF$1001,0),1)&gt;=100000,INDEX($AM$1005:$BM$1005,1,MATCH(COLUMNS($AM$1006:AQ1006),$AM$1006:$BM$1006,0))&gt;=100000), " ",IF(INDEX($AM$2:$BM$1001,MATCH(ROWS($AF$2:AF895),$AF$2:$AF$1001,0),MATCH(COLUMNS($AM$1006:AQ1006),$AM$1006:$BM$1006,0)), HYPERLINK("#",""), HYPERLINK(CONCATENATE("#metadata!", ADDRESS(INDEX($AH$2:$AH$1001,MATCH(ROWS($AF$2:AF895),$AF$2:$AF$1001,0),0), INDEX($AM$1004:$BM$1004,1,MATCH(COLUMNS($AM$1006:AQ1006),$AM$1006:$BM$1006,0)))),"Fix")))</f>
        <v xml:space="preserve"> </v>
      </c>
      <c r="G895" s="4" t="str">
        <f ca="1">IF(OR(INDEX($AG$2:$AG$1001,MATCH(ROWS($AF$2:AF895),$AF$2:$AF$1001,0),1)&gt;=100000,INDEX($AM$1005:$BM$1005,1,MATCH(COLUMNS($AM$1006:AR1006),$AM$1006:$BM$1006,0))&gt;=100000), " ",IF(INDEX($AM$2:$BM$1001,MATCH(ROWS($AF$2:AF895),$AF$2:$AF$1001,0),MATCH(COLUMNS($AM$1006:AR1006),$AM$1006:$BM$1006,0)), HYPERLINK("#",""), HYPERLINK(CONCATENATE("#metadata!", ADDRESS(INDEX($AH$2:$AH$1001,MATCH(ROWS($AF$2:AF895),$AF$2:$AF$1001,0),0), INDEX($AM$1004:$BM$1004,1,MATCH(COLUMNS($AM$1006:AR1006),$AM$1006:$BM$1006,0)))),"Fix")))</f>
        <v xml:space="preserve"> </v>
      </c>
      <c r="H895" s="4" t="str">
        <f ca="1">IF(OR(INDEX($AG$2:$AG$1001,MATCH(ROWS($AF$2:AF895),$AF$2:$AF$1001,0),1)&gt;=100000,INDEX($AM$1005:$BM$1005,1,MATCH(COLUMNS($AM$1006:AS1006),$AM$1006:$BM$1006,0))&gt;=100000), " ",IF(INDEX($AM$2:$BM$1001,MATCH(ROWS($AF$2:AF895),$AF$2:$AF$1001,0),MATCH(COLUMNS($AM$1006:AS1006),$AM$1006:$BM$1006,0)), HYPERLINK("#",""), HYPERLINK(CONCATENATE("#metadata!", ADDRESS(INDEX($AH$2:$AH$1001,MATCH(ROWS($AF$2:AF895),$AF$2:$AF$1001,0),0), INDEX($AM$1004:$BM$1004,1,MATCH(COLUMNS($AM$1006:AS1006),$AM$1006:$BM$1006,0)))),"Fix")))</f>
        <v xml:space="preserve"> </v>
      </c>
      <c r="I895" s="4" t="str">
        <f ca="1">IF(OR(INDEX($AG$2:$AG$1001,MATCH(ROWS($AF$2:AF895),$AF$2:$AF$1001,0),1)&gt;=100000,INDEX($AM$1005:$BM$1005,1,MATCH(COLUMNS($AM$1006:AT1006),$AM$1006:$BM$1006,0))&gt;=100000), " ",IF(INDEX($AM$2:$BM$1001,MATCH(ROWS($AF$2:AF895),$AF$2:$AF$1001,0),MATCH(COLUMNS($AM$1006:AT1006),$AM$1006:$BM$1006,0)), HYPERLINK("#",""), HYPERLINK(CONCATENATE("#metadata!", ADDRESS(INDEX($AH$2:$AH$1001,MATCH(ROWS($AF$2:AF895),$AF$2:$AF$1001,0),0), INDEX($AM$1004:$BM$1004,1,MATCH(COLUMNS($AM$1006:AT1006),$AM$1006:$BM$1006,0)))),"Fix")))</f>
        <v xml:space="preserve"> </v>
      </c>
      <c r="J895" s="4" t="str">
        <f ca="1">IF(OR(INDEX($AG$2:$AG$1001,MATCH(ROWS($AF$2:AF895),$AF$2:$AF$1001,0),1)&gt;=100000,INDEX($AM$1005:$BM$1005,1,MATCH(COLUMNS($AM$1006:AU1006),$AM$1006:$BM$1006,0))&gt;=100000), " ",IF(INDEX($AM$2:$BM$1001,MATCH(ROWS($AF$2:AF895),$AF$2:$AF$1001,0),MATCH(COLUMNS($AM$1006:AU1006),$AM$1006:$BM$1006,0)), HYPERLINK("#",""), HYPERLINK(CONCATENATE("#metadata!", ADDRESS(INDEX($AH$2:$AH$1001,MATCH(ROWS($AF$2:AF895),$AF$2:$AF$1001,0),0), INDEX($AM$1004:$BM$1004,1,MATCH(COLUMNS($AM$1006:AU1006),$AM$1006:$BM$1006,0)))),"Fix")))</f>
        <v xml:space="preserve"> </v>
      </c>
      <c r="K895" s="4" t="str">
        <f ca="1">IF(OR(INDEX($AG$2:$AG$1001,MATCH(ROWS($AF$2:AF895),$AF$2:$AF$1001,0),1)&gt;=100000,INDEX($AM$1005:$BM$1005,1,MATCH(COLUMNS($AM$1006:AV1006),$AM$1006:$BM$1006,0))&gt;=100000), " ",IF(INDEX($AM$2:$BM$1001,MATCH(ROWS($AF$2:AF895),$AF$2:$AF$1001,0),MATCH(COLUMNS($AM$1006:AV1006),$AM$1006:$BM$1006,0)), HYPERLINK("#",""), HYPERLINK(CONCATENATE("#metadata!", ADDRESS(INDEX($AH$2:$AH$1001,MATCH(ROWS($AF$2:AF895),$AF$2:$AF$1001,0),0), INDEX($AM$1004:$BM$1004,1,MATCH(COLUMNS($AM$1006:AV1006),$AM$1006:$BM$1006,0)))),"Fix")))</f>
        <v xml:space="preserve"> </v>
      </c>
      <c r="L895" s="4" t="str">
        <f ca="1">IF(OR(INDEX($AG$2:$AG$1001,MATCH(ROWS($AF$2:AF895),$AF$2:$AF$1001,0),1)&gt;=100000,INDEX($AM$1005:$BM$1005,1,MATCH(COLUMNS($AM$1006:AW1006),$AM$1006:$BM$1006,0))&gt;=100000), " ",IF(INDEX($AM$2:$BM$1001,MATCH(ROWS($AF$2:AF895),$AF$2:$AF$1001,0),MATCH(COLUMNS($AM$1006:AW1006),$AM$1006:$BM$1006,0)), HYPERLINK("#",""), HYPERLINK(CONCATENATE("#metadata!", ADDRESS(INDEX($AH$2:$AH$1001,MATCH(ROWS($AF$2:AF895),$AF$2:$AF$1001,0),0), INDEX($AM$1004:$BM$1004,1,MATCH(COLUMNS($AM$1006:AW1006),$AM$1006:$BM$1006,0)))),"Fix")))</f>
        <v xml:space="preserve"> </v>
      </c>
      <c r="M895" s="4" t="str">
        <f ca="1">IF(OR(INDEX($AG$2:$AG$1001,MATCH(ROWS($AF$2:AF895),$AF$2:$AF$1001,0),1)&gt;=100000,INDEX($AM$1005:$BM$1005,1,MATCH(COLUMNS($AM$1006:AX1006),$AM$1006:$BM$1006,0))&gt;=100000), " ",IF(INDEX($AM$2:$BM$1001,MATCH(ROWS($AF$2:AF895),$AF$2:$AF$1001,0),MATCH(COLUMNS($AM$1006:AX1006),$AM$1006:$BM$1006,0)), HYPERLINK("#",""), HYPERLINK(CONCATENATE("#metadata!", ADDRESS(INDEX($AH$2:$AH$1001,MATCH(ROWS($AF$2:AF895),$AF$2:$AF$1001,0),0), INDEX($AM$1004:$BM$1004,1,MATCH(COLUMNS($AM$1006:AX1006),$AM$1006:$BM$1006,0)))),"Fix")))</f>
        <v xml:space="preserve"> </v>
      </c>
      <c r="N895" s="4" t="str">
        <f ca="1">IF(OR(INDEX($AG$2:$AG$1001,MATCH(ROWS($AF$2:AF895),$AF$2:$AF$1001,0),1)&gt;=100000,INDEX($AM$1005:$BM$1005,1,MATCH(COLUMNS($AM$1006:AY1006),$AM$1006:$BM$1006,0))&gt;=100000), " ",IF(INDEX($AM$2:$BM$1001,MATCH(ROWS($AF$2:AF895),$AF$2:$AF$1001,0),MATCH(COLUMNS($AM$1006:AY1006),$AM$1006:$BM$1006,0)), HYPERLINK("#",""), HYPERLINK(CONCATENATE("#metadata!", ADDRESS(INDEX($AH$2:$AH$1001,MATCH(ROWS($AF$2:AF895),$AF$2:$AF$1001,0),0), INDEX($AM$1004:$BM$1004,1,MATCH(COLUMNS($AM$1006:AY1006),$AM$1006:$BM$1006,0)))),"Fix")))</f>
        <v xml:space="preserve"> </v>
      </c>
      <c r="O895" s="4" t="str">
        <f ca="1">IF(OR(INDEX($AG$2:$AG$1001,MATCH(ROWS($AF$2:AF895),$AF$2:$AF$1001,0),1)&gt;=100000,INDEX($AM$1005:$BM$1005,1,MATCH(COLUMNS($AM$1006:AZ1006),$AM$1006:$BM$1006,0))&gt;=100000), " ",IF(INDEX($AM$2:$BM$1001,MATCH(ROWS($AF$2:AF895),$AF$2:$AF$1001,0),MATCH(COLUMNS($AM$1006:AZ1006),$AM$1006:$BM$1006,0)), HYPERLINK("#",""), HYPERLINK(CONCATENATE("#metadata!", ADDRESS(INDEX($AH$2:$AH$1001,MATCH(ROWS($AF$2:AF895),$AF$2:$AF$1001,0),0), INDEX($AM$1004:$BM$1004,1,MATCH(COLUMNS($AM$1006:AZ1006),$AM$1006:$BM$1006,0)))),"Fix")))</f>
        <v xml:space="preserve"> </v>
      </c>
      <c r="P895" s="4" t="str">
        <f ca="1">IF(OR(INDEX($AG$2:$AG$1001,MATCH(ROWS($AF$2:AF895),$AF$2:$AF$1001,0),1)&gt;=100000,INDEX($AM$1005:$BM$1005,1,MATCH(COLUMNS($AM$1006:BA1006),$AM$1006:$BM$1006,0))&gt;=100000), " ",IF(INDEX($AM$2:$BM$1001,MATCH(ROWS($AF$2:AF895),$AF$2:$AF$1001,0),MATCH(COLUMNS($AM$1006:BA1006),$AM$1006:$BM$1006,0)), HYPERLINK("#",""), HYPERLINK(CONCATENATE("#metadata!", ADDRESS(INDEX($AH$2:$AH$1001,MATCH(ROWS($AF$2:AF895),$AF$2:$AF$1001,0),0), INDEX($AM$1004:$BM$1004,1,MATCH(COLUMNS($AM$1006:BA1006),$AM$1006:$BM$1006,0)))),"Fix")))</f>
        <v xml:space="preserve"> </v>
      </c>
      <c r="Q895" s="4" t="str">
        <f ca="1">IF(OR(INDEX($AG$2:$AG$1001,MATCH(ROWS($AF$2:AF895),$AF$2:$AF$1001,0),1)&gt;=100000,INDEX($AM$1005:$BM$1005,1,MATCH(COLUMNS($AM$1006:BB1006),$AM$1006:$BM$1006,0))&gt;=100000), " ",IF(INDEX($AM$2:$BM$1001,MATCH(ROWS($AF$2:AF895),$AF$2:$AF$1001,0),MATCH(COLUMNS($AM$1006:BB1006),$AM$1006:$BM$1006,0)), HYPERLINK("#",""), HYPERLINK(CONCATENATE("#metadata!", ADDRESS(INDEX($AH$2:$AH$1001,MATCH(ROWS($AF$2:AF895),$AF$2:$AF$1001,0),0), INDEX($AM$1004:$BM$1004,1,MATCH(COLUMNS($AM$1006:BB1006),$AM$1006:$BM$1006,0)))),"Fix")))</f>
        <v xml:space="preserve"> </v>
      </c>
      <c r="R895" s="4" t="str">
        <f ca="1">IF(OR(INDEX($AG$2:$AG$1001,MATCH(ROWS($AF$2:AF895),$AF$2:$AF$1001,0),1)&gt;=100000,INDEX($AM$1005:$BM$1005,1,MATCH(COLUMNS($AM$1006:BC1006),$AM$1006:$BM$1006,0))&gt;=100000), " ",IF(INDEX($AM$2:$BM$1001,MATCH(ROWS($AF$2:AF895),$AF$2:$AF$1001,0),MATCH(COLUMNS($AM$1006:BC1006),$AM$1006:$BM$1006,0)), HYPERLINK("#",""), HYPERLINK(CONCATENATE("#metadata!", ADDRESS(INDEX($AH$2:$AH$1001,MATCH(ROWS($AF$2:AF895),$AF$2:$AF$1001,0),0), INDEX($AM$1004:$BM$1004,1,MATCH(COLUMNS($AM$1006:BC1006),$AM$1006:$BM$1006,0)))),"Fix")))</f>
        <v xml:space="preserve"> </v>
      </c>
      <c r="S895" s="4" t="str">
        <f ca="1">IF(OR(INDEX($AG$2:$AG$1001,MATCH(ROWS($AF$2:AF895),$AF$2:$AF$1001,0),1)&gt;=100000,INDEX($AM$1005:$BM$1005,1,MATCH(COLUMNS($AM$1006:BD1006),$AM$1006:$BM$1006,0))&gt;=100000), " ",IF(INDEX($AM$2:$BM$1001,MATCH(ROWS($AF$2:AF895),$AF$2:$AF$1001,0),MATCH(COLUMNS($AM$1006:BD1006),$AM$1006:$BM$1006,0)), HYPERLINK("#",""), HYPERLINK(CONCATENATE("#metadata!", ADDRESS(INDEX($AH$2:$AH$1001,MATCH(ROWS($AF$2:AF895),$AF$2:$AF$1001,0),0), INDEX($AM$1004:$BM$1004,1,MATCH(COLUMNS($AM$1006:BD1006),$AM$1006:$BM$1006,0)))),"Fix")))</f>
        <v xml:space="preserve"> </v>
      </c>
      <c r="T895" s="4" t="str">
        <f ca="1">IF(OR(INDEX($AG$2:$AG$1001,MATCH(ROWS($AF$2:AF895),$AF$2:$AF$1001,0),1)&gt;=100000,INDEX($AM$1005:$BM$1005,1,MATCH(COLUMNS($AM$1006:BE1006),$AM$1006:$BM$1006,0))&gt;=100000), " ",IF(INDEX($AM$2:$BM$1001,MATCH(ROWS($AF$2:AF895),$AF$2:$AF$1001,0),MATCH(COLUMNS($AM$1006:BE1006),$AM$1006:$BM$1006,0)), HYPERLINK("#",""), HYPERLINK(CONCATENATE("#metadata!", ADDRESS(INDEX($AH$2:$AH$1001,MATCH(ROWS($AF$2:AF895),$AF$2:$AF$1001,0),0), INDEX($AM$1004:$BM$1004,1,MATCH(COLUMNS($AM$1006:BE1006),$AM$1006:$BM$1006,0)))),"Fix")))</f>
        <v xml:space="preserve"> </v>
      </c>
      <c r="U895" s="4" t="str">
        <f ca="1">IF(OR(INDEX($AG$2:$AG$1001,MATCH(ROWS($AF$2:AF895),$AF$2:$AF$1001,0),1)&gt;=100000,INDEX($AM$1005:$BM$1005,1,MATCH(COLUMNS($AM$1006:BF1006),$AM$1006:$BM$1006,0))&gt;=100000), " ",IF(INDEX($AM$2:$BM$1001,MATCH(ROWS($AF$2:AF895),$AF$2:$AF$1001,0),MATCH(COLUMNS($AM$1006:BF1006),$AM$1006:$BM$1006,0)), HYPERLINK("#",""), HYPERLINK(CONCATENATE("#metadata!", ADDRESS(INDEX($AH$2:$AH$1001,MATCH(ROWS($AF$2:AF895),$AF$2:$AF$1001,0),0), INDEX($AM$1004:$BM$1004,1,MATCH(COLUMNS($AM$1006:BF1006),$AM$1006:$BM$1006,0)))),"Fix")))</f>
        <v xml:space="preserve"> </v>
      </c>
      <c r="V895" s="4" t="str">
        <f ca="1">IF(OR(INDEX($AG$2:$AG$1001,MATCH(ROWS($AF$2:AF895),$AF$2:$AF$1001,0),1)&gt;=100000,INDEX($AM$1005:$BM$1005,1,MATCH(COLUMNS($AM$1006:BG1006),$AM$1006:$BM$1006,0))&gt;=100000), " ",IF(INDEX($AM$2:$BM$1001,MATCH(ROWS($AF$2:AF895),$AF$2:$AF$1001,0),MATCH(COLUMNS($AM$1006:BG1006),$AM$1006:$BM$1006,0)), HYPERLINK("#",""), HYPERLINK(CONCATENATE("#metadata!", ADDRESS(INDEX($AH$2:$AH$1001,MATCH(ROWS($AF$2:AF895),$AF$2:$AF$1001,0),0), INDEX($AM$1004:$BM$1004,1,MATCH(COLUMNS($AM$1006:BG1006),$AM$1006:$BM$1006,0)))),"Fix")))</f>
        <v xml:space="preserve"> </v>
      </c>
      <c r="W895" s="4" t="str">
        <f ca="1">IF(OR(INDEX($AG$2:$AG$1001,MATCH(ROWS($AF$2:AF895),$AF$2:$AF$1001,0),1)&gt;=100000,INDEX($AM$1005:$BM$1005,1,MATCH(COLUMNS($AM$1006:BH1006),$AM$1006:$BM$1006,0))&gt;=100000), " ",IF(INDEX($AM$2:$BM$1001,MATCH(ROWS($AF$2:AF895),$AF$2:$AF$1001,0),MATCH(COLUMNS($AM$1006:BH1006),$AM$1006:$BM$1006,0)), HYPERLINK("#",""), HYPERLINK(CONCATENATE("#metadata!", ADDRESS(INDEX($AH$2:$AH$1001,MATCH(ROWS($AF$2:AF895),$AF$2:$AF$1001,0),0), INDEX($AM$1004:$BM$1004,1,MATCH(COLUMNS($AM$1006:BH1006),$AM$1006:$BM$1006,0)))),"Fix")))</f>
        <v xml:space="preserve"> </v>
      </c>
      <c r="X895" s="4" t="str">
        <f ca="1">IF(OR(INDEX($AG$2:$AG$1001,MATCH(ROWS($AF$2:AF895),$AF$2:$AF$1001,0),1)&gt;=100000,INDEX($AM$1005:$BM$1005,1,MATCH(COLUMNS($AM$1006:BI1006),$AM$1006:$BM$1006,0))&gt;=100000), " ",IF(INDEX($AM$2:$BM$1001,MATCH(ROWS($AF$2:AF895),$AF$2:$AF$1001,0),MATCH(COLUMNS($AM$1006:BI1006),$AM$1006:$BM$1006,0)), HYPERLINK("#",""), HYPERLINK(CONCATENATE("#metadata!", ADDRESS(INDEX($AH$2:$AH$1001,MATCH(ROWS($AF$2:AF895),$AF$2:$AF$1001,0),0), INDEX($AM$1004:$BM$1004,1,MATCH(COLUMNS($AM$1006:BI1006),$AM$1006:$BM$1006,0)))),"Fix")))</f>
        <v xml:space="preserve"> </v>
      </c>
      <c r="Y895" s="4" t="str">
        <f ca="1">IF(OR(INDEX($AG$2:$AG$1001,MATCH(ROWS($AF$2:AF895),$AF$2:$AF$1001,0),1)&gt;=100000,INDEX($AM$1005:$BM$1005,1,MATCH(COLUMNS($AM$1006:BJ1006),$AM$1006:$BM$1006,0))&gt;=100000), " ",IF(INDEX($AM$2:$BM$1001,MATCH(ROWS($AF$2:AF895),$AF$2:$AF$1001,0),MATCH(COLUMNS($AM$1006:BJ1006),$AM$1006:$BM$1006,0)), HYPERLINK("#",""), HYPERLINK(CONCATENATE("#metadata!", ADDRESS(INDEX($AH$2:$AH$1001,MATCH(ROWS($AF$2:AF895),$AF$2:$AF$1001,0),0), INDEX($AM$1004:$BM$1004,1,MATCH(COLUMNS($AM$1006:BJ1006),$AM$1006:$BM$1006,0)))),"Fix")))</f>
        <v xml:space="preserve"> </v>
      </c>
      <c r="Z895" s="4" t="str">
        <f ca="1">IF(OR(INDEX($AG$2:$AG$1001,MATCH(ROWS($AF$2:AF895),$AF$2:$AF$1001,0),1)&gt;=100000,INDEX($AM$1005:$BM$1005,1,MATCH(COLUMNS($AM$1006:BK1006),$AM$1006:$BM$1006,0))&gt;=100000), " ",IF(INDEX($AM$2:$BM$1001,MATCH(ROWS($AF$2:AF895),$AF$2:$AF$1001,0),MATCH(COLUMNS($AM$1006:BK1006),$AM$1006:$BM$1006,0)), HYPERLINK("#",""), HYPERLINK(CONCATENATE("#metadata!", ADDRESS(INDEX($AH$2:$AH$1001,MATCH(ROWS($AF$2:AF895),$AF$2:$AF$1001,0),0), INDEX($AM$1004:$BM$1004,1,MATCH(COLUMNS($AM$1006:BK1006),$AM$1006:$BM$1006,0)))),"Fix")))</f>
        <v xml:space="preserve"> </v>
      </c>
      <c r="AA895" s="4" t="str">
        <f ca="1">IF(OR(INDEX($AG$2:$AG$1001,MATCH(ROWS($AF$2:AF895),$AF$2:$AF$1001,0),1)&gt;=100000,INDEX($AM$1005:$BM$1005,1,MATCH(COLUMNS($AM$1006:BL1006),$AM$1006:$BM$1006,0))&gt;=100000), " ",IF(INDEX($AM$2:$BM$1001,MATCH(ROWS($AF$2:AF895),$AF$2:$AF$1001,0),MATCH(COLUMNS($AM$1006:BL1006),$AM$1006:$BM$1006,0)), HYPERLINK("#",""), HYPERLINK(CONCATENATE("#metadata!", ADDRESS(INDEX($AH$2:$AH$1001,MATCH(ROWS($AF$2:AF895),$AF$2:$AF$1001,0),0), INDEX($AM$1004:$BM$1004,1,MATCH(COLUMNS($AM$1006:BL1006),$AM$1006:$BM$1006,0)))),"Fix")))</f>
        <v xml:space="preserve"> </v>
      </c>
      <c r="AB895" s="4" t="str">
        <f ca="1">IF(OR(INDEX($AG$2:$AG$1001,MATCH(ROWS($AF$2:AF895),$AF$2:$AF$1001,0),1)&gt;=100000,INDEX($AM$1005:$BM$1005,1,MATCH(COLUMNS($AM$1006:BM1006),$AM$1006:$BM$1006,0))&gt;=100000), " ",IF(INDEX($AM$2:$BM$1001,MATCH(ROWS($AF$2:AF895),$AF$2:$AF$1001,0),MATCH(COLUMNS($AM$1006:BM1006),$AM$1006:$BM$1006,0)), HYPERLINK("#",""), HYPERLINK(CONCATENATE("#metadata!", ADDRESS(INDEX($AH$2:$AH$1001,MATCH(ROWS($AF$2:AF895),$AF$2:$AF$1001,0),0), INDEX($AM$1004:$BM$1004,1,MATCH(COLUMNS($AM$1006:BM1006),$AM$1006:$BM$1006,0)))),"Fix")))</f>
        <v xml:space="preserve"> </v>
      </c>
      <c r="AF895">
        <v>894</v>
      </c>
      <c r="AG895">
        <v>100895</v>
      </c>
      <c r="AH895">
        <v>895</v>
      </c>
      <c r="AI895" t="b">
        <f t="shared" si="13"/>
        <v>1</v>
      </c>
      <c r="AJ895" t="b">
        <f>COUNTBLANK(metadata!B895:AB895)=COLUMNS(metadata!B895:AB895)</f>
        <v>1</v>
      </c>
      <c r="AK895" t="str">
        <v/>
      </c>
      <c r="AM895" t="b">
        <f ca="1">AND(IF(metadata!B895="",FALSE,TRUE),COUNTIF(metadata!B:B, metadata!B895) = 1,NOT(ISERROR(SUMPRODUCT(SEARCH(MID(metadata!B895,ROW(INDIRECT("1:"&amp;LEN(metadata!B895))), 1),"0123456789abcdefghijklmnopqrstuvwxyzABCDEFGHIJKLMNOPQRSTUVWXYZ.")))))</f>
        <v>0</v>
      </c>
      <c r="AN895" t="b">
        <f ca="1">OR(AND(IF(metadata!C895="",FALSE,TRUE),OR(EXACT(metadata!C895,"missing: not collected"),EXACT(metadata!C895,"missing: not provided"),EXACT(metadata!C895,"missing: restricted access"))),AND(IF(metadata!C895="",FALSE,TRUE),AND(AND(IFERROR(INT(LEFT(metadata!C895,4))&gt;1900,FALSE),IFERROR(INT(LEFT(metadata!C895,4))&lt;=YEAR(NOW()),FALSE)), OR(MID(metadata!C895,5,1)="", AND(AND(MID(metadata!C895,5,1)="-",IFERROR(INT(MID(metadata!C895,6,1))&gt;=0,FALSE),IFERROR(INT(MID(metadata!C895,6,1))&lt;=1,FALSE),NOT(MID(metadata!C895,7,1)=""),IFERROR(INT(MID(metadata!C895,6,2))&gt;=1,FALSE),IFERROR(INT(MID(metadata!C895,6,2))&lt;=12,FALSE)), OR(MID(metadata!C895,8,1)="", AND(AND(MID(metadata!C895,8,1)="-",IFERROR(INT(MID(metadata!C895,9,1))&gt;=0,FALSE),IFERROR(INT(MID(metadata!C895,9,1))&lt;=3,FALSE),NOT(MID(metadata!C895,10,1)=""),IFERROR(INT(MID(metadata!C895,9,2))&gt;=1,FALSE),IFERROR(INT(MID(metadata!C895,9,2))&lt;=31,FALSE)), OR(MID(metadata!C895,11,1)="", AND(AND(MID(metadata!C895,11,1)=" ",IFERROR(INT(MID(metadata!C895,12,1))&gt;=0,FALSE),IFERROR(INT(MID(metadata!C895,12,1))&lt;=2,FALSE),NOT(MID(metadata!C895,13,1)=""),IFERROR(INT(MID(metadata!C895,12,2))&gt;=0,FALSE),IFERROR(INT(MID(metadata!C895,12,2))&lt;=23,FALSE)), OR(MID(metadata!C895,14,1)="", AND(AND(MID(metadata!C895,14,1)=":",IFERROR(INT(MID(metadata!C895,15,1))&gt;=0,FALSE),IFERROR(INT(MID(metadata!C895,15,1))&lt;=5,FALSE),NOT(MID(metadata!C895,16,1)=""),IFERROR(INT(MID(metadata!C895,15,2))&gt;=0,FALSE),IFERROR(INT(MID(metadata!C895,15,2))&lt;=59,FALSE)), OR(MID(metadata!C895,17,1)="", AND(AND(MID(metadata!C895,17,1)=":",IFERROR(INT(MID(metadata!C895,18,1))&gt;=0,FALSE),IFERROR(INT(MID(metadata!C895,18,1))&lt;=5,FALSE),NOT(MID(metadata!C895,19,1)=""),IFERROR(INT(MID(metadata!C895,18,2))&gt;=0,FALSE),IFERROR(INT(MID(metadata!C895,18,2))&lt;=59,FALSE)), LEN(metadata!C895)&lt;=19)))))))))))))</f>
        <v>0</v>
      </c>
      <c r="AO895" t="b">
        <f>AND(IF(metadata!D895="",FALSE,TRUE),EXACT(metadata!D895,"Not applicable"))</f>
        <v>0</v>
      </c>
      <c r="AP895" t="b">
        <f>IF(metadata!E895="",FALSE,TRUE)</f>
        <v>0</v>
      </c>
      <c r="AQ895" t="b">
        <f>OR(AND(IF(metadata!F895="",FALSE,TRUE),OR(EXACT(metadata!F895,"missing: not collected"),EXACT(metadata!F895,"missing: not provided"))),AND(IF(metadata!F895="",FALSE,TRUE),OR(EXACT(metadata!F895,"TRUE"),EXACT(metadata!F895,"FALSE"))))</f>
        <v>0</v>
      </c>
      <c r="AR895" t="b">
        <f>OR(AND(IF(metadata!G895="",FALSE,TRUE),OR(EXACT(metadata!G895,"missing: not collected"),EXACT(metadata!G895,"missing: not provided"),EXACT(metadata!G895,"missing: restricted access"))),AND(IF(metadata!G895="",FALSE,ISNUMBER(VALUE(metadata!G895))),metadata!G895&gt;=-413))</f>
        <v>0</v>
      </c>
      <c r="AS895" t="b">
        <f>AND(IF(metadata!H895="",FALSE,TRUE),EXACT(metadata!H895,"meters"))</f>
        <v>0</v>
      </c>
      <c r="AT895" t="b">
        <f>AND(IF(metadata!I895="",FALSE,TRUE),OR(EXACT(metadata!I895,"Host-associated"),EXACT(metadata!I895,"Free-living")))</f>
        <v>0</v>
      </c>
      <c r="AU895" t="b">
        <f>AND(IF(metadata!J895="",FALSE,TRUE),OR(EXACT(metadata!J895,"Animal"),EXACT(metadata!J895,"Fungus"),EXACT(metadata!J895,"Plant"),EXACT(metadata!J895,"Saline"),EXACT(metadata!J895,"Non-saline")))</f>
        <v>0</v>
      </c>
      <c r="AV895" t="b">
        <f>AND(IF(metadata!K895="",FALSE,TRUE),OR(EXACT(metadata!K895,"Plant secretion"),EXACT(metadata!K895,"Plant rhizosphere"),EXACT(metadata!K895,"Plant surface"),EXACT(metadata!K895,"Plant corpus"),EXACT(metadata!K895,"Fungus surface"),EXACT(metadata!K895,"Fungus corpus"),EXACT(metadata!K895,"Animal surface"),EXACT(metadata!K895,"Animal proximal gut"),EXACT(metadata!K895,"Animal corpus"),EXACT(metadata!K895,"Animal distal gut"),EXACT(metadata!K895,"Animal secretion"),EXACT(metadata!K895,"Sub-surface (non-saline)"),EXACT(metadata!K895,"Surface (non-saline)"),EXACT(metadata!K895,"Water (non-saline)"),EXACT(metadata!K895,"Soil (non-saline)"),EXACT(metadata!K895,"Aerosol (non-saline)"),EXACT(metadata!K895,"Sediment (non-saline)"),EXACT(metadata!K895,"Surface (saline)"),EXACT(metadata!K895,"Water (saline)"),EXACT(metadata!K895,"Hypersaline (saline)"),EXACT(metadata!K895,"Aerosol (saline)"),EXACT(metadata!K895,"Sediment (saline)")))</f>
        <v>0</v>
      </c>
      <c r="AW895" t="b">
        <f>IF(metadata!L895="",FALSE,TRUE)</f>
        <v>0</v>
      </c>
      <c r="AX895" t="b">
        <f>IF(metadata!M895="",FALSE,TRUE)</f>
        <v>0</v>
      </c>
      <c r="AY895" t="b">
        <f>IF(metadata!N895="",FALSE,TRUE)</f>
        <v>0</v>
      </c>
      <c r="AZ895" t="b">
        <f>OR(AND(IF(metadata!O895="",FALSE,TRUE),OR(EXACT(metadata!O895,"missing: not collected"),EXACT(metadata!O895,"missing: not provided"),EXACT(metadata!O895,"missing: restricted access"))),AND(IF(metadata!O895="",FALSE,TRUE),OR(EXACT(metadata!O895,"air"),EXACT(metadata!O895,"built environment"),EXACT(metadata!O895,"host-associated"),EXACT(metadata!O895,"human-associated"),EXACT(metadata!O895,"human-skin"),EXACT(metadata!O895,"human-oral"),EXACT(metadata!O895,"human-gut"),EXACT(metadata!O895,"human-vaginal"),EXACT(metadata!O895,"microbial mat/biofilm"),EXACT(metadata!O895,"misc environment"),EXACT(metadata!O895,"plant-associated"),EXACT(metadata!O895,"sediment"),EXACT(metadata!O895,"soil"),EXACT(metadata!O895,"wastewater/sludge"),EXACT(metadata!O895,"water"))))</f>
        <v>0</v>
      </c>
      <c r="BA895" t="b">
        <f>IF(metadata!P895="",FALSE,TRUE)</f>
        <v>0</v>
      </c>
      <c r="BB895" t="b">
        <f>IF(metadata!Q895="",FALSE,TRUE)</f>
        <v>0</v>
      </c>
      <c r="BC895" t="b">
        <f>OR(AND(IF(metadata!R895="",FALSE,TRUE),OR(EXACT(metadata!R895,"missing: not collected"),EXACT(metadata!R895,"missing: not provided"),EXACT(metadata!R895,"missing: restricted access"))),AND(IF(metadata!R895="",FALSE,ISNUMBER(VALUE(metadata!R895))),metadata!R895&gt;=-90,metadata!R895&lt;=90))</f>
        <v>0</v>
      </c>
      <c r="BD895" t="b">
        <f>AND(IF(metadata!S895="",FALSE,TRUE),EXACT(metadata!S895,"Decimal degrees"))</f>
        <v>0</v>
      </c>
      <c r="BE895" t="b">
        <f>OR(AND(IF(metadata!T895="",FALSE,TRUE),OR(EXACT(metadata!T895,"missing: not collected"),EXACT(metadata!T895,"missing: not provided"),EXACT(metadata!T895,"missing: restricted access"))),AND(IF(metadata!T895="",FALSE,ISNUMBER(VALUE(metadata!T895))),metadata!T895&gt;=-180,metadata!T895&lt;=180))</f>
        <v>0</v>
      </c>
      <c r="BF895" t="b">
        <f>AND(IF(metadata!U895="",FALSE,TRUE),EXACT(metadata!U895,"Decimal degrees"))</f>
        <v>0</v>
      </c>
      <c r="BG895" t="b">
        <f>IF(metadata!V895="",FALSE,TRUE)</f>
        <v>0</v>
      </c>
      <c r="BH895" t="b">
        <f>OR(AND(IF(metadata!W895="",FALSE,TRUE),OR(EXACT(metadata!W895,"missing: not collected"),EXACT(metadata!W895,"missing: not provided"),EXACT(metadata!W895,"missing: restricted access"))),AND(IF(metadata!W895="",FALSE,TRUE),OR(EXACT(metadata!W895,"TRUE"),EXACT(metadata!W895,"FALSE"))))</f>
        <v>0</v>
      </c>
      <c r="BI895" t="b">
        <f>AND(IF(metadata!X895="",FALSE,TRUE),EXACT(metadata!X895,"other"))</f>
        <v>0</v>
      </c>
      <c r="BJ895" t="b">
        <f>IF(metadata!Y895="",FALSE,TRUE)</f>
        <v>0</v>
      </c>
      <c r="BK895" t="b">
        <f>OR(AND(IF(metadata!Z895="",FALSE,TRUE),OR(EXACT(metadata!Z895,"missing: not collected"),EXACT(metadata!Z895,"missing: not provided"))),AND(IF(metadata!Z895="",FALSE,IF(ISERROR(INT(metadata!Z895)),FALSE,INT(metadata!Z895)=metadata!Z895)),metadata!Z895&gt;0))</f>
        <v>0</v>
      </c>
      <c r="BL895" t="b">
        <f>AND(IF(metadata!AA895="",FALSE,TRUE),EXACT(metadata!AA895,"Not applicable"))</f>
        <v>0</v>
      </c>
      <c r="BM895" t="b">
        <f>IF(metadata!AB895="",FALSE,TRUE)</f>
        <v>0</v>
      </c>
    </row>
    <row r="896" spans="1:65" x14ac:dyDescent="0.2">
      <c r="A896" s="5" t="str">
        <f ca="1">IF(B896=" "," ",HYPERLINK(CONCATENATE("#metadata!",ADDRESS(INDEX($AH$2:$AH$1001,MATCH(ROWS($AF$2:AF896),$AF$2:$AF$1001,0),0),1)),INDEX($AK$2:$AK$1001,MATCH(ROWS($AF$2:AF896),$AF$2:$AF$1001,0),0)))</f>
        <v xml:space="preserve"> </v>
      </c>
      <c r="B896" s="4" t="str">
        <f ca="1">IF(OR(INDEX($AG$2:$AG$1001,MATCH(ROWS($AF$2:AF896),$AF$2:$AF$1001,0),1)&gt;=100000,INDEX($AM$1005:$BM$1005,1,MATCH(COLUMNS($AM$1006:AM1006),$AM$1006:$BM$1006,0))&gt;=100000), " ",IF(INDEX($AM$2:$BM$1001,MATCH(ROWS($AF$2:AF896),$AF$2:$AF$1001,0),MATCH(COLUMNS($AM$1006:AM1006),$AM$1006:$BM$1006,0)), HYPERLINK("#",""), HYPERLINK(CONCATENATE("#metadata!", ADDRESS(INDEX($AH$2:$AH$1001,MATCH(ROWS($AF$2:AF896),$AF$2:$AF$1001,0),0), INDEX($AM$1004:$BM$1004,1,MATCH(COLUMNS($AM$1006:AM1006),$AM$1006:$BM$1006,0)))),"Fix")))</f>
        <v xml:space="preserve"> </v>
      </c>
      <c r="C896" s="4" t="str">
        <f ca="1">IF(OR(INDEX($AG$2:$AG$1001,MATCH(ROWS($AF$2:AF896),$AF$2:$AF$1001,0),1)&gt;=100000,INDEX($AM$1005:$BM$1005,1,MATCH(COLUMNS($AM$1006:AN1006),$AM$1006:$BM$1006,0))&gt;=100000), " ",IF(INDEX($AM$2:$BM$1001,MATCH(ROWS($AF$2:AF896),$AF$2:$AF$1001,0),MATCH(COLUMNS($AM$1006:AN1006),$AM$1006:$BM$1006,0)), HYPERLINK("#",""), HYPERLINK(CONCATENATE("#metadata!", ADDRESS(INDEX($AH$2:$AH$1001,MATCH(ROWS($AF$2:AF896),$AF$2:$AF$1001,0),0), INDEX($AM$1004:$BM$1004,1,MATCH(COLUMNS($AM$1006:AN1006),$AM$1006:$BM$1006,0)))),"Fix")))</f>
        <v xml:space="preserve"> </v>
      </c>
      <c r="D896" s="4" t="str">
        <f ca="1">IF(OR(INDEX($AG$2:$AG$1001,MATCH(ROWS($AF$2:AF896),$AF$2:$AF$1001,0),1)&gt;=100000,INDEX($AM$1005:$BM$1005,1,MATCH(COLUMNS($AM$1006:AO1006),$AM$1006:$BM$1006,0))&gt;=100000), " ",IF(INDEX($AM$2:$BM$1001,MATCH(ROWS($AF$2:AF896),$AF$2:$AF$1001,0),MATCH(COLUMNS($AM$1006:AO1006),$AM$1006:$BM$1006,0)), HYPERLINK("#",""), HYPERLINK(CONCATENATE("#metadata!", ADDRESS(INDEX($AH$2:$AH$1001,MATCH(ROWS($AF$2:AF896),$AF$2:$AF$1001,0),0), INDEX($AM$1004:$BM$1004,1,MATCH(COLUMNS($AM$1006:AO1006),$AM$1006:$BM$1006,0)))),"Fix")))</f>
        <v xml:space="preserve"> </v>
      </c>
      <c r="E896" s="4" t="str">
        <f ca="1">IF(OR(INDEX($AG$2:$AG$1001,MATCH(ROWS($AF$2:AF896),$AF$2:$AF$1001,0),1)&gt;=100000,INDEX($AM$1005:$BM$1005,1,MATCH(COLUMNS($AM$1006:AP1006),$AM$1006:$BM$1006,0))&gt;=100000), " ",IF(INDEX($AM$2:$BM$1001,MATCH(ROWS($AF$2:AF896),$AF$2:$AF$1001,0),MATCH(COLUMNS($AM$1006:AP1006),$AM$1006:$BM$1006,0)), HYPERLINK("#",""), HYPERLINK(CONCATENATE("#metadata!", ADDRESS(INDEX($AH$2:$AH$1001,MATCH(ROWS($AF$2:AF896),$AF$2:$AF$1001,0),0), INDEX($AM$1004:$BM$1004,1,MATCH(COLUMNS($AM$1006:AP1006),$AM$1006:$BM$1006,0)))),"Fix")))</f>
        <v xml:space="preserve"> </v>
      </c>
      <c r="F896" s="4" t="str">
        <f ca="1">IF(OR(INDEX($AG$2:$AG$1001,MATCH(ROWS($AF$2:AF896),$AF$2:$AF$1001,0),1)&gt;=100000,INDEX($AM$1005:$BM$1005,1,MATCH(COLUMNS($AM$1006:AQ1006),$AM$1006:$BM$1006,0))&gt;=100000), " ",IF(INDEX($AM$2:$BM$1001,MATCH(ROWS($AF$2:AF896),$AF$2:$AF$1001,0),MATCH(COLUMNS($AM$1006:AQ1006),$AM$1006:$BM$1006,0)), HYPERLINK("#",""), HYPERLINK(CONCATENATE("#metadata!", ADDRESS(INDEX($AH$2:$AH$1001,MATCH(ROWS($AF$2:AF896),$AF$2:$AF$1001,0),0), INDEX($AM$1004:$BM$1004,1,MATCH(COLUMNS($AM$1006:AQ1006),$AM$1006:$BM$1006,0)))),"Fix")))</f>
        <v xml:space="preserve"> </v>
      </c>
      <c r="G896" s="4" t="str">
        <f ca="1">IF(OR(INDEX($AG$2:$AG$1001,MATCH(ROWS($AF$2:AF896),$AF$2:$AF$1001,0),1)&gt;=100000,INDEX($AM$1005:$BM$1005,1,MATCH(COLUMNS($AM$1006:AR1006),$AM$1006:$BM$1006,0))&gt;=100000), " ",IF(INDEX($AM$2:$BM$1001,MATCH(ROWS($AF$2:AF896),$AF$2:$AF$1001,0),MATCH(COLUMNS($AM$1006:AR1006),$AM$1006:$BM$1006,0)), HYPERLINK("#",""), HYPERLINK(CONCATENATE("#metadata!", ADDRESS(INDEX($AH$2:$AH$1001,MATCH(ROWS($AF$2:AF896),$AF$2:$AF$1001,0),0), INDEX($AM$1004:$BM$1004,1,MATCH(COLUMNS($AM$1006:AR1006),$AM$1006:$BM$1006,0)))),"Fix")))</f>
        <v xml:space="preserve"> </v>
      </c>
      <c r="H896" s="4" t="str">
        <f ca="1">IF(OR(INDEX($AG$2:$AG$1001,MATCH(ROWS($AF$2:AF896),$AF$2:$AF$1001,0),1)&gt;=100000,INDEX($AM$1005:$BM$1005,1,MATCH(COLUMNS($AM$1006:AS1006),$AM$1006:$BM$1006,0))&gt;=100000), " ",IF(INDEX($AM$2:$BM$1001,MATCH(ROWS($AF$2:AF896),$AF$2:$AF$1001,0),MATCH(COLUMNS($AM$1006:AS1006),$AM$1006:$BM$1006,0)), HYPERLINK("#",""), HYPERLINK(CONCATENATE("#metadata!", ADDRESS(INDEX($AH$2:$AH$1001,MATCH(ROWS($AF$2:AF896),$AF$2:$AF$1001,0),0), INDEX($AM$1004:$BM$1004,1,MATCH(COLUMNS($AM$1006:AS1006),$AM$1006:$BM$1006,0)))),"Fix")))</f>
        <v xml:space="preserve"> </v>
      </c>
      <c r="I896" s="4" t="str">
        <f ca="1">IF(OR(INDEX($AG$2:$AG$1001,MATCH(ROWS($AF$2:AF896),$AF$2:$AF$1001,0),1)&gt;=100000,INDEX($AM$1005:$BM$1005,1,MATCH(COLUMNS($AM$1006:AT1006),$AM$1006:$BM$1006,0))&gt;=100000), " ",IF(INDEX($AM$2:$BM$1001,MATCH(ROWS($AF$2:AF896),$AF$2:$AF$1001,0),MATCH(COLUMNS($AM$1006:AT1006),$AM$1006:$BM$1006,0)), HYPERLINK("#",""), HYPERLINK(CONCATENATE("#metadata!", ADDRESS(INDEX($AH$2:$AH$1001,MATCH(ROWS($AF$2:AF896),$AF$2:$AF$1001,0),0), INDEX($AM$1004:$BM$1004,1,MATCH(COLUMNS($AM$1006:AT1006),$AM$1006:$BM$1006,0)))),"Fix")))</f>
        <v xml:space="preserve"> </v>
      </c>
      <c r="J896" s="4" t="str">
        <f ca="1">IF(OR(INDEX($AG$2:$AG$1001,MATCH(ROWS($AF$2:AF896),$AF$2:$AF$1001,0),1)&gt;=100000,INDEX($AM$1005:$BM$1005,1,MATCH(COLUMNS($AM$1006:AU1006),$AM$1006:$BM$1006,0))&gt;=100000), " ",IF(INDEX($AM$2:$BM$1001,MATCH(ROWS($AF$2:AF896),$AF$2:$AF$1001,0),MATCH(COLUMNS($AM$1006:AU1006),$AM$1006:$BM$1006,0)), HYPERLINK("#",""), HYPERLINK(CONCATENATE("#metadata!", ADDRESS(INDEX($AH$2:$AH$1001,MATCH(ROWS($AF$2:AF896),$AF$2:$AF$1001,0),0), INDEX($AM$1004:$BM$1004,1,MATCH(COLUMNS($AM$1006:AU1006),$AM$1006:$BM$1006,0)))),"Fix")))</f>
        <v xml:space="preserve"> </v>
      </c>
      <c r="K896" s="4" t="str">
        <f ca="1">IF(OR(INDEX($AG$2:$AG$1001,MATCH(ROWS($AF$2:AF896),$AF$2:$AF$1001,0),1)&gt;=100000,INDEX($AM$1005:$BM$1005,1,MATCH(COLUMNS($AM$1006:AV1006),$AM$1006:$BM$1006,0))&gt;=100000), " ",IF(INDEX($AM$2:$BM$1001,MATCH(ROWS($AF$2:AF896),$AF$2:$AF$1001,0),MATCH(COLUMNS($AM$1006:AV1006),$AM$1006:$BM$1006,0)), HYPERLINK("#",""), HYPERLINK(CONCATENATE("#metadata!", ADDRESS(INDEX($AH$2:$AH$1001,MATCH(ROWS($AF$2:AF896),$AF$2:$AF$1001,0),0), INDEX($AM$1004:$BM$1004,1,MATCH(COLUMNS($AM$1006:AV1006),$AM$1006:$BM$1006,0)))),"Fix")))</f>
        <v xml:space="preserve"> </v>
      </c>
      <c r="L896" s="4" t="str">
        <f ca="1">IF(OR(INDEX($AG$2:$AG$1001,MATCH(ROWS($AF$2:AF896),$AF$2:$AF$1001,0),1)&gt;=100000,INDEX($AM$1005:$BM$1005,1,MATCH(COLUMNS($AM$1006:AW1006),$AM$1006:$BM$1006,0))&gt;=100000), " ",IF(INDEX($AM$2:$BM$1001,MATCH(ROWS($AF$2:AF896),$AF$2:$AF$1001,0),MATCH(COLUMNS($AM$1006:AW1006),$AM$1006:$BM$1006,0)), HYPERLINK("#",""), HYPERLINK(CONCATENATE("#metadata!", ADDRESS(INDEX($AH$2:$AH$1001,MATCH(ROWS($AF$2:AF896),$AF$2:$AF$1001,0),0), INDEX($AM$1004:$BM$1004,1,MATCH(COLUMNS($AM$1006:AW1006),$AM$1006:$BM$1006,0)))),"Fix")))</f>
        <v xml:space="preserve"> </v>
      </c>
      <c r="M896" s="4" t="str">
        <f ca="1">IF(OR(INDEX($AG$2:$AG$1001,MATCH(ROWS($AF$2:AF896),$AF$2:$AF$1001,0),1)&gt;=100000,INDEX($AM$1005:$BM$1005,1,MATCH(COLUMNS($AM$1006:AX1006),$AM$1006:$BM$1006,0))&gt;=100000), " ",IF(INDEX($AM$2:$BM$1001,MATCH(ROWS($AF$2:AF896),$AF$2:$AF$1001,0),MATCH(COLUMNS($AM$1006:AX1006),$AM$1006:$BM$1006,0)), HYPERLINK("#",""), HYPERLINK(CONCATENATE("#metadata!", ADDRESS(INDEX($AH$2:$AH$1001,MATCH(ROWS($AF$2:AF896),$AF$2:$AF$1001,0),0), INDEX($AM$1004:$BM$1004,1,MATCH(COLUMNS($AM$1006:AX1006),$AM$1006:$BM$1006,0)))),"Fix")))</f>
        <v xml:space="preserve"> </v>
      </c>
      <c r="N896" s="4" t="str">
        <f ca="1">IF(OR(INDEX($AG$2:$AG$1001,MATCH(ROWS($AF$2:AF896),$AF$2:$AF$1001,0),1)&gt;=100000,INDEX($AM$1005:$BM$1005,1,MATCH(COLUMNS($AM$1006:AY1006),$AM$1006:$BM$1006,0))&gt;=100000), " ",IF(INDEX($AM$2:$BM$1001,MATCH(ROWS($AF$2:AF896),$AF$2:$AF$1001,0),MATCH(COLUMNS($AM$1006:AY1006),$AM$1006:$BM$1006,0)), HYPERLINK("#",""), HYPERLINK(CONCATENATE("#metadata!", ADDRESS(INDEX($AH$2:$AH$1001,MATCH(ROWS($AF$2:AF896),$AF$2:$AF$1001,0),0), INDEX($AM$1004:$BM$1004,1,MATCH(COLUMNS($AM$1006:AY1006),$AM$1006:$BM$1006,0)))),"Fix")))</f>
        <v xml:space="preserve"> </v>
      </c>
      <c r="O896" s="4" t="str">
        <f ca="1">IF(OR(INDEX($AG$2:$AG$1001,MATCH(ROWS($AF$2:AF896),$AF$2:$AF$1001,0),1)&gt;=100000,INDEX($AM$1005:$BM$1005,1,MATCH(COLUMNS($AM$1006:AZ1006),$AM$1006:$BM$1006,0))&gt;=100000), " ",IF(INDEX($AM$2:$BM$1001,MATCH(ROWS($AF$2:AF896),$AF$2:$AF$1001,0),MATCH(COLUMNS($AM$1006:AZ1006),$AM$1006:$BM$1006,0)), HYPERLINK("#",""), HYPERLINK(CONCATENATE("#metadata!", ADDRESS(INDEX($AH$2:$AH$1001,MATCH(ROWS($AF$2:AF896),$AF$2:$AF$1001,0),0), INDEX($AM$1004:$BM$1004,1,MATCH(COLUMNS($AM$1006:AZ1006),$AM$1006:$BM$1006,0)))),"Fix")))</f>
        <v xml:space="preserve"> </v>
      </c>
      <c r="P896" s="4" t="str">
        <f ca="1">IF(OR(INDEX($AG$2:$AG$1001,MATCH(ROWS($AF$2:AF896),$AF$2:$AF$1001,0),1)&gt;=100000,INDEX($AM$1005:$BM$1005,1,MATCH(COLUMNS($AM$1006:BA1006),$AM$1006:$BM$1006,0))&gt;=100000), " ",IF(INDEX($AM$2:$BM$1001,MATCH(ROWS($AF$2:AF896),$AF$2:$AF$1001,0),MATCH(COLUMNS($AM$1006:BA1006),$AM$1006:$BM$1006,0)), HYPERLINK("#",""), HYPERLINK(CONCATENATE("#metadata!", ADDRESS(INDEX($AH$2:$AH$1001,MATCH(ROWS($AF$2:AF896),$AF$2:$AF$1001,0),0), INDEX($AM$1004:$BM$1004,1,MATCH(COLUMNS($AM$1006:BA1006),$AM$1006:$BM$1006,0)))),"Fix")))</f>
        <v xml:space="preserve"> </v>
      </c>
      <c r="Q896" s="4" t="str">
        <f ca="1">IF(OR(INDEX($AG$2:$AG$1001,MATCH(ROWS($AF$2:AF896),$AF$2:$AF$1001,0),1)&gt;=100000,INDEX($AM$1005:$BM$1005,1,MATCH(COLUMNS($AM$1006:BB1006),$AM$1006:$BM$1006,0))&gt;=100000), " ",IF(INDEX($AM$2:$BM$1001,MATCH(ROWS($AF$2:AF896),$AF$2:$AF$1001,0),MATCH(COLUMNS($AM$1006:BB1006),$AM$1006:$BM$1006,0)), HYPERLINK("#",""), HYPERLINK(CONCATENATE("#metadata!", ADDRESS(INDEX($AH$2:$AH$1001,MATCH(ROWS($AF$2:AF896),$AF$2:$AF$1001,0),0), INDEX($AM$1004:$BM$1004,1,MATCH(COLUMNS($AM$1006:BB1006),$AM$1006:$BM$1006,0)))),"Fix")))</f>
        <v xml:space="preserve"> </v>
      </c>
      <c r="R896" s="4" t="str">
        <f ca="1">IF(OR(INDEX($AG$2:$AG$1001,MATCH(ROWS($AF$2:AF896),$AF$2:$AF$1001,0),1)&gt;=100000,INDEX($AM$1005:$BM$1005,1,MATCH(COLUMNS($AM$1006:BC1006),$AM$1006:$BM$1006,0))&gt;=100000), " ",IF(INDEX($AM$2:$BM$1001,MATCH(ROWS($AF$2:AF896),$AF$2:$AF$1001,0),MATCH(COLUMNS($AM$1006:BC1006),$AM$1006:$BM$1006,0)), HYPERLINK("#",""), HYPERLINK(CONCATENATE("#metadata!", ADDRESS(INDEX($AH$2:$AH$1001,MATCH(ROWS($AF$2:AF896),$AF$2:$AF$1001,0),0), INDEX($AM$1004:$BM$1004,1,MATCH(COLUMNS($AM$1006:BC1006),$AM$1006:$BM$1006,0)))),"Fix")))</f>
        <v xml:space="preserve"> </v>
      </c>
      <c r="S896" s="4" t="str">
        <f ca="1">IF(OR(INDEX($AG$2:$AG$1001,MATCH(ROWS($AF$2:AF896),$AF$2:$AF$1001,0),1)&gt;=100000,INDEX($AM$1005:$BM$1005,1,MATCH(COLUMNS($AM$1006:BD1006),$AM$1006:$BM$1006,0))&gt;=100000), " ",IF(INDEX($AM$2:$BM$1001,MATCH(ROWS($AF$2:AF896),$AF$2:$AF$1001,0),MATCH(COLUMNS($AM$1006:BD1006),$AM$1006:$BM$1006,0)), HYPERLINK("#",""), HYPERLINK(CONCATENATE("#metadata!", ADDRESS(INDEX($AH$2:$AH$1001,MATCH(ROWS($AF$2:AF896),$AF$2:$AF$1001,0),0), INDEX($AM$1004:$BM$1004,1,MATCH(COLUMNS($AM$1006:BD1006),$AM$1006:$BM$1006,0)))),"Fix")))</f>
        <v xml:space="preserve"> </v>
      </c>
      <c r="T896" s="4" t="str">
        <f ca="1">IF(OR(INDEX($AG$2:$AG$1001,MATCH(ROWS($AF$2:AF896),$AF$2:$AF$1001,0),1)&gt;=100000,INDEX($AM$1005:$BM$1005,1,MATCH(COLUMNS($AM$1006:BE1006),$AM$1006:$BM$1006,0))&gt;=100000), " ",IF(INDEX($AM$2:$BM$1001,MATCH(ROWS($AF$2:AF896),$AF$2:$AF$1001,0),MATCH(COLUMNS($AM$1006:BE1006),$AM$1006:$BM$1006,0)), HYPERLINK("#",""), HYPERLINK(CONCATENATE("#metadata!", ADDRESS(INDEX($AH$2:$AH$1001,MATCH(ROWS($AF$2:AF896),$AF$2:$AF$1001,0),0), INDEX($AM$1004:$BM$1004,1,MATCH(COLUMNS($AM$1006:BE1006),$AM$1006:$BM$1006,0)))),"Fix")))</f>
        <v xml:space="preserve"> </v>
      </c>
      <c r="U896" s="4" t="str">
        <f ca="1">IF(OR(INDEX($AG$2:$AG$1001,MATCH(ROWS($AF$2:AF896),$AF$2:$AF$1001,0),1)&gt;=100000,INDEX($AM$1005:$BM$1005,1,MATCH(COLUMNS($AM$1006:BF1006),$AM$1006:$BM$1006,0))&gt;=100000), " ",IF(INDEX($AM$2:$BM$1001,MATCH(ROWS($AF$2:AF896),$AF$2:$AF$1001,0),MATCH(COLUMNS($AM$1006:BF1006),$AM$1006:$BM$1006,0)), HYPERLINK("#",""), HYPERLINK(CONCATENATE("#metadata!", ADDRESS(INDEX($AH$2:$AH$1001,MATCH(ROWS($AF$2:AF896),$AF$2:$AF$1001,0),0), INDEX($AM$1004:$BM$1004,1,MATCH(COLUMNS($AM$1006:BF1006),$AM$1006:$BM$1006,0)))),"Fix")))</f>
        <v xml:space="preserve"> </v>
      </c>
      <c r="V896" s="4" t="str">
        <f ca="1">IF(OR(INDEX($AG$2:$AG$1001,MATCH(ROWS($AF$2:AF896),$AF$2:$AF$1001,0),1)&gt;=100000,INDEX($AM$1005:$BM$1005,1,MATCH(COLUMNS($AM$1006:BG1006),$AM$1006:$BM$1006,0))&gt;=100000), " ",IF(INDEX($AM$2:$BM$1001,MATCH(ROWS($AF$2:AF896),$AF$2:$AF$1001,0),MATCH(COLUMNS($AM$1006:BG1006),$AM$1006:$BM$1006,0)), HYPERLINK("#",""), HYPERLINK(CONCATENATE("#metadata!", ADDRESS(INDEX($AH$2:$AH$1001,MATCH(ROWS($AF$2:AF896),$AF$2:$AF$1001,0),0), INDEX($AM$1004:$BM$1004,1,MATCH(COLUMNS($AM$1006:BG1006),$AM$1006:$BM$1006,0)))),"Fix")))</f>
        <v xml:space="preserve"> </v>
      </c>
      <c r="W896" s="4" t="str">
        <f ca="1">IF(OR(INDEX($AG$2:$AG$1001,MATCH(ROWS($AF$2:AF896),$AF$2:$AF$1001,0),1)&gt;=100000,INDEX($AM$1005:$BM$1005,1,MATCH(COLUMNS($AM$1006:BH1006),$AM$1006:$BM$1006,0))&gt;=100000), " ",IF(INDEX($AM$2:$BM$1001,MATCH(ROWS($AF$2:AF896),$AF$2:$AF$1001,0),MATCH(COLUMNS($AM$1006:BH1006),$AM$1006:$BM$1006,0)), HYPERLINK("#",""), HYPERLINK(CONCATENATE("#metadata!", ADDRESS(INDEX($AH$2:$AH$1001,MATCH(ROWS($AF$2:AF896),$AF$2:$AF$1001,0),0), INDEX($AM$1004:$BM$1004,1,MATCH(COLUMNS($AM$1006:BH1006),$AM$1006:$BM$1006,0)))),"Fix")))</f>
        <v xml:space="preserve"> </v>
      </c>
      <c r="X896" s="4" t="str">
        <f ca="1">IF(OR(INDEX($AG$2:$AG$1001,MATCH(ROWS($AF$2:AF896),$AF$2:$AF$1001,0),1)&gt;=100000,INDEX($AM$1005:$BM$1005,1,MATCH(COLUMNS($AM$1006:BI1006),$AM$1006:$BM$1006,0))&gt;=100000), " ",IF(INDEX($AM$2:$BM$1001,MATCH(ROWS($AF$2:AF896),$AF$2:$AF$1001,0),MATCH(COLUMNS($AM$1006:BI1006),$AM$1006:$BM$1006,0)), HYPERLINK("#",""), HYPERLINK(CONCATENATE("#metadata!", ADDRESS(INDEX($AH$2:$AH$1001,MATCH(ROWS($AF$2:AF896),$AF$2:$AF$1001,0),0), INDEX($AM$1004:$BM$1004,1,MATCH(COLUMNS($AM$1006:BI1006),$AM$1006:$BM$1006,0)))),"Fix")))</f>
        <v xml:space="preserve"> </v>
      </c>
      <c r="Y896" s="4" t="str">
        <f ca="1">IF(OR(INDEX($AG$2:$AG$1001,MATCH(ROWS($AF$2:AF896),$AF$2:$AF$1001,0),1)&gt;=100000,INDEX($AM$1005:$BM$1005,1,MATCH(COLUMNS($AM$1006:BJ1006),$AM$1006:$BM$1006,0))&gt;=100000), " ",IF(INDEX($AM$2:$BM$1001,MATCH(ROWS($AF$2:AF896),$AF$2:$AF$1001,0),MATCH(COLUMNS($AM$1006:BJ1006),$AM$1006:$BM$1006,0)), HYPERLINK("#",""), HYPERLINK(CONCATENATE("#metadata!", ADDRESS(INDEX($AH$2:$AH$1001,MATCH(ROWS($AF$2:AF896),$AF$2:$AF$1001,0),0), INDEX($AM$1004:$BM$1004,1,MATCH(COLUMNS($AM$1006:BJ1006),$AM$1006:$BM$1006,0)))),"Fix")))</f>
        <v xml:space="preserve"> </v>
      </c>
      <c r="Z896" s="4" t="str">
        <f ca="1">IF(OR(INDEX($AG$2:$AG$1001,MATCH(ROWS($AF$2:AF896),$AF$2:$AF$1001,0),1)&gt;=100000,INDEX($AM$1005:$BM$1005,1,MATCH(COLUMNS($AM$1006:BK1006),$AM$1006:$BM$1006,0))&gt;=100000), " ",IF(INDEX($AM$2:$BM$1001,MATCH(ROWS($AF$2:AF896),$AF$2:$AF$1001,0),MATCH(COLUMNS($AM$1006:BK1006),$AM$1006:$BM$1006,0)), HYPERLINK("#",""), HYPERLINK(CONCATENATE("#metadata!", ADDRESS(INDEX($AH$2:$AH$1001,MATCH(ROWS($AF$2:AF896),$AF$2:$AF$1001,0),0), INDEX($AM$1004:$BM$1004,1,MATCH(COLUMNS($AM$1006:BK1006),$AM$1006:$BM$1006,0)))),"Fix")))</f>
        <v xml:space="preserve"> </v>
      </c>
      <c r="AA896" s="4" t="str">
        <f ca="1">IF(OR(INDEX($AG$2:$AG$1001,MATCH(ROWS($AF$2:AF896),$AF$2:$AF$1001,0),1)&gt;=100000,INDEX($AM$1005:$BM$1005,1,MATCH(COLUMNS($AM$1006:BL1006),$AM$1006:$BM$1006,0))&gt;=100000), " ",IF(INDEX($AM$2:$BM$1001,MATCH(ROWS($AF$2:AF896),$AF$2:$AF$1001,0),MATCH(COLUMNS($AM$1006:BL1006),$AM$1006:$BM$1006,0)), HYPERLINK("#",""), HYPERLINK(CONCATENATE("#metadata!", ADDRESS(INDEX($AH$2:$AH$1001,MATCH(ROWS($AF$2:AF896),$AF$2:$AF$1001,0),0), INDEX($AM$1004:$BM$1004,1,MATCH(COLUMNS($AM$1006:BL1006),$AM$1006:$BM$1006,0)))),"Fix")))</f>
        <v xml:space="preserve"> </v>
      </c>
      <c r="AB896" s="4" t="str">
        <f ca="1">IF(OR(INDEX($AG$2:$AG$1001,MATCH(ROWS($AF$2:AF896),$AF$2:$AF$1001,0),1)&gt;=100000,INDEX($AM$1005:$BM$1005,1,MATCH(COLUMNS($AM$1006:BM1006),$AM$1006:$BM$1006,0))&gt;=100000), " ",IF(INDEX($AM$2:$BM$1001,MATCH(ROWS($AF$2:AF896),$AF$2:$AF$1001,0),MATCH(COLUMNS($AM$1006:BM1006),$AM$1006:$BM$1006,0)), HYPERLINK("#",""), HYPERLINK(CONCATENATE("#metadata!", ADDRESS(INDEX($AH$2:$AH$1001,MATCH(ROWS($AF$2:AF896),$AF$2:$AF$1001,0),0), INDEX($AM$1004:$BM$1004,1,MATCH(COLUMNS($AM$1006:BM1006),$AM$1006:$BM$1006,0)))),"Fix")))</f>
        <v xml:space="preserve"> </v>
      </c>
      <c r="AF896">
        <v>895</v>
      </c>
      <c r="AG896">
        <v>100896</v>
      </c>
      <c r="AH896">
        <v>896</v>
      </c>
      <c r="AI896" t="b">
        <f t="shared" si="13"/>
        <v>1</v>
      </c>
      <c r="AJ896" t="b">
        <f>COUNTBLANK(metadata!B896:AB896)=COLUMNS(metadata!B896:AB896)</f>
        <v>1</v>
      </c>
      <c r="AK896" t="str">
        <v/>
      </c>
      <c r="AM896" t="b">
        <f ca="1">AND(IF(metadata!B896="",FALSE,TRUE),COUNTIF(metadata!B:B, metadata!B896) = 1,NOT(ISERROR(SUMPRODUCT(SEARCH(MID(metadata!B896,ROW(INDIRECT("1:"&amp;LEN(metadata!B896))), 1),"0123456789abcdefghijklmnopqrstuvwxyzABCDEFGHIJKLMNOPQRSTUVWXYZ.")))))</f>
        <v>0</v>
      </c>
      <c r="AN896" t="b">
        <f ca="1">OR(AND(IF(metadata!C896="",FALSE,TRUE),OR(EXACT(metadata!C896,"missing: not collected"),EXACT(metadata!C896,"missing: not provided"),EXACT(metadata!C896,"missing: restricted access"))),AND(IF(metadata!C896="",FALSE,TRUE),AND(AND(IFERROR(INT(LEFT(metadata!C896,4))&gt;1900,FALSE),IFERROR(INT(LEFT(metadata!C896,4))&lt;=YEAR(NOW()),FALSE)), OR(MID(metadata!C896,5,1)="", AND(AND(MID(metadata!C896,5,1)="-",IFERROR(INT(MID(metadata!C896,6,1))&gt;=0,FALSE),IFERROR(INT(MID(metadata!C896,6,1))&lt;=1,FALSE),NOT(MID(metadata!C896,7,1)=""),IFERROR(INT(MID(metadata!C896,6,2))&gt;=1,FALSE),IFERROR(INT(MID(metadata!C896,6,2))&lt;=12,FALSE)), OR(MID(metadata!C896,8,1)="", AND(AND(MID(metadata!C896,8,1)="-",IFERROR(INT(MID(metadata!C896,9,1))&gt;=0,FALSE),IFERROR(INT(MID(metadata!C896,9,1))&lt;=3,FALSE),NOT(MID(metadata!C896,10,1)=""),IFERROR(INT(MID(metadata!C896,9,2))&gt;=1,FALSE),IFERROR(INT(MID(metadata!C896,9,2))&lt;=31,FALSE)), OR(MID(metadata!C896,11,1)="", AND(AND(MID(metadata!C896,11,1)=" ",IFERROR(INT(MID(metadata!C896,12,1))&gt;=0,FALSE),IFERROR(INT(MID(metadata!C896,12,1))&lt;=2,FALSE),NOT(MID(metadata!C896,13,1)=""),IFERROR(INT(MID(metadata!C896,12,2))&gt;=0,FALSE),IFERROR(INT(MID(metadata!C896,12,2))&lt;=23,FALSE)), OR(MID(metadata!C896,14,1)="", AND(AND(MID(metadata!C896,14,1)=":",IFERROR(INT(MID(metadata!C896,15,1))&gt;=0,FALSE),IFERROR(INT(MID(metadata!C896,15,1))&lt;=5,FALSE),NOT(MID(metadata!C896,16,1)=""),IFERROR(INT(MID(metadata!C896,15,2))&gt;=0,FALSE),IFERROR(INT(MID(metadata!C896,15,2))&lt;=59,FALSE)), OR(MID(metadata!C896,17,1)="", AND(AND(MID(metadata!C896,17,1)=":",IFERROR(INT(MID(metadata!C896,18,1))&gt;=0,FALSE),IFERROR(INT(MID(metadata!C896,18,1))&lt;=5,FALSE),NOT(MID(metadata!C896,19,1)=""),IFERROR(INT(MID(metadata!C896,18,2))&gt;=0,FALSE),IFERROR(INT(MID(metadata!C896,18,2))&lt;=59,FALSE)), LEN(metadata!C896)&lt;=19)))))))))))))</f>
        <v>0</v>
      </c>
      <c r="AO896" t="b">
        <f>AND(IF(metadata!D896="",FALSE,TRUE),EXACT(metadata!D896,"Not applicable"))</f>
        <v>0</v>
      </c>
      <c r="AP896" t="b">
        <f>IF(metadata!E896="",FALSE,TRUE)</f>
        <v>0</v>
      </c>
      <c r="AQ896" t="b">
        <f>OR(AND(IF(metadata!F896="",FALSE,TRUE),OR(EXACT(metadata!F896,"missing: not collected"),EXACT(metadata!F896,"missing: not provided"))),AND(IF(metadata!F896="",FALSE,TRUE),OR(EXACT(metadata!F896,"TRUE"),EXACT(metadata!F896,"FALSE"))))</f>
        <v>0</v>
      </c>
      <c r="AR896" t="b">
        <f>OR(AND(IF(metadata!G896="",FALSE,TRUE),OR(EXACT(metadata!G896,"missing: not collected"),EXACT(metadata!G896,"missing: not provided"),EXACT(metadata!G896,"missing: restricted access"))),AND(IF(metadata!G896="",FALSE,ISNUMBER(VALUE(metadata!G896))),metadata!G896&gt;=-413))</f>
        <v>0</v>
      </c>
      <c r="AS896" t="b">
        <f>AND(IF(metadata!H896="",FALSE,TRUE),EXACT(metadata!H896,"meters"))</f>
        <v>0</v>
      </c>
      <c r="AT896" t="b">
        <f>AND(IF(metadata!I896="",FALSE,TRUE),OR(EXACT(metadata!I896,"Host-associated"),EXACT(metadata!I896,"Free-living")))</f>
        <v>0</v>
      </c>
      <c r="AU896" t="b">
        <f>AND(IF(metadata!J896="",FALSE,TRUE),OR(EXACT(metadata!J896,"Animal"),EXACT(metadata!J896,"Fungus"),EXACT(metadata!J896,"Plant"),EXACT(metadata!J896,"Saline"),EXACT(metadata!J896,"Non-saline")))</f>
        <v>0</v>
      </c>
      <c r="AV896" t="b">
        <f>AND(IF(metadata!K896="",FALSE,TRUE),OR(EXACT(metadata!K896,"Plant secretion"),EXACT(metadata!K896,"Plant rhizosphere"),EXACT(metadata!K896,"Plant surface"),EXACT(metadata!K896,"Plant corpus"),EXACT(metadata!K896,"Fungus surface"),EXACT(metadata!K896,"Fungus corpus"),EXACT(metadata!K896,"Animal surface"),EXACT(metadata!K896,"Animal proximal gut"),EXACT(metadata!K896,"Animal corpus"),EXACT(metadata!K896,"Animal distal gut"),EXACT(metadata!K896,"Animal secretion"),EXACT(metadata!K896,"Sub-surface (non-saline)"),EXACT(metadata!K896,"Surface (non-saline)"),EXACT(metadata!K896,"Water (non-saline)"),EXACT(metadata!K896,"Soil (non-saline)"),EXACT(metadata!K896,"Aerosol (non-saline)"),EXACT(metadata!K896,"Sediment (non-saline)"),EXACT(metadata!K896,"Surface (saline)"),EXACT(metadata!K896,"Water (saline)"),EXACT(metadata!K896,"Hypersaline (saline)"),EXACT(metadata!K896,"Aerosol (saline)"),EXACT(metadata!K896,"Sediment (saline)")))</f>
        <v>0</v>
      </c>
      <c r="AW896" t="b">
        <f>IF(metadata!L896="",FALSE,TRUE)</f>
        <v>0</v>
      </c>
      <c r="AX896" t="b">
        <f>IF(metadata!M896="",FALSE,TRUE)</f>
        <v>0</v>
      </c>
      <c r="AY896" t="b">
        <f>IF(metadata!N896="",FALSE,TRUE)</f>
        <v>0</v>
      </c>
      <c r="AZ896" t="b">
        <f>OR(AND(IF(metadata!O896="",FALSE,TRUE),OR(EXACT(metadata!O896,"missing: not collected"),EXACT(metadata!O896,"missing: not provided"),EXACT(metadata!O896,"missing: restricted access"))),AND(IF(metadata!O896="",FALSE,TRUE),OR(EXACT(metadata!O896,"air"),EXACT(metadata!O896,"built environment"),EXACT(metadata!O896,"host-associated"),EXACT(metadata!O896,"human-associated"),EXACT(metadata!O896,"human-skin"),EXACT(metadata!O896,"human-oral"),EXACT(metadata!O896,"human-gut"),EXACT(metadata!O896,"human-vaginal"),EXACT(metadata!O896,"microbial mat/biofilm"),EXACT(metadata!O896,"misc environment"),EXACT(metadata!O896,"plant-associated"),EXACT(metadata!O896,"sediment"),EXACT(metadata!O896,"soil"),EXACT(metadata!O896,"wastewater/sludge"),EXACT(metadata!O896,"water"))))</f>
        <v>0</v>
      </c>
      <c r="BA896" t="b">
        <f>IF(metadata!P896="",FALSE,TRUE)</f>
        <v>0</v>
      </c>
      <c r="BB896" t="b">
        <f>IF(metadata!Q896="",FALSE,TRUE)</f>
        <v>0</v>
      </c>
      <c r="BC896" t="b">
        <f>OR(AND(IF(metadata!R896="",FALSE,TRUE),OR(EXACT(metadata!R896,"missing: not collected"),EXACT(metadata!R896,"missing: not provided"),EXACT(metadata!R896,"missing: restricted access"))),AND(IF(metadata!R896="",FALSE,ISNUMBER(VALUE(metadata!R896))),metadata!R896&gt;=-90,metadata!R896&lt;=90))</f>
        <v>0</v>
      </c>
      <c r="BD896" t="b">
        <f>AND(IF(metadata!S896="",FALSE,TRUE),EXACT(metadata!S896,"Decimal degrees"))</f>
        <v>0</v>
      </c>
      <c r="BE896" t="b">
        <f>OR(AND(IF(metadata!T896="",FALSE,TRUE),OR(EXACT(metadata!T896,"missing: not collected"),EXACT(metadata!T896,"missing: not provided"),EXACT(metadata!T896,"missing: restricted access"))),AND(IF(metadata!T896="",FALSE,ISNUMBER(VALUE(metadata!T896))),metadata!T896&gt;=-180,metadata!T896&lt;=180))</f>
        <v>0</v>
      </c>
      <c r="BF896" t="b">
        <f>AND(IF(metadata!U896="",FALSE,TRUE),EXACT(metadata!U896,"Decimal degrees"))</f>
        <v>0</v>
      </c>
      <c r="BG896" t="b">
        <f>IF(metadata!V896="",FALSE,TRUE)</f>
        <v>0</v>
      </c>
      <c r="BH896" t="b">
        <f>OR(AND(IF(metadata!W896="",FALSE,TRUE),OR(EXACT(metadata!W896,"missing: not collected"),EXACT(metadata!W896,"missing: not provided"),EXACT(metadata!W896,"missing: restricted access"))),AND(IF(metadata!W896="",FALSE,TRUE),OR(EXACT(metadata!W896,"TRUE"),EXACT(metadata!W896,"FALSE"))))</f>
        <v>0</v>
      </c>
      <c r="BI896" t="b">
        <f>AND(IF(metadata!X896="",FALSE,TRUE),EXACT(metadata!X896,"other"))</f>
        <v>0</v>
      </c>
      <c r="BJ896" t="b">
        <f>IF(metadata!Y896="",FALSE,TRUE)</f>
        <v>0</v>
      </c>
      <c r="BK896" t="b">
        <f>OR(AND(IF(metadata!Z896="",FALSE,TRUE),OR(EXACT(metadata!Z896,"missing: not collected"),EXACT(metadata!Z896,"missing: not provided"))),AND(IF(metadata!Z896="",FALSE,IF(ISERROR(INT(metadata!Z896)),FALSE,INT(metadata!Z896)=metadata!Z896)),metadata!Z896&gt;0))</f>
        <v>0</v>
      </c>
      <c r="BL896" t="b">
        <f>AND(IF(metadata!AA896="",FALSE,TRUE),EXACT(metadata!AA896,"Not applicable"))</f>
        <v>0</v>
      </c>
      <c r="BM896" t="b">
        <f>IF(metadata!AB896="",FALSE,TRUE)</f>
        <v>0</v>
      </c>
    </row>
    <row r="897" spans="1:65" x14ac:dyDescent="0.2">
      <c r="A897" s="5" t="str">
        <f ca="1">IF(B897=" "," ",HYPERLINK(CONCATENATE("#metadata!",ADDRESS(INDEX($AH$2:$AH$1001,MATCH(ROWS($AF$2:AF897),$AF$2:$AF$1001,0),0),1)),INDEX($AK$2:$AK$1001,MATCH(ROWS($AF$2:AF897),$AF$2:$AF$1001,0),0)))</f>
        <v xml:space="preserve"> </v>
      </c>
      <c r="B897" s="4" t="str">
        <f ca="1">IF(OR(INDEX($AG$2:$AG$1001,MATCH(ROWS($AF$2:AF897),$AF$2:$AF$1001,0),1)&gt;=100000,INDEX($AM$1005:$BM$1005,1,MATCH(COLUMNS($AM$1006:AM1006),$AM$1006:$BM$1006,0))&gt;=100000), " ",IF(INDEX($AM$2:$BM$1001,MATCH(ROWS($AF$2:AF897),$AF$2:$AF$1001,0),MATCH(COLUMNS($AM$1006:AM1006),$AM$1006:$BM$1006,0)), HYPERLINK("#",""), HYPERLINK(CONCATENATE("#metadata!", ADDRESS(INDEX($AH$2:$AH$1001,MATCH(ROWS($AF$2:AF897),$AF$2:$AF$1001,0),0), INDEX($AM$1004:$BM$1004,1,MATCH(COLUMNS($AM$1006:AM1006),$AM$1006:$BM$1006,0)))),"Fix")))</f>
        <v xml:space="preserve"> </v>
      </c>
      <c r="C897" s="4" t="str">
        <f ca="1">IF(OR(INDEX($AG$2:$AG$1001,MATCH(ROWS($AF$2:AF897),$AF$2:$AF$1001,0),1)&gt;=100000,INDEX($AM$1005:$BM$1005,1,MATCH(COLUMNS($AM$1006:AN1006),$AM$1006:$BM$1006,0))&gt;=100000), " ",IF(INDEX($AM$2:$BM$1001,MATCH(ROWS($AF$2:AF897),$AF$2:$AF$1001,0),MATCH(COLUMNS($AM$1006:AN1006),$AM$1006:$BM$1006,0)), HYPERLINK("#",""), HYPERLINK(CONCATENATE("#metadata!", ADDRESS(INDEX($AH$2:$AH$1001,MATCH(ROWS($AF$2:AF897),$AF$2:$AF$1001,0),0), INDEX($AM$1004:$BM$1004,1,MATCH(COLUMNS($AM$1006:AN1006),$AM$1006:$BM$1006,0)))),"Fix")))</f>
        <v xml:space="preserve"> </v>
      </c>
      <c r="D897" s="4" t="str">
        <f ca="1">IF(OR(INDEX($AG$2:$AG$1001,MATCH(ROWS($AF$2:AF897),$AF$2:$AF$1001,0),1)&gt;=100000,INDEX($AM$1005:$BM$1005,1,MATCH(COLUMNS($AM$1006:AO1006),$AM$1006:$BM$1006,0))&gt;=100000), " ",IF(INDEX($AM$2:$BM$1001,MATCH(ROWS($AF$2:AF897),$AF$2:$AF$1001,0),MATCH(COLUMNS($AM$1006:AO1006),$AM$1006:$BM$1006,0)), HYPERLINK("#",""), HYPERLINK(CONCATENATE("#metadata!", ADDRESS(INDEX($AH$2:$AH$1001,MATCH(ROWS($AF$2:AF897),$AF$2:$AF$1001,0),0), INDEX($AM$1004:$BM$1004,1,MATCH(COLUMNS($AM$1006:AO1006),$AM$1006:$BM$1006,0)))),"Fix")))</f>
        <v xml:space="preserve"> </v>
      </c>
      <c r="E897" s="4" t="str">
        <f ca="1">IF(OR(INDEX($AG$2:$AG$1001,MATCH(ROWS($AF$2:AF897),$AF$2:$AF$1001,0),1)&gt;=100000,INDEX($AM$1005:$BM$1005,1,MATCH(COLUMNS($AM$1006:AP1006),$AM$1006:$BM$1006,0))&gt;=100000), " ",IF(INDEX($AM$2:$BM$1001,MATCH(ROWS($AF$2:AF897),$AF$2:$AF$1001,0),MATCH(COLUMNS($AM$1006:AP1006),$AM$1006:$BM$1006,0)), HYPERLINK("#",""), HYPERLINK(CONCATENATE("#metadata!", ADDRESS(INDEX($AH$2:$AH$1001,MATCH(ROWS($AF$2:AF897),$AF$2:$AF$1001,0),0), INDEX($AM$1004:$BM$1004,1,MATCH(COLUMNS($AM$1006:AP1006),$AM$1006:$BM$1006,0)))),"Fix")))</f>
        <v xml:space="preserve"> </v>
      </c>
      <c r="F897" s="4" t="str">
        <f ca="1">IF(OR(INDEX($AG$2:$AG$1001,MATCH(ROWS($AF$2:AF897),$AF$2:$AF$1001,0),1)&gt;=100000,INDEX($AM$1005:$BM$1005,1,MATCH(COLUMNS($AM$1006:AQ1006),$AM$1006:$BM$1006,0))&gt;=100000), " ",IF(INDEX($AM$2:$BM$1001,MATCH(ROWS($AF$2:AF897),$AF$2:$AF$1001,0),MATCH(COLUMNS($AM$1006:AQ1006),$AM$1006:$BM$1006,0)), HYPERLINK("#",""), HYPERLINK(CONCATENATE("#metadata!", ADDRESS(INDEX($AH$2:$AH$1001,MATCH(ROWS($AF$2:AF897),$AF$2:$AF$1001,0),0), INDEX($AM$1004:$BM$1004,1,MATCH(COLUMNS($AM$1006:AQ1006),$AM$1006:$BM$1006,0)))),"Fix")))</f>
        <v xml:space="preserve"> </v>
      </c>
      <c r="G897" s="4" t="str">
        <f ca="1">IF(OR(INDEX($AG$2:$AG$1001,MATCH(ROWS($AF$2:AF897),$AF$2:$AF$1001,0),1)&gt;=100000,INDEX($AM$1005:$BM$1005,1,MATCH(COLUMNS($AM$1006:AR1006),$AM$1006:$BM$1006,0))&gt;=100000), " ",IF(INDEX($AM$2:$BM$1001,MATCH(ROWS($AF$2:AF897),$AF$2:$AF$1001,0),MATCH(COLUMNS($AM$1006:AR1006),$AM$1006:$BM$1006,0)), HYPERLINK("#",""), HYPERLINK(CONCATENATE("#metadata!", ADDRESS(INDEX($AH$2:$AH$1001,MATCH(ROWS($AF$2:AF897),$AF$2:$AF$1001,0),0), INDEX($AM$1004:$BM$1004,1,MATCH(COLUMNS($AM$1006:AR1006),$AM$1006:$BM$1006,0)))),"Fix")))</f>
        <v xml:space="preserve"> </v>
      </c>
      <c r="H897" s="4" t="str">
        <f ca="1">IF(OR(INDEX($AG$2:$AG$1001,MATCH(ROWS($AF$2:AF897),$AF$2:$AF$1001,0),1)&gt;=100000,INDEX($AM$1005:$BM$1005,1,MATCH(COLUMNS($AM$1006:AS1006),$AM$1006:$BM$1006,0))&gt;=100000), " ",IF(INDEX($AM$2:$BM$1001,MATCH(ROWS($AF$2:AF897),$AF$2:$AF$1001,0),MATCH(COLUMNS($AM$1006:AS1006),$AM$1006:$BM$1006,0)), HYPERLINK("#",""), HYPERLINK(CONCATENATE("#metadata!", ADDRESS(INDEX($AH$2:$AH$1001,MATCH(ROWS($AF$2:AF897),$AF$2:$AF$1001,0),0), INDEX($AM$1004:$BM$1004,1,MATCH(COLUMNS($AM$1006:AS1006),$AM$1006:$BM$1006,0)))),"Fix")))</f>
        <v xml:space="preserve"> </v>
      </c>
      <c r="I897" s="4" t="str">
        <f ca="1">IF(OR(INDEX($AG$2:$AG$1001,MATCH(ROWS($AF$2:AF897),$AF$2:$AF$1001,0),1)&gt;=100000,INDEX($AM$1005:$BM$1005,1,MATCH(COLUMNS($AM$1006:AT1006),$AM$1006:$BM$1006,0))&gt;=100000), " ",IF(INDEX($AM$2:$BM$1001,MATCH(ROWS($AF$2:AF897),$AF$2:$AF$1001,0),MATCH(COLUMNS($AM$1006:AT1006),$AM$1006:$BM$1006,0)), HYPERLINK("#",""), HYPERLINK(CONCATENATE("#metadata!", ADDRESS(INDEX($AH$2:$AH$1001,MATCH(ROWS($AF$2:AF897),$AF$2:$AF$1001,0),0), INDEX($AM$1004:$BM$1004,1,MATCH(COLUMNS($AM$1006:AT1006),$AM$1006:$BM$1006,0)))),"Fix")))</f>
        <v xml:space="preserve"> </v>
      </c>
      <c r="J897" s="4" t="str">
        <f ca="1">IF(OR(INDEX($AG$2:$AG$1001,MATCH(ROWS($AF$2:AF897),$AF$2:$AF$1001,0),1)&gt;=100000,INDEX($AM$1005:$BM$1005,1,MATCH(COLUMNS($AM$1006:AU1006),$AM$1006:$BM$1006,0))&gt;=100000), " ",IF(INDEX($AM$2:$BM$1001,MATCH(ROWS($AF$2:AF897),$AF$2:$AF$1001,0),MATCH(COLUMNS($AM$1006:AU1006),$AM$1006:$BM$1006,0)), HYPERLINK("#",""), HYPERLINK(CONCATENATE("#metadata!", ADDRESS(INDEX($AH$2:$AH$1001,MATCH(ROWS($AF$2:AF897),$AF$2:$AF$1001,0),0), INDEX($AM$1004:$BM$1004,1,MATCH(COLUMNS($AM$1006:AU1006),$AM$1006:$BM$1006,0)))),"Fix")))</f>
        <v xml:space="preserve"> </v>
      </c>
      <c r="K897" s="4" t="str">
        <f ca="1">IF(OR(INDEX($AG$2:$AG$1001,MATCH(ROWS($AF$2:AF897),$AF$2:$AF$1001,0),1)&gt;=100000,INDEX($AM$1005:$BM$1005,1,MATCH(COLUMNS($AM$1006:AV1006),$AM$1006:$BM$1006,0))&gt;=100000), " ",IF(INDEX($AM$2:$BM$1001,MATCH(ROWS($AF$2:AF897),$AF$2:$AF$1001,0),MATCH(COLUMNS($AM$1006:AV1006),$AM$1006:$BM$1006,0)), HYPERLINK("#",""), HYPERLINK(CONCATENATE("#metadata!", ADDRESS(INDEX($AH$2:$AH$1001,MATCH(ROWS($AF$2:AF897),$AF$2:$AF$1001,0),0), INDEX($AM$1004:$BM$1004,1,MATCH(COLUMNS($AM$1006:AV1006),$AM$1006:$BM$1006,0)))),"Fix")))</f>
        <v xml:space="preserve"> </v>
      </c>
      <c r="L897" s="4" t="str">
        <f ca="1">IF(OR(INDEX($AG$2:$AG$1001,MATCH(ROWS($AF$2:AF897),$AF$2:$AF$1001,0),1)&gt;=100000,INDEX($AM$1005:$BM$1005,1,MATCH(COLUMNS($AM$1006:AW1006),$AM$1006:$BM$1006,0))&gt;=100000), " ",IF(INDEX($AM$2:$BM$1001,MATCH(ROWS($AF$2:AF897),$AF$2:$AF$1001,0),MATCH(COLUMNS($AM$1006:AW1006),$AM$1006:$BM$1006,0)), HYPERLINK("#",""), HYPERLINK(CONCATENATE("#metadata!", ADDRESS(INDEX($AH$2:$AH$1001,MATCH(ROWS($AF$2:AF897),$AF$2:$AF$1001,0),0), INDEX($AM$1004:$BM$1004,1,MATCH(COLUMNS($AM$1006:AW1006),$AM$1006:$BM$1006,0)))),"Fix")))</f>
        <v xml:space="preserve"> </v>
      </c>
      <c r="M897" s="4" t="str">
        <f ca="1">IF(OR(INDEX($AG$2:$AG$1001,MATCH(ROWS($AF$2:AF897),$AF$2:$AF$1001,0),1)&gt;=100000,INDEX($AM$1005:$BM$1005,1,MATCH(COLUMNS($AM$1006:AX1006),$AM$1006:$BM$1006,0))&gt;=100000), " ",IF(INDEX($AM$2:$BM$1001,MATCH(ROWS($AF$2:AF897),$AF$2:$AF$1001,0),MATCH(COLUMNS($AM$1006:AX1006),$AM$1006:$BM$1006,0)), HYPERLINK("#",""), HYPERLINK(CONCATENATE("#metadata!", ADDRESS(INDEX($AH$2:$AH$1001,MATCH(ROWS($AF$2:AF897),$AF$2:$AF$1001,0),0), INDEX($AM$1004:$BM$1004,1,MATCH(COLUMNS($AM$1006:AX1006),$AM$1006:$BM$1006,0)))),"Fix")))</f>
        <v xml:space="preserve"> </v>
      </c>
      <c r="N897" s="4" t="str">
        <f ca="1">IF(OR(INDEX($AG$2:$AG$1001,MATCH(ROWS($AF$2:AF897),$AF$2:$AF$1001,0),1)&gt;=100000,INDEX($AM$1005:$BM$1005,1,MATCH(COLUMNS($AM$1006:AY1006),$AM$1006:$BM$1006,0))&gt;=100000), " ",IF(INDEX($AM$2:$BM$1001,MATCH(ROWS($AF$2:AF897),$AF$2:$AF$1001,0),MATCH(COLUMNS($AM$1006:AY1006),$AM$1006:$BM$1006,0)), HYPERLINK("#",""), HYPERLINK(CONCATENATE("#metadata!", ADDRESS(INDEX($AH$2:$AH$1001,MATCH(ROWS($AF$2:AF897),$AF$2:$AF$1001,0),0), INDEX($AM$1004:$BM$1004,1,MATCH(COLUMNS($AM$1006:AY1006),$AM$1006:$BM$1006,0)))),"Fix")))</f>
        <v xml:space="preserve"> </v>
      </c>
      <c r="O897" s="4" t="str">
        <f ca="1">IF(OR(INDEX($AG$2:$AG$1001,MATCH(ROWS($AF$2:AF897),$AF$2:$AF$1001,0),1)&gt;=100000,INDEX($AM$1005:$BM$1005,1,MATCH(COLUMNS($AM$1006:AZ1006),$AM$1006:$BM$1006,0))&gt;=100000), " ",IF(INDEX($AM$2:$BM$1001,MATCH(ROWS($AF$2:AF897),$AF$2:$AF$1001,0),MATCH(COLUMNS($AM$1006:AZ1006),$AM$1006:$BM$1006,0)), HYPERLINK("#",""), HYPERLINK(CONCATENATE("#metadata!", ADDRESS(INDEX($AH$2:$AH$1001,MATCH(ROWS($AF$2:AF897),$AF$2:$AF$1001,0),0), INDEX($AM$1004:$BM$1004,1,MATCH(COLUMNS($AM$1006:AZ1006),$AM$1006:$BM$1006,0)))),"Fix")))</f>
        <v xml:space="preserve"> </v>
      </c>
      <c r="P897" s="4" t="str">
        <f ca="1">IF(OR(INDEX($AG$2:$AG$1001,MATCH(ROWS($AF$2:AF897),$AF$2:$AF$1001,0),1)&gt;=100000,INDEX($AM$1005:$BM$1005,1,MATCH(COLUMNS($AM$1006:BA1006),$AM$1006:$BM$1006,0))&gt;=100000), " ",IF(INDEX($AM$2:$BM$1001,MATCH(ROWS($AF$2:AF897),$AF$2:$AF$1001,0),MATCH(COLUMNS($AM$1006:BA1006),$AM$1006:$BM$1006,0)), HYPERLINK("#",""), HYPERLINK(CONCATENATE("#metadata!", ADDRESS(INDEX($AH$2:$AH$1001,MATCH(ROWS($AF$2:AF897),$AF$2:$AF$1001,0),0), INDEX($AM$1004:$BM$1004,1,MATCH(COLUMNS($AM$1006:BA1006),$AM$1006:$BM$1006,0)))),"Fix")))</f>
        <v xml:space="preserve"> </v>
      </c>
      <c r="Q897" s="4" t="str">
        <f ca="1">IF(OR(INDEX($AG$2:$AG$1001,MATCH(ROWS($AF$2:AF897),$AF$2:$AF$1001,0),1)&gt;=100000,INDEX($AM$1005:$BM$1005,1,MATCH(COLUMNS($AM$1006:BB1006),$AM$1006:$BM$1006,0))&gt;=100000), " ",IF(INDEX($AM$2:$BM$1001,MATCH(ROWS($AF$2:AF897),$AF$2:$AF$1001,0),MATCH(COLUMNS($AM$1006:BB1006),$AM$1006:$BM$1006,0)), HYPERLINK("#",""), HYPERLINK(CONCATENATE("#metadata!", ADDRESS(INDEX($AH$2:$AH$1001,MATCH(ROWS($AF$2:AF897),$AF$2:$AF$1001,0),0), INDEX($AM$1004:$BM$1004,1,MATCH(COLUMNS($AM$1006:BB1006),$AM$1006:$BM$1006,0)))),"Fix")))</f>
        <v xml:space="preserve"> </v>
      </c>
      <c r="R897" s="4" t="str">
        <f ca="1">IF(OR(INDEX($AG$2:$AG$1001,MATCH(ROWS($AF$2:AF897),$AF$2:$AF$1001,0),1)&gt;=100000,INDEX($AM$1005:$BM$1005,1,MATCH(COLUMNS($AM$1006:BC1006),$AM$1006:$BM$1006,0))&gt;=100000), " ",IF(INDEX($AM$2:$BM$1001,MATCH(ROWS($AF$2:AF897),$AF$2:$AF$1001,0),MATCH(COLUMNS($AM$1006:BC1006),$AM$1006:$BM$1006,0)), HYPERLINK("#",""), HYPERLINK(CONCATENATE("#metadata!", ADDRESS(INDEX($AH$2:$AH$1001,MATCH(ROWS($AF$2:AF897),$AF$2:$AF$1001,0),0), INDEX($AM$1004:$BM$1004,1,MATCH(COLUMNS($AM$1006:BC1006),$AM$1006:$BM$1006,0)))),"Fix")))</f>
        <v xml:space="preserve"> </v>
      </c>
      <c r="S897" s="4" t="str">
        <f ca="1">IF(OR(INDEX($AG$2:$AG$1001,MATCH(ROWS($AF$2:AF897),$AF$2:$AF$1001,0),1)&gt;=100000,INDEX($AM$1005:$BM$1005,1,MATCH(COLUMNS($AM$1006:BD1006),$AM$1006:$BM$1006,0))&gt;=100000), " ",IF(INDEX($AM$2:$BM$1001,MATCH(ROWS($AF$2:AF897),$AF$2:$AF$1001,0),MATCH(COLUMNS($AM$1006:BD1006),$AM$1006:$BM$1006,0)), HYPERLINK("#",""), HYPERLINK(CONCATENATE("#metadata!", ADDRESS(INDEX($AH$2:$AH$1001,MATCH(ROWS($AF$2:AF897),$AF$2:$AF$1001,0),0), INDEX($AM$1004:$BM$1004,1,MATCH(COLUMNS($AM$1006:BD1006),$AM$1006:$BM$1006,0)))),"Fix")))</f>
        <v xml:space="preserve"> </v>
      </c>
      <c r="T897" s="4" t="str">
        <f ca="1">IF(OR(INDEX($AG$2:$AG$1001,MATCH(ROWS($AF$2:AF897),$AF$2:$AF$1001,0),1)&gt;=100000,INDEX($AM$1005:$BM$1005,1,MATCH(COLUMNS($AM$1006:BE1006),$AM$1006:$BM$1006,0))&gt;=100000), " ",IF(INDEX($AM$2:$BM$1001,MATCH(ROWS($AF$2:AF897),$AF$2:$AF$1001,0),MATCH(COLUMNS($AM$1006:BE1006),$AM$1006:$BM$1006,0)), HYPERLINK("#",""), HYPERLINK(CONCATENATE("#metadata!", ADDRESS(INDEX($AH$2:$AH$1001,MATCH(ROWS($AF$2:AF897),$AF$2:$AF$1001,0),0), INDEX($AM$1004:$BM$1004,1,MATCH(COLUMNS($AM$1006:BE1006),$AM$1006:$BM$1006,0)))),"Fix")))</f>
        <v xml:space="preserve"> </v>
      </c>
      <c r="U897" s="4" t="str">
        <f ca="1">IF(OR(INDEX($AG$2:$AG$1001,MATCH(ROWS($AF$2:AF897),$AF$2:$AF$1001,0),1)&gt;=100000,INDEX($AM$1005:$BM$1005,1,MATCH(COLUMNS($AM$1006:BF1006),$AM$1006:$BM$1006,0))&gt;=100000), " ",IF(INDEX($AM$2:$BM$1001,MATCH(ROWS($AF$2:AF897),$AF$2:$AF$1001,0),MATCH(COLUMNS($AM$1006:BF1006),$AM$1006:$BM$1006,0)), HYPERLINK("#",""), HYPERLINK(CONCATENATE("#metadata!", ADDRESS(INDEX($AH$2:$AH$1001,MATCH(ROWS($AF$2:AF897),$AF$2:$AF$1001,0),0), INDEX($AM$1004:$BM$1004,1,MATCH(COLUMNS($AM$1006:BF1006),$AM$1006:$BM$1006,0)))),"Fix")))</f>
        <v xml:space="preserve"> </v>
      </c>
      <c r="V897" s="4" t="str">
        <f ca="1">IF(OR(INDEX($AG$2:$AG$1001,MATCH(ROWS($AF$2:AF897),$AF$2:$AF$1001,0),1)&gt;=100000,INDEX($AM$1005:$BM$1005,1,MATCH(COLUMNS($AM$1006:BG1006),$AM$1006:$BM$1006,0))&gt;=100000), " ",IF(INDEX($AM$2:$BM$1001,MATCH(ROWS($AF$2:AF897),$AF$2:$AF$1001,0),MATCH(COLUMNS($AM$1006:BG1006),$AM$1006:$BM$1006,0)), HYPERLINK("#",""), HYPERLINK(CONCATENATE("#metadata!", ADDRESS(INDEX($AH$2:$AH$1001,MATCH(ROWS($AF$2:AF897),$AF$2:$AF$1001,0),0), INDEX($AM$1004:$BM$1004,1,MATCH(COLUMNS($AM$1006:BG1006),$AM$1006:$BM$1006,0)))),"Fix")))</f>
        <v xml:space="preserve"> </v>
      </c>
      <c r="W897" s="4" t="str">
        <f ca="1">IF(OR(INDEX($AG$2:$AG$1001,MATCH(ROWS($AF$2:AF897),$AF$2:$AF$1001,0),1)&gt;=100000,INDEX($AM$1005:$BM$1005,1,MATCH(COLUMNS($AM$1006:BH1006),$AM$1006:$BM$1006,0))&gt;=100000), " ",IF(INDEX($AM$2:$BM$1001,MATCH(ROWS($AF$2:AF897),$AF$2:$AF$1001,0),MATCH(COLUMNS($AM$1006:BH1006),$AM$1006:$BM$1006,0)), HYPERLINK("#",""), HYPERLINK(CONCATENATE("#metadata!", ADDRESS(INDEX($AH$2:$AH$1001,MATCH(ROWS($AF$2:AF897),$AF$2:$AF$1001,0),0), INDEX($AM$1004:$BM$1004,1,MATCH(COLUMNS($AM$1006:BH1006),$AM$1006:$BM$1006,0)))),"Fix")))</f>
        <v xml:space="preserve"> </v>
      </c>
      <c r="X897" s="4" t="str">
        <f ca="1">IF(OR(INDEX($AG$2:$AG$1001,MATCH(ROWS($AF$2:AF897),$AF$2:$AF$1001,0),1)&gt;=100000,INDEX($AM$1005:$BM$1005,1,MATCH(COLUMNS($AM$1006:BI1006),$AM$1006:$BM$1006,0))&gt;=100000), " ",IF(INDEX($AM$2:$BM$1001,MATCH(ROWS($AF$2:AF897),$AF$2:$AF$1001,0),MATCH(COLUMNS($AM$1006:BI1006),$AM$1006:$BM$1006,0)), HYPERLINK("#",""), HYPERLINK(CONCATENATE("#metadata!", ADDRESS(INDEX($AH$2:$AH$1001,MATCH(ROWS($AF$2:AF897),$AF$2:$AF$1001,0),0), INDEX($AM$1004:$BM$1004,1,MATCH(COLUMNS($AM$1006:BI1006),$AM$1006:$BM$1006,0)))),"Fix")))</f>
        <v xml:space="preserve"> </v>
      </c>
      <c r="Y897" s="4" t="str">
        <f ca="1">IF(OR(INDEX($AG$2:$AG$1001,MATCH(ROWS($AF$2:AF897),$AF$2:$AF$1001,0),1)&gt;=100000,INDEX($AM$1005:$BM$1005,1,MATCH(COLUMNS($AM$1006:BJ1006),$AM$1006:$BM$1006,0))&gt;=100000), " ",IF(INDEX($AM$2:$BM$1001,MATCH(ROWS($AF$2:AF897),$AF$2:$AF$1001,0),MATCH(COLUMNS($AM$1006:BJ1006),$AM$1006:$BM$1006,0)), HYPERLINK("#",""), HYPERLINK(CONCATENATE("#metadata!", ADDRESS(INDEX($AH$2:$AH$1001,MATCH(ROWS($AF$2:AF897),$AF$2:$AF$1001,0),0), INDEX($AM$1004:$BM$1004,1,MATCH(COLUMNS($AM$1006:BJ1006),$AM$1006:$BM$1006,0)))),"Fix")))</f>
        <v xml:space="preserve"> </v>
      </c>
      <c r="Z897" s="4" t="str">
        <f ca="1">IF(OR(INDEX($AG$2:$AG$1001,MATCH(ROWS($AF$2:AF897),$AF$2:$AF$1001,0),1)&gt;=100000,INDEX($AM$1005:$BM$1005,1,MATCH(COLUMNS($AM$1006:BK1006),$AM$1006:$BM$1006,0))&gt;=100000), " ",IF(INDEX($AM$2:$BM$1001,MATCH(ROWS($AF$2:AF897),$AF$2:$AF$1001,0),MATCH(COLUMNS($AM$1006:BK1006),$AM$1006:$BM$1006,0)), HYPERLINK("#",""), HYPERLINK(CONCATENATE("#metadata!", ADDRESS(INDEX($AH$2:$AH$1001,MATCH(ROWS($AF$2:AF897),$AF$2:$AF$1001,0),0), INDEX($AM$1004:$BM$1004,1,MATCH(COLUMNS($AM$1006:BK1006),$AM$1006:$BM$1006,0)))),"Fix")))</f>
        <v xml:space="preserve"> </v>
      </c>
      <c r="AA897" s="4" t="str">
        <f ca="1">IF(OR(INDEX($AG$2:$AG$1001,MATCH(ROWS($AF$2:AF897),$AF$2:$AF$1001,0),1)&gt;=100000,INDEX($AM$1005:$BM$1005,1,MATCH(COLUMNS($AM$1006:BL1006),$AM$1006:$BM$1006,0))&gt;=100000), " ",IF(INDEX($AM$2:$BM$1001,MATCH(ROWS($AF$2:AF897),$AF$2:$AF$1001,0),MATCH(COLUMNS($AM$1006:BL1006),$AM$1006:$BM$1006,0)), HYPERLINK("#",""), HYPERLINK(CONCATENATE("#metadata!", ADDRESS(INDEX($AH$2:$AH$1001,MATCH(ROWS($AF$2:AF897),$AF$2:$AF$1001,0),0), INDEX($AM$1004:$BM$1004,1,MATCH(COLUMNS($AM$1006:BL1006),$AM$1006:$BM$1006,0)))),"Fix")))</f>
        <v xml:space="preserve"> </v>
      </c>
      <c r="AB897" s="4" t="str">
        <f ca="1">IF(OR(INDEX($AG$2:$AG$1001,MATCH(ROWS($AF$2:AF897),$AF$2:$AF$1001,0),1)&gt;=100000,INDEX($AM$1005:$BM$1005,1,MATCH(COLUMNS($AM$1006:BM1006),$AM$1006:$BM$1006,0))&gt;=100000), " ",IF(INDEX($AM$2:$BM$1001,MATCH(ROWS($AF$2:AF897),$AF$2:$AF$1001,0),MATCH(COLUMNS($AM$1006:BM1006),$AM$1006:$BM$1006,0)), HYPERLINK("#",""), HYPERLINK(CONCATENATE("#metadata!", ADDRESS(INDEX($AH$2:$AH$1001,MATCH(ROWS($AF$2:AF897),$AF$2:$AF$1001,0),0), INDEX($AM$1004:$BM$1004,1,MATCH(COLUMNS($AM$1006:BM1006),$AM$1006:$BM$1006,0)))),"Fix")))</f>
        <v xml:space="preserve"> </v>
      </c>
      <c r="AF897">
        <v>896</v>
      </c>
      <c r="AG897">
        <v>100897</v>
      </c>
      <c r="AH897">
        <v>897</v>
      </c>
      <c r="AI897" t="b">
        <f t="shared" si="13"/>
        <v>1</v>
      </c>
      <c r="AJ897" t="b">
        <f>COUNTBLANK(metadata!B897:AB897)=COLUMNS(metadata!B897:AB897)</f>
        <v>1</v>
      </c>
      <c r="AK897" t="str">
        <v/>
      </c>
      <c r="AM897" t="b">
        <f ca="1">AND(IF(metadata!B897="",FALSE,TRUE),COUNTIF(metadata!B:B, metadata!B897) = 1,NOT(ISERROR(SUMPRODUCT(SEARCH(MID(metadata!B897,ROW(INDIRECT("1:"&amp;LEN(metadata!B897))), 1),"0123456789abcdefghijklmnopqrstuvwxyzABCDEFGHIJKLMNOPQRSTUVWXYZ.")))))</f>
        <v>0</v>
      </c>
      <c r="AN897" t="b">
        <f ca="1">OR(AND(IF(metadata!C897="",FALSE,TRUE),OR(EXACT(metadata!C897,"missing: not collected"),EXACT(metadata!C897,"missing: not provided"),EXACT(metadata!C897,"missing: restricted access"))),AND(IF(metadata!C897="",FALSE,TRUE),AND(AND(IFERROR(INT(LEFT(metadata!C897,4))&gt;1900,FALSE),IFERROR(INT(LEFT(metadata!C897,4))&lt;=YEAR(NOW()),FALSE)), OR(MID(metadata!C897,5,1)="", AND(AND(MID(metadata!C897,5,1)="-",IFERROR(INT(MID(metadata!C897,6,1))&gt;=0,FALSE),IFERROR(INT(MID(metadata!C897,6,1))&lt;=1,FALSE),NOT(MID(metadata!C897,7,1)=""),IFERROR(INT(MID(metadata!C897,6,2))&gt;=1,FALSE),IFERROR(INT(MID(metadata!C897,6,2))&lt;=12,FALSE)), OR(MID(metadata!C897,8,1)="", AND(AND(MID(metadata!C897,8,1)="-",IFERROR(INT(MID(metadata!C897,9,1))&gt;=0,FALSE),IFERROR(INT(MID(metadata!C897,9,1))&lt;=3,FALSE),NOT(MID(metadata!C897,10,1)=""),IFERROR(INT(MID(metadata!C897,9,2))&gt;=1,FALSE),IFERROR(INT(MID(metadata!C897,9,2))&lt;=31,FALSE)), OR(MID(metadata!C897,11,1)="", AND(AND(MID(metadata!C897,11,1)=" ",IFERROR(INT(MID(metadata!C897,12,1))&gt;=0,FALSE),IFERROR(INT(MID(metadata!C897,12,1))&lt;=2,FALSE),NOT(MID(metadata!C897,13,1)=""),IFERROR(INT(MID(metadata!C897,12,2))&gt;=0,FALSE),IFERROR(INT(MID(metadata!C897,12,2))&lt;=23,FALSE)), OR(MID(metadata!C897,14,1)="", AND(AND(MID(metadata!C897,14,1)=":",IFERROR(INT(MID(metadata!C897,15,1))&gt;=0,FALSE),IFERROR(INT(MID(metadata!C897,15,1))&lt;=5,FALSE),NOT(MID(metadata!C897,16,1)=""),IFERROR(INT(MID(metadata!C897,15,2))&gt;=0,FALSE),IFERROR(INT(MID(metadata!C897,15,2))&lt;=59,FALSE)), OR(MID(metadata!C897,17,1)="", AND(AND(MID(metadata!C897,17,1)=":",IFERROR(INT(MID(metadata!C897,18,1))&gt;=0,FALSE),IFERROR(INT(MID(metadata!C897,18,1))&lt;=5,FALSE),NOT(MID(metadata!C897,19,1)=""),IFERROR(INT(MID(metadata!C897,18,2))&gt;=0,FALSE),IFERROR(INT(MID(metadata!C897,18,2))&lt;=59,FALSE)), LEN(metadata!C897)&lt;=19)))))))))))))</f>
        <v>0</v>
      </c>
      <c r="AO897" t="b">
        <f>AND(IF(metadata!D897="",FALSE,TRUE),EXACT(metadata!D897,"Not applicable"))</f>
        <v>0</v>
      </c>
      <c r="AP897" t="b">
        <f>IF(metadata!E897="",FALSE,TRUE)</f>
        <v>0</v>
      </c>
      <c r="AQ897" t="b">
        <f>OR(AND(IF(metadata!F897="",FALSE,TRUE),OR(EXACT(metadata!F897,"missing: not collected"),EXACT(metadata!F897,"missing: not provided"))),AND(IF(metadata!F897="",FALSE,TRUE),OR(EXACT(metadata!F897,"TRUE"),EXACT(metadata!F897,"FALSE"))))</f>
        <v>0</v>
      </c>
      <c r="AR897" t="b">
        <f>OR(AND(IF(metadata!G897="",FALSE,TRUE),OR(EXACT(metadata!G897,"missing: not collected"),EXACT(metadata!G897,"missing: not provided"),EXACT(metadata!G897,"missing: restricted access"))),AND(IF(metadata!G897="",FALSE,ISNUMBER(VALUE(metadata!G897))),metadata!G897&gt;=-413))</f>
        <v>0</v>
      </c>
      <c r="AS897" t="b">
        <f>AND(IF(metadata!H897="",FALSE,TRUE),EXACT(metadata!H897,"meters"))</f>
        <v>0</v>
      </c>
      <c r="AT897" t="b">
        <f>AND(IF(metadata!I897="",FALSE,TRUE),OR(EXACT(metadata!I897,"Host-associated"),EXACT(metadata!I897,"Free-living")))</f>
        <v>0</v>
      </c>
      <c r="AU897" t="b">
        <f>AND(IF(metadata!J897="",FALSE,TRUE),OR(EXACT(metadata!J897,"Animal"),EXACT(metadata!J897,"Fungus"),EXACT(metadata!J897,"Plant"),EXACT(metadata!J897,"Saline"),EXACT(metadata!J897,"Non-saline")))</f>
        <v>0</v>
      </c>
      <c r="AV897" t="b">
        <f>AND(IF(metadata!K897="",FALSE,TRUE),OR(EXACT(metadata!K897,"Plant secretion"),EXACT(metadata!K897,"Plant rhizosphere"),EXACT(metadata!K897,"Plant surface"),EXACT(metadata!K897,"Plant corpus"),EXACT(metadata!K897,"Fungus surface"),EXACT(metadata!K897,"Fungus corpus"),EXACT(metadata!K897,"Animal surface"),EXACT(metadata!K897,"Animal proximal gut"),EXACT(metadata!K897,"Animal corpus"),EXACT(metadata!K897,"Animal distal gut"),EXACT(metadata!K897,"Animal secretion"),EXACT(metadata!K897,"Sub-surface (non-saline)"),EXACT(metadata!K897,"Surface (non-saline)"),EXACT(metadata!K897,"Water (non-saline)"),EXACT(metadata!K897,"Soil (non-saline)"),EXACT(metadata!K897,"Aerosol (non-saline)"),EXACT(metadata!K897,"Sediment (non-saline)"),EXACT(metadata!K897,"Surface (saline)"),EXACT(metadata!K897,"Water (saline)"),EXACT(metadata!K897,"Hypersaline (saline)"),EXACT(metadata!K897,"Aerosol (saline)"),EXACT(metadata!K897,"Sediment (saline)")))</f>
        <v>0</v>
      </c>
      <c r="AW897" t="b">
        <f>IF(metadata!L897="",FALSE,TRUE)</f>
        <v>0</v>
      </c>
      <c r="AX897" t="b">
        <f>IF(metadata!M897="",FALSE,TRUE)</f>
        <v>0</v>
      </c>
      <c r="AY897" t="b">
        <f>IF(metadata!N897="",FALSE,TRUE)</f>
        <v>0</v>
      </c>
      <c r="AZ897" t="b">
        <f>OR(AND(IF(metadata!O897="",FALSE,TRUE),OR(EXACT(metadata!O897,"missing: not collected"),EXACT(metadata!O897,"missing: not provided"),EXACT(metadata!O897,"missing: restricted access"))),AND(IF(metadata!O897="",FALSE,TRUE),OR(EXACT(metadata!O897,"air"),EXACT(metadata!O897,"built environment"),EXACT(metadata!O897,"host-associated"),EXACT(metadata!O897,"human-associated"),EXACT(metadata!O897,"human-skin"),EXACT(metadata!O897,"human-oral"),EXACT(metadata!O897,"human-gut"),EXACT(metadata!O897,"human-vaginal"),EXACT(metadata!O897,"microbial mat/biofilm"),EXACT(metadata!O897,"misc environment"),EXACT(metadata!O897,"plant-associated"),EXACT(metadata!O897,"sediment"),EXACT(metadata!O897,"soil"),EXACT(metadata!O897,"wastewater/sludge"),EXACT(metadata!O897,"water"))))</f>
        <v>0</v>
      </c>
      <c r="BA897" t="b">
        <f>IF(metadata!P897="",FALSE,TRUE)</f>
        <v>0</v>
      </c>
      <c r="BB897" t="b">
        <f>IF(metadata!Q897="",FALSE,TRUE)</f>
        <v>0</v>
      </c>
      <c r="BC897" t="b">
        <f>OR(AND(IF(metadata!R897="",FALSE,TRUE),OR(EXACT(metadata!R897,"missing: not collected"),EXACT(metadata!R897,"missing: not provided"),EXACT(metadata!R897,"missing: restricted access"))),AND(IF(metadata!R897="",FALSE,ISNUMBER(VALUE(metadata!R897))),metadata!R897&gt;=-90,metadata!R897&lt;=90))</f>
        <v>0</v>
      </c>
      <c r="BD897" t="b">
        <f>AND(IF(metadata!S897="",FALSE,TRUE),EXACT(metadata!S897,"Decimal degrees"))</f>
        <v>0</v>
      </c>
      <c r="BE897" t="b">
        <f>OR(AND(IF(metadata!T897="",FALSE,TRUE),OR(EXACT(metadata!T897,"missing: not collected"),EXACT(metadata!T897,"missing: not provided"),EXACT(metadata!T897,"missing: restricted access"))),AND(IF(metadata!T897="",FALSE,ISNUMBER(VALUE(metadata!T897))),metadata!T897&gt;=-180,metadata!T897&lt;=180))</f>
        <v>0</v>
      </c>
      <c r="BF897" t="b">
        <f>AND(IF(metadata!U897="",FALSE,TRUE),EXACT(metadata!U897,"Decimal degrees"))</f>
        <v>0</v>
      </c>
      <c r="BG897" t="b">
        <f>IF(metadata!V897="",FALSE,TRUE)</f>
        <v>0</v>
      </c>
      <c r="BH897" t="b">
        <f>OR(AND(IF(metadata!W897="",FALSE,TRUE),OR(EXACT(metadata!W897,"missing: not collected"),EXACT(metadata!W897,"missing: not provided"),EXACT(metadata!W897,"missing: restricted access"))),AND(IF(metadata!W897="",FALSE,TRUE),OR(EXACT(metadata!W897,"TRUE"),EXACT(metadata!W897,"FALSE"))))</f>
        <v>0</v>
      </c>
      <c r="BI897" t="b">
        <f>AND(IF(metadata!X897="",FALSE,TRUE),EXACT(metadata!X897,"other"))</f>
        <v>0</v>
      </c>
      <c r="BJ897" t="b">
        <f>IF(metadata!Y897="",FALSE,TRUE)</f>
        <v>0</v>
      </c>
      <c r="BK897" t="b">
        <f>OR(AND(IF(metadata!Z897="",FALSE,TRUE),OR(EXACT(metadata!Z897,"missing: not collected"),EXACT(metadata!Z897,"missing: not provided"))),AND(IF(metadata!Z897="",FALSE,IF(ISERROR(INT(metadata!Z897)),FALSE,INT(metadata!Z897)=metadata!Z897)),metadata!Z897&gt;0))</f>
        <v>0</v>
      </c>
      <c r="BL897" t="b">
        <f>AND(IF(metadata!AA897="",FALSE,TRUE),EXACT(metadata!AA897,"Not applicable"))</f>
        <v>0</v>
      </c>
      <c r="BM897" t="b">
        <f>IF(metadata!AB897="",FALSE,TRUE)</f>
        <v>0</v>
      </c>
    </row>
    <row r="898" spans="1:65" x14ac:dyDescent="0.2">
      <c r="A898" s="5" t="str">
        <f ca="1">IF(B898=" "," ",HYPERLINK(CONCATENATE("#metadata!",ADDRESS(INDEX($AH$2:$AH$1001,MATCH(ROWS($AF$2:AF898),$AF$2:$AF$1001,0),0),1)),INDEX($AK$2:$AK$1001,MATCH(ROWS($AF$2:AF898),$AF$2:$AF$1001,0),0)))</f>
        <v xml:space="preserve"> </v>
      </c>
      <c r="B898" s="4" t="str">
        <f ca="1">IF(OR(INDEX($AG$2:$AG$1001,MATCH(ROWS($AF$2:AF898),$AF$2:$AF$1001,0),1)&gt;=100000,INDEX($AM$1005:$BM$1005,1,MATCH(COLUMNS($AM$1006:AM1006),$AM$1006:$BM$1006,0))&gt;=100000), " ",IF(INDEX($AM$2:$BM$1001,MATCH(ROWS($AF$2:AF898),$AF$2:$AF$1001,0),MATCH(COLUMNS($AM$1006:AM1006),$AM$1006:$BM$1006,0)), HYPERLINK("#",""), HYPERLINK(CONCATENATE("#metadata!", ADDRESS(INDEX($AH$2:$AH$1001,MATCH(ROWS($AF$2:AF898),$AF$2:$AF$1001,0),0), INDEX($AM$1004:$BM$1004,1,MATCH(COLUMNS($AM$1006:AM1006),$AM$1006:$BM$1006,0)))),"Fix")))</f>
        <v xml:space="preserve"> </v>
      </c>
      <c r="C898" s="4" t="str">
        <f ca="1">IF(OR(INDEX($AG$2:$AG$1001,MATCH(ROWS($AF$2:AF898),$AF$2:$AF$1001,0),1)&gt;=100000,INDEX($AM$1005:$BM$1005,1,MATCH(COLUMNS($AM$1006:AN1006),$AM$1006:$BM$1006,0))&gt;=100000), " ",IF(INDEX($AM$2:$BM$1001,MATCH(ROWS($AF$2:AF898),$AF$2:$AF$1001,0),MATCH(COLUMNS($AM$1006:AN1006),$AM$1006:$BM$1006,0)), HYPERLINK("#",""), HYPERLINK(CONCATENATE("#metadata!", ADDRESS(INDEX($AH$2:$AH$1001,MATCH(ROWS($AF$2:AF898),$AF$2:$AF$1001,0),0), INDEX($AM$1004:$BM$1004,1,MATCH(COLUMNS($AM$1006:AN1006),$AM$1006:$BM$1006,0)))),"Fix")))</f>
        <v xml:space="preserve"> </v>
      </c>
      <c r="D898" s="4" t="str">
        <f ca="1">IF(OR(INDEX($AG$2:$AG$1001,MATCH(ROWS($AF$2:AF898),$AF$2:$AF$1001,0),1)&gt;=100000,INDEX($AM$1005:$BM$1005,1,MATCH(COLUMNS($AM$1006:AO1006),$AM$1006:$BM$1006,0))&gt;=100000), " ",IF(INDEX($AM$2:$BM$1001,MATCH(ROWS($AF$2:AF898),$AF$2:$AF$1001,0),MATCH(COLUMNS($AM$1006:AO1006),$AM$1006:$BM$1006,0)), HYPERLINK("#",""), HYPERLINK(CONCATENATE("#metadata!", ADDRESS(INDEX($AH$2:$AH$1001,MATCH(ROWS($AF$2:AF898),$AF$2:$AF$1001,0),0), INDEX($AM$1004:$BM$1004,1,MATCH(COLUMNS($AM$1006:AO1006),$AM$1006:$BM$1006,0)))),"Fix")))</f>
        <v xml:space="preserve"> </v>
      </c>
      <c r="E898" s="4" t="str">
        <f ca="1">IF(OR(INDEX($AG$2:$AG$1001,MATCH(ROWS($AF$2:AF898),$AF$2:$AF$1001,0),1)&gt;=100000,INDEX($AM$1005:$BM$1005,1,MATCH(COLUMNS($AM$1006:AP1006),$AM$1006:$BM$1006,0))&gt;=100000), " ",IF(INDEX($AM$2:$BM$1001,MATCH(ROWS($AF$2:AF898),$AF$2:$AF$1001,0),MATCH(COLUMNS($AM$1006:AP1006),$AM$1006:$BM$1006,0)), HYPERLINK("#",""), HYPERLINK(CONCATENATE("#metadata!", ADDRESS(INDEX($AH$2:$AH$1001,MATCH(ROWS($AF$2:AF898),$AF$2:$AF$1001,0),0), INDEX($AM$1004:$BM$1004,1,MATCH(COLUMNS($AM$1006:AP1006),$AM$1006:$BM$1006,0)))),"Fix")))</f>
        <v xml:space="preserve"> </v>
      </c>
      <c r="F898" s="4" t="str">
        <f ca="1">IF(OR(INDEX($AG$2:$AG$1001,MATCH(ROWS($AF$2:AF898),$AF$2:$AF$1001,0),1)&gt;=100000,INDEX($AM$1005:$BM$1005,1,MATCH(COLUMNS($AM$1006:AQ1006),$AM$1006:$BM$1006,0))&gt;=100000), " ",IF(INDEX($AM$2:$BM$1001,MATCH(ROWS($AF$2:AF898),$AF$2:$AF$1001,0),MATCH(COLUMNS($AM$1006:AQ1006),$AM$1006:$BM$1006,0)), HYPERLINK("#",""), HYPERLINK(CONCATENATE("#metadata!", ADDRESS(INDEX($AH$2:$AH$1001,MATCH(ROWS($AF$2:AF898),$AF$2:$AF$1001,0),0), INDEX($AM$1004:$BM$1004,1,MATCH(COLUMNS($AM$1006:AQ1006),$AM$1006:$BM$1006,0)))),"Fix")))</f>
        <v xml:space="preserve"> </v>
      </c>
      <c r="G898" s="4" t="str">
        <f ca="1">IF(OR(INDEX($AG$2:$AG$1001,MATCH(ROWS($AF$2:AF898),$AF$2:$AF$1001,0),1)&gt;=100000,INDEX($AM$1005:$BM$1005,1,MATCH(COLUMNS($AM$1006:AR1006),$AM$1006:$BM$1006,0))&gt;=100000), " ",IF(INDEX($AM$2:$BM$1001,MATCH(ROWS($AF$2:AF898),$AF$2:$AF$1001,0),MATCH(COLUMNS($AM$1006:AR1006),$AM$1006:$BM$1006,0)), HYPERLINK("#",""), HYPERLINK(CONCATENATE("#metadata!", ADDRESS(INDEX($AH$2:$AH$1001,MATCH(ROWS($AF$2:AF898),$AF$2:$AF$1001,0),0), INDEX($AM$1004:$BM$1004,1,MATCH(COLUMNS($AM$1006:AR1006),$AM$1006:$BM$1006,0)))),"Fix")))</f>
        <v xml:space="preserve"> </v>
      </c>
      <c r="H898" s="4" t="str">
        <f ca="1">IF(OR(INDEX($AG$2:$AG$1001,MATCH(ROWS($AF$2:AF898),$AF$2:$AF$1001,0),1)&gt;=100000,INDEX($AM$1005:$BM$1005,1,MATCH(COLUMNS($AM$1006:AS1006),$AM$1006:$BM$1006,0))&gt;=100000), " ",IF(INDEX($AM$2:$BM$1001,MATCH(ROWS($AF$2:AF898),$AF$2:$AF$1001,0),MATCH(COLUMNS($AM$1006:AS1006),$AM$1006:$BM$1006,0)), HYPERLINK("#",""), HYPERLINK(CONCATENATE("#metadata!", ADDRESS(INDEX($AH$2:$AH$1001,MATCH(ROWS($AF$2:AF898),$AF$2:$AF$1001,0),0), INDEX($AM$1004:$BM$1004,1,MATCH(COLUMNS($AM$1006:AS1006),$AM$1006:$BM$1006,0)))),"Fix")))</f>
        <v xml:space="preserve"> </v>
      </c>
      <c r="I898" s="4" t="str">
        <f ca="1">IF(OR(INDEX($AG$2:$AG$1001,MATCH(ROWS($AF$2:AF898),$AF$2:$AF$1001,0),1)&gt;=100000,INDEX($AM$1005:$BM$1005,1,MATCH(COLUMNS($AM$1006:AT1006),$AM$1006:$BM$1006,0))&gt;=100000), " ",IF(INDEX($AM$2:$BM$1001,MATCH(ROWS($AF$2:AF898),$AF$2:$AF$1001,0),MATCH(COLUMNS($AM$1006:AT1006),$AM$1006:$BM$1006,0)), HYPERLINK("#",""), HYPERLINK(CONCATENATE("#metadata!", ADDRESS(INDEX($AH$2:$AH$1001,MATCH(ROWS($AF$2:AF898),$AF$2:$AF$1001,0),0), INDEX($AM$1004:$BM$1004,1,MATCH(COLUMNS($AM$1006:AT1006),$AM$1006:$BM$1006,0)))),"Fix")))</f>
        <v xml:space="preserve"> </v>
      </c>
      <c r="J898" s="4" t="str">
        <f ca="1">IF(OR(INDEX($AG$2:$AG$1001,MATCH(ROWS($AF$2:AF898),$AF$2:$AF$1001,0),1)&gt;=100000,INDEX($AM$1005:$BM$1005,1,MATCH(COLUMNS($AM$1006:AU1006),$AM$1006:$BM$1006,0))&gt;=100000), " ",IF(INDEX($AM$2:$BM$1001,MATCH(ROWS($AF$2:AF898),$AF$2:$AF$1001,0),MATCH(COLUMNS($AM$1006:AU1006),$AM$1006:$BM$1006,0)), HYPERLINK("#",""), HYPERLINK(CONCATENATE("#metadata!", ADDRESS(INDEX($AH$2:$AH$1001,MATCH(ROWS($AF$2:AF898),$AF$2:$AF$1001,0),0), INDEX($AM$1004:$BM$1004,1,MATCH(COLUMNS($AM$1006:AU1006),$AM$1006:$BM$1006,0)))),"Fix")))</f>
        <v xml:space="preserve"> </v>
      </c>
      <c r="K898" s="4" t="str">
        <f ca="1">IF(OR(INDEX($AG$2:$AG$1001,MATCH(ROWS($AF$2:AF898),$AF$2:$AF$1001,0),1)&gt;=100000,INDEX($AM$1005:$BM$1005,1,MATCH(COLUMNS($AM$1006:AV1006),$AM$1006:$BM$1006,0))&gt;=100000), " ",IF(INDEX($AM$2:$BM$1001,MATCH(ROWS($AF$2:AF898),$AF$2:$AF$1001,0),MATCH(COLUMNS($AM$1006:AV1006),$AM$1006:$BM$1006,0)), HYPERLINK("#",""), HYPERLINK(CONCATENATE("#metadata!", ADDRESS(INDEX($AH$2:$AH$1001,MATCH(ROWS($AF$2:AF898),$AF$2:$AF$1001,0),0), INDEX($AM$1004:$BM$1004,1,MATCH(COLUMNS($AM$1006:AV1006),$AM$1006:$BM$1006,0)))),"Fix")))</f>
        <v xml:space="preserve"> </v>
      </c>
      <c r="L898" s="4" t="str">
        <f ca="1">IF(OR(INDEX($AG$2:$AG$1001,MATCH(ROWS($AF$2:AF898),$AF$2:$AF$1001,0),1)&gt;=100000,INDEX($AM$1005:$BM$1005,1,MATCH(COLUMNS($AM$1006:AW1006),$AM$1006:$BM$1006,0))&gt;=100000), " ",IF(INDEX($AM$2:$BM$1001,MATCH(ROWS($AF$2:AF898),$AF$2:$AF$1001,0),MATCH(COLUMNS($AM$1006:AW1006),$AM$1006:$BM$1006,0)), HYPERLINK("#",""), HYPERLINK(CONCATENATE("#metadata!", ADDRESS(INDEX($AH$2:$AH$1001,MATCH(ROWS($AF$2:AF898),$AF$2:$AF$1001,0),0), INDEX($AM$1004:$BM$1004,1,MATCH(COLUMNS($AM$1006:AW1006),$AM$1006:$BM$1006,0)))),"Fix")))</f>
        <v xml:space="preserve"> </v>
      </c>
      <c r="M898" s="4" t="str">
        <f ca="1">IF(OR(INDEX($AG$2:$AG$1001,MATCH(ROWS($AF$2:AF898),$AF$2:$AF$1001,0),1)&gt;=100000,INDEX($AM$1005:$BM$1005,1,MATCH(COLUMNS($AM$1006:AX1006),$AM$1006:$BM$1006,0))&gt;=100000), " ",IF(INDEX($AM$2:$BM$1001,MATCH(ROWS($AF$2:AF898),$AF$2:$AF$1001,0),MATCH(COLUMNS($AM$1006:AX1006),$AM$1006:$BM$1006,0)), HYPERLINK("#",""), HYPERLINK(CONCATENATE("#metadata!", ADDRESS(INDEX($AH$2:$AH$1001,MATCH(ROWS($AF$2:AF898),$AF$2:$AF$1001,0),0), INDEX($AM$1004:$BM$1004,1,MATCH(COLUMNS($AM$1006:AX1006),$AM$1006:$BM$1006,0)))),"Fix")))</f>
        <v xml:space="preserve"> </v>
      </c>
      <c r="N898" s="4" t="str">
        <f ca="1">IF(OR(INDEX($AG$2:$AG$1001,MATCH(ROWS($AF$2:AF898),$AF$2:$AF$1001,0),1)&gt;=100000,INDEX($AM$1005:$BM$1005,1,MATCH(COLUMNS($AM$1006:AY1006),$AM$1006:$BM$1006,0))&gt;=100000), " ",IF(INDEX($AM$2:$BM$1001,MATCH(ROWS($AF$2:AF898),$AF$2:$AF$1001,0),MATCH(COLUMNS($AM$1006:AY1006),$AM$1006:$BM$1006,0)), HYPERLINK("#",""), HYPERLINK(CONCATENATE("#metadata!", ADDRESS(INDEX($AH$2:$AH$1001,MATCH(ROWS($AF$2:AF898),$AF$2:$AF$1001,0),0), INDEX($AM$1004:$BM$1004,1,MATCH(COLUMNS($AM$1006:AY1006),$AM$1006:$BM$1006,0)))),"Fix")))</f>
        <v xml:space="preserve"> </v>
      </c>
      <c r="O898" s="4" t="str">
        <f ca="1">IF(OR(INDEX($AG$2:$AG$1001,MATCH(ROWS($AF$2:AF898),$AF$2:$AF$1001,0),1)&gt;=100000,INDEX($AM$1005:$BM$1005,1,MATCH(COLUMNS($AM$1006:AZ1006),$AM$1006:$BM$1006,0))&gt;=100000), " ",IF(INDEX($AM$2:$BM$1001,MATCH(ROWS($AF$2:AF898),$AF$2:$AF$1001,0),MATCH(COLUMNS($AM$1006:AZ1006),$AM$1006:$BM$1006,0)), HYPERLINK("#",""), HYPERLINK(CONCATENATE("#metadata!", ADDRESS(INDEX($AH$2:$AH$1001,MATCH(ROWS($AF$2:AF898),$AF$2:$AF$1001,0),0), INDEX($AM$1004:$BM$1004,1,MATCH(COLUMNS($AM$1006:AZ1006),$AM$1006:$BM$1006,0)))),"Fix")))</f>
        <v xml:space="preserve"> </v>
      </c>
      <c r="P898" s="4" t="str">
        <f ca="1">IF(OR(INDEX($AG$2:$AG$1001,MATCH(ROWS($AF$2:AF898),$AF$2:$AF$1001,0),1)&gt;=100000,INDEX($AM$1005:$BM$1005,1,MATCH(COLUMNS($AM$1006:BA1006),$AM$1006:$BM$1006,0))&gt;=100000), " ",IF(INDEX($AM$2:$BM$1001,MATCH(ROWS($AF$2:AF898),$AF$2:$AF$1001,0),MATCH(COLUMNS($AM$1006:BA1006),$AM$1006:$BM$1006,0)), HYPERLINK("#",""), HYPERLINK(CONCATENATE("#metadata!", ADDRESS(INDEX($AH$2:$AH$1001,MATCH(ROWS($AF$2:AF898),$AF$2:$AF$1001,0),0), INDEX($AM$1004:$BM$1004,1,MATCH(COLUMNS($AM$1006:BA1006),$AM$1006:$BM$1006,0)))),"Fix")))</f>
        <v xml:space="preserve"> </v>
      </c>
      <c r="Q898" s="4" t="str">
        <f ca="1">IF(OR(INDEX($AG$2:$AG$1001,MATCH(ROWS($AF$2:AF898),$AF$2:$AF$1001,0),1)&gt;=100000,INDEX($AM$1005:$BM$1005,1,MATCH(COLUMNS($AM$1006:BB1006),$AM$1006:$BM$1006,0))&gt;=100000), " ",IF(INDEX($AM$2:$BM$1001,MATCH(ROWS($AF$2:AF898),$AF$2:$AF$1001,0),MATCH(COLUMNS($AM$1006:BB1006),$AM$1006:$BM$1006,0)), HYPERLINK("#",""), HYPERLINK(CONCATENATE("#metadata!", ADDRESS(INDEX($AH$2:$AH$1001,MATCH(ROWS($AF$2:AF898),$AF$2:$AF$1001,0),0), INDEX($AM$1004:$BM$1004,1,MATCH(COLUMNS($AM$1006:BB1006),$AM$1006:$BM$1006,0)))),"Fix")))</f>
        <v xml:space="preserve"> </v>
      </c>
      <c r="R898" s="4" t="str">
        <f ca="1">IF(OR(INDEX($AG$2:$AG$1001,MATCH(ROWS($AF$2:AF898),$AF$2:$AF$1001,0),1)&gt;=100000,INDEX($AM$1005:$BM$1005,1,MATCH(COLUMNS($AM$1006:BC1006),$AM$1006:$BM$1006,0))&gt;=100000), " ",IF(INDEX($AM$2:$BM$1001,MATCH(ROWS($AF$2:AF898),$AF$2:$AF$1001,0),MATCH(COLUMNS($AM$1006:BC1006),$AM$1006:$BM$1006,0)), HYPERLINK("#",""), HYPERLINK(CONCATENATE("#metadata!", ADDRESS(INDEX($AH$2:$AH$1001,MATCH(ROWS($AF$2:AF898),$AF$2:$AF$1001,0),0), INDEX($AM$1004:$BM$1004,1,MATCH(COLUMNS($AM$1006:BC1006),$AM$1006:$BM$1006,0)))),"Fix")))</f>
        <v xml:space="preserve"> </v>
      </c>
      <c r="S898" s="4" t="str">
        <f ca="1">IF(OR(INDEX($AG$2:$AG$1001,MATCH(ROWS($AF$2:AF898),$AF$2:$AF$1001,0),1)&gt;=100000,INDEX($AM$1005:$BM$1005,1,MATCH(COLUMNS($AM$1006:BD1006),$AM$1006:$BM$1006,0))&gt;=100000), " ",IF(INDEX($AM$2:$BM$1001,MATCH(ROWS($AF$2:AF898),$AF$2:$AF$1001,0),MATCH(COLUMNS($AM$1006:BD1006),$AM$1006:$BM$1006,0)), HYPERLINK("#",""), HYPERLINK(CONCATENATE("#metadata!", ADDRESS(INDEX($AH$2:$AH$1001,MATCH(ROWS($AF$2:AF898),$AF$2:$AF$1001,0),0), INDEX($AM$1004:$BM$1004,1,MATCH(COLUMNS($AM$1006:BD1006),$AM$1006:$BM$1006,0)))),"Fix")))</f>
        <v xml:space="preserve"> </v>
      </c>
      <c r="T898" s="4" t="str">
        <f ca="1">IF(OR(INDEX($AG$2:$AG$1001,MATCH(ROWS($AF$2:AF898),$AF$2:$AF$1001,0),1)&gt;=100000,INDEX($AM$1005:$BM$1005,1,MATCH(COLUMNS($AM$1006:BE1006),$AM$1006:$BM$1006,0))&gt;=100000), " ",IF(INDEX($AM$2:$BM$1001,MATCH(ROWS($AF$2:AF898),$AF$2:$AF$1001,0),MATCH(COLUMNS($AM$1006:BE1006),$AM$1006:$BM$1006,0)), HYPERLINK("#",""), HYPERLINK(CONCATENATE("#metadata!", ADDRESS(INDEX($AH$2:$AH$1001,MATCH(ROWS($AF$2:AF898),$AF$2:$AF$1001,0),0), INDEX($AM$1004:$BM$1004,1,MATCH(COLUMNS($AM$1006:BE1006),$AM$1006:$BM$1006,0)))),"Fix")))</f>
        <v xml:space="preserve"> </v>
      </c>
      <c r="U898" s="4" t="str">
        <f ca="1">IF(OR(INDEX($AG$2:$AG$1001,MATCH(ROWS($AF$2:AF898),$AF$2:$AF$1001,0),1)&gt;=100000,INDEX($AM$1005:$BM$1005,1,MATCH(COLUMNS($AM$1006:BF1006),$AM$1006:$BM$1006,0))&gt;=100000), " ",IF(INDEX($AM$2:$BM$1001,MATCH(ROWS($AF$2:AF898),$AF$2:$AF$1001,0),MATCH(COLUMNS($AM$1006:BF1006),$AM$1006:$BM$1006,0)), HYPERLINK("#",""), HYPERLINK(CONCATENATE("#metadata!", ADDRESS(INDEX($AH$2:$AH$1001,MATCH(ROWS($AF$2:AF898),$AF$2:$AF$1001,0),0), INDEX($AM$1004:$BM$1004,1,MATCH(COLUMNS($AM$1006:BF1006),$AM$1006:$BM$1006,0)))),"Fix")))</f>
        <v xml:space="preserve"> </v>
      </c>
      <c r="V898" s="4" t="str">
        <f ca="1">IF(OR(INDEX($AG$2:$AG$1001,MATCH(ROWS($AF$2:AF898),$AF$2:$AF$1001,0),1)&gt;=100000,INDEX($AM$1005:$BM$1005,1,MATCH(COLUMNS($AM$1006:BG1006),$AM$1006:$BM$1006,0))&gt;=100000), " ",IF(INDEX($AM$2:$BM$1001,MATCH(ROWS($AF$2:AF898),$AF$2:$AF$1001,0),MATCH(COLUMNS($AM$1006:BG1006),$AM$1006:$BM$1006,0)), HYPERLINK("#",""), HYPERLINK(CONCATENATE("#metadata!", ADDRESS(INDEX($AH$2:$AH$1001,MATCH(ROWS($AF$2:AF898),$AF$2:$AF$1001,0),0), INDEX($AM$1004:$BM$1004,1,MATCH(COLUMNS($AM$1006:BG1006),$AM$1006:$BM$1006,0)))),"Fix")))</f>
        <v xml:space="preserve"> </v>
      </c>
      <c r="W898" s="4" t="str">
        <f ca="1">IF(OR(INDEX($AG$2:$AG$1001,MATCH(ROWS($AF$2:AF898),$AF$2:$AF$1001,0),1)&gt;=100000,INDEX($AM$1005:$BM$1005,1,MATCH(COLUMNS($AM$1006:BH1006),$AM$1006:$BM$1006,0))&gt;=100000), " ",IF(INDEX($AM$2:$BM$1001,MATCH(ROWS($AF$2:AF898),$AF$2:$AF$1001,0),MATCH(COLUMNS($AM$1006:BH1006),$AM$1006:$BM$1006,0)), HYPERLINK("#",""), HYPERLINK(CONCATENATE("#metadata!", ADDRESS(INDEX($AH$2:$AH$1001,MATCH(ROWS($AF$2:AF898),$AF$2:$AF$1001,0),0), INDEX($AM$1004:$BM$1004,1,MATCH(COLUMNS($AM$1006:BH1006),$AM$1006:$BM$1006,0)))),"Fix")))</f>
        <v xml:space="preserve"> </v>
      </c>
      <c r="X898" s="4" t="str">
        <f ca="1">IF(OR(INDEX($AG$2:$AG$1001,MATCH(ROWS($AF$2:AF898),$AF$2:$AF$1001,0),1)&gt;=100000,INDEX($AM$1005:$BM$1005,1,MATCH(COLUMNS($AM$1006:BI1006),$AM$1006:$BM$1006,0))&gt;=100000), " ",IF(INDEX($AM$2:$BM$1001,MATCH(ROWS($AF$2:AF898),$AF$2:$AF$1001,0),MATCH(COLUMNS($AM$1006:BI1006),$AM$1006:$BM$1006,0)), HYPERLINK("#",""), HYPERLINK(CONCATENATE("#metadata!", ADDRESS(INDEX($AH$2:$AH$1001,MATCH(ROWS($AF$2:AF898),$AF$2:$AF$1001,0),0), INDEX($AM$1004:$BM$1004,1,MATCH(COLUMNS($AM$1006:BI1006),$AM$1006:$BM$1006,0)))),"Fix")))</f>
        <v xml:space="preserve"> </v>
      </c>
      <c r="Y898" s="4" t="str">
        <f ca="1">IF(OR(INDEX($AG$2:$AG$1001,MATCH(ROWS($AF$2:AF898),$AF$2:$AF$1001,0),1)&gt;=100000,INDEX($AM$1005:$BM$1005,1,MATCH(COLUMNS($AM$1006:BJ1006),$AM$1006:$BM$1006,0))&gt;=100000), " ",IF(INDEX($AM$2:$BM$1001,MATCH(ROWS($AF$2:AF898),$AF$2:$AF$1001,0),MATCH(COLUMNS($AM$1006:BJ1006),$AM$1006:$BM$1006,0)), HYPERLINK("#",""), HYPERLINK(CONCATENATE("#metadata!", ADDRESS(INDEX($AH$2:$AH$1001,MATCH(ROWS($AF$2:AF898),$AF$2:$AF$1001,0),0), INDEX($AM$1004:$BM$1004,1,MATCH(COLUMNS($AM$1006:BJ1006),$AM$1006:$BM$1006,0)))),"Fix")))</f>
        <v xml:space="preserve"> </v>
      </c>
      <c r="Z898" s="4" t="str">
        <f ca="1">IF(OR(INDEX($AG$2:$AG$1001,MATCH(ROWS($AF$2:AF898),$AF$2:$AF$1001,0),1)&gt;=100000,INDEX($AM$1005:$BM$1005,1,MATCH(COLUMNS($AM$1006:BK1006),$AM$1006:$BM$1006,0))&gt;=100000), " ",IF(INDEX($AM$2:$BM$1001,MATCH(ROWS($AF$2:AF898),$AF$2:$AF$1001,0),MATCH(COLUMNS($AM$1006:BK1006),$AM$1006:$BM$1006,0)), HYPERLINK("#",""), HYPERLINK(CONCATENATE("#metadata!", ADDRESS(INDEX($AH$2:$AH$1001,MATCH(ROWS($AF$2:AF898),$AF$2:$AF$1001,0),0), INDEX($AM$1004:$BM$1004,1,MATCH(COLUMNS($AM$1006:BK1006),$AM$1006:$BM$1006,0)))),"Fix")))</f>
        <v xml:space="preserve"> </v>
      </c>
      <c r="AA898" s="4" t="str">
        <f ca="1">IF(OR(INDEX($AG$2:$AG$1001,MATCH(ROWS($AF$2:AF898),$AF$2:$AF$1001,0),1)&gt;=100000,INDEX($AM$1005:$BM$1005,1,MATCH(COLUMNS($AM$1006:BL1006),$AM$1006:$BM$1006,0))&gt;=100000), " ",IF(INDEX($AM$2:$BM$1001,MATCH(ROWS($AF$2:AF898),$AF$2:$AF$1001,0),MATCH(COLUMNS($AM$1006:BL1006),$AM$1006:$BM$1006,0)), HYPERLINK("#",""), HYPERLINK(CONCATENATE("#metadata!", ADDRESS(INDEX($AH$2:$AH$1001,MATCH(ROWS($AF$2:AF898),$AF$2:$AF$1001,0),0), INDEX($AM$1004:$BM$1004,1,MATCH(COLUMNS($AM$1006:BL1006),$AM$1006:$BM$1006,0)))),"Fix")))</f>
        <v xml:space="preserve"> </v>
      </c>
      <c r="AB898" s="4" t="str">
        <f ca="1">IF(OR(INDEX($AG$2:$AG$1001,MATCH(ROWS($AF$2:AF898),$AF$2:$AF$1001,0),1)&gt;=100000,INDEX($AM$1005:$BM$1005,1,MATCH(COLUMNS($AM$1006:BM1006),$AM$1006:$BM$1006,0))&gt;=100000), " ",IF(INDEX($AM$2:$BM$1001,MATCH(ROWS($AF$2:AF898),$AF$2:$AF$1001,0),MATCH(COLUMNS($AM$1006:BM1006),$AM$1006:$BM$1006,0)), HYPERLINK("#",""), HYPERLINK(CONCATENATE("#metadata!", ADDRESS(INDEX($AH$2:$AH$1001,MATCH(ROWS($AF$2:AF898),$AF$2:$AF$1001,0),0), INDEX($AM$1004:$BM$1004,1,MATCH(COLUMNS($AM$1006:BM1006),$AM$1006:$BM$1006,0)))),"Fix")))</f>
        <v xml:space="preserve"> </v>
      </c>
      <c r="AF898">
        <v>897</v>
      </c>
      <c r="AG898">
        <v>100898</v>
      </c>
      <c r="AH898">
        <v>898</v>
      </c>
      <c r="AI898" t="b">
        <f t="shared" ref="AI898:AI961" si="14">IF(AJ898,TRUE,AND(AM898:BM898))</f>
        <v>1</v>
      </c>
      <c r="AJ898" t="b">
        <f>COUNTBLANK(metadata!B898:AB898)=COLUMNS(metadata!B898:AB898)</f>
        <v>1</v>
      </c>
      <c r="AK898" t="str">
        <v/>
      </c>
      <c r="AM898" t="b">
        <f ca="1">AND(IF(metadata!B898="",FALSE,TRUE),COUNTIF(metadata!B:B, metadata!B898) = 1,NOT(ISERROR(SUMPRODUCT(SEARCH(MID(metadata!B898,ROW(INDIRECT("1:"&amp;LEN(metadata!B898))), 1),"0123456789abcdefghijklmnopqrstuvwxyzABCDEFGHIJKLMNOPQRSTUVWXYZ.")))))</f>
        <v>0</v>
      </c>
      <c r="AN898" t="b">
        <f ca="1">OR(AND(IF(metadata!C898="",FALSE,TRUE),OR(EXACT(metadata!C898,"missing: not collected"),EXACT(metadata!C898,"missing: not provided"),EXACT(metadata!C898,"missing: restricted access"))),AND(IF(metadata!C898="",FALSE,TRUE),AND(AND(IFERROR(INT(LEFT(metadata!C898,4))&gt;1900,FALSE),IFERROR(INT(LEFT(metadata!C898,4))&lt;=YEAR(NOW()),FALSE)), OR(MID(metadata!C898,5,1)="", AND(AND(MID(metadata!C898,5,1)="-",IFERROR(INT(MID(metadata!C898,6,1))&gt;=0,FALSE),IFERROR(INT(MID(metadata!C898,6,1))&lt;=1,FALSE),NOT(MID(metadata!C898,7,1)=""),IFERROR(INT(MID(metadata!C898,6,2))&gt;=1,FALSE),IFERROR(INT(MID(metadata!C898,6,2))&lt;=12,FALSE)), OR(MID(metadata!C898,8,1)="", AND(AND(MID(metadata!C898,8,1)="-",IFERROR(INT(MID(metadata!C898,9,1))&gt;=0,FALSE),IFERROR(INT(MID(metadata!C898,9,1))&lt;=3,FALSE),NOT(MID(metadata!C898,10,1)=""),IFERROR(INT(MID(metadata!C898,9,2))&gt;=1,FALSE),IFERROR(INT(MID(metadata!C898,9,2))&lt;=31,FALSE)), OR(MID(metadata!C898,11,1)="", AND(AND(MID(metadata!C898,11,1)=" ",IFERROR(INT(MID(metadata!C898,12,1))&gt;=0,FALSE),IFERROR(INT(MID(metadata!C898,12,1))&lt;=2,FALSE),NOT(MID(metadata!C898,13,1)=""),IFERROR(INT(MID(metadata!C898,12,2))&gt;=0,FALSE),IFERROR(INT(MID(metadata!C898,12,2))&lt;=23,FALSE)), OR(MID(metadata!C898,14,1)="", AND(AND(MID(metadata!C898,14,1)=":",IFERROR(INT(MID(metadata!C898,15,1))&gt;=0,FALSE),IFERROR(INT(MID(metadata!C898,15,1))&lt;=5,FALSE),NOT(MID(metadata!C898,16,1)=""),IFERROR(INT(MID(metadata!C898,15,2))&gt;=0,FALSE),IFERROR(INT(MID(metadata!C898,15,2))&lt;=59,FALSE)), OR(MID(metadata!C898,17,1)="", AND(AND(MID(metadata!C898,17,1)=":",IFERROR(INT(MID(metadata!C898,18,1))&gt;=0,FALSE),IFERROR(INT(MID(metadata!C898,18,1))&lt;=5,FALSE),NOT(MID(metadata!C898,19,1)=""),IFERROR(INT(MID(metadata!C898,18,2))&gt;=0,FALSE),IFERROR(INT(MID(metadata!C898,18,2))&lt;=59,FALSE)), LEN(metadata!C898)&lt;=19)))))))))))))</f>
        <v>0</v>
      </c>
      <c r="AO898" t="b">
        <f>AND(IF(metadata!D898="",FALSE,TRUE),EXACT(metadata!D898,"Not applicable"))</f>
        <v>0</v>
      </c>
      <c r="AP898" t="b">
        <f>IF(metadata!E898="",FALSE,TRUE)</f>
        <v>0</v>
      </c>
      <c r="AQ898" t="b">
        <f>OR(AND(IF(metadata!F898="",FALSE,TRUE),OR(EXACT(metadata!F898,"missing: not collected"),EXACT(metadata!F898,"missing: not provided"))),AND(IF(metadata!F898="",FALSE,TRUE),OR(EXACT(metadata!F898,"TRUE"),EXACT(metadata!F898,"FALSE"))))</f>
        <v>0</v>
      </c>
      <c r="AR898" t="b">
        <f>OR(AND(IF(metadata!G898="",FALSE,TRUE),OR(EXACT(metadata!G898,"missing: not collected"),EXACT(metadata!G898,"missing: not provided"),EXACT(metadata!G898,"missing: restricted access"))),AND(IF(metadata!G898="",FALSE,ISNUMBER(VALUE(metadata!G898))),metadata!G898&gt;=-413))</f>
        <v>0</v>
      </c>
      <c r="AS898" t="b">
        <f>AND(IF(metadata!H898="",FALSE,TRUE),EXACT(metadata!H898,"meters"))</f>
        <v>0</v>
      </c>
      <c r="AT898" t="b">
        <f>AND(IF(metadata!I898="",FALSE,TRUE),OR(EXACT(metadata!I898,"Host-associated"),EXACT(metadata!I898,"Free-living")))</f>
        <v>0</v>
      </c>
      <c r="AU898" t="b">
        <f>AND(IF(metadata!J898="",FALSE,TRUE),OR(EXACT(metadata!J898,"Animal"),EXACT(metadata!J898,"Fungus"),EXACT(metadata!J898,"Plant"),EXACT(metadata!J898,"Saline"),EXACT(metadata!J898,"Non-saline")))</f>
        <v>0</v>
      </c>
      <c r="AV898" t="b">
        <f>AND(IF(metadata!K898="",FALSE,TRUE),OR(EXACT(metadata!K898,"Plant secretion"),EXACT(metadata!K898,"Plant rhizosphere"),EXACT(metadata!K898,"Plant surface"),EXACT(metadata!K898,"Plant corpus"),EXACT(metadata!K898,"Fungus surface"),EXACT(metadata!K898,"Fungus corpus"),EXACT(metadata!K898,"Animal surface"),EXACT(metadata!K898,"Animal proximal gut"),EXACT(metadata!K898,"Animal corpus"),EXACT(metadata!K898,"Animal distal gut"),EXACT(metadata!K898,"Animal secretion"),EXACT(metadata!K898,"Sub-surface (non-saline)"),EXACT(metadata!K898,"Surface (non-saline)"),EXACT(metadata!K898,"Water (non-saline)"),EXACT(metadata!K898,"Soil (non-saline)"),EXACT(metadata!K898,"Aerosol (non-saline)"),EXACT(metadata!K898,"Sediment (non-saline)"),EXACT(metadata!K898,"Surface (saline)"),EXACT(metadata!K898,"Water (saline)"),EXACT(metadata!K898,"Hypersaline (saline)"),EXACT(metadata!K898,"Aerosol (saline)"),EXACT(metadata!K898,"Sediment (saline)")))</f>
        <v>0</v>
      </c>
      <c r="AW898" t="b">
        <f>IF(metadata!L898="",FALSE,TRUE)</f>
        <v>0</v>
      </c>
      <c r="AX898" t="b">
        <f>IF(metadata!M898="",FALSE,TRUE)</f>
        <v>0</v>
      </c>
      <c r="AY898" t="b">
        <f>IF(metadata!N898="",FALSE,TRUE)</f>
        <v>0</v>
      </c>
      <c r="AZ898" t="b">
        <f>OR(AND(IF(metadata!O898="",FALSE,TRUE),OR(EXACT(metadata!O898,"missing: not collected"),EXACT(metadata!O898,"missing: not provided"),EXACT(metadata!O898,"missing: restricted access"))),AND(IF(metadata!O898="",FALSE,TRUE),OR(EXACT(metadata!O898,"air"),EXACT(metadata!O898,"built environment"),EXACT(metadata!O898,"host-associated"),EXACT(metadata!O898,"human-associated"),EXACT(metadata!O898,"human-skin"),EXACT(metadata!O898,"human-oral"),EXACT(metadata!O898,"human-gut"),EXACT(metadata!O898,"human-vaginal"),EXACT(metadata!O898,"microbial mat/biofilm"),EXACT(metadata!O898,"misc environment"),EXACT(metadata!O898,"plant-associated"),EXACT(metadata!O898,"sediment"),EXACT(metadata!O898,"soil"),EXACT(metadata!O898,"wastewater/sludge"),EXACT(metadata!O898,"water"))))</f>
        <v>0</v>
      </c>
      <c r="BA898" t="b">
        <f>IF(metadata!P898="",FALSE,TRUE)</f>
        <v>0</v>
      </c>
      <c r="BB898" t="b">
        <f>IF(metadata!Q898="",FALSE,TRUE)</f>
        <v>0</v>
      </c>
      <c r="BC898" t="b">
        <f>OR(AND(IF(metadata!R898="",FALSE,TRUE),OR(EXACT(metadata!R898,"missing: not collected"),EXACT(metadata!R898,"missing: not provided"),EXACT(metadata!R898,"missing: restricted access"))),AND(IF(metadata!R898="",FALSE,ISNUMBER(VALUE(metadata!R898))),metadata!R898&gt;=-90,metadata!R898&lt;=90))</f>
        <v>0</v>
      </c>
      <c r="BD898" t="b">
        <f>AND(IF(metadata!S898="",FALSE,TRUE),EXACT(metadata!S898,"Decimal degrees"))</f>
        <v>0</v>
      </c>
      <c r="BE898" t="b">
        <f>OR(AND(IF(metadata!T898="",FALSE,TRUE),OR(EXACT(metadata!T898,"missing: not collected"),EXACT(metadata!T898,"missing: not provided"),EXACT(metadata!T898,"missing: restricted access"))),AND(IF(metadata!T898="",FALSE,ISNUMBER(VALUE(metadata!T898))),metadata!T898&gt;=-180,metadata!T898&lt;=180))</f>
        <v>0</v>
      </c>
      <c r="BF898" t="b">
        <f>AND(IF(metadata!U898="",FALSE,TRUE),EXACT(metadata!U898,"Decimal degrees"))</f>
        <v>0</v>
      </c>
      <c r="BG898" t="b">
        <f>IF(metadata!V898="",FALSE,TRUE)</f>
        <v>0</v>
      </c>
      <c r="BH898" t="b">
        <f>OR(AND(IF(metadata!W898="",FALSE,TRUE),OR(EXACT(metadata!W898,"missing: not collected"),EXACT(metadata!W898,"missing: not provided"),EXACT(metadata!W898,"missing: restricted access"))),AND(IF(metadata!W898="",FALSE,TRUE),OR(EXACT(metadata!W898,"TRUE"),EXACT(metadata!W898,"FALSE"))))</f>
        <v>0</v>
      </c>
      <c r="BI898" t="b">
        <f>AND(IF(metadata!X898="",FALSE,TRUE),EXACT(metadata!X898,"other"))</f>
        <v>0</v>
      </c>
      <c r="BJ898" t="b">
        <f>IF(metadata!Y898="",FALSE,TRUE)</f>
        <v>0</v>
      </c>
      <c r="BK898" t="b">
        <f>OR(AND(IF(metadata!Z898="",FALSE,TRUE),OR(EXACT(metadata!Z898,"missing: not collected"),EXACT(metadata!Z898,"missing: not provided"))),AND(IF(metadata!Z898="",FALSE,IF(ISERROR(INT(metadata!Z898)),FALSE,INT(metadata!Z898)=metadata!Z898)),metadata!Z898&gt;0))</f>
        <v>0</v>
      </c>
      <c r="BL898" t="b">
        <f>AND(IF(metadata!AA898="",FALSE,TRUE),EXACT(metadata!AA898,"Not applicable"))</f>
        <v>0</v>
      </c>
      <c r="BM898" t="b">
        <f>IF(metadata!AB898="",FALSE,TRUE)</f>
        <v>0</v>
      </c>
    </row>
    <row r="899" spans="1:65" x14ac:dyDescent="0.2">
      <c r="A899" s="5" t="str">
        <f ca="1">IF(B899=" "," ",HYPERLINK(CONCATENATE("#metadata!",ADDRESS(INDEX($AH$2:$AH$1001,MATCH(ROWS($AF$2:AF899),$AF$2:$AF$1001,0),0),1)),INDEX($AK$2:$AK$1001,MATCH(ROWS($AF$2:AF899),$AF$2:$AF$1001,0),0)))</f>
        <v xml:space="preserve"> </v>
      </c>
      <c r="B899" s="4" t="str">
        <f ca="1">IF(OR(INDEX($AG$2:$AG$1001,MATCH(ROWS($AF$2:AF899),$AF$2:$AF$1001,0),1)&gt;=100000,INDEX($AM$1005:$BM$1005,1,MATCH(COLUMNS($AM$1006:AM1006),$AM$1006:$BM$1006,0))&gt;=100000), " ",IF(INDEX($AM$2:$BM$1001,MATCH(ROWS($AF$2:AF899),$AF$2:$AF$1001,0),MATCH(COLUMNS($AM$1006:AM1006),$AM$1006:$BM$1006,0)), HYPERLINK("#",""), HYPERLINK(CONCATENATE("#metadata!", ADDRESS(INDEX($AH$2:$AH$1001,MATCH(ROWS($AF$2:AF899),$AF$2:$AF$1001,0),0), INDEX($AM$1004:$BM$1004,1,MATCH(COLUMNS($AM$1006:AM1006),$AM$1006:$BM$1006,0)))),"Fix")))</f>
        <v xml:space="preserve"> </v>
      </c>
      <c r="C899" s="4" t="str">
        <f ca="1">IF(OR(INDEX($AG$2:$AG$1001,MATCH(ROWS($AF$2:AF899),$AF$2:$AF$1001,0),1)&gt;=100000,INDEX($AM$1005:$BM$1005,1,MATCH(COLUMNS($AM$1006:AN1006),$AM$1006:$BM$1006,0))&gt;=100000), " ",IF(INDEX($AM$2:$BM$1001,MATCH(ROWS($AF$2:AF899),$AF$2:$AF$1001,0),MATCH(COLUMNS($AM$1006:AN1006),$AM$1006:$BM$1006,0)), HYPERLINK("#",""), HYPERLINK(CONCATENATE("#metadata!", ADDRESS(INDEX($AH$2:$AH$1001,MATCH(ROWS($AF$2:AF899),$AF$2:$AF$1001,0),0), INDEX($AM$1004:$BM$1004,1,MATCH(COLUMNS($AM$1006:AN1006),$AM$1006:$BM$1006,0)))),"Fix")))</f>
        <v xml:space="preserve"> </v>
      </c>
      <c r="D899" s="4" t="str">
        <f ca="1">IF(OR(INDEX($AG$2:$AG$1001,MATCH(ROWS($AF$2:AF899),$AF$2:$AF$1001,0),1)&gt;=100000,INDEX($AM$1005:$BM$1005,1,MATCH(COLUMNS($AM$1006:AO1006),$AM$1006:$BM$1006,0))&gt;=100000), " ",IF(INDEX($AM$2:$BM$1001,MATCH(ROWS($AF$2:AF899),$AF$2:$AF$1001,0),MATCH(COLUMNS($AM$1006:AO1006),$AM$1006:$BM$1006,0)), HYPERLINK("#",""), HYPERLINK(CONCATENATE("#metadata!", ADDRESS(INDEX($AH$2:$AH$1001,MATCH(ROWS($AF$2:AF899),$AF$2:$AF$1001,0),0), INDEX($AM$1004:$BM$1004,1,MATCH(COLUMNS($AM$1006:AO1006),$AM$1006:$BM$1006,0)))),"Fix")))</f>
        <v xml:space="preserve"> </v>
      </c>
      <c r="E899" s="4" t="str">
        <f ca="1">IF(OR(INDEX($AG$2:$AG$1001,MATCH(ROWS($AF$2:AF899),$AF$2:$AF$1001,0),1)&gt;=100000,INDEX($AM$1005:$BM$1005,1,MATCH(COLUMNS($AM$1006:AP1006),$AM$1006:$BM$1006,0))&gt;=100000), " ",IF(INDEX($AM$2:$BM$1001,MATCH(ROWS($AF$2:AF899),$AF$2:$AF$1001,0),MATCH(COLUMNS($AM$1006:AP1006),$AM$1006:$BM$1006,0)), HYPERLINK("#",""), HYPERLINK(CONCATENATE("#metadata!", ADDRESS(INDEX($AH$2:$AH$1001,MATCH(ROWS($AF$2:AF899),$AF$2:$AF$1001,0),0), INDEX($AM$1004:$BM$1004,1,MATCH(COLUMNS($AM$1006:AP1006),$AM$1006:$BM$1006,0)))),"Fix")))</f>
        <v xml:space="preserve"> </v>
      </c>
      <c r="F899" s="4" t="str">
        <f ca="1">IF(OR(INDEX($AG$2:$AG$1001,MATCH(ROWS($AF$2:AF899),$AF$2:$AF$1001,0),1)&gt;=100000,INDEX($AM$1005:$BM$1005,1,MATCH(COLUMNS($AM$1006:AQ1006),$AM$1006:$BM$1006,0))&gt;=100000), " ",IF(INDEX($AM$2:$BM$1001,MATCH(ROWS($AF$2:AF899),$AF$2:$AF$1001,0),MATCH(COLUMNS($AM$1006:AQ1006),$AM$1006:$BM$1006,0)), HYPERLINK("#",""), HYPERLINK(CONCATENATE("#metadata!", ADDRESS(INDEX($AH$2:$AH$1001,MATCH(ROWS($AF$2:AF899),$AF$2:$AF$1001,0),0), INDEX($AM$1004:$BM$1004,1,MATCH(COLUMNS($AM$1006:AQ1006),$AM$1006:$BM$1006,0)))),"Fix")))</f>
        <v xml:space="preserve"> </v>
      </c>
      <c r="G899" s="4" t="str">
        <f ca="1">IF(OR(INDEX($AG$2:$AG$1001,MATCH(ROWS($AF$2:AF899),$AF$2:$AF$1001,0),1)&gt;=100000,INDEX($AM$1005:$BM$1005,1,MATCH(COLUMNS($AM$1006:AR1006),$AM$1006:$BM$1006,0))&gt;=100000), " ",IF(INDEX($AM$2:$BM$1001,MATCH(ROWS($AF$2:AF899),$AF$2:$AF$1001,0),MATCH(COLUMNS($AM$1006:AR1006),$AM$1006:$BM$1006,0)), HYPERLINK("#",""), HYPERLINK(CONCATENATE("#metadata!", ADDRESS(INDEX($AH$2:$AH$1001,MATCH(ROWS($AF$2:AF899),$AF$2:$AF$1001,0),0), INDEX($AM$1004:$BM$1004,1,MATCH(COLUMNS($AM$1006:AR1006),$AM$1006:$BM$1006,0)))),"Fix")))</f>
        <v xml:space="preserve"> </v>
      </c>
      <c r="H899" s="4" t="str">
        <f ca="1">IF(OR(INDEX($AG$2:$AG$1001,MATCH(ROWS($AF$2:AF899),$AF$2:$AF$1001,0),1)&gt;=100000,INDEX($AM$1005:$BM$1005,1,MATCH(COLUMNS($AM$1006:AS1006),$AM$1006:$BM$1006,0))&gt;=100000), " ",IF(INDEX($AM$2:$BM$1001,MATCH(ROWS($AF$2:AF899),$AF$2:$AF$1001,0),MATCH(COLUMNS($AM$1006:AS1006),$AM$1006:$BM$1006,0)), HYPERLINK("#",""), HYPERLINK(CONCATENATE("#metadata!", ADDRESS(INDEX($AH$2:$AH$1001,MATCH(ROWS($AF$2:AF899),$AF$2:$AF$1001,0),0), INDEX($AM$1004:$BM$1004,1,MATCH(COLUMNS($AM$1006:AS1006),$AM$1006:$BM$1006,0)))),"Fix")))</f>
        <v xml:space="preserve"> </v>
      </c>
      <c r="I899" s="4" t="str">
        <f ca="1">IF(OR(INDEX($AG$2:$AG$1001,MATCH(ROWS($AF$2:AF899),$AF$2:$AF$1001,0),1)&gt;=100000,INDEX($AM$1005:$BM$1005,1,MATCH(COLUMNS($AM$1006:AT1006),$AM$1006:$BM$1006,0))&gt;=100000), " ",IF(INDEX($AM$2:$BM$1001,MATCH(ROWS($AF$2:AF899),$AF$2:$AF$1001,0),MATCH(COLUMNS($AM$1006:AT1006),$AM$1006:$BM$1006,0)), HYPERLINK("#",""), HYPERLINK(CONCATENATE("#metadata!", ADDRESS(INDEX($AH$2:$AH$1001,MATCH(ROWS($AF$2:AF899),$AF$2:$AF$1001,0),0), INDEX($AM$1004:$BM$1004,1,MATCH(COLUMNS($AM$1006:AT1006),$AM$1006:$BM$1006,0)))),"Fix")))</f>
        <v xml:space="preserve"> </v>
      </c>
      <c r="J899" s="4" t="str">
        <f ca="1">IF(OR(INDEX($AG$2:$AG$1001,MATCH(ROWS($AF$2:AF899),$AF$2:$AF$1001,0),1)&gt;=100000,INDEX($AM$1005:$BM$1005,1,MATCH(COLUMNS($AM$1006:AU1006),$AM$1006:$BM$1006,0))&gt;=100000), " ",IF(INDEX($AM$2:$BM$1001,MATCH(ROWS($AF$2:AF899),$AF$2:$AF$1001,0),MATCH(COLUMNS($AM$1006:AU1006),$AM$1006:$BM$1006,0)), HYPERLINK("#",""), HYPERLINK(CONCATENATE("#metadata!", ADDRESS(INDEX($AH$2:$AH$1001,MATCH(ROWS($AF$2:AF899),$AF$2:$AF$1001,0),0), INDEX($AM$1004:$BM$1004,1,MATCH(COLUMNS($AM$1006:AU1006),$AM$1006:$BM$1006,0)))),"Fix")))</f>
        <v xml:space="preserve"> </v>
      </c>
      <c r="K899" s="4" t="str">
        <f ca="1">IF(OR(INDEX($AG$2:$AG$1001,MATCH(ROWS($AF$2:AF899),$AF$2:$AF$1001,0),1)&gt;=100000,INDEX($AM$1005:$BM$1005,1,MATCH(COLUMNS($AM$1006:AV1006),$AM$1006:$BM$1006,0))&gt;=100000), " ",IF(INDEX($AM$2:$BM$1001,MATCH(ROWS($AF$2:AF899),$AF$2:$AF$1001,0),MATCH(COLUMNS($AM$1006:AV1006),$AM$1006:$BM$1006,0)), HYPERLINK("#",""), HYPERLINK(CONCATENATE("#metadata!", ADDRESS(INDEX($AH$2:$AH$1001,MATCH(ROWS($AF$2:AF899),$AF$2:$AF$1001,0),0), INDEX($AM$1004:$BM$1004,1,MATCH(COLUMNS($AM$1006:AV1006),$AM$1006:$BM$1006,0)))),"Fix")))</f>
        <v xml:space="preserve"> </v>
      </c>
      <c r="L899" s="4" t="str">
        <f ca="1">IF(OR(INDEX($AG$2:$AG$1001,MATCH(ROWS($AF$2:AF899),$AF$2:$AF$1001,0),1)&gt;=100000,INDEX($AM$1005:$BM$1005,1,MATCH(COLUMNS($AM$1006:AW1006),$AM$1006:$BM$1006,0))&gt;=100000), " ",IF(INDEX($AM$2:$BM$1001,MATCH(ROWS($AF$2:AF899),$AF$2:$AF$1001,0),MATCH(COLUMNS($AM$1006:AW1006),$AM$1006:$BM$1006,0)), HYPERLINK("#",""), HYPERLINK(CONCATENATE("#metadata!", ADDRESS(INDEX($AH$2:$AH$1001,MATCH(ROWS($AF$2:AF899),$AF$2:$AF$1001,0),0), INDEX($AM$1004:$BM$1004,1,MATCH(COLUMNS($AM$1006:AW1006),$AM$1006:$BM$1006,0)))),"Fix")))</f>
        <v xml:space="preserve"> </v>
      </c>
      <c r="M899" s="4" t="str">
        <f ca="1">IF(OR(INDEX($AG$2:$AG$1001,MATCH(ROWS($AF$2:AF899),$AF$2:$AF$1001,0),1)&gt;=100000,INDEX($AM$1005:$BM$1005,1,MATCH(COLUMNS($AM$1006:AX1006),$AM$1006:$BM$1006,0))&gt;=100000), " ",IF(INDEX($AM$2:$BM$1001,MATCH(ROWS($AF$2:AF899),$AF$2:$AF$1001,0),MATCH(COLUMNS($AM$1006:AX1006),$AM$1006:$BM$1006,0)), HYPERLINK("#",""), HYPERLINK(CONCATENATE("#metadata!", ADDRESS(INDEX($AH$2:$AH$1001,MATCH(ROWS($AF$2:AF899),$AF$2:$AF$1001,0),0), INDEX($AM$1004:$BM$1004,1,MATCH(COLUMNS($AM$1006:AX1006),$AM$1006:$BM$1006,0)))),"Fix")))</f>
        <v xml:space="preserve"> </v>
      </c>
      <c r="N899" s="4" t="str">
        <f ca="1">IF(OR(INDEX($AG$2:$AG$1001,MATCH(ROWS($AF$2:AF899),$AF$2:$AF$1001,0),1)&gt;=100000,INDEX($AM$1005:$BM$1005,1,MATCH(COLUMNS($AM$1006:AY1006),$AM$1006:$BM$1006,0))&gt;=100000), " ",IF(INDEX($AM$2:$BM$1001,MATCH(ROWS($AF$2:AF899),$AF$2:$AF$1001,0),MATCH(COLUMNS($AM$1006:AY1006),$AM$1006:$BM$1006,0)), HYPERLINK("#",""), HYPERLINK(CONCATENATE("#metadata!", ADDRESS(INDEX($AH$2:$AH$1001,MATCH(ROWS($AF$2:AF899),$AF$2:$AF$1001,0),0), INDEX($AM$1004:$BM$1004,1,MATCH(COLUMNS($AM$1006:AY1006),$AM$1006:$BM$1006,0)))),"Fix")))</f>
        <v xml:space="preserve"> </v>
      </c>
      <c r="O899" s="4" t="str">
        <f ca="1">IF(OR(INDEX($AG$2:$AG$1001,MATCH(ROWS($AF$2:AF899),$AF$2:$AF$1001,0),1)&gt;=100000,INDEX($AM$1005:$BM$1005,1,MATCH(COLUMNS($AM$1006:AZ1006),$AM$1006:$BM$1006,0))&gt;=100000), " ",IF(INDEX($AM$2:$BM$1001,MATCH(ROWS($AF$2:AF899),$AF$2:$AF$1001,0),MATCH(COLUMNS($AM$1006:AZ1006),$AM$1006:$BM$1006,0)), HYPERLINK("#",""), HYPERLINK(CONCATENATE("#metadata!", ADDRESS(INDEX($AH$2:$AH$1001,MATCH(ROWS($AF$2:AF899),$AF$2:$AF$1001,0),0), INDEX($AM$1004:$BM$1004,1,MATCH(COLUMNS($AM$1006:AZ1006),$AM$1006:$BM$1006,0)))),"Fix")))</f>
        <v xml:space="preserve"> </v>
      </c>
      <c r="P899" s="4" t="str">
        <f ca="1">IF(OR(INDEX($AG$2:$AG$1001,MATCH(ROWS($AF$2:AF899),$AF$2:$AF$1001,0),1)&gt;=100000,INDEX($AM$1005:$BM$1005,1,MATCH(COLUMNS($AM$1006:BA1006),$AM$1006:$BM$1006,0))&gt;=100000), " ",IF(INDEX($AM$2:$BM$1001,MATCH(ROWS($AF$2:AF899),$AF$2:$AF$1001,0),MATCH(COLUMNS($AM$1006:BA1006),$AM$1006:$BM$1006,0)), HYPERLINK("#",""), HYPERLINK(CONCATENATE("#metadata!", ADDRESS(INDEX($AH$2:$AH$1001,MATCH(ROWS($AF$2:AF899),$AF$2:$AF$1001,0),0), INDEX($AM$1004:$BM$1004,1,MATCH(COLUMNS($AM$1006:BA1006),$AM$1006:$BM$1006,0)))),"Fix")))</f>
        <v xml:space="preserve"> </v>
      </c>
      <c r="Q899" s="4" t="str">
        <f ca="1">IF(OR(INDEX($AG$2:$AG$1001,MATCH(ROWS($AF$2:AF899),$AF$2:$AF$1001,0),1)&gt;=100000,INDEX($AM$1005:$BM$1005,1,MATCH(COLUMNS($AM$1006:BB1006),$AM$1006:$BM$1006,0))&gt;=100000), " ",IF(INDEX($AM$2:$BM$1001,MATCH(ROWS($AF$2:AF899),$AF$2:$AF$1001,0),MATCH(COLUMNS($AM$1006:BB1006),$AM$1006:$BM$1006,0)), HYPERLINK("#",""), HYPERLINK(CONCATENATE("#metadata!", ADDRESS(INDEX($AH$2:$AH$1001,MATCH(ROWS($AF$2:AF899),$AF$2:$AF$1001,0),0), INDEX($AM$1004:$BM$1004,1,MATCH(COLUMNS($AM$1006:BB1006),$AM$1006:$BM$1006,0)))),"Fix")))</f>
        <v xml:space="preserve"> </v>
      </c>
      <c r="R899" s="4" t="str">
        <f ca="1">IF(OR(INDEX($AG$2:$AG$1001,MATCH(ROWS($AF$2:AF899),$AF$2:$AF$1001,0),1)&gt;=100000,INDEX($AM$1005:$BM$1005,1,MATCH(COLUMNS($AM$1006:BC1006),$AM$1006:$BM$1006,0))&gt;=100000), " ",IF(INDEX($AM$2:$BM$1001,MATCH(ROWS($AF$2:AF899),$AF$2:$AF$1001,0),MATCH(COLUMNS($AM$1006:BC1006),$AM$1006:$BM$1006,0)), HYPERLINK("#",""), HYPERLINK(CONCATENATE("#metadata!", ADDRESS(INDEX($AH$2:$AH$1001,MATCH(ROWS($AF$2:AF899),$AF$2:$AF$1001,0),0), INDEX($AM$1004:$BM$1004,1,MATCH(COLUMNS($AM$1006:BC1006),$AM$1006:$BM$1006,0)))),"Fix")))</f>
        <v xml:space="preserve"> </v>
      </c>
      <c r="S899" s="4" t="str">
        <f ca="1">IF(OR(INDEX($AG$2:$AG$1001,MATCH(ROWS($AF$2:AF899),$AF$2:$AF$1001,0),1)&gt;=100000,INDEX($AM$1005:$BM$1005,1,MATCH(COLUMNS($AM$1006:BD1006),$AM$1006:$BM$1006,0))&gt;=100000), " ",IF(INDEX($AM$2:$BM$1001,MATCH(ROWS($AF$2:AF899),$AF$2:$AF$1001,0),MATCH(COLUMNS($AM$1006:BD1006),$AM$1006:$BM$1006,0)), HYPERLINK("#",""), HYPERLINK(CONCATENATE("#metadata!", ADDRESS(INDEX($AH$2:$AH$1001,MATCH(ROWS($AF$2:AF899),$AF$2:$AF$1001,0),0), INDEX($AM$1004:$BM$1004,1,MATCH(COLUMNS($AM$1006:BD1006),$AM$1006:$BM$1006,0)))),"Fix")))</f>
        <v xml:space="preserve"> </v>
      </c>
      <c r="T899" s="4" t="str">
        <f ca="1">IF(OR(INDEX($AG$2:$AG$1001,MATCH(ROWS($AF$2:AF899),$AF$2:$AF$1001,0),1)&gt;=100000,INDEX($AM$1005:$BM$1005,1,MATCH(COLUMNS($AM$1006:BE1006),$AM$1006:$BM$1006,0))&gt;=100000), " ",IF(INDEX($AM$2:$BM$1001,MATCH(ROWS($AF$2:AF899),$AF$2:$AF$1001,0),MATCH(COLUMNS($AM$1006:BE1006),$AM$1006:$BM$1006,0)), HYPERLINK("#",""), HYPERLINK(CONCATENATE("#metadata!", ADDRESS(INDEX($AH$2:$AH$1001,MATCH(ROWS($AF$2:AF899),$AF$2:$AF$1001,0),0), INDEX($AM$1004:$BM$1004,1,MATCH(COLUMNS($AM$1006:BE1006),$AM$1006:$BM$1006,0)))),"Fix")))</f>
        <v xml:space="preserve"> </v>
      </c>
      <c r="U899" s="4" t="str">
        <f ca="1">IF(OR(INDEX($AG$2:$AG$1001,MATCH(ROWS($AF$2:AF899),$AF$2:$AF$1001,0),1)&gt;=100000,INDEX($AM$1005:$BM$1005,1,MATCH(COLUMNS($AM$1006:BF1006),$AM$1006:$BM$1006,0))&gt;=100000), " ",IF(INDEX($AM$2:$BM$1001,MATCH(ROWS($AF$2:AF899),$AF$2:$AF$1001,0),MATCH(COLUMNS($AM$1006:BF1006),$AM$1006:$BM$1006,0)), HYPERLINK("#",""), HYPERLINK(CONCATENATE("#metadata!", ADDRESS(INDEX($AH$2:$AH$1001,MATCH(ROWS($AF$2:AF899),$AF$2:$AF$1001,0),0), INDEX($AM$1004:$BM$1004,1,MATCH(COLUMNS($AM$1006:BF1006),$AM$1006:$BM$1006,0)))),"Fix")))</f>
        <v xml:space="preserve"> </v>
      </c>
      <c r="V899" s="4" t="str">
        <f ca="1">IF(OR(INDEX($AG$2:$AG$1001,MATCH(ROWS($AF$2:AF899),$AF$2:$AF$1001,0),1)&gt;=100000,INDEX($AM$1005:$BM$1005,1,MATCH(COLUMNS($AM$1006:BG1006),$AM$1006:$BM$1006,0))&gt;=100000), " ",IF(INDEX($AM$2:$BM$1001,MATCH(ROWS($AF$2:AF899),$AF$2:$AF$1001,0),MATCH(COLUMNS($AM$1006:BG1006),$AM$1006:$BM$1006,0)), HYPERLINK("#",""), HYPERLINK(CONCATENATE("#metadata!", ADDRESS(INDEX($AH$2:$AH$1001,MATCH(ROWS($AF$2:AF899),$AF$2:$AF$1001,0),0), INDEX($AM$1004:$BM$1004,1,MATCH(COLUMNS($AM$1006:BG1006),$AM$1006:$BM$1006,0)))),"Fix")))</f>
        <v xml:space="preserve"> </v>
      </c>
      <c r="W899" s="4" t="str">
        <f ca="1">IF(OR(INDEX($AG$2:$AG$1001,MATCH(ROWS($AF$2:AF899),$AF$2:$AF$1001,0),1)&gt;=100000,INDEX($AM$1005:$BM$1005,1,MATCH(COLUMNS($AM$1006:BH1006),$AM$1006:$BM$1006,0))&gt;=100000), " ",IF(INDEX($AM$2:$BM$1001,MATCH(ROWS($AF$2:AF899),$AF$2:$AF$1001,0),MATCH(COLUMNS($AM$1006:BH1006),$AM$1006:$BM$1006,0)), HYPERLINK("#",""), HYPERLINK(CONCATENATE("#metadata!", ADDRESS(INDEX($AH$2:$AH$1001,MATCH(ROWS($AF$2:AF899),$AF$2:$AF$1001,0),0), INDEX($AM$1004:$BM$1004,1,MATCH(COLUMNS($AM$1006:BH1006),$AM$1006:$BM$1006,0)))),"Fix")))</f>
        <v xml:space="preserve"> </v>
      </c>
      <c r="X899" s="4" t="str">
        <f ca="1">IF(OR(INDEX($AG$2:$AG$1001,MATCH(ROWS($AF$2:AF899),$AF$2:$AF$1001,0),1)&gt;=100000,INDEX($AM$1005:$BM$1005,1,MATCH(COLUMNS($AM$1006:BI1006),$AM$1006:$BM$1006,0))&gt;=100000), " ",IF(INDEX($AM$2:$BM$1001,MATCH(ROWS($AF$2:AF899),$AF$2:$AF$1001,0),MATCH(COLUMNS($AM$1006:BI1006),$AM$1006:$BM$1006,0)), HYPERLINK("#",""), HYPERLINK(CONCATENATE("#metadata!", ADDRESS(INDEX($AH$2:$AH$1001,MATCH(ROWS($AF$2:AF899),$AF$2:$AF$1001,0),0), INDEX($AM$1004:$BM$1004,1,MATCH(COLUMNS($AM$1006:BI1006),$AM$1006:$BM$1006,0)))),"Fix")))</f>
        <v xml:space="preserve"> </v>
      </c>
      <c r="Y899" s="4" t="str">
        <f ca="1">IF(OR(INDEX($AG$2:$AG$1001,MATCH(ROWS($AF$2:AF899),$AF$2:$AF$1001,0),1)&gt;=100000,INDEX($AM$1005:$BM$1005,1,MATCH(COLUMNS($AM$1006:BJ1006),$AM$1006:$BM$1006,0))&gt;=100000), " ",IF(INDEX($AM$2:$BM$1001,MATCH(ROWS($AF$2:AF899),$AF$2:$AF$1001,0),MATCH(COLUMNS($AM$1006:BJ1006),$AM$1006:$BM$1006,0)), HYPERLINK("#",""), HYPERLINK(CONCATENATE("#metadata!", ADDRESS(INDEX($AH$2:$AH$1001,MATCH(ROWS($AF$2:AF899),$AF$2:$AF$1001,0),0), INDEX($AM$1004:$BM$1004,1,MATCH(COLUMNS($AM$1006:BJ1006),$AM$1006:$BM$1006,0)))),"Fix")))</f>
        <v xml:space="preserve"> </v>
      </c>
      <c r="Z899" s="4" t="str">
        <f ca="1">IF(OR(INDEX($AG$2:$AG$1001,MATCH(ROWS($AF$2:AF899),$AF$2:$AF$1001,0),1)&gt;=100000,INDEX($AM$1005:$BM$1005,1,MATCH(COLUMNS($AM$1006:BK1006),$AM$1006:$BM$1006,0))&gt;=100000), " ",IF(INDEX($AM$2:$BM$1001,MATCH(ROWS($AF$2:AF899),$AF$2:$AF$1001,0),MATCH(COLUMNS($AM$1006:BK1006),$AM$1006:$BM$1006,0)), HYPERLINK("#",""), HYPERLINK(CONCATENATE("#metadata!", ADDRESS(INDEX($AH$2:$AH$1001,MATCH(ROWS($AF$2:AF899),$AF$2:$AF$1001,0),0), INDEX($AM$1004:$BM$1004,1,MATCH(COLUMNS($AM$1006:BK1006),$AM$1006:$BM$1006,0)))),"Fix")))</f>
        <v xml:space="preserve"> </v>
      </c>
      <c r="AA899" s="4" t="str">
        <f ca="1">IF(OR(INDEX($AG$2:$AG$1001,MATCH(ROWS($AF$2:AF899),$AF$2:$AF$1001,0),1)&gt;=100000,INDEX($AM$1005:$BM$1005,1,MATCH(COLUMNS($AM$1006:BL1006),$AM$1006:$BM$1006,0))&gt;=100000), " ",IF(INDEX($AM$2:$BM$1001,MATCH(ROWS($AF$2:AF899),$AF$2:$AF$1001,0),MATCH(COLUMNS($AM$1006:BL1006),$AM$1006:$BM$1006,0)), HYPERLINK("#",""), HYPERLINK(CONCATENATE("#metadata!", ADDRESS(INDEX($AH$2:$AH$1001,MATCH(ROWS($AF$2:AF899),$AF$2:$AF$1001,0),0), INDEX($AM$1004:$BM$1004,1,MATCH(COLUMNS($AM$1006:BL1006),$AM$1006:$BM$1006,0)))),"Fix")))</f>
        <v xml:space="preserve"> </v>
      </c>
      <c r="AB899" s="4" t="str">
        <f ca="1">IF(OR(INDEX($AG$2:$AG$1001,MATCH(ROWS($AF$2:AF899),$AF$2:$AF$1001,0),1)&gt;=100000,INDEX($AM$1005:$BM$1005,1,MATCH(COLUMNS($AM$1006:BM1006),$AM$1006:$BM$1006,0))&gt;=100000), " ",IF(INDEX($AM$2:$BM$1001,MATCH(ROWS($AF$2:AF899),$AF$2:$AF$1001,0),MATCH(COLUMNS($AM$1006:BM1006),$AM$1006:$BM$1006,0)), HYPERLINK("#",""), HYPERLINK(CONCATENATE("#metadata!", ADDRESS(INDEX($AH$2:$AH$1001,MATCH(ROWS($AF$2:AF899),$AF$2:$AF$1001,0),0), INDEX($AM$1004:$BM$1004,1,MATCH(COLUMNS($AM$1006:BM1006),$AM$1006:$BM$1006,0)))),"Fix")))</f>
        <v xml:space="preserve"> </v>
      </c>
      <c r="AF899">
        <v>898</v>
      </c>
      <c r="AG899">
        <v>100899</v>
      </c>
      <c r="AH899">
        <v>899</v>
      </c>
      <c r="AI899" t="b">
        <f t="shared" si="14"/>
        <v>1</v>
      </c>
      <c r="AJ899" t="b">
        <f>COUNTBLANK(metadata!B899:AB899)=COLUMNS(metadata!B899:AB899)</f>
        <v>1</v>
      </c>
      <c r="AK899" t="str">
        <v/>
      </c>
      <c r="AM899" t="b">
        <f ca="1">AND(IF(metadata!B899="",FALSE,TRUE),COUNTIF(metadata!B:B, metadata!B899) = 1,NOT(ISERROR(SUMPRODUCT(SEARCH(MID(metadata!B899,ROW(INDIRECT("1:"&amp;LEN(metadata!B899))), 1),"0123456789abcdefghijklmnopqrstuvwxyzABCDEFGHIJKLMNOPQRSTUVWXYZ.")))))</f>
        <v>0</v>
      </c>
      <c r="AN899" t="b">
        <f ca="1">OR(AND(IF(metadata!C899="",FALSE,TRUE),OR(EXACT(metadata!C899,"missing: not collected"),EXACT(metadata!C899,"missing: not provided"),EXACT(metadata!C899,"missing: restricted access"))),AND(IF(metadata!C899="",FALSE,TRUE),AND(AND(IFERROR(INT(LEFT(metadata!C899,4))&gt;1900,FALSE),IFERROR(INT(LEFT(metadata!C899,4))&lt;=YEAR(NOW()),FALSE)), OR(MID(metadata!C899,5,1)="", AND(AND(MID(metadata!C899,5,1)="-",IFERROR(INT(MID(metadata!C899,6,1))&gt;=0,FALSE),IFERROR(INT(MID(metadata!C899,6,1))&lt;=1,FALSE),NOT(MID(metadata!C899,7,1)=""),IFERROR(INT(MID(metadata!C899,6,2))&gt;=1,FALSE),IFERROR(INT(MID(metadata!C899,6,2))&lt;=12,FALSE)), OR(MID(metadata!C899,8,1)="", AND(AND(MID(metadata!C899,8,1)="-",IFERROR(INT(MID(metadata!C899,9,1))&gt;=0,FALSE),IFERROR(INT(MID(metadata!C899,9,1))&lt;=3,FALSE),NOT(MID(metadata!C899,10,1)=""),IFERROR(INT(MID(metadata!C899,9,2))&gt;=1,FALSE),IFERROR(INT(MID(metadata!C899,9,2))&lt;=31,FALSE)), OR(MID(metadata!C899,11,1)="", AND(AND(MID(metadata!C899,11,1)=" ",IFERROR(INT(MID(metadata!C899,12,1))&gt;=0,FALSE),IFERROR(INT(MID(metadata!C899,12,1))&lt;=2,FALSE),NOT(MID(metadata!C899,13,1)=""),IFERROR(INT(MID(metadata!C899,12,2))&gt;=0,FALSE),IFERROR(INT(MID(metadata!C899,12,2))&lt;=23,FALSE)), OR(MID(metadata!C899,14,1)="", AND(AND(MID(metadata!C899,14,1)=":",IFERROR(INT(MID(metadata!C899,15,1))&gt;=0,FALSE),IFERROR(INT(MID(metadata!C899,15,1))&lt;=5,FALSE),NOT(MID(metadata!C899,16,1)=""),IFERROR(INT(MID(metadata!C899,15,2))&gt;=0,FALSE),IFERROR(INT(MID(metadata!C899,15,2))&lt;=59,FALSE)), OR(MID(metadata!C899,17,1)="", AND(AND(MID(metadata!C899,17,1)=":",IFERROR(INT(MID(metadata!C899,18,1))&gt;=0,FALSE),IFERROR(INT(MID(metadata!C899,18,1))&lt;=5,FALSE),NOT(MID(metadata!C899,19,1)=""),IFERROR(INT(MID(metadata!C899,18,2))&gt;=0,FALSE),IFERROR(INT(MID(metadata!C899,18,2))&lt;=59,FALSE)), LEN(metadata!C899)&lt;=19)))))))))))))</f>
        <v>0</v>
      </c>
      <c r="AO899" t="b">
        <f>AND(IF(metadata!D899="",FALSE,TRUE),EXACT(metadata!D899,"Not applicable"))</f>
        <v>0</v>
      </c>
      <c r="AP899" t="b">
        <f>IF(metadata!E899="",FALSE,TRUE)</f>
        <v>0</v>
      </c>
      <c r="AQ899" t="b">
        <f>OR(AND(IF(metadata!F899="",FALSE,TRUE),OR(EXACT(metadata!F899,"missing: not collected"),EXACT(metadata!F899,"missing: not provided"))),AND(IF(metadata!F899="",FALSE,TRUE),OR(EXACT(metadata!F899,"TRUE"),EXACT(metadata!F899,"FALSE"))))</f>
        <v>0</v>
      </c>
      <c r="AR899" t="b">
        <f>OR(AND(IF(metadata!G899="",FALSE,TRUE),OR(EXACT(metadata!G899,"missing: not collected"),EXACT(metadata!G899,"missing: not provided"),EXACT(metadata!G899,"missing: restricted access"))),AND(IF(metadata!G899="",FALSE,ISNUMBER(VALUE(metadata!G899))),metadata!G899&gt;=-413))</f>
        <v>0</v>
      </c>
      <c r="AS899" t="b">
        <f>AND(IF(metadata!H899="",FALSE,TRUE),EXACT(metadata!H899,"meters"))</f>
        <v>0</v>
      </c>
      <c r="AT899" t="b">
        <f>AND(IF(metadata!I899="",FALSE,TRUE),OR(EXACT(metadata!I899,"Host-associated"),EXACT(metadata!I899,"Free-living")))</f>
        <v>0</v>
      </c>
      <c r="AU899" t="b">
        <f>AND(IF(metadata!J899="",FALSE,TRUE),OR(EXACT(metadata!J899,"Animal"),EXACT(metadata!J899,"Fungus"),EXACT(metadata!J899,"Plant"),EXACT(metadata!J899,"Saline"),EXACT(metadata!J899,"Non-saline")))</f>
        <v>0</v>
      </c>
      <c r="AV899" t="b">
        <f>AND(IF(metadata!K899="",FALSE,TRUE),OR(EXACT(metadata!K899,"Plant secretion"),EXACT(metadata!K899,"Plant rhizosphere"),EXACT(metadata!K899,"Plant surface"),EXACT(metadata!K899,"Plant corpus"),EXACT(metadata!K899,"Fungus surface"),EXACT(metadata!K899,"Fungus corpus"),EXACT(metadata!K899,"Animal surface"),EXACT(metadata!K899,"Animal proximal gut"),EXACT(metadata!K899,"Animal corpus"),EXACT(metadata!K899,"Animal distal gut"),EXACT(metadata!K899,"Animal secretion"),EXACT(metadata!K899,"Sub-surface (non-saline)"),EXACT(metadata!K899,"Surface (non-saline)"),EXACT(metadata!K899,"Water (non-saline)"),EXACT(metadata!K899,"Soil (non-saline)"),EXACT(metadata!K899,"Aerosol (non-saline)"),EXACT(metadata!K899,"Sediment (non-saline)"),EXACT(metadata!K899,"Surface (saline)"),EXACT(metadata!K899,"Water (saline)"),EXACT(metadata!K899,"Hypersaline (saline)"),EXACT(metadata!K899,"Aerosol (saline)"),EXACT(metadata!K899,"Sediment (saline)")))</f>
        <v>0</v>
      </c>
      <c r="AW899" t="b">
        <f>IF(metadata!L899="",FALSE,TRUE)</f>
        <v>0</v>
      </c>
      <c r="AX899" t="b">
        <f>IF(metadata!M899="",FALSE,TRUE)</f>
        <v>0</v>
      </c>
      <c r="AY899" t="b">
        <f>IF(metadata!N899="",FALSE,TRUE)</f>
        <v>0</v>
      </c>
      <c r="AZ899" t="b">
        <f>OR(AND(IF(metadata!O899="",FALSE,TRUE),OR(EXACT(metadata!O899,"missing: not collected"),EXACT(metadata!O899,"missing: not provided"),EXACT(metadata!O899,"missing: restricted access"))),AND(IF(metadata!O899="",FALSE,TRUE),OR(EXACT(metadata!O899,"air"),EXACT(metadata!O899,"built environment"),EXACT(metadata!O899,"host-associated"),EXACT(metadata!O899,"human-associated"),EXACT(metadata!O899,"human-skin"),EXACT(metadata!O899,"human-oral"),EXACT(metadata!O899,"human-gut"),EXACT(metadata!O899,"human-vaginal"),EXACT(metadata!O899,"microbial mat/biofilm"),EXACT(metadata!O899,"misc environment"),EXACT(metadata!O899,"plant-associated"),EXACT(metadata!O899,"sediment"),EXACT(metadata!O899,"soil"),EXACT(metadata!O899,"wastewater/sludge"),EXACT(metadata!O899,"water"))))</f>
        <v>0</v>
      </c>
      <c r="BA899" t="b">
        <f>IF(metadata!P899="",FALSE,TRUE)</f>
        <v>0</v>
      </c>
      <c r="BB899" t="b">
        <f>IF(metadata!Q899="",FALSE,TRUE)</f>
        <v>0</v>
      </c>
      <c r="BC899" t="b">
        <f>OR(AND(IF(metadata!R899="",FALSE,TRUE),OR(EXACT(metadata!R899,"missing: not collected"),EXACT(metadata!R899,"missing: not provided"),EXACT(metadata!R899,"missing: restricted access"))),AND(IF(metadata!R899="",FALSE,ISNUMBER(VALUE(metadata!R899))),metadata!R899&gt;=-90,metadata!R899&lt;=90))</f>
        <v>0</v>
      </c>
      <c r="BD899" t="b">
        <f>AND(IF(metadata!S899="",FALSE,TRUE),EXACT(metadata!S899,"Decimal degrees"))</f>
        <v>0</v>
      </c>
      <c r="BE899" t="b">
        <f>OR(AND(IF(metadata!T899="",FALSE,TRUE),OR(EXACT(metadata!T899,"missing: not collected"),EXACT(metadata!T899,"missing: not provided"),EXACT(metadata!T899,"missing: restricted access"))),AND(IF(metadata!T899="",FALSE,ISNUMBER(VALUE(metadata!T899))),metadata!T899&gt;=-180,metadata!T899&lt;=180))</f>
        <v>0</v>
      </c>
      <c r="BF899" t="b">
        <f>AND(IF(metadata!U899="",FALSE,TRUE),EXACT(metadata!U899,"Decimal degrees"))</f>
        <v>0</v>
      </c>
      <c r="BG899" t="b">
        <f>IF(metadata!V899="",FALSE,TRUE)</f>
        <v>0</v>
      </c>
      <c r="BH899" t="b">
        <f>OR(AND(IF(metadata!W899="",FALSE,TRUE),OR(EXACT(metadata!W899,"missing: not collected"),EXACT(metadata!W899,"missing: not provided"),EXACT(metadata!W899,"missing: restricted access"))),AND(IF(metadata!W899="",FALSE,TRUE),OR(EXACT(metadata!W899,"TRUE"),EXACT(metadata!W899,"FALSE"))))</f>
        <v>0</v>
      </c>
      <c r="BI899" t="b">
        <f>AND(IF(metadata!X899="",FALSE,TRUE),EXACT(metadata!X899,"other"))</f>
        <v>0</v>
      </c>
      <c r="BJ899" t="b">
        <f>IF(metadata!Y899="",FALSE,TRUE)</f>
        <v>0</v>
      </c>
      <c r="BK899" t="b">
        <f>OR(AND(IF(metadata!Z899="",FALSE,TRUE),OR(EXACT(metadata!Z899,"missing: not collected"),EXACT(metadata!Z899,"missing: not provided"))),AND(IF(metadata!Z899="",FALSE,IF(ISERROR(INT(metadata!Z899)),FALSE,INT(metadata!Z899)=metadata!Z899)),metadata!Z899&gt;0))</f>
        <v>0</v>
      </c>
      <c r="BL899" t="b">
        <f>AND(IF(metadata!AA899="",FALSE,TRUE),EXACT(metadata!AA899,"Not applicable"))</f>
        <v>0</v>
      </c>
      <c r="BM899" t="b">
        <f>IF(metadata!AB899="",FALSE,TRUE)</f>
        <v>0</v>
      </c>
    </row>
    <row r="900" spans="1:65" x14ac:dyDescent="0.2">
      <c r="A900" s="5" t="str">
        <f ca="1">IF(B900=" "," ",HYPERLINK(CONCATENATE("#metadata!",ADDRESS(INDEX($AH$2:$AH$1001,MATCH(ROWS($AF$2:AF900),$AF$2:$AF$1001,0),0),1)),INDEX($AK$2:$AK$1001,MATCH(ROWS($AF$2:AF900),$AF$2:$AF$1001,0),0)))</f>
        <v xml:space="preserve"> </v>
      </c>
      <c r="B900" s="4" t="str">
        <f ca="1">IF(OR(INDEX($AG$2:$AG$1001,MATCH(ROWS($AF$2:AF900),$AF$2:$AF$1001,0),1)&gt;=100000,INDEX($AM$1005:$BM$1005,1,MATCH(COLUMNS($AM$1006:AM1006),$AM$1006:$BM$1006,0))&gt;=100000), " ",IF(INDEX($AM$2:$BM$1001,MATCH(ROWS($AF$2:AF900),$AF$2:$AF$1001,0),MATCH(COLUMNS($AM$1006:AM1006),$AM$1006:$BM$1006,0)), HYPERLINK("#",""), HYPERLINK(CONCATENATE("#metadata!", ADDRESS(INDEX($AH$2:$AH$1001,MATCH(ROWS($AF$2:AF900),$AF$2:$AF$1001,0),0), INDEX($AM$1004:$BM$1004,1,MATCH(COLUMNS($AM$1006:AM1006),$AM$1006:$BM$1006,0)))),"Fix")))</f>
        <v xml:space="preserve"> </v>
      </c>
      <c r="C900" s="4" t="str">
        <f ca="1">IF(OR(INDEX($AG$2:$AG$1001,MATCH(ROWS($AF$2:AF900),$AF$2:$AF$1001,0),1)&gt;=100000,INDEX($AM$1005:$BM$1005,1,MATCH(COLUMNS($AM$1006:AN1006),$AM$1006:$BM$1006,0))&gt;=100000), " ",IF(INDEX($AM$2:$BM$1001,MATCH(ROWS($AF$2:AF900),$AF$2:$AF$1001,0),MATCH(COLUMNS($AM$1006:AN1006),$AM$1006:$BM$1006,0)), HYPERLINK("#",""), HYPERLINK(CONCATENATE("#metadata!", ADDRESS(INDEX($AH$2:$AH$1001,MATCH(ROWS($AF$2:AF900),$AF$2:$AF$1001,0),0), INDEX($AM$1004:$BM$1004,1,MATCH(COLUMNS($AM$1006:AN1006),$AM$1006:$BM$1006,0)))),"Fix")))</f>
        <v xml:space="preserve"> </v>
      </c>
      <c r="D900" s="4" t="str">
        <f ca="1">IF(OR(INDEX($AG$2:$AG$1001,MATCH(ROWS($AF$2:AF900),$AF$2:$AF$1001,0),1)&gt;=100000,INDEX($AM$1005:$BM$1005,1,MATCH(COLUMNS($AM$1006:AO1006),$AM$1006:$BM$1006,0))&gt;=100000), " ",IF(INDEX($AM$2:$BM$1001,MATCH(ROWS($AF$2:AF900),$AF$2:$AF$1001,0),MATCH(COLUMNS($AM$1006:AO1006),$AM$1006:$BM$1006,0)), HYPERLINK("#",""), HYPERLINK(CONCATENATE("#metadata!", ADDRESS(INDEX($AH$2:$AH$1001,MATCH(ROWS($AF$2:AF900),$AF$2:$AF$1001,0),0), INDEX($AM$1004:$BM$1004,1,MATCH(COLUMNS($AM$1006:AO1006),$AM$1006:$BM$1006,0)))),"Fix")))</f>
        <v xml:space="preserve"> </v>
      </c>
      <c r="E900" s="4" t="str">
        <f ca="1">IF(OR(INDEX($AG$2:$AG$1001,MATCH(ROWS($AF$2:AF900),$AF$2:$AF$1001,0),1)&gt;=100000,INDEX($AM$1005:$BM$1005,1,MATCH(COLUMNS($AM$1006:AP1006),$AM$1006:$BM$1006,0))&gt;=100000), " ",IF(INDEX($AM$2:$BM$1001,MATCH(ROWS($AF$2:AF900),$AF$2:$AF$1001,0),MATCH(COLUMNS($AM$1006:AP1006),$AM$1006:$BM$1006,0)), HYPERLINK("#",""), HYPERLINK(CONCATENATE("#metadata!", ADDRESS(INDEX($AH$2:$AH$1001,MATCH(ROWS($AF$2:AF900),$AF$2:$AF$1001,0),0), INDEX($AM$1004:$BM$1004,1,MATCH(COLUMNS($AM$1006:AP1006),$AM$1006:$BM$1006,0)))),"Fix")))</f>
        <v xml:space="preserve"> </v>
      </c>
      <c r="F900" s="4" t="str">
        <f ca="1">IF(OR(INDEX($AG$2:$AG$1001,MATCH(ROWS($AF$2:AF900),$AF$2:$AF$1001,0),1)&gt;=100000,INDEX($AM$1005:$BM$1005,1,MATCH(COLUMNS($AM$1006:AQ1006),$AM$1006:$BM$1006,0))&gt;=100000), " ",IF(INDEX($AM$2:$BM$1001,MATCH(ROWS($AF$2:AF900),$AF$2:$AF$1001,0),MATCH(COLUMNS($AM$1006:AQ1006),$AM$1006:$BM$1006,0)), HYPERLINK("#",""), HYPERLINK(CONCATENATE("#metadata!", ADDRESS(INDEX($AH$2:$AH$1001,MATCH(ROWS($AF$2:AF900),$AF$2:$AF$1001,0),0), INDEX($AM$1004:$BM$1004,1,MATCH(COLUMNS($AM$1006:AQ1006),$AM$1006:$BM$1006,0)))),"Fix")))</f>
        <v xml:space="preserve"> </v>
      </c>
      <c r="G900" s="4" t="str">
        <f ca="1">IF(OR(INDEX($AG$2:$AG$1001,MATCH(ROWS($AF$2:AF900),$AF$2:$AF$1001,0),1)&gt;=100000,INDEX($AM$1005:$BM$1005,1,MATCH(COLUMNS($AM$1006:AR1006),$AM$1006:$BM$1006,0))&gt;=100000), " ",IF(INDEX($AM$2:$BM$1001,MATCH(ROWS($AF$2:AF900),$AF$2:$AF$1001,0),MATCH(COLUMNS($AM$1006:AR1006),$AM$1006:$BM$1006,0)), HYPERLINK("#",""), HYPERLINK(CONCATENATE("#metadata!", ADDRESS(INDEX($AH$2:$AH$1001,MATCH(ROWS($AF$2:AF900),$AF$2:$AF$1001,0),0), INDEX($AM$1004:$BM$1004,1,MATCH(COLUMNS($AM$1006:AR1006),$AM$1006:$BM$1006,0)))),"Fix")))</f>
        <v xml:space="preserve"> </v>
      </c>
      <c r="H900" s="4" t="str">
        <f ca="1">IF(OR(INDEX($AG$2:$AG$1001,MATCH(ROWS($AF$2:AF900),$AF$2:$AF$1001,0),1)&gt;=100000,INDEX($AM$1005:$BM$1005,1,MATCH(COLUMNS($AM$1006:AS1006),$AM$1006:$BM$1006,0))&gt;=100000), " ",IF(INDEX($AM$2:$BM$1001,MATCH(ROWS($AF$2:AF900),$AF$2:$AF$1001,0),MATCH(COLUMNS($AM$1006:AS1006),$AM$1006:$BM$1006,0)), HYPERLINK("#",""), HYPERLINK(CONCATENATE("#metadata!", ADDRESS(INDEX($AH$2:$AH$1001,MATCH(ROWS($AF$2:AF900),$AF$2:$AF$1001,0),0), INDEX($AM$1004:$BM$1004,1,MATCH(COLUMNS($AM$1006:AS1006),$AM$1006:$BM$1006,0)))),"Fix")))</f>
        <v xml:space="preserve"> </v>
      </c>
      <c r="I900" s="4" t="str">
        <f ca="1">IF(OR(INDEX($AG$2:$AG$1001,MATCH(ROWS($AF$2:AF900),$AF$2:$AF$1001,0),1)&gt;=100000,INDEX($AM$1005:$BM$1005,1,MATCH(COLUMNS($AM$1006:AT1006),$AM$1006:$BM$1006,0))&gt;=100000), " ",IF(INDEX($AM$2:$BM$1001,MATCH(ROWS($AF$2:AF900),$AF$2:$AF$1001,0),MATCH(COLUMNS($AM$1006:AT1006),$AM$1006:$BM$1006,0)), HYPERLINK("#",""), HYPERLINK(CONCATENATE("#metadata!", ADDRESS(INDEX($AH$2:$AH$1001,MATCH(ROWS($AF$2:AF900),$AF$2:$AF$1001,0),0), INDEX($AM$1004:$BM$1004,1,MATCH(COLUMNS($AM$1006:AT1006),$AM$1006:$BM$1006,0)))),"Fix")))</f>
        <v xml:space="preserve"> </v>
      </c>
      <c r="J900" s="4" t="str">
        <f ca="1">IF(OR(INDEX($AG$2:$AG$1001,MATCH(ROWS($AF$2:AF900),$AF$2:$AF$1001,0),1)&gt;=100000,INDEX($AM$1005:$BM$1005,1,MATCH(COLUMNS($AM$1006:AU1006),$AM$1006:$BM$1006,0))&gt;=100000), " ",IF(INDEX($AM$2:$BM$1001,MATCH(ROWS($AF$2:AF900),$AF$2:$AF$1001,0),MATCH(COLUMNS($AM$1006:AU1006),$AM$1006:$BM$1006,0)), HYPERLINK("#",""), HYPERLINK(CONCATENATE("#metadata!", ADDRESS(INDEX($AH$2:$AH$1001,MATCH(ROWS($AF$2:AF900),$AF$2:$AF$1001,0),0), INDEX($AM$1004:$BM$1004,1,MATCH(COLUMNS($AM$1006:AU1006),$AM$1006:$BM$1006,0)))),"Fix")))</f>
        <v xml:space="preserve"> </v>
      </c>
      <c r="K900" s="4" t="str">
        <f ca="1">IF(OR(INDEX($AG$2:$AG$1001,MATCH(ROWS($AF$2:AF900),$AF$2:$AF$1001,0),1)&gt;=100000,INDEX($AM$1005:$BM$1005,1,MATCH(COLUMNS($AM$1006:AV1006),$AM$1006:$BM$1006,0))&gt;=100000), " ",IF(INDEX($AM$2:$BM$1001,MATCH(ROWS($AF$2:AF900),$AF$2:$AF$1001,0),MATCH(COLUMNS($AM$1006:AV1006),$AM$1006:$BM$1006,0)), HYPERLINK("#",""), HYPERLINK(CONCATENATE("#metadata!", ADDRESS(INDEX($AH$2:$AH$1001,MATCH(ROWS($AF$2:AF900),$AF$2:$AF$1001,0),0), INDEX($AM$1004:$BM$1004,1,MATCH(COLUMNS($AM$1006:AV1006),$AM$1006:$BM$1006,0)))),"Fix")))</f>
        <v xml:space="preserve"> </v>
      </c>
      <c r="L900" s="4" t="str">
        <f ca="1">IF(OR(INDEX($AG$2:$AG$1001,MATCH(ROWS($AF$2:AF900),$AF$2:$AF$1001,0),1)&gt;=100000,INDEX($AM$1005:$BM$1005,1,MATCH(COLUMNS($AM$1006:AW1006),$AM$1006:$BM$1006,0))&gt;=100000), " ",IF(INDEX($AM$2:$BM$1001,MATCH(ROWS($AF$2:AF900),$AF$2:$AF$1001,0),MATCH(COLUMNS($AM$1006:AW1006),$AM$1006:$BM$1006,0)), HYPERLINK("#",""), HYPERLINK(CONCATENATE("#metadata!", ADDRESS(INDEX($AH$2:$AH$1001,MATCH(ROWS($AF$2:AF900),$AF$2:$AF$1001,0),0), INDEX($AM$1004:$BM$1004,1,MATCH(COLUMNS($AM$1006:AW1006),$AM$1006:$BM$1006,0)))),"Fix")))</f>
        <v xml:space="preserve"> </v>
      </c>
      <c r="M900" s="4" t="str">
        <f ca="1">IF(OR(INDEX($AG$2:$AG$1001,MATCH(ROWS($AF$2:AF900),$AF$2:$AF$1001,0),1)&gt;=100000,INDEX($AM$1005:$BM$1005,1,MATCH(COLUMNS($AM$1006:AX1006),$AM$1006:$BM$1006,0))&gt;=100000), " ",IF(INDEX($AM$2:$BM$1001,MATCH(ROWS($AF$2:AF900),$AF$2:$AF$1001,0),MATCH(COLUMNS($AM$1006:AX1006),$AM$1006:$BM$1006,0)), HYPERLINK("#",""), HYPERLINK(CONCATENATE("#metadata!", ADDRESS(INDEX($AH$2:$AH$1001,MATCH(ROWS($AF$2:AF900),$AF$2:$AF$1001,0),0), INDEX($AM$1004:$BM$1004,1,MATCH(COLUMNS($AM$1006:AX1006),$AM$1006:$BM$1006,0)))),"Fix")))</f>
        <v xml:space="preserve"> </v>
      </c>
      <c r="N900" s="4" t="str">
        <f ca="1">IF(OR(INDEX($AG$2:$AG$1001,MATCH(ROWS($AF$2:AF900),$AF$2:$AF$1001,0),1)&gt;=100000,INDEX($AM$1005:$BM$1005,1,MATCH(COLUMNS($AM$1006:AY1006),$AM$1006:$BM$1006,0))&gt;=100000), " ",IF(INDEX($AM$2:$BM$1001,MATCH(ROWS($AF$2:AF900),$AF$2:$AF$1001,0),MATCH(COLUMNS($AM$1006:AY1006),$AM$1006:$BM$1006,0)), HYPERLINK("#",""), HYPERLINK(CONCATENATE("#metadata!", ADDRESS(INDEX($AH$2:$AH$1001,MATCH(ROWS($AF$2:AF900),$AF$2:$AF$1001,0),0), INDEX($AM$1004:$BM$1004,1,MATCH(COLUMNS($AM$1006:AY1006),$AM$1006:$BM$1006,0)))),"Fix")))</f>
        <v xml:space="preserve"> </v>
      </c>
      <c r="O900" s="4" t="str">
        <f ca="1">IF(OR(INDEX($AG$2:$AG$1001,MATCH(ROWS($AF$2:AF900),$AF$2:$AF$1001,0),1)&gt;=100000,INDEX($AM$1005:$BM$1005,1,MATCH(COLUMNS($AM$1006:AZ1006),$AM$1006:$BM$1006,0))&gt;=100000), " ",IF(INDEX($AM$2:$BM$1001,MATCH(ROWS($AF$2:AF900),$AF$2:$AF$1001,0),MATCH(COLUMNS($AM$1006:AZ1006),$AM$1006:$BM$1006,0)), HYPERLINK("#",""), HYPERLINK(CONCATENATE("#metadata!", ADDRESS(INDEX($AH$2:$AH$1001,MATCH(ROWS($AF$2:AF900),$AF$2:$AF$1001,0),0), INDEX($AM$1004:$BM$1004,1,MATCH(COLUMNS($AM$1006:AZ1006),$AM$1006:$BM$1006,0)))),"Fix")))</f>
        <v xml:space="preserve"> </v>
      </c>
      <c r="P900" s="4" t="str">
        <f ca="1">IF(OR(INDEX($AG$2:$AG$1001,MATCH(ROWS($AF$2:AF900),$AF$2:$AF$1001,0),1)&gt;=100000,INDEX($AM$1005:$BM$1005,1,MATCH(COLUMNS($AM$1006:BA1006),$AM$1006:$BM$1006,0))&gt;=100000), " ",IF(INDEX($AM$2:$BM$1001,MATCH(ROWS($AF$2:AF900),$AF$2:$AF$1001,0),MATCH(COLUMNS($AM$1006:BA1006),$AM$1006:$BM$1006,0)), HYPERLINK("#",""), HYPERLINK(CONCATENATE("#metadata!", ADDRESS(INDEX($AH$2:$AH$1001,MATCH(ROWS($AF$2:AF900),$AF$2:$AF$1001,0),0), INDEX($AM$1004:$BM$1004,1,MATCH(COLUMNS($AM$1006:BA1006),$AM$1006:$BM$1006,0)))),"Fix")))</f>
        <v xml:space="preserve"> </v>
      </c>
      <c r="Q900" s="4" t="str">
        <f ca="1">IF(OR(INDEX($AG$2:$AG$1001,MATCH(ROWS($AF$2:AF900),$AF$2:$AF$1001,0),1)&gt;=100000,INDEX($AM$1005:$BM$1005,1,MATCH(COLUMNS($AM$1006:BB1006),$AM$1006:$BM$1006,0))&gt;=100000), " ",IF(INDEX($AM$2:$BM$1001,MATCH(ROWS($AF$2:AF900),$AF$2:$AF$1001,0),MATCH(COLUMNS($AM$1006:BB1006),$AM$1006:$BM$1006,0)), HYPERLINK("#",""), HYPERLINK(CONCATENATE("#metadata!", ADDRESS(INDEX($AH$2:$AH$1001,MATCH(ROWS($AF$2:AF900),$AF$2:$AF$1001,0),0), INDEX($AM$1004:$BM$1004,1,MATCH(COLUMNS($AM$1006:BB1006),$AM$1006:$BM$1006,0)))),"Fix")))</f>
        <v xml:space="preserve"> </v>
      </c>
      <c r="R900" s="4" t="str">
        <f ca="1">IF(OR(INDEX($AG$2:$AG$1001,MATCH(ROWS($AF$2:AF900),$AF$2:$AF$1001,0),1)&gt;=100000,INDEX($AM$1005:$BM$1005,1,MATCH(COLUMNS($AM$1006:BC1006),$AM$1006:$BM$1006,0))&gt;=100000), " ",IF(INDEX($AM$2:$BM$1001,MATCH(ROWS($AF$2:AF900),$AF$2:$AF$1001,0),MATCH(COLUMNS($AM$1006:BC1006),$AM$1006:$BM$1006,0)), HYPERLINK("#",""), HYPERLINK(CONCATENATE("#metadata!", ADDRESS(INDEX($AH$2:$AH$1001,MATCH(ROWS($AF$2:AF900),$AF$2:$AF$1001,0),0), INDEX($AM$1004:$BM$1004,1,MATCH(COLUMNS($AM$1006:BC1006),$AM$1006:$BM$1006,0)))),"Fix")))</f>
        <v xml:space="preserve"> </v>
      </c>
      <c r="S900" s="4" t="str">
        <f ca="1">IF(OR(INDEX($AG$2:$AG$1001,MATCH(ROWS($AF$2:AF900),$AF$2:$AF$1001,0),1)&gt;=100000,INDEX($AM$1005:$BM$1005,1,MATCH(COLUMNS($AM$1006:BD1006),$AM$1006:$BM$1006,0))&gt;=100000), " ",IF(INDEX($AM$2:$BM$1001,MATCH(ROWS($AF$2:AF900),$AF$2:$AF$1001,0),MATCH(COLUMNS($AM$1006:BD1006),$AM$1006:$BM$1006,0)), HYPERLINK("#",""), HYPERLINK(CONCATENATE("#metadata!", ADDRESS(INDEX($AH$2:$AH$1001,MATCH(ROWS($AF$2:AF900),$AF$2:$AF$1001,0),0), INDEX($AM$1004:$BM$1004,1,MATCH(COLUMNS($AM$1006:BD1006),$AM$1006:$BM$1006,0)))),"Fix")))</f>
        <v xml:space="preserve"> </v>
      </c>
      <c r="T900" s="4" t="str">
        <f ca="1">IF(OR(INDEX($AG$2:$AG$1001,MATCH(ROWS($AF$2:AF900),$AF$2:$AF$1001,0),1)&gt;=100000,INDEX($AM$1005:$BM$1005,1,MATCH(COLUMNS($AM$1006:BE1006),$AM$1006:$BM$1006,0))&gt;=100000), " ",IF(INDEX($AM$2:$BM$1001,MATCH(ROWS($AF$2:AF900),$AF$2:$AF$1001,0),MATCH(COLUMNS($AM$1006:BE1006),$AM$1006:$BM$1006,0)), HYPERLINK("#",""), HYPERLINK(CONCATENATE("#metadata!", ADDRESS(INDEX($AH$2:$AH$1001,MATCH(ROWS($AF$2:AF900),$AF$2:$AF$1001,0),0), INDEX($AM$1004:$BM$1004,1,MATCH(COLUMNS($AM$1006:BE1006),$AM$1006:$BM$1006,0)))),"Fix")))</f>
        <v xml:space="preserve"> </v>
      </c>
      <c r="U900" s="4" t="str">
        <f ca="1">IF(OR(INDEX($AG$2:$AG$1001,MATCH(ROWS($AF$2:AF900),$AF$2:$AF$1001,0),1)&gt;=100000,INDEX($AM$1005:$BM$1005,1,MATCH(COLUMNS($AM$1006:BF1006),$AM$1006:$BM$1006,0))&gt;=100000), " ",IF(INDEX($AM$2:$BM$1001,MATCH(ROWS($AF$2:AF900),$AF$2:$AF$1001,0),MATCH(COLUMNS($AM$1006:BF1006),$AM$1006:$BM$1006,0)), HYPERLINK("#",""), HYPERLINK(CONCATENATE("#metadata!", ADDRESS(INDEX($AH$2:$AH$1001,MATCH(ROWS($AF$2:AF900),$AF$2:$AF$1001,0),0), INDEX($AM$1004:$BM$1004,1,MATCH(COLUMNS($AM$1006:BF1006),$AM$1006:$BM$1006,0)))),"Fix")))</f>
        <v xml:space="preserve"> </v>
      </c>
      <c r="V900" s="4" t="str">
        <f ca="1">IF(OR(INDEX($AG$2:$AG$1001,MATCH(ROWS($AF$2:AF900),$AF$2:$AF$1001,0),1)&gt;=100000,INDEX($AM$1005:$BM$1005,1,MATCH(COLUMNS($AM$1006:BG1006),$AM$1006:$BM$1006,0))&gt;=100000), " ",IF(INDEX($AM$2:$BM$1001,MATCH(ROWS($AF$2:AF900),$AF$2:$AF$1001,0),MATCH(COLUMNS($AM$1006:BG1006),$AM$1006:$BM$1006,0)), HYPERLINK("#",""), HYPERLINK(CONCATENATE("#metadata!", ADDRESS(INDEX($AH$2:$AH$1001,MATCH(ROWS($AF$2:AF900),$AF$2:$AF$1001,0),0), INDEX($AM$1004:$BM$1004,1,MATCH(COLUMNS($AM$1006:BG1006),$AM$1006:$BM$1006,0)))),"Fix")))</f>
        <v xml:space="preserve"> </v>
      </c>
      <c r="W900" s="4" t="str">
        <f ca="1">IF(OR(INDEX($AG$2:$AG$1001,MATCH(ROWS($AF$2:AF900),$AF$2:$AF$1001,0),1)&gt;=100000,INDEX($AM$1005:$BM$1005,1,MATCH(COLUMNS($AM$1006:BH1006),$AM$1006:$BM$1006,0))&gt;=100000), " ",IF(INDEX($AM$2:$BM$1001,MATCH(ROWS($AF$2:AF900),$AF$2:$AF$1001,0),MATCH(COLUMNS($AM$1006:BH1006),$AM$1006:$BM$1006,0)), HYPERLINK("#",""), HYPERLINK(CONCATENATE("#metadata!", ADDRESS(INDEX($AH$2:$AH$1001,MATCH(ROWS($AF$2:AF900),$AF$2:$AF$1001,0),0), INDEX($AM$1004:$BM$1004,1,MATCH(COLUMNS($AM$1006:BH1006),$AM$1006:$BM$1006,0)))),"Fix")))</f>
        <v xml:space="preserve"> </v>
      </c>
      <c r="X900" s="4" t="str">
        <f ca="1">IF(OR(INDEX($AG$2:$AG$1001,MATCH(ROWS($AF$2:AF900),$AF$2:$AF$1001,0),1)&gt;=100000,INDEX($AM$1005:$BM$1005,1,MATCH(COLUMNS($AM$1006:BI1006),$AM$1006:$BM$1006,0))&gt;=100000), " ",IF(INDEX($AM$2:$BM$1001,MATCH(ROWS($AF$2:AF900),$AF$2:$AF$1001,0),MATCH(COLUMNS($AM$1006:BI1006),$AM$1006:$BM$1006,0)), HYPERLINK("#",""), HYPERLINK(CONCATENATE("#metadata!", ADDRESS(INDEX($AH$2:$AH$1001,MATCH(ROWS($AF$2:AF900),$AF$2:$AF$1001,0),0), INDEX($AM$1004:$BM$1004,1,MATCH(COLUMNS($AM$1006:BI1006),$AM$1006:$BM$1006,0)))),"Fix")))</f>
        <v xml:space="preserve"> </v>
      </c>
      <c r="Y900" s="4" t="str">
        <f ca="1">IF(OR(INDEX($AG$2:$AG$1001,MATCH(ROWS($AF$2:AF900),$AF$2:$AF$1001,0),1)&gt;=100000,INDEX($AM$1005:$BM$1005,1,MATCH(COLUMNS($AM$1006:BJ1006),$AM$1006:$BM$1006,0))&gt;=100000), " ",IF(INDEX($AM$2:$BM$1001,MATCH(ROWS($AF$2:AF900),$AF$2:$AF$1001,0),MATCH(COLUMNS($AM$1006:BJ1006),$AM$1006:$BM$1006,0)), HYPERLINK("#",""), HYPERLINK(CONCATENATE("#metadata!", ADDRESS(INDEX($AH$2:$AH$1001,MATCH(ROWS($AF$2:AF900),$AF$2:$AF$1001,0),0), INDEX($AM$1004:$BM$1004,1,MATCH(COLUMNS($AM$1006:BJ1006),$AM$1006:$BM$1006,0)))),"Fix")))</f>
        <v xml:space="preserve"> </v>
      </c>
      <c r="Z900" s="4" t="str">
        <f ca="1">IF(OR(INDEX($AG$2:$AG$1001,MATCH(ROWS($AF$2:AF900),$AF$2:$AF$1001,0),1)&gt;=100000,INDEX($AM$1005:$BM$1005,1,MATCH(COLUMNS($AM$1006:BK1006),$AM$1006:$BM$1006,0))&gt;=100000), " ",IF(INDEX($AM$2:$BM$1001,MATCH(ROWS($AF$2:AF900),$AF$2:$AF$1001,0),MATCH(COLUMNS($AM$1006:BK1006),$AM$1006:$BM$1006,0)), HYPERLINK("#",""), HYPERLINK(CONCATENATE("#metadata!", ADDRESS(INDEX($AH$2:$AH$1001,MATCH(ROWS($AF$2:AF900),$AF$2:$AF$1001,0),0), INDEX($AM$1004:$BM$1004,1,MATCH(COLUMNS($AM$1006:BK1006),$AM$1006:$BM$1006,0)))),"Fix")))</f>
        <v xml:space="preserve"> </v>
      </c>
      <c r="AA900" s="4" t="str">
        <f ca="1">IF(OR(INDEX($AG$2:$AG$1001,MATCH(ROWS($AF$2:AF900),$AF$2:$AF$1001,0),1)&gt;=100000,INDEX($AM$1005:$BM$1005,1,MATCH(COLUMNS($AM$1006:BL1006),$AM$1006:$BM$1006,0))&gt;=100000), " ",IF(INDEX($AM$2:$BM$1001,MATCH(ROWS($AF$2:AF900),$AF$2:$AF$1001,0),MATCH(COLUMNS($AM$1006:BL1006),$AM$1006:$BM$1006,0)), HYPERLINK("#",""), HYPERLINK(CONCATENATE("#metadata!", ADDRESS(INDEX($AH$2:$AH$1001,MATCH(ROWS($AF$2:AF900),$AF$2:$AF$1001,0),0), INDEX($AM$1004:$BM$1004,1,MATCH(COLUMNS($AM$1006:BL1006),$AM$1006:$BM$1006,0)))),"Fix")))</f>
        <v xml:space="preserve"> </v>
      </c>
      <c r="AB900" s="4" t="str">
        <f ca="1">IF(OR(INDEX($AG$2:$AG$1001,MATCH(ROWS($AF$2:AF900),$AF$2:$AF$1001,0),1)&gt;=100000,INDEX($AM$1005:$BM$1005,1,MATCH(COLUMNS($AM$1006:BM1006),$AM$1006:$BM$1006,0))&gt;=100000), " ",IF(INDEX($AM$2:$BM$1001,MATCH(ROWS($AF$2:AF900),$AF$2:$AF$1001,0),MATCH(COLUMNS($AM$1006:BM1006),$AM$1006:$BM$1006,0)), HYPERLINK("#",""), HYPERLINK(CONCATENATE("#metadata!", ADDRESS(INDEX($AH$2:$AH$1001,MATCH(ROWS($AF$2:AF900),$AF$2:$AF$1001,0),0), INDEX($AM$1004:$BM$1004,1,MATCH(COLUMNS($AM$1006:BM1006),$AM$1006:$BM$1006,0)))),"Fix")))</f>
        <v xml:space="preserve"> </v>
      </c>
      <c r="AF900">
        <v>899</v>
      </c>
      <c r="AG900">
        <v>100900</v>
      </c>
      <c r="AH900">
        <v>900</v>
      </c>
      <c r="AI900" t="b">
        <f t="shared" si="14"/>
        <v>1</v>
      </c>
      <c r="AJ900" t="b">
        <f>COUNTBLANK(metadata!B900:AB900)=COLUMNS(metadata!B900:AB900)</f>
        <v>1</v>
      </c>
      <c r="AK900" t="str">
        <v/>
      </c>
      <c r="AM900" t="b">
        <f ca="1">AND(IF(metadata!B900="",FALSE,TRUE),COUNTIF(metadata!B:B, metadata!B900) = 1,NOT(ISERROR(SUMPRODUCT(SEARCH(MID(metadata!B900,ROW(INDIRECT("1:"&amp;LEN(metadata!B900))), 1),"0123456789abcdefghijklmnopqrstuvwxyzABCDEFGHIJKLMNOPQRSTUVWXYZ.")))))</f>
        <v>0</v>
      </c>
      <c r="AN900" t="b">
        <f ca="1">OR(AND(IF(metadata!C900="",FALSE,TRUE),OR(EXACT(metadata!C900,"missing: not collected"),EXACT(metadata!C900,"missing: not provided"),EXACT(metadata!C900,"missing: restricted access"))),AND(IF(metadata!C900="",FALSE,TRUE),AND(AND(IFERROR(INT(LEFT(metadata!C900,4))&gt;1900,FALSE),IFERROR(INT(LEFT(metadata!C900,4))&lt;=YEAR(NOW()),FALSE)), OR(MID(metadata!C900,5,1)="", AND(AND(MID(metadata!C900,5,1)="-",IFERROR(INT(MID(metadata!C900,6,1))&gt;=0,FALSE),IFERROR(INT(MID(metadata!C900,6,1))&lt;=1,FALSE),NOT(MID(metadata!C900,7,1)=""),IFERROR(INT(MID(metadata!C900,6,2))&gt;=1,FALSE),IFERROR(INT(MID(metadata!C900,6,2))&lt;=12,FALSE)), OR(MID(metadata!C900,8,1)="", AND(AND(MID(metadata!C900,8,1)="-",IFERROR(INT(MID(metadata!C900,9,1))&gt;=0,FALSE),IFERROR(INT(MID(metadata!C900,9,1))&lt;=3,FALSE),NOT(MID(metadata!C900,10,1)=""),IFERROR(INT(MID(metadata!C900,9,2))&gt;=1,FALSE),IFERROR(INT(MID(metadata!C900,9,2))&lt;=31,FALSE)), OR(MID(metadata!C900,11,1)="", AND(AND(MID(metadata!C900,11,1)=" ",IFERROR(INT(MID(metadata!C900,12,1))&gt;=0,FALSE),IFERROR(INT(MID(metadata!C900,12,1))&lt;=2,FALSE),NOT(MID(metadata!C900,13,1)=""),IFERROR(INT(MID(metadata!C900,12,2))&gt;=0,FALSE),IFERROR(INT(MID(metadata!C900,12,2))&lt;=23,FALSE)), OR(MID(metadata!C900,14,1)="", AND(AND(MID(metadata!C900,14,1)=":",IFERROR(INT(MID(metadata!C900,15,1))&gt;=0,FALSE),IFERROR(INT(MID(metadata!C900,15,1))&lt;=5,FALSE),NOT(MID(metadata!C900,16,1)=""),IFERROR(INT(MID(metadata!C900,15,2))&gt;=0,FALSE),IFERROR(INT(MID(metadata!C900,15,2))&lt;=59,FALSE)), OR(MID(metadata!C900,17,1)="", AND(AND(MID(metadata!C900,17,1)=":",IFERROR(INT(MID(metadata!C900,18,1))&gt;=0,FALSE),IFERROR(INT(MID(metadata!C900,18,1))&lt;=5,FALSE),NOT(MID(metadata!C900,19,1)=""),IFERROR(INT(MID(metadata!C900,18,2))&gt;=0,FALSE),IFERROR(INT(MID(metadata!C900,18,2))&lt;=59,FALSE)), LEN(metadata!C900)&lt;=19)))))))))))))</f>
        <v>0</v>
      </c>
      <c r="AO900" t="b">
        <f>AND(IF(metadata!D900="",FALSE,TRUE),EXACT(metadata!D900,"Not applicable"))</f>
        <v>0</v>
      </c>
      <c r="AP900" t="b">
        <f>IF(metadata!E900="",FALSE,TRUE)</f>
        <v>0</v>
      </c>
      <c r="AQ900" t="b">
        <f>OR(AND(IF(metadata!F900="",FALSE,TRUE),OR(EXACT(metadata!F900,"missing: not collected"),EXACT(metadata!F900,"missing: not provided"))),AND(IF(metadata!F900="",FALSE,TRUE),OR(EXACT(metadata!F900,"TRUE"),EXACT(metadata!F900,"FALSE"))))</f>
        <v>0</v>
      </c>
      <c r="AR900" t="b">
        <f>OR(AND(IF(metadata!G900="",FALSE,TRUE),OR(EXACT(metadata!G900,"missing: not collected"),EXACT(metadata!G900,"missing: not provided"),EXACT(metadata!G900,"missing: restricted access"))),AND(IF(metadata!G900="",FALSE,ISNUMBER(VALUE(metadata!G900))),metadata!G900&gt;=-413))</f>
        <v>0</v>
      </c>
      <c r="AS900" t="b">
        <f>AND(IF(metadata!H900="",FALSE,TRUE),EXACT(metadata!H900,"meters"))</f>
        <v>0</v>
      </c>
      <c r="AT900" t="b">
        <f>AND(IF(metadata!I900="",FALSE,TRUE),OR(EXACT(metadata!I900,"Host-associated"),EXACT(metadata!I900,"Free-living")))</f>
        <v>0</v>
      </c>
      <c r="AU900" t="b">
        <f>AND(IF(metadata!J900="",FALSE,TRUE),OR(EXACT(metadata!J900,"Animal"),EXACT(metadata!J900,"Fungus"),EXACT(metadata!J900,"Plant"),EXACT(metadata!J900,"Saline"),EXACT(metadata!J900,"Non-saline")))</f>
        <v>0</v>
      </c>
      <c r="AV900" t="b">
        <f>AND(IF(metadata!K900="",FALSE,TRUE),OR(EXACT(metadata!K900,"Plant secretion"),EXACT(metadata!K900,"Plant rhizosphere"),EXACT(metadata!K900,"Plant surface"),EXACT(metadata!K900,"Plant corpus"),EXACT(metadata!K900,"Fungus surface"),EXACT(metadata!K900,"Fungus corpus"),EXACT(metadata!K900,"Animal surface"),EXACT(metadata!K900,"Animal proximal gut"),EXACT(metadata!K900,"Animal corpus"),EXACT(metadata!K900,"Animal distal gut"),EXACT(metadata!K900,"Animal secretion"),EXACT(metadata!K900,"Sub-surface (non-saline)"),EXACT(metadata!K900,"Surface (non-saline)"),EXACT(metadata!K900,"Water (non-saline)"),EXACT(metadata!K900,"Soil (non-saline)"),EXACT(metadata!K900,"Aerosol (non-saline)"),EXACT(metadata!K900,"Sediment (non-saline)"),EXACT(metadata!K900,"Surface (saline)"),EXACT(metadata!K900,"Water (saline)"),EXACT(metadata!K900,"Hypersaline (saline)"),EXACT(metadata!K900,"Aerosol (saline)"),EXACT(metadata!K900,"Sediment (saline)")))</f>
        <v>0</v>
      </c>
      <c r="AW900" t="b">
        <f>IF(metadata!L900="",FALSE,TRUE)</f>
        <v>0</v>
      </c>
      <c r="AX900" t="b">
        <f>IF(metadata!M900="",FALSE,TRUE)</f>
        <v>0</v>
      </c>
      <c r="AY900" t="b">
        <f>IF(metadata!N900="",FALSE,TRUE)</f>
        <v>0</v>
      </c>
      <c r="AZ900" t="b">
        <f>OR(AND(IF(metadata!O900="",FALSE,TRUE),OR(EXACT(metadata!O900,"missing: not collected"),EXACT(metadata!O900,"missing: not provided"),EXACT(metadata!O900,"missing: restricted access"))),AND(IF(metadata!O900="",FALSE,TRUE),OR(EXACT(metadata!O900,"air"),EXACT(metadata!O900,"built environment"),EXACT(metadata!O900,"host-associated"),EXACT(metadata!O900,"human-associated"),EXACT(metadata!O900,"human-skin"),EXACT(metadata!O900,"human-oral"),EXACT(metadata!O900,"human-gut"),EXACT(metadata!O900,"human-vaginal"),EXACT(metadata!O900,"microbial mat/biofilm"),EXACT(metadata!O900,"misc environment"),EXACT(metadata!O900,"plant-associated"),EXACT(metadata!O900,"sediment"),EXACT(metadata!O900,"soil"),EXACT(metadata!O900,"wastewater/sludge"),EXACT(metadata!O900,"water"))))</f>
        <v>0</v>
      </c>
      <c r="BA900" t="b">
        <f>IF(metadata!P900="",FALSE,TRUE)</f>
        <v>0</v>
      </c>
      <c r="BB900" t="b">
        <f>IF(metadata!Q900="",FALSE,TRUE)</f>
        <v>0</v>
      </c>
      <c r="BC900" t="b">
        <f>OR(AND(IF(metadata!R900="",FALSE,TRUE),OR(EXACT(metadata!R900,"missing: not collected"),EXACT(metadata!R900,"missing: not provided"),EXACT(metadata!R900,"missing: restricted access"))),AND(IF(metadata!R900="",FALSE,ISNUMBER(VALUE(metadata!R900))),metadata!R900&gt;=-90,metadata!R900&lt;=90))</f>
        <v>0</v>
      </c>
      <c r="BD900" t="b">
        <f>AND(IF(metadata!S900="",FALSE,TRUE),EXACT(metadata!S900,"Decimal degrees"))</f>
        <v>0</v>
      </c>
      <c r="BE900" t="b">
        <f>OR(AND(IF(metadata!T900="",FALSE,TRUE),OR(EXACT(metadata!T900,"missing: not collected"),EXACT(metadata!T900,"missing: not provided"),EXACT(metadata!T900,"missing: restricted access"))),AND(IF(metadata!T900="",FALSE,ISNUMBER(VALUE(metadata!T900))),metadata!T900&gt;=-180,metadata!T900&lt;=180))</f>
        <v>0</v>
      </c>
      <c r="BF900" t="b">
        <f>AND(IF(metadata!U900="",FALSE,TRUE),EXACT(metadata!U900,"Decimal degrees"))</f>
        <v>0</v>
      </c>
      <c r="BG900" t="b">
        <f>IF(metadata!V900="",FALSE,TRUE)</f>
        <v>0</v>
      </c>
      <c r="BH900" t="b">
        <f>OR(AND(IF(metadata!W900="",FALSE,TRUE),OR(EXACT(metadata!W900,"missing: not collected"),EXACT(metadata!W900,"missing: not provided"),EXACT(metadata!W900,"missing: restricted access"))),AND(IF(metadata!W900="",FALSE,TRUE),OR(EXACT(metadata!W900,"TRUE"),EXACT(metadata!W900,"FALSE"))))</f>
        <v>0</v>
      </c>
      <c r="BI900" t="b">
        <f>AND(IF(metadata!X900="",FALSE,TRUE),EXACT(metadata!X900,"other"))</f>
        <v>0</v>
      </c>
      <c r="BJ900" t="b">
        <f>IF(metadata!Y900="",FALSE,TRUE)</f>
        <v>0</v>
      </c>
      <c r="BK900" t="b">
        <f>OR(AND(IF(metadata!Z900="",FALSE,TRUE),OR(EXACT(metadata!Z900,"missing: not collected"),EXACT(metadata!Z900,"missing: not provided"))),AND(IF(metadata!Z900="",FALSE,IF(ISERROR(INT(metadata!Z900)),FALSE,INT(metadata!Z900)=metadata!Z900)),metadata!Z900&gt;0))</f>
        <v>0</v>
      </c>
      <c r="BL900" t="b">
        <f>AND(IF(metadata!AA900="",FALSE,TRUE),EXACT(metadata!AA900,"Not applicable"))</f>
        <v>0</v>
      </c>
      <c r="BM900" t="b">
        <f>IF(metadata!AB900="",FALSE,TRUE)</f>
        <v>0</v>
      </c>
    </row>
    <row r="901" spans="1:65" x14ac:dyDescent="0.2">
      <c r="A901" s="5" t="str">
        <f ca="1">IF(B901=" "," ",HYPERLINK(CONCATENATE("#metadata!",ADDRESS(INDEX($AH$2:$AH$1001,MATCH(ROWS($AF$2:AF901),$AF$2:$AF$1001,0),0),1)),INDEX($AK$2:$AK$1001,MATCH(ROWS($AF$2:AF901),$AF$2:$AF$1001,0),0)))</f>
        <v xml:space="preserve"> </v>
      </c>
      <c r="B901" s="4" t="str">
        <f ca="1">IF(OR(INDEX($AG$2:$AG$1001,MATCH(ROWS($AF$2:AF901),$AF$2:$AF$1001,0),1)&gt;=100000,INDEX($AM$1005:$BM$1005,1,MATCH(COLUMNS($AM$1006:AM1006),$AM$1006:$BM$1006,0))&gt;=100000), " ",IF(INDEX($AM$2:$BM$1001,MATCH(ROWS($AF$2:AF901),$AF$2:$AF$1001,0),MATCH(COLUMNS($AM$1006:AM1006),$AM$1006:$BM$1006,0)), HYPERLINK("#",""), HYPERLINK(CONCATENATE("#metadata!", ADDRESS(INDEX($AH$2:$AH$1001,MATCH(ROWS($AF$2:AF901),$AF$2:$AF$1001,0),0), INDEX($AM$1004:$BM$1004,1,MATCH(COLUMNS($AM$1006:AM1006),$AM$1006:$BM$1006,0)))),"Fix")))</f>
        <v xml:space="preserve"> </v>
      </c>
      <c r="C901" s="4" t="str">
        <f ca="1">IF(OR(INDEX($AG$2:$AG$1001,MATCH(ROWS($AF$2:AF901),$AF$2:$AF$1001,0),1)&gt;=100000,INDEX($AM$1005:$BM$1005,1,MATCH(COLUMNS($AM$1006:AN1006),$AM$1006:$BM$1006,0))&gt;=100000), " ",IF(INDEX($AM$2:$BM$1001,MATCH(ROWS($AF$2:AF901),$AF$2:$AF$1001,0),MATCH(COLUMNS($AM$1006:AN1006),$AM$1006:$BM$1006,0)), HYPERLINK("#",""), HYPERLINK(CONCATENATE("#metadata!", ADDRESS(INDEX($AH$2:$AH$1001,MATCH(ROWS($AF$2:AF901),$AF$2:$AF$1001,0),0), INDEX($AM$1004:$BM$1004,1,MATCH(COLUMNS($AM$1006:AN1006),$AM$1006:$BM$1006,0)))),"Fix")))</f>
        <v xml:space="preserve"> </v>
      </c>
      <c r="D901" s="4" t="str">
        <f ca="1">IF(OR(INDEX($AG$2:$AG$1001,MATCH(ROWS($AF$2:AF901),$AF$2:$AF$1001,0),1)&gt;=100000,INDEX($AM$1005:$BM$1005,1,MATCH(COLUMNS($AM$1006:AO1006),$AM$1006:$BM$1006,0))&gt;=100000), " ",IF(INDEX($AM$2:$BM$1001,MATCH(ROWS($AF$2:AF901),$AF$2:$AF$1001,0),MATCH(COLUMNS($AM$1006:AO1006),$AM$1006:$BM$1006,0)), HYPERLINK("#",""), HYPERLINK(CONCATENATE("#metadata!", ADDRESS(INDEX($AH$2:$AH$1001,MATCH(ROWS($AF$2:AF901),$AF$2:$AF$1001,0),0), INDEX($AM$1004:$BM$1004,1,MATCH(COLUMNS($AM$1006:AO1006),$AM$1006:$BM$1006,0)))),"Fix")))</f>
        <v xml:space="preserve"> </v>
      </c>
      <c r="E901" s="4" t="str">
        <f ca="1">IF(OR(INDEX($AG$2:$AG$1001,MATCH(ROWS($AF$2:AF901),$AF$2:$AF$1001,0),1)&gt;=100000,INDEX($AM$1005:$BM$1005,1,MATCH(COLUMNS($AM$1006:AP1006),$AM$1006:$BM$1006,0))&gt;=100000), " ",IF(INDEX($AM$2:$BM$1001,MATCH(ROWS($AF$2:AF901),$AF$2:$AF$1001,0),MATCH(COLUMNS($AM$1006:AP1006),$AM$1006:$BM$1006,0)), HYPERLINK("#",""), HYPERLINK(CONCATENATE("#metadata!", ADDRESS(INDEX($AH$2:$AH$1001,MATCH(ROWS($AF$2:AF901),$AF$2:$AF$1001,0),0), INDEX($AM$1004:$BM$1004,1,MATCH(COLUMNS($AM$1006:AP1006),$AM$1006:$BM$1006,0)))),"Fix")))</f>
        <v xml:space="preserve"> </v>
      </c>
      <c r="F901" s="4" t="str">
        <f ca="1">IF(OR(INDEX($AG$2:$AG$1001,MATCH(ROWS($AF$2:AF901),$AF$2:$AF$1001,0),1)&gt;=100000,INDEX($AM$1005:$BM$1005,1,MATCH(COLUMNS($AM$1006:AQ1006),$AM$1006:$BM$1006,0))&gt;=100000), " ",IF(INDEX($AM$2:$BM$1001,MATCH(ROWS($AF$2:AF901),$AF$2:$AF$1001,0),MATCH(COLUMNS($AM$1006:AQ1006),$AM$1006:$BM$1006,0)), HYPERLINK("#",""), HYPERLINK(CONCATENATE("#metadata!", ADDRESS(INDEX($AH$2:$AH$1001,MATCH(ROWS($AF$2:AF901),$AF$2:$AF$1001,0),0), INDEX($AM$1004:$BM$1004,1,MATCH(COLUMNS($AM$1006:AQ1006),$AM$1006:$BM$1006,0)))),"Fix")))</f>
        <v xml:space="preserve"> </v>
      </c>
      <c r="G901" s="4" t="str">
        <f ca="1">IF(OR(INDEX($AG$2:$AG$1001,MATCH(ROWS($AF$2:AF901),$AF$2:$AF$1001,0),1)&gt;=100000,INDEX($AM$1005:$BM$1005,1,MATCH(COLUMNS($AM$1006:AR1006),$AM$1006:$BM$1006,0))&gt;=100000), " ",IF(INDEX($AM$2:$BM$1001,MATCH(ROWS($AF$2:AF901),$AF$2:$AF$1001,0),MATCH(COLUMNS($AM$1006:AR1006),$AM$1006:$BM$1006,0)), HYPERLINK("#",""), HYPERLINK(CONCATENATE("#metadata!", ADDRESS(INDEX($AH$2:$AH$1001,MATCH(ROWS($AF$2:AF901),$AF$2:$AF$1001,0),0), INDEX($AM$1004:$BM$1004,1,MATCH(COLUMNS($AM$1006:AR1006),$AM$1006:$BM$1006,0)))),"Fix")))</f>
        <v xml:space="preserve"> </v>
      </c>
      <c r="H901" s="4" t="str">
        <f ca="1">IF(OR(INDEX($AG$2:$AG$1001,MATCH(ROWS($AF$2:AF901),$AF$2:$AF$1001,0),1)&gt;=100000,INDEX($AM$1005:$BM$1005,1,MATCH(COLUMNS($AM$1006:AS1006),$AM$1006:$BM$1006,0))&gt;=100000), " ",IF(INDEX($AM$2:$BM$1001,MATCH(ROWS($AF$2:AF901),$AF$2:$AF$1001,0),MATCH(COLUMNS($AM$1006:AS1006),$AM$1006:$BM$1006,0)), HYPERLINK("#",""), HYPERLINK(CONCATENATE("#metadata!", ADDRESS(INDEX($AH$2:$AH$1001,MATCH(ROWS($AF$2:AF901),$AF$2:$AF$1001,0),0), INDEX($AM$1004:$BM$1004,1,MATCH(COLUMNS($AM$1006:AS1006),$AM$1006:$BM$1006,0)))),"Fix")))</f>
        <v xml:space="preserve"> </v>
      </c>
      <c r="I901" s="4" t="str">
        <f ca="1">IF(OR(INDEX($AG$2:$AG$1001,MATCH(ROWS($AF$2:AF901),$AF$2:$AF$1001,0),1)&gt;=100000,INDEX($AM$1005:$BM$1005,1,MATCH(COLUMNS($AM$1006:AT1006),$AM$1006:$BM$1006,0))&gt;=100000), " ",IF(INDEX($AM$2:$BM$1001,MATCH(ROWS($AF$2:AF901),$AF$2:$AF$1001,0),MATCH(COLUMNS($AM$1006:AT1006),$AM$1006:$BM$1006,0)), HYPERLINK("#",""), HYPERLINK(CONCATENATE("#metadata!", ADDRESS(INDEX($AH$2:$AH$1001,MATCH(ROWS($AF$2:AF901),$AF$2:$AF$1001,0),0), INDEX($AM$1004:$BM$1004,1,MATCH(COLUMNS($AM$1006:AT1006),$AM$1006:$BM$1006,0)))),"Fix")))</f>
        <v xml:space="preserve"> </v>
      </c>
      <c r="J901" s="4" t="str">
        <f ca="1">IF(OR(INDEX($AG$2:$AG$1001,MATCH(ROWS($AF$2:AF901),$AF$2:$AF$1001,0),1)&gt;=100000,INDEX($AM$1005:$BM$1005,1,MATCH(COLUMNS($AM$1006:AU1006),$AM$1006:$BM$1006,0))&gt;=100000), " ",IF(INDEX($AM$2:$BM$1001,MATCH(ROWS($AF$2:AF901),$AF$2:$AF$1001,0),MATCH(COLUMNS($AM$1006:AU1006),$AM$1006:$BM$1006,0)), HYPERLINK("#",""), HYPERLINK(CONCATENATE("#metadata!", ADDRESS(INDEX($AH$2:$AH$1001,MATCH(ROWS($AF$2:AF901),$AF$2:$AF$1001,0),0), INDEX($AM$1004:$BM$1004,1,MATCH(COLUMNS($AM$1006:AU1006),$AM$1006:$BM$1006,0)))),"Fix")))</f>
        <v xml:space="preserve"> </v>
      </c>
      <c r="K901" s="4" t="str">
        <f ca="1">IF(OR(INDEX($AG$2:$AG$1001,MATCH(ROWS($AF$2:AF901),$AF$2:$AF$1001,0),1)&gt;=100000,INDEX($AM$1005:$BM$1005,1,MATCH(COLUMNS($AM$1006:AV1006),$AM$1006:$BM$1006,0))&gt;=100000), " ",IF(INDEX($AM$2:$BM$1001,MATCH(ROWS($AF$2:AF901),$AF$2:$AF$1001,0),MATCH(COLUMNS($AM$1006:AV1006),$AM$1006:$BM$1006,0)), HYPERLINK("#",""), HYPERLINK(CONCATENATE("#metadata!", ADDRESS(INDEX($AH$2:$AH$1001,MATCH(ROWS($AF$2:AF901),$AF$2:$AF$1001,0),0), INDEX($AM$1004:$BM$1004,1,MATCH(COLUMNS($AM$1006:AV1006),$AM$1006:$BM$1006,0)))),"Fix")))</f>
        <v xml:space="preserve"> </v>
      </c>
      <c r="L901" s="4" t="str">
        <f ca="1">IF(OR(INDEX($AG$2:$AG$1001,MATCH(ROWS($AF$2:AF901),$AF$2:$AF$1001,0),1)&gt;=100000,INDEX($AM$1005:$BM$1005,1,MATCH(COLUMNS($AM$1006:AW1006),$AM$1006:$BM$1006,0))&gt;=100000), " ",IF(INDEX($AM$2:$BM$1001,MATCH(ROWS($AF$2:AF901),$AF$2:$AF$1001,0),MATCH(COLUMNS($AM$1006:AW1006),$AM$1006:$BM$1006,0)), HYPERLINK("#",""), HYPERLINK(CONCATENATE("#metadata!", ADDRESS(INDEX($AH$2:$AH$1001,MATCH(ROWS($AF$2:AF901),$AF$2:$AF$1001,0),0), INDEX($AM$1004:$BM$1004,1,MATCH(COLUMNS($AM$1006:AW1006),$AM$1006:$BM$1006,0)))),"Fix")))</f>
        <v xml:space="preserve"> </v>
      </c>
      <c r="M901" s="4" t="str">
        <f ca="1">IF(OR(INDEX($AG$2:$AG$1001,MATCH(ROWS($AF$2:AF901),$AF$2:$AF$1001,0),1)&gt;=100000,INDEX($AM$1005:$BM$1005,1,MATCH(COLUMNS($AM$1006:AX1006),$AM$1006:$BM$1006,0))&gt;=100000), " ",IF(INDEX($AM$2:$BM$1001,MATCH(ROWS($AF$2:AF901),$AF$2:$AF$1001,0),MATCH(COLUMNS($AM$1006:AX1006),$AM$1006:$BM$1006,0)), HYPERLINK("#",""), HYPERLINK(CONCATENATE("#metadata!", ADDRESS(INDEX($AH$2:$AH$1001,MATCH(ROWS($AF$2:AF901),$AF$2:$AF$1001,0),0), INDEX($AM$1004:$BM$1004,1,MATCH(COLUMNS($AM$1006:AX1006),$AM$1006:$BM$1006,0)))),"Fix")))</f>
        <v xml:space="preserve"> </v>
      </c>
      <c r="N901" s="4" t="str">
        <f ca="1">IF(OR(INDEX($AG$2:$AG$1001,MATCH(ROWS($AF$2:AF901),$AF$2:$AF$1001,0),1)&gt;=100000,INDEX($AM$1005:$BM$1005,1,MATCH(COLUMNS($AM$1006:AY1006),$AM$1006:$BM$1006,0))&gt;=100000), " ",IF(INDEX($AM$2:$BM$1001,MATCH(ROWS($AF$2:AF901),$AF$2:$AF$1001,0),MATCH(COLUMNS($AM$1006:AY1006),$AM$1006:$BM$1006,0)), HYPERLINK("#",""), HYPERLINK(CONCATENATE("#metadata!", ADDRESS(INDEX($AH$2:$AH$1001,MATCH(ROWS($AF$2:AF901),$AF$2:$AF$1001,0),0), INDEX($AM$1004:$BM$1004,1,MATCH(COLUMNS($AM$1006:AY1006),$AM$1006:$BM$1006,0)))),"Fix")))</f>
        <v xml:space="preserve"> </v>
      </c>
      <c r="O901" s="4" t="str">
        <f ca="1">IF(OR(INDEX($AG$2:$AG$1001,MATCH(ROWS($AF$2:AF901),$AF$2:$AF$1001,0),1)&gt;=100000,INDEX($AM$1005:$BM$1005,1,MATCH(COLUMNS($AM$1006:AZ1006),$AM$1006:$BM$1006,0))&gt;=100000), " ",IF(INDEX($AM$2:$BM$1001,MATCH(ROWS($AF$2:AF901),$AF$2:$AF$1001,0),MATCH(COLUMNS($AM$1006:AZ1006),$AM$1006:$BM$1006,0)), HYPERLINK("#",""), HYPERLINK(CONCATENATE("#metadata!", ADDRESS(INDEX($AH$2:$AH$1001,MATCH(ROWS($AF$2:AF901),$AF$2:$AF$1001,0),0), INDEX($AM$1004:$BM$1004,1,MATCH(COLUMNS($AM$1006:AZ1006),$AM$1006:$BM$1006,0)))),"Fix")))</f>
        <v xml:space="preserve"> </v>
      </c>
      <c r="P901" s="4" t="str">
        <f ca="1">IF(OR(INDEX($AG$2:$AG$1001,MATCH(ROWS($AF$2:AF901),$AF$2:$AF$1001,0),1)&gt;=100000,INDEX($AM$1005:$BM$1005,1,MATCH(COLUMNS($AM$1006:BA1006),$AM$1006:$BM$1006,0))&gt;=100000), " ",IF(INDEX($AM$2:$BM$1001,MATCH(ROWS($AF$2:AF901),$AF$2:$AF$1001,0),MATCH(COLUMNS($AM$1006:BA1006),$AM$1006:$BM$1006,0)), HYPERLINK("#",""), HYPERLINK(CONCATENATE("#metadata!", ADDRESS(INDEX($AH$2:$AH$1001,MATCH(ROWS($AF$2:AF901),$AF$2:$AF$1001,0),0), INDEX($AM$1004:$BM$1004,1,MATCH(COLUMNS($AM$1006:BA1006),$AM$1006:$BM$1006,0)))),"Fix")))</f>
        <v xml:space="preserve"> </v>
      </c>
      <c r="Q901" s="4" t="str">
        <f ca="1">IF(OR(INDEX($AG$2:$AG$1001,MATCH(ROWS($AF$2:AF901),$AF$2:$AF$1001,0),1)&gt;=100000,INDEX($AM$1005:$BM$1005,1,MATCH(COLUMNS($AM$1006:BB1006),$AM$1006:$BM$1006,0))&gt;=100000), " ",IF(INDEX($AM$2:$BM$1001,MATCH(ROWS($AF$2:AF901),$AF$2:$AF$1001,0),MATCH(COLUMNS($AM$1006:BB1006),$AM$1006:$BM$1006,0)), HYPERLINK("#",""), HYPERLINK(CONCATENATE("#metadata!", ADDRESS(INDEX($AH$2:$AH$1001,MATCH(ROWS($AF$2:AF901),$AF$2:$AF$1001,0),0), INDEX($AM$1004:$BM$1004,1,MATCH(COLUMNS($AM$1006:BB1006),$AM$1006:$BM$1006,0)))),"Fix")))</f>
        <v xml:space="preserve"> </v>
      </c>
      <c r="R901" s="4" t="str">
        <f ca="1">IF(OR(INDEX($AG$2:$AG$1001,MATCH(ROWS($AF$2:AF901),$AF$2:$AF$1001,0),1)&gt;=100000,INDEX($AM$1005:$BM$1005,1,MATCH(COLUMNS($AM$1006:BC1006),$AM$1006:$BM$1006,0))&gt;=100000), " ",IF(INDEX($AM$2:$BM$1001,MATCH(ROWS($AF$2:AF901),$AF$2:$AF$1001,0),MATCH(COLUMNS($AM$1006:BC1006),$AM$1006:$BM$1006,0)), HYPERLINK("#",""), HYPERLINK(CONCATENATE("#metadata!", ADDRESS(INDEX($AH$2:$AH$1001,MATCH(ROWS($AF$2:AF901),$AF$2:$AF$1001,0),0), INDEX($AM$1004:$BM$1004,1,MATCH(COLUMNS($AM$1006:BC1006),$AM$1006:$BM$1006,0)))),"Fix")))</f>
        <v xml:space="preserve"> </v>
      </c>
      <c r="S901" s="4" t="str">
        <f ca="1">IF(OR(INDEX($AG$2:$AG$1001,MATCH(ROWS($AF$2:AF901),$AF$2:$AF$1001,0),1)&gt;=100000,INDEX($AM$1005:$BM$1005,1,MATCH(COLUMNS($AM$1006:BD1006),$AM$1006:$BM$1006,0))&gt;=100000), " ",IF(INDEX($AM$2:$BM$1001,MATCH(ROWS($AF$2:AF901),$AF$2:$AF$1001,0),MATCH(COLUMNS($AM$1006:BD1006),$AM$1006:$BM$1006,0)), HYPERLINK("#",""), HYPERLINK(CONCATENATE("#metadata!", ADDRESS(INDEX($AH$2:$AH$1001,MATCH(ROWS($AF$2:AF901),$AF$2:$AF$1001,0),0), INDEX($AM$1004:$BM$1004,1,MATCH(COLUMNS($AM$1006:BD1006),$AM$1006:$BM$1006,0)))),"Fix")))</f>
        <v xml:space="preserve"> </v>
      </c>
      <c r="T901" s="4" t="str">
        <f ca="1">IF(OR(INDEX($AG$2:$AG$1001,MATCH(ROWS($AF$2:AF901),$AF$2:$AF$1001,0),1)&gt;=100000,INDEX($AM$1005:$BM$1005,1,MATCH(COLUMNS($AM$1006:BE1006),$AM$1006:$BM$1006,0))&gt;=100000), " ",IF(INDEX($AM$2:$BM$1001,MATCH(ROWS($AF$2:AF901),$AF$2:$AF$1001,0),MATCH(COLUMNS($AM$1006:BE1006),$AM$1006:$BM$1006,0)), HYPERLINK("#",""), HYPERLINK(CONCATENATE("#metadata!", ADDRESS(INDEX($AH$2:$AH$1001,MATCH(ROWS($AF$2:AF901),$AF$2:$AF$1001,0),0), INDEX($AM$1004:$BM$1004,1,MATCH(COLUMNS($AM$1006:BE1006),$AM$1006:$BM$1006,0)))),"Fix")))</f>
        <v xml:space="preserve"> </v>
      </c>
      <c r="U901" s="4" t="str">
        <f ca="1">IF(OR(INDEX($AG$2:$AG$1001,MATCH(ROWS($AF$2:AF901),$AF$2:$AF$1001,0),1)&gt;=100000,INDEX($AM$1005:$BM$1005,1,MATCH(COLUMNS($AM$1006:BF1006),$AM$1006:$BM$1006,0))&gt;=100000), " ",IF(INDEX($AM$2:$BM$1001,MATCH(ROWS($AF$2:AF901),$AF$2:$AF$1001,0),MATCH(COLUMNS($AM$1006:BF1006),$AM$1006:$BM$1006,0)), HYPERLINK("#",""), HYPERLINK(CONCATENATE("#metadata!", ADDRESS(INDEX($AH$2:$AH$1001,MATCH(ROWS($AF$2:AF901),$AF$2:$AF$1001,0),0), INDEX($AM$1004:$BM$1004,1,MATCH(COLUMNS($AM$1006:BF1006),$AM$1006:$BM$1006,0)))),"Fix")))</f>
        <v xml:space="preserve"> </v>
      </c>
      <c r="V901" s="4" t="str">
        <f ca="1">IF(OR(INDEX($AG$2:$AG$1001,MATCH(ROWS($AF$2:AF901),$AF$2:$AF$1001,0),1)&gt;=100000,INDEX($AM$1005:$BM$1005,1,MATCH(COLUMNS($AM$1006:BG1006),$AM$1006:$BM$1006,0))&gt;=100000), " ",IF(INDEX($AM$2:$BM$1001,MATCH(ROWS($AF$2:AF901),$AF$2:$AF$1001,0),MATCH(COLUMNS($AM$1006:BG1006),$AM$1006:$BM$1006,0)), HYPERLINK("#",""), HYPERLINK(CONCATENATE("#metadata!", ADDRESS(INDEX($AH$2:$AH$1001,MATCH(ROWS($AF$2:AF901),$AF$2:$AF$1001,0),0), INDEX($AM$1004:$BM$1004,1,MATCH(COLUMNS($AM$1006:BG1006),$AM$1006:$BM$1006,0)))),"Fix")))</f>
        <v xml:space="preserve"> </v>
      </c>
      <c r="W901" s="4" t="str">
        <f ca="1">IF(OR(INDEX($AG$2:$AG$1001,MATCH(ROWS($AF$2:AF901),$AF$2:$AF$1001,0),1)&gt;=100000,INDEX($AM$1005:$BM$1005,1,MATCH(COLUMNS($AM$1006:BH1006),$AM$1006:$BM$1006,0))&gt;=100000), " ",IF(INDEX($AM$2:$BM$1001,MATCH(ROWS($AF$2:AF901),$AF$2:$AF$1001,0),MATCH(COLUMNS($AM$1006:BH1006),$AM$1006:$BM$1006,0)), HYPERLINK("#",""), HYPERLINK(CONCATENATE("#metadata!", ADDRESS(INDEX($AH$2:$AH$1001,MATCH(ROWS($AF$2:AF901),$AF$2:$AF$1001,0),0), INDEX($AM$1004:$BM$1004,1,MATCH(COLUMNS($AM$1006:BH1006),$AM$1006:$BM$1006,0)))),"Fix")))</f>
        <v xml:space="preserve"> </v>
      </c>
      <c r="X901" s="4" t="str">
        <f ca="1">IF(OR(INDEX($AG$2:$AG$1001,MATCH(ROWS($AF$2:AF901),$AF$2:$AF$1001,0),1)&gt;=100000,INDEX($AM$1005:$BM$1005,1,MATCH(COLUMNS($AM$1006:BI1006),$AM$1006:$BM$1006,0))&gt;=100000), " ",IF(INDEX($AM$2:$BM$1001,MATCH(ROWS($AF$2:AF901),$AF$2:$AF$1001,0),MATCH(COLUMNS($AM$1006:BI1006),$AM$1006:$BM$1006,0)), HYPERLINK("#",""), HYPERLINK(CONCATENATE("#metadata!", ADDRESS(INDEX($AH$2:$AH$1001,MATCH(ROWS($AF$2:AF901),$AF$2:$AF$1001,0),0), INDEX($AM$1004:$BM$1004,1,MATCH(COLUMNS($AM$1006:BI1006),$AM$1006:$BM$1006,0)))),"Fix")))</f>
        <v xml:space="preserve"> </v>
      </c>
      <c r="Y901" s="4" t="str">
        <f ca="1">IF(OR(INDEX($AG$2:$AG$1001,MATCH(ROWS($AF$2:AF901),$AF$2:$AF$1001,0),1)&gt;=100000,INDEX($AM$1005:$BM$1005,1,MATCH(COLUMNS($AM$1006:BJ1006),$AM$1006:$BM$1006,0))&gt;=100000), " ",IF(INDEX($AM$2:$BM$1001,MATCH(ROWS($AF$2:AF901),$AF$2:$AF$1001,0),MATCH(COLUMNS($AM$1006:BJ1006),$AM$1006:$BM$1006,0)), HYPERLINK("#",""), HYPERLINK(CONCATENATE("#metadata!", ADDRESS(INDEX($AH$2:$AH$1001,MATCH(ROWS($AF$2:AF901),$AF$2:$AF$1001,0),0), INDEX($AM$1004:$BM$1004,1,MATCH(COLUMNS($AM$1006:BJ1006),$AM$1006:$BM$1006,0)))),"Fix")))</f>
        <v xml:space="preserve"> </v>
      </c>
      <c r="Z901" s="4" t="str">
        <f ca="1">IF(OR(INDEX($AG$2:$AG$1001,MATCH(ROWS($AF$2:AF901),$AF$2:$AF$1001,0),1)&gt;=100000,INDEX($AM$1005:$BM$1005,1,MATCH(COLUMNS($AM$1006:BK1006),$AM$1006:$BM$1006,0))&gt;=100000), " ",IF(INDEX($AM$2:$BM$1001,MATCH(ROWS($AF$2:AF901),$AF$2:$AF$1001,0),MATCH(COLUMNS($AM$1006:BK1006),$AM$1006:$BM$1006,0)), HYPERLINK("#",""), HYPERLINK(CONCATENATE("#metadata!", ADDRESS(INDEX($AH$2:$AH$1001,MATCH(ROWS($AF$2:AF901),$AF$2:$AF$1001,0),0), INDEX($AM$1004:$BM$1004,1,MATCH(COLUMNS($AM$1006:BK1006),$AM$1006:$BM$1006,0)))),"Fix")))</f>
        <v xml:space="preserve"> </v>
      </c>
      <c r="AA901" s="4" t="str">
        <f ca="1">IF(OR(INDEX($AG$2:$AG$1001,MATCH(ROWS($AF$2:AF901),$AF$2:$AF$1001,0),1)&gt;=100000,INDEX($AM$1005:$BM$1005,1,MATCH(COLUMNS($AM$1006:BL1006),$AM$1006:$BM$1006,0))&gt;=100000), " ",IF(INDEX($AM$2:$BM$1001,MATCH(ROWS($AF$2:AF901),$AF$2:$AF$1001,0),MATCH(COLUMNS($AM$1006:BL1006),$AM$1006:$BM$1006,0)), HYPERLINK("#",""), HYPERLINK(CONCATENATE("#metadata!", ADDRESS(INDEX($AH$2:$AH$1001,MATCH(ROWS($AF$2:AF901),$AF$2:$AF$1001,0),0), INDEX($AM$1004:$BM$1004,1,MATCH(COLUMNS($AM$1006:BL1006),$AM$1006:$BM$1006,0)))),"Fix")))</f>
        <v xml:space="preserve"> </v>
      </c>
      <c r="AB901" s="4" t="str">
        <f ca="1">IF(OR(INDEX($AG$2:$AG$1001,MATCH(ROWS($AF$2:AF901),$AF$2:$AF$1001,0),1)&gt;=100000,INDEX($AM$1005:$BM$1005,1,MATCH(COLUMNS($AM$1006:BM1006),$AM$1006:$BM$1006,0))&gt;=100000), " ",IF(INDEX($AM$2:$BM$1001,MATCH(ROWS($AF$2:AF901),$AF$2:$AF$1001,0),MATCH(COLUMNS($AM$1006:BM1006),$AM$1006:$BM$1006,0)), HYPERLINK("#",""), HYPERLINK(CONCATENATE("#metadata!", ADDRESS(INDEX($AH$2:$AH$1001,MATCH(ROWS($AF$2:AF901),$AF$2:$AF$1001,0),0), INDEX($AM$1004:$BM$1004,1,MATCH(COLUMNS($AM$1006:BM1006),$AM$1006:$BM$1006,0)))),"Fix")))</f>
        <v xml:space="preserve"> </v>
      </c>
      <c r="AF901">
        <v>900</v>
      </c>
      <c r="AG901">
        <v>100901</v>
      </c>
      <c r="AH901">
        <v>901</v>
      </c>
      <c r="AI901" t="b">
        <f t="shared" si="14"/>
        <v>1</v>
      </c>
      <c r="AJ901" t="b">
        <f>COUNTBLANK(metadata!B901:AB901)=COLUMNS(metadata!B901:AB901)</f>
        <v>1</v>
      </c>
      <c r="AK901" t="str">
        <v/>
      </c>
      <c r="AM901" t="b">
        <f ca="1">AND(IF(metadata!B901="",FALSE,TRUE),COUNTIF(metadata!B:B, metadata!B901) = 1,NOT(ISERROR(SUMPRODUCT(SEARCH(MID(metadata!B901,ROW(INDIRECT("1:"&amp;LEN(metadata!B901))), 1),"0123456789abcdefghijklmnopqrstuvwxyzABCDEFGHIJKLMNOPQRSTUVWXYZ.")))))</f>
        <v>0</v>
      </c>
      <c r="AN901" t="b">
        <f ca="1">OR(AND(IF(metadata!C901="",FALSE,TRUE),OR(EXACT(metadata!C901,"missing: not collected"),EXACT(metadata!C901,"missing: not provided"),EXACT(metadata!C901,"missing: restricted access"))),AND(IF(metadata!C901="",FALSE,TRUE),AND(AND(IFERROR(INT(LEFT(metadata!C901,4))&gt;1900,FALSE),IFERROR(INT(LEFT(metadata!C901,4))&lt;=YEAR(NOW()),FALSE)), OR(MID(metadata!C901,5,1)="", AND(AND(MID(metadata!C901,5,1)="-",IFERROR(INT(MID(metadata!C901,6,1))&gt;=0,FALSE),IFERROR(INT(MID(metadata!C901,6,1))&lt;=1,FALSE),NOT(MID(metadata!C901,7,1)=""),IFERROR(INT(MID(metadata!C901,6,2))&gt;=1,FALSE),IFERROR(INT(MID(metadata!C901,6,2))&lt;=12,FALSE)), OR(MID(metadata!C901,8,1)="", AND(AND(MID(metadata!C901,8,1)="-",IFERROR(INT(MID(metadata!C901,9,1))&gt;=0,FALSE),IFERROR(INT(MID(metadata!C901,9,1))&lt;=3,FALSE),NOT(MID(metadata!C901,10,1)=""),IFERROR(INT(MID(metadata!C901,9,2))&gt;=1,FALSE),IFERROR(INT(MID(metadata!C901,9,2))&lt;=31,FALSE)), OR(MID(metadata!C901,11,1)="", AND(AND(MID(metadata!C901,11,1)=" ",IFERROR(INT(MID(metadata!C901,12,1))&gt;=0,FALSE),IFERROR(INT(MID(metadata!C901,12,1))&lt;=2,FALSE),NOT(MID(metadata!C901,13,1)=""),IFERROR(INT(MID(metadata!C901,12,2))&gt;=0,FALSE),IFERROR(INT(MID(metadata!C901,12,2))&lt;=23,FALSE)), OR(MID(metadata!C901,14,1)="", AND(AND(MID(metadata!C901,14,1)=":",IFERROR(INT(MID(metadata!C901,15,1))&gt;=0,FALSE),IFERROR(INT(MID(metadata!C901,15,1))&lt;=5,FALSE),NOT(MID(metadata!C901,16,1)=""),IFERROR(INT(MID(metadata!C901,15,2))&gt;=0,FALSE),IFERROR(INT(MID(metadata!C901,15,2))&lt;=59,FALSE)), OR(MID(metadata!C901,17,1)="", AND(AND(MID(metadata!C901,17,1)=":",IFERROR(INT(MID(metadata!C901,18,1))&gt;=0,FALSE),IFERROR(INT(MID(metadata!C901,18,1))&lt;=5,FALSE),NOT(MID(metadata!C901,19,1)=""),IFERROR(INT(MID(metadata!C901,18,2))&gt;=0,FALSE),IFERROR(INT(MID(metadata!C901,18,2))&lt;=59,FALSE)), LEN(metadata!C901)&lt;=19)))))))))))))</f>
        <v>0</v>
      </c>
      <c r="AO901" t="b">
        <f>AND(IF(metadata!D901="",FALSE,TRUE),EXACT(metadata!D901,"Not applicable"))</f>
        <v>0</v>
      </c>
      <c r="AP901" t="b">
        <f>IF(metadata!E901="",FALSE,TRUE)</f>
        <v>0</v>
      </c>
      <c r="AQ901" t="b">
        <f>OR(AND(IF(metadata!F901="",FALSE,TRUE),OR(EXACT(metadata!F901,"missing: not collected"),EXACT(metadata!F901,"missing: not provided"))),AND(IF(metadata!F901="",FALSE,TRUE),OR(EXACT(metadata!F901,"TRUE"),EXACT(metadata!F901,"FALSE"))))</f>
        <v>0</v>
      </c>
      <c r="AR901" t="b">
        <f>OR(AND(IF(metadata!G901="",FALSE,TRUE),OR(EXACT(metadata!G901,"missing: not collected"),EXACT(metadata!G901,"missing: not provided"),EXACT(metadata!G901,"missing: restricted access"))),AND(IF(metadata!G901="",FALSE,ISNUMBER(VALUE(metadata!G901))),metadata!G901&gt;=-413))</f>
        <v>0</v>
      </c>
      <c r="AS901" t="b">
        <f>AND(IF(metadata!H901="",FALSE,TRUE),EXACT(metadata!H901,"meters"))</f>
        <v>0</v>
      </c>
      <c r="AT901" t="b">
        <f>AND(IF(metadata!I901="",FALSE,TRUE),OR(EXACT(metadata!I901,"Host-associated"),EXACT(metadata!I901,"Free-living")))</f>
        <v>0</v>
      </c>
      <c r="AU901" t="b">
        <f>AND(IF(metadata!J901="",FALSE,TRUE),OR(EXACT(metadata!J901,"Animal"),EXACT(metadata!J901,"Fungus"),EXACT(metadata!J901,"Plant"),EXACT(metadata!J901,"Saline"),EXACT(metadata!J901,"Non-saline")))</f>
        <v>0</v>
      </c>
      <c r="AV901" t="b">
        <f>AND(IF(metadata!K901="",FALSE,TRUE),OR(EXACT(metadata!K901,"Plant secretion"),EXACT(metadata!K901,"Plant rhizosphere"),EXACT(metadata!K901,"Plant surface"),EXACT(metadata!K901,"Plant corpus"),EXACT(metadata!K901,"Fungus surface"),EXACT(metadata!K901,"Fungus corpus"),EXACT(metadata!K901,"Animal surface"),EXACT(metadata!K901,"Animal proximal gut"),EXACT(metadata!K901,"Animal corpus"),EXACT(metadata!K901,"Animal distal gut"),EXACT(metadata!K901,"Animal secretion"),EXACT(metadata!K901,"Sub-surface (non-saline)"),EXACT(metadata!K901,"Surface (non-saline)"),EXACT(metadata!K901,"Water (non-saline)"),EXACT(metadata!K901,"Soil (non-saline)"),EXACT(metadata!K901,"Aerosol (non-saline)"),EXACT(metadata!K901,"Sediment (non-saline)"),EXACT(metadata!K901,"Surface (saline)"),EXACT(metadata!K901,"Water (saline)"),EXACT(metadata!K901,"Hypersaline (saline)"),EXACT(metadata!K901,"Aerosol (saline)"),EXACT(metadata!K901,"Sediment (saline)")))</f>
        <v>0</v>
      </c>
      <c r="AW901" t="b">
        <f>IF(metadata!L901="",FALSE,TRUE)</f>
        <v>0</v>
      </c>
      <c r="AX901" t="b">
        <f>IF(metadata!M901="",FALSE,TRUE)</f>
        <v>0</v>
      </c>
      <c r="AY901" t="b">
        <f>IF(metadata!N901="",FALSE,TRUE)</f>
        <v>0</v>
      </c>
      <c r="AZ901" t="b">
        <f>OR(AND(IF(metadata!O901="",FALSE,TRUE),OR(EXACT(metadata!O901,"missing: not collected"),EXACT(metadata!O901,"missing: not provided"),EXACT(metadata!O901,"missing: restricted access"))),AND(IF(metadata!O901="",FALSE,TRUE),OR(EXACT(metadata!O901,"air"),EXACT(metadata!O901,"built environment"),EXACT(metadata!O901,"host-associated"),EXACT(metadata!O901,"human-associated"),EXACT(metadata!O901,"human-skin"),EXACT(metadata!O901,"human-oral"),EXACT(metadata!O901,"human-gut"),EXACT(metadata!O901,"human-vaginal"),EXACT(metadata!O901,"microbial mat/biofilm"),EXACT(metadata!O901,"misc environment"),EXACT(metadata!O901,"plant-associated"),EXACT(metadata!O901,"sediment"),EXACT(metadata!O901,"soil"),EXACT(metadata!O901,"wastewater/sludge"),EXACT(metadata!O901,"water"))))</f>
        <v>0</v>
      </c>
      <c r="BA901" t="b">
        <f>IF(metadata!P901="",FALSE,TRUE)</f>
        <v>0</v>
      </c>
      <c r="BB901" t="b">
        <f>IF(metadata!Q901="",FALSE,TRUE)</f>
        <v>0</v>
      </c>
      <c r="BC901" t="b">
        <f>OR(AND(IF(metadata!R901="",FALSE,TRUE),OR(EXACT(metadata!R901,"missing: not collected"),EXACT(metadata!R901,"missing: not provided"),EXACT(metadata!R901,"missing: restricted access"))),AND(IF(metadata!R901="",FALSE,ISNUMBER(VALUE(metadata!R901))),metadata!R901&gt;=-90,metadata!R901&lt;=90))</f>
        <v>0</v>
      </c>
      <c r="BD901" t="b">
        <f>AND(IF(metadata!S901="",FALSE,TRUE),EXACT(metadata!S901,"Decimal degrees"))</f>
        <v>0</v>
      </c>
      <c r="BE901" t="b">
        <f>OR(AND(IF(metadata!T901="",FALSE,TRUE),OR(EXACT(metadata!T901,"missing: not collected"),EXACT(metadata!T901,"missing: not provided"),EXACT(metadata!T901,"missing: restricted access"))),AND(IF(metadata!T901="",FALSE,ISNUMBER(VALUE(metadata!T901))),metadata!T901&gt;=-180,metadata!T901&lt;=180))</f>
        <v>0</v>
      </c>
      <c r="BF901" t="b">
        <f>AND(IF(metadata!U901="",FALSE,TRUE),EXACT(metadata!U901,"Decimal degrees"))</f>
        <v>0</v>
      </c>
      <c r="BG901" t="b">
        <f>IF(metadata!V901="",FALSE,TRUE)</f>
        <v>0</v>
      </c>
      <c r="BH901" t="b">
        <f>OR(AND(IF(metadata!W901="",FALSE,TRUE),OR(EXACT(metadata!W901,"missing: not collected"),EXACT(metadata!W901,"missing: not provided"),EXACT(metadata!W901,"missing: restricted access"))),AND(IF(metadata!W901="",FALSE,TRUE),OR(EXACT(metadata!W901,"TRUE"),EXACT(metadata!W901,"FALSE"))))</f>
        <v>0</v>
      </c>
      <c r="BI901" t="b">
        <f>AND(IF(metadata!X901="",FALSE,TRUE),EXACT(metadata!X901,"other"))</f>
        <v>0</v>
      </c>
      <c r="BJ901" t="b">
        <f>IF(metadata!Y901="",FALSE,TRUE)</f>
        <v>0</v>
      </c>
      <c r="BK901" t="b">
        <f>OR(AND(IF(metadata!Z901="",FALSE,TRUE),OR(EXACT(metadata!Z901,"missing: not collected"),EXACT(metadata!Z901,"missing: not provided"))),AND(IF(metadata!Z901="",FALSE,IF(ISERROR(INT(metadata!Z901)),FALSE,INT(metadata!Z901)=metadata!Z901)),metadata!Z901&gt;0))</f>
        <v>0</v>
      </c>
      <c r="BL901" t="b">
        <f>AND(IF(metadata!AA901="",FALSE,TRUE),EXACT(metadata!AA901,"Not applicable"))</f>
        <v>0</v>
      </c>
      <c r="BM901" t="b">
        <f>IF(metadata!AB901="",FALSE,TRUE)</f>
        <v>0</v>
      </c>
    </row>
    <row r="902" spans="1:65" x14ac:dyDescent="0.2">
      <c r="A902" s="5" t="str">
        <f ca="1">IF(B902=" "," ",HYPERLINK(CONCATENATE("#metadata!",ADDRESS(INDEX($AH$2:$AH$1001,MATCH(ROWS($AF$2:AF902),$AF$2:$AF$1001,0),0),1)),INDEX($AK$2:$AK$1001,MATCH(ROWS($AF$2:AF902),$AF$2:$AF$1001,0),0)))</f>
        <v xml:space="preserve"> </v>
      </c>
      <c r="B902" s="4" t="str">
        <f ca="1">IF(OR(INDEX($AG$2:$AG$1001,MATCH(ROWS($AF$2:AF902),$AF$2:$AF$1001,0),1)&gt;=100000,INDEX($AM$1005:$BM$1005,1,MATCH(COLUMNS($AM$1006:AM1006),$AM$1006:$BM$1006,0))&gt;=100000), " ",IF(INDEX($AM$2:$BM$1001,MATCH(ROWS($AF$2:AF902),$AF$2:$AF$1001,0),MATCH(COLUMNS($AM$1006:AM1006),$AM$1006:$BM$1006,0)), HYPERLINK("#",""), HYPERLINK(CONCATENATE("#metadata!", ADDRESS(INDEX($AH$2:$AH$1001,MATCH(ROWS($AF$2:AF902),$AF$2:$AF$1001,0),0), INDEX($AM$1004:$BM$1004,1,MATCH(COLUMNS($AM$1006:AM1006),$AM$1006:$BM$1006,0)))),"Fix")))</f>
        <v xml:space="preserve"> </v>
      </c>
      <c r="C902" s="4" t="str">
        <f ca="1">IF(OR(INDEX($AG$2:$AG$1001,MATCH(ROWS($AF$2:AF902),$AF$2:$AF$1001,0),1)&gt;=100000,INDEX($AM$1005:$BM$1005,1,MATCH(COLUMNS($AM$1006:AN1006),$AM$1006:$BM$1006,0))&gt;=100000), " ",IF(INDEX($AM$2:$BM$1001,MATCH(ROWS($AF$2:AF902),$AF$2:$AF$1001,0),MATCH(COLUMNS($AM$1006:AN1006),$AM$1006:$BM$1006,0)), HYPERLINK("#",""), HYPERLINK(CONCATENATE("#metadata!", ADDRESS(INDEX($AH$2:$AH$1001,MATCH(ROWS($AF$2:AF902),$AF$2:$AF$1001,0),0), INDEX($AM$1004:$BM$1004,1,MATCH(COLUMNS($AM$1006:AN1006),$AM$1006:$BM$1006,0)))),"Fix")))</f>
        <v xml:space="preserve"> </v>
      </c>
      <c r="D902" s="4" t="str">
        <f ca="1">IF(OR(INDEX($AG$2:$AG$1001,MATCH(ROWS($AF$2:AF902),$AF$2:$AF$1001,0),1)&gt;=100000,INDEX($AM$1005:$BM$1005,1,MATCH(COLUMNS($AM$1006:AO1006),$AM$1006:$BM$1006,0))&gt;=100000), " ",IF(INDEX($AM$2:$BM$1001,MATCH(ROWS($AF$2:AF902),$AF$2:$AF$1001,0),MATCH(COLUMNS($AM$1006:AO1006),$AM$1006:$BM$1006,0)), HYPERLINK("#",""), HYPERLINK(CONCATENATE("#metadata!", ADDRESS(INDEX($AH$2:$AH$1001,MATCH(ROWS($AF$2:AF902),$AF$2:$AF$1001,0),0), INDEX($AM$1004:$BM$1004,1,MATCH(COLUMNS($AM$1006:AO1006),$AM$1006:$BM$1006,0)))),"Fix")))</f>
        <v xml:space="preserve"> </v>
      </c>
      <c r="E902" s="4" t="str">
        <f ca="1">IF(OR(INDEX($AG$2:$AG$1001,MATCH(ROWS($AF$2:AF902),$AF$2:$AF$1001,0),1)&gt;=100000,INDEX($AM$1005:$BM$1005,1,MATCH(COLUMNS($AM$1006:AP1006),$AM$1006:$BM$1006,0))&gt;=100000), " ",IF(INDEX($AM$2:$BM$1001,MATCH(ROWS($AF$2:AF902),$AF$2:$AF$1001,0),MATCH(COLUMNS($AM$1006:AP1006),$AM$1006:$BM$1006,0)), HYPERLINK("#",""), HYPERLINK(CONCATENATE("#metadata!", ADDRESS(INDEX($AH$2:$AH$1001,MATCH(ROWS($AF$2:AF902),$AF$2:$AF$1001,0),0), INDEX($AM$1004:$BM$1004,1,MATCH(COLUMNS($AM$1006:AP1006),$AM$1006:$BM$1006,0)))),"Fix")))</f>
        <v xml:space="preserve"> </v>
      </c>
      <c r="F902" s="4" t="str">
        <f ca="1">IF(OR(INDEX($AG$2:$AG$1001,MATCH(ROWS($AF$2:AF902),$AF$2:$AF$1001,0),1)&gt;=100000,INDEX($AM$1005:$BM$1005,1,MATCH(COLUMNS($AM$1006:AQ1006),$AM$1006:$BM$1006,0))&gt;=100000), " ",IF(INDEX($AM$2:$BM$1001,MATCH(ROWS($AF$2:AF902),$AF$2:$AF$1001,0),MATCH(COLUMNS($AM$1006:AQ1006),$AM$1006:$BM$1006,0)), HYPERLINK("#",""), HYPERLINK(CONCATENATE("#metadata!", ADDRESS(INDEX($AH$2:$AH$1001,MATCH(ROWS($AF$2:AF902),$AF$2:$AF$1001,0),0), INDEX($AM$1004:$BM$1004,1,MATCH(COLUMNS($AM$1006:AQ1006),$AM$1006:$BM$1006,0)))),"Fix")))</f>
        <v xml:space="preserve"> </v>
      </c>
      <c r="G902" s="4" t="str">
        <f ca="1">IF(OR(INDEX($AG$2:$AG$1001,MATCH(ROWS($AF$2:AF902),$AF$2:$AF$1001,0),1)&gt;=100000,INDEX($AM$1005:$BM$1005,1,MATCH(COLUMNS($AM$1006:AR1006),$AM$1006:$BM$1006,0))&gt;=100000), " ",IF(INDEX($AM$2:$BM$1001,MATCH(ROWS($AF$2:AF902),$AF$2:$AF$1001,0),MATCH(COLUMNS($AM$1006:AR1006),$AM$1006:$BM$1006,0)), HYPERLINK("#",""), HYPERLINK(CONCATENATE("#metadata!", ADDRESS(INDEX($AH$2:$AH$1001,MATCH(ROWS($AF$2:AF902),$AF$2:$AF$1001,0),0), INDEX($AM$1004:$BM$1004,1,MATCH(COLUMNS($AM$1006:AR1006),$AM$1006:$BM$1006,0)))),"Fix")))</f>
        <v xml:space="preserve"> </v>
      </c>
      <c r="H902" s="4" t="str">
        <f ca="1">IF(OR(INDEX($AG$2:$AG$1001,MATCH(ROWS($AF$2:AF902),$AF$2:$AF$1001,0),1)&gt;=100000,INDEX($AM$1005:$BM$1005,1,MATCH(COLUMNS($AM$1006:AS1006),$AM$1006:$BM$1006,0))&gt;=100000), " ",IF(INDEX($AM$2:$BM$1001,MATCH(ROWS($AF$2:AF902),$AF$2:$AF$1001,0),MATCH(COLUMNS($AM$1006:AS1006),$AM$1006:$BM$1006,0)), HYPERLINK("#",""), HYPERLINK(CONCATENATE("#metadata!", ADDRESS(INDEX($AH$2:$AH$1001,MATCH(ROWS($AF$2:AF902),$AF$2:$AF$1001,0),0), INDEX($AM$1004:$BM$1004,1,MATCH(COLUMNS($AM$1006:AS1006),$AM$1006:$BM$1006,0)))),"Fix")))</f>
        <v xml:space="preserve"> </v>
      </c>
      <c r="I902" s="4" t="str">
        <f ca="1">IF(OR(INDEX($AG$2:$AG$1001,MATCH(ROWS($AF$2:AF902),$AF$2:$AF$1001,0),1)&gt;=100000,INDEX($AM$1005:$BM$1005,1,MATCH(COLUMNS($AM$1006:AT1006),$AM$1006:$BM$1006,0))&gt;=100000), " ",IF(INDEX($AM$2:$BM$1001,MATCH(ROWS($AF$2:AF902),$AF$2:$AF$1001,0),MATCH(COLUMNS($AM$1006:AT1006),$AM$1006:$BM$1006,0)), HYPERLINK("#",""), HYPERLINK(CONCATENATE("#metadata!", ADDRESS(INDEX($AH$2:$AH$1001,MATCH(ROWS($AF$2:AF902),$AF$2:$AF$1001,0),0), INDEX($AM$1004:$BM$1004,1,MATCH(COLUMNS($AM$1006:AT1006),$AM$1006:$BM$1006,0)))),"Fix")))</f>
        <v xml:space="preserve"> </v>
      </c>
      <c r="J902" s="4" t="str">
        <f ca="1">IF(OR(INDEX($AG$2:$AG$1001,MATCH(ROWS($AF$2:AF902),$AF$2:$AF$1001,0),1)&gt;=100000,INDEX($AM$1005:$BM$1005,1,MATCH(COLUMNS($AM$1006:AU1006),$AM$1006:$BM$1006,0))&gt;=100000), " ",IF(INDEX($AM$2:$BM$1001,MATCH(ROWS($AF$2:AF902),$AF$2:$AF$1001,0),MATCH(COLUMNS($AM$1006:AU1006),$AM$1006:$BM$1006,0)), HYPERLINK("#",""), HYPERLINK(CONCATENATE("#metadata!", ADDRESS(INDEX($AH$2:$AH$1001,MATCH(ROWS($AF$2:AF902),$AF$2:$AF$1001,0),0), INDEX($AM$1004:$BM$1004,1,MATCH(COLUMNS($AM$1006:AU1006),$AM$1006:$BM$1006,0)))),"Fix")))</f>
        <v xml:space="preserve"> </v>
      </c>
      <c r="K902" s="4" t="str">
        <f ca="1">IF(OR(INDEX($AG$2:$AG$1001,MATCH(ROWS($AF$2:AF902),$AF$2:$AF$1001,0),1)&gt;=100000,INDEX($AM$1005:$BM$1005,1,MATCH(COLUMNS($AM$1006:AV1006),$AM$1006:$BM$1006,0))&gt;=100000), " ",IF(INDEX($AM$2:$BM$1001,MATCH(ROWS($AF$2:AF902),$AF$2:$AF$1001,0),MATCH(COLUMNS($AM$1006:AV1006),$AM$1006:$BM$1006,0)), HYPERLINK("#",""), HYPERLINK(CONCATENATE("#metadata!", ADDRESS(INDEX($AH$2:$AH$1001,MATCH(ROWS($AF$2:AF902),$AF$2:$AF$1001,0),0), INDEX($AM$1004:$BM$1004,1,MATCH(COLUMNS($AM$1006:AV1006),$AM$1006:$BM$1006,0)))),"Fix")))</f>
        <v xml:space="preserve"> </v>
      </c>
      <c r="L902" s="4" t="str">
        <f ca="1">IF(OR(INDEX($AG$2:$AG$1001,MATCH(ROWS($AF$2:AF902),$AF$2:$AF$1001,0),1)&gt;=100000,INDEX($AM$1005:$BM$1005,1,MATCH(COLUMNS($AM$1006:AW1006),$AM$1006:$BM$1006,0))&gt;=100000), " ",IF(INDEX($AM$2:$BM$1001,MATCH(ROWS($AF$2:AF902),$AF$2:$AF$1001,0),MATCH(COLUMNS($AM$1006:AW1006),$AM$1006:$BM$1006,0)), HYPERLINK("#",""), HYPERLINK(CONCATENATE("#metadata!", ADDRESS(INDEX($AH$2:$AH$1001,MATCH(ROWS($AF$2:AF902),$AF$2:$AF$1001,0),0), INDEX($AM$1004:$BM$1004,1,MATCH(COLUMNS($AM$1006:AW1006),$AM$1006:$BM$1006,0)))),"Fix")))</f>
        <v xml:space="preserve"> </v>
      </c>
      <c r="M902" s="4" t="str">
        <f ca="1">IF(OR(INDEX($AG$2:$AG$1001,MATCH(ROWS($AF$2:AF902),$AF$2:$AF$1001,0),1)&gt;=100000,INDEX($AM$1005:$BM$1005,1,MATCH(COLUMNS($AM$1006:AX1006),$AM$1006:$BM$1006,0))&gt;=100000), " ",IF(INDEX($AM$2:$BM$1001,MATCH(ROWS($AF$2:AF902),$AF$2:$AF$1001,0),MATCH(COLUMNS($AM$1006:AX1006),$AM$1006:$BM$1006,0)), HYPERLINK("#",""), HYPERLINK(CONCATENATE("#metadata!", ADDRESS(INDEX($AH$2:$AH$1001,MATCH(ROWS($AF$2:AF902),$AF$2:$AF$1001,0),0), INDEX($AM$1004:$BM$1004,1,MATCH(COLUMNS($AM$1006:AX1006),$AM$1006:$BM$1006,0)))),"Fix")))</f>
        <v xml:space="preserve"> </v>
      </c>
      <c r="N902" s="4" t="str">
        <f ca="1">IF(OR(INDEX($AG$2:$AG$1001,MATCH(ROWS($AF$2:AF902),$AF$2:$AF$1001,0),1)&gt;=100000,INDEX($AM$1005:$BM$1005,1,MATCH(COLUMNS($AM$1006:AY1006),$AM$1006:$BM$1006,0))&gt;=100000), " ",IF(INDEX($AM$2:$BM$1001,MATCH(ROWS($AF$2:AF902),$AF$2:$AF$1001,0),MATCH(COLUMNS($AM$1006:AY1006),$AM$1006:$BM$1006,0)), HYPERLINK("#",""), HYPERLINK(CONCATENATE("#metadata!", ADDRESS(INDEX($AH$2:$AH$1001,MATCH(ROWS($AF$2:AF902),$AF$2:$AF$1001,0),0), INDEX($AM$1004:$BM$1004,1,MATCH(COLUMNS($AM$1006:AY1006),$AM$1006:$BM$1006,0)))),"Fix")))</f>
        <v xml:space="preserve"> </v>
      </c>
      <c r="O902" s="4" t="str">
        <f ca="1">IF(OR(INDEX($AG$2:$AG$1001,MATCH(ROWS($AF$2:AF902),$AF$2:$AF$1001,0),1)&gt;=100000,INDEX($AM$1005:$BM$1005,1,MATCH(COLUMNS($AM$1006:AZ1006),$AM$1006:$BM$1006,0))&gt;=100000), " ",IF(INDEX($AM$2:$BM$1001,MATCH(ROWS($AF$2:AF902),$AF$2:$AF$1001,0),MATCH(COLUMNS($AM$1006:AZ1006),$AM$1006:$BM$1006,0)), HYPERLINK("#",""), HYPERLINK(CONCATENATE("#metadata!", ADDRESS(INDEX($AH$2:$AH$1001,MATCH(ROWS($AF$2:AF902),$AF$2:$AF$1001,0),0), INDEX($AM$1004:$BM$1004,1,MATCH(COLUMNS($AM$1006:AZ1006),$AM$1006:$BM$1006,0)))),"Fix")))</f>
        <v xml:space="preserve"> </v>
      </c>
      <c r="P902" s="4" t="str">
        <f ca="1">IF(OR(INDEX($AG$2:$AG$1001,MATCH(ROWS($AF$2:AF902),$AF$2:$AF$1001,0),1)&gt;=100000,INDEX($AM$1005:$BM$1005,1,MATCH(COLUMNS($AM$1006:BA1006),$AM$1006:$BM$1006,0))&gt;=100000), " ",IF(INDEX($AM$2:$BM$1001,MATCH(ROWS($AF$2:AF902),$AF$2:$AF$1001,0),MATCH(COLUMNS($AM$1006:BA1006),$AM$1006:$BM$1006,0)), HYPERLINK("#",""), HYPERLINK(CONCATENATE("#metadata!", ADDRESS(INDEX($AH$2:$AH$1001,MATCH(ROWS($AF$2:AF902),$AF$2:$AF$1001,0),0), INDEX($AM$1004:$BM$1004,1,MATCH(COLUMNS($AM$1006:BA1006),$AM$1006:$BM$1006,0)))),"Fix")))</f>
        <v xml:space="preserve"> </v>
      </c>
      <c r="Q902" s="4" t="str">
        <f ca="1">IF(OR(INDEX($AG$2:$AG$1001,MATCH(ROWS($AF$2:AF902),$AF$2:$AF$1001,0),1)&gt;=100000,INDEX($AM$1005:$BM$1005,1,MATCH(COLUMNS($AM$1006:BB1006),$AM$1006:$BM$1006,0))&gt;=100000), " ",IF(INDEX($AM$2:$BM$1001,MATCH(ROWS($AF$2:AF902),$AF$2:$AF$1001,0),MATCH(COLUMNS($AM$1006:BB1006),$AM$1006:$BM$1006,0)), HYPERLINK("#",""), HYPERLINK(CONCATENATE("#metadata!", ADDRESS(INDEX($AH$2:$AH$1001,MATCH(ROWS($AF$2:AF902),$AF$2:$AF$1001,0),0), INDEX($AM$1004:$BM$1004,1,MATCH(COLUMNS($AM$1006:BB1006),$AM$1006:$BM$1006,0)))),"Fix")))</f>
        <v xml:space="preserve"> </v>
      </c>
      <c r="R902" s="4" t="str">
        <f ca="1">IF(OR(INDEX($AG$2:$AG$1001,MATCH(ROWS($AF$2:AF902),$AF$2:$AF$1001,0),1)&gt;=100000,INDEX($AM$1005:$BM$1005,1,MATCH(COLUMNS($AM$1006:BC1006),$AM$1006:$BM$1006,0))&gt;=100000), " ",IF(INDEX($AM$2:$BM$1001,MATCH(ROWS($AF$2:AF902),$AF$2:$AF$1001,0),MATCH(COLUMNS($AM$1006:BC1006),$AM$1006:$BM$1006,0)), HYPERLINK("#",""), HYPERLINK(CONCATENATE("#metadata!", ADDRESS(INDEX($AH$2:$AH$1001,MATCH(ROWS($AF$2:AF902),$AF$2:$AF$1001,0),0), INDEX($AM$1004:$BM$1004,1,MATCH(COLUMNS($AM$1006:BC1006),$AM$1006:$BM$1006,0)))),"Fix")))</f>
        <v xml:space="preserve"> </v>
      </c>
      <c r="S902" s="4" t="str">
        <f ca="1">IF(OR(INDEX($AG$2:$AG$1001,MATCH(ROWS($AF$2:AF902),$AF$2:$AF$1001,0),1)&gt;=100000,INDEX($AM$1005:$BM$1005,1,MATCH(COLUMNS($AM$1006:BD1006),$AM$1006:$BM$1006,0))&gt;=100000), " ",IF(INDEX($AM$2:$BM$1001,MATCH(ROWS($AF$2:AF902),$AF$2:$AF$1001,0),MATCH(COLUMNS($AM$1006:BD1006),$AM$1006:$BM$1006,0)), HYPERLINK("#",""), HYPERLINK(CONCATENATE("#metadata!", ADDRESS(INDEX($AH$2:$AH$1001,MATCH(ROWS($AF$2:AF902),$AF$2:$AF$1001,0),0), INDEX($AM$1004:$BM$1004,1,MATCH(COLUMNS($AM$1006:BD1006),$AM$1006:$BM$1006,0)))),"Fix")))</f>
        <v xml:space="preserve"> </v>
      </c>
      <c r="T902" s="4" t="str">
        <f ca="1">IF(OR(INDEX($AG$2:$AG$1001,MATCH(ROWS($AF$2:AF902),$AF$2:$AF$1001,0),1)&gt;=100000,INDEX($AM$1005:$BM$1005,1,MATCH(COLUMNS($AM$1006:BE1006),$AM$1006:$BM$1006,0))&gt;=100000), " ",IF(INDEX($AM$2:$BM$1001,MATCH(ROWS($AF$2:AF902),$AF$2:$AF$1001,0),MATCH(COLUMNS($AM$1006:BE1006),$AM$1006:$BM$1006,0)), HYPERLINK("#",""), HYPERLINK(CONCATENATE("#metadata!", ADDRESS(INDEX($AH$2:$AH$1001,MATCH(ROWS($AF$2:AF902),$AF$2:$AF$1001,0),0), INDEX($AM$1004:$BM$1004,1,MATCH(COLUMNS($AM$1006:BE1006),$AM$1006:$BM$1006,0)))),"Fix")))</f>
        <v xml:space="preserve"> </v>
      </c>
      <c r="U902" s="4" t="str">
        <f ca="1">IF(OR(INDEX($AG$2:$AG$1001,MATCH(ROWS($AF$2:AF902),$AF$2:$AF$1001,0),1)&gt;=100000,INDEX($AM$1005:$BM$1005,1,MATCH(COLUMNS($AM$1006:BF1006),$AM$1006:$BM$1006,0))&gt;=100000), " ",IF(INDEX($AM$2:$BM$1001,MATCH(ROWS($AF$2:AF902),$AF$2:$AF$1001,0),MATCH(COLUMNS($AM$1006:BF1006),$AM$1006:$BM$1006,0)), HYPERLINK("#",""), HYPERLINK(CONCATENATE("#metadata!", ADDRESS(INDEX($AH$2:$AH$1001,MATCH(ROWS($AF$2:AF902),$AF$2:$AF$1001,0),0), INDEX($AM$1004:$BM$1004,1,MATCH(COLUMNS($AM$1006:BF1006),$AM$1006:$BM$1006,0)))),"Fix")))</f>
        <v xml:space="preserve"> </v>
      </c>
      <c r="V902" s="4" t="str">
        <f ca="1">IF(OR(INDEX($AG$2:$AG$1001,MATCH(ROWS($AF$2:AF902),$AF$2:$AF$1001,0),1)&gt;=100000,INDEX($AM$1005:$BM$1005,1,MATCH(COLUMNS($AM$1006:BG1006),$AM$1006:$BM$1006,0))&gt;=100000), " ",IF(INDEX($AM$2:$BM$1001,MATCH(ROWS($AF$2:AF902),$AF$2:$AF$1001,0),MATCH(COLUMNS($AM$1006:BG1006),$AM$1006:$BM$1006,0)), HYPERLINK("#",""), HYPERLINK(CONCATENATE("#metadata!", ADDRESS(INDEX($AH$2:$AH$1001,MATCH(ROWS($AF$2:AF902),$AF$2:$AF$1001,0),0), INDEX($AM$1004:$BM$1004,1,MATCH(COLUMNS($AM$1006:BG1006),$AM$1006:$BM$1006,0)))),"Fix")))</f>
        <v xml:space="preserve"> </v>
      </c>
      <c r="W902" s="4" t="str">
        <f ca="1">IF(OR(INDEX($AG$2:$AG$1001,MATCH(ROWS($AF$2:AF902),$AF$2:$AF$1001,0),1)&gt;=100000,INDEX($AM$1005:$BM$1005,1,MATCH(COLUMNS($AM$1006:BH1006),$AM$1006:$BM$1006,0))&gt;=100000), " ",IF(INDEX($AM$2:$BM$1001,MATCH(ROWS($AF$2:AF902),$AF$2:$AF$1001,0),MATCH(COLUMNS($AM$1006:BH1006),$AM$1006:$BM$1006,0)), HYPERLINK("#",""), HYPERLINK(CONCATENATE("#metadata!", ADDRESS(INDEX($AH$2:$AH$1001,MATCH(ROWS($AF$2:AF902),$AF$2:$AF$1001,0),0), INDEX($AM$1004:$BM$1004,1,MATCH(COLUMNS($AM$1006:BH1006),$AM$1006:$BM$1006,0)))),"Fix")))</f>
        <v xml:space="preserve"> </v>
      </c>
      <c r="X902" s="4" t="str">
        <f ca="1">IF(OR(INDEX($AG$2:$AG$1001,MATCH(ROWS($AF$2:AF902),$AF$2:$AF$1001,0),1)&gt;=100000,INDEX($AM$1005:$BM$1005,1,MATCH(COLUMNS($AM$1006:BI1006),$AM$1006:$BM$1006,0))&gt;=100000), " ",IF(INDEX($AM$2:$BM$1001,MATCH(ROWS($AF$2:AF902),$AF$2:$AF$1001,0),MATCH(COLUMNS($AM$1006:BI1006),$AM$1006:$BM$1006,0)), HYPERLINK("#",""), HYPERLINK(CONCATENATE("#metadata!", ADDRESS(INDEX($AH$2:$AH$1001,MATCH(ROWS($AF$2:AF902),$AF$2:$AF$1001,0),0), INDEX($AM$1004:$BM$1004,1,MATCH(COLUMNS($AM$1006:BI1006),$AM$1006:$BM$1006,0)))),"Fix")))</f>
        <v xml:space="preserve"> </v>
      </c>
      <c r="Y902" s="4" t="str">
        <f ca="1">IF(OR(INDEX($AG$2:$AG$1001,MATCH(ROWS($AF$2:AF902),$AF$2:$AF$1001,0),1)&gt;=100000,INDEX($AM$1005:$BM$1005,1,MATCH(COLUMNS($AM$1006:BJ1006),$AM$1006:$BM$1006,0))&gt;=100000), " ",IF(INDEX($AM$2:$BM$1001,MATCH(ROWS($AF$2:AF902),$AF$2:$AF$1001,0),MATCH(COLUMNS($AM$1006:BJ1006),$AM$1006:$BM$1006,0)), HYPERLINK("#",""), HYPERLINK(CONCATENATE("#metadata!", ADDRESS(INDEX($AH$2:$AH$1001,MATCH(ROWS($AF$2:AF902),$AF$2:$AF$1001,0),0), INDEX($AM$1004:$BM$1004,1,MATCH(COLUMNS($AM$1006:BJ1006),$AM$1006:$BM$1006,0)))),"Fix")))</f>
        <v xml:space="preserve"> </v>
      </c>
      <c r="Z902" s="4" t="str">
        <f ca="1">IF(OR(INDEX($AG$2:$AG$1001,MATCH(ROWS($AF$2:AF902),$AF$2:$AF$1001,0),1)&gt;=100000,INDEX($AM$1005:$BM$1005,1,MATCH(COLUMNS($AM$1006:BK1006),$AM$1006:$BM$1006,0))&gt;=100000), " ",IF(INDEX($AM$2:$BM$1001,MATCH(ROWS($AF$2:AF902),$AF$2:$AF$1001,0),MATCH(COLUMNS($AM$1006:BK1006),$AM$1006:$BM$1006,0)), HYPERLINK("#",""), HYPERLINK(CONCATENATE("#metadata!", ADDRESS(INDEX($AH$2:$AH$1001,MATCH(ROWS($AF$2:AF902),$AF$2:$AF$1001,0),0), INDEX($AM$1004:$BM$1004,1,MATCH(COLUMNS($AM$1006:BK1006),$AM$1006:$BM$1006,0)))),"Fix")))</f>
        <v xml:space="preserve"> </v>
      </c>
      <c r="AA902" s="4" t="str">
        <f ca="1">IF(OR(INDEX($AG$2:$AG$1001,MATCH(ROWS($AF$2:AF902),$AF$2:$AF$1001,0),1)&gt;=100000,INDEX($AM$1005:$BM$1005,1,MATCH(COLUMNS($AM$1006:BL1006),$AM$1006:$BM$1006,0))&gt;=100000), " ",IF(INDEX($AM$2:$BM$1001,MATCH(ROWS($AF$2:AF902),$AF$2:$AF$1001,0),MATCH(COLUMNS($AM$1006:BL1006),$AM$1006:$BM$1006,0)), HYPERLINK("#",""), HYPERLINK(CONCATENATE("#metadata!", ADDRESS(INDEX($AH$2:$AH$1001,MATCH(ROWS($AF$2:AF902),$AF$2:$AF$1001,0),0), INDEX($AM$1004:$BM$1004,1,MATCH(COLUMNS($AM$1006:BL1006),$AM$1006:$BM$1006,0)))),"Fix")))</f>
        <v xml:space="preserve"> </v>
      </c>
      <c r="AB902" s="4" t="str">
        <f ca="1">IF(OR(INDEX($AG$2:$AG$1001,MATCH(ROWS($AF$2:AF902),$AF$2:$AF$1001,0),1)&gt;=100000,INDEX($AM$1005:$BM$1005,1,MATCH(COLUMNS($AM$1006:BM1006),$AM$1006:$BM$1006,0))&gt;=100000), " ",IF(INDEX($AM$2:$BM$1001,MATCH(ROWS($AF$2:AF902),$AF$2:$AF$1001,0),MATCH(COLUMNS($AM$1006:BM1006),$AM$1006:$BM$1006,0)), HYPERLINK("#",""), HYPERLINK(CONCATENATE("#metadata!", ADDRESS(INDEX($AH$2:$AH$1001,MATCH(ROWS($AF$2:AF902),$AF$2:$AF$1001,0),0), INDEX($AM$1004:$BM$1004,1,MATCH(COLUMNS($AM$1006:BM1006),$AM$1006:$BM$1006,0)))),"Fix")))</f>
        <v xml:space="preserve"> </v>
      </c>
      <c r="AF902">
        <v>901</v>
      </c>
      <c r="AG902">
        <v>100902</v>
      </c>
      <c r="AH902">
        <v>902</v>
      </c>
      <c r="AI902" t="b">
        <f t="shared" si="14"/>
        <v>1</v>
      </c>
      <c r="AJ902" t="b">
        <f>COUNTBLANK(metadata!B902:AB902)=COLUMNS(metadata!B902:AB902)</f>
        <v>1</v>
      </c>
      <c r="AK902" t="str">
        <v/>
      </c>
      <c r="AM902" t="b">
        <f ca="1">AND(IF(metadata!B902="",FALSE,TRUE),COUNTIF(metadata!B:B, metadata!B902) = 1,NOT(ISERROR(SUMPRODUCT(SEARCH(MID(metadata!B902,ROW(INDIRECT("1:"&amp;LEN(metadata!B902))), 1),"0123456789abcdefghijklmnopqrstuvwxyzABCDEFGHIJKLMNOPQRSTUVWXYZ.")))))</f>
        <v>0</v>
      </c>
      <c r="AN902" t="b">
        <f ca="1">OR(AND(IF(metadata!C902="",FALSE,TRUE),OR(EXACT(metadata!C902,"missing: not collected"),EXACT(metadata!C902,"missing: not provided"),EXACT(metadata!C902,"missing: restricted access"))),AND(IF(metadata!C902="",FALSE,TRUE),AND(AND(IFERROR(INT(LEFT(metadata!C902,4))&gt;1900,FALSE),IFERROR(INT(LEFT(metadata!C902,4))&lt;=YEAR(NOW()),FALSE)), OR(MID(metadata!C902,5,1)="", AND(AND(MID(metadata!C902,5,1)="-",IFERROR(INT(MID(metadata!C902,6,1))&gt;=0,FALSE),IFERROR(INT(MID(metadata!C902,6,1))&lt;=1,FALSE),NOT(MID(metadata!C902,7,1)=""),IFERROR(INT(MID(metadata!C902,6,2))&gt;=1,FALSE),IFERROR(INT(MID(metadata!C902,6,2))&lt;=12,FALSE)), OR(MID(metadata!C902,8,1)="", AND(AND(MID(metadata!C902,8,1)="-",IFERROR(INT(MID(metadata!C902,9,1))&gt;=0,FALSE),IFERROR(INT(MID(metadata!C902,9,1))&lt;=3,FALSE),NOT(MID(metadata!C902,10,1)=""),IFERROR(INT(MID(metadata!C902,9,2))&gt;=1,FALSE),IFERROR(INT(MID(metadata!C902,9,2))&lt;=31,FALSE)), OR(MID(metadata!C902,11,1)="", AND(AND(MID(metadata!C902,11,1)=" ",IFERROR(INT(MID(metadata!C902,12,1))&gt;=0,FALSE),IFERROR(INT(MID(metadata!C902,12,1))&lt;=2,FALSE),NOT(MID(metadata!C902,13,1)=""),IFERROR(INT(MID(metadata!C902,12,2))&gt;=0,FALSE),IFERROR(INT(MID(metadata!C902,12,2))&lt;=23,FALSE)), OR(MID(metadata!C902,14,1)="", AND(AND(MID(metadata!C902,14,1)=":",IFERROR(INT(MID(metadata!C902,15,1))&gt;=0,FALSE),IFERROR(INT(MID(metadata!C902,15,1))&lt;=5,FALSE),NOT(MID(metadata!C902,16,1)=""),IFERROR(INT(MID(metadata!C902,15,2))&gt;=0,FALSE),IFERROR(INT(MID(metadata!C902,15,2))&lt;=59,FALSE)), OR(MID(metadata!C902,17,1)="", AND(AND(MID(metadata!C902,17,1)=":",IFERROR(INT(MID(metadata!C902,18,1))&gt;=0,FALSE),IFERROR(INT(MID(metadata!C902,18,1))&lt;=5,FALSE),NOT(MID(metadata!C902,19,1)=""),IFERROR(INT(MID(metadata!C902,18,2))&gt;=0,FALSE),IFERROR(INT(MID(metadata!C902,18,2))&lt;=59,FALSE)), LEN(metadata!C902)&lt;=19)))))))))))))</f>
        <v>0</v>
      </c>
      <c r="AO902" t="b">
        <f>AND(IF(metadata!D902="",FALSE,TRUE),EXACT(metadata!D902,"Not applicable"))</f>
        <v>0</v>
      </c>
      <c r="AP902" t="b">
        <f>IF(metadata!E902="",FALSE,TRUE)</f>
        <v>0</v>
      </c>
      <c r="AQ902" t="b">
        <f>OR(AND(IF(metadata!F902="",FALSE,TRUE),OR(EXACT(metadata!F902,"missing: not collected"),EXACT(metadata!F902,"missing: not provided"))),AND(IF(metadata!F902="",FALSE,TRUE),OR(EXACT(metadata!F902,"TRUE"),EXACT(metadata!F902,"FALSE"))))</f>
        <v>0</v>
      </c>
      <c r="AR902" t="b">
        <f>OR(AND(IF(metadata!G902="",FALSE,TRUE),OR(EXACT(metadata!G902,"missing: not collected"),EXACT(metadata!G902,"missing: not provided"),EXACT(metadata!G902,"missing: restricted access"))),AND(IF(metadata!G902="",FALSE,ISNUMBER(VALUE(metadata!G902))),metadata!G902&gt;=-413))</f>
        <v>0</v>
      </c>
      <c r="AS902" t="b">
        <f>AND(IF(metadata!H902="",FALSE,TRUE),EXACT(metadata!H902,"meters"))</f>
        <v>0</v>
      </c>
      <c r="AT902" t="b">
        <f>AND(IF(metadata!I902="",FALSE,TRUE),OR(EXACT(metadata!I902,"Host-associated"),EXACT(metadata!I902,"Free-living")))</f>
        <v>0</v>
      </c>
      <c r="AU902" t="b">
        <f>AND(IF(metadata!J902="",FALSE,TRUE),OR(EXACT(metadata!J902,"Animal"),EXACT(metadata!J902,"Fungus"),EXACT(metadata!J902,"Plant"),EXACT(metadata!J902,"Saline"),EXACT(metadata!J902,"Non-saline")))</f>
        <v>0</v>
      </c>
      <c r="AV902" t="b">
        <f>AND(IF(metadata!K902="",FALSE,TRUE),OR(EXACT(metadata!K902,"Plant secretion"),EXACT(metadata!K902,"Plant rhizosphere"),EXACT(metadata!K902,"Plant surface"),EXACT(metadata!K902,"Plant corpus"),EXACT(metadata!K902,"Fungus surface"),EXACT(metadata!K902,"Fungus corpus"),EXACT(metadata!K902,"Animal surface"),EXACT(metadata!K902,"Animal proximal gut"),EXACT(metadata!K902,"Animal corpus"),EXACT(metadata!K902,"Animal distal gut"),EXACT(metadata!K902,"Animal secretion"),EXACT(metadata!K902,"Sub-surface (non-saline)"),EXACT(metadata!K902,"Surface (non-saline)"),EXACT(metadata!K902,"Water (non-saline)"),EXACT(metadata!K902,"Soil (non-saline)"),EXACT(metadata!K902,"Aerosol (non-saline)"),EXACT(metadata!K902,"Sediment (non-saline)"),EXACT(metadata!K902,"Surface (saline)"),EXACT(metadata!K902,"Water (saline)"),EXACT(metadata!K902,"Hypersaline (saline)"),EXACT(metadata!K902,"Aerosol (saline)"),EXACT(metadata!K902,"Sediment (saline)")))</f>
        <v>0</v>
      </c>
      <c r="AW902" t="b">
        <f>IF(metadata!L902="",FALSE,TRUE)</f>
        <v>0</v>
      </c>
      <c r="AX902" t="b">
        <f>IF(metadata!M902="",FALSE,TRUE)</f>
        <v>0</v>
      </c>
      <c r="AY902" t="b">
        <f>IF(metadata!N902="",FALSE,TRUE)</f>
        <v>0</v>
      </c>
      <c r="AZ902" t="b">
        <f>OR(AND(IF(metadata!O902="",FALSE,TRUE),OR(EXACT(metadata!O902,"missing: not collected"),EXACT(metadata!O902,"missing: not provided"),EXACT(metadata!O902,"missing: restricted access"))),AND(IF(metadata!O902="",FALSE,TRUE),OR(EXACT(metadata!O902,"air"),EXACT(metadata!O902,"built environment"),EXACT(metadata!O902,"host-associated"),EXACT(metadata!O902,"human-associated"),EXACT(metadata!O902,"human-skin"),EXACT(metadata!O902,"human-oral"),EXACT(metadata!O902,"human-gut"),EXACT(metadata!O902,"human-vaginal"),EXACT(metadata!O902,"microbial mat/biofilm"),EXACT(metadata!O902,"misc environment"),EXACT(metadata!O902,"plant-associated"),EXACT(metadata!O902,"sediment"),EXACT(metadata!O902,"soil"),EXACT(metadata!O902,"wastewater/sludge"),EXACT(metadata!O902,"water"))))</f>
        <v>0</v>
      </c>
      <c r="BA902" t="b">
        <f>IF(metadata!P902="",FALSE,TRUE)</f>
        <v>0</v>
      </c>
      <c r="BB902" t="b">
        <f>IF(metadata!Q902="",FALSE,TRUE)</f>
        <v>0</v>
      </c>
      <c r="BC902" t="b">
        <f>OR(AND(IF(metadata!R902="",FALSE,TRUE),OR(EXACT(metadata!R902,"missing: not collected"),EXACT(metadata!R902,"missing: not provided"),EXACT(metadata!R902,"missing: restricted access"))),AND(IF(metadata!R902="",FALSE,ISNUMBER(VALUE(metadata!R902))),metadata!R902&gt;=-90,metadata!R902&lt;=90))</f>
        <v>0</v>
      </c>
      <c r="BD902" t="b">
        <f>AND(IF(metadata!S902="",FALSE,TRUE),EXACT(metadata!S902,"Decimal degrees"))</f>
        <v>0</v>
      </c>
      <c r="BE902" t="b">
        <f>OR(AND(IF(metadata!T902="",FALSE,TRUE),OR(EXACT(metadata!T902,"missing: not collected"),EXACT(metadata!T902,"missing: not provided"),EXACT(metadata!T902,"missing: restricted access"))),AND(IF(metadata!T902="",FALSE,ISNUMBER(VALUE(metadata!T902))),metadata!T902&gt;=-180,metadata!T902&lt;=180))</f>
        <v>0</v>
      </c>
      <c r="BF902" t="b">
        <f>AND(IF(metadata!U902="",FALSE,TRUE),EXACT(metadata!U902,"Decimal degrees"))</f>
        <v>0</v>
      </c>
      <c r="BG902" t="b">
        <f>IF(metadata!V902="",FALSE,TRUE)</f>
        <v>0</v>
      </c>
      <c r="BH902" t="b">
        <f>OR(AND(IF(metadata!W902="",FALSE,TRUE),OR(EXACT(metadata!W902,"missing: not collected"),EXACT(metadata!W902,"missing: not provided"),EXACT(metadata!W902,"missing: restricted access"))),AND(IF(metadata!W902="",FALSE,TRUE),OR(EXACT(metadata!W902,"TRUE"),EXACT(metadata!W902,"FALSE"))))</f>
        <v>0</v>
      </c>
      <c r="BI902" t="b">
        <f>AND(IF(metadata!X902="",FALSE,TRUE),EXACT(metadata!X902,"other"))</f>
        <v>0</v>
      </c>
      <c r="BJ902" t="b">
        <f>IF(metadata!Y902="",FALSE,TRUE)</f>
        <v>0</v>
      </c>
      <c r="BK902" t="b">
        <f>OR(AND(IF(metadata!Z902="",FALSE,TRUE),OR(EXACT(metadata!Z902,"missing: not collected"),EXACT(metadata!Z902,"missing: not provided"))),AND(IF(metadata!Z902="",FALSE,IF(ISERROR(INT(metadata!Z902)),FALSE,INT(metadata!Z902)=metadata!Z902)),metadata!Z902&gt;0))</f>
        <v>0</v>
      </c>
      <c r="BL902" t="b">
        <f>AND(IF(metadata!AA902="",FALSE,TRUE),EXACT(metadata!AA902,"Not applicable"))</f>
        <v>0</v>
      </c>
      <c r="BM902" t="b">
        <f>IF(metadata!AB902="",FALSE,TRUE)</f>
        <v>0</v>
      </c>
    </row>
    <row r="903" spans="1:65" x14ac:dyDescent="0.2">
      <c r="A903" s="5" t="str">
        <f ca="1">IF(B903=" "," ",HYPERLINK(CONCATENATE("#metadata!",ADDRESS(INDEX($AH$2:$AH$1001,MATCH(ROWS($AF$2:AF903),$AF$2:$AF$1001,0),0),1)),INDEX($AK$2:$AK$1001,MATCH(ROWS($AF$2:AF903),$AF$2:$AF$1001,0),0)))</f>
        <v xml:space="preserve"> </v>
      </c>
      <c r="B903" s="4" t="str">
        <f ca="1">IF(OR(INDEX($AG$2:$AG$1001,MATCH(ROWS($AF$2:AF903),$AF$2:$AF$1001,0),1)&gt;=100000,INDEX($AM$1005:$BM$1005,1,MATCH(COLUMNS($AM$1006:AM1006),$AM$1006:$BM$1006,0))&gt;=100000), " ",IF(INDEX($AM$2:$BM$1001,MATCH(ROWS($AF$2:AF903),$AF$2:$AF$1001,0),MATCH(COLUMNS($AM$1006:AM1006),$AM$1006:$BM$1006,0)), HYPERLINK("#",""), HYPERLINK(CONCATENATE("#metadata!", ADDRESS(INDEX($AH$2:$AH$1001,MATCH(ROWS($AF$2:AF903),$AF$2:$AF$1001,0),0), INDEX($AM$1004:$BM$1004,1,MATCH(COLUMNS($AM$1006:AM1006),$AM$1006:$BM$1006,0)))),"Fix")))</f>
        <v xml:space="preserve"> </v>
      </c>
      <c r="C903" s="4" t="str">
        <f ca="1">IF(OR(INDEX($AG$2:$AG$1001,MATCH(ROWS($AF$2:AF903),$AF$2:$AF$1001,0),1)&gt;=100000,INDEX($AM$1005:$BM$1005,1,MATCH(COLUMNS($AM$1006:AN1006),$AM$1006:$BM$1006,0))&gt;=100000), " ",IF(INDEX($AM$2:$BM$1001,MATCH(ROWS($AF$2:AF903),$AF$2:$AF$1001,0),MATCH(COLUMNS($AM$1006:AN1006),$AM$1006:$BM$1006,0)), HYPERLINK("#",""), HYPERLINK(CONCATENATE("#metadata!", ADDRESS(INDEX($AH$2:$AH$1001,MATCH(ROWS($AF$2:AF903),$AF$2:$AF$1001,0),0), INDEX($AM$1004:$BM$1004,1,MATCH(COLUMNS($AM$1006:AN1006),$AM$1006:$BM$1006,0)))),"Fix")))</f>
        <v xml:space="preserve"> </v>
      </c>
      <c r="D903" s="4" t="str">
        <f ca="1">IF(OR(INDEX($AG$2:$AG$1001,MATCH(ROWS($AF$2:AF903),$AF$2:$AF$1001,0),1)&gt;=100000,INDEX($AM$1005:$BM$1005,1,MATCH(COLUMNS($AM$1006:AO1006),$AM$1006:$BM$1006,0))&gt;=100000), " ",IF(INDEX($AM$2:$BM$1001,MATCH(ROWS($AF$2:AF903),$AF$2:$AF$1001,0),MATCH(COLUMNS($AM$1006:AO1006),$AM$1006:$BM$1006,0)), HYPERLINK("#",""), HYPERLINK(CONCATENATE("#metadata!", ADDRESS(INDEX($AH$2:$AH$1001,MATCH(ROWS($AF$2:AF903),$AF$2:$AF$1001,0),0), INDEX($AM$1004:$BM$1004,1,MATCH(COLUMNS($AM$1006:AO1006),$AM$1006:$BM$1006,0)))),"Fix")))</f>
        <v xml:space="preserve"> </v>
      </c>
      <c r="E903" s="4" t="str">
        <f ca="1">IF(OR(INDEX($AG$2:$AG$1001,MATCH(ROWS($AF$2:AF903),$AF$2:$AF$1001,0),1)&gt;=100000,INDEX($AM$1005:$BM$1005,1,MATCH(COLUMNS($AM$1006:AP1006),$AM$1006:$BM$1006,0))&gt;=100000), " ",IF(INDEX($AM$2:$BM$1001,MATCH(ROWS($AF$2:AF903),$AF$2:$AF$1001,0),MATCH(COLUMNS($AM$1006:AP1006),$AM$1006:$BM$1006,0)), HYPERLINK("#",""), HYPERLINK(CONCATENATE("#metadata!", ADDRESS(INDEX($AH$2:$AH$1001,MATCH(ROWS($AF$2:AF903),$AF$2:$AF$1001,0),0), INDEX($AM$1004:$BM$1004,1,MATCH(COLUMNS($AM$1006:AP1006),$AM$1006:$BM$1006,0)))),"Fix")))</f>
        <v xml:space="preserve"> </v>
      </c>
      <c r="F903" s="4" t="str">
        <f ca="1">IF(OR(INDEX($AG$2:$AG$1001,MATCH(ROWS($AF$2:AF903),$AF$2:$AF$1001,0),1)&gt;=100000,INDEX($AM$1005:$BM$1005,1,MATCH(COLUMNS($AM$1006:AQ1006),$AM$1006:$BM$1006,0))&gt;=100000), " ",IF(INDEX($AM$2:$BM$1001,MATCH(ROWS($AF$2:AF903),$AF$2:$AF$1001,0),MATCH(COLUMNS($AM$1006:AQ1006),$AM$1006:$BM$1006,0)), HYPERLINK("#",""), HYPERLINK(CONCATENATE("#metadata!", ADDRESS(INDEX($AH$2:$AH$1001,MATCH(ROWS($AF$2:AF903),$AF$2:$AF$1001,0),0), INDEX($AM$1004:$BM$1004,1,MATCH(COLUMNS($AM$1006:AQ1006),$AM$1006:$BM$1006,0)))),"Fix")))</f>
        <v xml:space="preserve"> </v>
      </c>
      <c r="G903" s="4" t="str">
        <f ca="1">IF(OR(INDEX($AG$2:$AG$1001,MATCH(ROWS($AF$2:AF903),$AF$2:$AF$1001,0),1)&gt;=100000,INDEX($AM$1005:$BM$1005,1,MATCH(COLUMNS($AM$1006:AR1006),$AM$1006:$BM$1006,0))&gt;=100000), " ",IF(INDEX($AM$2:$BM$1001,MATCH(ROWS($AF$2:AF903),$AF$2:$AF$1001,0),MATCH(COLUMNS($AM$1006:AR1006),$AM$1006:$BM$1006,0)), HYPERLINK("#",""), HYPERLINK(CONCATENATE("#metadata!", ADDRESS(INDEX($AH$2:$AH$1001,MATCH(ROWS($AF$2:AF903),$AF$2:$AF$1001,0),0), INDEX($AM$1004:$BM$1004,1,MATCH(COLUMNS($AM$1006:AR1006),$AM$1006:$BM$1006,0)))),"Fix")))</f>
        <v xml:space="preserve"> </v>
      </c>
      <c r="H903" s="4" t="str">
        <f ca="1">IF(OR(INDEX($AG$2:$AG$1001,MATCH(ROWS($AF$2:AF903),$AF$2:$AF$1001,0),1)&gt;=100000,INDEX($AM$1005:$BM$1005,1,MATCH(COLUMNS($AM$1006:AS1006),$AM$1006:$BM$1006,0))&gt;=100000), " ",IF(INDEX($AM$2:$BM$1001,MATCH(ROWS($AF$2:AF903),$AF$2:$AF$1001,0),MATCH(COLUMNS($AM$1006:AS1006),$AM$1006:$BM$1006,0)), HYPERLINK("#",""), HYPERLINK(CONCATENATE("#metadata!", ADDRESS(INDEX($AH$2:$AH$1001,MATCH(ROWS($AF$2:AF903),$AF$2:$AF$1001,0),0), INDEX($AM$1004:$BM$1004,1,MATCH(COLUMNS($AM$1006:AS1006),$AM$1006:$BM$1006,0)))),"Fix")))</f>
        <v xml:space="preserve"> </v>
      </c>
      <c r="I903" s="4" t="str">
        <f ca="1">IF(OR(INDEX($AG$2:$AG$1001,MATCH(ROWS($AF$2:AF903),$AF$2:$AF$1001,0),1)&gt;=100000,INDEX($AM$1005:$BM$1005,1,MATCH(COLUMNS($AM$1006:AT1006),$AM$1006:$BM$1006,0))&gt;=100000), " ",IF(INDEX($AM$2:$BM$1001,MATCH(ROWS($AF$2:AF903),$AF$2:$AF$1001,0),MATCH(COLUMNS($AM$1006:AT1006),$AM$1006:$BM$1006,0)), HYPERLINK("#",""), HYPERLINK(CONCATENATE("#metadata!", ADDRESS(INDEX($AH$2:$AH$1001,MATCH(ROWS($AF$2:AF903),$AF$2:$AF$1001,0),0), INDEX($AM$1004:$BM$1004,1,MATCH(COLUMNS($AM$1006:AT1006),$AM$1006:$BM$1006,0)))),"Fix")))</f>
        <v xml:space="preserve"> </v>
      </c>
      <c r="J903" s="4" t="str">
        <f ca="1">IF(OR(INDEX($AG$2:$AG$1001,MATCH(ROWS($AF$2:AF903),$AF$2:$AF$1001,0),1)&gt;=100000,INDEX($AM$1005:$BM$1005,1,MATCH(COLUMNS($AM$1006:AU1006),$AM$1006:$BM$1006,0))&gt;=100000), " ",IF(INDEX($AM$2:$BM$1001,MATCH(ROWS($AF$2:AF903),$AF$2:$AF$1001,0),MATCH(COLUMNS($AM$1006:AU1006),$AM$1006:$BM$1006,0)), HYPERLINK("#",""), HYPERLINK(CONCATENATE("#metadata!", ADDRESS(INDEX($AH$2:$AH$1001,MATCH(ROWS($AF$2:AF903),$AF$2:$AF$1001,0),0), INDEX($AM$1004:$BM$1004,1,MATCH(COLUMNS($AM$1006:AU1006),$AM$1006:$BM$1006,0)))),"Fix")))</f>
        <v xml:space="preserve"> </v>
      </c>
      <c r="K903" s="4" t="str">
        <f ca="1">IF(OR(INDEX($AG$2:$AG$1001,MATCH(ROWS($AF$2:AF903),$AF$2:$AF$1001,0),1)&gt;=100000,INDEX($AM$1005:$BM$1005,1,MATCH(COLUMNS($AM$1006:AV1006),$AM$1006:$BM$1006,0))&gt;=100000), " ",IF(INDEX($AM$2:$BM$1001,MATCH(ROWS($AF$2:AF903),$AF$2:$AF$1001,0),MATCH(COLUMNS($AM$1006:AV1006),$AM$1006:$BM$1006,0)), HYPERLINK("#",""), HYPERLINK(CONCATENATE("#metadata!", ADDRESS(INDEX($AH$2:$AH$1001,MATCH(ROWS($AF$2:AF903),$AF$2:$AF$1001,0),0), INDEX($AM$1004:$BM$1004,1,MATCH(COLUMNS($AM$1006:AV1006),$AM$1006:$BM$1006,0)))),"Fix")))</f>
        <v xml:space="preserve"> </v>
      </c>
      <c r="L903" s="4" t="str">
        <f ca="1">IF(OR(INDEX($AG$2:$AG$1001,MATCH(ROWS($AF$2:AF903),$AF$2:$AF$1001,0),1)&gt;=100000,INDEX($AM$1005:$BM$1005,1,MATCH(COLUMNS($AM$1006:AW1006),$AM$1006:$BM$1006,0))&gt;=100000), " ",IF(INDEX($AM$2:$BM$1001,MATCH(ROWS($AF$2:AF903),$AF$2:$AF$1001,0),MATCH(COLUMNS($AM$1006:AW1006),$AM$1006:$BM$1006,0)), HYPERLINK("#",""), HYPERLINK(CONCATENATE("#metadata!", ADDRESS(INDEX($AH$2:$AH$1001,MATCH(ROWS($AF$2:AF903),$AF$2:$AF$1001,0),0), INDEX($AM$1004:$BM$1004,1,MATCH(COLUMNS($AM$1006:AW1006),$AM$1006:$BM$1006,0)))),"Fix")))</f>
        <v xml:space="preserve"> </v>
      </c>
      <c r="M903" s="4" t="str">
        <f ca="1">IF(OR(INDEX($AG$2:$AG$1001,MATCH(ROWS($AF$2:AF903),$AF$2:$AF$1001,0),1)&gt;=100000,INDEX($AM$1005:$BM$1005,1,MATCH(COLUMNS($AM$1006:AX1006),$AM$1006:$BM$1006,0))&gt;=100000), " ",IF(INDEX($AM$2:$BM$1001,MATCH(ROWS($AF$2:AF903),$AF$2:$AF$1001,0),MATCH(COLUMNS($AM$1006:AX1006),$AM$1006:$BM$1006,0)), HYPERLINK("#",""), HYPERLINK(CONCATENATE("#metadata!", ADDRESS(INDEX($AH$2:$AH$1001,MATCH(ROWS($AF$2:AF903),$AF$2:$AF$1001,0),0), INDEX($AM$1004:$BM$1004,1,MATCH(COLUMNS($AM$1006:AX1006),$AM$1006:$BM$1006,0)))),"Fix")))</f>
        <v xml:space="preserve"> </v>
      </c>
      <c r="N903" s="4" t="str">
        <f ca="1">IF(OR(INDEX($AG$2:$AG$1001,MATCH(ROWS($AF$2:AF903),$AF$2:$AF$1001,0),1)&gt;=100000,INDEX($AM$1005:$BM$1005,1,MATCH(COLUMNS($AM$1006:AY1006),$AM$1006:$BM$1006,0))&gt;=100000), " ",IF(INDEX($AM$2:$BM$1001,MATCH(ROWS($AF$2:AF903),$AF$2:$AF$1001,0),MATCH(COLUMNS($AM$1006:AY1006),$AM$1006:$BM$1006,0)), HYPERLINK("#",""), HYPERLINK(CONCATENATE("#metadata!", ADDRESS(INDEX($AH$2:$AH$1001,MATCH(ROWS($AF$2:AF903),$AF$2:$AF$1001,0),0), INDEX($AM$1004:$BM$1004,1,MATCH(COLUMNS($AM$1006:AY1006),$AM$1006:$BM$1006,0)))),"Fix")))</f>
        <v xml:space="preserve"> </v>
      </c>
      <c r="O903" s="4" t="str">
        <f ca="1">IF(OR(INDEX($AG$2:$AG$1001,MATCH(ROWS($AF$2:AF903),$AF$2:$AF$1001,0),1)&gt;=100000,INDEX($AM$1005:$BM$1005,1,MATCH(COLUMNS($AM$1006:AZ1006),$AM$1006:$BM$1006,0))&gt;=100000), " ",IF(INDEX($AM$2:$BM$1001,MATCH(ROWS($AF$2:AF903),$AF$2:$AF$1001,0),MATCH(COLUMNS($AM$1006:AZ1006),$AM$1006:$BM$1006,0)), HYPERLINK("#",""), HYPERLINK(CONCATENATE("#metadata!", ADDRESS(INDEX($AH$2:$AH$1001,MATCH(ROWS($AF$2:AF903),$AF$2:$AF$1001,0),0), INDEX($AM$1004:$BM$1004,1,MATCH(COLUMNS($AM$1006:AZ1006),$AM$1006:$BM$1006,0)))),"Fix")))</f>
        <v xml:space="preserve"> </v>
      </c>
      <c r="P903" s="4" t="str">
        <f ca="1">IF(OR(INDEX($AG$2:$AG$1001,MATCH(ROWS($AF$2:AF903),$AF$2:$AF$1001,0),1)&gt;=100000,INDEX($AM$1005:$BM$1005,1,MATCH(COLUMNS($AM$1006:BA1006),$AM$1006:$BM$1006,0))&gt;=100000), " ",IF(INDEX($AM$2:$BM$1001,MATCH(ROWS($AF$2:AF903),$AF$2:$AF$1001,0),MATCH(COLUMNS($AM$1006:BA1006),$AM$1006:$BM$1006,0)), HYPERLINK("#",""), HYPERLINK(CONCATENATE("#metadata!", ADDRESS(INDEX($AH$2:$AH$1001,MATCH(ROWS($AF$2:AF903),$AF$2:$AF$1001,0),0), INDEX($AM$1004:$BM$1004,1,MATCH(COLUMNS($AM$1006:BA1006),$AM$1006:$BM$1006,0)))),"Fix")))</f>
        <v xml:space="preserve"> </v>
      </c>
      <c r="Q903" s="4" t="str">
        <f ca="1">IF(OR(INDEX($AG$2:$AG$1001,MATCH(ROWS($AF$2:AF903),$AF$2:$AF$1001,0),1)&gt;=100000,INDEX($AM$1005:$BM$1005,1,MATCH(COLUMNS($AM$1006:BB1006),$AM$1006:$BM$1006,0))&gt;=100000), " ",IF(INDEX($AM$2:$BM$1001,MATCH(ROWS($AF$2:AF903),$AF$2:$AF$1001,0),MATCH(COLUMNS($AM$1006:BB1006),$AM$1006:$BM$1006,0)), HYPERLINK("#",""), HYPERLINK(CONCATENATE("#metadata!", ADDRESS(INDEX($AH$2:$AH$1001,MATCH(ROWS($AF$2:AF903),$AF$2:$AF$1001,0),0), INDEX($AM$1004:$BM$1004,1,MATCH(COLUMNS($AM$1006:BB1006),$AM$1006:$BM$1006,0)))),"Fix")))</f>
        <v xml:space="preserve"> </v>
      </c>
      <c r="R903" s="4" t="str">
        <f ca="1">IF(OR(INDEX($AG$2:$AG$1001,MATCH(ROWS($AF$2:AF903),$AF$2:$AF$1001,0),1)&gt;=100000,INDEX($AM$1005:$BM$1005,1,MATCH(COLUMNS($AM$1006:BC1006),$AM$1006:$BM$1006,0))&gt;=100000), " ",IF(INDEX($AM$2:$BM$1001,MATCH(ROWS($AF$2:AF903),$AF$2:$AF$1001,0),MATCH(COLUMNS($AM$1006:BC1006),$AM$1006:$BM$1006,0)), HYPERLINK("#",""), HYPERLINK(CONCATENATE("#metadata!", ADDRESS(INDEX($AH$2:$AH$1001,MATCH(ROWS($AF$2:AF903),$AF$2:$AF$1001,0),0), INDEX($AM$1004:$BM$1004,1,MATCH(COLUMNS($AM$1006:BC1006),$AM$1006:$BM$1006,0)))),"Fix")))</f>
        <v xml:space="preserve"> </v>
      </c>
      <c r="S903" s="4" t="str">
        <f ca="1">IF(OR(INDEX($AG$2:$AG$1001,MATCH(ROWS($AF$2:AF903),$AF$2:$AF$1001,0),1)&gt;=100000,INDEX($AM$1005:$BM$1005,1,MATCH(COLUMNS($AM$1006:BD1006),$AM$1006:$BM$1006,0))&gt;=100000), " ",IF(INDEX($AM$2:$BM$1001,MATCH(ROWS($AF$2:AF903),$AF$2:$AF$1001,0),MATCH(COLUMNS($AM$1006:BD1006),$AM$1006:$BM$1006,0)), HYPERLINK("#",""), HYPERLINK(CONCATENATE("#metadata!", ADDRESS(INDEX($AH$2:$AH$1001,MATCH(ROWS($AF$2:AF903),$AF$2:$AF$1001,0),0), INDEX($AM$1004:$BM$1004,1,MATCH(COLUMNS($AM$1006:BD1006),$AM$1006:$BM$1006,0)))),"Fix")))</f>
        <v xml:space="preserve"> </v>
      </c>
      <c r="T903" s="4" t="str">
        <f ca="1">IF(OR(INDEX($AG$2:$AG$1001,MATCH(ROWS($AF$2:AF903),$AF$2:$AF$1001,0),1)&gt;=100000,INDEX($AM$1005:$BM$1005,1,MATCH(COLUMNS($AM$1006:BE1006),$AM$1006:$BM$1006,0))&gt;=100000), " ",IF(INDEX($AM$2:$BM$1001,MATCH(ROWS($AF$2:AF903),$AF$2:$AF$1001,0),MATCH(COLUMNS($AM$1006:BE1006),$AM$1006:$BM$1006,0)), HYPERLINK("#",""), HYPERLINK(CONCATENATE("#metadata!", ADDRESS(INDEX($AH$2:$AH$1001,MATCH(ROWS($AF$2:AF903),$AF$2:$AF$1001,0),0), INDEX($AM$1004:$BM$1004,1,MATCH(COLUMNS($AM$1006:BE1006),$AM$1006:$BM$1006,0)))),"Fix")))</f>
        <v xml:space="preserve"> </v>
      </c>
      <c r="U903" s="4" t="str">
        <f ca="1">IF(OR(INDEX($AG$2:$AG$1001,MATCH(ROWS($AF$2:AF903),$AF$2:$AF$1001,0),1)&gt;=100000,INDEX($AM$1005:$BM$1005,1,MATCH(COLUMNS($AM$1006:BF1006),$AM$1006:$BM$1006,0))&gt;=100000), " ",IF(INDEX($AM$2:$BM$1001,MATCH(ROWS($AF$2:AF903),$AF$2:$AF$1001,0),MATCH(COLUMNS($AM$1006:BF1006),$AM$1006:$BM$1006,0)), HYPERLINK("#",""), HYPERLINK(CONCATENATE("#metadata!", ADDRESS(INDEX($AH$2:$AH$1001,MATCH(ROWS($AF$2:AF903),$AF$2:$AF$1001,0),0), INDEX($AM$1004:$BM$1004,1,MATCH(COLUMNS($AM$1006:BF1006),$AM$1006:$BM$1006,0)))),"Fix")))</f>
        <v xml:space="preserve"> </v>
      </c>
      <c r="V903" s="4" t="str">
        <f ca="1">IF(OR(INDEX($AG$2:$AG$1001,MATCH(ROWS($AF$2:AF903),$AF$2:$AF$1001,0),1)&gt;=100000,INDEX($AM$1005:$BM$1005,1,MATCH(COLUMNS($AM$1006:BG1006),$AM$1006:$BM$1006,0))&gt;=100000), " ",IF(INDEX($AM$2:$BM$1001,MATCH(ROWS($AF$2:AF903),$AF$2:$AF$1001,0),MATCH(COLUMNS($AM$1006:BG1006),$AM$1006:$BM$1006,0)), HYPERLINK("#",""), HYPERLINK(CONCATENATE("#metadata!", ADDRESS(INDEX($AH$2:$AH$1001,MATCH(ROWS($AF$2:AF903),$AF$2:$AF$1001,0),0), INDEX($AM$1004:$BM$1004,1,MATCH(COLUMNS($AM$1006:BG1006),$AM$1006:$BM$1006,0)))),"Fix")))</f>
        <v xml:space="preserve"> </v>
      </c>
      <c r="W903" s="4" t="str">
        <f ca="1">IF(OR(INDEX($AG$2:$AG$1001,MATCH(ROWS($AF$2:AF903),$AF$2:$AF$1001,0),1)&gt;=100000,INDEX($AM$1005:$BM$1005,1,MATCH(COLUMNS($AM$1006:BH1006),$AM$1006:$BM$1006,0))&gt;=100000), " ",IF(INDEX($AM$2:$BM$1001,MATCH(ROWS($AF$2:AF903),$AF$2:$AF$1001,0),MATCH(COLUMNS($AM$1006:BH1006),$AM$1006:$BM$1006,0)), HYPERLINK("#",""), HYPERLINK(CONCATENATE("#metadata!", ADDRESS(INDEX($AH$2:$AH$1001,MATCH(ROWS($AF$2:AF903),$AF$2:$AF$1001,0),0), INDEX($AM$1004:$BM$1004,1,MATCH(COLUMNS($AM$1006:BH1006),$AM$1006:$BM$1006,0)))),"Fix")))</f>
        <v xml:space="preserve"> </v>
      </c>
      <c r="X903" s="4" t="str">
        <f ca="1">IF(OR(INDEX($AG$2:$AG$1001,MATCH(ROWS($AF$2:AF903),$AF$2:$AF$1001,0),1)&gt;=100000,INDEX($AM$1005:$BM$1005,1,MATCH(COLUMNS($AM$1006:BI1006),$AM$1006:$BM$1006,0))&gt;=100000), " ",IF(INDEX($AM$2:$BM$1001,MATCH(ROWS($AF$2:AF903),$AF$2:$AF$1001,0),MATCH(COLUMNS($AM$1006:BI1006),$AM$1006:$BM$1006,0)), HYPERLINK("#",""), HYPERLINK(CONCATENATE("#metadata!", ADDRESS(INDEX($AH$2:$AH$1001,MATCH(ROWS($AF$2:AF903),$AF$2:$AF$1001,0),0), INDEX($AM$1004:$BM$1004,1,MATCH(COLUMNS($AM$1006:BI1006),$AM$1006:$BM$1006,0)))),"Fix")))</f>
        <v xml:space="preserve"> </v>
      </c>
      <c r="Y903" s="4" t="str">
        <f ca="1">IF(OR(INDEX($AG$2:$AG$1001,MATCH(ROWS($AF$2:AF903),$AF$2:$AF$1001,0),1)&gt;=100000,INDEX($AM$1005:$BM$1005,1,MATCH(COLUMNS($AM$1006:BJ1006),$AM$1006:$BM$1006,0))&gt;=100000), " ",IF(INDEX($AM$2:$BM$1001,MATCH(ROWS($AF$2:AF903),$AF$2:$AF$1001,0),MATCH(COLUMNS($AM$1006:BJ1006),$AM$1006:$BM$1006,0)), HYPERLINK("#",""), HYPERLINK(CONCATENATE("#metadata!", ADDRESS(INDEX($AH$2:$AH$1001,MATCH(ROWS($AF$2:AF903),$AF$2:$AF$1001,0),0), INDEX($AM$1004:$BM$1004,1,MATCH(COLUMNS($AM$1006:BJ1006),$AM$1006:$BM$1006,0)))),"Fix")))</f>
        <v xml:space="preserve"> </v>
      </c>
      <c r="Z903" s="4" t="str">
        <f ca="1">IF(OR(INDEX($AG$2:$AG$1001,MATCH(ROWS($AF$2:AF903),$AF$2:$AF$1001,0),1)&gt;=100000,INDEX($AM$1005:$BM$1005,1,MATCH(COLUMNS($AM$1006:BK1006),$AM$1006:$BM$1006,0))&gt;=100000), " ",IF(INDEX($AM$2:$BM$1001,MATCH(ROWS($AF$2:AF903),$AF$2:$AF$1001,0),MATCH(COLUMNS($AM$1006:BK1006),$AM$1006:$BM$1006,0)), HYPERLINK("#",""), HYPERLINK(CONCATENATE("#metadata!", ADDRESS(INDEX($AH$2:$AH$1001,MATCH(ROWS($AF$2:AF903),$AF$2:$AF$1001,0),0), INDEX($AM$1004:$BM$1004,1,MATCH(COLUMNS($AM$1006:BK1006),$AM$1006:$BM$1006,0)))),"Fix")))</f>
        <v xml:space="preserve"> </v>
      </c>
      <c r="AA903" s="4" t="str">
        <f ca="1">IF(OR(INDEX($AG$2:$AG$1001,MATCH(ROWS($AF$2:AF903),$AF$2:$AF$1001,0),1)&gt;=100000,INDEX($AM$1005:$BM$1005,1,MATCH(COLUMNS($AM$1006:BL1006),$AM$1006:$BM$1006,0))&gt;=100000), " ",IF(INDEX($AM$2:$BM$1001,MATCH(ROWS($AF$2:AF903),$AF$2:$AF$1001,0),MATCH(COLUMNS($AM$1006:BL1006),$AM$1006:$BM$1006,0)), HYPERLINK("#",""), HYPERLINK(CONCATENATE("#metadata!", ADDRESS(INDEX($AH$2:$AH$1001,MATCH(ROWS($AF$2:AF903),$AF$2:$AF$1001,0),0), INDEX($AM$1004:$BM$1004,1,MATCH(COLUMNS($AM$1006:BL1006),$AM$1006:$BM$1006,0)))),"Fix")))</f>
        <v xml:space="preserve"> </v>
      </c>
      <c r="AB903" s="4" t="str">
        <f ca="1">IF(OR(INDEX($AG$2:$AG$1001,MATCH(ROWS($AF$2:AF903),$AF$2:$AF$1001,0),1)&gt;=100000,INDEX($AM$1005:$BM$1005,1,MATCH(COLUMNS($AM$1006:BM1006),$AM$1006:$BM$1006,0))&gt;=100000), " ",IF(INDEX($AM$2:$BM$1001,MATCH(ROWS($AF$2:AF903),$AF$2:$AF$1001,0),MATCH(COLUMNS($AM$1006:BM1006),$AM$1006:$BM$1006,0)), HYPERLINK("#",""), HYPERLINK(CONCATENATE("#metadata!", ADDRESS(INDEX($AH$2:$AH$1001,MATCH(ROWS($AF$2:AF903),$AF$2:$AF$1001,0),0), INDEX($AM$1004:$BM$1004,1,MATCH(COLUMNS($AM$1006:BM1006),$AM$1006:$BM$1006,0)))),"Fix")))</f>
        <v xml:space="preserve"> </v>
      </c>
      <c r="AF903">
        <v>902</v>
      </c>
      <c r="AG903">
        <v>100903</v>
      </c>
      <c r="AH903">
        <v>903</v>
      </c>
      <c r="AI903" t="b">
        <f t="shared" si="14"/>
        <v>1</v>
      </c>
      <c r="AJ903" t="b">
        <f>COUNTBLANK(metadata!B903:AB903)=COLUMNS(metadata!B903:AB903)</f>
        <v>1</v>
      </c>
      <c r="AK903" t="str">
        <v/>
      </c>
      <c r="AM903" t="b">
        <f ca="1">AND(IF(metadata!B903="",FALSE,TRUE),COUNTIF(metadata!B:B, metadata!B903) = 1,NOT(ISERROR(SUMPRODUCT(SEARCH(MID(metadata!B903,ROW(INDIRECT("1:"&amp;LEN(metadata!B903))), 1),"0123456789abcdefghijklmnopqrstuvwxyzABCDEFGHIJKLMNOPQRSTUVWXYZ.")))))</f>
        <v>0</v>
      </c>
      <c r="AN903" t="b">
        <f ca="1">OR(AND(IF(metadata!C903="",FALSE,TRUE),OR(EXACT(metadata!C903,"missing: not collected"),EXACT(metadata!C903,"missing: not provided"),EXACT(metadata!C903,"missing: restricted access"))),AND(IF(metadata!C903="",FALSE,TRUE),AND(AND(IFERROR(INT(LEFT(metadata!C903,4))&gt;1900,FALSE),IFERROR(INT(LEFT(metadata!C903,4))&lt;=YEAR(NOW()),FALSE)), OR(MID(metadata!C903,5,1)="", AND(AND(MID(metadata!C903,5,1)="-",IFERROR(INT(MID(metadata!C903,6,1))&gt;=0,FALSE),IFERROR(INT(MID(metadata!C903,6,1))&lt;=1,FALSE),NOT(MID(metadata!C903,7,1)=""),IFERROR(INT(MID(metadata!C903,6,2))&gt;=1,FALSE),IFERROR(INT(MID(metadata!C903,6,2))&lt;=12,FALSE)), OR(MID(metadata!C903,8,1)="", AND(AND(MID(metadata!C903,8,1)="-",IFERROR(INT(MID(metadata!C903,9,1))&gt;=0,FALSE),IFERROR(INT(MID(metadata!C903,9,1))&lt;=3,FALSE),NOT(MID(metadata!C903,10,1)=""),IFERROR(INT(MID(metadata!C903,9,2))&gt;=1,FALSE),IFERROR(INT(MID(metadata!C903,9,2))&lt;=31,FALSE)), OR(MID(metadata!C903,11,1)="", AND(AND(MID(metadata!C903,11,1)=" ",IFERROR(INT(MID(metadata!C903,12,1))&gt;=0,FALSE),IFERROR(INT(MID(metadata!C903,12,1))&lt;=2,FALSE),NOT(MID(metadata!C903,13,1)=""),IFERROR(INT(MID(metadata!C903,12,2))&gt;=0,FALSE),IFERROR(INT(MID(metadata!C903,12,2))&lt;=23,FALSE)), OR(MID(metadata!C903,14,1)="", AND(AND(MID(metadata!C903,14,1)=":",IFERROR(INT(MID(metadata!C903,15,1))&gt;=0,FALSE),IFERROR(INT(MID(metadata!C903,15,1))&lt;=5,FALSE),NOT(MID(metadata!C903,16,1)=""),IFERROR(INT(MID(metadata!C903,15,2))&gt;=0,FALSE),IFERROR(INT(MID(metadata!C903,15,2))&lt;=59,FALSE)), OR(MID(metadata!C903,17,1)="", AND(AND(MID(metadata!C903,17,1)=":",IFERROR(INT(MID(metadata!C903,18,1))&gt;=0,FALSE),IFERROR(INT(MID(metadata!C903,18,1))&lt;=5,FALSE),NOT(MID(metadata!C903,19,1)=""),IFERROR(INT(MID(metadata!C903,18,2))&gt;=0,FALSE),IFERROR(INT(MID(metadata!C903,18,2))&lt;=59,FALSE)), LEN(metadata!C903)&lt;=19)))))))))))))</f>
        <v>0</v>
      </c>
      <c r="AO903" t="b">
        <f>AND(IF(metadata!D903="",FALSE,TRUE),EXACT(metadata!D903,"Not applicable"))</f>
        <v>0</v>
      </c>
      <c r="AP903" t="b">
        <f>IF(metadata!E903="",FALSE,TRUE)</f>
        <v>0</v>
      </c>
      <c r="AQ903" t="b">
        <f>OR(AND(IF(metadata!F903="",FALSE,TRUE),OR(EXACT(metadata!F903,"missing: not collected"),EXACT(metadata!F903,"missing: not provided"))),AND(IF(metadata!F903="",FALSE,TRUE),OR(EXACT(metadata!F903,"TRUE"),EXACT(metadata!F903,"FALSE"))))</f>
        <v>0</v>
      </c>
      <c r="AR903" t="b">
        <f>OR(AND(IF(metadata!G903="",FALSE,TRUE),OR(EXACT(metadata!G903,"missing: not collected"),EXACT(metadata!G903,"missing: not provided"),EXACT(metadata!G903,"missing: restricted access"))),AND(IF(metadata!G903="",FALSE,ISNUMBER(VALUE(metadata!G903))),metadata!G903&gt;=-413))</f>
        <v>0</v>
      </c>
      <c r="AS903" t="b">
        <f>AND(IF(metadata!H903="",FALSE,TRUE),EXACT(metadata!H903,"meters"))</f>
        <v>0</v>
      </c>
      <c r="AT903" t="b">
        <f>AND(IF(metadata!I903="",FALSE,TRUE),OR(EXACT(metadata!I903,"Host-associated"),EXACT(metadata!I903,"Free-living")))</f>
        <v>0</v>
      </c>
      <c r="AU903" t="b">
        <f>AND(IF(metadata!J903="",FALSE,TRUE),OR(EXACT(metadata!J903,"Animal"),EXACT(metadata!J903,"Fungus"),EXACT(metadata!J903,"Plant"),EXACT(metadata!J903,"Saline"),EXACT(metadata!J903,"Non-saline")))</f>
        <v>0</v>
      </c>
      <c r="AV903" t="b">
        <f>AND(IF(metadata!K903="",FALSE,TRUE),OR(EXACT(metadata!K903,"Plant secretion"),EXACT(metadata!K903,"Plant rhizosphere"),EXACT(metadata!K903,"Plant surface"),EXACT(metadata!K903,"Plant corpus"),EXACT(metadata!K903,"Fungus surface"),EXACT(metadata!K903,"Fungus corpus"),EXACT(metadata!K903,"Animal surface"),EXACT(metadata!K903,"Animal proximal gut"),EXACT(metadata!K903,"Animal corpus"),EXACT(metadata!K903,"Animal distal gut"),EXACT(metadata!K903,"Animal secretion"),EXACT(metadata!K903,"Sub-surface (non-saline)"),EXACT(metadata!K903,"Surface (non-saline)"),EXACT(metadata!K903,"Water (non-saline)"),EXACT(metadata!K903,"Soil (non-saline)"),EXACT(metadata!K903,"Aerosol (non-saline)"),EXACT(metadata!K903,"Sediment (non-saline)"),EXACT(metadata!K903,"Surface (saline)"),EXACT(metadata!K903,"Water (saline)"),EXACT(metadata!K903,"Hypersaline (saline)"),EXACT(metadata!K903,"Aerosol (saline)"),EXACT(metadata!K903,"Sediment (saline)")))</f>
        <v>0</v>
      </c>
      <c r="AW903" t="b">
        <f>IF(metadata!L903="",FALSE,TRUE)</f>
        <v>0</v>
      </c>
      <c r="AX903" t="b">
        <f>IF(metadata!M903="",FALSE,TRUE)</f>
        <v>0</v>
      </c>
      <c r="AY903" t="b">
        <f>IF(metadata!N903="",FALSE,TRUE)</f>
        <v>0</v>
      </c>
      <c r="AZ903" t="b">
        <f>OR(AND(IF(metadata!O903="",FALSE,TRUE),OR(EXACT(metadata!O903,"missing: not collected"),EXACT(metadata!O903,"missing: not provided"),EXACT(metadata!O903,"missing: restricted access"))),AND(IF(metadata!O903="",FALSE,TRUE),OR(EXACT(metadata!O903,"air"),EXACT(metadata!O903,"built environment"),EXACT(metadata!O903,"host-associated"),EXACT(metadata!O903,"human-associated"),EXACT(metadata!O903,"human-skin"),EXACT(metadata!O903,"human-oral"),EXACT(metadata!O903,"human-gut"),EXACT(metadata!O903,"human-vaginal"),EXACT(metadata!O903,"microbial mat/biofilm"),EXACT(metadata!O903,"misc environment"),EXACT(metadata!O903,"plant-associated"),EXACT(metadata!O903,"sediment"),EXACT(metadata!O903,"soil"),EXACT(metadata!O903,"wastewater/sludge"),EXACT(metadata!O903,"water"))))</f>
        <v>0</v>
      </c>
      <c r="BA903" t="b">
        <f>IF(metadata!P903="",FALSE,TRUE)</f>
        <v>0</v>
      </c>
      <c r="BB903" t="b">
        <f>IF(metadata!Q903="",FALSE,TRUE)</f>
        <v>0</v>
      </c>
      <c r="BC903" t="b">
        <f>OR(AND(IF(metadata!R903="",FALSE,TRUE),OR(EXACT(metadata!R903,"missing: not collected"),EXACT(metadata!R903,"missing: not provided"),EXACT(metadata!R903,"missing: restricted access"))),AND(IF(metadata!R903="",FALSE,ISNUMBER(VALUE(metadata!R903))),metadata!R903&gt;=-90,metadata!R903&lt;=90))</f>
        <v>0</v>
      </c>
      <c r="BD903" t="b">
        <f>AND(IF(metadata!S903="",FALSE,TRUE),EXACT(metadata!S903,"Decimal degrees"))</f>
        <v>0</v>
      </c>
      <c r="BE903" t="b">
        <f>OR(AND(IF(metadata!T903="",FALSE,TRUE),OR(EXACT(metadata!T903,"missing: not collected"),EXACT(metadata!T903,"missing: not provided"),EXACT(metadata!T903,"missing: restricted access"))),AND(IF(metadata!T903="",FALSE,ISNUMBER(VALUE(metadata!T903))),metadata!T903&gt;=-180,metadata!T903&lt;=180))</f>
        <v>0</v>
      </c>
      <c r="BF903" t="b">
        <f>AND(IF(metadata!U903="",FALSE,TRUE),EXACT(metadata!U903,"Decimal degrees"))</f>
        <v>0</v>
      </c>
      <c r="BG903" t="b">
        <f>IF(metadata!V903="",FALSE,TRUE)</f>
        <v>0</v>
      </c>
      <c r="BH903" t="b">
        <f>OR(AND(IF(metadata!W903="",FALSE,TRUE),OR(EXACT(metadata!W903,"missing: not collected"),EXACT(metadata!W903,"missing: not provided"),EXACT(metadata!W903,"missing: restricted access"))),AND(IF(metadata!W903="",FALSE,TRUE),OR(EXACT(metadata!W903,"TRUE"),EXACT(metadata!W903,"FALSE"))))</f>
        <v>0</v>
      </c>
      <c r="BI903" t="b">
        <f>AND(IF(metadata!X903="",FALSE,TRUE),EXACT(metadata!X903,"other"))</f>
        <v>0</v>
      </c>
      <c r="BJ903" t="b">
        <f>IF(metadata!Y903="",FALSE,TRUE)</f>
        <v>0</v>
      </c>
      <c r="BK903" t="b">
        <f>OR(AND(IF(metadata!Z903="",FALSE,TRUE),OR(EXACT(metadata!Z903,"missing: not collected"),EXACT(metadata!Z903,"missing: not provided"))),AND(IF(metadata!Z903="",FALSE,IF(ISERROR(INT(metadata!Z903)),FALSE,INT(metadata!Z903)=metadata!Z903)),metadata!Z903&gt;0))</f>
        <v>0</v>
      </c>
      <c r="BL903" t="b">
        <f>AND(IF(metadata!AA903="",FALSE,TRUE),EXACT(metadata!AA903,"Not applicable"))</f>
        <v>0</v>
      </c>
      <c r="BM903" t="b">
        <f>IF(metadata!AB903="",FALSE,TRUE)</f>
        <v>0</v>
      </c>
    </row>
    <row r="904" spans="1:65" x14ac:dyDescent="0.2">
      <c r="A904" s="5" t="str">
        <f ca="1">IF(B904=" "," ",HYPERLINK(CONCATENATE("#metadata!",ADDRESS(INDEX($AH$2:$AH$1001,MATCH(ROWS($AF$2:AF904),$AF$2:$AF$1001,0),0),1)),INDEX($AK$2:$AK$1001,MATCH(ROWS($AF$2:AF904),$AF$2:$AF$1001,0),0)))</f>
        <v xml:space="preserve"> </v>
      </c>
      <c r="B904" s="4" t="str">
        <f ca="1">IF(OR(INDEX($AG$2:$AG$1001,MATCH(ROWS($AF$2:AF904),$AF$2:$AF$1001,0),1)&gt;=100000,INDEX($AM$1005:$BM$1005,1,MATCH(COLUMNS($AM$1006:AM1006),$AM$1006:$BM$1006,0))&gt;=100000), " ",IF(INDEX($AM$2:$BM$1001,MATCH(ROWS($AF$2:AF904),$AF$2:$AF$1001,0),MATCH(COLUMNS($AM$1006:AM1006),$AM$1006:$BM$1006,0)), HYPERLINK("#",""), HYPERLINK(CONCATENATE("#metadata!", ADDRESS(INDEX($AH$2:$AH$1001,MATCH(ROWS($AF$2:AF904),$AF$2:$AF$1001,0),0), INDEX($AM$1004:$BM$1004,1,MATCH(COLUMNS($AM$1006:AM1006),$AM$1006:$BM$1006,0)))),"Fix")))</f>
        <v xml:space="preserve"> </v>
      </c>
      <c r="C904" s="4" t="str">
        <f ca="1">IF(OR(INDEX($AG$2:$AG$1001,MATCH(ROWS($AF$2:AF904),$AF$2:$AF$1001,0),1)&gt;=100000,INDEX($AM$1005:$BM$1005,1,MATCH(COLUMNS($AM$1006:AN1006),$AM$1006:$BM$1006,0))&gt;=100000), " ",IF(INDEX($AM$2:$BM$1001,MATCH(ROWS($AF$2:AF904),$AF$2:$AF$1001,0),MATCH(COLUMNS($AM$1006:AN1006),$AM$1006:$BM$1006,0)), HYPERLINK("#",""), HYPERLINK(CONCATENATE("#metadata!", ADDRESS(INDEX($AH$2:$AH$1001,MATCH(ROWS($AF$2:AF904),$AF$2:$AF$1001,0),0), INDEX($AM$1004:$BM$1004,1,MATCH(COLUMNS($AM$1006:AN1006),$AM$1006:$BM$1006,0)))),"Fix")))</f>
        <v xml:space="preserve"> </v>
      </c>
      <c r="D904" s="4" t="str">
        <f ca="1">IF(OR(INDEX($AG$2:$AG$1001,MATCH(ROWS($AF$2:AF904),$AF$2:$AF$1001,0),1)&gt;=100000,INDEX($AM$1005:$BM$1005,1,MATCH(COLUMNS($AM$1006:AO1006),$AM$1006:$BM$1006,0))&gt;=100000), " ",IF(INDEX($AM$2:$BM$1001,MATCH(ROWS($AF$2:AF904),$AF$2:$AF$1001,0),MATCH(COLUMNS($AM$1006:AO1006),$AM$1006:$BM$1006,0)), HYPERLINK("#",""), HYPERLINK(CONCATENATE("#metadata!", ADDRESS(INDEX($AH$2:$AH$1001,MATCH(ROWS($AF$2:AF904),$AF$2:$AF$1001,0),0), INDEX($AM$1004:$BM$1004,1,MATCH(COLUMNS($AM$1006:AO1006),$AM$1006:$BM$1006,0)))),"Fix")))</f>
        <v xml:space="preserve"> </v>
      </c>
      <c r="E904" s="4" t="str">
        <f ca="1">IF(OR(INDEX($AG$2:$AG$1001,MATCH(ROWS($AF$2:AF904),$AF$2:$AF$1001,0),1)&gt;=100000,INDEX($AM$1005:$BM$1005,1,MATCH(COLUMNS($AM$1006:AP1006),$AM$1006:$BM$1006,0))&gt;=100000), " ",IF(INDEX($AM$2:$BM$1001,MATCH(ROWS($AF$2:AF904),$AF$2:$AF$1001,0),MATCH(COLUMNS($AM$1006:AP1006),$AM$1006:$BM$1006,0)), HYPERLINK("#",""), HYPERLINK(CONCATENATE("#metadata!", ADDRESS(INDEX($AH$2:$AH$1001,MATCH(ROWS($AF$2:AF904),$AF$2:$AF$1001,0),0), INDEX($AM$1004:$BM$1004,1,MATCH(COLUMNS($AM$1006:AP1006),$AM$1006:$BM$1006,0)))),"Fix")))</f>
        <v xml:space="preserve"> </v>
      </c>
      <c r="F904" s="4" t="str">
        <f ca="1">IF(OR(INDEX($AG$2:$AG$1001,MATCH(ROWS($AF$2:AF904),$AF$2:$AF$1001,0),1)&gt;=100000,INDEX($AM$1005:$BM$1005,1,MATCH(COLUMNS($AM$1006:AQ1006),$AM$1006:$BM$1006,0))&gt;=100000), " ",IF(INDEX($AM$2:$BM$1001,MATCH(ROWS($AF$2:AF904),$AF$2:$AF$1001,0),MATCH(COLUMNS($AM$1006:AQ1006),$AM$1006:$BM$1006,0)), HYPERLINK("#",""), HYPERLINK(CONCATENATE("#metadata!", ADDRESS(INDEX($AH$2:$AH$1001,MATCH(ROWS($AF$2:AF904),$AF$2:$AF$1001,0),0), INDEX($AM$1004:$BM$1004,1,MATCH(COLUMNS($AM$1006:AQ1006),$AM$1006:$BM$1006,0)))),"Fix")))</f>
        <v xml:space="preserve"> </v>
      </c>
      <c r="G904" s="4" t="str">
        <f ca="1">IF(OR(INDEX($AG$2:$AG$1001,MATCH(ROWS($AF$2:AF904),$AF$2:$AF$1001,0),1)&gt;=100000,INDEX($AM$1005:$BM$1005,1,MATCH(COLUMNS($AM$1006:AR1006),$AM$1006:$BM$1006,0))&gt;=100000), " ",IF(INDEX($AM$2:$BM$1001,MATCH(ROWS($AF$2:AF904),$AF$2:$AF$1001,0),MATCH(COLUMNS($AM$1006:AR1006),$AM$1006:$BM$1006,0)), HYPERLINK("#",""), HYPERLINK(CONCATENATE("#metadata!", ADDRESS(INDEX($AH$2:$AH$1001,MATCH(ROWS($AF$2:AF904),$AF$2:$AF$1001,0),0), INDEX($AM$1004:$BM$1004,1,MATCH(COLUMNS($AM$1006:AR1006),$AM$1006:$BM$1006,0)))),"Fix")))</f>
        <v xml:space="preserve"> </v>
      </c>
      <c r="H904" s="4" t="str">
        <f ca="1">IF(OR(INDEX($AG$2:$AG$1001,MATCH(ROWS($AF$2:AF904),$AF$2:$AF$1001,0),1)&gt;=100000,INDEX($AM$1005:$BM$1005,1,MATCH(COLUMNS($AM$1006:AS1006),$AM$1006:$BM$1006,0))&gt;=100000), " ",IF(INDEX($AM$2:$BM$1001,MATCH(ROWS($AF$2:AF904),$AF$2:$AF$1001,0),MATCH(COLUMNS($AM$1006:AS1006),$AM$1006:$BM$1006,0)), HYPERLINK("#",""), HYPERLINK(CONCATENATE("#metadata!", ADDRESS(INDEX($AH$2:$AH$1001,MATCH(ROWS($AF$2:AF904),$AF$2:$AF$1001,0),0), INDEX($AM$1004:$BM$1004,1,MATCH(COLUMNS($AM$1006:AS1006),$AM$1006:$BM$1006,0)))),"Fix")))</f>
        <v xml:space="preserve"> </v>
      </c>
      <c r="I904" s="4" t="str">
        <f ca="1">IF(OR(INDEX($AG$2:$AG$1001,MATCH(ROWS($AF$2:AF904),$AF$2:$AF$1001,0),1)&gt;=100000,INDEX($AM$1005:$BM$1005,1,MATCH(COLUMNS($AM$1006:AT1006),$AM$1006:$BM$1006,0))&gt;=100000), " ",IF(INDEX($AM$2:$BM$1001,MATCH(ROWS($AF$2:AF904),$AF$2:$AF$1001,0),MATCH(COLUMNS($AM$1006:AT1006),$AM$1006:$BM$1006,0)), HYPERLINK("#",""), HYPERLINK(CONCATENATE("#metadata!", ADDRESS(INDEX($AH$2:$AH$1001,MATCH(ROWS($AF$2:AF904),$AF$2:$AF$1001,0),0), INDEX($AM$1004:$BM$1004,1,MATCH(COLUMNS($AM$1006:AT1006),$AM$1006:$BM$1006,0)))),"Fix")))</f>
        <v xml:space="preserve"> </v>
      </c>
      <c r="J904" s="4" t="str">
        <f ca="1">IF(OR(INDEX($AG$2:$AG$1001,MATCH(ROWS($AF$2:AF904),$AF$2:$AF$1001,0),1)&gt;=100000,INDEX($AM$1005:$BM$1005,1,MATCH(COLUMNS($AM$1006:AU1006),$AM$1006:$BM$1006,0))&gt;=100000), " ",IF(INDEX($AM$2:$BM$1001,MATCH(ROWS($AF$2:AF904),$AF$2:$AF$1001,0),MATCH(COLUMNS($AM$1006:AU1006),$AM$1006:$BM$1006,0)), HYPERLINK("#",""), HYPERLINK(CONCATENATE("#metadata!", ADDRESS(INDEX($AH$2:$AH$1001,MATCH(ROWS($AF$2:AF904),$AF$2:$AF$1001,0),0), INDEX($AM$1004:$BM$1004,1,MATCH(COLUMNS($AM$1006:AU1006),$AM$1006:$BM$1006,0)))),"Fix")))</f>
        <v xml:space="preserve"> </v>
      </c>
      <c r="K904" s="4" t="str">
        <f ca="1">IF(OR(INDEX($AG$2:$AG$1001,MATCH(ROWS($AF$2:AF904),$AF$2:$AF$1001,0),1)&gt;=100000,INDEX($AM$1005:$BM$1005,1,MATCH(COLUMNS($AM$1006:AV1006),$AM$1006:$BM$1006,0))&gt;=100000), " ",IF(INDEX($AM$2:$BM$1001,MATCH(ROWS($AF$2:AF904),$AF$2:$AF$1001,0),MATCH(COLUMNS($AM$1006:AV1006),$AM$1006:$BM$1006,0)), HYPERLINK("#",""), HYPERLINK(CONCATENATE("#metadata!", ADDRESS(INDEX($AH$2:$AH$1001,MATCH(ROWS($AF$2:AF904),$AF$2:$AF$1001,0),0), INDEX($AM$1004:$BM$1004,1,MATCH(COLUMNS($AM$1006:AV1006),$AM$1006:$BM$1006,0)))),"Fix")))</f>
        <v xml:space="preserve"> </v>
      </c>
      <c r="L904" s="4" t="str">
        <f ca="1">IF(OR(INDEX($AG$2:$AG$1001,MATCH(ROWS($AF$2:AF904),$AF$2:$AF$1001,0),1)&gt;=100000,INDEX($AM$1005:$BM$1005,1,MATCH(COLUMNS($AM$1006:AW1006),$AM$1006:$BM$1006,0))&gt;=100000), " ",IF(INDEX($AM$2:$BM$1001,MATCH(ROWS($AF$2:AF904),$AF$2:$AF$1001,0),MATCH(COLUMNS($AM$1006:AW1006),$AM$1006:$BM$1006,0)), HYPERLINK("#",""), HYPERLINK(CONCATENATE("#metadata!", ADDRESS(INDEX($AH$2:$AH$1001,MATCH(ROWS($AF$2:AF904),$AF$2:$AF$1001,0),0), INDEX($AM$1004:$BM$1004,1,MATCH(COLUMNS($AM$1006:AW1006),$AM$1006:$BM$1006,0)))),"Fix")))</f>
        <v xml:space="preserve"> </v>
      </c>
      <c r="M904" s="4" t="str">
        <f ca="1">IF(OR(INDEX($AG$2:$AG$1001,MATCH(ROWS($AF$2:AF904),$AF$2:$AF$1001,0),1)&gt;=100000,INDEX($AM$1005:$BM$1005,1,MATCH(COLUMNS($AM$1006:AX1006),$AM$1006:$BM$1006,0))&gt;=100000), " ",IF(INDEX($AM$2:$BM$1001,MATCH(ROWS($AF$2:AF904),$AF$2:$AF$1001,0),MATCH(COLUMNS($AM$1006:AX1006),$AM$1006:$BM$1006,0)), HYPERLINK("#",""), HYPERLINK(CONCATENATE("#metadata!", ADDRESS(INDEX($AH$2:$AH$1001,MATCH(ROWS($AF$2:AF904),$AF$2:$AF$1001,0),0), INDEX($AM$1004:$BM$1004,1,MATCH(COLUMNS($AM$1006:AX1006),$AM$1006:$BM$1006,0)))),"Fix")))</f>
        <v xml:space="preserve"> </v>
      </c>
      <c r="N904" s="4" t="str">
        <f ca="1">IF(OR(INDEX($AG$2:$AG$1001,MATCH(ROWS($AF$2:AF904),$AF$2:$AF$1001,0),1)&gt;=100000,INDEX($AM$1005:$BM$1005,1,MATCH(COLUMNS($AM$1006:AY1006),$AM$1006:$BM$1006,0))&gt;=100000), " ",IF(INDEX($AM$2:$BM$1001,MATCH(ROWS($AF$2:AF904),$AF$2:$AF$1001,0),MATCH(COLUMNS($AM$1006:AY1006),$AM$1006:$BM$1006,0)), HYPERLINK("#",""), HYPERLINK(CONCATENATE("#metadata!", ADDRESS(INDEX($AH$2:$AH$1001,MATCH(ROWS($AF$2:AF904),$AF$2:$AF$1001,0),0), INDEX($AM$1004:$BM$1004,1,MATCH(COLUMNS($AM$1006:AY1006),$AM$1006:$BM$1006,0)))),"Fix")))</f>
        <v xml:space="preserve"> </v>
      </c>
      <c r="O904" s="4" t="str">
        <f ca="1">IF(OR(INDEX($AG$2:$AG$1001,MATCH(ROWS($AF$2:AF904),$AF$2:$AF$1001,0),1)&gt;=100000,INDEX($AM$1005:$BM$1005,1,MATCH(COLUMNS($AM$1006:AZ1006),$AM$1006:$BM$1006,0))&gt;=100000), " ",IF(INDEX($AM$2:$BM$1001,MATCH(ROWS($AF$2:AF904),$AF$2:$AF$1001,0),MATCH(COLUMNS($AM$1006:AZ1006),$AM$1006:$BM$1006,0)), HYPERLINK("#",""), HYPERLINK(CONCATENATE("#metadata!", ADDRESS(INDEX($AH$2:$AH$1001,MATCH(ROWS($AF$2:AF904),$AF$2:$AF$1001,0),0), INDEX($AM$1004:$BM$1004,1,MATCH(COLUMNS($AM$1006:AZ1006),$AM$1006:$BM$1006,0)))),"Fix")))</f>
        <v xml:space="preserve"> </v>
      </c>
      <c r="P904" s="4" t="str">
        <f ca="1">IF(OR(INDEX($AG$2:$AG$1001,MATCH(ROWS($AF$2:AF904),$AF$2:$AF$1001,0),1)&gt;=100000,INDEX($AM$1005:$BM$1005,1,MATCH(COLUMNS($AM$1006:BA1006),$AM$1006:$BM$1006,0))&gt;=100000), " ",IF(INDEX($AM$2:$BM$1001,MATCH(ROWS($AF$2:AF904),$AF$2:$AF$1001,0),MATCH(COLUMNS($AM$1006:BA1006),$AM$1006:$BM$1006,0)), HYPERLINK("#",""), HYPERLINK(CONCATENATE("#metadata!", ADDRESS(INDEX($AH$2:$AH$1001,MATCH(ROWS($AF$2:AF904),$AF$2:$AF$1001,0),0), INDEX($AM$1004:$BM$1004,1,MATCH(COLUMNS($AM$1006:BA1006),$AM$1006:$BM$1006,0)))),"Fix")))</f>
        <v xml:space="preserve"> </v>
      </c>
      <c r="Q904" s="4" t="str">
        <f ca="1">IF(OR(INDEX($AG$2:$AG$1001,MATCH(ROWS($AF$2:AF904),$AF$2:$AF$1001,0),1)&gt;=100000,INDEX($AM$1005:$BM$1005,1,MATCH(COLUMNS($AM$1006:BB1006),$AM$1006:$BM$1006,0))&gt;=100000), " ",IF(INDEX($AM$2:$BM$1001,MATCH(ROWS($AF$2:AF904),$AF$2:$AF$1001,0),MATCH(COLUMNS($AM$1006:BB1006),$AM$1006:$BM$1006,0)), HYPERLINK("#",""), HYPERLINK(CONCATENATE("#metadata!", ADDRESS(INDEX($AH$2:$AH$1001,MATCH(ROWS($AF$2:AF904),$AF$2:$AF$1001,0),0), INDEX($AM$1004:$BM$1004,1,MATCH(COLUMNS($AM$1006:BB1006),$AM$1006:$BM$1006,0)))),"Fix")))</f>
        <v xml:space="preserve"> </v>
      </c>
      <c r="R904" s="4" t="str">
        <f ca="1">IF(OR(INDEX($AG$2:$AG$1001,MATCH(ROWS($AF$2:AF904),$AF$2:$AF$1001,0),1)&gt;=100000,INDEX($AM$1005:$BM$1005,1,MATCH(COLUMNS($AM$1006:BC1006),$AM$1006:$BM$1006,0))&gt;=100000), " ",IF(INDEX($AM$2:$BM$1001,MATCH(ROWS($AF$2:AF904),$AF$2:$AF$1001,0),MATCH(COLUMNS($AM$1006:BC1006),$AM$1006:$BM$1006,0)), HYPERLINK("#",""), HYPERLINK(CONCATENATE("#metadata!", ADDRESS(INDEX($AH$2:$AH$1001,MATCH(ROWS($AF$2:AF904),$AF$2:$AF$1001,0),0), INDEX($AM$1004:$BM$1004,1,MATCH(COLUMNS($AM$1006:BC1006),$AM$1006:$BM$1006,0)))),"Fix")))</f>
        <v xml:space="preserve"> </v>
      </c>
      <c r="S904" s="4" t="str">
        <f ca="1">IF(OR(INDEX($AG$2:$AG$1001,MATCH(ROWS($AF$2:AF904),$AF$2:$AF$1001,0),1)&gt;=100000,INDEX($AM$1005:$BM$1005,1,MATCH(COLUMNS($AM$1006:BD1006),$AM$1006:$BM$1006,0))&gt;=100000), " ",IF(INDEX($AM$2:$BM$1001,MATCH(ROWS($AF$2:AF904),$AF$2:$AF$1001,0),MATCH(COLUMNS($AM$1006:BD1006),$AM$1006:$BM$1006,0)), HYPERLINK("#",""), HYPERLINK(CONCATENATE("#metadata!", ADDRESS(INDEX($AH$2:$AH$1001,MATCH(ROWS($AF$2:AF904),$AF$2:$AF$1001,0),0), INDEX($AM$1004:$BM$1004,1,MATCH(COLUMNS($AM$1006:BD1006),$AM$1006:$BM$1006,0)))),"Fix")))</f>
        <v xml:space="preserve"> </v>
      </c>
      <c r="T904" s="4" t="str">
        <f ca="1">IF(OR(INDEX($AG$2:$AG$1001,MATCH(ROWS($AF$2:AF904),$AF$2:$AF$1001,0),1)&gt;=100000,INDEX($AM$1005:$BM$1005,1,MATCH(COLUMNS($AM$1006:BE1006),$AM$1006:$BM$1006,0))&gt;=100000), " ",IF(INDEX($AM$2:$BM$1001,MATCH(ROWS($AF$2:AF904),$AF$2:$AF$1001,0),MATCH(COLUMNS($AM$1006:BE1006),$AM$1006:$BM$1006,0)), HYPERLINK("#",""), HYPERLINK(CONCATENATE("#metadata!", ADDRESS(INDEX($AH$2:$AH$1001,MATCH(ROWS($AF$2:AF904),$AF$2:$AF$1001,0),0), INDEX($AM$1004:$BM$1004,1,MATCH(COLUMNS($AM$1006:BE1006),$AM$1006:$BM$1006,0)))),"Fix")))</f>
        <v xml:space="preserve"> </v>
      </c>
      <c r="U904" s="4" t="str">
        <f ca="1">IF(OR(INDEX($AG$2:$AG$1001,MATCH(ROWS($AF$2:AF904),$AF$2:$AF$1001,0),1)&gt;=100000,INDEX($AM$1005:$BM$1005,1,MATCH(COLUMNS($AM$1006:BF1006),$AM$1006:$BM$1006,0))&gt;=100000), " ",IF(INDEX($AM$2:$BM$1001,MATCH(ROWS($AF$2:AF904),$AF$2:$AF$1001,0),MATCH(COLUMNS($AM$1006:BF1006),$AM$1006:$BM$1006,0)), HYPERLINK("#",""), HYPERLINK(CONCATENATE("#metadata!", ADDRESS(INDEX($AH$2:$AH$1001,MATCH(ROWS($AF$2:AF904),$AF$2:$AF$1001,0),0), INDEX($AM$1004:$BM$1004,1,MATCH(COLUMNS($AM$1006:BF1006),$AM$1006:$BM$1006,0)))),"Fix")))</f>
        <v xml:space="preserve"> </v>
      </c>
      <c r="V904" s="4" t="str">
        <f ca="1">IF(OR(INDEX($AG$2:$AG$1001,MATCH(ROWS($AF$2:AF904),$AF$2:$AF$1001,0),1)&gt;=100000,INDEX($AM$1005:$BM$1005,1,MATCH(COLUMNS($AM$1006:BG1006),$AM$1006:$BM$1006,0))&gt;=100000), " ",IF(INDEX($AM$2:$BM$1001,MATCH(ROWS($AF$2:AF904),$AF$2:$AF$1001,0),MATCH(COLUMNS($AM$1006:BG1006),$AM$1006:$BM$1006,0)), HYPERLINK("#",""), HYPERLINK(CONCATENATE("#metadata!", ADDRESS(INDEX($AH$2:$AH$1001,MATCH(ROWS($AF$2:AF904),$AF$2:$AF$1001,0),0), INDEX($AM$1004:$BM$1004,1,MATCH(COLUMNS($AM$1006:BG1006),$AM$1006:$BM$1006,0)))),"Fix")))</f>
        <v xml:space="preserve"> </v>
      </c>
      <c r="W904" s="4" t="str">
        <f ca="1">IF(OR(INDEX($AG$2:$AG$1001,MATCH(ROWS($AF$2:AF904),$AF$2:$AF$1001,0),1)&gt;=100000,INDEX($AM$1005:$BM$1005,1,MATCH(COLUMNS($AM$1006:BH1006),$AM$1006:$BM$1006,0))&gt;=100000), " ",IF(INDEX($AM$2:$BM$1001,MATCH(ROWS($AF$2:AF904),$AF$2:$AF$1001,0),MATCH(COLUMNS($AM$1006:BH1006),$AM$1006:$BM$1006,0)), HYPERLINK("#",""), HYPERLINK(CONCATENATE("#metadata!", ADDRESS(INDEX($AH$2:$AH$1001,MATCH(ROWS($AF$2:AF904),$AF$2:$AF$1001,0),0), INDEX($AM$1004:$BM$1004,1,MATCH(COLUMNS($AM$1006:BH1006),$AM$1006:$BM$1006,0)))),"Fix")))</f>
        <v xml:space="preserve"> </v>
      </c>
      <c r="X904" s="4" t="str">
        <f ca="1">IF(OR(INDEX($AG$2:$AG$1001,MATCH(ROWS($AF$2:AF904),$AF$2:$AF$1001,0),1)&gt;=100000,INDEX($AM$1005:$BM$1005,1,MATCH(COLUMNS($AM$1006:BI1006),$AM$1006:$BM$1006,0))&gt;=100000), " ",IF(INDEX($AM$2:$BM$1001,MATCH(ROWS($AF$2:AF904),$AF$2:$AF$1001,0),MATCH(COLUMNS($AM$1006:BI1006),$AM$1006:$BM$1006,0)), HYPERLINK("#",""), HYPERLINK(CONCATENATE("#metadata!", ADDRESS(INDEX($AH$2:$AH$1001,MATCH(ROWS($AF$2:AF904),$AF$2:$AF$1001,0),0), INDEX($AM$1004:$BM$1004,1,MATCH(COLUMNS($AM$1006:BI1006),$AM$1006:$BM$1006,0)))),"Fix")))</f>
        <v xml:space="preserve"> </v>
      </c>
      <c r="Y904" s="4" t="str">
        <f ca="1">IF(OR(INDEX($AG$2:$AG$1001,MATCH(ROWS($AF$2:AF904),$AF$2:$AF$1001,0),1)&gt;=100000,INDEX($AM$1005:$BM$1005,1,MATCH(COLUMNS($AM$1006:BJ1006),$AM$1006:$BM$1006,0))&gt;=100000), " ",IF(INDEX($AM$2:$BM$1001,MATCH(ROWS($AF$2:AF904),$AF$2:$AF$1001,0),MATCH(COLUMNS($AM$1006:BJ1006),$AM$1006:$BM$1006,0)), HYPERLINK("#",""), HYPERLINK(CONCATENATE("#metadata!", ADDRESS(INDEX($AH$2:$AH$1001,MATCH(ROWS($AF$2:AF904),$AF$2:$AF$1001,0),0), INDEX($AM$1004:$BM$1004,1,MATCH(COLUMNS($AM$1006:BJ1006),$AM$1006:$BM$1006,0)))),"Fix")))</f>
        <v xml:space="preserve"> </v>
      </c>
      <c r="Z904" s="4" t="str">
        <f ca="1">IF(OR(INDEX($AG$2:$AG$1001,MATCH(ROWS($AF$2:AF904),$AF$2:$AF$1001,0),1)&gt;=100000,INDEX($AM$1005:$BM$1005,1,MATCH(COLUMNS($AM$1006:BK1006),$AM$1006:$BM$1006,0))&gt;=100000), " ",IF(INDEX($AM$2:$BM$1001,MATCH(ROWS($AF$2:AF904),$AF$2:$AF$1001,0),MATCH(COLUMNS($AM$1006:BK1006),$AM$1006:$BM$1006,0)), HYPERLINK("#",""), HYPERLINK(CONCATENATE("#metadata!", ADDRESS(INDEX($AH$2:$AH$1001,MATCH(ROWS($AF$2:AF904),$AF$2:$AF$1001,0),0), INDEX($AM$1004:$BM$1004,1,MATCH(COLUMNS($AM$1006:BK1006),$AM$1006:$BM$1006,0)))),"Fix")))</f>
        <v xml:space="preserve"> </v>
      </c>
      <c r="AA904" s="4" t="str">
        <f ca="1">IF(OR(INDEX($AG$2:$AG$1001,MATCH(ROWS($AF$2:AF904),$AF$2:$AF$1001,0),1)&gt;=100000,INDEX($AM$1005:$BM$1005,1,MATCH(COLUMNS($AM$1006:BL1006),$AM$1006:$BM$1006,0))&gt;=100000), " ",IF(INDEX($AM$2:$BM$1001,MATCH(ROWS($AF$2:AF904),$AF$2:$AF$1001,0),MATCH(COLUMNS($AM$1006:BL1006),$AM$1006:$BM$1006,0)), HYPERLINK("#",""), HYPERLINK(CONCATENATE("#metadata!", ADDRESS(INDEX($AH$2:$AH$1001,MATCH(ROWS($AF$2:AF904),$AF$2:$AF$1001,0),0), INDEX($AM$1004:$BM$1004,1,MATCH(COLUMNS($AM$1006:BL1006),$AM$1006:$BM$1006,0)))),"Fix")))</f>
        <v xml:space="preserve"> </v>
      </c>
      <c r="AB904" s="4" t="str">
        <f ca="1">IF(OR(INDEX($AG$2:$AG$1001,MATCH(ROWS($AF$2:AF904),$AF$2:$AF$1001,0),1)&gt;=100000,INDEX($AM$1005:$BM$1005,1,MATCH(COLUMNS($AM$1006:BM1006),$AM$1006:$BM$1006,0))&gt;=100000), " ",IF(INDEX($AM$2:$BM$1001,MATCH(ROWS($AF$2:AF904),$AF$2:$AF$1001,0),MATCH(COLUMNS($AM$1006:BM1006),$AM$1006:$BM$1006,0)), HYPERLINK("#",""), HYPERLINK(CONCATENATE("#metadata!", ADDRESS(INDEX($AH$2:$AH$1001,MATCH(ROWS($AF$2:AF904),$AF$2:$AF$1001,0),0), INDEX($AM$1004:$BM$1004,1,MATCH(COLUMNS($AM$1006:BM1006),$AM$1006:$BM$1006,0)))),"Fix")))</f>
        <v xml:space="preserve"> </v>
      </c>
      <c r="AF904">
        <v>903</v>
      </c>
      <c r="AG904">
        <v>100904</v>
      </c>
      <c r="AH904">
        <v>904</v>
      </c>
      <c r="AI904" t="b">
        <f t="shared" si="14"/>
        <v>1</v>
      </c>
      <c r="AJ904" t="b">
        <f>COUNTBLANK(metadata!B904:AB904)=COLUMNS(metadata!B904:AB904)</f>
        <v>1</v>
      </c>
      <c r="AK904" t="str">
        <v/>
      </c>
      <c r="AM904" t="b">
        <f ca="1">AND(IF(metadata!B904="",FALSE,TRUE),COUNTIF(metadata!B:B, metadata!B904) = 1,NOT(ISERROR(SUMPRODUCT(SEARCH(MID(metadata!B904,ROW(INDIRECT("1:"&amp;LEN(metadata!B904))), 1),"0123456789abcdefghijklmnopqrstuvwxyzABCDEFGHIJKLMNOPQRSTUVWXYZ.")))))</f>
        <v>0</v>
      </c>
      <c r="AN904" t="b">
        <f ca="1">OR(AND(IF(metadata!C904="",FALSE,TRUE),OR(EXACT(metadata!C904,"missing: not collected"),EXACT(metadata!C904,"missing: not provided"),EXACT(metadata!C904,"missing: restricted access"))),AND(IF(metadata!C904="",FALSE,TRUE),AND(AND(IFERROR(INT(LEFT(metadata!C904,4))&gt;1900,FALSE),IFERROR(INT(LEFT(metadata!C904,4))&lt;=YEAR(NOW()),FALSE)), OR(MID(metadata!C904,5,1)="", AND(AND(MID(metadata!C904,5,1)="-",IFERROR(INT(MID(metadata!C904,6,1))&gt;=0,FALSE),IFERROR(INT(MID(metadata!C904,6,1))&lt;=1,FALSE),NOT(MID(metadata!C904,7,1)=""),IFERROR(INT(MID(metadata!C904,6,2))&gt;=1,FALSE),IFERROR(INT(MID(metadata!C904,6,2))&lt;=12,FALSE)), OR(MID(metadata!C904,8,1)="", AND(AND(MID(metadata!C904,8,1)="-",IFERROR(INT(MID(metadata!C904,9,1))&gt;=0,FALSE),IFERROR(INT(MID(metadata!C904,9,1))&lt;=3,FALSE),NOT(MID(metadata!C904,10,1)=""),IFERROR(INT(MID(metadata!C904,9,2))&gt;=1,FALSE),IFERROR(INT(MID(metadata!C904,9,2))&lt;=31,FALSE)), OR(MID(metadata!C904,11,1)="", AND(AND(MID(metadata!C904,11,1)=" ",IFERROR(INT(MID(metadata!C904,12,1))&gt;=0,FALSE),IFERROR(INT(MID(metadata!C904,12,1))&lt;=2,FALSE),NOT(MID(metadata!C904,13,1)=""),IFERROR(INT(MID(metadata!C904,12,2))&gt;=0,FALSE),IFERROR(INT(MID(metadata!C904,12,2))&lt;=23,FALSE)), OR(MID(metadata!C904,14,1)="", AND(AND(MID(metadata!C904,14,1)=":",IFERROR(INT(MID(metadata!C904,15,1))&gt;=0,FALSE),IFERROR(INT(MID(metadata!C904,15,1))&lt;=5,FALSE),NOT(MID(metadata!C904,16,1)=""),IFERROR(INT(MID(metadata!C904,15,2))&gt;=0,FALSE),IFERROR(INT(MID(metadata!C904,15,2))&lt;=59,FALSE)), OR(MID(metadata!C904,17,1)="", AND(AND(MID(metadata!C904,17,1)=":",IFERROR(INT(MID(metadata!C904,18,1))&gt;=0,FALSE),IFERROR(INT(MID(metadata!C904,18,1))&lt;=5,FALSE),NOT(MID(metadata!C904,19,1)=""),IFERROR(INT(MID(metadata!C904,18,2))&gt;=0,FALSE),IFERROR(INT(MID(metadata!C904,18,2))&lt;=59,FALSE)), LEN(metadata!C904)&lt;=19)))))))))))))</f>
        <v>0</v>
      </c>
      <c r="AO904" t="b">
        <f>AND(IF(metadata!D904="",FALSE,TRUE),EXACT(metadata!D904,"Not applicable"))</f>
        <v>0</v>
      </c>
      <c r="AP904" t="b">
        <f>IF(metadata!E904="",FALSE,TRUE)</f>
        <v>0</v>
      </c>
      <c r="AQ904" t="b">
        <f>OR(AND(IF(metadata!F904="",FALSE,TRUE),OR(EXACT(metadata!F904,"missing: not collected"),EXACT(metadata!F904,"missing: not provided"))),AND(IF(metadata!F904="",FALSE,TRUE),OR(EXACT(metadata!F904,"TRUE"),EXACT(metadata!F904,"FALSE"))))</f>
        <v>0</v>
      </c>
      <c r="AR904" t="b">
        <f>OR(AND(IF(metadata!G904="",FALSE,TRUE),OR(EXACT(metadata!G904,"missing: not collected"),EXACT(metadata!G904,"missing: not provided"),EXACT(metadata!G904,"missing: restricted access"))),AND(IF(metadata!G904="",FALSE,ISNUMBER(VALUE(metadata!G904))),metadata!G904&gt;=-413))</f>
        <v>0</v>
      </c>
      <c r="AS904" t="b">
        <f>AND(IF(metadata!H904="",FALSE,TRUE),EXACT(metadata!H904,"meters"))</f>
        <v>0</v>
      </c>
      <c r="AT904" t="b">
        <f>AND(IF(metadata!I904="",FALSE,TRUE),OR(EXACT(metadata!I904,"Host-associated"),EXACT(metadata!I904,"Free-living")))</f>
        <v>0</v>
      </c>
      <c r="AU904" t="b">
        <f>AND(IF(metadata!J904="",FALSE,TRUE),OR(EXACT(metadata!J904,"Animal"),EXACT(metadata!J904,"Fungus"),EXACT(metadata!J904,"Plant"),EXACT(metadata!J904,"Saline"),EXACT(metadata!J904,"Non-saline")))</f>
        <v>0</v>
      </c>
      <c r="AV904" t="b">
        <f>AND(IF(metadata!K904="",FALSE,TRUE),OR(EXACT(metadata!K904,"Plant secretion"),EXACT(metadata!K904,"Plant rhizosphere"),EXACT(metadata!K904,"Plant surface"),EXACT(metadata!K904,"Plant corpus"),EXACT(metadata!K904,"Fungus surface"),EXACT(metadata!K904,"Fungus corpus"),EXACT(metadata!K904,"Animal surface"),EXACT(metadata!K904,"Animal proximal gut"),EXACT(metadata!K904,"Animal corpus"),EXACT(metadata!K904,"Animal distal gut"),EXACT(metadata!K904,"Animal secretion"),EXACT(metadata!K904,"Sub-surface (non-saline)"),EXACT(metadata!K904,"Surface (non-saline)"),EXACT(metadata!K904,"Water (non-saline)"),EXACT(metadata!K904,"Soil (non-saline)"),EXACT(metadata!K904,"Aerosol (non-saline)"),EXACT(metadata!K904,"Sediment (non-saline)"),EXACT(metadata!K904,"Surface (saline)"),EXACT(metadata!K904,"Water (saline)"),EXACT(metadata!K904,"Hypersaline (saline)"),EXACT(metadata!K904,"Aerosol (saline)"),EXACT(metadata!K904,"Sediment (saline)")))</f>
        <v>0</v>
      </c>
      <c r="AW904" t="b">
        <f>IF(metadata!L904="",FALSE,TRUE)</f>
        <v>0</v>
      </c>
      <c r="AX904" t="b">
        <f>IF(metadata!M904="",FALSE,TRUE)</f>
        <v>0</v>
      </c>
      <c r="AY904" t="b">
        <f>IF(metadata!N904="",FALSE,TRUE)</f>
        <v>0</v>
      </c>
      <c r="AZ904" t="b">
        <f>OR(AND(IF(metadata!O904="",FALSE,TRUE),OR(EXACT(metadata!O904,"missing: not collected"),EXACT(metadata!O904,"missing: not provided"),EXACT(metadata!O904,"missing: restricted access"))),AND(IF(metadata!O904="",FALSE,TRUE),OR(EXACT(metadata!O904,"air"),EXACT(metadata!O904,"built environment"),EXACT(metadata!O904,"host-associated"),EXACT(metadata!O904,"human-associated"),EXACT(metadata!O904,"human-skin"),EXACT(metadata!O904,"human-oral"),EXACT(metadata!O904,"human-gut"),EXACT(metadata!O904,"human-vaginal"),EXACT(metadata!O904,"microbial mat/biofilm"),EXACT(metadata!O904,"misc environment"),EXACT(metadata!O904,"plant-associated"),EXACT(metadata!O904,"sediment"),EXACT(metadata!O904,"soil"),EXACT(metadata!O904,"wastewater/sludge"),EXACT(metadata!O904,"water"))))</f>
        <v>0</v>
      </c>
      <c r="BA904" t="b">
        <f>IF(metadata!P904="",FALSE,TRUE)</f>
        <v>0</v>
      </c>
      <c r="BB904" t="b">
        <f>IF(metadata!Q904="",FALSE,TRUE)</f>
        <v>0</v>
      </c>
      <c r="BC904" t="b">
        <f>OR(AND(IF(metadata!R904="",FALSE,TRUE),OR(EXACT(metadata!R904,"missing: not collected"),EXACT(metadata!R904,"missing: not provided"),EXACT(metadata!R904,"missing: restricted access"))),AND(IF(metadata!R904="",FALSE,ISNUMBER(VALUE(metadata!R904))),metadata!R904&gt;=-90,metadata!R904&lt;=90))</f>
        <v>0</v>
      </c>
      <c r="BD904" t="b">
        <f>AND(IF(metadata!S904="",FALSE,TRUE),EXACT(metadata!S904,"Decimal degrees"))</f>
        <v>0</v>
      </c>
      <c r="BE904" t="b">
        <f>OR(AND(IF(metadata!T904="",FALSE,TRUE),OR(EXACT(metadata!T904,"missing: not collected"),EXACT(metadata!T904,"missing: not provided"),EXACT(metadata!T904,"missing: restricted access"))),AND(IF(metadata!T904="",FALSE,ISNUMBER(VALUE(metadata!T904))),metadata!T904&gt;=-180,metadata!T904&lt;=180))</f>
        <v>0</v>
      </c>
      <c r="BF904" t="b">
        <f>AND(IF(metadata!U904="",FALSE,TRUE),EXACT(metadata!U904,"Decimal degrees"))</f>
        <v>0</v>
      </c>
      <c r="BG904" t="b">
        <f>IF(metadata!V904="",FALSE,TRUE)</f>
        <v>0</v>
      </c>
      <c r="BH904" t="b">
        <f>OR(AND(IF(metadata!W904="",FALSE,TRUE),OR(EXACT(metadata!W904,"missing: not collected"),EXACT(metadata!W904,"missing: not provided"),EXACT(metadata!W904,"missing: restricted access"))),AND(IF(metadata!W904="",FALSE,TRUE),OR(EXACT(metadata!W904,"TRUE"),EXACT(metadata!W904,"FALSE"))))</f>
        <v>0</v>
      </c>
      <c r="BI904" t="b">
        <f>AND(IF(metadata!X904="",FALSE,TRUE),EXACT(metadata!X904,"other"))</f>
        <v>0</v>
      </c>
      <c r="BJ904" t="b">
        <f>IF(metadata!Y904="",FALSE,TRUE)</f>
        <v>0</v>
      </c>
      <c r="BK904" t="b">
        <f>OR(AND(IF(metadata!Z904="",FALSE,TRUE),OR(EXACT(metadata!Z904,"missing: not collected"),EXACT(metadata!Z904,"missing: not provided"))),AND(IF(metadata!Z904="",FALSE,IF(ISERROR(INT(metadata!Z904)),FALSE,INT(metadata!Z904)=metadata!Z904)),metadata!Z904&gt;0))</f>
        <v>0</v>
      </c>
      <c r="BL904" t="b">
        <f>AND(IF(metadata!AA904="",FALSE,TRUE),EXACT(metadata!AA904,"Not applicable"))</f>
        <v>0</v>
      </c>
      <c r="BM904" t="b">
        <f>IF(metadata!AB904="",FALSE,TRUE)</f>
        <v>0</v>
      </c>
    </row>
    <row r="905" spans="1:65" x14ac:dyDescent="0.2">
      <c r="A905" s="5" t="str">
        <f ca="1">IF(B905=" "," ",HYPERLINK(CONCATENATE("#metadata!",ADDRESS(INDEX($AH$2:$AH$1001,MATCH(ROWS($AF$2:AF905),$AF$2:$AF$1001,0),0),1)),INDEX($AK$2:$AK$1001,MATCH(ROWS($AF$2:AF905),$AF$2:$AF$1001,0),0)))</f>
        <v xml:space="preserve"> </v>
      </c>
      <c r="B905" s="4" t="str">
        <f ca="1">IF(OR(INDEX($AG$2:$AG$1001,MATCH(ROWS($AF$2:AF905),$AF$2:$AF$1001,0),1)&gt;=100000,INDEX($AM$1005:$BM$1005,1,MATCH(COLUMNS($AM$1006:AM1006),$AM$1006:$BM$1006,0))&gt;=100000), " ",IF(INDEX($AM$2:$BM$1001,MATCH(ROWS($AF$2:AF905),$AF$2:$AF$1001,0),MATCH(COLUMNS($AM$1006:AM1006),$AM$1006:$BM$1006,0)), HYPERLINK("#",""), HYPERLINK(CONCATENATE("#metadata!", ADDRESS(INDEX($AH$2:$AH$1001,MATCH(ROWS($AF$2:AF905),$AF$2:$AF$1001,0),0), INDEX($AM$1004:$BM$1004,1,MATCH(COLUMNS($AM$1006:AM1006),$AM$1006:$BM$1006,0)))),"Fix")))</f>
        <v xml:space="preserve"> </v>
      </c>
      <c r="C905" s="4" t="str">
        <f ca="1">IF(OR(INDEX($AG$2:$AG$1001,MATCH(ROWS($AF$2:AF905),$AF$2:$AF$1001,0),1)&gt;=100000,INDEX($AM$1005:$BM$1005,1,MATCH(COLUMNS($AM$1006:AN1006),$AM$1006:$BM$1006,0))&gt;=100000), " ",IF(INDEX($AM$2:$BM$1001,MATCH(ROWS($AF$2:AF905),$AF$2:$AF$1001,0),MATCH(COLUMNS($AM$1006:AN1006),$AM$1006:$BM$1006,0)), HYPERLINK("#",""), HYPERLINK(CONCATENATE("#metadata!", ADDRESS(INDEX($AH$2:$AH$1001,MATCH(ROWS($AF$2:AF905),$AF$2:$AF$1001,0),0), INDEX($AM$1004:$BM$1004,1,MATCH(COLUMNS($AM$1006:AN1006),$AM$1006:$BM$1006,0)))),"Fix")))</f>
        <v xml:space="preserve"> </v>
      </c>
      <c r="D905" s="4" t="str">
        <f ca="1">IF(OR(INDEX($AG$2:$AG$1001,MATCH(ROWS($AF$2:AF905),$AF$2:$AF$1001,0),1)&gt;=100000,INDEX($AM$1005:$BM$1005,1,MATCH(COLUMNS($AM$1006:AO1006),$AM$1006:$BM$1006,0))&gt;=100000), " ",IF(INDEX($AM$2:$BM$1001,MATCH(ROWS($AF$2:AF905),$AF$2:$AF$1001,0),MATCH(COLUMNS($AM$1006:AO1006),$AM$1006:$BM$1006,0)), HYPERLINK("#",""), HYPERLINK(CONCATENATE("#metadata!", ADDRESS(INDEX($AH$2:$AH$1001,MATCH(ROWS($AF$2:AF905),$AF$2:$AF$1001,0),0), INDEX($AM$1004:$BM$1004,1,MATCH(COLUMNS($AM$1006:AO1006),$AM$1006:$BM$1006,0)))),"Fix")))</f>
        <v xml:space="preserve"> </v>
      </c>
      <c r="E905" s="4" t="str">
        <f ca="1">IF(OR(INDEX($AG$2:$AG$1001,MATCH(ROWS($AF$2:AF905),$AF$2:$AF$1001,0),1)&gt;=100000,INDEX($AM$1005:$BM$1005,1,MATCH(COLUMNS($AM$1006:AP1006),$AM$1006:$BM$1006,0))&gt;=100000), " ",IF(INDEX($AM$2:$BM$1001,MATCH(ROWS($AF$2:AF905),$AF$2:$AF$1001,0),MATCH(COLUMNS($AM$1006:AP1006),$AM$1006:$BM$1006,0)), HYPERLINK("#",""), HYPERLINK(CONCATENATE("#metadata!", ADDRESS(INDEX($AH$2:$AH$1001,MATCH(ROWS($AF$2:AF905),$AF$2:$AF$1001,0),0), INDEX($AM$1004:$BM$1004,1,MATCH(COLUMNS($AM$1006:AP1006),$AM$1006:$BM$1006,0)))),"Fix")))</f>
        <v xml:space="preserve"> </v>
      </c>
      <c r="F905" s="4" t="str">
        <f ca="1">IF(OR(INDEX($AG$2:$AG$1001,MATCH(ROWS($AF$2:AF905),$AF$2:$AF$1001,0),1)&gt;=100000,INDEX($AM$1005:$BM$1005,1,MATCH(COLUMNS($AM$1006:AQ1006),$AM$1006:$BM$1006,0))&gt;=100000), " ",IF(INDEX($AM$2:$BM$1001,MATCH(ROWS($AF$2:AF905),$AF$2:$AF$1001,0),MATCH(COLUMNS($AM$1006:AQ1006),$AM$1006:$BM$1006,0)), HYPERLINK("#",""), HYPERLINK(CONCATENATE("#metadata!", ADDRESS(INDEX($AH$2:$AH$1001,MATCH(ROWS($AF$2:AF905),$AF$2:$AF$1001,0),0), INDEX($AM$1004:$BM$1004,1,MATCH(COLUMNS($AM$1006:AQ1006),$AM$1006:$BM$1006,0)))),"Fix")))</f>
        <v xml:space="preserve"> </v>
      </c>
      <c r="G905" s="4" t="str">
        <f ca="1">IF(OR(INDEX($AG$2:$AG$1001,MATCH(ROWS($AF$2:AF905),$AF$2:$AF$1001,0),1)&gt;=100000,INDEX($AM$1005:$BM$1005,1,MATCH(COLUMNS($AM$1006:AR1006),$AM$1006:$BM$1006,0))&gt;=100000), " ",IF(INDEX($AM$2:$BM$1001,MATCH(ROWS($AF$2:AF905),$AF$2:$AF$1001,0),MATCH(COLUMNS($AM$1006:AR1006),$AM$1006:$BM$1006,0)), HYPERLINK("#",""), HYPERLINK(CONCATENATE("#metadata!", ADDRESS(INDEX($AH$2:$AH$1001,MATCH(ROWS($AF$2:AF905),$AF$2:$AF$1001,0),0), INDEX($AM$1004:$BM$1004,1,MATCH(COLUMNS($AM$1006:AR1006),$AM$1006:$BM$1006,0)))),"Fix")))</f>
        <v xml:space="preserve"> </v>
      </c>
      <c r="H905" s="4" t="str">
        <f ca="1">IF(OR(INDEX($AG$2:$AG$1001,MATCH(ROWS($AF$2:AF905),$AF$2:$AF$1001,0),1)&gt;=100000,INDEX($AM$1005:$BM$1005,1,MATCH(COLUMNS($AM$1006:AS1006),$AM$1006:$BM$1006,0))&gt;=100000), " ",IF(INDEX($AM$2:$BM$1001,MATCH(ROWS($AF$2:AF905),$AF$2:$AF$1001,0),MATCH(COLUMNS($AM$1006:AS1006),$AM$1006:$BM$1006,0)), HYPERLINK("#",""), HYPERLINK(CONCATENATE("#metadata!", ADDRESS(INDEX($AH$2:$AH$1001,MATCH(ROWS($AF$2:AF905),$AF$2:$AF$1001,0),0), INDEX($AM$1004:$BM$1004,1,MATCH(COLUMNS($AM$1006:AS1006),$AM$1006:$BM$1006,0)))),"Fix")))</f>
        <v xml:space="preserve"> </v>
      </c>
      <c r="I905" s="4" t="str">
        <f ca="1">IF(OR(INDEX($AG$2:$AG$1001,MATCH(ROWS($AF$2:AF905),$AF$2:$AF$1001,0),1)&gt;=100000,INDEX($AM$1005:$BM$1005,1,MATCH(COLUMNS($AM$1006:AT1006),$AM$1006:$BM$1006,0))&gt;=100000), " ",IF(INDEX($AM$2:$BM$1001,MATCH(ROWS($AF$2:AF905),$AF$2:$AF$1001,0),MATCH(COLUMNS($AM$1006:AT1006),$AM$1006:$BM$1006,0)), HYPERLINK("#",""), HYPERLINK(CONCATENATE("#metadata!", ADDRESS(INDEX($AH$2:$AH$1001,MATCH(ROWS($AF$2:AF905),$AF$2:$AF$1001,0),0), INDEX($AM$1004:$BM$1004,1,MATCH(COLUMNS($AM$1006:AT1006),$AM$1006:$BM$1006,0)))),"Fix")))</f>
        <v xml:space="preserve"> </v>
      </c>
      <c r="J905" s="4" t="str">
        <f ca="1">IF(OR(INDEX($AG$2:$AG$1001,MATCH(ROWS($AF$2:AF905),$AF$2:$AF$1001,0),1)&gt;=100000,INDEX($AM$1005:$BM$1005,1,MATCH(COLUMNS($AM$1006:AU1006),$AM$1006:$BM$1006,0))&gt;=100000), " ",IF(INDEX($AM$2:$BM$1001,MATCH(ROWS($AF$2:AF905),$AF$2:$AF$1001,0),MATCH(COLUMNS($AM$1006:AU1006),$AM$1006:$BM$1006,0)), HYPERLINK("#",""), HYPERLINK(CONCATENATE("#metadata!", ADDRESS(INDEX($AH$2:$AH$1001,MATCH(ROWS($AF$2:AF905),$AF$2:$AF$1001,0),0), INDEX($AM$1004:$BM$1004,1,MATCH(COLUMNS($AM$1006:AU1006),$AM$1006:$BM$1006,0)))),"Fix")))</f>
        <v xml:space="preserve"> </v>
      </c>
      <c r="K905" s="4" t="str">
        <f ca="1">IF(OR(INDEX($AG$2:$AG$1001,MATCH(ROWS($AF$2:AF905),$AF$2:$AF$1001,0),1)&gt;=100000,INDEX($AM$1005:$BM$1005,1,MATCH(COLUMNS($AM$1006:AV1006),$AM$1006:$BM$1006,0))&gt;=100000), " ",IF(INDEX($AM$2:$BM$1001,MATCH(ROWS($AF$2:AF905),$AF$2:$AF$1001,0),MATCH(COLUMNS($AM$1006:AV1006),$AM$1006:$BM$1006,0)), HYPERLINK("#",""), HYPERLINK(CONCATENATE("#metadata!", ADDRESS(INDEX($AH$2:$AH$1001,MATCH(ROWS($AF$2:AF905),$AF$2:$AF$1001,0),0), INDEX($AM$1004:$BM$1004,1,MATCH(COLUMNS($AM$1006:AV1006),$AM$1006:$BM$1006,0)))),"Fix")))</f>
        <v xml:space="preserve"> </v>
      </c>
      <c r="L905" s="4" t="str">
        <f ca="1">IF(OR(INDEX($AG$2:$AG$1001,MATCH(ROWS($AF$2:AF905),$AF$2:$AF$1001,0),1)&gt;=100000,INDEX($AM$1005:$BM$1005,1,MATCH(COLUMNS($AM$1006:AW1006),$AM$1006:$BM$1006,0))&gt;=100000), " ",IF(INDEX($AM$2:$BM$1001,MATCH(ROWS($AF$2:AF905),$AF$2:$AF$1001,0),MATCH(COLUMNS($AM$1006:AW1006),$AM$1006:$BM$1006,0)), HYPERLINK("#",""), HYPERLINK(CONCATENATE("#metadata!", ADDRESS(INDEX($AH$2:$AH$1001,MATCH(ROWS($AF$2:AF905),$AF$2:$AF$1001,0),0), INDEX($AM$1004:$BM$1004,1,MATCH(COLUMNS($AM$1006:AW1006),$AM$1006:$BM$1006,0)))),"Fix")))</f>
        <v xml:space="preserve"> </v>
      </c>
      <c r="M905" s="4" t="str">
        <f ca="1">IF(OR(INDEX($AG$2:$AG$1001,MATCH(ROWS($AF$2:AF905),$AF$2:$AF$1001,0),1)&gt;=100000,INDEX($AM$1005:$BM$1005,1,MATCH(COLUMNS($AM$1006:AX1006),$AM$1006:$BM$1006,0))&gt;=100000), " ",IF(INDEX($AM$2:$BM$1001,MATCH(ROWS($AF$2:AF905),$AF$2:$AF$1001,0),MATCH(COLUMNS($AM$1006:AX1006),$AM$1006:$BM$1006,0)), HYPERLINK("#",""), HYPERLINK(CONCATENATE("#metadata!", ADDRESS(INDEX($AH$2:$AH$1001,MATCH(ROWS($AF$2:AF905),$AF$2:$AF$1001,0),0), INDEX($AM$1004:$BM$1004,1,MATCH(COLUMNS($AM$1006:AX1006),$AM$1006:$BM$1006,0)))),"Fix")))</f>
        <v xml:space="preserve"> </v>
      </c>
      <c r="N905" s="4" t="str">
        <f ca="1">IF(OR(INDEX($AG$2:$AG$1001,MATCH(ROWS($AF$2:AF905),$AF$2:$AF$1001,0),1)&gt;=100000,INDEX($AM$1005:$BM$1005,1,MATCH(COLUMNS($AM$1006:AY1006),$AM$1006:$BM$1006,0))&gt;=100000), " ",IF(INDEX($AM$2:$BM$1001,MATCH(ROWS($AF$2:AF905),$AF$2:$AF$1001,0),MATCH(COLUMNS($AM$1006:AY1006),$AM$1006:$BM$1006,0)), HYPERLINK("#",""), HYPERLINK(CONCATENATE("#metadata!", ADDRESS(INDEX($AH$2:$AH$1001,MATCH(ROWS($AF$2:AF905),$AF$2:$AF$1001,0),0), INDEX($AM$1004:$BM$1004,1,MATCH(COLUMNS($AM$1006:AY1006),$AM$1006:$BM$1006,0)))),"Fix")))</f>
        <v xml:space="preserve"> </v>
      </c>
      <c r="O905" s="4" t="str">
        <f ca="1">IF(OR(INDEX($AG$2:$AG$1001,MATCH(ROWS($AF$2:AF905),$AF$2:$AF$1001,0),1)&gt;=100000,INDEX($AM$1005:$BM$1005,1,MATCH(COLUMNS($AM$1006:AZ1006),$AM$1006:$BM$1006,0))&gt;=100000), " ",IF(INDEX($AM$2:$BM$1001,MATCH(ROWS($AF$2:AF905),$AF$2:$AF$1001,0),MATCH(COLUMNS($AM$1006:AZ1006),$AM$1006:$BM$1006,0)), HYPERLINK("#",""), HYPERLINK(CONCATENATE("#metadata!", ADDRESS(INDEX($AH$2:$AH$1001,MATCH(ROWS($AF$2:AF905),$AF$2:$AF$1001,0),0), INDEX($AM$1004:$BM$1004,1,MATCH(COLUMNS($AM$1006:AZ1006),$AM$1006:$BM$1006,0)))),"Fix")))</f>
        <v xml:space="preserve"> </v>
      </c>
      <c r="P905" s="4" t="str">
        <f ca="1">IF(OR(INDEX($AG$2:$AG$1001,MATCH(ROWS($AF$2:AF905),$AF$2:$AF$1001,0),1)&gt;=100000,INDEX($AM$1005:$BM$1005,1,MATCH(COLUMNS($AM$1006:BA1006),$AM$1006:$BM$1006,0))&gt;=100000), " ",IF(INDEX($AM$2:$BM$1001,MATCH(ROWS($AF$2:AF905),$AF$2:$AF$1001,0),MATCH(COLUMNS($AM$1006:BA1006),$AM$1006:$BM$1006,0)), HYPERLINK("#",""), HYPERLINK(CONCATENATE("#metadata!", ADDRESS(INDEX($AH$2:$AH$1001,MATCH(ROWS($AF$2:AF905),$AF$2:$AF$1001,0),0), INDEX($AM$1004:$BM$1004,1,MATCH(COLUMNS($AM$1006:BA1006),$AM$1006:$BM$1006,0)))),"Fix")))</f>
        <v xml:space="preserve"> </v>
      </c>
      <c r="Q905" s="4" t="str">
        <f ca="1">IF(OR(INDEX($AG$2:$AG$1001,MATCH(ROWS($AF$2:AF905),$AF$2:$AF$1001,0),1)&gt;=100000,INDEX($AM$1005:$BM$1005,1,MATCH(COLUMNS($AM$1006:BB1006),$AM$1006:$BM$1006,0))&gt;=100000), " ",IF(INDEX($AM$2:$BM$1001,MATCH(ROWS($AF$2:AF905),$AF$2:$AF$1001,0),MATCH(COLUMNS($AM$1006:BB1006),$AM$1006:$BM$1006,0)), HYPERLINK("#",""), HYPERLINK(CONCATENATE("#metadata!", ADDRESS(INDEX($AH$2:$AH$1001,MATCH(ROWS($AF$2:AF905),$AF$2:$AF$1001,0),0), INDEX($AM$1004:$BM$1004,1,MATCH(COLUMNS($AM$1006:BB1006),$AM$1006:$BM$1006,0)))),"Fix")))</f>
        <v xml:space="preserve"> </v>
      </c>
      <c r="R905" s="4" t="str">
        <f ca="1">IF(OR(INDEX($AG$2:$AG$1001,MATCH(ROWS($AF$2:AF905),$AF$2:$AF$1001,0),1)&gt;=100000,INDEX($AM$1005:$BM$1005,1,MATCH(COLUMNS($AM$1006:BC1006),$AM$1006:$BM$1006,0))&gt;=100000), " ",IF(INDEX($AM$2:$BM$1001,MATCH(ROWS($AF$2:AF905),$AF$2:$AF$1001,0),MATCH(COLUMNS($AM$1006:BC1006),$AM$1006:$BM$1006,0)), HYPERLINK("#",""), HYPERLINK(CONCATENATE("#metadata!", ADDRESS(INDEX($AH$2:$AH$1001,MATCH(ROWS($AF$2:AF905),$AF$2:$AF$1001,0),0), INDEX($AM$1004:$BM$1004,1,MATCH(COLUMNS($AM$1006:BC1006),$AM$1006:$BM$1006,0)))),"Fix")))</f>
        <v xml:space="preserve"> </v>
      </c>
      <c r="S905" s="4" t="str">
        <f ca="1">IF(OR(INDEX($AG$2:$AG$1001,MATCH(ROWS($AF$2:AF905),$AF$2:$AF$1001,0),1)&gt;=100000,INDEX($AM$1005:$BM$1005,1,MATCH(COLUMNS($AM$1006:BD1006),$AM$1006:$BM$1006,0))&gt;=100000), " ",IF(INDEX($AM$2:$BM$1001,MATCH(ROWS($AF$2:AF905),$AF$2:$AF$1001,0),MATCH(COLUMNS($AM$1006:BD1006),$AM$1006:$BM$1006,0)), HYPERLINK("#",""), HYPERLINK(CONCATENATE("#metadata!", ADDRESS(INDEX($AH$2:$AH$1001,MATCH(ROWS($AF$2:AF905),$AF$2:$AF$1001,0),0), INDEX($AM$1004:$BM$1004,1,MATCH(COLUMNS($AM$1006:BD1006),$AM$1006:$BM$1006,0)))),"Fix")))</f>
        <v xml:space="preserve"> </v>
      </c>
      <c r="T905" s="4" t="str">
        <f ca="1">IF(OR(INDEX($AG$2:$AG$1001,MATCH(ROWS($AF$2:AF905),$AF$2:$AF$1001,0),1)&gt;=100000,INDEX($AM$1005:$BM$1005,1,MATCH(COLUMNS($AM$1006:BE1006),$AM$1006:$BM$1006,0))&gt;=100000), " ",IF(INDEX($AM$2:$BM$1001,MATCH(ROWS($AF$2:AF905),$AF$2:$AF$1001,0),MATCH(COLUMNS($AM$1006:BE1006),$AM$1006:$BM$1006,0)), HYPERLINK("#",""), HYPERLINK(CONCATENATE("#metadata!", ADDRESS(INDEX($AH$2:$AH$1001,MATCH(ROWS($AF$2:AF905),$AF$2:$AF$1001,0),0), INDEX($AM$1004:$BM$1004,1,MATCH(COLUMNS($AM$1006:BE1006),$AM$1006:$BM$1006,0)))),"Fix")))</f>
        <v xml:space="preserve"> </v>
      </c>
      <c r="U905" s="4" t="str">
        <f ca="1">IF(OR(INDEX($AG$2:$AG$1001,MATCH(ROWS($AF$2:AF905),$AF$2:$AF$1001,0),1)&gt;=100000,INDEX($AM$1005:$BM$1005,1,MATCH(COLUMNS($AM$1006:BF1006),$AM$1006:$BM$1006,0))&gt;=100000), " ",IF(INDEX($AM$2:$BM$1001,MATCH(ROWS($AF$2:AF905),$AF$2:$AF$1001,0),MATCH(COLUMNS($AM$1006:BF1006),$AM$1006:$BM$1006,0)), HYPERLINK("#",""), HYPERLINK(CONCATENATE("#metadata!", ADDRESS(INDEX($AH$2:$AH$1001,MATCH(ROWS($AF$2:AF905),$AF$2:$AF$1001,0),0), INDEX($AM$1004:$BM$1004,1,MATCH(COLUMNS($AM$1006:BF1006),$AM$1006:$BM$1006,0)))),"Fix")))</f>
        <v xml:space="preserve"> </v>
      </c>
      <c r="V905" s="4" t="str">
        <f ca="1">IF(OR(INDEX($AG$2:$AG$1001,MATCH(ROWS($AF$2:AF905),$AF$2:$AF$1001,0),1)&gt;=100000,INDEX($AM$1005:$BM$1005,1,MATCH(COLUMNS($AM$1006:BG1006),$AM$1006:$BM$1006,0))&gt;=100000), " ",IF(INDEX($AM$2:$BM$1001,MATCH(ROWS($AF$2:AF905),$AF$2:$AF$1001,0),MATCH(COLUMNS($AM$1006:BG1006),$AM$1006:$BM$1006,0)), HYPERLINK("#",""), HYPERLINK(CONCATENATE("#metadata!", ADDRESS(INDEX($AH$2:$AH$1001,MATCH(ROWS($AF$2:AF905),$AF$2:$AF$1001,0),0), INDEX($AM$1004:$BM$1004,1,MATCH(COLUMNS($AM$1006:BG1006),$AM$1006:$BM$1006,0)))),"Fix")))</f>
        <v xml:space="preserve"> </v>
      </c>
      <c r="W905" s="4" t="str">
        <f ca="1">IF(OR(INDEX($AG$2:$AG$1001,MATCH(ROWS($AF$2:AF905),$AF$2:$AF$1001,0),1)&gt;=100000,INDEX($AM$1005:$BM$1005,1,MATCH(COLUMNS($AM$1006:BH1006),$AM$1006:$BM$1006,0))&gt;=100000), " ",IF(INDEX($AM$2:$BM$1001,MATCH(ROWS($AF$2:AF905),$AF$2:$AF$1001,0),MATCH(COLUMNS($AM$1006:BH1006),$AM$1006:$BM$1006,0)), HYPERLINK("#",""), HYPERLINK(CONCATENATE("#metadata!", ADDRESS(INDEX($AH$2:$AH$1001,MATCH(ROWS($AF$2:AF905),$AF$2:$AF$1001,0),0), INDEX($AM$1004:$BM$1004,1,MATCH(COLUMNS($AM$1006:BH1006),$AM$1006:$BM$1006,0)))),"Fix")))</f>
        <v xml:space="preserve"> </v>
      </c>
      <c r="X905" s="4" t="str">
        <f ca="1">IF(OR(INDEX($AG$2:$AG$1001,MATCH(ROWS($AF$2:AF905),$AF$2:$AF$1001,0),1)&gt;=100000,INDEX($AM$1005:$BM$1005,1,MATCH(COLUMNS($AM$1006:BI1006),$AM$1006:$BM$1006,0))&gt;=100000), " ",IF(INDEX($AM$2:$BM$1001,MATCH(ROWS($AF$2:AF905),$AF$2:$AF$1001,0),MATCH(COLUMNS($AM$1006:BI1006),$AM$1006:$BM$1006,0)), HYPERLINK("#",""), HYPERLINK(CONCATENATE("#metadata!", ADDRESS(INDEX($AH$2:$AH$1001,MATCH(ROWS($AF$2:AF905),$AF$2:$AF$1001,0),0), INDEX($AM$1004:$BM$1004,1,MATCH(COLUMNS($AM$1006:BI1006),$AM$1006:$BM$1006,0)))),"Fix")))</f>
        <v xml:space="preserve"> </v>
      </c>
      <c r="Y905" s="4" t="str">
        <f ca="1">IF(OR(INDEX($AG$2:$AG$1001,MATCH(ROWS($AF$2:AF905),$AF$2:$AF$1001,0),1)&gt;=100000,INDEX($AM$1005:$BM$1005,1,MATCH(COLUMNS($AM$1006:BJ1006),$AM$1006:$BM$1006,0))&gt;=100000), " ",IF(INDEX($AM$2:$BM$1001,MATCH(ROWS($AF$2:AF905),$AF$2:$AF$1001,0),MATCH(COLUMNS($AM$1006:BJ1006),$AM$1006:$BM$1006,0)), HYPERLINK("#",""), HYPERLINK(CONCATENATE("#metadata!", ADDRESS(INDEX($AH$2:$AH$1001,MATCH(ROWS($AF$2:AF905),$AF$2:$AF$1001,0),0), INDEX($AM$1004:$BM$1004,1,MATCH(COLUMNS($AM$1006:BJ1006),$AM$1006:$BM$1006,0)))),"Fix")))</f>
        <v xml:space="preserve"> </v>
      </c>
      <c r="Z905" s="4" t="str">
        <f ca="1">IF(OR(INDEX($AG$2:$AG$1001,MATCH(ROWS($AF$2:AF905),$AF$2:$AF$1001,0),1)&gt;=100000,INDEX($AM$1005:$BM$1005,1,MATCH(COLUMNS($AM$1006:BK1006),$AM$1006:$BM$1006,0))&gt;=100000), " ",IF(INDEX($AM$2:$BM$1001,MATCH(ROWS($AF$2:AF905),$AF$2:$AF$1001,0),MATCH(COLUMNS($AM$1006:BK1006),$AM$1006:$BM$1006,0)), HYPERLINK("#",""), HYPERLINK(CONCATENATE("#metadata!", ADDRESS(INDEX($AH$2:$AH$1001,MATCH(ROWS($AF$2:AF905),$AF$2:$AF$1001,0),0), INDEX($AM$1004:$BM$1004,1,MATCH(COLUMNS($AM$1006:BK1006),$AM$1006:$BM$1006,0)))),"Fix")))</f>
        <v xml:space="preserve"> </v>
      </c>
      <c r="AA905" s="4" t="str">
        <f ca="1">IF(OR(INDEX($AG$2:$AG$1001,MATCH(ROWS($AF$2:AF905),$AF$2:$AF$1001,0),1)&gt;=100000,INDEX($AM$1005:$BM$1005,1,MATCH(COLUMNS($AM$1006:BL1006),$AM$1006:$BM$1006,0))&gt;=100000), " ",IF(INDEX($AM$2:$BM$1001,MATCH(ROWS($AF$2:AF905),$AF$2:$AF$1001,0),MATCH(COLUMNS($AM$1006:BL1006),$AM$1006:$BM$1006,0)), HYPERLINK("#",""), HYPERLINK(CONCATENATE("#metadata!", ADDRESS(INDEX($AH$2:$AH$1001,MATCH(ROWS($AF$2:AF905),$AF$2:$AF$1001,0),0), INDEX($AM$1004:$BM$1004,1,MATCH(COLUMNS($AM$1006:BL1006),$AM$1006:$BM$1006,0)))),"Fix")))</f>
        <v xml:space="preserve"> </v>
      </c>
      <c r="AB905" s="4" t="str">
        <f ca="1">IF(OR(INDEX($AG$2:$AG$1001,MATCH(ROWS($AF$2:AF905),$AF$2:$AF$1001,0),1)&gt;=100000,INDEX($AM$1005:$BM$1005,1,MATCH(COLUMNS($AM$1006:BM1006),$AM$1006:$BM$1006,0))&gt;=100000), " ",IF(INDEX($AM$2:$BM$1001,MATCH(ROWS($AF$2:AF905),$AF$2:$AF$1001,0),MATCH(COLUMNS($AM$1006:BM1006),$AM$1006:$BM$1006,0)), HYPERLINK("#",""), HYPERLINK(CONCATENATE("#metadata!", ADDRESS(INDEX($AH$2:$AH$1001,MATCH(ROWS($AF$2:AF905),$AF$2:$AF$1001,0),0), INDEX($AM$1004:$BM$1004,1,MATCH(COLUMNS($AM$1006:BM1006),$AM$1006:$BM$1006,0)))),"Fix")))</f>
        <v xml:space="preserve"> </v>
      </c>
      <c r="AF905">
        <v>904</v>
      </c>
      <c r="AG905">
        <v>100905</v>
      </c>
      <c r="AH905">
        <v>905</v>
      </c>
      <c r="AI905" t="b">
        <f t="shared" si="14"/>
        <v>1</v>
      </c>
      <c r="AJ905" t="b">
        <f>COUNTBLANK(metadata!B905:AB905)=COLUMNS(metadata!B905:AB905)</f>
        <v>1</v>
      </c>
      <c r="AK905" t="str">
        <v/>
      </c>
      <c r="AM905" t="b">
        <f ca="1">AND(IF(metadata!B905="",FALSE,TRUE),COUNTIF(metadata!B:B, metadata!B905) = 1,NOT(ISERROR(SUMPRODUCT(SEARCH(MID(metadata!B905,ROW(INDIRECT("1:"&amp;LEN(metadata!B905))), 1),"0123456789abcdefghijklmnopqrstuvwxyzABCDEFGHIJKLMNOPQRSTUVWXYZ.")))))</f>
        <v>0</v>
      </c>
      <c r="AN905" t="b">
        <f ca="1">OR(AND(IF(metadata!C905="",FALSE,TRUE),OR(EXACT(metadata!C905,"missing: not collected"),EXACT(metadata!C905,"missing: not provided"),EXACT(metadata!C905,"missing: restricted access"))),AND(IF(metadata!C905="",FALSE,TRUE),AND(AND(IFERROR(INT(LEFT(metadata!C905,4))&gt;1900,FALSE),IFERROR(INT(LEFT(metadata!C905,4))&lt;=YEAR(NOW()),FALSE)), OR(MID(metadata!C905,5,1)="", AND(AND(MID(metadata!C905,5,1)="-",IFERROR(INT(MID(metadata!C905,6,1))&gt;=0,FALSE),IFERROR(INT(MID(metadata!C905,6,1))&lt;=1,FALSE),NOT(MID(metadata!C905,7,1)=""),IFERROR(INT(MID(metadata!C905,6,2))&gt;=1,FALSE),IFERROR(INT(MID(metadata!C905,6,2))&lt;=12,FALSE)), OR(MID(metadata!C905,8,1)="", AND(AND(MID(metadata!C905,8,1)="-",IFERROR(INT(MID(metadata!C905,9,1))&gt;=0,FALSE),IFERROR(INT(MID(metadata!C905,9,1))&lt;=3,FALSE),NOT(MID(metadata!C905,10,1)=""),IFERROR(INT(MID(metadata!C905,9,2))&gt;=1,FALSE),IFERROR(INT(MID(metadata!C905,9,2))&lt;=31,FALSE)), OR(MID(metadata!C905,11,1)="", AND(AND(MID(metadata!C905,11,1)=" ",IFERROR(INT(MID(metadata!C905,12,1))&gt;=0,FALSE),IFERROR(INT(MID(metadata!C905,12,1))&lt;=2,FALSE),NOT(MID(metadata!C905,13,1)=""),IFERROR(INT(MID(metadata!C905,12,2))&gt;=0,FALSE),IFERROR(INT(MID(metadata!C905,12,2))&lt;=23,FALSE)), OR(MID(metadata!C905,14,1)="", AND(AND(MID(metadata!C905,14,1)=":",IFERROR(INT(MID(metadata!C905,15,1))&gt;=0,FALSE),IFERROR(INT(MID(metadata!C905,15,1))&lt;=5,FALSE),NOT(MID(metadata!C905,16,1)=""),IFERROR(INT(MID(metadata!C905,15,2))&gt;=0,FALSE),IFERROR(INT(MID(metadata!C905,15,2))&lt;=59,FALSE)), OR(MID(metadata!C905,17,1)="", AND(AND(MID(metadata!C905,17,1)=":",IFERROR(INT(MID(metadata!C905,18,1))&gt;=0,FALSE),IFERROR(INT(MID(metadata!C905,18,1))&lt;=5,FALSE),NOT(MID(metadata!C905,19,1)=""),IFERROR(INT(MID(metadata!C905,18,2))&gt;=0,FALSE),IFERROR(INT(MID(metadata!C905,18,2))&lt;=59,FALSE)), LEN(metadata!C905)&lt;=19)))))))))))))</f>
        <v>0</v>
      </c>
      <c r="AO905" t="b">
        <f>AND(IF(metadata!D905="",FALSE,TRUE),EXACT(metadata!D905,"Not applicable"))</f>
        <v>0</v>
      </c>
      <c r="AP905" t="b">
        <f>IF(metadata!E905="",FALSE,TRUE)</f>
        <v>0</v>
      </c>
      <c r="AQ905" t="b">
        <f>OR(AND(IF(metadata!F905="",FALSE,TRUE),OR(EXACT(metadata!F905,"missing: not collected"),EXACT(metadata!F905,"missing: not provided"))),AND(IF(metadata!F905="",FALSE,TRUE),OR(EXACT(metadata!F905,"TRUE"),EXACT(metadata!F905,"FALSE"))))</f>
        <v>0</v>
      </c>
      <c r="AR905" t="b">
        <f>OR(AND(IF(metadata!G905="",FALSE,TRUE),OR(EXACT(metadata!G905,"missing: not collected"),EXACT(metadata!G905,"missing: not provided"),EXACT(metadata!G905,"missing: restricted access"))),AND(IF(metadata!G905="",FALSE,ISNUMBER(VALUE(metadata!G905))),metadata!G905&gt;=-413))</f>
        <v>0</v>
      </c>
      <c r="AS905" t="b">
        <f>AND(IF(metadata!H905="",FALSE,TRUE),EXACT(metadata!H905,"meters"))</f>
        <v>0</v>
      </c>
      <c r="AT905" t="b">
        <f>AND(IF(metadata!I905="",FALSE,TRUE),OR(EXACT(metadata!I905,"Host-associated"),EXACT(metadata!I905,"Free-living")))</f>
        <v>0</v>
      </c>
      <c r="AU905" t="b">
        <f>AND(IF(metadata!J905="",FALSE,TRUE),OR(EXACT(metadata!J905,"Animal"),EXACT(metadata!J905,"Fungus"),EXACT(metadata!J905,"Plant"),EXACT(metadata!J905,"Saline"),EXACT(metadata!J905,"Non-saline")))</f>
        <v>0</v>
      </c>
      <c r="AV905" t="b">
        <f>AND(IF(metadata!K905="",FALSE,TRUE),OR(EXACT(metadata!K905,"Plant secretion"),EXACT(metadata!K905,"Plant rhizosphere"),EXACT(metadata!K905,"Plant surface"),EXACT(metadata!K905,"Plant corpus"),EXACT(metadata!K905,"Fungus surface"),EXACT(metadata!K905,"Fungus corpus"),EXACT(metadata!K905,"Animal surface"),EXACT(metadata!K905,"Animal proximal gut"),EXACT(metadata!K905,"Animal corpus"),EXACT(metadata!K905,"Animal distal gut"),EXACT(metadata!K905,"Animal secretion"),EXACT(metadata!K905,"Sub-surface (non-saline)"),EXACT(metadata!K905,"Surface (non-saline)"),EXACT(metadata!K905,"Water (non-saline)"),EXACT(metadata!K905,"Soil (non-saline)"),EXACT(metadata!K905,"Aerosol (non-saline)"),EXACT(metadata!K905,"Sediment (non-saline)"),EXACT(metadata!K905,"Surface (saline)"),EXACT(metadata!K905,"Water (saline)"),EXACT(metadata!K905,"Hypersaline (saline)"),EXACT(metadata!K905,"Aerosol (saline)"),EXACT(metadata!K905,"Sediment (saline)")))</f>
        <v>0</v>
      </c>
      <c r="AW905" t="b">
        <f>IF(metadata!L905="",FALSE,TRUE)</f>
        <v>0</v>
      </c>
      <c r="AX905" t="b">
        <f>IF(metadata!M905="",FALSE,TRUE)</f>
        <v>0</v>
      </c>
      <c r="AY905" t="b">
        <f>IF(metadata!N905="",FALSE,TRUE)</f>
        <v>0</v>
      </c>
      <c r="AZ905" t="b">
        <f>OR(AND(IF(metadata!O905="",FALSE,TRUE),OR(EXACT(metadata!O905,"missing: not collected"),EXACT(metadata!O905,"missing: not provided"),EXACT(metadata!O905,"missing: restricted access"))),AND(IF(metadata!O905="",FALSE,TRUE),OR(EXACT(metadata!O905,"air"),EXACT(metadata!O905,"built environment"),EXACT(metadata!O905,"host-associated"),EXACT(metadata!O905,"human-associated"),EXACT(metadata!O905,"human-skin"),EXACT(metadata!O905,"human-oral"),EXACT(metadata!O905,"human-gut"),EXACT(metadata!O905,"human-vaginal"),EXACT(metadata!O905,"microbial mat/biofilm"),EXACT(metadata!O905,"misc environment"),EXACT(metadata!O905,"plant-associated"),EXACT(metadata!O905,"sediment"),EXACT(metadata!O905,"soil"),EXACT(metadata!O905,"wastewater/sludge"),EXACT(metadata!O905,"water"))))</f>
        <v>0</v>
      </c>
      <c r="BA905" t="b">
        <f>IF(metadata!P905="",FALSE,TRUE)</f>
        <v>0</v>
      </c>
      <c r="BB905" t="b">
        <f>IF(metadata!Q905="",FALSE,TRUE)</f>
        <v>0</v>
      </c>
      <c r="BC905" t="b">
        <f>OR(AND(IF(metadata!R905="",FALSE,TRUE),OR(EXACT(metadata!R905,"missing: not collected"),EXACT(metadata!R905,"missing: not provided"),EXACT(metadata!R905,"missing: restricted access"))),AND(IF(metadata!R905="",FALSE,ISNUMBER(VALUE(metadata!R905))),metadata!R905&gt;=-90,metadata!R905&lt;=90))</f>
        <v>0</v>
      </c>
      <c r="BD905" t="b">
        <f>AND(IF(metadata!S905="",FALSE,TRUE),EXACT(metadata!S905,"Decimal degrees"))</f>
        <v>0</v>
      </c>
      <c r="BE905" t="b">
        <f>OR(AND(IF(metadata!T905="",FALSE,TRUE),OR(EXACT(metadata!T905,"missing: not collected"),EXACT(metadata!T905,"missing: not provided"),EXACT(metadata!T905,"missing: restricted access"))),AND(IF(metadata!T905="",FALSE,ISNUMBER(VALUE(metadata!T905))),metadata!T905&gt;=-180,metadata!T905&lt;=180))</f>
        <v>0</v>
      </c>
      <c r="BF905" t="b">
        <f>AND(IF(metadata!U905="",FALSE,TRUE),EXACT(metadata!U905,"Decimal degrees"))</f>
        <v>0</v>
      </c>
      <c r="BG905" t="b">
        <f>IF(metadata!V905="",FALSE,TRUE)</f>
        <v>0</v>
      </c>
      <c r="BH905" t="b">
        <f>OR(AND(IF(metadata!W905="",FALSE,TRUE),OR(EXACT(metadata!W905,"missing: not collected"),EXACT(metadata!W905,"missing: not provided"),EXACT(metadata!W905,"missing: restricted access"))),AND(IF(metadata!W905="",FALSE,TRUE),OR(EXACT(metadata!W905,"TRUE"),EXACT(metadata!W905,"FALSE"))))</f>
        <v>0</v>
      </c>
      <c r="BI905" t="b">
        <f>AND(IF(metadata!X905="",FALSE,TRUE),EXACT(metadata!X905,"other"))</f>
        <v>0</v>
      </c>
      <c r="BJ905" t="b">
        <f>IF(metadata!Y905="",FALSE,TRUE)</f>
        <v>0</v>
      </c>
      <c r="BK905" t="b">
        <f>OR(AND(IF(metadata!Z905="",FALSE,TRUE),OR(EXACT(metadata!Z905,"missing: not collected"),EXACT(metadata!Z905,"missing: not provided"))),AND(IF(metadata!Z905="",FALSE,IF(ISERROR(INT(metadata!Z905)),FALSE,INT(metadata!Z905)=metadata!Z905)),metadata!Z905&gt;0))</f>
        <v>0</v>
      </c>
      <c r="BL905" t="b">
        <f>AND(IF(metadata!AA905="",FALSE,TRUE),EXACT(metadata!AA905,"Not applicable"))</f>
        <v>0</v>
      </c>
      <c r="BM905" t="b">
        <f>IF(metadata!AB905="",FALSE,TRUE)</f>
        <v>0</v>
      </c>
    </row>
    <row r="906" spans="1:65" x14ac:dyDescent="0.2">
      <c r="A906" s="5" t="str">
        <f ca="1">IF(B906=" "," ",HYPERLINK(CONCATENATE("#metadata!",ADDRESS(INDEX($AH$2:$AH$1001,MATCH(ROWS($AF$2:AF906),$AF$2:$AF$1001,0),0),1)),INDEX($AK$2:$AK$1001,MATCH(ROWS($AF$2:AF906),$AF$2:$AF$1001,0),0)))</f>
        <v xml:space="preserve"> </v>
      </c>
      <c r="B906" s="4" t="str">
        <f ca="1">IF(OR(INDEX($AG$2:$AG$1001,MATCH(ROWS($AF$2:AF906),$AF$2:$AF$1001,0),1)&gt;=100000,INDEX($AM$1005:$BM$1005,1,MATCH(COLUMNS($AM$1006:AM1006),$AM$1006:$BM$1006,0))&gt;=100000), " ",IF(INDEX($AM$2:$BM$1001,MATCH(ROWS($AF$2:AF906),$AF$2:$AF$1001,0),MATCH(COLUMNS($AM$1006:AM1006),$AM$1006:$BM$1006,0)), HYPERLINK("#",""), HYPERLINK(CONCATENATE("#metadata!", ADDRESS(INDEX($AH$2:$AH$1001,MATCH(ROWS($AF$2:AF906),$AF$2:$AF$1001,0),0), INDEX($AM$1004:$BM$1004,1,MATCH(COLUMNS($AM$1006:AM1006),$AM$1006:$BM$1006,0)))),"Fix")))</f>
        <v xml:space="preserve"> </v>
      </c>
      <c r="C906" s="4" t="str">
        <f ca="1">IF(OR(INDEX($AG$2:$AG$1001,MATCH(ROWS($AF$2:AF906),$AF$2:$AF$1001,0),1)&gt;=100000,INDEX($AM$1005:$BM$1005,1,MATCH(COLUMNS($AM$1006:AN1006),$AM$1006:$BM$1006,0))&gt;=100000), " ",IF(INDEX($AM$2:$BM$1001,MATCH(ROWS($AF$2:AF906),$AF$2:$AF$1001,0),MATCH(COLUMNS($AM$1006:AN1006),$AM$1006:$BM$1006,0)), HYPERLINK("#",""), HYPERLINK(CONCATENATE("#metadata!", ADDRESS(INDEX($AH$2:$AH$1001,MATCH(ROWS($AF$2:AF906),$AF$2:$AF$1001,0),0), INDEX($AM$1004:$BM$1004,1,MATCH(COLUMNS($AM$1006:AN1006),$AM$1006:$BM$1006,0)))),"Fix")))</f>
        <v xml:space="preserve"> </v>
      </c>
      <c r="D906" s="4" t="str">
        <f ca="1">IF(OR(INDEX($AG$2:$AG$1001,MATCH(ROWS($AF$2:AF906),$AF$2:$AF$1001,0),1)&gt;=100000,INDEX($AM$1005:$BM$1005,1,MATCH(COLUMNS($AM$1006:AO1006),$AM$1006:$BM$1006,0))&gt;=100000), " ",IF(INDEX($AM$2:$BM$1001,MATCH(ROWS($AF$2:AF906),$AF$2:$AF$1001,0),MATCH(COLUMNS($AM$1006:AO1006),$AM$1006:$BM$1006,0)), HYPERLINK("#",""), HYPERLINK(CONCATENATE("#metadata!", ADDRESS(INDEX($AH$2:$AH$1001,MATCH(ROWS($AF$2:AF906),$AF$2:$AF$1001,0),0), INDEX($AM$1004:$BM$1004,1,MATCH(COLUMNS($AM$1006:AO1006),$AM$1006:$BM$1006,0)))),"Fix")))</f>
        <v xml:space="preserve"> </v>
      </c>
      <c r="E906" s="4" t="str">
        <f ca="1">IF(OR(INDEX($AG$2:$AG$1001,MATCH(ROWS($AF$2:AF906),$AF$2:$AF$1001,0),1)&gt;=100000,INDEX($AM$1005:$BM$1005,1,MATCH(COLUMNS($AM$1006:AP1006),$AM$1006:$BM$1006,0))&gt;=100000), " ",IF(INDEX($AM$2:$BM$1001,MATCH(ROWS($AF$2:AF906),$AF$2:$AF$1001,0),MATCH(COLUMNS($AM$1006:AP1006),$AM$1006:$BM$1006,0)), HYPERLINK("#",""), HYPERLINK(CONCATENATE("#metadata!", ADDRESS(INDEX($AH$2:$AH$1001,MATCH(ROWS($AF$2:AF906),$AF$2:$AF$1001,0),0), INDEX($AM$1004:$BM$1004,1,MATCH(COLUMNS($AM$1006:AP1006),$AM$1006:$BM$1006,0)))),"Fix")))</f>
        <v xml:space="preserve"> </v>
      </c>
      <c r="F906" s="4" t="str">
        <f ca="1">IF(OR(INDEX($AG$2:$AG$1001,MATCH(ROWS($AF$2:AF906),$AF$2:$AF$1001,0),1)&gt;=100000,INDEX($AM$1005:$BM$1005,1,MATCH(COLUMNS($AM$1006:AQ1006),$AM$1006:$BM$1006,0))&gt;=100000), " ",IF(INDEX($AM$2:$BM$1001,MATCH(ROWS($AF$2:AF906),$AF$2:$AF$1001,0),MATCH(COLUMNS($AM$1006:AQ1006),$AM$1006:$BM$1006,0)), HYPERLINK("#",""), HYPERLINK(CONCATENATE("#metadata!", ADDRESS(INDEX($AH$2:$AH$1001,MATCH(ROWS($AF$2:AF906),$AF$2:$AF$1001,0),0), INDEX($AM$1004:$BM$1004,1,MATCH(COLUMNS($AM$1006:AQ1006),$AM$1006:$BM$1006,0)))),"Fix")))</f>
        <v xml:space="preserve"> </v>
      </c>
      <c r="G906" s="4" t="str">
        <f ca="1">IF(OR(INDEX($AG$2:$AG$1001,MATCH(ROWS($AF$2:AF906),$AF$2:$AF$1001,0),1)&gt;=100000,INDEX($AM$1005:$BM$1005,1,MATCH(COLUMNS($AM$1006:AR1006),$AM$1006:$BM$1006,0))&gt;=100000), " ",IF(INDEX($AM$2:$BM$1001,MATCH(ROWS($AF$2:AF906),$AF$2:$AF$1001,0),MATCH(COLUMNS($AM$1006:AR1006),$AM$1006:$BM$1006,0)), HYPERLINK("#",""), HYPERLINK(CONCATENATE("#metadata!", ADDRESS(INDEX($AH$2:$AH$1001,MATCH(ROWS($AF$2:AF906),$AF$2:$AF$1001,0),0), INDEX($AM$1004:$BM$1004,1,MATCH(COLUMNS($AM$1006:AR1006),$AM$1006:$BM$1006,0)))),"Fix")))</f>
        <v xml:space="preserve"> </v>
      </c>
      <c r="H906" s="4" t="str">
        <f ca="1">IF(OR(INDEX($AG$2:$AG$1001,MATCH(ROWS($AF$2:AF906),$AF$2:$AF$1001,0),1)&gt;=100000,INDEX($AM$1005:$BM$1005,1,MATCH(COLUMNS($AM$1006:AS1006),$AM$1006:$BM$1006,0))&gt;=100000), " ",IF(INDEX($AM$2:$BM$1001,MATCH(ROWS($AF$2:AF906),$AF$2:$AF$1001,0),MATCH(COLUMNS($AM$1006:AS1006),$AM$1006:$BM$1006,0)), HYPERLINK("#",""), HYPERLINK(CONCATENATE("#metadata!", ADDRESS(INDEX($AH$2:$AH$1001,MATCH(ROWS($AF$2:AF906),$AF$2:$AF$1001,0),0), INDEX($AM$1004:$BM$1004,1,MATCH(COLUMNS($AM$1006:AS1006),$AM$1006:$BM$1006,0)))),"Fix")))</f>
        <v xml:space="preserve"> </v>
      </c>
      <c r="I906" s="4" t="str">
        <f ca="1">IF(OR(INDEX($AG$2:$AG$1001,MATCH(ROWS($AF$2:AF906),$AF$2:$AF$1001,0),1)&gt;=100000,INDEX($AM$1005:$BM$1005,1,MATCH(COLUMNS($AM$1006:AT1006),$AM$1006:$BM$1006,0))&gt;=100000), " ",IF(INDEX($AM$2:$BM$1001,MATCH(ROWS($AF$2:AF906),$AF$2:$AF$1001,0),MATCH(COLUMNS($AM$1006:AT1006),$AM$1006:$BM$1006,0)), HYPERLINK("#",""), HYPERLINK(CONCATENATE("#metadata!", ADDRESS(INDEX($AH$2:$AH$1001,MATCH(ROWS($AF$2:AF906),$AF$2:$AF$1001,0),0), INDEX($AM$1004:$BM$1004,1,MATCH(COLUMNS($AM$1006:AT1006),$AM$1006:$BM$1006,0)))),"Fix")))</f>
        <v xml:space="preserve"> </v>
      </c>
      <c r="J906" s="4" t="str">
        <f ca="1">IF(OR(INDEX($AG$2:$AG$1001,MATCH(ROWS($AF$2:AF906),$AF$2:$AF$1001,0),1)&gt;=100000,INDEX($AM$1005:$BM$1005,1,MATCH(COLUMNS($AM$1006:AU1006),$AM$1006:$BM$1006,0))&gt;=100000), " ",IF(INDEX($AM$2:$BM$1001,MATCH(ROWS($AF$2:AF906),$AF$2:$AF$1001,0),MATCH(COLUMNS($AM$1006:AU1006),$AM$1006:$BM$1006,0)), HYPERLINK("#",""), HYPERLINK(CONCATENATE("#metadata!", ADDRESS(INDEX($AH$2:$AH$1001,MATCH(ROWS($AF$2:AF906),$AF$2:$AF$1001,0),0), INDEX($AM$1004:$BM$1004,1,MATCH(COLUMNS($AM$1006:AU1006),$AM$1006:$BM$1006,0)))),"Fix")))</f>
        <v xml:space="preserve"> </v>
      </c>
      <c r="K906" s="4" t="str">
        <f ca="1">IF(OR(INDEX($AG$2:$AG$1001,MATCH(ROWS($AF$2:AF906),$AF$2:$AF$1001,0),1)&gt;=100000,INDEX($AM$1005:$BM$1005,1,MATCH(COLUMNS($AM$1006:AV1006),$AM$1006:$BM$1006,0))&gt;=100000), " ",IF(INDEX($AM$2:$BM$1001,MATCH(ROWS($AF$2:AF906),$AF$2:$AF$1001,0),MATCH(COLUMNS($AM$1006:AV1006),$AM$1006:$BM$1006,0)), HYPERLINK("#",""), HYPERLINK(CONCATENATE("#metadata!", ADDRESS(INDEX($AH$2:$AH$1001,MATCH(ROWS($AF$2:AF906),$AF$2:$AF$1001,0),0), INDEX($AM$1004:$BM$1004,1,MATCH(COLUMNS($AM$1006:AV1006),$AM$1006:$BM$1006,0)))),"Fix")))</f>
        <v xml:space="preserve"> </v>
      </c>
      <c r="L906" s="4" t="str">
        <f ca="1">IF(OR(INDEX($AG$2:$AG$1001,MATCH(ROWS($AF$2:AF906),$AF$2:$AF$1001,0),1)&gt;=100000,INDEX($AM$1005:$BM$1005,1,MATCH(COLUMNS($AM$1006:AW1006),$AM$1006:$BM$1006,0))&gt;=100000), " ",IF(INDEX($AM$2:$BM$1001,MATCH(ROWS($AF$2:AF906),$AF$2:$AF$1001,0),MATCH(COLUMNS($AM$1006:AW1006),$AM$1006:$BM$1006,0)), HYPERLINK("#",""), HYPERLINK(CONCATENATE("#metadata!", ADDRESS(INDEX($AH$2:$AH$1001,MATCH(ROWS($AF$2:AF906),$AF$2:$AF$1001,0),0), INDEX($AM$1004:$BM$1004,1,MATCH(COLUMNS($AM$1006:AW1006),$AM$1006:$BM$1006,0)))),"Fix")))</f>
        <v xml:space="preserve"> </v>
      </c>
      <c r="M906" s="4" t="str">
        <f ca="1">IF(OR(INDEX($AG$2:$AG$1001,MATCH(ROWS($AF$2:AF906),$AF$2:$AF$1001,0),1)&gt;=100000,INDEX($AM$1005:$BM$1005,1,MATCH(COLUMNS($AM$1006:AX1006),$AM$1006:$BM$1006,0))&gt;=100000), " ",IF(INDEX($AM$2:$BM$1001,MATCH(ROWS($AF$2:AF906),$AF$2:$AF$1001,0),MATCH(COLUMNS($AM$1006:AX1006),$AM$1006:$BM$1006,0)), HYPERLINK("#",""), HYPERLINK(CONCATENATE("#metadata!", ADDRESS(INDEX($AH$2:$AH$1001,MATCH(ROWS($AF$2:AF906),$AF$2:$AF$1001,0),0), INDEX($AM$1004:$BM$1004,1,MATCH(COLUMNS($AM$1006:AX1006),$AM$1006:$BM$1006,0)))),"Fix")))</f>
        <v xml:space="preserve"> </v>
      </c>
      <c r="N906" s="4" t="str">
        <f ca="1">IF(OR(INDEX($AG$2:$AG$1001,MATCH(ROWS($AF$2:AF906),$AF$2:$AF$1001,0),1)&gt;=100000,INDEX($AM$1005:$BM$1005,1,MATCH(COLUMNS($AM$1006:AY1006),$AM$1006:$BM$1006,0))&gt;=100000), " ",IF(INDEX($AM$2:$BM$1001,MATCH(ROWS($AF$2:AF906),$AF$2:$AF$1001,0),MATCH(COLUMNS($AM$1006:AY1006),$AM$1006:$BM$1006,0)), HYPERLINK("#",""), HYPERLINK(CONCATENATE("#metadata!", ADDRESS(INDEX($AH$2:$AH$1001,MATCH(ROWS($AF$2:AF906),$AF$2:$AF$1001,0),0), INDEX($AM$1004:$BM$1004,1,MATCH(COLUMNS($AM$1006:AY1006),$AM$1006:$BM$1006,0)))),"Fix")))</f>
        <v xml:space="preserve"> </v>
      </c>
      <c r="O906" s="4" t="str">
        <f ca="1">IF(OR(INDEX($AG$2:$AG$1001,MATCH(ROWS($AF$2:AF906),$AF$2:$AF$1001,0),1)&gt;=100000,INDEX($AM$1005:$BM$1005,1,MATCH(COLUMNS($AM$1006:AZ1006),$AM$1006:$BM$1006,0))&gt;=100000), " ",IF(INDEX($AM$2:$BM$1001,MATCH(ROWS($AF$2:AF906),$AF$2:$AF$1001,0),MATCH(COLUMNS($AM$1006:AZ1006),$AM$1006:$BM$1006,0)), HYPERLINK("#",""), HYPERLINK(CONCATENATE("#metadata!", ADDRESS(INDEX($AH$2:$AH$1001,MATCH(ROWS($AF$2:AF906),$AF$2:$AF$1001,0),0), INDEX($AM$1004:$BM$1004,1,MATCH(COLUMNS($AM$1006:AZ1006),$AM$1006:$BM$1006,0)))),"Fix")))</f>
        <v xml:space="preserve"> </v>
      </c>
      <c r="P906" s="4" t="str">
        <f ca="1">IF(OR(INDEX($AG$2:$AG$1001,MATCH(ROWS($AF$2:AF906),$AF$2:$AF$1001,0),1)&gt;=100000,INDEX($AM$1005:$BM$1005,1,MATCH(COLUMNS($AM$1006:BA1006),$AM$1006:$BM$1006,0))&gt;=100000), " ",IF(INDEX($AM$2:$BM$1001,MATCH(ROWS($AF$2:AF906),$AF$2:$AF$1001,0),MATCH(COLUMNS($AM$1006:BA1006),$AM$1006:$BM$1006,0)), HYPERLINK("#",""), HYPERLINK(CONCATENATE("#metadata!", ADDRESS(INDEX($AH$2:$AH$1001,MATCH(ROWS($AF$2:AF906),$AF$2:$AF$1001,0),0), INDEX($AM$1004:$BM$1004,1,MATCH(COLUMNS($AM$1006:BA1006),$AM$1006:$BM$1006,0)))),"Fix")))</f>
        <v xml:space="preserve"> </v>
      </c>
      <c r="Q906" s="4" t="str">
        <f ca="1">IF(OR(INDEX($AG$2:$AG$1001,MATCH(ROWS($AF$2:AF906),$AF$2:$AF$1001,0),1)&gt;=100000,INDEX($AM$1005:$BM$1005,1,MATCH(COLUMNS($AM$1006:BB1006),$AM$1006:$BM$1006,0))&gt;=100000), " ",IF(INDEX($AM$2:$BM$1001,MATCH(ROWS($AF$2:AF906),$AF$2:$AF$1001,0),MATCH(COLUMNS($AM$1006:BB1006),$AM$1006:$BM$1006,0)), HYPERLINK("#",""), HYPERLINK(CONCATENATE("#metadata!", ADDRESS(INDEX($AH$2:$AH$1001,MATCH(ROWS($AF$2:AF906),$AF$2:$AF$1001,0),0), INDEX($AM$1004:$BM$1004,1,MATCH(COLUMNS($AM$1006:BB1006),$AM$1006:$BM$1006,0)))),"Fix")))</f>
        <v xml:space="preserve"> </v>
      </c>
      <c r="R906" s="4" t="str">
        <f ca="1">IF(OR(INDEX($AG$2:$AG$1001,MATCH(ROWS($AF$2:AF906),$AF$2:$AF$1001,0),1)&gt;=100000,INDEX($AM$1005:$BM$1005,1,MATCH(COLUMNS($AM$1006:BC1006),$AM$1006:$BM$1006,0))&gt;=100000), " ",IF(INDEX($AM$2:$BM$1001,MATCH(ROWS($AF$2:AF906),$AF$2:$AF$1001,0),MATCH(COLUMNS($AM$1006:BC1006),$AM$1006:$BM$1006,0)), HYPERLINK("#",""), HYPERLINK(CONCATENATE("#metadata!", ADDRESS(INDEX($AH$2:$AH$1001,MATCH(ROWS($AF$2:AF906),$AF$2:$AF$1001,0),0), INDEX($AM$1004:$BM$1004,1,MATCH(COLUMNS($AM$1006:BC1006),$AM$1006:$BM$1006,0)))),"Fix")))</f>
        <v xml:space="preserve"> </v>
      </c>
      <c r="S906" s="4" t="str">
        <f ca="1">IF(OR(INDEX($AG$2:$AG$1001,MATCH(ROWS($AF$2:AF906),$AF$2:$AF$1001,0),1)&gt;=100000,INDEX($AM$1005:$BM$1005,1,MATCH(COLUMNS($AM$1006:BD1006),$AM$1006:$BM$1006,0))&gt;=100000), " ",IF(INDEX($AM$2:$BM$1001,MATCH(ROWS($AF$2:AF906),$AF$2:$AF$1001,0),MATCH(COLUMNS($AM$1006:BD1006),$AM$1006:$BM$1006,0)), HYPERLINK("#",""), HYPERLINK(CONCATENATE("#metadata!", ADDRESS(INDEX($AH$2:$AH$1001,MATCH(ROWS($AF$2:AF906),$AF$2:$AF$1001,0),0), INDEX($AM$1004:$BM$1004,1,MATCH(COLUMNS($AM$1006:BD1006),$AM$1006:$BM$1006,0)))),"Fix")))</f>
        <v xml:space="preserve"> </v>
      </c>
      <c r="T906" s="4" t="str">
        <f ca="1">IF(OR(INDEX($AG$2:$AG$1001,MATCH(ROWS($AF$2:AF906),$AF$2:$AF$1001,0),1)&gt;=100000,INDEX($AM$1005:$BM$1005,1,MATCH(COLUMNS($AM$1006:BE1006),$AM$1006:$BM$1006,0))&gt;=100000), " ",IF(INDEX($AM$2:$BM$1001,MATCH(ROWS($AF$2:AF906),$AF$2:$AF$1001,0),MATCH(COLUMNS($AM$1006:BE1006),$AM$1006:$BM$1006,0)), HYPERLINK("#",""), HYPERLINK(CONCATENATE("#metadata!", ADDRESS(INDEX($AH$2:$AH$1001,MATCH(ROWS($AF$2:AF906),$AF$2:$AF$1001,0),0), INDEX($AM$1004:$BM$1004,1,MATCH(COLUMNS($AM$1006:BE1006),$AM$1006:$BM$1006,0)))),"Fix")))</f>
        <v xml:space="preserve"> </v>
      </c>
      <c r="U906" s="4" t="str">
        <f ca="1">IF(OR(INDEX($AG$2:$AG$1001,MATCH(ROWS($AF$2:AF906),$AF$2:$AF$1001,0),1)&gt;=100000,INDEX($AM$1005:$BM$1005,1,MATCH(COLUMNS($AM$1006:BF1006),$AM$1006:$BM$1006,0))&gt;=100000), " ",IF(INDEX($AM$2:$BM$1001,MATCH(ROWS($AF$2:AF906),$AF$2:$AF$1001,0),MATCH(COLUMNS($AM$1006:BF1006),$AM$1006:$BM$1006,0)), HYPERLINK("#",""), HYPERLINK(CONCATENATE("#metadata!", ADDRESS(INDEX($AH$2:$AH$1001,MATCH(ROWS($AF$2:AF906),$AF$2:$AF$1001,0),0), INDEX($AM$1004:$BM$1004,1,MATCH(COLUMNS($AM$1006:BF1006),$AM$1006:$BM$1006,0)))),"Fix")))</f>
        <v xml:space="preserve"> </v>
      </c>
      <c r="V906" s="4" t="str">
        <f ca="1">IF(OR(INDEX($AG$2:$AG$1001,MATCH(ROWS($AF$2:AF906),$AF$2:$AF$1001,0),1)&gt;=100000,INDEX($AM$1005:$BM$1005,1,MATCH(COLUMNS($AM$1006:BG1006),$AM$1006:$BM$1006,0))&gt;=100000), " ",IF(INDEX($AM$2:$BM$1001,MATCH(ROWS($AF$2:AF906),$AF$2:$AF$1001,0),MATCH(COLUMNS($AM$1006:BG1006),$AM$1006:$BM$1006,0)), HYPERLINK("#",""), HYPERLINK(CONCATENATE("#metadata!", ADDRESS(INDEX($AH$2:$AH$1001,MATCH(ROWS($AF$2:AF906),$AF$2:$AF$1001,0),0), INDEX($AM$1004:$BM$1004,1,MATCH(COLUMNS($AM$1006:BG1006),$AM$1006:$BM$1006,0)))),"Fix")))</f>
        <v xml:space="preserve"> </v>
      </c>
      <c r="W906" s="4" t="str">
        <f ca="1">IF(OR(INDEX($AG$2:$AG$1001,MATCH(ROWS($AF$2:AF906),$AF$2:$AF$1001,0),1)&gt;=100000,INDEX($AM$1005:$BM$1005,1,MATCH(COLUMNS($AM$1006:BH1006),$AM$1006:$BM$1006,0))&gt;=100000), " ",IF(INDEX($AM$2:$BM$1001,MATCH(ROWS($AF$2:AF906),$AF$2:$AF$1001,0),MATCH(COLUMNS($AM$1006:BH1006),$AM$1006:$BM$1006,0)), HYPERLINK("#",""), HYPERLINK(CONCATENATE("#metadata!", ADDRESS(INDEX($AH$2:$AH$1001,MATCH(ROWS($AF$2:AF906),$AF$2:$AF$1001,0),0), INDEX($AM$1004:$BM$1004,1,MATCH(COLUMNS($AM$1006:BH1006),$AM$1006:$BM$1006,0)))),"Fix")))</f>
        <v xml:space="preserve"> </v>
      </c>
      <c r="X906" s="4" t="str">
        <f ca="1">IF(OR(INDEX($AG$2:$AG$1001,MATCH(ROWS($AF$2:AF906),$AF$2:$AF$1001,0),1)&gt;=100000,INDEX($AM$1005:$BM$1005,1,MATCH(COLUMNS($AM$1006:BI1006),$AM$1006:$BM$1006,0))&gt;=100000), " ",IF(INDEX($AM$2:$BM$1001,MATCH(ROWS($AF$2:AF906),$AF$2:$AF$1001,0),MATCH(COLUMNS($AM$1006:BI1006),$AM$1006:$BM$1006,0)), HYPERLINK("#",""), HYPERLINK(CONCATENATE("#metadata!", ADDRESS(INDEX($AH$2:$AH$1001,MATCH(ROWS($AF$2:AF906),$AF$2:$AF$1001,0),0), INDEX($AM$1004:$BM$1004,1,MATCH(COLUMNS($AM$1006:BI1006),$AM$1006:$BM$1006,0)))),"Fix")))</f>
        <v xml:space="preserve"> </v>
      </c>
      <c r="Y906" s="4" t="str">
        <f ca="1">IF(OR(INDEX($AG$2:$AG$1001,MATCH(ROWS($AF$2:AF906),$AF$2:$AF$1001,0),1)&gt;=100000,INDEX($AM$1005:$BM$1005,1,MATCH(COLUMNS($AM$1006:BJ1006),$AM$1006:$BM$1006,0))&gt;=100000), " ",IF(INDEX($AM$2:$BM$1001,MATCH(ROWS($AF$2:AF906),$AF$2:$AF$1001,0),MATCH(COLUMNS($AM$1006:BJ1006),$AM$1006:$BM$1006,0)), HYPERLINK("#",""), HYPERLINK(CONCATENATE("#metadata!", ADDRESS(INDEX($AH$2:$AH$1001,MATCH(ROWS($AF$2:AF906),$AF$2:$AF$1001,0),0), INDEX($AM$1004:$BM$1004,1,MATCH(COLUMNS($AM$1006:BJ1006),$AM$1006:$BM$1006,0)))),"Fix")))</f>
        <v xml:space="preserve"> </v>
      </c>
      <c r="Z906" s="4" t="str">
        <f ca="1">IF(OR(INDEX($AG$2:$AG$1001,MATCH(ROWS($AF$2:AF906),$AF$2:$AF$1001,0),1)&gt;=100000,INDEX($AM$1005:$BM$1005,1,MATCH(COLUMNS($AM$1006:BK1006),$AM$1006:$BM$1006,0))&gt;=100000), " ",IF(INDEX($AM$2:$BM$1001,MATCH(ROWS($AF$2:AF906),$AF$2:$AF$1001,0),MATCH(COLUMNS($AM$1006:BK1006),$AM$1006:$BM$1006,0)), HYPERLINK("#",""), HYPERLINK(CONCATENATE("#metadata!", ADDRESS(INDEX($AH$2:$AH$1001,MATCH(ROWS($AF$2:AF906),$AF$2:$AF$1001,0),0), INDEX($AM$1004:$BM$1004,1,MATCH(COLUMNS($AM$1006:BK1006),$AM$1006:$BM$1006,0)))),"Fix")))</f>
        <v xml:space="preserve"> </v>
      </c>
      <c r="AA906" s="4" t="str">
        <f ca="1">IF(OR(INDEX($AG$2:$AG$1001,MATCH(ROWS($AF$2:AF906),$AF$2:$AF$1001,0),1)&gt;=100000,INDEX($AM$1005:$BM$1005,1,MATCH(COLUMNS($AM$1006:BL1006),$AM$1006:$BM$1006,0))&gt;=100000), " ",IF(INDEX($AM$2:$BM$1001,MATCH(ROWS($AF$2:AF906),$AF$2:$AF$1001,0),MATCH(COLUMNS($AM$1006:BL1006),$AM$1006:$BM$1006,0)), HYPERLINK("#",""), HYPERLINK(CONCATENATE("#metadata!", ADDRESS(INDEX($AH$2:$AH$1001,MATCH(ROWS($AF$2:AF906),$AF$2:$AF$1001,0),0), INDEX($AM$1004:$BM$1004,1,MATCH(COLUMNS($AM$1006:BL1006),$AM$1006:$BM$1006,0)))),"Fix")))</f>
        <v xml:space="preserve"> </v>
      </c>
      <c r="AB906" s="4" t="str">
        <f ca="1">IF(OR(INDEX($AG$2:$AG$1001,MATCH(ROWS($AF$2:AF906),$AF$2:$AF$1001,0),1)&gt;=100000,INDEX($AM$1005:$BM$1005,1,MATCH(COLUMNS($AM$1006:BM1006),$AM$1006:$BM$1006,0))&gt;=100000), " ",IF(INDEX($AM$2:$BM$1001,MATCH(ROWS($AF$2:AF906),$AF$2:$AF$1001,0),MATCH(COLUMNS($AM$1006:BM1006),$AM$1006:$BM$1006,0)), HYPERLINK("#",""), HYPERLINK(CONCATENATE("#metadata!", ADDRESS(INDEX($AH$2:$AH$1001,MATCH(ROWS($AF$2:AF906),$AF$2:$AF$1001,0),0), INDEX($AM$1004:$BM$1004,1,MATCH(COLUMNS($AM$1006:BM1006),$AM$1006:$BM$1006,0)))),"Fix")))</f>
        <v xml:space="preserve"> </v>
      </c>
      <c r="AF906">
        <v>905</v>
      </c>
      <c r="AG906">
        <v>100906</v>
      </c>
      <c r="AH906">
        <v>906</v>
      </c>
      <c r="AI906" t="b">
        <f t="shared" si="14"/>
        <v>1</v>
      </c>
      <c r="AJ906" t="b">
        <f>COUNTBLANK(metadata!B906:AB906)=COLUMNS(metadata!B906:AB906)</f>
        <v>1</v>
      </c>
      <c r="AK906" t="str">
        <v/>
      </c>
      <c r="AM906" t="b">
        <f ca="1">AND(IF(metadata!B906="",FALSE,TRUE),COUNTIF(metadata!B:B, metadata!B906) = 1,NOT(ISERROR(SUMPRODUCT(SEARCH(MID(metadata!B906,ROW(INDIRECT("1:"&amp;LEN(metadata!B906))), 1),"0123456789abcdefghijklmnopqrstuvwxyzABCDEFGHIJKLMNOPQRSTUVWXYZ.")))))</f>
        <v>0</v>
      </c>
      <c r="AN906" t="b">
        <f ca="1">OR(AND(IF(metadata!C906="",FALSE,TRUE),OR(EXACT(metadata!C906,"missing: not collected"),EXACT(metadata!C906,"missing: not provided"),EXACT(metadata!C906,"missing: restricted access"))),AND(IF(metadata!C906="",FALSE,TRUE),AND(AND(IFERROR(INT(LEFT(metadata!C906,4))&gt;1900,FALSE),IFERROR(INT(LEFT(metadata!C906,4))&lt;=YEAR(NOW()),FALSE)), OR(MID(metadata!C906,5,1)="", AND(AND(MID(metadata!C906,5,1)="-",IFERROR(INT(MID(metadata!C906,6,1))&gt;=0,FALSE),IFERROR(INT(MID(metadata!C906,6,1))&lt;=1,FALSE),NOT(MID(metadata!C906,7,1)=""),IFERROR(INT(MID(metadata!C906,6,2))&gt;=1,FALSE),IFERROR(INT(MID(metadata!C906,6,2))&lt;=12,FALSE)), OR(MID(metadata!C906,8,1)="", AND(AND(MID(metadata!C906,8,1)="-",IFERROR(INT(MID(metadata!C906,9,1))&gt;=0,FALSE),IFERROR(INT(MID(metadata!C906,9,1))&lt;=3,FALSE),NOT(MID(metadata!C906,10,1)=""),IFERROR(INT(MID(metadata!C906,9,2))&gt;=1,FALSE),IFERROR(INT(MID(metadata!C906,9,2))&lt;=31,FALSE)), OR(MID(metadata!C906,11,1)="", AND(AND(MID(metadata!C906,11,1)=" ",IFERROR(INT(MID(metadata!C906,12,1))&gt;=0,FALSE),IFERROR(INT(MID(metadata!C906,12,1))&lt;=2,FALSE),NOT(MID(metadata!C906,13,1)=""),IFERROR(INT(MID(metadata!C906,12,2))&gt;=0,FALSE),IFERROR(INT(MID(metadata!C906,12,2))&lt;=23,FALSE)), OR(MID(metadata!C906,14,1)="", AND(AND(MID(metadata!C906,14,1)=":",IFERROR(INT(MID(metadata!C906,15,1))&gt;=0,FALSE),IFERROR(INT(MID(metadata!C906,15,1))&lt;=5,FALSE),NOT(MID(metadata!C906,16,1)=""),IFERROR(INT(MID(metadata!C906,15,2))&gt;=0,FALSE),IFERROR(INT(MID(metadata!C906,15,2))&lt;=59,FALSE)), OR(MID(metadata!C906,17,1)="", AND(AND(MID(metadata!C906,17,1)=":",IFERROR(INT(MID(metadata!C906,18,1))&gt;=0,FALSE),IFERROR(INT(MID(metadata!C906,18,1))&lt;=5,FALSE),NOT(MID(metadata!C906,19,1)=""),IFERROR(INT(MID(metadata!C906,18,2))&gt;=0,FALSE),IFERROR(INT(MID(metadata!C906,18,2))&lt;=59,FALSE)), LEN(metadata!C906)&lt;=19)))))))))))))</f>
        <v>0</v>
      </c>
      <c r="AO906" t="b">
        <f>AND(IF(metadata!D906="",FALSE,TRUE),EXACT(metadata!D906,"Not applicable"))</f>
        <v>0</v>
      </c>
      <c r="AP906" t="b">
        <f>IF(metadata!E906="",FALSE,TRUE)</f>
        <v>0</v>
      </c>
      <c r="AQ906" t="b">
        <f>OR(AND(IF(metadata!F906="",FALSE,TRUE),OR(EXACT(metadata!F906,"missing: not collected"),EXACT(metadata!F906,"missing: not provided"))),AND(IF(metadata!F906="",FALSE,TRUE),OR(EXACT(metadata!F906,"TRUE"),EXACT(metadata!F906,"FALSE"))))</f>
        <v>0</v>
      </c>
      <c r="AR906" t="b">
        <f>OR(AND(IF(metadata!G906="",FALSE,TRUE),OR(EXACT(metadata!G906,"missing: not collected"),EXACT(metadata!G906,"missing: not provided"),EXACT(metadata!G906,"missing: restricted access"))),AND(IF(metadata!G906="",FALSE,ISNUMBER(VALUE(metadata!G906))),metadata!G906&gt;=-413))</f>
        <v>0</v>
      </c>
      <c r="AS906" t="b">
        <f>AND(IF(metadata!H906="",FALSE,TRUE),EXACT(metadata!H906,"meters"))</f>
        <v>0</v>
      </c>
      <c r="AT906" t="b">
        <f>AND(IF(metadata!I906="",FALSE,TRUE),OR(EXACT(metadata!I906,"Host-associated"),EXACT(metadata!I906,"Free-living")))</f>
        <v>0</v>
      </c>
      <c r="AU906" t="b">
        <f>AND(IF(metadata!J906="",FALSE,TRUE),OR(EXACT(metadata!J906,"Animal"),EXACT(metadata!J906,"Fungus"),EXACT(metadata!J906,"Plant"),EXACT(metadata!J906,"Saline"),EXACT(metadata!J906,"Non-saline")))</f>
        <v>0</v>
      </c>
      <c r="AV906" t="b">
        <f>AND(IF(metadata!K906="",FALSE,TRUE),OR(EXACT(metadata!K906,"Plant secretion"),EXACT(metadata!K906,"Plant rhizosphere"),EXACT(metadata!K906,"Plant surface"),EXACT(metadata!K906,"Plant corpus"),EXACT(metadata!K906,"Fungus surface"),EXACT(metadata!K906,"Fungus corpus"),EXACT(metadata!K906,"Animal surface"),EXACT(metadata!K906,"Animal proximal gut"),EXACT(metadata!K906,"Animal corpus"),EXACT(metadata!K906,"Animal distal gut"),EXACT(metadata!K906,"Animal secretion"),EXACT(metadata!K906,"Sub-surface (non-saline)"),EXACT(metadata!K906,"Surface (non-saline)"),EXACT(metadata!K906,"Water (non-saline)"),EXACT(metadata!K906,"Soil (non-saline)"),EXACT(metadata!K906,"Aerosol (non-saline)"),EXACT(metadata!K906,"Sediment (non-saline)"),EXACT(metadata!K906,"Surface (saline)"),EXACT(metadata!K906,"Water (saline)"),EXACT(metadata!K906,"Hypersaline (saline)"),EXACT(metadata!K906,"Aerosol (saline)"),EXACT(metadata!K906,"Sediment (saline)")))</f>
        <v>0</v>
      </c>
      <c r="AW906" t="b">
        <f>IF(metadata!L906="",FALSE,TRUE)</f>
        <v>0</v>
      </c>
      <c r="AX906" t="b">
        <f>IF(metadata!M906="",FALSE,TRUE)</f>
        <v>0</v>
      </c>
      <c r="AY906" t="b">
        <f>IF(metadata!N906="",FALSE,TRUE)</f>
        <v>0</v>
      </c>
      <c r="AZ906" t="b">
        <f>OR(AND(IF(metadata!O906="",FALSE,TRUE),OR(EXACT(metadata!O906,"missing: not collected"),EXACT(metadata!O906,"missing: not provided"),EXACT(metadata!O906,"missing: restricted access"))),AND(IF(metadata!O906="",FALSE,TRUE),OR(EXACT(metadata!O906,"air"),EXACT(metadata!O906,"built environment"),EXACT(metadata!O906,"host-associated"),EXACT(metadata!O906,"human-associated"),EXACT(metadata!O906,"human-skin"),EXACT(metadata!O906,"human-oral"),EXACT(metadata!O906,"human-gut"),EXACT(metadata!O906,"human-vaginal"),EXACT(metadata!O906,"microbial mat/biofilm"),EXACT(metadata!O906,"misc environment"),EXACT(metadata!O906,"plant-associated"),EXACT(metadata!O906,"sediment"),EXACT(metadata!O906,"soil"),EXACT(metadata!O906,"wastewater/sludge"),EXACT(metadata!O906,"water"))))</f>
        <v>0</v>
      </c>
      <c r="BA906" t="b">
        <f>IF(metadata!P906="",FALSE,TRUE)</f>
        <v>0</v>
      </c>
      <c r="BB906" t="b">
        <f>IF(metadata!Q906="",FALSE,TRUE)</f>
        <v>0</v>
      </c>
      <c r="BC906" t="b">
        <f>OR(AND(IF(metadata!R906="",FALSE,TRUE),OR(EXACT(metadata!R906,"missing: not collected"),EXACT(metadata!R906,"missing: not provided"),EXACT(metadata!R906,"missing: restricted access"))),AND(IF(metadata!R906="",FALSE,ISNUMBER(VALUE(metadata!R906))),metadata!R906&gt;=-90,metadata!R906&lt;=90))</f>
        <v>0</v>
      </c>
      <c r="BD906" t="b">
        <f>AND(IF(metadata!S906="",FALSE,TRUE),EXACT(metadata!S906,"Decimal degrees"))</f>
        <v>0</v>
      </c>
      <c r="BE906" t="b">
        <f>OR(AND(IF(metadata!T906="",FALSE,TRUE),OR(EXACT(metadata!T906,"missing: not collected"),EXACT(metadata!T906,"missing: not provided"),EXACT(metadata!T906,"missing: restricted access"))),AND(IF(metadata!T906="",FALSE,ISNUMBER(VALUE(metadata!T906))),metadata!T906&gt;=-180,metadata!T906&lt;=180))</f>
        <v>0</v>
      </c>
      <c r="BF906" t="b">
        <f>AND(IF(metadata!U906="",FALSE,TRUE),EXACT(metadata!U906,"Decimal degrees"))</f>
        <v>0</v>
      </c>
      <c r="BG906" t="b">
        <f>IF(metadata!V906="",FALSE,TRUE)</f>
        <v>0</v>
      </c>
      <c r="BH906" t="b">
        <f>OR(AND(IF(metadata!W906="",FALSE,TRUE),OR(EXACT(metadata!W906,"missing: not collected"),EXACT(metadata!W906,"missing: not provided"),EXACT(metadata!W906,"missing: restricted access"))),AND(IF(metadata!W906="",FALSE,TRUE),OR(EXACT(metadata!W906,"TRUE"),EXACT(metadata!W906,"FALSE"))))</f>
        <v>0</v>
      </c>
      <c r="BI906" t="b">
        <f>AND(IF(metadata!X906="",FALSE,TRUE),EXACT(metadata!X906,"other"))</f>
        <v>0</v>
      </c>
      <c r="BJ906" t="b">
        <f>IF(metadata!Y906="",FALSE,TRUE)</f>
        <v>0</v>
      </c>
      <c r="BK906" t="b">
        <f>OR(AND(IF(metadata!Z906="",FALSE,TRUE),OR(EXACT(metadata!Z906,"missing: not collected"),EXACT(metadata!Z906,"missing: not provided"))),AND(IF(metadata!Z906="",FALSE,IF(ISERROR(INT(metadata!Z906)),FALSE,INT(metadata!Z906)=metadata!Z906)),metadata!Z906&gt;0))</f>
        <v>0</v>
      </c>
      <c r="BL906" t="b">
        <f>AND(IF(metadata!AA906="",FALSE,TRUE),EXACT(metadata!AA906,"Not applicable"))</f>
        <v>0</v>
      </c>
      <c r="BM906" t="b">
        <f>IF(metadata!AB906="",FALSE,TRUE)</f>
        <v>0</v>
      </c>
    </row>
    <row r="907" spans="1:65" x14ac:dyDescent="0.2">
      <c r="A907" s="5" t="str">
        <f ca="1">IF(B907=" "," ",HYPERLINK(CONCATENATE("#metadata!",ADDRESS(INDEX($AH$2:$AH$1001,MATCH(ROWS($AF$2:AF907),$AF$2:$AF$1001,0),0),1)),INDEX($AK$2:$AK$1001,MATCH(ROWS($AF$2:AF907),$AF$2:$AF$1001,0),0)))</f>
        <v xml:space="preserve"> </v>
      </c>
      <c r="B907" s="4" t="str">
        <f ca="1">IF(OR(INDEX($AG$2:$AG$1001,MATCH(ROWS($AF$2:AF907),$AF$2:$AF$1001,0),1)&gt;=100000,INDEX($AM$1005:$BM$1005,1,MATCH(COLUMNS($AM$1006:AM1006),$AM$1006:$BM$1006,0))&gt;=100000), " ",IF(INDEX($AM$2:$BM$1001,MATCH(ROWS($AF$2:AF907),$AF$2:$AF$1001,0),MATCH(COLUMNS($AM$1006:AM1006),$AM$1006:$BM$1006,0)), HYPERLINK("#",""), HYPERLINK(CONCATENATE("#metadata!", ADDRESS(INDEX($AH$2:$AH$1001,MATCH(ROWS($AF$2:AF907),$AF$2:$AF$1001,0),0), INDEX($AM$1004:$BM$1004,1,MATCH(COLUMNS($AM$1006:AM1006),$AM$1006:$BM$1006,0)))),"Fix")))</f>
        <v xml:space="preserve"> </v>
      </c>
      <c r="C907" s="4" t="str">
        <f ca="1">IF(OR(INDEX($AG$2:$AG$1001,MATCH(ROWS($AF$2:AF907),$AF$2:$AF$1001,0),1)&gt;=100000,INDEX($AM$1005:$BM$1005,1,MATCH(COLUMNS($AM$1006:AN1006),$AM$1006:$BM$1006,0))&gt;=100000), " ",IF(INDEX($AM$2:$BM$1001,MATCH(ROWS($AF$2:AF907),$AF$2:$AF$1001,0),MATCH(COLUMNS($AM$1006:AN1006),$AM$1006:$BM$1006,0)), HYPERLINK("#",""), HYPERLINK(CONCATENATE("#metadata!", ADDRESS(INDEX($AH$2:$AH$1001,MATCH(ROWS($AF$2:AF907),$AF$2:$AF$1001,0),0), INDEX($AM$1004:$BM$1004,1,MATCH(COLUMNS($AM$1006:AN1006),$AM$1006:$BM$1006,0)))),"Fix")))</f>
        <v xml:space="preserve"> </v>
      </c>
      <c r="D907" s="4" t="str">
        <f ca="1">IF(OR(INDEX($AG$2:$AG$1001,MATCH(ROWS($AF$2:AF907),$AF$2:$AF$1001,0),1)&gt;=100000,INDEX($AM$1005:$BM$1005,1,MATCH(COLUMNS($AM$1006:AO1006),$AM$1006:$BM$1006,0))&gt;=100000), " ",IF(INDEX($AM$2:$BM$1001,MATCH(ROWS($AF$2:AF907),$AF$2:$AF$1001,0),MATCH(COLUMNS($AM$1006:AO1006),$AM$1006:$BM$1006,0)), HYPERLINK("#",""), HYPERLINK(CONCATENATE("#metadata!", ADDRESS(INDEX($AH$2:$AH$1001,MATCH(ROWS($AF$2:AF907),$AF$2:$AF$1001,0),0), INDEX($AM$1004:$BM$1004,1,MATCH(COLUMNS($AM$1006:AO1006),$AM$1006:$BM$1006,0)))),"Fix")))</f>
        <v xml:space="preserve"> </v>
      </c>
      <c r="E907" s="4" t="str">
        <f ca="1">IF(OR(INDEX($AG$2:$AG$1001,MATCH(ROWS($AF$2:AF907),$AF$2:$AF$1001,0),1)&gt;=100000,INDEX($AM$1005:$BM$1005,1,MATCH(COLUMNS($AM$1006:AP1006),$AM$1006:$BM$1006,0))&gt;=100000), " ",IF(INDEX($AM$2:$BM$1001,MATCH(ROWS($AF$2:AF907),$AF$2:$AF$1001,0),MATCH(COLUMNS($AM$1006:AP1006),$AM$1006:$BM$1006,0)), HYPERLINK("#",""), HYPERLINK(CONCATENATE("#metadata!", ADDRESS(INDEX($AH$2:$AH$1001,MATCH(ROWS($AF$2:AF907),$AF$2:$AF$1001,0),0), INDEX($AM$1004:$BM$1004,1,MATCH(COLUMNS($AM$1006:AP1006),$AM$1006:$BM$1006,0)))),"Fix")))</f>
        <v xml:space="preserve"> </v>
      </c>
      <c r="F907" s="4" t="str">
        <f ca="1">IF(OR(INDEX($AG$2:$AG$1001,MATCH(ROWS($AF$2:AF907),$AF$2:$AF$1001,0),1)&gt;=100000,INDEX($AM$1005:$BM$1005,1,MATCH(COLUMNS($AM$1006:AQ1006),$AM$1006:$BM$1006,0))&gt;=100000), " ",IF(INDEX($AM$2:$BM$1001,MATCH(ROWS($AF$2:AF907),$AF$2:$AF$1001,0),MATCH(COLUMNS($AM$1006:AQ1006),$AM$1006:$BM$1006,0)), HYPERLINK("#",""), HYPERLINK(CONCATENATE("#metadata!", ADDRESS(INDEX($AH$2:$AH$1001,MATCH(ROWS($AF$2:AF907),$AF$2:$AF$1001,0),0), INDEX($AM$1004:$BM$1004,1,MATCH(COLUMNS($AM$1006:AQ1006),$AM$1006:$BM$1006,0)))),"Fix")))</f>
        <v xml:space="preserve"> </v>
      </c>
      <c r="G907" s="4" t="str">
        <f ca="1">IF(OR(INDEX($AG$2:$AG$1001,MATCH(ROWS($AF$2:AF907),$AF$2:$AF$1001,0),1)&gt;=100000,INDEX($AM$1005:$BM$1005,1,MATCH(COLUMNS($AM$1006:AR1006),$AM$1006:$BM$1006,0))&gt;=100000), " ",IF(INDEX($AM$2:$BM$1001,MATCH(ROWS($AF$2:AF907),$AF$2:$AF$1001,0),MATCH(COLUMNS($AM$1006:AR1006),$AM$1006:$BM$1006,0)), HYPERLINK("#",""), HYPERLINK(CONCATENATE("#metadata!", ADDRESS(INDEX($AH$2:$AH$1001,MATCH(ROWS($AF$2:AF907),$AF$2:$AF$1001,0),0), INDEX($AM$1004:$BM$1004,1,MATCH(COLUMNS($AM$1006:AR1006),$AM$1006:$BM$1006,0)))),"Fix")))</f>
        <v xml:space="preserve"> </v>
      </c>
      <c r="H907" s="4" t="str">
        <f ca="1">IF(OR(INDEX($AG$2:$AG$1001,MATCH(ROWS($AF$2:AF907),$AF$2:$AF$1001,0),1)&gt;=100000,INDEX($AM$1005:$BM$1005,1,MATCH(COLUMNS($AM$1006:AS1006),$AM$1006:$BM$1006,0))&gt;=100000), " ",IF(INDEX($AM$2:$BM$1001,MATCH(ROWS($AF$2:AF907),$AF$2:$AF$1001,0),MATCH(COLUMNS($AM$1006:AS1006),$AM$1006:$BM$1006,0)), HYPERLINK("#",""), HYPERLINK(CONCATENATE("#metadata!", ADDRESS(INDEX($AH$2:$AH$1001,MATCH(ROWS($AF$2:AF907),$AF$2:$AF$1001,0),0), INDEX($AM$1004:$BM$1004,1,MATCH(COLUMNS($AM$1006:AS1006),$AM$1006:$BM$1006,0)))),"Fix")))</f>
        <v xml:space="preserve"> </v>
      </c>
      <c r="I907" s="4" t="str">
        <f ca="1">IF(OR(INDEX($AG$2:$AG$1001,MATCH(ROWS($AF$2:AF907),$AF$2:$AF$1001,0),1)&gt;=100000,INDEX($AM$1005:$BM$1005,1,MATCH(COLUMNS($AM$1006:AT1006),$AM$1006:$BM$1006,0))&gt;=100000), " ",IF(INDEX($AM$2:$BM$1001,MATCH(ROWS($AF$2:AF907),$AF$2:$AF$1001,0),MATCH(COLUMNS($AM$1006:AT1006),$AM$1006:$BM$1006,0)), HYPERLINK("#",""), HYPERLINK(CONCATENATE("#metadata!", ADDRESS(INDEX($AH$2:$AH$1001,MATCH(ROWS($AF$2:AF907),$AF$2:$AF$1001,0),0), INDEX($AM$1004:$BM$1004,1,MATCH(COLUMNS($AM$1006:AT1006),$AM$1006:$BM$1006,0)))),"Fix")))</f>
        <v xml:space="preserve"> </v>
      </c>
      <c r="J907" s="4" t="str">
        <f ca="1">IF(OR(INDEX($AG$2:$AG$1001,MATCH(ROWS($AF$2:AF907),$AF$2:$AF$1001,0),1)&gt;=100000,INDEX($AM$1005:$BM$1005,1,MATCH(COLUMNS($AM$1006:AU1006),$AM$1006:$BM$1006,0))&gt;=100000), " ",IF(INDEX($AM$2:$BM$1001,MATCH(ROWS($AF$2:AF907),$AF$2:$AF$1001,0),MATCH(COLUMNS($AM$1006:AU1006),$AM$1006:$BM$1006,0)), HYPERLINK("#",""), HYPERLINK(CONCATENATE("#metadata!", ADDRESS(INDEX($AH$2:$AH$1001,MATCH(ROWS($AF$2:AF907),$AF$2:$AF$1001,0),0), INDEX($AM$1004:$BM$1004,1,MATCH(COLUMNS($AM$1006:AU1006),$AM$1006:$BM$1006,0)))),"Fix")))</f>
        <v xml:space="preserve"> </v>
      </c>
      <c r="K907" s="4" t="str">
        <f ca="1">IF(OR(INDEX($AG$2:$AG$1001,MATCH(ROWS($AF$2:AF907),$AF$2:$AF$1001,0),1)&gt;=100000,INDEX($AM$1005:$BM$1005,1,MATCH(COLUMNS($AM$1006:AV1006),$AM$1006:$BM$1006,0))&gt;=100000), " ",IF(INDEX($AM$2:$BM$1001,MATCH(ROWS($AF$2:AF907),$AF$2:$AF$1001,0),MATCH(COLUMNS($AM$1006:AV1006),$AM$1006:$BM$1006,0)), HYPERLINK("#",""), HYPERLINK(CONCATENATE("#metadata!", ADDRESS(INDEX($AH$2:$AH$1001,MATCH(ROWS($AF$2:AF907),$AF$2:$AF$1001,0),0), INDEX($AM$1004:$BM$1004,1,MATCH(COLUMNS($AM$1006:AV1006),$AM$1006:$BM$1006,0)))),"Fix")))</f>
        <v xml:space="preserve"> </v>
      </c>
      <c r="L907" s="4" t="str">
        <f ca="1">IF(OR(INDEX($AG$2:$AG$1001,MATCH(ROWS($AF$2:AF907),$AF$2:$AF$1001,0),1)&gt;=100000,INDEX($AM$1005:$BM$1005,1,MATCH(COLUMNS($AM$1006:AW1006),$AM$1006:$BM$1006,0))&gt;=100000), " ",IF(INDEX($AM$2:$BM$1001,MATCH(ROWS($AF$2:AF907),$AF$2:$AF$1001,0),MATCH(COLUMNS($AM$1006:AW1006),$AM$1006:$BM$1006,0)), HYPERLINK("#",""), HYPERLINK(CONCATENATE("#metadata!", ADDRESS(INDEX($AH$2:$AH$1001,MATCH(ROWS($AF$2:AF907),$AF$2:$AF$1001,0),0), INDEX($AM$1004:$BM$1004,1,MATCH(COLUMNS($AM$1006:AW1006),$AM$1006:$BM$1006,0)))),"Fix")))</f>
        <v xml:space="preserve"> </v>
      </c>
      <c r="M907" s="4" t="str">
        <f ca="1">IF(OR(INDEX($AG$2:$AG$1001,MATCH(ROWS($AF$2:AF907),$AF$2:$AF$1001,0),1)&gt;=100000,INDEX($AM$1005:$BM$1005,1,MATCH(COLUMNS($AM$1006:AX1006),$AM$1006:$BM$1006,0))&gt;=100000), " ",IF(INDEX($AM$2:$BM$1001,MATCH(ROWS($AF$2:AF907),$AF$2:$AF$1001,0),MATCH(COLUMNS($AM$1006:AX1006),$AM$1006:$BM$1006,0)), HYPERLINK("#",""), HYPERLINK(CONCATENATE("#metadata!", ADDRESS(INDEX($AH$2:$AH$1001,MATCH(ROWS($AF$2:AF907),$AF$2:$AF$1001,0),0), INDEX($AM$1004:$BM$1004,1,MATCH(COLUMNS($AM$1006:AX1006),$AM$1006:$BM$1006,0)))),"Fix")))</f>
        <v xml:space="preserve"> </v>
      </c>
      <c r="N907" s="4" t="str">
        <f ca="1">IF(OR(INDEX($AG$2:$AG$1001,MATCH(ROWS($AF$2:AF907),$AF$2:$AF$1001,0),1)&gt;=100000,INDEX($AM$1005:$BM$1005,1,MATCH(COLUMNS($AM$1006:AY1006),$AM$1006:$BM$1006,0))&gt;=100000), " ",IF(INDEX($AM$2:$BM$1001,MATCH(ROWS($AF$2:AF907),$AF$2:$AF$1001,0),MATCH(COLUMNS($AM$1006:AY1006),$AM$1006:$BM$1006,0)), HYPERLINK("#",""), HYPERLINK(CONCATENATE("#metadata!", ADDRESS(INDEX($AH$2:$AH$1001,MATCH(ROWS($AF$2:AF907),$AF$2:$AF$1001,0),0), INDEX($AM$1004:$BM$1004,1,MATCH(COLUMNS($AM$1006:AY1006),$AM$1006:$BM$1006,0)))),"Fix")))</f>
        <v xml:space="preserve"> </v>
      </c>
      <c r="O907" s="4" t="str">
        <f ca="1">IF(OR(INDEX($AG$2:$AG$1001,MATCH(ROWS($AF$2:AF907),$AF$2:$AF$1001,0),1)&gt;=100000,INDEX($AM$1005:$BM$1005,1,MATCH(COLUMNS($AM$1006:AZ1006),$AM$1006:$BM$1006,0))&gt;=100000), " ",IF(INDEX($AM$2:$BM$1001,MATCH(ROWS($AF$2:AF907),$AF$2:$AF$1001,0),MATCH(COLUMNS($AM$1006:AZ1006),$AM$1006:$BM$1006,0)), HYPERLINK("#",""), HYPERLINK(CONCATENATE("#metadata!", ADDRESS(INDEX($AH$2:$AH$1001,MATCH(ROWS($AF$2:AF907),$AF$2:$AF$1001,0),0), INDEX($AM$1004:$BM$1004,1,MATCH(COLUMNS($AM$1006:AZ1006),$AM$1006:$BM$1006,0)))),"Fix")))</f>
        <v xml:space="preserve"> </v>
      </c>
      <c r="P907" s="4" t="str">
        <f ca="1">IF(OR(INDEX($AG$2:$AG$1001,MATCH(ROWS($AF$2:AF907),$AF$2:$AF$1001,0),1)&gt;=100000,INDEX($AM$1005:$BM$1005,1,MATCH(COLUMNS($AM$1006:BA1006),$AM$1006:$BM$1006,0))&gt;=100000), " ",IF(INDEX($AM$2:$BM$1001,MATCH(ROWS($AF$2:AF907),$AF$2:$AF$1001,0),MATCH(COLUMNS($AM$1006:BA1006),$AM$1006:$BM$1006,0)), HYPERLINK("#",""), HYPERLINK(CONCATENATE("#metadata!", ADDRESS(INDEX($AH$2:$AH$1001,MATCH(ROWS($AF$2:AF907),$AF$2:$AF$1001,0),0), INDEX($AM$1004:$BM$1004,1,MATCH(COLUMNS($AM$1006:BA1006),$AM$1006:$BM$1006,0)))),"Fix")))</f>
        <v xml:space="preserve"> </v>
      </c>
      <c r="Q907" s="4" t="str">
        <f ca="1">IF(OR(INDEX($AG$2:$AG$1001,MATCH(ROWS($AF$2:AF907),$AF$2:$AF$1001,0),1)&gt;=100000,INDEX($AM$1005:$BM$1005,1,MATCH(COLUMNS($AM$1006:BB1006),$AM$1006:$BM$1006,0))&gt;=100000), " ",IF(INDEX($AM$2:$BM$1001,MATCH(ROWS($AF$2:AF907),$AF$2:$AF$1001,0),MATCH(COLUMNS($AM$1006:BB1006),$AM$1006:$BM$1006,0)), HYPERLINK("#",""), HYPERLINK(CONCATENATE("#metadata!", ADDRESS(INDEX($AH$2:$AH$1001,MATCH(ROWS($AF$2:AF907),$AF$2:$AF$1001,0),0), INDEX($AM$1004:$BM$1004,1,MATCH(COLUMNS($AM$1006:BB1006),$AM$1006:$BM$1006,0)))),"Fix")))</f>
        <v xml:space="preserve"> </v>
      </c>
      <c r="R907" s="4" t="str">
        <f ca="1">IF(OR(INDEX($AG$2:$AG$1001,MATCH(ROWS($AF$2:AF907),$AF$2:$AF$1001,0),1)&gt;=100000,INDEX($AM$1005:$BM$1005,1,MATCH(COLUMNS($AM$1006:BC1006),$AM$1006:$BM$1006,0))&gt;=100000), " ",IF(INDEX($AM$2:$BM$1001,MATCH(ROWS($AF$2:AF907),$AF$2:$AF$1001,0),MATCH(COLUMNS($AM$1006:BC1006),$AM$1006:$BM$1006,0)), HYPERLINK("#",""), HYPERLINK(CONCATENATE("#metadata!", ADDRESS(INDEX($AH$2:$AH$1001,MATCH(ROWS($AF$2:AF907),$AF$2:$AF$1001,0),0), INDEX($AM$1004:$BM$1004,1,MATCH(COLUMNS($AM$1006:BC1006),$AM$1006:$BM$1006,0)))),"Fix")))</f>
        <v xml:space="preserve"> </v>
      </c>
      <c r="S907" s="4" t="str">
        <f ca="1">IF(OR(INDEX($AG$2:$AG$1001,MATCH(ROWS($AF$2:AF907),$AF$2:$AF$1001,0),1)&gt;=100000,INDEX($AM$1005:$BM$1005,1,MATCH(COLUMNS($AM$1006:BD1006),$AM$1006:$BM$1006,0))&gt;=100000), " ",IF(INDEX($AM$2:$BM$1001,MATCH(ROWS($AF$2:AF907),$AF$2:$AF$1001,0),MATCH(COLUMNS($AM$1006:BD1006),$AM$1006:$BM$1006,0)), HYPERLINK("#",""), HYPERLINK(CONCATENATE("#metadata!", ADDRESS(INDEX($AH$2:$AH$1001,MATCH(ROWS($AF$2:AF907),$AF$2:$AF$1001,0),0), INDEX($AM$1004:$BM$1004,1,MATCH(COLUMNS($AM$1006:BD1006),$AM$1006:$BM$1006,0)))),"Fix")))</f>
        <v xml:space="preserve"> </v>
      </c>
      <c r="T907" s="4" t="str">
        <f ca="1">IF(OR(INDEX($AG$2:$AG$1001,MATCH(ROWS($AF$2:AF907),$AF$2:$AF$1001,0),1)&gt;=100000,INDEX($AM$1005:$BM$1005,1,MATCH(COLUMNS($AM$1006:BE1006),$AM$1006:$BM$1006,0))&gt;=100000), " ",IF(INDEX($AM$2:$BM$1001,MATCH(ROWS($AF$2:AF907),$AF$2:$AF$1001,0),MATCH(COLUMNS($AM$1006:BE1006),$AM$1006:$BM$1006,0)), HYPERLINK("#",""), HYPERLINK(CONCATENATE("#metadata!", ADDRESS(INDEX($AH$2:$AH$1001,MATCH(ROWS($AF$2:AF907),$AF$2:$AF$1001,0),0), INDEX($AM$1004:$BM$1004,1,MATCH(COLUMNS($AM$1006:BE1006),$AM$1006:$BM$1006,0)))),"Fix")))</f>
        <v xml:space="preserve"> </v>
      </c>
      <c r="U907" s="4" t="str">
        <f ca="1">IF(OR(INDEX($AG$2:$AG$1001,MATCH(ROWS($AF$2:AF907),$AF$2:$AF$1001,0),1)&gt;=100000,INDEX($AM$1005:$BM$1005,1,MATCH(COLUMNS($AM$1006:BF1006),$AM$1006:$BM$1006,0))&gt;=100000), " ",IF(INDEX($AM$2:$BM$1001,MATCH(ROWS($AF$2:AF907),$AF$2:$AF$1001,0),MATCH(COLUMNS($AM$1006:BF1006),$AM$1006:$BM$1006,0)), HYPERLINK("#",""), HYPERLINK(CONCATENATE("#metadata!", ADDRESS(INDEX($AH$2:$AH$1001,MATCH(ROWS($AF$2:AF907),$AF$2:$AF$1001,0),0), INDEX($AM$1004:$BM$1004,1,MATCH(COLUMNS($AM$1006:BF1006),$AM$1006:$BM$1006,0)))),"Fix")))</f>
        <v xml:space="preserve"> </v>
      </c>
      <c r="V907" s="4" t="str">
        <f ca="1">IF(OR(INDEX($AG$2:$AG$1001,MATCH(ROWS($AF$2:AF907),$AF$2:$AF$1001,0),1)&gt;=100000,INDEX($AM$1005:$BM$1005,1,MATCH(COLUMNS($AM$1006:BG1006),$AM$1006:$BM$1006,0))&gt;=100000), " ",IF(INDEX($AM$2:$BM$1001,MATCH(ROWS($AF$2:AF907),$AF$2:$AF$1001,0),MATCH(COLUMNS($AM$1006:BG1006),$AM$1006:$BM$1006,0)), HYPERLINK("#",""), HYPERLINK(CONCATENATE("#metadata!", ADDRESS(INDEX($AH$2:$AH$1001,MATCH(ROWS($AF$2:AF907),$AF$2:$AF$1001,0),0), INDEX($AM$1004:$BM$1004,1,MATCH(COLUMNS($AM$1006:BG1006),$AM$1006:$BM$1006,0)))),"Fix")))</f>
        <v xml:space="preserve"> </v>
      </c>
      <c r="W907" s="4" t="str">
        <f ca="1">IF(OR(INDEX($AG$2:$AG$1001,MATCH(ROWS($AF$2:AF907),$AF$2:$AF$1001,0),1)&gt;=100000,INDEX($AM$1005:$BM$1005,1,MATCH(COLUMNS($AM$1006:BH1006),$AM$1006:$BM$1006,0))&gt;=100000), " ",IF(INDEX($AM$2:$BM$1001,MATCH(ROWS($AF$2:AF907),$AF$2:$AF$1001,0),MATCH(COLUMNS($AM$1006:BH1006),$AM$1006:$BM$1006,0)), HYPERLINK("#",""), HYPERLINK(CONCATENATE("#metadata!", ADDRESS(INDEX($AH$2:$AH$1001,MATCH(ROWS($AF$2:AF907),$AF$2:$AF$1001,0),0), INDEX($AM$1004:$BM$1004,1,MATCH(COLUMNS($AM$1006:BH1006),$AM$1006:$BM$1006,0)))),"Fix")))</f>
        <v xml:space="preserve"> </v>
      </c>
      <c r="X907" s="4" t="str">
        <f ca="1">IF(OR(INDEX($AG$2:$AG$1001,MATCH(ROWS($AF$2:AF907),$AF$2:$AF$1001,0),1)&gt;=100000,INDEX($AM$1005:$BM$1005,1,MATCH(COLUMNS($AM$1006:BI1006),$AM$1006:$BM$1006,0))&gt;=100000), " ",IF(INDEX($AM$2:$BM$1001,MATCH(ROWS($AF$2:AF907),$AF$2:$AF$1001,0),MATCH(COLUMNS($AM$1006:BI1006),$AM$1006:$BM$1006,0)), HYPERLINK("#",""), HYPERLINK(CONCATENATE("#metadata!", ADDRESS(INDEX($AH$2:$AH$1001,MATCH(ROWS($AF$2:AF907),$AF$2:$AF$1001,0),0), INDEX($AM$1004:$BM$1004,1,MATCH(COLUMNS($AM$1006:BI1006),$AM$1006:$BM$1006,0)))),"Fix")))</f>
        <v xml:space="preserve"> </v>
      </c>
      <c r="Y907" s="4" t="str">
        <f ca="1">IF(OR(INDEX($AG$2:$AG$1001,MATCH(ROWS($AF$2:AF907),$AF$2:$AF$1001,0),1)&gt;=100000,INDEX($AM$1005:$BM$1005,1,MATCH(COLUMNS($AM$1006:BJ1006),$AM$1006:$BM$1006,0))&gt;=100000), " ",IF(INDEX($AM$2:$BM$1001,MATCH(ROWS($AF$2:AF907),$AF$2:$AF$1001,0),MATCH(COLUMNS($AM$1006:BJ1006),$AM$1006:$BM$1006,0)), HYPERLINK("#",""), HYPERLINK(CONCATENATE("#metadata!", ADDRESS(INDEX($AH$2:$AH$1001,MATCH(ROWS($AF$2:AF907),$AF$2:$AF$1001,0),0), INDEX($AM$1004:$BM$1004,1,MATCH(COLUMNS($AM$1006:BJ1006),$AM$1006:$BM$1006,0)))),"Fix")))</f>
        <v xml:space="preserve"> </v>
      </c>
      <c r="Z907" s="4" t="str">
        <f ca="1">IF(OR(INDEX($AG$2:$AG$1001,MATCH(ROWS($AF$2:AF907),$AF$2:$AF$1001,0),1)&gt;=100000,INDEX($AM$1005:$BM$1005,1,MATCH(COLUMNS($AM$1006:BK1006),$AM$1006:$BM$1006,0))&gt;=100000), " ",IF(INDEX($AM$2:$BM$1001,MATCH(ROWS($AF$2:AF907),$AF$2:$AF$1001,0),MATCH(COLUMNS($AM$1006:BK1006),$AM$1006:$BM$1006,0)), HYPERLINK("#",""), HYPERLINK(CONCATENATE("#metadata!", ADDRESS(INDEX($AH$2:$AH$1001,MATCH(ROWS($AF$2:AF907),$AF$2:$AF$1001,0),0), INDEX($AM$1004:$BM$1004,1,MATCH(COLUMNS($AM$1006:BK1006),$AM$1006:$BM$1006,0)))),"Fix")))</f>
        <v xml:space="preserve"> </v>
      </c>
      <c r="AA907" s="4" t="str">
        <f ca="1">IF(OR(INDEX($AG$2:$AG$1001,MATCH(ROWS($AF$2:AF907),$AF$2:$AF$1001,0),1)&gt;=100000,INDEX($AM$1005:$BM$1005,1,MATCH(COLUMNS($AM$1006:BL1006),$AM$1006:$BM$1006,0))&gt;=100000), " ",IF(INDEX($AM$2:$BM$1001,MATCH(ROWS($AF$2:AF907),$AF$2:$AF$1001,0),MATCH(COLUMNS($AM$1006:BL1006),$AM$1006:$BM$1006,0)), HYPERLINK("#",""), HYPERLINK(CONCATENATE("#metadata!", ADDRESS(INDEX($AH$2:$AH$1001,MATCH(ROWS($AF$2:AF907),$AF$2:$AF$1001,0),0), INDEX($AM$1004:$BM$1004,1,MATCH(COLUMNS($AM$1006:BL1006),$AM$1006:$BM$1006,0)))),"Fix")))</f>
        <v xml:space="preserve"> </v>
      </c>
      <c r="AB907" s="4" t="str">
        <f ca="1">IF(OR(INDEX($AG$2:$AG$1001,MATCH(ROWS($AF$2:AF907),$AF$2:$AF$1001,0),1)&gt;=100000,INDEX($AM$1005:$BM$1005,1,MATCH(COLUMNS($AM$1006:BM1006),$AM$1006:$BM$1006,0))&gt;=100000), " ",IF(INDEX($AM$2:$BM$1001,MATCH(ROWS($AF$2:AF907),$AF$2:$AF$1001,0),MATCH(COLUMNS($AM$1006:BM1006),$AM$1006:$BM$1006,0)), HYPERLINK("#",""), HYPERLINK(CONCATENATE("#metadata!", ADDRESS(INDEX($AH$2:$AH$1001,MATCH(ROWS($AF$2:AF907),$AF$2:$AF$1001,0),0), INDEX($AM$1004:$BM$1004,1,MATCH(COLUMNS($AM$1006:BM1006),$AM$1006:$BM$1006,0)))),"Fix")))</f>
        <v xml:space="preserve"> </v>
      </c>
      <c r="AF907">
        <v>906</v>
      </c>
      <c r="AG907">
        <v>100907</v>
      </c>
      <c r="AH907">
        <v>907</v>
      </c>
      <c r="AI907" t="b">
        <f t="shared" si="14"/>
        <v>1</v>
      </c>
      <c r="AJ907" t="b">
        <f>COUNTBLANK(metadata!B907:AB907)=COLUMNS(metadata!B907:AB907)</f>
        <v>1</v>
      </c>
      <c r="AK907" t="str">
        <v/>
      </c>
      <c r="AM907" t="b">
        <f ca="1">AND(IF(metadata!B907="",FALSE,TRUE),COUNTIF(metadata!B:B, metadata!B907) = 1,NOT(ISERROR(SUMPRODUCT(SEARCH(MID(metadata!B907,ROW(INDIRECT("1:"&amp;LEN(metadata!B907))), 1),"0123456789abcdefghijklmnopqrstuvwxyzABCDEFGHIJKLMNOPQRSTUVWXYZ.")))))</f>
        <v>0</v>
      </c>
      <c r="AN907" t="b">
        <f ca="1">OR(AND(IF(metadata!C907="",FALSE,TRUE),OR(EXACT(metadata!C907,"missing: not collected"),EXACT(metadata!C907,"missing: not provided"),EXACT(metadata!C907,"missing: restricted access"))),AND(IF(metadata!C907="",FALSE,TRUE),AND(AND(IFERROR(INT(LEFT(metadata!C907,4))&gt;1900,FALSE),IFERROR(INT(LEFT(metadata!C907,4))&lt;=YEAR(NOW()),FALSE)), OR(MID(metadata!C907,5,1)="", AND(AND(MID(metadata!C907,5,1)="-",IFERROR(INT(MID(metadata!C907,6,1))&gt;=0,FALSE),IFERROR(INT(MID(metadata!C907,6,1))&lt;=1,FALSE),NOT(MID(metadata!C907,7,1)=""),IFERROR(INT(MID(metadata!C907,6,2))&gt;=1,FALSE),IFERROR(INT(MID(metadata!C907,6,2))&lt;=12,FALSE)), OR(MID(metadata!C907,8,1)="", AND(AND(MID(metadata!C907,8,1)="-",IFERROR(INT(MID(metadata!C907,9,1))&gt;=0,FALSE),IFERROR(INT(MID(metadata!C907,9,1))&lt;=3,FALSE),NOT(MID(metadata!C907,10,1)=""),IFERROR(INT(MID(metadata!C907,9,2))&gt;=1,FALSE),IFERROR(INT(MID(metadata!C907,9,2))&lt;=31,FALSE)), OR(MID(metadata!C907,11,1)="", AND(AND(MID(metadata!C907,11,1)=" ",IFERROR(INT(MID(metadata!C907,12,1))&gt;=0,FALSE),IFERROR(INT(MID(metadata!C907,12,1))&lt;=2,FALSE),NOT(MID(metadata!C907,13,1)=""),IFERROR(INT(MID(metadata!C907,12,2))&gt;=0,FALSE),IFERROR(INT(MID(metadata!C907,12,2))&lt;=23,FALSE)), OR(MID(metadata!C907,14,1)="", AND(AND(MID(metadata!C907,14,1)=":",IFERROR(INT(MID(metadata!C907,15,1))&gt;=0,FALSE),IFERROR(INT(MID(metadata!C907,15,1))&lt;=5,FALSE),NOT(MID(metadata!C907,16,1)=""),IFERROR(INT(MID(metadata!C907,15,2))&gt;=0,FALSE),IFERROR(INT(MID(metadata!C907,15,2))&lt;=59,FALSE)), OR(MID(metadata!C907,17,1)="", AND(AND(MID(metadata!C907,17,1)=":",IFERROR(INT(MID(metadata!C907,18,1))&gt;=0,FALSE),IFERROR(INT(MID(metadata!C907,18,1))&lt;=5,FALSE),NOT(MID(metadata!C907,19,1)=""),IFERROR(INT(MID(metadata!C907,18,2))&gt;=0,FALSE),IFERROR(INT(MID(metadata!C907,18,2))&lt;=59,FALSE)), LEN(metadata!C907)&lt;=19)))))))))))))</f>
        <v>0</v>
      </c>
      <c r="AO907" t="b">
        <f>AND(IF(metadata!D907="",FALSE,TRUE),EXACT(metadata!D907,"Not applicable"))</f>
        <v>0</v>
      </c>
      <c r="AP907" t="b">
        <f>IF(metadata!E907="",FALSE,TRUE)</f>
        <v>0</v>
      </c>
      <c r="AQ907" t="b">
        <f>OR(AND(IF(metadata!F907="",FALSE,TRUE),OR(EXACT(metadata!F907,"missing: not collected"),EXACT(metadata!F907,"missing: not provided"))),AND(IF(metadata!F907="",FALSE,TRUE),OR(EXACT(metadata!F907,"TRUE"),EXACT(metadata!F907,"FALSE"))))</f>
        <v>0</v>
      </c>
      <c r="AR907" t="b">
        <f>OR(AND(IF(metadata!G907="",FALSE,TRUE),OR(EXACT(metadata!G907,"missing: not collected"),EXACT(metadata!G907,"missing: not provided"),EXACT(metadata!G907,"missing: restricted access"))),AND(IF(metadata!G907="",FALSE,ISNUMBER(VALUE(metadata!G907))),metadata!G907&gt;=-413))</f>
        <v>0</v>
      </c>
      <c r="AS907" t="b">
        <f>AND(IF(metadata!H907="",FALSE,TRUE),EXACT(metadata!H907,"meters"))</f>
        <v>0</v>
      </c>
      <c r="AT907" t="b">
        <f>AND(IF(metadata!I907="",FALSE,TRUE),OR(EXACT(metadata!I907,"Host-associated"),EXACT(metadata!I907,"Free-living")))</f>
        <v>0</v>
      </c>
      <c r="AU907" t="b">
        <f>AND(IF(metadata!J907="",FALSE,TRUE),OR(EXACT(metadata!J907,"Animal"),EXACT(metadata!J907,"Fungus"),EXACT(metadata!J907,"Plant"),EXACT(metadata!J907,"Saline"),EXACT(metadata!J907,"Non-saline")))</f>
        <v>0</v>
      </c>
      <c r="AV907" t="b">
        <f>AND(IF(metadata!K907="",FALSE,TRUE),OR(EXACT(metadata!K907,"Plant secretion"),EXACT(metadata!K907,"Plant rhizosphere"),EXACT(metadata!K907,"Plant surface"),EXACT(metadata!K907,"Plant corpus"),EXACT(metadata!K907,"Fungus surface"),EXACT(metadata!K907,"Fungus corpus"),EXACT(metadata!K907,"Animal surface"),EXACT(metadata!K907,"Animal proximal gut"),EXACT(metadata!K907,"Animal corpus"),EXACT(metadata!K907,"Animal distal gut"),EXACT(metadata!K907,"Animal secretion"),EXACT(metadata!K907,"Sub-surface (non-saline)"),EXACT(metadata!K907,"Surface (non-saline)"),EXACT(metadata!K907,"Water (non-saline)"),EXACT(metadata!K907,"Soil (non-saline)"),EXACT(metadata!K907,"Aerosol (non-saline)"),EXACT(metadata!K907,"Sediment (non-saline)"),EXACT(metadata!K907,"Surface (saline)"),EXACT(metadata!K907,"Water (saline)"),EXACT(metadata!K907,"Hypersaline (saline)"),EXACT(metadata!K907,"Aerosol (saline)"),EXACT(metadata!K907,"Sediment (saline)")))</f>
        <v>0</v>
      </c>
      <c r="AW907" t="b">
        <f>IF(metadata!L907="",FALSE,TRUE)</f>
        <v>0</v>
      </c>
      <c r="AX907" t="b">
        <f>IF(metadata!M907="",FALSE,TRUE)</f>
        <v>0</v>
      </c>
      <c r="AY907" t="b">
        <f>IF(metadata!N907="",FALSE,TRUE)</f>
        <v>0</v>
      </c>
      <c r="AZ907" t="b">
        <f>OR(AND(IF(metadata!O907="",FALSE,TRUE),OR(EXACT(metadata!O907,"missing: not collected"),EXACT(metadata!O907,"missing: not provided"),EXACT(metadata!O907,"missing: restricted access"))),AND(IF(metadata!O907="",FALSE,TRUE),OR(EXACT(metadata!O907,"air"),EXACT(metadata!O907,"built environment"),EXACT(metadata!O907,"host-associated"),EXACT(metadata!O907,"human-associated"),EXACT(metadata!O907,"human-skin"),EXACT(metadata!O907,"human-oral"),EXACT(metadata!O907,"human-gut"),EXACT(metadata!O907,"human-vaginal"),EXACT(metadata!O907,"microbial mat/biofilm"),EXACT(metadata!O907,"misc environment"),EXACT(metadata!O907,"plant-associated"),EXACT(metadata!O907,"sediment"),EXACT(metadata!O907,"soil"),EXACT(metadata!O907,"wastewater/sludge"),EXACT(metadata!O907,"water"))))</f>
        <v>0</v>
      </c>
      <c r="BA907" t="b">
        <f>IF(metadata!P907="",FALSE,TRUE)</f>
        <v>0</v>
      </c>
      <c r="BB907" t="b">
        <f>IF(metadata!Q907="",FALSE,TRUE)</f>
        <v>0</v>
      </c>
      <c r="BC907" t="b">
        <f>OR(AND(IF(metadata!R907="",FALSE,TRUE),OR(EXACT(metadata!R907,"missing: not collected"),EXACT(metadata!R907,"missing: not provided"),EXACT(metadata!R907,"missing: restricted access"))),AND(IF(metadata!R907="",FALSE,ISNUMBER(VALUE(metadata!R907))),metadata!R907&gt;=-90,metadata!R907&lt;=90))</f>
        <v>0</v>
      </c>
      <c r="BD907" t="b">
        <f>AND(IF(metadata!S907="",FALSE,TRUE),EXACT(metadata!S907,"Decimal degrees"))</f>
        <v>0</v>
      </c>
      <c r="BE907" t="b">
        <f>OR(AND(IF(metadata!T907="",FALSE,TRUE),OR(EXACT(metadata!T907,"missing: not collected"),EXACT(metadata!T907,"missing: not provided"),EXACT(metadata!T907,"missing: restricted access"))),AND(IF(metadata!T907="",FALSE,ISNUMBER(VALUE(metadata!T907))),metadata!T907&gt;=-180,metadata!T907&lt;=180))</f>
        <v>0</v>
      </c>
      <c r="BF907" t="b">
        <f>AND(IF(metadata!U907="",FALSE,TRUE),EXACT(metadata!U907,"Decimal degrees"))</f>
        <v>0</v>
      </c>
      <c r="BG907" t="b">
        <f>IF(metadata!V907="",FALSE,TRUE)</f>
        <v>0</v>
      </c>
      <c r="BH907" t="b">
        <f>OR(AND(IF(metadata!W907="",FALSE,TRUE),OR(EXACT(metadata!W907,"missing: not collected"),EXACT(metadata!W907,"missing: not provided"),EXACT(metadata!W907,"missing: restricted access"))),AND(IF(metadata!W907="",FALSE,TRUE),OR(EXACT(metadata!W907,"TRUE"),EXACT(metadata!W907,"FALSE"))))</f>
        <v>0</v>
      </c>
      <c r="BI907" t="b">
        <f>AND(IF(metadata!X907="",FALSE,TRUE),EXACT(metadata!X907,"other"))</f>
        <v>0</v>
      </c>
      <c r="BJ907" t="b">
        <f>IF(metadata!Y907="",FALSE,TRUE)</f>
        <v>0</v>
      </c>
      <c r="BK907" t="b">
        <f>OR(AND(IF(metadata!Z907="",FALSE,TRUE),OR(EXACT(metadata!Z907,"missing: not collected"),EXACT(metadata!Z907,"missing: not provided"))),AND(IF(metadata!Z907="",FALSE,IF(ISERROR(INT(metadata!Z907)),FALSE,INT(metadata!Z907)=metadata!Z907)),metadata!Z907&gt;0))</f>
        <v>0</v>
      </c>
      <c r="BL907" t="b">
        <f>AND(IF(metadata!AA907="",FALSE,TRUE),EXACT(metadata!AA907,"Not applicable"))</f>
        <v>0</v>
      </c>
      <c r="BM907" t="b">
        <f>IF(metadata!AB907="",FALSE,TRUE)</f>
        <v>0</v>
      </c>
    </row>
    <row r="908" spans="1:65" x14ac:dyDescent="0.2">
      <c r="A908" s="5" t="str">
        <f ca="1">IF(B908=" "," ",HYPERLINK(CONCATENATE("#metadata!",ADDRESS(INDEX($AH$2:$AH$1001,MATCH(ROWS($AF$2:AF908),$AF$2:$AF$1001,0),0),1)),INDEX($AK$2:$AK$1001,MATCH(ROWS($AF$2:AF908),$AF$2:$AF$1001,0),0)))</f>
        <v xml:space="preserve"> </v>
      </c>
      <c r="B908" s="4" t="str">
        <f ca="1">IF(OR(INDEX($AG$2:$AG$1001,MATCH(ROWS($AF$2:AF908),$AF$2:$AF$1001,0),1)&gt;=100000,INDEX($AM$1005:$BM$1005,1,MATCH(COLUMNS($AM$1006:AM1006),$AM$1006:$BM$1006,0))&gt;=100000), " ",IF(INDEX($AM$2:$BM$1001,MATCH(ROWS($AF$2:AF908),$AF$2:$AF$1001,0),MATCH(COLUMNS($AM$1006:AM1006),$AM$1006:$BM$1006,0)), HYPERLINK("#",""), HYPERLINK(CONCATENATE("#metadata!", ADDRESS(INDEX($AH$2:$AH$1001,MATCH(ROWS($AF$2:AF908),$AF$2:$AF$1001,0),0), INDEX($AM$1004:$BM$1004,1,MATCH(COLUMNS($AM$1006:AM1006),$AM$1006:$BM$1006,0)))),"Fix")))</f>
        <v xml:space="preserve"> </v>
      </c>
      <c r="C908" s="4" t="str">
        <f ca="1">IF(OR(INDEX($AG$2:$AG$1001,MATCH(ROWS($AF$2:AF908),$AF$2:$AF$1001,0),1)&gt;=100000,INDEX($AM$1005:$BM$1005,1,MATCH(COLUMNS($AM$1006:AN1006),$AM$1006:$BM$1006,0))&gt;=100000), " ",IF(INDEX($AM$2:$BM$1001,MATCH(ROWS($AF$2:AF908),$AF$2:$AF$1001,0),MATCH(COLUMNS($AM$1006:AN1006),$AM$1006:$BM$1006,0)), HYPERLINK("#",""), HYPERLINK(CONCATENATE("#metadata!", ADDRESS(INDEX($AH$2:$AH$1001,MATCH(ROWS($AF$2:AF908),$AF$2:$AF$1001,0),0), INDEX($AM$1004:$BM$1004,1,MATCH(COLUMNS($AM$1006:AN1006),$AM$1006:$BM$1006,0)))),"Fix")))</f>
        <v xml:space="preserve"> </v>
      </c>
      <c r="D908" s="4" t="str">
        <f ca="1">IF(OR(INDEX($AG$2:$AG$1001,MATCH(ROWS($AF$2:AF908),$AF$2:$AF$1001,0),1)&gt;=100000,INDEX($AM$1005:$BM$1005,1,MATCH(COLUMNS($AM$1006:AO1006),$AM$1006:$BM$1006,0))&gt;=100000), " ",IF(INDEX($AM$2:$BM$1001,MATCH(ROWS($AF$2:AF908),$AF$2:$AF$1001,0),MATCH(COLUMNS($AM$1006:AO1006),$AM$1006:$BM$1006,0)), HYPERLINK("#",""), HYPERLINK(CONCATENATE("#metadata!", ADDRESS(INDEX($AH$2:$AH$1001,MATCH(ROWS($AF$2:AF908),$AF$2:$AF$1001,0),0), INDEX($AM$1004:$BM$1004,1,MATCH(COLUMNS($AM$1006:AO1006),$AM$1006:$BM$1006,0)))),"Fix")))</f>
        <v xml:space="preserve"> </v>
      </c>
      <c r="E908" s="4" t="str">
        <f ca="1">IF(OR(INDEX($AG$2:$AG$1001,MATCH(ROWS($AF$2:AF908),$AF$2:$AF$1001,0),1)&gt;=100000,INDEX($AM$1005:$BM$1005,1,MATCH(COLUMNS($AM$1006:AP1006),$AM$1006:$BM$1006,0))&gt;=100000), " ",IF(INDEX($AM$2:$BM$1001,MATCH(ROWS($AF$2:AF908),$AF$2:$AF$1001,0),MATCH(COLUMNS($AM$1006:AP1006),$AM$1006:$BM$1006,0)), HYPERLINK("#",""), HYPERLINK(CONCATENATE("#metadata!", ADDRESS(INDEX($AH$2:$AH$1001,MATCH(ROWS($AF$2:AF908),$AF$2:$AF$1001,0),0), INDEX($AM$1004:$BM$1004,1,MATCH(COLUMNS($AM$1006:AP1006),$AM$1006:$BM$1006,0)))),"Fix")))</f>
        <v xml:space="preserve"> </v>
      </c>
      <c r="F908" s="4" t="str">
        <f ca="1">IF(OR(INDEX($AG$2:$AG$1001,MATCH(ROWS($AF$2:AF908),$AF$2:$AF$1001,0),1)&gt;=100000,INDEX($AM$1005:$BM$1005,1,MATCH(COLUMNS($AM$1006:AQ1006),$AM$1006:$BM$1006,0))&gt;=100000), " ",IF(INDEX($AM$2:$BM$1001,MATCH(ROWS($AF$2:AF908),$AF$2:$AF$1001,0),MATCH(COLUMNS($AM$1006:AQ1006),$AM$1006:$BM$1006,0)), HYPERLINK("#",""), HYPERLINK(CONCATENATE("#metadata!", ADDRESS(INDEX($AH$2:$AH$1001,MATCH(ROWS($AF$2:AF908),$AF$2:$AF$1001,0),0), INDEX($AM$1004:$BM$1004,1,MATCH(COLUMNS($AM$1006:AQ1006),$AM$1006:$BM$1006,0)))),"Fix")))</f>
        <v xml:space="preserve"> </v>
      </c>
      <c r="G908" s="4" t="str">
        <f ca="1">IF(OR(INDEX($AG$2:$AG$1001,MATCH(ROWS($AF$2:AF908),$AF$2:$AF$1001,0),1)&gt;=100000,INDEX($AM$1005:$BM$1005,1,MATCH(COLUMNS($AM$1006:AR1006),$AM$1006:$BM$1006,0))&gt;=100000), " ",IF(INDEX($AM$2:$BM$1001,MATCH(ROWS($AF$2:AF908),$AF$2:$AF$1001,0),MATCH(COLUMNS($AM$1006:AR1006),$AM$1006:$BM$1006,0)), HYPERLINK("#",""), HYPERLINK(CONCATENATE("#metadata!", ADDRESS(INDEX($AH$2:$AH$1001,MATCH(ROWS($AF$2:AF908),$AF$2:$AF$1001,0),0), INDEX($AM$1004:$BM$1004,1,MATCH(COLUMNS($AM$1006:AR1006),$AM$1006:$BM$1006,0)))),"Fix")))</f>
        <v xml:space="preserve"> </v>
      </c>
      <c r="H908" s="4" t="str">
        <f ca="1">IF(OR(INDEX($AG$2:$AG$1001,MATCH(ROWS($AF$2:AF908),$AF$2:$AF$1001,0),1)&gt;=100000,INDEX($AM$1005:$BM$1005,1,MATCH(COLUMNS($AM$1006:AS1006),$AM$1006:$BM$1006,0))&gt;=100000), " ",IF(INDEX($AM$2:$BM$1001,MATCH(ROWS($AF$2:AF908),$AF$2:$AF$1001,0),MATCH(COLUMNS($AM$1006:AS1006),$AM$1006:$BM$1006,0)), HYPERLINK("#",""), HYPERLINK(CONCATENATE("#metadata!", ADDRESS(INDEX($AH$2:$AH$1001,MATCH(ROWS($AF$2:AF908),$AF$2:$AF$1001,0),0), INDEX($AM$1004:$BM$1004,1,MATCH(COLUMNS($AM$1006:AS1006),$AM$1006:$BM$1006,0)))),"Fix")))</f>
        <v xml:space="preserve"> </v>
      </c>
      <c r="I908" s="4" t="str">
        <f ca="1">IF(OR(INDEX($AG$2:$AG$1001,MATCH(ROWS($AF$2:AF908),$AF$2:$AF$1001,0),1)&gt;=100000,INDEX($AM$1005:$BM$1005,1,MATCH(COLUMNS($AM$1006:AT1006),$AM$1006:$BM$1006,0))&gt;=100000), " ",IF(INDEX($AM$2:$BM$1001,MATCH(ROWS($AF$2:AF908),$AF$2:$AF$1001,0),MATCH(COLUMNS($AM$1006:AT1006),$AM$1006:$BM$1006,0)), HYPERLINK("#",""), HYPERLINK(CONCATENATE("#metadata!", ADDRESS(INDEX($AH$2:$AH$1001,MATCH(ROWS($AF$2:AF908),$AF$2:$AF$1001,0),0), INDEX($AM$1004:$BM$1004,1,MATCH(COLUMNS($AM$1006:AT1006),$AM$1006:$BM$1006,0)))),"Fix")))</f>
        <v xml:space="preserve"> </v>
      </c>
      <c r="J908" s="4" t="str">
        <f ca="1">IF(OR(INDEX($AG$2:$AG$1001,MATCH(ROWS($AF$2:AF908),$AF$2:$AF$1001,0),1)&gt;=100000,INDEX($AM$1005:$BM$1005,1,MATCH(COLUMNS($AM$1006:AU1006),$AM$1006:$BM$1006,0))&gt;=100000), " ",IF(INDEX($AM$2:$BM$1001,MATCH(ROWS($AF$2:AF908),$AF$2:$AF$1001,0),MATCH(COLUMNS($AM$1006:AU1006),$AM$1006:$BM$1006,0)), HYPERLINK("#",""), HYPERLINK(CONCATENATE("#metadata!", ADDRESS(INDEX($AH$2:$AH$1001,MATCH(ROWS($AF$2:AF908),$AF$2:$AF$1001,0),0), INDEX($AM$1004:$BM$1004,1,MATCH(COLUMNS($AM$1006:AU1006),$AM$1006:$BM$1006,0)))),"Fix")))</f>
        <v xml:space="preserve"> </v>
      </c>
      <c r="K908" s="4" t="str">
        <f ca="1">IF(OR(INDEX($AG$2:$AG$1001,MATCH(ROWS($AF$2:AF908),$AF$2:$AF$1001,0),1)&gt;=100000,INDEX($AM$1005:$BM$1005,1,MATCH(COLUMNS($AM$1006:AV1006),$AM$1006:$BM$1006,0))&gt;=100000), " ",IF(INDEX($AM$2:$BM$1001,MATCH(ROWS($AF$2:AF908),$AF$2:$AF$1001,0),MATCH(COLUMNS($AM$1006:AV1006),$AM$1006:$BM$1006,0)), HYPERLINK("#",""), HYPERLINK(CONCATENATE("#metadata!", ADDRESS(INDEX($AH$2:$AH$1001,MATCH(ROWS($AF$2:AF908),$AF$2:$AF$1001,0),0), INDEX($AM$1004:$BM$1004,1,MATCH(COLUMNS($AM$1006:AV1006),$AM$1006:$BM$1006,0)))),"Fix")))</f>
        <v xml:space="preserve"> </v>
      </c>
      <c r="L908" s="4" t="str">
        <f ca="1">IF(OR(INDEX($AG$2:$AG$1001,MATCH(ROWS($AF$2:AF908),$AF$2:$AF$1001,0),1)&gt;=100000,INDEX($AM$1005:$BM$1005,1,MATCH(COLUMNS($AM$1006:AW1006),$AM$1006:$BM$1006,0))&gt;=100000), " ",IF(INDEX($AM$2:$BM$1001,MATCH(ROWS($AF$2:AF908),$AF$2:$AF$1001,0),MATCH(COLUMNS($AM$1006:AW1006),$AM$1006:$BM$1006,0)), HYPERLINK("#",""), HYPERLINK(CONCATENATE("#metadata!", ADDRESS(INDEX($AH$2:$AH$1001,MATCH(ROWS($AF$2:AF908),$AF$2:$AF$1001,0),0), INDEX($AM$1004:$BM$1004,1,MATCH(COLUMNS($AM$1006:AW1006),$AM$1006:$BM$1006,0)))),"Fix")))</f>
        <v xml:space="preserve"> </v>
      </c>
      <c r="M908" s="4" t="str">
        <f ca="1">IF(OR(INDEX($AG$2:$AG$1001,MATCH(ROWS($AF$2:AF908),$AF$2:$AF$1001,0),1)&gt;=100000,INDEX($AM$1005:$BM$1005,1,MATCH(COLUMNS($AM$1006:AX1006),$AM$1006:$BM$1006,0))&gt;=100000), " ",IF(INDEX($AM$2:$BM$1001,MATCH(ROWS($AF$2:AF908),$AF$2:$AF$1001,0),MATCH(COLUMNS($AM$1006:AX1006),$AM$1006:$BM$1006,0)), HYPERLINK("#",""), HYPERLINK(CONCATENATE("#metadata!", ADDRESS(INDEX($AH$2:$AH$1001,MATCH(ROWS($AF$2:AF908),$AF$2:$AF$1001,0),0), INDEX($AM$1004:$BM$1004,1,MATCH(COLUMNS($AM$1006:AX1006),$AM$1006:$BM$1006,0)))),"Fix")))</f>
        <v xml:space="preserve"> </v>
      </c>
      <c r="N908" s="4" t="str">
        <f ca="1">IF(OR(INDEX($AG$2:$AG$1001,MATCH(ROWS($AF$2:AF908),$AF$2:$AF$1001,0),1)&gt;=100000,INDEX($AM$1005:$BM$1005,1,MATCH(COLUMNS($AM$1006:AY1006),$AM$1006:$BM$1006,0))&gt;=100000), " ",IF(INDEX($AM$2:$BM$1001,MATCH(ROWS($AF$2:AF908),$AF$2:$AF$1001,0),MATCH(COLUMNS($AM$1006:AY1006),$AM$1006:$BM$1006,0)), HYPERLINK("#",""), HYPERLINK(CONCATENATE("#metadata!", ADDRESS(INDEX($AH$2:$AH$1001,MATCH(ROWS($AF$2:AF908),$AF$2:$AF$1001,0),0), INDEX($AM$1004:$BM$1004,1,MATCH(COLUMNS($AM$1006:AY1006),$AM$1006:$BM$1006,0)))),"Fix")))</f>
        <v xml:space="preserve"> </v>
      </c>
      <c r="O908" s="4" t="str">
        <f ca="1">IF(OR(INDEX($AG$2:$AG$1001,MATCH(ROWS($AF$2:AF908),$AF$2:$AF$1001,0),1)&gt;=100000,INDEX($AM$1005:$BM$1005,1,MATCH(COLUMNS($AM$1006:AZ1006),$AM$1006:$BM$1006,0))&gt;=100000), " ",IF(INDEX($AM$2:$BM$1001,MATCH(ROWS($AF$2:AF908),$AF$2:$AF$1001,0),MATCH(COLUMNS($AM$1006:AZ1006),$AM$1006:$BM$1006,0)), HYPERLINK("#",""), HYPERLINK(CONCATENATE("#metadata!", ADDRESS(INDEX($AH$2:$AH$1001,MATCH(ROWS($AF$2:AF908),$AF$2:$AF$1001,0),0), INDEX($AM$1004:$BM$1004,1,MATCH(COLUMNS($AM$1006:AZ1006),$AM$1006:$BM$1006,0)))),"Fix")))</f>
        <v xml:space="preserve"> </v>
      </c>
      <c r="P908" s="4" t="str">
        <f ca="1">IF(OR(INDEX($AG$2:$AG$1001,MATCH(ROWS($AF$2:AF908),$AF$2:$AF$1001,0),1)&gt;=100000,INDEX($AM$1005:$BM$1005,1,MATCH(COLUMNS($AM$1006:BA1006),$AM$1006:$BM$1006,0))&gt;=100000), " ",IF(INDEX($AM$2:$BM$1001,MATCH(ROWS($AF$2:AF908),$AF$2:$AF$1001,0),MATCH(COLUMNS($AM$1006:BA1006),$AM$1006:$BM$1006,0)), HYPERLINK("#",""), HYPERLINK(CONCATENATE("#metadata!", ADDRESS(INDEX($AH$2:$AH$1001,MATCH(ROWS($AF$2:AF908),$AF$2:$AF$1001,0),0), INDEX($AM$1004:$BM$1004,1,MATCH(COLUMNS($AM$1006:BA1006),$AM$1006:$BM$1006,0)))),"Fix")))</f>
        <v xml:space="preserve"> </v>
      </c>
      <c r="Q908" s="4" t="str">
        <f ca="1">IF(OR(INDEX($AG$2:$AG$1001,MATCH(ROWS($AF$2:AF908),$AF$2:$AF$1001,0),1)&gt;=100000,INDEX($AM$1005:$BM$1005,1,MATCH(COLUMNS($AM$1006:BB1006),$AM$1006:$BM$1006,0))&gt;=100000), " ",IF(INDEX($AM$2:$BM$1001,MATCH(ROWS($AF$2:AF908),$AF$2:$AF$1001,0),MATCH(COLUMNS($AM$1006:BB1006),$AM$1006:$BM$1006,0)), HYPERLINK("#",""), HYPERLINK(CONCATENATE("#metadata!", ADDRESS(INDEX($AH$2:$AH$1001,MATCH(ROWS($AF$2:AF908),$AF$2:$AF$1001,0),0), INDEX($AM$1004:$BM$1004,1,MATCH(COLUMNS($AM$1006:BB1006),$AM$1006:$BM$1006,0)))),"Fix")))</f>
        <v xml:space="preserve"> </v>
      </c>
      <c r="R908" s="4" t="str">
        <f ca="1">IF(OR(INDEX($AG$2:$AG$1001,MATCH(ROWS($AF$2:AF908),$AF$2:$AF$1001,0),1)&gt;=100000,INDEX($AM$1005:$BM$1005,1,MATCH(COLUMNS($AM$1006:BC1006),$AM$1006:$BM$1006,0))&gt;=100000), " ",IF(INDEX($AM$2:$BM$1001,MATCH(ROWS($AF$2:AF908),$AF$2:$AF$1001,0),MATCH(COLUMNS($AM$1006:BC1006),$AM$1006:$BM$1006,0)), HYPERLINK("#",""), HYPERLINK(CONCATENATE("#metadata!", ADDRESS(INDEX($AH$2:$AH$1001,MATCH(ROWS($AF$2:AF908),$AF$2:$AF$1001,0),0), INDEX($AM$1004:$BM$1004,1,MATCH(COLUMNS($AM$1006:BC1006),$AM$1006:$BM$1006,0)))),"Fix")))</f>
        <v xml:space="preserve"> </v>
      </c>
      <c r="S908" s="4" t="str">
        <f ca="1">IF(OR(INDEX($AG$2:$AG$1001,MATCH(ROWS($AF$2:AF908),$AF$2:$AF$1001,0),1)&gt;=100000,INDEX($AM$1005:$BM$1005,1,MATCH(COLUMNS($AM$1006:BD1006),$AM$1006:$BM$1006,0))&gt;=100000), " ",IF(INDEX($AM$2:$BM$1001,MATCH(ROWS($AF$2:AF908),$AF$2:$AF$1001,0),MATCH(COLUMNS($AM$1006:BD1006),$AM$1006:$BM$1006,0)), HYPERLINK("#",""), HYPERLINK(CONCATENATE("#metadata!", ADDRESS(INDEX($AH$2:$AH$1001,MATCH(ROWS($AF$2:AF908),$AF$2:$AF$1001,0),0), INDEX($AM$1004:$BM$1004,1,MATCH(COLUMNS($AM$1006:BD1006),$AM$1006:$BM$1006,0)))),"Fix")))</f>
        <v xml:space="preserve"> </v>
      </c>
      <c r="T908" s="4" t="str">
        <f ca="1">IF(OR(INDEX($AG$2:$AG$1001,MATCH(ROWS($AF$2:AF908),$AF$2:$AF$1001,0),1)&gt;=100000,INDEX($AM$1005:$BM$1005,1,MATCH(COLUMNS($AM$1006:BE1006),$AM$1006:$BM$1006,0))&gt;=100000), " ",IF(INDEX($AM$2:$BM$1001,MATCH(ROWS($AF$2:AF908),$AF$2:$AF$1001,0),MATCH(COLUMNS($AM$1006:BE1006),$AM$1006:$BM$1006,0)), HYPERLINK("#",""), HYPERLINK(CONCATENATE("#metadata!", ADDRESS(INDEX($AH$2:$AH$1001,MATCH(ROWS($AF$2:AF908),$AF$2:$AF$1001,0),0), INDEX($AM$1004:$BM$1004,1,MATCH(COLUMNS($AM$1006:BE1006),$AM$1006:$BM$1006,0)))),"Fix")))</f>
        <v xml:space="preserve"> </v>
      </c>
      <c r="U908" s="4" t="str">
        <f ca="1">IF(OR(INDEX($AG$2:$AG$1001,MATCH(ROWS($AF$2:AF908),$AF$2:$AF$1001,0),1)&gt;=100000,INDEX($AM$1005:$BM$1005,1,MATCH(COLUMNS($AM$1006:BF1006),$AM$1006:$BM$1006,0))&gt;=100000), " ",IF(INDEX($AM$2:$BM$1001,MATCH(ROWS($AF$2:AF908),$AF$2:$AF$1001,0),MATCH(COLUMNS($AM$1006:BF1006),$AM$1006:$BM$1006,0)), HYPERLINK("#",""), HYPERLINK(CONCATENATE("#metadata!", ADDRESS(INDEX($AH$2:$AH$1001,MATCH(ROWS($AF$2:AF908),$AF$2:$AF$1001,0),0), INDEX($AM$1004:$BM$1004,1,MATCH(COLUMNS($AM$1006:BF1006),$AM$1006:$BM$1006,0)))),"Fix")))</f>
        <v xml:space="preserve"> </v>
      </c>
      <c r="V908" s="4" t="str">
        <f ca="1">IF(OR(INDEX($AG$2:$AG$1001,MATCH(ROWS($AF$2:AF908),$AF$2:$AF$1001,0),1)&gt;=100000,INDEX($AM$1005:$BM$1005,1,MATCH(COLUMNS($AM$1006:BG1006),$AM$1006:$BM$1006,0))&gt;=100000), " ",IF(INDEX($AM$2:$BM$1001,MATCH(ROWS($AF$2:AF908),$AF$2:$AF$1001,0),MATCH(COLUMNS($AM$1006:BG1006),$AM$1006:$BM$1006,0)), HYPERLINK("#",""), HYPERLINK(CONCATENATE("#metadata!", ADDRESS(INDEX($AH$2:$AH$1001,MATCH(ROWS($AF$2:AF908),$AF$2:$AF$1001,0),0), INDEX($AM$1004:$BM$1004,1,MATCH(COLUMNS($AM$1006:BG1006),$AM$1006:$BM$1006,0)))),"Fix")))</f>
        <v xml:space="preserve"> </v>
      </c>
      <c r="W908" s="4" t="str">
        <f ca="1">IF(OR(INDEX($AG$2:$AG$1001,MATCH(ROWS($AF$2:AF908),$AF$2:$AF$1001,0),1)&gt;=100000,INDEX($AM$1005:$BM$1005,1,MATCH(COLUMNS($AM$1006:BH1006),$AM$1006:$BM$1006,0))&gt;=100000), " ",IF(INDEX($AM$2:$BM$1001,MATCH(ROWS($AF$2:AF908),$AF$2:$AF$1001,0),MATCH(COLUMNS($AM$1006:BH1006),$AM$1006:$BM$1006,0)), HYPERLINK("#",""), HYPERLINK(CONCATENATE("#metadata!", ADDRESS(INDEX($AH$2:$AH$1001,MATCH(ROWS($AF$2:AF908),$AF$2:$AF$1001,0),0), INDEX($AM$1004:$BM$1004,1,MATCH(COLUMNS($AM$1006:BH1006),$AM$1006:$BM$1006,0)))),"Fix")))</f>
        <v xml:space="preserve"> </v>
      </c>
      <c r="X908" s="4" t="str">
        <f ca="1">IF(OR(INDEX($AG$2:$AG$1001,MATCH(ROWS($AF$2:AF908),$AF$2:$AF$1001,0),1)&gt;=100000,INDEX($AM$1005:$BM$1005,1,MATCH(COLUMNS($AM$1006:BI1006),$AM$1006:$BM$1006,0))&gt;=100000), " ",IF(INDEX($AM$2:$BM$1001,MATCH(ROWS($AF$2:AF908),$AF$2:$AF$1001,0),MATCH(COLUMNS($AM$1006:BI1006),$AM$1006:$BM$1006,0)), HYPERLINK("#",""), HYPERLINK(CONCATENATE("#metadata!", ADDRESS(INDEX($AH$2:$AH$1001,MATCH(ROWS($AF$2:AF908),$AF$2:$AF$1001,0),0), INDEX($AM$1004:$BM$1004,1,MATCH(COLUMNS($AM$1006:BI1006),$AM$1006:$BM$1006,0)))),"Fix")))</f>
        <v xml:space="preserve"> </v>
      </c>
      <c r="Y908" s="4" t="str">
        <f ca="1">IF(OR(INDEX($AG$2:$AG$1001,MATCH(ROWS($AF$2:AF908),$AF$2:$AF$1001,0),1)&gt;=100000,INDEX($AM$1005:$BM$1005,1,MATCH(COLUMNS($AM$1006:BJ1006),$AM$1006:$BM$1006,0))&gt;=100000), " ",IF(INDEX($AM$2:$BM$1001,MATCH(ROWS($AF$2:AF908),$AF$2:$AF$1001,0),MATCH(COLUMNS($AM$1006:BJ1006),$AM$1006:$BM$1006,0)), HYPERLINK("#",""), HYPERLINK(CONCATENATE("#metadata!", ADDRESS(INDEX($AH$2:$AH$1001,MATCH(ROWS($AF$2:AF908),$AF$2:$AF$1001,0),0), INDEX($AM$1004:$BM$1004,1,MATCH(COLUMNS($AM$1006:BJ1006),$AM$1006:$BM$1006,0)))),"Fix")))</f>
        <v xml:space="preserve"> </v>
      </c>
      <c r="Z908" s="4" t="str">
        <f ca="1">IF(OR(INDEX($AG$2:$AG$1001,MATCH(ROWS($AF$2:AF908),$AF$2:$AF$1001,0),1)&gt;=100000,INDEX($AM$1005:$BM$1005,1,MATCH(COLUMNS($AM$1006:BK1006),$AM$1006:$BM$1006,0))&gt;=100000), " ",IF(INDEX($AM$2:$BM$1001,MATCH(ROWS($AF$2:AF908),$AF$2:$AF$1001,0),MATCH(COLUMNS($AM$1006:BK1006),$AM$1006:$BM$1006,0)), HYPERLINK("#",""), HYPERLINK(CONCATENATE("#metadata!", ADDRESS(INDEX($AH$2:$AH$1001,MATCH(ROWS($AF$2:AF908),$AF$2:$AF$1001,0),0), INDEX($AM$1004:$BM$1004,1,MATCH(COLUMNS($AM$1006:BK1006),$AM$1006:$BM$1006,0)))),"Fix")))</f>
        <v xml:space="preserve"> </v>
      </c>
      <c r="AA908" s="4" t="str">
        <f ca="1">IF(OR(INDEX($AG$2:$AG$1001,MATCH(ROWS($AF$2:AF908),$AF$2:$AF$1001,0),1)&gt;=100000,INDEX($AM$1005:$BM$1005,1,MATCH(COLUMNS($AM$1006:BL1006),$AM$1006:$BM$1006,0))&gt;=100000), " ",IF(INDEX($AM$2:$BM$1001,MATCH(ROWS($AF$2:AF908),$AF$2:$AF$1001,0),MATCH(COLUMNS($AM$1006:BL1006),$AM$1006:$BM$1006,0)), HYPERLINK("#",""), HYPERLINK(CONCATENATE("#metadata!", ADDRESS(INDEX($AH$2:$AH$1001,MATCH(ROWS($AF$2:AF908),$AF$2:$AF$1001,0),0), INDEX($AM$1004:$BM$1004,1,MATCH(COLUMNS($AM$1006:BL1006),$AM$1006:$BM$1006,0)))),"Fix")))</f>
        <v xml:space="preserve"> </v>
      </c>
      <c r="AB908" s="4" t="str">
        <f ca="1">IF(OR(INDEX($AG$2:$AG$1001,MATCH(ROWS($AF$2:AF908),$AF$2:$AF$1001,0),1)&gt;=100000,INDEX($AM$1005:$BM$1005,1,MATCH(COLUMNS($AM$1006:BM1006),$AM$1006:$BM$1006,0))&gt;=100000), " ",IF(INDEX($AM$2:$BM$1001,MATCH(ROWS($AF$2:AF908),$AF$2:$AF$1001,0),MATCH(COLUMNS($AM$1006:BM1006),$AM$1006:$BM$1006,0)), HYPERLINK("#",""), HYPERLINK(CONCATENATE("#metadata!", ADDRESS(INDEX($AH$2:$AH$1001,MATCH(ROWS($AF$2:AF908),$AF$2:$AF$1001,0),0), INDEX($AM$1004:$BM$1004,1,MATCH(COLUMNS($AM$1006:BM1006),$AM$1006:$BM$1006,0)))),"Fix")))</f>
        <v xml:space="preserve"> </v>
      </c>
      <c r="AF908">
        <v>907</v>
      </c>
      <c r="AG908">
        <v>100908</v>
      </c>
      <c r="AH908">
        <v>908</v>
      </c>
      <c r="AI908" t="b">
        <f t="shared" si="14"/>
        <v>1</v>
      </c>
      <c r="AJ908" t="b">
        <f>COUNTBLANK(metadata!B908:AB908)=COLUMNS(metadata!B908:AB908)</f>
        <v>1</v>
      </c>
      <c r="AK908" t="str">
        <v/>
      </c>
      <c r="AM908" t="b">
        <f ca="1">AND(IF(metadata!B908="",FALSE,TRUE),COUNTIF(metadata!B:B, metadata!B908) = 1,NOT(ISERROR(SUMPRODUCT(SEARCH(MID(metadata!B908,ROW(INDIRECT("1:"&amp;LEN(metadata!B908))), 1),"0123456789abcdefghijklmnopqrstuvwxyzABCDEFGHIJKLMNOPQRSTUVWXYZ.")))))</f>
        <v>0</v>
      </c>
      <c r="AN908" t="b">
        <f ca="1">OR(AND(IF(metadata!C908="",FALSE,TRUE),OR(EXACT(metadata!C908,"missing: not collected"),EXACT(metadata!C908,"missing: not provided"),EXACT(metadata!C908,"missing: restricted access"))),AND(IF(metadata!C908="",FALSE,TRUE),AND(AND(IFERROR(INT(LEFT(metadata!C908,4))&gt;1900,FALSE),IFERROR(INT(LEFT(metadata!C908,4))&lt;=YEAR(NOW()),FALSE)), OR(MID(metadata!C908,5,1)="", AND(AND(MID(metadata!C908,5,1)="-",IFERROR(INT(MID(metadata!C908,6,1))&gt;=0,FALSE),IFERROR(INT(MID(metadata!C908,6,1))&lt;=1,FALSE),NOT(MID(metadata!C908,7,1)=""),IFERROR(INT(MID(metadata!C908,6,2))&gt;=1,FALSE),IFERROR(INT(MID(metadata!C908,6,2))&lt;=12,FALSE)), OR(MID(metadata!C908,8,1)="", AND(AND(MID(metadata!C908,8,1)="-",IFERROR(INT(MID(metadata!C908,9,1))&gt;=0,FALSE),IFERROR(INT(MID(metadata!C908,9,1))&lt;=3,FALSE),NOT(MID(metadata!C908,10,1)=""),IFERROR(INT(MID(metadata!C908,9,2))&gt;=1,FALSE),IFERROR(INT(MID(metadata!C908,9,2))&lt;=31,FALSE)), OR(MID(metadata!C908,11,1)="", AND(AND(MID(metadata!C908,11,1)=" ",IFERROR(INT(MID(metadata!C908,12,1))&gt;=0,FALSE),IFERROR(INT(MID(metadata!C908,12,1))&lt;=2,FALSE),NOT(MID(metadata!C908,13,1)=""),IFERROR(INT(MID(metadata!C908,12,2))&gt;=0,FALSE),IFERROR(INT(MID(metadata!C908,12,2))&lt;=23,FALSE)), OR(MID(metadata!C908,14,1)="", AND(AND(MID(metadata!C908,14,1)=":",IFERROR(INT(MID(metadata!C908,15,1))&gt;=0,FALSE),IFERROR(INT(MID(metadata!C908,15,1))&lt;=5,FALSE),NOT(MID(metadata!C908,16,1)=""),IFERROR(INT(MID(metadata!C908,15,2))&gt;=0,FALSE),IFERROR(INT(MID(metadata!C908,15,2))&lt;=59,FALSE)), OR(MID(metadata!C908,17,1)="", AND(AND(MID(metadata!C908,17,1)=":",IFERROR(INT(MID(metadata!C908,18,1))&gt;=0,FALSE),IFERROR(INT(MID(metadata!C908,18,1))&lt;=5,FALSE),NOT(MID(metadata!C908,19,1)=""),IFERROR(INT(MID(metadata!C908,18,2))&gt;=0,FALSE),IFERROR(INT(MID(metadata!C908,18,2))&lt;=59,FALSE)), LEN(metadata!C908)&lt;=19)))))))))))))</f>
        <v>0</v>
      </c>
      <c r="AO908" t="b">
        <f>AND(IF(metadata!D908="",FALSE,TRUE),EXACT(metadata!D908,"Not applicable"))</f>
        <v>0</v>
      </c>
      <c r="AP908" t="b">
        <f>IF(metadata!E908="",FALSE,TRUE)</f>
        <v>0</v>
      </c>
      <c r="AQ908" t="b">
        <f>OR(AND(IF(metadata!F908="",FALSE,TRUE),OR(EXACT(metadata!F908,"missing: not collected"),EXACT(metadata!F908,"missing: not provided"))),AND(IF(metadata!F908="",FALSE,TRUE),OR(EXACT(metadata!F908,"TRUE"),EXACT(metadata!F908,"FALSE"))))</f>
        <v>0</v>
      </c>
      <c r="AR908" t="b">
        <f>OR(AND(IF(metadata!G908="",FALSE,TRUE),OR(EXACT(metadata!G908,"missing: not collected"),EXACT(metadata!G908,"missing: not provided"),EXACT(metadata!G908,"missing: restricted access"))),AND(IF(metadata!G908="",FALSE,ISNUMBER(VALUE(metadata!G908))),metadata!G908&gt;=-413))</f>
        <v>0</v>
      </c>
      <c r="AS908" t="b">
        <f>AND(IF(metadata!H908="",FALSE,TRUE),EXACT(metadata!H908,"meters"))</f>
        <v>0</v>
      </c>
      <c r="AT908" t="b">
        <f>AND(IF(metadata!I908="",FALSE,TRUE),OR(EXACT(metadata!I908,"Host-associated"),EXACT(metadata!I908,"Free-living")))</f>
        <v>0</v>
      </c>
      <c r="AU908" t="b">
        <f>AND(IF(metadata!J908="",FALSE,TRUE),OR(EXACT(metadata!J908,"Animal"),EXACT(metadata!J908,"Fungus"),EXACT(metadata!J908,"Plant"),EXACT(metadata!J908,"Saline"),EXACT(metadata!J908,"Non-saline")))</f>
        <v>0</v>
      </c>
      <c r="AV908" t="b">
        <f>AND(IF(metadata!K908="",FALSE,TRUE),OR(EXACT(metadata!K908,"Plant secretion"),EXACT(metadata!K908,"Plant rhizosphere"),EXACT(metadata!K908,"Plant surface"),EXACT(metadata!K908,"Plant corpus"),EXACT(metadata!K908,"Fungus surface"),EXACT(metadata!K908,"Fungus corpus"),EXACT(metadata!K908,"Animal surface"),EXACT(metadata!K908,"Animal proximal gut"),EXACT(metadata!K908,"Animal corpus"),EXACT(metadata!K908,"Animal distal gut"),EXACT(metadata!K908,"Animal secretion"),EXACT(metadata!K908,"Sub-surface (non-saline)"),EXACT(metadata!K908,"Surface (non-saline)"),EXACT(metadata!K908,"Water (non-saline)"),EXACT(metadata!K908,"Soil (non-saline)"),EXACT(metadata!K908,"Aerosol (non-saline)"),EXACT(metadata!K908,"Sediment (non-saline)"),EXACT(metadata!K908,"Surface (saline)"),EXACT(metadata!K908,"Water (saline)"),EXACT(metadata!K908,"Hypersaline (saline)"),EXACT(metadata!K908,"Aerosol (saline)"),EXACT(metadata!K908,"Sediment (saline)")))</f>
        <v>0</v>
      </c>
      <c r="AW908" t="b">
        <f>IF(metadata!L908="",FALSE,TRUE)</f>
        <v>0</v>
      </c>
      <c r="AX908" t="b">
        <f>IF(metadata!M908="",FALSE,TRUE)</f>
        <v>0</v>
      </c>
      <c r="AY908" t="b">
        <f>IF(metadata!N908="",FALSE,TRUE)</f>
        <v>0</v>
      </c>
      <c r="AZ908" t="b">
        <f>OR(AND(IF(metadata!O908="",FALSE,TRUE),OR(EXACT(metadata!O908,"missing: not collected"),EXACT(metadata!O908,"missing: not provided"),EXACT(metadata!O908,"missing: restricted access"))),AND(IF(metadata!O908="",FALSE,TRUE),OR(EXACT(metadata!O908,"air"),EXACT(metadata!O908,"built environment"),EXACT(metadata!O908,"host-associated"),EXACT(metadata!O908,"human-associated"),EXACT(metadata!O908,"human-skin"),EXACT(metadata!O908,"human-oral"),EXACT(metadata!O908,"human-gut"),EXACT(metadata!O908,"human-vaginal"),EXACT(metadata!O908,"microbial mat/biofilm"),EXACT(metadata!O908,"misc environment"),EXACT(metadata!O908,"plant-associated"),EXACT(metadata!O908,"sediment"),EXACT(metadata!O908,"soil"),EXACT(metadata!O908,"wastewater/sludge"),EXACT(metadata!O908,"water"))))</f>
        <v>0</v>
      </c>
      <c r="BA908" t="b">
        <f>IF(metadata!P908="",FALSE,TRUE)</f>
        <v>0</v>
      </c>
      <c r="BB908" t="b">
        <f>IF(metadata!Q908="",FALSE,TRUE)</f>
        <v>0</v>
      </c>
      <c r="BC908" t="b">
        <f>OR(AND(IF(metadata!R908="",FALSE,TRUE),OR(EXACT(metadata!R908,"missing: not collected"),EXACT(metadata!R908,"missing: not provided"),EXACT(metadata!R908,"missing: restricted access"))),AND(IF(metadata!R908="",FALSE,ISNUMBER(VALUE(metadata!R908))),metadata!R908&gt;=-90,metadata!R908&lt;=90))</f>
        <v>0</v>
      </c>
      <c r="BD908" t="b">
        <f>AND(IF(metadata!S908="",FALSE,TRUE),EXACT(metadata!S908,"Decimal degrees"))</f>
        <v>0</v>
      </c>
      <c r="BE908" t="b">
        <f>OR(AND(IF(metadata!T908="",FALSE,TRUE),OR(EXACT(metadata!T908,"missing: not collected"),EXACT(metadata!T908,"missing: not provided"),EXACT(metadata!T908,"missing: restricted access"))),AND(IF(metadata!T908="",FALSE,ISNUMBER(VALUE(metadata!T908))),metadata!T908&gt;=-180,metadata!T908&lt;=180))</f>
        <v>0</v>
      </c>
      <c r="BF908" t="b">
        <f>AND(IF(metadata!U908="",FALSE,TRUE),EXACT(metadata!U908,"Decimal degrees"))</f>
        <v>0</v>
      </c>
      <c r="BG908" t="b">
        <f>IF(metadata!V908="",FALSE,TRUE)</f>
        <v>0</v>
      </c>
      <c r="BH908" t="b">
        <f>OR(AND(IF(metadata!W908="",FALSE,TRUE),OR(EXACT(metadata!W908,"missing: not collected"),EXACT(metadata!W908,"missing: not provided"),EXACT(metadata!W908,"missing: restricted access"))),AND(IF(metadata!W908="",FALSE,TRUE),OR(EXACT(metadata!W908,"TRUE"),EXACT(metadata!W908,"FALSE"))))</f>
        <v>0</v>
      </c>
      <c r="BI908" t="b">
        <f>AND(IF(metadata!X908="",FALSE,TRUE),EXACT(metadata!X908,"other"))</f>
        <v>0</v>
      </c>
      <c r="BJ908" t="b">
        <f>IF(metadata!Y908="",FALSE,TRUE)</f>
        <v>0</v>
      </c>
      <c r="BK908" t="b">
        <f>OR(AND(IF(metadata!Z908="",FALSE,TRUE),OR(EXACT(metadata!Z908,"missing: not collected"),EXACT(metadata!Z908,"missing: not provided"))),AND(IF(metadata!Z908="",FALSE,IF(ISERROR(INT(metadata!Z908)),FALSE,INT(metadata!Z908)=metadata!Z908)),metadata!Z908&gt;0))</f>
        <v>0</v>
      </c>
      <c r="BL908" t="b">
        <f>AND(IF(metadata!AA908="",FALSE,TRUE),EXACT(metadata!AA908,"Not applicable"))</f>
        <v>0</v>
      </c>
      <c r="BM908" t="b">
        <f>IF(metadata!AB908="",FALSE,TRUE)</f>
        <v>0</v>
      </c>
    </row>
    <row r="909" spans="1:65" x14ac:dyDescent="0.2">
      <c r="A909" s="5" t="str">
        <f ca="1">IF(B909=" "," ",HYPERLINK(CONCATENATE("#metadata!",ADDRESS(INDEX($AH$2:$AH$1001,MATCH(ROWS($AF$2:AF909),$AF$2:$AF$1001,0),0),1)),INDEX($AK$2:$AK$1001,MATCH(ROWS($AF$2:AF909),$AF$2:$AF$1001,0),0)))</f>
        <v xml:space="preserve"> </v>
      </c>
      <c r="B909" s="4" t="str">
        <f ca="1">IF(OR(INDEX($AG$2:$AG$1001,MATCH(ROWS($AF$2:AF909),$AF$2:$AF$1001,0),1)&gt;=100000,INDEX($AM$1005:$BM$1005,1,MATCH(COLUMNS($AM$1006:AM1006),$AM$1006:$BM$1006,0))&gt;=100000), " ",IF(INDEX($AM$2:$BM$1001,MATCH(ROWS($AF$2:AF909),$AF$2:$AF$1001,0),MATCH(COLUMNS($AM$1006:AM1006),$AM$1006:$BM$1006,0)), HYPERLINK("#",""), HYPERLINK(CONCATENATE("#metadata!", ADDRESS(INDEX($AH$2:$AH$1001,MATCH(ROWS($AF$2:AF909),$AF$2:$AF$1001,0),0), INDEX($AM$1004:$BM$1004,1,MATCH(COLUMNS($AM$1006:AM1006),$AM$1006:$BM$1006,0)))),"Fix")))</f>
        <v xml:space="preserve"> </v>
      </c>
      <c r="C909" s="4" t="str">
        <f ca="1">IF(OR(INDEX($AG$2:$AG$1001,MATCH(ROWS($AF$2:AF909),$AF$2:$AF$1001,0),1)&gt;=100000,INDEX($AM$1005:$BM$1005,1,MATCH(COLUMNS($AM$1006:AN1006),$AM$1006:$BM$1006,0))&gt;=100000), " ",IF(INDEX($AM$2:$BM$1001,MATCH(ROWS($AF$2:AF909),$AF$2:$AF$1001,0),MATCH(COLUMNS($AM$1006:AN1006),$AM$1006:$BM$1006,0)), HYPERLINK("#",""), HYPERLINK(CONCATENATE("#metadata!", ADDRESS(INDEX($AH$2:$AH$1001,MATCH(ROWS($AF$2:AF909),$AF$2:$AF$1001,0),0), INDEX($AM$1004:$BM$1004,1,MATCH(COLUMNS($AM$1006:AN1006),$AM$1006:$BM$1006,0)))),"Fix")))</f>
        <v xml:space="preserve"> </v>
      </c>
      <c r="D909" s="4" t="str">
        <f ca="1">IF(OR(INDEX($AG$2:$AG$1001,MATCH(ROWS($AF$2:AF909),$AF$2:$AF$1001,0),1)&gt;=100000,INDEX($AM$1005:$BM$1005,1,MATCH(COLUMNS($AM$1006:AO1006),$AM$1006:$BM$1006,0))&gt;=100000), " ",IF(INDEX($AM$2:$BM$1001,MATCH(ROWS($AF$2:AF909),$AF$2:$AF$1001,0),MATCH(COLUMNS($AM$1006:AO1006),$AM$1006:$BM$1006,0)), HYPERLINK("#",""), HYPERLINK(CONCATENATE("#metadata!", ADDRESS(INDEX($AH$2:$AH$1001,MATCH(ROWS($AF$2:AF909),$AF$2:$AF$1001,0),0), INDEX($AM$1004:$BM$1004,1,MATCH(COLUMNS($AM$1006:AO1006),$AM$1006:$BM$1006,0)))),"Fix")))</f>
        <v xml:space="preserve"> </v>
      </c>
      <c r="E909" s="4" t="str">
        <f ca="1">IF(OR(INDEX($AG$2:$AG$1001,MATCH(ROWS($AF$2:AF909),$AF$2:$AF$1001,0),1)&gt;=100000,INDEX($AM$1005:$BM$1005,1,MATCH(COLUMNS($AM$1006:AP1006),$AM$1006:$BM$1006,0))&gt;=100000), " ",IF(INDEX($AM$2:$BM$1001,MATCH(ROWS($AF$2:AF909),$AF$2:$AF$1001,0),MATCH(COLUMNS($AM$1006:AP1006),$AM$1006:$BM$1006,0)), HYPERLINK("#",""), HYPERLINK(CONCATENATE("#metadata!", ADDRESS(INDEX($AH$2:$AH$1001,MATCH(ROWS($AF$2:AF909),$AF$2:$AF$1001,0),0), INDEX($AM$1004:$BM$1004,1,MATCH(COLUMNS($AM$1006:AP1006),$AM$1006:$BM$1006,0)))),"Fix")))</f>
        <v xml:space="preserve"> </v>
      </c>
      <c r="F909" s="4" t="str">
        <f ca="1">IF(OR(INDEX($AG$2:$AG$1001,MATCH(ROWS($AF$2:AF909),$AF$2:$AF$1001,0),1)&gt;=100000,INDEX($AM$1005:$BM$1005,1,MATCH(COLUMNS($AM$1006:AQ1006),$AM$1006:$BM$1006,0))&gt;=100000), " ",IF(INDEX($AM$2:$BM$1001,MATCH(ROWS($AF$2:AF909),$AF$2:$AF$1001,0),MATCH(COLUMNS($AM$1006:AQ1006),$AM$1006:$BM$1006,0)), HYPERLINK("#",""), HYPERLINK(CONCATENATE("#metadata!", ADDRESS(INDEX($AH$2:$AH$1001,MATCH(ROWS($AF$2:AF909),$AF$2:$AF$1001,0),0), INDEX($AM$1004:$BM$1004,1,MATCH(COLUMNS($AM$1006:AQ1006),$AM$1006:$BM$1006,0)))),"Fix")))</f>
        <v xml:space="preserve"> </v>
      </c>
      <c r="G909" s="4" t="str">
        <f ca="1">IF(OR(INDEX($AG$2:$AG$1001,MATCH(ROWS($AF$2:AF909),$AF$2:$AF$1001,0),1)&gt;=100000,INDEX($AM$1005:$BM$1005,1,MATCH(COLUMNS($AM$1006:AR1006),$AM$1006:$BM$1006,0))&gt;=100000), " ",IF(INDEX($AM$2:$BM$1001,MATCH(ROWS($AF$2:AF909),$AF$2:$AF$1001,0),MATCH(COLUMNS($AM$1006:AR1006),$AM$1006:$BM$1006,0)), HYPERLINK("#",""), HYPERLINK(CONCATENATE("#metadata!", ADDRESS(INDEX($AH$2:$AH$1001,MATCH(ROWS($AF$2:AF909),$AF$2:$AF$1001,0),0), INDEX($AM$1004:$BM$1004,1,MATCH(COLUMNS($AM$1006:AR1006),$AM$1006:$BM$1006,0)))),"Fix")))</f>
        <v xml:space="preserve"> </v>
      </c>
      <c r="H909" s="4" t="str">
        <f ca="1">IF(OR(INDEX($AG$2:$AG$1001,MATCH(ROWS($AF$2:AF909),$AF$2:$AF$1001,0),1)&gt;=100000,INDEX($AM$1005:$BM$1005,1,MATCH(COLUMNS($AM$1006:AS1006),$AM$1006:$BM$1006,0))&gt;=100000), " ",IF(INDEX($AM$2:$BM$1001,MATCH(ROWS($AF$2:AF909),$AF$2:$AF$1001,0),MATCH(COLUMNS($AM$1006:AS1006),$AM$1006:$BM$1006,0)), HYPERLINK("#",""), HYPERLINK(CONCATENATE("#metadata!", ADDRESS(INDEX($AH$2:$AH$1001,MATCH(ROWS($AF$2:AF909),$AF$2:$AF$1001,0),0), INDEX($AM$1004:$BM$1004,1,MATCH(COLUMNS($AM$1006:AS1006),$AM$1006:$BM$1006,0)))),"Fix")))</f>
        <v xml:space="preserve"> </v>
      </c>
      <c r="I909" s="4" t="str">
        <f ca="1">IF(OR(INDEX($AG$2:$AG$1001,MATCH(ROWS($AF$2:AF909),$AF$2:$AF$1001,0),1)&gt;=100000,INDEX($AM$1005:$BM$1005,1,MATCH(COLUMNS($AM$1006:AT1006),$AM$1006:$BM$1006,0))&gt;=100000), " ",IF(INDEX($AM$2:$BM$1001,MATCH(ROWS($AF$2:AF909),$AF$2:$AF$1001,0),MATCH(COLUMNS($AM$1006:AT1006),$AM$1006:$BM$1006,0)), HYPERLINK("#",""), HYPERLINK(CONCATENATE("#metadata!", ADDRESS(INDEX($AH$2:$AH$1001,MATCH(ROWS($AF$2:AF909),$AF$2:$AF$1001,0),0), INDEX($AM$1004:$BM$1004,1,MATCH(COLUMNS($AM$1006:AT1006),$AM$1006:$BM$1006,0)))),"Fix")))</f>
        <v xml:space="preserve"> </v>
      </c>
      <c r="J909" s="4" t="str">
        <f ca="1">IF(OR(INDEX($AG$2:$AG$1001,MATCH(ROWS($AF$2:AF909),$AF$2:$AF$1001,0),1)&gt;=100000,INDEX($AM$1005:$BM$1005,1,MATCH(COLUMNS($AM$1006:AU1006),$AM$1006:$BM$1006,0))&gt;=100000), " ",IF(INDEX($AM$2:$BM$1001,MATCH(ROWS($AF$2:AF909),$AF$2:$AF$1001,0),MATCH(COLUMNS($AM$1006:AU1006),$AM$1006:$BM$1006,0)), HYPERLINK("#",""), HYPERLINK(CONCATENATE("#metadata!", ADDRESS(INDEX($AH$2:$AH$1001,MATCH(ROWS($AF$2:AF909),$AF$2:$AF$1001,0),0), INDEX($AM$1004:$BM$1004,1,MATCH(COLUMNS($AM$1006:AU1006),$AM$1006:$BM$1006,0)))),"Fix")))</f>
        <v xml:space="preserve"> </v>
      </c>
      <c r="K909" s="4" t="str">
        <f ca="1">IF(OR(INDEX($AG$2:$AG$1001,MATCH(ROWS($AF$2:AF909),$AF$2:$AF$1001,0),1)&gt;=100000,INDEX($AM$1005:$BM$1005,1,MATCH(COLUMNS($AM$1006:AV1006),$AM$1006:$BM$1006,0))&gt;=100000), " ",IF(INDEX($AM$2:$BM$1001,MATCH(ROWS($AF$2:AF909),$AF$2:$AF$1001,0),MATCH(COLUMNS($AM$1006:AV1006),$AM$1006:$BM$1006,0)), HYPERLINK("#",""), HYPERLINK(CONCATENATE("#metadata!", ADDRESS(INDEX($AH$2:$AH$1001,MATCH(ROWS($AF$2:AF909),$AF$2:$AF$1001,0),0), INDEX($AM$1004:$BM$1004,1,MATCH(COLUMNS($AM$1006:AV1006),$AM$1006:$BM$1006,0)))),"Fix")))</f>
        <v xml:space="preserve"> </v>
      </c>
      <c r="L909" s="4" t="str">
        <f ca="1">IF(OR(INDEX($AG$2:$AG$1001,MATCH(ROWS($AF$2:AF909),$AF$2:$AF$1001,0),1)&gt;=100000,INDEX($AM$1005:$BM$1005,1,MATCH(COLUMNS($AM$1006:AW1006),$AM$1006:$BM$1006,0))&gt;=100000), " ",IF(INDEX($AM$2:$BM$1001,MATCH(ROWS($AF$2:AF909),$AF$2:$AF$1001,0),MATCH(COLUMNS($AM$1006:AW1006),$AM$1006:$BM$1006,0)), HYPERLINK("#",""), HYPERLINK(CONCATENATE("#metadata!", ADDRESS(INDEX($AH$2:$AH$1001,MATCH(ROWS($AF$2:AF909),$AF$2:$AF$1001,0),0), INDEX($AM$1004:$BM$1004,1,MATCH(COLUMNS($AM$1006:AW1006),$AM$1006:$BM$1006,0)))),"Fix")))</f>
        <v xml:space="preserve"> </v>
      </c>
      <c r="M909" s="4" t="str">
        <f ca="1">IF(OR(INDEX($AG$2:$AG$1001,MATCH(ROWS($AF$2:AF909),$AF$2:$AF$1001,0),1)&gt;=100000,INDEX($AM$1005:$BM$1005,1,MATCH(COLUMNS($AM$1006:AX1006),$AM$1006:$BM$1006,0))&gt;=100000), " ",IF(INDEX($AM$2:$BM$1001,MATCH(ROWS($AF$2:AF909),$AF$2:$AF$1001,0),MATCH(COLUMNS($AM$1006:AX1006),$AM$1006:$BM$1006,0)), HYPERLINK("#",""), HYPERLINK(CONCATENATE("#metadata!", ADDRESS(INDEX($AH$2:$AH$1001,MATCH(ROWS($AF$2:AF909),$AF$2:$AF$1001,0),0), INDEX($AM$1004:$BM$1004,1,MATCH(COLUMNS($AM$1006:AX1006),$AM$1006:$BM$1006,0)))),"Fix")))</f>
        <v xml:space="preserve"> </v>
      </c>
      <c r="N909" s="4" t="str">
        <f ca="1">IF(OR(INDEX($AG$2:$AG$1001,MATCH(ROWS($AF$2:AF909),$AF$2:$AF$1001,0),1)&gt;=100000,INDEX($AM$1005:$BM$1005,1,MATCH(COLUMNS($AM$1006:AY1006),$AM$1006:$BM$1006,0))&gt;=100000), " ",IF(INDEX($AM$2:$BM$1001,MATCH(ROWS($AF$2:AF909),$AF$2:$AF$1001,0),MATCH(COLUMNS($AM$1006:AY1006),$AM$1006:$BM$1006,0)), HYPERLINK("#",""), HYPERLINK(CONCATENATE("#metadata!", ADDRESS(INDEX($AH$2:$AH$1001,MATCH(ROWS($AF$2:AF909),$AF$2:$AF$1001,0),0), INDEX($AM$1004:$BM$1004,1,MATCH(COLUMNS($AM$1006:AY1006),$AM$1006:$BM$1006,0)))),"Fix")))</f>
        <v xml:space="preserve"> </v>
      </c>
      <c r="O909" s="4" t="str">
        <f ca="1">IF(OR(INDEX($AG$2:$AG$1001,MATCH(ROWS($AF$2:AF909),$AF$2:$AF$1001,0),1)&gt;=100000,INDEX($AM$1005:$BM$1005,1,MATCH(COLUMNS($AM$1006:AZ1006),$AM$1006:$BM$1006,0))&gt;=100000), " ",IF(INDEX($AM$2:$BM$1001,MATCH(ROWS($AF$2:AF909),$AF$2:$AF$1001,0),MATCH(COLUMNS($AM$1006:AZ1006),$AM$1006:$BM$1006,0)), HYPERLINK("#",""), HYPERLINK(CONCATENATE("#metadata!", ADDRESS(INDEX($AH$2:$AH$1001,MATCH(ROWS($AF$2:AF909),$AF$2:$AF$1001,0),0), INDEX($AM$1004:$BM$1004,1,MATCH(COLUMNS($AM$1006:AZ1006),$AM$1006:$BM$1006,0)))),"Fix")))</f>
        <v xml:space="preserve"> </v>
      </c>
      <c r="P909" s="4" t="str">
        <f ca="1">IF(OR(INDEX($AG$2:$AG$1001,MATCH(ROWS($AF$2:AF909),$AF$2:$AF$1001,0),1)&gt;=100000,INDEX($AM$1005:$BM$1005,1,MATCH(COLUMNS($AM$1006:BA1006),$AM$1006:$BM$1006,0))&gt;=100000), " ",IF(INDEX($AM$2:$BM$1001,MATCH(ROWS($AF$2:AF909),$AF$2:$AF$1001,0),MATCH(COLUMNS($AM$1006:BA1006),$AM$1006:$BM$1006,0)), HYPERLINK("#",""), HYPERLINK(CONCATENATE("#metadata!", ADDRESS(INDEX($AH$2:$AH$1001,MATCH(ROWS($AF$2:AF909),$AF$2:$AF$1001,0),0), INDEX($AM$1004:$BM$1004,1,MATCH(COLUMNS($AM$1006:BA1006),$AM$1006:$BM$1006,0)))),"Fix")))</f>
        <v xml:space="preserve"> </v>
      </c>
      <c r="Q909" s="4" t="str">
        <f ca="1">IF(OR(INDEX($AG$2:$AG$1001,MATCH(ROWS($AF$2:AF909),$AF$2:$AF$1001,0),1)&gt;=100000,INDEX($AM$1005:$BM$1005,1,MATCH(COLUMNS($AM$1006:BB1006),$AM$1006:$BM$1006,0))&gt;=100000), " ",IF(INDEX($AM$2:$BM$1001,MATCH(ROWS($AF$2:AF909),$AF$2:$AF$1001,0),MATCH(COLUMNS($AM$1006:BB1006),$AM$1006:$BM$1006,0)), HYPERLINK("#",""), HYPERLINK(CONCATENATE("#metadata!", ADDRESS(INDEX($AH$2:$AH$1001,MATCH(ROWS($AF$2:AF909),$AF$2:$AF$1001,0),0), INDEX($AM$1004:$BM$1004,1,MATCH(COLUMNS($AM$1006:BB1006),$AM$1006:$BM$1006,0)))),"Fix")))</f>
        <v xml:space="preserve"> </v>
      </c>
      <c r="R909" s="4" t="str">
        <f ca="1">IF(OR(INDEX($AG$2:$AG$1001,MATCH(ROWS($AF$2:AF909),$AF$2:$AF$1001,0),1)&gt;=100000,INDEX($AM$1005:$BM$1005,1,MATCH(COLUMNS($AM$1006:BC1006),$AM$1006:$BM$1006,0))&gt;=100000), " ",IF(INDEX($AM$2:$BM$1001,MATCH(ROWS($AF$2:AF909),$AF$2:$AF$1001,0),MATCH(COLUMNS($AM$1006:BC1006),$AM$1006:$BM$1006,0)), HYPERLINK("#",""), HYPERLINK(CONCATENATE("#metadata!", ADDRESS(INDEX($AH$2:$AH$1001,MATCH(ROWS($AF$2:AF909),$AF$2:$AF$1001,0),0), INDEX($AM$1004:$BM$1004,1,MATCH(COLUMNS($AM$1006:BC1006),$AM$1006:$BM$1006,0)))),"Fix")))</f>
        <v xml:space="preserve"> </v>
      </c>
      <c r="S909" s="4" t="str">
        <f ca="1">IF(OR(INDEX($AG$2:$AG$1001,MATCH(ROWS($AF$2:AF909),$AF$2:$AF$1001,0),1)&gt;=100000,INDEX($AM$1005:$BM$1005,1,MATCH(COLUMNS($AM$1006:BD1006),$AM$1006:$BM$1006,0))&gt;=100000), " ",IF(INDEX($AM$2:$BM$1001,MATCH(ROWS($AF$2:AF909),$AF$2:$AF$1001,0),MATCH(COLUMNS($AM$1006:BD1006),$AM$1006:$BM$1006,0)), HYPERLINK("#",""), HYPERLINK(CONCATENATE("#metadata!", ADDRESS(INDEX($AH$2:$AH$1001,MATCH(ROWS($AF$2:AF909),$AF$2:$AF$1001,0),0), INDEX($AM$1004:$BM$1004,1,MATCH(COLUMNS($AM$1006:BD1006),$AM$1006:$BM$1006,0)))),"Fix")))</f>
        <v xml:space="preserve"> </v>
      </c>
      <c r="T909" s="4" t="str">
        <f ca="1">IF(OR(INDEX($AG$2:$AG$1001,MATCH(ROWS($AF$2:AF909),$AF$2:$AF$1001,0),1)&gt;=100000,INDEX($AM$1005:$BM$1005,1,MATCH(COLUMNS($AM$1006:BE1006),$AM$1006:$BM$1006,0))&gt;=100000), " ",IF(INDEX($AM$2:$BM$1001,MATCH(ROWS($AF$2:AF909),$AF$2:$AF$1001,0),MATCH(COLUMNS($AM$1006:BE1006),$AM$1006:$BM$1006,0)), HYPERLINK("#",""), HYPERLINK(CONCATENATE("#metadata!", ADDRESS(INDEX($AH$2:$AH$1001,MATCH(ROWS($AF$2:AF909),$AF$2:$AF$1001,0),0), INDEX($AM$1004:$BM$1004,1,MATCH(COLUMNS($AM$1006:BE1006),$AM$1006:$BM$1006,0)))),"Fix")))</f>
        <v xml:space="preserve"> </v>
      </c>
      <c r="U909" s="4" t="str">
        <f ca="1">IF(OR(INDEX($AG$2:$AG$1001,MATCH(ROWS($AF$2:AF909),$AF$2:$AF$1001,0),1)&gt;=100000,INDEX($AM$1005:$BM$1005,1,MATCH(COLUMNS($AM$1006:BF1006),$AM$1006:$BM$1006,0))&gt;=100000), " ",IF(INDEX($AM$2:$BM$1001,MATCH(ROWS($AF$2:AF909),$AF$2:$AF$1001,0),MATCH(COLUMNS($AM$1006:BF1006),$AM$1006:$BM$1006,0)), HYPERLINK("#",""), HYPERLINK(CONCATENATE("#metadata!", ADDRESS(INDEX($AH$2:$AH$1001,MATCH(ROWS($AF$2:AF909),$AF$2:$AF$1001,0),0), INDEX($AM$1004:$BM$1004,1,MATCH(COLUMNS($AM$1006:BF1006),$AM$1006:$BM$1006,0)))),"Fix")))</f>
        <v xml:space="preserve"> </v>
      </c>
      <c r="V909" s="4" t="str">
        <f ca="1">IF(OR(INDEX($AG$2:$AG$1001,MATCH(ROWS($AF$2:AF909),$AF$2:$AF$1001,0),1)&gt;=100000,INDEX($AM$1005:$BM$1005,1,MATCH(COLUMNS($AM$1006:BG1006),$AM$1006:$BM$1006,0))&gt;=100000), " ",IF(INDEX($AM$2:$BM$1001,MATCH(ROWS($AF$2:AF909),$AF$2:$AF$1001,0),MATCH(COLUMNS($AM$1006:BG1006),$AM$1006:$BM$1006,0)), HYPERLINK("#",""), HYPERLINK(CONCATENATE("#metadata!", ADDRESS(INDEX($AH$2:$AH$1001,MATCH(ROWS($AF$2:AF909),$AF$2:$AF$1001,0),0), INDEX($AM$1004:$BM$1004,1,MATCH(COLUMNS($AM$1006:BG1006),$AM$1006:$BM$1006,0)))),"Fix")))</f>
        <v xml:space="preserve"> </v>
      </c>
      <c r="W909" s="4" t="str">
        <f ca="1">IF(OR(INDEX($AG$2:$AG$1001,MATCH(ROWS($AF$2:AF909),$AF$2:$AF$1001,0),1)&gt;=100000,INDEX($AM$1005:$BM$1005,1,MATCH(COLUMNS($AM$1006:BH1006),$AM$1006:$BM$1006,0))&gt;=100000), " ",IF(INDEX($AM$2:$BM$1001,MATCH(ROWS($AF$2:AF909),$AF$2:$AF$1001,0),MATCH(COLUMNS($AM$1006:BH1006),$AM$1006:$BM$1006,0)), HYPERLINK("#",""), HYPERLINK(CONCATENATE("#metadata!", ADDRESS(INDEX($AH$2:$AH$1001,MATCH(ROWS($AF$2:AF909),$AF$2:$AF$1001,0),0), INDEX($AM$1004:$BM$1004,1,MATCH(COLUMNS($AM$1006:BH1006),$AM$1006:$BM$1006,0)))),"Fix")))</f>
        <v xml:space="preserve"> </v>
      </c>
      <c r="X909" s="4" t="str">
        <f ca="1">IF(OR(INDEX($AG$2:$AG$1001,MATCH(ROWS($AF$2:AF909),$AF$2:$AF$1001,0),1)&gt;=100000,INDEX($AM$1005:$BM$1005,1,MATCH(COLUMNS($AM$1006:BI1006),$AM$1006:$BM$1006,0))&gt;=100000), " ",IF(INDEX($AM$2:$BM$1001,MATCH(ROWS($AF$2:AF909),$AF$2:$AF$1001,0),MATCH(COLUMNS($AM$1006:BI1006),$AM$1006:$BM$1006,0)), HYPERLINK("#",""), HYPERLINK(CONCATENATE("#metadata!", ADDRESS(INDEX($AH$2:$AH$1001,MATCH(ROWS($AF$2:AF909),$AF$2:$AF$1001,0),0), INDEX($AM$1004:$BM$1004,1,MATCH(COLUMNS($AM$1006:BI1006),$AM$1006:$BM$1006,0)))),"Fix")))</f>
        <v xml:space="preserve"> </v>
      </c>
      <c r="Y909" s="4" t="str">
        <f ca="1">IF(OR(INDEX($AG$2:$AG$1001,MATCH(ROWS($AF$2:AF909),$AF$2:$AF$1001,0),1)&gt;=100000,INDEX($AM$1005:$BM$1005,1,MATCH(COLUMNS($AM$1006:BJ1006),$AM$1006:$BM$1006,0))&gt;=100000), " ",IF(INDEX($AM$2:$BM$1001,MATCH(ROWS($AF$2:AF909),$AF$2:$AF$1001,0),MATCH(COLUMNS($AM$1006:BJ1006),$AM$1006:$BM$1006,0)), HYPERLINK("#",""), HYPERLINK(CONCATENATE("#metadata!", ADDRESS(INDEX($AH$2:$AH$1001,MATCH(ROWS($AF$2:AF909),$AF$2:$AF$1001,0),0), INDEX($AM$1004:$BM$1004,1,MATCH(COLUMNS($AM$1006:BJ1006),$AM$1006:$BM$1006,0)))),"Fix")))</f>
        <v xml:space="preserve"> </v>
      </c>
      <c r="Z909" s="4" t="str">
        <f ca="1">IF(OR(INDEX($AG$2:$AG$1001,MATCH(ROWS($AF$2:AF909),$AF$2:$AF$1001,0),1)&gt;=100000,INDEX($AM$1005:$BM$1005,1,MATCH(COLUMNS($AM$1006:BK1006),$AM$1006:$BM$1006,0))&gt;=100000), " ",IF(INDEX($AM$2:$BM$1001,MATCH(ROWS($AF$2:AF909),$AF$2:$AF$1001,0),MATCH(COLUMNS($AM$1006:BK1006),$AM$1006:$BM$1006,0)), HYPERLINK("#",""), HYPERLINK(CONCATENATE("#metadata!", ADDRESS(INDEX($AH$2:$AH$1001,MATCH(ROWS($AF$2:AF909),$AF$2:$AF$1001,0),0), INDEX($AM$1004:$BM$1004,1,MATCH(COLUMNS($AM$1006:BK1006),$AM$1006:$BM$1006,0)))),"Fix")))</f>
        <v xml:space="preserve"> </v>
      </c>
      <c r="AA909" s="4" t="str">
        <f ca="1">IF(OR(INDEX($AG$2:$AG$1001,MATCH(ROWS($AF$2:AF909),$AF$2:$AF$1001,0),1)&gt;=100000,INDEX($AM$1005:$BM$1005,1,MATCH(COLUMNS($AM$1006:BL1006),$AM$1006:$BM$1006,0))&gt;=100000), " ",IF(INDEX($AM$2:$BM$1001,MATCH(ROWS($AF$2:AF909),$AF$2:$AF$1001,0),MATCH(COLUMNS($AM$1006:BL1006),$AM$1006:$BM$1006,0)), HYPERLINK("#",""), HYPERLINK(CONCATENATE("#metadata!", ADDRESS(INDEX($AH$2:$AH$1001,MATCH(ROWS($AF$2:AF909),$AF$2:$AF$1001,0),0), INDEX($AM$1004:$BM$1004,1,MATCH(COLUMNS($AM$1006:BL1006),$AM$1006:$BM$1006,0)))),"Fix")))</f>
        <v xml:space="preserve"> </v>
      </c>
      <c r="AB909" s="4" t="str">
        <f ca="1">IF(OR(INDEX($AG$2:$AG$1001,MATCH(ROWS($AF$2:AF909),$AF$2:$AF$1001,0),1)&gt;=100000,INDEX($AM$1005:$BM$1005,1,MATCH(COLUMNS($AM$1006:BM1006),$AM$1006:$BM$1006,0))&gt;=100000), " ",IF(INDEX($AM$2:$BM$1001,MATCH(ROWS($AF$2:AF909),$AF$2:$AF$1001,0),MATCH(COLUMNS($AM$1006:BM1006),$AM$1006:$BM$1006,0)), HYPERLINK("#",""), HYPERLINK(CONCATENATE("#metadata!", ADDRESS(INDEX($AH$2:$AH$1001,MATCH(ROWS($AF$2:AF909),$AF$2:$AF$1001,0),0), INDEX($AM$1004:$BM$1004,1,MATCH(COLUMNS($AM$1006:BM1006),$AM$1006:$BM$1006,0)))),"Fix")))</f>
        <v xml:space="preserve"> </v>
      </c>
      <c r="AF909">
        <v>908</v>
      </c>
      <c r="AG909">
        <v>100909</v>
      </c>
      <c r="AH909">
        <v>909</v>
      </c>
      <c r="AI909" t="b">
        <f t="shared" si="14"/>
        <v>1</v>
      </c>
      <c r="AJ909" t="b">
        <f>COUNTBLANK(metadata!B909:AB909)=COLUMNS(metadata!B909:AB909)</f>
        <v>1</v>
      </c>
      <c r="AK909" t="str">
        <v/>
      </c>
      <c r="AM909" t="b">
        <f ca="1">AND(IF(metadata!B909="",FALSE,TRUE),COUNTIF(metadata!B:B, metadata!B909) = 1,NOT(ISERROR(SUMPRODUCT(SEARCH(MID(metadata!B909,ROW(INDIRECT("1:"&amp;LEN(metadata!B909))), 1),"0123456789abcdefghijklmnopqrstuvwxyzABCDEFGHIJKLMNOPQRSTUVWXYZ.")))))</f>
        <v>0</v>
      </c>
      <c r="AN909" t="b">
        <f ca="1">OR(AND(IF(metadata!C909="",FALSE,TRUE),OR(EXACT(metadata!C909,"missing: not collected"),EXACT(metadata!C909,"missing: not provided"),EXACT(metadata!C909,"missing: restricted access"))),AND(IF(metadata!C909="",FALSE,TRUE),AND(AND(IFERROR(INT(LEFT(metadata!C909,4))&gt;1900,FALSE),IFERROR(INT(LEFT(metadata!C909,4))&lt;=YEAR(NOW()),FALSE)), OR(MID(metadata!C909,5,1)="", AND(AND(MID(metadata!C909,5,1)="-",IFERROR(INT(MID(metadata!C909,6,1))&gt;=0,FALSE),IFERROR(INT(MID(metadata!C909,6,1))&lt;=1,FALSE),NOT(MID(metadata!C909,7,1)=""),IFERROR(INT(MID(metadata!C909,6,2))&gt;=1,FALSE),IFERROR(INT(MID(metadata!C909,6,2))&lt;=12,FALSE)), OR(MID(metadata!C909,8,1)="", AND(AND(MID(metadata!C909,8,1)="-",IFERROR(INT(MID(metadata!C909,9,1))&gt;=0,FALSE),IFERROR(INT(MID(metadata!C909,9,1))&lt;=3,FALSE),NOT(MID(metadata!C909,10,1)=""),IFERROR(INT(MID(metadata!C909,9,2))&gt;=1,FALSE),IFERROR(INT(MID(metadata!C909,9,2))&lt;=31,FALSE)), OR(MID(metadata!C909,11,1)="", AND(AND(MID(metadata!C909,11,1)=" ",IFERROR(INT(MID(metadata!C909,12,1))&gt;=0,FALSE),IFERROR(INT(MID(metadata!C909,12,1))&lt;=2,FALSE),NOT(MID(metadata!C909,13,1)=""),IFERROR(INT(MID(metadata!C909,12,2))&gt;=0,FALSE),IFERROR(INT(MID(metadata!C909,12,2))&lt;=23,FALSE)), OR(MID(metadata!C909,14,1)="", AND(AND(MID(metadata!C909,14,1)=":",IFERROR(INT(MID(metadata!C909,15,1))&gt;=0,FALSE),IFERROR(INT(MID(metadata!C909,15,1))&lt;=5,FALSE),NOT(MID(metadata!C909,16,1)=""),IFERROR(INT(MID(metadata!C909,15,2))&gt;=0,FALSE),IFERROR(INT(MID(metadata!C909,15,2))&lt;=59,FALSE)), OR(MID(metadata!C909,17,1)="", AND(AND(MID(metadata!C909,17,1)=":",IFERROR(INT(MID(metadata!C909,18,1))&gt;=0,FALSE),IFERROR(INT(MID(metadata!C909,18,1))&lt;=5,FALSE),NOT(MID(metadata!C909,19,1)=""),IFERROR(INT(MID(metadata!C909,18,2))&gt;=0,FALSE),IFERROR(INT(MID(metadata!C909,18,2))&lt;=59,FALSE)), LEN(metadata!C909)&lt;=19)))))))))))))</f>
        <v>0</v>
      </c>
      <c r="AO909" t="b">
        <f>AND(IF(metadata!D909="",FALSE,TRUE),EXACT(metadata!D909,"Not applicable"))</f>
        <v>0</v>
      </c>
      <c r="AP909" t="b">
        <f>IF(metadata!E909="",FALSE,TRUE)</f>
        <v>0</v>
      </c>
      <c r="AQ909" t="b">
        <f>OR(AND(IF(metadata!F909="",FALSE,TRUE),OR(EXACT(metadata!F909,"missing: not collected"),EXACT(metadata!F909,"missing: not provided"))),AND(IF(metadata!F909="",FALSE,TRUE),OR(EXACT(metadata!F909,"TRUE"),EXACT(metadata!F909,"FALSE"))))</f>
        <v>0</v>
      </c>
      <c r="AR909" t="b">
        <f>OR(AND(IF(metadata!G909="",FALSE,TRUE),OR(EXACT(metadata!G909,"missing: not collected"),EXACT(metadata!G909,"missing: not provided"),EXACT(metadata!G909,"missing: restricted access"))),AND(IF(metadata!G909="",FALSE,ISNUMBER(VALUE(metadata!G909))),metadata!G909&gt;=-413))</f>
        <v>0</v>
      </c>
      <c r="AS909" t="b">
        <f>AND(IF(metadata!H909="",FALSE,TRUE),EXACT(metadata!H909,"meters"))</f>
        <v>0</v>
      </c>
      <c r="AT909" t="b">
        <f>AND(IF(metadata!I909="",FALSE,TRUE),OR(EXACT(metadata!I909,"Host-associated"),EXACT(metadata!I909,"Free-living")))</f>
        <v>0</v>
      </c>
      <c r="AU909" t="b">
        <f>AND(IF(metadata!J909="",FALSE,TRUE),OR(EXACT(metadata!J909,"Animal"),EXACT(metadata!J909,"Fungus"),EXACT(metadata!J909,"Plant"),EXACT(metadata!J909,"Saline"),EXACT(metadata!J909,"Non-saline")))</f>
        <v>0</v>
      </c>
      <c r="AV909" t="b">
        <f>AND(IF(metadata!K909="",FALSE,TRUE),OR(EXACT(metadata!K909,"Plant secretion"),EXACT(metadata!K909,"Plant rhizosphere"),EXACT(metadata!K909,"Plant surface"),EXACT(metadata!K909,"Plant corpus"),EXACT(metadata!K909,"Fungus surface"),EXACT(metadata!K909,"Fungus corpus"),EXACT(metadata!K909,"Animal surface"),EXACT(metadata!K909,"Animal proximal gut"),EXACT(metadata!K909,"Animal corpus"),EXACT(metadata!K909,"Animal distal gut"),EXACT(metadata!K909,"Animal secretion"),EXACT(metadata!K909,"Sub-surface (non-saline)"),EXACT(metadata!K909,"Surface (non-saline)"),EXACT(metadata!K909,"Water (non-saline)"),EXACT(metadata!K909,"Soil (non-saline)"),EXACT(metadata!K909,"Aerosol (non-saline)"),EXACT(metadata!K909,"Sediment (non-saline)"),EXACT(metadata!K909,"Surface (saline)"),EXACT(metadata!K909,"Water (saline)"),EXACT(metadata!K909,"Hypersaline (saline)"),EXACT(metadata!K909,"Aerosol (saline)"),EXACT(metadata!K909,"Sediment (saline)")))</f>
        <v>0</v>
      </c>
      <c r="AW909" t="b">
        <f>IF(metadata!L909="",FALSE,TRUE)</f>
        <v>0</v>
      </c>
      <c r="AX909" t="b">
        <f>IF(metadata!M909="",FALSE,TRUE)</f>
        <v>0</v>
      </c>
      <c r="AY909" t="b">
        <f>IF(metadata!N909="",FALSE,TRUE)</f>
        <v>0</v>
      </c>
      <c r="AZ909" t="b">
        <f>OR(AND(IF(metadata!O909="",FALSE,TRUE),OR(EXACT(metadata!O909,"missing: not collected"),EXACT(metadata!O909,"missing: not provided"),EXACT(metadata!O909,"missing: restricted access"))),AND(IF(metadata!O909="",FALSE,TRUE),OR(EXACT(metadata!O909,"air"),EXACT(metadata!O909,"built environment"),EXACT(metadata!O909,"host-associated"),EXACT(metadata!O909,"human-associated"),EXACT(metadata!O909,"human-skin"),EXACT(metadata!O909,"human-oral"),EXACT(metadata!O909,"human-gut"),EXACT(metadata!O909,"human-vaginal"),EXACT(metadata!O909,"microbial mat/biofilm"),EXACT(metadata!O909,"misc environment"),EXACT(metadata!O909,"plant-associated"),EXACT(metadata!O909,"sediment"),EXACT(metadata!O909,"soil"),EXACT(metadata!O909,"wastewater/sludge"),EXACT(metadata!O909,"water"))))</f>
        <v>0</v>
      </c>
      <c r="BA909" t="b">
        <f>IF(metadata!P909="",FALSE,TRUE)</f>
        <v>0</v>
      </c>
      <c r="BB909" t="b">
        <f>IF(metadata!Q909="",FALSE,TRUE)</f>
        <v>0</v>
      </c>
      <c r="BC909" t="b">
        <f>OR(AND(IF(metadata!R909="",FALSE,TRUE),OR(EXACT(metadata!R909,"missing: not collected"),EXACT(metadata!R909,"missing: not provided"),EXACT(metadata!R909,"missing: restricted access"))),AND(IF(metadata!R909="",FALSE,ISNUMBER(VALUE(metadata!R909))),metadata!R909&gt;=-90,metadata!R909&lt;=90))</f>
        <v>0</v>
      </c>
      <c r="BD909" t="b">
        <f>AND(IF(metadata!S909="",FALSE,TRUE),EXACT(metadata!S909,"Decimal degrees"))</f>
        <v>0</v>
      </c>
      <c r="BE909" t="b">
        <f>OR(AND(IF(metadata!T909="",FALSE,TRUE),OR(EXACT(metadata!T909,"missing: not collected"),EXACT(metadata!T909,"missing: not provided"),EXACT(metadata!T909,"missing: restricted access"))),AND(IF(metadata!T909="",FALSE,ISNUMBER(VALUE(metadata!T909))),metadata!T909&gt;=-180,metadata!T909&lt;=180))</f>
        <v>0</v>
      </c>
      <c r="BF909" t="b">
        <f>AND(IF(metadata!U909="",FALSE,TRUE),EXACT(metadata!U909,"Decimal degrees"))</f>
        <v>0</v>
      </c>
      <c r="BG909" t="b">
        <f>IF(metadata!V909="",FALSE,TRUE)</f>
        <v>0</v>
      </c>
      <c r="BH909" t="b">
        <f>OR(AND(IF(metadata!W909="",FALSE,TRUE),OR(EXACT(metadata!W909,"missing: not collected"),EXACT(metadata!W909,"missing: not provided"),EXACT(metadata!W909,"missing: restricted access"))),AND(IF(metadata!W909="",FALSE,TRUE),OR(EXACT(metadata!W909,"TRUE"),EXACT(metadata!W909,"FALSE"))))</f>
        <v>0</v>
      </c>
      <c r="BI909" t="b">
        <f>AND(IF(metadata!X909="",FALSE,TRUE),EXACT(metadata!X909,"other"))</f>
        <v>0</v>
      </c>
      <c r="BJ909" t="b">
        <f>IF(metadata!Y909="",FALSE,TRUE)</f>
        <v>0</v>
      </c>
      <c r="BK909" t="b">
        <f>OR(AND(IF(metadata!Z909="",FALSE,TRUE),OR(EXACT(metadata!Z909,"missing: not collected"),EXACT(metadata!Z909,"missing: not provided"))),AND(IF(metadata!Z909="",FALSE,IF(ISERROR(INT(metadata!Z909)),FALSE,INT(metadata!Z909)=metadata!Z909)),metadata!Z909&gt;0))</f>
        <v>0</v>
      </c>
      <c r="BL909" t="b">
        <f>AND(IF(metadata!AA909="",FALSE,TRUE),EXACT(metadata!AA909,"Not applicable"))</f>
        <v>0</v>
      </c>
      <c r="BM909" t="b">
        <f>IF(metadata!AB909="",FALSE,TRUE)</f>
        <v>0</v>
      </c>
    </row>
    <row r="910" spans="1:65" x14ac:dyDescent="0.2">
      <c r="A910" s="5" t="str">
        <f ca="1">IF(B910=" "," ",HYPERLINK(CONCATENATE("#metadata!",ADDRESS(INDEX($AH$2:$AH$1001,MATCH(ROWS($AF$2:AF910),$AF$2:$AF$1001,0),0),1)),INDEX($AK$2:$AK$1001,MATCH(ROWS($AF$2:AF910),$AF$2:$AF$1001,0),0)))</f>
        <v xml:space="preserve"> </v>
      </c>
      <c r="B910" s="4" t="str">
        <f ca="1">IF(OR(INDEX($AG$2:$AG$1001,MATCH(ROWS($AF$2:AF910),$AF$2:$AF$1001,0),1)&gt;=100000,INDEX($AM$1005:$BM$1005,1,MATCH(COLUMNS($AM$1006:AM1006),$AM$1006:$BM$1006,0))&gt;=100000), " ",IF(INDEX($AM$2:$BM$1001,MATCH(ROWS($AF$2:AF910),$AF$2:$AF$1001,0),MATCH(COLUMNS($AM$1006:AM1006),$AM$1006:$BM$1006,0)), HYPERLINK("#",""), HYPERLINK(CONCATENATE("#metadata!", ADDRESS(INDEX($AH$2:$AH$1001,MATCH(ROWS($AF$2:AF910),$AF$2:$AF$1001,0),0), INDEX($AM$1004:$BM$1004,1,MATCH(COLUMNS($AM$1006:AM1006),$AM$1006:$BM$1006,0)))),"Fix")))</f>
        <v xml:space="preserve"> </v>
      </c>
      <c r="C910" s="4" t="str">
        <f ca="1">IF(OR(INDEX($AG$2:$AG$1001,MATCH(ROWS($AF$2:AF910),$AF$2:$AF$1001,0),1)&gt;=100000,INDEX($AM$1005:$BM$1005,1,MATCH(COLUMNS($AM$1006:AN1006),$AM$1006:$BM$1006,0))&gt;=100000), " ",IF(INDEX($AM$2:$BM$1001,MATCH(ROWS($AF$2:AF910),$AF$2:$AF$1001,0),MATCH(COLUMNS($AM$1006:AN1006),$AM$1006:$BM$1006,0)), HYPERLINK("#",""), HYPERLINK(CONCATENATE("#metadata!", ADDRESS(INDEX($AH$2:$AH$1001,MATCH(ROWS($AF$2:AF910),$AF$2:$AF$1001,0),0), INDEX($AM$1004:$BM$1004,1,MATCH(COLUMNS($AM$1006:AN1006),$AM$1006:$BM$1006,0)))),"Fix")))</f>
        <v xml:space="preserve"> </v>
      </c>
      <c r="D910" s="4" t="str">
        <f ca="1">IF(OR(INDEX($AG$2:$AG$1001,MATCH(ROWS($AF$2:AF910),$AF$2:$AF$1001,0),1)&gt;=100000,INDEX($AM$1005:$BM$1005,1,MATCH(COLUMNS($AM$1006:AO1006),$AM$1006:$BM$1006,0))&gt;=100000), " ",IF(INDEX($AM$2:$BM$1001,MATCH(ROWS($AF$2:AF910),$AF$2:$AF$1001,0),MATCH(COLUMNS($AM$1006:AO1006),$AM$1006:$BM$1006,0)), HYPERLINK("#",""), HYPERLINK(CONCATENATE("#metadata!", ADDRESS(INDEX($AH$2:$AH$1001,MATCH(ROWS($AF$2:AF910),$AF$2:$AF$1001,0),0), INDEX($AM$1004:$BM$1004,1,MATCH(COLUMNS($AM$1006:AO1006),$AM$1006:$BM$1006,0)))),"Fix")))</f>
        <v xml:space="preserve"> </v>
      </c>
      <c r="E910" s="4" t="str">
        <f ca="1">IF(OR(INDEX($AG$2:$AG$1001,MATCH(ROWS($AF$2:AF910),$AF$2:$AF$1001,0),1)&gt;=100000,INDEX($AM$1005:$BM$1005,1,MATCH(COLUMNS($AM$1006:AP1006),$AM$1006:$BM$1006,0))&gt;=100000), " ",IF(INDEX($AM$2:$BM$1001,MATCH(ROWS($AF$2:AF910),$AF$2:$AF$1001,0),MATCH(COLUMNS($AM$1006:AP1006),$AM$1006:$BM$1006,0)), HYPERLINK("#",""), HYPERLINK(CONCATENATE("#metadata!", ADDRESS(INDEX($AH$2:$AH$1001,MATCH(ROWS($AF$2:AF910),$AF$2:$AF$1001,0),0), INDEX($AM$1004:$BM$1004,1,MATCH(COLUMNS($AM$1006:AP1006),$AM$1006:$BM$1006,0)))),"Fix")))</f>
        <v xml:space="preserve"> </v>
      </c>
      <c r="F910" s="4" t="str">
        <f ca="1">IF(OR(INDEX($AG$2:$AG$1001,MATCH(ROWS($AF$2:AF910),$AF$2:$AF$1001,0),1)&gt;=100000,INDEX($AM$1005:$BM$1005,1,MATCH(COLUMNS($AM$1006:AQ1006),$AM$1006:$BM$1006,0))&gt;=100000), " ",IF(INDEX($AM$2:$BM$1001,MATCH(ROWS($AF$2:AF910),$AF$2:$AF$1001,0),MATCH(COLUMNS($AM$1006:AQ1006),$AM$1006:$BM$1006,0)), HYPERLINK("#",""), HYPERLINK(CONCATENATE("#metadata!", ADDRESS(INDEX($AH$2:$AH$1001,MATCH(ROWS($AF$2:AF910),$AF$2:$AF$1001,0),0), INDEX($AM$1004:$BM$1004,1,MATCH(COLUMNS($AM$1006:AQ1006),$AM$1006:$BM$1006,0)))),"Fix")))</f>
        <v xml:space="preserve"> </v>
      </c>
      <c r="G910" s="4" t="str">
        <f ca="1">IF(OR(INDEX($AG$2:$AG$1001,MATCH(ROWS($AF$2:AF910),$AF$2:$AF$1001,0),1)&gt;=100000,INDEX($AM$1005:$BM$1005,1,MATCH(COLUMNS($AM$1006:AR1006),$AM$1006:$BM$1006,0))&gt;=100000), " ",IF(INDEX($AM$2:$BM$1001,MATCH(ROWS($AF$2:AF910),$AF$2:$AF$1001,0),MATCH(COLUMNS($AM$1006:AR1006),$AM$1006:$BM$1006,0)), HYPERLINK("#",""), HYPERLINK(CONCATENATE("#metadata!", ADDRESS(INDEX($AH$2:$AH$1001,MATCH(ROWS($AF$2:AF910),$AF$2:$AF$1001,0),0), INDEX($AM$1004:$BM$1004,1,MATCH(COLUMNS($AM$1006:AR1006),$AM$1006:$BM$1006,0)))),"Fix")))</f>
        <v xml:space="preserve"> </v>
      </c>
      <c r="H910" s="4" t="str">
        <f ca="1">IF(OR(INDEX($AG$2:$AG$1001,MATCH(ROWS($AF$2:AF910),$AF$2:$AF$1001,0),1)&gt;=100000,INDEX($AM$1005:$BM$1005,1,MATCH(COLUMNS($AM$1006:AS1006),$AM$1006:$BM$1006,0))&gt;=100000), " ",IF(INDEX($AM$2:$BM$1001,MATCH(ROWS($AF$2:AF910),$AF$2:$AF$1001,0),MATCH(COLUMNS($AM$1006:AS1006),$AM$1006:$BM$1006,0)), HYPERLINK("#",""), HYPERLINK(CONCATENATE("#metadata!", ADDRESS(INDEX($AH$2:$AH$1001,MATCH(ROWS($AF$2:AF910),$AF$2:$AF$1001,0),0), INDEX($AM$1004:$BM$1004,1,MATCH(COLUMNS($AM$1006:AS1006),$AM$1006:$BM$1006,0)))),"Fix")))</f>
        <v xml:space="preserve"> </v>
      </c>
      <c r="I910" s="4" t="str">
        <f ca="1">IF(OR(INDEX($AG$2:$AG$1001,MATCH(ROWS($AF$2:AF910),$AF$2:$AF$1001,0),1)&gt;=100000,INDEX($AM$1005:$BM$1005,1,MATCH(COLUMNS($AM$1006:AT1006),$AM$1006:$BM$1006,0))&gt;=100000), " ",IF(INDEX($AM$2:$BM$1001,MATCH(ROWS($AF$2:AF910),$AF$2:$AF$1001,0),MATCH(COLUMNS($AM$1006:AT1006),$AM$1006:$BM$1006,0)), HYPERLINK("#",""), HYPERLINK(CONCATENATE("#metadata!", ADDRESS(INDEX($AH$2:$AH$1001,MATCH(ROWS($AF$2:AF910),$AF$2:$AF$1001,0),0), INDEX($AM$1004:$BM$1004,1,MATCH(COLUMNS($AM$1006:AT1006),$AM$1006:$BM$1006,0)))),"Fix")))</f>
        <v xml:space="preserve"> </v>
      </c>
      <c r="J910" s="4" t="str">
        <f ca="1">IF(OR(INDEX($AG$2:$AG$1001,MATCH(ROWS($AF$2:AF910),$AF$2:$AF$1001,0),1)&gt;=100000,INDEX($AM$1005:$BM$1005,1,MATCH(COLUMNS($AM$1006:AU1006),$AM$1006:$BM$1006,0))&gt;=100000), " ",IF(INDEX($AM$2:$BM$1001,MATCH(ROWS($AF$2:AF910),$AF$2:$AF$1001,0),MATCH(COLUMNS($AM$1006:AU1006),$AM$1006:$BM$1006,0)), HYPERLINK("#",""), HYPERLINK(CONCATENATE("#metadata!", ADDRESS(INDEX($AH$2:$AH$1001,MATCH(ROWS($AF$2:AF910),$AF$2:$AF$1001,0),0), INDEX($AM$1004:$BM$1004,1,MATCH(COLUMNS($AM$1006:AU1006),$AM$1006:$BM$1006,0)))),"Fix")))</f>
        <v xml:space="preserve"> </v>
      </c>
      <c r="K910" s="4" t="str">
        <f ca="1">IF(OR(INDEX($AG$2:$AG$1001,MATCH(ROWS($AF$2:AF910),$AF$2:$AF$1001,0),1)&gt;=100000,INDEX($AM$1005:$BM$1005,1,MATCH(COLUMNS($AM$1006:AV1006),$AM$1006:$BM$1006,0))&gt;=100000), " ",IF(INDEX($AM$2:$BM$1001,MATCH(ROWS($AF$2:AF910),$AF$2:$AF$1001,0),MATCH(COLUMNS($AM$1006:AV1006),$AM$1006:$BM$1006,0)), HYPERLINK("#",""), HYPERLINK(CONCATENATE("#metadata!", ADDRESS(INDEX($AH$2:$AH$1001,MATCH(ROWS($AF$2:AF910),$AF$2:$AF$1001,0),0), INDEX($AM$1004:$BM$1004,1,MATCH(COLUMNS($AM$1006:AV1006),$AM$1006:$BM$1006,0)))),"Fix")))</f>
        <v xml:space="preserve"> </v>
      </c>
      <c r="L910" s="4" t="str">
        <f ca="1">IF(OR(INDEX($AG$2:$AG$1001,MATCH(ROWS($AF$2:AF910),$AF$2:$AF$1001,0),1)&gt;=100000,INDEX($AM$1005:$BM$1005,1,MATCH(COLUMNS($AM$1006:AW1006),$AM$1006:$BM$1006,0))&gt;=100000), " ",IF(INDEX($AM$2:$BM$1001,MATCH(ROWS($AF$2:AF910),$AF$2:$AF$1001,0),MATCH(COLUMNS($AM$1006:AW1006),$AM$1006:$BM$1006,0)), HYPERLINK("#",""), HYPERLINK(CONCATENATE("#metadata!", ADDRESS(INDEX($AH$2:$AH$1001,MATCH(ROWS($AF$2:AF910),$AF$2:$AF$1001,0),0), INDEX($AM$1004:$BM$1004,1,MATCH(COLUMNS($AM$1006:AW1006),$AM$1006:$BM$1006,0)))),"Fix")))</f>
        <v xml:space="preserve"> </v>
      </c>
      <c r="M910" s="4" t="str">
        <f ca="1">IF(OR(INDEX($AG$2:$AG$1001,MATCH(ROWS($AF$2:AF910),$AF$2:$AF$1001,0),1)&gt;=100000,INDEX($AM$1005:$BM$1005,1,MATCH(COLUMNS($AM$1006:AX1006),$AM$1006:$BM$1006,0))&gt;=100000), " ",IF(INDEX($AM$2:$BM$1001,MATCH(ROWS($AF$2:AF910),$AF$2:$AF$1001,0),MATCH(COLUMNS($AM$1006:AX1006),$AM$1006:$BM$1006,0)), HYPERLINK("#",""), HYPERLINK(CONCATENATE("#metadata!", ADDRESS(INDEX($AH$2:$AH$1001,MATCH(ROWS($AF$2:AF910),$AF$2:$AF$1001,0),0), INDEX($AM$1004:$BM$1004,1,MATCH(COLUMNS($AM$1006:AX1006),$AM$1006:$BM$1006,0)))),"Fix")))</f>
        <v xml:space="preserve"> </v>
      </c>
      <c r="N910" s="4" t="str">
        <f ca="1">IF(OR(INDEX($AG$2:$AG$1001,MATCH(ROWS($AF$2:AF910),$AF$2:$AF$1001,0),1)&gt;=100000,INDEX($AM$1005:$BM$1005,1,MATCH(COLUMNS($AM$1006:AY1006),$AM$1006:$BM$1006,0))&gt;=100000), " ",IF(INDEX($AM$2:$BM$1001,MATCH(ROWS($AF$2:AF910),$AF$2:$AF$1001,0),MATCH(COLUMNS($AM$1006:AY1006),$AM$1006:$BM$1006,0)), HYPERLINK("#",""), HYPERLINK(CONCATENATE("#metadata!", ADDRESS(INDEX($AH$2:$AH$1001,MATCH(ROWS($AF$2:AF910),$AF$2:$AF$1001,0),0), INDEX($AM$1004:$BM$1004,1,MATCH(COLUMNS($AM$1006:AY1006),$AM$1006:$BM$1006,0)))),"Fix")))</f>
        <v xml:space="preserve"> </v>
      </c>
      <c r="O910" s="4" t="str">
        <f ca="1">IF(OR(INDEX($AG$2:$AG$1001,MATCH(ROWS($AF$2:AF910),$AF$2:$AF$1001,0),1)&gt;=100000,INDEX($AM$1005:$BM$1005,1,MATCH(COLUMNS($AM$1006:AZ1006),$AM$1006:$BM$1006,0))&gt;=100000), " ",IF(INDEX($AM$2:$BM$1001,MATCH(ROWS($AF$2:AF910),$AF$2:$AF$1001,0),MATCH(COLUMNS($AM$1006:AZ1006),$AM$1006:$BM$1006,0)), HYPERLINK("#",""), HYPERLINK(CONCATENATE("#metadata!", ADDRESS(INDEX($AH$2:$AH$1001,MATCH(ROWS($AF$2:AF910),$AF$2:$AF$1001,0),0), INDEX($AM$1004:$BM$1004,1,MATCH(COLUMNS($AM$1006:AZ1006),$AM$1006:$BM$1006,0)))),"Fix")))</f>
        <v xml:space="preserve"> </v>
      </c>
      <c r="P910" s="4" t="str">
        <f ca="1">IF(OR(INDEX($AG$2:$AG$1001,MATCH(ROWS($AF$2:AF910),$AF$2:$AF$1001,0),1)&gt;=100000,INDEX($AM$1005:$BM$1005,1,MATCH(COLUMNS($AM$1006:BA1006),$AM$1006:$BM$1006,0))&gt;=100000), " ",IF(INDEX($AM$2:$BM$1001,MATCH(ROWS($AF$2:AF910),$AF$2:$AF$1001,0),MATCH(COLUMNS($AM$1006:BA1006),$AM$1006:$BM$1006,0)), HYPERLINK("#",""), HYPERLINK(CONCATENATE("#metadata!", ADDRESS(INDEX($AH$2:$AH$1001,MATCH(ROWS($AF$2:AF910),$AF$2:$AF$1001,0),0), INDEX($AM$1004:$BM$1004,1,MATCH(COLUMNS($AM$1006:BA1006),$AM$1006:$BM$1006,0)))),"Fix")))</f>
        <v xml:space="preserve"> </v>
      </c>
      <c r="Q910" s="4" t="str">
        <f ca="1">IF(OR(INDEX($AG$2:$AG$1001,MATCH(ROWS($AF$2:AF910),$AF$2:$AF$1001,0),1)&gt;=100000,INDEX($AM$1005:$BM$1005,1,MATCH(COLUMNS($AM$1006:BB1006),$AM$1006:$BM$1006,0))&gt;=100000), " ",IF(INDEX($AM$2:$BM$1001,MATCH(ROWS($AF$2:AF910),$AF$2:$AF$1001,0),MATCH(COLUMNS($AM$1006:BB1006),$AM$1006:$BM$1006,0)), HYPERLINK("#",""), HYPERLINK(CONCATENATE("#metadata!", ADDRESS(INDEX($AH$2:$AH$1001,MATCH(ROWS($AF$2:AF910),$AF$2:$AF$1001,0),0), INDEX($AM$1004:$BM$1004,1,MATCH(COLUMNS($AM$1006:BB1006),$AM$1006:$BM$1006,0)))),"Fix")))</f>
        <v xml:space="preserve"> </v>
      </c>
      <c r="R910" s="4" t="str">
        <f ca="1">IF(OR(INDEX($AG$2:$AG$1001,MATCH(ROWS($AF$2:AF910),$AF$2:$AF$1001,0),1)&gt;=100000,INDEX($AM$1005:$BM$1005,1,MATCH(COLUMNS($AM$1006:BC1006),$AM$1006:$BM$1006,0))&gt;=100000), " ",IF(INDEX($AM$2:$BM$1001,MATCH(ROWS($AF$2:AF910),$AF$2:$AF$1001,0),MATCH(COLUMNS($AM$1006:BC1006),$AM$1006:$BM$1006,0)), HYPERLINK("#",""), HYPERLINK(CONCATENATE("#metadata!", ADDRESS(INDEX($AH$2:$AH$1001,MATCH(ROWS($AF$2:AF910),$AF$2:$AF$1001,0),0), INDEX($AM$1004:$BM$1004,1,MATCH(COLUMNS($AM$1006:BC1006),$AM$1006:$BM$1006,0)))),"Fix")))</f>
        <v xml:space="preserve"> </v>
      </c>
      <c r="S910" s="4" t="str">
        <f ca="1">IF(OR(INDEX($AG$2:$AG$1001,MATCH(ROWS($AF$2:AF910),$AF$2:$AF$1001,0),1)&gt;=100000,INDEX($AM$1005:$BM$1005,1,MATCH(COLUMNS($AM$1006:BD1006),$AM$1006:$BM$1006,0))&gt;=100000), " ",IF(INDEX($AM$2:$BM$1001,MATCH(ROWS($AF$2:AF910),$AF$2:$AF$1001,0),MATCH(COLUMNS($AM$1006:BD1006),$AM$1006:$BM$1006,0)), HYPERLINK("#",""), HYPERLINK(CONCATENATE("#metadata!", ADDRESS(INDEX($AH$2:$AH$1001,MATCH(ROWS($AF$2:AF910),$AF$2:$AF$1001,0),0), INDEX($AM$1004:$BM$1004,1,MATCH(COLUMNS($AM$1006:BD1006),$AM$1006:$BM$1006,0)))),"Fix")))</f>
        <v xml:space="preserve"> </v>
      </c>
      <c r="T910" s="4" t="str">
        <f ca="1">IF(OR(INDEX($AG$2:$AG$1001,MATCH(ROWS($AF$2:AF910),$AF$2:$AF$1001,0),1)&gt;=100000,INDEX($AM$1005:$BM$1005,1,MATCH(COLUMNS($AM$1006:BE1006),$AM$1006:$BM$1006,0))&gt;=100000), " ",IF(INDEX($AM$2:$BM$1001,MATCH(ROWS($AF$2:AF910),$AF$2:$AF$1001,0),MATCH(COLUMNS($AM$1006:BE1006),$AM$1006:$BM$1006,0)), HYPERLINK("#",""), HYPERLINK(CONCATENATE("#metadata!", ADDRESS(INDEX($AH$2:$AH$1001,MATCH(ROWS($AF$2:AF910),$AF$2:$AF$1001,0),0), INDEX($AM$1004:$BM$1004,1,MATCH(COLUMNS($AM$1006:BE1006),$AM$1006:$BM$1006,0)))),"Fix")))</f>
        <v xml:space="preserve"> </v>
      </c>
      <c r="U910" s="4" t="str">
        <f ca="1">IF(OR(INDEX($AG$2:$AG$1001,MATCH(ROWS($AF$2:AF910),$AF$2:$AF$1001,0),1)&gt;=100000,INDEX($AM$1005:$BM$1005,1,MATCH(COLUMNS($AM$1006:BF1006),$AM$1006:$BM$1006,0))&gt;=100000), " ",IF(INDEX($AM$2:$BM$1001,MATCH(ROWS($AF$2:AF910),$AF$2:$AF$1001,0),MATCH(COLUMNS($AM$1006:BF1006),$AM$1006:$BM$1006,0)), HYPERLINK("#",""), HYPERLINK(CONCATENATE("#metadata!", ADDRESS(INDEX($AH$2:$AH$1001,MATCH(ROWS($AF$2:AF910),$AF$2:$AF$1001,0),0), INDEX($AM$1004:$BM$1004,1,MATCH(COLUMNS($AM$1006:BF1006),$AM$1006:$BM$1006,0)))),"Fix")))</f>
        <v xml:space="preserve"> </v>
      </c>
      <c r="V910" s="4" t="str">
        <f ca="1">IF(OR(INDEX($AG$2:$AG$1001,MATCH(ROWS($AF$2:AF910),$AF$2:$AF$1001,0),1)&gt;=100000,INDEX($AM$1005:$BM$1005,1,MATCH(COLUMNS($AM$1006:BG1006),$AM$1006:$BM$1006,0))&gt;=100000), " ",IF(INDEX($AM$2:$BM$1001,MATCH(ROWS($AF$2:AF910),$AF$2:$AF$1001,0),MATCH(COLUMNS($AM$1006:BG1006),$AM$1006:$BM$1006,0)), HYPERLINK("#",""), HYPERLINK(CONCATENATE("#metadata!", ADDRESS(INDEX($AH$2:$AH$1001,MATCH(ROWS($AF$2:AF910),$AF$2:$AF$1001,0),0), INDEX($AM$1004:$BM$1004,1,MATCH(COLUMNS($AM$1006:BG1006),$AM$1006:$BM$1006,0)))),"Fix")))</f>
        <v xml:space="preserve"> </v>
      </c>
      <c r="W910" s="4" t="str">
        <f ca="1">IF(OR(INDEX($AG$2:$AG$1001,MATCH(ROWS($AF$2:AF910),$AF$2:$AF$1001,0),1)&gt;=100000,INDEX($AM$1005:$BM$1005,1,MATCH(COLUMNS($AM$1006:BH1006),$AM$1006:$BM$1006,0))&gt;=100000), " ",IF(INDEX($AM$2:$BM$1001,MATCH(ROWS($AF$2:AF910),$AF$2:$AF$1001,0),MATCH(COLUMNS($AM$1006:BH1006),$AM$1006:$BM$1006,0)), HYPERLINK("#",""), HYPERLINK(CONCATENATE("#metadata!", ADDRESS(INDEX($AH$2:$AH$1001,MATCH(ROWS($AF$2:AF910),$AF$2:$AF$1001,0),0), INDEX($AM$1004:$BM$1004,1,MATCH(COLUMNS($AM$1006:BH1006),$AM$1006:$BM$1006,0)))),"Fix")))</f>
        <v xml:space="preserve"> </v>
      </c>
      <c r="X910" s="4" t="str">
        <f ca="1">IF(OR(INDEX($AG$2:$AG$1001,MATCH(ROWS($AF$2:AF910),$AF$2:$AF$1001,0),1)&gt;=100000,INDEX($AM$1005:$BM$1005,1,MATCH(COLUMNS($AM$1006:BI1006),$AM$1006:$BM$1006,0))&gt;=100000), " ",IF(INDEX($AM$2:$BM$1001,MATCH(ROWS($AF$2:AF910),$AF$2:$AF$1001,0),MATCH(COLUMNS($AM$1006:BI1006),$AM$1006:$BM$1006,0)), HYPERLINK("#",""), HYPERLINK(CONCATENATE("#metadata!", ADDRESS(INDEX($AH$2:$AH$1001,MATCH(ROWS($AF$2:AF910),$AF$2:$AF$1001,0),0), INDEX($AM$1004:$BM$1004,1,MATCH(COLUMNS($AM$1006:BI1006),$AM$1006:$BM$1006,0)))),"Fix")))</f>
        <v xml:space="preserve"> </v>
      </c>
      <c r="Y910" s="4" t="str">
        <f ca="1">IF(OR(INDEX($AG$2:$AG$1001,MATCH(ROWS($AF$2:AF910),$AF$2:$AF$1001,0),1)&gt;=100000,INDEX($AM$1005:$BM$1005,1,MATCH(COLUMNS($AM$1006:BJ1006),$AM$1006:$BM$1006,0))&gt;=100000), " ",IF(INDEX($AM$2:$BM$1001,MATCH(ROWS($AF$2:AF910),$AF$2:$AF$1001,0),MATCH(COLUMNS($AM$1006:BJ1006),$AM$1006:$BM$1006,0)), HYPERLINK("#",""), HYPERLINK(CONCATENATE("#metadata!", ADDRESS(INDEX($AH$2:$AH$1001,MATCH(ROWS($AF$2:AF910),$AF$2:$AF$1001,0),0), INDEX($AM$1004:$BM$1004,1,MATCH(COLUMNS($AM$1006:BJ1006),$AM$1006:$BM$1006,0)))),"Fix")))</f>
        <v xml:space="preserve"> </v>
      </c>
      <c r="Z910" s="4" t="str">
        <f ca="1">IF(OR(INDEX($AG$2:$AG$1001,MATCH(ROWS($AF$2:AF910),$AF$2:$AF$1001,0),1)&gt;=100000,INDEX($AM$1005:$BM$1005,1,MATCH(COLUMNS($AM$1006:BK1006),$AM$1006:$BM$1006,0))&gt;=100000), " ",IF(INDEX($AM$2:$BM$1001,MATCH(ROWS($AF$2:AF910),$AF$2:$AF$1001,0),MATCH(COLUMNS($AM$1006:BK1006),$AM$1006:$BM$1006,0)), HYPERLINK("#",""), HYPERLINK(CONCATENATE("#metadata!", ADDRESS(INDEX($AH$2:$AH$1001,MATCH(ROWS($AF$2:AF910),$AF$2:$AF$1001,0),0), INDEX($AM$1004:$BM$1004,1,MATCH(COLUMNS($AM$1006:BK1006),$AM$1006:$BM$1006,0)))),"Fix")))</f>
        <v xml:space="preserve"> </v>
      </c>
      <c r="AA910" s="4" t="str">
        <f ca="1">IF(OR(INDEX($AG$2:$AG$1001,MATCH(ROWS($AF$2:AF910),$AF$2:$AF$1001,0),1)&gt;=100000,INDEX($AM$1005:$BM$1005,1,MATCH(COLUMNS($AM$1006:BL1006),$AM$1006:$BM$1006,0))&gt;=100000), " ",IF(INDEX($AM$2:$BM$1001,MATCH(ROWS($AF$2:AF910),$AF$2:$AF$1001,0),MATCH(COLUMNS($AM$1006:BL1006),$AM$1006:$BM$1006,0)), HYPERLINK("#",""), HYPERLINK(CONCATENATE("#metadata!", ADDRESS(INDEX($AH$2:$AH$1001,MATCH(ROWS($AF$2:AF910),$AF$2:$AF$1001,0),0), INDEX($AM$1004:$BM$1004,1,MATCH(COLUMNS($AM$1006:BL1006),$AM$1006:$BM$1006,0)))),"Fix")))</f>
        <v xml:space="preserve"> </v>
      </c>
      <c r="AB910" s="4" t="str">
        <f ca="1">IF(OR(INDEX($AG$2:$AG$1001,MATCH(ROWS($AF$2:AF910),$AF$2:$AF$1001,0),1)&gt;=100000,INDEX($AM$1005:$BM$1005,1,MATCH(COLUMNS($AM$1006:BM1006),$AM$1006:$BM$1006,0))&gt;=100000), " ",IF(INDEX($AM$2:$BM$1001,MATCH(ROWS($AF$2:AF910),$AF$2:$AF$1001,0),MATCH(COLUMNS($AM$1006:BM1006),$AM$1006:$BM$1006,0)), HYPERLINK("#",""), HYPERLINK(CONCATENATE("#metadata!", ADDRESS(INDEX($AH$2:$AH$1001,MATCH(ROWS($AF$2:AF910),$AF$2:$AF$1001,0),0), INDEX($AM$1004:$BM$1004,1,MATCH(COLUMNS($AM$1006:BM1006),$AM$1006:$BM$1006,0)))),"Fix")))</f>
        <v xml:space="preserve"> </v>
      </c>
      <c r="AF910">
        <v>909</v>
      </c>
      <c r="AG910">
        <v>100910</v>
      </c>
      <c r="AH910">
        <v>910</v>
      </c>
      <c r="AI910" t="b">
        <f t="shared" si="14"/>
        <v>1</v>
      </c>
      <c r="AJ910" t="b">
        <f>COUNTBLANK(metadata!B910:AB910)=COLUMNS(metadata!B910:AB910)</f>
        <v>1</v>
      </c>
      <c r="AK910" t="str">
        <v/>
      </c>
      <c r="AM910" t="b">
        <f ca="1">AND(IF(metadata!B910="",FALSE,TRUE),COUNTIF(metadata!B:B, metadata!B910) = 1,NOT(ISERROR(SUMPRODUCT(SEARCH(MID(metadata!B910,ROW(INDIRECT("1:"&amp;LEN(metadata!B910))), 1),"0123456789abcdefghijklmnopqrstuvwxyzABCDEFGHIJKLMNOPQRSTUVWXYZ.")))))</f>
        <v>0</v>
      </c>
      <c r="AN910" t="b">
        <f ca="1">OR(AND(IF(metadata!C910="",FALSE,TRUE),OR(EXACT(metadata!C910,"missing: not collected"),EXACT(metadata!C910,"missing: not provided"),EXACT(metadata!C910,"missing: restricted access"))),AND(IF(metadata!C910="",FALSE,TRUE),AND(AND(IFERROR(INT(LEFT(metadata!C910,4))&gt;1900,FALSE),IFERROR(INT(LEFT(metadata!C910,4))&lt;=YEAR(NOW()),FALSE)), OR(MID(metadata!C910,5,1)="", AND(AND(MID(metadata!C910,5,1)="-",IFERROR(INT(MID(metadata!C910,6,1))&gt;=0,FALSE),IFERROR(INT(MID(metadata!C910,6,1))&lt;=1,FALSE),NOT(MID(metadata!C910,7,1)=""),IFERROR(INT(MID(metadata!C910,6,2))&gt;=1,FALSE),IFERROR(INT(MID(metadata!C910,6,2))&lt;=12,FALSE)), OR(MID(metadata!C910,8,1)="", AND(AND(MID(metadata!C910,8,1)="-",IFERROR(INT(MID(metadata!C910,9,1))&gt;=0,FALSE),IFERROR(INT(MID(metadata!C910,9,1))&lt;=3,FALSE),NOT(MID(metadata!C910,10,1)=""),IFERROR(INT(MID(metadata!C910,9,2))&gt;=1,FALSE),IFERROR(INT(MID(metadata!C910,9,2))&lt;=31,FALSE)), OR(MID(metadata!C910,11,1)="", AND(AND(MID(metadata!C910,11,1)=" ",IFERROR(INT(MID(metadata!C910,12,1))&gt;=0,FALSE),IFERROR(INT(MID(metadata!C910,12,1))&lt;=2,FALSE),NOT(MID(metadata!C910,13,1)=""),IFERROR(INT(MID(metadata!C910,12,2))&gt;=0,FALSE),IFERROR(INT(MID(metadata!C910,12,2))&lt;=23,FALSE)), OR(MID(metadata!C910,14,1)="", AND(AND(MID(metadata!C910,14,1)=":",IFERROR(INT(MID(metadata!C910,15,1))&gt;=0,FALSE),IFERROR(INT(MID(metadata!C910,15,1))&lt;=5,FALSE),NOT(MID(metadata!C910,16,1)=""),IFERROR(INT(MID(metadata!C910,15,2))&gt;=0,FALSE),IFERROR(INT(MID(metadata!C910,15,2))&lt;=59,FALSE)), OR(MID(metadata!C910,17,1)="", AND(AND(MID(metadata!C910,17,1)=":",IFERROR(INT(MID(metadata!C910,18,1))&gt;=0,FALSE),IFERROR(INT(MID(metadata!C910,18,1))&lt;=5,FALSE),NOT(MID(metadata!C910,19,1)=""),IFERROR(INT(MID(metadata!C910,18,2))&gt;=0,FALSE),IFERROR(INT(MID(metadata!C910,18,2))&lt;=59,FALSE)), LEN(metadata!C910)&lt;=19)))))))))))))</f>
        <v>0</v>
      </c>
      <c r="AO910" t="b">
        <f>AND(IF(metadata!D910="",FALSE,TRUE),EXACT(metadata!D910,"Not applicable"))</f>
        <v>0</v>
      </c>
      <c r="AP910" t="b">
        <f>IF(metadata!E910="",FALSE,TRUE)</f>
        <v>0</v>
      </c>
      <c r="AQ910" t="b">
        <f>OR(AND(IF(metadata!F910="",FALSE,TRUE),OR(EXACT(metadata!F910,"missing: not collected"),EXACT(metadata!F910,"missing: not provided"))),AND(IF(metadata!F910="",FALSE,TRUE),OR(EXACT(metadata!F910,"TRUE"),EXACT(metadata!F910,"FALSE"))))</f>
        <v>0</v>
      </c>
      <c r="AR910" t="b">
        <f>OR(AND(IF(metadata!G910="",FALSE,TRUE),OR(EXACT(metadata!G910,"missing: not collected"),EXACT(metadata!G910,"missing: not provided"),EXACT(metadata!G910,"missing: restricted access"))),AND(IF(metadata!G910="",FALSE,ISNUMBER(VALUE(metadata!G910))),metadata!G910&gt;=-413))</f>
        <v>0</v>
      </c>
      <c r="AS910" t="b">
        <f>AND(IF(metadata!H910="",FALSE,TRUE),EXACT(metadata!H910,"meters"))</f>
        <v>0</v>
      </c>
      <c r="AT910" t="b">
        <f>AND(IF(metadata!I910="",FALSE,TRUE),OR(EXACT(metadata!I910,"Host-associated"),EXACT(metadata!I910,"Free-living")))</f>
        <v>0</v>
      </c>
      <c r="AU910" t="b">
        <f>AND(IF(metadata!J910="",FALSE,TRUE),OR(EXACT(metadata!J910,"Animal"),EXACT(metadata!J910,"Fungus"),EXACT(metadata!J910,"Plant"),EXACT(metadata!J910,"Saline"),EXACT(metadata!J910,"Non-saline")))</f>
        <v>0</v>
      </c>
      <c r="AV910" t="b">
        <f>AND(IF(metadata!K910="",FALSE,TRUE),OR(EXACT(metadata!K910,"Plant secretion"),EXACT(metadata!K910,"Plant rhizosphere"),EXACT(metadata!K910,"Plant surface"),EXACT(metadata!K910,"Plant corpus"),EXACT(metadata!K910,"Fungus surface"),EXACT(metadata!K910,"Fungus corpus"),EXACT(metadata!K910,"Animal surface"),EXACT(metadata!K910,"Animal proximal gut"),EXACT(metadata!K910,"Animal corpus"),EXACT(metadata!K910,"Animal distal gut"),EXACT(metadata!K910,"Animal secretion"),EXACT(metadata!K910,"Sub-surface (non-saline)"),EXACT(metadata!K910,"Surface (non-saline)"),EXACT(metadata!K910,"Water (non-saline)"),EXACT(metadata!K910,"Soil (non-saline)"),EXACT(metadata!K910,"Aerosol (non-saline)"),EXACT(metadata!K910,"Sediment (non-saline)"),EXACT(metadata!K910,"Surface (saline)"),EXACT(metadata!K910,"Water (saline)"),EXACT(metadata!K910,"Hypersaline (saline)"),EXACT(metadata!K910,"Aerosol (saline)"),EXACT(metadata!K910,"Sediment (saline)")))</f>
        <v>0</v>
      </c>
      <c r="AW910" t="b">
        <f>IF(metadata!L910="",FALSE,TRUE)</f>
        <v>0</v>
      </c>
      <c r="AX910" t="b">
        <f>IF(metadata!M910="",FALSE,TRUE)</f>
        <v>0</v>
      </c>
      <c r="AY910" t="b">
        <f>IF(metadata!N910="",FALSE,TRUE)</f>
        <v>0</v>
      </c>
      <c r="AZ910" t="b">
        <f>OR(AND(IF(metadata!O910="",FALSE,TRUE),OR(EXACT(metadata!O910,"missing: not collected"),EXACT(metadata!O910,"missing: not provided"),EXACT(metadata!O910,"missing: restricted access"))),AND(IF(metadata!O910="",FALSE,TRUE),OR(EXACT(metadata!O910,"air"),EXACT(metadata!O910,"built environment"),EXACT(metadata!O910,"host-associated"),EXACT(metadata!O910,"human-associated"),EXACT(metadata!O910,"human-skin"),EXACT(metadata!O910,"human-oral"),EXACT(metadata!O910,"human-gut"),EXACT(metadata!O910,"human-vaginal"),EXACT(metadata!O910,"microbial mat/biofilm"),EXACT(metadata!O910,"misc environment"),EXACT(metadata!O910,"plant-associated"),EXACT(metadata!O910,"sediment"),EXACT(metadata!O910,"soil"),EXACT(metadata!O910,"wastewater/sludge"),EXACT(metadata!O910,"water"))))</f>
        <v>0</v>
      </c>
      <c r="BA910" t="b">
        <f>IF(metadata!P910="",FALSE,TRUE)</f>
        <v>0</v>
      </c>
      <c r="BB910" t="b">
        <f>IF(metadata!Q910="",FALSE,TRUE)</f>
        <v>0</v>
      </c>
      <c r="BC910" t="b">
        <f>OR(AND(IF(metadata!R910="",FALSE,TRUE),OR(EXACT(metadata!R910,"missing: not collected"),EXACT(metadata!R910,"missing: not provided"),EXACT(metadata!R910,"missing: restricted access"))),AND(IF(metadata!R910="",FALSE,ISNUMBER(VALUE(metadata!R910))),metadata!R910&gt;=-90,metadata!R910&lt;=90))</f>
        <v>0</v>
      </c>
      <c r="BD910" t="b">
        <f>AND(IF(metadata!S910="",FALSE,TRUE),EXACT(metadata!S910,"Decimal degrees"))</f>
        <v>0</v>
      </c>
      <c r="BE910" t="b">
        <f>OR(AND(IF(metadata!T910="",FALSE,TRUE),OR(EXACT(metadata!T910,"missing: not collected"),EXACT(metadata!T910,"missing: not provided"),EXACT(metadata!T910,"missing: restricted access"))),AND(IF(metadata!T910="",FALSE,ISNUMBER(VALUE(metadata!T910))),metadata!T910&gt;=-180,metadata!T910&lt;=180))</f>
        <v>0</v>
      </c>
      <c r="BF910" t="b">
        <f>AND(IF(metadata!U910="",FALSE,TRUE),EXACT(metadata!U910,"Decimal degrees"))</f>
        <v>0</v>
      </c>
      <c r="BG910" t="b">
        <f>IF(metadata!V910="",FALSE,TRUE)</f>
        <v>0</v>
      </c>
      <c r="BH910" t="b">
        <f>OR(AND(IF(metadata!W910="",FALSE,TRUE),OR(EXACT(metadata!W910,"missing: not collected"),EXACT(metadata!W910,"missing: not provided"),EXACT(metadata!W910,"missing: restricted access"))),AND(IF(metadata!W910="",FALSE,TRUE),OR(EXACT(metadata!W910,"TRUE"),EXACT(metadata!W910,"FALSE"))))</f>
        <v>0</v>
      </c>
      <c r="BI910" t="b">
        <f>AND(IF(metadata!X910="",FALSE,TRUE),EXACT(metadata!X910,"other"))</f>
        <v>0</v>
      </c>
      <c r="BJ910" t="b">
        <f>IF(metadata!Y910="",FALSE,TRUE)</f>
        <v>0</v>
      </c>
      <c r="BK910" t="b">
        <f>OR(AND(IF(metadata!Z910="",FALSE,TRUE),OR(EXACT(metadata!Z910,"missing: not collected"),EXACT(metadata!Z910,"missing: not provided"))),AND(IF(metadata!Z910="",FALSE,IF(ISERROR(INT(metadata!Z910)),FALSE,INT(metadata!Z910)=metadata!Z910)),metadata!Z910&gt;0))</f>
        <v>0</v>
      </c>
      <c r="BL910" t="b">
        <f>AND(IF(metadata!AA910="",FALSE,TRUE),EXACT(metadata!AA910,"Not applicable"))</f>
        <v>0</v>
      </c>
      <c r="BM910" t="b">
        <f>IF(metadata!AB910="",FALSE,TRUE)</f>
        <v>0</v>
      </c>
    </row>
    <row r="911" spans="1:65" x14ac:dyDescent="0.2">
      <c r="A911" s="5" t="str">
        <f ca="1">IF(B911=" "," ",HYPERLINK(CONCATENATE("#metadata!",ADDRESS(INDEX($AH$2:$AH$1001,MATCH(ROWS($AF$2:AF911),$AF$2:$AF$1001,0),0),1)),INDEX($AK$2:$AK$1001,MATCH(ROWS($AF$2:AF911),$AF$2:$AF$1001,0),0)))</f>
        <v xml:space="preserve"> </v>
      </c>
      <c r="B911" s="4" t="str">
        <f ca="1">IF(OR(INDEX($AG$2:$AG$1001,MATCH(ROWS($AF$2:AF911),$AF$2:$AF$1001,0),1)&gt;=100000,INDEX($AM$1005:$BM$1005,1,MATCH(COLUMNS($AM$1006:AM1006),$AM$1006:$BM$1006,0))&gt;=100000), " ",IF(INDEX($AM$2:$BM$1001,MATCH(ROWS($AF$2:AF911),$AF$2:$AF$1001,0),MATCH(COLUMNS($AM$1006:AM1006),$AM$1006:$BM$1006,0)), HYPERLINK("#",""), HYPERLINK(CONCATENATE("#metadata!", ADDRESS(INDEX($AH$2:$AH$1001,MATCH(ROWS($AF$2:AF911),$AF$2:$AF$1001,0),0), INDEX($AM$1004:$BM$1004,1,MATCH(COLUMNS($AM$1006:AM1006),$AM$1006:$BM$1006,0)))),"Fix")))</f>
        <v xml:space="preserve"> </v>
      </c>
      <c r="C911" s="4" t="str">
        <f ca="1">IF(OR(INDEX($AG$2:$AG$1001,MATCH(ROWS($AF$2:AF911),$AF$2:$AF$1001,0),1)&gt;=100000,INDEX($AM$1005:$BM$1005,1,MATCH(COLUMNS($AM$1006:AN1006),$AM$1006:$BM$1006,0))&gt;=100000), " ",IF(INDEX($AM$2:$BM$1001,MATCH(ROWS($AF$2:AF911),$AF$2:$AF$1001,0),MATCH(COLUMNS($AM$1006:AN1006),$AM$1006:$BM$1006,0)), HYPERLINK("#",""), HYPERLINK(CONCATENATE("#metadata!", ADDRESS(INDEX($AH$2:$AH$1001,MATCH(ROWS($AF$2:AF911),$AF$2:$AF$1001,0),0), INDEX($AM$1004:$BM$1004,1,MATCH(COLUMNS($AM$1006:AN1006),$AM$1006:$BM$1006,0)))),"Fix")))</f>
        <v xml:space="preserve"> </v>
      </c>
      <c r="D911" s="4" t="str">
        <f ca="1">IF(OR(INDEX($AG$2:$AG$1001,MATCH(ROWS($AF$2:AF911),$AF$2:$AF$1001,0),1)&gt;=100000,INDEX($AM$1005:$BM$1005,1,MATCH(COLUMNS($AM$1006:AO1006),$AM$1006:$BM$1006,0))&gt;=100000), " ",IF(INDEX($AM$2:$BM$1001,MATCH(ROWS($AF$2:AF911),$AF$2:$AF$1001,0),MATCH(COLUMNS($AM$1006:AO1006),$AM$1006:$BM$1006,0)), HYPERLINK("#",""), HYPERLINK(CONCATENATE("#metadata!", ADDRESS(INDEX($AH$2:$AH$1001,MATCH(ROWS($AF$2:AF911),$AF$2:$AF$1001,0),0), INDEX($AM$1004:$BM$1004,1,MATCH(COLUMNS($AM$1006:AO1006),$AM$1006:$BM$1006,0)))),"Fix")))</f>
        <v xml:space="preserve"> </v>
      </c>
      <c r="E911" s="4" t="str">
        <f ca="1">IF(OR(INDEX($AG$2:$AG$1001,MATCH(ROWS($AF$2:AF911),$AF$2:$AF$1001,0),1)&gt;=100000,INDEX($AM$1005:$BM$1005,1,MATCH(COLUMNS($AM$1006:AP1006),$AM$1006:$BM$1006,0))&gt;=100000), " ",IF(INDEX($AM$2:$BM$1001,MATCH(ROWS($AF$2:AF911),$AF$2:$AF$1001,0),MATCH(COLUMNS($AM$1006:AP1006),$AM$1006:$BM$1006,0)), HYPERLINK("#",""), HYPERLINK(CONCATENATE("#metadata!", ADDRESS(INDEX($AH$2:$AH$1001,MATCH(ROWS($AF$2:AF911),$AF$2:$AF$1001,0),0), INDEX($AM$1004:$BM$1004,1,MATCH(COLUMNS($AM$1006:AP1006),$AM$1006:$BM$1006,0)))),"Fix")))</f>
        <v xml:space="preserve"> </v>
      </c>
      <c r="F911" s="4" t="str">
        <f ca="1">IF(OR(INDEX($AG$2:$AG$1001,MATCH(ROWS($AF$2:AF911),$AF$2:$AF$1001,0),1)&gt;=100000,INDEX($AM$1005:$BM$1005,1,MATCH(COLUMNS($AM$1006:AQ1006),$AM$1006:$BM$1006,0))&gt;=100000), " ",IF(INDEX($AM$2:$BM$1001,MATCH(ROWS($AF$2:AF911),$AF$2:$AF$1001,0),MATCH(COLUMNS($AM$1006:AQ1006),$AM$1006:$BM$1006,0)), HYPERLINK("#",""), HYPERLINK(CONCATENATE("#metadata!", ADDRESS(INDEX($AH$2:$AH$1001,MATCH(ROWS($AF$2:AF911),$AF$2:$AF$1001,0),0), INDEX($AM$1004:$BM$1004,1,MATCH(COLUMNS($AM$1006:AQ1006),$AM$1006:$BM$1006,0)))),"Fix")))</f>
        <v xml:space="preserve"> </v>
      </c>
      <c r="G911" s="4" t="str">
        <f ca="1">IF(OR(INDEX($AG$2:$AG$1001,MATCH(ROWS($AF$2:AF911),$AF$2:$AF$1001,0),1)&gt;=100000,INDEX($AM$1005:$BM$1005,1,MATCH(COLUMNS($AM$1006:AR1006),$AM$1006:$BM$1006,0))&gt;=100000), " ",IF(INDEX($AM$2:$BM$1001,MATCH(ROWS($AF$2:AF911),$AF$2:$AF$1001,0),MATCH(COLUMNS($AM$1006:AR1006),$AM$1006:$BM$1006,0)), HYPERLINK("#",""), HYPERLINK(CONCATENATE("#metadata!", ADDRESS(INDEX($AH$2:$AH$1001,MATCH(ROWS($AF$2:AF911),$AF$2:$AF$1001,0),0), INDEX($AM$1004:$BM$1004,1,MATCH(COLUMNS($AM$1006:AR1006),$AM$1006:$BM$1006,0)))),"Fix")))</f>
        <v xml:space="preserve"> </v>
      </c>
      <c r="H911" s="4" t="str">
        <f ca="1">IF(OR(INDEX($AG$2:$AG$1001,MATCH(ROWS($AF$2:AF911),$AF$2:$AF$1001,0),1)&gt;=100000,INDEX($AM$1005:$BM$1005,1,MATCH(COLUMNS($AM$1006:AS1006),$AM$1006:$BM$1006,0))&gt;=100000), " ",IF(INDEX($AM$2:$BM$1001,MATCH(ROWS($AF$2:AF911),$AF$2:$AF$1001,0),MATCH(COLUMNS($AM$1006:AS1006),$AM$1006:$BM$1006,0)), HYPERLINK("#",""), HYPERLINK(CONCATENATE("#metadata!", ADDRESS(INDEX($AH$2:$AH$1001,MATCH(ROWS($AF$2:AF911),$AF$2:$AF$1001,0),0), INDEX($AM$1004:$BM$1004,1,MATCH(COLUMNS($AM$1006:AS1006),$AM$1006:$BM$1006,0)))),"Fix")))</f>
        <v xml:space="preserve"> </v>
      </c>
      <c r="I911" s="4" t="str">
        <f ca="1">IF(OR(INDEX($AG$2:$AG$1001,MATCH(ROWS($AF$2:AF911),$AF$2:$AF$1001,0),1)&gt;=100000,INDEX($AM$1005:$BM$1005,1,MATCH(COLUMNS($AM$1006:AT1006),$AM$1006:$BM$1006,0))&gt;=100000), " ",IF(INDEX($AM$2:$BM$1001,MATCH(ROWS($AF$2:AF911),$AF$2:$AF$1001,0),MATCH(COLUMNS($AM$1006:AT1006),$AM$1006:$BM$1006,0)), HYPERLINK("#",""), HYPERLINK(CONCATENATE("#metadata!", ADDRESS(INDEX($AH$2:$AH$1001,MATCH(ROWS($AF$2:AF911),$AF$2:$AF$1001,0),0), INDEX($AM$1004:$BM$1004,1,MATCH(COLUMNS($AM$1006:AT1006),$AM$1006:$BM$1006,0)))),"Fix")))</f>
        <v xml:space="preserve"> </v>
      </c>
      <c r="J911" s="4" t="str">
        <f ca="1">IF(OR(INDEX($AG$2:$AG$1001,MATCH(ROWS($AF$2:AF911),$AF$2:$AF$1001,0),1)&gt;=100000,INDEX($AM$1005:$BM$1005,1,MATCH(COLUMNS($AM$1006:AU1006),$AM$1006:$BM$1006,0))&gt;=100000), " ",IF(INDEX($AM$2:$BM$1001,MATCH(ROWS($AF$2:AF911),$AF$2:$AF$1001,0),MATCH(COLUMNS($AM$1006:AU1006),$AM$1006:$BM$1006,0)), HYPERLINK("#",""), HYPERLINK(CONCATENATE("#metadata!", ADDRESS(INDEX($AH$2:$AH$1001,MATCH(ROWS($AF$2:AF911),$AF$2:$AF$1001,0),0), INDEX($AM$1004:$BM$1004,1,MATCH(COLUMNS($AM$1006:AU1006),$AM$1006:$BM$1006,0)))),"Fix")))</f>
        <v xml:space="preserve"> </v>
      </c>
      <c r="K911" s="4" t="str">
        <f ca="1">IF(OR(INDEX($AG$2:$AG$1001,MATCH(ROWS($AF$2:AF911),$AF$2:$AF$1001,0),1)&gt;=100000,INDEX($AM$1005:$BM$1005,1,MATCH(COLUMNS($AM$1006:AV1006),$AM$1006:$BM$1006,0))&gt;=100000), " ",IF(INDEX($AM$2:$BM$1001,MATCH(ROWS($AF$2:AF911),$AF$2:$AF$1001,0),MATCH(COLUMNS($AM$1006:AV1006),$AM$1006:$BM$1006,0)), HYPERLINK("#",""), HYPERLINK(CONCATENATE("#metadata!", ADDRESS(INDEX($AH$2:$AH$1001,MATCH(ROWS($AF$2:AF911),$AF$2:$AF$1001,0),0), INDEX($AM$1004:$BM$1004,1,MATCH(COLUMNS($AM$1006:AV1006),$AM$1006:$BM$1006,0)))),"Fix")))</f>
        <v xml:space="preserve"> </v>
      </c>
      <c r="L911" s="4" t="str">
        <f ca="1">IF(OR(INDEX($AG$2:$AG$1001,MATCH(ROWS($AF$2:AF911),$AF$2:$AF$1001,0),1)&gt;=100000,INDEX($AM$1005:$BM$1005,1,MATCH(COLUMNS($AM$1006:AW1006),$AM$1006:$BM$1006,0))&gt;=100000), " ",IF(INDEX($AM$2:$BM$1001,MATCH(ROWS($AF$2:AF911),$AF$2:$AF$1001,0),MATCH(COLUMNS($AM$1006:AW1006),$AM$1006:$BM$1006,0)), HYPERLINK("#",""), HYPERLINK(CONCATENATE("#metadata!", ADDRESS(INDEX($AH$2:$AH$1001,MATCH(ROWS($AF$2:AF911),$AF$2:$AF$1001,0),0), INDEX($AM$1004:$BM$1004,1,MATCH(COLUMNS($AM$1006:AW1006),$AM$1006:$BM$1006,0)))),"Fix")))</f>
        <v xml:space="preserve"> </v>
      </c>
      <c r="M911" s="4" t="str">
        <f ca="1">IF(OR(INDEX($AG$2:$AG$1001,MATCH(ROWS($AF$2:AF911),$AF$2:$AF$1001,0),1)&gt;=100000,INDEX($AM$1005:$BM$1005,1,MATCH(COLUMNS($AM$1006:AX1006),$AM$1006:$BM$1006,0))&gt;=100000), " ",IF(INDEX($AM$2:$BM$1001,MATCH(ROWS($AF$2:AF911),$AF$2:$AF$1001,0),MATCH(COLUMNS($AM$1006:AX1006),$AM$1006:$BM$1006,0)), HYPERLINK("#",""), HYPERLINK(CONCATENATE("#metadata!", ADDRESS(INDEX($AH$2:$AH$1001,MATCH(ROWS($AF$2:AF911),$AF$2:$AF$1001,0),0), INDEX($AM$1004:$BM$1004,1,MATCH(COLUMNS($AM$1006:AX1006),$AM$1006:$BM$1006,0)))),"Fix")))</f>
        <v xml:space="preserve"> </v>
      </c>
      <c r="N911" s="4" t="str">
        <f ca="1">IF(OR(INDEX($AG$2:$AG$1001,MATCH(ROWS($AF$2:AF911),$AF$2:$AF$1001,0),1)&gt;=100000,INDEX($AM$1005:$BM$1005,1,MATCH(COLUMNS($AM$1006:AY1006),$AM$1006:$BM$1006,0))&gt;=100000), " ",IF(INDEX($AM$2:$BM$1001,MATCH(ROWS($AF$2:AF911),$AF$2:$AF$1001,0),MATCH(COLUMNS($AM$1006:AY1006),$AM$1006:$BM$1006,0)), HYPERLINK("#",""), HYPERLINK(CONCATENATE("#metadata!", ADDRESS(INDEX($AH$2:$AH$1001,MATCH(ROWS($AF$2:AF911),$AF$2:$AF$1001,0),0), INDEX($AM$1004:$BM$1004,1,MATCH(COLUMNS($AM$1006:AY1006),$AM$1006:$BM$1006,0)))),"Fix")))</f>
        <v xml:space="preserve"> </v>
      </c>
      <c r="O911" s="4" t="str">
        <f ca="1">IF(OR(INDEX($AG$2:$AG$1001,MATCH(ROWS($AF$2:AF911),$AF$2:$AF$1001,0),1)&gt;=100000,INDEX($AM$1005:$BM$1005,1,MATCH(COLUMNS($AM$1006:AZ1006),$AM$1006:$BM$1006,0))&gt;=100000), " ",IF(INDEX($AM$2:$BM$1001,MATCH(ROWS($AF$2:AF911),$AF$2:$AF$1001,0),MATCH(COLUMNS($AM$1006:AZ1006),$AM$1006:$BM$1006,0)), HYPERLINK("#",""), HYPERLINK(CONCATENATE("#metadata!", ADDRESS(INDEX($AH$2:$AH$1001,MATCH(ROWS($AF$2:AF911),$AF$2:$AF$1001,0),0), INDEX($AM$1004:$BM$1004,1,MATCH(COLUMNS($AM$1006:AZ1006),$AM$1006:$BM$1006,0)))),"Fix")))</f>
        <v xml:space="preserve"> </v>
      </c>
      <c r="P911" s="4" t="str">
        <f ca="1">IF(OR(INDEX($AG$2:$AG$1001,MATCH(ROWS($AF$2:AF911),$AF$2:$AF$1001,0),1)&gt;=100000,INDEX($AM$1005:$BM$1005,1,MATCH(COLUMNS($AM$1006:BA1006),$AM$1006:$BM$1006,0))&gt;=100000), " ",IF(INDEX($AM$2:$BM$1001,MATCH(ROWS($AF$2:AF911),$AF$2:$AF$1001,0),MATCH(COLUMNS($AM$1006:BA1006),$AM$1006:$BM$1006,0)), HYPERLINK("#",""), HYPERLINK(CONCATENATE("#metadata!", ADDRESS(INDEX($AH$2:$AH$1001,MATCH(ROWS($AF$2:AF911),$AF$2:$AF$1001,0),0), INDEX($AM$1004:$BM$1004,1,MATCH(COLUMNS($AM$1006:BA1006),$AM$1006:$BM$1006,0)))),"Fix")))</f>
        <v xml:space="preserve"> </v>
      </c>
      <c r="Q911" s="4" t="str">
        <f ca="1">IF(OR(INDEX($AG$2:$AG$1001,MATCH(ROWS($AF$2:AF911),$AF$2:$AF$1001,0),1)&gt;=100000,INDEX($AM$1005:$BM$1005,1,MATCH(COLUMNS($AM$1006:BB1006),$AM$1006:$BM$1006,0))&gt;=100000), " ",IF(INDEX($AM$2:$BM$1001,MATCH(ROWS($AF$2:AF911),$AF$2:$AF$1001,0),MATCH(COLUMNS($AM$1006:BB1006),$AM$1006:$BM$1006,0)), HYPERLINK("#",""), HYPERLINK(CONCATENATE("#metadata!", ADDRESS(INDEX($AH$2:$AH$1001,MATCH(ROWS($AF$2:AF911),$AF$2:$AF$1001,0),0), INDEX($AM$1004:$BM$1004,1,MATCH(COLUMNS($AM$1006:BB1006),$AM$1006:$BM$1006,0)))),"Fix")))</f>
        <v xml:space="preserve"> </v>
      </c>
      <c r="R911" s="4" t="str">
        <f ca="1">IF(OR(INDEX($AG$2:$AG$1001,MATCH(ROWS($AF$2:AF911),$AF$2:$AF$1001,0),1)&gt;=100000,INDEX($AM$1005:$BM$1005,1,MATCH(COLUMNS($AM$1006:BC1006),$AM$1006:$BM$1006,0))&gt;=100000), " ",IF(INDEX($AM$2:$BM$1001,MATCH(ROWS($AF$2:AF911),$AF$2:$AF$1001,0),MATCH(COLUMNS($AM$1006:BC1006),$AM$1006:$BM$1006,0)), HYPERLINK("#",""), HYPERLINK(CONCATENATE("#metadata!", ADDRESS(INDEX($AH$2:$AH$1001,MATCH(ROWS($AF$2:AF911),$AF$2:$AF$1001,0),0), INDEX($AM$1004:$BM$1004,1,MATCH(COLUMNS($AM$1006:BC1006),$AM$1006:$BM$1006,0)))),"Fix")))</f>
        <v xml:space="preserve"> </v>
      </c>
      <c r="S911" s="4" t="str">
        <f ca="1">IF(OR(INDEX($AG$2:$AG$1001,MATCH(ROWS($AF$2:AF911),$AF$2:$AF$1001,0),1)&gt;=100000,INDEX($AM$1005:$BM$1005,1,MATCH(COLUMNS($AM$1006:BD1006),$AM$1006:$BM$1006,0))&gt;=100000), " ",IF(INDEX($AM$2:$BM$1001,MATCH(ROWS($AF$2:AF911),$AF$2:$AF$1001,0),MATCH(COLUMNS($AM$1006:BD1006),$AM$1006:$BM$1006,0)), HYPERLINK("#",""), HYPERLINK(CONCATENATE("#metadata!", ADDRESS(INDEX($AH$2:$AH$1001,MATCH(ROWS($AF$2:AF911),$AF$2:$AF$1001,0),0), INDEX($AM$1004:$BM$1004,1,MATCH(COLUMNS($AM$1006:BD1006),$AM$1006:$BM$1006,0)))),"Fix")))</f>
        <v xml:space="preserve"> </v>
      </c>
      <c r="T911" s="4" t="str">
        <f ca="1">IF(OR(INDEX($AG$2:$AG$1001,MATCH(ROWS($AF$2:AF911),$AF$2:$AF$1001,0),1)&gt;=100000,INDEX($AM$1005:$BM$1005,1,MATCH(COLUMNS($AM$1006:BE1006),$AM$1006:$BM$1006,0))&gt;=100000), " ",IF(INDEX($AM$2:$BM$1001,MATCH(ROWS($AF$2:AF911),$AF$2:$AF$1001,0),MATCH(COLUMNS($AM$1006:BE1006),$AM$1006:$BM$1006,0)), HYPERLINK("#",""), HYPERLINK(CONCATENATE("#metadata!", ADDRESS(INDEX($AH$2:$AH$1001,MATCH(ROWS($AF$2:AF911),$AF$2:$AF$1001,0),0), INDEX($AM$1004:$BM$1004,1,MATCH(COLUMNS($AM$1006:BE1006),$AM$1006:$BM$1006,0)))),"Fix")))</f>
        <v xml:space="preserve"> </v>
      </c>
      <c r="U911" s="4" t="str">
        <f ca="1">IF(OR(INDEX($AG$2:$AG$1001,MATCH(ROWS($AF$2:AF911),$AF$2:$AF$1001,0),1)&gt;=100000,INDEX($AM$1005:$BM$1005,1,MATCH(COLUMNS($AM$1006:BF1006),$AM$1006:$BM$1006,0))&gt;=100000), " ",IF(INDEX($AM$2:$BM$1001,MATCH(ROWS($AF$2:AF911),$AF$2:$AF$1001,0),MATCH(COLUMNS($AM$1006:BF1006),$AM$1006:$BM$1006,0)), HYPERLINK("#",""), HYPERLINK(CONCATENATE("#metadata!", ADDRESS(INDEX($AH$2:$AH$1001,MATCH(ROWS($AF$2:AF911),$AF$2:$AF$1001,0),0), INDEX($AM$1004:$BM$1004,1,MATCH(COLUMNS($AM$1006:BF1006),$AM$1006:$BM$1006,0)))),"Fix")))</f>
        <v xml:space="preserve"> </v>
      </c>
      <c r="V911" s="4" t="str">
        <f ca="1">IF(OR(INDEX($AG$2:$AG$1001,MATCH(ROWS($AF$2:AF911),$AF$2:$AF$1001,0),1)&gt;=100000,INDEX($AM$1005:$BM$1005,1,MATCH(COLUMNS($AM$1006:BG1006),$AM$1006:$BM$1006,0))&gt;=100000), " ",IF(INDEX($AM$2:$BM$1001,MATCH(ROWS($AF$2:AF911),$AF$2:$AF$1001,0),MATCH(COLUMNS($AM$1006:BG1006),$AM$1006:$BM$1006,0)), HYPERLINK("#",""), HYPERLINK(CONCATENATE("#metadata!", ADDRESS(INDEX($AH$2:$AH$1001,MATCH(ROWS($AF$2:AF911),$AF$2:$AF$1001,0),0), INDEX($AM$1004:$BM$1004,1,MATCH(COLUMNS($AM$1006:BG1006),$AM$1006:$BM$1006,0)))),"Fix")))</f>
        <v xml:space="preserve"> </v>
      </c>
      <c r="W911" s="4" t="str">
        <f ca="1">IF(OR(INDEX($AG$2:$AG$1001,MATCH(ROWS($AF$2:AF911),$AF$2:$AF$1001,0),1)&gt;=100000,INDEX($AM$1005:$BM$1005,1,MATCH(COLUMNS($AM$1006:BH1006),$AM$1006:$BM$1006,0))&gt;=100000), " ",IF(INDEX($AM$2:$BM$1001,MATCH(ROWS($AF$2:AF911),$AF$2:$AF$1001,0),MATCH(COLUMNS($AM$1006:BH1006),$AM$1006:$BM$1006,0)), HYPERLINK("#",""), HYPERLINK(CONCATENATE("#metadata!", ADDRESS(INDEX($AH$2:$AH$1001,MATCH(ROWS($AF$2:AF911),$AF$2:$AF$1001,0),0), INDEX($AM$1004:$BM$1004,1,MATCH(COLUMNS($AM$1006:BH1006),$AM$1006:$BM$1006,0)))),"Fix")))</f>
        <v xml:space="preserve"> </v>
      </c>
      <c r="X911" s="4" t="str">
        <f ca="1">IF(OR(INDEX($AG$2:$AG$1001,MATCH(ROWS($AF$2:AF911),$AF$2:$AF$1001,0),1)&gt;=100000,INDEX($AM$1005:$BM$1005,1,MATCH(COLUMNS($AM$1006:BI1006),$AM$1006:$BM$1006,0))&gt;=100000), " ",IF(INDEX($AM$2:$BM$1001,MATCH(ROWS($AF$2:AF911),$AF$2:$AF$1001,0),MATCH(COLUMNS($AM$1006:BI1006),$AM$1006:$BM$1006,0)), HYPERLINK("#",""), HYPERLINK(CONCATENATE("#metadata!", ADDRESS(INDEX($AH$2:$AH$1001,MATCH(ROWS($AF$2:AF911),$AF$2:$AF$1001,0),0), INDEX($AM$1004:$BM$1004,1,MATCH(COLUMNS($AM$1006:BI1006),$AM$1006:$BM$1006,0)))),"Fix")))</f>
        <v xml:space="preserve"> </v>
      </c>
      <c r="Y911" s="4" t="str">
        <f ca="1">IF(OR(INDEX($AG$2:$AG$1001,MATCH(ROWS($AF$2:AF911),$AF$2:$AF$1001,0),1)&gt;=100000,INDEX($AM$1005:$BM$1005,1,MATCH(COLUMNS($AM$1006:BJ1006),$AM$1006:$BM$1006,0))&gt;=100000), " ",IF(INDEX($AM$2:$BM$1001,MATCH(ROWS($AF$2:AF911),$AF$2:$AF$1001,0),MATCH(COLUMNS($AM$1006:BJ1006),$AM$1006:$BM$1006,0)), HYPERLINK("#",""), HYPERLINK(CONCATENATE("#metadata!", ADDRESS(INDEX($AH$2:$AH$1001,MATCH(ROWS($AF$2:AF911),$AF$2:$AF$1001,0),0), INDEX($AM$1004:$BM$1004,1,MATCH(COLUMNS($AM$1006:BJ1006),$AM$1006:$BM$1006,0)))),"Fix")))</f>
        <v xml:space="preserve"> </v>
      </c>
      <c r="Z911" s="4" t="str">
        <f ca="1">IF(OR(INDEX($AG$2:$AG$1001,MATCH(ROWS($AF$2:AF911),$AF$2:$AF$1001,0),1)&gt;=100000,INDEX($AM$1005:$BM$1005,1,MATCH(COLUMNS($AM$1006:BK1006),$AM$1006:$BM$1006,0))&gt;=100000), " ",IF(INDEX($AM$2:$BM$1001,MATCH(ROWS($AF$2:AF911),$AF$2:$AF$1001,0),MATCH(COLUMNS($AM$1006:BK1006),$AM$1006:$BM$1006,0)), HYPERLINK("#",""), HYPERLINK(CONCATENATE("#metadata!", ADDRESS(INDEX($AH$2:$AH$1001,MATCH(ROWS($AF$2:AF911),$AF$2:$AF$1001,0),0), INDEX($AM$1004:$BM$1004,1,MATCH(COLUMNS($AM$1006:BK1006),$AM$1006:$BM$1006,0)))),"Fix")))</f>
        <v xml:space="preserve"> </v>
      </c>
      <c r="AA911" s="4" t="str">
        <f ca="1">IF(OR(INDEX($AG$2:$AG$1001,MATCH(ROWS($AF$2:AF911),$AF$2:$AF$1001,0),1)&gt;=100000,INDEX($AM$1005:$BM$1005,1,MATCH(COLUMNS($AM$1006:BL1006),$AM$1006:$BM$1006,0))&gt;=100000), " ",IF(INDEX($AM$2:$BM$1001,MATCH(ROWS($AF$2:AF911),$AF$2:$AF$1001,0),MATCH(COLUMNS($AM$1006:BL1006),$AM$1006:$BM$1006,0)), HYPERLINK("#",""), HYPERLINK(CONCATENATE("#metadata!", ADDRESS(INDEX($AH$2:$AH$1001,MATCH(ROWS($AF$2:AF911),$AF$2:$AF$1001,0),0), INDEX($AM$1004:$BM$1004,1,MATCH(COLUMNS($AM$1006:BL1006),$AM$1006:$BM$1006,0)))),"Fix")))</f>
        <v xml:space="preserve"> </v>
      </c>
      <c r="AB911" s="4" t="str">
        <f ca="1">IF(OR(INDEX($AG$2:$AG$1001,MATCH(ROWS($AF$2:AF911),$AF$2:$AF$1001,0),1)&gt;=100000,INDEX($AM$1005:$BM$1005,1,MATCH(COLUMNS($AM$1006:BM1006),$AM$1006:$BM$1006,0))&gt;=100000), " ",IF(INDEX($AM$2:$BM$1001,MATCH(ROWS($AF$2:AF911),$AF$2:$AF$1001,0),MATCH(COLUMNS($AM$1006:BM1006),$AM$1006:$BM$1006,0)), HYPERLINK("#",""), HYPERLINK(CONCATENATE("#metadata!", ADDRESS(INDEX($AH$2:$AH$1001,MATCH(ROWS($AF$2:AF911),$AF$2:$AF$1001,0),0), INDEX($AM$1004:$BM$1004,1,MATCH(COLUMNS($AM$1006:BM1006),$AM$1006:$BM$1006,0)))),"Fix")))</f>
        <v xml:space="preserve"> </v>
      </c>
      <c r="AF911">
        <v>910</v>
      </c>
      <c r="AG911">
        <v>100911</v>
      </c>
      <c r="AH911">
        <v>911</v>
      </c>
      <c r="AI911" t="b">
        <f t="shared" si="14"/>
        <v>1</v>
      </c>
      <c r="AJ911" t="b">
        <f>COUNTBLANK(metadata!B911:AB911)=COLUMNS(metadata!B911:AB911)</f>
        <v>1</v>
      </c>
      <c r="AK911" t="str">
        <v/>
      </c>
      <c r="AM911" t="b">
        <f ca="1">AND(IF(metadata!B911="",FALSE,TRUE),COUNTIF(metadata!B:B, metadata!B911) = 1,NOT(ISERROR(SUMPRODUCT(SEARCH(MID(metadata!B911,ROW(INDIRECT("1:"&amp;LEN(metadata!B911))), 1),"0123456789abcdefghijklmnopqrstuvwxyzABCDEFGHIJKLMNOPQRSTUVWXYZ.")))))</f>
        <v>0</v>
      </c>
      <c r="AN911" t="b">
        <f ca="1">OR(AND(IF(metadata!C911="",FALSE,TRUE),OR(EXACT(metadata!C911,"missing: not collected"),EXACT(metadata!C911,"missing: not provided"),EXACT(metadata!C911,"missing: restricted access"))),AND(IF(metadata!C911="",FALSE,TRUE),AND(AND(IFERROR(INT(LEFT(metadata!C911,4))&gt;1900,FALSE),IFERROR(INT(LEFT(metadata!C911,4))&lt;=YEAR(NOW()),FALSE)), OR(MID(metadata!C911,5,1)="", AND(AND(MID(metadata!C911,5,1)="-",IFERROR(INT(MID(metadata!C911,6,1))&gt;=0,FALSE),IFERROR(INT(MID(metadata!C911,6,1))&lt;=1,FALSE),NOT(MID(metadata!C911,7,1)=""),IFERROR(INT(MID(metadata!C911,6,2))&gt;=1,FALSE),IFERROR(INT(MID(metadata!C911,6,2))&lt;=12,FALSE)), OR(MID(metadata!C911,8,1)="", AND(AND(MID(metadata!C911,8,1)="-",IFERROR(INT(MID(metadata!C911,9,1))&gt;=0,FALSE),IFERROR(INT(MID(metadata!C911,9,1))&lt;=3,FALSE),NOT(MID(metadata!C911,10,1)=""),IFERROR(INT(MID(metadata!C911,9,2))&gt;=1,FALSE),IFERROR(INT(MID(metadata!C911,9,2))&lt;=31,FALSE)), OR(MID(metadata!C911,11,1)="", AND(AND(MID(metadata!C911,11,1)=" ",IFERROR(INT(MID(metadata!C911,12,1))&gt;=0,FALSE),IFERROR(INT(MID(metadata!C911,12,1))&lt;=2,FALSE),NOT(MID(metadata!C911,13,1)=""),IFERROR(INT(MID(metadata!C911,12,2))&gt;=0,FALSE),IFERROR(INT(MID(metadata!C911,12,2))&lt;=23,FALSE)), OR(MID(metadata!C911,14,1)="", AND(AND(MID(metadata!C911,14,1)=":",IFERROR(INT(MID(metadata!C911,15,1))&gt;=0,FALSE),IFERROR(INT(MID(metadata!C911,15,1))&lt;=5,FALSE),NOT(MID(metadata!C911,16,1)=""),IFERROR(INT(MID(metadata!C911,15,2))&gt;=0,FALSE),IFERROR(INT(MID(metadata!C911,15,2))&lt;=59,FALSE)), OR(MID(metadata!C911,17,1)="", AND(AND(MID(metadata!C911,17,1)=":",IFERROR(INT(MID(metadata!C911,18,1))&gt;=0,FALSE),IFERROR(INT(MID(metadata!C911,18,1))&lt;=5,FALSE),NOT(MID(metadata!C911,19,1)=""),IFERROR(INT(MID(metadata!C911,18,2))&gt;=0,FALSE),IFERROR(INT(MID(metadata!C911,18,2))&lt;=59,FALSE)), LEN(metadata!C911)&lt;=19)))))))))))))</f>
        <v>0</v>
      </c>
      <c r="AO911" t="b">
        <f>AND(IF(metadata!D911="",FALSE,TRUE),EXACT(metadata!D911,"Not applicable"))</f>
        <v>0</v>
      </c>
      <c r="AP911" t="b">
        <f>IF(metadata!E911="",FALSE,TRUE)</f>
        <v>0</v>
      </c>
      <c r="AQ911" t="b">
        <f>OR(AND(IF(metadata!F911="",FALSE,TRUE),OR(EXACT(metadata!F911,"missing: not collected"),EXACT(metadata!F911,"missing: not provided"))),AND(IF(metadata!F911="",FALSE,TRUE),OR(EXACT(metadata!F911,"TRUE"),EXACT(metadata!F911,"FALSE"))))</f>
        <v>0</v>
      </c>
      <c r="AR911" t="b">
        <f>OR(AND(IF(metadata!G911="",FALSE,TRUE),OR(EXACT(metadata!G911,"missing: not collected"),EXACT(metadata!G911,"missing: not provided"),EXACT(metadata!G911,"missing: restricted access"))),AND(IF(metadata!G911="",FALSE,ISNUMBER(VALUE(metadata!G911))),metadata!G911&gt;=-413))</f>
        <v>0</v>
      </c>
      <c r="AS911" t="b">
        <f>AND(IF(metadata!H911="",FALSE,TRUE),EXACT(metadata!H911,"meters"))</f>
        <v>0</v>
      </c>
      <c r="AT911" t="b">
        <f>AND(IF(metadata!I911="",FALSE,TRUE),OR(EXACT(metadata!I911,"Host-associated"),EXACT(metadata!I911,"Free-living")))</f>
        <v>0</v>
      </c>
      <c r="AU911" t="b">
        <f>AND(IF(metadata!J911="",FALSE,TRUE),OR(EXACT(metadata!J911,"Animal"),EXACT(metadata!J911,"Fungus"),EXACT(metadata!J911,"Plant"),EXACT(metadata!J911,"Saline"),EXACT(metadata!J911,"Non-saline")))</f>
        <v>0</v>
      </c>
      <c r="AV911" t="b">
        <f>AND(IF(metadata!K911="",FALSE,TRUE),OR(EXACT(metadata!K911,"Plant secretion"),EXACT(metadata!K911,"Plant rhizosphere"),EXACT(metadata!K911,"Plant surface"),EXACT(metadata!K911,"Plant corpus"),EXACT(metadata!K911,"Fungus surface"),EXACT(metadata!K911,"Fungus corpus"),EXACT(metadata!K911,"Animal surface"),EXACT(metadata!K911,"Animal proximal gut"),EXACT(metadata!K911,"Animal corpus"),EXACT(metadata!K911,"Animal distal gut"),EXACT(metadata!K911,"Animal secretion"),EXACT(metadata!K911,"Sub-surface (non-saline)"),EXACT(metadata!K911,"Surface (non-saline)"),EXACT(metadata!K911,"Water (non-saline)"),EXACT(metadata!K911,"Soil (non-saline)"),EXACT(metadata!K911,"Aerosol (non-saline)"),EXACT(metadata!K911,"Sediment (non-saline)"),EXACT(metadata!K911,"Surface (saline)"),EXACT(metadata!K911,"Water (saline)"),EXACT(metadata!K911,"Hypersaline (saline)"),EXACT(metadata!K911,"Aerosol (saline)"),EXACT(metadata!K911,"Sediment (saline)")))</f>
        <v>0</v>
      </c>
      <c r="AW911" t="b">
        <f>IF(metadata!L911="",FALSE,TRUE)</f>
        <v>0</v>
      </c>
      <c r="AX911" t="b">
        <f>IF(metadata!M911="",FALSE,TRUE)</f>
        <v>0</v>
      </c>
      <c r="AY911" t="b">
        <f>IF(metadata!N911="",FALSE,TRUE)</f>
        <v>0</v>
      </c>
      <c r="AZ911" t="b">
        <f>OR(AND(IF(metadata!O911="",FALSE,TRUE),OR(EXACT(metadata!O911,"missing: not collected"),EXACT(metadata!O911,"missing: not provided"),EXACT(metadata!O911,"missing: restricted access"))),AND(IF(metadata!O911="",FALSE,TRUE),OR(EXACT(metadata!O911,"air"),EXACT(metadata!O911,"built environment"),EXACT(metadata!O911,"host-associated"),EXACT(metadata!O911,"human-associated"),EXACT(metadata!O911,"human-skin"),EXACT(metadata!O911,"human-oral"),EXACT(metadata!O911,"human-gut"),EXACT(metadata!O911,"human-vaginal"),EXACT(metadata!O911,"microbial mat/biofilm"),EXACT(metadata!O911,"misc environment"),EXACT(metadata!O911,"plant-associated"),EXACT(metadata!O911,"sediment"),EXACT(metadata!O911,"soil"),EXACT(metadata!O911,"wastewater/sludge"),EXACT(metadata!O911,"water"))))</f>
        <v>0</v>
      </c>
      <c r="BA911" t="b">
        <f>IF(metadata!P911="",FALSE,TRUE)</f>
        <v>0</v>
      </c>
      <c r="BB911" t="b">
        <f>IF(metadata!Q911="",FALSE,TRUE)</f>
        <v>0</v>
      </c>
      <c r="BC911" t="b">
        <f>OR(AND(IF(metadata!R911="",FALSE,TRUE),OR(EXACT(metadata!R911,"missing: not collected"),EXACT(metadata!R911,"missing: not provided"),EXACT(metadata!R911,"missing: restricted access"))),AND(IF(metadata!R911="",FALSE,ISNUMBER(VALUE(metadata!R911))),metadata!R911&gt;=-90,metadata!R911&lt;=90))</f>
        <v>0</v>
      </c>
      <c r="BD911" t="b">
        <f>AND(IF(metadata!S911="",FALSE,TRUE),EXACT(metadata!S911,"Decimal degrees"))</f>
        <v>0</v>
      </c>
      <c r="BE911" t="b">
        <f>OR(AND(IF(metadata!T911="",FALSE,TRUE),OR(EXACT(metadata!T911,"missing: not collected"),EXACT(metadata!T911,"missing: not provided"),EXACT(metadata!T911,"missing: restricted access"))),AND(IF(metadata!T911="",FALSE,ISNUMBER(VALUE(metadata!T911))),metadata!T911&gt;=-180,metadata!T911&lt;=180))</f>
        <v>0</v>
      </c>
      <c r="BF911" t="b">
        <f>AND(IF(metadata!U911="",FALSE,TRUE),EXACT(metadata!U911,"Decimal degrees"))</f>
        <v>0</v>
      </c>
      <c r="BG911" t="b">
        <f>IF(metadata!V911="",FALSE,TRUE)</f>
        <v>0</v>
      </c>
      <c r="BH911" t="b">
        <f>OR(AND(IF(metadata!W911="",FALSE,TRUE),OR(EXACT(metadata!W911,"missing: not collected"),EXACT(metadata!W911,"missing: not provided"),EXACT(metadata!W911,"missing: restricted access"))),AND(IF(metadata!W911="",FALSE,TRUE),OR(EXACT(metadata!W911,"TRUE"),EXACT(metadata!W911,"FALSE"))))</f>
        <v>0</v>
      </c>
      <c r="BI911" t="b">
        <f>AND(IF(metadata!X911="",FALSE,TRUE),EXACT(metadata!X911,"other"))</f>
        <v>0</v>
      </c>
      <c r="BJ911" t="b">
        <f>IF(metadata!Y911="",FALSE,TRUE)</f>
        <v>0</v>
      </c>
      <c r="BK911" t="b">
        <f>OR(AND(IF(metadata!Z911="",FALSE,TRUE),OR(EXACT(metadata!Z911,"missing: not collected"),EXACT(metadata!Z911,"missing: not provided"))),AND(IF(metadata!Z911="",FALSE,IF(ISERROR(INT(metadata!Z911)),FALSE,INT(metadata!Z911)=metadata!Z911)),metadata!Z911&gt;0))</f>
        <v>0</v>
      </c>
      <c r="BL911" t="b">
        <f>AND(IF(metadata!AA911="",FALSE,TRUE),EXACT(metadata!AA911,"Not applicable"))</f>
        <v>0</v>
      </c>
      <c r="BM911" t="b">
        <f>IF(metadata!AB911="",FALSE,TRUE)</f>
        <v>0</v>
      </c>
    </row>
    <row r="912" spans="1:65" x14ac:dyDescent="0.2">
      <c r="A912" s="5" t="str">
        <f ca="1">IF(B912=" "," ",HYPERLINK(CONCATENATE("#metadata!",ADDRESS(INDEX($AH$2:$AH$1001,MATCH(ROWS($AF$2:AF912),$AF$2:$AF$1001,0),0),1)),INDEX($AK$2:$AK$1001,MATCH(ROWS($AF$2:AF912),$AF$2:$AF$1001,0),0)))</f>
        <v xml:space="preserve"> </v>
      </c>
      <c r="B912" s="4" t="str">
        <f ca="1">IF(OR(INDEX($AG$2:$AG$1001,MATCH(ROWS($AF$2:AF912),$AF$2:$AF$1001,0),1)&gt;=100000,INDEX($AM$1005:$BM$1005,1,MATCH(COLUMNS($AM$1006:AM1006),$AM$1006:$BM$1006,0))&gt;=100000), " ",IF(INDEX($AM$2:$BM$1001,MATCH(ROWS($AF$2:AF912),$AF$2:$AF$1001,0),MATCH(COLUMNS($AM$1006:AM1006),$AM$1006:$BM$1006,0)), HYPERLINK("#",""), HYPERLINK(CONCATENATE("#metadata!", ADDRESS(INDEX($AH$2:$AH$1001,MATCH(ROWS($AF$2:AF912),$AF$2:$AF$1001,0),0), INDEX($AM$1004:$BM$1004,1,MATCH(COLUMNS($AM$1006:AM1006),$AM$1006:$BM$1006,0)))),"Fix")))</f>
        <v xml:space="preserve"> </v>
      </c>
      <c r="C912" s="4" t="str">
        <f ca="1">IF(OR(INDEX($AG$2:$AG$1001,MATCH(ROWS($AF$2:AF912),$AF$2:$AF$1001,0),1)&gt;=100000,INDEX($AM$1005:$BM$1005,1,MATCH(COLUMNS($AM$1006:AN1006),$AM$1006:$BM$1006,0))&gt;=100000), " ",IF(INDEX($AM$2:$BM$1001,MATCH(ROWS($AF$2:AF912),$AF$2:$AF$1001,0),MATCH(COLUMNS($AM$1006:AN1006),$AM$1006:$BM$1006,0)), HYPERLINK("#",""), HYPERLINK(CONCATENATE("#metadata!", ADDRESS(INDEX($AH$2:$AH$1001,MATCH(ROWS($AF$2:AF912),$AF$2:$AF$1001,0),0), INDEX($AM$1004:$BM$1004,1,MATCH(COLUMNS($AM$1006:AN1006),$AM$1006:$BM$1006,0)))),"Fix")))</f>
        <v xml:space="preserve"> </v>
      </c>
      <c r="D912" s="4" t="str">
        <f ca="1">IF(OR(INDEX($AG$2:$AG$1001,MATCH(ROWS($AF$2:AF912),$AF$2:$AF$1001,0),1)&gt;=100000,INDEX($AM$1005:$BM$1005,1,MATCH(COLUMNS($AM$1006:AO1006),$AM$1006:$BM$1006,0))&gt;=100000), " ",IF(INDEX($AM$2:$BM$1001,MATCH(ROWS($AF$2:AF912),$AF$2:$AF$1001,0),MATCH(COLUMNS($AM$1006:AO1006),$AM$1006:$BM$1006,0)), HYPERLINK("#",""), HYPERLINK(CONCATENATE("#metadata!", ADDRESS(INDEX($AH$2:$AH$1001,MATCH(ROWS($AF$2:AF912),$AF$2:$AF$1001,0),0), INDEX($AM$1004:$BM$1004,1,MATCH(COLUMNS($AM$1006:AO1006),$AM$1006:$BM$1006,0)))),"Fix")))</f>
        <v xml:space="preserve"> </v>
      </c>
      <c r="E912" s="4" t="str">
        <f ca="1">IF(OR(INDEX($AG$2:$AG$1001,MATCH(ROWS($AF$2:AF912),$AF$2:$AF$1001,0),1)&gt;=100000,INDEX($AM$1005:$BM$1005,1,MATCH(COLUMNS($AM$1006:AP1006),$AM$1006:$BM$1006,0))&gt;=100000), " ",IF(INDEX($AM$2:$BM$1001,MATCH(ROWS($AF$2:AF912),$AF$2:$AF$1001,0),MATCH(COLUMNS($AM$1006:AP1006),$AM$1006:$BM$1006,0)), HYPERLINK("#",""), HYPERLINK(CONCATENATE("#metadata!", ADDRESS(INDEX($AH$2:$AH$1001,MATCH(ROWS($AF$2:AF912),$AF$2:$AF$1001,0),0), INDEX($AM$1004:$BM$1004,1,MATCH(COLUMNS($AM$1006:AP1006),$AM$1006:$BM$1006,0)))),"Fix")))</f>
        <v xml:space="preserve"> </v>
      </c>
      <c r="F912" s="4" t="str">
        <f ca="1">IF(OR(INDEX($AG$2:$AG$1001,MATCH(ROWS($AF$2:AF912),$AF$2:$AF$1001,0),1)&gt;=100000,INDEX($AM$1005:$BM$1005,1,MATCH(COLUMNS($AM$1006:AQ1006),$AM$1006:$BM$1006,0))&gt;=100000), " ",IF(INDEX($AM$2:$BM$1001,MATCH(ROWS($AF$2:AF912),$AF$2:$AF$1001,0),MATCH(COLUMNS($AM$1006:AQ1006),$AM$1006:$BM$1006,0)), HYPERLINK("#",""), HYPERLINK(CONCATENATE("#metadata!", ADDRESS(INDEX($AH$2:$AH$1001,MATCH(ROWS($AF$2:AF912),$AF$2:$AF$1001,0),0), INDEX($AM$1004:$BM$1004,1,MATCH(COLUMNS($AM$1006:AQ1006),$AM$1006:$BM$1006,0)))),"Fix")))</f>
        <v xml:space="preserve"> </v>
      </c>
      <c r="G912" s="4" t="str">
        <f ca="1">IF(OR(INDEX($AG$2:$AG$1001,MATCH(ROWS($AF$2:AF912),$AF$2:$AF$1001,0),1)&gt;=100000,INDEX($AM$1005:$BM$1005,1,MATCH(COLUMNS($AM$1006:AR1006),$AM$1006:$BM$1006,0))&gt;=100000), " ",IF(INDEX($AM$2:$BM$1001,MATCH(ROWS($AF$2:AF912),$AF$2:$AF$1001,0),MATCH(COLUMNS($AM$1006:AR1006),$AM$1006:$BM$1006,0)), HYPERLINK("#",""), HYPERLINK(CONCATENATE("#metadata!", ADDRESS(INDEX($AH$2:$AH$1001,MATCH(ROWS($AF$2:AF912),$AF$2:$AF$1001,0),0), INDEX($AM$1004:$BM$1004,1,MATCH(COLUMNS($AM$1006:AR1006),$AM$1006:$BM$1006,0)))),"Fix")))</f>
        <v xml:space="preserve"> </v>
      </c>
      <c r="H912" s="4" t="str">
        <f ca="1">IF(OR(INDEX($AG$2:$AG$1001,MATCH(ROWS($AF$2:AF912),$AF$2:$AF$1001,0),1)&gt;=100000,INDEX($AM$1005:$BM$1005,1,MATCH(COLUMNS($AM$1006:AS1006),$AM$1006:$BM$1006,0))&gt;=100000), " ",IF(INDEX($AM$2:$BM$1001,MATCH(ROWS($AF$2:AF912),$AF$2:$AF$1001,0),MATCH(COLUMNS($AM$1006:AS1006),$AM$1006:$BM$1006,0)), HYPERLINK("#",""), HYPERLINK(CONCATENATE("#metadata!", ADDRESS(INDEX($AH$2:$AH$1001,MATCH(ROWS($AF$2:AF912),$AF$2:$AF$1001,0),0), INDEX($AM$1004:$BM$1004,1,MATCH(COLUMNS($AM$1006:AS1006),$AM$1006:$BM$1006,0)))),"Fix")))</f>
        <v xml:space="preserve"> </v>
      </c>
      <c r="I912" s="4" t="str">
        <f ca="1">IF(OR(INDEX($AG$2:$AG$1001,MATCH(ROWS($AF$2:AF912),$AF$2:$AF$1001,0),1)&gt;=100000,INDEX($AM$1005:$BM$1005,1,MATCH(COLUMNS($AM$1006:AT1006),$AM$1006:$BM$1006,0))&gt;=100000), " ",IF(INDEX($AM$2:$BM$1001,MATCH(ROWS($AF$2:AF912),$AF$2:$AF$1001,0),MATCH(COLUMNS($AM$1006:AT1006),$AM$1006:$BM$1006,0)), HYPERLINK("#",""), HYPERLINK(CONCATENATE("#metadata!", ADDRESS(INDEX($AH$2:$AH$1001,MATCH(ROWS($AF$2:AF912),$AF$2:$AF$1001,0),0), INDEX($AM$1004:$BM$1004,1,MATCH(COLUMNS($AM$1006:AT1006),$AM$1006:$BM$1006,0)))),"Fix")))</f>
        <v xml:space="preserve"> </v>
      </c>
      <c r="J912" s="4" t="str">
        <f ca="1">IF(OR(INDEX($AG$2:$AG$1001,MATCH(ROWS($AF$2:AF912),$AF$2:$AF$1001,0),1)&gt;=100000,INDEX($AM$1005:$BM$1005,1,MATCH(COLUMNS($AM$1006:AU1006),$AM$1006:$BM$1006,0))&gt;=100000), " ",IF(INDEX($AM$2:$BM$1001,MATCH(ROWS($AF$2:AF912),$AF$2:$AF$1001,0),MATCH(COLUMNS($AM$1006:AU1006),$AM$1006:$BM$1006,0)), HYPERLINK("#",""), HYPERLINK(CONCATENATE("#metadata!", ADDRESS(INDEX($AH$2:$AH$1001,MATCH(ROWS($AF$2:AF912),$AF$2:$AF$1001,0),0), INDEX($AM$1004:$BM$1004,1,MATCH(COLUMNS($AM$1006:AU1006),$AM$1006:$BM$1006,0)))),"Fix")))</f>
        <v xml:space="preserve"> </v>
      </c>
      <c r="K912" s="4" t="str">
        <f ca="1">IF(OR(INDEX($AG$2:$AG$1001,MATCH(ROWS($AF$2:AF912),$AF$2:$AF$1001,0),1)&gt;=100000,INDEX($AM$1005:$BM$1005,1,MATCH(COLUMNS($AM$1006:AV1006),$AM$1006:$BM$1006,0))&gt;=100000), " ",IF(INDEX($AM$2:$BM$1001,MATCH(ROWS($AF$2:AF912),$AF$2:$AF$1001,0),MATCH(COLUMNS($AM$1006:AV1006),$AM$1006:$BM$1006,0)), HYPERLINK("#",""), HYPERLINK(CONCATENATE("#metadata!", ADDRESS(INDEX($AH$2:$AH$1001,MATCH(ROWS($AF$2:AF912),$AF$2:$AF$1001,0),0), INDEX($AM$1004:$BM$1004,1,MATCH(COLUMNS($AM$1006:AV1006),$AM$1006:$BM$1006,0)))),"Fix")))</f>
        <v xml:space="preserve"> </v>
      </c>
      <c r="L912" s="4" t="str">
        <f ca="1">IF(OR(INDEX($AG$2:$AG$1001,MATCH(ROWS($AF$2:AF912),$AF$2:$AF$1001,0),1)&gt;=100000,INDEX($AM$1005:$BM$1005,1,MATCH(COLUMNS($AM$1006:AW1006),$AM$1006:$BM$1006,0))&gt;=100000), " ",IF(INDEX($AM$2:$BM$1001,MATCH(ROWS($AF$2:AF912),$AF$2:$AF$1001,0),MATCH(COLUMNS($AM$1006:AW1006),$AM$1006:$BM$1006,0)), HYPERLINK("#",""), HYPERLINK(CONCATENATE("#metadata!", ADDRESS(INDEX($AH$2:$AH$1001,MATCH(ROWS($AF$2:AF912),$AF$2:$AF$1001,0),0), INDEX($AM$1004:$BM$1004,1,MATCH(COLUMNS($AM$1006:AW1006),$AM$1006:$BM$1006,0)))),"Fix")))</f>
        <v xml:space="preserve"> </v>
      </c>
      <c r="M912" s="4" t="str">
        <f ca="1">IF(OR(INDEX($AG$2:$AG$1001,MATCH(ROWS($AF$2:AF912),$AF$2:$AF$1001,0),1)&gt;=100000,INDEX($AM$1005:$BM$1005,1,MATCH(COLUMNS($AM$1006:AX1006),$AM$1006:$BM$1006,0))&gt;=100000), " ",IF(INDEX($AM$2:$BM$1001,MATCH(ROWS($AF$2:AF912),$AF$2:$AF$1001,0),MATCH(COLUMNS($AM$1006:AX1006),$AM$1006:$BM$1006,0)), HYPERLINK("#",""), HYPERLINK(CONCATENATE("#metadata!", ADDRESS(INDEX($AH$2:$AH$1001,MATCH(ROWS($AF$2:AF912),$AF$2:$AF$1001,0),0), INDEX($AM$1004:$BM$1004,1,MATCH(COLUMNS($AM$1006:AX1006),$AM$1006:$BM$1006,0)))),"Fix")))</f>
        <v xml:space="preserve"> </v>
      </c>
      <c r="N912" s="4" t="str">
        <f ca="1">IF(OR(INDEX($AG$2:$AG$1001,MATCH(ROWS($AF$2:AF912),$AF$2:$AF$1001,0),1)&gt;=100000,INDEX($AM$1005:$BM$1005,1,MATCH(COLUMNS($AM$1006:AY1006),$AM$1006:$BM$1006,0))&gt;=100000), " ",IF(INDEX($AM$2:$BM$1001,MATCH(ROWS($AF$2:AF912),$AF$2:$AF$1001,0),MATCH(COLUMNS($AM$1006:AY1006),$AM$1006:$BM$1006,0)), HYPERLINK("#",""), HYPERLINK(CONCATENATE("#metadata!", ADDRESS(INDEX($AH$2:$AH$1001,MATCH(ROWS($AF$2:AF912),$AF$2:$AF$1001,0),0), INDEX($AM$1004:$BM$1004,1,MATCH(COLUMNS($AM$1006:AY1006),$AM$1006:$BM$1006,0)))),"Fix")))</f>
        <v xml:space="preserve"> </v>
      </c>
      <c r="O912" s="4" t="str">
        <f ca="1">IF(OR(INDEX($AG$2:$AG$1001,MATCH(ROWS($AF$2:AF912),$AF$2:$AF$1001,0),1)&gt;=100000,INDEX($AM$1005:$BM$1005,1,MATCH(COLUMNS($AM$1006:AZ1006),$AM$1006:$BM$1006,0))&gt;=100000), " ",IF(INDEX($AM$2:$BM$1001,MATCH(ROWS($AF$2:AF912),$AF$2:$AF$1001,0),MATCH(COLUMNS($AM$1006:AZ1006),$AM$1006:$BM$1006,0)), HYPERLINK("#",""), HYPERLINK(CONCATENATE("#metadata!", ADDRESS(INDEX($AH$2:$AH$1001,MATCH(ROWS($AF$2:AF912),$AF$2:$AF$1001,0),0), INDEX($AM$1004:$BM$1004,1,MATCH(COLUMNS($AM$1006:AZ1006),$AM$1006:$BM$1006,0)))),"Fix")))</f>
        <v xml:space="preserve"> </v>
      </c>
      <c r="P912" s="4" t="str">
        <f ca="1">IF(OR(INDEX($AG$2:$AG$1001,MATCH(ROWS($AF$2:AF912),$AF$2:$AF$1001,0),1)&gt;=100000,INDEX($AM$1005:$BM$1005,1,MATCH(COLUMNS($AM$1006:BA1006),$AM$1006:$BM$1006,0))&gt;=100000), " ",IF(INDEX($AM$2:$BM$1001,MATCH(ROWS($AF$2:AF912),$AF$2:$AF$1001,0),MATCH(COLUMNS($AM$1006:BA1006),$AM$1006:$BM$1006,0)), HYPERLINK("#",""), HYPERLINK(CONCATENATE("#metadata!", ADDRESS(INDEX($AH$2:$AH$1001,MATCH(ROWS($AF$2:AF912),$AF$2:$AF$1001,0),0), INDEX($AM$1004:$BM$1004,1,MATCH(COLUMNS($AM$1006:BA1006),$AM$1006:$BM$1006,0)))),"Fix")))</f>
        <v xml:space="preserve"> </v>
      </c>
      <c r="Q912" s="4" t="str">
        <f ca="1">IF(OR(INDEX($AG$2:$AG$1001,MATCH(ROWS($AF$2:AF912),$AF$2:$AF$1001,0),1)&gt;=100000,INDEX($AM$1005:$BM$1005,1,MATCH(COLUMNS($AM$1006:BB1006),$AM$1006:$BM$1006,0))&gt;=100000), " ",IF(INDEX($AM$2:$BM$1001,MATCH(ROWS($AF$2:AF912),$AF$2:$AF$1001,0),MATCH(COLUMNS($AM$1006:BB1006),$AM$1006:$BM$1006,0)), HYPERLINK("#",""), HYPERLINK(CONCATENATE("#metadata!", ADDRESS(INDEX($AH$2:$AH$1001,MATCH(ROWS($AF$2:AF912),$AF$2:$AF$1001,0),0), INDEX($AM$1004:$BM$1004,1,MATCH(COLUMNS($AM$1006:BB1006),$AM$1006:$BM$1006,0)))),"Fix")))</f>
        <v xml:space="preserve"> </v>
      </c>
      <c r="R912" s="4" t="str">
        <f ca="1">IF(OR(INDEX($AG$2:$AG$1001,MATCH(ROWS($AF$2:AF912),$AF$2:$AF$1001,0),1)&gt;=100000,INDEX($AM$1005:$BM$1005,1,MATCH(COLUMNS($AM$1006:BC1006),$AM$1006:$BM$1006,0))&gt;=100000), " ",IF(INDEX($AM$2:$BM$1001,MATCH(ROWS($AF$2:AF912),$AF$2:$AF$1001,0),MATCH(COLUMNS($AM$1006:BC1006),$AM$1006:$BM$1006,0)), HYPERLINK("#",""), HYPERLINK(CONCATENATE("#metadata!", ADDRESS(INDEX($AH$2:$AH$1001,MATCH(ROWS($AF$2:AF912),$AF$2:$AF$1001,0),0), INDEX($AM$1004:$BM$1004,1,MATCH(COLUMNS($AM$1006:BC1006),$AM$1006:$BM$1006,0)))),"Fix")))</f>
        <v xml:space="preserve"> </v>
      </c>
      <c r="S912" s="4" t="str">
        <f ca="1">IF(OR(INDEX($AG$2:$AG$1001,MATCH(ROWS($AF$2:AF912),$AF$2:$AF$1001,0),1)&gt;=100000,INDEX($AM$1005:$BM$1005,1,MATCH(COLUMNS($AM$1006:BD1006),$AM$1006:$BM$1006,0))&gt;=100000), " ",IF(INDEX($AM$2:$BM$1001,MATCH(ROWS($AF$2:AF912),$AF$2:$AF$1001,0),MATCH(COLUMNS($AM$1006:BD1006),$AM$1006:$BM$1006,0)), HYPERLINK("#",""), HYPERLINK(CONCATENATE("#metadata!", ADDRESS(INDEX($AH$2:$AH$1001,MATCH(ROWS($AF$2:AF912),$AF$2:$AF$1001,0),0), INDEX($AM$1004:$BM$1004,1,MATCH(COLUMNS($AM$1006:BD1006),$AM$1006:$BM$1006,0)))),"Fix")))</f>
        <v xml:space="preserve"> </v>
      </c>
      <c r="T912" s="4" t="str">
        <f ca="1">IF(OR(INDEX($AG$2:$AG$1001,MATCH(ROWS($AF$2:AF912),$AF$2:$AF$1001,0),1)&gt;=100000,INDEX($AM$1005:$BM$1005,1,MATCH(COLUMNS($AM$1006:BE1006),$AM$1006:$BM$1006,0))&gt;=100000), " ",IF(INDEX($AM$2:$BM$1001,MATCH(ROWS($AF$2:AF912),$AF$2:$AF$1001,0),MATCH(COLUMNS($AM$1006:BE1006),$AM$1006:$BM$1006,0)), HYPERLINK("#",""), HYPERLINK(CONCATENATE("#metadata!", ADDRESS(INDEX($AH$2:$AH$1001,MATCH(ROWS($AF$2:AF912),$AF$2:$AF$1001,0),0), INDEX($AM$1004:$BM$1004,1,MATCH(COLUMNS($AM$1006:BE1006),$AM$1006:$BM$1006,0)))),"Fix")))</f>
        <v xml:space="preserve"> </v>
      </c>
      <c r="U912" s="4" t="str">
        <f ca="1">IF(OR(INDEX($AG$2:$AG$1001,MATCH(ROWS($AF$2:AF912),$AF$2:$AF$1001,0),1)&gt;=100000,INDEX($AM$1005:$BM$1005,1,MATCH(COLUMNS($AM$1006:BF1006),$AM$1006:$BM$1006,0))&gt;=100000), " ",IF(INDEX($AM$2:$BM$1001,MATCH(ROWS($AF$2:AF912),$AF$2:$AF$1001,0),MATCH(COLUMNS($AM$1006:BF1006),$AM$1006:$BM$1006,0)), HYPERLINK("#",""), HYPERLINK(CONCATENATE("#metadata!", ADDRESS(INDEX($AH$2:$AH$1001,MATCH(ROWS($AF$2:AF912),$AF$2:$AF$1001,0),0), INDEX($AM$1004:$BM$1004,1,MATCH(COLUMNS($AM$1006:BF1006),$AM$1006:$BM$1006,0)))),"Fix")))</f>
        <v xml:space="preserve"> </v>
      </c>
      <c r="V912" s="4" t="str">
        <f ca="1">IF(OR(INDEX($AG$2:$AG$1001,MATCH(ROWS($AF$2:AF912),$AF$2:$AF$1001,0),1)&gt;=100000,INDEX($AM$1005:$BM$1005,1,MATCH(COLUMNS($AM$1006:BG1006),$AM$1006:$BM$1006,0))&gt;=100000), " ",IF(INDEX($AM$2:$BM$1001,MATCH(ROWS($AF$2:AF912),$AF$2:$AF$1001,0),MATCH(COLUMNS($AM$1006:BG1006),$AM$1006:$BM$1006,0)), HYPERLINK("#",""), HYPERLINK(CONCATENATE("#metadata!", ADDRESS(INDEX($AH$2:$AH$1001,MATCH(ROWS($AF$2:AF912),$AF$2:$AF$1001,0),0), INDEX($AM$1004:$BM$1004,1,MATCH(COLUMNS($AM$1006:BG1006),$AM$1006:$BM$1006,0)))),"Fix")))</f>
        <v xml:space="preserve"> </v>
      </c>
      <c r="W912" s="4" t="str">
        <f ca="1">IF(OR(INDEX($AG$2:$AG$1001,MATCH(ROWS($AF$2:AF912),$AF$2:$AF$1001,0),1)&gt;=100000,INDEX($AM$1005:$BM$1005,1,MATCH(COLUMNS($AM$1006:BH1006),$AM$1006:$BM$1006,0))&gt;=100000), " ",IF(INDEX($AM$2:$BM$1001,MATCH(ROWS($AF$2:AF912),$AF$2:$AF$1001,0),MATCH(COLUMNS($AM$1006:BH1006),$AM$1006:$BM$1006,0)), HYPERLINK("#",""), HYPERLINK(CONCATENATE("#metadata!", ADDRESS(INDEX($AH$2:$AH$1001,MATCH(ROWS($AF$2:AF912),$AF$2:$AF$1001,0),0), INDEX($AM$1004:$BM$1004,1,MATCH(COLUMNS($AM$1006:BH1006),$AM$1006:$BM$1006,0)))),"Fix")))</f>
        <v xml:space="preserve"> </v>
      </c>
      <c r="X912" s="4" t="str">
        <f ca="1">IF(OR(INDEX($AG$2:$AG$1001,MATCH(ROWS($AF$2:AF912),$AF$2:$AF$1001,0),1)&gt;=100000,INDEX($AM$1005:$BM$1005,1,MATCH(COLUMNS($AM$1006:BI1006),$AM$1006:$BM$1006,0))&gt;=100000), " ",IF(INDEX($AM$2:$BM$1001,MATCH(ROWS($AF$2:AF912),$AF$2:$AF$1001,0),MATCH(COLUMNS($AM$1006:BI1006),$AM$1006:$BM$1006,0)), HYPERLINK("#",""), HYPERLINK(CONCATENATE("#metadata!", ADDRESS(INDEX($AH$2:$AH$1001,MATCH(ROWS($AF$2:AF912),$AF$2:$AF$1001,0),0), INDEX($AM$1004:$BM$1004,1,MATCH(COLUMNS($AM$1006:BI1006),$AM$1006:$BM$1006,0)))),"Fix")))</f>
        <v xml:space="preserve"> </v>
      </c>
      <c r="Y912" s="4" t="str">
        <f ca="1">IF(OR(INDEX($AG$2:$AG$1001,MATCH(ROWS($AF$2:AF912),$AF$2:$AF$1001,0),1)&gt;=100000,INDEX($AM$1005:$BM$1005,1,MATCH(COLUMNS($AM$1006:BJ1006),$AM$1006:$BM$1006,0))&gt;=100000), " ",IF(INDEX($AM$2:$BM$1001,MATCH(ROWS($AF$2:AF912),$AF$2:$AF$1001,0),MATCH(COLUMNS($AM$1006:BJ1006),$AM$1006:$BM$1006,0)), HYPERLINK("#",""), HYPERLINK(CONCATENATE("#metadata!", ADDRESS(INDEX($AH$2:$AH$1001,MATCH(ROWS($AF$2:AF912),$AF$2:$AF$1001,0),0), INDEX($AM$1004:$BM$1004,1,MATCH(COLUMNS($AM$1006:BJ1006),$AM$1006:$BM$1006,0)))),"Fix")))</f>
        <v xml:space="preserve"> </v>
      </c>
      <c r="Z912" s="4" t="str">
        <f ca="1">IF(OR(INDEX($AG$2:$AG$1001,MATCH(ROWS($AF$2:AF912),$AF$2:$AF$1001,0),1)&gt;=100000,INDEX($AM$1005:$BM$1005,1,MATCH(COLUMNS($AM$1006:BK1006),$AM$1006:$BM$1006,0))&gt;=100000), " ",IF(INDEX($AM$2:$BM$1001,MATCH(ROWS($AF$2:AF912),$AF$2:$AF$1001,0),MATCH(COLUMNS($AM$1006:BK1006),$AM$1006:$BM$1006,0)), HYPERLINK("#",""), HYPERLINK(CONCATENATE("#metadata!", ADDRESS(INDEX($AH$2:$AH$1001,MATCH(ROWS($AF$2:AF912),$AF$2:$AF$1001,0),0), INDEX($AM$1004:$BM$1004,1,MATCH(COLUMNS($AM$1006:BK1006),$AM$1006:$BM$1006,0)))),"Fix")))</f>
        <v xml:space="preserve"> </v>
      </c>
      <c r="AA912" s="4" t="str">
        <f ca="1">IF(OR(INDEX($AG$2:$AG$1001,MATCH(ROWS($AF$2:AF912),$AF$2:$AF$1001,0),1)&gt;=100000,INDEX($AM$1005:$BM$1005,1,MATCH(COLUMNS($AM$1006:BL1006),$AM$1006:$BM$1006,0))&gt;=100000), " ",IF(INDEX($AM$2:$BM$1001,MATCH(ROWS($AF$2:AF912),$AF$2:$AF$1001,0),MATCH(COLUMNS($AM$1006:BL1006),$AM$1006:$BM$1006,0)), HYPERLINK("#",""), HYPERLINK(CONCATENATE("#metadata!", ADDRESS(INDEX($AH$2:$AH$1001,MATCH(ROWS($AF$2:AF912),$AF$2:$AF$1001,0),0), INDEX($AM$1004:$BM$1004,1,MATCH(COLUMNS($AM$1006:BL1006),$AM$1006:$BM$1006,0)))),"Fix")))</f>
        <v xml:space="preserve"> </v>
      </c>
      <c r="AB912" s="4" t="str">
        <f ca="1">IF(OR(INDEX($AG$2:$AG$1001,MATCH(ROWS($AF$2:AF912),$AF$2:$AF$1001,0),1)&gt;=100000,INDEX($AM$1005:$BM$1005,1,MATCH(COLUMNS($AM$1006:BM1006),$AM$1006:$BM$1006,0))&gt;=100000), " ",IF(INDEX($AM$2:$BM$1001,MATCH(ROWS($AF$2:AF912),$AF$2:$AF$1001,0),MATCH(COLUMNS($AM$1006:BM1006),$AM$1006:$BM$1006,0)), HYPERLINK("#",""), HYPERLINK(CONCATENATE("#metadata!", ADDRESS(INDEX($AH$2:$AH$1001,MATCH(ROWS($AF$2:AF912),$AF$2:$AF$1001,0),0), INDEX($AM$1004:$BM$1004,1,MATCH(COLUMNS($AM$1006:BM1006),$AM$1006:$BM$1006,0)))),"Fix")))</f>
        <v xml:space="preserve"> </v>
      </c>
      <c r="AF912">
        <v>911</v>
      </c>
      <c r="AG912">
        <v>100912</v>
      </c>
      <c r="AH912">
        <v>912</v>
      </c>
      <c r="AI912" t="b">
        <f t="shared" si="14"/>
        <v>1</v>
      </c>
      <c r="AJ912" t="b">
        <f>COUNTBLANK(metadata!B912:AB912)=COLUMNS(metadata!B912:AB912)</f>
        <v>1</v>
      </c>
      <c r="AK912" t="str">
        <v/>
      </c>
      <c r="AM912" t="b">
        <f ca="1">AND(IF(metadata!B912="",FALSE,TRUE),COUNTIF(metadata!B:B, metadata!B912) = 1,NOT(ISERROR(SUMPRODUCT(SEARCH(MID(metadata!B912,ROW(INDIRECT("1:"&amp;LEN(metadata!B912))), 1),"0123456789abcdefghijklmnopqrstuvwxyzABCDEFGHIJKLMNOPQRSTUVWXYZ.")))))</f>
        <v>0</v>
      </c>
      <c r="AN912" t="b">
        <f ca="1">OR(AND(IF(metadata!C912="",FALSE,TRUE),OR(EXACT(metadata!C912,"missing: not collected"),EXACT(metadata!C912,"missing: not provided"),EXACT(metadata!C912,"missing: restricted access"))),AND(IF(metadata!C912="",FALSE,TRUE),AND(AND(IFERROR(INT(LEFT(metadata!C912,4))&gt;1900,FALSE),IFERROR(INT(LEFT(metadata!C912,4))&lt;=YEAR(NOW()),FALSE)), OR(MID(metadata!C912,5,1)="", AND(AND(MID(metadata!C912,5,1)="-",IFERROR(INT(MID(metadata!C912,6,1))&gt;=0,FALSE),IFERROR(INT(MID(metadata!C912,6,1))&lt;=1,FALSE),NOT(MID(metadata!C912,7,1)=""),IFERROR(INT(MID(metadata!C912,6,2))&gt;=1,FALSE),IFERROR(INT(MID(metadata!C912,6,2))&lt;=12,FALSE)), OR(MID(metadata!C912,8,1)="", AND(AND(MID(metadata!C912,8,1)="-",IFERROR(INT(MID(metadata!C912,9,1))&gt;=0,FALSE),IFERROR(INT(MID(metadata!C912,9,1))&lt;=3,FALSE),NOT(MID(metadata!C912,10,1)=""),IFERROR(INT(MID(metadata!C912,9,2))&gt;=1,FALSE),IFERROR(INT(MID(metadata!C912,9,2))&lt;=31,FALSE)), OR(MID(metadata!C912,11,1)="", AND(AND(MID(metadata!C912,11,1)=" ",IFERROR(INT(MID(metadata!C912,12,1))&gt;=0,FALSE),IFERROR(INT(MID(metadata!C912,12,1))&lt;=2,FALSE),NOT(MID(metadata!C912,13,1)=""),IFERROR(INT(MID(metadata!C912,12,2))&gt;=0,FALSE),IFERROR(INT(MID(metadata!C912,12,2))&lt;=23,FALSE)), OR(MID(metadata!C912,14,1)="", AND(AND(MID(metadata!C912,14,1)=":",IFERROR(INT(MID(metadata!C912,15,1))&gt;=0,FALSE),IFERROR(INT(MID(metadata!C912,15,1))&lt;=5,FALSE),NOT(MID(metadata!C912,16,1)=""),IFERROR(INT(MID(metadata!C912,15,2))&gt;=0,FALSE),IFERROR(INT(MID(metadata!C912,15,2))&lt;=59,FALSE)), OR(MID(metadata!C912,17,1)="", AND(AND(MID(metadata!C912,17,1)=":",IFERROR(INT(MID(metadata!C912,18,1))&gt;=0,FALSE),IFERROR(INT(MID(metadata!C912,18,1))&lt;=5,FALSE),NOT(MID(metadata!C912,19,1)=""),IFERROR(INT(MID(metadata!C912,18,2))&gt;=0,FALSE),IFERROR(INT(MID(metadata!C912,18,2))&lt;=59,FALSE)), LEN(metadata!C912)&lt;=19)))))))))))))</f>
        <v>0</v>
      </c>
      <c r="AO912" t="b">
        <f>AND(IF(metadata!D912="",FALSE,TRUE),EXACT(metadata!D912,"Not applicable"))</f>
        <v>0</v>
      </c>
      <c r="AP912" t="b">
        <f>IF(metadata!E912="",FALSE,TRUE)</f>
        <v>0</v>
      </c>
      <c r="AQ912" t="b">
        <f>OR(AND(IF(metadata!F912="",FALSE,TRUE),OR(EXACT(metadata!F912,"missing: not collected"),EXACT(metadata!F912,"missing: not provided"))),AND(IF(metadata!F912="",FALSE,TRUE),OR(EXACT(metadata!F912,"TRUE"),EXACT(metadata!F912,"FALSE"))))</f>
        <v>0</v>
      </c>
      <c r="AR912" t="b">
        <f>OR(AND(IF(metadata!G912="",FALSE,TRUE),OR(EXACT(metadata!G912,"missing: not collected"),EXACT(metadata!G912,"missing: not provided"),EXACT(metadata!G912,"missing: restricted access"))),AND(IF(metadata!G912="",FALSE,ISNUMBER(VALUE(metadata!G912))),metadata!G912&gt;=-413))</f>
        <v>0</v>
      </c>
      <c r="AS912" t="b">
        <f>AND(IF(metadata!H912="",FALSE,TRUE),EXACT(metadata!H912,"meters"))</f>
        <v>0</v>
      </c>
      <c r="AT912" t="b">
        <f>AND(IF(metadata!I912="",FALSE,TRUE),OR(EXACT(metadata!I912,"Host-associated"),EXACT(metadata!I912,"Free-living")))</f>
        <v>0</v>
      </c>
      <c r="AU912" t="b">
        <f>AND(IF(metadata!J912="",FALSE,TRUE),OR(EXACT(metadata!J912,"Animal"),EXACT(metadata!J912,"Fungus"),EXACT(metadata!J912,"Plant"),EXACT(metadata!J912,"Saline"),EXACT(metadata!J912,"Non-saline")))</f>
        <v>0</v>
      </c>
      <c r="AV912" t="b">
        <f>AND(IF(metadata!K912="",FALSE,TRUE),OR(EXACT(metadata!K912,"Plant secretion"),EXACT(metadata!K912,"Plant rhizosphere"),EXACT(metadata!K912,"Plant surface"),EXACT(metadata!K912,"Plant corpus"),EXACT(metadata!K912,"Fungus surface"),EXACT(metadata!K912,"Fungus corpus"),EXACT(metadata!K912,"Animal surface"),EXACT(metadata!K912,"Animal proximal gut"),EXACT(metadata!K912,"Animal corpus"),EXACT(metadata!K912,"Animal distal gut"),EXACT(metadata!K912,"Animal secretion"),EXACT(metadata!K912,"Sub-surface (non-saline)"),EXACT(metadata!K912,"Surface (non-saline)"),EXACT(metadata!K912,"Water (non-saline)"),EXACT(metadata!K912,"Soil (non-saline)"),EXACT(metadata!K912,"Aerosol (non-saline)"),EXACT(metadata!K912,"Sediment (non-saline)"),EXACT(metadata!K912,"Surface (saline)"),EXACT(metadata!K912,"Water (saline)"),EXACT(metadata!K912,"Hypersaline (saline)"),EXACT(metadata!K912,"Aerosol (saline)"),EXACT(metadata!K912,"Sediment (saline)")))</f>
        <v>0</v>
      </c>
      <c r="AW912" t="b">
        <f>IF(metadata!L912="",FALSE,TRUE)</f>
        <v>0</v>
      </c>
      <c r="AX912" t="b">
        <f>IF(metadata!M912="",FALSE,TRUE)</f>
        <v>0</v>
      </c>
      <c r="AY912" t="b">
        <f>IF(metadata!N912="",FALSE,TRUE)</f>
        <v>0</v>
      </c>
      <c r="AZ912" t="b">
        <f>OR(AND(IF(metadata!O912="",FALSE,TRUE),OR(EXACT(metadata!O912,"missing: not collected"),EXACT(metadata!O912,"missing: not provided"),EXACT(metadata!O912,"missing: restricted access"))),AND(IF(metadata!O912="",FALSE,TRUE),OR(EXACT(metadata!O912,"air"),EXACT(metadata!O912,"built environment"),EXACT(metadata!O912,"host-associated"),EXACT(metadata!O912,"human-associated"),EXACT(metadata!O912,"human-skin"),EXACT(metadata!O912,"human-oral"),EXACT(metadata!O912,"human-gut"),EXACT(metadata!O912,"human-vaginal"),EXACT(metadata!O912,"microbial mat/biofilm"),EXACT(metadata!O912,"misc environment"),EXACT(metadata!O912,"plant-associated"),EXACT(metadata!O912,"sediment"),EXACT(metadata!O912,"soil"),EXACT(metadata!O912,"wastewater/sludge"),EXACT(metadata!O912,"water"))))</f>
        <v>0</v>
      </c>
      <c r="BA912" t="b">
        <f>IF(metadata!P912="",FALSE,TRUE)</f>
        <v>0</v>
      </c>
      <c r="BB912" t="b">
        <f>IF(metadata!Q912="",FALSE,TRUE)</f>
        <v>0</v>
      </c>
      <c r="BC912" t="b">
        <f>OR(AND(IF(metadata!R912="",FALSE,TRUE),OR(EXACT(metadata!R912,"missing: not collected"),EXACT(metadata!R912,"missing: not provided"),EXACT(metadata!R912,"missing: restricted access"))),AND(IF(metadata!R912="",FALSE,ISNUMBER(VALUE(metadata!R912))),metadata!R912&gt;=-90,metadata!R912&lt;=90))</f>
        <v>0</v>
      </c>
      <c r="BD912" t="b">
        <f>AND(IF(metadata!S912="",FALSE,TRUE),EXACT(metadata!S912,"Decimal degrees"))</f>
        <v>0</v>
      </c>
      <c r="BE912" t="b">
        <f>OR(AND(IF(metadata!T912="",FALSE,TRUE),OR(EXACT(metadata!T912,"missing: not collected"),EXACT(metadata!T912,"missing: not provided"),EXACT(metadata!T912,"missing: restricted access"))),AND(IF(metadata!T912="",FALSE,ISNUMBER(VALUE(metadata!T912))),metadata!T912&gt;=-180,metadata!T912&lt;=180))</f>
        <v>0</v>
      </c>
      <c r="BF912" t="b">
        <f>AND(IF(metadata!U912="",FALSE,TRUE),EXACT(metadata!U912,"Decimal degrees"))</f>
        <v>0</v>
      </c>
      <c r="BG912" t="b">
        <f>IF(metadata!V912="",FALSE,TRUE)</f>
        <v>0</v>
      </c>
      <c r="BH912" t="b">
        <f>OR(AND(IF(metadata!W912="",FALSE,TRUE),OR(EXACT(metadata!W912,"missing: not collected"),EXACT(metadata!W912,"missing: not provided"),EXACT(metadata!W912,"missing: restricted access"))),AND(IF(metadata!W912="",FALSE,TRUE),OR(EXACT(metadata!W912,"TRUE"),EXACT(metadata!W912,"FALSE"))))</f>
        <v>0</v>
      </c>
      <c r="BI912" t="b">
        <f>AND(IF(metadata!X912="",FALSE,TRUE),EXACT(metadata!X912,"other"))</f>
        <v>0</v>
      </c>
      <c r="BJ912" t="b">
        <f>IF(metadata!Y912="",FALSE,TRUE)</f>
        <v>0</v>
      </c>
      <c r="BK912" t="b">
        <f>OR(AND(IF(metadata!Z912="",FALSE,TRUE),OR(EXACT(metadata!Z912,"missing: not collected"),EXACT(metadata!Z912,"missing: not provided"))),AND(IF(metadata!Z912="",FALSE,IF(ISERROR(INT(metadata!Z912)),FALSE,INT(metadata!Z912)=metadata!Z912)),metadata!Z912&gt;0))</f>
        <v>0</v>
      </c>
      <c r="BL912" t="b">
        <f>AND(IF(metadata!AA912="",FALSE,TRUE),EXACT(metadata!AA912,"Not applicable"))</f>
        <v>0</v>
      </c>
      <c r="BM912" t="b">
        <f>IF(metadata!AB912="",FALSE,TRUE)</f>
        <v>0</v>
      </c>
    </row>
    <row r="913" spans="1:65" x14ac:dyDescent="0.2">
      <c r="A913" s="5" t="str">
        <f ca="1">IF(B913=" "," ",HYPERLINK(CONCATENATE("#metadata!",ADDRESS(INDEX($AH$2:$AH$1001,MATCH(ROWS($AF$2:AF913),$AF$2:$AF$1001,0),0),1)),INDEX($AK$2:$AK$1001,MATCH(ROWS($AF$2:AF913),$AF$2:$AF$1001,0),0)))</f>
        <v xml:space="preserve"> </v>
      </c>
      <c r="B913" s="4" t="str">
        <f ca="1">IF(OR(INDEX($AG$2:$AG$1001,MATCH(ROWS($AF$2:AF913),$AF$2:$AF$1001,0),1)&gt;=100000,INDEX($AM$1005:$BM$1005,1,MATCH(COLUMNS($AM$1006:AM1006),$AM$1006:$BM$1006,0))&gt;=100000), " ",IF(INDEX($AM$2:$BM$1001,MATCH(ROWS($AF$2:AF913),$AF$2:$AF$1001,0),MATCH(COLUMNS($AM$1006:AM1006),$AM$1006:$BM$1006,0)), HYPERLINK("#",""), HYPERLINK(CONCATENATE("#metadata!", ADDRESS(INDEX($AH$2:$AH$1001,MATCH(ROWS($AF$2:AF913),$AF$2:$AF$1001,0),0), INDEX($AM$1004:$BM$1004,1,MATCH(COLUMNS($AM$1006:AM1006),$AM$1006:$BM$1006,0)))),"Fix")))</f>
        <v xml:space="preserve"> </v>
      </c>
      <c r="C913" s="4" t="str">
        <f ca="1">IF(OR(INDEX($AG$2:$AG$1001,MATCH(ROWS($AF$2:AF913),$AF$2:$AF$1001,0),1)&gt;=100000,INDEX($AM$1005:$BM$1005,1,MATCH(COLUMNS($AM$1006:AN1006),$AM$1006:$BM$1006,0))&gt;=100000), " ",IF(INDEX($AM$2:$BM$1001,MATCH(ROWS($AF$2:AF913),$AF$2:$AF$1001,0),MATCH(COLUMNS($AM$1006:AN1006),$AM$1006:$BM$1006,0)), HYPERLINK("#",""), HYPERLINK(CONCATENATE("#metadata!", ADDRESS(INDEX($AH$2:$AH$1001,MATCH(ROWS($AF$2:AF913),$AF$2:$AF$1001,0),0), INDEX($AM$1004:$BM$1004,1,MATCH(COLUMNS($AM$1006:AN1006),$AM$1006:$BM$1006,0)))),"Fix")))</f>
        <v xml:space="preserve"> </v>
      </c>
      <c r="D913" s="4" t="str">
        <f ca="1">IF(OR(INDEX($AG$2:$AG$1001,MATCH(ROWS($AF$2:AF913),$AF$2:$AF$1001,0),1)&gt;=100000,INDEX($AM$1005:$BM$1005,1,MATCH(COLUMNS($AM$1006:AO1006),$AM$1006:$BM$1006,0))&gt;=100000), " ",IF(INDEX($AM$2:$BM$1001,MATCH(ROWS($AF$2:AF913),$AF$2:$AF$1001,0),MATCH(COLUMNS($AM$1006:AO1006),$AM$1006:$BM$1006,0)), HYPERLINK("#",""), HYPERLINK(CONCATENATE("#metadata!", ADDRESS(INDEX($AH$2:$AH$1001,MATCH(ROWS($AF$2:AF913),$AF$2:$AF$1001,0),0), INDEX($AM$1004:$BM$1004,1,MATCH(COLUMNS($AM$1006:AO1006),$AM$1006:$BM$1006,0)))),"Fix")))</f>
        <v xml:space="preserve"> </v>
      </c>
      <c r="E913" s="4" t="str">
        <f ca="1">IF(OR(INDEX($AG$2:$AG$1001,MATCH(ROWS($AF$2:AF913),$AF$2:$AF$1001,0),1)&gt;=100000,INDEX($AM$1005:$BM$1005,1,MATCH(COLUMNS($AM$1006:AP1006),$AM$1006:$BM$1006,0))&gt;=100000), " ",IF(INDEX($AM$2:$BM$1001,MATCH(ROWS($AF$2:AF913),$AF$2:$AF$1001,0),MATCH(COLUMNS($AM$1006:AP1006),$AM$1006:$BM$1006,0)), HYPERLINK("#",""), HYPERLINK(CONCATENATE("#metadata!", ADDRESS(INDEX($AH$2:$AH$1001,MATCH(ROWS($AF$2:AF913),$AF$2:$AF$1001,0),0), INDEX($AM$1004:$BM$1004,1,MATCH(COLUMNS($AM$1006:AP1006),$AM$1006:$BM$1006,0)))),"Fix")))</f>
        <v xml:space="preserve"> </v>
      </c>
      <c r="F913" s="4" t="str">
        <f ca="1">IF(OR(INDEX($AG$2:$AG$1001,MATCH(ROWS($AF$2:AF913),$AF$2:$AF$1001,0),1)&gt;=100000,INDEX($AM$1005:$BM$1005,1,MATCH(COLUMNS($AM$1006:AQ1006),$AM$1006:$BM$1006,0))&gt;=100000), " ",IF(INDEX($AM$2:$BM$1001,MATCH(ROWS($AF$2:AF913),$AF$2:$AF$1001,0),MATCH(COLUMNS($AM$1006:AQ1006),$AM$1006:$BM$1006,0)), HYPERLINK("#",""), HYPERLINK(CONCATENATE("#metadata!", ADDRESS(INDEX($AH$2:$AH$1001,MATCH(ROWS($AF$2:AF913),$AF$2:$AF$1001,0),0), INDEX($AM$1004:$BM$1004,1,MATCH(COLUMNS($AM$1006:AQ1006),$AM$1006:$BM$1006,0)))),"Fix")))</f>
        <v xml:space="preserve"> </v>
      </c>
      <c r="G913" s="4" t="str">
        <f ca="1">IF(OR(INDEX($AG$2:$AG$1001,MATCH(ROWS($AF$2:AF913),$AF$2:$AF$1001,0),1)&gt;=100000,INDEX($AM$1005:$BM$1005,1,MATCH(COLUMNS($AM$1006:AR1006),$AM$1006:$BM$1006,0))&gt;=100000), " ",IF(INDEX($AM$2:$BM$1001,MATCH(ROWS($AF$2:AF913),$AF$2:$AF$1001,0),MATCH(COLUMNS($AM$1006:AR1006),$AM$1006:$BM$1006,0)), HYPERLINK("#",""), HYPERLINK(CONCATENATE("#metadata!", ADDRESS(INDEX($AH$2:$AH$1001,MATCH(ROWS($AF$2:AF913),$AF$2:$AF$1001,0),0), INDEX($AM$1004:$BM$1004,1,MATCH(COLUMNS($AM$1006:AR1006),$AM$1006:$BM$1006,0)))),"Fix")))</f>
        <v xml:space="preserve"> </v>
      </c>
      <c r="H913" s="4" t="str">
        <f ca="1">IF(OR(INDEX($AG$2:$AG$1001,MATCH(ROWS($AF$2:AF913),$AF$2:$AF$1001,0),1)&gt;=100000,INDEX($AM$1005:$BM$1005,1,MATCH(COLUMNS($AM$1006:AS1006),$AM$1006:$BM$1006,0))&gt;=100000), " ",IF(INDEX($AM$2:$BM$1001,MATCH(ROWS($AF$2:AF913),$AF$2:$AF$1001,0),MATCH(COLUMNS($AM$1006:AS1006),$AM$1006:$BM$1006,0)), HYPERLINK("#",""), HYPERLINK(CONCATENATE("#metadata!", ADDRESS(INDEX($AH$2:$AH$1001,MATCH(ROWS($AF$2:AF913),$AF$2:$AF$1001,0),0), INDEX($AM$1004:$BM$1004,1,MATCH(COLUMNS($AM$1006:AS1006),$AM$1006:$BM$1006,0)))),"Fix")))</f>
        <v xml:space="preserve"> </v>
      </c>
      <c r="I913" s="4" t="str">
        <f ca="1">IF(OR(INDEX($AG$2:$AG$1001,MATCH(ROWS($AF$2:AF913),$AF$2:$AF$1001,0),1)&gt;=100000,INDEX($AM$1005:$BM$1005,1,MATCH(COLUMNS($AM$1006:AT1006),$AM$1006:$BM$1006,0))&gt;=100000), " ",IF(INDEX($AM$2:$BM$1001,MATCH(ROWS($AF$2:AF913),$AF$2:$AF$1001,0),MATCH(COLUMNS($AM$1006:AT1006),$AM$1006:$BM$1006,0)), HYPERLINK("#",""), HYPERLINK(CONCATENATE("#metadata!", ADDRESS(INDEX($AH$2:$AH$1001,MATCH(ROWS($AF$2:AF913),$AF$2:$AF$1001,0),0), INDEX($AM$1004:$BM$1004,1,MATCH(COLUMNS($AM$1006:AT1006),$AM$1006:$BM$1006,0)))),"Fix")))</f>
        <v xml:space="preserve"> </v>
      </c>
      <c r="J913" s="4" t="str">
        <f ca="1">IF(OR(INDEX($AG$2:$AG$1001,MATCH(ROWS($AF$2:AF913),$AF$2:$AF$1001,0),1)&gt;=100000,INDEX($AM$1005:$BM$1005,1,MATCH(COLUMNS($AM$1006:AU1006),$AM$1006:$BM$1006,0))&gt;=100000), " ",IF(INDEX($AM$2:$BM$1001,MATCH(ROWS($AF$2:AF913),$AF$2:$AF$1001,0),MATCH(COLUMNS($AM$1006:AU1006),$AM$1006:$BM$1006,0)), HYPERLINK("#",""), HYPERLINK(CONCATENATE("#metadata!", ADDRESS(INDEX($AH$2:$AH$1001,MATCH(ROWS($AF$2:AF913),$AF$2:$AF$1001,0),0), INDEX($AM$1004:$BM$1004,1,MATCH(COLUMNS($AM$1006:AU1006),$AM$1006:$BM$1006,0)))),"Fix")))</f>
        <v xml:space="preserve"> </v>
      </c>
      <c r="K913" s="4" t="str">
        <f ca="1">IF(OR(INDEX($AG$2:$AG$1001,MATCH(ROWS($AF$2:AF913),$AF$2:$AF$1001,0),1)&gt;=100000,INDEX($AM$1005:$BM$1005,1,MATCH(COLUMNS($AM$1006:AV1006),$AM$1006:$BM$1006,0))&gt;=100000), " ",IF(INDEX($AM$2:$BM$1001,MATCH(ROWS($AF$2:AF913),$AF$2:$AF$1001,0),MATCH(COLUMNS($AM$1006:AV1006),$AM$1006:$BM$1006,0)), HYPERLINK("#",""), HYPERLINK(CONCATENATE("#metadata!", ADDRESS(INDEX($AH$2:$AH$1001,MATCH(ROWS($AF$2:AF913),$AF$2:$AF$1001,0),0), INDEX($AM$1004:$BM$1004,1,MATCH(COLUMNS($AM$1006:AV1006),$AM$1006:$BM$1006,0)))),"Fix")))</f>
        <v xml:space="preserve"> </v>
      </c>
      <c r="L913" s="4" t="str">
        <f ca="1">IF(OR(INDEX($AG$2:$AG$1001,MATCH(ROWS($AF$2:AF913),$AF$2:$AF$1001,0),1)&gt;=100000,INDEX($AM$1005:$BM$1005,1,MATCH(COLUMNS($AM$1006:AW1006),$AM$1006:$BM$1006,0))&gt;=100000), " ",IF(INDEX($AM$2:$BM$1001,MATCH(ROWS($AF$2:AF913),$AF$2:$AF$1001,0),MATCH(COLUMNS($AM$1006:AW1006),$AM$1006:$BM$1006,0)), HYPERLINK("#",""), HYPERLINK(CONCATENATE("#metadata!", ADDRESS(INDEX($AH$2:$AH$1001,MATCH(ROWS($AF$2:AF913),$AF$2:$AF$1001,0),0), INDEX($AM$1004:$BM$1004,1,MATCH(COLUMNS($AM$1006:AW1006),$AM$1006:$BM$1006,0)))),"Fix")))</f>
        <v xml:space="preserve"> </v>
      </c>
      <c r="M913" s="4" t="str">
        <f ca="1">IF(OR(INDEX($AG$2:$AG$1001,MATCH(ROWS($AF$2:AF913),$AF$2:$AF$1001,0),1)&gt;=100000,INDEX($AM$1005:$BM$1005,1,MATCH(COLUMNS($AM$1006:AX1006),$AM$1006:$BM$1006,0))&gt;=100000), " ",IF(INDEX($AM$2:$BM$1001,MATCH(ROWS($AF$2:AF913),$AF$2:$AF$1001,0),MATCH(COLUMNS($AM$1006:AX1006),$AM$1006:$BM$1006,0)), HYPERLINK("#",""), HYPERLINK(CONCATENATE("#metadata!", ADDRESS(INDEX($AH$2:$AH$1001,MATCH(ROWS($AF$2:AF913),$AF$2:$AF$1001,0),0), INDEX($AM$1004:$BM$1004,1,MATCH(COLUMNS($AM$1006:AX1006),$AM$1006:$BM$1006,0)))),"Fix")))</f>
        <v xml:space="preserve"> </v>
      </c>
      <c r="N913" s="4" t="str">
        <f ca="1">IF(OR(INDEX($AG$2:$AG$1001,MATCH(ROWS($AF$2:AF913),$AF$2:$AF$1001,0),1)&gt;=100000,INDEX($AM$1005:$BM$1005,1,MATCH(COLUMNS($AM$1006:AY1006),$AM$1006:$BM$1006,0))&gt;=100000), " ",IF(INDEX($AM$2:$BM$1001,MATCH(ROWS($AF$2:AF913),$AF$2:$AF$1001,0),MATCH(COLUMNS($AM$1006:AY1006),$AM$1006:$BM$1006,0)), HYPERLINK("#",""), HYPERLINK(CONCATENATE("#metadata!", ADDRESS(INDEX($AH$2:$AH$1001,MATCH(ROWS($AF$2:AF913),$AF$2:$AF$1001,0),0), INDEX($AM$1004:$BM$1004,1,MATCH(COLUMNS($AM$1006:AY1006),$AM$1006:$BM$1006,0)))),"Fix")))</f>
        <v xml:space="preserve"> </v>
      </c>
      <c r="O913" s="4" t="str">
        <f ca="1">IF(OR(INDEX($AG$2:$AG$1001,MATCH(ROWS($AF$2:AF913),$AF$2:$AF$1001,0),1)&gt;=100000,INDEX($AM$1005:$BM$1005,1,MATCH(COLUMNS($AM$1006:AZ1006),$AM$1006:$BM$1006,0))&gt;=100000), " ",IF(INDEX($AM$2:$BM$1001,MATCH(ROWS($AF$2:AF913),$AF$2:$AF$1001,0),MATCH(COLUMNS($AM$1006:AZ1006),$AM$1006:$BM$1006,0)), HYPERLINK("#",""), HYPERLINK(CONCATENATE("#metadata!", ADDRESS(INDEX($AH$2:$AH$1001,MATCH(ROWS($AF$2:AF913),$AF$2:$AF$1001,0),0), INDEX($AM$1004:$BM$1004,1,MATCH(COLUMNS($AM$1006:AZ1006),$AM$1006:$BM$1006,0)))),"Fix")))</f>
        <v xml:space="preserve"> </v>
      </c>
      <c r="P913" s="4" t="str">
        <f ca="1">IF(OR(INDEX($AG$2:$AG$1001,MATCH(ROWS($AF$2:AF913),$AF$2:$AF$1001,0),1)&gt;=100000,INDEX($AM$1005:$BM$1005,1,MATCH(COLUMNS($AM$1006:BA1006),$AM$1006:$BM$1006,0))&gt;=100000), " ",IF(INDEX($AM$2:$BM$1001,MATCH(ROWS($AF$2:AF913),$AF$2:$AF$1001,0),MATCH(COLUMNS($AM$1006:BA1006),$AM$1006:$BM$1006,0)), HYPERLINK("#",""), HYPERLINK(CONCATENATE("#metadata!", ADDRESS(INDEX($AH$2:$AH$1001,MATCH(ROWS($AF$2:AF913),$AF$2:$AF$1001,0),0), INDEX($AM$1004:$BM$1004,1,MATCH(COLUMNS($AM$1006:BA1006),$AM$1006:$BM$1006,0)))),"Fix")))</f>
        <v xml:space="preserve"> </v>
      </c>
      <c r="Q913" s="4" t="str">
        <f ca="1">IF(OR(INDEX($AG$2:$AG$1001,MATCH(ROWS($AF$2:AF913),$AF$2:$AF$1001,0),1)&gt;=100000,INDEX($AM$1005:$BM$1005,1,MATCH(COLUMNS($AM$1006:BB1006),$AM$1006:$BM$1006,0))&gt;=100000), " ",IF(INDEX($AM$2:$BM$1001,MATCH(ROWS($AF$2:AF913),$AF$2:$AF$1001,0),MATCH(COLUMNS($AM$1006:BB1006),$AM$1006:$BM$1006,0)), HYPERLINK("#",""), HYPERLINK(CONCATENATE("#metadata!", ADDRESS(INDEX($AH$2:$AH$1001,MATCH(ROWS($AF$2:AF913),$AF$2:$AF$1001,0),0), INDEX($AM$1004:$BM$1004,1,MATCH(COLUMNS($AM$1006:BB1006),$AM$1006:$BM$1006,0)))),"Fix")))</f>
        <v xml:space="preserve"> </v>
      </c>
      <c r="R913" s="4" t="str">
        <f ca="1">IF(OR(INDEX($AG$2:$AG$1001,MATCH(ROWS($AF$2:AF913),$AF$2:$AF$1001,0),1)&gt;=100000,INDEX($AM$1005:$BM$1005,1,MATCH(COLUMNS($AM$1006:BC1006),$AM$1006:$BM$1006,0))&gt;=100000), " ",IF(INDEX($AM$2:$BM$1001,MATCH(ROWS($AF$2:AF913),$AF$2:$AF$1001,0),MATCH(COLUMNS($AM$1006:BC1006),$AM$1006:$BM$1006,0)), HYPERLINK("#",""), HYPERLINK(CONCATENATE("#metadata!", ADDRESS(INDEX($AH$2:$AH$1001,MATCH(ROWS($AF$2:AF913),$AF$2:$AF$1001,0),0), INDEX($AM$1004:$BM$1004,1,MATCH(COLUMNS($AM$1006:BC1006),$AM$1006:$BM$1006,0)))),"Fix")))</f>
        <v xml:space="preserve"> </v>
      </c>
      <c r="S913" s="4" t="str">
        <f ca="1">IF(OR(INDEX($AG$2:$AG$1001,MATCH(ROWS($AF$2:AF913),$AF$2:$AF$1001,0),1)&gt;=100000,INDEX($AM$1005:$BM$1005,1,MATCH(COLUMNS($AM$1006:BD1006),$AM$1006:$BM$1006,0))&gt;=100000), " ",IF(INDEX($AM$2:$BM$1001,MATCH(ROWS($AF$2:AF913),$AF$2:$AF$1001,0),MATCH(COLUMNS($AM$1006:BD1006),$AM$1006:$BM$1006,0)), HYPERLINK("#",""), HYPERLINK(CONCATENATE("#metadata!", ADDRESS(INDEX($AH$2:$AH$1001,MATCH(ROWS($AF$2:AF913),$AF$2:$AF$1001,0),0), INDEX($AM$1004:$BM$1004,1,MATCH(COLUMNS($AM$1006:BD1006),$AM$1006:$BM$1006,0)))),"Fix")))</f>
        <v xml:space="preserve"> </v>
      </c>
      <c r="T913" s="4" t="str">
        <f ca="1">IF(OR(INDEX($AG$2:$AG$1001,MATCH(ROWS($AF$2:AF913),$AF$2:$AF$1001,0),1)&gt;=100000,INDEX($AM$1005:$BM$1005,1,MATCH(COLUMNS($AM$1006:BE1006),$AM$1006:$BM$1006,0))&gt;=100000), " ",IF(INDEX($AM$2:$BM$1001,MATCH(ROWS($AF$2:AF913),$AF$2:$AF$1001,0),MATCH(COLUMNS($AM$1006:BE1006),$AM$1006:$BM$1006,0)), HYPERLINK("#",""), HYPERLINK(CONCATENATE("#metadata!", ADDRESS(INDEX($AH$2:$AH$1001,MATCH(ROWS($AF$2:AF913),$AF$2:$AF$1001,0),0), INDEX($AM$1004:$BM$1004,1,MATCH(COLUMNS($AM$1006:BE1006),$AM$1006:$BM$1006,0)))),"Fix")))</f>
        <v xml:space="preserve"> </v>
      </c>
      <c r="U913" s="4" t="str">
        <f ca="1">IF(OR(INDEX($AG$2:$AG$1001,MATCH(ROWS($AF$2:AF913),$AF$2:$AF$1001,0),1)&gt;=100000,INDEX($AM$1005:$BM$1005,1,MATCH(COLUMNS($AM$1006:BF1006),$AM$1006:$BM$1006,0))&gt;=100000), " ",IF(INDEX($AM$2:$BM$1001,MATCH(ROWS($AF$2:AF913),$AF$2:$AF$1001,0),MATCH(COLUMNS($AM$1006:BF1006),$AM$1006:$BM$1006,0)), HYPERLINK("#",""), HYPERLINK(CONCATENATE("#metadata!", ADDRESS(INDEX($AH$2:$AH$1001,MATCH(ROWS($AF$2:AF913),$AF$2:$AF$1001,0),0), INDEX($AM$1004:$BM$1004,1,MATCH(COLUMNS($AM$1006:BF1006),$AM$1006:$BM$1006,0)))),"Fix")))</f>
        <v xml:space="preserve"> </v>
      </c>
      <c r="V913" s="4" t="str">
        <f ca="1">IF(OR(INDEX($AG$2:$AG$1001,MATCH(ROWS($AF$2:AF913),$AF$2:$AF$1001,0),1)&gt;=100000,INDEX($AM$1005:$BM$1005,1,MATCH(COLUMNS($AM$1006:BG1006),$AM$1006:$BM$1006,0))&gt;=100000), " ",IF(INDEX($AM$2:$BM$1001,MATCH(ROWS($AF$2:AF913),$AF$2:$AF$1001,0),MATCH(COLUMNS($AM$1006:BG1006),$AM$1006:$BM$1006,0)), HYPERLINK("#",""), HYPERLINK(CONCATENATE("#metadata!", ADDRESS(INDEX($AH$2:$AH$1001,MATCH(ROWS($AF$2:AF913),$AF$2:$AF$1001,0),0), INDEX($AM$1004:$BM$1004,1,MATCH(COLUMNS($AM$1006:BG1006),$AM$1006:$BM$1006,0)))),"Fix")))</f>
        <v xml:space="preserve"> </v>
      </c>
      <c r="W913" s="4" t="str">
        <f ca="1">IF(OR(INDEX($AG$2:$AG$1001,MATCH(ROWS($AF$2:AF913),$AF$2:$AF$1001,0),1)&gt;=100000,INDEX($AM$1005:$BM$1005,1,MATCH(COLUMNS($AM$1006:BH1006),$AM$1006:$BM$1006,0))&gt;=100000), " ",IF(INDEX($AM$2:$BM$1001,MATCH(ROWS($AF$2:AF913),$AF$2:$AF$1001,0),MATCH(COLUMNS($AM$1006:BH1006),$AM$1006:$BM$1006,0)), HYPERLINK("#",""), HYPERLINK(CONCATENATE("#metadata!", ADDRESS(INDEX($AH$2:$AH$1001,MATCH(ROWS($AF$2:AF913),$AF$2:$AF$1001,0),0), INDEX($AM$1004:$BM$1004,1,MATCH(COLUMNS($AM$1006:BH1006),$AM$1006:$BM$1006,0)))),"Fix")))</f>
        <v xml:space="preserve"> </v>
      </c>
      <c r="X913" s="4" t="str">
        <f ca="1">IF(OR(INDEX($AG$2:$AG$1001,MATCH(ROWS($AF$2:AF913),$AF$2:$AF$1001,0),1)&gt;=100000,INDEX($AM$1005:$BM$1005,1,MATCH(COLUMNS($AM$1006:BI1006),$AM$1006:$BM$1006,0))&gt;=100000), " ",IF(INDEX($AM$2:$BM$1001,MATCH(ROWS($AF$2:AF913),$AF$2:$AF$1001,0),MATCH(COLUMNS($AM$1006:BI1006),$AM$1006:$BM$1006,0)), HYPERLINK("#",""), HYPERLINK(CONCATENATE("#metadata!", ADDRESS(INDEX($AH$2:$AH$1001,MATCH(ROWS($AF$2:AF913),$AF$2:$AF$1001,0),0), INDEX($AM$1004:$BM$1004,1,MATCH(COLUMNS($AM$1006:BI1006),$AM$1006:$BM$1006,0)))),"Fix")))</f>
        <v xml:space="preserve"> </v>
      </c>
      <c r="Y913" s="4" t="str">
        <f ca="1">IF(OR(INDEX($AG$2:$AG$1001,MATCH(ROWS($AF$2:AF913),$AF$2:$AF$1001,0),1)&gt;=100000,INDEX($AM$1005:$BM$1005,1,MATCH(COLUMNS($AM$1006:BJ1006),$AM$1006:$BM$1006,0))&gt;=100000), " ",IF(INDEX($AM$2:$BM$1001,MATCH(ROWS($AF$2:AF913),$AF$2:$AF$1001,0),MATCH(COLUMNS($AM$1006:BJ1006),$AM$1006:$BM$1006,0)), HYPERLINK("#",""), HYPERLINK(CONCATENATE("#metadata!", ADDRESS(INDEX($AH$2:$AH$1001,MATCH(ROWS($AF$2:AF913),$AF$2:$AF$1001,0),0), INDEX($AM$1004:$BM$1004,1,MATCH(COLUMNS($AM$1006:BJ1006),$AM$1006:$BM$1006,0)))),"Fix")))</f>
        <v xml:space="preserve"> </v>
      </c>
      <c r="Z913" s="4" t="str">
        <f ca="1">IF(OR(INDEX($AG$2:$AG$1001,MATCH(ROWS($AF$2:AF913),$AF$2:$AF$1001,0),1)&gt;=100000,INDEX($AM$1005:$BM$1005,1,MATCH(COLUMNS($AM$1006:BK1006),$AM$1006:$BM$1006,0))&gt;=100000), " ",IF(INDEX($AM$2:$BM$1001,MATCH(ROWS($AF$2:AF913),$AF$2:$AF$1001,0),MATCH(COLUMNS($AM$1006:BK1006),$AM$1006:$BM$1006,0)), HYPERLINK("#",""), HYPERLINK(CONCATENATE("#metadata!", ADDRESS(INDEX($AH$2:$AH$1001,MATCH(ROWS($AF$2:AF913),$AF$2:$AF$1001,0),0), INDEX($AM$1004:$BM$1004,1,MATCH(COLUMNS($AM$1006:BK1006),$AM$1006:$BM$1006,0)))),"Fix")))</f>
        <v xml:space="preserve"> </v>
      </c>
      <c r="AA913" s="4" t="str">
        <f ca="1">IF(OR(INDEX($AG$2:$AG$1001,MATCH(ROWS($AF$2:AF913),$AF$2:$AF$1001,0),1)&gt;=100000,INDEX($AM$1005:$BM$1005,1,MATCH(COLUMNS($AM$1006:BL1006),$AM$1006:$BM$1006,0))&gt;=100000), " ",IF(INDEX($AM$2:$BM$1001,MATCH(ROWS($AF$2:AF913),$AF$2:$AF$1001,0),MATCH(COLUMNS($AM$1006:BL1006),$AM$1006:$BM$1006,0)), HYPERLINK("#",""), HYPERLINK(CONCATENATE("#metadata!", ADDRESS(INDEX($AH$2:$AH$1001,MATCH(ROWS($AF$2:AF913),$AF$2:$AF$1001,0),0), INDEX($AM$1004:$BM$1004,1,MATCH(COLUMNS($AM$1006:BL1006),$AM$1006:$BM$1006,0)))),"Fix")))</f>
        <v xml:space="preserve"> </v>
      </c>
      <c r="AB913" s="4" t="str">
        <f ca="1">IF(OR(INDEX($AG$2:$AG$1001,MATCH(ROWS($AF$2:AF913),$AF$2:$AF$1001,0),1)&gt;=100000,INDEX($AM$1005:$BM$1005,1,MATCH(COLUMNS($AM$1006:BM1006),$AM$1006:$BM$1006,0))&gt;=100000), " ",IF(INDEX($AM$2:$BM$1001,MATCH(ROWS($AF$2:AF913),$AF$2:$AF$1001,0),MATCH(COLUMNS($AM$1006:BM1006),$AM$1006:$BM$1006,0)), HYPERLINK("#",""), HYPERLINK(CONCATENATE("#metadata!", ADDRESS(INDEX($AH$2:$AH$1001,MATCH(ROWS($AF$2:AF913),$AF$2:$AF$1001,0),0), INDEX($AM$1004:$BM$1004,1,MATCH(COLUMNS($AM$1006:BM1006),$AM$1006:$BM$1006,0)))),"Fix")))</f>
        <v xml:space="preserve"> </v>
      </c>
      <c r="AF913">
        <v>912</v>
      </c>
      <c r="AG913">
        <v>100913</v>
      </c>
      <c r="AH913">
        <v>913</v>
      </c>
      <c r="AI913" t="b">
        <f t="shared" si="14"/>
        <v>1</v>
      </c>
      <c r="AJ913" t="b">
        <f>COUNTBLANK(metadata!B913:AB913)=COLUMNS(metadata!B913:AB913)</f>
        <v>1</v>
      </c>
      <c r="AK913" t="str">
        <v/>
      </c>
      <c r="AM913" t="b">
        <f ca="1">AND(IF(metadata!B913="",FALSE,TRUE),COUNTIF(metadata!B:B, metadata!B913) = 1,NOT(ISERROR(SUMPRODUCT(SEARCH(MID(metadata!B913,ROW(INDIRECT("1:"&amp;LEN(metadata!B913))), 1),"0123456789abcdefghijklmnopqrstuvwxyzABCDEFGHIJKLMNOPQRSTUVWXYZ.")))))</f>
        <v>0</v>
      </c>
      <c r="AN913" t="b">
        <f ca="1">OR(AND(IF(metadata!C913="",FALSE,TRUE),OR(EXACT(metadata!C913,"missing: not collected"),EXACT(metadata!C913,"missing: not provided"),EXACT(metadata!C913,"missing: restricted access"))),AND(IF(metadata!C913="",FALSE,TRUE),AND(AND(IFERROR(INT(LEFT(metadata!C913,4))&gt;1900,FALSE),IFERROR(INT(LEFT(metadata!C913,4))&lt;=YEAR(NOW()),FALSE)), OR(MID(metadata!C913,5,1)="", AND(AND(MID(metadata!C913,5,1)="-",IFERROR(INT(MID(metadata!C913,6,1))&gt;=0,FALSE),IFERROR(INT(MID(metadata!C913,6,1))&lt;=1,FALSE),NOT(MID(metadata!C913,7,1)=""),IFERROR(INT(MID(metadata!C913,6,2))&gt;=1,FALSE),IFERROR(INT(MID(metadata!C913,6,2))&lt;=12,FALSE)), OR(MID(metadata!C913,8,1)="", AND(AND(MID(metadata!C913,8,1)="-",IFERROR(INT(MID(metadata!C913,9,1))&gt;=0,FALSE),IFERROR(INT(MID(metadata!C913,9,1))&lt;=3,FALSE),NOT(MID(metadata!C913,10,1)=""),IFERROR(INT(MID(metadata!C913,9,2))&gt;=1,FALSE),IFERROR(INT(MID(metadata!C913,9,2))&lt;=31,FALSE)), OR(MID(metadata!C913,11,1)="", AND(AND(MID(metadata!C913,11,1)=" ",IFERROR(INT(MID(metadata!C913,12,1))&gt;=0,FALSE),IFERROR(INT(MID(metadata!C913,12,1))&lt;=2,FALSE),NOT(MID(metadata!C913,13,1)=""),IFERROR(INT(MID(metadata!C913,12,2))&gt;=0,FALSE),IFERROR(INT(MID(metadata!C913,12,2))&lt;=23,FALSE)), OR(MID(metadata!C913,14,1)="", AND(AND(MID(metadata!C913,14,1)=":",IFERROR(INT(MID(metadata!C913,15,1))&gt;=0,FALSE),IFERROR(INT(MID(metadata!C913,15,1))&lt;=5,FALSE),NOT(MID(metadata!C913,16,1)=""),IFERROR(INT(MID(metadata!C913,15,2))&gt;=0,FALSE),IFERROR(INT(MID(metadata!C913,15,2))&lt;=59,FALSE)), OR(MID(metadata!C913,17,1)="", AND(AND(MID(metadata!C913,17,1)=":",IFERROR(INT(MID(metadata!C913,18,1))&gt;=0,FALSE),IFERROR(INT(MID(metadata!C913,18,1))&lt;=5,FALSE),NOT(MID(metadata!C913,19,1)=""),IFERROR(INT(MID(metadata!C913,18,2))&gt;=0,FALSE),IFERROR(INT(MID(metadata!C913,18,2))&lt;=59,FALSE)), LEN(metadata!C913)&lt;=19)))))))))))))</f>
        <v>0</v>
      </c>
      <c r="AO913" t="b">
        <f>AND(IF(metadata!D913="",FALSE,TRUE),EXACT(metadata!D913,"Not applicable"))</f>
        <v>0</v>
      </c>
      <c r="AP913" t="b">
        <f>IF(metadata!E913="",FALSE,TRUE)</f>
        <v>0</v>
      </c>
      <c r="AQ913" t="b">
        <f>OR(AND(IF(metadata!F913="",FALSE,TRUE),OR(EXACT(metadata!F913,"missing: not collected"),EXACT(metadata!F913,"missing: not provided"))),AND(IF(metadata!F913="",FALSE,TRUE),OR(EXACT(metadata!F913,"TRUE"),EXACT(metadata!F913,"FALSE"))))</f>
        <v>0</v>
      </c>
      <c r="AR913" t="b">
        <f>OR(AND(IF(metadata!G913="",FALSE,TRUE),OR(EXACT(metadata!G913,"missing: not collected"),EXACT(metadata!G913,"missing: not provided"),EXACT(metadata!G913,"missing: restricted access"))),AND(IF(metadata!G913="",FALSE,ISNUMBER(VALUE(metadata!G913))),metadata!G913&gt;=-413))</f>
        <v>0</v>
      </c>
      <c r="AS913" t="b">
        <f>AND(IF(metadata!H913="",FALSE,TRUE),EXACT(metadata!H913,"meters"))</f>
        <v>0</v>
      </c>
      <c r="AT913" t="b">
        <f>AND(IF(metadata!I913="",FALSE,TRUE),OR(EXACT(metadata!I913,"Host-associated"),EXACT(metadata!I913,"Free-living")))</f>
        <v>0</v>
      </c>
      <c r="AU913" t="b">
        <f>AND(IF(metadata!J913="",FALSE,TRUE),OR(EXACT(metadata!J913,"Animal"),EXACT(metadata!J913,"Fungus"),EXACT(metadata!J913,"Plant"),EXACT(metadata!J913,"Saline"),EXACT(metadata!J913,"Non-saline")))</f>
        <v>0</v>
      </c>
      <c r="AV913" t="b">
        <f>AND(IF(metadata!K913="",FALSE,TRUE),OR(EXACT(metadata!K913,"Plant secretion"),EXACT(metadata!K913,"Plant rhizosphere"),EXACT(metadata!K913,"Plant surface"),EXACT(metadata!K913,"Plant corpus"),EXACT(metadata!K913,"Fungus surface"),EXACT(metadata!K913,"Fungus corpus"),EXACT(metadata!K913,"Animal surface"),EXACT(metadata!K913,"Animal proximal gut"),EXACT(metadata!K913,"Animal corpus"),EXACT(metadata!K913,"Animal distal gut"),EXACT(metadata!K913,"Animal secretion"),EXACT(metadata!K913,"Sub-surface (non-saline)"),EXACT(metadata!K913,"Surface (non-saline)"),EXACT(metadata!K913,"Water (non-saline)"),EXACT(metadata!K913,"Soil (non-saline)"),EXACT(metadata!K913,"Aerosol (non-saline)"),EXACT(metadata!K913,"Sediment (non-saline)"),EXACT(metadata!K913,"Surface (saline)"),EXACT(metadata!K913,"Water (saline)"),EXACT(metadata!K913,"Hypersaline (saline)"),EXACT(metadata!K913,"Aerosol (saline)"),EXACT(metadata!K913,"Sediment (saline)")))</f>
        <v>0</v>
      </c>
      <c r="AW913" t="b">
        <f>IF(metadata!L913="",FALSE,TRUE)</f>
        <v>0</v>
      </c>
      <c r="AX913" t="b">
        <f>IF(metadata!M913="",FALSE,TRUE)</f>
        <v>0</v>
      </c>
      <c r="AY913" t="b">
        <f>IF(metadata!N913="",FALSE,TRUE)</f>
        <v>0</v>
      </c>
      <c r="AZ913" t="b">
        <f>OR(AND(IF(metadata!O913="",FALSE,TRUE),OR(EXACT(metadata!O913,"missing: not collected"),EXACT(metadata!O913,"missing: not provided"),EXACT(metadata!O913,"missing: restricted access"))),AND(IF(metadata!O913="",FALSE,TRUE),OR(EXACT(metadata!O913,"air"),EXACT(metadata!O913,"built environment"),EXACT(metadata!O913,"host-associated"),EXACT(metadata!O913,"human-associated"),EXACT(metadata!O913,"human-skin"),EXACT(metadata!O913,"human-oral"),EXACT(metadata!O913,"human-gut"),EXACT(metadata!O913,"human-vaginal"),EXACT(metadata!O913,"microbial mat/biofilm"),EXACT(metadata!O913,"misc environment"),EXACT(metadata!O913,"plant-associated"),EXACT(metadata!O913,"sediment"),EXACT(metadata!O913,"soil"),EXACT(metadata!O913,"wastewater/sludge"),EXACT(metadata!O913,"water"))))</f>
        <v>0</v>
      </c>
      <c r="BA913" t="b">
        <f>IF(metadata!P913="",FALSE,TRUE)</f>
        <v>0</v>
      </c>
      <c r="BB913" t="b">
        <f>IF(metadata!Q913="",FALSE,TRUE)</f>
        <v>0</v>
      </c>
      <c r="BC913" t="b">
        <f>OR(AND(IF(metadata!R913="",FALSE,TRUE),OR(EXACT(metadata!R913,"missing: not collected"),EXACT(metadata!R913,"missing: not provided"),EXACT(metadata!R913,"missing: restricted access"))),AND(IF(metadata!R913="",FALSE,ISNUMBER(VALUE(metadata!R913))),metadata!R913&gt;=-90,metadata!R913&lt;=90))</f>
        <v>0</v>
      </c>
      <c r="BD913" t="b">
        <f>AND(IF(metadata!S913="",FALSE,TRUE),EXACT(metadata!S913,"Decimal degrees"))</f>
        <v>0</v>
      </c>
      <c r="BE913" t="b">
        <f>OR(AND(IF(metadata!T913="",FALSE,TRUE),OR(EXACT(metadata!T913,"missing: not collected"),EXACT(metadata!T913,"missing: not provided"),EXACT(metadata!T913,"missing: restricted access"))),AND(IF(metadata!T913="",FALSE,ISNUMBER(VALUE(metadata!T913))),metadata!T913&gt;=-180,metadata!T913&lt;=180))</f>
        <v>0</v>
      </c>
      <c r="BF913" t="b">
        <f>AND(IF(metadata!U913="",FALSE,TRUE),EXACT(metadata!U913,"Decimal degrees"))</f>
        <v>0</v>
      </c>
      <c r="BG913" t="b">
        <f>IF(metadata!V913="",FALSE,TRUE)</f>
        <v>0</v>
      </c>
      <c r="BH913" t="b">
        <f>OR(AND(IF(metadata!W913="",FALSE,TRUE),OR(EXACT(metadata!W913,"missing: not collected"),EXACT(metadata!W913,"missing: not provided"),EXACT(metadata!W913,"missing: restricted access"))),AND(IF(metadata!W913="",FALSE,TRUE),OR(EXACT(metadata!W913,"TRUE"),EXACT(metadata!W913,"FALSE"))))</f>
        <v>0</v>
      </c>
      <c r="BI913" t="b">
        <f>AND(IF(metadata!X913="",FALSE,TRUE),EXACT(metadata!X913,"other"))</f>
        <v>0</v>
      </c>
      <c r="BJ913" t="b">
        <f>IF(metadata!Y913="",FALSE,TRUE)</f>
        <v>0</v>
      </c>
      <c r="BK913" t="b">
        <f>OR(AND(IF(metadata!Z913="",FALSE,TRUE),OR(EXACT(metadata!Z913,"missing: not collected"),EXACT(metadata!Z913,"missing: not provided"))),AND(IF(metadata!Z913="",FALSE,IF(ISERROR(INT(metadata!Z913)),FALSE,INT(metadata!Z913)=metadata!Z913)),metadata!Z913&gt;0))</f>
        <v>0</v>
      </c>
      <c r="BL913" t="b">
        <f>AND(IF(metadata!AA913="",FALSE,TRUE),EXACT(metadata!AA913,"Not applicable"))</f>
        <v>0</v>
      </c>
      <c r="BM913" t="b">
        <f>IF(metadata!AB913="",FALSE,TRUE)</f>
        <v>0</v>
      </c>
    </row>
    <row r="914" spans="1:65" x14ac:dyDescent="0.2">
      <c r="A914" s="5" t="str">
        <f ca="1">IF(B914=" "," ",HYPERLINK(CONCATENATE("#metadata!",ADDRESS(INDEX($AH$2:$AH$1001,MATCH(ROWS($AF$2:AF914),$AF$2:$AF$1001,0),0),1)),INDEX($AK$2:$AK$1001,MATCH(ROWS($AF$2:AF914),$AF$2:$AF$1001,0),0)))</f>
        <v xml:space="preserve"> </v>
      </c>
      <c r="B914" s="4" t="str">
        <f ca="1">IF(OR(INDEX($AG$2:$AG$1001,MATCH(ROWS($AF$2:AF914),$AF$2:$AF$1001,0),1)&gt;=100000,INDEX($AM$1005:$BM$1005,1,MATCH(COLUMNS($AM$1006:AM1006),$AM$1006:$BM$1006,0))&gt;=100000), " ",IF(INDEX($AM$2:$BM$1001,MATCH(ROWS($AF$2:AF914),$AF$2:$AF$1001,0),MATCH(COLUMNS($AM$1006:AM1006),$AM$1006:$BM$1006,0)), HYPERLINK("#",""), HYPERLINK(CONCATENATE("#metadata!", ADDRESS(INDEX($AH$2:$AH$1001,MATCH(ROWS($AF$2:AF914),$AF$2:$AF$1001,0),0), INDEX($AM$1004:$BM$1004,1,MATCH(COLUMNS($AM$1006:AM1006),$AM$1006:$BM$1006,0)))),"Fix")))</f>
        <v xml:space="preserve"> </v>
      </c>
      <c r="C914" s="4" t="str">
        <f ca="1">IF(OR(INDEX($AG$2:$AG$1001,MATCH(ROWS($AF$2:AF914),$AF$2:$AF$1001,0),1)&gt;=100000,INDEX($AM$1005:$BM$1005,1,MATCH(COLUMNS($AM$1006:AN1006),$AM$1006:$BM$1006,0))&gt;=100000), " ",IF(INDEX($AM$2:$BM$1001,MATCH(ROWS($AF$2:AF914),$AF$2:$AF$1001,0),MATCH(COLUMNS($AM$1006:AN1006),$AM$1006:$BM$1006,0)), HYPERLINK("#",""), HYPERLINK(CONCATENATE("#metadata!", ADDRESS(INDEX($AH$2:$AH$1001,MATCH(ROWS($AF$2:AF914),$AF$2:$AF$1001,0),0), INDEX($AM$1004:$BM$1004,1,MATCH(COLUMNS($AM$1006:AN1006),$AM$1006:$BM$1006,0)))),"Fix")))</f>
        <v xml:space="preserve"> </v>
      </c>
      <c r="D914" s="4" t="str">
        <f ca="1">IF(OR(INDEX($AG$2:$AG$1001,MATCH(ROWS($AF$2:AF914),$AF$2:$AF$1001,0),1)&gt;=100000,INDEX($AM$1005:$BM$1005,1,MATCH(COLUMNS($AM$1006:AO1006),$AM$1006:$BM$1006,0))&gt;=100000), " ",IF(INDEX($AM$2:$BM$1001,MATCH(ROWS($AF$2:AF914),$AF$2:$AF$1001,0),MATCH(COLUMNS($AM$1006:AO1006),$AM$1006:$BM$1006,0)), HYPERLINK("#",""), HYPERLINK(CONCATENATE("#metadata!", ADDRESS(INDEX($AH$2:$AH$1001,MATCH(ROWS($AF$2:AF914),$AF$2:$AF$1001,0),0), INDEX($AM$1004:$BM$1004,1,MATCH(COLUMNS($AM$1006:AO1006),$AM$1006:$BM$1006,0)))),"Fix")))</f>
        <v xml:space="preserve"> </v>
      </c>
      <c r="E914" s="4" t="str">
        <f ca="1">IF(OR(INDEX($AG$2:$AG$1001,MATCH(ROWS($AF$2:AF914),$AF$2:$AF$1001,0),1)&gt;=100000,INDEX($AM$1005:$BM$1005,1,MATCH(COLUMNS($AM$1006:AP1006),$AM$1006:$BM$1006,0))&gt;=100000), " ",IF(INDEX($AM$2:$BM$1001,MATCH(ROWS($AF$2:AF914),$AF$2:$AF$1001,0),MATCH(COLUMNS($AM$1006:AP1006),$AM$1006:$BM$1006,0)), HYPERLINK("#",""), HYPERLINK(CONCATENATE("#metadata!", ADDRESS(INDEX($AH$2:$AH$1001,MATCH(ROWS($AF$2:AF914),$AF$2:$AF$1001,0),0), INDEX($AM$1004:$BM$1004,1,MATCH(COLUMNS($AM$1006:AP1006),$AM$1006:$BM$1006,0)))),"Fix")))</f>
        <v xml:space="preserve"> </v>
      </c>
      <c r="F914" s="4" t="str">
        <f ca="1">IF(OR(INDEX($AG$2:$AG$1001,MATCH(ROWS($AF$2:AF914),$AF$2:$AF$1001,0),1)&gt;=100000,INDEX($AM$1005:$BM$1005,1,MATCH(COLUMNS($AM$1006:AQ1006),$AM$1006:$BM$1006,0))&gt;=100000), " ",IF(INDEX($AM$2:$BM$1001,MATCH(ROWS($AF$2:AF914),$AF$2:$AF$1001,0),MATCH(COLUMNS($AM$1006:AQ1006),$AM$1006:$BM$1006,0)), HYPERLINK("#",""), HYPERLINK(CONCATENATE("#metadata!", ADDRESS(INDEX($AH$2:$AH$1001,MATCH(ROWS($AF$2:AF914),$AF$2:$AF$1001,0),0), INDEX($AM$1004:$BM$1004,1,MATCH(COLUMNS($AM$1006:AQ1006),$AM$1006:$BM$1006,0)))),"Fix")))</f>
        <v xml:space="preserve"> </v>
      </c>
      <c r="G914" s="4" t="str">
        <f ca="1">IF(OR(INDEX($AG$2:$AG$1001,MATCH(ROWS($AF$2:AF914),$AF$2:$AF$1001,0),1)&gt;=100000,INDEX($AM$1005:$BM$1005,1,MATCH(COLUMNS($AM$1006:AR1006),$AM$1006:$BM$1006,0))&gt;=100000), " ",IF(INDEX($AM$2:$BM$1001,MATCH(ROWS($AF$2:AF914),$AF$2:$AF$1001,0),MATCH(COLUMNS($AM$1006:AR1006),$AM$1006:$BM$1006,0)), HYPERLINK("#",""), HYPERLINK(CONCATENATE("#metadata!", ADDRESS(INDEX($AH$2:$AH$1001,MATCH(ROWS($AF$2:AF914),$AF$2:$AF$1001,0),0), INDEX($AM$1004:$BM$1004,1,MATCH(COLUMNS($AM$1006:AR1006),$AM$1006:$BM$1006,0)))),"Fix")))</f>
        <v xml:space="preserve"> </v>
      </c>
      <c r="H914" s="4" t="str">
        <f ca="1">IF(OR(INDEX($AG$2:$AG$1001,MATCH(ROWS($AF$2:AF914),$AF$2:$AF$1001,0),1)&gt;=100000,INDEX($AM$1005:$BM$1005,1,MATCH(COLUMNS($AM$1006:AS1006),$AM$1006:$BM$1006,0))&gt;=100000), " ",IF(INDEX($AM$2:$BM$1001,MATCH(ROWS($AF$2:AF914),$AF$2:$AF$1001,0),MATCH(COLUMNS($AM$1006:AS1006),$AM$1006:$BM$1006,0)), HYPERLINK("#",""), HYPERLINK(CONCATENATE("#metadata!", ADDRESS(INDEX($AH$2:$AH$1001,MATCH(ROWS($AF$2:AF914),$AF$2:$AF$1001,0),0), INDEX($AM$1004:$BM$1004,1,MATCH(COLUMNS($AM$1006:AS1006),$AM$1006:$BM$1006,0)))),"Fix")))</f>
        <v xml:space="preserve"> </v>
      </c>
      <c r="I914" s="4" t="str">
        <f ca="1">IF(OR(INDEX($AG$2:$AG$1001,MATCH(ROWS($AF$2:AF914),$AF$2:$AF$1001,0),1)&gt;=100000,INDEX($AM$1005:$BM$1005,1,MATCH(COLUMNS($AM$1006:AT1006),$AM$1006:$BM$1006,0))&gt;=100000), " ",IF(INDEX($AM$2:$BM$1001,MATCH(ROWS($AF$2:AF914),$AF$2:$AF$1001,0),MATCH(COLUMNS($AM$1006:AT1006),$AM$1006:$BM$1006,0)), HYPERLINK("#",""), HYPERLINK(CONCATENATE("#metadata!", ADDRESS(INDEX($AH$2:$AH$1001,MATCH(ROWS($AF$2:AF914),$AF$2:$AF$1001,0),0), INDEX($AM$1004:$BM$1004,1,MATCH(COLUMNS($AM$1006:AT1006),$AM$1006:$BM$1006,0)))),"Fix")))</f>
        <v xml:space="preserve"> </v>
      </c>
      <c r="J914" s="4" t="str">
        <f ca="1">IF(OR(INDEX($AG$2:$AG$1001,MATCH(ROWS($AF$2:AF914),$AF$2:$AF$1001,0),1)&gt;=100000,INDEX($AM$1005:$BM$1005,1,MATCH(COLUMNS($AM$1006:AU1006),$AM$1006:$BM$1006,0))&gt;=100000), " ",IF(INDEX($AM$2:$BM$1001,MATCH(ROWS($AF$2:AF914),$AF$2:$AF$1001,0),MATCH(COLUMNS($AM$1006:AU1006),$AM$1006:$BM$1006,0)), HYPERLINK("#",""), HYPERLINK(CONCATENATE("#metadata!", ADDRESS(INDEX($AH$2:$AH$1001,MATCH(ROWS($AF$2:AF914),$AF$2:$AF$1001,0),0), INDEX($AM$1004:$BM$1004,1,MATCH(COLUMNS($AM$1006:AU1006),$AM$1006:$BM$1006,0)))),"Fix")))</f>
        <v xml:space="preserve"> </v>
      </c>
      <c r="K914" s="4" t="str">
        <f ca="1">IF(OR(INDEX($AG$2:$AG$1001,MATCH(ROWS($AF$2:AF914),$AF$2:$AF$1001,0),1)&gt;=100000,INDEX($AM$1005:$BM$1005,1,MATCH(COLUMNS($AM$1006:AV1006),$AM$1006:$BM$1006,0))&gt;=100000), " ",IF(INDEX($AM$2:$BM$1001,MATCH(ROWS($AF$2:AF914),$AF$2:$AF$1001,0),MATCH(COLUMNS($AM$1006:AV1006),$AM$1006:$BM$1006,0)), HYPERLINK("#",""), HYPERLINK(CONCATENATE("#metadata!", ADDRESS(INDEX($AH$2:$AH$1001,MATCH(ROWS($AF$2:AF914),$AF$2:$AF$1001,0),0), INDEX($AM$1004:$BM$1004,1,MATCH(COLUMNS($AM$1006:AV1006),$AM$1006:$BM$1006,0)))),"Fix")))</f>
        <v xml:space="preserve"> </v>
      </c>
      <c r="L914" s="4" t="str">
        <f ca="1">IF(OR(INDEX($AG$2:$AG$1001,MATCH(ROWS($AF$2:AF914),$AF$2:$AF$1001,0),1)&gt;=100000,INDEX($AM$1005:$BM$1005,1,MATCH(COLUMNS($AM$1006:AW1006),$AM$1006:$BM$1006,0))&gt;=100000), " ",IF(INDEX($AM$2:$BM$1001,MATCH(ROWS($AF$2:AF914),$AF$2:$AF$1001,0),MATCH(COLUMNS($AM$1006:AW1006),$AM$1006:$BM$1006,0)), HYPERLINK("#",""), HYPERLINK(CONCATENATE("#metadata!", ADDRESS(INDEX($AH$2:$AH$1001,MATCH(ROWS($AF$2:AF914),$AF$2:$AF$1001,0),0), INDEX($AM$1004:$BM$1004,1,MATCH(COLUMNS($AM$1006:AW1006),$AM$1006:$BM$1006,0)))),"Fix")))</f>
        <v xml:space="preserve"> </v>
      </c>
      <c r="M914" s="4" t="str">
        <f ca="1">IF(OR(INDEX($AG$2:$AG$1001,MATCH(ROWS($AF$2:AF914),$AF$2:$AF$1001,0),1)&gt;=100000,INDEX($AM$1005:$BM$1005,1,MATCH(COLUMNS($AM$1006:AX1006),$AM$1006:$BM$1006,0))&gt;=100000), " ",IF(INDEX($AM$2:$BM$1001,MATCH(ROWS($AF$2:AF914),$AF$2:$AF$1001,0),MATCH(COLUMNS($AM$1006:AX1006),$AM$1006:$BM$1006,0)), HYPERLINK("#",""), HYPERLINK(CONCATENATE("#metadata!", ADDRESS(INDEX($AH$2:$AH$1001,MATCH(ROWS($AF$2:AF914),$AF$2:$AF$1001,0),0), INDEX($AM$1004:$BM$1004,1,MATCH(COLUMNS($AM$1006:AX1006),$AM$1006:$BM$1006,0)))),"Fix")))</f>
        <v xml:space="preserve"> </v>
      </c>
      <c r="N914" s="4" t="str">
        <f ca="1">IF(OR(INDEX($AG$2:$AG$1001,MATCH(ROWS($AF$2:AF914),$AF$2:$AF$1001,0),1)&gt;=100000,INDEX($AM$1005:$BM$1005,1,MATCH(COLUMNS($AM$1006:AY1006),$AM$1006:$BM$1006,0))&gt;=100000), " ",IF(INDEX($AM$2:$BM$1001,MATCH(ROWS($AF$2:AF914),$AF$2:$AF$1001,0),MATCH(COLUMNS($AM$1006:AY1006),$AM$1006:$BM$1006,0)), HYPERLINK("#",""), HYPERLINK(CONCATENATE("#metadata!", ADDRESS(INDEX($AH$2:$AH$1001,MATCH(ROWS($AF$2:AF914),$AF$2:$AF$1001,0),0), INDEX($AM$1004:$BM$1004,1,MATCH(COLUMNS($AM$1006:AY1006),$AM$1006:$BM$1006,0)))),"Fix")))</f>
        <v xml:space="preserve"> </v>
      </c>
      <c r="O914" s="4" t="str">
        <f ca="1">IF(OR(INDEX($AG$2:$AG$1001,MATCH(ROWS($AF$2:AF914),$AF$2:$AF$1001,0),1)&gt;=100000,INDEX($AM$1005:$BM$1005,1,MATCH(COLUMNS($AM$1006:AZ1006),$AM$1006:$BM$1006,0))&gt;=100000), " ",IF(INDEX($AM$2:$BM$1001,MATCH(ROWS($AF$2:AF914),$AF$2:$AF$1001,0),MATCH(COLUMNS($AM$1006:AZ1006),$AM$1006:$BM$1006,0)), HYPERLINK("#",""), HYPERLINK(CONCATENATE("#metadata!", ADDRESS(INDEX($AH$2:$AH$1001,MATCH(ROWS($AF$2:AF914),$AF$2:$AF$1001,0),0), INDEX($AM$1004:$BM$1004,1,MATCH(COLUMNS($AM$1006:AZ1006),$AM$1006:$BM$1006,0)))),"Fix")))</f>
        <v xml:space="preserve"> </v>
      </c>
      <c r="P914" s="4" t="str">
        <f ca="1">IF(OR(INDEX($AG$2:$AG$1001,MATCH(ROWS($AF$2:AF914),$AF$2:$AF$1001,0),1)&gt;=100000,INDEX($AM$1005:$BM$1005,1,MATCH(COLUMNS($AM$1006:BA1006),$AM$1006:$BM$1006,0))&gt;=100000), " ",IF(INDEX($AM$2:$BM$1001,MATCH(ROWS($AF$2:AF914),$AF$2:$AF$1001,0),MATCH(COLUMNS($AM$1006:BA1006),$AM$1006:$BM$1006,0)), HYPERLINK("#",""), HYPERLINK(CONCATENATE("#metadata!", ADDRESS(INDEX($AH$2:$AH$1001,MATCH(ROWS($AF$2:AF914),$AF$2:$AF$1001,0),0), INDEX($AM$1004:$BM$1004,1,MATCH(COLUMNS($AM$1006:BA1006),$AM$1006:$BM$1006,0)))),"Fix")))</f>
        <v xml:space="preserve"> </v>
      </c>
      <c r="Q914" s="4" t="str">
        <f ca="1">IF(OR(INDEX($AG$2:$AG$1001,MATCH(ROWS($AF$2:AF914),$AF$2:$AF$1001,0),1)&gt;=100000,INDEX($AM$1005:$BM$1005,1,MATCH(COLUMNS($AM$1006:BB1006),$AM$1006:$BM$1006,0))&gt;=100000), " ",IF(INDEX($AM$2:$BM$1001,MATCH(ROWS($AF$2:AF914),$AF$2:$AF$1001,0),MATCH(COLUMNS($AM$1006:BB1006),$AM$1006:$BM$1006,0)), HYPERLINK("#",""), HYPERLINK(CONCATENATE("#metadata!", ADDRESS(INDEX($AH$2:$AH$1001,MATCH(ROWS($AF$2:AF914),$AF$2:$AF$1001,0),0), INDEX($AM$1004:$BM$1004,1,MATCH(COLUMNS($AM$1006:BB1006),$AM$1006:$BM$1006,0)))),"Fix")))</f>
        <v xml:space="preserve"> </v>
      </c>
      <c r="R914" s="4" t="str">
        <f ca="1">IF(OR(INDEX($AG$2:$AG$1001,MATCH(ROWS($AF$2:AF914),$AF$2:$AF$1001,0),1)&gt;=100000,INDEX($AM$1005:$BM$1005,1,MATCH(COLUMNS($AM$1006:BC1006),$AM$1006:$BM$1006,0))&gt;=100000), " ",IF(INDEX($AM$2:$BM$1001,MATCH(ROWS($AF$2:AF914),$AF$2:$AF$1001,0),MATCH(COLUMNS($AM$1006:BC1006),$AM$1006:$BM$1006,0)), HYPERLINK("#",""), HYPERLINK(CONCATENATE("#metadata!", ADDRESS(INDEX($AH$2:$AH$1001,MATCH(ROWS($AF$2:AF914),$AF$2:$AF$1001,0),0), INDEX($AM$1004:$BM$1004,1,MATCH(COLUMNS($AM$1006:BC1006),$AM$1006:$BM$1006,0)))),"Fix")))</f>
        <v xml:space="preserve"> </v>
      </c>
      <c r="S914" s="4" t="str">
        <f ca="1">IF(OR(INDEX($AG$2:$AG$1001,MATCH(ROWS($AF$2:AF914),$AF$2:$AF$1001,0),1)&gt;=100000,INDEX($AM$1005:$BM$1005,1,MATCH(COLUMNS($AM$1006:BD1006),$AM$1006:$BM$1006,0))&gt;=100000), " ",IF(INDEX($AM$2:$BM$1001,MATCH(ROWS($AF$2:AF914),$AF$2:$AF$1001,0),MATCH(COLUMNS($AM$1006:BD1006),$AM$1006:$BM$1006,0)), HYPERLINK("#",""), HYPERLINK(CONCATENATE("#metadata!", ADDRESS(INDEX($AH$2:$AH$1001,MATCH(ROWS($AF$2:AF914),$AF$2:$AF$1001,0),0), INDEX($AM$1004:$BM$1004,1,MATCH(COLUMNS($AM$1006:BD1006),$AM$1006:$BM$1006,0)))),"Fix")))</f>
        <v xml:space="preserve"> </v>
      </c>
      <c r="T914" s="4" t="str">
        <f ca="1">IF(OR(INDEX($AG$2:$AG$1001,MATCH(ROWS($AF$2:AF914),$AF$2:$AF$1001,0),1)&gt;=100000,INDEX($AM$1005:$BM$1005,1,MATCH(COLUMNS($AM$1006:BE1006),$AM$1006:$BM$1006,0))&gt;=100000), " ",IF(INDEX($AM$2:$BM$1001,MATCH(ROWS($AF$2:AF914),$AF$2:$AF$1001,0),MATCH(COLUMNS($AM$1006:BE1006),$AM$1006:$BM$1006,0)), HYPERLINK("#",""), HYPERLINK(CONCATENATE("#metadata!", ADDRESS(INDEX($AH$2:$AH$1001,MATCH(ROWS($AF$2:AF914),$AF$2:$AF$1001,0),0), INDEX($AM$1004:$BM$1004,1,MATCH(COLUMNS($AM$1006:BE1006),$AM$1006:$BM$1006,0)))),"Fix")))</f>
        <v xml:space="preserve"> </v>
      </c>
      <c r="U914" s="4" t="str">
        <f ca="1">IF(OR(INDEX($AG$2:$AG$1001,MATCH(ROWS($AF$2:AF914),$AF$2:$AF$1001,0),1)&gt;=100000,INDEX($AM$1005:$BM$1005,1,MATCH(COLUMNS($AM$1006:BF1006),$AM$1006:$BM$1006,0))&gt;=100000), " ",IF(INDEX($AM$2:$BM$1001,MATCH(ROWS($AF$2:AF914),$AF$2:$AF$1001,0),MATCH(COLUMNS($AM$1006:BF1006),$AM$1006:$BM$1006,0)), HYPERLINK("#",""), HYPERLINK(CONCATENATE("#metadata!", ADDRESS(INDEX($AH$2:$AH$1001,MATCH(ROWS($AF$2:AF914),$AF$2:$AF$1001,0),0), INDEX($AM$1004:$BM$1004,1,MATCH(COLUMNS($AM$1006:BF1006),$AM$1006:$BM$1006,0)))),"Fix")))</f>
        <v xml:space="preserve"> </v>
      </c>
      <c r="V914" s="4" t="str">
        <f ca="1">IF(OR(INDEX($AG$2:$AG$1001,MATCH(ROWS($AF$2:AF914),$AF$2:$AF$1001,0),1)&gt;=100000,INDEX($AM$1005:$BM$1005,1,MATCH(COLUMNS($AM$1006:BG1006),$AM$1006:$BM$1006,0))&gt;=100000), " ",IF(INDEX($AM$2:$BM$1001,MATCH(ROWS($AF$2:AF914),$AF$2:$AF$1001,0),MATCH(COLUMNS($AM$1006:BG1006),$AM$1006:$BM$1006,0)), HYPERLINK("#",""), HYPERLINK(CONCATENATE("#metadata!", ADDRESS(INDEX($AH$2:$AH$1001,MATCH(ROWS($AF$2:AF914),$AF$2:$AF$1001,0),0), INDEX($AM$1004:$BM$1004,1,MATCH(COLUMNS($AM$1006:BG1006),$AM$1006:$BM$1006,0)))),"Fix")))</f>
        <v xml:space="preserve"> </v>
      </c>
      <c r="W914" s="4" t="str">
        <f ca="1">IF(OR(INDEX($AG$2:$AG$1001,MATCH(ROWS($AF$2:AF914),$AF$2:$AF$1001,0),1)&gt;=100000,INDEX($AM$1005:$BM$1005,1,MATCH(COLUMNS($AM$1006:BH1006),$AM$1006:$BM$1006,0))&gt;=100000), " ",IF(INDEX($AM$2:$BM$1001,MATCH(ROWS($AF$2:AF914),$AF$2:$AF$1001,0),MATCH(COLUMNS($AM$1006:BH1006),$AM$1006:$BM$1006,0)), HYPERLINK("#",""), HYPERLINK(CONCATENATE("#metadata!", ADDRESS(INDEX($AH$2:$AH$1001,MATCH(ROWS($AF$2:AF914),$AF$2:$AF$1001,0),0), INDEX($AM$1004:$BM$1004,1,MATCH(COLUMNS($AM$1006:BH1006),$AM$1006:$BM$1006,0)))),"Fix")))</f>
        <v xml:space="preserve"> </v>
      </c>
      <c r="X914" s="4" t="str">
        <f ca="1">IF(OR(INDEX($AG$2:$AG$1001,MATCH(ROWS($AF$2:AF914),$AF$2:$AF$1001,0),1)&gt;=100000,INDEX($AM$1005:$BM$1005,1,MATCH(COLUMNS($AM$1006:BI1006),$AM$1006:$BM$1006,0))&gt;=100000), " ",IF(INDEX($AM$2:$BM$1001,MATCH(ROWS($AF$2:AF914),$AF$2:$AF$1001,0),MATCH(COLUMNS($AM$1006:BI1006),$AM$1006:$BM$1006,0)), HYPERLINK("#",""), HYPERLINK(CONCATENATE("#metadata!", ADDRESS(INDEX($AH$2:$AH$1001,MATCH(ROWS($AF$2:AF914),$AF$2:$AF$1001,0),0), INDEX($AM$1004:$BM$1004,1,MATCH(COLUMNS($AM$1006:BI1006),$AM$1006:$BM$1006,0)))),"Fix")))</f>
        <v xml:space="preserve"> </v>
      </c>
      <c r="Y914" s="4" t="str">
        <f ca="1">IF(OR(INDEX($AG$2:$AG$1001,MATCH(ROWS($AF$2:AF914),$AF$2:$AF$1001,0),1)&gt;=100000,INDEX($AM$1005:$BM$1005,1,MATCH(COLUMNS($AM$1006:BJ1006),$AM$1006:$BM$1006,0))&gt;=100000), " ",IF(INDEX($AM$2:$BM$1001,MATCH(ROWS($AF$2:AF914),$AF$2:$AF$1001,0),MATCH(COLUMNS($AM$1006:BJ1006),$AM$1006:$BM$1006,0)), HYPERLINK("#",""), HYPERLINK(CONCATENATE("#metadata!", ADDRESS(INDEX($AH$2:$AH$1001,MATCH(ROWS($AF$2:AF914),$AF$2:$AF$1001,0),0), INDEX($AM$1004:$BM$1004,1,MATCH(COLUMNS($AM$1006:BJ1006),$AM$1006:$BM$1006,0)))),"Fix")))</f>
        <v xml:space="preserve"> </v>
      </c>
      <c r="Z914" s="4" t="str">
        <f ca="1">IF(OR(INDEX($AG$2:$AG$1001,MATCH(ROWS($AF$2:AF914),$AF$2:$AF$1001,0),1)&gt;=100000,INDEX($AM$1005:$BM$1005,1,MATCH(COLUMNS($AM$1006:BK1006),$AM$1006:$BM$1006,0))&gt;=100000), " ",IF(INDEX($AM$2:$BM$1001,MATCH(ROWS($AF$2:AF914),$AF$2:$AF$1001,0),MATCH(COLUMNS($AM$1006:BK1006),$AM$1006:$BM$1006,0)), HYPERLINK("#",""), HYPERLINK(CONCATENATE("#metadata!", ADDRESS(INDEX($AH$2:$AH$1001,MATCH(ROWS($AF$2:AF914),$AF$2:$AF$1001,0),0), INDEX($AM$1004:$BM$1004,1,MATCH(COLUMNS($AM$1006:BK1006),$AM$1006:$BM$1006,0)))),"Fix")))</f>
        <v xml:space="preserve"> </v>
      </c>
      <c r="AA914" s="4" t="str">
        <f ca="1">IF(OR(INDEX($AG$2:$AG$1001,MATCH(ROWS($AF$2:AF914),$AF$2:$AF$1001,0),1)&gt;=100000,INDEX($AM$1005:$BM$1005,1,MATCH(COLUMNS($AM$1006:BL1006),$AM$1006:$BM$1006,0))&gt;=100000), " ",IF(INDEX($AM$2:$BM$1001,MATCH(ROWS($AF$2:AF914),$AF$2:$AF$1001,0),MATCH(COLUMNS($AM$1006:BL1006),$AM$1006:$BM$1006,0)), HYPERLINK("#",""), HYPERLINK(CONCATENATE("#metadata!", ADDRESS(INDEX($AH$2:$AH$1001,MATCH(ROWS($AF$2:AF914),$AF$2:$AF$1001,0),0), INDEX($AM$1004:$BM$1004,1,MATCH(COLUMNS($AM$1006:BL1006),$AM$1006:$BM$1006,0)))),"Fix")))</f>
        <v xml:space="preserve"> </v>
      </c>
      <c r="AB914" s="4" t="str">
        <f ca="1">IF(OR(INDEX($AG$2:$AG$1001,MATCH(ROWS($AF$2:AF914),$AF$2:$AF$1001,0),1)&gt;=100000,INDEX($AM$1005:$BM$1005,1,MATCH(COLUMNS($AM$1006:BM1006),$AM$1006:$BM$1006,0))&gt;=100000), " ",IF(INDEX($AM$2:$BM$1001,MATCH(ROWS($AF$2:AF914),$AF$2:$AF$1001,0),MATCH(COLUMNS($AM$1006:BM1006),$AM$1006:$BM$1006,0)), HYPERLINK("#",""), HYPERLINK(CONCATENATE("#metadata!", ADDRESS(INDEX($AH$2:$AH$1001,MATCH(ROWS($AF$2:AF914),$AF$2:$AF$1001,0),0), INDEX($AM$1004:$BM$1004,1,MATCH(COLUMNS($AM$1006:BM1006),$AM$1006:$BM$1006,0)))),"Fix")))</f>
        <v xml:space="preserve"> </v>
      </c>
      <c r="AF914">
        <v>913</v>
      </c>
      <c r="AG914">
        <v>100914</v>
      </c>
      <c r="AH914">
        <v>914</v>
      </c>
      <c r="AI914" t="b">
        <f t="shared" si="14"/>
        <v>1</v>
      </c>
      <c r="AJ914" t="b">
        <f>COUNTBLANK(metadata!B914:AB914)=COLUMNS(metadata!B914:AB914)</f>
        <v>1</v>
      </c>
      <c r="AK914" t="str">
        <v/>
      </c>
      <c r="AM914" t="b">
        <f ca="1">AND(IF(metadata!B914="",FALSE,TRUE),COUNTIF(metadata!B:B, metadata!B914) = 1,NOT(ISERROR(SUMPRODUCT(SEARCH(MID(metadata!B914,ROW(INDIRECT("1:"&amp;LEN(metadata!B914))), 1),"0123456789abcdefghijklmnopqrstuvwxyzABCDEFGHIJKLMNOPQRSTUVWXYZ.")))))</f>
        <v>0</v>
      </c>
      <c r="AN914" t="b">
        <f ca="1">OR(AND(IF(metadata!C914="",FALSE,TRUE),OR(EXACT(metadata!C914,"missing: not collected"),EXACT(metadata!C914,"missing: not provided"),EXACT(metadata!C914,"missing: restricted access"))),AND(IF(metadata!C914="",FALSE,TRUE),AND(AND(IFERROR(INT(LEFT(metadata!C914,4))&gt;1900,FALSE),IFERROR(INT(LEFT(metadata!C914,4))&lt;=YEAR(NOW()),FALSE)), OR(MID(metadata!C914,5,1)="", AND(AND(MID(metadata!C914,5,1)="-",IFERROR(INT(MID(metadata!C914,6,1))&gt;=0,FALSE),IFERROR(INT(MID(metadata!C914,6,1))&lt;=1,FALSE),NOT(MID(metadata!C914,7,1)=""),IFERROR(INT(MID(metadata!C914,6,2))&gt;=1,FALSE),IFERROR(INT(MID(metadata!C914,6,2))&lt;=12,FALSE)), OR(MID(metadata!C914,8,1)="", AND(AND(MID(metadata!C914,8,1)="-",IFERROR(INT(MID(metadata!C914,9,1))&gt;=0,FALSE),IFERROR(INT(MID(metadata!C914,9,1))&lt;=3,FALSE),NOT(MID(metadata!C914,10,1)=""),IFERROR(INT(MID(metadata!C914,9,2))&gt;=1,FALSE),IFERROR(INT(MID(metadata!C914,9,2))&lt;=31,FALSE)), OR(MID(metadata!C914,11,1)="", AND(AND(MID(metadata!C914,11,1)=" ",IFERROR(INT(MID(metadata!C914,12,1))&gt;=0,FALSE),IFERROR(INT(MID(metadata!C914,12,1))&lt;=2,FALSE),NOT(MID(metadata!C914,13,1)=""),IFERROR(INT(MID(metadata!C914,12,2))&gt;=0,FALSE),IFERROR(INT(MID(metadata!C914,12,2))&lt;=23,FALSE)), OR(MID(metadata!C914,14,1)="", AND(AND(MID(metadata!C914,14,1)=":",IFERROR(INT(MID(metadata!C914,15,1))&gt;=0,FALSE),IFERROR(INT(MID(metadata!C914,15,1))&lt;=5,FALSE),NOT(MID(metadata!C914,16,1)=""),IFERROR(INT(MID(metadata!C914,15,2))&gt;=0,FALSE),IFERROR(INT(MID(metadata!C914,15,2))&lt;=59,FALSE)), OR(MID(metadata!C914,17,1)="", AND(AND(MID(metadata!C914,17,1)=":",IFERROR(INT(MID(metadata!C914,18,1))&gt;=0,FALSE),IFERROR(INT(MID(metadata!C914,18,1))&lt;=5,FALSE),NOT(MID(metadata!C914,19,1)=""),IFERROR(INT(MID(metadata!C914,18,2))&gt;=0,FALSE),IFERROR(INT(MID(metadata!C914,18,2))&lt;=59,FALSE)), LEN(metadata!C914)&lt;=19)))))))))))))</f>
        <v>0</v>
      </c>
      <c r="AO914" t="b">
        <f>AND(IF(metadata!D914="",FALSE,TRUE),EXACT(metadata!D914,"Not applicable"))</f>
        <v>0</v>
      </c>
      <c r="AP914" t="b">
        <f>IF(metadata!E914="",FALSE,TRUE)</f>
        <v>0</v>
      </c>
      <c r="AQ914" t="b">
        <f>OR(AND(IF(metadata!F914="",FALSE,TRUE),OR(EXACT(metadata!F914,"missing: not collected"),EXACT(metadata!F914,"missing: not provided"))),AND(IF(metadata!F914="",FALSE,TRUE),OR(EXACT(metadata!F914,"TRUE"),EXACT(metadata!F914,"FALSE"))))</f>
        <v>0</v>
      </c>
      <c r="AR914" t="b">
        <f>OR(AND(IF(metadata!G914="",FALSE,TRUE),OR(EXACT(metadata!G914,"missing: not collected"),EXACT(metadata!G914,"missing: not provided"),EXACT(metadata!G914,"missing: restricted access"))),AND(IF(metadata!G914="",FALSE,ISNUMBER(VALUE(metadata!G914))),metadata!G914&gt;=-413))</f>
        <v>0</v>
      </c>
      <c r="AS914" t="b">
        <f>AND(IF(metadata!H914="",FALSE,TRUE),EXACT(metadata!H914,"meters"))</f>
        <v>0</v>
      </c>
      <c r="AT914" t="b">
        <f>AND(IF(metadata!I914="",FALSE,TRUE),OR(EXACT(metadata!I914,"Host-associated"),EXACT(metadata!I914,"Free-living")))</f>
        <v>0</v>
      </c>
      <c r="AU914" t="b">
        <f>AND(IF(metadata!J914="",FALSE,TRUE),OR(EXACT(metadata!J914,"Animal"),EXACT(metadata!J914,"Fungus"),EXACT(metadata!J914,"Plant"),EXACT(metadata!J914,"Saline"),EXACT(metadata!J914,"Non-saline")))</f>
        <v>0</v>
      </c>
      <c r="AV914" t="b">
        <f>AND(IF(metadata!K914="",FALSE,TRUE),OR(EXACT(metadata!K914,"Plant secretion"),EXACT(metadata!K914,"Plant rhizosphere"),EXACT(metadata!K914,"Plant surface"),EXACT(metadata!K914,"Plant corpus"),EXACT(metadata!K914,"Fungus surface"),EXACT(metadata!K914,"Fungus corpus"),EXACT(metadata!K914,"Animal surface"),EXACT(metadata!K914,"Animal proximal gut"),EXACT(metadata!K914,"Animal corpus"),EXACT(metadata!K914,"Animal distal gut"),EXACT(metadata!K914,"Animal secretion"),EXACT(metadata!K914,"Sub-surface (non-saline)"),EXACT(metadata!K914,"Surface (non-saline)"),EXACT(metadata!K914,"Water (non-saline)"),EXACT(metadata!K914,"Soil (non-saline)"),EXACT(metadata!K914,"Aerosol (non-saline)"),EXACT(metadata!K914,"Sediment (non-saline)"),EXACT(metadata!K914,"Surface (saline)"),EXACT(metadata!K914,"Water (saline)"),EXACT(metadata!K914,"Hypersaline (saline)"),EXACT(metadata!K914,"Aerosol (saline)"),EXACT(metadata!K914,"Sediment (saline)")))</f>
        <v>0</v>
      </c>
      <c r="AW914" t="b">
        <f>IF(metadata!L914="",FALSE,TRUE)</f>
        <v>0</v>
      </c>
      <c r="AX914" t="b">
        <f>IF(metadata!M914="",FALSE,TRUE)</f>
        <v>0</v>
      </c>
      <c r="AY914" t="b">
        <f>IF(metadata!N914="",FALSE,TRUE)</f>
        <v>0</v>
      </c>
      <c r="AZ914" t="b">
        <f>OR(AND(IF(metadata!O914="",FALSE,TRUE),OR(EXACT(metadata!O914,"missing: not collected"),EXACT(metadata!O914,"missing: not provided"),EXACT(metadata!O914,"missing: restricted access"))),AND(IF(metadata!O914="",FALSE,TRUE),OR(EXACT(metadata!O914,"air"),EXACT(metadata!O914,"built environment"),EXACT(metadata!O914,"host-associated"),EXACT(metadata!O914,"human-associated"),EXACT(metadata!O914,"human-skin"),EXACT(metadata!O914,"human-oral"),EXACT(metadata!O914,"human-gut"),EXACT(metadata!O914,"human-vaginal"),EXACT(metadata!O914,"microbial mat/biofilm"),EXACT(metadata!O914,"misc environment"),EXACT(metadata!O914,"plant-associated"),EXACT(metadata!O914,"sediment"),EXACT(metadata!O914,"soil"),EXACT(metadata!O914,"wastewater/sludge"),EXACT(metadata!O914,"water"))))</f>
        <v>0</v>
      </c>
      <c r="BA914" t="b">
        <f>IF(metadata!P914="",FALSE,TRUE)</f>
        <v>0</v>
      </c>
      <c r="BB914" t="b">
        <f>IF(metadata!Q914="",FALSE,TRUE)</f>
        <v>0</v>
      </c>
      <c r="BC914" t="b">
        <f>OR(AND(IF(metadata!R914="",FALSE,TRUE),OR(EXACT(metadata!R914,"missing: not collected"),EXACT(metadata!R914,"missing: not provided"),EXACT(metadata!R914,"missing: restricted access"))),AND(IF(metadata!R914="",FALSE,ISNUMBER(VALUE(metadata!R914))),metadata!R914&gt;=-90,metadata!R914&lt;=90))</f>
        <v>0</v>
      </c>
      <c r="BD914" t="b">
        <f>AND(IF(metadata!S914="",FALSE,TRUE),EXACT(metadata!S914,"Decimal degrees"))</f>
        <v>0</v>
      </c>
      <c r="BE914" t="b">
        <f>OR(AND(IF(metadata!T914="",FALSE,TRUE),OR(EXACT(metadata!T914,"missing: not collected"),EXACT(metadata!T914,"missing: not provided"),EXACT(metadata!T914,"missing: restricted access"))),AND(IF(metadata!T914="",FALSE,ISNUMBER(VALUE(metadata!T914))),metadata!T914&gt;=-180,metadata!T914&lt;=180))</f>
        <v>0</v>
      </c>
      <c r="BF914" t="b">
        <f>AND(IF(metadata!U914="",FALSE,TRUE),EXACT(metadata!U914,"Decimal degrees"))</f>
        <v>0</v>
      </c>
      <c r="BG914" t="b">
        <f>IF(metadata!V914="",FALSE,TRUE)</f>
        <v>0</v>
      </c>
      <c r="BH914" t="b">
        <f>OR(AND(IF(metadata!W914="",FALSE,TRUE),OR(EXACT(metadata!W914,"missing: not collected"),EXACT(metadata!W914,"missing: not provided"),EXACT(metadata!W914,"missing: restricted access"))),AND(IF(metadata!W914="",FALSE,TRUE),OR(EXACT(metadata!W914,"TRUE"),EXACT(metadata!W914,"FALSE"))))</f>
        <v>0</v>
      </c>
      <c r="BI914" t="b">
        <f>AND(IF(metadata!X914="",FALSE,TRUE),EXACT(metadata!X914,"other"))</f>
        <v>0</v>
      </c>
      <c r="BJ914" t="b">
        <f>IF(metadata!Y914="",FALSE,TRUE)</f>
        <v>0</v>
      </c>
      <c r="BK914" t="b">
        <f>OR(AND(IF(metadata!Z914="",FALSE,TRUE),OR(EXACT(metadata!Z914,"missing: not collected"),EXACT(metadata!Z914,"missing: not provided"))),AND(IF(metadata!Z914="",FALSE,IF(ISERROR(INT(metadata!Z914)),FALSE,INT(metadata!Z914)=metadata!Z914)),metadata!Z914&gt;0))</f>
        <v>0</v>
      </c>
      <c r="BL914" t="b">
        <f>AND(IF(metadata!AA914="",FALSE,TRUE),EXACT(metadata!AA914,"Not applicable"))</f>
        <v>0</v>
      </c>
      <c r="BM914" t="b">
        <f>IF(metadata!AB914="",FALSE,TRUE)</f>
        <v>0</v>
      </c>
    </row>
    <row r="915" spans="1:65" x14ac:dyDescent="0.2">
      <c r="A915" s="5" t="str">
        <f ca="1">IF(B915=" "," ",HYPERLINK(CONCATENATE("#metadata!",ADDRESS(INDEX($AH$2:$AH$1001,MATCH(ROWS($AF$2:AF915),$AF$2:$AF$1001,0),0),1)),INDEX($AK$2:$AK$1001,MATCH(ROWS($AF$2:AF915),$AF$2:$AF$1001,0),0)))</f>
        <v xml:space="preserve"> </v>
      </c>
      <c r="B915" s="4" t="str">
        <f ca="1">IF(OR(INDEX($AG$2:$AG$1001,MATCH(ROWS($AF$2:AF915),$AF$2:$AF$1001,0),1)&gt;=100000,INDEX($AM$1005:$BM$1005,1,MATCH(COLUMNS($AM$1006:AM1006),$AM$1006:$BM$1006,0))&gt;=100000), " ",IF(INDEX($AM$2:$BM$1001,MATCH(ROWS($AF$2:AF915),$AF$2:$AF$1001,0),MATCH(COLUMNS($AM$1006:AM1006),$AM$1006:$BM$1006,0)), HYPERLINK("#",""), HYPERLINK(CONCATENATE("#metadata!", ADDRESS(INDEX($AH$2:$AH$1001,MATCH(ROWS($AF$2:AF915),$AF$2:$AF$1001,0),0), INDEX($AM$1004:$BM$1004,1,MATCH(COLUMNS($AM$1006:AM1006),$AM$1006:$BM$1006,0)))),"Fix")))</f>
        <v xml:space="preserve"> </v>
      </c>
      <c r="C915" s="4" t="str">
        <f ca="1">IF(OR(INDEX($AG$2:$AG$1001,MATCH(ROWS($AF$2:AF915),$AF$2:$AF$1001,0),1)&gt;=100000,INDEX($AM$1005:$BM$1005,1,MATCH(COLUMNS($AM$1006:AN1006),$AM$1006:$BM$1006,0))&gt;=100000), " ",IF(INDEX($AM$2:$BM$1001,MATCH(ROWS($AF$2:AF915),$AF$2:$AF$1001,0),MATCH(COLUMNS($AM$1006:AN1006),$AM$1006:$BM$1006,0)), HYPERLINK("#",""), HYPERLINK(CONCATENATE("#metadata!", ADDRESS(INDEX($AH$2:$AH$1001,MATCH(ROWS($AF$2:AF915),$AF$2:$AF$1001,0),0), INDEX($AM$1004:$BM$1004,1,MATCH(COLUMNS($AM$1006:AN1006),$AM$1006:$BM$1006,0)))),"Fix")))</f>
        <v xml:space="preserve"> </v>
      </c>
      <c r="D915" s="4" t="str">
        <f ca="1">IF(OR(INDEX($AG$2:$AG$1001,MATCH(ROWS($AF$2:AF915),$AF$2:$AF$1001,0),1)&gt;=100000,INDEX($AM$1005:$BM$1005,1,MATCH(COLUMNS($AM$1006:AO1006),$AM$1006:$BM$1006,0))&gt;=100000), " ",IF(INDEX($AM$2:$BM$1001,MATCH(ROWS($AF$2:AF915),$AF$2:$AF$1001,0),MATCH(COLUMNS($AM$1006:AO1006),$AM$1006:$BM$1006,0)), HYPERLINK("#",""), HYPERLINK(CONCATENATE("#metadata!", ADDRESS(INDEX($AH$2:$AH$1001,MATCH(ROWS($AF$2:AF915),$AF$2:$AF$1001,0),0), INDEX($AM$1004:$BM$1004,1,MATCH(COLUMNS($AM$1006:AO1006),$AM$1006:$BM$1006,0)))),"Fix")))</f>
        <v xml:space="preserve"> </v>
      </c>
      <c r="E915" s="4" t="str">
        <f ca="1">IF(OR(INDEX($AG$2:$AG$1001,MATCH(ROWS($AF$2:AF915),$AF$2:$AF$1001,0),1)&gt;=100000,INDEX($AM$1005:$BM$1005,1,MATCH(COLUMNS($AM$1006:AP1006),$AM$1006:$BM$1006,0))&gt;=100000), " ",IF(INDEX($AM$2:$BM$1001,MATCH(ROWS($AF$2:AF915),$AF$2:$AF$1001,0),MATCH(COLUMNS($AM$1006:AP1006),$AM$1006:$BM$1006,0)), HYPERLINK("#",""), HYPERLINK(CONCATENATE("#metadata!", ADDRESS(INDEX($AH$2:$AH$1001,MATCH(ROWS($AF$2:AF915),$AF$2:$AF$1001,0),0), INDEX($AM$1004:$BM$1004,1,MATCH(COLUMNS($AM$1006:AP1006),$AM$1006:$BM$1006,0)))),"Fix")))</f>
        <v xml:space="preserve"> </v>
      </c>
      <c r="F915" s="4" t="str">
        <f ca="1">IF(OR(INDEX($AG$2:$AG$1001,MATCH(ROWS($AF$2:AF915),$AF$2:$AF$1001,0),1)&gt;=100000,INDEX($AM$1005:$BM$1005,1,MATCH(COLUMNS($AM$1006:AQ1006),$AM$1006:$BM$1006,0))&gt;=100000), " ",IF(INDEX($AM$2:$BM$1001,MATCH(ROWS($AF$2:AF915),$AF$2:$AF$1001,0),MATCH(COLUMNS($AM$1006:AQ1006),$AM$1006:$BM$1006,0)), HYPERLINK("#",""), HYPERLINK(CONCATENATE("#metadata!", ADDRESS(INDEX($AH$2:$AH$1001,MATCH(ROWS($AF$2:AF915),$AF$2:$AF$1001,0),0), INDEX($AM$1004:$BM$1004,1,MATCH(COLUMNS($AM$1006:AQ1006),$AM$1006:$BM$1006,0)))),"Fix")))</f>
        <v xml:space="preserve"> </v>
      </c>
      <c r="G915" s="4" t="str">
        <f ca="1">IF(OR(INDEX($AG$2:$AG$1001,MATCH(ROWS($AF$2:AF915),$AF$2:$AF$1001,0),1)&gt;=100000,INDEX($AM$1005:$BM$1005,1,MATCH(COLUMNS($AM$1006:AR1006),$AM$1006:$BM$1006,0))&gt;=100000), " ",IF(INDEX($AM$2:$BM$1001,MATCH(ROWS($AF$2:AF915),$AF$2:$AF$1001,0),MATCH(COLUMNS($AM$1006:AR1006),$AM$1006:$BM$1006,0)), HYPERLINK("#",""), HYPERLINK(CONCATENATE("#metadata!", ADDRESS(INDEX($AH$2:$AH$1001,MATCH(ROWS($AF$2:AF915),$AF$2:$AF$1001,0),0), INDEX($AM$1004:$BM$1004,1,MATCH(COLUMNS($AM$1006:AR1006),$AM$1006:$BM$1006,0)))),"Fix")))</f>
        <v xml:space="preserve"> </v>
      </c>
      <c r="H915" s="4" t="str">
        <f ca="1">IF(OR(INDEX($AG$2:$AG$1001,MATCH(ROWS($AF$2:AF915),$AF$2:$AF$1001,0),1)&gt;=100000,INDEX($AM$1005:$BM$1005,1,MATCH(COLUMNS($AM$1006:AS1006),$AM$1006:$BM$1006,0))&gt;=100000), " ",IF(INDEX($AM$2:$BM$1001,MATCH(ROWS($AF$2:AF915),$AF$2:$AF$1001,0),MATCH(COLUMNS($AM$1006:AS1006),$AM$1006:$BM$1006,0)), HYPERLINK("#",""), HYPERLINK(CONCATENATE("#metadata!", ADDRESS(INDEX($AH$2:$AH$1001,MATCH(ROWS($AF$2:AF915),$AF$2:$AF$1001,0),0), INDEX($AM$1004:$BM$1004,1,MATCH(COLUMNS($AM$1006:AS1006),$AM$1006:$BM$1006,0)))),"Fix")))</f>
        <v xml:space="preserve"> </v>
      </c>
      <c r="I915" s="4" t="str">
        <f ca="1">IF(OR(INDEX($AG$2:$AG$1001,MATCH(ROWS($AF$2:AF915),$AF$2:$AF$1001,0),1)&gt;=100000,INDEX($AM$1005:$BM$1005,1,MATCH(COLUMNS($AM$1006:AT1006),$AM$1006:$BM$1006,0))&gt;=100000), " ",IF(INDEX($AM$2:$BM$1001,MATCH(ROWS($AF$2:AF915),$AF$2:$AF$1001,0),MATCH(COLUMNS($AM$1006:AT1006),$AM$1006:$BM$1006,0)), HYPERLINK("#",""), HYPERLINK(CONCATENATE("#metadata!", ADDRESS(INDEX($AH$2:$AH$1001,MATCH(ROWS($AF$2:AF915),$AF$2:$AF$1001,0),0), INDEX($AM$1004:$BM$1004,1,MATCH(COLUMNS($AM$1006:AT1006),$AM$1006:$BM$1006,0)))),"Fix")))</f>
        <v xml:space="preserve"> </v>
      </c>
      <c r="J915" s="4" t="str">
        <f ca="1">IF(OR(INDEX($AG$2:$AG$1001,MATCH(ROWS($AF$2:AF915),$AF$2:$AF$1001,0),1)&gt;=100000,INDEX($AM$1005:$BM$1005,1,MATCH(COLUMNS($AM$1006:AU1006),$AM$1006:$BM$1006,0))&gt;=100000), " ",IF(INDEX($AM$2:$BM$1001,MATCH(ROWS($AF$2:AF915),$AF$2:$AF$1001,0),MATCH(COLUMNS($AM$1006:AU1006),$AM$1006:$BM$1006,0)), HYPERLINK("#",""), HYPERLINK(CONCATENATE("#metadata!", ADDRESS(INDEX($AH$2:$AH$1001,MATCH(ROWS($AF$2:AF915),$AF$2:$AF$1001,0),0), INDEX($AM$1004:$BM$1004,1,MATCH(COLUMNS($AM$1006:AU1006),$AM$1006:$BM$1006,0)))),"Fix")))</f>
        <v xml:space="preserve"> </v>
      </c>
      <c r="K915" s="4" t="str">
        <f ca="1">IF(OR(INDEX($AG$2:$AG$1001,MATCH(ROWS($AF$2:AF915),$AF$2:$AF$1001,0),1)&gt;=100000,INDEX($AM$1005:$BM$1005,1,MATCH(COLUMNS($AM$1006:AV1006),$AM$1006:$BM$1006,0))&gt;=100000), " ",IF(INDEX($AM$2:$BM$1001,MATCH(ROWS($AF$2:AF915),$AF$2:$AF$1001,0),MATCH(COLUMNS($AM$1006:AV1006),$AM$1006:$BM$1006,0)), HYPERLINK("#",""), HYPERLINK(CONCATENATE("#metadata!", ADDRESS(INDEX($AH$2:$AH$1001,MATCH(ROWS($AF$2:AF915),$AF$2:$AF$1001,0),0), INDEX($AM$1004:$BM$1004,1,MATCH(COLUMNS($AM$1006:AV1006),$AM$1006:$BM$1006,0)))),"Fix")))</f>
        <v xml:space="preserve"> </v>
      </c>
      <c r="L915" s="4" t="str">
        <f ca="1">IF(OR(INDEX($AG$2:$AG$1001,MATCH(ROWS($AF$2:AF915),$AF$2:$AF$1001,0),1)&gt;=100000,INDEX($AM$1005:$BM$1005,1,MATCH(COLUMNS($AM$1006:AW1006),$AM$1006:$BM$1006,0))&gt;=100000), " ",IF(INDEX($AM$2:$BM$1001,MATCH(ROWS($AF$2:AF915),$AF$2:$AF$1001,0),MATCH(COLUMNS($AM$1006:AW1006),$AM$1006:$BM$1006,0)), HYPERLINK("#",""), HYPERLINK(CONCATENATE("#metadata!", ADDRESS(INDEX($AH$2:$AH$1001,MATCH(ROWS($AF$2:AF915),$AF$2:$AF$1001,0),0), INDEX($AM$1004:$BM$1004,1,MATCH(COLUMNS($AM$1006:AW1006),$AM$1006:$BM$1006,0)))),"Fix")))</f>
        <v xml:space="preserve"> </v>
      </c>
      <c r="M915" s="4" t="str">
        <f ca="1">IF(OR(INDEX($AG$2:$AG$1001,MATCH(ROWS($AF$2:AF915),$AF$2:$AF$1001,0),1)&gt;=100000,INDEX($AM$1005:$BM$1005,1,MATCH(COLUMNS($AM$1006:AX1006),$AM$1006:$BM$1006,0))&gt;=100000), " ",IF(INDEX($AM$2:$BM$1001,MATCH(ROWS($AF$2:AF915),$AF$2:$AF$1001,0),MATCH(COLUMNS($AM$1006:AX1006),$AM$1006:$BM$1006,0)), HYPERLINK("#",""), HYPERLINK(CONCATENATE("#metadata!", ADDRESS(INDEX($AH$2:$AH$1001,MATCH(ROWS($AF$2:AF915),$AF$2:$AF$1001,0),0), INDEX($AM$1004:$BM$1004,1,MATCH(COLUMNS($AM$1006:AX1006),$AM$1006:$BM$1006,0)))),"Fix")))</f>
        <v xml:space="preserve"> </v>
      </c>
      <c r="N915" s="4" t="str">
        <f ca="1">IF(OR(INDEX($AG$2:$AG$1001,MATCH(ROWS($AF$2:AF915),$AF$2:$AF$1001,0),1)&gt;=100000,INDEX($AM$1005:$BM$1005,1,MATCH(COLUMNS($AM$1006:AY1006),$AM$1006:$BM$1006,0))&gt;=100000), " ",IF(INDEX($AM$2:$BM$1001,MATCH(ROWS($AF$2:AF915),$AF$2:$AF$1001,0),MATCH(COLUMNS($AM$1006:AY1006),$AM$1006:$BM$1006,0)), HYPERLINK("#",""), HYPERLINK(CONCATENATE("#metadata!", ADDRESS(INDEX($AH$2:$AH$1001,MATCH(ROWS($AF$2:AF915),$AF$2:$AF$1001,0),0), INDEX($AM$1004:$BM$1004,1,MATCH(COLUMNS($AM$1006:AY1006),$AM$1006:$BM$1006,0)))),"Fix")))</f>
        <v xml:space="preserve"> </v>
      </c>
      <c r="O915" s="4" t="str">
        <f ca="1">IF(OR(INDEX($AG$2:$AG$1001,MATCH(ROWS($AF$2:AF915),$AF$2:$AF$1001,0),1)&gt;=100000,INDEX($AM$1005:$BM$1005,1,MATCH(COLUMNS($AM$1006:AZ1006),$AM$1006:$BM$1006,0))&gt;=100000), " ",IF(INDEX($AM$2:$BM$1001,MATCH(ROWS($AF$2:AF915),$AF$2:$AF$1001,0),MATCH(COLUMNS($AM$1006:AZ1006),$AM$1006:$BM$1006,0)), HYPERLINK("#",""), HYPERLINK(CONCATENATE("#metadata!", ADDRESS(INDEX($AH$2:$AH$1001,MATCH(ROWS($AF$2:AF915),$AF$2:$AF$1001,0),0), INDEX($AM$1004:$BM$1004,1,MATCH(COLUMNS($AM$1006:AZ1006),$AM$1006:$BM$1006,0)))),"Fix")))</f>
        <v xml:space="preserve"> </v>
      </c>
      <c r="P915" s="4" t="str">
        <f ca="1">IF(OR(INDEX($AG$2:$AG$1001,MATCH(ROWS($AF$2:AF915),$AF$2:$AF$1001,0),1)&gt;=100000,INDEX($AM$1005:$BM$1005,1,MATCH(COLUMNS($AM$1006:BA1006),$AM$1006:$BM$1006,0))&gt;=100000), " ",IF(INDEX($AM$2:$BM$1001,MATCH(ROWS($AF$2:AF915),$AF$2:$AF$1001,0),MATCH(COLUMNS($AM$1006:BA1006),$AM$1006:$BM$1006,0)), HYPERLINK("#",""), HYPERLINK(CONCATENATE("#metadata!", ADDRESS(INDEX($AH$2:$AH$1001,MATCH(ROWS($AF$2:AF915),$AF$2:$AF$1001,0),0), INDEX($AM$1004:$BM$1004,1,MATCH(COLUMNS($AM$1006:BA1006),$AM$1006:$BM$1006,0)))),"Fix")))</f>
        <v xml:space="preserve"> </v>
      </c>
      <c r="Q915" s="4" t="str">
        <f ca="1">IF(OR(INDEX($AG$2:$AG$1001,MATCH(ROWS($AF$2:AF915),$AF$2:$AF$1001,0),1)&gt;=100000,INDEX($AM$1005:$BM$1005,1,MATCH(COLUMNS($AM$1006:BB1006),$AM$1006:$BM$1006,0))&gt;=100000), " ",IF(INDEX($AM$2:$BM$1001,MATCH(ROWS($AF$2:AF915),$AF$2:$AF$1001,0),MATCH(COLUMNS($AM$1006:BB1006),$AM$1006:$BM$1006,0)), HYPERLINK("#",""), HYPERLINK(CONCATENATE("#metadata!", ADDRESS(INDEX($AH$2:$AH$1001,MATCH(ROWS($AF$2:AF915),$AF$2:$AF$1001,0),0), INDEX($AM$1004:$BM$1004,1,MATCH(COLUMNS($AM$1006:BB1006),$AM$1006:$BM$1006,0)))),"Fix")))</f>
        <v xml:space="preserve"> </v>
      </c>
      <c r="R915" s="4" t="str">
        <f ca="1">IF(OR(INDEX($AG$2:$AG$1001,MATCH(ROWS($AF$2:AF915),$AF$2:$AF$1001,0),1)&gt;=100000,INDEX($AM$1005:$BM$1005,1,MATCH(COLUMNS($AM$1006:BC1006),$AM$1006:$BM$1006,0))&gt;=100000), " ",IF(INDEX($AM$2:$BM$1001,MATCH(ROWS($AF$2:AF915),$AF$2:$AF$1001,0),MATCH(COLUMNS($AM$1006:BC1006),$AM$1006:$BM$1006,0)), HYPERLINK("#",""), HYPERLINK(CONCATENATE("#metadata!", ADDRESS(INDEX($AH$2:$AH$1001,MATCH(ROWS($AF$2:AF915),$AF$2:$AF$1001,0),0), INDEX($AM$1004:$BM$1004,1,MATCH(COLUMNS($AM$1006:BC1006),$AM$1006:$BM$1006,0)))),"Fix")))</f>
        <v xml:space="preserve"> </v>
      </c>
      <c r="S915" s="4" t="str">
        <f ca="1">IF(OR(INDEX($AG$2:$AG$1001,MATCH(ROWS($AF$2:AF915),$AF$2:$AF$1001,0),1)&gt;=100000,INDEX($AM$1005:$BM$1005,1,MATCH(COLUMNS($AM$1006:BD1006),$AM$1006:$BM$1006,0))&gt;=100000), " ",IF(INDEX($AM$2:$BM$1001,MATCH(ROWS($AF$2:AF915),$AF$2:$AF$1001,0),MATCH(COLUMNS($AM$1006:BD1006),$AM$1006:$BM$1006,0)), HYPERLINK("#",""), HYPERLINK(CONCATENATE("#metadata!", ADDRESS(INDEX($AH$2:$AH$1001,MATCH(ROWS($AF$2:AF915),$AF$2:$AF$1001,0),0), INDEX($AM$1004:$BM$1004,1,MATCH(COLUMNS($AM$1006:BD1006),$AM$1006:$BM$1006,0)))),"Fix")))</f>
        <v xml:space="preserve"> </v>
      </c>
      <c r="T915" s="4" t="str">
        <f ca="1">IF(OR(INDEX($AG$2:$AG$1001,MATCH(ROWS($AF$2:AF915),$AF$2:$AF$1001,0),1)&gt;=100000,INDEX($AM$1005:$BM$1005,1,MATCH(COLUMNS($AM$1006:BE1006),$AM$1006:$BM$1006,0))&gt;=100000), " ",IF(INDEX($AM$2:$BM$1001,MATCH(ROWS($AF$2:AF915),$AF$2:$AF$1001,0),MATCH(COLUMNS($AM$1006:BE1006),$AM$1006:$BM$1006,0)), HYPERLINK("#",""), HYPERLINK(CONCATENATE("#metadata!", ADDRESS(INDEX($AH$2:$AH$1001,MATCH(ROWS($AF$2:AF915),$AF$2:$AF$1001,0),0), INDEX($AM$1004:$BM$1004,1,MATCH(COLUMNS($AM$1006:BE1006),$AM$1006:$BM$1006,0)))),"Fix")))</f>
        <v xml:space="preserve"> </v>
      </c>
      <c r="U915" s="4" t="str">
        <f ca="1">IF(OR(INDEX($AG$2:$AG$1001,MATCH(ROWS($AF$2:AF915),$AF$2:$AF$1001,0),1)&gt;=100000,INDEX($AM$1005:$BM$1005,1,MATCH(COLUMNS($AM$1006:BF1006),$AM$1006:$BM$1006,0))&gt;=100000), " ",IF(INDEX($AM$2:$BM$1001,MATCH(ROWS($AF$2:AF915),$AF$2:$AF$1001,0),MATCH(COLUMNS($AM$1006:BF1006),$AM$1006:$BM$1006,0)), HYPERLINK("#",""), HYPERLINK(CONCATENATE("#metadata!", ADDRESS(INDEX($AH$2:$AH$1001,MATCH(ROWS($AF$2:AF915),$AF$2:$AF$1001,0),0), INDEX($AM$1004:$BM$1004,1,MATCH(COLUMNS($AM$1006:BF1006),$AM$1006:$BM$1006,0)))),"Fix")))</f>
        <v xml:space="preserve"> </v>
      </c>
      <c r="V915" s="4" t="str">
        <f ca="1">IF(OR(INDEX($AG$2:$AG$1001,MATCH(ROWS($AF$2:AF915),$AF$2:$AF$1001,0),1)&gt;=100000,INDEX($AM$1005:$BM$1005,1,MATCH(COLUMNS($AM$1006:BG1006),$AM$1006:$BM$1006,0))&gt;=100000), " ",IF(INDEX($AM$2:$BM$1001,MATCH(ROWS($AF$2:AF915),$AF$2:$AF$1001,0),MATCH(COLUMNS($AM$1006:BG1006),$AM$1006:$BM$1006,0)), HYPERLINK("#",""), HYPERLINK(CONCATENATE("#metadata!", ADDRESS(INDEX($AH$2:$AH$1001,MATCH(ROWS($AF$2:AF915),$AF$2:$AF$1001,0),0), INDEX($AM$1004:$BM$1004,1,MATCH(COLUMNS($AM$1006:BG1006),$AM$1006:$BM$1006,0)))),"Fix")))</f>
        <v xml:space="preserve"> </v>
      </c>
      <c r="W915" s="4" t="str">
        <f ca="1">IF(OR(INDEX($AG$2:$AG$1001,MATCH(ROWS($AF$2:AF915),$AF$2:$AF$1001,0),1)&gt;=100000,INDEX($AM$1005:$BM$1005,1,MATCH(COLUMNS($AM$1006:BH1006),$AM$1006:$BM$1006,0))&gt;=100000), " ",IF(INDEX($AM$2:$BM$1001,MATCH(ROWS($AF$2:AF915),$AF$2:$AF$1001,0),MATCH(COLUMNS($AM$1006:BH1006),$AM$1006:$BM$1006,0)), HYPERLINK("#",""), HYPERLINK(CONCATENATE("#metadata!", ADDRESS(INDEX($AH$2:$AH$1001,MATCH(ROWS($AF$2:AF915),$AF$2:$AF$1001,0),0), INDEX($AM$1004:$BM$1004,1,MATCH(COLUMNS($AM$1006:BH1006),$AM$1006:$BM$1006,0)))),"Fix")))</f>
        <v xml:space="preserve"> </v>
      </c>
      <c r="X915" s="4" t="str">
        <f ca="1">IF(OR(INDEX($AG$2:$AG$1001,MATCH(ROWS($AF$2:AF915),$AF$2:$AF$1001,0),1)&gt;=100000,INDEX($AM$1005:$BM$1005,1,MATCH(COLUMNS($AM$1006:BI1006),$AM$1006:$BM$1006,0))&gt;=100000), " ",IF(INDEX($AM$2:$BM$1001,MATCH(ROWS($AF$2:AF915),$AF$2:$AF$1001,0),MATCH(COLUMNS($AM$1006:BI1006),$AM$1006:$BM$1006,0)), HYPERLINK("#",""), HYPERLINK(CONCATENATE("#metadata!", ADDRESS(INDEX($AH$2:$AH$1001,MATCH(ROWS($AF$2:AF915),$AF$2:$AF$1001,0),0), INDEX($AM$1004:$BM$1004,1,MATCH(COLUMNS($AM$1006:BI1006),$AM$1006:$BM$1006,0)))),"Fix")))</f>
        <v xml:space="preserve"> </v>
      </c>
      <c r="Y915" s="4" t="str">
        <f ca="1">IF(OR(INDEX($AG$2:$AG$1001,MATCH(ROWS($AF$2:AF915),$AF$2:$AF$1001,0),1)&gt;=100000,INDEX($AM$1005:$BM$1005,1,MATCH(COLUMNS($AM$1006:BJ1006),$AM$1006:$BM$1006,0))&gt;=100000), " ",IF(INDEX($AM$2:$BM$1001,MATCH(ROWS($AF$2:AF915),$AF$2:$AF$1001,0),MATCH(COLUMNS($AM$1006:BJ1006),$AM$1006:$BM$1006,0)), HYPERLINK("#",""), HYPERLINK(CONCATENATE("#metadata!", ADDRESS(INDEX($AH$2:$AH$1001,MATCH(ROWS($AF$2:AF915),$AF$2:$AF$1001,0),0), INDEX($AM$1004:$BM$1004,1,MATCH(COLUMNS($AM$1006:BJ1006),$AM$1006:$BM$1006,0)))),"Fix")))</f>
        <v xml:space="preserve"> </v>
      </c>
      <c r="Z915" s="4" t="str">
        <f ca="1">IF(OR(INDEX($AG$2:$AG$1001,MATCH(ROWS($AF$2:AF915),$AF$2:$AF$1001,0),1)&gt;=100000,INDEX($AM$1005:$BM$1005,1,MATCH(COLUMNS($AM$1006:BK1006),$AM$1006:$BM$1006,0))&gt;=100000), " ",IF(INDEX($AM$2:$BM$1001,MATCH(ROWS($AF$2:AF915),$AF$2:$AF$1001,0),MATCH(COLUMNS($AM$1006:BK1006),$AM$1006:$BM$1006,0)), HYPERLINK("#",""), HYPERLINK(CONCATENATE("#metadata!", ADDRESS(INDEX($AH$2:$AH$1001,MATCH(ROWS($AF$2:AF915),$AF$2:$AF$1001,0),0), INDEX($AM$1004:$BM$1004,1,MATCH(COLUMNS($AM$1006:BK1006),$AM$1006:$BM$1006,0)))),"Fix")))</f>
        <v xml:space="preserve"> </v>
      </c>
      <c r="AA915" s="4" t="str">
        <f ca="1">IF(OR(INDEX($AG$2:$AG$1001,MATCH(ROWS($AF$2:AF915),$AF$2:$AF$1001,0),1)&gt;=100000,INDEX($AM$1005:$BM$1005,1,MATCH(COLUMNS($AM$1006:BL1006),$AM$1006:$BM$1006,0))&gt;=100000), " ",IF(INDEX($AM$2:$BM$1001,MATCH(ROWS($AF$2:AF915),$AF$2:$AF$1001,0),MATCH(COLUMNS($AM$1006:BL1006),$AM$1006:$BM$1006,0)), HYPERLINK("#",""), HYPERLINK(CONCATENATE("#metadata!", ADDRESS(INDEX($AH$2:$AH$1001,MATCH(ROWS($AF$2:AF915),$AF$2:$AF$1001,0),0), INDEX($AM$1004:$BM$1004,1,MATCH(COLUMNS($AM$1006:BL1006),$AM$1006:$BM$1006,0)))),"Fix")))</f>
        <v xml:space="preserve"> </v>
      </c>
      <c r="AB915" s="4" t="str">
        <f ca="1">IF(OR(INDEX($AG$2:$AG$1001,MATCH(ROWS($AF$2:AF915),$AF$2:$AF$1001,0),1)&gt;=100000,INDEX($AM$1005:$BM$1005,1,MATCH(COLUMNS($AM$1006:BM1006),$AM$1006:$BM$1006,0))&gt;=100000), " ",IF(INDEX($AM$2:$BM$1001,MATCH(ROWS($AF$2:AF915),$AF$2:$AF$1001,0),MATCH(COLUMNS($AM$1006:BM1006),$AM$1006:$BM$1006,0)), HYPERLINK("#",""), HYPERLINK(CONCATENATE("#metadata!", ADDRESS(INDEX($AH$2:$AH$1001,MATCH(ROWS($AF$2:AF915),$AF$2:$AF$1001,0),0), INDEX($AM$1004:$BM$1004,1,MATCH(COLUMNS($AM$1006:BM1006),$AM$1006:$BM$1006,0)))),"Fix")))</f>
        <v xml:space="preserve"> </v>
      </c>
      <c r="AF915">
        <v>914</v>
      </c>
      <c r="AG915">
        <v>100915</v>
      </c>
      <c r="AH915">
        <v>915</v>
      </c>
      <c r="AI915" t="b">
        <f t="shared" si="14"/>
        <v>1</v>
      </c>
      <c r="AJ915" t="b">
        <f>COUNTBLANK(metadata!B915:AB915)=COLUMNS(metadata!B915:AB915)</f>
        <v>1</v>
      </c>
      <c r="AK915" t="str">
        <v/>
      </c>
      <c r="AM915" t="b">
        <f ca="1">AND(IF(metadata!B915="",FALSE,TRUE),COUNTIF(metadata!B:B, metadata!B915) = 1,NOT(ISERROR(SUMPRODUCT(SEARCH(MID(metadata!B915,ROW(INDIRECT("1:"&amp;LEN(metadata!B915))), 1),"0123456789abcdefghijklmnopqrstuvwxyzABCDEFGHIJKLMNOPQRSTUVWXYZ.")))))</f>
        <v>0</v>
      </c>
      <c r="AN915" t="b">
        <f ca="1">OR(AND(IF(metadata!C915="",FALSE,TRUE),OR(EXACT(metadata!C915,"missing: not collected"),EXACT(metadata!C915,"missing: not provided"),EXACT(metadata!C915,"missing: restricted access"))),AND(IF(metadata!C915="",FALSE,TRUE),AND(AND(IFERROR(INT(LEFT(metadata!C915,4))&gt;1900,FALSE),IFERROR(INT(LEFT(metadata!C915,4))&lt;=YEAR(NOW()),FALSE)), OR(MID(metadata!C915,5,1)="", AND(AND(MID(metadata!C915,5,1)="-",IFERROR(INT(MID(metadata!C915,6,1))&gt;=0,FALSE),IFERROR(INT(MID(metadata!C915,6,1))&lt;=1,FALSE),NOT(MID(metadata!C915,7,1)=""),IFERROR(INT(MID(metadata!C915,6,2))&gt;=1,FALSE),IFERROR(INT(MID(metadata!C915,6,2))&lt;=12,FALSE)), OR(MID(metadata!C915,8,1)="", AND(AND(MID(metadata!C915,8,1)="-",IFERROR(INT(MID(metadata!C915,9,1))&gt;=0,FALSE),IFERROR(INT(MID(metadata!C915,9,1))&lt;=3,FALSE),NOT(MID(metadata!C915,10,1)=""),IFERROR(INT(MID(metadata!C915,9,2))&gt;=1,FALSE),IFERROR(INT(MID(metadata!C915,9,2))&lt;=31,FALSE)), OR(MID(metadata!C915,11,1)="", AND(AND(MID(metadata!C915,11,1)=" ",IFERROR(INT(MID(metadata!C915,12,1))&gt;=0,FALSE),IFERROR(INT(MID(metadata!C915,12,1))&lt;=2,FALSE),NOT(MID(metadata!C915,13,1)=""),IFERROR(INT(MID(metadata!C915,12,2))&gt;=0,FALSE),IFERROR(INT(MID(metadata!C915,12,2))&lt;=23,FALSE)), OR(MID(metadata!C915,14,1)="", AND(AND(MID(metadata!C915,14,1)=":",IFERROR(INT(MID(metadata!C915,15,1))&gt;=0,FALSE),IFERROR(INT(MID(metadata!C915,15,1))&lt;=5,FALSE),NOT(MID(metadata!C915,16,1)=""),IFERROR(INT(MID(metadata!C915,15,2))&gt;=0,FALSE),IFERROR(INT(MID(metadata!C915,15,2))&lt;=59,FALSE)), OR(MID(metadata!C915,17,1)="", AND(AND(MID(metadata!C915,17,1)=":",IFERROR(INT(MID(metadata!C915,18,1))&gt;=0,FALSE),IFERROR(INT(MID(metadata!C915,18,1))&lt;=5,FALSE),NOT(MID(metadata!C915,19,1)=""),IFERROR(INT(MID(metadata!C915,18,2))&gt;=0,FALSE),IFERROR(INT(MID(metadata!C915,18,2))&lt;=59,FALSE)), LEN(metadata!C915)&lt;=19)))))))))))))</f>
        <v>0</v>
      </c>
      <c r="AO915" t="b">
        <f>AND(IF(metadata!D915="",FALSE,TRUE),EXACT(metadata!D915,"Not applicable"))</f>
        <v>0</v>
      </c>
      <c r="AP915" t="b">
        <f>IF(metadata!E915="",FALSE,TRUE)</f>
        <v>0</v>
      </c>
      <c r="AQ915" t="b">
        <f>OR(AND(IF(metadata!F915="",FALSE,TRUE),OR(EXACT(metadata!F915,"missing: not collected"),EXACT(metadata!F915,"missing: not provided"))),AND(IF(metadata!F915="",FALSE,TRUE),OR(EXACT(metadata!F915,"TRUE"),EXACT(metadata!F915,"FALSE"))))</f>
        <v>0</v>
      </c>
      <c r="AR915" t="b">
        <f>OR(AND(IF(metadata!G915="",FALSE,TRUE),OR(EXACT(metadata!G915,"missing: not collected"),EXACT(metadata!G915,"missing: not provided"),EXACT(metadata!G915,"missing: restricted access"))),AND(IF(metadata!G915="",FALSE,ISNUMBER(VALUE(metadata!G915))),metadata!G915&gt;=-413))</f>
        <v>0</v>
      </c>
      <c r="AS915" t="b">
        <f>AND(IF(metadata!H915="",FALSE,TRUE),EXACT(metadata!H915,"meters"))</f>
        <v>0</v>
      </c>
      <c r="AT915" t="b">
        <f>AND(IF(metadata!I915="",FALSE,TRUE),OR(EXACT(metadata!I915,"Host-associated"),EXACT(metadata!I915,"Free-living")))</f>
        <v>0</v>
      </c>
      <c r="AU915" t="b">
        <f>AND(IF(metadata!J915="",FALSE,TRUE),OR(EXACT(metadata!J915,"Animal"),EXACT(metadata!J915,"Fungus"),EXACT(metadata!J915,"Plant"),EXACT(metadata!J915,"Saline"),EXACT(metadata!J915,"Non-saline")))</f>
        <v>0</v>
      </c>
      <c r="AV915" t="b">
        <f>AND(IF(metadata!K915="",FALSE,TRUE),OR(EXACT(metadata!K915,"Plant secretion"),EXACT(metadata!K915,"Plant rhizosphere"),EXACT(metadata!K915,"Plant surface"),EXACT(metadata!K915,"Plant corpus"),EXACT(metadata!K915,"Fungus surface"),EXACT(metadata!K915,"Fungus corpus"),EXACT(metadata!K915,"Animal surface"),EXACT(metadata!K915,"Animal proximal gut"),EXACT(metadata!K915,"Animal corpus"),EXACT(metadata!K915,"Animal distal gut"),EXACT(metadata!K915,"Animal secretion"),EXACT(metadata!K915,"Sub-surface (non-saline)"),EXACT(metadata!K915,"Surface (non-saline)"),EXACT(metadata!K915,"Water (non-saline)"),EXACT(metadata!K915,"Soil (non-saline)"),EXACT(metadata!K915,"Aerosol (non-saline)"),EXACT(metadata!K915,"Sediment (non-saline)"),EXACT(metadata!K915,"Surface (saline)"),EXACT(metadata!K915,"Water (saline)"),EXACT(metadata!K915,"Hypersaline (saline)"),EXACT(metadata!K915,"Aerosol (saline)"),EXACT(metadata!K915,"Sediment (saline)")))</f>
        <v>0</v>
      </c>
      <c r="AW915" t="b">
        <f>IF(metadata!L915="",FALSE,TRUE)</f>
        <v>0</v>
      </c>
      <c r="AX915" t="b">
        <f>IF(metadata!M915="",FALSE,TRUE)</f>
        <v>0</v>
      </c>
      <c r="AY915" t="b">
        <f>IF(metadata!N915="",FALSE,TRUE)</f>
        <v>0</v>
      </c>
      <c r="AZ915" t="b">
        <f>OR(AND(IF(metadata!O915="",FALSE,TRUE),OR(EXACT(metadata!O915,"missing: not collected"),EXACT(metadata!O915,"missing: not provided"),EXACT(metadata!O915,"missing: restricted access"))),AND(IF(metadata!O915="",FALSE,TRUE),OR(EXACT(metadata!O915,"air"),EXACT(metadata!O915,"built environment"),EXACT(metadata!O915,"host-associated"),EXACT(metadata!O915,"human-associated"),EXACT(metadata!O915,"human-skin"),EXACT(metadata!O915,"human-oral"),EXACT(metadata!O915,"human-gut"),EXACT(metadata!O915,"human-vaginal"),EXACT(metadata!O915,"microbial mat/biofilm"),EXACT(metadata!O915,"misc environment"),EXACT(metadata!O915,"plant-associated"),EXACT(metadata!O915,"sediment"),EXACT(metadata!O915,"soil"),EXACT(metadata!O915,"wastewater/sludge"),EXACT(metadata!O915,"water"))))</f>
        <v>0</v>
      </c>
      <c r="BA915" t="b">
        <f>IF(metadata!P915="",FALSE,TRUE)</f>
        <v>0</v>
      </c>
      <c r="BB915" t="b">
        <f>IF(metadata!Q915="",FALSE,TRUE)</f>
        <v>0</v>
      </c>
      <c r="BC915" t="b">
        <f>OR(AND(IF(metadata!R915="",FALSE,TRUE),OR(EXACT(metadata!R915,"missing: not collected"),EXACT(metadata!R915,"missing: not provided"),EXACT(metadata!R915,"missing: restricted access"))),AND(IF(metadata!R915="",FALSE,ISNUMBER(VALUE(metadata!R915))),metadata!R915&gt;=-90,metadata!R915&lt;=90))</f>
        <v>0</v>
      </c>
      <c r="BD915" t="b">
        <f>AND(IF(metadata!S915="",FALSE,TRUE),EXACT(metadata!S915,"Decimal degrees"))</f>
        <v>0</v>
      </c>
      <c r="BE915" t="b">
        <f>OR(AND(IF(metadata!T915="",FALSE,TRUE),OR(EXACT(metadata!T915,"missing: not collected"),EXACT(metadata!T915,"missing: not provided"),EXACT(metadata!T915,"missing: restricted access"))),AND(IF(metadata!T915="",FALSE,ISNUMBER(VALUE(metadata!T915))),metadata!T915&gt;=-180,metadata!T915&lt;=180))</f>
        <v>0</v>
      </c>
      <c r="BF915" t="b">
        <f>AND(IF(metadata!U915="",FALSE,TRUE),EXACT(metadata!U915,"Decimal degrees"))</f>
        <v>0</v>
      </c>
      <c r="BG915" t="b">
        <f>IF(metadata!V915="",FALSE,TRUE)</f>
        <v>0</v>
      </c>
      <c r="BH915" t="b">
        <f>OR(AND(IF(metadata!W915="",FALSE,TRUE),OR(EXACT(metadata!W915,"missing: not collected"),EXACT(metadata!W915,"missing: not provided"),EXACT(metadata!W915,"missing: restricted access"))),AND(IF(metadata!W915="",FALSE,TRUE),OR(EXACT(metadata!W915,"TRUE"),EXACT(metadata!W915,"FALSE"))))</f>
        <v>0</v>
      </c>
      <c r="BI915" t="b">
        <f>AND(IF(metadata!X915="",FALSE,TRUE),EXACT(metadata!X915,"other"))</f>
        <v>0</v>
      </c>
      <c r="BJ915" t="b">
        <f>IF(metadata!Y915="",FALSE,TRUE)</f>
        <v>0</v>
      </c>
      <c r="BK915" t="b">
        <f>OR(AND(IF(metadata!Z915="",FALSE,TRUE),OR(EXACT(metadata!Z915,"missing: not collected"),EXACT(metadata!Z915,"missing: not provided"))),AND(IF(metadata!Z915="",FALSE,IF(ISERROR(INT(metadata!Z915)),FALSE,INT(metadata!Z915)=metadata!Z915)),metadata!Z915&gt;0))</f>
        <v>0</v>
      </c>
      <c r="BL915" t="b">
        <f>AND(IF(metadata!AA915="",FALSE,TRUE),EXACT(metadata!AA915,"Not applicable"))</f>
        <v>0</v>
      </c>
      <c r="BM915" t="b">
        <f>IF(metadata!AB915="",FALSE,TRUE)</f>
        <v>0</v>
      </c>
    </row>
    <row r="916" spans="1:65" x14ac:dyDescent="0.2">
      <c r="A916" s="5" t="str">
        <f ca="1">IF(B916=" "," ",HYPERLINK(CONCATENATE("#metadata!",ADDRESS(INDEX($AH$2:$AH$1001,MATCH(ROWS($AF$2:AF916),$AF$2:$AF$1001,0),0),1)),INDEX($AK$2:$AK$1001,MATCH(ROWS($AF$2:AF916),$AF$2:$AF$1001,0),0)))</f>
        <v xml:space="preserve"> </v>
      </c>
      <c r="B916" s="4" t="str">
        <f ca="1">IF(OR(INDEX($AG$2:$AG$1001,MATCH(ROWS($AF$2:AF916),$AF$2:$AF$1001,0),1)&gt;=100000,INDEX($AM$1005:$BM$1005,1,MATCH(COLUMNS($AM$1006:AM1006),$AM$1006:$BM$1006,0))&gt;=100000), " ",IF(INDEX($AM$2:$BM$1001,MATCH(ROWS($AF$2:AF916),$AF$2:$AF$1001,0),MATCH(COLUMNS($AM$1006:AM1006),$AM$1006:$BM$1006,0)), HYPERLINK("#",""), HYPERLINK(CONCATENATE("#metadata!", ADDRESS(INDEX($AH$2:$AH$1001,MATCH(ROWS($AF$2:AF916),$AF$2:$AF$1001,0),0), INDEX($AM$1004:$BM$1004,1,MATCH(COLUMNS($AM$1006:AM1006),$AM$1006:$BM$1006,0)))),"Fix")))</f>
        <v xml:space="preserve"> </v>
      </c>
      <c r="C916" s="4" t="str">
        <f ca="1">IF(OR(INDEX($AG$2:$AG$1001,MATCH(ROWS($AF$2:AF916),$AF$2:$AF$1001,0),1)&gt;=100000,INDEX($AM$1005:$BM$1005,1,MATCH(COLUMNS($AM$1006:AN1006),$AM$1006:$BM$1006,0))&gt;=100000), " ",IF(INDEX($AM$2:$BM$1001,MATCH(ROWS($AF$2:AF916),$AF$2:$AF$1001,0),MATCH(COLUMNS($AM$1006:AN1006),$AM$1006:$BM$1006,0)), HYPERLINK("#",""), HYPERLINK(CONCATENATE("#metadata!", ADDRESS(INDEX($AH$2:$AH$1001,MATCH(ROWS($AF$2:AF916),$AF$2:$AF$1001,0),0), INDEX($AM$1004:$BM$1004,1,MATCH(COLUMNS($AM$1006:AN1006),$AM$1006:$BM$1006,0)))),"Fix")))</f>
        <v xml:space="preserve"> </v>
      </c>
      <c r="D916" s="4" t="str">
        <f ca="1">IF(OR(INDEX($AG$2:$AG$1001,MATCH(ROWS($AF$2:AF916),$AF$2:$AF$1001,0),1)&gt;=100000,INDEX($AM$1005:$BM$1005,1,MATCH(COLUMNS($AM$1006:AO1006),$AM$1006:$BM$1006,0))&gt;=100000), " ",IF(INDEX($AM$2:$BM$1001,MATCH(ROWS($AF$2:AF916),$AF$2:$AF$1001,0),MATCH(COLUMNS($AM$1006:AO1006),$AM$1006:$BM$1006,0)), HYPERLINK("#",""), HYPERLINK(CONCATENATE("#metadata!", ADDRESS(INDEX($AH$2:$AH$1001,MATCH(ROWS($AF$2:AF916),$AF$2:$AF$1001,0),0), INDEX($AM$1004:$BM$1004,1,MATCH(COLUMNS($AM$1006:AO1006),$AM$1006:$BM$1006,0)))),"Fix")))</f>
        <v xml:space="preserve"> </v>
      </c>
      <c r="E916" s="4" t="str">
        <f ca="1">IF(OR(INDEX($AG$2:$AG$1001,MATCH(ROWS($AF$2:AF916),$AF$2:$AF$1001,0),1)&gt;=100000,INDEX($AM$1005:$BM$1005,1,MATCH(COLUMNS($AM$1006:AP1006),$AM$1006:$BM$1006,0))&gt;=100000), " ",IF(INDEX($AM$2:$BM$1001,MATCH(ROWS($AF$2:AF916),$AF$2:$AF$1001,0),MATCH(COLUMNS($AM$1006:AP1006),$AM$1006:$BM$1006,0)), HYPERLINK("#",""), HYPERLINK(CONCATENATE("#metadata!", ADDRESS(INDEX($AH$2:$AH$1001,MATCH(ROWS($AF$2:AF916),$AF$2:$AF$1001,0),0), INDEX($AM$1004:$BM$1004,1,MATCH(COLUMNS($AM$1006:AP1006),$AM$1006:$BM$1006,0)))),"Fix")))</f>
        <v xml:space="preserve"> </v>
      </c>
      <c r="F916" s="4" t="str">
        <f ca="1">IF(OR(INDEX($AG$2:$AG$1001,MATCH(ROWS($AF$2:AF916),$AF$2:$AF$1001,0),1)&gt;=100000,INDEX($AM$1005:$BM$1005,1,MATCH(COLUMNS($AM$1006:AQ1006),$AM$1006:$BM$1006,0))&gt;=100000), " ",IF(INDEX($AM$2:$BM$1001,MATCH(ROWS($AF$2:AF916),$AF$2:$AF$1001,0),MATCH(COLUMNS($AM$1006:AQ1006),$AM$1006:$BM$1006,0)), HYPERLINK("#",""), HYPERLINK(CONCATENATE("#metadata!", ADDRESS(INDEX($AH$2:$AH$1001,MATCH(ROWS($AF$2:AF916),$AF$2:$AF$1001,0),0), INDEX($AM$1004:$BM$1004,1,MATCH(COLUMNS($AM$1006:AQ1006),$AM$1006:$BM$1006,0)))),"Fix")))</f>
        <v xml:space="preserve"> </v>
      </c>
      <c r="G916" s="4" t="str">
        <f ca="1">IF(OR(INDEX($AG$2:$AG$1001,MATCH(ROWS($AF$2:AF916),$AF$2:$AF$1001,0),1)&gt;=100000,INDEX($AM$1005:$BM$1005,1,MATCH(COLUMNS($AM$1006:AR1006),$AM$1006:$BM$1006,0))&gt;=100000), " ",IF(INDEX($AM$2:$BM$1001,MATCH(ROWS($AF$2:AF916),$AF$2:$AF$1001,0),MATCH(COLUMNS($AM$1006:AR1006),$AM$1006:$BM$1006,0)), HYPERLINK("#",""), HYPERLINK(CONCATENATE("#metadata!", ADDRESS(INDEX($AH$2:$AH$1001,MATCH(ROWS($AF$2:AF916),$AF$2:$AF$1001,0),0), INDEX($AM$1004:$BM$1004,1,MATCH(COLUMNS($AM$1006:AR1006),$AM$1006:$BM$1006,0)))),"Fix")))</f>
        <v xml:space="preserve"> </v>
      </c>
      <c r="H916" s="4" t="str">
        <f ca="1">IF(OR(INDEX($AG$2:$AG$1001,MATCH(ROWS($AF$2:AF916),$AF$2:$AF$1001,0),1)&gt;=100000,INDEX($AM$1005:$BM$1005,1,MATCH(COLUMNS($AM$1006:AS1006),$AM$1006:$BM$1006,0))&gt;=100000), " ",IF(INDEX($AM$2:$BM$1001,MATCH(ROWS($AF$2:AF916),$AF$2:$AF$1001,0),MATCH(COLUMNS($AM$1006:AS1006),$AM$1006:$BM$1006,0)), HYPERLINK("#",""), HYPERLINK(CONCATENATE("#metadata!", ADDRESS(INDEX($AH$2:$AH$1001,MATCH(ROWS($AF$2:AF916),$AF$2:$AF$1001,0),0), INDEX($AM$1004:$BM$1004,1,MATCH(COLUMNS($AM$1006:AS1006),$AM$1006:$BM$1006,0)))),"Fix")))</f>
        <v xml:space="preserve"> </v>
      </c>
      <c r="I916" s="4" t="str">
        <f ca="1">IF(OR(INDEX($AG$2:$AG$1001,MATCH(ROWS($AF$2:AF916),$AF$2:$AF$1001,0),1)&gt;=100000,INDEX($AM$1005:$BM$1005,1,MATCH(COLUMNS($AM$1006:AT1006),$AM$1006:$BM$1006,0))&gt;=100000), " ",IF(INDEX($AM$2:$BM$1001,MATCH(ROWS($AF$2:AF916),$AF$2:$AF$1001,0),MATCH(COLUMNS($AM$1006:AT1006),$AM$1006:$BM$1006,0)), HYPERLINK("#",""), HYPERLINK(CONCATENATE("#metadata!", ADDRESS(INDEX($AH$2:$AH$1001,MATCH(ROWS($AF$2:AF916),$AF$2:$AF$1001,0),0), INDEX($AM$1004:$BM$1004,1,MATCH(COLUMNS($AM$1006:AT1006),$AM$1006:$BM$1006,0)))),"Fix")))</f>
        <v xml:space="preserve"> </v>
      </c>
      <c r="J916" s="4" t="str">
        <f ca="1">IF(OR(INDEX($AG$2:$AG$1001,MATCH(ROWS($AF$2:AF916),$AF$2:$AF$1001,0),1)&gt;=100000,INDEX($AM$1005:$BM$1005,1,MATCH(COLUMNS($AM$1006:AU1006),$AM$1006:$BM$1006,0))&gt;=100000), " ",IF(INDEX($AM$2:$BM$1001,MATCH(ROWS($AF$2:AF916),$AF$2:$AF$1001,0),MATCH(COLUMNS($AM$1006:AU1006),$AM$1006:$BM$1006,0)), HYPERLINK("#",""), HYPERLINK(CONCATENATE("#metadata!", ADDRESS(INDEX($AH$2:$AH$1001,MATCH(ROWS($AF$2:AF916),$AF$2:$AF$1001,0),0), INDEX($AM$1004:$BM$1004,1,MATCH(COLUMNS($AM$1006:AU1006),$AM$1006:$BM$1006,0)))),"Fix")))</f>
        <v xml:space="preserve"> </v>
      </c>
      <c r="K916" s="4" t="str">
        <f ca="1">IF(OR(INDEX($AG$2:$AG$1001,MATCH(ROWS($AF$2:AF916),$AF$2:$AF$1001,0),1)&gt;=100000,INDEX($AM$1005:$BM$1005,1,MATCH(COLUMNS($AM$1006:AV1006),$AM$1006:$BM$1006,0))&gt;=100000), " ",IF(INDEX($AM$2:$BM$1001,MATCH(ROWS($AF$2:AF916),$AF$2:$AF$1001,0),MATCH(COLUMNS($AM$1006:AV1006),$AM$1006:$BM$1006,0)), HYPERLINK("#",""), HYPERLINK(CONCATENATE("#metadata!", ADDRESS(INDEX($AH$2:$AH$1001,MATCH(ROWS($AF$2:AF916),$AF$2:$AF$1001,0),0), INDEX($AM$1004:$BM$1004,1,MATCH(COLUMNS($AM$1006:AV1006),$AM$1006:$BM$1006,0)))),"Fix")))</f>
        <v xml:space="preserve"> </v>
      </c>
      <c r="L916" s="4" t="str">
        <f ca="1">IF(OR(INDEX($AG$2:$AG$1001,MATCH(ROWS($AF$2:AF916),$AF$2:$AF$1001,0),1)&gt;=100000,INDEX($AM$1005:$BM$1005,1,MATCH(COLUMNS($AM$1006:AW1006),$AM$1006:$BM$1006,0))&gt;=100000), " ",IF(INDEX($AM$2:$BM$1001,MATCH(ROWS($AF$2:AF916),$AF$2:$AF$1001,0),MATCH(COLUMNS($AM$1006:AW1006),$AM$1006:$BM$1006,0)), HYPERLINK("#",""), HYPERLINK(CONCATENATE("#metadata!", ADDRESS(INDEX($AH$2:$AH$1001,MATCH(ROWS($AF$2:AF916),$AF$2:$AF$1001,0),0), INDEX($AM$1004:$BM$1004,1,MATCH(COLUMNS($AM$1006:AW1006),$AM$1006:$BM$1006,0)))),"Fix")))</f>
        <v xml:space="preserve"> </v>
      </c>
      <c r="M916" s="4" t="str">
        <f ca="1">IF(OR(INDEX($AG$2:$AG$1001,MATCH(ROWS($AF$2:AF916),$AF$2:$AF$1001,0),1)&gt;=100000,INDEX($AM$1005:$BM$1005,1,MATCH(COLUMNS($AM$1006:AX1006),$AM$1006:$BM$1006,0))&gt;=100000), " ",IF(INDEX($AM$2:$BM$1001,MATCH(ROWS($AF$2:AF916),$AF$2:$AF$1001,0),MATCH(COLUMNS($AM$1006:AX1006),$AM$1006:$BM$1006,0)), HYPERLINK("#",""), HYPERLINK(CONCATENATE("#metadata!", ADDRESS(INDEX($AH$2:$AH$1001,MATCH(ROWS($AF$2:AF916),$AF$2:$AF$1001,0),0), INDEX($AM$1004:$BM$1004,1,MATCH(COLUMNS($AM$1006:AX1006),$AM$1006:$BM$1006,0)))),"Fix")))</f>
        <v xml:space="preserve"> </v>
      </c>
      <c r="N916" s="4" t="str">
        <f ca="1">IF(OR(INDEX($AG$2:$AG$1001,MATCH(ROWS($AF$2:AF916),$AF$2:$AF$1001,0),1)&gt;=100000,INDEX($AM$1005:$BM$1005,1,MATCH(COLUMNS($AM$1006:AY1006),$AM$1006:$BM$1006,0))&gt;=100000), " ",IF(INDEX($AM$2:$BM$1001,MATCH(ROWS($AF$2:AF916),$AF$2:$AF$1001,0),MATCH(COLUMNS($AM$1006:AY1006),$AM$1006:$BM$1006,0)), HYPERLINK("#",""), HYPERLINK(CONCATENATE("#metadata!", ADDRESS(INDEX($AH$2:$AH$1001,MATCH(ROWS($AF$2:AF916),$AF$2:$AF$1001,0),0), INDEX($AM$1004:$BM$1004,1,MATCH(COLUMNS($AM$1006:AY1006),$AM$1006:$BM$1006,0)))),"Fix")))</f>
        <v xml:space="preserve"> </v>
      </c>
      <c r="O916" s="4" t="str">
        <f ca="1">IF(OR(INDEX($AG$2:$AG$1001,MATCH(ROWS($AF$2:AF916),$AF$2:$AF$1001,0),1)&gt;=100000,INDEX($AM$1005:$BM$1005,1,MATCH(COLUMNS($AM$1006:AZ1006),$AM$1006:$BM$1006,0))&gt;=100000), " ",IF(INDEX($AM$2:$BM$1001,MATCH(ROWS($AF$2:AF916),$AF$2:$AF$1001,0),MATCH(COLUMNS($AM$1006:AZ1006),$AM$1006:$BM$1006,0)), HYPERLINK("#",""), HYPERLINK(CONCATENATE("#metadata!", ADDRESS(INDEX($AH$2:$AH$1001,MATCH(ROWS($AF$2:AF916),$AF$2:$AF$1001,0),0), INDEX($AM$1004:$BM$1004,1,MATCH(COLUMNS($AM$1006:AZ1006),$AM$1006:$BM$1006,0)))),"Fix")))</f>
        <v xml:space="preserve"> </v>
      </c>
      <c r="P916" s="4" t="str">
        <f ca="1">IF(OR(INDEX($AG$2:$AG$1001,MATCH(ROWS($AF$2:AF916),$AF$2:$AF$1001,0),1)&gt;=100000,INDEX($AM$1005:$BM$1005,1,MATCH(COLUMNS($AM$1006:BA1006),$AM$1006:$BM$1006,0))&gt;=100000), " ",IF(INDEX($AM$2:$BM$1001,MATCH(ROWS($AF$2:AF916),$AF$2:$AF$1001,0),MATCH(COLUMNS($AM$1006:BA1006),$AM$1006:$BM$1006,0)), HYPERLINK("#",""), HYPERLINK(CONCATENATE("#metadata!", ADDRESS(INDEX($AH$2:$AH$1001,MATCH(ROWS($AF$2:AF916),$AF$2:$AF$1001,0),0), INDEX($AM$1004:$BM$1004,1,MATCH(COLUMNS($AM$1006:BA1006),$AM$1006:$BM$1006,0)))),"Fix")))</f>
        <v xml:space="preserve"> </v>
      </c>
      <c r="Q916" s="4" t="str">
        <f ca="1">IF(OR(INDEX($AG$2:$AG$1001,MATCH(ROWS($AF$2:AF916),$AF$2:$AF$1001,0),1)&gt;=100000,INDEX($AM$1005:$BM$1005,1,MATCH(COLUMNS($AM$1006:BB1006),$AM$1006:$BM$1006,0))&gt;=100000), " ",IF(INDEX($AM$2:$BM$1001,MATCH(ROWS($AF$2:AF916),$AF$2:$AF$1001,0),MATCH(COLUMNS($AM$1006:BB1006),$AM$1006:$BM$1006,0)), HYPERLINK("#",""), HYPERLINK(CONCATENATE("#metadata!", ADDRESS(INDEX($AH$2:$AH$1001,MATCH(ROWS($AF$2:AF916),$AF$2:$AF$1001,0),0), INDEX($AM$1004:$BM$1004,1,MATCH(COLUMNS($AM$1006:BB1006),$AM$1006:$BM$1006,0)))),"Fix")))</f>
        <v xml:space="preserve"> </v>
      </c>
      <c r="R916" s="4" t="str">
        <f ca="1">IF(OR(INDEX($AG$2:$AG$1001,MATCH(ROWS($AF$2:AF916),$AF$2:$AF$1001,0),1)&gt;=100000,INDEX($AM$1005:$BM$1005,1,MATCH(COLUMNS($AM$1006:BC1006),$AM$1006:$BM$1006,0))&gt;=100000), " ",IF(INDEX($AM$2:$BM$1001,MATCH(ROWS($AF$2:AF916),$AF$2:$AF$1001,0),MATCH(COLUMNS($AM$1006:BC1006),$AM$1006:$BM$1006,0)), HYPERLINK("#",""), HYPERLINK(CONCATENATE("#metadata!", ADDRESS(INDEX($AH$2:$AH$1001,MATCH(ROWS($AF$2:AF916),$AF$2:$AF$1001,0),0), INDEX($AM$1004:$BM$1004,1,MATCH(COLUMNS($AM$1006:BC1006),$AM$1006:$BM$1006,0)))),"Fix")))</f>
        <v xml:space="preserve"> </v>
      </c>
      <c r="S916" s="4" t="str">
        <f ca="1">IF(OR(INDEX($AG$2:$AG$1001,MATCH(ROWS($AF$2:AF916),$AF$2:$AF$1001,0),1)&gt;=100000,INDEX($AM$1005:$BM$1005,1,MATCH(COLUMNS($AM$1006:BD1006),$AM$1006:$BM$1006,0))&gt;=100000), " ",IF(INDEX($AM$2:$BM$1001,MATCH(ROWS($AF$2:AF916),$AF$2:$AF$1001,0),MATCH(COLUMNS($AM$1006:BD1006),$AM$1006:$BM$1006,0)), HYPERLINK("#",""), HYPERLINK(CONCATENATE("#metadata!", ADDRESS(INDEX($AH$2:$AH$1001,MATCH(ROWS($AF$2:AF916),$AF$2:$AF$1001,0),0), INDEX($AM$1004:$BM$1004,1,MATCH(COLUMNS($AM$1006:BD1006),$AM$1006:$BM$1006,0)))),"Fix")))</f>
        <v xml:space="preserve"> </v>
      </c>
      <c r="T916" s="4" t="str">
        <f ca="1">IF(OR(INDEX($AG$2:$AG$1001,MATCH(ROWS($AF$2:AF916),$AF$2:$AF$1001,0),1)&gt;=100000,INDEX($AM$1005:$BM$1005,1,MATCH(COLUMNS($AM$1006:BE1006),$AM$1006:$BM$1006,0))&gt;=100000), " ",IF(INDEX($AM$2:$BM$1001,MATCH(ROWS($AF$2:AF916),$AF$2:$AF$1001,0),MATCH(COLUMNS($AM$1006:BE1006),$AM$1006:$BM$1006,0)), HYPERLINK("#",""), HYPERLINK(CONCATENATE("#metadata!", ADDRESS(INDEX($AH$2:$AH$1001,MATCH(ROWS($AF$2:AF916),$AF$2:$AF$1001,0),0), INDEX($AM$1004:$BM$1004,1,MATCH(COLUMNS($AM$1006:BE1006),$AM$1006:$BM$1006,0)))),"Fix")))</f>
        <v xml:space="preserve"> </v>
      </c>
      <c r="U916" s="4" t="str">
        <f ca="1">IF(OR(INDEX($AG$2:$AG$1001,MATCH(ROWS($AF$2:AF916),$AF$2:$AF$1001,0),1)&gt;=100000,INDEX($AM$1005:$BM$1005,1,MATCH(COLUMNS($AM$1006:BF1006),$AM$1006:$BM$1006,0))&gt;=100000), " ",IF(INDEX($AM$2:$BM$1001,MATCH(ROWS($AF$2:AF916),$AF$2:$AF$1001,0),MATCH(COLUMNS($AM$1006:BF1006),$AM$1006:$BM$1006,0)), HYPERLINK("#",""), HYPERLINK(CONCATENATE("#metadata!", ADDRESS(INDEX($AH$2:$AH$1001,MATCH(ROWS($AF$2:AF916),$AF$2:$AF$1001,0),0), INDEX($AM$1004:$BM$1004,1,MATCH(COLUMNS($AM$1006:BF1006),$AM$1006:$BM$1006,0)))),"Fix")))</f>
        <v xml:space="preserve"> </v>
      </c>
      <c r="V916" s="4" t="str">
        <f ca="1">IF(OR(INDEX($AG$2:$AG$1001,MATCH(ROWS($AF$2:AF916),$AF$2:$AF$1001,0),1)&gt;=100000,INDEX($AM$1005:$BM$1005,1,MATCH(COLUMNS($AM$1006:BG1006),$AM$1006:$BM$1006,0))&gt;=100000), " ",IF(INDEX($AM$2:$BM$1001,MATCH(ROWS($AF$2:AF916),$AF$2:$AF$1001,0),MATCH(COLUMNS($AM$1006:BG1006),$AM$1006:$BM$1006,0)), HYPERLINK("#",""), HYPERLINK(CONCATENATE("#metadata!", ADDRESS(INDEX($AH$2:$AH$1001,MATCH(ROWS($AF$2:AF916),$AF$2:$AF$1001,0),0), INDEX($AM$1004:$BM$1004,1,MATCH(COLUMNS($AM$1006:BG1006),$AM$1006:$BM$1006,0)))),"Fix")))</f>
        <v xml:space="preserve"> </v>
      </c>
      <c r="W916" s="4" t="str">
        <f ca="1">IF(OR(INDEX($AG$2:$AG$1001,MATCH(ROWS($AF$2:AF916),$AF$2:$AF$1001,0),1)&gt;=100000,INDEX($AM$1005:$BM$1005,1,MATCH(COLUMNS($AM$1006:BH1006),$AM$1006:$BM$1006,0))&gt;=100000), " ",IF(INDEX($AM$2:$BM$1001,MATCH(ROWS($AF$2:AF916),$AF$2:$AF$1001,0),MATCH(COLUMNS($AM$1006:BH1006),$AM$1006:$BM$1006,0)), HYPERLINK("#",""), HYPERLINK(CONCATENATE("#metadata!", ADDRESS(INDEX($AH$2:$AH$1001,MATCH(ROWS($AF$2:AF916),$AF$2:$AF$1001,0),0), INDEX($AM$1004:$BM$1004,1,MATCH(COLUMNS($AM$1006:BH1006),$AM$1006:$BM$1006,0)))),"Fix")))</f>
        <v xml:space="preserve"> </v>
      </c>
      <c r="X916" s="4" t="str">
        <f ca="1">IF(OR(INDEX($AG$2:$AG$1001,MATCH(ROWS($AF$2:AF916),$AF$2:$AF$1001,0),1)&gt;=100000,INDEX($AM$1005:$BM$1005,1,MATCH(COLUMNS($AM$1006:BI1006),$AM$1006:$BM$1006,0))&gt;=100000), " ",IF(INDEX($AM$2:$BM$1001,MATCH(ROWS($AF$2:AF916),$AF$2:$AF$1001,0),MATCH(COLUMNS($AM$1006:BI1006),$AM$1006:$BM$1006,0)), HYPERLINK("#",""), HYPERLINK(CONCATENATE("#metadata!", ADDRESS(INDEX($AH$2:$AH$1001,MATCH(ROWS($AF$2:AF916),$AF$2:$AF$1001,0),0), INDEX($AM$1004:$BM$1004,1,MATCH(COLUMNS($AM$1006:BI1006),$AM$1006:$BM$1006,0)))),"Fix")))</f>
        <v xml:space="preserve"> </v>
      </c>
      <c r="Y916" s="4" t="str">
        <f ca="1">IF(OR(INDEX($AG$2:$AG$1001,MATCH(ROWS($AF$2:AF916),$AF$2:$AF$1001,0),1)&gt;=100000,INDEX($AM$1005:$BM$1005,1,MATCH(COLUMNS($AM$1006:BJ1006),$AM$1006:$BM$1006,0))&gt;=100000), " ",IF(INDEX($AM$2:$BM$1001,MATCH(ROWS($AF$2:AF916),$AF$2:$AF$1001,0),MATCH(COLUMNS($AM$1006:BJ1006),$AM$1006:$BM$1006,0)), HYPERLINK("#",""), HYPERLINK(CONCATENATE("#metadata!", ADDRESS(INDEX($AH$2:$AH$1001,MATCH(ROWS($AF$2:AF916),$AF$2:$AF$1001,0),0), INDEX($AM$1004:$BM$1004,1,MATCH(COLUMNS($AM$1006:BJ1006),$AM$1006:$BM$1006,0)))),"Fix")))</f>
        <v xml:space="preserve"> </v>
      </c>
      <c r="Z916" s="4" t="str">
        <f ca="1">IF(OR(INDEX($AG$2:$AG$1001,MATCH(ROWS($AF$2:AF916),$AF$2:$AF$1001,0),1)&gt;=100000,INDEX($AM$1005:$BM$1005,1,MATCH(COLUMNS($AM$1006:BK1006),$AM$1006:$BM$1006,0))&gt;=100000), " ",IF(INDEX($AM$2:$BM$1001,MATCH(ROWS($AF$2:AF916),$AF$2:$AF$1001,0),MATCH(COLUMNS($AM$1006:BK1006),$AM$1006:$BM$1006,0)), HYPERLINK("#",""), HYPERLINK(CONCATENATE("#metadata!", ADDRESS(INDEX($AH$2:$AH$1001,MATCH(ROWS($AF$2:AF916),$AF$2:$AF$1001,0),0), INDEX($AM$1004:$BM$1004,1,MATCH(COLUMNS($AM$1006:BK1006),$AM$1006:$BM$1006,0)))),"Fix")))</f>
        <v xml:space="preserve"> </v>
      </c>
      <c r="AA916" s="4" t="str">
        <f ca="1">IF(OR(INDEX($AG$2:$AG$1001,MATCH(ROWS($AF$2:AF916),$AF$2:$AF$1001,0),1)&gt;=100000,INDEX($AM$1005:$BM$1005,1,MATCH(COLUMNS($AM$1006:BL1006),$AM$1006:$BM$1006,0))&gt;=100000), " ",IF(INDEX($AM$2:$BM$1001,MATCH(ROWS($AF$2:AF916),$AF$2:$AF$1001,0),MATCH(COLUMNS($AM$1006:BL1006),$AM$1006:$BM$1006,0)), HYPERLINK("#",""), HYPERLINK(CONCATENATE("#metadata!", ADDRESS(INDEX($AH$2:$AH$1001,MATCH(ROWS($AF$2:AF916),$AF$2:$AF$1001,0),0), INDEX($AM$1004:$BM$1004,1,MATCH(COLUMNS($AM$1006:BL1006),$AM$1006:$BM$1006,0)))),"Fix")))</f>
        <v xml:space="preserve"> </v>
      </c>
      <c r="AB916" s="4" t="str">
        <f ca="1">IF(OR(INDEX($AG$2:$AG$1001,MATCH(ROWS($AF$2:AF916),$AF$2:$AF$1001,0),1)&gt;=100000,INDEX($AM$1005:$BM$1005,1,MATCH(COLUMNS($AM$1006:BM1006),$AM$1006:$BM$1006,0))&gt;=100000), " ",IF(INDEX($AM$2:$BM$1001,MATCH(ROWS($AF$2:AF916),$AF$2:$AF$1001,0),MATCH(COLUMNS($AM$1006:BM1006),$AM$1006:$BM$1006,0)), HYPERLINK("#",""), HYPERLINK(CONCATENATE("#metadata!", ADDRESS(INDEX($AH$2:$AH$1001,MATCH(ROWS($AF$2:AF916),$AF$2:$AF$1001,0),0), INDEX($AM$1004:$BM$1004,1,MATCH(COLUMNS($AM$1006:BM1006),$AM$1006:$BM$1006,0)))),"Fix")))</f>
        <v xml:space="preserve"> </v>
      </c>
      <c r="AF916">
        <v>915</v>
      </c>
      <c r="AG916">
        <v>100916</v>
      </c>
      <c r="AH916">
        <v>916</v>
      </c>
      <c r="AI916" t="b">
        <f t="shared" si="14"/>
        <v>1</v>
      </c>
      <c r="AJ916" t="b">
        <f>COUNTBLANK(metadata!B916:AB916)=COLUMNS(metadata!B916:AB916)</f>
        <v>1</v>
      </c>
      <c r="AK916" t="str">
        <v/>
      </c>
      <c r="AM916" t="b">
        <f ca="1">AND(IF(metadata!B916="",FALSE,TRUE),COUNTIF(metadata!B:B, metadata!B916) = 1,NOT(ISERROR(SUMPRODUCT(SEARCH(MID(metadata!B916,ROW(INDIRECT("1:"&amp;LEN(metadata!B916))), 1),"0123456789abcdefghijklmnopqrstuvwxyzABCDEFGHIJKLMNOPQRSTUVWXYZ.")))))</f>
        <v>0</v>
      </c>
      <c r="AN916" t="b">
        <f ca="1">OR(AND(IF(metadata!C916="",FALSE,TRUE),OR(EXACT(metadata!C916,"missing: not collected"),EXACT(metadata!C916,"missing: not provided"),EXACT(metadata!C916,"missing: restricted access"))),AND(IF(metadata!C916="",FALSE,TRUE),AND(AND(IFERROR(INT(LEFT(metadata!C916,4))&gt;1900,FALSE),IFERROR(INT(LEFT(metadata!C916,4))&lt;=YEAR(NOW()),FALSE)), OR(MID(metadata!C916,5,1)="", AND(AND(MID(metadata!C916,5,1)="-",IFERROR(INT(MID(metadata!C916,6,1))&gt;=0,FALSE),IFERROR(INT(MID(metadata!C916,6,1))&lt;=1,FALSE),NOT(MID(metadata!C916,7,1)=""),IFERROR(INT(MID(metadata!C916,6,2))&gt;=1,FALSE),IFERROR(INT(MID(metadata!C916,6,2))&lt;=12,FALSE)), OR(MID(metadata!C916,8,1)="", AND(AND(MID(metadata!C916,8,1)="-",IFERROR(INT(MID(metadata!C916,9,1))&gt;=0,FALSE),IFERROR(INT(MID(metadata!C916,9,1))&lt;=3,FALSE),NOT(MID(metadata!C916,10,1)=""),IFERROR(INT(MID(metadata!C916,9,2))&gt;=1,FALSE),IFERROR(INT(MID(metadata!C916,9,2))&lt;=31,FALSE)), OR(MID(metadata!C916,11,1)="", AND(AND(MID(metadata!C916,11,1)=" ",IFERROR(INT(MID(metadata!C916,12,1))&gt;=0,FALSE),IFERROR(INT(MID(metadata!C916,12,1))&lt;=2,FALSE),NOT(MID(metadata!C916,13,1)=""),IFERROR(INT(MID(metadata!C916,12,2))&gt;=0,FALSE),IFERROR(INT(MID(metadata!C916,12,2))&lt;=23,FALSE)), OR(MID(metadata!C916,14,1)="", AND(AND(MID(metadata!C916,14,1)=":",IFERROR(INT(MID(metadata!C916,15,1))&gt;=0,FALSE),IFERROR(INT(MID(metadata!C916,15,1))&lt;=5,FALSE),NOT(MID(metadata!C916,16,1)=""),IFERROR(INT(MID(metadata!C916,15,2))&gt;=0,FALSE),IFERROR(INT(MID(metadata!C916,15,2))&lt;=59,FALSE)), OR(MID(metadata!C916,17,1)="", AND(AND(MID(metadata!C916,17,1)=":",IFERROR(INT(MID(metadata!C916,18,1))&gt;=0,FALSE),IFERROR(INT(MID(metadata!C916,18,1))&lt;=5,FALSE),NOT(MID(metadata!C916,19,1)=""),IFERROR(INT(MID(metadata!C916,18,2))&gt;=0,FALSE),IFERROR(INT(MID(metadata!C916,18,2))&lt;=59,FALSE)), LEN(metadata!C916)&lt;=19)))))))))))))</f>
        <v>0</v>
      </c>
      <c r="AO916" t="b">
        <f>AND(IF(metadata!D916="",FALSE,TRUE),EXACT(metadata!D916,"Not applicable"))</f>
        <v>0</v>
      </c>
      <c r="AP916" t="b">
        <f>IF(metadata!E916="",FALSE,TRUE)</f>
        <v>0</v>
      </c>
      <c r="AQ916" t="b">
        <f>OR(AND(IF(metadata!F916="",FALSE,TRUE),OR(EXACT(metadata!F916,"missing: not collected"),EXACT(metadata!F916,"missing: not provided"))),AND(IF(metadata!F916="",FALSE,TRUE),OR(EXACT(metadata!F916,"TRUE"),EXACT(metadata!F916,"FALSE"))))</f>
        <v>0</v>
      </c>
      <c r="AR916" t="b">
        <f>OR(AND(IF(metadata!G916="",FALSE,TRUE),OR(EXACT(metadata!G916,"missing: not collected"),EXACT(metadata!G916,"missing: not provided"),EXACT(metadata!G916,"missing: restricted access"))),AND(IF(metadata!G916="",FALSE,ISNUMBER(VALUE(metadata!G916))),metadata!G916&gt;=-413))</f>
        <v>0</v>
      </c>
      <c r="AS916" t="b">
        <f>AND(IF(metadata!H916="",FALSE,TRUE),EXACT(metadata!H916,"meters"))</f>
        <v>0</v>
      </c>
      <c r="AT916" t="b">
        <f>AND(IF(metadata!I916="",FALSE,TRUE),OR(EXACT(metadata!I916,"Host-associated"),EXACT(metadata!I916,"Free-living")))</f>
        <v>0</v>
      </c>
      <c r="AU916" t="b">
        <f>AND(IF(metadata!J916="",FALSE,TRUE),OR(EXACT(metadata!J916,"Animal"),EXACT(metadata!J916,"Fungus"),EXACT(metadata!J916,"Plant"),EXACT(metadata!J916,"Saline"),EXACT(metadata!J916,"Non-saline")))</f>
        <v>0</v>
      </c>
      <c r="AV916" t="b">
        <f>AND(IF(metadata!K916="",FALSE,TRUE),OR(EXACT(metadata!K916,"Plant secretion"),EXACT(metadata!K916,"Plant rhizosphere"),EXACT(metadata!K916,"Plant surface"),EXACT(metadata!K916,"Plant corpus"),EXACT(metadata!K916,"Fungus surface"),EXACT(metadata!K916,"Fungus corpus"),EXACT(metadata!K916,"Animal surface"),EXACT(metadata!K916,"Animal proximal gut"),EXACT(metadata!K916,"Animal corpus"),EXACT(metadata!K916,"Animal distal gut"),EXACT(metadata!K916,"Animal secretion"),EXACT(metadata!K916,"Sub-surface (non-saline)"),EXACT(metadata!K916,"Surface (non-saline)"),EXACT(metadata!K916,"Water (non-saline)"),EXACT(metadata!K916,"Soil (non-saline)"),EXACT(metadata!K916,"Aerosol (non-saline)"),EXACT(metadata!K916,"Sediment (non-saline)"),EXACT(metadata!K916,"Surface (saline)"),EXACT(metadata!K916,"Water (saline)"),EXACT(metadata!K916,"Hypersaline (saline)"),EXACT(metadata!K916,"Aerosol (saline)"),EXACT(metadata!K916,"Sediment (saline)")))</f>
        <v>0</v>
      </c>
      <c r="AW916" t="b">
        <f>IF(metadata!L916="",FALSE,TRUE)</f>
        <v>0</v>
      </c>
      <c r="AX916" t="b">
        <f>IF(metadata!M916="",FALSE,TRUE)</f>
        <v>0</v>
      </c>
      <c r="AY916" t="b">
        <f>IF(metadata!N916="",FALSE,TRUE)</f>
        <v>0</v>
      </c>
      <c r="AZ916" t="b">
        <f>OR(AND(IF(metadata!O916="",FALSE,TRUE),OR(EXACT(metadata!O916,"missing: not collected"),EXACT(metadata!O916,"missing: not provided"),EXACT(metadata!O916,"missing: restricted access"))),AND(IF(metadata!O916="",FALSE,TRUE),OR(EXACT(metadata!O916,"air"),EXACT(metadata!O916,"built environment"),EXACT(metadata!O916,"host-associated"),EXACT(metadata!O916,"human-associated"),EXACT(metadata!O916,"human-skin"),EXACT(metadata!O916,"human-oral"),EXACT(metadata!O916,"human-gut"),EXACT(metadata!O916,"human-vaginal"),EXACT(metadata!O916,"microbial mat/biofilm"),EXACT(metadata!O916,"misc environment"),EXACT(metadata!O916,"plant-associated"),EXACT(metadata!O916,"sediment"),EXACT(metadata!O916,"soil"),EXACT(metadata!O916,"wastewater/sludge"),EXACT(metadata!O916,"water"))))</f>
        <v>0</v>
      </c>
      <c r="BA916" t="b">
        <f>IF(metadata!P916="",FALSE,TRUE)</f>
        <v>0</v>
      </c>
      <c r="BB916" t="b">
        <f>IF(metadata!Q916="",FALSE,TRUE)</f>
        <v>0</v>
      </c>
      <c r="BC916" t="b">
        <f>OR(AND(IF(metadata!R916="",FALSE,TRUE),OR(EXACT(metadata!R916,"missing: not collected"),EXACT(metadata!R916,"missing: not provided"),EXACT(metadata!R916,"missing: restricted access"))),AND(IF(metadata!R916="",FALSE,ISNUMBER(VALUE(metadata!R916))),metadata!R916&gt;=-90,metadata!R916&lt;=90))</f>
        <v>0</v>
      </c>
      <c r="BD916" t="b">
        <f>AND(IF(metadata!S916="",FALSE,TRUE),EXACT(metadata!S916,"Decimal degrees"))</f>
        <v>0</v>
      </c>
      <c r="BE916" t="b">
        <f>OR(AND(IF(metadata!T916="",FALSE,TRUE),OR(EXACT(metadata!T916,"missing: not collected"),EXACT(metadata!T916,"missing: not provided"),EXACT(metadata!T916,"missing: restricted access"))),AND(IF(metadata!T916="",FALSE,ISNUMBER(VALUE(metadata!T916))),metadata!T916&gt;=-180,metadata!T916&lt;=180))</f>
        <v>0</v>
      </c>
      <c r="BF916" t="b">
        <f>AND(IF(metadata!U916="",FALSE,TRUE),EXACT(metadata!U916,"Decimal degrees"))</f>
        <v>0</v>
      </c>
      <c r="BG916" t="b">
        <f>IF(metadata!V916="",FALSE,TRUE)</f>
        <v>0</v>
      </c>
      <c r="BH916" t="b">
        <f>OR(AND(IF(metadata!W916="",FALSE,TRUE),OR(EXACT(metadata!W916,"missing: not collected"),EXACT(metadata!W916,"missing: not provided"),EXACT(metadata!W916,"missing: restricted access"))),AND(IF(metadata!W916="",FALSE,TRUE),OR(EXACT(metadata!W916,"TRUE"),EXACT(metadata!W916,"FALSE"))))</f>
        <v>0</v>
      </c>
      <c r="BI916" t="b">
        <f>AND(IF(metadata!X916="",FALSE,TRUE),EXACT(metadata!X916,"other"))</f>
        <v>0</v>
      </c>
      <c r="BJ916" t="b">
        <f>IF(metadata!Y916="",FALSE,TRUE)</f>
        <v>0</v>
      </c>
      <c r="BK916" t="b">
        <f>OR(AND(IF(metadata!Z916="",FALSE,TRUE),OR(EXACT(metadata!Z916,"missing: not collected"),EXACT(metadata!Z916,"missing: not provided"))),AND(IF(metadata!Z916="",FALSE,IF(ISERROR(INT(metadata!Z916)),FALSE,INT(metadata!Z916)=metadata!Z916)),metadata!Z916&gt;0))</f>
        <v>0</v>
      </c>
      <c r="BL916" t="b">
        <f>AND(IF(metadata!AA916="",FALSE,TRUE),EXACT(metadata!AA916,"Not applicable"))</f>
        <v>0</v>
      </c>
      <c r="BM916" t="b">
        <f>IF(metadata!AB916="",FALSE,TRUE)</f>
        <v>0</v>
      </c>
    </row>
    <row r="917" spans="1:65" x14ac:dyDescent="0.2">
      <c r="A917" s="5" t="str">
        <f ca="1">IF(B917=" "," ",HYPERLINK(CONCATENATE("#metadata!",ADDRESS(INDEX($AH$2:$AH$1001,MATCH(ROWS($AF$2:AF917),$AF$2:$AF$1001,0),0),1)),INDEX($AK$2:$AK$1001,MATCH(ROWS($AF$2:AF917),$AF$2:$AF$1001,0),0)))</f>
        <v xml:space="preserve"> </v>
      </c>
      <c r="B917" s="4" t="str">
        <f ca="1">IF(OR(INDEX($AG$2:$AG$1001,MATCH(ROWS($AF$2:AF917),$AF$2:$AF$1001,0),1)&gt;=100000,INDEX($AM$1005:$BM$1005,1,MATCH(COLUMNS($AM$1006:AM1006),$AM$1006:$BM$1006,0))&gt;=100000), " ",IF(INDEX($AM$2:$BM$1001,MATCH(ROWS($AF$2:AF917),$AF$2:$AF$1001,0),MATCH(COLUMNS($AM$1006:AM1006),$AM$1006:$BM$1006,0)), HYPERLINK("#",""), HYPERLINK(CONCATENATE("#metadata!", ADDRESS(INDEX($AH$2:$AH$1001,MATCH(ROWS($AF$2:AF917),$AF$2:$AF$1001,0),0), INDEX($AM$1004:$BM$1004,1,MATCH(COLUMNS($AM$1006:AM1006),$AM$1006:$BM$1006,0)))),"Fix")))</f>
        <v xml:space="preserve"> </v>
      </c>
      <c r="C917" s="4" t="str">
        <f ca="1">IF(OR(INDEX($AG$2:$AG$1001,MATCH(ROWS($AF$2:AF917),$AF$2:$AF$1001,0),1)&gt;=100000,INDEX($AM$1005:$BM$1005,1,MATCH(COLUMNS($AM$1006:AN1006),$AM$1006:$BM$1006,0))&gt;=100000), " ",IF(INDEX($AM$2:$BM$1001,MATCH(ROWS($AF$2:AF917),$AF$2:$AF$1001,0),MATCH(COLUMNS($AM$1006:AN1006),$AM$1006:$BM$1006,0)), HYPERLINK("#",""), HYPERLINK(CONCATENATE("#metadata!", ADDRESS(INDEX($AH$2:$AH$1001,MATCH(ROWS($AF$2:AF917),$AF$2:$AF$1001,0),0), INDEX($AM$1004:$BM$1004,1,MATCH(COLUMNS($AM$1006:AN1006),$AM$1006:$BM$1006,0)))),"Fix")))</f>
        <v xml:space="preserve"> </v>
      </c>
      <c r="D917" s="4" t="str">
        <f ca="1">IF(OR(INDEX($AG$2:$AG$1001,MATCH(ROWS($AF$2:AF917),$AF$2:$AF$1001,0),1)&gt;=100000,INDEX($AM$1005:$BM$1005,1,MATCH(COLUMNS($AM$1006:AO1006),$AM$1006:$BM$1006,0))&gt;=100000), " ",IF(INDEX($AM$2:$BM$1001,MATCH(ROWS($AF$2:AF917),$AF$2:$AF$1001,0),MATCH(COLUMNS($AM$1006:AO1006),$AM$1006:$BM$1006,0)), HYPERLINK("#",""), HYPERLINK(CONCATENATE("#metadata!", ADDRESS(INDEX($AH$2:$AH$1001,MATCH(ROWS($AF$2:AF917),$AF$2:$AF$1001,0),0), INDEX($AM$1004:$BM$1004,1,MATCH(COLUMNS($AM$1006:AO1006),$AM$1006:$BM$1006,0)))),"Fix")))</f>
        <v xml:space="preserve"> </v>
      </c>
      <c r="E917" s="4" t="str">
        <f ca="1">IF(OR(INDEX($AG$2:$AG$1001,MATCH(ROWS($AF$2:AF917),$AF$2:$AF$1001,0),1)&gt;=100000,INDEX($AM$1005:$BM$1005,1,MATCH(COLUMNS($AM$1006:AP1006),$AM$1006:$BM$1006,0))&gt;=100000), " ",IF(INDEX($AM$2:$BM$1001,MATCH(ROWS($AF$2:AF917),$AF$2:$AF$1001,0),MATCH(COLUMNS($AM$1006:AP1006),$AM$1006:$BM$1006,0)), HYPERLINK("#",""), HYPERLINK(CONCATENATE("#metadata!", ADDRESS(INDEX($AH$2:$AH$1001,MATCH(ROWS($AF$2:AF917),$AF$2:$AF$1001,0),0), INDEX($AM$1004:$BM$1004,1,MATCH(COLUMNS($AM$1006:AP1006),$AM$1006:$BM$1006,0)))),"Fix")))</f>
        <v xml:space="preserve"> </v>
      </c>
      <c r="F917" s="4" t="str">
        <f ca="1">IF(OR(INDEX($AG$2:$AG$1001,MATCH(ROWS($AF$2:AF917),$AF$2:$AF$1001,0),1)&gt;=100000,INDEX($AM$1005:$BM$1005,1,MATCH(COLUMNS($AM$1006:AQ1006),$AM$1006:$BM$1006,0))&gt;=100000), " ",IF(INDEX($AM$2:$BM$1001,MATCH(ROWS($AF$2:AF917),$AF$2:$AF$1001,0),MATCH(COLUMNS($AM$1006:AQ1006),$AM$1006:$BM$1006,0)), HYPERLINK("#",""), HYPERLINK(CONCATENATE("#metadata!", ADDRESS(INDEX($AH$2:$AH$1001,MATCH(ROWS($AF$2:AF917),$AF$2:$AF$1001,0),0), INDEX($AM$1004:$BM$1004,1,MATCH(COLUMNS($AM$1006:AQ1006),$AM$1006:$BM$1006,0)))),"Fix")))</f>
        <v xml:space="preserve"> </v>
      </c>
      <c r="G917" s="4" t="str">
        <f ca="1">IF(OR(INDEX($AG$2:$AG$1001,MATCH(ROWS($AF$2:AF917),$AF$2:$AF$1001,0),1)&gt;=100000,INDEX($AM$1005:$BM$1005,1,MATCH(COLUMNS($AM$1006:AR1006),$AM$1006:$BM$1006,0))&gt;=100000), " ",IF(INDEX($AM$2:$BM$1001,MATCH(ROWS($AF$2:AF917),$AF$2:$AF$1001,0),MATCH(COLUMNS($AM$1006:AR1006),$AM$1006:$BM$1006,0)), HYPERLINK("#",""), HYPERLINK(CONCATENATE("#metadata!", ADDRESS(INDEX($AH$2:$AH$1001,MATCH(ROWS($AF$2:AF917),$AF$2:$AF$1001,0),0), INDEX($AM$1004:$BM$1004,1,MATCH(COLUMNS($AM$1006:AR1006),$AM$1006:$BM$1006,0)))),"Fix")))</f>
        <v xml:space="preserve"> </v>
      </c>
      <c r="H917" s="4" t="str">
        <f ca="1">IF(OR(INDEX($AG$2:$AG$1001,MATCH(ROWS($AF$2:AF917),$AF$2:$AF$1001,0),1)&gt;=100000,INDEX($AM$1005:$BM$1005,1,MATCH(COLUMNS($AM$1006:AS1006),$AM$1006:$BM$1006,0))&gt;=100000), " ",IF(INDEX($AM$2:$BM$1001,MATCH(ROWS($AF$2:AF917),$AF$2:$AF$1001,0),MATCH(COLUMNS($AM$1006:AS1006),$AM$1006:$BM$1006,0)), HYPERLINK("#",""), HYPERLINK(CONCATENATE("#metadata!", ADDRESS(INDEX($AH$2:$AH$1001,MATCH(ROWS($AF$2:AF917),$AF$2:$AF$1001,0),0), INDEX($AM$1004:$BM$1004,1,MATCH(COLUMNS($AM$1006:AS1006),$AM$1006:$BM$1006,0)))),"Fix")))</f>
        <v xml:space="preserve"> </v>
      </c>
      <c r="I917" s="4" t="str">
        <f ca="1">IF(OR(INDEX($AG$2:$AG$1001,MATCH(ROWS($AF$2:AF917),$AF$2:$AF$1001,0),1)&gt;=100000,INDEX($AM$1005:$BM$1005,1,MATCH(COLUMNS($AM$1006:AT1006),$AM$1006:$BM$1006,0))&gt;=100000), " ",IF(INDEX($AM$2:$BM$1001,MATCH(ROWS($AF$2:AF917),$AF$2:$AF$1001,0),MATCH(COLUMNS($AM$1006:AT1006),$AM$1006:$BM$1006,0)), HYPERLINK("#",""), HYPERLINK(CONCATENATE("#metadata!", ADDRESS(INDEX($AH$2:$AH$1001,MATCH(ROWS($AF$2:AF917),$AF$2:$AF$1001,0),0), INDEX($AM$1004:$BM$1004,1,MATCH(COLUMNS($AM$1006:AT1006),$AM$1006:$BM$1006,0)))),"Fix")))</f>
        <v xml:space="preserve"> </v>
      </c>
      <c r="J917" s="4" t="str">
        <f ca="1">IF(OR(INDEX($AG$2:$AG$1001,MATCH(ROWS($AF$2:AF917),$AF$2:$AF$1001,0),1)&gt;=100000,INDEX($AM$1005:$BM$1005,1,MATCH(COLUMNS($AM$1006:AU1006),$AM$1006:$BM$1006,0))&gt;=100000), " ",IF(INDEX($AM$2:$BM$1001,MATCH(ROWS($AF$2:AF917),$AF$2:$AF$1001,0),MATCH(COLUMNS($AM$1006:AU1006),$AM$1006:$BM$1006,0)), HYPERLINK("#",""), HYPERLINK(CONCATENATE("#metadata!", ADDRESS(INDEX($AH$2:$AH$1001,MATCH(ROWS($AF$2:AF917),$AF$2:$AF$1001,0),0), INDEX($AM$1004:$BM$1004,1,MATCH(COLUMNS($AM$1006:AU1006),$AM$1006:$BM$1006,0)))),"Fix")))</f>
        <v xml:space="preserve"> </v>
      </c>
      <c r="K917" s="4" t="str">
        <f ca="1">IF(OR(INDEX($AG$2:$AG$1001,MATCH(ROWS($AF$2:AF917),$AF$2:$AF$1001,0),1)&gt;=100000,INDEX($AM$1005:$BM$1005,1,MATCH(COLUMNS($AM$1006:AV1006),$AM$1006:$BM$1006,0))&gt;=100000), " ",IF(INDEX($AM$2:$BM$1001,MATCH(ROWS($AF$2:AF917),$AF$2:$AF$1001,0),MATCH(COLUMNS($AM$1006:AV1006),$AM$1006:$BM$1006,0)), HYPERLINK("#",""), HYPERLINK(CONCATENATE("#metadata!", ADDRESS(INDEX($AH$2:$AH$1001,MATCH(ROWS($AF$2:AF917),$AF$2:$AF$1001,0),0), INDEX($AM$1004:$BM$1004,1,MATCH(COLUMNS($AM$1006:AV1006),$AM$1006:$BM$1006,0)))),"Fix")))</f>
        <v xml:space="preserve"> </v>
      </c>
      <c r="L917" s="4" t="str">
        <f ca="1">IF(OR(INDEX($AG$2:$AG$1001,MATCH(ROWS($AF$2:AF917),$AF$2:$AF$1001,0),1)&gt;=100000,INDEX($AM$1005:$BM$1005,1,MATCH(COLUMNS($AM$1006:AW1006),$AM$1006:$BM$1006,0))&gt;=100000), " ",IF(INDEX($AM$2:$BM$1001,MATCH(ROWS($AF$2:AF917),$AF$2:$AF$1001,0),MATCH(COLUMNS($AM$1006:AW1006),$AM$1006:$BM$1006,0)), HYPERLINK("#",""), HYPERLINK(CONCATENATE("#metadata!", ADDRESS(INDEX($AH$2:$AH$1001,MATCH(ROWS($AF$2:AF917),$AF$2:$AF$1001,0),0), INDEX($AM$1004:$BM$1004,1,MATCH(COLUMNS($AM$1006:AW1006),$AM$1006:$BM$1006,0)))),"Fix")))</f>
        <v xml:space="preserve"> </v>
      </c>
      <c r="M917" s="4" t="str">
        <f ca="1">IF(OR(INDEX($AG$2:$AG$1001,MATCH(ROWS($AF$2:AF917),$AF$2:$AF$1001,0),1)&gt;=100000,INDEX($AM$1005:$BM$1005,1,MATCH(COLUMNS($AM$1006:AX1006),$AM$1006:$BM$1006,0))&gt;=100000), " ",IF(INDEX($AM$2:$BM$1001,MATCH(ROWS($AF$2:AF917),$AF$2:$AF$1001,0),MATCH(COLUMNS($AM$1006:AX1006),$AM$1006:$BM$1006,0)), HYPERLINK("#",""), HYPERLINK(CONCATENATE("#metadata!", ADDRESS(INDEX($AH$2:$AH$1001,MATCH(ROWS($AF$2:AF917),$AF$2:$AF$1001,0),0), INDEX($AM$1004:$BM$1004,1,MATCH(COLUMNS($AM$1006:AX1006),$AM$1006:$BM$1006,0)))),"Fix")))</f>
        <v xml:space="preserve"> </v>
      </c>
      <c r="N917" s="4" t="str">
        <f ca="1">IF(OR(INDEX($AG$2:$AG$1001,MATCH(ROWS($AF$2:AF917),$AF$2:$AF$1001,0),1)&gt;=100000,INDEX($AM$1005:$BM$1005,1,MATCH(COLUMNS($AM$1006:AY1006),$AM$1006:$BM$1006,0))&gt;=100000), " ",IF(INDEX($AM$2:$BM$1001,MATCH(ROWS($AF$2:AF917),$AF$2:$AF$1001,0),MATCH(COLUMNS($AM$1006:AY1006),$AM$1006:$BM$1006,0)), HYPERLINK("#",""), HYPERLINK(CONCATENATE("#metadata!", ADDRESS(INDEX($AH$2:$AH$1001,MATCH(ROWS($AF$2:AF917),$AF$2:$AF$1001,0),0), INDEX($AM$1004:$BM$1004,1,MATCH(COLUMNS($AM$1006:AY1006),$AM$1006:$BM$1006,0)))),"Fix")))</f>
        <v xml:space="preserve"> </v>
      </c>
      <c r="O917" s="4" t="str">
        <f ca="1">IF(OR(INDEX($AG$2:$AG$1001,MATCH(ROWS($AF$2:AF917),$AF$2:$AF$1001,0),1)&gt;=100000,INDEX($AM$1005:$BM$1005,1,MATCH(COLUMNS($AM$1006:AZ1006),$AM$1006:$BM$1006,0))&gt;=100000), " ",IF(INDEX($AM$2:$BM$1001,MATCH(ROWS($AF$2:AF917),$AF$2:$AF$1001,0),MATCH(COLUMNS($AM$1006:AZ1006),$AM$1006:$BM$1006,0)), HYPERLINK("#",""), HYPERLINK(CONCATENATE("#metadata!", ADDRESS(INDEX($AH$2:$AH$1001,MATCH(ROWS($AF$2:AF917),$AF$2:$AF$1001,0),0), INDEX($AM$1004:$BM$1004,1,MATCH(COLUMNS($AM$1006:AZ1006),$AM$1006:$BM$1006,0)))),"Fix")))</f>
        <v xml:space="preserve"> </v>
      </c>
      <c r="P917" s="4" t="str">
        <f ca="1">IF(OR(INDEX($AG$2:$AG$1001,MATCH(ROWS($AF$2:AF917),$AF$2:$AF$1001,0),1)&gt;=100000,INDEX($AM$1005:$BM$1005,1,MATCH(COLUMNS($AM$1006:BA1006),$AM$1006:$BM$1006,0))&gt;=100000), " ",IF(INDEX($AM$2:$BM$1001,MATCH(ROWS($AF$2:AF917),$AF$2:$AF$1001,0),MATCH(COLUMNS($AM$1006:BA1006),$AM$1006:$BM$1006,0)), HYPERLINK("#",""), HYPERLINK(CONCATENATE("#metadata!", ADDRESS(INDEX($AH$2:$AH$1001,MATCH(ROWS($AF$2:AF917),$AF$2:$AF$1001,0),0), INDEX($AM$1004:$BM$1004,1,MATCH(COLUMNS($AM$1006:BA1006),$AM$1006:$BM$1006,0)))),"Fix")))</f>
        <v xml:space="preserve"> </v>
      </c>
      <c r="Q917" s="4" t="str">
        <f ca="1">IF(OR(INDEX($AG$2:$AG$1001,MATCH(ROWS($AF$2:AF917),$AF$2:$AF$1001,0),1)&gt;=100000,INDEX($AM$1005:$BM$1005,1,MATCH(COLUMNS($AM$1006:BB1006),$AM$1006:$BM$1006,0))&gt;=100000), " ",IF(INDEX($AM$2:$BM$1001,MATCH(ROWS($AF$2:AF917),$AF$2:$AF$1001,0),MATCH(COLUMNS($AM$1006:BB1006),$AM$1006:$BM$1006,0)), HYPERLINK("#",""), HYPERLINK(CONCATENATE("#metadata!", ADDRESS(INDEX($AH$2:$AH$1001,MATCH(ROWS($AF$2:AF917),$AF$2:$AF$1001,0),0), INDEX($AM$1004:$BM$1004,1,MATCH(COLUMNS($AM$1006:BB1006),$AM$1006:$BM$1006,0)))),"Fix")))</f>
        <v xml:space="preserve"> </v>
      </c>
      <c r="R917" s="4" t="str">
        <f ca="1">IF(OR(INDEX($AG$2:$AG$1001,MATCH(ROWS($AF$2:AF917),$AF$2:$AF$1001,0),1)&gt;=100000,INDEX($AM$1005:$BM$1005,1,MATCH(COLUMNS($AM$1006:BC1006),$AM$1006:$BM$1006,0))&gt;=100000), " ",IF(INDEX($AM$2:$BM$1001,MATCH(ROWS($AF$2:AF917),$AF$2:$AF$1001,0),MATCH(COLUMNS($AM$1006:BC1006),$AM$1006:$BM$1006,0)), HYPERLINK("#",""), HYPERLINK(CONCATENATE("#metadata!", ADDRESS(INDEX($AH$2:$AH$1001,MATCH(ROWS($AF$2:AF917),$AF$2:$AF$1001,0),0), INDEX($AM$1004:$BM$1004,1,MATCH(COLUMNS($AM$1006:BC1006),$AM$1006:$BM$1006,0)))),"Fix")))</f>
        <v xml:space="preserve"> </v>
      </c>
      <c r="S917" s="4" t="str">
        <f ca="1">IF(OR(INDEX($AG$2:$AG$1001,MATCH(ROWS($AF$2:AF917),$AF$2:$AF$1001,0),1)&gt;=100000,INDEX($AM$1005:$BM$1005,1,MATCH(COLUMNS($AM$1006:BD1006),$AM$1006:$BM$1006,0))&gt;=100000), " ",IF(INDEX($AM$2:$BM$1001,MATCH(ROWS($AF$2:AF917),$AF$2:$AF$1001,0),MATCH(COLUMNS($AM$1006:BD1006),$AM$1006:$BM$1006,0)), HYPERLINK("#",""), HYPERLINK(CONCATENATE("#metadata!", ADDRESS(INDEX($AH$2:$AH$1001,MATCH(ROWS($AF$2:AF917),$AF$2:$AF$1001,0),0), INDEX($AM$1004:$BM$1004,1,MATCH(COLUMNS($AM$1006:BD1006),$AM$1006:$BM$1006,0)))),"Fix")))</f>
        <v xml:space="preserve"> </v>
      </c>
      <c r="T917" s="4" t="str">
        <f ca="1">IF(OR(INDEX($AG$2:$AG$1001,MATCH(ROWS($AF$2:AF917),$AF$2:$AF$1001,0),1)&gt;=100000,INDEX($AM$1005:$BM$1005,1,MATCH(COLUMNS($AM$1006:BE1006),$AM$1006:$BM$1006,0))&gt;=100000), " ",IF(INDEX($AM$2:$BM$1001,MATCH(ROWS($AF$2:AF917),$AF$2:$AF$1001,0),MATCH(COLUMNS($AM$1006:BE1006),$AM$1006:$BM$1006,0)), HYPERLINK("#",""), HYPERLINK(CONCATENATE("#metadata!", ADDRESS(INDEX($AH$2:$AH$1001,MATCH(ROWS($AF$2:AF917),$AF$2:$AF$1001,0),0), INDEX($AM$1004:$BM$1004,1,MATCH(COLUMNS($AM$1006:BE1006),$AM$1006:$BM$1006,0)))),"Fix")))</f>
        <v xml:space="preserve"> </v>
      </c>
      <c r="U917" s="4" t="str">
        <f ca="1">IF(OR(INDEX($AG$2:$AG$1001,MATCH(ROWS($AF$2:AF917),$AF$2:$AF$1001,0),1)&gt;=100000,INDEX($AM$1005:$BM$1005,1,MATCH(COLUMNS($AM$1006:BF1006),$AM$1006:$BM$1006,0))&gt;=100000), " ",IF(INDEX($AM$2:$BM$1001,MATCH(ROWS($AF$2:AF917),$AF$2:$AF$1001,0),MATCH(COLUMNS($AM$1006:BF1006),$AM$1006:$BM$1006,0)), HYPERLINK("#",""), HYPERLINK(CONCATENATE("#metadata!", ADDRESS(INDEX($AH$2:$AH$1001,MATCH(ROWS($AF$2:AF917),$AF$2:$AF$1001,0),0), INDEX($AM$1004:$BM$1004,1,MATCH(COLUMNS($AM$1006:BF1006),$AM$1006:$BM$1006,0)))),"Fix")))</f>
        <v xml:space="preserve"> </v>
      </c>
      <c r="V917" s="4" t="str">
        <f ca="1">IF(OR(INDEX($AG$2:$AG$1001,MATCH(ROWS($AF$2:AF917),$AF$2:$AF$1001,0),1)&gt;=100000,INDEX($AM$1005:$BM$1005,1,MATCH(COLUMNS($AM$1006:BG1006),$AM$1006:$BM$1006,0))&gt;=100000), " ",IF(INDEX($AM$2:$BM$1001,MATCH(ROWS($AF$2:AF917),$AF$2:$AF$1001,0),MATCH(COLUMNS($AM$1006:BG1006),$AM$1006:$BM$1006,0)), HYPERLINK("#",""), HYPERLINK(CONCATENATE("#metadata!", ADDRESS(INDEX($AH$2:$AH$1001,MATCH(ROWS($AF$2:AF917),$AF$2:$AF$1001,0),0), INDEX($AM$1004:$BM$1004,1,MATCH(COLUMNS($AM$1006:BG1006),$AM$1006:$BM$1006,0)))),"Fix")))</f>
        <v xml:space="preserve"> </v>
      </c>
      <c r="W917" s="4" t="str">
        <f ca="1">IF(OR(INDEX($AG$2:$AG$1001,MATCH(ROWS($AF$2:AF917),$AF$2:$AF$1001,0),1)&gt;=100000,INDEX($AM$1005:$BM$1005,1,MATCH(COLUMNS($AM$1006:BH1006),$AM$1006:$BM$1006,0))&gt;=100000), " ",IF(INDEX($AM$2:$BM$1001,MATCH(ROWS($AF$2:AF917),$AF$2:$AF$1001,0),MATCH(COLUMNS($AM$1006:BH1006),$AM$1006:$BM$1006,0)), HYPERLINK("#",""), HYPERLINK(CONCATENATE("#metadata!", ADDRESS(INDEX($AH$2:$AH$1001,MATCH(ROWS($AF$2:AF917),$AF$2:$AF$1001,0),0), INDEX($AM$1004:$BM$1004,1,MATCH(COLUMNS($AM$1006:BH1006),$AM$1006:$BM$1006,0)))),"Fix")))</f>
        <v xml:space="preserve"> </v>
      </c>
      <c r="X917" s="4" t="str">
        <f ca="1">IF(OR(INDEX($AG$2:$AG$1001,MATCH(ROWS($AF$2:AF917),$AF$2:$AF$1001,0),1)&gt;=100000,INDEX($AM$1005:$BM$1005,1,MATCH(COLUMNS($AM$1006:BI1006),$AM$1006:$BM$1006,0))&gt;=100000), " ",IF(INDEX($AM$2:$BM$1001,MATCH(ROWS($AF$2:AF917),$AF$2:$AF$1001,0),MATCH(COLUMNS($AM$1006:BI1006),$AM$1006:$BM$1006,0)), HYPERLINK("#",""), HYPERLINK(CONCATENATE("#metadata!", ADDRESS(INDEX($AH$2:$AH$1001,MATCH(ROWS($AF$2:AF917),$AF$2:$AF$1001,0),0), INDEX($AM$1004:$BM$1004,1,MATCH(COLUMNS($AM$1006:BI1006),$AM$1006:$BM$1006,0)))),"Fix")))</f>
        <v xml:space="preserve"> </v>
      </c>
      <c r="Y917" s="4" t="str">
        <f ca="1">IF(OR(INDEX($AG$2:$AG$1001,MATCH(ROWS($AF$2:AF917),$AF$2:$AF$1001,0),1)&gt;=100000,INDEX($AM$1005:$BM$1005,1,MATCH(COLUMNS($AM$1006:BJ1006),$AM$1006:$BM$1006,0))&gt;=100000), " ",IF(INDEX($AM$2:$BM$1001,MATCH(ROWS($AF$2:AF917),$AF$2:$AF$1001,0),MATCH(COLUMNS($AM$1006:BJ1006),$AM$1006:$BM$1006,0)), HYPERLINK("#",""), HYPERLINK(CONCATENATE("#metadata!", ADDRESS(INDEX($AH$2:$AH$1001,MATCH(ROWS($AF$2:AF917),$AF$2:$AF$1001,0),0), INDEX($AM$1004:$BM$1004,1,MATCH(COLUMNS($AM$1006:BJ1006),$AM$1006:$BM$1006,0)))),"Fix")))</f>
        <v xml:space="preserve"> </v>
      </c>
      <c r="Z917" s="4" t="str">
        <f ca="1">IF(OR(INDEX($AG$2:$AG$1001,MATCH(ROWS($AF$2:AF917),$AF$2:$AF$1001,0),1)&gt;=100000,INDEX($AM$1005:$BM$1005,1,MATCH(COLUMNS($AM$1006:BK1006),$AM$1006:$BM$1006,0))&gt;=100000), " ",IF(INDEX($AM$2:$BM$1001,MATCH(ROWS($AF$2:AF917),$AF$2:$AF$1001,0),MATCH(COLUMNS($AM$1006:BK1006),$AM$1006:$BM$1006,0)), HYPERLINK("#",""), HYPERLINK(CONCATENATE("#metadata!", ADDRESS(INDEX($AH$2:$AH$1001,MATCH(ROWS($AF$2:AF917),$AF$2:$AF$1001,0),0), INDEX($AM$1004:$BM$1004,1,MATCH(COLUMNS($AM$1006:BK1006),$AM$1006:$BM$1006,0)))),"Fix")))</f>
        <v xml:space="preserve"> </v>
      </c>
      <c r="AA917" s="4" t="str">
        <f ca="1">IF(OR(INDEX($AG$2:$AG$1001,MATCH(ROWS($AF$2:AF917),$AF$2:$AF$1001,0),1)&gt;=100000,INDEX($AM$1005:$BM$1005,1,MATCH(COLUMNS($AM$1006:BL1006),$AM$1006:$BM$1006,0))&gt;=100000), " ",IF(INDEX($AM$2:$BM$1001,MATCH(ROWS($AF$2:AF917),$AF$2:$AF$1001,0),MATCH(COLUMNS($AM$1006:BL1006),$AM$1006:$BM$1006,0)), HYPERLINK("#",""), HYPERLINK(CONCATENATE("#metadata!", ADDRESS(INDEX($AH$2:$AH$1001,MATCH(ROWS($AF$2:AF917),$AF$2:$AF$1001,0),0), INDEX($AM$1004:$BM$1004,1,MATCH(COLUMNS($AM$1006:BL1006),$AM$1006:$BM$1006,0)))),"Fix")))</f>
        <v xml:space="preserve"> </v>
      </c>
      <c r="AB917" s="4" t="str">
        <f ca="1">IF(OR(INDEX($AG$2:$AG$1001,MATCH(ROWS($AF$2:AF917),$AF$2:$AF$1001,0),1)&gt;=100000,INDEX($AM$1005:$BM$1005,1,MATCH(COLUMNS($AM$1006:BM1006),$AM$1006:$BM$1006,0))&gt;=100000), " ",IF(INDEX($AM$2:$BM$1001,MATCH(ROWS($AF$2:AF917),$AF$2:$AF$1001,0),MATCH(COLUMNS($AM$1006:BM1006),$AM$1006:$BM$1006,0)), HYPERLINK("#",""), HYPERLINK(CONCATENATE("#metadata!", ADDRESS(INDEX($AH$2:$AH$1001,MATCH(ROWS($AF$2:AF917),$AF$2:$AF$1001,0),0), INDEX($AM$1004:$BM$1004,1,MATCH(COLUMNS($AM$1006:BM1006),$AM$1006:$BM$1006,0)))),"Fix")))</f>
        <v xml:space="preserve"> </v>
      </c>
      <c r="AF917">
        <v>916</v>
      </c>
      <c r="AG917">
        <v>100917</v>
      </c>
      <c r="AH917">
        <v>917</v>
      </c>
      <c r="AI917" t="b">
        <f t="shared" si="14"/>
        <v>1</v>
      </c>
      <c r="AJ917" t="b">
        <f>COUNTBLANK(metadata!B917:AB917)=COLUMNS(metadata!B917:AB917)</f>
        <v>1</v>
      </c>
      <c r="AK917" t="str">
        <v/>
      </c>
      <c r="AM917" t="b">
        <f ca="1">AND(IF(metadata!B917="",FALSE,TRUE),COUNTIF(metadata!B:B, metadata!B917) = 1,NOT(ISERROR(SUMPRODUCT(SEARCH(MID(metadata!B917,ROW(INDIRECT("1:"&amp;LEN(metadata!B917))), 1),"0123456789abcdefghijklmnopqrstuvwxyzABCDEFGHIJKLMNOPQRSTUVWXYZ.")))))</f>
        <v>0</v>
      </c>
      <c r="AN917" t="b">
        <f ca="1">OR(AND(IF(metadata!C917="",FALSE,TRUE),OR(EXACT(metadata!C917,"missing: not collected"),EXACT(metadata!C917,"missing: not provided"),EXACT(metadata!C917,"missing: restricted access"))),AND(IF(metadata!C917="",FALSE,TRUE),AND(AND(IFERROR(INT(LEFT(metadata!C917,4))&gt;1900,FALSE),IFERROR(INT(LEFT(metadata!C917,4))&lt;=YEAR(NOW()),FALSE)), OR(MID(metadata!C917,5,1)="", AND(AND(MID(metadata!C917,5,1)="-",IFERROR(INT(MID(metadata!C917,6,1))&gt;=0,FALSE),IFERROR(INT(MID(metadata!C917,6,1))&lt;=1,FALSE),NOT(MID(metadata!C917,7,1)=""),IFERROR(INT(MID(metadata!C917,6,2))&gt;=1,FALSE),IFERROR(INT(MID(metadata!C917,6,2))&lt;=12,FALSE)), OR(MID(metadata!C917,8,1)="", AND(AND(MID(metadata!C917,8,1)="-",IFERROR(INT(MID(metadata!C917,9,1))&gt;=0,FALSE),IFERROR(INT(MID(metadata!C917,9,1))&lt;=3,FALSE),NOT(MID(metadata!C917,10,1)=""),IFERROR(INT(MID(metadata!C917,9,2))&gt;=1,FALSE),IFERROR(INT(MID(metadata!C917,9,2))&lt;=31,FALSE)), OR(MID(metadata!C917,11,1)="", AND(AND(MID(metadata!C917,11,1)=" ",IFERROR(INT(MID(metadata!C917,12,1))&gt;=0,FALSE),IFERROR(INT(MID(metadata!C917,12,1))&lt;=2,FALSE),NOT(MID(metadata!C917,13,1)=""),IFERROR(INT(MID(metadata!C917,12,2))&gt;=0,FALSE),IFERROR(INT(MID(metadata!C917,12,2))&lt;=23,FALSE)), OR(MID(metadata!C917,14,1)="", AND(AND(MID(metadata!C917,14,1)=":",IFERROR(INT(MID(metadata!C917,15,1))&gt;=0,FALSE),IFERROR(INT(MID(metadata!C917,15,1))&lt;=5,FALSE),NOT(MID(metadata!C917,16,1)=""),IFERROR(INT(MID(metadata!C917,15,2))&gt;=0,FALSE),IFERROR(INT(MID(metadata!C917,15,2))&lt;=59,FALSE)), OR(MID(metadata!C917,17,1)="", AND(AND(MID(metadata!C917,17,1)=":",IFERROR(INT(MID(metadata!C917,18,1))&gt;=0,FALSE),IFERROR(INT(MID(metadata!C917,18,1))&lt;=5,FALSE),NOT(MID(metadata!C917,19,1)=""),IFERROR(INT(MID(metadata!C917,18,2))&gt;=0,FALSE),IFERROR(INT(MID(metadata!C917,18,2))&lt;=59,FALSE)), LEN(metadata!C917)&lt;=19)))))))))))))</f>
        <v>0</v>
      </c>
      <c r="AO917" t="b">
        <f>AND(IF(metadata!D917="",FALSE,TRUE),EXACT(metadata!D917,"Not applicable"))</f>
        <v>0</v>
      </c>
      <c r="AP917" t="b">
        <f>IF(metadata!E917="",FALSE,TRUE)</f>
        <v>0</v>
      </c>
      <c r="AQ917" t="b">
        <f>OR(AND(IF(metadata!F917="",FALSE,TRUE),OR(EXACT(metadata!F917,"missing: not collected"),EXACT(metadata!F917,"missing: not provided"))),AND(IF(metadata!F917="",FALSE,TRUE),OR(EXACT(metadata!F917,"TRUE"),EXACT(metadata!F917,"FALSE"))))</f>
        <v>0</v>
      </c>
      <c r="AR917" t="b">
        <f>OR(AND(IF(metadata!G917="",FALSE,TRUE),OR(EXACT(metadata!G917,"missing: not collected"),EXACT(metadata!G917,"missing: not provided"),EXACT(metadata!G917,"missing: restricted access"))),AND(IF(metadata!G917="",FALSE,ISNUMBER(VALUE(metadata!G917))),metadata!G917&gt;=-413))</f>
        <v>0</v>
      </c>
      <c r="AS917" t="b">
        <f>AND(IF(metadata!H917="",FALSE,TRUE),EXACT(metadata!H917,"meters"))</f>
        <v>0</v>
      </c>
      <c r="AT917" t="b">
        <f>AND(IF(metadata!I917="",FALSE,TRUE),OR(EXACT(metadata!I917,"Host-associated"),EXACT(metadata!I917,"Free-living")))</f>
        <v>0</v>
      </c>
      <c r="AU917" t="b">
        <f>AND(IF(metadata!J917="",FALSE,TRUE),OR(EXACT(metadata!J917,"Animal"),EXACT(metadata!J917,"Fungus"),EXACT(metadata!J917,"Plant"),EXACT(metadata!J917,"Saline"),EXACT(metadata!J917,"Non-saline")))</f>
        <v>0</v>
      </c>
      <c r="AV917" t="b">
        <f>AND(IF(metadata!K917="",FALSE,TRUE),OR(EXACT(metadata!K917,"Plant secretion"),EXACT(metadata!K917,"Plant rhizosphere"),EXACT(metadata!K917,"Plant surface"),EXACT(metadata!K917,"Plant corpus"),EXACT(metadata!K917,"Fungus surface"),EXACT(metadata!K917,"Fungus corpus"),EXACT(metadata!K917,"Animal surface"),EXACT(metadata!K917,"Animal proximal gut"),EXACT(metadata!K917,"Animal corpus"),EXACT(metadata!K917,"Animal distal gut"),EXACT(metadata!K917,"Animal secretion"),EXACT(metadata!K917,"Sub-surface (non-saline)"),EXACT(metadata!K917,"Surface (non-saline)"),EXACT(metadata!K917,"Water (non-saline)"),EXACT(metadata!K917,"Soil (non-saline)"),EXACT(metadata!K917,"Aerosol (non-saline)"),EXACT(metadata!K917,"Sediment (non-saline)"),EXACT(metadata!K917,"Surface (saline)"),EXACT(metadata!K917,"Water (saline)"),EXACT(metadata!K917,"Hypersaline (saline)"),EXACT(metadata!K917,"Aerosol (saline)"),EXACT(metadata!K917,"Sediment (saline)")))</f>
        <v>0</v>
      </c>
      <c r="AW917" t="b">
        <f>IF(metadata!L917="",FALSE,TRUE)</f>
        <v>0</v>
      </c>
      <c r="AX917" t="b">
        <f>IF(metadata!M917="",FALSE,TRUE)</f>
        <v>0</v>
      </c>
      <c r="AY917" t="b">
        <f>IF(metadata!N917="",FALSE,TRUE)</f>
        <v>0</v>
      </c>
      <c r="AZ917" t="b">
        <f>OR(AND(IF(metadata!O917="",FALSE,TRUE),OR(EXACT(metadata!O917,"missing: not collected"),EXACT(metadata!O917,"missing: not provided"),EXACT(metadata!O917,"missing: restricted access"))),AND(IF(metadata!O917="",FALSE,TRUE),OR(EXACT(metadata!O917,"air"),EXACT(metadata!O917,"built environment"),EXACT(metadata!O917,"host-associated"),EXACT(metadata!O917,"human-associated"),EXACT(metadata!O917,"human-skin"),EXACT(metadata!O917,"human-oral"),EXACT(metadata!O917,"human-gut"),EXACT(metadata!O917,"human-vaginal"),EXACT(metadata!O917,"microbial mat/biofilm"),EXACT(metadata!O917,"misc environment"),EXACT(metadata!O917,"plant-associated"),EXACT(metadata!O917,"sediment"),EXACT(metadata!O917,"soil"),EXACT(metadata!O917,"wastewater/sludge"),EXACT(metadata!O917,"water"))))</f>
        <v>0</v>
      </c>
      <c r="BA917" t="b">
        <f>IF(metadata!P917="",FALSE,TRUE)</f>
        <v>0</v>
      </c>
      <c r="BB917" t="b">
        <f>IF(metadata!Q917="",FALSE,TRUE)</f>
        <v>0</v>
      </c>
      <c r="BC917" t="b">
        <f>OR(AND(IF(metadata!R917="",FALSE,TRUE),OR(EXACT(metadata!R917,"missing: not collected"),EXACT(metadata!R917,"missing: not provided"),EXACT(metadata!R917,"missing: restricted access"))),AND(IF(metadata!R917="",FALSE,ISNUMBER(VALUE(metadata!R917))),metadata!R917&gt;=-90,metadata!R917&lt;=90))</f>
        <v>0</v>
      </c>
      <c r="BD917" t="b">
        <f>AND(IF(metadata!S917="",FALSE,TRUE),EXACT(metadata!S917,"Decimal degrees"))</f>
        <v>0</v>
      </c>
      <c r="BE917" t="b">
        <f>OR(AND(IF(metadata!T917="",FALSE,TRUE),OR(EXACT(metadata!T917,"missing: not collected"),EXACT(metadata!T917,"missing: not provided"),EXACT(metadata!T917,"missing: restricted access"))),AND(IF(metadata!T917="",FALSE,ISNUMBER(VALUE(metadata!T917))),metadata!T917&gt;=-180,metadata!T917&lt;=180))</f>
        <v>0</v>
      </c>
      <c r="BF917" t="b">
        <f>AND(IF(metadata!U917="",FALSE,TRUE),EXACT(metadata!U917,"Decimal degrees"))</f>
        <v>0</v>
      </c>
      <c r="BG917" t="b">
        <f>IF(metadata!V917="",FALSE,TRUE)</f>
        <v>0</v>
      </c>
      <c r="BH917" t="b">
        <f>OR(AND(IF(metadata!W917="",FALSE,TRUE),OR(EXACT(metadata!W917,"missing: not collected"),EXACT(metadata!W917,"missing: not provided"),EXACT(metadata!W917,"missing: restricted access"))),AND(IF(metadata!W917="",FALSE,TRUE),OR(EXACT(metadata!W917,"TRUE"),EXACT(metadata!W917,"FALSE"))))</f>
        <v>0</v>
      </c>
      <c r="BI917" t="b">
        <f>AND(IF(metadata!X917="",FALSE,TRUE),EXACT(metadata!X917,"other"))</f>
        <v>0</v>
      </c>
      <c r="BJ917" t="b">
        <f>IF(metadata!Y917="",FALSE,TRUE)</f>
        <v>0</v>
      </c>
      <c r="BK917" t="b">
        <f>OR(AND(IF(metadata!Z917="",FALSE,TRUE),OR(EXACT(metadata!Z917,"missing: not collected"),EXACT(metadata!Z917,"missing: not provided"))),AND(IF(metadata!Z917="",FALSE,IF(ISERROR(INT(metadata!Z917)),FALSE,INT(metadata!Z917)=metadata!Z917)),metadata!Z917&gt;0))</f>
        <v>0</v>
      </c>
      <c r="BL917" t="b">
        <f>AND(IF(metadata!AA917="",FALSE,TRUE),EXACT(metadata!AA917,"Not applicable"))</f>
        <v>0</v>
      </c>
      <c r="BM917" t="b">
        <f>IF(metadata!AB917="",FALSE,TRUE)</f>
        <v>0</v>
      </c>
    </row>
    <row r="918" spans="1:65" x14ac:dyDescent="0.2">
      <c r="A918" s="5" t="str">
        <f ca="1">IF(B918=" "," ",HYPERLINK(CONCATENATE("#metadata!",ADDRESS(INDEX($AH$2:$AH$1001,MATCH(ROWS($AF$2:AF918),$AF$2:$AF$1001,0),0),1)),INDEX($AK$2:$AK$1001,MATCH(ROWS($AF$2:AF918),$AF$2:$AF$1001,0),0)))</f>
        <v xml:space="preserve"> </v>
      </c>
      <c r="B918" s="4" t="str">
        <f ca="1">IF(OR(INDEX($AG$2:$AG$1001,MATCH(ROWS($AF$2:AF918),$AF$2:$AF$1001,0),1)&gt;=100000,INDEX($AM$1005:$BM$1005,1,MATCH(COLUMNS($AM$1006:AM1006),$AM$1006:$BM$1006,0))&gt;=100000), " ",IF(INDEX($AM$2:$BM$1001,MATCH(ROWS($AF$2:AF918),$AF$2:$AF$1001,0),MATCH(COLUMNS($AM$1006:AM1006),$AM$1006:$BM$1006,0)), HYPERLINK("#",""), HYPERLINK(CONCATENATE("#metadata!", ADDRESS(INDEX($AH$2:$AH$1001,MATCH(ROWS($AF$2:AF918),$AF$2:$AF$1001,0),0), INDEX($AM$1004:$BM$1004,1,MATCH(COLUMNS($AM$1006:AM1006),$AM$1006:$BM$1006,0)))),"Fix")))</f>
        <v xml:space="preserve"> </v>
      </c>
      <c r="C918" s="4" t="str">
        <f ca="1">IF(OR(INDEX($AG$2:$AG$1001,MATCH(ROWS($AF$2:AF918),$AF$2:$AF$1001,0),1)&gt;=100000,INDEX($AM$1005:$BM$1005,1,MATCH(COLUMNS($AM$1006:AN1006),$AM$1006:$BM$1006,0))&gt;=100000), " ",IF(INDEX($AM$2:$BM$1001,MATCH(ROWS($AF$2:AF918),$AF$2:$AF$1001,0),MATCH(COLUMNS($AM$1006:AN1006),$AM$1006:$BM$1006,0)), HYPERLINK("#",""), HYPERLINK(CONCATENATE("#metadata!", ADDRESS(INDEX($AH$2:$AH$1001,MATCH(ROWS($AF$2:AF918),$AF$2:$AF$1001,0),0), INDEX($AM$1004:$BM$1004,1,MATCH(COLUMNS($AM$1006:AN1006),$AM$1006:$BM$1006,0)))),"Fix")))</f>
        <v xml:space="preserve"> </v>
      </c>
      <c r="D918" s="4" t="str">
        <f ca="1">IF(OR(INDEX($AG$2:$AG$1001,MATCH(ROWS($AF$2:AF918),$AF$2:$AF$1001,0),1)&gt;=100000,INDEX($AM$1005:$BM$1005,1,MATCH(COLUMNS($AM$1006:AO1006),$AM$1006:$BM$1006,0))&gt;=100000), " ",IF(INDEX($AM$2:$BM$1001,MATCH(ROWS($AF$2:AF918),$AF$2:$AF$1001,0),MATCH(COLUMNS($AM$1006:AO1006),$AM$1006:$BM$1006,0)), HYPERLINK("#",""), HYPERLINK(CONCATENATE("#metadata!", ADDRESS(INDEX($AH$2:$AH$1001,MATCH(ROWS($AF$2:AF918),$AF$2:$AF$1001,0),0), INDEX($AM$1004:$BM$1004,1,MATCH(COLUMNS($AM$1006:AO1006),$AM$1006:$BM$1006,0)))),"Fix")))</f>
        <v xml:space="preserve"> </v>
      </c>
      <c r="E918" s="4" t="str">
        <f ca="1">IF(OR(INDEX($AG$2:$AG$1001,MATCH(ROWS($AF$2:AF918),$AF$2:$AF$1001,0),1)&gt;=100000,INDEX($AM$1005:$BM$1005,1,MATCH(COLUMNS($AM$1006:AP1006),$AM$1006:$BM$1006,0))&gt;=100000), " ",IF(INDEX($AM$2:$BM$1001,MATCH(ROWS($AF$2:AF918),$AF$2:$AF$1001,0),MATCH(COLUMNS($AM$1006:AP1006),$AM$1006:$BM$1006,0)), HYPERLINK("#",""), HYPERLINK(CONCATENATE("#metadata!", ADDRESS(INDEX($AH$2:$AH$1001,MATCH(ROWS($AF$2:AF918),$AF$2:$AF$1001,0),0), INDEX($AM$1004:$BM$1004,1,MATCH(COLUMNS($AM$1006:AP1006),$AM$1006:$BM$1006,0)))),"Fix")))</f>
        <v xml:space="preserve"> </v>
      </c>
      <c r="F918" s="4" t="str">
        <f ca="1">IF(OR(INDEX($AG$2:$AG$1001,MATCH(ROWS($AF$2:AF918),$AF$2:$AF$1001,0),1)&gt;=100000,INDEX($AM$1005:$BM$1005,1,MATCH(COLUMNS($AM$1006:AQ1006),$AM$1006:$BM$1006,0))&gt;=100000), " ",IF(INDEX($AM$2:$BM$1001,MATCH(ROWS($AF$2:AF918),$AF$2:$AF$1001,0),MATCH(COLUMNS($AM$1006:AQ1006),$AM$1006:$BM$1006,0)), HYPERLINK("#",""), HYPERLINK(CONCATENATE("#metadata!", ADDRESS(INDEX($AH$2:$AH$1001,MATCH(ROWS($AF$2:AF918),$AF$2:$AF$1001,0),0), INDEX($AM$1004:$BM$1004,1,MATCH(COLUMNS($AM$1006:AQ1006),$AM$1006:$BM$1006,0)))),"Fix")))</f>
        <v xml:space="preserve"> </v>
      </c>
      <c r="G918" s="4" t="str">
        <f ca="1">IF(OR(INDEX($AG$2:$AG$1001,MATCH(ROWS($AF$2:AF918),$AF$2:$AF$1001,0),1)&gt;=100000,INDEX($AM$1005:$BM$1005,1,MATCH(COLUMNS($AM$1006:AR1006),$AM$1006:$BM$1006,0))&gt;=100000), " ",IF(INDEX($AM$2:$BM$1001,MATCH(ROWS($AF$2:AF918),$AF$2:$AF$1001,0),MATCH(COLUMNS($AM$1006:AR1006),$AM$1006:$BM$1006,0)), HYPERLINK("#",""), HYPERLINK(CONCATENATE("#metadata!", ADDRESS(INDEX($AH$2:$AH$1001,MATCH(ROWS($AF$2:AF918),$AF$2:$AF$1001,0),0), INDEX($AM$1004:$BM$1004,1,MATCH(COLUMNS($AM$1006:AR1006),$AM$1006:$BM$1006,0)))),"Fix")))</f>
        <v xml:space="preserve"> </v>
      </c>
      <c r="H918" s="4" t="str">
        <f ca="1">IF(OR(INDEX($AG$2:$AG$1001,MATCH(ROWS($AF$2:AF918),$AF$2:$AF$1001,0),1)&gt;=100000,INDEX($AM$1005:$BM$1005,1,MATCH(COLUMNS($AM$1006:AS1006),$AM$1006:$BM$1006,0))&gt;=100000), " ",IF(INDEX($AM$2:$BM$1001,MATCH(ROWS($AF$2:AF918),$AF$2:$AF$1001,0),MATCH(COLUMNS($AM$1006:AS1006),$AM$1006:$BM$1006,0)), HYPERLINK("#",""), HYPERLINK(CONCATENATE("#metadata!", ADDRESS(INDEX($AH$2:$AH$1001,MATCH(ROWS($AF$2:AF918),$AF$2:$AF$1001,0),0), INDEX($AM$1004:$BM$1004,1,MATCH(COLUMNS($AM$1006:AS1006),$AM$1006:$BM$1006,0)))),"Fix")))</f>
        <v xml:space="preserve"> </v>
      </c>
      <c r="I918" s="4" t="str">
        <f ca="1">IF(OR(INDEX($AG$2:$AG$1001,MATCH(ROWS($AF$2:AF918),$AF$2:$AF$1001,0),1)&gt;=100000,INDEX($AM$1005:$BM$1005,1,MATCH(COLUMNS($AM$1006:AT1006),$AM$1006:$BM$1006,0))&gt;=100000), " ",IF(INDEX($AM$2:$BM$1001,MATCH(ROWS($AF$2:AF918),$AF$2:$AF$1001,0),MATCH(COLUMNS($AM$1006:AT1006),$AM$1006:$BM$1006,0)), HYPERLINK("#",""), HYPERLINK(CONCATENATE("#metadata!", ADDRESS(INDEX($AH$2:$AH$1001,MATCH(ROWS($AF$2:AF918),$AF$2:$AF$1001,0),0), INDEX($AM$1004:$BM$1004,1,MATCH(COLUMNS($AM$1006:AT1006),$AM$1006:$BM$1006,0)))),"Fix")))</f>
        <v xml:space="preserve"> </v>
      </c>
      <c r="J918" s="4" t="str">
        <f ca="1">IF(OR(INDEX($AG$2:$AG$1001,MATCH(ROWS($AF$2:AF918),$AF$2:$AF$1001,0),1)&gt;=100000,INDEX($AM$1005:$BM$1005,1,MATCH(COLUMNS($AM$1006:AU1006),$AM$1006:$BM$1006,0))&gt;=100000), " ",IF(INDEX($AM$2:$BM$1001,MATCH(ROWS($AF$2:AF918),$AF$2:$AF$1001,0),MATCH(COLUMNS($AM$1006:AU1006),$AM$1006:$BM$1006,0)), HYPERLINK("#",""), HYPERLINK(CONCATENATE("#metadata!", ADDRESS(INDEX($AH$2:$AH$1001,MATCH(ROWS($AF$2:AF918),$AF$2:$AF$1001,0),0), INDEX($AM$1004:$BM$1004,1,MATCH(COLUMNS($AM$1006:AU1006),$AM$1006:$BM$1006,0)))),"Fix")))</f>
        <v xml:space="preserve"> </v>
      </c>
      <c r="K918" s="4" t="str">
        <f ca="1">IF(OR(INDEX($AG$2:$AG$1001,MATCH(ROWS($AF$2:AF918),$AF$2:$AF$1001,0),1)&gt;=100000,INDEX($AM$1005:$BM$1005,1,MATCH(COLUMNS($AM$1006:AV1006),$AM$1006:$BM$1006,0))&gt;=100000), " ",IF(INDEX($AM$2:$BM$1001,MATCH(ROWS($AF$2:AF918),$AF$2:$AF$1001,0),MATCH(COLUMNS($AM$1006:AV1006),$AM$1006:$BM$1006,0)), HYPERLINK("#",""), HYPERLINK(CONCATENATE("#metadata!", ADDRESS(INDEX($AH$2:$AH$1001,MATCH(ROWS($AF$2:AF918),$AF$2:$AF$1001,0),0), INDEX($AM$1004:$BM$1004,1,MATCH(COLUMNS($AM$1006:AV1006),$AM$1006:$BM$1006,0)))),"Fix")))</f>
        <v xml:space="preserve"> </v>
      </c>
      <c r="L918" s="4" t="str">
        <f ca="1">IF(OR(INDEX($AG$2:$AG$1001,MATCH(ROWS($AF$2:AF918),$AF$2:$AF$1001,0),1)&gt;=100000,INDEX($AM$1005:$BM$1005,1,MATCH(COLUMNS($AM$1006:AW1006),$AM$1006:$BM$1006,0))&gt;=100000), " ",IF(INDEX($AM$2:$BM$1001,MATCH(ROWS($AF$2:AF918),$AF$2:$AF$1001,0),MATCH(COLUMNS($AM$1006:AW1006),$AM$1006:$BM$1006,0)), HYPERLINK("#",""), HYPERLINK(CONCATENATE("#metadata!", ADDRESS(INDEX($AH$2:$AH$1001,MATCH(ROWS($AF$2:AF918),$AF$2:$AF$1001,0),0), INDEX($AM$1004:$BM$1004,1,MATCH(COLUMNS($AM$1006:AW1006),$AM$1006:$BM$1006,0)))),"Fix")))</f>
        <v xml:space="preserve"> </v>
      </c>
      <c r="M918" s="4" t="str">
        <f ca="1">IF(OR(INDEX($AG$2:$AG$1001,MATCH(ROWS($AF$2:AF918),$AF$2:$AF$1001,0),1)&gt;=100000,INDEX($AM$1005:$BM$1005,1,MATCH(COLUMNS($AM$1006:AX1006),$AM$1006:$BM$1006,0))&gt;=100000), " ",IF(INDEX($AM$2:$BM$1001,MATCH(ROWS($AF$2:AF918),$AF$2:$AF$1001,0),MATCH(COLUMNS($AM$1006:AX1006),$AM$1006:$BM$1006,0)), HYPERLINK("#",""), HYPERLINK(CONCATENATE("#metadata!", ADDRESS(INDEX($AH$2:$AH$1001,MATCH(ROWS($AF$2:AF918),$AF$2:$AF$1001,0),0), INDEX($AM$1004:$BM$1004,1,MATCH(COLUMNS($AM$1006:AX1006),$AM$1006:$BM$1006,0)))),"Fix")))</f>
        <v xml:space="preserve"> </v>
      </c>
      <c r="N918" s="4" t="str">
        <f ca="1">IF(OR(INDEX($AG$2:$AG$1001,MATCH(ROWS($AF$2:AF918),$AF$2:$AF$1001,0),1)&gt;=100000,INDEX($AM$1005:$BM$1005,1,MATCH(COLUMNS($AM$1006:AY1006),$AM$1006:$BM$1006,0))&gt;=100000), " ",IF(INDEX($AM$2:$BM$1001,MATCH(ROWS($AF$2:AF918),$AF$2:$AF$1001,0),MATCH(COLUMNS($AM$1006:AY1006),$AM$1006:$BM$1006,0)), HYPERLINK("#",""), HYPERLINK(CONCATENATE("#metadata!", ADDRESS(INDEX($AH$2:$AH$1001,MATCH(ROWS($AF$2:AF918),$AF$2:$AF$1001,0),0), INDEX($AM$1004:$BM$1004,1,MATCH(COLUMNS($AM$1006:AY1006),$AM$1006:$BM$1006,0)))),"Fix")))</f>
        <v xml:space="preserve"> </v>
      </c>
      <c r="O918" s="4" t="str">
        <f ca="1">IF(OR(INDEX($AG$2:$AG$1001,MATCH(ROWS($AF$2:AF918),$AF$2:$AF$1001,0),1)&gt;=100000,INDEX($AM$1005:$BM$1005,1,MATCH(COLUMNS($AM$1006:AZ1006),$AM$1006:$BM$1006,0))&gt;=100000), " ",IF(INDEX($AM$2:$BM$1001,MATCH(ROWS($AF$2:AF918),$AF$2:$AF$1001,0),MATCH(COLUMNS($AM$1006:AZ1006),$AM$1006:$BM$1006,0)), HYPERLINK("#",""), HYPERLINK(CONCATENATE("#metadata!", ADDRESS(INDEX($AH$2:$AH$1001,MATCH(ROWS($AF$2:AF918),$AF$2:$AF$1001,0),0), INDEX($AM$1004:$BM$1004,1,MATCH(COLUMNS($AM$1006:AZ1006),$AM$1006:$BM$1006,0)))),"Fix")))</f>
        <v xml:space="preserve"> </v>
      </c>
      <c r="P918" s="4" t="str">
        <f ca="1">IF(OR(INDEX($AG$2:$AG$1001,MATCH(ROWS($AF$2:AF918),$AF$2:$AF$1001,0),1)&gt;=100000,INDEX($AM$1005:$BM$1005,1,MATCH(COLUMNS($AM$1006:BA1006),$AM$1006:$BM$1006,0))&gt;=100000), " ",IF(INDEX($AM$2:$BM$1001,MATCH(ROWS($AF$2:AF918),$AF$2:$AF$1001,0),MATCH(COLUMNS($AM$1006:BA1006),$AM$1006:$BM$1006,0)), HYPERLINK("#",""), HYPERLINK(CONCATENATE("#metadata!", ADDRESS(INDEX($AH$2:$AH$1001,MATCH(ROWS($AF$2:AF918),$AF$2:$AF$1001,0),0), INDEX($AM$1004:$BM$1004,1,MATCH(COLUMNS($AM$1006:BA1006),$AM$1006:$BM$1006,0)))),"Fix")))</f>
        <v xml:space="preserve"> </v>
      </c>
      <c r="Q918" s="4" t="str">
        <f ca="1">IF(OR(INDEX($AG$2:$AG$1001,MATCH(ROWS($AF$2:AF918),$AF$2:$AF$1001,0),1)&gt;=100000,INDEX($AM$1005:$BM$1005,1,MATCH(COLUMNS($AM$1006:BB1006),$AM$1006:$BM$1006,0))&gt;=100000), " ",IF(INDEX($AM$2:$BM$1001,MATCH(ROWS($AF$2:AF918),$AF$2:$AF$1001,0),MATCH(COLUMNS($AM$1006:BB1006),$AM$1006:$BM$1006,0)), HYPERLINK("#",""), HYPERLINK(CONCATENATE("#metadata!", ADDRESS(INDEX($AH$2:$AH$1001,MATCH(ROWS($AF$2:AF918),$AF$2:$AF$1001,0),0), INDEX($AM$1004:$BM$1004,1,MATCH(COLUMNS($AM$1006:BB1006),$AM$1006:$BM$1006,0)))),"Fix")))</f>
        <v xml:space="preserve"> </v>
      </c>
      <c r="R918" s="4" t="str">
        <f ca="1">IF(OR(INDEX($AG$2:$AG$1001,MATCH(ROWS($AF$2:AF918),$AF$2:$AF$1001,0),1)&gt;=100000,INDEX($AM$1005:$BM$1005,1,MATCH(COLUMNS($AM$1006:BC1006),$AM$1006:$BM$1006,0))&gt;=100000), " ",IF(INDEX($AM$2:$BM$1001,MATCH(ROWS($AF$2:AF918),$AF$2:$AF$1001,0),MATCH(COLUMNS($AM$1006:BC1006),$AM$1006:$BM$1006,0)), HYPERLINK("#",""), HYPERLINK(CONCATENATE("#metadata!", ADDRESS(INDEX($AH$2:$AH$1001,MATCH(ROWS($AF$2:AF918),$AF$2:$AF$1001,0),0), INDEX($AM$1004:$BM$1004,1,MATCH(COLUMNS($AM$1006:BC1006),$AM$1006:$BM$1006,0)))),"Fix")))</f>
        <v xml:space="preserve"> </v>
      </c>
      <c r="S918" s="4" t="str">
        <f ca="1">IF(OR(INDEX($AG$2:$AG$1001,MATCH(ROWS($AF$2:AF918),$AF$2:$AF$1001,0),1)&gt;=100000,INDEX($AM$1005:$BM$1005,1,MATCH(COLUMNS($AM$1006:BD1006),$AM$1006:$BM$1006,0))&gt;=100000), " ",IF(INDEX($AM$2:$BM$1001,MATCH(ROWS($AF$2:AF918),$AF$2:$AF$1001,0),MATCH(COLUMNS($AM$1006:BD1006),$AM$1006:$BM$1006,0)), HYPERLINK("#",""), HYPERLINK(CONCATENATE("#metadata!", ADDRESS(INDEX($AH$2:$AH$1001,MATCH(ROWS($AF$2:AF918),$AF$2:$AF$1001,0),0), INDEX($AM$1004:$BM$1004,1,MATCH(COLUMNS($AM$1006:BD1006),$AM$1006:$BM$1006,0)))),"Fix")))</f>
        <v xml:space="preserve"> </v>
      </c>
      <c r="T918" s="4" t="str">
        <f ca="1">IF(OR(INDEX($AG$2:$AG$1001,MATCH(ROWS($AF$2:AF918),$AF$2:$AF$1001,0),1)&gt;=100000,INDEX($AM$1005:$BM$1005,1,MATCH(COLUMNS($AM$1006:BE1006),$AM$1006:$BM$1006,0))&gt;=100000), " ",IF(INDEX($AM$2:$BM$1001,MATCH(ROWS($AF$2:AF918),$AF$2:$AF$1001,0),MATCH(COLUMNS($AM$1006:BE1006),$AM$1006:$BM$1006,0)), HYPERLINK("#",""), HYPERLINK(CONCATENATE("#metadata!", ADDRESS(INDEX($AH$2:$AH$1001,MATCH(ROWS($AF$2:AF918),$AF$2:$AF$1001,0),0), INDEX($AM$1004:$BM$1004,1,MATCH(COLUMNS($AM$1006:BE1006),$AM$1006:$BM$1006,0)))),"Fix")))</f>
        <v xml:space="preserve"> </v>
      </c>
      <c r="U918" s="4" t="str">
        <f ca="1">IF(OR(INDEX($AG$2:$AG$1001,MATCH(ROWS($AF$2:AF918),$AF$2:$AF$1001,0),1)&gt;=100000,INDEX($AM$1005:$BM$1005,1,MATCH(COLUMNS($AM$1006:BF1006),$AM$1006:$BM$1006,0))&gt;=100000), " ",IF(INDEX($AM$2:$BM$1001,MATCH(ROWS($AF$2:AF918),$AF$2:$AF$1001,0),MATCH(COLUMNS($AM$1006:BF1006),$AM$1006:$BM$1006,0)), HYPERLINK("#",""), HYPERLINK(CONCATENATE("#metadata!", ADDRESS(INDEX($AH$2:$AH$1001,MATCH(ROWS($AF$2:AF918),$AF$2:$AF$1001,0),0), INDEX($AM$1004:$BM$1004,1,MATCH(COLUMNS($AM$1006:BF1006),$AM$1006:$BM$1006,0)))),"Fix")))</f>
        <v xml:space="preserve"> </v>
      </c>
      <c r="V918" s="4" t="str">
        <f ca="1">IF(OR(INDEX($AG$2:$AG$1001,MATCH(ROWS($AF$2:AF918),$AF$2:$AF$1001,0),1)&gt;=100000,INDEX($AM$1005:$BM$1005,1,MATCH(COLUMNS($AM$1006:BG1006),$AM$1006:$BM$1006,0))&gt;=100000), " ",IF(INDEX($AM$2:$BM$1001,MATCH(ROWS($AF$2:AF918),$AF$2:$AF$1001,0),MATCH(COLUMNS($AM$1006:BG1006),$AM$1006:$BM$1006,0)), HYPERLINK("#",""), HYPERLINK(CONCATENATE("#metadata!", ADDRESS(INDEX($AH$2:$AH$1001,MATCH(ROWS($AF$2:AF918),$AF$2:$AF$1001,0),0), INDEX($AM$1004:$BM$1004,1,MATCH(COLUMNS($AM$1006:BG1006),$AM$1006:$BM$1006,0)))),"Fix")))</f>
        <v xml:space="preserve"> </v>
      </c>
      <c r="W918" s="4" t="str">
        <f ca="1">IF(OR(INDEX($AG$2:$AG$1001,MATCH(ROWS($AF$2:AF918),$AF$2:$AF$1001,0),1)&gt;=100000,INDEX($AM$1005:$BM$1005,1,MATCH(COLUMNS($AM$1006:BH1006),$AM$1006:$BM$1006,0))&gt;=100000), " ",IF(INDEX($AM$2:$BM$1001,MATCH(ROWS($AF$2:AF918),$AF$2:$AF$1001,0),MATCH(COLUMNS($AM$1006:BH1006),$AM$1006:$BM$1006,0)), HYPERLINK("#",""), HYPERLINK(CONCATENATE("#metadata!", ADDRESS(INDEX($AH$2:$AH$1001,MATCH(ROWS($AF$2:AF918),$AF$2:$AF$1001,0),0), INDEX($AM$1004:$BM$1004,1,MATCH(COLUMNS($AM$1006:BH1006),$AM$1006:$BM$1006,0)))),"Fix")))</f>
        <v xml:space="preserve"> </v>
      </c>
      <c r="X918" s="4" t="str">
        <f ca="1">IF(OR(INDEX($AG$2:$AG$1001,MATCH(ROWS($AF$2:AF918),$AF$2:$AF$1001,0),1)&gt;=100000,INDEX($AM$1005:$BM$1005,1,MATCH(COLUMNS($AM$1006:BI1006),$AM$1006:$BM$1006,0))&gt;=100000), " ",IF(INDEX($AM$2:$BM$1001,MATCH(ROWS($AF$2:AF918),$AF$2:$AF$1001,0),MATCH(COLUMNS($AM$1006:BI1006),$AM$1006:$BM$1006,0)), HYPERLINK("#",""), HYPERLINK(CONCATENATE("#metadata!", ADDRESS(INDEX($AH$2:$AH$1001,MATCH(ROWS($AF$2:AF918),$AF$2:$AF$1001,0),0), INDEX($AM$1004:$BM$1004,1,MATCH(COLUMNS($AM$1006:BI1006),$AM$1006:$BM$1006,0)))),"Fix")))</f>
        <v xml:space="preserve"> </v>
      </c>
      <c r="Y918" s="4" t="str">
        <f ca="1">IF(OR(INDEX($AG$2:$AG$1001,MATCH(ROWS($AF$2:AF918),$AF$2:$AF$1001,0),1)&gt;=100000,INDEX($AM$1005:$BM$1005,1,MATCH(COLUMNS($AM$1006:BJ1006),$AM$1006:$BM$1006,0))&gt;=100000), " ",IF(INDEX($AM$2:$BM$1001,MATCH(ROWS($AF$2:AF918),$AF$2:$AF$1001,0),MATCH(COLUMNS($AM$1006:BJ1006),$AM$1006:$BM$1006,0)), HYPERLINK("#",""), HYPERLINK(CONCATENATE("#metadata!", ADDRESS(INDEX($AH$2:$AH$1001,MATCH(ROWS($AF$2:AF918),$AF$2:$AF$1001,0),0), INDEX($AM$1004:$BM$1004,1,MATCH(COLUMNS($AM$1006:BJ1006),$AM$1006:$BM$1006,0)))),"Fix")))</f>
        <v xml:space="preserve"> </v>
      </c>
      <c r="Z918" s="4" t="str">
        <f ca="1">IF(OR(INDEX($AG$2:$AG$1001,MATCH(ROWS($AF$2:AF918),$AF$2:$AF$1001,0),1)&gt;=100000,INDEX($AM$1005:$BM$1005,1,MATCH(COLUMNS($AM$1006:BK1006),$AM$1006:$BM$1006,0))&gt;=100000), " ",IF(INDEX($AM$2:$BM$1001,MATCH(ROWS($AF$2:AF918),$AF$2:$AF$1001,0),MATCH(COLUMNS($AM$1006:BK1006),$AM$1006:$BM$1006,0)), HYPERLINK("#",""), HYPERLINK(CONCATENATE("#metadata!", ADDRESS(INDEX($AH$2:$AH$1001,MATCH(ROWS($AF$2:AF918),$AF$2:$AF$1001,0),0), INDEX($AM$1004:$BM$1004,1,MATCH(COLUMNS($AM$1006:BK1006),$AM$1006:$BM$1006,0)))),"Fix")))</f>
        <v xml:space="preserve"> </v>
      </c>
      <c r="AA918" s="4" t="str">
        <f ca="1">IF(OR(INDEX($AG$2:$AG$1001,MATCH(ROWS($AF$2:AF918),$AF$2:$AF$1001,0),1)&gt;=100000,INDEX($AM$1005:$BM$1005,1,MATCH(COLUMNS($AM$1006:BL1006),$AM$1006:$BM$1006,0))&gt;=100000), " ",IF(INDEX($AM$2:$BM$1001,MATCH(ROWS($AF$2:AF918),$AF$2:$AF$1001,0),MATCH(COLUMNS($AM$1006:BL1006),$AM$1006:$BM$1006,0)), HYPERLINK("#",""), HYPERLINK(CONCATENATE("#metadata!", ADDRESS(INDEX($AH$2:$AH$1001,MATCH(ROWS($AF$2:AF918),$AF$2:$AF$1001,0),0), INDEX($AM$1004:$BM$1004,1,MATCH(COLUMNS($AM$1006:BL1006),$AM$1006:$BM$1006,0)))),"Fix")))</f>
        <v xml:space="preserve"> </v>
      </c>
      <c r="AB918" s="4" t="str">
        <f ca="1">IF(OR(INDEX($AG$2:$AG$1001,MATCH(ROWS($AF$2:AF918),$AF$2:$AF$1001,0),1)&gt;=100000,INDEX($AM$1005:$BM$1005,1,MATCH(COLUMNS($AM$1006:BM1006),$AM$1006:$BM$1006,0))&gt;=100000), " ",IF(INDEX($AM$2:$BM$1001,MATCH(ROWS($AF$2:AF918),$AF$2:$AF$1001,0),MATCH(COLUMNS($AM$1006:BM1006),$AM$1006:$BM$1006,0)), HYPERLINK("#",""), HYPERLINK(CONCATENATE("#metadata!", ADDRESS(INDEX($AH$2:$AH$1001,MATCH(ROWS($AF$2:AF918),$AF$2:$AF$1001,0),0), INDEX($AM$1004:$BM$1004,1,MATCH(COLUMNS($AM$1006:BM1006),$AM$1006:$BM$1006,0)))),"Fix")))</f>
        <v xml:space="preserve"> </v>
      </c>
      <c r="AF918">
        <v>917</v>
      </c>
      <c r="AG918">
        <v>100918</v>
      </c>
      <c r="AH918">
        <v>918</v>
      </c>
      <c r="AI918" t="b">
        <f t="shared" si="14"/>
        <v>1</v>
      </c>
      <c r="AJ918" t="b">
        <f>COUNTBLANK(metadata!B918:AB918)=COLUMNS(metadata!B918:AB918)</f>
        <v>1</v>
      </c>
      <c r="AK918" t="str">
        <v/>
      </c>
      <c r="AM918" t="b">
        <f ca="1">AND(IF(metadata!B918="",FALSE,TRUE),COUNTIF(metadata!B:B, metadata!B918) = 1,NOT(ISERROR(SUMPRODUCT(SEARCH(MID(metadata!B918,ROW(INDIRECT("1:"&amp;LEN(metadata!B918))), 1),"0123456789abcdefghijklmnopqrstuvwxyzABCDEFGHIJKLMNOPQRSTUVWXYZ.")))))</f>
        <v>0</v>
      </c>
      <c r="AN918" t="b">
        <f ca="1">OR(AND(IF(metadata!C918="",FALSE,TRUE),OR(EXACT(metadata!C918,"missing: not collected"),EXACT(metadata!C918,"missing: not provided"),EXACT(metadata!C918,"missing: restricted access"))),AND(IF(metadata!C918="",FALSE,TRUE),AND(AND(IFERROR(INT(LEFT(metadata!C918,4))&gt;1900,FALSE),IFERROR(INT(LEFT(metadata!C918,4))&lt;=YEAR(NOW()),FALSE)), OR(MID(metadata!C918,5,1)="", AND(AND(MID(metadata!C918,5,1)="-",IFERROR(INT(MID(metadata!C918,6,1))&gt;=0,FALSE),IFERROR(INT(MID(metadata!C918,6,1))&lt;=1,FALSE),NOT(MID(metadata!C918,7,1)=""),IFERROR(INT(MID(metadata!C918,6,2))&gt;=1,FALSE),IFERROR(INT(MID(metadata!C918,6,2))&lt;=12,FALSE)), OR(MID(metadata!C918,8,1)="", AND(AND(MID(metadata!C918,8,1)="-",IFERROR(INT(MID(metadata!C918,9,1))&gt;=0,FALSE),IFERROR(INT(MID(metadata!C918,9,1))&lt;=3,FALSE),NOT(MID(metadata!C918,10,1)=""),IFERROR(INT(MID(metadata!C918,9,2))&gt;=1,FALSE),IFERROR(INT(MID(metadata!C918,9,2))&lt;=31,FALSE)), OR(MID(metadata!C918,11,1)="", AND(AND(MID(metadata!C918,11,1)=" ",IFERROR(INT(MID(metadata!C918,12,1))&gt;=0,FALSE),IFERROR(INT(MID(metadata!C918,12,1))&lt;=2,FALSE),NOT(MID(metadata!C918,13,1)=""),IFERROR(INT(MID(metadata!C918,12,2))&gt;=0,FALSE),IFERROR(INT(MID(metadata!C918,12,2))&lt;=23,FALSE)), OR(MID(metadata!C918,14,1)="", AND(AND(MID(metadata!C918,14,1)=":",IFERROR(INT(MID(metadata!C918,15,1))&gt;=0,FALSE),IFERROR(INT(MID(metadata!C918,15,1))&lt;=5,FALSE),NOT(MID(metadata!C918,16,1)=""),IFERROR(INT(MID(metadata!C918,15,2))&gt;=0,FALSE),IFERROR(INT(MID(metadata!C918,15,2))&lt;=59,FALSE)), OR(MID(metadata!C918,17,1)="", AND(AND(MID(metadata!C918,17,1)=":",IFERROR(INT(MID(metadata!C918,18,1))&gt;=0,FALSE),IFERROR(INT(MID(metadata!C918,18,1))&lt;=5,FALSE),NOT(MID(metadata!C918,19,1)=""),IFERROR(INT(MID(metadata!C918,18,2))&gt;=0,FALSE),IFERROR(INT(MID(metadata!C918,18,2))&lt;=59,FALSE)), LEN(metadata!C918)&lt;=19)))))))))))))</f>
        <v>0</v>
      </c>
      <c r="AO918" t="b">
        <f>AND(IF(metadata!D918="",FALSE,TRUE),EXACT(metadata!D918,"Not applicable"))</f>
        <v>0</v>
      </c>
      <c r="AP918" t="b">
        <f>IF(metadata!E918="",FALSE,TRUE)</f>
        <v>0</v>
      </c>
      <c r="AQ918" t="b">
        <f>OR(AND(IF(metadata!F918="",FALSE,TRUE),OR(EXACT(metadata!F918,"missing: not collected"),EXACT(metadata!F918,"missing: not provided"))),AND(IF(metadata!F918="",FALSE,TRUE),OR(EXACT(metadata!F918,"TRUE"),EXACT(metadata!F918,"FALSE"))))</f>
        <v>0</v>
      </c>
      <c r="AR918" t="b">
        <f>OR(AND(IF(metadata!G918="",FALSE,TRUE),OR(EXACT(metadata!G918,"missing: not collected"),EXACT(metadata!G918,"missing: not provided"),EXACT(metadata!G918,"missing: restricted access"))),AND(IF(metadata!G918="",FALSE,ISNUMBER(VALUE(metadata!G918))),metadata!G918&gt;=-413))</f>
        <v>0</v>
      </c>
      <c r="AS918" t="b">
        <f>AND(IF(metadata!H918="",FALSE,TRUE),EXACT(metadata!H918,"meters"))</f>
        <v>0</v>
      </c>
      <c r="AT918" t="b">
        <f>AND(IF(metadata!I918="",FALSE,TRUE),OR(EXACT(metadata!I918,"Host-associated"),EXACT(metadata!I918,"Free-living")))</f>
        <v>0</v>
      </c>
      <c r="AU918" t="b">
        <f>AND(IF(metadata!J918="",FALSE,TRUE),OR(EXACT(metadata!J918,"Animal"),EXACT(metadata!J918,"Fungus"),EXACT(metadata!J918,"Plant"),EXACT(metadata!J918,"Saline"),EXACT(metadata!J918,"Non-saline")))</f>
        <v>0</v>
      </c>
      <c r="AV918" t="b">
        <f>AND(IF(metadata!K918="",FALSE,TRUE),OR(EXACT(metadata!K918,"Plant secretion"),EXACT(metadata!K918,"Plant rhizosphere"),EXACT(metadata!K918,"Plant surface"),EXACT(metadata!K918,"Plant corpus"),EXACT(metadata!K918,"Fungus surface"),EXACT(metadata!K918,"Fungus corpus"),EXACT(metadata!K918,"Animal surface"),EXACT(metadata!K918,"Animal proximal gut"),EXACT(metadata!K918,"Animal corpus"),EXACT(metadata!K918,"Animal distal gut"),EXACT(metadata!K918,"Animal secretion"),EXACT(metadata!K918,"Sub-surface (non-saline)"),EXACT(metadata!K918,"Surface (non-saline)"),EXACT(metadata!K918,"Water (non-saline)"),EXACT(metadata!K918,"Soil (non-saline)"),EXACT(metadata!K918,"Aerosol (non-saline)"),EXACT(metadata!K918,"Sediment (non-saline)"),EXACT(metadata!K918,"Surface (saline)"),EXACT(metadata!K918,"Water (saline)"),EXACT(metadata!K918,"Hypersaline (saline)"),EXACT(metadata!K918,"Aerosol (saline)"),EXACT(metadata!K918,"Sediment (saline)")))</f>
        <v>0</v>
      </c>
      <c r="AW918" t="b">
        <f>IF(metadata!L918="",FALSE,TRUE)</f>
        <v>0</v>
      </c>
      <c r="AX918" t="b">
        <f>IF(metadata!M918="",FALSE,TRUE)</f>
        <v>0</v>
      </c>
      <c r="AY918" t="b">
        <f>IF(metadata!N918="",FALSE,TRUE)</f>
        <v>0</v>
      </c>
      <c r="AZ918" t="b">
        <f>OR(AND(IF(metadata!O918="",FALSE,TRUE),OR(EXACT(metadata!O918,"missing: not collected"),EXACT(metadata!O918,"missing: not provided"),EXACT(metadata!O918,"missing: restricted access"))),AND(IF(metadata!O918="",FALSE,TRUE),OR(EXACT(metadata!O918,"air"),EXACT(metadata!O918,"built environment"),EXACT(metadata!O918,"host-associated"),EXACT(metadata!O918,"human-associated"),EXACT(metadata!O918,"human-skin"),EXACT(metadata!O918,"human-oral"),EXACT(metadata!O918,"human-gut"),EXACT(metadata!O918,"human-vaginal"),EXACT(metadata!O918,"microbial mat/biofilm"),EXACT(metadata!O918,"misc environment"),EXACT(metadata!O918,"plant-associated"),EXACT(metadata!O918,"sediment"),EXACT(metadata!O918,"soil"),EXACT(metadata!O918,"wastewater/sludge"),EXACT(metadata!O918,"water"))))</f>
        <v>0</v>
      </c>
      <c r="BA918" t="b">
        <f>IF(metadata!P918="",FALSE,TRUE)</f>
        <v>0</v>
      </c>
      <c r="BB918" t="b">
        <f>IF(metadata!Q918="",FALSE,TRUE)</f>
        <v>0</v>
      </c>
      <c r="BC918" t="b">
        <f>OR(AND(IF(metadata!R918="",FALSE,TRUE),OR(EXACT(metadata!R918,"missing: not collected"),EXACT(metadata!R918,"missing: not provided"),EXACT(metadata!R918,"missing: restricted access"))),AND(IF(metadata!R918="",FALSE,ISNUMBER(VALUE(metadata!R918))),metadata!R918&gt;=-90,metadata!R918&lt;=90))</f>
        <v>0</v>
      </c>
      <c r="BD918" t="b">
        <f>AND(IF(metadata!S918="",FALSE,TRUE),EXACT(metadata!S918,"Decimal degrees"))</f>
        <v>0</v>
      </c>
      <c r="BE918" t="b">
        <f>OR(AND(IF(metadata!T918="",FALSE,TRUE),OR(EXACT(metadata!T918,"missing: not collected"),EXACT(metadata!T918,"missing: not provided"),EXACT(metadata!T918,"missing: restricted access"))),AND(IF(metadata!T918="",FALSE,ISNUMBER(VALUE(metadata!T918))),metadata!T918&gt;=-180,metadata!T918&lt;=180))</f>
        <v>0</v>
      </c>
      <c r="BF918" t="b">
        <f>AND(IF(metadata!U918="",FALSE,TRUE),EXACT(metadata!U918,"Decimal degrees"))</f>
        <v>0</v>
      </c>
      <c r="BG918" t="b">
        <f>IF(metadata!V918="",FALSE,TRUE)</f>
        <v>0</v>
      </c>
      <c r="BH918" t="b">
        <f>OR(AND(IF(metadata!W918="",FALSE,TRUE),OR(EXACT(metadata!W918,"missing: not collected"),EXACT(metadata!W918,"missing: not provided"),EXACT(metadata!W918,"missing: restricted access"))),AND(IF(metadata!W918="",FALSE,TRUE),OR(EXACT(metadata!W918,"TRUE"),EXACT(metadata!W918,"FALSE"))))</f>
        <v>0</v>
      </c>
      <c r="BI918" t="b">
        <f>AND(IF(metadata!X918="",FALSE,TRUE),EXACT(metadata!X918,"other"))</f>
        <v>0</v>
      </c>
      <c r="BJ918" t="b">
        <f>IF(metadata!Y918="",FALSE,TRUE)</f>
        <v>0</v>
      </c>
      <c r="BK918" t="b">
        <f>OR(AND(IF(metadata!Z918="",FALSE,TRUE),OR(EXACT(metadata!Z918,"missing: not collected"),EXACT(metadata!Z918,"missing: not provided"))),AND(IF(metadata!Z918="",FALSE,IF(ISERROR(INT(metadata!Z918)),FALSE,INT(metadata!Z918)=metadata!Z918)),metadata!Z918&gt;0))</f>
        <v>0</v>
      </c>
      <c r="BL918" t="b">
        <f>AND(IF(metadata!AA918="",FALSE,TRUE),EXACT(metadata!AA918,"Not applicable"))</f>
        <v>0</v>
      </c>
      <c r="BM918" t="b">
        <f>IF(metadata!AB918="",FALSE,TRUE)</f>
        <v>0</v>
      </c>
    </row>
    <row r="919" spans="1:65" x14ac:dyDescent="0.2">
      <c r="A919" s="5" t="str">
        <f ca="1">IF(B919=" "," ",HYPERLINK(CONCATENATE("#metadata!",ADDRESS(INDEX($AH$2:$AH$1001,MATCH(ROWS($AF$2:AF919),$AF$2:$AF$1001,0),0),1)),INDEX($AK$2:$AK$1001,MATCH(ROWS($AF$2:AF919),$AF$2:$AF$1001,0),0)))</f>
        <v xml:space="preserve"> </v>
      </c>
      <c r="B919" s="4" t="str">
        <f ca="1">IF(OR(INDEX($AG$2:$AG$1001,MATCH(ROWS($AF$2:AF919),$AF$2:$AF$1001,0),1)&gt;=100000,INDEX($AM$1005:$BM$1005,1,MATCH(COLUMNS($AM$1006:AM1006),$AM$1006:$BM$1006,0))&gt;=100000), " ",IF(INDEX($AM$2:$BM$1001,MATCH(ROWS($AF$2:AF919),$AF$2:$AF$1001,0),MATCH(COLUMNS($AM$1006:AM1006),$AM$1006:$BM$1006,0)), HYPERLINK("#",""), HYPERLINK(CONCATENATE("#metadata!", ADDRESS(INDEX($AH$2:$AH$1001,MATCH(ROWS($AF$2:AF919),$AF$2:$AF$1001,0),0), INDEX($AM$1004:$BM$1004,1,MATCH(COLUMNS($AM$1006:AM1006),$AM$1006:$BM$1006,0)))),"Fix")))</f>
        <v xml:space="preserve"> </v>
      </c>
      <c r="C919" s="4" t="str">
        <f ca="1">IF(OR(INDEX($AG$2:$AG$1001,MATCH(ROWS($AF$2:AF919),$AF$2:$AF$1001,0),1)&gt;=100000,INDEX($AM$1005:$BM$1005,1,MATCH(COLUMNS($AM$1006:AN1006),$AM$1006:$BM$1006,0))&gt;=100000), " ",IF(INDEX($AM$2:$BM$1001,MATCH(ROWS($AF$2:AF919),$AF$2:$AF$1001,0),MATCH(COLUMNS($AM$1006:AN1006),$AM$1006:$BM$1006,0)), HYPERLINK("#",""), HYPERLINK(CONCATENATE("#metadata!", ADDRESS(INDEX($AH$2:$AH$1001,MATCH(ROWS($AF$2:AF919),$AF$2:$AF$1001,0),0), INDEX($AM$1004:$BM$1004,1,MATCH(COLUMNS($AM$1006:AN1006),$AM$1006:$BM$1006,0)))),"Fix")))</f>
        <v xml:space="preserve"> </v>
      </c>
      <c r="D919" s="4" t="str">
        <f ca="1">IF(OR(INDEX($AG$2:$AG$1001,MATCH(ROWS($AF$2:AF919),$AF$2:$AF$1001,0),1)&gt;=100000,INDEX($AM$1005:$BM$1005,1,MATCH(COLUMNS($AM$1006:AO1006),$AM$1006:$BM$1006,0))&gt;=100000), " ",IF(INDEX($AM$2:$BM$1001,MATCH(ROWS($AF$2:AF919),$AF$2:$AF$1001,0),MATCH(COLUMNS($AM$1006:AO1006),$AM$1006:$BM$1006,0)), HYPERLINK("#",""), HYPERLINK(CONCATENATE("#metadata!", ADDRESS(INDEX($AH$2:$AH$1001,MATCH(ROWS($AF$2:AF919),$AF$2:$AF$1001,0),0), INDEX($AM$1004:$BM$1004,1,MATCH(COLUMNS($AM$1006:AO1006),$AM$1006:$BM$1006,0)))),"Fix")))</f>
        <v xml:space="preserve"> </v>
      </c>
      <c r="E919" s="4" t="str">
        <f ca="1">IF(OR(INDEX($AG$2:$AG$1001,MATCH(ROWS($AF$2:AF919),$AF$2:$AF$1001,0),1)&gt;=100000,INDEX($AM$1005:$BM$1005,1,MATCH(COLUMNS($AM$1006:AP1006),$AM$1006:$BM$1006,0))&gt;=100000), " ",IF(INDEX($AM$2:$BM$1001,MATCH(ROWS($AF$2:AF919),$AF$2:$AF$1001,0),MATCH(COLUMNS($AM$1006:AP1006),$AM$1006:$BM$1006,0)), HYPERLINK("#",""), HYPERLINK(CONCATENATE("#metadata!", ADDRESS(INDEX($AH$2:$AH$1001,MATCH(ROWS($AF$2:AF919),$AF$2:$AF$1001,0),0), INDEX($AM$1004:$BM$1004,1,MATCH(COLUMNS($AM$1006:AP1006),$AM$1006:$BM$1006,0)))),"Fix")))</f>
        <v xml:space="preserve"> </v>
      </c>
      <c r="F919" s="4" t="str">
        <f ca="1">IF(OR(INDEX($AG$2:$AG$1001,MATCH(ROWS($AF$2:AF919),$AF$2:$AF$1001,0),1)&gt;=100000,INDEX($AM$1005:$BM$1005,1,MATCH(COLUMNS($AM$1006:AQ1006),$AM$1006:$BM$1006,0))&gt;=100000), " ",IF(INDEX($AM$2:$BM$1001,MATCH(ROWS($AF$2:AF919),$AF$2:$AF$1001,0),MATCH(COLUMNS($AM$1006:AQ1006),$AM$1006:$BM$1006,0)), HYPERLINK("#",""), HYPERLINK(CONCATENATE("#metadata!", ADDRESS(INDEX($AH$2:$AH$1001,MATCH(ROWS($AF$2:AF919),$AF$2:$AF$1001,0),0), INDEX($AM$1004:$BM$1004,1,MATCH(COLUMNS($AM$1006:AQ1006),$AM$1006:$BM$1006,0)))),"Fix")))</f>
        <v xml:space="preserve"> </v>
      </c>
      <c r="G919" s="4" t="str">
        <f ca="1">IF(OR(INDEX($AG$2:$AG$1001,MATCH(ROWS($AF$2:AF919),$AF$2:$AF$1001,0),1)&gt;=100000,INDEX($AM$1005:$BM$1005,1,MATCH(COLUMNS($AM$1006:AR1006),$AM$1006:$BM$1006,0))&gt;=100000), " ",IF(INDEX($AM$2:$BM$1001,MATCH(ROWS($AF$2:AF919),$AF$2:$AF$1001,0),MATCH(COLUMNS($AM$1006:AR1006),$AM$1006:$BM$1006,0)), HYPERLINK("#",""), HYPERLINK(CONCATENATE("#metadata!", ADDRESS(INDEX($AH$2:$AH$1001,MATCH(ROWS($AF$2:AF919),$AF$2:$AF$1001,0),0), INDEX($AM$1004:$BM$1004,1,MATCH(COLUMNS($AM$1006:AR1006),$AM$1006:$BM$1006,0)))),"Fix")))</f>
        <v xml:space="preserve"> </v>
      </c>
      <c r="H919" s="4" t="str">
        <f ca="1">IF(OR(INDEX($AG$2:$AG$1001,MATCH(ROWS($AF$2:AF919),$AF$2:$AF$1001,0),1)&gt;=100000,INDEX($AM$1005:$BM$1005,1,MATCH(COLUMNS($AM$1006:AS1006),$AM$1006:$BM$1006,0))&gt;=100000), " ",IF(INDEX($AM$2:$BM$1001,MATCH(ROWS($AF$2:AF919),$AF$2:$AF$1001,0),MATCH(COLUMNS($AM$1006:AS1006),$AM$1006:$BM$1006,0)), HYPERLINK("#",""), HYPERLINK(CONCATENATE("#metadata!", ADDRESS(INDEX($AH$2:$AH$1001,MATCH(ROWS($AF$2:AF919),$AF$2:$AF$1001,0),0), INDEX($AM$1004:$BM$1004,1,MATCH(COLUMNS($AM$1006:AS1006),$AM$1006:$BM$1006,0)))),"Fix")))</f>
        <v xml:space="preserve"> </v>
      </c>
      <c r="I919" s="4" t="str">
        <f ca="1">IF(OR(INDEX($AG$2:$AG$1001,MATCH(ROWS($AF$2:AF919),$AF$2:$AF$1001,0),1)&gt;=100000,INDEX($AM$1005:$BM$1005,1,MATCH(COLUMNS($AM$1006:AT1006),$AM$1006:$BM$1006,0))&gt;=100000), " ",IF(INDEX($AM$2:$BM$1001,MATCH(ROWS($AF$2:AF919),$AF$2:$AF$1001,0),MATCH(COLUMNS($AM$1006:AT1006),$AM$1006:$BM$1006,0)), HYPERLINK("#",""), HYPERLINK(CONCATENATE("#metadata!", ADDRESS(INDEX($AH$2:$AH$1001,MATCH(ROWS($AF$2:AF919),$AF$2:$AF$1001,0),0), INDEX($AM$1004:$BM$1004,1,MATCH(COLUMNS($AM$1006:AT1006),$AM$1006:$BM$1006,0)))),"Fix")))</f>
        <v xml:space="preserve"> </v>
      </c>
      <c r="J919" s="4" t="str">
        <f ca="1">IF(OR(INDEX($AG$2:$AG$1001,MATCH(ROWS($AF$2:AF919),$AF$2:$AF$1001,0),1)&gt;=100000,INDEX($AM$1005:$BM$1005,1,MATCH(COLUMNS($AM$1006:AU1006),$AM$1006:$BM$1006,0))&gt;=100000), " ",IF(INDEX($AM$2:$BM$1001,MATCH(ROWS($AF$2:AF919),$AF$2:$AF$1001,0),MATCH(COLUMNS($AM$1006:AU1006),$AM$1006:$BM$1006,0)), HYPERLINK("#",""), HYPERLINK(CONCATENATE("#metadata!", ADDRESS(INDEX($AH$2:$AH$1001,MATCH(ROWS($AF$2:AF919),$AF$2:$AF$1001,0),0), INDEX($AM$1004:$BM$1004,1,MATCH(COLUMNS($AM$1006:AU1006),$AM$1006:$BM$1006,0)))),"Fix")))</f>
        <v xml:space="preserve"> </v>
      </c>
      <c r="K919" s="4" t="str">
        <f ca="1">IF(OR(INDEX($AG$2:$AG$1001,MATCH(ROWS($AF$2:AF919),$AF$2:$AF$1001,0),1)&gt;=100000,INDEX($AM$1005:$BM$1005,1,MATCH(COLUMNS($AM$1006:AV1006),$AM$1006:$BM$1006,0))&gt;=100000), " ",IF(INDEX($AM$2:$BM$1001,MATCH(ROWS($AF$2:AF919),$AF$2:$AF$1001,0),MATCH(COLUMNS($AM$1006:AV1006),$AM$1006:$BM$1006,0)), HYPERLINK("#",""), HYPERLINK(CONCATENATE("#metadata!", ADDRESS(INDEX($AH$2:$AH$1001,MATCH(ROWS($AF$2:AF919),$AF$2:$AF$1001,0),0), INDEX($AM$1004:$BM$1004,1,MATCH(COLUMNS($AM$1006:AV1006),$AM$1006:$BM$1006,0)))),"Fix")))</f>
        <v xml:space="preserve"> </v>
      </c>
      <c r="L919" s="4" t="str">
        <f ca="1">IF(OR(INDEX($AG$2:$AG$1001,MATCH(ROWS($AF$2:AF919),$AF$2:$AF$1001,0),1)&gt;=100000,INDEX($AM$1005:$BM$1005,1,MATCH(COLUMNS($AM$1006:AW1006),$AM$1006:$BM$1006,0))&gt;=100000), " ",IF(INDEX($AM$2:$BM$1001,MATCH(ROWS($AF$2:AF919),$AF$2:$AF$1001,0),MATCH(COLUMNS($AM$1006:AW1006),$AM$1006:$BM$1006,0)), HYPERLINK("#",""), HYPERLINK(CONCATENATE("#metadata!", ADDRESS(INDEX($AH$2:$AH$1001,MATCH(ROWS($AF$2:AF919),$AF$2:$AF$1001,0),0), INDEX($AM$1004:$BM$1004,1,MATCH(COLUMNS($AM$1006:AW1006),$AM$1006:$BM$1006,0)))),"Fix")))</f>
        <v xml:space="preserve"> </v>
      </c>
      <c r="M919" s="4" t="str">
        <f ca="1">IF(OR(INDEX($AG$2:$AG$1001,MATCH(ROWS($AF$2:AF919),$AF$2:$AF$1001,0),1)&gt;=100000,INDEX($AM$1005:$BM$1005,1,MATCH(COLUMNS($AM$1006:AX1006),$AM$1006:$BM$1006,0))&gt;=100000), " ",IF(INDEX($AM$2:$BM$1001,MATCH(ROWS($AF$2:AF919),$AF$2:$AF$1001,0),MATCH(COLUMNS($AM$1006:AX1006),$AM$1006:$BM$1006,0)), HYPERLINK("#",""), HYPERLINK(CONCATENATE("#metadata!", ADDRESS(INDEX($AH$2:$AH$1001,MATCH(ROWS($AF$2:AF919),$AF$2:$AF$1001,0),0), INDEX($AM$1004:$BM$1004,1,MATCH(COLUMNS($AM$1006:AX1006),$AM$1006:$BM$1006,0)))),"Fix")))</f>
        <v xml:space="preserve"> </v>
      </c>
      <c r="N919" s="4" t="str">
        <f ca="1">IF(OR(INDEX($AG$2:$AG$1001,MATCH(ROWS($AF$2:AF919),$AF$2:$AF$1001,0),1)&gt;=100000,INDEX($AM$1005:$BM$1005,1,MATCH(COLUMNS($AM$1006:AY1006),$AM$1006:$BM$1006,0))&gt;=100000), " ",IF(INDEX($AM$2:$BM$1001,MATCH(ROWS($AF$2:AF919),$AF$2:$AF$1001,0),MATCH(COLUMNS($AM$1006:AY1006),$AM$1006:$BM$1006,0)), HYPERLINK("#",""), HYPERLINK(CONCATENATE("#metadata!", ADDRESS(INDEX($AH$2:$AH$1001,MATCH(ROWS($AF$2:AF919),$AF$2:$AF$1001,0),0), INDEX($AM$1004:$BM$1004,1,MATCH(COLUMNS($AM$1006:AY1006),$AM$1006:$BM$1006,0)))),"Fix")))</f>
        <v xml:space="preserve"> </v>
      </c>
      <c r="O919" s="4" t="str">
        <f ca="1">IF(OR(INDEX($AG$2:$AG$1001,MATCH(ROWS($AF$2:AF919),$AF$2:$AF$1001,0),1)&gt;=100000,INDEX($AM$1005:$BM$1005,1,MATCH(COLUMNS($AM$1006:AZ1006),$AM$1006:$BM$1006,0))&gt;=100000), " ",IF(INDEX($AM$2:$BM$1001,MATCH(ROWS($AF$2:AF919),$AF$2:$AF$1001,0),MATCH(COLUMNS($AM$1006:AZ1006),$AM$1006:$BM$1006,0)), HYPERLINK("#",""), HYPERLINK(CONCATENATE("#metadata!", ADDRESS(INDEX($AH$2:$AH$1001,MATCH(ROWS($AF$2:AF919),$AF$2:$AF$1001,0),0), INDEX($AM$1004:$BM$1004,1,MATCH(COLUMNS($AM$1006:AZ1006),$AM$1006:$BM$1006,0)))),"Fix")))</f>
        <v xml:space="preserve"> </v>
      </c>
      <c r="P919" s="4" t="str">
        <f ca="1">IF(OR(INDEX($AG$2:$AG$1001,MATCH(ROWS($AF$2:AF919),$AF$2:$AF$1001,0),1)&gt;=100000,INDEX($AM$1005:$BM$1005,1,MATCH(COLUMNS($AM$1006:BA1006),$AM$1006:$BM$1006,0))&gt;=100000), " ",IF(INDEX($AM$2:$BM$1001,MATCH(ROWS($AF$2:AF919),$AF$2:$AF$1001,0),MATCH(COLUMNS($AM$1006:BA1006),$AM$1006:$BM$1006,0)), HYPERLINK("#",""), HYPERLINK(CONCATENATE("#metadata!", ADDRESS(INDEX($AH$2:$AH$1001,MATCH(ROWS($AF$2:AF919),$AF$2:$AF$1001,0),0), INDEX($AM$1004:$BM$1004,1,MATCH(COLUMNS($AM$1006:BA1006),$AM$1006:$BM$1006,0)))),"Fix")))</f>
        <v xml:space="preserve"> </v>
      </c>
      <c r="Q919" s="4" t="str">
        <f ca="1">IF(OR(INDEX($AG$2:$AG$1001,MATCH(ROWS($AF$2:AF919),$AF$2:$AF$1001,0),1)&gt;=100000,INDEX($AM$1005:$BM$1005,1,MATCH(COLUMNS($AM$1006:BB1006),$AM$1006:$BM$1006,0))&gt;=100000), " ",IF(INDEX($AM$2:$BM$1001,MATCH(ROWS($AF$2:AF919),$AF$2:$AF$1001,0),MATCH(COLUMNS($AM$1006:BB1006),$AM$1006:$BM$1006,0)), HYPERLINK("#",""), HYPERLINK(CONCATENATE("#metadata!", ADDRESS(INDEX($AH$2:$AH$1001,MATCH(ROWS($AF$2:AF919),$AF$2:$AF$1001,0),0), INDEX($AM$1004:$BM$1004,1,MATCH(COLUMNS($AM$1006:BB1006),$AM$1006:$BM$1006,0)))),"Fix")))</f>
        <v xml:space="preserve"> </v>
      </c>
      <c r="R919" s="4" t="str">
        <f ca="1">IF(OR(INDEX($AG$2:$AG$1001,MATCH(ROWS($AF$2:AF919),$AF$2:$AF$1001,0),1)&gt;=100000,INDEX($AM$1005:$BM$1005,1,MATCH(COLUMNS($AM$1006:BC1006),$AM$1006:$BM$1006,0))&gt;=100000), " ",IF(INDEX($AM$2:$BM$1001,MATCH(ROWS($AF$2:AF919),$AF$2:$AF$1001,0),MATCH(COLUMNS($AM$1006:BC1006),$AM$1006:$BM$1006,0)), HYPERLINK("#",""), HYPERLINK(CONCATENATE("#metadata!", ADDRESS(INDEX($AH$2:$AH$1001,MATCH(ROWS($AF$2:AF919),$AF$2:$AF$1001,0),0), INDEX($AM$1004:$BM$1004,1,MATCH(COLUMNS($AM$1006:BC1006),$AM$1006:$BM$1006,0)))),"Fix")))</f>
        <v xml:space="preserve"> </v>
      </c>
      <c r="S919" s="4" t="str">
        <f ca="1">IF(OR(INDEX($AG$2:$AG$1001,MATCH(ROWS($AF$2:AF919),$AF$2:$AF$1001,0),1)&gt;=100000,INDEX($AM$1005:$BM$1005,1,MATCH(COLUMNS($AM$1006:BD1006),$AM$1006:$BM$1006,0))&gt;=100000), " ",IF(INDEX($AM$2:$BM$1001,MATCH(ROWS($AF$2:AF919),$AF$2:$AF$1001,0),MATCH(COLUMNS($AM$1006:BD1006),$AM$1006:$BM$1006,0)), HYPERLINK("#",""), HYPERLINK(CONCATENATE("#metadata!", ADDRESS(INDEX($AH$2:$AH$1001,MATCH(ROWS($AF$2:AF919),$AF$2:$AF$1001,0),0), INDEX($AM$1004:$BM$1004,1,MATCH(COLUMNS($AM$1006:BD1006),$AM$1006:$BM$1006,0)))),"Fix")))</f>
        <v xml:space="preserve"> </v>
      </c>
      <c r="T919" s="4" t="str">
        <f ca="1">IF(OR(INDEX($AG$2:$AG$1001,MATCH(ROWS($AF$2:AF919),$AF$2:$AF$1001,0),1)&gt;=100000,INDEX($AM$1005:$BM$1005,1,MATCH(COLUMNS($AM$1006:BE1006),$AM$1006:$BM$1006,0))&gt;=100000), " ",IF(INDEX($AM$2:$BM$1001,MATCH(ROWS($AF$2:AF919),$AF$2:$AF$1001,0),MATCH(COLUMNS($AM$1006:BE1006),$AM$1006:$BM$1006,0)), HYPERLINK("#",""), HYPERLINK(CONCATENATE("#metadata!", ADDRESS(INDEX($AH$2:$AH$1001,MATCH(ROWS($AF$2:AF919),$AF$2:$AF$1001,0),0), INDEX($AM$1004:$BM$1004,1,MATCH(COLUMNS($AM$1006:BE1006),$AM$1006:$BM$1006,0)))),"Fix")))</f>
        <v xml:space="preserve"> </v>
      </c>
      <c r="U919" s="4" t="str">
        <f ca="1">IF(OR(INDEX($AG$2:$AG$1001,MATCH(ROWS($AF$2:AF919),$AF$2:$AF$1001,0),1)&gt;=100000,INDEX($AM$1005:$BM$1005,1,MATCH(COLUMNS($AM$1006:BF1006),$AM$1006:$BM$1006,0))&gt;=100000), " ",IF(INDEX($AM$2:$BM$1001,MATCH(ROWS($AF$2:AF919),$AF$2:$AF$1001,0),MATCH(COLUMNS($AM$1006:BF1006),$AM$1006:$BM$1006,0)), HYPERLINK("#",""), HYPERLINK(CONCATENATE("#metadata!", ADDRESS(INDEX($AH$2:$AH$1001,MATCH(ROWS($AF$2:AF919),$AF$2:$AF$1001,0),0), INDEX($AM$1004:$BM$1004,1,MATCH(COLUMNS($AM$1006:BF1006),$AM$1006:$BM$1006,0)))),"Fix")))</f>
        <v xml:space="preserve"> </v>
      </c>
      <c r="V919" s="4" t="str">
        <f ca="1">IF(OR(INDEX($AG$2:$AG$1001,MATCH(ROWS($AF$2:AF919),$AF$2:$AF$1001,0),1)&gt;=100000,INDEX($AM$1005:$BM$1005,1,MATCH(COLUMNS($AM$1006:BG1006),$AM$1006:$BM$1006,0))&gt;=100000), " ",IF(INDEX($AM$2:$BM$1001,MATCH(ROWS($AF$2:AF919),$AF$2:$AF$1001,0),MATCH(COLUMNS($AM$1006:BG1006),$AM$1006:$BM$1006,0)), HYPERLINK("#",""), HYPERLINK(CONCATENATE("#metadata!", ADDRESS(INDEX($AH$2:$AH$1001,MATCH(ROWS($AF$2:AF919),$AF$2:$AF$1001,0),0), INDEX($AM$1004:$BM$1004,1,MATCH(COLUMNS($AM$1006:BG1006),$AM$1006:$BM$1006,0)))),"Fix")))</f>
        <v xml:space="preserve"> </v>
      </c>
      <c r="W919" s="4" t="str">
        <f ca="1">IF(OR(INDEX($AG$2:$AG$1001,MATCH(ROWS($AF$2:AF919),$AF$2:$AF$1001,0),1)&gt;=100000,INDEX($AM$1005:$BM$1005,1,MATCH(COLUMNS($AM$1006:BH1006),$AM$1006:$BM$1006,0))&gt;=100000), " ",IF(INDEX($AM$2:$BM$1001,MATCH(ROWS($AF$2:AF919),$AF$2:$AF$1001,0),MATCH(COLUMNS($AM$1006:BH1006),$AM$1006:$BM$1006,0)), HYPERLINK("#",""), HYPERLINK(CONCATENATE("#metadata!", ADDRESS(INDEX($AH$2:$AH$1001,MATCH(ROWS($AF$2:AF919),$AF$2:$AF$1001,0),0), INDEX($AM$1004:$BM$1004,1,MATCH(COLUMNS($AM$1006:BH1006),$AM$1006:$BM$1006,0)))),"Fix")))</f>
        <v xml:space="preserve"> </v>
      </c>
      <c r="X919" s="4" t="str">
        <f ca="1">IF(OR(INDEX($AG$2:$AG$1001,MATCH(ROWS($AF$2:AF919),$AF$2:$AF$1001,0),1)&gt;=100000,INDEX($AM$1005:$BM$1005,1,MATCH(COLUMNS($AM$1006:BI1006),$AM$1006:$BM$1006,0))&gt;=100000), " ",IF(INDEX($AM$2:$BM$1001,MATCH(ROWS($AF$2:AF919),$AF$2:$AF$1001,0),MATCH(COLUMNS($AM$1006:BI1006),$AM$1006:$BM$1006,0)), HYPERLINK("#",""), HYPERLINK(CONCATENATE("#metadata!", ADDRESS(INDEX($AH$2:$AH$1001,MATCH(ROWS($AF$2:AF919),$AF$2:$AF$1001,0),0), INDEX($AM$1004:$BM$1004,1,MATCH(COLUMNS($AM$1006:BI1006),$AM$1006:$BM$1006,0)))),"Fix")))</f>
        <v xml:space="preserve"> </v>
      </c>
      <c r="Y919" s="4" t="str">
        <f ca="1">IF(OR(INDEX($AG$2:$AG$1001,MATCH(ROWS($AF$2:AF919),$AF$2:$AF$1001,0),1)&gt;=100000,INDEX($AM$1005:$BM$1005,1,MATCH(COLUMNS($AM$1006:BJ1006),$AM$1006:$BM$1006,0))&gt;=100000), " ",IF(INDEX($AM$2:$BM$1001,MATCH(ROWS($AF$2:AF919),$AF$2:$AF$1001,0),MATCH(COLUMNS($AM$1006:BJ1006),$AM$1006:$BM$1006,0)), HYPERLINK("#",""), HYPERLINK(CONCATENATE("#metadata!", ADDRESS(INDEX($AH$2:$AH$1001,MATCH(ROWS($AF$2:AF919),$AF$2:$AF$1001,0),0), INDEX($AM$1004:$BM$1004,1,MATCH(COLUMNS($AM$1006:BJ1006),$AM$1006:$BM$1006,0)))),"Fix")))</f>
        <v xml:space="preserve"> </v>
      </c>
      <c r="Z919" s="4" t="str">
        <f ca="1">IF(OR(INDEX($AG$2:$AG$1001,MATCH(ROWS($AF$2:AF919),$AF$2:$AF$1001,0),1)&gt;=100000,INDEX($AM$1005:$BM$1005,1,MATCH(COLUMNS($AM$1006:BK1006),$AM$1006:$BM$1006,0))&gt;=100000), " ",IF(INDEX($AM$2:$BM$1001,MATCH(ROWS($AF$2:AF919),$AF$2:$AF$1001,0),MATCH(COLUMNS($AM$1006:BK1006),$AM$1006:$BM$1006,0)), HYPERLINK("#",""), HYPERLINK(CONCATENATE("#metadata!", ADDRESS(INDEX($AH$2:$AH$1001,MATCH(ROWS($AF$2:AF919),$AF$2:$AF$1001,0),0), INDEX($AM$1004:$BM$1004,1,MATCH(COLUMNS($AM$1006:BK1006),$AM$1006:$BM$1006,0)))),"Fix")))</f>
        <v xml:space="preserve"> </v>
      </c>
      <c r="AA919" s="4" t="str">
        <f ca="1">IF(OR(INDEX($AG$2:$AG$1001,MATCH(ROWS($AF$2:AF919),$AF$2:$AF$1001,0),1)&gt;=100000,INDEX($AM$1005:$BM$1005,1,MATCH(COLUMNS($AM$1006:BL1006),$AM$1006:$BM$1006,0))&gt;=100000), " ",IF(INDEX($AM$2:$BM$1001,MATCH(ROWS($AF$2:AF919),$AF$2:$AF$1001,0),MATCH(COLUMNS($AM$1006:BL1006),$AM$1006:$BM$1006,0)), HYPERLINK("#",""), HYPERLINK(CONCATENATE("#metadata!", ADDRESS(INDEX($AH$2:$AH$1001,MATCH(ROWS($AF$2:AF919),$AF$2:$AF$1001,0),0), INDEX($AM$1004:$BM$1004,1,MATCH(COLUMNS($AM$1006:BL1006),$AM$1006:$BM$1006,0)))),"Fix")))</f>
        <v xml:space="preserve"> </v>
      </c>
      <c r="AB919" s="4" t="str">
        <f ca="1">IF(OR(INDEX($AG$2:$AG$1001,MATCH(ROWS($AF$2:AF919),$AF$2:$AF$1001,0),1)&gt;=100000,INDEX($AM$1005:$BM$1005,1,MATCH(COLUMNS($AM$1006:BM1006),$AM$1006:$BM$1006,0))&gt;=100000), " ",IF(INDEX($AM$2:$BM$1001,MATCH(ROWS($AF$2:AF919),$AF$2:$AF$1001,0),MATCH(COLUMNS($AM$1006:BM1006),$AM$1006:$BM$1006,0)), HYPERLINK("#",""), HYPERLINK(CONCATENATE("#metadata!", ADDRESS(INDEX($AH$2:$AH$1001,MATCH(ROWS($AF$2:AF919),$AF$2:$AF$1001,0),0), INDEX($AM$1004:$BM$1004,1,MATCH(COLUMNS($AM$1006:BM1006),$AM$1006:$BM$1006,0)))),"Fix")))</f>
        <v xml:space="preserve"> </v>
      </c>
      <c r="AF919">
        <v>918</v>
      </c>
      <c r="AG919">
        <v>100919</v>
      </c>
      <c r="AH919">
        <v>919</v>
      </c>
      <c r="AI919" t="b">
        <f t="shared" si="14"/>
        <v>1</v>
      </c>
      <c r="AJ919" t="b">
        <f>COUNTBLANK(metadata!B919:AB919)=COLUMNS(metadata!B919:AB919)</f>
        <v>1</v>
      </c>
      <c r="AK919" t="str">
        <v/>
      </c>
      <c r="AM919" t="b">
        <f ca="1">AND(IF(metadata!B919="",FALSE,TRUE),COUNTIF(metadata!B:B, metadata!B919) = 1,NOT(ISERROR(SUMPRODUCT(SEARCH(MID(metadata!B919,ROW(INDIRECT("1:"&amp;LEN(metadata!B919))), 1),"0123456789abcdefghijklmnopqrstuvwxyzABCDEFGHIJKLMNOPQRSTUVWXYZ.")))))</f>
        <v>0</v>
      </c>
      <c r="AN919" t="b">
        <f ca="1">OR(AND(IF(metadata!C919="",FALSE,TRUE),OR(EXACT(metadata!C919,"missing: not collected"),EXACT(metadata!C919,"missing: not provided"),EXACT(metadata!C919,"missing: restricted access"))),AND(IF(metadata!C919="",FALSE,TRUE),AND(AND(IFERROR(INT(LEFT(metadata!C919,4))&gt;1900,FALSE),IFERROR(INT(LEFT(metadata!C919,4))&lt;=YEAR(NOW()),FALSE)), OR(MID(metadata!C919,5,1)="", AND(AND(MID(metadata!C919,5,1)="-",IFERROR(INT(MID(metadata!C919,6,1))&gt;=0,FALSE),IFERROR(INT(MID(metadata!C919,6,1))&lt;=1,FALSE),NOT(MID(metadata!C919,7,1)=""),IFERROR(INT(MID(metadata!C919,6,2))&gt;=1,FALSE),IFERROR(INT(MID(metadata!C919,6,2))&lt;=12,FALSE)), OR(MID(metadata!C919,8,1)="", AND(AND(MID(metadata!C919,8,1)="-",IFERROR(INT(MID(metadata!C919,9,1))&gt;=0,FALSE),IFERROR(INT(MID(metadata!C919,9,1))&lt;=3,FALSE),NOT(MID(metadata!C919,10,1)=""),IFERROR(INT(MID(metadata!C919,9,2))&gt;=1,FALSE),IFERROR(INT(MID(metadata!C919,9,2))&lt;=31,FALSE)), OR(MID(metadata!C919,11,1)="", AND(AND(MID(metadata!C919,11,1)=" ",IFERROR(INT(MID(metadata!C919,12,1))&gt;=0,FALSE),IFERROR(INT(MID(metadata!C919,12,1))&lt;=2,FALSE),NOT(MID(metadata!C919,13,1)=""),IFERROR(INT(MID(metadata!C919,12,2))&gt;=0,FALSE),IFERROR(INT(MID(metadata!C919,12,2))&lt;=23,FALSE)), OR(MID(metadata!C919,14,1)="", AND(AND(MID(metadata!C919,14,1)=":",IFERROR(INT(MID(metadata!C919,15,1))&gt;=0,FALSE),IFERROR(INT(MID(metadata!C919,15,1))&lt;=5,FALSE),NOT(MID(metadata!C919,16,1)=""),IFERROR(INT(MID(metadata!C919,15,2))&gt;=0,FALSE),IFERROR(INT(MID(metadata!C919,15,2))&lt;=59,FALSE)), OR(MID(metadata!C919,17,1)="", AND(AND(MID(metadata!C919,17,1)=":",IFERROR(INT(MID(metadata!C919,18,1))&gt;=0,FALSE),IFERROR(INT(MID(metadata!C919,18,1))&lt;=5,FALSE),NOT(MID(metadata!C919,19,1)=""),IFERROR(INT(MID(metadata!C919,18,2))&gt;=0,FALSE),IFERROR(INT(MID(metadata!C919,18,2))&lt;=59,FALSE)), LEN(metadata!C919)&lt;=19)))))))))))))</f>
        <v>0</v>
      </c>
      <c r="AO919" t="b">
        <f>AND(IF(metadata!D919="",FALSE,TRUE),EXACT(metadata!D919,"Not applicable"))</f>
        <v>0</v>
      </c>
      <c r="AP919" t="b">
        <f>IF(metadata!E919="",FALSE,TRUE)</f>
        <v>0</v>
      </c>
      <c r="AQ919" t="b">
        <f>OR(AND(IF(metadata!F919="",FALSE,TRUE),OR(EXACT(metadata!F919,"missing: not collected"),EXACT(metadata!F919,"missing: not provided"))),AND(IF(metadata!F919="",FALSE,TRUE),OR(EXACT(metadata!F919,"TRUE"),EXACT(metadata!F919,"FALSE"))))</f>
        <v>0</v>
      </c>
      <c r="AR919" t="b">
        <f>OR(AND(IF(metadata!G919="",FALSE,TRUE),OR(EXACT(metadata!G919,"missing: not collected"),EXACT(metadata!G919,"missing: not provided"),EXACT(metadata!G919,"missing: restricted access"))),AND(IF(metadata!G919="",FALSE,ISNUMBER(VALUE(metadata!G919))),metadata!G919&gt;=-413))</f>
        <v>0</v>
      </c>
      <c r="AS919" t="b">
        <f>AND(IF(metadata!H919="",FALSE,TRUE),EXACT(metadata!H919,"meters"))</f>
        <v>0</v>
      </c>
      <c r="AT919" t="b">
        <f>AND(IF(metadata!I919="",FALSE,TRUE),OR(EXACT(metadata!I919,"Host-associated"),EXACT(metadata!I919,"Free-living")))</f>
        <v>0</v>
      </c>
      <c r="AU919" t="b">
        <f>AND(IF(metadata!J919="",FALSE,TRUE),OR(EXACT(metadata!J919,"Animal"),EXACT(metadata!J919,"Fungus"),EXACT(metadata!J919,"Plant"),EXACT(metadata!J919,"Saline"),EXACT(metadata!J919,"Non-saline")))</f>
        <v>0</v>
      </c>
      <c r="AV919" t="b">
        <f>AND(IF(metadata!K919="",FALSE,TRUE),OR(EXACT(metadata!K919,"Plant secretion"),EXACT(metadata!K919,"Plant rhizosphere"),EXACT(metadata!K919,"Plant surface"),EXACT(metadata!K919,"Plant corpus"),EXACT(metadata!K919,"Fungus surface"),EXACT(metadata!K919,"Fungus corpus"),EXACT(metadata!K919,"Animal surface"),EXACT(metadata!K919,"Animal proximal gut"),EXACT(metadata!K919,"Animal corpus"),EXACT(metadata!K919,"Animal distal gut"),EXACT(metadata!K919,"Animal secretion"),EXACT(metadata!K919,"Sub-surface (non-saline)"),EXACT(metadata!K919,"Surface (non-saline)"),EXACT(metadata!K919,"Water (non-saline)"),EXACT(metadata!K919,"Soil (non-saline)"),EXACT(metadata!K919,"Aerosol (non-saline)"),EXACT(metadata!K919,"Sediment (non-saline)"),EXACT(metadata!K919,"Surface (saline)"),EXACT(metadata!K919,"Water (saline)"),EXACT(metadata!K919,"Hypersaline (saline)"),EXACT(metadata!K919,"Aerosol (saline)"),EXACT(metadata!K919,"Sediment (saline)")))</f>
        <v>0</v>
      </c>
      <c r="AW919" t="b">
        <f>IF(metadata!L919="",FALSE,TRUE)</f>
        <v>0</v>
      </c>
      <c r="AX919" t="b">
        <f>IF(metadata!M919="",FALSE,TRUE)</f>
        <v>0</v>
      </c>
      <c r="AY919" t="b">
        <f>IF(metadata!N919="",FALSE,TRUE)</f>
        <v>0</v>
      </c>
      <c r="AZ919" t="b">
        <f>OR(AND(IF(metadata!O919="",FALSE,TRUE),OR(EXACT(metadata!O919,"missing: not collected"),EXACT(metadata!O919,"missing: not provided"),EXACT(metadata!O919,"missing: restricted access"))),AND(IF(metadata!O919="",FALSE,TRUE),OR(EXACT(metadata!O919,"air"),EXACT(metadata!O919,"built environment"),EXACT(metadata!O919,"host-associated"),EXACT(metadata!O919,"human-associated"),EXACT(metadata!O919,"human-skin"),EXACT(metadata!O919,"human-oral"),EXACT(metadata!O919,"human-gut"),EXACT(metadata!O919,"human-vaginal"),EXACT(metadata!O919,"microbial mat/biofilm"),EXACT(metadata!O919,"misc environment"),EXACT(metadata!O919,"plant-associated"),EXACT(metadata!O919,"sediment"),EXACT(metadata!O919,"soil"),EXACT(metadata!O919,"wastewater/sludge"),EXACT(metadata!O919,"water"))))</f>
        <v>0</v>
      </c>
      <c r="BA919" t="b">
        <f>IF(metadata!P919="",FALSE,TRUE)</f>
        <v>0</v>
      </c>
      <c r="BB919" t="b">
        <f>IF(metadata!Q919="",FALSE,TRUE)</f>
        <v>0</v>
      </c>
      <c r="BC919" t="b">
        <f>OR(AND(IF(metadata!R919="",FALSE,TRUE),OR(EXACT(metadata!R919,"missing: not collected"),EXACT(metadata!R919,"missing: not provided"),EXACT(metadata!R919,"missing: restricted access"))),AND(IF(metadata!R919="",FALSE,ISNUMBER(VALUE(metadata!R919))),metadata!R919&gt;=-90,metadata!R919&lt;=90))</f>
        <v>0</v>
      </c>
      <c r="BD919" t="b">
        <f>AND(IF(metadata!S919="",FALSE,TRUE),EXACT(metadata!S919,"Decimal degrees"))</f>
        <v>0</v>
      </c>
      <c r="BE919" t="b">
        <f>OR(AND(IF(metadata!T919="",FALSE,TRUE),OR(EXACT(metadata!T919,"missing: not collected"),EXACT(metadata!T919,"missing: not provided"),EXACT(metadata!T919,"missing: restricted access"))),AND(IF(metadata!T919="",FALSE,ISNUMBER(VALUE(metadata!T919))),metadata!T919&gt;=-180,metadata!T919&lt;=180))</f>
        <v>0</v>
      </c>
      <c r="BF919" t="b">
        <f>AND(IF(metadata!U919="",FALSE,TRUE),EXACT(metadata!U919,"Decimal degrees"))</f>
        <v>0</v>
      </c>
      <c r="BG919" t="b">
        <f>IF(metadata!V919="",FALSE,TRUE)</f>
        <v>0</v>
      </c>
      <c r="BH919" t="b">
        <f>OR(AND(IF(metadata!W919="",FALSE,TRUE),OR(EXACT(metadata!W919,"missing: not collected"),EXACT(metadata!W919,"missing: not provided"),EXACT(metadata!W919,"missing: restricted access"))),AND(IF(metadata!W919="",FALSE,TRUE),OR(EXACT(metadata!W919,"TRUE"),EXACT(metadata!W919,"FALSE"))))</f>
        <v>0</v>
      </c>
      <c r="BI919" t="b">
        <f>AND(IF(metadata!X919="",FALSE,TRUE),EXACT(metadata!X919,"other"))</f>
        <v>0</v>
      </c>
      <c r="BJ919" t="b">
        <f>IF(metadata!Y919="",FALSE,TRUE)</f>
        <v>0</v>
      </c>
      <c r="BK919" t="b">
        <f>OR(AND(IF(metadata!Z919="",FALSE,TRUE),OR(EXACT(metadata!Z919,"missing: not collected"),EXACT(metadata!Z919,"missing: not provided"))),AND(IF(metadata!Z919="",FALSE,IF(ISERROR(INT(metadata!Z919)),FALSE,INT(metadata!Z919)=metadata!Z919)),metadata!Z919&gt;0))</f>
        <v>0</v>
      </c>
      <c r="BL919" t="b">
        <f>AND(IF(metadata!AA919="",FALSE,TRUE),EXACT(metadata!AA919,"Not applicable"))</f>
        <v>0</v>
      </c>
      <c r="BM919" t="b">
        <f>IF(metadata!AB919="",FALSE,TRUE)</f>
        <v>0</v>
      </c>
    </row>
    <row r="920" spans="1:65" x14ac:dyDescent="0.2">
      <c r="A920" s="5" t="str">
        <f ca="1">IF(B920=" "," ",HYPERLINK(CONCATENATE("#metadata!",ADDRESS(INDEX($AH$2:$AH$1001,MATCH(ROWS($AF$2:AF920),$AF$2:$AF$1001,0),0),1)),INDEX($AK$2:$AK$1001,MATCH(ROWS($AF$2:AF920),$AF$2:$AF$1001,0),0)))</f>
        <v xml:space="preserve"> </v>
      </c>
      <c r="B920" s="4" t="str">
        <f ca="1">IF(OR(INDEX($AG$2:$AG$1001,MATCH(ROWS($AF$2:AF920),$AF$2:$AF$1001,0),1)&gt;=100000,INDEX($AM$1005:$BM$1005,1,MATCH(COLUMNS($AM$1006:AM1006),$AM$1006:$BM$1006,0))&gt;=100000), " ",IF(INDEX($AM$2:$BM$1001,MATCH(ROWS($AF$2:AF920),$AF$2:$AF$1001,0),MATCH(COLUMNS($AM$1006:AM1006),$AM$1006:$BM$1006,0)), HYPERLINK("#",""), HYPERLINK(CONCATENATE("#metadata!", ADDRESS(INDEX($AH$2:$AH$1001,MATCH(ROWS($AF$2:AF920),$AF$2:$AF$1001,0),0), INDEX($AM$1004:$BM$1004,1,MATCH(COLUMNS($AM$1006:AM1006),$AM$1006:$BM$1006,0)))),"Fix")))</f>
        <v xml:space="preserve"> </v>
      </c>
      <c r="C920" s="4" t="str">
        <f ca="1">IF(OR(INDEX($AG$2:$AG$1001,MATCH(ROWS($AF$2:AF920),$AF$2:$AF$1001,0),1)&gt;=100000,INDEX($AM$1005:$BM$1005,1,MATCH(COLUMNS($AM$1006:AN1006),$AM$1006:$BM$1006,0))&gt;=100000), " ",IF(INDEX($AM$2:$BM$1001,MATCH(ROWS($AF$2:AF920),$AF$2:$AF$1001,0),MATCH(COLUMNS($AM$1006:AN1006),$AM$1006:$BM$1006,0)), HYPERLINK("#",""), HYPERLINK(CONCATENATE("#metadata!", ADDRESS(INDEX($AH$2:$AH$1001,MATCH(ROWS($AF$2:AF920),$AF$2:$AF$1001,0),0), INDEX($AM$1004:$BM$1004,1,MATCH(COLUMNS($AM$1006:AN1006),$AM$1006:$BM$1006,0)))),"Fix")))</f>
        <v xml:space="preserve"> </v>
      </c>
      <c r="D920" s="4" t="str">
        <f ca="1">IF(OR(INDEX($AG$2:$AG$1001,MATCH(ROWS($AF$2:AF920),$AF$2:$AF$1001,0),1)&gt;=100000,INDEX($AM$1005:$BM$1005,1,MATCH(COLUMNS($AM$1006:AO1006),$AM$1006:$BM$1006,0))&gt;=100000), " ",IF(INDEX($AM$2:$BM$1001,MATCH(ROWS($AF$2:AF920),$AF$2:$AF$1001,0),MATCH(COLUMNS($AM$1006:AO1006),$AM$1006:$BM$1006,0)), HYPERLINK("#",""), HYPERLINK(CONCATENATE("#metadata!", ADDRESS(INDEX($AH$2:$AH$1001,MATCH(ROWS($AF$2:AF920),$AF$2:$AF$1001,0),0), INDEX($AM$1004:$BM$1004,1,MATCH(COLUMNS($AM$1006:AO1006),$AM$1006:$BM$1006,0)))),"Fix")))</f>
        <v xml:space="preserve"> </v>
      </c>
      <c r="E920" s="4" t="str">
        <f ca="1">IF(OR(INDEX($AG$2:$AG$1001,MATCH(ROWS($AF$2:AF920),$AF$2:$AF$1001,0),1)&gt;=100000,INDEX($AM$1005:$BM$1005,1,MATCH(COLUMNS($AM$1006:AP1006),$AM$1006:$BM$1006,0))&gt;=100000), " ",IF(INDEX($AM$2:$BM$1001,MATCH(ROWS($AF$2:AF920),$AF$2:$AF$1001,0),MATCH(COLUMNS($AM$1006:AP1006),$AM$1006:$BM$1006,0)), HYPERLINK("#",""), HYPERLINK(CONCATENATE("#metadata!", ADDRESS(INDEX($AH$2:$AH$1001,MATCH(ROWS($AF$2:AF920),$AF$2:$AF$1001,0),0), INDEX($AM$1004:$BM$1004,1,MATCH(COLUMNS($AM$1006:AP1006),$AM$1006:$BM$1006,0)))),"Fix")))</f>
        <v xml:space="preserve"> </v>
      </c>
      <c r="F920" s="4" t="str">
        <f ca="1">IF(OR(INDEX($AG$2:$AG$1001,MATCH(ROWS($AF$2:AF920),$AF$2:$AF$1001,0),1)&gt;=100000,INDEX($AM$1005:$BM$1005,1,MATCH(COLUMNS($AM$1006:AQ1006),$AM$1006:$BM$1006,0))&gt;=100000), " ",IF(INDEX($AM$2:$BM$1001,MATCH(ROWS($AF$2:AF920),$AF$2:$AF$1001,0),MATCH(COLUMNS($AM$1006:AQ1006),$AM$1006:$BM$1006,0)), HYPERLINK("#",""), HYPERLINK(CONCATENATE("#metadata!", ADDRESS(INDEX($AH$2:$AH$1001,MATCH(ROWS($AF$2:AF920),$AF$2:$AF$1001,0),0), INDEX($AM$1004:$BM$1004,1,MATCH(COLUMNS($AM$1006:AQ1006),$AM$1006:$BM$1006,0)))),"Fix")))</f>
        <v xml:space="preserve"> </v>
      </c>
      <c r="G920" s="4" t="str">
        <f ca="1">IF(OR(INDEX($AG$2:$AG$1001,MATCH(ROWS($AF$2:AF920),$AF$2:$AF$1001,0),1)&gt;=100000,INDEX($AM$1005:$BM$1005,1,MATCH(COLUMNS($AM$1006:AR1006),$AM$1006:$BM$1006,0))&gt;=100000), " ",IF(INDEX($AM$2:$BM$1001,MATCH(ROWS($AF$2:AF920),$AF$2:$AF$1001,0),MATCH(COLUMNS($AM$1006:AR1006),$AM$1006:$BM$1006,0)), HYPERLINK("#",""), HYPERLINK(CONCATENATE("#metadata!", ADDRESS(INDEX($AH$2:$AH$1001,MATCH(ROWS($AF$2:AF920),$AF$2:$AF$1001,0),0), INDEX($AM$1004:$BM$1004,1,MATCH(COLUMNS($AM$1006:AR1006),$AM$1006:$BM$1006,0)))),"Fix")))</f>
        <v xml:space="preserve"> </v>
      </c>
      <c r="H920" s="4" t="str">
        <f ca="1">IF(OR(INDEX($AG$2:$AG$1001,MATCH(ROWS($AF$2:AF920),$AF$2:$AF$1001,0),1)&gt;=100000,INDEX($AM$1005:$BM$1005,1,MATCH(COLUMNS($AM$1006:AS1006),$AM$1006:$BM$1006,0))&gt;=100000), " ",IF(INDEX($AM$2:$BM$1001,MATCH(ROWS($AF$2:AF920),$AF$2:$AF$1001,0),MATCH(COLUMNS($AM$1006:AS1006),$AM$1006:$BM$1006,0)), HYPERLINK("#",""), HYPERLINK(CONCATENATE("#metadata!", ADDRESS(INDEX($AH$2:$AH$1001,MATCH(ROWS($AF$2:AF920),$AF$2:$AF$1001,0),0), INDEX($AM$1004:$BM$1004,1,MATCH(COLUMNS($AM$1006:AS1006),$AM$1006:$BM$1006,0)))),"Fix")))</f>
        <v xml:space="preserve"> </v>
      </c>
      <c r="I920" s="4" t="str">
        <f ca="1">IF(OR(INDEX($AG$2:$AG$1001,MATCH(ROWS($AF$2:AF920),$AF$2:$AF$1001,0),1)&gt;=100000,INDEX($AM$1005:$BM$1005,1,MATCH(COLUMNS($AM$1006:AT1006),$AM$1006:$BM$1006,0))&gt;=100000), " ",IF(INDEX($AM$2:$BM$1001,MATCH(ROWS($AF$2:AF920),$AF$2:$AF$1001,0),MATCH(COLUMNS($AM$1006:AT1006),$AM$1006:$BM$1006,0)), HYPERLINK("#",""), HYPERLINK(CONCATENATE("#metadata!", ADDRESS(INDEX($AH$2:$AH$1001,MATCH(ROWS($AF$2:AF920),$AF$2:$AF$1001,0),0), INDEX($AM$1004:$BM$1004,1,MATCH(COLUMNS($AM$1006:AT1006),$AM$1006:$BM$1006,0)))),"Fix")))</f>
        <v xml:space="preserve"> </v>
      </c>
      <c r="J920" s="4" t="str">
        <f ca="1">IF(OR(INDEX($AG$2:$AG$1001,MATCH(ROWS($AF$2:AF920),$AF$2:$AF$1001,0),1)&gt;=100000,INDEX($AM$1005:$BM$1005,1,MATCH(COLUMNS($AM$1006:AU1006),$AM$1006:$BM$1006,0))&gt;=100000), " ",IF(INDEX($AM$2:$BM$1001,MATCH(ROWS($AF$2:AF920),$AF$2:$AF$1001,0),MATCH(COLUMNS($AM$1006:AU1006),$AM$1006:$BM$1006,0)), HYPERLINK("#",""), HYPERLINK(CONCATENATE("#metadata!", ADDRESS(INDEX($AH$2:$AH$1001,MATCH(ROWS($AF$2:AF920),$AF$2:$AF$1001,0),0), INDEX($AM$1004:$BM$1004,1,MATCH(COLUMNS($AM$1006:AU1006),$AM$1006:$BM$1006,0)))),"Fix")))</f>
        <v xml:space="preserve"> </v>
      </c>
      <c r="K920" s="4" t="str">
        <f ca="1">IF(OR(INDEX($AG$2:$AG$1001,MATCH(ROWS($AF$2:AF920),$AF$2:$AF$1001,0),1)&gt;=100000,INDEX($AM$1005:$BM$1005,1,MATCH(COLUMNS($AM$1006:AV1006),$AM$1006:$BM$1006,0))&gt;=100000), " ",IF(INDEX($AM$2:$BM$1001,MATCH(ROWS($AF$2:AF920),$AF$2:$AF$1001,0),MATCH(COLUMNS($AM$1006:AV1006),$AM$1006:$BM$1006,0)), HYPERLINK("#",""), HYPERLINK(CONCATENATE("#metadata!", ADDRESS(INDEX($AH$2:$AH$1001,MATCH(ROWS($AF$2:AF920),$AF$2:$AF$1001,0),0), INDEX($AM$1004:$BM$1004,1,MATCH(COLUMNS($AM$1006:AV1006),$AM$1006:$BM$1006,0)))),"Fix")))</f>
        <v xml:space="preserve"> </v>
      </c>
      <c r="L920" s="4" t="str">
        <f ca="1">IF(OR(INDEX($AG$2:$AG$1001,MATCH(ROWS($AF$2:AF920),$AF$2:$AF$1001,0),1)&gt;=100000,INDEX($AM$1005:$BM$1005,1,MATCH(COLUMNS($AM$1006:AW1006),$AM$1006:$BM$1006,0))&gt;=100000), " ",IF(INDEX($AM$2:$BM$1001,MATCH(ROWS($AF$2:AF920),$AF$2:$AF$1001,0),MATCH(COLUMNS($AM$1006:AW1006),$AM$1006:$BM$1006,0)), HYPERLINK("#",""), HYPERLINK(CONCATENATE("#metadata!", ADDRESS(INDEX($AH$2:$AH$1001,MATCH(ROWS($AF$2:AF920),$AF$2:$AF$1001,0),0), INDEX($AM$1004:$BM$1004,1,MATCH(COLUMNS($AM$1006:AW1006),$AM$1006:$BM$1006,0)))),"Fix")))</f>
        <v xml:space="preserve"> </v>
      </c>
      <c r="M920" s="4" t="str">
        <f ca="1">IF(OR(INDEX($AG$2:$AG$1001,MATCH(ROWS($AF$2:AF920),$AF$2:$AF$1001,0),1)&gt;=100000,INDEX($AM$1005:$BM$1005,1,MATCH(COLUMNS($AM$1006:AX1006),$AM$1006:$BM$1006,0))&gt;=100000), " ",IF(INDEX($AM$2:$BM$1001,MATCH(ROWS($AF$2:AF920),$AF$2:$AF$1001,0),MATCH(COLUMNS($AM$1006:AX1006),$AM$1006:$BM$1006,0)), HYPERLINK("#",""), HYPERLINK(CONCATENATE("#metadata!", ADDRESS(INDEX($AH$2:$AH$1001,MATCH(ROWS($AF$2:AF920),$AF$2:$AF$1001,0),0), INDEX($AM$1004:$BM$1004,1,MATCH(COLUMNS($AM$1006:AX1006),$AM$1006:$BM$1006,0)))),"Fix")))</f>
        <v xml:space="preserve"> </v>
      </c>
      <c r="N920" s="4" t="str">
        <f ca="1">IF(OR(INDEX($AG$2:$AG$1001,MATCH(ROWS($AF$2:AF920),$AF$2:$AF$1001,0),1)&gt;=100000,INDEX($AM$1005:$BM$1005,1,MATCH(COLUMNS($AM$1006:AY1006),$AM$1006:$BM$1006,0))&gt;=100000), " ",IF(INDEX($AM$2:$BM$1001,MATCH(ROWS($AF$2:AF920),$AF$2:$AF$1001,0),MATCH(COLUMNS($AM$1006:AY1006),$AM$1006:$BM$1006,0)), HYPERLINK("#",""), HYPERLINK(CONCATENATE("#metadata!", ADDRESS(INDEX($AH$2:$AH$1001,MATCH(ROWS($AF$2:AF920),$AF$2:$AF$1001,0),0), INDEX($AM$1004:$BM$1004,1,MATCH(COLUMNS($AM$1006:AY1006),$AM$1006:$BM$1006,0)))),"Fix")))</f>
        <v xml:space="preserve"> </v>
      </c>
      <c r="O920" s="4" t="str">
        <f ca="1">IF(OR(INDEX($AG$2:$AG$1001,MATCH(ROWS($AF$2:AF920),$AF$2:$AF$1001,0),1)&gt;=100000,INDEX($AM$1005:$BM$1005,1,MATCH(COLUMNS($AM$1006:AZ1006),$AM$1006:$BM$1006,0))&gt;=100000), " ",IF(INDEX($AM$2:$BM$1001,MATCH(ROWS($AF$2:AF920),$AF$2:$AF$1001,0),MATCH(COLUMNS($AM$1006:AZ1006),$AM$1006:$BM$1006,0)), HYPERLINK("#",""), HYPERLINK(CONCATENATE("#metadata!", ADDRESS(INDEX($AH$2:$AH$1001,MATCH(ROWS($AF$2:AF920),$AF$2:$AF$1001,0),0), INDEX($AM$1004:$BM$1004,1,MATCH(COLUMNS($AM$1006:AZ1006),$AM$1006:$BM$1006,0)))),"Fix")))</f>
        <v xml:space="preserve"> </v>
      </c>
      <c r="P920" s="4" t="str">
        <f ca="1">IF(OR(INDEX($AG$2:$AG$1001,MATCH(ROWS($AF$2:AF920),$AF$2:$AF$1001,0),1)&gt;=100000,INDEX($AM$1005:$BM$1005,1,MATCH(COLUMNS($AM$1006:BA1006),$AM$1006:$BM$1006,0))&gt;=100000), " ",IF(INDEX($AM$2:$BM$1001,MATCH(ROWS($AF$2:AF920),$AF$2:$AF$1001,0),MATCH(COLUMNS($AM$1006:BA1006),$AM$1006:$BM$1006,0)), HYPERLINK("#",""), HYPERLINK(CONCATENATE("#metadata!", ADDRESS(INDEX($AH$2:$AH$1001,MATCH(ROWS($AF$2:AF920),$AF$2:$AF$1001,0),0), INDEX($AM$1004:$BM$1004,1,MATCH(COLUMNS($AM$1006:BA1006),$AM$1006:$BM$1006,0)))),"Fix")))</f>
        <v xml:space="preserve"> </v>
      </c>
      <c r="Q920" s="4" t="str">
        <f ca="1">IF(OR(INDEX($AG$2:$AG$1001,MATCH(ROWS($AF$2:AF920),$AF$2:$AF$1001,0),1)&gt;=100000,INDEX($AM$1005:$BM$1005,1,MATCH(COLUMNS($AM$1006:BB1006),$AM$1006:$BM$1006,0))&gt;=100000), " ",IF(INDEX($AM$2:$BM$1001,MATCH(ROWS($AF$2:AF920),$AF$2:$AF$1001,0),MATCH(COLUMNS($AM$1006:BB1006),$AM$1006:$BM$1006,0)), HYPERLINK("#",""), HYPERLINK(CONCATENATE("#metadata!", ADDRESS(INDEX($AH$2:$AH$1001,MATCH(ROWS($AF$2:AF920),$AF$2:$AF$1001,0),0), INDEX($AM$1004:$BM$1004,1,MATCH(COLUMNS($AM$1006:BB1006),$AM$1006:$BM$1006,0)))),"Fix")))</f>
        <v xml:space="preserve"> </v>
      </c>
      <c r="R920" s="4" t="str">
        <f ca="1">IF(OR(INDEX($AG$2:$AG$1001,MATCH(ROWS($AF$2:AF920),$AF$2:$AF$1001,0),1)&gt;=100000,INDEX($AM$1005:$BM$1005,1,MATCH(COLUMNS($AM$1006:BC1006),$AM$1006:$BM$1006,0))&gt;=100000), " ",IF(INDEX($AM$2:$BM$1001,MATCH(ROWS($AF$2:AF920),$AF$2:$AF$1001,0),MATCH(COLUMNS($AM$1006:BC1006),$AM$1006:$BM$1006,0)), HYPERLINK("#",""), HYPERLINK(CONCATENATE("#metadata!", ADDRESS(INDEX($AH$2:$AH$1001,MATCH(ROWS($AF$2:AF920),$AF$2:$AF$1001,0),0), INDEX($AM$1004:$BM$1004,1,MATCH(COLUMNS($AM$1006:BC1006),$AM$1006:$BM$1006,0)))),"Fix")))</f>
        <v xml:space="preserve"> </v>
      </c>
      <c r="S920" s="4" t="str">
        <f ca="1">IF(OR(INDEX($AG$2:$AG$1001,MATCH(ROWS($AF$2:AF920),$AF$2:$AF$1001,0),1)&gt;=100000,INDEX($AM$1005:$BM$1005,1,MATCH(COLUMNS($AM$1006:BD1006),$AM$1006:$BM$1006,0))&gt;=100000), " ",IF(INDEX($AM$2:$BM$1001,MATCH(ROWS($AF$2:AF920),$AF$2:$AF$1001,0),MATCH(COLUMNS($AM$1006:BD1006),$AM$1006:$BM$1006,0)), HYPERLINK("#",""), HYPERLINK(CONCATENATE("#metadata!", ADDRESS(INDEX($AH$2:$AH$1001,MATCH(ROWS($AF$2:AF920),$AF$2:$AF$1001,0),0), INDEX($AM$1004:$BM$1004,1,MATCH(COLUMNS($AM$1006:BD1006),$AM$1006:$BM$1006,0)))),"Fix")))</f>
        <v xml:space="preserve"> </v>
      </c>
      <c r="T920" s="4" t="str">
        <f ca="1">IF(OR(INDEX($AG$2:$AG$1001,MATCH(ROWS($AF$2:AF920),$AF$2:$AF$1001,0),1)&gt;=100000,INDEX($AM$1005:$BM$1005,1,MATCH(COLUMNS($AM$1006:BE1006),$AM$1006:$BM$1006,0))&gt;=100000), " ",IF(INDEX($AM$2:$BM$1001,MATCH(ROWS($AF$2:AF920),$AF$2:$AF$1001,0),MATCH(COLUMNS($AM$1006:BE1006),$AM$1006:$BM$1006,0)), HYPERLINK("#",""), HYPERLINK(CONCATENATE("#metadata!", ADDRESS(INDEX($AH$2:$AH$1001,MATCH(ROWS($AF$2:AF920),$AF$2:$AF$1001,0),0), INDEX($AM$1004:$BM$1004,1,MATCH(COLUMNS($AM$1006:BE1006),$AM$1006:$BM$1006,0)))),"Fix")))</f>
        <v xml:space="preserve"> </v>
      </c>
      <c r="U920" s="4" t="str">
        <f ca="1">IF(OR(INDEX($AG$2:$AG$1001,MATCH(ROWS($AF$2:AF920),$AF$2:$AF$1001,0),1)&gt;=100000,INDEX($AM$1005:$BM$1005,1,MATCH(COLUMNS($AM$1006:BF1006),$AM$1006:$BM$1006,0))&gt;=100000), " ",IF(INDEX($AM$2:$BM$1001,MATCH(ROWS($AF$2:AF920),$AF$2:$AF$1001,0),MATCH(COLUMNS($AM$1006:BF1006),$AM$1006:$BM$1006,0)), HYPERLINK("#",""), HYPERLINK(CONCATENATE("#metadata!", ADDRESS(INDEX($AH$2:$AH$1001,MATCH(ROWS($AF$2:AF920),$AF$2:$AF$1001,0),0), INDEX($AM$1004:$BM$1004,1,MATCH(COLUMNS($AM$1006:BF1006),$AM$1006:$BM$1006,0)))),"Fix")))</f>
        <v xml:space="preserve"> </v>
      </c>
      <c r="V920" s="4" t="str">
        <f ca="1">IF(OR(INDEX($AG$2:$AG$1001,MATCH(ROWS($AF$2:AF920),$AF$2:$AF$1001,0),1)&gt;=100000,INDEX($AM$1005:$BM$1005,1,MATCH(COLUMNS($AM$1006:BG1006),$AM$1006:$BM$1006,0))&gt;=100000), " ",IF(INDEX($AM$2:$BM$1001,MATCH(ROWS($AF$2:AF920),$AF$2:$AF$1001,0),MATCH(COLUMNS($AM$1006:BG1006),$AM$1006:$BM$1006,0)), HYPERLINK("#",""), HYPERLINK(CONCATENATE("#metadata!", ADDRESS(INDEX($AH$2:$AH$1001,MATCH(ROWS($AF$2:AF920),$AF$2:$AF$1001,0),0), INDEX($AM$1004:$BM$1004,1,MATCH(COLUMNS($AM$1006:BG1006),$AM$1006:$BM$1006,0)))),"Fix")))</f>
        <v xml:space="preserve"> </v>
      </c>
      <c r="W920" s="4" t="str">
        <f ca="1">IF(OR(INDEX($AG$2:$AG$1001,MATCH(ROWS($AF$2:AF920),$AF$2:$AF$1001,0),1)&gt;=100000,INDEX($AM$1005:$BM$1005,1,MATCH(COLUMNS($AM$1006:BH1006),$AM$1006:$BM$1006,0))&gt;=100000), " ",IF(INDEX($AM$2:$BM$1001,MATCH(ROWS($AF$2:AF920),$AF$2:$AF$1001,0),MATCH(COLUMNS($AM$1006:BH1006),$AM$1006:$BM$1006,0)), HYPERLINK("#",""), HYPERLINK(CONCATENATE("#metadata!", ADDRESS(INDEX($AH$2:$AH$1001,MATCH(ROWS($AF$2:AF920),$AF$2:$AF$1001,0),0), INDEX($AM$1004:$BM$1004,1,MATCH(COLUMNS($AM$1006:BH1006),$AM$1006:$BM$1006,0)))),"Fix")))</f>
        <v xml:space="preserve"> </v>
      </c>
      <c r="X920" s="4" t="str">
        <f ca="1">IF(OR(INDEX($AG$2:$AG$1001,MATCH(ROWS($AF$2:AF920),$AF$2:$AF$1001,0),1)&gt;=100000,INDEX($AM$1005:$BM$1005,1,MATCH(COLUMNS($AM$1006:BI1006),$AM$1006:$BM$1006,0))&gt;=100000), " ",IF(INDEX($AM$2:$BM$1001,MATCH(ROWS($AF$2:AF920),$AF$2:$AF$1001,0),MATCH(COLUMNS($AM$1006:BI1006),$AM$1006:$BM$1006,0)), HYPERLINK("#",""), HYPERLINK(CONCATENATE("#metadata!", ADDRESS(INDEX($AH$2:$AH$1001,MATCH(ROWS($AF$2:AF920),$AF$2:$AF$1001,0),0), INDEX($AM$1004:$BM$1004,1,MATCH(COLUMNS($AM$1006:BI1006),$AM$1006:$BM$1006,0)))),"Fix")))</f>
        <v xml:space="preserve"> </v>
      </c>
      <c r="Y920" s="4" t="str">
        <f ca="1">IF(OR(INDEX($AG$2:$AG$1001,MATCH(ROWS($AF$2:AF920),$AF$2:$AF$1001,0),1)&gt;=100000,INDEX($AM$1005:$BM$1005,1,MATCH(COLUMNS($AM$1006:BJ1006),$AM$1006:$BM$1006,0))&gt;=100000), " ",IF(INDEX($AM$2:$BM$1001,MATCH(ROWS($AF$2:AF920),$AF$2:$AF$1001,0),MATCH(COLUMNS($AM$1006:BJ1006),$AM$1006:$BM$1006,0)), HYPERLINK("#",""), HYPERLINK(CONCATENATE("#metadata!", ADDRESS(INDEX($AH$2:$AH$1001,MATCH(ROWS($AF$2:AF920),$AF$2:$AF$1001,0),0), INDEX($AM$1004:$BM$1004,1,MATCH(COLUMNS($AM$1006:BJ1006),$AM$1006:$BM$1006,0)))),"Fix")))</f>
        <v xml:space="preserve"> </v>
      </c>
      <c r="Z920" s="4" t="str">
        <f ca="1">IF(OR(INDEX($AG$2:$AG$1001,MATCH(ROWS($AF$2:AF920),$AF$2:$AF$1001,0),1)&gt;=100000,INDEX($AM$1005:$BM$1005,1,MATCH(COLUMNS($AM$1006:BK1006),$AM$1006:$BM$1006,0))&gt;=100000), " ",IF(INDEX($AM$2:$BM$1001,MATCH(ROWS($AF$2:AF920),$AF$2:$AF$1001,0),MATCH(COLUMNS($AM$1006:BK1006),$AM$1006:$BM$1006,0)), HYPERLINK("#",""), HYPERLINK(CONCATENATE("#metadata!", ADDRESS(INDEX($AH$2:$AH$1001,MATCH(ROWS($AF$2:AF920),$AF$2:$AF$1001,0),0), INDEX($AM$1004:$BM$1004,1,MATCH(COLUMNS($AM$1006:BK1006),$AM$1006:$BM$1006,0)))),"Fix")))</f>
        <v xml:space="preserve"> </v>
      </c>
      <c r="AA920" s="4" t="str">
        <f ca="1">IF(OR(INDEX($AG$2:$AG$1001,MATCH(ROWS($AF$2:AF920),$AF$2:$AF$1001,0),1)&gt;=100000,INDEX($AM$1005:$BM$1005,1,MATCH(COLUMNS($AM$1006:BL1006),$AM$1006:$BM$1006,0))&gt;=100000), " ",IF(INDEX($AM$2:$BM$1001,MATCH(ROWS($AF$2:AF920),$AF$2:$AF$1001,0),MATCH(COLUMNS($AM$1006:BL1006),$AM$1006:$BM$1006,0)), HYPERLINK("#",""), HYPERLINK(CONCATENATE("#metadata!", ADDRESS(INDEX($AH$2:$AH$1001,MATCH(ROWS($AF$2:AF920),$AF$2:$AF$1001,0),0), INDEX($AM$1004:$BM$1004,1,MATCH(COLUMNS($AM$1006:BL1006),$AM$1006:$BM$1006,0)))),"Fix")))</f>
        <v xml:space="preserve"> </v>
      </c>
      <c r="AB920" s="4" t="str">
        <f ca="1">IF(OR(INDEX($AG$2:$AG$1001,MATCH(ROWS($AF$2:AF920),$AF$2:$AF$1001,0),1)&gt;=100000,INDEX($AM$1005:$BM$1005,1,MATCH(COLUMNS($AM$1006:BM1006),$AM$1006:$BM$1006,0))&gt;=100000), " ",IF(INDEX($AM$2:$BM$1001,MATCH(ROWS($AF$2:AF920),$AF$2:$AF$1001,0),MATCH(COLUMNS($AM$1006:BM1006),$AM$1006:$BM$1006,0)), HYPERLINK("#",""), HYPERLINK(CONCATENATE("#metadata!", ADDRESS(INDEX($AH$2:$AH$1001,MATCH(ROWS($AF$2:AF920),$AF$2:$AF$1001,0),0), INDEX($AM$1004:$BM$1004,1,MATCH(COLUMNS($AM$1006:BM1006),$AM$1006:$BM$1006,0)))),"Fix")))</f>
        <v xml:space="preserve"> </v>
      </c>
      <c r="AF920">
        <v>919</v>
      </c>
      <c r="AG920">
        <v>100920</v>
      </c>
      <c r="AH920">
        <v>920</v>
      </c>
      <c r="AI920" t="b">
        <f t="shared" si="14"/>
        <v>1</v>
      </c>
      <c r="AJ920" t="b">
        <f>COUNTBLANK(metadata!B920:AB920)=COLUMNS(metadata!B920:AB920)</f>
        <v>1</v>
      </c>
      <c r="AK920" t="str">
        <v/>
      </c>
      <c r="AM920" t="b">
        <f ca="1">AND(IF(metadata!B920="",FALSE,TRUE),COUNTIF(metadata!B:B, metadata!B920) = 1,NOT(ISERROR(SUMPRODUCT(SEARCH(MID(metadata!B920,ROW(INDIRECT("1:"&amp;LEN(metadata!B920))), 1),"0123456789abcdefghijklmnopqrstuvwxyzABCDEFGHIJKLMNOPQRSTUVWXYZ.")))))</f>
        <v>0</v>
      </c>
      <c r="AN920" t="b">
        <f ca="1">OR(AND(IF(metadata!C920="",FALSE,TRUE),OR(EXACT(metadata!C920,"missing: not collected"),EXACT(metadata!C920,"missing: not provided"),EXACT(metadata!C920,"missing: restricted access"))),AND(IF(metadata!C920="",FALSE,TRUE),AND(AND(IFERROR(INT(LEFT(metadata!C920,4))&gt;1900,FALSE),IFERROR(INT(LEFT(metadata!C920,4))&lt;=YEAR(NOW()),FALSE)), OR(MID(metadata!C920,5,1)="", AND(AND(MID(metadata!C920,5,1)="-",IFERROR(INT(MID(metadata!C920,6,1))&gt;=0,FALSE),IFERROR(INT(MID(metadata!C920,6,1))&lt;=1,FALSE),NOT(MID(metadata!C920,7,1)=""),IFERROR(INT(MID(metadata!C920,6,2))&gt;=1,FALSE),IFERROR(INT(MID(metadata!C920,6,2))&lt;=12,FALSE)), OR(MID(metadata!C920,8,1)="", AND(AND(MID(metadata!C920,8,1)="-",IFERROR(INT(MID(metadata!C920,9,1))&gt;=0,FALSE),IFERROR(INT(MID(metadata!C920,9,1))&lt;=3,FALSE),NOT(MID(metadata!C920,10,1)=""),IFERROR(INT(MID(metadata!C920,9,2))&gt;=1,FALSE),IFERROR(INT(MID(metadata!C920,9,2))&lt;=31,FALSE)), OR(MID(metadata!C920,11,1)="", AND(AND(MID(metadata!C920,11,1)=" ",IFERROR(INT(MID(metadata!C920,12,1))&gt;=0,FALSE),IFERROR(INT(MID(metadata!C920,12,1))&lt;=2,FALSE),NOT(MID(metadata!C920,13,1)=""),IFERROR(INT(MID(metadata!C920,12,2))&gt;=0,FALSE),IFERROR(INT(MID(metadata!C920,12,2))&lt;=23,FALSE)), OR(MID(metadata!C920,14,1)="", AND(AND(MID(metadata!C920,14,1)=":",IFERROR(INT(MID(metadata!C920,15,1))&gt;=0,FALSE),IFERROR(INT(MID(metadata!C920,15,1))&lt;=5,FALSE),NOT(MID(metadata!C920,16,1)=""),IFERROR(INT(MID(metadata!C920,15,2))&gt;=0,FALSE),IFERROR(INT(MID(metadata!C920,15,2))&lt;=59,FALSE)), OR(MID(metadata!C920,17,1)="", AND(AND(MID(metadata!C920,17,1)=":",IFERROR(INT(MID(metadata!C920,18,1))&gt;=0,FALSE),IFERROR(INT(MID(metadata!C920,18,1))&lt;=5,FALSE),NOT(MID(metadata!C920,19,1)=""),IFERROR(INT(MID(metadata!C920,18,2))&gt;=0,FALSE),IFERROR(INT(MID(metadata!C920,18,2))&lt;=59,FALSE)), LEN(metadata!C920)&lt;=19)))))))))))))</f>
        <v>0</v>
      </c>
      <c r="AO920" t="b">
        <f>AND(IF(metadata!D920="",FALSE,TRUE),EXACT(metadata!D920,"Not applicable"))</f>
        <v>0</v>
      </c>
      <c r="AP920" t="b">
        <f>IF(metadata!E920="",FALSE,TRUE)</f>
        <v>0</v>
      </c>
      <c r="AQ920" t="b">
        <f>OR(AND(IF(metadata!F920="",FALSE,TRUE),OR(EXACT(metadata!F920,"missing: not collected"),EXACT(metadata!F920,"missing: not provided"))),AND(IF(metadata!F920="",FALSE,TRUE),OR(EXACT(metadata!F920,"TRUE"),EXACT(metadata!F920,"FALSE"))))</f>
        <v>0</v>
      </c>
      <c r="AR920" t="b">
        <f>OR(AND(IF(metadata!G920="",FALSE,TRUE),OR(EXACT(metadata!G920,"missing: not collected"),EXACT(metadata!G920,"missing: not provided"),EXACT(metadata!G920,"missing: restricted access"))),AND(IF(metadata!G920="",FALSE,ISNUMBER(VALUE(metadata!G920))),metadata!G920&gt;=-413))</f>
        <v>0</v>
      </c>
      <c r="AS920" t="b">
        <f>AND(IF(metadata!H920="",FALSE,TRUE),EXACT(metadata!H920,"meters"))</f>
        <v>0</v>
      </c>
      <c r="AT920" t="b">
        <f>AND(IF(metadata!I920="",FALSE,TRUE),OR(EXACT(metadata!I920,"Host-associated"),EXACT(metadata!I920,"Free-living")))</f>
        <v>0</v>
      </c>
      <c r="AU920" t="b">
        <f>AND(IF(metadata!J920="",FALSE,TRUE),OR(EXACT(metadata!J920,"Animal"),EXACT(metadata!J920,"Fungus"),EXACT(metadata!J920,"Plant"),EXACT(metadata!J920,"Saline"),EXACT(metadata!J920,"Non-saline")))</f>
        <v>0</v>
      </c>
      <c r="AV920" t="b">
        <f>AND(IF(metadata!K920="",FALSE,TRUE),OR(EXACT(metadata!K920,"Plant secretion"),EXACT(metadata!K920,"Plant rhizosphere"),EXACT(metadata!K920,"Plant surface"),EXACT(metadata!K920,"Plant corpus"),EXACT(metadata!K920,"Fungus surface"),EXACT(metadata!K920,"Fungus corpus"),EXACT(metadata!K920,"Animal surface"),EXACT(metadata!K920,"Animal proximal gut"),EXACT(metadata!K920,"Animal corpus"),EXACT(metadata!K920,"Animal distal gut"),EXACT(metadata!K920,"Animal secretion"),EXACT(metadata!K920,"Sub-surface (non-saline)"),EXACT(metadata!K920,"Surface (non-saline)"),EXACT(metadata!K920,"Water (non-saline)"),EXACT(metadata!K920,"Soil (non-saline)"),EXACT(metadata!K920,"Aerosol (non-saline)"),EXACT(metadata!K920,"Sediment (non-saline)"),EXACT(metadata!K920,"Surface (saline)"),EXACT(metadata!K920,"Water (saline)"),EXACT(metadata!K920,"Hypersaline (saline)"),EXACT(metadata!K920,"Aerosol (saline)"),EXACT(metadata!K920,"Sediment (saline)")))</f>
        <v>0</v>
      </c>
      <c r="AW920" t="b">
        <f>IF(metadata!L920="",FALSE,TRUE)</f>
        <v>0</v>
      </c>
      <c r="AX920" t="b">
        <f>IF(metadata!M920="",FALSE,TRUE)</f>
        <v>0</v>
      </c>
      <c r="AY920" t="b">
        <f>IF(metadata!N920="",FALSE,TRUE)</f>
        <v>0</v>
      </c>
      <c r="AZ920" t="b">
        <f>OR(AND(IF(metadata!O920="",FALSE,TRUE),OR(EXACT(metadata!O920,"missing: not collected"),EXACT(metadata!O920,"missing: not provided"),EXACT(metadata!O920,"missing: restricted access"))),AND(IF(metadata!O920="",FALSE,TRUE),OR(EXACT(metadata!O920,"air"),EXACT(metadata!O920,"built environment"),EXACT(metadata!O920,"host-associated"),EXACT(metadata!O920,"human-associated"),EXACT(metadata!O920,"human-skin"),EXACT(metadata!O920,"human-oral"),EXACT(metadata!O920,"human-gut"),EXACT(metadata!O920,"human-vaginal"),EXACT(metadata!O920,"microbial mat/biofilm"),EXACT(metadata!O920,"misc environment"),EXACT(metadata!O920,"plant-associated"),EXACT(metadata!O920,"sediment"),EXACT(metadata!O920,"soil"),EXACT(metadata!O920,"wastewater/sludge"),EXACT(metadata!O920,"water"))))</f>
        <v>0</v>
      </c>
      <c r="BA920" t="b">
        <f>IF(metadata!P920="",FALSE,TRUE)</f>
        <v>0</v>
      </c>
      <c r="BB920" t="b">
        <f>IF(metadata!Q920="",FALSE,TRUE)</f>
        <v>0</v>
      </c>
      <c r="BC920" t="b">
        <f>OR(AND(IF(metadata!R920="",FALSE,TRUE),OR(EXACT(metadata!R920,"missing: not collected"),EXACT(metadata!R920,"missing: not provided"),EXACT(metadata!R920,"missing: restricted access"))),AND(IF(metadata!R920="",FALSE,ISNUMBER(VALUE(metadata!R920))),metadata!R920&gt;=-90,metadata!R920&lt;=90))</f>
        <v>0</v>
      </c>
      <c r="BD920" t="b">
        <f>AND(IF(metadata!S920="",FALSE,TRUE),EXACT(metadata!S920,"Decimal degrees"))</f>
        <v>0</v>
      </c>
      <c r="BE920" t="b">
        <f>OR(AND(IF(metadata!T920="",FALSE,TRUE),OR(EXACT(metadata!T920,"missing: not collected"),EXACT(metadata!T920,"missing: not provided"),EXACT(metadata!T920,"missing: restricted access"))),AND(IF(metadata!T920="",FALSE,ISNUMBER(VALUE(metadata!T920))),metadata!T920&gt;=-180,metadata!T920&lt;=180))</f>
        <v>0</v>
      </c>
      <c r="BF920" t="b">
        <f>AND(IF(metadata!U920="",FALSE,TRUE),EXACT(metadata!U920,"Decimal degrees"))</f>
        <v>0</v>
      </c>
      <c r="BG920" t="b">
        <f>IF(metadata!V920="",FALSE,TRUE)</f>
        <v>0</v>
      </c>
      <c r="BH920" t="b">
        <f>OR(AND(IF(metadata!W920="",FALSE,TRUE),OR(EXACT(metadata!W920,"missing: not collected"),EXACT(metadata!W920,"missing: not provided"),EXACT(metadata!W920,"missing: restricted access"))),AND(IF(metadata!W920="",FALSE,TRUE),OR(EXACT(metadata!W920,"TRUE"),EXACT(metadata!W920,"FALSE"))))</f>
        <v>0</v>
      </c>
      <c r="BI920" t="b">
        <f>AND(IF(metadata!X920="",FALSE,TRUE),EXACT(metadata!X920,"other"))</f>
        <v>0</v>
      </c>
      <c r="BJ920" t="b">
        <f>IF(metadata!Y920="",FALSE,TRUE)</f>
        <v>0</v>
      </c>
      <c r="BK920" t="b">
        <f>OR(AND(IF(metadata!Z920="",FALSE,TRUE),OR(EXACT(metadata!Z920,"missing: not collected"),EXACT(metadata!Z920,"missing: not provided"))),AND(IF(metadata!Z920="",FALSE,IF(ISERROR(INT(metadata!Z920)),FALSE,INT(metadata!Z920)=metadata!Z920)),metadata!Z920&gt;0))</f>
        <v>0</v>
      </c>
      <c r="BL920" t="b">
        <f>AND(IF(metadata!AA920="",FALSE,TRUE),EXACT(metadata!AA920,"Not applicable"))</f>
        <v>0</v>
      </c>
      <c r="BM920" t="b">
        <f>IF(metadata!AB920="",FALSE,TRUE)</f>
        <v>0</v>
      </c>
    </row>
    <row r="921" spans="1:65" x14ac:dyDescent="0.2">
      <c r="A921" s="5" t="str">
        <f ca="1">IF(B921=" "," ",HYPERLINK(CONCATENATE("#metadata!",ADDRESS(INDEX($AH$2:$AH$1001,MATCH(ROWS($AF$2:AF921),$AF$2:$AF$1001,0),0),1)),INDEX($AK$2:$AK$1001,MATCH(ROWS($AF$2:AF921),$AF$2:$AF$1001,0),0)))</f>
        <v xml:space="preserve"> </v>
      </c>
      <c r="B921" s="4" t="str">
        <f ca="1">IF(OR(INDEX($AG$2:$AG$1001,MATCH(ROWS($AF$2:AF921),$AF$2:$AF$1001,0),1)&gt;=100000,INDEX($AM$1005:$BM$1005,1,MATCH(COLUMNS($AM$1006:AM1006),$AM$1006:$BM$1006,0))&gt;=100000), " ",IF(INDEX($AM$2:$BM$1001,MATCH(ROWS($AF$2:AF921),$AF$2:$AF$1001,0),MATCH(COLUMNS($AM$1006:AM1006),$AM$1006:$BM$1006,0)), HYPERLINK("#",""), HYPERLINK(CONCATENATE("#metadata!", ADDRESS(INDEX($AH$2:$AH$1001,MATCH(ROWS($AF$2:AF921),$AF$2:$AF$1001,0),0), INDEX($AM$1004:$BM$1004,1,MATCH(COLUMNS($AM$1006:AM1006),$AM$1006:$BM$1006,0)))),"Fix")))</f>
        <v xml:space="preserve"> </v>
      </c>
      <c r="C921" s="4" t="str">
        <f ca="1">IF(OR(INDEX($AG$2:$AG$1001,MATCH(ROWS($AF$2:AF921),$AF$2:$AF$1001,0),1)&gt;=100000,INDEX($AM$1005:$BM$1005,1,MATCH(COLUMNS($AM$1006:AN1006),$AM$1006:$BM$1006,0))&gt;=100000), " ",IF(INDEX($AM$2:$BM$1001,MATCH(ROWS($AF$2:AF921),$AF$2:$AF$1001,0),MATCH(COLUMNS($AM$1006:AN1006),$AM$1006:$BM$1006,0)), HYPERLINK("#",""), HYPERLINK(CONCATENATE("#metadata!", ADDRESS(INDEX($AH$2:$AH$1001,MATCH(ROWS($AF$2:AF921),$AF$2:$AF$1001,0),0), INDEX($AM$1004:$BM$1004,1,MATCH(COLUMNS($AM$1006:AN1006),$AM$1006:$BM$1006,0)))),"Fix")))</f>
        <v xml:space="preserve"> </v>
      </c>
      <c r="D921" s="4" t="str">
        <f ca="1">IF(OR(INDEX($AG$2:$AG$1001,MATCH(ROWS($AF$2:AF921),$AF$2:$AF$1001,0),1)&gt;=100000,INDEX($AM$1005:$BM$1005,1,MATCH(COLUMNS($AM$1006:AO1006),$AM$1006:$BM$1006,0))&gt;=100000), " ",IF(INDEX($AM$2:$BM$1001,MATCH(ROWS($AF$2:AF921),$AF$2:$AF$1001,0),MATCH(COLUMNS($AM$1006:AO1006),$AM$1006:$BM$1006,0)), HYPERLINK("#",""), HYPERLINK(CONCATENATE("#metadata!", ADDRESS(INDEX($AH$2:$AH$1001,MATCH(ROWS($AF$2:AF921),$AF$2:$AF$1001,0),0), INDEX($AM$1004:$BM$1004,1,MATCH(COLUMNS($AM$1006:AO1006),$AM$1006:$BM$1006,0)))),"Fix")))</f>
        <v xml:space="preserve"> </v>
      </c>
      <c r="E921" s="4" t="str">
        <f ca="1">IF(OR(INDEX($AG$2:$AG$1001,MATCH(ROWS($AF$2:AF921),$AF$2:$AF$1001,0),1)&gt;=100000,INDEX($AM$1005:$BM$1005,1,MATCH(COLUMNS($AM$1006:AP1006),$AM$1006:$BM$1006,0))&gt;=100000), " ",IF(INDEX($AM$2:$BM$1001,MATCH(ROWS($AF$2:AF921),$AF$2:$AF$1001,0),MATCH(COLUMNS($AM$1006:AP1006),$AM$1006:$BM$1006,0)), HYPERLINK("#",""), HYPERLINK(CONCATENATE("#metadata!", ADDRESS(INDEX($AH$2:$AH$1001,MATCH(ROWS($AF$2:AF921),$AF$2:$AF$1001,0),0), INDEX($AM$1004:$BM$1004,1,MATCH(COLUMNS($AM$1006:AP1006),$AM$1006:$BM$1006,0)))),"Fix")))</f>
        <v xml:space="preserve"> </v>
      </c>
      <c r="F921" s="4" t="str">
        <f ca="1">IF(OR(INDEX($AG$2:$AG$1001,MATCH(ROWS($AF$2:AF921),$AF$2:$AF$1001,0),1)&gt;=100000,INDEX($AM$1005:$BM$1005,1,MATCH(COLUMNS($AM$1006:AQ1006),$AM$1006:$BM$1006,0))&gt;=100000), " ",IF(INDEX($AM$2:$BM$1001,MATCH(ROWS($AF$2:AF921),$AF$2:$AF$1001,0),MATCH(COLUMNS($AM$1006:AQ1006),$AM$1006:$BM$1006,0)), HYPERLINK("#",""), HYPERLINK(CONCATENATE("#metadata!", ADDRESS(INDEX($AH$2:$AH$1001,MATCH(ROWS($AF$2:AF921),$AF$2:$AF$1001,0),0), INDEX($AM$1004:$BM$1004,1,MATCH(COLUMNS($AM$1006:AQ1006),$AM$1006:$BM$1006,0)))),"Fix")))</f>
        <v xml:space="preserve"> </v>
      </c>
      <c r="G921" s="4" t="str">
        <f ca="1">IF(OR(INDEX($AG$2:$AG$1001,MATCH(ROWS($AF$2:AF921),$AF$2:$AF$1001,0),1)&gt;=100000,INDEX($AM$1005:$BM$1005,1,MATCH(COLUMNS($AM$1006:AR1006),$AM$1006:$BM$1006,0))&gt;=100000), " ",IF(INDEX($AM$2:$BM$1001,MATCH(ROWS($AF$2:AF921),$AF$2:$AF$1001,0),MATCH(COLUMNS($AM$1006:AR1006),$AM$1006:$BM$1006,0)), HYPERLINK("#",""), HYPERLINK(CONCATENATE("#metadata!", ADDRESS(INDEX($AH$2:$AH$1001,MATCH(ROWS($AF$2:AF921),$AF$2:$AF$1001,0),0), INDEX($AM$1004:$BM$1004,1,MATCH(COLUMNS($AM$1006:AR1006),$AM$1006:$BM$1006,0)))),"Fix")))</f>
        <v xml:space="preserve"> </v>
      </c>
      <c r="H921" s="4" t="str">
        <f ca="1">IF(OR(INDEX($AG$2:$AG$1001,MATCH(ROWS($AF$2:AF921),$AF$2:$AF$1001,0),1)&gt;=100000,INDEX($AM$1005:$BM$1005,1,MATCH(COLUMNS($AM$1006:AS1006),$AM$1006:$BM$1006,0))&gt;=100000), " ",IF(INDEX($AM$2:$BM$1001,MATCH(ROWS($AF$2:AF921),$AF$2:$AF$1001,0),MATCH(COLUMNS($AM$1006:AS1006),$AM$1006:$BM$1006,0)), HYPERLINK("#",""), HYPERLINK(CONCATENATE("#metadata!", ADDRESS(INDEX($AH$2:$AH$1001,MATCH(ROWS($AF$2:AF921),$AF$2:$AF$1001,0),0), INDEX($AM$1004:$BM$1004,1,MATCH(COLUMNS($AM$1006:AS1006),$AM$1006:$BM$1006,0)))),"Fix")))</f>
        <v xml:space="preserve"> </v>
      </c>
      <c r="I921" s="4" t="str">
        <f ca="1">IF(OR(INDEX($AG$2:$AG$1001,MATCH(ROWS($AF$2:AF921),$AF$2:$AF$1001,0),1)&gt;=100000,INDEX($AM$1005:$BM$1005,1,MATCH(COLUMNS($AM$1006:AT1006),$AM$1006:$BM$1006,0))&gt;=100000), " ",IF(INDEX($AM$2:$BM$1001,MATCH(ROWS($AF$2:AF921),$AF$2:$AF$1001,0),MATCH(COLUMNS($AM$1006:AT1006),$AM$1006:$BM$1006,0)), HYPERLINK("#",""), HYPERLINK(CONCATENATE("#metadata!", ADDRESS(INDEX($AH$2:$AH$1001,MATCH(ROWS($AF$2:AF921),$AF$2:$AF$1001,0),0), INDEX($AM$1004:$BM$1004,1,MATCH(COLUMNS($AM$1006:AT1006),$AM$1006:$BM$1006,0)))),"Fix")))</f>
        <v xml:space="preserve"> </v>
      </c>
      <c r="J921" s="4" t="str">
        <f ca="1">IF(OR(INDEX($AG$2:$AG$1001,MATCH(ROWS($AF$2:AF921),$AF$2:$AF$1001,0),1)&gt;=100000,INDEX($AM$1005:$BM$1005,1,MATCH(COLUMNS($AM$1006:AU1006),$AM$1006:$BM$1006,0))&gt;=100000), " ",IF(INDEX($AM$2:$BM$1001,MATCH(ROWS($AF$2:AF921),$AF$2:$AF$1001,0),MATCH(COLUMNS($AM$1006:AU1006),$AM$1006:$BM$1006,0)), HYPERLINK("#",""), HYPERLINK(CONCATENATE("#metadata!", ADDRESS(INDEX($AH$2:$AH$1001,MATCH(ROWS($AF$2:AF921),$AF$2:$AF$1001,0),0), INDEX($AM$1004:$BM$1004,1,MATCH(COLUMNS($AM$1006:AU1006),$AM$1006:$BM$1006,0)))),"Fix")))</f>
        <v xml:space="preserve"> </v>
      </c>
      <c r="K921" s="4" t="str">
        <f ca="1">IF(OR(INDEX($AG$2:$AG$1001,MATCH(ROWS($AF$2:AF921),$AF$2:$AF$1001,0),1)&gt;=100000,INDEX($AM$1005:$BM$1005,1,MATCH(COLUMNS($AM$1006:AV1006),$AM$1006:$BM$1006,0))&gt;=100000), " ",IF(INDEX($AM$2:$BM$1001,MATCH(ROWS($AF$2:AF921),$AF$2:$AF$1001,0),MATCH(COLUMNS($AM$1006:AV1006),$AM$1006:$BM$1006,0)), HYPERLINK("#",""), HYPERLINK(CONCATENATE("#metadata!", ADDRESS(INDEX($AH$2:$AH$1001,MATCH(ROWS($AF$2:AF921),$AF$2:$AF$1001,0),0), INDEX($AM$1004:$BM$1004,1,MATCH(COLUMNS($AM$1006:AV1006),$AM$1006:$BM$1006,0)))),"Fix")))</f>
        <v xml:space="preserve"> </v>
      </c>
      <c r="L921" s="4" t="str">
        <f ca="1">IF(OR(INDEX($AG$2:$AG$1001,MATCH(ROWS($AF$2:AF921),$AF$2:$AF$1001,0),1)&gt;=100000,INDEX($AM$1005:$BM$1005,1,MATCH(COLUMNS($AM$1006:AW1006),$AM$1006:$BM$1006,0))&gt;=100000), " ",IF(INDEX($AM$2:$BM$1001,MATCH(ROWS($AF$2:AF921),$AF$2:$AF$1001,0),MATCH(COLUMNS($AM$1006:AW1006),$AM$1006:$BM$1006,0)), HYPERLINK("#",""), HYPERLINK(CONCATENATE("#metadata!", ADDRESS(INDEX($AH$2:$AH$1001,MATCH(ROWS($AF$2:AF921),$AF$2:$AF$1001,0),0), INDEX($AM$1004:$BM$1004,1,MATCH(COLUMNS($AM$1006:AW1006),$AM$1006:$BM$1006,0)))),"Fix")))</f>
        <v xml:space="preserve"> </v>
      </c>
      <c r="M921" s="4" t="str">
        <f ca="1">IF(OR(INDEX($AG$2:$AG$1001,MATCH(ROWS($AF$2:AF921),$AF$2:$AF$1001,0),1)&gt;=100000,INDEX($AM$1005:$BM$1005,1,MATCH(COLUMNS($AM$1006:AX1006),$AM$1006:$BM$1006,0))&gt;=100000), " ",IF(INDEX($AM$2:$BM$1001,MATCH(ROWS($AF$2:AF921),$AF$2:$AF$1001,0),MATCH(COLUMNS($AM$1006:AX1006),$AM$1006:$BM$1006,0)), HYPERLINK("#",""), HYPERLINK(CONCATENATE("#metadata!", ADDRESS(INDEX($AH$2:$AH$1001,MATCH(ROWS($AF$2:AF921),$AF$2:$AF$1001,0),0), INDEX($AM$1004:$BM$1004,1,MATCH(COLUMNS($AM$1006:AX1006),$AM$1006:$BM$1006,0)))),"Fix")))</f>
        <v xml:space="preserve"> </v>
      </c>
      <c r="N921" s="4" t="str">
        <f ca="1">IF(OR(INDEX($AG$2:$AG$1001,MATCH(ROWS($AF$2:AF921),$AF$2:$AF$1001,0),1)&gt;=100000,INDEX($AM$1005:$BM$1005,1,MATCH(COLUMNS($AM$1006:AY1006),$AM$1006:$BM$1006,0))&gt;=100000), " ",IF(INDEX($AM$2:$BM$1001,MATCH(ROWS($AF$2:AF921),$AF$2:$AF$1001,0),MATCH(COLUMNS($AM$1006:AY1006),$AM$1006:$BM$1006,0)), HYPERLINK("#",""), HYPERLINK(CONCATENATE("#metadata!", ADDRESS(INDEX($AH$2:$AH$1001,MATCH(ROWS($AF$2:AF921),$AF$2:$AF$1001,0),0), INDEX($AM$1004:$BM$1004,1,MATCH(COLUMNS($AM$1006:AY1006),$AM$1006:$BM$1006,0)))),"Fix")))</f>
        <v xml:space="preserve"> </v>
      </c>
      <c r="O921" s="4" t="str">
        <f ca="1">IF(OR(INDEX($AG$2:$AG$1001,MATCH(ROWS($AF$2:AF921),$AF$2:$AF$1001,0),1)&gt;=100000,INDEX($AM$1005:$BM$1005,1,MATCH(COLUMNS($AM$1006:AZ1006),$AM$1006:$BM$1006,0))&gt;=100000), " ",IF(INDEX($AM$2:$BM$1001,MATCH(ROWS($AF$2:AF921),$AF$2:$AF$1001,0),MATCH(COLUMNS($AM$1006:AZ1006),$AM$1006:$BM$1006,0)), HYPERLINK("#",""), HYPERLINK(CONCATENATE("#metadata!", ADDRESS(INDEX($AH$2:$AH$1001,MATCH(ROWS($AF$2:AF921),$AF$2:$AF$1001,0),0), INDEX($AM$1004:$BM$1004,1,MATCH(COLUMNS($AM$1006:AZ1006),$AM$1006:$BM$1006,0)))),"Fix")))</f>
        <v xml:space="preserve"> </v>
      </c>
      <c r="P921" s="4" t="str">
        <f ca="1">IF(OR(INDEX($AG$2:$AG$1001,MATCH(ROWS($AF$2:AF921),$AF$2:$AF$1001,0),1)&gt;=100000,INDEX($AM$1005:$BM$1005,1,MATCH(COLUMNS($AM$1006:BA1006),$AM$1006:$BM$1006,0))&gt;=100000), " ",IF(INDEX($AM$2:$BM$1001,MATCH(ROWS($AF$2:AF921),$AF$2:$AF$1001,0),MATCH(COLUMNS($AM$1006:BA1006),$AM$1006:$BM$1006,0)), HYPERLINK("#",""), HYPERLINK(CONCATENATE("#metadata!", ADDRESS(INDEX($AH$2:$AH$1001,MATCH(ROWS($AF$2:AF921),$AF$2:$AF$1001,0),0), INDEX($AM$1004:$BM$1004,1,MATCH(COLUMNS($AM$1006:BA1006),$AM$1006:$BM$1006,0)))),"Fix")))</f>
        <v xml:space="preserve"> </v>
      </c>
      <c r="Q921" s="4" t="str">
        <f ca="1">IF(OR(INDEX($AG$2:$AG$1001,MATCH(ROWS($AF$2:AF921),$AF$2:$AF$1001,0),1)&gt;=100000,INDEX($AM$1005:$BM$1005,1,MATCH(COLUMNS($AM$1006:BB1006),$AM$1006:$BM$1006,0))&gt;=100000), " ",IF(INDEX($AM$2:$BM$1001,MATCH(ROWS($AF$2:AF921),$AF$2:$AF$1001,0),MATCH(COLUMNS($AM$1006:BB1006),$AM$1006:$BM$1006,0)), HYPERLINK("#",""), HYPERLINK(CONCATENATE("#metadata!", ADDRESS(INDEX($AH$2:$AH$1001,MATCH(ROWS($AF$2:AF921),$AF$2:$AF$1001,0),0), INDEX($AM$1004:$BM$1004,1,MATCH(COLUMNS($AM$1006:BB1006),$AM$1006:$BM$1006,0)))),"Fix")))</f>
        <v xml:space="preserve"> </v>
      </c>
      <c r="R921" s="4" t="str">
        <f ca="1">IF(OR(INDEX($AG$2:$AG$1001,MATCH(ROWS($AF$2:AF921),$AF$2:$AF$1001,0),1)&gt;=100000,INDEX($AM$1005:$BM$1005,1,MATCH(COLUMNS($AM$1006:BC1006),$AM$1006:$BM$1006,0))&gt;=100000), " ",IF(INDEX($AM$2:$BM$1001,MATCH(ROWS($AF$2:AF921),$AF$2:$AF$1001,0),MATCH(COLUMNS($AM$1006:BC1006),$AM$1006:$BM$1006,0)), HYPERLINK("#",""), HYPERLINK(CONCATENATE("#metadata!", ADDRESS(INDEX($AH$2:$AH$1001,MATCH(ROWS($AF$2:AF921),$AF$2:$AF$1001,0),0), INDEX($AM$1004:$BM$1004,1,MATCH(COLUMNS($AM$1006:BC1006),$AM$1006:$BM$1006,0)))),"Fix")))</f>
        <v xml:space="preserve"> </v>
      </c>
      <c r="S921" s="4" t="str">
        <f ca="1">IF(OR(INDEX($AG$2:$AG$1001,MATCH(ROWS($AF$2:AF921),$AF$2:$AF$1001,0),1)&gt;=100000,INDEX($AM$1005:$BM$1005,1,MATCH(COLUMNS($AM$1006:BD1006),$AM$1006:$BM$1006,0))&gt;=100000), " ",IF(INDEX($AM$2:$BM$1001,MATCH(ROWS($AF$2:AF921),$AF$2:$AF$1001,0),MATCH(COLUMNS($AM$1006:BD1006),$AM$1006:$BM$1006,0)), HYPERLINK("#",""), HYPERLINK(CONCATENATE("#metadata!", ADDRESS(INDEX($AH$2:$AH$1001,MATCH(ROWS($AF$2:AF921),$AF$2:$AF$1001,0),0), INDEX($AM$1004:$BM$1004,1,MATCH(COLUMNS($AM$1006:BD1006),$AM$1006:$BM$1006,0)))),"Fix")))</f>
        <v xml:space="preserve"> </v>
      </c>
      <c r="T921" s="4" t="str">
        <f ca="1">IF(OR(INDEX($AG$2:$AG$1001,MATCH(ROWS($AF$2:AF921),$AF$2:$AF$1001,0),1)&gt;=100000,INDEX($AM$1005:$BM$1005,1,MATCH(COLUMNS($AM$1006:BE1006),$AM$1006:$BM$1006,0))&gt;=100000), " ",IF(INDEX($AM$2:$BM$1001,MATCH(ROWS($AF$2:AF921),$AF$2:$AF$1001,0),MATCH(COLUMNS($AM$1006:BE1006),$AM$1006:$BM$1006,0)), HYPERLINK("#",""), HYPERLINK(CONCATENATE("#metadata!", ADDRESS(INDEX($AH$2:$AH$1001,MATCH(ROWS($AF$2:AF921),$AF$2:$AF$1001,0),0), INDEX($AM$1004:$BM$1004,1,MATCH(COLUMNS($AM$1006:BE1006),$AM$1006:$BM$1006,0)))),"Fix")))</f>
        <v xml:space="preserve"> </v>
      </c>
      <c r="U921" s="4" t="str">
        <f ca="1">IF(OR(INDEX($AG$2:$AG$1001,MATCH(ROWS($AF$2:AF921),$AF$2:$AF$1001,0),1)&gt;=100000,INDEX($AM$1005:$BM$1005,1,MATCH(COLUMNS($AM$1006:BF1006),$AM$1006:$BM$1006,0))&gt;=100000), " ",IF(INDEX($AM$2:$BM$1001,MATCH(ROWS($AF$2:AF921),$AF$2:$AF$1001,0),MATCH(COLUMNS($AM$1006:BF1006),$AM$1006:$BM$1006,0)), HYPERLINK("#",""), HYPERLINK(CONCATENATE("#metadata!", ADDRESS(INDEX($AH$2:$AH$1001,MATCH(ROWS($AF$2:AF921),$AF$2:$AF$1001,0),0), INDEX($AM$1004:$BM$1004,1,MATCH(COLUMNS($AM$1006:BF1006),$AM$1006:$BM$1006,0)))),"Fix")))</f>
        <v xml:space="preserve"> </v>
      </c>
      <c r="V921" s="4" t="str">
        <f ca="1">IF(OR(INDEX($AG$2:$AG$1001,MATCH(ROWS($AF$2:AF921),$AF$2:$AF$1001,0),1)&gt;=100000,INDEX($AM$1005:$BM$1005,1,MATCH(COLUMNS($AM$1006:BG1006),$AM$1006:$BM$1006,0))&gt;=100000), " ",IF(INDEX($AM$2:$BM$1001,MATCH(ROWS($AF$2:AF921),$AF$2:$AF$1001,0),MATCH(COLUMNS($AM$1006:BG1006),$AM$1006:$BM$1006,0)), HYPERLINK("#",""), HYPERLINK(CONCATENATE("#metadata!", ADDRESS(INDEX($AH$2:$AH$1001,MATCH(ROWS($AF$2:AF921),$AF$2:$AF$1001,0),0), INDEX($AM$1004:$BM$1004,1,MATCH(COLUMNS($AM$1006:BG1006),$AM$1006:$BM$1006,0)))),"Fix")))</f>
        <v xml:space="preserve"> </v>
      </c>
      <c r="W921" s="4" t="str">
        <f ca="1">IF(OR(INDEX($AG$2:$AG$1001,MATCH(ROWS($AF$2:AF921),$AF$2:$AF$1001,0),1)&gt;=100000,INDEX($AM$1005:$BM$1005,1,MATCH(COLUMNS($AM$1006:BH1006),$AM$1006:$BM$1006,0))&gt;=100000), " ",IF(INDEX($AM$2:$BM$1001,MATCH(ROWS($AF$2:AF921),$AF$2:$AF$1001,0),MATCH(COLUMNS($AM$1006:BH1006),$AM$1006:$BM$1006,0)), HYPERLINK("#",""), HYPERLINK(CONCATENATE("#metadata!", ADDRESS(INDEX($AH$2:$AH$1001,MATCH(ROWS($AF$2:AF921),$AF$2:$AF$1001,0),0), INDEX($AM$1004:$BM$1004,1,MATCH(COLUMNS($AM$1006:BH1006),$AM$1006:$BM$1006,0)))),"Fix")))</f>
        <v xml:space="preserve"> </v>
      </c>
      <c r="X921" s="4" t="str">
        <f ca="1">IF(OR(INDEX($AG$2:$AG$1001,MATCH(ROWS($AF$2:AF921),$AF$2:$AF$1001,0),1)&gt;=100000,INDEX($AM$1005:$BM$1005,1,MATCH(COLUMNS($AM$1006:BI1006),$AM$1006:$BM$1006,0))&gt;=100000), " ",IF(INDEX($AM$2:$BM$1001,MATCH(ROWS($AF$2:AF921),$AF$2:$AF$1001,0),MATCH(COLUMNS($AM$1006:BI1006),$AM$1006:$BM$1006,0)), HYPERLINK("#",""), HYPERLINK(CONCATENATE("#metadata!", ADDRESS(INDEX($AH$2:$AH$1001,MATCH(ROWS($AF$2:AF921),$AF$2:$AF$1001,0),0), INDEX($AM$1004:$BM$1004,1,MATCH(COLUMNS($AM$1006:BI1006),$AM$1006:$BM$1006,0)))),"Fix")))</f>
        <v xml:space="preserve"> </v>
      </c>
      <c r="Y921" s="4" t="str">
        <f ca="1">IF(OR(INDEX($AG$2:$AG$1001,MATCH(ROWS($AF$2:AF921),$AF$2:$AF$1001,0),1)&gt;=100000,INDEX($AM$1005:$BM$1005,1,MATCH(COLUMNS($AM$1006:BJ1006),$AM$1006:$BM$1006,0))&gt;=100000), " ",IF(INDEX($AM$2:$BM$1001,MATCH(ROWS($AF$2:AF921),$AF$2:$AF$1001,0),MATCH(COLUMNS($AM$1006:BJ1006),$AM$1006:$BM$1006,0)), HYPERLINK("#",""), HYPERLINK(CONCATENATE("#metadata!", ADDRESS(INDEX($AH$2:$AH$1001,MATCH(ROWS($AF$2:AF921),$AF$2:$AF$1001,0),0), INDEX($AM$1004:$BM$1004,1,MATCH(COLUMNS($AM$1006:BJ1006),$AM$1006:$BM$1006,0)))),"Fix")))</f>
        <v xml:space="preserve"> </v>
      </c>
      <c r="Z921" s="4" t="str">
        <f ca="1">IF(OR(INDEX($AG$2:$AG$1001,MATCH(ROWS($AF$2:AF921),$AF$2:$AF$1001,0),1)&gt;=100000,INDEX($AM$1005:$BM$1005,1,MATCH(COLUMNS($AM$1006:BK1006),$AM$1006:$BM$1006,0))&gt;=100000), " ",IF(INDEX($AM$2:$BM$1001,MATCH(ROWS($AF$2:AF921),$AF$2:$AF$1001,0),MATCH(COLUMNS($AM$1006:BK1006),$AM$1006:$BM$1006,0)), HYPERLINK("#",""), HYPERLINK(CONCATENATE("#metadata!", ADDRESS(INDEX($AH$2:$AH$1001,MATCH(ROWS($AF$2:AF921),$AF$2:$AF$1001,0),0), INDEX($AM$1004:$BM$1004,1,MATCH(COLUMNS($AM$1006:BK1006),$AM$1006:$BM$1006,0)))),"Fix")))</f>
        <v xml:space="preserve"> </v>
      </c>
      <c r="AA921" s="4" t="str">
        <f ca="1">IF(OR(INDEX($AG$2:$AG$1001,MATCH(ROWS($AF$2:AF921),$AF$2:$AF$1001,0),1)&gt;=100000,INDEX($AM$1005:$BM$1005,1,MATCH(COLUMNS($AM$1006:BL1006),$AM$1006:$BM$1006,0))&gt;=100000), " ",IF(INDEX($AM$2:$BM$1001,MATCH(ROWS($AF$2:AF921),$AF$2:$AF$1001,0),MATCH(COLUMNS($AM$1006:BL1006),$AM$1006:$BM$1006,0)), HYPERLINK("#",""), HYPERLINK(CONCATENATE("#metadata!", ADDRESS(INDEX($AH$2:$AH$1001,MATCH(ROWS($AF$2:AF921),$AF$2:$AF$1001,0),0), INDEX($AM$1004:$BM$1004,1,MATCH(COLUMNS($AM$1006:BL1006),$AM$1006:$BM$1006,0)))),"Fix")))</f>
        <v xml:space="preserve"> </v>
      </c>
      <c r="AB921" s="4" t="str">
        <f ca="1">IF(OR(INDEX($AG$2:$AG$1001,MATCH(ROWS($AF$2:AF921),$AF$2:$AF$1001,0),1)&gt;=100000,INDEX($AM$1005:$BM$1005,1,MATCH(COLUMNS($AM$1006:BM1006),$AM$1006:$BM$1006,0))&gt;=100000), " ",IF(INDEX($AM$2:$BM$1001,MATCH(ROWS($AF$2:AF921),$AF$2:$AF$1001,0),MATCH(COLUMNS($AM$1006:BM1006),$AM$1006:$BM$1006,0)), HYPERLINK("#",""), HYPERLINK(CONCATENATE("#metadata!", ADDRESS(INDEX($AH$2:$AH$1001,MATCH(ROWS($AF$2:AF921),$AF$2:$AF$1001,0),0), INDEX($AM$1004:$BM$1004,1,MATCH(COLUMNS($AM$1006:BM1006),$AM$1006:$BM$1006,0)))),"Fix")))</f>
        <v xml:space="preserve"> </v>
      </c>
      <c r="AF921">
        <v>920</v>
      </c>
      <c r="AG921">
        <v>100921</v>
      </c>
      <c r="AH921">
        <v>921</v>
      </c>
      <c r="AI921" t="b">
        <f t="shared" si="14"/>
        <v>1</v>
      </c>
      <c r="AJ921" t="b">
        <f>COUNTBLANK(metadata!B921:AB921)=COLUMNS(metadata!B921:AB921)</f>
        <v>1</v>
      </c>
      <c r="AK921" t="str">
        <v/>
      </c>
      <c r="AM921" t="b">
        <f ca="1">AND(IF(metadata!B921="",FALSE,TRUE),COUNTIF(metadata!B:B, metadata!B921) = 1,NOT(ISERROR(SUMPRODUCT(SEARCH(MID(metadata!B921,ROW(INDIRECT("1:"&amp;LEN(metadata!B921))), 1),"0123456789abcdefghijklmnopqrstuvwxyzABCDEFGHIJKLMNOPQRSTUVWXYZ.")))))</f>
        <v>0</v>
      </c>
      <c r="AN921" t="b">
        <f ca="1">OR(AND(IF(metadata!C921="",FALSE,TRUE),OR(EXACT(metadata!C921,"missing: not collected"),EXACT(metadata!C921,"missing: not provided"),EXACT(metadata!C921,"missing: restricted access"))),AND(IF(metadata!C921="",FALSE,TRUE),AND(AND(IFERROR(INT(LEFT(metadata!C921,4))&gt;1900,FALSE),IFERROR(INT(LEFT(metadata!C921,4))&lt;=YEAR(NOW()),FALSE)), OR(MID(metadata!C921,5,1)="", AND(AND(MID(metadata!C921,5,1)="-",IFERROR(INT(MID(metadata!C921,6,1))&gt;=0,FALSE),IFERROR(INT(MID(metadata!C921,6,1))&lt;=1,FALSE),NOT(MID(metadata!C921,7,1)=""),IFERROR(INT(MID(metadata!C921,6,2))&gt;=1,FALSE),IFERROR(INT(MID(metadata!C921,6,2))&lt;=12,FALSE)), OR(MID(metadata!C921,8,1)="", AND(AND(MID(metadata!C921,8,1)="-",IFERROR(INT(MID(metadata!C921,9,1))&gt;=0,FALSE),IFERROR(INT(MID(metadata!C921,9,1))&lt;=3,FALSE),NOT(MID(metadata!C921,10,1)=""),IFERROR(INT(MID(metadata!C921,9,2))&gt;=1,FALSE),IFERROR(INT(MID(metadata!C921,9,2))&lt;=31,FALSE)), OR(MID(metadata!C921,11,1)="", AND(AND(MID(metadata!C921,11,1)=" ",IFERROR(INT(MID(metadata!C921,12,1))&gt;=0,FALSE),IFERROR(INT(MID(metadata!C921,12,1))&lt;=2,FALSE),NOT(MID(metadata!C921,13,1)=""),IFERROR(INT(MID(metadata!C921,12,2))&gt;=0,FALSE),IFERROR(INT(MID(metadata!C921,12,2))&lt;=23,FALSE)), OR(MID(metadata!C921,14,1)="", AND(AND(MID(metadata!C921,14,1)=":",IFERROR(INT(MID(metadata!C921,15,1))&gt;=0,FALSE),IFERROR(INT(MID(metadata!C921,15,1))&lt;=5,FALSE),NOT(MID(metadata!C921,16,1)=""),IFERROR(INT(MID(metadata!C921,15,2))&gt;=0,FALSE),IFERROR(INT(MID(metadata!C921,15,2))&lt;=59,FALSE)), OR(MID(metadata!C921,17,1)="", AND(AND(MID(metadata!C921,17,1)=":",IFERROR(INT(MID(metadata!C921,18,1))&gt;=0,FALSE),IFERROR(INT(MID(metadata!C921,18,1))&lt;=5,FALSE),NOT(MID(metadata!C921,19,1)=""),IFERROR(INT(MID(metadata!C921,18,2))&gt;=0,FALSE),IFERROR(INT(MID(metadata!C921,18,2))&lt;=59,FALSE)), LEN(metadata!C921)&lt;=19)))))))))))))</f>
        <v>0</v>
      </c>
      <c r="AO921" t="b">
        <f>AND(IF(metadata!D921="",FALSE,TRUE),EXACT(metadata!D921,"Not applicable"))</f>
        <v>0</v>
      </c>
      <c r="AP921" t="b">
        <f>IF(metadata!E921="",FALSE,TRUE)</f>
        <v>0</v>
      </c>
      <c r="AQ921" t="b">
        <f>OR(AND(IF(metadata!F921="",FALSE,TRUE),OR(EXACT(metadata!F921,"missing: not collected"),EXACT(metadata!F921,"missing: not provided"))),AND(IF(metadata!F921="",FALSE,TRUE),OR(EXACT(metadata!F921,"TRUE"),EXACT(metadata!F921,"FALSE"))))</f>
        <v>0</v>
      </c>
      <c r="AR921" t="b">
        <f>OR(AND(IF(metadata!G921="",FALSE,TRUE),OR(EXACT(metadata!G921,"missing: not collected"),EXACT(metadata!G921,"missing: not provided"),EXACT(metadata!G921,"missing: restricted access"))),AND(IF(metadata!G921="",FALSE,ISNUMBER(VALUE(metadata!G921))),metadata!G921&gt;=-413))</f>
        <v>0</v>
      </c>
      <c r="AS921" t="b">
        <f>AND(IF(metadata!H921="",FALSE,TRUE),EXACT(metadata!H921,"meters"))</f>
        <v>0</v>
      </c>
      <c r="AT921" t="b">
        <f>AND(IF(metadata!I921="",FALSE,TRUE),OR(EXACT(metadata!I921,"Host-associated"),EXACT(metadata!I921,"Free-living")))</f>
        <v>0</v>
      </c>
      <c r="AU921" t="b">
        <f>AND(IF(metadata!J921="",FALSE,TRUE),OR(EXACT(metadata!J921,"Animal"),EXACT(metadata!J921,"Fungus"),EXACT(metadata!J921,"Plant"),EXACT(metadata!J921,"Saline"),EXACT(metadata!J921,"Non-saline")))</f>
        <v>0</v>
      </c>
      <c r="AV921" t="b">
        <f>AND(IF(metadata!K921="",FALSE,TRUE),OR(EXACT(metadata!K921,"Plant secretion"),EXACT(metadata!K921,"Plant rhizosphere"),EXACT(metadata!K921,"Plant surface"),EXACT(metadata!K921,"Plant corpus"),EXACT(metadata!K921,"Fungus surface"),EXACT(metadata!K921,"Fungus corpus"),EXACT(metadata!K921,"Animal surface"),EXACT(metadata!K921,"Animal proximal gut"),EXACT(metadata!K921,"Animal corpus"),EXACT(metadata!K921,"Animal distal gut"),EXACT(metadata!K921,"Animal secretion"),EXACT(metadata!K921,"Sub-surface (non-saline)"),EXACT(metadata!K921,"Surface (non-saline)"),EXACT(metadata!K921,"Water (non-saline)"),EXACT(metadata!K921,"Soil (non-saline)"),EXACT(metadata!K921,"Aerosol (non-saline)"),EXACT(metadata!K921,"Sediment (non-saline)"),EXACT(metadata!K921,"Surface (saline)"),EXACT(metadata!K921,"Water (saline)"),EXACT(metadata!K921,"Hypersaline (saline)"),EXACT(metadata!K921,"Aerosol (saline)"),EXACT(metadata!K921,"Sediment (saline)")))</f>
        <v>0</v>
      </c>
      <c r="AW921" t="b">
        <f>IF(metadata!L921="",FALSE,TRUE)</f>
        <v>0</v>
      </c>
      <c r="AX921" t="b">
        <f>IF(metadata!M921="",FALSE,TRUE)</f>
        <v>0</v>
      </c>
      <c r="AY921" t="b">
        <f>IF(metadata!N921="",FALSE,TRUE)</f>
        <v>0</v>
      </c>
      <c r="AZ921" t="b">
        <f>OR(AND(IF(metadata!O921="",FALSE,TRUE),OR(EXACT(metadata!O921,"missing: not collected"),EXACT(metadata!O921,"missing: not provided"),EXACT(metadata!O921,"missing: restricted access"))),AND(IF(metadata!O921="",FALSE,TRUE),OR(EXACT(metadata!O921,"air"),EXACT(metadata!O921,"built environment"),EXACT(metadata!O921,"host-associated"),EXACT(metadata!O921,"human-associated"),EXACT(metadata!O921,"human-skin"),EXACT(metadata!O921,"human-oral"),EXACT(metadata!O921,"human-gut"),EXACT(metadata!O921,"human-vaginal"),EXACT(metadata!O921,"microbial mat/biofilm"),EXACT(metadata!O921,"misc environment"),EXACT(metadata!O921,"plant-associated"),EXACT(metadata!O921,"sediment"),EXACT(metadata!O921,"soil"),EXACT(metadata!O921,"wastewater/sludge"),EXACT(metadata!O921,"water"))))</f>
        <v>0</v>
      </c>
      <c r="BA921" t="b">
        <f>IF(metadata!P921="",FALSE,TRUE)</f>
        <v>0</v>
      </c>
      <c r="BB921" t="b">
        <f>IF(metadata!Q921="",FALSE,TRUE)</f>
        <v>0</v>
      </c>
      <c r="BC921" t="b">
        <f>OR(AND(IF(metadata!R921="",FALSE,TRUE),OR(EXACT(metadata!R921,"missing: not collected"),EXACT(metadata!R921,"missing: not provided"),EXACT(metadata!R921,"missing: restricted access"))),AND(IF(metadata!R921="",FALSE,ISNUMBER(VALUE(metadata!R921))),metadata!R921&gt;=-90,metadata!R921&lt;=90))</f>
        <v>0</v>
      </c>
      <c r="BD921" t="b">
        <f>AND(IF(metadata!S921="",FALSE,TRUE),EXACT(metadata!S921,"Decimal degrees"))</f>
        <v>0</v>
      </c>
      <c r="BE921" t="b">
        <f>OR(AND(IF(metadata!T921="",FALSE,TRUE),OR(EXACT(metadata!T921,"missing: not collected"),EXACT(metadata!T921,"missing: not provided"),EXACT(metadata!T921,"missing: restricted access"))),AND(IF(metadata!T921="",FALSE,ISNUMBER(VALUE(metadata!T921))),metadata!T921&gt;=-180,metadata!T921&lt;=180))</f>
        <v>0</v>
      </c>
      <c r="BF921" t="b">
        <f>AND(IF(metadata!U921="",FALSE,TRUE),EXACT(metadata!U921,"Decimal degrees"))</f>
        <v>0</v>
      </c>
      <c r="BG921" t="b">
        <f>IF(metadata!V921="",FALSE,TRUE)</f>
        <v>0</v>
      </c>
      <c r="BH921" t="b">
        <f>OR(AND(IF(metadata!W921="",FALSE,TRUE),OR(EXACT(metadata!W921,"missing: not collected"),EXACT(metadata!W921,"missing: not provided"),EXACT(metadata!W921,"missing: restricted access"))),AND(IF(metadata!W921="",FALSE,TRUE),OR(EXACT(metadata!W921,"TRUE"),EXACT(metadata!W921,"FALSE"))))</f>
        <v>0</v>
      </c>
      <c r="BI921" t="b">
        <f>AND(IF(metadata!X921="",FALSE,TRUE),EXACT(metadata!X921,"other"))</f>
        <v>0</v>
      </c>
      <c r="BJ921" t="b">
        <f>IF(metadata!Y921="",FALSE,TRUE)</f>
        <v>0</v>
      </c>
      <c r="BK921" t="b">
        <f>OR(AND(IF(metadata!Z921="",FALSE,TRUE),OR(EXACT(metadata!Z921,"missing: not collected"),EXACT(metadata!Z921,"missing: not provided"))),AND(IF(metadata!Z921="",FALSE,IF(ISERROR(INT(metadata!Z921)),FALSE,INT(metadata!Z921)=metadata!Z921)),metadata!Z921&gt;0))</f>
        <v>0</v>
      </c>
      <c r="BL921" t="b">
        <f>AND(IF(metadata!AA921="",FALSE,TRUE),EXACT(metadata!AA921,"Not applicable"))</f>
        <v>0</v>
      </c>
      <c r="BM921" t="b">
        <f>IF(metadata!AB921="",FALSE,TRUE)</f>
        <v>0</v>
      </c>
    </row>
    <row r="922" spans="1:65" x14ac:dyDescent="0.2">
      <c r="A922" s="5" t="str">
        <f ca="1">IF(B922=" "," ",HYPERLINK(CONCATENATE("#metadata!",ADDRESS(INDEX($AH$2:$AH$1001,MATCH(ROWS($AF$2:AF922),$AF$2:$AF$1001,0),0),1)),INDEX($AK$2:$AK$1001,MATCH(ROWS($AF$2:AF922),$AF$2:$AF$1001,0),0)))</f>
        <v xml:space="preserve"> </v>
      </c>
      <c r="B922" s="4" t="str">
        <f ca="1">IF(OR(INDEX($AG$2:$AG$1001,MATCH(ROWS($AF$2:AF922),$AF$2:$AF$1001,0),1)&gt;=100000,INDEX($AM$1005:$BM$1005,1,MATCH(COLUMNS($AM$1006:AM1006),$AM$1006:$BM$1006,0))&gt;=100000), " ",IF(INDEX($AM$2:$BM$1001,MATCH(ROWS($AF$2:AF922),$AF$2:$AF$1001,0),MATCH(COLUMNS($AM$1006:AM1006),$AM$1006:$BM$1006,0)), HYPERLINK("#",""), HYPERLINK(CONCATENATE("#metadata!", ADDRESS(INDEX($AH$2:$AH$1001,MATCH(ROWS($AF$2:AF922),$AF$2:$AF$1001,0),0), INDEX($AM$1004:$BM$1004,1,MATCH(COLUMNS($AM$1006:AM1006),$AM$1006:$BM$1006,0)))),"Fix")))</f>
        <v xml:space="preserve"> </v>
      </c>
      <c r="C922" s="4" t="str">
        <f ca="1">IF(OR(INDEX($AG$2:$AG$1001,MATCH(ROWS($AF$2:AF922),$AF$2:$AF$1001,0),1)&gt;=100000,INDEX($AM$1005:$BM$1005,1,MATCH(COLUMNS($AM$1006:AN1006),$AM$1006:$BM$1006,0))&gt;=100000), " ",IF(INDEX($AM$2:$BM$1001,MATCH(ROWS($AF$2:AF922),$AF$2:$AF$1001,0),MATCH(COLUMNS($AM$1006:AN1006),$AM$1006:$BM$1006,0)), HYPERLINK("#",""), HYPERLINK(CONCATENATE("#metadata!", ADDRESS(INDEX($AH$2:$AH$1001,MATCH(ROWS($AF$2:AF922),$AF$2:$AF$1001,0),0), INDEX($AM$1004:$BM$1004,1,MATCH(COLUMNS($AM$1006:AN1006),$AM$1006:$BM$1006,0)))),"Fix")))</f>
        <v xml:space="preserve"> </v>
      </c>
      <c r="D922" s="4" t="str">
        <f ca="1">IF(OR(INDEX($AG$2:$AG$1001,MATCH(ROWS($AF$2:AF922),$AF$2:$AF$1001,0),1)&gt;=100000,INDEX($AM$1005:$BM$1005,1,MATCH(COLUMNS($AM$1006:AO1006),$AM$1006:$BM$1006,0))&gt;=100000), " ",IF(INDEX($AM$2:$BM$1001,MATCH(ROWS($AF$2:AF922),$AF$2:$AF$1001,0),MATCH(COLUMNS($AM$1006:AO1006),$AM$1006:$BM$1006,0)), HYPERLINK("#",""), HYPERLINK(CONCATENATE("#metadata!", ADDRESS(INDEX($AH$2:$AH$1001,MATCH(ROWS($AF$2:AF922),$AF$2:$AF$1001,0),0), INDEX($AM$1004:$BM$1004,1,MATCH(COLUMNS($AM$1006:AO1006),$AM$1006:$BM$1006,0)))),"Fix")))</f>
        <v xml:space="preserve"> </v>
      </c>
      <c r="E922" s="4" t="str">
        <f ca="1">IF(OR(INDEX($AG$2:$AG$1001,MATCH(ROWS($AF$2:AF922),$AF$2:$AF$1001,0),1)&gt;=100000,INDEX($AM$1005:$BM$1005,1,MATCH(COLUMNS($AM$1006:AP1006),$AM$1006:$BM$1006,0))&gt;=100000), " ",IF(INDEX($AM$2:$BM$1001,MATCH(ROWS($AF$2:AF922),$AF$2:$AF$1001,0),MATCH(COLUMNS($AM$1006:AP1006),$AM$1006:$BM$1006,0)), HYPERLINK("#",""), HYPERLINK(CONCATENATE("#metadata!", ADDRESS(INDEX($AH$2:$AH$1001,MATCH(ROWS($AF$2:AF922),$AF$2:$AF$1001,0),0), INDEX($AM$1004:$BM$1004,1,MATCH(COLUMNS($AM$1006:AP1006),$AM$1006:$BM$1006,0)))),"Fix")))</f>
        <v xml:space="preserve"> </v>
      </c>
      <c r="F922" s="4" t="str">
        <f ca="1">IF(OR(INDEX($AG$2:$AG$1001,MATCH(ROWS($AF$2:AF922),$AF$2:$AF$1001,0),1)&gt;=100000,INDEX($AM$1005:$BM$1005,1,MATCH(COLUMNS($AM$1006:AQ1006),$AM$1006:$BM$1006,0))&gt;=100000), " ",IF(INDEX($AM$2:$BM$1001,MATCH(ROWS($AF$2:AF922),$AF$2:$AF$1001,0),MATCH(COLUMNS($AM$1006:AQ1006),$AM$1006:$BM$1006,0)), HYPERLINK("#",""), HYPERLINK(CONCATENATE("#metadata!", ADDRESS(INDEX($AH$2:$AH$1001,MATCH(ROWS($AF$2:AF922),$AF$2:$AF$1001,0),0), INDEX($AM$1004:$BM$1004,1,MATCH(COLUMNS($AM$1006:AQ1006),$AM$1006:$BM$1006,0)))),"Fix")))</f>
        <v xml:space="preserve"> </v>
      </c>
      <c r="G922" s="4" t="str">
        <f ca="1">IF(OR(INDEX($AG$2:$AG$1001,MATCH(ROWS($AF$2:AF922),$AF$2:$AF$1001,0),1)&gt;=100000,INDEX($AM$1005:$BM$1005,1,MATCH(COLUMNS($AM$1006:AR1006),$AM$1006:$BM$1006,0))&gt;=100000), " ",IF(INDEX($AM$2:$BM$1001,MATCH(ROWS($AF$2:AF922),$AF$2:$AF$1001,0),MATCH(COLUMNS($AM$1006:AR1006),$AM$1006:$BM$1006,0)), HYPERLINK("#",""), HYPERLINK(CONCATENATE("#metadata!", ADDRESS(INDEX($AH$2:$AH$1001,MATCH(ROWS($AF$2:AF922),$AF$2:$AF$1001,0),0), INDEX($AM$1004:$BM$1004,1,MATCH(COLUMNS($AM$1006:AR1006),$AM$1006:$BM$1006,0)))),"Fix")))</f>
        <v xml:space="preserve"> </v>
      </c>
      <c r="H922" s="4" t="str">
        <f ca="1">IF(OR(INDEX($AG$2:$AG$1001,MATCH(ROWS($AF$2:AF922),$AF$2:$AF$1001,0),1)&gt;=100000,INDEX($AM$1005:$BM$1005,1,MATCH(COLUMNS($AM$1006:AS1006),$AM$1006:$BM$1006,0))&gt;=100000), " ",IF(INDEX($AM$2:$BM$1001,MATCH(ROWS($AF$2:AF922),$AF$2:$AF$1001,0),MATCH(COLUMNS($AM$1006:AS1006),$AM$1006:$BM$1006,0)), HYPERLINK("#",""), HYPERLINK(CONCATENATE("#metadata!", ADDRESS(INDEX($AH$2:$AH$1001,MATCH(ROWS($AF$2:AF922),$AF$2:$AF$1001,0),0), INDEX($AM$1004:$BM$1004,1,MATCH(COLUMNS($AM$1006:AS1006),$AM$1006:$BM$1006,0)))),"Fix")))</f>
        <v xml:space="preserve"> </v>
      </c>
      <c r="I922" s="4" t="str">
        <f ca="1">IF(OR(INDEX($AG$2:$AG$1001,MATCH(ROWS($AF$2:AF922),$AF$2:$AF$1001,0),1)&gt;=100000,INDEX($AM$1005:$BM$1005,1,MATCH(COLUMNS($AM$1006:AT1006),$AM$1006:$BM$1006,0))&gt;=100000), " ",IF(INDEX($AM$2:$BM$1001,MATCH(ROWS($AF$2:AF922),$AF$2:$AF$1001,0),MATCH(COLUMNS($AM$1006:AT1006),$AM$1006:$BM$1006,0)), HYPERLINK("#",""), HYPERLINK(CONCATENATE("#metadata!", ADDRESS(INDEX($AH$2:$AH$1001,MATCH(ROWS($AF$2:AF922),$AF$2:$AF$1001,0),0), INDEX($AM$1004:$BM$1004,1,MATCH(COLUMNS($AM$1006:AT1006),$AM$1006:$BM$1006,0)))),"Fix")))</f>
        <v xml:space="preserve"> </v>
      </c>
      <c r="J922" s="4" t="str">
        <f ca="1">IF(OR(INDEX($AG$2:$AG$1001,MATCH(ROWS($AF$2:AF922),$AF$2:$AF$1001,0),1)&gt;=100000,INDEX($AM$1005:$BM$1005,1,MATCH(COLUMNS($AM$1006:AU1006),$AM$1006:$BM$1006,0))&gt;=100000), " ",IF(INDEX($AM$2:$BM$1001,MATCH(ROWS($AF$2:AF922),$AF$2:$AF$1001,0),MATCH(COLUMNS($AM$1006:AU1006),$AM$1006:$BM$1006,0)), HYPERLINK("#",""), HYPERLINK(CONCATENATE("#metadata!", ADDRESS(INDEX($AH$2:$AH$1001,MATCH(ROWS($AF$2:AF922),$AF$2:$AF$1001,0),0), INDEX($AM$1004:$BM$1004,1,MATCH(COLUMNS($AM$1006:AU1006),$AM$1006:$BM$1006,0)))),"Fix")))</f>
        <v xml:space="preserve"> </v>
      </c>
      <c r="K922" s="4" t="str">
        <f ca="1">IF(OR(INDEX($AG$2:$AG$1001,MATCH(ROWS($AF$2:AF922),$AF$2:$AF$1001,0),1)&gt;=100000,INDEX($AM$1005:$BM$1005,1,MATCH(COLUMNS($AM$1006:AV1006),$AM$1006:$BM$1006,0))&gt;=100000), " ",IF(INDEX($AM$2:$BM$1001,MATCH(ROWS($AF$2:AF922),$AF$2:$AF$1001,0),MATCH(COLUMNS($AM$1006:AV1006),$AM$1006:$BM$1006,0)), HYPERLINK("#",""), HYPERLINK(CONCATENATE("#metadata!", ADDRESS(INDEX($AH$2:$AH$1001,MATCH(ROWS($AF$2:AF922),$AF$2:$AF$1001,0),0), INDEX($AM$1004:$BM$1004,1,MATCH(COLUMNS($AM$1006:AV1006),$AM$1006:$BM$1006,0)))),"Fix")))</f>
        <v xml:space="preserve"> </v>
      </c>
      <c r="L922" s="4" t="str">
        <f ca="1">IF(OR(INDEX($AG$2:$AG$1001,MATCH(ROWS($AF$2:AF922),$AF$2:$AF$1001,0),1)&gt;=100000,INDEX($AM$1005:$BM$1005,1,MATCH(COLUMNS($AM$1006:AW1006),$AM$1006:$BM$1006,0))&gt;=100000), " ",IF(INDEX($AM$2:$BM$1001,MATCH(ROWS($AF$2:AF922),$AF$2:$AF$1001,0),MATCH(COLUMNS($AM$1006:AW1006),$AM$1006:$BM$1006,0)), HYPERLINK("#",""), HYPERLINK(CONCATENATE("#metadata!", ADDRESS(INDEX($AH$2:$AH$1001,MATCH(ROWS($AF$2:AF922),$AF$2:$AF$1001,0),0), INDEX($AM$1004:$BM$1004,1,MATCH(COLUMNS($AM$1006:AW1006),$AM$1006:$BM$1006,0)))),"Fix")))</f>
        <v xml:space="preserve"> </v>
      </c>
      <c r="M922" s="4" t="str">
        <f ca="1">IF(OR(INDEX($AG$2:$AG$1001,MATCH(ROWS($AF$2:AF922),$AF$2:$AF$1001,0),1)&gt;=100000,INDEX($AM$1005:$BM$1005,1,MATCH(COLUMNS($AM$1006:AX1006),$AM$1006:$BM$1006,0))&gt;=100000), " ",IF(INDEX($AM$2:$BM$1001,MATCH(ROWS($AF$2:AF922),$AF$2:$AF$1001,0),MATCH(COLUMNS($AM$1006:AX1006),$AM$1006:$BM$1006,0)), HYPERLINK("#",""), HYPERLINK(CONCATENATE("#metadata!", ADDRESS(INDEX($AH$2:$AH$1001,MATCH(ROWS($AF$2:AF922),$AF$2:$AF$1001,0),0), INDEX($AM$1004:$BM$1004,1,MATCH(COLUMNS($AM$1006:AX1006),$AM$1006:$BM$1006,0)))),"Fix")))</f>
        <v xml:space="preserve"> </v>
      </c>
      <c r="N922" s="4" t="str">
        <f ca="1">IF(OR(INDEX($AG$2:$AG$1001,MATCH(ROWS($AF$2:AF922),$AF$2:$AF$1001,0),1)&gt;=100000,INDEX($AM$1005:$BM$1005,1,MATCH(COLUMNS($AM$1006:AY1006),$AM$1006:$BM$1006,0))&gt;=100000), " ",IF(INDEX($AM$2:$BM$1001,MATCH(ROWS($AF$2:AF922),$AF$2:$AF$1001,0),MATCH(COLUMNS($AM$1006:AY1006),$AM$1006:$BM$1006,0)), HYPERLINK("#",""), HYPERLINK(CONCATENATE("#metadata!", ADDRESS(INDEX($AH$2:$AH$1001,MATCH(ROWS($AF$2:AF922),$AF$2:$AF$1001,0),0), INDEX($AM$1004:$BM$1004,1,MATCH(COLUMNS($AM$1006:AY1006),$AM$1006:$BM$1006,0)))),"Fix")))</f>
        <v xml:space="preserve"> </v>
      </c>
      <c r="O922" s="4" t="str">
        <f ca="1">IF(OR(INDEX($AG$2:$AG$1001,MATCH(ROWS($AF$2:AF922),$AF$2:$AF$1001,0),1)&gt;=100000,INDEX($AM$1005:$BM$1005,1,MATCH(COLUMNS($AM$1006:AZ1006),$AM$1006:$BM$1006,0))&gt;=100000), " ",IF(INDEX($AM$2:$BM$1001,MATCH(ROWS($AF$2:AF922),$AF$2:$AF$1001,0),MATCH(COLUMNS($AM$1006:AZ1006),$AM$1006:$BM$1006,0)), HYPERLINK("#",""), HYPERLINK(CONCATENATE("#metadata!", ADDRESS(INDEX($AH$2:$AH$1001,MATCH(ROWS($AF$2:AF922),$AF$2:$AF$1001,0),0), INDEX($AM$1004:$BM$1004,1,MATCH(COLUMNS($AM$1006:AZ1006),$AM$1006:$BM$1006,0)))),"Fix")))</f>
        <v xml:space="preserve"> </v>
      </c>
      <c r="P922" s="4" t="str">
        <f ca="1">IF(OR(INDEX($AG$2:$AG$1001,MATCH(ROWS($AF$2:AF922),$AF$2:$AF$1001,0),1)&gt;=100000,INDEX($AM$1005:$BM$1005,1,MATCH(COLUMNS($AM$1006:BA1006),$AM$1006:$BM$1006,0))&gt;=100000), " ",IF(INDEX($AM$2:$BM$1001,MATCH(ROWS($AF$2:AF922),$AF$2:$AF$1001,0),MATCH(COLUMNS($AM$1006:BA1006),$AM$1006:$BM$1006,0)), HYPERLINK("#",""), HYPERLINK(CONCATENATE("#metadata!", ADDRESS(INDEX($AH$2:$AH$1001,MATCH(ROWS($AF$2:AF922),$AF$2:$AF$1001,0),0), INDEX($AM$1004:$BM$1004,1,MATCH(COLUMNS($AM$1006:BA1006),$AM$1006:$BM$1006,0)))),"Fix")))</f>
        <v xml:space="preserve"> </v>
      </c>
      <c r="Q922" s="4" t="str">
        <f ca="1">IF(OR(INDEX($AG$2:$AG$1001,MATCH(ROWS($AF$2:AF922),$AF$2:$AF$1001,0),1)&gt;=100000,INDEX($AM$1005:$BM$1005,1,MATCH(COLUMNS($AM$1006:BB1006),$AM$1006:$BM$1006,0))&gt;=100000), " ",IF(INDEX($AM$2:$BM$1001,MATCH(ROWS($AF$2:AF922),$AF$2:$AF$1001,0),MATCH(COLUMNS($AM$1006:BB1006),$AM$1006:$BM$1006,0)), HYPERLINK("#",""), HYPERLINK(CONCATENATE("#metadata!", ADDRESS(INDEX($AH$2:$AH$1001,MATCH(ROWS($AF$2:AF922),$AF$2:$AF$1001,0),0), INDEX($AM$1004:$BM$1004,1,MATCH(COLUMNS($AM$1006:BB1006),$AM$1006:$BM$1006,0)))),"Fix")))</f>
        <v xml:space="preserve"> </v>
      </c>
      <c r="R922" s="4" t="str">
        <f ca="1">IF(OR(INDEX($AG$2:$AG$1001,MATCH(ROWS($AF$2:AF922),$AF$2:$AF$1001,0),1)&gt;=100000,INDEX($AM$1005:$BM$1005,1,MATCH(COLUMNS($AM$1006:BC1006),$AM$1006:$BM$1006,0))&gt;=100000), " ",IF(INDEX($AM$2:$BM$1001,MATCH(ROWS($AF$2:AF922),$AF$2:$AF$1001,0),MATCH(COLUMNS($AM$1006:BC1006),$AM$1006:$BM$1006,0)), HYPERLINK("#",""), HYPERLINK(CONCATENATE("#metadata!", ADDRESS(INDEX($AH$2:$AH$1001,MATCH(ROWS($AF$2:AF922),$AF$2:$AF$1001,0),0), INDEX($AM$1004:$BM$1004,1,MATCH(COLUMNS($AM$1006:BC1006),$AM$1006:$BM$1006,0)))),"Fix")))</f>
        <v xml:space="preserve"> </v>
      </c>
      <c r="S922" s="4" t="str">
        <f ca="1">IF(OR(INDEX($AG$2:$AG$1001,MATCH(ROWS($AF$2:AF922),$AF$2:$AF$1001,0),1)&gt;=100000,INDEX($AM$1005:$BM$1005,1,MATCH(COLUMNS($AM$1006:BD1006),$AM$1006:$BM$1006,0))&gt;=100000), " ",IF(INDEX($AM$2:$BM$1001,MATCH(ROWS($AF$2:AF922),$AF$2:$AF$1001,0),MATCH(COLUMNS($AM$1006:BD1006),$AM$1006:$BM$1006,0)), HYPERLINK("#",""), HYPERLINK(CONCATENATE("#metadata!", ADDRESS(INDEX($AH$2:$AH$1001,MATCH(ROWS($AF$2:AF922),$AF$2:$AF$1001,0),0), INDEX($AM$1004:$BM$1004,1,MATCH(COLUMNS($AM$1006:BD1006),$AM$1006:$BM$1006,0)))),"Fix")))</f>
        <v xml:space="preserve"> </v>
      </c>
      <c r="T922" s="4" t="str">
        <f ca="1">IF(OR(INDEX($AG$2:$AG$1001,MATCH(ROWS($AF$2:AF922),$AF$2:$AF$1001,0),1)&gt;=100000,INDEX($AM$1005:$BM$1005,1,MATCH(COLUMNS($AM$1006:BE1006),$AM$1006:$BM$1006,0))&gt;=100000), " ",IF(INDEX($AM$2:$BM$1001,MATCH(ROWS($AF$2:AF922),$AF$2:$AF$1001,0),MATCH(COLUMNS($AM$1006:BE1006),$AM$1006:$BM$1006,0)), HYPERLINK("#",""), HYPERLINK(CONCATENATE("#metadata!", ADDRESS(INDEX($AH$2:$AH$1001,MATCH(ROWS($AF$2:AF922),$AF$2:$AF$1001,0),0), INDEX($AM$1004:$BM$1004,1,MATCH(COLUMNS($AM$1006:BE1006),$AM$1006:$BM$1006,0)))),"Fix")))</f>
        <v xml:space="preserve"> </v>
      </c>
      <c r="U922" s="4" t="str">
        <f ca="1">IF(OR(INDEX($AG$2:$AG$1001,MATCH(ROWS($AF$2:AF922),$AF$2:$AF$1001,0),1)&gt;=100000,INDEX($AM$1005:$BM$1005,1,MATCH(COLUMNS($AM$1006:BF1006),$AM$1006:$BM$1006,0))&gt;=100000), " ",IF(INDEX($AM$2:$BM$1001,MATCH(ROWS($AF$2:AF922),$AF$2:$AF$1001,0),MATCH(COLUMNS($AM$1006:BF1006),$AM$1006:$BM$1006,0)), HYPERLINK("#",""), HYPERLINK(CONCATENATE("#metadata!", ADDRESS(INDEX($AH$2:$AH$1001,MATCH(ROWS($AF$2:AF922),$AF$2:$AF$1001,0),0), INDEX($AM$1004:$BM$1004,1,MATCH(COLUMNS($AM$1006:BF1006),$AM$1006:$BM$1006,0)))),"Fix")))</f>
        <v xml:space="preserve"> </v>
      </c>
      <c r="V922" s="4" t="str">
        <f ca="1">IF(OR(INDEX($AG$2:$AG$1001,MATCH(ROWS($AF$2:AF922),$AF$2:$AF$1001,0),1)&gt;=100000,INDEX($AM$1005:$BM$1005,1,MATCH(COLUMNS($AM$1006:BG1006),$AM$1006:$BM$1006,0))&gt;=100000), " ",IF(INDEX($AM$2:$BM$1001,MATCH(ROWS($AF$2:AF922),$AF$2:$AF$1001,0),MATCH(COLUMNS($AM$1006:BG1006),$AM$1006:$BM$1006,0)), HYPERLINK("#",""), HYPERLINK(CONCATENATE("#metadata!", ADDRESS(INDEX($AH$2:$AH$1001,MATCH(ROWS($AF$2:AF922),$AF$2:$AF$1001,0),0), INDEX($AM$1004:$BM$1004,1,MATCH(COLUMNS($AM$1006:BG1006),$AM$1006:$BM$1006,0)))),"Fix")))</f>
        <v xml:space="preserve"> </v>
      </c>
      <c r="W922" s="4" t="str">
        <f ca="1">IF(OR(INDEX($AG$2:$AG$1001,MATCH(ROWS($AF$2:AF922),$AF$2:$AF$1001,0),1)&gt;=100000,INDEX($AM$1005:$BM$1005,1,MATCH(COLUMNS($AM$1006:BH1006),$AM$1006:$BM$1006,0))&gt;=100000), " ",IF(INDEX($AM$2:$BM$1001,MATCH(ROWS($AF$2:AF922),$AF$2:$AF$1001,0),MATCH(COLUMNS($AM$1006:BH1006),$AM$1006:$BM$1006,0)), HYPERLINK("#",""), HYPERLINK(CONCATENATE("#metadata!", ADDRESS(INDEX($AH$2:$AH$1001,MATCH(ROWS($AF$2:AF922),$AF$2:$AF$1001,0),0), INDEX($AM$1004:$BM$1004,1,MATCH(COLUMNS($AM$1006:BH1006),$AM$1006:$BM$1006,0)))),"Fix")))</f>
        <v xml:space="preserve"> </v>
      </c>
      <c r="X922" s="4" t="str">
        <f ca="1">IF(OR(INDEX($AG$2:$AG$1001,MATCH(ROWS($AF$2:AF922),$AF$2:$AF$1001,0),1)&gt;=100000,INDEX($AM$1005:$BM$1005,1,MATCH(COLUMNS($AM$1006:BI1006),$AM$1006:$BM$1006,0))&gt;=100000), " ",IF(INDEX($AM$2:$BM$1001,MATCH(ROWS($AF$2:AF922),$AF$2:$AF$1001,0),MATCH(COLUMNS($AM$1006:BI1006),$AM$1006:$BM$1006,0)), HYPERLINK("#",""), HYPERLINK(CONCATENATE("#metadata!", ADDRESS(INDEX($AH$2:$AH$1001,MATCH(ROWS($AF$2:AF922),$AF$2:$AF$1001,0),0), INDEX($AM$1004:$BM$1004,1,MATCH(COLUMNS($AM$1006:BI1006),$AM$1006:$BM$1006,0)))),"Fix")))</f>
        <v xml:space="preserve"> </v>
      </c>
      <c r="Y922" s="4" t="str">
        <f ca="1">IF(OR(INDEX($AG$2:$AG$1001,MATCH(ROWS($AF$2:AF922),$AF$2:$AF$1001,0),1)&gt;=100000,INDEX($AM$1005:$BM$1005,1,MATCH(COLUMNS($AM$1006:BJ1006),$AM$1006:$BM$1006,0))&gt;=100000), " ",IF(INDEX($AM$2:$BM$1001,MATCH(ROWS($AF$2:AF922),$AF$2:$AF$1001,0),MATCH(COLUMNS($AM$1006:BJ1006),$AM$1006:$BM$1006,0)), HYPERLINK("#",""), HYPERLINK(CONCATENATE("#metadata!", ADDRESS(INDEX($AH$2:$AH$1001,MATCH(ROWS($AF$2:AF922),$AF$2:$AF$1001,0),0), INDEX($AM$1004:$BM$1004,1,MATCH(COLUMNS($AM$1006:BJ1006),$AM$1006:$BM$1006,0)))),"Fix")))</f>
        <v xml:space="preserve"> </v>
      </c>
      <c r="Z922" s="4" t="str">
        <f ca="1">IF(OR(INDEX($AG$2:$AG$1001,MATCH(ROWS($AF$2:AF922),$AF$2:$AF$1001,0),1)&gt;=100000,INDEX($AM$1005:$BM$1005,1,MATCH(COLUMNS($AM$1006:BK1006),$AM$1006:$BM$1006,0))&gt;=100000), " ",IF(INDEX($AM$2:$BM$1001,MATCH(ROWS($AF$2:AF922),$AF$2:$AF$1001,0),MATCH(COLUMNS($AM$1006:BK1006),$AM$1006:$BM$1006,0)), HYPERLINK("#",""), HYPERLINK(CONCATENATE("#metadata!", ADDRESS(INDEX($AH$2:$AH$1001,MATCH(ROWS($AF$2:AF922),$AF$2:$AF$1001,0),0), INDEX($AM$1004:$BM$1004,1,MATCH(COLUMNS($AM$1006:BK1006),$AM$1006:$BM$1006,0)))),"Fix")))</f>
        <v xml:space="preserve"> </v>
      </c>
      <c r="AA922" s="4" t="str">
        <f ca="1">IF(OR(INDEX($AG$2:$AG$1001,MATCH(ROWS($AF$2:AF922),$AF$2:$AF$1001,0),1)&gt;=100000,INDEX($AM$1005:$BM$1005,1,MATCH(COLUMNS($AM$1006:BL1006),$AM$1006:$BM$1006,0))&gt;=100000), " ",IF(INDEX($AM$2:$BM$1001,MATCH(ROWS($AF$2:AF922),$AF$2:$AF$1001,0),MATCH(COLUMNS($AM$1006:BL1006),$AM$1006:$BM$1006,0)), HYPERLINK("#",""), HYPERLINK(CONCATENATE("#metadata!", ADDRESS(INDEX($AH$2:$AH$1001,MATCH(ROWS($AF$2:AF922),$AF$2:$AF$1001,0),0), INDEX($AM$1004:$BM$1004,1,MATCH(COLUMNS($AM$1006:BL1006),$AM$1006:$BM$1006,0)))),"Fix")))</f>
        <v xml:space="preserve"> </v>
      </c>
      <c r="AB922" s="4" t="str">
        <f ca="1">IF(OR(INDEX($AG$2:$AG$1001,MATCH(ROWS($AF$2:AF922),$AF$2:$AF$1001,0),1)&gt;=100000,INDEX($AM$1005:$BM$1005,1,MATCH(COLUMNS($AM$1006:BM1006),$AM$1006:$BM$1006,0))&gt;=100000), " ",IF(INDEX($AM$2:$BM$1001,MATCH(ROWS($AF$2:AF922),$AF$2:$AF$1001,0),MATCH(COLUMNS($AM$1006:BM1006),$AM$1006:$BM$1006,0)), HYPERLINK("#",""), HYPERLINK(CONCATENATE("#metadata!", ADDRESS(INDEX($AH$2:$AH$1001,MATCH(ROWS($AF$2:AF922),$AF$2:$AF$1001,0),0), INDEX($AM$1004:$BM$1004,1,MATCH(COLUMNS($AM$1006:BM1006),$AM$1006:$BM$1006,0)))),"Fix")))</f>
        <v xml:space="preserve"> </v>
      </c>
      <c r="AF922">
        <v>921</v>
      </c>
      <c r="AG922">
        <v>100922</v>
      </c>
      <c r="AH922">
        <v>922</v>
      </c>
      <c r="AI922" t="b">
        <f t="shared" si="14"/>
        <v>1</v>
      </c>
      <c r="AJ922" t="b">
        <f>COUNTBLANK(metadata!B922:AB922)=COLUMNS(metadata!B922:AB922)</f>
        <v>1</v>
      </c>
      <c r="AK922" t="str">
        <v/>
      </c>
      <c r="AM922" t="b">
        <f ca="1">AND(IF(metadata!B922="",FALSE,TRUE),COUNTIF(metadata!B:B, metadata!B922) = 1,NOT(ISERROR(SUMPRODUCT(SEARCH(MID(metadata!B922,ROW(INDIRECT("1:"&amp;LEN(metadata!B922))), 1),"0123456789abcdefghijklmnopqrstuvwxyzABCDEFGHIJKLMNOPQRSTUVWXYZ.")))))</f>
        <v>0</v>
      </c>
      <c r="AN922" t="b">
        <f ca="1">OR(AND(IF(metadata!C922="",FALSE,TRUE),OR(EXACT(metadata!C922,"missing: not collected"),EXACT(metadata!C922,"missing: not provided"),EXACT(metadata!C922,"missing: restricted access"))),AND(IF(metadata!C922="",FALSE,TRUE),AND(AND(IFERROR(INT(LEFT(metadata!C922,4))&gt;1900,FALSE),IFERROR(INT(LEFT(metadata!C922,4))&lt;=YEAR(NOW()),FALSE)), OR(MID(metadata!C922,5,1)="", AND(AND(MID(metadata!C922,5,1)="-",IFERROR(INT(MID(metadata!C922,6,1))&gt;=0,FALSE),IFERROR(INT(MID(metadata!C922,6,1))&lt;=1,FALSE),NOT(MID(metadata!C922,7,1)=""),IFERROR(INT(MID(metadata!C922,6,2))&gt;=1,FALSE),IFERROR(INT(MID(metadata!C922,6,2))&lt;=12,FALSE)), OR(MID(metadata!C922,8,1)="", AND(AND(MID(metadata!C922,8,1)="-",IFERROR(INT(MID(metadata!C922,9,1))&gt;=0,FALSE),IFERROR(INT(MID(metadata!C922,9,1))&lt;=3,FALSE),NOT(MID(metadata!C922,10,1)=""),IFERROR(INT(MID(metadata!C922,9,2))&gt;=1,FALSE),IFERROR(INT(MID(metadata!C922,9,2))&lt;=31,FALSE)), OR(MID(metadata!C922,11,1)="", AND(AND(MID(metadata!C922,11,1)=" ",IFERROR(INT(MID(metadata!C922,12,1))&gt;=0,FALSE),IFERROR(INT(MID(metadata!C922,12,1))&lt;=2,FALSE),NOT(MID(metadata!C922,13,1)=""),IFERROR(INT(MID(metadata!C922,12,2))&gt;=0,FALSE),IFERROR(INT(MID(metadata!C922,12,2))&lt;=23,FALSE)), OR(MID(metadata!C922,14,1)="", AND(AND(MID(metadata!C922,14,1)=":",IFERROR(INT(MID(metadata!C922,15,1))&gt;=0,FALSE),IFERROR(INT(MID(metadata!C922,15,1))&lt;=5,FALSE),NOT(MID(metadata!C922,16,1)=""),IFERROR(INT(MID(metadata!C922,15,2))&gt;=0,FALSE),IFERROR(INT(MID(metadata!C922,15,2))&lt;=59,FALSE)), OR(MID(metadata!C922,17,1)="", AND(AND(MID(metadata!C922,17,1)=":",IFERROR(INT(MID(metadata!C922,18,1))&gt;=0,FALSE),IFERROR(INT(MID(metadata!C922,18,1))&lt;=5,FALSE),NOT(MID(metadata!C922,19,1)=""),IFERROR(INT(MID(metadata!C922,18,2))&gt;=0,FALSE),IFERROR(INT(MID(metadata!C922,18,2))&lt;=59,FALSE)), LEN(metadata!C922)&lt;=19)))))))))))))</f>
        <v>0</v>
      </c>
      <c r="AO922" t="b">
        <f>AND(IF(metadata!D922="",FALSE,TRUE),EXACT(metadata!D922,"Not applicable"))</f>
        <v>0</v>
      </c>
      <c r="AP922" t="b">
        <f>IF(metadata!E922="",FALSE,TRUE)</f>
        <v>0</v>
      </c>
      <c r="AQ922" t="b">
        <f>OR(AND(IF(metadata!F922="",FALSE,TRUE),OR(EXACT(metadata!F922,"missing: not collected"),EXACT(metadata!F922,"missing: not provided"))),AND(IF(metadata!F922="",FALSE,TRUE),OR(EXACT(metadata!F922,"TRUE"),EXACT(metadata!F922,"FALSE"))))</f>
        <v>0</v>
      </c>
      <c r="AR922" t="b">
        <f>OR(AND(IF(metadata!G922="",FALSE,TRUE),OR(EXACT(metadata!G922,"missing: not collected"),EXACT(metadata!G922,"missing: not provided"),EXACT(metadata!G922,"missing: restricted access"))),AND(IF(metadata!G922="",FALSE,ISNUMBER(VALUE(metadata!G922))),metadata!G922&gt;=-413))</f>
        <v>0</v>
      </c>
      <c r="AS922" t="b">
        <f>AND(IF(metadata!H922="",FALSE,TRUE),EXACT(metadata!H922,"meters"))</f>
        <v>0</v>
      </c>
      <c r="AT922" t="b">
        <f>AND(IF(metadata!I922="",FALSE,TRUE),OR(EXACT(metadata!I922,"Host-associated"),EXACT(metadata!I922,"Free-living")))</f>
        <v>0</v>
      </c>
      <c r="AU922" t="b">
        <f>AND(IF(metadata!J922="",FALSE,TRUE),OR(EXACT(metadata!J922,"Animal"),EXACT(metadata!J922,"Fungus"),EXACT(metadata!J922,"Plant"),EXACT(metadata!J922,"Saline"),EXACT(metadata!J922,"Non-saline")))</f>
        <v>0</v>
      </c>
      <c r="AV922" t="b">
        <f>AND(IF(metadata!K922="",FALSE,TRUE),OR(EXACT(metadata!K922,"Plant secretion"),EXACT(metadata!K922,"Plant rhizosphere"),EXACT(metadata!K922,"Plant surface"),EXACT(metadata!K922,"Plant corpus"),EXACT(metadata!K922,"Fungus surface"),EXACT(metadata!K922,"Fungus corpus"),EXACT(metadata!K922,"Animal surface"),EXACT(metadata!K922,"Animal proximal gut"),EXACT(metadata!K922,"Animal corpus"),EXACT(metadata!K922,"Animal distal gut"),EXACT(metadata!K922,"Animal secretion"),EXACT(metadata!K922,"Sub-surface (non-saline)"),EXACT(metadata!K922,"Surface (non-saline)"),EXACT(metadata!K922,"Water (non-saline)"),EXACT(metadata!K922,"Soil (non-saline)"),EXACT(metadata!K922,"Aerosol (non-saline)"),EXACT(metadata!K922,"Sediment (non-saline)"),EXACT(metadata!K922,"Surface (saline)"),EXACT(metadata!K922,"Water (saline)"),EXACT(metadata!K922,"Hypersaline (saline)"),EXACT(metadata!K922,"Aerosol (saline)"),EXACT(metadata!K922,"Sediment (saline)")))</f>
        <v>0</v>
      </c>
      <c r="AW922" t="b">
        <f>IF(metadata!L922="",FALSE,TRUE)</f>
        <v>0</v>
      </c>
      <c r="AX922" t="b">
        <f>IF(metadata!M922="",FALSE,TRUE)</f>
        <v>0</v>
      </c>
      <c r="AY922" t="b">
        <f>IF(metadata!N922="",FALSE,TRUE)</f>
        <v>0</v>
      </c>
      <c r="AZ922" t="b">
        <f>OR(AND(IF(metadata!O922="",FALSE,TRUE),OR(EXACT(metadata!O922,"missing: not collected"),EXACT(metadata!O922,"missing: not provided"),EXACT(metadata!O922,"missing: restricted access"))),AND(IF(metadata!O922="",FALSE,TRUE),OR(EXACT(metadata!O922,"air"),EXACT(metadata!O922,"built environment"),EXACT(metadata!O922,"host-associated"),EXACT(metadata!O922,"human-associated"),EXACT(metadata!O922,"human-skin"),EXACT(metadata!O922,"human-oral"),EXACT(metadata!O922,"human-gut"),EXACT(metadata!O922,"human-vaginal"),EXACT(metadata!O922,"microbial mat/biofilm"),EXACT(metadata!O922,"misc environment"),EXACT(metadata!O922,"plant-associated"),EXACT(metadata!O922,"sediment"),EXACT(metadata!O922,"soil"),EXACT(metadata!O922,"wastewater/sludge"),EXACT(metadata!O922,"water"))))</f>
        <v>0</v>
      </c>
      <c r="BA922" t="b">
        <f>IF(metadata!P922="",FALSE,TRUE)</f>
        <v>0</v>
      </c>
      <c r="BB922" t="b">
        <f>IF(metadata!Q922="",FALSE,TRUE)</f>
        <v>0</v>
      </c>
      <c r="BC922" t="b">
        <f>OR(AND(IF(metadata!R922="",FALSE,TRUE),OR(EXACT(metadata!R922,"missing: not collected"),EXACT(metadata!R922,"missing: not provided"),EXACT(metadata!R922,"missing: restricted access"))),AND(IF(metadata!R922="",FALSE,ISNUMBER(VALUE(metadata!R922))),metadata!R922&gt;=-90,metadata!R922&lt;=90))</f>
        <v>0</v>
      </c>
      <c r="BD922" t="b">
        <f>AND(IF(metadata!S922="",FALSE,TRUE),EXACT(metadata!S922,"Decimal degrees"))</f>
        <v>0</v>
      </c>
      <c r="BE922" t="b">
        <f>OR(AND(IF(metadata!T922="",FALSE,TRUE),OR(EXACT(metadata!T922,"missing: not collected"),EXACT(metadata!T922,"missing: not provided"),EXACT(metadata!T922,"missing: restricted access"))),AND(IF(metadata!T922="",FALSE,ISNUMBER(VALUE(metadata!T922))),metadata!T922&gt;=-180,metadata!T922&lt;=180))</f>
        <v>0</v>
      </c>
      <c r="BF922" t="b">
        <f>AND(IF(metadata!U922="",FALSE,TRUE),EXACT(metadata!U922,"Decimal degrees"))</f>
        <v>0</v>
      </c>
      <c r="BG922" t="b">
        <f>IF(metadata!V922="",FALSE,TRUE)</f>
        <v>0</v>
      </c>
      <c r="BH922" t="b">
        <f>OR(AND(IF(metadata!W922="",FALSE,TRUE),OR(EXACT(metadata!W922,"missing: not collected"),EXACT(metadata!W922,"missing: not provided"),EXACT(metadata!W922,"missing: restricted access"))),AND(IF(metadata!W922="",FALSE,TRUE),OR(EXACT(metadata!W922,"TRUE"),EXACT(metadata!W922,"FALSE"))))</f>
        <v>0</v>
      </c>
      <c r="BI922" t="b">
        <f>AND(IF(metadata!X922="",FALSE,TRUE),EXACT(metadata!X922,"other"))</f>
        <v>0</v>
      </c>
      <c r="BJ922" t="b">
        <f>IF(metadata!Y922="",FALSE,TRUE)</f>
        <v>0</v>
      </c>
      <c r="BK922" t="b">
        <f>OR(AND(IF(metadata!Z922="",FALSE,TRUE),OR(EXACT(metadata!Z922,"missing: not collected"),EXACT(metadata!Z922,"missing: not provided"))),AND(IF(metadata!Z922="",FALSE,IF(ISERROR(INT(metadata!Z922)),FALSE,INT(metadata!Z922)=metadata!Z922)),metadata!Z922&gt;0))</f>
        <v>0</v>
      </c>
      <c r="BL922" t="b">
        <f>AND(IF(metadata!AA922="",FALSE,TRUE),EXACT(metadata!AA922,"Not applicable"))</f>
        <v>0</v>
      </c>
      <c r="BM922" t="b">
        <f>IF(metadata!AB922="",FALSE,TRUE)</f>
        <v>0</v>
      </c>
    </row>
    <row r="923" spans="1:65" x14ac:dyDescent="0.2">
      <c r="A923" s="5" t="str">
        <f ca="1">IF(B923=" "," ",HYPERLINK(CONCATENATE("#metadata!",ADDRESS(INDEX($AH$2:$AH$1001,MATCH(ROWS($AF$2:AF923),$AF$2:$AF$1001,0),0),1)),INDEX($AK$2:$AK$1001,MATCH(ROWS($AF$2:AF923),$AF$2:$AF$1001,0),0)))</f>
        <v xml:space="preserve"> </v>
      </c>
      <c r="B923" s="4" t="str">
        <f ca="1">IF(OR(INDEX($AG$2:$AG$1001,MATCH(ROWS($AF$2:AF923),$AF$2:$AF$1001,0),1)&gt;=100000,INDEX($AM$1005:$BM$1005,1,MATCH(COLUMNS($AM$1006:AM1006),$AM$1006:$BM$1006,0))&gt;=100000), " ",IF(INDEX($AM$2:$BM$1001,MATCH(ROWS($AF$2:AF923),$AF$2:$AF$1001,0),MATCH(COLUMNS($AM$1006:AM1006),$AM$1006:$BM$1006,0)), HYPERLINK("#",""), HYPERLINK(CONCATENATE("#metadata!", ADDRESS(INDEX($AH$2:$AH$1001,MATCH(ROWS($AF$2:AF923),$AF$2:$AF$1001,0),0), INDEX($AM$1004:$BM$1004,1,MATCH(COLUMNS($AM$1006:AM1006),$AM$1006:$BM$1006,0)))),"Fix")))</f>
        <v xml:space="preserve"> </v>
      </c>
      <c r="C923" s="4" t="str">
        <f ca="1">IF(OR(INDEX($AG$2:$AG$1001,MATCH(ROWS($AF$2:AF923),$AF$2:$AF$1001,0),1)&gt;=100000,INDEX($AM$1005:$BM$1005,1,MATCH(COLUMNS($AM$1006:AN1006),$AM$1006:$BM$1006,0))&gt;=100000), " ",IF(INDEX($AM$2:$BM$1001,MATCH(ROWS($AF$2:AF923),$AF$2:$AF$1001,0),MATCH(COLUMNS($AM$1006:AN1006),$AM$1006:$BM$1006,0)), HYPERLINK("#",""), HYPERLINK(CONCATENATE("#metadata!", ADDRESS(INDEX($AH$2:$AH$1001,MATCH(ROWS($AF$2:AF923),$AF$2:$AF$1001,0),0), INDEX($AM$1004:$BM$1004,1,MATCH(COLUMNS($AM$1006:AN1006),$AM$1006:$BM$1006,0)))),"Fix")))</f>
        <v xml:space="preserve"> </v>
      </c>
      <c r="D923" s="4" t="str">
        <f ca="1">IF(OR(INDEX($AG$2:$AG$1001,MATCH(ROWS($AF$2:AF923),$AF$2:$AF$1001,0),1)&gt;=100000,INDEX($AM$1005:$BM$1005,1,MATCH(COLUMNS($AM$1006:AO1006),$AM$1006:$BM$1006,0))&gt;=100000), " ",IF(INDEX($AM$2:$BM$1001,MATCH(ROWS($AF$2:AF923),$AF$2:$AF$1001,0),MATCH(COLUMNS($AM$1006:AO1006),$AM$1006:$BM$1006,0)), HYPERLINK("#",""), HYPERLINK(CONCATENATE("#metadata!", ADDRESS(INDEX($AH$2:$AH$1001,MATCH(ROWS($AF$2:AF923),$AF$2:$AF$1001,0),0), INDEX($AM$1004:$BM$1004,1,MATCH(COLUMNS($AM$1006:AO1006),$AM$1006:$BM$1006,0)))),"Fix")))</f>
        <v xml:space="preserve"> </v>
      </c>
      <c r="E923" s="4" t="str">
        <f ca="1">IF(OR(INDEX($AG$2:$AG$1001,MATCH(ROWS($AF$2:AF923),$AF$2:$AF$1001,0),1)&gt;=100000,INDEX($AM$1005:$BM$1005,1,MATCH(COLUMNS($AM$1006:AP1006),$AM$1006:$BM$1006,0))&gt;=100000), " ",IF(INDEX($AM$2:$BM$1001,MATCH(ROWS($AF$2:AF923),$AF$2:$AF$1001,0),MATCH(COLUMNS($AM$1006:AP1006),$AM$1006:$BM$1006,0)), HYPERLINK("#",""), HYPERLINK(CONCATENATE("#metadata!", ADDRESS(INDEX($AH$2:$AH$1001,MATCH(ROWS($AF$2:AF923),$AF$2:$AF$1001,0),0), INDEX($AM$1004:$BM$1004,1,MATCH(COLUMNS($AM$1006:AP1006),$AM$1006:$BM$1006,0)))),"Fix")))</f>
        <v xml:space="preserve"> </v>
      </c>
      <c r="F923" s="4" t="str">
        <f ca="1">IF(OR(INDEX($AG$2:$AG$1001,MATCH(ROWS($AF$2:AF923),$AF$2:$AF$1001,0),1)&gt;=100000,INDEX($AM$1005:$BM$1005,1,MATCH(COLUMNS($AM$1006:AQ1006),$AM$1006:$BM$1006,0))&gt;=100000), " ",IF(INDEX($AM$2:$BM$1001,MATCH(ROWS($AF$2:AF923),$AF$2:$AF$1001,0),MATCH(COLUMNS($AM$1006:AQ1006),$AM$1006:$BM$1006,0)), HYPERLINK("#",""), HYPERLINK(CONCATENATE("#metadata!", ADDRESS(INDEX($AH$2:$AH$1001,MATCH(ROWS($AF$2:AF923),$AF$2:$AF$1001,0),0), INDEX($AM$1004:$BM$1004,1,MATCH(COLUMNS($AM$1006:AQ1006),$AM$1006:$BM$1006,0)))),"Fix")))</f>
        <v xml:space="preserve"> </v>
      </c>
      <c r="G923" s="4" t="str">
        <f ca="1">IF(OR(INDEX($AG$2:$AG$1001,MATCH(ROWS($AF$2:AF923),$AF$2:$AF$1001,0),1)&gt;=100000,INDEX($AM$1005:$BM$1005,1,MATCH(COLUMNS($AM$1006:AR1006),$AM$1006:$BM$1006,0))&gt;=100000), " ",IF(INDEX($AM$2:$BM$1001,MATCH(ROWS($AF$2:AF923),$AF$2:$AF$1001,0),MATCH(COLUMNS($AM$1006:AR1006),$AM$1006:$BM$1006,0)), HYPERLINK("#",""), HYPERLINK(CONCATENATE("#metadata!", ADDRESS(INDEX($AH$2:$AH$1001,MATCH(ROWS($AF$2:AF923),$AF$2:$AF$1001,0),0), INDEX($AM$1004:$BM$1004,1,MATCH(COLUMNS($AM$1006:AR1006),$AM$1006:$BM$1006,0)))),"Fix")))</f>
        <v xml:space="preserve"> </v>
      </c>
      <c r="H923" s="4" t="str">
        <f ca="1">IF(OR(INDEX($AG$2:$AG$1001,MATCH(ROWS($AF$2:AF923),$AF$2:$AF$1001,0),1)&gt;=100000,INDEX($AM$1005:$BM$1005,1,MATCH(COLUMNS($AM$1006:AS1006),$AM$1006:$BM$1006,0))&gt;=100000), " ",IF(INDEX($AM$2:$BM$1001,MATCH(ROWS($AF$2:AF923),$AF$2:$AF$1001,0),MATCH(COLUMNS($AM$1006:AS1006),$AM$1006:$BM$1006,0)), HYPERLINK("#",""), HYPERLINK(CONCATENATE("#metadata!", ADDRESS(INDEX($AH$2:$AH$1001,MATCH(ROWS($AF$2:AF923),$AF$2:$AF$1001,0),0), INDEX($AM$1004:$BM$1004,1,MATCH(COLUMNS($AM$1006:AS1006),$AM$1006:$BM$1006,0)))),"Fix")))</f>
        <v xml:space="preserve"> </v>
      </c>
      <c r="I923" s="4" t="str">
        <f ca="1">IF(OR(INDEX($AG$2:$AG$1001,MATCH(ROWS($AF$2:AF923),$AF$2:$AF$1001,0),1)&gt;=100000,INDEX($AM$1005:$BM$1005,1,MATCH(COLUMNS($AM$1006:AT1006),$AM$1006:$BM$1006,0))&gt;=100000), " ",IF(INDEX($AM$2:$BM$1001,MATCH(ROWS($AF$2:AF923),$AF$2:$AF$1001,0),MATCH(COLUMNS($AM$1006:AT1006),$AM$1006:$BM$1006,0)), HYPERLINK("#",""), HYPERLINK(CONCATENATE("#metadata!", ADDRESS(INDEX($AH$2:$AH$1001,MATCH(ROWS($AF$2:AF923),$AF$2:$AF$1001,0),0), INDEX($AM$1004:$BM$1004,1,MATCH(COLUMNS($AM$1006:AT1006),$AM$1006:$BM$1006,0)))),"Fix")))</f>
        <v xml:space="preserve"> </v>
      </c>
      <c r="J923" s="4" t="str">
        <f ca="1">IF(OR(INDEX($AG$2:$AG$1001,MATCH(ROWS($AF$2:AF923),$AF$2:$AF$1001,0),1)&gt;=100000,INDEX($AM$1005:$BM$1005,1,MATCH(COLUMNS($AM$1006:AU1006),$AM$1006:$BM$1006,0))&gt;=100000), " ",IF(INDEX($AM$2:$BM$1001,MATCH(ROWS($AF$2:AF923),$AF$2:$AF$1001,0),MATCH(COLUMNS($AM$1006:AU1006),$AM$1006:$BM$1006,0)), HYPERLINK("#",""), HYPERLINK(CONCATENATE("#metadata!", ADDRESS(INDEX($AH$2:$AH$1001,MATCH(ROWS($AF$2:AF923),$AF$2:$AF$1001,0),0), INDEX($AM$1004:$BM$1004,1,MATCH(COLUMNS($AM$1006:AU1006),$AM$1006:$BM$1006,0)))),"Fix")))</f>
        <v xml:space="preserve"> </v>
      </c>
      <c r="K923" s="4" t="str">
        <f ca="1">IF(OR(INDEX($AG$2:$AG$1001,MATCH(ROWS($AF$2:AF923),$AF$2:$AF$1001,0),1)&gt;=100000,INDEX($AM$1005:$BM$1005,1,MATCH(COLUMNS($AM$1006:AV1006),$AM$1006:$BM$1006,0))&gt;=100000), " ",IF(INDEX($AM$2:$BM$1001,MATCH(ROWS($AF$2:AF923),$AF$2:$AF$1001,0),MATCH(COLUMNS($AM$1006:AV1006),$AM$1006:$BM$1006,0)), HYPERLINK("#",""), HYPERLINK(CONCATENATE("#metadata!", ADDRESS(INDEX($AH$2:$AH$1001,MATCH(ROWS($AF$2:AF923),$AF$2:$AF$1001,0),0), INDEX($AM$1004:$BM$1004,1,MATCH(COLUMNS($AM$1006:AV1006),$AM$1006:$BM$1006,0)))),"Fix")))</f>
        <v xml:space="preserve"> </v>
      </c>
      <c r="L923" s="4" t="str">
        <f ca="1">IF(OR(INDEX($AG$2:$AG$1001,MATCH(ROWS($AF$2:AF923),$AF$2:$AF$1001,0),1)&gt;=100000,INDEX($AM$1005:$BM$1005,1,MATCH(COLUMNS($AM$1006:AW1006),$AM$1006:$BM$1006,0))&gt;=100000), " ",IF(INDEX($AM$2:$BM$1001,MATCH(ROWS($AF$2:AF923),$AF$2:$AF$1001,0),MATCH(COLUMNS($AM$1006:AW1006),$AM$1006:$BM$1006,0)), HYPERLINK("#",""), HYPERLINK(CONCATENATE("#metadata!", ADDRESS(INDEX($AH$2:$AH$1001,MATCH(ROWS($AF$2:AF923),$AF$2:$AF$1001,0),0), INDEX($AM$1004:$BM$1004,1,MATCH(COLUMNS($AM$1006:AW1006),$AM$1006:$BM$1006,0)))),"Fix")))</f>
        <v xml:space="preserve"> </v>
      </c>
      <c r="M923" s="4" t="str">
        <f ca="1">IF(OR(INDEX($AG$2:$AG$1001,MATCH(ROWS($AF$2:AF923),$AF$2:$AF$1001,0),1)&gt;=100000,INDEX($AM$1005:$BM$1005,1,MATCH(COLUMNS($AM$1006:AX1006),$AM$1006:$BM$1006,0))&gt;=100000), " ",IF(INDEX($AM$2:$BM$1001,MATCH(ROWS($AF$2:AF923),$AF$2:$AF$1001,0),MATCH(COLUMNS($AM$1006:AX1006),$AM$1006:$BM$1006,0)), HYPERLINK("#",""), HYPERLINK(CONCATENATE("#metadata!", ADDRESS(INDEX($AH$2:$AH$1001,MATCH(ROWS($AF$2:AF923),$AF$2:$AF$1001,0),0), INDEX($AM$1004:$BM$1004,1,MATCH(COLUMNS($AM$1006:AX1006),$AM$1006:$BM$1006,0)))),"Fix")))</f>
        <v xml:space="preserve"> </v>
      </c>
      <c r="N923" s="4" t="str">
        <f ca="1">IF(OR(INDEX($AG$2:$AG$1001,MATCH(ROWS($AF$2:AF923),$AF$2:$AF$1001,0),1)&gt;=100000,INDEX($AM$1005:$BM$1005,1,MATCH(COLUMNS($AM$1006:AY1006),$AM$1006:$BM$1006,0))&gt;=100000), " ",IF(INDEX($AM$2:$BM$1001,MATCH(ROWS($AF$2:AF923),$AF$2:$AF$1001,0),MATCH(COLUMNS($AM$1006:AY1006),$AM$1006:$BM$1006,0)), HYPERLINK("#",""), HYPERLINK(CONCATENATE("#metadata!", ADDRESS(INDEX($AH$2:$AH$1001,MATCH(ROWS($AF$2:AF923),$AF$2:$AF$1001,0),0), INDEX($AM$1004:$BM$1004,1,MATCH(COLUMNS($AM$1006:AY1006),$AM$1006:$BM$1006,0)))),"Fix")))</f>
        <v xml:space="preserve"> </v>
      </c>
      <c r="O923" s="4" t="str">
        <f ca="1">IF(OR(INDEX($AG$2:$AG$1001,MATCH(ROWS($AF$2:AF923),$AF$2:$AF$1001,0),1)&gt;=100000,INDEX($AM$1005:$BM$1005,1,MATCH(COLUMNS($AM$1006:AZ1006),$AM$1006:$BM$1006,0))&gt;=100000), " ",IF(INDEX($AM$2:$BM$1001,MATCH(ROWS($AF$2:AF923),$AF$2:$AF$1001,0),MATCH(COLUMNS($AM$1006:AZ1006),$AM$1006:$BM$1006,0)), HYPERLINK("#",""), HYPERLINK(CONCATENATE("#metadata!", ADDRESS(INDEX($AH$2:$AH$1001,MATCH(ROWS($AF$2:AF923),$AF$2:$AF$1001,0),0), INDEX($AM$1004:$BM$1004,1,MATCH(COLUMNS($AM$1006:AZ1006),$AM$1006:$BM$1006,0)))),"Fix")))</f>
        <v xml:space="preserve"> </v>
      </c>
      <c r="P923" s="4" t="str">
        <f ca="1">IF(OR(INDEX($AG$2:$AG$1001,MATCH(ROWS($AF$2:AF923),$AF$2:$AF$1001,0),1)&gt;=100000,INDEX($AM$1005:$BM$1005,1,MATCH(COLUMNS($AM$1006:BA1006),$AM$1006:$BM$1006,0))&gt;=100000), " ",IF(INDEX($AM$2:$BM$1001,MATCH(ROWS($AF$2:AF923),$AF$2:$AF$1001,0),MATCH(COLUMNS($AM$1006:BA1006),$AM$1006:$BM$1006,0)), HYPERLINK("#",""), HYPERLINK(CONCATENATE("#metadata!", ADDRESS(INDEX($AH$2:$AH$1001,MATCH(ROWS($AF$2:AF923),$AF$2:$AF$1001,0),0), INDEX($AM$1004:$BM$1004,1,MATCH(COLUMNS($AM$1006:BA1006),$AM$1006:$BM$1006,0)))),"Fix")))</f>
        <v xml:space="preserve"> </v>
      </c>
      <c r="Q923" s="4" t="str">
        <f ca="1">IF(OR(INDEX($AG$2:$AG$1001,MATCH(ROWS($AF$2:AF923),$AF$2:$AF$1001,0),1)&gt;=100000,INDEX($AM$1005:$BM$1005,1,MATCH(COLUMNS($AM$1006:BB1006),$AM$1006:$BM$1006,0))&gt;=100000), " ",IF(INDEX($AM$2:$BM$1001,MATCH(ROWS($AF$2:AF923),$AF$2:$AF$1001,0),MATCH(COLUMNS($AM$1006:BB1006),$AM$1006:$BM$1006,0)), HYPERLINK("#",""), HYPERLINK(CONCATENATE("#metadata!", ADDRESS(INDEX($AH$2:$AH$1001,MATCH(ROWS($AF$2:AF923),$AF$2:$AF$1001,0),0), INDEX($AM$1004:$BM$1004,1,MATCH(COLUMNS($AM$1006:BB1006),$AM$1006:$BM$1006,0)))),"Fix")))</f>
        <v xml:space="preserve"> </v>
      </c>
      <c r="R923" s="4" t="str">
        <f ca="1">IF(OR(INDEX($AG$2:$AG$1001,MATCH(ROWS($AF$2:AF923),$AF$2:$AF$1001,0),1)&gt;=100000,INDEX($AM$1005:$BM$1005,1,MATCH(COLUMNS($AM$1006:BC1006),$AM$1006:$BM$1006,0))&gt;=100000), " ",IF(INDEX($AM$2:$BM$1001,MATCH(ROWS($AF$2:AF923),$AF$2:$AF$1001,0),MATCH(COLUMNS($AM$1006:BC1006),$AM$1006:$BM$1006,0)), HYPERLINK("#",""), HYPERLINK(CONCATENATE("#metadata!", ADDRESS(INDEX($AH$2:$AH$1001,MATCH(ROWS($AF$2:AF923),$AF$2:$AF$1001,0),0), INDEX($AM$1004:$BM$1004,1,MATCH(COLUMNS($AM$1006:BC1006),$AM$1006:$BM$1006,0)))),"Fix")))</f>
        <v xml:space="preserve"> </v>
      </c>
      <c r="S923" s="4" t="str">
        <f ca="1">IF(OR(INDEX($AG$2:$AG$1001,MATCH(ROWS($AF$2:AF923),$AF$2:$AF$1001,0),1)&gt;=100000,INDEX($AM$1005:$BM$1005,1,MATCH(COLUMNS($AM$1006:BD1006),$AM$1006:$BM$1006,0))&gt;=100000), " ",IF(INDEX($AM$2:$BM$1001,MATCH(ROWS($AF$2:AF923),$AF$2:$AF$1001,0),MATCH(COLUMNS($AM$1006:BD1006),$AM$1006:$BM$1006,0)), HYPERLINK("#",""), HYPERLINK(CONCATENATE("#metadata!", ADDRESS(INDEX($AH$2:$AH$1001,MATCH(ROWS($AF$2:AF923),$AF$2:$AF$1001,0),0), INDEX($AM$1004:$BM$1004,1,MATCH(COLUMNS($AM$1006:BD1006),$AM$1006:$BM$1006,0)))),"Fix")))</f>
        <v xml:space="preserve"> </v>
      </c>
      <c r="T923" s="4" t="str">
        <f ca="1">IF(OR(INDEX($AG$2:$AG$1001,MATCH(ROWS($AF$2:AF923),$AF$2:$AF$1001,0),1)&gt;=100000,INDEX($AM$1005:$BM$1005,1,MATCH(COLUMNS($AM$1006:BE1006),$AM$1006:$BM$1006,0))&gt;=100000), " ",IF(INDEX($AM$2:$BM$1001,MATCH(ROWS($AF$2:AF923),$AF$2:$AF$1001,0),MATCH(COLUMNS($AM$1006:BE1006),$AM$1006:$BM$1006,0)), HYPERLINK("#",""), HYPERLINK(CONCATENATE("#metadata!", ADDRESS(INDEX($AH$2:$AH$1001,MATCH(ROWS($AF$2:AF923),$AF$2:$AF$1001,0),0), INDEX($AM$1004:$BM$1004,1,MATCH(COLUMNS($AM$1006:BE1006),$AM$1006:$BM$1006,0)))),"Fix")))</f>
        <v xml:space="preserve"> </v>
      </c>
      <c r="U923" s="4" t="str">
        <f ca="1">IF(OR(INDEX($AG$2:$AG$1001,MATCH(ROWS($AF$2:AF923),$AF$2:$AF$1001,0),1)&gt;=100000,INDEX($AM$1005:$BM$1005,1,MATCH(COLUMNS($AM$1006:BF1006),$AM$1006:$BM$1006,0))&gt;=100000), " ",IF(INDEX($AM$2:$BM$1001,MATCH(ROWS($AF$2:AF923),$AF$2:$AF$1001,0),MATCH(COLUMNS($AM$1006:BF1006),$AM$1006:$BM$1006,0)), HYPERLINK("#",""), HYPERLINK(CONCATENATE("#metadata!", ADDRESS(INDEX($AH$2:$AH$1001,MATCH(ROWS($AF$2:AF923),$AF$2:$AF$1001,0),0), INDEX($AM$1004:$BM$1004,1,MATCH(COLUMNS($AM$1006:BF1006),$AM$1006:$BM$1006,0)))),"Fix")))</f>
        <v xml:space="preserve"> </v>
      </c>
      <c r="V923" s="4" t="str">
        <f ca="1">IF(OR(INDEX($AG$2:$AG$1001,MATCH(ROWS($AF$2:AF923),$AF$2:$AF$1001,0),1)&gt;=100000,INDEX($AM$1005:$BM$1005,1,MATCH(COLUMNS($AM$1006:BG1006),$AM$1006:$BM$1006,0))&gt;=100000), " ",IF(INDEX($AM$2:$BM$1001,MATCH(ROWS($AF$2:AF923),$AF$2:$AF$1001,0),MATCH(COLUMNS($AM$1006:BG1006),$AM$1006:$BM$1006,0)), HYPERLINK("#",""), HYPERLINK(CONCATENATE("#metadata!", ADDRESS(INDEX($AH$2:$AH$1001,MATCH(ROWS($AF$2:AF923),$AF$2:$AF$1001,0),0), INDEX($AM$1004:$BM$1004,1,MATCH(COLUMNS($AM$1006:BG1006),$AM$1006:$BM$1006,0)))),"Fix")))</f>
        <v xml:space="preserve"> </v>
      </c>
      <c r="W923" s="4" t="str">
        <f ca="1">IF(OR(INDEX($AG$2:$AG$1001,MATCH(ROWS($AF$2:AF923),$AF$2:$AF$1001,0),1)&gt;=100000,INDEX($AM$1005:$BM$1005,1,MATCH(COLUMNS($AM$1006:BH1006),$AM$1006:$BM$1006,0))&gt;=100000), " ",IF(INDEX($AM$2:$BM$1001,MATCH(ROWS($AF$2:AF923),$AF$2:$AF$1001,0),MATCH(COLUMNS($AM$1006:BH1006),$AM$1006:$BM$1006,0)), HYPERLINK("#",""), HYPERLINK(CONCATENATE("#metadata!", ADDRESS(INDEX($AH$2:$AH$1001,MATCH(ROWS($AF$2:AF923),$AF$2:$AF$1001,0),0), INDEX($AM$1004:$BM$1004,1,MATCH(COLUMNS($AM$1006:BH1006),$AM$1006:$BM$1006,0)))),"Fix")))</f>
        <v xml:space="preserve"> </v>
      </c>
      <c r="X923" s="4" t="str">
        <f ca="1">IF(OR(INDEX($AG$2:$AG$1001,MATCH(ROWS($AF$2:AF923),$AF$2:$AF$1001,0),1)&gt;=100000,INDEX($AM$1005:$BM$1005,1,MATCH(COLUMNS($AM$1006:BI1006),$AM$1006:$BM$1006,0))&gt;=100000), " ",IF(INDEX($AM$2:$BM$1001,MATCH(ROWS($AF$2:AF923),$AF$2:$AF$1001,0),MATCH(COLUMNS($AM$1006:BI1006),$AM$1006:$BM$1006,0)), HYPERLINK("#",""), HYPERLINK(CONCATENATE("#metadata!", ADDRESS(INDEX($AH$2:$AH$1001,MATCH(ROWS($AF$2:AF923),$AF$2:$AF$1001,0),0), INDEX($AM$1004:$BM$1004,1,MATCH(COLUMNS($AM$1006:BI1006),$AM$1006:$BM$1006,0)))),"Fix")))</f>
        <v xml:space="preserve"> </v>
      </c>
      <c r="Y923" s="4" t="str">
        <f ca="1">IF(OR(INDEX($AG$2:$AG$1001,MATCH(ROWS($AF$2:AF923),$AF$2:$AF$1001,0),1)&gt;=100000,INDEX($AM$1005:$BM$1005,1,MATCH(COLUMNS($AM$1006:BJ1006),$AM$1006:$BM$1006,0))&gt;=100000), " ",IF(INDEX($AM$2:$BM$1001,MATCH(ROWS($AF$2:AF923),$AF$2:$AF$1001,0),MATCH(COLUMNS($AM$1006:BJ1006),$AM$1006:$BM$1006,0)), HYPERLINK("#",""), HYPERLINK(CONCATENATE("#metadata!", ADDRESS(INDEX($AH$2:$AH$1001,MATCH(ROWS($AF$2:AF923),$AF$2:$AF$1001,0),0), INDEX($AM$1004:$BM$1004,1,MATCH(COLUMNS($AM$1006:BJ1006),$AM$1006:$BM$1006,0)))),"Fix")))</f>
        <v xml:space="preserve"> </v>
      </c>
      <c r="Z923" s="4" t="str">
        <f ca="1">IF(OR(INDEX($AG$2:$AG$1001,MATCH(ROWS($AF$2:AF923),$AF$2:$AF$1001,0),1)&gt;=100000,INDEX($AM$1005:$BM$1005,1,MATCH(COLUMNS($AM$1006:BK1006),$AM$1006:$BM$1006,0))&gt;=100000), " ",IF(INDEX($AM$2:$BM$1001,MATCH(ROWS($AF$2:AF923),$AF$2:$AF$1001,0),MATCH(COLUMNS($AM$1006:BK1006),$AM$1006:$BM$1006,0)), HYPERLINK("#",""), HYPERLINK(CONCATENATE("#metadata!", ADDRESS(INDEX($AH$2:$AH$1001,MATCH(ROWS($AF$2:AF923),$AF$2:$AF$1001,0),0), INDEX($AM$1004:$BM$1004,1,MATCH(COLUMNS($AM$1006:BK1006),$AM$1006:$BM$1006,0)))),"Fix")))</f>
        <v xml:space="preserve"> </v>
      </c>
      <c r="AA923" s="4" t="str">
        <f ca="1">IF(OR(INDEX($AG$2:$AG$1001,MATCH(ROWS($AF$2:AF923),$AF$2:$AF$1001,0),1)&gt;=100000,INDEX($AM$1005:$BM$1005,1,MATCH(COLUMNS($AM$1006:BL1006),$AM$1006:$BM$1006,0))&gt;=100000), " ",IF(INDEX($AM$2:$BM$1001,MATCH(ROWS($AF$2:AF923),$AF$2:$AF$1001,0),MATCH(COLUMNS($AM$1006:BL1006),$AM$1006:$BM$1006,0)), HYPERLINK("#",""), HYPERLINK(CONCATENATE("#metadata!", ADDRESS(INDEX($AH$2:$AH$1001,MATCH(ROWS($AF$2:AF923),$AF$2:$AF$1001,0),0), INDEX($AM$1004:$BM$1004,1,MATCH(COLUMNS($AM$1006:BL1006),$AM$1006:$BM$1006,0)))),"Fix")))</f>
        <v xml:space="preserve"> </v>
      </c>
      <c r="AB923" s="4" t="str">
        <f ca="1">IF(OR(INDEX($AG$2:$AG$1001,MATCH(ROWS($AF$2:AF923),$AF$2:$AF$1001,0),1)&gt;=100000,INDEX($AM$1005:$BM$1005,1,MATCH(COLUMNS($AM$1006:BM1006),$AM$1006:$BM$1006,0))&gt;=100000), " ",IF(INDEX($AM$2:$BM$1001,MATCH(ROWS($AF$2:AF923),$AF$2:$AF$1001,0),MATCH(COLUMNS($AM$1006:BM1006),$AM$1006:$BM$1006,0)), HYPERLINK("#",""), HYPERLINK(CONCATENATE("#metadata!", ADDRESS(INDEX($AH$2:$AH$1001,MATCH(ROWS($AF$2:AF923),$AF$2:$AF$1001,0),0), INDEX($AM$1004:$BM$1004,1,MATCH(COLUMNS($AM$1006:BM1006),$AM$1006:$BM$1006,0)))),"Fix")))</f>
        <v xml:space="preserve"> </v>
      </c>
      <c r="AF923">
        <v>922</v>
      </c>
      <c r="AG923">
        <v>100923</v>
      </c>
      <c r="AH923">
        <v>923</v>
      </c>
      <c r="AI923" t="b">
        <f t="shared" si="14"/>
        <v>1</v>
      </c>
      <c r="AJ923" t="b">
        <f>COUNTBLANK(metadata!B923:AB923)=COLUMNS(metadata!B923:AB923)</f>
        <v>1</v>
      </c>
      <c r="AK923" t="str">
        <v/>
      </c>
      <c r="AM923" t="b">
        <f ca="1">AND(IF(metadata!B923="",FALSE,TRUE),COUNTIF(metadata!B:B, metadata!B923) = 1,NOT(ISERROR(SUMPRODUCT(SEARCH(MID(metadata!B923,ROW(INDIRECT("1:"&amp;LEN(metadata!B923))), 1),"0123456789abcdefghijklmnopqrstuvwxyzABCDEFGHIJKLMNOPQRSTUVWXYZ.")))))</f>
        <v>0</v>
      </c>
      <c r="AN923" t="b">
        <f ca="1">OR(AND(IF(metadata!C923="",FALSE,TRUE),OR(EXACT(metadata!C923,"missing: not collected"),EXACT(metadata!C923,"missing: not provided"),EXACT(metadata!C923,"missing: restricted access"))),AND(IF(metadata!C923="",FALSE,TRUE),AND(AND(IFERROR(INT(LEFT(metadata!C923,4))&gt;1900,FALSE),IFERROR(INT(LEFT(metadata!C923,4))&lt;=YEAR(NOW()),FALSE)), OR(MID(metadata!C923,5,1)="", AND(AND(MID(metadata!C923,5,1)="-",IFERROR(INT(MID(metadata!C923,6,1))&gt;=0,FALSE),IFERROR(INT(MID(metadata!C923,6,1))&lt;=1,FALSE),NOT(MID(metadata!C923,7,1)=""),IFERROR(INT(MID(metadata!C923,6,2))&gt;=1,FALSE),IFERROR(INT(MID(metadata!C923,6,2))&lt;=12,FALSE)), OR(MID(metadata!C923,8,1)="", AND(AND(MID(metadata!C923,8,1)="-",IFERROR(INT(MID(metadata!C923,9,1))&gt;=0,FALSE),IFERROR(INT(MID(metadata!C923,9,1))&lt;=3,FALSE),NOT(MID(metadata!C923,10,1)=""),IFERROR(INT(MID(metadata!C923,9,2))&gt;=1,FALSE),IFERROR(INT(MID(metadata!C923,9,2))&lt;=31,FALSE)), OR(MID(metadata!C923,11,1)="", AND(AND(MID(metadata!C923,11,1)=" ",IFERROR(INT(MID(metadata!C923,12,1))&gt;=0,FALSE),IFERROR(INT(MID(metadata!C923,12,1))&lt;=2,FALSE),NOT(MID(metadata!C923,13,1)=""),IFERROR(INT(MID(metadata!C923,12,2))&gt;=0,FALSE),IFERROR(INT(MID(metadata!C923,12,2))&lt;=23,FALSE)), OR(MID(metadata!C923,14,1)="", AND(AND(MID(metadata!C923,14,1)=":",IFERROR(INT(MID(metadata!C923,15,1))&gt;=0,FALSE),IFERROR(INT(MID(metadata!C923,15,1))&lt;=5,FALSE),NOT(MID(metadata!C923,16,1)=""),IFERROR(INT(MID(metadata!C923,15,2))&gt;=0,FALSE),IFERROR(INT(MID(metadata!C923,15,2))&lt;=59,FALSE)), OR(MID(metadata!C923,17,1)="", AND(AND(MID(metadata!C923,17,1)=":",IFERROR(INT(MID(metadata!C923,18,1))&gt;=0,FALSE),IFERROR(INT(MID(metadata!C923,18,1))&lt;=5,FALSE),NOT(MID(metadata!C923,19,1)=""),IFERROR(INT(MID(metadata!C923,18,2))&gt;=0,FALSE),IFERROR(INT(MID(metadata!C923,18,2))&lt;=59,FALSE)), LEN(metadata!C923)&lt;=19)))))))))))))</f>
        <v>0</v>
      </c>
      <c r="AO923" t="b">
        <f>AND(IF(metadata!D923="",FALSE,TRUE),EXACT(metadata!D923,"Not applicable"))</f>
        <v>0</v>
      </c>
      <c r="AP923" t="b">
        <f>IF(metadata!E923="",FALSE,TRUE)</f>
        <v>0</v>
      </c>
      <c r="AQ923" t="b">
        <f>OR(AND(IF(metadata!F923="",FALSE,TRUE),OR(EXACT(metadata!F923,"missing: not collected"),EXACT(metadata!F923,"missing: not provided"))),AND(IF(metadata!F923="",FALSE,TRUE),OR(EXACT(metadata!F923,"TRUE"),EXACT(metadata!F923,"FALSE"))))</f>
        <v>0</v>
      </c>
      <c r="AR923" t="b">
        <f>OR(AND(IF(metadata!G923="",FALSE,TRUE),OR(EXACT(metadata!G923,"missing: not collected"),EXACT(metadata!G923,"missing: not provided"),EXACT(metadata!G923,"missing: restricted access"))),AND(IF(metadata!G923="",FALSE,ISNUMBER(VALUE(metadata!G923))),metadata!G923&gt;=-413))</f>
        <v>0</v>
      </c>
      <c r="AS923" t="b">
        <f>AND(IF(metadata!H923="",FALSE,TRUE),EXACT(metadata!H923,"meters"))</f>
        <v>0</v>
      </c>
      <c r="AT923" t="b">
        <f>AND(IF(metadata!I923="",FALSE,TRUE),OR(EXACT(metadata!I923,"Host-associated"),EXACT(metadata!I923,"Free-living")))</f>
        <v>0</v>
      </c>
      <c r="AU923" t="b">
        <f>AND(IF(metadata!J923="",FALSE,TRUE),OR(EXACT(metadata!J923,"Animal"),EXACT(metadata!J923,"Fungus"),EXACT(metadata!J923,"Plant"),EXACT(metadata!J923,"Saline"),EXACT(metadata!J923,"Non-saline")))</f>
        <v>0</v>
      </c>
      <c r="AV923" t="b">
        <f>AND(IF(metadata!K923="",FALSE,TRUE),OR(EXACT(metadata!K923,"Plant secretion"),EXACT(metadata!K923,"Plant rhizosphere"),EXACT(metadata!K923,"Plant surface"),EXACT(metadata!K923,"Plant corpus"),EXACT(metadata!K923,"Fungus surface"),EXACT(metadata!K923,"Fungus corpus"),EXACT(metadata!K923,"Animal surface"),EXACT(metadata!K923,"Animal proximal gut"),EXACT(metadata!K923,"Animal corpus"),EXACT(metadata!K923,"Animal distal gut"),EXACT(metadata!K923,"Animal secretion"),EXACT(metadata!K923,"Sub-surface (non-saline)"),EXACT(metadata!K923,"Surface (non-saline)"),EXACT(metadata!K923,"Water (non-saline)"),EXACT(metadata!K923,"Soil (non-saline)"),EXACT(metadata!K923,"Aerosol (non-saline)"),EXACT(metadata!K923,"Sediment (non-saline)"),EXACT(metadata!K923,"Surface (saline)"),EXACT(metadata!K923,"Water (saline)"),EXACT(metadata!K923,"Hypersaline (saline)"),EXACT(metadata!K923,"Aerosol (saline)"),EXACT(metadata!K923,"Sediment (saline)")))</f>
        <v>0</v>
      </c>
      <c r="AW923" t="b">
        <f>IF(metadata!L923="",FALSE,TRUE)</f>
        <v>0</v>
      </c>
      <c r="AX923" t="b">
        <f>IF(metadata!M923="",FALSE,TRUE)</f>
        <v>0</v>
      </c>
      <c r="AY923" t="b">
        <f>IF(metadata!N923="",FALSE,TRUE)</f>
        <v>0</v>
      </c>
      <c r="AZ923" t="b">
        <f>OR(AND(IF(metadata!O923="",FALSE,TRUE),OR(EXACT(metadata!O923,"missing: not collected"),EXACT(metadata!O923,"missing: not provided"),EXACT(metadata!O923,"missing: restricted access"))),AND(IF(metadata!O923="",FALSE,TRUE),OR(EXACT(metadata!O923,"air"),EXACT(metadata!O923,"built environment"),EXACT(metadata!O923,"host-associated"),EXACT(metadata!O923,"human-associated"),EXACT(metadata!O923,"human-skin"),EXACT(metadata!O923,"human-oral"),EXACT(metadata!O923,"human-gut"),EXACT(metadata!O923,"human-vaginal"),EXACT(metadata!O923,"microbial mat/biofilm"),EXACT(metadata!O923,"misc environment"),EXACT(metadata!O923,"plant-associated"),EXACT(metadata!O923,"sediment"),EXACT(metadata!O923,"soil"),EXACT(metadata!O923,"wastewater/sludge"),EXACT(metadata!O923,"water"))))</f>
        <v>0</v>
      </c>
      <c r="BA923" t="b">
        <f>IF(metadata!P923="",FALSE,TRUE)</f>
        <v>0</v>
      </c>
      <c r="BB923" t="b">
        <f>IF(metadata!Q923="",FALSE,TRUE)</f>
        <v>0</v>
      </c>
      <c r="BC923" t="b">
        <f>OR(AND(IF(metadata!R923="",FALSE,TRUE),OR(EXACT(metadata!R923,"missing: not collected"),EXACT(metadata!R923,"missing: not provided"),EXACT(metadata!R923,"missing: restricted access"))),AND(IF(metadata!R923="",FALSE,ISNUMBER(VALUE(metadata!R923))),metadata!R923&gt;=-90,metadata!R923&lt;=90))</f>
        <v>0</v>
      </c>
      <c r="BD923" t="b">
        <f>AND(IF(metadata!S923="",FALSE,TRUE),EXACT(metadata!S923,"Decimal degrees"))</f>
        <v>0</v>
      </c>
      <c r="BE923" t="b">
        <f>OR(AND(IF(metadata!T923="",FALSE,TRUE),OR(EXACT(metadata!T923,"missing: not collected"),EXACT(metadata!T923,"missing: not provided"),EXACT(metadata!T923,"missing: restricted access"))),AND(IF(metadata!T923="",FALSE,ISNUMBER(VALUE(metadata!T923))),metadata!T923&gt;=-180,metadata!T923&lt;=180))</f>
        <v>0</v>
      </c>
      <c r="BF923" t="b">
        <f>AND(IF(metadata!U923="",FALSE,TRUE),EXACT(metadata!U923,"Decimal degrees"))</f>
        <v>0</v>
      </c>
      <c r="BG923" t="b">
        <f>IF(metadata!V923="",FALSE,TRUE)</f>
        <v>0</v>
      </c>
      <c r="BH923" t="b">
        <f>OR(AND(IF(metadata!W923="",FALSE,TRUE),OR(EXACT(metadata!W923,"missing: not collected"),EXACT(metadata!W923,"missing: not provided"),EXACT(metadata!W923,"missing: restricted access"))),AND(IF(metadata!W923="",FALSE,TRUE),OR(EXACT(metadata!W923,"TRUE"),EXACT(metadata!W923,"FALSE"))))</f>
        <v>0</v>
      </c>
      <c r="BI923" t="b">
        <f>AND(IF(metadata!X923="",FALSE,TRUE),EXACT(metadata!X923,"other"))</f>
        <v>0</v>
      </c>
      <c r="BJ923" t="b">
        <f>IF(metadata!Y923="",FALSE,TRUE)</f>
        <v>0</v>
      </c>
      <c r="BK923" t="b">
        <f>OR(AND(IF(metadata!Z923="",FALSE,TRUE),OR(EXACT(metadata!Z923,"missing: not collected"),EXACT(metadata!Z923,"missing: not provided"))),AND(IF(metadata!Z923="",FALSE,IF(ISERROR(INT(metadata!Z923)),FALSE,INT(metadata!Z923)=metadata!Z923)),metadata!Z923&gt;0))</f>
        <v>0</v>
      </c>
      <c r="BL923" t="b">
        <f>AND(IF(metadata!AA923="",FALSE,TRUE),EXACT(metadata!AA923,"Not applicable"))</f>
        <v>0</v>
      </c>
      <c r="BM923" t="b">
        <f>IF(metadata!AB923="",FALSE,TRUE)</f>
        <v>0</v>
      </c>
    </row>
    <row r="924" spans="1:65" x14ac:dyDescent="0.2">
      <c r="A924" s="5" t="str">
        <f ca="1">IF(B924=" "," ",HYPERLINK(CONCATENATE("#metadata!",ADDRESS(INDEX($AH$2:$AH$1001,MATCH(ROWS($AF$2:AF924),$AF$2:$AF$1001,0),0),1)),INDEX($AK$2:$AK$1001,MATCH(ROWS($AF$2:AF924),$AF$2:$AF$1001,0),0)))</f>
        <v xml:space="preserve"> </v>
      </c>
      <c r="B924" s="4" t="str">
        <f ca="1">IF(OR(INDEX($AG$2:$AG$1001,MATCH(ROWS($AF$2:AF924),$AF$2:$AF$1001,0),1)&gt;=100000,INDEX($AM$1005:$BM$1005,1,MATCH(COLUMNS($AM$1006:AM1006),$AM$1006:$BM$1006,0))&gt;=100000), " ",IF(INDEX($AM$2:$BM$1001,MATCH(ROWS($AF$2:AF924),$AF$2:$AF$1001,0),MATCH(COLUMNS($AM$1006:AM1006),$AM$1006:$BM$1006,0)), HYPERLINK("#",""), HYPERLINK(CONCATENATE("#metadata!", ADDRESS(INDEX($AH$2:$AH$1001,MATCH(ROWS($AF$2:AF924),$AF$2:$AF$1001,0),0), INDEX($AM$1004:$BM$1004,1,MATCH(COLUMNS($AM$1006:AM1006),$AM$1006:$BM$1006,0)))),"Fix")))</f>
        <v xml:space="preserve"> </v>
      </c>
      <c r="C924" s="4" t="str">
        <f ca="1">IF(OR(INDEX($AG$2:$AG$1001,MATCH(ROWS($AF$2:AF924),$AF$2:$AF$1001,0),1)&gt;=100000,INDEX($AM$1005:$BM$1005,1,MATCH(COLUMNS($AM$1006:AN1006),$AM$1006:$BM$1006,0))&gt;=100000), " ",IF(INDEX($AM$2:$BM$1001,MATCH(ROWS($AF$2:AF924),$AF$2:$AF$1001,0),MATCH(COLUMNS($AM$1006:AN1006),$AM$1006:$BM$1006,0)), HYPERLINK("#",""), HYPERLINK(CONCATENATE("#metadata!", ADDRESS(INDEX($AH$2:$AH$1001,MATCH(ROWS($AF$2:AF924),$AF$2:$AF$1001,0),0), INDEX($AM$1004:$BM$1004,1,MATCH(COLUMNS($AM$1006:AN1006),$AM$1006:$BM$1006,0)))),"Fix")))</f>
        <v xml:space="preserve"> </v>
      </c>
      <c r="D924" s="4" t="str">
        <f ca="1">IF(OR(INDEX($AG$2:$AG$1001,MATCH(ROWS($AF$2:AF924),$AF$2:$AF$1001,0),1)&gt;=100000,INDEX($AM$1005:$BM$1005,1,MATCH(COLUMNS($AM$1006:AO1006),$AM$1006:$BM$1006,0))&gt;=100000), " ",IF(INDEX($AM$2:$BM$1001,MATCH(ROWS($AF$2:AF924),$AF$2:$AF$1001,0),MATCH(COLUMNS($AM$1006:AO1006),$AM$1006:$BM$1006,0)), HYPERLINK("#",""), HYPERLINK(CONCATENATE("#metadata!", ADDRESS(INDEX($AH$2:$AH$1001,MATCH(ROWS($AF$2:AF924),$AF$2:$AF$1001,0),0), INDEX($AM$1004:$BM$1004,1,MATCH(COLUMNS($AM$1006:AO1006),$AM$1006:$BM$1006,0)))),"Fix")))</f>
        <v xml:space="preserve"> </v>
      </c>
      <c r="E924" s="4" t="str">
        <f ca="1">IF(OR(INDEX($AG$2:$AG$1001,MATCH(ROWS($AF$2:AF924),$AF$2:$AF$1001,0),1)&gt;=100000,INDEX($AM$1005:$BM$1005,1,MATCH(COLUMNS($AM$1006:AP1006),$AM$1006:$BM$1006,0))&gt;=100000), " ",IF(INDEX($AM$2:$BM$1001,MATCH(ROWS($AF$2:AF924),$AF$2:$AF$1001,0),MATCH(COLUMNS($AM$1006:AP1006),$AM$1006:$BM$1006,0)), HYPERLINK("#",""), HYPERLINK(CONCATENATE("#metadata!", ADDRESS(INDEX($AH$2:$AH$1001,MATCH(ROWS($AF$2:AF924),$AF$2:$AF$1001,0),0), INDEX($AM$1004:$BM$1004,1,MATCH(COLUMNS($AM$1006:AP1006),$AM$1006:$BM$1006,0)))),"Fix")))</f>
        <v xml:space="preserve"> </v>
      </c>
      <c r="F924" s="4" t="str">
        <f ca="1">IF(OR(INDEX($AG$2:$AG$1001,MATCH(ROWS($AF$2:AF924),$AF$2:$AF$1001,0),1)&gt;=100000,INDEX($AM$1005:$BM$1005,1,MATCH(COLUMNS($AM$1006:AQ1006),$AM$1006:$BM$1006,0))&gt;=100000), " ",IF(INDEX($AM$2:$BM$1001,MATCH(ROWS($AF$2:AF924),$AF$2:$AF$1001,0),MATCH(COLUMNS($AM$1006:AQ1006),$AM$1006:$BM$1006,0)), HYPERLINK("#",""), HYPERLINK(CONCATENATE("#metadata!", ADDRESS(INDEX($AH$2:$AH$1001,MATCH(ROWS($AF$2:AF924),$AF$2:$AF$1001,0),0), INDEX($AM$1004:$BM$1004,1,MATCH(COLUMNS($AM$1006:AQ1006),$AM$1006:$BM$1006,0)))),"Fix")))</f>
        <v xml:space="preserve"> </v>
      </c>
      <c r="G924" s="4" t="str">
        <f ca="1">IF(OR(INDEX($AG$2:$AG$1001,MATCH(ROWS($AF$2:AF924),$AF$2:$AF$1001,0),1)&gt;=100000,INDEX($AM$1005:$BM$1005,1,MATCH(COLUMNS($AM$1006:AR1006),$AM$1006:$BM$1006,0))&gt;=100000), " ",IF(INDEX($AM$2:$BM$1001,MATCH(ROWS($AF$2:AF924),$AF$2:$AF$1001,0),MATCH(COLUMNS($AM$1006:AR1006),$AM$1006:$BM$1006,0)), HYPERLINK("#",""), HYPERLINK(CONCATENATE("#metadata!", ADDRESS(INDEX($AH$2:$AH$1001,MATCH(ROWS($AF$2:AF924),$AF$2:$AF$1001,0),0), INDEX($AM$1004:$BM$1004,1,MATCH(COLUMNS($AM$1006:AR1006),$AM$1006:$BM$1006,0)))),"Fix")))</f>
        <v xml:space="preserve"> </v>
      </c>
      <c r="H924" s="4" t="str">
        <f ca="1">IF(OR(INDEX($AG$2:$AG$1001,MATCH(ROWS($AF$2:AF924),$AF$2:$AF$1001,0),1)&gt;=100000,INDEX($AM$1005:$BM$1005,1,MATCH(COLUMNS($AM$1006:AS1006),$AM$1006:$BM$1006,0))&gt;=100000), " ",IF(INDEX($AM$2:$BM$1001,MATCH(ROWS($AF$2:AF924),$AF$2:$AF$1001,0),MATCH(COLUMNS($AM$1006:AS1006),$AM$1006:$BM$1006,0)), HYPERLINK("#",""), HYPERLINK(CONCATENATE("#metadata!", ADDRESS(INDEX($AH$2:$AH$1001,MATCH(ROWS($AF$2:AF924),$AF$2:$AF$1001,0),0), INDEX($AM$1004:$BM$1004,1,MATCH(COLUMNS($AM$1006:AS1006),$AM$1006:$BM$1006,0)))),"Fix")))</f>
        <v xml:space="preserve"> </v>
      </c>
      <c r="I924" s="4" t="str">
        <f ca="1">IF(OR(INDEX($AG$2:$AG$1001,MATCH(ROWS($AF$2:AF924),$AF$2:$AF$1001,0),1)&gt;=100000,INDEX($AM$1005:$BM$1005,1,MATCH(COLUMNS($AM$1006:AT1006),$AM$1006:$BM$1006,0))&gt;=100000), " ",IF(INDEX($AM$2:$BM$1001,MATCH(ROWS($AF$2:AF924),$AF$2:$AF$1001,0),MATCH(COLUMNS($AM$1006:AT1006),$AM$1006:$BM$1006,0)), HYPERLINK("#",""), HYPERLINK(CONCATENATE("#metadata!", ADDRESS(INDEX($AH$2:$AH$1001,MATCH(ROWS($AF$2:AF924),$AF$2:$AF$1001,0),0), INDEX($AM$1004:$BM$1004,1,MATCH(COLUMNS($AM$1006:AT1006),$AM$1006:$BM$1006,0)))),"Fix")))</f>
        <v xml:space="preserve"> </v>
      </c>
      <c r="J924" s="4" t="str">
        <f ca="1">IF(OR(INDEX($AG$2:$AG$1001,MATCH(ROWS($AF$2:AF924),$AF$2:$AF$1001,0),1)&gt;=100000,INDEX($AM$1005:$BM$1005,1,MATCH(COLUMNS($AM$1006:AU1006),$AM$1006:$BM$1006,0))&gt;=100000), " ",IF(INDEX($AM$2:$BM$1001,MATCH(ROWS($AF$2:AF924),$AF$2:$AF$1001,0),MATCH(COLUMNS($AM$1006:AU1006),$AM$1006:$BM$1006,0)), HYPERLINK("#",""), HYPERLINK(CONCATENATE("#metadata!", ADDRESS(INDEX($AH$2:$AH$1001,MATCH(ROWS($AF$2:AF924),$AF$2:$AF$1001,0),0), INDEX($AM$1004:$BM$1004,1,MATCH(COLUMNS($AM$1006:AU1006),$AM$1006:$BM$1006,0)))),"Fix")))</f>
        <v xml:space="preserve"> </v>
      </c>
      <c r="K924" s="4" t="str">
        <f ca="1">IF(OR(INDEX($AG$2:$AG$1001,MATCH(ROWS($AF$2:AF924),$AF$2:$AF$1001,0),1)&gt;=100000,INDEX($AM$1005:$BM$1005,1,MATCH(COLUMNS($AM$1006:AV1006),$AM$1006:$BM$1006,0))&gt;=100000), " ",IF(INDEX($AM$2:$BM$1001,MATCH(ROWS($AF$2:AF924),$AF$2:$AF$1001,0),MATCH(COLUMNS($AM$1006:AV1006),$AM$1006:$BM$1006,0)), HYPERLINK("#",""), HYPERLINK(CONCATENATE("#metadata!", ADDRESS(INDEX($AH$2:$AH$1001,MATCH(ROWS($AF$2:AF924),$AF$2:$AF$1001,0),0), INDEX($AM$1004:$BM$1004,1,MATCH(COLUMNS($AM$1006:AV1006),$AM$1006:$BM$1006,0)))),"Fix")))</f>
        <v xml:space="preserve"> </v>
      </c>
      <c r="L924" s="4" t="str">
        <f ca="1">IF(OR(INDEX($AG$2:$AG$1001,MATCH(ROWS($AF$2:AF924),$AF$2:$AF$1001,0),1)&gt;=100000,INDEX($AM$1005:$BM$1005,1,MATCH(COLUMNS($AM$1006:AW1006),$AM$1006:$BM$1006,0))&gt;=100000), " ",IF(INDEX($AM$2:$BM$1001,MATCH(ROWS($AF$2:AF924),$AF$2:$AF$1001,0),MATCH(COLUMNS($AM$1006:AW1006),$AM$1006:$BM$1006,0)), HYPERLINK("#",""), HYPERLINK(CONCATENATE("#metadata!", ADDRESS(INDEX($AH$2:$AH$1001,MATCH(ROWS($AF$2:AF924),$AF$2:$AF$1001,0),0), INDEX($AM$1004:$BM$1004,1,MATCH(COLUMNS($AM$1006:AW1006),$AM$1006:$BM$1006,0)))),"Fix")))</f>
        <v xml:space="preserve"> </v>
      </c>
      <c r="M924" s="4" t="str">
        <f ca="1">IF(OR(INDEX($AG$2:$AG$1001,MATCH(ROWS($AF$2:AF924),$AF$2:$AF$1001,0),1)&gt;=100000,INDEX($AM$1005:$BM$1005,1,MATCH(COLUMNS($AM$1006:AX1006),$AM$1006:$BM$1006,0))&gt;=100000), " ",IF(INDEX($AM$2:$BM$1001,MATCH(ROWS($AF$2:AF924),$AF$2:$AF$1001,0),MATCH(COLUMNS($AM$1006:AX1006),$AM$1006:$BM$1006,0)), HYPERLINK("#",""), HYPERLINK(CONCATENATE("#metadata!", ADDRESS(INDEX($AH$2:$AH$1001,MATCH(ROWS($AF$2:AF924),$AF$2:$AF$1001,0),0), INDEX($AM$1004:$BM$1004,1,MATCH(COLUMNS($AM$1006:AX1006),$AM$1006:$BM$1006,0)))),"Fix")))</f>
        <v xml:space="preserve"> </v>
      </c>
      <c r="N924" s="4" t="str">
        <f ca="1">IF(OR(INDEX($AG$2:$AG$1001,MATCH(ROWS($AF$2:AF924),$AF$2:$AF$1001,0),1)&gt;=100000,INDEX($AM$1005:$BM$1005,1,MATCH(COLUMNS($AM$1006:AY1006),$AM$1006:$BM$1006,0))&gt;=100000), " ",IF(INDEX($AM$2:$BM$1001,MATCH(ROWS($AF$2:AF924),$AF$2:$AF$1001,0),MATCH(COLUMNS($AM$1006:AY1006),$AM$1006:$BM$1006,0)), HYPERLINK("#",""), HYPERLINK(CONCATENATE("#metadata!", ADDRESS(INDEX($AH$2:$AH$1001,MATCH(ROWS($AF$2:AF924),$AF$2:$AF$1001,0),0), INDEX($AM$1004:$BM$1004,1,MATCH(COLUMNS($AM$1006:AY1006),$AM$1006:$BM$1006,0)))),"Fix")))</f>
        <v xml:space="preserve"> </v>
      </c>
      <c r="O924" s="4" t="str">
        <f ca="1">IF(OR(INDEX($AG$2:$AG$1001,MATCH(ROWS($AF$2:AF924),$AF$2:$AF$1001,0),1)&gt;=100000,INDEX($AM$1005:$BM$1005,1,MATCH(COLUMNS($AM$1006:AZ1006),$AM$1006:$BM$1006,0))&gt;=100000), " ",IF(INDEX($AM$2:$BM$1001,MATCH(ROWS($AF$2:AF924),$AF$2:$AF$1001,0),MATCH(COLUMNS($AM$1006:AZ1006),$AM$1006:$BM$1006,0)), HYPERLINK("#",""), HYPERLINK(CONCATENATE("#metadata!", ADDRESS(INDEX($AH$2:$AH$1001,MATCH(ROWS($AF$2:AF924),$AF$2:$AF$1001,0),0), INDEX($AM$1004:$BM$1004,1,MATCH(COLUMNS($AM$1006:AZ1006),$AM$1006:$BM$1006,0)))),"Fix")))</f>
        <v xml:space="preserve"> </v>
      </c>
      <c r="P924" s="4" t="str">
        <f ca="1">IF(OR(INDEX($AG$2:$AG$1001,MATCH(ROWS($AF$2:AF924),$AF$2:$AF$1001,0),1)&gt;=100000,INDEX($AM$1005:$BM$1005,1,MATCH(COLUMNS($AM$1006:BA1006),$AM$1006:$BM$1006,0))&gt;=100000), " ",IF(INDEX($AM$2:$BM$1001,MATCH(ROWS($AF$2:AF924),$AF$2:$AF$1001,0),MATCH(COLUMNS($AM$1006:BA1006),$AM$1006:$BM$1006,0)), HYPERLINK("#",""), HYPERLINK(CONCATENATE("#metadata!", ADDRESS(INDEX($AH$2:$AH$1001,MATCH(ROWS($AF$2:AF924),$AF$2:$AF$1001,0),0), INDEX($AM$1004:$BM$1004,1,MATCH(COLUMNS($AM$1006:BA1006),$AM$1006:$BM$1006,0)))),"Fix")))</f>
        <v xml:space="preserve"> </v>
      </c>
      <c r="Q924" s="4" t="str">
        <f ca="1">IF(OR(INDEX($AG$2:$AG$1001,MATCH(ROWS($AF$2:AF924),$AF$2:$AF$1001,0),1)&gt;=100000,INDEX($AM$1005:$BM$1005,1,MATCH(COLUMNS($AM$1006:BB1006),$AM$1006:$BM$1006,0))&gt;=100000), " ",IF(INDEX($AM$2:$BM$1001,MATCH(ROWS($AF$2:AF924),$AF$2:$AF$1001,0),MATCH(COLUMNS($AM$1006:BB1006),$AM$1006:$BM$1006,0)), HYPERLINK("#",""), HYPERLINK(CONCATENATE("#metadata!", ADDRESS(INDEX($AH$2:$AH$1001,MATCH(ROWS($AF$2:AF924),$AF$2:$AF$1001,0),0), INDEX($AM$1004:$BM$1004,1,MATCH(COLUMNS($AM$1006:BB1006),$AM$1006:$BM$1006,0)))),"Fix")))</f>
        <v xml:space="preserve"> </v>
      </c>
      <c r="R924" s="4" t="str">
        <f ca="1">IF(OR(INDEX($AG$2:$AG$1001,MATCH(ROWS($AF$2:AF924),$AF$2:$AF$1001,0),1)&gt;=100000,INDEX($AM$1005:$BM$1005,1,MATCH(COLUMNS($AM$1006:BC1006),$AM$1006:$BM$1006,0))&gt;=100000), " ",IF(INDEX($AM$2:$BM$1001,MATCH(ROWS($AF$2:AF924),$AF$2:$AF$1001,0),MATCH(COLUMNS($AM$1006:BC1006),$AM$1006:$BM$1006,0)), HYPERLINK("#",""), HYPERLINK(CONCATENATE("#metadata!", ADDRESS(INDEX($AH$2:$AH$1001,MATCH(ROWS($AF$2:AF924),$AF$2:$AF$1001,0),0), INDEX($AM$1004:$BM$1004,1,MATCH(COLUMNS($AM$1006:BC1006),$AM$1006:$BM$1006,0)))),"Fix")))</f>
        <v xml:space="preserve"> </v>
      </c>
      <c r="S924" s="4" t="str">
        <f ca="1">IF(OR(INDEX($AG$2:$AG$1001,MATCH(ROWS($AF$2:AF924),$AF$2:$AF$1001,0),1)&gt;=100000,INDEX($AM$1005:$BM$1005,1,MATCH(COLUMNS($AM$1006:BD1006),$AM$1006:$BM$1006,0))&gt;=100000), " ",IF(INDEX($AM$2:$BM$1001,MATCH(ROWS($AF$2:AF924),$AF$2:$AF$1001,0),MATCH(COLUMNS($AM$1006:BD1006),$AM$1006:$BM$1006,0)), HYPERLINK("#",""), HYPERLINK(CONCATENATE("#metadata!", ADDRESS(INDEX($AH$2:$AH$1001,MATCH(ROWS($AF$2:AF924),$AF$2:$AF$1001,0),0), INDEX($AM$1004:$BM$1004,1,MATCH(COLUMNS($AM$1006:BD1006),$AM$1006:$BM$1006,0)))),"Fix")))</f>
        <v xml:space="preserve"> </v>
      </c>
      <c r="T924" s="4" t="str">
        <f ca="1">IF(OR(INDEX($AG$2:$AG$1001,MATCH(ROWS($AF$2:AF924),$AF$2:$AF$1001,0),1)&gt;=100000,INDEX($AM$1005:$BM$1005,1,MATCH(COLUMNS($AM$1006:BE1006),$AM$1006:$BM$1006,0))&gt;=100000), " ",IF(INDEX($AM$2:$BM$1001,MATCH(ROWS($AF$2:AF924),$AF$2:$AF$1001,0),MATCH(COLUMNS($AM$1006:BE1006),$AM$1006:$BM$1006,0)), HYPERLINK("#",""), HYPERLINK(CONCATENATE("#metadata!", ADDRESS(INDEX($AH$2:$AH$1001,MATCH(ROWS($AF$2:AF924),$AF$2:$AF$1001,0),0), INDEX($AM$1004:$BM$1004,1,MATCH(COLUMNS($AM$1006:BE1006),$AM$1006:$BM$1006,0)))),"Fix")))</f>
        <v xml:space="preserve"> </v>
      </c>
      <c r="U924" s="4" t="str">
        <f ca="1">IF(OR(INDEX($AG$2:$AG$1001,MATCH(ROWS($AF$2:AF924),$AF$2:$AF$1001,0),1)&gt;=100000,INDEX($AM$1005:$BM$1005,1,MATCH(COLUMNS($AM$1006:BF1006),$AM$1006:$BM$1006,0))&gt;=100000), " ",IF(INDEX($AM$2:$BM$1001,MATCH(ROWS($AF$2:AF924),$AF$2:$AF$1001,0),MATCH(COLUMNS($AM$1006:BF1006),$AM$1006:$BM$1006,0)), HYPERLINK("#",""), HYPERLINK(CONCATENATE("#metadata!", ADDRESS(INDEX($AH$2:$AH$1001,MATCH(ROWS($AF$2:AF924),$AF$2:$AF$1001,0),0), INDEX($AM$1004:$BM$1004,1,MATCH(COLUMNS($AM$1006:BF1006),$AM$1006:$BM$1006,0)))),"Fix")))</f>
        <v xml:space="preserve"> </v>
      </c>
      <c r="V924" s="4" t="str">
        <f ca="1">IF(OR(INDEX($AG$2:$AG$1001,MATCH(ROWS($AF$2:AF924),$AF$2:$AF$1001,0),1)&gt;=100000,INDEX($AM$1005:$BM$1005,1,MATCH(COLUMNS($AM$1006:BG1006),$AM$1006:$BM$1006,0))&gt;=100000), " ",IF(INDEX($AM$2:$BM$1001,MATCH(ROWS($AF$2:AF924),$AF$2:$AF$1001,0),MATCH(COLUMNS($AM$1006:BG1006),$AM$1006:$BM$1006,0)), HYPERLINK("#",""), HYPERLINK(CONCATENATE("#metadata!", ADDRESS(INDEX($AH$2:$AH$1001,MATCH(ROWS($AF$2:AF924),$AF$2:$AF$1001,0),0), INDEX($AM$1004:$BM$1004,1,MATCH(COLUMNS($AM$1006:BG1006),$AM$1006:$BM$1006,0)))),"Fix")))</f>
        <v xml:space="preserve"> </v>
      </c>
      <c r="W924" s="4" t="str">
        <f ca="1">IF(OR(INDEX($AG$2:$AG$1001,MATCH(ROWS($AF$2:AF924),$AF$2:$AF$1001,0),1)&gt;=100000,INDEX($AM$1005:$BM$1005,1,MATCH(COLUMNS($AM$1006:BH1006),$AM$1006:$BM$1006,0))&gt;=100000), " ",IF(INDEX($AM$2:$BM$1001,MATCH(ROWS($AF$2:AF924),$AF$2:$AF$1001,0),MATCH(COLUMNS($AM$1006:BH1006),$AM$1006:$BM$1006,0)), HYPERLINK("#",""), HYPERLINK(CONCATENATE("#metadata!", ADDRESS(INDEX($AH$2:$AH$1001,MATCH(ROWS($AF$2:AF924),$AF$2:$AF$1001,0),0), INDEX($AM$1004:$BM$1004,1,MATCH(COLUMNS($AM$1006:BH1006),$AM$1006:$BM$1006,0)))),"Fix")))</f>
        <v xml:space="preserve"> </v>
      </c>
      <c r="X924" s="4" t="str">
        <f ca="1">IF(OR(INDEX($AG$2:$AG$1001,MATCH(ROWS($AF$2:AF924),$AF$2:$AF$1001,0),1)&gt;=100000,INDEX($AM$1005:$BM$1005,1,MATCH(COLUMNS($AM$1006:BI1006),$AM$1006:$BM$1006,0))&gt;=100000), " ",IF(INDEX($AM$2:$BM$1001,MATCH(ROWS($AF$2:AF924),$AF$2:$AF$1001,0),MATCH(COLUMNS($AM$1006:BI1006),$AM$1006:$BM$1006,0)), HYPERLINK("#",""), HYPERLINK(CONCATENATE("#metadata!", ADDRESS(INDEX($AH$2:$AH$1001,MATCH(ROWS($AF$2:AF924),$AF$2:$AF$1001,0),0), INDEX($AM$1004:$BM$1004,1,MATCH(COLUMNS($AM$1006:BI1006),$AM$1006:$BM$1006,0)))),"Fix")))</f>
        <v xml:space="preserve"> </v>
      </c>
      <c r="Y924" s="4" t="str">
        <f ca="1">IF(OR(INDEX($AG$2:$AG$1001,MATCH(ROWS($AF$2:AF924),$AF$2:$AF$1001,0),1)&gt;=100000,INDEX($AM$1005:$BM$1005,1,MATCH(COLUMNS($AM$1006:BJ1006),$AM$1006:$BM$1006,0))&gt;=100000), " ",IF(INDEX($AM$2:$BM$1001,MATCH(ROWS($AF$2:AF924),$AF$2:$AF$1001,0),MATCH(COLUMNS($AM$1006:BJ1006),$AM$1006:$BM$1006,0)), HYPERLINK("#",""), HYPERLINK(CONCATENATE("#metadata!", ADDRESS(INDEX($AH$2:$AH$1001,MATCH(ROWS($AF$2:AF924),$AF$2:$AF$1001,0),0), INDEX($AM$1004:$BM$1004,1,MATCH(COLUMNS($AM$1006:BJ1006),$AM$1006:$BM$1006,0)))),"Fix")))</f>
        <v xml:space="preserve"> </v>
      </c>
      <c r="Z924" s="4" t="str">
        <f ca="1">IF(OR(INDEX($AG$2:$AG$1001,MATCH(ROWS($AF$2:AF924),$AF$2:$AF$1001,0),1)&gt;=100000,INDEX($AM$1005:$BM$1005,1,MATCH(COLUMNS($AM$1006:BK1006),$AM$1006:$BM$1006,0))&gt;=100000), " ",IF(INDEX($AM$2:$BM$1001,MATCH(ROWS($AF$2:AF924),$AF$2:$AF$1001,0),MATCH(COLUMNS($AM$1006:BK1006),$AM$1006:$BM$1006,0)), HYPERLINK("#",""), HYPERLINK(CONCATENATE("#metadata!", ADDRESS(INDEX($AH$2:$AH$1001,MATCH(ROWS($AF$2:AF924),$AF$2:$AF$1001,0),0), INDEX($AM$1004:$BM$1004,1,MATCH(COLUMNS($AM$1006:BK1006),$AM$1006:$BM$1006,0)))),"Fix")))</f>
        <v xml:space="preserve"> </v>
      </c>
      <c r="AA924" s="4" t="str">
        <f ca="1">IF(OR(INDEX($AG$2:$AG$1001,MATCH(ROWS($AF$2:AF924),$AF$2:$AF$1001,0),1)&gt;=100000,INDEX($AM$1005:$BM$1005,1,MATCH(COLUMNS($AM$1006:BL1006),$AM$1006:$BM$1006,0))&gt;=100000), " ",IF(INDEX($AM$2:$BM$1001,MATCH(ROWS($AF$2:AF924),$AF$2:$AF$1001,0),MATCH(COLUMNS($AM$1006:BL1006),$AM$1006:$BM$1006,0)), HYPERLINK("#",""), HYPERLINK(CONCATENATE("#metadata!", ADDRESS(INDEX($AH$2:$AH$1001,MATCH(ROWS($AF$2:AF924),$AF$2:$AF$1001,0),0), INDEX($AM$1004:$BM$1004,1,MATCH(COLUMNS($AM$1006:BL1006),$AM$1006:$BM$1006,0)))),"Fix")))</f>
        <v xml:space="preserve"> </v>
      </c>
      <c r="AB924" s="4" t="str">
        <f ca="1">IF(OR(INDEX($AG$2:$AG$1001,MATCH(ROWS($AF$2:AF924),$AF$2:$AF$1001,0),1)&gt;=100000,INDEX($AM$1005:$BM$1005,1,MATCH(COLUMNS($AM$1006:BM1006),$AM$1006:$BM$1006,0))&gt;=100000), " ",IF(INDEX($AM$2:$BM$1001,MATCH(ROWS($AF$2:AF924),$AF$2:$AF$1001,0),MATCH(COLUMNS($AM$1006:BM1006),$AM$1006:$BM$1006,0)), HYPERLINK("#",""), HYPERLINK(CONCATENATE("#metadata!", ADDRESS(INDEX($AH$2:$AH$1001,MATCH(ROWS($AF$2:AF924),$AF$2:$AF$1001,0),0), INDEX($AM$1004:$BM$1004,1,MATCH(COLUMNS($AM$1006:BM1006),$AM$1006:$BM$1006,0)))),"Fix")))</f>
        <v xml:space="preserve"> </v>
      </c>
      <c r="AF924">
        <v>923</v>
      </c>
      <c r="AG924">
        <v>100924</v>
      </c>
      <c r="AH924">
        <v>924</v>
      </c>
      <c r="AI924" t="b">
        <f t="shared" si="14"/>
        <v>1</v>
      </c>
      <c r="AJ924" t="b">
        <f>COUNTBLANK(metadata!B924:AB924)=COLUMNS(metadata!B924:AB924)</f>
        <v>1</v>
      </c>
      <c r="AK924" t="str">
        <v/>
      </c>
      <c r="AM924" t="b">
        <f ca="1">AND(IF(metadata!B924="",FALSE,TRUE),COUNTIF(metadata!B:B, metadata!B924) = 1,NOT(ISERROR(SUMPRODUCT(SEARCH(MID(metadata!B924,ROW(INDIRECT("1:"&amp;LEN(metadata!B924))), 1),"0123456789abcdefghijklmnopqrstuvwxyzABCDEFGHIJKLMNOPQRSTUVWXYZ.")))))</f>
        <v>0</v>
      </c>
      <c r="AN924" t="b">
        <f ca="1">OR(AND(IF(metadata!C924="",FALSE,TRUE),OR(EXACT(metadata!C924,"missing: not collected"),EXACT(metadata!C924,"missing: not provided"),EXACT(metadata!C924,"missing: restricted access"))),AND(IF(metadata!C924="",FALSE,TRUE),AND(AND(IFERROR(INT(LEFT(metadata!C924,4))&gt;1900,FALSE),IFERROR(INT(LEFT(metadata!C924,4))&lt;=YEAR(NOW()),FALSE)), OR(MID(metadata!C924,5,1)="", AND(AND(MID(metadata!C924,5,1)="-",IFERROR(INT(MID(metadata!C924,6,1))&gt;=0,FALSE),IFERROR(INT(MID(metadata!C924,6,1))&lt;=1,FALSE),NOT(MID(metadata!C924,7,1)=""),IFERROR(INT(MID(metadata!C924,6,2))&gt;=1,FALSE),IFERROR(INT(MID(metadata!C924,6,2))&lt;=12,FALSE)), OR(MID(metadata!C924,8,1)="", AND(AND(MID(metadata!C924,8,1)="-",IFERROR(INT(MID(metadata!C924,9,1))&gt;=0,FALSE),IFERROR(INT(MID(metadata!C924,9,1))&lt;=3,FALSE),NOT(MID(metadata!C924,10,1)=""),IFERROR(INT(MID(metadata!C924,9,2))&gt;=1,FALSE),IFERROR(INT(MID(metadata!C924,9,2))&lt;=31,FALSE)), OR(MID(metadata!C924,11,1)="", AND(AND(MID(metadata!C924,11,1)=" ",IFERROR(INT(MID(metadata!C924,12,1))&gt;=0,FALSE),IFERROR(INT(MID(metadata!C924,12,1))&lt;=2,FALSE),NOT(MID(metadata!C924,13,1)=""),IFERROR(INT(MID(metadata!C924,12,2))&gt;=0,FALSE),IFERROR(INT(MID(metadata!C924,12,2))&lt;=23,FALSE)), OR(MID(metadata!C924,14,1)="", AND(AND(MID(metadata!C924,14,1)=":",IFERROR(INT(MID(metadata!C924,15,1))&gt;=0,FALSE),IFERROR(INT(MID(metadata!C924,15,1))&lt;=5,FALSE),NOT(MID(metadata!C924,16,1)=""),IFERROR(INT(MID(metadata!C924,15,2))&gt;=0,FALSE),IFERROR(INT(MID(metadata!C924,15,2))&lt;=59,FALSE)), OR(MID(metadata!C924,17,1)="", AND(AND(MID(metadata!C924,17,1)=":",IFERROR(INT(MID(metadata!C924,18,1))&gt;=0,FALSE),IFERROR(INT(MID(metadata!C924,18,1))&lt;=5,FALSE),NOT(MID(metadata!C924,19,1)=""),IFERROR(INT(MID(metadata!C924,18,2))&gt;=0,FALSE),IFERROR(INT(MID(metadata!C924,18,2))&lt;=59,FALSE)), LEN(metadata!C924)&lt;=19)))))))))))))</f>
        <v>0</v>
      </c>
      <c r="AO924" t="b">
        <f>AND(IF(metadata!D924="",FALSE,TRUE),EXACT(metadata!D924,"Not applicable"))</f>
        <v>0</v>
      </c>
      <c r="AP924" t="b">
        <f>IF(metadata!E924="",FALSE,TRUE)</f>
        <v>0</v>
      </c>
      <c r="AQ924" t="b">
        <f>OR(AND(IF(metadata!F924="",FALSE,TRUE),OR(EXACT(metadata!F924,"missing: not collected"),EXACT(metadata!F924,"missing: not provided"))),AND(IF(metadata!F924="",FALSE,TRUE),OR(EXACT(metadata!F924,"TRUE"),EXACT(metadata!F924,"FALSE"))))</f>
        <v>0</v>
      </c>
      <c r="AR924" t="b">
        <f>OR(AND(IF(metadata!G924="",FALSE,TRUE),OR(EXACT(metadata!G924,"missing: not collected"),EXACT(metadata!G924,"missing: not provided"),EXACT(metadata!G924,"missing: restricted access"))),AND(IF(metadata!G924="",FALSE,ISNUMBER(VALUE(metadata!G924))),metadata!G924&gt;=-413))</f>
        <v>0</v>
      </c>
      <c r="AS924" t="b">
        <f>AND(IF(metadata!H924="",FALSE,TRUE),EXACT(metadata!H924,"meters"))</f>
        <v>0</v>
      </c>
      <c r="AT924" t="b">
        <f>AND(IF(metadata!I924="",FALSE,TRUE),OR(EXACT(metadata!I924,"Host-associated"),EXACT(metadata!I924,"Free-living")))</f>
        <v>0</v>
      </c>
      <c r="AU924" t="b">
        <f>AND(IF(metadata!J924="",FALSE,TRUE),OR(EXACT(metadata!J924,"Animal"),EXACT(metadata!J924,"Fungus"),EXACT(metadata!J924,"Plant"),EXACT(metadata!J924,"Saline"),EXACT(metadata!J924,"Non-saline")))</f>
        <v>0</v>
      </c>
      <c r="AV924" t="b">
        <f>AND(IF(metadata!K924="",FALSE,TRUE),OR(EXACT(metadata!K924,"Plant secretion"),EXACT(metadata!K924,"Plant rhizosphere"),EXACT(metadata!K924,"Plant surface"),EXACT(metadata!K924,"Plant corpus"),EXACT(metadata!K924,"Fungus surface"),EXACT(metadata!K924,"Fungus corpus"),EXACT(metadata!K924,"Animal surface"),EXACT(metadata!K924,"Animal proximal gut"),EXACT(metadata!K924,"Animal corpus"),EXACT(metadata!K924,"Animal distal gut"),EXACT(metadata!K924,"Animal secretion"),EXACT(metadata!K924,"Sub-surface (non-saline)"),EXACT(metadata!K924,"Surface (non-saline)"),EXACT(metadata!K924,"Water (non-saline)"),EXACT(metadata!K924,"Soil (non-saline)"),EXACT(metadata!K924,"Aerosol (non-saline)"),EXACT(metadata!K924,"Sediment (non-saline)"),EXACT(metadata!K924,"Surface (saline)"),EXACT(metadata!K924,"Water (saline)"),EXACT(metadata!K924,"Hypersaline (saline)"),EXACT(metadata!K924,"Aerosol (saline)"),EXACT(metadata!K924,"Sediment (saline)")))</f>
        <v>0</v>
      </c>
      <c r="AW924" t="b">
        <f>IF(metadata!L924="",FALSE,TRUE)</f>
        <v>0</v>
      </c>
      <c r="AX924" t="b">
        <f>IF(metadata!M924="",FALSE,TRUE)</f>
        <v>0</v>
      </c>
      <c r="AY924" t="b">
        <f>IF(metadata!N924="",FALSE,TRUE)</f>
        <v>0</v>
      </c>
      <c r="AZ924" t="b">
        <f>OR(AND(IF(metadata!O924="",FALSE,TRUE),OR(EXACT(metadata!O924,"missing: not collected"),EXACT(metadata!O924,"missing: not provided"),EXACT(metadata!O924,"missing: restricted access"))),AND(IF(metadata!O924="",FALSE,TRUE),OR(EXACT(metadata!O924,"air"),EXACT(metadata!O924,"built environment"),EXACT(metadata!O924,"host-associated"),EXACT(metadata!O924,"human-associated"),EXACT(metadata!O924,"human-skin"),EXACT(metadata!O924,"human-oral"),EXACT(metadata!O924,"human-gut"),EXACT(metadata!O924,"human-vaginal"),EXACT(metadata!O924,"microbial mat/biofilm"),EXACT(metadata!O924,"misc environment"),EXACT(metadata!O924,"plant-associated"),EXACT(metadata!O924,"sediment"),EXACT(metadata!O924,"soil"),EXACT(metadata!O924,"wastewater/sludge"),EXACT(metadata!O924,"water"))))</f>
        <v>0</v>
      </c>
      <c r="BA924" t="b">
        <f>IF(metadata!P924="",FALSE,TRUE)</f>
        <v>0</v>
      </c>
      <c r="BB924" t="b">
        <f>IF(metadata!Q924="",FALSE,TRUE)</f>
        <v>0</v>
      </c>
      <c r="BC924" t="b">
        <f>OR(AND(IF(metadata!R924="",FALSE,TRUE),OR(EXACT(metadata!R924,"missing: not collected"),EXACT(metadata!R924,"missing: not provided"),EXACT(metadata!R924,"missing: restricted access"))),AND(IF(metadata!R924="",FALSE,ISNUMBER(VALUE(metadata!R924))),metadata!R924&gt;=-90,metadata!R924&lt;=90))</f>
        <v>0</v>
      </c>
      <c r="BD924" t="b">
        <f>AND(IF(metadata!S924="",FALSE,TRUE),EXACT(metadata!S924,"Decimal degrees"))</f>
        <v>0</v>
      </c>
      <c r="BE924" t="b">
        <f>OR(AND(IF(metadata!T924="",FALSE,TRUE),OR(EXACT(metadata!T924,"missing: not collected"),EXACT(metadata!T924,"missing: not provided"),EXACT(metadata!T924,"missing: restricted access"))),AND(IF(metadata!T924="",FALSE,ISNUMBER(VALUE(metadata!T924))),metadata!T924&gt;=-180,metadata!T924&lt;=180))</f>
        <v>0</v>
      </c>
      <c r="BF924" t="b">
        <f>AND(IF(metadata!U924="",FALSE,TRUE),EXACT(metadata!U924,"Decimal degrees"))</f>
        <v>0</v>
      </c>
      <c r="BG924" t="b">
        <f>IF(metadata!V924="",FALSE,TRUE)</f>
        <v>0</v>
      </c>
      <c r="BH924" t="b">
        <f>OR(AND(IF(metadata!W924="",FALSE,TRUE),OR(EXACT(metadata!W924,"missing: not collected"),EXACT(metadata!W924,"missing: not provided"),EXACT(metadata!W924,"missing: restricted access"))),AND(IF(metadata!W924="",FALSE,TRUE),OR(EXACT(metadata!W924,"TRUE"),EXACT(metadata!W924,"FALSE"))))</f>
        <v>0</v>
      </c>
      <c r="BI924" t="b">
        <f>AND(IF(metadata!X924="",FALSE,TRUE),EXACT(metadata!X924,"other"))</f>
        <v>0</v>
      </c>
      <c r="BJ924" t="b">
        <f>IF(metadata!Y924="",FALSE,TRUE)</f>
        <v>0</v>
      </c>
      <c r="BK924" t="b">
        <f>OR(AND(IF(metadata!Z924="",FALSE,TRUE),OR(EXACT(metadata!Z924,"missing: not collected"),EXACT(metadata!Z924,"missing: not provided"))),AND(IF(metadata!Z924="",FALSE,IF(ISERROR(INT(metadata!Z924)),FALSE,INT(metadata!Z924)=metadata!Z924)),metadata!Z924&gt;0))</f>
        <v>0</v>
      </c>
      <c r="BL924" t="b">
        <f>AND(IF(metadata!AA924="",FALSE,TRUE),EXACT(metadata!AA924,"Not applicable"))</f>
        <v>0</v>
      </c>
      <c r="BM924" t="b">
        <f>IF(metadata!AB924="",FALSE,TRUE)</f>
        <v>0</v>
      </c>
    </row>
    <row r="925" spans="1:65" x14ac:dyDescent="0.2">
      <c r="A925" s="5" t="str">
        <f ca="1">IF(B925=" "," ",HYPERLINK(CONCATENATE("#metadata!",ADDRESS(INDEX($AH$2:$AH$1001,MATCH(ROWS($AF$2:AF925),$AF$2:$AF$1001,0),0),1)),INDEX($AK$2:$AK$1001,MATCH(ROWS($AF$2:AF925),$AF$2:$AF$1001,0),0)))</f>
        <v xml:space="preserve"> </v>
      </c>
      <c r="B925" s="4" t="str">
        <f ca="1">IF(OR(INDEX($AG$2:$AG$1001,MATCH(ROWS($AF$2:AF925),$AF$2:$AF$1001,0),1)&gt;=100000,INDEX($AM$1005:$BM$1005,1,MATCH(COLUMNS($AM$1006:AM1006),$AM$1006:$BM$1006,0))&gt;=100000), " ",IF(INDEX($AM$2:$BM$1001,MATCH(ROWS($AF$2:AF925),$AF$2:$AF$1001,0),MATCH(COLUMNS($AM$1006:AM1006),$AM$1006:$BM$1006,0)), HYPERLINK("#",""), HYPERLINK(CONCATENATE("#metadata!", ADDRESS(INDEX($AH$2:$AH$1001,MATCH(ROWS($AF$2:AF925),$AF$2:$AF$1001,0),0), INDEX($AM$1004:$BM$1004,1,MATCH(COLUMNS($AM$1006:AM1006),$AM$1006:$BM$1006,0)))),"Fix")))</f>
        <v xml:space="preserve"> </v>
      </c>
      <c r="C925" s="4" t="str">
        <f ca="1">IF(OR(INDEX($AG$2:$AG$1001,MATCH(ROWS($AF$2:AF925),$AF$2:$AF$1001,0),1)&gt;=100000,INDEX($AM$1005:$BM$1005,1,MATCH(COLUMNS($AM$1006:AN1006),$AM$1006:$BM$1006,0))&gt;=100000), " ",IF(INDEX($AM$2:$BM$1001,MATCH(ROWS($AF$2:AF925),$AF$2:$AF$1001,0),MATCH(COLUMNS($AM$1006:AN1006),$AM$1006:$BM$1006,0)), HYPERLINK("#",""), HYPERLINK(CONCATENATE("#metadata!", ADDRESS(INDEX($AH$2:$AH$1001,MATCH(ROWS($AF$2:AF925),$AF$2:$AF$1001,0),0), INDEX($AM$1004:$BM$1004,1,MATCH(COLUMNS($AM$1006:AN1006),$AM$1006:$BM$1006,0)))),"Fix")))</f>
        <v xml:space="preserve"> </v>
      </c>
      <c r="D925" s="4" t="str">
        <f ca="1">IF(OR(INDEX($AG$2:$AG$1001,MATCH(ROWS($AF$2:AF925),$AF$2:$AF$1001,0),1)&gt;=100000,INDEX($AM$1005:$BM$1005,1,MATCH(COLUMNS($AM$1006:AO1006),$AM$1006:$BM$1006,0))&gt;=100000), " ",IF(INDEX($AM$2:$BM$1001,MATCH(ROWS($AF$2:AF925),$AF$2:$AF$1001,0),MATCH(COLUMNS($AM$1006:AO1006),$AM$1006:$BM$1006,0)), HYPERLINK("#",""), HYPERLINK(CONCATENATE("#metadata!", ADDRESS(INDEX($AH$2:$AH$1001,MATCH(ROWS($AF$2:AF925),$AF$2:$AF$1001,0),0), INDEX($AM$1004:$BM$1004,1,MATCH(COLUMNS($AM$1006:AO1006),$AM$1006:$BM$1006,0)))),"Fix")))</f>
        <v xml:space="preserve"> </v>
      </c>
      <c r="E925" s="4" t="str">
        <f ca="1">IF(OR(INDEX($AG$2:$AG$1001,MATCH(ROWS($AF$2:AF925),$AF$2:$AF$1001,0),1)&gt;=100000,INDEX($AM$1005:$BM$1005,1,MATCH(COLUMNS($AM$1006:AP1006),$AM$1006:$BM$1006,0))&gt;=100000), " ",IF(INDEX($AM$2:$BM$1001,MATCH(ROWS($AF$2:AF925),$AF$2:$AF$1001,0),MATCH(COLUMNS($AM$1006:AP1006),$AM$1006:$BM$1006,0)), HYPERLINK("#",""), HYPERLINK(CONCATENATE("#metadata!", ADDRESS(INDEX($AH$2:$AH$1001,MATCH(ROWS($AF$2:AF925),$AF$2:$AF$1001,0),0), INDEX($AM$1004:$BM$1004,1,MATCH(COLUMNS($AM$1006:AP1006),$AM$1006:$BM$1006,0)))),"Fix")))</f>
        <v xml:space="preserve"> </v>
      </c>
      <c r="F925" s="4" t="str">
        <f ca="1">IF(OR(INDEX($AG$2:$AG$1001,MATCH(ROWS($AF$2:AF925),$AF$2:$AF$1001,0),1)&gt;=100000,INDEX($AM$1005:$BM$1005,1,MATCH(COLUMNS($AM$1006:AQ1006),$AM$1006:$BM$1006,0))&gt;=100000), " ",IF(INDEX($AM$2:$BM$1001,MATCH(ROWS($AF$2:AF925),$AF$2:$AF$1001,0),MATCH(COLUMNS($AM$1006:AQ1006),$AM$1006:$BM$1006,0)), HYPERLINK("#",""), HYPERLINK(CONCATENATE("#metadata!", ADDRESS(INDEX($AH$2:$AH$1001,MATCH(ROWS($AF$2:AF925),$AF$2:$AF$1001,0),0), INDEX($AM$1004:$BM$1004,1,MATCH(COLUMNS($AM$1006:AQ1006),$AM$1006:$BM$1006,0)))),"Fix")))</f>
        <v xml:space="preserve"> </v>
      </c>
      <c r="G925" s="4" t="str">
        <f ca="1">IF(OR(INDEX($AG$2:$AG$1001,MATCH(ROWS($AF$2:AF925),$AF$2:$AF$1001,0),1)&gt;=100000,INDEX($AM$1005:$BM$1005,1,MATCH(COLUMNS($AM$1006:AR1006),$AM$1006:$BM$1006,0))&gt;=100000), " ",IF(INDEX($AM$2:$BM$1001,MATCH(ROWS($AF$2:AF925),$AF$2:$AF$1001,0),MATCH(COLUMNS($AM$1006:AR1006),$AM$1006:$BM$1006,0)), HYPERLINK("#",""), HYPERLINK(CONCATENATE("#metadata!", ADDRESS(INDEX($AH$2:$AH$1001,MATCH(ROWS($AF$2:AF925),$AF$2:$AF$1001,0),0), INDEX($AM$1004:$BM$1004,1,MATCH(COLUMNS($AM$1006:AR1006),$AM$1006:$BM$1006,0)))),"Fix")))</f>
        <v xml:space="preserve"> </v>
      </c>
      <c r="H925" s="4" t="str">
        <f ca="1">IF(OR(INDEX($AG$2:$AG$1001,MATCH(ROWS($AF$2:AF925),$AF$2:$AF$1001,0),1)&gt;=100000,INDEX($AM$1005:$BM$1005,1,MATCH(COLUMNS($AM$1006:AS1006),$AM$1006:$BM$1006,0))&gt;=100000), " ",IF(INDEX($AM$2:$BM$1001,MATCH(ROWS($AF$2:AF925),$AF$2:$AF$1001,0),MATCH(COLUMNS($AM$1006:AS1006),$AM$1006:$BM$1006,0)), HYPERLINK("#",""), HYPERLINK(CONCATENATE("#metadata!", ADDRESS(INDEX($AH$2:$AH$1001,MATCH(ROWS($AF$2:AF925),$AF$2:$AF$1001,0),0), INDEX($AM$1004:$BM$1004,1,MATCH(COLUMNS($AM$1006:AS1006),$AM$1006:$BM$1006,0)))),"Fix")))</f>
        <v xml:space="preserve"> </v>
      </c>
      <c r="I925" s="4" t="str">
        <f ca="1">IF(OR(INDEX($AG$2:$AG$1001,MATCH(ROWS($AF$2:AF925),$AF$2:$AF$1001,0),1)&gt;=100000,INDEX($AM$1005:$BM$1005,1,MATCH(COLUMNS($AM$1006:AT1006),$AM$1006:$BM$1006,0))&gt;=100000), " ",IF(INDEX($AM$2:$BM$1001,MATCH(ROWS($AF$2:AF925),$AF$2:$AF$1001,0),MATCH(COLUMNS($AM$1006:AT1006),$AM$1006:$BM$1006,0)), HYPERLINK("#",""), HYPERLINK(CONCATENATE("#metadata!", ADDRESS(INDEX($AH$2:$AH$1001,MATCH(ROWS($AF$2:AF925),$AF$2:$AF$1001,0),0), INDEX($AM$1004:$BM$1004,1,MATCH(COLUMNS($AM$1006:AT1006),$AM$1006:$BM$1006,0)))),"Fix")))</f>
        <v xml:space="preserve"> </v>
      </c>
      <c r="J925" s="4" t="str">
        <f ca="1">IF(OR(INDEX($AG$2:$AG$1001,MATCH(ROWS($AF$2:AF925),$AF$2:$AF$1001,0),1)&gt;=100000,INDEX($AM$1005:$BM$1005,1,MATCH(COLUMNS($AM$1006:AU1006),$AM$1006:$BM$1006,0))&gt;=100000), " ",IF(INDEX($AM$2:$BM$1001,MATCH(ROWS($AF$2:AF925),$AF$2:$AF$1001,0),MATCH(COLUMNS($AM$1006:AU1006),$AM$1006:$BM$1006,0)), HYPERLINK("#",""), HYPERLINK(CONCATENATE("#metadata!", ADDRESS(INDEX($AH$2:$AH$1001,MATCH(ROWS($AF$2:AF925),$AF$2:$AF$1001,0),0), INDEX($AM$1004:$BM$1004,1,MATCH(COLUMNS($AM$1006:AU1006),$AM$1006:$BM$1006,0)))),"Fix")))</f>
        <v xml:space="preserve"> </v>
      </c>
      <c r="K925" s="4" t="str">
        <f ca="1">IF(OR(INDEX($AG$2:$AG$1001,MATCH(ROWS($AF$2:AF925),$AF$2:$AF$1001,0),1)&gt;=100000,INDEX($AM$1005:$BM$1005,1,MATCH(COLUMNS($AM$1006:AV1006),$AM$1006:$BM$1006,0))&gt;=100000), " ",IF(INDEX($AM$2:$BM$1001,MATCH(ROWS($AF$2:AF925),$AF$2:$AF$1001,0),MATCH(COLUMNS($AM$1006:AV1006),$AM$1006:$BM$1006,0)), HYPERLINK("#",""), HYPERLINK(CONCATENATE("#metadata!", ADDRESS(INDEX($AH$2:$AH$1001,MATCH(ROWS($AF$2:AF925),$AF$2:$AF$1001,0),0), INDEX($AM$1004:$BM$1004,1,MATCH(COLUMNS($AM$1006:AV1006),$AM$1006:$BM$1006,0)))),"Fix")))</f>
        <v xml:space="preserve"> </v>
      </c>
      <c r="L925" s="4" t="str">
        <f ca="1">IF(OR(INDEX($AG$2:$AG$1001,MATCH(ROWS($AF$2:AF925),$AF$2:$AF$1001,0),1)&gt;=100000,INDEX($AM$1005:$BM$1005,1,MATCH(COLUMNS($AM$1006:AW1006),$AM$1006:$BM$1006,0))&gt;=100000), " ",IF(INDEX($AM$2:$BM$1001,MATCH(ROWS($AF$2:AF925),$AF$2:$AF$1001,0),MATCH(COLUMNS($AM$1006:AW1006),$AM$1006:$BM$1006,0)), HYPERLINK("#",""), HYPERLINK(CONCATENATE("#metadata!", ADDRESS(INDEX($AH$2:$AH$1001,MATCH(ROWS($AF$2:AF925),$AF$2:$AF$1001,0),0), INDEX($AM$1004:$BM$1004,1,MATCH(COLUMNS($AM$1006:AW1006),$AM$1006:$BM$1006,0)))),"Fix")))</f>
        <v xml:space="preserve"> </v>
      </c>
      <c r="M925" s="4" t="str">
        <f ca="1">IF(OR(INDEX($AG$2:$AG$1001,MATCH(ROWS($AF$2:AF925),$AF$2:$AF$1001,0),1)&gt;=100000,INDEX($AM$1005:$BM$1005,1,MATCH(COLUMNS($AM$1006:AX1006),$AM$1006:$BM$1006,0))&gt;=100000), " ",IF(INDEX($AM$2:$BM$1001,MATCH(ROWS($AF$2:AF925),$AF$2:$AF$1001,0),MATCH(COLUMNS($AM$1006:AX1006),$AM$1006:$BM$1006,0)), HYPERLINK("#",""), HYPERLINK(CONCATENATE("#metadata!", ADDRESS(INDEX($AH$2:$AH$1001,MATCH(ROWS($AF$2:AF925),$AF$2:$AF$1001,0),0), INDEX($AM$1004:$BM$1004,1,MATCH(COLUMNS($AM$1006:AX1006),$AM$1006:$BM$1006,0)))),"Fix")))</f>
        <v xml:space="preserve"> </v>
      </c>
      <c r="N925" s="4" t="str">
        <f ca="1">IF(OR(INDEX($AG$2:$AG$1001,MATCH(ROWS($AF$2:AF925),$AF$2:$AF$1001,0),1)&gt;=100000,INDEX($AM$1005:$BM$1005,1,MATCH(COLUMNS($AM$1006:AY1006),$AM$1006:$BM$1006,0))&gt;=100000), " ",IF(INDEX($AM$2:$BM$1001,MATCH(ROWS($AF$2:AF925),$AF$2:$AF$1001,0),MATCH(COLUMNS($AM$1006:AY1006),$AM$1006:$BM$1006,0)), HYPERLINK("#",""), HYPERLINK(CONCATENATE("#metadata!", ADDRESS(INDEX($AH$2:$AH$1001,MATCH(ROWS($AF$2:AF925),$AF$2:$AF$1001,0),0), INDEX($AM$1004:$BM$1004,1,MATCH(COLUMNS($AM$1006:AY1006),$AM$1006:$BM$1006,0)))),"Fix")))</f>
        <v xml:space="preserve"> </v>
      </c>
      <c r="O925" s="4" t="str">
        <f ca="1">IF(OR(INDEX($AG$2:$AG$1001,MATCH(ROWS($AF$2:AF925),$AF$2:$AF$1001,0),1)&gt;=100000,INDEX($AM$1005:$BM$1005,1,MATCH(COLUMNS($AM$1006:AZ1006),$AM$1006:$BM$1006,0))&gt;=100000), " ",IF(INDEX($AM$2:$BM$1001,MATCH(ROWS($AF$2:AF925),$AF$2:$AF$1001,0),MATCH(COLUMNS($AM$1006:AZ1006),$AM$1006:$BM$1006,0)), HYPERLINK("#",""), HYPERLINK(CONCATENATE("#metadata!", ADDRESS(INDEX($AH$2:$AH$1001,MATCH(ROWS($AF$2:AF925),$AF$2:$AF$1001,0),0), INDEX($AM$1004:$BM$1004,1,MATCH(COLUMNS($AM$1006:AZ1006),$AM$1006:$BM$1006,0)))),"Fix")))</f>
        <v xml:space="preserve"> </v>
      </c>
      <c r="P925" s="4" t="str">
        <f ca="1">IF(OR(INDEX($AG$2:$AG$1001,MATCH(ROWS($AF$2:AF925),$AF$2:$AF$1001,0),1)&gt;=100000,INDEX($AM$1005:$BM$1005,1,MATCH(COLUMNS($AM$1006:BA1006),$AM$1006:$BM$1006,0))&gt;=100000), " ",IF(INDEX($AM$2:$BM$1001,MATCH(ROWS($AF$2:AF925),$AF$2:$AF$1001,0),MATCH(COLUMNS($AM$1006:BA1006),$AM$1006:$BM$1006,0)), HYPERLINK("#",""), HYPERLINK(CONCATENATE("#metadata!", ADDRESS(INDEX($AH$2:$AH$1001,MATCH(ROWS($AF$2:AF925),$AF$2:$AF$1001,0),0), INDEX($AM$1004:$BM$1004,1,MATCH(COLUMNS($AM$1006:BA1006),$AM$1006:$BM$1006,0)))),"Fix")))</f>
        <v xml:space="preserve"> </v>
      </c>
      <c r="Q925" s="4" t="str">
        <f ca="1">IF(OR(INDEX($AG$2:$AG$1001,MATCH(ROWS($AF$2:AF925),$AF$2:$AF$1001,0),1)&gt;=100000,INDEX($AM$1005:$BM$1005,1,MATCH(COLUMNS($AM$1006:BB1006),$AM$1006:$BM$1006,0))&gt;=100000), " ",IF(INDEX($AM$2:$BM$1001,MATCH(ROWS($AF$2:AF925),$AF$2:$AF$1001,0),MATCH(COLUMNS($AM$1006:BB1006),$AM$1006:$BM$1006,0)), HYPERLINK("#",""), HYPERLINK(CONCATENATE("#metadata!", ADDRESS(INDEX($AH$2:$AH$1001,MATCH(ROWS($AF$2:AF925),$AF$2:$AF$1001,0),0), INDEX($AM$1004:$BM$1004,1,MATCH(COLUMNS($AM$1006:BB1006),$AM$1006:$BM$1006,0)))),"Fix")))</f>
        <v xml:space="preserve"> </v>
      </c>
      <c r="R925" s="4" t="str">
        <f ca="1">IF(OR(INDEX($AG$2:$AG$1001,MATCH(ROWS($AF$2:AF925),$AF$2:$AF$1001,0),1)&gt;=100000,INDEX($AM$1005:$BM$1005,1,MATCH(COLUMNS($AM$1006:BC1006),$AM$1006:$BM$1006,0))&gt;=100000), " ",IF(INDEX($AM$2:$BM$1001,MATCH(ROWS($AF$2:AF925),$AF$2:$AF$1001,0),MATCH(COLUMNS($AM$1006:BC1006),$AM$1006:$BM$1006,0)), HYPERLINK("#",""), HYPERLINK(CONCATENATE("#metadata!", ADDRESS(INDEX($AH$2:$AH$1001,MATCH(ROWS($AF$2:AF925),$AF$2:$AF$1001,0),0), INDEX($AM$1004:$BM$1004,1,MATCH(COLUMNS($AM$1006:BC1006),$AM$1006:$BM$1006,0)))),"Fix")))</f>
        <v xml:space="preserve"> </v>
      </c>
      <c r="S925" s="4" t="str">
        <f ca="1">IF(OR(INDEX($AG$2:$AG$1001,MATCH(ROWS($AF$2:AF925),$AF$2:$AF$1001,0),1)&gt;=100000,INDEX($AM$1005:$BM$1005,1,MATCH(COLUMNS($AM$1006:BD1006),$AM$1006:$BM$1006,0))&gt;=100000), " ",IF(INDEX($AM$2:$BM$1001,MATCH(ROWS($AF$2:AF925),$AF$2:$AF$1001,0),MATCH(COLUMNS($AM$1006:BD1006),$AM$1006:$BM$1006,0)), HYPERLINK("#",""), HYPERLINK(CONCATENATE("#metadata!", ADDRESS(INDEX($AH$2:$AH$1001,MATCH(ROWS($AF$2:AF925),$AF$2:$AF$1001,0),0), INDEX($AM$1004:$BM$1004,1,MATCH(COLUMNS($AM$1006:BD1006),$AM$1006:$BM$1006,0)))),"Fix")))</f>
        <v xml:space="preserve"> </v>
      </c>
      <c r="T925" s="4" t="str">
        <f ca="1">IF(OR(INDEX($AG$2:$AG$1001,MATCH(ROWS($AF$2:AF925),$AF$2:$AF$1001,0),1)&gt;=100000,INDEX($AM$1005:$BM$1005,1,MATCH(COLUMNS($AM$1006:BE1006),$AM$1006:$BM$1006,0))&gt;=100000), " ",IF(INDEX($AM$2:$BM$1001,MATCH(ROWS($AF$2:AF925),$AF$2:$AF$1001,0),MATCH(COLUMNS($AM$1006:BE1006),$AM$1006:$BM$1006,0)), HYPERLINK("#",""), HYPERLINK(CONCATENATE("#metadata!", ADDRESS(INDEX($AH$2:$AH$1001,MATCH(ROWS($AF$2:AF925),$AF$2:$AF$1001,0),0), INDEX($AM$1004:$BM$1004,1,MATCH(COLUMNS($AM$1006:BE1006),$AM$1006:$BM$1006,0)))),"Fix")))</f>
        <v xml:space="preserve"> </v>
      </c>
      <c r="U925" s="4" t="str">
        <f ca="1">IF(OR(INDEX($AG$2:$AG$1001,MATCH(ROWS($AF$2:AF925),$AF$2:$AF$1001,0),1)&gt;=100000,INDEX($AM$1005:$BM$1005,1,MATCH(COLUMNS($AM$1006:BF1006),$AM$1006:$BM$1006,0))&gt;=100000), " ",IF(INDEX($AM$2:$BM$1001,MATCH(ROWS($AF$2:AF925),$AF$2:$AF$1001,0),MATCH(COLUMNS($AM$1006:BF1006),$AM$1006:$BM$1006,0)), HYPERLINK("#",""), HYPERLINK(CONCATENATE("#metadata!", ADDRESS(INDEX($AH$2:$AH$1001,MATCH(ROWS($AF$2:AF925),$AF$2:$AF$1001,0),0), INDEX($AM$1004:$BM$1004,1,MATCH(COLUMNS($AM$1006:BF1006),$AM$1006:$BM$1006,0)))),"Fix")))</f>
        <v xml:space="preserve"> </v>
      </c>
      <c r="V925" s="4" t="str">
        <f ca="1">IF(OR(INDEX($AG$2:$AG$1001,MATCH(ROWS($AF$2:AF925),$AF$2:$AF$1001,0),1)&gt;=100000,INDEX($AM$1005:$BM$1005,1,MATCH(COLUMNS($AM$1006:BG1006),$AM$1006:$BM$1006,0))&gt;=100000), " ",IF(INDEX($AM$2:$BM$1001,MATCH(ROWS($AF$2:AF925),$AF$2:$AF$1001,0),MATCH(COLUMNS($AM$1006:BG1006),$AM$1006:$BM$1006,0)), HYPERLINK("#",""), HYPERLINK(CONCATENATE("#metadata!", ADDRESS(INDEX($AH$2:$AH$1001,MATCH(ROWS($AF$2:AF925),$AF$2:$AF$1001,0),0), INDEX($AM$1004:$BM$1004,1,MATCH(COLUMNS($AM$1006:BG1006),$AM$1006:$BM$1006,0)))),"Fix")))</f>
        <v xml:space="preserve"> </v>
      </c>
      <c r="W925" s="4" t="str">
        <f ca="1">IF(OR(INDEX($AG$2:$AG$1001,MATCH(ROWS($AF$2:AF925),$AF$2:$AF$1001,0),1)&gt;=100000,INDEX($AM$1005:$BM$1005,1,MATCH(COLUMNS($AM$1006:BH1006),$AM$1006:$BM$1006,0))&gt;=100000), " ",IF(INDEX($AM$2:$BM$1001,MATCH(ROWS($AF$2:AF925),$AF$2:$AF$1001,0),MATCH(COLUMNS($AM$1006:BH1006),$AM$1006:$BM$1006,0)), HYPERLINK("#",""), HYPERLINK(CONCATENATE("#metadata!", ADDRESS(INDEX($AH$2:$AH$1001,MATCH(ROWS($AF$2:AF925),$AF$2:$AF$1001,0),0), INDEX($AM$1004:$BM$1004,1,MATCH(COLUMNS($AM$1006:BH1006),$AM$1006:$BM$1006,0)))),"Fix")))</f>
        <v xml:space="preserve"> </v>
      </c>
      <c r="X925" s="4" t="str">
        <f ca="1">IF(OR(INDEX($AG$2:$AG$1001,MATCH(ROWS($AF$2:AF925),$AF$2:$AF$1001,0),1)&gt;=100000,INDEX($AM$1005:$BM$1005,1,MATCH(COLUMNS($AM$1006:BI1006),$AM$1006:$BM$1006,0))&gt;=100000), " ",IF(INDEX($AM$2:$BM$1001,MATCH(ROWS($AF$2:AF925),$AF$2:$AF$1001,0),MATCH(COLUMNS($AM$1006:BI1006),$AM$1006:$BM$1006,0)), HYPERLINK("#",""), HYPERLINK(CONCATENATE("#metadata!", ADDRESS(INDEX($AH$2:$AH$1001,MATCH(ROWS($AF$2:AF925),$AF$2:$AF$1001,0),0), INDEX($AM$1004:$BM$1004,1,MATCH(COLUMNS($AM$1006:BI1006),$AM$1006:$BM$1006,0)))),"Fix")))</f>
        <v xml:space="preserve"> </v>
      </c>
      <c r="Y925" s="4" t="str">
        <f ca="1">IF(OR(INDEX($AG$2:$AG$1001,MATCH(ROWS($AF$2:AF925),$AF$2:$AF$1001,0),1)&gt;=100000,INDEX($AM$1005:$BM$1005,1,MATCH(COLUMNS($AM$1006:BJ1006),$AM$1006:$BM$1006,0))&gt;=100000), " ",IF(INDEX($AM$2:$BM$1001,MATCH(ROWS($AF$2:AF925),$AF$2:$AF$1001,0),MATCH(COLUMNS($AM$1006:BJ1006),$AM$1006:$BM$1006,0)), HYPERLINK("#",""), HYPERLINK(CONCATENATE("#metadata!", ADDRESS(INDEX($AH$2:$AH$1001,MATCH(ROWS($AF$2:AF925),$AF$2:$AF$1001,0),0), INDEX($AM$1004:$BM$1004,1,MATCH(COLUMNS($AM$1006:BJ1006),$AM$1006:$BM$1006,0)))),"Fix")))</f>
        <v xml:space="preserve"> </v>
      </c>
      <c r="Z925" s="4" t="str">
        <f ca="1">IF(OR(INDEX($AG$2:$AG$1001,MATCH(ROWS($AF$2:AF925),$AF$2:$AF$1001,0),1)&gt;=100000,INDEX($AM$1005:$BM$1005,1,MATCH(COLUMNS($AM$1006:BK1006),$AM$1006:$BM$1006,0))&gt;=100000), " ",IF(INDEX($AM$2:$BM$1001,MATCH(ROWS($AF$2:AF925),$AF$2:$AF$1001,0),MATCH(COLUMNS($AM$1006:BK1006),$AM$1006:$BM$1006,0)), HYPERLINK("#",""), HYPERLINK(CONCATENATE("#metadata!", ADDRESS(INDEX($AH$2:$AH$1001,MATCH(ROWS($AF$2:AF925),$AF$2:$AF$1001,0),0), INDEX($AM$1004:$BM$1004,1,MATCH(COLUMNS($AM$1006:BK1006),$AM$1006:$BM$1006,0)))),"Fix")))</f>
        <v xml:space="preserve"> </v>
      </c>
      <c r="AA925" s="4" t="str">
        <f ca="1">IF(OR(INDEX($AG$2:$AG$1001,MATCH(ROWS($AF$2:AF925),$AF$2:$AF$1001,0),1)&gt;=100000,INDEX($AM$1005:$BM$1005,1,MATCH(COLUMNS($AM$1006:BL1006),$AM$1006:$BM$1006,0))&gt;=100000), " ",IF(INDEX($AM$2:$BM$1001,MATCH(ROWS($AF$2:AF925),$AF$2:$AF$1001,0),MATCH(COLUMNS($AM$1006:BL1006),$AM$1006:$BM$1006,0)), HYPERLINK("#",""), HYPERLINK(CONCATENATE("#metadata!", ADDRESS(INDEX($AH$2:$AH$1001,MATCH(ROWS($AF$2:AF925),$AF$2:$AF$1001,0),0), INDEX($AM$1004:$BM$1004,1,MATCH(COLUMNS($AM$1006:BL1006),$AM$1006:$BM$1006,0)))),"Fix")))</f>
        <v xml:space="preserve"> </v>
      </c>
      <c r="AB925" s="4" t="str">
        <f ca="1">IF(OR(INDEX($AG$2:$AG$1001,MATCH(ROWS($AF$2:AF925),$AF$2:$AF$1001,0),1)&gt;=100000,INDEX($AM$1005:$BM$1005,1,MATCH(COLUMNS($AM$1006:BM1006),$AM$1006:$BM$1006,0))&gt;=100000), " ",IF(INDEX($AM$2:$BM$1001,MATCH(ROWS($AF$2:AF925),$AF$2:$AF$1001,0),MATCH(COLUMNS($AM$1006:BM1006),$AM$1006:$BM$1006,0)), HYPERLINK("#",""), HYPERLINK(CONCATENATE("#metadata!", ADDRESS(INDEX($AH$2:$AH$1001,MATCH(ROWS($AF$2:AF925),$AF$2:$AF$1001,0),0), INDEX($AM$1004:$BM$1004,1,MATCH(COLUMNS($AM$1006:BM1006),$AM$1006:$BM$1006,0)))),"Fix")))</f>
        <v xml:space="preserve"> </v>
      </c>
      <c r="AF925">
        <v>924</v>
      </c>
      <c r="AG925">
        <v>100925</v>
      </c>
      <c r="AH925">
        <v>925</v>
      </c>
      <c r="AI925" t="b">
        <f t="shared" si="14"/>
        <v>1</v>
      </c>
      <c r="AJ925" t="b">
        <f>COUNTBLANK(metadata!B925:AB925)=COLUMNS(metadata!B925:AB925)</f>
        <v>1</v>
      </c>
      <c r="AK925" t="str">
        <v/>
      </c>
      <c r="AM925" t="b">
        <f ca="1">AND(IF(metadata!B925="",FALSE,TRUE),COUNTIF(metadata!B:B, metadata!B925) = 1,NOT(ISERROR(SUMPRODUCT(SEARCH(MID(metadata!B925,ROW(INDIRECT("1:"&amp;LEN(metadata!B925))), 1),"0123456789abcdefghijklmnopqrstuvwxyzABCDEFGHIJKLMNOPQRSTUVWXYZ.")))))</f>
        <v>0</v>
      </c>
      <c r="AN925" t="b">
        <f ca="1">OR(AND(IF(metadata!C925="",FALSE,TRUE),OR(EXACT(metadata!C925,"missing: not collected"),EXACT(metadata!C925,"missing: not provided"),EXACT(metadata!C925,"missing: restricted access"))),AND(IF(metadata!C925="",FALSE,TRUE),AND(AND(IFERROR(INT(LEFT(metadata!C925,4))&gt;1900,FALSE),IFERROR(INT(LEFT(metadata!C925,4))&lt;=YEAR(NOW()),FALSE)), OR(MID(metadata!C925,5,1)="", AND(AND(MID(metadata!C925,5,1)="-",IFERROR(INT(MID(metadata!C925,6,1))&gt;=0,FALSE),IFERROR(INT(MID(metadata!C925,6,1))&lt;=1,FALSE),NOT(MID(metadata!C925,7,1)=""),IFERROR(INT(MID(metadata!C925,6,2))&gt;=1,FALSE),IFERROR(INT(MID(metadata!C925,6,2))&lt;=12,FALSE)), OR(MID(metadata!C925,8,1)="", AND(AND(MID(metadata!C925,8,1)="-",IFERROR(INT(MID(metadata!C925,9,1))&gt;=0,FALSE),IFERROR(INT(MID(metadata!C925,9,1))&lt;=3,FALSE),NOT(MID(metadata!C925,10,1)=""),IFERROR(INT(MID(metadata!C925,9,2))&gt;=1,FALSE),IFERROR(INT(MID(metadata!C925,9,2))&lt;=31,FALSE)), OR(MID(metadata!C925,11,1)="", AND(AND(MID(metadata!C925,11,1)=" ",IFERROR(INT(MID(metadata!C925,12,1))&gt;=0,FALSE),IFERROR(INT(MID(metadata!C925,12,1))&lt;=2,FALSE),NOT(MID(metadata!C925,13,1)=""),IFERROR(INT(MID(metadata!C925,12,2))&gt;=0,FALSE),IFERROR(INT(MID(metadata!C925,12,2))&lt;=23,FALSE)), OR(MID(metadata!C925,14,1)="", AND(AND(MID(metadata!C925,14,1)=":",IFERROR(INT(MID(metadata!C925,15,1))&gt;=0,FALSE),IFERROR(INT(MID(metadata!C925,15,1))&lt;=5,FALSE),NOT(MID(metadata!C925,16,1)=""),IFERROR(INT(MID(metadata!C925,15,2))&gt;=0,FALSE),IFERROR(INT(MID(metadata!C925,15,2))&lt;=59,FALSE)), OR(MID(metadata!C925,17,1)="", AND(AND(MID(metadata!C925,17,1)=":",IFERROR(INT(MID(metadata!C925,18,1))&gt;=0,FALSE),IFERROR(INT(MID(metadata!C925,18,1))&lt;=5,FALSE),NOT(MID(metadata!C925,19,1)=""),IFERROR(INT(MID(metadata!C925,18,2))&gt;=0,FALSE),IFERROR(INT(MID(metadata!C925,18,2))&lt;=59,FALSE)), LEN(metadata!C925)&lt;=19)))))))))))))</f>
        <v>0</v>
      </c>
      <c r="AO925" t="b">
        <f>AND(IF(metadata!D925="",FALSE,TRUE),EXACT(metadata!D925,"Not applicable"))</f>
        <v>0</v>
      </c>
      <c r="AP925" t="b">
        <f>IF(metadata!E925="",FALSE,TRUE)</f>
        <v>0</v>
      </c>
      <c r="AQ925" t="b">
        <f>OR(AND(IF(metadata!F925="",FALSE,TRUE),OR(EXACT(metadata!F925,"missing: not collected"),EXACT(metadata!F925,"missing: not provided"))),AND(IF(metadata!F925="",FALSE,TRUE),OR(EXACT(metadata!F925,"TRUE"),EXACT(metadata!F925,"FALSE"))))</f>
        <v>0</v>
      </c>
      <c r="AR925" t="b">
        <f>OR(AND(IF(metadata!G925="",FALSE,TRUE),OR(EXACT(metadata!G925,"missing: not collected"),EXACT(metadata!G925,"missing: not provided"),EXACT(metadata!G925,"missing: restricted access"))),AND(IF(metadata!G925="",FALSE,ISNUMBER(VALUE(metadata!G925))),metadata!G925&gt;=-413))</f>
        <v>0</v>
      </c>
      <c r="AS925" t="b">
        <f>AND(IF(metadata!H925="",FALSE,TRUE),EXACT(metadata!H925,"meters"))</f>
        <v>0</v>
      </c>
      <c r="AT925" t="b">
        <f>AND(IF(metadata!I925="",FALSE,TRUE),OR(EXACT(metadata!I925,"Host-associated"),EXACT(metadata!I925,"Free-living")))</f>
        <v>0</v>
      </c>
      <c r="AU925" t="b">
        <f>AND(IF(metadata!J925="",FALSE,TRUE),OR(EXACT(metadata!J925,"Animal"),EXACT(metadata!J925,"Fungus"),EXACT(metadata!J925,"Plant"),EXACT(metadata!J925,"Saline"),EXACT(metadata!J925,"Non-saline")))</f>
        <v>0</v>
      </c>
      <c r="AV925" t="b">
        <f>AND(IF(metadata!K925="",FALSE,TRUE),OR(EXACT(metadata!K925,"Plant secretion"),EXACT(metadata!K925,"Plant rhizosphere"),EXACT(metadata!K925,"Plant surface"),EXACT(metadata!K925,"Plant corpus"),EXACT(metadata!K925,"Fungus surface"),EXACT(metadata!K925,"Fungus corpus"),EXACT(metadata!K925,"Animal surface"),EXACT(metadata!K925,"Animal proximal gut"),EXACT(metadata!K925,"Animal corpus"),EXACT(metadata!K925,"Animal distal gut"),EXACT(metadata!K925,"Animal secretion"),EXACT(metadata!K925,"Sub-surface (non-saline)"),EXACT(metadata!K925,"Surface (non-saline)"),EXACT(metadata!K925,"Water (non-saline)"),EXACT(metadata!K925,"Soil (non-saline)"),EXACT(metadata!K925,"Aerosol (non-saline)"),EXACT(metadata!K925,"Sediment (non-saline)"),EXACT(metadata!K925,"Surface (saline)"),EXACT(metadata!K925,"Water (saline)"),EXACT(metadata!K925,"Hypersaline (saline)"),EXACT(metadata!K925,"Aerosol (saline)"),EXACT(metadata!K925,"Sediment (saline)")))</f>
        <v>0</v>
      </c>
      <c r="AW925" t="b">
        <f>IF(metadata!L925="",FALSE,TRUE)</f>
        <v>0</v>
      </c>
      <c r="AX925" t="b">
        <f>IF(metadata!M925="",FALSE,TRUE)</f>
        <v>0</v>
      </c>
      <c r="AY925" t="b">
        <f>IF(metadata!N925="",FALSE,TRUE)</f>
        <v>0</v>
      </c>
      <c r="AZ925" t="b">
        <f>OR(AND(IF(metadata!O925="",FALSE,TRUE),OR(EXACT(metadata!O925,"missing: not collected"),EXACT(metadata!O925,"missing: not provided"),EXACT(metadata!O925,"missing: restricted access"))),AND(IF(metadata!O925="",FALSE,TRUE),OR(EXACT(metadata!O925,"air"),EXACT(metadata!O925,"built environment"),EXACT(metadata!O925,"host-associated"),EXACT(metadata!O925,"human-associated"),EXACT(metadata!O925,"human-skin"),EXACT(metadata!O925,"human-oral"),EXACT(metadata!O925,"human-gut"),EXACT(metadata!O925,"human-vaginal"),EXACT(metadata!O925,"microbial mat/biofilm"),EXACT(metadata!O925,"misc environment"),EXACT(metadata!O925,"plant-associated"),EXACT(metadata!O925,"sediment"),EXACT(metadata!O925,"soil"),EXACT(metadata!O925,"wastewater/sludge"),EXACT(metadata!O925,"water"))))</f>
        <v>0</v>
      </c>
      <c r="BA925" t="b">
        <f>IF(metadata!P925="",FALSE,TRUE)</f>
        <v>0</v>
      </c>
      <c r="BB925" t="b">
        <f>IF(metadata!Q925="",FALSE,TRUE)</f>
        <v>0</v>
      </c>
      <c r="BC925" t="b">
        <f>OR(AND(IF(metadata!R925="",FALSE,TRUE),OR(EXACT(metadata!R925,"missing: not collected"),EXACT(metadata!R925,"missing: not provided"),EXACT(metadata!R925,"missing: restricted access"))),AND(IF(metadata!R925="",FALSE,ISNUMBER(VALUE(metadata!R925))),metadata!R925&gt;=-90,metadata!R925&lt;=90))</f>
        <v>0</v>
      </c>
      <c r="BD925" t="b">
        <f>AND(IF(metadata!S925="",FALSE,TRUE),EXACT(metadata!S925,"Decimal degrees"))</f>
        <v>0</v>
      </c>
      <c r="BE925" t="b">
        <f>OR(AND(IF(metadata!T925="",FALSE,TRUE),OR(EXACT(metadata!T925,"missing: not collected"),EXACT(metadata!T925,"missing: not provided"),EXACT(metadata!T925,"missing: restricted access"))),AND(IF(metadata!T925="",FALSE,ISNUMBER(VALUE(metadata!T925))),metadata!T925&gt;=-180,metadata!T925&lt;=180))</f>
        <v>0</v>
      </c>
      <c r="BF925" t="b">
        <f>AND(IF(metadata!U925="",FALSE,TRUE),EXACT(metadata!U925,"Decimal degrees"))</f>
        <v>0</v>
      </c>
      <c r="BG925" t="b">
        <f>IF(metadata!V925="",FALSE,TRUE)</f>
        <v>0</v>
      </c>
      <c r="BH925" t="b">
        <f>OR(AND(IF(metadata!W925="",FALSE,TRUE),OR(EXACT(metadata!W925,"missing: not collected"),EXACT(metadata!W925,"missing: not provided"),EXACT(metadata!W925,"missing: restricted access"))),AND(IF(metadata!W925="",FALSE,TRUE),OR(EXACT(metadata!W925,"TRUE"),EXACT(metadata!W925,"FALSE"))))</f>
        <v>0</v>
      </c>
      <c r="BI925" t="b">
        <f>AND(IF(metadata!X925="",FALSE,TRUE),EXACT(metadata!X925,"other"))</f>
        <v>0</v>
      </c>
      <c r="BJ925" t="b">
        <f>IF(metadata!Y925="",FALSE,TRUE)</f>
        <v>0</v>
      </c>
      <c r="BK925" t="b">
        <f>OR(AND(IF(metadata!Z925="",FALSE,TRUE),OR(EXACT(metadata!Z925,"missing: not collected"),EXACT(metadata!Z925,"missing: not provided"))),AND(IF(metadata!Z925="",FALSE,IF(ISERROR(INT(metadata!Z925)),FALSE,INT(metadata!Z925)=metadata!Z925)),metadata!Z925&gt;0))</f>
        <v>0</v>
      </c>
      <c r="BL925" t="b">
        <f>AND(IF(metadata!AA925="",FALSE,TRUE),EXACT(metadata!AA925,"Not applicable"))</f>
        <v>0</v>
      </c>
      <c r="BM925" t="b">
        <f>IF(metadata!AB925="",FALSE,TRUE)</f>
        <v>0</v>
      </c>
    </row>
    <row r="926" spans="1:65" x14ac:dyDescent="0.2">
      <c r="A926" s="5" t="str">
        <f ca="1">IF(B926=" "," ",HYPERLINK(CONCATENATE("#metadata!",ADDRESS(INDEX($AH$2:$AH$1001,MATCH(ROWS($AF$2:AF926),$AF$2:$AF$1001,0),0),1)),INDEX($AK$2:$AK$1001,MATCH(ROWS($AF$2:AF926),$AF$2:$AF$1001,0),0)))</f>
        <v xml:space="preserve"> </v>
      </c>
      <c r="B926" s="4" t="str">
        <f ca="1">IF(OR(INDEX($AG$2:$AG$1001,MATCH(ROWS($AF$2:AF926),$AF$2:$AF$1001,0),1)&gt;=100000,INDEX($AM$1005:$BM$1005,1,MATCH(COLUMNS($AM$1006:AM1006),$AM$1006:$BM$1006,0))&gt;=100000), " ",IF(INDEX($AM$2:$BM$1001,MATCH(ROWS($AF$2:AF926),$AF$2:$AF$1001,0),MATCH(COLUMNS($AM$1006:AM1006),$AM$1006:$BM$1006,0)), HYPERLINK("#",""), HYPERLINK(CONCATENATE("#metadata!", ADDRESS(INDEX($AH$2:$AH$1001,MATCH(ROWS($AF$2:AF926),$AF$2:$AF$1001,0),0), INDEX($AM$1004:$BM$1004,1,MATCH(COLUMNS($AM$1006:AM1006),$AM$1006:$BM$1006,0)))),"Fix")))</f>
        <v xml:space="preserve"> </v>
      </c>
      <c r="C926" s="4" t="str">
        <f ca="1">IF(OR(INDEX($AG$2:$AG$1001,MATCH(ROWS($AF$2:AF926),$AF$2:$AF$1001,0),1)&gt;=100000,INDEX($AM$1005:$BM$1005,1,MATCH(COLUMNS($AM$1006:AN1006),$AM$1006:$BM$1006,0))&gt;=100000), " ",IF(INDEX($AM$2:$BM$1001,MATCH(ROWS($AF$2:AF926),$AF$2:$AF$1001,0),MATCH(COLUMNS($AM$1006:AN1006),$AM$1006:$BM$1006,0)), HYPERLINK("#",""), HYPERLINK(CONCATENATE("#metadata!", ADDRESS(INDEX($AH$2:$AH$1001,MATCH(ROWS($AF$2:AF926),$AF$2:$AF$1001,0),0), INDEX($AM$1004:$BM$1004,1,MATCH(COLUMNS($AM$1006:AN1006),$AM$1006:$BM$1006,0)))),"Fix")))</f>
        <v xml:space="preserve"> </v>
      </c>
      <c r="D926" s="4" t="str">
        <f ca="1">IF(OR(INDEX($AG$2:$AG$1001,MATCH(ROWS($AF$2:AF926),$AF$2:$AF$1001,0),1)&gt;=100000,INDEX($AM$1005:$BM$1005,1,MATCH(COLUMNS($AM$1006:AO1006),$AM$1006:$BM$1006,0))&gt;=100000), " ",IF(INDEX($AM$2:$BM$1001,MATCH(ROWS($AF$2:AF926),$AF$2:$AF$1001,0),MATCH(COLUMNS($AM$1006:AO1006),$AM$1006:$BM$1006,0)), HYPERLINK("#",""), HYPERLINK(CONCATENATE("#metadata!", ADDRESS(INDEX($AH$2:$AH$1001,MATCH(ROWS($AF$2:AF926),$AF$2:$AF$1001,0),0), INDEX($AM$1004:$BM$1004,1,MATCH(COLUMNS($AM$1006:AO1006),$AM$1006:$BM$1006,0)))),"Fix")))</f>
        <v xml:space="preserve"> </v>
      </c>
      <c r="E926" s="4" t="str">
        <f ca="1">IF(OR(INDEX($AG$2:$AG$1001,MATCH(ROWS($AF$2:AF926),$AF$2:$AF$1001,0),1)&gt;=100000,INDEX($AM$1005:$BM$1005,1,MATCH(COLUMNS($AM$1006:AP1006),$AM$1006:$BM$1006,0))&gt;=100000), " ",IF(INDEX($AM$2:$BM$1001,MATCH(ROWS($AF$2:AF926),$AF$2:$AF$1001,0),MATCH(COLUMNS($AM$1006:AP1006),$AM$1006:$BM$1006,0)), HYPERLINK("#",""), HYPERLINK(CONCATENATE("#metadata!", ADDRESS(INDEX($AH$2:$AH$1001,MATCH(ROWS($AF$2:AF926),$AF$2:$AF$1001,0),0), INDEX($AM$1004:$BM$1004,1,MATCH(COLUMNS($AM$1006:AP1006),$AM$1006:$BM$1006,0)))),"Fix")))</f>
        <v xml:space="preserve"> </v>
      </c>
      <c r="F926" s="4" t="str">
        <f ca="1">IF(OR(INDEX($AG$2:$AG$1001,MATCH(ROWS($AF$2:AF926),$AF$2:$AF$1001,0),1)&gt;=100000,INDEX($AM$1005:$BM$1005,1,MATCH(COLUMNS($AM$1006:AQ1006),$AM$1006:$BM$1006,0))&gt;=100000), " ",IF(INDEX($AM$2:$BM$1001,MATCH(ROWS($AF$2:AF926),$AF$2:$AF$1001,0),MATCH(COLUMNS($AM$1006:AQ1006),$AM$1006:$BM$1006,0)), HYPERLINK("#",""), HYPERLINK(CONCATENATE("#metadata!", ADDRESS(INDEX($AH$2:$AH$1001,MATCH(ROWS($AF$2:AF926),$AF$2:$AF$1001,0),0), INDEX($AM$1004:$BM$1004,1,MATCH(COLUMNS($AM$1006:AQ1006),$AM$1006:$BM$1006,0)))),"Fix")))</f>
        <v xml:space="preserve"> </v>
      </c>
      <c r="G926" s="4" t="str">
        <f ca="1">IF(OR(INDEX($AG$2:$AG$1001,MATCH(ROWS($AF$2:AF926),$AF$2:$AF$1001,0),1)&gt;=100000,INDEX($AM$1005:$BM$1005,1,MATCH(COLUMNS($AM$1006:AR1006),$AM$1006:$BM$1006,0))&gt;=100000), " ",IF(INDEX($AM$2:$BM$1001,MATCH(ROWS($AF$2:AF926),$AF$2:$AF$1001,0),MATCH(COLUMNS($AM$1006:AR1006),$AM$1006:$BM$1006,0)), HYPERLINK("#",""), HYPERLINK(CONCATENATE("#metadata!", ADDRESS(INDEX($AH$2:$AH$1001,MATCH(ROWS($AF$2:AF926),$AF$2:$AF$1001,0),0), INDEX($AM$1004:$BM$1004,1,MATCH(COLUMNS($AM$1006:AR1006),$AM$1006:$BM$1006,0)))),"Fix")))</f>
        <v xml:space="preserve"> </v>
      </c>
      <c r="H926" s="4" t="str">
        <f ca="1">IF(OR(INDEX($AG$2:$AG$1001,MATCH(ROWS($AF$2:AF926),$AF$2:$AF$1001,0),1)&gt;=100000,INDEX($AM$1005:$BM$1005,1,MATCH(COLUMNS($AM$1006:AS1006),$AM$1006:$BM$1006,0))&gt;=100000), " ",IF(INDEX($AM$2:$BM$1001,MATCH(ROWS($AF$2:AF926),$AF$2:$AF$1001,0),MATCH(COLUMNS($AM$1006:AS1006),$AM$1006:$BM$1006,0)), HYPERLINK("#",""), HYPERLINK(CONCATENATE("#metadata!", ADDRESS(INDEX($AH$2:$AH$1001,MATCH(ROWS($AF$2:AF926),$AF$2:$AF$1001,0),0), INDEX($AM$1004:$BM$1004,1,MATCH(COLUMNS($AM$1006:AS1006),$AM$1006:$BM$1006,0)))),"Fix")))</f>
        <v xml:space="preserve"> </v>
      </c>
      <c r="I926" s="4" t="str">
        <f ca="1">IF(OR(INDEX($AG$2:$AG$1001,MATCH(ROWS($AF$2:AF926),$AF$2:$AF$1001,0),1)&gt;=100000,INDEX($AM$1005:$BM$1005,1,MATCH(COLUMNS($AM$1006:AT1006),$AM$1006:$BM$1006,0))&gt;=100000), " ",IF(INDEX($AM$2:$BM$1001,MATCH(ROWS($AF$2:AF926),$AF$2:$AF$1001,0),MATCH(COLUMNS($AM$1006:AT1006),$AM$1006:$BM$1006,0)), HYPERLINK("#",""), HYPERLINK(CONCATENATE("#metadata!", ADDRESS(INDEX($AH$2:$AH$1001,MATCH(ROWS($AF$2:AF926),$AF$2:$AF$1001,0),0), INDEX($AM$1004:$BM$1004,1,MATCH(COLUMNS($AM$1006:AT1006),$AM$1006:$BM$1006,0)))),"Fix")))</f>
        <v xml:space="preserve"> </v>
      </c>
      <c r="J926" s="4" t="str">
        <f ca="1">IF(OR(INDEX($AG$2:$AG$1001,MATCH(ROWS($AF$2:AF926),$AF$2:$AF$1001,0),1)&gt;=100000,INDEX($AM$1005:$BM$1005,1,MATCH(COLUMNS($AM$1006:AU1006),$AM$1006:$BM$1006,0))&gt;=100000), " ",IF(INDEX($AM$2:$BM$1001,MATCH(ROWS($AF$2:AF926),$AF$2:$AF$1001,0),MATCH(COLUMNS($AM$1006:AU1006),$AM$1006:$BM$1006,0)), HYPERLINK("#",""), HYPERLINK(CONCATENATE("#metadata!", ADDRESS(INDEX($AH$2:$AH$1001,MATCH(ROWS($AF$2:AF926),$AF$2:$AF$1001,0),0), INDEX($AM$1004:$BM$1004,1,MATCH(COLUMNS($AM$1006:AU1006),$AM$1006:$BM$1006,0)))),"Fix")))</f>
        <v xml:space="preserve"> </v>
      </c>
      <c r="K926" s="4" t="str">
        <f ca="1">IF(OR(INDEX($AG$2:$AG$1001,MATCH(ROWS($AF$2:AF926),$AF$2:$AF$1001,0),1)&gt;=100000,INDEX($AM$1005:$BM$1005,1,MATCH(COLUMNS($AM$1006:AV1006),$AM$1006:$BM$1006,0))&gt;=100000), " ",IF(INDEX($AM$2:$BM$1001,MATCH(ROWS($AF$2:AF926),$AF$2:$AF$1001,0),MATCH(COLUMNS($AM$1006:AV1006),$AM$1006:$BM$1006,0)), HYPERLINK("#",""), HYPERLINK(CONCATENATE("#metadata!", ADDRESS(INDEX($AH$2:$AH$1001,MATCH(ROWS($AF$2:AF926),$AF$2:$AF$1001,0),0), INDEX($AM$1004:$BM$1004,1,MATCH(COLUMNS($AM$1006:AV1006),$AM$1006:$BM$1006,0)))),"Fix")))</f>
        <v xml:space="preserve"> </v>
      </c>
      <c r="L926" s="4" t="str">
        <f ca="1">IF(OR(INDEX($AG$2:$AG$1001,MATCH(ROWS($AF$2:AF926),$AF$2:$AF$1001,0),1)&gt;=100000,INDEX($AM$1005:$BM$1005,1,MATCH(COLUMNS($AM$1006:AW1006),$AM$1006:$BM$1006,0))&gt;=100000), " ",IF(INDEX($AM$2:$BM$1001,MATCH(ROWS($AF$2:AF926),$AF$2:$AF$1001,0),MATCH(COLUMNS($AM$1006:AW1006),$AM$1006:$BM$1006,0)), HYPERLINK("#",""), HYPERLINK(CONCATENATE("#metadata!", ADDRESS(INDEX($AH$2:$AH$1001,MATCH(ROWS($AF$2:AF926),$AF$2:$AF$1001,0),0), INDEX($AM$1004:$BM$1004,1,MATCH(COLUMNS($AM$1006:AW1006),$AM$1006:$BM$1006,0)))),"Fix")))</f>
        <v xml:space="preserve"> </v>
      </c>
      <c r="M926" s="4" t="str">
        <f ca="1">IF(OR(INDEX($AG$2:$AG$1001,MATCH(ROWS($AF$2:AF926),$AF$2:$AF$1001,0),1)&gt;=100000,INDEX($AM$1005:$BM$1005,1,MATCH(COLUMNS($AM$1006:AX1006),$AM$1006:$BM$1006,0))&gt;=100000), " ",IF(INDEX($AM$2:$BM$1001,MATCH(ROWS($AF$2:AF926),$AF$2:$AF$1001,0),MATCH(COLUMNS($AM$1006:AX1006),$AM$1006:$BM$1006,0)), HYPERLINK("#",""), HYPERLINK(CONCATENATE("#metadata!", ADDRESS(INDEX($AH$2:$AH$1001,MATCH(ROWS($AF$2:AF926),$AF$2:$AF$1001,0),0), INDEX($AM$1004:$BM$1004,1,MATCH(COLUMNS($AM$1006:AX1006),$AM$1006:$BM$1006,0)))),"Fix")))</f>
        <v xml:space="preserve"> </v>
      </c>
      <c r="N926" s="4" t="str">
        <f ca="1">IF(OR(INDEX($AG$2:$AG$1001,MATCH(ROWS($AF$2:AF926),$AF$2:$AF$1001,0),1)&gt;=100000,INDEX($AM$1005:$BM$1005,1,MATCH(COLUMNS($AM$1006:AY1006),$AM$1006:$BM$1006,0))&gt;=100000), " ",IF(INDEX($AM$2:$BM$1001,MATCH(ROWS($AF$2:AF926),$AF$2:$AF$1001,0),MATCH(COLUMNS($AM$1006:AY1006),$AM$1006:$BM$1006,0)), HYPERLINK("#",""), HYPERLINK(CONCATENATE("#metadata!", ADDRESS(INDEX($AH$2:$AH$1001,MATCH(ROWS($AF$2:AF926),$AF$2:$AF$1001,0),0), INDEX($AM$1004:$BM$1004,1,MATCH(COLUMNS($AM$1006:AY1006),$AM$1006:$BM$1006,0)))),"Fix")))</f>
        <v xml:space="preserve"> </v>
      </c>
      <c r="O926" s="4" t="str">
        <f ca="1">IF(OR(INDEX($AG$2:$AG$1001,MATCH(ROWS($AF$2:AF926),$AF$2:$AF$1001,0),1)&gt;=100000,INDEX($AM$1005:$BM$1005,1,MATCH(COLUMNS($AM$1006:AZ1006),$AM$1006:$BM$1006,0))&gt;=100000), " ",IF(INDEX($AM$2:$BM$1001,MATCH(ROWS($AF$2:AF926),$AF$2:$AF$1001,0),MATCH(COLUMNS($AM$1006:AZ1006),$AM$1006:$BM$1006,0)), HYPERLINK("#",""), HYPERLINK(CONCATENATE("#metadata!", ADDRESS(INDEX($AH$2:$AH$1001,MATCH(ROWS($AF$2:AF926),$AF$2:$AF$1001,0),0), INDEX($AM$1004:$BM$1004,1,MATCH(COLUMNS($AM$1006:AZ1006),$AM$1006:$BM$1006,0)))),"Fix")))</f>
        <v xml:space="preserve"> </v>
      </c>
      <c r="P926" s="4" t="str">
        <f ca="1">IF(OR(INDEX($AG$2:$AG$1001,MATCH(ROWS($AF$2:AF926),$AF$2:$AF$1001,0),1)&gt;=100000,INDEX($AM$1005:$BM$1005,1,MATCH(COLUMNS($AM$1006:BA1006),$AM$1006:$BM$1006,0))&gt;=100000), " ",IF(INDEX($AM$2:$BM$1001,MATCH(ROWS($AF$2:AF926),$AF$2:$AF$1001,0),MATCH(COLUMNS($AM$1006:BA1006),$AM$1006:$BM$1006,0)), HYPERLINK("#",""), HYPERLINK(CONCATENATE("#metadata!", ADDRESS(INDEX($AH$2:$AH$1001,MATCH(ROWS($AF$2:AF926),$AF$2:$AF$1001,0),0), INDEX($AM$1004:$BM$1004,1,MATCH(COLUMNS($AM$1006:BA1006),$AM$1006:$BM$1006,0)))),"Fix")))</f>
        <v xml:space="preserve"> </v>
      </c>
      <c r="Q926" s="4" t="str">
        <f ca="1">IF(OR(INDEX($AG$2:$AG$1001,MATCH(ROWS($AF$2:AF926),$AF$2:$AF$1001,0),1)&gt;=100000,INDEX($AM$1005:$BM$1005,1,MATCH(COLUMNS($AM$1006:BB1006),$AM$1006:$BM$1006,0))&gt;=100000), " ",IF(INDEX($AM$2:$BM$1001,MATCH(ROWS($AF$2:AF926),$AF$2:$AF$1001,0),MATCH(COLUMNS($AM$1006:BB1006),$AM$1006:$BM$1006,0)), HYPERLINK("#",""), HYPERLINK(CONCATENATE("#metadata!", ADDRESS(INDEX($AH$2:$AH$1001,MATCH(ROWS($AF$2:AF926),$AF$2:$AF$1001,0),0), INDEX($AM$1004:$BM$1004,1,MATCH(COLUMNS($AM$1006:BB1006),$AM$1006:$BM$1006,0)))),"Fix")))</f>
        <v xml:space="preserve"> </v>
      </c>
      <c r="R926" s="4" t="str">
        <f ca="1">IF(OR(INDEX($AG$2:$AG$1001,MATCH(ROWS($AF$2:AF926),$AF$2:$AF$1001,0),1)&gt;=100000,INDEX($AM$1005:$BM$1005,1,MATCH(COLUMNS($AM$1006:BC1006),$AM$1006:$BM$1006,0))&gt;=100000), " ",IF(INDEX($AM$2:$BM$1001,MATCH(ROWS($AF$2:AF926),$AF$2:$AF$1001,0),MATCH(COLUMNS($AM$1006:BC1006),$AM$1006:$BM$1006,0)), HYPERLINK("#",""), HYPERLINK(CONCATENATE("#metadata!", ADDRESS(INDEX($AH$2:$AH$1001,MATCH(ROWS($AF$2:AF926),$AF$2:$AF$1001,0),0), INDEX($AM$1004:$BM$1004,1,MATCH(COLUMNS($AM$1006:BC1006),$AM$1006:$BM$1006,0)))),"Fix")))</f>
        <v xml:space="preserve"> </v>
      </c>
      <c r="S926" s="4" t="str">
        <f ca="1">IF(OR(INDEX($AG$2:$AG$1001,MATCH(ROWS($AF$2:AF926),$AF$2:$AF$1001,0),1)&gt;=100000,INDEX($AM$1005:$BM$1005,1,MATCH(COLUMNS($AM$1006:BD1006),$AM$1006:$BM$1006,0))&gt;=100000), " ",IF(INDEX($AM$2:$BM$1001,MATCH(ROWS($AF$2:AF926),$AF$2:$AF$1001,0),MATCH(COLUMNS($AM$1006:BD1006),$AM$1006:$BM$1006,0)), HYPERLINK("#",""), HYPERLINK(CONCATENATE("#metadata!", ADDRESS(INDEX($AH$2:$AH$1001,MATCH(ROWS($AF$2:AF926),$AF$2:$AF$1001,0),0), INDEX($AM$1004:$BM$1004,1,MATCH(COLUMNS($AM$1006:BD1006),$AM$1006:$BM$1006,0)))),"Fix")))</f>
        <v xml:space="preserve"> </v>
      </c>
      <c r="T926" s="4" t="str">
        <f ca="1">IF(OR(INDEX($AG$2:$AG$1001,MATCH(ROWS($AF$2:AF926),$AF$2:$AF$1001,0),1)&gt;=100000,INDEX($AM$1005:$BM$1005,1,MATCH(COLUMNS($AM$1006:BE1006),$AM$1006:$BM$1006,0))&gt;=100000), " ",IF(INDEX($AM$2:$BM$1001,MATCH(ROWS($AF$2:AF926),$AF$2:$AF$1001,0),MATCH(COLUMNS($AM$1006:BE1006),$AM$1006:$BM$1006,0)), HYPERLINK("#",""), HYPERLINK(CONCATENATE("#metadata!", ADDRESS(INDEX($AH$2:$AH$1001,MATCH(ROWS($AF$2:AF926),$AF$2:$AF$1001,0),0), INDEX($AM$1004:$BM$1004,1,MATCH(COLUMNS($AM$1006:BE1006),$AM$1006:$BM$1006,0)))),"Fix")))</f>
        <v xml:space="preserve"> </v>
      </c>
      <c r="U926" s="4" t="str">
        <f ca="1">IF(OR(INDEX($AG$2:$AG$1001,MATCH(ROWS($AF$2:AF926),$AF$2:$AF$1001,0),1)&gt;=100000,INDEX($AM$1005:$BM$1005,1,MATCH(COLUMNS($AM$1006:BF1006),$AM$1006:$BM$1006,0))&gt;=100000), " ",IF(INDEX($AM$2:$BM$1001,MATCH(ROWS($AF$2:AF926),$AF$2:$AF$1001,0),MATCH(COLUMNS($AM$1006:BF1006),$AM$1006:$BM$1006,0)), HYPERLINK("#",""), HYPERLINK(CONCATENATE("#metadata!", ADDRESS(INDEX($AH$2:$AH$1001,MATCH(ROWS($AF$2:AF926),$AF$2:$AF$1001,0),0), INDEX($AM$1004:$BM$1004,1,MATCH(COLUMNS($AM$1006:BF1006),$AM$1006:$BM$1006,0)))),"Fix")))</f>
        <v xml:space="preserve"> </v>
      </c>
      <c r="V926" s="4" t="str">
        <f ca="1">IF(OR(INDEX($AG$2:$AG$1001,MATCH(ROWS($AF$2:AF926),$AF$2:$AF$1001,0),1)&gt;=100000,INDEX($AM$1005:$BM$1005,1,MATCH(COLUMNS($AM$1006:BG1006),$AM$1006:$BM$1006,0))&gt;=100000), " ",IF(INDEX($AM$2:$BM$1001,MATCH(ROWS($AF$2:AF926),$AF$2:$AF$1001,0),MATCH(COLUMNS($AM$1006:BG1006),$AM$1006:$BM$1006,0)), HYPERLINK("#",""), HYPERLINK(CONCATENATE("#metadata!", ADDRESS(INDEX($AH$2:$AH$1001,MATCH(ROWS($AF$2:AF926),$AF$2:$AF$1001,0),0), INDEX($AM$1004:$BM$1004,1,MATCH(COLUMNS($AM$1006:BG1006),$AM$1006:$BM$1006,0)))),"Fix")))</f>
        <v xml:space="preserve"> </v>
      </c>
      <c r="W926" s="4" t="str">
        <f ca="1">IF(OR(INDEX($AG$2:$AG$1001,MATCH(ROWS($AF$2:AF926),$AF$2:$AF$1001,0),1)&gt;=100000,INDEX($AM$1005:$BM$1005,1,MATCH(COLUMNS($AM$1006:BH1006),$AM$1006:$BM$1006,0))&gt;=100000), " ",IF(INDEX($AM$2:$BM$1001,MATCH(ROWS($AF$2:AF926),$AF$2:$AF$1001,0),MATCH(COLUMNS($AM$1006:BH1006),$AM$1006:$BM$1006,0)), HYPERLINK("#",""), HYPERLINK(CONCATENATE("#metadata!", ADDRESS(INDEX($AH$2:$AH$1001,MATCH(ROWS($AF$2:AF926),$AF$2:$AF$1001,0),0), INDEX($AM$1004:$BM$1004,1,MATCH(COLUMNS($AM$1006:BH1006),$AM$1006:$BM$1006,0)))),"Fix")))</f>
        <v xml:space="preserve"> </v>
      </c>
      <c r="X926" s="4" t="str">
        <f ca="1">IF(OR(INDEX($AG$2:$AG$1001,MATCH(ROWS($AF$2:AF926),$AF$2:$AF$1001,0),1)&gt;=100000,INDEX($AM$1005:$BM$1005,1,MATCH(COLUMNS($AM$1006:BI1006),$AM$1006:$BM$1006,0))&gt;=100000), " ",IF(INDEX($AM$2:$BM$1001,MATCH(ROWS($AF$2:AF926),$AF$2:$AF$1001,0),MATCH(COLUMNS($AM$1006:BI1006),$AM$1006:$BM$1006,0)), HYPERLINK("#",""), HYPERLINK(CONCATENATE("#metadata!", ADDRESS(INDEX($AH$2:$AH$1001,MATCH(ROWS($AF$2:AF926),$AF$2:$AF$1001,0),0), INDEX($AM$1004:$BM$1004,1,MATCH(COLUMNS($AM$1006:BI1006),$AM$1006:$BM$1006,0)))),"Fix")))</f>
        <v xml:space="preserve"> </v>
      </c>
      <c r="Y926" s="4" t="str">
        <f ca="1">IF(OR(INDEX($AG$2:$AG$1001,MATCH(ROWS($AF$2:AF926),$AF$2:$AF$1001,0),1)&gt;=100000,INDEX($AM$1005:$BM$1005,1,MATCH(COLUMNS($AM$1006:BJ1006),$AM$1006:$BM$1006,0))&gt;=100000), " ",IF(INDEX($AM$2:$BM$1001,MATCH(ROWS($AF$2:AF926),$AF$2:$AF$1001,0),MATCH(COLUMNS($AM$1006:BJ1006),$AM$1006:$BM$1006,0)), HYPERLINK("#",""), HYPERLINK(CONCATENATE("#metadata!", ADDRESS(INDEX($AH$2:$AH$1001,MATCH(ROWS($AF$2:AF926),$AF$2:$AF$1001,0),0), INDEX($AM$1004:$BM$1004,1,MATCH(COLUMNS($AM$1006:BJ1006),$AM$1006:$BM$1006,0)))),"Fix")))</f>
        <v xml:space="preserve"> </v>
      </c>
      <c r="Z926" s="4" t="str">
        <f ca="1">IF(OR(INDEX($AG$2:$AG$1001,MATCH(ROWS($AF$2:AF926),$AF$2:$AF$1001,0),1)&gt;=100000,INDEX($AM$1005:$BM$1005,1,MATCH(COLUMNS($AM$1006:BK1006),$AM$1006:$BM$1006,0))&gt;=100000), " ",IF(INDEX($AM$2:$BM$1001,MATCH(ROWS($AF$2:AF926),$AF$2:$AF$1001,0),MATCH(COLUMNS($AM$1006:BK1006),$AM$1006:$BM$1006,0)), HYPERLINK("#",""), HYPERLINK(CONCATENATE("#metadata!", ADDRESS(INDEX($AH$2:$AH$1001,MATCH(ROWS($AF$2:AF926),$AF$2:$AF$1001,0),0), INDEX($AM$1004:$BM$1004,1,MATCH(COLUMNS($AM$1006:BK1006),$AM$1006:$BM$1006,0)))),"Fix")))</f>
        <v xml:space="preserve"> </v>
      </c>
      <c r="AA926" s="4" t="str">
        <f ca="1">IF(OR(INDEX($AG$2:$AG$1001,MATCH(ROWS($AF$2:AF926),$AF$2:$AF$1001,0),1)&gt;=100000,INDEX($AM$1005:$BM$1005,1,MATCH(COLUMNS($AM$1006:BL1006),$AM$1006:$BM$1006,0))&gt;=100000), " ",IF(INDEX($AM$2:$BM$1001,MATCH(ROWS($AF$2:AF926),$AF$2:$AF$1001,0),MATCH(COLUMNS($AM$1006:BL1006),$AM$1006:$BM$1006,0)), HYPERLINK("#",""), HYPERLINK(CONCATENATE("#metadata!", ADDRESS(INDEX($AH$2:$AH$1001,MATCH(ROWS($AF$2:AF926),$AF$2:$AF$1001,0),0), INDEX($AM$1004:$BM$1004,1,MATCH(COLUMNS($AM$1006:BL1006),$AM$1006:$BM$1006,0)))),"Fix")))</f>
        <v xml:space="preserve"> </v>
      </c>
      <c r="AB926" s="4" t="str">
        <f ca="1">IF(OR(INDEX($AG$2:$AG$1001,MATCH(ROWS($AF$2:AF926),$AF$2:$AF$1001,0),1)&gt;=100000,INDEX($AM$1005:$BM$1005,1,MATCH(COLUMNS($AM$1006:BM1006),$AM$1006:$BM$1006,0))&gt;=100000), " ",IF(INDEX($AM$2:$BM$1001,MATCH(ROWS($AF$2:AF926),$AF$2:$AF$1001,0),MATCH(COLUMNS($AM$1006:BM1006),$AM$1006:$BM$1006,0)), HYPERLINK("#",""), HYPERLINK(CONCATENATE("#metadata!", ADDRESS(INDEX($AH$2:$AH$1001,MATCH(ROWS($AF$2:AF926),$AF$2:$AF$1001,0),0), INDEX($AM$1004:$BM$1004,1,MATCH(COLUMNS($AM$1006:BM1006),$AM$1006:$BM$1006,0)))),"Fix")))</f>
        <v xml:space="preserve"> </v>
      </c>
      <c r="AF926">
        <v>925</v>
      </c>
      <c r="AG926">
        <v>100926</v>
      </c>
      <c r="AH926">
        <v>926</v>
      </c>
      <c r="AI926" t="b">
        <f t="shared" si="14"/>
        <v>1</v>
      </c>
      <c r="AJ926" t="b">
        <f>COUNTBLANK(metadata!B926:AB926)=COLUMNS(metadata!B926:AB926)</f>
        <v>1</v>
      </c>
      <c r="AK926" t="str">
        <v/>
      </c>
      <c r="AM926" t="b">
        <f ca="1">AND(IF(metadata!B926="",FALSE,TRUE),COUNTIF(metadata!B:B, metadata!B926) = 1,NOT(ISERROR(SUMPRODUCT(SEARCH(MID(metadata!B926,ROW(INDIRECT("1:"&amp;LEN(metadata!B926))), 1),"0123456789abcdefghijklmnopqrstuvwxyzABCDEFGHIJKLMNOPQRSTUVWXYZ.")))))</f>
        <v>0</v>
      </c>
      <c r="AN926" t="b">
        <f ca="1">OR(AND(IF(metadata!C926="",FALSE,TRUE),OR(EXACT(metadata!C926,"missing: not collected"),EXACT(metadata!C926,"missing: not provided"),EXACT(metadata!C926,"missing: restricted access"))),AND(IF(metadata!C926="",FALSE,TRUE),AND(AND(IFERROR(INT(LEFT(metadata!C926,4))&gt;1900,FALSE),IFERROR(INT(LEFT(metadata!C926,4))&lt;=YEAR(NOW()),FALSE)), OR(MID(metadata!C926,5,1)="", AND(AND(MID(metadata!C926,5,1)="-",IFERROR(INT(MID(metadata!C926,6,1))&gt;=0,FALSE),IFERROR(INT(MID(metadata!C926,6,1))&lt;=1,FALSE),NOT(MID(metadata!C926,7,1)=""),IFERROR(INT(MID(metadata!C926,6,2))&gt;=1,FALSE),IFERROR(INT(MID(metadata!C926,6,2))&lt;=12,FALSE)), OR(MID(metadata!C926,8,1)="", AND(AND(MID(metadata!C926,8,1)="-",IFERROR(INT(MID(metadata!C926,9,1))&gt;=0,FALSE),IFERROR(INT(MID(metadata!C926,9,1))&lt;=3,FALSE),NOT(MID(metadata!C926,10,1)=""),IFERROR(INT(MID(metadata!C926,9,2))&gt;=1,FALSE),IFERROR(INT(MID(metadata!C926,9,2))&lt;=31,FALSE)), OR(MID(metadata!C926,11,1)="", AND(AND(MID(metadata!C926,11,1)=" ",IFERROR(INT(MID(metadata!C926,12,1))&gt;=0,FALSE),IFERROR(INT(MID(metadata!C926,12,1))&lt;=2,FALSE),NOT(MID(metadata!C926,13,1)=""),IFERROR(INT(MID(metadata!C926,12,2))&gt;=0,FALSE),IFERROR(INT(MID(metadata!C926,12,2))&lt;=23,FALSE)), OR(MID(metadata!C926,14,1)="", AND(AND(MID(metadata!C926,14,1)=":",IFERROR(INT(MID(metadata!C926,15,1))&gt;=0,FALSE),IFERROR(INT(MID(metadata!C926,15,1))&lt;=5,FALSE),NOT(MID(metadata!C926,16,1)=""),IFERROR(INT(MID(metadata!C926,15,2))&gt;=0,FALSE),IFERROR(INT(MID(metadata!C926,15,2))&lt;=59,FALSE)), OR(MID(metadata!C926,17,1)="", AND(AND(MID(metadata!C926,17,1)=":",IFERROR(INT(MID(metadata!C926,18,1))&gt;=0,FALSE),IFERROR(INT(MID(metadata!C926,18,1))&lt;=5,FALSE),NOT(MID(metadata!C926,19,1)=""),IFERROR(INT(MID(metadata!C926,18,2))&gt;=0,FALSE),IFERROR(INT(MID(metadata!C926,18,2))&lt;=59,FALSE)), LEN(metadata!C926)&lt;=19)))))))))))))</f>
        <v>0</v>
      </c>
      <c r="AO926" t="b">
        <f>AND(IF(metadata!D926="",FALSE,TRUE),EXACT(metadata!D926,"Not applicable"))</f>
        <v>0</v>
      </c>
      <c r="AP926" t="b">
        <f>IF(metadata!E926="",FALSE,TRUE)</f>
        <v>0</v>
      </c>
      <c r="AQ926" t="b">
        <f>OR(AND(IF(metadata!F926="",FALSE,TRUE),OR(EXACT(metadata!F926,"missing: not collected"),EXACT(metadata!F926,"missing: not provided"))),AND(IF(metadata!F926="",FALSE,TRUE),OR(EXACT(metadata!F926,"TRUE"),EXACT(metadata!F926,"FALSE"))))</f>
        <v>0</v>
      </c>
      <c r="AR926" t="b">
        <f>OR(AND(IF(metadata!G926="",FALSE,TRUE),OR(EXACT(metadata!G926,"missing: not collected"),EXACT(metadata!G926,"missing: not provided"),EXACT(metadata!G926,"missing: restricted access"))),AND(IF(metadata!G926="",FALSE,ISNUMBER(VALUE(metadata!G926))),metadata!G926&gt;=-413))</f>
        <v>0</v>
      </c>
      <c r="AS926" t="b">
        <f>AND(IF(metadata!H926="",FALSE,TRUE),EXACT(metadata!H926,"meters"))</f>
        <v>0</v>
      </c>
      <c r="AT926" t="b">
        <f>AND(IF(metadata!I926="",FALSE,TRUE),OR(EXACT(metadata!I926,"Host-associated"),EXACT(metadata!I926,"Free-living")))</f>
        <v>0</v>
      </c>
      <c r="AU926" t="b">
        <f>AND(IF(metadata!J926="",FALSE,TRUE),OR(EXACT(metadata!J926,"Animal"),EXACT(metadata!J926,"Fungus"),EXACT(metadata!J926,"Plant"),EXACT(metadata!J926,"Saline"),EXACT(metadata!J926,"Non-saline")))</f>
        <v>0</v>
      </c>
      <c r="AV926" t="b">
        <f>AND(IF(metadata!K926="",FALSE,TRUE),OR(EXACT(metadata!K926,"Plant secretion"),EXACT(metadata!K926,"Plant rhizosphere"),EXACT(metadata!K926,"Plant surface"),EXACT(metadata!K926,"Plant corpus"),EXACT(metadata!K926,"Fungus surface"),EXACT(metadata!K926,"Fungus corpus"),EXACT(metadata!K926,"Animal surface"),EXACT(metadata!K926,"Animal proximal gut"),EXACT(metadata!K926,"Animal corpus"),EXACT(metadata!K926,"Animal distal gut"),EXACT(metadata!K926,"Animal secretion"),EXACT(metadata!K926,"Sub-surface (non-saline)"),EXACT(metadata!K926,"Surface (non-saline)"),EXACT(metadata!K926,"Water (non-saline)"),EXACT(metadata!K926,"Soil (non-saline)"),EXACT(metadata!K926,"Aerosol (non-saline)"),EXACT(metadata!K926,"Sediment (non-saline)"),EXACT(metadata!K926,"Surface (saline)"),EXACT(metadata!K926,"Water (saline)"),EXACT(metadata!K926,"Hypersaline (saline)"),EXACT(metadata!K926,"Aerosol (saline)"),EXACT(metadata!K926,"Sediment (saline)")))</f>
        <v>0</v>
      </c>
      <c r="AW926" t="b">
        <f>IF(metadata!L926="",FALSE,TRUE)</f>
        <v>0</v>
      </c>
      <c r="AX926" t="b">
        <f>IF(metadata!M926="",FALSE,TRUE)</f>
        <v>0</v>
      </c>
      <c r="AY926" t="b">
        <f>IF(metadata!N926="",FALSE,TRUE)</f>
        <v>0</v>
      </c>
      <c r="AZ926" t="b">
        <f>OR(AND(IF(metadata!O926="",FALSE,TRUE),OR(EXACT(metadata!O926,"missing: not collected"),EXACT(metadata!O926,"missing: not provided"),EXACT(metadata!O926,"missing: restricted access"))),AND(IF(metadata!O926="",FALSE,TRUE),OR(EXACT(metadata!O926,"air"),EXACT(metadata!O926,"built environment"),EXACT(metadata!O926,"host-associated"),EXACT(metadata!O926,"human-associated"),EXACT(metadata!O926,"human-skin"),EXACT(metadata!O926,"human-oral"),EXACT(metadata!O926,"human-gut"),EXACT(metadata!O926,"human-vaginal"),EXACT(metadata!O926,"microbial mat/biofilm"),EXACT(metadata!O926,"misc environment"),EXACT(metadata!O926,"plant-associated"),EXACT(metadata!O926,"sediment"),EXACT(metadata!O926,"soil"),EXACT(metadata!O926,"wastewater/sludge"),EXACT(metadata!O926,"water"))))</f>
        <v>0</v>
      </c>
      <c r="BA926" t="b">
        <f>IF(metadata!P926="",FALSE,TRUE)</f>
        <v>0</v>
      </c>
      <c r="BB926" t="b">
        <f>IF(metadata!Q926="",FALSE,TRUE)</f>
        <v>0</v>
      </c>
      <c r="BC926" t="b">
        <f>OR(AND(IF(metadata!R926="",FALSE,TRUE),OR(EXACT(metadata!R926,"missing: not collected"),EXACT(metadata!R926,"missing: not provided"),EXACT(metadata!R926,"missing: restricted access"))),AND(IF(metadata!R926="",FALSE,ISNUMBER(VALUE(metadata!R926))),metadata!R926&gt;=-90,metadata!R926&lt;=90))</f>
        <v>0</v>
      </c>
      <c r="BD926" t="b">
        <f>AND(IF(metadata!S926="",FALSE,TRUE),EXACT(metadata!S926,"Decimal degrees"))</f>
        <v>0</v>
      </c>
      <c r="BE926" t="b">
        <f>OR(AND(IF(metadata!T926="",FALSE,TRUE),OR(EXACT(metadata!T926,"missing: not collected"),EXACT(metadata!T926,"missing: not provided"),EXACT(metadata!T926,"missing: restricted access"))),AND(IF(metadata!T926="",FALSE,ISNUMBER(VALUE(metadata!T926))),metadata!T926&gt;=-180,metadata!T926&lt;=180))</f>
        <v>0</v>
      </c>
      <c r="BF926" t="b">
        <f>AND(IF(metadata!U926="",FALSE,TRUE),EXACT(metadata!U926,"Decimal degrees"))</f>
        <v>0</v>
      </c>
      <c r="BG926" t="b">
        <f>IF(metadata!V926="",FALSE,TRUE)</f>
        <v>0</v>
      </c>
      <c r="BH926" t="b">
        <f>OR(AND(IF(metadata!W926="",FALSE,TRUE),OR(EXACT(metadata!W926,"missing: not collected"),EXACT(metadata!W926,"missing: not provided"),EXACT(metadata!W926,"missing: restricted access"))),AND(IF(metadata!W926="",FALSE,TRUE),OR(EXACT(metadata!W926,"TRUE"),EXACT(metadata!W926,"FALSE"))))</f>
        <v>0</v>
      </c>
      <c r="BI926" t="b">
        <f>AND(IF(metadata!X926="",FALSE,TRUE),EXACT(metadata!X926,"other"))</f>
        <v>0</v>
      </c>
      <c r="BJ926" t="b">
        <f>IF(metadata!Y926="",FALSE,TRUE)</f>
        <v>0</v>
      </c>
      <c r="BK926" t="b">
        <f>OR(AND(IF(metadata!Z926="",FALSE,TRUE),OR(EXACT(metadata!Z926,"missing: not collected"),EXACT(metadata!Z926,"missing: not provided"))),AND(IF(metadata!Z926="",FALSE,IF(ISERROR(INT(metadata!Z926)),FALSE,INT(metadata!Z926)=metadata!Z926)),metadata!Z926&gt;0))</f>
        <v>0</v>
      </c>
      <c r="BL926" t="b">
        <f>AND(IF(metadata!AA926="",FALSE,TRUE),EXACT(metadata!AA926,"Not applicable"))</f>
        <v>0</v>
      </c>
      <c r="BM926" t="b">
        <f>IF(metadata!AB926="",FALSE,TRUE)</f>
        <v>0</v>
      </c>
    </row>
    <row r="927" spans="1:65" x14ac:dyDescent="0.2">
      <c r="A927" s="5" t="str">
        <f ca="1">IF(B927=" "," ",HYPERLINK(CONCATENATE("#metadata!",ADDRESS(INDEX($AH$2:$AH$1001,MATCH(ROWS($AF$2:AF927),$AF$2:$AF$1001,0),0),1)),INDEX($AK$2:$AK$1001,MATCH(ROWS($AF$2:AF927),$AF$2:$AF$1001,0),0)))</f>
        <v xml:space="preserve"> </v>
      </c>
      <c r="B927" s="4" t="str">
        <f ca="1">IF(OR(INDEX($AG$2:$AG$1001,MATCH(ROWS($AF$2:AF927),$AF$2:$AF$1001,0),1)&gt;=100000,INDEX($AM$1005:$BM$1005,1,MATCH(COLUMNS($AM$1006:AM1006),$AM$1006:$BM$1006,0))&gt;=100000), " ",IF(INDEX($AM$2:$BM$1001,MATCH(ROWS($AF$2:AF927),$AF$2:$AF$1001,0),MATCH(COLUMNS($AM$1006:AM1006),$AM$1006:$BM$1006,0)), HYPERLINK("#",""), HYPERLINK(CONCATENATE("#metadata!", ADDRESS(INDEX($AH$2:$AH$1001,MATCH(ROWS($AF$2:AF927),$AF$2:$AF$1001,0),0), INDEX($AM$1004:$BM$1004,1,MATCH(COLUMNS($AM$1006:AM1006),$AM$1006:$BM$1006,0)))),"Fix")))</f>
        <v xml:space="preserve"> </v>
      </c>
      <c r="C927" s="4" t="str">
        <f ca="1">IF(OR(INDEX($AG$2:$AG$1001,MATCH(ROWS($AF$2:AF927),$AF$2:$AF$1001,0),1)&gt;=100000,INDEX($AM$1005:$BM$1005,1,MATCH(COLUMNS($AM$1006:AN1006),$AM$1006:$BM$1006,0))&gt;=100000), " ",IF(INDEX($AM$2:$BM$1001,MATCH(ROWS($AF$2:AF927),$AF$2:$AF$1001,0),MATCH(COLUMNS($AM$1006:AN1006),$AM$1006:$BM$1006,0)), HYPERLINK("#",""), HYPERLINK(CONCATENATE("#metadata!", ADDRESS(INDEX($AH$2:$AH$1001,MATCH(ROWS($AF$2:AF927),$AF$2:$AF$1001,0),0), INDEX($AM$1004:$BM$1004,1,MATCH(COLUMNS($AM$1006:AN1006),$AM$1006:$BM$1006,0)))),"Fix")))</f>
        <v xml:space="preserve"> </v>
      </c>
      <c r="D927" s="4" t="str">
        <f ca="1">IF(OR(INDEX($AG$2:$AG$1001,MATCH(ROWS($AF$2:AF927),$AF$2:$AF$1001,0),1)&gt;=100000,INDEX($AM$1005:$BM$1005,1,MATCH(COLUMNS($AM$1006:AO1006),$AM$1006:$BM$1006,0))&gt;=100000), " ",IF(INDEX($AM$2:$BM$1001,MATCH(ROWS($AF$2:AF927),$AF$2:$AF$1001,0),MATCH(COLUMNS($AM$1006:AO1006),$AM$1006:$BM$1006,0)), HYPERLINK("#",""), HYPERLINK(CONCATENATE("#metadata!", ADDRESS(INDEX($AH$2:$AH$1001,MATCH(ROWS($AF$2:AF927),$AF$2:$AF$1001,0),0), INDEX($AM$1004:$BM$1004,1,MATCH(COLUMNS($AM$1006:AO1006),$AM$1006:$BM$1006,0)))),"Fix")))</f>
        <v xml:space="preserve"> </v>
      </c>
      <c r="E927" s="4" t="str">
        <f ca="1">IF(OR(INDEX($AG$2:$AG$1001,MATCH(ROWS($AF$2:AF927),$AF$2:$AF$1001,0),1)&gt;=100000,INDEX($AM$1005:$BM$1005,1,MATCH(COLUMNS($AM$1006:AP1006),$AM$1006:$BM$1006,0))&gt;=100000), " ",IF(INDEX($AM$2:$BM$1001,MATCH(ROWS($AF$2:AF927),$AF$2:$AF$1001,0),MATCH(COLUMNS($AM$1006:AP1006),$AM$1006:$BM$1006,0)), HYPERLINK("#",""), HYPERLINK(CONCATENATE("#metadata!", ADDRESS(INDEX($AH$2:$AH$1001,MATCH(ROWS($AF$2:AF927),$AF$2:$AF$1001,0),0), INDEX($AM$1004:$BM$1004,1,MATCH(COLUMNS($AM$1006:AP1006),$AM$1006:$BM$1006,0)))),"Fix")))</f>
        <v xml:space="preserve"> </v>
      </c>
      <c r="F927" s="4" t="str">
        <f ca="1">IF(OR(INDEX($AG$2:$AG$1001,MATCH(ROWS($AF$2:AF927),$AF$2:$AF$1001,0),1)&gt;=100000,INDEX($AM$1005:$BM$1005,1,MATCH(COLUMNS($AM$1006:AQ1006),$AM$1006:$BM$1006,0))&gt;=100000), " ",IF(INDEX($AM$2:$BM$1001,MATCH(ROWS($AF$2:AF927),$AF$2:$AF$1001,0),MATCH(COLUMNS($AM$1006:AQ1006),$AM$1006:$BM$1006,0)), HYPERLINK("#",""), HYPERLINK(CONCATENATE("#metadata!", ADDRESS(INDEX($AH$2:$AH$1001,MATCH(ROWS($AF$2:AF927),$AF$2:$AF$1001,0),0), INDEX($AM$1004:$BM$1004,1,MATCH(COLUMNS($AM$1006:AQ1006),$AM$1006:$BM$1006,0)))),"Fix")))</f>
        <v xml:space="preserve"> </v>
      </c>
      <c r="G927" s="4" t="str">
        <f ca="1">IF(OR(INDEX($AG$2:$AG$1001,MATCH(ROWS($AF$2:AF927),$AF$2:$AF$1001,0),1)&gt;=100000,INDEX($AM$1005:$BM$1005,1,MATCH(COLUMNS($AM$1006:AR1006),$AM$1006:$BM$1006,0))&gt;=100000), " ",IF(INDEX($AM$2:$BM$1001,MATCH(ROWS($AF$2:AF927),$AF$2:$AF$1001,0),MATCH(COLUMNS($AM$1006:AR1006),$AM$1006:$BM$1006,0)), HYPERLINK("#",""), HYPERLINK(CONCATENATE("#metadata!", ADDRESS(INDEX($AH$2:$AH$1001,MATCH(ROWS($AF$2:AF927),$AF$2:$AF$1001,0),0), INDEX($AM$1004:$BM$1004,1,MATCH(COLUMNS($AM$1006:AR1006),$AM$1006:$BM$1006,0)))),"Fix")))</f>
        <v xml:space="preserve"> </v>
      </c>
      <c r="H927" s="4" t="str">
        <f ca="1">IF(OR(INDEX($AG$2:$AG$1001,MATCH(ROWS($AF$2:AF927),$AF$2:$AF$1001,0),1)&gt;=100000,INDEX($AM$1005:$BM$1005,1,MATCH(COLUMNS($AM$1006:AS1006),$AM$1006:$BM$1006,0))&gt;=100000), " ",IF(INDEX($AM$2:$BM$1001,MATCH(ROWS($AF$2:AF927),$AF$2:$AF$1001,0),MATCH(COLUMNS($AM$1006:AS1006),$AM$1006:$BM$1006,0)), HYPERLINK("#",""), HYPERLINK(CONCATENATE("#metadata!", ADDRESS(INDEX($AH$2:$AH$1001,MATCH(ROWS($AF$2:AF927),$AF$2:$AF$1001,0),0), INDEX($AM$1004:$BM$1004,1,MATCH(COLUMNS($AM$1006:AS1006),$AM$1006:$BM$1006,0)))),"Fix")))</f>
        <v xml:space="preserve"> </v>
      </c>
      <c r="I927" s="4" t="str">
        <f ca="1">IF(OR(INDEX($AG$2:$AG$1001,MATCH(ROWS($AF$2:AF927),$AF$2:$AF$1001,0),1)&gt;=100000,INDEX($AM$1005:$BM$1005,1,MATCH(COLUMNS($AM$1006:AT1006),$AM$1006:$BM$1006,0))&gt;=100000), " ",IF(INDEX($AM$2:$BM$1001,MATCH(ROWS($AF$2:AF927),$AF$2:$AF$1001,0),MATCH(COLUMNS($AM$1006:AT1006),$AM$1006:$BM$1006,0)), HYPERLINK("#",""), HYPERLINK(CONCATENATE("#metadata!", ADDRESS(INDEX($AH$2:$AH$1001,MATCH(ROWS($AF$2:AF927),$AF$2:$AF$1001,0),0), INDEX($AM$1004:$BM$1004,1,MATCH(COLUMNS($AM$1006:AT1006),$AM$1006:$BM$1006,0)))),"Fix")))</f>
        <v xml:space="preserve"> </v>
      </c>
      <c r="J927" s="4" t="str">
        <f ca="1">IF(OR(INDEX($AG$2:$AG$1001,MATCH(ROWS($AF$2:AF927),$AF$2:$AF$1001,0),1)&gt;=100000,INDEX($AM$1005:$BM$1005,1,MATCH(COLUMNS($AM$1006:AU1006),$AM$1006:$BM$1006,0))&gt;=100000), " ",IF(INDEX($AM$2:$BM$1001,MATCH(ROWS($AF$2:AF927),$AF$2:$AF$1001,0),MATCH(COLUMNS($AM$1006:AU1006),$AM$1006:$BM$1006,0)), HYPERLINK("#",""), HYPERLINK(CONCATENATE("#metadata!", ADDRESS(INDEX($AH$2:$AH$1001,MATCH(ROWS($AF$2:AF927),$AF$2:$AF$1001,0),0), INDEX($AM$1004:$BM$1004,1,MATCH(COLUMNS($AM$1006:AU1006),$AM$1006:$BM$1006,0)))),"Fix")))</f>
        <v xml:space="preserve"> </v>
      </c>
      <c r="K927" s="4" t="str">
        <f ca="1">IF(OR(INDEX($AG$2:$AG$1001,MATCH(ROWS($AF$2:AF927),$AF$2:$AF$1001,0),1)&gt;=100000,INDEX($AM$1005:$BM$1005,1,MATCH(COLUMNS($AM$1006:AV1006),$AM$1006:$BM$1006,0))&gt;=100000), " ",IF(INDEX($AM$2:$BM$1001,MATCH(ROWS($AF$2:AF927),$AF$2:$AF$1001,0),MATCH(COLUMNS($AM$1006:AV1006),$AM$1006:$BM$1006,0)), HYPERLINK("#",""), HYPERLINK(CONCATENATE("#metadata!", ADDRESS(INDEX($AH$2:$AH$1001,MATCH(ROWS($AF$2:AF927),$AF$2:$AF$1001,0),0), INDEX($AM$1004:$BM$1004,1,MATCH(COLUMNS($AM$1006:AV1006),$AM$1006:$BM$1006,0)))),"Fix")))</f>
        <v xml:space="preserve"> </v>
      </c>
      <c r="L927" s="4" t="str">
        <f ca="1">IF(OR(INDEX($AG$2:$AG$1001,MATCH(ROWS($AF$2:AF927),$AF$2:$AF$1001,0),1)&gt;=100000,INDEX($AM$1005:$BM$1005,1,MATCH(COLUMNS($AM$1006:AW1006),$AM$1006:$BM$1006,0))&gt;=100000), " ",IF(INDEX($AM$2:$BM$1001,MATCH(ROWS($AF$2:AF927),$AF$2:$AF$1001,0),MATCH(COLUMNS($AM$1006:AW1006),$AM$1006:$BM$1006,0)), HYPERLINK("#",""), HYPERLINK(CONCATENATE("#metadata!", ADDRESS(INDEX($AH$2:$AH$1001,MATCH(ROWS($AF$2:AF927),$AF$2:$AF$1001,0),0), INDEX($AM$1004:$BM$1004,1,MATCH(COLUMNS($AM$1006:AW1006),$AM$1006:$BM$1006,0)))),"Fix")))</f>
        <v xml:space="preserve"> </v>
      </c>
      <c r="M927" s="4" t="str">
        <f ca="1">IF(OR(INDEX($AG$2:$AG$1001,MATCH(ROWS($AF$2:AF927),$AF$2:$AF$1001,0),1)&gt;=100000,INDEX($AM$1005:$BM$1005,1,MATCH(COLUMNS($AM$1006:AX1006),$AM$1006:$BM$1006,0))&gt;=100000), " ",IF(INDEX($AM$2:$BM$1001,MATCH(ROWS($AF$2:AF927),$AF$2:$AF$1001,0),MATCH(COLUMNS($AM$1006:AX1006),$AM$1006:$BM$1006,0)), HYPERLINK("#",""), HYPERLINK(CONCATENATE("#metadata!", ADDRESS(INDEX($AH$2:$AH$1001,MATCH(ROWS($AF$2:AF927),$AF$2:$AF$1001,0),0), INDEX($AM$1004:$BM$1004,1,MATCH(COLUMNS($AM$1006:AX1006),$AM$1006:$BM$1006,0)))),"Fix")))</f>
        <v xml:space="preserve"> </v>
      </c>
      <c r="N927" s="4" t="str">
        <f ca="1">IF(OR(INDEX($AG$2:$AG$1001,MATCH(ROWS($AF$2:AF927),$AF$2:$AF$1001,0),1)&gt;=100000,INDEX($AM$1005:$BM$1005,1,MATCH(COLUMNS($AM$1006:AY1006),$AM$1006:$BM$1006,0))&gt;=100000), " ",IF(INDEX($AM$2:$BM$1001,MATCH(ROWS($AF$2:AF927),$AF$2:$AF$1001,0),MATCH(COLUMNS($AM$1006:AY1006),$AM$1006:$BM$1006,0)), HYPERLINK("#",""), HYPERLINK(CONCATENATE("#metadata!", ADDRESS(INDEX($AH$2:$AH$1001,MATCH(ROWS($AF$2:AF927),$AF$2:$AF$1001,0),0), INDEX($AM$1004:$BM$1004,1,MATCH(COLUMNS($AM$1006:AY1006),$AM$1006:$BM$1006,0)))),"Fix")))</f>
        <v xml:space="preserve"> </v>
      </c>
      <c r="O927" s="4" t="str">
        <f ca="1">IF(OR(INDEX($AG$2:$AG$1001,MATCH(ROWS($AF$2:AF927),$AF$2:$AF$1001,0),1)&gt;=100000,INDEX($AM$1005:$BM$1005,1,MATCH(COLUMNS($AM$1006:AZ1006),$AM$1006:$BM$1006,0))&gt;=100000), " ",IF(INDEX($AM$2:$BM$1001,MATCH(ROWS($AF$2:AF927),$AF$2:$AF$1001,0),MATCH(COLUMNS($AM$1006:AZ1006),$AM$1006:$BM$1006,0)), HYPERLINK("#",""), HYPERLINK(CONCATENATE("#metadata!", ADDRESS(INDEX($AH$2:$AH$1001,MATCH(ROWS($AF$2:AF927),$AF$2:$AF$1001,0),0), INDEX($AM$1004:$BM$1004,1,MATCH(COLUMNS($AM$1006:AZ1006),$AM$1006:$BM$1006,0)))),"Fix")))</f>
        <v xml:space="preserve"> </v>
      </c>
      <c r="P927" s="4" t="str">
        <f ca="1">IF(OR(INDEX($AG$2:$AG$1001,MATCH(ROWS($AF$2:AF927),$AF$2:$AF$1001,0),1)&gt;=100000,INDEX($AM$1005:$BM$1005,1,MATCH(COLUMNS($AM$1006:BA1006),$AM$1006:$BM$1006,0))&gt;=100000), " ",IF(INDEX($AM$2:$BM$1001,MATCH(ROWS($AF$2:AF927),$AF$2:$AF$1001,0),MATCH(COLUMNS($AM$1006:BA1006),$AM$1006:$BM$1006,0)), HYPERLINK("#",""), HYPERLINK(CONCATENATE("#metadata!", ADDRESS(INDEX($AH$2:$AH$1001,MATCH(ROWS($AF$2:AF927),$AF$2:$AF$1001,0),0), INDEX($AM$1004:$BM$1004,1,MATCH(COLUMNS($AM$1006:BA1006),$AM$1006:$BM$1006,0)))),"Fix")))</f>
        <v xml:space="preserve"> </v>
      </c>
      <c r="Q927" s="4" t="str">
        <f ca="1">IF(OR(INDEX($AG$2:$AG$1001,MATCH(ROWS($AF$2:AF927),$AF$2:$AF$1001,0),1)&gt;=100000,INDEX($AM$1005:$BM$1005,1,MATCH(COLUMNS($AM$1006:BB1006),$AM$1006:$BM$1006,0))&gt;=100000), " ",IF(INDEX($AM$2:$BM$1001,MATCH(ROWS($AF$2:AF927),$AF$2:$AF$1001,0),MATCH(COLUMNS($AM$1006:BB1006),$AM$1006:$BM$1006,0)), HYPERLINK("#",""), HYPERLINK(CONCATENATE("#metadata!", ADDRESS(INDEX($AH$2:$AH$1001,MATCH(ROWS($AF$2:AF927),$AF$2:$AF$1001,0),0), INDEX($AM$1004:$BM$1004,1,MATCH(COLUMNS($AM$1006:BB1006),$AM$1006:$BM$1006,0)))),"Fix")))</f>
        <v xml:space="preserve"> </v>
      </c>
      <c r="R927" s="4" t="str">
        <f ca="1">IF(OR(INDEX($AG$2:$AG$1001,MATCH(ROWS($AF$2:AF927),$AF$2:$AF$1001,0),1)&gt;=100000,INDEX($AM$1005:$BM$1005,1,MATCH(COLUMNS($AM$1006:BC1006),$AM$1006:$BM$1006,0))&gt;=100000), " ",IF(INDEX($AM$2:$BM$1001,MATCH(ROWS($AF$2:AF927),$AF$2:$AF$1001,0),MATCH(COLUMNS($AM$1006:BC1006),$AM$1006:$BM$1006,0)), HYPERLINK("#",""), HYPERLINK(CONCATENATE("#metadata!", ADDRESS(INDEX($AH$2:$AH$1001,MATCH(ROWS($AF$2:AF927),$AF$2:$AF$1001,0),0), INDEX($AM$1004:$BM$1004,1,MATCH(COLUMNS($AM$1006:BC1006),$AM$1006:$BM$1006,0)))),"Fix")))</f>
        <v xml:space="preserve"> </v>
      </c>
      <c r="S927" s="4" t="str">
        <f ca="1">IF(OR(INDEX($AG$2:$AG$1001,MATCH(ROWS($AF$2:AF927),$AF$2:$AF$1001,0),1)&gt;=100000,INDEX($AM$1005:$BM$1005,1,MATCH(COLUMNS($AM$1006:BD1006),$AM$1006:$BM$1006,0))&gt;=100000), " ",IF(INDEX($AM$2:$BM$1001,MATCH(ROWS($AF$2:AF927),$AF$2:$AF$1001,0),MATCH(COLUMNS($AM$1006:BD1006),$AM$1006:$BM$1006,0)), HYPERLINK("#",""), HYPERLINK(CONCATENATE("#metadata!", ADDRESS(INDEX($AH$2:$AH$1001,MATCH(ROWS($AF$2:AF927),$AF$2:$AF$1001,0),0), INDEX($AM$1004:$BM$1004,1,MATCH(COLUMNS($AM$1006:BD1006),$AM$1006:$BM$1006,0)))),"Fix")))</f>
        <v xml:space="preserve"> </v>
      </c>
      <c r="T927" s="4" t="str">
        <f ca="1">IF(OR(INDEX($AG$2:$AG$1001,MATCH(ROWS($AF$2:AF927),$AF$2:$AF$1001,0),1)&gt;=100000,INDEX($AM$1005:$BM$1005,1,MATCH(COLUMNS($AM$1006:BE1006),$AM$1006:$BM$1006,0))&gt;=100000), " ",IF(INDEX($AM$2:$BM$1001,MATCH(ROWS($AF$2:AF927),$AF$2:$AF$1001,0),MATCH(COLUMNS($AM$1006:BE1006),$AM$1006:$BM$1006,0)), HYPERLINK("#",""), HYPERLINK(CONCATENATE("#metadata!", ADDRESS(INDEX($AH$2:$AH$1001,MATCH(ROWS($AF$2:AF927),$AF$2:$AF$1001,0),0), INDEX($AM$1004:$BM$1004,1,MATCH(COLUMNS($AM$1006:BE1006),$AM$1006:$BM$1006,0)))),"Fix")))</f>
        <v xml:space="preserve"> </v>
      </c>
      <c r="U927" s="4" t="str">
        <f ca="1">IF(OR(INDEX($AG$2:$AG$1001,MATCH(ROWS($AF$2:AF927),$AF$2:$AF$1001,0),1)&gt;=100000,INDEX($AM$1005:$BM$1005,1,MATCH(COLUMNS($AM$1006:BF1006),$AM$1006:$BM$1006,0))&gt;=100000), " ",IF(INDEX($AM$2:$BM$1001,MATCH(ROWS($AF$2:AF927),$AF$2:$AF$1001,0),MATCH(COLUMNS($AM$1006:BF1006),$AM$1006:$BM$1006,0)), HYPERLINK("#",""), HYPERLINK(CONCATENATE("#metadata!", ADDRESS(INDEX($AH$2:$AH$1001,MATCH(ROWS($AF$2:AF927),$AF$2:$AF$1001,0),0), INDEX($AM$1004:$BM$1004,1,MATCH(COLUMNS($AM$1006:BF1006),$AM$1006:$BM$1006,0)))),"Fix")))</f>
        <v xml:space="preserve"> </v>
      </c>
      <c r="V927" s="4" t="str">
        <f ca="1">IF(OR(INDEX($AG$2:$AG$1001,MATCH(ROWS($AF$2:AF927),$AF$2:$AF$1001,0),1)&gt;=100000,INDEX($AM$1005:$BM$1005,1,MATCH(COLUMNS($AM$1006:BG1006),$AM$1006:$BM$1006,0))&gt;=100000), " ",IF(INDEX($AM$2:$BM$1001,MATCH(ROWS($AF$2:AF927),$AF$2:$AF$1001,0),MATCH(COLUMNS($AM$1006:BG1006),$AM$1006:$BM$1006,0)), HYPERLINK("#",""), HYPERLINK(CONCATENATE("#metadata!", ADDRESS(INDEX($AH$2:$AH$1001,MATCH(ROWS($AF$2:AF927),$AF$2:$AF$1001,0),0), INDEX($AM$1004:$BM$1004,1,MATCH(COLUMNS($AM$1006:BG1006),$AM$1006:$BM$1006,0)))),"Fix")))</f>
        <v xml:space="preserve"> </v>
      </c>
      <c r="W927" s="4" t="str">
        <f ca="1">IF(OR(INDEX($AG$2:$AG$1001,MATCH(ROWS($AF$2:AF927),$AF$2:$AF$1001,0),1)&gt;=100000,INDEX($AM$1005:$BM$1005,1,MATCH(COLUMNS($AM$1006:BH1006),$AM$1006:$BM$1006,0))&gt;=100000), " ",IF(INDEX($AM$2:$BM$1001,MATCH(ROWS($AF$2:AF927),$AF$2:$AF$1001,0),MATCH(COLUMNS($AM$1006:BH1006),$AM$1006:$BM$1006,0)), HYPERLINK("#",""), HYPERLINK(CONCATENATE("#metadata!", ADDRESS(INDEX($AH$2:$AH$1001,MATCH(ROWS($AF$2:AF927),$AF$2:$AF$1001,0),0), INDEX($AM$1004:$BM$1004,1,MATCH(COLUMNS($AM$1006:BH1006),$AM$1006:$BM$1006,0)))),"Fix")))</f>
        <v xml:space="preserve"> </v>
      </c>
      <c r="X927" s="4" t="str">
        <f ca="1">IF(OR(INDEX($AG$2:$AG$1001,MATCH(ROWS($AF$2:AF927),$AF$2:$AF$1001,0),1)&gt;=100000,INDEX($AM$1005:$BM$1005,1,MATCH(COLUMNS($AM$1006:BI1006),$AM$1006:$BM$1006,0))&gt;=100000), " ",IF(INDEX($AM$2:$BM$1001,MATCH(ROWS($AF$2:AF927),$AF$2:$AF$1001,0),MATCH(COLUMNS($AM$1006:BI1006),$AM$1006:$BM$1006,0)), HYPERLINK("#",""), HYPERLINK(CONCATENATE("#metadata!", ADDRESS(INDEX($AH$2:$AH$1001,MATCH(ROWS($AF$2:AF927),$AF$2:$AF$1001,0),0), INDEX($AM$1004:$BM$1004,1,MATCH(COLUMNS($AM$1006:BI1006),$AM$1006:$BM$1006,0)))),"Fix")))</f>
        <v xml:space="preserve"> </v>
      </c>
      <c r="Y927" s="4" t="str">
        <f ca="1">IF(OR(INDEX($AG$2:$AG$1001,MATCH(ROWS($AF$2:AF927),$AF$2:$AF$1001,0),1)&gt;=100000,INDEX($AM$1005:$BM$1005,1,MATCH(COLUMNS($AM$1006:BJ1006),$AM$1006:$BM$1006,0))&gt;=100000), " ",IF(INDEX($AM$2:$BM$1001,MATCH(ROWS($AF$2:AF927),$AF$2:$AF$1001,0),MATCH(COLUMNS($AM$1006:BJ1006),$AM$1006:$BM$1006,0)), HYPERLINK("#",""), HYPERLINK(CONCATENATE("#metadata!", ADDRESS(INDEX($AH$2:$AH$1001,MATCH(ROWS($AF$2:AF927),$AF$2:$AF$1001,0),0), INDEX($AM$1004:$BM$1004,1,MATCH(COLUMNS($AM$1006:BJ1006),$AM$1006:$BM$1006,0)))),"Fix")))</f>
        <v xml:space="preserve"> </v>
      </c>
      <c r="Z927" s="4" t="str">
        <f ca="1">IF(OR(INDEX($AG$2:$AG$1001,MATCH(ROWS($AF$2:AF927),$AF$2:$AF$1001,0),1)&gt;=100000,INDEX($AM$1005:$BM$1005,1,MATCH(COLUMNS($AM$1006:BK1006),$AM$1006:$BM$1006,0))&gt;=100000), " ",IF(INDEX($AM$2:$BM$1001,MATCH(ROWS($AF$2:AF927),$AF$2:$AF$1001,0),MATCH(COLUMNS($AM$1006:BK1006),$AM$1006:$BM$1006,0)), HYPERLINK("#",""), HYPERLINK(CONCATENATE("#metadata!", ADDRESS(INDEX($AH$2:$AH$1001,MATCH(ROWS($AF$2:AF927),$AF$2:$AF$1001,0),0), INDEX($AM$1004:$BM$1004,1,MATCH(COLUMNS($AM$1006:BK1006),$AM$1006:$BM$1006,0)))),"Fix")))</f>
        <v xml:space="preserve"> </v>
      </c>
      <c r="AA927" s="4" t="str">
        <f ca="1">IF(OR(INDEX($AG$2:$AG$1001,MATCH(ROWS($AF$2:AF927),$AF$2:$AF$1001,0),1)&gt;=100000,INDEX($AM$1005:$BM$1005,1,MATCH(COLUMNS($AM$1006:BL1006),$AM$1006:$BM$1006,0))&gt;=100000), " ",IF(INDEX($AM$2:$BM$1001,MATCH(ROWS($AF$2:AF927),$AF$2:$AF$1001,0),MATCH(COLUMNS($AM$1006:BL1006),$AM$1006:$BM$1006,0)), HYPERLINK("#",""), HYPERLINK(CONCATENATE("#metadata!", ADDRESS(INDEX($AH$2:$AH$1001,MATCH(ROWS($AF$2:AF927),$AF$2:$AF$1001,0),0), INDEX($AM$1004:$BM$1004,1,MATCH(COLUMNS($AM$1006:BL1006),$AM$1006:$BM$1006,0)))),"Fix")))</f>
        <v xml:space="preserve"> </v>
      </c>
      <c r="AB927" s="4" t="str">
        <f ca="1">IF(OR(INDEX($AG$2:$AG$1001,MATCH(ROWS($AF$2:AF927),$AF$2:$AF$1001,0),1)&gt;=100000,INDEX($AM$1005:$BM$1005,1,MATCH(COLUMNS($AM$1006:BM1006),$AM$1006:$BM$1006,0))&gt;=100000), " ",IF(INDEX($AM$2:$BM$1001,MATCH(ROWS($AF$2:AF927),$AF$2:$AF$1001,0),MATCH(COLUMNS($AM$1006:BM1006),$AM$1006:$BM$1006,0)), HYPERLINK("#",""), HYPERLINK(CONCATENATE("#metadata!", ADDRESS(INDEX($AH$2:$AH$1001,MATCH(ROWS($AF$2:AF927),$AF$2:$AF$1001,0),0), INDEX($AM$1004:$BM$1004,1,MATCH(COLUMNS($AM$1006:BM1006),$AM$1006:$BM$1006,0)))),"Fix")))</f>
        <v xml:space="preserve"> </v>
      </c>
      <c r="AF927">
        <v>926</v>
      </c>
      <c r="AG927">
        <v>100927</v>
      </c>
      <c r="AH927">
        <v>927</v>
      </c>
      <c r="AI927" t="b">
        <f t="shared" si="14"/>
        <v>1</v>
      </c>
      <c r="AJ927" t="b">
        <f>COUNTBLANK(metadata!B927:AB927)=COLUMNS(metadata!B927:AB927)</f>
        <v>1</v>
      </c>
      <c r="AK927" t="str">
        <v/>
      </c>
      <c r="AM927" t="b">
        <f ca="1">AND(IF(metadata!B927="",FALSE,TRUE),COUNTIF(metadata!B:B, metadata!B927) = 1,NOT(ISERROR(SUMPRODUCT(SEARCH(MID(metadata!B927,ROW(INDIRECT("1:"&amp;LEN(metadata!B927))), 1),"0123456789abcdefghijklmnopqrstuvwxyzABCDEFGHIJKLMNOPQRSTUVWXYZ.")))))</f>
        <v>0</v>
      </c>
      <c r="AN927" t="b">
        <f ca="1">OR(AND(IF(metadata!C927="",FALSE,TRUE),OR(EXACT(metadata!C927,"missing: not collected"),EXACT(metadata!C927,"missing: not provided"),EXACT(metadata!C927,"missing: restricted access"))),AND(IF(metadata!C927="",FALSE,TRUE),AND(AND(IFERROR(INT(LEFT(metadata!C927,4))&gt;1900,FALSE),IFERROR(INT(LEFT(metadata!C927,4))&lt;=YEAR(NOW()),FALSE)), OR(MID(metadata!C927,5,1)="", AND(AND(MID(metadata!C927,5,1)="-",IFERROR(INT(MID(metadata!C927,6,1))&gt;=0,FALSE),IFERROR(INT(MID(metadata!C927,6,1))&lt;=1,FALSE),NOT(MID(metadata!C927,7,1)=""),IFERROR(INT(MID(metadata!C927,6,2))&gt;=1,FALSE),IFERROR(INT(MID(metadata!C927,6,2))&lt;=12,FALSE)), OR(MID(metadata!C927,8,1)="", AND(AND(MID(metadata!C927,8,1)="-",IFERROR(INT(MID(metadata!C927,9,1))&gt;=0,FALSE),IFERROR(INT(MID(metadata!C927,9,1))&lt;=3,FALSE),NOT(MID(metadata!C927,10,1)=""),IFERROR(INT(MID(metadata!C927,9,2))&gt;=1,FALSE),IFERROR(INT(MID(metadata!C927,9,2))&lt;=31,FALSE)), OR(MID(metadata!C927,11,1)="", AND(AND(MID(metadata!C927,11,1)=" ",IFERROR(INT(MID(metadata!C927,12,1))&gt;=0,FALSE),IFERROR(INT(MID(metadata!C927,12,1))&lt;=2,FALSE),NOT(MID(metadata!C927,13,1)=""),IFERROR(INT(MID(metadata!C927,12,2))&gt;=0,FALSE),IFERROR(INT(MID(metadata!C927,12,2))&lt;=23,FALSE)), OR(MID(metadata!C927,14,1)="", AND(AND(MID(metadata!C927,14,1)=":",IFERROR(INT(MID(metadata!C927,15,1))&gt;=0,FALSE),IFERROR(INT(MID(metadata!C927,15,1))&lt;=5,FALSE),NOT(MID(metadata!C927,16,1)=""),IFERROR(INT(MID(metadata!C927,15,2))&gt;=0,FALSE),IFERROR(INT(MID(metadata!C927,15,2))&lt;=59,FALSE)), OR(MID(metadata!C927,17,1)="", AND(AND(MID(metadata!C927,17,1)=":",IFERROR(INT(MID(metadata!C927,18,1))&gt;=0,FALSE),IFERROR(INT(MID(metadata!C927,18,1))&lt;=5,FALSE),NOT(MID(metadata!C927,19,1)=""),IFERROR(INT(MID(metadata!C927,18,2))&gt;=0,FALSE),IFERROR(INT(MID(metadata!C927,18,2))&lt;=59,FALSE)), LEN(metadata!C927)&lt;=19)))))))))))))</f>
        <v>0</v>
      </c>
      <c r="AO927" t="b">
        <f>AND(IF(metadata!D927="",FALSE,TRUE),EXACT(metadata!D927,"Not applicable"))</f>
        <v>0</v>
      </c>
      <c r="AP927" t="b">
        <f>IF(metadata!E927="",FALSE,TRUE)</f>
        <v>0</v>
      </c>
      <c r="AQ927" t="b">
        <f>OR(AND(IF(metadata!F927="",FALSE,TRUE),OR(EXACT(metadata!F927,"missing: not collected"),EXACT(metadata!F927,"missing: not provided"))),AND(IF(metadata!F927="",FALSE,TRUE),OR(EXACT(metadata!F927,"TRUE"),EXACT(metadata!F927,"FALSE"))))</f>
        <v>0</v>
      </c>
      <c r="AR927" t="b">
        <f>OR(AND(IF(metadata!G927="",FALSE,TRUE),OR(EXACT(metadata!G927,"missing: not collected"),EXACT(metadata!G927,"missing: not provided"),EXACT(metadata!G927,"missing: restricted access"))),AND(IF(metadata!G927="",FALSE,ISNUMBER(VALUE(metadata!G927))),metadata!G927&gt;=-413))</f>
        <v>0</v>
      </c>
      <c r="AS927" t="b">
        <f>AND(IF(metadata!H927="",FALSE,TRUE),EXACT(metadata!H927,"meters"))</f>
        <v>0</v>
      </c>
      <c r="AT927" t="b">
        <f>AND(IF(metadata!I927="",FALSE,TRUE),OR(EXACT(metadata!I927,"Host-associated"),EXACT(metadata!I927,"Free-living")))</f>
        <v>0</v>
      </c>
      <c r="AU927" t="b">
        <f>AND(IF(metadata!J927="",FALSE,TRUE),OR(EXACT(metadata!J927,"Animal"),EXACT(metadata!J927,"Fungus"),EXACT(metadata!J927,"Plant"),EXACT(metadata!J927,"Saline"),EXACT(metadata!J927,"Non-saline")))</f>
        <v>0</v>
      </c>
      <c r="AV927" t="b">
        <f>AND(IF(metadata!K927="",FALSE,TRUE),OR(EXACT(metadata!K927,"Plant secretion"),EXACT(metadata!K927,"Plant rhizosphere"),EXACT(metadata!K927,"Plant surface"),EXACT(metadata!K927,"Plant corpus"),EXACT(metadata!K927,"Fungus surface"),EXACT(metadata!K927,"Fungus corpus"),EXACT(metadata!K927,"Animal surface"),EXACT(metadata!K927,"Animal proximal gut"),EXACT(metadata!K927,"Animal corpus"),EXACT(metadata!K927,"Animal distal gut"),EXACT(metadata!K927,"Animal secretion"),EXACT(metadata!K927,"Sub-surface (non-saline)"),EXACT(metadata!K927,"Surface (non-saline)"),EXACT(metadata!K927,"Water (non-saline)"),EXACT(metadata!K927,"Soil (non-saline)"),EXACT(metadata!K927,"Aerosol (non-saline)"),EXACT(metadata!K927,"Sediment (non-saline)"),EXACT(metadata!K927,"Surface (saline)"),EXACT(metadata!K927,"Water (saline)"),EXACT(metadata!K927,"Hypersaline (saline)"),EXACT(metadata!K927,"Aerosol (saline)"),EXACT(metadata!K927,"Sediment (saline)")))</f>
        <v>0</v>
      </c>
      <c r="AW927" t="b">
        <f>IF(metadata!L927="",FALSE,TRUE)</f>
        <v>0</v>
      </c>
      <c r="AX927" t="b">
        <f>IF(metadata!M927="",FALSE,TRUE)</f>
        <v>0</v>
      </c>
      <c r="AY927" t="b">
        <f>IF(metadata!N927="",FALSE,TRUE)</f>
        <v>0</v>
      </c>
      <c r="AZ927" t="b">
        <f>OR(AND(IF(metadata!O927="",FALSE,TRUE),OR(EXACT(metadata!O927,"missing: not collected"),EXACT(metadata!O927,"missing: not provided"),EXACT(metadata!O927,"missing: restricted access"))),AND(IF(metadata!O927="",FALSE,TRUE),OR(EXACT(metadata!O927,"air"),EXACT(metadata!O927,"built environment"),EXACT(metadata!O927,"host-associated"),EXACT(metadata!O927,"human-associated"),EXACT(metadata!O927,"human-skin"),EXACT(metadata!O927,"human-oral"),EXACT(metadata!O927,"human-gut"),EXACT(metadata!O927,"human-vaginal"),EXACT(metadata!O927,"microbial mat/biofilm"),EXACT(metadata!O927,"misc environment"),EXACT(metadata!O927,"plant-associated"),EXACT(metadata!O927,"sediment"),EXACT(metadata!O927,"soil"),EXACT(metadata!O927,"wastewater/sludge"),EXACT(metadata!O927,"water"))))</f>
        <v>0</v>
      </c>
      <c r="BA927" t="b">
        <f>IF(metadata!P927="",FALSE,TRUE)</f>
        <v>0</v>
      </c>
      <c r="BB927" t="b">
        <f>IF(metadata!Q927="",FALSE,TRUE)</f>
        <v>0</v>
      </c>
      <c r="BC927" t="b">
        <f>OR(AND(IF(metadata!R927="",FALSE,TRUE),OR(EXACT(metadata!R927,"missing: not collected"),EXACT(metadata!R927,"missing: not provided"),EXACT(metadata!R927,"missing: restricted access"))),AND(IF(metadata!R927="",FALSE,ISNUMBER(VALUE(metadata!R927))),metadata!R927&gt;=-90,metadata!R927&lt;=90))</f>
        <v>0</v>
      </c>
      <c r="BD927" t="b">
        <f>AND(IF(metadata!S927="",FALSE,TRUE),EXACT(metadata!S927,"Decimal degrees"))</f>
        <v>0</v>
      </c>
      <c r="BE927" t="b">
        <f>OR(AND(IF(metadata!T927="",FALSE,TRUE),OR(EXACT(metadata!T927,"missing: not collected"),EXACT(metadata!T927,"missing: not provided"),EXACT(metadata!T927,"missing: restricted access"))),AND(IF(metadata!T927="",FALSE,ISNUMBER(VALUE(metadata!T927))),metadata!T927&gt;=-180,metadata!T927&lt;=180))</f>
        <v>0</v>
      </c>
      <c r="BF927" t="b">
        <f>AND(IF(metadata!U927="",FALSE,TRUE),EXACT(metadata!U927,"Decimal degrees"))</f>
        <v>0</v>
      </c>
      <c r="BG927" t="b">
        <f>IF(metadata!V927="",FALSE,TRUE)</f>
        <v>0</v>
      </c>
      <c r="BH927" t="b">
        <f>OR(AND(IF(metadata!W927="",FALSE,TRUE),OR(EXACT(metadata!W927,"missing: not collected"),EXACT(metadata!W927,"missing: not provided"),EXACT(metadata!W927,"missing: restricted access"))),AND(IF(metadata!W927="",FALSE,TRUE),OR(EXACT(metadata!W927,"TRUE"),EXACT(metadata!W927,"FALSE"))))</f>
        <v>0</v>
      </c>
      <c r="BI927" t="b">
        <f>AND(IF(metadata!X927="",FALSE,TRUE),EXACT(metadata!X927,"other"))</f>
        <v>0</v>
      </c>
      <c r="BJ927" t="b">
        <f>IF(metadata!Y927="",FALSE,TRUE)</f>
        <v>0</v>
      </c>
      <c r="BK927" t="b">
        <f>OR(AND(IF(metadata!Z927="",FALSE,TRUE),OR(EXACT(metadata!Z927,"missing: not collected"),EXACT(metadata!Z927,"missing: not provided"))),AND(IF(metadata!Z927="",FALSE,IF(ISERROR(INT(metadata!Z927)),FALSE,INT(metadata!Z927)=metadata!Z927)),metadata!Z927&gt;0))</f>
        <v>0</v>
      </c>
      <c r="BL927" t="b">
        <f>AND(IF(metadata!AA927="",FALSE,TRUE),EXACT(metadata!AA927,"Not applicable"))</f>
        <v>0</v>
      </c>
      <c r="BM927" t="b">
        <f>IF(metadata!AB927="",FALSE,TRUE)</f>
        <v>0</v>
      </c>
    </row>
    <row r="928" spans="1:65" x14ac:dyDescent="0.2">
      <c r="A928" s="5" t="str">
        <f ca="1">IF(B928=" "," ",HYPERLINK(CONCATENATE("#metadata!",ADDRESS(INDEX($AH$2:$AH$1001,MATCH(ROWS($AF$2:AF928),$AF$2:$AF$1001,0),0),1)),INDEX($AK$2:$AK$1001,MATCH(ROWS($AF$2:AF928),$AF$2:$AF$1001,0),0)))</f>
        <v xml:space="preserve"> </v>
      </c>
      <c r="B928" s="4" t="str">
        <f ca="1">IF(OR(INDEX($AG$2:$AG$1001,MATCH(ROWS($AF$2:AF928),$AF$2:$AF$1001,0),1)&gt;=100000,INDEX($AM$1005:$BM$1005,1,MATCH(COLUMNS($AM$1006:AM1006),$AM$1006:$BM$1006,0))&gt;=100000), " ",IF(INDEX($AM$2:$BM$1001,MATCH(ROWS($AF$2:AF928),$AF$2:$AF$1001,0),MATCH(COLUMNS($AM$1006:AM1006),$AM$1006:$BM$1006,0)), HYPERLINK("#",""), HYPERLINK(CONCATENATE("#metadata!", ADDRESS(INDEX($AH$2:$AH$1001,MATCH(ROWS($AF$2:AF928),$AF$2:$AF$1001,0),0), INDEX($AM$1004:$BM$1004,1,MATCH(COLUMNS($AM$1006:AM1006),$AM$1006:$BM$1006,0)))),"Fix")))</f>
        <v xml:space="preserve"> </v>
      </c>
      <c r="C928" s="4" t="str">
        <f ca="1">IF(OR(INDEX($AG$2:$AG$1001,MATCH(ROWS($AF$2:AF928),$AF$2:$AF$1001,0),1)&gt;=100000,INDEX($AM$1005:$BM$1005,1,MATCH(COLUMNS($AM$1006:AN1006),$AM$1006:$BM$1006,0))&gt;=100000), " ",IF(INDEX($AM$2:$BM$1001,MATCH(ROWS($AF$2:AF928),$AF$2:$AF$1001,0),MATCH(COLUMNS($AM$1006:AN1006),$AM$1006:$BM$1006,0)), HYPERLINK("#",""), HYPERLINK(CONCATENATE("#metadata!", ADDRESS(INDEX($AH$2:$AH$1001,MATCH(ROWS($AF$2:AF928),$AF$2:$AF$1001,0),0), INDEX($AM$1004:$BM$1004,1,MATCH(COLUMNS($AM$1006:AN1006),$AM$1006:$BM$1006,0)))),"Fix")))</f>
        <v xml:space="preserve"> </v>
      </c>
      <c r="D928" s="4" t="str">
        <f ca="1">IF(OR(INDEX($AG$2:$AG$1001,MATCH(ROWS($AF$2:AF928),$AF$2:$AF$1001,0),1)&gt;=100000,INDEX($AM$1005:$BM$1005,1,MATCH(COLUMNS($AM$1006:AO1006),$AM$1006:$BM$1006,0))&gt;=100000), " ",IF(INDEX($AM$2:$BM$1001,MATCH(ROWS($AF$2:AF928),$AF$2:$AF$1001,0),MATCH(COLUMNS($AM$1006:AO1006),$AM$1006:$BM$1006,0)), HYPERLINK("#",""), HYPERLINK(CONCATENATE("#metadata!", ADDRESS(INDEX($AH$2:$AH$1001,MATCH(ROWS($AF$2:AF928),$AF$2:$AF$1001,0),0), INDEX($AM$1004:$BM$1004,1,MATCH(COLUMNS($AM$1006:AO1006),$AM$1006:$BM$1006,0)))),"Fix")))</f>
        <v xml:space="preserve"> </v>
      </c>
      <c r="E928" s="4" t="str">
        <f ca="1">IF(OR(INDEX($AG$2:$AG$1001,MATCH(ROWS($AF$2:AF928),$AF$2:$AF$1001,0),1)&gt;=100000,INDEX($AM$1005:$BM$1005,1,MATCH(COLUMNS($AM$1006:AP1006),$AM$1006:$BM$1006,0))&gt;=100000), " ",IF(INDEX($AM$2:$BM$1001,MATCH(ROWS($AF$2:AF928),$AF$2:$AF$1001,0),MATCH(COLUMNS($AM$1006:AP1006),$AM$1006:$BM$1006,0)), HYPERLINK("#",""), HYPERLINK(CONCATENATE("#metadata!", ADDRESS(INDEX($AH$2:$AH$1001,MATCH(ROWS($AF$2:AF928),$AF$2:$AF$1001,0),0), INDEX($AM$1004:$BM$1004,1,MATCH(COLUMNS($AM$1006:AP1006),$AM$1006:$BM$1006,0)))),"Fix")))</f>
        <v xml:space="preserve"> </v>
      </c>
      <c r="F928" s="4" t="str">
        <f ca="1">IF(OR(INDEX($AG$2:$AG$1001,MATCH(ROWS($AF$2:AF928),$AF$2:$AF$1001,0),1)&gt;=100000,INDEX($AM$1005:$BM$1005,1,MATCH(COLUMNS($AM$1006:AQ1006),$AM$1006:$BM$1006,0))&gt;=100000), " ",IF(INDEX($AM$2:$BM$1001,MATCH(ROWS($AF$2:AF928),$AF$2:$AF$1001,0),MATCH(COLUMNS($AM$1006:AQ1006),$AM$1006:$BM$1006,0)), HYPERLINK("#",""), HYPERLINK(CONCATENATE("#metadata!", ADDRESS(INDEX($AH$2:$AH$1001,MATCH(ROWS($AF$2:AF928),$AF$2:$AF$1001,0),0), INDEX($AM$1004:$BM$1004,1,MATCH(COLUMNS($AM$1006:AQ1006),$AM$1006:$BM$1006,0)))),"Fix")))</f>
        <v xml:space="preserve"> </v>
      </c>
      <c r="G928" s="4" t="str">
        <f ca="1">IF(OR(INDEX($AG$2:$AG$1001,MATCH(ROWS($AF$2:AF928),$AF$2:$AF$1001,0),1)&gt;=100000,INDEX($AM$1005:$BM$1005,1,MATCH(COLUMNS($AM$1006:AR1006),$AM$1006:$BM$1006,0))&gt;=100000), " ",IF(INDEX($AM$2:$BM$1001,MATCH(ROWS($AF$2:AF928),$AF$2:$AF$1001,0),MATCH(COLUMNS($AM$1006:AR1006),$AM$1006:$BM$1006,0)), HYPERLINK("#",""), HYPERLINK(CONCATENATE("#metadata!", ADDRESS(INDEX($AH$2:$AH$1001,MATCH(ROWS($AF$2:AF928),$AF$2:$AF$1001,0),0), INDEX($AM$1004:$BM$1004,1,MATCH(COLUMNS($AM$1006:AR1006),$AM$1006:$BM$1006,0)))),"Fix")))</f>
        <v xml:space="preserve"> </v>
      </c>
      <c r="H928" s="4" t="str">
        <f ca="1">IF(OR(INDEX($AG$2:$AG$1001,MATCH(ROWS($AF$2:AF928),$AF$2:$AF$1001,0),1)&gt;=100000,INDEX($AM$1005:$BM$1005,1,MATCH(COLUMNS($AM$1006:AS1006),$AM$1006:$BM$1006,0))&gt;=100000), " ",IF(INDEX($AM$2:$BM$1001,MATCH(ROWS($AF$2:AF928),$AF$2:$AF$1001,0),MATCH(COLUMNS($AM$1006:AS1006),$AM$1006:$BM$1006,0)), HYPERLINK("#",""), HYPERLINK(CONCATENATE("#metadata!", ADDRESS(INDEX($AH$2:$AH$1001,MATCH(ROWS($AF$2:AF928),$AF$2:$AF$1001,0),0), INDEX($AM$1004:$BM$1004,1,MATCH(COLUMNS($AM$1006:AS1006),$AM$1006:$BM$1006,0)))),"Fix")))</f>
        <v xml:space="preserve"> </v>
      </c>
      <c r="I928" s="4" t="str">
        <f ca="1">IF(OR(INDEX($AG$2:$AG$1001,MATCH(ROWS($AF$2:AF928),$AF$2:$AF$1001,0),1)&gt;=100000,INDEX($AM$1005:$BM$1005,1,MATCH(COLUMNS($AM$1006:AT1006),$AM$1006:$BM$1006,0))&gt;=100000), " ",IF(INDEX($AM$2:$BM$1001,MATCH(ROWS($AF$2:AF928),$AF$2:$AF$1001,0),MATCH(COLUMNS($AM$1006:AT1006),$AM$1006:$BM$1006,0)), HYPERLINK("#",""), HYPERLINK(CONCATENATE("#metadata!", ADDRESS(INDEX($AH$2:$AH$1001,MATCH(ROWS($AF$2:AF928),$AF$2:$AF$1001,0),0), INDEX($AM$1004:$BM$1004,1,MATCH(COLUMNS($AM$1006:AT1006),$AM$1006:$BM$1006,0)))),"Fix")))</f>
        <v xml:space="preserve"> </v>
      </c>
      <c r="J928" s="4" t="str">
        <f ca="1">IF(OR(INDEX($AG$2:$AG$1001,MATCH(ROWS($AF$2:AF928),$AF$2:$AF$1001,0),1)&gt;=100000,INDEX($AM$1005:$BM$1005,1,MATCH(COLUMNS($AM$1006:AU1006),$AM$1006:$BM$1006,0))&gt;=100000), " ",IF(INDEX($AM$2:$BM$1001,MATCH(ROWS($AF$2:AF928),$AF$2:$AF$1001,0),MATCH(COLUMNS($AM$1006:AU1006),$AM$1006:$BM$1006,0)), HYPERLINK("#",""), HYPERLINK(CONCATENATE("#metadata!", ADDRESS(INDEX($AH$2:$AH$1001,MATCH(ROWS($AF$2:AF928),$AF$2:$AF$1001,0),0), INDEX($AM$1004:$BM$1004,1,MATCH(COLUMNS($AM$1006:AU1006),$AM$1006:$BM$1006,0)))),"Fix")))</f>
        <v xml:space="preserve"> </v>
      </c>
      <c r="K928" s="4" t="str">
        <f ca="1">IF(OR(INDEX($AG$2:$AG$1001,MATCH(ROWS($AF$2:AF928),$AF$2:$AF$1001,0),1)&gt;=100000,INDEX($AM$1005:$BM$1005,1,MATCH(COLUMNS($AM$1006:AV1006),$AM$1006:$BM$1006,0))&gt;=100000), " ",IF(INDEX($AM$2:$BM$1001,MATCH(ROWS($AF$2:AF928),$AF$2:$AF$1001,0),MATCH(COLUMNS($AM$1006:AV1006),$AM$1006:$BM$1006,0)), HYPERLINK("#",""), HYPERLINK(CONCATENATE("#metadata!", ADDRESS(INDEX($AH$2:$AH$1001,MATCH(ROWS($AF$2:AF928),$AF$2:$AF$1001,0),0), INDEX($AM$1004:$BM$1004,1,MATCH(COLUMNS($AM$1006:AV1006),$AM$1006:$BM$1006,0)))),"Fix")))</f>
        <v xml:space="preserve"> </v>
      </c>
      <c r="L928" s="4" t="str">
        <f ca="1">IF(OR(INDEX($AG$2:$AG$1001,MATCH(ROWS($AF$2:AF928),$AF$2:$AF$1001,0),1)&gt;=100000,INDEX($AM$1005:$BM$1005,1,MATCH(COLUMNS($AM$1006:AW1006),$AM$1006:$BM$1006,0))&gt;=100000), " ",IF(INDEX($AM$2:$BM$1001,MATCH(ROWS($AF$2:AF928),$AF$2:$AF$1001,0),MATCH(COLUMNS($AM$1006:AW1006),$AM$1006:$BM$1006,0)), HYPERLINK("#",""), HYPERLINK(CONCATENATE("#metadata!", ADDRESS(INDEX($AH$2:$AH$1001,MATCH(ROWS($AF$2:AF928),$AF$2:$AF$1001,0),0), INDEX($AM$1004:$BM$1004,1,MATCH(COLUMNS($AM$1006:AW1006),$AM$1006:$BM$1006,0)))),"Fix")))</f>
        <v xml:space="preserve"> </v>
      </c>
      <c r="M928" s="4" t="str">
        <f ca="1">IF(OR(INDEX($AG$2:$AG$1001,MATCH(ROWS($AF$2:AF928),$AF$2:$AF$1001,0),1)&gt;=100000,INDEX($AM$1005:$BM$1005,1,MATCH(COLUMNS($AM$1006:AX1006),$AM$1006:$BM$1006,0))&gt;=100000), " ",IF(INDEX($AM$2:$BM$1001,MATCH(ROWS($AF$2:AF928),$AF$2:$AF$1001,0),MATCH(COLUMNS($AM$1006:AX1006),$AM$1006:$BM$1006,0)), HYPERLINK("#",""), HYPERLINK(CONCATENATE("#metadata!", ADDRESS(INDEX($AH$2:$AH$1001,MATCH(ROWS($AF$2:AF928),$AF$2:$AF$1001,0),0), INDEX($AM$1004:$BM$1004,1,MATCH(COLUMNS($AM$1006:AX1006),$AM$1006:$BM$1006,0)))),"Fix")))</f>
        <v xml:space="preserve"> </v>
      </c>
      <c r="N928" s="4" t="str">
        <f ca="1">IF(OR(INDEX($AG$2:$AG$1001,MATCH(ROWS($AF$2:AF928),$AF$2:$AF$1001,0),1)&gt;=100000,INDEX($AM$1005:$BM$1005,1,MATCH(COLUMNS($AM$1006:AY1006),$AM$1006:$BM$1006,0))&gt;=100000), " ",IF(INDEX($AM$2:$BM$1001,MATCH(ROWS($AF$2:AF928),$AF$2:$AF$1001,0),MATCH(COLUMNS($AM$1006:AY1006),$AM$1006:$BM$1006,0)), HYPERLINK("#",""), HYPERLINK(CONCATENATE("#metadata!", ADDRESS(INDEX($AH$2:$AH$1001,MATCH(ROWS($AF$2:AF928),$AF$2:$AF$1001,0),0), INDEX($AM$1004:$BM$1004,1,MATCH(COLUMNS($AM$1006:AY1006),$AM$1006:$BM$1006,0)))),"Fix")))</f>
        <v xml:space="preserve"> </v>
      </c>
      <c r="O928" s="4" t="str">
        <f ca="1">IF(OR(INDEX($AG$2:$AG$1001,MATCH(ROWS($AF$2:AF928),$AF$2:$AF$1001,0),1)&gt;=100000,INDEX($AM$1005:$BM$1005,1,MATCH(COLUMNS($AM$1006:AZ1006),$AM$1006:$BM$1006,0))&gt;=100000), " ",IF(INDEX($AM$2:$BM$1001,MATCH(ROWS($AF$2:AF928),$AF$2:$AF$1001,0),MATCH(COLUMNS($AM$1006:AZ1006),$AM$1006:$BM$1006,0)), HYPERLINK("#",""), HYPERLINK(CONCATENATE("#metadata!", ADDRESS(INDEX($AH$2:$AH$1001,MATCH(ROWS($AF$2:AF928),$AF$2:$AF$1001,0),0), INDEX($AM$1004:$BM$1004,1,MATCH(COLUMNS($AM$1006:AZ1006),$AM$1006:$BM$1006,0)))),"Fix")))</f>
        <v xml:space="preserve"> </v>
      </c>
      <c r="P928" s="4" t="str">
        <f ca="1">IF(OR(INDEX($AG$2:$AG$1001,MATCH(ROWS($AF$2:AF928),$AF$2:$AF$1001,0),1)&gt;=100000,INDEX($AM$1005:$BM$1005,1,MATCH(COLUMNS($AM$1006:BA1006),$AM$1006:$BM$1006,0))&gt;=100000), " ",IF(INDEX($AM$2:$BM$1001,MATCH(ROWS($AF$2:AF928),$AF$2:$AF$1001,0),MATCH(COLUMNS($AM$1006:BA1006),$AM$1006:$BM$1006,0)), HYPERLINK("#",""), HYPERLINK(CONCATENATE("#metadata!", ADDRESS(INDEX($AH$2:$AH$1001,MATCH(ROWS($AF$2:AF928),$AF$2:$AF$1001,0),0), INDEX($AM$1004:$BM$1004,1,MATCH(COLUMNS($AM$1006:BA1006),$AM$1006:$BM$1006,0)))),"Fix")))</f>
        <v xml:space="preserve"> </v>
      </c>
      <c r="Q928" s="4" t="str">
        <f ca="1">IF(OR(INDEX($AG$2:$AG$1001,MATCH(ROWS($AF$2:AF928),$AF$2:$AF$1001,0),1)&gt;=100000,INDEX($AM$1005:$BM$1005,1,MATCH(COLUMNS($AM$1006:BB1006),$AM$1006:$BM$1006,0))&gt;=100000), " ",IF(INDEX($AM$2:$BM$1001,MATCH(ROWS($AF$2:AF928),$AF$2:$AF$1001,0),MATCH(COLUMNS($AM$1006:BB1006),$AM$1006:$BM$1006,0)), HYPERLINK("#",""), HYPERLINK(CONCATENATE("#metadata!", ADDRESS(INDEX($AH$2:$AH$1001,MATCH(ROWS($AF$2:AF928),$AF$2:$AF$1001,0),0), INDEX($AM$1004:$BM$1004,1,MATCH(COLUMNS($AM$1006:BB1006),$AM$1006:$BM$1006,0)))),"Fix")))</f>
        <v xml:space="preserve"> </v>
      </c>
      <c r="R928" s="4" t="str">
        <f ca="1">IF(OR(INDEX($AG$2:$AG$1001,MATCH(ROWS($AF$2:AF928),$AF$2:$AF$1001,0),1)&gt;=100000,INDEX($AM$1005:$BM$1005,1,MATCH(COLUMNS($AM$1006:BC1006),$AM$1006:$BM$1006,0))&gt;=100000), " ",IF(INDEX($AM$2:$BM$1001,MATCH(ROWS($AF$2:AF928),$AF$2:$AF$1001,0),MATCH(COLUMNS($AM$1006:BC1006),$AM$1006:$BM$1006,0)), HYPERLINK("#",""), HYPERLINK(CONCATENATE("#metadata!", ADDRESS(INDEX($AH$2:$AH$1001,MATCH(ROWS($AF$2:AF928),$AF$2:$AF$1001,0),0), INDEX($AM$1004:$BM$1004,1,MATCH(COLUMNS($AM$1006:BC1006),$AM$1006:$BM$1006,0)))),"Fix")))</f>
        <v xml:space="preserve"> </v>
      </c>
      <c r="S928" s="4" t="str">
        <f ca="1">IF(OR(INDEX($AG$2:$AG$1001,MATCH(ROWS($AF$2:AF928),$AF$2:$AF$1001,0),1)&gt;=100000,INDEX($AM$1005:$BM$1005,1,MATCH(COLUMNS($AM$1006:BD1006),$AM$1006:$BM$1006,0))&gt;=100000), " ",IF(INDEX($AM$2:$BM$1001,MATCH(ROWS($AF$2:AF928),$AF$2:$AF$1001,0),MATCH(COLUMNS($AM$1006:BD1006),$AM$1006:$BM$1006,0)), HYPERLINK("#",""), HYPERLINK(CONCATENATE("#metadata!", ADDRESS(INDEX($AH$2:$AH$1001,MATCH(ROWS($AF$2:AF928),$AF$2:$AF$1001,0),0), INDEX($AM$1004:$BM$1004,1,MATCH(COLUMNS($AM$1006:BD1006),$AM$1006:$BM$1006,0)))),"Fix")))</f>
        <v xml:space="preserve"> </v>
      </c>
      <c r="T928" s="4" t="str">
        <f ca="1">IF(OR(INDEX($AG$2:$AG$1001,MATCH(ROWS($AF$2:AF928),$AF$2:$AF$1001,0),1)&gt;=100000,INDEX($AM$1005:$BM$1005,1,MATCH(COLUMNS($AM$1006:BE1006),$AM$1006:$BM$1006,0))&gt;=100000), " ",IF(INDEX($AM$2:$BM$1001,MATCH(ROWS($AF$2:AF928),$AF$2:$AF$1001,0),MATCH(COLUMNS($AM$1006:BE1006),$AM$1006:$BM$1006,0)), HYPERLINK("#",""), HYPERLINK(CONCATENATE("#metadata!", ADDRESS(INDEX($AH$2:$AH$1001,MATCH(ROWS($AF$2:AF928),$AF$2:$AF$1001,0),0), INDEX($AM$1004:$BM$1004,1,MATCH(COLUMNS($AM$1006:BE1006),$AM$1006:$BM$1006,0)))),"Fix")))</f>
        <v xml:space="preserve"> </v>
      </c>
      <c r="U928" s="4" t="str">
        <f ca="1">IF(OR(INDEX($AG$2:$AG$1001,MATCH(ROWS($AF$2:AF928),$AF$2:$AF$1001,0),1)&gt;=100000,INDEX($AM$1005:$BM$1005,1,MATCH(COLUMNS($AM$1006:BF1006),$AM$1006:$BM$1006,0))&gt;=100000), " ",IF(INDEX($AM$2:$BM$1001,MATCH(ROWS($AF$2:AF928),$AF$2:$AF$1001,0),MATCH(COLUMNS($AM$1006:BF1006),$AM$1006:$BM$1006,0)), HYPERLINK("#",""), HYPERLINK(CONCATENATE("#metadata!", ADDRESS(INDEX($AH$2:$AH$1001,MATCH(ROWS($AF$2:AF928),$AF$2:$AF$1001,0),0), INDEX($AM$1004:$BM$1004,1,MATCH(COLUMNS($AM$1006:BF1006),$AM$1006:$BM$1006,0)))),"Fix")))</f>
        <v xml:space="preserve"> </v>
      </c>
      <c r="V928" s="4" t="str">
        <f ca="1">IF(OR(INDEX($AG$2:$AG$1001,MATCH(ROWS($AF$2:AF928),$AF$2:$AF$1001,0),1)&gt;=100000,INDEX($AM$1005:$BM$1005,1,MATCH(COLUMNS($AM$1006:BG1006),$AM$1006:$BM$1006,0))&gt;=100000), " ",IF(INDEX($AM$2:$BM$1001,MATCH(ROWS($AF$2:AF928),$AF$2:$AF$1001,0),MATCH(COLUMNS($AM$1006:BG1006),$AM$1006:$BM$1006,0)), HYPERLINK("#",""), HYPERLINK(CONCATENATE("#metadata!", ADDRESS(INDEX($AH$2:$AH$1001,MATCH(ROWS($AF$2:AF928),$AF$2:$AF$1001,0),0), INDEX($AM$1004:$BM$1004,1,MATCH(COLUMNS($AM$1006:BG1006),$AM$1006:$BM$1006,0)))),"Fix")))</f>
        <v xml:space="preserve"> </v>
      </c>
      <c r="W928" s="4" t="str">
        <f ca="1">IF(OR(INDEX($AG$2:$AG$1001,MATCH(ROWS($AF$2:AF928),$AF$2:$AF$1001,0),1)&gt;=100000,INDEX($AM$1005:$BM$1005,1,MATCH(COLUMNS($AM$1006:BH1006),$AM$1006:$BM$1006,0))&gt;=100000), " ",IF(INDEX($AM$2:$BM$1001,MATCH(ROWS($AF$2:AF928),$AF$2:$AF$1001,0),MATCH(COLUMNS($AM$1006:BH1006),$AM$1006:$BM$1006,0)), HYPERLINK("#",""), HYPERLINK(CONCATENATE("#metadata!", ADDRESS(INDEX($AH$2:$AH$1001,MATCH(ROWS($AF$2:AF928),$AF$2:$AF$1001,0),0), INDEX($AM$1004:$BM$1004,1,MATCH(COLUMNS($AM$1006:BH1006),$AM$1006:$BM$1006,0)))),"Fix")))</f>
        <v xml:space="preserve"> </v>
      </c>
      <c r="X928" s="4" t="str">
        <f ca="1">IF(OR(INDEX($AG$2:$AG$1001,MATCH(ROWS($AF$2:AF928),$AF$2:$AF$1001,0),1)&gt;=100000,INDEX($AM$1005:$BM$1005,1,MATCH(COLUMNS($AM$1006:BI1006),$AM$1006:$BM$1006,0))&gt;=100000), " ",IF(INDEX($AM$2:$BM$1001,MATCH(ROWS($AF$2:AF928),$AF$2:$AF$1001,0),MATCH(COLUMNS($AM$1006:BI1006),$AM$1006:$BM$1006,0)), HYPERLINK("#",""), HYPERLINK(CONCATENATE("#metadata!", ADDRESS(INDEX($AH$2:$AH$1001,MATCH(ROWS($AF$2:AF928),$AF$2:$AF$1001,0),0), INDEX($AM$1004:$BM$1004,1,MATCH(COLUMNS($AM$1006:BI1006),$AM$1006:$BM$1006,0)))),"Fix")))</f>
        <v xml:space="preserve"> </v>
      </c>
      <c r="Y928" s="4" t="str">
        <f ca="1">IF(OR(INDEX($AG$2:$AG$1001,MATCH(ROWS($AF$2:AF928),$AF$2:$AF$1001,0),1)&gt;=100000,INDEX($AM$1005:$BM$1005,1,MATCH(COLUMNS($AM$1006:BJ1006),$AM$1006:$BM$1006,0))&gt;=100000), " ",IF(INDEX($AM$2:$BM$1001,MATCH(ROWS($AF$2:AF928),$AF$2:$AF$1001,0),MATCH(COLUMNS($AM$1006:BJ1006),$AM$1006:$BM$1006,0)), HYPERLINK("#",""), HYPERLINK(CONCATENATE("#metadata!", ADDRESS(INDEX($AH$2:$AH$1001,MATCH(ROWS($AF$2:AF928),$AF$2:$AF$1001,0),0), INDEX($AM$1004:$BM$1004,1,MATCH(COLUMNS($AM$1006:BJ1006),$AM$1006:$BM$1006,0)))),"Fix")))</f>
        <v xml:space="preserve"> </v>
      </c>
      <c r="Z928" s="4" t="str">
        <f ca="1">IF(OR(INDEX($AG$2:$AG$1001,MATCH(ROWS($AF$2:AF928),$AF$2:$AF$1001,0),1)&gt;=100000,INDEX($AM$1005:$BM$1005,1,MATCH(COLUMNS($AM$1006:BK1006),$AM$1006:$BM$1006,0))&gt;=100000), " ",IF(INDEX($AM$2:$BM$1001,MATCH(ROWS($AF$2:AF928),$AF$2:$AF$1001,0),MATCH(COLUMNS($AM$1006:BK1006),$AM$1006:$BM$1006,0)), HYPERLINK("#",""), HYPERLINK(CONCATENATE("#metadata!", ADDRESS(INDEX($AH$2:$AH$1001,MATCH(ROWS($AF$2:AF928),$AF$2:$AF$1001,0),0), INDEX($AM$1004:$BM$1004,1,MATCH(COLUMNS($AM$1006:BK1006),$AM$1006:$BM$1006,0)))),"Fix")))</f>
        <v xml:space="preserve"> </v>
      </c>
      <c r="AA928" s="4" t="str">
        <f ca="1">IF(OR(INDEX($AG$2:$AG$1001,MATCH(ROWS($AF$2:AF928),$AF$2:$AF$1001,0),1)&gt;=100000,INDEX($AM$1005:$BM$1005,1,MATCH(COLUMNS($AM$1006:BL1006),$AM$1006:$BM$1006,0))&gt;=100000), " ",IF(INDEX($AM$2:$BM$1001,MATCH(ROWS($AF$2:AF928),$AF$2:$AF$1001,0),MATCH(COLUMNS($AM$1006:BL1006),$AM$1006:$BM$1006,0)), HYPERLINK("#",""), HYPERLINK(CONCATENATE("#metadata!", ADDRESS(INDEX($AH$2:$AH$1001,MATCH(ROWS($AF$2:AF928),$AF$2:$AF$1001,0),0), INDEX($AM$1004:$BM$1004,1,MATCH(COLUMNS($AM$1006:BL1006),$AM$1006:$BM$1006,0)))),"Fix")))</f>
        <v xml:space="preserve"> </v>
      </c>
      <c r="AB928" s="4" t="str">
        <f ca="1">IF(OR(INDEX($AG$2:$AG$1001,MATCH(ROWS($AF$2:AF928),$AF$2:$AF$1001,0),1)&gt;=100000,INDEX($AM$1005:$BM$1005,1,MATCH(COLUMNS($AM$1006:BM1006),$AM$1006:$BM$1006,0))&gt;=100000), " ",IF(INDEX($AM$2:$BM$1001,MATCH(ROWS($AF$2:AF928),$AF$2:$AF$1001,0),MATCH(COLUMNS($AM$1006:BM1006),$AM$1006:$BM$1006,0)), HYPERLINK("#",""), HYPERLINK(CONCATENATE("#metadata!", ADDRESS(INDEX($AH$2:$AH$1001,MATCH(ROWS($AF$2:AF928),$AF$2:$AF$1001,0),0), INDEX($AM$1004:$BM$1004,1,MATCH(COLUMNS($AM$1006:BM1006),$AM$1006:$BM$1006,0)))),"Fix")))</f>
        <v xml:space="preserve"> </v>
      </c>
      <c r="AF928">
        <v>927</v>
      </c>
      <c r="AG928">
        <v>100928</v>
      </c>
      <c r="AH928">
        <v>928</v>
      </c>
      <c r="AI928" t="b">
        <f t="shared" si="14"/>
        <v>1</v>
      </c>
      <c r="AJ928" t="b">
        <f>COUNTBLANK(metadata!B928:AB928)=COLUMNS(metadata!B928:AB928)</f>
        <v>1</v>
      </c>
      <c r="AK928" t="str">
        <v/>
      </c>
      <c r="AM928" t="b">
        <f ca="1">AND(IF(metadata!B928="",FALSE,TRUE),COUNTIF(metadata!B:B, metadata!B928) = 1,NOT(ISERROR(SUMPRODUCT(SEARCH(MID(metadata!B928,ROW(INDIRECT("1:"&amp;LEN(metadata!B928))), 1),"0123456789abcdefghijklmnopqrstuvwxyzABCDEFGHIJKLMNOPQRSTUVWXYZ.")))))</f>
        <v>0</v>
      </c>
      <c r="AN928" t="b">
        <f ca="1">OR(AND(IF(metadata!C928="",FALSE,TRUE),OR(EXACT(metadata!C928,"missing: not collected"),EXACT(metadata!C928,"missing: not provided"),EXACT(metadata!C928,"missing: restricted access"))),AND(IF(metadata!C928="",FALSE,TRUE),AND(AND(IFERROR(INT(LEFT(metadata!C928,4))&gt;1900,FALSE),IFERROR(INT(LEFT(metadata!C928,4))&lt;=YEAR(NOW()),FALSE)), OR(MID(metadata!C928,5,1)="", AND(AND(MID(metadata!C928,5,1)="-",IFERROR(INT(MID(metadata!C928,6,1))&gt;=0,FALSE),IFERROR(INT(MID(metadata!C928,6,1))&lt;=1,FALSE),NOT(MID(metadata!C928,7,1)=""),IFERROR(INT(MID(metadata!C928,6,2))&gt;=1,FALSE),IFERROR(INT(MID(metadata!C928,6,2))&lt;=12,FALSE)), OR(MID(metadata!C928,8,1)="", AND(AND(MID(metadata!C928,8,1)="-",IFERROR(INT(MID(metadata!C928,9,1))&gt;=0,FALSE),IFERROR(INT(MID(metadata!C928,9,1))&lt;=3,FALSE),NOT(MID(metadata!C928,10,1)=""),IFERROR(INT(MID(metadata!C928,9,2))&gt;=1,FALSE),IFERROR(INT(MID(metadata!C928,9,2))&lt;=31,FALSE)), OR(MID(metadata!C928,11,1)="", AND(AND(MID(metadata!C928,11,1)=" ",IFERROR(INT(MID(metadata!C928,12,1))&gt;=0,FALSE),IFERROR(INT(MID(metadata!C928,12,1))&lt;=2,FALSE),NOT(MID(metadata!C928,13,1)=""),IFERROR(INT(MID(metadata!C928,12,2))&gt;=0,FALSE),IFERROR(INT(MID(metadata!C928,12,2))&lt;=23,FALSE)), OR(MID(metadata!C928,14,1)="", AND(AND(MID(metadata!C928,14,1)=":",IFERROR(INT(MID(metadata!C928,15,1))&gt;=0,FALSE),IFERROR(INT(MID(metadata!C928,15,1))&lt;=5,FALSE),NOT(MID(metadata!C928,16,1)=""),IFERROR(INT(MID(metadata!C928,15,2))&gt;=0,FALSE),IFERROR(INT(MID(metadata!C928,15,2))&lt;=59,FALSE)), OR(MID(metadata!C928,17,1)="", AND(AND(MID(metadata!C928,17,1)=":",IFERROR(INT(MID(metadata!C928,18,1))&gt;=0,FALSE),IFERROR(INT(MID(metadata!C928,18,1))&lt;=5,FALSE),NOT(MID(metadata!C928,19,1)=""),IFERROR(INT(MID(metadata!C928,18,2))&gt;=0,FALSE),IFERROR(INT(MID(metadata!C928,18,2))&lt;=59,FALSE)), LEN(metadata!C928)&lt;=19)))))))))))))</f>
        <v>0</v>
      </c>
      <c r="AO928" t="b">
        <f>AND(IF(metadata!D928="",FALSE,TRUE),EXACT(metadata!D928,"Not applicable"))</f>
        <v>0</v>
      </c>
      <c r="AP928" t="b">
        <f>IF(metadata!E928="",FALSE,TRUE)</f>
        <v>0</v>
      </c>
      <c r="AQ928" t="b">
        <f>OR(AND(IF(metadata!F928="",FALSE,TRUE),OR(EXACT(metadata!F928,"missing: not collected"),EXACT(metadata!F928,"missing: not provided"))),AND(IF(metadata!F928="",FALSE,TRUE),OR(EXACT(metadata!F928,"TRUE"),EXACT(metadata!F928,"FALSE"))))</f>
        <v>0</v>
      </c>
      <c r="AR928" t="b">
        <f>OR(AND(IF(metadata!G928="",FALSE,TRUE),OR(EXACT(metadata!G928,"missing: not collected"),EXACT(metadata!G928,"missing: not provided"),EXACT(metadata!G928,"missing: restricted access"))),AND(IF(metadata!G928="",FALSE,ISNUMBER(VALUE(metadata!G928))),metadata!G928&gt;=-413))</f>
        <v>0</v>
      </c>
      <c r="AS928" t="b">
        <f>AND(IF(metadata!H928="",FALSE,TRUE),EXACT(metadata!H928,"meters"))</f>
        <v>0</v>
      </c>
      <c r="AT928" t="b">
        <f>AND(IF(metadata!I928="",FALSE,TRUE),OR(EXACT(metadata!I928,"Host-associated"),EXACT(metadata!I928,"Free-living")))</f>
        <v>0</v>
      </c>
      <c r="AU928" t="b">
        <f>AND(IF(metadata!J928="",FALSE,TRUE),OR(EXACT(metadata!J928,"Animal"),EXACT(metadata!J928,"Fungus"),EXACT(metadata!J928,"Plant"),EXACT(metadata!J928,"Saline"),EXACT(metadata!J928,"Non-saline")))</f>
        <v>0</v>
      </c>
      <c r="AV928" t="b">
        <f>AND(IF(metadata!K928="",FALSE,TRUE),OR(EXACT(metadata!K928,"Plant secretion"),EXACT(metadata!K928,"Plant rhizosphere"),EXACT(metadata!K928,"Plant surface"),EXACT(metadata!K928,"Plant corpus"),EXACT(metadata!K928,"Fungus surface"),EXACT(metadata!K928,"Fungus corpus"),EXACT(metadata!K928,"Animal surface"),EXACT(metadata!K928,"Animal proximal gut"),EXACT(metadata!K928,"Animal corpus"),EXACT(metadata!K928,"Animal distal gut"),EXACT(metadata!K928,"Animal secretion"),EXACT(metadata!K928,"Sub-surface (non-saline)"),EXACT(metadata!K928,"Surface (non-saline)"),EXACT(metadata!K928,"Water (non-saline)"),EXACT(metadata!K928,"Soil (non-saline)"),EXACT(metadata!K928,"Aerosol (non-saline)"),EXACT(metadata!K928,"Sediment (non-saline)"),EXACT(metadata!K928,"Surface (saline)"),EXACT(metadata!K928,"Water (saline)"),EXACT(metadata!K928,"Hypersaline (saline)"),EXACT(metadata!K928,"Aerosol (saline)"),EXACT(metadata!K928,"Sediment (saline)")))</f>
        <v>0</v>
      </c>
      <c r="AW928" t="b">
        <f>IF(metadata!L928="",FALSE,TRUE)</f>
        <v>0</v>
      </c>
      <c r="AX928" t="b">
        <f>IF(metadata!M928="",FALSE,TRUE)</f>
        <v>0</v>
      </c>
      <c r="AY928" t="b">
        <f>IF(metadata!N928="",FALSE,TRUE)</f>
        <v>0</v>
      </c>
      <c r="AZ928" t="b">
        <f>OR(AND(IF(metadata!O928="",FALSE,TRUE),OR(EXACT(metadata!O928,"missing: not collected"),EXACT(metadata!O928,"missing: not provided"),EXACT(metadata!O928,"missing: restricted access"))),AND(IF(metadata!O928="",FALSE,TRUE),OR(EXACT(metadata!O928,"air"),EXACT(metadata!O928,"built environment"),EXACT(metadata!O928,"host-associated"),EXACT(metadata!O928,"human-associated"),EXACT(metadata!O928,"human-skin"),EXACT(metadata!O928,"human-oral"),EXACT(metadata!O928,"human-gut"),EXACT(metadata!O928,"human-vaginal"),EXACT(metadata!O928,"microbial mat/biofilm"),EXACT(metadata!O928,"misc environment"),EXACT(metadata!O928,"plant-associated"),EXACT(metadata!O928,"sediment"),EXACT(metadata!O928,"soil"),EXACT(metadata!O928,"wastewater/sludge"),EXACT(metadata!O928,"water"))))</f>
        <v>0</v>
      </c>
      <c r="BA928" t="b">
        <f>IF(metadata!P928="",FALSE,TRUE)</f>
        <v>0</v>
      </c>
      <c r="BB928" t="b">
        <f>IF(metadata!Q928="",FALSE,TRUE)</f>
        <v>0</v>
      </c>
      <c r="BC928" t="b">
        <f>OR(AND(IF(metadata!R928="",FALSE,TRUE),OR(EXACT(metadata!R928,"missing: not collected"),EXACT(metadata!R928,"missing: not provided"),EXACT(metadata!R928,"missing: restricted access"))),AND(IF(metadata!R928="",FALSE,ISNUMBER(VALUE(metadata!R928))),metadata!R928&gt;=-90,metadata!R928&lt;=90))</f>
        <v>0</v>
      </c>
      <c r="BD928" t="b">
        <f>AND(IF(metadata!S928="",FALSE,TRUE),EXACT(metadata!S928,"Decimal degrees"))</f>
        <v>0</v>
      </c>
      <c r="BE928" t="b">
        <f>OR(AND(IF(metadata!T928="",FALSE,TRUE),OR(EXACT(metadata!T928,"missing: not collected"),EXACT(metadata!T928,"missing: not provided"),EXACT(metadata!T928,"missing: restricted access"))),AND(IF(metadata!T928="",FALSE,ISNUMBER(VALUE(metadata!T928))),metadata!T928&gt;=-180,metadata!T928&lt;=180))</f>
        <v>0</v>
      </c>
      <c r="BF928" t="b">
        <f>AND(IF(metadata!U928="",FALSE,TRUE),EXACT(metadata!U928,"Decimal degrees"))</f>
        <v>0</v>
      </c>
      <c r="BG928" t="b">
        <f>IF(metadata!V928="",FALSE,TRUE)</f>
        <v>0</v>
      </c>
      <c r="BH928" t="b">
        <f>OR(AND(IF(metadata!W928="",FALSE,TRUE),OR(EXACT(metadata!W928,"missing: not collected"),EXACT(metadata!W928,"missing: not provided"),EXACT(metadata!W928,"missing: restricted access"))),AND(IF(metadata!W928="",FALSE,TRUE),OR(EXACT(metadata!W928,"TRUE"),EXACT(metadata!W928,"FALSE"))))</f>
        <v>0</v>
      </c>
      <c r="BI928" t="b">
        <f>AND(IF(metadata!X928="",FALSE,TRUE),EXACT(metadata!X928,"other"))</f>
        <v>0</v>
      </c>
      <c r="BJ928" t="b">
        <f>IF(metadata!Y928="",FALSE,TRUE)</f>
        <v>0</v>
      </c>
      <c r="BK928" t="b">
        <f>OR(AND(IF(metadata!Z928="",FALSE,TRUE),OR(EXACT(metadata!Z928,"missing: not collected"),EXACT(metadata!Z928,"missing: not provided"))),AND(IF(metadata!Z928="",FALSE,IF(ISERROR(INT(metadata!Z928)),FALSE,INT(metadata!Z928)=metadata!Z928)),metadata!Z928&gt;0))</f>
        <v>0</v>
      </c>
      <c r="BL928" t="b">
        <f>AND(IF(metadata!AA928="",FALSE,TRUE),EXACT(metadata!AA928,"Not applicable"))</f>
        <v>0</v>
      </c>
      <c r="BM928" t="b">
        <f>IF(metadata!AB928="",FALSE,TRUE)</f>
        <v>0</v>
      </c>
    </row>
    <row r="929" spans="1:65" x14ac:dyDescent="0.2">
      <c r="A929" s="5" t="str">
        <f ca="1">IF(B929=" "," ",HYPERLINK(CONCATENATE("#metadata!",ADDRESS(INDEX($AH$2:$AH$1001,MATCH(ROWS($AF$2:AF929),$AF$2:$AF$1001,0),0),1)),INDEX($AK$2:$AK$1001,MATCH(ROWS($AF$2:AF929),$AF$2:$AF$1001,0),0)))</f>
        <v xml:space="preserve"> </v>
      </c>
      <c r="B929" s="4" t="str">
        <f ca="1">IF(OR(INDEX($AG$2:$AG$1001,MATCH(ROWS($AF$2:AF929),$AF$2:$AF$1001,0),1)&gt;=100000,INDEX($AM$1005:$BM$1005,1,MATCH(COLUMNS($AM$1006:AM1006),$AM$1006:$BM$1006,0))&gt;=100000), " ",IF(INDEX($AM$2:$BM$1001,MATCH(ROWS($AF$2:AF929),$AF$2:$AF$1001,0),MATCH(COLUMNS($AM$1006:AM1006),$AM$1006:$BM$1006,0)), HYPERLINK("#",""), HYPERLINK(CONCATENATE("#metadata!", ADDRESS(INDEX($AH$2:$AH$1001,MATCH(ROWS($AF$2:AF929),$AF$2:$AF$1001,0),0), INDEX($AM$1004:$BM$1004,1,MATCH(COLUMNS($AM$1006:AM1006),$AM$1006:$BM$1006,0)))),"Fix")))</f>
        <v xml:space="preserve"> </v>
      </c>
      <c r="C929" s="4" t="str">
        <f ca="1">IF(OR(INDEX($AG$2:$AG$1001,MATCH(ROWS($AF$2:AF929),$AF$2:$AF$1001,0),1)&gt;=100000,INDEX($AM$1005:$BM$1005,1,MATCH(COLUMNS($AM$1006:AN1006),$AM$1006:$BM$1006,0))&gt;=100000), " ",IF(INDEX($AM$2:$BM$1001,MATCH(ROWS($AF$2:AF929),$AF$2:$AF$1001,0),MATCH(COLUMNS($AM$1006:AN1006),$AM$1006:$BM$1006,0)), HYPERLINK("#",""), HYPERLINK(CONCATENATE("#metadata!", ADDRESS(INDEX($AH$2:$AH$1001,MATCH(ROWS($AF$2:AF929),$AF$2:$AF$1001,0),0), INDEX($AM$1004:$BM$1004,1,MATCH(COLUMNS($AM$1006:AN1006),$AM$1006:$BM$1006,0)))),"Fix")))</f>
        <v xml:space="preserve"> </v>
      </c>
      <c r="D929" s="4" t="str">
        <f ca="1">IF(OR(INDEX($AG$2:$AG$1001,MATCH(ROWS($AF$2:AF929),$AF$2:$AF$1001,0),1)&gt;=100000,INDEX($AM$1005:$BM$1005,1,MATCH(COLUMNS($AM$1006:AO1006),$AM$1006:$BM$1006,0))&gt;=100000), " ",IF(INDEX($AM$2:$BM$1001,MATCH(ROWS($AF$2:AF929),$AF$2:$AF$1001,0),MATCH(COLUMNS($AM$1006:AO1006),$AM$1006:$BM$1006,0)), HYPERLINK("#",""), HYPERLINK(CONCATENATE("#metadata!", ADDRESS(INDEX($AH$2:$AH$1001,MATCH(ROWS($AF$2:AF929),$AF$2:$AF$1001,0),0), INDEX($AM$1004:$BM$1004,1,MATCH(COLUMNS($AM$1006:AO1006),$AM$1006:$BM$1006,0)))),"Fix")))</f>
        <v xml:space="preserve"> </v>
      </c>
      <c r="E929" s="4" t="str">
        <f ca="1">IF(OR(INDEX($AG$2:$AG$1001,MATCH(ROWS($AF$2:AF929),$AF$2:$AF$1001,0),1)&gt;=100000,INDEX($AM$1005:$BM$1005,1,MATCH(COLUMNS($AM$1006:AP1006),$AM$1006:$BM$1006,0))&gt;=100000), " ",IF(INDEX($AM$2:$BM$1001,MATCH(ROWS($AF$2:AF929),$AF$2:$AF$1001,0),MATCH(COLUMNS($AM$1006:AP1006),$AM$1006:$BM$1006,0)), HYPERLINK("#",""), HYPERLINK(CONCATENATE("#metadata!", ADDRESS(INDEX($AH$2:$AH$1001,MATCH(ROWS($AF$2:AF929),$AF$2:$AF$1001,0),0), INDEX($AM$1004:$BM$1004,1,MATCH(COLUMNS($AM$1006:AP1006),$AM$1006:$BM$1006,0)))),"Fix")))</f>
        <v xml:space="preserve"> </v>
      </c>
      <c r="F929" s="4" t="str">
        <f ca="1">IF(OR(INDEX($AG$2:$AG$1001,MATCH(ROWS($AF$2:AF929),$AF$2:$AF$1001,0),1)&gt;=100000,INDEX($AM$1005:$BM$1005,1,MATCH(COLUMNS($AM$1006:AQ1006),$AM$1006:$BM$1006,0))&gt;=100000), " ",IF(INDEX($AM$2:$BM$1001,MATCH(ROWS($AF$2:AF929),$AF$2:$AF$1001,0),MATCH(COLUMNS($AM$1006:AQ1006),$AM$1006:$BM$1006,0)), HYPERLINK("#",""), HYPERLINK(CONCATENATE("#metadata!", ADDRESS(INDEX($AH$2:$AH$1001,MATCH(ROWS($AF$2:AF929),$AF$2:$AF$1001,0),0), INDEX($AM$1004:$BM$1004,1,MATCH(COLUMNS($AM$1006:AQ1006),$AM$1006:$BM$1006,0)))),"Fix")))</f>
        <v xml:space="preserve"> </v>
      </c>
      <c r="G929" s="4" t="str">
        <f ca="1">IF(OR(INDEX($AG$2:$AG$1001,MATCH(ROWS($AF$2:AF929),$AF$2:$AF$1001,0),1)&gt;=100000,INDEX($AM$1005:$BM$1005,1,MATCH(COLUMNS($AM$1006:AR1006),$AM$1006:$BM$1006,0))&gt;=100000), " ",IF(INDEX($AM$2:$BM$1001,MATCH(ROWS($AF$2:AF929),$AF$2:$AF$1001,0),MATCH(COLUMNS($AM$1006:AR1006),$AM$1006:$BM$1006,0)), HYPERLINK("#",""), HYPERLINK(CONCATENATE("#metadata!", ADDRESS(INDEX($AH$2:$AH$1001,MATCH(ROWS($AF$2:AF929),$AF$2:$AF$1001,0),0), INDEX($AM$1004:$BM$1004,1,MATCH(COLUMNS($AM$1006:AR1006),$AM$1006:$BM$1006,0)))),"Fix")))</f>
        <v xml:space="preserve"> </v>
      </c>
      <c r="H929" s="4" t="str">
        <f ca="1">IF(OR(INDEX($AG$2:$AG$1001,MATCH(ROWS($AF$2:AF929),$AF$2:$AF$1001,0),1)&gt;=100000,INDEX($AM$1005:$BM$1005,1,MATCH(COLUMNS($AM$1006:AS1006),$AM$1006:$BM$1006,0))&gt;=100000), " ",IF(INDEX($AM$2:$BM$1001,MATCH(ROWS($AF$2:AF929),$AF$2:$AF$1001,0),MATCH(COLUMNS($AM$1006:AS1006),$AM$1006:$BM$1006,0)), HYPERLINK("#",""), HYPERLINK(CONCATENATE("#metadata!", ADDRESS(INDEX($AH$2:$AH$1001,MATCH(ROWS($AF$2:AF929),$AF$2:$AF$1001,0),0), INDEX($AM$1004:$BM$1004,1,MATCH(COLUMNS($AM$1006:AS1006),$AM$1006:$BM$1006,0)))),"Fix")))</f>
        <v xml:space="preserve"> </v>
      </c>
      <c r="I929" s="4" t="str">
        <f ca="1">IF(OR(INDEX($AG$2:$AG$1001,MATCH(ROWS($AF$2:AF929),$AF$2:$AF$1001,0),1)&gt;=100000,INDEX($AM$1005:$BM$1005,1,MATCH(COLUMNS($AM$1006:AT1006),$AM$1006:$BM$1006,0))&gt;=100000), " ",IF(INDEX($AM$2:$BM$1001,MATCH(ROWS($AF$2:AF929),$AF$2:$AF$1001,0),MATCH(COLUMNS($AM$1006:AT1006),$AM$1006:$BM$1006,0)), HYPERLINK("#",""), HYPERLINK(CONCATENATE("#metadata!", ADDRESS(INDEX($AH$2:$AH$1001,MATCH(ROWS($AF$2:AF929),$AF$2:$AF$1001,0),0), INDEX($AM$1004:$BM$1004,1,MATCH(COLUMNS($AM$1006:AT1006),$AM$1006:$BM$1006,0)))),"Fix")))</f>
        <v xml:space="preserve"> </v>
      </c>
      <c r="J929" s="4" t="str">
        <f ca="1">IF(OR(INDEX($AG$2:$AG$1001,MATCH(ROWS($AF$2:AF929),$AF$2:$AF$1001,0),1)&gt;=100000,INDEX($AM$1005:$BM$1005,1,MATCH(COLUMNS($AM$1006:AU1006),$AM$1006:$BM$1006,0))&gt;=100000), " ",IF(INDEX($AM$2:$BM$1001,MATCH(ROWS($AF$2:AF929),$AF$2:$AF$1001,0),MATCH(COLUMNS($AM$1006:AU1006),$AM$1006:$BM$1006,0)), HYPERLINK("#",""), HYPERLINK(CONCATENATE("#metadata!", ADDRESS(INDEX($AH$2:$AH$1001,MATCH(ROWS($AF$2:AF929),$AF$2:$AF$1001,0),0), INDEX($AM$1004:$BM$1004,1,MATCH(COLUMNS($AM$1006:AU1006),$AM$1006:$BM$1006,0)))),"Fix")))</f>
        <v xml:space="preserve"> </v>
      </c>
      <c r="K929" s="4" t="str">
        <f ca="1">IF(OR(INDEX($AG$2:$AG$1001,MATCH(ROWS($AF$2:AF929),$AF$2:$AF$1001,0),1)&gt;=100000,INDEX($AM$1005:$BM$1005,1,MATCH(COLUMNS($AM$1006:AV1006),$AM$1006:$BM$1006,0))&gt;=100000), " ",IF(INDEX($AM$2:$BM$1001,MATCH(ROWS($AF$2:AF929),$AF$2:$AF$1001,0),MATCH(COLUMNS($AM$1006:AV1006),$AM$1006:$BM$1006,0)), HYPERLINK("#",""), HYPERLINK(CONCATENATE("#metadata!", ADDRESS(INDEX($AH$2:$AH$1001,MATCH(ROWS($AF$2:AF929),$AF$2:$AF$1001,0),0), INDEX($AM$1004:$BM$1004,1,MATCH(COLUMNS($AM$1006:AV1006),$AM$1006:$BM$1006,0)))),"Fix")))</f>
        <v xml:space="preserve"> </v>
      </c>
      <c r="L929" s="4" t="str">
        <f ca="1">IF(OR(INDEX($AG$2:$AG$1001,MATCH(ROWS($AF$2:AF929),$AF$2:$AF$1001,0),1)&gt;=100000,INDEX($AM$1005:$BM$1005,1,MATCH(COLUMNS($AM$1006:AW1006),$AM$1006:$BM$1006,0))&gt;=100000), " ",IF(INDEX($AM$2:$BM$1001,MATCH(ROWS($AF$2:AF929),$AF$2:$AF$1001,0),MATCH(COLUMNS($AM$1006:AW1006),$AM$1006:$BM$1006,0)), HYPERLINK("#",""), HYPERLINK(CONCATENATE("#metadata!", ADDRESS(INDEX($AH$2:$AH$1001,MATCH(ROWS($AF$2:AF929),$AF$2:$AF$1001,0),0), INDEX($AM$1004:$BM$1004,1,MATCH(COLUMNS($AM$1006:AW1006),$AM$1006:$BM$1006,0)))),"Fix")))</f>
        <v xml:space="preserve"> </v>
      </c>
      <c r="M929" s="4" t="str">
        <f ca="1">IF(OR(INDEX($AG$2:$AG$1001,MATCH(ROWS($AF$2:AF929),$AF$2:$AF$1001,0),1)&gt;=100000,INDEX($AM$1005:$BM$1005,1,MATCH(COLUMNS($AM$1006:AX1006),$AM$1006:$BM$1006,0))&gt;=100000), " ",IF(INDEX($AM$2:$BM$1001,MATCH(ROWS($AF$2:AF929),$AF$2:$AF$1001,0),MATCH(COLUMNS($AM$1006:AX1006),$AM$1006:$BM$1006,0)), HYPERLINK("#",""), HYPERLINK(CONCATENATE("#metadata!", ADDRESS(INDEX($AH$2:$AH$1001,MATCH(ROWS($AF$2:AF929),$AF$2:$AF$1001,0),0), INDEX($AM$1004:$BM$1004,1,MATCH(COLUMNS($AM$1006:AX1006),$AM$1006:$BM$1006,0)))),"Fix")))</f>
        <v xml:space="preserve"> </v>
      </c>
      <c r="N929" s="4" t="str">
        <f ca="1">IF(OR(INDEX($AG$2:$AG$1001,MATCH(ROWS($AF$2:AF929),$AF$2:$AF$1001,0),1)&gt;=100000,INDEX($AM$1005:$BM$1005,1,MATCH(COLUMNS($AM$1006:AY1006),$AM$1006:$BM$1006,0))&gt;=100000), " ",IF(INDEX($AM$2:$BM$1001,MATCH(ROWS($AF$2:AF929),$AF$2:$AF$1001,0),MATCH(COLUMNS($AM$1006:AY1006),$AM$1006:$BM$1006,0)), HYPERLINK("#",""), HYPERLINK(CONCATENATE("#metadata!", ADDRESS(INDEX($AH$2:$AH$1001,MATCH(ROWS($AF$2:AF929),$AF$2:$AF$1001,0),0), INDEX($AM$1004:$BM$1004,1,MATCH(COLUMNS($AM$1006:AY1006),$AM$1006:$BM$1006,0)))),"Fix")))</f>
        <v xml:space="preserve"> </v>
      </c>
      <c r="O929" s="4" t="str">
        <f ca="1">IF(OR(INDEX($AG$2:$AG$1001,MATCH(ROWS($AF$2:AF929),$AF$2:$AF$1001,0),1)&gt;=100000,INDEX($AM$1005:$BM$1005,1,MATCH(COLUMNS($AM$1006:AZ1006),$AM$1006:$BM$1006,0))&gt;=100000), " ",IF(INDEX($AM$2:$BM$1001,MATCH(ROWS($AF$2:AF929),$AF$2:$AF$1001,0),MATCH(COLUMNS($AM$1006:AZ1006),$AM$1006:$BM$1006,0)), HYPERLINK("#",""), HYPERLINK(CONCATENATE("#metadata!", ADDRESS(INDEX($AH$2:$AH$1001,MATCH(ROWS($AF$2:AF929),$AF$2:$AF$1001,0),0), INDEX($AM$1004:$BM$1004,1,MATCH(COLUMNS($AM$1006:AZ1006),$AM$1006:$BM$1006,0)))),"Fix")))</f>
        <v xml:space="preserve"> </v>
      </c>
      <c r="P929" s="4" t="str">
        <f ca="1">IF(OR(INDEX($AG$2:$AG$1001,MATCH(ROWS($AF$2:AF929),$AF$2:$AF$1001,0),1)&gt;=100000,INDEX($AM$1005:$BM$1005,1,MATCH(COLUMNS($AM$1006:BA1006),$AM$1006:$BM$1006,0))&gt;=100000), " ",IF(INDEX($AM$2:$BM$1001,MATCH(ROWS($AF$2:AF929),$AF$2:$AF$1001,0),MATCH(COLUMNS($AM$1006:BA1006),$AM$1006:$BM$1006,0)), HYPERLINK("#",""), HYPERLINK(CONCATENATE("#metadata!", ADDRESS(INDEX($AH$2:$AH$1001,MATCH(ROWS($AF$2:AF929),$AF$2:$AF$1001,0),0), INDEX($AM$1004:$BM$1004,1,MATCH(COLUMNS($AM$1006:BA1006),$AM$1006:$BM$1006,0)))),"Fix")))</f>
        <v xml:space="preserve"> </v>
      </c>
      <c r="Q929" s="4" t="str">
        <f ca="1">IF(OR(INDEX($AG$2:$AG$1001,MATCH(ROWS($AF$2:AF929),$AF$2:$AF$1001,0),1)&gt;=100000,INDEX($AM$1005:$BM$1005,1,MATCH(COLUMNS($AM$1006:BB1006),$AM$1006:$BM$1006,0))&gt;=100000), " ",IF(INDEX($AM$2:$BM$1001,MATCH(ROWS($AF$2:AF929),$AF$2:$AF$1001,0),MATCH(COLUMNS($AM$1006:BB1006),$AM$1006:$BM$1006,0)), HYPERLINK("#",""), HYPERLINK(CONCATENATE("#metadata!", ADDRESS(INDEX($AH$2:$AH$1001,MATCH(ROWS($AF$2:AF929),$AF$2:$AF$1001,0),0), INDEX($AM$1004:$BM$1004,1,MATCH(COLUMNS($AM$1006:BB1006),$AM$1006:$BM$1006,0)))),"Fix")))</f>
        <v xml:space="preserve"> </v>
      </c>
      <c r="R929" s="4" t="str">
        <f ca="1">IF(OR(INDEX($AG$2:$AG$1001,MATCH(ROWS($AF$2:AF929),$AF$2:$AF$1001,0),1)&gt;=100000,INDEX($AM$1005:$BM$1005,1,MATCH(COLUMNS($AM$1006:BC1006),$AM$1006:$BM$1006,0))&gt;=100000), " ",IF(INDEX($AM$2:$BM$1001,MATCH(ROWS($AF$2:AF929),$AF$2:$AF$1001,0),MATCH(COLUMNS($AM$1006:BC1006),$AM$1006:$BM$1006,0)), HYPERLINK("#",""), HYPERLINK(CONCATENATE("#metadata!", ADDRESS(INDEX($AH$2:$AH$1001,MATCH(ROWS($AF$2:AF929),$AF$2:$AF$1001,0),0), INDEX($AM$1004:$BM$1004,1,MATCH(COLUMNS($AM$1006:BC1006),$AM$1006:$BM$1006,0)))),"Fix")))</f>
        <v xml:space="preserve"> </v>
      </c>
      <c r="S929" s="4" t="str">
        <f ca="1">IF(OR(INDEX($AG$2:$AG$1001,MATCH(ROWS($AF$2:AF929),$AF$2:$AF$1001,0),1)&gt;=100000,INDEX($AM$1005:$BM$1005,1,MATCH(COLUMNS($AM$1006:BD1006),$AM$1006:$BM$1006,0))&gt;=100000), " ",IF(INDEX($AM$2:$BM$1001,MATCH(ROWS($AF$2:AF929),$AF$2:$AF$1001,0),MATCH(COLUMNS($AM$1006:BD1006),$AM$1006:$BM$1006,0)), HYPERLINK("#",""), HYPERLINK(CONCATENATE("#metadata!", ADDRESS(INDEX($AH$2:$AH$1001,MATCH(ROWS($AF$2:AF929),$AF$2:$AF$1001,0),0), INDEX($AM$1004:$BM$1004,1,MATCH(COLUMNS($AM$1006:BD1006),$AM$1006:$BM$1006,0)))),"Fix")))</f>
        <v xml:space="preserve"> </v>
      </c>
      <c r="T929" s="4" t="str">
        <f ca="1">IF(OR(INDEX($AG$2:$AG$1001,MATCH(ROWS($AF$2:AF929),$AF$2:$AF$1001,0),1)&gt;=100000,INDEX($AM$1005:$BM$1005,1,MATCH(COLUMNS($AM$1006:BE1006),$AM$1006:$BM$1006,0))&gt;=100000), " ",IF(INDEX($AM$2:$BM$1001,MATCH(ROWS($AF$2:AF929),$AF$2:$AF$1001,0),MATCH(COLUMNS($AM$1006:BE1006),$AM$1006:$BM$1006,0)), HYPERLINK("#",""), HYPERLINK(CONCATENATE("#metadata!", ADDRESS(INDEX($AH$2:$AH$1001,MATCH(ROWS($AF$2:AF929),$AF$2:$AF$1001,0),0), INDEX($AM$1004:$BM$1004,1,MATCH(COLUMNS($AM$1006:BE1006),$AM$1006:$BM$1006,0)))),"Fix")))</f>
        <v xml:space="preserve"> </v>
      </c>
      <c r="U929" s="4" t="str">
        <f ca="1">IF(OR(INDEX($AG$2:$AG$1001,MATCH(ROWS($AF$2:AF929),$AF$2:$AF$1001,0),1)&gt;=100000,INDEX($AM$1005:$BM$1005,1,MATCH(COLUMNS($AM$1006:BF1006),$AM$1006:$BM$1006,0))&gt;=100000), " ",IF(INDEX($AM$2:$BM$1001,MATCH(ROWS($AF$2:AF929),$AF$2:$AF$1001,0),MATCH(COLUMNS($AM$1006:BF1006),$AM$1006:$BM$1006,0)), HYPERLINK("#",""), HYPERLINK(CONCATENATE("#metadata!", ADDRESS(INDEX($AH$2:$AH$1001,MATCH(ROWS($AF$2:AF929),$AF$2:$AF$1001,0),0), INDEX($AM$1004:$BM$1004,1,MATCH(COLUMNS($AM$1006:BF1006),$AM$1006:$BM$1006,0)))),"Fix")))</f>
        <v xml:space="preserve"> </v>
      </c>
      <c r="V929" s="4" t="str">
        <f ca="1">IF(OR(INDEX($AG$2:$AG$1001,MATCH(ROWS($AF$2:AF929),$AF$2:$AF$1001,0),1)&gt;=100000,INDEX($AM$1005:$BM$1005,1,MATCH(COLUMNS($AM$1006:BG1006),$AM$1006:$BM$1006,0))&gt;=100000), " ",IF(INDEX($AM$2:$BM$1001,MATCH(ROWS($AF$2:AF929),$AF$2:$AF$1001,0),MATCH(COLUMNS($AM$1006:BG1006),$AM$1006:$BM$1006,0)), HYPERLINK("#",""), HYPERLINK(CONCATENATE("#metadata!", ADDRESS(INDEX($AH$2:$AH$1001,MATCH(ROWS($AF$2:AF929),$AF$2:$AF$1001,0),0), INDEX($AM$1004:$BM$1004,1,MATCH(COLUMNS($AM$1006:BG1006),$AM$1006:$BM$1006,0)))),"Fix")))</f>
        <v xml:space="preserve"> </v>
      </c>
      <c r="W929" s="4" t="str">
        <f ca="1">IF(OR(INDEX($AG$2:$AG$1001,MATCH(ROWS($AF$2:AF929),$AF$2:$AF$1001,0),1)&gt;=100000,INDEX($AM$1005:$BM$1005,1,MATCH(COLUMNS($AM$1006:BH1006),$AM$1006:$BM$1006,0))&gt;=100000), " ",IF(INDEX($AM$2:$BM$1001,MATCH(ROWS($AF$2:AF929),$AF$2:$AF$1001,0),MATCH(COLUMNS($AM$1006:BH1006),$AM$1006:$BM$1006,0)), HYPERLINK("#",""), HYPERLINK(CONCATENATE("#metadata!", ADDRESS(INDEX($AH$2:$AH$1001,MATCH(ROWS($AF$2:AF929),$AF$2:$AF$1001,0),0), INDEX($AM$1004:$BM$1004,1,MATCH(COLUMNS($AM$1006:BH1006),$AM$1006:$BM$1006,0)))),"Fix")))</f>
        <v xml:space="preserve"> </v>
      </c>
      <c r="X929" s="4" t="str">
        <f ca="1">IF(OR(INDEX($AG$2:$AG$1001,MATCH(ROWS($AF$2:AF929),$AF$2:$AF$1001,0),1)&gt;=100000,INDEX($AM$1005:$BM$1005,1,MATCH(COLUMNS($AM$1006:BI1006),$AM$1006:$BM$1006,0))&gt;=100000), " ",IF(INDEX($AM$2:$BM$1001,MATCH(ROWS($AF$2:AF929),$AF$2:$AF$1001,0),MATCH(COLUMNS($AM$1006:BI1006),$AM$1006:$BM$1006,0)), HYPERLINK("#",""), HYPERLINK(CONCATENATE("#metadata!", ADDRESS(INDEX($AH$2:$AH$1001,MATCH(ROWS($AF$2:AF929),$AF$2:$AF$1001,0),0), INDEX($AM$1004:$BM$1004,1,MATCH(COLUMNS($AM$1006:BI1006),$AM$1006:$BM$1006,0)))),"Fix")))</f>
        <v xml:space="preserve"> </v>
      </c>
      <c r="Y929" s="4" t="str">
        <f ca="1">IF(OR(INDEX($AG$2:$AG$1001,MATCH(ROWS($AF$2:AF929),$AF$2:$AF$1001,0),1)&gt;=100000,INDEX($AM$1005:$BM$1005,1,MATCH(COLUMNS($AM$1006:BJ1006),$AM$1006:$BM$1006,0))&gt;=100000), " ",IF(INDEX($AM$2:$BM$1001,MATCH(ROWS($AF$2:AF929),$AF$2:$AF$1001,0),MATCH(COLUMNS($AM$1006:BJ1006),$AM$1006:$BM$1006,0)), HYPERLINK("#",""), HYPERLINK(CONCATENATE("#metadata!", ADDRESS(INDEX($AH$2:$AH$1001,MATCH(ROWS($AF$2:AF929),$AF$2:$AF$1001,0),0), INDEX($AM$1004:$BM$1004,1,MATCH(COLUMNS($AM$1006:BJ1006),$AM$1006:$BM$1006,0)))),"Fix")))</f>
        <v xml:space="preserve"> </v>
      </c>
      <c r="Z929" s="4" t="str">
        <f ca="1">IF(OR(INDEX($AG$2:$AG$1001,MATCH(ROWS($AF$2:AF929),$AF$2:$AF$1001,0),1)&gt;=100000,INDEX($AM$1005:$BM$1005,1,MATCH(COLUMNS($AM$1006:BK1006),$AM$1006:$BM$1006,0))&gt;=100000), " ",IF(INDEX($AM$2:$BM$1001,MATCH(ROWS($AF$2:AF929),$AF$2:$AF$1001,0),MATCH(COLUMNS($AM$1006:BK1006),$AM$1006:$BM$1006,0)), HYPERLINK("#",""), HYPERLINK(CONCATENATE("#metadata!", ADDRESS(INDEX($AH$2:$AH$1001,MATCH(ROWS($AF$2:AF929),$AF$2:$AF$1001,0),0), INDEX($AM$1004:$BM$1004,1,MATCH(COLUMNS($AM$1006:BK1006),$AM$1006:$BM$1006,0)))),"Fix")))</f>
        <v xml:space="preserve"> </v>
      </c>
      <c r="AA929" s="4" t="str">
        <f ca="1">IF(OR(INDEX($AG$2:$AG$1001,MATCH(ROWS($AF$2:AF929),$AF$2:$AF$1001,0),1)&gt;=100000,INDEX($AM$1005:$BM$1005,1,MATCH(COLUMNS($AM$1006:BL1006),$AM$1006:$BM$1006,0))&gt;=100000), " ",IF(INDEX($AM$2:$BM$1001,MATCH(ROWS($AF$2:AF929),$AF$2:$AF$1001,0),MATCH(COLUMNS($AM$1006:BL1006),$AM$1006:$BM$1006,0)), HYPERLINK("#",""), HYPERLINK(CONCATENATE("#metadata!", ADDRESS(INDEX($AH$2:$AH$1001,MATCH(ROWS($AF$2:AF929),$AF$2:$AF$1001,0),0), INDEX($AM$1004:$BM$1004,1,MATCH(COLUMNS($AM$1006:BL1006),$AM$1006:$BM$1006,0)))),"Fix")))</f>
        <v xml:space="preserve"> </v>
      </c>
      <c r="AB929" s="4" t="str">
        <f ca="1">IF(OR(INDEX($AG$2:$AG$1001,MATCH(ROWS($AF$2:AF929),$AF$2:$AF$1001,0),1)&gt;=100000,INDEX($AM$1005:$BM$1005,1,MATCH(COLUMNS($AM$1006:BM1006),$AM$1006:$BM$1006,0))&gt;=100000), " ",IF(INDEX($AM$2:$BM$1001,MATCH(ROWS($AF$2:AF929),$AF$2:$AF$1001,0),MATCH(COLUMNS($AM$1006:BM1006),$AM$1006:$BM$1006,0)), HYPERLINK("#",""), HYPERLINK(CONCATENATE("#metadata!", ADDRESS(INDEX($AH$2:$AH$1001,MATCH(ROWS($AF$2:AF929),$AF$2:$AF$1001,0),0), INDEX($AM$1004:$BM$1004,1,MATCH(COLUMNS($AM$1006:BM1006),$AM$1006:$BM$1006,0)))),"Fix")))</f>
        <v xml:space="preserve"> </v>
      </c>
      <c r="AF929">
        <v>928</v>
      </c>
      <c r="AG929">
        <v>100929</v>
      </c>
      <c r="AH929">
        <v>929</v>
      </c>
      <c r="AI929" t="b">
        <f t="shared" si="14"/>
        <v>1</v>
      </c>
      <c r="AJ929" t="b">
        <f>COUNTBLANK(metadata!B929:AB929)=COLUMNS(metadata!B929:AB929)</f>
        <v>1</v>
      </c>
      <c r="AK929" t="str">
        <v/>
      </c>
      <c r="AM929" t="b">
        <f ca="1">AND(IF(metadata!B929="",FALSE,TRUE),COUNTIF(metadata!B:B, metadata!B929) = 1,NOT(ISERROR(SUMPRODUCT(SEARCH(MID(metadata!B929,ROW(INDIRECT("1:"&amp;LEN(metadata!B929))), 1),"0123456789abcdefghijklmnopqrstuvwxyzABCDEFGHIJKLMNOPQRSTUVWXYZ.")))))</f>
        <v>0</v>
      </c>
      <c r="AN929" t="b">
        <f ca="1">OR(AND(IF(metadata!C929="",FALSE,TRUE),OR(EXACT(metadata!C929,"missing: not collected"),EXACT(metadata!C929,"missing: not provided"),EXACT(metadata!C929,"missing: restricted access"))),AND(IF(metadata!C929="",FALSE,TRUE),AND(AND(IFERROR(INT(LEFT(metadata!C929,4))&gt;1900,FALSE),IFERROR(INT(LEFT(metadata!C929,4))&lt;=YEAR(NOW()),FALSE)), OR(MID(metadata!C929,5,1)="", AND(AND(MID(metadata!C929,5,1)="-",IFERROR(INT(MID(metadata!C929,6,1))&gt;=0,FALSE),IFERROR(INT(MID(metadata!C929,6,1))&lt;=1,FALSE),NOT(MID(metadata!C929,7,1)=""),IFERROR(INT(MID(metadata!C929,6,2))&gt;=1,FALSE),IFERROR(INT(MID(metadata!C929,6,2))&lt;=12,FALSE)), OR(MID(metadata!C929,8,1)="", AND(AND(MID(metadata!C929,8,1)="-",IFERROR(INT(MID(metadata!C929,9,1))&gt;=0,FALSE),IFERROR(INT(MID(metadata!C929,9,1))&lt;=3,FALSE),NOT(MID(metadata!C929,10,1)=""),IFERROR(INT(MID(metadata!C929,9,2))&gt;=1,FALSE),IFERROR(INT(MID(metadata!C929,9,2))&lt;=31,FALSE)), OR(MID(metadata!C929,11,1)="", AND(AND(MID(metadata!C929,11,1)=" ",IFERROR(INT(MID(metadata!C929,12,1))&gt;=0,FALSE),IFERROR(INT(MID(metadata!C929,12,1))&lt;=2,FALSE),NOT(MID(metadata!C929,13,1)=""),IFERROR(INT(MID(metadata!C929,12,2))&gt;=0,FALSE),IFERROR(INT(MID(metadata!C929,12,2))&lt;=23,FALSE)), OR(MID(metadata!C929,14,1)="", AND(AND(MID(metadata!C929,14,1)=":",IFERROR(INT(MID(metadata!C929,15,1))&gt;=0,FALSE),IFERROR(INT(MID(metadata!C929,15,1))&lt;=5,FALSE),NOT(MID(metadata!C929,16,1)=""),IFERROR(INT(MID(metadata!C929,15,2))&gt;=0,FALSE),IFERROR(INT(MID(metadata!C929,15,2))&lt;=59,FALSE)), OR(MID(metadata!C929,17,1)="", AND(AND(MID(metadata!C929,17,1)=":",IFERROR(INT(MID(metadata!C929,18,1))&gt;=0,FALSE),IFERROR(INT(MID(metadata!C929,18,1))&lt;=5,FALSE),NOT(MID(metadata!C929,19,1)=""),IFERROR(INT(MID(metadata!C929,18,2))&gt;=0,FALSE),IFERROR(INT(MID(metadata!C929,18,2))&lt;=59,FALSE)), LEN(metadata!C929)&lt;=19)))))))))))))</f>
        <v>0</v>
      </c>
      <c r="AO929" t="b">
        <f>AND(IF(metadata!D929="",FALSE,TRUE),EXACT(metadata!D929,"Not applicable"))</f>
        <v>0</v>
      </c>
      <c r="AP929" t="b">
        <f>IF(metadata!E929="",FALSE,TRUE)</f>
        <v>0</v>
      </c>
      <c r="AQ929" t="b">
        <f>OR(AND(IF(metadata!F929="",FALSE,TRUE),OR(EXACT(metadata!F929,"missing: not collected"),EXACT(metadata!F929,"missing: not provided"))),AND(IF(metadata!F929="",FALSE,TRUE),OR(EXACT(metadata!F929,"TRUE"),EXACT(metadata!F929,"FALSE"))))</f>
        <v>0</v>
      </c>
      <c r="AR929" t="b">
        <f>OR(AND(IF(metadata!G929="",FALSE,TRUE),OR(EXACT(metadata!G929,"missing: not collected"),EXACT(metadata!G929,"missing: not provided"),EXACT(metadata!G929,"missing: restricted access"))),AND(IF(metadata!G929="",FALSE,ISNUMBER(VALUE(metadata!G929))),metadata!G929&gt;=-413))</f>
        <v>0</v>
      </c>
      <c r="AS929" t="b">
        <f>AND(IF(metadata!H929="",FALSE,TRUE),EXACT(metadata!H929,"meters"))</f>
        <v>0</v>
      </c>
      <c r="AT929" t="b">
        <f>AND(IF(metadata!I929="",FALSE,TRUE),OR(EXACT(metadata!I929,"Host-associated"),EXACT(metadata!I929,"Free-living")))</f>
        <v>0</v>
      </c>
      <c r="AU929" t="b">
        <f>AND(IF(metadata!J929="",FALSE,TRUE),OR(EXACT(metadata!J929,"Animal"),EXACT(metadata!J929,"Fungus"),EXACT(metadata!J929,"Plant"),EXACT(metadata!J929,"Saline"),EXACT(metadata!J929,"Non-saline")))</f>
        <v>0</v>
      </c>
      <c r="AV929" t="b">
        <f>AND(IF(metadata!K929="",FALSE,TRUE),OR(EXACT(metadata!K929,"Plant secretion"),EXACT(metadata!K929,"Plant rhizosphere"),EXACT(metadata!K929,"Plant surface"),EXACT(metadata!K929,"Plant corpus"),EXACT(metadata!K929,"Fungus surface"),EXACT(metadata!K929,"Fungus corpus"),EXACT(metadata!K929,"Animal surface"),EXACT(metadata!K929,"Animal proximal gut"),EXACT(metadata!K929,"Animal corpus"),EXACT(metadata!K929,"Animal distal gut"),EXACT(metadata!K929,"Animal secretion"),EXACT(metadata!K929,"Sub-surface (non-saline)"),EXACT(metadata!K929,"Surface (non-saline)"),EXACT(metadata!K929,"Water (non-saline)"),EXACT(metadata!K929,"Soil (non-saline)"),EXACT(metadata!K929,"Aerosol (non-saline)"),EXACT(metadata!K929,"Sediment (non-saline)"),EXACT(metadata!K929,"Surface (saline)"),EXACT(metadata!K929,"Water (saline)"),EXACT(metadata!K929,"Hypersaline (saline)"),EXACT(metadata!K929,"Aerosol (saline)"),EXACT(metadata!K929,"Sediment (saline)")))</f>
        <v>0</v>
      </c>
      <c r="AW929" t="b">
        <f>IF(metadata!L929="",FALSE,TRUE)</f>
        <v>0</v>
      </c>
      <c r="AX929" t="b">
        <f>IF(metadata!M929="",FALSE,TRUE)</f>
        <v>0</v>
      </c>
      <c r="AY929" t="b">
        <f>IF(metadata!N929="",FALSE,TRUE)</f>
        <v>0</v>
      </c>
      <c r="AZ929" t="b">
        <f>OR(AND(IF(metadata!O929="",FALSE,TRUE),OR(EXACT(metadata!O929,"missing: not collected"),EXACT(metadata!O929,"missing: not provided"),EXACT(metadata!O929,"missing: restricted access"))),AND(IF(metadata!O929="",FALSE,TRUE),OR(EXACT(metadata!O929,"air"),EXACT(metadata!O929,"built environment"),EXACT(metadata!O929,"host-associated"),EXACT(metadata!O929,"human-associated"),EXACT(metadata!O929,"human-skin"),EXACT(metadata!O929,"human-oral"),EXACT(metadata!O929,"human-gut"),EXACT(metadata!O929,"human-vaginal"),EXACT(metadata!O929,"microbial mat/biofilm"),EXACT(metadata!O929,"misc environment"),EXACT(metadata!O929,"plant-associated"),EXACT(metadata!O929,"sediment"),EXACT(metadata!O929,"soil"),EXACT(metadata!O929,"wastewater/sludge"),EXACT(metadata!O929,"water"))))</f>
        <v>0</v>
      </c>
      <c r="BA929" t="b">
        <f>IF(metadata!P929="",FALSE,TRUE)</f>
        <v>0</v>
      </c>
      <c r="BB929" t="b">
        <f>IF(metadata!Q929="",FALSE,TRUE)</f>
        <v>0</v>
      </c>
      <c r="BC929" t="b">
        <f>OR(AND(IF(metadata!R929="",FALSE,TRUE),OR(EXACT(metadata!R929,"missing: not collected"),EXACT(metadata!R929,"missing: not provided"),EXACT(metadata!R929,"missing: restricted access"))),AND(IF(metadata!R929="",FALSE,ISNUMBER(VALUE(metadata!R929))),metadata!R929&gt;=-90,metadata!R929&lt;=90))</f>
        <v>0</v>
      </c>
      <c r="BD929" t="b">
        <f>AND(IF(metadata!S929="",FALSE,TRUE),EXACT(metadata!S929,"Decimal degrees"))</f>
        <v>0</v>
      </c>
      <c r="BE929" t="b">
        <f>OR(AND(IF(metadata!T929="",FALSE,TRUE),OR(EXACT(metadata!T929,"missing: not collected"),EXACT(metadata!T929,"missing: not provided"),EXACT(metadata!T929,"missing: restricted access"))),AND(IF(metadata!T929="",FALSE,ISNUMBER(VALUE(metadata!T929))),metadata!T929&gt;=-180,metadata!T929&lt;=180))</f>
        <v>0</v>
      </c>
      <c r="BF929" t="b">
        <f>AND(IF(metadata!U929="",FALSE,TRUE),EXACT(metadata!U929,"Decimal degrees"))</f>
        <v>0</v>
      </c>
      <c r="BG929" t="b">
        <f>IF(metadata!V929="",FALSE,TRUE)</f>
        <v>0</v>
      </c>
      <c r="BH929" t="b">
        <f>OR(AND(IF(metadata!W929="",FALSE,TRUE),OR(EXACT(metadata!W929,"missing: not collected"),EXACT(metadata!W929,"missing: not provided"),EXACT(metadata!W929,"missing: restricted access"))),AND(IF(metadata!W929="",FALSE,TRUE),OR(EXACT(metadata!W929,"TRUE"),EXACT(metadata!W929,"FALSE"))))</f>
        <v>0</v>
      </c>
      <c r="BI929" t="b">
        <f>AND(IF(metadata!X929="",FALSE,TRUE),EXACT(metadata!X929,"other"))</f>
        <v>0</v>
      </c>
      <c r="BJ929" t="b">
        <f>IF(metadata!Y929="",FALSE,TRUE)</f>
        <v>0</v>
      </c>
      <c r="BK929" t="b">
        <f>OR(AND(IF(metadata!Z929="",FALSE,TRUE),OR(EXACT(metadata!Z929,"missing: not collected"),EXACT(metadata!Z929,"missing: not provided"))),AND(IF(metadata!Z929="",FALSE,IF(ISERROR(INT(metadata!Z929)),FALSE,INT(metadata!Z929)=metadata!Z929)),metadata!Z929&gt;0))</f>
        <v>0</v>
      </c>
      <c r="BL929" t="b">
        <f>AND(IF(metadata!AA929="",FALSE,TRUE),EXACT(metadata!AA929,"Not applicable"))</f>
        <v>0</v>
      </c>
      <c r="BM929" t="b">
        <f>IF(metadata!AB929="",FALSE,TRUE)</f>
        <v>0</v>
      </c>
    </row>
    <row r="930" spans="1:65" x14ac:dyDescent="0.2">
      <c r="A930" s="5" t="str">
        <f ca="1">IF(B930=" "," ",HYPERLINK(CONCATENATE("#metadata!",ADDRESS(INDEX($AH$2:$AH$1001,MATCH(ROWS($AF$2:AF930),$AF$2:$AF$1001,0),0),1)),INDEX($AK$2:$AK$1001,MATCH(ROWS($AF$2:AF930),$AF$2:$AF$1001,0),0)))</f>
        <v xml:space="preserve"> </v>
      </c>
      <c r="B930" s="4" t="str">
        <f ca="1">IF(OR(INDEX($AG$2:$AG$1001,MATCH(ROWS($AF$2:AF930),$AF$2:$AF$1001,0),1)&gt;=100000,INDEX($AM$1005:$BM$1005,1,MATCH(COLUMNS($AM$1006:AM1006),$AM$1006:$BM$1006,0))&gt;=100000), " ",IF(INDEX($AM$2:$BM$1001,MATCH(ROWS($AF$2:AF930),$AF$2:$AF$1001,0),MATCH(COLUMNS($AM$1006:AM1006),$AM$1006:$BM$1006,0)), HYPERLINK("#",""), HYPERLINK(CONCATENATE("#metadata!", ADDRESS(INDEX($AH$2:$AH$1001,MATCH(ROWS($AF$2:AF930),$AF$2:$AF$1001,0),0), INDEX($AM$1004:$BM$1004,1,MATCH(COLUMNS($AM$1006:AM1006),$AM$1006:$BM$1006,0)))),"Fix")))</f>
        <v xml:space="preserve"> </v>
      </c>
      <c r="C930" s="4" t="str">
        <f ca="1">IF(OR(INDEX($AG$2:$AG$1001,MATCH(ROWS($AF$2:AF930),$AF$2:$AF$1001,0),1)&gt;=100000,INDEX($AM$1005:$BM$1005,1,MATCH(COLUMNS($AM$1006:AN1006),$AM$1006:$BM$1006,0))&gt;=100000), " ",IF(INDEX($AM$2:$BM$1001,MATCH(ROWS($AF$2:AF930),$AF$2:$AF$1001,0),MATCH(COLUMNS($AM$1006:AN1006),$AM$1006:$BM$1006,0)), HYPERLINK("#",""), HYPERLINK(CONCATENATE("#metadata!", ADDRESS(INDEX($AH$2:$AH$1001,MATCH(ROWS($AF$2:AF930),$AF$2:$AF$1001,0),0), INDEX($AM$1004:$BM$1004,1,MATCH(COLUMNS($AM$1006:AN1006),$AM$1006:$BM$1006,0)))),"Fix")))</f>
        <v xml:space="preserve"> </v>
      </c>
      <c r="D930" s="4" t="str">
        <f ca="1">IF(OR(INDEX($AG$2:$AG$1001,MATCH(ROWS($AF$2:AF930),$AF$2:$AF$1001,0),1)&gt;=100000,INDEX($AM$1005:$BM$1005,1,MATCH(COLUMNS($AM$1006:AO1006),$AM$1006:$BM$1006,0))&gt;=100000), " ",IF(INDEX($AM$2:$BM$1001,MATCH(ROWS($AF$2:AF930),$AF$2:$AF$1001,0),MATCH(COLUMNS($AM$1006:AO1006),$AM$1006:$BM$1006,0)), HYPERLINK("#",""), HYPERLINK(CONCATENATE("#metadata!", ADDRESS(INDEX($AH$2:$AH$1001,MATCH(ROWS($AF$2:AF930),$AF$2:$AF$1001,0),0), INDEX($AM$1004:$BM$1004,1,MATCH(COLUMNS($AM$1006:AO1006),$AM$1006:$BM$1006,0)))),"Fix")))</f>
        <v xml:space="preserve"> </v>
      </c>
      <c r="E930" s="4" t="str">
        <f ca="1">IF(OR(INDEX($AG$2:$AG$1001,MATCH(ROWS($AF$2:AF930),$AF$2:$AF$1001,0),1)&gt;=100000,INDEX($AM$1005:$BM$1005,1,MATCH(COLUMNS($AM$1006:AP1006),$AM$1006:$BM$1006,0))&gt;=100000), " ",IF(INDEX($AM$2:$BM$1001,MATCH(ROWS($AF$2:AF930),$AF$2:$AF$1001,0),MATCH(COLUMNS($AM$1006:AP1006),$AM$1006:$BM$1006,0)), HYPERLINK("#",""), HYPERLINK(CONCATENATE("#metadata!", ADDRESS(INDEX($AH$2:$AH$1001,MATCH(ROWS($AF$2:AF930),$AF$2:$AF$1001,0),0), INDEX($AM$1004:$BM$1004,1,MATCH(COLUMNS($AM$1006:AP1006),$AM$1006:$BM$1006,0)))),"Fix")))</f>
        <v xml:space="preserve"> </v>
      </c>
      <c r="F930" s="4" t="str">
        <f ca="1">IF(OR(INDEX($AG$2:$AG$1001,MATCH(ROWS($AF$2:AF930),$AF$2:$AF$1001,0),1)&gt;=100000,INDEX($AM$1005:$BM$1005,1,MATCH(COLUMNS($AM$1006:AQ1006),$AM$1006:$BM$1006,0))&gt;=100000), " ",IF(INDEX($AM$2:$BM$1001,MATCH(ROWS($AF$2:AF930),$AF$2:$AF$1001,0),MATCH(COLUMNS($AM$1006:AQ1006),$AM$1006:$BM$1006,0)), HYPERLINK("#",""), HYPERLINK(CONCATENATE("#metadata!", ADDRESS(INDEX($AH$2:$AH$1001,MATCH(ROWS($AF$2:AF930),$AF$2:$AF$1001,0),0), INDEX($AM$1004:$BM$1004,1,MATCH(COLUMNS($AM$1006:AQ1006),$AM$1006:$BM$1006,0)))),"Fix")))</f>
        <v xml:space="preserve"> </v>
      </c>
      <c r="G930" s="4" t="str">
        <f ca="1">IF(OR(INDEX($AG$2:$AG$1001,MATCH(ROWS($AF$2:AF930),$AF$2:$AF$1001,0),1)&gt;=100000,INDEX($AM$1005:$BM$1005,1,MATCH(COLUMNS($AM$1006:AR1006),$AM$1006:$BM$1006,0))&gt;=100000), " ",IF(INDEX($AM$2:$BM$1001,MATCH(ROWS($AF$2:AF930),$AF$2:$AF$1001,0),MATCH(COLUMNS($AM$1006:AR1006),$AM$1006:$BM$1006,0)), HYPERLINK("#",""), HYPERLINK(CONCATENATE("#metadata!", ADDRESS(INDEX($AH$2:$AH$1001,MATCH(ROWS($AF$2:AF930),$AF$2:$AF$1001,0),0), INDEX($AM$1004:$BM$1004,1,MATCH(COLUMNS($AM$1006:AR1006),$AM$1006:$BM$1006,0)))),"Fix")))</f>
        <v xml:space="preserve"> </v>
      </c>
      <c r="H930" s="4" t="str">
        <f ca="1">IF(OR(INDEX($AG$2:$AG$1001,MATCH(ROWS($AF$2:AF930),$AF$2:$AF$1001,0),1)&gt;=100000,INDEX($AM$1005:$BM$1005,1,MATCH(COLUMNS($AM$1006:AS1006),$AM$1006:$BM$1006,0))&gt;=100000), " ",IF(INDEX($AM$2:$BM$1001,MATCH(ROWS($AF$2:AF930),$AF$2:$AF$1001,0),MATCH(COLUMNS($AM$1006:AS1006),$AM$1006:$BM$1006,0)), HYPERLINK("#",""), HYPERLINK(CONCATENATE("#metadata!", ADDRESS(INDEX($AH$2:$AH$1001,MATCH(ROWS($AF$2:AF930),$AF$2:$AF$1001,0),0), INDEX($AM$1004:$BM$1004,1,MATCH(COLUMNS($AM$1006:AS1006),$AM$1006:$BM$1006,0)))),"Fix")))</f>
        <v xml:space="preserve"> </v>
      </c>
      <c r="I930" s="4" t="str">
        <f ca="1">IF(OR(INDEX($AG$2:$AG$1001,MATCH(ROWS($AF$2:AF930),$AF$2:$AF$1001,0),1)&gt;=100000,INDEX($AM$1005:$BM$1005,1,MATCH(COLUMNS($AM$1006:AT1006),$AM$1006:$BM$1006,0))&gt;=100000), " ",IF(INDEX($AM$2:$BM$1001,MATCH(ROWS($AF$2:AF930),$AF$2:$AF$1001,0),MATCH(COLUMNS($AM$1006:AT1006),$AM$1006:$BM$1006,0)), HYPERLINK("#",""), HYPERLINK(CONCATENATE("#metadata!", ADDRESS(INDEX($AH$2:$AH$1001,MATCH(ROWS($AF$2:AF930),$AF$2:$AF$1001,0),0), INDEX($AM$1004:$BM$1004,1,MATCH(COLUMNS($AM$1006:AT1006),$AM$1006:$BM$1006,0)))),"Fix")))</f>
        <v xml:space="preserve"> </v>
      </c>
      <c r="J930" s="4" t="str">
        <f ca="1">IF(OR(INDEX($AG$2:$AG$1001,MATCH(ROWS($AF$2:AF930),$AF$2:$AF$1001,0),1)&gt;=100000,INDEX($AM$1005:$BM$1005,1,MATCH(COLUMNS($AM$1006:AU1006),$AM$1006:$BM$1006,0))&gt;=100000), " ",IF(INDEX($AM$2:$BM$1001,MATCH(ROWS($AF$2:AF930),$AF$2:$AF$1001,0),MATCH(COLUMNS($AM$1006:AU1006),$AM$1006:$BM$1006,0)), HYPERLINK("#",""), HYPERLINK(CONCATENATE("#metadata!", ADDRESS(INDEX($AH$2:$AH$1001,MATCH(ROWS($AF$2:AF930),$AF$2:$AF$1001,0),0), INDEX($AM$1004:$BM$1004,1,MATCH(COLUMNS($AM$1006:AU1006),$AM$1006:$BM$1006,0)))),"Fix")))</f>
        <v xml:space="preserve"> </v>
      </c>
      <c r="K930" s="4" t="str">
        <f ca="1">IF(OR(INDEX($AG$2:$AG$1001,MATCH(ROWS($AF$2:AF930),$AF$2:$AF$1001,0),1)&gt;=100000,INDEX($AM$1005:$BM$1005,1,MATCH(COLUMNS($AM$1006:AV1006),$AM$1006:$BM$1006,0))&gt;=100000), " ",IF(INDEX($AM$2:$BM$1001,MATCH(ROWS($AF$2:AF930),$AF$2:$AF$1001,0),MATCH(COLUMNS($AM$1006:AV1006),$AM$1006:$BM$1006,0)), HYPERLINK("#",""), HYPERLINK(CONCATENATE("#metadata!", ADDRESS(INDEX($AH$2:$AH$1001,MATCH(ROWS($AF$2:AF930),$AF$2:$AF$1001,0),0), INDEX($AM$1004:$BM$1004,1,MATCH(COLUMNS($AM$1006:AV1006),$AM$1006:$BM$1006,0)))),"Fix")))</f>
        <v xml:space="preserve"> </v>
      </c>
      <c r="L930" s="4" t="str">
        <f ca="1">IF(OR(INDEX($AG$2:$AG$1001,MATCH(ROWS($AF$2:AF930),$AF$2:$AF$1001,0),1)&gt;=100000,INDEX($AM$1005:$BM$1005,1,MATCH(COLUMNS($AM$1006:AW1006),$AM$1006:$BM$1006,0))&gt;=100000), " ",IF(INDEX($AM$2:$BM$1001,MATCH(ROWS($AF$2:AF930),$AF$2:$AF$1001,0),MATCH(COLUMNS($AM$1006:AW1006),$AM$1006:$BM$1006,0)), HYPERLINK("#",""), HYPERLINK(CONCATENATE("#metadata!", ADDRESS(INDEX($AH$2:$AH$1001,MATCH(ROWS($AF$2:AF930),$AF$2:$AF$1001,0),0), INDEX($AM$1004:$BM$1004,1,MATCH(COLUMNS($AM$1006:AW1006),$AM$1006:$BM$1006,0)))),"Fix")))</f>
        <v xml:space="preserve"> </v>
      </c>
      <c r="M930" s="4" t="str">
        <f ca="1">IF(OR(INDEX($AG$2:$AG$1001,MATCH(ROWS($AF$2:AF930),$AF$2:$AF$1001,0),1)&gt;=100000,INDEX($AM$1005:$BM$1005,1,MATCH(COLUMNS($AM$1006:AX1006),$AM$1006:$BM$1006,0))&gt;=100000), " ",IF(INDEX($AM$2:$BM$1001,MATCH(ROWS($AF$2:AF930),$AF$2:$AF$1001,0),MATCH(COLUMNS($AM$1006:AX1006),$AM$1006:$BM$1006,0)), HYPERLINK("#",""), HYPERLINK(CONCATENATE("#metadata!", ADDRESS(INDEX($AH$2:$AH$1001,MATCH(ROWS($AF$2:AF930),$AF$2:$AF$1001,0),0), INDEX($AM$1004:$BM$1004,1,MATCH(COLUMNS($AM$1006:AX1006),$AM$1006:$BM$1006,0)))),"Fix")))</f>
        <v xml:space="preserve"> </v>
      </c>
      <c r="N930" s="4" t="str">
        <f ca="1">IF(OR(INDEX($AG$2:$AG$1001,MATCH(ROWS($AF$2:AF930),$AF$2:$AF$1001,0),1)&gt;=100000,INDEX($AM$1005:$BM$1005,1,MATCH(COLUMNS($AM$1006:AY1006),$AM$1006:$BM$1006,0))&gt;=100000), " ",IF(INDEX($AM$2:$BM$1001,MATCH(ROWS($AF$2:AF930),$AF$2:$AF$1001,0),MATCH(COLUMNS($AM$1006:AY1006),$AM$1006:$BM$1006,0)), HYPERLINK("#",""), HYPERLINK(CONCATENATE("#metadata!", ADDRESS(INDEX($AH$2:$AH$1001,MATCH(ROWS($AF$2:AF930),$AF$2:$AF$1001,0),0), INDEX($AM$1004:$BM$1004,1,MATCH(COLUMNS($AM$1006:AY1006),$AM$1006:$BM$1006,0)))),"Fix")))</f>
        <v xml:space="preserve"> </v>
      </c>
      <c r="O930" s="4" t="str">
        <f ca="1">IF(OR(INDEX($AG$2:$AG$1001,MATCH(ROWS($AF$2:AF930),$AF$2:$AF$1001,0),1)&gt;=100000,INDEX($AM$1005:$BM$1005,1,MATCH(COLUMNS($AM$1006:AZ1006),$AM$1006:$BM$1006,0))&gt;=100000), " ",IF(INDEX($AM$2:$BM$1001,MATCH(ROWS($AF$2:AF930),$AF$2:$AF$1001,0),MATCH(COLUMNS($AM$1006:AZ1006),$AM$1006:$BM$1006,0)), HYPERLINK("#",""), HYPERLINK(CONCATENATE("#metadata!", ADDRESS(INDEX($AH$2:$AH$1001,MATCH(ROWS($AF$2:AF930),$AF$2:$AF$1001,0),0), INDEX($AM$1004:$BM$1004,1,MATCH(COLUMNS($AM$1006:AZ1006),$AM$1006:$BM$1006,0)))),"Fix")))</f>
        <v xml:space="preserve"> </v>
      </c>
      <c r="P930" s="4" t="str">
        <f ca="1">IF(OR(INDEX($AG$2:$AG$1001,MATCH(ROWS($AF$2:AF930),$AF$2:$AF$1001,0),1)&gt;=100000,INDEX($AM$1005:$BM$1005,1,MATCH(COLUMNS($AM$1006:BA1006),$AM$1006:$BM$1006,0))&gt;=100000), " ",IF(INDEX($AM$2:$BM$1001,MATCH(ROWS($AF$2:AF930),$AF$2:$AF$1001,0),MATCH(COLUMNS($AM$1006:BA1006),$AM$1006:$BM$1006,0)), HYPERLINK("#",""), HYPERLINK(CONCATENATE("#metadata!", ADDRESS(INDEX($AH$2:$AH$1001,MATCH(ROWS($AF$2:AF930),$AF$2:$AF$1001,0),0), INDEX($AM$1004:$BM$1004,1,MATCH(COLUMNS($AM$1006:BA1006),$AM$1006:$BM$1006,0)))),"Fix")))</f>
        <v xml:space="preserve"> </v>
      </c>
      <c r="Q930" s="4" t="str">
        <f ca="1">IF(OR(INDEX($AG$2:$AG$1001,MATCH(ROWS($AF$2:AF930),$AF$2:$AF$1001,0),1)&gt;=100000,INDEX($AM$1005:$BM$1005,1,MATCH(COLUMNS($AM$1006:BB1006),$AM$1006:$BM$1006,0))&gt;=100000), " ",IF(INDEX($AM$2:$BM$1001,MATCH(ROWS($AF$2:AF930),$AF$2:$AF$1001,0),MATCH(COLUMNS($AM$1006:BB1006),$AM$1006:$BM$1006,0)), HYPERLINK("#",""), HYPERLINK(CONCATENATE("#metadata!", ADDRESS(INDEX($AH$2:$AH$1001,MATCH(ROWS($AF$2:AF930),$AF$2:$AF$1001,0),0), INDEX($AM$1004:$BM$1004,1,MATCH(COLUMNS($AM$1006:BB1006),$AM$1006:$BM$1006,0)))),"Fix")))</f>
        <v xml:space="preserve"> </v>
      </c>
      <c r="R930" s="4" t="str">
        <f ca="1">IF(OR(INDEX($AG$2:$AG$1001,MATCH(ROWS($AF$2:AF930),$AF$2:$AF$1001,0),1)&gt;=100000,INDEX($AM$1005:$BM$1005,1,MATCH(COLUMNS($AM$1006:BC1006),$AM$1006:$BM$1006,0))&gt;=100000), " ",IF(INDEX($AM$2:$BM$1001,MATCH(ROWS($AF$2:AF930),$AF$2:$AF$1001,0),MATCH(COLUMNS($AM$1006:BC1006),$AM$1006:$BM$1006,0)), HYPERLINK("#",""), HYPERLINK(CONCATENATE("#metadata!", ADDRESS(INDEX($AH$2:$AH$1001,MATCH(ROWS($AF$2:AF930),$AF$2:$AF$1001,0),0), INDEX($AM$1004:$BM$1004,1,MATCH(COLUMNS($AM$1006:BC1006),$AM$1006:$BM$1006,0)))),"Fix")))</f>
        <v xml:space="preserve"> </v>
      </c>
      <c r="S930" s="4" t="str">
        <f ca="1">IF(OR(INDEX($AG$2:$AG$1001,MATCH(ROWS($AF$2:AF930),$AF$2:$AF$1001,0),1)&gt;=100000,INDEX($AM$1005:$BM$1005,1,MATCH(COLUMNS($AM$1006:BD1006),$AM$1006:$BM$1006,0))&gt;=100000), " ",IF(INDEX($AM$2:$BM$1001,MATCH(ROWS($AF$2:AF930),$AF$2:$AF$1001,0),MATCH(COLUMNS($AM$1006:BD1006),$AM$1006:$BM$1006,0)), HYPERLINK("#",""), HYPERLINK(CONCATENATE("#metadata!", ADDRESS(INDEX($AH$2:$AH$1001,MATCH(ROWS($AF$2:AF930),$AF$2:$AF$1001,0),0), INDEX($AM$1004:$BM$1004,1,MATCH(COLUMNS($AM$1006:BD1006),$AM$1006:$BM$1006,0)))),"Fix")))</f>
        <v xml:space="preserve"> </v>
      </c>
      <c r="T930" s="4" t="str">
        <f ca="1">IF(OR(INDEX($AG$2:$AG$1001,MATCH(ROWS($AF$2:AF930),$AF$2:$AF$1001,0),1)&gt;=100000,INDEX($AM$1005:$BM$1005,1,MATCH(COLUMNS($AM$1006:BE1006),$AM$1006:$BM$1006,0))&gt;=100000), " ",IF(INDEX($AM$2:$BM$1001,MATCH(ROWS($AF$2:AF930),$AF$2:$AF$1001,0),MATCH(COLUMNS($AM$1006:BE1006),$AM$1006:$BM$1006,0)), HYPERLINK("#",""), HYPERLINK(CONCATENATE("#metadata!", ADDRESS(INDEX($AH$2:$AH$1001,MATCH(ROWS($AF$2:AF930),$AF$2:$AF$1001,0),0), INDEX($AM$1004:$BM$1004,1,MATCH(COLUMNS($AM$1006:BE1006),$AM$1006:$BM$1006,0)))),"Fix")))</f>
        <v xml:space="preserve"> </v>
      </c>
      <c r="U930" s="4" t="str">
        <f ca="1">IF(OR(INDEX($AG$2:$AG$1001,MATCH(ROWS($AF$2:AF930),$AF$2:$AF$1001,0),1)&gt;=100000,INDEX($AM$1005:$BM$1005,1,MATCH(COLUMNS($AM$1006:BF1006),$AM$1006:$BM$1006,0))&gt;=100000), " ",IF(INDEX($AM$2:$BM$1001,MATCH(ROWS($AF$2:AF930),$AF$2:$AF$1001,0),MATCH(COLUMNS($AM$1006:BF1006),$AM$1006:$BM$1006,0)), HYPERLINK("#",""), HYPERLINK(CONCATENATE("#metadata!", ADDRESS(INDEX($AH$2:$AH$1001,MATCH(ROWS($AF$2:AF930),$AF$2:$AF$1001,0),0), INDEX($AM$1004:$BM$1004,1,MATCH(COLUMNS($AM$1006:BF1006),$AM$1006:$BM$1006,0)))),"Fix")))</f>
        <v xml:space="preserve"> </v>
      </c>
      <c r="V930" s="4" t="str">
        <f ca="1">IF(OR(INDEX($AG$2:$AG$1001,MATCH(ROWS($AF$2:AF930),$AF$2:$AF$1001,0),1)&gt;=100000,INDEX($AM$1005:$BM$1005,1,MATCH(COLUMNS($AM$1006:BG1006),$AM$1006:$BM$1006,0))&gt;=100000), " ",IF(INDEX($AM$2:$BM$1001,MATCH(ROWS($AF$2:AF930),$AF$2:$AF$1001,0),MATCH(COLUMNS($AM$1006:BG1006),$AM$1006:$BM$1006,0)), HYPERLINK("#",""), HYPERLINK(CONCATENATE("#metadata!", ADDRESS(INDEX($AH$2:$AH$1001,MATCH(ROWS($AF$2:AF930),$AF$2:$AF$1001,0),0), INDEX($AM$1004:$BM$1004,1,MATCH(COLUMNS($AM$1006:BG1006),$AM$1006:$BM$1006,0)))),"Fix")))</f>
        <v xml:space="preserve"> </v>
      </c>
      <c r="W930" s="4" t="str">
        <f ca="1">IF(OR(INDEX($AG$2:$AG$1001,MATCH(ROWS($AF$2:AF930),$AF$2:$AF$1001,0),1)&gt;=100000,INDEX($AM$1005:$BM$1005,1,MATCH(COLUMNS($AM$1006:BH1006),$AM$1006:$BM$1006,0))&gt;=100000), " ",IF(INDEX($AM$2:$BM$1001,MATCH(ROWS($AF$2:AF930),$AF$2:$AF$1001,0),MATCH(COLUMNS($AM$1006:BH1006),$AM$1006:$BM$1006,0)), HYPERLINK("#",""), HYPERLINK(CONCATENATE("#metadata!", ADDRESS(INDEX($AH$2:$AH$1001,MATCH(ROWS($AF$2:AF930),$AF$2:$AF$1001,0),0), INDEX($AM$1004:$BM$1004,1,MATCH(COLUMNS($AM$1006:BH1006),$AM$1006:$BM$1006,0)))),"Fix")))</f>
        <v xml:space="preserve"> </v>
      </c>
      <c r="X930" s="4" t="str">
        <f ca="1">IF(OR(INDEX($AG$2:$AG$1001,MATCH(ROWS($AF$2:AF930),$AF$2:$AF$1001,0),1)&gt;=100000,INDEX($AM$1005:$BM$1005,1,MATCH(COLUMNS($AM$1006:BI1006),$AM$1006:$BM$1006,0))&gt;=100000), " ",IF(INDEX($AM$2:$BM$1001,MATCH(ROWS($AF$2:AF930),$AF$2:$AF$1001,0),MATCH(COLUMNS($AM$1006:BI1006),$AM$1006:$BM$1006,0)), HYPERLINK("#",""), HYPERLINK(CONCATENATE("#metadata!", ADDRESS(INDEX($AH$2:$AH$1001,MATCH(ROWS($AF$2:AF930),$AF$2:$AF$1001,0),0), INDEX($AM$1004:$BM$1004,1,MATCH(COLUMNS($AM$1006:BI1006),$AM$1006:$BM$1006,0)))),"Fix")))</f>
        <v xml:space="preserve"> </v>
      </c>
      <c r="Y930" s="4" t="str">
        <f ca="1">IF(OR(INDEX($AG$2:$AG$1001,MATCH(ROWS($AF$2:AF930),$AF$2:$AF$1001,0),1)&gt;=100000,INDEX($AM$1005:$BM$1005,1,MATCH(COLUMNS($AM$1006:BJ1006),$AM$1006:$BM$1006,0))&gt;=100000), " ",IF(INDEX($AM$2:$BM$1001,MATCH(ROWS($AF$2:AF930),$AF$2:$AF$1001,0),MATCH(COLUMNS($AM$1006:BJ1006),$AM$1006:$BM$1006,0)), HYPERLINK("#",""), HYPERLINK(CONCATENATE("#metadata!", ADDRESS(INDEX($AH$2:$AH$1001,MATCH(ROWS($AF$2:AF930),$AF$2:$AF$1001,0),0), INDEX($AM$1004:$BM$1004,1,MATCH(COLUMNS($AM$1006:BJ1006),$AM$1006:$BM$1006,0)))),"Fix")))</f>
        <v xml:space="preserve"> </v>
      </c>
      <c r="Z930" s="4" t="str">
        <f ca="1">IF(OR(INDEX($AG$2:$AG$1001,MATCH(ROWS($AF$2:AF930),$AF$2:$AF$1001,0),1)&gt;=100000,INDEX($AM$1005:$BM$1005,1,MATCH(COLUMNS($AM$1006:BK1006),$AM$1006:$BM$1006,0))&gt;=100000), " ",IF(INDEX($AM$2:$BM$1001,MATCH(ROWS($AF$2:AF930),$AF$2:$AF$1001,0),MATCH(COLUMNS($AM$1006:BK1006),$AM$1006:$BM$1006,0)), HYPERLINK("#",""), HYPERLINK(CONCATENATE("#metadata!", ADDRESS(INDEX($AH$2:$AH$1001,MATCH(ROWS($AF$2:AF930),$AF$2:$AF$1001,0),0), INDEX($AM$1004:$BM$1004,1,MATCH(COLUMNS($AM$1006:BK1006),$AM$1006:$BM$1006,0)))),"Fix")))</f>
        <v xml:space="preserve"> </v>
      </c>
      <c r="AA930" s="4" t="str">
        <f ca="1">IF(OR(INDEX($AG$2:$AG$1001,MATCH(ROWS($AF$2:AF930),$AF$2:$AF$1001,0),1)&gt;=100000,INDEX($AM$1005:$BM$1005,1,MATCH(COLUMNS($AM$1006:BL1006),$AM$1006:$BM$1006,0))&gt;=100000), " ",IF(INDEX($AM$2:$BM$1001,MATCH(ROWS($AF$2:AF930),$AF$2:$AF$1001,0),MATCH(COLUMNS($AM$1006:BL1006),$AM$1006:$BM$1006,0)), HYPERLINK("#",""), HYPERLINK(CONCATENATE("#metadata!", ADDRESS(INDEX($AH$2:$AH$1001,MATCH(ROWS($AF$2:AF930),$AF$2:$AF$1001,0),0), INDEX($AM$1004:$BM$1004,1,MATCH(COLUMNS($AM$1006:BL1006),$AM$1006:$BM$1006,0)))),"Fix")))</f>
        <v xml:space="preserve"> </v>
      </c>
      <c r="AB930" s="4" t="str">
        <f ca="1">IF(OR(INDEX($AG$2:$AG$1001,MATCH(ROWS($AF$2:AF930),$AF$2:$AF$1001,0),1)&gt;=100000,INDEX($AM$1005:$BM$1005,1,MATCH(COLUMNS($AM$1006:BM1006),$AM$1006:$BM$1006,0))&gt;=100000), " ",IF(INDEX($AM$2:$BM$1001,MATCH(ROWS($AF$2:AF930),$AF$2:$AF$1001,0),MATCH(COLUMNS($AM$1006:BM1006),$AM$1006:$BM$1006,0)), HYPERLINK("#",""), HYPERLINK(CONCATENATE("#metadata!", ADDRESS(INDEX($AH$2:$AH$1001,MATCH(ROWS($AF$2:AF930),$AF$2:$AF$1001,0),0), INDEX($AM$1004:$BM$1004,1,MATCH(COLUMNS($AM$1006:BM1006),$AM$1006:$BM$1006,0)))),"Fix")))</f>
        <v xml:space="preserve"> </v>
      </c>
      <c r="AF930">
        <v>929</v>
      </c>
      <c r="AG930">
        <v>100930</v>
      </c>
      <c r="AH930">
        <v>930</v>
      </c>
      <c r="AI930" t="b">
        <f t="shared" si="14"/>
        <v>1</v>
      </c>
      <c r="AJ930" t="b">
        <f>COUNTBLANK(metadata!B930:AB930)=COLUMNS(metadata!B930:AB930)</f>
        <v>1</v>
      </c>
      <c r="AK930" t="str">
        <v/>
      </c>
      <c r="AM930" t="b">
        <f ca="1">AND(IF(metadata!B930="",FALSE,TRUE),COUNTIF(metadata!B:B, metadata!B930) = 1,NOT(ISERROR(SUMPRODUCT(SEARCH(MID(metadata!B930,ROW(INDIRECT("1:"&amp;LEN(metadata!B930))), 1),"0123456789abcdefghijklmnopqrstuvwxyzABCDEFGHIJKLMNOPQRSTUVWXYZ.")))))</f>
        <v>0</v>
      </c>
      <c r="AN930" t="b">
        <f ca="1">OR(AND(IF(metadata!C930="",FALSE,TRUE),OR(EXACT(metadata!C930,"missing: not collected"),EXACT(metadata!C930,"missing: not provided"),EXACT(metadata!C930,"missing: restricted access"))),AND(IF(metadata!C930="",FALSE,TRUE),AND(AND(IFERROR(INT(LEFT(metadata!C930,4))&gt;1900,FALSE),IFERROR(INT(LEFT(metadata!C930,4))&lt;=YEAR(NOW()),FALSE)), OR(MID(metadata!C930,5,1)="", AND(AND(MID(metadata!C930,5,1)="-",IFERROR(INT(MID(metadata!C930,6,1))&gt;=0,FALSE),IFERROR(INT(MID(metadata!C930,6,1))&lt;=1,FALSE),NOT(MID(metadata!C930,7,1)=""),IFERROR(INT(MID(metadata!C930,6,2))&gt;=1,FALSE),IFERROR(INT(MID(metadata!C930,6,2))&lt;=12,FALSE)), OR(MID(metadata!C930,8,1)="", AND(AND(MID(metadata!C930,8,1)="-",IFERROR(INT(MID(metadata!C930,9,1))&gt;=0,FALSE),IFERROR(INT(MID(metadata!C930,9,1))&lt;=3,FALSE),NOT(MID(metadata!C930,10,1)=""),IFERROR(INT(MID(metadata!C930,9,2))&gt;=1,FALSE),IFERROR(INT(MID(metadata!C930,9,2))&lt;=31,FALSE)), OR(MID(metadata!C930,11,1)="", AND(AND(MID(metadata!C930,11,1)=" ",IFERROR(INT(MID(metadata!C930,12,1))&gt;=0,FALSE),IFERROR(INT(MID(metadata!C930,12,1))&lt;=2,FALSE),NOT(MID(metadata!C930,13,1)=""),IFERROR(INT(MID(metadata!C930,12,2))&gt;=0,FALSE),IFERROR(INT(MID(metadata!C930,12,2))&lt;=23,FALSE)), OR(MID(metadata!C930,14,1)="", AND(AND(MID(metadata!C930,14,1)=":",IFERROR(INT(MID(metadata!C930,15,1))&gt;=0,FALSE),IFERROR(INT(MID(metadata!C930,15,1))&lt;=5,FALSE),NOT(MID(metadata!C930,16,1)=""),IFERROR(INT(MID(metadata!C930,15,2))&gt;=0,FALSE),IFERROR(INT(MID(metadata!C930,15,2))&lt;=59,FALSE)), OR(MID(metadata!C930,17,1)="", AND(AND(MID(metadata!C930,17,1)=":",IFERROR(INT(MID(metadata!C930,18,1))&gt;=0,FALSE),IFERROR(INT(MID(metadata!C930,18,1))&lt;=5,FALSE),NOT(MID(metadata!C930,19,1)=""),IFERROR(INT(MID(metadata!C930,18,2))&gt;=0,FALSE),IFERROR(INT(MID(metadata!C930,18,2))&lt;=59,FALSE)), LEN(metadata!C930)&lt;=19)))))))))))))</f>
        <v>0</v>
      </c>
      <c r="AO930" t="b">
        <f>AND(IF(metadata!D930="",FALSE,TRUE),EXACT(metadata!D930,"Not applicable"))</f>
        <v>0</v>
      </c>
      <c r="AP930" t="b">
        <f>IF(metadata!E930="",FALSE,TRUE)</f>
        <v>0</v>
      </c>
      <c r="AQ930" t="b">
        <f>OR(AND(IF(metadata!F930="",FALSE,TRUE),OR(EXACT(metadata!F930,"missing: not collected"),EXACT(metadata!F930,"missing: not provided"))),AND(IF(metadata!F930="",FALSE,TRUE),OR(EXACT(metadata!F930,"TRUE"),EXACT(metadata!F930,"FALSE"))))</f>
        <v>0</v>
      </c>
      <c r="AR930" t="b">
        <f>OR(AND(IF(metadata!G930="",FALSE,TRUE),OR(EXACT(metadata!G930,"missing: not collected"),EXACT(metadata!G930,"missing: not provided"),EXACT(metadata!G930,"missing: restricted access"))),AND(IF(metadata!G930="",FALSE,ISNUMBER(VALUE(metadata!G930))),metadata!G930&gt;=-413))</f>
        <v>0</v>
      </c>
      <c r="AS930" t="b">
        <f>AND(IF(metadata!H930="",FALSE,TRUE),EXACT(metadata!H930,"meters"))</f>
        <v>0</v>
      </c>
      <c r="AT930" t="b">
        <f>AND(IF(metadata!I930="",FALSE,TRUE),OR(EXACT(metadata!I930,"Host-associated"),EXACT(metadata!I930,"Free-living")))</f>
        <v>0</v>
      </c>
      <c r="AU930" t="b">
        <f>AND(IF(metadata!J930="",FALSE,TRUE),OR(EXACT(metadata!J930,"Animal"),EXACT(metadata!J930,"Fungus"),EXACT(metadata!J930,"Plant"),EXACT(metadata!J930,"Saline"),EXACT(metadata!J930,"Non-saline")))</f>
        <v>0</v>
      </c>
      <c r="AV930" t="b">
        <f>AND(IF(metadata!K930="",FALSE,TRUE),OR(EXACT(metadata!K930,"Plant secretion"),EXACT(metadata!K930,"Plant rhizosphere"),EXACT(metadata!K930,"Plant surface"),EXACT(metadata!K930,"Plant corpus"),EXACT(metadata!K930,"Fungus surface"),EXACT(metadata!K930,"Fungus corpus"),EXACT(metadata!K930,"Animal surface"),EXACT(metadata!K930,"Animal proximal gut"),EXACT(metadata!K930,"Animal corpus"),EXACT(metadata!K930,"Animal distal gut"),EXACT(metadata!K930,"Animal secretion"),EXACT(metadata!K930,"Sub-surface (non-saline)"),EXACT(metadata!K930,"Surface (non-saline)"),EXACT(metadata!K930,"Water (non-saline)"),EXACT(metadata!K930,"Soil (non-saline)"),EXACT(metadata!K930,"Aerosol (non-saline)"),EXACT(metadata!K930,"Sediment (non-saline)"),EXACT(metadata!K930,"Surface (saline)"),EXACT(metadata!K930,"Water (saline)"),EXACT(metadata!K930,"Hypersaline (saline)"),EXACT(metadata!K930,"Aerosol (saline)"),EXACT(metadata!K930,"Sediment (saline)")))</f>
        <v>0</v>
      </c>
      <c r="AW930" t="b">
        <f>IF(metadata!L930="",FALSE,TRUE)</f>
        <v>0</v>
      </c>
      <c r="AX930" t="b">
        <f>IF(metadata!M930="",FALSE,TRUE)</f>
        <v>0</v>
      </c>
      <c r="AY930" t="b">
        <f>IF(metadata!N930="",FALSE,TRUE)</f>
        <v>0</v>
      </c>
      <c r="AZ930" t="b">
        <f>OR(AND(IF(metadata!O930="",FALSE,TRUE),OR(EXACT(metadata!O930,"missing: not collected"),EXACT(metadata!O930,"missing: not provided"),EXACT(metadata!O930,"missing: restricted access"))),AND(IF(metadata!O930="",FALSE,TRUE),OR(EXACT(metadata!O930,"air"),EXACT(metadata!O930,"built environment"),EXACT(metadata!O930,"host-associated"),EXACT(metadata!O930,"human-associated"),EXACT(metadata!O930,"human-skin"),EXACT(metadata!O930,"human-oral"),EXACT(metadata!O930,"human-gut"),EXACT(metadata!O930,"human-vaginal"),EXACT(metadata!O930,"microbial mat/biofilm"),EXACT(metadata!O930,"misc environment"),EXACT(metadata!O930,"plant-associated"),EXACT(metadata!O930,"sediment"),EXACT(metadata!O930,"soil"),EXACT(metadata!O930,"wastewater/sludge"),EXACT(metadata!O930,"water"))))</f>
        <v>0</v>
      </c>
      <c r="BA930" t="b">
        <f>IF(metadata!P930="",FALSE,TRUE)</f>
        <v>0</v>
      </c>
      <c r="BB930" t="b">
        <f>IF(metadata!Q930="",FALSE,TRUE)</f>
        <v>0</v>
      </c>
      <c r="BC930" t="b">
        <f>OR(AND(IF(metadata!R930="",FALSE,TRUE),OR(EXACT(metadata!R930,"missing: not collected"),EXACT(metadata!R930,"missing: not provided"),EXACT(metadata!R930,"missing: restricted access"))),AND(IF(metadata!R930="",FALSE,ISNUMBER(VALUE(metadata!R930))),metadata!R930&gt;=-90,metadata!R930&lt;=90))</f>
        <v>0</v>
      </c>
      <c r="BD930" t="b">
        <f>AND(IF(metadata!S930="",FALSE,TRUE),EXACT(metadata!S930,"Decimal degrees"))</f>
        <v>0</v>
      </c>
      <c r="BE930" t="b">
        <f>OR(AND(IF(metadata!T930="",FALSE,TRUE),OR(EXACT(metadata!T930,"missing: not collected"),EXACT(metadata!T930,"missing: not provided"),EXACT(metadata!T930,"missing: restricted access"))),AND(IF(metadata!T930="",FALSE,ISNUMBER(VALUE(metadata!T930))),metadata!T930&gt;=-180,metadata!T930&lt;=180))</f>
        <v>0</v>
      </c>
      <c r="BF930" t="b">
        <f>AND(IF(metadata!U930="",FALSE,TRUE),EXACT(metadata!U930,"Decimal degrees"))</f>
        <v>0</v>
      </c>
      <c r="BG930" t="b">
        <f>IF(metadata!V930="",FALSE,TRUE)</f>
        <v>0</v>
      </c>
      <c r="BH930" t="b">
        <f>OR(AND(IF(metadata!W930="",FALSE,TRUE),OR(EXACT(metadata!W930,"missing: not collected"),EXACT(metadata!W930,"missing: not provided"),EXACT(metadata!W930,"missing: restricted access"))),AND(IF(metadata!W930="",FALSE,TRUE),OR(EXACT(metadata!W930,"TRUE"),EXACT(metadata!W930,"FALSE"))))</f>
        <v>0</v>
      </c>
      <c r="BI930" t="b">
        <f>AND(IF(metadata!X930="",FALSE,TRUE),EXACT(metadata!X930,"other"))</f>
        <v>0</v>
      </c>
      <c r="BJ930" t="b">
        <f>IF(metadata!Y930="",FALSE,TRUE)</f>
        <v>0</v>
      </c>
      <c r="BK930" t="b">
        <f>OR(AND(IF(metadata!Z930="",FALSE,TRUE),OR(EXACT(metadata!Z930,"missing: not collected"),EXACT(metadata!Z930,"missing: not provided"))),AND(IF(metadata!Z930="",FALSE,IF(ISERROR(INT(metadata!Z930)),FALSE,INT(metadata!Z930)=metadata!Z930)),metadata!Z930&gt;0))</f>
        <v>0</v>
      </c>
      <c r="BL930" t="b">
        <f>AND(IF(metadata!AA930="",FALSE,TRUE),EXACT(metadata!AA930,"Not applicable"))</f>
        <v>0</v>
      </c>
      <c r="BM930" t="b">
        <f>IF(metadata!AB930="",FALSE,TRUE)</f>
        <v>0</v>
      </c>
    </row>
    <row r="931" spans="1:65" x14ac:dyDescent="0.2">
      <c r="A931" s="5" t="str">
        <f ca="1">IF(B931=" "," ",HYPERLINK(CONCATENATE("#metadata!",ADDRESS(INDEX($AH$2:$AH$1001,MATCH(ROWS($AF$2:AF931),$AF$2:$AF$1001,0),0),1)),INDEX($AK$2:$AK$1001,MATCH(ROWS($AF$2:AF931),$AF$2:$AF$1001,0),0)))</f>
        <v xml:space="preserve"> </v>
      </c>
      <c r="B931" s="4" t="str">
        <f ca="1">IF(OR(INDEX($AG$2:$AG$1001,MATCH(ROWS($AF$2:AF931),$AF$2:$AF$1001,0),1)&gt;=100000,INDEX($AM$1005:$BM$1005,1,MATCH(COLUMNS($AM$1006:AM1006),$AM$1006:$BM$1006,0))&gt;=100000), " ",IF(INDEX($AM$2:$BM$1001,MATCH(ROWS($AF$2:AF931),$AF$2:$AF$1001,0),MATCH(COLUMNS($AM$1006:AM1006),$AM$1006:$BM$1006,0)), HYPERLINK("#",""), HYPERLINK(CONCATENATE("#metadata!", ADDRESS(INDEX($AH$2:$AH$1001,MATCH(ROWS($AF$2:AF931),$AF$2:$AF$1001,0),0), INDEX($AM$1004:$BM$1004,1,MATCH(COLUMNS($AM$1006:AM1006),$AM$1006:$BM$1006,0)))),"Fix")))</f>
        <v xml:space="preserve"> </v>
      </c>
      <c r="C931" s="4" t="str">
        <f ca="1">IF(OR(INDEX($AG$2:$AG$1001,MATCH(ROWS($AF$2:AF931),$AF$2:$AF$1001,0),1)&gt;=100000,INDEX($AM$1005:$BM$1005,1,MATCH(COLUMNS($AM$1006:AN1006),$AM$1006:$BM$1006,0))&gt;=100000), " ",IF(INDEX($AM$2:$BM$1001,MATCH(ROWS($AF$2:AF931),$AF$2:$AF$1001,0),MATCH(COLUMNS($AM$1006:AN1006),$AM$1006:$BM$1006,0)), HYPERLINK("#",""), HYPERLINK(CONCATENATE("#metadata!", ADDRESS(INDEX($AH$2:$AH$1001,MATCH(ROWS($AF$2:AF931),$AF$2:$AF$1001,0),0), INDEX($AM$1004:$BM$1004,1,MATCH(COLUMNS($AM$1006:AN1006),$AM$1006:$BM$1006,0)))),"Fix")))</f>
        <v xml:space="preserve"> </v>
      </c>
      <c r="D931" s="4" t="str">
        <f ca="1">IF(OR(INDEX($AG$2:$AG$1001,MATCH(ROWS($AF$2:AF931),$AF$2:$AF$1001,0),1)&gt;=100000,INDEX($AM$1005:$BM$1005,1,MATCH(COLUMNS($AM$1006:AO1006),$AM$1006:$BM$1006,0))&gt;=100000), " ",IF(INDEX($AM$2:$BM$1001,MATCH(ROWS($AF$2:AF931),$AF$2:$AF$1001,0),MATCH(COLUMNS($AM$1006:AO1006),$AM$1006:$BM$1006,0)), HYPERLINK("#",""), HYPERLINK(CONCATENATE("#metadata!", ADDRESS(INDEX($AH$2:$AH$1001,MATCH(ROWS($AF$2:AF931),$AF$2:$AF$1001,0),0), INDEX($AM$1004:$BM$1004,1,MATCH(COLUMNS($AM$1006:AO1006),$AM$1006:$BM$1006,0)))),"Fix")))</f>
        <v xml:space="preserve"> </v>
      </c>
      <c r="E931" s="4" t="str">
        <f ca="1">IF(OR(INDEX($AG$2:$AG$1001,MATCH(ROWS($AF$2:AF931),$AF$2:$AF$1001,0),1)&gt;=100000,INDEX($AM$1005:$BM$1005,1,MATCH(COLUMNS($AM$1006:AP1006),$AM$1006:$BM$1006,0))&gt;=100000), " ",IF(INDEX($AM$2:$BM$1001,MATCH(ROWS($AF$2:AF931),$AF$2:$AF$1001,0),MATCH(COLUMNS($AM$1006:AP1006),$AM$1006:$BM$1006,0)), HYPERLINK("#",""), HYPERLINK(CONCATENATE("#metadata!", ADDRESS(INDEX($AH$2:$AH$1001,MATCH(ROWS($AF$2:AF931),$AF$2:$AF$1001,0),0), INDEX($AM$1004:$BM$1004,1,MATCH(COLUMNS($AM$1006:AP1006),$AM$1006:$BM$1006,0)))),"Fix")))</f>
        <v xml:space="preserve"> </v>
      </c>
      <c r="F931" s="4" t="str">
        <f ca="1">IF(OR(INDEX($AG$2:$AG$1001,MATCH(ROWS($AF$2:AF931),$AF$2:$AF$1001,0),1)&gt;=100000,INDEX($AM$1005:$BM$1005,1,MATCH(COLUMNS($AM$1006:AQ1006),$AM$1006:$BM$1006,0))&gt;=100000), " ",IF(INDEX($AM$2:$BM$1001,MATCH(ROWS($AF$2:AF931),$AF$2:$AF$1001,0),MATCH(COLUMNS($AM$1006:AQ1006),$AM$1006:$BM$1006,0)), HYPERLINK("#",""), HYPERLINK(CONCATENATE("#metadata!", ADDRESS(INDEX($AH$2:$AH$1001,MATCH(ROWS($AF$2:AF931),$AF$2:$AF$1001,0),0), INDEX($AM$1004:$BM$1004,1,MATCH(COLUMNS($AM$1006:AQ1006),$AM$1006:$BM$1006,0)))),"Fix")))</f>
        <v xml:space="preserve"> </v>
      </c>
      <c r="G931" s="4" t="str">
        <f ca="1">IF(OR(INDEX($AG$2:$AG$1001,MATCH(ROWS($AF$2:AF931),$AF$2:$AF$1001,0),1)&gt;=100000,INDEX($AM$1005:$BM$1005,1,MATCH(COLUMNS($AM$1006:AR1006),$AM$1006:$BM$1006,0))&gt;=100000), " ",IF(INDEX($AM$2:$BM$1001,MATCH(ROWS($AF$2:AF931),$AF$2:$AF$1001,0),MATCH(COLUMNS($AM$1006:AR1006),$AM$1006:$BM$1006,0)), HYPERLINK("#",""), HYPERLINK(CONCATENATE("#metadata!", ADDRESS(INDEX($AH$2:$AH$1001,MATCH(ROWS($AF$2:AF931),$AF$2:$AF$1001,0),0), INDEX($AM$1004:$BM$1004,1,MATCH(COLUMNS($AM$1006:AR1006),$AM$1006:$BM$1006,0)))),"Fix")))</f>
        <v xml:space="preserve"> </v>
      </c>
      <c r="H931" s="4" t="str">
        <f ca="1">IF(OR(INDEX($AG$2:$AG$1001,MATCH(ROWS($AF$2:AF931),$AF$2:$AF$1001,0),1)&gt;=100000,INDEX($AM$1005:$BM$1005,1,MATCH(COLUMNS($AM$1006:AS1006),$AM$1006:$BM$1006,0))&gt;=100000), " ",IF(INDEX($AM$2:$BM$1001,MATCH(ROWS($AF$2:AF931),$AF$2:$AF$1001,0),MATCH(COLUMNS($AM$1006:AS1006),$AM$1006:$BM$1006,0)), HYPERLINK("#",""), HYPERLINK(CONCATENATE("#metadata!", ADDRESS(INDEX($AH$2:$AH$1001,MATCH(ROWS($AF$2:AF931),$AF$2:$AF$1001,0),0), INDEX($AM$1004:$BM$1004,1,MATCH(COLUMNS($AM$1006:AS1006),$AM$1006:$BM$1006,0)))),"Fix")))</f>
        <v xml:space="preserve"> </v>
      </c>
      <c r="I931" s="4" t="str">
        <f ca="1">IF(OR(INDEX($AG$2:$AG$1001,MATCH(ROWS($AF$2:AF931),$AF$2:$AF$1001,0),1)&gt;=100000,INDEX($AM$1005:$BM$1005,1,MATCH(COLUMNS($AM$1006:AT1006),$AM$1006:$BM$1006,0))&gt;=100000), " ",IF(INDEX($AM$2:$BM$1001,MATCH(ROWS($AF$2:AF931),$AF$2:$AF$1001,0),MATCH(COLUMNS($AM$1006:AT1006),$AM$1006:$BM$1006,0)), HYPERLINK("#",""), HYPERLINK(CONCATENATE("#metadata!", ADDRESS(INDEX($AH$2:$AH$1001,MATCH(ROWS($AF$2:AF931),$AF$2:$AF$1001,0),0), INDEX($AM$1004:$BM$1004,1,MATCH(COLUMNS($AM$1006:AT1006),$AM$1006:$BM$1006,0)))),"Fix")))</f>
        <v xml:space="preserve"> </v>
      </c>
      <c r="J931" s="4" t="str">
        <f ca="1">IF(OR(INDEX($AG$2:$AG$1001,MATCH(ROWS($AF$2:AF931),$AF$2:$AF$1001,0),1)&gt;=100000,INDEX($AM$1005:$BM$1005,1,MATCH(COLUMNS($AM$1006:AU1006),$AM$1006:$BM$1006,0))&gt;=100000), " ",IF(INDEX($AM$2:$BM$1001,MATCH(ROWS($AF$2:AF931),$AF$2:$AF$1001,0),MATCH(COLUMNS($AM$1006:AU1006),$AM$1006:$BM$1006,0)), HYPERLINK("#",""), HYPERLINK(CONCATENATE("#metadata!", ADDRESS(INDEX($AH$2:$AH$1001,MATCH(ROWS($AF$2:AF931),$AF$2:$AF$1001,0),0), INDEX($AM$1004:$BM$1004,1,MATCH(COLUMNS($AM$1006:AU1006),$AM$1006:$BM$1006,0)))),"Fix")))</f>
        <v xml:space="preserve"> </v>
      </c>
      <c r="K931" s="4" t="str">
        <f ca="1">IF(OR(INDEX($AG$2:$AG$1001,MATCH(ROWS($AF$2:AF931),$AF$2:$AF$1001,0),1)&gt;=100000,INDEX($AM$1005:$BM$1005,1,MATCH(COLUMNS($AM$1006:AV1006),$AM$1006:$BM$1006,0))&gt;=100000), " ",IF(INDEX($AM$2:$BM$1001,MATCH(ROWS($AF$2:AF931),$AF$2:$AF$1001,0),MATCH(COLUMNS($AM$1006:AV1006),$AM$1006:$BM$1006,0)), HYPERLINK("#",""), HYPERLINK(CONCATENATE("#metadata!", ADDRESS(INDEX($AH$2:$AH$1001,MATCH(ROWS($AF$2:AF931),$AF$2:$AF$1001,0),0), INDEX($AM$1004:$BM$1004,1,MATCH(COLUMNS($AM$1006:AV1006),$AM$1006:$BM$1006,0)))),"Fix")))</f>
        <v xml:space="preserve"> </v>
      </c>
      <c r="L931" s="4" t="str">
        <f ca="1">IF(OR(INDEX($AG$2:$AG$1001,MATCH(ROWS($AF$2:AF931),$AF$2:$AF$1001,0),1)&gt;=100000,INDEX($AM$1005:$BM$1005,1,MATCH(COLUMNS($AM$1006:AW1006),$AM$1006:$BM$1006,0))&gt;=100000), " ",IF(INDEX($AM$2:$BM$1001,MATCH(ROWS($AF$2:AF931),$AF$2:$AF$1001,0),MATCH(COLUMNS($AM$1006:AW1006),$AM$1006:$BM$1006,0)), HYPERLINK("#",""), HYPERLINK(CONCATENATE("#metadata!", ADDRESS(INDEX($AH$2:$AH$1001,MATCH(ROWS($AF$2:AF931),$AF$2:$AF$1001,0),0), INDEX($AM$1004:$BM$1004,1,MATCH(COLUMNS($AM$1006:AW1006),$AM$1006:$BM$1006,0)))),"Fix")))</f>
        <v xml:space="preserve"> </v>
      </c>
      <c r="M931" s="4" t="str">
        <f ca="1">IF(OR(INDEX($AG$2:$AG$1001,MATCH(ROWS($AF$2:AF931),$AF$2:$AF$1001,0),1)&gt;=100000,INDEX($AM$1005:$BM$1005,1,MATCH(COLUMNS($AM$1006:AX1006),$AM$1006:$BM$1006,0))&gt;=100000), " ",IF(INDEX($AM$2:$BM$1001,MATCH(ROWS($AF$2:AF931),$AF$2:$AF$1001,0),MATCH(COLUMNS($AM$1006:AX1006),$AM$1006:$BM$1006,0)), HYPERLINK("#",""), HYPERLINK(CONCATENATE("#metadata!", ADDRESS(INDEX($AH$2:$AH$1001,MATCH(ROWS($AF$2:AF931),$AF$2:$AF$1001,0),0), INDEX($AM$1004:$BM$1004,1,MATCH(COLUMNS($AM$1006:AX1006),$AM$1006:$BM$1006,0)))),"Fix")))</f>
        <v xml:space="preserve"> </v>
      </c>
      <c r="N931" s="4" t="str">
        <f ca="1">IF(OR(INDEX($AG$2:$AG$1001,MATCH(ROWS($AF$2:AF931),$AF$2:$AF$1001,0),1)&gt;=100000,INDEX($AM$1005:$BM$1005,1,MATCH(COLUMNS($AM$1006:AY1006),$AM$1006:$BM$1006,0))&gt;=100000), " ",IF(INDEX($AM$2:$BM$1001,MATCH(ROWS($AF$2:AF931),$AF$2:$AF$1001,0),MATCH(COLUMNS($AM$1006:AY1006),$AM$1006:$BM$1006,0)), HYPERLINK("#",""), HYPERLINK(CONCATENATE("#metadata!", ADDRESS(INDEX($AH$2:$AH$1001,MATCH(ROWS($AF$2:AF931),$AF$2:$AF$1001,0),0), INDEX($AM$1004:$BM$1004,1,MATCH(COLUMNS($AM$1006:AY1006),$AM$1006:$BM$1006,0)))),"Fix")))</f>
        <v xml:space="preserve"> </v>
      </c>
      <c r="O931" s="4" t="str">
        <f ca="1">IF(OR(INDEX($AG$2:$AG$1001,MATCH(ROWS($AF$2:AF931),$AF$2:$AF$1001,0),1)&gt;=100000,INDEX($AM$1005:$BM$1005,1,MATCH(COLUMNS($AM$1006:AZ1006),$AM$1006:$BM$1006,0))&gt;=100000), " ",IF(INDEX($AM$2:$BM$1001,MATCH(ROWS($AF$2:AF931),$AF$2:$AF$1001,0),MATCH(COLUMNS($AM$1006:AZ1006),$AM$1006:$BM$1006,0)), HYPERLINK("#",""), HYPERLINK(CONCATENATE("#metadata!", ADDRESS(INDEX($AH$2:$AH$1001,MATCH(ROWS($AF$2:AF931),$AF$2:$AF$1001,0),0), INDEX($AM$1004:$BM$1004,1,MATCH(COLUMNS($AM$1006:AZ1006),$AM$1006:$BM$1006,0)))),"Fix")))</f>
        <v xml:space="preserve"> </v>
      </c>
      <c r="P931" s="4" t="str">
        <f ca="1">IF(OR(INDEX($AG$2:$AG$1001,MATCH(ROWS($AF$2:AF931),$AF$2:$AF$1001,0),1)&gt;=100000,INDEX($AM$1005:$BM$1005,1,MATCH(COLUMNS($AM$1006:BA1006),$AM$1006:$BM$1006,0))&gt;=100000), " ",IF(INDEX($AM$2:$BM$1001,MATCH(ROWS($AF$2:AF931),$AF$2:$AF$1001,0),MATCH(COLUMNS($AM$1006:BA1006),$AM$1006:$BM$1006,0)), HYPERLINK("#",""), HYPERLINK(CONCATENATE("#metadata!", ADDRESS(INDEX($AH$2:$AH$1001,MATCH(ROWS($AF$2:AF931),$AF$2:$AF$1001,0),0), INDEX($AM$1004:$BM$1004,1,MATCH(COLUMNS($AM$1006:BA1006),$AM$1006:$BM$1006,0)))),"Fix")))</f>
        <v xml:space="preserve"> </v>
      </c>
      <c r="Q931" s="4" t="str">
        <f ca="1">IF(OR(INDEX($AG$2:$AG$1001,MATCH(ROWS($AF$2:AF931),$AF$2:$AF$1001,0),1)&gt;=100000,INDEX($AM$1005:$BM$1005,1,MATCH(COLUMNS($AM$1006:BB1006),$AM$1006:$BM$1006,0))&gt;=100000), " ",IF(INDEX($AM$2:$BM$1001,MATCH(ROWS($AF$2:AF931),$AF$2:$AF$1001,0),MATCH(COLUMNS($AM$1006:BB1006),$AM$1006:$BM$1006,0)), HYPERLINK("#",""), HYPERLINK(CONCATENATE("#metadata!", ADDRESS(INDEX($AH$2:$AH$1001,MATCH(ROWS($AF$2:AF931),$AF$2:$AF$1001,0),0), INDEX($AM$1004:$BM$1004,1,MATCH(COLUMNS($AM$1006:BB1006),$AM$1006:$BM$1006,0)))),"Fix")))</f>
        <v xml:space="preserve"> </v>
      </c>
      <c r="R931" s="4" t="str">
        <f ca="1">IF(OR(INDEX($AG$2:$AG$1001,MATCH(ROWS($AF$2:AF931),$AF$2:$AF$1001,0),1)&gt;=100000,INDEX($AM$1005:$BM$1005,1,MATCH(COLUMNS($AM$1006:BC1006),$AM$1006:$BM$1006,0))&gt;=100000), " ",IF(INDEX($AM$2:$BM$1001,MATCH(ROWS($AF$2:AF931),$AF$2:$AF$1001,0),MATCH(COLUMNS($AM$1006:BC1006),$AM$1006:$BM$1006,0)), HYPERLINK("#",""), HYPERLINK(CONCATENATE("#metadata!", ADDRESS(INDEX($AH$2:$AH$1001,MATCH(ROWS($AF$2:AF931),$AF$2:$AF$1001,0),0), INDEX($AM$1004:$BM$1004,1,MATCH(COLUMNS($AM$1006:BC1006),$AM$1006:$BM$1006,0)))),"Fix")))</f>
        <v xml:space="preserve"> </v>
      </c>
      <c r="S931" s="4" t="str">
        <f ca="1">IF(OR(INDEX($AG$2:$AG$1001,MATCH(ROWS($AF$2:AF931),$AF$2:$AF$1001,0),1)&gt;=100000,INDEX($AM$1005:$BM$1005,1,MATCH(COLUMNS($AM$1006:BD1006),$AM$1006:$BM$1006,0))&gt;=100000), " ",IF(INDEX($AM$2:$BM$1001,MATCH(ROWS($AF$2:AF931),$AF$2:$AF$1001,0),MATCH(COLUMNS($AM$1006:BD1006),$AM$1006:$BM$1006,0)), HYPERLINK("#",""), HYPERLINK(CONCATENATE("#metadata!", ADDRESS(INDEX($AH$2:$AH$1001,MATCH(ROWS($AF$2:AF931),$AF$2:$AF$1001,0),0), INDEX($AM$1004:$BM$1004,1,MATCH(COLUMNS($AM$1006:BD1006),$AM$1006:$BM$1006,0)))),"Fix")))</f>
        <v xml:space="preserve"> </v>
      </c>
      <c r="T931" s="4" t="str">
        <f ca="1">IF(OR(INDEX($AG$2:$AG$1001,MATCH(ROWS($AF$2:AF931),$AF$2:$AF$1001,0),1)&gt;=100000,INDEX($AM$1005:$BM$1005,1,MATCH(COLUMNS($AM$1006:BE1006),$AM$1006:$BM$1006,0))&gt;=100000), " ",IF(INDEX($AM$2:$BM$1001,MATCH(ROWS($AF$2:AF931),$AF$2:$AF$1001,0),MATCH(COLUMNS($AM$1006:BE1006),$AM$1006:$BM$1006,0)), HYPERLINK("#",""), HYPERLINK(CONCATENATE("#metadata!", ADDRESS(INDEX($AH$2:$AH$1001,MATCH(ROWS($AF$2:AF931),$AF$2:$AF$1001,0),0), INDEX($AM$1004:$BM$1004,1,MATCH(COLUMNS($AM$1006:BE1006),$AM$1006:$BM$1006,0)))),"Fix")))</f>
        <v xml:space="preserve"> </v>
      </c>
      <c r="U931" s="4" t="str">
        <f ca="1">IF(OR(INDEX($AG$2:$AG$1001,MATCH(ROWS($AF$2:AF931),$AF$2:$AF$1001,0),1)&gt;=100000,INDEX($AM$1005:$BM$1005,1,MATCH(COLUMNS($AM$1006:BF1006),$AM$1006:$BM$1006,0))&gt;=100000), " ",IF(INDEX($AM$2:$BM$1001,MATCH(ROWS($AF$2:AF931),$AF$2:$AF$1001,0),MATCH(COLUMNS($AM$1006:BF1006),$AM$1006:$BM$1006,0)), HYPERLINK("#",""), HYPERLINK(CONCATENATE("#metadata!", ADDRESS(INDEX($AH$2:$AH$1001,MATCH(ROWS($AF$2:AF931),$AF$2:$AF$1001,0),0), INDEX($AM$1004:$BM$1004,1,MATCH(COLUMNS($AM$1006:BF1006),$AM$1006:$BM$1006,0)))),"Fix")))</f>
        <v xml:space="preserve"> </v>
      </c>
      <c r="V931" s="4" t="str">
        <f ca="1">IF(OR(INDEX($AG$2:$AG$1001,MATCH(ROWS($AF$2:AF931),$AF$2:$AF$1001,0),1)&gt;=100000,INDEX($AM$1005:$BM$1005,1,MATCH(COLUMNS($AM$1006:BG1006),$AM$1006:$BM$1006,0))&gt;=100000), " ",IF(INDEX($AM$2:$BM$1001,MATCH(ROWS($AF$2:AF931),$AF$2:$AF$1001,0),MATCH(COLUMNS($AM$1006:BG1006),$AM$1006:$BM$1006,0)), HYPERLINK("#",""), HYPERLINK(CONCATENATE("#metadata!", ADDRESS(INDEX($AH$2:$AH$1001,MATCH(ROWS($AF$2:AF931),$AF$2:$AF$1001,0),0), INDEX($AM$1004:$BM$1004,1,MATCH(COLUMNS($AM$1006:BG1006),$AM$1006:$BM$1006,0)))),"Fix")))</f>
        <v xml:space="preserve"> </v>
      </c>
      <c r="W931" s="4" t="str">
        <f ca="1">IF(OR(INDEX($AG$2:$AG$1001,MATCH(ROWS($AF$2:AF931),$AF$2:$AF$1001,0),1)&gt;=100000,INDEX($AM$1005:$BM$1005,1,MATCH(COLUMNS($AM$1006:BH1006),$AM$1006:$BM$1006,0))&gt;=100000), " ",IF(INDEX($AM$2:$BM$1001,MATCH(ROWS($AF$2:AF931),$AF$2:$AF$1001,0),MATCH(COLUMNS($AM$1006:BH1006),$AM$1006:$BM$1006,0)), HYPERLINK("#",""), HYPERLINK(CONCATENATE("#metadata!", ADDRESS(INDEX($AH$2:$AH$1001,MATCH(ROWS($AF$2:AF931),$AF$2:$AF$1001,0),0), INDEX($AM$1004:$BM$1004,1,MATCH(COLUMNS($AM$1006:BH1006),$AM$1006:$BM$1006,0)))),"Fix")))</f>
        <v xml:space="preserve"> </v>
      </c>
      <c r="X931" s="4" t="str">
        <f ca="1">IF(OR(INDEX($AG$2:$AG$1001,MATCH(ROWS($AF$2:AF931),$AF$2:$AF$1001,0),1)&gt;=100000,INDEX($AM$1005:$BM$1005,1,MATCH(COLUMNS($AM$1006:BI1006),$AM$1006:$BM$1006,0))&gt;=100000), " ",IF(INDEX($AM$2:$BM$1001,MATCH(ROWS($AF$2:AF931),$AF$2:$AF$1001,0),MATCH(COLUMNS($AM$1006:BI1006),$AM$1006:$BM$1006,0)), HYPERLINK("#",""), HYPERLINK(CONCATENATE("#metadata!", ADDRESS(INDEX($AH$2:$AH$1001,MATCH(ROWS($AF$2:AF931),$AF$2:$AF$1001,0),0), INDEX($AM$1004:$BM$1004,1,MATCH(COLUMNS($AM$1006:BI1006),$AM$1006:$BM$1006,0)))),"Fix")))</f>
        <v xml:space="preserve"> </v>
      </c>
      <c r="Y931" s="4" t="str">
        <f ca="1">IF(OR(INDEX($AG$2:$AG$1001,MATCH(ROWS($AF$2:AF931),$AF$2:$AF$1001,0),1)&gt;=100000,INDEX($AM$1005:$BM$1005,1,MATCH(COLUMNS($AM$1006:BJ1006),$AM$1006:$BM$1006,0))&gt;=100000), " ",IF(INDEX($AM$2:$BM$1001,MATCH(ROWS($AF$2:AF931),$AF$2:$AF$1001,0),MATCH(COLUMNS($AM$1006:BJ1006),$AM$1006:$BM$1006,0)), HYPERLINK("#",""), HYPERLINK(CONCATENATE("#metadata!", ADDRESS(INDEX($AH$2:$AH$1001,MATCH(ROWS($AF$2:AF931),$AF$2:$AF$1001,0),0), INDEX($AM$1004:$BM$1004,1,MATCH(COLUMNS($AM$1006:BJ1006),$AM$1006:$BM$1006,0)))),"Fix")))</f>
        <v xml:space="preserve"> </v>
      </c>
      <c r="Z931" s="4" t="str">
        <f ca="1">IF(OR(INDEX($AG$2:$AG$1001,MATCH(ROWS($AF$2:AF931),$AF$2:$AF$1001,0),1)&gt;=100000,INDEX($AM$1005:$BM$1005,1,MATCH(COLUMNS($AM$1006:BK1006),$AM$1006:$BM$1006,0))&gt;=100000), " ",IF(INDEX($AM$2:$BM$1001,MATCH(ROWS($AF$2:AF931),$AF$2:$AF$1001,0),MATCH(COLUMNS($AM$1006:BK1006),$AM$1006:$BM$1006,0)), HYPERLINK("#",""), HYPERLINK(CONCATENATE("#metadata!", ADDRESS(INDEX($AH$2:$AH$1001,MATCH(ROWS($AF$2:AF931),$AF$2:$AF$1001,0),0), INDEX($AM$1004:$BM$1004,1,MATCH(COLUMNS($AM$1006:BK1006),$AM$1006:$BM$1006,0)))),"Fix")))</f>
        <v xml:space="preserve"> </v>
      </c>
      <c r="AA931" s="4" t="str">
        <f ca="1">IF(OR(INDEX($AG$2:$AG$1001,MATCH(ROWS($AF$2:AF931),$AF$2:$AF$1001,0),1)&gt;=100000,INDEX($AM$1005:$BM$1005,1,MATCH(COLUMNS($AM$1006:BL1006),$AM$1006:$BM$1006,0))&gt;=100000), " ",IF(INDEX($AM$2:$BM$1001,MATCH(ROWS($AF$2:AF931),$AF$2:$AF$1001,0),MATCH(COLUMNS($AM$1006:BL1006),$AM$1006:$BM$1006,0)), HYPERLINK("#",""), HYPERLINK(CONCATENATE("#metadata!", ADDRESS(INDEX($AH$2:$AH$1001,MATCH(ROWS($AF$2:AF931),$AF$2:$AF$1001,0),0), INDEX($AM$1004:$BM$1004,1,MATCH(COLUMNS($AM$1006:BL1006),$AM$1006:$BM$1006,0)))),"Fix")))</f>
        <v xml:space="preserve"> </v>
      </c>
      <c r="AB931" s="4" t="str">
        <f ca="1">IF(OR(INDEX($AG$2:$AG$1001,MATCH(ROWS($AF$2:AF931),$AF$2:$AF$1001,0),1)&gt;=100000,INDEX($AM$1005:$BM$1005,1,MATCH(COLUMNS($AM$1006:BM1006),$AM$1006:$BM$1006,0))&gt;=100000), " ",IF(INDEX($AM$2:$BM$1001,MATCH(ROWS($AF$2:AF931),$AF$2:$AF$1001,0),MATCH(COLUMNS($AM$1006:BM1006),$AM$1006:$BM$1006,0)), HYPERLINK("#",""), HYPERLINK(CONCATENATE("#metadata!", ADDRESS(INDEX($AH$2:$AH$1001,MATCH(ROWS($AF$2:AF931),$AF$2:$AF$1001,0),0), INDEX($AM$1004:$BM$1004,1,MATCH(COLUMNS($AM$1006:BM1006),$AM$1006:$BM$1006,0)))),"Fix")))</f>
        <v xml:space="preserve"> </v>
      </c>
      <c r="AF931">
        <v>930</v>
      </c>
      <c r="AG931">
        <v>100931</v>
      </c>
      <c r="AH931">
        <v>931</v>
      </c>
      <c r="AI931" t="b">
        <f t="shared" si="14"/>
        <v>1</v>
      </c>
      <c r="AJ931" t="b">
        <f>COUNTBLANK(metadata!B931:AB931)=COLUMNS(metadata!B931:AB931)</f>
        <v>1</v>
      </c>
      <c r="AK931" t="str">
        <v/>
      </c>
      <c r="AM931" t="b">
        <f ca="1">AND(IF(metadata!B931="",FALSE,TRUE),COUNTIF(metadata!B:B, metadata!B931) = 1,NOT(ISERROR(SUMPRODUCT(SEARCH(MID(metadata!B931,ROW(INDIRECT("1:"&amp;LEN(metadata!B931))), 1),"0123456789abcdefghijklmnopqrstuvwxyzABCDEFGHIJKLMNOPQRSTUVWXYZ.")))))</f>
        <v>0</v>
      </c>
      <c r="AN931" t="b">
        <f ca="1">OR(AND(IF(metadata!C931="",FALSE,TRUE),OR(EXACT(metadata!C931,"missing: not collected"),EXACT(metadata!C931,"missing: not provided"),EXACT(metadata!C931,"missing: restricted access"))),AND(IF(metadata!C931="",FALSE,TRUE),AND(AND(IFERROR(INT(LEFT(metadata!C931,4))&gt;1900,FALSE),IFERROR(INT(LEFT(metadata!C931,4))&lt;=YEAR(NOW()),FALSE)), OR(MID(metadata!C931,5,1)="", AND(AND(MID(metadata!C931,5,1)="-",IFERROR(INT(MID(metadata!C931,6,1))&gt;=0,FALSE),IFERROR(INT(MID(metadata!C931,6,1))&lt;=1,FALSE),NOT(MID(metadata!C931,7,1)=""),IFERROR(INT(MID(metadata!C931,6,2))&gt;=1,FALSE),IFERROR(INT(MID(metadata!C931,6,2))&lt;=12,FALSE)), OR(MID(metadata!C931,8,1)="", AND(AND(MID(metadata!C931,8,1)="-",IFERROR(INT(MID(metadata!C931,9,1))&gt;=0,FALSE),IFERROR(INT(MID(metadata!C931,9,1))&lt;=3,FALSE),NOT(MID(metadata!C931,10,1)=""),IFERROR(INT(MID(metadata!C931,9,2))&gt;=1,FALSE),IFERROR(INT(MID(metadata!C931,9,2))&lt;=31,FALSE)), OR(MID(metadata!C931,11,1)="", AND(AND(MID(metadata!C931,11,1)=" ",IFERROR(INT(MID(metadata!C931,12,1))&gt;=0,FALSE),IFERROR(INT(MID(metadata!C931,12,1))&lt;=2,FALSE),NOT(MID(metadata!C931,13,1)=""),IFERROR(INT(MID(metadata!C931,12,2))&gt;=0,FALSE),IFERROR(INT(MID(metadata!C931,12,2))&lt;=23,FALSE)), OR(MID(metadata!C931,14,1)="", AND(AND(MID(metadata!C931,14,1)=":",IFERROR(INT(MID(metadata!C931,15,1))&gt;=0,FALSE),IFERROR(INT(MID(metadata!C931,15,1))&lt;=5,FALSE),NOT(MID(metadata!C931,16,1)=""),IFERROR(INT(MID(metadata!C931,15,2))&gt;=0,FALSE),IFERROR(INT(MID(metadata!C931,15,2))&lt;=59,FALSE)), OR(MID(metadata!C931,17,1)="", AND(AND(MID(metadata!C931,17,1)=":",IFERROR(INT(MID(metadata!C931,18,1))&gt;=0,FALSE),IFERROR(INT(MID(metadata!C931,18,1))&lt;=5,FALSE),NOT(MID(metadata!C931,19,1)=""),IFERROR(INT(MID(metadata!C931,18,2))&gt;=0,FALSE),IFERROR(INT(MID(metadata!C931,18,2))&lt;=59,FALSE)), LEN(metadata!C931)&lt;=19)))))))))))))</f>
        <v>0</v>
      </c>
      <c r="AO931" t="b">
        <f>AND(IF(metadata!D931="",FALSE,TRUE),EXACT(metadata!D931,"Not applicable"))</f>
        <v>0</v>
      </c>
      <c r="AP931" t="b">
        <f>IF(metadata!E931="",FALSE,TRUE)</f>
        <v>0</v>
      </c>
      <c r="AQ931" t="b">
        <f>OR(AND(IF(metadata!F931="",FALSE,TRUE),OR(EXACT(metadata!F931,"missing: not collected"),EXACT(metadata!F931,"missing: not provided"))),AND(IF(metadata!F931="",FALSE,TRUE),OR(EXACT(metadata!F931,"TRUE"),EXACT(metadata!F931,"FALSE"))))</f>
        <v>0</v>
      </c>
      <c r="AR931" t="b">
        <f>OR(AND(IF(metadata!G931="",FALSE,TRUE),OR(EXACT(metadata!G931,"missing: not collected"),EXACT(metadata!G931,"missing: not provided"),EXACT(metadata!G931,"missing: restricted access"))),AND(IF(metadata!G931="",FALSE,ISNUMBER(VALUE(metadata!G931))),metadata!G931&gt;=-413))</f>
        <v>0</v>
      </c>
      <c r="AS931" t="b">
        <f>AND(IF(metadata!H931="",FALSE,TRUE),EXACT(metadata!H931,"meters"))</f>
        <v>0</v>
      </c>
      <c r="AT931" t="b">
        <f>AND(IF(metadata!I931="",FALSE,TRUE),OR(EXACT(metadata!I931,"Host-associated"),EXACT(metadata!I931,"Free-living")))</f>
        <v>0</v>
      </c>
      <c r="AU931" t="b">
        <f>AND(IF(metadata!J931="",FALSE,TRUE),OR(EXACT(metadata!J931,"Animal"),EXACT(metadata!J931,"Fungus"),EXACT(metadata!J931,"Plant"),EXACT(metadata!J931,"Saline"),EXACT(metadata!J931,"Non-saline")))</f>
        <v>0</v>
      </c>
      <c r="AV931" t="b">
        <f>AND(IF(metadata!K931="",FALSE,TRUE),OR(EXACT(metadata!K931,"Plant secretion"),EXACT(metadata!K931,"Plant rhizosphere"),EXACT(metadata!K931,"Plant surface"),EXACT(metadata!K931,"Plant corpus"),EXACT(metadata!K931,"Fungus surface"),EXACT(metadata!K931,"Fungus corpus"),EXACT(metadata!K931,"Animal surface"),EXACT(metadata!K931,"Animal proximal gut"),EXACT(metadata!K931,"Animal corpus"),EXACT(metadata!K931,"Animal distal gut"),EXACT(metadata!K931,"Animal secretion"),EXACT(metadata!K931,"Sub-surface (non-saline)"),EXACT(metadata!K931,"Surface (non-saline)"),EXACT(metadata!K931,"Water (non-saline)"),EXACT(metadata!K931,"Soil (non-saline)"),EXACT(metadata!K931,"Aerosol (non-saline)"),EXACT(metadata!K931,"Sediment (non-saline)"),EXACT(metadata!K931,"Surface (saline)"),EXACT(metadata!K931,"Water (saline)"),EXACT(metadata!K931,"Hypersaline (saline)"),EXACT(metadata!K931,"Aerosol (saline)"),EXACT(metadata!K931,"Sediment (saline)")))</f>
        <v>0</v>
      </c>
      <c r="AW931" t="b">
        <f>IF(metadata!L931="",FALSE,TRUE)</f>
        <v>0</v>
      </c>
      <c r="AX931" t="b">
        <f>IF(metadata!M931="",FALSE,TRUE)</f>
        <v>0</v>
      </c>
      <c r="AY931" t="b">
        <f>IF(metadata!N931="",FALSE,TRUE)</f>
        <v>0</v>
      </c>
      <c r="AZ931" t="b">
        <f>OR(AND(IF(metadata!O931="",FALSE,TRUE),OR(EXACT(metadata!O931,"missing: not collected"),EXACT(metadata!O931,"missing: not provided"),EXACT(metadata!O931,"missing: restricted access"))),AND(IF(metadata!O931="",FALSE,TRUE),OR(EXACT(metadata!O931,"air"),EXACT(metadata!O931,"built environment"),EXACT(metadata!O931,"host-associated"),EXACT(metadata!O931,"human-associated"),EXACT(metadata!O931,"human-skin"),EXACT(metadata!O931,"human-oral"),EXACT(metadata!O931,"human-gut"),EXACT(metadata!O931,"human-vaginal"),EXACT(metadata!O931,"microbial mat/biofilm"),EXACT(metadata!O931,"misc environment"),EXACT(metadata!O931,"plant-associated"),EXACT(metadata!O931,"sediment"),EXACT(metadata!O931,"soil"),EXACT(metadata!O931,"wastewater/sludge"),EXACT(metadata!O931,"water"))))</f>
        <v>0</v>
      </c>
      <c r="BA931" t="b">
        <f>IF(metadata!P931="",FALSE,TRUE)</f>
        <v>0</v>
      </c>
      <c r="BB931" t="b">
        <f>IF(metadata!Q931="",FALSE,TRUE)</f>
        <v>0</v>
      </c>
      <c r="BC931" t="b">
        <f>OR(AND(IF(metadata!R931="",FALSE,TRUE),OR(EXACT(metadata!R931,"missing: not collected"),EXACT(metadata!R931,"missing: not provided"),EXACT(metadata!R931,"missing: restricted access"))),AND(IF(metadata!R931="",FALSE,ISNUMBER(VALUE(metadata!R931))),metadata!R931&gt;=-90,metadata!R931&lt;=90))</f>
        <v>0</v>
      </c>
      <c r="BD931" t="b">
        <f>AND(IF(metadata!S931="",FALSE,TRUE),EXACT(metadata!S931,"Decimal degrees"))</f>
        <v>0</v>
      </c>
      <c r="BE931" t="b">
        <f>OR(AND(IF(metadata!T931="",FALSE,TRUE),OR(EXACT(metadata!T931,"missing: not collected"),EXACT(metadata!T931,"missing: not provided"),EXACT(metadata!T931,"missing: restricted access"))),AND(IF(metadata!T931="",FALSE,ISNUMBER(VALUE(metadata!T931))),metadata!T931&gt;=-180,metadata!T931&lt;=180))</f>
        <v>0</v>
      </c>
      <c r="BF931" t="b">
        <f>AND(IF(metadata!U931="",FALSE,TRUE),EXACT(metadata!U931,"Decimal degrees"))</f>
        <v>0</v>
      </c>
      <c r="BG931" t="b">
        <f>IF(metadata!V931="",FALSE,TRUE)</f>
        <v>0</v>
      </c>
      <c r="BH931" t="b">
        <f>OR(AND(IF(metadata!W931="",FALSE,TRUE),OR(EXACT(metadata!W931,"missing: not collected"),EXACT(metadata!W931,"missing: not provided"),EXACT(metadata!W931,"missing: restricted access"))),AND(IF(metadata!W931="",FALSE,TRUE),OR(EXACT(metadata!W931,"TRUE"),EXACT(metadata!W931,"FALSE"))))</f>
        <v>0</v>
      </c>
      <c r="BI931" t="b">
        <f>AND(IF(metadata!X931="",FALSE,TRUE),EXACT(metadata!X931,"other"))</f>
        <v>0</v>
      </c>
      <c r="BJ931" t="b">
        <f>IF(metadata!Y931="",FALSE,TRUE)</f>
        <v>0</v>
      </c>
      <c r="BK931" t="b">
        <f>OR(AND(IF(metadata!Z931="",FALSE,TRUE),OR(EXACT(metadata!Z931,"missing: not collected"),EXACT(metadata!Z931,"missing: not provided"))),AND(IF(metadata!Z931="",FALSE,IF(ISERROR(INT(metadata!Z931)),FALSE,INT(metadata!Z931)=metadata!Z931)),metadata!Z931&gt;0))</f>
        <v>0</v>
      </c>
      <c r="BL931" t="b">
        <f>AND(IF(metadata!AA931="",FALSE,TRUE),EXACT(metadata!AA931,"Not applicable"))</f>
        <v>0</v>
      </c>
      <c r="BM931" t="b">
        <f>IF(metadata!AB931="",FALSE,TRUE)</f>
        <v>0</v>
      </c>
    </row>
    <row r="932" spans="1:65" x14ac:dyDescent="0.2">
      <c r="A932" s="5" t="str">
        <f ca="1">IF(B932=" "," ",HYPERLINK(CONCATENATE("#metadata!",ADDRESS(INDEX($AH$2:$AH$1001,MATCH(ROWS($AF$2:AF932),$AF$2:$AF$1001,0),0),1)),INDEX($AK$2:$AK$1001,MATCH(ROWS($AF$2:AF932),$AF$2:$AF$1001,0),0)))</f>
        <v xml:space="preserve"> </v>
      </c>
      <c r="B932" s="4" t="str">
        <f ca="1">IF(OR(INDEX($AG$2:$AG$1001,MATCH(ROWS($AF$2:AF932),$AF$2:$AF$1001,0),1)&gt;=100000,INDEX($AM$1005:$BM$1005,1,MATCH(COLUMNS($AM$1006:AM1006),$AM$1006:$BM$1006,0))&gt;=100000), " ",IF(INDEX($AM$2:$BM$1001,MATCH(ROWS($AF$2:AF932),$AF$2:$AF$1001,0),MATCH(COLUMNS($AM$1006:AM1006),$AM$1006:$BM$1006,0)), HYPERLINK("#",""), HYPERLINK(CONCATENATE("#metadata!", ADDRESS(INDEX($AH$2:$AH$1001,MATCH(ROWS($AF$2:AF932),$AF$2:$AF$1001,0),0), INDEX($AM$1004:$BM$1004,1,MATCH(COLUMNS($AM$1006:AM1006),$AM$1006:$BM$1006,0)))),"Fix")))</f>
        <v xml:space="preserve"> </v>
      </c>
      <c r="C932" s="4" t="str">
        <f ca="1">IF(OR(INDEX($AG$2:$AG$1001,MATCH(ROWS($AF$2:AF932),$AF$2:$AF$1001,0),1)&gt;=100000,INDEX($AM$1005:$BM$1005,1,MATCH(COLUMNS($AM$1006:AN1006),$AM$1006:$BM$1006,0))&gt;=100000), " ",IF(INDEX($AM$2:$BM$1001,MATCH(ROWS($AF$2:AF932),$AF$2:$AF$1001,0),MATCH(COLUMNS($AM$1006:AN1006),$AM$1006:$BM$1006,0)), HYPERLINK("#",""), HYPERLINK(CONCATENATE("#metadata!", ADDRESS(INDEX($AH$2:$AH$1001,MATCH(ROWS($AF$2:AF932),$AF$2:$AF$1001,0),0), INDEX($AM$1004:$BM$1004,1,MATCH(COLUMNS($AM$1006:AN1006),$AM$1006:$BM$1006,0)))),"Fix")))</f>
        <v xml:space="preserve"> </v>
      </c>
      <c r="D932" s="4" t="str">
        <f ca="1">IF(OR(INDEX($AG$2:$AG$1001,MATCH(ROWS($AF$2:AF932),$AF$2:$AF$1001,0),1)&gt;=100000,INDEX($AM$1005:$BM$1005,1,MATCH(COLUMNS($AM$1006:AO1006),$AM$1006:$BM$1006,0))&gt;=100000), " ",IF(INDEX($AM$2:$BM$1001,MATCH(ROWS($AF$2:AF932),$AF$2:$AF$1001,0),MATCH(COLUMNS($AM$1006:AO1006),$AM$1006:$BM$1006,0)), HYPERLINK("#",""), HYPERLINK(CONCATENATE("#metadata!", ADDRESS(INDEX($AH$2:$AH$1001,MATCH(ROWS($AF$2:AF932),$AF$2:$AF$1001,0),0), INDEX($AM$1004:$BM$1004,1,MATCH(COLUMNS($AM$1006:AO1006),$AM$1006:$BM$1006,0)))),"Fix")))</f>
        <v xml:space="preserve"> </v>
      </c>
      <c r="E932" s="4" t="str">
        <f ca="1">IF(OR(INDEX($AG$2:$AG$1001,MATCH(ROWS($AF$2:AF932),$AF$2:$AF$1001,0),1)&gt;=100000,INDEX($AM$1005:$BM$1005,1,MATCH(COLUMNS($AM$1006:AP1006),$AM$1006:$BM$1006,0))&gt;=100000), " ",IF(INDEX($AM$2:$BM$1001,MATCH(ROWS($AF$2:AF932),$AF$2:$AF$1001,0),MATCH(COLUMNS($AM$1006:AP1006),$AM$1006:$BM$1006,0)), HYPERLINK("#",""), HYPERLINK(CONCATENATE("#metadata!", ADDRESS(INDEX($AH$2:$AH$1001,MATCH(ROWS($AF$2:AF932),$AF$2:$AF$1001,0),0), INDEX($AM$1004:$BM$1004,1,MATCH(COLUMNS($AM$1006:AP1006),$AM$1006:$BM$1006,0)))),"Fix")))</f>
        <v xml:space="preserve"> </v>
      </c>
      <c r="F932" s="4" t="str">
        <f ca="1">IF(OR(INDEX($AG$2:$AG$1001,MATCH(ROWS($AF$2:AF932),$AF$2:$AF$1001,0),1)&gt;=100000,INDEX($AM$1005:$BM$1005,1,MATCH(COLUMNS($AM$1006:AQ1006),$AM$1006:$BM$1006,0))&gt;=100000), " ",IF(INDEX($AM$2:$BM$1001,MATCH(ROWS($AF$2:AF932),$AF$2:$AF$1001,0),MATCH(COLUMNS($AM$1006:AQ1006),$AM$1006:$BM$1006,0)), HYPERLINK("#",""), HYPERLINK(CONCATENATE("#metadata!", ADDRESS(INDEX($AH$2:$AH$1001,MATCH(ROWS($AF$2:AF932),$AF$2:$AF$1001,0),0), INDEX($AM$1004:$BM$1004,1,MATCH(COLUMNS($AM$1006:AQ1006),$AM$1006:$BM$1006,0)))),"Fix")))</f>
        <v xml:space="preserve"> </v>
      </c>
      <c r="G932" s="4" t="str">
        <f ca="1">IF(OR(INDEX($AG$2:$AG$1001,MATCH(ROWS($AF$2:AF932),$AF$2:$AF$1001,0),1)&gt;=100000,INDEX($AM$1005:$BM$1005,1,MATCH(COLUMNS($AM$1006:AR1006),$AM$1006:$BM$1006,0))&gt;=100000), " ",IF(INDEX($AM$2:$BM$1001,MATCH(ROWS($AF$2:AF932),$AF$2:$AF$1001,0),MATCH(COLUMNS($AM$1006:AR1006),$AM$1006:$BM$1006,0)), HYPERLINK("#",""), HYPERLINK(CONCATENATE("#metadata!", ADDRESS(INDEX($AH$2:$AH$1001,MATCH(ROWS($AF$2:AF932),$AF$2:$AF$1001,0),0), INDEX($AM$1004:$BM$1004,1,MATCH(COLUMNS($AM$1006:AR1006),$AM$1006:$BM$1006,0)))),"Fix")))</f>
        <v xml:space="preserve"> </v>
      </c>
      <c r="H932" s="4" t="str">
        <f ca="1">IF(OR(INDEX($AG$2:$AG$1001,MATCH(ROWS($AF$2:AF932),$AF$2:$AF$1001,0),1)&gt;=100000,INDEX($AM$1005:$BM$1005,1,MATCH(COLUMNS($AM$1006:AS1006),$AM$1006:$BM$1006,0))&gt;=100000), " ",IF(INDEX($AM$2:$BM$1001,MATCH(ROWS($AF$2:AF932),$AF$2:$AF$1001,0),MATCH(COLUMNS($AM$1006:AS1006),$AM$1006:$BM$1006,0)), HYPERLINK("#",""), HYPERLINK(CONCATENATE("#metadata!", ADDRESS(INDEX($AH$2:$AH$1001,MATCH(ROWS($AF$2:AF932),$AF$2:$AF$1001,0),0), INDEX($AM$1004:$BM$1004,1,MATCH(COLUMNS($AM$1006:AS1006),$AM$1006:$BM$1006,0)))),"Fix")))</f>
        <v xml:space="preserve"> </v>
      </c>
      <c r="I932" s="4" t="str">
        <f ca="1">IF(OR(INDEX($AG$2:$AG$1001,MATCH(ROWS($AF$2:AF932),$AF$2:$AF$1001,0),1)&gt;=100000,INDEX($AM$1005:$BM$1005,1,MATCH(COLUMNS($AM$1006:AT1006),$AM$1006:$BM$1006,0))&gt;=100000), " ",IF(INDEX($AM$2:$BM$1001,MATCH(ROWS($AF$2:AF932),$AF$2:$AF$1001,0),MATCH(COLUMNS($AM$1006:AT1006),$AM$1006:$BM$1006,0)), HYPERLINK("#",""), HYPERLINK(CONCATENATE("#metadata!", ADDRESS(INDEX($AH$2:$AH$1001,MATCH(ROWS($AF$2:AF932),$AF$2:$AF$1001,0),0), INDEX($AM$1004:$BM$1004,1,MATCH(COLUMNS($AM$1006:AT1006),$AM$1006:$BM$1006,0)))),"Fix")))</f>
        <v xml:space="preserve"> </v>
      </c>
      <c r="J932" s="4" t="str">
        <f ca="1">IF(OR(INDEX($AG$2:$AG$1001,MATCH(ROWS($AF$2:AF932),$AF$2:$AF$1001,0),1)&gt;=100000,INDEX($AM$1005:$BM$1005,1,MATCH(COLUMNS($AM$1006:AU1006),$AM$1006:$BM$1006,0))&gt;=100000), " ",IF(INDEX($AM$2:$BM$1001,MATCH(ROWS($AF$2:AF932),$AF$2:$AF$1001,0),MATCH(COLUMNS($AM$1006:AU1006),$AM$1006:$BM$1006,0)), HYPERLINK("#",""), HYPERLINK(CONCATENATE("#metadata!", ADDRESS(INDEX($AH$2:$AH$1001,MATCH(ROWS($AF$2:AF932),$AF$2:$AF$1001,0),0), INDEX($AM$1004:$BM$1004,1,MATCH(COLUMNS($AM$1006:AU1006),$AM$1006:$BM$1006,0)))),"Fix")))</f>
        <v xml:space="preserve"> </v>
      </c>
      <c r="K932" s="4" t="str">
        <f ca="1">IF(OR(INDEX($AG$2:$AG$1001,MATCH(ROWS($AF$2:AF932),$AF$2:$AF$1001,0),1)&gt;=100000,INDEX($AM$1005:$BM$1005,1,MATCH(COLUMNS($AM$1006:AV1006),$AM$1006:$BM$1006,0))&gt;=100000), " ",IF(INDEX($AM$2:$BM$1001,MATCH(ROWS($AF$2:AF932),$AF$2:$AF$1001,0),MATCH(COLUMNS($AM$1006:AV1006),$AM$1006:$BM$1006,0)), HYPERLINK("#",""), HYPERLINK(CONCATENATE("#metadata!", ADDRESS(INDEX($AH$2:$AH$1001,MATCH(ROWS($AF$2:AF932),$AF$2:$AF$1001,0),0), INDEX($AM$1004:$BM$1004,1,MATCH(COLUMNS($AM$1006:AV1006),$AM$1006:$BM$1006,0)))),"Fix")))</f>
        <v xml:space="preserve"> </v>
      </c>
      <c r="L932" s="4" t="str">
        <f ca="1">IF(OR(INDEX($AG$2:$AG$1001,MATCH(ROWS($AF$2:AF932),$AF$2:$AF$1001,0),1)&gt;=100000,INDEX($AM$1005:$BM$1005,1,MATCH(COLUMNS($AM$1006:AW1006),$AM$1006:$BM$1006,0))&gt;=100000), " ",IF(INDEX($AM$2:$BM$1001,MATCH(ROWS($AF$2:AF932),$AF$2:$AF$1001,0),MATCH(COLUMNS($AM$1006:AW1006),$AM$1006:$BM$1006,0)), HYPERLINK("#",""), HYPERLINK(CONCATENATE("#metadata!", ADDRESS(INDEX($AH$2:$AH$1001,MATCH(ROWS($AF$2:AF932),$AF$2:$AF$1001,0),0), INDEX($AM$1004:$BM$1004,1,MATCH(COLUMNS($AM$1006:AW1006),$AM$1006:$BM$1006,0)))),"Fix")))</f>
        <v xml:space="preserve"> </v>
      </c>
      <c r="M932" s="4" t="str">
        <f ca="1">IF(OR(INDEX($AG$2:$AG$1001,MATCH(ROWS($AF$2:AF932),$AF$2:$AF$1001,0),1)&gt;=100000,INDEX($AM$1005:$BM$1005,1,MATCH(COLUMNS($AM$1006:AX1006),$AM$1006:$BM$1006,0))&gt;=100000), " ",IF(INDEX($AM$2:$BM$1001,MATCH(ROWS($AF$2:AF932),$AF$2:$AF$1001,0),MATCH(COLUMNS($AM$1006:AX1006),$AM$1006:$BM$1006,0)), HYPERLINK("#",""), HYPERLINK(CONCATENATE("#metadata!", ADDRESS(INDEX($AH$2:$AH$1001,MATCH(ROWS($AF$2:AF932),$AF$2:$AF$1001,0),0), INDEX($AM$1004:$BM$1004,1,MATCH(COLUMNS($AM$1006:AX1006),$AM$1006:$BM$1006,0)))),"Fix")))</f>
        <v xml:space="preserve"> </v>
      </c>
      <c r="N932" s="4" t="str">
        <f ca="1">IF(OR(INDEX($AG$2:$AG$1001,MATCH(ROWS($AF$2:AF932),$AF$2:$AF$1001,0),1)&gt;=100000,INDEX($AM$1005:$BM$1005,1,MATCH(COLUMNS($AM$1006:AY1006),$AM$1006:$BM$1006,0))&gt;=100000), " ",IF(INDEX($AM$2:$BM$1001,MATCH(ROWS($AF$2:AF932),$AF$2:$AF$1001,0),MATCH(COLUMNS($AM$1006:AY1006),$AM$1006:$BM$1006,0)), HYPERLINK("#",""), HYPERLINK(CONCATENATE("#metadata!", ADDRESS(INDEX($AH$2:$AH$1001,MATCH(ROWS($AF$2:AF932),$AF$2:$AF$1001,0),0), INDEX($AM$1004:$BM$1004,1,MATCH(COLUMNS($AM$1006:AY1006),$AM$1006:$BM$1006,0)))),"Fix")))</f>
        <v xml:space="preserve"> </v>
      </c>
      <c r="O932" s="4" t="str">
        <f ca="1">IF(OR(INDEX($AG$2:$AG$1001,MATCH(ROWS($AF$2:AF932),$AF$2:$AF$1001,0),1)&gt;=100000,INDEX($AM$1005:$BM$1005,1,MATCH(COLUMNS($AM$1006:AZ1006),$AM$1006:$BM$1006,0))&gt;=100000), " ",IF(INDEX($AM$2:$BM$1001,MATCH(ROWS($AF$2:AF932),$AF$2:$AF$1001,0),MATCH(COLUMNS($AM$1006:AZ1006),$AM$1006:$BM$1006,0)), HYPERLINK("#",""), HYPERLINK(CONCATENATE("#metadata!", ADDRESS(INDEX($AH$2:$AH$1001,MATCH(ROWS($AF$2:AF932),$AF$2:$AF$1001,0),0), INDEX($AM$1004:$BM$1004,1,MATCH(COLUMNS($AM$1006:AZ1006),$AM$1006:$BM$1006,0)))),"Fix")))</f>
        <v xml:space="preserve"> </v>
      </c>
      <c r="P932" s="4" t="str">
        <f ca="1">IF(OR(INDEX($AG$2:$AG$1001,MATCH(ROWS($AF$2:AF932),$AF$2:$AF$1001,0),1)&gt;=100000,INDEX($AM$1005:$BM$1005,1,MATCH(COLUMNS($AM$1006:BA1006),$AM$1006:$BM$1006,0))&gt;=100000), " ",IF(INDEX($AM$2:$BM$1001,MATCH(ROWS($AF$2:AF932),$AF$2:$AF$1001,0),MATCH(COLUMNS($AM$1006:BA1006),$AM$1006:$BM$1006,0)), HYPERLINK("#",""), HYPERLINK(CONCATENATE("#metadata!", ADDRESS(INDEX($AH$2:$AH$1001,MATCH(ROWS($AF$2:AF932),$AF$2:$AF$1001,0),0), INDEX($AM$1004:$BM$1004,1,MATCH(COLUMNS($AM$1006:BA1006),$AM$1006:$BM$1006,0)))),"Fix")))</f>
        <v xml:space="preserve"> </v>
      </c>
      <c r="Q932" s="4" t="str">
        <f ca="1">IF(OR(INDEX($AG$2:$AG$1001,MATCH(ROWS($AF$2:AF932),$AF$2:$AF$1001,0),1)&gt;=100000,INDEX($AM$1005:$BM$1005,1,MATCH(COLUMNS($AM$1006:BB1006),$AM$1006:$BM$1006,0))&gt;=100000), " ",IF(INDEX($AM$2:$BM$1001,MATCH(ROWS($AF$2:AF932),$AF$2:$AF$1001,0),MATCH(COLUMNS($AM$1006:BB1006),$AM$1006:$BM$1006,0)), HYPERLINK("#",""), HYPERLINK(CONCATENATE("#metadata!", ADDRESS(INDEX($AH$2:$AH$1001,MATCH(ROWS($AF$2:AF932),$AF$2:$AF$1001,0),0), INDEX($AM$1004:$BM$1004,1,MATCH(COLUMNS($AM$1006:BB1006),$AM$1006:$BM$1006,0)))),"Fix")))</f>
        <v xml:space="preserve"> </v>
      </c>
      <c r="R932" s="4" t="str">
        <f ca="1">IF(OR(INDEX($AG$2:$AG$1001,MATCH(ROWS($AF$2:AF932),$AF$2:$AF$1001,0),1)&gt;=100000,INDEX($AM$1005:$BM$1005,1,MATCH(COLUMNS($AM$1006:BC1006),$AM$1006:$BM$1006,0))&gt;=100000), " ",IF(INDEX($AM$2:$BM$1001,MATCH(ROWS($AF$2:AF932),$AF$2:$AF$1001,0),MATCH(COLUMNS($AM$1006:BC1006),$AM$1006:$BM$1006,0)), HYPERLINK("#",""), HYPERLINK(CONCATENATE("#metadata!", ADDRESS(INDEX($AH$2:$AH$1001,MATCH(ROWS($AF$2:AF932),$AF$2:$AF$1001,0),0), INDEX($AM$1004:$BM$1004,1,MATCH(COLUMNS($AM$1006:BC1006),$AM$1006:$BM$1006,0)))),"Fix")))</f>
        <v xml:space="preserve"> </v>
      </c>
      <c r="S932" s="4" t="str">
        <f ca="1">IF(OR(INDEX($AG$2:$AG$1001,MATCH(ROWS($AF$2:AF932),$AF$2:$AF$1001,0),1)&gt;=100000,INDEX($AM$1005:$BM$1005,1,MATCH(COLUMNS($AM$1006:BD1006),$AM$1006:$BM$1006,0))&gt;=100000), " ",IF(INDEX($AM$2:$BM$1001,MATCH(ROWS($AF$2:AF932),$AF$2:$AF$1001,0),MATCH(COLUMNS($AM$1006:BD1006),$AM$1006:$BM$1006,0)), HYPERLINK("#",""), HYPERLINK(CONCATENATE("#metadata!", ADDRESS(INDEX($AH$2:$AH$1001,MATCH(ROWS($AF$2:AF932),$AF$2:$AF$1001,0),0), INDEX($AM$1004:$BM$1004,1,MATCH(COLUMNS($AM$1006:BD1006),$AM$1006:$BM$1006,0)))),"Fix")))</f>
        <v xml:space="preserve"> </v>
      </c>
      <c r="T932" s="4" t="str">
        <f ca="1">IF(OR(INDEX($AG$2:$AG$1001,MATCH(ROWS($AF$2:AF932),$AF$2:$AF$1001,0),1)&gt;=100000,INDEX($AM$1005:$BM$1005,1,MATCH(COLUMNS($AM$1006:BE1006),$AM$1006:$BM$1006,0))&gt;=100000), " ",IF(INDEX($AM$2:$BM$1001,MATCH(ROWS($AF$2:AF932),$AF$2:$AF$1001,0),MATCH(COLUMNS($AM$1006:BE1006),$AM$1006:$BM$1006,0)), HYPERLINK("#",""), HYPERLINK(CONCATENATE("#metadata!", ADDRESS(INDEX($AH$2:$AH$1001,MATCH(ROWS($AF$2:AF932),$AF$2:$AF$1001,0),0), INDEX($AM$1004:$BM$1004,1,MATCH(COLUMNS($AM$1006:BE1006),$AM$1006:$BM$1006,0)))),"Fix")))</f>
        <v xml:space="preserve"> </v>
      </c>
      <c r="U932" s="4" t="str">
        <f ca="1">IF(OR(INDEX($AG$2:$AG$1001,MATCH(ROWS($AF$2:AF932),$AF$2:$AF$1001,0),1)&gt;=100000,INDEX($AM$1005:$BM$1005,1,MATCH(COLUMNS($AM$1006:BF1006),$AM$1006:$BM$1006,0))&gt;=100000), " ",IF(INDEX($AM$2:$BM$1001,MATCH(ROWS($AF$2:AF932),$AF$2:$AF$1001,0),MATCH(COLUMNS($AM$1006:BF1006),$AM$1006:$BM$1006,0)), HYPERLINK("#",""), HYPERLINK(CONCATENATE("#metadata!", ADDRESS(INDEX($AH$2:$AH$1001,MATCH(ROWS($AF$2:AF932),$AF$2:$AF$1001,0),0), INDEX($AM$1004:$BM$1004,1,MATCH(COLUMNS($AM$1006:BF1006),$AM$1006:$BM$1006,0)))),"Fix")))</f>
        <v xml:space="preserve"> </v>
      </c>
      <c r="V932" s="4" t="str">
        <f ca="1">IF(OR(INDEX($AG$2:$AG$1001,MATCH(ROWS($AF$2:AF932),$AF$2:$AF$1001,0),1)&gt;=100000,INDEX($AM$1005:$BM$1005,1,MATCH(COLUMNS($AM$1006:BG1006),$AM$1006:$BM$1006,0))&gt;=100000), " ",IF(INDEX($AM$2:$BM$1001,MATCH(ROWS($AF$2:AF932),$AF$2:$AF$1001,0),MATCH(COLUMNS($AM$1006:BG1006),$AM$1006:$BM$1006,0)), HYPERLINK("#",""), HYPERLINK(CONCATENATE("#metadata!", ADDRESS(INDEX($AH$2:$AH$1001,MATCH(ROWS($AF$2:AF932),$AF$2:$AF$1001,0),0), INDEX($AM$1004:$BM$1004,1,MATCH(COLUMNS($AM$1006:BG1006),$AM$1006:$BM$1006,0)))),"Fix")))</f>
        <v xml:space="preserve"> </v>
      </c>
      <c r="W932" s="4" t="str">
        <f ca="1">IF(OR(INDEX($AG$2:$AG$1001,MATCH(ROWS($AF$2:AF932),$AF$2:$AF$1001,0),1)&gt;=100000,INDEX($AM$1005:$BM$1005,1,MATCH(COLUMNS($AM$1006:BH1006),$AM$1006:$BM$1006,0))&gt;=100000), " ",IF(INDEX($AM$2:$BM$1001,MATCH(ROWS($AF$2:AF932),$AF$2:$AF$1001,0),MATCH(COLUMNS($AM$1006:BH1006),$AM$1006:$BM$1006,0)), HYPERLINK("#",""), HYPERLINK(CONCATENATE("#metadata!", ADDRESS(INDEX($AH$2:$AH$1001,MATCH(ROWS($AF$2:AF932),$AF$2:$AF$1001,0),0), INDEX($AM$1004:$BM$1004,1,MATCH(COLUMNS($AM$1006:BH1006),$AM$1006:$BM$1006,0)))),"Fix")))</f>
        <v xml:space="preserve"> </v>
      </c>
      <c r="X932" s="4" t="str">
        <f ca="1">IF(OR(INDEX($AG$2:$AG$1001,MATCH(ROWS($AF$2:AF932),$AF$2:$AF$1001,0),1)&gt;=100000,INDEX($AM$1005:$BM$1005,1,MATCH(COLUMNS($AM$1006:BI1006),$AM$1006:$BM$1006,0))&gt;=100000), " ",IF(INDEX($AM$2:$BM$1001,MATCH(ROWS($AF$2:AF932),$AF$2:$AF$1001,0),MATCH(COLUMNS($AM$1006:BI1006),$AM$1006:$BM$1006,0)), HYPERLINK("#",""), HYPERLINK(CONCATENATE("#metadata!", ADDRESS(INDEX($AH$2:$AH$1001,MATCH(ROWS($AF$2:AF932),$AF$2:$AF$1001,0),0), INDEX($AM$1004:$BM$1004,1,MATCH(COLUMNS($AM$1006:BI1006),$AM$1006:$BM$1006,0)))),"Fix")))</f>
        <v xml:space="preserve"> </v>
      </c>
      <c r="Y932" s="4" t="str">
        <f ca="1">IF(OR(INDEX($AG$2:$AG$1001,MATCH(ROWS($AF$2:AF932),$AF$2:$AF$1001,0),1)&gt;=100000,INDEX($AM$1005:$BM$1005,1,MATCH(COLUMNS($AM$1006:BJ1006),$AM$1006:$BM$1006,0))&gt;=100000), " ",IF(INDEX($AM$2:$BM$1001,MATCH(ROWS($AF$2:AF932),$AF$2:$AF$1001,0),MATCH(COLUMNS($AM$1006:BJ1006),$AM$1006:$BM$1006,0)), HYPERLINK("#",""), HYPERLINK(CONCATENATE("#metadata!", ADDRESS(INDEX($AH$2:$AH$1001,MATCH(ROWS($AF$2:AF932),$AF$2:$AF$1001,0),0), INDEX($AM$1004:$BM$1004,1,MATCH(COLUMNS($AM$1006:BJ1006),$AM$1006:$BM$1006,0)))),"Fix")))</f>
        <v xml:space="preserve"> </v>
      </c>
      <c r="Z932" s="4" t="str">
        <f ca="1">IF(OR(INDEX($AG$2:$AG$1001,MATCH(ROWS($AF$2:AF932),$AF$2:$AF$1001,0),1)&gt;=100000,INDEX($AM$1005:$BM$1005,1,MATCH(COLUMNS($AM$1006:BK1006),$AM$1006:$BM$1006,0))&gt;=100000), " ",IF(INDEX($AM$2:$BM$1001,MATCH(ROWS($AF$2:AF932),$AF$2:$AF$1001,0),MATCH(COLUMNS($AM$1006:BK1006),$AM$1006:$BM$1006,0)), HYPERLINK("#",""), HYPERLINK(CONCATENATE("#metadata!", ADDRESS(INDEX($AH$2:$AH$1001,MATCH(ROWS($AF$2:AF932),$AF$2:$AF$1001,0),0), INDEX($AM$1004:$BM$1004,1,MATCH(COLUMNS($AM$1006:BK1006),$AM$1006:$BM$1006,0)))),"Fix")))</f>
        <v xml:space="preserve"> </v>
      </c>
      <c r="AA932" s="4" t="str">
        <f ca="1">IF(OR(INDEX($AG$2:$AG$1001,MATCH(ROWS($AF$2:AF932),$AF$2:$AF$1001,0),1)&gt;=100000,INDEX($AM$1005:$BM$1005,1,MATCH(COLUMNS($AM$1006:BL1006),$AM$1006:$BM$1006,0))&gt;=100000), " ",IF(INDEX($AM$2:$BM$1001,MATCH(ROWS($AF$2:AF932),$AF$2:$AF$1001,0),MATCH(COLUMNS($AM$1006:BL1006),$AM$1006:$BM$1006,0)), HYPERLINK("#",""), HYPERLINK(CONCATENATE("#metadata!", ADDRESS(INDEX($AH$2:$AH$1001,MATCH(ROWS($AF$2:AF932),$AF$2:$AF$1001,0),0), INDEX($AM$1004:$BM$1004,1,MATCH(COLUMNS($AM$1006:BL1006),$AM$1006:$BM$1006,0)))),"Fix")))</f>
        <v xml:space="preserve"> </v>
      </c>
      <c r="AB932" s="4" t="str">
        <f ca="1">IF(OR(INDEX($AG$2:$AG$1001,MATCH(ROWS($AF$2:AF932),$AF$2:$AF$1001,0),1)&gt;=100000,INDEX($AM$1005:$BM$1005,1,MATCH(COLUMNS($AM$1006:BM1006),$AM$1006:$BM$1006,0))&gt;=100000), " ",IF(INDEX($AM$2:$BM$1001,MATCH(ROWS($AF$2:AF932),$AF$2:$AF$1001,0),MATCH(COLUMNS($AM$1006:BM1006),$AM$1006:$BM$1006,0)), HYPERLINK("#",""), HYPERLINK(CONCATENATE("#metadata!", ADDRESS(INDEX($AH$2:$AH$1001,MATCH(ROWS($AF$2:AF932),$AF$2:$AF$1001,0),0), INDEX($AM$1004:$BM$1004,1,MATCH(COLUMNS($AM$1006:BM1006),$AM$1006:$BM$1006,0)))),"Fix")))</f>
        <v xml:space="preserve"> </v>
      </c>
      <c r="AF932">
        <v>931</v>
      </c>
      <c r="AG932">
        <v>100932</v>
      </c>
      <c r="AH932">
        <v>932</v>
      </c>
      <c r="AI932" t="b">
        <f t="shared" si="14"/>
        <v>1</v>
      </c>
      <c r="AJ932" t="b">
        <f>COUNTBLANK(metadata!B932:AB932)=COLUMNS(metadata!B932:AB932)</f>
        <v>1</v>
      </c>
      <c r="AK932" t="str">
        <v/>
      </c>
      <c r="AM932" t="b">
        <f ca="1">AND(IF(metadata!B932="",FALSE,TRUE),COUNTIF(metadata!B:B, metadata!B932) = 1,NOT(ISERROR(SUMPRODUCT(SEARCH(MID(metadata!B932,ROW(INDIRECT("1:"&amp;LEN(metadata!B932))), 1),"0123456789abcdefghijklmnopqrstuvwxyzABCDEFGHIJKLMNOPQRSTUVWXYZ.")))))</f>
        <v>0</v>
      </c>
      <c r="AN932" t="b">
        <f ca="1">OR(AND(IF(metadata!C932="",FALSE,TRUE),OR(EXACT(metadata!C932,"missing: not collected"),EXACT(metadata!C932,"missing: not provided"),EXACT(metadata!C932,"missing: restricted access"))),AND(IF(metadata!C932="",FALSE,TRUE),AND(AND(IFERROR(INT(LEFT(metadata!C932,4))&gt;1900,FALSE),IFERROR(INT(LEFT(metadata!C932,4))&lt;=YEAR(NOW()),FALSE)), OR(MID(metadata!C932,5,1)="", AND(AND(MID(metadata!C932,5,1)="-",IFERROR(INT(MID(metadata!C932,6,1))&gt;=0,FALSE),IFERROR(INT(MID(metadata!C932,6,1))&lt;=1,FALSE),NOT(MID(metadata!C932,7,1)=""),IFERROR(INT(MID(metadata!C932,6,2))&gt;=1,FALSE),IFERROR(INT(MID(metadata!C932,6,2))&lt;=12,FALSE)), OR(MID(metadata!C932,8,1)="", AND(AND(MID(metadata!C932,8,1)="-",IFERROR(INT(MID(metadata!C932,9,1))&gt;=0,FALSE),IFERROR(INT(MID(metadata!C932,9,1))&lt;=3,FALSE),NOT(MID(metadata!C932,10,1)=""),IFERROR(INT(MID(metadata!C932,9,2))&gt;=1,FALSE),IFERROR(INT(MID(metadata!C932,9,2))&lt;=31,FALSE)), OR(MID(metadata!C932,11,1)="", AND(AND(MID(metadata!C932,11,1)=" ",IFERROR(INT(MID(metadata!C932,12,1))&gt;=0,FALSE),IFERROR(INT(MID(metadata!C932,12,1))&lt;=2,FALSE),NOT(MID(metadata!C932,13,1)=""),IFERROR(INT(MID(metadata!C932,12,2))&gt;=0,FALSE),IFERROR(INT(MID(metadata!C932,12,2))&lt;=23,FALSE)), OR(MID(metadata!C932,14,1)="", AND(AND(MID(metadata!C932,14,1)=":",IFERROR(INT(MID(metadata!C932,15,1))&gt;=0,FALSE),IFERROR(INT(MID(metadata!C932,15,1))&lt;=5,FALSE),NOT(MID(metadata!C932,16,1)=""),IFERROR(INT(MID(metadata!C932,15,2))&gt;=0,FALSE),IFERROR(INT(MID(metadata!C932,15,2))&lt;=59,FALSE)), OR(MID(metadata!C932,17,1)="", AND(AND(MID(metadata!C932,17,1)=":",IFERROR(INT(MID(metadata!C932,18,1))&gt;=0,FALSE),IFERROR(INT(MID(metadata!C932,18,1))&lt;=5,FALSE),NOT(MID(metadata!C932,19,1)=""),IFERROR(INT(MID(metadata!C932,18,2))&gt;=0,FALSE),IFERROR(INT(MID(metadata!C932,18,2))&lt;=59,FALSE)), LEN(metadata!C932)&lt;=19)))))))))))))</f>
        <v>0</v>
      </c>
      <c r="AO932" t="b">
        <f>AND(IF(metadata!D932="",FALSE,TRUE),EXACT(metadata!D932,"Not applicable"))</f>
        <v>0</v>
      </c>
      <c r="AP932" t="b">
        <f>IF(metadata!E932="",FALSE,TRUE)</f>
        <v>0</v>
      </c>
      <c r="AQ932" t="b">
        <f>OR(AND(IF(metadata!F932="",FALSE,TRUE),OR(EXACT(metadata!F932,"missing: not collected"),EXACT(metadata!F932,"missing: not provided"))),AND(IF(metadata!F932="",FALSE,TRUE),OR(EXACT(metadata!F932,"TRUE"),EXACT(metadata!F932,"FALSE"))))</f>
        <v>0</v>
      </c>
      <c r="AR932" t="b">
        <f>OR(AND(IF(metadata!G932="",FALSE,TRUE),OR(EXACT(metadata!G932,"missing: not collected"),EXACT(metadata!G932,"missing: not provided"),EXACT(metadata!G932,"missing: restricted access"))),AND(IF(metadata!G932="",FALSE,ISNUMBER(VALUE(metadata!G932))),metadata!G932&gt;=-413))</f>
        <v>0</v>
      </c>
      <c r="AS932" t="b">
        <f>AND(IF(metadata!H932="",FALSE,TRUE),EXACT(metadata!H932,"meters"))</f>
        <v>0</v>
      </c>
      <c r="AT932" t="b">
        <f>AND(IF(metadata!I932="",FALSE,TRUE),OR(EXACT(metadata!I932,"Host-associated"),EXACT(metadata!I932,"Free-living")))</f>
        <v>0</v>
      </c>
      <c r="AU932" t="b">
        <f>AND(IF(metadata!J932="",FALSE,TRUE),OR(EXACT(metadata!J932,"Animal"),EXACT(metadata!J932,"Fungus"),EXACT(metadata!J932,"Plant"),EXACT(metadata!J932,"Saline"),EXACT(metadata!J932,"Non-saline")))</f>
        <v>0</v>
      </c>
      <c r="AV932" t="b">
        <f>AND(IF(metadata!K932="",FALSE,TRUE),OR(EXACT(metadata!K932,"Plant secretion"),EXACT(metadata!K932,"Plant rhizosphere"),EXACT(metadata!K932,"Plant surface"),EXACT(metadata!K932,"Plant corpus"),EXACT(metadata!K932,"Fungus surface"),EXACT(metadata!K932,"Fungus corpus"),EXACT(metadata!K932,"Animal surface"),EXACT(metadata!K932,"Animal proximal gut"),EXACT(metadata!K932,"Animal corpus"),EXACT(metadata!K932,"Animal distal gut"),EXACT(metadata!K932,"Animal secretion"),EXACT(metadata!K932,"Sub-surface (non-saline)"),EXACT(metadata!K932,"Surface (non-saline)"),EXACT(metadata!K932,"Water (non-saline)"),EXACT(metadata!K932,"Soil (non-saline)"),EXACT(metadata!K932,"Aerosol (non-saline)"),EXACT(metadata!K932,"Sediment (non-saline)"),EXACT(metadata!K932,"Surface (saline)"),EXACT(metadata!K932,"Water (saline)"),EXACT(metadata!K932,"Hypersaline (saline)"),EXACT(metadata!K932,"Aerosol (saline)"),EXACT(metadata!K932,"Sediment (saline)")))</f>
        <v>0</v>
      </c>
      <c r="AW932" t="b">
        <f>IF(metadata!L932="",FALSE,TRUE)</f>
        <v>0</v>
      </c>
      <c r="AX932" t="b">
        <f>IF(metadata!M932="",FALSE,TRUE)</f>
        <v>0</v>
      </c>
      <c r="AY932" t="b">
        <f>IF(metadata!N932="",FALSE,TRUE)</f>
        <v>0</v>
      </c>
      <c r="AZ932" t="b">
        <f>OR(AND(IF(metadata!O932="",FALSE,TRUE),OR(EXACT(metadata!O932,"missing: not collected"),EXACT(metadata!O932,"missing: not provided"),EXACT(metadata!O932,"missing: restricted access"))),AND(IF(metadata!O932="",FALSE,TRUE),OR(EXACT(metadata!O932,"air"),EXACT(metadata!O932,"built environment"),EXACT(metadata!O932,"host-associated"),EXACT(metadata!O932,"human-associated"),EXACT(metadata!O932,"human-skin"),EXACT(metadata!O932,"human-oral"),EXACT(metadata!O932,"human-gut"),EXACT(metadata!O932,"human-vaginal"),EXACT(metadata!O932,"microbial mat/biofilm"),EXACT(metadata!O932,"misc environment"),EXACT(metadata!O932,"plant-associated"),EXACT(metadata!O932,"sediment"),EXACT(metadata!O932,"soil"),EXACT(metadata!O932,"wastewater/sludge"),EXACT(metadata!O932,"water"))))</f>
        <v>0</v>
      </c>
      <c r="BA932" t="b">
        <f>IF(metadata!P932="",FALSE,TRUE)</f>
        <v>0</v>
      </c>
      <c r="BB932" t="b">
        <f>IF(metadata!Q932="",FALSE,TRUE)</f>
        <v>0</v>
      </c>
      <c r="BC932" t="b">
        <f>OR(AND(IF(metadata!R932="",FALSE,TRUE),OR(EXACT(metadata!R932,"missing: not collected"),EXACT(metadata!R932,"missing: not provided"),EXACT(metadata!R932,"missing: restricted access"))),AND(IF(metadata!R932="",FALSE,ISNUMBER(VALUE(metadata!R932))),metadata!R932&gt;=-90,metadata!R932&lt;=90))</f>
        <v>0</v>
      </c>
      <c r="BD932" t="b">
        <f>AND(IF(metadata!S932="",FALSE,TRUE),EXACT(metadata!S932,"Decimal degrees"))</f>
        <v>0</v>
      </c>
      <c r="BE932" t="b">
        <f>OR(AND(IF(metadata!T932="",FALSE,TRUE),OR(EXACT(metadata!T932,"missing: not collected"),EXACT(metadata!T932,"missing: not provided"),EXACT(metadata!T932,"missing: restricted access"))),AND(IF(metadata!T932="",FALSE,ISNUMBER(VALUE(metadata!T932))),metadata!T932&gt;=-180,metadata!T932&lt;=180))</f>
        <v>0</v>
      </c>
      <c r="BF932" t="b">
        <f>AND(IF(metadata!U932="",FALSE,TRUE),EXACT(metadata!U932,"Decimal degrees"))</f>
        <v>0</v>
      </c>
      <c r="BG932" t="b">
        <f>IF(metadata!V932="",FALSE,TRUE)</f>
        <v>0</v>
      </c>
      <c r="BH932" t="b">
        <f>OR(AND(IF(metadata!W932="",FALSE,TRUE),OR(EXACT(metadata!W932,"missing: not collected"),EXACT(metadata!W932,"missing: not provided"),EXACT(metadata!W932,"missing: restricted access"))),AND(IF(metadata!W932="",FALSE,TRUE),OR(EXACT(metadata!W932,"TRUE"),EXACT(metadata!W932,"FALSE"))))</f>
        <v>0</v>
      </c>
      <c r="BI932" t="b">
        <f>AND(IF(metadata!X932="",FALSE,TRUE),EXACT(metadata!X932,"other"))</f>
        <v>0</v>
      </c>
      <c r="BJ932" t="b">
        <f>IF(metadata!Y932="",FALSE,TRUE)</f>
        <v>0</v>
      </c>
      <c r="BK932" t="b">
        <f>OR(AND(IF(metadata!Z932="",FALSE,TRUE),OR(EXACT(metadata!Z932,"missing: not collected"),EXACT(metadata!Z932,"missing: not provided"))),AND(IF(metadata!Z932="",FALSE,IF(ISERROR(INT(metadata!Z932)),FALSE,INT(metadata!Z932)=metadata!Z932)),metadata!Z932&gt;0))</f>
        <v>0</v>
      </c>
      <c r="BL932" t="b">
        <f>AND(IF(metadata!AA932="",FALSE,TRUE),EXACT(metadata!AA932,"Not applicable"))</f>
        <v>0</v>
      </c>
      <c r="BM932" t="b">
        <f>IF(metadata!AB932="",FALSE,TRUE)</f>
        <v>0</v>
      </c>
    </row>
    <row r="933" spans="1:65" x14ac:dyDescent="0.2">
      <c r="A933" s="5" t="str">
        <f ca="1">IF(B933=" "," ",HYPERLINK(CONCATENATE("#metadata!",ADDRESS(INDEX($AH$2:$AH$1001,MATCH(ROWS($AF$2:AF933),$AF$2:$AF$1001,0),0),1)),INDEX($AK$2:$AK$1001,MATCH(ROWS($AF$2:AF933),$AF$2:$AF$1001,0),0)))</f>
        <v xml:space="preserve"> </v>
      </c>
      <c r="B933" s="4" t="str">
        <f ca="1">IF(OR(INDEX($AG$2:$AG$1001,MATCH(ROWS($AF$2:AF933),$AF$2:$AF$1001,0),1)&gt;=100000,INDEX($AM$1005:$BM$1005,1,MATCH(COLUMNS($AM$1006:AM1006),$AM$1006:$BM$1006,0))&gt;=100000), " ",IF(INDEX($AM$2:$BM$1001,MATCH(ROWS($AF$2:AF933),$AF$2:$AF$1001,0),MATCH(COLUMNS($AM$1006:AM1006),$AM$1006:$BM$1006,0)), HYPERLINK("#",""), HYPERLINK(CONCATENATE("#metadata!", ADDRESS(INDEX($AH$2:$AH$1001,MATCH(ROWS($AF$2:AF933),$AF$2:$AF$1001,0),0), INDEX($AM$1004:$BM$1004,1,MATCH(COLUMNS($AM$1006:AM1006),$AM$1006:$BM$1006,0)))),"Fix")))</f>
        <v xml:space="preserve"> </v>
      </c>
      <c r="C933" s="4" t="str">
        <f ca="1">IF(OR(INDEX($AG$2:$AG$1001,MATCH(ROWS($AF$2:AF933),$AF$2:$AF$1001,0),1)&gt;=100000,INDEX($AM$1005:$BM$1005,1,MATCH(COLUMNS($AM$1006:AN1006),$AM$1006:$BM$1006,0))&gt;=100000), " ",IF(INDEX($AM$2:$BM$1001,MATCH(ROWS($AF$2:AF933),$AF$2:$AF$1001,0),MATCH(COLUMNS($AM$1006:AN1006),$AM$1006:$BM$1006,0)), HYPERLINK("#",""), HYPERLINK(CONCATENATE("#metadata!", ADDRESS(INDEX($AH$2:$AH$1001,MATCH(ROWS($AF$2:AF933),$AF$2:$AF$1001,0),0), INDEX($AM$1004:$BM$1004,1,MATCH(COLUMNS($AM$1006:AN1006),$AM$1006:$BM$1006,0)))),"Fix")))</f>
        <v xml:space="preserve"> </v>
      </c>
      <c r="D933" s="4" t="str">
        <f ca="1">IF(OR(INDEX($AG$2:$AG$1001,MATCH(ROWS($AF$2:AF933),$AF$2:$AF$1001,0),1)&gt;=100000,INDEX($AM$1005:$BM$1005,1,MATCH(COLUMNS($AM$1006:AO1006),$AM$1006:$BM$1006,0))&gt;=100000), " ",IF(INDEX($AM$2:$BM$1001,MATCH(ROWS($AF$2:AF933),$AF$2:$AF$1001,0),MATCH(COLUMNS($AM$1006:AO1006),$AM$1006:$BM$1006,0)), HYPERLINK("#",""), HYPERLINK(CONCATENATE("#metadata!", ADDRESS(INDEX($AH$2:$AH$1001,MATCH(ROWS($AF$2:AF933),$AF$2:$AF$1001,0),0), INDEX($AM$1004:$BM$1004,1,MATCH(COLUMNS($AM$1006:AO1006),$AM$1006:$BM$1006,0)))),"Fix")))</f>
        <v xml:space="preserve"> </v>
      </c>
      <c r="E933" s="4" t="str">
        <f ca="1">IF(OR(INDEX($AG$2:$AG$1001,MATCH(ROWS($AF$2:AF933),$AF$2:$AF$1001,0),1)&gt;=100000,INDEX($AM$1005:$BM$1005,1,MATCH(COLUMNS($AM$1006:AP1006),$AM$1006:$BM$1006,0))&gt;=100000), " ",IF(INDEX($AM$2:$BM$1001,MATCH(ROWS($AF$2:AF933),$AF$2:$AF$1001,0),MATCH(COLUMNS($AM$1006:AP1006),$AM$1006:$BM$1006,0)), HYPERLINK("#",""), HYPERLINK(CONCATENATE("#metadata!", ADDRESS(INDEX($AH$2:$AH$1001,MATCH(ROWS($AF$2:AF933),$AF$2:$AF$1001,0),0), INDEX($AM$1004:$BM$1004,1,MATCH(COLUMNS($AM$1006:AP1006),$AM$1006:$BM$1006,0)))),"Fix")))</f>
        <v xml:space="preserve"> </v>
      </c>
      <c r="F933" s="4" t="str">
        <f ca="1">IF(OR(INDEX($AG$2:$AG$1001,MATCH(ROWS($AF$2:AF933),$AF$2:$AF$1001,0),1)&gt;=100000,INDEX($AM$1005:$BM$1005,1,MATCH(COLUMNS($AM$1006:AQ1006),$AM$1006:$BM$1006,0))&gt;=100000), " ",IF(INDEX($AM$2:$BM$1001,MATCH(ROWS($AF$2:AF933),$AF$2:$AF$1001,0),MATCH(COLUMNS($AM$1006:AQ1006),$AM$1006:$BM$1006,0)), HYPERLINK("#",""), HYPERLINK(CONCATENATE("#metadata!", ADDRESS(INDEX($AH$2:$AH$1001,MATCH(ROWS($AF$2:AF933),$AF$2:$AF$1001,0),0), INDEX($AM$1004:$BM$1004,1,MATCH(COLUMNS($AM$1006:AQ1006),$AM$1006:$BM$1006,0)))),"Fix")))</f>
        <v xml:space="preserve"> </v>
      </c>
      <c r="G933" s="4" t="str">
        <f ca="1">IF(OR(INDEX($AG$2:$AG$1001,MATCH(ROWS($AF$2:AF933),$AF$2:$AF$1001,0),1)&gt;=100000,INDEX($AM$1005:$BM$1005,1,MATCH(COLUMNS($AM$1006:AR1006),$AM$1006:$BM$1006,0))&gt;=100000), " ",IF(INDEX($AM$2:$BM$1001,MATCH(ROWS($AF$2:AF933),$AF$2:$AF$1001,0),MATCH(COLUMNS($AM$1006:AR1006),$AM$1006:$BM$1006,0)), HYPERLINK("#",""), HYPERLINK(CONCATENATE("#metadata!", ADDRESS(INDEX($AH$2:$AH$1001,MATCH(ROWS($AF$2:AF933),$AF$2:$AF$1001,0),0), INDEX($AM$1004:$BM$1004,1,MATCH(COLUMNS($AM$1006:AR1006),$AM$1006:$BM$1006,0)))),"Fix")))</f>
        <v xml:space="preserve"> </v>
      </c>
      <c r="H933" s="4" t="str">
        <f ca="1">IF(OR(INDEX($AG$2:$AG$1001,MATCH(ROWS($AF$2:AF933),$AF$2:$AF$1001,0),1)&gt;=100000,INDEX($AM$1005:$BM$1005,1,MATCH(COLUMNS($AM$1006:AS1006),$AM$1006:$BM$1006,0))&gt;=100000), " ",IF(INDEX($AM$2:$BM$1001,MATCH(ROWS($AF$2:AF933),$AF$2:$AF$1001,0),MATCH(COLUMNS($AM$1006:AS1006),$AM$1006:$BM$1006,0)), HYPERLINK("#",""), HYPERLINK(CONCATENATE("#metadata!", ADDRESS(INDEX($AH$2:$AH$1001,MATCH(ROWS($AF$2:AF933),$AF$2:$AF$1001,0),0), INDEX($AM$1004:$BM$1004,1,MATCH(COLUMNS($AM$1006:AS1006),$AM$1006:$BM$1006,0)))),"Fix")))</f>
        <v xml:space="preserve"> </v>
      </c>
      <c r="I933" s="4" t="str">
        <f ca="1">IF(OR(INDEX($AG$2:$AG$1001,MATCH(ROWS($AF$2:AF933),$AF$2:$AF$1001,0),1)&gt;=100000,INDEX($AM$1005:$BM$1005,1,MATCH(COLUMNS($AM$1006:AT1006),$AM$1006:$BM$1006,0))&gt;=100000), " ",IF(INDEX($AM$2:$BM$1001,MATCH(ROWS($AF$2:AF933),$AF$2:$AF$1001,0),MATCH(COLUMNS($AM$1006:AT1006),$AM$1006:$BM$1006,0)), HYPERLINK("#",""), HYPERLINK(CONCATENATE("#metadata!", ADDRESS(INDEX($AH$2:$AH$1001,MATCH(ROWS($AF$2:AF933),$AF$2:$AF$1001,0),0), INDEX($AM$1004:$BM$1004,1,MATCH(COLUMNS($AM$1006:AT1006),$AM$1006:$BM$1006,0)))),"Fix")))</f>
        <v xml:space="preserve"> </v>
      </c>
      <c r="J933" s="4" t="str">
        <f ca="1">IF(OR(INDEX($AG$2:$AG$1001,MATCH(ROWS($AF$2:AF933),$AF$2:$AF$1001,0),1)&gt;=100000,INDEX($AM$1005:$BM$1005,1,MATCH(COLUMNS($AM$1006:AU1006),$AM$1006:$BM$1006,0))&gt;=100000), " ",IF(INDEX($AM$2:$BM$1001,MATCH(ROWS($AF$2:AF933),$AF$2:$AF$1001,0),MATCH(COLUMNS($AM$1006:AU1006),$AM$1006:$BM$1006,0)), HYPERLINK("#",""), HYPERLINK(CONCATENATE("#metadata!", ADDRESS(INDEX($AH$2:$AH$1001,MATCH(ROWS($AF$2:AF933),$AF$2:$AF$1001,0),0), INDEX($AM$1004:$BM$1004,1,MATCH(COLUMNS($AM$1006:AU1006),$AM$1006:$BM$1006,0)))),"Fix")))</f>
        <v xml:space="preserve"> </v>
      </c>
      <c r="K933" s="4" t="str">
        <f ca="1">IF(OR(INDEX($AG$2:$AG$1001,MATCH(ROWS($AF$2:AF933),$AF$2:$AF$1001,0),1)&gt;=100000,INDEX($AM$1005:$BM$1005,1,MATCH(COLUMNS($AM$1006:AV1006),$AM$1006:$BM$1006,0))&gt;=100000), " ",IF(INDEX($AM$2:$BM$1001,MATCH(ROWS($AF$2:AF933),$AF$2:$AF$1001,0),MATCH(COLUMNS($AM$1006:AV1006),$AM$1006:$BM$1006,0)), HYPERLINK("#",""), HYPERLINK(CONCATENATE("#metadata!", ADDRESS(INDEX($AH$2:$AH$1001,MATCH(ROWS($AF$2:AF933),$AF$2:$AF$1001,0),0), INDEX($AM$1004:$BM$1004,1,MATCH(COLUMNS($AM$1006:AV1006),$AM$1006:$BM$1006,0)))),"Fix")))</f>
        <v xml:space="preserve"> </v>
      </c>
      <c r="L933" s="4" t="str">
        <f ca="1">IF(OR(INDEX($AG$2:$AG$1001,MATCH(ROWS($AF$2:AF933),$AF$2:$AF$1001,0),1)&gt;=100000,INDEX($AM$1005:$BM$1005,1,MATCH(COLUMNS($AM$1006:AW1006),$AM$1006:$BM$1006,0))&gt;=100000), " ",IF(INDEX($AM$2:$BM$1001,MATCH(ROWS($AF$2:AF933),$AF$2:$AF$1001,0),MATCH(COLUMNS($AM$1006:AW1006),$AM$1006:$BM$1006,0)), HYPERLINK("#",""), HYPERLINK(CONCATENATE("#metadata!", ADDRESS(INDEX($AH$2:$AH$1001,MATCH(ROWS($AF$2:AF933),$AF$2:$AF$1001,0),0), INDEX($AM$1004:$BM$1004,1,MATCH(COLUMNS($AM$1006:AW1006),$AM$1006:$BM$1006,0)))),"Fix")))</f>
        <v xml:space="preserve"> </v>
      </c>
      <c r="M933" s="4" t="str">
        <f ca="1">IF(OR(INDEX($AG$2:$AG$1001,MATCH(ROWS($AF$2:AF933),$AF$2:$AF$1001,0),1)&gt;=100000,INDEX($AM$1005:$BM$1005,1,MATCH(COLUMNS($AM$1006:AX1006),$AM$1006:$BM$1006,0))&gt;=100000), " ",IF(INDEX($AM$2:$BM$1001,MATCH(ROWS($AF$2:AF933),$AF$2:$AF$1001,0),MATCH(COLUMNS($AM$1006:AX1006),$AM$1006:$BM$1006,0)), HYPERLINK("#",""), HYPERLINK(CONCATENATE("#metadata!", ADDRESS(INDEX($AH$2:$AH$1001,MATCH(ROWS($AF$2:AF933),$AF$2:$AF$1001,0),0), INDEX($AM$1004:$BM$1004,1,MATCH(COLUMNS($AM$1006:AX1006),$AM$1006:$BM$1006,0)))),"Fix")))</f>
        <v xml:space="preserve"> </v>
      </c>
      <c r="N933" s="4" t="str">
        <f ca="1">IF(OR(INDEX($AG$2:$AG$1001,MATCH(ROWS($AF$2:AF933),$AF$2:$AF$1001,0),1)&gt;=100000,INDEX($AM$1005:$BM$1005,1,MATCH(COLUMNS($AM$1006:AY1006),$AM$1006:$BM$1006,0))&gt;=100000), " ",IF(INDEX($AM$2:$BM$1001,MATCH(ROWS($AF$2:AF933),$AF$2:$AF$1001,0),MATCH(COLUMNS($AM$1006:AY1006),$AM$1006:$BM$1006,0)), HYPERLINK("#",""), HYPERLINK(CONCATENATE("#metadata!", ADDRESS(INDEX($AH$2:$AH$1001,MATCH(ROWS($AF$2:AF933),$AF$2:$AF$1001,0),0), INDEX($AM$1004:$BM$1004,1,MATCH(COLUMNS($AM$1006:AY1006),$AM$1006:$BM$1006,0)))),"Fix")))</f>
        <v xml:space="preserve"> </v>
      </c>
      <c r="O933" s="4" t="str">
        <f ca="1">IF(OR(INDEX($AG$2:$AG$1001,MATCH(ROWS($AF$2:AF933),$AF$2:$AF$1001,0),1)&gt;=100000,INDEX($AM$1005:$BM$1005,1,MATCH(COLUMNS($AM$1006:AZ1006),$AM$1006:$BM$1006,0))&gt;=100000), " ",IF(INDEX($AM$2:$BM$1001,MATCH(ROWS($AF$2:AF933),$AF$2:$AF$1001,0),MATCH(COLUMNS($AM$1006:AZ1006),$AM$1006:$BM$1006,0)), HYPERLINK("#",""), HYPERLINK(CONCATENATE("#metadata!", ADDRESS(INDEX($AH$2:$AH$1001,MATCH(ROWS($AF$2:AF933),$AF$2:$AF$1001,0),0), INDEX($AM$1004:$BM$1004,1,MATCH(COLUMNS($AM$1006:AZ1006),$AM$1006:$BM$1006,0)))),"Fix")))</f>
        <v xml:space="preserve"> </v>
      </c>
      <c r="P933" s="4" t="str">
        <f ca="1">IF(OR(INDEX($AG$2:$AG$1001,MATCH(ROWS($AF$2:AF933),$AF$2:$AF$1001,0),1)&gt;=100000,INDEX($AM$1005:$BM$1005,1,MATCH(COLUMNS($AM$1006:BA1006),$AM$1006:$BM$1006,0))&gt;=100000), " ",IF(INDEX($AM$2:$BM$1001,MATCH(ROWS($AF$2:AF933),$AF$2:$AF$1001,0),MATCH(COLUMNS($AM$1006:BA1006),$AM$1006:$BM$1006,0)), HYPERLINK("#",""), HYPERLINK(CONCATENATE("#metadata!", ADDRESS(INDEX($AH$2:$AH$1001,MATCH(ROWS($AF$2:AF933),$AF$2:$AF$1001,0),0), INDEX($AM$1004:$BM$1004,1,MATCH(COLUMNS($AM$1006:BA1006),$AM$1006:$BM$1006,0)))),"Fix")))</f>
        <v xml:space="preserve"> </v>
      </c>
      <c r="Q933" s="4" t="str">
        <f ca="1">IF(OR(INDEX($AG$2:$AG$1001,MATCH(ROWS($AF$2:AF933),$AF$2:$AF$1001,0),1)&gt;=100000,INDEX($AM$1005:$BM$1005,1,MATCH(COLUMNS($AM$1006:BB1006),$AM$1006:$BM$1006,0))&gt;=100000), " ",IF(INDEX($AM$2:$BM$1001,MATCH(ROWS($AF$2:AF933),$AF$2:$AF$1001,0),MATCH(COLUMNS($AM$1006:BB1006),$AM$1006:$BM$1006,0)), HYPERLINK("#",""), HYPERLINK(CONCATENATE("#metadata!", ADDRESS(INDEX($AH$2:$AH$1001,MATCH(ROWS($AF$2:AF933),$AF$2:$AF$1001,0),0), INDEX($AM$1004:$BM$1004,1,MATCH(COLUMNS($AM$1006:BB1006),$AM$1006:$BM$1006,0)))),"Fix")))</f>
        <v xml:space="preserve"> </v>
      </c>
      <c r="R933" s="4" t="str">
        <f ca="1">IF(OR(INDEX($AG$2:$AG$1001,MATCH(ROWS($AF$2:AF933),$AF$2:$AF$1001,0),1)&gt;=100000,INDEX($AM$1005:$BM$1005,1,MATCH(COLUMNS($AM$1006:BC1006),$AM$1006:$BM$1006,0))&gt;=100000), " ",IF(INDEX($AM$2:$BM$1001,MATCH(ROWS($AF$2:AF933),$AF$2:$AF$1001,0),MATCH(COLUMNS($AM$1006:BC1006),$AM$1006:$BM$1006,0)), HYPERLINK("#",""), HYPERLINK(CONCATENATE("#metadata!", ADDRESS(INDEX($AH$2:$AH$1001,MATCH(ROWS($AF$2:AF933),$AF$2:$AF$1001,0),0), INDEX($AM$1004:$BM$1004,1,MATCH(COLUMNS($AM$1006:BC1006),$AM$1006:$BM$1006,0)))),"Fix")))</f>
        <v xml:space="preserve"> </v>
      </c>
      <c r="S933" s="4" t="str">
        <f ca="1">IF(OR(INDEX($AG$2:$AG$1001,MATCH(ROWS($AF$2:AF933),$AF$2:$AF$1001,0),1)&gt;=100000,INDEX($AM$1005:$BM$1005,1,MATCH(COLUMNS($AM$1006:BD1006),$AM$1006:$BM$1006,0))&gt;=100000), " ",IF(INDEX($AM$2:$BM$1001,MATCH(ROWS($AF$2:AF933),$AF$2:$AF$1001,0),MATCH(COLUMNS($AM$1006:BD1006),$AM$1006:$BM$1006,0)), HYPERLINK("#",""), HYPERLINK(CONCATENATE("#metadata!", ADDRESS(INDEX($AH$2:$AH$1001,MATCH(ROWS($AF$2:AF933),$AF$2:$AF$1001,0),0), INDEX($AM$1004:$BM$1004,1,MATCH(COLUMNS($AM$1006:BD1006),$AM$1006:$BM$1006,0)))),"Fix")))</f>
        <v xml:space="preserve"> </v>
      </c>
      <c r="T933" s="4" t="str">
        <f ca="1">IF(OR(INDEX($AG$2:$AG$1001,MATCH(ROWS($AF$2:AF933),$AF$2:$AF$1001,0),1)&gt;=100000,INDEX($AM$1005:$BM$1005,1,MATCH(COLUMNS($AM$1006:BE1006),$AM$1006:$BM$1006,0))&gt;=100000), " ",IF(INDEX($AM$2:$BM$1001,MATCH(ROWS($AF$2:AF933),$AF$2:$AF$1001,0),MATCH(COLUMNS($AM$1006:BE1006),$AM$1006:$BM$1006,0)), HYPERLINK("#",""), HYPERLINK(CONCATENATE("#metadata!", ADDRESS(INDEX($AH$2:$AH$1001,MATCH(ROWS($AF$2:AF933),$AF$2:$AF$1001,0),0), INDEX($AM$1004:$BM$1004,1,MATCH(COLUMNS($AM$1006:BE1006),$AM$1006:$BM$1006,0)))),"Fix")))</f>
        <v xml:space="preserve"> </v>
      </c>
      <c r="U933" s="4" t="str">
        <f ca="1">IF(OR(INDEX($AG$2:$AG$1001,MATCH(ROWS($AF$2:AF933),$AF$2:$AF$1001,0),1)&gt;=100000,INDEX($AM$1005:$BM$1005,1,MATCH(COLUMNS($AM$1006:BF1006),$AM$1006:$BM$1006,0))&gt;=100000), " ",IF(INDEX($AM$2:$BM$1001,MATCH(ROWS($AF$2:AF933),$AF$2:$AF$1001,0),MATCH(COLUMNS($AM$1006:BF1006),$AM$1006:$BM$1006,0)), HYPERLINK("#",""), HYPERLINK(CONCATENATE("#metadata!", ADDRESS(INDEX($AH$2:$AH$1001,MATCH(ROWS($AF$2:AF933),$AF$2:$AF$1001,0),0), INDEX($AM$1004:$BM$1004,1,MATCH(COLUMNS($AM$1006:BF1006),$AM$1006:$BM$1006,0)))),"Fix")))</f>
        <v xml:space="preserve"> </v>
      </c>
      <c r="V933" s="4" t="str">
        <f ca="1">IF(OR(INDEX($AG$2:$AG$1001,MATCH(ROWS($AF$2:AF933),$AF$2:$AF$1001,0),1)&gt;=100000,INDEX($AM$1005:$BM$1005,1,MATCH(COLUMNS($AM$1006:BG1006),$AM$1006:$BM$1006,0))&gt;=100000), " ",IF(INDEX($AM$2:$BM$1001,MATCH(ROWS($AF$2:AF933),$AF$2:$AF$1001,0),MATCH(COLUMNS($AM$1006:BG1006),$AM$1006:$BM$1006,0)), HYPERLINK("#",""), HYPERLINK(CONCATENATE("#metadata!", ADDRESS(INDEX($AH$2:$AH$1001,MATCH(ROWS($AF$2:AF933),$AF$2:$AF$1001,0),0), INDEX($AM$1004:$BM$1004,1,MATCH(COLUMNS($AM$1006:BG1006),$AM$1006:$BM$1006,0)))),"Fix")))</f>
        <v xml:space="preserve"> </v>
      </c>
      <c r="W933" s="4" t="str">
        <f ca="1">IF(OR(INDEX($AG$2:$AG$1001,MATCH(ROWS($AF$2:AF933),$AF$2:$AF$1001,0),1)&gt;=100000,INDEX($AM$1005:$BM$1005,1,MATCH(COLUMNS($AM$1006:BH1006),$AM$1006:$BM$1006,0))&gt;=100000), " ",IF(INDEX($AM$2:$BM$1001,MATCH(ROWS($AF$2:AF933),$AF$2:$AF$1001,0),MATCH(COLUMNS($AM$1006:BH1006),$AM$1006:$BM$1006,0)), HYPERLINK("#",""), HYPERLINK(CONCATENATE("#metadata!", ADDRESS(INDEX($AH$2:$AH$1001,MATCH(ROWS($AF$2:AF933),$AF$2:$AF$1001,0),0), INDEX($AM$1004:$BM$1004,1,MATCH(COLUMNS($AM$1006:BH1006),$AM$1006:$BM$1006,0)))),"Fix")))</f>
        <v xml:space="preserve"> </v>
      </c>
      <c r="X933" s="4" t="str">
        <f ca="1">IF(OR(INDEX($AG$2:$AG$1001,MATCH(ROWS($AF$2:AF933),$AF$2:$AF$1001,0),1)&gt;=100000,INDEX($AM$1005:$BM$1005,1,MATCH(COLUMNS($AM$1006:BI1006),$AM$1006:$BM$1006,0))&gt;=100000), " ",IF(INDEX($AM$2:$BM$1001,MATCH(ROWS($AF$2:AF933),$AF$2:$AF$1001,0),MATCH(COLUMNS($AM$1006:BI1006),$AM$1006:$BM$1006,0)), HYPERLINK("#",""), HYPERLINK(CONCATENATE("#metadata!", ADDRESS(INDEX($AH$2:$AH$1001,MATCH(ROWS($AF$2:AF933),$AF$2:$AF$1001,0),0), INDEX($AM$1004:$BM$1004,1,MATCH(COLUMNS($AM$1006:BI1006),$AM$1006:$BM$1006,0)))),"Fix")))</f>
        <v xml:space="preserve"> </v>
      </c>
      <c r="Y933" s="4" t="str">
        <f ca="1">IF(OR(INDEX($AG$2:$AG$1001,MATCH(ROWS($AF$2:AF933),$AF$2:$AF$1001,0),1)&gt;=100000,INDEX($AM$1005:$BM$1005,1,MATCH(COLUMNS($AM$1006:BJ1006),$AM$1006:$BM$1006,0))&gt;=100000), " ",IF(INDEX($AM$2:$BM$1001,MATCH(ROWS($AF$2:AF933),$AF$2:$AF$1001,0),MATCH(COLUMNS($AM$1006:BJ1006),$AM$1006:$BM$1006,0)), HYPERLINK("#",""), HYPERLINK(CONCATENATE("#metadata!", ADDRESS(INDEX($AH$2:$AH$1001,MATCH(ROWS($AF$2:AF933),$AF$2:$AF$1001,0),0), INDEX($AM$1004:$BM$1004,1,MATCH(COLUMNS($AM$1006:BJ1006),$AM$1006:$BM$1006,0)))),"Fix")))</f>
        <v xml:space="preserve"> </v>
      </c>
      <c r="Z933" s="4" t="str">
        <f ca="1">IF(OR(INDEX($AG$2:$AG$1001,MATCH(ROWS($AF$2:AF933),$AF$2:$AF$1001,0),1)&gt;=100000,INDEX($AM$1005:$BM$1005,1,MATCH(COLUMNS($AM$1006:BK1006),$AM$1006:$BM$1006,0))&gt;=100000), " ",IF(INDEX($AM$2:$BM$1001,MATCH(ROWS($AF$2:AF933),$AF$2:$AF$1001,0),MATCH(COLUMNS($AM$1006:BK1006),$AM$1006:$BM$1006,0)), HYPERLINK("#",""), HYPERLINK(CONCATENATE("#metadata!", ADDRESS(INDEX($AH$2:$AH$1001,MATCH(ROWS($AF$2:AF933),$AF$2:$AF$1001,0),0), INDEX($AM$1004:$BM$1004,1,MATCH(COLUMNS($AM$1006:BK1006),$AM$1006:$BM$1006,0)))),"Fix")))</f>
        <v xml:space="preserve"> </v>
      </c>
      <c r="AA933" s="4" t="str">
        <f ca="1">IF(OR(INDEX($AG$2:$AG$1001,MATCH(ROWS($AF$2:AF933),$AF$2:$AF$1001,0),1)&gt;=100000,INDEX($AM$1005:$BM$1005,1,MATCH(COLUMNS($AM$1006:BL1006),$AM$1006:$BM$1006,0))&gt;=100000), " ",IF(INDEX($AM$2:$BM$1001,MATCH(ROWS($AF$2:AF933),$AF$2:$AF$1001,0),MATCH(COLUMNS($AM$1006:BL1006),$AM$1006:$BM$1006,0)), HYPERLINK("#",""), HYPERLINK(CONCATENATE("#metadata!", ADDRESS(INDEX($AH$2:$AH$1001,MATCH(ROWS($AF$2:AF933),$AF$2:$AF$1001,0),0), INDEX($AM$1004:$BM$1004,1,MATCH(COLUMNS($AM$1006:BL1006),$AM$1006:$BM$1006,0)))),"Fix")))</f>
        <v xml:space="preserve"> </v>
      </c>
      <c r="AB933" s="4" t="str">
        <f ca="1">IF(OR(INDEX($AG$2:$AG$1001,MATCH(ROWS($AF$2:AF933),$AF$2:$AF$1001,0),1)&gt;=100000,INDEX($AM$1005:$BM$1005,1,MATCH(COLUMNS($AM$1006:BM1006),$AM$1006:$BM$1006,0))&gt;=100000), " ",IF(INDEX($AM$2:$BM$1001,MATCH(ROWS($AF$2:AF933),$AF$2:$AF$1001,0),MATCH(COLUMNS($AM$1006:BM1006),$AM$1006:$BM$1006,0)), HYPERLINK("#",""), HYPERLINK(CONCATENATE("#metadata!", ADDRESS(INDEX($AH$2:$AH$1001,MATCH(ROWS($AF$2:AF933),$AF$2:$AF$1001,0),0), INDEX($AM$1004:$BM$1004,1,MATCH(COLUMNS($AM$1006:BM1006),$AM$1006:$BM$1006,0)))),"Fix")))</f>
        <v xml:space="preserve"> </v>
      </c>
      <c r="AF933">
        <v>932</v>
      </c>
      <c r="AG933">
        <v>100933</v>
      </c>
      <c r="AH933">
        <v>933</v>
      </c>
      <c r="AI933" t="b">
        <f t="shared" si="14"/>
        <v>1</v>
      </c>
      <c r="AJ933" t="b">
        <f>COUNTBLANK(metadata!B933:AB933)=COLUMNS(metadata!B933:AB933)</f>
        <v>1</v>
      </c>
      <c r="AK933" t="str">
        <v/>
      </c>
      <c r="AM933" t="b">
        <f ca="1">AND(IF(metadata!B933="",FALSE,TRUE),COUNTIF(metadata!B:B, metadata!B933) = 1,NOT(ISERROR(SUMPRODUCT(SEARCH(MID(metadata!B933,ROW(INDIRECT("1:"&amp;LEN(metadata!B933))), 1),"0123456789abcdefghijklmnopqrstuvwxyzABCDEFGHIJKLMNOPQRSTUVWXYZ.")))))</f>
        <v>0</v>
      </c>
      <c r="AN933" t="b">
        <f ca="1">OR(AND(IF(metadata!C933="",FALSE,TRUE),OR(EXACT(metadata!C933,"missing: not collected"),EXACT(metadata!C933,"missing: not provided"),EXACT(metadata!C933,"missing: restricted access"))),AND(IF(metadata!C933="",FALSE,TRUE),AND(AND(IFERROR(INT(LEFT(metadata!C933,4))&gt;1900,FALSE),IFERROR(INT(LEFT(metadata!C933,4))&lt;=YEAR(NOW()),FALSE)), OR(MID(metadata!C933,5,1)="", AND(AND(MID(metadata!C933,5,1)="-",IFERROR(INT(MID(metadata!C933,6,1))&gt;=0,FALSE),IFERROR(INT(MID(metadata!C933,6,1))&lt;=1,FALSE),NOT(MID(metadata!C933,7,1)=""),IFERROR(INT(MID(metadata!C933,6,2))&gt;=1,FALSE),IFERROR(INT(MID(metadata!C933,6,2))&lt;=12,FALSE)), OR(MID(metadata!C933,8,1)="", AND(AND(MID(metadata!C933,8,1)="-",IFERROR(INT(MID(metadata!C933,9,1))&gt;=0,FALSE),IFERROR(INT(MID(metadata!C933,9,1))&lt;=3,FALSE),NOT(MID(metadata!C933,10,1)=""),IFERROR(INT(MID(metadata!C933,9,2))&gt;=1,FALSE),IFERROR(INT(MID(metadata!C933,9,2))&lt;=31,FALSE)), OR(MID(metadata!C933,11,1)="", AND(AND(MID(metadata!C933,11,1)=" ",IFERROR(INT(MID(metadata!C933,12,1))&gt;=0,FALSE),IFERROR(INT(MID(metadata!C933,12,1))&lt;=2,FALSE),NOT(MID(metadata!C933,13,1)=""),IFERROR(INT(MID(metadata!C933,12,2))&gt;=0,FALSE),IFERROR(INT(MID(metadata!C933,12,2))&lt;=23,FALSE)), OR(MID(metadata!C933,14,1)="", AND(AND(MID(metadata!C933,14,1)=":",IFERROR(INT(MID(metadata!C933,15,1))&gt;=0,FALSE),IFERROR(INT(MID(metadata!C933,15,1))&lt;=5,FALSE),NOT(MID(metadata!C933,16,1)=""),IFERROR(INT(MID(metadata!C933,15,2))&gt;=0,FALSE),IFERROR(INT(MID(metadata!C933,15,2))&lt;=59,FALSE)), OR(MID(metadata!C933,17,1)="", AND(AND(MID(metadata!C933,17,1)=":",IFERROR(INT(MID(metadata!C933,18,1))&gt;=0,FALSE),IFERROR(INT(MID(metadata!C933,18,1))&lt;=5,FALSE),NOT(MID(metadata!C933,19,1)=""),IFERROR(INT(MID(metadata!C933,18,2))&gt;=0,FALSE),IFERROR(INT(MID(metadata!C933,18,2))&lt;=59,FALSE)), LEN(metadata!C933)&lt;=19)))))))))))))</f>
        <v>0</v>
      </c>
      <c r="AO933" t="b">
        <f>AND(IF(metadata!D933="",FALSE,TRUE),EXACT(metadata!D933,"Not applicable"))</f>
        <v>0</v>
      </c>
      <c r="AP933" t="b">
        <f>IF(metadata!E933="",FALSE,TRUE)</f>
        <v>0</v>
      </c>
      <c r="AQ933" t="b">
        <f>OR(AND(IF(metadata!F933="",FALSE,TRUE),OR(EXACT(metadata!F933,"missing: not collected"),EXACT(metadata!F933,"missing: not provided"))),AND(IF(metadata!F933="",FALSE,TRUE),OR(EXACT(metadata!F933,"TRUE"),EXACT(metadata!F933,"FALSE"))))</f>
        <v>0</v>
      </c>
      <c r="AR933" t="b">
        <f>OR(AND(IF(metadata!G933="",FALSE,TRUE),OR(EXACT(metadata!G933,"missing: not collected"),EXACT(metadata!G933,"missing: not provided"),EXACT(metadata!G933,"missing: restricted access"))),AND(IF(metadata!G933="",FALSE,ISNUMBER(VALUE(metadata!G933))),metadata!G933&gt;=-413))</f>
        <v>0</v>
      </c>
      <c r="AS933" t="b">
        <f>AND(IF(metadata!H933="",FALSE,TRUE),EXACT(metadata!H933,"meters"))</f>
        <v>0</v>
      </c>
      <c r="AT933" t="b">
        <f>AND(IF(metadata!I933="",FALSE,TRUE),OR(EXACT(metadata!I933,"Host-associated"),EXACT(metadata!I933,"Free-living")))</f>
        <v>0</v>
      </c>
      <c r="AU933" t="b">
        <f>AND(IF(metadata!J933="",FALSE,TRUE),OR(EXACT(metadata!J933,"Animal"),EXACT(metadata!J933,"Fungus"),EXACT(metadata!J933,"Plant"),EXACT(metadata!J933,"Saline"),EXACT(metadata!J933,"Non-saline")))</f>
        <v>0</v>
      </c>
      <c r="AV933" t="b">
        <f>AND(IF(metadata!K933="",FALSE,TRUE),OR(EXACT(metadata!K933,"Plant secretion"),EXACT(metadata!K933,"Plant rhizosphere"),EXACT(metadata!K933,"Plant surface"),EXACT(metadata!K933,"Plant corpus"),EXACT(metadata!K933,"Fungus surface"),EXACT(metadata!K933,"Fungus corpus"),EXACT(metadata!K933,"Animal surface"),EXACT(metadata!K933,"Animal proximal gut"),EXACT(metadata!K933,"Animal corpus"),EXACT(metadata!K933,"Animal distal gut"),EXACT(metadata!K933,"Animal secretion"),EXACT(metadata!K933,"Sub-surface (non-saline)"),EXACT(metadata!K933,"Surface (non-saline)"),EXACT(metadata!K933,"Water (non-saline)"),EXACT(metadata!K933,"Soil (non-saline)"),EXACT(metadata!K933,"Aerosol (non-saline)"),EXACT(metadata!K933,"Sediment (non-saline)"),EXACT(metadata!K933,"Surface (saline)"),EXACT(metadata!K933,"Water (saline)"),EXACT(metadata!K933,"Hypersaline (saline)"),EXACT(metadata!K933,"Aerosol (saline)"),EXACT(metadata!K933,"Sediment (saline)")))</f>
        <v>0</v>
      </c>
      <c r="AW933" t="b">
        <f>IF(metadata!L933="",FALSE,TRUE)</f>
        <v>0</v>
      </c>
      <c r="AX933" t="b">
        <f>IF(metadata!M933="",FALSE,TRUE)</f>
        <v>0</v>
      </c>
      <c r="AY933" t="b">
        <f>IF(metadata!N933="",FALSE,TRUE)</f>
        <v>0</v>
      </c>
      <c r="AZ933" t="b">
        <f>OR(AND(IF(metadata!O933="",FALSE,TRUE),OR(EXACT(metadata!O933,"missing: not collected"),EXACT(metadata!O933,"missing: not provided"),EXACT(metadata!O933,"missing: restricted access"))),AND(IF(metadata!O933="",FALSE,TRUE),OR(EXACT(metadata!O933,"air"),EXACT(metadata!O933,"built environment"),EXACT(metadata!O933,"host-associated"),EXACT(metadata!O933,"human-associated"),EXACT(metadata!O933,"human-skin"),EXACT(metadata!O933,"human-oral"),EXACT(metadata!O933,"human-gut"),EXACT(metadata!O933,"human-vaginal"),EXACT(metadata!O933,"microbial mat/biofilm"),EXACT(metadata!O933,"misc environment"),EXACT(metadata!O933,"plant-associated"),EXACT(metadata!O933,"sediment"),EXACT(metadata!O933,"soil"),EXACT(metadata!O933,"wastewater/sludge"),EXACT(metadata!O933,"water"))))</f>
        <v>0</v>
      </c>
      <c r="BA933" t="b">
        <f>IF(metadata!P933="",FALSE,TRUE)</f>
        <v>0</v>
      </c>
      <c r="BB933" t="b">
        <f>IF(metadata!Q933="",FALSE,TRUE)</f>
        <v>0</v>
      </c>
      <c r="BC933" t="b">
        <f>OR(AND(IF(metadata!R933="",FALSE,TRUE),OR(EXACT(metadata!R933,"missing: not collected"),EXACT(metadata!R933,"missing: not provided"),EXACT(metadata!R933,"missing: restricted access"))),AND(IF(metadata!R933="",FALSE,ISNUMBER(VALUE(metadata!R933))),metadata!R933&gt;=-90,metadata!R933&lt;=90))</f>
        <v>0</v>
      </c>
      <c r="BD933" t="b">
        <f>AND(IF(metadata!S933="",FALSE,TRUE),EXACT(metadata!S933,"Decimal degrees"))</f>
        <v>0</v>
      </c>
      <c r="BE933" t="b">
        <f>OR(AND(IF(metadata!T933="",FALSE,TRUE),OR(EXACT(metadata!T933,"missing: not collected"),EXACT(metadata!T933,"missing: not provided"),EXACT(metadata!T933,"missing: restricted access"))),AND(IF(metadata!T933="",FALSE,ISNUMBER(VALUE(metadata!T933))),metadata!T933&gt;=-180,metadata!T933&lt;=180))</f>
        <v>0</v>
      </c>
      <c r="BF933" t="b">
        <f>AND(IF(metadata!U933="",FALSE,TRUE),EXACT(metadata!U933,"Decimal degrees"))</f>
        <v>0</v>
      </c>
      <c r="BG933" t="b">
        <f>IF(metadata!V933="",FALSE,TRUE)</f>
        <v>0</v>
      </c>
      <c r="BH933" t="b">
        <f>OR(AND(IF(metadata!W933="",FALSE,TRUE),OR(EXACT(metadata!W933,"missing: not collected"),EXACT(metadata!W933,"missing: not provided"),EXACT(metadata!W933,"missing: restricted access"))),AND(IF(metadata!W933="",FALSE,TRUE),OR(EXACT(metadata!W933,"TRUE"),EXACT(metadata!W933,"FALSE"))))</f>
        <v>0</v>
      </c>
      <c r="BI933" t="b">
        <f>AND(IF(metadata!X933="",FALSE,TRUE),EXACT(metadata!X933,"other"))</f>
        <v>0</v>
      </c>
      <c r="BJ933" t="b">
        <f>IF(metadata!Y933="",FALSE,TRUE)</f>
        <v>0</v>
      </c>
      <c r="BK933" t="b">
        <f>OR(AND(IF(metadata!Z933="",FALSE,TRUE),OR(EXACT(metadata!Z933,"missing: not collected"),EXACT(metadata!Z933,"missing: not provided"))),AND(IF(metadata!Z933="",FALSE,IF(ISERROR(INT(metadata!Z933)),FALSE,INT(metadata!Z933)=metadata!Z933)),metadata!Z933&gt;0))</f>
        <v>0</v>
      </c>
      <c r="BL933" t="b">
        <f>AND(IF(metadata!AA933="",FALSE,TRUE),EXACT(metadata!AA933,"Not applicable"))</f>
        <v>0</v>
      </c>
      <c r="BM933" t="b">
        <f>IF(metadata!AB933="",FALSE,TRUE)</f>
        <v>0</v>
      </c>
    </row>
    <row r="934" spans="1:65" x14ac:dyDescent="0.2">
      <c r="A934" s="5" t="str">
        <f ca="1">IF(B934=" "," ",HYPERLINK(CONCATENATE("#metadata!",ADDRESS(INDEX($AH$2:$AH$1001,MATCH(ROWS($AF$2:AF934),$AF$2:$AF$1001,0),0),1)),INDEX($AK$2:$AK$1001,MATCH(ROWS($AF$2:AF934),$AF$2:$AF$1001,0),0)))</f>
        <v xml:space="preserve"> </v>
      </c>
      <c r="B934" s="4" t="str">
        <f ca="1">IF(OR(INDEX($AG$2:$AG$1001,MATCH(ROWS($AF$2:AF934),$AF$2:$AF$1001,0),1)&gt;=100000,INDEX($AM$1005:$BM$1005,1,MATCH(COLUMNS($AM$1006:AM1006),$AM$1006:$BM$1006,0))&gt;=100000), " ",IF(INDEX($AM$2:$BM$1001,MATCH(ROWS($AF$2:AF934),$AF$2:$AF$1001,0),MATCH(COLUMNS($AM$1006:AM1006),$AM$1006:$BM$1006,0)), HYPERLINK("#",""), HYPERLINK(CONCATENATE("#metadata!", ADDRESS(INDEX($AH$2:$AH$1001,MATCH(ROWS($AF$2:AF934),$AF$2:$AF$1001,0),0), INDEX($AM$1004:$BM$1004,1,MATCH(COLUMNS($AM$1006:AM1006),$AM$1006:$BM$1006,0)))),"Fix")))</f>
        <v xml:space="preserve"> </v>
      </c>
      <c r="C934" s="4" t="str">
        <f ca="1">IF(OR(INDEX($AG$2:$AG$1001,MATCH(ROWS($AF$2:AF934),$AF$2:$AF$1001,0),1)&gt;=100000,INDEX($AM$1005:$BM$1005,1,MATCH(COLUMNS($AM$1006:AN1006),$AM$1006:$BM$1006,0))&gt;=100000), " ",IF(INDEX($AM$2:$BM$1001,MATCH(ROWS($AF$2:AF934),$AF$2:$AF$1001,0),MATCH(COLUMNS($AM$1006:AN1006),$AM$1006:$BM$1006,0)), HYPERLINK("#",""), HYPERLINK(CONCATENATE("#metadata!", ADDRESS(INDEX($AH$2:$AH$1001,MATCH(ROWS($AF$2:AF934),$AF$2:$AF$1001,0),0), INDEX($AM$1004:$BM$1004,1,MATCH(COLUMNS($AM$1006:AN1006),$AM$1006:$BM$1006,0)))),"Fix")))</f>
        <v xml:space="preserve"> </v>
      </c>
      <c r="D934" s="4" t="str">
        <f ca="1">IF(OR(INDEX($AG$2:$AG$1001,MATCH(ROWS($AF$2:AF934),$AF$2:$AF$1001,0),1)&gt;=100000,INDEX($AM$1005:$BM$1005,1,MATCH(COLUMNS($AM$1006:AO1006),$AM$1006:$BM$1006,0))&gt;=100000), " ",IF(INDEX($AM$2:$BM$1001,MATCH(ROWS($AF$2:AF934),$AF$2:$AF$1001,0),MATCH(COLUMNS($AM$1006:AO1006),$AM$1006:$BM$1006,0)), HYPERLINK("#",""), HYPERLINK(CONCATENATE("#metadata!", ADDRESS(INDEX($AH$2:$AH$1001,MATCH(ROWS($AF$2:AF934),$AF$2:$AF$1001,0),0), INDEX($AM$1004:$BM$1004,1,MATCH(COLUMNS($AM$1006:AO1006),$AM$1006:$BM$1006,0)))),"Fix")))</f>
        <v xml:space="preserve"> </v>
      </c>
      <c r="E934" s="4" t="str">
        <f ca="1">IF(OR(INDEX($AG$2:$AG$1001,MATCH(ROWS($AF$2:AF934),$AF$2:$AF$1001,0),1)&gt;=100000,INDEX($AM$1005:$BM$1005,1,MATCH(COLUMNS($AM$1006:AP1006),$AM$1006:$BM$1006,0))&gt;=100000), " ",IF(INDEX($AM$2:$BM$1001,MATCH(ROWS($AF$2:AF934),$AF$2:$AF$1001,0),MATCH(COLUMNS($AM$1006:AP1006),$AM$1006:$BM$1006,0)), HYPERLINK("#",""), HYPERLINK(CONCATENATE("#metadata!", ADDRESS(INDEX($AH$2:$AH$1001,MATCH(ROWS($AF$2:AF934),$AF$2:$AF$1001,0),0), INDEX($AM$1004:$BM$1004,1,MATCH(COLUMNS($AM$1006:AP1006),$AM$1006:$BM$1006,0)))),"Fix")))</f>
        <v xml:space="preserve"> </v>
      </c>
      <c r="F934" s="4" t="str">
        <f ca="1">IF(OR(INDEX($AG$2:$AG$1001,MATCH(ROWS($AF$2:AF934),$AF$2:$AF$1001,0),1)&gt;=100000,INDEX($AM$1005:$BM$1005,1,MATCH(COLUMNS($AM$1006:AQ1006),$AM$1006:$BM$1006,0))&gt;=100000), " ",IF(INDEX($AM$2:$BM$1001,MATCH(ROWS($AF$2:AF934),$AF$2:$AF$1001,0),MATCH(COLUMNS($AM$1006:AQ1006),$AM$1006:$BM$1006,0)), HYPERLINK("#",""), HYPERLINK(CONCATENATE("#metadata!", ADDRESS(INDEX($AH$2:$AH$1001,MATCH(ROWS($AF$2:AF934),$AF$2:$AF$1001,0),0), INDEX($AM$1004:$BM$1004,1,MATCH(COLUMNS($AM$1006:AQ1006),$AM$1006:$BM$1006,0)))),"Fix")))</f>
        <v xml:space="preserve"> </v>
      </c>
      <c r="G934" s="4" t="str">
        <f ca="1">IF(OR(INDEX($AG$2:$AG$1001,MATCH(ROWS($AF$2:AF934),$AF$2:$AF$1001,0),1)&gt;=100000,INDEX($AM$1005:$BM$1005,1,MATCH(COLUMNS($AM$1006:AR1006),$AM$1006:$BM$1006,0))&gt;=100000), " ",IF(INDEX($AM$2:$BM$1001,MATCH(ROWS($AF$2:AF934),$AF$2:$AF$1001,0),MATCH(COLUMNS($AM$1006:AR1006),$AM$1006:$BM$1006,0)), HYPERLINK("#",""), HYPERLINK(CONCATENATE("#metadata!", ADDRESS(INDEX($AH$2:$AH$1001,MATCH(ROWS($AF$2:AF934),$AF$2:$AF$1001,0),0), INDEX($AM$1004:$BM$1004,1,MATCH(COLUMNS($AM$1006:AR1006),$AM$1006:$BM$1006,0)))),"Fix")))</f>
        <v xml:space="preserve"> </v>
      </c>
      <c r="H934" s="4" t="str">
        <f ca="1">IF(OR(INDEX($AG$2:$AG$1001,MATCH(ROWS($AF$2:AF934),$AF$2:$AF$1001,0),1)&gt;=100000,INDEX($AM$1005:$BM$1005,1,MATCH(COLUMNS($AM$1006:AS1006),$AM$1006:$BM$1006,0))&gt;=100000), " ",IF(INDEX($AM$2:$BM$1001,MATCH(ROWS($AF$2:AF934),$AF$2:$AF$1001,0),MATCH(COLUMNS($AM$1006:AS1006),$AM$1006:$BM$1006,0)), HYPERLINK("#",""), HYPERLINK(CONCATENATE("#metadata!", ADDRESS(INDEX($AH$2:$AH$1001,MATCH(ROWS($AF$2:AF934),$AF$2:$AF$1001,0),0), INDEX($AM$1004:$BM$1004,1,MATCH(COLUMNS($AM$1006:AS1006),$AM$1006:$BM$1006,0)))),"Fix")))</f>
        <v xml:space="preserve"> </v>
      </c>
      <c r="I934" s="4" t="str">
        <f ca="1">IF(OR(INDEX($AG$2:$AG$1001,MATCH(ROWS($AF$2:AF934),$AF$2:$AF$1001,0),1)&gt;=100000,INDEX($AM$1005:$BM$1005,1,MATCH(COLUMNS($AM$1006:AT1006),$AM$1006:$BM$1006,0))&gt;=100000), " ",IF(INDEX($AM$2:$BM$1001,MATCH(ROWS($AF$2:AF934),$AF$2:$AF$1001,0),MATCH(COLUMNS($AM$1006:AT1006),$AM$1006:$BM$1006,0)), HYPERLINK("#",""), HYPERLINK(CONCATENATE("#metadata!", ADDRESS(INDEX($AH$2:$AH$1001,MATCH(ROWS($AF$2:AF934),$AF$2:$AF$1001,0),0), INDEX($AM$1004:$BM$1004,1,MATCH(COLUMNS($AM$1006:AT1006),$AM$1006:$BM$1006,0)))),"Fix")))</f>
        <v xml:space="preserve"> </v>
      </c>
      <c r="J934" s="4" t="str">
        <f ca="1">IF(OR(INDEX($AG$2:$AG$1001,MATCH(ROWS($AF$2:AF934),$AF$2:$AF$1001,0),1)&gt;=100000,INDEX($AM$1005:$BM$1005,1,MATCH(COLUMNS($AM$1006:AU1006),$AM$1006:$BM$1006,0))&gt;=100000), " ",IF(INDEX($AM$2:$BM$1001,MATCH(ROWS($AF$2:AF934),$AF$2:$AF$1001,0),MATCH(COLUMNS($AM$1006:AU1006),$AM$1006:$BM$1006,0)), HYPERLINK("#",""), HYPERLINK(CONCATENATE("#metadata!", ADDRESS(INDEX($AH$2:$AH$1001,MATCH(ROWS($AF$2:AF934),$AF$2:$AF$1001,0),0), INDEX($AM$1004:$BM$1004,1,MATCH(COLUMNS($AM$1006:AU1006),$AM$1006:$BM$1006,0)))),"Fix")))</f>
        <v xml:space="preserve"> </v>
      </c>
      <c r="K934" s="4" t="str">
        <f ca="1">IF(OR(INDEX($AG$2:$AG$1001,MATCH(ROWS($AF$2:AF934),$AF$2:$AF$1001,0),1)&gt;=100000,INDEX($AM$1005:$BM$1005,1,MATCH(COLUMNS($AM$1006:AV1006),$AM$1006:$BM$1006,0))&gt;=100000), " ",IF(INDEX($AM$2:$BM$1001,MATCH(ROWS($AF$2:AF934),$AF$2:$AF$1001,0),MATCH(COLUMNS($AM$1006:AV1006),$AM$1006:$BM$1006,0)), HYPERLINK("#",""), HYPERLINK(CONCATENATE("#metadata!", ADDRESS(INDEX($AH$2:$AH$1001,MATCH(ROWS($AF$2:AF934),$AF$2:$AF$1001,0),0), INDEX($AM$1004:$BM$1004,1,MATCH(COLUMNS($AM$1006:AV1006),$AM$1006:$BM$1006,0)))),"Fix")))</f>
        <v xml:space="preserve"> </v>
      </c>
      <c r="L934" s="4" t="str">
        <f ca="1">IF(OR(INDEX($AG$2:$AG$1001,MATCH(ROWS($AF$2:AF934),$AF$2:$AF$1001,0),1)&gt;=100000,INDEX($AM$1005:$BM$1005,1,MATCH(COLUMNS($AM$1006:AW1006),$AM$1006:$BM$1006,0))&gt;=100000), " ",IF(INDEX($AM$2:$BM$1001,MATCH(ROWS($AF$2:AF934),$AF$2:$AF$1001,0),MATCH(COLUMNS($AM$1006:AW1006),$AM$1006:$BM$1006,0)), HYPERLINK("#",""), HYPERLINK(CONCATENATE("#metadata!", ADDRESS(INDEX($AH$2:$AH$1001,MATCH(ROWS($AF$2:AF934),$AF$2:$AF$1001,0),0), INDEX($AM$1004:$BM$1004,1,MATCH(COLUMNS($AM$1006:AW1006),$AM$1006:$BM$1006,0)))),"Fix")))</f>
        <v xml:space="preserve"> </v>
      </c>
      <c r="M934" s="4" t="str">
        <f ca="1">IF(OR(INDEX($AG$2:$AG$1001,MATCH(ROWS($AF$2:AF934),$AF$2:$AF$1001,0),1)&gt;=100000,INDEX($AM$1005:$BM$1005,1,MATCH(COLUMNS($AM$1006:AX1006),$AM$1006:$BM$1006,0))&gt;=100000), " ",IF(INDEX($AM$2:$BM$1001,MATCH(ROWS($AF$2:AF934),$AF$2:$AF$1001,0),MATCH(COLUMNS($AM$1006:AX1006),$AM$1006:$BM$1006,0)), HYPERLINK("#",""), HYPERLINK(CONCATENATE("#metadata!", ADDRESS(INDEX($AH$2:$AH$1001,MATCH(ROWS($AF$2:AF934),$AF$2:$AF$1001,0),0), INDEX($AM$1004:$BM$1004,1,MATCH(COLUMNS($AM$1006:AX1006),$AM$1006:$BM$1006,0)))),"Fix")))</f>
        <v xml:space="preserve"> </v>
      </c>
      <c r="N934" s="4" t="str">
        <f ca="1">IF(OR(INDEX($AG$2:$AG$1001,MATCH(ROWS($AF$2:AF934),$AF$2:$AF$1001,0),1)&gt;=100000,INDEX($AM$1005:$BM$1005,1,MATCH(COLUMNS($AM$1006:AY1006),$AM$1006:$BM$1006,0))&gt;=100000), " ",IF(INDEX($AM$2:$BM$1001,MATCH(ROWS($AF$2:AF934),$AF$2:$AF$1001,0),MATCH(COLUMNS($AM$1006:AY1006),$AM$1006:$BM$1006,0)), HYPERLINK("#",""), HYPERLINK(CONCATENATE("#metadata!", ADDRESS(INDEX($AH$2:$AH$1001,MATCH(ROWS($AF$2:AF934),$AF$2:$AF$1001,0),0), INDEX($AM$1004:$BM$1004,1,MATCH(COLUMNS($AM$1006:AY1006),$AM$1006:$BM$1006,0)))),"Fix")))</f>
        <v xml:space="preserve"> </v>
      </c>
      <c r="O934" s="4" t="str">
        <f ca="1">IF(OR(INDEX($AG$2:$AG$1001,MATCH(ROWS($AF$2:AF934),$AF$2:$AF$1001,0),1)&gt;=100000,INDEX($AM$1005:$BM$1005,1,MATCH(COLUMNS($AM$1006:AZ1006),$AM$1006:$BM$1006,0))&gt;=100000), " ",IF(INDEX($AM$2:$BM$1001,MATCH(ROWS($AF$2:AF934),$AF$2:$AF$1001,0),MATCH(COLUMNS($AM$1006:AZ1006),$AM$1006:$BM$1006,0)), HYPERLINK("#",""), HYPERLINK(CONCATENATE("#metadata!", ADDRESS(INDEX($AH$2:$AH$1001,MATCH(ROWS($AF$2:AF934),$AF$2:$AF$1001,0),0), INDEX($AM$1004:$BM$1004,1,MATCH(COLUMNS($AM$1006:AZ1006),$AM$1006:$BM$1006,0)))),"Fix")))</f>
        <v xml:space="preserve"> </v>
      </c>
      <c r="P934" s="4" t="str">
        <f ca="1">IF(OR(INDEX($AG$2:$AG$1001,MATCH(ROWS($AF$2:AF934),$AF$2:$AF$1001,0),1)&gt;=100000,INDEX($AM$1005:$BM$1005,1,MATCH(COLUMNS($AM$1006:BA1006),$AM$1006:$BM$1006,0))&gt;=100000), " ",IF(INDEX($AM$2:$BM$1001,MATCH(ROWS($AF$2:AF934),$AF$2:$AF$1001,0),MATCH(COLUMNS($AM$1006:BA1006),$AM$1006:$BM$1006,0)), HYPERLINK("#",""), HYPERLINK(CONCATENATE("#metadata!", ADDRESS(INDEX($AH$2:$AH$1001,MATCH(ROWS($AF$2:AF934),$AF$2:$AF$1001,0),0), INDEX($AM$1004:$BM$1004,1,MATCH(COLUMNS($AM$1006:BA1006),$AM$1006:$BM$1006,0)))),"Fix")))</f>
        <v xml:space="preserve"> </v>
      </c>
      <c r="Q934" s="4" t="str">
        <f ca="1">IF(OR(INDEX($AG$2:$AG$1001,MATCH(ROWS($AF$2:AF934),$AF$2:$AF$1001,0),1)&gt;=100000,INDEX($AM$1005:$BM$1005,1,MATCH(COLUMNS($AM$1006:BB1006),$AM$1006:$BM$1006,0))&gt;=100000), " ",IF(INDEX($AM$2:$BM$1001,MATCH(ROWS($AF$2:AF934),$AF$2:$AF$1001,0),MATCH(COLUMNS($AM$1006:BB1006),$AM$1006:$BM$1006,0)), HYPERLINK("#",""), HYPERLINK(CONCATENATE("#metadata!", ADDRESS(INDEX($AH$2:$AH$1001,MATCH(ROWS($AF$2:AF934),$AF$2:$AF$1001,0),0), INDEX($AM$1004:$BM$1004,1,MATCH(COLUMNS($AM$1006:BB1006),$AM$1006:$BM$1006,0)))),"Fix")))</f>
        <v xml:space="preserve"> </v>
      </c>
      <c r="R934" s="4" t="str">
        <f ca="1">IF(OR(INDEX($AG$2:$AG$1001,MATCH(ROWS($AF$2:AF934),$AF$2:$AF$1001,0),1)&gt;=100000,INDEX($AM$1005:$BM$1005,1,MATCH(COLUMNS($AM$1006:BC1006),$AM$1006:$BM$1006,0))&gt;=100000), " ",IF(INDEX($AM$2:$BM$1001,MATCH(ROWS($AF$2:AF934),$AF$2:$AF$1001,0),MATCH(COLUMNS($AM$1006:BC1006),$AM$1006:$BM$1006,0)), HYPERLINK("#",""), HYPERLINK(CONCATENATE("#metadata!", ADDRESS(INDEX($AH$2:$AH$1001,MATCH(ROWS($AF$2:AF934),$AF$2:$AF$1001,0),0), INDEX($AM$1004:$BM$1004,1,MATCH(COLUMNS($AM$1006:BC1006),$AM$1006:$BM$1006,0)))),"Fix")))</f>
        <v xml:space="preserve"> </v>
      </c>
      <c r="S934" s="4" t="str">
        <f ca="1">IF(OR(INDEX($AG$2:$AG$1001,MATCH(ROWS($AF$2:AF934),$AF$2:$AF$1001,0),1)&gt;=100000,INDEX($AM$1005:$BM$1005,1,MATCH(COLUMNS($AM$1006:BD1006),$AM$1006:$BM$1006,0))&gt;=100000), " ",IF(INDEX($AM$2:$BM$1001,MATCH(ROWS($AF$2:AF934),$AF$2:$AF$1001,0),MATCH(COLUMNS($AM$1006:BD1006),$AM$1006:$BM$1006,0)), HYPERLINK("#",""), HYPERLINK(CONCATENATE("#metadata!", ADDRESS(INDEX($AH$2:$AH$1001,MATCH(ROWS($AF$2:AF934),$AF$2:$AF$1001,0),0), INDEX($AM$1004:$BM$1004,1,MATCH(COLUMNS($AM$1006:BD1006),$AM$1006:$BM$1006,0)))),"Fix")))</f>
        <v xml:space="preserve"> </v>
      </c>
      <c r="T934" s="4" t="str">
        <f ca="1">IF(OR(INDEX($AG$2:$AG$1001,MATCH(ROWS($AF$2:AF934),$AF$2:$AF$1001,0),1)&gt;=100000,INDEX($AM$1005:$BM$1005,1,MATCH(COLUMNS($AM$1006:BE1006),$AM$1006:$BM$1006,0))&gt;=100000), " ",IF(INDEX($AM$2:$BM$1001,MATCH(ROWS($AF$2:AF934),$AF$2:$AF$1001,0),MATCH(COLUMNS($AM$1006:BE1006),$AM$1006:$BM$1006,0)), HYPERLINK("#",""), HYPERLINK(CONCATENATE("#metadata!", ADDRESS(INDEX($AH$2:$AH$1001,MATCH(ROWS($AF$2:AF934),$AF$2:$AF$1001,0),0), INDEX($AM$1004:$BM$1004,1,MATCH(COLUMNS($AM$1006:BE1006),$AM$1006:$BM$1006,0)))),"Fix")))</f>
        <v xml:space="preserve"> </v>
      </c>
      <c r="U934" s="4" t="str">
        <f ca="1">IF(OR(INDEX($AG$2:$AG$1001,MATCH(ROWS($AF$2:AF934),$AF$2:$AF$1001,0),1)&gt;=100000,INDEX($AM$1005:$BM$1005,1,MATCH(COLUMNS($AM$1006:BF1006),$AM$1006:$BM$1006,0))&gt;=100000), " ",IF(INDEX($AM$2:$BM$1001,MATCH(ROWS($AF$2:AF934),$AF$2:$AF$1001,0),MATCH(COLUMNS($AM$1006:BF1006),$AM$1006:$BM$1006,0)), HYPERLINK("#",""), HYPERLINK(CONCATENATE("#metadata!", ADDRESS(INDEX($AH$2:$AH$1001,MATCH(ROWS($AF$2:AF934),$AF$2:$AF$1001,0),0), INDEX($AM$1004:$BM$1004,1,MATCH(COLUMNS($AM$1006:BF1006),$AM$1006:$BM$1006,0)))),"Fix")))</f>
        <v xml:space="preserve"> </v>
      </c>
      <c r="V934" s="4" t="str">
        <f ca="1">IF(OR(INDEX($AG$2:$AG$1001,MATCH(ROWS($AF$2:AF934),$AF$2:$AF$1001,0),1)&gt;=100000,INDEX($AM$1005:$BM$1005,1,MATCH(COLUMNS($AM$1006:BG1006),$AM$1006:$BM$1006,0))&gt;=100000), " ",IF(INDEX($AM$2:$BM$1001,MATCH(ROWS($AF$2:AF934),$AF$2:$AF$1001,0),MATCH(COLUMNS($AM$1006:BG1006),$AM$1006:$BM$1006,0)), HYPERLINK("#",""), HYPERLINK(CONCATENATE("#metadata!", ADDRESS(INDEX($AH$2:$AH$1001,MATCH(ROWS($AF$2:AF934),$AF$2:$AF$1001,0),0), INDEX($AM$1004:$BM$1004,1,MATCH(COLUMNS($AM$1006:BG1006),$AM$1006:$BM$1006,0)))),"Fix")))</f>
        <v xml:space="preserve"> </v>
      </c>
      <c r="W934" s="4" t="str">
        <f ca="1">IF(OR(INDEX($AG$2:$AG$1001,MATCH(ROWS($AF$2:AF934),$AF$2:$AF$1001,0),1)&gt;=100000,INDEX($AM$1005:$BM$1005,1,MATCH(COLUMNS($AM$1006:BH1006),$AM$1006:$BM$1006,0))&gt;=100000), " ",IF(INDEX($AM$2:$BM$1001,MATCH(ROWS($AF$2:AF934),$AF$2:$AF$1001,0),MATCH(COLUMNS($AM$1006:BH1006),$AM$1006:$BM$1006,0)), HYPERLINK("#",""), HYPERLINK(CONCATENATE("#metadata!", ADDRESS(INDEX($AH$2:$AH$1001,MATCH(ROWS($AF$2:AF934),$AF$2:$AF$1001,0),0), INDEX($AM$1004:$BM$1004,1,MATCH(COLUMNS($AM$1006:BH1006),$AM$1006:$BM$1006,0)))),"Fix")))</f>
        <v xml:space="preserve"> </v>
      </c>
      <c r="X934" s="4" t="str">
        <f ca="1">IF(OR(INDEX($AG$2:$AG$1001,MATCH(ROWS($AF$2:AF934),$AF$2:$AF$1001,0),1)&gt;=100000,INDEX($AM$1005:$BM$1005,1,MATCH(COLUMNS($AM$1006:BI1006),$AM$1006:$BM$1006,0))&gt;=100000), " ",IF(INDEX($AM$2:$BM$1001,MATCH(ROWS($AF$2:AF934),$AF$2:$AF$1001,0),MATCH(COLUMNS($AM$1006:BI1006),$AM$1006:$BM$1006,0)), HYPERLINK("#",""), HYPERLINK(CONCATENATE("#metadata!", ADDRESS(INDEX($AH$2:$AH$1001,MATCH(ROWS($AF$2:AF934),$AF$2:$AF$1001,0),0), INDEX($AM$1004:$BM$1004,1,MATCH(COLUMNS($AM$1006:BI1006),$AM$1006:$BM$1006,0)))),"Fix")))</f>
        <v xml:space="preserve"> </v>
      </c>
      <c r="Y934" s="4" t="str">
        <f ca="1">IF(OR(INDEX($AG$2:$AG$1001,MATCH(ROWS($AF$2:AF934),$AF$2:$AF$1001,0),1)&gt;=100000,INDEX($AM$1005:$BM$1005,1,MATCH(COLUMNS($AM$1006:BJ1006),$AM$1006:$BM$1006,0))&gt;=100000), " ",IF(INDEX($AM$2:$BM$1001,MATCH(ROWS($AF$2:AF934),$AF$2:$AF$1001,0),MATCH(COLUMNS($AM$1006:BJ1006),$AM$1006:$BM$1006,0)), HYPERLINK("#",""), HYPERLINK(CONCATENATE("#metadata!", ADDRESS(INDEX($AH$2:$AH$1001,MATCH(ROWS($AF$2:AF934),$AF$2:$AF$1001,0),0), INDEX($AM$1004:$BM$1004,1,MATCH(COLUMNS($AM$1006:BJ1006),$AM$1006:$BM$1006,0)))),"Fix")))</f>
        <v xml:space="preserve"> </v>
      </c>
      <c r="Z934" s="4" t="str">
        <f ca="1">IF(OR(INDEX($AG$2:$AG$1001,MATCH(ROWS($AF$2:AF934),$AF$2:$AF$1001,0),1)&gt;=100000,INDEX($AM$1005:$BM$1005,1,MATCH(COLUMNS($AM$1006:BK1006),$AM$1006:$BM$1006,0))&gt;=100000), " ",IF(INDEX($AM$2:$BM$1001,MATCH(ROWS($AF$2:AF934),$AF$2:$AF$1001,0),MATCH(COLUMNS($AM$1006:BK1006),$AM$1006:$BM$1006,0)), HYPERLINK("#",""), HYPERLINK(CONCATENATE("#metadata!", ADDRESS(INDEX($AH$2:$AH$1001,MATCH(ROWS($AF$2:AF934),$AF$2:$AF$1001,0),0), INDEX($AM$1004:$BM$1004,1,MATCH(COLUMNS($AM$1006:BK1006),$AM$1006:$BM$1006,0)))),"Fix")))</f>
        <v xml:space="preserve"> </v>
      </c>
      <c r="AA934" s="4" t="str">
        <f ca="1">IF(OR(INDEX($AG$2:$AG$1001,MATCH(ROWS($AF$2:AF934),$AF$2:$AF$1001,0),1)&gt;=100000,INDEX($AM$1005:$BM$1005,1,MATCH(COLUMNS($AM$1006:BL1006),$AM$1006:$BM$1006,0))&gt;=100000), " ",IF(INDEX($AM$2:$BM$1001,MATCH(ROWS($AF$2:AF934),$AF$2:$AF$1001,0),MATCH(COLUMNS($AM$1006:BL1006),$AM$1006:$BM$1006,0)), HYPERLINK("#",""), HYPERLINK(CONCATENATE("#metadata!", ADDRESS(INDEX($AH$2:$AH$1001,MATCH(ROWS($AF$2:AF934),$AF$2:$AF$1001,0),0), INDEX($AM$1004:$BM$1004,1,MATCH(COLUMNS($AM$1006:BL1006),$AM$1006:$BM$1006,0)))),"Fix")))</f>
        <v xml:space="preserve"> </v>
      </c>
      <c r="AB934" s="4" t="str">
        <f ca="1">IF(OR(INDEX($AG$2:$AG$1001,MATCH(ROWS($AF$2:AF934),$AF$2:$AF$1001,0),1)&gt;=100000,INDEX($AM$1005:$BM$1005,1,MATCH(COLUMNS($AM$1006:BM1006),$AM$1006:$BM$1006,0))&gt;=100000), " ",IF(INDEX($AM$2:$BM$1001,MATCH(ROWS($AF$2:AF934),$AF$2:$AF$1001,0),MATCH(COLUMNS($AM$1006:BM1006),$AM$1006:$BM$1006,0)), HYPERLINK("#",""), HYPERLINK(CONCATENATE("#metadata!", ADDRESS(INDEX($AH$2:$AH$1001,MATCH(ROWS($AF$2:AF934),$AF$2:$AF$1001,0),0), INDEX($AM$1004:$BM$1004,1,MATCH(COLUMNS($AM$1006:BM1006),$AM$1006:$BM$1006,0)))),"Fix")))</f>
        <v xml:space="preserve"> </v>
      </c>
      <c r="AF934">
        <v>933</v>
      </c>
      <c r="AG934">
        <v>100934</v>
      </c>
      <c r="AH934">
        <v>934</v>
      </c>
      <c r="AI934" t="b">
        <f t="shared" si="14"/>
        <v>1</v>
      </c>
      <c r="AJ934" t="b">
        <f>COUNTBLANK(metadata!B934:AB934)=COLUMNS(metadata!B934:AB934)</f>
        <v>1</v>
      </c>
      <c r="AK934" t="str">
        <v/>
      </c>
      <c r="AM934" t="b">
        <f ca="1">AND(IF(metadata!B934="",FALSE,TRUE),COUNTIF(metadata!B:B, metadata!B934) = 1,NOT(ISERROR(SUMPRODUCT(SEARCH(MID(metadata!B934,ROW(INDIRECT("1:"&amp;LEN(metadata!B934))), 1),"0123456789abcdefghijklmnopqrstuvwxyzABCDEFGHIJKLMNOPQRSTUVWXYZ.")))))</f>
        <v>0</v>
      </c>
      <c r="AN934" t="b">
        <f ca="1">OR(AND(IF(metadata!C934="",FALSE,TRUE),OR(EXACT(metadata!C934,"missing: not collected"),EXACT(metadata!C934,"missing: not provided"),EXACT(metadata!C934,"missing: restricted access"))),AND(IF(metadata!C934="",FALSE,TRUE),AND(AND(IFERROR(INT(LEFT(metadata!C934,4))&gt;1900,FALSE),IFERROR(INT(LEFT(metadata!C934,4))&lt;=YEAR(NOW()),FALSE)), OR(MID(metadata!C934,5,1)="", AND(AND(MID(metadata!C934,5,1)="-",IFERROR(INT(MID(metadata!C934,6,1))&gt;=0,FALSE),IFERROR(INT(MID(metadata!C934,6,1))&lt;=1,FALSE),NOT(MID(metadata!C934,7,1)=""),IFERROR(INT(MID(metadata!C934,6,2))&gt;=1,FALSE),IFERROR(INT(MID(metadata!C934,6,2))&lt;=12,FALSE)), OR(MID(metadata!C934,8,1)="", AND(AND(MID(metadata!C934,8,1)="-",IFERROR(INT(MID(metadata!C934,9,1))&gt;=0,FALSE),IFERROR(INT(MID(metadata!C934,9,1))&lt;=3,FALSE),NOT(MID(metadata!C934,10,1)=""),IFERROR(INT(MID(metadata!C934,9,2))&gt;=1,FALSE),IFERROR(INT(MID(metadata!C934,9,2))&lt;=31,FALSE)), OR(MID(metadata!C934,11,1)="", AND(AND(MID(metadata!C934,11,1)=" ",IFERROR(INT(MID(metadata!C934,12,1))&gt;=0,FALSE),IFERROR(INT(MID(metadata!C934,12,1))&lt;=2,FALSE),NOT(MID(metadata!C934,13,1)=""),IFERROR(INT(MID(metadata!C934,12,2))&gt;=0,FALSE),IFERROR(INT(MID(metadata!C934,12,2))&lt;=23,FALSE)), OR(MID(metadata!C934,14,1)="", AND(AND(MID(metadata!C934,14,1)=":",IFERROR(INT(MID(metadata!C934,15,1))&gt;=0,FALSE),IFERROR(INT(MID(metadata!C934,15,1))&lt;=5,FALSE),NOT(MID(metadata!C934,16,1)=""),IFERROR(INT(MID(metadata!C934,15,2))&gt;=0,FALSE),IFERROR(INT(MID(metadata!C934,15,2))&lt;=59,FALSE)), OR(MID(metadata!C934,17,1)="", AND(AND(MID(metadata!C934,17,1)=":",IFERROR(INT(MID(metadata!C934,18,1))&gt;=0,FALSE),IFERROR(INT(MID(metadata!C934,18,1))&lt;=5,FALSE),NOT(MID(metadata!C934,19,1)=""),IFERROR(INT(MID(metadata!C934,18,2))&gt;=0,FALSE),IFERROR(INT(MID(metadata!C934,18,2))&lt;=59,FALSE)), LEN(metadata!C934)&lt;=19)))))))))))))</f>
        <v>0</v>
      </c>
      <c r="AO934" t="b">
        <f>AND(IF(metadata!D934="",FALSE,TRUE),EXACT(metadata!D934,"Not applicable"))</f>
        <v>0</v>
      </c>
      <c r="AP934" t="b">
        <f>IF(metadata!E934="",FALSE,TRUE)</f>
        <v>0</v>
      </c>
      <c r="AQ934" t="b">
        <f>OR(AND(IF(metadata!F934="",FALSE,TRUE),OR(EXACT(metadata!F934,"missing: not collected"),EXACT(metadata!F934,"missing: not provided"))),AND(IF(metadata!F934="",FALSE,TRUE),OR(EXACT(metadata!F934,"TRUE"),EXACT(metadata!F934,"FALSE"))))</f>
        <v>0</v>
      </c>
      <c r="AR934" t="b">
        <f>OR(AND(IF(metadata!G934="",FALSE,TRUE),OR(EXACT(metadata!G934,"missing: not collected"),EXACT(metadata!G934,"missing: not provided"),EXACT(metadata!G934,"missing: restricted access"))),AND(IF(metadata!G934="",FALSE,ISNUMBER(VALUE(metadata!G934))),metadata!G934&gt;=-413))</f>
        <v>0</v>
      </c>
      <c r="AS934" t="b">
        <f>AND(IF(metadata!H934="",FALSE,TRUE),EXACT(metadata!H934,"meters"))</f>
        <v>0</v>
      </c>
      <c r="AT934" t="b">
        <f>AND(IF(metadata!I934="",FALSE,TRUE),OR(EXACT(metadata!I934,"Host-associated"),EXACT(metadata!I934,"Free-living")))</f>
        <v>0</v>
      </c>
      <c r="AU934" t="b">
        <f>AND(IF(metadata!J934="",FALSE,TRUE),OR(EXACT(metadata!J934,"Animal"),EXACT(metadata!J934,"Fungus"),EXACT(metadata!J934,"Plant"),EXACT(metadata!J934,"Saline"),EXACT(metadata!J934,"Non-saline")))</f>
        <v>0</v>
      </c>
      <c r="AV934" t="b">
        <f>AND(IF(metadata!K934="",FALSE,TRUE),OR(EXACT(metadata!K934,"Plant secretion"),EXACT(metadata!K934,"Plant rhizosphere"),EXACT(metadata!K934,"Plant surface"),EXACT(metadata!K934,"Plant corpus"),EXACT(metadata!K934,"Fungus surface"),EXACT(metadata!K934,"Fungus corpus"),EXACT(metadata!K934,"Animal surface"),EXACT(metadata!K934,"Animal proximal gut"),EXACT(metadata!K934,"Animal corpus"),EXACT(metadata!K934,"Animal distal gut"),EXACT(metadata!K934,"Animal secretion"),EXACT(metadata!K934,"Sub-surface (non-saline)"),EXACT(metadata!K934,"Surface (non-saline)"),EXACT(metadata!K934,"Water (non-saline)"),EXACT(metadata!K934,"Soil (non-saline)"),EXACT(metadata!K934,"Aerosol (non-saline)"),EXACT(metadata!K934,"Sediment (non-saline)"),EXACT(metadata!K934,"Surface (saline)"),EXACT(metadata!K934,"Water (saline)"),EXACT(metadata!K934,"Hypersaline (saline)"),EXACT(metadata!K934,"Aerosol (saline)"),EXACT(metadata!K934,"Sediment (saline)")))</f>
        <v>0</v>
      </c>
      <c r="AW934" t="b">
        <f>IF(metadata!L934="",FALSE,TRUE)</f>
        <v>0</v>
      </c>
      <c r="AX934" t="b">
        <f>IF(metadata!M934="",FALSE,TRUE)</f>
        <v>0</v>
      </c>
      <c r="AY934" t="b">
        <f>IF(metadata!N934="",FALSE,TRUE)</f>
        <v>0</v>
      </c>
      <c r="AZ934" t="b">
        <f>OR(AND(IF(metadata!O934="",FALSE,TRUE),OR(EXACT(metadata!O934,"missing: not collected"),EXACT(metadata!O934,"missing: not provided"),EXACT(metadata!O934,"missing: restricted access"))),AND(IF(metadata!O934="",FALSE,TRUE),OR(EXACT(metadata!O934,"air"),EXACT(metadata!O934,"built environment"),EXACT(metadata!O934,"host-associated"),EXACT(metadata!O934,"human-associated"),EXACT(metadata!O934,"human-skin"),EXACT(metadata!O934,"human-oral"),EXACT(metadata!O934,"human-gut"),EXACT(metadata!O934,"human-vaginal"),EXACT(metadata!O934,"microbial mat/biofilm"),EXACT(metadata!O934,"misc environment"),EXACT(metadata!O934,"plant-associated"),EXACT(metadata!O934,"sediment"),EXACT(metadata!O934,"soil"),EXACT(metadata!O934,"wastewater/sludge"),EXACT(metadata!O934,"water"))))</f>
        <v>0</v>
      </c>
      <c r="BA934" t="b">
        <f>IF(metadata!P934="",FALSE,TRUE)</f>
        <v>0</v>
      </c>
      <c r="BB934" t="b">
        <f>IF(metadata!Q934="",FALSE,TRUE)</f>
        <v>0</v>
      </c>
      <c r="BC934" t="b">
        <f>OR(AND(IF(metadata!R934="",FALSE,TRUE),OR(EXACT(metadata!R934,"missing: not collected"),EXACT(metadata!R934,"missing: not provided"),EXACT(metadata!R934,"missing: restricted access"))),AND(IF(metadata!R934="",FALSE,ISNUMBER(VALUE(metadata!R934))),metadata!R934&gt;=-90,metadata!R934&lt;=90))</f>
        <v>0</v>
      </c>
      <c r="BD934" t="b">
        <f>AND(IF(metadata!S934="",FALSE,TRUE),EXACT(metadata!S934,"Decimal degrees"))</f>
        <v>0</v>
      </c>
      <c r="BE934" t="b">
        <f>OR(AND(IF(metadata!T934="",FALSE,TRUE),OR(EXACT(metadata!T934,"missing: not collected"),EXACT(metadata!T934,"missing: not provided"),EXACT(metadata!T934,"missing: restricted access"))),AND(IF(metadata!T934="",FALSE,ISNUMBER(VALUE(metadata!T934))),metadata!T934&gt;=-180,metadata!T934&lt;=180))</f>
        <v>0</v>
      </c>
      <c r="BF934" t="b">
        <f>AND(IF(metadata!U934="",FALSE,TRUE),EXACT(metadata!U934,"Decimal degrees"))</f>
        <v>0</v>
      </c>
      <c r="BG934" t="b">
        <f>IF(metadata!V934="",FALSE,TRUE)</f>
        <v>0</v>
      </c>
      <c r="BH934" t="b">
        <f>OR(AND(IF(metadata!W934="",FALSE,TRUE),OR(EXACT(metadata!W934,"missing: not collected"),EXACT(metadata!W934,"missing: not provided"),EXACT(metadata!W934,"missing: restricted access"))),AND(IF(metadata!W934="",FALSE,TRUE),OR(EXACT(metadata!W934,"TRUE"),EXACT(metadata!W934,"FALSE"))))</f>
        <v>0</v>
      </c>
      <c r="BI934" t="b">
        <f>AND(IF(metadata!X934="",FALSE,TRUE),EXACT(metadata!X934,"other"))</f>
        <v>0</v>
      </c>
      <c r="BJ934" t="b">
        <f>IF(metadata!Y934="",FALSE,TRUE)</f>
        <v>0</v>
      </c>
      <c r="BK934" t="b">
        <f>OR(AND(IF(metadata!Z934="",FALSE,TRUE),OR(EXACT(metadata!Z934,"missing: not collected"),EXACT(metadata!Z934,"missing: not provided"))),AND(IF(metadata!Z934="",FALSE,IF(ISERROR(INT(metadata!Z934)),FALSE,INT(metadata!Z934)=metadata!Z934)),metadata!Z934&gt;0))</f>
        <v>0</v>
      </c>
      <c r="BL934" t="b">
        <f>AND(IF(metadata!AA934="",FALSE,TRUE),EXACT(metadata!AA934,"Not applicable"))</f>
        <v>0</v>
      </c>
      <c r="BM934" t="b">
        <f>IF(metadata!AB934="",FALSE,TRUE)</f>
        <v>0</v>
      </c>
    </row>
    <row r="935" spans="1:65" x14ac:dyDescent="0.2">
      <c r="A935" s="5" t="str">
        <f ca="1">IF(B935=" "," ",HYPERLINK(CONCATENATE("#metadata!",ADDRESS(INDEX($AH$2:$AH$1001,MATCH(ROWS($AF$2:AF935),$AF$2:$AF$1001,0),0),1)),INDEX($AK$2:$AK$1001,MATCH(ROWS($AF$2:AF935),$AF$2:$AF$1001,0),0)))</f>
        <v xml:space="preserve"> </v>
      </c>
      <c r="B935" s="4" t="str">
        <f ca="1">IF(OR(INDEX($AG$2:$AG$1001,MATCH(ROWS($AF$2:AF935),$AF$2:$AF$1001,0),1)&gt;=100000,INDEX($AM$1005:$BM$1005,1,MATCH(COLUMNS($AM$1006:AM1006),$AM$1006:$BM$1006,0))&gt;=100000), " ",IF(INDEX($AM$2:$BM$1001,MATCH(ROWS($AF$2:AF935),$AF$2:$AF$1001,0),MATCH(COLUMNS($AM$1006:AM1006),$AM$1006:$BM$1006,0)), HYPERLINK("#",""), HYPERLINK(CONCATENATE("#metadata!", ADDRESS(INDEX($AH$2:$AH$1001,MATCH(ROWS($AF$2:AF935),$AF$2:$AF$1001,0),0), INDEX($AM$1004:$BM$1004,1,MATCH(COLUMNS($AM$1006:AM1006),$AM$1006:$BM$1006,0)))),"Fix")))</f>
        <v xml:space="preserve"> </v>
      </c>
      <c r="C935" s="4" t="str">
        <f ca="1">IF(OR(INDEX($AG$2:$AG$1001,MATCH(ROWS($AF$2:AF935),$AF$2:$AF$1001,0),1)&gt;=100000,INDEX($AM$1005:$BM$1005,1,MATCH(COLUMNS($AM$1006:AN1006),$AM$1006:$BM$1006,0))&gt;=100000), " ",IF(INDEX($AM$2:$BM$1001,MATCH(ROWS($AF$2:AF935),$AF$2:$AF$1001,0),MATCH(COLUMNS($AM$1006:AN1006),$AM$1006:$BM$1006,0)), HYPERLINK("#",""), HYPERLINK(CONCATENATE("#metadata!", ADDRESS(INDEX($AH$2:$AH$1001,MATCH(ROWS($AF$2:AF935),$AF$2:$AF$1001,0),0), INDEX($AM$1004:$BM$1004,1,MATCH(COLUMNS($AM$1006:AN1006),$AM$1006:$BM$1006,0)))),"Fix")))</f>
        <v xml:space="preserve"> </v>
      </c>
      <c r="D935" s="4" t="str">
        <f ca="1">IF(OR(INDEX($AG$2:$AG$1001,MATCH(ROWS($AF$2:AF935),$AF$2:$AF$1001,0),1)&gt;=100000,INDEX($AM$1005:$BM$1005,1,MATCH(COLUMNS($AM$1006:AO1006),$AM$1006:$BM$1006,0))&gt;=100000), " ",IF(INDEX($AM$2:$BM$1001,MATCH(ROWS($AF$2:AF935),$AF$2:$AF$1001,0),MATCH(COLUMNS($AM$1006:AO1006),$AM$1006:$BM$1006,0)), HYPERLINK("#",""), HYPERLINK(CONCATENATE("#metadata!", ADDRESS(INDEX($AH$2:$AH$1001,MATCH(ROWS($AF$2:AF935),$AF$2:$AF$1001,0),0), INDEX($AM$1004:$BM$1004,1,MATCH(COLUMNS($AM$1006:AO1006),$AM$1006:$BM$1006,0)))),"Fix")))</f>
        <v xml:space="preserve"> </v>
      </c>
      <c r="E935" s="4" t="str">
        <f ca="1">IF(OR(INDEX($AG$2:$AG$1001,MATCH(ROWS($AF$2:AF935),$AF$2:$AF$1001,0),1)&gt;=100000,INDEX($AM$1005:$BM$1005,1,MATCH(COLUMNS($AM$1006:AP1006),$AM$1006:$BM$1006,0))&gt;=100000), " ",IF(INDEX($AM$2:$BM$1001,MATCH(ROWS($AF$2:AF935),$AF$2:$AF$1001,0),MATCH(COLUMNS($AM$1006:AP1006),$AM$1006:$BM$1006,0)), HYPERLINK("#",""), HYPERLINK(CONCATENATE("#metadata!", ADDRESS(INDEX($AH$2:$AH$1001,MATCH(ROWS($AF$2:AF935),$AF$2:$AF$1001,0),0), INDEX($AM$1004:$BM$1004,1,MATCH(COLUMNS($AM$1006:AP1006),$AM$1006:$BM$1006,0)))),"Fix")))</f>
        <v xml:space="preserve"> </v>
      </c>
      <c r="F935" s="4" t="str">
        <f ca="1">IF(OR(INDEX($AG$2:$AG$1001,MATCH(ROWS($AF$2:AF935),$AF$2:$AF$1001,0),1)&gt;=100000,INDEX($AM$1005:$BM$1005,1,MATCH(COLUMNS($AM$1006:AQ1006),$AM$1006:$BM$1006,0))&gt;=100000), " ",IF(INDEX($AM$2:$BM$1001,MATCH(ROWS($AF$2:AF935),$AF$2:$AF$1001,0),MATCH(COLUMNS($AM$1006:AQ1006),$AM$1006:$BM$1006,0)), HYPERLINK("#",""), HYPERLINK(CONCATENATE("#metadata!", ADDRESS(INDEX($AH$2:$AH$1001,MATCH(ROWS($AF$2:AF935),$AF$2:$AF$1001,0),0), INDEX($AM$1004:$BM$1004,1,MATCH(COLUMNS($AM$1006:AQ1006),$AM$1006:$BM$1006,0)))),"Fix")))</f>
        <v xml:space="preserve"> </v>
      </c>
      <c r="G935" s="4" t="str">
        <f ca="1">IF(OR(INDEX($AG$2:$AG$1001,MATCH(ROWS($AF$2:AF935),$AF$2:$AF$1001,0),1)&gt;=100000,INDEX($AM$1005:$BM$1005,1,MATCH(COLUMNS($AM$1006:AR1006),$AM$1006:$BM$1006,0))&gt;=100000), " ",IF(INDEX($AM$2:$BM$1001,MATCH(ROWS($AF$2:AF935),$AF$2:$AF$1001,0),MATCH(COLUMNS($AM$1006:AR1006),$AM$1006:$BM$1006,0)), HYPERLINK("#",""), HYPERLINK(CONCATENATE("#metadata!", ADDRESS(INDEX($AH$2:$AH$1001,MATCH(ROWS($AF$2:AF935),$AF$2:$AF$1001,0),0), INDEX($AM$1004:$BM$1004,1,MATCH(COLUMNS($AM$1006:AR1006),$AM$1006:$BM$1006,0)))),"Fix")))</f>
        <v xml:space="preserve"> </v>
      </c>
      <c r="H935" s="4" t="str">
        <f ca="1">IF(OR(INDEX($AG$2:$AG$1001,MATCH(ROWS($AF$2:AF935),$AF$2:$AF$1001,0),1)&gt;=100000,INDEX($AM$1005:$BM$1005,1,MATCH(COLUMNS($AM$1006:AS1006),$AM$1006:$BM$1006,0))&gt;=100000), " ",IF(INDEX($AM$2:$BM$1001,MATCH(ROWS($AF$2:AF935),$AF$2:$AF$1001,0),MATCH(COLUMNS($AM$1006:AS1006),$AM$1006:$BM$1006,0)), HYPERLINK("#",""), HYPERLINK(CONCATENATE("#metadata!", ADDRESS(INDEX($AH$2:$AH$1001,MATCH(ROWS($AF$2:AF935),$AF$2:$AF$1001,0),0), INDEX($AM$1004:$BM$1004,1,MATCH(COLUMNS($AM$1006:AS1006),$AM$1006:$BM$1006,0)))),"Fix")))</f>
        <v xml:space="preserve"> </v>
      </c>
      <c r="I935" s="4" t="str">
        <f ca="1">IF(OR(INDEX($AG$2:$AG$1001,MATCH(ROWS($AF$2:AF935),$AF$2:$AF$1001,0),1)&gt;=100000,INDEX($AM$1005:$BM$1005,1,MATCH(COLUMNS($AM$1006:AT1006),$AM$1006:$BM$1006,0))&gt;=100000), " ",IF(INDEX($AM$2:$BM$1001,MATCH(ROWS($AF$2:AF935),$AF$2:$AF$1001,0),MATCH(COLUMNS($AM$1006:AT1006),$AM$1006:$BM$1006,0)), HYPERLINK("#",""), HYPERLINK(CONCATENATE("#metadata!", ADDRESS(INDEX($AH$2:$AH$1001,MATCH(ROWS($AF$2:AF935),$AF$2:$AF$1001,0),0), INDEX($AM$1004:$BM$1004,1,MATCH(COLUMNS($AM$1006:AT1006),$AM$1006:$BM$1006,0)))),"Fix")))</f>
        <v xml:space="preserve"> </v>
      </c>
      <c r="J935" s="4" t="str">
        <f ca="1">IF(OR(INDEX($AG$2:$AG$1001,MATCH(ROWS($AF$2:AF935),$AF$2:$AF$1001,0),1)&gt;=100000,INDEX($AM$1005:$BM$1005,1,MATCH(COLUMNS($AM$1006:AU1006),$AM$1006:$BM$1006,0))&gt;=100000), " ",IF(INDEX($AM$2:$BM$1001,MATCH(ROWS($AF$2:AF935),$AF$2:$AF$1001,0),MATCH(COLUMNS($AM$1006:AU1006),$AM$1006:$BM$1006,0)), HYPERLINK("#",""), HYPERLINK(CONCATENATE("#metadata!", ADDRESS(INDEX($AH$2:$AH$1001,MATCH(ROWS($AF$2:AF935),$AF$2:$AF$1001,0),0), INDEX($AM$1004:$BM$1004,1,MATCH(COLUMNS($AM$1006:AU1006),$AM$1006:$BM$1006,0)))),"Fix")))</f>
        <v xml:space="preserve"> </v>
      </c>
      <c r="K935" s="4" t="str">
        <f ca="1">IF(OR(INDEX($AG$2:$AG$1001,MATCH(ROWS($AF$2:AF935),$AF$2:$AF$1001,0),1)&gt;=100000,INDEX($AM$1005:$BM$1005,1,MATCH(COLUMNS($AM$1006:AV1006),$AM$1006:$BM$1006,0))&gt;=100000), " ",IF(INDEX($AM$2:$BM$1001,MATCH(ROWS($AF$2:AF935),$AF$2:$AF$1001,0),MATCH(COLUMNS($AM$1006:AV1006),$AM$1006:$BM$1006,0)), HYPERLINK("#",""), HYPERLINK(CONCATENATE("#metadata!", ADDRESS(INDEX($AH$2:$AH$1001,MATCH(ROWS($AF$2:AF935),$AF$2:$AF$1001,0),0), INDEX($AM$1004:$BM$1004,1,MATCH(COLUMNS($AM$1006:AV1006),$AM$1006:$BM$1006,0)))),"Fix")))</f>
        <v xml:space="preserve"> </v>
      </c>
      <c r="L935" s="4" t="str">
        <f ca="1">IF(OR(INDEX($AG$2:$AG$1001,MATCH(ROWS($AF$2:AF935),$AF$2:$AF$1001,0),1)&gt;=100000,INDEX($AM$1005:$BM$1005,1,MATCH(COLUMNS($AM$1006:AW1006),$AM$1006:$BM$1006,0))&gt;=100000), " ",IF(INDEX($AM$2:$BM$1001,MATCH(ROWS($AF$2:AF935),$AF$2:$AF$1001,0),MATCH(COLUMNS($AM$1006:AW1006),$AM$1006:$BM$1006,0)), HYPERLINK("#",""), HYPERLINK(CONCATENATE("#metadata!", ADDRESS(INDEX($AH$2:$AH$1001,MATCH(ROWS($AF$2:AF935),$AF$2:$AF$1001,0),0), INDEX($AM$1004:$BM$1004,1,MATCH(COLUMNS($AM$1006:AW1006),$AM$1006:$BM$1006,0)))),"Fix")))</f>
        <v xml:space="preserve"> </v>
      </c>
      <c r="M935" s="4" t="str">
        <f ca="1">IF(OR(INDEX($AG$2:$AG$1001,MATCH(ROWS($AF$2:AF935),$AF$2:$AF$1001,0),1)&gt;=100000,INDEX($AM$1005:$BM$1005,1,MATCH(COLUMNS($AM$1006:AX1006),$AM$1006:$BM$1006,0))&gt;=100000), " ",IF(INDEX($AM$2:$BM$1001,MATCH(ROWS($AF$2:AF935),$AF$2:$AF$1001,0),MATCH(COLUMNS($AM$1006:AX1006),$AM$1006:$BM$1006,0)), HYPERLINK("#",""), HYPERLINK(CONCATENATE("#metadata!", ADDRESS(INDEX($AH$2:$AH$1001,MATCH(ROWS($AF$2:AF935),$AF$2:$AF$1001,0),0), INDEX($AM$1004:$BM$1004,1,MATCH(COLUMNS($AM$1006:AX1006),$AM$1006:$BM$1006,0)))),"Fix")))</f>
        <v xml:space="preserve"> </v>
      </c>
      <c r="N935" s="4" t="str">
        <f ca="1">IF(OR(INDEX($AG$2:$AG$1001,MATCH(ROWS($AF$2:AF935),$AF$2:$AF$1001,0),1)&gt;=100000,INDEX($AM$1005:$BM$1005,1,MATCH(COLUMNS($AM$1006:AY1006),$AM$1006:$BM$1006,0))&gt;=100000), " ",IF(INDEX($AM$2:$BM$1001,MATCH(ROWS($AF$2:AF935),$AF$2:$AF$1001,0),MATCH(COLUMNS($AM$1006:AY1006),$AM$1006:$BM$1006,0)), HYPERLINK("#",""), HYPERLINK(CONCATENATE("#metadata!", ADDRESS(INDEX($AH$2:$AH$1001,MATCH(ROWS($AF$2:AF935),$AF$2:$AF$1001,0),0), INDEX($AM$1004:$BM$1004,1,MATCH(COLUMNS($AM$1006:AY1006),$AM$1006:$BM$1006,0)))),"Fix")))</f>
        <v xml:space="preserve"> </v>
      </c>
      <c r="O935" s="4" t="str">
        <f ca="1">IF(OR(INDEX($AG$2:$AG$1001,MATCH(ROWS($AF$2:AF935),$AF$2:$AF$1001,0),1)&gt;=100000,INDEX($AM$1005:$BM$1005,1,MATCH(COLUMNS($AM$1006:AZ1006),$AM$1006:$BM$1006,0))&gt;=100000), " ",IF(INDEX($AM$2:$BM$1001,MATCH(ROWS($AF$2:AF935),$AF$2:$AF$1001,0),MATCH(COLUMNS($AM$1006:AZ1006),$AM$1006:$BM$1006,0)), HYPERLINK("#",""), HYPERLINK(CONCATENATE("#metadata!", ADDRESS(INDEX($AH$2:$AH$1001,MATCH(ROWS($AF$2:AF935),$AF$2:$AF$1001,0),0), INDEX($AM$1004:$BM$1004,1,MATCH(COLUMNS($AM$1006:AZ1006),$AM$1006:$BM$1006,0)))),"Fix")))</f>
        <v xml:space="preserve"> </v>
      </c>
      <c r="P935" s="4" t="str">
        <f ca="1">IF(OR(INDEX($AG$2:$AG$1001,MATCH(ROWS($AF$2:AF935),$AF$2:$AF$1001,0),1)&gt;=100000,INDEX($AM$1005:$BM$1005,1,MATCH(COLUMNS($AM$1006:BA1006),$AM$1006:$BM$1006,0))&gt;=100000), " ",IF(INDEX($AM$2:$BM$1001,MATCH(ROWS($AF$2:AF935),$AF$2:$AF$1001,0),MATCH(COLUMNS($AM$1006:BA1006),$AM$1006:$BM$1006,0)), HYPERLINK("#",""), HYPERLINK(CONCATENATE("#metadata!", ADDRESS(INDEX($AH$2:$AH$1001,MATCH(ROWS($AF$2:AF935),$AF$2:$AF$1001,0),0), INDEX($AM$1004:$BM$1004,1,MATCH(COLUMNS($AM$1006:BA1006),$AM$1006:$BM$1006,0)))),"Fix")))</f>
        <v xml:space="preserve"> </v>
      </c>
      <c r="Q935" s="4" t="str">
        <f ca="1">IF(OR(INDEX($AG$2:$AG$1001,MATCH(ROWS($AF$2:AF935),$AF$2:$AF$1001,0),1)&gt;=100000,INDEX($AM$1005:$BM$1005,1,MATCH(COLUMNS($AM$1006:BB1006),$AM$1006:$BM$1006,0))&gt;=100000), " ",IF(INDEX($AM$2:$BM$1001,MATCH(ROWS($AF$2:AF935),$AF$2:$AF$1001,0),MATCH(COLUMNS($AM$1006:BB1006),$AM$1006:$BM$1006,0)), HYPERLINK("#",""), HYPERLINK(CONCATENATE("#metadata!", ADDRESS(INDEX($AH$2:$AH$1001,MATCH(ROWS($AF$2:AF935),$AF$2:$AF$1001,0),0), INDEX($AM$1004:$BM$1004,1,MATCH(COLUMNS($AM$1006:BB1006),$AM$1006:$BM$1006,0)))),"Fix")))</f>
        <v xml:space="preserve"> </v>
      </c>
      <c r="R935" s="4" t="str">
        <f ca="1">IF(OR(INDEX($AG$2:$AG$1001,MATCH(ROWS($AF$2:AF935),$AF$2:$AF$1001,0),1)&gt;=100000,INDEX($AM$1005:$BM$1005,1,MATCH(COLUMNS($AM$1006:BC1006),$AM$1006:$BM$1006,0))&gt;=100000), " ",IF(INDEX($AM$2:$BM$1001,MATCH(ROWS($AF$2:AF935),$AF$2:$AF$1001,0),MATCH(COLUMNS($AM$1006:BC1006),$AM$1006:$BM$1006,0)), HYPERLINK("#",""), HYPERLINK(CONCATENATE("#metadata!", ADDRESS(INDEX($AH$2:$AH$1001,MATCH(ROWS($AF$2:AF935),$AF$2:$AF$1001,0),0), INDEX($AM$1004:$BM$1004,1,MATCH(COLUMNS($AM$1006:BC1006),$AM$1006:$BM$1006,0)))),"Fix")))</f>
        <v xml:space="preserve"> </v>
      </c>
      <c r="S935" s="4" t="str">
        <f ca="1">IF(OR(INDEX($AG$2:$AG$1001,MATCH(ROWS($AF$2:AF935),$AF$2:$AF$1001,0),1)&gt;=100000,INDEX($AM$1005:$BM$1005,1,MATCH(COLUMNS($AM$1006:BD1006),$AM$1006:$BM$1006,0))&gt;=100000), " ",IF(INDEX($AM$2:$BM$1001,MATCH(ROWS($AF$2:AF935),$AF$2:$AF$1001,0),MATCH(COLUMNS($AM$1006:BD1006),$AM$1006:$BM$1006,0)), HYPERLINK("#",""), HYPERLINK(CONCATENATE("#metadata!", ADDRESS(INDEX($AH$2:$AH$1001,MATCH(ROWS($AF$2:AF935),$AF$2:$AF$1001,0),0), INDEX($AM$1004:$BM$1004,1,MATCH(COLUMNS($AM$1006:BD1006),$AM$1006:$BM$1006,0)))),"Fix")))</f>
        <v xml:space="preserve"> </v>
      </c>
      <c r="T935" s="4" t="str">
        <f ca="1">IF(OR(INDEX($AG$2:$AG$1001,MATCH(ROWS($AF$2:AF935),$AF$2:$AF$1001,0),1)&gt;=100000,INDEX($AM$1005:$BM$1005,1,MATCH(COLUMNS($AM$1006:BE1006),$AM$1006:$BM$1006,0))&gt;=100000), " ",IF(INDEX($AM$2:$BM$1001,MATCH(ROWS($AF$2:AF935),$AF$2:$AF$1001,0),MATCH(COLUMNS($AM$1006:BE1006),$AM$1006:$BM$1006,0)), HYPERLINK("#",""), HYPERLINK(CONCATENATE("#metadata!", ADDRESS(INDEX($AH$2:$AH$1001,MATCH(ROWS($AF$2:AF935),$AF$2:$AF$1001,0),0), INDEX($AM$1004:$BM$1004,1,MATCH(COLUMNS($AM$1006:BE1006),$AM$1006:$BM$1006,0)))),"Fix")))</f>
        <v xml:space="preserve"> </v>
      </c>
      <c r="U935" s="4" t="str">
        <f ca="1">IF(OR(INDEX($AG$2:$AG$1001,MATCH(ROWS($AF$2:AF935),$AF$2:$AF$1001,0),1)&gt;=100000,INDEX($AM$1005:$BM$1005,1,MATCH(COLUMNS($AM$1006:BF1006),$AM$1006:$BM$1006,0))&gt;=100000), " ",IF(INDEX($AM$2:$BM$1001,MATCH(ROWS($AF$2:AF935),$AF$2:$AF$1001,0),MATCH(COLUMNS($AM$1006:BF1006),$AM$1006:$BM$1006,0)), HYPERLINK("#",""), HYPERLINK(CONCATENATE("#metadata!", ADDRESS(INDEX($AH$2:$AH$1001,MATCH(ROWS($AF$2:AF935),$AF$2:$AF$1001,0),0), INDEX($AM$1004:$BM$1004,1,MATCH(COLUMNS($AM$1006:BF1006),$AM$1006:$BM$1006,0)))),"Fix")))</f>
        <v xml:space="preserve"> </v>
      </c>
      <c r="V935" s="4" t="str">
        <f ca="1">IF(OR(INDEX($AG$2:$AG$1001,MATCH(ROWS($AF$2:AF935),$AF$2:$AF$1001,0),1)&gt;=100000,INDEX($AM$1005:$BM$1005,1,MATCH(COLUMNS($AM$1006:BG1006),$AM$1006:$BM$1006,0))&gt;=100000), " ",IF(INDEX($AM$2:$BM$1001,MATCH(ROWS($AF$2:AF935),$AF$2:$AF$1001,0),MATCH(COLUMNS($AM$1006:BG1006),$AM$1006:$BM$1006,0)), HYPERLINK("#",""), HYPERLINK(CONCATENATE("#metadata!", ADDRESS(INDEX($AH$2:$AH$1001,MATCH(ROWS($AF$2:AF935),$AF$2:$AF$1001,0),0), INDEX($AM$1004:$BM$1004,1,MATCH(COLUMNS($AM$1006:BG1006),$AM$1006:$BM$1006,0)))),"Fix")))</f>
        <v xml:space="preserve"> </v>
      </c>
      <c r="W935" s="4" t="str">
        <f ca="1">IF(OR(INDEX($AG$2:$AG$1001,MATCH(ROWS($AF$2:AF935),$AF$2:$AF$1001,0),1)&gt;=100000,INDEX($AM$1005:$BM$1005,1,MATCH(COLUMNS($AM$1006:BH1006),$AM$1006:$BM$1006,0))&gt;=100000), " ",IF(INDEX($AM$2:$BM$1001,MATCH(ROWS($AF$2:AF935),$AF$2:$AF$1001,0),MATCH(COLUMNS($AM$1006:BH1006),$AM$1006:$BM$1006,0)), HYPERLINK("#",""), HYPERLINK(CONCATENATE("#metadata!", ADDRESS(INDEX($AH$2:$AH$1001,MATCH(ROWS($AF$2:AF935),$AF$2:$AF$1001,0),0), INDEX($AM$1004:$BM$1004,1,MATCH(COLUMNS($AM$1006:BH1006),$AM$1006:$BM$1006,0)))),"Fix")))</f>
        <v xml:space="preserve"> </v>
      </c>
      <c r="X935" s="4" t="str">
        <f ca="1">IF(OR(INDEX($AG$2:$AG$1001,MATCH(ROWS($AF$2:AF935),$AF$2:$AF$1001,0),1)&gt;=100000,INDEX($AM$1005:$BM$1005,1,MATCH(COLUMNS($AM$1006:BI1006),$AM$1006:$BM$1006,0))&gt;=100000), " ",IF(INDEX($AM$2:$BM$1001,MATCH(ROWS($AF$2:AF935),$AF$2:$AF$1001,0),MATCH(COLUMNS($AM$1006:BI1006),$AM$1006:$BM$1006,0)), HYPERLINK("#",""), HYPERLINK(CONCATENATE("#metadata!", ADDRESS(INDEX($AH$2:$AH$1001,MATCH(ROWS($AF$2:AF935),$AF$2:$AF$1001,0),0), INDEX($AM$1004:$BM$1004,1,MATCH(COLUMNS($AM$1006:BI1006),$AM$1006:$BM$1006,0)))),"Fix")))</f>
        <v xml:space="preserve"> </v>
      </c>
      <c r="Y935" s="4" t="str">
        <f ca="1">IF(OR(INDEX($AG$2:$AG$1001,MATCH(ROWS($AF$2:AF935),$AF$2:$AF$1001,0),1)&gt;=100000,INDEX($AM$1005:$BM$1005,1,MATCH(COLUMNS($AM$1006:BJ1006),$AM$1006:$BM$1006,0))&gt;=100000), " ",IF(INDEX($AM$2:$BM$1001,MATCH(ROWS($AF$2:AF935),$AF$2:$AF$1001,0),MATCH(COLUMNS($AM$1006:BJ1006),$AM$1006:$BM$1006,0)), HYPERLINK("#",""), HYPERLINK(CONCATENATE("#metadata!", ADDRESS(INDEX($AH$2:$AH$1001,MATCH(ROWS($AF$2:AF935),$AF$2:$AF$1001,0),0), INDEX($AM$1004:$BM$1004,1,MATCH(COLUMNS($AM$1006:BJ1006),$AM$1006:$BM$1006,0)))),"Fix")))</f>
        <v xml:space="preserve"> </v>
      </c>
      <c r="Z935" s="4" t="str">
        <f ca="1">IF(OR(INDEX($AG$2:$AG$1001,MATCH(ROWS($AF$2:AF935),$AF$2:$AF$1001,0),1)&gt;=100000,INDEX($AM$1005:$BM$1005,1,MATCH(COLUMNS($AM$1006:BK1006),$AM$1006:$BM$1006,0))&gt;=100000), " ",IF(INDEX($AM$2:$BM$1001,MATCH(ROWS($AF$2:AF935),$AF$2:$AF$1001,0),MATCH(COLUMNS($AM$1006:BK1006),$AM$1006:$BM$1006,0)), HYPERLINK("#",""), HYPERLINK(CONCATENATE("#metadata!", ADDRESS(INDEX($AH$2:$AH$1001,MATCH(ROWS($AF$2:AF935),$AF$2:$AF$1001,0),0), INDEX($AM$1004:$BM$1004,1,MATCH(COLUMNS($AM$1006:BK1006),$AM$1006:$BM$1006,0)))),"Fix")))</f>
        <v xml:space="preserve"> </v>
      </c>
      <c r="AA935" s="4" t="str">
        <f ca="1">IF(OR(INDEX($AG$2:$AG$1001,MATCH(ROWS($AF$2:AF935),$AF$2:$AF$1001,0),1)&gt;=100000,INDEX($AM$1005:$BM$1005,1,MATCH(COLUMNS($AM$1006:BL1006),$AM$1006:$BM$1006,0))&gt;=100000), " ",IF(INDEX($AM$2:$BM$1001,MATCH(ROWS($AF$2:AF935),$AF$2:$AF$1001,0),MATCH(COLUMNS($AM$1006:BL1006),$AM$1006:$BM$1006,0)), HYPERLINK("#",""), HYPERLINK(CONCATENATE("#metadata!", ADDRESS(INDEX($AH$2:$AH$1001,MATCH(ROWS($AF$2:AF935),$AF$2:$AF$1001,0),0), INDEX($AM$1004:$BM$1004,1,MATCH(COLUMNS($AM$1006:BL1006),$AM$1006:$BM$1006,0)))),"Fix")))</f>
        <v xml:space="preserve"> </v>
      </c>
      <c r="AB935" s="4" t="str">
        <f ca="1">IF(OR(INDEX($AG$2:$AG$1001,MATCH(ROWS($AF$2:AF935),$AF$2:$AF$1001,0),1)&gt;=100000,INDEX($AM$1005:$BM$1005,1,MATCH(COLUMNS($AM$1006:BM1006),$AM$1006:$BM$1006,0))&gt;=100000), " ",IF(INDEX($AM$2:$BM$1001,MATCH(ROWS($AF$2:AF935),$AF$2:$AF$1001,0),MATCH(COLUMNS($AM$1006:BM1006),$AM$1006:$BM$1006,0)), HYPERLINK("#",""), HYPERLINK(CONCATENATE("#metadata!", ADDRESS(INDEX($AH$2:$AH$1001,MATCH(ROWS($AF$2:AF935),$AF$2:$AF$1001,0),0), INDEX($AM$1004:$BM$1004,1,MATCH(COLUMNS($AM$1006:BM1006),$AM$1006:$BM$1006,0)))),"Fix")))</f>
        <v xml:space="preserve"> </v>
      </c>
      <c r="AF935">
        <v>934</v>
      </c>
      <c r="AG935">
        <v>100935</v>
      </c>
      <c r="AH935">
        <v>935</v>
      </c>
      <c r="AI935" t="b">
        <f t="shared" si="14"/>
        <v>1</v>
      </c>
      <c r="AJ935" t="b">
        <f>COUNTBLANK(metadata!B935:AB935)=COLUMNS(metadata!B935:AB935)</f>
        <v>1</v>
      </c>
      <c r="AK935" t="str">
        <v/>
      </c>
      <c r="AM935" t="b">
        <f ca="1">AND(IF(metadata!B935="",FALSE,TRUE),COUNTIF(metadata!B:B, metadata!B935) = 1,NOT(ISERROR(SUMPRODUCT(SEARCH(MID(metadata!B935,ROW(INDIRECT("1:"&amp;LEN(metadata!B935))), 1),"0123456789abcdefghijklmnopqrstuvwxyzABCDEFGHIJKLMNOPQRSTUVWXYZ.")))))</f>
        <v>0</v>
      </c>
      <c r="AN935" t="b">
        <f ca="1">OR(AND(IF(metadata!C935="",FALSE,TRUE),OR(EXACT(metadata!C935,"missing: not collected"),EXACT(metadata!C935,"missing: not provided"),EXACT(metadata!C935,"missing: restricted access"))),AND(IF(metadata!C935="",FALSE,TRUE),AND(AND(IFERROR(INT(LEFT(metadata!C935,4))&gt;1900,FALSE),IFERROR(INT(LEFT(metadata!C935,4))&lt;=YEAR(NOW()),FALSE)), OR(MID(metadata!C935,5,1)="", AND(AND(MID(metadata!C935,5,1)="-",IFERROR(INT(MID(metadata!C935,6,1))&gt;=0,FALSE),IFERROR(INT(MID(metadata!C935,6,1))&lt;=1,FALSE),NOT(MID(metadata!C935,7,1)=""),IFERROR(INT(MID(metadata!C935,6,2))&gt;=1,FALSE),IFERROR(INT(MID(metadata!C935,6,2))&lt;=12,FALSE)), OR(MID(metadata!C935,8,1)="", AND(AND(MID(metadata!C935,8,1)="-",IFERROR(INT(MID(metadata!C935,9,1))&gt;=0,FALSE),IFERROR(INT(MID(metadata!C935,9,1))&lt;=3,FALSE),NOT(MID(metadata!C935,10,1)=""),IFERROR(INT(MID(metadata!C935,9,2))&gt;=1,FALSE),IFERROR(INT(MID(metadata!C935,9,2))&lt;=31,FALSE)), OR(MID(metadata!C935,11,1)="", AND(AND(MID(metadata!C935,11,1)=" ",IFERROR(INT(MID(metadata!C935,12,1))&gt;=0,FALSE),IFERROR(INT(MID(metadata!C935,12,1))&lt;=2,FALSE),NOT(MID(metadata!C935,13,1)=""),IFERROR(INT(MID(metadata!C935,12,2))&gt;=0,FALSE),IFERROR(INT(MID(metadata!C935,12,2))&lt;=23,FALSE)), OR(MID(metadata!C935,14,1)="", AND(AND(MID(metadata!C935,14,1)=":",IFERROR(INT(MID(metadata!C935,15,1))&gt;=0,FALSE),IFERROR(INT(MID(metadata!C935,15,1))&lt;=5,FALSE),NOT(MID(metadata!C935,16,1)=""),IFERROR(INT(MID(metadata!C935,15,2))&gt;=0,FALSE),IFERROR(INT(MID(metadata!C935,15,2))&lt;=59,FALSE)), OR(MID(metadata!C935,17,1)="", AND(AND(MID(metadata!C935,17,1)=":",IFERROR(INT(MID(metadata!C935,18,1))&gt;=0,FALSE),IFERROR(INT(MID(metadata!C935,18,1))&lt;=5,FALSE),NOT(MID(metadata!C935,19,1)=""),IFERROR(INT(MID(metadata!C935,18,2))&gt;=0,FALSE),IFERROR(INT(MID(metadata!C935,18,2))&lt;=59,FALSE)), LEN(metadata!C935)&lt;=19)))))))))))))</f>
        <v>0</v>
      </c>
      <c r="AO935" t="b">
        <f>AND(IF(metadata!D935="",FALSE,TRUE),EXACT(metadata!D935,"Not applicable"))</f>
        <v>0</v>
      </c>
      <c r="AP935" t="b">
        <f>IF(metadata!E935="",FALSE,TRUE)</f>
        <v>0</v>
      </c>
      <c r="AQ935" t="b">
        <f>OR(AND(IF(metadata!F935="",FALSE,TRUE),OR(EXACT(metadata!F935,"missing: not collected"),EXACT(metadata!F935,"missing: not provided"))),AND(IF(metadata!F935="",FALSE,TRUE),OR(EXACT(metadata!F935,"TRUE"),EXACT(metadata!F935,"FALSE"))))</f>
        <v>0</v>
      </c>
      <c r="AR935" t="b">
        <f>OR(AND(IF(metadata!G935="",FALSE,TRUE),OR(EXACT(metadata!G935,"missing: not collected"),EXACT(metadata!G935,"missing: not provided"),EXACT(metadata!G935,"missing: restricted access"))),AND(IF(metadata!G935="",FALSE,ISNUMBER(VALUE(metadata!G935))),metadata!G935&gt;=-413))</f>
        <v>0</v>
      </c>
      <c r="AS935" t="b">
        <f>AND(IF(metadata!H935="",FALSE,TRUE),EXACT(metadata!H935,"meters"))</f>
        <v>0</v>
      </c>
      <c r="AT935" t="b">
        <f>AND(IF(metadata!I935="",FALSE,TRUE),OR(EXACT(metadata!I935,"Host-associated"),EXACT(metadata!I935,"Free-living")))</f>
        <v>0</v>
      </c>
      <c r="AU935" t="b">
        <f>AND(IF(metadata!J935="",FALSE,TRUE),OR(EXACT(metadata!J935,"Animal"),EXACT(metadata!J935,"Fungus"),EXACT(metadata!J935,"Plant"),EXACT(metadata!J935,"Saline"),EXACT(metadata!J935,"Non-saline")))</f>
        <v>0</v>
      </c>
      <c r="AV935" t="b">
        <f>AND(IF(metadata!K935="",FALSE,TRUE),OR(EXACT(metadata!K935,"Plant secretion"),EXACT(metadata!K935,"Plant rhizosphere"),EXACT(metadata!K935,"Plant surface"),EXACT(metadata!K935,"Plant corpus"),EXACT(metadata!K935,"Fungus surface"),EXACT(metadata!K935,"Fungus corpus"),EXACT(metadata!K935,"Animal surface"),EXACT(metadata!K935,"Animal proximal gut"),EXACT(metadata!K935,"Animal corpus"),EXACT(metadata!K935,"Animal distal gut"),EXACT(metadata!K935,"Animal secretion"),EXACT(metadata!K935,"Sub-surface (non-saline)"),EXACT(metadata!K935,"Surface (non-saline)"),EXACT(metadata!K935,"Water (non-saline)"),EXACT(metadata!K935,"Soil (non-saline)"),EXACT(metadata!K935,"Aerosol (non-saline)"),EXACT(metadata!K935,"Sediment (non-saline)"),EXACT(metadata!K935,"Surface (saline)"),EXACT(metadata!K935,"Water (saline)"),EXACT(metadata!K935,"Hypersaline (saline)"),EXACT(metadata!K935,"Aerosol (saline)"),EXACT(metadata!K935,"Sediment (saline)")))</f>
        <v>0</v>
      </c>
      <c r="AW935" t="b">
        <f>IF(metadata!L935="",FALSE,TRUE)</f>
        <v>0</v>
      </c>
      <c r="AX935" t="b">
        <f>IF(metadata!M935="",FALSE,TRUE)</f>
        <v>0</v>
      </c>
      <c r="AY935" t="b">
        <f>IF(metadata!N935="",FALSE,TRUE)</f>
        <v>0</v>
      </c>
      <c r="AZ935" t="b">
        <f>OR(AND(IF(metadata!O935="",FALSE,TRUE),OR(EXACT(metadata!O935,"missing: not collected"),EXACT(metadata!O935,"missing: not provided"),EXACT(metadata!O935,"missing: restricted access"))),AND(IF(metadata!O935="",FALSE,TRUE),OR(EXACT(metadata!O935,"air"),EXACT(metadata!O935,"built environment"),EXACT(metadata!O935,"host-associated"),EXACT(metadata!O935,"human-associated"),EXACT(metadata!O935,"human-skin"),EXACT(metadata!O935,"human-oral"),EXACT(metadata!O935,"human-gut"),EXACT(metadata!O935,"human-vaginal"),EXACT(metadata!O935,"microbial mat/biofilm"),EXACT(metadata!O935,"misc environment"),EXACT(metadata!O935,"plant-associated"),EXACT(metadata!O935,"sediment"),EXACT(metadata!O935,"soil"),EXACT(metadata!O935,"wastewater/sludge"),EXACT(metadata!O935,"water"))))</f>
        <v>0</v>
      </c>
      <c r="BA935" t="b">
        <f>IF(metadata!P935="",FALSE,TRUE)</f>
        <v>0</v>
      </c>
      <c r="BB935" t="b">
        <f>IF(metadata!Q935="",FALSE,TRUE)</f>
        <v>0</v>
      </c>
      <c r="BC935" t="b">
        <f>OR(AND(IF(metadata!R935="",FALSE,TRUE),OR(EXACT(metadata!R935,"missing: not collected"),EXACT(metadata!R935,"missing: not provided"),EXACT(metadata!R935,"missing: restricted access"))),AND(IF(metadata!R935="",FALSE,ISNUMBER(VALUE(metadata!R935))),metadata!R935&gt;=-90,metadata!R935&lt;=90))</f>
        <v>0</v>
      </c>
      <c r="BD935" t="b">
        <f>AND(IF(metadata!S935="",FALSE,TRUE),EXACT(metadata!S935,"Decimal degrees"))</f>
        <v>0</v>
      </c>
      <c r="BE935" t="b">
        <f>OR(AND(IF(metadata!T935="",FALSE,TRUE),OR(EXACT(metadata!T935,"missing: not collected"),EXACT(metadata!T935,"missing: not provided"),EXACT(metadata!T935,"missing: restricted access"))),AND(IF(metadata!T935="",FALSE,ISNUMBER(VALUE(metadata!T935))),metadata!T935&gt;=-180,metadata!T935&lt;=180))</f>
        <v>0</v>
      </c>
      <c r="BF935" t="b">
        <f>AND(IF(metadata!U935="",FALSE,TRUE),EXACT(metadata!U935,"Decimal degrees"))</f>
        <v>0</v>
      </c>
      <c r="BG935" t="b">
        <f>IF(metadata!V935="",FALSE,TRUE)</f>
        <v>0</v>
      </c>
      <c r="BH935" t="b">
        <f>OR(AND(IF(metadata!W935="",FALSE,TRUE),OR(EXACT(metadata!W935,"missing: not collected"),EXACT(metadata!W935,"missing: not provided"),EXACT(metadata!W935,"missing: restricted access"))),AND(IF(metadata!W935="",FALSE,TRUE),OR(EXACT(metadata!W935,"TRUE"),EXACT(metadata!W935,"FALSE"))))</f>
        <v>0</v>
      </c>
      <c r="BI935" t="b">
        <f>AND(IF(metadata!X935="",FALSE,TRUE),EXACT(metadata!X935,"other"))</f>
        <v>0</v>
      </c>
      <c r="BJ935" t="b">
        <f>IF(metadata!Y935="",FALSE,TRUE)</f>
        <v>0</v>
      </c>
      <c r="BK935" t="b">
        <f>OR(AND(IF(metadata!Z935="",FALSE,TRUE),OR(EXACT(metadata!Z935,"missing: not collected"),EXACT(metadata!Z935,"missing: not provided"))),AND(IF(metadata!Z935="",FALSE,IF(ISERROR(INT(metadata!Z935)),FALSE,INT(metadata!Z935)=metadata!Z935)),metadata!Z935&gt;0))</f>
        <v>0</v>
      </c>
      <c r="BL935" t="b">
        <f>AND(IF(metadata!AA935="",FALSE,TRUE),EXACT(metadata!AA935,"Not applicable"))</f>
        <v>0</v>
      </c>
      <c r="BM935" t="b">
        <f>IF(metadata!AB935="",FALSE,TRUE)</f>
        <v>0</v>
      </c>
    </row>
    <row r="936" spans="1:65" x14ac:dyDescent="0.2">
      <c r="A936" s="5" t="str">
        <f ca="1">IF(B936=" "," ",HYPERLINK(CONCATENATE("#metadata!",ADDRESS(INDEX($AH$2:$AH$1001,MATCH(ROWS($AF$2:AF936),$AF$2:$AF$1001,0),0),1)),INDEX($AK$2:$AK$1001,MATCH(ROWS($AF$2:AF936),$AF$2:$AF$1001,0),0)))</f>
        <v xml:space="preserve"> </v>
      </c>
      <c r="B936" s="4" t="str">
        <f ca="1">IF(OR(INDEX($AG$2:$AG$1001,MATCH(ROWS($AF$2:AF936),$AF$2:$AF$1001,0),1)&gt;=100000,INDEX($AM$1005:$BM$1005,1,MATCH(COLUMNS($AM$1006:AM1006),$AM$1006:$BM$1006,0))&gt;=100000), " ",IF(INDEX($AM$2:$BM$1001,MATCH(ROWS($AF$2:AF936),$AF$2:$AF$1001,0),MATCH(COLUMNS($AM$1006:AM1006),$AM$1006:$BM$1006,0)), HYPERLINK("#",""), HYPERLINK(CONCATENATE("#metadata!", ADDRESS(INDEX($AH$2:$AH$1001,MATCH(ROWS($AF$2:AF936),$AF$2:$AF$1001,0),0), INDEX($AM$1004:$BM$1004,1,MATCH(COLUMNS($AM$1006:AM1006),$AM$1006:$BM$1006,0)))),"Fix")))</f>
        <v xml:space="preserve"> </v>
      </c>
      <c r="C936" s="4" t="str">
        <f ca="1">IF(OR(INDEX($AG$2:$AG$1001,MATCH(ROWS($AF$2:AF936),$AF$2:$AF$1001,0),1)&gt;=100000,INDEX($AM$1005:$BM$1005,1,MATCH(COLUMNS($AM$1006:AN1006),$AM$1006:$BM$1006,0))&gt;=100000), " ",IF(INDEX($AM$2:$BM$1001,MATCH(ROWS($AF$2:AF936),$AF$2:$AF$1001,0),MATCH(COLUMNS($AM$1006:AN1006),$AM$1006:$BM$1006,0)), HYPERLINK("#",""), HYPERLINK(CONCATENATE("#metadata!", ADDRESS(INDEX($AH$2:$AH$1001,MATCH(ROWS($AF$2:AF936),$AF$2:$AF$1001,0),0), INDEX($AM$1004:$BM$1004,1,MATCH(COLUMNS($AM$1006:AN1006),$AM$1006:$BM$1006,0)))),"Fix")))</f>
        <v xml:space="preserve"> </v>
      </c>
      <c r="D936" s="4" t="str">
        <f ca="1">IF(OR(INDEX($AG$2:$AG$1001,MATCH(ROWS($AF$2:AF936),$AF$2:$AF$1001,0),1)&gt;=100000,INDEX($AM$1005:$BM$1005,1,MATCH(COLUMNS($AM$1006:AO1006),$AM$1006:$BM$1006,0))&gt;=100000), " ",IF(INDEX($AM$2:$BM$1001,MATCH(ROWS($AF$2:AF936),$AF$2:$AF$1001,0),MATCH(COLUMNS($AM$1006:AO1006),$AM$1006:$BM$1006,0)), HYPERLINK("#",""), HYPERLINK(CONCATENATE("#metadata!", ADDRESS(INDEX($AH$2:$AH$1001,MATCH(ROWS($AF$2:AF936),$AF$2:$AF$1001,0),0), INDEX($AM$1004:$BM$1004,1,MATCH(COLUMNS($AM$1006:AO1006),$AM$1006:$BM$1006,0)))),"Fix")))</f>
        <v xml:space="preserve"> </v>
      </c>
      <c r="E936" s="4" t="str">
        <f ca="1">IF(OR(INDEX($AG$2:$AG$1001,MATCH(ROWS($AF$2:AF936),$AF$2:$AF$1001,0),1)&gt;=100000,INDEX($AM$1005:$BM$1005,1,MATCH(COLUMNS($AM$1006:AP1006),$AM$1006:$BM$1006,0))&gt;=100000), " ",IF(INDEX($AM$2:$BM$1001,MATCH(ROWS($AF$2:AF936),$AF$2:$AF$1001,0),MATCH(COLUMNS($AM$1006:AP1006),$AM$1006:$BM$1006,0)), HYPERLINK("#",""), HYPERLINK(CONCATENATE("#metadata!", ADDRESS(INDEX($AH$2:$AH$1001,MATCH(ROWS($AF$2:AF936),$AF$2:$AF$1001,0),0), INDEX($AM$1004:$BM$1004,1,MATCH(COLUMNS($AM$1006:AP1006),$AM$1006:$BM$1006,0)))),"Fix")))</f>
        <v xml:space="preserve"> </v>
      </c>
      <c r="F936" s="4" t="str">
        <f ca="1">IF(OR(INDEX($AG$2:$AG$1001,MATCH(ROWS($AF$2:AF936),$AF$2:$AF$1001,0),1)&gt;=100000,INDEX($AM$1005:$BM$1005,1,MATCH(COLUMNS($AM$1006:AQ1006),$AM$1006:$BM$1006,0))&gt;=100000), " ",IF(INDEX($AM$2:$BM$1001,MATCH(ROWS($AF$2:AF936),$AF$2:$AF$1001,0),MATCH(COLUMNS($AM$1006:AQ1006),$AM$1006:$BM$1006,0)), HYPERLINK("#",""), HYPERLINK(CONCATENATE("#metadata!", ADDRESS(INDEX($AH$2:$AH$1001,MATCH(ROWS($AF$2:AF936),$AF$2:$AF$1001,0),0), INDEX($AM$1004:$BM$1004,1,MATCH(COLUMNS($AM$1006:AQ1006),$AM$1006:$BM$1006,0)))),"Fix")))</f>
        <v xml:space="preserve"> </v>
      </c>
      <c r="G936" s="4" t="str">
        <f ca="1">IF(OR(INDEX($AG$2:$AG$1001,MATCH(ROWS($AF$2:AF936),$AF$2:$AF$1001,0),1)&gt;=100000,INDEX($AM$1005:$BM$1005,1,MATCH(COLUMNS($AM$1006:AR1006),$AM$1006:$BM$1006,0))&gt;=100000), " ",IF(INDEX($AM$2:$BM$1001,MATCH(ROWS($AF$2:AF936),$AF$2:$AF$1001,0),MATCH(COLUMNS($AM$1006:AR1006),$AM$1006:$BM$1006,0)), HYPERLINK("#",""), HYPERLINK(CONCATENATE("#metadata!", ADDRESS(INDEX($AH$2:$AH$1001,MATCH(ROWS($AF$2:AF936),$AF$2:$AF$1001,0),0), INDEX($AM$1004:$BM$1004,1,MATCH(COLUMNS($AM$1006:AR1006),$AM$1006:$BM$1006,0)))),"Fix")))</f>
        <v xml:space="preserve"> </v>
      </c>
      <c r="H936" s="4" t="str">
        <f ca="1">IF(OR(INDEX($AG$2:$AG$1001,MATCH(ROWS($AF$2:AF936),$AF$2:$AF$1001,0),1)&gt;=100000,INDEX($AM$1005:$BM$1005,1,MATCH(COLUMNS($AM$1006:AS1006),$AM$1006:$BM$1006,0))&gt;=100000), " ",IF(INDEX($AM$2:$BM$1001,MATCH(ROWS($AF$2:AF936),$AF$2:$AF$1001,0),MATCH(COLUMNS($AM$1006:AS1006),$AM$1006:$BM$1006,0)), HYPERLINK("#",""), HYPERLINK(CONCATENATE("#metadata!", ADDRESS(INDEX($AH$2:$AH$1001,MATCH(ROWS($AF$2:AF936),$AF$2:$AF$1001,0),0), INDEX($AM$1004:$BM$1004,1,MATCH(COLUMNS($AM$1006:AS1006),$AM$1006:$BM$1006,0)))),"Fix")))</f>
        <v xml:space="preserve"> </v>
      </c>
      <c r="I936" s="4" t="str">
        <f ca="1">IF(OR(INDEX($AG$2:$AG$1001,MATCH(ROWS($AF$2:AF936),$AF$2:$AF$1001,0),1)&gt;=100000,INDEX($AM$1005:$BM$1005,1,MATCH(COLUMNS($AM$1006:AT1006),$AM$1006:$BM$1006,0))&gt;=100000), " ",IF(INDEX($AM$2:$BM$1001,MATCH(ROWS($AF$2:AF936),$AF$2:$AF$1001,0),MATCH(COLUMNS($AM$1006:AT1006),$AM$1006:$BM$1006,0)), HYPERLINK("#",""), HYPERLINK(CONCATENATE("#metadata!", ADDRESS(INDEX($AH$2:$AH$1001,MATCH(ROWS($AF$2:AF936),$AF$2:$AF$1001,0),0), INDEX($AM$1004:$BM$1004,1,MATCH(COLUMNS($AM$1006:AT1006),$AM$1006:$BM$1006,0)))),"Fix")))</f>
        <v xml:space="preserve"> </v>
      </c>
      <c r="J936" s="4" t="str">
        <f ca="1">IF(OR(INDEX($AG$2:$AG$1001,MATCH(ROWS($AF$2:AF936),$AF$2:$AF$1001,0),1)&gt;=100000,INDEX($AM$1005:$BM$1005,1,MATCH(COLUMNS($AM$1006:AU1006),$AM$1006:$BM$1006,0))&gt;=100000), " ",IF(INDEX($AM$2:$BM$1001,MATCH(ROWS($AF$2:AF936),$AF$2:$AF$1001,0),MATCH(COLUMNS($AM$1006:AU1006),$AM$1006:$BM$1006,0)), HYPERLINK("#",""), HYPERLINK(CONCATENATE("#metadata!", ADDRESS(INDEX($AH$2:$AH$1001,MATCH(ROWS($AF$2:AF936),$AF$2:$AF$1001,0),0), INDEX($AM$1004:$BM$1004,1,MATCH(COLUMNS($AM$1006:AU1006),$AM$1006:$BM$1006,0)))),"Fix")))</f>
        <v xml:space="preserve"> </v>
      </c>
      <c r="K936" s="4" t="str">
        <f ca="1">IF(OR(INDEX($AG$2:$AG$1001,MATCH(ROWS($AF$2:AF936),$AF$2:$AF$1001,0),1)&gt;=100000,INDEX($AM$1005:$BM$1005,1,MATCH(COLUMNS($AM$1006:AV1006),$AM$1006:$BM$1006,0))&gt;=100000), " ",IF(INDEX($AM$2:$BM$1001,MATCH(ROWS($AF$2:AF936),$AF$2:$AF$1001,0),MATCH(COLUMNS($AM$1006:AV1006),$AM$1006:$BM$1006,0)), HYPERLINK("#",""), HYPERLINK(CONCATENATE("#metadata!", ADDRESS(INDEX($AH$2:$AH$1001,MATCH(ROWS($AF$2:AF936),$AF$2:$AF$1001,0),0), INDEX($AM$1004:$BM$1004,1,MATCH(COLUMNS($AM$1006:AV1006),$AM$1006:$BM$1006,0)))),"Fix")))</f>
        <v xml:space="preserve"> </v>
      </c>
      <c r="L936" s="4" t="str">
        <f ca="1">IF(OR(INDEX($AG$2:$AG$1001,MATCH(ROWS($AF$2:AF936),$AF$2:$AF$1001,0),1)&gt;=100000,INDEX($AM$1005:$BM$1005,1,MATCH(COLUMNS($AM$1006:AW1006),$AM$1006:$BM$1006,0))&gt;=100000), " ",IF(INDEX($AM$2:$BM$1001,MATCH(ROWS($AF$2:AF936),$AF$2:$AF$1001,0),MATCH(COLUMNS($AM$1006:AW1006),$AM$1006:$BM$1006,0)), HYPERLINK("#",""), HYPERLINK(CONCATENATE("#metadata!", ADDRESS(INDEX($AH$2:$AH$1001,MATCH(ROWS($AF$2:AF936),$AF$2:$AF$1001,0),0), INDEX($AM$1004:$BM$1004,1,MATCH(COLUMNS($AM$1006:AW1006),$AM$1006:$BM$1006,0)))),"Fix")))</f>
        <v xml:space="preserve"> </v>
      </c>
      <c r="M936" s="4" t="str">
        <f ca="1">IF(OR(INDEX($AG$2:$AG$1001,MATCH(ROWS($AF$2:AF936),$AF$2:$AF$1001,0),1)&gt;=100000,INDEX($AM$1005:$BM$1005,1,MATCH(COLUMNS($AM$1006:AX1006),$AM$1006:$BM$1006,0))&gt;=100000), " ",IF(INDEX($AM$2:$BM$1001,MATCH(ROWS($AF$2:AF936),$AF$2:$AF$1001,0),MATCH(COLUMNS($AM$1006:AX1006),$AM$1006:$BM$1006,0)), HYPERLINK("#",""), HYPERLINK(CONCATENATE("#metadata!", ADDRESS(INDEX($AH$2:$AH$1001,MATCH(ROWS($AF$2:AF936),$AF$2:$AF$1001,0),0), INDEX($AM$1004:$BM$1004,1,MATCH(COLUMNS($AM$1006:AX1006),$AM$1006:$BM$1006,0)))),"Fix")))</f>
        <v xml:space="preserve"> </v>
      </c>
      <c r="N936" s="4" t="str">
        <f ca="1">IF(OR(INDEX($AG$2:$AG$1001,MATCH(ROWS($AF$2:AF936),$AF$2:$AF$1001,0),1)&gt;=100000,INDEX($AM$1005:$BM$1005,1,MATCH(COLUMNS($AM$1006:AY1006),$AM$1006:$BM$1006,0))&gt;=100000), " ",IF(INDEX($AM$2:$BM$1001,MATCH(ROWS($AF$2:AF936),$AF$2:$AF$1001,0),MATCH(COLUMNS($AM$1006:AY1006),$AM$1006:$BM$1006,0)), HYPERLINK("#",""), HYPERLINK(CONCATENATE("#metadata!", ADDRESS(INDEX($AH$2:$AH$1001,MATCH(ROWS($AF$2:AF936),$AF$2:$AF$1001,0),0), INDEX($AM$1004:$BM$1004,1,MATCH(COLUMNS($AM$1006:AY1006),$AM$1006:$BM$1006,0)))),"Fix")))</f>
        <v xml:space="preserve"> </v>
      </c>
      <c r="O936" s="4" t="str">
        <f ca="1">IF(OR(INDEX($AG$2:$AG$1001,MATCH(ROWS($AF$2:AF936),$AF$2:$AF$1001,0),1)&gt;=100000,INDEX($AM$1005:$BM$1005,1,MATCH(COLUMNS($AM$1006:AZ1006),$AM$1006:$BM$1006,0))&gt;=100000), " ",IF(INDEX($AM$2:$BM$1001,MATCH(ROWS($AF$2:AF936),$AF$2:$AF$1001,0),MATCH(COLUMNS($AM$1006:AZ1006),$AM$1006:$BM$1006,0)), HYPERLINK("#",""), HYPERLINK(CONCATENATE("#metadata!", ADDRESS(INDEX($AH$2:$AH$1001,MATCH(ROWS($AF$2:AF936),$AF$2:$AF$1001,0),0), INDEX($AM$1004:$BM$1004,1,MATCH(COLUMNS($AM$1006:AZ1006),$AM$1006:$BM$1006,0)))),"Fix")))</f>
        <v xml:space="preserve"> </v>
      </c>
      <c r="P936" s="4" t="str">
        <f ca="1">IF(OR(INDEX($AG$2:$AG$1001,MATCH(ROWS($AF$2:AF936),$AF$2:$AF$1001,0),1)&gt;=100000,INDEX($AM$1005:$BM$1005,1,MATCH(COLUMNS($AM$1006:BA1006),$AM$1006:$BM$1006,0))&gt;=100000), " ",IF(INDEX($AM$2:$BM$1001,MATCH(ROWS($AF$2:AF936),$AF$2:$AF$1001,0),MATCH(COLUMNS($AM$1006:BA1006),$AM$1006:$BM$1006,0)), HYPERLINK("#",""), HYPERLINK(CONCATENATE("#metadata!", ADDRESS(INDEX($AH$2:$AH$1001,MATCH(ROWS($AF$2:AF936),$AF$2:$AF$1001,0),0), INDEX($AM$1004:$BM$1004,1,MATCH(COLUMNS($AM$1006:BA1006),$AM$1006:$BM$1006,0)))),"Fix")))</f>
        <v xml:space="preserve"> </v>
      </c>
      <c r="Q936" s="4" t="str">
        <f ca="1">IF(OR(INDEX($AG$2:$AG$1001,MATCH(ROWS($AF$2:AF936),$AF$2:$AF$1001,0),1)&gt;=100000,INDEX($AM$1005:$BM$1005,1,MATCH(COLUMNS($AM$1006:BB1006),$AM$1006:$BM$1006,0))&gt;=100000), " ",IF(INDEX($AM$2:$BM$1001,MATCH(ROWS($AF$2:AF936),$AF$2:$AF$1001,0),MATCH(COLUMNS($AM$1006:BB1006),$AM$1006:$BM$1006,0)), HYPERLINK("#",""), HYPERLINK(CONCATENATE("#metadata!", ADDRESS(INDEX($AH$2:$AH$1001,MATCH(ROWS($AF$2:AF936),$AF$2:$AF$1001,0),0), INDEX($AM$1004:$BM$1004,1,MATCH(COLUMNS($AM$1006:BB1006),$AM$1006:$BM$1006,0)))),"Fix")))</f>
        <v xml:space="preserve"> </v>
      </c>
      <c r="R936" s="4" t="str">
        <f ca="1">IF(OR(INDEX($AG$2:$AG$1001,MATCH(ROWS($AF$2:AF936),$AF$2:$AF$1001,0),1)&gt;=100000,INDEX($AM$1005:$BM$1005,1,MATCH(COLUMNS($AM$1006:BC1006),$AM$1006:$BM$1006,0))&gt;=100000), " ",IF(INDEX($AM$2:$BM$1001,MATCH(ROWS($AF$2:AF936),$AF$2:$AF$1001,0),MATCH(COLUMNS($AM$1006:BC1006),$AM$1006:$BM$1006,0)), HYPERLINK("#",""), HYPERLINK(CONCATENATE("#metadata!", ADDRESS(INDEX($AH$2:$AH$1001,MATCH(ROWS($AF$2:AF936),$AF$2:$AF$1001,0),0), INDEX($AM$1004:$BM$1004,1,MATCH(COLUMNS($AM$1006:BC1006),$AM$1006:$BM$1006,0)))),"Fix")))</f>
        <v xml:space="preserve"> </v>
      </c>
      <c r="S936" s="4" t="str">
        <f ca="1">IF(OR(INDEX($AG$2:$AG$1001,MATCH(ROWS($AF$2:AF936),$AF$2:$AF$1001,0),1)&gt;=100000,INDEX($AM$1005:$BM$1005,1,MATCH(COLUMNS($AM$1006:BD1006),$AM$1006:$BM$1006,0))&gt;=100000), " ",IF(INDEX($AM$2:$BM$1001,MATCH(ROWS($AF$2:AF936),$AF$2:$AF$1001,0),MATCH(COLUMNS($AM$1006:BD1006),$AM$1006:$BM$1006,0)), HYPERLINK("#",""), HYPERLINK(CONCATENATE("#metadata!", ADDRESS(INDEX($AH$2:$AH$1001,MATCH(ROWS($AF$2:AF936),$AF$2:$AF$1001,0),0), INDEX($AM$1004:$BM$1004,1,MATCH(COLUMNS($AM$1006:BD1006),$AM$1006:$BM$1006,0)))),"Fix")))</f>
        <v xml:space="preserve"> </v>
      </c>
      <c r="T936" s="4" t="str">
        <f ca="1">IF(OR(INDEX($AG$2:$AG$1001,MATCH(ROWS($AF$2:AF936),$AF$2:$AF$1001,0),1)&gt;=100000,INDEX($AM$1005:$BM$1005,1,MATCH(COLUMNS($AM$1006:BE1006),$AM$1006:$BM$1006,0))&gt;=100000), " ",IF(INDEX($AM$2:$BM$1001,MATCH(ROWS($AF$2:AF936),$AF$2:$AF$1001,0),MATCH(COLUMNS($AM$1006:BE1006),$AM$1006:$BM$1006,0)), HYPERLINK("#",""), HYPERLINK(CONCATENATE("#metadata!", ADDRESS(INDEX($AH$2:$AH$1001,MATCH(ROWS($AF$2:AF936),$AF$2:$AF$1001,0),0), INDEX($AM$1004:$BM$1004,1,MATCH(COLUMNS($AM$1006:BE1006),$AM$1006:$BM$1006,0)))),"Fix")))</f>
        <v xml:space="preserve"> </v>
      </c>
      <c r="U936" s="4" t="str">
        <f ca="1">IF(OR(INDEX($AG$2:$AG$1001,MATCH(ROWS($AF$2:AF936),$AF$2:$AF$1001,0),1)&gt;=100000,INDEX($AM$1005:$BM$1005,1,MATCH(COLUMNS($AM$1006:BF1006),$AM$1006:$BM$1006,0))&gt;=100000), " ",IF(INDEX($AM$2:$BM$1001,MATCH(ROWS($AF$2:AF936),$AF$2:$AF$1001,0),MATCH(COLUMNS($AM$1006:BF1006),$AM$1006:$BM$1006,0)), HYPERLINK("#",""), HYPERLINK(CONCATENATE("#metadata!", ADDRESS(INDEX($AH$2:$AH$1001,MATCH(ROWS($AF$2:AF936),$AF$2:$AF$1001,0),0), INDEX($AM$1004:$BM$1004,1,MATCH(COLUMNS($AM$1006:BF1006),$AM$1006:$BM$1006,0)))),"Fix")))</f>
        <v xml:space="preserve"> </v>
      </c>
      <c r="V936" s="4" t="str">
        <f ca="1">IF(OR(INDEX($AG$2:$AG$1001,MATCH(ROWS($AF$2:AF936),$AF$2:$AF$1001,0),1)&gt;=100000,INDEX($AM$1005:$BM$1005,1,MATCH(COLUMNS($AM$1006:BG1006),$AM$1006:$BM$1006,0))&gt;=100000), " ",IF(INDEX($AM$2:$BM$1001,MATCH(ROWS($AF$2:AF936),$AF$2:$AF$1001,0),MATCH(COLUMNS($AM$1006:BG1006),$AM$1006:$BM$1006,0)), HYPERLINK("#",""), HYPERLINK(CONCATENATE("#metadata!", ADDRESS(INDEX($AH$2:$AH$1001,MATCH(ROWS($AF$2:AF936),$AF$2:$AF$1001,0),0), INDEX($AM$1004:$BM$1004,1,MATCH(COLUMNS($AM$1006:BG1006),$AM$1006:$BM$1006,0)))),"Fix")))</f>
        <v xml:space="preserve"> </v>
      </c>
      <c r="W936" s="4" t="str">
        <f ca="1">IF(OR(INDEX($AG$2:$AG$1001,MATCH(ROWS($AF$2:AF936),$AF$2:$AF$1001,0),1)&gt;=100000,INDEX($AM$1005:$BM$1005,1,MATCH(COLUMNS($AM$1006:BH1006),$AM$1006:$BM$1006,0))&gt;=100000), " ",IF(INDEX($AM$2:$BM$1001,MATCH(ROWS($AF$2:AF936),$AF$2:$AF$1001,0),MATCH(COLUMNS($AM$1006:BH1006),$AM$1006:$BM$1006,0)), HYPERLINK("#",""), HYPERLINK(CONCATENATE("#metadata!", ADDRESS(INDEX($AH$2:$AH$1001,MATCH(ROWS($AF$2:AF936),$AF$2:$AF$1001,0),0), INDEX($AM$1004:$BM$1004,1,MATCH(COLUMNS($AM$1006:BH1006),$AM$1006:$BM$1006,0)))),"Fix")))</f>
        <v xml:space="preserve"> </v>
      </c>
      <c r="X936" s="4" t="str">
        <f ca="1">IF(OR(INDEX($AG$2:$AG$1001,MATCH(ROWS($AF$2:AF936),$AF$2:$AF$1001,0),1)&gt;=100000,INDEX($AM$1005:$BM$1005,1,MATCH(COLUMNS($AM$1006:BI1006),$AM$1006:$BM$1006,0))&gt;=100000), " ",IF(INDEX($AM$2:$BM$1001,MATCH(ROWS($AF$2:AF936),$AF$2:$AF$1001,0),MATCH(COLUMNS($AM$1006:BI1006),$AM$1006:$BM$1006,0)), HYPERLINK("#",""), HYPERLINK(CONCATENATE("#metadata!", ADDRESS(INDEX($AH$2:$AH$1001,MATCH(ROWS($AF$2:AF936),$AF$2:$AF$1001,0),0), INDEX($AM$1004:$BM$1004,1,MATCH(COLUMNS($AM$1006:BI1006),$AM$1006:$BM$1006,0)))),"Fix")))</f>
        <v xml:space="preserve"> </v>
      </c>
      <c r="Y936" s="4" t="str">
        <f ca="1">IF(OR(INDEX($AG$2:$AG$1001,MATCH(ROWS($AF$2:AF936),$AF$2:$AF$1001,0),1)&gt;=100000,INDEX($AM$1005:$BM$1005,1,MATCH(COLUMNS($AM$1006:BJ1006),$AM$1006:$BM$1006,0))&gt;=100000), " ",IF(INDEX($AM$2:$BM$1001,MATCH(ROWS($AF$2:AF936),$AF$2:$AF$1001,0),MATCH(COLUMNS($AM$1006:BJ1006),$AM$1006:$BM$1006,0)), HYPERLINK("#",""), HYPERLINK(CONCATENATE("#metadata!", ADDRESS(INDEX($AH$2:$AH$1001,MATCH(ROWS($AF$2:AF936),$AF$2:$AF$1001,0),0), INDEX($AM$1004:$BM$1004,1,MATCH(COLUMNS($AM$1006:BJ1006),$AM$1006:$BM$1006,0)))),"Fix")))</f>
        <v xml:space="preserve"> </v>
      </c>
      <c r="Z936" s="4" t="str">
        <f ca="1">IF(OR(INDEX($AG$2:$AG$1001,MATCH(ROWS($AF$2:AF936),$AF$2:$AF$1001,0),1)&gt;=100000,INDEX($AM$1005:$BM$1005,1,MATCH(COLUMNS($AM$1006:BK1006),$AM$1006:$BM$1006,0))&gt;=100000), " ",IF(INDEX($AM$2:$BM$1001,MATCH(ROWS($AF$2:AF936),$AF$2:$AF$1001,0),MATCH(COLUMNS($AM$1006:BK1006),$AM$1006:$BM$1006,0)), HYPERLINK("#",""), HYPERLINK(CONCATENATE("#metadata!", ADDRESS(INDEX($AH$2:$AH$1001,MATCH(ROWS($AF$2:AF936),$AF$2:$AF$1001,0),0), INDEX($AM$1004:$BM$1004,1,MATCH(COLUMNS($AM$1006:BK1006),$AM$1006:$BM$1006,0)))),"Fix")))</f>
        <v xml:space="preserve"> </v>
      </c>
      <c r="AA936" s="4" t="str">
        <f ca="1">IF(OR(INDEX($AG$2:$AG$1001,MATCH(ROWS($AF$2:AF936),$AF$2:$AF$1001,0),1)&gt;=100000,INDEX($AM$1005:$BM$1005,1,MATCH(COLUMNS($AM$1006:BL1006),$AM$1006:$BM$1006,0))&gt;=100000), " ",IF(INDEX($AM$2:$BM$1001,MATCH(ROWS($AF$2:AF936),$AF$2:$AF$1001,0),MATCH(COLUMNS($AM$1006:BL1006),$AM$1006:$BM$1006,0)), HYPERLINK("#",""), HYPERLINK(CONCATENATE("#metadata!", ADDRESS(INDEX($AH$2:$AH$1001,MATCH(ROWS($AF$2:AF936),$AF$2:$AF$1001,0),0), INDEX($AM$1004:$BM$1004,1,MATCH(COLUMNS($AM$1006:BL1006),$AM$1006:$BM$1006,0)))),"Fix")))</f>
        <v xml:space="preserve"> </v>
      </c>
      <c r="AB936" s="4" t="str">
        <f ca="1">IF(OR(INDEX($AG$2:$AG$1001,MATCH(ROWS($AF$2:AF936),$AF$2:$AF$1001,0),1)&gt;=100000,INDEX($AM$1005:$BM$1005,1,MATCH(COLUMNS($AM$1006:BM1006),$AM$1006:$BM$1006,0))&gt;=100000), " ",IF(INDEX($AM$2:$BM$1001,MATCH(ROWS($AF$2:AF936),$AF$2:$AF$1001,0),MATCH(COLUMNS($AM$1006:BM1006),$AM$1006:$BM$1006,0)), HYPERLINK("#",""), HYPERLINK(CONCATENATE("#metadata!", ADDRESS(INDEX($AH$2:$AH$1001,MATCH(ROWS($AF$2:AF936),$AF$2:$AF$1001,0),0), INDEX($AM$1004:$BM$1004,1,MATCH(COLUMNS($AM$1006:BM1006),$AM$1006:$BM$1006,0)))),"Fix")))</f>
        <v xml:space="preserve"> </v>
      </c>
      <c r="AF936">
        <v>935</v>
      </c>
      <c r="AG936">
        <v>100936</v>
      </c>
      <c r="AH936">
        <v>936</v>
      </c>
      <c r="AI936" t="b">
        <f t="shared" si="14"/>
        <v>1</v>
      </c>
      <c r="AJ936" t="b">
        <f>COUNTBLANK(metadata!B936:AB936)=COLUMNS(metadata!B936:AB936)</f>
        <v>1</v>
      </c>
      <c r="AK936" t="str">
        <v/>
      </c>
      <c r="AM936" t="b">
        <f ca="1">AND(IF(metadata!B936="",FALSE,TRUE),COUNTIF(metadata!B:B, metadata!B936) = 1,NOT(ISERROR(SUMPRODUCT(SEARCH(MID(metadata!B936,ROW(INDIRECT("1:"&amp;LEN(metadata!B936))), 1),"0123456789abcdefghijklmnopqrstuvwxyzABCDEFGHIJKLMNOPQRSTUVWXYZ.")))))</f>
        <v>0</v>
      </c>
      <c r="AN936" t="b">
        <f ca="1">OR(AND(IF(metadata!C936="",FALSE,TRUE),OR(EXACT(metadata!C936,"missing: not collected"),EXACT(metadata!C936,"missing: not provided"),EXACT(metadata!C936,"missing: restricted access"))),AND(IF(metadata!C936="",FALSE,TRUE),AND(AND(IFERROR(INT(LEFT(metadata!C936,4))&gt;1900,FALSE),IFERROR(INT(LEFT(metadata!C936,4))&lt;=YEAR(NOW()),FALSE)), OR(MID(metadata!C936,5,1)="", AND(AND(MID(metadata!C936,5,1)="-",IFERROR(INT(MID(metadata!C936,6,1))&gt;=0,FALSE),IFERROR(INT(MID(metadata!C936,6,1))&lt;=1,FALSE),NOT(MID(metadata!C936,7,1)=""),IFERROR(INT(MID(metadata!C936,6,2))&gt;=1,FALSE),IFERROR(INT(MID(metadata!C936,6,2))&lt;=12,FALSE)), OR(MID(metadata!C936,8,1)="", AND(AND(MID(metadata!C936,8,1)="-",IFERROR(INT(MID(metadata!C936,9,1))&gt;=0,FALSE),IFERROR(INT(MID(metadata!C936,9,1))&lt;=3,FALSE),NOT(MID(metadata!C936,10,1)=""),IFERROR(INT(MID(metadata!C936,9,2))&gt;=1,FALSE),IFERROR(INT(MID(metadata!C936,9,2))&lt;=31,FALSE)), OR(MID(metadata!C936,11,1)="", AND(AND(MID(metadata!C936,11,1)=" ",IFERROR(INT(MID(metadata!C936,12,1))&gt;=0,FALSE),IFERROR(INT(MID(metadata!C936,12,1))&lt;=2,FALSE),NOT(MID(metadata!C936,13,1)=""),IFERROR(INT(MID(metadata!C936,12,2))&gt;=0,FALSE),IFERROR(INT(MID(metadata!C936,12,2))&lt;=23,FALSE)), OR(MID(metadata!C936,14,1)="", AND(AND(MID(metadata!C936,14,1)=":",IFERROR(INT(MID(metadata!C936,15,1))&gt;=0,FALSE),IFERROR(INT(MID(metadata!C936,15,1))&lt;=5,FALSE),NOT(MID(metadata!C936,16,1)=""),IFERROR(INT(MID(metadata!C936,15,2))&gt;=0,FALSE),IFERROR(INT(MID(metadata!C936,15,2))&lt;=59,FALSE)), OR(MID(metadata!C936,17,1)="", AND(AND(MID(metadata!C936,17,1)=":",IFERROR(INT(MID(metadata!C936,18,1))&gt;=0,FALSE),IFERROR(INT(MID(metadata!C936,18,1))&lt;=5,FALSE),NOT(MID(metadata!C936,19,1)=""),IFERROR(INT(MID(metadata!C936,18,2))&gt;=0,FALSE),IFERROR(INT(MID(metadata!C936,18,2))&lt;=59,FALSE)), LEN(metadata!C936)&lt;=19)))))))))))))</f>
        <v>0</v>
      </c>
      <c r="AO936" t="b">
        <f>AND(IF(metadata!D936="",FALSE,TRUE),EXACT(metadata!D936,"Not applicable"))</f>
        <v>0</v>
      </c>
      <c r="AP936" t="b">
        <f>IF(metadata!E936="",FALSE,TRUE)</f>
        <v>0</v>
      </c>
      <c r="AQ936" t="b">
        <f>OR(AND(IF(metadata!F936="",FALSE,TRUE),OR(EXACT(metadata!F936,"missing: not collected"),EXACT(metadata!F936,"missing: not provided"))),AND(IF(metadata!F936="",FALSE,TRUE),OR(EXACT(metadata!F936,"TRUE"),EXACT(metadata!F936,"FALSE"))))</f>
        <v>0</v>
      </c>
      <c r="AR936" t="b">
        <f>OR(AND(IF(metadata!G936="",FALSE,TRUE),OR(EXACT(metadata!G936,"missing: not collected"),EXACT(metadata!G936,"missing: not provided"),EXACT(metadata!G936,"missing: restricted access"))),AND(IF(metadata!G936="",FALSE,ISNUMBER(VALUE(metadata!G936))),metadata!G936&gt;=-413))</f>
        <v>0</v>
      </c>
      <c r="AS936" t="b">
        <f>AND(IF(metadata!H936="",FALSE,TRUE),EXACT(metadata!H936,"meters"))</f>
        <v>0</v>
      </c>
      <c r="AT936" t="b">
        <f>AND(IF(metadata!I936="",FALSE,TRUE),OR(EXACT(metadata!I936,"Host-associated"),EXACT(metadata!I936,"Free-living")))</f>
        <v>0</v>
      </c>
      <c r="AU936" t="b">
        <f>AND(IF(metadata!J936="",FALSE,TRUE),OR(EXACT(metadata!J936,"Animal"),EXACT(metadata!J936,"Fungus"),EXACT(metadata!J936,"Plant"),EXACT(metadata!J936,"Saline"),EXACT(metadata!J936,"Non-saline")))</f>
        <v>0</v>
      </c>
      <c r="AV936" t="b">
        <f>AND(IF(metadata!K936="",FALSE,TRUE),OR(EXACT(metadata!K936,"Plant secretion"),EXACT(metadata!K936,"Plant rhizosphere"),EXACT(metadata!K936,"Plant surface"),EXACT(metadata!K936,"Plant corpus"),EXACT(metadata!K936,"Fungus surface"),EXACT(metadata!K936,"Fungus corpus"),EXACT(metadata!K936,"Animal surface"),EXACT(metadata!K936,"Animal proximal gut"),EXACT(metadata!K936,"Animal corpus"),EXACT(metadata!K936,"Animal distal gut"),EXACT(metadata!K936,"Animal secretion"),EXACT(metadata!K936,"Sub-surface (non-saline)"),EXACT(metadata!K936,"Surface (non-saline)"),EXACT(metadata!K936,"Water (non-saline)"),EXACT(metadata!K936,"Soil (non-saline)"),EXACT(metadata!K936,"Aerosol (non-saline)"),EXACT(metadata!K936,"Sediment (non-saline)"),EXACT(metadata!K936,"Surface (saline)"),EXACT(metadata!K936,"Water (saline)"),EXACT(metadata!K936,"Hypersaline (saline)"),EXACT(metadata!K936,"Aerosol (saline)"),EXACT(metadata!K936,"Sediment (saline)")))</f>
        <v>0</v>
      </c>
      <c r="AW936" t="b">
        <f>IF(metadata!L936="",FALSE,TRUE)</f>
        <v>0</v>
      </c>
      <c r="AX936" t="b">
        <f>IF(metadata!M936="",FALSE,TRUE)</f>
        <v>0</v>
      </c>
      <c r="AY936" t="b">
        <f>IF(metadata!N936="",FALSE,TRUE)</f>
        <v>0</v>
      </c>
      <c r="AZ936" t="b">
        <f>OR(AND(IF(metadata!O936="",FALSE,TRUE),OR(EXACT(metadata!O936,"missing: not collected"),EXACT(metadata!O936,"missing: not provided"),EXACT(metadata!O936,"missing: restricted access"))),AND(IF(metadata!O936="",FALSE,TRUE),OR(EXACT(metadata!O936,"air"),EXACT(metadata!O936,"built environment"),EXACT(metadata!O936,"host-associated"),EXACT(metadata!O936,"human-associated"),EXACT(metadata!O936,"human-skin"),EXACT(metadata!O936,"human-oral"),EXACT(metadata!O936,"human-gut"),EXACT(metadata!O936,"human-vaginal"),EXACT(metadata!O936,"microbial mat/biofilm"),EXACT(metadata!O936,"misc environment"),EXACT(metadata!O936,"plant-associated"),EXACT(metadata!O936,"sediment"),EXACT(metadata!O936,"soil"),EXACT(metadata!O936,"wastewater/sludge"),EXACT(metadata!O936,"water"))))</f>
        <v>0</v>
      </c>
      <c r="BA936" t="b">
        <f>IF(metadata!P936="",FALSE,TRUE)</f>
        <v>0</v>
      </c>
      <c r="BB936" t="b">
        <f>IF(metadata!Q936="",FALSE,TRUE)</f>
        <v>0</v>
      </c>
      <c r="BC936" t="b">
        <f>OR(AND(IF(metadata!R936="",FALSE,TRUE),OR(EXACT(metadata!R936,"missing: not collected"),EXACT(metadata!R936,"missing: not provided"),EXACT(metadata!R936,"missing: restricted access"))),AND(IF(metadata!R936="",FALSE,ISNUMBER(VALUE(metadata!R936))),metadata!R936&gt;=-90,metadata!R936&lt;=90))</f>
        <v>0</v>
      </c>
      <c r="BD936" t="b">
        <f>AND(IF(metadata!S936="",FALSE,TRUE),EXACT(metadata!S936,"Decimal degrees"))</f>
        <v>0</v>
      </c>
      <c r="BE936" t="b">
        <f>OR(AND(IF(metadata!T936="",FALSE,TRUE),OR(EXACT(metadata!T936,"missing: not collected"),EXACT(metadata!T936,"missing: not provided"),EXACT(metadata!T936,"missing: restricted access"))),AND(IF(metadata!T936="",FALSE,ISNUMBER(VALUE(metadata!T936))),metadata!T936&gt;=-180,metadata!T936&lt;=180))</f>
        <v>0</v>
      </c>
      <c r="BF936" t="b">
        <f>AND(IF(metadata!U936="",FALSE,TRUE),EXACT(metadata!U936,"Decimal degrees"))</f>
        <v>0</v>
      </c>
      <c r="BG936" t="b">
        <f>IF(metadata!V936="",FALSE,TRUE)</f>
        <v>0</v>
      </c>
      <c r="BH936" t="b">
        <f>OR(AND(IF(metadata!W936="",FALSE,TRUE),OR(EXACT(metadata!W936,"missing: not collected"),EXACT(metadata!W936,"missing: not provided"),EXACT(metadata!W936,"missing: restricted access"))),AND(IF(metadata!W936="",FALSE,TRUE),OR(EXACT(metadata!W936,"TRUE"),EXACT(metadata!W936,"FALSE"))))</f>
        <v>0</v>
      </c>
      <c r="BI936" t="b">
        <f>AND(IF(metadata!X936="",FALSE,TRUE),EXACT(metadata!X936,"other"))</f>
        <v>0</v>
      </c>
      <c r="BJ936" t="b">
        <f>IF(metadata!Y936="",FALSE,TRUE)</f>
        <v>0</v>
      </c>
      <c r="BK936" t="b">
        <f>OR(AND(IF(metadata!Z936="",FALSE,TRUE),OR(EXACT(metadata!Z936,"missing: not collected"),EXACT(metadata!Z936,"missing: not provided"))),AND(IF(metadata!Z936="",FALSE,IF(ISERROR(INT(metadata!Z936)),FALSE,INT(metadata!Z936)=metadata!Z936)),metadata!Z936&gt;0))</f>
        <v>0</v>
      </c>
      <c r="BL936" t="b">
        <f>AND(IF(metadata!AA936="",FALSE,TRUE),EXACT(metadata!AA936,"Not applicable"))</f>
        <v>0</v>
      </c>
      <c r="BM936" t="b">
        <f>IF(metadata!AB936="",FALSE,TRUE)</f>
        <v>0</v>
      </c>
    </row>
    <row r="937" spans="1:65" x14ac:dyDescent="0.2">
      <c r="A937" s="5" t="str">
        <f ca="1">IF(B937=" "," ",HYPERLINK(CONCATENATE("#metadata!",ADDRESS(INDEX($AH$2:$AH$1001,MATCH(ROWS($AF$2:AF937),$AF$2:$AF$1001,0),0),1)),INDEX($AK$2:$AK$1001,MATCH(ROWS($AF$2:AF937),$AF$2:$AF$1001,0),0)))</f>
        <v xml:space="preserve"> </v>
      </c>
      <c r="B937" s="4" t="str">
        <f ca="1">IF(OR(INDEX($AG$2:$AG$1001,MATCH(ROWS($AF$2:AF937),$AF$2:$AF$1001,0),1)&gt;=100000,INDEX($AM$1005:$BM$1005,1,MATCH(COLUMNS($AM$1006:AM1006),$AM$1006:$BM$1006,0))&gt;=100000), " ",IF(INDEX($AM$2:$BM$1001,MATCH(ROWS($AF$2:AF937),$AF$2:$AF$1001,0),MATCH(COLUMNS($AM$1006:AM1006),$AM$1006:$BM$1006,0)), HYPERLINK("#",""), HYPERLINK(CONCATENATE("#metadata!", ADDRESS(INDEX($AH$2:$AH$1001,MATCH(ROWS($AF$2:AF937),$AF$2:$AF$1001,0),0), INDEX($AM$1004:$BM$1004,1,MATCH(COLUMNS($AM$1006:AM1006),$AM$1006:$BM$1006,0)))),"Fix")))</f>
        <v xml:space="preserve"> </v>
      </c>
      <c r="C937" s="4" t="str">
        <f ca="1">IF(OR(INDEX($AG$2:$AG$1001,MATCH(ROWS($AF$2:AF937),$AF$2:$AF$1001,0),1)&gt;=100000,INDEX($AM$1005:$BM$1005,1,MATCH(COLUMNS($AM$1006:AN1006),$AM$1006:$BM$1006,0))&gt;=100000), " ",IF(INDEX($AM$2:$BM$1001,MATCH(ROWS($AF$2:AF937),$AF$2:$AF$1001,0),MATCH(COLUMNS($AM$1006:AN1006),$AM$1006:$BM$1006,0)), HYPERLINK("#",""), HYPERLINK(CONCATENATE("#metadata!", ADDRESS(INDEX($AH$2:$AH$1001,MATCH(ROWS($AF$2:AF937),$AF$2:$AF$1001,0),0), INDEX($AM$1004:$BM$1004,1,MATCH(COLUMNS($AM$1006:AN1006),$AM$1006:$BM$1006,0)))),"Fix")))</f>
        <v xml:space="preserve"> </v>
      </c>
      <c r="D937" s="4" t="str">
        <f ca="1">IF(OR(INDEX($AG$2:$AG$1001,MATCH(ROWS($AF$2:AF937),$AF$2:$AF$1001,0),1)&gt;=100000,INDEX($AM$1005:$BM$1005,1,MATCH(COLUMNS($AM$1006:AO1006),$AM$1006:$BM$1006,0))&gt;=100000), " ",IF(INDEX($AM$2:$BM$1001,MATCH(ROWS($AF$2:AF937),$AF$2:$AF$1001,0),MATCH(COLUMNS($AM$1006:AO1006),$AM$1006:$BM$1006,0)), HYPERLINK("#",""), HYPERLINK(CONCATENATE("#metadata!", ADDRESS(INDEX($AH$2:$AH$1001,MATCH(ROWS($AF$2:AF937),$AF$2:$AF$1001,0),0), INDEX($AM$1004:$BM$1004,1,MATCH(COLUMNS($AM$1006:AO1006),$AM$1006:$BM$1006,0)))),"Fix")))</f>
        <v xml:space="preserve"> </v>
      </c>
      <c r="E937" s="4" t="str">
        <f ca="1">IF(OR(INDEX($AG$2:$AG$1001,MATCH(ROWS($AF$2:AF937),$AF$2:$AF$1001,0),1)&gt;=100000,INDEX($AM$1005:$BM$1005,1,MATCH(COLUMNS($AM$1006:AP1006),$AM$1006:$BM$1006,0))&gt;=100000), " ",IF(INDEX($AM$2:$BM$1001,MATCH(ROWS($AF$2:AF937),$AF$2:$AF$1001,0),MATCH(COLUMNS($AM$1006:AP1006),$AM$1006:$BM$1006,0)), HYPERLINK("#",""), HYPERLINK(CONCATENATE("#metadata!", ADDRESS(INDEX($AH$2:$AH$1001,MATCH(ROWS($AF$2:AF937),$AF$2:$AF$1001,0),0), INDEX($AM$1004:$BM$1004,1,MATCH(COLUMNS($AM$1006:AP1006),$AM$1006:$BM$1006,0)))),"Fix")))</f>
        <v xml:space="preserve"> </v>
      </c>
      <c r="F937" s="4" t="str">
        <f ca="1">IF(OR(INDEX($AG$2:$AG$1001,MATCH(ROWS($AF$2:AF937),$AF$2:$AF$1001,0),1)&gt;=100000,INDEX($AM$1005:$BM$1005,1,MATCH(COLUMNS($AM$1006:AQ1006),$AM$1006:$BM$1006,0))&gt;=100000), " ",IF(INDEX($AM$2:$BM$1001,MATCH(ROWS($AF$2:AF937),$AF$2:$AF$1001,0),MATCH(COLUMNS($AM$1006:AQ1006),$AM$1006:$BM$1006,0)), HYPERLINK("#",""), HYPERLINK(CONCATENATE("#metadata!", ADDRESS(INDEX($AH$2:$AH$1001,MATCH(ROWS($AF$2:AF937),$AF$2:$AF$1001,0),0), INDEX($AM$1004:$BM$1004,1,MATCH(COLUMNS($AM$1006:AQ1006),$AM$1006:$BM$1006,0)))),"Fix")))</f>
        <v xml:space="preserve"> </v>
      </c>
      <c r="G937" s="4" t="str">
        <f ca="1">IF(OR(INDEX($AG$2:$AG$1001,MATCH(ROWS($AF$2:AF937),$AF$2:$AF$1001,0),1)&gt;=100000,INDEX($AM$1005:$BM$1005,1,MATCH(COLUMNS($AM$1006:AR1006),$AM$1006:$BM$1006,0))&gt;=100000), " ",IF(INDEX($AM$2:$BM$1001,MATCH(ROWS($AF$2:AF937),$AF$2:$AF$1001,0),MATCH(COLUMNS($AM$1006:AR1006),$AM$1006:$BM$1006,0)), HYPERLINK("#",""), HYPERLINK(CONCATENATE("#metadata!", ADDRESS(INDEX($AH$2:$AH$1001,MATCH(ROWS($AF$2:AF937),$AF$2:$AF$1001,0),0), INDEX($AM$1004:$BM$1004,1,MATCH(COLUMNS($AM$1006:AR1006),$AM$1006:$BM$1006,0)))),"Fix")))</f>
        <v xml:space="preserve"> </v>
      </c>
      <c r="H937" s="4" t="str">
        <f ca="1">IF(OR(INDEX($AG$2:$AG$1001,MATCH(ROWS($AF$2:AF937),$AF$2:$AF$1001,0),1)&gt;=100000,INDEX($AM$1005:$BM$1005,1,MATCH(COLUMNS($AM$1006:AS1006),$AM$1006:$BM$1006,0))&gt;=100000), " ",IF(INDEX($AM$2:$BM$1001,MATCH(ROWS($AF$2:AF937),$AF$2:$AF$1001,0),MATCH(COLUMNS($AM$1006:AS1006),$AM$1006:$BM$1006,0)), HYPERLINK("#",""), HYPERLINK(CONCATENATE("#metadata!", ADDRESS(INDEX($AH$2:$AH$1001,MATCH(ROWS($AF$2:AF937),$AF$2:$AF$1001,0),0), INDEX($AM$1004:$BM$1004,1,MATCH(COLUMNS($AM$1006:AS1006),$AM$1006:$BM$1006,0)))),"Fix")))</f>
        <v xml:space="preserve"> </v>
      </c>
      <c r="I937" s="4" t="str">
        <f ca="1">IF(OR(INDEX($AG$2:$AG$1001,MATCH(ROWS($AF$2:AF937),$AF$2:$AF$1001,0),1)&gt;=100000,INDEX($AM$1005:$BM$1005,1,MATCH(COLUMNS($AM$1006:AT1006),$AM$1006:$BM$1006,0))&gt;=100000), " ",IF(INDEX($AM$2:$BM$1001,MATCH(ROWS($AF$2:AF937),$AF$2:$AF$1001,0),MATCH(COLUMNS($AM$1006:AT1006),$AM$1006:$BM$1006,0)), HYPERLINK("#",""), HYPERLINK(CONCATENATE("#metadata!", ADDRESS(INDEX($AH$2:$AH$1001,MATCH(ROWS($AF$2:AF937),$AF$2:$AF$1001,0),0), INDEX($AM$1004:$BM$1004,1,MATCH(COLUMNS($AM$1006:AT1006),$AM$1006:$BM$1006,0)))),"Fix")))</f>
        <v xml:space="preserve"> </v>
      </c>
      <c r="J937" s="4" t="str">
        <f ca="1">IF(OR(INDEX($AG$2:$AG$1001,MATCH(ROWS($AF$2:AF937),$AF$2:$AF$1001,0),1)&gt;=100000,INDEX($AM$1005:$BM$1005,1,MATCH(COLUMNS($AM$1006:AU1006),$AM$1006:$BM$1006,0))&gt;=100000), " ",IF(INDEX($AM$2:$BM$1001,MATCH(ROWS($AF$2:AF937),$AF$2:$AF$1001,0),MATCH(COLUMNS($AM$1006:AU1006),$AM$1006:$BM$1006,0)), HYPERLINK("#",""), HYPERLINK(CONCATENATE("#metadata!", ADDRESS(INDEX($AH$2:$AH$1001,MATCH(ROWS($AF$2:AF937),$AF$2:$AF$1001,0),0), INDEX($AM$1004:$BM$1004,1,MATCH(COLUMNS($AM$1006:AU1006),$AM$1006:$BM$1006,0)))),"Fix")))</f>
        <v xml:space="preserve"> </v>
      </c>
      <c r="K937" s="4" t="str">
        <f ca="1">IF(OR(INDEX($AG$2:$AG$1001,MATCH(ROWS($AF$2:AF937),$AF$2:$AF$1001,0),1)&gt;=100000,INDEX($AM$1005:$BM$1005,1,MATCH(COLUMNS($AM$1006:AV1006),$AM$1006:$BM$1006,0))&gt;=100000), " ",IF(INDEX($AM$2:$BM$1001,MATCH(ROWS($AF$2:AF937),$AF$2:$AF$1001,0),MATCH(COLUMNS($AM$1006:AV1006),$AM$1006:$BM$1006,0)), HYPERLINK("#",""), HYPERLINK(CONCATENATE("#metadata!", ADDRESS(INDEX($AH$2:$AH$1001,MATCH(ROWS($AF$2:AF937),$AF$2:$AF$1001,0),0), INDEX($AM$1004:$BM$1004,1,MATCH(COLUMNS($AM$1006:AV1006),$AM$1006:$BM$1006,0)))),"Fix")))</f>
        <v xml:space="preserve"> </v>
      </c>
      <c r="L937" s="4" t="str">
        <f ca="1">IF(OR(INDEX($AG$2:$AG$1001,MATCH(ROWS($AF$2:AF937),$AF$2:$AF$1001,0),1)&gt;=100000,INDEX($AM$1005:$BM$1005,1,MATCH(COLUMNS($AM$1006:AW1006),$AM$1006:$BM$1006,0))&gt;=100000), " ",IF(INDEX($AM$2:$BM$1001,MATCH(ROWS($AF$2:AF937),$AF$2:$AF$1001,0),MATCH(COLUMNS($AM$1006:AW1006),$AM$1006:$BM$1006,0)), HYPERLINK("#",""), HYPERLINK(CONCATENATE("#metadata!", ADDRESS(INDEX($AH$2:$AH$1001,MATCH(ROWS($AF$2:AF937),$AF$2:$AF$1001,0),0), INDEX($AM$1004:$BM$1004,1,MATCH(COLUMNS($AM$1006:AW1006),$AM$1006:$BM$1006,0)))),"Fix")))</f>
        <v xml:space="preserve"> </v>
      </c>
      <c r="M937" s="4" t="str">
        <f ca="1">IF(OR(INDEX($AG$2:$AG$1001,MATCH(ROWS($AF$2:AF937),$AF$2:$AF$1001,0),1)&gt;=100000,INDEX($AM$1005:$BM$1005,1,MATCH(COLUMNS($AM$1006:AX1006),$AM$1006:$BM$1006,0))&gt;=100000), " ",IF(INDEX($AM$2:$BM$1001,MATCH(ROWS($AF$2:AF937),$AF$2:$AF$1001,0),MATCH(COLUMNS($AM$1006:AX1006),$AM$1006:$BM$1006,0)), HYPERLINK("#",""), HYPERLINK(CONCATENATE("#metadata!", ADDRESS(INDEX($AH$2:$AH$1001,MATCH(ROWS($AF$2:AF937),$AF$2:$AF$1001,0),0), INDEX($AM$1004:$BM$1004,1,MATCH(COLUMNS($AM$1006:AX1006),$AM$1006:$BM$1006,0)))),"Fix")))</f>
        <v xml:space="preserve"> </v>
      </c>
      <c r="N937" s="4" t="str">
        <f ca="1">IF(OR(INDEX($AG$2:$AG$1001,MATCH(ROWS($AF$2:AF937),$AF$2:$AF$1001,0),1)&gt;=100000,INDEX($AM$1005:$BM$1005,1,MATCH(COLUMNS($AM$1006:AY1006),$AM$1006:$BM$1006,0))&gt;=100000), " ",IF(INDEX($AM$2:$BM$1001,MATCH(ROWS($AF$2:AF937),$AF$2:$AF$1001,0),MATCH(COLUMNS($AM$1006:AY1006),$AM$1006:$BM$1006,0)), HYPERLINK("#",""), HYPERLINK(CONCATENATE("#metadata!", ADDRESS(INDEX($AH$2:$AH$1001,MATCH(ROWS($AF$2:AF937),$AF$2:$AF$1001,0),0), INDEX($AM$1004:$BM$1004,1,MATCH(COLUMNS($AM$1006:AY1006),$AM$1006:$BM$1006,0)))),"Fix")))</f>
        <v xml:space="preserve"> </v>
      </c>
      <c r="O937" s="4" t="str">
        <f ca="1">IF(OR(INDEX($AG$2:$AG$1001,MATCH(ROWS($AF$2:AF937),$AF$2:$AF$1001,0),1)&gt;=100000,INDEX($AM$1005:$BM$1005,1,MATCH(COLUMNS($AM$1006:AZ1006),$AM$1006:$BM$1006,0))&gt;=100000), " ",IF(INDEX($AM$2:$BM$1001,MATCH(ROWS($AF$2:AF937),$AF$2:$AF$1001,0),MATCH(COLUMNS($AM$1006:AZ1006),$AM$1006:$BM$1006,0)), HYPERLINK("#",""), HYPERLINK(CONCATENATE("#metadata!", ADDRESS(INDEX($AH$2:$AH$1001,MATCH(ROWS($AF$2:AF937),$AF$2:$AF$1001,0),0), INDEX($AM$1004:$BM$1004,1,MATCH(COLUMNS($AM$1006:AZ1006),$AM$1006:$BM$1006,0)))),"Fix")))</f>
        <v xml:space="preserve"> </v>
      </c>
      <c r="P937" s="4" t="str">
        <f ca="1">IF(OR(INDEX($AG$2:$AG$1001,MATCH(ROWS($AF$2:AF937),$AF$2:$AF$1001,0),1)&gt;=100000,INDEX($AM$1005:$BM$1005,1,MATCH(COLUMNS($AM$1006:BA1006),$AM$1006:$BM$1006,0))&gt;=100000), " ",IF(INDEX($AM$2:$BM$1001,MATCH(ROWS($AF$2:AF937),$AF$2:$AF$1001,0),MATCH(COLUMNS($AM$1006:BA1006),$AM$1006:$BM$1006,0)), HYPERLINK("#",""), HYPERLINK(CONCATENATE("#metadata!", ADDRESS(INDEX($AH$2:$AH$1001,MATCH(ROWS($AF$2:AF937),$AF$2:$AF$1001,0),0), INDEX($AM$1004:$BM$1004,1,MATCH(COLUMNS($AM$1006:BA1006),$AM$1006:$BM$1006,0)))),"Fix")))</f>
        <v xml:space="preserve"> </v>
      </c>
      <c r="Q937" s="4" t="str">
        <f ca="1">IF(OR(INDEX($AG$2:$AG$1001,MATCH(ROWS($AF$2:AF937),$AF$2:$AF$1001,0),1)&gt;=100000,INDEX($AM$1005:$BM$1005,1,MATCH(COLUMNS($AM$1006:BB1006),$AM$1006:$BM$1006,0))&gt;=100000), " ",IF(INDEX($AM$2:$BM$1001,MATCH(ROWS($AF$2:AF937),$AF$2:$AF$1001,0),MATCH(COLUMNS($AM$1006:BB1006),$AM$1006:$BM$1006,0)), HYPERLINK("#",""), HYPERLINK(CONCATENATE("#metadata!", ADDRESS(INDEX($AH$2:$AH$1001,MATCH(ROWS($AF$2:AF937),$AF$2:$AF$1001,0),0), INDEX($AM$1004:$BM$1004,1,MATCH(COLUMNS($AM$1006:BB1006),$AM$1006:$BM$1006,0)))),"Fix")))</f>
        <v xml:space="preserve"> </v>
      </c>
      <c r="R937" s="4" t="str">
        <f ca="1">IF(OR(INDEX($AG$2:$AG$1001,MATCH(ROWS($AF$2:AF937),$AF$2:$AF$1001,0),1)&gt;=100000,INDEX($AM$1005:$BM$1005,1,MATCH(COLUMNS($AM$1006:BC1006),$AM$1006:$BM$1006,0))&gt;=100000), " ",IF(INDEX($AM$2:$BM$1001,MATCH(ROWS($AF$2:AF937),$AF$2:$AF$1001,0),MATCH(COLUMNS($AM$1006:BC1006),$AM$1006:$BM$1006,0)), HYPERLINK("#",""), HYPERLINK(CONCATENATE("#metadata!", ADDRESS(INDEX($AH$2:$AH$1001,MATCH(ROWS($AF$2:AF937),$AF$2:$AF$1001,0),0), INDEX($AM$1004:$BM$1004,1,MATCH(COLUMNS($AM$1006:BC1006),$AM$1006:$BM$1006,0)))),"Fix")))</f>
        <v xml:space="preserve"> </v>
      </c>
      <c r="S937" s="4" t="str">
        <f ca="1">IF(OR(INDEX($AG$2:$AG$1001,MATCH(ROWS($AF$2:AF937),$AF$2:$AF$1001,0),1)&gt;=100000,INDEX($AM$1005:$BM$1005,1,MATCH(COLUMNS($AM$1006:BD1006),$AM$1006:$BM$1006,0))&gt;=100000), " ",IF(INDEX($AM$2:$BM$1001,MATCH(ROWS($AF$2:AF937),$AF$2:$AF$1001,0),MATCH(COLUMNS($AM$1006:BD1006),$AM$1006:$BM$1006,0)), HYPERLINK("#",""), HYPERLINK(CONCATENATE("#metadata!", ADDRESS(INDEX($AH$2:$AH$1001,MATCH(ROWS($AF$2:AF937),$AF$2:$AF$1001,0),0), INDEX($AM$1004:$BM$1004,1,MATCH(COLUMNS($AM$1006:BD1006),$AM$1006:$BM$1006,0)))),"Fix")))</f>
        <v xml:space="preserve"> </v>
      </c>
      <c r="T937" s="4" t="str">
        <f ca="1">IF(OR(INDEX($AG$2:$AG$1001,MATCH(ROWS($AF$2:AF937),$AF$2:$AF$1001,0),1)&gt;=100000,INDEX($AM$1005:$BM$1005,1,MATCH(COLUMNS($AM$1006:BE1006),$AM$1006:$BM$1006,0))&gt;=100000), " ",IF(INDEX($AM$2:$BM$1001,MATCH(ROWS($AF$2:AF937),$AF$2:$AF$1001,0),MATCH(COLUMNS($AM$1006:BE1006),$AM$1006:$BM$1006,0)), HYPERLINK("#",""), HYPERLINK(CONCATENATE("#metadata!", ADDRESS(INDEX($AH$2:$AH$1001,MATCH(ROWS($AF$2:AF937),$AF$2:$AF$1001,0),0), INDEX($AM$1004:$BM$1004,1,MATCH(COLUMNS($AM$1006:BE1006),$AM$1006:$BM$1006,0)))),"Fix")))</f>
        <v xml:space="preserve"> </v>
      </c>
      <c r="U937" s="4" t="str">
        <f ca="1">IF(OR(INDEX($AG$2:$AG$1001,MATCH(ROWS($AF$2:AF937),$AF$2:$AF$1001,0),1)&gt;=100000,INDEX($AM$1005:$BM$1005,1,MATCH(COLUMNS($AM$1006:BF1006),$AM$1006:$BM$1006,0))&gt;=100000), " ",IF(INDEX($AM$2:$BM$1001,MATCH(ROWS($AF$2:AF937),$AF$2:$AF$1001,0),MATCH(COLUMNS($AM$1006:BF1006),$AM$1006:$BM$1006,0)), HYPERLINK("#",""), HYPERLINK(CONCATENATE("#metadata!", ADDRESS(INDEX($AH$2:$AH$1001,MATCH(ROWS($AF$2:AF937),$AF$2:$AF$1001,0),0), INDEX($AM$1004:$BM$1004,1,MATCH(COLUMNS($AM$1006:BF1006),$AM$1006:$BM$1006,0)))),"Fix")))</f>
        <v xml:space="preserve"> </v>
      </c>
      <c r="V937" s="4" t="str">
        <f ca="1">IF(OR(INDEX($AG$2:$AG$1001,MATCH(ROWS($AF$2:AF937),$AF$2:$AF$1001,0),1)&gt;=100000,INDEX($AM$1005:$BM$1005,1,MATCH(COLUMNS($AM$1006:BG1006),$AM$1006:$BM$1006,0))&gt;=100000), " ",IF(INDEX($AM$2:$BM$1001,MATCH(ROWS($AF$2:AF937),$AF$2:$AF$1001,0),MATCH(COLUMNS($AM$1006:BG1006),$AM$1006:$BM$1006,0)), HYPERLINK("#",""), HYPERLINK(CONCATENATE("#metadata!", ADDRESS(INDEX($AH$2:$AH$1001,MATCH(ROWS($AF$2:AF937),$AF$2:$AF$1001,0),0), INDEX($AM$1004:$BM$1004,1,MATCH(COLUMNS($AM$1006:BG1006),$AM$1006:$BM$1006,0)))),"Fix")))</f>
        <v xml:space="preserve"> </v>
      </c>
      <c r="W937" s="4" t="str">
        <f ca="1">IF(OR(INDEX($AG$2:$AG$1001,MATCH(ROWS($AF$2:AF937),$AF$2:$AF$1001,0),1)&gt;=100000,INDEX($AM$1005:$BM$1005,1,MATCH(COLUMNS($AM$1006:BH1006),$AM$1006:$BM$1006,0))&gt;=100000), " ",IF(INDEX($AM$2:$BM$1001,MATCH(ROWS($AF$2:AF937),$AF$2:$AF$1001,0),MATCH(COLUMNS($AM$1006:BH1006),$AM$1006:$BM$1006,0)), HYPERLINK("#",""), HYPERLINK(CONCATENATE("#metadata!", ADDRESS(INDEX($AH$2:$AH$1001,MATCH(ROWS($AF$2:AF937),$AF$2:$AF$1001,0),0), INDEX($AM$1004:$BM$1004,1,MATCH(COLUMNS($AM$1006:BH1006),$AM$1006:$BM$1006,0)))),"Fix")))</f>
        <v xml:space="preserve"> </v>
      </c>
      <c r="X937" s="4" t="str">
        <f ca="1">IF(OR(INDEX($AG$2:$AG$1001,MATCH(ROWS($AF$2:AF937),$AF$2:$AF$1001,0),1)&gt;=100000,INDEX($AM$1005:$BM$1005,1,MATCH(COLUMNS($AM$1006:BI1006),$AM$1006:$BM$1006,0))&gt;=100000), " ",IF(INDEX($AM$2:$BM$1001,MATCH(ROWS($AF$2:AF937),$AF$2:$AF$1001,0),MATCH(COLUMNS($AM$1006:BI1006),$AM$1006:$BM$1006,0)), HYPERLINK("#",""), HYPERLINK(CONCATENATE("#metadata!", ADDRESS(INDEX($AH$2:$AH$1001,MATCH(ROWS($AF$2:AF937),$AF$2:$AF$1001,0),0), INDEX($AM$1004:$BM$1004,1,MATCH(COLUMNS($AM$1006:BI1006),$AM$1006:$BM$1006,0)))),"Fix")))</f>
        <v xml:space="preserve"> </v>
      </c>
      <c r="Y937" s="4" t="str">
        <f ca="1">IF(OR(INDEX($AG$2:$AG$1001,MATCH(ROWS($AF$2:AF937),$AF$2:$AF$1001,0),1)&gt;=100000,INDEX($AM$1005:$BM$1005,1,MATCH(COLUMNS($AM$1006:BJ1006),$AM$1006:$BM$1006,0))&gt;=100000), " ",IF(INDEX($AM$2:$BM$1001,MATCH(ROWS($AF$2:AF937),$AF$2:$AF$1001,0),MATCH(COLUMNS($AM$1006:BJ1006),$AM$1006:$BM$1006,0)), HYPERLINK("#",""), HYPERLINK(CONCATENATE("#metadata!", ADDRESS(INDEX($AH$2:$AH$1001,MATCH(ROWS($AF$2:AF937),$AF$2:$AF$1001,0),0), INDEX($AM$1004:$BM$1004,1,MATCH(COLUMNS($AM$1006:BJ1006),$AM$1006:$BM$1006,0)))),"Fix")))</f>
        <v xml:space="preserve"> </v>
      </c>
      <c r="Z937" s="4" t="str">
        <f ca="1">IF(OR(INDEX($AG$2:$AG$1001,MATCH(ROWS($AF$2:AF937),$AF$2:$AF$1001,0),1)&gt;=100000,INDEX($AM$1005:$BM$1005,1,MATCH(COLUMNS($AM$1006:BK1006),$AM$1006:$BM$1006,0))&gt;=100000), " ",IF(INDEX($AM$2:$BM$1001,MATCH(ROWS($AF$2:AF937),$AF$2:$AF$1001,0),MATCH(COLUMNS($AM$1006:BK1006),$AM$1006:$BM$1006,0)), HYPERLINK("#",""), HYPERLINK(CONCATENATE("#metadata!", ADDRESS(INDEX($AH$2:$AH$1001,MATCH(ROWS($AF$2:AF937),$AF$2:$AF$1001,0),0), INDEX($AM$1004:$BM$1004,1,MATCH(COLUMNS($AM$1006:BK1006),$AM$1006:$BM$1006,0)))),"Fix")))</f>
        <v xml:space="preserve"> </v>
      </c>
      <c r="AA937" s="4" t="str">
        <f ca="1">IF(OR(INDEX($AG$2:$AG$1001,MATCH(ROWS($AF$2:AF937),$AF$2:$AF$1001,0),1)&gt;=100000,INDEX($AM$1005:$BM$1005,1,MATCH(COLUMNS($AM$1006:BL1006),$AM$1006:$BM$1006,0))&gt;=100000), " ",IF(INDEX($AM$2:$BM$1001,MATCH(ROWS($AF$2:AF937),$AF$2:$AF$1001,0),MATCH(COLUMNS($AM$1006:BL1006),$AM$1006:$BM$1006,0)), HYPERLINK("#",""), HYPERLINK(CONCATENATE("#metadata!", ADDRESS(INDEX($AH$2:$AH$1001,MATCH(ROWS($AF$2:AF937),$AF$2:$AF$1001,0),0), INDEX($AM$1004:$BM$1004,1,MATCH(COLUMNS($AM$1006:BL1006),$AM$1006:$BM$1006,0)))),"Fix")))</f>
        <v xml:space="preserve"> </v>
      </c>
      <c r="AB937" s="4" t="str">
        <f ca="1">IF(OR(INDEX($AG$2:$AG$1001,MATCH(ROWS($AF$2:AF937),$AF$2:$AF$1001,0),1)&gt;=100000,INDEX($AM$1005:$BM$1005,1,MATCH(COLUMNS($AM$1006:BM1006),$AM$1006:$BM$1006,0))&gt;=100000), " ",IF(INDEX($AM$2:$BM$1001,MATCH(ROWS($AF$2:AF937),$AF$2:$AF$1001,0),MATCH(COLUMNS($AM$1006:BM1006),$AM$1006:$BM$1006,0)), HYPERLINK("#",""), HYPERLINK(CONCATENATE("#metadata!", ADDRESS(INDEX($AH$2:$AH$1001,MATCH(ROWS($AF$2:AF937),$AF$2:$AF$1001,0),0), INDEX($AM$1004:$BM$1004,1,MATCH(COLUMNS($AM$1006:BM1006),$AM$1006:$BM$1006,0)))),"Fix")))</f>
        <v xml:space="preserve"> </v>
      </c>
      <c r="AF937">
        <v>936</v>
      </c>
      <c r="AG937">
        <v>100937</v>
      </c>
      <c r="AH937">
        <v>937</v>
      </c>
      <c r="AI937" t="b">
        <f t="shared" si="14"/>
        <v>1</v>
      </c>
      <c r="AJ937" t="b">
        <f>COUNTBLANK(metadata!B937:AB937)=COLUMNS(metadata!B937:AB937)</f>
        <v>1</v>
      </c>
      <c r="AK937" t="str">
        <v/>
      </c>
      <c r="AM937" t="b">
        <f ca="1">AND(IF(metadata!B937="",FALSE,TRUE),COUNTIF(metadata!B:B, metadata!B937) = 1,NOT(ISERROR(SUMPRODUCT(SEARCH(MID(metadata!B937,ROW(INDIRECT("1:"&amp;LEN(metadata!B937))), 1),"0123456789abcdefghijklmnopqrstuvwxyzABCDEFGHIJKLMNOPQRSTUVWXYZ.")))))</f>
        <v>0</v>
      </c>
      <c r="AN937" t="b">
        <f ca="1">OR(AND(IF(metadata!C937="",FALSE,TRUE),OR(EXACT(metadata!C937,"missing: not collected"),EXACT(metadata!C937,"missing: not provided"),EXACT(metadata!C937,"missing: restricted access"))),AND(IF(metadata!C937="",FALSE,TRUE),AND(AND(IFERROR(INT(LEFT(metadata!C937,4))&gt;1900,FALSE),IFERROR(INT(LEFT(metadata!C937,4))&lt;=YEAR(NOW()),FALSE)), OR(MID(metadata!C937,5,1)="", AND(AND(MID(metadata!C937,5,1)="-",IFERROR(INT(MID(metadata!C937,6,1))&gt;=0,FALSE),IFERROR(INT(MID(metadata!C937,6,1))&lt;=1,FALSE),NOT(MID(metadata!C937,7,1)=""),IFERROR(INT(MID(metadata!C937,6,2))&gt;=1,FALSE),IFERROR(INT(MID(metadata!C937,6,2))&lt;=12,FALSE)), OR(MID(metadata!C937,8,1)="", AND(AND(MID(metadata!C937,8,1)="-",IFERROR(INT(MID(metadata!C937,9,1))&gt;=0,FALSE),IFERROR(INT(MID(metadata!C937,9,1))&lt;=3,FALSE),NOT(MID(metadata!C937,10,1)=""),IFERROR(INT(MID(metadata!C937,9,2))&gt;=1,FALSE),IFERROR(INT(MID(metadata!C937,9,2))&lt;=31,FALSE)), OR(MID(metadata!C937,11,1)="", AND(AND(MID(metadata!C937,11,1)=" ",IFERROR(INT(MID(metadata!C937,12,1))&gt;=0,FALSE),IFERROR(INT(MID(metadata!C937,12,1))&lt;=2,FALSE),NOT(MID(metadata!C937,13,1)=""),IFERROR(INT(MID(metadata!C937,12,2))&gt;=0,FALSE),IFERROR(INT(MID(metadata!C937,12,2))&lt;=23,FALSE)), OR(MID(metadata!C937,14,1)="", AND(AND(MID(metadata!C937,14,1)=":",IFERROR(INT(MID(metadata!C937,15,1))&gt;=0,FALSE),IFERROR(INT(MID(metadata!C937,15,1))&lt;=5,FALSE),NOT(MID(metadata!C937,16,1)=""),IFERROR(INT(MID(metadata!C937,15,2))&gt;=0,FALSE),IFERROR(INT(MID(metadata!C937,15,2))&lt;=59,FALSE)), OR(MID(metadata!C937,17,1)="", AND(AND(MID(metadata!C937,17,1)=":",IFERROR(INT(MID(metadata!C937,18,1))&gt;=0,FALSE),IFERROR(INT(MID(metadata!C937,18,1))&lt;=5,FALSE),NOT(MID(metadata!C937,19,1)=""),IFERROR(INT(MID(metadata!C937,18,2))&gt;=0,FALSE),IFERROR(INT(MID(metadata!C937,18,2))&lt;=59,FALSE)), LEN(metadata!C937)&lt;=19)))))))))))))</f>
        <v>0</v>
      </c>
      <c r="AO937" t="b">
        <f>AND(IF(metadata!D937="",FALSE,TRUE),EXACT(metadata!D937,"Not applicable"))</f>
        <v>0</v>
      </c>
      <c r="AP937" t="b">
        <f>IF(metadata!E937="",FALSE,TRUE)</f>
        <v>0</v>
      </c>
      <c r="AQ937" t="b">
        <f>OR(AND(IF(metadata!F937="",FALSE,TRUE),OR(EXACT(metadata!F937,"missing: not collected"),EXACT(metadata!F937,"missing: not provided"))),AND(IF(metadata!F937="",FALSE,TRUE),OR(EXACT(metadata!F937,"TRUE"),EXACT(metadata!F937,"FALSE"))))</f>
        <v>0</v>
      </c>
      <c r="AR937" t="b">
        <f>OR(AND(IF(metadata!G937="",FALSE,TRUE),OR(EXACT(metadata!G937,"missing: not collected"),EXACT(metadata!G937,"missing: not provided"),EXACT(metadata!G937,"missing: restricted access"))),AND(IF(metadata!G937="",FALSE,ISNUMBER(VALUE(metadata!G937))),metadata!G937&gt;=-413))</f>
        <v>0</v>
      </c>
      <c r="AS937" t="b">
        <f>AND(IF(metadata!H937="",FALSE,TRUE),EXACT(metadata!H937,"meters"))</f>
        <v>0</v>
      </c>
      <c r="AT937" t="b">
        <f>AND(IF(metadata!I937="",FALSE,TRUE),OR(EXACT(metadata!I937,"Host-associated"),EXACT(metadata!I937,"Free-living")))</f>
        <v>0</v>
      </c>
      <c r="AU937" t="b">
        <f>AND(IF(metadata!J937="",FALSE,TRUE),OR(EXACT(metadata!J937,"Animal"),EXACT(metadata!J937,"Fungus"),EXACT(metadata!J937,"Plant"),EXACT(metadata!J937,"Saline"),EXACT(metadata!J937,"Non-saline")))</f>
        <v>0</v>
      </c>
      <c r="AV937" t="b">
        <f>AND(IF(metadata!K937="",FALSE,TRUE),OR(EXACT(metadata!K937,"Plant secretion"),EXACT(metadata!K937,"Plant rhizosphere"),EXACT(metadata!K937,"Plant surface"),EXACT(metadata!K937,"Plant corpus"),EXACT(metadata!K937,"Fungus surface"),EXACT(metadata!K937,"Fungus corpus"),EXACT(metadata!K937,"Animal surface"),EXACT(metadata!K937,"Animal proximal gut"),EXACT(metadata!K937,"Animal corpus"),EXACT(metadata!K937,"Animal distal gut"),EXACT(metadata!K937,"Animal secretion"),EXACT(metadata!K937,"Sub-surface (non-saline)"),EXACT(metadata!K937,"Surface (non-saline)"),EXACT(metadata!K937,"Water (non-saline)"),EXACT(metadata!K937,"Soil (non-saline)"),EXACT(metadata!K937,"Aerosol (non-saline)"),EXACT(metadata!K937,"Sediment (non-saline)"),EXACT(metadata!K937,"Surface (saline)"),EXACT(metadata!K937,"Water (saline)"),EXACT(metadata!K937,"Hypersaline (saline)"),EXACT(metadata!K937,"Aerosol (saline)"),EXACT(metadata!K937,"Sediment (saline)")))</f>
        <v>0</v>
      </c>
      <c r="AW937" t="b">
        <f>IF(metadata!L937="",FALSE,TRUE)</f>
        <v>0</v>
      </c>
      <c r="AX937" t="b">
        <f>IF(metadata!M937="",FALSE,TRUE)</f>
        <v>0</v>
      </c>
      <c r="AY937" t="b">
        <f>IF(metadata!N937="",FALSE,TRUE)</f>
        <v>0</v>
      </c>
      <c r="AZ937" t="b">
        <f>OR(AND(IF(metadata!O937="",FALSE,TRUE),OR(EXACT(metadata!O937,"missing: not collected"),EXACT(metadata!O937,"missing: not provided"),EXACT(metadata!O937,"missing: restricted access"))),AND(IF(metadata!O937="",FALSE,TRUE),OR(EXACT(metadata!O937,"air"),EXACT(metadata!O937,"built environment"),EXACT(metadata!O937,"host-associated"),EXACT(metadata!O937,"human-associated"),EXACT(metadata!O937,"human-skin"),EXACT(metadata!O937,"human-oral"),EXACT(metadata!O937,"human-gut"),EXACT(metadata!O937,"human-vaginal"),EXACT(metadata!O937,"microbial mat/biofilm"),EXACT(metadata!O937,"misc environment"),EXACT(metadata!O937,"plant-associated"),EXACT(metadata!O937,"sediment"),EXACT(metadata!O937,"soil"),EXACT(metadata!O937,"wastewater/sludge"),EXACT(metadata!O937,"water"))))</f>
        <v>0</v>
      </c>
      <c r="BA937" t="b">
        <f>IF(metadata!P937="",FALSE,TRUE)</f>
        <v>0</v>
      </c>
      <c r="BB937" t="b">
        <f>IF(metadata!Q937="",FALSE,TRUE)</f>
        <v>0</v>
      </c>
      <c r="BC937" t="b">
        <f>OR(AND(IF(metadata!R937="",FALSE,TRUE),OR(EXACT(metadata!R937,"missing: not collected"),EXACT(metadata!R937,"missing: not provided"),EXACT(metadata!R937,"missing: restricted access"))),AND(IF(metadata!R937="",FALSE,ISNUMBER(VALUE(metadata!R937))),metadata!R937&gt;=-90,metadata!R937&lt;=90))</f>
        <v>0</v>
      </c>
      <c r="BD937" t="b">
        <f>AND(IF(metadata!S937="",FALSE,TRUE),EXACT(metadata!S937,"Decimal degrees"))</f>
        <v>0</v>
      </c>
      <c r="BE937" t="b">
        <f>OR(AND(IF(metadata!T937="",FALSE,TRUE),OR(EXACT(metadata!T937,"missing: not collected"),EXACT(metadata!T937,"missing: not provided"),EXACT(metadata!T937,"missing: restricted access"))),AND(IF(metadata!T937="",FALSE,ISNUMBER(VALUE(metadata!T937))),metadata!T937&gt;=-180,metadata!T937&lt;=180))</f>
        <v>0</v>
      </c>
      <c r="BF937" t="b">
        <f>AND(IF(metadata!U937="",FALSE,TRUE),EXACT(metadata!U937,"Decimal degrees"))</f>
        <v>0</v>
      </c>
      <c r="BG937" t="b">
        <f>IF(metadata!V937="",FALSE,TRUE)</f>
        <v>0</v>
      </c>
      <c r="BH937" t="b">
        <f>OR(AND(IF(metadata!W937="",FALSE,TRUE),OR(EXACT(metadata!W937,"missing: not collected"),EXACT(metadata!W937,"missing: not provided"),EXACT(metadata!W937,"missing: restricted access"))),AND(IF(metadata!W937="",FALSE,TRUE),OR(EXACT(metadata!W937,"TRUE"),EXACT(metadata!W937,"FALSE"))))</f>
        <v>0</v>
      </c>
      <c r="BI937" t="b">
        <f>AND(IF(metadata!X937="",FALSE,TRUE),EXACT(metadata!X937,"other"))</f>
        <v>0</v>
      </c>
      <c r="BJ937" t="b">
        <f>IF(metadata!Y937="",FALSE,TRUE)</f>
        <v>0</v>
      </c>
      <c r="BK937" t="b">
        <f>OR(AND(IF(metadata!Z937="",FALSE,TRUE),OR(EXACT(metadata!Z937,"missing: not collected"),EXACT(metadata!Z937,"missing: not provided"))),AND(IF(metadata!Z937="",FALSE,IF(ISERROR(INT(metadata!Z937)),FALSE,INT(metadata!Z937)=metadata!Z937)),metadata!Z937&gt;0))</f>
        <v>0</v>
      </c>
      <c r="BL937" t="b">
        <f>AND(IF(metadata!AA937="",FALSE,TRUE),EXACT(metadata!AA937,"Not applicable"))</f>
        <v>0</v>
      </c>
      <c r="BM937" t="b">
        <f>IF(metadata!AB937="",FALSE,TRUE)</f>
        <v>0</v>
      </c>
    </row>
    <row r="938" spans="1:65" x14ac:dyDescent="0.2">
      <c r="A938" s="5" t="str">
        <f ca="1">IF(B938=" "," ",HYPERLINK(CONCATENATE("#metadata!",ADDRESS(INDEX($AH$2:$AH$1001,MATCH(ROWS($AF$2:AF938),$AF$2:$AF$1001,0),0),1)),INDEX($AK$2:$AK$1001,MATCH(ROWS($AF$2:AF938),$AF$2:$AF$1001,0),0)))</f>
        <v xml:space="preserve"> </v>
      </c>
      <c r="B938" s="4" t="str">
        <f ca="1">IF(OR(INDEX($AG$2:$AG$1001,MATCH(ROWS($AF$2:AF938),$AF$2:$AF$1001,0),1)&gt;=100000,INDEX($AM$1005:$BM$1005,1,MATCH(COLUMNS($AM$1006:AM1006),$AM$1006:$BM$1006,0))&gt;=100000), " ",IF(INDEX($AM$2:$BM$1001,MATCH(ROWS($AF$2:AF938),$AF$2:$AF$1001,0),MATCH(COLUMNS($AM$1006:AM1006),$AM$1006:$BM$1006,0)), HYPERLINK("#",""), HYPERLINK(CONCATENATE("#metadata!", ADDRESS(INDEX($AH$2:$AH$1001,MATCH(ROWS($AF$2:AF938),$AF$2:$AF$1001,0),0), INDEX($AM$1004:$BM$1004,1,MATCH(COLUMNS($AM$1006:AM1006),$AM$1006:$BM$1006,0)))),"Fix")))</f>
        <v xml:space="preserve"> </v>
      </c>
      <c r="C938" s="4" t="str">
        <f ca="1">IF(OR(INDEX($AG$2:$AG$1001,MATCH(ROWS($AF$2:AF938),$AF$2:$AF$1001,0),1)&gt;=100000,INDEX($AM$1005:$BM$1005,1,MATCH(COLUMNS($AM$1006:AN1006),$AM$1006:$BM$1006,0))&gt;=100000), " ",IF(INDEX($AM$2:$BM$1001,MATCH(ROWS($AF$2:AF938),$AF$2:$AF$1001,0),MATCH(COLUMNS($AM$1006:AN1006),$AM$1006:$BM$1006,0)), HYPERLINK("#",""), HYPERLINK(CONCATENATE("#metadata!", ADDRESS(INDEX($AH$2:$AH$1001,MATCH(ROWS($AF$2:AF938),$AF$2:$AF$1001,0),0), INDEX($AM$1004:$BM$1004,1,MATCH(COLUMNS($AM$1006:AN1006),$AM$1006:$BM$1006,0)))),"Fix")))</f>
        <v xml:space="preserve"> </v>
      </c>
      <c r="D938" s="4" t="str">
        <f ca="1">IF(OR(INDEX($AG$2:$AG$1001,MATCH(ROWS($AF$2:AF938),$AF$2:$AF$1001,0),1)&gt;=100000,INDEX($AM$1005:$BM$1005,1,MATCH(COLUMNS($AM$1006:AO1006),$AM$1006:$BM$1006,0))&gt;=100000), " ",IF(INDEX($AM$2:$BM$1001,MATCH(ROWS($AF$2:AF938),$AF$2:$AF$1001,0),MATCH(COLUMNS($AM$1006:AO1006),$AM$1006:$BM$1006,0)), HYPERLINK("#",""), HYPERLINK(CONCATENATE("#metadata!", ADDRESS(INDEX($AH$2:$AH$1001,MATCH(ROWS($AF$2:AF938),$AF$2:$AF$1001,0),0), INDEX($AM$1004:$BM$1004,1,MATCH(COLUMNS($AM$1006:AO1006),$AM$1006:$BM$1006,0)))),"Fix")))</f>
        <v xml:space="preserve"> </v>
      </c>
      <c r="E938" s="4" t="str">
        <f ca="1">IF(OR(INDEX($AG$2:$AG$1001,MATCH(ROWS($AF$2:AF938),$AF$2:$AF$1001,0),1)&gt;=100000,INDEX($AM$1005:$BM$1005,1,MATCH(COLUMNS($AM$1006:AP1006),$AM$1006:$BM$1006,0))&gt;=100000), " ",IF(INDEX($AM$2:$BM$1001,MATCH(ROWS($AF$2:AF938),$AF$2:$AF$1001,0),MATCH(COLUMNS($AM$1006:AP1006),$AM$1006:$BM$1006,0)), HYPERLINK("#",""), HYPERLINK(CONCATENATE("#metadata!", ADDRESS(INDEX($AH$2:$AH$1001,MATCH(ROWS($AF$2:AF938),$AF$2:$AF$1001,0),0), INDEX($AM$1004:$BM$1004,1,MATCH(COLUMNS($AM$1006:AP1006),$AM$1006:$BM$1006,0)))),"Fix")))</f>
        <v xml:space="preserve"> </v>
      </c>
      <c r="F938" s="4" t="str">
        <f ca="1">IF(OR(INDEX($AG$2:$AG$1001,MATCH(ROWS($AF$2:AF938),$AF$2:$AF$1001,0),1)&gt;=100000,INDEX($AM$1005:$BM$1005,1,MATCH(COLUMNS($AM$1006:AQ1006),$AM$1006:$BM$1006,0))&gt;=100000), " ",IF(INDEX($AM$2:$BM$1001,MATCH(ROWS($AF$2:AF938),$AF$2:$AF$1001,0),MATCH(COLUMNS($AM$1006:AQ1006),$AM$1006:$BM$1006,0)), HYPERLINK("#",""), HYPERLINK(CONCATENATE("#metadata!", ADDRESS(INDEX($AH$2:$AH$1001,MATCH(ROWS($AF$2:AF938),$AF$2:$AF$1001,0),0), INDEX($AM$1004:$BM$1004,1,MATCH(COLUMNS($AM$1006:AQ1006),$AM$1006:$BM$1006,0)))),"Fix")))</f>
        <v xml:space="preserve"> </v>
      </c>
      <c r="G938" s="4" t="str">
        <f ca="1">IF(OR(INDEX($AG$2:$AG$1001,MATCH(ROWS($AF$2:AF938),$AF$2:$AF$1001,0),1)&gt;=100000,INDEX($AM$1005:$BM$1005,1,MATCH(COLUMNS($AM$1006:AR1006),$AM$1006:$BM$1006,0))&gt;=100000), " ",IF(INDEX($AM$2:$BM$1001,MATCH(ROWS($AF$2:AF938),$AF$2:$AF$1001,0),MATCH(COLUMNS($AM$1006:AR1006),$AM$1006:$BM$1006,0)), HYPERLINK("#",""), HYPERLINK(CONCATENATE("#metadata!", ADDRESS(INDEX($AH$2:$AH$1001,MATCH(ROWS($AF$2:AF938),$AF$2:$AF$1001,0),0), INDEX($AM$1004:$BM$1004,1,MATCH(COLUMNS($AM$1006:AR1006),$AM$1006:$BM$1006,0)))),"Fix")))</f>
        <v xml:space="preserve"> </v>
      </c>
      <c r="H938" s="4" t="str">
        <f ca="1">IF(OR(INDEX($AG$2:$AG$1001,MATCH(ROWS($AF$2:AF938),$AF$2:$AF$1001,0),1)&gt;=100000,INDEX($AM$1005:$BM$1005,1,MATCH(COLUMNS($AM$1006:AS1006),$AM$1006:$BM$1006,0))&gt;=100000), " ",IF(INDEX($AM$2:$BM$1001,MATCH(ROWS($AF$2:AF938),$AF$2:$AF$1001,0),MATCH(COLUMNS($AM$1006:AS1006),$AM$1006:$BM$1006,0)), HYPERLINK("#",""), HYPERLINK(CONCATENATE("#metadata!", ADDRESS(INDEX($AH$2:$AH$1001,MATCH(ROWS($AF$2:AF938),$AF$2:$AF$1001,0),0), INDEX($AM$1004:$BM$1004,1,MATCH(COLUMNS($AM$1006:AS1006),$AM$1006:$BM$1006,0)))),"Fix")))</f>
        <v xml:space="preserve"> </v>
      </c>
      <c r="I938" s="4" t="str">
        <f ca="1">IF(OR(INDEX($AG$2:$AG$1001,MATCH(ROWS($AF$2:AF938),$AF$2:$AF$1001,0),1)&gt;=100000,INDEX($AM$1005:$BM$1005,1,MATCH(COLUMNS($AM$1006:AT1006),$AM$1006:$BM$1006,0))&gt;=100000), " ",IF(INDEX($AM$2:$BM$1001,MATCH(ROWS($AF$2:AF938),$AF$2:$AF$1001,0),MATCH(COLUMNS($AM$1006:AT1006),$AM$1006:$BM$1006,0)), HYPERLINK("#",""), HYPERLINK(CONCATENATE("#metadata!", ADDRESS(INDEX($AH$2:$AH$1001,MATCH(ROWS($AF$2:AF938),$AF$2:$AF$1001,0),0), INDEX($AM$1004:$BM$1004,1,MATCH(COLUMNS($AM$1006:AT1006),$AM$1006:$BM$1006,0)))),"Fix")))</f>
        <v xml:space="preserve"> </v>
      </c>
      <c r="J938" s="4" t="str">
        <f ca="1">IF(OR(INDEX($AG$2:$AG$1001,MATCH(ROWS($AF$2:AF938),$AF$2:$AF$1001,0),1)&gt;=100000,INDEX($AM$1005:$BM$1005,1,MATCH(COLUMNS($AM$1006:AU1006),$AM$1006:$BM$1006,0))&gt;=100000), " ",IF(INDEX($AM$2:$BM$1001,MATCH(ROWS($AF$2:AF938),$AF$2:$AF$1001,0),MATCH(COLUMNS($AM$1006:AU1006),$AM$1006:$BM$1006,0)), HYPERLINK("#",""), HYPERLINK(CONCATENATE("#metadata!", ADDRESS(INDEX($AH$2:$AH$1001,MATCH(ROWS($AF$2:AF938),$AF$2:$AF$1001,0),0), INDEX($AM$1004:$BM$1004,1,MATCH(COLUMNS($AM$1006:AU1006),$AM$1006:$BM$1006,0)))),"Fix")))</f>
        <v xml:space="preserve"> </v>
      </c>
      <c r="K938" s="4" t="str">
        <f ca="1">IF(OR(INDEX($AG$2:$AG$1001,MATCH(ROWS($AF$2:AF938),$AF$2:$AF$1001,0),1)&gt;=100000,INDEX($AM$1005:$BM$1005,1,MATCH(COLUMNS($AM$1006:AV1006),$AM$1006:$BM$1006,0))&gt;=100000), " ",IF(INDEX($AM$2:$BM$1001,MATCH(ROWS($AF$2:AF938),$AF$2:$AF$1001,0),MATCH(COLUMNS($AM$1006:AV1006),$AM$1006:$BM$1006,0)), HYPERLINK("#",""), HYPERLINK(CONCATENATE("#metadata!", ADDRESS(INDEX($AH$2:$AH$1001,MATCH(ROWS($AF$2:AF938),$AF$2:$AF$1001,0),0), INDEX($AM$1004:$BM$1004,1,MATCH(COLUMNS($AM$1006:AV1006),$AM$1006:$BM$1006,0)))),"Fix")))</f>
        <v xml:space="preserve"> </v>
      </c>
      <c r="L938" s="4" t="str">
        <f ca="1">IF(OR(INDEX($AG$2:$AG$1001,MATCH(ROWS($AF$2:AF938),$AF$2:$AF$1001,0),1)&gt;=100000,INDEX($AM$1005:$BM$1005,1,MATCH(COLUMNS($AM$1006:AW1006),$AM$1006:$BM$1006,0))&gt;=100000), " ",IF(INDEX($AM$2:$BM$1001,MATCH(ROWS($AF$2:AF938),$AF$2:$AF$1001,0),MATCH(COLUMNS($AM$1006:AW1006),$AM$1006:$BM$1006,0)), HYPERLINK("#",""), HYPERLINK(CONCATENATE("#metadata!", ADDRESS(INDEX($AH$2:$AH$1001,MATCH(ROWS($AF$2:AF938),$AF$2:$AF$1001,0),0), INDEX($AM$1004:$BM$1004,1,MATCH(COLUMNS($AM$1006:AW1006),$AM$1006:$BM$1006,0)))),"Fix")))</f>
        <v xml:space="preserve"> </v>
      </c>
      <c r="M938" s="4" t="str">
        <f ca="1">IF(OR(INDEX($AG$2:$AG$1001,MATCH(ROWS($AF$2:AF938),$AF$2:$AF$1001,0),1)&gt;=100000,INDEX($AM$1005:$BM$1005,1,MATCH(COLUMNS($AM$1006:AX1006),$AM$1006:$BM$1006,0))&gt;=100000), " ",IF(INDEX($AM$2:$BM$1001,MATCH(ROWS($AF$2:AF938),$AF$2:$AF$1001,0),MATCH(COLUMNS($AM$1006:AX1006),$AM$1006:$BM$1006,0)), HYPERLINK("#",""), HYPERLINK(CONCATENATE("#metadata!", ADDRESS(INDEX($AH$2:$AH$1001,MATCH(ROWS($AF$2:AF938),$AF$2:$AF$1001,0),0), INDEX($AM$1004:$BM$1004,1,MATCH(COLUMNS($AM$1006:AX1006),$AM$1006:$BM$1006,0)))),"Fix")))</f>
        <v xml:space="preserve"> </v>
      </c>
      <c r="N938" s="4" t="str">
        <f ca="1">IF(OR(INDEX($AG$2:$AG$1001,MATCH(ROWS($AF$2:AF938),$AF$2:$AF$1001,0),1)&gt;=100000,INDEX($AM$1005:$BM$1005,1,MATCH(COLUMNS($AM$1006:AY1006),$AM$1006:$BM$1006,0))&gt;=100000), " ",IF(INDEX($AM$2:$BM$1001,MATCH(ROWS($AF$2:AF938),$AF$2:$AF$1001,0),MATCH(COLUMNS($AM$1006:AY1006),$AM$1006:$BM$1006,0)), HYPERLINK("#",""), HYPERLINK(CONCATENATE("#metadata!", ADDRESS(INDEX($AH$2:$AH$1001,MATCH(ROWS($AF$2:AF938),$AF$2:$AF$1001,0),0), INDEX($AM$1004:$BM$1004,1,MATCH(COLUMNS($AM$1006:AY1006),$AM$1006:$BM$1006,0)))),"Fix")))</f>
        <v xml:space="preserve"> </v>
      </c>
      <c r="O938" s="4" t="str">
        <f ca="1">IF(OR(INDEX($AG$2:$AG$1001,MATCH(ROWS($AF$2:AF938),$AF$2:$AF$1001,0),1)&gt;=100000,INDEX($AM$1005:$BM$1005,1,MATCH(COLUMNS($AM$1006:AZ1006),$AM$1006:$BM$1006,0))&gt;=100000), " ",IF(INDEX($AM$2:$BM$1001,MATCH(ROWS($AF$2:AF938),$AF$2:$AF$1001,0),MATCH(COLUMNS($AM$1006:AZ1006),$AM$1006:$BM$1006,0)), HYPERLINK("#",""), HYPERLINK(CONCATENATE("#metadata!", ADDRESS(INDEX($AH$2:$AH$1001,MATCH(ROWS($AF$2:AF938),$AF$2:$AF$1001,0),0), INDEX($AM$1004:$BM$1004,1,MATCH(COLUMNS($AM$1006:AZ1006),$AM$1006:$BM$1006,0)))),"Fix")))</f>
        <v xml:space="preserve"> </v>
      </c>
      <c r="P938" s="4" t="str">
        <f ca="1">IF(OR(INDEX($AG$2:$AG$1001,MATCH(ROWS($AF$2:AF938),$AF$2:$AF$1001,0),1)&gt;=100000,INDEX($AM$1005:$BM$1005,1,MATCH(COLUMNS($AM$1006:BA1006),$AM$1006:$BM$1006,0))&gt;=100000), " ",IF(INDEX($AM$2:$BM$1001,MATCH(ROWS($AF$2:AF938),$AF$2:$AF$1001,0),MATCH(COLUMNS($AM$1006:BA1006),$AM$1006:$BM$1006,0)), HYPERLINK("#",""), HYPERLINK(CONCATENATE("#metadata!", ADDRESS(INDEX($AH$2:$AH$1001,MATCH(ROWS($AF$2:AF938),$AF$2:$AF$1001,0),0), INDEX($AM$1004:$BM$1004,1,MATCH(COLUMNS($AM$1006:BA1006),$AM$1006:$BM$1006,0)))),"Fix")))</f>
        <v xml:space="preserve"> </v>
      </c>
      <c r="Q938" s="4" t="str">
        <f ca="1">IF(OR(INDEX($AG$2:$AG$1001,MATCH(ROWS($AF$2:AF938),$AF$2:$AF$1001,0),1)&gt;=100000,INDEX($AM$1005:$BM$1005,1,MATCH(COLUMNS($AM$1006:BB1006),$AM$1006:$BM$1006,0))&gt;=100000), " ",IF(INDEX($AM$2:$BM$1001,MATCH(ROWS($AF$2:AF938),$AF$2:$AF$1001,0),MATCH(COLUMNS($AM$1006:BB1006),$AM$1006:$BM$1006,0)), HYPERLINK("#",""), HYPERLINK(CONCATENATE("#metadata!", ADDRESS(INDEX($AH$2:$AH$1001,MATCH(ROWS($AF$2:AF938),$AF$2:$AF$1001,0),0), INDEX($AM$1004:$BM$1004,1,MATCH(COLUMNS($AM$1006:BB1006),$AM$1006:$BM$1006,0)))),"Fix")))</f>
        <v xml:space="preserve"> </v>
      </c>
      <c r="R938" s="4" t="str">
        <f ca="1">IF(OR(INDEX($AG$2:$AG$1001,MATCH(ROWS($AF$2:AF938),$AF$2:$AF$1001,0),1)&gt;=100000,INDEX($AM$1005:$BM$1005,1,MATCH(COLUMNS($AM$1006:BC1006),$AM$1006:$BM$1006,0))&gt;=100000), " ",IF(INDEX($AM$2:$BM$1001,MATCH(ROWS($AF$2:AF938),$AF$2:$AF$1001,0),MATCH(COLUMNS($AM$1006:BC1006),$AM$1006:$BM$1006,0)), HYPERLINK("#",""), HYPERLINK(CONCATENATE("#metadata!", ADDRESS(INDEX($AH$2:$AH$1001,MATCH(ROWS($AF$2:AF938),$AF$2:$AF$1001,0),0), INDEX($AM$1004:$BM$1004,1,MATCH(COLUMNS($AM$1006:BC1006),$AM$1006:$BM$1006,0)))),"Fix")))</f>
        <v xml:space="preserve"> </v>
      </c>
      <c r="S938" s="4" t="str">
        <f ca="1">IF(OR(INDEX($AG$2:$AG$1001,MATCH(ROWS($AF$2:AF938),$AF$2:$AF$1001,0),1)&gt;=100000,INDEX($AM$1005:$BM$1005,1,MATCH(COLUMNS($AM$1006:BD1006),$AM$1006:$BM$1006,0))&gt;=100000), " ",IF(INDEX($AM$2:$BM$1001,MATCH(ROWS($AF$2:AF938),$AF$2:$AF$1001,0),MATCH(COLUMNS($AM$1006:BD1006),$AM$1006:$BM$1006,0)), HYPERLINK("#",""), HYPERLINK(CONCATENATE("#metadata!", ADDRESS(INDEX($AH$2:$AH$1001,MATCH(ROWS($AF$2:AF938),$AF$2:$AF$1001,0),0), INDEX($AM$1004:$BM$1004,1,MATCH(COLUMNS($AM$1006:BD1006),$AM$1006:$BM$1006,0)))),"Fix")))</f>
        <v xml:space="preserve"> </v>
      </c>
      <c r="T938" s="4" t="str">
        <f ca="1">IF(OR(INDEX($AG$2:$AG$1001,MATCH(ROWS($AF$2:AF938),$AF$2:$AF$1001,0),1)&gt;=100000,INDEX($AM$1005:$BM$1005,1,MATCH(COLUMNS($AM$1006:BE1006),$AM$1006:$BM$1006,0))&gt;=100000), " ",IF(INDEX($AM$2:$BM$1001,MATCH(ROWS($AF$2:AF938),$AF$2:$AF$1001,0),MATCH(COLUMNS($AM$1006:BE1006),$AM$1006:$BM$1006,0)), HYPERLINK("#",""), HYPERLINK(CONCATENATE("#metadata!", ADDRESS(INDEX($AH$2:$AH$1001,MATCH(ROWS($AF$2:AF938),$AF$2:$AF$1001,0),0), INDEX($AM$1004:$BM$1004,1,MATCH(COLUMNS($AM$1006:BE1006),$AM$1006:$BM$1006,0)))),"Fix")))</f>
        <v xml:space="preserve"> </v>
      </c>
      <c r="U938" s="4" t="str">
        <f ca="1">IF(OR(INDEX($AG$2:$AG$1001,MATCH(ROWS($AF$2:AF938),$AF$2:$AF$1001,0),1)&gt;=100000,INDEX($AM$1005:$BM$1005,1,MATCH(COLUMNS($AM$1006:BF1006),$AM$1006:$BM$1006,0))&gt;=100000), " ",IF(INDEX($AM$2:$BM$1001,MATCH(ROWS($AF$2:AF938),$AF$2:$AF$1001,0),MATCH(COLUMNS($AM$1006:BF1006),$AM$1006:$BM$1006,0)), HYPERLINK("#",""), HYPERLINK(CONCATENATE("#metadata!", ADDRESS(INDEX($AH$2:$AH$1001,MATCH(ROWS($AF$2:AF938),$AF$2:$AF$1001,0),0), INDEX($AM$1004:$BM$1004,1,MATCH(COLUMNS($AM$1006:BF1006),$AM$1006:$BM$1006,0)))),"Fix")))</f>
        <v xml:space="preserve"> </v>
      </c>
      <c r="V938" s="4" t="str">
        <f ca="1">IF(OR(INDEX($AG$2:$AG$1001,MATCH(ROWS($AF$2:AF938),$AF$2:$AF$1001,0),1)&gt;=100000,INDEX($AM$1005:$BM$1005,1,MATCH(COLUMNS($AM$1006:BG1006),$AM$1006:$BM$1006,0))&gt;=100000), " ",IF(INDEX($AM$2:$BM$1001,MATCH(ROWS($AF$2:AF938),$AF$2:$AF$1001,0),MATCH(COLUMNS($AM$1006:BG1006),$AM$1006:$BM$1006,0)), HYPERLINK("#",""), HYPERLINK(CONCATENATE("#metadata!", ADDRESS(INDEX($AH$2:$AH$1001,MATCH(ROWS($AF$2:AF938),$AF$2:$AF$1001,0),0), INDEX($AM$1004:$BM$1004,1,MATCH(COLUMNS($AM$1006:BG1006),$AM$1006:$BM$1006,0)))),"Fix")))</f>
        <v xml:space="preserve"> </v>
      </c>
      <c r="W938" s="4" t="str">
        <f ca="1">IF(OR(INDEX($AG$2:$AG$1001,MATCH(ROWS($AF$2:AF938),$AF$2:$AF$1001,0),1)&gt;=100000,INDEX($AM$1005:$BM$1005,1,MATCH(COLUMNS($AM$1006:BH1006),$AM$1006:$BM$1006,0))&gt;=100000), " ",IF(INDEX($AM$2:$BM$1001,MATCH(ROWS($AF$2:AF938),$AF$2:$AF$1001,0),MATCH(COLUMNS($AM$1006:BH1006),$AM$1006:$BM$1006,0)), HYPERLINK("#",""), HYPERLINK(CONCATENATE("#metadata!", ADDRESS(INDEX($AH$2:$AH$1001,MATCH(ROWS($AF$2:AF938),$AF$2:$AF$1001,0),0), INDEX($AM$1004:$BM$1004,1,MATCH(COLUMNS($AM$1006:BH1006),$AM$1006:$BM$1006,0)))),"Fix")))</f>
        <v xml:space="preserve"> </v>
      </c>
      <c r="X938" s="4" t="str">
        <f ca="1">IF(OR(INDEX($AG$2:$AG$1001,MATCH(ROWS($AF$2:AF938),$AF$2:$AF$1001,0),1)&gt;=100000,INDEX($AM$1005:$BM$1005,1,MATCH(COLUMNS($AM$1006:BI1006),$AM$1006:$BM$1006,0))&gt;=100000), " ",IF(INDEX($AM$2:$BM$1001,MATCH(ROWS($AF$2:AF938),$AF$2:$AF$1001,0),MATCH(COLUMNS($AM$1006:BI1006),$AM$1006:$BM$1006,0)), HYPERLINK("#",""), HYPERLINK(CONCATENATE("#metadata!", ADDRESS(INDEX($AH$2:$AH$1001,MATCH(ROWS($AF$2:AF938),$AF$2:$AF$1001,0),0), INDEX($AM$1004:$BM$1004,1,MATCH(COLUMNS($AM$1006:BI1006),$AM$1006:$BM$1006,0)))),"Fix")))</f>
        <v xml:space="preserve"> </v>
      </c>
      <c r="Y938" s="4" t="str">
        <f ca="1">IF(OR(INDEX($AG$2:$AG$1001,MATCH(ROWS($AF$2:AF938),$AF$2:$AF$1001,0),1)&gt;=100000,INDEX($AM$1005:$BM$1005,1,MATCH(COLUMNS($AM$1006:BJ1006),$AM$1006:$BM$1006,0))&gt;=100000), " ",IF(INDEX($AM$2:$BM$1001,MATCH(ROWS($AF$2:AF938),$AF$2:$AF$1001,0),MATCH(COLUMNS($AM$1006:BJ1006),$AM$1006:$BM$1006,0)), HYPERLINK("#",""), HYPERLINK(CONCATENATE("#metadata!", ADDRESS(INDEX($AH$2:$AH$1001,MATCH(ROWS($AF$2:AF938),$AF$2:$AF$1001,0),0), INDEX($AM$1004:$BM$1004,1,MATCH(COLUMNS($AM$1006:BJ1006),$AM$1006:$BM$1006,0)))),"Fix")))</f>
        <v xml:space="preserve"> </v>
      </c>
      <c r="Z938" s="4" t="str">
        <f ca="1">IF(OR(INDEX($AG$2:$AG$1001,MATCH(ROWS($AF$2:AF938),$AF$2:$AF$1001,0),1)&gt;=100000,INDEX($AM$1005:$BM$1005,1,MATCH(COLUMNS($AM$1006:BK1006),$AM$1006:$BM$1006,0))&gt;=100000), " ",IF(INDEX($AM$2:$BM$1001,MATCH(ROWS($AF$2:AF938),$AF$2:$AF$1001,0),MATCH(COLUMNS($AM$1006:BK1006),$AM$1006:$BM$1006,0)), HYPERLINK("#",""), HYPERLINK(CONCATENATE("#metadata!", ADDRESS(INDEX($AH$2:$AH$1001,MATCH(ROWS($AF$2:AF938),$AF$2:$AF$1001,0),0), INDEX($AM$1004:$BM$1004,1,MATCH(COLUMNS($AM$1006:BK1006),$AM$1006:$BM$1006,0)))),"Fix")))</f>
        <v xml:space="preserve"> </v>
      </c>
      <c r="AA938" s="4" t="str">
        <f ca="1">IF(OR(INDEX($AG$2:$AG$1001,MATCH(ROWS($AF$2:AF938),$AF$2:$AF$1001,0),1)&gt;=100000,INDEX($AM$1005:$BM$1005,1,MATCH(COLUMNS($AM$1006:BL1006),$AM$1006:$BM$1006,0))&gt;=100000), " ",IF(INDEX($AM$2:$BM$1001,MATCH(ROWS($AF$2:AF938),$AF$2:$AF$1001,0),MATCH(COLUMNS($AM$1006:BL1006),$AM$1006:$BM$1006,0)), HYPERLINK("#",""), HYPERLINK(CONCATENATE("#metadata!", ADDRESS(INDEX($AH$2:$AH$1001,MATCH(ROWS($AF$2:AF938),$AF$2:$AF$1001,0),0), INDEX($AM$1004:$BM$1004,1,MATCH(COLUMNS($AM$1006:BL1006),$AM$1006:$BM$1006,0)))),"Fix")))</f>
        <v xml:space="preserve"> </v>
      </c>
      <c r="AB938" s="4" t="str">
        <f ca="1">IF(OR(INDEX($AG$2:$AG$1001,MATCH(ROWS($AF$2:AF938),$AF$2:$AF$1001,0),1)&gt;=100000,INDEX($AM$1005:$BM$1005,1,MATCH(COLUMNS($AM$1006:BM1006),$AM$1006:$BM$1006,0))&gt;=100000), " ",IF(INDEX($AM$2:$BM$1001,MATCH(ROWS($AF$2:AF938),$AF$2:$AF$1001,0),MATCH(COLUMNS($AM$1006:BM1006),$AM$1006:$BM$1006,0)), HYPERLINK("#",""), HYPERLINK(CONCATENATE("#metadata!", ADDRESS(INDEX($AH$2:$AH$1001,MATCH(ROWS($AF$2:AF938),$AF$2:$AF$1001,0),0), INDEX($AM$1004:$BM$1004,1,MATCH(COLUMNS($AM$1006:BM1006),$AM$1006:$BM$1006,0)))),"Fix")))</f>
        <v xml:space="preserve"> </v>
      </c>
      <c r="AF938">
        <v>937</v>
      </c>
      <c r="AG938">
        <v>100938</v>
      </c>
      <c r="AH938">
        <v>938</v>
      </c>
      <c r="AI938" t="b">
        <f t="shared" si="14"/>
        <v>1</v>
      </c>
      <c r="AJ938" t="b">
        <f>COUNTBLANK(metadata!B938:AB938)=COLUMNS(metadata!B938:AB938)</f>
        <v>1</v>
      </c>
      <c r="AK938" t="str">
        <v/>
      </c>
      <c r="AM938" t="b">
        <f ca="1">AND(IF(metadata!B938="",FALSE,TRUE),COUNTIF(metadata!B:B, metadata!B938) = 1,NOT(ISERROR(SUMPRODUCT(SEARCH(MID(metadata!B938,ROW(INDIRECT("1:"&amp;LEN(metadata!B938))), 1),"0123456789abcdefghijklmnopqrstuvwxyzABCDEFGHIJKLMNOPQRSTUVWXYZ.")))))</f>
        <v>0</v>
      </c>
      <c r="AN938" t="b">
        <f ca="1">OR(AND(IF(metadata!C938="",FALSE,TRUE),OR(EXACT(metadata!C938,"missing: not collected"),EXACT(metadata!C938,"missing: not provided"),EXACT(metadata!C938,"missing: restricted access"))),AND(IF(metadata!C938="",FALSE,TRUE),AND(AND(IFERROR(INT(LEFT(metadata!C938,4))&gt;1900,FALSE),IFERROR(INT(LEFT(metadata!C938,4))&lt;=YEAR(NOW()),FALSE)), OR(MID(metadata!C938,5,1)="", AND(AND(MID(metadata!C938,5,1)="-",IFERROR(INT(MID(metadata!C938,6,1))&gt;=0,FALSE),IFERROR(INT(MID(metadata!C938,6,1))&lt;=1,FALSE),NOT(MID(metadata!C938,7,1)=""),IFERROR(INT(MID(metadata!C938,6,2))&gt;=1,FALSE),IFERROR(INT(MID(metadata!C938,6,2))&lt;=12,FALSE)), OR(MID(metadata!C938,8,1)="", AND(AND(MID(metadata!C938,8,1)="-",IFERROR(INT(MID(metadata!C938,9,1))&gt;=0,FALSE),IFERROR(INT(MID(metadata!C938,9,1))&lt;=3,FALSE),NOT(MID(metadata!C938,10,1)=""),IFERROR(INT(MID(metadata!C938,9,2))&gt;=1,FALSE),IFERROR(INT(MID(metadata!C938,9,2))&lt;=31,FALSE)), OR(MID(metadata!C938,11,1)="", AND(AND(MID(metadata!C938,11,1)=" ",IFERROR(INT(MID(metadata!C938,12,1))&gt;=0,FALSE),IFERROR(INT(MID(metadata!C938,12,1))&lt;=2,FALSE),NOT(MID(metadata!C938,13,1)=""),IFERROR(INT(MID(metadata!C938,12,2))&gt;=0,FALSE),IFERROR(INT(MID(metadata!C938,12,2))&lt;=23,FALSE)), OR(MID(metadata!C938,14,1)="", AND(AND(MID(metadata!C938,14,1)=":",IFERROR(INT(MID(metadata!C938,15,1))&gt;=0,FALSE),IFERROR(INT(MID(metadata!C938,15,1))&lt;=5,FALSE),NOT(MID(metadata!C938,16,1)=""),IFERROR(INT(MID(metadata!C938,15,2))&gt;=0,FALSE),IFERROR(INT(MID(metadata!C938,15,2))&lt;=59,FALSE)), OR(MID(metadata!C938,17,1)="", AND(AND(MID(metadata!C938,17,1)=":",IFERROR(INT(MID(metadata!C938,18,1))&gt;=0,FALSE),IFERROR(INT(MID(metadata!C938,18,1))&lt;=5,FALSE),NOT(MID(metadata!C938,19,1)=""),IFERROR(INT(MID(metadata!C938,18,2))&gt;=0,FALSE),IFERROR(INT(MID(metadata!C938,18,2))&lt;=59,FALSE)), LEN(metadata!C938)&lt;=19)))))))))))))</f>
        <v>0</v>
      </c>
      <c r="AO938" t="b">
        <f>AND(IF(metadata!D938="",FALSE,TRUE),EXACT(metadata!D938,"Not applicable"))</f>
        <v>0</v>
      </c>
      <c r="AP938" t="b">
        <f>IF(metadata!E938="",FALSE,TRUE)</f>
        <v>0</v>
      </c>
      <c r="AQ938" t="b">
        <f>OR(AND(IF(metadata!F938="",FALSE,TRUE),OR(EXACT(metadata!F938,"missing: not collected"),EXACT(metadata!F938,"missing: not provided"))),AND(IF(metadata!F938="",FALSE,TRUE),OR(EXACT(metadata!F938,"TRUE"),EXACT(metadata!F938,"FALSE"))))</f>
        <v>0</v>
      </c>
      <c r="AR938" t="b">
        <f>OR(AND(IF(metadata!G938="",FALSE,TRUE),OR(EXACT(metadata!G938,"missing: not collected"),EXACT(metadata!G938,"missing: not provided"),EXACT(metadata!G938,"missing: restricted access"))),AND(IF(metadata!G938="",FALSE,ISNUMBER(VALUE(metadata!G938))),metadata!G938&gt;=-413))</f>
        <v>0</v>
      </c>
      <c r="AS938" t="b">
        <f>AND(IF(metadata!H938="",FALSE,TRUE),EXACT(metadata!H938,"meters"))</f>
        <v>0</v>
      </c>
      <c r="AT938" t="b">
        <f>AND(IF(metadata!I938="",FALSE,TRUE),OR(EXACT(metadata!I938,"Host-associated"),EXACT(metadata!I938,"Free-living")))</f>
        <v>0</v>
      </c>
      <c r="AU938" t="b">
        <f>AND(IF(metadata!J938="",FALSE,TRUE),OR(EXACT(metadata!J938,"Animal"),EXACT(metadata!J938,"Fungus"),EXACT(metadata!J938,"Plant"),EXACT(metadata!J938,"Saline"),EXACT(metadata!J938,"Non-saline")))</f>
        <v>0</v>
      </c>
      <c r="AV938" t="b">
        <f>AND(IF(metadata!K938="",FALSE,TRUE),OR(EXACT(metadata!K938,"Plant secretion"),EXACT(metadata!K938,"Plant rhizosphere"),EXACT(metadata!K938,"Plant surface"),EXACT(metadata!K938,"Plant corpus"),EXACT(metadata!K938,"Fungus surface"),EXACT(metadata!K938,"Fungus corpus"),EXACT(metadata!K938,"Animal surface"),EXACT(metadata!K938,"Animal proximal gut"),EXACT(metadata!K938,"Animal corpus"),EXACT(metadata!K938,"Animal distal gut"),EXACT(metadata!K938,"Animal secretion"),EXACT(metadata!K938,"Sub-surface (non-saline)"),EXACT(metadata!K938,"Surface (non-saline)"),EXACT(metadata!K938,"Water (non-saline)"),EXACT(metadata!K938,"Soil (non-saline)"),EXACT(metadata!K938,"Aerosol (non-saline)"),EXACT(metadata!K938,"Sediment (non-saline)"),EXACT(metadata!K938,"Surface (saline)"),EXACT(metadata!K938,"Water (saline)"),EXACT(metadata!K938,"Hypersaline (saline)"),EXACT(metadata!K938,"Aerosol (saline)"),EXACT(metadata!K938,"Sediment (saline)")))</f>
        <v>0</v>
      </c>
      <c r="AW938" t="b">
        <f>IF(metadata!L938="",FALSE,TRUE)</f>
        <v>0</v>
      </c>
      <c r="AX938" t="b">
        <f>IF(metadata!M938="",FALSE,TRUE)</f>
        <v>0</v>
      </c>
      <c r="AY938" t="b">
        <f>IF(metadata!N938="",FALSE,TRUE)</f>
        <v>0</v>
      </c>
      <c r="AZ938" t="b">
        <f>OR(AND(IF(metadata!O938="",FALSE,TRUE),OR(EXACT(metadata!O938,"missing: not collected"),EXACT(metadata!O938,"missing: not provided"),EXACT(metadata!O938,"missing: restricted access"))),AND(IF(metadata!O938="",FALSE,TRUE),OR(EXACT(metadata!O938,"air"),EXACT(metadata!O938,"built environment"),EXACT(metadata!O938,"host-associated"),EXACT(metadata!O938,"human-associated"),EXACT(metadata!O938,"human-skin"),EXACT(metadata!O938,"human-oral"),EXACT(metadata!O938,"human-gut"),EXACT(metadata!O938,"human-vaginal"),EXACT(metadata!O938,"microbial mat/biofilm"),EXACT(metadata!O938,"misc environment"),EXACT(metadata!O938,"plant-associated"),EXACT(metadata!O938,"sediment"),EXACT(metadata!O938,"soil"),EXACT(metadata!O938,"wastewater/sludge"),EXACT(metadata!O938,"water"))))</f>
        <v>0</v>
      </c>
      <c r="BA938" t="b">
        <f>IF(metadata!P938="",FALSE,TRUE)</f>
        <v>0</v>
      </c>
      <c r="BB938" t="b">
        <f>IF(metadata!Q938="",FALSE,TRUE)</f>
        <v>0</v>
      </c>
      <c r="BC938" t="b">
        <f>OR(AND(IF(metadata!R938="",FALSE,TRUE),OR(EXACT(metadata!R938,"missing: not collected"),EXACT(metadata!R938,"missing: not provided"),EXACT(metadata!R938,"missing: restricted access"))),AND(IF(metadata!R938="",FALSE,ISNUMBER(VALUE(metadata!R938))),metadata!R938&gt;=-90,metadata!R938&lt;=90))</f>
        <v>0</v>
      </c>
      <c r="BD938" t="b">
        <f>AND(IF(metadata!S938="",FALSE,TRUE),EXACT(metadata!S938,"Decimal degrees"))</f>
        <v>0</v>
      </c>
      <c r="BE938" t="b">
        <f>OR(AND(IF(metadata!T938="",FALSE,TRUE),OR(EXACT(metadata!T938,"missing: not collected"),EXACT(metadata!T938,"missing: not provided"),EXACT(metadata!T938,"missing: restricted access"))),AND(IF(metadata!T938="",FALSE,ISNUMBER(VALUE(metadata!T938))),metadata!T938&gt;=-180,metadata!T938&lt;=180))</f>
        <v>0</v>
      </c>
      <c r="BF938" t="b">
        <f>AND(IF(metadata!U938="",FALSE,TRUE),EXACT(metadata!U938,"Decimal degrees"))</f>
        <v>0</v>
      </c>
      <c r="BG938" t="b">
        <f>IF(metadata!V938="",FALSE,TRUE)</f>
        <v>0</v>
      </c>
      <c r="BH938" t="b">
        <f>OR(AND(IF(metadata!W938="",FALSE,TRUE),OR(EXACT(metadata!W938,"missing: not collected"),EXACT(metadata!W938,"missing: not provided"),EXACT(metadata!W938,"missing: restricted access"))),AND(IF(metadata!W938="",FALSE,TRUE),OR(EXACT(metadata!W938,"TRUE"),EXACT(metadata!W938,"FALSE"))))</f>
        <v>0</v>
      </c>
      <c r="BI938" t="b">
        <f>AND(IF(metadata!X938="",FALSE,TRUE),EXACT(metadata!X938,"other"))</f>
        <v>0</v>
      </c>
      <c r="BJ938" t="b">
        <f>IF(metadata!Y938="",FALSE,TRUE)</f>
        <v>0</v>
      </c>
      <c r="BK938" t="b">
        <f>OR(AND(IF(metadata!Z938="",FALSE,TRUE),OR(EXACT(metadata!Z938,"missing: not collected"),EXACT(metadata!Z938,"missing: not provided"))),AND(IF(metadata!Z938="",FALSE,IF(ISERROR(INT(metadata!Z938)),FALSE,INT(metadata!Z938)=metadata!Z938)),metadata!Z938&gt;0))</f>
        <v>0</v>
      </c>
      <c r="BL938" t="b">
        <f>AND(IF(metadata!AA938="",FALSE,TRUE),EXACT(metadata!AA938,"Not applicable"))</f>
        <v>0</v>
      </c>
      <c r="BM938" t="b">
        <f>IF(metadata!AB938="",FALSE,TRUE)</f>
        <v>0</v>
      </c>
    </row>
    <row r="939" spans="1:65" x14ac:dyDescent="0.2">
      <c r="A939" s="5" t="str">
        <f ca="1">IF(B939=" "," ",HYPERLINK(CONCATENATE("#metadata!",ADDRESS(INDEX($AH$2:$AH$1001,MATCH(ROWS($AF$2:AF939),$AF$2:$AF$1001,0),0),1)),INDEX($AK$2:$AK$1001,MATCH(ROWS($AF$2:AF939),$AF$2:$AF$1001,0),0)))</f>
        <v xml:space="preserve"> </v>
      </c>
      <c r="B939" s="4" t="str">
        <f ca="1">IF(OR(INDEX($AG$2:$AG$1001,MATCH(ROWS($AF$2:AF939),$AF$2:$AF$1001,0),1)&gt;=100000,INDEX($AM$1005:$BM$1005,1,MATCH(COLUMNS($AM$1006:AM1006),$AM$1006:$BM$1006,0))&gt;=100000), " ",IF(INDEX($AM$2:$BM$1001,MATCH(ROWS($AF$2:AF939),$AF$2:$AF$1001,0),MATCH(COLUMNS($AM$1006:AM1006),$AM$1006:$BM$1006,0)), HYPERLINK("#",""), HYPERLINK(CONCATENATE("#metadata!", ADDRESS(INDEX($AH$2:$AH$1001,MATCH(ROWS($AF$2:AF939),$AF$2:$AF$1001,0),0), INDEX($AM$1004:$BM$1004,1,MATCH(COLUMNS($AM$1006:AM1006),$AM$1006:$BM$1006,0)))),"Fix")))</f>
        <v xml:space="preserve"> </v>
      </c>
      <c r="C939" s="4" t="str">
        <f ca="1">IF(OR(INDEX($AG$2:$AG$1001,MATCH(ROWS($AF$2:AF939),$AF$2:$AF$1001,0),1)&gt;=100000,INDEX($AM$1005:$BM$1005,1,MATCH(COLUMNS($AM$1006:AN1006),$AM$1006:$BM$1006,0))&gt;=100000), " ",IF(INDEX($AM$2:$BM$1001,MATCH(ROWS($AF$2:AF939),$AF$2:$AF$1001,0),MATCH(COLUMNS($AM$1006:AN1006),$AM$1006:$BM$1006,0)), HYPERLINK("#",""), HYPERLINK(CONCATENATE("#metadata!", ADDRESS(INDEX($AH$2:$AH$1001,MATCH(ROWS($AF$2:AF939),$AF$2:$AF$1001,0),0), INDEX($AM$1004:$BM$1004,1,MATCH(COLUMNS($AM$1006:AN1006),$AM$1006:$BM$1006,0)))),"Fix")))</f>
        <v xml:space="preserve"> </v>
      </c>
      <c r="D939" s="4" t="str">
        <f ca="1">IF(OR(INDEX($AG$2:$AG$1001,MATCH(ROWS($AF$2:AF939),$AF$2:$AF$1001,0),1)&gt;=100000,INDEX($AM$1005:$BM$1005,1,MATCH(COLUMNS($AM$1006:AO1006),$AM$1006:$BM$1006,0))&gt;=100000), " ",IF(INDEX($AM$2:$BM$1001,MATCH(ROWS($AF$2:AF939),$AF$2:$AF$1001,0),MATCH(COLUMNS($AM$1006:AO1006),$AM$1006:$BM$1006,0)), HYPERLINK("#",""), HYPERLINK(CONCATENATE("#metadata!", ADDRESS(INDEX($AH$2:$AH$1001,MATCH(ROWS($AF$2:AF939),$AF$2:$AF$1001,0),0), INDEX($AM$1004:$BM$1004,1,MATCH(COLUMNS($AM$1006:AO1006),$AM$1006:$BM$1006,0)))),"Fix")))</f>
        <v xml:space="preserve"> </v>
      </c>
      <c r="E939" s="4" t="str">
        <f ca="1">IF(OR(INDEX($AG$2:$AG$1001,MATCH(ROWS($AF$2:AF939),$AF$2:$AF$1001,0),1)&gt;=100000,INDEX($AM$1005:$BM$1005,1,MATCH(COLUMNS($AM$1006:AP1006),$AM$1006:$BM$1006,0))&gt;=100000), " ",IF(INDEX($AM$2:$BM$1001,MATCH(ROWS($AF$2:AF939),$AF$2:$AF$1001,0),MATCH(COLUMNS($AM$1006:AP1006),$AM$1006:$BM$1006,0)), HYPERLINK("#",""), HYPERLINK(CONCATENATE("#metadata!", ADDRESS(INDEX($AH$2:$AH$1001,MATCH(ROWS($AF$2:AF939),$AF$2:$AF$1001,0),0), INDEX($AM$1004:$BM$1004,1,MATCH(COLUMNS($AM$1006:AP1006),$AM$1006:$BM$1006,0)))),"Fix")))</f>
        <v xml:space="preserve"> </v>
      </c>
      <c r="F939" s="4" t="str">
        <f ca="1">IF(OR(INDEX($AG$2:$AG$1001,MATCH(ROWS($AF$2:AF939),$AF$2:$AF$1001,0),1)&gt;=100000,INDEX($AM$1005:$BM$1005,1,MATCH(COLUMNS($AM$1006:AQ1006),$AM$1006:$BM$1006,0))&gt;=100000), " ",IF(INDEX($AM$2:$BM$1001,MATCH(ROWS($AF$2:AF939),$AF$2:$AF$1001,0),MATCH(COLUMNS($AM$1006:AQ1006),$AM$1006:$BM$1006,0)), HYPERLINK("#",""), HYPERLINK(CONCATENATE("#metadata!", ADDRESS(INDEX($AH$2:$AH$1001,MATCH(ROWS($AF$2:AF939),$AF$2:$AF$1001,0),0), INDEX($AM$1004:$BM$1004,1,MATCH(COLUMNS($AM$1006:AQ1006),$AM$1006:$BM$1006,0)))),"Fix")))</f>
        <v xml:space="preserve"> </v>
      </c>
      <c r="G939" s="4" t="str">
        <f ca="1">IF(OR(INDEX($AG$2:$AG$1001,MATCH(ROWS($AF$2:AF939),$AF$2:$AF$1001,0),1)&gt;=100000,INDEX($AM$1005:$BM$1005,1,MATCH(COLUMNS($AM$1006:AR1006),$AM$1006:$BM$1006,0))&gt;=100000), " ",IF(INDEX($AM$2:$BM$1001,MATCH(ROWS($AF$2:AF939),$AF$2:$AF$1001,0),MATCH(COLUMNS($AM$1006:AR1006),$AM$1006:$BM$1006,0)), HYPERLINK("#",""), HYPERLINK(CONCATENATE("#metadata!", ADDRESS(INDEX($AH$2:$AH$1001,MATCH(ROWS($AF$2:AF939),$AF$2:$AF$1001,0),0), INDEX($AM$1004:$BM$1004,1,MATCH(COLUMNS($AM$1006:AR1006),$AM$1006:$BM$1006,0)))),"Fix")))</f>
        <v xml:space="preserve"> </v>
      </c>
      <c r="H939" s="4" t="str">
        <f ca="1">IF(OR(INDEX($AG$2:$AG$1001,MATCH(ROWS($AF$2:AF939),$AF$2:$AF$1001,0),1)&gt;=100000,INDEX($AM$1005:$BM$1005,1,MATCH(COLUMNS($AM$1006:AS1006),$AM$1006:$BM$1006,0))&gt;=100000), " ",IF(INDEX($AM$2:$BM$1001,MATCH(ROWS($AF$2:AF939),$AF$2:$AF$1001,0),MATCH(COLUMNS($AM$1006:AS1006),$AM$1006:$BM$1006,0)), HYPERLINK("#",""), HYPERLINK(CONCATENATE("#metadata!", ADDRESS(INDEX($AH$2:$AH$1001,MATCH(ROWS($AF$2:AF939),$AF$2:$AF$1001,0),0), INDEX($AM$1004:$BM$1004,1,MATCH(COLUMNS($AM$1006:AS1006),$AM$1006:$BM$1006,0)))),"Fix")))</f>
        <v xml:space="preserve"> </v>
      </c>
      <c r="I939" s="4" t="str">
        <f ca="1">IF(OR(INDEX($AG$2:$AG$1001,MATCH(ROWS($AF$2:AF939),$AF$2:$AF$1001,0),1)&gt;=100000,INDEX($AM$1005:$BM$1005,1,MATCH(COLUMNS($AM$1006:AT1006),$AM$1006:$BM$1006,0))&gt;=100000), " ",IF(INDEX($AM$2:$BM$1001,MATCH(ROWS($AF$2:AF939),$AF$2:$AF$1001,0),MATCH(COLUMNS($AM$1006:AT1006),$AM$1006:$BM$1006,0)), HYPERLINK("#",""), HYPERLINK(CONCATENATE("#metadata!", ADDRESS(INDEX($AH$2:$AH$1001,MATCH(ROWS($AF$2:AF939),$AF$2:$AF$1001,0),0), INDEX($AM$1004:$BM$1004,1,MATCH(COLUMNS($AM$1006:AT1006),$AM$1006:$BM$1006,0)))),"Fix")))</f>
        <v xml:space="preserve"> </v>
      </c>
      <c r="J939" s="4" t="str">
        <f ca="1">IF(OR(INDEX($AG$2:$AG$1001,MATCH(ROWS($AF$2:AF939),$AF$2:$AF$1001,0),1)&gt;=100000,INDEX($AM$1005:$BM$1005,1,MATCH(COLUMNS($AM$1006:AU1006),$AM$1006:$BM$1006,0))&gt;=100000), " ",IF(INDEX($AM$2:$BM$1001,MATCH(ROWS($AF$2:AF939),$AF$2:$AF$1001,0),MATCH(COLUMNS($AM$1006:AU1006),$AM$1006:$BM$1006,0)), HYPERLINK("#",""), HYPERLINK(CONCATENATE("#metadata!", ADDRESS(INDEX($AH$2:$AH$1001,MATCH(ROWS($AF$2:AF939),$AF$2:$AF$1001,0),0), INDEX($AM$1004:$BM$1004,1,MATCH(COLUMNS($AM$1006:AU1006),$AM$1006:$BM$1006,0)))),"Fix")))</f>
        <v xml:space="preserve"> </v>
      </c>
      <c r="K939" s="4" t="str">
        <f ca="1">IF(OR(INDEX($AG$2:$AG$1001,MATCH(ROWS($AF$2:AF939),$AF$2:$AF$1001,0),1)&gt;=100000,INDEX($AM$1005:$BM$1005,1,MATCH(COLUMNS($AM$1006:AV1006),$AM$1006:$BM$1006,0))&gt;=100000), " ",IF(INDEX($AM$2:$BM$1001,MATCH(ROWS($AF$2:AF939),$AF$2:$AF$1001,0),MATCH(COLUMNS($AM$1006:AV1006),$AM$1006:$BM$1006,0)), HYPERLINK("#",""), HYPERLINK(CONCATENATE("#metadata!", ADDRESS(INDEX($AH$2:$AH$1001,MATCH(ROWS($AF$2:AF939),$AF$2:$AF$1001,0),0), INDEX($AM$1004:$BM$1004,1,MATCH(COLUMNS($AM$1006:AV1006),$AM$1006:$BM$1006,0)))),"Fix")))</f>
        <v xml:space="preserve"> </v>
      </c>
      <c r="L939" s="4" t="str">
        <f ca="1">IF(OR(INDEX($AG$2:$AG$1001,MATCH(ROWS($AF$2:AF939),$AF$2:$AF$1001,0),1)&gt;=100000,INDEX($AM$1005:$BM$1005,1,MATCH(COLUMNS($AM$1006:AW1006),$AM$1006:$BM$1006,0))&gt;=100000), " ",IF(INDEX($AM$2:$BM$1001,MATCH(ROWS($AF$2:AF939),$AF$2:$AF$1001,0),MATCH(COLUMNS($AM$1006:AW1006),$AM$1006:$BM$1006,0)), HYPERLINK("#",""), HYPERLINK(CONCATENATE("#metadata!", ADDRESS(INDEX($AH$2:$AH$1001,MATCH(ROWS($AF$2:AF939),$AF$2:$AF$1001,0),0), INDEX($AM$1004:$BM$1004,1,MATCH(COLUMNS($AM$1006:AW1006),$AM$1006:$BM$1006,0)))),"Fix")))</f>
        <v xml:space="preserve"> </v>
      </c>
      <c r="M939" s="4" t="str">
        <f ca="1">IF(OR(INDEX($AG$2:$AG$1001,MATCH(ROWS($AF$2:AF939),$AF$2:$AF$1001,0),1)&gt;=100000,INDEX($AM$1005:$BM$1005,1,MATCH(COLUMNS($AM$1006:AX1006),$AM$1006:$BM$1006,0))&gt;=100000), " ",IF(INDEX($AM$2:$BM$1001,MATCH(ROWS($AF$2:AF939),$AF$2:$AF$1001,0),MATCH(COLUMNS($AM$1006:AX1006),$AM$1006:$BM$1006,0)), HYPERLINK("#",""), HYPERLINK(CONCATENATE("#metadata!", ADDRESS(INDEX($AH$2:$AH$1001,MATCH(ROWS($AF$2:AF939),$AF$2:$AF$1001,0),0), INDEX($AM$1004:$BM$1004,1,MATCH(COLUMNS($AM$1006:AX1006),$AM$1006:$BM$1006,0)))),"Fix")))</f>
        <v xml:space="preserve"> </v>
      </c>
      <c r="N939" s="4" t="str">
        <f ca="1">IF(OR(INDEX($AG$2:$AG$1001,MATCH(ROWS($AF$2:AF939),$AF$2:$AF$1001,0),1)&gt;=100000,INDEX($AM$1005:$BM$1005,1,MATCH(COLUMNS($AM$1006:AY1006),$AM$1006:$BM$1006,0))&gt;=100000), " ",IF(INDEX($AM$2:$BM$1001,MATCH(ROWS($AF$2:AF939),$AF$2:$AF$1001,0),MATCH(COLUMNS($AM$1006:AY1006),$AM$1006:$BM$1006,0)), HYPERLINK("#",""), HYPERLINK(CONCATENATE("#metadata!", ADDRESS(INDEX($AH$2:$AH$1001,MATCH(ROWS($AF$2:AF939),$AF$2:$AF$1001,0),0), INDEX($AM$1004:$BM$1004,1,MATCH(COLUMNS($AM$1006:AY1006),$AM$1006:$BM$1006,0)))),"Fix")))</f>
        <v xml:space="preserve"> </v>
      </c>
      <c r="O939" s="4" t="str">
        <f ca="1">IF(OR(INDEX($AG$2:$AG$1001,MATCH(ROWS($AF$2:AF939),$AF$2:$AF$1001,0),1)&gt;=100000,INDEX($AM$1005:$BM$1005,1,MATCH(COLUMNS($AM$1006:AZ1006),$AM$1006:$BM$1006,0))&gt;=100000), " ",IF(INDEX($AM$2:$BM$1001,MATCH(ROWS($AF$2:AF939),$AF$2:$AF$1001,0),MATCH(COLUMNS($AM$1006:AZ1006),$AM$1006:$BM$1006,0)), HYPERLINK("#",""), HYPERLINK(CONCATENATE("#metadata!", ADDRESS(INDEX($AH$2:$AH$1001,MATCH(ROWS($AF$2:AF939),$AF$2:$AF$1001,0),0), INDEX($AM$1004:$BM$1004,1,MATCH(COLUMNS($AM$1006:AZ1006),$AM$1006:$BM$1006,0)))),"Fix")))</f>
        <v xml:space="preserve"> </v>
      </c>
      <c r="P939" s="4" t="str">
        <f ca="1">IF(OR(INDEX($AG$2:$AG$1001,MATCH(ROWS($AF$2:AF939),$AF$2:$AF$1001,0),1)&gt;=100000,INDEX($AM$1005:$BM$1005,1,MATCH(COLUMNS($AM$1006:BA1006),$AM$1006:$BM$1006,0))&gt;=100000), " ",IF(INDEX($AM$2:$BM$1001,MATCH(ROWS($AF$2:AF939),$AF$2:$AF$1001,0),MATCH(COLUMNS($AM$1006:BA1006),$AM$1006:$BM$1006,0)), HYPERLINK("#",""), HYPERLINK(CONCATENATE("#metadata!", ADDRESS(INDEX($AH$2:$AH$1001,MATCH(ROWS($AF$2:AF939),$AF$2:$AF$1001,0),0), INDEX($AM$1004:$BM$1004,1,MATCH(COLUMNS($AM$1006:BA1006),$AM$1006:$BM$1006,0)))),"Fix")))</f>
        <v xml:space="preserve"> </v>
      </c>
      <c r="Q939" s="4" t="str">
        <f ca="1">IF(OR(INDEX($AG$2:$AG$1001,MATCH(ROWS($AF$2:AF939),$AF$2:$AF$1001,0),1)&gt;=100000,INDEX($AM$1005:$BM$1005,1,MATCH(COLUMNS($AM$1006:BB1006),$AM$1006:$BM$1006,0))&gt;=100000), " ",IF(INDEX($AM$2:$BM$1001,MATCH(ROWS($AF$2:AF939),$AF$2:$AF$1001,0),MATCH(COLUMNS($AM$1006:BB1006),$AM$1006:$BM$1006,0)), HYPERLINK("#",""), HYPERLINK(CONCATENATE("#metadata!", ADDRESS(INDEX($AH$2:$AH$1001,MATCH(ROWS($AF$2:AF939),$AF$2:$AF$1001,0),0), INDEX($AM$1004:$BM$1004,1,MATCH(COLUMNS($AM$1006:BB1006),$AM$1006:$BM$1006,0)))),"Fix")))</f>
        <v xml:space="preserve"> </v>
      </c>
      <c r="R939" s="4" t="str">
        <f ca="1">IF(OR(INDEX($AG$2:$AG$1001,MATCH(ROWS($AF$2:AF939),$AF$2:$AF$1001,0),1)&gt;=100000,INDEX($AM$1005:$BM$1005,1,MATCH(COLUMNS($AM$1006:BC1006),$AM$1006:$BM$1006,0))&gt;=100000), " ",IF(INDEX($AM$2:$BM$1001,MATCH(ROWS($AF$2:AF939),$AF$2:$AF$1001,0),MATCH(COLUMNS($AM$1006:BC1006),$AM$1006:$BM$1006,0)), HYPERLINK("#",""), HYPERLINK(CONCATENATE("#metadata!", ADDRESS(INDEX($AH$2:$AH$1001,MATCH(ROWS($AF$2:AF939),$AF$2:$AF$1001,0),0), INDEX($AM$1004:$BM$1004,1,MATCH(COLUMNS($AM$1006:BC1006),$AM$1006:$BM$1006,0)))),"Fix")))</f>
        <v xml:space="preserve"> </v>
      </c>
      <c r="S939" s="4" t="str">
        <f ca="1">IF(OR(INDEX($AG$2:$AG$1001,MATCH(ROWS($AF$2:AF939),$AF$2:$AF$1001,0),1)&gt;=100000,INDEX($AM$1005:$BM$1005,1,MATCH(COLUMNS($AM$1006:BD1006),$AM$1006:$BM$1006,0))&gt;=100000), " ",IF(INDEX($AM$2:$BM$1001,MATCH(ROWS($AF$2:AF939),$AF$2:$AF$1001,0),MATCH(COLUMNS($AM$1006:BD1006),$AM$1006:$BM$1006,0)), HYPERLINK("#",""), HYPERLINK(CONCATENATE("#metadata!", ADDRESS(INDEX($AH$2:$AH$1001,MATCH(ROWS($AF$2:AF939),$AF$2:$AF$1001,0),0), INDEX($AM$1004:$BM$1004,1,MATCH(COLUMNS($AM$1006:BD1006),$AM$1006:$BM$1006,0)))),"Fix")))</f>
        <v xml:space="preserve"> </v>
      </c>
      <c r="T939" s="4" t="str">
        <f ca="1">IF(OR(INDEX($AG$2:$AG$1001,MATCH(ROWS($AF$2:AF939),$AF$2:$AF$1001,0),1)&gt;=100000,INDEX($AM$1005:$BM$1005,1,MATCH(COLUMNS($AM$1006:BE1006),$AM$1006:$BM$1006,0))&gt;=100000), " ",IF(INDEX($AM$2:$BM$1001,MATCH(ROWS($AF$2:AF939),$AF$2:$AF$1001,0),MATCH(COLUMNS($AM$1006:BE1006),$AM$1006:$BM$1006,0)), HYPERLINK("#",""), HYPERLINK(CONCATENATE("#metadata!", ADDRESS(INDEX($AH$2:$AH$1001,MATCH(ROWS($AF$2:AF939),$AF$2:$AF$1001,0),0), INDEX($AM$1004:$BM$1004,1,MATCH(COLUMNS($AM$1006:BE1006),$AM$1006:$BM$1006,0)))),"Fix")))</f>
        <v xml:space="preserve"> </v>
      </c>
      <c r="U939" s="4" t="str">
        <f ca="1">IF(OR(INDEX($AG$2:$AG$1001,MATCH(ROWS($AF$2:AF939),$AF$2:$AF$1001,0),1)&gt;=100000,INDEX($AM$1005:$BM$1005,1,MATCH(COLUMNS($AM$1006:BF1006),$AM$1006:$BM$1006,0))&gt;=100000), " ",IF(INDEX($AM$2:$BM$1001,MATCH(ROWS($AF$2:AF939),$AF$2:$AF$1001,0),MATCH(COLUMNS($AM$1006:BF1006),$AM$1006:$BM$1006,0)), HYPERLINK("#",""), HYPERLINK(CONCATENATE("#metadata!", ADDRESS(INDEX($AH$2:$AH$1001,MATCH(ROWS($AF$2:AF939),$AF$2:$AF$1001,0),0), INDEX($AM$1004:$BM$1004,1,MATCH(COLUMNS($AM$1006:BF1006),$AM$1006:$BM$1006,0)))),"Fix")))</f>
        <v xml:space="preserve"> </v>
      </c>
      <c r="V939" s="4" t="str">
        <f ca="1">IF(OR(INDEX($AG$2:$AG$1001,MATCH(ROWS($AF$2:AF939),$AF$2:$AF$1001,0),1)&gt;=100000,INDEX($AM$1005:$BM$1005,1,MATCH(COLUMNS($AM$1006:BG1006),$AM$1006:$BM$1006,0))&gt;=100000), " ",IF(INDEX($AM$2:$BM$1001,MATCH(ROWS($AF$2:AF939),$AF$2:$AF$1001,0),MATCH(COLUMNS($AM$1006:BG1006),$AM$1006:$BM$1006,0)), HYPERLINK("#",""), HYPERLINK(CONCATENATE("#metadata!", ADDRESS(INDEX($AH$2:$AH$1001,MATCH(ROWS($AF$2:AF939),$AF$2:$AF$1001,0),0), INDEX($AM$1004:$BM$1004,1,MATCH(COLUMNS($AM$1006:BG1006),$AM$1006:$BM$1006,0)))),"Fix")))</f>
        <v xml:space="preserve"> </v>
      </c>
      <c r="W939" s="4" t="str">
        <f ca="1">IF(OR(INDEX($AG$2:$AG$1001,MATCH(ROWS($AF$2:AF939),$AF$2:$AF$1001,0),1)&gt;=100000,INDEX($AM$1005:$BM$1005,1,MATCH(COLUMNS($AM$1006:BH1006),$AM$1006:$BM$1006,0))&gt;=100000), " ",IF(INDEX($AM$2:$BM$1001,MATCH(ROWS($AF$2:AF939),$AF$2:$AF$1001,0),MATCH(COLUMNS($AM$1006:BH1006),$AM$1006:$BM$1006,0)), HYPERLINK("#",""), HYPERLINK(CONCATENATE("#metadata!", ADDRESS(INDEX($AH$2:$AH$1001,MATCH(ROWS($AF$2:AF939),$AF$2:$AF$1001,0),0), INDEX($AM$1004:$BM$1004,1,MATCH(COLUMNS($AM$1006:BH1006),$AM$1006:$BM$1006,0)))),"Fix")))</f>
        <v xml:space="preserve"> </v>
      </c>
      <c r="X939" s="4" t="str">
        <f ca="1">IF(OR(INDEX($AG$2:$AG$1001,MATCH(ROWS($AF$2:AF939),$AF$2:$AF$1001,0),1)&gt;=100000,INDEX($AM$1005:$BM$1005,1,MATCH(COLUMNS($AM$1006:BI1006),$AM$1006:$BM$1006,0))&gt;=100000), " ",IF(INDEX($AM$2:$BM$1001,MATCH(ROWS($AF$2:AF939),$AF$2:$AF$1001,0),MATCH(COLUMNS($AM$1006:BI1006),$AM$1006:$BM$1006,0)), HYPERLINK("#",""), HYPERLINK(CONCATENATE("#metadata!", ADDRESS(INDEX($AH$2:$AH$1001,MATCH(ROWS($AF$2:AF939),$AF$2:$AF$1001,0),0), INDEX($AM$1004:$BM$1004,1,MATCH(COLUMNS($AM$1006:BI1006),$AM$1006:$BM$1006,0)))),"Fix")))</f>
        <v xml:space="preserve"> </v>
      </c>
      <c r="Y939" s="4" t="str">
        <f ca="1">IF(OR(INDEX($AG$2:$AG$1001,MATCH(ROWS($AF$2:AF939),$AF$2:$AF$1001,0),1)&gt;=100000,INDEX($AM$1005:$BM$1005,1,MATCH(COLUMNS($AM$1006:BJ1006),$AM$1006:$BM$1006,0))&gt;=100000), " ",IF(INDEX($AM$2:$BM$1001,MATCH(ROWS($AF$2:AF939),$AF$2:$AF$1001,0),MATCH(COLUMNS($AM$1006:BJ1006),$AM$1006:$BM$1006,0)), HYPERLINK("#",""), HYPERLINK(CONCATENATE("#metadata!", ADDRESS(INDEX($AH$2:$AH$1001,MATCH(ROWS($AF$2:AF939),$AF$2:$AF$1001,0),0), INDEX($AM$1004:$BM$1004,1,MATCH(COLUMNS($AM$1006:BJ1006),$AM$1006:$BM$1006,0)))),"Fix")))</f>
        <v xml:space="preserve"> </v>
      </c>
      <c r="Z939" s="4" t="str">
        <f ca="1">IF(OR(INDEX($AG$2:$AG$1001,MATCH(ROWS($AF$2:AF939),$AF$2:$AF$1001,0),1)&gt;=100000,INDEX($AM$1005:$BM$1005,1,MATCH(COLUMNS($AM$1006:BK1006),$AM$1006:$BM$1006,0))&gt;=100000), " ",IF(INDEX($AM$2:$BM$1001,MATCH(ROWS($AF$2:AF939),$AF$2:$AF$1001,0),MATCH(COLUMNS($AM$1006:BK1006),$AM$1006:$BM$1006,0)), HYPERLINK("#",""), HYPERLINK(CONCATENATE("#metadata!", ADDRESS(INDEX($AH$2:$AH$1001,MATCH(ROWS($AF$2:AF939),$AF$2:$AF$1001,0),0), INDEX($AM$1004:$BM$1004,1,MATCH(COLUMNS($AM$1006:BK1006),$AM$1006:$BM$1006,0)))),"Fix")))</f>
        <v xml:space="preserve"> </v>
      </c>
      <c r="AA939" s="4" t="str">
        <f ca="1">IF(OR(INDEX($AG$2:$AG$1001,MATCH(ROWS($AF$2:AF939),$AF$2:$AF$1001,0),1)&gt;=100000,INDEX($AM$1005:$BM$1005,1,MATCH(COLUMNS($AM$1006:BL1006),$AM$1006:$BM$1006,0))&gt;=100000), " ",IF(INDEX($AM$2:$BM$1001,MATCH(ROWS($AF$2:AF939),$AF$2:$AF$1001,0),MATCH(COLUMNS($AM$1006:BL1006),$AM$1006:$BM$1006,0)), HYPERLINK("#",""), HYPERLINK(CONCATENATE("#metadata!", ADDRESS(INDEX($AH$2:$AH$1001,MATCH(ROWS($AF$2:AF939),$AF$2:$AF$1001,0),0), INDEX($AM$1004:$BM$1004,1,MATCH(COLUMNS($AM$1006:BL1006),$AM$1006:$BM$1006,0)))),"Fix")))</f>
        <v xml:space="preserve"> </v>
      </c>
      <c r="AB939" s="4" t="str">
        <f ca="1">IF(OR(INDEX($AG$2:$AG$1001,MATCH(ROWS($AF$2:AF939),$AF$2:$AF$1001,0),1)&gt;=100000,INDEX($AM$1005:$BM$1005,1,MATCH(COLUMNS($AM$1006:BM1006),$AM$1006:$BM$1006,0))&gt;=100000), " ",IF(INDEX($AM$2:$BM$1001,MATCH(ROWS($AF$2:AF939),$AF$2:$AF$1001,0),MATCH(COLUMNS($AM$1006:BM1006),$AM$1006:$BM$1006,0)), HYPERLINK("#",""), HYPERLINK(CONCATENATE("#metadata!", ADDRESS(INDEX($AH$2:$AH$1001,MATCH(ROWS($AF$2:AF939),$AF$2:$AF$1001,0),0), INDEX($AM$1004:$BM$1004,1,MATCH(COLUMNS($AM$1006:BM1006),$AM$1006:$BM$1006,0)))),"Fix")))</f>
        <v xml:space="preserve"> </v>
      </c>
      <c r="AF939">
        <v>938</v>
      </c>
      <c r="AG939">
        <v>100939</v>
      </c>
      <c r="AH939">
        <v>939</v>
      </c>
      <c r="AI939" t="b">
        <f t="shared" si="14"/>
        <v>1</v>
      </c>
      <c r="AJ939" t="b">
        <f>COUNTBLANK(metadata!B939:AB939)=COLUMNS(metadata!B939:AB939)</f>
        <v>1</v>
      </c>
      <c r="AK939" t="str">
        <v/>
      </c>
      <c r="AM939" t="b">
        <f ca="1">AND(IF(metadata!B939="",FALSE,TRUE),COUNTIF(metadata!B:B, metadata!B939) = 1,NOT(ISERROR(SUMPRODUCT(SEARCH(MID(metadata!B939,ROW(INDIRECT("1:"&amp;LEN(metadata!B939))), 1),"0123456789abcdefghijklmnopqrstuvwxyzABCDEFGHIJKLMNOPQRSTUVWXYZ.")))))</f>
        <v>0</v>
      </c>
      <c r="AN939" t="b">
        <f ca="1">OR(AND(IF(metadata!C939="",FALSE,TRUE),OR(EXACT(metadata!C939,"missing: not collected"),EXACT(metadata!C939,"missing: not provided"),EXACT(metadata!C939,"missing: restricted access"))),AND(IF(metadata!C939="",FALSE,TRUE),AND(AND(IFERROR(INT(LEFT(metadata!C939,4))&gt;1900,FALSE),IFERROR(INT(LEFT(metadata!C939,4))&lt;=YEAR(NOW()),FALSE)), OR(MID(metadata!C939,5,1)="", AND(AND(MID(metadata!C939,5,1)="-",IFERROR(INT(MID(metadata!C939,6,1))&gt;=0,FALSE),IFERROR(INT(MID(metadata!C939,6,1))&lt;=1,FALSE),NOT(MID(metadata!C939,7,1)=""),IFERROR(INT(MID(metadata!C939,6,2))&gt;=1,FALSE),IFERROR(INT(MID(metadata!C939,6,2))&lt;=12,FALSE)), OR(MID(metadata!C939,8,1)="", AND(AND(MID(metadata!C939,8,1)="-",IFERROR(INT(MID(metadata!C939,9,1))&gt;=0,FALSE),IFERROR(INT(MID(metadata!C939,9,1))&lt;=3,FALSE),NOT(MID(metadata!C939,10,1)=""),IFERROR(INT(MID(metadata!C939,9,2))&gt;=1,FALSE),IFERROR(INT(MID(metadata!C939,9,2))&lt;=31,FALSE)), OR(MID(metadata!C939,11,1)="", AND(AND(MID(metadata!C939,11,1)=" ",IFERROR(INT(MID(metadata!C939,12,1))&gt;=0,FALSE),IFERROR(INT(MID(metadata!C939,12,1))&lt;=2,FALSE),NOT(MID(metadata!C939,13,1)=""),IFERROR(INT(MID(metadata!C939,12,2))&gt;=0,FALSE),IFERROR(INT(MID(metadata!C939,12,2))&lt;=23,FALSE)), OR(MID(metadata!C939,14,1)="", AND(AND(MID(metadata!C939,14,1)=":",IFERROR(INT(MID(metadata!C939,15,1))&gt;=0,FALSE),IFERROR(INT(MID(metadata!C939,15,1))&lt;=5,FALSE),NOT(MID(metadata!C939,16,1)=""),IFERROR(INT(MID(metadata!C939,15,2))&gt;=0,FALSE),IFERROR(INT(MID(metadata!C939,15,2))&lt;=59,FALSE)), OR(MID(metadata!C939,17,1)="", AND(AND(MID(metadata!C939,17,1)=":",IFERROR(INT(MID(metadata!C939,18,1))&gt;=0,FALSE),IFERROR(INT(MID(metadata!C939,18,1))&lt;=5,FALSE),NOT(MID(metadata!C939,19,1)=""),IFERROR(INT(MID(metadata!C939,18,2))&gt;=0,FALSE),IFERROR(INT(MID(metadata!C939,18,2))&lt;=59,FALSE)), LEN(metadata!C939)&lt;=19)))))))))))))</f>
        <v>0</v>
      </c>
      <c r="AO939" t="b">
        <f>AND(IF(metadata!D939="",FALSE,TRUE),EXACT(metadata!D939,"Not applicable"))</f>
        <v>0</v>
      </c>
      <c r="AP939" t="b">
        <f>IF(metadata!E939="",FALSE,TRUE)</f>
        <v>0</v>
      </c>
      <c r="AQ939" t="b">
        <f>OR(AND(IF(metadata!F939="",FALSE,TRUE),OR(EXACT(metadata!F939,"missing: not collected"),EXACT(metadata!F939,"missing: not provided"))),AND(IF(metadata!F939="",FALSE,TRUE),OR(EXACT(metadata!F939,"TRUE"),EXACT(metadata!F939,"FALSE"))))</f>
        <v>0</v>
      </c>
      <c r="AR939" t="b">
        <f>OR(AND(IF(metadata!G939="",FALSE,TRUE),OR(EXACT(metadata!G939,"missing: not collected"),EXACT(metadata!G939,"missing: not provided"),EXACT(metadata!G939,"missing: restricted access"))),AND(IF(metadata!G939="",FALSE,ISNUMBER(VALUE(metadata!G939))),metadata!G939&gt;=-413))</f>
        <v>0</v>
      </c>
      <c r="AS939" t="b">
        <f>AND(IF(metadata!H939="",FALSE,TRUE),EXACT(metadata!H939,"meters"))</f>
        <v>0</v>
      </c>
      <c r="AT939" t="b">
        <f>AND(IF(metadata!I939="",FALSE,TRUE),OR(EXACT(metadata!I939,"Host-associated"),EXACT(metadata!I939,"Free-living")))</f>
        <v>0</v>
      </c>
      <c r="AU939" t="b">
        <f>AND(IF(metadata!J939="",FALSE,TRUE),OR(EXACT(metadata!J939,"Animal"),EXACT(metadata!J939,"Fungus"),EXACT(metadata!J939,"Plant"),EXACT(metadata!J939,"Saline"),EXACT(metadata!J939,"Non-saline")))</f>
        <v>0</v>
      </c>
      <c r="AV939" t="b">
        <f>AND(IF(metadata!K939="",FALSE,TRUE),OR(EXACT(metadata!K939,"Plant secretion"),EXACT(metadata!K939,"Plant rhizosphere"),EXACT(metadata!K939,"Plant surface"),EXACT(metadata!K939,"Plant corpus"),EXACT(metadata!K939,"Fungus surface"),EXACT(metadata!K939,"Fungus corpus"),EXACT(metadata!K939,"Animal surface"),EXACT(metadata!K939,"Animal proximal gut"),EXACT(metadata!K939,"Animal corpus"),EXACT(metadata!K939,"Animal distal gut"),EXACT(metadata!K939,"Animal secretion"),EXACT(metadata!K939,"Sub-surface (non-saline)"),EXACT(metadata!K939,"Surface (non-saline)"),EXACT(metadata!K939,"Water (non-saline)"),EXACT(metadata!K939,"Soil (non-saline)"),EXACT(metadata!K939,"Aerosol (non-saline)"),EXACT(metadata!K939,"Sediment (non-saline)"),EXACT(metadata!K939,"Surface (saline)"),EXACT(metadata!K939,"Water (saline)"),EXACT(metadata!K939,"Hypersaline (saline)"),EXACT(metadata!K939,"Aerosol (saline)"),EXACT(metadata!K939,"Sediment (saline)")))</f>
        <v>0</v>
      </c>
      <c r="AW939" t="b">
        <f>IF(metadata!L939="",FALSE,TRUE)</f>
        <v>0</v>
      </c>
      <c r="AX939" t="b">
        <f>IF(metadata!M939="",FALSE,TRUE)</f>
        <v>0</v>
      </c>
      <c r="AY939" t="b">
        <f>IF(metadata!N939="",FALSE,TRUE)</f>
        <v>0</v>
      </c>
      <c r="AZ939" t="b">
        <f>OR(AND(IF(metadata!O939="",FALSE,TRUE),OR(EXACT(metadata!O939,"missing: not collected"),EXACT(metadata!O939,"missing: not provided"),EXACT(metadata!O939,"missing: restricted access"))),AND(IF(metadata!O939="",FALSE,TRUE),OR(EXACT(metadata!O939,"air"),EXACT(metadata!O939,"built environment"),EXACT(metadata!O939,"host-associated"),EXACT(metadata!O939,"human-associated"),EXACT(metadata!O939,"human-skin"),EXACT(metadata!O939,"human-oral"),EXACT(metadata!O939,"human-gut"),EXACT(metadata!O939,"human-vaginal"),EXACT(metadata!O939,"microbial mat/biofilm"),EXACT(metadata!O939,"misc environment"),EXACT(metadata!O939,"plant-associated"),EXACT(metadata!O939,"sediment"),EXACT(metadata!O939,"soil"),EXACT(metadata!O939,"wastewater/sludge"),EXACT(metadata!O939,"water"))))</f>
        <v>0</v>
      </c>
      <c r="BA939" t="b">
        <f>IF(metadata!P939="",FALSE,TRUE)</f>
        <v>0</v>
      </c>
      <c r="BB939" t="b">
        <f>IF(metadata!Q939="",FALSE,TRUE)</f>
        <v>0</v>
      </c>
      <c r="BC939" t="b">
        <f>OR(AND(IF(metadata!R939="",FALSE,TRUE),OR(EXACT(metadata!R939,"missing: not collected"),EXACT(metadata!R939,"missing: not provided"),EXACT(metadata!R939,"missing: restricted access"))),AND(IF(metadata!R939="",FALSE,ISNUMBER(VALUE(metadata!R939))),metadata!R939&gt;=-90,metadata!R939&lt;=90))</f>
        <v>0</v>
      </c>
      <c r="BD939" t="b">
        <f>AND(IF(metadata!S939="",FALSE,TRUE),EXACT(metadata!S939,"Decimal degrees"))</f>
        <v>0</v>
      </c>
      <c r="BE939" t="b">
        <f>OR(AND(IF(metadata!T939="",FALSE,TRUE),OR(EXACT(metadata!T939,"missing: not collected"),EXACT(metadata!T939,"missing: not provided"),EXACT(metadata!T939,"missing: restricted access"))),AND(IF(metadata!T939="",FALSE,ISNUMBER(VALUE(metadata!T939))),metadata!T939&gt;=-180,metadata!T939&lt;=180))</f>
        <v>0</v>
      </c>
      <c r="BF939" t="b">
        <f>AND(IF(metadata!U939="",FALSE,TRUE),EXACT(metadata!U939,"Decimal degrees"))</f>
        <v>0</v>
      </c>
      <c r="BG939" t="b">
        <f>IF(metadata!V939="",FALSE,TRUE)</f>
        <v>0</v>
      </c>
      <c r="BH939" t="b">
        <f>OR(AND(IF(metadata!W939="",FALSE,TRUE),OR(EXACT(metadata!W939,"missing: not collected"),EXACT(metadata!W939,"missing: not provided"),EXACT(metadata!W939,"missing: restricted access"))),AND(IF(metadata!W939="",FALSE,TRUE),OR(EXACT(metadata!W939,"TRUE"),EXACT(metadata!W939,"FALSE"))))</f>
        <v>0</v>
      </c>
      <c r="BI939" t="b">
        <f>AND(IF(metadata!X939="",FALSE,TRUE),EXACT(metadata!X939,"other"))</f>
        <v>0</v>
      </c>
      <c r="BJ939" t="b">
        <f>IF(metadata!Y939="",FALSE,TRUE)</f>
        <v>0</v>
      </c>
      <c r="BK939" t="b">
        <f>OR(AND(IF(metadata!Z939="",FALSE,TRUE),OR(EXACT(metadata!Z939,"missing: not collected"),EXACT(metadata!Z939,"missing: not provided"))),AND(IF(metadata!Z939="",FALSE,IF(ISERROR(INT(metadata!Z939)),FALSE,INT(metadata!Z939)=metadata!Z939)),metadata!Z939&gt;0))</f>
        <v>0</v>
      </c>
      <c r="BL939" t="b">
        <f>AND(IF(metadata!AA939="",FALSE,TRUE),EXACT(metadata!AA939,"Not applicable"))</f>
        <v>0</v>
      </c>
      <c r="BM939" t="b">
        <f>IF(metadata!AB939="",FALSE,TRUE)</f>
        <v>0</v>
      </c>
    </row>
    <row r="940" spans="1:65" x14ac:dyDescent="0.2">
      <c r="A940" s="5" t="str">
        <f ca="1">IF(B940=" "," ",HYPERLINK(CONCATENATE("#metadata!",ADDRESS(INDEX($AH$2:$AH$1001,MATCH(ROWS($AF$2:AF940),$AF$2:$AF$1001,0),0),1)),INDEX($AK$2:$AK$1001,MATCH(ROWS($AF$2:AF940),$AF$2:$AF$1001,0),0)))</f>
        <v xml:space="preserve"> </v>
      </c>
      <c r="B940" s="4" t="str">
        <f ca="1">IF(OR(INDEX($AG$2:$AG$1001,MATCH(ROWS($AF$2:AF940),$AF$2:$AF$1001,0),1)&gt;=100000,INDEX($AM$1005:$BM$1005,1,MATCH(COLUMNS($AM$1006:AM1006),$AM$1006:$BM$1006,0))&gt;=100000), " ",IF(INDEX($AM$2:$BM$1001,MATCH(ROWS($AF$2:AF940),$AF$2:$AF$1001,0),MATCH(COLUMNS($AM$1006:AM1006),$AM$1006:$BM$1006,0)), HYPERLINK("#",""), HYPERLINK(CONCATENATE("#metadata!", ADDRESS(INDEX($AH$2:$AH$1001,MATCH(ROWS($AF$2:AF940),$AF$2:$AF$1001,0),0), INDEX($AM$1004:$BM$1004,1,MATCH(COLUMNS($AM$1006:AM1006),$AM$1006:$BM$1006,0)))),"Fix")))</f>
        <v xml:space="preserve"> </v>
      </c>
      <c r="C940" s="4" t="str">
        <f ca="1">IF(OR(INDEX($AG$2:$AG$1001,MATCH(ROWS($AF$2:AF940),$AF$2:$AF$1001,0),1)&gt;=100000,INDEX($AM$1005:$BM$1005,1,MATCH(COLUMNS($AM$1006:AN1006),$AM$1006:$BM$1006,0))&gt;=100000), " ",IF(INDEX($AM$2:$BM$1001,MATCH(ROWS($AF$2:AF940),$AF$2:$AF$1001,0),MATCH(COLUMNS($AM$1006:AN1006),$AM$1006:$BM$1006,0)), HYPERLINK("#",""), HYPERLINK(CONCATENATE("#metadata!", ADDRESS(INDEX($AH$2:$AH$1001,MATCH(ROWS($AF$2:AF940),$AF$2:$AF$1001,0),0), INDEX($AM$1004:$BM$1004,1,MATCH(COLUMNS($AM$1006:AN1006),$AM$1006:$BM$1006,0)))),"Fix")))</f>
        <v xml:space="preserve"> </v>
      </c>
      <c r="D940" s="4" t="str">
        <f ca="1">IF(OR(INDEX($AG$2:$AG$1001,MATCH(ROWS($AF$2:AF940),$AF$2:$AF$1001,0),1)&gt;=100000,INDEX($AM$1005:$BM$1005,1,MATCH(COLUMNS($AM$1006:AO1006),$AM$1006:$BM$1006,0))&gt;=100000), " ",IF(INDEX($AM$2:$BM$1001,MATCH(ROWS($AF$2:AF940),$AF$2:$AF$1001,0),MATCH(COLUMNS($AM$1006:AO1006),$AM$1006:$BM$1006,0)), HYPERLINK("#",""), HYPERLINK(CONCATENATE("#metadata!", ADDRESS(INDEX($AH$2:$AH$1001,MATCH(ROWS($AF$2:AF940),$AF$2:$AF$1001,0),0), INDEX($AM$1004:$BM$1004,1,MATCH(COLUMNS($AM$1006:AO1006),$AM$1006:$BM$1006,0)))),"Fix")))</f>
        <v xml:space="preserve"> </v>
      </c>
      <c r="E940" s="4" t="str">
        <f ca="1">IF(OR(INDEX($AG$2:$AG$1001,MATCH(ROWS($AF$2:AF940),$AF$2:$AF$1001,0),1)&gt;=100000,INDEX($AM$1005:$BM$1005,1,MATCH(COLUMNS($AM$1006:AP1006),$AM$1006:$BM$1006,0))&gt;=100000), " ",IF(INDEX($AM$2:$BM$1001,MATCH(ROWS($AF$2:AF940),$AF$2:$AF$1001,0),MATCH(COLUMNS($AM$1006:AP1006),$AM$1006:$BM$1006,0)), HYPERLINK("#",""), HYPERLINK(CONCATENATE("#metadata!", ADDRESS(INDEX($AH$2:$AH$1001,MATCH(ROWS($AF$2:AF940),$AF$2:$AF$1001,0),0), INDEX($AM$1004:$BM$1004,1,MATCH(COLUMNS($AM$1006:AP1006),$AM$1006:$BM$1006,0)))),"Fix")))</f>
        <v xml:space="preserve"> </v>
      </c>
      <c r="F940" s="4" t="str">
        <f ca="1">IF(OR(INDEX($AG$2:$AG$1001,MATCH(ROWS($AF$2:AF940),$AF$2:$AF$1001,0),1)&gt;=100000,INDEX($AM$1005:$BM$1005,1,MATCH(COLUMNS($AM$1006:AQ1006),$AM$1006:$BM$1006,0))&gt;=100000), " ",IF(INDEX($AM$2:$BM$1001,MATCH(ROWS($AF$2:AF940),$AF$2:$AF$1001,0),MATCH(COLUMNS($AM$1006:AQ1006),$AM$1006:$BM$1006,0)), HYPERLINK("#",""), HYPERLINK(CONCATENATE("#metadata!", ADDRESS(INDEX($AH$2:$AH$1001,MATCH(ROWS($AF$2:AF940),$AF$2:$AF$1001,0),0), INDEX($AM$1004:$BM$1004,1,MATCH(COLUMNS($AM$1006:AQ1006),$AM$1006:$BM$1006,0)))),"Fix")))</f>
        <v xml:space="preserve"> </v>
      </c>
      <c r="G940" s="4" t="str">
        <f ca="1">IF(OR(INDEX($AG$2:$AG$1001,MATCH(ROWS($AF$2:AF940),$AF$2:$AF$1001,0),1)&gt;=100000,INDEX($AM$1005:$BM$1005,1,MATCH(COLUMNS($AM$1006:AR1006),$AM$1006:$BM$1006,0))&gt;=100000), " ",IF(INDEX($AM$2:$BM$1001,MATCH(ROWS($AF$2:AF940),$AF$2:$AF$1001,0),MATCH(COLUMNS($AM$1006:AR1006),$AM$1006:$BM$1006,0)), HYPERLINK("#",""), HYPERLINK(CONCATENATE("#metadata!", ADDRESS(INDEX($AH$2:$AH$1001,MATCH(ROWS($AF$2:AF940),$AF$2:$AF$1001,0),0), INDEX($AM$1004:$BM$1004,1,MATCH(COLUMNS($AM$1006:AR1006),$AM$1006:$BM$1006,0)))),"Fix")))</f>
        <v xml:space="preserve"> </v>
      </c>
      <c r="H940" s="4" t="str">
        <f ca="1">IF(OR(INDEX($AG$2:$AG$1001,MATCH(ROWS($AF$2:AF940),$AF$2:$AF$1001,0),1)&gt;=100000,INDEX($AM$1005:$BM$1005,1,MATCH(COLUMNS($AM$1006:AS1006),$AM$1006:$BM$1006,0))&gt;=100000), " ",IF(INDEX($AM$2:$BM$1001,MATCH(ROWS($AF$2:AF940),$AF$2:$AF$1001,0),MATCH(COLUMNS($AM$1006:AS1006),$AM$1006:$BM$1006,0)), HYPERLINK("#",""), HYPERLINK(CONCATENATE("#metadata!", ADDRESS(INDEX($AH$2:$AH$1001,MATCH(ROWS($AF$2:AF940),$AF$2:$AF$1001,0),0), INDEX($AM$1004:$BM$1004,1,MATCH(COLUMNS($AM$1006:AS1006),$AM$1006:$BM$1006,0)))),"Fix")))</f>
        <v xml:space="preserve"> </v>
      </c>
      <c r="I940" s="4" t="str">
        <f ca="1">IF(OR(INDEX($AG$2:$AG$1001,MATCH(ROWS($AF$2:AF940),$AF$2:$AF$1001,0),1)&gt;=100000,INDEX($AM$1005:$BM$1005,1,MATCH(COLUMNS($AM$1006:AT1006),$AM$1006:$BM$1006,0))&gt;=100000), " ",IF(INDEX($AM$2:$BM$1001,MATCH(ROWS($AF$2:AF940),$AF$2:$AF$1001,0),MATCH(COLUMNS($AM$1006:AT1006),$AM$1006:$BM$1006,0)), HYPERLINK("#",""), HYPERLINK(CONCATENATE("#metadata!", ADDRESS(INDEX($AH$2:$AH$1001,MATCH(ROWS($AF$2:AF940),$AF$2:$AF$1001,0),0), INDEX($AM$1004:$BM$1004,1,MATCH(COLUMNS($AM$1006:AT1006),$AM$1006:$BM$1006,0)))),"Fix")))</f>
        <v xml:space="preserve"> </v>
      </c>
      <c r="J940" s="4" t="str">
        <f ca="1">IF(OR(INDEX($AG$2:$AG$1001,MATCH(ROWS($AF$2:AF940),$AF$2:$AF$1001,0),1)&gt;=100000,INDEX($AM$1005:$BM$1005,1,MATCH(COLUMNS($AM$1006:AU1006),$AM$1006:$BM$1006,0))&gt;=100000), " ",IF(INDEX($AM$2:$BM$1001,MATCH(ROWS($AF$2:AF940),$AF$2:$AF$1001,0),MATCH(COLUMNS($AM$1006:AU1006),$AM$1006:$BM$1006,0)), HYPERLINK("#",""), HYPERLINK(CONCATENATE("#metadata!", ADDRESS(INDEX($AH$2:$AH$1001,MATCH(ROWS($AF$2:AF940),$AF$2:$AF$1001,0),0), INDEX($AM$1004:$BM$1004,1,MATCH(COLUMNS($AM$1006:AU1006),$AM$1006:$BM$1006,0)))),"Fix")))</f>
        <v xml:space="preserve"> </v>
      </c>
      <c r="K940" s="4" t="str">
        <f ca="1">IF(OR(INDEX($AG$2:$AG$1001,MATCH(ROWS($AF$2:AF940),$AF$2:$AF$1001,0),1)&gt;=100000,INDEX($AM$1005:$BM$1005,1,MATCH(COLUMNS($AM$1006:AV1006),$AM$1006:$BM$1006,0))&gt;=100000), " ",IF(INDEX($AM$2:$BM$1001,MATCH(ROWS($AF$2:AF940),$AF$2:$AF$1001,0),MATCH(COLUMNS($AM$1006:AV1006),$AM$1006:$BM$1006,0)), HYPERLINK("#",""), HYPERLINK(CONCATENATE("#metadata!", ADDRESS(INDEX($AH$2:$AH$1001,MATCH(ROWS($AF$2:AF940),$AF$2:$AF$1001,0),0), INDEX($AM$1004:$BM$1004,1,MATCH(COLUMNS($AM$1006:AV1006),$AM$1006:$BM$1006,0)))),"Fix")))</f>
        <v xml:space="preserve"> </v>
      </c>
      <c r="L940" s="4" t="str">
        <f ca="1">IF(OR(INDEX($AG$2:$AG$1001,MATCH(ROWS($AF$2:AF940),$AF$2:$AF$1001,0),1)&gt;=100000,INDEX($AM$1005:$BM$1005,1,MATCH(COLUMNS($AM$1006:AW1006),$AM$1006:$BM$1006,0))&gt;=100000), " ",IF(INDEX($AM$2:$BM$1001,MATCH(ROWS($AF$2:AF940),$AF$2:$AF$1001,0),MATCH(COLUMNS($AM$1006:AW1006),$AM$1006:$BM$1006,0)), HYPERLINK("#",""), HYPERLINK(CONCATENATE("#metadata!", ADDRESS(INDEX($AH$2:$AH$1001,MATCH(ROWS($AF$2:AF940),$AF$2:$AF$1001,0),0), INDEX($AM$1004:$BM$1004,1,MATCH(COLUMNS($AM$1006:AW1006),$AM$1006:$BM$1006,0)))),"Fix")))</f>
        <v xml:space="preserve"> </v>
      </c>
      <c r="M940" s="4" t="str">
        <f ca="1">IF(OR(INDEX($AG$2:$AG$1001,MATCH(ROWS($AF$2:AF940),$AF$2:$AF$1001,0),1)&gt;=100000,INDEX($AM$1005:$BM$1005,1,MATCH(COLUMNS($AM$1006:AX1006),$AM$1006:$BM$1006,0))&gt;=100000), " ",IF(INDEX($AM$2:$BM$1001,MATCH(ROWS($AF$2:AF940),$AF$2:$AF$1001,0),MATCH(COLUMNS($AM$1006:AX1006),$AM$1006:$BM$1006,0)), HYPERLINK("#",""), HYPERLINK(CONCATENATE("#metadata!", ADDRESS(INDEX($AH$2:$AH$1001,MATCH(ROWS($AF$2:AF940),$AF$2:$AF$1001,0),0), INDEX($AM$1004:$BM$1004,1,MATCH(COLUMNS($AM$1006:AX1006),$AM$1006:$BM$1006,0)))),"Fix")))</f>
        <v xml:space="preserve"> </v>
      </c>
      <c r="N940" s="4" t="str">
        <f ca="1">IF(OR(INDEX($AG$2:$AG$1001,MATCH(ROWS($AF$2:AF940),$AF$2:$AF$1001,0),1)&gt;=100000,INDEX($AM$1005:$BM$1005,1,MATCH(COLUMNS($AM$1006:AY1006),$AM$1006:$BM$1006,0))&gt;=100000), " ",IF(INDEX($AM$2:$BM$1001,MATCH(ROWS($AF$2:AF940),$AF$2:$AF$1001,0),MATCH(COLUMNS($AM$1006:AY1006),$AM$1006:$BM$1006,0)), HYPERLINK("#",""), HYPERLINK(CONCATENATE("#metadata!", ADDRESS(INDEX($AH$2:$AH$1001,MATCH(ROWS($AF$2:AF940),$AF$2:$AF$1001,0),0), INDEX($AM$1004:$BM$1004,1,MATCH(COLUMNS($AM$1006:AY1006),$AM$1006:$BM$1006,0)))),"Fix")))</f>
        <v xml:space="preserve"> </v>
      </c>
      <c r="O940" s="4" t="str">
        <f ca="1">IF(OR(INDEX($AG$2:$AG$1001,MATCH(ROWS($AF$2:AF940),$AF$2:$AF$1001,0),1)&gt;=100000,INDEX($AM$1005:$BM$1005,1,MATCH(COLUMNS($AM$1006:AZ1006),$AM$1006:$BM$1006,0))&gt;=100000), " ",IF(INDEX($AM$2:$BM$1001,MATCH(ROWS($AF$2:AF940),$AF$2:$AF$1001,0),MATCH(COLUMNS($AM$1006:AZ1006),$AM$1006:$BM$1006,0)), HYPERLINK("#",""), HYPERLINK(CONCATENATE("#metadata!", ADDRESS(INDEX($AH$2:$AH$1001,MATCH(ROWS($AF$2:AF940),$AF$2:$AF$1001,0),0), INDEX($AM$1004:$BM$1004,1,MATCH(COLUMNS($AM$1006:AZ1006),$AM$1006:$BM$1006,0)))),"Fix")))</f>
        <v xml:space="preserve"> </v>
      </c>
      <c r="P940" s="4" t="str">
        <f ca="1">IF(OR(INDEX($AG$2:$AG$1001,MATCH(ROWS($AF$2:AF940),$AF$2:$AF$1001,0),1)&gt;=100000,INDEX($AM$1005:$BM$1005,1,MATCH(COLUMNS($AM$1006:BA1006),$AM$1006:$BM$1006,0))&gt;=100000), " ",IF(INDEX($AM$2:$BM$1001,MATCH(ROWS($AF$2:AF940),$AF$2:$AF$1001,0),MATCH(COLUMNS($AM$1006:BA1006),$AM$1006:$BM$1006,0)), HYPERLINK("#",""), HYPERLINK(CONCATENATE("#metadata!", ADDRESS(INDEX($AH$2:$AH$1001,MATCH(ROWS($AF$2:AF940),$AF$2:$AF$1001,0),0), INDEX($AM$1004:$BM$1004,1,MATCH(COLUMNS($AM$1006:BA1006),$AM$1006:$BM$1006,0)))),"Fix")))</f>
        <v xml:space="preserve"> </v>
      </c>
      <c r="Q940" s="4" t="str">
        <f ca="1">IF(OR(INDEX($AG$2:$AG$1001,MATCH(ROWS($AF$2:AF940),$AF$2:$AF$1001,0),1)&gt;=100000,INDEX($AM$1005:$BM$1005,1,MATCH(COLUMNS($AM$1006:BB1006),$AM$1006:$BM$1006,0))&gt;=100000), " ",IF(INDEX($AM$2:$BM$1001,MATCH(ROWS($AF$2:AF940),$AF$2:$AF$1001,0),MATCH(COLUMNS($AM$1006:BB1006),$AM$1006:$BM$1006,0)), HYPERLINK("#",""), HYPERLINK(CONCATENATE("#metadata!", ADDRESS(INDEX($AH$2:$AH$1001,MATCH(ROWS($AF$2:AF940),$AF$2:$AF$1001,0),0), INDEX($AM$1004:$BM$1004,1,MATCH(COLUMNS($AM$1006:BB1006),$AM$1006:$BM$1006,0)))),"Fix")))</f>
        <v xml:space="preserve"> </v>
      </c>
      <c r="R940" s="4" t="str">
        <f ca="1">IF(OR(INDEX($AG$2:$AG$1001,MATCH(ROWS($AF$2:AF940),$AF$2:$AF$1001,0),1)&gt;=100000,INDEX($AM$1005:$BM$1005,1,MATCH(COLUMNS($AM$1006:BC1006),$AM$1006:$BM$1006,0))&gt;=100000), " ",IF(INDEX($AM$2:$BM$1001,MATCH(ROWS($AF$2:AF940),$AF$2:$AF$1001,0),MATCH(COLUMNS($AM$1006:BC1006),$AM$1006:$BM$1006,0)), HYPERLINK("#",""), HYPERLINK(CONCATENATE("#metadata!", ADDRESS(INDEX($AH$2:$AH$1001,MATCH(ROWS($AF$2:AF940),$AF$2:$AF$1001,0),0), INDEX($AM$1004:$BM$1004,1,MATCH(COLUMNS($AM$1006:BC1006),$AM$1006:$BM$1006,0)))),"Fix")))</f>
        <v xml:space="preserve"> </v>
      </c>
      <c r="S940" s="4" t="str">
        <f ca="1">IF(OR(INDEX($AG$2:$AG$1001,MATCH(ROWS($AF$2:AF940),$AF$2:$AF$1001,0),1)&gt;=100000,INDEX($AM$1005:$BM$1005,1,MATCH(COLUMNS($AM$1006:BD1006),$AM$1006:$BM$1006,0))&gt;=100000), " ",IF(INDEX($AM$2:$BM$1001,MATCH(ROWS($AF$2:AF940),$AF$2:$AF$1001,0),MATCH(COLUMNS($AM$1006:BD1006),$AM$1006:$BM$1006,0)), HYPERLINK("#",""), HYPERLINK(CONCATENATE("#metadata!", ADDRESS(INDEX($AH$2:$AH$1001,MATCH(ROWS($AF$2:AF940),$AF$2:$AF$1001,0),0), INDEX($AM$1004:$BM$1004,1,MATCH(COLUMNS($AM$1006:BD1006),$AM$1006:$BM$1006,0)))),"Fix")))</f>
        <v xml:space="preserve"> </v>
      </c>
      <c r="T940" s="4" t="str">
        <f ca="1">IF(OR(INDEX($AG$2:$AG$1001,MATCH(ROWS($AF$2:AF940),$AF$2:$AF$1001,0),1)&gt;=100000,INDEX($AM$1005:$BM$1005,1,MATCH(COLUMNS($AM$1006:BE1006),$AM$1006:$BM$1006,0))&gt;=100000), " ",IF(INDEX($AM$2:$BM$1001,MATCH(ROWS($AF$2:AF940),$AF$2:$AF$1001,0),MATCH(COLUMNS($AM$1006:BE1006),$AM$1006:$BM$1006,0)), HYPERLINK("#",""), HYPERLINK(CONCATENATE("#metadata!", ADDRESS(INDEX($AH$2:$AH$1001,MATCH(ROWS($AF$2:AF940),$AF$2:$AF$1001,0),0), INDEX($AM$1004:$BM$1004,1,MATCH(COLUMNS($AM$1006:BE1006),$AM$1006:$BM$1006,0)))),"Fix")))</f>
        <v xml:space="preserve"> </v>
      </c>
      <c r="U940" s="4" t="str">
        <f ca="1">IF(OR(INDEX($AG$2:$AG$1001,MATCH(ROWS($AF$2:AF940),$AF$2:$AF$1001,0),1)&gt;=100000,INDEX($AM$1005:$BM$1005,1,MATCH(COLUMNS($AM$1006:BF1006),$AM$1006:$BM$1006,0))&gt;=100000), " ",IF(INDEX($AM$2:$BM$1001,MATCH(ROWS($AF$2:AF940),$AF$2:$AF$1001,0),MATCH(COLUMNS($AM$1006:BF1006),$AM$1006:$BM$1006,0)), HYPERLINK("#",""), HYPERLINK(CONCATENATE("#metadata!", ADDRESS(INDEX($AH$2:$AH$1001,MATCH(ROWS($AF$2:AF940),$AF$2:$AF$1001,0),0), INDEX($AM$1004:$BM$1004,1,MATCH(COLUMNS($AM$1006:BF1006),$AM$1006:$BM$1006,0)))),"Fix")))</f>
        <v xml:space="preserve"> </v>
      </c>
      <c r="V940" s="4" t="str">
        <f ca="1">IF(OR(INDEX($AG$2:$AG$1001,MATCH(ROWS($AF$2:AF940),$AF$2:$AF$1001,0),1)&gt;=100000,INDEX($AM$1005:$BM$1005,1,MATCH(COLUMNS($AM$1006:BG1006),$AM$1006:$BM$1006,0))&gt;=100000), " ",IF(INDEX($AM$2:$BM$1001,MATCH(ROWS($AF$2:AF940),$AF$2:$AF$1001,0),MATCH(COLUMNS($AM$1006:BG1006),$AM$1006:$BM$1006,0)), HYPERLINK("#",""), HYPERLINK(CONCATENATE("#metadata!", ADDRESS(INDEX($AH$2:$AH$1001,MATCH(ROWS($AF$2:AF940),$AF$2:$AF$1001,0),0), INDEX($AM$1004:$BM$1004,1,MATCH(COLUMNS($AM$1006:BG1006),$AM$1006:$BM$1006,0)))),"Fix")))</f>
        <v xml:space="preserve"> </v>
      </c>
      <c r="W940" s="4" t="str">
        <f ca="1">IF(OR(INDEX($AG$2:$AG$1001,MATCH(ROWS($AF$2:AF940),$AF$2:$AF$1001,0),1)&gt;=100000,INDEX($AM$1005:$BM$1005,1,MATCH(COLUMNS($AM$1006:BH1006),$AM$1006:$BM$1006,0))&gt;=100000), " ",IF(INDEX($AM$2:$BM$1001,MATCH(ROWS($AF$2:AF940),$AF$2:$AF$1001,0),MATCH(COLUMNS($AM$1006:BH1006),$AM$1006:$BM$1006,0)), HYPERLINK("#",""), HYPERLINK(CONCATENATE("#metadata!", ADDRESS(INDEX($AH$2:$AH$1001,MATCH(ROWS($AF$2:AF940),$AF$2:$AF$1001,0),0), INDEX($AM$1004:$BM$1004,1,MATCH(COLUMNS($AM$1006:BH1006),$AM$1006:$BM$1006,0)))),"Fix")))</f>
        <v xml:space="preserve"> </v>
      </c>
      <c r="X940" s="4" t="str">
        <f ca="1">IF(OR(INDEX($AG$2:$AG$1001,MATCH(ROWS($AF$2:AF940),$AF$2:$AF$1001,0),1)&gt;=100000,INDEX($AM$1005:$BM$1005,1,MATCH(COLUMNS($AM$1006:BI1006),$AM$1006:$BM$1006,0))&gt;=100000), " ",IF(INDEX($AM$2:$BM$1001,MATCH(ROWS($AF$2:AF940),$AF$2:$AF$1001,0),MATCH(COLUMNS($AM$1006:BI1006),$AM$1006:$BM$1006,0)), HYPERLINK("#",""), HYPERLINK(CONCATENATE("#metadata!", ADDRESS(INDEX($AH$2:$AH$1001,MATCH(ROWS($AF$2:AF940),$AF$2:$AF$1001,0),0), INDEX($AM$1004:$BM$1004,1,MATCH(COLUMNS($AM$1006:BI1006),$AM$1006:$BM$1006,0)))),"Fix")))</f>
        <v xml:space="preserve"> </v>
      </c>
      <c r="Y940" s="4" t="str">
        <f ca="1">IF(OR(INDEX($AG$2:$AG$1001,MATCH(ROWS($AF$2:AF940),$AF$2:$AF$1001,0),1)&gt;=100000,INDEX($AM$1005:$BM$1005,1,MATCH(COLUMNS($AM$1006:BJ1006),$AM$1006:$BM$1006,0))&gt;=100000), " ",IF(INDEX($AM$2:$BM$1001,MATCH(ROWS($AF$2:AF940),$AF$2:$AF$1001,0),MATCH(COLUMNS($AM$1006:BJ1006),$AM$1006:$BM$1006,0)), HYPERLINK("#",""), HYPERLINK(CONCATENATE("#metadata!", ADDRESS(INDEX($AH$2:$AH$1001,MATCH(ROWS($AF$2:AF940),$AF$2:$AF$1001,0),0), INDEX($AM$1004:$BM$1004,1,MATCH(COLUMNS($AM$1006:BJ1006),$AM$1006:$BM$1006,0)))),"Fix")))</f>
        <v xml:space="preserve"> </v>
      </c>
      <c r="Z940" s="4" t="str">
        <f ca="1">IF(OR(INDEX($AG$2:$AG$1001,MATCH(ROWS($AF$2:AF940),$AF$2:$AF$1001,0),1)&gt;=100000,INDEX($AM$1005:$BM$1005,1,MATCH(COLUMNS($AM$1006:BK1006),$AM$1006:$BM$1006,0))&gt;=100000), " ",IF(INDEX($AM$2:$BM$1001,MATCH(ROWS($AF$2:AF940),$AF$2:$AF$1001,0),MATCH(COLUMNS($AM$1006:BK1006),$AM$1006:$BM$1006,0)), HYPERLINK("#",""), HYPERLINK(CONCATENATE("#metadata!", ADDRESS(INDEX($AH$2:$AH$1001,MATCH(ROWS($AF$2:AF940),$AF$2:$AF$1001,0),0), INDEX($AM$1004:$BM$1004,1,MATCH(COLUMNS($AM$1006:BK1006),$AM$1006:$BM$1006,0)))),"Fix")))</f>
        <v xml:space="preserve"> </v>
      </c>
      <c r="AA940" s="4" t="str">
        <f ca="1">IF(OR(INDEX($AG$2:$AG$1001,MATCH(ROWS($AF$2:AF940),$AF$2:$AF$1001,0),1)&gt;=100000,INDEX($AM$1005:$BM$1005,1,MATCH(COLUMNS($AM$1006:BL1006),$AM$1006:$BM$1006,0))&gt;=100000), " ",IF(INDEX($AM$2:$BM$1001,MATCH(ROWS($AF$2:AF940),$AF$2:$AF$1001,0),MATCH(COLUMNS($AM$1006:BL1006),$AM$1006:$BM$1006,0)), HYPERLINK("#",""), HYPERLINK(CONCATENATE("#metadata!", ADDRESS(INDEX($AH$2:$AH$1001,MATCH(ROWS($AF$2:AF940),$AF$2:$AF$1001,0),0), INDEX($AM$1004:$BM$1004,1,MATCH(COLUMNS($AM$1006:BL1006),$AM$1006:$BM$1006,0)))),"Fix")))</f>
        <v xml:space="preserve"> </v>
      </c>
      <c r="AB940" s="4" t="str">
        <f ca="1">IF(OR(INDEX($AG$2:$AG$1001,MATCH(ROWS($AF$2:AF940),$AF$2:$AF$1001,0),1)&gt;=100000,INDEX($AM$1005:$BM$1005,1,MATCH(COLUMNS($AM$1006:BM1006),$AM$1006:$BM$1006,0))&gt;=100000), " ",IF(INDEX($AM$2:$BM$1001,MATCH(ROWS($AF$2:AF940),$AF$2:$AF$1001,0),MATCH(COLUMNS($AM$1006:BM1006),$AM$1006:$BM$1006,0)), HYPERLINK("#",""), HYPERLINK(CONCATENATE("#metadata!", ADDRESS(INDEX($AH$2:$AH$1001,MATCH(ROWS($AF$2:AF940),$AF$2:$AF$1001,0),0), INDEX($AM$1004:$BM$1004,1,MATCH(COLUMNS($AM$1006:BM1006),$AM$1006:$BM$1006,0)))),"Fix")))</f>
        <v xml:space="preserve"> </v>
      </c>
      <c r="AF940">
        <v>939</v>
      </c>
      <c r="AG940">
        <v>100940</v>
      </c>
      <c r="AH940">
        <v>940</v>
      </c>
      <c r="AI940" t="b">
        <f t="shared" si="14"/>
        <v>1</v>
      </c>
      <c r="AJ940" t="b">
        <f>COUNTBLANK(metadata!B940:AB940)=COLUMNS(metadata!B940:AB940)</f>
        <v>1</v>
      </c>
      <c r="AK940" t="str">
        <v/>
      </c>
      <c r="AM940" t="b">
        <f ca="1">AND(IF(metadata!B940="",FALSE,TRUE),COUNTIF(metadata!B:B, metadata!B940) = 1,NOT(ISERROR(SUMPRODUCT(SEARCH(MID(metadata!B940,ROW(INDIRECT("1:"&amp;LEN(metadata!B940))), 1),"0123456789abcdefghijklmnopqrstuvwxyzABCDEFGHIJKLMNOPQRSTUVWXYZ.")))))</f>
        <v>0</v>
      </c>
      <c r="AN940" t="b">
        <f ca="1">OR(AND(IF(metadata!C940="",FALSE,TRUE),OR(EXACT(metadata!C940,"missing: not collected"),EXACT(metadata!C940,"missing: not provided"),EXACT(metadata!C940,"missing: restricted access"))),AND(IF(metadata!C940="",FALSE,TRUE),AND(AND(IFERROR(INT(LEFT(metadata!C940,4))&gt;1900,FALSE),IFERROR(INT(LEFT(metadata!C940,4))&lt;=YEAR(NOW()),FALSE)), OR(MID(metadata!C940,5,1)="", AND(AND(MID(metadata!C940,5,1)="-",IFERROR(INT(MID(metadata!C940,6,1))&gt;=0,FALSE),IFERROR(INT(MID(metadata!C940,6,1))&lt;=1,FALSE),NOT(MID(metadata!C940,7,1)=""),IFERROR(INT(MID(metadata!C940,6,2))&gt;=1,FALSE),IFERROR(INT(MID(metadata!C940,6,2))&lt;=12,FALSE)), OR(MID(metadata!C940,8,1)="", AND(AND(MID(metadata!C940,8,1)="-",IFERROR(INT(MID(metadata!C940,9,1))&gt;=0,FALSE),IFERROR(INT(MID(metadata!C940,9,1))&lt;=3,FALSE),NOT(MID(metadata!C940,10,1)=""),IFERROR(INT(MID(metadata!C940,9,2))&gt;=1,FALSE),IFERROR(INT(MID(metadata!C940,9,2))&lt;=31,FALSE)), OR(MID(metadata!C940,11,1)="", AND(AND(MID(metadata!C940,11,1)=" ",IFERROR(INT(MID(metadata!C940,12,1))&gt;=0,FALSE),IFERROR(INT(MID(metadata!C940,12,1))&lt;=2,FALSE),NOT(MID(metadata!C940,13,1)=""),IFERROR(INT(MID(metadata!C940,12,2))&gt;=0,FALSE),IFERROR(INT(MID(metadata!C940,12,2))&lt;=23,FALSE)), OR(MID(metadata!C940,14,1)="", AND(AND(MID(metadata!C940,14,1)=":",IFERROR(INT(MID(metadata!C940,15,1))&gt;=0,FALSE),IFERROR(INT(MID(metadata!C940,15,1))&lt;=5,FALSE),NOT(MID(metadata!C940,16,1)=""),IFERROR(INT(MID(metadata!C940,15,2))&gt;=0,FALSE),IFERROR(INT(MID(metadata!C940,15,2))&lt;=59,FALSE)), OR(MID(metadata!C940,17,1)="", AND(AND(MID(metadata!C940,17,1)=":",IFERROR(INT(MID(metadata!C940,18,1))&gt;=0,FALSE),IFERROR(INT(MID(metadata!C940,18,1))&lt;=5,FALSE),NOT(MID(metadata!C940,19,1)=""),IFERROR(INT(MID(metadata!C940,18,2))&gt;=0,FALSE),IFERROR(INT(MID(metadata!C940,18,2))&lt;=59,FALSE)), LEN(metadata!C940)&lt;=19)))))))))))))</f>
        <v>0</v>
      </c>
      <c r="AO940" t="b">
        <f>AND(IF(metadata!D940="",FALSE,TRUE),EXACT(metadata!D940,"Not applicable"))</f>
        <v>0</v>
      </c>
      <c r="AP940" t="b">
        <f>IF(metadata!E940="",FALSE,TRUE)</f>
        <v>0</v>
      </c>
      <c r="AQ940" t="b">
        <f>OR(AND(IF(metadata!F940="",FALSE,TRUE),OR(EXACT(metadata!F940,"missing: not collected"),EXACT(metadata!F940,"missing: not provided"))),AND(IF(metadata!F940="",FALSE,TRUE),OR(EXACT(metadata!F940,"TRUE"),EXACT(metadata!F940,"FALSE"))))</f>
        <v>0</v>
      </c>
      <c r="AR940" t="b">
        <f>OR(AND(IF(metadata!G940="",FALSE,TRUE),OR(EXACT(metadata!G940,"missing: not collected"),EXACT(metadata!G940,"missing: not provided"),EXACT(metadata!G940,"missing: restricted access"))),AND(IF(metadata!G940="",FALSE,ISNUMBER(VALUE(metadata!G940))),metadata!G940&gt;=-413))</f>
        <v>0</v>
      </c>
      <c r="AS940" t="b">
        <f>AND(IF(metadata!H940="",FALSE,TRUE),EXACT(metadata!H940,"meters"))</f>
        <v>0</v>
      </c>
      <c r="AT940" t="b">
        <f>AND(IF(metadata!I940="",FALSE,TRUE),OR(EXACT(metadata!I940,"Host-associated"),EXACT(metadata!I940,"Free-living")))</f>
        <v>0</v>
      </c>
      <c r="AU940" t="b">
        <f>AND(IF(metadata!J940="",FALSE,TRUE),OR(EXACT(metadata!J940,"Animal"),EXACT(metadata!J940,"Fungus"),EXACT(metadata!J940,"Plant"),EXACT(metadata!J940,"Saline"),EXACT(metadata!J940,"Non-saline")))</f>
        <v>0</v>
      </c>
      <c r="AV940" t="b">
        <f>AND(IF(metadata!K940="",FALSE,TRUE),OR(EXACT(metadata!K940,"Plant secretion"),EXACT(metadata!K940,"Plant rhizosphere"),EXACT(metadata!K940,"Plant surface"),EXACT(metadata!K940,"Plant corpus"),EXACT(metadata!K940,"Fungus surface"),EXACT(metadata!K940,"Fungus corpus"),EXACT(metadata!K940,"Animal surface"),EXACT(metadata!K940,"Animal proximal gut"),EXACT(metadata!K940,"Animal corpus"),EXACT(metadata!K940,"Animal distal gut"),EXACT(metadata!K940,"Animal secretion"),EXACT(metadata!K940,"Sub-surface (non-saline)"),EXACT(metadata!K940,"Surface (non-saline)"),EXACT(metadata!K940,"Water (non-saline)"),EXACT(metadata!K940,"Soil (non-saline)"),EXACT(metadata!K940,"Aerosol (non-saline)"),EXACT(metadata!K940,"Sediment (non-saline)"),EXACT(metadata!K940,"Surface (saline)"),EXACT(metadata!K940,"Water (saline)"),EXACT(metadata!K940,"Hypersaline (saline)"),EXACT(metadata!K940,"Aerosol (saline)"),EXACT(metadata!K940,"Sediment (saline)")))</f>
        <v>0</v>
      </c>
      <c r="AW940" t="b">
        <f>IF(metadata!L940="",FALSE,TRUE)</f>
        <v>0</v>
      </c>
      <c r="AX940" t="b">
        <f>IF(metadata!M940="",FALSE,TRUE)</f>
        <v>0</v>
      </c>
      <c r="AY940" t="b">
        <f>IF(metadata!N940="",FALSE,TRUE)</f>
        <v>0</v>
      </c>
      <c r="AZ940" t="b">
        <f>OR(AND(IF(metadata!O940="",FALSE,TRUE),OR(EXACT(metadata!O940,"missing: not collected"),EXACT(metadata!O940,"missing: not provided"),EXACT(metadata!O940,"missing: restricted access"))),AND(IF(metadata!O940="",FALSE,TRUE),OR(EXACT(metadata!O940,"air"),EXACT(metadata!O940,"built environment"),EXACT(metadata!O940,"host-associated"),EXACT(metadata!O940,"human-associated"),EXACT(metadata!O940,"human-skin"),EXACT(metadata!O940,"human-oral"),EXACT(metadata!O940,"human-gut"),EXACT(metadata!O940,"human-vaginal"),EXACT(metadata!O940,"microbial mat/biofilm"),EXACT(metadata!O940,"misc environment"),EXACT(metadata!O940,"plant-associated"),EXACT(metadata!O940,"sediment"),EXACT(metadata!O940,"soil"),EXACT(metadata!O940,"wastewater/sludge"),EXACT(metadata!O940,"water"))))</f>
        <v>0</v>
      </c>
      <c r="BA940" t="b">
        <f>IF(metadata!P940="",FALSE,TRUE)</f>
        <v>0</v>
      </c>
      <c r="BB940" t="b">
        <f>IF(metadata!Q940="",FALSE,TRUE)</f>
        <v>0</v>
      </c>
      <c r="BC940" t="b">
        <f>OR(AND(IF(metadata!R940="",FALSE,TRUE),OR(EXACT(metadata!R940,"missing: not collected"),EXACT(metadata!R940,"missing: not provided"),EXACT(metadata!R940,"missing: restricted access"))),AND(IF(metadata!R940="",FALSE,ISNUMBER(VALUE(metadata!R940))),metadata!R940&gt;=-90,metadata!R940&lt;=90))</f>
        <v>0</v>
      </c>
      <c r="BD940" t="b">
        <f>AND(IF(metadata!S940="",FALSE,TRUE),EXACT(metadata!S940,"Decimal degrees"))</f>
        <v>0</v>
      </c>
      <c r="BE940" t="b">
        <f>OR(AND(IF(metadata!T940="",FALSE,TRUE),OR(EXACT(metadata!T940,"missing: not collected"),EXACT(metadata!T940,"missing: not provided"),EXACT(metadata!T940,"missing: restricted access"))),AND(IF(metadata!T940="",FALSE,ISNUMBER(VALUE(metadata!T940))),metadata!T940&gt;=-180,metadata!T940&lt;=180))</f>
        <v>0</v>
      </c>
      <c r="BF940" t="b">
        <f>AND(IF(metadata!U940="",FALSE,TRUE),EXACT(metadata!U940,"Decimal degrees"))</f>
        <v>0</v>
      </c>
      <c r="BG940" t="b">
        <f>IF(metadata!V940="",FALSE,TRUE)</f>
        <v>0</v>
      </c>
      <c r="BH940" t="b">
        <f>OR(AND(IF(metadata!W940="",FALSE,TRUE),OR(EXACT(metadata!W940,"missing: not collected"),EXACT(metadata!W940,"missing: not provided"),EXACT(metadata!W940,"missing: restricted access"))),AND(IF(metadata!W940="",FALSE,TRUE),OR(EXACT(metadata!W940,"TRUE"),EXACT(metadata!W940,"FALSE"))))</f>
        <v>0</v>
      </c>
      <c r="BI940" t="b">
        <f>AND(IF(metadata!X940="",FALSE,TRUE),EXACT(metadata!X940,"other"))</f>
        <v>0</v>
      </c>
      <c r="BJ940" t="b">
        <f>IF(metadata!Y940="",FALSE,TRUE)</f>
        <v>0</v>
      </c>
      <c r="BK940" t="b">
        <f>OR(AND(IF(metadata!Z940="",FALSE,TRUE),OR(EXACT(metadata!Z940,"missing: not collected"),EXACT(metadata!Z940,"missing: not provided"))),AND(IF(metadata!Z940="",FALSE,IF(ISERROR(INT(metadata!Z940)),FALSE,INT(metadata!Z940)=metadata!Z940)),metadata!Z940&gt;0))</f>
        <v>0</v>
      </c>
      <c r="BL940" t="b">
        <f>AND(IF(metadata!AA940="",FALSE,TRUE),EXACT(metadata!AA940,"Not applicable"))</f>
        <v>0</v>
      </c>
      <c r="BM940" t="b">
        <f>IF(metadata!AB940="",FALSE,TRUE)</f>
        <v>0</v>
      </c>
    </row>
    <row r="941" spans="1:65" x14ac:dyDescent="0.2">
      <c r="A941" s="5" t="str">
        <f ca="1">IF(B941=" "," ",HYPERLINK(CONCATENATE("#metadata!",ADDRESS(INDEX($AH$2:$AH$1001,MATCH(ROWS($AF$2:AF941),$AF$2:$AF$1001,0),0),1)),INDEX($AK$2:$AK$1001,MATCH(ROWS($AF$2:AF941),$AF$2:$AF$1001,0),0)))</f>
        <v xml:space="preserve"> </v>
      </c>
      <c r="B941" s="4" t="str">
        <f ca="1">IF(OR(INDEX($AG$2:$AG$1001,MATCH(ROWS($AF$2:AF941),$AF$2:$AF$1001,0),1)&gt;=100000,INDEX($AM$1005:$BM$1005,1,MATCH(COLUMNS($AM$1006:AM1006),$AM$1006:$BM$1006,0))&gt;=100000), " ",IF(INDEX($AM$2:$BM$1001,MATCH(ROWS($AF$2:AF941),$AF$2:$AF$1001,0),MATCH(COLUMNS($AM$1006:AM1006),$AM$1006:$BM$1006,0)), HYPERLINK("#",""), HYPERLINK(CONCATENATE("#metadata!", ADDRESS(INDEX($AH$2:$AH$1001,MATCH(ROWS($AF$2:AF941),$AF$2:$AF$1001,0),0), INDEX($AM$1004:$BM$1004,1,MATCH(COLUMNS($AM$1006:AM1006),$AM$1006:$BM$1006,0)))),"Fix")))</f>
        <v xml:space="preserve"> </v>
      </c>
      <c r="C941" s="4" t="str">
        <f ca="1">IF(OR(INDEX($AG$2:$AG$1001,MATCH(ROWS($AF$2:AF941),$AF$2:$AF$1001,0),1)&gt;=100000,INDEX($AM$1005:$BM$1005,1,MATCH(COLUMNS($AM$1006:AN1006),$AM$1006:$BM$1006,0))&gt;=100000), " ",IF(INDEX($AM$2:$BM$1001,MATCH(ROWS($AF$2:AF941),$AF$2:$AF$1001,0),MATCH(COLUMNS($AM$1006:AN1006),$AM$1006:$BM$1006,0)), HYPERLINK("#",""), HYPERLINK(CONCATENATE("#metadata!", ADDRESS(INDEX($AH$2:$AH$1001,MATCH(ROWS($AF$2:AF941),$AF$2:$AF$1001,0),0), INDEX($AM$1004:$BM$1004,1,MATCH(COLUMNS($AM$1006:AN1006),$AM$1006:$BM$1006,0)))),"Fix")))</f>
        <v xml:space="preserve"> </v>
      </c>
      <c r="D941" s="4" t="str">
        <f ca="1">IF(OR(INDEX($AG$2:$AG$1001,MATCH(ROWS($AF$2:AF941),$AF$2:$AF$1001,0),1)&gt;=100000,INDEX($AM$1005:$BM$1005,1,MATCH(COLUMNS($AM$1006:AO1006),$AM$1006:$BM$1006,0))&gt;=100000), " ",IF(INDEX($AM$2:$BM$1001,MATCH(ROWS($AF$2:AF941),$AF$2:$AF$1001,0),MATCH(COLUMNS($AM$1006:AO1006),$AM$1006:$BM$1006,0)), HYPERLINK("#",""), HYPERLINK(CONCATENATE("#metadata!", ADDRESS(INDEX($AH$2:$AH$1001,MATCH(ROWS($AF$2:AF941),$AF$2:$AF$1001,0),0), INDEX($AM$1004:$BM$1004,1,MATCH(COLUMNS($AM$1006:AO1006),$AM$1006:$BM$1006,0)))),"Fix")))</f>
        <v xml:space="preserve"> </v>
      </c>
      <c r="E941" s="4" t="str">
        <f ca="1">IF(OR(INDEX($AG$2:$AG$1001,MATCH(ROWS($AF$2:AF941),$AF$2:$AF$1001,0),1)&gt;=100000,INDEX($AM$1005:$BM$1005,1,MATCH(COLUMNS($AM$1006:AP1006),$AM$1006:$BM$1006,0))&gt;=100000), " ",IF(INDEX($AM$2:$BM$1001,MATCH(ROWS($AF$2:AF941),$AF$2:$AF$1001,0),MATCH(COLUMNS($AM$1006:AP1006),$AM$1006:$BM$1006,0)), HYPERLINK("#",""), HYPERLINK(CONCATENATE("#metadata!", ADDRESS(INDEX($AH$2:$AH$1001,MATCH(ROWS($AF$2:AF941),$AF$2:$AF$1001,0),0), INDEX($AM$1004:$BM$1004,1,MATCH(COLUMNS($AM$1006:AP1006),$AM$1006:$BM$1006,0)))),"Fix")))</f>
        <v xml:space="preserve"> </v>
      </c>
      <c r="F941" s="4" t="str">
        <f ca="1">IF(OR(INDEX($AG$2:$AG$1001,MATCH(ROWS($AF$2:AF941),$AF$2:$AF$1001,0),1)&gt;=100000,INDEX($AM$1005:$BM$1005,1,MATCH(COLUMNS($AM$1006:AQ1006),$AM$1006:$BM$1006,0))&gt;=100000), " ",IF(INDEX($AM$2:$BM$1001,MATCH(ROWS($AF$2:AF941),$AF$2:$AF$1001,0),MATCH(COLUMNS($AM$1006:AQ1006),$AM$1006:$BM$1006,0)), HYPERLINK("#",""), HYPERLINK(CONCATENATE("#metadata!", ADDRESS(INDEX($AH$2:$AH$1001,MATCH(ROWS($AF$2:AF941),$AF$2:$AF$1001,0),0), INDEX($AM$1004:$BM$1004,1,MATCH(COLUMNS($AM$1006:AQ1006),$AM$1006:$BM$1006,0)))),"Fix")))</f>
        <v xml:space="preserve"> </v>
      </c>
      <c r="G941" s="4" t="str">
        <f ca="1">IF(OR(INDEX($AG$2:$AG$1001,MATCH(ROWS($AF$2:AF941),$AF$2:$AF$1001,0),1)&gt;=100000,INDEX($AM$1005:$BM$1005,1,MATCH(COLUMNS($AM$1006:AR1006),$AM$1006:$BM$1006,0))&gt;=100000), " ",IF(INDEX($AM$2:$BM$1001,MATCH(ROWS($AF$2:AF941),$AF$2:$AF$1001,0),MATCH(COLUMNS($AM$1006:AR1006),$AM$1006:$BM$1006,0)), HYPERLINK("#",""), HYPERLINK(CONCATENATE("#metadata!", ADDRESS(INDEX($AH$2:$AH$1001,MATCH(ROWS($AF$2:AF941),$AF$2:$AF$1001,0),0), INDEX($AM$1004:$BM$1004,1,MATCH(COLUMNS($AM$1006:AR1006),$AM$1006:$BM$1006,0)))),"Fix")))</f>
        <v xml:space="preserve"> </v>
      </c>
      <c r="H941" s="4" t="str">
        <f ca="1">IF(OR(INDEX($AG$2:$AG$1001,MATCH(ROWS($AF$2:AF941),$AF$2:$AF$1001,0),1)&gt;=100000,INDEX($AM$1005:$BM$1005,1,MATCH(COLUMNS($AM$1006:AS1006),$AM$1006:$BM$1006,0))&gt;=100000), " ",IF(INDEX($AM$2:$BM$1001,MATCH(ROWS($AF$2:AF941),$AF$2:$AF$1001,0),MATCH(COLUMNS($AM$1006:AS1006),$AM$1006:$BM$1006,0)), HYPERLINK("#",""), HYPERLINK(CONCATENATE("#metadata!", ADDRESS(INDEX($AH$2:$AH$1001,MATCH(ROWS($AF$2:AF941),$AF$2:$AF$1001,0),0), INDEX($AM$1004:$BM$1004,1,MATCH(COLUMNS($AM$1006:AS1006),$AM$1006:$BM$1006,0)))),"Fix")))</f>
        <v xml:space="preserve"> </v>
      </c>
      <c r="I941" s="4" t="str">
        <f ca="1">IF(OR(INDEX($AG$2:$AG$1001,MATCH(ROWS($AF$2:AF941),$AF$2:$AF$1001,0),1)&gt;=100000,INDEX($AM$1005:$BM$1005,1,MATCH(COLUMNS($AM$1006:AT1006),$AM$1006:$BM$1006,0))&gt;=100000), " ",IF(INDEX($AM$2:$BM$1001,MATCH(ROWS($AF$2:AF941),$AF$2:$AF$1001,0),MATCH(COLUMNS($AM$1006:AT1006),$AM$1006:$BM$1006,0)), HYPERLINK("#",""), HYPERLINK(CONCATENATE("#metadata!", ADDRESS(INDEX($AH$2:$AH$1001,MATCH(ROWS($AF$2:AF941),$AF$2:$AF$1001,0),0), INDEX($AM$1004:$BM$1004,1,MATCH(COLUMNS($AM$1006:AT1006),$AM$1006:$BM$1006,0)))),"Fix")))</f>
        <v xml:space="preserve"> </v>
      </c>
      <c r="J941" s="4" t="str">
        <f ca="1">IF(OR(INDEX($AG$2:$AG$1001,MATCH(ROWS($AF$2:AF941),$AF$2:$AF$1001,0),1)&gt;=100000,INDEX($AM$1005:$BM$1005,1,MATCH(COLUMNS($AM$1006:AU1006),$AM$1006:$BM$1006,0))&gt;=100000), " ",IF(INDEX($AM$2:$BM$1001,MATCH(ROWS($AF$2:AF941),$AF$2:$AF$1001,0),MATCH(COLUMNS($AM$1006:AU1006),$AM$1006:$BM$1006,0)), HYPERLINK("#",""), HYPERLINK(CONCATENATE("#metadata!", ADDRESS(INDEX($AH$2:$AH$1001,MATCH(ROWS($AF$2:AF941),$AF$2:$AF$1001,0),0), INDEX($AM$1004:$BM$1004,1,MATCH(COLUMNS($AM$1006:AU1006),$AM$1006:$BM$1006,0)))),"Fix")))</f>
        <v xml:space="preserve"> </v>
      </c>
      <c r="K941" s="4" t="str">
        <f ca="1">IF(OR(INDEX($AG$2:$AG$1001,MATCH(ROWS($AF$2:AF941),$AF$2:$AF$1001,0),1)&gt;=100000,INDEX($AM$1005:$BM$1005,1,MATCH(COLUMNS($AM$1006:AV1006),$AM$1006:$BM$1006,0))&gt;=100000), " ",IF(INDEX($AM$2:$BM$1001,MATCH(ROWS($AF$2:AF941),$AF$2:$AF$1001,0),MATCH(COLUMNS($AM$1006:AV1006),$AM$1006:$BM$1006,0)), HYPERLINK("#",""), HYPERLINK(CONCATENATE("#metadata!", ADDRESS(INDEX($AH$2:$AH$1001,MATCH(ROWS($AF$2:AF941),$AF$2:$AF$1001,0),0), INDEX($AM$1004:$BM$1004,1,MATCH(COLUMNS($AM$1006:AV1006),$AM$1006:$BM$1006,0)))),"Fix")))</f>
        <v xml:space="preserve"> </v>
      </c>
      <c r="L941" s="4" t="str">
        <f ca="1">IF(OR(INDEX($AG$2:$AG$1001,MATCH(ROWS($AF$2:AF941),$AF$2:$AF$1001,0),1)&gt;=100000,INDEX($AM$1005:$BM$1005,1,MATCH(COLUMNS($AM$1006:AW1006),$AM$1006:$BM$1006,0))&gt;=100000), " ",IF(INDEX($AM$2:$BM$1001,MATCH(ROWS($AF$2:AF941),$AF$2:$AF$1001,0),MATCH(COLUMNS($AM$1006:AW1006),$AM$1006:$BM$1006,0)), HYPERLINK("#",""), HYPERLINK(CONCATENATE("#metadata!", ADDRESS(INDEX($AH$2:$AH$1001,MATCH(ROWS($AF$2:AF941),$AF$2:$AF$1001,0),0), INDEX($AM$1004:$BM$1004,1,MATCH(COLUMNS($AM$1006:AW1006),$AM$1006:$BM$1006,0)))),"Fix")))</f>
        <v xml:space="preserve"> </v>
      </c>
      <c r="M941" s="4" t="str">
        <f ca="1">IF(OR(INDEX($AG$2:$AG$1001,MATCH(ROWS($AF$2:AF941),$AF$2:$AF$1001,0),1)&gt;=100000,INDEX($AM$1005:$BM$1005,1,MATCH(COLUMNS($AM$1006:AX1006),$AM$1006:$BM$1006,0))&gt;=100000), " ",IF(INDEX($AM$2:$BM$1001,MATCH(ROWS($AF$2:AF941),$AF$2:$AF$1001,0),MATCH(COLUMNS($AM$1006:AX1006),$AM$1006:$BM$1006,0)), HYPERLINK("#",""), HYPERLINK(CONCATENATE("#metadata!", ADDRESS(INDEX($AH$2:$AH$1001,MATCH(ROWS($AF$2:AF941),$AF$2:$AF$1001,0),0), INDEX($AM$1004:$BM$1004,1,MATCH(COLUMNS($AM$1006:AX1006),$AM$1006:$BM$1006,0)))),"Fix")))</f>
        <v xml:space="preserve"> </v>
      </c>
      <c r="N941" s="4" t="str">
        <f ca="1">IF(OR(INDEX($AG$2:$AG$1001,MATCH(ROWS($AF$2:AF941),$AF$2:$AF$1001,0),1)&gt;=100000,INDEX($AM$1005:$BM$1005,1,MATCH(COLUMNS($AM$1006:AY1006),$AM$1006:$BM$1006,0))&gt;=100000), " ",IF(INDEX($AM$2:$BM$1001,MATCH(ROWS($AF$2:AF941),$AF$2:$AF$1001,0),MATCH(COLUMNS($AM$1006:AY1006),$AM$1006:$BM$1006,0)), HYPERLINK("#",""), HYPERLINK(CONCATENATE("#metadata!", ADDRESS(INDEX($AH$2:$AH$1001,MATCH(ROWS($AF$2:AF941),$AF$2:$AF$1001,0),0), INDEX($AM$1004:$BM$1004,1,MATCH(COLUMNS($AM$1006:AY1006),$AM$1006:$BM$1006,0)))),"Fix")))</f>
        <v xml:space="preserve"> </v>
      </c>
      <c r="O941" s="4" t="str">
        <f ca="1">IF(OR(INDEX($AG$2:$AG$1001,MATCH(ROWS($AF$2:AF941),$AF$2:$AF$1001,0),1)&gt;=100000,INDEX($AM$1005:$BM$1005,1,MATCH(COLUMNS($AM$1006:AZ1006),$AM$1006:$BM$1006,0))&gt;=100000), " ",IF(INDEX($AM$2:$BM$1001,MATCH(ROWS($AF$2:AF941),$AF$2:$AF$1001,0),MATCH(COLUMNS($AM$1006:AZ1006),$AM$1006:$BM$1006,0)), HYPERLINK("#",""), HYPERLINK(CONCATENATE("#metadata!", ADDRESS(INDEX($AH$2:$AH$1001,MATCH(ROWS($AF$2:AF941),$AF$2:$AF$1001,0),0), INDEX($AM$1004:$BM$1004,1,MATCH(COLUMNS($AM$1006:AZ1006),$AM$1006:$BM$1006,0)))),"Fix")))</f>
        <v xml:space="preserve"> </v>
      </c>
      <c r="P941" s="4" t="str">
        <f ca="1">IF(OR(INDEX($AG$2:$AG$1001,MATCH(ROWS($AF$2:AF941),$AF$2:$AF$1001,0),1)&gt;=100000,INDEX($AM$1005:$BM$1005,1,MATCH(COLUMNS($AM$1006:BA1006),$AM$1006:$BM$1006,0))&gt;=100000), " ",IF(INDEX($AM$2:$BM$1001,MATCH(ROWS($AF$2:AF941),$AF$2:$AF$1001,0),MATCH(COLUMNS($AM$1006:BA1006),$AM$1006:$BM$1006,0)), HYPERLINK("#",""), HYPERLINK(CONCATENATE("#metadata!", ADDRESS(INDEX($AH$2:$AH$1001,MATCH(ROWS($AF$2:AF941),$AF$2:$AF$1001,0),0), INDEX($AM$1004:$BM$1004,1,MATCH(COLUMNS($AM$1006:BA1006),$AM$1006:$BM$1006,0)))),"Fix")))</f>
        <v xml:space="preserve"> </v>
      </c>
      <c r="Q941" s="4" t="str">
        <f ca="1">IF(OR(INDEX($AG$2:$AG$1001,MATCH(ROWS($AF$2:AF941),$AF$2:$AF$1001,0),1)&gt;=100000,INDEX($AM$1005:$BM$1005,1,MATCH(COLUMNS($AM$1006:BB1006),$AM$1006:$BM$1006,0))&gt;=100000), " ",IF(INDEX($AM$2:$BM$1001,MATCH(ROWS($AF$2:AF941),$AF$2:$AF$1001,0),MATCH(COLUMNS($AM$1006:BB1006),$AM$1006:$BM$1006,0)), HYPERLINK("#",""), HYPERLINK(CONCATENATE("#metadata!", ADDRESS(INDEX($AH$2:$AH$1001,MATCH(ROWS($AF$2:AF941),$AF$2:$AF$1001,0),0), INDEX($AM$1004:$BM$1004,1,MATCH(COLUMNS($AM$1006:BB1006),$AM$1006:$BM$1006,0)))),"Fix")))</f>
        <v xml:space="preserve"> </v>
      </c>
      <c r="R941" s="4" t="str">
        <f ca="1">IF(OR(INDEX($AG$2:$AG$1001,MATCH(ROWS($AF$2:AF941),$AF$2:$AF$1001,0),1)&gt;=100000,INDEX($AM$1005:$BM$1005,1,MATCH(COLUMNS($AM$1006:BC1006),$AM$1006:$BM$1006,0))&gt;=100000), " ",IF(INDEX($AM$2:$BM$1001,MATCH(ROWS($AF$2:AF941),$AF$2:$AF$1001,0),MATCH(COLUMNS($AM$1006:BC1006),$AM$1006:$BM$1006,0)), HYPERLINK("#",""), HYPERLINK(CONCATENATE("#metadata!", ADDRESS(INDEX($AH$2:$AH$1001,MATCH(ROWS($AF$2:AF941),$AF$2:$AF$1001,0),0), INDEX($AM$1004:$BM$1004,1,MATCH(COLUMNS($AM$1006:BC1006),$AM$1006:$BM$1006,0)))),"Fix")))</f>
        <v xml:space="preserve"> </v>
      </c>
      <c r="S941" s="4" t="str">
        <f ca="1">IF(OR(INDEX($AG$2:$AG$1001,MATCH(ROWS($AF$2:AF941),$AF$2:$AF$1001,0),1)&gt;=100000,INDEX($AM$1005:$BM$1005,1,MATCH(COLUMNS($AM$1006:BD1006),$AM$1006:$BM$1006,0))&gt;=100000), " ",IF(INDEX($AM$2:$BM$1001,MATCH(ROWS($AF$2:AF941),$AF$2:$AF$1001,0),MATCH(COLUMNS($AM$1006:BD1006),$AM$1006:$BM$1006,0)), HYPERLINK("#",""), HYPERLINK(CONCATENATE("#metadata!", ADDRESS(INDEX($AH$2:$AH$1001,MATCH(ROWS($AF$2:AF941),$AF$2:$AF$1001,0),0), INDEX($AM$1004:$BM$1004,1,MATCH(COLUMNS($AM$1006:BD1006),$AM$1006:$BM$1006,0)))),"Fix")))</f>
        <v xml:space="preserve"> </v>
      </c>
      <c r="T941" s="4" t="str">
        <f ca="1">IF(OR(INDEX($AG$2:$AG$1001,MATCH(ROWS($AF$2:AF941),$AF$2:$AF$1001,0),1)&gt;=100000,INDEX($AM$1005:$BM$1005,1,MATCH(COLUMNS($AM$1006:BE1006),$AM$1006:$BM$1006,0))&gt;=100000), " ",IF(INDEX($AM$2:$BM$1001,MATCH(ROWS($AF$2:AF941),$AF$2:$AF$1001,0),MATCH(COLUMNS($AM$1006:BE1006),$AM$1006:$BM$1006,0)), HYPERLINK("#",""), HYPERLINK(CONCATENATE("#metadata!", ADDRESS(INDEX($AH$2:$AH$1001,MATCH(ROWS($AF$2:AF941),$AF$2:$AF$1001,0),0), INDEX($AM$1004:$BM$1004,1,MATCH(COLUMNS($AM$1006:BE1006),$AM$1006:$BM$1006,0)))),"Fix")))</f>
        <v xml:space="preserve"> </v>
      </c>
      <c r="U941" s="4" t="str">
        <f ca="1">IF(OR(INDEX($AG$2:$AG$1001,MATCH(ROWS($AF$2:AF941),$AF$2:$AF$1001,0),1)&gt;=100000,INDEX($AM$1005:$BM$1005,1,MATCH(COLUMNS($AM$1006:BF1006),$AM$1006:$BM$1006,0))&gt;=100000), " ",IF(INDEX($AM$2:$BM$1001,MATCH(ROWS($AF$2:AF941),$AF$2:$AF$1001,0),MATCH(COLUMNS($AM$1006:BF1006),$AM$1006:$BM$1006,0)), HYPERLINK("#",""), HYPERLINK(CONCATENATE("#metadata!", ADDRESS(INDEX($AH$2:$AH$1001,MATCH(ROWS($AF$2:AF941),$AF$2:$AF$1001,0),0), INDEX($AM$1004:$BM$1004,1,MATCH(COLUMNS($AM$1006:BF1006),$AM$1006:$BM$1006,0)))),"Fix")))</f>
        <v xml:space="preserve"> </v>
      </c>
      <c r="V941" s="4" t="str">
        <f ca="1">IF(OR(INDEX($AG$2:$AG$1001,MATCH(ROWS($AF$2:AF941),$AF$2:$AF$1001,0),1)&gt;=100000,INDEX($AM$1005:$BM$1005,1,MATCH(COLUMNS($AM$1006:BG1006),$AM$1006:$BM$1006,0))&gt;=100000), " ",IF(INDEX($AM$2:$BM$1001,MATCH(ROWS($AF$2:AF941),$AF$2:$AF$1001,0),MATCH(COLUMNS($AM$1006:BG1006),$AM$1006:$BM$1006,0)), HYPERLINK("#",""), HYPERLINK(CONCATENATE("#metadata!", ADDRESS(INDEX($AH$2:$AH$1001,MATCH(ROWS($AF$2:AF941),$AF$2:$AF$1001,0),0), INDEX($AM$1004:$BM$1004,1,MATCH(COLUMNS($AM$1006:BG1006),$AM$1006:$BM$1006,0)))),"Fix")))</f>
        <v xml:space="preserve"> </v>
      </c>
      <c r="W941" s="4" t="str">
        <f ca="1">IF(OR(INDEX($AG$2:$AG$1001,MATCH(ROWS($AF$2:AF941),$AF$2:$AF$1001,0),1)&gt;=100000,INDEX($AM$1005:$BM$1005,1,MATCH(COLUMNS($AM$1006:BH1006),$AM$1006:$BM$1006,0))&gt;=100000), " ",IF(INDEX($AM$2:$BM$1001,MATCH(ROWS($AF$2:AF941),$AF$2:$AF$1001,0),MATCH(COLUMNS($AM$1006:BH1006),$AM$1006:$BM$1006,0)), HYPERLINK("#",""), HYPERLINK(CONCATENATE("#metadata!", ADDRESS(INDEX($AH$2:$AH$1001,MATCH(ROWS($AF$2:AF941),$AF$2:$AF$1001,0),0), INDEX($AM$1004:$BM$1004,1,MATCH(COLUMNS($AM$1006:BH1006),$AM$1006:$BM$1006,0)))),"Fix")))</f>
        <v xml:space="preserve"> </v>
      </c>
      <c r="X941" s="4" t="str">
        <f ca="1">IF(OR(INDEX($AG$2:$AG$1001,MATCH(ROWS($AF$2:AF941),$AF$2:$AF$1001,0),1)&gt;=100000,INDEX($AM$1005:$BM$1005,1,MATCH(COLUMNS($AM$1006:BI1006),$AM$1006:$BM$1006,0))&gt;=100000), " ",IF(INDEX($AM$2:$BM$1001,MATCH(ROWS($AF$2:AF941),$AF$2:$AF$1001,0),MATCH(COLUMNS($AM$1006:BI1006),$AM$1006:$BM$1006,0)), HYPERLINK("#",""), HYPERLINK(CONCATENATE("#metadata!", ADDRESS(INDEX($AH$2:$AH$1001,MATCH(ROWS($AF$2:AF941),$AF$2:$AF$1001,0),0), INDEX($AM$1004:$BM$1004,1,MATCH(COLUMNS($AM$1006:BI1006),$AM$1006:$BM$1006,0)))),"Fix")))</f>
        <v xml:space="preserve"> </v>
      </c>
      <c r="Y941" s="4" t="str">
        <f ca="1">IF(OR(INDEX($AG$2:$AG$1001,MATCH(ROWS($AF$2:AF941),$AF$2:$AF$1001,0),1)&gt;=100000,INDEX($AM$1005:$BM$1005,1,MATCH(COLUMNS($AM$1006:BJ1006),$AM$1006:$BM$1006,0))&gt;=100000), " ",IF(INDEX($AM$2:$BM$1001,MATCH(ROWS($AF$2:AF941),$AF$2:$AF$1001,0),MATCH(COLUMNS($AM$1006:BJ1006),$AM$1006:$BM$1006,0)), HYPERLINK("#",""), HYPERLINK(CONCATENATE("#metadata!", ADDRESS(INDEX($AH$2:$AH$1001,MATCH(ROWS($AF$2:AF941),$AF$2:$AF$1001,0),0), INDEX($AM$1004:$BM$1004,1,MATCH(COLUMNS($AM$1006:BJ1006),$AM$1006:$BM$1006,0)))),"Fix")))</f>
        <v xml:space="preserve"> </v>
      </c>
      <c r="Z941" s="4" t="str">
        <f ca="1">IF(OR(INDEX($AG$2:$AG$1001,MATCH(ROWS($AF$2:AF941),$AF$2:$AF$1001,0),1)&gt;=100000,INDEX($AM$1005:$BM$1005,1,MATCH(COLUMNS($AM$1006:BK1006),$AM$1006:$BM$1006,0))&gt;=100000), " ",IF(INDEX($AM$2:$BM$1001,MATCH(ROWS($AF$2:AF941),$AF$2:$AF$1001,0),MATCH(COLUMNS($AM$1006:BK1006),$AM$1006:$BM$1006,0)), HYPERLINK("#",""), HYPERLINK(CONCATENATE("#metadata!", ADDRESS(INDEX($AH$2:$AH$1001,MATCH(ROWS($AF$2:AF941),$AF$2:$AF$1001,0),0), INDEX($AM$1004:$BM$1004,1,MATCH(COLUMNS($AM$1006:BK1006),$AM$1006:$BM$1006,0)))),"Fix")))</f>
        <v xml:space="preserve"> </v>
      </c>
      <c r="AA941" s="4" t="str">
        <f ca="1">IF(OR(INDEX($AG$2:$AG$1001,MATCH(ROWS($AF$2:AF941),$AF$2:$AF$1001,0),1)&gt;=100000,INDEX($AM$1005:$BM$1005,1,MATCH(COLUMNS($AM$1006:BL1006),$AM$1006:$BM$1006,0))&gt;=100000), " ",IF(INDEX($AM$2:$BM$1001,MATCH(ROWS($AF$2:AF941),$AF$2:$AF$1001,0),MATCH(COLUMNS($AM$1006:BL1006),$AM$1006:$BM$1006,0)), HYPERLINK("#",""), HYPERLINK(CONCATENATE("#metadata!", ADDRESS(INDEX($AH$2:$AH$1001,MATCH(ROWS($AF$2:AF941),$AF$2:$AF$1001,0),0), INDEX($AM$1004:$BM$1004,1,MATCH(COLUMNS($AM$1006:BL1006),$AM$1006:$BM$1006,0)))),"Fix")))</f>
        <v xml:space="preserve"> </v>
      </c>
      <c r="AB941" s="4" t="str">
        <f ca="1">IF(OR(INDEX($AG$2:$AG$1001,MATCH(ROWS($AF$2:AF941),$AF$2:$AF$1001,0),1)&gt;=100000,INDEX($AM$1005:$BM$1005,1,MATCH(COLUMNS($AM$1006:BM1006),$AM$1006:$BM$1006,0))&gt;=100000), " ",IF(INDEX($AM$2:$BM$1001,MATCH(ROWS($AF$2:AF941),$AF$2:$AF$1001,0),MATCH(COLUMNS($AM$1006:BM1006),$AM$1006:$BM$1006,0)), HYPERLINK("#",""), HYPERLINK(CONCATENATE("#metadata!", ADDRESS(INDEX($AH$2:$AH$1001,MATCH(ROWS($AF$2:AF941),$AF$2:$AF$1001,0),0), INDEX($AM$1004:$BM$1004,1,MATCH(COLUMNS($AM$1006:BM1006),$AM$1006:$BM$1006,0)))),"Fix")))</f>
        <v xml:space="preserve"> </v>
      </c>
      <c r="AF941">
        <v>940</v>
      </c>
      <c r="AG941">
        <v>100941</v>
      </c>
      <c r="AH941">
        <v>941</v>
      </c>
      <c r="AI941" t="b">
        <f t="shared" si="14"/>
        <v>1</v>
      </c>
      <c r="AJ941" t="b">
        <f>COUNTBLANK(metadata!B941:AB941)=COLUMNS(metadata!B941:AB941)</f>
        <v>1</v>
      </c>
      <c r="AK941" t="str">
        <v/>
      </c>
      <c r="AM941" t="b">
        <f ca="1">AND(IF(metadata!B941="",FALSE,TRUE),COUNTIF(metadata!B:B, metadata!B941) = 1,NOT(ISERROR(SUMPRODUCT(SEARCH(MID(metadata!B941,ROW(INDIRECT("1:"&amp;LEN(metadata!B941))), 1),"0123456789abcdefghijklmnopqrstuvwxyzABCDEFGHIJKLMNOPQRSTUVWXYZ.")))))</f>
        <v>0</v>
      </c>
      <c r="AN941" t="b">
        <f ca="1">OR(AND(IF(metadata!C941="",FALSE,TRUE),OR(EXACT(metadata!C941,"missing: not collected"),EXACT(metadata!C941,"missing: not provided"),EXACT(metadata!C941,"missing: restricted access"))),AND(IF(metadata!C941="",FALSE,TRUE),AND(AND(IFERROR(INT(LEFT(metadata!C941,4))&gt;1900,FALSE),IFERROR(INT(LEFT(metadata!C941,4))&lt;=YEAR(NOW()),FALSE)), OR(MID(metadata!C941,5,1)="", AND(AND(MID(metadata!C941,5,1)="-",IFERROR(INT(MID(metadata!C941,6,1))&gt;=0,FALSE),IFERROR(INT(MID(metadata!C941,6,1))&lt;=1,FALSE),NOT(MID(metadata!C941,7,1)=""),IFERROR(INT(MID(metadata!C941,6,2))&gt;=1,FALSE),IFERROR(INT(MID(metadata!C941,6,2))&lt;=12,FALSE)), OR(MID(metadata!C941,8,1)="", AND(AND(MID(metadata!C941,8,1)="-",IFERROR(INT(MID(metadata!C941,9,1))&gt;=0,FALSE),IFERROR(INT(MID(metadata!C941,9,1))&lt;=3,FALSE),NOT(MID(metadata!C941,10,1)=""),IFERROR(INT(MID(metadata!C941,9,2))&gt;=1,FALSE),IFERROR(INT(MID(metadata!C941,9,2))&lt;=31,FALSE)), OR(MID(metadata!C941,11,1)="", AND(AND(MID(metadata!C941,11,1)=" ",IFERROR(INT(MID(metadata!C941,12,1))&gt;=0,FALSE),IFERROR(INT(MID(metadata!C941,12,1))&lt;=2,FALSE),NOT(MID(metadata!C941,13,1)=""),IFERROR(INT(MID(metadata!C941,12,2))&gt;=0,FALSE),IFERROR(INT(MID(metadata!C941,12,2))&lt;=23,FALSE)), OR(MID(metadata!C941,14,1)="", AND(AND(MID(metadata!C941,14,1)=":",IFERROR(INT(MID(metadata!C941,15,1))&gt;=0,FALSE),IFERROR(INT(MID(metadata!C941,15,1))&lt;=5,FALSE),NOT(MID(metadata!C941,16,1)=""),IFERROR(INT(MID(metadata!C941,15,2))&gt;=0,FALSE),IFERROR(INT(MID(metadata!C941,15,2))&lt;=59,FALSE)), OR(MID(metadata!C941,17,1)="", AND(AND(MID(metadata!C941,17,1)=":",IFERROR(INT(MID(metadata!C941,18,1))&gt;=0,FALSE),IFERROR(INT(MID(metadata!C941,18,1))&lt;=5,FALSE),NOT(MID(metadata!C941,19,1)=""),IFERROR(INT(MID(metadata!C941,18,2))&gt;=0,FALSE),IFERROR(INT(MID(metadata!C941,18,2))&lt;=59,FALSE)), LEN(metadata!C941)&lt;=19)))))))))))))</f>
        <v>0</v>
      </c>
      <c r="AO941" t="b">
        <f>AND(IF(metadata!D941="",FALSE,TRUE),EXACT(metadata!D941,"Not applicable"))</f>
        <v>0</v>
      </c>
      <c r="AP941" t="b">
        <f>IF(metadata!E941="",FALSE,TRUE)</f>
        <v>0</v>
      </c>
      <c r="AQ941" t="b">
        <f>OR(AND(IF(metadata!F941="",FALSE,TRUE),OR(EXACT(metadata!F941,"missing: not collected"),EXACT(metadata!F941,"missing: not provided"))),AND(IF(metadata!F941="",FALSE,TRUE),OR(EXACT(metadata!F941,"TRUE"),EXACT(metadata!F941,"FALSE"))))</f>
        <v>0</v>
      </c>
      <c r="AR941" t="b">
        <f>OR(AND(IF(metadata!G941="",FALSE,TRUE),OR(EXACT(metadata!G941,"missing: not collected"),EXACT(metadata!G941,"missing: not provided"),EXACT(metadata!G941,"missing: restricted access"))),AND(IF(metadata!G941="",FALSE,ISNUMBER(VALUE(metadata!G941))),metadata!G941&gt;=-413))</f>
        <v>0</v>
      </c>
      <c r="AS941" t="b">
        <f>AND(IF(metadata!H941="",FALSE,TRUE),EXACT(metadata!H941,"meters"))</f>
        <v>0</v>
      </c>
      <c r="AT941" t="b">
        <f>AND(IF(metadata!I941="",FALSE,TRUE),OR(EXACT(metadata!I941,"Host-associated"),EXACT(metadata!I941,"Free-living")))</f>
        <v>0</v>
      </c>
      <c r="AU941" t="b">
        <f>AND(IF(metadata!J941="",FALSE,TRUE),OR(EXACT(metadata!J941,"Animal"),EXACT(metadata!J941,"Fungus"),EXACT(metadata!J941,"Plant"),EXACT(metadata!J941,"Saline"),EXACT(metadata!J941,"Non-saline")))</f>
        <v>0</v>
      </c>
      <c r="AV941" t="b">
        <f>AND(IF(metadata!K941="",FALSE,TRUE),OR(EXACT(metadata!K941,"Plant secretion"),EXACT(metadata!K941,"Plant rhizosphere"),EXACT(metadata!K941,"Plant surface"),EXACT(metadata!K941,"Plant corpus"),EXACT(metadata!K941,"Fungus surface"),EXACT(metadata!K941,"Fungus corpus"),EXACT(metadata!K941,"Animal surface"),EXACT(metadata!K941,"Animal proximal gut"),EXACT(metadata!K941,"Animal corpus"),EXACT(metadata!K941,"Animal distal gut"),EXACT(metadata!K941,"Animal secretion"),EXACT(metadata!K941,"Sub-surface (non-saline)"),EXACT(metadata!K941,"Surface (non-saline)"),EXACT(metadata!K941,"Water (non-saline)"),EXACT(metadata!K941,"Soil (non-saline)"),EXACT(metadata!K941,"Aerosol (non-saline)"),EXACT(metadata!K941,"Sediment (non-saline)"),EXACT(metadata!K941,"Surface (saline)"),EXACT(metadata!K941,"Water (saline)"),EXACT(metadata!K941,"Hypersaline (saline)"),EXACT(metadata!K941,"Aerosol (saline)"),EXACT(metadata!K941,"Sediment (saline)")))</f>
        <v>0</v>
      </c>
      <c r="AW941" t="b">
        <f>IF(metadata!L941="",FALSE,TRUE)</f>
        <v>0</v>
      </c>
      <c r="AX941" t="b">
        <f>IF(metadata!M941="",FALSE,TRUE)</f>
        <v>0</v>
      </c>
      <c r="AY941" t="b">
        <f>IF(metadata!N941="",FALSE,TRUE)</f>
        <v>0</v>
      </c>
      <c r="AZ941" t="b">
        <f>OR(AND(IF(metadata!O941="",FALSE,TRUE),OR(EXACT(metadata!O941,"missing: not collected"),EXACT(metadata!O941,"missing: not provided"),EXACT(metadata!O941,"missing: restricted access"))),AND(IF(metadata!O941="",FALSE,TRUE),OR(EXACT(metadata!O941,"air"),EXACT(metadata!O941,"built environment"),EXACT(metadata!O941,"host-associated"),EXACT(metadata!O941,"human-associated"),EXACT(metadata!O941,"human-skin"),EXACT(metadata!O941,"human-oral"),EXACT(metadata!O941,"human-gut"),EXACT(metadata!O941,"human-vaginal"),EXACT(metadata!O941,"microbial mat/biofilm"),EXACT(metadata!O941,"misc environment"),EXACT(metadata!O941,"plant-associated"),EXACT(metadata!O941,"sediment"),EXACT(metadata!O941,"soil"),EXACT(metadata!O941,"wastewater/sludge"),EXACT(metadata!O941,"water"))))</f>
        <v>0</v>
      </c>
      <c r="BA941" t="b">
        <f>IF(metadata!P941="",FALSE,TRUE)</f>
        <v>0</v>
      </c>
      <c r="BB941" t="b">
        <f>IF(metadata!Q941="",FALSE,TRUE)</f>
        <v>0</v>
      </c>
      <c r="BC941" t="b">
        <f>OR(AND(IF(metadata!R941="",FALSE,TRUE),OR(EXACT(metadata!R941,"missing: not collected"),EXACT(metadata!R941,"missing: not provided"),EXACT(metadata!R941,"missing: restricted access"))),AND(IF(metadata!R941="",FALSE,ISNUMBER(VALUE(metadata!R941))),metadata!R941&gt;=-90,metadata!R941&lt;=90))</f>
        <v>0</v>
      </c>
      <c r="BD941" t="b">
        <f>AND(IF(metadata!S941="",FALSE,TRUE),EXACT(metadata!S941,"Decimal degrees"))</f>
        <v>0</v>
      </c>
      <c r="BE941" t="b">
        <f>OR(AND(IF(metadata!T941="",FALSE,TRUE),OR(EXACT(metadata!T941,"missing: not collected"),EXACT(metadata!T941,"missing: not provided"),EXACT(metadata!T941,"missing: restricted access"))),AND(IF(metadata!T941="",FALSE,ISNUMBER(VALUE(metadata!T941))),metadata!T941&gt;=-180,metadata!T941&lt;=180))</f>
        <v>0</v>
      </c>
      <c r="BF941" t="b">
        <f>AND(IF(metadata!U941="",FALSE,TRUE),EXACT(metadata!U941,"Decimal degrees"))</f>
        <v>0</v>
      </c>
      <c r="BG941" t="b">
        <f>IF(metadata!V941="",FALSE,TRUE)</f>
        <v>0</v>
      </c>
      <c r="BH941" t="b">
        <f>OR(AND(IF(metadata!W941="",FALSE,TRUE),OR(EXACT(metadata!W941,"missing: not collected"),EXACT(metadata!W941,"missing: not provided"),EXACT(metadata!W941,"missing: restricted access"))),AND(IF(metadata!W941="",FALSE,TRUE),OR(EXACT(metadata!W941,"TRUE"),EXACT(metadata!W941,"FALSE"))))</f>
        <v>0</v>
      </c>
      <c r="BI941" t="b">
        <f>AND(IF(metadata!X941="",FALSE,TRUE),EXACT(metadata!X941,"other"))</f>
        <v>0</v>
      </c>
      <c r="BJ941" t="b">
        <f>IF(metadata!Y941="",FALSE,TRUE)</f>
        <v>0</v>
      </c>
      <c r="BK941" t="b">
        <f>OR(AND(IF(metadata!Z941="",FALSE,TRUE),OR(EXACT(metadata!Z941,"missing: not collected"),EXACT(metadata!Z941,"missing: not provided"))),AND(IF(metadata!Z941="",FALSE,IF(ISERROR(INT(metadata!Z941)),FALSE,INT(metadata!Z941)=metadata!Z941)),metadata!Z941&gt;0))</f>
        <v>0</v>
      </c>
      <c r="BL941" t="b">
        <f>AND(IF(metadata!AA941="",FALSE,TRUE),EXACT(metadata!AA941,"Not applicable"))</f>
        <v>0</v>
      </c>
      <c r="BM941" t="b">
        <f>IF(metadata!AB941="",FALSE,TRUE)</f>
        <v>0</v>
      </c>
    </row>
    <row r="942" spans="1:65" x14ac:dyDescent="0.2">
      <c r="A942" s="5" t="str">
        <f ca="1">IF(B942=" "," ",HYPERLINK(CONCATENATE("#metadata!",ADDRESS(INDEX($AH$2:$AH$1001,MATCH(ROWS($AF$2:AF942),$AF$2:$AF$1001,0),0),1)),INDEX($AK$2:$AK$1001,MATCH(ROWS($AF$2:AF942),$AF$2:$AF$1001,0),0)))</f>
        <v xml:space="preserve"> </v>
      </c>
      <c r="B942" s="4" t="str">
        <f ca="1">IF(OR(INDEX($AG$2:$AG$1001,MATCH(ROWS($AF$2:AF942),$AF$2:$AF$1001,0),1)&gt;=100000,INDEX($AM$1005:$BM$1005,1,MATCH(COLUMNS($AM$1006:AM1006),$AM$1006:$BM$1006,0))&gt;=100000), " ",IF(INDEX($AM$2:$BM$1001,MATCH(ROWS($AF$2:AF942),$AF$2:$AF$1001,0),MATCH(COLUMNS($AM$1006:AM1006),$AM$1006:$BM$1006,0)), HYPERLINK("#",""), HYPERLINK(CONCATENATE("#metadata!", ADDRESS(INDEX($AH$2:$AH$1001,MATCH(ROWS($AF$2:AF942),$AF$2:$AF$1001,0),0), INDEX($AM$1004:$BM$1004,1,MATCH(COLUMNS($AM$1006:AM1006),$AM$1006:$BM$1006,0)))),"Fix")))</f>
        <v xml:space="preserve"> </v>
      </c>
      <c r="C942" s="4" t="str">
        <f ca="1">IF(OR(INDEX($AG$2:$AG$1001,MATCH(ROWS($AF$2:AF942),$AF$2:$AF$1001,0),1)&gt;=100000,INDEX($AM$1005:$BM$1005,1,MATCH(COLUMNS($AM$1006:AN1006),$AM$1006:$BM$1006,0))&gt;=100000), " ",IF(INDEX($AM$2:$BM$1001,MATCH(ROWS($AF$2:AF942),$AF$2:$AF$1001,0),MATCH(COLUMNS($AM$1006:AN1006),$AM$1006:$BM$1006,0)), HYPERLINK("#",""), HYPERLINK(CONCATENATE("#metadata!", ADDRESS(INDEX($AH$2:$AH$1001,MATCH(ROWS($AF$2:AF942),$AF$2:$AF$1001,0),0), INDEX($AM$1004:$BM$1004,1,MATCH(COLUMNS($AM$1006:AN1006),$AM$1006:$BM$1006,0)))),"Fix")))</f>
        <v xml:space="preserve"> </v>
      </c>
      <c r="D942" s="4" t="str">
        <f ca="1">IF(OR(INDEX($AG$2:$AG$1001,MATCH(ROWS($AF$2:AF942),$AF$2:$AF$1001,0),1)&gt;=100000,INDEX($AM$1005:$BM$1005,1,MATCH(COLUMNS($AM$1006:AO1006),$AM$1006:$BM$1006,0))&gt;=100000), " ",IF(INDEX($AM$2:$BM$1001,MATCH(ROWS($AF$2:AF942),$AF$2:$AF$1001,0),MATCH(COLUMNS($AM$1006:AO1006),$AM$1006:$BM$1006,0)), HYPERLINK("#",""), HYPERLINK(CONCATENATE("#metadata!", ADDRESS(INDEX($AH$2:$AH$1001,MATCH(ROWS($AF$2:AF942),$AF$2:$AF$1001,0),0), INDEX($AM$1004:$BM$1004,1,MATCH(COLUMNS($AM$1006:AO1006),$AM$1006:$BM$1006,0)))),"Fix")))</f>
        <v xml:space="preserve"> </v>
      </c>
      <c r="E942" s="4" t="str">
        <f ca="1">IF(OR(INDEX($AG$2:$AG$1001,MATCH(ROWS($AF$2:AF942),$AF$2:$AF$1001,0),1)&gt;=100000,INDEX($AM$1005:$BM$1005,1,MATCH(COLUMNS($AM$1006:AP1006),$AM$1006:$BM$1006,0))&gt;=100000), " ",IF(INDEX($AM$2:$BM$1001,MATCH(ROWS($AF$2:AF942),$AF$2:$AF$1001,0),MATCH(COLUMNS($AM$1006:AP1006),$AM$1006:$BM$1006,0)), HYPERLINK("#",""), HYPERLINK(CONCATENATE("#metadata!", ADDRESS(INDEX($AH$2:$AH$1001,MATCH(ROWS($AF$2:AF942),$AF$2:$AF$1001,0),0), INDEX($AM$1004:$BM$1004,1,MATCH(COLUMNS($AM$1006:AP1006),$AM$1006:$BM$1006,0)))),"Fix")))</f>
        <v xml:space="preserve"> </v>
      </c>
      <c r="F942" s="4" t="str">
        <f ca="1">IF(OR(INDEX($AG$2:$AG$1001,MATCH(ROWS($AF$2:AF942),$AF$2:$AF$1001,0),1)&gt;=100000,INDEX($AM$1005:$BM$1005,1,MATCH(COLUMNS($AM$1006:AQ1006),$AM$1006:$BM$1006,0))&gt;=100000), " ",IF(INDEX($AM$2:$BM$1001,MATCH(ROWS($AF$2:AF942),$AF$2:$AF$1001,0),MATCH(COLUMNS($AM$1006:AQ1006),$AM$1006:$BM$1006,0)), HYPERLINK("#",""), HYPERLINK(CONCATENATE("#metadata!", ADDRESS(INDEX($AH$2:$AH$1001,MATCH(ROWS($AF$2:AF942),$AF$2:$AF$1001,0),0), INDEX($AM$1004:$BM$1004,1,MATCH(COLUMNS($AM$1006:AQ1006),$AM$1006:$BM$1006,0)))),"Fix")))</f>
        <v xml:space="preserve"> </v>
      </c>
      <c r="G942" s="4" t="str">
        <f ca="1">IF(OR(INDEX($AG$2:$AG$1001,MATCH(ROWS($AF$2:AF942),$AF$2:$AF$1001,0),1)&gt;=100000,INDEX($AM$1005:$BM$1005,1,MATCH(COLUMNS($AM$1006:AR1006),$AM$1006:$BM$1006,0))&gt;=100000), " ",IF(INDEX($AM$2:$BM$1001,MATCH(ROWS($AF$2:AF942),$AF$2:$AF$1001,0),MATCH(COLUMNS($AM$1006:AR1006),$AM$1006:$BM$1006,0)), HYPERLINK("#",""), HYPERLINK(CONCATENATE("#metadata!", ADDRESS(INDEX($AH$2:$AH$1001,MATCH(ROWS($AF$2:AF942),$AF$2:$AF$1001,0),0), INDEX($AM$1004:$BM$1004,1,MATCH(COLUMNS($AM$1006:AR1006),$AM$1006:$BM$1006,0)))),"Fix")))</f>
        <v xml:space="preserve"> </v>
      </c>
      <c r="H942" s="4" t="str">
        <f ca="1">IF(OR(INDEX($AG$2:$AG$1001,MATCH(ROWS($AF$2:AF942),$AF$2:$AF$1001,0),1)&gt;=100000,INDEX($AM$1005:$BM$1005,1,MATCH(COLUMNS($AM$1006:AS1006),$AM$1006:$BM$1006,0))&gt;=100000), " ",IF(INDEX($AM$2:$BM$1001,MATCH(ROWS($AF$2:AF942),$AF$2:$AF$1001,0),MATCH(COLUMNS($AM$1006:AS1006),$AM$1006:$BM$1006,0)), HYPERLINK("#",""), HYPERLINK(CONCATENATE("#metadata!", ADDRESS(INDEX($AH$2:$AH$1001,MATCH(ROWS($AF$2:AF942),$AF$2:$AF$1001,0),0), INDEX($AM$1004:$BM$1004,1,MATCH(COLUMNS($AM$1006:AS1006),$AM$1006:$BM$1006,0)))),"Fix")))</f>
        <v xml:space="preserve"> </v>
      </c>
      <c r="I942" s="4" t="str">
        <f ca="1">IF(OR(INDEX($AG$2:$AG$1001,MATCH(ROWS($AF$2:AF942),$AF$2:$AF$1001,0),1)&gt;=100000,INDEX($AM$1005:$BM$1005,1,MATCH(COLUMNS($AM$1006:AT1006),$AM$1006:$BM$1006,0))&gt;=100000), " ",IF(INDEX($AM$2:$BM$1001,MATCH(ROWS($AF$2:AF942),$AF$2:$AF$1001,0),MATCH(COLUMNS($AM$1006:AT1006),$AM$1006:$BM$1006,0)), HYPERLINK("#",""), HYPERLINK(CONCATENATE("#metadata!", ADDRESS(INDEX($AH$2:$AH$1001,MATCH(ROWS($AF$2:AF942),$AF$2:$AF$1001,0),0), INDEX($AM$1004:$BM$1004,1,MATCH(COLUMNS($AM$1006:AT1006),$AM$1006:$BM$1006,0)))),"Fix")))</f>
        <v xml:space="preserve"> </v>
      </c>
      <c r="J942" s="4" t="str">
        <f ca="1">IF(OR(INDEX($AG$2:$AG$1001,MATCH(ROWS($AF$2:AF942),$AF$2:$AF$1001,0),1)&gt;=100000,INDEX($AM$1005:$BM$1005,1,MATCH(COLUMNS($AM$1006:AU1006),$AM$1006:$BM$1006,0))&gt;=100000), " ",IF(INDEX($AM$2:$BM$1001,MATCH(ROWS($AF$2:AF942),$AF$2:$AF$1001,0),MATCH(COLUMNS($AM$1006:AU1006),$AM$1006:$BM$1006,0)), HYPERLINK("#",""), HYPERLINK(CONCATENATE("#metadata!", ADDRESS(INDEX($AH$2:$AH$1001,MATCH(ROWS($AF$2:AF942),$AF$2:$AF$1001,0),0), INDEX($AM$1004:$BM$1004,1,MATCH(COLUMNS($AM$1006:AU1006),$AM$1006:$BM$1006,0)))),"Fix")))</f>
        <v xml:space="preserve"> </v>
      </c>
      <c r="K942" s="4" t="str">
        <f ca="1">IF(OR(INDEX($AG$2:$AG$1001,MATCH(ROWS($AF$2:AF942),$AF$2:$AF$1001,0),1)&gt;=100000,INDEX($AM$1005:$BM$1005,1,MATCH(COLUMNS($AM$1006:AV1006),$AM$1006:$BM$1006,0))&gt;=100000), " ",IF(INDEX($AM$2:$BM$1001,MATCH(ROWS($AF$2:AF942),$AF$2:$AF$1001,0),MATCH(COLUMNS($AM$1006:AV1006),$AM$1006:$BM$1006,0)), HYPERLINK("#",""), HYPERLINK(CONCATENATE("#metadata!", ADDRESS(INDEX($AH$2:$AH$1001,MATCH(ROWS($AF$2:AF942),$AF$2:$AF$1001,0),0), INDEX($AM$1004:$BM$1004,1,MATCH(COLUMNS($AM$1006:AV1006),$AM$1006:$BM$1006,0)))),"Fix")))</f>
        <v xml:space="preserve"> </v>
      </c>
      <c r="L942" s="4" t="str">
        <f ca="1">IF(OR(INDEX($AG$2:$AG$1001,MATCH(ROWS($AF$2:AF942),$AF$2:$AF$1001,0),1)&gt;=100000,INDEX($AM$1005:$BM$1005,1,MATCH(COLUMNS($AM$1006:AW1006),$AM$1006:$BM$1006,0))&gt;=100000), " ",IF(INDEX($AM$2:$BM$1001,MATCH(ROWS($AF$2:AF942),$AF$2:$AF$1001,0),MATCH(COLUMNS($AM$1006:AW1006),$AM$1006:$BM$1006,0)), HYPERLINK("#",""), HYPERLINK(CONCATENATE("#metadata!", ADDRESS(INDEX($AH$2:$AH$1001,MATCH(ROWS($AF$2:AF942),$AF$2:$AF$1001,0),0), INDEX($AM$1004:$BM$1004,1,MATCH(COLUMNS($AM$1006:AW1006),$AM$1006:$BM$1006,0)))),"Fix")))</f>
        <v xml:space="preserve"> </v>
      </c>
      <c r="M942" s="4" t="str">
        <f ca="1">IF(OR(INDEX($AG$2:$AG$1001,MATCH(ROWS($AF$2:AF942),$AF$2:$AF$1001,0),1)&gt;=100000,INDEX($AM$1005:$BM$1005,1,MATCH(COLUMNS($AM$1006:AX1006),$AM$1006:$BM$1006,0))&gt;=100000), " ",IF(INDEX($AM$2:$BM$1001,MATCH(ROWS($AF$2:AF942),$AF$2:$AF$1001,0),MATCH(COLUMNS($AM$1006:AX1006),$AM$1006:$BM$1006,0)), HYPERLINK("#",""), HYPERLINK(CONCATENATE("#metadata!", ADDRESS(INDEX($AH$2:$AH$1001,MATCH(ROWS($AF$2:AF942),$AF$2:$AF$1001,0),0), INDEX($AM$1004:$BM$1004,1,MATCH(COLUMNS($AM$1006:AX1006),$AM$1006:$BM$1006,0)))),"Fix")))</f>
        <v xml:space="preserve"> </v>
      </c>
      <c r="N942" s="4" t="str">
        <f ca="1">IF(OR(INDEX($AG$2:$AG$1001,MATCH(ROWS($AF$2:AF942),$AF$2:$AF$1001,0),1)&gt;=100000,INDEX($AM$1005:$BM$1005,1,MATCH(COLUMNS($AM$1006:AY1006),$AM$1006:$BM$1006,0))&gt;=100000), " ",IF(INDEX($AM$2:$BM$1001,MATCH(ROWS($AF$2:AF942),$AF$2:$AF$1001,0),MATCH(COLUMNS($AM$1006:AY1006),$AM$1006:$BM$1006,0)), HYPERLINK("#",""), HYPERLINK(CONCATENATE("#metadata!", ADDRESS(INDEX($AH$2:$AH$1001,MATCH(ROWS($AF$2:AF942),$AF$2:$AF$1001,0),0), INDEX($AM$1004:$BM$1004,1,MATCH(COLUMNS($AM$1006:AY1006),$AM$1006:$BM$1006,0)))),"Fix")))</f>
        <v xml:space="preserve"> </v>
      </c>
      <c r="O942" s="4" t="str">
        <f ca="1">IF(OR(INDEX($AG$2:$AG$1001,MATCH(ROWS($AF$2:AF942),$AF$2:$AF$1001,0),1)&gt;=100000,INDEX($AM$1005:$BM$1005,1,MATCH(COLUMNS($AM$1006:AZ1006),$AM$1006:$BM$1006,0))&gt;=100000), " ",IF(INDEX($AM$2:$BM$1001,MATCH(ROWS($AF$2:AF942),$AF$2:$AF$1001,0),MATCH(COLUMNS($AM$1006:AZ1006),$AM$1006:$BM$1006,0)), HYPERLINK("#",""), HYPERLINK(CONCATENATE("#metadata!", ADDRESS(INDEX($AH$2:$AH$1001,MATCH(ROWS($AF$2:AF942),$AF$2:$AF$1001,0),0), INDEX($AM$1004:$BM$1004,1,MATCH(COLUMNS($AM$1006:AZ1006),$AM$1006:$BM$1006,0)))),"Fix")))</f>
        <v xml:space="preserve"> </v>
      </c>
      <c r="P942" s="4" t="str">
        <f ca="1">IF(OR(INDEX($AG$2:$AG$1001,MATCH(ROWS($AF$2:AF942),$AF$2:$AF$1001,0),1)&gt;=100000,INDEX($AM$1005:$BM$1005,1,MATCH(COLUMNS($AM$1006:BA1006),$AM$1006:$BM$1006,0))&gt;=100000), " ",IF(INDEX($AM$2:$BM$1001,MATCH(ROWS($AF$2:AF942),$AF$2:$AF$1001,0),MATCH(COLUMNS($AM$1006:BA1006),$AM$1006:$BM$1006,0)), HYPERLINK("#",""), HYPERLINK(CONCATENATE("#metadata!", ADDRESS(INDEX($AH$2:$AH$1001,MATCH(ROWS($AF$2:AF942),$AF$2:$AF$1001,0),0), INDEX($AM$1004:$BM$1004,1,MATCH(COLUMNS($AM$1006:BA1006),$AM$1006:$BM$1006,0)))),"Fix")))</f>
        <v xml:space="preserve"> </v>
      </c>
      <c r="Q942" s="4" t="str">
        <f ca="1">IF(OR(INDEX($AG$2:$AG$1001,MATCH(ROWS($AF$2:AF942),$AF$2:$AF$1001,0),1)&gt;=100000,INDEX($AM$1005:$BM$1005,1,MATCH(COLUMNS($AM$1006:BB1006),$AM$1006:$BM$1006,0))&gt;=100000), " ",IF(INDEX($AM$2:$BM$1001,MATCH(ROWS($AF$2:AF942),$AF$2:$AF$1001,0),MATCH(COLUMNS($AM$1006:BB1006),$AM$1006:$BM$1006,0)), HYPERLINK("#",""), HYPERLINK(CONCATENATE("#metadata!", ADDRESS(INDEX($AH$2:$AH$1001,MATCH(ROWS($AF$2:AF942),$AF$2:$AF$1001,0),0), INDEX($AM$1004:$BM$1004,1,MATCH(COLUMNS($AM$1006:BB1006),$AM$1006:$BM$1006,0)))),"Fix")))</f>
        <v xml:space="preserve"> </v>
      </c>
      <c r="R942" s="4" t="str">
        <f ca="1">IF(OR(INDEX($AG$2:$AG$1001,MATCH(ROWS($AF$2:AF942),$AF$2:$AF$1001,0),1)&gt;=100000,INDEX($AM$1005:$BM$1005,1,MATCH(COLUMNS($AM$1006:BC1006),$AM$1006:$BM$1006,0))&gt;=100000), " ",IF(INDEX($AM$2:$BM$1001,MATCH(ROWS($AF$2:AF942),$AF$2:$AF$1001,0),MATCH(COLUMNS($AM$1006:BC1006),$AM$1006:$BM$1006,0)), HYPERLINK("#",""), HYPERLINK(CONCATENATE("#metadata!", ADDRESS(INDEX($AH$2:$AH$1001,MATCH(ROWS($AF$2:AF942),$AF$2:$AF$1001,0),0), INDEX($AM$1004:$BM$1004,1,MATCH(COLUMNS($AM$1006:BC1006),$AM$1006:$BM$1006,0)))),"Fix")))</f>
        <v xml:space="preserve"> </v>
      </c>
      <c r="S942" s="4" t="str">
        <f ca="1">IF(OR(INDEX($AG$2:$AG$1001,MATCH(ROWS($AF$2:AF942),$AF$2:$AF$1001,0),1)&gt;=100000,INDEX($AM$1005:$BM$1005,1,MATCH(COLUMNS($AM$1006:BD1006),$AM$1006:$BM$1006,0))&gt;=100000), " ",IF(INDEX($AM$2:$BM$1001,MATCH(ROWS($AF$2:AF942),$AF$2:$AF$1001,0),MATCH(COLUMNS($AM$1006:BD1006),$AM$1006:$BM$1006,0)), HYPERLINK("#",""), HYPERLINK(CONCATENATE("#metadata!", ADDRESS(INDEX($AH$2:$AH$1001,MATCH(ROWS($AF$2:AF942),$AF$2:$AF$1001,0),0), INDEX($AM$1004:$BM$1004,1,MATCH(COLUMNS($AM$1006:BD1006),$AM$1006:$BM$1006,0)))),"Fix")))</f>
        <v xml:space="preserve"> </v>
      </c>
      <c r="T942" s="4" t="str">
        <f ca="1">IF(OR(INDEX($AG$2:$AG$1001,MATCH(ROWS($AF$2:AF942),$AF$2:$AF$1001,0),1)&gt;=100000,INDEX($AM$1005:$BM$1005,1,MATCH(COLUMNS($AM$1006:BE1006),$AM$1006:$BM$1006,0))&gt;=100000), " ",IF(INDEX($AM$2:$BM$1001,MATCH(ROWS($AF$2:AF942),$AF$2:$AF$1001,0),MATCH(COLUMNS($AM$1006:BE1006),$AM$1006:$BM$1006,0)), HYPERLINK("#",""), HYPERLINK(CONCATENATE("#metadata!", ADDRESS(INDEX($AH$2:$AH$1001,MATCH(ROWS($AF$2:AF942),$AF$2:$AF$1001,0),0), INDEX($AM$1004:$BM$1004,1,MATCH(COLUMNS($AM$1006:BE1006),$AM$1006:$BM$1006,0)))),"Fix")))</f>
        <v xml:space="preserve"> </v>
      </c>
      <c r="U942" s="4" t="str">
        <f ca="1">IF(OR(INDEX($AG$2:$AG$1001,MATCH(ROWS($AF$2:AF942),$AF$2:$AF$1001,0),1)&gt;=100000,INDEX($AM$1005:$BM$1005,1,MATCH(COLUMNS($AM$1006:BF1006),$AM$1006:$BM$1006,0))&gt;=100000), " ",IF(INDEX($AM$2:$BM$1001,MATCH(ROWS($AF$2:AF942),$AF$2:$AF$1001,0),MATCH(COLUMNS($AM$1006:BF1006),$AM$1006:$BM$1006,0)), HYPERLINK("#",""), HYPERLINK(CONCATENATE("#metadata!", ADDRESS(INDEX($AH$2:$AH$1001,MATCH(ROWS($AF$2:AF942),$AF$2:$AF$1001,0),0), INDEX($AM$1004:$BM$1004,1,MATCH(COLUMNS($AM$1006:BF1006),$AM$1006:$BM$1006,0)))),"Fix")))</f>
        <v xml:space="preserve"> </v>
      </c>
      <c r="V942" s="4" t="str">
        <f ca="1">IF(OR(INDEX($AG$2:$AG$1001,MATCH(ROWS($AF$2:AF942),$AF$2:$AF$1001,0),1)&gt;=100000,INDEX($AM$1005:$BM$1005,1,MATCH(COLUMNS($AM$1006:BG1006),$AM$1006:$BM$1006,0))&gt;=100000), " ",IF(INDEX($AM$2:$BM$1001,MATCH(ROWS($AF$2:AF942),$AF$2:$AF$1001,0),MATCH(COLUMNS($AM$1006:BG1006),$AM$1006:$BM$1006,0)), HYPERLINK("#",""), HYPERLINK(CONCATENATE("#metadata!", ADDRESS(INDEX($AH$2:$AH$1001,MATCH(ROWS($AF$2:AF942),$AF$2:$AF$1001,0),0), INDEX($AM$1004:$BM$1004,1,MATCH(COLUMNS($AM$1006:BG1006),$AM$1006:$BM$1006,0)))),"Fix")))</f>
        <v xml:space="preserve"> </v>
      </c>
      <c r="W942" s="4" t="str">
        <f ca="1">IF(OR(INDEX($AG$2:$AG$1001,MATCH(ROWS($AF$2:AF942),$AF$2:$AF$1001,0),1)&gt;=100000,INDEX($AM$1005:$BM$1005,1,MATCH(COLUMNS($AM$1006:BH1006),$AM$1006:$BM$1006,0))&gt;=100000), " ",IF(INDEX($AM$2:$BM$1001,MATCH(ROWS($AF$2:AF942),$AF$2:$AF$1001,0),MATCH(COLUMNS($AM$1006:BH1006),$AM$1006:$BM$1006,0)), HYPERLINK("#",""), HYPERLINK(CONCATENATE("#metadata!", ADDRESS(INDEX($AH$2:$AH$1001,MATCH(ROWS($AF$2:AF942),$AF$2:$AF$1001,0),0), INDEX($AM$1004:$BM$1004,1,MATCH(COLUMNS($AM$1006:BH1006),$AM$1006:$BM$1006,0)))),"Fix")))</f>
        <v xml:space="preserve"> </v>
      </c>
      <c r="X942" s="4" t="str">
        <f ca="1">IF(OR(INDEX($AG$2:$AG$1001,MATCH(ROWS($AF$2:AF942),$AF$2:$AF$1001,0),1)&gt;=100000,INDEX($AM$1005:$BM$1005,1,MATCH(COLUMNS($AM$1006:BI1006),$AM$1006:$BM$1006,0))&gt;=100000), " ",IF(INDEX($AM$2:$BM$1001,MATCH(ROWS($AF$2:AF942),$AF$2:$AF$1001,0),MATCH(COLUMNS($AM$1006:BI1006),$AM$1006:$BM$1006,0)), HYPERLINK("#",""), HYPERLINK(CONCATENATE("#metadata!", ADDRESS(INDEX($AH$2:$AH$1001,MATCH(ROWS($AF$2:AF942),$AF$2:$AF$1001,0),0), INDEX($AM$1004:$BM$1004,1,MATCH(COLUMNS($AM$1006:BI1006),$AM$1006:$BM$1006,0)))),"Fix")))</f>
        <v xml:space="preserve"> </v>
      </c>
      <c r="Y942" s="4" t="str">
        <f ca="1">IF(OR(INDEX($AG$2:$AG$1001,MATCH(ROWS($AF$2:AF942),$AF$2:$AF$1001,0),1)&gt;=100000,INDEX($AM$1005:$BM$1005,1,MATCH(COLUMNS($AM$1006:BJ1006),$AM$1006:$BM$1006,0))&gt;=100000), " ",IF(INDEX($AM$2:$BM$1001,MATCH(ROWS($AF$2:AF942),$AF$2:$AF$1001,0),MATCH(COLUMNS($AM$1006:BJ1006),$AM$1006:$BM$1006,0)), HYPERLINK("#",""), HYPERLINK(CONCATENATE("#metadata!", ADDRESS(INDEX($AH$2:$AH$1001,MATCH(ROWS($AF$2:AF942),$AF$2:$AF$1001,0),0), INDEX($AM$1004:$BM$1004,1,MATCH(COLUMNS($AM$1006:BJ1006),$AM$1006:$BM$1006,0)))),"Fix")))</f>
        <v xml:space="preserve"> </v>
      </c>
      <c r="Z942" s="4" t="str">
        <f ca="1">IF(OR(INDEX($AG$2:$AG$1001,MATCH(ROWS($AF$2:AF942),$AF$2:$AF$1001,0),1)&gt;=100000,INDEX($AM$1005:$BM$1005,1,MATCH(COLUMNS($AM$1006:BK1006),$AM$1006:$BM$1006,0))&gt;=100000), " ",IF(INDEX($AM$2:$BM$1001,MATCH(ROWS($AF$2:AF942),$AF$2:$AF$1001,0),MATCH(COLUMNS($AM$1006:BK1006),$AM$1006:$BM$1006,0)), HYPERLINK("#",""), HYPERLINK(CONCATENATE("#metadata!", ADDRESS(INDEX($AH$2:$AH$1001,MATCH(ROWS($AF$2:AF942),$AF$2:$AF$1001,0),0), INDEX($AM$1004:$BM$1004,1,MATCH(COLUMNS($AM$1006:BK1006),$AM$1006:$BM$1006,0)))),"Fix")))</f>
        <v xml:space="preserve"> </v>
      </c>
      <c r="AA942" s="4" t="str">
        <f ca="1">IF(OR(INDEX($AG$2:$AG$1001,MATCH(ROWS($AF$2:AF942),$AF$2:$AF$1001,0),1)&gt;=100000,INDEX($AM$1005:$BM$1005,1,MATCH(COLUMNS($AM$1006:BL1006),$AM$1006:$BM$1006,0))&gt;=100000), " ",IF(INDEX($AM$2:$BM$1001,MATCH(ROWS($AF$2:AF942),$AF$2:$AF$1001,0),MATCH(COLUMNS($AM$1006:BL1006),$AM$1006:$BM$1006,0)), HYPERLINK("#",""), HYPERLINK(CONCATENATE("#metadata!", ADDRESS(INDEX($AH$2:$AH$1001,MATCH(ROWS($AF$2:AF942),$AF$2:$AF$1001,0),0), INDEX($AM$1004:$BM$1004,1,MATCH(COLUMNS($AM$1006:BL1006),$AM$1006:$BM$1006,0)))),"Fix")))</f>
        <v xml:space="preserve"> </v>
      </c>
      <c r="AB942" s="4" t="str">
        <f ca="1">IF(OR(INDEX($AG$2:$AG$1001,MATCH(ROWS($AF$2:AF942),$AF$2:$AF$1001,0),1)&gt;=100000,INDEX($AM$1005:$BM$1005,1,MATCH(COLUMNS($AM$1006:BM1006),$AM$1006:$BM$1006,0))&gt;=100000), " ",IF(INDEX($AM$2:$BM$1001,MATCH(ROWS($AF$2:AF942),$AF$2:$AF$1001,0),MATCH(COLUMNS($AM$1006:BM1006),$AM$1006:$BM$1006,0)), HYPERLINK("#",""), HYPERLINK(CONCATENATE("#metadata!", ADDRESS(INDEX($AH$2:$AH$1001,MATCH(ROWS($AF$2:AF942),$AF$2:$AF$1001,0),0), INDEX($AM$1004:$BM$1004,1,MATCH(COLUMNS($AM$1006:BM1006),$AM$1006:$BM$1006,0)))),"Fix")))</f>
        <v xml:space="preserve"> </v>
      </c>
      <c r="AF942">
        <v>941</v>
      </c>
      <c r="AG942">
        <v>100942</v>
      </c>
      <c r="AH942">
        <v>942</v>
      </c>
      <c r="AI942" t="b">
        <f t="shared" si="14"/>
        <v>1</v>
      </c>
      <c r="AJ942" t="b">
        <f>COUNTBLANK(metadata!B942:AB942)=COLUMNS(metadata!B942:AB942)</f>
        <v>1</v>
      </c>
      <c r="AK942" t="str">
        <v/>
      </c>
      <c r="AM942" t="b">
        <f ca="1">AND(IF(metadata!B942="",FALSE,TRUE),COUNTIF(metadata!B:B, metadata!B942) = 1,NOT(ISERROR(SUMPRODUCT(SEARCH(MID(metadata!B942,ROW(INDIRECT("1:"&amp;LEN(metadata!B942))), 1),"0123456789abcdefghijklmnopqrstuvwxyzABCDEFGHIJKLMNOPQRSTUVWXYZ.")))))</f>
        <v>0</v>
      </c>
      <c r="AN942" t="b">
        <f ca="1">OR(AND(IF(metadata!C942="",FALSE,TRUE),OR(EXACT(metadata!C942,"missing: not collected"),EXACT(metadata!C942,"missing: not provided"),EXACT(metadata!C942,"missing: restricted access"))),AND(IF(metadata!C942="",FALSE,TRUE),AND(AND(IFERROR(INT(LEFT(metadata!C942,4))&gt;1900,FALSE),IFERROR(INT(LEFT(metadata!C942,4))&lt;=YEAR(NOW()),FALSE)), OR(MID(metadata!C942,5,1)="", AND(AND(MID(metadata!C942,5,1)="-",IFERROR(INT(MID(metadata!C942,6,1))&gt;=0,FALSE),IFERROR(INT(MID(metadata!C942,6,1))&lt;=1,FALSE),NOT(MID(metadata!C942,7,1)=""),IFERROR(INT(MID(metadata!C942,6,2))&gt;=1,FALSE),IFERROR(INT(MID(metadata!C942,6,2))&lt;=12,FALSE)), OR(MID(metadata!C942,8,1)="", AND(AND(MID(metadata!C942,8,1)="-",IFERROR(INT(MID(metadata!C942,9,1))&gt;=0,FALSE),IFERROR(INT(MID(metadata!C942,9,1))&lt;=3,FALSE),NOT(MID(metadata!C942,10,1)=""),IFERROR(INT(MID(metadata!C942,9,2))&gt;=1,FALSE),IFERROR(INT(MID(metadata!C942,9,2))&lt;=31,FALSE)), OR(MID(metadata!C942,11,1)="", AND(AND(MID(metadata!C942,11,1)=" ",IFERROR(INT(MID(metadata!C942,12,1))&gt;=0,FALSE),IFERROR(INT(MID(metadata!C942,12,1))&lt;=2,FALSE),NOT(MID(metadata!C942,13,1)=""),IFERROR(INT(MID(metadata!C942,12,2))&gt;=0,FALSE),IFERROR(INT(MID(metadata!C942,12,2))&lt;=23,FALSE)), OR(MID(metadata!C942,14,1)="", AND(AND(MID(metadata!C942,14,1)=":",IFERROR(INT(MID(metadata!C942,15,1))&gt;=0,FALSE),IFERROR(INT(MID(metadata!C942,15,1))&lt;=5,FALSE),NOT(MID(metadata!C942,16,1)=""),IFERROR(INT(MID(metadata!C942,15,2))&gt;=0,FALSE),IFERROR(INT(MID(metadata!C942,15,2))&lt;=59,FALSE)), OR(MID(metadata!C942,17,1)="", AND(AND(MID(metadata!C942,17,1)=":",IFERROR(INT(MID(metadata!C942,18,1))&gt;=0,FALSE),IFERROR(INT(MID(metadata!C942,18,1))&lt;=5,FALSE),NOT(MID(metadata!C942,19,1)=""),IFERROR(INT(MID(metadata!C942,18,2))&gt;=0,FALSE),IFERROR(INT(MID(metadata!C942,18,2))&lt;=59,FALSE)), LEN(metadata!C942)&lt;=19)))))))))))))</f>
        <v>0</v>
      </c>
      <c r="AO942" t="b">
        <f>AND(IF(metadata!D942="",FALSE,TRUE),EXACT(metadata!D942,"Not applicable"))</f>
        <v>0</v>
      </c>
      <c r="AP942" t="b">
        <f>IF(metadata!E942="",FALSE,TRUE)</f>
        <v>0</v>
      </c>
      <c r="AQ942" t="b">
        <f>OR(AND(IF(metadata!F942="",FALSE,TRUE),OR(EXACT(metadata!F942,"missing: not collected"),EXACT(metadata!F942,"missing: not provided"))),AND(IF(metadata!F942="",FALSE,TRUE),OR(EXACT(metadata!F942,"TRUE"),EXACT(metadata!F942,"FALSE"))))</f>
        <v>0</v>
      </c>
      <c r="AR942" t="b">
        <f>OR(AND(IF(metadata!G942="",FALSE,TRUE),OR(EXACT(metadata!G942,"missing: not collected"),EXACT(metadata!G942,"missing: not provided"),EXACT(metadata!G942,"missing: restricted access"))),AND(IF(metadata!G942="",FALSE,ISNUMBER(VALUE(metadata!G942))),metadata!G942&gt;=-413))</f>
        <v>0</v>
      </c>
      <c r="AS942" t="b">
        <f>AND(IF(metadata!H942="",FALSE,TRUE),EXACT(metadata!H942,"meters"))</f>
        <v>0</v>
      </c>
      <c r="AT942" t="b">
        <f>AND(IF(metadata!I942="",FALSE,TRUE),OR(EXACT(metadata!I942,"Host-associated"),EXACT(metadata!I942,"Free-living")))</f>
        <v>0</v>
      </c>
      <c r="AU942" t="b">
        <f>AND(IF(metadata!J942="",FALSE,TRUE),OR(EXACT(metadata!J942,"Animal"),EXACT(metadata!J942,"Fungus"),EXACT(metadata!J942,"Plant"),EXACT(metadata!J942,"Saline"),EXACT(metadata!J942,"Non-saline")))</f>
        <v>0</v>
      </c>
      <c r="AV942" t="b">
        <f>AND(IF(metadata!K942="",FALSE,TRUE),OR(EXACT(metadata!K942,"Plant secretion"),EXACT(metadata!K942,"Plant rhizosphere"),EXACT(metadata!K942,"Plant surface"),EXACT(metadata!K942,"Plant corpus"),EXACT(metadata!K942,"Fungus surface"),EXACT(metadata!K942,"Fungus corpus"),EXACT(metadata!K942,"Animal surface"),EXACT(metadata!K942,"Animal proximal gut"),EXACT(metadata!K942,"Animal corpus"),EXACT(metadata!K942,"Animal distal gut"),EXACT(metadata!K942,"Animal secretion"),EXACT(metadata!K942,"Sub-surface (non-saline)"),EXACT(metadata!K942,"Surface (non-saline)"),EXACT(metadata!K942,"Water (non-saline)"),EXACT(metadata!K942,"Soil (non-saline)"),EXACT(metadata!K942,"Aerosol (non-saline)"),EXACT(metadata!K942,"Sediment (non-saline)"),EXACT(metadata!K942,"Surface (saline)"),EXACT(metadata!K942,"Water (saline)"),EXACT(metadata!K942,"Hypersaline (saline)"),EXACT(metadata!K942,"Aerosol (saline)"),EXACT(metadata!K942,"Sediment (saline)")))</f>
        <v>0</v>
      </c>
      <c r="AW942" t="b">
        <f>IF(metadata!L942="",FALSE,TRUE)</f>
        <v>0</v>
      </c>
      <c r="AX942" t="b">
        <f>IF(metadata!M942="",FALSE,TRUE)</f>
        <v>0</v>
      </c>
      <c r="AY942" t="b">
        <f>IF(metadata!N942="",FALSE,TRUE)</f>
        <v>0</v>
      </c>
      <c r="AZ942" t="b">
        <f>OR(AND(IF(metadata!O942="",FALSE,TRUE),OR(EXACT(metadata!O942,"missing: not collected"),EXACT(metadata!O942,"missing: not provided"),EXACT(metadata!O942,"missing: restricted access"))),AND(IF(metadata!O942="",FALSE,TRUE),OR(EXACT(metadata!O942,"air"),EXACT(metadata!O942,"built environment"),EXACT(metadata!O942,"host-associated"),EXACT(metadata!O942,"human-associated"),EXACT(metadata!O942,"human-skin"),EXACT(metadata!O942,"human-oral"),EXACT(metadata!O942,"human-gut"),EXACT(metadata!O942,"human-vaginal"),EXACT(metadata!O942,"microbial mat/biofilm"),EXACT(metadata!O942,"misc environment"),EXACT(metadata!O942,"plant-associated"),EXACT(metadata!O942,"sediment"),EXACT(metadata!O942,"soil"),EXACT(metadata!O942,"wastewater/sludge"),EXACT(metadata!O942,"water"))))</f>
        <v>0</v>
      </c>
      <c r="BA942" t="b">
        <f>IF(metadata!P942="",FALSE,TRUE)</f>
        <v>0</v>
      </c>
      <c r="BB942" t="b">
        <f>IF(metadata!Q942="",FALSE,TRUE)</f>
        <v>0</v>
      </c>
      <c r="BC942" t="b">
        <f>OR(AND(IF(metadata!R942="",FALSE,TRUE),OR(EXACT(metadata!R942,"missing: not collected"),EXACT(metadata!R942,"missing: not provided"),EXACT(metadata!R942,"missing: restricted access"))),AND(IF(metadata!R942="",FALSE,ISNUMBER(VALUE(metadata!R942))),metadata!R942&gt;=-90,metadata!R942&lt;=90))</f>
        <v>0</v>
      </c>
      <c r="BD942" t="b">
        <f>AND(IF(metadata!S942="",FALSE,TRUE),EXACT(metadata!S942,"Decimal degrees"))</f>
        <v>0</v>
      </c>
      <c r="BE942" t="b">
        <f>OR(AND(IF(metadata!T942="",FALSE,TRUE),OR(EXACT(metadata!T942,"missing: not collected"),EXACT(metadata!T942,"missing: not provided"),EXACT(metadata!T942,"missing: restricted access"))),AND(IF(metadata!T942="",FALSE,ISNUMBER(VALUE(metadata!T942))),metadata!T942&gt;=-180,metadata!T942&lt;=180))</f>
        <v>0</v>
      </c>
      <c r="BF942" t="b">
        <f>AND(IF(metadata!U942="",FALSE,TRUE),EXACT(metadata!U942,"Decimal degrees"))</f>
        <v>0</v>
      </c>
      <c r="BG942" t="b">
        <f>IF(metadata!V942="",FALSE,TRUE)</f>
        <v>0</v>
      </c>
      <c r="BH942" t="b">
        <f>OR(AND(IF(metadata!W942="",FALSE,TRUE),OR(EXACT(metadata!W942,"missing: not collected"),EXACT(metadata!W942,"missing: not provided"),EXACT(metadata!W942,"missing: restricted access"))),AND(IF(metadata!W942="",FALSE,TRUE),OR(EXACT(metadata!W942,"TRUE"),EXACT(metadata!W942,"FALSE"))))</f>
        <v>0</v>
      </c>
      <c r="BI942" t="b">
        <f>AND(IF(metadata!X942="",FALSE,TRUE),EXACT(metadata!X942,"other"))</f>
        <v>0</v>
      </c>
      <c r="BJ942" t="b">
        <f>IF(metadata!Y942="",FALSE,TRUE)</f>
        <v>0</v>
      </c>
      <c r="BK942" t="b">
        <f>OR(AND(IF(metadata!Z942="",FALSE,TRUE),OR(EXACT(metadata!Z942,"missing: not collected"),EXACT(metadata!Z942,"missing: not provided"))),AND(IF(metadata!Z942="",FALSE,IF(ISERROR(INT(metadata!Z942)),FALSE,INT(metadata!Z942)=metadata!Z942)),metadata!Z942&gt;0))</f>
        <v>0</v>
      </c>
      <c r="BL942" t="b">
        <f>AND(IF(metadata!AA942="",FALSE,TRUE),EXACT(metadata!AA942,"Not applicable"))</f>
        <v>0</v>
      </c>
      <c r="BM942" t="b">
        <f>IF(metadata!AB942="",FALSE,TRUE)</f>
        <v>0</v>
      </c>
    </row>
    <row r="943" spans="1:65" x14ac:dyDescent="0.2">
      <c r="A943" s="5" t="str">
        <f ca="1">IF(B943=" "," ",HYPERLINK(CONCATENATE("#metadata!",ADDRESS(INDEX($AH$2:$AH$1001,MATCH(ROWS($AF$2:AF943),$AF$2:$AF$1001,0),0),1)),INDEX($AK$2:$AK$1001,MATCH(ROWS($AF$2:AF943),$AF$2:$AF$1001,0),0)))</f>
        <v xml:space="preserve"> </v>
      </c>
      <c r="B943" s="4" t="str">
        <f ca="1">IF(OR(INDEX($AG$2:$AG$1001,MATCH(ROWS($AF$2:AF943),$AF$2:$AF$1001,0),1)&gt;=100000,INDEX($AM$1005:$BM$1005,1,MATCH(COLUMNS($AM$1006:AM1006),$AM$1006:$BM$1006,0))&gt;=100000), " ",IF(INDEX($AM$2:$BM$1001,MATCH(ROWS($AF$2:AF943),$AF$2:$AF$1001,0),MATCH(COLUMNS($AM$1006:AM1006),$AM$1006:$BM$1006,0)), HYPERLINK("#",""), HYPERLINK(CONCATENATE("#metadata!", ADDRESS(INDEX($AH$2:$AH$1001,MATCH(ROWS($AF$2:AF943),$AF$2:$AF$1001,0),0), INDEX($AM$1004:$BM$1004,1,MATCH(COLUMNS($AM$1006:AM1006),$AM$1006:$BM$1006,0)))),"Fix")))</f>
        <v xml:space="preserve"> </v>
      </c>
      <c r="C943" s="4" t="str">
        <f ca="1">IF(OR(INDEX($AG$2:$AG$1001,MATCH(ROWS($AF$2:AF943),$AF$2:$AF$1001,0),1)&gt;=100000,INDEX($AM$1005:$BM$1005,1,MATCH(COLUMNS($AM$1006:AN1006),$AM$1006:$BM$1006,0))&gt;=100000), " ",IF(INDEX($AM$2:$BM$1001,MATCH(ROWS($AF$2:AF943),$AF$2:$AF$1001,0),MATCH(COLUMNS($AM$1006:AN1006),$AM$1006:$BM$1006,0)), HYPERLINK("#",""), HYPERLINK(CONCATENATE("#metadata!", ADDRESS(INDEX($AH$2:$AH$1001,MATCH(ROWS($AF$2:AF943),$AF$2:$AF$1001,0),0), INDEX($AM$1004:$BM$1004,1,MATCH(COLUMNS($AM$1006:AN1006),$AM$1006:$BM$1006,0)))),"Fix")))</f>
        <v xml:space="preserve"> </v>
      </c>
      <c r="D943" s="4" t="str">
        <f ca="1">IF(OR(INDEX($AG$2:$AG$1001,MATCH(ROWS($AF$2:AF943),$AF$2:$AF$1001,0),1)&gt;=100000,INDEX($AM$1005:$BM$1005,1,MATCH(COLUMNS($AM$1006:AO1006),$AM$1006:$BM$1006,0))&gt;=100000), " ",IF(INDEX($AM$2:$BM$1001,MATCH(ROWS($AF$2:AF943),$AF$2:$AF$1001,0),MATCH(COLUMNS($AM$1006:AO1006),$AM$1006:$BM$1006,0)), HYPERLINK("#",""), HYPERLINK(CONCATENATE("#metadata!", ADDRESS(INDEX($AH$2:$AH$1001,MATCH(ROWS($AF$2:AF943),$AF$2:$AF$1001,0),0), INDEX($AM$1004:$BM$1004,1,MATCH(COLUMNS($AM$1006:AO1006),$AM$1006:$BM$1006,0)))),"Fix")))</f>
        <v xml:space="preserve"> </v>
      </c>
      <c r="E943" s="4" t="str">
        <f ca="1">IF(OR(INDEX($AG$2:$AG$1001,MATCH(ROWS($AF$2:AF943),$AF$2:$AF$1001,0),1)&gt;=100000,INDEX($AM$1005:$BM$1005,1,MATCH(COLUMNS($AM$1006:AP1006),$AM$1006:$BM$1006,0))&gt;=100000), " ",IF(INDEX($AM$2:$BM$1001,MATCH(ROWS($AF$2:AF943),$AF$2:$AF$1001,0),MATCH(COLUMNS($AM$1006:AP1006),$AM$1006:$BM$1006,0)), HYPERLINK("#",""), HYPERLINK(CONCATENATE("#metadata!", ADDRESS(INDEX($AH$2:$AH$1001,MATCH(ROWS($AF$2:AF943),$AF$2:$AF$1001,0),0), INDEX($AM$1004:$BM$1004,1,MATCH(COLUMNS($AM$1006:AP1006),$AM$1006:$BM$1006,0)))),"Fix")))</f>
        <v xml:space="preserve"> </v>
      </c>
      <c r="F943" s="4" t="str">
        <f ca="1">IF(OR(INDEX($AG$2:$AG$1001,MATCH(ROWS($AF$2:AF943),$AF$2:$AF$1001,0),1)&gt;=100000,INDEX($AM$1005:$BM$1005,1,MATCH(COLUMNS($AM$1006:AQ1006),$AM$1006:$BM$1006,0))&gt;=100000), " ",IF(INDEX($AM$2:$BM$1001,MATCH(ROWS($AF$2:AF943),$AF$2:$AF$1001,0),MATCH(COLUMNS($AM$1006:AQ1006),$AM$1006:$BM$1006,0)), HYPERLINK("#",""), HYPERLINK(CONCATENATE("#metadata!", ADDRESS(INDEX($AH$2:$AH$1001,MATCH(ROWS($AF$2:AF943),$AF$2:$AF$1001,0),0), INDEX($AM$1004:$BM$1004,1,MATCH(COLUMNS($AM$1006:AQ1006),$AM$1006:$BM$1006,0)))),"Fix")))</f>
        <v xml:space="preserve"> </v>
      </c>
      <c r="G943" s="4" t="str">
        <f ca="1">IF(OR(INDEX($AG$2:$AG$1001,MATCH(ROWS($AF$2:AF943),$AF$2:$AF$1001,0),1)&gt;=100000,INDEX($AM$1005:$BM$1005,1,MATCH(COLUMNS($AM$1006:AR1006),$AM$1006:$BM$1006,0))&gt;=100000), " ",IF(INDEX($AM$2:$BM$1001,MATCH(ROWS($AF$2:AF943),$AF$2:$AF$1001,0),MATCH(COLUMNS($AM$1006:AR1006),$AM$1006:$BM$1006,0)), HYPERLINK("#",""), HYPERLINK(CONCATENATE("#metadata!", ADDRESS(INDEX($AH$2:$AH$1001,MATCH(ROWS($AF$2:AF943),$AF$2:$AF$1001,0),0), INDEX($AM$1004:$BM$1004,1,MATCH(COLUMNS($AM$1006:AR1006),$AM$1006:$BM$1006,0)))),"Fix")))</f>
        <v xml:space="preserve"> </v>
      </c>
      <c r="H943" s="4" t="str">
        <f ca="1">IF(OR(INDEX($AG$2:$AG$1001,MATCH(ROWS($AF$2:AF943),$AF$2:$AF$1001,0),1)&gt;=100000,INDEX($AM$1005:$BM$1005,1,MATCH(COLUMNS($AM$1006:AS1006),$AM$1006:$BM$1006,0))&gt;=100000), " ",IF(INDEX($AM$2:$BM$1001,MATCH(ROWS($AF$2:AF943),$AF$2:$AF$1001,0),MATCH(COLUMNS($AM$1006:AS1006),$AM$1006:$BM$1006,0)), HYPERLINK("#",""), HYPERLINK(CONCATENATE("#metadata!", ADDRESS(INDEX($AH$2:$AH$1001,MATCH(ROWS($AF$2:AF943),$AF$2:$AF$1001,0),0), INDEX($AM$1004:$BM$1004,1,MATCH(COLUMNS($AM$1006:AS1006),$AM$1006:$BM$1006,0)))),"Fix")))</f>
        <v xml:space="preserve"> </v>
      </c>
      <c r="I943" s="4" t="str">
        <f ca="1">IF(OR(INDEX($AG$2:$AG$1001,MATCH(ROWS($AF$2:AF943),$AF$2:$AF$1001,0),1)&gt;=100000,INDEX($AM$1005:$BM$1005,1,MATCH(COLUMNS($AM$1006:AT1006),$AM$1006:$BM$1006,0))&gt;=100000), " ",IF(INDEX($AM$2:$BM$1001,MATCH(ROWS($AF$2:AF943),$AF$2:$AF$1001,0),MATCH(COLUMNS($AM$1006:AT1006),$AM$1006:$BM$1006,0)), HYPERLINK("#",""), HYPERLINK(CONCATENATE("#metadata!", ADDRESS(INDEX($AH$2:$AH$1001,MATCH(ROWS($AF$2:AF943),$AF$2:$AF$1001,0),0), INDEX($AM$1004:$BM$1004,1,MATCH(COLUMNS($AM$1006:AT1006),$AM$1006:$BM$1006,0)))),"Fix")))</f>
        <v xml:space="preserve"> </v>
      </c>
      <c r="J943" s="4" t="str">
        <f ca="1">IF(OR(INDEX($AG$2:$AG$1001,MATCH(ROWS($AF$2:AF943),$AF$2:$AF$1001,0),1)&gt;=100000,INDEX($AM$1005:$BM$1005,1,MATCH(COLUMNS($AM$1006:AU1006),$AM$1006:$BM$1006,0))&gt;=100000), " ",IF(INDEX($AM$2:$BM$1001,MATCH(ROWS($AF$2:AF943),$AF$2:$AF$1001,0),MATCH(COLUMNS($AM$1006:AU1006),$AM$1006:$BM$1006,0)), HYPERLINK("#",""), HYPERLINK(CONCATENATE("#metadata!", ADDRESS(INDEX($AH$2:$AH$1001,MATCH(ROWS($AF$2:AF943),$AF$2:$AF$1001,0),0), INDEX($AM$1004:$BM$1004,1,MATCH(COLUMNS($AM$1006:AU1006),$AM$1006:$BM$1006,0)))),"Fix")))</f>
        <v xml:space="preserve"> </v>
      </c>
      <c r="K943" s="4" t="str">
        <f ca="1">IF(OR(INDEX($AG$2:$AG$1001,MATCH(ROWS($AF$2:AF943),$AF$2:$AF$1001,0),1)&gt;=100000,INDEX($AM$1005:$BM$1005,1,MATCH(COLUMNS($AM$1006:AV1006),$AM$1006:$BM$1006,0))&gt;=100000), " ",IF(INDEX($AM$2:$BM$1001,MATCH(ROWS($AF$2:AF943),$AF$2:$AF$1001,0),MATCH(COLUMNS($AM$1006:AV1006),$AM$1006:$BM$1006,0)), HYPERLINK("#",""), HYPERLINK(CONCATENATE("#metadata!", ADDRESS(INDEX($AH$2:$AH$1001,MATCH(ROWS($AF$2:AF943),$AF$2:$AF$1001,0),0), INDEX($AM$1004:$BM$1004,1,MATCH(COLUMNS($AM$1006:AV1006),$AM$1006:$BM$1006,0)))),"Fix")))</f>
        <v xml:space="preserve"> </v>
      </c>
      <c r="L943" s="4" t="str">
        <f ca="1">IF(OR(INDEX($AG$2:$AG$1001,MATCH(ROWS($AF$2:AF943),$AF$2:$AF$1001,0),1)&gt;=100000,INDEX($AM$1005:$BM$1005,1,MATCH(COLUMNS($AM$1006:AW1006),$AM$1006:$BM$1006,0))&gt;=100000), " ",IF(INDEX($AM$2:$BM$1001,MATCH(ROWS($AF$2:AF943),$AF$2:$AF$1001,0),MATCH(COLUMNS($AM$1006:AW1006),$AM$1006:$BM$1006,0)), HYPERLINK("#",""), HYPERLINK(CONCATENATE("#metadata!", ADDRESS(INDEX($AH$2:$AH$1001,MATCH(ROWS($AF$2:AF943),$AF$2:$AF$1001,0),0), INDEX($AM$1004:$BM$1004,1,MATCH(COLUMNS($AM$1006:AW1006),$AM$1006:$BM$1006,0)))),"Fix")))</f>
        <v xml:space="preserve"> </v>
      </c>
      <c r="M943" s="4" t="str">
        <f ca="1">IF(OR(INDEX($AG$2:$AG$1001,MATCH(ROWS($AF$2:AF943),$AF$2:$AF$1001,0),1)&gt;=100000,INDEX($AM$1005:$BM$1005,1,MATCH(COLUMNS($AM$1006:AX1006),$AM$1006:$BM$1006,0))&gt;=100000), " ",IF(INDEX($AM$2:$BM$1001,MATCH(ROWS($AF$2:AF943),$AF$2:$AF$1001,0),MATCH(COLUMNS($AM$1006:AX1006),$AM$1006:$BM$1006,0)), HYPERLINK("#",""), HYPERLINK(CONCATENATE("#metadata!", ADDRESS(INDEX($AH$2:$AH$1001,MATCH(ROWS($AF$2:AF943),$AF$2:$AF$1001,0),0), INDEX($AM$1004:$BM$1004,1,MATCH(COLUMNS($AM$1006:AX1006),$AM$1006:$BM$1006,0)))),"Fix")))</f>
        <v xml:space="preserve"> </v>
      </c>
      <c r="N943" s="4" t="str">
        <f ca="1">IF(OR(INDEX($AG$2:$AG$1001,MATCH(ROWS($AF$2:AF943),$AF$2:$AF$1001,0),1)&gt;=100000,INDEX($AM$1005:$BM$1005,1,MATCH(COLUMNS($AM$1006:AY1006),$AM$1006:$BM$1006,0))&gt;=100000), " ",IF(INDEX($AM$2:$BM$1001,MATCH(ROWS($AF$2:AF943),$AF$2:$AF$1001,0),MATCH(COLUMNS($AM$1006:AY1006),$AM$1006:$BM$1006,0)), HYPERLINK("#",""), HYPERLINK(CONCATENATE("#metadata!", ADDRESS(INDEX($AH$2:$AH$1001,MATCH(ROWS($AF$2:AF943),$AF$2:$AF$1001,0),0), INDEX($AM$1004:$BM$1004,1,MATCH(COLUMNS($AM$1006:AY1006),$AM$1006:$BM$1006,0)))),"Fix")))</f>
        <v xml:space="preserve"> </v>
      </c>
      <c r="O943" s="4" t="str">
        <f ca="1">IF(OR(INDEX($AG$2:$AG$1001,MATCH(ROWS($AF$2:AF943),$AF$2:$AF$1001,0),1)&gt;=100000,INDEX($AM$1005:$BM$1005,1,MATCH(COLUMNS($AM$1006:AZ1006),$AM$1006:$BM$1006,0))&gt;=100000), " ",IF(INDEX($AM$2:$BM$1001,MATCH(ROWS($AF$2:AF943),$AF$2:$AF$1001,0),MATCH(COLUMNS($AM$1006:AZ1006),$AM$1006:$BM$1006,0)), HYPERLINK("#",""), HYPERLINK(CONCATENATE("#metadata!", ADDRESS(INDEX($AH$2:$AH$1001,MATCH(ROWS($AF$2:AF943),$AF$2:$AF$1001,0),0), INDEX($AM$1004:$BM$1004,1,MATCH(COLUMNS($AM$1006:AZ1006),$AM$1006:$BM$1006,0)))),"Fix")))</f>
        <v xml:space="preserve"> </v>
      </c>
      <c r="P943" s="4" t="str">
        <f ca="1">IF(OR(INDEX($AG$2:$AG$1001,MATCH(ROWS($AF$2:AF943),$AF$2:$AF$1001,0),1)&gt;=100000,INDEX($AM$1005:$BM$1005,1,MATCH(COLUMNS($AM$1006:BA1006),$AM$1006:$BM$1006,0))&gt;=100000), " ",IF(INDEX($AM$2:$BM$1001,MATCH(ROWS($AF$2:AF943),$AF$2:$AF$1001,0),MATCH(COLUMNS($AM$1006:BA1006),$AM$1006:$BM$1006,0)), HYPERLINK("#",""), HYPERLINK(CONCATENATE("#metadata!", ADDRESS(INDEX($AH$2:$AH$1001,MATCH(ROWS($AF$2:AF943),$AF$2:$AF$1001,0),0), INDEX($AM$1004:$BM$1004,1,MATCH(COLUMNS($AM$1006:BA1006),$AM$1006:$BM$1006,0)))),"Fix")))</f>
        <v xml:space="preserve"> </v>
      </c>
      <c r="Q943" s="4" t="str">
        <f ca="1">IF(OR(INDEX($AG$2:$AG$1001,MATCH(ROWS($AF$2:AF943),$AF$2:$AF$1001,0),1)&gt;=100000,INDEX($AM$1005:$BM$1005,1,MATCH(COLUMNS($AM$1006:BB1006),$AM$1006:$BM$1006,0))&gt;=100000), " ",IF(INDEX($AM$2:$BM$1001,MATCH(ROWS($AF$2:AF943),$AF$2:$AF$1001,0),MATCH(COLUMNS($AM$1006:BB1006),$AM$1006:$BM$1006,0)), HYPERLINK("#",""), HYPERLINK(CONCATENATE("#metadata!", ADDRESS(INDEX($AH$2:$AH$1001,MATCH(ROWS($AF$2:AF943),$AF$2:$AF$1001,0),0), INDEX($AM$1004:$BM$1004,1,MATCH(COLUMNS($AM$1006:BB1006),$AM$1006:$BM$1006,0)))),"Fix")))</f>
        <v xml:space="preserve"> </v>
      </c>
      <c r="R943" s="4" t="str">
        <f ca="1">IF(OR(INDEX($AG$2:$AG$1001,MATCH(ROWS($AF$2:AF943),$AF$2:$AF$1001,0),1)&gt;=100000,INDEX($AM$1005:$BM$1005,1,MATCH(COLUMNS($AM$1006:BC1006),$AM$1006:$BM$1006,0))&gt;=100000), " ",IF(INDEX($AM$2:$BM$1001,MATCH(ROWS($AF$2:AF943),$AF$2:$AF$1001,0),MATCH(COLUMNS($AM$1006:BC1006),$AM$1006:$BM$1006,0)), HYPERLINK("#",""), HYPERLINK(CONCATENATE("#metadata!", ADDRESS(INDEX($AH$2:$AH$1001,MATCH(ROWS($AF$2:AF943),$AF$2:$AF$1001,0),0), INDEX($AM$1004:$BM$1004,1,MATCH(COLUMNS($AM$1006:BC1006),$AM$1006:$BM$1006,0)))),"Fix")))</f>
        <v xml:space="preserve"> </v>
      </c>
      <c r="S943" s="4" t="str">
        <f ca="1">IF(OR(INDEX($AG$2:$AG$1001,MATCH(ROWS($AF$2:AF943),$AF$2:$AF$1001,0),1)&gt;=100000,INDEX($AM$1005:$BM$1005,1,MATCH(COLUMNS($AM$1006:BD1006),$AM$1006:$BM$1006,0))&gt;=100000), " ",IF(INDEX($AM$2:$BM$1001,MATCH(ROWS($AF$2:AF943),$AF$2:$AF$1001,0),MATCH(COLUMNS($AM$1006:BD1006),$AM$1006:$BM$1006,0)), HYPERLINK("#",""), HYPERLINK(CONCATENATE("#metadata!", ADDRESS(INDEX($AH$2:$AH$1001,MATCH(ROWS($AF$2:AF943),$AF$2:$AF$1001,0),0), INDEX($AM$1004:$BM$1004,1,MATCH(COLUMNS($AM$1006:BD1006),$AM$1006:$BM$1006,0)))),"Fix")))</f>
        <v xml:space="preserve"> </v>
      </c>
      <c r="T943" s="4" t="str">
        <f ca="1">IF(OR(INDEX($AG$2:$AG$1001,MATCH(ROWS($AF$2:AF943),$AF$2:$AF$1001,0),1)&gt;=100000,INDEX($AM$1005:$BM$1005,1,MATCH(COLUMNS($AM$1006:BE1006),$AM$1006:$BM$1006,0))&gt;=100000), " ",IF(INDEX($AM$2:$BM$1001,MATCH(ROWS($AF$2:AF943),$AF$2:$AF$1001,0),MATCH(COLUMNS($AM$1006:BE1006),$AM$1006:$BM$1006,0)), HYPERLINK("#",""), HYPERLINK(CONCATENATE("#metadata!", ADDRESS(INDEX($AH$2:$AH$1001,MATCH(ROWS($AF$2:AF943),$AF$2:$AF$1001,0),0), INDEX($AM$1004:$BM$1004,1,MATCH(COLUMNS($AM$1006:BE1006),$AM$1006:$BM$1006,0)))),"Fix")))</f>
        <v xml:space="preserve"> </v>
      </c>
      <c r="U943" s="4" t="str">
        <f ca="1">IF(OR(INDEX($AG$2:$AG$1001,MATCH(ROWS($AF$2:AF943),$AF$2:$AF$1001,0),1)&gt;=100000,INDEX($AM$1005:$BM$1005,1,MATCH(COLUMNS($AM$1006:BF1006),$AM$1006:$BM$1006,0))&gt;=100000), " ",IF(INDEX($AM$2:$BM$1001,MATCH(ROWS($AF$2:AF943),$AF$2:$AF$1001,0),MATCH(COLUMNS($AM$1006:BF1006),$AM$1006:$BM$1006,0)), HYPERLINK("#",""), HYPERLINK(CONCATENATE("#metadata!", ADDRESS(INDEX($AH$2:$AH$1001,MATCH(ROWS($AF$2:AF943),$AF$2:$AF$1001,0),0), INDEX($AM$1004:$BM$1004,1,MATCH(COLUMNS($AM$1006:BF1006),$AM$1006:$BM$1006,0)))),"Fix")))</f>
        <v xml:space="preserve"> </v>
      </c>
      <c r="V943" s="4" t="str">
        <f ca="1">IF(OR(INDEX($AG$2:$AG$1001,MATCH(ROWS($AF$2:AF943),$AF$2:$AF$1001,0),1)&gt;=100000,INDEX($AM$1005:$BM$1005,1,MATCH(COLUMNS($AM$1006:BG1006),$AM$1006:$BM$1006,0))&gt;=100000), " ",IF(INDEX($AM$2:$BM$1001,MATCH(ROWS($AF$2:AF943),$AF$2:$AF$1001,0),MATCH(COLUMNS($AM$1006:BG1006),$AM$1006:$BM$1006,0)), HYPERLINK("#",""), HYPERLINK(CONCATENATE("#metadata!", ADDRESS(INDEX($AH$2:$AH$1001,MATCH(ROWS($AF$2:AF943),$AF$2:$AF$1001,0),0), INDEX($AM$1004:$BM$1004,1,MATCH(COLUMNS($AM$1006:BG1006),$AM$1006:$BM$1006,0)))),"Fix")))</f>
        <v xml:space="preserve"> </v>
      </c>
      <c r="W943" s="4" t="str">
        <f ca="1">IF(OR(INDEX($AG$2:$AG$1001,MATCH(ROWS($AF$2:AF943),$AF$2:$AF$1001,0),1)&gt;=100000,INDEX($AM$1005:$BM$1005,1,MATCH(COLUMNS($AM$1006:BH1006),$AM$1006:$BM$1006,0))&gt;=100000), " ",IF(INDEX($AM$2:$BM$1001,MATCH(ROWS($AF$2:AF943),$AF$2:$AF$1001,0),MATCH(COLUMNS($AM$1006:BH1006),$AM$1006:$BM$1006,0)), HYPERLINK("#",""), HYPERLINK(CONCATENATE("#metadata!", ADDRESS(INDEX($AH$2:$AH$1001,MATCH(ROWS($AF$2:AF943),$AF$2:$AF$1001,0),0), INDEX($AM$1004:$BM$1004,1,MATCH(COLUMNS($AM$1006:BH1006),$AM$1006:$BM$1006,0)))),"Fix")))</f>
        <v xml:space="preserve"> </v>
      </c>
      <c r="X943" s="4" t="str">
        <f ca="1">IF(OR(INDEX($AG$2:$AG$1001,MATCH(ROWS($AF$2:AF943),$AF$2:$AF$1001,0),1)&gt;=100000,INDEX($AM$1005:$BM$1005,1,MATCH(COLUMNS($AM$1006:BI1006),$AM$1006:$BM$1006,0))&gt;=100000), " ",IF(INDEX($AM$2:$BM$1001,MATCH(ROWS($AF$2:AF943),$AF$2:$AF$1001,0),MATCH(COLUMNS($AM$1006:BI1006),$AM$1006:$BM$1006,0)), HYPERLINK("#",""), HYPERLINK(CONCATENATE("#metadata!", ADDRESS(INDEX($AH$2:$AH$1001,MATCH(ROWS($AF$2:AF943),$AF$2:$AF$1001,0),0), INDEX($AM$1004:$BM$1004,1,MATCH(COLUMNS($AM$1006:BI1006),$AM$1006:$BM$1006,0)))),"Fix")))</f>
        <v xml:space="preserve"> </v>
      </c>
      <c r="Y943" s="4" t="str">
        <f ca="1">IF(OR(INDEX($AG$2:$AG$1001,MATCH(ROWS($AF$2:AF943),$AF$2:$AF$1001,0),1)&gt;=100000,INDEX($AM$1005:$BM$1005,1,MATCH(COLUMNS($AM$1006:BJ1006),$AM$1006:$BM$1006,0))&gt;=100000), " ",IF(INDEX($AM$2:$BM$1001,MATCH(ROWS($AF$2:AF943),$AF$2:$AF$1001,0),MATCH(COLUMNS($AM$1006:BJ1006),$AM$1006:$BM$1006,0)), HYPERLINK("#",""), HYPERLINK(CONCATENATE("#metadata!", ADDRESS(INDEX($AH$2:$AH$1001,MATCH(ROWS($AF$2:AF943),$AF$2:$AF$1001,0),0), INDEX($AM$1004:$BM$1004,1,MATCH(COLUMNS($AM$1006:BJ1006),$AM$1006:$BM$1006,0)))),"Fix")))</f>
        <v xml:space="preserve"> </v>
      </c>
      <c r="Z943" s="4" t="str">
        <f ca="1">IF(OR(INDEX($AG$2:$AG$1001,MATCH(ROWS($AF$2:AF943),$AF$2:$AF$1001,0),1)&gt;=100000,INDEX($AM$1005:$BM$1005,1,MATCH(COLUMNS($AM$1006:BK1006),$AM$1006:$BM$1006,0))&gt;=100000), " ",IF(INDEX($AM$2:$BM$1001,MATCH(ROWS($AF$2:AF943),$AF$2:$AF$1001,0),MATCH(COLUMNS($AM$1006:BK1006),$AM$1006:$BM$1006,0)), HYPERLINK("#",""), HYPERLINK(CONCATENATE("#metadata!", ADDRESS(INDEX($AH$2:$AH$1001,MATCH(ROWS($AF$2:AF943),$AF$2:$AF$1001,0),0), INDEX($AM$1004:$BM$1004,1,MATCH(COLUMNS($AM$1006:BK1006),$AM$1006:$BM$1006,0)))),"Fix")))</f>
        <v xml:space="preserve"> </v>
      </c>
      <c r="AA943" s="4" t="str">
        <f ca="1">IF(OR(INDEX($AG$2:$AG$1001,MATCH(ROWS($AF$2:AF943),$AF$2:$AF$1001,0),1)&gt;=100000,INDEX($AM$1005:$BM$1005,1,MATCH(COLUMNS($AM$1006:BL1006),$AM$1006:$BM$1006,0))&gt;=100000), " ",IF(INDEX($AM$2:$BM$1001,MATCH(ROWS($AF$2:AF943),$AF$2:$AF$1001,0),MATCH(COLUMNS($AM$1006:BL1006),$AM$1006:$BM$1006,0)), HYPERLINK("#",""), HYPERLINK(CONCATENATE("#metadata!", ADDRESS(INDEX($AH$2:$AH$1001,MATCH(ROWS($AF$2:AF943),$AF$2:$AF$1001,0),0), INDEX($AM$1004:$BM$1004,1,MATCH(COLUMNS($AM$1006:BL1006),$AM$1006:$BM$1006,0)))),"Fix")))</f>
        <v xml:space="preserve"> </v>
      </c>
      <c r="AB943" s="4" t="str">
        <f ca="1">IF(OR(INDEX($AG$2:$AG$1001,MATCH(ROWS($AF$2:AF943),$AF$2:$AF$1001,0),1)&gt;=100000,INDEX($AM$1005:$BM$1005,1,MATCH(COLUMNS($AM$1006:BM1006),$AM$1006:$BM$1006,0))&gt;=100000), " ",IF(INDEX($AM$2:$BM$1001,MATCH(ROWS($AF$2:AF943),$AF$2:$AF$1001,0),MATCH(COLUMNS($AM$1006:BM1006),$AM$1006:$BM$1006,0)), HYPERLINK("#",""), HYPERLINK(CONCATENATE("#metadata!", ADDRESS(INDEX($AH$2:$AH$1001,MATCH(ROWS($AF$2:AF943),$AF$2:$AF$1001,0),0), INDEX($AM$1004:$BM$1004,1,MATCH(COLUMNS($AM$1006:BM1006),$AM$1006:$BM$1006,0)))),"Fix")))</f>
        <v xml:space="preserve"> </v>
      </c>
      <c r="AF943">
        <v>942</v>
      </c>
      <c r="AG943">
        <v>100943</v>
      </c>
      <c r="AH943">
        <v>943</v>
      </c>
      <c r="AI943" t="b">
        <f t="shared" si="14"/>
        <v>1</v>
      </c>
      <c r="AJ943" t="b">
        <f>COUNTBLANK(metadata!B943:AB943)=COLUMNS(metadata!B943:AB943)</f>
        <v>1</v>
      </c>
      <c r="AK943" t="str">
        <v/>
      </c>
      <c r="AM943" t="b">
        <f ca="1">AND(IF(metadata!B943="",FALSE,TRUE),COUNTIF(metadata!B:B, metadata!B943) = 1,NOT(ISERROR(SUMPRODUCT(SEARCH(MID(metadata!B943,ROW(INDIRECT("1:"&amp;LEN(metadata!B943))), 1),"0123456789abcdefghijklmnopqrstuvwxyzABCDEFGHIJKLMNOPQRSTUVWXYZ.")))))</f>
        <v>0</v>
      </c>
      <c r="AN943" t="b">
        <f ca="1">OR(AND(IF(metadata!C943="",FALSE,TRUE),OR(EXACT(metadata!C943,"missing: not collected"),EXACT(metadata!C943,"missing: not provided"),EXACT(metadata!C943,"missing: restricted access"))),AND(IF(metadata!C943="",FALSE,TRUE),AND(AND(IFERROR(INT(LEFT(metadata!C943,4))&gt;1900,FALSE),IFERROR(INT(LEFT(metadata!C943,4))&lt;=YEAR(NOW()),FALSE)), OR(MID(metadata!C943,5,1)="", AND(AND(MID(metadata!C943,5,1)="-",IFERROR(INT(MID(metadata!C943,6,1))&gt;=0,FALSE),IFERROR(INT(MID(metadata!C943,6,1))&lt;=1,FALSE),NOT(MID(metadata!C943,7,1)=""),IFERROR(INT(MID(metadata!C943,6,2))&gt;=1,FALSE),IFERROR(INT(MID(metadata!C943,6,2))&lt;=12,FALSE)), OR(MID(metadata!C943,8,1)="", AND(AND(MID(metadata!C943,8,1)="-",IFERROR(INT(MID(metadata!C943,9,1))&gt;=0,FALSE),IFERROR(INT(MID(metadata!C943,9,1))&lt;=3,FALSE),NOT(MID(metadata!C943,10,1)=""),IFERROR(INT(MID(metadata!C943,9,2))&gt;=1,FALSE),IFERROR(INT(MID(metadata!C943,9,2))&lt;=31,FALSE)), OR(MID(metadata!C943,11,1)="", AND(AND(MID(metadata!C943,11,1)=" ",IFERROR(INT(MID(metadata!C943,12,1))&gt;=0,FALSE),IFERROR(INT(MID(metadata!C943,12,1))&lt;=2,FALSE),NOT(MID(metadata!C943,13,1)=""),IFERROR(INT(MID(metadata!C943,12,2))&gt;=0,FALSE),IFERROR(INT(MID(metadata!C943,12,2))&lt;=23,FALSE)), OR(MID(metadata!C943,14,1)="", AND(AND(MID(metadata!C943,14,1)=":",IFERROR(INT(MID(metadata!C943,15,1))&gt;=0,FALSE),IFERROR(INT(MID(metadata!C943,15,1))&lt;=5,FALSE),NOT(MID(metadata!C943,16,1)=""),IFERROR(INT(MID(metadata!C943,15,2))&gt;=0,FALSE),IFERROR(INT(MID(metadata!C943,15,2))&lt;=59,FALSE)), OR(MID(metadata!C943,17,1)="", AND(AND(MID(metadata!C943,17,1)=":",IFERROR(INT(MID(metadata!C943,18,1))&gt;=0,FALSE),IFERROR(INT(MID(metadata!C943,18,1))&lt;=5,FALSE),NOT(MID(metadata!C943,19,1)=""),IFERROR(INT(MID(metadata!C943,18,2))&gt;=0,FALSE),IFERROR(INT(MID(metadata!C943,18,2))&lt;=59,FALSE)), LEN(metadata!C943)&lt;=19)))))))))))))</f>
        <v>0</v>
      </c>
      <c r="AO943" t="b">
        <f>AND(IF(metadata!D943="",FALSE,TRUE),EXACT(metadata!D943,"Not applicable"))</f>
        <v>0</v>
      </c>
      <c r="AP943" t="b">
        <f>IF(metadata!E943="",FALSE,TRUE)</f>
        <v>0</v>
      </c>
      <c r="AQ943" t="b">
        <f>OR(AND(IF(metadata!F943="",FALSE,TRUE),OR(EXACT(metadata!F943,"missing: not collected"),EXACT(metadata!F943,"missing: not provided"))),AND(IF(metadata!F943="",FALSE,TRUE),OR(EXACT(metadata!F943,"TRUE"),EXACT(metadata!F943,"FALSE"))))</f>
        <v>0</v>
      </c>
      <c r="AR943" t="b">
        <f>OR(AND(IF(metadata!G943="",FALSE,TRUE),OR(EXACT(metadata!G943,"missing: not collected"),EXACT(metadata!G943,"missing: not provided"),EXACT(metadata!G943,"missing: restricted access"))),AND(IF(metadata!G943="",FALSE,ISNUMBER(VALUE(metadata!G943))),metadata!G943&gt;=-413))</f>
        <v>0</v>
      </c>
      <c r="AS943" t="b">
        <f>AND(IF(metadata!H943="",FALSE,TRUE),EXACT(metadata!H943,"meters"))</f>
        <v>0</v>
      </c>
      <c r="AT943" t="b">
        <f>AND(IF(metadata!I943="",FALSE,TRUE),OR(EXACT(metadata!I943,"Host-associated"),EXACT(metadata!I943,"Free-living")))</f>
        <v>0</v>
      </c>
      <c r="AU943" t="b">
        <f>AND(IF(metadata!J943="",FALSE,TRUE),OR(EXACT(metadata!J943,"Animal"),EXACT(metadata!J943,"Fungus"),EXACT(metadata!J943,"Plant"),EXACT(metadata!J943,"Saline"),EXACT(metadata!J943,"Non-saline")))</f>
        <v>0</v>
      </c>
      <c r="AV943" t="b">
        <f>AND(IF(metadata!K943="",FALSE,TRUE),OR(EXACT(metadata!K943,"Plant secretion"),EXACT(metadata!K943,"Plant rhizosphere"),EXACT(metadata!K943,"Plant surface"),EXACT(metadata!K943,"Plant corpus"),EXACT(metadata!K943,"Fungus surface"),EXACT(metadata!K943,"Fungus corpus"),EXACT(metadata!K943,"Animal surface"),EXACT(metadata!K943,"Animal proximal gut"),EXACT(metadata!K943,"Animal corpus"),EXACT(metadata!K943,"Animal distal gut"),EXACT(metadata!K943,"Animal secretion"),EXACT(metadata!K943,"Sub-surface (non-saline)"),EXACT(metadata!K943,"Surface (non-saline)"),EXACT(metadata!K943,"Water (non-saline)"),EXACT(metadata!K943,"Soil (non-saline)"),EXACT(metadata!K943,"Aerosol (non-saline)"),EXACT(metadata!K943,"Sediment (non-saline)"),EXACT(metadata!K943,"Surface (saline)"),EXACT(metadata!K943,"Water (saline)"),EXACT(metadata!K943,"Hypersaline (saline)"),EXACT(metadata!K943,"Aerosol (saline)"),EXACT(metadata!K943,"Sediment (saline)")))</f>
        <v>0</v>
      </c>
      <c r="AW943" t="b">
        <f>IF(metadata!L943="",FALSE,TRUE)</f>
        <v>0</v>
      </c>
      <c r="AX943" t="b">
        <f>IF(metadata!M943="",FALSE,TRUE)</f>
        <v>0</v>
      </c>
      <c r="AY943" t="b">
        <f>IF(metadata!N943="",FALSE,TRUE)</f>
        <v>0</v>
      </c>
      <c r="AZ943" t="b">
        <f>OR(AND(IF(metadata!O943="",FALSE,TRUE),OR(EXACT(metadata!O943,"missing: not collected"),EXACT(metadata!O943,"missing: not provided"),EXACT(metadata!O943,"missing: restricted access"))),AND(IF(metadata!O943="",FALSE,TRUE),OR(EXACT(metadata!O943,"air"),EXACT(metadata!O943,"built environment"),EXACT(metadata!O943,"host-associated"),EXACT(metadata!O943,"human-associated"),EXACT(metadata!O943,"human-skin"),EXACT(metadata!O943,"human-oral"),EXACT(metadata!O943,"human-gut"),EXACT(metadata!O943,"human-vaginal"),EXACT(metadata!O943,"microbial mat/biofilm"),EXACT(metadata!O943,"misc environment"),EXACT(metadata!O943,"plant-associated"),EXACT(metadata!O943,"sediment"),EXACT(metadata!O943,"soil"),EXACT(metadata!O943,"wastewater/sludge"),EXACT(metadata!O943,"water"))))</f>
        <v>0</v>
      </c>
      <c r="BA943" t="b">
        <f>IF(metadata!P943="",FALSE,TRUE)</f>
        <v>0</v>
      </c>
      <c r="BB943" t="b">
        <f>IF(metadata!Q943="",FALSE,TRUE)</f>
        <v>0</v>
      </c>
      <c r="BC943" t="b">
        <f>OR(AND(IF(metadata!R943="",FALSE,TRUE),OR(EXACT(metadata!R943,"missing: not collected"),EXACT(metadata!R943,"missing: not provided"),EXACT(metadata!R943,"missing: restricted access"))),AND(IF(metadata!R943="",FALSE,ISNUMBER(VALUE(metadata!R943))),metadata!R943&gt;=-90,metadata!R943&lt;=90))</f>
        <v>0</v>
      </c>
      <c r="BD943" t="b">
        <f>AND(IF(metadata!S943="",FALSE,TRUE),EXACT(metadata!S943,"Decimal degrees"))</f>
        <v>0</v>
      </c>
      <c r="BE943" t="b">
        <f>OR(AND(IF(metadata!T943="",FALSE,TRUE),OR(EXACT(metadata!T943,"missing: not collected"),EXACT(metadata!T943,"missing: not provided"),EXACT(metadata!T943,"missing: restricted access"))),AND(IF(metadata!T943="",FALSE,ISNUMBER(VALUE(metadata!T943))),metadata!T943&gt;=-180,metadata!T943&lt;=180))</f>
        <v>0</v>
      </c>
      <c r="BF943" t="b">
        <f>AND(IF(metadata!U943="",FALSE,TRUE),EXACT(metadata!U943,"Decimal degrees"))</f>
        <v>0</v>
      </c>
      <c r="BG943" t="b">
        <f>IF(metadata!V943="",FALSE,TRUE)</f>
        <v>0</v>
      </c>
      <c r="BH943" t="b">
        <f>OR(AND(IF(metadata!W943="",FALSE,TRUE),OR(EXACT(metadata!W943,"missing: not collected"),EXACT(metadata!W943,"missing: not provided"),EXACT(metadata!W943,"missing: restricted access"))),AND(IF(metadata!W943="",FALSE,TRUE),OR(EXACT(metadata!W943,"TRUE"),EXACT(metadata!W943,"FALSE"))))</f>
        <v>0</v>
      </c>
      <c r="BI943" t="b">
        <f>AND(IF(metadata!X943="",FALSE,TRUE),EXACT(metadata!X943,"other"))</f>
        <v>0</v>
      </c>
      <c r="BJ943" t="b">
        <f>IF(metadata!Y943="",FALSE,TRUE)</f>
        <v>0</v>
      </c>
      <c r="BK943" t="b">
        <f>OR(AND(IF(metadata!Z943="",FALSE,TRUE),OR(EXACT(metadata!Z943,"missing: not collected"),EXACT(metadata!Z943,"missing: not provided"))),AND(IF(metadata!Z943="",FALSE,IF(ISERROR(INT(metadata!Z943)),FALSE,INT(metadata!Z943)=metadata!Z943)),metadata!Z943&gt;0))</f>
        <v>0</v>
      </c>
      <c r="BL943" t="b">
        <f>AND(IF(metadata!AA943="",FALSE,TRUE),EXACT(metadata!AA943,"Not applicable"))</f>
        <v>0</v>
      </c>
      <c r="BM943" t="b">
        <f>IF(metadata!AB943="",FALSE,TRUE)</f>
        <v>0</v>
      </c>
    </row>
    <row r="944" spans="1:65" x14ac:dyDescent="0.2">
      <c r="A944" s="5" t="str">
        <f ca="1">IF(B944=" "," ",HYPERLINK(CONCATENATE("#metadata!",ADDRESS(INDEX($AH$2:$AH$1001,MATCH(ROWS($AF$2:AF944),$AF$2:$AF$1001,0),0),1)),INDEX($AK$2:$AK$1001,MATCH(ROWS($AF$2:AF944),$AF$2:$AF$1001,0),0)))</f>
        <v xml:space="preserve"> </v>
      </c>
      <c r="B944" s="4" t="str">
        <f ca="1">IF(OR(INDEX($AG$2:$AG$1001,MATCH(ROWS($AF$2:AF944),$AF$2:$AF$1001,0),1)&gt;=100000,INDEX($AM$1005:$BM$1005,1,MATCH(COLUMNS($AM$1006:AM1006),$AM$1006:$BM$1006,0))&gt;=100000), " ",IF(INDEX($AM$2:$BM$1001,MATCH(ROWS($AF$2:AF944),$AF$2:$AF$1001,0),MATCH(COLUMNS($AM$1006:AM1006),$AM$1006:$BM$1006,0)), HYPERLINK("#",""), HYPERLINK(CONCATENATE("#metadata!", ADDRESS(INDEX($AH$2:$AH$1001,MATCH(ROWS($AF$2:AF944),$AF$2:$AF$1001,0),0), INDEX($AM$1004:$BM$1004,1,MATCH(COLUMNS($AM$1006:AM1006),$AM$1006:$BM$1006,0)))),"Fix")))</f>
        <v xml:space="preserve"> </v>
      </c>
      <c r="C944" s="4" t="str">
        <f ca="1">IF(OR(INDEX($AG$2:$AG$1001,MATCH(ROWS($AF$2:AF944),$AF$2:$AF$1001,0),1)&gt;=100000,INDEX($AM$1005:$BM$1005,1,MATCH(COLUMNS($AM$1006:AN1006),$AM$1006:$BM$1006,0))&gt;=100000), " ",IF(INDEX($AM$2:$BM$1001,MATCH(ROWS($AF$2:AF944),$AF$2:$AF$1001,0),MATCH(COLUMNS($AM$1006:AN1006),$AM$1006:$BM$1006,0)), HYPERLINK("#",""), HYPERLINK(CONCATENATE("#metadata!", ADDRESS(INDEX($AH$2:$AH$1001,MATCH(ROWS($AF$2:AF944),$AF$2:$AF$1001,0),0), INDEX($AM$1004:$BM$1004,1,MATCH(COLUMNS($AM$1006:AN1006),$AM$1006:$BM$1006,0)))),"Fix")))</f>
        <v xml:space="preserve"> </v>
      </c>
      <c r="D944" s="4" t="str">
        <f ca="1">IF(OR(INDEX($AG$2:$AG$1001,MATCH(ROWS($AF$2:AF944),$AF$2:$AF$1001,0),1)&gt;=100000,INDEX($AM$1005:$BM$1005,1,MATCH(COLUMNS($AM$1006:AO1006),$AM$1006:$BM$1006,0))&gt;=100000), " ",IF(INDEX($AM$2:$BM$1001,MATCH(ROWS($AF$2:AF944),$AF$2:$AF$1001,0),MATCH(COLUMNS($AM$1006:AO1006),$AM$1006:$BM$1006,0)), HYPERLINK("#",""), HYPERLINK(CONCATENATE("#metadata!", ADDRESS(INDEX($AH$2:$AH$1001,MATCH(ROWS($AF$2:AF944),$AF$2:$AF$1001,0),0), INDEX($AM$1004:$BM$1004,1,MATCH(COLUMNS($AM$1006:AO1006),$AM$1006:$BM$1006,0)))),"Fix")))</f>
        <v xml:space="preserve"> </v>
      </c>
      <c r="E944" s="4" t="str">
        <f ca="1">IF(OR(INDEX($AG$2:$AG$1001,MATCH(ROWS($AF$2:AF944),$AF$2:$AF$1001,0),1)&gt;=100000,INDEX($AM$1005:$BM$1005,1,MATCH(COLUMNS($AM$1006:AP1006),$AM$1006:$BM$1006,0))&gt;=100000), " ",IF(INDEX($AM$2:$BM$1001,MATCH(ROWS($AF$2:AF944),$AF$2:$AF$1001,0),MATCH(COLUMNS($AM$1006:AP1006),$AM$1006:$BM$1006,0)), HYPERLINK("#",""), HYPERLINK(CONCATENATE("#metadata!", ADDRESS(INDEX($AH$2:$AH$1001,MATCH(ROWS($AF$2:AF944),$AF$2:$AF$1001,0),0), INDEX($AM$1004:$BM$1004,1,MATCH(COLUMNS($AM$1006:AP1006),$AM$1006:$BM$1006,0)))),"Fix")))</f>
        <v xml:space="preserve"> </v>
      </c>
      <c r="F944" s="4" t="str">
        <f ca="1">IF(OR(INDEX($AG$2:$AG$1001,MATCH(ROWS($AF$2:AF944),$AF$2:$AF$1001,0),1)&gt;=100000,INDEX($AM$1005:$BM$1005,1,MATCH(COLUMNS($AM$1006:AQ1006),$AM$1006:$BM$1006,0))&gt;=100000), " ",IF(INDEX($AM$2:$BM$1001,MATCH(ROWS($AF$2:AF944),$AF$2:$AF$1001,0),MATCH(COLUMNS($AM$1006:AQ1006),$AM$1006:$BM$1006,0)), HYPERLINK("#",""), HYPERLINK(CONCATENATE("#metadata!", ADDRESS(INDEX($AH$2:$AH$1001,MATCH(ROWS($AF$2:AF944),$AF$2:$AF$1001,0),0), INDEX($AM$1004:$BM$1004,1,MATCH(COLUMNS($AM$1006:AQ1006),$AM$1006:$BM$1006,0)))),"Fix")))</f>
        <v xml:space="preserve"> </v>
      </c>
      <c r="G944" s="4" t="str">
        <f ca="1">IF(OR(INDEX($AG$2:$AG$1001,MATCH(ROWS($AF$2:AF944),$AF$2:$AF$1001,0),1)&gt;=100000,INDEX($AM$1005:$BM$1005,1,MATCH(COLUMNS($AM$1006:AR1006),$AM$1006:$BM$1006,0))&gt;=100000), " ",IF(INDEX($AM$2:$BM$1001,MATCH(ROWS($AF$2:AF944),$AF$2:$AF$1001,0),MATCH(COLUMNS($AM$1006:AR1006),$AM$1006:$BM$1006,0)), HYPERLINK("#",""), HYPERLINK(CONCATENATE("#metadata!", ADDRESS(INDEX($AH$2:$AH$1001,MATCH(ROWS($AF$2:AF944),$AF$2:$AF$1001,0),0), INDEX($AM$1004:$BM$1004,1,MATCH(COLUMNS($AM$1006:AR1006),$AM$1006:$BM$1006,0)))),"Fix")))</f>
        <v xml:space="preserve"> </v>
      </c>
      <c r="H944" s="4" t="str">
        <f ca="1">IF(OR(INDEX($AG$2:$AG$1001,MATCH(ROWS($AF$2:AF944),$AF$2:$AF$1001,0),1)&gt;=100000,INDEX($AM$1005:$BM$1005,1,MATCH(COLUMNS($AM$1006:AS1006),$AM$1006:$BM$1006,0))&gt;=100000), " ",IF(INDEX($AM$2:$BM$1001,MATCH(ROWS($AF$2:AF944),$AF$2:$AF$1001,0),MATCH(COLUMNS($AM$1006:AS1006),$AM$1006:$BM$1006,0)), HYPERLINK("#",""), HYPERLINK(CONCATENATE("#metadata!", ADDRESS(INDEX($AH$2:$AH$1001,MATCH(ROWS($AF$2:AF944),$AF$2:$AF$1001,0),0), INDEX($AM$1004:$BM$1004,1,MATCH(COLUMNS($AM$1006:AS1006),$AM$1006:$BM$1006,0)))),"Fix")))</f>
        <v xml:space="preserve"> </v>
      </c>
      <c r="I944" s="4" t="str">
        <f ca="1">IF(OR(INDEX($AG$2:$AG$1001,MATCH(ROWS($AF$2:AF944),$AF$2:$AF$1001,0),1)&gt;=100000,INDEX($AM$1005:$BM$1005,1,MATCH(COLUMNS($AM$1006:AT1006),$AM$1006:$BM$1006,0))&gt;=100000), " ",IF(INDEX($AM$2:$BM$1001,MATCH(ROWS($AF$2:AF944),$AF$2:$AF$1001,0),MATCH(COLUMNS($AM$1006:AT1006),$AM$1006:$BM$1006,0)), HYPERLINK("#",""), HYPERLINK(CONCATENATE("#metadata!", ADDRESS(INDEX($AH$2:$AH$1001,MATCH(ROWS($AF$2:AF944),$AF$2:$AF$1001,0),0), INDEX($AM$1004:$BM$1004,1,MATCH(COLUMNS($AM$1006:AT1006),$AM$1006:$BM$1006,0)))),"Fix")))</f>
        <v xml:space="preserve"> </v>
      </c>
      <c r="J944" s="4" t="str">
        <f ca="1">IF(OR(INDEX($AG$2:$AG$1001,MATCH(ROWS($AF$2:AF944),$AF$2:$AF$1001,0),1)&gt;=100000,INDEX($AM$1005:$BM$1005,1,MATCH(COLUMNS($AM$1006:AU1006),$AM$1006:$BM$1006,0))&gt;=100000), " ",IF(INDEX($AM$2:$BM$1001,MATCH(ROWS($AF$2:AF944),$AF$2:$AF$1001,0),MATCH(COLUMNS($AM$1006:AU1006),$AM$1006:$BM$1006,0)), HYPERLINK("#",""), HYPERLINK(CONCATENATE("#metadata!", ADDRESS(INDEX($AH$2:$AH$1001,MATCH(ROWS($AF$2:AF944),$AF$2:$AF$1001,0),0), INDEX($AM$1004:$BM$1004,1,MATCH(COLUMNS($AM$1006:AU1006),$AM$1006:$BM$1006,0)))),"Fix")))</f>
        <v xml:space="preserve"> </v>
      </c>
      <c r="K944" s="4" t="str">
        <f ca="1">IF(OR(INDEX($AG$2:$AG$1001,MATCH(ROWS($AF$2:AF944),$AF$2:$AF$1001,0),1)&gt;=100000,INDEX($AM$1005:$BM$1005,1,MATCH(COLUMNS($AM$1006:AV1006),$AM$1006:$BM$1006,0))&gt;=100000), " ",IF(INDEX($AM$2:$BM$1001,MATCH(ROWS($AF$2:AF944),$AF$2:$AF$1001,0),MATCH(COLUMNS($AM$1006:AV1006),$AM$1006:$BM$1006,0)), HYPERLINK("#",""), HYPERLINK(CONCATENATE("#metadata!", ADDRESS(INDEX($AH$2:$AH$1001,MATCH(ROWS($AF$2:AF944),$AF$2:$AF$1001,0),0), INDEX($AM$1004:$BM$1004,1,MATCH(COLUMNS($AM$1006:AV1006),$AM$1006:$BM$1006,0)))),"Fix")))</f>
        <v xml:space="preserve"> </v>
      </c>
      <c r="L944" s="4" t="str">
        <f ca="1">IF(OR(INDEX($AG$2:$AG$1001,MATCH(ROWS($AF$2:AF944),$AF$2:$AF$1001,0),1)&gt;=100000,INDEX($AM$1005:$BM$1005,1,MATCH(COLUMNS($AM$1006:AW1006),$AM$1006:$BM$1006,0))&gt;=100000), " ",IF(INDEX($AM$2:$BM$1001,MATCH(ROWS($AF$2:AF944),$AF$2:$AF$1001,0),MATCH(COLUMNS($AM$1006:AW1006),$AM$1006:$BM$1006,0)), HYPERLINK("#",""), HYPERLINK(CONCATENATE("#metadata!", ADDRESS(INDEX($AH$2:$AH$1001,MATCH(ROWS($AF$2:AF944),$AF$2:$AF$1001,0),0), INDEX($AM$1004:$BM$1004,1,MATCH(COLUMNS($AM$1006:AW1006),$AM$1006:$BM$1006,0)))),"Fix")))</f>
        <v xml:space="preserve"> </v>
      </c>
      <c r="M944" s="4" t="str">
        <f ca="1">IF(OR(INDEX($AG$2:$AG$1001,MATCH(ROWS($AF$2:AF944),$AF$2:$AF$1001,0),1)&gt;=100000,INDEX($AM$1005:$BM$1005,1,MATCH(COLUMNS($AM$1006:AX1006),$AM$1006:$BM$1006,0))&gt;=100000), " ",IF(INDEX($AM$2:$BM$1001,MATCH(ROWS($AF$2:AF944),$AF$2:$AF$1001,0),MATCH(COLUMNS($AM$1006:AX1006),$AM$1006:$BM$1006,0)), HYPERLINK("#",""), HYPERLINK(CONCATENATE("#metadata!", ADDRESS(INDEX($AH$2:$AH$1001,MATCH(ROWS($AF$2:AF944),$AF$2:$AF$1001,0),0), INDEX($AM$1004:$BM$1004,1,MATCH(COLUMNS($AM$1006:AX1006),$AM$1006:$BM$1006,0)))),"Fix")))</f>
        <v xml:space="preserve"> </v>
      </c>
      <c r="N944" s="4" t="str">
        <f ca="1">IF(OR(INDEX($AG$2:$AG$1001,MATCH(ROWS($AF$2:AF944),$AF$2:$AF$1001,0),1)&gt;=100000,INDEX($AM$1005:$BM$1005,1,MATCH(COLUMNS($AM$1006:AY1006),$AM$1006:$BM$1006,0))&gt;=100000), " ",IF(INDEX($AM$2:$BM$1001,MATCH(ROWS($AF$2:AF944),$AF$2:$AF$1001,0),MATCH(COLUMNS($AM$1006:AY1006),$AM$1006:$BM$1006,0)), HYPERLINK("#",""), HYPERLINK(CONCATENATE("#metadata!", ADDRESS(INDEX($AH$2:$AH$1001,MATCH(ROWS($AF$2:AF944),$AF$2:$AF$1001,0),0), INDEX($AM$1004:$BM$1004,1,MATCH(COLUMNS($AM$1006:AY1006),$AM$1006:$BM$1006,0)))),"Fix")))</f>
        <v xml:space="preserve"> </v>
      </c>
      <c r="O944" s="4" t="str">
        <f ca="1">IF(OR(INDEX($AG$2:$AG$1001,MATCH(ROWS($AF$2:AF944),$AF$2:$AF$1001,0),1)&gt;=100000,INDEX($AM$1005:$BM$1005,1,MATCH(COLUMNS($AM$1006:AZ1006),$AM$1006:$BM$1006,0))&gt;=100000), " ",IF(INDEX($AM$2:$BM$1001,MATCH(ROWS($AF$2:AF944),$AF$2:$AF$1001,0),MATCH(COLUMNS($AM$1006:AZ1006),$AM$1006:$BM$1006,0)), HYPERLINK("#",""), HYPERLINK(CONCATENATE("#metadata!", ADDRESS(INDEX($AH$2:$AH$1001,MATCH(ROWS($AF$2:AF944),$AF$2:$AF$1001,0),0), INDEX($AM$1004:$BM$1004,1,MATCH(COLUMNS($AM$1006:AZ1006),$AM$1006:$BM$1006,0)))),"Fix")))</f>
        <v xml:space="preserve"> </v>
      </c>
      <c r="P944" s="4" t="str">
        <f ca="1">IF(OR(INDEX($AG$2:$AG$1001,MATCH(ROWS($AF$2:AF944),$AF$2:$AF$1001,0),1)&gt;=100000,INDEX($AM$1005:$BM$1005,1,MATCH(COLUMNS($AM$1006:BA1006),$AM$1006:$BM$1006,0))&gt;=100000), " ",IF(INDEX($AM$2:$BM$1001,MATCH(ROWS($AF$2:AF944),$AF$2:$AF$1001,0),MATCH(COLUMNS($AM$1006:BA1006),$AM$1006:$BM$1006,0)), HYPERLINK("#",""), HYPERLINK(CONCATENATE("#metadata!", ADDRESS(INDEX($AH$2:$AH$1001,MATCH(ROWS($AF$2:AF944),$AF$2:$AF$1001,0),0), INDEX($AM$1004:$BM$1004,1,MATCH(COLUMNS($AM$1006:BA1006),$AM$1006:$BM$1006,0)))),"Fix")))</f>
        <v xml:space="preserve"> </v>
      </c>
      <c r="Q944" s="4" t="str">
        <f ca="1">IF(OR(INDEX($AG$2:$AG$1001,MATCH(ROWS($AF$2:AF944),$AF$2:$AF$1001,0),1)&gt;=100000,INDEX($AM$1005:$BM$1005,1,MATCH(COLUMNS($AM$1006:BB1006),$AM$1006:$BM$1006,0))&gt;=100000), " ",IF(INDEX($AM$2:$BM$1001,MATCH(ROWS($AF$2:AF944),$AF$2:$AF$1001,0),MATCH(COLUMNS($AM$1006:BB1006),$AM$1006:$BM$1006,0)), HYPERLINK("#",""), HYPERLINK(CONCATENATE("#metadata!", ADDRESS(INDEX($AH$2:$AH$1001,MATCH(ROWS($AF$2:AF944),$AF$2:$AF$1001,0),0), INDEX($AM$1004:$BM$1004,1,MATCH(COLUMNS($AM$1006:BB1006),$AM$1006:$BM$1006,0)))),"Fix")))</f>
        <v xml:space="preserve"> </v>
      </c>
      <c r="R944" s="4" t="str">
        <f ca="1">IF(OR(INDEX($AG$2:$AG$1001,MATCH(ROWS($AF$2:AF944),$AF$2:$AF$1001,0),1)&gt;=100000,INDEX($AM$1005:$BM$1005,1,MATCH(COLUMNS($AM$1006:BC1006),$AM$1006:$BM$1006,0))&gt;=100000), " ",IF(INDEX($AM$2:$BM$1001,MATCH(ROWS($AF$2:AF944),$AF$2:$AF$1001,0),MATCH(COLUMNS($AM$1006:BC1006),$AM$1006:$BM$1006,0)), HYPERLINK("#",""), HYPERLINK(CONCATENATE("#metadata!", ADDRESS(INDEX($AH$2:$AH$1001,MATCH(ROWS($AF$2:AF944),$AF$2:$AF$1001,0),0), INDEX($AM$1004:$BM$1004,1,MATCH(COLUMNS($AM$1006:BC1006),$AM$1006:$BM$1006,0)))),"Fix")))</f>
        <v xml:space="preserve"> </v>
      </c>
      <c r="S944" s="4" t="str">
        <f ca="1">IF(OR(INDEX($AG$2:$AG$1001,MATCH(ROWS($AF$2:AF944),$AF$2:$AF$1001,0),1)&gt;=100000,INDEX($AM$1005:$BM$1005,1,MATCH(COLUMNS($AM$1006:BD1006),$AM$1006:$BM$1006,0))&gt;=100000), " ",IF(INDEX($AM$2:$BM$1001,MATCH(ROWS($AF$2:AF944),$AF$2:$AF$1001,0),MATCH(COLUMNS($AM$1006:BD1006),$AM$1006:$BM$1006,0)), HYPERLINK("#",""), HYPERLINK(CONCATENATE("#metadata!", ADDRESS(INDEX($AH$2:$AH$1001,MATCH(ROWS($AF$2:AF944),$AF$2:$AF$1001,0),0), INDEX($AM$1004:$BM$1004,1,MATCH(COLUMNS($AM$1006:BD1006),$AM$1006:$BM$1006,0)))),"Fix")))</f>
        <v xml:space="preserve"> </v>
      </c>
      <c r="T944" s="4" t="str">
        <f ca="1">IF(OR(INDEX($AG$2:$AG$1001,MATCH(ROWS($AF$2:AF944),$AF$2:$AF$1001,0),1)&gt;=100000,INDEX($AM$1005:$BM$1005,1,MATCH(COLUMNS($AM$1006:BE1006),$AM$1006:$BM$1006,0))&gt;=100000), " ",IF(INDEX($AM$2:$BM$1001,MATCH(ROWS($AF$2:AF944),$AF$2:$AF$1001,0),MATCH(COLUMNS($AM$1006:BE1006),$AM$1006:$BM$1006,0)), HYPERLINK("#",""), HYPERLINK(CONCATENATE("#metadata!", ADDRESS(INDEX($AH$2:$AH$1001,MATCH(ROWS($AF$2:AF944),$AF$2:$AF$1001,0),0), INDEX($AM$1004:$BM$1004,1,MATCH(COLUMNS($AM$1006:BE1006),$AM$1006:$BM$1006,0)))),"Fix")))</f>
        <v xml:space="preserve"> </v>
      </c>
      <c r="U944" s="4" t="str">
        <f ca="1">IF(OR(INDEX($AG$2:$AG$1001,MATCH(ROWS($AF$2:AF944),$AF$2:$AF$1001,0),1)&gt;=100000,INDEX($AM$1005:$BM$1005,1,MATCH(COLUMNS($AM$1006:BF1006),$AM$1006:$BM$1006,0))&gt;=100000), " ",IF(INDEX($AM$2:$BM$1001,MATCH(ROWS($AF$2:AF944),$AF$2:$AF$1001,0),MATCH(COLUMNS($AM$1006:BF1006),$AM$1006:$BM$1006,0)), HYPERLINK("#",""), HYPERLINK(CONCATENATE("#metadata!", ADDRESS(INDEX($AH$2:$AH$1001,MATCH(ROWS($AF$2:AF944),$AF$2:$AF$1001,0),0), INDEX($AM$1004:$BM$1004,1,MATCH(COLUMNS($AM$1006:BF1006),$AM$1006:$BM$1006,0)))),"Fix")))</f>
        <v xml:space="preserve"> </v>
      </c>
      <c r="V944" s="4" t="str">
        <f ca="1">IF(OR(INDEX($AG$2:$AG$1001,MATCH(ROWS($AF$2:AF944),$AF$2:$AF$1001,0),1)&gt;=100000,INDEX($AM$1005:$BM$1005,1,MATCH(COLUMNS($AM$1006:BG1006),$AM$1006:$BM$1006,0))&gt;=100000), " ",IF(INDEX($AM$2:$BM$1001,MATCH(ROWS($AF$2:AF944),$AF$2:$AF$1001,0),MATCH(COLUMNS($AM$1006:BG1006),$AM$1006:$BM$1006,0)), HYPERLINK("#",""), HYPERLINK(CONCATENATE("#metadata!", ADDRESS(INDEX($AH$2:$AH$1001,MATCH(ROWS($AF$2:AF944),$AF$2:$AF$1001,0),0), INDEX($AM$1004:$BM$1004,1,MATCH(COLUMNS($AM$1006:BG1006),$AM$1006:$BM$1006,0)))),"Fix")))</f>
        <v xml:space="preserve"> </v>
      </c>
      <c r="W944" s="4" t="str">
        <f ca="1">IF(OR(INDEX($AG$2:$AG$1001,MATCH(ROWS($AF$2:AF944),$AF$2:$AF$1001,0),1)&gt;=100000,INDEX($AM$1005:$BM$1005,1,MATCH(COLUMNS($AM$1006:BH1006),$AM$1006:$BM$1006,0))&gt;=100000), " ",IF(INDEX($AM$2:$BM$1001,MATCH(ROWS($AF$2:AF944),$AF$2:$AF$1001,0),MATCH(COLUMNS($AM$1006:BH1006),$AM$1006:$BM$1006,0)), HYPERLINK("#",""), HYPERLINK(CONCATENATE("#metadata!", ADDRESS(INDEX($AH$2:$AH$1001,MATCH(ROWS($AF$2:AF944),$AF$2:$AF$1001,0),0), INDEX($AM$1004:$BM$1004,1,MATCH(COLUMNS($AM$1006:BH1006),$AM$1006:$BM$1006,0)))),"Fix")))</f>
        <v xml:space="preserve"> </v>
      </c>
      <c r="X944" s="4" t="str">
        <f ca="1">IF(OR(INDEX($AG$2:$AG$1001,MATCH(ROWS($AF$2:AF944),$AF$2:$AF$1001,0),1)&gt;=100000,INDEX($AM$1005:$BM$1005,1,MATCH(COLUMNS($AM$1006:BI1006),$AM$1006:$BM$1006,0))&gt;=100000), " ",IF(INDEX($AM$2:$BM$1001,MATCH(ROWS($AF$2:AF944),$AF$2:$AF$1001,0),MATCH(COLUMNS($AM$1006:BI1006),$AM$1006:$BM$1006,0)), HYPERLINK("#",""), HYPERLINK(CONCATENATE("#metadata!", ADDRESS(INDEX($AH$2:$AH$1001,MATCH(ROWS($AF$2:AF944),$AF$2:$AF$1001,0),0), INDEX($AM$1004:$BM$1004,1,MATCH(COLUMNS($AM$1006:BI1006),$AM$1006:$BM$1006,0)))),"Fix")))</f>
        <v xml:space="preserve"> </v>
      </c>
      <c r="Y944" s="4" t="str">
        <f ca="1">IF(OR(INDEX($AG$2:$AG$1001,MATCH(ROWS($AF$2:AF944),$AF$2:$AF$1001,0),1)&gt;=100000,INDEX($AM$1005:$BM$1005,1,MATCH(COLUMNS($AM$1006:BJ1006),$AM$1006:$BM$1006,0))&gt;=100000), " ",IF(INDEX($AM$2:$BM$1001,MATCH(ROWS($AF$2:AF944),$AF$2:$AF$1001,0),MATCH(COLUMNS($AM$1006:BJ1006),$AM$1006:$BM$1006,0)), HYPERLINK("#",""), HYPERLINK(CONCATENATE("#metadata!", ADDRESS(INDEX($AH$2:$AH$1001,MATCH(ROWS($AF$2:AF944),$AF$2:$AF$1001,0),0), INDEX($AM$1004:$BM$1004,1,MATCH(COLUMNS($AM$1006:BJ1006),$AM$1006:$BM$1006,0)))),"Fix")))</f>
        <v xml:space="preserve"> </v>
      </c>
      <c r="Z944" s="4" t="str">
        <f ca="1">IF(OR(INDEX($AG$2:$AG$1001,MATCH(ROWS($AF$2:AF944),$AF$2:$AF$1001,0),1)&gt;=100000,INDEX($AM$1005:$BM$1005,1,MATCH(COLUMNS($AM$1006:BK1006),$AM$1006:$BM$1006,0))&gt;=100000), " ",IF(INDEX($AM$2:$BM$1001,MATCH(ROWS($AF$2:AF944),$AF$2:$AF$1001,0),MATCH(COLUMNS($AM$1006:BK1006),$AM$1006:$BM$1006,0)), HYPERLINK("#",""), HYPERLINK(CONCATENATE("#metadata!", ADDRESS(INDEX($AH$2:$AH$1001,MATCH(ROWS($AF$2:AF944),$AF$2:$AF$1001,0),0), INDEX($AM$1004:$BM$1004,1,MATCH(COLUMNS($AM$1006:BK1006),$AM$1006:$BM$1006,0)))),"Fix")))</f>
        <v xml:space="preserve"> </v>
      </c>
      <c r="AA944" s="4" t="str">
        <f ca="1">IF(OR(INDEX($AG$2:$AG$1001,MATCH(ROWS($AF$2:AF944),$AF$2:$AF$1001,0),1)&gt;=100000,INDEX($AM$1005:$BM$1005,1,MATCH(COLUMNS($AM$1006:BL1006),$AM$1006:$BM$1006,0))&gt;=100000), " ",IF(INDEX($AM$2:$BM$1001,MATCH(ROWS($AF$2:AF944),$AF$2:$AF$1001,0),MATCH(COLUMNS($AM$1006:BL1006),$AM$1006:$BM$1006,0)), HYPERLINK("#",""), HYPERLINK(CONCATENATE("#metadata!", ADDRESS(INDEX($AH$2:$AH$1001,MATCH(ROWS($AF$2:AF944),$AF$2:$AF$1001,0),0), INDEX($AM$1004:$BM$1004,1,MATCH(COLUMNS($AM$1006:BL1006),$AM$1006:$BM$1006,0)))),"Fix")))</f>
        <v xml:space="preserve"> </v>
      </c>
      <c r="AB944" s="4" t="str">
        <f ca="1">IF(OR(INDEX($AG$2:$AG$1001,MATCH(ROWS($AF$2:AF944),$AF$2:$AF$1001,0),1)&gt;=100000,INDEX($AM$1005:$BM$1005,1,MATCH(COLUMNS($AM$1006:BM1006),$AM$1006:$BM$1006,0))&gt;=100000), " ",IF(INDEX($AM$2:$BM$1001,MATCH(ROWS($AF$2:AF944),$AF$2:$AF$1001,0),MATCH(COLUMNS($AM$1006:BM1006),$AM$1006:$BM$1006,0)), HYPERLINK("#",""), HYPERLINK(CONCATENATE("#metadata!", ADDRESS(INDEX($AH$2:$AH$1001,MATCH(ROWS($AF$2:AF944),$AF$2:$AF$1001,0),0), INDEX($AM$1004:$BM$1004,1,MATCH(COLUMNS($AM$1006:BM1006),$AM$1006:$BM$1006,0)))),"Fix")))</f>
        <v xml:space="preserve"> </v>
      </c>
      <c r="AF944">
        <v>943</v>
      </c>
      <c r="AG944">
        <v>100944</v>
      </c>
      <c r="AH944">
        <v>944</v>
      </c>
      <c r="AI944" t="b">
        <f t="shared" si="14"/>
        <v>1</v>
      </c>
      <c r="AJ944" t="b">
        <f>COUNTBLANK(metadata!B944:AB944)=COLUMNS(metadata!B944:AB944)</f>
        <v>1</v>
      </c>
      <c r="AK944" t="str">
        <v/>
      </c>
      <c r="AM944" t="b">
        <f ca="1">AND(IF(metadata!B944="",FALSE,TRUE),COUNTIF(metadata!B:B, metadata!B944) = 1,NOT(ISERROR(SUMPRODUCT(SEARCH(MID(metadata!B944,ROW(INDIRECT("1:"&amp;LEN(metadata!B944))), 1),"0123456789abcdefghijklmnopqrstuvwxyzABCDEFGHIJKLMNOPQRSTUVWXYZ.")))))</f>
        <v>0</v>
      </c>
      <c r="AN944" t="b">
        <f ca="1">OR(AND(IF(metadata!C944="",FALSE,TRUE),OR(EXACT(metadata!C944,"missing: not collected"),EXACT(metadata!C944,"missing: not provided"),EXACT(metadata!C944,"missing: restricted access"))),AND(IF(metadata!C944="",FALSE,TRUE),AND(AND(IFERROR(INT(LEFT(metadata!C944,4))&gt;1900,FALSE),IFERROR(INT(LEFT(metadata!C944,4))&lt;=YEAR(NOW()),FALSE)), OR(MID(metadata!C944,5,1)="", AND(AND(MID(metadata!C944,5,1)="-",IFERROR(INT(MID(metadata!C944,6,1))&gt;=0,FALSE),IFERROR(INT(MID(metadata!C944,6,1))&lt;=1,FALSE),NOT(MID(metadata!C944,7,1)=""),IFERROR(INT(MID(metadata!C944,6,2))&gt;=1,FALSE),IFERROR(INT(MID(metadata!C944,6,2))&lt;=12,FALSE)), OR(MID(metadata!C944,8,1)="", AND(AND(MID(metadata!C944,8,1)="-",IFERROR(INT(MID(metadata!C944,9,1))&gt;=0,FALSE),IFERROR(INT(MID(metadata!C944,9,1))&lt;=3,FALSE),NOT(MID(metadata!C944,10,1)=""),IFERROR(INT(MID(metadata!C944,9,2))&gt;=1,FALSE),IFERROR(INT(MID(metadata!C944,9,2))&lt;=31,FALSE)), OR(MID(metadata!C944,11,1)="", AND(AND(MID(metadata!C944,11,1)=" ",IFERROR(INT(MID(metadata!C944,12,1))&gt;=0,FALSE),IFERROR(INT(MID(metadata!C944,12,1))&lt;=2,FALSE),NOT(MID(metadata!C944,13,1)=""),IFERROR(INT(MID(metadata!C944,12,2))&gt;=0,FALSE),IFERROR(INT(MID(metadata!C944,12,2))&lt;=23,FALSE)), OR(MID(metadata!C944,14,1)="", AND(AND(MID(metadata!C944,14,1)=":",IFERROR(INT(MID(metadata!C944,15,1))&gt;=0,FALSE),IFERROR(INT(MID(metadata!C944,15,1))&lt;=5,FALSE),NOT(MID(metadata!C944,16,1)=""),IFERROR(INT(MID(metadata!C944,15,2))&gt;=0,FALSE),IFERROR(INT(MID(metadata!C944,15,2))&lt;=59,FALSE)), OR(MID(metadata!C944,17,1)="", AND(AND(MID(metadata!C944,17,1)=":",IFERROR(INT(MID(metadata!C944,18,1))&gt;=0,FALSE),IFERROR(INT(MID(metadata!C944,18,1))&lt;=5,FALSE),NOT(MID(metadata!C944,19,1)=""),IFERROR(INT(MID(metadata!C944,18,2))&gt;=0,FALSE),IFERROR(INT(MID(metadata!C944,18,2))&lt;=59,FALSE)), LEN(metadata!C944)&lt;=19)))))))))))))</f>
        <v>0</v>
      </c>
      <c r="AO944" t="b">
        <f>AND(IF(metadata!D944="",FALSE,TRUE),EXACT(metadata!D944,"Not applicable"))</f>
        <v>0</v>
      </c>
      <c r="AP944" t="b">
        <f>IF(metadata!E944="",FALSE,TRUE)</f>
        <v>0</v>
      </c>
      <c r="AQ944" t="b">
        <f>OR(AND(IF(metadata!F944="",FALSE,TRUE),OR(EXACT(metadata!F944,"missing: not collected"),EXACT(metadata!F944,"missing: not provided"))),AND(IF(metadata!F944="",FALSE,TRUE),OR(EXACT(metadata!F944,"TRUE"),EXACT(metadata!F944,"FALSE"))))</f>
        <v>0</v>
      </c>
      <c r="AR944" t="b">
        <f>OR(AND(IF(metadata!G944="",FALSE,TRUE),OR(EXACT(metadata!G944,"missing: not collected"),EXACT(metadata!G944,"missing: not provided"),EXACT(metadata!G944,"missing: restricted access"))),AND(IF(metadata!G944="",FALSE,ISNUMBER(VALUE(metadata!G944))),metadata!G944&gt;=-413))</f>
        <v>0</v>
      </c>
      <c r="AS944" t="b">
        <f>AND(IF(metadata!H944="",FALSE,TRUE),EXACT(metadata!H944,"meters"))</f>
        <v>0</v>
      </c>
      <c r="AT944" t="b">
        <f>AND(IF(metadata!I944="",FALSE,TRUE),OR(EXACT(metadata!I944,"Host-associated"),EXACT(metadata!I944,"Free-living")))</f>
        <v>0</v>
      </c>
      <c r="AU944" t="b">
        <f>AND(IF(metadata!J944="",FALSE,TRUE),OR(EXACT(metadata!J944,"Animal"),EXACT(metadata!J944,"Fungus"),EXACT(metadata!J944,"Plant"),EXACT(metadata!J944,"Saline"),EXACT(metadata!J944,"Non-saline")))</f>
        <v>0</v>
      </c>
      <c r="AV944" t="b">
        <f>AND(IF(metadata!K944="",FALSE,TRUE),OR(EXACT(metadata!K944,"Plant secretion"),EXACT(metadata!K944,"Plant rhizosphere"),EXACT(metadata!K944,"Plant surface"),EXACT(metadata!K944,"Plant corpus"),EXACT(metadata!K944,"Fungus surface"),EXACT(metadata!K944,"Fungus corpus"),EXACT(metadata!K944,"Animal surface"),EXACT(metadata!K944,"Animal proximal gut"),EXACT(metadata!K944,"Animal corpus"),EXACT(metadata!K944,"Animal distal gut"),EXACT(metadata!K944,"Animal secretion"),EXACT(metadata!K944,"Sub-surface (non-saline)"),EXACT(metadata!K944,"Surface (non-saline)"),EXACT(metadata!K944,"Water (non-saline)"),EXACT(metadata!K944,"Soil (non-saline)"),EXACT(metadata!K944,"Aerosol (non-saline)"),EXACT(metadata!K944,"Sediment (non-saline)"),EXACT(metadata!K944,"Surface (saline)"),EXACT(metadata!K944,"Water (saline)"),EXACT(metadata!K944,"Hypersaline (saline)"),EXACT(metadata!K944,"Aerosol (saline)"),EXACT(metadata!K944,"Sediment (saline)")))</f>
        <v>0</v>
      </c>
      <c r="AW944" t="b">
        <f>IF(metadata!L944="",FALSE,TRUE)</f>
        <v>0</v>
      </c>
      <c r="AX944" t="b">
        <f>IF(metadata!M944="",FALSE,TRUE)</f>
        <v>0</v>
      </c>
      <c r="AY944" t="b">
        <f>IF(metadata!N944="",FALSE,TRUE)</f>
        <v>0</v>
      </c>
      <c r="AZ944" t="b">
        <f>OR(AND(IF(metadata!O944="",FALSE,TRUE),OR(EXACT(metadata!O944,"missing: not collected"),EXACT(metadata!O944,"missing: not provided"),EXACT(metadata!O944,"missing: restricted access"))),AND(IF(metadata!O944="",FALSE,TRUE),OR(EXACT(metadata!O944,"air"),EXACT(metadata!O944,"built environment"),EXACT(metadata!O944,"host-associated"),EXACT(metadata!O944,"human-associated"),EXACT(metadata!O944,"human-skin"),EXACT(metadata!O944,"human-oral"),EXACT(metadata!O944,"human-gut"),EXACT(metadata!O944,"human-vaginal"),EXACT(metadata!O944,"microbial mat/biofilm"),EXACT(metadata!O944,"misc environment"),EXACT(metadata!O944,"plant-associated"),EXACT(metadata!O944,"sediment"),EXACT(metadata!O944,"soil"),EXACT(metadata!O944,"wastewater/sludge"),EXACT(metadata!O944,"water"))))</f>
        <v>0</v>
      </c>
      <c r="BA944" t="b">
        <f>IF(metadata!P944="",FALSE,TRUE)</f>
        <v>0</v>
      </c>
      <c r="BB944" t="b">
        <f>IF(metadata!Q944="",FALSE,TRUE)</f>
        <v>0</v>
      </c>
      <c r="BC944" t="b">
        <f>OR(AND(IF(metadata!R944="",FALSE,TRUE),OR(EXACT(metadata!R944,"missing: not collected"),EXACT(metadata!R944,"missing: not provided"),EXACT(metadata!R944,"missing: restricted access"))),AND(IF(metadata!R944="",FALSE,ISNUMBER(VALUE(metadata!R944))),metadata!R944&gt;=-90,metadata!R944&lt;=90))</f>
        <v>0</v>
      </c>
      <c r="BD944" t="b">
        <f>AND(IF(metadata!S944="",FALSE,TRUE),EXACT(metadata!S944,"Decimal degrees"))</f>
        <v>0</v>
      </c>
      <c r="BE944" t="b">
        <f>OR(AND(IF(metadata!T944="",FALSE,TRUE),OR(EXACT(metadata!T944,"missing: not collected"),EXACT(metadata!T944,"missing: not provided"),EXACT(metadata!T944,"missing: restricted access"))),AND(IF(metadata!T944="",FALSE,ISNUMBER(VALUE(metadata!T944))),metadata!T944&gt;=-180,metadata!T944&lt;=180))</f>
        <v>0</v>
      </c>
      <c r="BF944" t="b">
        <f>AND(IF(metadata!U944="",FALSE,TRUE),EXACT(metadata!U944,"Decimal degrees"))</f>
        <v>0</v>
      </c>
      <c r="BG944" t="b">
        <f>IF(metadata!V944="",FALSE,TRUE)</f>
        <v>0</v>
      </c>
      <c r="BH944" t="b">
        <f>OR(AND(IF(metadata!W944="",FALSE,TRUE),OR(EXACT(metadata!W944,"missing: not collected"),EXACT(metadata!W944,"missing: not provided"),EXACT(metadata!W944,"missing: restricted access"))),AND(IF(metadata!W944="",FALSE,TRUE),OR(EXACT(metadata!W944,"TRUE"),EXACT(metadata!W944,"FALSE"))))</f>
        <v>0</v>
      </c>
      <c r="BI944" t="b">
        <f>AND(IF(metadata!X944="",FALSE,TRUE),EXACT(metadata!X944,"other"))</f>
        <v>0</v>
      </c>
      <c r="BJ944" t="b">
        <f>IF(metadata!Y944="",FALSE,TRUE)</f>
        <v>0</v>
      </c>
      <c r="BK944" t="b">
        <f>OR(AND(IF(metadata!Z944="",FALSE,TRUE),OR(EXACT(metadata!Z944,"missing: not collected"),EXACT(metadata!Z944,"missing: not provided"))),AND(IF(metadata!Z944="",FALSE,IF(ISERROR(INT(metadata!Z944)),FALSE,INT(metadata!Z944)=metadata!Z944)),metadata!Z944&gt;0))</f>
        <v>0</v>
      </c>
      <c r="BL944" t="b">
        <f>AND(IF(metadata!AA944="",FALSE,TRUE),EXACT(metadata!AA944,"Not applicable"))</f>
        <v>0</v>
      </c>
      <c r="BM944" t="b">
        <f>IF(metadata!AB944="",FALSE,TRUE)</f>
        <v>0</v>
      </c>
    </row>
    <row r="945" spans="1:65" x14ac:dyDescent="0.2">
      <c r="A945" s="5" t="str">
        <f ca="1">IF(B945=" "," ",HYPERLINK(CONCATENATE("#metadata!",ADDRESS(INDEX($AH$2:$AH$1001,MATCH(ROWS($AF$2:AF945),$AF$2:$AF$1001,0),0),1)),INDEX($AK$2:$AK$1001,MATCH(ROWS($AF$2:AF945),$AF$2:$AF$1001,0),0)))</f>
        <v xml:space="preserve"> </v>
      </c>
      <c r="B945" s="4" t="str">
        <f ca="1">IF(OR(INDEX($AG$2:$AG$1001,MATCH(ROWS($AF$2:AF945),$AF$2:$AF$1001,0),1)&gt;=100000,INDEX($AM$1005:$BM$1005,1,MATCH(COLUMNS($AM$1006:AM1006),$AM$1006:$BM$1006,0))&gt;=100000), " ",IF(INDEX($AM$2:$BM$1001,MATCH(ROWS($AF$2:AF945),$AF$2:$AF$1001,0),MATCH(COLUMNS($AM$1006:AM1006),$AM$1006:$BM$1006,0)), HYPERLINK("#",""), HYPERLINK(CONCATENATE("#metadata!", ADDRESS(INDEX($AH$2:$AH$1001,MATCH(ROWS($AF$2:AF945),$AF$2:$AF$1001,0),0), INDEX($AM$1004:$BM$1004,1,MATCH(COLUMNS($AM$1006:AM1006),$AM$1006:$BM$1006,0)))),"Fix")))</f>
        <v xml:space="preserve"> </v>
      </c>
      <c r="C945" s="4" t="str">
        <f ca="1">IF(OR(INDEX($AG$2:$AG$1001,MATCH(ROWS($AF$2:AF945),$AF$2:$AF$1001,0),1)&gt;=100000,INDEX($AM$1005:$BM$1005,1,MATCH(COLUMNS($AM$1006:AN1006),$AM$1006:$BM$1006,0))&gt;=100000), " ",IF(INDEX($AM$2:$BM$1001,MATCH(ROWS($AF$2:AF945),$AF$2:$AF$1001,0),MATCH(COLUMNS($AM$1006:AN1006),$AM$1006:$BM$1006,0)), HYPERLINK("#",""), HYPERLINK(CONCATENATE("#metadata!", ADDRESS(INDEX($AH$2:$AH$1001,MATCH(ROWS($AF$2:AF945),$AF$2:$AF$1001,0),0), INDEX($AM$1004:$BM$1004,1,MATCH(COLUMNS($AM$1006:AN1006),$AM$1006:$BM$1006,0)))),"Fix")))</f>
        <v xml:space="preserve"> </v>
      </c>
      <c r="D945" s="4" t="str">
        <f ca="1">IF(OR(INDEX($AG$2:$AG$1001,MATCH(ROWS($AF$2:AF945),$AF$2:$AF$1001,0),1)&gt;=100000,INDEX($AM$1005:$BM$1005,1,MATCH(COLUMNS($AM$1006:AO1006),$AM$1006:$BM$1006,0))&gt;=100000), " ",IF(INDEX($AM$2:$BM$1001,MATCH(ROWS($AF$2:AF945),$AF$2:$AF$1001,0),MATCH(COLUMNS($AM$1006:AO1006),$AM$1006:$BM$1006,0)), HYPERLINK("#",""), HYPERLINK(CONCATENATE("#metadata!", ADDRESS(INDEX($AH$2:$AH$1001,MATCH(ROWS($AF$2:AF945),$AF$2:$AF$1001,0),0), INDEX($AM$1004:$BM$1004,1,MATCH(COLUMNS($AM$1006:AO1006),$AM$1006:$BM$1006,0)))),"Fix")))</f>
        <v xml:space="preserve"> </v>
      </c>
      <c r="E945" s="4" t="str">
        <f ca="1">IF(OR(INDEX($AG$2:$AG$1001,MATCH(ROWS($AF$2:AF945),$AF$2:$AF$1001,0),1)&gt;=100000,INDEX($AM$1005:$BM$1005,1,MATCH(COLUMNS($AM$1006:AP1006),$AM$1006:$BM$1006,0))&gt;=100000), " ",IF(INDEX($AM$2:$BM$1001,MATCH(ROWS($AF$2:AF945),$AF$2:$AF$1001,0),MATCH(COLUMNS($AM$1006:AP1006),$AM$1006:$BM$1006,0)), HYPERLINK("#",""), HYPERLINK(CONCATENATE("#metadata!", ADDRESS(INDEX($AH$2:$AH$1001,MATCH(ROWS($AF$2:AF945),$AF$2:$AF$1001,0),0), INDEX($AM$1004:$BM$1004,1,MATCH(COLUMNS($AM$1006:AP1006),$AM$1006:$BM$1006,0)))),"Fix")))</f>
        <v xml:space="preserve"> </v>
      </c>
      <c r="F945" s="4" t="str">
        <f ca="1">IF(OR(INDEX($AG$2:$AG$1001,MATCH(ROWS($AF$2:AF945),$AF$2:$AF$1001,0),1)&gt;=100000,INDEX($AM$1005:$BM$1005,1,MATCH(COLUMNS($AM$1006:AQ1006),$AM$1006:$BM$1006,0))&gt;=100000), " ",IF(INDEX($AM$2:$BM$1001,MATCH(ROWS($AF$2:AF945),$AF$2:$AF$1001,0),MATCH(COLUMNS($AM$1006:AQ1006),$AM$1006:$BM$1006,0)), HYPERLINK("#",""), HYPERLINK(CONCATENATE("#metadata!", ADDRESS(INDEX($AH$2:$AH$1001,MATCH(ROWS($AF$2:AF945),$AF$2:$AF$1001,0),0), INDEX($AM$1004:$BM$1004,1,MATCH(COLUMNS($AM$1006:AQ1006),$AM$1006:$BM$1006,0)))),"Fix")))</f>
        <v xml:space="preserve"> </v>
      </c>
      <c r="G945" s="4" t="str">
        <f ca="1">IF(OR(INDEX($AG$2:$AG$1001,MATCH(ROWS($AF$2:AF945),$AF$2:$AF$1001,0),1)&gt;=100000,INDEX($AM$1005:$BM$1005,1,MATCH(COLUMNS($AM$1006:AR1006),$AM$1006:$BM$1006,0))&gt;=100000), " ",IF(INDEX($AM$2:$BM$1001,MATCH(ROWS($AF$2:AF945),$AF$2:$AF$1001,0),MATCH(COLUMNS($AM$1006:AR1006),$AM$1006:$BM$1006,0)), HYPERLINK("#",""), HYPERLINK(CONCATENATE("#metadata!", ADDRESS(INDEX($AH$2:$AH$1001,MATCH(ROWS($AF$2:AF945),$AF$2:$AF$1001,0),0), INDEX($AM$1004:$BM$1004,1,MATCH(COLUMNS($AM$1006:AR1006),$AM$1006:$BM$1006,0)))),"Fix")))</f>
        <v xml:space="preserve"> </v>
      </c>
      <c r="H945" s="4" t="str">
        <f ca="1">IF(OR(INDEX($AG$2:$AG$1001,MATCH(ROWS($AF$2:AF945),$AF$2:$AF$1001,0),1)&gt;=100000,INDEX($AM$1005:$BM$1005,1,MATCH(COLUMNS($AM$1006:AS1006),$AM$1006:$BM$1006,0))&gt;=100000), " ",IF(INDEX($AM$2:$BM$1001,MATCH(ROWS($AF$2:AF945),$AF$2:$AF$1001,0),MATCH(COLUMNS($AM$1006:AS1006),$AM$1006:$BM$1006,0)), HYPERLINK("#",""), HYPERLINK(CONCATENATE("#metadata!", ADDRESS(INDEX($AH$2:$AH$1001,MATCH(ROWS($AF$2:AF945),$AF$2:$AF$1001,0),0), INDEX($AM$1004:$BM$1004,1,MATCH(COLUMNS($AM$1006:AS1006),$AM$1006:$BM$1006,0)))),"Fix")))</f>
        <v xml:space="preserve"> </v>
      </c>
      <c r="I945" s="4" t="str">
        <f ca="1">IF(OR(INDEX($AG$2:$AG$1001,MATCH(ROWS($AF$2:AF945),$AF$2:$AF$1001,0),1)&gt;=100000,INDEX($AM$1005:$BM$1005,1,MATCH(COLUMNS($AM$1006:AT1006),$AM$1006:$BM$1006,0))&gt;=100000), " ",IF(INDEX($AM$2:$BM$1001,MATCH(ROWS($AF$2:AF945),$AF$2:$AF$1001,0),MATCH(COLUMNS($AM$1006:AT1006),$AM$1006:$BM$1006,0)), HYPERLINK("#",""), HYPERLINK(CONCATENATE("#metadata!", ADDRESS(INDEX($AH$2:$AH$1001,MATCH(ROWS($AF$2:AF945),$AF$2:$AF$1001,0),0), INDEX($AM$1004:$BM$1004,1,MATCH(COLUMNS($AM$1006:AT1006),$AM$1006:$BM$1006,0)))),"Fix")))</f>
        <v xml:space="preserve"> </v>
      </c>
      <c r="J945" s="4" t="str">
        <f ca="1">IF(OR(INDEX($AG$2:$AG$1001,MATCH(ROWS($AF$2:AF945),$AF$2:$AF$1001,0),1)&gt;=100000,INDEX($AM$1005:$BM$1005,1,MATCH(COLUMNS($AM$1006:AU1006),$AM$1006:$BM$1006,0))&gt;=100000), " ",IF(INDEX($AM$2:$BM$1001,MATCH(ROWS($AF$2:AF945),$AF$2:$AF$1001,0),MATCH(COLUMNS($AM$1006:AU1006),$AM$1006:$BM$1006,0)), HYPERLINK("#",""), HYPERLINK(CONCATENATE("#metadata!", ADDRESS(INDEX($AH$2:$AH$1001,MATCH(ROWS($AF$2:AF945),$AF$2:$AF$1001,0),0), INDEX($AM$1004:$BM$1004,1,MATCH(COLUMNS($AM$1006:AU1006),$AM$1006:$BM$1006,0)))),"Fix")))</f>
        <v xml:space="preserve"> </v>
      </c>
      <c r="K945" s="4" t="str">
        <f ca="1">IF(OR(INDEX($AG$2:$AG$1001,MATCH(ROWS($AF$2:AF945),$AF$2:$AF$1001,0),1)&gt;=100000,INDEX($AM$1005:$BM$1005,1,MATCH(COLUMNS($AM$1006:AV1006),$AM$1006:$BM$1006,0))&gt;=100000), " ",IF(INDEX($AM$2:$BM$1001,MATCH(ROWS($AF$2:AF945),$AF$2:$AF$1001,0),MATCH(COLUMNS($AM$1006:AV1006),$AM$1006:$BM$1006,0)), HYPERLINK("#",""), HYPERLINK(CONCATENATE("#metadata!", ADDRESS(INDEX($AH$2:$AH$1001,MATCH(ROWS($AF$2:AF945),$AF$2:$AF$1001,0),0), INDEX($AM$1004:$BM$1004,1,MATCH(COLUMNS($AM$1006:AV1006),$AM$1006:$BM$1006,0)))),"Fix")))</f>
        <v xml:space="preserve"> </v>
      </c>
      <c r="L945" s="4" t="str">
        <f ca="1">IF(OR(INDEX($AG$2:$AG$1001,MATCH(ROWS($AF$2:AF945),$AF$2:$AF$1001,0),1)&gt;=100000,INDEX($AM$1005:$BM$1005,1,MATCH(COLUMNS($AM$1006:AW1006),$AM$1006:$BM$1006,0))&gt;=100000), " ",IF(INDEX($AM$2:$BM$1001,MATCH(ROWS($AF$2:AF945),$AF$2:$AF$1001,0),MATCH(COLUMNS($AM$1006:AW1006),$AM$1006:$BM$1006,0)), HYPERLINK("#",""), HYPERLINK(CONCATENATE("#metadata!", ADDRESS(INDEX($AH$2:$AH$1001,MATCH(ROWS($AF$2:AF945),$AF$2:$AF$1001,0),0), INDEX($AM$1004:$BM$1004,1,MATCH(COLUMNS($AM$1006:AW1006),$AM$1006:$BM$1006,0)))),"Fix")))</f>
        <v xml:space="preserve"> </v>
      </c>
      <c r="M945" s="4" t="str">
        <f ca="1">IF(OR(INDEX($AG$2:$AG$1001,MATCH(ROWS($AF$2:AF945),$AF$2:$AF$1001,0),1)&gt;=100000,INDEX($AM$1005:$BM$1005,1,MATCH(COLUMNS($AM$1006:AX1006),$AM$1006:$BM$1006,0))&gt;=100000), " ",IF(INDEX($AM$2:$BM$1001,MATCH(ROWS($AF$2:AF945),$AF$2:$AF$1001,0),MATCH(COLUMNS($AM$1006:AX1006),$AM$1006:$BM$1006,0)), HYPERLINK("#",""), HYPERLINK(CONCATENATE("#metadata!", ADDRESS(INDEX($AH$2:$AH$1001,MATCH(ROWS($AF$2:AF945),$AF$2:$AF$1001,0),0), INDEX($AM$1004:$BM$1004,1,MATCH(COLUMNS($AM$1006:AX1006),$AM$1006:$BM$1006,0)))),"Fix")))</f>
        <v xml:space="preserve"> </v>
      </c>
      <c r="N945" s="4" t="str">
        <f ca="1">IF(OR(INDEX($AG$2:$AG$1001,MATCH(ROWS($AF$2:AF945),$AF$2:$AF$1001,0),1)&gt;=100000,INDEX($AM$1005:$BM$1005,1,MATCH(COLUMNS($AM$1006:AY1006),$AM$1006:$BM$1006,0))&gt;=100000), " ",IF(INDEX($AM$2:$BM$1001,MATCH(ROWS($AF$2:AF945),$AF$2:$AF$1001,0),MATCH(COLUMNS($AM$1006:AY1006),$AM$1006:$BM$1006,0)), HYPERLINK("#",""), HYPERLINK(CONCATENATE("#metadata!", ADDRESS(INDEX($AH$2:$AH$1001,MATCH(ROWS($AF$2:AF945),$AF$2:$AF$1001,0),0), INDEX($AM$1004:$BM$1004,1,MATCH(COLUMNS($AM$1006:AY1006),$AM$1006:$BM$1006,0)))),"Fix")))</f>
        <v xml:space="preserve"> </v>
      </c>
      <c r="O945" s="4" t="str">
        <f ca="1">IF(OR(INDEX($AG$2:$AG$1001,MATCH(ROWS($AF$2:AF945),$AF$2:$AF$1001,0),1)&gt;=100000,INDEX($AM$1005:$BM$1005,1,MATCH(COLUMNS($AM$1006:AZ1006),$AM$1006:$BM$1006,0))&gt;=100000), " ",IF(INDEX($AM$2:$BM$1001,MATCH(ROWS($AF$2:AF945),$AF$2:$AF$1001,0),MATCH(COLUMNS($AM$1006:AZ1006),$AM$1006:$BM$1006,0)), HYPERLINK("#",""), HYPERLINK(CONCATENATE("#metadata!", ADDRESS(INDEX($AH$2:$AH$1001,MATCH(ROWS($AF$2:AF945),$AF$2:$AF$1001,0),0), INDEX($AM$1004:$BM$1004,1,MATCH(COLUMNS($AM$1006:AZ1006),$AM$1006:$BM$1006,0)))),"Fix")))</f>
        <v xml:space="preserve"> </v>
      </c>
      <c r="P945" s="4" t="str">
        <f ca="1">IF(OR(INDEX($AG$2:$AG$1001,MATCH(ROWS($AF$2:AF945),$AF$2:$AF$1001,0),1)&gt;=100000,INDEX($AM$1005:$BM$1005,1,MATCH(COLUMNS($AM$1006:BA1006),$AM$1006:$BM$1006,0))&gt;=100000), " ",IF(INDEX($AM$2:$BM$1001,MATCH(ROWS($AF$2:AF945),$AF$2:$AF$1001,0),MATCH(COLUMNS($AM$1006:BA1006),$AM$1006:$BM$1006,0)), HYPERLINK("#",""), HYPERLINK(CONCATENATE("#metadata!", ADDRESS(INDEX($AH$2:$AH$1001,MATCH(ROWS($AF$2:AF945),$AF$2:$AF$1001,0),0), INDEX($AM$1004:$BM$1004,1,MATCH(COLUMNS($AM$1006:BA1006),$AM$1006:$BM$1006,0)))),"Fix")))</f>
        <v xml:space="preserve"> </v>
      </c>
      <c r="Q945" s="4" t="str">
        <f ca="1">IF(OR(INDEX($AG$2:$AG$1001,MATCH(ROWS($AF$2:AF945),$AF$2:$AF$1001,0),1)&gt;=100000,INDEX($AM$1005:$BM$1005,1,MATCH(COLUMNS($AM$1006:BB1006),$AM$1006:$BM$1006,0))&gt;=100000), " ",IF(INDEX($AM$2:$BM$1001,MATCH(ROWS($AF$2:AF945),$AF$2:$AF$1001,0),MATCH(COLUMNS($AM$1006:BB1006),$AM$1006:$BM$1006,0)), HYPERLINK("#",""), HYPERLINK(CONCATENATE("#metadata!", ADDRESS(INDEX($AH$2:$AH$1001,MATCH(ROWS($AF$2:AF945),$AF$2:$AF$1001,0),0), INDEX($AM$1004:$BM$1004,1,MATCH(COLUMNS($AM$1006:BB1006),$AM$1006:$BM$1006,0)))),"Fix")))</f>
        <v xml:space="preserve"> </v>
      </c>
      <c r="R945" s="4" t="str">
        <f ca="1">IF(OR(INDEX($AG$2:$AG$1001,MATCH(ROWS($AF$2:AF945),$AF$2:$AF$1001,0),1)&gt;=100000,INDEX($AM$1005:$BM$1005,1,MATCH(COLUMNS($AM$1006:BC1006),$AM$1006:$BM$1006,0))&gt;=100000), " ",IF(INDEX($AM$2:$BM$1001,MATCH(ROWS($AF$2:AF945),$AF$2:$AF$1001,0),MATCH(COLUMNS($AM$1006:BC1006),$AM$1006:$BM$1006,0)), HYPERLINK("#",""), HYPERLINK(CONCATENATE("#metadata!", ADDRESS(INDEX($AH$2:$AH$1001,MATCH(ROWS($AF$2:AF945),$AF$2:$AF$1001,0),0), INDEX($AM$1004:$BM$1004,1,MATCH(COLUMNS($AM$1006:BC1006),$AM$1006:$BM$1006,0)))),"Fix")))</f>
        <v xml:space="preserve"> </v>
      </c>
      <c r="S945" s="4" t="str">
        <f ca="1">IF(OR(INDEX($AG$2:$AG$1001,MATCH(ROWS($AF$2:AF945),$AF$2:$AF$1001,0),1)&gt;=100000,INDEX($AM$1005:$BM$1005,1,MATCH(COLUMNS($AM$1006:BD1006),$AM$1006:$BM$1006,0))&gt;=100000), " ",IF(INDEX($AM$2:$BM$1001,MATCH(ROWS($AF$2:AF945),$AF$2:$AF$1001,0),MATCH(COLUMNS($AM$1006:BD1006),$AM$1006:$BM$1006,0)), HYPERLINK("#",""), HYPERLINK(CONCATENATE("#metadata!", ADDRESS(INDEX($AH$2:$AH$1001,MATCH(ROWS($AF$2:AF945),$AF$2:$AF$1001,0),0), INDEX($AM$1004:$BM$1004,1,MATCH(COLUMNS($AM$1006:BD1006),$AM$1006:$BM$1006,0)))),"Fix")))</f>
        <v xml:space="preserve"> </v>
      </c>
      <c r="T945" s="4" t="str">
        <f ca="1">IF(OR(INDEX($AG$2:$AG$1001,MATCH(ROWS($AF$2:AF945),$AF$2:$AF$1001,0),1)&gt;=100000,INDEX($AM$1005:$BM$1005,1,MATCH(COLUMNS($AM$1006:BE1006),$AM$1006:$BM$1006,0))&gt;=100000), " ",IF(INDEX($AM$2:$BM$1001,MATCH(ROWS($AF$2:AF945),$AF$2:$AF$1001,0),MATCH(COLUMNS($AM$1006:BE1006),$AM$1006:$BM$1006,0)), HYPERLINK("#",""), HYPERLINK(CONCATENATE("#metadata!", ADDRESS(INDEX($AH$2:$AH$1001,MATCH(ROWS($AF$2:AF945),$AF$2:$AF$1001,0),0), INDEX($AM$1004:$BM$1004,1,MATCH(COLUMNS($AM$1006:BE1006),$AM$1006:$BM$1006,0)))),"Fix")))</f>
        <v xml:space="preserve"> </v>
      </c>
      <c r="U945" s="4" t="str">
        <f ca="1">IF(OR(INDEX($AG$2:$AG$1001,MATCH(ROWS($AF$2:AF945),$AF$2:$AF$1001,0),1)&gt;=100000,INDEX($AM$1005:$BM$1005,1,MATCH(COLUMNS($AM$1006:BF1006),$AM$1006:$BM$1006,0))&gt;=100000), " ",IF(INDEX($AM$2:$BM$1001,MATCH(ROWS($AF$2:AF945),$AF$2:$AF$1001,0),MATCH(COLUMNS($AM$1006:BF1006),$AM$1006:$BM$1006,0)), HYPERLINK("#",""), HYPERLINK(CONCATENATE("#metadata!", ADDRESS(INDEX($AH$2:$AH$1001,MATCH(ROWS($AF$2:AF945),$AF$2:$AF$1001,0),0), INDEX($AM$1004:$BM$1004,1,MATCH(COLUMNS($AM$1006:BF1006),$AM$1006:$BM$1006,0)))),"Fix")))</f>
        <v xml:space="preserve"> </v>
      </c>
      <c r="V945" s="4" t="str">
        <f ca="1">IF(OR(INDEX($AG$2:$AG$1001,MATCH(ROWS($AF$2:AF945),$AF$2:$AF$1001,0),1)&gt;=100000,INDEX($AM$1005:$BM$1005,1,MATCH(COLUMNS($AM$1006:BG1006),$AM$1006:$BM$1006,0))&gt;=100000), " ",IF(INDEX($AM$2:$BM$1001,MATCH(ROWS($AF$2:AF945),$AF$2:$AF$1001,0),MATCH(COLUMNS($AM$1006:BG1006),$AM$1006:$BM$1006,0)), HYPERLINK("#",""), HYPERLINK(CONCATENATE("#metadata!", ADDRESS(INDEX($AH$2:$AH$1001,MATCH(ROWS($AF$2:AF945),$AF$2:$AF$1001,0),0), INDEX($AM$1004:$BM$1004,1,MATCH(COLUMNS($AM$1006:BG1006),$AM$1006:$BM$1006,0)))),"Fix")))</f>
        <v xml:space="preserve"> </v>
      </c>
      <c r="W945" s="4" t="str">
        <f ca="1">IF(OR(INDEX($AG$2:$AG$1001,MATCH(ROWS($AF$2:AF945),$AF$2:$AF$1001,0),1)&gt;=100000,INDEX($AM$1005:$BM$1005,1,MATCH(COLUMNS($AM$1006:BH1006),$AM$1006:$BM$1006,0))&gt;=100000), " ",IF(INDEX($AM$2:$BM$1001,MATCH(ROWS($AF$2:AF945),$AF$2:$AF$1001,0),MATCH(COLUMNS($AM$1006:BH1006),$AM$1006:$BM$1006,0)), HYPERLINK("#",""), HYPERLINK(CONCATENATE("#metadata!", ADDRESS(INDEX($AH$2:$AH$1001,MATCH(ROWS($AF$2:AF945),$AF$2:$AF$1001,0),0), INDEX($AM$1004:$BM$1004,1,MATCH(COLUMNS($AM$1006:BH1006),$AM$1006:$BM$1006,0)))),"Fix")))</f>
        <v xml:space="preserve"> </v>
      </c>
      <c r="X945" s="4" t="str">
        <f ca="1">IF(OR(INDEX($AG$2:$AG$1001,MATCH(ROWS($AF$2:AF945),$AF$2:$AF$1001,0),1)&gt;=100000,INDEX($AM$1005:$BM$1005,1,MATCH(COLUMNS($AM$1006:BI1006),$AM$1006:$BM$1006,0))&gt;=100000), " ",IF(INDEX($AM$2:$BM$1001,MATCH(ROWS($AF$2:AF945),$AF$2:$AF$1001,0),MATCH(COLUMNS($AM$1006:BI1006),$AM$1006:$BM$1006,0)), HYPERLINK("#",""), HYPERLINK(CONCATENATE("#metadata!", ADDRESS(INDEX($AH$2:$AH$1001,MATCH(ROWS($AF$2:AF945),$AF$2:$AF$1001,0),0), INDEX($AM$1004:$BM$1004,1,MATCH(COLUMNS($AM$1006:BI1006),$AM$1006:$BM$1006,0)))),"Fix")))</f>
        <v xml:space="preserve"> </v>
      </c>
      <c r="Y945" s="4" t="str">
        <f ca="1">IF(OR(INDEX($AG$2:$AG$1001,MATCH(ROWS($AF$2:AF945),$AF$2:$AF$1001,0),1)&gt;=100000,INDEX($AM$1005:$BM$1005,1,MATCH(COLUMNS($AM$1006:BJ1006),$AM$1006:$BM$1006,0))&gt;=100000), " ",IF(INDEX($AM$2:$BM$1001,MATCH(ROWS($AF$2:AF945),$AF$2:$AF$1001,0),MATCH(COLUMNS($AM$1006:BJ1006),$AM$1006:$BM$1006,0)), HYPERLINK("#",""), HYPERLINK(CONCATENATE("#metadata!", ADDRESS(INDEX($AH$2:$AH$1001,MATCH(ROWS($AF$2:AF945),$AF$2:$AF$1001,0),0), INDEX($AM$1004:$BM$1004,1,MATCH(COLUMNS($AM$1006:BJ1006),$AM$1006:$BM$1006,0)))),"Fix")))</f>
        <v xml:space="preserve"> </v>
      </c>
      <c r="Z945" s="4" t="str">
        <f ca="1">IF(OR(INDEX($AG$2:$AG$1001,MATCH(ROWS($AF$2:AF945),$AF$2:$AF$1001,0),1)&gt;=100000,INDEX($AM$1005:$BM$1005,1,MATCH(COLUMNS($AM$1006:BK1006),$AM$1006:$BM$1006,0))&gt;=100000), " ",IF(INDEX($AM$2:$BM$1001,MATCH(ROWS($AF$2:AF945),$AF$2:$AF$1001,0),MATCH(COLUMNS($AM$1006:BK1006),$AM$1006:$BM$1006,0)), HYPERLINK("#",""), HYPERLINK(CONCATENATE("#metadata!", ADDRESS(INDEX($AH$2:$AH$1001,MATCH(ROWS($AF$2:AF945),$AF$2:$AF$1001,0),0), INDEX($AM$1004:$BM$1004,1,MATCH(COLUMNS($AM$1006:BK1006),$AM$1006:$BM$1006,0)))),"Fix")))</f>
        <v xml:space="preserve"> </v>
      </c>
      <c r="AA945" s="4" t="str">
        <f ca="1">IF(OR(INDEX($AG$2:$AG$1001,MATCH(ROWS($AF$2:AF945),$AF$2:$AF$1001,0),1)&gt;=100000,INDEX($AM$1005:$BM$1005,1,MATCH(COLUMNS($AM$1006:BL1006),$AM$1006:$BM$1006,0))&gt;=100000), " ",IF(INDEX($AM$2:$BM$1001,MATCH(ROWS($AF$2:AF945),$AF$2:$AF$1001,0),MATCH(COLUMNS($AM$1006:BL1006),$AM$1006:$BM$1006,0)), HYPERLINK("#",""), HYPERLINK(CONCATENATE("#metadata!", ADDRESS(INDEX($AH$2:$AH$1001,MATCH(ROWS($AF$2:AF945),$AF$2:$AF$1001,0),0), INDEX($AM$1004:$BM$1004,1,MATCH(COLUMNS($AM$1006:BL1006),$AM$1006:$BM$1006,0)))),"Fix")))</f>
        <v xml:space="preserve"> </v>
      </c>
      <c r="AB945" s="4" t="str">
        <f ca="1">IF(OR(INDEX($AG$2:$AG$1001,MATCH(ROWS($AF$2:AF945),$AF$2:$AF$1001,0),1)&gt;=100000,INDEX($AM$1005:$BM$1005,1,MATCH(COLUMNS($AM$1006:BM1006),$AM$1006:$BM$1006,0))&gt;=100000), " ",IF(INDEX($AM$2:$BM$1001,MATCH(ROWS($AF$2:AF945),$AF$2:$AF$1001,0),MATCH(COLUMNS($AM$1006:BM1006),$AM$1006:$BM$1006,0)), HYPERLINK("#",""), HYPERLINK(CONCATENATE("#metadata!", ADDRESS(INDEX($AH$2:$AH$1001,MATCH(ROWS($AF$2:AF945),$AF$2:$AF$1001,0),0), INDEX($AM$1004:$BM$1004,1,MATCH(COLUMNS($AM$1006:BM1006),$AM$1006:$BM$1006,0)))),"Fix")))</f>
        <v xml:space="preserve"> </v>
      </c>
      <c r="AF945">
        <v>944</v>
      </c>
      <c r="AG945">
        <v>100945</v>
      </c>
      <c r="AH945">
        <v>945</v>
      </c>
      <c r="AI945" t="b">
        <f t="shared" si="14"/>
        <v>1</v>
      </c>
      <c r="AJ945" t="b">
        <f>COUNTBLANK(metadata!B945:AB945)=COLUMNS(metadata!B945:AB945)</f>
        <v>1</v>
      </c>
      <c r="AK945" t="str">
        <v/>
      </c>
      <c r="AM945" t="b">
        <f ca="1">AND(IF(metadata!B945="",FALSE,TRUE),COUNTIF(metadata!B:B, metadata!B945) = 1,NOT(ISERROR(SUMPRODUCT(SEARCH(MID(metadata!B945,ROW(INDIRECT("1:"&amp;LEN(metadata!B945))), 1),"0123456789abcdefghijklmnopqrstuvwxyzABCDEFGHIJKLMNOPQRSTUVWXYZ.")))))</f>
        <v>0</v>
      </c>
      <c r="AN945" t="b">
        <f ca="1">OR(AND(IF(metadata!C945="",FALSE,TRUE),OR(EXACT(metadata!C945,"missing: not collected"),EXACT(metadata!C945,"missing: not provided"),EXACT(metadata!C945,"missing: restricted access"))),AND(IF(metadata!C945="",FALSE,TRUE),AND(AND(IFERROR(INT(LEFT(metadata!C945,4))&gt;1900,FALSE),IFERROR(INT(LEFT(metadata!C945,4))&lt;=YEAR(NOW()),FALSE)), OR(MID(metadata!C945,5,1)="", AND(AND(MID(metadata!C945,5,1)="-",IFERROR(INT(MID(metadata!C945,6,1))&gt;=0,FALSE),IFERROR(INT(MID(metadata!C945,6,1))&lt;=1,FALSE),NOT(MID(metadata!C945,7,1)=""),IFERROR(INT(MID(metadata!C945,6,2))&gt;=1,FALSE),IFERROR(INT(MID(metadata!C945,6,2))&lt;=12,FALSE)), OR(MID(metadata!C945,8,1)="", AND(AND(MID(metadata!C945,8,1)="-",IFERROR(INT(MID(metadata!C945,9,1))&gt;=0,FALSE),IFERROR(INT(MID(metadata!C945,9,1))&lt;=3,FALSE),NOT(MID(metadata!C945,10,1)=""),IFERROR(INT(MID(metadata!C945,9,2))&gt;=1,FALSE),IFERROR(INT(MID(metadata!C945,9,2))&lt;=31,FALSE)), OR(MID(metadata!C945,11,1)="", AND(AND(MID(metadata!C945,11,1)=" ",IFERROR(INT(MID(metadata!C945,12,1))&gt;=0,FALSE),IFERROR(INT(MID(metadata!C945,12,1))&lt;=2,FALSE),NOT(MID(metadata!C945,13,1)=""),IFERROR(INT(MID(metadata!C945,12,2))&gt;=0,FALSE),IFERROR(INT(MID(metadata!C945,12,2))&lt;=23,FALSE)), OR(MID(metadata!C945,14,1)="", AND(AND(MID(metadata!C945,14,1)=":",IFERROR(INT(MID(metadata!C945,15,1))&gt;=0,FALSE),IFERROR(INT(MID(metadata!C945,15,1))&lt;=5,FALSE),NOT(MID(metadata!C945,16,1)=""),IFERROR(INT(MID(metadata!C945,15,2))&gt;=0,FALSE),IFERROR(INT(MID(metadata!C945,15,2))&lt;=59,FALSE)), OR(MID(metadata!C945,17,1)="", AND(AND(MID(metadata!C945,17,1)=":",IFERROR(INT(MID(metadata!C945,18,1))&gt;=0,FALSE),IFERROR(INT(MID(metadata!C945,18,1))&lt;=5,FALSE),NOT(MID(metadata!C945,19,1)=""),IFERROR(INT(MID(metadata!C945,18,2))&gt;=0,FALSE),IFERROR(INT(MID(metadata!C945,18,2))&lt;=59,FALSE)), LEN(metadata!C945)&lt;=19)))))))))))))</f>
        <v>0</v>
      </c>
      <c r="AO945" t="b">
        <f>AND(IF(metadata!D945="",FALSE,TRUE),EXACT(metadata!D945,"Not applicable"))</f>
        <v>0</v>
      </c>
      <c r="AP945" t="b">
        <f>IF(metadata!E945="",FALSE,TRUE)</f>
        <v>0</v>
      </c>
      <c r="AQ945" t="b">
        <f>OR(AND(IF(metadata!F945="",FALSE,TRUE),OR(EXACT(metadata!F945,"missing: not collected"),EXACT(metadata!F945,"missing: not provided"))),AND(IF(metadata!F945="",FALSE,TRUE),OR(EXACT(metadata!F945,"TRUE"),EXACT(metadata!F945,"FALSE"))))</f>
        <v>0</v>
      </c>
      <c r="AR945" t="b">
        <f>OR(AND(IF(metadata!G945="",FALSE,TRUE),OR(EXACT(metadata!G945,"missing: not collected"),EXACT(metadata!G945,"missing: not provided"),EXACT(metadata!G945,"missing: restricted access"))),AND(IF(metadata!G945="",FALSE,ISNUMBER(VALUE(metadata!G945))),metadata!G945&gt;=-413))</f>
        <v>0</v>
      </c>
      <c r="AS945" t="b">
        <f>AND(IF(metadata!H945="",FALSE,TRUE),EXACT(metadata!H945,"meters"))</f>
        <v>0</v>
      </c>
      <c r="AT945" t="b">
        <f>AND(IF(metadata!I945="",FALSE,TRUE),OR(EXACT(metadata!I945,"Host-associated"),EXACT(metadata!I945,"Free-living")))</f>
        <v>0</v>
      </c>
      <c r="AU945" t="b">
        <f>AND(IF(metadata!J945="",FALSE,TRUE),OR(EXACT(metadata!J945,"Animal"),EXACT(metadata!J945,"Fungus"),EXACT(metadata!J945,"Plant"),EXACT(metadata!J945,"Saline"),EXACT(metadata!J945,"Non-saline")))</f>
        <v>0</v>
      </c>
      <c r="AV945" t="b">
        <f>AND(IF(metadata!K945="",FALSE,TRUE),OR(EXACT(metadata!K945,"Plant secretion"),EXACT(metadata!K945,"Plant rhizosphere"),EXACT(metadata!K945,"Plant surface"),EXACT(metadata!K945,"Plant corpus"),EXACT(metadata!K945,"Fungus surface"),EXACT(metadata!K945,"Fungus corpus"),EXACT(metadata!K945,"Animal surface"),EXACT(metadata!K945,"Animal proximal gut"),EXACT(metadata!K945,"Animal corpus"),EXACT(metadata!K945,"Animal distal gut"),EXACT(metadata!K945,"Animal secretion"),EXACT(metadata!K945,"Sub-surface (non-saline)"),EXACT(metadata!K945,"Surface (non-saline)"),EXACT(metadata!K945,"Water (non-saline)"),EXACT(metadata!K945,"Soil (non-saline)"),EXACT(metadata!K945,"Aerosol (non-saline)"),EXACT(metadata!K945,"Sediment (non-saline)"),EXACT(metadata!K945,"Surface (saline)"),EXACT(metadata!K945,"Water (saline)"),EXACT(metadata!K945,"Hypersaline (saline)"),EXACT(metadata!K945,"Aerosol (saline)"),EXACT(metadata!K945,"Sediment (saline)")))</f>
        <v>0</v>
      </c>
      <c r="AW945" t="b">
        <f>IF(metadata!L945="",FALSE,TRUE)</f>
        <v>0</v>
      </c>
      <c r="AX945" t="b">
        <f>IF(metadata!M945="",FALSE,TRUE)</f>
        <v>0</v>
      </c>
      <c r="AY945" t="b">
        <f>IF(metadata!N945="",FALSE,TRUE)</f>
        <v>0</v>
      </c>
      <c r="AZ945" t="b">
        <f>OR(AND(IF(metadata!O945="",FALSE,TRUE),OR(EXACT(metadata!O945,"missing: not collected"),EXACT(metadata!O945,"missing: not provided"),EXACT(metadata!O945,"missing: restricted access"))),AND(IF(metadata!O945="",FALSE,TRUE),OR(EXACT(metadata!O945,"air"),EXACT(metadata!O945,"built environment"),EXACT(metadata!O945,"host-associated"),EXACT(metadata!O945,"human-associated"),EXACT(metadata!O945,"human-skin"),EXACT(metadata!O945,"human-oral"),EXACT(metadata!O945,"human-gut"),EXACT(metadata!O945,"human-vaginal"),EXACT(metadata!O945,"microbial mat/biofilm"),EXACT(metadata!O945,"misc environment"),EXACT(metadata!O945,"plant-associated"),EXACT(metadata!O945,"sediment"),EXACT(metadata!O945,"soil"),EXACT(metadata!O945,"wastewater/sludge"),EXACT(metadata!O945,"water"))))</f>
        <v>0</v>
      </c>
      <c r="BA945" t="b">
        <f>IF(metadata!P945="",FALSE,TRUE)</f>
        <v>0</v>
      </c>
      <c r="BB945" t="b">
        <f>IF(metadata!Q945="",FALSE,TRUE)</f>
        <v>0</v>
      </c>
      <c r="BC945" t="b">
        <f>OR(AND(IF(metadata!R945="",FALSE,TRUE),OR(EXACT(metadata!R945,"missing: not collected"),EXACT(metadata!R945,"missing: not provided"),EXACT(metadata!R945,"missing: restricted access"))),AND(IF(metadata!R945="",FALSE,ISNUMBER(VALUE(metadata!R945))),metadata!R945&gt;=-90,metadata!R945&lt;=90))</f>
        <v>0</v>
      </c>
      <c r="BD945" t="b">
        <f>AND(IF(metadata!S945="",FALSE,TRUE),EXACT(metadata!S945,"Decimal degrees"))</f>
        <v>0</v>
      </c>
      <c r="BE945" t="b">
        <f>OR(AND(IF(metadata!T945="",FALSE,TRUE),OR(EXACT(metadata!T945,"missing: not collected"),EXACT(metadata!T945,"missing: not provided"),EXACT(metadata!T945,"missing: restricted access"))),AND(IF(metadata!T945="",FALSE,ISNUMBER(VALUE(metadata!T945))),metadata!T945&gt;=-180,metadata!T945&lt;=180))</f>
        <v>0</v>
      </c>
      <c r="BF945" t="b">
        <f>AND(IF(metadata!U945="",FALSE,TRUE),EXACT(metadata!U945,"Decimal degrees"))</f>
        <v>0</v>
      </c>
      <c r="BG945" t="b">
        <f>IF(metadata!V945="",FALSE,TRUE)</f>
        <v>0</v>
      </c>
      <c r="BH945" t="b">
        <f>OR(AND(IF(metadata!W945="",FALSE,TRUE),OR(EXACT(metadata!W945,"missing: not collected"),EXACT(metadata!W945,"missing: not provided"),EXACT(metadata!W945,"missing: restricted access"))),AND(IF(metadata!W945="",FALSE,TRUE),OR(EXACT(metadata!W945,"TRUE"),EXACT(metadata!W945,"FALSE"))))</f>
        <v>0</v>
      </c>
      <c r="BI945" t="b">
        <f>AND(IF(metadata!X945="",FALSE,TRUE),EXACT(metadata!X945,"other"))</f>
        <v>0</v>
      </c>
      <c r="BJ945" t="b">
        <f>IF(metadata!Y945="",FALSE,TRUE)</f>
        <v>0</v>
      </c>
      <c r="BK945" t="b">
        <f>OR(AND(IF(metadata!Z945="",FALSE,TRUE),OR(EXACT(metadata!Z945,"missing: not collected"),EXACT(metadata!Z945,"missing: not provided"))),AND(IF(metadata!Z945="",FALSE,IF(ISERROR(INT(metadata!Z945)),FALSE,INT(metadata!Z945)=metadata!Z945)),metadata!Z945&gt;0))</f>
        <v>0</v>
      </c>
      <c r="BL945" t="b">
        <f>AND(IF(metadata!AA945="",FALSE,TRUE),EXACT(metadata!AA945,"Not applicable"))</f>
        <v>0</v>
      </c>
      <c r="BM945" t="b">
        <f>IF(metadata!AB945="",FALSE,TRUE)</f>
        <v>0</v>
      </c>
    </row>
    <row r="946" spans="1:65" x14ac:dyDescent="0.2">
      <c r="A946" s="5" t="str">
        <f ca="1">IF(B946=" "," ",HYPERLINK(CONCATENATE("#metadata!",ADDRESS(INDEX($AH$2:$AH$1001,MATCH(ROWS($AF$2:AF946),$AF$2:$AF$1001,0),0),1)),INDEX($AK$2:$AK$1001,MATCH(ROWS($AF$2:AF946),$AF$2:$AF$1001,0),0)))</f>
        <v xml:space="preserve"> </v>
      </c>
      <c r="B946" s="4" t="str">
        <f ca="1">IF(OR(INDEX($AG$2:$AG$1001,MATCH(ROWS($AF$2:AF946),$AF$2:$AF$1001,0),1)&gt;=100000,INDEX($AM$1005:$BM$1005,1,MATCH(COLUMNS($AM$1006:AM1006),$AM$1006:$BM$1006,0))&gt;=100000), " ",IF(INDEX($AM$2:$BM$1001,MATCH(ROWS($AF$2:AF946),$AF$2:$AF$1001,0),MATCH(COLUMNS($AM$1006:AM1006),$AM$1006:$BM$1006,0)), HYPERLINK("#",""), HYPERLINK(CONCATENATE("#metadata!", ADDRESS(INDEX($AH$2:$AH$1001,MATCH(ROWS($AF$2:AF946),$AF$2:$AF$1001,0),0), INDEX($AM$1004:$BM$1004,1,MATCH(COLUMNS($AM$1006:AM1006),$AM$1006:$BM$1006,0)))),"Fix")))</f>
        <v xml:space="preserve"> </v>
      </c>
      <c r="C946" s="4" t="str">
        <f ca="1">IF(OR(INDEX($AG$2:$AG$1001,MATCH(ROWS($AF$2:AF946),$AF$2:$AF$1001,0),1)&gt;=100000,INDEX($AM$1005:$BM$1005,1,MATCH(COLUMNS($AM$1006:AN1006),$AM$1006:$BM$1006,0))&gt;=100000), " ",IF(INDEX($AM$2:$BM$1001,MATCH(ROWS($AF$2:AF946),$AF$2:$AF$1001,0),MATCH(COLUMNS($AM$1006:AN1006),$AM$1006:$BM$1006,0)), HYPERLINK("#",""), HYPERLINK(CONCATENATE("#metadata!", ADDRESS(INDEX($AH$2:$AH$1001,MATCH(ROWS($AF$2:AF946),$AF$2:$AF$1001,0),0), INDEX($AM$1004:$BM$1004,1,MATCH(COLUMNS($AM$1006:AN1006),$AM$1006:$BM$1006,0)))),"Fix")))</f>
        <v xml:space="preserve"> </v>
      </c>
      <c r="D946" s="4" t="str">
        <f ca="1">IF(OR(INDEX($AG$2:$AG$1001,MATCH(ROWS($AF$2:AF946),$AF$2:$AF$1001,0),1)&gt;=100000,INDEX($AM$1005:$BM$1005,1,MATCH(COLUMNS($AM$1006:AO1006),$AM$1006:$BM$1006,0))&gt;=100000), " ",IF(INDEX($AM$2:$BM$1001,MATCH(ROWS($AF$2:AF946),$AF$2:$AF$1001,0),MATCH(COLUMNS($AM$1006:AO1006),$AM$1006:$BM$1006,0)), HYPERLINK("#",""), HYPERLINK(CONCATENATE("#metadata!", ADDRESS(INDEX($AH$2:$AH$1001,MATCH(ROWS($AF$2:AF946),$AF$2:$AF$1001,0),0), INDEX($AM$1004:$BM$1004,1,MATCH(COLUMNS($AM$1006:AO1006),$AM$1006:$BM$1006,0)))),"Fix")))</f>
        <v xml:space="preserve"> </v>
      </c>
      <c r="E946" s="4" t="str">
        <f ca="1">IF(OR(INDEX($AG$2:$AG$1001,MATCH(ROWS($AF$2:AF946),$AF$2:$AF$1001,0),1)&gt;=100000,INDEX($AM$1005:$BM$1005,1,MATCH(COLUMNS($AM$1006:AP1006),$AM$1006:$BM$1006,0))&gt;=100000), " ",IF(INDEX($AM$2:$BM$1001,MATCH(ROWS($AF$2:AF946),$AF$2:$AF$1001,0),MATCH(COLUMNS($AM$1006:AP1006),$AM$1006:$BM$1006,0)), HYPERLINK("#",""), HYPERLINK(CONCATENATE("#metadata!", ADDRESS(INDEX($AH$2:$AH$1001,MATCH(ROWS($AF$2:AF946),$AF$2:$AF$1001,0),0), INDEX($AM$1004:$BM$1004,1,MATCH(COLUMNS($AM$1006:AP1006),$AM$1006:$BM$1006,0)))),"Fix")))</f>
        <v xml:space="preserve"> </v>
      </c>
      <c r="F946" s="4" t="str">
        <f ca="1">IF(OR(INDEX($AG$2:$AG$1001,MATCH(ROWS($AF$2:AF946),$AF$2:$AF$1001,0),1)&gt;=100000,INDEX($AM$1005:$BM$1005,1,MATCH(COLUMNS($AM$1006:AQ1006),$AM$1006:$BM$1006,0))&gt;=100000), " ",IF(INDEX($AM$2:$BM$1001,MATCH(ROWS($AF$2:AF946),$AF$2:$AF$1001,0),MATCH(COLUMNS($AM$1006:AQ1006),$AM$1006:$BM$1006,0)), HYPERLINK("#",""), HYPERLINK(CONCATENATE("#metadata!", ADDRESS(INDEX($AH$2:$AH$1001,MATCH(ROWS($AF$2:AF946),$AF$2:$AF$1001,0),0), INDEX($AM$1004:$BM$1004,1,MATCH(COLUMNS($AM$1006:AQ1006),$AM$1006:$BM$1006,0)))),"Fix")))</f>
        <v xml:space="preserve"> </v>
      </c>
      <c r="G946" s="4" t="str">
        <f ca="1">IF(OR(INDEX($AG$2:$AG$1001,MATCH(ROWS($AF$2:AF946),$AF$2:$AF$1001,0),1)&gt;=100000,INDEX($AM$1005:$BM$1005,1,MATCH(COLUMNS($AM$1006:AR1006),$AM$1006:$BM$1006,0))&gt;=100000), " ",IF(INDEX($AM$2:$BM$1001,MATCH(ROWS($AF$2:AF946),$AF$2:$AF$1001,0),MATCH(COLUMNS($AM$1006:AR1006),$AM$1006:$BM$1006,0)), HYPERLINK("#",""), HYPERLINK(CONCATENATE("#metadata!", ADDRESS(INDEX($AH$2:$AH$1001,MATCH(ROWS($AF$2:AF946),$AF$2:$AF$1001,0),0), INDEX($AM$1004:$BM$1004,1,MATCH(COLUMNS($AM$1006:AR1006),$AM$1006:$BM$1006,0)))),"Fix")))</f>
        <v xml:space="preserve"> </v>
      </c>
      <c r="H946" s="4" t="str">
        <f ca="1">IF(OR(INDEX($AG$2:$AG$1001,MATCH(ROWS($AF$2:AF946),$AF$2:$AF$1001,0),1)&gt;=100000,INDEX($AM$1005:$BM$1005,1,MATCH(COLUMNS($AM$1006:AS1006),$AM$1006:$BM$1006,0))&gt;=100000), " ",IF(INDEX($AM$2:$BM$1001,MATCH(ROWS($AF$2:AF946),$AF$2:$AF$1001,0),MATCH(COLUMNS($AM$1006:AS1006),$AM$1006:$BM$1006,0)), HYPERLINK("#",""), HYPERLINK(CONCATENATE("#metadata!", ADDRESS(INDEX($AH$2:$AH$1001,MATCH(ROWS($AF$2:AF946),$AF$2:$AF$1001,0),0), INDEX($AM$1004:$BM$1004,1,MATCH(COLUMNS($AM$1006:AS1006),$AM$1006:$BM$1006,0)))),"Fix")))</f>
        <v xml:space="preserve"> </v>
      </c>
      <c r="I946" s="4" t="str">
        <f ca="1">IF(OR(INDEX($AG$2:$AG$1001,MATCH(ROWS($AF$2:AF946),$AF$2:$AF$1001,0),1)&gt;=100000,INDEX($AM$1005:$BM$1005,1,MATCH(COLUMNS($AM$1006:AT1006),$AM$1006:$BM$1006,0))&gt;=100000), " ",IF(INDEX($AM$2:$BM$1001,MATCH(ROWS($AF$2:AF946),$AF$2:$AF$1001,0),MATCH(COLUMNS($AM$1006:AT1006),$AM$1006:$BM$1006,0)), HYPERLINK("#",""), HYPERLINK(CONCATENATE("#metadata!", ADDRESS(INDEX($AH$2:$AH$1001,MATCH(ROWS($AF$2:AF946),$AF$2:$AF$1001,0),0), INDEX($AM$1004:$BM$1004,1,MATCH(COLUMNS($AM$1006:AT1006),$AM$1006:$BM$1006,0)))),"Fix")))</f>
        <v xml:space="preserve"> </v>
      </c>
      <c r="J946" s="4" t="str">
        <f ca="1">IF(OR(INDEX($AG$2:$AG$1001,MATCH(ROWS($AF$2:AF946),$AF$2:$AF$1001,0),1)&gt;=100000,INDEX($AM$1005:$BM$1005,1,MATCH(COLUMNS($AM$1006:AU1006),$AM$1006:$BM$1006,0))&gt;=100000), " ",IF(INDEX($AM$2:$BM$1001,MATCH(ROWS($AF$2:AF946),$AF$2:$AF$1001,0),MATCH(COLUMNS($AM$1006:AU1006),$AM$1006:$BM$1006,0)), HYPERLINK("#",""), HYPERLINK(CONCATENATE("#metadata!", ADDRESS(INDEX($AH$2:$AH$1001,MATCH(ROWS($AF$2:AF946),$AF$2:$AF$1001,0),0), INDEX($AM$1004:$BM$1004,1,MATCH(COLUMNS($AM$1006:AU1006),$AM$1006:$BM$1006,0)))),"Fix")))</f>
        <v xml:space="preserve"> </v>
      </c>
      <c r="K946" s="4" t="str">
        <f ca="1">IF(OR(INDEX($AG$2:$AG$1001,MATCH(ROWS($AF$2:AF946),$AF$2:$AF$1001,0),1)&gt;=100000,INDEX($AM$1005:$BM$1005,1,MATCH(COLUMNS($AM$1006:AV1006),$AM$1006:$BM$1006,0))&gt;=100000), " ",IF(INDEX($AM$2:$BM$1001,MATCH(ROWS($AF$2:AF946),$AF$2:$AF$1001,0),MATCH(COLUMNS($AM$1006:AV1006),$AM$1006:$BM$1006,0)), HYPERLINK("#",""), HYPERLINK(CONCATENATE("#metadata!", ADDRESS(INDEX($AH$2:$AH$1001,MATCH(ROWS($AF$2:AF946),$AF$2:$AF$1001,0),0), INDEX($AM$1004:$BM$1004,1,MATCH(COLUMNS($AM$1006:AV1006),$AM$1006:$BM$1006,0)))),"Fix")))</f>
        <v xml:space="preserve"> </v>
      </c>
      <c r="L946" s="4" t="str">
        <f ca="1">IF(OR(INDEX($AG$2:$AG$1001,MATCH(ROWS($AF$2:AF946),$AF$2:$AF$1001,0),1)&gt;=100000,INDEX($AM$1005:$BM$1005,1,MATCH(COLUMNS($AM$1006:AW1006),$AM$1006:$BM$1006,0))&gt;=100000), " ",IF(INDEX($AM$2:$BM$1001,MATCH(ROWS($AF$2:AF946),$AF$2:$AF$1001,0),MATCH(COLUMNS($AM$1006:AW1006),$AM$1006:$BM$1006,0)), HYPERLINK("#",""), HYPERLINK(CONCATENATE("#metadata!", ADDRESS(INDEX($AH$2:$AH$1001,MATCH(ROWS($AF$2:AF946),$AF$2:$AF$1001,0),0), INDEX($AM$1004:$BM$1004,1,MATCH(COLUMNS($AM$1006:AW1006),$AM$1006:$BM$1006,0)))),"Fix")))</f>
        <v xml:space="preserve"> </v>
      </c>
      <c r="M946" s="4" t="str">
        <f ca="1">IF(OR(INDEX($AG$2:$AG$1001,MATCH(ROWS($AF$2:AF946),$AF$2:$AF$1001,0),1)&gt;=100000,INDEX($AM$1005:$BM$1005,1,MATCH(COLUMNS($AM$1006:AX1006),$AM$1006:$BM$1006,0))&gt;=100000), " ",IF(INDEX($AM$2:$BM$1001,MATCH(ROWS($AF$2:AF946),$AF$2:$AF$1001,0),MATCH(COLUMNS($AM$1006:AX1006),$AM$1006:$BM$1006,0)), HYPERLINK("#",""), HYPERLINK(CONCATENATE("#metadata!", ADDRESS(INDEX($AH$2:$AH$1001,MATCH(ROWS($AF$2:AF946),$AF$2:$AF$1001,0),0), INDEX($AM$1004:$BM$1004,1,MATCH(COLUMNS($AM$1006:AX1006),$AM$1006:$BM$1006,0)))),"Fix")))</f>
        <v xml:space="preserve"> </v>
      </c>
      <c r="N946" s="4" t="str">
        <f ca="1">IF(OR(INDEX($AG$2:$AG$1001,MATCH(ROWS($AF$2:AF946),$AF$2:$AF$1001,0),1)&gt;=100000,INDEX($AM$1005:$BM$1005,1,MATCH(COLUMNS($AM$1006:AY1006),$AM$1006:$BM$1006,0))&gt;=100000), " ",IF(INDEX($AM$2:$BM$1001,MATCH(ROWS($AF$2:AF946),$AF$2:$AF$1001,0),MATCH(COLUMNS($AM$1006:AY1006),$AM$1006:$BM$1006,0)), HYPERLINK("#",""), HYPERLINK(CONCATENATE("#metadata!", ADDRESS(INDEX($AH$2:$AH$1001,MATCH(ROWS($AF$2:AF946),$AF$2:$AF$1001,0),0), INDEX($AM$1004:$BM$1004,1,MATCH(COLUMNS($AM$1006:AY1006),$AM$1006:$BM$1006,0)))),"Fix")))</f>
        <v xml:space="preserve"> </v>
      </c>
      <c r="O946" s="4" t="str">
        <f ca="1">IF(OR(INDEX($AG$2:$AG$1001,MATCH(ROWS($AF$2:AF946),$AF$2:$AF$1001,0),1)&gt;=100000,INDEX($AM$1005:$BM$1005,1,MATCH(COLUMNS($AM$1006:AZ1006),$AM$1006:$BM$1006,0))&gt;=100000), " ",IF(INDEX($AM$2:$BM$1001,MATCH(ROWS($AF$2:AF946),$AF$2:$AF$1001,0),MATCH(COLUMNS($AM$1006:AZ1006),$AM$1006:$BM$1006,0)), HYPERLINK("#",""), HYPERLINK(CONCATENATE("#metadata!", ADDRESS(INDEX($AH$2:$AH$1001,MATCH(ROWS($AF$2:AF946),$AF$2:$AF$1001,0),0), INDEX($AM$1004:$BM$1004,1,MATCH(COLUMNS($AM$1006:AZ1006),$AM$1006:$BM$1006,0)))),"Fix")))</f>
        <v xml:space="preserve"> </v>
      </c>
      <c r="P946" s="4" t="str">
        <f ca="1">IF(OR(INDEX($AG$2:$AG$1001,MATCH(ROWS($AF$2:AF946),$AF$2:$AF$1001,0),1)&gt;=100000,INDEX($AM$1005:$BM$1005,1,MATCH(COLUMNS($AM$1006:BA1006),$AM$1006:$BM$1006,0))&gt;=100000), " ",IF(INDEX($AM$2:$BM$1001,MATCH(ROWS($AF$2:AF946),$AF$2:$AF$1001,0),MATCH(COLUMNS($AM$1006:BA1006),$AM$1006:$BM$1006,0)), HYPERLINK("#",""), HYPERLINK(CONCATENATE("#metadata!", ADDRESS(INDEX($AH$2:$AH$1001,MATCH(ROWS($AF$2:AF946),$AF$2:$AF$1001,0),0), INDEX($AM$1004:$BM$1004,1,MATCH(COLUMNS($AM$1006:BA1006),$AM$1006:$BM$1006,0)))),"Fix")))</f>
        <v xml:space="preserve"> </v>
      </c>
      <c r="Q946" s="4" t="str">
        <f ca="1">IF(OR(INDEX($AG$2:$AG$1001,MATCH(ROWS($AF$2:AF946),$AF$2:$AF$1001,0),1)&gt;=100000,INDEX($AM$1005:$BM$1005,1,MATCH(COLUMNS($AM$1006:BB1006),$AM$1006:$BM$1006,0))&gt;=100000), " ",IF(INDEX($AM$2:$BM$1001,MATCH(ROWS($AF$2:AF946),$AF$2:$AF$1001,0),MATCH(COLUMNS($AM$1006:BB1006),$AM$1006:$BM$1006,0)), HYPERLINK("#",""), HYPERLINK(CONCATENATE("#metadata!", ADDRESS(INDEX($AH$2:$AH$1001,MATCH(ROWS($AF$2:AF946),$AF$2:$AF$1001,0),0), INDEX($AM$1004:$BM$1004,1,MATCH(COLUMNS($AM$1006:BB1006),$AM$1006:$BM$1006,0)))),"Fix")))</f>
        <v xml:space="preserve"> </v>
      </c>
      <c r="R946" s="4" t="str">
        <f ca="1">IF(OR(INDEX($AG$2:$AG$1001,MATCH(ROWS($AF$2:AF946),$AF$2:$AF$1001,0),1)&gt;=100000,INDEX($AM$1005:$BM$1005,1,MATCH(COLUMNS($AM$1006:BC1006),$AM$1006:$BM$1006,0))&gt;=100000), " ",IF(INDEX($AM$2:$BM$1001,MATCH(ROWS($AF$2:AF946),$AF$2:$AF$1001,0),MATCH(COLUMNS($AM$1006:BC1006),$AM$1006:$BM$1006,0)), HYPERLINK("#",""), HYPERLINK(CONCATENATE("#metadata!", ADDRESS(INDEX($AH$2:$AH$1001,MATCH(ROWS($AF$2:AF946),$AF$2:$AF$1001,0),0), INDEX($AM$1004:$BM$1004,1,MATCH(COLUMNS($AM$1006:BC1006),$AM$1006:$BM$1006,0)))),"Fix")))</f>
        <v xml:space="preserve"> </v>
      </c>
      <c r="S946" s="4" t="str">
        <f ca="1">IF(OR(INDEX($AG$2:$AG$1001,MATCH(ROWS($AF$2:AF946),$AF$2:$AF$1001,0),1)&gt;=100000,INDEX($AM$1005:$BM$1005,1,MATCH(COLUMNS($AM$1006:BD1006),$AM$1006:$BM$1006,0))&gt;=100000), " ",IF(INDEX($AM$2:$BM$1001,MATCH(ROWS($AF$2:AF946),$AF$2:$AF$1001,0),MATCH(COLUMNS($AM$1006:BD1006),$AM$1006:$BM$1006,0)), HYPERLINK("#",""), HYPERLINK(CONCATENATE("#metadata!", ADDRESS(INDEX($AH$2:$AH$1001,MATCH(ROWS($AF$2:AF946),$AF$2:$AF$1001,0),0), INDEX($AM$1004:$BM$1004,1,MATCH(COLUMNS($AM$1006:BD1006),$AM$1006:$BM$1006,0)))),"Fix")))</f>
        <v xml:space="preserve"> </v>
      </c>
      <c r="T946" s="4" t="str">
        <f ca="1">IF(OR(INDEX($AG$2:$AG$1001,MATCH(ROWS($AF$2:AF946),$AF$2:$AF$1001,0),1)&gt;=100000,INDEX($AM$1005:$BM$1005,1,MATCH(COLUMNS($AM$1006:BE1006),$AM$1006:$BM$1006,0))&gt;=100000), " ",IF(INDEX($AM$2:$BM$1001,MATCH(ROWS($AF$2:AF946),$AF$2:$AF$1001,0),MATCH(COLUMNS($AM$1006:BE1006),$AM$1006:$BM$1006,0)), HYPERLINK("#",""), HYPERLINK(CONCATENATE("#metadata!", ADDRESS(INDEX($AH$2:$AH$1001,MATCH(ROWS($AF$2:AF946),$AF$2:$AF$1001,0),0), INDEX($AM$1004:$BM$1004,1,MATCH(COLUMNS($AM$1006:BE1006),$AM$1006:$BM$1006,0)))),"Fix")))</f>
        <v xml:space="preserve"> </v>
      </c>
      <c r="U946" s="4" t="str">
        <f ca="1">IF(OR(INDEX($AG$2:$AG$1001,MATCH(ROWS($AF$2:AF946),$AF$2:$AF$1001,0),1)&gt;=100000,INDEX($AM$1005:$BM$1005,1,MATCH(COLUMNS($AM$1006:BF1006),$AM$1006:$BM$1006,0))&gt;=100000), " ",IF(INDEX($AM$2:$BM$1001,MATCH(ROWS($AF$2:AF946),$AF$2:$AF$1001,0),MATCH(COLUMNS($AM$1006:BF1006),$AM$1006:$BM$1006,0)), HYPERLINK("#",""), HYPERLINK(CONCATENATE("#metadata!", ADDRESS(INDEX($AH$2:$AH$1001,MATCH(ROWS($AF$2:AF946),$AF$2:$AF$1001,0),0), INDEX($AM$1004:$BM$1004,1,MATCH(COLUMNS($AM$1006:BF1006),$AM$1006:$BM$1006,0)))),"Fix")))</f>
        <v xml:space="preserve"> </v>
      </c>
      <c r="V946" s="4" t="str">
        <f ca="1">IF(OR(INDEX($AG$2:$AG$1001,MATCH(ROWS($AF$2:AF946),$AF$2:$AF$1001,0),1)&gt;=100000,INDEX($AM$1005:$BM$1005,1,MATCH(COLUMNS($AM$1006:BG1006),$AM$1006:$BM$1006,0))&gt;=100000), " ",IF(INDEX($AM$2:$BM$1001,MATCH(ROWS($AF$2:AF946),$AF$2:$AF$1001,0),MATCH(COLUMNS($AM$1006:BG1006),$AM$1006:$BM$1006,0)), HYPERLINK("#",""), HYPERLINK(CONCATENATE("#metadata!", ADDRESS(INDEX($AH$2:$AH$1001,MATCH(ROWS($AF$2:AF946),$AF$2:$AF$1001,0),0), INDEX($AM$1004:$BM$1004,1,MATCH(COLUMNS($AM$1006:BG1006),$AM$1006:$BM$1006,0)))),"Fix")))</f>
        <v xml:space="preserve"> </v>
      </c>
      <c r="W946" s="4" t="str">
        <f ca="1">IF(OR(INDEX($AG$2:$AG$1001,MATCH(ROWS($AF$2:AF946),$AF$2:$AF$1001,0),1)&gt;=100000,INDEX($AM$1005:$BM$1005,1,MATCH(COLUMNS($AM$1006:BH1006),$AM$1006:$BM$1006,0))&gt;=100000), " ",IF(INDEX($AM$2:$BM$1001,MATCH(ROWS($AF$2:AF946),$AF$2:$AF$1001,0),MATCH(COLUMNS($AM$1006:BH1006),$AM$1006:$BM$1006,0)), HYPERLINK("#",""), HYPERLINK(CONCATENATE("#metadata!", ADDRESS(INDEX($AH$2:$AH$1001,MATCH(ROWS($AF$2:AF946),$AF$2:$AF$1001,0),0), INDEX($AM$1004:$BM$1004,1,MATCH(COLUMNS($AM$1006:BH1006),$AM$1006:$BM$1006,0)))),"Fix")))</f>
        <v xml:space="preserve"> </v>
      </c>
      <c r="X946" s="4" t="str">
        <f ca="1">IF(OR(INDEX($AG$2:$AG$1001,MATCH(ROWS($AF$2:AF946),$AF$2:$AF$1001,0),1)&gt;=100000,INDEX($AM$1005:$BM$1005,1,MATCH(COLUMNS($AM$1006:BI1006),$AM$1006:$BM$1006,0))&gt;=100000), " ",IF(INDEX($AM$2:$BM$1001,MATCH(ROWS($AF$2:AF946),$AF$2:$AF$1001,0),MATCH(COLUMNS($AM$1006:BI1006),$AM$1006:$BM$1006,0)), HYPERLINK("#",""), HYPERLINK(CONCATENATE("#metadata!", ADDRESS(INDEX($AH$2:$AH$1001,MATCH(ROWS($AF$2:AF946),$AF$2:$AF$1001,0),0), INDEX($AM$1004:$BM$1004,1,MATCH(COLUMNS($AM$1006:BI1006),$AM$1006:$BM$1006,0)))),"Fix")))</f>
        <v xml:space="preserve"> </v>
      </c>
      <c r="Y946" s="4" t="str">
        <f ca="1">IF(OR(INDEX($AG$2:$AG$1001,MATCH(ROWS($AF$2:AF946),$AF$2:$AF$1001,0),1)&gt;=100000,INDEX($AM$1005:$BM$1005,1,MATCH(COLUMNS($AM$1006:BJ1006),$AM$1006:$BM$1006,0))&gt;=100000), " ",IF(INDEX($AM$2:$BM$1001,MATCH(ROWS($AF$2:AF946),$AF$2:$AF$1001,0),MATCH(COLUMNS($AM$1006:BJ1006),$AM$1006:$BM$1006,0)), HYPERLINK("#",""), HYPERLINK(CONCATENATE("#metadata!", ADDRESS(INDEX($AH$2:$AH$1001,MATCH(ROWS($AF$2:AF946),$AF$2:$AF$1001,0),0), INDEX($AM$1004:$BM$1004,1,MATCH(COLUMNS($AM$1006:BJ1006),$AM$1006:$BM$1006,0)))),"Fix")))</f>
        <v xml:space="preserve"> </v>
      </c>
      <c r="Z946" s="4" t="str">
        <f ca="1">IF(OR(INDEX($AG$2:$AG$1001,MATCH(ROWS($AF$2:AF946),$AF$2:$AF$1001,0),1)&gt;=100000,INDEX($AM$1005:$BM$1005,1,MATCH(COLUMNS($AM$1006:BK1006),$AM$1006:$BM$1006,0))&gt;=100000), " ",IF(INDEX($AM$2:$BM$1001,MATCH(ROWS($AF$2:AF946),$AF$2:$AF$1001,0),MATCH(COLUMNS($AM$1006:BK1006),$AM$1006:$BM$1006,0)), HYPERLINK("#",""), HYPERLINK(CONCATENATE("#metadata!", ADDRESS(INDEX($AH$2:$AH$1001,MATCH(ROWS($AF$2:AF946),$AF$2:$AF$1001,0),0), INDEX($AM$1004:$BM$1004,1,MATCH(COLUMNS($AM$1006:BK1006),$AM$1006:$BM$1006,0)))),"Fix")))</f>
        <v xml:space="preserve"> </v>
      </c>
      <c r="AA946" s="4" t="str">
        <f ca="1">IF(OR(INDEX($AG$2:$AG$1001,MATCH(ROWS($AF$2:AF946),$AF$2:$AF$1001,0),1)&gt;=100000,INDEX($AM$1005:$BM$1005,1,MATCH(COLUMNS($AM$1006:BL1006),$AM$1006:$BM$1006,0))&gt;=100000), " ",IF(INDEX($AM$2:$BM$1001,MATCH(ROWS($AF$2:AF946),$AF$2:$AF$1001,0),MATCH(COLUMNS($AM$1006:BL1006),$AM$1006:$BM$1006,0)), HYPERLINK("#",""), HYPERLINK(CONCATENATE("#metadata!", ADDRESS(INDEX($AH$2:$AH$1001,MATCH(ROWS($AF$2:AF946),$AF$2:$AF$1001,0),0), INDEX($AM$1004:$BM$1004,1,MATCH(COLUMNS($AM$1006:BL1006),$AM$1006:$BM$1006,0)))),"Fix")))</f>
        <v xml:space="preserve"> </v>
      </c>
      <c r="AB946" s="4" t="str">
        <f ca="1">IF(OR(INDEX($AG$2:$AG$1001,MATCH(ROWS($AF$2:AF946),$AF$2:$AF$1001,0),1)&gt;=100000,INDEX($AM$1005:$BM$1005,1,MATCH(COLUMNS($AM$1006:BM1006),$AM$1006:$BM$1006,0))&gt;=100000), " ",IF(INDEX($AM$2:$BM$1001,MATCH(ROWS($AF$2:AF946),$AF$2:$AF$1001,0),MATCH(COLUMNS($AM$1006:BM1006),$AM$1006:$BM$1006,0)), HYPERLINK("#",""), HYPERLINK(CONCATENATE("#metadata!", ADDRESS(INDEX($AH$2:$AH$1001,MATCH(ROWS($AF$2:AF946),$AF$2:$AF$1001,0),0), INDEX($AM$1004:$BM$1004,1,MATCH(COLUMNS($AM$1006:BM1006),$AM$1006:$BM$1006,0)))),"Fix")))</f>
        <v xml:space="preserve"> </v>
      </c>
      <c r="AF946">
        <v>945</v>
      </c>
      <c r="AG946">
        <v>100946</v>
      </c>
      <c r="AH946">
        <v>946</v>
      </c>
      <c r="AI946" t="b">
        <f t="shared" si="14"/>
        <v>1</v>
      </c>
      <c r="AJ946" t="b">
        <f>COUNTBLANK(metadata!B946:AB946)=COLUMNS(metadata!B946:AB946)</f>
        <v>1</v>
      </c>
      <c r="AK946" t="str">
        <v/>
      </c>
      <c r="AM946" t="b">
        <f ca="1">AND(IF(metadata!B946="",FALSE,TRUE),COUNTIF(metadata!B:B, metadata!B946) = 1,NOT(ISERROR(SUMPRODUCT(SEARCH(MID(metadata!B946,ROW(INDIRECT("1:"&amp;LEN(metadata!B946))), 1),"0123456789abcdefghijklmnopqrstuvwxyzABCDEFGHIJKLMNOPQRSTUVWXYZ.")))))</f>
        <v>0</v>
      </c>
      <c r="AN946" t="b">
        <f ca="1">OR(AND(IF(metadata!C946="",FALSE,TRUE),OR(EXACT(metadata!C946,"missing: not collected"),EXACT(metadata!C946,"missing: not provided"),EXACT(metadata!C946,"missing: restricted access"))),AND(IF(metadata!C946="",FALSE,TRUE),AND(AND(IFERROR(INT(LEFT(metadata!C946,4))&gt;1900,FALSE),IFERROR(INT(LEFT(metadata!C946,4))&lt;=YEAR(NOW()),FALSE)), OR(MID(metadata!C946,5,1)="", AND(AND(MID(metadata!C946,5,1)="-",IFERROR(INT(MID(metadata!C946,6,1))&gt;=0,FALSE),IFERROR(INT(MID(metadata!C946,6,1))&lt;=1,FALSE),NOT(MID(metadata!C946,7,1)=""),IFERROR(INT(MID(metadata!C946,6,2))&gt;=1,FALSE),IFERROR(INT(MID(metadata!C946,6,2))&lt;=12,FALSE)), OR(MID(metadata!C946,8,1)="", AND(AND(MID(metadata!C946,8,1)="-",IFERROR(INT(MID(metadata!C946,9,1))&gt;=0,FALSE),IFERROR(INT(MID(metadata!C946,9,1))&lt;=3,FALSE),NOT(MID(metadata!C946,10,1)=""),IFERROR(INT(MID(metadata!C946,9,2))&gt;=1,FALSE),IFERROR(INT(MID(metadata!C946,9,2))&lt;=31,FALSE)), OR(MID(metadata!C946,11,1)="", AND(AND(MID(metadata!C946,11,1)=" ",IFERROR(INT(MID(metadata!C946,12,1))&gt;=0,FALSE),IFERROR(INT(MID(metadata!C946,12,1))&lt;=2,FALSE),NOT(MID(metadata!C946,13,1)=""),IFERROR(INT(MID(metadata!C946,12,2))&gt;=0,FALSE),IFERROR(INT(MID(metadata!C946,12,2))&lt;=23,FALSE)), OR(MID(metadata!C946,14,1)="", AND(AND(MID(metadata!C946,14,1)=":",IFERROR(INT(MID(metadata!C946,15,1))&gt;=0,FALSE),IFERROR(INT(MID(metadata!C946,15,1))&lt;=5,FALSE),NOT(MID(metadata!C946,16,1)=""),IFERROR(INT(MID(metadata!C946,15,2))&gt;=0,FALSE),IFERROR(INT(MID(metadata!C946,15,2))&lt;=59,FALSE)), OR(MID(metadata!C946,17,1)="", AND(AND(MID(metadata!C946,17,1)=":",IFERROR(INT(MID(metadata!C946,18,1))&gt;=0,FALSE),IFERROR(INT(MID(metadata!C946,18,1))&lt;=5,FALSE),NOT(MID(metadata!C946,19,1)=""),IFERROR(INT(MID(metadata!C946,18,2))&gt;=0,FALSE),IFERROR(INT(MID(metadata!C946,18,2))&lt;=59,FALSE)), LEN(metadata!C946)&lt;=19)))))))))))))</f>
        <v>0</v>
      </c>
      <c r="AO946" t="b">
        <f>AND(IF(metadata!D946="",FALSE,TRUE),EXACT(metadata!D946,"Not applicable"))</f>
        <v>0</v>
      </c>
      <c r="AP946" t="b">
        <f>IF(metadata!E946="",FALSE,TRUE)</f>
        <v>0</v>
      </c>
      <c r="AQ946" t="b">
        <f>OR(AND(IF(metadata!F946="",FALSE,TRUE),OR(EXACT(metadata!F946,"missing: not collected"),EXACT(metadata!F946,"missing: not provided"))),AND(IF(metadata!F946="",FALSE,TRUE),OR(EXACT(metadata!F946,"TRUE"),EXACT(metadata!F946,"FALSE"))))</f>
        <v>0</v>
      </c>
      <c r="AR946" t="b">
        <f>OR(AND(IF(metadata!G946="",FALSE,TRUE),OR(EXACT(metadata!G946,"missing: not collected"),EXACT(metadata!G946,"missing: not provided"),EXACT(metadata!G946,"missing: restricted access"))),AND(IF(metadata!G946="",FALSE,ISNUMBER(VALUE(metadata!G946))),metadata!G946&gt;=-413))</f>
        <v>0</v>
      </c>
      <c r="AS946" t="b">
        <f>AND(IF(metadata!H946="",FALSE,TRUE),EXACT(metadata!H946,"meters"))</f>
        <v>0</v>
      </c>
      <c r="AT946" t="b">
        <f>AND(IF(metadata!I946="",FALSE,TRUE),OR(EXACT(metadata!I946,"Host-associated"),EXACT(metadata!I946,"Free-living")))</f>
        <v>0</v>
      </c>
      <c r="AU946" t="b">
        <f>AND(IF(metadata!J946="",FALSE,TRUE),OR(EXACT(metadata!J946,"Animal"),EXACT(metadata!J946,"Fungus"),EXACT(metadata!J946,"Plant"),EXACT(metadata!J946,"Saline"),EXACT(metadata!J946,"Non-saline")))</f>
        <v>0</v>
      </c>
      <c r="AV946" t="b">
        <f>AND(IF(metadata!K946="",FALSE,TRUE),OR(EXACT(metadata!K946,"Plant secretion"),EXACT(metadata!K946,"Plant rhizosphere"),EXACT(metadata!K946,"Plant surface"),EXACT(metadata!K946,"Plant corpus"),EXACT(metadata!K946,"Fungus surface"),EXACT(metadata!K946,"Fungus corpus"),EXACT(metadata!K946,"Animal surface"),EXACT(metadata!K946,"Animal proximal gut"),EXACT(metadata!K946,"Animal corpus"),EXACT(metadata!K946,"Animal distal gut"),EXACT(metadata!K946,"Animal secretion"),EXACT(metadata!K946,"Sub-surface (non-saline)"),EXACT(metadata!K946,"Surface (non-saline)"),EXACT(metadata!K946,"Water (non-saline)"),EXACT(metadata!K946,"Soil (non-saline)"),EXACT(metadata!K946,"Aerosol (non-saline)"),EXACT(metadata!K946,"Sediment (non-saline)"),EXACT(metadata!K946,"Surface (saline)"),EXACT(metadata!K946,"Water (saline)"),EXACT(metadata!K946,"Hypersaline (saline)"),EXACT(metadata!K946,"Aerosol (saline)"),EXACT(metadata!K946,"Sediment (saline)")))</f>
        <v>0</v>
      </c>
      <c r="AW946" t="b">
        <f>IF(metadata!L946="",FALSE,TRUE)</f>
        <v>0</v>
      </c>
      <c r="AX946" t="b">
        <f>IF(metadata!M946="",FALSE,TRUE)</f>
        <v>0</v>
      </c>
      <c r="AY946" t="b">
        <f>IF(metadata!N946="",FALSE,TRUE)</f>
        <v>0</v>
      </c>
      <c r="AZ946" t="b">
        <f>OR(AND(IF(metadata!O946="",FALSE,TRUE),OR(EXACT(metadata!O946,"missing: not collected"),EXACT(metadata!O946,"missing: not provided"),EXACT(metadata!O946,"missing: restricted access"))),AND(IF(metadata!O946="",FALSE,TRUE),OR(EXACT(metadata!O946,"air"),EXACT(metadata!O946,"built environment"),EXACT(metadata!O946,"host-associated"),EXACT(metadata!O946,"human-associated"),EXACT(metadata!O946,"human-skin"),EXACT(metadata!O946,"human-oral"),EXACT(metadata!O946,"human-gut"),EXACT(metadata!O946,"human-vaginal"),EXACT(metadata!O946,"microbial mat/biofilm"),EXACT(metadata!O946,"misc environment"),EXACT(metadata!O946,"plant-associated"),EXACT(metadata!O946,"sediment"),EXACT(metadata!O946,"soil"),EXACT(metadata!O946,"wastewater/sludge"),EXACT(metadata!O946,"water"))))</f>
        <v>0</v>
      </c>
      <c r="BA946" t="b">
        <f>IF(metadata!P946="",FALSE,TRUE)</f>
        <v>0</v>
      </c>
      <c r="BB946" t="b">
        <f>IF(metadata!Q946="",FALSE,TRUE)</f>
        <v>0</v>
      </c>
      <c r="BC946" t="b">
        <f>OR(AND(IF(metadata!R946="",FALSE,TRUE),OR(EXACT(metadata!R946,"missing: not collected"),EXACT(metadata!R946,"missing: not provided"),EXACT(metadata!R946,"missing: restricted access"))),AND(IF(metadata!R946="",FALSE,ISNUMBER(VALUE(metadata!R946))),metadata!R946&gt;=-90,metadata!R946&lt;=90))</f>
        <v>0</v>
      </c>
      <c r="BD946" t="b">
        <f>AND(IF(metadata!S946="",FALSE,TRUE),EXACT(metadata!S946,"Decimal degrees"))</f>
        <v>0</v>
      </c>
      <c r="BE946" t="b">
        <f>OR(AND(IF(metadata!T946="",FALSE,TRUE),OR(EXACT(metadata!T946,"missing: not collected"),EXACT(metadata!T946,"missing: not provided"),EXACT(metadata!T946,"missing: restricted access"))),AND(IF(metadata!T946="",FALSE,ISNUMBER(VALUE(metadata!T946))),metadata!T946&gt;=-180,metadata!T946&lt;=180))</f>
        <v>0</v>
      </c>
      <c r="BF946" t="b">
        <f>AND(IF(metadata!U946="",FALSE,TRUE),EXACT(metadata!U946,"Decimal degrees"))</f>
        <v>0</v>
      </c>
      <c r="BG946" t="b">
        <f>IF(metadata!V946="",FALSE,TRUE)</f>
        <v>0</v>
      </c>
      <c r="BH946" t="b">
        <f>OR(AND(IF(metadata!W946="",FALSE,TRUE),OR(EXACT(metadata!W946,"missing: not collected"),EXACT(metadata!W946,"missing: not provided"),EXACT(metadata!W946,"missing: restricted access"))),AND(IF(metadata!W946="",FALSE,TRUE),OR(EXACT(metadata!W946,"TRUE"),EXACT(metadata!W946,"FALSE"))))</f>
        <v>0</v>
      </c>
      <c r="BI946" t="b">
        <f>AND(IF(metadata!X946="",FALSE,TRUE),EXACT(metadata!X946,"other"))</f>
        <v>0</v>
      </c>
      <c r="BJ946" t="b">
        <f>IF(metadata!Y946="",FALSE,TRUE)</f>
        <v>0</v>
      </c>
      <c r="BK946" t="b">
        <f>OR(AND(IF(metadata!Z946="",FALSE,TRUE),OR(EXACT(metadata!Z946,"missing: not collected"),EXACT(metadata!Z946,"missing: not provided"))),AND(IF(metadata!Z946="",FALSE,IF(ISERROR(INT(metadata!Z946)),FALSE,INT(metadata!Z946)=metadata!Z946)),metadata!Z946&gt;0))</f>
        <v>0</v>
      </c>
      <c r="BL946" t="b">
        <f>AND(IF(metadata!AA946="",FALSE,TRUE),EXACT(metadata!AA946,"Not applicable"))</f>
        <v>0</v>
      </c>
      <c r="BM946" t="b">
        <f>IF(metadata!AB946="",FALSE,TRUE)</f>
        <v>0</v>
      </c>
    </row>
    <row r="947" spans="1:65" x14ac:dyDescent="0.2">
      <c r="A947" s="5" t="str">
        <f ca="1">IF(B947=" "," ",HYPERLINK(CONCATENATE("#metadata!",ADDRESS(INDEX($AH$2:$AH$1001,MATCH(ROWS($AF$2:AF947),$AF$2:$AF$1001,0),0),1)),INDEX($AK$2:$AK$1001,MATCH(ROWS($AF$2:AF947),$AF$2:$AF$1001,0),0)))</f>
        <v xml:space="preserve"> </v>
      </c>
      <c r="B947" s="4" t="str">
        <f ca="1">IF(OR(INDEX($AG$2:$AG$1001,MATCH(ROWS($AF$2:AF947),$AF$2:$AF$1001,0),1)&gt;=100000,INDEX($AM$1005:$BM$1005,1,MATCH(COLUMNS($AM$1006:AM1006),$AM$1006:$BM$1006,0))&gt;=100000), " ",IF(INDEX($AM$2:$BM$1001,MATCH(ROWS($AF$2:AF947),$AF$2:$AF$1001,0),MATCH(COLUMNS($AM$1006:AM1006),$AM$1006:$BM$1006,0)), HYPERLINK("#",""), HYPERLINK(CONCATENATE("#metadata!", ADDRESS(INDEX($AH$2:$AH$1001,MATCH(ROWS($AF$2:AF947),$AF$2:$AF$1001,0),0), INDEX($AM$1004:$BM$1004,1,MATCH(COLUMNS($AM$1006:AM1006),$AM$1006:$BM$1006,0)))),"Fix")))</f>
        <v xml:space="preserve"> </v>
      </c>
      <c r="C947" s="4" t="str">
        <f ca="1">IF(OR(INDEX($AG$2:$AG$1001,MATCH(ROWS($AF$2:AF947),$AF$2:$AF$1001,0),1)&gt;=100000,INDEX($AM$1005:$BM$1005,1,MATCH(COLUMNS($AM$1006:AN1006),$AM$1006:$BM$1006,0))&gt;=100000), " ",IF(INDEX($AM$2:$BM$1001,MATCH(ROWS($AF$2:AF947),$AF$2:$AF$1001,0),MATCH(COLUMNS($AM$1006:AN1006),$AM$1006:$BM$1006,0)), HYPERLINK("#",""), HYPERLINK(CONCATENATE("#metadata!", ADDRESS(INDEX($AH$2:$AH$1001,MATCH(ROWS($AF$2:AF947),$AF$2:$AF$1001,0),0), INDEX($AM$1004:$BM$1004,1,MATCH(COLUMNS($AM$1006:AN1006),$AM$1006:$BM$1006,0)))),"Fix")))</f>
        <v xml:space="preserve"> </v>
      </c>
      <c r="D947" s="4" t="str">
        <f ca="1">IF(OR(INDEX($AG$2:$AG$1001,MATCH(ROWS($AF$2:AF947),$AF$2:$AF$1001,0),1)&gt;=100000,INDEX($AM$1005:$BM$1005,1,MATCH(COLUMNS($AM$1006:AO1006),$AM$1006:$BM$1006,0))&gt;=100000), " ",IF(INDEX($AM$2:$BM$1001,MATCH(ROWS($AF$2:AF947),$AF$2:$AF$1001,0),MATCH(COLUMNS($AM$1006:AO1006),$AM$1006:$BM$1006,0)), HYPERLINK("#",""), HYPERLINK(CONCATENATE("#metadata!", ADDRESS(INDEX($AH$2:$AH$1001,MATCH(ROWS($AF$2:AF947),$AF$2:$AF$1001,0),0), INDEX($AM$1004:$BM$1004,1,MATCH(COLUMNS($AM$1006:AO1006),$AM$1006:$BM$1006,0)))),"Fix")))</f>
        <v xml:space="preserve"> </v>
      </c>
      <c r="E947" s="4" t="str">
        <f ca="1">IF(OR(INDEX($AG$2:$AG$1001,MATCH(ROWS($AF$2:AF947),$AF$2:$AF$1001,0),1)&gt;=100000,INDEX($AM$1005:$BM$1005,1,MATCH(COLUMNS($AM$1006:AP1006),$AM$1006:$BM$1006,0))&gt;=100000), " ",IF(INDEX($AM$2:$BM$1001,MATCH(ROWS($AF$2:AF947),$AF$2:$AF$1001,0),MATCH(COLUMNS($AM$1006:AP1006),$AM$1006:$BM$1006,0)), HYPERLINK("#",""), HYPERLINK(CONCATENATE("#metadata!", ADDRESS(INDEX($AH$2:$AH$1001,MATCH(ROWS($AF$2:AF947),$AF$2:$AF$1001,0),0), INDEX($AM$1004:$BM$1004,1,MATCH(COLUMNS($AM$1006:AP1006),$AM$1006:$BM$1006,0)))),"Fix")))</f>
        <v xml:space="preserve"> </v>
      </c>
      <c r="F947" s="4" t="str">
        <f ca="1">IF(OR(INDEX($AG$2:$AG$1001,MATCH(ROWS($AF$2:AF947),$AF$2:$AF$1001,0),1)&gt;=100000,INDEX($AM$1005:$BM$1005,1,MATCH(COLUMNS($AM$1006:AQ1006),$AM$1006:$BM$1006,0))&gt;=100000), " ",IF(INDEX($AM$2:$BM$1001,MATCH(ROWS($AF$2:AF947),$AF$2:$AF$1001,0),MATCH(COLUMNS($AM$1006:AQ1006),$AM$1006:$BM$1006,0)), HYPERLINK("#",""), HYPERLINK(CONCATENATE("#metadata!", ADDRESS(INDEX($AH$2:$AH$1001,MATCH(ROWS($AF$2:AF947),$AF$2:$AF$1001,0),0), INDEX($AM$1004:$BM$1004,1,MATCH(COLUMNS($AM$1006:AQ1006),$AM$1006:$BM$1006,0)))),"Fix")))</f>
        <v xml:space="preserve"> </v>
      </c>
      <c r="G947" s="4" t="str">
        <f ca="1">IF(OR(INDEX($AG$2:$AG$1001,MATCH(ROWS($AF$2:AF947),$AF$2:$AF$1001,0),1)&gt;=100000,INDEX($AM$1005:$BM$1005,1,MATCH(COLUMNS($AM$1006:AR1006),$AM$1006:$BM$1006,0))&gt;=100000), " ",IF(INDEX($AM$2:$BM$1001,MATCH(ROWS($AF$2:AF947),$AF$2:$AF$1001,0),MATCH(COLUMNS($AM$1006:AR1006),$AM$1006:$BM$1006,0)), HYPERLINK("#",""), HYPERLINK(CONCATENATE("#metadata!", ADDRESS(INDEX($AH$2:$AH$1001,MATCH(ROWS($AF$2:AF947),$AF$2:$AF$1001,0),0), INDEX($AM$1004:$BM$1004,1,MATCH(COLUMNS($AM$1006:AR1006),$AM$1006:$BM$1006,0)))),"Fix")))</f>
        <v xml:space="preserve"> </v>
      </c>
      <c r="H947" s="4" t="str">
        <f ca="1">IF(OR(INDEX($AG$2:$AG$1001,MATCH(ROWS($AF$2:AF947),$AF$2:$AF$1001,0),1)&gt;=100000,INDEX($AM$1005:$BM$1005,1,MATCH(COLUMNS($AM$1006:AS1006),$AM$1006:$BM$1006,0))&gt;=100000), " ",IF(INDEX($AM$2:$BM$1001,MATCH(ROWS($AF$2:AF947),$AF$2:$AF$1001,0),MATCH(COLUMNS($AM$1006:AS1006),$AM$1006:$BM$1006,0)), HYPERLINK("#",""), HYPERLINK(CONCATENATE("#metadata!", ADDRESS(INDEX($AH$2:$AH$1001,MATCH(ROWS($AF$2:AF947),$AF$2:$AF$1001,0),0), INDEX($AM$1004:$BM$1004,1,MATCH(COLUMNS($AM$1006:AS1006),$AM$1006:$BM$1006,0)))),"Fix")))</f>
        <v xml:space="preserve"> </v>
      </c>
      <c r="I947" s="4" t="str">
        <f ca="1">IF(OR(INDEX($AG$2:$AG$1001,MATCH(ROWS($AF$2:AF947),$AF$2:$AF$1001,0),1)&gt;=100000,INDEX($AM$1005:$BM$1005,1,MATCH(COLUMNS($AM$1006:AT1006),$AM$1006:$BM$1006,0))&gt;=100000), " ",IF(INDEX($AM$2:$BM$1001,MATCH(ROWS($AF$2:AF947),$AF$2:$AF$1001,0),MATCH(COLUMNS($AM$1006:AT1006),$AM$1006:$BM$1006,0)), HYPERLINK("#",""), HYPERLINK(CONCATENATE("#metadata!", ADDRESS(INDEX($AH$2:$AH$1001,MATCH(ROWS($AF$2:AF947),$AF$2:$AF$1001,0),0), INDEX($AM$1004:$BM$1004,1,MATCH(COLUMNS($AM$1006:AT1006),$AM$1006:$BM$1006,0)))),"Fix")))</f>
        <v xml:space="preserve"> </v>
      </c>
      <c r="J947" s="4" t="str">
        <f ca="1">IF(OR(INDEX($AG$2:$AG$1001,MATCH(ROWS($AF$2:AF947),$AF$2:$AF$1001,0),1)&gt;=100000,INDEX($AM$1005:$BM$1005,1,MATCH(COLUMNS($AM$1006:AU1006),$AM$1006:$BM$1006,0))&gt;=100000), " ",IF(INDEX($AM$2:$BM$1001,MATCH(ROWS($AF$2:AF947),$AF$2:$AF$1001,0),MATCH(COLUMNS($AM$1006:AU1006),$AM$1006:$BM$1006,0)), HYPERLINK("#",""), HYPERLINK(CONCATENATE("#metadata!", ADDRESS(INDEX($AH$2:$AH$1001,MATCH(ROWS($AF$2:AF947),$AF$2:$AF$1001,0),0), INDEX($AM$1004:$BM$1004,1,MATCH(COLUMNS($AM$1006:AU1006),$AM$1006:$BM$1006,0)))),"Fix")))</f>
        <v xml:space="preserve"> </v>
      </c>
      <c r="K947" s="4" t="str">
        <f ca="1">IF(OR(INDEX($AG$2:$AG$1001,MATCH(ROWS($AF$2:AF947),$AF$2:$AF$1001,0),1)&gt;=100000,INDEX($AM$1005:$BM$1005,1,MATCH(COLUMNS($AM$1006:AV1006),$AM$1006:$BM$1006,0))&gt;=100000), " ",IF(INDEX($AM$2:$BM$1001,MATCH(ROWS($AF$2:AF947),$AF$2:$AF$1001,0),MATCH(COLUMNS($AM$1006:AV1006),$AM$1006:$BM$1006,0)), HYPERLINK("#",""), HYPERLINK(CONCATENATE("#metadata!", ADDRESS(INDEX($AH$2:$AH$1001,MATCH(ROWS($AF$2:AF947),$AF$2:$AF$1001,0),0), INDEX($AM$1004:$BM$1004,1,MATCH(COLUMNS($AM$1006:AV1006),$AM$1006:$BM$1006,0)))),"Fix")))</f>
        <v xml:space="preserve"> </v>
      </c>
      <c r="L947" s="4" t="str">
        <f ca="1">IF(OR(INDEX($AG$2:$AG$1001,MATCH(ROWS($AF$2:AF947),$AF$2:$AF$1001,0),1)&gt;=100000,INDEX($AM$1005:$BM$1005,1,MATCH(COLUMNS($AM$1006:AW1006),$AM$1006:$BM$1006,0))&gt;=100000), " ",IF(INDEX($AM$2:$BM$1001,MATCH(ROWS($AF$2:AF947),$AF$2:$AF$1001,0),MATCH(COLUMNS($AM$1006:AW1006),$AM$1006:$BM$1006,0)), HYPERLINK("#",""), HYPERLINK(CONCATENATE("#metadata!", ADDRESS(INDEX($AH$2:$AH$1001,MATCH(ROWS($AF$2:AF947),$AF$2:$AF$1001,0),0), INDEX($AM$1004:$BM$1004,1,MATCH(COLUMNS($AM$1006:AW1006),$AM$1006:$BM$1006,0)))),"Fix")))</f>
        <v xml:space="preserve"> </v>
      </c>
      <c r="M947" s="4" t="str">
        <f ca="1">IF(OR(INDEX($AG$2:$AG$1001,MATCH(ROWS($AF$2:AF947),$AF$2:$AF$1001,0),1)&gt;=100000,INDEX($AM$1005:$BM$1005,1,MATCH(COLUMNS($AM$1006:AX1006),$AM$1006:$BM$1006,0))&gt;=100000), " ",IF(INDEX($AM$2:$BM$1001,MATCH(ROWS($AF$2:AF947),$AF$2:$AF$1001,0),MATCH(COLUMNS($AM$1006:AX1006),$AM$1006:$BM$1006,0)), HYPERLINK("#",""), HYPERLINK(CONCATENATE("#metadata!", ADDRESS(INDEX($AH$2:$AH$1001,MATCH(ROWS($AF$2:AF947),$AF$2:$AF$1001,0),0), INDEX($AM$1004:$BM$1004,1,MATCH(COLUMNS($AM$1006:AX1006),$AM$1006:$BM$1006,0)))),"Fix")))</f>
        <v xml:space="preserve"> </v>
      </c>
      <c r="N947" s="4" t="str">
        <f ca="1">IF(OR(INDEX($AG$2:$AG$1001,MATCH(ROWS($AF$2:AF947),$AF$2:$AF$1001,0),1)&gt;=100000,INDEX($AM$1005:$BM$1005,1,MATCH(COLUMNS($AM$1006:AY1006),$AM$1006:$BM$1006,0))&gt;=100000), " ",IF(INDEX($AM$2:$BM$1001,MATCH(ROWS($AF$2:AF947),$AF$2:$AF$1001,0),MATCH(COLUMNS($AM$1006:AY1006),$AM$1006:$BM$1006,0)), HYPERLINK("#",""), HYPERLINK(CONCATENATE("#metadata!", ADDRESS(INDEX($AH$2:$AH$1001,MATCH(ROWS($AF$2:AF947),$AF$2:$AF$1001,0),0), INDEX($AM$1004:$BM$1004,1,MATCH(COLUMNS($AM$1006:AY1006),$AM$1006:$BM$1006,0)))),"Fix")))</f>
        <v xml:space="preserve"> </v>
      </c>
      <c r="O947" s="4" t="str">
        <f ca="1">IF(OR(INDEX($AG$2:$AG$1001,MATCH(ROWS($AF$2:AF947),$AF$2:$AF$1001,0),1)&gt;=100000,INDEX($AM$1005:$BM$1005,1,MATCH(COLUMNS($AM$1006:AZ1006),$AM$1006:$BM$1006,0))&gt;=100000), " ",IF(INDEX($AM$2:$BM$1001,MATCH(ROWS($AF$2:AF947),$AF$2:$AF$1001,0),MATCH(COLUMNS($AM$1006:AZ1006),$AM$1006:$BM$1006,0)), HYPERLINK("#",""), HYPERLINK(CONCATENATE("#metadata!", ADDRESS(INDEX($AH$2:$AH$1001,MATCH(ROWS($AF$2:AF947),$AF$2:$AF$1001,0),0), INDEX($AM$1004:$BM$1004,1,MATCH(COLUMNS($AM$1006:AZ1006),$AM$1006:$BM$1006,0)))),"Fix")))</f>
        <v xml:space="preserve"> </v>
      </c>
      <c r="P947" s="4" t="str">
        <f ca="1">IF(OR(INDEX($AG$2:$AG$1001,MATCH(ROWS($AF$2:AF947),$AF$2:$AF$1001,0),1)&gt;=100000,INDEX($AM$1005:$BM$1005,1,MATCH(COLUMNS($AM$1006:BA1006),$AM$1006:$BM$1006,0))&gt;=100000), " ",IF(INDEX($AM$2:$BM$1001,MATCH(ROWS($AF$2:AF947),$AF$2:$AF$1001,0),MATCH(COLUMNS($AM$1006:BA1006),$AM$1006:$BM$1006,0)), HYPERLINK("#",""), HYPERLINK(CONCATENATE("#metadata!", ADDRESS(INDEX($AH$2:$AH$1001,MATCH(ROWS($AF$2:AF947),$AF$2:$AF$1001,0),0), INDEX($AM$1004:$BM$1004,1,MATCH(COLUMNS($AM$1006:BA1006),$AM$1006:$BM$1006,0)))),"Fix")))</f>
        <v xml:space="preserve"> </v>
      </c>
      <c r="Q947" s="4" t="str">
        <f ca="1">IF(OR(INDEX($AG$2:$AG$1001,MATCH(ROWS($AF$2:AF947),$AF$2:$AF$1001,0),1)&gt;=100000,INDEX($AM$1005:$BM$1005,1,MATCH(COLUMNS($AM$1006:BB1006),$AM$1006:$BM$1006,0))&gt;=100000), " ",IF(INDEX($AM$2:$BM$1001,MATCH(ROWS($AF$2:AF947),$AF$2:$AF$1001,0),MATCH(COLUMNS($AM$1006:BB1006),$AM$1006:$BM$1006,0)), HYPERLINK("#",""), HYPERLINK(CONCATENATE("#metadata!", ADDRESS(INDEX($AH$2:$AH$1001,MATCH(ROWS($AF$2:AF947),$AF$2:$AF$1001,0),0), INDEX($AM$1004:$BM$1004,1,MATCH(COLUMNS($AM$1006:BB1006),$AM$1006:$BM$1006,0)))),"Fix")))</f>
        <v xml:space="preserve"> </v>
      </c>
      <c r="R947" s="4" t="str">
        <f ca="1">IF(OR(INDEX($AG$2:$AG$1001,MATCH(ROWS($AF$2:AF947),$AF$2:$AF$1001,0),1)&gt;=100000,INDEX($AM$1005:$BM$1005,1,MATCH(COLUMNS($AM$1006:BC1006),$AM$1006:$BM$1006,0))&gt;=100000), " ",IF(INDEX($AM$2:$BM$1001,MATCH(ROWS($AF$2:AF947),$AF$2:$AF$1001,0),MATCH(COLUMNS($AM$1006:BC1006),$AM$1006:$BM$1006,0)), HYPERLINK("#",""), HYPERLINK(CONCATENATE("#metadata!", ADDRESS(INDEX($AH$2:$AH$1001,MATCH(ROWS($AF$2:AF947),$AF$2:$AF$1001,0),0), INDEX($AM$1004:$BM$1004,1,MATCH(COLUMNS($AM$1006:BC1006),$AM$1006:$BM$1006,0)))),"Fix")))</f>
        <v xml:space="preserve"> </v>
      </c>
      <c r="S947" s="4" t="str">
        <f ca="1">IF(OR(INDEX($AG$2:$AG$1001,MATCH(ROWS($AF$2:AF947),$AF$2:$AF$1001,0),1)&gt;=100000,INDEX($AM$1005:$BM$1005,1,MATCH(COLUMNS($AM$1006:BD1006),$AM$1006:$BM$1006,0))&gt;=100000), " ",IF(INDEX($AM$2:$BM$1001,MATCH(ROWS($AF$2:AF947),$AF$2:$AF$1001,0),MATCH(COLUMNS($AM$1006:BD1006),$AM$1006:$BM$1006,0)), HYPERLINK("#",""), HYPERLINK(CONCATENATE("#metadata!", ADDRESS(INDEX($AH$2:$AH$1001,MATCH(ROWS($AF$2:AF947),$AF$2:$AF$1001,0),0), INDEX($AM$1004:$BM$1004,1,MATCH(COLUMNS($AM$1006:BD1006),$AM$1006:$BM$1006,0)))),"Fix")))</f>
        <v xml:space="preserve"> </v>
      </c>
      <c r="T947" s="4" t="str">
        <f ca="1">IF(OR(INDEX($AG$2:$AG$1001,MATCH(ROWS($AF$2:AF947),$AF$2:$AF$1001,0),1)&gt;=100000,INDEX($AM$1005:$BM$1005,1,MATCH(COLUMNS($AM$1006:BE1006),$AM$1006:$BM$1006,0))&gt;=100000), " ",IF(INDEX($AM$2:$BM$1001,MATCH(ROWS($AF$2:AF947),$AF$2:$AF$1001,0),MATCH(COLUMNS($AM$1006:BE1006),$AM$1006:$BM$1006,0)), HYPERLINK("#",""), HYPERLINK(CONCATENATE("#metadata!", ADDRESS(INDEX($AH$2:$AH$1001,MATCH(ROWS($AF$2:AF947),$AF$2:$AF$1001,0),0), INDEX($AM$1004:$BM$1004,1,MATCH(COLUMNS($AM$1006:BE1006),$AM$1006:$BM$1006,0)))),"Fix")))</f>
        <v xml:space="preserve"> </v>
      </c>
      <c r="U947" s="4" t="str">
        <f ca="1">IF(OR(INDEX($AG$2:$AG$1001,MATCH(ROWS($AF$2:AF947),$AF$2:$AF$1001,0),1)&gt;=100000,INDEX($AM$1005:$BM$1005,1,MATCH(COLUMNS($AM$1006:BF1006),$AM$1006:$BM$1006,0))&gt;=100000), " ",IF(INDEX($AM$2:$BM$1001,MATCH(ROWS($AF$2:AF947),$AF$2:$AF$1001,0),MATCH(COLUMNS($AM$1006:BF1006),$AM$1006:$BM$1006,0)), HYPERLINK("#",""), HYPERLINK(CONCATENATE("#metadata!", ADDRESS(INDEX($AH$2:$AH$1001,MATCH(ROWS($AF$2:AF947),$AF$2:$AF$1001,0),0), INDEX($AM$1004:$BM$1004,1,MATCH(COLUMNS($AM$1006:BF1006),$AM$1006:$BM$1006,0)))),"Fix")))</f>
        <v xml:space="preserve"> </v>
      </c>
      <c r="V947" s="4" t="str">
        <f ca="1">IF(OR(INDEX($AG$2:$AG$1001,MATCH(ROWS($AF$2:AF947),$AF$2:$AF$1001,0),1)&gt;=100000,INDEX($AM$1005:$BM$1005,1,MATCH(COLUMNS($AM$1006:BG1006),$AM$1006:$BM$1006,0))&gt;=100000), " ",IF(INDEX($AM$2:$BM$1001,MATCH(ROWS($AF$2:AF947),$AF$2:$AF$1001,0),MATCH(COLUMNS($AM$1006:BG1006),$AM$1006:$BM$1006,0)), HYPERLINK("#",""), HYPERLINK(CONCATENATE("#metadata!", ADDRESS(INDEX($AH$2:$AH$1001,MATCH(ROWS($AF$2:AF947),$AF$2:$AF$1001,0),0), INDEX($AM$1004:$BM$1004,1,MATCH(COLUMNS($AM$1006:BG1006),$AM$1006:$BM$1006,0)))),"Fix")))</f>
        <v xml:space="preserve"> </v>
      </c>
      <c r="W947" s="4" t="str">
        <f ca="1">IF(OR(INDEX($AG$2:$AG$1001,MATCH(ROWS($AF$2:AF947),$AF$2:$AF$1001,0),1)&gt;=100000,INDEX($AM$1005:$BM$1005,1,MATCH(COLUMNS($AM$1006:BH1006),$AM$1006:$BM$1006,0))&gt;=100000), " ",IF(INDEX($AM$2:$BM$1001,MATCH(ROWS($AF$2:AF947),$AF$2:$AF$1001,0),MATCH(COLUMNS($AM$1006:BH1006),$AM$1006:$BM$1006,0)), HYPERLINK("#",""), HYPERLINK(CONCATENATE("#metadata!", ADDRESS(INDEX($AH$2:$AH$1001,MATCH(ROWS($AF$2:AF947),$AF$2:$AF$1001,0),0), INDEX($AM$1004:$BM$1004,1,MATCH(COLUMNS($AM$1006:BH1006),$AM$1006:$BM$1006,0)))),"Fix")))</f>
        <v xml:space="preserve"> </v>
      </c>
      <c r="X947" s="4" t="str">
        <f ca="1">IF(OR(INDEX($AG$2:$AG$1001,MATCH(ROWS($AF$2:AF947),$AF$2:$AF$1001,0),1)&gt;=100000,INDEX($AM$1005:$BM$1005,1,MATCH(COLUMNS($AM$1006:BI1006),$AM$1006:$BM$1006,0))&gt;=100000), " ",IF(INDEX($AM$2:$BM$1001,MATCH(ROWS($AF$2:AF947),$AF$2:$AF$1001,0),MATCH(COLUMNS($AM$1006:BI1006),$AM$1006:$BM$1006,0)), HYPERLINK("#",""), HYPERLINK(CONCATENATE("#metadata!", ADDRESS(INDEX($AH$2:$AH$1001,MATCH(ROWS($AF$2:AF947),$AF$2:$AF$1001,0),0), INDEX($AM$1004:$BM$1004,1,MATCH(COLUMNS($AM$1006:BI1006),$AM$1006:$BM$1006,0)))),"Fix")))</f>
        <v xml:space="preserve"> </v>
      </c>
      <c r="Y947" s="4" t="str">
        <f ca="1">IF(OR(INDEX($AG$2:$AG$1001,MATCH(ROWS($AF$2:AF947),$AF$2:$AF$1001,0),1)&gt;=100000,INDEX($AM$1005:$BM$1005,1,MATCH(COLUMNS($AM$1006:BJ1006),$AM$1006:$BM$1006,0))&gt;=100000), " ",IF(INDEX($AM$2:$BM$1001,MATCH(ROWS($AF$2:AF947),$AF$2:$AF$1001,0),MATCH(COLUMNS($AM$1006:BJ1006),$AM$1006:$BM$1006,0)), HYPERLINK("#",""), HYPERLINK(CONCATENATE("#metadata!", ADDRESS(INDEX($AH$2:$AH$1001,MATCH(ROWS($AF$2:AF947),$AF$2:$AF$1001,0),0), INDEX($AM$1004:$BM$1004,1,MATCH(COLUMNS($AM$1006:BJ1006),$AM$1006:$BM$1006,0)))),"Fix")))</f>
        <v xml:space="preserve"> </v>
      </c>
      <c r="Z947" s="4" t="str">
        <f ca="1">IF(OR(INDEX($AG$2:$AG$1001,MATCH(ROWS($AF$2:AF947),$AF$2:$AF$1001,0),1)&gt;=100000,INDEX($AM$1005:$BM$1005,1,MATCH(COLUMNS($AM$1006:BK1006),$AM$1006:$BM$1006,0))&gt;=100000), " ",IF(INDEX($AM$2:$BM$1001,MATCH(ROWS($AF$2:AF947),$AF$2:$AF$1001,0),MATCH(COLUMNS($AM$1006:BK1006),$AM$1006:$BM$1006,0)), HYPERLINK("#",""), HYPERLINK(CONCATENATE("#metadata!", ADDRESS(INDEX($AH$2:$AH$1001,MATCH(ROWS($AF$2:AF947),$AF$2:$AF$1001,0),0), INDEX($AM$1004:$BM$1004,1,MATCH(COLUMNS($AM$1006:BK1006),$AM$1006:$BM$1006,0)))),"Fix")))</f>
        <v xml:space="preserve"> </v>
      </c>
      <c r="AA947" s="4" t="str">
        <f ca="1">IF(OR(INDEX($AG$2:$AG$1001,MATCH(ROWS($AF$2:AF947),$AF$2:$AF$1001,0),1)&gt;=100000,INDEX($AM$1005:$BM$1005,1,MATCH(COLUMNS($AM$1006:BL1006),$AM$1006:$BM$1006,0))&gt;=100000), " ",IF(INDEX($AM$2:$BM$1001,MATCH(ROWS($AF$2:AF947),$AF$2:$AF$1001,0),MATCH(COLUMNS($AM$1006:BL1006),$AM$1006:$BM$1006,0)), HYPERLINK("#",""), HYPERLINK(CONCATENATE("#metadata!", ADDRESS(INDEX($AH$2:$AH$1001,MATCH(ROWS($AF$2:AF947),$AF$2:$AF$1001,0),0), INDEX($AM$1004:$BM$1004,1,MATCH(COLUMNS($AM$1006:BL1006),$AM$1006:$BM$1006,0)))),"Fix")))</f>
        <v xml:space="preserve"> </v>
      </c>
      <c r="AB947" s="4" t="str">
        <f ca="1">IF(OR(INDEX($AG$2:$AG$1001,MATCH(ROWS($AF$2:AF947),$AF$2:$AF$1001,0),1)&gt;=100000,INDEX($AM$1005:$BM$1005,1,MATCH(COLUMNS($AM$1006:BM1006),$AM$1006:$BM$1006,0))&gt;=100000), " ",IF(INDEX($AM$2:$BM$1001,MATCH(ROWS($AF$2:AF947),$AF$2:$AF$1001,0),MATCH(COLUMNS($AM$1006:BM1006),$AM$1006:$BM$1006,0)), HYPERLINK("#",""), HYPERLINK(CONCATENATE("#metadata!", ADDRESS(INDEX($AH$2:$AH$1001,MATCH(ROWS($AF$2:AF947),$AF$2:$AF$1001,0),0), INDEX($AM$1004:$BM$1004,1,MATCH(COLUMNS($AM$1006:BM1006),$AM$1006:$BM$1006,0)))),"Fix")))</f>
        <v xml:space="preserve"> </v>
      </c>
      <c r="AF947">
        <v>946</v>
      </c>
      <c r="AG947">
        <v>100947</v>
      </c>
      <c r="AH947">
        <v>947</v>
      </c>
      <c r="AI947" t="b">
        <f t="shared" si="14"/>
        <v>1</v>
      </c>
      <c r="AJ947" t="b">
        <f>COUNTBLANK(metadata!B947:AB947)=COLUMNS(metadata!B947:AB947)</f>
        <v>1</v>
      </c>
      <c r="AK947" t="str">
        <v/>
      </c>
      <c r="AM947" t="b">
        <f ca="1">AND(IF(metadata!B947="",FALSE,TRUE),COUNTIF(metadata!B:B, metadata!B947) = 1,NOT(ISERROR(SUMPRODUCT(SEARCH(MID(metadata!B947,ROW(INDIRECT("1:"&amp;LEN(metadata!B947))), 1),"0123456789abcdefghijklmnopqrstuvwxyzABCDEFGHIJKLMNOPQRSTUVWXYZ.")))))</f>
        <v>0</v>
      </c>
      <c r="AN947" t="b">
        <f ca="1">OR(AND(IF(metadata!C947="",FALSE,TRUE),OR(EXACT(metadata!C947,"missing: not collected"),EXACT(metadata!C947,"missing: not provided"),EXACT(metadata!C947,"missing: restricted access"))),AND(IF(metadata!C947="",FALSE,TRUE),AND(AND(IFERROR(INT(LEFT(metadata!C947,4))&gt;1900,FALSE),IFERROR(INT(LEFT(metadata!C947,4))&lt;=YEAR(NOW()),FALSE)), OR(MID(metadata!C947,5,1)="", AND(AND(MID(metadata!C947,5,1)="-",IFERROR(INT(MID(metadata!C947,6,1))&gt;=0,FALSE),IFERROR(INT(MID(metadata!C947,6,1))&lt;=1,FALSE),NOT(MID(metadata!C947,7,1)=""),IFERROR(INT(MID(metadata!C947,6,2))&gt;=1,FALSE),IFERROR(INT(MID(metadata!C947,6,2))&lt;=12,FALSE)), OR(MID(metadata!C947,8,1)="", AND(AND(MID(metadata!C947,8,1)="-",IFERROR(INT(MID(metadata!C947,9,1))&gt;=0,FALSE),IFERROR(INT(MID(metadata!C947,9,1))&lt;=3,FALSE),NOT(MID(metadata!C947,10,1)=""),IFERROR(INT(MID(metadata!C947,9,2))&gt;=1,FALSE),IFERROR(INT(MID(metadata!C947,9,2))&lt;=31,FALSE)), OR(MID(metadata!C947,11,1)="", AND(AND(MID(metadata!C947,11,1)=" ",IFERROR(INT(MID(metadata!C947,12,1))&gt;=0,FALSE),IFERROR(INT(MID(metadata!C947,12,1))&lt;=2,FALSE),NOT(MID(metadata!C947,13,1)=""),IFERROR(INT(MID(metadata!C947,12,2))&gt;=0,FALSE),IFERROR(INT(MID(metadata!C947,12,2))&lt;=23,FALSE)), OR(MID(metadata!C947,14,1)="", AND(AND(MID(metadata!C947,14,1)=":",IFERROR(INT(MID(metadata!C947,15,1))&gt;=0,FALSE),IFERROR(INT(MID(metadata!C947,15,1))&lt;=5,FALSE),NOT(MID(metadata!C947,16,1)=""),IFERROR(INT(MID(metadata!C947,15,2))&gt;=0,FALSE),IFERROR(INT(MID(metadata!C947,15,2))&lt;=59,FALSE)), OR(MID(metadata!C947,17,1)="", AND(AND(MID(metadata!C947,17,1)=":",IFERROR(INT(MID(metadata!C947,18,1))&gt;=0,FALSE),IFERROR(INT(MID(metadata!C947,18,1))&lt;=5,FALSE),NOT(MID(metadata!C947,19,1)=""),IFERROR(INT(MID(metadata!C947,18,2))&gt;=0,FALSE),IFERROR(INT(MID(metadata!C947,18,2))&lt;=59,FALSE)), LEN(metadata!C947)&lt;=19)))))))))))))</f>
        <v>0</v>
      </c>
      <c r="AO947" t="b">
        <f>AND(IF(metadata!D947="",FALSE,TRUE),EXACT(metadata!D947,"Not applicable"))</f>
        <v>0</v>
      </c>
      <c r="AP947" t="b">
        <f>IF(metadata!E947="",FALSE,TRUE)</f>
        <v>0</v>
      </c>
      <c r="AQ947" t="b">
        <f>OR(AND(IF(metadata!F947="",FALSE,TRUE),OR(EXACT(metadata!F947,"missing: not collected"),EXACT(metadata!F947,"missing: not provided"))),AND(IF(metadata!F947="",FALSE,TRUE),OR(EXACT(metadata!F947,"TRUE"),EXACT(metadata!F947,"FALSE"))))</f>
        <v>0</v>
      </c>
      <c r="AR947" t="b">
        <f>OR(AND(IF(metadata!G947="",FALSE,TRUE),OR(EXACT(metadata!G947,"missing: not collected"),EXACT(metadata!G947,"missing: not provided"),EXACT(metadata!G947,"missing: restricted access"))),AND(IF(metadata!G947="",FALSE,ISNUMBER(VALUE(metadata!G947))),metadata!G947&gt;=-413))</f>
        <v>0</v>
      </c>
      <c r="AS947" t="b">
        <f>AND(IF(metadata!H947="",FALSE,TRUE),EXACT(metadata!H947,"meters"))</f>
        <v>0</v>
      </c>
      <c r="AT947" t="b">
        <f>AND(IF(metadata!I947="",FALSE,TRUE),OR(EXACT(metadata!I947,"Host-associated"),EXACT(metadata!I947,"Free-living")))</f>
        <v>0</v>
      </c>
      <c r="AU947" t="b">
        <f>AND(IF(metadata!J947="",FALSE,TRUE),OR(EXACT(metadata!J947,"Animal"),EXACT(metadata!J947,"Fungus"),EXACT(metadata!J947,"Plant"),EXACT(metadata!J947,"Saline"),EXACT(metadata!J947,"Non-saline")))</f>
        <v>0</v>
      </c>
      <c r="AV947" t="b">
        <f>AND(IF(metadata!K947="",FALSE,TRUE),OR(EXACT(metadata!K947,"Plant secretion"),EXACT(metadata!K947,"Plant rhizosphere"),EXACT(metadata!K947,"Plant surface"),EXACT(metadata!K947,"Plant corpus"),EXACT(metadata!K947,"Fungus surface"),EXACT(metadata!K947,"Fungus corpus"),EXACT(metadata!K947,"Animal surface"),EXACT(metadata!K947,"Animal proximal gut"),EXACT(metadata!K947,"Animal corpus"),EXACT(metadata!K947,"Animal distal gut"),EXACT(metadata!K947,"Animal secretion"),EXACT(metadata!K947,"Sub-surface (non-saline)"),EXACT(metadata!K947,"Surface (non-saline)"),EXACT(metadata!K947,"Water (non-saline)"),EXACT(metadata!K947,"Soil (non-saline)"),EXACT(metadata!K947,"Aerosol (non-saline)"),EXACT(metadata!K947,"Sediment (non-saline)"),EXACT(metadata!K947,"Surface (saline)"),EXACT(metadata!K947,"Water (saline)"),EXACT(metadata!K947,"Hypersaline (saline)"),EXACT(metadata!K947,"Aerosol (saline)"),EXACT(metadata!K947,"Sediment (saline)")))</f>
        <v>0</v>
      </c>
      <c r="AW947" t="b">
        <f>IF(metadata!L947="",FALSE,TRUE)</f>
        <v>0</v>
      </c>
      <c r="AX947" t="b">
        <f>IF(metadata!M947="",FALSE,TRUE)</f>
        <v>0</v>
      </c>
      <c r="AY947" t="b">
        <f>IF(metadata!N947="",FALSE,TRUE)</f>
        <v>0</v>
      </c>
      <c r="AZ947" t="b">
        <f>OR(AND(IF(metadata!O947="",FALSE,TRUE),OR(EXACT(metadata!O947,"missing: not collected"),EXACT(metadata!O947,"missing: not provided"),EXACT(metadata!O947,"missing: restricted access"))),AND(IF(metadata!O947="",FALSE,TRUE),OR(EXACT(metadata!O947,"air"),EXACT(metadata!O947,"built environment"),EXACT(metadata!O947,"host-associated"),EXACT(metadata!O947,"human-associated"),EXACT(metadata!O947,"human-skin"),EXACT(metadata!O947,"human-oral"),EXACT(metadata!O947,"human-gut"),EXACT(metadata!O947,"human-vaginal"),EXACT(metadata!O947,"microbial mat/biofilm"),EXACT(metadata!O947,"misc environment"),EXACT(metadata!O947,"plant-associated"),EXACT(metadata!O947,"sediment"),EXACT(metadata!O947,"soil"),EXACT(metadata!O947,"wastewater/sludge"),EXACT(metadata!O947,"water"))))</f>
        <v>0</v>
      </c>
      <c r="BA947" t="b">
        <f>IF(metadata!P947="",FALSE,TRUE)</f>
        <v>0</v>
      </c>
      <c r="BB947" t="b">
        <f>IF(metadata!Q947="",FALSE,TRUE)</f>
        <v>0</v>
      </c>
      <c r="BC947" t="b">
        <f>OR(AND(IF(metadata!R947="",FALSE,TRUE),OR(EXACT(metadata!R947,"missing: not collected"),EXACT(metadata!R947,"missing: not provided"),EXACT(metadata!R947,"missing: restricted access"))),AND(IF(metadata!R947="",FALSE,ISNUMBER(VALUE(metadata!R947))),metadata!R947&gt;=-90,metadata!R947&lt;=90))</f>
        <v>0</v>
      </c>
      <c r="BD947" t="b">
        <f>AND(IF(metadata!S947="",FALSE,TRUE),EXACT(metadata!S947,"Decimal degrees"))</f>
        <v>0</v>
      </c>
      <c r="BE947" t="b">
        <f>OR(AND(IF(metadata!T947="",FALSE,TRUE),OR(EXACT(metadata!T947,"missing: not collected"),EXACT(metadata!T947,"missing: not provided"),EXACT(metadata!T947,"missing: restricted access"))),AND(IF(metadata!T947="",FALSE,ISNUMBER(VALUE(metadata!T947))),metadata!T947&gt;=-180,metadata!T947&lt;=180))</f>
        <v>0</v>
      </c>
      <c r="BF947" t="b">
        <f>AND(IF(metadata!U947="",FALSE,TRUE),EXACT(metadata!U947,"Decimal degrees"))</f>
        <v>0</v>
      </c>
      <c r="BG947" t="b">
        <f>IF(metadata!V947="",FALSE,TRUE)</f>
        <v>0</v>
      </c>
      <c r="BH947" t="b">
        <f>OR(AND(IF(metadata!W947="",FALSE,TRUE),OR(EXACT(metadata!W947,"missing: not collected"),EXACT(metadata!W947,"missing: not provided"),EXACT(metadata!W947,"missing: restricted access"))),AND(IF(metadata!W947="",FALSE,TRUE),OR(EXACT(metadata!W947,"TRUE"),EXACT(metadata!W947,"FALSE"))))</f>
        <v>0</v>
      </c>
      <c r="BI947" t="b">
        <f>AND(IF(metadata!X947="",FALSE,TRUE),EXACT(metadata!X947,"other"))</f>
        <v>0</v>
      </c>
      <c r="BJ947" t="b">
        <f>IF(metadata!Y947="",FALSE,TRUE)</f>
        <v>0</v>
      </c>
      <c r="BK947" t="b">
        <f>OR(AND(IF(metadata!Z947="",FALSE,TRUE),OR(EXACT(metadata!Z947,"missing: not collected"),EXACT(metadata!Z947,"missing: not provided"))),AND(IF(metadata!Z947="",FALSE,IF(ISERROR(INT(metadata!Z947)),FALSE,INT(metadata!Z947)=metadata!Z947)),metadata!Z947&gt;0))</f>
        <v>0</v>
      </c>
      <c r="BL947" t="b">
        <f>AND(IF(metadata!AA947="",FALSE,TRUE),EXACT(metadata!AA947,"Not applicable"))</f>
        <v>0</v>
      </c>
      <c r="BM947" t="b">
        <f>IF(metadata!AB947="",FALSE,TRUE)</f>
        <v>0</v>
      </c>
    </row>
    <row r="948" spans="1:65" x14ac:dyDescent="0.2">
      <c r="A948" s="5" t="str">
        <f ca="1">IF(B948=" "," ",HYPERLINK(CONCATENATE("#metadata!",ADDRESS(INDEX($AH$2:$AH$1001,MATCH(ROWS($AF$2:AF948),$AF$2:$AF$1001,0),0),1)),INDEX($AK$2:$AK$1001,MATCH(ROWS($AF$2:AF948),$AF$2:$AF$1001,0),0)))</f>
        <v xml:space="preserve"> </v>
      </c>
      <c r="B948" s="4" t="str">
        <f ca="1">IF(OR(INDEX($AG$2:$AG$1001,MATCH(ROWS($AF$2:AF948),$AF$2:$AF$1001,0),1)&gt;=100000,INDEX($AM$1005:$BM$1005,1,MATCH(COLUMNS($AM$1006:AM1006),$AM$1006:$BM$1006,0))&gt;=100000), " ",IF(INDEX($AM$2:$BM$1001,MATCH(ROWS($AF$2:AF948),$AF$2:$AF$1001,0),MATCH(COLUMNS($AM$1006:AM1006),$AM$1006:$BM$1006,0)), HYPERLINK("#",""), HYPERLINK(CONCATENATE("#metadata!", ADDRESS(INDEX($AH$2:$AH$1001,MATCH(ROWS($AF$2:AF948),$AF$2:$AF$1001,0),0), INDEX($AM$1004:$BM$1004,1,MATCH(COLUMNS($AM$1006:AM1006),$AM$1006:$BM$1006,0)))),"Fix")))</f>
        <v xml:space="preserve"> </v>
      </c>
      <c r="C948" s="4" t="str">
        <f ca="1">IF(OR(INDEX($AG$2:$AG$1001,MATCH(ROWS($AF$2:AF948),$AF$2:$AF$1001,0),1)&gt;=100000,INDEX($AM$1005:$BM$1005,1,MATCH(COLUMNS($AM$1006:AN1006),$AM$1006:$BM$1006,0))&gt;=100000), " ",IF(INDEX($AM$2:$BM$1001,MATCH(ROWS($AF$2:AF948),$AF$2:$AF$1001,0),MATCH(COLUMNS($AM$1006:AN1006),$AM$1006:$BM$1006,0)), HYPERLINK("#",""), HYPERLINK(CONCATENATE("#metadata!", ADDRESS(INDEX($AH$2:$AH$1001,MATCH(ROWS($AF$2:AF948),$AF$2:$AF$1001,0),0), INDEX($AM$1004:$BM$1004,1,MATCH(COLUMNS($AM$1006:AN1006),$AM$1006:$BM$1006,0)))),"Fix")))</f>
        <v xml:space="preserve"> </v>
      </c>
      <c r="D948" s="4" t="str">
        <f ca="1">IF(OR(INDEX($AG$2:$AG$1001,MATCH(ROWS($AF$2:AF948),$AF$2:$AF$1001,0),1)&gt;=100000,INDEX($AM$1005:$BM$1005,1,MATCH(COLUMNS($AM$1006:AO1006),$AM$1006:$BM$1006,0))&gt;=100000), " ",IF(INDEX($AM$2:$BM$1001,MATCH(ROWS($AF$2:AF948),$AF$2:$AF$1001,0),MATCH(COLUMNS($AM$1006:AO1006),$AM$1006:$BM$1006,0)), HYPERLINK("#",""), HYPERLINK(CONCATENATE("#metadata!", ADDRESS(INDEX($AH$2:$AH$1001,MATCH(ROWS($AF$2:AF948),$AF$2:$AF$1001,0),0), INDEX($AM$1004:$BM$1004,1,MATCH(COLUMNS($AM$1006:AO1006),$AM$1006:$BM$1006,0)))),"Fix")))</f>
        <v xml:space="preserve"> </v>
      </c>
      <c r="E948" s="4" t="str">
        <f ca="1">IF(OR(INDEX($AG$2:$AG$1001,MATCH(ROWS($AF$2:AF948),$AF$2:$AF$1001,0),1)&gt;=100000,INDEX($AM$1005:$BM$1005,1,MATCH(COLUMNS($AM$1006:AP1006),$AM$1006:$BM$1006,0))&gt;=100000), " ",IF(INDEX($AM$2:$BM$1001,MATCH(ROWS($AF$2:AF948),$AF$2:$AF$1001,0),MATCH(COLUMNS($AM$1006:AP1006),$AM$1006:$BM$1006,0)), HYPERLINK("#",""), HYPERLINK(CONCATENATE("#metadata!", ADDRESS(INDEX($AH$2:$AH$1001,MATCH(ROWS($AF$2:AF948),$AF$2:$AF$1001,0),0), INDEX($AM$1004:$BM$1004,1,MATCH(COLUMNS($AM$1006:AP1006),$AM$1006:$BM$1006,0)))),"Fix")))</f>
        <v xml:space="preserve"> </v>
      </c>
      <c r="F948" s="4" t="str">
        <f ca="1">IF(OR(INDEX($AG$2:$AG$1001,MATCH(ROWS($AF$2:AF948),$AF$2:$AF$1001,0),1)&gt;=100000,INDEX($AM$1005:$BM$1005,1,MATCH(COLUMNS($AM$1006:AQ1006),$AM$1006:$BM$1006,0))&gt;=100000), " ",IF(INDEX($AM$2:$BM$1001,MATCH(ROWS($AF$2:AF948),$AF$2:$AF$1001,0),MATCH(COLUMNS($AM$1006:AQ1006),$AM$1006:$BM$1006,0)), HYPERLINK("#",""), HYPERLINK(CONCATENATE("#metadata!", ADDRESS(INDEX($AH$2:$AH$1001,MATCH(ROWS($AF$2:AF948),$AF$2:$AF$1001,0),0), INDEX($AM$1004:$BM$1004,1,MATCH(COLUMNS($AM$1006:AQ1006),$AM$1006:$BM$1006,0)))),"Fix")))</f>
        <v xml:space="preserve"> </v>
      </c>
      <c r="G948" s="4" t="str">
        <f ca="1">IF(OR(INDEX($AG$2:$AG$1001,MATCH(ROWS($AF$2:AF948),$AF$2:$AF$1001,0),1)&gt;=100000,INDEX($AM$1005:$BM$1005,1,MATCH(COLUMNS($AM$1006:AR1006),$AM$1006:$BM$1006,0))&gt;=100000), " ",IF(INDEX($AM$2:$BM$1001,MATCH(ROWS($AF$2:AF948),$AF$2:$AF$1001,0),MATCH(COLUMNS($AM$1006:AR1006),$AM$1006:$BM$1006,0)), HYPERLINK("#",""), HYPERLINK(CONCATENATE("#metadata!", ADDRESS(INDEX($AH$2:$AH$1001,MATCH(ROWS($AF$2:AF948),$AF$2:$AF$1001,0),0), INDEX($AM$1004:$BM$1004,1,MATCH(COLUMNS($AM$1006:AR1006),$AM$1006:$BM$1006,0)))),"Fix")))</f>
        <v xml:space="preserve"> </v>
      </c>
      <c r="H948" s="4" t="str">
        <f ca="1">IF(OR(INDEX($AG$2:$AG$1001,MATCH(ROWS($AF$2:AF948),$AF$2:$AF$1001,0),1)&gt;=100000,INDEX($AM$1005:$BM$1005,1,MATCH(COLUMNS($AM$1006:AS1006),$AM$1006:$BM$1006,0))&gt;=100000), " ",IF(INDEX($AM$2:$BM$1001,MATCH(ROWS($AF$2:AF948),$AF$2:$AF$1001,0),MATCH(COLUMNS($AM$1006:AS1006),$AM$1006:$BM$1006,0)), HYPERLINK("#",""), HYPERLINK(CONCATENATE("#metadata!", ADDRESS(INDEX($AH$2:$AH$1001,MATCH(ROWS($AF$2:AF948),$AF$2:$AF$1001,0),0), INDEX($AM$1004:$BM$1004,1,MATCH(COLUMNS($AM$1006:AS1006),$AM$1006:$BM$1006,0)))),"Fix")))</f>
        <v xml:space="preserve"> </v>
      </c>
      <c r="I948" s="4" t="str">
        <f ca="1">IF(OR(INDEX($AG$2:$AG$1001,MATCH(ROWS($AF$2:AF948),$AF$2:$AF$1001,0),1)&gt;=100000,INDEX($AM$1005:$BM$1005,1,MATCH(COLUMNS($AM$1006:AT1006),$AM$1006:$BM$1006,0))&gt;=100000), " ",IF(INDEX($AM$2:$BM$1001,MATCH(ROWS($AF$2:AF948),$AF$2:$AF$1001,0),MATCH(COLUMNS($AM$1006:AT1006),$AM$1006:$BM$1006,0)), HYPERLINK("#",""), HYPERLINK(CONCATENATE("#metadata!", ADDRESS(INDEX($AH$2:$AH$1001,MATCH(ROWS($AF$2:AF948),$AF$2:$AF$1001,0),0), INDEX($AM$1004:$BM$1004,1,MATCH(COLUMNS($AM$1006:AT1006),$AM$1006:$BM$1006,0)))),"Fix")))</f>
        <v xml:space="preserve"> </v>
      </c>
      <c r="J948" s="4" t="str">
        <f ca="1">IF(OR(INDEX($AG$2:$AG$1001,MATCH(ROWS($AF$2:AF948),$AF$2:$AF$1001,0),1)&gt;=100000,INDEX($AM$1005:$BM$1005,1,MATCH(COLUMNS($AM$1006:AU1006),$AM$1006:$BM$1006,0))&gt;=100000), " ",IF(INDEX($AM$2:$BM$1001,MATCH(ROWS($AF$2:AF948),$AF$2:$AF$1001,0),MATCH(COLUMNS($AM$1006:AU1006),$AM$1006:$BM$1006,0)), HYPERLINK("#",""), HYPERLINK(CONCATENATE("#metadata!", ADDRESS(INDEX($AH$2:$AH$1001,MATCH(ROWS($AF$2:AF948),$AF$2:$AF$1001,0),0), INDEX($AM$1004:$BM$1004,1,MATCH(COLUMNS($AM$1006:AU1006),$AM$1006:$BM$1006,0)))),"Fix")))</f>
        <v xml:space="preserve"> </v>
      </c>
      <c r="K948" s="4" t="str">
        <f ca="1">IF(OR(INDEX($AG$2:$AG$1001,MATCH(ROWS($AF$2:AF948),$AF$2:$AF$1001,0),1)&gt;=100000,INDEX($AM$1005:$BM$1005,1,MATCH(COLUMNS($AM$1006:AV1006),$AM$1006:$BM$1006,0))&gt;=100000), " ",IF(INDEX($AM$2:$BM$1001,MATCH(ROWS($AF$2:AF948),$AF$2:$AF$1001,0),MATCH(COLUMNS($AM$1006:AV1006),$AM$1006:$BM$1006,0)), HYPERLINK("#",""), HYPERLINK(CONCATENATE("#metadata!", ADDRESS(INDEX($AH$2:$AH$1001,MATCH(ROWS($AF$2:AF948),$AF$2:$AF$1001,0),0), INDEX($AM$1004:$BM$1004,1,MATCH(COLUMNS($AM$1006:AV1006),$AM$1006:$BM$1006,0)))),"Fix")))</f>
        <v xml:space="preserve"> </v>
      </c>
      <c r="L948" s="4" t="str">
        <f ca="1">IF(OR(INDEX($AG$2:$AG$1001,MATCH(ROWS($AF$2:AF948),$AF$2:$AF$1001,0),1)&gt;=100000,INDEX($AM$1005:$BM$1005,1,MATCH(COLUMNS($AM$1006:AW1006),$AM$1006:$BM$1006,0))&gt;=100000), " ",IF(INDEX($AM$2:$BM$1001,MATCH(ROWS($AF$2:AF948),$AF$2:$AF$1001,0),MATCH(COLUMNS($AM$1006:AW1006),$AM$1006:$BM$1006,0)), HYPERLINK("#",""), HYPERLINK(CONCATENATE("#metadata!", ADDRESS(INDEX($AH$2:$AH$1001,MATCH(ROWS($AF$2:AF948),$AF$2:$AF$1001,0),0), INDEX($AM$1004:$BM$1004,1,MATCH(COLUMNS($AM$1006:AW1006),$AM$1006:$BM$1006,0)))),"Fix")))</f>
        <v xml:space="preserve"> </v>
      </c>
      <c r="M948" s="4" t="str">
        <f ca="1">IF(OR(INDEX($AG$2:$AG$1001,MATCH(ROWS($AF$2:AF948),$AF$2:$AF$1001,0),1)&gt;=100000,INDEX($AM$1005:$BM$1005,1,MATCH(COLUMNS($AM$1006:AX1006),$AM$1006:$BM$1006,0))&gt;=100000), " ",IF(INDEX($AM$2:$BM$1001,MATCH(ROWS($AF$2:AF948),$AF$2:$AF$1001,0),MATCH(COLUMNS($AM$1006:AX1006),$AM$1006:$BM$1006,0)), HYPERLINK("#",""), HYPERLINK(CONCATENATE("#metadata!", ADDRESS(INDEX($AH$2:$AH$1001,MATCH(ROWS($AF$2:AF948),$AF$2:$AF$1001,0),0), INDEX($AM$1004:$BM$1004,1,MATCH(COLUMNS($AM$1006:AX1006),$AM$1006:$BM$1006,0)))),"Fix")))</f>
        <v xml:space="preserve"> </v>
      </c>
      <c r="N948" s="4" t="str">
        <f ca="1">IF(OR(INDEX($AG$2:$AG$1001,MATCH(ROWS($AF$2:AF948),$AF$2:$AF$1001,0),1)&gt;=100000,INDEX($AM$1005:$BM$1005,1,MATCH(COLUMNS($AM$1006:AY1006),$AM$1006:$BM$1006,0))&gt;=100000), " ",IF(INDEX($AM$2:$BM$1001,MATCH(ROWS($AF$2:AF948),$AF$2:$AF$1001,0),MATCH(COLUMNS($AM$1006:AY1006),$AM$1006:$BM$1006,0)), HYPERLINK("#",""), HYPERLINK(CONCATENATE("#metadata!", ADDRESS(INDEX($AH$2:$AH$1001,MATCH(ROWS($AF$2:AF948),$AF$2:$AF$1001,0),0), INDEX($AM$1004:$BM$1004,1,MATCH(COLUMNS($AM$1006:AY1006),$AM$1006:$BM$1006,0)))),"Fix")))</f>
        <v xml:space="preserve"> </v>
      </c>
      <c r="O948" s="4" t="str">
        <f ca="1">IF(OR(INDEX($AG$2:$AG$1001,MATCH(ROWS($AF$2:AF948),$AF$2:$AF$1001,0),1)&gt;=100000,INDEX($AM$1005:$BM$1005,1,MATCH(COLUMNS($AM$1006:AZ1006),$AM$1006:$BM$1006,0))&gt;=100000), " ",IF(INDEX($AM$2:$BM$1001,MATCH(ROWS($AF$2:AF948),$AF$2:$AF$1001,0),MATCH(COLUMNS($AM$1006:AZ1006),$AM$1006:$BM$1006,0)), HYPERLINK("#",""), HYPERLINK(CONCATENATE("#metadata!", ADDRESS(INDEX($AH$2:$AH$1001,MATCH(ROWS($AF$2:AF948),$AF$2:$AF$1001,0),0), INDEX($AM$1004:$BM$1004,1,MATCH(COLUMNS($AM$1006:AZ1006),$AM$1006:$BM$1006,0)))),"Fix")))</f>
        <v xml:space="preserve"> </v>
      </c>
      <c r="P948" s="4" t="str">
        <f ca="1">IF(OR(INDEX($AG$2:$AG$1001,MATCH(ROWS($AF$2:AF948),$AF$2:$AF$1001,0),1)&gt;=100000,INDEX($AM$1005:$BM$1005,1,MATCH(COLUMNS($AM$1006:BA1006),$AM$1006:$BM$1006,0))&gt;=100000), " ",IF(INDEX($AM$2:$BM$1001,MATCH(ROWS($AF$2:AF948),$AF$2:$AF$1001,0),MATCH(COLUMNS($AM$1006:BA1006),$AM$1006:$BM$1006,0)), HYPERLINK("#",""), HYPERLINK(CONCATENATE("#metadata!", ADDRESS(INDEX($AH$2:$AH$1001,MATCH(ROWS($AF$2:AF948),$AF$2:$AF$1001,0),0), INDEX($AM$1004:$BM$1004,1,MATCH(COLUMNS($AM$1006:BA1006),$AM$1006:$BM$1006,0)))),"Fix")))</f>
        <v xml:space="preserve"> </v>
      </c>
      <c r="Q948" s="4" t="str">
        <f ca="1">IF(OR(INDEX($AG$2:$AG$1001,MATCH(ROWS($AF$2:AF948),$AF$2:$AF$1001,0),1)&gt;=100000,INDEX($AM$1005:$BM$1005,1,MATCH(COLUMNS($AM$1006:BB1006),$AM$1006:$BM$1006,0))&gt;=100000), " ",IF(INDEX($AM$2:$BM$1001,MATCH(ROWS($AF$2:AF948),$AF$2:$AF$1001,0),MATCH(COLUMNS($AM$1006:BB1006),$AM$1006:$BM$1006,0)), HYPERLINK("#",""), HYPERLINK(CONCATENATE("#metadata!", ADDRESS(INDEX($AH$2:$AH$1001,MATCH(ROWS($AF$2:AF948),$AF$2:$AF$1001,0),0), INDEX($AM$1004:$BM$1004,1,MATCH(COLUMNS($AM$1006:BB1006),$AM$1006:$BM$1006,0)))),"Fix")))</f>
        <v xml:space="preserve"> </v>
      </c>
      <c r="R948" s="4" t="str">
        <f ca="1">IF(OR(INDEX($AG$2:$AG$1001,MATCH(ROWS($AF$2:AF948),$AF$2:$AF$1001,0),1)&gt;=100000,INDEX($AM$1005:$BM$1005,1,MATCH(COLUMNS($AM$1006:BC1006),$AM$1006:$BM$1006,0))&gt;=100000), " ",IF(INDEX($AM$2:$BM$1001,MATCH(ROWS($AF$2:AF948),$AF$2:$AF$1001,0),MATCH(COLUMNS($AM$1006:BC1006),$AM$1006:$BM$1006,0)), HYPERLINK("#",""), HYPERLINK(CONCATENATE("#metadata!", ADDRESS(INDEX($AH$2:$AH$1001,MATCH(ROWS($AF$2:AF948),$AF$2:$AF$1001,0),0), INDEX($AM$1004:$BM$1004,1,MATCH(COLUMNS($AM$1006:BC1006),$AM$1006:$BM$1006,0)))),"Fix")))</f>
        <v xml:space="preserve"> </v>
      </c>
      <c r="S948" s="4" t="str">
        <f ca="1">IF(OR(INDEX($AG$2:$AG$1001,MATCH(ROWS($AF$2:AF948),$AF$2:$AF$1001,0),1)&gt;=100000,INDEX($AM$1005:$BM$1005,1,MATCH(COLUMNS($AM$1006:BD1006),$AM$1006:$BM$1006,0))&gt;=100000), " ",IF(INDEX($AM$2:$BM$1001,MATCH(ROWS($AF$2:AF948),$AF$2:$AF$1001,0),MATCH(COLUMNS($AM$1006:BD1006),$AM$1006:$BM$1006,0)), HYPERLINK("#",""), HYPERLINK(CONCATENATE("#metadata!", ADDRESS(INDEX($AH$2:$AH$1001,MATCH(ROWS($AF$2:AF948),$AF$2:$AF$1001,0),0), INDEX($AM$1004:$BM$1004,1,MATCH(COLUMNS($AM$1006:BD1006),$AM$1006:$BM$1006,0)))),"Fix")))</f>
        <v xml:space="preserve"> </v>
      </c>
      <c r="T948" s="4" t="str">
        <f ca="1">IF(OR(INDEX($AG$2:$AG$1001,MATCH(ROWS($AF$2:AF948),$AF$2:$AF$1001,0),1)&gt;=100000,INDEX($AM$1005:$BM$1005,1,MATCH(COLUMNS($AM$1006:BE1006),$AM$1006:$BM$1006,0))&gt;=100000), " ",IF(INDEX($AM$2:$BM$1001,MATCH(ROWS($AF$2:AF948),$AF$2:$AF$1001,0),MATCH(COLUMNS($AM$1006:BE1006),$AM$1006:$BM$1006,0)), HYPERLINK("#",""), HYPERLINK(CONCATENATE("#metadata!", ADDRESS(INDEX($AH$2:$AH$1001,MATCH(ROWS($AF$2:AF948),$AF$2:$AF$1001,0),0), INDEX($AM$1004:$BM$1004,1,MATCH(COLUMNS($AM$1006:BE1006),$AM$1006:$BM$1006,0)))),"Fix")))</f>
        <v xml:space="preserve"> </v>
      </c>
      <c r="U948" s="4" t="str">
        <f ca="1">IF(OR(INDEX($AG$2:$AG$1001,MATCH(ROWS($AF$2:AF948),$AF$2:$AF$1001,0),1)&gt;=100000,INDEX($AM$1005:$BM$1005,1,MATCH(COLUMNS($AM$1006:BF1006),$AM$1006:$BM$1006,0))&gt;=100000), " ",IF(INDEX($AM$2:$BM$1001,MATCH(ROWS($AF$2:AF948),$AF$2:$AF$1001,0),MATCH(COLUMNS($AM$1006:BF1006),$AM$1006:$BM$1006,0)), HYPERLINK("#",""), HYPERLINK(CONCATENATE("#metadata!", ADDRESS(INDEX($AH$2:$AH$1001,MATCH(ROWS($AF$2:AF948),$AF$2:$AF$1001,0),0), INDEX($AM$1004:$BM$1004,1,MATCH(COLUMNS($AM$1006:BF1006),$AM$1006:$BM$1006,0)))),"Fix")))</f>
        <v xml:space="preserve"> </v>
      </c>
      <c r="V948" s="4" t="str">
        <f ca="1">IF(OR(INDEX($AG$2:$AG$1001,MATCH(ROWS($AF$2:AF948),$AF$2:$AF$1001,0),1)&gt;=100000,INDEX($AM$1005:$BM$1005,1,MATCH(COLUMNS($AM$1006:BG1006),$AM$1006:$BM$1006,0))&gt;=100000), " ",IF(INDEX($AM$2:$BM$1001,MATCH(ROWS($AF$2:AF948),$AF$2:$AF$1001,0),MATCH(COLUMNS($AM$1006:BG1006),$AM$1006:$BM$1006,0)), HYPERLINK("#",""), HYPERLINK(CONCATENATE("#metadata!", ADDRESS(INDEX($AH$2:$AH$1001,MATCH(ROWS($AF$2:AF948),$AF$2:$AF$1001,0),0), INDEX($AM$1004:$BM$1004,1,MATCH(COLUMNS($AM$1006:BG1006),$AM$1006:$BM$1006,0)))),"Fix")))</f>
        <v xml:space="preserve"> </v>
      </c>
      <c r="W948" s="4" t="str">
        <f ca="1">IF(OR(INDEX($AG$2:$AG$1001,MATCH(ROWS($AF$2:AF948),$AF$2:$AF$1001,0),1)&gt;=100000,INDEX($AM$1005:$BM$1005,1,MATCH(COLUMNS($AM$1006:BH1006),$AM$1006:$BM$1006,0))&gt;=100000), " ",IF(INDEX($AM$2:$BM$1001,MATCH(ROWS($AF$2:AF948),$AF$2:$AF$1001,0),MATCH(COLUMNS($AM$1006:BH1006),$AM$1006:$BM$1006,0)), HYPERLINK("#",""), HYPERLINK(CONCATENATE("#metadata!", ADDRESS(INDEX($AH$2:$AH$1001,MATCH(ROWS($AF$2:AF948),$AF$2:$AF$1001,0),0), INDEX($AM$1004:$BM$1004,1,MATCH(COLUMNS($AM$1006:BH1006),$AM$1006:$BM$1006,0)))),"Fix")))</f>
        <v xml:space="preserve"> </v>
      </c>
      <c r="X948" s="4" t="str">
        <f ca="1">IF(OR(INDEX($AG$2:$AG$1001,MATCH(ROWS($AF$2:AF948),$AF$2:$AF$1001,0),1)&gt;=100000,INDEX($AM$1005:$BM$1005,1,MATCH(COLUMNS($AM$1006:BI1006),$AM$1006:$BM$1006,0))&gt;=100000), " ",IF(INDEX($AM$2:$BM$1001,MATCH(ROWS($AF$2:AF948),$AF$2:$AF$1001,0),MATCH(COLUMNS($AM$1006:BI1006),$AM$1006:$BM$1006,0)), HYPERLINK("#",""), HYPERLINK(CONCATENATE("#metadata!", ADDRESS(INDEX($AH$2:$AH$1001,MATCH(ROWS($AF$2:AF948),$AF$2:$AF$1001,0),0), INDEX($AM$1004:$BM$1004,1,MATCH(COLUMNS($AM$1006:BI1006),$AM$1006:$BM$1006,0)))),"Fix")))</f>
        <v xml:space="preserve"> </v>
      </c>
      <c r="Y948" s="4" t="str">
        <f ca="1">IF(OR(INDEX($AG$2:$AG$1001,MATCH(ROWS($AF$2:AF948),$AF$2:$AF$1001,0),1)&gt;=100000,INDEX($AM$1005:$BM$1005,1,MATCH(COLUMNS($AM$1006:BJ1006),$AM$1006:$BM$1006,0))&gt;=100000), " ",IF(INDEX($AM$2:$BM$1001,MATCH(ROWS($AF$2:AF948),$AF$2:$AF$1001,0),MATCH(COLUMNS($AM$1006:BJ1006),$AM$1006:$BM$1006,0)), HYPERLINK("#",""), HYPERLINK(CONCATENATE("#metadata!", ADDRESS(INDEX($AH$2:$AH$1001,MATCH(ROWS($AF$2:AF948),$AF$2:$AF$1001,0),0), INDEX($AM$1004:$BM$1004,1,MATCH(COLUMNS($AM$1006:BJ1006),$AM$1006:$BM$1006,0)))),"Fix")))</f>
        <v xml:space="preserve"> </v>
      </c>
      <c r="Z948" s="4" t="str">
        <f ca="1">IF(OR(INDEX($AG$2:$AG$1001,MATCH(ROWS($AF$2:AF948),$AF$2:$AF$1001,0),1)&gt;=100000,INDEX($AM$1005:$BM$1005,1,MATCH(COLUMNS($AM$1006:BK1006),$AM$1006:$BM$1006,0))&gt;=100000), " ",IF(INDEX($AM$2:$BM$1001,MATCH(ROWS($AF$2:AF948),$AF$2:$AF$1001,0),MATCH(COLUMNS($AM$1006:BK1006),$AM$1006:$BM$1006,0)), HYPERLINK("#",""), HYPERLINK(CONCATENATE("#metadata!", ADDRESS(INDEX($AH$2:$AH$1001,MATCH(ROWS($AF$2:AF948),$AF$2:$AF$1001,0),0), INDEX($AM$1004:$BM$1004,1,MATCH(COLUMNS($AM$1006:BK1006),$AM$1006:$BM$1006,0)))),"Fix")))</f>
        <v xml:space="preserve"> </v>
      </c>
      <c r="AA948" s="4" t="str">
        <f ca="1">IF(OR(INDEX($AG$2:$AG$1001,MATCH(ROWS($AF$2:AF948),$AF$2:$AF$1001,0),1)&gt;=100000,INDEX($AM$1005:$BM$1005,1,MATCH(COLUMNS($AM$1006:BL1006),$AM$1006:$BM$1006,0))&gt;=100000), " ",IF(INDEX($AM$2:$BM$1001,MATCH(ROWS($AF$2:AF948),$AF$2:$AF$1001,0),MATCH(COLUMNS($AM$1006:BL1006),$AM$1006:$BM$1006,0)), HYPERLINK("#",""), HYPERLINK(CONCATENATE("#metadata!", ADDRESS(INDEX($AH$2:$AH$1001,MATCH(ROWS($AF$2:AF948),$AF$2:$AF$1001,0),0), INDEX($AM$1004:$BM$1004,1,MATCH(COLUMNS($AM$1006:BL1006),$AM$1006:$BM$1006,0)))),"Fix")))</f>
        <v xml:space="preserve"> </v>
      </c>
      <c r="AB948" s="4" t="str">
        <f ca="1">IF(OR(INDEX($AG$2:$AG$1001,MATCH(ROWS($AF$2:AF948),$AF$2:$AF$1001,0),1)&gt;=100000,INDEX($AM$1005:$BM$1005,1,MATCH(COLUMNS($AM$1006:BM1006),$AM$1006:$BM$1006,0))&gt;=100000), " ",IF(INDEX($AM$2:$BM$1001,MATCH(ROWS($AF$2:AF948),$AF$2:$AF$1001,0),MATCH(COLUMNS($AM$1006:BM1006),$AM$1006:$BM$1006,0)), HYPERLINK("#",""), HYPERLINK(CONCATENATE("#metadata!", ADDRESS(INDEX($AH$2:$AH$1001,MATCH(ROWS($AF$2:AF948),$AF$2:$AF$1001,0),0), INDEX($AM$1004:$BM$1004,1,MATCH(COLUMNS($AM$1006:BM1006),$AM$1006:$BM$1006,0)))),"Fix")))</f>
        <v xml:space="preserve"> </v>
      </c>
      <c r="AF948">
        <v>947</v>
      </c>
      <c r="AG948">
        <v>100948</v>
      </c>
      <c r="AH948">
        <v>948</v>
      </c>
      <c r="AI948" t="b">
        <f t="shared" si="14"/>
        <v>1</v>
      </c>
      <c r="AJ948" t="b">
        <f>COUNTBLANK(metadata!B948:AB948)=COLUMNS(metadata!B948:AB948)</f>
        <v>1</v>
      </c>
      <c r="AK948" t="str">
        <v/>
      </c>
      <c r="AM948" t="b">
        <f ca="1">AND(IF(metadata!B948="",FALSE,TRUE),COUNTIF(metadata!B:B, metadata!B948) = 1,NOT(ISERROR(SUMPRODUCT(SEARCH(MID(metadata!B948,ROW(INDIRECT("1:"&amp;LEN(metadata!B948))), 1),"0123456789abcdefghijklmnopqrstuvwxyzABCDEFGHIJKLMNOPQRSTUVWXYZ.")))))</f>
        <v>0</v>
      </c>
      <c r="AN948" t="b">
        <f ca="1">OR(AND(IF(metadata!C948="",FALSE,TRUE),OR(EXACT(metadata!C948,"missing: not collected"),EXACT(metadata!C948,"missing: not provided"),EXACT(metadata!C948,"missing: restricted access"))),AND(IF(metadata!C948="",FALSE,TRUE),AND(AND(IFERROR(INT(LEFT(metadata!C948,4))&gt;1900,FALSE),IFERROR(INT(LEFT(metadata!C948,4))&lt;=YEAR(NOW()),FALSE)), OR(MID(metadata!C948,5,1)="", AND(AND(MID(metadata!C948,5,1)="-",IFERROR(INT(MID(metadata!C948,6,1))&gt;=0,FALSE),IFERROR(INT(MID(metadata!C948,6,1))&lt;=1,FALSE),NOT(MID(metadata!C948,7,1)=""),IFERROR(INT(MID(metadata!C948,6,2))&gt;=1,FALSE),IFERROR(INT(MID(metadata!C948,6,2))&lt;=12,FALSE)), OR(MID(metadata!C948,8,1)="", AND(AND(MID(metadata!C948,8,1)="-",IFERROR(INT(MID(metadata!C948,9,1))&gt;=0,FALSE),IFERROR(INT(MID(metadata!C948,9,1))&lt;=3,FALSE),NOT(MID(metadata!C948,10,1)=""),IFERROR(INT(MID(metadata!C948,9,2))&gt;=1,FALSE),IFERROR(INT(MID(metadata!C948,9,2))&lt;=31,FALSE)), OR(MID(metadata!C948,11,1)="", AND(AND(MID(metadata!C948,11,1)=" ",IFERROR(INT(MID(metadata!C948,12,1))&gt;=0,FALSE),IFERROR(INT(MID(metadata!C948,12,1))&lt;=2,FALSE),NOT(MID(metadata!C948,13,1)=""),IFERROR(INT(MID(metadata!C948,12,2))&gt;=0,FALSE),IFERROR(INT(MID(metadata!C948,12,2))&lt;=23,FALSE)), OR(MID(metadata!C948,14,1)="", AND(AND(MID(metadata!C948,14,1)=":",IFERROR(INT(MID(metadata!C948,15,1))&gt;=0,FALSE),IFERROR(INT(MID(metadata!C948,15,1))&lt;=5,FALSE),NOT(MID(metadata!C948,16,1)=""),IFERROR(INT(MID(metadata!C948,15,2))&gt;=0,FALSE),IFERROR(INT(MID(metadata!C948,15,2))&lt;=59,FALSE)), OR(MID(metadata!C948,17,1)="", AND(AND(MID(metadata!C948,17,1)=":",IFERROR(INT(MID(metadata!C948,18,1))&gt;=0,FALSE),IFERROR(INT(MID(metadata!C948,18,1))&lt;=5,FALSE),NOT(MID(metadata!C948,19,1)=""),IFERROR(INT(MID(metadata!C948,18,2))&gt;=0,FALSE),IFERROR(INT(MID(metadata!C948,18,2))&lt;=59,FALSE)), LEN(metadata!C948)&lt;=19)))))))))))))</f>
        <v>0</v>
      </c>
      <c r="AO948" t="b">
        <f>AND(IF(metadata!D948="",FALSE,TRUE),EXACT(metadata!D948,"Not applicable"))</f>
        <v>0</v>
      </c>
      <c r="AP948" t="b">
        <f>IF(metadata!E948="",FALSE,TRUE)</f>
        <v>0</v>
      </c>
      <c r="AQ948" t="b">
        <f>OR(AND(IF(metadata!F948="",FALSE,TRUE),OR(EXACT(metadata!F948,"missing: not collected"),EXACT(metadata!F948,"missing: not provided"))),AND(IF(metadata!F948="",FALSE,TRUE),OR(EXACT(metadata!F948,"TRUE"),EXACT(metadata!F948,"FALSE"))))</f>
        <v>0</v>
      </c>
      <c r="AR948" t="b">
        <f>OR(AND(IF(metadata!G948="",FALSE,TRUE),OR(EXACT(metadata!G948,"missing: not collected"),EXACT(metadata!G948,"missing: not provided"),EXACT(metadata!G948,"missing: restricted access"))),AND(IF(metadata!G948="",FALSE,ISNUMBER(VALUE(metadata!G948))),metadata!G948&gt;=-413))</f>
        <v>0</v>
      </c>
      <c r="AS948" t="b">
        <f>AND(IF(metadata!H948="",FALSE,TRUE),EXACT(metadata!H948,"meters"))</f>
        <v>0</v>
      </c>
      <c r="AT948" t="b">
        <f>AND(IF(metadata!I948="",FALSE,TRUE),OR(EXACT(metadata!I948,"Host-associated"),EXACT(metadata!I948,"Free-living")))</f>
        <v>0</v>
      </c>
      <c r="AU948" t="b">
        <f>AND(IF(metadata!J948="",FALSE,TRUE),OR(EXACT(metadata!J948,"Animal"),EXACT(metadata!J948,"Fungus"),EXACT(metadata!J948,"Plant"),EXACT(metadata!J948,"Saline"),EXACT(metadata!J948,"Non-saline")))</f>
        <v>0</v>
      </c>
      <c r="AV948" t="b">
        <f>AND(IF(metadata!K948="",FALSE,TRUE),OR(EXACT(metadata!K948,"Plant secretion"),EXACT(metadata!K948,"Plant rhizosphere"),EXACT(metadata!K948,"Plant surface"),EXACT(metadata!K948,"Plant corpus"),EXACT(metadata!K948,"Fungus surface"),EXACT(metadata!K948,"Fungus corpus"),EXACT(metadata!K948,"Animal surface"),EXACT(metadata!K948,"Animal proximal gut"),EXACT(metadata!K948,"Animal corpus"),EXACT(metadata!K948,"Animal distal gut"),EXACT(metadata!K948,"Animal secretion"),EXACT(metadata!K948,"Sub-surface (non-saline)"),EXACT(metadata!K948,"Surface (non-saline)"),EXACT(metadata!K948,"Water (non-saline)"),EXACT(metadata!K948,"Soil (non-saline)"),EXACT(metadata!K948,"Aerosol (non-saline)"),EXACT(metadata!K948,"Sediment (non-saline)"),EXACT(metadata!K948,"Surface (saline)"),EXACT(metadata!K948,"Water (saline)"),EXACT(metadata!K948,"Hypersaline (saline)"),EXACT(metadata!K948,"Aerosol (saline)"),EXACT(metadata!K948,"Sediment (saline)")))</f>
        <v>0</v>
      </c>
      <c r="AW948" t="b">
        <f>IF(metadata!L948="",FALSE,TRUE)</f>
        <v>0</v>
      </c>
      <c r="AX948" t="b">
        <f>IF(metadata!M948="",FALSE,TRUE)</f>
        <v>0</v>
      </c>
      <c r="AY948" t="b">
        <f>IF(metadata!N948="",FALSE,TRUE)</f>
        <v>0</v>
      </c>
      <c r="AZ948" t="b">
        <f>OR(AND(IF(metadata!O948="",FALSE,TRUE),OR(EXACT(metadata!O948,"missing: not collected"),EXACT(metadata!O948,"missing: not provided"),EXACT(metadata!O948,"missing: restricted access"))),AND(IF(metadata!O948="",FALSE,TRUE),OR(EXACT(metadata!O948,"air"),EXACT(metadata!O948,"built environment"),EXACT(metadata!O948,"host-associated"),EXACT(metadata!O948,"human-associated"),EXACT(metadata!O948,"human-skin"),EXACT(metadata!O948,"human-oral"),EXACT(metadata!O948,"human-gut"),EXACT(metadata!O948,"human-vaginal"),EXACT(metadata!O948,"microbial mat/biofilm"),EXACT(metadata!O948,"misc environment"),EXACT(metadata!O948,"plant-associated"),EXACT(metadata!O948,"sediment"),EXACT(metadata!O948,"soil"),EXACT(metadata!O948,"wastewater/sludge"),EXACT(metadata!O948,"water"))))</f>
        <v>0</v>
      </c>
      <c r="BA948" t="b">
        <f>IF(metadata!P948="",FALSE,TRUE)</f>
        <v>0</v>
      </c>
      <c r="BB948" t="b">
        <f>IF(metadata!Q948="",FALSE,TRUE)</f>
        <v>0</v>
      </c>
      <c r="BC948" t="b">
        <f>OR(AND(IF(metadata!R948="",FALSE,TRUE),OR(EXACT(metadata!R948,"missing: not collected"),EXACT(metadata!R948,"missing: not provided"),EXACT(metadata!R948,"missing: restricted access"))),AND(IF(metadata!R948="",FALSE,ISNUMBER(VALUE(metadata!R948))),metadata!R948&gt;=-90,metadata!R948&lt;=90))</f>
        <v>0</v>
      </c>
      <c r="BD948" t="b">
        <f>AND(IF(metadata!S948="",FALSE,TRUE),EXACT(metadata!S948,"Decimal degrees"))</f>
        <v>0</v>
      </c>
      <c r="BE948" t="b">
        <f>OR(AND(IF(metadata!T948="",FALSE,TRUE),OR(EXACT(metadata!T948,"missing: not collected"),EXACT(metadata!T948,"missing: not provided"),EXACT(metadata!T948,"missing: restricted access"))),AND(IF(metadata!T948="",FALSE,ISNUMBER(VALUE(metadata!T948))),metadata!T948&gt;=-180,metadata!T948&lt;=180))</f>
        <v>0</v>
      </c>
      <c r="BF948" t="b">
        <f>AND(IF(metadata!U948="",FALSE,TRUE),EXACT(metadata!U948,"Decimal degrees"))</f>
        <v>0</v>
      </c>
      <c r="BG948" t="b">
        <f>IF(metadata!V948="",FALSE,TRUE)</f>
        <v>0</v>
      </c>
      <c r="BH948" t="b">
        <f>OR(AND(IF(metadata!W948="",FALSE,TRUE),OR(EXACT(metadata!W948,"missing: not collected"),EXACT(metadata!W948,"missing: not provided"),EXACT(metadata!W948,"missing: restricted access"))),AND(IF(metadata!W948="",FALSE,TRUE),OR(EXACT(metadata!W948,"TRUE"),EXACT(metadata!W948,"FALSE"))))</f>
        <v>0</v>
      </c>
      <c r="BI948" t="b">
        <f>AND(IF(metadata!X948="",FALSE,TRUE),EXACT(metadata!X948,"other"))</f>
        <v>0</v>
      </c>
      <c r="BJ948" t="b">
        <f>IF(metadata!Y948="",FALSE,TRUE)</f>
        <v>0</v>
      </c>
      <c r="BK948" t="b">
        <f>OR(AND(IF(metadata!Z948="",FALSE,TRUE),OR(EXACT(metadata!Z948,"missing: not collected"),EXACT(metadata!Z948,"missing: not provided"))),AND(IF(metadata!Z948="",FALSE,IF(ISERROR(INT(metadata!Z948)),FALSE,INT(metadata!Z948)=metadata!Z948)),metadata!Z948&gt;0))</f>
        <v>0</v>
      </c>
      <c r="BL948" t="b">
        <f>AND(IF(metadata!AA948="",FALSE,TRUE),EXACT(metadata!AA948,"Not applicable"))</f>
        <v>0</v>
      </c>
      <c r="BM948" t="b">
        <f>IF(metadata!AB948="",FALSE,TRUE)</f>
        <v>0</v>
      </c>
    </row>
    <row r="949" spans="1:65" x14ac:dyDescent="0.2">
      <c r="A949" s="5" t="str">
        <f ca="1">IF(B949=" "," ",HYPERLINK(CONCATENATE("#metadata!",ADDRESS(INDEX($AH$2:$AH$1001,MATCH(ROWS($AF$2:AF949),$AF$2:$AF$1001,0),0),1)),INDEX($AK$2:$AK$1001,MATCH(ROWS($AF$2:AF949),$AF$2:$AF$1001,0),0)))</f>
        <v xml:space="preserve"> </v>
      </c>
      <c r="B949" s="4" t="str">
        <f ca="1">IF(OR(INDEX($AG$2:$AG$1001,MATCH(ROWS($AF$2:AF949),$AF$2:$AF$1001,0),1)&gt;=100000,INDEX($AM$1005:$BM$1005,1,MATCH(COLUMNS($AM$1006:AM1006),$AM$1006:$BM$1006,0))&gt;=100000), " ",IF(INDEX($AM$2:$BM$1001,MATCH(ROWS($AF$2:AF949),$AF$2:$AF$1001,0),MATCH(COLUMNS($AM$1006:AM1006),$AM$1006:$BM$1006,0)), HYPERLINK("#",""), HYPERLINK(CONCATENATE("#metadata!", ADDRESS(INDEX($AH$2:$AH$1001,MATCH(ROWS($AF$2:AF949),$AF$2:$AF$1001,0),0), INDEX($AM$1004:$BM$1004,1,MATCH(COLUMNS($AM$1006:AM1006),$AM$1006:$BM$1006,0)))),"Fix")))</f>
        <v xml:space="preserve"> </v>
      </c>
      <c r="C949" s="4" t="str">
        <f ca="1">IF(OR(INDEX($AG$2:$AG$1001,MATCH(ROWS($AF$2:AF949),$AF$2:$AF$1001,0),1)&gt;=100000,INDEX($AM$1005:$BM$1005,1,MATCH(COLUMNS($AM$1006:AN1006),$AM$1006:$BM$1006,0))&gt;=100000), " ",IF(INDEX($AM$2:$BM$1001,MATCH(ROWS($AF$2:AF949),$AF$2:$AF$1001,0),MATCH(COLUMNS($AM$1006:AN1006),$AM$1006:$BM$1006,0)), HYPERLINK("#",""), HYPERLINK(CONCATENATE("#metadata!", ADDRESS(INDEX($AH$2:$AH$1001,MATCH(ROWS($AF$2:AF949),$AF$2:$AF$1001,0),0), INDEX($AM$1004:$BM$1004,1,MATCH(COLUMNS($AM$1006:AN1006),$AM$1006:$BM$1006,0)))),"Fix")))</f>
        <v xml:space="preserve"> </v>
      </c>
      <c r="D949" s="4" t="str">
        <f ca="1">IF(OR(INDEX($AG$2:$AG$1001,MATCH(ROWS($AF$2:AF949),$AF$2:$AF$1001,0),1)&gt;=100000,INDEX($AM$1005:$BM$1005,1,MATCH(COLUMNS($AM$1006:AO1006),$AM$1006:$BM$1006,0))&gt;=100000), " ",IF(INDEX($AM$2:$BM$1001,MATCH(ROWS($AF$2:AF949),$AF$2:$AF$1001,0),MATCH(COLUMNS($AM$1006:AO1006),$AM$1006:$BM$1006,0)), HYPERLINK("#",""), HYPERLINK(CONCATENATE("#metadata!", ADDRESS(INDEX($AH$2:$AH$1001,MATCH(ROWS($AF$2:AF949),$AF$2:$AF$1001,0),0), INDEX($AM$1004:$BM$1004,1,MATCH(COLUMNS($AM$1006:AO1006),$AM$1006:$BM$1006,0)))),"Fix")))</f>
        <v xml:space="preserve"> </v>
      </c>
      <c r="E949" s="4" t="str">
        <f ca="1">IF(OR(INDEX($AG$2:$AG$1001,MATCH(ROWS($AF$2:AF949),$AF$2:$AF$1001,0),1)&gt;=100000,INDEX($AM$1005:$BM$1005,1,MATCH(COLUMNS($AM$1006:AP1006),$AM$1006:$BM$1006,0))&gt;=100000), " ",IF(INDEX($AM$2:$BM$1001,MATCH(ROWS($AF$2:AF949),$AF$2:$AF$1001,0),MATCH(COLUMNS($AM$1006:AP1006),$AM$1006:$BM$1006,0)), HYPERLINK("#",""), HYPERLINK(CONCATENATE("#metadata!", ADDRESS(INDEX($AH$2:$AH$1001,MATCH(ROWS($AF$2:AF949),$AF$2:$AF$1001,0),0), INDEX($AM$1004:$BM$1004,1,MATCH(COLUMNS($AM$1006:AP1006),$AM$1006:$BM$1006,0)))),"Fix")))</f>
        <v xml:space="preserve"> </v>
      </c>
      <c r="F949" s="4" t="str">
        <f ca="1">IF(OR(INDEX($AG$2:$AG$1001,MATCH(ROWS($AF$2:AF949),$AF$2:$AF$1001,0),1)&gt;=100000,INDEX($AM$1005:$BM$1005,1,MATCH(COLUMNS($AM$1006:AQ1006),$AM$1006:$BM$1006,0))&gt;=100000), " ",IF(INDEX($AM$2:$BM$1001,MATCH(ROWS($AF$2:AF949),$AF$2:$AF$1001,0),MATCH(COLUMNS($AM$1006:AQ1006),$AM$1006:$BM$1006,0)), HYPERLINK("#",""), HYPERLINK(CONCATENATE("#metadata!", ADDRESS(INDEX($AH$2:$AH$1001,MATCH(ROWS($AF$2:AF949),$AF$2:$AF$1001,0),0), INDEX($AM$1004:$BM$1004,1,MATCH(COLUMNS($AM$1006:AQ1006),$AM$1006:$BM$1006,0)))),"Fix")))</f>
        <v xml:space="preserve"> </v>
      </c>
      <c r="G949" s="4" t="str">
        <f ca="1">IF(OR(INDEX($AG$2:$AG$1001,MATCH(ROWS($AF$2:AF949),$AF$2:$AF$1001,0),1)&gt;=100000,INDEX($AM$1005:$BM$1005,1,MATCH(COLUMNS($AM$1006:AR1006),$AM$1006:$BM$1006,0))&gt;=100000), " ",IF(INDEX($AM$2:$BM$1001,MATCH(ROWS($AF$2:AF949),$AF$2:$AF$1001,0),MATCH(COLUMNS($AM$1006:AR1006),$AM$1006:$BM$1006,0)), HYPERLINK("#",""), HYPERLINK(CONCATENATE("#metadata!", ADDRESS(INDEX($AH$2:$AH$1001,MATCH(ROWS($AF$2:AF949),$AF$2:$AF$1001,0),0), INDEX($AM$1004:$BM$1004,1,MATCH(COLUMNS($AM$1006:AR1006),$AM$1006:$BM$1006,0)))),"Fix")))</f>
        <v xml:space="preserve"> </v>
      </c>
      <c r="H949" s="4" t="str">
        <f ca="1">IF(OR(INDEX($AG$2:$AG$1001,MATCH(ROWS($AF$2:AF949),$AF$2:$AF$1001,0),1)&gt;=100000,INDEX($AM$1005:$BM$1005,1,MATCH(COLUMNS($AM$1006:AS1006),$AM$1006:$BM$1006,0))&gt;=100000), " ",IF(INDEX($AM$2:$BM$1001,MATCH(ROWS($AF$2:AF949),$AF$2:$AF$1001,0),MATCH(COLUMNS($AM$1006:AS1006),$AM$1006:$BM$1006,0)), HYPERLINK("#",""), HYPERLINK(CONCATENATE("#metadata!", ADDRESS(INDEX($AH$2:$AH$1001,MATCH(ROWS($AF$2:AF949),$AF$2:$AF$1001,0),0), INDEX($AM$1004:$BM$1004,1,MATCH(COLUMNS($AM$1006:AS1006),$AM$1006:$BM$1006,0)))),"Fix")))</f>
        <v xml:space="preserve"> </v>
      </c>
      <c r="I949" s="4" t="str">
        <f ca="1">IF(OR(INDEX($AG$2:$AG$1001,MATCH(ROWS($AF$2:AF949),$AF$2:$AF$1001,0),1)&gt;=100000,INDEX($AM$1005:$BM$1005,1,MATCH(COLUMNS($AM$1006:AT1006),$AM$1006:$BM$1006,0))&gt;=100000), " ",IF(INDEX($AM$2:$BM$1001,MATCH(ROWS($AF$2:AF949),$AF$2:$AF$1001,0),MATCH(COLUMNS($AM$1006:AT1006),$AM$1006:$BM$1006,0)), HYPERLINK("#",""), HYPERLINK(CONCATENATE("#metadata!", ADDRESS(INDEX($AH$2:$AH$1001,MATCH(ROWS($AF$2:AF949),$AF$2:$AF$1001,0),0), INDEX($AM$1004:$BM$1004,1,MATCH(COLUMNS($AM$1006:AT1006),$AM$1006:$BM$1006,0)))),"Fix")))</f>
        <v xml:space="preserve"> </v>
      </c>
      <c r="J949" s="4" t="str">
        <f ca="1">IF(OR(INDEX($AG$2:$AG$1001,MATCH(ROWS($AF$2:AF949),$AF$2:$AF$1001,0),1)&gt;=100000,INDEX($AM$1005:$BM$1005,1,MATCH(COLUMNS($AM$1006:AU1006),$AM$1006:$BM$1006,0))&gt;=100000), " ",IF(INDEX($AM$2:$BM$1001,MATCH(ROWS($AF$2:AF949),$AF$2:$AF$1001,0),MATCH(COLUMNS($AM$1006:AU1006),$AM$1006:$BM$1006,0)), HYPERLINK("#",""), HYPERLINK(CONCATENATE("#metadata!", ADDRESS(INDEX($AH$2:$AH$1001,MATCH(ROWS($AF$2:AF949),$AF$2:$AF$1001,0),0), INDEX($AM$1004:$BM$1004,1,MATCH(COLUMNS($AM$1006:AU1006),$AM$1006:$BM$1006,0)))),"Fix")))</f>
        <v xml:space="preserve"> </v>
      </c>
      <c r="K949" s="4" t="str">
        <f ca="1">IF(OR(INDEX($AG$2:$AG$1001,MATCH(ROWS($AF$2:AF949),$AF$2:$AF$1001,0),1)&gt;=100000,INDEX($AM$1005:$BM$1005,1,MATCH(COLUMNS($AM$1006:AV1006),$AM$1006:$BM$1006,0))&gt;=100000), " ",IF(INDEX($AM$2:$BM$1001,MATCH(ROWS($AF$2:AF949),$AF$2:$AF$1001,0),MATCH(COLUMNS($AM$1006:AV1006),$AM$1006:$BM$1006,0)), HYPERLINK("#",""), HYPERLINK(CONCATENATE("#metadata!", ADDRESS(INDEX($AH$2:$AH$1001,MATCH(ROWS($AF$2:AF949),$AF$2:$AF$1001,0),0), INDEX($AM$1004:$BM$1004,1,MATCH(COLUMNS($AM$1006:AV1006),$AM$1006:$BM$1006,0)))),"Fix")))</f>
        <v xml:space="preserve"> </v>
      </c>
      <c r="L949" s="4" t="str">
        <f ca="1">IF(OR(INDEX($AG$2:$AG$1001,MATCH(ROWS($AF$2:AF949),$AF$2:$AF$1001,0),1)&gt;=100000,INDEX($AM$1005:$BM$1005,1,MATCH(COLUMNS($AM$1006:AW1006),$AM$1006:$BM$1006,0))&gt;=100000), " ",IF(INDEX($AM$2:$BM$1001,MATCH(ROWS($AF$2:AF949),$AF$2:$AF$1001,0),MATCH(COLUMNS($AM$1006:AW1006),$AM$1006:$BM$1006,0)), HYPERLINK("#",""), HYPERLINK(CONCATENATE("#metadata!", ADDRESS(INDEX($AH$2:$AH$1001,MATCH(ROWS($AF$2:AF949),$AF$2:$AF$1001,0),0), INDEX($AM$1004:$BM$1004,1,MATCH(COLUMNS($AM$1006:AW1006),$AM$1006:$BM$1006,0)))),"Fix")))</f>
        <v xml:space="preserve"> </v>
      </c>
      <c r="M949" s="4" t="str">
        <f ca="1">IF(OR(INDEX($AG$2:$AG$1001,MATCH(ROWS($AF$2:AF949),$AF$2:$AF$1001,0),1)&gt;=100000,INDEX($AM$1005:$BM$1005,1,MATCH(COLUMNS($AM$1006:AX1006),$AM$1006:$BM$1006,0))&gt;=100000), " ",IF(INDEX($AM$2:$BM$1001,MATCH(ROWS($AF$2:AF949),$AF$2:$AF$1001,0),MATCH(COLUMNS($AM$1006:AX1006),$AM$1006:$BM$1006,0)), HYPERLINK("#",""), HYPERLINK(CONCATENATE("#metadata!", ADDRESS(INDEX($AH$2:$AH$1001,MATCH(ROWS($AF$2:AF949),$AF$2:$AF$1001,0),0), INDEX($AM$1004:$BM$1004,1,MATCH(COLUMNS($AM$1006:AX1006),$AM$1006:$BM$1006,0)))),"Fix")))</f>
        <v xml:space="preserve"> </v>
      </c>
      <c r="N949" s="4" t="str">
        <f ca="1">IF(OR(INDEX($AG$2:$AG$1001,MATCH(ROWS($AF$2:AF949),$AF$2:$AF$1001,0),1)&gt;=100000,INDEX($AM$1005:$BM$1005,1,MATCH(COLUMNS($AM$1006:AY1006),$AM$1006:$BM$1006,0))&gt;=100000), " ",IF(INDEX($AM$2:$BM$1001,MATCH(ROWS($AF$2:AF949),$AF$2:$AF$1001,0),MATCH(COLUMNS($AM$1006:AY1006),$AM$1006:$BM$1006,0)), HYPERLINK("#",""), HYPERLINK(CONCATENATE("#metadata!", ADDRESS(INDEX($AH$2:$AH$1001,MATCH(ROWS($AF$2:AF949),$AF$2:$AF$1001,0),0), INDEX($AM$1004:$BM$1004,1,MATCH(COLUMNS($AM$1006:AY1006),$AM$1006:$BM$1006,0)))),"Fix")))</f>
        <v xml:space="preserve"> </v>
      </c>
      <c r="O949" s="4" t="str">
        <f ca="1">IF(OR(INDEX($AG$2:$AG$1001,MATCH(ROWS($AF$2:AF949),$AF$2:$AF$1001,0),1)&gt;=100000,INDEX($AM$1005:$BM$1005,1,MATCH(COLUMNS($AM$1006:AZ1006),$AM$1006:$BM$1006,0))&gt;=100000), " ",IF(INDEX($AM$2:$BM$1001,MATCH(ROWS($AF$2:AF949),$AF$2:$AF$1001,0),MATCH(COLUMNS($AM$1006:AZ1006),$AM$1006:$BM$1006,0)), HYPERLINK("#",""), HYPERLINK(CONCATENATE("#metadata!", ADDRESS(INDEX($AH$2:$AH$1001,MATCH(ROWS($AF$2:AF949),$AF$2:$AF$1001,0),0), INDEX($AM$1004:$BM$1004,1,MATCH(COLUMNS($AM$1006:AZ1006),$AM$1006:$BM$1006,0)))),"Fix")))</f>
        <v xml:space="preserve"> </v>
      </c>
      <c r="P949" s="4" t="str">
        <f ca="1">IF(OR(INDEX($AG$2:$AG$1001,MATCH(ROWS($AF$2:AF949),$AF$2:$AF$1001,0),1)&gt;=100000,INDEX($AM$1005:$BM$1005,1,MATCH(COLUMNS($AM$1006:BA1006),$AM$1006:$BM$1006,0))&gt;=100000), " ",IF(INDEX($AM$2:$BM$1001,MATCH(ROWS($AF$2:AF949),$AF$2:$AF$1001,0),MATCH(COLUMNS($AM$1006:BA1006),$AM$1006:$BM$1006,0)), HYPERLINK("#",""), HYPERLINK(CONCATENATE("#metadata!", ADDRESS(INDEX($AH$2:$AH$1001,MATCH(ROWS($AF$2:AF949),$AF$2:$AF$1001,0),0), INDEX($AM$1004:$BM$1004,1,MATCH(COLUMNS($AM$1006:BA1006),$AM$1006:$BM$1006,0)))),"Fix")))</f>
        <v xml:space="preserve"> </v>
      </c>
      <c r="Q949" s="4" t="str">
        <f ca="1">IF(OR(INDEX($AG$2:$AG$1001,MATCH(ROWS($AF$2:AF949),$AF$2:$AF$1001,0),1)&gt;=100000,INDEX($AM$1005:$BM$1005,1,MATCH(COLUMNS($AM$1006:BB1006),$AM$1006:$BM$1006,0))&gt;=100000), " ",IF(INDEX($AM$2:$BM$1001,MATCH(ROWS($AF$2:AF949),$AF$2:$AF$1001,0),MATCH(COLUMNS($AM$1006:BB1006),$AM$1006:$BM$1006,0)), HYPERLINK("#",""), HYPERLINK(CONCATENATE("#metadata!", ADDRESS(INDEX($AH$2:$AH$1001,MATCH(ROWS($AF$2:AF949),$AF$2:$AF$1001,0),0), INDEX($AM$1004:$BM$1004,1,MATCH(COLUMNS($AM$1006:BB1006),$AM$1006:$BM$1006,0)))),"Fix")))</f>
        <v xml:space="preserve"> </v>
      </c>
      <c r="R949" s="4" t="str">
        <f ca="1">IF(OR(INDEX($AG$2:$AG$1001,MATCH(ROWS($AF$2:AF949),$AF$2:$AF$1001,0),1)&gt;=100000,INDEX($AM$1005:$BM$1005,1,MATCH(COLUMNS($AM$1006:BC1006),$AM$1006:$BM$1006,0))&gt;=100000), " ",IF(INDEX($AM$2:$BM$1001,MATCH(ROWS($AF$2:AF949),$AF$2:$AF$1001,0),MATCH(COLUMNS($AM$1006:BC1006),$AM$1006:$BM$1006,0)), HYPERLINK("#",""), HYPERLINK(CONCATENATE("#metadata!", ADDRESS(INDEX($AH$2:$AH$1001,MATCH(ROWS($AF$2:AF949),$AF$2:$AF$1001,0),0), INDEX($AM$1004:$BM$1004,1,MATCH(COLUMNS($AM$1006:BC1006),$AM$1006:$BM$1006,0)))),"Fix")))</f>
        <v xml:space="preserve"> </v>
      </c>
      <c r="S949" s="4" t="str">
        <f ca="1">IF(OR(INDEX($AG$2:$AG$1001,MATCH(ROWS($AF$2:AF949),$AF$2:$AF$1001,0),1)&gt;=100000,INDEX($AM$1005:$BM$1005,1,MATCH(COLUMNS($AM$1006:BD1006),$AM$1006:$BM$1006,0))&gt;=100000), " ",IF(INDEX($AM$2:$BM$1001,MATCH(ROWS($AF$2:AF949),$AF$2:$AF$1001,0),MATCH(COLUMNS($AM$1006:BD1006),$AM$1006:$BM$1006,0)), HYPERLINK("#",""), HYPERLINK(CONCATENATE("#metadata!", ADDRESS(INDEX($AH$2:$AH$1001,MATCH(ROWS($AF$2:AF949),$AF$2:$AF$1001,0),0), INDEX($AM$1004:$BM$1004,1,MATCH(COLUMNS($AM$1006:BD1006),$AM$1006:$BM$1006,0)))),"Fix")))</f>
        <v xml:space="preserve"> </v>
      </c>
      <c r="T949" s="4" t="str">
        <f ca="1">IF(OR(INDEX($AG$2:$AG$1001,MATCH(ROWS($AF$2:AF949),$AF$2:$AF$1001,0),1)&gt;=100000,INDEX($AM$1005:$BM$1005,1,MATCH(COLUMNS($AM$1006:BE1006),$AM$1006:$BM$1006,0))&gt;=100000), " ",IF(INDEX($AM$2:$BM$1001,MATCH(ROWS($AF$2:AF949),$AF$2:$AF$1001,0),MATCH(COLUMNS($AM$1006:BE1006),$AM$1006:$BM$1006,0)), HYPERLINK("#",""), HYPERLINK(CONCATENATE("#metadata!", ADDRESS(INDEX($AH$2:$AH$1001,MATCH(ROWS($AF$2:AF949),$AF$2:$AF$1001,0),0), INDEX($AM$1004:$BM$1004,1,MATCH(COLUMNS($AM$1006:BE1006),$AM$1006:$BM$1006,0)))),"Fix")))</f>
        <v xml:space="preserve"> </v>
      </c>
      <c r="U949" s="4" t="str">
        <f ca="1">IF(OR(INDEX($AG$2:$AG$1001,MATCH(ROWS($AF$2:AF949),$AF$2:$AF$1001,0),1)&gt;=100000,INDEX($AM$1005:$BM$1005,1,MATCH(COLUMNS($AM$1006:BF1006),$AM$1006:$BM$1006,0))&gt;=100000), " ",IF(INDEX($AM$2:$BM$1001,MATCH(ROWS($AF$2:AF949),$AF$2:$AF$1001,0),MATCH(COLUMNS($AM$1006:BF1006),$AM$1006:$BM$1006,0)), HYPERLINK("#",""), HYPERLINK(CONCATENATE("#metadata!", ADDRESS(INDEX($AH$2:$AH$1001,MATCH(ROWS($AF$2:AF949),$AF$2:$AF$1001,0),0), INDEX($AM$1004:$BM$1004,1,MATCH(COLUMNS($AM$1006:BF1006),$AM$1006:$BM$1006,0)))),"Fix")))</f>
        <v xml:space="preserve"> </v>
      </c>
      <c r="V949" s="4" t="str">
        <f ca="1">IF(OR(INDEX($AG$2:$AG$1001,MATCH(ROWS($AF$2:AF949),$AF$2:$AF$1001,0),1)&gt;=100000,INDEX($AM$1005:$BM$1005,1,MATCH(COLUMNS($AM$1006:BG1006),$AM$1006:$BM$1006,0))&gt;=100000), " ",IF(INDEX($AM$2:$BM$1001,MATCH(ROWS($AF$2:AF949),$AF$2:$AF$1001,0),MATCH(COLUMNS($AM$1006:BG1006),$AM$1006:$BM$1006,0)), HYPERLINK("#",""), HYPERLINK(CONCATENATE("#metadata!", ADDRESS(INDEX($AH$2:$AH$1001,MATCH(ROWS($AF$2:AF949),$AF$2:$AF$1001,0),0), INDEX($AM$1004:$BM$1004,1,MATCH(COLUMNS($AM$1006:BG1006),$AM$1006:$BM$1006,0)))),"Fix")))</f>
        <v xml:space="preserve"> </v>
      </c>
      <c r="W949" s="4" t="str">
        <f ca="1">IF(OR(INDEX($AG$2:$AG$1001,MATCH(ROWS($AF$2:AF949),$AF$2:$AF$1001,0),1)&gt;=100000,INDEX($AM$1005:$BM$1005,1,MATCH(COLUMNS($AM$1006:BH1006),$AM$1006:$BM$1006,0))&gt;=100000), " ",IF(INDEX($AM$2:$BM$1001,MATCH(ROWS($AF$2:AF949),$AF$2:$AF$1001,0),MATCH(COLUMNS($AM$1006:BH1006),$AM$1006:$BM$1006,0)), HYPERLINK("#",""), HYPERLINK(CONCATENATE("#metadata!", ADDRESS(INDEX($AH$2:$AH$1001,MATCH(ROWS($AF$2:AF949),$AF$2:$AF$1001,0),0), INDEX($AM$1004:$BM$1004,1,MATCH(COLUMNS($AM$1006:BH1006),$AM$1006:$BM$1006,0)))),"Fix")))</f>
        <v xml:space="preserve"> </v>
      </c>
      <c r="X949" s="4" t="str">
        <f ca="1">IF(OR(INDEX($AG$2:$AG$1001,MATCH(ROWS($AF$2:AF949),$AF$2:$AF$1001,0),1)&gt;=100000,INDEX($AM$1005:$BM$1005,1,MATCH(COLUMNS($AM$1006:BI1006),$AM$1006:$BM$1006,0))&gt;=100000), " ",IF(INDEX($AM$2:$BM$1001,MATCH(ROWS($AF$2:AF949),$AF$2:$AF$1001,0),MATCH(COLUMNS($AM$1006:BI1006),$AM$1006:$BM$1006,0)), HYPERLINK("#",""), HYPERLINK(CONCATENATE("#metadata!", ADDRESS(INDEX($AH$2:$AH$1001,MATCH(ROWS($AF$2:AF949),$AF$2:$AF$1001,0),0), INDEX($AM$1004:$BM$1004,1,MATCH(COLUMNS($AM$1006:BI1006),$AM$1006:$BM$1006,0)))),"Fix")))</f>
        <v xml:space="preserve"> </v>
      </c>
      <c r="Y949" s="4" t="str">
        <f ca="1">IF(OR(INDEX($AG$2:$AG$1001,MATCH(ROWS($AF$2:AF949),$AF$2:$AF$1001,0),1)&gt;=100000,INDEX($AM$1005:$BM$1005,1,MATCH(COLUMNS($AM$1006:BJ1006),$AM$1006:$BM$1006,0))&gt;=100000), " ",IF(INDEX($AM$2:$BM$1001,MATCH(ROWS($AF$2:AF949),$AF$2:$AF$1001,0),MATCH(COLUMNS($AM$1006:BJ1006),$AM$1006:$BM$1006,0)), HYPERLINK("#",""), HYPERLINK(CONCATENATE("#metadata!", ADDRESS(INDEX($AH$2:$AH$1001,MATCH(ROWS($AF$2:AF949),$AF$2:$AF$1001,0),0), INDEX($AM$1004:$BM$1004,1,MATCH(COLUMNS($AM$1006:BJ1006),$AM$1006:$BM$1006,0)))),"Fix")))</f>
        <v xml:space="preserve"> </v>
      </c>
      <c r="Z949" s="4" t="str">
        <f ca="1">IF(OR(INDEX($AG$2:$AG$1001,MATCH(ROWS($AF$2:AF949),$AF$2:$AF$1001,0),1)&gt;=100000,INDEX($AM$1005:$BM$1005,1,MATCH(COLUMNS($AM$1006:BK1006),$AM$1006:$BM$1006,0))&gt;=100000), " ",IF(INDEX($AM$2:$BM$1001,MATCH(ROWS($AF$2:AF949),$AF$2:$AF$1001,0),MATCH(COLUMNS($AM$1006:BK1006),$AM$1006:$BM$1006,0)), HYPERLINK("#",""), HYPERLINK(CONCATENATE("#metadata!", ADDRESS(INDEX($AH$2:$AH$1001,MATCH(ROWS($AF$2:AF949),$AF$2:$AF$1001,0),0), INDEX($AM$1004:$BM$1004,1,MATCH(COLUMNS($AM$1006:BK1006),$AM$1006:$BM$1006,0)))),"Fix")))</f>
        <v xml:space="preserve"> </v>
      </c>
      <c r="AA949" s="4" t="str">
        <f ca="1">IF(OR(INDEX($AG$2:$AG$1001,MATCH(ROWS($AF$2:AF949),$AF$2:$AF$1001,0),1)&gt;=100000,INDEX($AM$1005:$BM$1005,1,MATCH(COLUMNS($AM$1006:BL1006),$AM$1006:$BM$1006,0))&gt;=100000), " ",IF(INDEX($AM$2:$BM$1001,MATCH(ROWS($AF$2:AF949),$AF$2:$AF$1001,0),MATCH(COLUMNS($AM$1006:BL1006),$AM$1006:$BM$1006,0)), HYPERLINK("#",""), HYPERLINK(CONCATENATE("#metadata!", ADDRESS(INDEX($AH$2:$AH$1001,MATCH(ROWS($AF$2:AF949),$AF$2:$AF$1001,0),0), INDEX($AM$1004:$BM$1004,1,MATCH(COLUMNS($AM$1006:BL1006),$AM$1006:$BM$1006,0)))),"Fix")))</f>
        <v xml:space="preserve"> </v>
      </c>
      <c r="AB949" s="4" t="str">
        <f ca="1">IF(OR(INDEX($AG$2:$AG$1001,MATCH(ROWS($AF$2:AF949),$AF$2:$AF$1001,0),1)&gt;=100000,INDEX($AM$1005:$BM$1005,1,MATCH(COLUMNS($AM$1006:BM1006),$AM$1006:$BM$1006,0))&gt;=100000), " ",IF(INDEX($AM$2:$BM$1001,MATCH(ROWS($AF$2:AF949),$AF$2:$AF$1001,0),MATCH(COLUMNS($AM$1006:BM1006),$AM$1006:$BM$1006,0)), HYPERLINK("#",""), HYPERLINK(CONCATENATE("#metadata!", ADDRESS(INDEX($AH$2:$AH$1001,MATCH(ROWS($AF$2:AF949),$AF$2:$AF$1001,0),0), INDEX($AM$1004:$BM$1004,1,MATCH(COLUMNS($AM$1006:BM1006),$AM$1006:$BM$1006,0)))),"Fix")))</f>
        <v xml:space="preserve"> </v>
      </c>
      <c r="AF949">
        <v>948</v>
      </c>
      <c r="AG949">
        <v>100949</v>
      </c>
      <c r="AH949">
        <v>949</v>
      </c>
      <c r="AI949" t="b">
        <f t="shared" si="14"/>
        <v>1</v>
      </c>
      <c r="AJ949" t="b">
        <f>COUNTBLANK(metadata!B949:AB949)=COLUMNS(metadata!B949:AB949)</f>
        <v>1</v>
      </c>
      <c r="AK949" t="str">
        <v/>
      </c>
      <c r="AM949" t="b">
        <f ca="1">AND(IF(metadata!B949="",FALSE,TRUE),COUNTIF(metadata!B:B, metadata!B949) = 1,NOT(ISERROR(SUMPRODUCT(SEARCH(MID(metadata!B949,ROW(INDIRECT("1:"&amp;LEN(metadata!B949))), 1),"0123456789abcdefghijklmnopqrstuvwxyzABCDEFGHIJKLMNOPQRSTUVWXYZ.")))))</f>
        <v>0</v>
      </c>
      <c r="AN949" t="b">
        <f ca="1">OR(AND(IF(metadata!C949="",FALSE,TRUE),OR(EXACT(metadata!C949,"missing: not collected"),EXACT(metadata!C949,"missing: not provided"),EXACT(metadata!C949,"missing: restricted access"))),AND(IF(metadata!C949="",FALSE,TRUE),AND(AND(IFERROR(INT(LEFT(metadata!C949,4))&gt;1900,FALSE),IFERROR(INT(LEFT(metadata!C949,4))&lt;=YEAR(NOW()),FALSE)), OR(MID(metadata!C949,5,1)="", AND(AND(MID(metadata!C949,5,1)="-",IFERROR(INT(MID(metadata!C949,6,1))&gt;=0,FALSE),IFERROR(INT(MID(metadata!C949,6,1))&lt;=1,FALSE),NOT(MID(metadata!C949,7,1)=""),IFERROR(INT(MID(metadata!C949,6,2))&gt;=1,FALSE),IFERROR(INT(MID(metadata!C949,6,2))&lt;=12,FALSE)), OR(MID(metadata!C949,8,1)="", AND(AND(MID(metadata!C949,8,1)="-",IFERROR(INT(MID(metadata!C949,9,1))&gt;=0,FALSE),IFERROR(INT(MID(metadata!C949,9,1))&lt;=3,FALSE),NOT(MID(metadata!C949,10,1)=""),IFERROR(INT(MID(metadata!C949,9,2))&gt;=1,FALSE),IFERROR(INT(MID(metadata!C949,9,2))&lt;=31,FALSE)), OR(MID(metadata!C949,11,1)="", AND(AND(MID(metadata!C949,11,1)=" ",IFERROR(INT(MID(metadata!C949,12,1))&gt;=0,FALSE),IFERROR(INT(MID(metadata!C949,12,1))&lt;=2,FALSE),NOT(MID(metadata!C949,13,1)=""),IFERROR(INT(MID(metadata!C949,12,2))&gt;=0,FALSE),IFERROR(INT(MID(metadata!C949,12,2))&lt;=23,FALSE)), OR(MID(metadata!C949,14,1)="", AND(AND(MID(metadata!C949,14,1)=":",IFERROR(INT(MID(metadata!C949,15,1))&gt;=0,FALSE),IFERROR(INT(MID(metadata!C949,15,1))&lt;=5,FALSE),NOT(MID(metadata!C949,16,1)=""),IFERROR(INT(MID(metadata!C949,15,2))&gt;=0,FALSE),IFERROR(INT(MID(metadata!C949,15,2))&lt;=59,FALSE)), OR(MID(metadata!C949,17,1)="", AND(AND(MID(metadata!C949,17,1)=":",IFERROR(INT(MID(metadata!C949,18,1))&gt;=0,FALSE),IFERROR(INT(MID(metadata!C949,18,1))&lt;=5,FALSE),NOT(MID(metadata!C949,19,1)=""),IFERROR(INT(MID(metadata!C949,18,2))&gt;=0,FALSE),IFERROR(INT(MID(metadata!C949,18,2))&lt;=59,FALSE)), LEN(metadata!C949)&lt;=19)))))))))))))</f>
        <v>0</v>
      </c>
      <c r="AO949" t="b">
        <f>AND(IF(metadata!D949="",FALSE,TRUE),EXACT(metadata!D949,"Not applicable"))</f>
        <v>0</v>
      </c>
      <c r="AP949" t="b">
        <f>IF(metadata!E949="",FALSE,TRUE)</f>
        <v>0</v>
      </c>
      <c r="AQ949" t="b">
        <f>OR(AND(IF(metadata!F949="",FALSE,TRUE),OR(EXACT(metadata!F949,"missing: not collected"),EXACT(metadata!F949,"missing: not provided"))),AND(IF(metadata!F949="",FALSE,TRUE),OR(EXACT(metadata!F949,"TRUE"),EXACT(metadata!F949,"FALSE"))))</f>
        <v>0</v>
      </c>
      <c r="AR949" t="b">
        <f>OR(AND(IF(metadata!G949="",FALSE,TRUE),OR(EXACT(metadata!G949,"missing: not collected"),EXACT(metadata!G949,"missing: not provided"),EXACT(metadata!G949,"missing: restricted access"))),AND(IF(metadata!G949="",FALSE,ISNUMBER(VALUE(metadata!G949))),metadata!G949&gt;=-413))</f>
        <v>0</v>
      </c>
      <c r="AS949" t="b">
        <f>AND(IF(metadata!H949="",FALSE,TRUE),EXACT(metadata!H949,"meters"))</f>
        <v>0</v>
      </c>
      <c r="AT949" t="b">
        <f>AND(IF(metadata!I949="",FALSE,TRUE),OR(EXACT(metadata!I949,"Host-associated"),EXACT(metadata!I949,"Free-living")))</f>
        <v>0</v>
      </c>
      <c r="AU949" t="b">
        <f>AND(IF(metadata!J949="",FALSE,TRUE),OR(EXACT(metadata!J949,"Animal"),EXACT(metadata!J949,"Fungus"),EXACT(metadata!J949,"Plant"),EXACT(metadata!J949,"Saline"),EXACT(metadata!J949,"Non-saline")))</f>
        <v>0</v>
      </c>
      <c r="AV949" t="b">
        <f>AND(IF(metadata!K949="",FALSE,TRUE),OR(EXACT(metadata!K949,"Plant secretion"),EXACT(metadata!K949,"Plant rhizosphere"),EXACT(metadata!K949,"Plant surface"),EXACT(metadata!K949,"Plant corpus"),EXACT(metadata!K949,"Fungus surface"),EXACT(metadata!K949,"Fungus corpus"),EXACT(metadata!K949,"Animal surface"),EXACT(metadata!K949,"Animal proximal gut"),EXACT(metadata!K949,"Animal corpus"),EXACT(metadata!K949,"Animal distal gut"),EXACT(metadata!K949,"Animal secretion"),EXACT(metadata!K949,"Sub-surface (non-saline)"),EXACT(metadata!K949,"Surface (non-saline)"),EXACT(metadata!K949,"Water (non-saline)"),EXACT(metadata!K949,"Soil (non-saline)"),EXACT(metadata!K949,"Aerosol (non-saline)"),EXACT(metadata!K949,"Sediment (non-saline)"),EXACT(metadata!K949,"Surface (saline)"),EXACT(metadata!K949,"Water (saline)"),EXACT(metadata!K949,"Hypersaline (saline)"),EXACT(metadata!K949,"Aerosol (saline)"),EXACT(metadata!K949,"Sediment (saline)")))</f>
        <v>0</v>
      </c>
      <c r="AW949" t="b">
        <f>IF(metadata!L949="",FALSE,TRUE)</f>
        <v>0</v>
      </c>
      <c r="AX949" t="b">
        <f>IF(metadata!M949="",FALSE,TRUE)</f>
        <v>0</v>
      </c>
      <c r="AY949" t="b">
        <f>IF(metadata!N949="",FALSE,TRUE)</f>
        <v>0</v>
      </c>
      <c r="AZ949" t="b">
        <f>OR(AND(IF(metadata!O949="",FALSE,TRUE),OR(EXACT(metadata!O949,"missing: not collected"),EXACT(metadata!O949,"missing: not provided"),EXACT(metadata!O949,"missing: restricted access"))),AND(IF(metadata!O949="",FALSE,TRUE),OR(EXACT(metadata!O949,"air"),EXACT(metadata!O949,"built environment"),EXACT(metadata!O949,"host-associated"),EXACT(metadata!O949,"human-associated"),EXACT(metadata!O949,"human-skin"),EXACT(metadata!O949,"human-oral"),EXACT(metadata!O949,"human-gut"),EXACT(metadata!O949,"human-vaginal"),EXACT(metadata!O949,"microbial mat/biofilm"),EXACT(metadata!O949,"misc environment"),EXACT(metadata!O949,"plant-associated"),EXACT(metadata!O949,"sediment"),EXACT(metadata!O949,"soil"),EXACT(metadata!O949,"wastewater/sludge"),EXACT(metadata!O949,"water"))))</f>
        <v>0</v>
      </c>
      <c r="BA949" t="b">
        <f>IF(metadata!P949="",FALSE,TRUE)</f>
        <v>0</v>
      </c>
      <c r="BB949" t="b">
        <f>IF(metadata!Q949="",FALSE,TRUE)</f>
        <v>0</v>
      </c>
      <c r="BC949" t="b">
        <f>OR(AND(IF(metadata!R949="",FALSE,TRUE),OR(EXACT(metadata!R949,"missing: not collected"),EXACT(metadata!R949,"missing: not provided"),EXACT(metadata!R949,"missing: restricted access"))),AND(IF(metadata!R949="",FALSE,ISNUMBER(VALUE(metadata!R949))),metadata!R949&gt;=-90,metadata!R949&lt;=90))</f>
        <v>0</v>
      </c>
      <c r="BD949" t="b">
        <f>AND(IF(metadata!S949="",FALSE,TRUE),EXACT(metadata!S949,"Decimal degrees"))</f>
        <v>0</v>
      </c>
      <c r="BE949" t="b">
        <f>OR(AND(IF(metadata!T949="",FALSE,TRUE),OR(EXACT(metadata!T949,"missing: not collected"),EXACT(metadata!T949,"missing: not provided"),EXACT(metadata!T949,"missing: restricted access"))),AND(IF(metadata!T949="",FALSE,ISNUMBER(VALUE(metadata!T949))),metadata!T949&gt;=-180,metadata!T949&lt;=180))</f>
        <v>0</v>
      </c>
      <c r="BF949" t="b">
        <f>AND(IF(metadata!U949="",FALSE,TRUE),EXACT(metadata!U949,"Decimal degrees"))</f>
        <v>0</v>
      </c>
      <c r="BG949" t="b">
        <f>IF(metadata!V949="",FALSE,TRUE)</f>
        <v>0</v>
      </c>
      <c r="BH949" t="b">
        <f>OR(AND(IF(metadata!W949="",FALSE,TRUE),OR(EXACT(metadata!W949,"missing: not collected"),EXACT(metadata!W949,"missing: not provided"),EXACT(metadata!W949,"missing: restricted access"))),AND(IF(metadata!W949="",FALSE,TRUE),OR(EXACT(metadata!W949,"TRUE"),EXACT(metadata!W949,"FALSE"))))</f>
        <v>0</v>
      </c>
      <c r="BI949" t="b">
        <f>AND(IF(metadata!X949="",FALSE,TRUE),EXACT(metadata!X949,"other"))</f>
        <v>0</v>
      </c>
      <c r="BJ949" t="b">
        <f>IF(metadata!Y949="",FALSE,TRUE)</f>
        <v>0</v>
      </c>
      <c r="BK949" t="b">
        <f>OR(AND(IF(metadata!Z949="",FALSE,TRUE),OR(EXACT(metadata!Z949,"missing: not collected"),EXACT(metadata!Z949,"missing: not provided"))),AND(IF(metadata!Z949="",FALSE,IF(ISERROR(INT(metadata!Z949)),FALSE,INT(metadata!Z949)=metadata!Z949)),metadata!Z949&gt;0))</f>
        <v>0</v>
      </c>
      <c r="BL949" t="b">
        <f>AND(IF(metadata!AA949="",FALSE,TRUE),EXACT(metadata!AA949,"Not applicable"))</f>
        <v>0</v>
      </c>
      <c r="BM949" t="b">
        <f>IF(metadata!AB949="",FALSE,TRUE)</f>
        <v>0</v>
      </c>
    </row>
    <row r="950" spans="1:65" x14ac:dyDescent="0.2">
      <c r="A950" s="5" t="str">
        <f ca="1">IF(B950=" "," ",HYPERLINK(CONCATENATE("#metadata!",ADDRESS(INDEX($AH$2:$AH$1001,MATCH(ROWS($AF$2:AF950),$AF$2:$AF$1001,0),0),1)),INDEX($AK$2:$AK$1001,MATCH(ROWS($AF$2:AF950),$AF$2:$AF$1001,0),0)))</f>
        <v xml:space="preserve"> </v>
      </c>
      <c r="B950" s="4" t="str">
        <f ca="1">IF(OR(INDEX($AG$2:$AG$1001,MATCH(ROWS($AF$2:AF950),$AF$2:$AF$1001,0),1)&gt;=100000,INDEX($AM$1005:$BM$1005,1,MATCH(COLUMNS($AM$1006:AM1006),$AM$1006:$BM$1006,0))&gt;=100000), " ",IF(INDEX($AM$2:$BM$1001,MATCH(ROWS($AF$2:AF950),$AF$2:$AF$1001,0),MATCH(COLUMNS($AM$1006:AM1006),$AM$1006:$BM$1006,0)), HYPERLINK("#",""), HYPERLINK(CONCATENATE("#metadata!", ADDRESS(INDEX($AH$2:$AH$1001,MATCH(ROWS($AF$2:AF950),$AF$2:$AF$1001,0),0), INDEX($AM$1004:$BM$1004,1,MATCH(COLUMNS($AM$1006:AM1006),$AM$1006:$BM$1006,0)))),"Fix")))</f>
        <v xml:space="preserve"> </v>
      </c>
      <c r="C950" s="4" t="str">
        <f ca="1">IF(OR(INDEX($AG$2:$AG$1001,MATCH(ROWS($AF$2:AF950),$AF$2:$AF$1001,0),1)&gt;=100000,INDEX($AM$1005:$BM$1005,1,MATCH(COLUMNS($AM$1006:AN1006),$AM$1006:$BM$1006,0))&gt;=100000), " ",IF(INDEX($AM$2:$BM$1001,MATCH(ROWS($AF$2:AF950),$AF$2:$AF$1001,0),MATCH(COLUMNS($AM$1006:AN1006),$AM$1006:$BM$1006,0)), HYPERLINK("#",""), HYPERLINK(CONCATENATE("#metadata!", ADDRESS(INDEX($AH$2:$AH$1001,MATCH(ROWS($AF$2:AF950),$AF$2:$AF$1001,0),0), INDEX($AM$1004:$BM$1004,1,MATCH(COLUMNS($AM$1006:AN1006),$AM$1006:$BM$1006,0)))),"Fix")))</f>
        <v xml:space="preserve"> </v>
      </c>
      <c r="D950" s="4" t="str">
        <f ca="1">IF(OR(INDEX($AG$2:$AG$1001,MATCH(ROWS($AF$2:AF950),$AF$2:$AF$1001,0),1)&gt;=100000,INDEX($AM$1005:$BM$1005,1,MATCH(COLUMNS($AM$1006:AO1006),$AM$1006:$BM$1006,0))&gt;=100000), " ",IF(INDEX($AM$2:$BM$1001,MATCH(ROWS($AF$2:AF950),$AF$2:$AF$1001,0),MATCH(COLUMNS($AM$1006:AO1006),$AM$1006:$BM$1006,0)), HYPERLINK("#",""), HYPERLINK(CONCATENATE("#metadata!", ADDRESS(INDEX($AH$2:$AH$1001,MATCH(ROWS($AF$2:AF950),$AF$2:$AF$1001,0),0), INDEX($AM$1004:$BM$1004,1,MATCH(COLUMNS($AM$1006:AO1006),$AM$1006:$BM$1006,0)))),"Fix")))</f>
        <v xml:space="preserve"> </v>
      </c>
      <c r="E950" s="4" t="str">
        <f ca="1">IF(OR(INDEX($AG$2:$AG$1001,MATCH(ROWS($AF$2:AF950),$AF$2:$AF$1001,0),1)&gt;=100000,INDEX($AM$1005:$BM$1005,1,MATCH(COLUMNS($AM$1006:AP1006),$AM$1006:$BM$1006,0))&gt;=100000), " ",IF(INDEX($AM$2:$BM$1001,MATCH(ROWS($AF$2:AF950),$AF$2:$AF$1001,0),MATCH(COLUMNS($AM$1006:AP1006),$AM$1006:$BM$1006,0)), HYPERLINK("#",""), HYPERLINK(CONCATENATE("#metadata!", ADDRESS(INDEX($AH$2:$AH$1001,MATCH(ROWS($AF$2:AF950),$AF$2:$AF$1001,0),0), INDEX($AM$1004:$BM$1004,1,MATCH(COLUMNS($AM$1006:AP1006),$AM$1006:$BM$1006,0)))),"Fix")))</f>
        <v xml:space="preserve"> </v>
      </c>
      <c r="F950" s="4" t="str">
        <f ca="1">IF(OR(INDEX($AG$2:$AG$1001,MATCH(ROWS($AF$2:AF950),$AF$2:$AF$1001,0),1)&gt;=100000,INDEX($AM$1005:$BM$1005,1,MATCH(COLUMNS($AM$1006:AQ1006),$AM$1006:$BM$1006,0))&gt;=100000), " ",IF(INDEX($AM$2:$BM$1001,MATCH(ROWS($AF$2:AF950),$AF$2:$AF$1001,0),MATCH(COLUMNS($AM$1006:AQ1006),$AM$1006:$BM$1006,0)), HYPERLINK("#",""), HYPERLINK(CONCATENATE("#metadata!", ADDRESS(INDEX($AH$2:$AH$1001,MATCH(ROWS($AF$2:AF950),$AF$2:$AF$1001,0),0), INDEX($AM$1004:$BM$1004,1,MATCH(COLUMNS($AM$1006:AQ1006),$AM$1006:$BM$1006,0)))),"Fix")))</f>
        <v xml:space="preserve"> </v>
      </c>
      <c r="G950" s="4" t="str">
        <f ca="1">IF(OR(INDEX($AG$2:$AG$1001,MATCH(ROWS($AF$2:AF950),$AF$2:$AF$1001,0),1)&gt;=100000,INDEX($AM$1005:$BM$1005,1,MATCH(COLUMNS($AM$1006:AR1006),$AM$1006:$BM$1006,0))&gt;=100000), " ",IF(INDEX($AM$2:$BM$1001,MATCH(ROWS($AF$2:AF950),$AF$2:$AF$1001,0),MATCH(COLUMNS($AM$1006:AR1006),$AM$1006:$BM$1006,0)), HYPERLINK("#",""), HYPERLINK(CONCATENATE("#metadata!", ADDRESS(INDEX($AH$2:$AH$1001,MATCH(ROWS($AF$2:AF950),$AF$2:$AF$1001,0),0), INDEX($AM$1004:$BM$1004,1,MATCH(COLUMNS($AM$1006:AR1006),$AM$1006:$BM$1006,0)))),"Fix")))</f>
        <v xml:space="preserve"> </v>
      </c>
      <c r="H950" s="4" t="str">
        <f ca="1">IF(OR(INDEX($AG$2:$AG$1001,MATCH(ROWS($AF$2:AF950),$AF$2:$AF$1001,0),1)&gt;=100000,INDEX($AM$1005:$BM$1005,1,MATCH(COLUMNS($AM$1006:AS1006),$AM$1006:$BM$1006,0))&gt;=100000), " ",IF(INDEX($AM$2:$BM$1001,MATCH(ROWS($AF$2:AF950),$AF$2:$AF$1001,0),MATCH(COLUMNS($AM$1006:AS1006),$AM$1006:$BM$1006,0)), HYPERLINK("#",""), HYPERLINK(CONCATENATE("#metadata!", ADDRESS(INDEX($AH$2:$AH$1001,MATCH(ROWS($AF$2:AF950),$AF$2:$AF$1001,0),0), INDEX($AM$1004:$BM$1004,1,MATCH(COLUMNS($AM$1006:AS1006),$AM$1006:$BM$1006,0)))),"Fix")))</f>
        <v xml:space="preserve"> </v>
      </c>
      <c r="I950" s="4" t="str">
        <f ca="1">IF(OR(INDEX($AG$2:$AG$1001,MATCH(ROWS($AF$2:AF950),$AF$2:$AF$1001,0),1)&gt;=100000,INDEX($AM$1005:$BM$1005,1,MATCH(COLUMNS($AM$1006:AT1006),$AM$1006:$BM$1006,0))&gt;=100000), " ",IF(INDEX($AM$2:$BM$1001,MATCH(ROWS($AF$2:AF950),$AF$2:$AF$1001,0),MATCH(COLUMNS($AM$1006:AT1006),$AM$1006:$BM$1006,0)), HYPERLINK("#",""), HYPERLINK(CONCATENATE("#metadata!", ADDRESS(INDEX($AH$2:$AH$1001,MATCH(ROWS($AF$2:AF950),$AF$2:$AF$1001,0),0), INDEX($AM$1004:$BM$1004,1,MATCH(COLUMNS($AM$1006:AT1006),$AM$1006:$BM$1006,0)))),"Fix")))</f>
        <v xml:space="preserve"> </v>
      </c>
      <c r="J950" s="4" t="str">
        <f ca="1">IF(OR(INDEX($AG$2:$AG$1001,MATCH(ROWS($AF$2:AF950),$AF$2:$AF$1001,0),1)&gt;=100000,INDEX($AM$1005:$BM$1005,1,MATCH(COLUMNS($AM$1006:AU1006),$AM$1006:$BM$1006,0))&gt;=100000), " ",IF(INDEX($AM$2:$BM$1001,MATCH(ROWS($AF$2:AF950),$AF$2:$AF$1001,0),MATCH(COLUMNS($AM$1006:AU1006),$AM$1006:$BM$1006,0)), HYPERLINK("#",""), HYPERLINK(CONCATENATE("#metadata!", ADDRESS(INDEX($AH$2:$AH$1001,MATCH(ROWS($AF$2:AF950),$AF$2:$AF$1001,0),0), INDEX($AM$1004:$BM$1004,1,MATCH(COLUMNS($AM$1006:AU1006),$AM$1006:$BM$1006,0)))),"Fix")))</f>
        <v xml:space="preserve"> </v>
      </c>
      <c r="K950" s="4" t="str">
        <f ca="1">IF(OR(INDEX($AG$2:$AG$1001,MATCH(ROWS($AF$2:AF950),$AF$2:$AF$1001,0),1)&gt;=100000,INDEX($AM$1005:$BM$1005,1,MATCH(COLUMNS($AM$1006:AV1006),$AM$1006:$BM$1006,0))&gt;=100000), " ",IF(INDEX($AM$2:$BM$1001,MATCH(ROWS($AF$2:AF950),$AF$2:$AF$1001,0),MATCH(COLUMNS($AM$1006:AV1006),$AM$1006:$BM$1006,0)), HYPERLINK("#",""), HYPERLINK(CONCATENATE("#metadata!", ADDRESS(INDEX($AH$2:$AH$1001,MATCH(ROWS($AF$2:AF950),$AF$2:$AF$1001,0),0), INDEX($AM$1004:$BM$1004,1,MATCH(COLUMNS($AM$1006:AV1006),$AM$1006:$BM$1006,0)))),"Fix")))</f>
        <v xml:space="preserve"> </v>
      </c>
      <c r="L950" s="4" t="str">
        <f ca="1">IF(OR(INDEX($AG$2:$AG$1001,MATCH(ROWS($AF$2:AF950),$AF$2:$AF$1001,0),1)&gt;=100000,INDEX($AM$1005:$BM$1005,1,MATCH(COLUMNS($AM$1006:AW1006),$AM$1006:$BM$1006,0))&gt;=100000), " ",IF(INDEX($AM$2:$BM$1001,MATCH(ROWS($AF$2:AF950),$AF$2:$AF$1001,0),MATCH(COLUMNS($AM$1006:AW1006),$AM$1006:$BM$1006,0)), HYPERLINK("#",""), HYPERLINK(CONCATENATE("#metadata!", ADDRESS(INDEX($AH$2:$AH$1001,MATCH(ROWS($AF$2:AF950),$AF$2:$AF$1001,0),0), INDEX($AM$1004:$BM$1004,1,MATCH(COLUMNS($AM$1006:AW1006),$AM$1006:$BM$1006,0)))),"Fix")))</f>
        <v xml:space="preserve"> </v>
      </c>
      <c r="M950" s="4" t="str">
        <f ca="1">IF(OR(INDEX($AG$2:$AG$1001,MATCH(ROWS($AF$2:AF950),$AF$2:$AF$1001,0),1)&gt;=100000,INDEX($AM$1005:$BM$1005,1,MATCH(COLUMNS($AM$1006:AX1006),$AM$1006:$BM$1006,0))&gt;=100000), " ",IF(INDEX($AM$2:$BM$1001,MATCH(ROWS($AF$2:AF950),$AF$2:$AF$1001,0),MATCH(COLUMNS($AM$1006:AX1006),$AM$1006:$BM$1006,0)), HYPERLINK("#",""), HYPERLINK(CONCATENATE("#metadata!", ADDRESS(INDEX($AH$2:$AH$1001,MATCH(ROWS($AF$2:AF950),$AF$2:$AF$1001,0),0), INDEX($AM$1004:$BM$1004,1,MATCH(COLUMNS($AM$1006:AX1006),$AM$1006:$BM$1006,0)))),"Fix")))</f>
        <v xml:space="preserve"> </v>
      </c>
      <c r="N950" s="4" t="str">
        <f ca="1">IF(OR(INDEX($AG$2:$AG$1001,MATCH(ROWS($AF$2:AF950),$AF$2:$AF$1001,0),1)&gt;=100000,INDEX($AM$1005:$BM$1005,1,MATCH(COLUMNS($AM$1006:AY1006),$AM$1006:$BM$1006,0))&gt;=100000), " ",IF(INDEX($AM$2:$BM$1001,MATCH(ROWS($AF$2:AF950),$AF$2:$AF$1001,0),MATCH(COLUMNS($AM$1006:AY1006),$AM$1006:$BM$1006,0)), HYPERLINK("#",""), HYPERLINK(CONCATENATE("#metadata!", ADDRESS(INDEX($AH$2:$AH$1001,MATCH(ROWS($AF$2:AF950),$AF$2:$AF$1001,0),0), INDEX($AM$1004:$BM$1004,1,MATCH(COLUMNS($AM$1006:AY1006),$AM$1006:$BM$1006,0)))),"Fix")))</f>
        <v xml:space="preserve"> </v>
      </c>
      <c r="O950" s="4" t="str">
        <f ca="1">IF(OR(INDEX($AG$2:$AG$1001,MATCH(ROWS($AF$2:AF950),$AF$2:$AF$1001,0),1)&gt;=100000,INDEX($AM$1005:$BM$1005,1,MATCH(COLUMNS($AM$1006:AZ1006),$AM$1006:$BM$1006,0))&gt;=100000), " ",IF(INDEX($AM$2:$BM$1001,MATCH(ROWS($AF$2:AF950),$AF$2:$AF$1001,0),MATCH(COLUMNS($AM$1006:AZ1006),$AM$1006:$BM$1006,0)), HYPERLINK("#",""), HYPERLINK(CONCATENATE("#metadata!", ADDRESS(INDEX($AH$2:$AH$1001,MATCH(ROWS($AF$2:AF950),$AF$2:$AF$1001,0),0), INDEX($AM$1004:$BM$1004,1,MATCH(COLUMNS($AM$1006:AZ1006),$AM$1006:$BM$1006,0)))),"Fix")))</f>
        <v xml:space="preserve"> </v>
      </c>
      <c r="P950" s="4" t="str">
        <f ca="1">IF(OR(INDEX($AG$2:$AG$1001,MATCH(ROWS($AF$2:AF950),$AF$2:$AF$1001,0),1)&gt;=100000,INDEX($AM$1005:$BM$1005,1,MATCH(COLUMNS($AM$1006:BA1006),$AM$1006:$BM$1006,0))&gt;=100000), " ",IF(INDEX($AM$2:$BM$1001,MATCH(ROWS($AF$2:AF950),$AF$2:$AF$1001,0),MATCH(COLUMNS($AM$1006:BA1006),$AM$1006:$BM$1006,0)), HYPERLINK("#",""), HYPERLINK(CONCATENATE("#metadata!", ADDRESS(INDEX($AH$2:$AH$1001,MATCH(ROWS($AF$2:AF950),$AF$2:$AF$1001,0),0), INDEX($AM$1004:$BM$1004,1,MATCH(COLUMNS($AM$1006:BA1006),$AM$1006:$BM$1006,0)))),"Fix")))</f>
        <v xml:space="preserve"> </v>
      </c>
      <c r="Q950" s="4" t="str">
        <f ca="1">IF(OR(INDEX($AG$2:$AG$1001,MATCH(ROWS($AF$2:AF950),$AF$2:$AF$1001,0),1)&gt;=100000,INDEX($AM$1005:$BM$1005,1,MATCH(COLUMNS($AM$1006:BB1006),$AM$1006:$BM$1006,0))&gt;=100000), " ",IF(INDEX($AM$2:$BM$1001,MATCH(ROWS($AF$2:AF950),$AF$2:$AF$1001,0),MATCH(COLUMNS($AM$1006:BB1006),$AM$1006:$BM$1006,0)), HYPERLINK("#",""), HYPERLINK(CONCATENATE("#metadata!", ADDRESS(INDEX($AH$2:$AH$1001,MATCH(ROWS($AF$2:AF950),$AF$2:$AF$1001,0),0), INDEX($AM$1004:$BM$1004,1,MATCH(COLUMNS($AM$1006:BB1006),$AM$1006:$BM$1006,0)))),"Fix")))</f>
        <v xml:space="preserve"> </v>
      </c>
      <c r="R950" s="4" t="str">
        <f ca="1">IF(OR(INDEX($AG$2:$AG$1001,MATCH(ROWS($AF$2:AF950),$AF$2:$AF$1001,0),1)&gt;=100000,INDEX($AM$1005:$BM$1005,1,MATCH(COLUMNS($AM$1006:BC1006),$AM$1006:$BM$1006,0))&gt;=100000), " ",IF(INDEX($AM$2:$BM$1001,MATCH(ROWS($AF$2:AF950),$AF$2:$AF$1001,0),MATCH(COLUMNS($AM$1006:BC1006),$AM$1006:$BM$1006,0)), HYPERLINK("#",""), HYPERLINK(CONCATENATE("#metadata!", ADDRESS(INDEX($AH$2:$AH$1001,MATCH(ROWS($AF$2:AF950),$AF$2:$AF$1001,0),0), INDEX($AM$1004:$BM$1004,1,MATCH(COLUMNS($AM$1006:BC1006),$AM$1006:$BM$1006,0)))),"Fix")))</f>
        <v xml:space="preserve"> </v>
      </c>
      <c r="S950" s="4" t="str">
        <f ca="1">IF(OR(INDEX($AG$2:$AG$1001,MATCH(ROWS($AF$2:AF950),$AF$2:$AF$1001,0),1)&gt;=100000,INDEX($AM$1005:$BM$1005,1,MATCH(COLUMNS($AM$1006:BD1006),$AM$1006:$BM$1006,0))&gt;=100000), " ",IF(INDEX($AM$2:$BM$1001,MATCH(ROWS($AF$2:AF950),$AF$2:$AF$1001,0),MATCH(COLUMNS($AM$1006:BD1006),$AM$1006:$BM$1006,0)), HYPERLINK("#",""), HYPERLINK(CONCATENATE("#metadata!", ADDRESS(INDEX($AH$2:$AH$1001,MATCH(ROWS($AF$2:AF950),$AF$2:$AF$1001,0),0), INDEX($AM$1004:$BM$1004,1,MATCH(COLUMNS($AM$1006:BD1006),$AM$1006:$BM$1006,0)))),"Fix")))</f>
        <v xml:space="preserve"> </v>
      </c>
      <c r="T950" s="4" t="str">
        <f ca="1">IF(OR(INDEX($AG$2:$AG$1001,MATCH(ROWS($AF$2:AF950),$AF$2:$AF$1001,0),1)&gt;=100000,INDEX($AM$1005:$BM$1005,1,MATCH(COLUMNS($AM$1006:BE1006),$AM$1006:$BM$1006,0))&gt;=100000), " ",IF(INDEX($AM$2:$BM$1001,MATCH(ROWS($AF$2:AF950),$AF$2:$AF$1001,0),MATCH(COLUMNS($AM$1006:BE1006),$AM$1006:$BM$1006,0)), HYPERLINK("#",""), HYPERLINK(CONCATENATE("#metadata!", ADDRESS(INDEX($AH$2:$AH$1001,MATCH(ROWS($AF$2:AF950),$AF$2:$AF$1001,0),0), INDEX($AM$1004:$BM$1004,1,MATCH(COLUMNS($AM$1006:BE1006),$AM$1006:$BM$1006,0)))),"Fix")))</f>
        <v xml:space="preserve"> </v>
      </c>
      <c r="U950" s="4" t="str">
        <f ca="1">IF(OR(INDEX($AG$2:$AG$1001,MATCH(ROWS($AF$2:AF950),$AF$2:$AF$1001,0),1)&gt;=100000,INDEX($AM$1005:$BM$1005,1,MATCH(COLUMNS($AM$1006:BF1006),$AM$1006:$BM$1006,0))&gt;=100000), " ",IF(INDEX($AM$2:$BM$1001,MATCH(ROWS($AF$2:AF950),$AF$2:$AF$1001,0),MATCH(COLUMNS($AM$1006:BF1006),$AM$1006:$BM$1006,0)), HYPERLINK("#",""), HYPERLINK(CONCATENATE("#metadata!", ADDRESS(INDEX($AH$2:$AH$1001,MATCH(ROWS($AF$2:AF950),$AF$2:$AF$1001,0),0), INDEX($AM$1004:$BM$1004,1,MATCH(COLUMNS($AM$1006:BF1006),$AM$1006:$BM$1006,0)))),"Fix")))</f>
        <v xml:space="preserve"> </v>
      </c>
      <c r="V950" s="4" t="str">
        <f ca="1">IF(OR(INDEX($AG$2:$AG$1001,MATCH(ROWS($AF$2:AF950),$AF$2:$AF$1001,0),1)&gt;=100000,INDEX($AM$1005:$BM$1005,1,MATCH(COLUMNS($AM$1006:BG1006),$AM$1006:$BM$1006,0))&gt;=100000), " ",IF(INDEX($AM$2:$BM$1001,MATCH(ROWS($AF$2:AF950),$AF$2:$AF$1001,0),MATCH(COLUMNS($AM$1006:BG1006),$AM$1006:$BM$1006,0)), HYPERLINK("#",""), HYPERLINK(CONCATENATE("#metadata!", ADDRESS(INDEX($AH$2:$AH$1001,MATCH(ROWS($AF$2:AF950),$AF$2:$AF$1001,0),0), INDEX($AM$1004:$BM$1004,1,MATCH(COLUMNS($AM$1006:BG1006),$AM$1006:$BM$1006,0)))),"Fix")))</f>
        <v xml:space="preserve"> </v>
      </c>
      <c r="W950" s="4" t="str">
        <f ca="1">IF(OR(INDEX($AG$2:$AG$1001,MATCH(ROWS($AF$2:AF950),$AF$2:$AF$1001,0),1)&gt;=100000,INDEX($AM$1005:$BM$1005,1,MATCH(COLUMNS($AM$1006:BH1006),$AM$1006:$BM$1006,0))&gt;=100000), " ",IF(INDEX($AM$2:$BM$1001,MATCH(ROWS($AF$2:AF950),$AF$2:$AF$1001,0),MATCH(COLUMNS($AM$1006:BH1006),$AM$1006:$BM$1006,0)), HYPERLINK("#",""), HYPERLINK(CONCATENATE("#metadata!", ADDRESS(INDEX($AH$2:$AH$1001,MATCH(ROWS($AF$2:AF950),$AF$2:$AF$1001,0),0), INDEX($AM$1004:$BM$1004,1,MATCH(COLUMNS($AM$1006:BH1006),$AM$1006:$BM$1006,0)))),"Fix")))</f>
        <v xml:space="preserve"> </v>
      </c>
      <c r="X950" s="4" t="str">
        <f ca="1">IF(OR(INDEX($AG$2:$AG$1001,MATCH(ROWS($AF$2:AF950),$AF$2:$AF$1001,0),1)&gt;=100000,INDEX($AM$1005:$BM$1005,1,MATCH(COLUMNS($AM$1006:BI1006),$AM$1006:$BM$1006,0))&gt;=100000), " ",IF(INDEX($AM$2:$BM$1001,MATCH(ROWS($AF$2:AF950),$AF$2:$AF$1001,0),MATCH(COLUMNS($AM$1006:BI1006),$AM$1006:$BM$1006,0)), HYPERLINK("#",""), HYPERLINK(CONCATENATE("#metadata!", ADDRESS(INDEX($AH$2:$AH$1001,MATCH(ROWS($AF$2:AF950),$AF$2:$AF$1001,0),0), INDEX($AM$1004:$BM$1004,1,MATCH(COLUMNS($AM$1006:BI1006),$AM$1006:$BM$1006,0)))),"Fix")))</f>
        <v xml:space="preserve"> </v>
      </c>
      <c r="Y950" s="4" t="str">
        <f ca="1">IF(OR(INDEX($AG$2:$AG$1001,MATCH(ROWS($AF$2:AF950),$AF$2:$AF$1001,0),1)&gt;=100000,INDEX($AM$1005:$BM$1005,1,MATCH(COLUMNS($AM$1006:BJ1006),$AM$1006:$BM$1006,0))&gt;=100000), " ",IF(INDEX($AM$2:$BM$1001,MATCH(ROWS($AF$2:AF950),$AF$2:$AF$1001,0),MATCH(COLUMNS($AM$1006:BJ1006),$AM$1006:$BM$1006,0)), HYPERLINK("#",""), HYPERLINK(CONCATENATE("#metadata!", ADDRESS(INDEX($AH$2:$AH$1001,MATCH(ROWS($AF$2:AF950),$AF$2:$AF$1001,0),0), INDEX($AM$1004:$BM$1004,1,MATCH(COLUMNS($AM$1006:BJ1006),$AM$1006:$BM$1006,0)))),"Fix")))</f>
        <v xml:space="preserve"> </v>
      </c>
      <c r="Z950" s="4" t="str">
        <f ca="1">IF(OR(INDEX($AG$2:$AG$1001,MATCH(ROWS($AF$2:AF950),$AF$2:$AF$1001,0),1)&gt;=100000,INDEX($AM$1005:$BM$1005,1,MATCH(COLUMNS($AM$1006:BK1006),$AM$1006:$BM$1006,0))&gt;=100000), " ",IF(INDEX($AM$2:$BM$1001,MATCH(ROWS($AF$2:AF950),$AF$2:$AF$1001,0),MATCH(COLUMNS($AM$1006:BK1006),$AM$1006:$BM$1006,0)), HYPERLINK("#",""), HYPERLINK(CONCATENATE("#metadata!", ADDRESS(INDEX($AH$2:$AH$1001,MATCH(ROWS($AF$2:AF950),$AF$2:$AF$1001,0),0), INDEX($AM$1004:$BM$1004,1,MATCH(COLUMNS($AM$1006:BK1006),$AM$1006:$BM$1006,0)))),"Fix")))</f>
        <v xml:space="preserve"> </v>
      </c>
      <c r="AA950" s="4" t="str">
        <f ca="1">IF(OR(INDEX($AG$2:$AG$1001,MATCH(ROWS($AF$2:AF950),$AF$2:$AF$1001,0),1)&gt;=100000,INDEX($AM$1005:$BM$1005,1,MATCH(COLUMNS($AM$1006:BL1006),$AM$1006:$BM$1006,0))&gt;=100000), " ",IF(INDEX($AM$2:$BM$1001,MATCH(ROWS($AF$2:AF950),$AF$2:$AF$1001,0),MATCH(COLUMNS($AM$1006:BL1006),$AM$1006:$BM$1006,0)), HYPERLINK("#",""), HYPERLINK(CONCATENATE("#metadata!", ADDRESS(INDEX($AH$2:$AH$1001,MATCH(ROWS($AF$2:AF950),$AF$2:$AF$1001,0),0), INDEX($AM$1004:$BM$1004,1,MATCH(COLUMNS($AM$1006:BL1006),$AM$1006:$BM$1006,0)))),"Fix")))</f>
        <v xml:space="preserve"> </v>
      </c>
      <c r="AB950" s="4" t="str">
        <f ca="1">IF(OR(INDEX($AG$2:$AG$1001,MATCH(ROWS($AF$2:AF950),$AF$2:$AF$1001,0),1)&gt;=100000,INDEX($AM$1005:$BM$1005,1,MATCH(COLUMNS($AM$1006:BM1006),$AM$1006:$BM$1006,0))&gt;=100000), " ",IF(INDEX($AM$2:$BM$1001,MATCH(ROWS($AF$2:AF950),$AF$2:$AF$1001,0),MATCH(COLUMNS($AM$1006:BM1006),$AM$1006:$BM$1006,0)), HYPERLINK("#",""), HYPERLINK(CONCATENATE("#metadata!", ADDRESS(INDEX($AH$2:$AH$1001,MATCH(ROWS($AF$2:AF950),$AF$2:$AF$1001,0),0), INDEX($AM$1004:$BM$1004,1,MATCH(COLUMNS($AM$1006:BM1006),$AM$1006:$BM$1006,0)))),"Fix")))</f>
        <v xml:space="preserve"> </v>
      </c>
      <c r="AF950">
        <v>949</v>
      </c>
      <c r="AG950">
        <v>100950</v>
      </c>
      <c r="AH950">
        <v>950</v>
      </c>
      <c r="AI950" t="b">
        <f t="shared" si="14"/>
        <v>1</v>
      </c>
      <c r="AJ950" t="b">
        <f>COUNTBLANK(metadata!B950:AB950)=COLUMNS(metadata!B950:AB950)</f>
        <v>1</v>
      </c>
      <c r="AK950" t="str">
        <v/>
      </c>
      <c r="AM950" t="b">
        <f ca="1">AND(IF(metadata!B950="",FALSE,TRUE),COUNTIF(metadata!B:B, metadata!B950) = 1,NOT(ISERROR(SUMPRODUCT(SEARCH(MID(metadata!B950,ROW(INDIRECT("1:"&amp;LEN(metadata!B950))), 1),"0123456789abcdefghijklmnopqrstuvwxyzABCDEFGHIJKLMNOPQRSTUVWXYZ.")))))</f>
        <v>0</v>
      </c>
      <c r="AN950" t="b">
        <f ca="1">OR(AND(IF(metadata!C950="",FALSE,TRUE),OR(EXACT(metadata!C950,"missing: not collected"),EXACT(metadata!C950,"missing: not provided"),EXACT(metadata!C950,"missing: restricted access"))),AND(IF(metadata!C950="",FALSE,TRUE),AND(AND(IFERROR(INT(LEFT(metadata!C950,4))&gt;1900,FALSE),IFERROR(INT(LEFT(metadata!C950,4))&lt;=YEAR(NOW()),FALSE)), OR(MID(metadata!C950,5,1)="", AND(AND(MID(metadata!C950,5,1)="-",IFERROR(INT(MID(metadata!C950,6,1))&gt;=0,FALSE),IFERROR(INT(MID(metadata!C950,6,1))&lt;=1,FALSE),NOT(MID(metadata!C950,7,1)=""),IFERROR(INT(MID(metadata!C950,6,2))&gt;=1,FALSE),IFERROR(INT(MID(metadata!C950,6,2))&lt;=12,FALSE)), OR(MID(metadata!C950,8,1)="", AND(AND(MID(metadata!C950,8,1)="-",IFERROR(INT(MID(metadata!C950,9,1))&gt;=0,FALSE),IFERROR(INT(MID(metadata!C950,9,1))&lt;=3,FALSE),NOT(MID(metadata!C950,10,1)=""),IFERROR(INT(MID(metadata!C950,9,2))&gt;=1,FALSE),IFERROR(INT(MID(metadata!C950,9,2))&lt;=31,FALSE)), OR(MID(metadata!C950,11,1)="", AND(AND(MID(metadata!C950,11,1)=" ",IFERROR(INT(MID(metadata!C950,12,1))&gt;=0,FALSE),IFERROR(INT(MID(metadata!C950,12,1))&lt;=2,FALSE),NOT(MID(metadata!C950,13,1)=""),IFERROR(INT(MID(metadata!C950,12,2))&gt;=0,FALSE),IFERROR(INT(MID(metadata!C950,12,2))&lt;=23,FALSE)), OR(MID(metadata!C950,14,1)="", AND(AND(MID(metadata!C950,14,1)=":",IFERROR(INT(MID(metadata!C950,15,1))&gt;=0,FALSE),IFERROR(INT(MID(metadata!C950,15,1))&lt;=5,FALSE),NOT(MID(metadata!C950,16,1)=""),IFERROR(INT(MID(metadata!C950,15,2))&gt;=0,FALSE),IFERROR(INT(MID(metadata!C950,15,2))&lt;=59,FALSE)), OR(MID(metadata!C950,17,1)="", AND(AND(MID(metadata!C950,17,1)=":",IFERROR(INT(MID(metadata!C950,18,1))&gt;=0,FALSE),IFERROR(INT(MID(metadata!C950,18,1))&lt;=5,FALSE),NOT(MID(metadata!C950,19,1)=""),IFERROR(INT(MID(metadata!C950,18,2))&gt;=0,FALSE),IFERROR(INT(MID(metadata!C950,18,2))&lt;=59,FALSE)), LEN(metadata!C950)&lt;=19)))))))))))))</f>
        <v>0</v>
      </c>
      <c r="AO950" t="b">
        <f>AND(IF(metadata!D950="",FALSE,TRUE),EXACT(metadata!D950,"Not applicable"))</f>
        <v>0</v>
      </c>
      <c r="AP950" t="b">
        <f>IF(metadata!E950="",FALSE,TRUE)</f>
        <v>0</v>
      </c>
      <c r="AQ950" t="b">
        <f>OR(AND(IF(metadata!F950="",FALSE,TRUE),OR(EXACT(metadata!F950,"missing: not collected"),EXACT(metadata!F950,"missing: not provided"))),AND(IF(metadata!F950="",FALSE,TRUE),OR(EXACT(metadata!F950,"TRUE"),EXACT(metadata!F950,"FALSE"))))</f>
        <v>0</v>
      </c>
      <c r="AR950" t="b">
        <f>OR(AND(IF(metadata!G950="",FALSE,TRUE),OR(EXACT(metadata!G950,"missing: not collected"),EXACT(metadata!G950,"missing: not provided"),EXACT(metadata!G950,"missing: restricted access"))),AND(IF(metadata!G950="",FALSE,ISNUMBER(VALUE(metadata!G950))),metadata!G950&gt;=-413))</f>
        <v>0</v>
      </c>
      <c r="AS950" t="b">
        <f>AND(IF(metadata!H950="",FALSE,TRUE),EXACT(metadata!H950,"meters"))</f>
        <v>0</v>
      </c>
      <c r="AT950" t="b">
        <f>AND(IF(metadata!I950="",FALSE,TRUE),OR(EXACT(metadata!I950,"Host-associated"),EXACT(metadata!I950,"Free-living")))</f>
        <v>0</v>
      </c>
      <c r="AU950" t="b">
        <f>AND(IF(metadata!J950="",FALSE,TRUE),OR(EXACT(metadata!J950,"Animal"),EXACT(metadata!J950,"Fungus"),EXACT(metadata!J950,"Plant"),EXACT(metadata!J950,"Saline"),EXACT(metadata!J950,"Non-saline")))</f>
        <v>0</v>
      </c>
      <c r="AV950" t="b">
        <f>AND(IF(metadata!K950="",FALSE,TRUE),OR(EXACT(metadata!K950,"Plant secretion"),EXACT(metadata!K950,"Plant rhizosphere"),EXACT(metadata!K950,"Plant surface"),EXACT(metadata!K950,"Plant corpus"),EXACT(metadata!K950,"Fungus surface"),EXACT(metadata!K950,"Fungus corpus"),EXACT(metadata!K950,"Animal surface"),EXACT(metadata!K950,"Animal proximal gut"),EXACT(metadata!K950,"Animal corpus"),EXACT(metadata!K950,"Animal distal gut"),EXACT(metadata!K950,"Animal secretion"),EXACT(metadata!K950,"Sub-surface (non-saline)"),EXACT(metadata!K950,"Surface (non-saline)"),EXACT(metadata!K950,"Water (non-saline)"),EXACT(metadata!K950,"Soil (non-saline)"),EXACT(metadata!K950,"Aerosol (non-saline)"),EXACT(metadata!K950,"Sediment (non-saline)"),EXACT(metadata!K950,"Surface (saline)"),EXACT(metadata!K950,"Water (saline)"),EXACT(metadata!K950,"Hypersaline (saline)"),EXACT(metadata!K950,"Aerosol (saline)"),EXACT(metadata!K950,"Sediment (saline)")))</f>
        <v>0</v>
      </c>
      <c r="AW950" t="b">
        <f>IF(metadata!L950="",FALSE,TRUE)</f>
        <v>0</v>
      </c>
      <c r="AX950" t="b">
        <f>IF(metadata!M950="",FALSE,TRUE)</f>
        <v>0</v>
      </c>
      <c r="AY950" t="b">
        <f>IF(metadata!N950="",FALSE,TRUE)</f>
        <v>0</v>
      </c>
      <c r="AZ950" t="b">
        <f>OR(AND(IF(metadata!O950="",FALSE,TRUE),OR(EXACT(metadata!O950,"missing: not collected"),EXACT(metadata!O950,"missing: not provided"),EXACT(metadata!O950,"missing: restricted access"))),AND(IF(metadata!O950="",FALSE,TRUE),OR(EXACT(metadata!O950,"air"),EXACT(metadata!O950,"built environment"),EXACT(metadata!O950,"host-associated"),EXACT(metadata!O950,"human-associated"),EXACT(metadata!O950,"human-skin"),EXACT(metadata!O950,"human-oral"),EXACT(metadata!O950,"human-gut"),EXACT(metadata!O950,"human-vaginal"),EXACT(metadata!O950,"microbial mat/biofilm"),EXACT(metadata!O950,"misc environment"),EXACT(metadata!O950,"plant-associated"),EXACT(metadata!O950,"sediment"),EXACT(metadata!O950,"soil"),EXACT(metadata!O950,"wastewater/sludge"),EXACT(metadata!O950,"water"))))</f>
        <v>0</v>
      </c>
      <c r="BA950" t="b">
        <f>IF(metadata!P950="",FALSE,TRUE)</f>
        <v>0</v>
      </c>
      <c r="BB950" t="b">
        <f>IF(metadata!Q950="",FALSE,TRUE)</f>
        <v>0</v>
      </c>
      <c r="BC950" t="b">
        <f>OR(AND(IF(metadata!R950="",FALSE,TRUE),OR(EXACT(metadata!R950,"missing: not collected"),EXACT(metadata!R950,"missing: not provided"),EXACT(metadata!R950,"missing: restricted access"))),AND(IF(metadata!R950="",FALSE,ISNUMBER(VALUE(metadata!R950))),metadata!R950&gt;=-90,metadata!R950&lt;=90))</f>
        <v>0</v>
      </c>
      <c r="BD950" t="b">
        <f>AND(IF(metadata!S950="",FALSE,TRUE),EXACT(metadata!S950,"Decimal degrees"))</f>
        <v>0</v>
      </c>
      <c r="BE950" t="b">
        <f>OR(AND(IF(metadata!T950="",FALSE,TRUE),OR(EXACT(metadata!T950,"missing: not collected"),EXACT(metadata!T950,"missing: not provided"),EXACT(metadata!T950,"missing: restricted access"))),AND(IF(metadata!T950="",FALSE,ISNUMBER(VALUE(metadata!T950))),metadata!T950&gt;=-180,metadata!T950&lt;=180))</f>
        <v>0</v>
      </c>
      <c r="BF950" t="b">
        <f>AND(IF(metadata!U950="",FALSE,TRUE),EXACT(metadata!U950,"Decimal degrees"))</f>
        <v>0</v>
      </c>
      <c r="BG950" t="b">
        <f>IF(metadata!V950="",FALSE,TRUE)</f>
        <v>0</v>
      </c>
      <c r="BH950" t="b">
        <f>OR(AND(IF(metadata!W950="",FALSE,TRUE),OR(EXACT(metadata!W950,"missing: not collected"),EXACT(metadata!W950,"missing: not provided"),EXACT(metadata!W950,"missing: restricted access"))),AND(IF(metadata!W950="",FALSE,TRUE),OR(EXACT(metadata!W950,"TRUE"),EXACT(metadata!W950,"FALSE"))))</f>
        <v>0</v>
      </c>
      <c r="BI950" t="b">
        <f>AND(IF(metadata!X950="",FALSE,TRUE),EXACT(metadata!X950,"other"))</f>
        <v>0</v>
      </c>
      <c r="BJ950" t="b">
        <f>IF(metadata!Y950="",FALSE,TRUE)</f>
        <v>0</v>
      </c>
      <c r="BK950" t="b">
        <f>OR(AND(IF(metadata!Z950="",FALSE,TRUE),OR(EXACT(metadata!Z950,"missing: not collected"),EXACT(metadata!Z950,"missing: not provided"))),AND(IF(metadata!Z950="",FALSE,IF(ISERROR(INT(metadata!Z950)),FALSE,INT(metadata!Z950)=metadata!Z950)),metadata!Z950&gt;0))</f>
        <v>0</v>
      </c>
      <c r="BL950" t="b">
        <f>AND(IF(metadata!AA950="",FALSE,TRUE),EXACT(metadata!AA950,"Not applicable"))</f>
        <v>0</v>
      </c>
      <c r="BM950" t="b">
        <f>IF(metadata!AB950="",FALSE,TRUE)</f>
        <v>0</v>
      </c>
    </row>
    <row r="951" spans="1:65" x14ac:dyDescent="0.2">
      <c r="A951" s="5" t="str">
        <f ca="1">IF(B951=" "," ",HYPERLINK(CONCATENATE("#metadata!",ADDRESS(INDEX($AH$2:$AH$1001,MATCH(ROWS($AF$2:AF951),$AF$2:$AF$1001,0),0),1)),INDEX($AK$2:$AK$1001,MATCH(ROWS($AF$2:AF951),$AF$2:$AF$1001,0),0)))</f>
        <v xml:space="preserve"> </v>
      </c>
      <c r="B951" s="4" t="str">
        <f ca="1">IF(OR(INDEX($AG$2:$AG$1001,MATCH(ROWS($AF$2:AF951),$AF$2:$AF$1001,0),1)&gt;=100000,INDEX($AM$1005:$BM$1005,1,MATCH(COLUMNS($AM$1006:AM1006),$AM$1006:$BM$1006,0))&gt;=100000), " ",IF(INDEX($AM$2:$BM$1001,MATCH(ROWS($AF$2:AF951),$AF$2:$AF$1001,0),MATCH(COLUMNS($AM$1006:AM1006),$AM$1006:$BM$1006,0)), HYPERLINK("#",""), HYPERLINK(CONCATENATE("#metadata!", ADDRESS(INDEX($AH$2:$AH$1001,MATCH(ROWS($AF$2:AF951),$AF$2:$AF$1001,0),0), INDEX($AM$1004:$BM$1004,1,MATCH(COLUMNS($AM$1006:AM1006),$AM$1006:$BM$1006,0)))),"Fix")))</f>
        <v xml:space="preserve"> </v>
      </c>
      <c r="C951" s="4" t="str">
        <f ca="1">IF(OR(INDEX($AG$2:$AG$1001,MATCH(ROWS($AF$2:AF951),$AF$2:$AF$1001,0),1)&gt;=100000,INDEX($AM$1005:$BM$1005,1,MATCH(COLUMNS($AM$1006:AN1006),$AM$1006:$BM$1006,0))&gt;=100000), " ",IF(INDEX($AM$2:$BM$1001,MATCH(ROWS($AF$2:AF951),$AF$2:$AF$1001,0),MATCH(COLUMNS($AM$1006:AN1006),$AM$1006:$BM$1006,0)), HYPERLINK("#",""), HYPERLINK(CONCATENATE("#metadata!", ADDRESS(INDEX($AH$2:$AH$1001,MATCH(ROWS($AF$2:AF951),$AF$2:$AF$1001,0),0), INDEX($AM$1004:$BM$1004,1,MATCH(COLUMNS($AM$1006:AN1006),$AM$1006:$BM$1006,0)))),"Fix")))</f>
        <v xml:space="preserve"> </v>
      </c>
      <c r="D951" s="4" t="str">
        <f ca="1">IF(OR(INDEX($AG$2:$AG$1001,MATCH(ROWS($AF$2:AF951),$AF$2:$AF$1001,0),1)&gt;=100000,INDEX($AM$1005:$BM$1005,1,MATCH(COLUMNS($AM$1006:AO1006),$AM$1006:$BM$1006,0))&gt;=100000), " ",IF(INDEX($AM$2:$BM$1001,MATCH(ROWS($AF$2:AF951),$AF$2:$AF$1001,0),MATCH(COLUMNS($AM$1006:AO1006),$AM$1006:$BM$1006,0)), HYPERLINK("#",""), HYPERLINK(CONCATENATE("#metadata!", ADDRESS(INDEX($AH$2:$AH$1001,MATCH(ROWS($AF$2:AF951),$AF$2:$AF$1001,0),0), INDEX($AM$1004:$BM$1004,1,MATCH(COLUMNS($AM$1006:AO1006),$AM$1006:$BM$1006,0)))),"Fix")))</f>
        <v xml:space="preserve"> </v>
      </c>
      <c r="E951" s="4" t="str">
        <f ca="1">IF(OR(INDEX($AG$2:$AG$1001,MATCH(ROWS($AF$2:AF951),$AF$2:$AF$1001,0),1)&gt;=100000,INDEX($AM$1005:$BM$1005,1,MATCH(COLUMNS($AM$1006:AP1006),$AM$1006:$BM$1006,0))&gt;=100000), " ",IF(INDEX($AM$2:$BM$1001,MATCH(ROWS($AF$2:AF951),$AF$2:$AF$1001,0),MATCH(COLUMNS($AM$1006:AP1006),$AM$1006:$BM$1006,0)), HYPERLINK("#",""), HYPERLINK(CONCATENATE("#metadata!", ADDRESS(INDEX($AH$2:$AH$1001,MATCH(ROWS($AF$2:AF951),$AF$2:$AF$1001,0),0), INDEX($AM$1004:$BM$1004,1,MATCH(COLUMNS($AM$1006:AP1006),$AM$1006:$BM$1006,0)))),"Fix")))</f>
        <v xml:space="preserve"> </v>
      </c>
      <c r="F951" s="4" t="str">
        <f ca="1">IF(OR(INDEX($AG$2:$AG$1001,MATCH(ROWS($AF$2:AF951),$AF$2:$AF$1001,0),1)&gt;=100000,INDEX($AM$1005:$BM$1005,1,MATCH(COLUMNS($AM$1006:AQ1006),$AM$1006:$BM$1006,0))&gt;=100000), " ",IF(INDEX($AM$2:$BM$1001,MATCH(ROWS($AF$2:AF951),$AF$2:$AF$1001,0),MATCH(COLUMNS($AM$1006:AQ1006),$AM$1006:$BM$1006,0)), HYPERLINK("#",""), HYPERLINK(CONCATENATE("#metadata!", ADDRESS(INDEX($AH$2:$AH$1001,MATCH(ROWS($AF$2:AF951),$AF$2:$AF$1001,0),0), INDEX($AM$1004:$BM$1004,1,MATCH(COLUMNS($AM$1006:AQ1006),$AM$1006:$BM$1006,0)))),"Fix")))</f>
        <v xml:space="preserve"> </v>
      </c>
      <c r="G951" s="4" t="str">
        <f ca="1">IF(OR(INDEX($AG$2:$AG$1001,MATCH(ROWS($AF$2:AF951),$AF$2:$AF$1001,0),1)&gt;=100000,INDEX($AM$1005:$BM$1005,1,MATCH(COLUMNS($AM$1006:AR1006),$AM$1006:$BM$1006,0))&gt;=100000), " ",IF(INDEX($AM$2:$BM$1001,MATCH(ROWS($AF$2:AF951),$AF$2:$AF$1001,0),MATCH(COLUMNS($AM$1006:AR1006),$AM$1006:$BM$1006,0)), HYPERLINK("#",""), HYPERLINK(CONCATENATE("#metadata!", ADDRESS(INDEX($AH$2:$AH$1001,MATCH(ROWS($AF$2:AF951),$AF$2:$AF$1001,0),0), INDEX($AM$1004:$BM$1004,1,MATCH(COLUMNS($AM$1006:AR1006),$AM$1006:$BM$1006,0)))),"Fix")))</f>
        <v xml:space="preserve"> </v>
      </c>
      <c r="H951" s="4" t="str">
        <f ca="1">IF(OR(INDEX($AG$2:$AG$1001,MATCH(ROWS($AF$2:AF951),$AF$2:$AF$1001,0),1)&gt;=100000,INDEX($AM$1005:$BM$1005,1,MATCH(COLUMNS($AM$1006:AS1006),$AM$1006:$BM$1006,0))&gt;=100000), " ",IF(INDEX($AM$2:$BM$1001,MATCH(ROWS($AF$2:AF951),$AF$2:$AF$1001,0),MATCH(COLUMNS($AM$1006:AS1006),$AM$1006:$BM$1006,0)), HYPERLINK("#",""), HYPERLINK(CONCATENATE("#metadata!", ADDRESS(INDEX($AH$2:$AH$1001,MATCH(ROWS($AF$2:AF951),$AF$2:$AF$1001,0),0), INDEX($AM$1004:$BM$1004,1,MATCH(COLUMNS($AM$1006:AS1006),$AM$1006:$BM$1006,0)))),"Fix")))</f>
        <v xml:space="preserve"> </v>
      </c>
      <c r="I951" s="4" t="str">
        <f ca="1">IF(OR(INDEX($AG$2:$AG$1001,MATCH(ROWS($AF$2:AF951),$AF$2:$AF$1001,0),1)&gt;=100000,INDEX($AM$1005:$BM$1005,1,MATCH(COLUMNS($AM$1006:AT1006),$AM$1006:$BM$1006,0))&gt;=100000), " ",IF(INDEX($AM$2:$BM$1001,MATCH(ROWS($AF$2:AF951),$AF$2:$AF$1001,0),MATCH(COLUMNS($AM$1006:AT1006),$AM$1006:$BM$1006,0)), HYPERLINK("#",""), HYPERLINK(CONCATENATE("#metadata!", ADDRESS(INDEX($AH$2:$AH$1001,MATCH(ROWS($AF$2:AF951),$AF$2:$AF$1001,0),0), INDEX($AM$1004:$BM$1004,1,MATCH(COLUMNS($AM$1006:AT1006),$AM$1006:$BM$1006,0)))),"Fix")))</f>
        <v xml:space="preserve"> </v>
      </c>
      <c r="J951" s="4" t="str">
        <f ca="1">IF(OR(INDEX($AG$2:$AG$1001,MATCH(ROWS($AF$2:AF951),$AF$2:$AF$1001,0),1)&gt;=100000,INDEX($AM$1005:$BM$1005,1,MATCH(COLUMNS($AM$1006:AU1006),$AM$1006:$BM$1006,0))&gt;=100000), " ",IF(INDEX($AM$2:$BM$1001,MATCH(ROWS($AF$2:AF951),$AF$2:$AF$1001,0),MATCH(COLUMNS($AM$1006:AU1006),$AM$1006:$BM$1006,0)), HYPERLINK("#",""), HYPERLINK(CONCATENATE("#metadata!", ADDRESS(INDEX($AH$2:$AH$1001,MATCH(ROWS($AF$2:AF951),$AF$2:$AF$1001,0),0), INDEX($AM$1004:$BM$1004,1,MATCH(COLUMNS($AM$1006:AU1006),$AM$1006:$BM$1006,0)))),"Fix")))</f>
        <v xml:space="preserve"> </v>
      </c>
      <c r="K951" s="4" t="str">
        <f ca="1">IF(OR(INDEX($AG$2:$AG$1001,MATCH(ROWS($AF$2:AF951),$AF$2:$AF$1001,0),1)&gt;=100000,INDEX($AM$1005:$BM$1005,1,MATCH(COLUMNS($AM$1006:AV1006),$AM$1006:$BM$1006,0))&gt;=100000), " ",IF(INDEX($AM$2:$BM$1001,MATCH(ROWS($AF$2:AF951),$AF$2:$AF$1001,0),MATCH(COLUMNS($AM$1006:AV1006),$AM$1006:$BM$1006,0)), HYPERLINK("#",""), HYPERLINK(CONCATENATE("#metadata!", ADDRESS(INDEX($AH$2:$AH$1001,MATCH(ROWS($AF$2:AF951),$AF$2:$AF$1001,0),0), INDEX($AM$1004:$BM$1004,1,MATCH(COLUMNS($AM$1006:AV1006),$AM$1006:$BM$1006,0)))),"Fix")))</f>
        <v xml:space="preserve"> </v>
      </c>
      <c r="L951" s="4" t="str">
        <f ca="1">IF(OR(INDEX($AG$2:$AG$1001,MATCH(ROWS($AF$2:AF951),$AF$2:$AF$1001,0),1)&gt;=100000,INDEX($AM$1005:$BM$1005,1,MATCH(COLUMNS($AM$1006:AW1006),$AM$1006:$BM$1006,0))&gt;=100000), " ",IF(INDEX($AM$2:$BM$1001,MATCH(ROWS($AF$2:AF951),$AF$2:$AF$1001,0),MATCH(COLUMNS($AM$1006:AW1006),$AM$1006:$BM$1006,0)), HYPERLINK("#",""), HYPERLINK(CONCATENATE("#metadata!", ADDRESS(INDEX($AH$2:$AH$1001,MATCH(ROWS($AF$2:AF951),$AF$2:$AF$1001,0),0), INDEX($AM$1004:$BM$1004,1,MATCH(COLUMNS($AM$1006:AW1006),$AM$1006:$BM$1006,0)))),"Fix")))</f>
        <v xml:space="preserve"> </v>
      </c>
      <c r="M951" s="4" t="str">
        <f ca="1">IF(OR(INDEX($AG$2:$AG$1001,MATCH(ROWS($AF$2:AF951),$AF$2:$AF$1001,0),1)&gt;=100000,INDEX($AM$1005:$BM$1005,1,MATCH(COLUMNS($AM$1006:AX1006),$AM$1006:$BM$1006,0))&gt;=100000), " ",IF(INDEX($AM$2:$BM$1001,MATCH(ROWS($AF$2:AF951),$AF$2:$AF$1001,0),MATCH(COLUMNS($AM$1006:AX1006),$AM$1006:$BM$1006,0)), HYPERLINK("#",""), HYPERLINK(CONCATENATE("#metadata!", ADDRESS(INDEX($AH$2:$AH$1001,MATCH(ROWS($AF$2:AF951),$AF$2:$AF$1001,0),0), INDEX($AM$1004:$BM$1004,1,MATCH(COLUMNS($AM$1006:AX1006),$AM$1006:$BM$1006,0)))),"Fix")))</f>
        <v xml:space="preserve"> </v>
      </c>
      <c r="N951" s="4" t="str">
        <f ca="1">IF(OR(INDEX($AG$2:$AG$1001,MATCH(ROWS($AF$2:AF951),$AF$2:$AF$1001,0),1)&gt;=100000,INDEX($AM$1005:$BM$1005,1,MATCH(COLUMNS($AM$1006:AY1006),$AM$1006:$BM$1006,0))&gt;=100000), " ",IF(INDEX($AM$2:$BM$1001,MATCH(ROWS($AF$2:AF951),$AF$2:$AF$1001,0),MATCH(COLUMNS($AM$1006:AY1006),$AM$1006:$BM$1006,0)), HYPERLINK("#",""), HYPERLINK(CONCATENATE("#metadata!", ADDRESS(INDEX($AH$2:$AH$1001,MATCH(ROWS($AF$2:AF951),$AF$2:$AF$1001,0),0), INDEX($AM$1004:$BM$1004,1,MATCH(COLUMNS($AM$1006:AY1006),$AM$1006:$BM$1006,0)))),"Fix")))</f>
        <v xml:space="preserve"> </v>
      </c>
      <c r="O951" s="4" t="str">
        <f ca="1">IF(OR(INDEX($AG$2:$AG$1001,MATCH(ROWS($AF$2:AF951),$AF$2:$AF$1001,0),1)&gt;=100000,INDEX($AM$1005:$BM$1005,1,MATCH(COLUMNS($AM$1006:AZ1006),$AM$1006:$BM$1006,0))&gt;=100000), " ",IF(INDEX($AM$2:$BM$1001,MATCH(ROWS($AF$2:AF951),$AF$2:$AF$1001,0),MATCH(COLUMNS($AM$1006:AZ1006),$AM$1006:$BM$1006,0)), HYPERLINK("#",""), HYPERLINK(CONCATENATE("#metadata!", ADDRESS(INDEX($AH$2:$AH$1001,MATCH(ROWS($AF$2:AF951),$AF$2:$AF$1001,0),0), INDEX($AM$1004:$BM$1004,1,MATCH(COLUMNS($AM$1006:AZ1006),$AM$1006:$BM$1006,0)))),"Fix")))</f>
        <v xml:space="preserve"> </v>
      </c>
      <c r="P951" s="4" t="str">
        <f ca="1">IF(OR(INDEX($AG$2:$AG$1001,MATCH(ROWS($AF$2:AF951),$AF$2:$AF$1001,0),1)&gt;=100000,INDEX($AM$1005:$BM$1005,1,MATCH(COLUMNS($AM$1006:BA1006),$AM$1006:$BM$1006,0))&gt;=100000), " ",IF(INDEX($AM$2:$BM$1001,MATCH(ROWS($AF$2:AF951),$AF$2:$AF$1001,0),MATCH(COLUMNS($AM$1006:BA1006),$AM$1006:$BM$1006,0)), HYPERLINK("#",""), HYPERLINK(CONCATENATE("#metadata!", ADDRESS(INDEX($AH$2:$AH$1001,MATCH(ROWS($AF$2:AF951),$AF$2:$AF$1001,0),0), INDEX($AM$1004:$BM$1004,1,MATCH(COLUMNS($AM$1006:BA1006),$AM$1006:$BM$1006,0)))),"Fix")))</f>
        <v xml:space="preserve"> </v>
      </c>
      <c r="Q951" s="4" t="str">
        <f ca="1">IF(OR(INDEX($AG$2:$AG$1001,MATCH(ROWS($AF$2:AF951),$AF$2:$AF$1001,0),1)&gt;=100000,INDEX($AM$1005:$BM$1005,1,MATCH(COLUMNS($AM$1006:BB1006),$AM$1006:$BM$1006,0))&gt;=100000), " ",IF(INDEX($AM$2:$BM$1001,MATCH(ROWS($AF$2:AF951),$AF$2:$AF$1001,0),MATCH(COLUMNS($AM$1006:BB1006),$AM$1006:$BM$1006,0)), HYPERLINK("#",""), HYPERLINK(CONCATENATE("#metadata!", ADDRESS(INDEX($AH$2:$AH$1001,MATCH(ROWS($AF$2:AF951),$AF$2:$AF$1001,0),0), INDEX($AM$1004:$BM$1004,1,MATCH(COLUMNS($AM$1006:BB1006),$AM$1006:$BM$1006,0)))),"Fix")))</f>
        <v xml:space="preserve"> </v>
      </c>
      <c r="R951" s="4" t="str">
        <f ca="1">IF(OR(INDEX($AG$2:$AG$1001,MATCH(ROWS($AF$2:AF951),$AF$2:$AF$1001,0),1)&gt;=100000,INDEX($AM$1005:$BM$1005,1,MATCH(COLUMNS($AM$1006:BC1006),$AM$1006:$BM$1006,0))&gt;=100000), " ",IF(INDEX($AM$2:$BM$1001,MATCH(ROWS($AF$2:AF951),$AF$2:$AF$1001,0),MATCH(COLUMNS($AM$1006:BC1006),$AM$1006:$BM$1006,0)), HYPERLINK("#",""), HYPERLINK(CONCATENATE("#metadata!", ADDRESS(INDEX($AH$2:$AH$1001,MATCH(ROWS($AF$2:AF951),$AF$2:$AF$1001,0),0), INDEX($AM$1004:$BM$1004,1,MATCH(COLUMNS($AM$1006:BC1006),$AM$1006:$BM$1006,0)))),"Fix")))</f>
        <v xml:space="preserve"> </v>
      </c>
      <c r="S951" s="4" t="str">
        <f ca="1">IF(OR(INDEX($AG$2:$AG$1001,MATCH(ROWS($AF$2:AF951),$AF$2:$AF$1001,0),1)&gt;=100000,INDEX($AM$1005:$BM$1005,1,MATCH(COLUMNS($AM$1006:BD1006),$AM$1006:$BM$1006,0))&gt;=100000), " ",IF(INDEX($AM$2:$BM$1001,MATCH(ROWS($AF$2:AF951),$AF$2:$AF$1001,0),MATCH(COLUMNS($AM$1006:BD1006),$AM$1006:$BM$1006,0)), HYPERLINK("#",""), HYPERLINK(CONCATENATE("#metadata!", ADDRESS(INDEX($AH$2:$AH$1001,MATCH(ROWS($AF$2:AF951),$AF$2:$AF$1001,0),0), INDEX($AM$1004:$BM$1004,1,MATCH(COLUMNS($AM$1006:BD1006),$AM$1006:$BM$1006,0)))),"Fix")))</f>
        <v xml:space="preserve"> </v>
      </c>
      <c r="T951" s="4" t="str">
        <f ca="1">IF(OR(INDEX($AG$2:$AG$1001,MATCH(ROWS($AF$2:AF951),$AF$2:$AF$1001,0),1)&gt;=100000,INDEX($AM$1005:$BM$1005,1,MATCH(COLUMNS($AM$1006:BE1006),$AM$1006:$BM$1006,0))&gt;=100000), " ",IF(INDEX($AM$2:$BM$1001,MATCH(ROWS($AF$2:AF951),$AF$2:$AF$1001,0),MATCH(COLUMNS($AM$1006:BE1006),$AM$1006:$BM$1006,0)), HYPERLINK("#",""), HYPERLINK(CONCATENATE("#metadata!", ADDRESS(INDEX($AH$2:$AH$1001,MATCH(ROWS($AF$2:AF951),$AF$2:$AF$1001,0),0), INDEX($AM$1004:$BM$1004,1,MATCH(COLUMNS($AM$1006:BE1006),$AM$1006:$BM$1006,0)))),"Fix")))</f>
        <v xml:space="preserve"> </v>
      </c>
      <c r="U951" s="4" t="str">
        <f ca="1">IF(OR(INDEX($AG$2:$AG$1001,MATCH(ROWS($AF$2:AF951),$AF$2:$AF$1001,0),1)&gt;=100000,INDEX($AM$1005:$BM$1005,1,MATCH(COLUMNS($AM$1006:BF1006),$AM$1006:$BM$1006,0))&gt;=100000), " ",IF(INDEX($AM$2:$BM$1001,MATCH(ROWS($AF$2:AF951),$AF$2:$AF$1001,0),MATCH(COLUMNS($AM$1006:BF1006),$AM$1006:$BM$1006,0)), HYPERLINK("#",""), HYPERLINK(CONCATENATE("#metadata!", ADDRESS(INDEX($AH$2:$AH$1001,MATCH(ROWS($AF$2:AF951),$AF$2:$AF$1001,0),0), INDEX($AM$1004:$BM$1004,1,MATCH(COLUMNS($AM$1006:BF1006),$AM$1006:$BM$1006,0)))),"Fix")))</f>
        <v xml:space="preserve"> </v>
      </c>
      <c r="V951" s="4" t="str">
        <f ca="1">IF(OR(INDEX($AG$2:$AG$1001,MATCH(ROWS($AF$2:AF951),$AF$2:$AF$1001,0),1)&gt;=100000,INDEX($AM$1005:$BM$1005,1,MATCH(COLUMNS($AM$1006:BG1006),$AM$1006:$BM$1006,0))&gt;=100000), " ",IF(INDEX($AM$2:$BM$1001,MATCH(ROWS($AF$2:AF951),$AF$2:$AF$1001,0),MATCH(COLUMNS($AM$1006:BG1006),$AM$1006:$BM$1006,0)), HYPERLINK("#",""), HYPERLINK(CONCATENATE("#metadata!", ADDRESS(INDEX($AH$2:$AH$1001,MATCH(ROWS($AF$2:AF951),$AF$2:$AF$1001,0),0), INDEX($AM$1004:$BM$1004,1,MATCH(COLUMNS($AM$1006:BG1006),$AM$1006:$BM$1006,0)))),"Fix")))</f>
        <v xml:space="preserve"> </v>
      </c>
      <c r="W951" s="4" t="str">
        <f ca="1">IF(OR(INDEX($AG$2:$AG$1001,MATCH(ROWS($AF$2:AF951),$AF$2:$AF$1001,0),1)&gt;=100000,INDEX($AM$1005:$BM$1005,1,MATCH(COLUMNS($AM$1006:BH1006),$AM$1006:$BM$1006,0))&gt;=100000), " ",IF(INDEX($AM$2:$BM$1001,MATCH(ROWS($AF$2:AF951),$AF$2:$AF$1001,0),MATCH(COLUMNS($AM$1006:BH1006),$AM$1006:$BM$1006,0)), HYPERLINK("#",""), HYPERLINK(CONCATENATE("#metadata!", ADDRESS(INDEX($AH$2:$AH$1001,MATCH(ROWS($AF$2:AF951),$AF$2:$AF$1001,0),0), INDEX($AM$1004:$BM$1004,1,MATCH(COLUMNS($AM$1006:BH1006),$AM$1006:$BM$1006,0)))),"Fix")))</f>
        <v xml:space="preserve"> </v>
      </c>
      <c r="X951" s="4" t="str">
        <f ca="1">IF(OR(INDEX($AG$2:$AG$1001,MATCH(ROWS($AF$2:AF951),$AF$2:$AF$1001,0),1)&gt;=100000,INDEX($AM$1005:$BM$1005,1,MATCH(COLUMNS($AM$1006:BI1006),$AM$1006:$BM$1006,0))&gt;=100000), " ",IF(INDEX($AM$2:$BM$1001,MATCH(ROWS($AF$2:AF951),$AF$2:$AF$1001,0),MATCH(COLUMNS($AM$1006:BI1006),$AM$1006:$BM$1006,0)), HYPERLINK("#",""), HYPERLINK(CONCATENATE("#metadata!", ADDRESS(INDEX($AH$2:$AH$1001,MATCH(ROWS($AF$2:AF951),$AF$2:$AF$1001,0),0), INDEX($AM$1004:$BM$1004,1,MATCH(COLUMNS($AM$1006:BI1006),$AM$1006:$BM$1006,0)))),"Fix")))</f>
        <v xml:space="preserve"> </v>
      </c>
      <c r="Y951" s="4" t="str">
        <f ca="1">IF(OR(INDEX($AG$2:$AG$1001,MATCH(ROWS($AF$2:AF951),$AF$2:$AF$1001,0),1)&gt;=100000,INDEX($AM$1005:$BM$1005,1,MATCH(COLUMNS($AM$1006:BJ1006),$AM$1006:$BM$1006,0))&gt;=100000), " ",IF(INDEX($AM$2:$BM$1001,MATCH(ROWS($AF$2:AF951),$AF$2:$AF$1001,0),MATCH(COLUMNS($AM$1006:BJ1006),$AM$1006:$BM$1006,0)), HYPERLINK("#",""), HYPERLINK(CONCATENATE("#metadata!", ADDRESS(INDEX($AH$2:$AH$1001,MATCH(ROWS($AF$2:AF951),$AF$2:$AF$1001,0),0), INDEX($AM$1004:$BM$1004,1,MATCH(COLUMNS($AM$1006:BJ1006),$AM$1006:$BM$1006,0)))),"Fix")))</f>
        <v xml:space="preserve"> </v>
      </c>
      <c r="Z951" s="4" t="str">
        <f ca="1">IF(OR(INDEX($AG$2:$AG$1001,MATCH(ROWS($AF$2:AF951),$AF$2:$AF$1001,0),1)&gt;=100000,INDEX($AM$1005:$BM$1005,1,MATCH(COLUMNS($AM$1006:BK1006),$AM$1006:$BM$1006,0))&gt;=100000), " ",IF(INDEX($AM$2:$BM$1001,MATCH(ROWS($AF$2:AF951),$AF$2:$AF$1001,0),MATCH(COLUMNS($AM$1006:BK1006),$AM$1006:$BM$1006,0)), HYPERLINK("#",""), HYPERLINK(CONCATENATE("#metadata!", ADDRESS(INDEX($AH$2:$AH$1001,MATCH(ROWS($AF$2:AF951),$AF$2:$AF$1001,0),0), INDEX($AM$1004:$BM$1004,1,MATCH(COLUMNS($AM$1006:BK1006),$AM$1006:$BM$1006,0)))),"Fix")))</f>
        <v xml:space="preserve"> </v>
      </c>
      <c r="AA951" s="4" t="str">
        <f ca="1">IF(OR(INDEX($AG$2:$AG$1001,MATCH(ROWS($AF$2:AF951),$AF$2:$AF$1001,0),1)&gt;=100000,INDEX($AM$1005:$BM$1005,1,MATCH(COLUMNS($AM$1006:BL1006),$AM$1006:$BM$1006,0))&gt;=100000), " ",IF(INDEX($AM$2:$BM$1001,MATCH(ROWS($AF$2:AF951),$AF$2:$AF$1001,0),MATCH(COLUMNS($AM$1006:BL1006),$AM$1006:$BM$1006,0)), HYPERLINK("#",""), HYPERLINK(CONCATENATE("#metadata!", ADDRESS(INDEX($AH$2:$AH$1001,MATCH(ROWS($AF$2:AF951),$AF$2:$AF$1001,0),0), INDEX($AM$1004:$BM$1004,1,MATCH(COLUMNS($AM$1006:BL1006),$AM$1006:$BM$1006,0)))),"Fix")))</f>
        <v xml:space="preserve"> </v>
      </c>
      <c r="AB951" s="4" t="str">
        <f ca="1">IF(OR(INDEX($AG$2:$AG$1001,MATCH(ROWS($AF$2:AF951),$AF$2:$AF$1001,0),1)&gt;=100000,INDEX($AM$1005:$BM$1005,1,MATCH(COLUMNS($AM$1006:BM1006),$AM$1006:$BM$1006,0))&gt;=100000), " ",IF(INDEX($AM$2:$BM$1001,MATCH(ROWS($AF$2:AF951),$AF$2:$AF$1001,0),MATCH(COLUMNS($AM$1006:BM1006),$AM$1006:$BM$1006,0)), HYPERLINK("#",""), HYPERLINK(CONCATENATE("#metadata!", ADDRESS(INDEX($AH$2:$AH$1001,MATCH(ROWS($AF$2:AF951),$AF$2:$AF$1001,0),0), INDEX($AM$1004:$BM$1004,1,MATCH(COLUMNS($AM$1006:BM1006),$AM$1006:$BM$1006,0)))),"Fix")))</f>
        <v xml:space="preserve"> </v>
      </c>
      <c r="AF951">
        <v>950</v>
      </c>
      <c r="AG951">
        <v>100951</v>
      </c>
      <c r="AH951">
        <v>951</v>
      </c>
      <c r="AI951" t="b">
        <f t="shared" si="14"/>
        <v>1</v>
      </c>
      <c r="AJ951" t="b">
        <f>COUNTBLANK(metadata!B951:AB951)=COLUMNS(metadata!B951:AB951)</f>
        <v>1</v>
      </c>
      <c r="AK951" t="str">
        <v/>
      </c>
      <c r="AM951" t="b">
        <f ca="1">AND(IF(metadata!B951="",FALSE,TRUE),COUNTIF(metadata!B:B, metadata!B951) = 1,NOT(ISERROR(SUMPRODUCT(SEARCH(MID(metadata!B951,ROW(INDIRECT("1:"&amp;LEN(metadata!B951))), 1),"0123456789abcdefghijklmnopqrstuvwxyzABCDEFGHIJKLMNOPQRSTUVWXYZ.")))))</f>
        <v>0</v>
      </c>
      <c r="AN951" t="b">
        <f ca="1">OR(AND(IF(metadata!C951="",FALSE,TRUE),OR(EXACT(metadata!C951,"missing: not collected"),EXACT(metadata!C951,"missing: not provided"),EXACT(metadata!C951,"missing: restricted access"))),AND(IF(metadata!C951="",FALSE,TRUE),AND(AND(IFERROR(INT(LEFT(metadata!C951,4))&gt;1900,FALSE),IFERROR(INT(LEFT(metadata!C951,4))&lt;=YEAR(NOW()),FALSE)), OR(MID(metadata!C951,5,1)="", AND(AND(MID(metadata!C951,5,1)="-",IFERROR(INT(MID(metadata!C951,6,1))&gt;=0,FALSE),IFERROR(INT(MID(metadata!C951,6,1))&lt;=1,FALSE),NOT(MID(metadata!C951,7,1)=""),IFERROR(INT(MID(metadata!C951,6,2))&gt;=1,FALSE),IFERROR(INT(MID(metadata!C951,6,2))&lt;=12,FALSE)), OR(MID(metadata!C951,8,1)="", AND(AND(MID(metadata!C951,8,1)="-",IFERROR(INT(MID(metadata!C951,9,1))&gt;=0,FALSE),IFERROR(INT(MID(metadata!C951,9,1))&lt;=3,FALSE),NOT(MID(metadata!C951,10,1)=""),IFERROR(INT(MID(metadata!C951,9,2))&gt;=1,FALSE),IFERROR(INT(MID(metadata!C951,9,2))&lt;=31,FALSE)), OR(MID(metadata!C951,11,1)="", AND(AND(MID(metadata!C951,11,1)=" ",IFERROR(INT(MID(metadata!C951,12,1))&gt;=0,FALSE),IFERROR(INT(MID(metadata!C951,12,1))&lt;=2,FALSE),NOT(MID(metadata!C951,13,1)=""),IFERROR(INT(MID(metadata!C951,12,2))&gt;=0,FALSE),IFERROR(INT(MID(metadata!C951,12,2))&lt;=23,FALSE)), OR(MID(metadata!C951,14,1)="", AND(AND(MID(metadata!C951,14,1)=":",IFERROR(INT(MID(metadata!C951,15,1))&gt;=0,FALSE),IFERROR(INT(MID(metadata!C951,15,1))&lt;=5,FALSE),NOT(MID(metadata!C951,16,1)=""),IFERROR(INT(MID(metadata!C951,15,2))&gt;=0,FALSE),IFERROR(INT(MID(metadata!C951,15,2))&lt;=59,FALSE)), OR(MID(metadata!C951,17,1)="", AND(AND(MID(metadata!C951,17,1)=":",IFERROR(INT(MID(metadata!C951,18,1))&gt;=0,FALSE),IFERROR(INT(MID(metadata!C951,18,1))&lt;=5,FALSE),NOT(MID(metadata!C951,19,1)=""),IFERROR(INT(MID(metadata!C951,18,2))&gt;=0,FALSE),IFERROR(INT(MID(metadata!C951,18,2))&lt;=59,FALSE)), LEN(metadata!C951)&lt;=19)))))))))))))</f>
        <v>0</v>
      </c>
      <c r="AO951" t="b">
        <f>AND(IF(metadata!D951="",FALSE,TRUE),EXACT(metadata!D951,"Not applicable"))</f>
        <v>0</v>
      </c>
      <c r="AP951" t="b">
        <f>IF(metadata!E951="",FALSE,TRUE)</f>
        <v>0</v>
      </c>
      <c r="AQ951" t="b">
        <f>OR(AND(IF(metadata!F951="",FALSE,TRUE),OR(EXACT(metadata!F951,"missing: not collected"),EXACT(metadata!F951,"missing: not provided"))),AND(IF(metadata!F951="",FALSE,TRUE),OR(EXACT(metadata!F951,"TRUE"),EXACT(metadata!F951,"FALSE"))))</f>
        <v>0</v>
      </c>
      <c r="AR951" t="b">
        <f>OR(AND(IF(metadata!G951="",FALSE,TRUE),OR(EXACT(metadata!G951,"missing: not collected"),EXACT(metadata!G951,"missing: not provided"),EXACT(metadata!G951,"missing: restricted access"))),AND(IF(metadata!G951="",FALSE,ISNUMBER(VALUE(metadata!G951))),metadata!G951&gt;=-413))</f>
        <v>0</v>
      </c>
      <c r="AS951" t="b">
        <f>AND(IF(metadata!H951="",FALSE,TRUE),EXACT(metadata!H951,"meters"))</f>
        <v>0</v>
      </c>
      <c r="AT951" t="b">
        <f>AND(IF(metadata!I951="",FALSE,TRUE),OR(EXACT(metadata!I951,"Host-associated"),EXACT(metadata!I951,"Free-living")))</f>
        <v>0</v>
      </c>
      <c r="AU951" t="b">
        <f>AND(IF(metadata!J951="",FALSE,TRUE),OR(EXACT(metadata!J951,"Animal"),EXACT(metadata!J951,"Fungus"),EXACT(metadata!J951,"Plant"),EXACT(metadata!J951,"Saline"),EXACT(metadata!J951,"Non-saline")))</f>
        <v>0</v>
      </c>
      <c r="AV951" t="b">
        <f>AND(IF(metadata!K951="",FALSE,TRUE),OR(EXACT(metadata!K951,"Plant secretion"),EXACT(metadata!K951,"Plant rhizosphere"),EXACT(metadata!K951,"Plant surface"),EXACT(metadata!K951,"Plant corpus"),EXACT(metadata!K951,"Fungus surface"),EXACT(metadata!K951,"Fungus corpus"),EXACT(metadata!K951,"Animal surface"),EXACT(metadata!K951,"Animal proximal gut"),EXACT(metadata!K951,"Animal corpus"),EXACT(metadata!K951,"Animal distal gut"),EXACT(metadata!K951,"Animal secretion"),EXACT(metadata!K951,"Sub-surface (non-saline)"),EXACT(metadata!K951,"Surface (non-saline)"),EXACT(metadata!K951,"Water (non-saline)"),EXACT(metadata!K951,"Soil (non-saline)"),EXACT(metadata!K951,"Aerosol (non-saline)"),EXACT(metadata!K951,"Sediment (non-saline)"),EXACT(metadata!K951,"Surface (saline)"),EXACT(metadata!K951,"Water (saline)"),EXACT(metadata!K951,"Hypersaline (saline)"),EXACT(metadata!K951,"Aerosol (saline)"),EXACT(metadata!K951,"Sediment (saline)")))</f>
        <v>0</v>
      </c>
      <c r="AW951" t="b">
        <f>IF(metadata!L951="",FALSE,TRUE)</f>
        <v>0</v>
      </c>
      <c r="AX951" t="b">
        <f>IF(metadata!M951="",FALSE,TRUE)</f>
        <v>0</v>
      </c>
      <c r="AY951" t="b">
        <f>IF(metadata!N951="",FALSE,TRUE)</f>
        <v>0</v>
      </c>
      <c r="AZ951" t="b">
        <f>OR(AND(IF(metadata!O951="",FALSE,TRUE),OR(EXACT(metadata!O951,"missing: not collected"),EXACT(metadata!O951,"missing: not provided"),EXACT(metadata!O951,"missing: restricted access"))),AND(IF(metadata!O951="",FALSE,TRUE),OR(EXACT(metadata!O951,"air"),EXACT(metadata!O951,"built environment"),EXACT(metadata!O951,"host-associated"),EXACT(metadata!O951,"human-associated"),EXACT(metadata!O951,"human-skin"),EXACT(metadata!O951,"human-oral"),EXACT(metadata!O951,"human-gut"),EXACT(metadata!O951,"human-vaginal"),EXACT(metadata!O951,"microbial mat/biofilm"),EXACT(metadata!O951,"misc environment"),EXACT(metadata!O951,"plant-associated"),EXACT(metadata!O951,"sediment"),EXACT(metadata!O951,"soil"),EXACT(metadata!O951,"wastewater/sludge"),EXACT(metadata!O951,"water"))))</f>
        <v>0</v>
      </c>
      <c r="BA951" t="b">
        <f>IF(metadata!P951="",FALSE,TRUE)</f>
        <v>0</v>
      </c>
      <c r="BB951" t="b">
        <f>IF(metadata!Q951="",FALSE,TRUE)</f>
        <v>0</v>
      </c>
      <c r="BC951" t="b">
        <f>OR(AND(IF(metadata!R951="",FALSE,TRUE),OR(EXACT(metadata!R951,"missing: not collected"),EXACT(metadata!R951,"missing: not provided"),EXACT(metadata!R951,"missing: restricted access"))),AND(IF(metadata!R951="",FALSE,ISNUMBER(VALUE(metadata!R951))),metadata!R951&gt;=-90,metadata!R951&lt;=90))</f>
        <v>0</v>
      </c>
      <c r="BD951" t="b">
        <f>AND(IF(metadata!S951="",FALSE,TRUE),EXACT(metadata!S951,"Decimal degrees"))</f>
        <v>0</v>
      </c>
      <c r="BE951" t="b">
        <f>OR(AND(IF(metadata!T951="",FALSE,TRUE),OR(EXACT(metadata!T951,"missing: not collected"),EXACT(metadata!T951,"missing: not provided"),EXACT(metadata!T951,"missing: restricted access"))),AND(IF(metadata!T951="",FALSE,ISNUMBER(VALUE(metadata!T951))),metadata!T951&gt;=-180,metadata!T951&lt;=180))</f>
        <v>0</v>
      </c>
      <c r="BF951" t="b">
        <f>AND(IF(metadata!U951="",FALSE,TRUE),EXACT(metadata!U951,"Decimal degrees"))</f>
        <v>0</v>
      </c>
      <c r="BG951" t="b">
        <f>IF(metadata!V951="",FALSE,TRUE)</f>
        <v>0</v>
      </c>
      <c r="BH951" t="b">
        <f>OR(AND(IF(metadata!W951="",FALSE,TRUE),OR(EXACT(metadata!W951,"missing: not collected"),EXACT(metadata!W951,"missing: not provided"),EXACT(metadata!W951,"missing: restricted access"))),AND(IF(metadata!W951="",FALSE,TRUE),OR(EXACT(metadata!W951,"TRUE"),EXACT(metadata!W951,"FALSE"))))</f>
        <v>0</v>
      </c>
      <c r="BI951" t="b">
        <f>AND(IF(metadata!X951="",FALSE,TRUE),EXACT(metadata!X951,"other"))</f>
        <v>0</v>
      </c>
      <c r="BJ951" t="b">
        <f>IF(metadata!Y951="",FALSE,TRUE)</f>
        <v>0</v>
      </c>
      <c r="BK951" t="b">
        <f>OR(AND(IF(metadata!Z951="",FALSE,TRUE),OR(EXACT(metadata!Z951,"missing: not collected"),EXACT(metadata!Z951,"missing: not provided"))),AND(IF(metadata!Z951="",FALSE,IF(ISERROR(INT(metadata!Z951)),FALSE,INT(metadata!Z951)=metadata!Z951)),metadata!Z951&gt;0))</f>
        <v>0</v>
      </c>
      <c r="BL951" t="b">
        <f>AND(IF(metadata!AA951="",FALSE,TRUE),EXACT(metadata!AA951,"Not applicable"))</f>
        <v>0</v>
      </c>
      <c r="BM951" t="b">
        <f>IF(metadata!AB951="",FALSE,TRUE)</f>
        <v>0</v>
      </c>
    </row>
    <row r="952" spans="1:65" x14ac:dyDescent="0.2">
      <c r="A952" s="5" t="str">
        <f ca="1">IF(B952=" "," ",HYPERLINK(CONCATENATE("#metadata!",ADDRESS(INDEX($AH$2:$AH$1001,MATCH(ROWS($AF$2:AF952),$AF$2:$AF$1001,0),0),1)),INDEX($AK$2:$AK$1001,MATCH(ROWS($AF$2:AF952),$AF$2:$AF$1001,0),0)))</f>
        <v xml:space="preserve"> </v>
      </c>
      <c r="B952" s="4" t="str">
        <f ca="1">IF(OR(INDEX($AG$2:$AG$1001,MATCH(ROWS($AF$2:AF952),$AF$2:$AF$1001,0),1)&gt;=100000,INDEX($AM$1005:$BM$1005,1,MATCH(COLUMNS($AM$1006:AM1006),$AM$1006:$BM$1006,0))&gt;=100000), " ",IF(INDEX($AM$2:$BM$1001,MATCH(ROWS($AF$2:AF952),$AF$2:$AF$1001,0),MATCH(COLUMNS($AM$1006:AM1006),$AM$1006:$BM$1006,0)), HYPERLINK("#",""), HYPERLINK(CONCATENATE("#metadata!", ADDRESS(INDEX($AH$2:$AH$1001,MATCH(ROWS($AF$2:AF952),$AF$2:$AF$1001,0),0), INDEX($AM$1004:$BM$1004,1,MATCH(COLUMNS($AM$1006:AM1006),$AM$1006:$BM$1006,0)))),"Fix")))</f>
        <v xml:space="preserve"> </v>
      </c>
      <c r="C952" s="4" t="str">
        <f ca="1">IF(OR(INDEX($AG$2:$AG$1001,MATCH(ROWS($AF$2:AF952),$AF$2:$AF$1001,0),1)&gt;=100000,INDEX($AM$1005:$BM$1005,1,MATCH(COLUMNS($AM$1006:AN1006),$AM$1006:$BM$1006,0))&gt;=100000), " ",IF(INDEX($AM$2:$BM$1001,MATCH(ROWS($AF$2:AF952),$AF$2:$AF$1001,0),MATCH(COLUMNS($AM$1006:AN1006),$AM$1006:$BM$1006,0)), HYPERLINK("#",""), HYPERLINK(CONCATENATE("#metadata!", ADDRESS(INDEX($AH$2:$AH$1001,MATCH(ROWS($AF$2:AF952),$AF$2:$AF$1001,0),0), INDEX($AM$1004:$BM$1004,1,MATCH(COLUMNS($AM$1006:AN1006),$AM$1006:$BM$1006,0)))),"Fix")))</f>
        <v xml:space="preserve"> </v>
      </c>
      <c r="D952" s="4" t="str">
        <f ca="1">IF(OR(INDEX($AG$2:$AG$1001,MATCH(ROWS($AF$2:AF952),$AF$2:$AF$1001,0),1)&gt;=100000,INDEX($AM$1005:$BM$1005,1,MATCH(COLUMNS($AM$1006:AO1006),$AM$1006:$BM$1006,0))&gt;=100000), " ",IF(INDEX($AM$2:$BM$1001,MATCH(ROWS($AF$2:AF952),$AF$2:$AF$1001,0),MATCH(COLUMNS($AM$1006:AO1006),$AM$1006:$BM$1006,0)), HYPERLINK("#",""), HYPERLINK(CONCATENATE("#metadata!", ADDRESS(INDEX($AH$2:$AH$1001,MATCH(ROWS($AF$2:AF952),$AF$2:$AF$1001,0),0), INDEX($AM$1004:$BM$1004,1,MATCH(COLUMNS($AM$1006:AO1006),$AM$1006:$BM$1006,0)))),"Fix")))</f>
        <v xml:space="preserve"> </v>
      </c>
      <c r="E952" s="4" t="str">
        <f ca="1">IF(OR(INDEX($AG$2:$AG$1001,MATCH(ROWS($AF$2:AF952),$AF$2:$AF$1001,0),1)&gt;=100000,INDEX($AM$1005:$BM$1005,1,MATCH(COLUMNS($AM$1006:AP1006),$AM$1006:$BM$1006,0))&gt;=100000), " ",IF(INDEX($AM$2:$BM$1001,MATCH(ROWS($AF$2:AF952),$AF$2:$AF$1001,0),MATCH(COLUMNS($AM$1006:AP1006),$AM$1006:$BM$1006,0)), HYPERLINK("#",""), HYPERLINK(CONCATENATE("#metadata!", ADDRESS(INDEX($AH$2:$AH$1001,MATCH(ROWS($AF$2:AF952),$AF$2:$AF$1001,0),0), INDEX($AM$1004:$BM$1004,1,MATCH(COLUMNS($AM$1006:AP1006),$AM$1006:$BM$1006,0)))),"Fix")))</f>
        <v xml:space="preserve"> </v>
      </c>
      <c r="F952" s="4" t="str">
        <f ca="1">IF(OR(INDEX($AG$2:$AG$1001,MATCH(ROWS($AF$2:AF952),$AF$2:$AF$1001,0),1)&gt;=100000,INDEX($AM$1005:$BM$1005,1,MATCH(COLUMNS($AM$1006:AQ1006),$AM$1006:$BM$1006,0))&gt;=100000), " ",IF(INDEX($AM$2:$BM$1001,MATCH(ROWS($AF$2:AF952),$AF$2:$AF$1001,0),MATCH(COLUMNS($AM$1006:AQ1006),$AM$1006:$BM$1006,0)), HYPERLINK("#",""), HYPERLINK(CONCATENATE("#metadata!", ADDRESS(INDEX($AH$2:$AH$1001,MATCH(ROWS($AF$2:AF952),$AF$2:$AF$1001,0),0), INDEX($AM$1004:$BM$1004,1,MATCH(COLUMNS($AM$1006:AQ1006),$AM$1006:$BM$1006,0)))),"Fix")))</f>
        <v xml:space="preserve"> </v>
      </c>
      <c r="G952" s="4" t="str">
        <f ca="1">IF(OR(INDEX($AG$2:$AG$1001,MATCH(ROWS($AF$2:AF952),$AF$2:$AF$1001,0),1)&gt;=100000,INDEX($AM$1005:$BM$1005,1,MATCH(COLUMNS($AM$1006:AR1006),$AM$1006:$BM$1006,0))&gt;=100000), " ",IF(INDEX($AM$2:$BM$1001,MATCH(ROWS($AF$2:AF952),$AF$2:$AF$1001,0),MATCH(COLUMNS($AM$1006:AR1006),$AM$1006:$BM$1006,0)), HYPERLINK("#",""), HYPERLINK(CONCATENATE("#metadata!", ADDRESS(INDEX($AH$2:$AH$1001,MATCH(ROWS($AF$2:AF952),$AF$2:$AF$1001,0),0), INDEX($AM$1004:$BM$1004,1,MATCH(COLUMNS($AM$1006:AR1006),$AM$1006:$BM$1006,0)))),"Fix")))</f>
        <v xml:space="preserve"> </v>
      </c>
      <c r="H952" s="4" t="str">
        <f ca="1">IF(OR(INDEX($AG$2:$AG$1001,MATCH(ROWS($AF$2:AF952),$AF$2:$AF$1001,0),1)&gt;=100000,INDEX($AM$1005:$BM$1005,1,MATCH(COLUMNS($AM$1006:AS1006),$AM$1006:$BM$1006,0))&gt;=100000), " ",IF(INDEX($AM$2:$BM$1001,MATCH(ROWS($AF$2:AF952),$AF$2:$AF$1001,0),MATCH(COLUMNS($AM$1006:AS1006),$AM$1006:$BM$1006,0)), HYPERLINK("#",""), HYPERLINK(CONCATENATE("#metadata!", ADDRESS(INDEX($AH$2:$AH$1001,MATCH(ROWS($AF$2:AF952),$AF$2:$AF$1001,0),0), INDEX($AM$1004:$BM$1004,1,MATCH(COLUMNS($AM$1006:AS1006),$AM$1006:$BM$1006,0)))),"Fix")))</f>
        <v xml:space="preserve"> </v>
      </c>
      <c r="I952" s="4" t="str">
        <f ca="1">IF(OR(INDEX($AG$2:$AG$1001,MATCH(ROWS($AF$2:AF952),$AF$2:$AF$1001,0),1)&gt;=100000,INDEX($AM$1005:$BM$1005,1,MATCH(COLUMNS($AM$1006:AT1006),$AM$1006:$BM$1006,0))&gt;=100000), " ",IF(INDEX($AM$2:$BM$1001,MATCH(ROWS($AF$2:AF952),$AF$2:$AF$1001,0),MATCH(COLUMNS($AM$1006:AT1006),$AM$1006:$BM$1006,0)), HYPERLINK("#",""), HYPERLINK(CONCATENATE("#metadata!", ADDRESS(INDEX($AH$2:$AH$1001,MATCH(ROWS($AF$2:AF952),$AF$2:$AF$1001,0),0), INDEX($AM$1004:$BM$1004,1,MATCH(COLUMNS($AM$1006:AT1006),$AM$1006:$BM$1006,0)))),"Fix")))</f>
        <v xml:space="preserve"> </v>
      </c>
      <c r="J952" s="4" t="str">
        <f ca="1">IF(OR(INDEX($AG$2:$AG$1001,MATCH(ROWS($AF$2:AF952),$AF$2:$AF$1001,0),1)&gt;=100000,INDEX($AM$1005:$BM$1005,1,MATCH(COLUMNS($AM$1006:AU1006),$AM$1006:$BM$1006,0))&gt;=100000), " ",IF(INDEX($AM$2:$BM$1001,MATCH(ROWS($AF$2:AF952),$AF$2:$AF$1001,0),MATCH(COLUMNS($AM$1006:AU1006),$AM$1006:$BM$1006,0)), HYPERLINK("#",""), HYPERLINK(CONCATENATE("#metadata!", ADDRESS(INDEX($AH$2:$AH$1001,MATCH(ROWS($AF$2:AF952),$AF$2:$AF$1001,0),0), INDEX($AM$1004:$BM$1004,1,MATCH(COLUMNS($AM$1006:AU1006),$AM$1006:$BM$1006,0)))),"Fix")))</f>
        <v xml:space="preserve"> </v>
      </c>
      <c r="K952" s="4" t="str">
        <f ca="1">IF(OR(INDEX($AG$2:$AG$1001,MATCH(ROWS($AF$2:AF952),$AF$2:$AF$1001,0),1)&gt;=100000,INDEX($AM$1005:$BM$1005,1,MATCH(COLUMNS($AM$1006:AV1006),$AM$1006:$BM$1006,0))&gt;=100000), " ",IF(INDEX($AM$2:$BM$1001,MATCH(ROWS($AF$2:AF952),$AF$2:$AF$1001,0),MATCH(COLUMNS($AM$1006:AV1006),$AM$1006:$BM$1006,0)), HYPERLINK("#",""), HYPERLINK(CONCATENATE("#metadata!", ADDRESS(INDEX($AH$2:$AH$1001,MATCH(ROWS($AF$2:AF952),$AF$2:$AF$1001,0),0), INDEX($AM$1004:$BM$1004,1,MATCH(COLUMNS($AM$1006:AV1006),$AM$1006:$BM$1006,0)))),"Fix")))</f>
        <v xml:space="preserve"> </v>
      </c>
      <c r="L952" s="4" t="str">
        <f ca="1">IF(OR(INDEX($AG$2:$AG$1001,MATCH(ROWS($AF$2:AF952),$AF$2:$AF$1001,0),1)&gt;=100000,INDEX($AM$1005:$BM$1005,1,MATCH(COLUMNS($AM$1006:AW1006),$AM$1006:$BM$1006,0))&gt;=100000), " ",IF(INDEX($AM$2:$BM$1001,MATCH(ROWS($AF$2:AF952),$AF$2:$AF$1001,0),MATCH(COLUMNS($AM$1006:AW1006),$AM$1006:$BM$1006,0)), HYPERLINK("#",""), HYPERLINK(CONCATENATE("#metadata!", ADDRESS(INDEX($AH$2:$AH$1001,MATCH(ROWS($AF$2:AF952),$AF$2:$AF$1001,0),0), INDEX($AM$1004:$BM$1004,1,MATCH(COLUMNS($AM$1006:AW1006),$AM$1006:$BM$1006,0)))),"Fix")))</f>
        <v xml:space="preserve"> </v>
      </c>
      <c r="M952" s="4" t="str">
        <f ca="1">IF(OR(INDEX($AG$2:$AG$1001,MATCH(ROWS($AF$2:AF952),$AF$2:$AF$1001,0),1)&gt;=100000,INDEX($AM$1005:$BM$1005,1,MATCH(COLUMNS($AM$1006:AX1006),$AM$1006:$BM$1006,0))&gt;=100000), " ",IF(INDEX($AM$2:$BM$1001,MATCH(ROWS($AF$2:AF952),$AF$2:$AF$1001,0),MATCH(COLUMNS($AM$1006:AX1006),$AM$1006:$BM$1006,0)), HYPERLINK("#",""), HYPERLINK(CONCATENATE("#metadata!", ADDRESS(INDEX($AH$2:$AH$1001,MATCH(ROWS($AF$2:AF952),$AF$2:$AF$1001,0),0), INDEX($AM$1004:$BM$1004,1,MATCH(COLUMNS($AM$1006:AX1006),$AM$1006:$BM$1006,0)))),"Fix")))</f>
        <v xml:space="preserve"> </v>
      </c>
      <c r="N952" s="4" t="str">
        <f ca="1">IF(OR(INDEX($AG$2:$AG$1001,MATCH(ROWS($AF$2:AF952),$AF$2:$AF$1001,0),1)&gt;=100000,INDEX($AM$1005:$BM$1005,1,MATCH(COLUMNS($AM$1006:AY1006),$AM$1006:$BM$1006,0))&gt;=100000), " ",IF(INDEX($AM$2:$BM$1001,MATCH(ROWS($AF$2:AF952),$AF$2:$AF$1001,0),MATCH(COLUMNS($AM$1006:AY1006),$AM$1006:$BM$1006,0)), HYPERLINK("#",""), HYPERLINK(CONCATENATE("#metadata!", ADDRESS(INDEX($AH$2:$AH$1001,MATCH(ROWS($AF$2:AF952),$AF$2:$AF$1001,0),0), INDEX($AM$1004:$BM$1004,1,MATCH(COLUMNS($AM$1006:AY1006),$AM$1006:$BM$1006,0)))),"Fix")))</f>
        <v xml:space="preserve"> </v>
      </c>
      <c r="O952" s="4" t="str">
        <f ca="1">IF(OR(INDEX($AG$2:$AG$1001,MATCH(ROWS($AF$2:AF952),$AF$2:$AF$1001,0),1)&gt;=100000,INDEX($AM$1005:$BM$1005,1,MATCH(COLUMNS($AM$1006:AZ1006),$AM$1006:$BM$1006,0))&gt;=100000), " ",IF(INDEX($AM$2:$BM$1001,MATCH(ROWS($AF$2:AF952),$AF$2:$AF$1001,0),MATCH(COLUMNS($AM$1006:AZ1006),$AM$1006:$BM$1006,0)), HYPERLINK("#",""), HYPERLINK(CONCATENATE("#metadata!", ADDRESS(INDEX($AH$2:$AH$1001,MATCH(ROWS($AF$2:AF952),$AF$2:$AF$1001,0),0), INDEX($AM$1004:$BM$1004,1,MATCH(COLUMNS($AM$1006:AZ1006),$AM$1006:$BM$1006,0)))),"Fix")))</f>
        <v xml:space="preserve"> </v>
      </c>
      <c r="P952" s="4" t="str">
        <f ca="1">IF(OR(INDEX($AG$2:$AG$1001,MATCH(ROWS($AF$2:AF952),$AF$2:$AF$1001,0),1)&gt;=100000,INDEX($AM$1005:$BM$1005,1,MATCH(COLUMNS($AM$1006:BA1006),$AM$1006:$BM$1006,0))&gt;=100000), " ",IF(INDEX($AM$2:$BM$1001,MATCH(ROWS($AF$2:AF952),$AF$2:$AF$1001,0),MATCH(COLUMNS($AM$1006:BA1006),$AM$1006:$BM$1006,0)), HYPERLINK("#",""), HYPERLINK(CONCATENATE("#metadata!", ADDRESS(INDEX($AH$2:$AH$1001,MATCH(ROWS($AF$2:AF952),$AF$2:$AF$1001,0),0), INDEX($AM$1004:$BM$1004,1,MATCH(COLUMNS($AM$1006:BA1006),$AM$1006:$BM$1006,0)))),"Fix")))</f>
        <v xml:space="preserve"> </v>
      </c>
      <c r="Q952" s="4" t="str">
        <f ca="1">IF(OR(INDEX($AG$2:$AG$1001,MATCH(ROWS($AF$2:AF952),$AF$2:$AF$1001,0),1)&gt;=100000,INDEX($AM$1005:$BM$1005,1,MATCH(COLUMNS($AM$1006:BB1006),$AM$1006:$BM$1006,0))&gt;=100000), " ",IF(INDEX($AM$2:$BM$1001,MATCH(ROWS($AF$2:AF952),$AF$2:$AF$1001,0),MATCH(COLUMNS($AM$1006:BB1006),$AM$1006:$BM$1006,0)), HYPERLINK("#",""), HYPERLINK(CONCATENATE("#metadata!", ADDRESS(INDEX($AH$2:$AH$1001,MATCH(ROWS($AF$2:AF952),$AF$2:$AF$1001,0),0), INDEX($AM$1004:$BM$1004,1,MATCH(COLUMNS($AM$1006:BB1006),$AM$1006:$BM$1006,0)))),"Fix")))</f>
        <v xml:space="preserve"> </v>
      </c>
      <c r="R952" s="4" t="str">
        <f ca="1">IF(OR(INDEX($AG$2:$AG$1001,MATCH(ROWS($AF$2:AF952),$AF$2:$AF$1001,0),1)&gt;=100000,INDEX($AM$1005:$BM$1005,1,MATCH(COLUMNS($AM$1006:BC1006),$AM$1006:$BM$1006,0))&gt;=100000), " ",IF(INDEX($AM$2:$BM$1001,MATCH(ROWS($AF$2:AF952),$AF$2:$AF$1001,0),MATCH(COLUMNS($AM$1006:BC1006),$AM$1006:$BM$1006,0)), HYPERLINK("#",""), HYPERLINK(CONCATENATE("#metadata!", ADDRESS(INDEX($AH$2:$AH$1001,MATCH(ROWS($AF$2:AF952),$AF$2:$AF$1001,0),0), INDEX($AM$1004:$BM$1004,1,MATCH(COLUMNS($AM$1006:BC1006),$AM$1006:$BM$1006,0)))),"Fix")))</f>
        <v xml:space="preserve"> </v>
      </c>
      <c r="S952" s="4" t="str">
        <f ca="1">IF(OR(INDEX($AG$2:$AG$1001,MATCH(ROWS($AF$2:AF952),$AF$2:$AF$1001,0),1)&gt;=100000,INDEX($AM$1005:$BM$1005,1,MATCH(COLUMNS($AM$1006:BD1006),$AM$1006:$BM$1006,0))&gt;=100000), " ",IF(INDEX($AM$2:$BM$1001,MATCH(ROWS($AF$2:AF952),$AF$2:$AF$1001,0),MATCH(COLUMNS($AM$1006:BD1006),$AM$1006:$BM$1006,0)), HYPERLINK("#",""), HYPERLINK(CONCATENATE("#metadata!", ADDRESS(INDEX($AH$2:$AH$1001,MATCH(ROWS($AF$2:AF952),$AF$2:$AF$1001,0),0), INDEX($AM$1004:$BM$1004,1,MATCH(COLUMNS($AM$1006:BD1006),$AM$1006:$BM$1006,0)))),"Fix")))</f>
        <v xml:space="preserve"> </v>
      </c>
      <c r="T952" s="4" t="str">
        <f ca="1">IF(OR(INDEX($AG$2:$AG$1001,MATCH(ROWS($AF$2:AF952),$AF$2:$AF$1001,0),1)&gt;=100000,INDEX($AM$1005:$BM$1005,1,MATCH(COLUMNS($AM$1006:BE1006),$AM$1006:$BM$1006,0))&gt;=100000), " ",IF(INDEX($AM$2:$BM$1001,MATCH(ROWS($AF$2:AF952),$AF$2:$AF$1001,0),MATCH(COLUMNS($AM$1006:BE1006),$AM$1006:$BM$1006,0)), HYPERLINK("#",""), HYPERLINK(CONCATENATE("#metadata!", ADDRESS(INDEX($AH$2:$AH$1001,MATCH(ROWS($AF$2:AF952),$AF$2:$AF$1001,0),0), INDEX($AM$1004:$BM$1004,1,MATCH(COLUMNS($AM$1006:BE1006),$AM$1006:$BM$1006,0)))),"Fix")))</f>
        <v xml:space="preserve"> </v>
      </c>
      <c r="U952" s="4" t="str">
        <f ca="1">IF(OR(INDEX($AG$2:$AG$1001,MATCH(ROWS($AF$2:AF952),$AF$2:$AF$1001,0),1)&gt;=100000,INDEX($AM$1005:$BM$1005,1,MATCH(COLUMNS($AM$1006:BF1006),$AM$1006:$BM$1006,0))&gt;=100000), " ",IF(INDEX($AM$2:$BM$1001,MATCH(ROWS($AF$2:AF952),$AF$2:$AF$1001,0),MATCH(COLUMNS($AM$1006:BF1006),$AM$1006:$BM$1006,0)), HYPERLINK("#",""), HYPERLINK(CONCATENATE("#metadata!", ADDRESS(INDEX($AH$2:$AH$1001,MATCH(ROWS($AF$2:AF952),$AF$2:$AF$1001,0),0), INDEX($AM$1004:$BM$1004,1,MATCH(COLUMNS($AM$1006:BF1006),$AM$1006:$BM$1006,0)))),"Fix")))</f>
        <v xml:space="preserve"> </v>
      </c>
      <c r="V952" s="4" t="str">
        <f ca="1">IF(OR(INDEX($AG$2:$AG$1001,MATCH(ROWS($AF$2:AF952),$AF$2:$AF$1001,0),1)&gt;=100000,INDEX($AM$1005:$BM$1005,1,MATCH(COLUMNS($AM$1006:BG1006),$AM$1006:$BM$1006,0))&gt;=100000), " ",IF(INDEX($AM$2:$BM$1001,MATCH(ROWS($AF$2:AF952),$AF$2:$AF$1001,0),MATCH(COLUMNS($AM$1006:BG1006),$AM$1006:$BM$1006,0)), HYPERLINK("#",""), HYPERLINK(CONCATENATE("#metadata!", ADDRESS(INDEX($AH$2:$AH$1001,MATCH(ROWS($AF$2:AF952),$AF$2:$AF$1001,0),0), INDEX($AM$1004:$BM$1004,1,MATCH(COLUMNS($AM$1006:BG1006),$AM$1006:$BM$1006,0)))),"Fix")))</f>
        <v xml:space="preserve"> </v>
      </c>
      <c r="W952" s="4" t="str">
        <f ca="1">IF(OR(INDEX($AG$2:$AG$1001,MATCH(ROWS($AF$2:AF952),$AF$2:$AF$1001,0),1)&gt;=100000,INDEX($AM$1005:$BM$1005,1,MATCH(COLUMNS($AM$1006:BH1006),$AM$1006:$BM$1006,0))&gt;=100000), " ",IF(INDEX($AM$2:$BM$1001,MATCH(ROWS($AF$2:AF952),$AF$2:$AF$1001,0),MATCH(COLUMNS($AM$1006:BH1006),$AM$1006:$BM$1006,0)), HYPERLINK("#",""), HYPERLINK(CONCATENATE("#metadata!", ADDRESS(INDEX($AH$2:$AH$1001,MATCH(ROWS($AF$2:AF952),$AF$2:$AF$1001,0),0), INDEX($AM$1004:$BM$1004,1,MATCH(COLUMNS($AM$1006:BH1006),$AM$1006:$BM$1006,0)))),"Fix")))</f>
        <v xml:space="preserve"> </v>
      </c>
      <c r="X952" s="4" t="str">
        <f ca="1">IF(OR(INDEX($AG$2:$AG$1001,MATCH(ROWS($AF$2:AF952),$AF$2:$AF$1001,0),1)&gt;=100000,INDEX($AM$1005:$BM$1005,1,MATCH(COLUMNS($AM$1006:BI1006),$AM$1006:$BM$1006,0))&gt;=100000), " ",IF(INDEX($AM$2:$BM$1001,MATCH(ROWS($AF$2:AF952),$AF$2:$AF$1001,0),MATCH(COLUMNS($AM$1006:BI1006),$AM$1006:$BM$1006,0)), HYPERLINK("#",""), HYPERLINK(CONCATENATE("#metadata!", ADDRESS(INDEX($AH$2:$AH$1001,MATCH(ROWS($AF$2:AF952),$AF$2:$AF$1001,0),0), INDEX($AM$1004:$BM$1004,1,MATCH(COLUMNS($AM$1006:BI1006),$AM$1006:$BM$1006,0)))),"Fix")))</f>
        <v xml:space="preserve"> </v>
      </c>
      <c r="Y952" s="4" t="str">
        <f ca="1">IF(OR(INDEX($AG$2:$AG$1001,MATCH(ROWS($AF$2:AF952),$AF$2:$AF$1001,0),1)&gt;=100000,INDEX($AM$1005:$BM$1005,1,MATCH(COLUMNS($AM$1006:BJ1006),$AM$1006:$BM$1006,0))&gt;=100000), " ",IF(INDEX($AM$2:$BM$1001,MATCH(ROWS($AF$2:AF952),$AF$2:$AF$1001,0),MATCH(COLUMNS($AM$1006:BJ1006),$AM$1006:$BM$1006,0)), HYPERLINK("#",""), HYPERLINK(CONCATENATE("#metadata!", ADDRESS(INDEX($AH$2:$AH$1001,MATCH(ROWS($AF$2:AF952),$AF$2:$AF$1001,0),0), INDEX($AM$1004:$BM$1004,1,MATCH(COLUMNS($AM$1006:BJ1006),$AM$1006:$BM$1006,0)))),"Fix")))</f>
        <v xml:space="preserve"> </v>
      </c>
      <c r="Z952" s="4" t="str">
        <f ca="1">IF(OR(INDEX($AG$2:$AG$1001,MATCH(ROWS($AF$2:AF952),$AF$2:$AF$1001,0),1)&gt;=100000,INDEX($AM$1005:$BM$1005,1,MATCH(COLUMNS($AM$1006:BK1006),$AM$1006:$BM$1006,0))&gt;=100000), " ",IF(INDEX($AM$2:$BM$1001,MATCH(ROWS($AF$2:AF952),$AF$2:$AF$1001,0),MATCH(COLUMNS($AM$1006:BK1006),$AM$1006:$BM$1006,0)), HYPERLINK("#",""), HYPERLINK(CONCATENATE("#metadata!", ADDRESS(INDEX($AH$2:$AH$1001,MATCH(ROWS($AF$2:AF952),$AF$2:$AF$1001,0),0), INDEX($AM$1004:$BM$1004,1,MATCH(COLUMNS($AM$1006:BK1006),$AM$1006:$BM$1006,0)))),"Fix")))</f>
        <v xml:space="preserve"> </v>
      </c>
      <c r="AA952" s="4" t="str">
        <f ca="1">IF(OR(INDEX($AG$2:$AG$1001,MATCH(ROWS($AF$2:AF952),$AF$2:$AF$1001,0),1)&gt;=100000,INDEX($AM$1005:$BM$1005,1,MATCH(COLUMNS($AM$1006:BL1006),$AM$1006:$BM$1006,0))&gt;=100000), " ",IF(INDEX($AM$2:$BM$1001,MATCH(ROWS($AF$2:AF952),$AF$2:$AF$1001,0),MATCH(COLUMNS($AM$1006:BL1006),$AM$1006:$BM$1006,0)), HYPERLINK("#",""), HYPERLINK(CONCATENATE("#metadata!", ADDRESS(INDEX($AH$2:$AH$1001,MATCH(ROWS($AF$2:AF952),$AF$2:$AF$1001,0),0), INDEX($AM$1004:$BM$1004,1,MATCH(COLUMNS($AM$1006:BL1006),$AM$1006:$BM$1006,0)))),"Fix")))</f>
        <v xml:space="preserve"> </v>
      </c>
      <c r="AB952" s="4" t="str">
        <f ca="1">IF(OR(INDEX($AG$2:$AG$1001,MATCH(ROWS($AF$2:AF952),$AF$2:$AF$1001,0),1)&gt;=100000,INDEX($AM$1005:$BM$1005,1,MATCH(COLUMNS($AM$1006:BM1006),$AM$1006:$BM$1006,0))&gt;=100000), " ",IF(INDEX($AM$2:$BM$1001,MATCH(ROWS($AF$2:AF952),$AF$2:$AF$1001,0),MATCH(COLUMNS($AM$1006:BM1006),$AM$1006:$BM$1006,0)), HYPERLINK("#",""), HYPERLINK(CONCATENATE("#metadata!", ADDRESS(INDEX($AH$2:$AH$1001,MATCH(ROWS($AF$2:AF952),$AF$2:$AF$1001,0),0), INDEX($AM$1004:$BM$1004,1,MATCH(COLUMNS($AM$1006:BM1006),$AM$1006:$BM$1006,0)))),"Fix")))</f>
        <v xml:space="preserve"> </v>
      </c>
      <c r="AF952">
        <v>951</v>
      </c>
      <c r="AG952">
        <v>100952</v>
      </c>
      <c r="AH952">
        <v>952</v>
      </c>
      <c r="AI952" t="b">
        <f t="shared" si="14"/>
        <v>1</v>
      </c>
      <c r="AJ952" t="b">
        <f>COUNTBLANK(metadata!B952:AB952)=COLUMNS(metadata!B952:AB952)</f>
        <v>1</v>
      </c>
      <c r="AK952" t="str">
        <v/>
      </c>
      <c r="AM952" t="b">
        <f ca="1">AND(IF(metadata!B952="",FALSE,TRUE),COUNTIF(metadata!B:B, metadata!B952) = 1,NOT(ISERROR(SUMPRODUCT(SEARCH(MID(metadata!B952,ROW(INDIRECT("1:"&amp;LEN(metadata!B952))), 1),"0123456789abcdefghijklmnopqrstuvwxyzABCDEFGHIJKLMNOPQRSTUVWXYZ.")))))</f>
        <v>0</v>
      </c>
      <c r="AN952" t="b">
        <f ca="1">OR(AND(IF(metadata!C952="",FALSE,TRUE),OR(EXACT(metadata!C952,"missing: not collected"),EXACT(metadata!C952,"missing: not provided"),EXACT(metadata!C952,"missing: restricted access"))),AND(IF(metadata!C952="",FALSE,TRUE),AND(AND(IFERROR(INT(LEFT(metadata!C952,4))&gt;1900,FALSE),IFERROR(INT(LEFT(metadata!C952,4))&lt;=YEAR(NOW()),FALSE)), OR(MID(metadata!C952,5,1)="", AND(AND(MID(metadata!C952,5,1)="-",IFERROR(INT(MID(metadata!C952,6,1))&gt;=0,FALSE),IFERROR(INT(MID(metadata!C952,6,1))&lt;=1,FALSE),NOT(MID(metadata!C952,7,1)=""),IFERROR(INT(MID(metadata!C952,6,2))&gt;=1,FALSE),IFERROR(INT(MID(metadata!C952,6,2))&lt;=12,FALSE)), OR(MID(metadata!C952,8,1)="", AND(AND(MID(metadata!C952,8,1)="-",IFERROR(INT(MID(metadata!C952,9,1))&gt;=0,FALSE),IFERROR(INT(MID(metadata!C952,9,1))&lt;=3,FALSE),NOT(MID(metadata!C952,10,1)=""),IFERROR(INT(MID(metadata!C952,9,2))&gt;=1,FALSE),IFERROR(INT(MID(metadata!C952,9,2))&lt;=31,FALSE)), OR(MID(metadata!C952,11,1)="", AND(AND(MID(metadata!C952,11,1)=" ",IFERROR(INT(MID(metadata!C952,12,1))&gt;=0,FALSE),IFERROR(INT(MID(metadata!C952,12,1))&lt;=2,FALSE),NOT(MID(metadata!C952,13,1)=""),IFERROR(INT(MID(metadata!C952,12,2))&gt;=0,FALSE),IFERROR(INT(MID(metadata!C952,12,2))&lt;=23,FALSE)), OR(MID(metadata!C952,14,1)="", AND(AND(MID(metadata!C952,14,1)=":",IFERROR(INT(MID(metadata!C952,15,1))&gt;=0,FALSE),IFERROR(INT(MID(metadata!C952,15,1))&lt;=5,FALSE),NOT(MID(metadata!C952,16,1)=""),IFERROR(INT(MID(metadata!C952,15,2))&gt;=0,FALSE),IFERROR(INT(MID(metadata!C952,15,2))&lt;=59,FALSE)), OR(MID(metadata!C952,17,1)="", AND(AND(MID(metadata!C952,17,1)=":",IFERROR(INT(MID(metadata!C952,18,1))&gt;=0,FALSE),IFERROR(INT(MID(metadata!C952,18,1))&lt;=5,FALSE),NOT(MID(metadata!C952,19,1)=""),IFERROR(INT(MID(metadata!C952,18,2))&gt;=0,FALSE),IFERROR(INT(MID(metadata!C952,18,2))&lt;=59,FALSE)), LEN(metadata!C952)&lt;=19)))))))))))))</f>
        <v>0</v>
      </c>
      <c r="AO952" t="b">
        <f>AND(IF(metadata!D952="",FALSE,TRUE),EXACT(metadata!D952,"Not applicable"))</f>
        <v>0</v>
      </c>
      <c r="AP952" t="b">
        <f>IF(metadata!E952="",FALSE,TRUE)</f>
        <v>0</v>
      </c>
      <c r="AQ952" t="b">
        <f>OR(AND(IF(metadata!F952="",FALSE,TRUE),OR(EXACT(metadata!F952,"missing: not collected"),EXACT(metadata!F952,"missing: not provided"))),AND(IF(metadata!F952="",FALSE,TRUE),OR(EXACT(metadata!F952,"TRUE"),EXACT(metadata!F952,"FALSE"))))</f>
        <v>0</v>
      </c>
      <c r="AR952" t="b">
        <f>OR(AND(IF(metadata!G952="",FALSE,TRUE),OR(EXACT(metadata!G952,"missing: not collected"),EXACT(metadata!G952,"missing: not provided"),EXACT(metadata!G952,"missing: restricted access"))),AND(IF(metadata!G952="",FALSE,ISNUMBER(VALUE(metadata!G952))),metadata!G952&gt;=-413))</f>
        <v>0</v>
      </c>
      <c r="AS952" t="b">
        <f>AND(IF(metadata!H952="",FALSE,TRUE),EXACT(metadata!H952,"meters"))</f>
        <v>0</v>
      </c>
      <c r="AT952" t="b">
        <f>AND(IF(metadata!I952="",FALSE,TRUE),OR(EXACT(metadata!I952,"Host-associated"),EXACT(metadata!I952,"Free-living")))</f>
        <v>0</v>
      </c>
      <c r="AU952" t="b">
        <f>AND(IF(metadata!J952="",FALSE,TRUE),OR(EXACT(metadata!J952,"Animal"),EXACT(metadata!J952,"Fungus"),EXACT(metadata!J952,"Plant"),EXACT(metadata!J952,"Saline"),EXACT(metadata!J952,"Non-saline")))</f>
        <v>0</v>
      </c>
      <c r="AV952" t="b">
        <f>AND(IF(metadata!K952="",FALSE,TRUE),OR(EXACT(metadata!K952,"Plant secretion"),EXACT(metadata!K952,"Plant rhizosphere"),EXACT(metadata!K952,"Plant surface"),EXACT(metadata!K952,"Plant corpus"),EXACT(metadata!K952,"Fungus surface"),EXACT(metadata!K952,"Fungus corpus"),EXACT(metadata!K952,"Animal surface"),EXACT(metadata!K952,"Animal proximal gut"),EXACT(metadata!K952,"Animal corpus"),EXACT(metadata!K952,"Animal distal gut"),EXACT(metadata!K952,"Animal secretion"),EXACT(metadata!K952,"Sub-surface (non-saline)"),EXACT(metadata!K952,"Surface (non-saline)"),EXACT(metadata!K952,"Water (non-saline)"),EXACT(metadata!K952,"Soil (non-saline)"),EXACT(metadata!K952,"Aerosol (non-saline)"),EXACT(metadata!K952,"Sediment (non-saline)"),EXACT(metadata!K952,"Surface (saline)"),EXACT(metadata!K952,"Water (saline)"),EXACT(metadata!K952,"Hypersaline (saline)"),EXACT(metadata!K952,"Aerosol (saline)"),EXACT(metadata!K952,"Sediment (saline)")))</f>
        <v>0</v>
      </c>
      <c r="AW952" t="b">
        <f>IF(metadata!L952="",FALSE,TRUE)</f>
        <v>0</v>
      </c>
      <c r="AX952" t="b">
        <f>IF(metadata!M952="",FALSE,TRUE)</f>
        <v>0</v>
      </c>
      <c r="AY952" t="b">
        <f>IF(metadata!N952="",FALSE,TRUE)</f>
        <v>0</v>
      </c>
      <c r="AZ952" t="b">
        <f>OR(AND(IF(metadata!O952="",FALSE,TRUE),OR(EXACT(metadata!O952,"missing: not collected"),EXACT(metadata!O952,"missing: not provided"),EXACT(metadata!O952,"missing: restricted access"))),AND(IF(metadata!O952="",FALSE,TRUE),OR(EXACT(metadata!O952,"air"),EXACT(metadata!O952,"built environment"),EXACT(metadata!O952,"host-associated"),EXACT(metadata!O952,"human-associated"),EXACT(metadata!O952,"human-skin"),EXACT(metadata!O952,"human-oral"),EXACT(metadata!O952,"human-gut"),EXACT(metadata!O952,"human-vaginal"),EXACT(metadata!O952,"microbial mat/biofilm"),EXACT(metadata!O952,"misc environment"),EXACT(metadata!O952,"plant-associated"),EXACT(metadata!O952,"sediment"),EXACT(metadata!O952,"soil"),EXACT(metadata!O952,"wastewater/sludge"),EXACT(metadata!O952,"water"))))</f>
        <v>0</v>
      </c>
      <c r="BA952" t="b">
        <f>IF(metadata!P952="",FALSE,TRUE)</f>
        <v>0</v>
      </c>
      <c r="BB952" t="b">
        <f>IF(metadata!Q952="",FALSE,TRUE)</f>
        <v>0</v>
      </c>
      <c r="BC952" t="b">
        <f>OR(AND(IF(metadata!R952="",FALSE,TRUE),OR(EXACT(metadata!R952,"missing: not collected"),EXACT(metadata!R952,"missing: not provided"),EXACT(metadata!R952,"missing: restricted access"))),AND(IF(metadata!R952="",FALSE,ISNUMBER(VALUE(metadata!R952))),metadata!R952&gt;=-90,metadata!R952&lt;=90))</f>
        <v>0</v>
      </c>
      <c r="BD952" t="b">
        <f>AND(IF(metadata!S952="",FALSE,TRUE),EXACT(metadata!S952,"Decimal degrees"))</f>
        <v>0</v>
      </c>
      <c r="BE952" t="b">
        <f>OR(AND(IF(metadata!T952="",FALSE,TRUE),OR(EXACT(metadata!T952,"missing: not collected"),EXACT(metadata!T952,"missing: not provided"),EXACT(metadata!T952,"missing: restricted access"))),AND(IF(metadata!T952="",FALSE,ISNUMBER(VALUE(metadata!T952))),metadata!T952&gt;=-180,metadata!T952&lt;=180))</f>
        <v>0</v>
      </c>
      <c r="BF952" t="b">
        <f>AND(IF(metadata!U952="",FALSE,TRUE),EXACT(metadata!U952,"Decimal degrees"))</f>
        <v>0</v>
      </c>
      <c r="BG952" t="b">
        <f>IF(metadata!V952="",FALSE,TRUE)</f>
        <v>0</v>
      </c>
      <c r="BH952" t="b">
        <f>OR(AND(IF(metadata!W952="",FALSE,TRUE),OR(EXACT(metadata!W952,"missing: not collected"),EXACT(metadata!W952,"missing: not provided"),EXACT(metadata!W952,"missing: restricted access"))),AND(IF(metadata!W952="",FALSE,TRUE),OR(EXACT(metadata!W952,"TRUE"),EXACT(metadata!W952,"FALSE"))))</f>
        <v>0</v>
      </c>
      <c r="BI952" t="b">
        <f>AND(IF(metadata!X952="",FALSE,TRUE),EXACT(metadata!X952,"other"))</f>
        <v>0</v>
      </c>
      <c r="BJ952" t="b">
        <f>IF(metadata!Y952="",FALSE,TRUE)</f>
        <v>0</v>
      </c>
      <c r="BK952" t="b">
        <f>OR(AND(IF(metadata!Z952="",FALSE,TRUE),OR(EXACT(metadata!Z952,"missing: not collected"),EXACT(metadata!Z952,"missing: not provided"))),AND(IF(metadata!Z952="",FALSE,IF(ISERROR(INT(metadata!Z952)),FALSE,INT(metadata!Z952)=metadata!Z952)),metadata!Z952&gt;0))</f>
        <v>0</v>
      </c>
      <c r="BL952" t="b">
        <f>AND(IF(metadata!AA952="",FALSE,TRUE),EXACT(metadata!AA952,"Not applicable"))</f>
        <v>0</v>
      </c>
      <c r="BM952" t="b">
        <f>IF(metadata!AB952="",FALSE,TRUE)</f>
        <v>0</v>
      </c>
    </row>
    <row r="953" spans="1:65" x14ac:dyDescent="0.2">
      <c r="A953" s="5" t="str">
        <f ca="1">IF(B953=" "," ",HYPERLINK(CONCATENATE("#metadata!",ADDRESS(INDEX($AH$2:$AH$1001,MATCH(ROWS($AF$2:AF953),$AF$2:$AF$1001,0),0),1)),INDEX($AK$2:$AK$1001,MATCH(ROWS($AF$2:AF953),$AF$2:$AF$1001,0),0)))</f>
        <v xml:space="preserve"> </v>
      </c>
      <c r="B953" s="4" t="str">
        <f ca="1">IF(OR(INDEX($AG$2:$AG$1001,MATCH(ROWS($AF$2:AF953),$AF$2:$AF$1001,0),1)&gt;=100000,INDEX($AM$1005:$BM$1005,1,MATCH(COLUMNS($AM$1006:AM1006),$AM$1006:$BM$1006,0))&gt;=100000), " ",IF(INDEX($AM$2:$BM$1001,MATCH(ROWS($AF$2:AF953),$AF$2:$AF$1001,0),MATCH(COLUMNS($AM$1006:AM1006),$AM$1006:$BM$1006,0)), HYPERLINK("#",""), HYPERLINK(CONCATENATE("#metadata!", ADDRESS(INDEX($AH$2:$AH$1001,MATCH(ROWS($AF$2:AF953),$AF$2:$AF$1001,0),0), INDEX($AM$1004:$BM$1004,1,MATCH(COLUMNS($AM$1006:AM1006),$AM$1006:$BM$1006,0)))),"Fix")))</f>
        <v xml:space="preserve"> </v>
      </c>
      <c r="C953" s="4" t="str">
        <f ca="1">IF(OR(INDEX($AG$2:$AG$1001,MATCH(ROWS($AF$2:AF953),$AF$2:$AF$1001,0),1)&gt;=100000,INDEX($AM$1005:$BM$1005,1,MATCH(COLUMNS($AM$1006:AN1006),$AM$1006:$BM$1006,0))&gt;=100000), " ",IF(INDEX($AM$2:$BM$1001,MATCH(ROWS($AF$2:AF953),$AF$2:$AF$1001,0),MATCH(COLUMNS($AM$1006:AN1006),$AM$1006:$BM$1006,0)), HYPERLINK("#",""), HYPERLINK(CONCATENATE("#metadata!", ADDRESS(INDEX($AH$2:$AH$1001,MATCH(ROWS($AF$2:AF953),$AF$2:$AF$1001,0),0), INDEX($AM$1004:$BM$1004,1,MATCH(COLUMNS($AM$1006:AN1006),$AM$1006:$BM$1006,0)))),"Fix")))</f>
        <v xml:space="preserve"> </v>
      </c>
      <c r="D953" s="4" t="str">
        <f ca="1">IF(OR(INDEX($AG$2:$AG$1001,MATCH(ROWS($AF$2:AF953),$AF$2:$AF$1001,0),1)&gt;=100000,INDEX($AM$1005:$BM$1005,1,MATCH(COLUMNS($AM$1006:AO1006),$AM$1006:$BM$1006,0))&gt;=100000), " ",IF(INDEX($AM$2:$BM$1001,MATCH(ROWS($AF$2:AF953),$AF$2:$AF$1001,0),MATCH(COLUMNS($AM$1006:AO1006),$AM$1006:$BM$1006,0)), HYPERLINK("#",""), HYPERLINK(CONCATENATE("#metadata!", ADDRESS(INDEX($AH$2:$AH$1001,MATCH(ROWS($AF$2:AF953),$AF$2:$AF$1001,0),0), INDEX($AM$1004:$BM$1004,1,MATCH(COLUMNS($AM$1006:AO1006),$AM$1006:$BM$1006,0)))),"Fix")))</f>
        <v xml:space="preserve"> </v>
      </c>
      <c r="E953" s="4" t="str">
        <f ca="1">IF(OR(INDEX($AG$2:$AG$1001,MATCH(ROWS($AF$2:AF953),$AF$2:$AF$1001,0),1)&gt;=100000,INDEX($AM$1005:$BM$1005,1,MATCH(COLUMNS($AM$1006:AP1006),$AM$1006:$BM$1006,0))&gt;=100000), " ",IF(INDEX($AM$2:$BM$1001,MATCH(ROWS($AF$2:AF953),$AF$2:$AF$1001,0),MATCH(COLUMNS($AM$1006:AP1006),$AM$1006:$BM$1006,0)), HYPERLINK("#",""), HYPERLINK(CONCATENATE("#metadata!", ADDRESS(INDEX($AH$2:$AH$1001,MATCH(ROWS($AF$2:AF953),$AF$2:$AF$1001,0),0), INDEX($AM$1004:$BM$1004,1,MATCH(COLUMNS($AM$1006:AP1006),$AM$1006:$BM$1006,0)))),"Fix")))</f>
        <v xml:space="preserve"> </v>
      </c>
      <c r="F953" s="4" t="str">
        <f ca="1">IF(OR(INDEX($AG$2:$AG$1001,MATCH(ROWS($AF$2:AF953),$AF$2:$AF$1001,0),1)&gt;=100000,INDEX($AM$1005:$BM$1005,1,MATCH(COLUMNS($AM$1006:AQ1006),$AM$1006:$BM$1006,0))&gt;=100000), " ",IF(INDEX($AM$2:$BM$1001,MATCH(ROWS($AF$2:AF953),$AF$2:$AF$1001,0),MATCH(COLUMNS($AM$1006:AQ1006),$AM$1006:$BM$1006,0)), HYPERLINK("#",""), HYPERLINK(CONCATENATE("#metadata!", ADDRESS(INDEX($AH$2:$AH$1001,MATCH(ROWS($AF$2:AF953),$AF$2:$AF$1001,0),0), INDEX($AM$1004:$BM$1004,1,MATCH(COLUMNS($AM$1006:AQ1006),$AM$1006:$BM$1006,0)))),"Fix")))</f>
        <v xml:space="preserve"> </v>
      </c>
      <c r="G953" s="4" t="str">
        <f ca="1">IF(OR(INDEX($AG$2:$AG$1001,MATCH(ROWS($AF$2:AF953),$AF$2:$AF$1001,0),1)&gt;=100000,INDEX($AM$1005:$BM$1005,1,MATCH(COLUMNS($AM$1006:AR1006),$AM$1006:$BM$1006,0))&gt;=100000), " ",IF(INDEX($AM$2:$BM$1001,MATCH(ROWS($AF$2:AF953),$AF$2:$AF$1001,0),MATCH(COLUMNS($AM$1006:AR1006),$AM$1006:$BM$1006,0)), HYPERLINK("#",""), HYPERLINK(CONCATENATE("#metadata!", ADDRESS(INDEX($AH$2:$AH$1001,MATCH(ROWS($AF$2:AF953),$AF$2:$AF$1001,0),0), INDEX($AM$1004:$BM$1004,1,MATCH(COLUMNS($AM$1006:AR1006),$AM$1006:$BM$1006,0)))),"Fix")))</f>
        <v xml:space="preserve"> </v>
      </c>
      <c r="H953" s="4" t="str">
        <f ca="1">IF(OR(INDEX($AG$2:$AG$1001,MATCH(ROWS($AF$2:AF953),$AF$2:$AF$1001,0),1)&gt;=100000,INDEX($AM$1005:$BM$1005,1,MATCH(COLUMNS($AM$1006:AS1006),$AM$1006:$BM$1006,0))&gt;=100000), " ",IF(INDEX($AM$2:$BM$1001,MATCH(ROWS($AF$2:AF953),$AF$2:$AF$1001,0),MATCH(COLUMNS($AM$1006:AS1006),$AM$1006:$BM$1006,0)), HYPERLINK("#",""), HYPERLINK(CONCATENATE("#metadata!", ADDRESS(INDEX($AH$2:$AH$1001,MATCH(ROWS($AF$2:AF953),$AF$2:$AF$1001,0),0), INDEX($AM$1004:$BM$1004,1,MATCH(COLUMNS($AM$1006:AS1006),$AM$1006:$BM$1006,0)))),"Fix")))</f>
        <v xml:space="preserve"> </v>
      </c>
      <c r="I953" s="4" t="str">
        <f ca="1">IF(OR(INDEX($AG$2:$AG$1001,MATCH(ROWS($AF$2:AF953),$AF$2:$AF$1001,0),1)&gt;=100000,INDEX($AM$1005:$BM$1005,1,MATCH(COLUMNS($AM$1006:AT1006),$AM$1006:$BM$1006,0))&gt;=100000), " ",IF(INDEX($AM$2:$BM$1001,MATCH(ROWS($AF$2:AF953),$AF$2:$AF$1001,0),MATCH(COLUMNS($AM$1006:AT1006),$AM$1006:$BM$1006,0)), HYPERLINK("#",""), HYPERLINK(CONCATENATE("#metadata!", ADDRESS(INDEX($AH$2:$AH$1001,MATCH(ROWS($AF$2:AF953),$AF$2:$AF$1001,0),0), INDEX($AM$1004:$BM$1004,1,MATCH(COLUMNS($AM$1006:AT1006),$AM$1006:$BM$1006,0)))),"Fix")))</f>
        <v xml:space="preserve"> </v>
      </c>
      <c r="J953" s="4" t="str">
        <f ca="1">IF(OR(INDEX($AG$2:$AG$1001,MATCH(ROWS($AF$2:AF953),$AF$2:$AF$1001,0),1)&gt;=100000,INDEX($AM$1005:$BM$1005,1,MATCH(COLUMNS($AM$1006:AU1006),$AM$1006:$BM$1006,0))&gt;=100000), " ",IF(INDEX($AM$2:$BM$1001,MATCH(ROWS($AF$2:AF953),$AF$2:$AF$1001,0),MATCH(COLUMNS($AM$1006:AU1006),$AM$1006:$BM$1006,0)), HYPERLINK("#",""), HYPERLINK(CONCATENATE("#metadata!", ADDRESS(INDEX($AH$2:$AH$1001,MATCH(ROWS($AF$2:AF953),$AF$2:$AF$1001,0),0), INDEX($AM$1004:$BM$1004,1,MATCH(COLUMNS($AM$1006:AU1006),$AM$1006:$BM$1006,0)))),"Fix")))</f>
        <v xml:space="preserve"> </v>
      </c>
      <c r="K953" s="4" t="str">
        <f ca="1">IF(OR(INDEX($AG$2:$AG$1001,MATCH(ROWS($AF$2:AF953),$AF$2:$AF$1001,0),1)&gt;=100000,INDEX($AM$1005:$BM$1005,1,MATCH(COLUMNS($AM$1006:AV1006),$AM$1006:$BM$1006,0))&gt;=100000), " ",IF(INDEX($AM$2:$BM$1001,MATCH(ROWS($AF$2:AF953),$AF$2:$AF$1001,0),MATCH(COLUMNS($AM$1006:AV1006),$AM$1006:$BM$1006,0)), HYPERLINK("#",""), HYPERLINK(CONCATENATE("#metadata!", ADDRESS(INDEX($AH$2:$AH$1001,MATCH(ROWS($AF$2:AF953),$AF$2:$AF$1001,0),0), INDEX($AM$1004:$BM$1004,1,MATCH(COLUMNS($AM$1006:AV1006),$AM$1006:$BM$1006,0)))),"Fix")))</f>
        <v xml:space="preserve"> </v>
      </c>
      <c r="L953" s="4" t="str">
        <f ca="1">IF(OR(INDEX($AG$2:$AG$1001,MATCH(ROWS($AF$2:AF953),$AF$2:$AF$1001,0),1)&gt;=100000,INDEX($AM$1005:$BM$1005,1,MATCH(COLUMNS($AM$1006:AW1006),$AM$1006:$BM$1006,0))&gt;=100000), " ",IF(INDEX($AM$2:$BM$1001,MATCH(ROWS($AF$2:AF953),$AF$2:$AF$1001,0),MATCH(COLUMNS($AM$1006:AW1006),$AM$1006:$BM$1006,0)), HYPERLINK("#",""), HYPERLINK(CONCATENATE("#metadata!", ADDRESS(INDEX($AH$2:$AH$1001,MATCH(ROWS($AF$2:AF953),$AF$2:$AF$1001,0),0), INDEX($AM$1004:$BM$1004,1,MATCH(COLUMNS($AM$1006:AW1006),$AM$1006:$BM$1006,0)))),"Fix")))</f>
        <v xml:space="preserve"> </v>
      </c>
      <c r="M953" s="4" t="str">
        <f ca="1">IF(OR(INDEX($AG$2:$AG$1001,MATCH(ROWS($AF$2:AF953),$AF$2:$AF$1001,0),1)&gt;=100000,INDEX($AM$1005:$BM$1005,1,MATCH(COLUMNS($AM$1006:AX1006),$AM$1006:$BM$1006,0))&gt;=100000), " ",IF(INDEX($AM$2:$BM$1001,MATCH(ROWS($AF$2:AF953),$AF$2:$AF$1001,0),MATCH(COLUMNS($AM$1006:AX1006),$AM$1006:$BM$1006,0)), HYPERLINK("#",""), HYPERLINK(CONCATENATE("#metadata!", ADDRESS(INDEX($AH$2:$AH$1001,MATCH(ROWS($AF$2:AF953),$AF$2:$AF$1001,0),0), INDEX($AM$1004:$BM$1004,1,MATCH(COLUMNS($AM$1006:AX1006),$AM$1006:$BM$1006,0)))),"Fix")))</f>
        <v xml:space="preserve"> </v>
      </c>
      <c r="N953" s="4" t="str">
        <f ca="1">IF(OR(INDEX($AG$2:$AG$1001,MATCH(ROWS($AF$2:AF953),$AF$2:$AF$1001,0),1)&gt;=100000,INDEX($AM$1005:$BM$1005,1,MATCH(COLUMNS($AM$1006:AY1006),$AM$1006:$BM$1006,0))&gt;=100000), " ",IF(INDEX($AM$2:$BM$1001,MATCH(ROWS($AF$2:AF953),$AF$2:$AF$1001,0),MATCH(COLUMNS($AM$1006:AY1006),$AM$1006:$BM$1006,0)), HYPERLINK("#",""), HYPERLINK(CONCATENATE("#metadata!", ADDRESS(INDEX($AH$2:$AH$1001,MATCH(ROWS($AF$2:AF953),$AF$2:$AF$1001,0),0), INDEX($AM$1004:$BM$1004,1,MATCH(COLUMNS($AM$1006:AY1006),$AM$1006:$BM$1006,0)))),"Fix")))</f>
        <v xml:space="preserve"> </v>
      </c>
      <c r="O953" s="4" t="str">
        <f ca="1">IF(OR(INDEX($AG$2:$AG$1001,MATCH(ROWS($AF$2:AF953),$AF$2:$AF$1001,0),1)&gt;=100000,INDEX($AM$1005:$BM$1005,1,MATCH(COLUMNS($AM$1006:AZ1006),$AM$1006:$BM$1006,0))&gt;=100000), " ",IF(INDEX($AM$2:$BM$1001,MATCH(ROWS($AF$2:AF953),$AF$2:$AF$1001,0),MATCH(COLUMNS($AM$1006:AZ1006),$AM$1006:$BM$1006,0)), HYPERLINK("#",""), HYPERLINK(CONCATENATE("#metadata!", ADDRESS(INDEX($AH$2:$AH$1001,MATCH(ROWS($AF$2:AF953),$AF$2:$AF$1001,0),0), INDEX($AM$1004:$BM$1004,1,MATCH(COLUMNS($AM$1006:AZ1006),$AM$1006:$BM$1006,0)))),"Fix")))</f>
        <v xml:space="preserve"> </v>
      </c>
      <c r="P953" s="4" t="str">
        <f ca="1">IF(OR(INDEX($AG$2:$AG$1001,MATCH(ROWS($AF$2:AF953),$AF$2:$AF$1001,0),1)&gt;=100000,INDEX($AM$1005:$BM$1005,1,MATCH(COLUMNS($AM$1006:BA1006),$AM$1006:$BM$1006,0))&gt;=100000), " ",IF(INDEX($AM$2:$BM$1001,MATCH(ROWS($AF$2:AF953),$AF$2:$AF$1001,0),MATCH(COLUMNS($AM$1006:BA1006),$AM$1006:$BM$1006,0)), HYPERLINK("#",""), HYPERLINK(CONCATENATE("#metadata!", ADDRESS(INDEX($AH$2:$AH$1001,MATCH(ROWS($AF$2:AF953),$AF$2:$AF$1001,0),0), INDEX($AM$1004:$BM$1004,1,MATCH(COLUMNS($AM$1006:BA1006),$AM$1006:$BM$1006,0)))),"Fix")))</f>
        <v xml:space="preserve"> </v>
      </c>
      <c r="Q953" s="4" t="str">
        <f ca="1">IF(OR(INDEX($AG$2:$AG$1001,MATCH(ROWS($AF$2:AF953),$AF$2:$AF$1001,0),1)&gt;=100000,INDEX($AM$1005:$BM$1005,1,MATCH(COLUMNS($AM$1006:BB1006),$AM$1006:$BM$1006,0))&gt;=100000), " ",IF(INDEX($AM$2:$BM$1001,MATCH(ROWS($AF$2:AF953),$AF$2:$AF$1001,0),MATCH(COLUMNS($AM$1006:BB1006),$AM$1006:$BM$1006,0)), HYPERLINK("#",""), HYPERLINK(CONCATENATE("#metadata!", ADDRESS(INDEX($AH$2:$AH$1001,MATCH(ROWS($AF$2:AF953),$AF$2:$AF$1001,0),0), INDEX($AM$1004:$BM$1004,1,MATCH(COLUMNS($AM$1006:BB1006),$AM$1006:$BM$1006,0)))),"Fix")))</f>
        <v xml:space="preserve"> </v>
      </c>
      <c r="R953" s="4" t="str">
        <f ca="1">IF(OR(INDEX($AG$2:$AG$1001,MATCH(ROWS($AF$2:AF953),$AF$2:$AF$1001,0),1)&gt;=100000,INDEX($AM$1005:$BM$1005,1,MATCH(COLUMNS($AM$1006:BC1006),$AM$1006:$BM$1006,0))&gt;=100000), " ",IF(INDEX($AM$2:$BM$1001,MATCH(ROWS($AF$2:AF953),$AF$2:$AF$1001,0),MATCH(COLUMNS($AM$1006:BC1006),$AM$1006:$BM$1006,0)), HYPERLINK("#",""), HYPERLINK(CONCATENATE("#metadata!", ADDRESS(INDEX($AH$2:$AH$1001,MATCH(ROWS($AF$2:AF953),$AF$2:$AF$1001,0),0), INDEX($AM$1004:$BM$1004,1,MATCH(COLUMNS($AM$1006:BC1006),$AM$1006:$BM$1006,0)))),"Fix")))</f>
        <v xml:space="preserve"> </v>
      </c>
      <c r="S953" s="4" t="str">
        <f ca="1">IF(OR(INDEX($AG$2:$AG$1001,MATCH(ROWS($AF$2:AF953),$AF$2:$AF$1001,0),1)&gt;=100000,INDEX($AM$1005:$BM$1005,1,MATCH(COLUMNS($AM$1006:BD1006),$AM$1006:$BM$1006,0))&gt;=100000), " ",IF(INDEX($AM$2:$BM$1001,MATCH(ROWS($AF$2:AF953),$AF$2:$AF$1001,0),MATCH(COLUMNS($AM$1006:BD1006),$AM$1006:$BM$1006,0)), HYPERLINK("#",""), HYPERLINK(CONCATENATE("#metadata!", ADDRESS(INDEX($AH$2:$AH$1001,MATCH(ROWS($AF$2:AF953),$AF$2:$AF$1001,0),0), INDEX($AM$1004:$BM$1004,1,MATCH(COLUMNS($AM$1006:BD1006),$AM$1006:$BM$1006,0)))),"Fix")))</f>
        <v xml:space="preserve"> </v>
      </c>
      <c r="T953" s="4" t="str">
        <f ca="1">IF(OR(INDEX($AG$2:$AG$1001,MATCH(ROWS($AF$2:AF953),$AF$2:$AF$1001,0),1)&gt;=100000,INDEX($AM$1005:$BM$1005,1,MATCH(COLUMNS($AM$1006:BE1006),$AM$1006:$BM$1006,0))&gt;=100000), " ",IF(INDEX($AM$2:$BM$1001,MATCH(ROWS($AF$2:AF953),$AF$2:$AF$1001,0),MATCH(COLUMNS($AM$1006:BE1006),$AM$1006:$BM$1006,0)), HYPERLINK("#",""), HYPERLINK(CONCATENATE("#metadata!", ADDRESS(INDEX($AH$2:$AH$1001,MATCH(ROWS($AF$2:AF953),$AF$2:$AF$1001,0),0), INDEX($AM$1004:$BM$1004,1,MATCH(COLUMNS($AM$1006:BE1006),$AM$1006:$BM$1006,0)))),"Fix")))</f>
        <v xml:space="preserve"> </v>
      </c>
      <c r="U953" s="4" t="str">
        <f ca="1">IF(OR(INDEX($AG$2:$AG$1001,MATCH(ROWS($AF$2:AF953),$AF$2:$AF$1001,0),1)&gt;=100000,INDEX($AM$1005:$BM$1005,1,MATCH(COLUMNS($AM$1006:BF1006),$AM$1006:$BM$1006,0))&gt;=100000), " ",IF(INDEX($AM$2:$BM$1001,MATCH(ROWS($AF$2:AF953),$AF$2:$AF$1001,0),MATCH(COLUMNS($AM$1006:BF1006),$AM$1006:$BM$1006,0)), HYPERLINK("#",""), HYPERLINK(CONCATENATE("#metadata!", ADDRESS(INDEX($AH$2:$AH$1001,MATCH(ROWS($AF$2:AF953),$AF$2:$AF$1001,0),0), INDEX($AM$1004:$BM$1004,1,MATCH(COLUMNS($AM$1006:BF1006),$AM$1006:$BM$1006,0)))),"Fix")))</f>
        <v xml:space="preserve"> </v>
      </c>
      <c r="V953" s="4" t="str">
        <f ca="1">IF(OR(INDEX($AG$2:$AG$1001,MATCH(ROWS($AF$2:AF953),$AF$2:$AF$1001,0),1)&gt;=100000,INDEX($AM$1005:$BM$1005,1,MATCH(COLUMNS($AM$1006:BG1006),$AM$1006:$BM$1006,0))&gt;=100000), " ",IF(INDEX($AM$2:$BM$1001,MATCH(ROWS($AF$2:AF953),$AF$2:$AF$1001,0),MATCH(COLUMNS($AM$1006:BG1006),$AM$1006:$BM$1006,0)), HYPERLINK("#",""), HYPERLINK(CONCATENATE("#metadata!", ADDRESS(INDEX($AH$2:$AH$1001,MATCH(ROWS($AF$2:AF953),$AF$2:$AF$1001,0),0), INDEX($AM$1004:$BM$1004,1,MATCH(COLUMNS($AM$1006:BG1006),$AM$1006:$BM$1006,0)))),"Fix")))</f>
        <v xml:space="preserve"> </v>
      </c>
      <c r="W953" s="4" t="str">
        <f ca="1">IF(OR(INDEX($AG$2:$AG$1001,MATCH(ROWS($AF$2:AF953),$AF$2:$AF$1001,0),1)&gt;=100000,INDEX($AM$1005:$BM$1005,1,MATCH(COLUMNS($AM$1006:BH1006),$AM$1006:$BM$1006,0))&gt;=100000), " ",IF(INDEX($AM$2:$BM$1001,MATCH(ROWS($AF$2:AF953),$AF$2:$AF$1001,0),MATCH(COLUMNS($AM$1006:BH1006),$AM$1006:$BM$1006,0)), HYPERLINK("#",""), HYPERLINK(CONCATENATE("#metadata!", ADDRESS(INDEX($AH$2:$AH$1001,MATCH(ROWS($AF$2:AF953),$AF$2:$AF$1001,0),0), INDEX($AM$1004:$BM$1004,1,MATCH(COLUMNS($AM$1006:BH1006),$AM$1006:$BM$1006,0)))),"Fix")))</f>
        <v xml:space="preserve"> </v>
      </c>
      <c r="X953" s="4" t="str">
        <f ca="1">IF(OR(INDEX($AG$2:$AG$1001,MATCH(ROWS($AF$2:AF953),$AF$2:$AF$1001,0),1)&gt;=100000,INDEX($AM$1005:$BM$1005,1,MATCH(COLUMNS($AM$1006:BI1006),$AM$1006:$BM$1006,0))&gt;=100000), " ",IF(INDEX($AM$2:$BM$1001,MATCH(ROWS($AF$2:AF953),$AF$2:$AF$1001,0),MATCH(COLUMNS($AM$1006:BI1006),$AM$1006:$BM$1006,0)), HYPERLINK("#",""), HYPERLINK(CONCATENATE("#metadata!", ADDRESS(INDEX($AH$2:$AH$1001,MATCH(ROWS($AF$2:AF953),$AF$2:$AF$1001,0),0), INDEX($AM$1004:$BM$1004,1,MATCH(COLUMNS($AM$1006:BI1006),$AM$1006:$BM$1006,0)))),"Fix")))</f>
        <v xml:space="preserve"> </v>
      </c>
      <c r="Y953" s="4" t="str">
        <f ca="1">IF(OR(INDEX($AG$2:$AG$1001,MATCH(ROWS($AF$2:AF953),$AF$2:$AF$1001,0),1)&gt;=100000,INDEX($AM$1005:$BM$1005,1,MATCH(COLUMNS($AM$1006:BJ1006),$AM$1006:$BM$1006,0))&gt;=100000), " ",IF(INDEX($AM$2:$BM$1001,MATCH(ROWS($AF$2:AF953),$AF$2:$AF$1001,0),MATCH(COLUMNS($AM$1006:BJ1006),$AM$1006:$BM$1006,0)), HYPERLINK("#",""), HYPERLINK(CONCATENATE("#metadata!", ADDRESS(INDEX($AH$2:$AH$1001,MATCH(ROWS($AF$2:AF953),$AF$2:$AF$1001,0),0), INDEX($AM$1004:$BM$1004,1,MATCH(COLUMNS($AM$1006:BJ1006),$AM$1006:$BM$1006,0)))),"Fix")))</f>
        <v xml:space="preserve"> </v>
      </c>
      <c r="Z953" s="4" t="str">
        <f ca="1">IF(OR(INDEX($AG$2:$AG$1001,MATCH(ROWS($AF$2:AF953),$AF$2:$AF$1001,0),1)&gt;=100000,INDEX($AM$1005:$BM$1005,1,MATCH(COLUMNS($AM$1006:BK1006),$AM$1006:$BM$1006,0))&gt;=100000), " ",IF(INDEX($AM$2:$BM$1001,MATCH(ROWS($AF$2:AF953),$AF$2:$AF$1001,0),MATCH(COLUMNS($AM$1006:BK1006),$AM$1006:$BM$1006,0)), HYPERLINK("#",""), HYPERLINK(CONCATENATE("#metadata!", ADDRESS(INDEX($AH$2:$AH$1001,MATCH(ROWS($AF$2:AF953),$AF$2:$AF$1001,0),0), INDEX($AM$1004:$BM$1004,1,MATCH(COLUMNS($AM$1006:BK1006),$AM$1006:$BM$1006,0)))),"Fix")))</f>
        <v xml:space="preserve"> </v>
      </c>
      <c r="AA953" s="4" t="str">
        <f ca="1">IF(OR(INDEX($AG$2:$AG$1001,MATCH(ROWS($AF$2:AF953),$AF$2:$AF$1001,0),1)&gt;=100000,INDEX($AM$1005:$BM$1005,1,MATCH(COLUMNS($AM$1006:BL1006),$AM$1006:$BM$1006,0))&gt;=100000), " ",IF(INDEX($AM$2:$BM$1001,MATCH(ROWS($AF$2:AF953),$AF$2:$AF$1001,0),MATCH(COLUMNS($AM$1006:BL1006),$AM$1006:$BM$1006,0)), HYPERLINK("#",""), HYPERLINK(CONCATENATE("#metadata!", ADDRESS(INDEX($AH$2:$AH$1001,MATCH(ROWS($AF$2:AF953),$AF$2:$AF$1001,0),0), INDEX($AM$1004:$BM$1004,1,MATCH(COLUMNS($AM$1006:BL1006),$AM$1006:$BM$1006,0)))),"Fix")))</f>
        <v xml:space="preserve"> </v>
      </c>
      <c r="AB953" s="4" t="str">
        <f ca="1">IF(OR(INDEX($AG$2:$AG$1001,MATCH(ROWS($AF$2:AF953),$AF$2:$AF$1001,0),1)&gt;=100000,INDEX($AM$1005:$BM$1005,1,MATCH(COLUMNS($AM$1006:BM1006),$AM$1006:$BM$1006,0))&gt;=100000), " ",IF(INDEX($AM$2:$BM$1001,MATCH(ROWS($AF$2:AF953),$AF$2:$AF$1001,0),MATCH(COLUMNS($AM$1006:BM1006),$AM$1006:$BM$1006,0)), HYPERLINK("#",""), HYPERLINK(CONCATENATE("#metadata!", ADDRESS(INDEX($AH$2:$AH$1001,MATCH(ROWS($AF$2:AF953),$AF$2:$AF$1001,0),0), INDEX($AM$1004:$BM$1004,1,MATCH(COLUMNS($AM$1006:BM1006),$AM$1006:$BM$1006,0)))),"Fix")))</f>
        <v xml:space="preserve"> </v>
      </c>
      <c r="AF953">
        <v>952</v>
      </c>
      <c r="AG953">
        <v>100953</v>
      </c>
      <c r="AH953">
        <v>953</v>
      </c>
      <c r="AI953" t="b">
        <f t="shared" si="14"/>
        <v>1</v>
      </c>
      <c r="AJ953" t="b">
        <f>COUNTBLANK(metadata!B953:AB953)=COLUMNS(metadata!B953:AB953)</f>
        <v>1</v>
      </c>
      <c r="AK953" t="str">
        <v/>
      </c>
      <c r="AM953" t="b">
        <f ca="1">AND(IF(metadata!B953="",FALSE,TRUE),COUNTIF(metadata!B:B, metadata!B953) = 1,NOT(ISERROR(SUMPRODUCT(SEARCH(MID(metadata!B953,ROW(INDIRECT("1:"&amp;LEN(metadata!B953))), 1),"0123456789abcdefghijklmnopqrstuvwxyzABCDEFGHIJKLMNOPQRSTUVWXYZ.")))))</f>
        <v>0</v>
      </c>
      <c r="AN953" t="b">
        <f ca="1">OR(AND(IF(metadata!C953="",FALSE,TRUE),OR(EXACT(metadata!C953,"missing: not collected"),EXACT(metadata!C953,"missing: not provided"),EXACT(metadata!C953,"missing: restricted access"))),AND(IF(metadata!C953="",FALSE,TRUE),AND(AND(IFERROR(INT(LEFT(metadata!C953,4))&gt;1900,FALSE),IFERROR(INT(LEFT(metadata!C953,4))&lt;=YEAR(NOW()),FALSE)), OR(MID(metadata!C953,5,1)="", AND(AND(MID(metadata!C953,5,1)="-",IFERROR(INT(MID(metadata!C953,6,1))&gt;=0,FALSE),IFERROR(INT(MID(metadata!C953,6,1))&lt;=1,FALSE),NOT(MID(metadata!C953,7,1)=""),IFERROR(INT(MID(metadata!C953,6,2))&gt;=1,FALSE),IFERROR(INT(MID(metadata!C953,6,2))&lt;=12,FALSE)), OR(MID(metadata!C953,8,1)="", AND(AND(MID(metadata!C953,8,1)="-",IFERROR(INT(MID(metadata!C953,9,1))&gt;=0,FALSE),IFERROR(INT(MID(metadata!C953,9,1))&lt;=3,FALSE),NOT(MID(metadata!C953,10,1)=""),IFERROR(INT(MID(metadata!C953,9,2))&gt;=1,FALSE),IFERROR(INT(MID(metadata!C953,9,2))&lt;=31,FALSE)), OR(MID(metadata!C953,11,1)="", AND(AND(MID(metadata!C953,11,1)=" ",IFERROR(INT(MID(metadata!C953,12,1))&gt;=0,FALSE),IFERROR(INT(MID(metadata!C953,12,1))&lt;=2,FALSE),NOT(MID(metadata!C953,13,1)=""),IFERROR(INT(MID(metadata!C953,12,2))&gt;=0,FALSE),IFERROR(INT(MID(metadata!C953,12,2))&lt;=23,FALSE)), OR(MID(metadata!C953,14,1)="", AND(AND(MID(metadata!C953,14,1)=":",IFERROR(INT(MID(metadata!C953,15,1))&gt;=0,FALSE),IFERROR(INT(MID(metadata!C953,15,1))&lt;=5,FALSE),NOT(MID(metadata!C953,16,1)=""),IFERROR(INT(MID(metadata!C953,15,2))&gt;=0,FALSE),IFERROR(INT(MID(metadata!C953,15,2))&lt;=59,FALSE)), OR(MID(metadata!C953,17,1)="", AND(AND(MID(metadata!C953,17,1)=":",IFERROR(INT(MID(metadata!C953,18,1))&gt;=0,FALSE),IFERROR(INT(MID(metadata!C953,18,1))&lt;=5,FALSE),NOT(MID(metadata!C953,19,1)=""),IFERROR(INT(MID(metadata!C953,18,2))&gt;=0,FALSE),IFERROR(INT(MID(metadata!C953,18,2))&lt;=59,FALSE)), LEN(metadata!C953)&lt;=19)))))))))))))</f>
        <v>0</v>
      </c>
      <c r="AO953" t="b">
        <f>AND(IF(metadata!D953="",FALSE,TRUE),EXACT(metadata!D953,"Not applicable"))</f>
        <v>0</v>
      </c>
      <c r="AP953" t="b">
        <f>IF(metadata!E953="",FALSE,TRUE)</f>
        <v>0</v>
      </c>
      <c r="AQ953" t="b">
        <f>OR(AND(IF(metadata!F953="",FALSE,TRUE),OR(EXACT(metadata!F953,"missing: not collected"),EXACT(metadata!F953,"missing: not provided"))),AND(IF(metadata!F953="",FALSE,TRUE),OR(EXACT(metadata!F953,"TRUE"),EXACT(metadata!F953,"FALSE"))))</f>
        <v>0</v>
      </c>
      <c r="AR953" t="b">
        <f>OR(AND(IF(metadata!G953="",FALSE,TRUE),OR(EXACT(metadata!G953,"missing: not collected"),EXACT(metadata!G953,"missing: not provided"),EXACT(metadata!G953,"missing: restricted access"))),AND(IF(metadata!G953="",FALSE,ISNUMBER(VALUE(metadata!G953))),metadata!G953&gt;=-413))</f>
        <v>0</v>
      </c>
      <c r="AS953" t="b">
        <f>AND(IF(metadata!H953="",FALSE,TRUE),EXACT(metadata!H953,"meters"))</f>
        <v>0</v>
      </c>
      <c r="AT953" t="b">
        <f>AND(IF(metadata!I953="",FALSE,TRUE),OR(EXACT(metadata!I953,"Host-associated"),EXACT(metadata!I953,"Free-living")))</f>
        <v>0</v>
      </c>
      <c r="AU953" t="b">
        <f>AND(IF(metadata!J953="",FALSE,TRUE),OR(EXACT(metadata!J953,"Animal"),EXACT(metadata!J953,"Fungus"),EXACT(metadata!J953,"Plant"),EXACT(metadata!J953,"Saline"),EXACT(metadata!J953,"Non-saline")))</f>
        <v>0</v>
      </c>
      <c r="AV953" t="b">
        <f>AND(IF(metadata!K953="",FALSE,TRUE),OR(EXACT(metadata!K953,"Plant secretion"),EXACT(metadata!K953,"Plant rhizosphere"),EXACT(metadata!K953,"Plant surface"),EXACT(metadata!K953,"Plant corpus"),EXACT(metadata!K953,"Fungus surface"),EXACT(metadata!K953,"Fungus corpus"),EXACT(metadata!K953,"Animal surface"),EXACT(metadata!K953,"Animal proximal gut"),EXACT(metadata!K953,"Animal corpus"),EXACT(metadata!K953,"Animal distal gut"),EXACT(metadata!K953,"Animal secretion"),EXACT(metadata!K953,"Sub-surface (non-saline)"),EXACT(metadata!K953,"Surface (non-saline)"),EXACT(metadata!K953,"Water (non-saline)"),EXACT(metadata!K953,"Soil (non-saline)"),EXACT(metadata!K953,"Aerosol (non-saline)"),EXACT(metadata!K953,"Sediment (non-saline)"),EXACT(metadata!K953,"Surface (saline)"),EXACT(metadata!K953,"Water (saline)"),EXACT(metadata!K953,"Hypersaline (saline)"),EXACT(metadata!K953,"Aerosol (saline)"),EXACT(metadata!K953,"Sediment (saline)")))</f>
        <v>0</v>
      </c>
      <c r="AW953" t="b">
        <f>IF(metadata!L953="",FALSE,TRUE)</f>
        <v>0</v>
      </c>
      <c r="AX953" t="b">
        <f>IF(metadata!M953="",FALSE,TRUE)</f>
        <v>0</v>
      </c>
      <c r="AY953" t="b">
        <f>IF(metadata!N953="",FALSE,TRUE)</f>
        <v>0</v>
      </c>
      <c r="AZ953" t="b">
        <f>OR(AND(IF(metadata!O953="",FALSE,TRUE),OR(EXACT(metadata!O953,"missing: not collected"),EXACT(metadata!O953,"missing: not provided"),EXACT(metadata!O953,"missing: restricted access"))),AND(IF(metadata!O953="",FALSE,TRUE),OR(EXACT(metadata!O953,"air"),EXACT(metadata!O953,"built environment"),EXACT(metadata!O953,"host-associated"),EXACT(metadata!O953,"human-associated"),EXACT(metadata!O953,"human-skin"),EXACT(metadata!O953,"human-oral"),EXACT(metadata!O953,"human-gut"),EXACT(metadata!O953,"human-vaginal"),EXACT(metadata!O953,"microbial mat/biofilm"),EXACT(metadata!O953,"misc environment"),EXACT(metadata!O953,"plant-associated"),EXACT(metadata!O953,"sediment"),EXACT(metadata!O953,"soil"),EXACT(metadata!O953,"wastewater/sludge"),EXACT(metadata!O953,"water"))))</f>
        <v>0</v>
      </c>
      <c r="BA953" t="b">
        <f>IF(metadata!P953="",FALSE,TRUE)</f>
        <v>0</v>
      </c>
      <c r="BB953" t="b">
        <f>IF(metadata!Q953="",FALSE,TRUE)</f>
        <v>0</v>
      </c>
      <c r="BC953" t="b">
        <f>OR(AND(IF(metadata!R953="",FALSE,TRUE),OR(EXACT(metadata!R953,"missing: not collected"),EXACT(metadata!R953,"missing: not provided"),EXACT(metadata!R953,"missing: restricted access"))),AND(IF(metadata!R953="",FALSE,ISNUMBER(VALUE(metadata!R953))),metadata!R953&gt;=-90,metadata!R953&lt;=90))</f>
        <v>0</v>
      </c>
      <c r="BD953" t="b">
        <f>AND(IF(metadata!S953="",FALSE,TRUE),EXACT(metadata!S953,"Decimal degrees"))</f>
        <v>0</v>
      </c>
      <c r="BE953" t="b">
        <f>OR(AND(IF(metadata!T953="",FALSE,TRUE),OR(EXACT(metadata!T953,"missing: not collected"),EXACT(metadata!T953,"missing: not provided"),EXACT(metadata!T953,"missing: restricted access"))),AND(IF(metadata!T953="",FALSE,ISNUMBER(VALUE(metadata!T953))),metadata!T953&gt;=-180,metadata!T953&lt;=180))</f>
        <v>0</v>
      </c>
      <c r="BF953" t="b">
        <f>AND(IF(metadata!U953="",FALSE,TRUE),EXACT(metadata!U953,"Decimal degrees"))</f>
        <v>0</v>
      </c>
      <c r="BG953" t="b">
        <f>IF(metadata!V953="",FALSE,TRUE)</f>
        <v>0</v>
      </c>
      <c r="BH953" t="b">
        <f>OR(AND(IF(metadata!W953="",FALSE,TRUE),OR(EXACT(metadata!W953,"missing: not collected"),EXACT(metadata!W953,"missing: not provided"),EXACT(metadata!W953,"missing: restricted access"))),AND(IF(metadata!W953="",FALSE,TRUE),OR(EXACT(metadata!W953,"TRUE"),EXACT(metadata!W953,"FALSE"))))</f>
        <v>0</v>
      </c>
      <c r="BI953" t="b">
        <f>AND(IF(metadata!X953="",FALSE,TRUE),EXACT(metadata!X953,"other"))</f>
        <v>0</v>
      </c>
      <c r="BJ953" t="b">
        <f>IF(metadata!Y953="",FALSE,TRUE)</f>
        <v>0</v>
      </c>
      <c r="BK953" t="b">
        <f>OR(AND(IF(metadata!Z953="",FALSE,TRUE),OR(EXACT(metadata!Z953,"missing: not collected"),EXACT(metadata!Z953,"missing: not provided"))),AND(IF(metadata!Z953="",FALSE,IF(ISERROR(INT(metadata!Z953)),FALSE,INT(metadata!Z953)=metadata!Z953)),metadata!Z953&gt;0))</f>
        <v>0</v>
      </c>
      <c r="BL953" t="b">
        <f>AND(IF(metadata!AA953="",FALSE,TRUE),EXACT(metadata!AA953,"Not applicable"))</f>
        <v>0</v>
      </c>
      <c r="BM953" t="b">
        <f>IF(metadata!AB953="",FALSE,TRUE)</f>
        <v>0</v>
      </c>
    </row>
    <row r="954" spans="1:65" x14ac:dyDescent="0.2">
      <c r="A954" s="5" t="str">
        <f ca="1">IF(B954=" "," ",HYPERLINK(CONCATENATE("#metadata!",ADDRESS(INDEX($AH$2:$AH$1001,MATCH(ROWS($AF$2:AF954),$AF$2:$AF$1001,0),0),1)),INDEX($AK$2:$AK$1001,MATCH(ROWS($AF$2:AF954),$AF$2:$AF$1001,0),0)))</f>
        <v xml:space="preserve"> </v>
      </c>
      <c r="B954" s="4" t="str">
        <f ca="1">IF(OR(INDEX($AG$2:$AG$1001,MATCH(ROWS($AF$2:AF954),$AF$2:$AF$1001,0),1)&gt;=100000,INDEX($AM$1005:$BM$1005,1,MATCH(COLUMNS($AM$1006:AM1006),$AM$1006:$BM$1006,0))&gt;=100000), " ",IF(INDEX($AM$2:$BM$1001,MATCH(ROWS($AF$2:AF954),$AF$2:$AF$1001,0),MATCH(COLUMNS($AM$1006:AM1006),$AM$1006:$BM$1006,0)), HYPERLINK("#",""), HYPERLINK(CONCATENATE("#metadata!", ADDRESS(INDEX($AH$2:$AH$1001,MATCH(ROWS($AF$2:AF954),$AF$2:$AF$1001,0),0), INDEX($AM$1004:$BM$1004,1,MATCH(COLUMNS($AM$1006:AM1006),$AM$1006:$BM$1006,0)))),"Fix")))</f>
        <v xml:space="preserve"> </v>
      </c>
      <c r="C954" s="4" t="str">
        <f ca="1">IF(OR(INDEX($AG$2:$AG$1001,MATCH(ROWS($AF$2:AF954),$AF$2:$AF$1001,0),1)&gt;=100000,INDEX($AM$1005:$BM$1005,1,MATCH(COLUMNS($AM$1006:AN1006),$AM$1006:$BM$1006,0))&gt;=100000), " ",IF(INDEX($AM$2:$BM$1001,MATCH(ROWS($AF$2:AF954),$AF$2:$AF$1001,0),MATCH(COLUMNS($AM$1006:AN1006),$AM$1006:$BM$1006,0)), HYPERLINK("#",""), HYPERLINK(CONCATENATE("#metadata!", ADDRESS(INDEX($AH$2:$AH$1001,MATCH(ROWS($AF$2:AF954),$AF$2:$AF$1001,0),0), INDEX($AM$1004:$BM$1004,1,MATCH(COLUMNS($AM$1006:AN1006),$AM$1006:$BM$1006,0)))),"Fix")))</f>
        <v xml:space="preserve"> </v>
      </c>
      <c r="D954" s="4" t="str">
        <f ca="1">IF(OR(INDEX($AG$2:$AG$1001,MATCH(ROWS($AF$2:AF954),$AF$2:$AF$1001,0),1)&gt;=100000,INDEX($AM$1005:$BM$1005,1,MATCH(COLUMNS($AM$1006:AO1006),$AM$1006:$BM$1006,0))&gt;=100000), " ",IF(INDEX($AM$2:$BM$1001,MATCH(ROWS($AF$2:AF954),$AF$2:$AF$1001,0),MATCH(COLUMNS($AM$1006:AO1006),$AM$1006:$BM$1006,0)), HYPERLINK("#",""), HYPERLINK(CONCATENATE("#metadata!", ADDRESS(INDEX($AH$2:$AH$1001,MATCH(ROWS($AF$2:AF954),$AF$2:$AF$1001,0),0), INDEX($AM$1004:$BM$1004,1,MATCH(COLUMNS($AM$1006:AO1006),$AM$1006:$BM$1006,0)))),"Fix")))</f>
        <v xml:space="preserve"> </v>
      </c>
      <c r="E954" s="4" t="str">
        <f ca="1">IF(OR(INDEX($AG$2:$AG$1001,MATCH(ROWS($AF$2:AF954),$AF$2:$AF$1001,0),1)&gt;=100000,INDEX($AM$1005:$BM$1005,1,MATCH(COLUMNS($AM$1006:AP1006),$AM$1006:$BM$1006,0))&gt;=100000), " ",IF(INDEX($AM$2:$BM$1001,MATCH(ROWS($AF$2:AF954),$AF$2:$AF$1001,0),MATCH(COLUMNS($AM$1006:AP1006),$AM$1006:$BM$1006,0)), HYPERLINK("#",""), HYPERLINK(CONCATENATE("#metadata!", ADDRESS(INDEX($AH$2:$AH$1001,MATCH(ROWS($AF$2:AF954),$AF$2:$AF$1001,0),0), INDEX($AM$1004:$BM$1004,1,MATCH(COLUMNS($AM$1006:AP1006),$AM$1006:$BM$1006,0)))),"Fix")))</f>
        <v xml:space="preserve"> </v>
      </c>
      <c r="F954" s="4" t="str">
        <f ca="1">IF(OR(INDEX($AG$2:$AG$1001,MATCH(ROWS($AF$2:AF954),$AF$2:$AF$1001,0),1)&gt;=100000,INDEX($AM$1005:$BM$1005,1,MATCH(COLUMNS($AM$1006:AQ1006),$AM$1006:$BM$1006,0))&gt;=100000), " ",IF(INDEX($AM$2:$BM$1001,MATCH(ROWS($AF$2:AF954),$AF$2:$AF$1001,0),MATCH(COLUMNS($AM$1006:AQ1006),$AM$1006:$BM$1006,0)), HYPERLINK("#",""), HYPERLINK(CONCATENATE("#metadata!", ADDRESS(INDEX($AH$2:$AH$1001,MATCH(ROWS($AF$2:AF954),$AF$2:$AF$1001,0),0), INDEX($AM$1004:$BM$1004,1,MATCH(COLUMNS($AM$1006:AQ1006),$AM$1006:$BM$1006,0)))),"Fix")))</f>
        <v xml:space="preserve"> </v>
      </c>
      <c r="G954" s="4" t="str">
        <f ca="1">IF(OR(INDEX($AG$2:$AG$1001,MATCH(ROWS($AF$2:AF954),$AF$2:$AF$1001,0),1)&gt;=100000,INDEX($AM$1005:$BM$1005,1,MATCH(COLUMNS($AM$1006:AR1006),$AM$1006:$BM$1006,0))&gt;=100000), " ",IF(INDEX($AM$2:$BM$1001,MATCH(ROWS($AF$2:AF954),$AF$2:$AF$1001,0),MATCH(COLUMNS($AM$1006:AR1006),$AM$1006:$BM$1006,0)), HYPERLINK("#",""), HYPERLINK(CONCATENATE("#metadata!", ADDRESS(INDEX($AH$2:$AH$1001,MATCH(ROWS($AF$2:AF954),$AF$2:$AF$1001,0),0), INDEX($AM$1004:$BM$1004,1,MATCH(COLUMNS($AM$1006:AR1006),$AM$1006:$BM$1006,0)))),"Fix")))</f>
        <v xml:space="preserve"> </v>
      </c>
      <c r="H954" s="4" t="str">
        <f ca="1">IF(OR(INDEX($AG$2:$AG$1001,MATCH(ROWS($AF$2:AF954),$AF$2:$AF$1001,0),1)&gt;=100000,INDEX($AM$1005:$BM$1005,1,MATCH(COLUMNS($AM$1006:AS1006),$AM$1006:$BM$1006,0))&gt;=100000), " ",IF(INDEX($AM$2:$BM$1001,MATCH(ROWS($AF$2:AF954),$AF$2:$AF$1001,0),MATCH(COLUMNS($AM$1006:AS1006),$AM$1006:$BM$1006,0)), HYPERLINK("#",""), HYPERLINK(CONCATENATE("#metadata!", ADDRESS(INDEX($AH$2:$AH$1001,MATCH(ROWS($AF$2:AF954),$AF$2:$AF$1001,0),0), INDEX($AM$1004:$BM$1004,1,MATCH(COLUMNS($AM$1006:AS1006),$AM$1006:$BM$1006,0)))),"Fix")))</f>
        <v xml:space="preserve"> </v>
      </c>
      <c r="I954" s="4" t="str">
        <f ca="1">IF(OR(INDEX($AG$2:$AG$1001,MATCH(ROWS($AF$2:AF954),$AF$2:$AF$1001,0),1)&gt;=100000,INDEX($AM$1005:$BM$1005,1,MATCH(COLUMNS($AM$1006:AT1006),$AM$1006:$BM$1006,0))&gt;=100000), " ",IF(INDEX($AM$2:$BM$1001,MATCH(ROWS($AF$2:AF954),$AF$2:$AF$1001,0),MATCH(COLUMNS($AM$1006:AT1006),$AM$1006:$BM$1006,0)), HYPERLINK("#",""), HYPERLINK(CONCATENATE("#metadata!", ADDRESS(INDEX($AH$2:$AH$1001,MATCH(ROWS($AF$2:AF954),$AF$2:$AF$1001,0),0), INDEX($AM$1004:$BM$1004,1,MATCH(COLUMNS($AM$1006:AT1006),$AM$1006:$BM$1006,0)))),"Fix")))</f>
        <v xml:space="preserve"> </v>
      </c>
      <c r="J954" s="4" t="str">
        <f ca="1">IF(OR(INDEX($AG$2:$AG$1001,MATCH(ROWS($AF$2:AF954),$AF$2:$AF$1001,0),1)&gt;=100000,INDEX($AM$1005:$BM$1005,1,MATCH(COLUMNS($AM$1006:AU1006),$AM$1006:$BM$1006,0))&gt;=100000), " ",IF(INDEX($AM$2:$BM$1001,MATCH(ROWS($AF$2:AF954),$AF$2:$AF$1001,0),MATCH(COLUMNS($AM$1006:AU1006),$AM$1006:$BM$1006,0)), HYPERLINK("#",""), HYPERLINK(CONCATENATE("#metadata!", ADDRESS(INDEX($AH$2:$AH$1001,MATCH(ROWS($AF$2:AF954),$AF$2:$AF$1001,0),0), INDEX($AM$1004:$BM$1004,1,MATCH(COLUMNS($AM$1006:AU1006),$AM$1006:$BM$1006,0)))),"Fix")))</f>
        <v xml:space="preserve"> </v>
      </c>
      <c r="K954" s="4" t="str">
        <f ca="1">IF(OR(INDEX($AG$2:$AG$1001,MATCH(ROWS($AF$2:AF954),$AF$2:$AF$1001,0),1)&gt;=100000,INDEX($AM$1005:$BM$1005,1,MATCH(COLUMNS($AM$1006:AV1006),$AM$1006:$BM$1006,0))&gt;=100000), " ",IF(INDEX($AM$2:$BM$1001,MATCH(ROWS($AF$2:AF954),$AF$2:$AF$1001,0),MATCH(COLUMNS($AM$1006:AV1006),$AM$1006:$BM$1006,0)), HYPERLINK("#",""), HYPERLINK(CONCATENATE("#metadata!", ADDRESS(INDEX($AH$2:$AH$1001,MATCH(ROWS($AF$2:AF954),$AF$2:$AF$1001,0),0), INDEX($AM$1004:$BM$1004,1,MATCH(COLUMNS($AM$1006:AV1006),$AM$1006:$BM$1006,0)))),"Fix")))</f>
        <v xml:space="preserve"> </v>
      </c>
      <c r="L954" s="4" t="str">
        <f ca="1">IF(OR(INDEX($AG$2:$AG$1001,MATCH(ROWS($AF$2:AF954),$AF$2:$AF$1001,0),1)&gt;=100000,INDEX($AM$1005:$BM$1005,1,MATCH(COLUMNS($AM$1006:AW1006),$AM$1006:$BM$1006,0))&gt;=100000), " ",IF(INDEX($AM$2:$BM$1001,MATCH(ROWS($AF$2:AF954),$AF$2:$AF$1001,0),MATCH(COLUMNS($AM$1006:AW1006),$AM$1006:$BM$1006,0)), HYPERLINK("#",""), HYPERLINK(CONCATENATE("#metadata!", ADDRESS(INDEX($AH$2:$AH$1001,MATCH(ROWS($AF$2:AF954),$AF$2:$AF$1001,0),0), INDEX($AM$1004:$BM$1004,1,MATCH(COLUMNS($AM$1006:AW1006),$AM$1006:$BM$1006,0)))),"Fix")))</f>
        <v xml:space="preserve"> </v>
      </c>
      <c r="M954" s="4" t="str">
        <f ca="1">IF(OR(INDEX($AG$2:$AG$1001,MATCH(ROWS($AF$2:AF954),$AF$2:$AF$1001,0),1)&gt;=100000,INDEX($AM$1005:$BM$1005,1,MATCH(COLUMNS($AM$1006:AX1006),$AM$1006:$BM$1006,0))&gt;=100000), " ",IF(INDEX($AM$2:$BM$1001,MATCH(ROWS($AF$2:AF954),$AF$2:$AF$1001,0),MATCH(COLUMNS($AM$1006:AX1006),$AM$1006:$BM$1006,0)), HYPERLINK("#",""), HYPERLINK(CONCATENATE("#metadata!", ADDRESS(INDEX($AH$2:$AH$1001,MATCH(ROWS($AF$2:AF954),$AF$2:$AF$1001,0),0), INDEX($AM$1004:$BM$1004,1,MATCH(COLUMNS($AM$1006:AX1006),$AM$1006:$BM$1006,0)))),"Fix")))</f>
        <v xml:space="preserve"> </v>
      </c>
      <c r="N954" s="4" t="str">
        <f ca="1">IF(OR(INDEX($AG$2:$AG$1001,MATCH(ROWS($AF$2:AF954),$AF$2:$AF$1001,0),1)&gt;=100000,INDEX($AM$1005:$BM$1005,1,MATCH(COLUMNS($AM$1006:AY1006),$AM$1006:$BM$1006,0))&gt;=100000), " ",IF(INDEX($AM$2:$BM$1001,MATCH(ROWS($AF$2:AF954),$AF$2:$AF$1001,0),MATCH(COLUMNS($AM$1006:AY1006),$AM$1006:$BM$1006,0)), HYPERLINK("#",""), HYPERLINK(CONCATENATE("#metadata!", ADDRESS(INDEX($AH$2:$AH$1001,MATCH(ROWS($AF$2:AF954),$AF$2:$AF$1001,0),0), INDEX($AM$1004:$BM$1004,1,MATCH(COLUMNS($AM$1006:AY1006),$AM$1006:$BM$1006,0)))),"Fix")))</f>
        <v xml:space="preserve"> </v>
      </c>
      <c r="O954" s="4" t="str">
        <f ca="1">IF(OR(INDEX($AG$2:$AG$1001,MATCH(ROWS($AF$2:AF954),$AF$2:$AF$1001,0),1)&gt;=100000,INDEX($AM$1005:$BM$1005,1,MATCH(COLUMNS($AM$1006:AZ1006),$AM$1006:$BM$1006,0))&gt;=100000), " ",IF(INDEX($AM$2:$BM$1001,MATCH(ROWS($AF$2:AF954),$AF$2:$AF$1001,0),MATCH(COLUMNS($AM$1006:AZ1006),$AM$1006:$BM$1006,0)), HYPERLINK("#",""), HYPERLINK(CONCATENATE("#metadata!", ADDRESS(INDEX($AH$2:$AH$1001,MATCH(ROWS($AF$2:AF954),$AF$2:$AF$1001,0),0), INDEX($AM$1004:$BM$1004,1,MATCH(COLUMNS($AM$1006:AZ1006),$AM$1006:$BM$1006,0)))),"Fix")))</f>
        <v xml:space="preserve"> </v>
      </c>
      <c r="P954" s="4" t="str">
        <f ca="1">IF(OR(INDEX($AG$2:$AG$1001,MATCH(ROWS($AF$2:AF954),$AF$2:$AF$1001,0),1)&gt;=100000,INDEX($AM$1005:$BM$1005,1,MATCH(COLUMNS($AM$1006:BA1006),$AM$1006:$BM$1006,0))&gt;=100000), " ",IF(INDEX($AM$2:$BM$1001,MATCH(ROWS($AF$2:AF954),$AF$2:$AF$1001,0),MATCH(COLUMNS($AM$1006:BA1006),$AM$1006:$BM$1006,0)), HYPERLINK("#",""), HYPERLINK(CONCATENATE("#metadata!", ADDRESS(INDEX($AH$2:$AH$1001,MATCH(ROWS($AF$2:AF954),$AF$2:$AF$1001,0),0), INDEX($AM$1004:$BM$1004,1,MATCH(COLUMNS($AM$1006:BA1006),$AM$1006:$BM$1006,0)))),"Fix")))</f>
        <v xml:space="preserve"> </v>
      </c>
      <c r="Q954" s="4" t="str">
        <f ca="1">IF(OR(INDEX($AG$2:$AG$1001,MATCH(ROWS($AF$2:AF954),$AF$2:$AF$1001,0),1)&gt;=100000,INDEX($AM$1005:$BM$1005,1,MATCH(COLUMNS($AM$1006:BB1006),$AM$1006:$BM$1006,0))&gt;=100000), " ",IF(INDEX($AM$2:$BM$1001,MATCH(ROWS($AF$2:AF954),$AF$2:$AF$1001,0),MATCH(COLUMNS($AM$1006:BB1006),$AM$1006:$BM$1006,0)), HYPERLINK("#",""), HYPERLINK(CONCATENATE("#metadata!", ADDRESS(INDEX($AH$2:$AH$1001,MATCH(ROWS($AF$2:AF954),$AF$2:$AF$1001,0),0), INDEX($AM$1004:$BM$1004,1,MATCH(COLUMNS($AM$1006:BB1006),$AM$1006:$BM$1006,0)))),"Fix")))</f>
        <v xml:space="preserve"> </v>
      </c>
      <c r="R954" s="4" t="str">
        <f ca="1">IF(OR(INDEX($AG$2:$AG$1001,MATCH(ROWS($AF$2:AF954),$AF$2:$AF$1001,0),1)&gt;=100000,INDEX($AM$1005:$BM$1005,1,MATCH(COLUMNS($AM$1006:BC1006),$AM$1006:$BM$1006,0))&gt;=100000), " ",IF(INDEX($AM$2:$BM$1001,MATCH(ROWS($AF$2:AF954),$AF$2:$AF$1001,0),MATCH(COLUMNS($AM$1006:BC1006),$AM$1006:$BM$1006,0)), HYPERLINK("#",""), HYPERLINK(CONCATENATE("#metadata!", ADDRESS(INDEX($AH$2:$AH$1001,MATCH(ROWS($AF$2:AF954),$AF$2:$AF$1001,0),0), INDEX($AM$1004:$BM$1004,1,MATCH(COLUMNS($AM$1006:BC1006),$AM$1006:$BM$1006,0)))),"Fix")))</f>
        <v xml:space="preserve"> </v>
      </c>
      <c r="S954" s="4" t="str">
        <f ca="1">IF(OR(INDEX($AG$2:$AG$1001,MATCH(ROWS($AF$2:AF954),$AF$2:$AF$1001,0),1)&gt;=100000,INDEX($AM$1005:$BM$1005,1,MATCH(COLUMNS($AM$1006:BD1006),$AM$1006:$BM$1006,0))&gt;=100000), " ",IF(INDEX($AM$2:$BM$1001,MATCH(ROWS($AF$2:AF954),$AF$2:$AF$1001,0),MATCH(COLUMNS($AM$1006:BD1006),$AM$1006:$BM$1006,0)), HYPERLINK("#",""), HYPERLINK(CONCATENATE("#metadata!", ADDRESS(INDEX($AH$2:$AH$1001,MATCH(ROWS($AF$2:AF954),$AF$2:$AF$1001,0),0), INDEX($AM$1004:$BM$1004,1,MATCH(COLUMNS($AM$1006:BD1006),$AM$1006:$BM$1006,0)))),"Fix")))</f>
        <v xml:space="preserve"> </v>
      </c>
      <c r="T954" s="4" t="str">
        <f ca="1">IF(OR(INDEX($AG$2:$AG$1001,MATCH(ROWS($AF$2:AF954),$AF$2:$AF$1001,0),1)&gt;=100000,INDEX($AM$1005:$BM$1005,1,MATCH(COLUMNS($AM$1006:BE1006),$AM$1006:$BM$1006,0))&gt;=100000), " ",IF(INDEX($AM$2:$BM$1001,MATCH(ROWS($AF$2:AF954),$AF$2:$AF$1001,0),MATCH(COLUMNS($AM$1006:BE1006),$AM$1006:$BM$1006,0)), HYPERLINK("#",""), HYPERLINK(CONCATENATE("#metadata!", ADDRESS(INDEX($AH$2:$AH$1001,MATCH(ROWS($AF$2:AF954),$AF$2:$AF$1001,0),0), INDEX($AM$1004:$BM$1004,1,MATCH(COLUMNS($AM$1006:BE1006),$AM$1006:$BM$1006,0)))),"Fix")))</f>
        <v xml:space="preserve"> </v>
      </c>
      <c r="U954" s="4" t="str">
        <f ca="1">IF(OR(INDEX($AG$2:$AG$1001,MATCH(ROWS($AF$2:AF954),$AF$2:$AF$1001,0),1)&gt;=100000,INDEX($AM$1005:$BM$1005,1,MATCH(COLUMNS($AM$1006:BF1006),$AM$1006:$BM$1006,0))&gt;=100000), " ",IF(INDEX($AM$2:$BM$1001,MATCH(ROWS($AF$2:AF954),$AF$2:$AF$1001,0),MATCH(COLUMNS($AM$1006:BF1006),$AM$1006:$BM$1006,0)), HYPERLINK("#",""), HYPERLINK(CONCATENATE("#metadata!", ADDRESS(INDEX($AH$2:$AH$1001,MATCH(ROWS($AF$2:AF954),$AF$2:$AF$1001,0),0), INDEX($AM$1004:$BM$1004,1,MATCH(COLUMNS($AM$1006:BF1006),$AM$1006:$BM$1006,0)))),"Fix")))</f>
        <v xml:space="preserve"> </v>
      </c>
      <c r="V954" s="4" t="str">
        <f ca="1">IF(OR(INDEX($AG$2:$AG$1001,MATCH(ROWS($AF$2:AF954),$AF$2:$AF$1001,0),1)&gt;=100000,INDEX($AM$1005:$BM$1005,1,MATCH(COLUMNS($AM$1006:BG1006),$AM$1006:$BM$1006,0))&gt;=100000), " ",IF(INDEX($AM$2:$BM$1001,MATCH(ROWS($AF$2:AF954),$AF$2:$AF$1001,0),MATCH(COLUMNS($AM$1006:BG1006),$AM$1006:$BM$1006,0)), HYPERLINK("#",""), HYPERLINK(CONCATENATE("#metadata!", ADDRESS(INDEX($AH$2:$AH$1001,MATCH(ROWS($AF$2:AF954),$AF$2:$AF$1001,0),0), INDEX($AM$1004:$BM$1004,1,MATCH(COLUMNS($AM$1006:BG1006),$AM$1006:$BM$1006,0)))),"Fix")))</f>
        <v xml:space="preserve"> </v>
      </c>
      <c r="W954" s="4" t="str">
        <f ca="1">IF(OR(INDEX($AG$2:$AG$1001,MATCH(ROWS($AF$2:AF954),$AF$2:$AF$1001,0),1)&gt;=100000,INDEX($AM$1005:$BM$1005,1,MATCH(COLUMNS($AM$1006:BH1006),$AM$1006:$BM$1006,0))&gt;=100000), " ",IF(INDEX($AM$2:$BM$1001,MATCH(ROWS($AF$2:AF954),$AF$2:$AF$1001,0),MATCH(COLUMNS($AM$1006:BH1006),$AM$1006:$BM$1006,0)), HYPERLINK("#",""), HYPERLINK(CONCATENATE("#metadata!", ADDRESS(INDEX($AH$2:$AH$1001,MATCH(ROWS($AF$2:AF954),$AF$2:$AF$1001,0),0), INDEX($AM$1004:$BM$1004,1,MATCH(COLUMNS($AM$1006:BH1006),$AM$1006:$BM$1006,0)))),"Fix")))</f>
        <v xml:space="preserve"> </v>
      </c>
      <c r="X954" s="4" t="str">
        <f ca="1">IF(OR(INDEX($AG$2:$AG$1001,MATCH(ROWS($AF$2:AF954),$AF$2:$AF$1001,0),1)&gt;=100000,INDEX($AM$1005:$BM$1005,1,MATCH(COLUMNS($AM$1006:BI1006),$AM$1006:$BM$1006,0))&gt;=100000), " ",IF(INDEX($AM$2:$BM$1001,MATCH(ROWS($AF$2:AF954),$AF$2:$AF$1001,0),MATCH(COLUMNS($AM$1006:BI1006),$AM$1006:$BM$1006,0)), HYPERLINK("#",""), HYPERLINK(CONCATENATE("#metadata!", ADDRESS(INDEX($AH$2:$AH$1001,MATCH(ROWS($AF$2:AF954),$AF$2:$AF$1001,0),0), INDEX($AM$1004:$BM$1004,1,MATCH(COLUMNS($AM$1006:BI1006),$AM$1006:$BM$1006,0)))),"Fix")))</f>
        <v xml:space="preserve"> </v>
      </c>
      <c r="Y954" s="4" t="str">
        <f ca="1">IF(OR(INDEX($AG$2:$AG$1001,MATCH(ROWS($AF$2:AF954),$AF$2:$AF$1001,0),1)&gt;=100000,INDEX($AM$1005:$BM$1005,1,MATCH(COLUMNS($AM$1006:BJ1006),$AM$1006:$BM$1006,0))&gt;=100000), " ",IF(INDEX($AM$2:$BM$1001,MATCH(ROWS($AF$2:AF954),$AF$2:$AF$1001,0),MATCH(COLUMNS($AM$1006:BJ1006),$AM$1006:$BM$1006,0)), HYPERLINK("#",""), HYPERLINK(CONCATENATE("#metadata!", ADDRESS(INDEX($AH$2:$AH$1001,MATCH(ROWS($AF$2:AF954),$AF$2:$AF$1001,0),0), INDEX($AM$1004:$BM$1004,1,MATCH(COLUMNS($AM$1006:BJ1006),$AM$1006:$BM$1006,0)))),"Fix")))</f>
        <v xml:space="preserve"> </v>
      </c>
      <c r="Z954" s="4" t="str">
        <f ca="1">IF(OR(INDEX($AG$2:$AG$1001,MATCH(ROWS($AF$2:AF954),$AF$2:$AF$1001,0),1)&gt;=100000,INDEX($AM$1005:$BM$1005,1,MATCH(COLUMNS($AM$1006:BK1006),$AM$1006:$BM$1006,0))&gt;=100000), " ",IF(INDEX($AM$2:$BM$1001,MATCH(ROWS($AF$2:AF954),$AF$2:$AF$1001,0),MATCH(COLUMNS($AM$1006:BK1006),$AM$1006:$BM$1006,0)), HYPERLINK("#",""), HYPERLINK(CONCATENATE("#metadata!", ADDRESS(INDEX($AH$2:$AH$1001,MATCH(ROWS($AF$2:AF954),$AF$2:$AF$1001,0),0), INDEX($AM$1004:$BM$1004,1,MATCH(COLUMNS($AM$1006:BK1006),$AM$1006:$BM$1006,0)))),"Fix")))</f>
        <v xml:space="preserve"> </v>
      </c>
      <c r="AA954" s="4" t="str">
        <f ca="1">IF(OR(INDEX($AG$2:$AG$1001,MATCH(ROWS($AF$2:AF954),$AF$2:$AF$1001,0),1)&gt;=100000,INDEX($AM$1005:$BM$1005,1,MATCH(COLUMNS($AM$1006:BL1006),$AM$1006:$BM$1006,0))&gt;=100000), " ",IF(INDEX($AM$2:$BM$1001,MATCH(ROWS($AF$2:AF954),$AF$2:$AF$1001,0),MATCH(COLUMNS($AM$1006:BL1006),$AM$1006:$BM$1006,0)), HYPERLINK("#",""), HYPERLINK(CONCATENATE("#metadata!", ADDRESS(INDEX($AH$2:$AH$1001,MATCH(ROWS($AF$2:AF954),$AF$2:$AF$1001,0),0), INDEX($AM$1004:$BM$1004,1,MATCH(COLUMNS($AM$1006:BL1006),$AM$1006:$BM$1006,0)))),"Fix")))</f>
        <v xml:space="preserve"> </v>
      </c>
      <c r="AB954" s="4" t="str">
        <f ca="1">IF(OR(INDEX($AG$2:$AG$1001,MATCH(ROWS($AF$2:AF954),$AF$2:$AF$1001,0),1)&gt;=100000,INDEX($AM$1005:$BM$1005,1,MATCH(COLUMNS($AM$1006:BM1006),$AM$1006:$BM$1006,0))&gt;=100000), " ",IF(INDEX($AM$2:$BM$1001,MATCH(ROWS($AF$2:AF954),$AF$2:$AF$1001,0),MATCH(COLUMNS($AM$1006:BM1006),$AM$1006:$BM$1006,0)), HYPERLINK("#",""), HYPERLINK(CONCATENATE("#metadata!", ADDRESS(INDEX($AH$2:$AH$1001,MATCH(ROWS($AF$2:AF954),$AF$2:$AF$1001,0),0), INDEX($AM$1004:$BM$1004,1,MATCH(COLUMNS($AM$1006:BM1006),$AM$1006:$BM$1006,0)))),"Fix")))</f>
        <v xml:space="preserve"> </v>
      </c>
      <c r="AF954">
        <v>953</v>
      </c>
      <c r="AG954">
        <v>100954</v>
      </c>
      <c r="AH954">
        <v>954</v>
      </c>
      <c r="AI954" t="b">
        <f t="shared" si="14"/>
        <v>1</v>
      </c>
      <c r="AJ954" t="b">
        <f>COUNTBLANK(metadata!B954:AB954)=COLUMNS(metadata!B954:AB954)</f>
        <v>1</v>
      </c>
      <c r="AK954" t="str">
        <v/>
      </c>
      <c r="AM954" t="b">
        <f ca="1">AND(IF(metadata!B954="",FALSE,TRUE),COUNTIF(metadata!B:B, metadata!B954) = 1,NOT(ISERROR(SUMPRODUCT(SEARCH(MID(metadata!B954,ROW(INDIRECT("1:"&amp;LEN(metadata!B954))), 1),"0123456789abcdefghijklmnopqrstuvwxyzABCDEFGHIJKLMNOPQRSTUVWXYZ.")))))</f>
        <v>0</v>
      </c>
      <c r="AN954" t="b">
        <f ca="1">OR(AND(IF(metadata!C954="",FALSE,TRUE),OR(EXACT(metadata!C954,"missing: not collected"),EXACT(metadata!C954,"missing: not provided"),EXACT(metadata!C954,"missing: restricted access"))),AND(IF(metadata!C954="",FALSE,TRUE),AND(AND(IFERROR(INT(LEFT(metadata!C954,4))&gt;1900,FALSE),IFERROR(INT(LEFT(metadata!C954,4))&lt;=YEAR(NOW()),FALSE)), OR(MID(metadata!C954,5,1)="", AND(AND(MID(metadata!C954,5,1)="-",IFERROR(INT(MID(metadata!C954,6,1))&gt;=0,FALSE),IFERROR(INT(MID(metadata!C954,6,1))&lt;=1,FALSE),NOT(MID(metadata!C954,7,1)=""),IFERROR(INT(MID(metadata!C954,6,2))&gt;=1,FALSE),IFERROR(INT(MID(metadata!C954,6,2))&lt;=12,FALSE)), OR(MID(metadata!C954,8,1)="", AND(AND(MID(metadata!C954,8,1)="-",IFERROR(INT(MID(metadata!C954,9,1))&gt;=0,FALSE),IFERROR(INT(MID(metadata!C954,9,1))&lt;=3,FALSE),NOT(MID(metadata!C954,10,1)=""),IFERROR(INT(MID(metadata!C954,9,2))&gt;=1,FALSE),IFERROR(INT(MID(metadata!C954,9,2))&lt;=31,FALSE)), OR(MID(metadata!C954,11,1)="", AND(AND(MID(metadata!C954,11,1)=" ",IFERROR(INT(MID(metadata!C954,12,1))&gt;=0,FALSE),IFERROR(INT(MID(metadata!C954,12,1))&lt;=2,FALSE),NOT(MID(metadata!C954,13,1)=""),IFERROR(INT(MID(metadata!C954,12,2))&gt;=0,FALSE),IFERROR(INT(MID(metadata!C954,12,2))&lt;=23,FALSE)), OR(MID(metadata!C954,14,1)="", AND(AND(MID(metadata!C954,14,1)=":",IFERROR(INT(MID(metadata!C954,15,1))&gt;=0,FALSE),IFERROR(INT(MID(metadata!C954,15,1))&lt;=5,FALSE),NOT(MID(metadata!C954,16,1)=""),IFERROR(INT(MID(metadata!C954,15,2))&gt;=0,FALSE),IFERROR(INT(MID(metadata!C954,15,2))&lt;=59,FALSE)), OR(MID(metadata!C954,17,1)="", AND(AND(MID(metadata!C954,17,1)=":",IFERROR(INT(MID(metadata!C954,18,1))&gt;=0,FALSE),IFERROR(INT(MID(metadata!C954,18,1))&lt;=5,FALSE),NOT(MID(metadata!C954,19,1)=""),IFERROR(INT(MID(metadata!C954,18,2))&gt;=0,FALSE),IFERROR(INT(MID(metadata!C954,18,2))&lt;=59,FALSE)), LEN(metadata!C954)&lt;=19)))))))))))))</f>
        <v>0</v>
      </c>
      <c r="AO954" t="b">
        <f>AND(IF(metadata!D954="",FALSE,TRUE),EXACT(metadata!D954,"Not applicable"))</f>
        <v>0</v>
      </c>
      <c r="AP954" t="b">
        <f>IF(metadata!E954="",FALSE,TRUE)</f>
        <v>0</v>
      </c>
      <c r="AQ954" t="b">
        <f>OR(AND(IF(metadata!F954="",FALSE,TRUE),OR(EXACT(metadata!F954,"missing: not collected"),EXACT(metadata!F954,"missing: not provided"))),AND(IF(metadata!F954="",FALSE,TRUE),OR(EXACT(metadata!F954,"TRUE"),EXACT(metadata!F954,"FALSE"))))</f>
        <v>0</v>
      </c>
      <c r="AR954" t="b">
        <f>OR(AND(IF(metadata!G954="",FALSE,TRUE),OR(EXACT(metadata!G954,"missing: not collected"),EXACT(metadata!G954,"missing: not provided"),EXACT(metadata!G954,"missing: restricted access"))),AND(IF(metadata!G954="",FALSE,ISNUMBER(VALUE(metadata!G954))),metadata!G954&gt;=-413))</f>
        <v>0</v>
      </c>
      <c r="AS954" t="b">
        <f>AND(IF(metadata!H954="",FALSE,TRUE),EXACT(metadata!H954,"meters"))</f>
        <v>0</v>
      </c>
      <c r="AT954" t="b">
        <f>AND(IF(metadata!I954="",FALSE,TRUE),OR(EXACT(metadata!I954,"Host-associated"),EXACT(metadata!I954,"Free-living")))</f>
        <v>0</v>
      </c>
      <c r="AU954" t="b">
        <f>AND(IF(metadata!J954="",FALSE,TRUE),OR(EXACT(metadata!J954,"Animal"),EXACT(metadata!J954,"Fungus"),EXACT(metadata!J954,"Plant"),EXACT(metadata!J954,"Saline"),EXACT(metadata!J954,"Non-saline")))</f>
        <v>0</v>
      </c>
      <c r="AV954" t="b">
        <f>AND(IF(metadata!K954="",FALSE,TRUE),OR(EXACT(metadata!K954,"Plant secretion"),EXACT(metadata!K954,"Plant rhizosphere"),EXACT(metadata!K954,"Plant surface"),EXACT(metadata!K954,"Plant corpus"),EXACT(metadata!K954,"Fungus surface"),EXACT(metadata!K954,"Fungus corpus"),EXACT(metadata!K954,"Animal surface"),EXACT(metadata!K954,"Animal proximal gut"),EXACT(metadata!K954,"Animal corpus"),EXACT(metadata!K954,"Animal distal gut"),EXACT(metadata!K954,"Animal secretion"),EXACT(metadata!K954,"Sub-surface (non-saline)"),EXACT(metadata!K954,"Surface (non-saline)"),EXACT(metadata!K954,"Water (non-saline)"),EXACT(metadata!K954,"Soil (non-saline)"),EXACT(metadata!K954,"Aerosol (non-saline)"),EXACT(metadata!K954,"Sediment (non-saline)"),EXACT(metadata!K954,"Surface (saline)"),EXACT(metadata!K954,"Water (saline)"),EXACT(metadata!K954,"Hypersaline (saline)"),EXACT(metadata!K954,"Aerosol (saline)"),EXACT(metadata!K954,"Sediment (saline)")))</f>
        <v>0</v>
      </c>
      <c r="AW954" t="b">
        <f>IF(metadata!L954="",FALSE,TRUE)</f>
        <v>0</v>
      </c>
      <c r="AX954" t="b">
        <f>IF(metadata!M954="",FALSE,TRUE)</f>
        <v>0</v>
      </c>
      <c r="AY954" t="b">
        <f>IF(metadata!N954="",FALSE,TRUE)</f>
        <v>0</v>
      </c>
      <c r="AZ954" t="b">
        <f>OR(AND(IF(metadata!O954="",FALSE,TRUE),OR(EXACT(metadata!O954,"missing: not collected"),EXACT(metadata!O954,"missing: not provided"),EXACT(metadata!O954,"missing: restricted access"))),AND(IF(metadata!O954="",FALSE,TRUE),OR(EXACT(metadata!O954,"air"),EXACT(metadata!O954,"built environment"),EXACT(metadata!O954,"host-associated"),EXACT(metadata!O954,"human-associated"),EXACT(metadata!O954,"human-skin"),EXACT(metadata!O954,"human-oral"),EXACT(metadata!O954,"human-gut"),EXACT(metadata!O954,"human-vaginal"),EXACT(metadata!O954,"microbial mat/biofilm"),EXACT(metadata!O954,"misc environment"),EXACT(metadata!O954,"plant-associated"),EXACT(metadata!O954,"sediment"),EXACT(metadata!O954,"soil"),EXACT(metadata!O954,"wastewater/sludge"),EXACT(metadata!O954,"water"))))</f>
        <v>0</v>
      </c>
      <c r="BA954" t="b">
        <f>IF(metadata!P954="",FALSE,TRUE)</f>
        <v>0</v>
      </c>
      <c r="BB954" t="b">
        <f>IF(metadata!Q954="",FALSE,TRUE)</f>
        <v>0</v>
      </c>
      <c r="BC954" t="b">
        <f>OR(AND(IF(metadata!R954="",FALSE,TRUE),OR(EXACT(metadata!R954,"missing: not collected"),EXACT(metadata!R954,"missing: not provided"),EXACT(metadata!R954,"missing: restricted access"))),AND(IF(metadata!R954="",FALSE,ISNUMBER(VALUE(metadata!R954))),metadata!R954&gt;=-90,metadata!R954&lt;=90))</f>
        <v>0</v>
      </c>
      <c r="BD954" t="b">
        <f>AND(IF(metadata!S954="",FALSE,TRUE),EXACT(metadata!S954,"Decimal degrees"))</f>
        <v>0</v>
      </c>
      <c r="BE954" t="b">
        <f>OR(AND(IF(metadata!T954="",FALSE,TRUE),OR(EXACT(metadata!T954,"missing: not collected"),EXACT(metadata!T954,"missing: not provided"),EXACT(metadata!T954,"missing: restricted access"))),AND(IF(metadata!T954="",FALSE,ISNUMBER(VALUE(metadata!T954))),metadata!T954&gt;=-180,metadata!T954&lt;=180))</f>
        <v>0</v>
      </c>
      <c r="BF954" t="b">
        <f>AND(IF(metadata!U954="",FALSE,TRUE),EXACT(metadata!U954,"Decimal degrees"))</f>
        <v>0</v>
      </c>
      <c r="BG954" t="b">
        <f>IF(metadata!V954="",FALSE,TRUE)</f>
        <v>0</v>
      </c>
      <c r="BH954" t="b">
        <f>OR(AND(IF(metadata!W954="",FALSE,TRUE),OR(EXACT(metadata!W954,"missing: not collected"),EXACT(metadata!W954,"missing: not provided"),EXACT(metadata!W954,"missing: restricted access"))),AND(IF(metadata!W954="",FALSE,TRUE),OR(EXACT(metadata!W954,"TRUE"),EXACT(metadata!W954,"FALSE"))))</f>
        <v>0</v>
      </c>
      <c r="BI954" t="b">
        <f>AND(IF(metadata!X954="",FALSE,TRUE),EXACT(metadata!X954,"other"))</f>
        <v>0</v>
      </c>
      <c r="BJ954" t="b">
        <f>IF(metadata!Y954="",FALSE,TRUE)</f>
        <v>0</v>
      </c>
      <c r="BK954" t="b">
        <f>OR(AND(IF(metadata!Z954="",FALSE,TRUE),OR(EXACT(metadata!Z954,"missing: not collected"),EXACT(metadata!Z954,"missing: not provided"))),AND(IF(metadata!Z954="",FALSE,IF(ISERROR(INT(metadata!Z954)),FALSE,INT(metadata!Z954)=metadata!Z954)),metadata!Z954&gt;0))</f>
        <v>0</v>
      </c>
      <c r="BL954" t="b">
        <f>AND(IF(metadata!AA954="",FALSE,TRUE),EXACT(metadata!AA954,"Not applicable"))</f>
        <v>0</v>
      </c>
      <c r="BM954" t="b">
        <f>IF(metadata!AB954="",FALSE,TRUE)</f>
        <v>0</v>
      </c>
    </row>
    <row r="955" spans="1:65" x14ac:dyDescent="0.2">
      <c r="A955" s="5" t="str">
        <f ca="1">IF(B955=" "," ",HYPERLINK(CONCATENATE("#metadata!",ADDRESS(INDEX($AH$2:$AH$1001,MATCH(ROWS($AF$2:AF955),$AF$2:$AF$1001,0),0),1)),INDEX($AK$2:$AK$1001,MATCH(ROWS($AF$2:AF955),$AF$2:$AF$1001,0),0)))</f>
        <v xml:space="preserve"> </v>
      </c>
      <c r="B955" s="4" t="str">
        <f ca="1">IF(OR(INDEX($AG$2:$AG$1001,MATCH(ROWS($AF$2:AF955),$AF$2:$AF$1001,0),1)&gt;=100000,INDEX($AM$1005:$BM$1005,1,MATCH(COLUMNS($AM$1006:AM1006),$AM$1006:$BM$1006,0))&gt;=100000), " ",IF(INDEX($AM$2:$BM$1001,MATCH(ROWS($AF$2:AF955),$AF$2:$AF$1001,0),MATCH(COLUMNS($AM$1006:AM1006),$AM$1006:$BM$1006,0)), HYPERLINK("#",""), HYPERLINK(CONCATENATE("#metadata!", ADDRESS(INDEX($AH$2:$AH$1001,MATCH(ROWS($AF$2:AF955),$AF$2:$AF$1001,0),0), INDEX($AM$1004:$BM$1004,1,MATCH(COLUMNS($AM$1006:AM1006),$AM$1006:$BM$1006,0)))),"Fix")))</f>
        <v xml:space="preserve"> </v>
      </c>
      <c r="C955" s="4" t="str">
        <f ca="1">IF(OR(INDEX($AG$2:$AG$1001,MATCH(ROWS($AF$2:AF955),$AF$2:$AF$1001,0),1)&gt;=100000,INDEX($AM$1005:$BM$1005,1,MATCH(COLUMNS($AM$1006:AN1006),$AM$1006:$BM$1006,0))&gt;=100000), " ",IF(INDEX($AM$2:$BM$1001,MATCH(ROWS($AF$2:AF955),$AF$2:$AF$1001,0),MATCH(COLUMNS($AM$1006:AN1006),$AM$1006:$BM$1006,0)), HYPERLINK("#",""), HYPERLINK(CONCATENATE("#metadata!", ADDRESS(INDEX($AH$2:$AH$1001,MATCH(ROWS($AF$2:AF955),$AF$2:$AF$1001,0),0), INDEX($AM$1004:$BM$1004,1,MATCH(COLUMNS($AM$1006:AN1006),$AM$1006:$BM$1006,0)))),"Fix")))</f>
        <v xml:space="preserve"> </v>
      </c>
      <c r="D955" s="4" t="str">
        <f ca="1">IF(OR(INDEX($AG$2:$AG$1001,MATCH(ROWS($AF$2:AF955),$AF$2:$AF$1001,0),1)&gt;=100000,INDEX($AM$1005:$BM$1005,1,MATCH(COLUMNS($AM$1006:AO1006),$AM$1006:$BM$1006,0))&gt;=100000), " ",IF(INDEX($AM$2:$BM$1001,MATCH(ROWS($AF$2:AF955),$AF$2:$AF$1001,0),MATCH(COLUMNS($AM$1006:AO1006),$AM$1006:$BM$1006,0)), HYPERLINK("#",""), HYPERLINK(CONCATENATE("#metadata!", ADDRESS(INDEX($AH$2:$AH$1001,MATCH(ROWS($AF$2:AF955),$AF$2:$AF$1001,0),0), INDEX($AM$1004:$BM$1004,1,MATCH(COLUMNS($AM$1006:AO1006),$AM$1006:$BM$1006,0)))),"Fix")))</f>
        <v xml:space="preserve"> </v>
      </c>
      <c r="E955" s="4" t="str">
        <f ca="1">IF(OR(INDEX($AG$2:$AG$1001,MATCH(ROWS($AF$2:AF955),$AF$2:$AF$1001,0),1)&gt;=100000,INDEX($AM$1005:$BM$1005,1,MATCH(COLUMNS($AM$1006:AP1006),$AM$1006:$BM$1006,0))&gt;=100000), " ",IF(INDEX($AM$2:$BM$1001,MATCH(ROWS($AF$2:AF955),$AF$2:$AF$1001,0),MATCH(COLUMNS($AM$1006:AP1006),$AM$1006:$BM$1006,0)), HYPERLINK("#",""), HYPERLINK(CONCATENATE("#metadata!", ADDRESS(INDEX($AH$2:$AH$1001,MATCH(ROWS($AF$2:AF955),$AF$2:$AF$1001,0),0), INDEX($AM$1004:$BM$1004,1,MATCH(COLUMNS($AM$1006:AP1006),$AM$1006:$BM$1006,0)))),"Fix")))</f>
        <v xml:space="preserve"> </v>
      </c>
      <c r="F955" s="4" t="str">
        <f ca="1">IF(OR(INDEX($AG$2:$AG$1001,MATCH(ROWS($AF$2:AF955),$AF$2:$AF$1001,0),1)&gt;=100000,INDEX($AM$1005:$BM$1005,1,MATCH(COLUMNS($AM$1006:AQ1006),$AM$1006:$BM$1006,0))&gt;=100000), " ",IF(INDEX($AM$2:$BM$1001,MATCH(ROWS($AF$2:AF955),$AF$2:$AF$1001,0),MATCH(COLUMNS($AM$1006:AQ1006),$AM$1006:$BM$1006,0)), HYPERLINK("#",""), HYPERLINK(CONCATENATE("#metadata!", ADDRESS(INDEX($AH$2:$AH$1001,MATCH(ROWS($AF$2:AF955),$AF$2:$AF$1001,0),0), INDEX($AM$1004:$BM$1004,1,MATCH(COLUMNS($AM$1006:AQ1006),$AM$1006:$BM$1006,0)))),"Fix")))</f>
        <v xml:space="preserve"> </v>
      </c>
      <c r="G955" s="4" t="str">
        <f ca="1">IF(OR(INDEX($AG$2:$AG$1001,MATCH(ROWS($AF$2:AF955),$AF$2:$AF$1001,0),1)&gt;=100000,INDEX($AM$1005:$BM$1005,1,MATCH(COLUMNS($AM$1006:AR1006),$AM$1006:$BM$1006,0))&gt;=100000), " ",IF(INDEX($AM$2:$BM$1001,MATCH(ROWS($AF$2:AF955),$AF$2:$AF$1001,0),MATCH(COLUMNS($AM$1006:AR1006),$AM$1006:$BM$1006,0)), HYPERLINK("#",""), HYPERLINK(CONCATENATE("#metadata!", ADDRESS(INDEX($AH$2:$AH$1001,MATCH(ROWS($AF$2:AF955),$AF$2:$AF$1001,0),0), INDEX($AM$1004:$BM$1004,1,MATCH(COLUMNS($AM$1006:AR1006),$AM$1006:$BM$1006,0)))),"Fix")))</f>
        <v xml:space="preserve"> </v>
      </c>
      <c r="H955" s="4" t="str">
        <f ca="1">IF(OR(INDEX($AG$2:$AG$1001,MATCH(ROWS($AF$2:AF955),$AF$2:$AF$1001,0),1)&gt;=100000,INDEX($AM$1005:$BM$1005,1,MATCH(COLUMNS($AM$1006:AS1006),$AM$1006:$BM$1006,0))&gt;=100000), " ",IF(INDEX($AM$2:$BM$1001,MATCH(ROWS($AF$2:AF955),$AF$2:$AF$1001,0),MATCH(COLUMNS($AM$1006:AS1006),$AM$1006:$BM$1006,0)), HYPERLINK("#",""), HYPERLINK(CONCATENATE("#metadata!", ADDRESS(INDEX($AH$2:$AH$1001,MATCH(ROWS($AF$2:AF955),$AF$2:$AF$1001,0),0), INDEX($AM$1004:$BM$1004,1,MATCH(COLUMNS($AM$1006:AS1006),$AM$1006:$BM$1006,0)))),"Fix")))</f>
        <v xml:space="preserve"> </v>
      </c>
      <c r="I955" s="4" t="str">
        <f ca="1">IF(OR(INDEX($AG$2:$AG$1001,MATCH(ROWS($AF$2:AF955),$AF$2:$AF$1001,0),1)&gt;=100000,INDEX($AM$1005:$BM$1005,1,MATCH(COLUMNS($AM$1006:AT1006),$AM$1006:$BM$1006,0))&gt;=100000), " ",IF(INDEX($AM$2:$BM$1001,MATCH(ROWS($AF$2:AF955),$AF$2:$AF$1001,0),MATCH(COLUMNS($AM$1006:AT1006),$AM$1006:$BM$1006,0)), HYPERLINK("#",""), HYPERLINK(CONCATENATE("#metadata!", ADDRESS(INDEX($AH$2:$AH$1001,MATCH(ROWS($AF$2:AF955),$AF$2:$AF$1001,0),0), INDEX($AM$1004:$BM$1004,1,MATCH(COLUMNS($AM$1006:AT1006),$AM$1006:$BM$1006,0)))),"Fix")))</f>
        <v xml:space="preserve"> </v>
      </c>
      <c r="J955" s="4" t="str">
        <f ca="1">IF(OR(INDEX($AG$2:$AG$1001,MATCH(ROWS($AF$2:AF955),$AF$2:$AF$1001,0),1)&gt;=100000,INDEX($AM$1005:$BM$1005,1,MATCH(COLUMNS($AM$1006:AU1006),$AM$1006:$BM$1006,0))&gt;=100000), " ",IF(INDEX($AM$2:$BM$1001,MATCH(ROWS($AF$2:AF955),$AF$2:$AF$1001,0),MATCH(COLUMNS($AM$1006:AU1006),$AM$1006:$BM$1006,0)), HYPERLINK("#",""), HYPERLINK(CONCATENATE("#metadata!", ADDRESS(INDEX($AH$2:$AH$1001,MATCH(ROWS($AF$2:AF955),$AF$2:$AF$1001,0),0), INDEX($AM$1004:$BM$1004,1,MATCH(COLUMNS($AM$1006:AU1006),$AM$1006:$BM$1006,0)))),"Fix")))</f>
        <v xml:space="preserve"> </v>
      </c>
      <c r="K955" s="4" t="str">
        <f ca="1">IF(OR(INDEX($AG$2:$AG$1001,MATCH(ROWS($AF$2:AF955),$AF$2:$AF$1001,0),1)&gt;=100000,INDEX($AM$1005:$BM$1005,1,MATCH(COLUMNS($AM$1006:AV1006),$AM$1006:$BM$1006,0))&gt;=100000), " ",IF(INDEX($AM$2:$BM$1001,MATCH(ROWS($AF$2:AF955),$AF$2:$AF$1001,0),MATCH(COLUMNS($AM$1006:AV1006),$AM$1006:$BM$1006,0)), HYPERLINK("#",""), HYPERLINK(CONCATENATE("#metadata!", ADDRESS(INDEX($AH$2:$AH$1001,MATCH(ROWS($AF$2:AF955),$AF$2:$AF$1001,0),0), INDEX($AM$1004:$BM$1004,1,MATCH(COLUMNS($AM$1006:AV1006),$AM$1006:$BM$1006,0)))),"Fix")))</f>
        <v xml:space="preserve"> </v>
      </c>
      <c r="L955" s="4" t="str">
        <f ca="1">IF(OR(INDEX($AG$2:$AG$1001,MATCH(ROWS($AF$2:AF955),$AF$2:$AF$1001,0),1)&gt;=100000,INDEX($AM$1005:$BM$1005,1,MATCH(COLUMNS($AM$1006:AW1006),$AM$1006:$BM$1006,0))&gt;=100000), " ",IF(INDEX($AM$2:$BM$1001,MATCH(ROWS($AF$2:AF955),$AF$2:$AF$1001,0),MATCH(COLUMNS($AM$1006:AW1006),$AM$1006:$BM$1006,0)), HYPERLINK("#",""), HYPERLINK(CONCATENATE("#metadata!", ADDRESS(INDEX($AH$2:$AH$1001,MATCH(ROWS($AF$2:AF955),$AF$2:$AF$1001,0),0), INDEX($AM$1004:$BM$1004,1,MATCH(COLUMNS($AM$1006:AW1006),$AM$1006:$BM$1006,0)))),"Fix")))</f>
        <v xml:space="preserve"> </v>
      </c>
      <c r="M955" s="4" t="str">
        <f ca="1">IF(OR(INDEX($AG$2:$AG$1001,MATCH(ROWS($AF$2:AF955),$AF$2:$AF$1001,0),1)&gt;=100000,INDEX($AM$1005:$BM$1005,1,MATCH(COLUMNS($AM$1006:AX1006),$AM$1006:$BM$1006,0))&gt;=100000), " ",IF(INDEX($AM$2:$BM$1001,MATCH(ROWS($AF$2:AF955),$AF$2:$AF$1001,0),MATCH(COLUMNS($AM$1006:AX1006),$AM$1006:$BM$1006,0)), HYPERLINK("#",""), HYPERLINK(CONCATENATE("#metadata!", ADDRESS(INDEX($AH$2:$AH$1001,MATCH(ROWS($AF$2:AF955),$AF$2:$AF$1001,0),0), INDEX($AM$1004:$BM$1004,1,MATCH(COLUMNS($AM$1006:AX1006),$AM$1006:$BM$1006,0)))),"Fix")))</f>
        <v xml:space="preserve"> </v>
      </c>
      <c r="N955" s="4" t="str">
        <f ca="1">IF(OR(INDEX($AG$2:$AG$1001,MATCH(ROWS($AF$2:AF955),$AF$2:$AF$1001,0),1)&gt;=100000,INDEX($AM$1005:$BM$1005,1,MATCH(COLUMNS($AM$1006:AY1006),$AM$1006:$BM$1006,0))&gt;=100000), " ",IF(INDEX($AM$2:$BM$1001,MATCH(ROWS($AF$2:AF955),$AF$2:$AF$1001,0),MATCH(COLUMNS($AM$1006:AY1006),$AM$1006:$BM$1006,0)), HYPERLINK("#",""), HYPERLINK(CONCATENATE("#metadata!", ADDRESS(INDEX($AH$2:$AH$1001,MATCH(ROWS($AF$2:AF955),$AF$2:$AF$1001,0),0), INDEX($AM$1004:$BM$1004,1,MATCH(COLUMNS($AM$1006:AY1006),$AM$1006:$BM$1006,0)))),"Fix")))</f>
        <v xml:space="preserve"> </v>
      </c>
      <c r="O955" s="4" t="str">
        <f ca="1">IF(OR(INDEX($AG$2:$AG$1001,MATCH(ROWS($AF$2:AF955),$AF$2:$AF$1001,0),1)&gt;=100000,INDEX($AM$1005:$BM$1005,1,MATCH(COLUMNS($AM$1006:AZ1006),$AM$1006:$BM$1006,0))&gt;=100000), " ",IF(INDEX($AM$2:$BM$1001,MATCH(ROWS($AF$2:AF955),$AF$2:$AF$1001,0),MATCH(COLUMNS($AM$1006:AZ1006),$AM$1006:$BM$1006,0)), HYPERLINK("#",""), HYPERLINK(CONCATENATE("#metadata!", ADDRESS(INDEX($AH$2:$AH$1001,MATCH(ROWS($AF$2:AF955),$AF$2:$AF$1001,0),0), INDEX($AM$1004:$BM$1004,1,MATCH(COLUMNS($AM$1006:AZ1006),$AM$1006:$BM$1006,0)))),"Fix")))</f>
        <v xml:space="preserve"> </v>
      </c>
      <c r="P955" s="4" t="str">
        <f ca="1">IF(OR(INDEX($AG$2:$AG$1001,MATCH(ROWS($AF$2:AF955),$AF$2:$AF$1001,0),1)&gt;=100000,INDEX($AM$1005:$BM$1005,1,MATCH(COLUMNS($AM$1006:BA1006),$AM$1006:$BM$1006,0))&gt;=100000), " ",IF(INDEX($AM$2:$BM$1001,MATCH(ROWS($AF$2:AF955),$AF$2:$AF$1001,0),MATCH(COLUMNS($AM$1006:BA1006),$AM$1006:$BM$1006,0)), HYPERLINK("#",""), HYPERLINK(CONCATENATE("#metadata!", ADDRESS(INDEX($AH$2:$AH$1001,MATCH(ROWS($AF$2:AF955),$AF$2:$AF$1001,0),0), INDEX($AM$1004:$BM$1004,1,MATCH(COLUMNS($AM$1006:BA1006),$AM$1006:$BM$1006,0)))),"Fix")))</f>
        <v xml:space="preserve"> </v>
      </c>
      <c r="Q955" s="4" t="str">
        <f ca="1">IF(OR(INDEX($AG$2:$AG$1001,MATCH(ROWS($AF$2:AF955),$AF$2:$AF$1001,0),1)&gt;=100000,INDEX($AM$1005:$BM$1005,1,MATCH(COLUMNS($AM$1006:BB1006),$AM$1006:$BM$1006,0))&gt;=100000), " ",IF(INDEX($AM$2:$BM$1001,MATCH(ROWS($AF$2:AF955),$AF$2:$AF$1001,0),MATCH(COLUMNS($AM$1006:BB1006),$AM$1006:$BM$1006,0)), HYPERLINK("#",""), HYPERLINK(CONCATENATE("#metadata!", ADDRESS(INDEX($AH$2:$AH$1001,MATCH(ROWS($AF$2:AF955),$AF$2:$AF$1001,0),0), INDEX($AM$1004:$BM$1004,1,MATCH(COLUMNS($AM$1006:BB1006),$AM$1006:$BM$1006,0)))),"Fix")))</f>
        <v xml:space="preserve"> </v>
      </c>
      <c r="R955" s="4" t="str">
        <f ca="1">IF(OR(INDEX($AG$2:$AG$1001,MATCH(ROWS($AF$2:AF955),$AF$2:$AF$1001,0),1)&gt;=100000,INDEX($AM$1005:$BM$1005,1,MATCH(COLUMNS($AM$1006:BC1006),$AM$1006:$BM$1006,0))&gt;=100000), " ",IF(INDEX($AM$2:$BM$1001,MATCH(ROWS($AF$2:AF955),$AF$2:$AF$1001,0),MATCH(COLUMNS($AM$1006:BC1006),$AM$1006:$BM$1006,0)), HYPERLINK("#",""), HYPERLINK(CONCATENATE("#metadata!", ADDRESS(INDEX($AH$2:$AH$1001,MATCH(ROWS($AF$2:AF955),$AF$2:$AF$1001,0),0), INDEX($AM$1004:$BM$1004,1,MATCH(COLUMNS($AM$1006:BC1006),$AM$1006:$BM$1006,0)))),"Fix")))</f>
        <v xml:space="preserve"> </v>
      </c>
      <c r="S955" s="4" t="str">
        <f ca="1">IF(OR(INDEX($AG$2:$AG$1001,MATCH(ROWS($AF$2:AF955),$AF$2:$AF$1001,0),1)&gt;=100000,INDEX($AM$1005:$BM$1005,1,MATCH(COLUMNS($AM$1006:BD1006),$AM$1006:$BM$1006,0))&gt;=100000), " ",IF(INDEX($AM$2:$BM$1001,MATCH(ROWS($AF$2:AF955),$AF$2:$AF$1001,0),MATCH(COLUMNS($AM$1006:BD1006),$AM$1006:$BM$1006,0)), HYPERLINK("#",""), HYPERLINK(CONCATENATE("#metadata!", ADDRESS(INDEX($AH$2:$AH$1001,MATCH(ROWS($AF$2:AF955),$AF$2:$AF$1001,0),0), INDEX($AM$1004:$BM$1004,1,MATCH(COLUMNS($AM$1006:BD1006),$AM$1006:$BM$1006,0)))),"Fix")))</f>
        <v xml:space="preserve"> </v>
      </c>
      <c r="T955" s="4" t="str">
        <f ca="1">IF(OR(INDEX($AG$2:$AG$1001,MATCH(ROWS($AF$2:AF955),$AF$2:$AF$1001,0),1)&gt;=100000,INDEX($AM$1005:$BM$1005,1,MATCH(COLUMNS($AM$1006:BE1006),$AM$1006:$BM$1006,0))&gt;=100000), " ",IF(INDEX($AM$2:$BM$1001,MATCH(ROWS($AF$2:AF955),$AF$2:$AF$1001,0),MATCH(COLUMNS($AM$1006:BE1006),$AM$1006:$BM$1006,0)), HYPERLINK("#",""), HYPERLINK(CONCATENATE("#metadata!", ADDRESS(INDEX($AH$2:$AH$1001,MATCH(ROWS($AF$2:AF955),$AF$2:$AF$1001,0),0), INDEX($AM$1004:$BM$1004,1,MATCH(COLUMNS($AM$1006:BE1006),$AM$1006:$BM$1006,0)))),"Fix")))</f>
        <v xml:space="preserve"> </v>
      </c>
      <c r="U955" s="4" t="str">
        <f ca="1">IF(OR(INDEX($AG$2:$AG$1001,MATCH(ROWS($AF$2:AF955),$AF$2:$AF$1001,0),1)&gt;=100000,INDEX($AM$1005:$BM$1005,1,MATCH(COLUMNS($AM$1006:BF1006),$AM$1006:$BM$1006,0))&gt;=100000), " ",IF(INDEX($AM$2:$BM$1001,MATCH(ROWS($AF$2:AF955),$AF$2:$AF$1001,0),MATCH(COLUMNS($AM$1006:BF1006),$AM$1006:$BM$1006,0)), HYPERLINK("#",""), HYPERLINK(CONCATENATE("#metadata!", ADDRESS(INDEX($AH$2:$AH$1001,MATCH(ROWS($AF$2:AF955),$AF$2:$AF$1001,0),0), INDEX($AM$1004:$BM$1004,1,MATCH(COLUMNS($AM$1006:BF1006),$AM$1006:$BM$1006,0)))),"Fix")))</f>
        <v xml:space="preserve"> </v>
      </c>
      <c r="V955" s="4" t="str">
        <f ca="1">IF(OR(INDEX($AG$2:$AG$1001,MATCH(ROWS($AF$2:AF955),$AF$2:$AF$1001,0),1)&gt;=100000,INDEX($AM$1005:$BM$1005,1,MATCH(COLUMNS($AM$1006:BG1006),$AM$1006:$BM$1006,0))&gt;=100000), " ",IF(INDEX($AM$2:$BM$1001,MATCH(ROWS($AF$2:AF955),$AF$2:$AF$1001,0),MATCH(COLUMNS($AM$1006:BG1006),$AM$1006:$BM$1006,0)), HYPERLINK("#",""), HYPERLINK(CONCATENATE("#metadata!", ADDRESS(INDEX($AH$2:$AH$1001,MATCH(ROWS($AF$2:AF955),$AF$2:$AF$1001,0),0), INDEX($AM$1004:$BM$1004,1,MATCH(COLUMNS($AM$1006:BG1006),$AM$1006:$BM$1006,0)))),"Fix")))</f>
        <v xml:space="preserve"> </v>
      </c>
      <c r="W955" s="4" t="str">
        <f ca="1">IF(OR(INDEX($AG$2:$AG$1001,MATCH(ROWS($AF$2:AF955),$AF$2:$AF$1001,0),1)&gt;=100000,INDEX($AM$1005:$BM$1005,1,MATCH(COLUMNS($AM$1006:BH1006),$AM$1006:$BM$1006,0))&gt;=100000), " ",IF(INDEX($AM$2:$BM$1001,MATCH(ROWS($AF$2:AF955),$AF$2:$AF$1001,0),MATCH(COLUMNS($AM$1006:BH1006),$AM$1006:$BM$1006,0)), HYPERLINK("#",""), HYPERLINK(CONCATENATE("#metadata!", ADDRESS(INDEX($AH$2:$AH$1001,MATCH(ROWS($AF$2:AF955),$AF$2:$AF$1001,0),0), INDEX($AM$1004:$BM$1004,1,MATCH(COLUMNS($AM$1006:BH1006),$AM$1006:$BM$1006,0)))),"Fix")))</f>
        <v xml:space="preserve"> </v>
      </c>
      <c r="X955" s="4" t="str">
        <f ca="1">IF(OR(INDEX($AG$2:$AG$1001,MATCH(ROWS($AF$2:AF955),$AF$2:$AF$1001,0),1)&gt;=100000,INDEX($AM$1005:$BM$1005,1,MATCH(COLUMNS($AM$1006:BI1006),$AM$1006:$BM$1006,0))&gt;=100000), " ",IF(INDEX($AM$2:$BM$1001,MATCH(ROWS($AF$2:AF955),$AF$2:$AF$1001,0),MATCH(COLUMNS($AM$1006:BI1006),$AM$1006:$BM$1006,0)), HYPERLINK("#",""), HYPERLINK(CONCATENATE("#metadata!", ADDRESS(INDEX($AH$2:$AH$1001,MATCH(ROWS($AF$2:AF955),$AF$2:$AF$1001,0),0), INDEX($AM$1004:$BM$1004,1,MATCH(COLUMNS($AM$1006:BI1006),$AM$1006:$BM$1006,0)))),"Fix")))</f>
        <v xml:space="preserve"> </v>
      </c>
      <c r="Y955" s="4" t="str">
        <f ca="1">IF(OR(INDEX($AG$2:$AG$1001,MATCH(ROWS($AF$2:AF955),$AF$2:$AF$1001,0),1)&gt;=100000,INDEX($AM$1005:$BM$1005,1,MATCH(COLUMNS($AM$1006:BJ1006),$AM$1006:$BM$1006,0))&gt;=100000), " ",IF(INDEX($AM$2:$BM$1001,MATCH(ROWS($AF$2:AF955),$AF$2:$AF$1001,0),MATCH(COLUMNS($AM$1006:BJ1006),$AM$1006:$BM$1006,0)), HYPERLINK("#",""), HYPERLINK(CONCATENATE("#metadata!", ADDRESS(INDEX($AH$2:$AH$1001,MATCH(ROWS($AF$2:AF955),$AF$2:$AF$1001,0),0), INDEX($AM$1004:$BM$1004,1,MATCH(COLUMNS($AM$1006:BJ1006),$AM$1006:$BM$1006,0)))),"Fix")))</f>
        <v xml:space="preserve"> </v>
      </c>
      <c r="Z955" s="4" t="str">
        <f ca="1">IF(OR(INDEX($AG$2:$AG$1001,MATCH(ROWS($AF$2:AF955),$AF$2:$AF$1001,0),1)&gt;=100000,INDEX($AM$1005:$BM$1005,1,MATCH(COLUMNS($AM$1006:BK1006),$AM$1006:$BM$1006,0))&gt;=100000), " ",IF(INDEX($AM$2:$BM$1001,MATCH(ROWS($AF$2:AF955),$AF$2:$AF$1001,0),MATCH(COLUMNS($AM$1006:BK1006),$AM$1006:$BM$1006,0)), HYPERLINK("#",""), HYPERLINK(CONCATENATE("#metadata!", ADDRESS(INDEX($AH$2:$AH$1001,MATCH(ROWS($AF$2:AF955),$AF$2:$AF$1001,0),0), INDEX($AM$1004:$BM$1004,1,MATCH(COLUMNS($AM$1006:BK1006),$AM$1006:$BM$1006,0)))),"Fix")))</f>
        <v xml:space="preserve"> </v>
      </c>
      <c r="AA955" s="4" t="str">
        <f ca="1">IF(OR(INDEX($AG$2:$AG$1001,MATCH(ROWS($AF$2:AF955),$AF$2:$AF$1001,0),1)&gt;=100000,INDEX($AM$1005:$BM$1005,1,MATCH(COLUMNS($AM$1006:BL1006),$AM$1006:$BM$1006,0))&gt;=100000), " ",IF(INDEX($AM$2:$BM$1001,MATCH(ROWS($AF$2:AF955),$AF$2:$AF$1001,0),MATCH(COLUMNS($AM$1006:BL1006),$AM$1006:$BM$1006,0)), HYPERLINK("#",""), HYPERLINK(CONCATENATE("#metadata!", ADDRESS(INDEX($AH$2:$AH$1001,MATCH(ROWS($AF$2:AF955),$AF$2:$AF$1001,0),0), INDEX($AM$1004:$BM$1004,1,MATCH(COLUMNS($AM$1006:BL1006),$AM$1006:$BM$1006,0)))),"Fix")))</f>
        <v xml:space="preserve"> </v>
      </c>
      <c r="AB955" s="4" t="str">
        <f ca="1">IF(OR(INDEX($AG$2:$AG$1001,MATCH(ROWS($AF$2:AF955),$AF$2:$AF$1001,0),1)&gt;=100000,INDEX($AM$1005:$BM$1005,1,MATCH(COLUMNS($AM$1006:BM1006),$AM$1006:$BM$1006,0))&gt;=100000), " ",IF(INDEX($AM$2:$BM$1001,MATCH(ROWS($AF$2:AF955),$AF$2:$AF$1001,0),MATCH(COLUMNS($AM$1006:BM1006),$AM$1006:$BM$1006,0)), HYPERLINK("#",""), HYPERLINK(CONCATENATE("#metadata!", ADDRESS(INDEX($AH$2:$AH$1001,MATCH(ROWS($AF$2:AF955),$AF$2:$AF$1001,0),0), INDEX($AM$1004:$BM$1004,1,MATCH(COLUMNS($AM$1006:BM1006),$AM$1006:$BM$1006,0)))),"Fix")))</f>
        <v xml:space="preserve"> </v>
      </c>
      <c r="AF955">
        <v>954</v>
      </c>
      <c r="AG955">
        <v>100955</v>
      </c>
      <c r="AH955">
        <v>955</v>
      </c>
      <c r="AI955" t="b">
        <f t="shared" si="14"/>
        <v>1</v>
      </c>
      <c r="AJ955" t="b">
        <f>COUNTBLANK(metadata!B955:AB955)=COLUMNS(metadata!B955:AB955)</f>
        <v>1</v>
      </c>
      <c r="AK955" t="str">
        <v/>
      </c>
      <c r="AM955" t="b">
        <f ca="1">AND(IF(metadata!B955="",FALSE,TRUE),COUNTIF(metadata!B:B, metadata!B955) = 1,NOT(ISERROR(SUMPRODUCT(SEARCH(MID(metadata!B955,ROW(INDIRECT("1:"&amp;LEN(metadata!B955))), 1),"0123456789abcdefghijklmnopqrstuvwxyzABCDEFGHIJKLMNOPQRSTUVWXYZ.")))))</f>
        <v>0</v>
      </c>
      <c r="AN955" t="b">
        <f ca="1">OR(AND(IF(metadata!C955="",FALSE,TRUE),OR(EXACT(metadata!C955,"missing: not collected"),EXACT(metadata!C955,"missing: not provided"),EXACT(metadata!C955,"missing: restricted access"))),AND(IF(metadata!C955="",FALSE,TRUE),AND(AND(IFERROR(INT(LEFT(metadata!C955,4))&gt;1900,FALSE),IFERROR(INT(LEFT(metadata!C955,4))&lt;=YEAR(NOW()),FALSE)), OR(MID(metadata!C955,5,1)="", AND(AND(MID(metadata!C955,5,1)="-",IFERROR(INT(MID(metadata!C955,6,1))&gt;=0,FALSE),IFERROR(INT(MID(metadata!C955,6,1))&lt;=1,FALSE),NOT(MID(metadata!C955,7,1)=""),IFERROR(INT(MID(metadata!C955,6,2))&gt;=1,FALSE),IFERROR(INT(MID(metadata!C955,6,2))&lt;=12,FALSE)), OR(MID(metadata!C955,8,1)="", AND(AND(MID(metadata!C955,8,1)="-",IFERROR(INT(MID(metadata!C955,9,1))&gt;=0,FALSE),IFERROR(INT(MID(metadata!C955,9,1))&lt;=3,FALSE),NOT(MID(metadata!C955,10,1)=""),IFERROR(INT(MID(metadata!C955,9,2))&gt;=1,FALSE),IFERROR(INT(MID(metadata!C955,9,2))&lt;=31,FALSE)), OR(MID(metadata!C955,11,1)="", AND(AND(MID(metadata!C955,11,1)=" ",IFERROR(INT(MID(metadata!C955,12,1))&gt;=0,FALSE),IFERROR(INT(MID(metadata!C955,12,1))&lt;=2,FALSE),NOT(MID(metadata!C955,13,1)=""),IFERROR(INT(MID(metadata!C955,12,2))&gt;=0,FALSE),IFERROR(INT(MID(metadata!C955,12,2))&lt;=23,FALSE)), OR(MID(metadata!C955,14,1)="", AND(AND(MID(metadata!C955,14,1)=":",IFERROR(INT(MID(metadata!C955,15,1))&gt;=0,FALSE),IFERROR(INT(MID(metadata!C955,15,1))&lt;=5,FALSE),NOT(MID(metadata!C955,16,1)=""),IFERROR(INT(MID(metadata!C955,15,2))&gt;=0,FALSE),IFERROR(INT(MID(metadata!C955,15,2))&lt;=59,FALSE)), OR(MID(metadata!C955,17,1)="", AND(AND(MID(metadata!C955,17,1)=":",IFERROR(INT(MID(metadata!C955,18,1))&gt;=0,FALSE),IFERROR(INT(MID(metadata!C955,18,1))&lt;=5,FALSE),NOT(MID(metadata!C955,19,1)=""),IFERROR(INT(MID(metadata!C955,18,2))&gt;=0,FALSE),IFERROR(INT(MID(metadata!C955,18,2))&lt;=59,FALSE)), LEN(metadata!C955)&lt;=19)))))))))))))</f>
        <v>0</v>
      </c>
      <c r="AO955" t="b">
        <f>AND(IF(metadata!D955="",FALSE,TRUE),EXACT(metadata!D955,"Not applicable"))</f>
        <v>0</v>
      </c>
      <c r="AP955" t="b">
        <f>IF(metadata!E955="",FALSE,TRUE)</f>
        <v>0</v>
      </c>
      <c r="AQ955" t="b">
        <f>OR(AND(IF(metadata!F955="",FALSE,TRUE),OR(EXACT(metadata!F955,"missing: not collected"),EXACT(metadata!F955,"missing: not provided"))),AND(IF(metadata!F955="",FALSE,TRUE),OR(EXACT(metadata!F955,"TRUE"),EXACT(metadata!F955,"FALSE"))))</f>
        <v>0</v>
      </c>
      <c r="AR955" t="b">
        <f>OR(AND(IF(metadata!G955="",FALSE,TRUE),OR(EXACT(metadata!G955,"missing: not collected"),EXACT(metadata!G955,"missing: not provided"),EXACT(metadata!G955,"missing: restricted access"))),AND(IF(metadata!G955="",FALSE,ISNUMBER(VALUE(metadata!G955))),metadata!G955&gt;=-413))</f>
        <v>0</v>
      </c>
      <c r="AS955" t="b">
        <f>AND(IF(metadata!H955="",FALSE,TRUE),EXACT(metadata!H955,"meters"))</f>
        <v>0</v>
      </c>
      <c r="AT955" t="b">
        <f>AND(IF(metadata!I955="",FALSE,TRUE),OR(EXACT(metadata!I955,"Host-associated"),EXACT(metadata!I955,"Free-living")))</f>
        <v>0</v>
      </c>
      <c r="AU955" t="b">
        <f>AND(IF(metadata!J955="",FALSE,TRUE),OR(EXACT(metadata!J955,"Animal"),EXACT(metadata!J955,"Fungus"),EXACT(metadata!J955,"Plant"),EXACT(metadata!J955,"Saline"),EXACT(metadata!J955,"Non-saline")))</f>
        <v>0</v>
      </c>
      <c r="AV955" t="b">
        <f>AND(IF(metadata!K955="",FALSE,TRUE),OR(EXACT(metadata!K955,"Plant secretion"),EXACT(metadata!K955,"Plant rhizosphere"),EXACT(metadata!K955,"Plant surface"),EXACT(metadata!K955,"Plant corpus"),EXACT(metadata!K955,"Fungus surface"),EXACT(metadata!K955,"Fungus corpus"),EXACT(metadata!K955,"Animal surface"),EXACT(metadata!K955,"Animal proximal gut"),EXACT(metadata!K955,"Animal corpus"),EXACT(metadata!K955,"Animal distal gut"),EXACT(metadata!K955,"Animal secretion"),EXACT(metadata!K955,"Sub-surface (non-saline)"),EXACT(metadata!K955,"Surface (non-saline)"),EXACT(metadata!K955,"Water (non-saline)"),EXACT(metadata!K955,"Soil (non-saline)"),EXACT(metadata!K955,"Aerosol (non-saline)"),EXACT(metadata!K955,"Sediment (non-saline)"),EXACT(metadata!K955,"Surface (saline)"),EXACT(metadata!K955,"Water (saline)"),EXACT(metadata!K955,"Hypersaline (saline)"),EXACT(metadata!K955,"Aerosol (saline)"),EXACT(metadata!K955,"Sediment (saline)")))</f>
        <v>0</v>
      </c>
      <c r="AW955" t="b">
        <f>IF(metadata!L955="",FALSE,TRUE)</f>
        <v>0</v>
      </c>
      <c r="AX955" t="b">
        <f>IF(metadata!M955="",FALSE,TRUE)</f>
        <v>0</v>
      </c>
      <c r="AY955" t="b">
        <f>IF(metadata!N955="",FALSE,TRUE)</f>
        <v>0</v>
      </c>
      <c r="AZ955" t="b">
        <f>OR(AND(IF(metadata!O955="",FALSE,TRUE),OR(EXACT(metadata!O955,"missing: not collected"),EXACT(metadata!O955,"missing: not provided"),EXACT(metadata!O955,"missing: restricted access"))),AND(IF(metadata!O955="",FALSE,TRUE),OR(EXACT(metadata!O955,"air"),EXACT(metadata!O955,"built environment"),EXACT(metadata!O955,"host-associated"),EXACT(metadata!O955,"human-associated"),EXACT(metadata!O955,"human-skin"),EXACT(metadata!O955,"human-oral"),EXACT(metadata!O955,"human-gut"),EXACT(metadata!O955,"human-vaginal"),EXACT(metadata!O955,"microbial mat/biofilm"),EXACT(metadata!O955,"misc environment"),EXACT(metadata!O955,"plant-associated"),EXACT(metadata!O955,"sediment"),EXACT(metadata!O955,"soil"),EXACT(metadata!O955,"wastewater/sludge"),EXACT(metadata!O955,"water"))))</f>
        <v>0</v>
      </c>
      <c r="BA955" t="b">
        <f>IF(metadata!P955="",FALSE,TRUE)</f>
        <v>0</v>
      </c>
      <c r="BB955" t="b">
        <f>IF(metadata!Q955="",FALSE,TRUE)</f>
        <v>0</v>
      </c>
      <c r="BC955" t="b">
        <f>OR(AND(IF(metadata!R955="",FALSE,TRUE),OR(EXACT(metadata!R955,"missing: not collected"),EXACT(metadata!R955,"missing: not provided"),EXACT(metadata!R955,"missing: restricted access"))),AND(IF(metadata!R955="",FALSE,ISNUMBER(VALUE(metadata!R955))),metadata!R955&gt;=-90,metadata!R955&lt;=90))</f>
        <v>0</v>
      </c>
      <c r="BD955" t="b">
        <f>AND(IF(metadata!S955="",FALSE,TRUE),EXACT(metadata!S955,"Decimal degrees"))</f>
        <v>0</v>
      </c>
      <c r="BE955" t="b">
        <f>OR(AND(IF(metadata!T955="",FALSE,TRUE),OR(EXACT(metadata!T955,"missing: not collected"),EXACT(metadata!T955,"missing: not provided"),EXACT(metadata!T955,"missing: restricted access"))),AND(IF(metadata!T955="",FALSE,ISNUMBER(VALUE(metadata!T955))),metadata!T955&gt;=-180,metadata!T955&lt;=180))</f>
        <v>0</v>
      </c>
      <c r="BF955" t="b">
        <f>AND(IF(metadata!U955="",FALSE,TRUE),EXACT(metadata!U955,"Decimal degrees"))</f>
        <v>0</v>
      </c>
      <c r="BG955" t="b">
        <f>IF(metadata!V955="",FALSE,TRUE)</f>
        <v>0</v>
      </c>
      <c r="BH955" t="b">
        <f>OR(AND(IF(metadata!W955="",FALSE,TRUE),OR(EXACT(metadata!W955,"missing: not collected"),EXACT(metadata!W955,"missing: not provided"),EXACT(metadata!W955,"missing: restricted access"))),AND(IF(metadata!W955="",FALSE,TRUE),OR(EXACT(metadata!W955,"TRUE"),EXACT(metadata!W955,"FALSE"))))</f>
        <v>0</v>
      </c>
      <c r="BI955" t="b">
        <f>AND(IF(metadata!X955="",FALSE,TRUE),EXACT(metadata!X955,"other"))</f>
        <v>0</v>
      </c>
      <c r="BJ955" t="b">
        <f>IF(metadata!Y955="",FALSE,TRUE)</f>
        <v>0</v>
      </c>
      <c r="BK955" t="b">
        <f>OR(AND(IF(metadata!Z955="",FALSE,TRUE),OR(EXACT(metadata!Z955,"missing: not collected"),EXACT(metadata!Z955,"missing: not provided"))),AND(IF(metadata!Z955="",FALSE,IF(ISERROR(INT(metadata!Z955)),FALSE,INT(metadata!Z955)=metadata!Z955)),metadata!Z955&gt;0))</f>
        <v>0</v>
      </c>
      <c r="BL955" t="b">
        <f>AND(IF(metadata!AA955="",FALSE,TRUE),EXACT(metadata!AA955,"Not applicable"))</f>
        <v>0</v>
      </c>
      <c r="BM955" t="b">
        <f>IF(metadata!AB955="",FALSE,TRUE)</f>
        <v>0</v>
      </c>
    </row>
    <row r="956" spans="1:65" x14ac:dyDescent="0.2">
      <c r="A956" s="5" t="str">
        <f ca="1">IF(B956=" "," ",HYPERLINK(CONCATENATE("#metadata!",ADDRESS(INDEX($AH$2:$AH$1001,MATCH(ROWS($AF$2:AF956),$AF$2:$AF$1001,0),0),1)),INDEX($AK$2:$AK$1001,MATCH(ROWS($AF$2:AF956),$AF$2:$AF$1001,0),0)))</f>
        <v xml:space="preserve"> </v>
      </c>
      <c r="B956" s="4" t="str">
        <f ca="1">IF(OR(INDEX($AG$2:$AG$1001,MATCH(ROWS($AF$2:AF956),$AF$2:$AF$1001,0),1)&gt;=100000,INDEX($AM$1005:$BM$1005,1,MATCH(COLUMNS($AM$1006:AM1006),$AM$1006:$BM$1006,0))&gt;=100000), " ",IF(INDEX($AM$2:$BM$1001,MATCH(ROWS($AF$2:AF956),$AF$2:$AF$1001,0),MATCH(COLUMNS($AM$1006:AM1006),$AM$1006:$BM$1006,0)), HYPERLINK("#",""), HYPERLINK(CONCATENATE("#metadata!", ADDRESS(INDEX($AH$2:$AH$1001,MATCH(ROWS($AF$2:AF956),$AF$2:$AF$1001,0),0), INDEX($AM$1004:$BM$1004,1,MATCH(COLUMNS($AM$1006:AM1006),$AM$1006:$BM$1006,0)))),"Fix")))</f>
        <v xml:space="preserve"> </v>
      </c>
      <c r="C956" s="4" t="str">
        <f ca="1">IF(OR(INDEX($AG$2:$AG$1001,MATCH(ROWS($AF$2:AF956),$AF$2:$AF$1001,0),1)&gt;=100000,INDEX($AM$1005:$BM$1005,1,MATCH(COLUMNS($AM$1006:AN1006),$AM$1006:$BM$1006,0))&gt;=100000), " ",IF(INDEX($AM$2:$BM$1001,MATCH(ROWS($AF$2:AF956),$AF$2:$AF$1001,0),MATCH(COLUMNS($AM$1006:AN1006),$AM$1006:$BM$1006,0)), HYPERLINK("#",""), HYPERLINK(CONCATENATE("#metadata!", ADDRESS(INDEX($AH$2:$AH$1001,MATCH(ROWS($AF$2:AF956),$AF$2:$AF$1001,0),0), INDEX($AM$1004:$BM$1004,1,MATCH(COLUMNS($AM$1006:AN1006),$AM$1006:$BM$1006,0)))),"Fix")))</f>
        <v xml:space="preserve"> </v>
      </c>
      <c r="D956" s="4" t="str">
        <f ca="1">IF(OR(INDEX($AG$2:$AG$1001,MATCH(ROWS($AF$2:AF956),$AF$2:$AF$1001,0),1)&gt;=100000,INDEX($AM$1005:$BM$1005,1,MATCH(COLUMNS($AM$1006:AO1006),$AM$1006:$BM$1006,0))&gt;=100000), " ",IF(INDEX($AM$2:$BM$1001,MATCH(ROWS($AF$2:AF956),$AF$2:$AF$1001,0),MATCH(COLUMNS($AM$1006:AO1006),$AM$1006:$BM$1006,0)), HYPERLINK("#",""), HYPERLINK(CONCATENATE("#metadata!", ADDRESS(INDEX($AH$2:$AH$1001,MATCH(ROWS($AF$2:AF956),$AF$2:$AF$1001,0),0), INDEX($AM$1004:$BM$1004,1,MATCH(COLUMNS($AM$1006:AO1006),$AM$1006:$BM$1006,0)))),"Fix")))</f>
        <v xml:space="preserve"> </v>
      </c>
      <c r="E956" s="4" t="str">
        <f ca="1">IF(OR(INDEX($AG$2:$AG$1001,MATCH(ROWS($AF$2:AF956),$AF$2:$AF$1001,0),1)&gt;=100000,INDEX($AM$1005:$BM$1005,1,MATCH(COLUMNS($AM$1006:AP1006),$AM$1006:$BM$1006,0))&gt;=100000), " ",IF(INDEX($AM$2:$BM$1001,MATCH(ROWS($AF$2:AF956),$AF$2:$AF$1001,0),MATCH(COLUMNS($AM$1006:AP1006),$AM$1006:$BM$1006,0)), HYPERLINK("#",""), HYPERLINK(CONCATENATE("#metadata!", ADDRESS(INDEX($AH$2:$AH$1001,MATCH(ROWS($AF$2:AF956),$AF$2:$AF$1001,0),0), INDEX($AM$1004:$BM$1004,1,MATCH(COLUMNS($AM$1006:AP1006),$AM$1006:$BM$1006,0)))),"Fix")))</f>
        <v xml:space="preserve"> </v>
      </c>
      <c r="F956" s="4" t="str">
        <f ca="1">IF(OR(INDEX($AG$2:$AG$1001,MATCH(ROWS($AF$2:AF956),$AF$2:$AF$1001,0),1)&gt;=100000,INDEX($AM$1005:$BM$1005,1,MATCH(COLUMNS($AM$1006:AQ1006),$AM$1006:$BM$1006,0))&gt;=100000), " ",IF(INDEX($AM$2:$BM$1001,MATCH(ROWS($AF$2:AF956),$AF$2:$AF$1001,0),MATCH(COLUMNS($AM$1006:AQ1006),$AM$1006:$BM$1006,0)), HYPERLINK("#",""), HYPERLINK(CONCATENATE("#metadata!", ADDRESS(INDEX($AH$2:$AH$1001,MATCH(ROWS($AF$2:AF956),$AF$2:$AF$1001,0),0), INDEX($AM$1004:$BM$1004,1,MATCH(COLUMNS($AM$1006:AQ1006),$AM$1006:$BM$1006,0)))),"Fix")))</f>
        <v xml:space="preserve"> </v>
      </c>
      <c r="G956" s="4" t="str">
        <f ca="1">IF(OR(INDEX($AG$2:$AG$1001,MATCH(ROWS($AF$2:AF956),$AF$2:$AF$1001,0),1)&gt;=100000,INDEX($AM$1005:$BM$1005,1,MATCH(COLUMNS($AM$1006:AR1006),$AM$1006:$BM$1006,0))&gt;=100000), " ",IF(INDEX($AM$2:$BM$1001,MATCH(ROWS($AF$2:AF956),$AF$2:$AF$1001,0),MATCH(COLUMNS($AM$1006:AR1006),$AM$1006:$BM$1006,0)), HYPERLINK("#",""), HYPERLINK(CONCATENATE("#metadata!", ADDRESS(INDEX($AH$2:$AH$1001,MATCH(ROWS($AF$2:AF956),$AF$2:$AF$1001,0),0), INDEX($AM$1004:$BM$1004,1,MATCH(COLUMNS($AM$1006:AR1006),$AM$1006:$BM$1006,0)))),"Fix")))</f>
        <v xml:space="preserve"> </v>
      </c>
      <c r="H956" s="4" t="str">
        <f ca="1">IF(OR(INDEX($AG$2:$AG$1001,MATCH(ROWS($AF$2:AF956),$AF$2:$AF$1001,0),1)&gt;=100000,INDEX($AM$1005:$BM$1005,1,MATCH(COLUMNS($AM$1006:AS1006),$AM$1006:$BM$1006,0))&gt;=100000), " ",IF(INDEX($AM$2:$BM$1001,MATCH(ROWS($AF$2:AF956),$AF$2:$AF$1001,0),MATCH(COLUMNS($AM$1006:AS1006),$AM$1006:$BM$1006,0)), HYPERLINK("#",""), HYPERLINK(CONCATENATE("#metadata!", ADDRESS(INDEX($AH$2:$AH$1001,MATCH(ROWS($AF$2:AF956),$AF$2:$AF$1001,0),0), INDEX($AM$1004:$BM$1004,1,MATCH(COLUMNS($AM$1006:AS1006),$AM$1006:$BM$1006,0)))),"Fix")))</f>
        <v xml:space="preserve"> </v>
      </c>
      <c r="I956" s="4" t="str">
        <f ca="1">IF(OR(INDEX($AG$2:$AG$1001,MATCH(ROWS($AF$2:AF956),$AF$2:$AF$1001,0),1)&gt;=100000,INDEX($AM$1005:$BM$1005,1,MATCH(COLUMNS($AM$1006:AT1006),$AM$1006:$BM$1006,0))&gt;=100000), " ",IF(INDEX($AM$2:$BM$1001,MATCH(ROWS($AF$2:AF956),$AF$2:$AF$1001,0),MATCH(COLUMNS($AM$1006:AT1006),$AM$1006:$BM$1006,0)), HYPERLINK("#",""), HYPERLINK(CONCATENATE("#metadata!", ADDRESS(INDEX($AH$2:$AH$1001,MATCH(ROWS($AF$2:AF956),$AF$2:$AF$1001,0),0), INDEX($AM$1004:$BM$1004,1,MATCH(COLUMNS($AM$1006:AT1006),$AM$1006:$BM$1006,0)))),"Fix")))</f>
        <v xml:space="preserve"> </v>
      </c>
      <c r="J956" s="4" t="str">
        <f ca="1">IF(OR(INDEX($AG$2:$AG$1001,MATCH(ROWS($AF$2:AF956),$AF$2:$AF$1001,0),1)&gt;=100000,INDEX($AM$1005:$BM$1005,1,MATCH(COLUMNS($AM$1006:AU1006),$AM$1006:$BM$1006,0))&gt;=100000), " ",IF(INDEX($AM$2:$BM$1001,MATCH(ROWS($AF$2:AF956),$AF$2:$AF$1001,0),MATCH(COLUMNS($AM$1006:AU1006),$AM$1006:$BM$1006,0)), HYPERLINK("#",""), HYPERLINK(CONCATENATE("#metadata!", ADDRESS(INDEX($AH$2:$AH$1001,MATCH(ROWS($AF$2:AF956),$AF$2:$AF$1001,0),0), INDEX($AM$1004:$BM$1004,1,MATCH(COLUMNS($AM$1006:AU1006),$AM$1006:$BM$1006,0)))),"Fix")))</f>
        <v xml:space="preserve"> </v>
      </c>
      <c r="K956" s="4" t="str">
        <f ca="1">IF(OR(INDEX($AG$2:$AG$1001,MATCH(ROWS($AF$2:AF956),$AF$2:$AF$1001,0),1)&gt;=100000,INDEX($AM$1005:$BM$1005,1,MATCH(COLUMNS($AM$1006:AV1006),$AM$1006:$BM$1006,0))&gt;=100000), " ",IF(INDEX($AM$2:$BM$1001,MATCH(ROWS($AF$2:AF956),$AF$2:$AF$1001,0),MATCH(COLUMNS($AM$1006:AV1006),$AM$1006:$BM$1006,0)), HYPERLINK("#",""), HYPERLINK(CONCATENATE("#metadata!", ADDRESS(INDEX($AH$2:$AH$1001,MATCH(ROWS($AF$2:AF956),$AF$2:$AF$1001,0),0), INDEX($AM$1004:$BM$1004,1,MATCH(COLUMNS($AM$1006:AV1006),$AM$1006:$BM$1006,0)))),"Fix")))</f>
        <v xml:space="preserve"> </v>
      </c>
      <c r="L956" s="4" t="str">
        <f ca="1">IF(OR(INDEX($AG$2:$AG$1001,MATCH(ROWS($AF$2:AF956),$AF$2:$AF$1001,0),1)&gt;=100000,INDEX($AM$1005:$BM$1005,1,MATCH(COLUMNS($AM$1006:AW1006),$AM$1006:$BM$1006,0))&gt;=100000), " ",IF(INDEX($AM$2:$BM$1001,MATCH(ROWS($AF$2:AF956),$AF$2:$AF$1001,0),MATCH(COLUMNS($AM$1006:AW1006),$AM$1006:$BM$1006,0)), HYPERLINK("#",""), HYPERLINK(CONCATENATE("#metadata!", ADDRESS(INDEX($AH$2:$AH$1001,MATCH(ROWS($AF$2:AF956),$AF$2:$AF$1001,0),0), INDEX($AM$1004:$BM$1004,1,MATCH(COLUMNS($AM$1006:AW1006),$AM$1006:$BM$1006,0)))),"Fix")))</f>
        <v xml:space="preserve"> </v>
      </c>
      <c r="M956" s="4" t="str">
        <f ca="1">IF(OR(INDEX($AG$2:$AG$1001,MATCH(ROWS($AF$2:AF956),$AF$2:$AF$1001,0),1)&gt;=100000,INDEX($AM$1005:$BM$1005,1,MATCH(COLUMNS($AM$1006:AX1006),$AM$1006:$BM$1006,0))&gt;=100000), " ",IF(INDEX($AM$2:$BM$1001,MATCH(ROWS($AF$2:AF956),$AF$2:$AF$1001,0),MATCH(COLUMNS($AM$1006:AX1006),$AM$1006:$BM$1006,0)), HYPERLINK("#",""), HYPERLINK(CONCATENATE("#metadata!", ADDRESS(INDEX($AH$2:$AH$1001,MATCH(ROWS($AF$2:AF956),$AF$2:$AF$1001,0),0), INDEX($AM$1004:$BM$1004,1,MATCH(COLUMNS($AM$1006:AX1006),$AM$1006:$BM$1006,0)))),"Fix")))</f>
        <v xml:space="preserve"> </v>
      </c>
      <c r="N956" s="4" t="str">
        <f ca="1">IF(OR(INDEX($AG$2:$AG$1001,MATCH(ROWS($AF$2:AF956),$AF$2:$AF$1001,0),1)&gt;=100000,INDEX($AM$1005:$BM$1005,1,MATCH(COLUMNS($AM$1006:AY1006),$AM$1006:$BM$1006,0))&gt;=100000), " ",IF(INDEX($AM$2:$BM$1001,MATCH(ROWS($AF$2:AF956),$AF$2:$AF$1001,0),MATCH(COLUMNS($AM$1006:AY1006),$AM$1006:$BM$1006,0)), HYPERLINK("#",""), HYPERLINK(CONCATENATE("#metadata!", ADDRESS(INDEX($AH$2:$AH$1001,MATCH(ROWS($AF$2:AF956),$AF$2:$AF$1001,0),0), INDEX($AM$1004:$BM$1004,1,MATCH(COLUMNS($AM$1006:AY1006),$AM$1006:$BM$1006,0)))),"Fix")))</f>
        <v xml:space="preserve"> </v>
      </c>
      <c r="O956" s="4" t="str">
        <f ca="1">IF(OR(INDEX($AG$2:$AG$1001,MATCH(ROWS($AF$2:AF956),$AF$2:$AF$1001,0),1)&gt;=100000,INDEX($AM$1005:$BM$1005,1,MATCH(COLUMNS($AM$1006:AZ1006),$AM$1006:$BM$1006,0))&gt;=100000), " ",IF(INDEX($AM$2:$BM$1001,MATCH(ROWS($AF$2:AF956),$AF$2:$AF$1001,0),MATCH(COLUMNS($AM$1006:AZ1006),$AM$1006:$BM$1006,0)), HYPERLINK("#",""), HYPERLINK(CONCATENATE("#metadata!", ADDRESS(INDEX($AH$2:$AH$1001,MATCH(ROWS($AF$2:AF956),$AF$2:$AF$1001,0),0), INDEX($AM$1004:$BM$1004,1,MATCH(COLUMNS($AM$1006:AZ1006),$AM$1006:$BM$1006,0)))),"Fix")))</f>
        <v xml:space="preserve"> </v>
      </c>
      <c r="P956" s="4" t="str">
        <f ca="1">IF(OR(INDEX($AG$2:$AG$1001,MATCH(ROWS($AF$2:AF956),$AF$2:$AF$1001,0),1)&gt;=100000,INDEX($AM$1005:$BM$1005,1,MATCH(COLUMNS($AM$1006:BA1006),$AM$1006:$BM$1006,0))&gt;=100000), " ",IF(INDEX($AM$2:$BM$1001,MATCH(ROWS($AF$2:AF956),$AF$2:$AF$1001,0),MATCH(COLUMNS($AM$1006:BA1006),$AM$1006:$BM$1006,0)), HYPERLINK("#",""), HYPERLINK(CONCATENATE("#metadata!", ADDRESS(INDEX($AH$2:$AH$1001,MATCH(ROWS($AF$2:AF956),$AF$2:$AF$1001,0),0), INDEX($AM$1004:$BM$1004,1,MATCH(COLUMNS($AM$1006:BA1006),$AM$1006:$BM$1006,0)))),"Fix")))</f>
        <v xml:space="preserve"> </v>
      </c>
      <c r="Q956" s="4" t="str">
        <f ca="1">IF(OR(INDEX($AG$2:$AG$1001,MATCH(ROWS($AF$2:AF956),$AF$2:$AF$1001,0),1)&gt;=100000,INDEX($AM$1005:$BM$1005,1,MATCH(COLUMNS($AM$1006:BB1006),$AM$1006:$BM$1006,0))&gt;=100000), " ",IF(INDEX($AM$2:$BM$1001,MATCH(ROWS($AF$2:AF956),$AF$2:$AF$1001,0),MATCH(COLUMNS($AM$1006:BB1006),$AM$1006:$BM$1006,0)), HYPERLINK("#",""), HYPERLINK(CONCATENATE("#metadata!", ADDRESS(INDEX($AH$2:$AH$1001,MATCH(ROWS($AF$2:AF956),$AF$2:$AF$1001,0),0), INDEX($AM$1004:$BM$1004,1,MATCH(COLUMNS($AM$1006:BB1006),$AM$1006:$BM$1006,0)))),"Fix")))</f>
        <v xml:space="preserve"> </v>
      </c>
      <c r="R956" s="4" t="str">
        <f ca="1">IF(OR(INDEX($AG$2:$AG$1001,MATCH(ROWS($AF$2:AF956),$AF$2:$AF$1001,0),1)&gt;=100000,INDEX($AM$1005:$BM$1005,1,MATCH(COLUMNS($AM$1006:BC1006),$AM$1006:$BM$1006,0))&gt;=100000), " ",IF(INDEX($AM$2:$BM$1001,MATCH(ROWS($AF$2:AF956),$AF$2:$AF$1001,0),MATCH(COLUMNS($AM$1006:BC1006),$AM$1006:$BM$1006,0)), HYPERLINK("#",""), HYPERLINK(CONCATENATE("#metadata!", ADDRESS(INDEX($AH$2:$AH$1001,MATCH(ROWS($AF$2:AF956),$AF$2:$AF$1001,0),0), INDEX($AM$1004:$BM$1004,1,MATCH(COLUMNS($AM$1006:BC1006),$AM$1006:$BM$1006,0)))),"Fix")))</f>
        <v xml:space="preserve"> </v>
      </c>
      <c r="S956" s="4" t="str">
        <f ca="1">IF(OR(INDEX($AG$2:$AG$1001,MATCH(ROWS($AF$2:AF956),$AF$2:$AF$1001,0),1)&gt;=100000,INDEX($AM$1005:$BM$1005,1,MATCH(COLUMNS($AM$1006:BD1006),$AM$1006:$BM$1006,0))&gt;=100000), " ",IF(INDEX($AM$2:$BM$1001,MATCH(ROWS($AF$2:AF956),$AF$2:$AF$1001,0),MATCH(COLUMNS($AM$1006:BD1006),$AM$1006:$BM$1006,0)), HYPERLINK("#",""), HYPERLINK(CONCATENATE("#metadata!", ADDRESS(INDEX($AH$2:$AH$1001,MATCH(ROWS($AF$2:AF956),$AF$2:$AF$1001,0),0), INDEX($AM$1004:$BM$1004,1,MATCH(COLUMNS($AM$1006:BD1006),$AM$1006:$BM$1006,0)))),"Fix")))</f>
        <v xml:space="preserve"> </v>
      </c>
      <c r="T956" s="4" t="str">
        <f ca="1">IF(OR(INDEX($AG$2:$AG$1001,MATCH(ROWS($AF$2:AF956),$AF$2:$AF$1001,0),1)&gt;=100000,INDEX($AM$1005:$BM$1005,1,MATCH(COLUMNS($AM$1006:BE1006),$AM$1006:$BM$1006,0))&gt;=100000), " ",IF(INDEX($AM$2:$BM$1001,MATCH(ROWS($AF$2:AF956),$AF$2:$AF$1001,0),MATCH(COLUMNS($AM$1006:BE1006),$AM$1006:$BM$1006,0)), HYPERLINK("#",""), HYPERLINK(CONCATENATE("#metadata!", ADDRESS(INDEX($AH$2:$AH$1001,MATCH(ROWS($AF$2:AF956),$AF$2:$AF$1001,0),0), INDEX($AM$1004:$BM$1004,1,MATCH(COLUMNS($AM$1006:BE1006),$AM$1006:$BM$1006,0)))),"Fix")))</f>
        <v xml:space="preserve"> </v>
      </c>
      <c r="U956" s="4" t="str">
        <f ca="1">IF(OR(INDEX($AG$2:$AG$1001,MATCH(ROWS($AF$2:AF956),$AF$2:$AF$1001,0),1)&gt;=100000,INDEX($AM$1005:$BM$1005,1,MATCH(COLUMNS($AM$1006:BF1006),$AM$1006:$BM$1006,0))&gt;=100000), " ",IF(INDEX($AM$2:$BM$1001,MATCH(ROWS($AF$2:AF956),$AF$2:$AF$1001,0),MATCH(COLUMNS($AM$1006:BF1006),$AM$1006:$BM$1006,0)), HYPERLINK("#",""), HYPERLINK(CONCATENATE("#metadata!", ADDRESS(INDEX($AH$2:$AH$1001,MATCH(ROWS($AF$2:AF956),$AF$2:$AF$1001,0),0), INDEX($AM$1004:$BM$1004,1,MATCH(COLUMNS($AM$1006:BF1006),$AM$1006:$BM$1006,0)))),"Fix")))</f>
        <v xml:space="preserve"> </v>
      </c>
      <c r="V956" s="4" t="str">
        <f ca="1">IF(OR(INDEX($AG$2:$AG$1001,MATCH(ROWS($AF$2:AF956),$AF$2:$AF$1001,0),1)&gt;=100000,INDEX($AM$1005:$BM$1005,1,MATCH(COLUMNS($AM$1006:BG1006),$AM$1006:$BM$1006,0))&gt;=100000), " ",IF(INDEX($AM$2:$BM$1001,MATCH(ROWS($AF$2:AF956),$AF$2:$AF$1001,0),MATCH(COLUMNS($AM$1006:BG1006),$AM$1006:$BM$1006,0)), HYPERLINK("#",""), HYPERLINK(CONCATENATE("#metadata!", ADDRESS(INDEX($AH$2:$AH$1001,MATCH(ROWS($AF$2:AF956),$AF$2:$AF$1001,0),0), INDEX($AM$1004:$BM$1004,1,MATCH(COLUMNS($AM$1006:BG1006),$AM$1006:$BM$1006,0)))),"Fix")))</f>
        <v xml:space="preserve"> </v>
      </c>
      <c r="W956" s="4" t="str">
        <f ca="1">IF(OR(INDEX($AG$2:$AG$1001,MATCH(ROWS($AF$2:AF956),$AF$2:$AF$1001,0),1)&gt;=100000,INDEX($AM$1005:$BM$1005,1,MATCH(COLUMNS($AM$1006:BH1006),$AM$1006:$BM$1006,0))&gt;=100000), " ",IF(INDEX($AM$2:$BM$1001,MATCH(ROWS($AF$2:AF956),$AF$2:$AF$1001,0),MATCH(COLUMNS($AM$1006:BH1006),$AM$1006:$BM$1006,0)), HYPERLINK("#",""), HYPERLINK(CONCATENATE("#metadata!", ADDRESS(INDEX($AH$2:$AH$1001,MATCH(ROWS($AF$2:AF956),$AF$2:$AF$1001,0),0), INDEX($AM$1004:$BM$1004,1,MATCH(COLUMNS($AM$1006:BH1006),$AM$1006:$BM$1006,0)))),"Fix")))</f>
        <v xml:space="preserve"> </v>
      </c>
      <c r="X956" s="4" t="str">
        <f ca="1">IF(OR(INDEX($AG$2:$AG$1001,MATCH(ROWS($AF$2:AF956),$AF$2:$AF$1001,0),1)&gt;=100000,INDEX($AM$1005:$BM$1005,1,MATCH(COLUMNS($AM$1006:BI1006),$AM$1006:$BM$1006,0))&gt;=100000), " ",IF(INDEX($AM$2:$BM$1001,MATCH(ROWS($AF$2:AF956),$AF$2:$AF$1001,0),MATCH(COLUMNS($AM$1006:BI1006),$AM$1006:$BM$1006,0)), HYPERLINK("#",""), HYPERLINK(CONCATENATE("#metadata!", ADDRESS(INDEX($AH$2:$AH$1001,MATCH(ROWS($AF$2:AF956),$AF$2:$AF$1001,0),0), INDEX($AM$1004:$BM$1004,1,MATCH(COLUMNS($AM$1006:BI1006),$AM$1006:$BM$1006,0)))),"Fix")))</f>
        <v xml:space="preserve"> </v>
      </c>
      <c r="Y956" s="4" t="str">
        <f ca="1">IF(OR(INDEX($AG$2:$AG$1001,MATCH(ROWS($AF$2:AF956),$AF$2:$AF$1001,0),1)&gt;=100000,INDEX($AM$1005:$BM$1005,1,MATCH(COLUMNS($AM$1006:BJ1006),$AM$1006:$BM$1006,0))&gt;=100000), " ",IF(INDEX($AM$2:$BM$1001,MATCH(ROWS($AF$2:AF956),$AF$2:$AF$1001,0),MATCH(COLUMNS($AM$1006:BJ1006),$AM$1006:$BM$1006,0)), HYPERLINK("#",""), HYPERLINK(CONCATENATE("#metadata!", ADDRESS(INDEX($AH$2:$AH$1001,MATCH(ROWS($AF$2:AF956),$AF$2:$AF$1001,0),0), INDEX($AM$1004:$BM$1004,1,MATCH(COLUMNS($AM$1006:BJ1006),$AM$1006:$BM$1006,0)))),"Fix")))</f>
        <v xml:space="preserve"> </v>
      </c>
      <c r="Z956" s="4" t="str">
        <f ca="1">IF(OR(INDEX($AG$2:$AG$1001,MATCH(ROWS($AF$2:AF956),$AF$2:$AF$1001,0),1)&gt;=100000,INDEX($AM$1005:$BM$1005,1,MATCH(COLUMNS($AM$1006:BK1006),$AM$1006:$BM$1006,0))&gt;=100000), " ",IF(INDEX($AM$2:$BM$1001,MATCH(ROWS($AF$2:AF956),$AF$2:$AF$1001,0),MATCH(COLUMNS($AM$1006:BK1006),$AM$1006:$BM$1006,0)), HYPERLINK("#",""), HYPERLINK(CONCATENATE("#metadata!", ADDRESS(INDEX($AH$2:$AH$1001,MATCH(ROWS($AF$2:AF956),$AF$2:$AF$1001,0),0), INDEX($AM$1004:$BM$1004,1,MATCH(COLUMNS($AM$1006:BK1006),$AM$1006:$BM$1006,0)))),"Fix")))</f>
        <v xml:space="preserve"> </v>
      </c>
      <c r="AA956" s="4" t="str">
        <f ca="1">IF(OR(INDEX($AG$2:$AG$1001,MATCH(ROWS($AF$2:AF956),$AF$2:$AF$1001,0),1)&gt;=100000,INDEX($AM$1005:$BM$1005,1,MATCH(COLUMNS($AM$1006:BL1006),$AM$1006:$BM$1006,0))&gt;=100000), " ",IF(INDEX($AM$2:$BM$1001,MATCH(ROWS($AF$2:AF956),$AF$2:$AF$1001,0),MATCH(COLUMNS($AM$1006:BL1006),$AM$1006:$BM$1006,0)), HYPERLINK("#",""), HYPERLINK(CONCATENATE("#metadata!", ADDRESS(INDEX($AH$2:$AH$1001,MATCH(ROWS($AF$2:AF956),$AF$2:$AF$1001,0),0), INDEX($AM$1004:$BM$1004,1,MATCH(COLUMNS($AM$1006:BL1006),$AM$1006:$BM$1006,0)))),"Fix")))</f>
        <v xml:space="preserve"> </v>
      </c>
      <c r="AB956" s="4" t="str">
        <f ca="1">IF(OR(INDEX($AG$2:$AG$1001,MATCH(ROWS($AF$2:AF956),$AF$2:$AF$1001,0),1)&gt;=100000,INDEX($AM$1005:$BM$1005,1,MATCH(COLUMNS($AM$1006:BM1006),$AM$1006:$BM$1006,0))&gt;=100000), " ",IF(INDEX($AM$2:$BM$1001,MATCH(ROWS($AF$2:AF956),$AF$2:$AF$1001,0),MATCH(COLUMNS($AM$1006:BM1006),$AM$1006:$BM$1006,0)), HYPERLINK("#",""), HYPERLINK(CONCATENATE("#metadata!", ADDRESS(INDEX($AH$2:$AH$1001,MATCH(ROWS($AF$2:AF956),$AF$2:$AF$1001,0),0), INDEX($AM$1004:$BM$1004,1,MATCH(COLUMNS($AM$1006:BM1006),$AM$1006:$BM$1006,0)))),"Fix")))</f>
        <v xml:space="preserve"> </v>
      </c>
      <c r="AF956">
        <v>955</v>
      </c>
      <c r="AG956">
        <v>100956</v>
      </c>
      <c r="AH956">
        <v>956</v>
      </c>
      <c r="AI956" t="b">
        <f t="shared" si="14"/>
        <v>1</v>
      </c>
      <c r="AJ956" t="b">
        <f>COUNTBLANK(metadata!B956:AB956)=COLUMNS(metadata!B956:AB956)</f>
        <v>1</v>
      </c>
      <c r="AK956" t="str">
        <v/>
      </c>
      <c r="AM956" t="b">
        <f ca="1">AND(IF(metadata!B956="",FALSE,TRUE),COUNTIF(metadata!B:B, metadata!B956) = 1,NOT(ISERROR(SUMPRODUCT(SEARCH(MID(metadata!B956,ROW(INDIRECT("1:"&amp;LEN(metadata!B956))), 1),"0123456789abcdefghijklmnopqrstuvwxyzABCDEFGHIJKLMNOPQRSTUVWXYZ.")))))</f>
        <v>0</v>
      </c>
      <c r="AN956" t="b">
        <f ca="1">OR(AND(IF(metadata!C956="",FALSE,TRUE),OR(EXACT(metadata!C956,"missing: not collected"),EXACT(metadata!C956,"missing: not provided"),EXACT(metadata!C956,"missing: restricted access"))),AND(IF(metadata!C956="",FALSE,TRUE),AND(AND(IFERROR(INT(LEFT(metadata!C956,4))&gt;1900,FALSE),IFERROR(INT(LEFT(metadata!C956,4))&lt;=YEAR(NOW()),FALSE)), OR(MID(metadata!C956,5,1)="", AND(AND(MID(metadata!C956,5,1)="-",IFERROR(INT(MID(metadata!C956,6,1))&gt;=0,FALSE),IFERROR(INT(MID(metadata!C956,6,1))&lt;=1,FALSE),NOT(MID(metadata!C956,7,1)=""),IFERROR(INT(MID(metadata!C956,6,2))&gt;=1,FALSE),IFERROR(INT(MID(metadata!C956,6,2))&lt;=12,FALSE)), OR(MID(metadata!C956,8,1)="", AND(AND(MID(metadata!C956,8,1)="-",IFERROR(INT(MID(metadata!C956,9,1))&gt;=0,FALSE),IFERROR(INT(MID(metadata!C956,9,1))&lt;=3,FALSE),NOT(MID(metadata!C956,10,1)=""),IFERROR(INT(MID(metadata!C956,9,2))&gt;=1,FALSE),IFERROR(INT(MID(metadata!C956,9,2))&lt;=31,FALSE)), OR(MID(metadata!C956,11,1)="", AND(AND(MID(metadata!C956,11,1)=" ",IFERROR(INT(MID(metadata!C956,12,1))&gt;=0,FALSE),IFERROR(INT(MID(metadata!C956,12,1))&lt;=2,FALSE),NOT(MID(metadata!C956,13,1)=""),IFERROR(INT(MID(metadata!C956,12,2))&gt;=0,FALSE),IFERROR(INT(MID(metadata!C956,12,2))&lt;=23,FALSE)), OR(MID(metadata!C956,14,1)="", AND(AND(MID(metadata!C956,14,1)=":",IFERROR(INT(MID(metadata!C956,15,1))&gt;=0,FALSE),IFERROR(INT(MID(metadata!C956,15,1))&lt;=5,FALSE),NOT(MID(metadata!C956,16,1)=""),IFERROR(INT(MID(metadata!C956,15,2))&gt;=0,FALSE),IFERROR(INT(MID(metadata!C956,15,2))&lt;=59,FALSE)), OR(MID(metadata!C956,17,1)="", AND(AND(MID(metadata!C956,17,1)=":",IFERROR(INT(MID(metadata!C956,18,1))&gt;=0,FALSE),IFERROR(INT(MID(metadata!C956,18,1))&lt;=5,FALSE),NOT(MID(metadata!C956,19,1)=""),IFERROR(INT(MID(metadata!C956,18,2))&gt;=0,FALSE),IFERROR(INT(MID(metadata!C956,18,2))&lt;=59,FALSE)), LEN(metadata!C956)&lt;=19)))))))))))))</f>
        <v>0</v>
      </c>
      <c r="AO956" t="b">
        <f>AND(IF(metadata!D956="",FALSE,TRUE),EXACT(metadata!D956,"Not applicable"))</f>
        <v>0</v>
      </c>
      <c r="AP956" t="b">
        <f>IF(metadata!E956="",FALSE,TRUE)</f>
        <v>0</v>
      </c>
      <c r="AQ956" t="b">
        <f>OR(AND(IF(metadata!F956="",FALSE,TRUE),OR(EXACT(metadata!F956,"missing: not collected"),EXACT(metadata!F956,"missing: not provided"))),AND(IF(metadata!F956="",FALSE,TRUE),OR(EXACT(metadata!F956,"TRUE"),EXACT(metadata!F956,"FALSE"))))</f>
        <v>0</v>
      </c>
      <c r="AR956" t="b">
        <f>OR(AND(IF(metadata!G956="",FALSE,TRUE),OR(EXACT(metadata!G956,"missing: not collected"),EXACT(metadata!G956,"missing: not provided"),EXACT(metadata!G956,"missing: restricted access"))),AND(IF(metadata!G956="",FALSE,ISNUMBER(VALUE(metadata!G956))),metadata!G956&gt;=-413))</f>
        <v>0</v>
      </c>
      <c r="AS956" t="b">
        <f>AND(IF(metadata!H956="",FALSE,TRUE),EXACT(metadata!H956,"meters"))</f>
        <v>0</v>
      </c>
      <c r="AT956" t="b">
        <f>AND(IF(metadata!I956="",FALSE,TRUE),OR(EXACT(metadata!I956,"Host-associated"),EXACT(metadata!I956,"Free-living")))</f>
        <v>0</v>
      </c>
      <c r="AU956" t="b">
        <f>AND(IF(metadata!J956="",FALSE,TRUE),OR(EXACT(metadata!J956,"Animal"),EXACT(metadata!J956,"Fungus"),EXACT(metadata!J956,"Plant"),EXACT(metadata!J956,"Saline"),EXACT(metadata!J956,"Non-saline")))</f>
        <v>0</v>
      </c>
      <c r="AV956" t="b">
        <f>AND(IF(metadata!K956="",FALSE,TRUE),OR(EXACT(metadata!K956,"Plant secretion"),EXACT(metadata!K956,"Plant rhizosphere"),EXACT(metadata!K956,"Plant surface"),EXACT(metadata!K956,"Plant corpus"),EXACT(metadata!K956,"Fungus surface"),EXACT(metadata!K956,"Fungus corpus"),EXACT(metadata!K956,"Animal surface"),EXACT(metadata!K956,"Animal proximal gut"),EXACT(metadata!K956,"Animal corpus"),EXACT(metadata!K956,"Animal distal gut"),EXACT(metadata!K956,"Animal secretion"),EXACT(metadata!K956,"Sub-surface (non-saline)"),EXACT(metadata!K956,"Surface (non-saline)"),EXACT(metadata!K956,"Water (non-saline)"),EXACT(metadata!K956,"Soil (non-saline)"),EXACT(metadata!K956,"Aerosol (non-saline)"),EXACT(metadata!K956,"Sediment (non-saline)"),EXACT(metadata!K956,"Surface (saline)"),EXACT(metadata!K956,"Water (saline)"),EXACT(metadata!K956,"Hypersaline (saline)"),EXACT(metadata!K956,"Aerosol (saline)"),EXACT(metadata!K956,"Sediment (saline)")))</f>
        <v>0</v>
      </c>
      <c r="AW956" t="b">
        <f>IF(metadata!L956="",FALSE,TRUE)</f>
        <v>0</v>
      </c>
      <c r="AX956" t="b">
        <f>IF(metadata!M956="",FALSE,TRUE)</f>
        <v>0</v>
      </c>
      <c r="AY956" t="b">
        <f>IF(metadata!N956="",FALSE,TRUE)</f>
        <v>0</v>
      </c>
      <c r="AZ956" t="b">
        <f>OR(AND(IF(metadata!O956="",FALSE,TRUE),OR(EXACT(metadata!O956,"missing: not collected"),EXACT(metadata!O956,"missing: not provided"),EXACT(metadata!O956,"missing: restricted access"))),AND(IF(metadata!O956="",FALSE,TRUE),OR(EXACT(metadata!O956,"air"),EXACT(metadata!O956,"built environment"),EXACT(metadata!O956,"host-associated"),EXACT(metadata!O956,"human-associated"),EXACT(metadata!O956,"human-skin"),EXACT(metadata!O956,"human-oral"),EXACT(metadata!O956,"human-gut"),EXACT(metadata!O956,"human-vaginal"),EXACT(metadata!O956,"microbial mat/biofilm"),EXACT(metadata!O956,"misc environment"),EXACT(metadata!O956,"plant-associated"),EXACT(metadata!O956,"sediment"),EXACT(metadata!O956,"soil"),EXACT(metadata!O956,"wastewater/sludge"),EXACT(metadata!O956,"water"))))</f>
        <v>0</v>
      </c>
      <c r="BA956" t="b">
        <f>IF(metadata!P956="",FALSE,TRUE)</f>
        <v>0</v>
      </c>
      <c r="BB956" t="b">
        <f>IF(metadata!Q956="",FALSE,TRUE)</f>
        <v>0</v>
      </c>
      <c r="BC956" t="b">
        <f>OR(AND(IF(metadata!R956="",FALSE,TRUE),OR(EXACT(metadata!R956,"missing: not collected"),EXACT(metadata!R956,"missing: not provided"),EXACT(metadata!R956,"missing: restricted access"))),AND(IF(metadata!R956="",FALSE,ISNUMBER(VALUE(metadata!R956))),metadata!R956&gt;=-90,metadata!R956&lt;=90))</f>
        <v>0</v>
      </c>
      <c r="BD956" t="b">
        <f>AND(IF(metadata!S956="",FALSE,TRUE),EXACT(metadata!S956,"Decimal degrees"))</f>
        <v>0</v>
      </c>
      <c r="BE956" t="b">
        <f>OR(AND(IF(metadata!T956="",FALSE,TRUE),OR(EXACT(metadata!T956,"missing: not collected"),EXACT(metadata!T956,"missing: not provided"),EXACT(metadata!T956,"missing: restricted access"))),AND(IF(metadata!T956="",FALSE,ISNUMBER(VALUE(metadata!T956))),metadata!T956&gt;=-180,metadata!T956&lt;=180))</f>
        <v>0</v>
      </c>
      <c r="BF956" t="b">
        <f>AND(IF(metadata!U956="",FALSE,TRUE),EXACT(metadata!U956,"Decimal degrees"))</f>
        <v>0</v>
      </c>
      <c r="BG956" t="b">
        <f>IF(metadata!V956="",FALSE,TRUE)</f>
        <v>0</v>
      </c>
      <c r="BH956" t="b">
        <f>OR(AND(IF(metadata!W956="",FALSE,TRUE),OR(EXACT(metadata!W956,"missing: not collected"),EXACT(metadata!W956,"missing: not provided"),EXACT(metadata!W956,"missing: restricted access"))),AND(IF(metadata!W956="",FALSE,TRUE),OR(EXACT(metadata!W956,"TRUE"),EXACT(metadata!W956,"FALSE"))))</f>
        <v>0</v>
      </c>
      <c r="BI956" t="b">
        <f>AND(IF(metadata!X956="",FALSE,TRUE),EXACT(metadata!X956,"other"))</f>
        <v>0</v>
      </c>
      <c r="BJ956" t="b">
        <f>IF(metadata!Y956="",FALSE,TRUE)</f>
        <v>0</v>
      </c>
      <c r="BK956" t="b">
        <f>OR(AND(IF(metadata!Z956="",FALSE,TRUE),OR(EXACT(metadata!Z956,"missing: not collected"),EXACT(metadata!Z956,"missing: not provided"))),AND(IF(metadata!Z956="",FALSE,IF(ISERROR(INT(metadata!Z956)),FALSE,INT(metadata!Z956)=metadata!Z956)),metadata!Z956&gt;0))</f>
        <v>0</v>
      </c>
      <c r="BL956" t="b">
        <f>AND(IF(metadata!AA956="",FALSE,TRUE),EXACT(metadata!AA956,"Not applicable"))</f>
        <v>0</v>
      </c>
      <c r="BM956" t="b">
        <f>IF(metadata!AB956="",FALSE,TRUE)</f>
        <v>0</v>
      </c>
    </row>
    <row r="957" spans="1:65" x14ac:dyDescent="0.2">
      <c r="A957" s="5" t="str">
        <f ca="1">IF(B957=" "," ",HYPERLINK(CONCATENATE("#metadata!",ADDRESS(INDEX($AH$2:$AH$1001,MATCH(ROWS($AF$2:AF957),$AF$2:$AF$1001,0),0),1)),INDEX($AK$2:$AK$1001,MATCH(ROWS($AF$2:AF957),$AF$2:$AF$1001,0),0)))</f>
        <v xml:space="preserve"> </v>
      </c>
      <c r="B957" s="4" t="str">
        <f ca="1">IF(OR(INDEX($AG$2:$AG$1001,MATCH(ROWS($AF$2:AF957),$AF$2:$AF$1001,0),1)&gt;=100000,INDEX($AM$1005:$BM$1005,1,MATCH(COLUMNS($AM$1006:AM1006),$AM$1006:$BM$1006,0))&gt;=100000), " ",IF(INDEX($AM$2:$BM$1001,MATCH(ROWS($AF$2:AF957),$AF$2:$AF$1001,0),MATCH(COLUMNS($AM$1006:AM1006),$AM$1006:$BM$1006,0)), HYPERLINK("#",""), HYPERLINK(CONCATENATE("#metadata!", ADDRESS(INDEX($AH$2:$AH$1001,MATCH(ROWS($AF$2:AF957),$AF$2:$AF$1001,0),0), INDEX($AM$1004:$BM$1004,1,MATCH(COLUMNS($AM$1006:AM1006),$AM$1006:$BM$1006,0)))),"Fix")))</f>
        <v xml:space="preserve"> </v>
      </c>
      <c r="C957" s="4" t="str">
        <f ca="1">IF(OR(INDEX($AG$2:$AG$1001,MATCH(ROWS($AF$2:AF957),$AF$2:$AF$1001,0),1)&gt;=100000,INDEX($AM$1005:$BM$1005,1,MATCH(COLUMNS($AM$1006:AN1006),$AM$1006:$BM$1006,0))&gt;=100000), " ",IF(INDEX($AM$2:$BM$1001,MATCH(ROWS($AF$2:AF957),$AF$2:$AF$1001,0),MATCH(COLUMNS($AM$1006:AN1006),$AM$1006:$BM$1006,0)), HYPERLINK("#",""), HYPERLINK(CONCATENATE("#metadata!", ADDRESS(INDEX($AH$2:$AH$1001,MATCH(ROWS($AF$2:AF957),$AF$2:$AF$1001,0),0), INDEX($AM$1004:$BM$1004,1,MATCH(COLUMNS($AM$1006:AN1006),$AM$1006:$BM$1006,0)))),"Fix")))</f>
        <v xml:space="preserve"> </v>
      </c>
      <c r="D957" s="4" t="str">
        <f ca="1">IF(OR(INDEX($AG$2:$AG$1001,MATCH(ROWS($AF$2:AF957),$AF$2:$AF$1001,0),1)&gt;=100000,INDEX($AM$1005:$BM$1005,1,MATCH(COLUMNS($AM$1006:AO1006),$AM$1006:$BM$1006,0))&gt;=100000), " ",IF(INDEX($AM$2:$BM$1001,MATCH(ROWS($AF$2:AF957),$AF$2:$AF$1001,0),MATCH(COLUMNS($AM$1006:AO1006),$AM$1006:$BM$1006,0)), HYPERLINK("#",""), HYPERLINK(CONCATENATE("#metadata!", ADDRESS(INDEX($AH$2:$AH$1001,MATCH(ROWS($AF$2:AF957),$AF$2:$AF$1001,0),0), INDEX($AM$1004:$BM$1004,1,MATCH(COLUMNS($AM$1006:AO1006),$AM$1006:$BM$1006,0)))),"Fix")))</f>
        <v xml:space="preserve"> </v>
      </c>
      <c r="E957" s="4" t="str">
        <f ca="1">IF(OR(INDEX($AG$2:$AG$1001,MATCH(ROWS($AF$2:AF957),$AF$2:$AF$1001,0),1)&gt;=100000,INDEX($AM$1005:$BM$1005,1,MATCH(COLUMNS($AM$1006:AP1006),$AM$1006:$BM$1006,0))&gt;=100000), " ",IF(INDEX($AM$2:$BM$1001,MATCH(ROWS($AF$2:AF957),$AF$2:$AF$1001,0),MATCH(COLUMNS($AM$1006:AP1006),$AM$1006:$BM$1006,0)), HYPERLINK("#",""), HYPERLINK(CONCATENATE("#metadata!", ADDRESS(INDEX($AH$2:$AH$1001,MATCH(ROWS($AF$2:AF957),$AF$2:$AF$1001,0),0), INDEX($AM$1004:$BM$1004,1,MATCH(COLUMNS($AM$1006:AP1006),$AM$1006:$BM$1006,0)))),"Fix")))</f>
        <v xml:space="preserve"> </v>
      </c>
      <c r="F957" s="4" t="str">
        <f ca="1">IF(OR(INDEX($AG$2:$AG$1001,MATCH(ROWS($AF$2:AF957),$AF$2:$AF$1001,0),1)&gt;=100000,INDEX($AM$1005:$BM$1005,1,MATCH(COLUMNS($AM$1006:AQ1006),$AM$1006:$BM$1006,0))&gt;=100000), " ",IF(INDEX($AM$2:$BM$1001,MATCH(ROWS($AF$2:AF957),$AF$2:$AF$1001,0),MATCH(COLUMNS($AM$1006:AQ1006),$AM$1006:$BM$1006,0)), HYPERLINK("#",""), HYPERLINK(CONCATENATE("#metadata!", ADDRESS(INDEX($AH$2:$AH$1001,MATCH(ROWS($AF$2:AF957),$AF$2:$AF$1001,0),0), INDEX($AM$1004:$BM$1004,1,MATCH(COLUMNS($AM$1006:AQ1006),$AM$1006:$BM$1006,0)))),"Fix")))</f>
        <v xml:space="preserve"> </v>
      </c>
      <c r="G957" s="4" t="str">
        <f ca="1">IF(OR(INDEX($AG$2:$AG$1001,MATCH(ROWS($AF$2:AF957),$AF$2:$AF$1001,0),1)&gt;=100000,INDEX($AM$1005:$BM$1005,1,MATCH(COLUMNS($AM$1006:AR1006),$AM$1006:$BM$1006,0))&gt;=100000), " ",IF(INDEX($AM$2:$BM$1001,MATCH(ROWS($AF$2:AF957),$AF$2:$AF$1001,0),MATCH(COLUMNS($AM$1006:AR1006),$AM$1006:$BM$1006,0)), HYPERLINK("#",""), HYPERLINK(CONCATENATE("#metadata!", ADDRESS(INDEX($AH$2:$AH$1001,MATCH(ROWS($AF$2:AF957),$AF$2:$AF$1001,0),0), INDEX($AM$1004:$BM$1004,1,MATCH(COLUMNS($AM$1006:AR1006),$AM$1006:$BM$1006,0)))),"Fix")))</f>
        <v xml:space="preserve"> </v>
      </c>
      <c r="H957" s="4" t="str">
        <f ca="1">IF(OR(INDEX($AG$2:$AG$1001,MATCH(ROWS($AF$2:AF957),$AF$2:$AF$1001,0),1)&gt;=100000,INDEX($AM$1005:$BM$1005,1,MATCH(COLUMNS($AM$1006:AS1006),$AM$1006:$BM$1006,0))&gt;=100000), " ",IF(INDEX($AM$2:$BM$1001,MATCH(ROWS($AF$2:AF957),$AF$2:$AF$1001,0),MATCH(COLUMNS($AM$1006:AS1006),$AM$1006:$BM$1006,0)), HYPERLINK("#",""), HYPERLINK(CONCATENATE("#metadata!", ADDRESS(INDEX($AH$2:$AH$1001,MATCH(ROWS($AF$2:AF957),$AF$2:$AF$1001,0),0), INDEX($AM$1004:$BM$1004,1,MATCH(COLUMNS($AM$1006:AS1006),$AM$1006:$BM$1006,0)))),"Fix")))</f>
        <v xml:space="preserve"> </v>
      </c>
      <c r="I957" s="4" t="str">
        <f ca="1">IF(OR(INDEX($AG$2:$AG$1001,MATCH(ROWS($AF$2:AF957),$AF$2:$AF$1001,0),1)&gt;=100000,INDEX($AM$1005:$BM$1005,1,MATCH(COLUMNS($AM$1006:AT1006),$AM$1006:$BM$1006,0))&gt;=100000), " ",IF(INDEX($AM$2:$BM$1001,MATCH(ROWS($AF$2:AF957),$AF$2:$AF$1001,0),MATCH(COLUMNS($AM$1006:AT1006),$AM$1006:$BM$1006,0)), HYPERLINK("#",""), HYPERLINK(CONCATENATE("#metadata!", ADDRESS(INDEX($AH$2:$AH$1001,MATCH(ROWS($AF$2:AF957),$AF$2:$AF$1001,0),0), INDEX($AM$1004:$BM$1004,1,MATCH(COLUMNS($AM$1006:AT1006),$AM$1006:$BM$1006,0)))),"Fix")))</f>
        <v xml:space="preserve"> </v>
      </c>
      <c r="J957" s="4" t="str">
        <f ca="1">IF(OR(INDEX($AG$2:$AG$1001,MATCH(ROWS($AF$2:AF957),$AF$2:$AF$1001,0),1)&gt;=100000,INDEX($AM$1005:$BM$1005,1,MATCH(COLUMNS($AM$1006:AU1006),$AM$1006:$BM$1006,0))&gt;=100000), " ",IF(INDEX($AM$2:$BM$1001,MATCH(ROWS($AF$2:AF957),$AF$2:$AF$1001,0),MATCH(COLUMNS($AM$1006:AU1006),$AM$1006:$BM$1006,0)), HYPERLINK("#",""), HYPERLINK(CONCATENATE("#metadata!", ADDRESS(INDEX($AH$2:$AH$1001,MATCH(ROWS($AF$2:AF957),$AF$2:$AF$1001,0),0), INDEX($AM$1004:$BM$1004,1,MATCH(COLUMNS($AM$1006:AU1006),$AM$1006:$BM$1006,0)))),"Fix")))</f>
        <v xml:space="preserve"> </v>
      </c>
      <c r="K957" s="4" t="str">
        <f ca="1">IF(OR(INDEX($AG$2:$AG$1001,MATCH(ROWS($AF$2:AF957),$AF$2:$AF$1001,0),1)&gt;=100000,INDEX($AM$1005:$BM$1005,1,MATCH(COLUMNS($AM$1006:AV1006),$AM$1006:$BM$1006,0))&gt;=100000), " ",IF(INDEX($AM$2:$BM$1001,MATCH(ROWS($AF$2:AF957),$AF$2:$AF$1001,0),MATCH(COLUMNS($AM$1006:AV1006),$AM$1006:$BM$1006,0)), HYPERLINK("#",""), HYPERLINK(CONCATENATE("#metadata!", ADDRESS(INDEX($AH$2:$AH$1001,MATCH(ROWS($AF$2:AF957),$AF$2:$AF$1001,0),0), INDEX($AM$1004:$BM$1004,1,MATCH(COLUMNS($AM$1006:AV1006),$AM$1006:$BM$1006,0)))),"Fix")))</f>
        <v xml:space="preserve"> </v>
      </c>
      <c r="L957" s="4" t="str">
        <f ca="1">IF(OR(INDEX($AG$2:$AG$1001,MATCH(ROWS($AF$2:AF957),$AF$2:$AF$1001,0),1)&gt;=100000,INDEX($AM$1005:$BM$1005,1,MATCH(COLUMNS($AM$1006:AW1006),$AM$1006:$BM$1006,0))&gt;=100000), " ",IF(INDEX($AM$2:$BM$1001,MATCH(ROWS($AF$2:AF957),$AF$2:$AF$1001,0),MATCH(COLUMNS($AM$1006:AW1006),$AM$1006:$BM$1006,0)), HYPERLINK("#",""), HYPERLINK(CONCATENATE("#metadata!", ADDRESS(INDEX($AH$2:$AH$1001,MATCH(ROWS($AF$2:AF957),$AF$2:$AF$1001,0),0), INDEX($AM$1004:$BM$1004,1,MATCH(COLUMNS($AM$1006:AW1006),$AM$1006:$BM$1006,0)))),"Fix")))</f>
        <v xml:space="preserve"> </v>
      </c>
      <c r="M957" s="4" t="str">
        <f ca="1">IF(OR(INDEX($AG$2:$AG$1001,MATCH(ROWS($AF$2:AF957),$AF$2:$AF$1001,0),1)&gt;=100000,INDEX($AM$1005:$BM$1005,1,MATCH(COLUMNS($AM$1006:AX1006),$AM$1006:$BM$1006,0))&gt;=100000), " ",IF(INDEX($AM$2:$BM$1001,MATCH(ROWS($AF$2:AF957),$AF$2:$AF$1001,0),MATCH(COLUMNS($AM$1006:AX1006),$AM$1006:$BM$1006,0)), HYPERLINK("#",""), HYPERLINK(CONCATENATE("#metadata!", ADDRESS(INDEX($AH$2:$AH$1001,MATCH(ROWS($AF$2:AF957),$AF$2:$AF$1001,0),0), INDEX($AM$1004:$BM$1004,1,MATCH(COLUMNS($AM$1006:AX1006),$AM$1006:$BM$1006,0)))),"Fix")))</f>
        <v xml:space="preserve"> </v>
      </c>
      <c r="N957" s="4" t="str">
        <f ca="1">IF(OR(INDEX($AG$2:$AG$1001,MATCH(ROWS($AF$2:AF957),$AF$2:$AF$1001,0),1)&gt;=100000,INDEX($AM$1005:$BM$1005,1,MATCH(COLUMNS($AM$1006:AY1006),$AM$1006:$BM$1006,0))&gt;=100000), " ",IF(INDEX($AM$2:$BM$1001,MATCH(ROWS($AF$2:AF957),$AF$2:$AF$1001,0),MATCH(COLUMNS($AM$1006:AY1006),$AM$1006:$BM$1006,0)), HYPERLINK("#",""), HYPERLINK(CONCATENATE("#metadata!", ADDRESS(INDEX($AH$2:$AH$1001,MATCH(ROWS($AF$2:AF957),$AF$2:$AF$1001,0),0), INDEX($AM$1004:$BM$1004,1,MATCH(COLUMNS($AM$1006:AY1006),$AM$1006:$BM$1006,0)))),"Fix")))</f>
        <v xml:space="preserve"> </v>
      </c>
      <c r="O957" s="4" t="str">
        <f ca="1">IF(OR(INDEX($AG$2:$AG$1001,MATCH(ROWS($AF$2:AF957),$AF$2:$AF$1001,0),1)&gt;=100000,INDEX($AM$1005:$BM$1005,1,MATCH(COLUMNS($AM$1006:AZ1006),$AM$1006:$BM$1006,0))&gt;=100000), " ",IF(INDEX($AM$2:$BM$1001,MATCH(ROWS($AF$2:AF957),$AF$2:$AF$1001,0),MATCH(COLUMNS($AM$1006:AZ1006),$AM$1006:$BM$1006,0)), HYPERLINK("#",""), HYPERLINK(CONCATENATE("#metadata!", ADDRESS(INDEX($AH$2:$AH$1001,MATCH(ROWS($AF$2:AF957),$AF$2:$AF$1001,0),0), INDEX($AM$1004:$BM$1004,1,MATCH(COLUMNS($AM$1006:AZ1006),$AM$1006:$BM$1006,0)))),"Fix")))</f>
        <v xml:space="preserve"> </v>
      </c>
      <c r="P957" s="4" t="str">
        <f ca="1">IF(OR(INDEX($AG$2:$AG$1001,MATCH(ROWS($AF$2:AF957),$AF$2:$AF$1001,0),1)&gt;=100000,INDEX($AM$1005:$BM$1005,1,MATCH(COLUMNS($AM$1006:BA1006),$AM$1006:$BM$1006,0))&gt;=100000), " ",IF(INDEX($AM$2:$BM$1001,MATCH(ROWS($AF$2:AF957),$AF$2:$AF$1001,0),MATCH(COLUMNS($AM$1006:BA1006),$AM$1006:$BM$1006,0)), HYPERLINK("#",""), HYPERLINK(CONCATENATE("#metadata!", ADDRESS(INDEX($AH$2:$AH$1001,MATCH(ROWS($AF$2:AF957),$AF$2:$AF$1001,0),0), INDEX($AM$1004:$BM$1004,1,MATCH(COLUMNS($AM$1006:BA1006),$AM$1006:$BM$1006,0)))),"Fix")))</f>
        <v xml:space="preserve"> </v>
      </c>
      <c r="Q957" s="4" t="str">
        <f ca="1">IF(OR(INDEX($AG$2:$AG$1001,MATCH(ROWS($AF$2:AF957),$AF$2:$AF$1001,0),1)&gt;=100000,INDEX($AM$1005:$BM$1005,1,MATCH(COLUMNS($AM$1006:BB1006),$AM$1006:$BM$1006,0))&gt;=100000), " ",IF(INDEX($AM$2:$BM$1001,MATCH(ROWS($AF$2:AF957),$AF$2:$AF$1001,0),MATCH(COLUMNS($AM$1006:BB1006),$AM$1006:$BM$1006,0)), HYPERLINK("#",""), HYPERLINK(CONCATENATE("#metadata!", ADDRESS(INDEX($AH$2:$AH$1001,MATCH(ROWS($AF$2:AF957),$AF$2:$AF$1001,0),0), INDEX($AM$1004:$BM$1004,1,MATCH(COLUMNS($AM$1006:BB1006),$AM$1006:$BM$1006,0)))),"Fix")))</f>
        <v xml:space="preserve"> </v>
      </c>
      <c r="R957" s="4" t="str">
        <f ca="1">IF(OR(INDEX($AG$2:$AG$1001,MATCH(ROWS($AF$2:AF957),$AF$2:$AF$1001,0),1)&gt;=100000,INDEX($AM$1005:$BM$1005,1,MATCH(COLUMNS($AM$1006:BC1006),$AM$1006:$BM$1006,0))&gt;=100000), " ",IF(INDEX($AM$2:$BM$1001,MATCH(ROWS($AF$2:AF957),$AF$2:$AF$1001,0),MATCH(COLUMNS($AM$1006:BC1006),$AM$1006:$BM$1006,0)), HYPERLINK("#",""), HYPERLINK(CONCATENATE("#metadata!", ADDRESS(INDEX($AH$2:$AH$1001,MATCH(ROWS($AF$2:AF957),$AF$2:$AF$1001,0),0), INDEX($AM$1004:$BM$1004,1,MATCH(COLUMNS($AM$1006:BC1006),$AM$1006:$BM$1006,0)))),"Fix")))</f>
        <v xml:space="preserve"> </v>
      </c>
      <c r="S957" s="4" t="str">
        <f ca="1">IF(OR(INDEX($AG$2:$AG$1001,MATCH(ROWS($AF$2:AF957),$AF$2:$AF$1001,0),1)&gt;=100000,INDEX($AM$1005:$BM$1005,1,MATCH(COLUMNS($AM$1006:BD1006),$AM$1006:$BM$1006,0))&gt;=100000), " ",IF(INDEX($AM$2:$BM$1001,MATCH(ROWS($AF$2:AF957),$AF$2:$AF$1001,0),MATCH(COLUMNS($AM$1006:BD1006),$AM$1006:$BM$1006,0)), HYPERLINK("#",""), HYPERLINK(CONCATENATE("#metadata!", ADDRESS(INDEX($AH$2:$AH$1001,MATCH(ROWS($AF$2:AF957),$AF$2:$AF$1001,0),0), INDEX($AM$1004:$BM$1004,1,MATCH(COLUMNS($AM$1006:BD1006),$AM$1006:$BM$1006,0)))),"Fix")))</f>
        <v xml:space="preserve"> </v>
      </c>
      <c r="T957" s="4" t="str">
        <f ca="1">IF(OR(INDEX($AG$2:$AG$1001,MATCH(ROWS($AF$2:AF957),$AF$2:$AF$1001,0),1)&gt;=100000,INDEX($AM$1005:$BM$1005,1,MATCH(COLUMNS($AM$1006:BE1006),$AM$1006:$BM$1006,0))&gt;=100000), " ",IF(INDEX($AM$2:$BM$1001,MATCH(ROWS($AF$2:AF957),$AF$2:$AF$1001,0),MATCH(COLUMNS($AM$1006:BE1006),$AM$1006:$BM$1006,0)), HYPERLINK("#",""), HYPERLINK(CONCATENATE("#metadata!", ADDRESS(INDEX($AH$2:$AH$1001,MATCH(ROWS($AF$2:AF957),$AF$2:$AF$1001,0),0), INDEX($AM$1004:$BM$1004,1,MATCH(COLUMNS($AM$1006:BE1006),$AM$1006:$BM$1006,0)))),"Fix")))</f>
        <v xml:space="preserve"> </v>
      </c>
      <c r="U957" s="4" t="str">
        <f ca="1">IF(OR(INDEX($AG$2:$AG$1001,MATCH(ROWS($AF$2:AF957),$AF$2:$AF$1001,0),1)&gt;=100000,INDEX($AM$1005:$BM$1005,1,MATCH(COLUMNS($AM$1006:BF1006),$AM$1006:$BM$1006,0))&gt;=100000), " ",IF(INDEX($AM$2:$BM$1001,MATCH(ROWS($AF$2:AF957),$AF$2:$AF$1001,0),MATCH(COLUMNS($AM$1006:BF1006),$AM$1006:$BM$1006,0)), HYPERLINK("#",""), HYPERLINK(CONCATENATE("#metadata!", ADDRESS(INDEX($AH$2:$AH$1001,MATCH(ROWS($AF$2:AF957),$AF$2:$AF$1001,0),0), INDEX($AM$1004:$BM$1004,1,MATCH(COLUMNS($AM$1006:BF1006),$AM$1006:$BM$1006,0)))),"Fix")))</f>
        <v xml:space="preserve"> </v>
      </c>
      <c r="V957" s="4" t="str">
        <f ca="1">IF(OR(INDEX($AG$2:$AG$1001,MATCH(ROWS($AF$2:AF957),$AF$2:$AF$1001,0),1)&gt;=100000,INDEX($AM$1005:$BM$1005,1,MATCH(COLUMNS($AM$1006:BG1006),$AM$1006:$BM$1006,0))&gt;=100000), " ",IF(INDEX($AM$2:$BM$1001,MATCH(ROWS($AF$2:AF957),$AF$2:$AF$1001,0),MATCH(COLUMNS($AM$1006:BG1006),$AM$1006:$BM$1006,0)), HYPERLINK("#",""), HYPERLINK(CONCATENATE("#metadata!", ADDRESS(INDEX($AH$2:$AH$1001,MATCH(ROWS($AF$2:AF957),$AF$2:$AF$1001,0),0), INDEX($AM$1004:$BM$1004,1,MATCH(COLUMNS($AM$1006:BG1006),$AM$1006:$BM$1006,0)))),"Fix")))</f>
        <v xml:space="preserve"> </v>
      </c>
      <c r="W957" s="4" t="str">
        <f ca="1">IF(OR(INDEX($AG$2:$AG$1001,MATCH(ROWS($AF$2:AF957),$AF$2:$AF$1001,0),1)&gt;=100000,INDEX($AM$1005:$BM$1005,1,MATCH(COLUMNS($AM$1006:BH1006),$AM$1006:$BM$1006,0))&gt;=100000), " ",IF(INDEX($AM$2:$BM$1001,MATCH(ROWS($AF$2:AF957),$AF$2:$AF$1001,0),MATCH(COLUMNS($AM$1006:BH1006),$AM$1006:$BM$1006,0)), HYPERLINK("#",""), HYPERLINK(CONCATENATE("#metadata!", ADDRESS(INDEX($AH$2:$AH$1001,MATCH(ROWS($AF$2:AF957),$AF$2:$AF$1001,0),0), INDEX($AM$1004:$BM$1004,1,MATCH(COLUMNS($AM$1006:BH1006),$AM$1006:$BM$1006,0)))),"Fix")))</f>
        <v xml:space="preserve"> </v>
      </c>
      <c r="X957" s="4" t="str">
        <f ca="1">IF(OR(INDEX($AG$2:$AG$1001,MATCH(ROWS($AF$2:AF957),$AF$2:$AF$1001,0),1)&gt;=100000,INDEX($AM$1005:$BM$1005,1,MATCH(COLUMNS($AM$1006:BI1006),$AM$1006:$BM$1006,0))&gt;=100000), " ",IF(INDEX($AM$2:$BM$1001,MATCH(ROWS($AF$2:AF957),$AF$2:$AF$1001,0),MATCH(COLUMNS($AM$1006:BI1006),$AM$1006:$BM$1006,0)), HYPERLINK("#",""), HYPERLINK(CONCATENATE("#metadata!", ADDRESS(INDEX($AH$2:$AH$1001,MATCH(ROWS($AF$2:AF957),$AF$2:$AF$1001,0),0), INDEX($AM$1004:$BM$1004,1,MATCH(COLUMNS($AM$1006:BI1006),$AM$1006:$BM$1006,0)))),"Fix")))</f>
        <v xml:space="preserve"> </v>
      </c>
      <c r="Y957" s="4" t="str">
        <f ca="1">IF(OR(INDEX($AG$2:$AG$1001,MATCH(ROWS($AF$2:AF957),$AF$2:$AF$1001,0),1)&gt;=100000,INDEX($AM$1005:$BM$1005,1,MATCH(COLUMNS($AM$1006:BJ1006),$AM$1006:$BM$1006,0))&gt;=100000), " ",IF(INDEX($AM$2:$BM$1001,MATCH(ROWS($AF$2:AF957),$AF$2:$AF$1001,0),MATCH(COLUMNS($AM$1006:BJ1006),$AM$1006:$BM$1006,0)), HYPERLINK("#",""), HYPERLINK(CONCATENATE("#metadata!", ADDRESS(INDEX($AH$2:$AH$1001,MATCH(ROWS($AF$2:AF957),$AF$2:$AF$1001,0),0), INDEX($AM$1004:$BM$1004,1,MATCH(COLUMNS($AM$1006:BJ1006),$AM$1006:$BM$1006,0)))),"Fix")))</f>
        <v xml:space="preserve"> </v>
      </c>
      <c r="Z957" s="4" t="str">
        <f ca="1">IF(OR(INDEX($AG$2:$AG$1001,MATCH(ROWS($AF$2:AF957),$AF$2:$AF$1001,0),1)&gt;=100000,INDEX($AM$1005:$BM$1005,1,MATCH(COLUMNS($AM$1006:BK1006),$AM$1006:$BM$1006,0))&gt;=100000), " ",IF(INDEX($AM$2:$BM$1001,MATCH(ROWS($AF$2:AF957),$AF$2:$AF$1001,0),MATCH(COLUMNS($AM$1006:BK1006),$AM$1006:$BM$1006,0)), HYPERLINK("#",""), HYPERLINK(CONCATENATE("#metadata!", ADDRESS(INDEX($AH$2:$AH$1001,MATCH(ROWS($AF$2:AF957),$AF$2:$AF$1001,0),0), INDEX($AM$1004:$BM$1004,1,MATCH(COLUMNS($AM$1006:BK1006),$AM$1006:$BM$1006,0)))),"Fix")))</f>
        <v xml:space="preserve"> </v>
      </c>
      <c r="AA957" s="4" t="str">
        <f ca="1">IF(OR(INDEX($AG$2:$AG$1001,MATCH(ROWS($AF$2:AF957),$AF$2:$AF$1001,0),1)&gt;=100000,INDEX($AM$1005:$BM$1005,1,MATCH(COLUMNS($AM$1006:BL1006),$AM$1006:$BM$1006,0))&gt;=100000), " ",IF(INDEX($AM$2:$BM$1001,MATCH(ROWS($AF$2:AF957),$AF$2:$AF$1001,0),MATCH(COLUMNS($AM$1006:BL1006),$AM$1006:$BM$1006,0)), HYPERLINK("#",""), HYPERLINK(CONCATENATE("#metadata!", ADDRESS(INDEX($AH$2:$AH$1001,MATCH(ROWS($AF$2:AF957),$AF$2:$AF$1001,0),0), INDEX($AM$1004:$BM$1004,1,MATCH(COLUMNS($AM$1006:BL1006),$AM$1006:$BM$1006,0)))),"Fix")))</f>
        <v xml:space="preserve"> </v>
      </c>
      <c r="AB957" s="4" t="str">
        <f ca="1">IF(OR(INDEX($AG$2:$AG$1001,MATCH(ROWS($AF$2:AF957),$AF$2:$AF$1001,0),1)&gt;=100000,INDEX($AM$1005:$BM$1005,1,MATCH(COLUMNS($AM$1006:BM1006),$AM$1006:$BM$1006,0))&gt;=100000), " ",IF(INDEX($AM$2:$BM$1001,MATCH(ROWS($AF$2:AF957),$AF$2:$AF$1001,0),MATCH(COLUMNS($AM$1006:BM1006),$AM$1006:$BM$1006,0)), HYPERLINK("#",""), HYPERLINK(CONCATENATE("#metadata!", ADDRESS(INDEX($AH$2:$AH$1001,MATCH(ROWS($AF$2:AF957),$AF$2:$AF$1001,0),0), INDEX($AM$1004:$BM$1004,1,MATCH(COLUMNS($AM$1006:BM1006),$AM$1006:$BM$1006,0)))),"Fix")))</f>
        <v xml:space="preserve"> </v>
      </c>
      <c r="AF957">
        <v>956</v>
      </c>
      <c r="AG957">
        <v>100957</v>
      </c>
      <c r="AH957">
        <v>957</v>
      </c>
      <c r="AI957" t="b">
        <f t="shared" si="14"/>
        <v>1</v>
      </c>
      <c r="AJ957" t="b">
        <f>COUNTBLANK(metadata!B957:AB957)=COLUMNS(metadata!B957:AB957)</f>
        <v>1</v>
      </c>
      <c r="AK957" t="str">
        <v/>
      </c>
      <c r="AM957" t="b">
        <f ca="1">AND(IF(metadata!B957="",FALSE,TRUE),COUNTIF(metadata!B:B, metadata!B957) = 1,NOT(ISERROR(SUMPRODUCT(SEARCH(MID(metadata!B957,ROW(INDIRECT("1:"&amp;LEN(metadata!B957))), 1),"0123456789abcdefghijklmnopqrstuvwxyzABCDEFGHIJKLMNOPQRSTUVWXYZ.")))))</f>
        <v>0</v>
      </c>
      <c r="AN957" t="b">
        <f ca="1">OR(AND(IF(metadata!C957="",FALSE,TRUE),OR(EXACT(metadata!C957,"missing: not collected"),EXACT(metadata!C957,"missing: not provided"),EXACT(metadata!C957,"missing: restricted access"))),AND(IF(metadata!C957="",FALSE,TRUE),AND(AND(IFERROR(INT(LEFT(metadata!C957,4))&gt;1900,FALSE),IFERROR(INT(LEFT(metadata!C957,4))&lt;=YEAR(NOW()),FALSE)), OR(MID(metadata!C957,5,1)="", AND(AND(MID(metadata!C957,5,1)="-",IFERROR(INT(MID(metadata!C957,6,1))&gt;=0,FALSE),IFERROR(INT(MID(metadata!C957,6,1))&lt;=1,FALSE),NOT(MID(metadata!C957,7,1)=""),IFERROR(INT(MID(metadata!C957,6,2))&gt;=1,FALSE),IFERROR(INT(MID(metadata!C957,6,2))&lt;=12,FALSE)), OR(MID(metadata!C957,8,1)="", AND(AND(MID(metadata!C957,8,1)="-",IFERROR(INT(MID(metadata!C957,9,1))&gt;=0,FALSE),IFERROR(INT(MID(metadata!C957,9,1))&lt;=3,FALSE),NOT(MID(metadata!C957,10,1)=""),IFERROR(INT(MID(metadata!C957,9,2))&gt;=1,FALSE),IFERROR(INT(MID(metadata!C957,9,2))&lt;=31,FALSE)), OR(MID(metadata!C957,11,1)="", AND(AND(MID(metadata!C957,11,1)=" ",IFERROR(INT(MID(metadata!C957,12,1))&gt;=0,FALSE),IFERROR(INT(MID(metadata!C957,12,1))&lt;=2,FALSE),NOT(MID(metadata!C957,13,1)=""),IFERROR(INT(MID(metadata!C957,12,2))&gt;=0,FALSE),IFERROR(INT(MID(metadata!C957,12,2))&lt;=23,FALSE)), OR(MID(metadata!C957,14,1)="", AND(AND(MID(metadata!C957,14,1)=":",IFERROR(INT(MID(metadata!C957,15,1))&gt;=0,FALSE),IFERROR(INT(MID(metadata!C957,15,1))&lt;=5,FALSE),NOT(MID(metadata!C957,16,1)=""),IFERROR(INT(MID(metadata!C957,15,2))&gt;=0,FALSE),IFERROR(INT(MID(metadata!C957,15,2))&lt;=59,FALSE)), OR(MID(metadata!C957,17,1)="", AND(AND(MID(metadata!C957,17,1)=":",IFERROR(INT(MID(metadata!C957,18,1))&gt;=0,FALSE),IFERROR(INT(MID(metadata!C957,18,1))&lt;=5,FALSE),NOT(MID(metadata!C957,19,1)=""),IFERROR(INT(MID(metadata!C957,18,2))&gt;=0,FALSE),IFERROR(INT(MID(metadata!C957,18,2))&lt;=59,FALSE)), LEN(metadata!C957)&lt;=19)))))))))))))</f>
        <v>0</v>
      </c>
      <c r="AO957" t="b">
        <f>AND(IF(metadata!D957="",FALSE,TRUE),EXACT(metadata!D957,"Not applicable"))</f>
        <v>0</v>
      </c>
      <c r="AP957" t="b">
        <f>IF(metadata!E957="",FALSE,TRUE)</f>
        <v>0</v>
      </c>
      <c r="AQ957" t="b">
        <f>OR(AND(IF(metadata!F957="",FALSE,TRUE),OR(EXACT(metadata!F957,"missing: not collected"),EXACT(metadata!F957,"missing: not provided"))),AND(IF(metadata!F957="",FALSE,TRUE),OR(EXACT(metadata!F957,"TRUE"),EXACT(metadata!F957,"FALSE"))))</f>
        <v>0</v>
      </c>
      <c r="AR957" t="b">
        <f>OR(AND(IF(metadata!G957="",FALSE,TRUE),OR(EXACT(metadata!G957,"missing: not collected"),EXACT(metadata!G957,"missing: not provided"),EXACT(metadata!G957,"missing: restricted access"))),AND(IF(metadata!G957="",FALSE,ISNUMBER(VALUE(metadata!G957))),metadata!G957&gt;=-413))</f>
        <v>0</v>
      </c>
      <c r="AS957" t="b">
        <f>AND(IF(metadata!H957="",FALSE,TRUE),EXACT(metadata!H957,"meters"))</f>
        <v>0</v>
      </c>
      <c r="AT957" t="b">
        <f>AND(IF(metadata!I957="",FALSE,TRUE),OR(EXACT(metadata!I957,"Host-associated"),EXACT(metadata!I957,"Free-living")))</f>
        <v>0</v>
      </c>
      <c r="AU957" t="b">
        <f>AND(IF(metadata!J957="",FALSE,TRUE),OR(EXACT(metadata!J957,"Animal"),EXACT(metadata!J957,"Fungus"),EXACT(metadata!J957,"Plant"),EXACT(metadata!J957,"Saline"),EXACT(metadata!J957,"Non-saline")))</f>
        <v>0</v>
      </c>
      <c r="AV957" t="b">
        <f>AND(IF(metadata!K957="",FALSE,TRUE),OR(EXACT(metadata!K957,"Plant secretion"),EXACT(metadata!K957,"Plant rhizosphere"),EXACT(metadata!K957,"Plant surface"),EXACT(metadata!K957,"Plant corpus"),EXACT(metadata!K957,"Fungus surface"),EXACT(metadata!K957,"Fungus corpus"),EXACT(metadata!K957,"Animal surface"),EXACT(metadata!K957,"Animal proximal gut"),EXACT(metadata!K957,"Animal corpus"),EXACT(metadata!K957,"Animal distal gut"),EXACT(metadata!K957,"Animal secretion"),EXACT(metadata!K957,"Sub-surface (non-saline)"),EXACT(metadata!K957,"Surface (non-saline)"),EXACT(metadata!K957,"Water (non-saline)"),EXACT(metadata!K957,"Soil (non-saline)"),EXACT(metadata!K957,"Aerosol (non-saline)"),EXACT(metadata!K957,"Sediment (non-saline)"),EXACT(metadata!K957,"Surface (saline)"),EXACT(metadata!K957,"Water (saline)"),EXACT(metadata!K957,"Hypersaline (saline)"),EXACT(metadata!K957,"Aerosol (saline)"),EXACT(metadata!K957,"Sediment (saline)")))</f>
        <v>0</v>
      </c>
      <c r="AW957" t="b">
        <f>IF(metadata!L957="",FALSE,TRUE)</f>
        <v>0</v>
      </c>
      <c r="AX957" t="b">
        <f>IF(metadata!M957="",FALSE,TRUE)</f>
        <v>0</v>
      </c>
      <c r="AY957" t="b">
        <f>IF(metadata!N957="",FALSE,TRUE)</f>
        <v>0</v>
      </c>
      <c r="AZ957" t="b">
        <f>OR(AND(IF(metadata!O957="",FALSE,TRUE),OR(EXACT(metadata!O957,"missing: not collected"),EXACT(metadata!O957,"missing: not provided"),EXACT(metadata!O957,"missing: restricted access"))),AND(IF(metadata!O957="",FALSE,TRUE),OR(EXACT(metadata!O957,"air"),EXACT(metadata!O957,"built environment"),EXACT(metadata!O957,"host-associated"),EXACT(metadata!O957,"human-associated"),EXACT(metadata!O957,"human-skin"),EXACT(metadata!O957,"human-oral"),EXACT(metadata!O957,"human-gut"),EXACT(metadata!O957,"human-vaginal"),EXACT(metadata!O957,"microbial mat/biofilm"),EXACT(metadata!O957,"misc environment"),EXACT(metadata!O957,"plant-associated"),EXACT(metadata!O957,"sediment"),EXACT(metadata!O957,"soil"),EXACT(metadata!O957,"wastewater/sludge"),EXACT(metadata!O957,"water"))))</f>
        <v>0</v>
      </c>
      <c r="BA957" t="b">
        <f>IF(metadata!P957="",FALSE,TRUE)</f>
        <v>0</v>
      </c>
      <c r="BB957" t="b">
        <f>IF(metadata!Q957="",FALSE,TRUE)</f>
        <v>0</v>
      </c>
      <c r="BC957" t="b">
        <f>OR(AND(IF(metadata!R957="",FALSE,TRUE),OR(EXACT(metadata!R957,"missing: not collected"),EXACT(metadata!R957,"missing: not provided"),EXACT(metadata!R957,"missing: restricted access"))),AND(IF(metadata!R957="",FALSE,ISNUMBER(VALUE(metadata!R957))),metadata!R957&gt;=-90,metadata!R957&lt;=90))</f>
        <v>0</v>
      </c>
      <c r="BD957" t="b">
        <f>AND(IF(metadata!S957="",FALSE,TRUE),EXACT(metadata!S957,"Decimal degrees"))</f>
        <v>0</v>
      </c>
      <c r="BE957" t="b">
        <f>OR(AND(IF(metadata!T957="",FALSE,TRUE),OR(EXACT(metadata!T957,"missing: not collected"),EXACT(metadata!T957,"missing: not provided"),EXACT(metadata!T957,"missing: restricted access"))),AND(IF(metadata!T957="",FALSE,ISNUMBER(VALUE(metadata!T957))),metadata!T957&gt;=-180,metadata!T957&lt;=180))</f>
        <v>0</v>
      </c>
      <c r="BF957" t="b">
        <f>AND(IF(metadata!U957="",FALSE,TRUE),EXACT(metadata!U957,"Decimal degrees"))</f>
        <v>0</v>
      </c>
      <c r="BG957" t="b">
        <f>IF(metadata!V957="",FALSE,TRUE)</f>
        <v>0</v>
      </c>
      <c r="BH957" t="b">
        <f>OR(AND(IF(metadata!W957="",FALSE,TRUE),OR(EXACT(metadata!W957,"missing: not collected"),EXACT(metadata!W957,"missing: not provided"),EXACT(metadata!W957,"missing: restricted access"))),AND(IF(metadata!W957="",FALSE,TRUE),OR(EXACT(metadata!W957,"TRUE"),EXACT(metadata!W957,"FALSE"))))</f>
        <v>0</v>
      </c>
      <c r="BI957" t="b">
        <f>AND(IF(metadata!X957="",FALSE,TRUE),EXACT(metadata!X957,"other"))</f>
        <v>0</v>
      </c>
      <c r="BJ957" t="b">
        <f>IF(metadata!Y957="",FALSE,TRUE)</f>
        <v>0</v>
      </c>
      <c r="BK957" t="b">
        <f>OR(AND(IF(metadata!Z957="",FALSE,TRUE),OR(EXACT(metadata!Z957,"missing: not collected"),EXACT(metadata!Z957,"missing: not provided"))),AND(IF(metadata!Z957="",FALSE,IF(ISERROR(INT(metadata!Z957)),FALSE,INT(metadata!Z957)=metadata!Z957)),metadata!Z957&gt;0))</f>
        <v>0</v>
      </c>
      <c r="BL957" t="b">
        <f>AND(IF(metadata!AA957="",FALSE,TRUE),EXACT(metadata!AA957,"Not applicable"))</f>
        <v>0</v>
      </c>
      <c r="BM957" t="b">
        <f>IF(metadata!AB957="",FALSE,TRUE)</f>
        <v>0</v>
      </c>
    </row>
    <row r="958" spans="1:65" x14ac:dyDescent="0.2">
      <c r="A958" s="5" t="str">
        <f ca="1">IF(B958=" "," ",HYPERLINK(CONCATENATE("#metadata!",ADDRESS(INDEX($AH$2:$AH$1001,MATCH(ROWS($AF$2:AF958),$AF$2:$AF$1001,0),0),1)),INDEX($AK$2:$AK$1001,MATCH(ROWS($AF$2:AF958),$AF$2:$AF$1001,0),0)))</f>
        <v xml:space="preserve"> </v>
      </c>
      <c r="B958" s="4" t="str">
        <f ca="1">IF(OR(INDEX($AG$2:$AG$1001,MATCH(ROWS($AF$2:AF958),$AF$2:$AF$1001,0),1)&gt;=100000,INDEX($AM$1005:$BM$1005,1,MATCH(COLUMNS($AM$1006:AM1006),$AM$1006:$BM$1006,0))&gt;=100000), " ",IF(INDEX($AM$2:$BM$1001,MATCH(ROWS($AF$2:AF958),$AF$2:$AF$1001,0),MATCH(COLUMNS($AM$1006:AM1006),$AM$1006:$BM$1006,0)), HYPERLINK("#",""), HYPERLINK(CONCATENATE("#metadata!", ADDRESS(INDEX($AH$2:$AH$1001,MATCH(ROWS($AF$2:AF958),$AF$2:$AF$1001,0),0), INDEX($AM$1004:$BM$1004,1,MATCH(COLUMNS($AM$1006:AM1006),$AM$1006:$BM$1006,0)))),"Fix")))</f>
        <v xml:space="preserve"> </v>
      </c>
      <c r="C958" s="4" t="str">
        <f ca="1">IF(OR(INDEX($AG$2:$AG$1001,MATCH(ROWS($AF$2:AF958),$AF$2:$AF$1001,0),1)&gt;=100000,INDEX($AM$1005:$BM$1005,1,MATCH(COLUMNS($AM$1006:AN1006),$AM$1006:$BM$1006,0))&gt;=100000), " ",IF(INDEX($AM$2:$BM$1001,MATCH(ROWS($AF$2:AF958),$AF$2:$AF$1001,0),MATCH(COLUMNS($AM$1006:AN1006),$AM$1006:$BM$1006,0)), HYPERLINK("#",""), HYPERLINK(CONCATENATE("#metadata!", ADDRESS(INDEX($AH$2:$AH$1001,MATCH(ROWS($AF$2:AF958),$AF$2:$AF$1001,0),0), INDEX($AM$1004:$BM$1004,1,MATCH(COLUMNS($AM$1006:AN1006),$AM$1006:$BM$1006,0)))),"Fix")))</f>
        <v xml:space="preserve"> </v>
      </c>
      <c r="D958" s="4" t="str">
        <f ca="1">IF(OR(INDEX($AG$2:$AG$1001,MATCH(ROWS($AF$2:AF958),$AF$2:$AF$1001,0),1)&gt;=100000,INDEX($AM$1005:$BM$1005,1,MATCH(COLUMNS($AM$1006:AO1006),$AM$1006:$BM$1006,0))&gt;=100000), " ",IF(INDEX($AM$2:$BM$1001,MATCH(ROWS($AF$2:AF958),$AF$2:$AF$1001,0),MATCH(COLUMNS($AM$1006:AO1006),$AM$1006:$BM$1006,0)), HYPERLINK("#",""), HYPERLINK(CONCATENATE("#metadata!", ADDRESS(INDEX($AH$2:$AH$1001,MATCH(ROWS($AF$2:AF958),$AF$2:$AF$1001,0),0), INDEX($AM$1004:$BM$1004,1,MATCH(COLUMNS($AM$1006:AO1006),$AM$1006:$BM$1006,0)))),"Fix")))</f>
        <v xml:space="preserve"> </v>
      </c>
      <c r="E958" s="4" t="str">
        <f ca="1">IF(OR(INDEX($AG$2:$AG$1001,MATCH(ROWS($AF$2:AF958),$AF$2:$AF$1001,0),1)&gt;=100000,INDEX($AM$1005:$BM$1005,1,MATCH(COLUMNS($AM$1006:AP1006),$AM$1006:$BM$1006,0))&gt;=100000), " ",IF(INDEX($AM$2:$BM$1001,MATCH(ROWS($AF$2:AF958),$AF$2:$AF$1001,0),MATCH(COLUMNS($AM$1006:AP1006),$AM$1006:$BM$1006,0)), HYPERLINK("#",""), HYPERLINK(CONCATENATE("#metadata!", ADDRESS(INDEX($AH$2:$AH$1001,MATCH(ROWS($AF$2:AF958),$AF$2:$AF$1001,0),0), INDEX($AM$1004:$BM$1004,1,MATCH(COLUMNS($AM$1006:AP1006),$AM$1006:$BM$1006,0)))),"Fix")))</f>
        <v xml:space="preserve"> </v>
      </c>
      <c r="F958" s="4" t="str">
        <f ca="1">IF(OR(INDEX($AG$2:$AG$1001,MATCH(ROWS($AF$2:AF958),$AF$2:$AF$1001,0),1)&gt;=100000,INDEX($AM$1005:$BM$1005,1,MATCH(COLUMNS($AM$1006:AQ1006),$AM$1006:$BM$1006,0))&gt;=100000), " ",IF(INDEX($AM$2:$BM$1001,MATCH(ROWS($AF$2:AF958),$AF$2:$AF$1001,0),MATCH(COLUMNS($AM$1006:AQ1006),$AM$1006:$BM$1006,0)), HYPERLINK("#",""), HYPERLINK(CONCATENATE("#metadata!", ADDRESS(INDEX($AH$2:$AH$1001,MATCH(ROWS($AF$2:AF958),$AF$2:$AF$1001,0),0), INDEX($AM$1004:$BM$1004,1,MATCH(COLUMNS($AM$1006:AQ1006),$AM$1006:$BM$1006,0)))),"Fix")))</f>
        <v xml:space="preserve"> </v>
      </c>
      <c r="G958" s="4" t="str">
        <f ca="1">IF(OR(INDEX($AG$2:$AG$1001,MATCH(ROWS($AF$2:AF958),$AF$2:$AF$1001,0),1)&gt;=100000,INDEX($AM$1005:$BM$1005,1,MATCH(COLUMNS($AM$1006:AR1006),$AM$1006:$BM$1006,0))&gt;=100000), " ",IF(INDEX($AM$2:$BM$1001,MATCH(ROWS($AF$2:AF958),$AF$2:$AF$1001,0),MATCH(COLUMNS($AM$1006:AR1006),$AM$1006:$BM$1006,0)), HYPERLINK("#",""), HYPERLINK(CONCATENATE("#metadata!", ADDRESS(INDEX($AH$2:$AH$1001,MATCH(ROWS($AF$2:AF958),$AF$2:$AF$1001,0),0), INDEX($AM$1004:$BM$1004,1,MATCH(COLUMNS($AM$1006:AR1006),$AM$1006:$BM$1006,0)))),"Fix")))</f>
        <v xml:space="preserve"> </v>
      </c>
      <c r="H958" s="4" t="str">
        <f ca="1">IF(OR(INDEX($AG$2:$AG$1001,MATCH(ROWS($AF$2:AF958),$AF$2:$AF$1001,0),1)&gt;=100000,INDEX($AM$1005:$BM$1005,1,MATCH(COLUMNS($AM$1006:AS1006),$AM$1006:$BM$1006,0))&gt;=100000), " ",IF(INDEX($AM$2:$BM$1001,MATCH(ROWS($AF$2:AF958),$AF$2:$AF$1001,0),MATCH(COLUMNS($AM$1006:AS1006),$AM$1006:$BM$1006,0)), HYPERLINK("#",""), HYPERLINK(CONCATENATE("#metadata!", ADDRESS(INDEX($AH$2:$AH$1001,MATCH(ROWS($AF$2:AF958),$AF$2:$AF$1001,0),0), INDEX($AM$1004:$BM$1004,1,MATCH(COLUMNS($AM$1006:AS1006),$AM$1006:$BM$1006,0)))),"Fix")))</f>
        <v xml:space="preserve"> </v>
      </c>
      <c r="I958" s="4" t="str">
        <f ca="1">IF(OR(INDEX($AG$2:$AG$1001,MATCH(ROWS($AF$2:AF958),$AF$2:$AF$1001,0),1)&gt;=100000,INDEX($AM$1005:$BM$1005,1,MATCH(COLUMNS($AM$1006:AT1006),$AM$1006:$BM$1006,0))&gt;=100000), " ",IF(INDEX($AM$2:$BM$1001,MATCH(ROWS($AF$2:AF958),$AF$2:$AF$1001,0),MATCH(COLUMNS($AM$1006:AT1006),$AM$1006:$BM$1006,0)), HYPERLINK("#",""), HYPERLINK(CONCATENATE("#metadata!", ADDRESS(INDEX($AH$2:$AH$1001,MATCH(ROWS($AF$2:AF958),$AF$2:$AF$1001,0),0), INDEX($AM$1004:$BM$1004,1,MATCH(COLUMNS($AM$1006:AT1006),$AM$1006:$BM$1006,0)))),"Fix")))</f>
        <v xml:space="preserve"> </v>
      </c>
      <c r="J958" s="4" t="str">
        <f ca="1">IF(OR(INDEX($AG$2:$AG$1001,MATCH(ROWS($AF$2:AF958),$AF$2:$AF$1001,0),1)&gt;=100000,INDEX($AM$1005:$BM$1005,1,MATCH(COLUMNS($AM$1006:AU1006),$AM$1006:$BM$1006,0))&gt;=100000), " ",IF(INDEX($AM$2:$BM$1001,MATCH(ROWS($AF$2:AF958),$AF$2:$AF$1001,0),MATCH(COLUMNS($AM$1006:AU1006),$AM$1006:$BM$1006,0)), HYPERLINK("#",""), HYPERLINK(CONCATENATE("#metadata!", ADDRESS(INDEX($AH$2:$AH$1001,MATCH(ROWS($AF$2:AF958),$AF$2:$AF$1001,0),0), INDEX($AM$1004:$BM$1004,1,MATCH(COLUMNS($AM$1006:AU1006),$AM$1006:$BM$1006,0)))),"Fix")))</f>
        <v xml:space="preserve"> </v>
      </c>
      <c r="K958" s="4" t="str">
        <f ca="1">IF(OR(INDEX($AG$2:$AG$1001,MATCH(ROWS($AF$2:AF958),$AF$2:$AF$1001,0),1)&gt;=100000,INDEX($AM$1005:$BM$1005,1,MATCH(COLUMNS($AM$1006:AV1006),$AM$1006:$BM$1006,0))&gt;=100000), " ",IF(INDEX($AM$2:$BM$1001,MATCH(ROWS($AF$2:AF958),$AF$2:$AF$1001,0),MATCH(COLUMNS($AM$1006:AV1006),$AM$1006:$BM$1006,0)), HYPERLINK("#",""), HYPERLINK(CONCATENATE("#metadata!", ADDRESS(INDEX($AH$2:$AH$1001,MATCH(ROWS($AF$2:AF958),$AF$2:$AF$1001,0),0), INDEX($AM$1004:$BM$1004,1,MATCH(COLUMNS($AM$1006:AV1006),$AM$1006:$BM$1006,0)))),"Fix")))</f>
        <v xml:space="preserve"> </v>
      </c>
      <c r="L958" s="4" t="str">
        <f ca="1">IF(OR(INDEX($AG$2:$AG$1001,MATCH(ROWS($AF$2:AF958),$AF$2:$AF$1001,0),1)&gt;=100000,INDEX($AM$1005:$BM$1005,1,MATCH(COLUMNS($AM$1006:AW1006),$AM$1006:$BM$1006,0))&gt;=100000), " ",IF(INDEX($AM$2:$BM$1001,MATCH(ROWS($AF$2:AF958),$AF$2:$AF$1001,0),MATCH(COLUMNS($AM$1006:AW1006),$AM$1006:$BM$1006,0)), HYPERLINK("#",""), HYPERLINK(CONCATENATE("#metadata!", ADDRESS(INDEX($AH$2:$AH$1001,MATCH(ROWS($AF$2:AF958),$AF$2:$AF$1001,0),0), INDEX($AM$1004:$BM$1004,1,MATCH(COLUMNS($AM$1006:AW1006),$AM$1006:$BM$1006,0)))),"Fix")))</f>
        <v xml:space="preserve"> </v>
      </c>
      <c r="M958" s="4" t="str">
        <f ca="1">IF(OR(INDEX($AG$2:$AG$1001,MATCH(ROWS($AF$2:AF958),$AF$2:$AF$1001,0),1)&gt;=100000,INDEX($AM$1005:$BM$1005,1,MATCH(COLUMNS($AM$1006:AX1006),$AM$1006:$BM$1006,0))&gt;=100000), " ",IF(INDEX($AM$2:$BM$1001,MATCH(ROWS($AF$2:AF958),$AF$2:$AF$1001,0),MATCH(COLUMNS($AM$1006:AX1006),$AM$1006:$BM$1006,0)), HYPERLINK("#",""), HYPERLINK(CONCATENATE("#metadata!", ADDRESS(INDEX($AH$2:$AH$1001,MATCH(ROWS($AF$2:AF958),$AF$2:$AF$1001,0),0), INDEX($AM$1004:$BM$1004,1,MATCH(COLUMNS($AM$1006:AX1006),$AM$1006:$BM$1006,0)))),"Fix")))</f>
        <v xml:space="preserve"> </v>
      </c>
      <c r="N958" s="4" t="str">
        <f ca="1">IF(OR(INDEX($AG$2:$AG$1001,MATCH(ROWS($AF$2:AF958),$AF$2:$AF$1001,0),1)&gt;=100000,INDEX($AM$1005:$BM$1005,1,MATCH(COLUMNS($AM$1006:AY1006),$AM$1006:$BM$1006,0))&gt;=100000), " ",IF(INDEX($AM$2:$BM$1001,MATCH(ROWS($AF$2:AF958),$AF$2:$AF$1001,0),MATCH(COLUMNS($AM$1006:AY1006),$AM$1006:$BM$1006,0)), HYPERLINK("#",""), HYPERLINK(CONCATENATE("#metadata!", ADDRESS(INDEX($AH$2:$AH$1001,MATCH(ROWS($AF$2:AF958),$AF$2:$AF$1001,0),0), INDEX($AM$1004:$BM$1004,1,MATCH(COLUMNS($AM$1006:AY1006),$AM$1006:$BM$1006,0)))),"Fix")))</f>
        <v xml:space="preserve"> </v>
      </c>
      <c r="O958" s="4" t="str">
        <f ca="1">IF(OR(INDEX($AG$2:$AG$1001,MATCH(ROWS($AF$2:AF958),$AF$2:$AF$1001,0),1)&gt;=100000,INDEX($AM$1005:$BM$1005,1,MATCH(COLUMNS($AM$1006:AZ1006),$AM$1006:$BM$1006,0))&gt;=100000), " ",IF(INDEX($AM$2:$BM$1001,MATCH(ROWS($AF$2:AF958),$AF$2:$AF$1001,0),MATCH(COLUMNS($AM$1006:AZ1006),$AM$1006:$BM$1006,0)), HYPERLINK("#",""), HYPERLINK(CONCATENATE("#metadata!", ADDRESS(INDEX($AH$2:$AH$1001,MATCH(ROWS($AF$2:AF958),$AF$2:$AF$1001,0),0), INDEX($AM$1004:$BM$1004,1,MATCH(COLUMNS($AM$1006:AZ1006),$AM$1006:$BM$1006,0)))),"Fix")))</f>
        <v xml:space="preserve"> </v>
      </c>
      <c r="P958" s="4" t="str">
        <f ca="1">IF(OR(INDEX($AG$2:$AG$1001,MATCH(ROWS($AF$2:AF958),$AF$2:$AF$1001,0),1)&gt;=100000,INDEX($AM$1005:$BM$1005,1,MATCH(COLUMNS($AM$1006:BA1006),$AM$1006:$BM$1006,0))&gt;=100000), " ",IF(INDEX($AM$2:$BM$1001,MATCH(ROWS($AF$2:AF958),$AF$2:$AF$1001,0),MATCH(COLUMNS($AM$1006:BA1006),$AM$1006:$BM$1006,0)), HYPERLINK("#",""), HYPERLINK(CONCATENATE("#metadata!", ADDRESS(INDEX($AH$2:$AH$1001,MATCH(ROWS($AF$2:AF958),$AF$2:$AF$1001,0),0), INDEX($AM$1004:$BM$1004,1,MATCH(COLUMNS($AM$1006:BA1006),$AM$1006:$BM$1006,0)))),"Fix")))</f>
        <v xml:space="preserve"> </v>
      </c>
      <c r="Q958" s="4" t="str">
        <f ca="1">IF(OR(INDEX($AG$2:$AG$1001,MATCH(ROWS($AF$2:AF958),$AF$2:$AF$1001,0),1)&gt;=100000,INDEX($AM$1005:$BM$1005,1,MATCH(COLUMNS($AM$1006:BB1006),$AM$1006:$BM$1006,0))&gt;=100000), " ",IF(INDEX($AM$2:$BM$1001,MATCH(ROWS($AF$2:AF958),$AF$2:$AF$1001,0),MATCH(COLUMNS($AM$1006:BB1006),$AM$1006:$BM$1006,0)), HYPERLINK("#",""), HYPERLINK(CONCATENATE("#metadata!", ADDRESS(INDEX($AH$2:$AH$1001,MATCH(ROWS($AF$2:AF958),$AF$2:$AF$1001,0),0), INDEX($AM$1004:$BM$1004,1,MATCH(COLUMNS($AM$1006:BB1006),$AM$1006:$BM$1006,0)))),"Fix")))</f>
        <v xml:space="preserve"> </v>
      </c>
      <c r="R958" s="4" t="str">
        <f ca="1">IF(OR(INDEX($AG$2:$AG$1001,MATCH(ROWS($AF$2:AF958),$AF$2:$AF$1001,0),1)&gt;=100000,INDEX($AM$1005:$BM$1005,1,MATCH(COLUMNS($AM$1006:BC1006),$AM$1006:$BM$1006,0))&gt;=100000), " ",IF(INDEX($AM$2:$BM$1001,MATCH(ROWS($AF$2:AF958),$AF$2:$AF$1001,0),MATCH(COLUMNS($AM$1006:BC1006),$AM$1006:$BM$1006,0)), HYPERLINK("#",""), HYPERLINK(CONCATENATE("#metadata!", ADDRESS(INDEX($AH$2:$AH$1001,MATCH(ROWS($AF$2:AF958),$AF$2:$AF$1001,0),0), INDEX($AM$1004:$BM$1004,1,MATCH(COLUMNS($AM$1006:BC1006),$AM$1006:$BM$1006,0)))),"Fix")))</f>
        <v xml:space="preserve"> </v>
      </c>
      <c r="S958" s="4" t="str">
        <f ca="1">IF(OR(INDEX($AG$2:$AG$1001,MATCH(ROWS($AF$2:AF958),$AF$2:$AF$1001,0),1)&gt;=100000,INDEX($AM$1005:$BM$1005,1,MATCH(COLUMNS($AM$1006:BD1006),$AM$1006:$BM$1006,0))&gt;=100000), " ",IF(INDEX($AM$2:$BM$1001,MATCH(ROWS($AF$2:AF958),$AF$2:$AF$1001,0),MATCH(COLUMNS($AM$1006:BD1006),$AM$1006:$BM$1006,0)), HYPERLINK("#",""), HYPERLINK(CONCATENATE("#metadata!", ADDRESS(INDEX($AH$2:$AH$1001,MATCH(ROWS($AF$2:AF958),$AF$2:$AF$1001,0),0), INDEX($AM$1004:$BM$1004,1,MATCH(COLUMNS($AM$1006:BD1006),$AM$1006:$BM$1006,0)))),"Fix")))</f>
        <v xml:space="preserve"> </v>
      </c>
      <c r="T958" s="4" t="str">
        <f ca="1">IF(OR(INDEX($AG$2:$AG$1001,MATCH(ROWS($AF$2:AF958),$AF$2:$AF$1001,0),1)&gt;=100000,INDEX($AM$1005:$BM$1005,1,MATCH(COLUMNS($AM$1006:BE1006),$AM$1006:$BM$1006,0))&gt;=100000), " ",IF(INDEX($AM$2:$BM$1001,MATCH(ROWS($AF$2:AF958),$AF$2:$AF$1001,0),MATCH(COLUMNS($AM$1006:BE1006),$AM$1006:$BM$1006,0)), HYPERLINK("#",""), HYPERLINK(CONCATENATE("#metadata!", ADDRESS(INDEX($AH$2:$AH$1001,MATCH(ROWS($AF$2:AF958),$AF$2:$AF$1001,0),0), INDEX($AM$1004:$BM$1004,1,MATCH(COLUMNS($AM$1006:BE1006),$AM$1006:$BM$1006,0)))),"Fix")))</f>
        <v xml:space="preserve"> </v>
      </c>
      <c r="U958" s="4" t="str">
        <f ca="1">IF(OR(INDEX($AG$2:$AG$1001,MATCH(ROWS($AF$2:AF958),$AF$2:$AF$1001,0),1)&gt;=100000,INDEX($AM$1005:$BM$1005,1,MATCH(COLUMNS($AM$1006:BF1006),$AM$1006:$BM$1006,0))&gt;=100000), " ",IF(INDEX($AM$2:$BM$1001,MATCH(ROWS($AF$2:AF958),$AF$2:$AF$1001,0),MATCH(COLUMNS($AM$1006:BF1006),$AM$1006:$BM$1006,0)), HYPERLINK("#",""), HYPERLINK(CONCATENATE("#metadata!", ADDRESS(INDEX($AH$2:$AH$1001,MATCH(ROWS($AF$2:AF958),$AF$2:$AF$1001,0),0), INDEX($AM$1004:$BM$1004,1,MATCH(COLUMNS($AM$1006:BF1006),$AM$1006:$BM$1006,0)))),"Fix")))</f>
        <v xml:space="preserve"> </v>
      </c>
      <c r="V958" s="4" t="str">
        <f ca="1">IF(OR(INDEX($AG$2:$AG$1001,MATCH(ROWS($AF$2:AF958),$AF$2:$AF$1001,0),1)&gt;=100000,INDEX($AM$1005:$BM$1005,1,MATCH(COLUMNS($AM$1006:BG1006),$AM$1006:$BM$1006,0))&gt;=100000), " ",IF(INDEX($AM$2:$BM$1001,MATCH(ROWS($AF$2:AF958),$AF$2:$AF$1001,0),MATCH(COLUMNS($AM$1006:BG1006),$AM$1006:$BM$1006,0)), HYPERLINK("#",""), HYPERLINK(CONCATENATE("#metadata!", ADDRESS(INDEX($AH$2:$AH$1001,MATCH(ROWS($AF$2:AF958),$AF$2:$AF$1001,0),0), INDEX($AM$1004:$BM$1004,1,MATCH(COLUMNS($AM$1006:BG1006),$AM$1006:$BM$1006,0)))),"Fix")))</f>
        <v xml:space="preserve"> </v>
      </c>
      <c r="W958" s="4" t="str">
        <f ca="1">IF(OR(INDEX($AG$2:$AG$1001,MATCH(ROWS($AF$2:AF958),$AF$2:$AF$1001,0),1)&gt;=100000,INDEX($AM$1005:$BM$1005,1,MATCH(COLUMNS($AM$1006:BH1006),$AM$1006:$BM$1006,0))&gt;=100000), " ",IF(INDEX($AM$2:$BM$1001,MATCH(ROWS($AF$2:AF958),$AF$2:$AF$1001,0),MATCH(COLUMNS($AM$1006:BH1006),$AM$1006:$BM$1006,0)), HYPERLINK("#",""), HYPERLINK(CONCATENATE("#metadata!", ADDRESS(INDEX($AH$2:$AH$1001,MATCH(ROWS($AF$2:AF958),$AF$2:$AF$1001,0),0), INDEX($AM$1004:$BM$1004,1,MATCH(COLUMNS($AM$1006:BH1006),$AM$1006:$BM$1006,0)))),"Fix")))</f>
        <v xml:space="preserve"> </v>
      </c>
      <c r="X958" s="4" t="str">
        <f ca="1">IF(OR(INDEX($AG$2:$AG$1001,MATCH(ROWS($AF$2:AF958),$AF$2:$AF$1001,0),1)&gt;=100000,INDEX($AM$1005:$BM$1005,1,MATCH(COLUMNS($AM$1006:BI1006),$AM$1006:$BM$1006,0))&gt;=100000), " ",IF(INDEX($AM$2:$BM$1001,MATCH(ROWS($AF$2:AF958),$AF$2:$AF$1001,0),MATCH(COLUMNS($AM$1006:BI1006),$AM$1006:$BM$1006,0)), HYPERLINK("#",""), HYPERLINK(CONCATENATE("#metadata!", ADDRESS(INDEX($AH$2:$AH$1001,MATCH(ROWS($AF$2:AF958),$AF$2:$AF$1001,0),0), INDEX($AM$1004:$BM$1004,1,MATCH(COLUMNS($AM$1006:BI1006),$AM$1006:$BM$1006,0)))),"Fix")))</f>
        <v xml:space="preserve"> </v>
      </c>
      <c r="Y958" s="4" t="str">
        <f ca="1">IF(OR(INDEX($AG$2:$AG$1001,MATCH(ROWS($AF$2:AF958),$AF$2:$AF$1001,0),1)&gt;=100000,INDEX($AM$1005:$BM$1005,1,MATCH(COLUMNS($AM$1006:BJ1006),$AM$1006:$BM$1006,0))&gt;=100000), " ",IF(INDEX($AM$2:$BM$1001,MATCH(ROWS($AF$2:AF958),$AF$2:$AF$1001,0),MATCH(COLUMNS($AM$1006:BJ1006),$AM$1006:$BM$1006,0)), HYPERLINK("#",""), HYPERLINK(CONCATENATE("#metadata!", ADDRESS(INDEX($AH$2:$AH$1001,MATCH(ROWS($AF$2:AF958),$AF$2:$AF$1001,0),0), INDEX($AM$1004:$BM$1004,1,MATCH(COLUMNS($AM$1006:BJ1006),$AM$1006:$BM$1006,0)))),"Fix")))</f>
        <v xml:space="preserve"> </v>
      </c>
      <c r="Z958" s="4" t="str">
        <f ca="1">IF(OR(INDEX($AG$2:$AG$1001,MATCH(ROWS($AF$2:AF958),$AF$2:$AF$1001,0),1)&gt;=100000,INDEX($AM$1005:$BM$1005,1,MATCH(COLUMNS($AM$1006:BK1006),$AM$1006:$BM$1006,0))&gt;=100000), " ",IF(INDEX($AM$2:$BM$1001,MATCH(ROWS($AF$2:AF958),$AF$2:$AF$1001,0),MATCH(COLUMNS($AM$1006:BK1006),$AM$1006:$BM$1006,0)), HYPERLINK("#",""), HYPERLINK(CONCATENATE("#metadata!", ADDRESS(INDEX($AH$2:$AH$1001,MATCH(ROWS($AF$2:AF958),$AF$2:$AF$1001,0),0), INDEX($AM$1004:$BM$1004,1,MATCH(COLUMNS($AM$1006:BK1006),$AM$1006:$BM$1006,0)))),"Fix")))</f>
        <v xml:space="preserve"> </v>
      </c>
      <c r="AA958" s="4" t="str">
        <f ca="1">IF(OR(INDEX($AG$2:$AG$1001,MATCH(ROWS($AF$2:AF958),$AF$2:$AF$1001,0),1)&gt;=100000,INDEX($AM$1005:$BM$1005,1,MATCH(COLUMNS($AM$1006:BL1006),$AM$1006:$BM$1006,0))&gt;=100000), " ",IF(INDEX($AM$2:$BM$1001,MATCH(ROWS($AF$2:AF958),$AF$2:$AF$1001,0),MATCH(COLUMNS($AM$1006:BL1006),$AM$1006:$BM$1006,0)), HYPERLINK("#",""), HYPERLINK(CONCATENATE("#metadata!", ADDRESS(INDEX($AH$2:$AH$1001,MATCH(ROWS($AF$2:AF958),$AF$2:$AF$1001,0),0), INDEX($AM$1004:$BM$1004,1,MATCH(COLUMNS($AM$1006:BL1006),$AM$1006:$BM$1006,0)))),"Fix")))</f>
        <v xml:space="preserve"> </v>
      </c>
      <c r="AB958" s="4" t="str">
        <f ca="1">IF(OR(INDEX($AG$2:$AG$1001,MATCH(ROWS($AF$2:AF958),$AF$2:$AF$1001,0),1)&gt;=100000,INDEX($AM$1005:$BM$1005,1,MATCH(COLUMNS($AM$1006:BM1006),$AM$1006:$BM$1006,0))&gt;=100000), " ",IF(INDEX($AM$2:$BM$1001,MATCH(ROWS($AF$2:AF958),$AF$2:$AF$1001,0),MATCH(COLUMNS($AM$1006:BM1006),$AM$1006:$BM$1006,0)), HYPERLINK("#",""), HYPERLINK(CONCATENATE("#metadata!", ADDRESS(INDEX($AH$2:$AH$1001,MATCH(ROWS($AF$2:AF958),$AF$2:$AF$1001,0),0), INDEX($AM$1004:$BM$1004,1,MATCH(COLUMNS($AM$1006:BM1006),$AM$1006:$BM$1006,0)))),"Fix")))</f>
        <v xml:space="preserve"> </v>
      </c>
      <c r="AF958">
        <v>957</v>
      </c>
      <c r="AG958">
        <v>100958</v>
      </c>
      <c r="AH958">
        <v>958</v>
      </c>
      <c r="AI958" t="b">
        <f t="shared" si="14"/>
        <v>1</v>
      </c>
      <c r="AJ958" t="b">
        <f>COUNTBLANK(metadata!B958:AB958)=COLUMNS(metadata!B958:AB958)</f>
        <v>1</v>
      </c>
      <c r="AK958" t="str">
        <v/>
      </c>
      <c r="AM958" t="b">
        <f ca="1">AND(IF(metadata!B958="",FALSE,TRUE),COUNTIF(metadata!B:B, metadata!B958) = 1,NOT(ISERROR(SUMPRODUCT(SEARCH(MID(metadata!B958,ROW(INDIRECT("1:"&amp;LEN(metadata!B958))), 1),"0123456789abcdefghijklmnopqrstuvwxyzABCDEFGHIJKLMNOPQRSTUVWXYZ.")))))</f>
        <v>0</v>
      </c>
      <c r="AN958" t="b">
        <f ca="1">OR(AND(IF(metadata!C958="",FALSE,TRUE),OR(EXACT(metadata!C958,"missing: not collected"),EXACT(metadata!C958,"missing: not provided"),EXACT(metadata!C958,"missing: restricted access"))),AND(IF(metadata!C958="",FALSE,TRUE),AND(AND(IFERROR(INT(LEFT(metadata!C958,4))&gt;1900,FALSE),IFERROR(INT(LEFT(metadata!C958,4))&lt;=YEAR(NOW()),FALSE)), OR(MID(metadata!C958,5,1)="", AND(AND(MID(metadata!C958,5,1)="-",IFERROR(INT(MID(metadata!C958,6,1))&gt;=0,FALSE),IFERROR(INT(MID(metadata!C958,6,1))&lt;=1,FALSE),NOT(MID(metadata!C958,7,1)=""),IFERROR(INT(MID(metadata!C958,6,2))&gt;=1,FALSE),IFERROR(INT(MID(metadata!C958,6,2))&lt;=12,FALSE)), OR(MID(metadata!C958,8,1)="", AND(AND(MID(metadata!C958,8,1)="-",IFERROR(INT(MID(metadata!C958,9,1))&gt;=0,FALSE),IFERROR(INT(MID(metadata!C958,9,1))&lt;=3,FALSE),NOT(MID(metadata!C958,10,1)=""),IFERROR(INT(MID(metadata!C958,9,2))&gt;=1,FALSE),IFERROR(INT(MID(metadata!C958,9,2))&lt;=31,FALSE)), OR(MID(metadata!C958,11,1)="", AND(AND(MID(metadata!C958,11,1)=" ",IFERROR(INT(MID(metadata!C958,12,1))&gt;=0,FALSE),IFERROR(INT(MID(metadata!C958,12,1))&lt;=2,FALSE),NOT(MID(metadata!C958,13,1)=""),IFERROR(INT(MID(metadata!C958,12,2))&gt;=0,FALSE),IFERROR(INT(MID(metadata!C958,12,2))&lt;=23,FALSE)), OR(MID(metadata!C958,14,1)="", AND(AND(MID(metadata!C958,14,1)=":",IFERROR(INT(MID(metadata!C958,15,1))&gt;=0,FALSE),IFERROR(INT(MID(metadata!C958,15,1))&lt;=5,FALSE),NOT(MID(metadata!C958,16,1)=""),IFERROR(INT(MID(metadata!C958,15,2))&gt;=0,FALSE),IFERROR(INT(MID(metadata!C958,15,2))&lt;=59,FALSE)), OR(MID(metadata!C958,17,1)="", AND(AND(MID(metadata!C958,17,1)=":",IFERROR(INT(MID(metadata!C958,18,1))&gt;=0,FALSE),IFERROR(INT(MID(metadata!C958,18,1))&lt;=5,FALSE),NOT(MID(metadata!C958,19,1)=""),IFERROR(INT(MID(metadata!C958,18,2))&gt;=0,FALSE),IFERROR(INT(MID(metadata!C958,18,2))&lt;=59,FALSE)), LEN(metadata!C958)&lt;=19)))))))))))))</f>
        <v>0</v>
      </c>
      <c r="AO958" t="b">
        <f>AND(IF(metadata!D958="",FALSE,TRUE),EXACT(metadata!D958,"Not applicable"))</f>
        <v>0</v>
      </c>
      <c r="AP958" t="b">
        <f>IF(metadata!E958="",FALSE,TRUE)</f>
        <v>0</v>
      </c>
      <c r="AQ958" t="b">
        <f>OR(AND(IF(metadata!F958="",FALSE,TRUE),OR(EXACT(metadata!F958,"missing: not collected"),EXACT(metadata!F958,"missing: not provided"))),AND(IF(metadata!F958="",FALSE,TRUE),OR(EXACT(metadata!F958,"TRUE"),EXACT(metadata!F958,"FALSE"))))</f>
        <v>0</v>
      </c>
      <c r="AR958" t="b">
        <f>OR(AND(IF(metadata!G958="",FALSE,TRUE),OR(EXACT(metadata!G958,"missing: not collected"),EXACT(metadata!G958,"missing: not provided"),EXACT(metadata!G958,"missing: restricted access"))),AND(IF(metadata!G958="",FALSE,ISNUMBER(VALUE(metadata!G958))),metadata!G958&gt;=-413))</f>
        <v>0</v>
      </c>
      <c r="AS958" t="b">
        <f>AND(IF(metadata!H958="",FALSE,TRUE),EXACT(metadata!H958,"meters"))</f>
        <v>0</v>
      </c>
      <c r="AT958" t="b">
        <f>AND(IF(metadata!I958="",FALSE,TRUE),OR(EXACT(metadata!I958,"Host-associated"),EXACT(metadata!I958,"Free-living")))</f>
        <v>0</v>
      </c>
      <c r="AU958" t="b">
        <f>AND(IF(metadata!J958="",FALSE,TRUE),OR(EXACT(metadata!J958,"Animal"),EXACT(metadata!J958,"Fungus"),EXACT(metadata!J958,"Plant"),EXACT(metadata!J958,"Saline"),EXACT(metadata!J958,"Non-saline")))</f>
        <v>0</v>
      </c>
      <c r="AV958" t="b">
        <f>AND(IF(metadata!K958="",FALSE,TRUE),OR(EXACT(metadata!K958,"Plant secretion"),EXACT(metadata!K958,"Plant rhizosphere"),EXACT(metadata!K958,"Plant surface"),EXACT(metadata!K958,"Plant corpus"),EXACT(metadata!K958,"Fungus surface"),EXACT(metadata!K958,"Fungus corpus"),EXACT(metadata!K958,"Animal surface"),EXACT(metadata!K958,"Animal proximal gut"),EXACT(metadata!K958,"Animal corpus"),EXACT(metadata!K958,"Animal distal gut"),EXACT(metadata!K958,"Animal secretion"),EXACT(metadata!K958,"Sub-surface (non-saline)"),EXACT(metadata!K958,"Surface (non-saline)"),EXACT(metadata!K958,"Water (non-saline)"),EXACT(metadata!K958,"Soil (non-saline)"),EXACT(metadata!K958,"Aerosol (non-saline)"),EXACT(metadata!K958,"Sediment (non-saline)"),EXACT(metadata!K958,"Surface (saline)"),EXACT(metadata!K958,"Water (saline)"),EXACT(metadata!K958,"Hypersaline (saline)"),EXACT(metadata!K958,"Aerosol (saline)"),EXACT(metadata!K958,"Sediment (saline)")))</f>
        <v>0</v>
      </c>
      <c r="AW958" t="b">
        <f>IF(metadata!L958="",FALSE,TRUE)</f>
        <v>0</v>
      </c>
      <c r="AX958" t="b">
        <f>IF(metadata!M958="",FALSE,TRUE)</f>
        <v>0</v>
      </c>
      <c r="AY958" t="b">
        <f>IF(metadata!N958="",FALSE,TRUE)</f>
        <v>0</v>
      </c>
      <c r="AZ958" t="b">
        <f>OR(AND(IF(metadata!O958="",FALSE,TRUE),OR(EXACT(metadata!O958,"missing: not collected"),EXACT(metadata!O958,"missing: not provided"),EXACT(metadata!O958,"missing: restricted access"))),AND(IF(metadata!O958="",FALSE,TRUE),OR(EXACT(metadata!O958,"air"),EXACT(metadata!O958,"built environment"),EXACT(metadata!O958,"host-associated"),EXACT(metadata!O958,"human-associated"),EXACT(metadata!O958,"human-skin"),EXACT(metadata!O958,"human-oral"),EXACT(metadata!O958,"human-gut"),EXACT(metadata!O958,"human-vaginal"),EXACT(metadata!O958,"microbial mat/biofilm"),EXACT(metadata!O958,"misc environment"),EXACT(metadata!O958,"plant-associated"),EXACT(metadata!O958,"sediment"),EXACT(metadata!O958,"soil"),EXACT(metadata!O958,"wastewater/sludge"),EXACT(metadata!O958,"water"))))</f>
        <v>0</v>
      </c>
      <c r="BA958" t="b">
        <f>IF(metadata!P958="",FALSE,TRUE)</f>
        <v>0</v>
      </c>
      <c r="BB958" t="b">
        <f>IF(metadata!Q958="",FALSE,TRUE)</f>
        <v>0</v>
      </c>
      <c r="BC958" t="b">
        <f>OR(AND(IF(metadata!R958="",FALSE,TRUE),OR(EXACT(metadata!R958,"missing: not collected"),EXACT(metadata!R958,"missing: not provided"),EXACT(metadata!R958,"missing: restricted access"))),AND(IF(metadata!R958="",FALSE,ISNUMBER(VALUE(metadata!R958))),metadata!R958&gt;=-90,metadata!R958&lt;=90))</f>
        <v>0</v>
      </c>
      <c r="BD958" t="b">
        <f>AND(IF(metadata!S958="",FALSE,TRUE),EXACT(metadata!S958,"Decimal degrees"))</f>
        <v>0</v>
      </c>
      <c r="BE958" t="b">
        <f>OR(AND(IF(metadata!T958="",FALSE,TRUE),OR(EXACT(metadata!T958,"missing: not collected"),EXACT(metadata!T958,"missing: not provided"),EXACT(metadata!T958,"missing: restricted access"))),AND(IF(metadata!T958="",FALSE,ISNUMBER(VALUE(metadata!T958))),metadata!T958&gt;=-180,metadata!T958&lt;=180))</f>
        <v>0</v>
      </c>
      <c r="BF958" t="b">
        <f>AND(IF(metadata!U958="",FALSE,TRUE),EXACT(metadata!U958,"Decimal degrees"))</f>
        <v>0</v>
      </c>
      <c r="BG958" t="b">
        <f>IF(metadata!V958="",FALSE,TRUE)</f>
        <v>0</v>
      </c>
      <c r="BH958" t="b">
        <f>OR(AND(IF(metadata!W958="",FALSE,TRUE),OR(EXACT(metadata!W958,"missing: not collected"),EXACT(metadata!W958,"missing: not provided"),EXACT(metadata!W958,"missing: restricted access"))),AND(IF(metadata!W958="",FALSE,TRUE),OR(EXACT(metadata!W958,"TRUE"),EXACT(metadata!W958,"FALSE"))))</f>
        <v>0</v>
      </c>
      <c r="BI958" t="b">
        <f>AND(IF(metadata!X958="",FALSE,TRUE),EXACT(metadata!X958,"other"))</f>
        <v>0</v>
      </c>
      <c r="BJ958" t="b">
        <f>IF(metadata!Y958="",FALSE,TRUE)</f>
        <v>0</v>
      </c>
      <c r="BK958" t="b">
        <f>OR(AND(IF(metadata!Z958="",FALSE,TRUE),OR(EXACT(metadata!Z958,"missing: not collected"),EXACT(metadata!Z958,"missing: not provided"))),AND(IF(metadata!Z958="",FALSE,IF(ISERROR(INT(metadata!Z958)),FALSE,INT(metadata!Z958)=metadata!Z958)),metadata!Z958&gt;0))</f>
        <v>0</v>
      </c>
      <c r="BL958" t="b">
        <f>AND(IF(metadata!AA958="",FALSE,TRUE),EXACT(metadata!AA958,"Not applicable"))</f>
        <v>0</v>
      </c>
      <c r="BM958" t="b">
        <f>IF(metadata!AB958="",FALSE,TRUE)</f>
        <v>0</v>
      </c>
    </row>
    <row r="959" spans="1:65" x14ac:dyDescent="0.2">
      <c r="A959" s="5" t="str">
        <f ca="1">IF(B959=" "," ",HYPERLINK(CONCATENATE("#metadata!",ADDRESS(INDEX($AH$2:$AH$1001,MATCH(ROWS($AF$2:AF959),$AF$2:$AF$1001,0),0),1)),INDEX($AK$2:$AK$1001,MATCH(ROWS($AF$2:AF959),$AF$2:$AF$1001,0),0)))</f>
        <v xml:space="preserve"> </v>
      </c>
      <c r="B959" s="4" t="str">
        <f ca="1">IF(OR(INDEX($AG$2:$AG$1001,MATCH(ROWS($AF$2:AF959),$AF$2:$AF$1001,0),1)&gt;=100000,INDEX($AM$1005:$BM$1005,1,MATCH(COLUMNS($AM$1006:AM1006),$AM$1006:$BM$1006,0))&gt;=100000), " ",IF(INDEX($AM$2:$BM$1001,MATCH(ROWS($AF$2:AF959),$AF$2:$AF$1001,0),MATCH(COLUMNS($AM$1006:AM1006),$AM$1006:$BM$1006,0)), HYPERLINK("#",""), HYPERLINK(CONCATENATE("#metadata!", ADDRESS(INDEX($AH$2:$AH$1001,MATCH(ROWS($AF$2:AF959),$AF$2:$AF$1001,0),0), INDEX($AM$1004:$BM$1004,1,MATCH(COLUMNS($AM$1006:AM1006),$AM$1006:$BM$1006,0)))),"Fix")))</f>
        <v xml:space="preserve"> </v>
      </c>
      <c r="C959" s="4" t="str">
        <f ca="1">IF(OR(INDEX($AG$2:$AG$1001,MATCH(ROWS($AF$2:AF959),$AF$2:$AF$1001,0),1)&gt;=100000,INDEX($AM$1005:$BM$1005,1,MATCH(COLUMNS($AM$1006:AN1006),$AM$1006:$BM$1006,0))&gt;=100000), " ",IF(INDEX($AM$2:$BM$1001,MATCH(ROWS($AF$2:AF959),$AF$2:$AF$1001,0),MATCH(COLUMNS($AM$1006:AN1006),$AM$1006:$BM$1006,0)), HYPERLINK("#",""), HYPERLINK(CONCATENATE("#metadata!", ADDRESS(INDEX($AH$2:$AH$1001,MATCH(ROWS($AF$2:AF959),$AF$2:$AF$1001,0),0), INDEX($AM$1004:$BM$1004,1,MATCH(COLUMNS($AM$1006:AN1006),$AM$1006:$BM$1006,0)))),"Fix")))</f>
        <v xml:space="preserve"> </v>
      </c>
      <c r="D959" s="4" t="str">
        <f ca="1">IF(OR(INDEX($AG$2:$AG$1001,MATCH(ROWS($AF$2:AF959),$AF$2:$AF$1001,0),1)&gt;=100000,INDEX($AM$1005:$BM$1005,1,MATCH(COLUMNS($AM$1006:AO1006),$AM$1006:$BM$1006,0))&gt;=100000), " ",IF(INDEX($AM$2:$BM$1001,MATCH(ROWS($AF$2:AF959),$AF$2:$AF$1001,0),MATCH(COLUMNS($AM$1006:AO1006),$AM$1006:$BM$1006,0)), HYPERLINK("#",""), HYPERLINK(CONCATENATE("#metadata!", ADDRESS(INDEX($AH$2:$AH$1001,MATCH(ROWS($AF$2:AF959),$AF$2:$AF$1001,0),0), INDEX($AM$1004:$BM$1004,1,MATCH(COLUMNS($AM$1006:AO1006),$AM$1006:$BM$1006,0)))),"Fix")))</f>
        <v xml:space="preserve"> </v>
      </c>
      <c r="E959" s="4" t="str">
        <f ca="1">IF(OR(INDEX($AG$2:$AG$1001,MATCH(ROWS($AF$2:AF959),$AF$2:$AF$1001,0),1)&gt;=100000,INDEX($AM$1005:$BM$1005,1,MATCH(COLUMNS($AM$1006:AP1006),$AM$1006:$BM$1006,0))&gt;=100000), " ",IF(INDEX($AM$2:$BM$1001,MATCH(ROWS($AF$2:AF959),$AF$2:$AF$1001,0),MATCH(COLUMNS($AM$1006:AP1006),$AM$1006:$BM$1006,0)), HYPERLINK("#",""), HYPERLINK(CONCATENATE("#metadata!", ADDRESS(INDEX($AH$2:$AH$1001,MATCH(ROWS($AF$2:AF959),$AF$2:$AF$1001,0),0), INDEX($AM$1004:$BM$1004,1,MATCH(COLUMNS($AM$1006:AP1006),$AM$1006:$BM$1006,0)))),"Fix")))</f>
        <v xml:space="preserve"> </v>
      </c>
      <c r="F959" s="4" t="str">
        <f ca="1">IF(OR(INDEX($AG$2:$AG$1001,MATCH(ROWS($AF$2:AF959),$AF$2:$AF$1001,0),1)&gt;=100000,INDEX($AM$1005:$BM$1005,1,MATCH(COLUMNS($AM$1006:AQ1006),$AM$1006:$BM$1006,0))&gt;=100000), " ",IF(INDEX($AM$2:$BM$1001,MATCH(ROWS($AF$2:AF959),$AF$2:$AF$1001,0),MATCH(COLUMNS($AM$1006:AQ1006),$AM$1006:$BM$1006,0)), HYPERLINK("#",""), HYPERLINK(CONCATENATE("#metadata!", ADDRESS(INDEX($AH$2:$AH$1001,MATCH(ROWS($AF$2:AF959),$AF$2:$AF$1001,0),0), INDEX($AM$1004:$BM$1004,1,MATCH(COLUMNS($AM$1006:AQ1006),$AM$1006:$BM$1006,0)))),"Fix")))</f>
        <v xml:space="preserve"> </v>
      </c>
      <c r="G959" s="4" t="str">
        <f ca="1">IF(OR(INDEX($AG$2:$AG$1001,MATCH(ROWS($AF$2:AF959),$AF$2:$AF$1001,0),1)&gt;=100000,INDEX($AM$1005:$BM$1005,1,MATCH(COLUMNS($AM$1006:AR1006),$AM$1006:$BM$1006,0))&gt;=100000), " ",IF(INDEX($AM$2:$BM$1001,MATCH(ROWS($AF$2:AF959),$AF$2:$AF$1001,0),MATCH(COLUMNS($AM$1006:AR1006),$AM$1006:$BM$1006,0)), HYPERLINK("#",""), HYPERLINK(CONCATENATE("#metadata!", ADDRESS(INDEX($AH$2:$AH$1001,MATCH(ROWS($AF$2:AF959),$AF$2:$AF$1001,0),0), INDEX($AM$1004:$BM$1004,1,MATCH(COLUMNS($AM$1006:AR1006),$AM$1006:$BM$1006,0)))),"Fix")))</f>
        <v xml:space="preserve"> </v>
      </c>
      <c r="H959" s="4" t="str">
        <f ca="1">IF(OR(INDEX($AG$2:$AG$1001,MATCH(ROWS($AF$2:AF959),$AF$2:$AF$1001,0),1)&gt;=100000,INDEX($AM$1005:$BM$1005,1,MATCH(COLUMNS($AM$1006:AS1006),$AM$1006:$BM$1006,0))&gt;=100000), " ",IF(INDEX($AM$2:$BM$1001,MATCH(ROWS($AF$2:AF959),$AF$2:$AF$1001,0),MATCH(COLUMNS($AM$1006:AS1006),$AM$1006:$BM$1006,0)), HYPERLINK("#",""), HYPERLINK(CONCATENATE("#metadata!", ADDRESS(INDEX($AH$2:$AH$1001,MATCH(ROWS($AF$2:AF959),$AF$2:$AF$1001,0),0), INDEX($AM$1004:$BM$1004,1,MATCH(COLUMNS($AM$1006:AS1006),$AM$1006:$BM$1006,0)))),"Fix")))</f>
        <v xml:space="preserve"> </v>
      </c>
      <c r="I959" s="4" t="str">
        <f ca="1">IF(OR(INDEX($AG$2:$AG$1001,MATCH(ROWS($AF$2:AF959),$AF$2:$AF$1001,0),1)&gt;=100000,INDEX($AM$1005:$BM$1005,1,MATCH(COLUMNS($AM$1006:AT1006),$AM$1006:$BM$1006,0))&gt;=100000), " ",IF(INDEX($AM$2:$BM$1001,MATCH(ROWS($AF$2:AF959),$AF$2:$AF$1001,0),MATCH(COLUMNS($AM$1006:AT1006),$AM$1006:$BM$1006,0)), HYPERLINK("#",""), HYPERLINK(CONCATENATE("#metadata!", ADDRESS(INDEX($AH$2:$AH$1001,MATCH(ROWS($AF$2:AF959),$AF$2:$AF$1001,0),0), INDEX($AM$1004:$BM$1004,1,MATCH(COLUMNS($AM$1006:AT1006),$AM$1006:$BM$1006,0)))),"Fix")))</f>
        <v xml:space="preserve"> </v>
      </c>
      <c r="J959" s="4" t="str">
        <f ca="1">IF(OR(INDEX($AG$2:$AG$1001,MATCH(ROWS($AF$2:AF959),$AF$2:$AF$1001,0),1)&gt;=100000,INDEX($AM$1005:$BM$1005,1,MATCH(COLUMNS($AM$1006:AU1006),$AM$1006:$BM$1006,0))&gt;=100000), " ",IF(INDEX($AM$2:$BM$1001,MATCH(ROWS($AF$2:AF959),$AF$2:$AF$1001,0),MATCH(COLUMNS($AM$1006:AU1006),$AM$1006:$BM$1006,0)), HYPERLINK("#",""), HYPERLINK(CONCATENATE("#metadata!", ADDRESS(INDEX($AH$2:$AH$1001,MATCH(ROWS($AF$2:AF959),$AF$2:$AF$1001,0),0), INDEX($AM$1004:$BM$1004,1,MATCH(COLUMNS($AM$1006:AU1006),$AM$1006:$BM$1006,0)))),"Fix")))</f>
        <v xml:space="preserve"> </v>
      </c>
      <c r="K959" s="4" t="str">
        <f ca="1">IF(OR(INDEX($AG$2:$AG$1001,MATCH(ROWS($AF$2:AF959),$AF$2:$AF$1001,0),1)&gt;=100000,INDEX($AM$1005:$BM$1005,1,MATCH(COLUMNS($AM$1006:AV1006),$AM$1006:$BM$1006,0))&gt;=100000), " ",IF(INDEX($AM$2:$BM$1001,MATCH(ROWS($AF$2:AF959),$AF$2:$AF$1001,0),MATCH(COLUMNS($AM$1006:AV1006),$AM$1006:$BM$1006,0)), HYPERLINK("#",""), HYPERLINK(CONCATENATE("#metadata!", ADDRESS(INDEX($AH$2:$AH$1001,MATCH(ROWS($AF$2:AF959),$AF$2:$AF$1001,0),0), INDEX($AM$1004:$BM$1004,1,MATCH(COLUMNS($AM$1006:AV1006),$AM$1006:$BM$1006,0)))),"Fix")))</f>
        <v xml:space="preserve"> </v>
      </c>
      <c r="L959" s="4" t="str">
        <f ca="1">IF(OR(INDEX($AG$2:$AG$1001,MATCH(ROWS($AF$2:AF959),$AF$2:$AF$1001,0),1)&gt;=100000,INDEX($AM$1005:$BM$1005,1,MATCH(COLUMNS($AM$1006:AW1006),$AM$1006:$BM$1006,0))&gt;=100000), " ",IF(INDEX($AM$2:$BM$1001,MATCH(ROWS($AF$2:AF959),$AF$2:$AF$1001,0),MATCH(COLUMNS($AM$1006:AW1006),$AM$1006:$BM$1006,0)), HYPERLINK("#",""), HYPERLINK(CONCATENATE("#metadata!", ADDRESS(INDEX($AH$2:$AH$1001,MATCH(ROWS($AF$2:AF959),$AF$2:$AF$1001,0),0), INDEX($AM$1004:$BM$1004,1,MATCH(COLUMNS($AM$1006:AW1006),$AM$1006:$BM$1006,0)))),"Fix")))</f>
        <v xml:space="preserve"> </v>
      </c>
      <c r="M959" s="4" t="str">
        <f ca="1">IF(OR(INDEX($AG$2:$AG$1001,MATCH(ROWS($AF$2:AF959),$AF$2:$AF$1001,0),1)&gt;=100000,INDEX($AM$1005:$BM$1005,1,MATCH(COLUMNS($AM$1006:AX1006),$AM$1006:$BM$1006,0))&gt;=100000), " ",IF(INDEX($AM$2:$BM$1001,MATCH(ROWS($AF$2:AF959),$AF$2:$AF$1001,0),MATCH(COLUMNS($AM$1006:AX1006),$AM$1006:$BM$1006,0)), HYPERLINK("#",""), HYPERLINK(CONCATENATE("#metadata!", ADDRESS(INDEX($AH$2:$AH$1001,MATCH(ROWS($AF$2:AF959),$AF$2:$AF$1001,0),0), INDEX($AM$1004:$BM$1004,1,MATCH(COLUMNS($AM$1006:AX1006),$AM$1006:$BM$1006,0)))),"Fix")))</f>
        <v xml:space="preserve"> </v>
      </c>
      <c r="N959" s="4" t="str">
        <f ca="1">IF(OR(INDEX($AG$2:$AG$1001,MATCH(ROWS($AF$2:AF959),$AF$2:$AF$1001,0),1)&gt;=100000,INDEX($AM$1005:$BM$1005,1,MATCH(COLUMNS($AM$1006:AY1006),$AM$1006:$BM$1006,0))&gt;=100000), " ",IF(INDEX($AM$2:$BM$1001,MATCH(ROWS($AF$2:AF959),$AF$2:$AF$1001,0),MATCH(COLUMNS($AM$1006:AY1006),$AM$1006:$BM$1006,0)), HYPERLINK("#",""), HYPERLINK(CONCATENATE("#metadata!", ADDRESS(INDEX($AH$2:$AH$1001,MATCH(ROWS($AF$2:AF959),$AF$2:$AF$1001,0),0), INDEX($AM$1004:$BM$1004,1,MATCH(COLUMNS($AM$1006:AY1006),$AM$1006:$BM$1006,0)))),"Fix")))</f>
        <v xml:space="preserve"> </v>
      </c>
      <c r="O959" s="4" t="str">
        <f ca="1">IF(OR(INDEX($AG$2:$AG$1001,MATCH(ROWS($AF$2:AF959),$AF$2:$AF$1001,0),1)&gt;=100000,INDEX($AM$1005:$BM$1005,1,MATCH(COLUMNS($AM$1006:AZ1006),$AM$1006:$BM$1006,0))&gt;=100000), " ",IF(INDEX($AM$2:$BM$1001,MATCH(ROWS($AF$2:AF959),$AF$2:$AF$1001,0),MATCH(COLUMNS($AM$1006:AZ1006),$AM$1006:$BM$1006,0)), HYPERLINK("#",""), HYPERLINK(CONCATENATE("#metadata!", ADDRESS(INDEX($AH$2:$AH$1001,MATCH(ROWS($AF$2:AF959),$AF$2:$AF$1001,0),0), INDEX($AM$1004:$BM$1004,1,MATCH(COLUMNS($AM$1006:AZ1006),$AM$1006:$BM$1006,0)))),"Fix")))</f>
        <v xml:space="preserve"> </v>
      </c>
      <c r="P959" s="4" t="str">
        <f ca="1">IF(OR(INDEX($AG$2:$AG$1001,MATCH(ROWS($AF$2:AF959),$AF$2:$AF$1001,0),1)&gt;=100000,INDEX($AM$1005:$BM$1005,1,MATCH(COLUMNS($AM$1006:BA1006),$AM$1006:$BM$1006,0))&gt;=100000), " ",IF(INDEX($AM$2:$BM$1001,MATCH(ROWS($AF$2:AF959),$AF$2:$AF$1001,0),MATCH(COLUMNS($AM$1006:BA1006),$AM$1006:$BM$1006,0)), HYPERLINK("#",""), HYPERLINK(CONCATENATE("#metadata!", ADDRESS(INDEX($AH$2:$AH$1001,MATCH(ROWS($AF$2:AF959),$AF$2:$AF$1001,0),0), INDEX($AM$1004:$BM$1004,1,MATCH(COLUMNS($AM$1006:BA1006),$AM$1006:$BM$1006,0)))),"Fix")))</f>
        <v xml:space="preserve"> </v>
      </c>
      <c r="Q959" s="4" t="str">
        <f ca="1">IF(OR(INDEX($AG$2:$AG$1001,MATCH(ROWS($AF$2:AF959),$AF$2:$AF$1001,0),1)&gt;=100000,INDEX($AM$1005:$BM$1005,1,MATCH(COLUMNS($AM$1006:BB1006),$AM$1006:$BM$1006,0))&gt;=100000), " ",IF(INDEX($AM$2:$BM$1001,MATCH(ROWS($AF$2:AF959),$AF$2:$AF$1001,0),MATCH(COLUMNS($AM$1006:BB1006),$AM$1006:$BM$1006,0)), HYPERLINK("#",""), HYPERLINK(CONCATENATE("#metadata!", ADDRESS(INDEX($AH$2:$AH$1001,MATCH(ROWS($AF$2:AF959),$AF$2:$AF$1001,0),0), INDEX($AM$1004:$BM$1004,1,MATCH(COLUMNS($AM$1006:BB1006),$AM$1006:$BM$1006,0)))),"Fix")))</f>
        <v xml:space="preserve"> </v>
      </c>
      <c r="R959" s="4" t="str">
        <f ca="1">IF(OR(INDEX($AG$2:$AG$1001,MATCH(ROWS($AF$2:AF959),$AF$2:$AF$1001,0),1)&gt;=100000,INDEX($AM$1005:$BM$1005,1,MATCH(COLUMNS($AM$1006:BC1006),$AM$1006:$BM$1006,0))&gt;=100000), " ",IF(INDEX($AM$2:$BM$1001,MATCH(ROWS($AF$2:AF959),$AF$2:$AF$1001,0),MATCH(COLUMNS($AM$1006:BC1006),$AM$1006:$BM$1006,0)), HYPERLINK("#",""), HYPERLINK(CONCATENATE("#metadata!", ADDRESS(INDEX($AH$2:$AH$1001,MATCH(ROWS($AF$2:AF959),$AF$2:$AF$1001,0),0), INDEX($AM$1004:$BM$1004,1,MATCH(COLUMNS($AM$1006:BC1006),$AM$1006:$BM$1006,0)))),"Fix")))</f>
        <v xml:space="preserve"> </v>
      </c>
      <c r="S959" s="4" t="str">
        <f ca="1">IF(OR(INDEX($AG$2:$AG$1001,MATCH(ROWS($AF$2:AF959),$AF$2:$AF$1001,0),1)&gt;=100000,INDEX($AM$1005:$BM$1005,1,MATCH(COLUMNS($AM$1006:BD1006),$AM$1006:$BM$1006,0))&gt;=100000), " ",IF(INDEX($AM$2:$BM$1001,MATCH(ROWS($AF$2:AF959),$AF$2:$AF$1001,0),MATCH(COLUMNS($AM$1006:BD1006),$AM$1006:$BM$1006,0)), HYPERLINK("#",""), HYPERLINK(CONCATENATE("#metadata!", ADDRESS(INDEX($AH$2:$AH$1001,MATCH(ROWS($AF$2:AF959),$AF$2:$AF$1001,0),0), INDEX($AM$1004:$BM$1004,1,MATCH(COLUMNS($AM$1006:BD1006),$AM$1006:$BM$1006,0)))),"Fix")))</f>
        <v xml:space="preserve"> </v>
      </c>
      <c r="T959" s="4" t="str">
        <f ca="1">IF(OR(INDEX($AG$2:$AG$1001,MATCH(ROWS($AF$2:AF959),$AF$2:$AF$1001,0),1)&gt;=100000,INDEX($AM$1005:$BM$1005,1,MATCH(COLUMNS($AM$1006:BE1006),$AM$1006:$BM$1006,0))&gt;=100000), " ",IF(INDEX($AM$2:$BM$1001,MATCH(ROWS($AF$2:AF959),$AF$2:$AF$1001,0),MATCH(COLUMNS($AM$1006:BE1006),$AM$1006:$BM$1006,0)), HYPERLINK("#",""), HYPERLINK(CONCATENATE("#metadata!", ADDRESS(INDEX($AH$2:$AH$1001,MATCH(ROWS($AF$2:AF959),$AF$2:$AF$1001,0),0), INDEX($AM$1004:$BM$1004,1,MATCH(COLUMNS($AM$1006:BE1006),$AM$1006:$BM$1006,0)))),"Fix")))</f>
        <v xml:space="preserve"> </v>
      </c>
      <c r="U959" s="4" t="str">
        <f ca="1">IF(OR(INDEX($AG$2:$AG$1001,MATCH(ROWS($AF$2:AF959),$AF$2:$AF$1001,0),1)&gt;=100000,INDEX($AM$1005:$BM$1005,1,MATCH(COLUMNS($AM$1006:BF1006),$AM$1006:$BM$1006,0))&gt;=100000), " ",IF(INDEX($AM$2:$BM$1001,MATCH(ROWS($AF$2:AF959),$AF$2:$AF$1001,0),MATCH(COLUMNS($AM$1006:BF1006),$AM$1006:$BM$1006,0)), HYPERLINK("#",""), HYPERLINK(CONCATENATE("#metadata!", ADDRESS(INDEX($AH$2:$AH$1001,MATCH(ROWS($AF$2:AF959),$AF$2:$AF$1001,0),0), INDEX($AM$1004:$BM$1004,1,MATCH(COLUMNS($AM$1006:BF1006),$AM$1006:$BM$1006,0)))),"Fix")))</f>
        <v xml:space="preserve"> </v>
      </c>
      <c r="V959" s="4" t="str">
        <f ca="1">IF(OR(INDEX($AG$2:$AG$1001,MATCH(ROWS($AF$2:AF959),$AF$2:$AF$1001,0),1)&gt;=100000,INDEX($AM$1005:$BM$1005,1,MATCH(COLUMNS($AM$1006:BG1006),$AM$1006:$BM$1006,0))&gt;=100000), " ",IF(INDEX($AM$2:$BM$1001,MATCH(ROWS($AF$2:AF959),$AF$2:$AF$1001,0),MATCH(COLUMNS($AM$1006:BG1006),$AM$1006:$BM$1006,0)), HYPERLINK("#",""), HYPERLINK(CONCATENATE("#metadata!", ADDRESS(INDEX($AH$2:$AH$1001,MATCH(ROWS($AF$2:AF959),$AF$2:$AF$1001,0),0), INDEX($AM$1004:$BM$1004,1,MATCH(COLUMNS($AM$1006:BG1006),$AM$1006:$BM$1006,0)))),"Fix")))</f>
        <v xml:space="preserve"> </v>
      </c>
      <c r="W959" s="4" t="str">
        <f ca="1">IF(OR(INDEX($AG$2:$AG$1001,MATCH(ROWS($AF$2:AF959),$AF$2:$AF$1001,0),1)&gt;=100000,INDEX($AM$1005:$BM$1005,1,MATCH(COLUMNS($AM$1006:BH1006),$AM$1006:$BM$1006,0))&gt;=100000), " ",IF(INDEX($AM$2:$BM$1001,MATCH(ROWS($AF$2:AF959),$AF$2:$AF$1001,0),MATCH(COLUMNS($AM$1006:BH1006),$AM$1006:$BM$1006,0)), HYPERLINK("#",""), HYPERLINK(CONCATENATE("#metadata!", ADDRESS(INDEX($AH$2:$AH$1001,MATCH(ROWS($AF$2:AF959),$AF$2:$AF$1001,0),0), INDEX($AM$1004:$BM$1004,1,MATCH(COLUMNS($AM$1006:BH1006),$AM$1006:$BM$1006,0)))),"Fix")))</f>
        <v xml:space="preserve"> </v>
      </c>
      <c r="X959" s="4" t="str">
        <f ca="1">IF(OR(INDEX($AG$2:$AG$1001,MATCH(ROWS($AF$2:AF959),$AF$2:$AF$1001,0),1)&gt;=100000,INDEX($AM$1005:$BM$1005,1,MATCH(COLUMNS($AM$1006:BI1006),$AM$1006:$BM$1006,0))&gt;=100000), " ",IF(INDEX($AM$2:$BM$1001,MATCH(ROWS($AF$2:AF959),$AF$2:$AF$1001,0),MATCH(COLUMNS($AM$1006:BI1006),$AM$1006:$BM$1006,0)), HYPERLINK("#",""), HYPERLINK(CONCATENATE("#metadata!", ADDRESS(INDEX($AH$2:$AH$1001,MATCH(ROWS($AF$2:AF959),$AF$2:$AF$1001,0),0), INDEX($AM$1004:$BM$1004,1,MATCH(COLUMNS($AM$1006:BI1006),$AM$1006:$BM$1006,0)))),"Fix")))</f>
        <v xml:space="preserve"> </v>
      </c>
      <c r="Y959" s="4" t="str">
        <f ca="1">IF(OR(INDEX($AG$2:$AG$1001,MATCH(ROWS($AF$2:AF959),$AF$2:$AF$1001,0),1)&gt;=100000,INDEX($AM$1005:$BM$1005,1,MATCH(COLUMNS($AM$1006:BJ1006),$AM$1006:$BM$1006,0))&gt;=100000), " ",IF(INDEX($AM$2:$BM$1001,MATCH(ROWS($AF$2:AF959),$AF$2:$AF$1001,0),MATCH(COLUMNS($AM$1006:BJ1006),$AM$1006:$BM$1006,0)), HYPERLINK("#",""), HYPERLINK(CONCATENATE("#metadata!", ADDRESS(INDEX($AH$2:$AH$1001,MATCH(ROWS($AF$2:AF959),$AF$2:$AF$1001,0),0), INDEX($AM$1004:$BM$1004,1,MATCH(COLUMNS($AM$1006:BJ1006),$AM$1006:$BM$1006,0)))),"Fix")))</f>
        <v xml:space="preserve"> </v>
      </c>
      <c r="Z959" s="4" t="str">
        <f ca="1">IF(OR(INDEX($AG$2:$AG$1001,MATCH(ROWS($AF$2:AF959),$AF$2:$AF$1001,0),1)&gt;=100000,INDEX($AM$1005:$BM$1005,1,MATCH(COLUMNS($AM$1006:BK1006),$AM$1006:$BM$1006,0))&gt;=100000), " ",IF(INDEX($AM$2:$BM$1001,MATCH(ROWS($AF$2:AF959),$AF$2:$AF$1001,0),MATCH(COLUMNS($AM$1006:BK1006),$AM$1006:$BM$1006,0)), HYPERLINK("#",""), HYPERLINK(CONCATENATE("#metadata!", ADDRESS(INDEX($AH$2:$AH$1001,MATCH(ROWS($AF$2:AF959),$AF$2:$AF$1001,0),0), INDEX($AM$1004:$BM$1004,1,MATCH(COLUMNS($AM$1006:BK1006),$AM$1006:$BM$1006,0)))),"Fix")))</f>
        <v xml:space="preserve"> </v>
      </c>
      <c r="AA959" s="4" t="str">
        <f ca="1">IF(OR(INDEX($AG$2:$AG$1001,MATCH(ROWS($AF$2:AF959),$AF$2:$AF$1001,0),1)&gt;=100000,INDEX($AM$1005:$BM$1005,1,MATCH(COLUMNS($AM$1006:BL1006),$AM$1006:$BM$1006,0))&gt;=100000), " ",IF(INDEX($AM$2:$BM$1001,MATCH(ROWS($AF$2:AF959),$AF$2:$AF$1001,0),MATCH(COLUMNS($AM$1006:BL1006),$AM$1006:$BM$1006,0)), HYPERLINK("#",""), HYPERLINK(CONCATENATE("#metadata!", ADDRESS(INDEX($AH$2:$AH$1001,MATCH(ROWS($AF$2:AF959),$AF$2:$AF$1001,0),0), INDEX($AM$1004:$BM$1004,1,MATCH(COLUMNS($AM$1006:BL1006),$AM$1006:$BM$1006,0)))),"Fix")))</f>
        <v xml:space="preserve"> </v>
      </c>
      <c r="AB959" s="4" t="str">
        <f ca="1">IF(OR(INDEX($AG$2:$AG$1001,MATCH(ROWS($AF$2:AF959),$AF$2:$AF$1001,0),1)&gt;=100000,INDEX($AM$1005:$BM$1005,1,MATCH(COLUMNS($AM$1006:BM1006),$AM$1006:$BM$1006,0))&gt;=100000), " ",IF(INDEX($AM$2:$BM$1001,MATCH(ROWS($AF$2:AF959),$AF$2:$AF$1001,0),MATCH(COLUMNS($AM$1006:BM1006),$AM$1006:$BM$1006,0)), HYPERLINK("#",""), HYPERLINK(CONCATENATE("#metadata!", ADDRESS(INDEX($AH$2:$AH$1001,MATCH(ROWS($AF$2:AF959),$AF$2:$AF$1001,0),0), INDEX($AM$1004:$BM$1004,1,MATCH(COLUMNS($AM$1006:BM1006),$AM$1006:$BM$1006,0)))),"Fix")))</f>
        <v xml:space="preserve"> </v>
      </c>
      <c r="AF959">
        <v>958</v>
      </c>
      <c r="AG959">
        <v>100959</v>
      </c>
      <c r="AH959">
        <v>959</v>
      </c>
      <c r="AI959" t="b">
        <f t="shared" si="14"/>
        <v>1</v>
      </c>
      <c r="AJ959" t="b">
        <f>COUNTBLANK(metadata!B959:AB959)=COLUMNS(metadata!B959:AB959)</f>
        <v>1</v>
      </c>
      <c r="AK959" t="str">
        <v/>
      </c>
      <c r="AM959" t="b">
        <f ca="1">AND(IF(metadata!B959="",FALSE,TRUE),COUNTIF(metadata!B:B, metadata!B959) = 1,NOT(ISERROR(SUMPRODUCT(SEARCH(MID(metadata!B959,ROW(INDIRECT("1:"&amp;LEN(metadata!B959))), 1),"0123456789abcdefghijklmnopqrstuvwxyzABCDEFGHIJKLMNOPQRSTUVWXYZ.")))))</f>
        <v>0</v>
      </c>
      <c r="AN959" t="b">
        <f ca="1">OR(AND(IF(metadata!C959="",FALSE,TRUE),OR(EXACT(metadata!C959,"missing: not collected"),EXACT(metadata!C959,"missing: not provided"),EXACT(metadata!C959,"missing: restricted access"))),AND(IF(metadata!C959="",FALSE,TRUE),AND(AND(IFERROR(INT(LEFT(metadata!C959,4))&gt;1900,FALSE),IFERROR(INT(LEFT(metadata!C959,4))&lt;=YEAR(NOW()),FALSE)), OR(MID(metadata!C959,5,1)="", AND(AND(MID(metadata!C959,5,1)="-",IFERROR(INT(MID(metadata!C959,6,1))&gt;=0,FALSE),IFERROR(INT(MID(metadata!C959,6,1))&lt;=1,FALSE),NOT(MID(metadata!C959,7,1)=""),IFERROR(INT(MID(metadata!C959,6,2))&gt;=1,FALSE),IFERROR(INT(MID(metadata!C959,6,2))&lt;=12,FALSE)), OR(MID(metadata!C959,8,1)="", AND(AND(MID(metadata!C959,8,1)="-",IFERROR(INT(MID(metadata!C959,9,1))&gt;=0,FALSE),IFERROR(INT(MID(metadata!C959,9,1))&lt;=3,FALSE),NOT(MID(metadata!C959,10,1)=""),IFERROR(INT(MID(metadata!C959,9,2))&gt;=1,FALSE),IFERROR(INT(MID(metadata!C959,9,2))&lt;=31,FALSE)), OR(MID(metadata!C959,11,1)="", AND(AND(MID(metadata!C959,11,1)=" ",IFERROR(INT(MID(metadata!C959,12,1))&gt;=0,FALSE),IFERROR(INT(MID(metadata!C959,12,1))&lt;=2,FALSE),NOT(MID(metadata!C959,13,1)=""),IFERROR(INT(MID(metadata!C959,12,2))&gt;=0,FALSE),IFERROR(INT(MID(metadata!C959,12,2))&lt;=23,FALSE)), OR(MID(metadata!C959,14,1)="", AND(AND(MID(metadata!C959,14,1)=":",IFERROR(INT(MID(metadata!C959,15,1))&gt;=0,FALSE),IFERROR(INT(MID(metadata!C959,15,1))&lt;=5,FALSE),NOT(MID(metadata!C959,16,1)=""),IFERROR(INT(MID(metadata!C959,15,2))&gt;=0,FALSE),IFERROR(INT(MID(metadata!C959,15,2))&lt;=59,FALSE)), OR(MID(metadata!C959,17,1)="", AND(AND(MID(metadata!C959,17,1)=":",IFERROR(INT(MID(metadata!C959,18,1))&gt;=0,FALSE),IFERROR(INT(MID(metadata!C959,18,1))&lt;=5,FALSE),NOT(MID(metadata!C959,19,1)=""),IFERROR(INT(MID(metadata!C959,18,2))&gt;=0,FALSE),IFERROR(INT(MID(metadata!C959,18,2))&lt;=59,FALSE)), LEN(metadata!C959)&lt;=19)))))))))))))</f>
        <v>0</v>
      </c>
      <c r="AO959" t="b">
        <f>AND(IF(metadata!D959="",FALSE,TRUE),EXACT(metadata!D959,"Not applicable"))</f>
        <v>0</v>
      </c>
      <c r="AP959" t="b">
        <f>IF(metadata!E959="",FALSE,TRUE)</f>
        <v>0</v>
      </c>
      <c r="AQ959" t="b">
        <f>OR(AND(IF(metadata!F959="",FALSE,TRUE),OR(EXACT(metadata!F959,"missing: not collected"),EXACT(metadata!F959,"missing: not provided"))),AND(IF(metadata!F959="",FALSE,TRUE),OR(EXACT(metadata!F959,"TRUE"),EXACT(metadata!F959,"FALSE"))))</f>
        <v>0</v>
      </c>
      <c r="AR959" t="b">
        <f>OR(AND(IF(metadata!G959="",FALSE,TRUE),OR(EXACT(metadata!G959,"missing: not collected"),EXACT(metadata!G959,"missing: not provided"),EXACT(metadata!G959,"missing: restricted access"))),AND(IF(metadata!G959="",FALSE,ISNUMBER(VALUE(metadata!G959))),metadata!G959&gt;=-413))</f>
        <v>0</v>
      </c>
      <c r="AS959" t="b">
        <f>AND(IF(metadata!H959="",FALSE,TRUE),EXACT(metadata!H959,"meters"))</f>
        <v>0</v>
      </c>
      <c r="AT959" t="b">
        <f>AND(IF(metadata!I959="",FALSE,TRUE),OR(EXACT(metadata!I959,"Host-associated"),EXACT(metadata!I959,"Free-living")))</f>
        <v>0</v>
      </c>
      <c r="AU959" t="b">
        <f>AND(IF(metadata!J959="",FALSE,TRUE),OR(EXACT(metadata!J959,"Animal"),EXACT(metadata!J959,"Fungus"),EXACT(metadata!J959,"Plant"),EXACT(metadata!J959,"Saline"),EXACT(metadata!J959,"Non-saline")))</f>
        <v>0</v>
      </c>
      <c r="AV959" t="b">
        <f>AND(IF(metadata!K959="",FALSE,TRUE),OR(EXACT(metadata!K959,"Plant secretion"),EXACT(metadata!K959,"Plant rhizosphere"),EXACT(metadata!K959,"Plant surface"),EXACT(metadata!K959,"Plant corpus"),EXACT(metadata!K959,"Fungus surface"),EXACT(metadata!K959,"Fungus corpus"),EXACT(metadata!K959,"Animal surface"),EXACT(metadata!K959,"Animal proximal gut"),EXACT(metadata!K959,"Animal corpus"),EXACT(metadata!K959,"Animal distal gut"),EXACT(metadata!K959,"Animal secretion"),EXACT(metadata!K959,"Sub-surface (non-saline)"),EXACT(metadata!K959,"Surface (non-saline)"),EXACT(metadata!K959,"Water (non-saline)"),EXACT(metadata!K959,"Soil (non-saline)"),EXACT(metadata!K959,"Aerosol (non-saline)"),EXACT(metadata!K959,"Sediment (non-saline)"),EXACT(metadata!K959,"Surface (saline)"),EXACT(metadata!K959,"Water (saline)"),EXACT(metadata!K959,"Hypersaline (saline)"),EXACT(metadata!K959,"Aerosol (saline)"),EXACT(metadata!K959,"Sediment (saline)")))</f>
        <v>0</v>
      </c>
      <c r="AW959" t="b">
        <f>IF(metadata!L959="",FALSE,TRUE)</f>
        <v>0</v>
      </c>
      <c r="AX959" t="b">
        <f>IF(metadata!M959="",FALSE,TRUE)</f>
        <v>0</v>
      </c>
      <c r="AY959" t="b">
        <f>IF(metadata!N959="",FALSE,TRUE)</f>
        <v>0</v>
      </c>
      <c r="AZ959" t="b">
        <f>OR(AND(IF(metadata!O959="",FALSE,TRUE),OR(EXACT(metadata!O959,"missing: not collected"),EXACT(metadata!O959,"missing: not provided"),EXACT(metadata!O959,"missing: restricted access"))),AND(IF(metadata!O959="",FALSE,TRUE),OR(EXACT(metadata!O959,"air"),EXACT(metadata!O959,"built environment"),EXACT(metadata!O959,"host-associated"),EXACT(metadata!O959,"human-associated"),EXACT(metadata!O959,"human-skin"),EXACT(metadata!O959,"human-oral"),EXACT(metadata!O959,"human-gut"),EXACT(metadata!O959,"human-vaginal"),EXACT(metadata!O959,"microbial mat/biofilm"),EXACT(metadata!O959,"misc environment"),EXACT(metadata!O959,"plant-associated"),EXACT(metadata!O959,"sediment"),EXACT(metadata!O959,"soil"),EXACT(metadata!O959,"wastewater/sludge"),EXACT(metadata!O959,"water"))))</f>
        <v>0</v>
      </c>
      <c r="BA959" t="b">
        <f>IF(metadata!P959="",FALSE,TRUE)</f>
        <v>0</v>
      </c>
      <c r="BB959" t="b">
        <f>IF(metadata!Q959="",FALSE,TRUE)</f>
        <v>0</v>
      </c>
      <c r="BC959" t="b">
        <f>OR(AND(IF(metadata!R959="",FALSE,TRUE),OR(EXACT(metadata!R959,"missing: not collected"),EXACT(metadata!R959,"missing: not provided"),EXACT(metadata!R959,"missing: restricted access"))),AND(IF(metadata!R959="",FALSE,ISNUMBER(VALUE(metadata!R959))),metadata!R959&gt;=-90,metadata!R959&lt;=90))</f>
        <v>0</v>
      </c>
      <c r="BD959" t="b">
        <f>AND(IF(metadata!S959="",FALSE,TRUE),EXACT(metadata!S959,"Decimal degrees"))</f>
        <v>0</v>
      </c>
      <c r="BE959" t="b">
        <f>OR(AND(IF(metadata!T959="",FALSE,TRUE),OR(EXACT(metadata!T959,"missing: not collected"),EXACT(metadata!T959,"missing: not provided"),EXACT(metadata!T959,"missing: restricted access"))),AND(IF(metadata!T959="",FALSE,ISNUMBER(VALUE(metadata!T959))),metadata!T959&gt;=-180,metadata!T959&lt;=180))</f>
        <v>0</v>
      </c>
      <c r="BF959" t="b">
        <f>AND(IF(metadata!U959="",FALSE,TRUE),EXACT(metadata!U959,"Decimal degrees"))</f>
        <v>0</v>
      </c>
      <c r="BG959" t="b">
        <f>IF(metadata!V959="",FALSE,TRUE)</f>
        <v>0</v>
      </c>
      <c r="BH959" t="b">
        <f>OR(AND(IF(metadata!W959="",FALSE,TRUE),OR(EXACT(metadata!W959,"missing: not collected"),EXACT(metadata!W959,"missing: not provided"),EXACT(metadata!W959,"missing: restricted access"))),AND(IF(metadata!W959="",FALSE,TRUE),OR(EXACT(metadata!W959,"TRUE"),EXACT(metadata!W959,"FALSE"))))</f>
        <v>0</v>
      </c>
      <c r="BI959" t="b">
        <f>AND(IF(metadata!X959="",FALSE,TRUE),EXACT(metadata!X959,"other"))</f>
        <v>0</v>
      </c>
      <c r="BJ959" t="b">
        <f>IF(metadata!Y959="",FALSE,TRUE)</f>
        <v>0</v>
      </c>
      <c r="BK959" t="b">
        <f>OR(AND(IF(metadata!Z959="",FALSE,TRUE),OR(EXACT(metadata!Z959,"missing: not collected"),EXACT(metadata!Z959,"missing: not provided"))),AND(IF(metadata!Z959="",FALSE,IF(ISERROR(INT(metadata!Z959)),FALSE,INT(metadata!Z959)=metadata!Z959)),metadata!Z959&gt;0))</f>
        <v>0</v>
      </c>
      <c r="BL959" t="b">
        <f>AND(IF(metadata!AA959="",FALSE,TRUE),EXACT(metadata!AA959,"Not applicable"))</f>
        <v>0</v>
      </c>
      <c r="BM959" t="b">
        <f>IF(metadata!AB959="",FALSE,TRUE)</f>
        <v>0</v>
      </c>
    </row>
    <row r="960" spans="1:65" x14ac:dyDescent="0.2">
      <c r="A960" s="5" t="str">
        <f ca="1">IF(B960=" "," ",HYPERLINK(CONCATENATE("#metadata!",ADDRESS(INDEX($AH$2:$AH$1001,MATCH(ROWS($AF$2:AF960),$AF$2:$AF$1001,0),0),1)),INDEX($AK$2:$AK$1001,MATCH(ROWS($AF$2:AF960),$AF$2:$AF$1001,0),0)))</f>
        <v xml:space="preserve"> </v>
      </c>
      <c r="B960" s="4" t="str">
        <f ca="1">IF(OR(INDEX($AG$2:$AG$1001,MATCH(ROWS($AF$2:AF960),$AF$2:$AF$1001,0),1)&gt;=100000,INDEX($AM$1005:$BM$1005,1,MATCH(COLUMNS($AM$1006:AM1006),$AM$1006:$BM$1006,0))&gt;=100000), " ",IF(INDEX($AM$2:$BM$1001,MATCH(ROWS($AF$2:AF960),$AF$2:$AF$1001,0),MATCH(COLUMNS($AM$1006:AM1006),$AM$1006:$BM$1006,0)), HYPERLINK("#",""), HYPERLINK(CONCATENATE("#metadata!", ADDRESS(INDEX($AH$2:$AH$1001,MATCH(ROWS($AF$2:AF960),$AF$2:$AF$1001,0),0), INDEX($AM$1004:$BM$1004,1,MATCH(COLUMNS($AM$1006:AM1006),$AM$1006:$BM$1006,0)))),"Fix")))</f>
        <v xml:space="preserve"> </v>
      </c>
      <c r="C960" s="4" t="str">
        <f ca="1">IF(OR(INDEX($AG$2:$AG$1001,MATCH(ROWS($AF$2:AF960),$AF$2:$AF$1001,0),1)&gt;=100000,INDEX($AM$1005:$BM$1005,1,MATCH(COLUMNS($AM$1006:AN1006),$AM$1006:$BM$1006,0))&gt;=100000), " ",IF(INDEX($AM$2:$BM$1001,MATCH(ROWS($AF$2:AF960),$AF$2:$AF$1001,0),MATCH(COLUMNS($AM$1006:AN1006),$AM$1006:$BM$1006,0)), HYPERLINK("#",""), HYPERLINK(CONCATENATE("#metadata!", ADDRESS(INDEX($AH$2:$AH$1001,MATCH(ROWS($AF$2:AF960),$AF$2:$AF$1001,0),0), INDEX($AM$1004:$BM$1004,1,MATCH(COLUMNS($AM$1006:AN1006),$AM$1006:$BM$1006,0)))),"Fix")))</f>
        <v xml:space="preserve"> </v>
      </c>
      <c r="D960" s="4" t="str">
        <f ca="1">IF(OR(INDEX($AG$2:$AG$1001,MATCH(ROWS($AF$2:AF960),$AF$2:$AF$1001,0),1)&gt;=100000,INDEX($AM$1005:$BM$1005,1,MATCH(COLUMNS($AM$1006:AO1006),$AM$1006:$BM$1006,0))&gt;=100000), " ",IF(INDEX($AM$2:$BM$1001,MATCH(ROWS($AF$2:AF960),$AF$2:$AF$1001,0),MATCH(COLUMNS($AM$1006:AO1006),$AM$1006:$BM$1006,0)), HYPERLINK("#",""), HYPERLINK(CONCATENATE("#metadata!", ADDRESS(INDEX($AH$2:$AH$1001,MATCH(ROWS($AF$2:AF960),$AF$2:$AF$1001,0),0), INDEX($AM$1004:$BM$1004,1,MATCH(COLUMNS($AM$1006:AO1006),$AM$1006:$BM$1006,0)))),"Fix")))</f>
        <v xml:space="preserve"> </v>
      </c>
      <c r="E960" s="4" t="str">
        <f ca="1">IF(OR(INDEX($AG$2:$AG$1001,MATCH(ROWS($AF$2:AF960),$AF$2:$AF$1001,0),1)&gt;=100000,INDEX($AM$1005:$BM$1005,1,MATCH(COLUMNS($AM$1006:AP1006),$AM$1006:$BM$1006,0))&gt;=100000), " ",IF(INDEX($AM$2:$BM$1001,MATCH(ROWS($AF$2:AF960),$AF$2:$AF$1001,0),MATCH(COLUMNS($AM$1006:AP1006),$AM$1006:$BM$1006,0)), HYPERLINK("#",""), HYPERLINK(CONCATENATE("#metadata!", ADDRESS(INDEX($AH$2:$AH$1001,MATCH(ROWS($AF$2:AF960),$AF$2:$AF$1001,0),0), INDEX($AM$1004:$BM$1004,1,MATCH(COLUMNS($AM$1006:AP1006),$AM$1006:$BM$1006,0)))),"Fix")))</f>
        <v xml:space="preserve"> </v>
      </c>
      <c r="F960" s="4" t="str">
        <f ca="1">IF(OR(INDEX($AG$2:$AG$1001,MATCH(ROWS($AF$2:AF960),$AF$2:$AF$1001,0),1)&gt;=100000,INDEX($AM$1005:$BM$1005,1,MATCH(COLUMNS($AM$1006:AQ1006),$AM$1006:$BM$1006,0))&gt;=100000), " ",IF(INDEX($AM$2:$BM$1001,MATCH(ROWS($AF$2:AF960),$AF$2:$AF$1001,0),MATCH(COLUMNS($AM$1006:AQ1006),$AM$1006:$BM$1006,0)), HYPERLINK("#",""), HYPERLINK(CONCATENATE("#metadata!", ADDRESS(INDEX($AH$2:$AH$1001,MATCH(ROWS($AF$2:AF960),$AF$2:$AF$1001,0),0), INDEX($AM$1004:$BM$1004,1,MATCH(COLUMNS($AM$1006:AQ1006),$AM$1006:$BM$1006,0)))),"Fix")))</f>
        <v xml:space="preserve"> </v>
      </c>
      <c r="G960" s="4" t="str">
        <f ca="1">IF(OR(INDEX($AG$2:$AG$1001,MATCH(ROWS($AF$2:AF960),$AF$2:$AF$1001,0),1)&gt;=100000,INDEX($AM$1005:$BM$1005,1,MATCH(COLUMNS($AM$1006:AR1006),$AM$1006:$BM$1006,0))&gt;=100000), " ",IF(INDEX($AM$2:$BM$1001,MATCH(ROWS($AF$2:AF960),$AF$2:$AF$1001,0),MATCH(COLUMNS($AM$1006:AR1006),$AM$1006:$BM$1006,0)), HYPERLINK("#",""), HYPERLINK(CONCATENATE("#metadata!", ADDRESS(INDEX($AH$2:$AH$1001,MATCH(ROWS($AF$2:AF960),$AF$2:$AF$1001,0),0), INDEX($AM$1004:$BM$1004,1,MATCH(COLUMNS($AM$1006:AR1006),$AM$1006:$BM$1006,0)))),"Fix")))</f>
        <v xml:space="preserve"> </v>
      </c>
      <c r="H960" s="4" t="str">
        <f ca="1">IF(OR(INDEX($AG$2:$AG$1001,MATCH(ROWS($AF$2:AF960),$AF$2:$AF$1001,0),1)&gt;=100000,INDEX($AM$1005:$BM$1005,1,MATCH(COLUMNS($AM$1006:AS1006),$AM$1006:$BM$1006,0))&gt;=100000), " ",IF(INDEX($AM$2:$BM$1001,MATCH(ROWS($AF$2:AF960),$AF$2:$AF$1001,0),MATCH(COLUMNS($AM$1006:AS1006),$AM$1006:$BM$1006,0)), HYPERLINK("#",""), HYPERLINK(CONCATENATE("#metadata!", ADDRESS(INDEX($AH$2:$AH$1001,MATCH(ROWS($AF$2:AF960),$AF$2:$AF$1001,0),0), INDEX($AM$1004:$BM$1004,1,MATCH(COLUMNS($AM$1006:AS1006),$AM$1006:$BM$1006,0)))),"Fix")))</f>
        <v xml:space="preserve"> </v>
      </c>
      <c r="I960" s="4" t="str">
        <f ca="1">IF(OR(INDEX($AG$2:$AG$1001,MATCH(ROWS($AF$2:AF960),$AF$2:$AF$1001,0),1)&gt;=100000,INDEX($AM$1005:$BM$1005,1,MATCH(COLUMNS($AM$1006:AT1006),$AM$1006:$BM$1006,0))&gt;=100000), " ",IF(INDEX($AM$2:$BM$1001,MATCH(ROWS($AF$2:AF960),$AF$2:$AF$1001,0),MATCH(COLUMNS($AM$1006:AT1006),$AM$1006:$BM$1006,0)), HYPERLINK("#",""), HYPERLINK(CONCATENATE("#metadata!", ADDRESS(INDEX($AH$2:$AH$1001,MATCH(ROWS($AF$2:AF960),$AF$2:$AF$1001,0),0), INDEX($AM$1004:$BM$1004,1,MATCH(COLUMNS($AM$1006:AT1006),$AM$1006:$BM$1006,0)))),"Fix")))</f>
        <v xml:space="preserve"> </v>
      </c>
      <c r="J960" s="4" t="str">
        <f ca="1">IF(OR(INDEX($AG$2:$AG$1001,MATCH(ROWS($AF$2:AF960),$AF$2:$AF$1001,0),1)&gt;=100000,INDEX($AM$1005:$BM$1005,1,MATCH(COLUMNS($AM$1006:AU1006),$AM$1006:$BM$1006,0))&gt;=100000), " ",IF(INDEX($AM$2:$BM$1001,MATCH(ROWS($AF$2:AF960),$AF$2:$AF$1001,0),MATCH(COLUMNS($AM$1006:AU1006),$AM$1006:$BM$1006,0)), HYPERLINK("#",""), HYPERLINK(CONCATENATE("#metadata!", ADDRESS(INDEX($AH$2:$AH$1001,MATCH(ROWS($AF$2:AF960),$AF$2:$AF$1001,0),0), INDEX($AM$1004:$BM$1004,1,MATCH(COLUMNS($AM$1006:AU1006),$AM$1006:$BM$1006,0)))),"Fix")))</f>
        <v xml:space="preserve"> </v>
      </c>
      <c r="K960" s="4" t="str">
        <f ca="1">IF(OR(INDEX($AG$2:$AG$1001,MATCH(ROWS($AF$2:AF960),$AF$2:$AF$1001,0),1)&gt;=100000,INDEX($AM$1005:$BM$1005,1,MATCH(COLUMNS($AM$1006:AV1006),$AM$1006:$BM$1006,0))&gt;=100000), " ",IF(INDEX($AM$2:$BM$1001,MATCH(ROWS($AF$2:AF960),$AF$2:$AF$1001,0),MATCH(COLUMNS($AM$1006:AV1006),$AM$1006:$BM$1006,0)), HYPERLINK("#",""), HYPERLINK(CONCATENATE("#metadata!", ADDRESS(INDEX($AH$2:$AH$1001,MATCH(ROWS($AF$2:AF960),$AF$2:$AF$1001,0),0), INDEX($AM$1004:$BM$1004,1,MATCH(COLUMNS($AM$1006:AV1006),$AM$1006:$BM$1006,0)))),"Fix")))</f>
        <v xml:space="preserve"> </v>
      </c>
      <c r="L960" s="4" t="str">
        <f ca="1">IF(OR(INDEX($AG$2:$AG$1001,MATCH(ROWS($AF$2:AF960),$AF$2:$AF$1001,0),1)&gt;=100000,INDEX($AM$1005:$BM$1005,1,MATCH(COLUMNS($AM$1006:AW1006),$AM$1006:$BM$1006,0))&gt;=100000), " ",IF(INDEX($AM$2:$BM$1001,MATCH(ROWS($AF$2:AF960),$AF$2:$AF$1001,0),MATCH(COLUMNS($AM$1006:AW1006),$AM$1006:$BM$1006,0)), HYPERLINK("#",""), HYPERLINK(CONCATENATE("#metadata!", ADDRESS(INDEX($AH$2:$AH$1001,MATCH(ROWS($AF$2:AF960),$AF$2:$AF$1001,0),0), INDEX($AM$1004:$BM$1004,1,MATCH(COLUMNS($AM$1006:AW1006),$AM$1006:$BM$1006,0)))),"Fix")))</f>
        <v xml:space="preserve"> </v>
      </c>
      <c r="M960" s="4" t="str">
        <f ca="1">IF(OR(INDEX($AG$2:$AG$1001,MATCH(ROWS($AF$2:AF960),$AF$2:$AF$1001,0),1)&gt;=100000,INDEX($AM$1005:$BM$1005,1,MATCH(COLUMNS($AM$1006:AX1006),$AM$1006:$BM$1006,0))&gt;=100000), " ",IF(INDEX($AM$2:$BM$1001,MATCH(ROWS($AF$2:AF960),$AF$2:$AF$1001,0),MATCH(COLUMNS($AM$1006:AX1006),$AM$1006:$BM$1006,0)), HYPERLINK("#",""), HYPERLINK(CONCATENATE("#metadata!", ADDRESS(INDEX($AH$2:$AH$1001,MATCH(ROWS($AF$2:AF960),$AF$2:$AF$1001,0),0), INDEX($AM$1004:$BM$1004,1,MATCH(COLUMNS($AM$1006:AX1006),$AM$1006:$BM$1006,0)))),"Fix")))</f>
        <v xml:space="preserve"> </v>
      </c>
      <c r="N960" s="4" t="str">
        <f ca="1">IF(OR(INDEX($AG$2:$AG$1001,MATCH(ROWS($AF$2:AF960),$AF$2:$AF$1001,0),1)&gt;=100000,INDEX($AM$1005:$BM$1005,1,MATCH(COLUMNS($AM$1006:AY1006),$AM$1006:$BM$1006,0))&gt;=100000), " ",IF(INDEX($AM$2:$BM$1001,MATCH(ROWS($AF$2:AF960),$AF$2:$AF$1001,0),MATCH(COLUMNS($AM$1006:AY1006),$AM$1006:$BM$1006,0)), HYPERLINK("#",""), HYPERLINK(CONCATENATE("#metadata!", ADDRESS(INDEX($AH$2:$AH$1001,MATCH(ROWS($AF$2:AF960),$AF$2:$AF$1001,0),0), INDEX($AM$1004:$BM$1004,1,MATCH(COLUMNS($AM$1006:AY1006),$AM$1006:$BM$1006,0)))),"Fix")))</f>
        <v xml:space="preserve"> </v>
      </c>
      <c r="O960" s="4" t="str">
        <f ca="1">IF(OR(INDEX($AG$2:$AG$1001,MATCH(ROWS($AF$2:AF960),$AF$2:$AF$1001,0),1)&gt;=100000,INDEX($AM$1005:$BM$1005,1,MATCH(COLUMNS($AM$1006:AZ1006),$AM$1006:$BM$1006,0))&gt;=100000), " ",IF(INDEX($AM$2:$BM$1001,MATCH(ROWS($AF$2:AF960),$AF$2:$AF$1001,0),MATCH(COLUMNS($AM$1006:AZ1006),$AM$1006:$BM$1006,0)), HYPERLINK("#",""), HYPERLINK(CONCATENATE("#metadata!", ADDRESS(INDEX($AH$2:$AH$1001,MATCH(ROWS($AF$2:AF960),$AF$2:$AF$1001,0),0), INDEX($AM$1004:$BM$1004,1,MATCH(COLUMNS($AM$1006:AZ1006),$AM$1006:$BM$1006,0)))),"Fix")))</f>
        <v xml:space="preserve"> </v>
      </c>
      <c r="P960" s="4" t="str">
        <f ca="1">IF(OR(INDEX($AG$2:$AG$1001,MATCH(ROWS($AF$2:AF960),$AF$2:$AF$1001,0),1)&gt;=100000,INDEX($AM$1005:$BM$1005,1,MATCH(COLUMNS($AM$1006:BA1006),$AM$1006:$BM$1006,0))&gt;=100000), " ",IF(INDEX($AM$2:$BM$1001,MATCH(ROWS($AF$2:AF960),$AF$2:$AF$1001,0),MATCH(COLUMNS($AM$1006:BA1006),$AM$1006:$BM$1006,0)), HYPERLINK("#",""), HYPERLINK(CONCATENATE("#metadata!", ADDRESS(INDEX($AH$2:$AH$1001,MATCH(ROWS($AF$2:AF960),$AF$2:$AF$1001,0),0), INDEX($AM$1004:$BM$1004,1,MATCH(COLUMNS($AM$1006:BA1006),$AM$1006:$BM$1006,0)))),"Fix")))</f>
        <v xml:space="preserve"> </v>
      </c>
      <c r="Q960" s="4" t="str">
        <f ca="1">IF(OR(INDEX($AG$2:$AG$1001,MATCH(ROWS($AF$2:AF960),$AF$2:$AF$1001,0),1)&gt;=100000,INDEX($AM$1005:$BM$1005,1,MATCH(COLUMNS($AM$1006:BB1006),$AM$1006:$BM$1006,0))&gt;=100000), " ",IF(INDEX($AM$2:$BM$1001,MATCH(ROWS($AF$2:AF960),$AF$2:$AF$1001,0),MATCH(COLUMNS($AM$1006:BB1006),$AM$1006:$BM$1006,0)), HYPERLINK("#",""), HYPERLINK(CONCATENATE("#metadata!", ADDRESS(INDEX($AH$2:$AH$1001,MATCH(ROWS($AF$2:AF960),$AF$2:$AF$1001,0),0), INDEX($AM$1004:$BM$1004,1,MATCH(COLUMNS($AM$1006:BB1006),$AM$1006:$BM$1006,0)))),"Fix")))</f>
        <v xml:space="preserve"> </v>
      </c>
      <c r="R960" s="4" t="str">
        <f ca="1">IF(OR(INDEX($AG$2:$AG$1001,MATCH(ROWS($AF$2:AF960),$AF$2:$AF$1001,0),1)&gt;=100000,INDEX($AM$1005:$BM$1005,1,MATCH(COLUMNS($AM$1006:BC1006),$AM$1006:$BM$1006,0))&gt;=100000), " ",IF(INDEX($AM$2:$BM$1001,MATCH(ROWS($AF$2:AF960),$AF$2:$AF$1001,0),MATCH(COLUMNS($AM$1006:BC1006),$AM$1006:$BM$1006,0)), HYPERLINK("#",""), HYPERLINK(CONCATENATE("#metadata!", ADDRESS(INDEX($AH$2:$AH$1001,MATCH(ROWS($AF$2:AF960),$AF$2:$AF$1001,0),0), INDEX($AM$1004:$BM$1004,1,MATCH(COLUMNS($AM$1006:BC1006),$AM$1006:$BM$1006,0)))),"Fix")))</f>
        <v xml:space="preserve"> </v>
      </c>
      <c r="S960" s="4" t="str">
        <f ca="1">IF(OR(INDEX($AG$2:$AG$1001,MATCH(ROWS($AF$2:AF960),$AF$2:$AF$1001,0),1)&gt;=100000,INDEX($AM$1005:$BM$1005,1,MATCH(COLUMNS($AM$1006:BD1006),$AM$1006:$BM$1006,0))&gt;=100000), " ",IF(INDEX($AM$2:$BM$1001,MATCH(ROWS($AF$2:AF960),$AF$2:$AF$1001,0),MATCH(COLUMNS($AM$1006:BD1006),$AM$1006:$BM$1006,0)), HYPERLINK("#",""), HYPERLINK(CONCATENATE("#metadata!", ADDRESS(INDEX($AH$2:$AH$1001,MATCH(ROWS($AF$2:AF960),$AF$2:$AF$1001,0),0), INDEX($AM$1004:$BM$1004,1,MATCH(COLUMNS($AM$1006:BD1006),$AM$1006:$BM$1006,0)))),"Fix")))</f>
        <v xml:space="preserve"> </v>
      </c>
      <c r="T960" s="4" t="str">
        <f ca="1">IF(OR(INDEX($AG$2:$AG$1001,MATCH(ROWS($AF$2:AF960),$AF$2:$AF$1001,0),1)&gt;=100000,INDEX($AM$1005:$BM$1005,1,MATCH(COLUMNS($AM$1006:BE1006),$AM$1006:$BM$1006,0))&gt;=100000), " ",IF(INDEX($AM$2:$BM$1001,MATCH(ROWS($AF$2:AF960),$AF$2:$AF$1001,0),MATCH(COLUMNS($AM$1006:BE1006),$AM$1006:$BM$1006,0)), HYPERLINK("#",""), HYPERLINK(CONCATENATE("#metadata!", ADDRESS(INDEX($AH$2:$AH$1001,MATCH(ROWS($AF$2:AF960),$AF$2:$AF$1001,0),0), INDEX($AM$1004:$BM$1004,1,MATCH(COLUMNS($AM$1006:BE1006),$AM$1006:$BM$1006,0)))),"Fix")))</f>
        <v xml:space="preserve"> </v>
      </c>
      <c r="U960" s="4" t="str">
        <f ca="1">IF(OR(INDEX($AG$2:$AG$1001,MATCH(ROWS($AF$2:AF960),$AF$2:$AF$1001,0),1)&gt;=100000,INDEX($AM$1005:$BM$1005,1,MATCH(COLUMNS($AM$1006:BF1006),$AM$1006:$BM$1006,0))&gt;=100000), " ",IF(INDEX($AM$2:$BM$1001,MATCH(ROWS($AF$2:AF960),$AF$2:$AF$1001,0),MATCH(COLUMNS($AM$1006:BF1006),$AM$1006:$BM$1006,0)), HYPERLINK("#",""), HYPERLINK(CONCATENATE("#metadata!", ADDRESS(INDEX($AH$2:$AH$1001,MATCH(ROWS($AF$2:AF960),$AF$2:$AF$1001,0),0), INDEX($AM$1004:$BM$1004,1,MATCH(COLUMNS($AM$1006:BF1006),$AM$1006:$BM$1006,0)))),"Fix")))</f>
        <v xml:space="preserve"> </v>
      </c>
      <c r="V960" s="4" t="str">
        <f ca="1">IF(OR(INDEX($AG$2:$AG$1001,MATCH(ROWS($AF$2:AF960),$AF$2:$AF$1001,0),1)&gt;=100000,INDEX($AM$1005:$BM$1005,1,MATCH(COLUMNS($AM$1006:BG1006),$AM$1006:$BM$1006,0))&gt;=100000), " ",IF(INDEX($AM$2:$BM$1001,MATCH(ROWS($AF$2:AF960),$AF$2:$AF$1001,0),MATCH(COLUMNS($AM$1006:BG1006),$AM$1006:$BM$1006,0)), HYPERLINK("#",""), HYPERLINK(CONCATENATE("#metadata!", ADDRESS(INDEX($AH$2:$AH$1001,MATCH(ROWS($AF$2:AF960),$AF$2:$AF$1001,0),0), INDEX($AM$1004:$BM$1004,1,MATCH(COLUMNS($AM$1006:BG1006),$AM$1006:$BM$1006,0)))),"Fix")))</f>
        <v xml:space="preserve"> </v>
      </c>
      <c r="W960" s="4" t="str">
        <f ca="1">IF(OR(INDEX($AG$2:$AG$1001,MATCH(ROWS($AF$2:AF960),$AF$2:$AF$1001,0),1)&gt;=100000,INDEX($AM$1005:$BM$1005,1,MATCH(COLUMNS($AM$1006:BH1006),$AM$1006:$BM$1006,0))&gt;=100000), " ",IF(INDEX($AM$2:$BM$1001,MATCH(ROWS($AF$2:AF960),$AF$2:$AF$1001,0),MATCH(COLUMNS($AM$1006:BH1006),$AM$1006:$BM$1006,0)), HYPERLINK("#",""), HYPERLINK(CONCATENATE("#metadata!", ADDRESS(INDEX($AH$2:$AH$1001,MATCH(ROWS($AF$2:AF960),$AF$2:$AF$1001,0),0), INDEX($AM$1004:$BM$1004,1,MATCH(COLUMNS($AM$1006:BH1006),$AM$1006:$BM$1006,0)))),"Fix")))</f>
        <v xml:space="preserve"> </v>
      </c>
      <c r="X960" s="4" t="str">
        <f ca="1">IF(OR(INDEX($AG$2:$AG$1001,MATCH(ROWS($AF$2:AF960),$AF$2:$AF$1001,0),1)&gt;=100000,INDEX($AM$1005:$BM$1005,1,MATCH(COLUMNS($AM$1006:BI1006),$AM$1006:$BM$1006,0))&gt;=100000), " ",IF(INDEX($AM$2:$BM$1001,MATCH(ROWS($AF$2:AF960),$AF$2:$AF$1001,0),MATCH(COLUMNS($AM$1006:BI1006),$AM$1006:$BM$1006,0)), HYPERLINK("#",""), HYPERLINK(CONCATENATE("#metadata!", ADDRESS(INDEX($AH$2:$AH$1001,MATCH(ROWS($AF$2:AF960),$AF$2:$AF$1001,0),0), INDEX($AM$1004:$BM$1004,1,MATCH(COLUMNS($AM$1006:BI1006),$AM$1006:$BM$1006,0)))),"Fix")))</f>
        <v xml:space="preserve"> </v>
      </c>
      <c r="Y960" s="4" t="str">
        <f ca="1">IF(OR(INDEX($AG$2:$AG$1001,MATCH(ROWS($AF$2:AF960),$AF$2:$AF$1001,0),1)&gt;=100000,INDEX($AM$1005:$BM$1005,1,MATCH(COLUMNS($AM$1006:BJ1006),$AM$1006:$BM$1006,0))&gt;=100000), " ",IF(INDEX($AM$2:$BM$1001,MATCH(ROWS($AF$2:AF960),$AF$2:$AF$1001,0),MATCH(COLUMNS($AM$1006:BJ1006),$AM$1006:$BM$1006,0)), HYPERLINK("#",""), HYPERLINK(CONCATENATE("#metadata!", ADDRESS(INDEX($AH$2:$AH$1001,MATCH(ROWS($AF$2:AF960),$AF$2:$AF$1001,0),0), INDEX($AM$1004:$BM$1004,1,MATCH(COLUMNS($AM$1006:BJ1006),$AM$1006:$BM$1006,0)))),"Fix")))</f>
        <v xml:space="preserve"> </v>
      </c>
      <c r="Z960" s="4" t="str">
        <f ca="1">IF(OR(INDEX($AG$2:$AG$1001,MATCH(ROWS($AF$2:AF960),$AF$2:$AF$1001,0),1)&gt;=100000,INDEX($AM$1005:$BM$1005,1,MATCH(COLUMNS($AM$1006:BK1006),$AM$1006:$BM$1006,0))&gt;=100000), " ",IF(INDEX($AM$2:$BM$1001,MATCH(ROWS($AF$2:AF960),$AF$2:$AF$1001,0),MATCH(COLUMNS($AM$1006:BK1006),$AM$1006:$BM$1006,0)), HYPERLINK("#",""), HYPERLINK(CONCATENATE("#metadata!", ADDRESS(INDEX($AH$2:$AH$1001,MATCH(ROWS($AF$2:AF960),$AF$2:$AF$1001,0),0), INDEX($AM$1004:$BM$1004,1,MATCH(COLUMNS($AM$1006:BK1006),$AM$1006:$BM$1006,0)))),"Fix")))</f>
        <v xml:space="preserve"> </v>
      </c>
      <c r="AA960" s="4" t="str">
        <f ca="1">IF(OR(INDEX($AG$2:$AG$1001,MATCH(ROWS($AF$2:AF960),$AF$2:$AF$1001,0),1)&gt;=100000,INDEX($AM$1005:$BM$1005,1,MATCH(COLUMNS($AM$1006:BL1006),$AM$1006:$BM$1006,0))&gt;=100000), " ",IF(INDEX($AM$2:$BM$1001,MATCH(ROWS($AF$2:AF960),$AF$2:$AF$1001,0),MATCH(COLUMNS($AM$1006:BL1006),$AM$1006:$BM$1006,0)), HYPERLINK("#",""), HYPERLINK(CONCATENATE("#metadata!", ADDRESS(INDEX($AH$2:$AH$1001,MATCH(ROWS($AF$2:AF960),$AF$2:$AF$1001,0),0), INDEX($AM$1004:$BM$1004,1,MATCH(COLUMNS($AM$1006:BL1006),$AM$1006:$BM$1006,0)))),"Fix")))</f>
        <v xml:space="preserve"> </v>
      </c>
      <c r="AB960" s="4" t="str">
        <f ca="1">IF(OR(INDEX($AG$2:$AG$1001,MATCH(ROWS($AF$2:AF960),$AF$2:$AF$1001,0),1)&gt;=100000,INDEX($AM$1005:$BM$1005,1,MATCH(COLUMNS($AM$1006:BM1006),$AM$1006:$BM$1006,0))&gt;=100000), " ",IF(INDEX($AM$2:$BM$1001,MATCH(ROWS($AF$2:AF960),$AF$2:$AF$1001,0),MATCH(COLUMNS($AM$1006:BM1006),$AM$1006:$BM$1006,0)), HYPERLINK("#",""), HYPERLINK(CONCATENATE("#metadata!", ADDRESS(INDEX($AH$2:$AH$1001,MATCH(ROWS($AF$2:AF960),$AF$2:$AF$1001,0),0), INDEX($AM$1004:$BM$1004,1,MATCH(COLUMNS($AM$1006:BM1006),$AM$1006:$BM$1006,0)))),"Fix")))</f>
        <v xml:space="preserve"> </v>
      </c>
      <c r="AF960">
        <v>959</v>
      </c>
      <c r="AG960">
        <v>100960</v>
      </c>
      <c r="AH960">
        <v>960</v>
      </c>
      <c r="AI960" t="b">
        <f t="shared" si="14"/>
        <v>1</v>
      </c>
      <c r="AJ960" t="b">
        <f>COUNTBLANK(metadata!B960:AB960)=COLUMNS(metadata!B960:AB960)</f>
        <v>1</v>
      </c>
      <c r="AK960" t="str">
        <v/>
      </c>
      <c r="AM960" t="b">
        <f ca="1">AND(IF(metadata!B960="",FALSE,TRUE),COUNTIF(metadata!B:B, metadata!B960) = 1,NOT(ISERROR(SUMPRODUCT(SEARCH(MID(metadata!B960,ROW(INDIRECT("1:"&amp;LEN(metadata!B960))), 1),"0123456789abcdefghijklmnopqrstuvwxyzABCDEFGHIJKLMNOPQRSTUVWXYZ.")))))</f>
        <v>0</v>
      </c>
      <c r="AN960" t="b">
        <f ca="1">OR(AND(IF(metadata!C960="",FALSE,TRUE),OR(EXACT(metadata!C960,"missing: not collected"),EXACT(metadata!C960,"missing: not provided"),EXACT(metadata!C960,"missing: restricted access"))),AND(IF(metadata!C960="",FALSE,TRUE),AND(AND(IFERROR(INT(LEFT(metadata!C960,4))&gt;1900,FALSE),IFERROR(INT(LEFT(metadata!C960,4))&lt;=YEAR(NOW()),FALSE)), OR(MID(metadata!C960,5,1)="", AND(AND(MID(metadata!C960,5,1)="-",IFERROR(INT(MID(metadata!C960,6,1))&gt;=0,FALSE),IFERROR(INT(MID(metadata!C960,6,1))&lt;=1,FALSE),NOT(MID(metadata!C960,7,1)=""),IFERROR(INT(MID(metadata!C960,6,2))&gt;=1,FALSE),IFERROR(INT(MID(metadata!C960,6,2))&lt;=12,FALSE)), OR(MID(metadata!C960,8,1)="", AND(AND(MID(metadata!C960,8,1)="-",IFERROR(INT(MID(metadata!C960,9,1))&gt;=0,FALSE),IFERROR(INT(MID(metadata!C960,9,1))&lt;=3,FALSE),NOT(MID(metadata!C960,10,1)=""),IFERROR(INT(MID(metadata!C960,9,2))&gt;=1,FALSE),IFERROR(INT(MID(metadata!C960,9,2))&lt;=31,FALSE)), OR(MID(metadata!C960,11,1)="", AND(AND(MID(metadata!C960,11,1)=" ",IFERROR(INT(MID(metadata!C960,12,1))&gt;=0,FALSE),IFERROR(INT(MID(metadata!C960,12,1))&lt;=2,FALSE),NOT(MID(metadata!C960,13,1)=""),IFERROR(INT(MID(metadata!C960,12,2))&gt;=0,FALSE),IFERROR(INT(MID(metadata!C960,12,2))&lt;=23,FALSE)), OR(MID(metadata!C960,14,1)="", AND(AND(MID(metadata!C960,14,1)=":",IFERROR(INT(MID(metadata!C960,15,1))&gt;=0,FALSE),IFERROR(INT(MID(metadata!C960,15,1))&lt;=5,FALSE),NOT(MID(metadata!C960,16,1)=""),IFERROR(INT(MID(metadata!C960,15,2))&gt;=0,FALSE),IFERROR(INT(MID(metadata!C960,15,2))&lt;=59,FALSE)), OR(MID(metadata!C960,17,1)="", AND(AND(MID(metadata!C960,17,1)=":",IFERROR(INT(MID(metadata!C960,18,1))&gt;=0,FALSE),IFERROR(INT(MID(metadata!C960,18,1))&lt;=5,FALSE),NOT(MID(metadata!C960,19,1)=""),IFERROR(INT(MID(metadata!C960,18,2))&gt;=0,FALSE),IFERROR(INT(MID(metadata!C960,18,2))&lt;=59,FALSE)), LEN(metadata!C960)&lt;=19)))))))))))))</f>
        <v>0</v>
      </c>
      <c r="AO960" t="b">
        <f>AND(IF(metadata!D960="",FALSE,TRUE),EXACT(metadata!D960,"Not applicable"))</f>
        <v>0</v>
      </c>
      <c r="AP960" t="b">
        <f>IF(metadata!E960="",FALSE,TRUE)</f>
        <v>0</v>
      </c>
      <c r="AQ960" t="b">
        <f>OR(AND(IF(metadata!F960="",FALSE,TRUE),OR(EXACT(metadata!F960,"missing: not collected"),EXACT(metadata!F960,"missing: not provided"))),AND(IF(metadata!F960="",FALSE,TRUE),OR(EXACT(metadata!F960,"TRUE"),EXACT(metadata!F960,"FALSE"))))</f>
        <v>0</v>
      </c>
      <c r="AR960" t="b">
        <f>OR(AND(IF(metadata!G960="",FALSE,TRUE),OR(EXACT(metadata!G960,"missing: not collected"),EXACT(metadata!G960,"missing: not provided"),EXACT(metadata!G960,"missing: restricted access"))),AND(IF(metadata!G960="",FALSE,ISNUMBER(VALUE(metadata!G960))),metadata!G960&gt;=-413))</f>
        <v>0</v>
      </c>
      <c r="AS960" t="b">
        <f>AND(IF(metadata!H960="",FALSE,TRUE),EXACT(metadata!H960,"meters"))</f>
        <v>0</v>
      </c>
      <c r="AT960" t="b">
        <f>AND(IF(metadata!I960="",FALSE,TRUE),OR(EXACT(metadata!I960,"Host-associated"),EXACT(metadata!I960,"Free-living")))</f>
        <v>0</v>
      </c>
      <c r="AU960" t="b">
        <f>AND(IF(metadata!J960="",FALSE,TRUE),OR(EXACT(metadata!J960,"Animal"),EXACT(metadata!J960,"Fungus"),EXACT(metadata!J960,"Plant"),EXACT(metadata!J960,"Saline"),EXACT(metadata!J960,"Non-saline")))</f>
        <v>0</v>
      </c>
      <c r="AV960" t="b">
        <f>AND(IF(metadata!K960="",FALSE,TRUE),OR(EXACT(metadata!K960,"Plant secretion"),EXACT(metadata!K960,"Plant rhizosphere"),EXACT(metadata!K960,"Plant surface"),EXACT(metadata!K960,"Plant corpus"),EXACT(metadata!K960,"Fungus surface"),EXACT(metadata!K960,"Fungus corpus"),EXACT(metadata!K960,"Animal surface"),EXACT(metadata!K960,"Animal proximal gut"),EXACT(metadata!K960,"Animal corpus"),EXACT(metadata!K960,"Animal distal gut"),EXACT(metadata!K960,"Animal secretion"),EXACT(metadata!K960,"Sub-surface (non-saline)"),EXACT(metadata!K960,"Surface (non-saline)"),EXACT(metadata!K960,"Water (non-saline)"),EXACT(metadata!K960,"Soil (non-saline)"),EXACT(metadata!K960,"Aerosol (non-saline)"),EXACT(metadata!K960,"Sediment (non-saline)"),EXACT(metadata!K960,"Surface (saline)"),EXACT(metadata!K960,"Water (saline)"),EXACT(metadata!K960,"Hypersaline (saline)"),EXACT(metadata!K960,"Aerosol (saline)"),EXACT(metadata!K960,"Sediment (saline)")))</f>
        <v>0</v>
      </c>
      <c r="AW960" t="b">
        <f>IF(metadata!L960="",FALSE,TRUE)</f>
        <v>0</v>
      </c>
      <c r="AX960" t="b">
        <f>IF(metadata!M960="",FALSE,TRUE)</f>
        <v>0</v>
      </c>
      <c r="AY960" t="b">
        <f>IF(metadata!N960="",FALSE,TRUE)</f>
        <v>0</v>
      </c>
      <c r="AZ960" t="b">
        <f>OR(AND(IF(metadata!O960="",FALSE,TRUE),OR(EXACT(metadata!O960,"missing: not collected"),EXACT(metadata!O960,"missing: not provided"),EXACT(metadata!O960,"missing: restricted access"))),AND(IF(metadata!O960="",FALSE,TRUE),OR(EXACT(metadata!O960,"air"),EXACT(metadata!O960,"built environment"),EXACT(metadata!O960,"host-associated"),EXACT(metadata!O960,"human-associated"),EXACT(metadata!O960,"human-skin"),EXACT(metadata!O960,"human-oral"),EXACT(metadata!O960,"human-gut"),EXACT(metadata!O960,"human-vaginal"),EXACT(metadata!O960,"microbial mat/biofilm"),EXACT(metadata!O960,"misc environment"),EXACT(metadata!O960,"plant-associated"),EXACT(metadata!O960,"sediment"),EXACT(metadata!O960,"soil"),EXACT(metadata!O960,"wastewater/sludge"),EXACT(metadata!O960,"water"))))</f>
        <v>0</v>
      </c>
      <c r="BA960" t="b">
        <f>IF(metadata!P960="",FALSE,TRUE)</f>
        <v>0</v>
      </c>
      <c r="BB960" t="b">
        <f>IF(metadata!Q960="",FALSE,TRUE)</f>
        <v>0</v>
      </c>
      <c r="BC960" t="b">
        <f>OR(AND(IF(metadata!R960="",FALSE,TRUE),OR(EXACT(metadata!R960,"missing: not collected"),EXACT(metadata!R960,"missing: not provided"),EXACT(metadata!R960,"missing: restricted access"))),AND(IF(metadata!R960="",FALSE,ISNUMBER(VALUE(metadata!R960))),metadata!R960&gt;=-90,metadata!R960&lt;=90))</f>
        <v>0</v>
      </c>
      <c r="BD960" t="b">
        <f>AND(IF(metadata!S960="",FALSE,TRUE),EXACT(metadata!S960,"Decimal degrees"))</f>
        <v>0</v>
      </c>
      <c r="BE960" t="b">
        <f>OR(AND(IF(metadata!T960="",FALSE,TRUE),OR(EXACT(metadata!T960,"missing: not collected"),EXACT(metadata!T960,"missing: not provided"),EXACT(metadata!T960,"missing: restricted access"))),AND(IF(metadata!T960="",FALSE,ISNUMBER(VALUE(metadata!T960))),metadata!T960&gt;=-180,metadata!T960&lt;=180))</f>
        <v>0</v>
      </c>
      <c r="BF960" t="b">
        <f>AND(IF(metadata!U960="",FALSE,TRUE),EXACT(metadata!U960,"Decimal degrees"))</f>
        <v>0</v>
      </c>
      <c r="BG960" t="b">
        <f>IF(metadata!V960="",FALSE,TRUE)</f>
        <v>0</v>
      </c>
      <c r="BH960" t="b">
        <f>OR(AND(IF(metadata!W960="",FALSE,TRUE),OR(EXACT(metadata!W960,"missing: not collected"),EXACT(metadata!W960,"missing: not provided"),EXACT(metadata!W960,"missing: restricted access"))),AND(IF(metadata!W960="",FALSE,TRUE),OR(EXACT(metadata!W960,"TRUE"),EXACT(metadata!W960,"FALSE"))))</f>
        <v>0</v>
      </c>
      <c r="BI960" t="b">
        <f>AND(IF(metadata!X960="",FALSE,TRUE),EXACT(metadata!X960,"other"))</f>
        <v>0</v>
      </c>
      <c r="BJ960" t="b">
        <f>IF(metadata!Y960="",FALSE,TRUE)</f>
        <v>0</v>
      </c>
      <c r="BK960" t="b">
        <f>OR(AND(IF(metadata!Z960="",FALSE,TRUE),OR(EXACT(metadata!Z960,"missing: not collected"),EXACT(metadata!Z960,"missing: not provided"))),AND(IF(metadata!Z960="",FALSE,IF(ISERROR(INT(metadata!Z960)),FALSE,INT(metadata!Z960)=metadata!Z960)),metadata!Z960&gt;0))</f>
        <v>0</v>
      </c>
      <c r="BL960" t="b">
        <f>AND(IF(metadata!AA960="",FALSE,TRUE),EXACT(metadata!AA960,"Not applicable"))</f>
        <v>0</v>
      </c>
      <c r="BM960" t="b">
        <f>IF(metadata!AB960="",FALSE,TRUE)</f>
        <v>0</v>
      </c>
    </row>
    <row r="961" spans="1:65" x14ac:dyDescent="0.2">
      <c r="A961" s="5" t="str">
        <f ca="1">IF(B961=" "," ",HYPERLINK(CONCATENATE("#metadata!",ADDRESS(INDEX($AH$2:$AH$1001,MATCH(ROWS($AF$2:AF961),$AF$2:$AF$1001,0),0),1)),INDEX($AK$2:$AK$1001,MATCH(ROWS($AF$2:AF961),$AF$2:$AF$1001,0),0)))</f>
        <v xml:space="preserve"> </v>
      </c>
      <c r="B961" s="4" t="str">
        <f ca="1">IF(OR(INDEX($AG$2:$AG$1001,MATCH(ROWS($AF$2:AF961),$AF$2:$AF$1001,0),1)&gt;=100000,INDEX($AM$1005:$BM$1005,1,MATCH(COLUMNS($AM$1006:AM1006),$AM$1006:$BM$1006,0))&gt;=100000), " ",IF(INDEX($AM$2:$BM$1001,MATCH(ROWS($AF$2:AF961),$AF$2:$AF$1001,0),MATCH(COLUMNS($AM$1006:AM1006),$AM$1006:$BM$1006,0)), HYPERLINK("#",""), HYPERLINK(CONCATENATE("#metadata!", ADDRESS(INDEX($AH$2:$AH$1001,MATCH(ROWS($AF$2:AF961),$AF$2:$AF$1001,0),0), INDEX($AM$1004:$BM$1004,1,MATCH(COLUMNS($AM$1006:AM1006),$AM$1006:$BM$1006,0)))),"Fix")))</f>
        <v xml:space="preserve"> </v>
      </c>
      <c r="C961" s="4" t="str">
        <f ca="1">IF(OR(INDEX($AG$2:$AG$1001,MATCH(ROWS($AF$2:AF961),$AF$2:$AF$1001,0),1)&gt;=100000,INDEX($AM$1005:$BM$1005,1,MATCH(COLUMNS($AM$1006:AN1006),$AM$1006:$BM$1006,0))&gt;=100000), " ",IF(INDEX($AM$2:$BM$1001,MATCH(ROWS($AF$2:AF961),$AF$2:$AF$1001,0),MATCH(COLUMNS($AM$1006:AN1006),$AM$1006:$BM$1006,0)), HYPERLINK("#",""), HYPERLINK(CONCATENATE("#metadata!", ADDRESS(INDEX($AH$2:$AH$1001,MATCH(ROWS($AF$2:AF961),$AF$2:$AF$1001,0),0), INDEX($AM$1004:$BM$1004,1,MATCH(COLUMNS($AM$1006:AN1006),$AM$1006:$BM$1006,0)))),"Fix")))</f>
        <v xml:space="preserve"> </v>
      </c>
      <c r="D961" s="4" t="str">
        <f ca="1">IF(OR(INDEX($AG$2:$AG$1001,MATCH(ROWS($AF$2:AF961),$AF$2:$AF$1001,0),1)&gt;=100000,INDEX($AM$1005:$BM$1005,1,MATCH(COLUMNS($AM$1006:AO1006),$AM$1006:$BM$1006,0))&gt;=100000), " ",IF(INDEX($AM$2:$BM$1001,MATCH(ROWS($AF$2:AF961),$AF$2:$AF$1001,0),MATCH(COLUMNS($AM$1006:AO1006),$AM$1006:$BM$1006,0)), HYPERLINK("#",""), HYPERLINK(CONCATENATE("#metadata!", ADDRESS(INDEX($AH$2:$AH$1001,MATCH(ROWS($AF$2:AF961),$AF$2:$AF$1001,0),0), INDEX($AM$1004:$BM$1004,1,MATCH(COLUMNS($AM$1006:AO1006),$AM$1006:$BM$1006,0)))),"Fix")))</f>
        <v xml:space="preserve"> </v>
      </c>
      <c r="E961" s="4" t="str">
        <f ca="1">IF(OR(INDEX($AG$2:$AG$1001,MATCH(ROWS($AF$2:AF961),$AF$2:$AF$1001,0),1)&gt;=100000,INDEX($AM$1005:$BM$1005,1,MATCH(COLUMNS($AM$1006:AP1006),$AM$1006:$BM$1006,0))&gt;=100000), " ",IF(INDEX($AM$2:$BM$1001,MATCH(ROWS($AF$2:AF961),$AF$2:$AF$1001,0),MATCH(COLUMNS($AM$1006:AP1006),$AM$1006:$BM$1006,0)), HYPERLINK("#",""), HYPERLINK(CONCATENATE("#metadata!", ADDRESS(INDEX($AH$2:$AH$1001,MATCH(ROWS($AF$2:AF961),$AF$2:$AF$1001,0),0), INDEX($AM$1004:$BM$1004,1,MATCH(COLUMNS($AM$1006:AP1006),$AM$1006:$BM$1006,0)))),"Fix")))</f>
        <v xml:space="preserve"> </v>
      </c>
      <c r="F961" s="4" t="str">
        <f ca="1">IF(OR(INDEX($AG$2:$AG$1001,MATCH(ROWS($AF$2:AF961),$AF$2:$AF$1001,0),1)&gt;=100000,INDEX($AM$1005:$BM$1005,1,MATCH(COLUMNS($AM$1006:AQ1006),$AM$1006:$BM$1006,0))&gt;=100000), " ",IF(INDEX($AM$2:$BM$1001,MATCH(ROWS($AF$2:AF961),$AF$2:$AF$1001,0),MATCH(COLUMNS($AM$1006:AQ1006),$AM$1006:$BM$1006,0)), HYPERLINK("#",""), HYPERLINK(CONCATENATE("#metadata!", ADDRESS(INDEX($AH$2:$AH$1001,MATCH(ROWS($AF$2:AF961),$AF$2:$AF$1001,0),0), INDEX($AM$1004:$BM$1004,1,MATCH(COLUMNS($AM$1006:AQ1006),$AM$1006:$BM$1006,0)))),"Fix")))</f>
        <v xml:space="preserve"> </v>
      </c>
      <c r="G961" s="4" t="str">
        <f ca="1">IF(OR(INDEX($AG$2:$AG$1001,MATCH(ROWS($AF$2:AF961),$AF$2:$AF$1001,0),1)&gt;=100000,INDEX($AM$1005:$BM$1005,1,MATCH(COLUMNS($AM$1006:AR1006),$AM$1006:$BM$1006,0))&gt;=100000), " ",IF(INDEX($AM$2:$BM$1001,MATCH(ROWS($AF$2:AF961),$AF$2:$AF$1001,0),MATCH(COLUMNS($AM$1006:AR1006),$AM$1006:$BM$1006,0)), HYPERLINK("#",""), HYPERLINK(CONCATENATE("#metadata!", ADDRESS(INDEX($AH$2:$AH$1001,MATCH(ROWS($AF$2:AF961),$AF$2:$AF$1001,0),0), INDEX($AM$1004:$BM$1004,1,MATCH(COLUMNS($AM$1006:AR1006),$AM$1006:$BM$1006,0)))),"Fix")))</f>
        <v xml:space="preserve"> </v>
      </c>
      <c r="H961" s="4" t="str">
        <f ca="1">IF(OR(INDEX($AG$2:$AG$1001,MATCH(ROWS($AF$2:AF961),$AF$2:$AF$1001,0),1)&gt;=100000,INDEX($AM$1005:$BM$1005,1,MATCH(COLUMNS($AM$1006:AS1006),$AM$1006:$BM$1006,0))&gt;=100000), " ",IF(INDEX($AM$2:$BM$1001,MATCH(ROWS($AF$2:AF961),$AF$2:$AF$1001,0),MATCH(COLUMNS($AM$1006:AS1006),$AM$1006:$BM$1006,0)), HYPERLINK("#",""), HYPERLINK(CONCATENATE("#metadata!", ADDRESS(INDEX($AH$2:$AH$1001,MATCH(ROWS($AF$2:AF961),$AF$2:$AF$1001,0),0), INDEX($AM$1004:$BM$1004,1,MATCH(COLUMNS($AM$1006:AS1006),$AM$1006:$BM$1006,0)))),"Fix")))</f>
        <v xml:space="preserve"> </v>
      </c>
      <c r="I961" s="4" t="str">
        <f ca="1">IF(OR(INDEX($AG$2:$AG$1001,MATCH(ROWS($AF$2:AF961),$AF$2:$AF$1001,0),1)&gt;=100000,INDEX($AM$1005:$BM$1005,1,MATCH(COLUMNS($AM$1006:AT1006),$AM$1006:$BM$1006,0))&gt;=100000), " ",IF(INDEX($AM$2:$BM$1001,MATCH(ROWS($AF$2:AF961),$AF$2:$AF$1001,0),MATCH(COLUMNS($AM$1006:AT1006),$AM$1006:$BM$1006,0)), HYPERLINK("#",""), HYPERLINK(CONCATENATE("#metadata!", ADDRESS(INDEX($AH$2:$AH$1001,MATCH(ROWS($AF$2:AF961),$AF$2:$AF$1001,0),0), INDEX($AM$1004:$BM$1004,1,MATCH(COLUMNS($AM$1006:AT1006),$AM$1006:$BM$1006,0)))),"Fix")))</f>
        <v xml:space="preserve"> </v>
      </c>
      <c r="J961" s="4" t="str">
        <f ca="1">IF(OR(INDEX($AG$2:$AG$1001,MATCH(ROWS($AF$2:AF961),$AF$2:$AF$1001,0),1)&gt;=100000,INDEX($AM$1005:$BM$1005,1,MATCH(COLUMNS($AM$1006:AU1006),$AM$1006:$BM$1006,0))&gt;=100000), " ",IF(INDEX($AM$2:$BM$1001,MATCH(ROWS($AF$2:AF961),$AF$2:$AF$1001,0),MATCH(COLUMNS($AM$1006:AU1006),$AM$1006:$BM$1006,0)), HYPERLINK("#",""), HYPERLINK(CONCATENATE("#metadata!", ADDRESS(INDEX($AH$2:$AH$1001,MATCH(ROWS($AF$2:AF961),$AF$2:$AF$1001,0),0), INDEX($AM$1004:$BM$1004,1,MATCH(COLUMNS($AM$1006:AU1006),$AM$1006:$BM$1006,0)))),"Fix")))</f>
        <v xml:space="preserve"> </v>
      </c>
      <c r="K961" s="4" t="str">
        <f ca="1">IF(OR(INDEX($AG$2:$AG$1001,MATCH(ROWS($AF$2:AF961),$AF$2:$AF$1001,0),1)&gt;=100000,INDEX($AM$1005:$BM$1005,1,MATCH(COLUMNS($AM$1006:AV1006),$AM$1006:$BM$1006,0))&gt;=100000), " ",IF(INDEX($AM$2:$BM$1001,MATCH(ROWS($AF$2:AF961),$AF$2:$AF$1001,0),MATCH(COLUMNS($AM$1006:AV1006),$AM$1006:$BM$1006,0)), HYPERLINK("#",""), HYPERLINK(CONCATENATE("#metadata!", ADDRESS(INDEX($AH$2:$AH$1001,MATCH(ROWS($AF$2:AF961),$AF$2:$AF$1001,0),0), INDEX($AM$1004:$BM$1004,1,MATCH(COLUMNS($AM$1006:AV1006),$AM$1006:$BM$1006,0)))),"Fix")))</f>
        <v xml:space="preserve"> </v>
      </c>
      <c r="L961" s="4" t="str">
        <f ca="1">IF(OR(INDEX($AG$2:$AG$1001,MATCH(ROWS($AF$2:AF961),$AF$2:$AF$1001,0),1)&gt;=100000,INDEX($AM$1005:$BM$1005,1,MATCH(COLUMNS($AM$1006:AW1006),$AM$1006:$BM$1006,0))&gt;=100000), " ",IF(INDEX($AM$2:$BM$1001,MATCH(ROWS($AF$2:AF961),$AF$2:$AF$1001,0),MATCH(COLUMNS($AM$1006:AW1006),$AM$1006:$BM$1006,0)), HYPERLINK("#",""), HYPERLINK(CONCATENATE("#metadata!", ADDRESS(INDEX($AH$2:$AH$1001,MATCH(ROWS($AF$2:AF961),$AF$2:$AF$1001,0),0), INDEX($AM$1004:$BM$1004,1,MATCH(COLUMNS($AM$1006:AW1006),$AM$1006:$BM$1006,0)))),"Fix")))</f>
        <v xml:space="preserve"> </v>
      </c>
      <c r="M961" s="4" t="str">
        <f ca="1">IF(OR(INDEX($AG$2:$AG$1001,MATCH(ROWS($AF$2:AF961),$AF$2:$AF$1001,0),1)&gt;=100000,INDEX($AM$1005:$BM$1005,1,MATCH(COLUMNS($AM$1006:AX1006),$AM$1006:$BM$1006,0))&gt;=100000), " ",IF(INDEX($AM$2:$BM$1001,MATCH(ROWS($AF$2:AF961),$AF$2:$AF$1001,0),MATCH(COLUMNS($AM$1006:AX1006),$AM$1006:$BM$1006,0)), HYPERLINK("#",""), HYPERLINK(CONCATENATE("#metadata!", ADDRESS(INDEX($AH$2:$AH$1001,MATCH(ROWS($AF$2:AF961),$AF$2:$AF$1001,0),0), INDEX($AM$1004:$BM$1004,1,MATCH(COLUMNS($AM$1006:AX1006),$AM$1006:$BM$1006,0)))),"Fix")))</f>
        <v xml:space="preserve"> </v>
      </c>
      <c r="N961" s="4" t="str">
        <f ca="1">IF(OR(INDEX($AG$2:$AG$1001,MATCH(ROWS($AF$2:AF961),$AF$2:$AF$1001,0),1)&gt;=100000,INDEX($AM$1005:$BM$1005,1,MATCH(COLUMNS($AM$1006:AY1006),$AM$1006:$BM$1006,0))&gt;=100000), " ",IF(INDEX($AM$2:$BM$1001,MATCH(ROWS($AF$2:AF961),$AF$2:$AF$1001,0),MATCH(COLUMNS($AM$1006:AY1006),$AM$1006:$BM$1006,0)), HYPERLINK("#",""), HYPERLINK(CONCATENATE("#metadata!", ADDRESS(INDEX($AH$2:$AH$1001,MATCH(ROWS($AF$2:AF961),$AF$2:$AF$1001,0),0), INDEX($AM$1004:$BM$1004,1,MATCH(COLUMNS($AM$1006:AY1006),$AM$1006:$BM$1006,0)))),"Fix")))</f>
        <v xml:space="preserve"> </v>
      </c>
      <c r="O961" s="4" t="str">
        <f ca="1">IF(OR(INDEX($AG$2:$AG$1001,MATCH(ROWS($AF$2:AF961),$AF$2:$AF$1001,0),1)&gt;=100000,INDEX($AM$1005:$BM$1005,1,MATCH(COLUMNS($AM$1006:AZ1006),$AM$1006:$BM$1006,0))&gt;=100000), " ",IF(INDEX($AM$2:$BM$1001,MATCH(ROWS($AF$2:AF961),$AF$2:$AF$1001,0),MATCH(COLUMNS($AM$1006:AZ1006),$AM$1006:$BM$1006,0)), HYPERLINK("#",""), HYPERLINK(CONCATENATE("#metadata!", ADDRESS(INDEX($AH$2:$AH$1001,MATCH(ROWS($AF$2:AF961),$AF$2:$AF$1001,0),0), INDEX($AM$1004:$BM$1004,1,MATCH(COLUMNS($AM$1006:AZ1006),$AM$1006:$BM$1006,0)))),"Fix")))</f>
        <v xml:space="preserve"> </v>
      </c>
      <c r="P961" s="4" t="str">
        <f ca="1">IF(OR(INDEX($AG$2:$AG$1001,MATCH(ROWS($AF$2:AF961),$AF$2:$AF$1001,0),1)&gt;=100000,INDEX($AM$1005:$BM$1005,1,MATCH(COLUMNS($AM$1006:BA1006),$AM$1006:$BM$1006,0))&gt;=100000), " ",IF(INDEX($AM$2:$BM$1001,MATCH(ROWS($AF$2:AF961),$AF$2:$AF$1001,0),MATCH(COLUMNS($AM$1006:BA1006),$AM$1006:$BM$1006,0)), HYPERLINK("#",""), HYPERLINK(CONCATENATE("#metadata!", ADDRESS(INDEX($AH$2:$AH$1001,MATCH(ROWS($AF$2:AF961),$AF$2:$AF$1001,0),0), INDEX($AM$1004:$BM$1004,1,MATCH(COLUMNS($AM$1006:BA1006),$AM$1006:$BM$1006,0)))),"Fix")))</f>
        <v xml:space="preserve"> </v>
      </c>
      <c r="Q961" s="4" t="str">
        <f ca="1">IF(OR(INDEX($AG$2:$AG$1001,MATCH(ROWS($AF$2:AF961),$AF$2:$AF$1001,0),1)&gt;=100000,INDEX($AM$1005:$BM$1005,1,MATCH(COLUMNS($AM$1006:BB1006),$AM$1006:$BM$1006,0))&gt;=100000), " ",IF(INDEX($AM$2:$BM$1001,MATCH(ROWS($AF$2:AF961),$AF$2:$AF$1001,0),MATCH(COLUMNS($AM$1006:BB1006),$AM$1006:$BM$1006,0)), HYPERLINK("#",""), HYPERLINK(CONCATENATE("#metadata!", ADDRESS(INDEX($AH$2:$AH$1001,MATCH(ROWS($AF$2:AF961),$AF$2:$AF$1001,0),0), INDEX($AM$1004:$BM$1004,1,MATCH(COLUMNS($AM$1006:BB1006),$AM$1006:$BM$1006,0)))),"Fix")))</f>
        <v xml:space="preserve"> </v>
      </c>
      <c r="R961" s="4" t="str">
        <f ca="1">IF(OR(INDEX($AG$2:$AG$1001,MATCH(ROWS($AF$2:AF961),$AF$2:$AF$1001,0),1)&gt;=100000,INDEX($AM$1005:$BM$1005,1,MATCH(COLUMNS($AM$1006:BC1006),$AM$1006:$BM$1006,0))&gt;=100000), " ",IF(INDEX($AM$2:$BM$1001,MATCH(ROWS($AF$2:AF961),$AF$2:$AF$1001,0),MATCH(COLUMNS($AM$1006:BC1006),$AM$1006:$BM$1006,0)), HYPERLINK("#",""), HYPERLINK(CONCATENATE("#metadata!", ADDRESS(INDEX($AH$2:$AH$1001,MATCH(ROWS($AF$2:AF961),$AF$2:$AF$1001,0),0), INDEX($AM$1004:$BM$1004,1,MATCH(COLUMNS($AM$1006:BC1006),$AM$1006:$BM$1006,0)))),"Fix")))</f>
        <v xml:space="preserve"> </v>
      </c>
      <c r="S961" s="4" t="str">
        <f ca="1">IF(OR(INDEX($AG$2:$AG$1001,MATCH(ROWS($AF$2:AF961),$AF$2:$AF$1001,0),1)&gt;=100000,INDEX($AM$1005:$BM$1005,1,MATCH(COLUMNS($AM$1006:BD1006),$AM$1006:$BM$1006,0))&gt;=100000), " ",IF(INDEX($AM$2:$BM$1001,MATCH(ROWS($AF$2:AF961),$AF$2:$AF$1001,0),MATCH(COLUMNS($AM$1006:BD1006),$AM$1006:$BM$1006,0)), HYPERLINK("#",""), HYPERLINK(CONCATENATE("#metadata!", ADDRESS(INDEX($AH$2:$AH$1001,MATCH(ROWS($AF$2:AF961),$AF$2:$AF$1001,0),0), INDEX($AM$1004:$BM$1004,1,MATCH(COLUMNS($AM$1006:BD1006),$AM$1006:$BM$1006,0)))),"Fix")))</f>
        <v xml:space="preserve"> </v>
      </c>
      <c r="T961" s="4" t="str">
        <f ca="1">IF(OR(INDEX($AG$2:$AG$1001,MATCH(ROWS($AF$2:AF961),$AF$2:$AF$1001,0),1)&gt;=100000,INDEX($AM$1005:$BM$1005,1,MATCH(COLUMNS($AM$1006:BE1006),$AM$1006:$BM$1006,0))&gt;=100000), " ",IF(INDEX($AM$2:$BM$1001,MATCH(ROWS($AF$2:AF961),$AF$2:$AF$1001,0),MATCH(COLUMNS($AM$1006:BE1006),$AM$1006:$BM$1006,0)), HYPERLINK("#",""), HYPERLINK(CONCATENATE("#metadata!", ADDRESS(INDEX($AH$2:$AH$1001,MATCH(ROWS($AF$2:AF961),$AF$2:$AF$1001,0),0), INDEX($AM$1004:$BM$1004,1,MATCH(COLUMNS($AM$1006:BE1006),$AM$1006:$BM$1006,0)))),"Fix")))</f>
        <v xml:space="preserve"> </v>
      </c>
      <c r="U961" s="4" t="str">
        <f ca="1">IF(OR(INDEX($AG$2:$AG$1001,MATCH(ROWS($AF$2:AF961),$AF$2:$AF$1001,0),1)&gt;=100000,INDEX($AM$1005:$BM$1005,1,MATCH(COLUMNS($AM$1006:BF1006),$AM$1006:$BM$1006,0))&gt;=100000), " ",IF(INDEX($AM$2:$BM$1001,MATCH(ROWS($AF$2:AF961),$AF$2:$AF$1001,0),MATCH(COLUMNS($AM$1006:BF1006),$AM$1006:$BM$1006,0)), HYPERLINK("#",""), HYPERLINK(CONCATENATE("#metadata!", ADDRESS(INDEX($AH$2:$AH$1001,MATCH(ROWS($AF$2:AF961),$AF$2:$AF$1001,0),0), INDEX($AM$1004:$BM$1004,1,MATCH(COLUMNS($AM$1006:BF1006),$AM$1006:$BM$1006,0)))),"Fix")))</f>
        <v xml:space="preserve"> </v>
      </c>
      <c r="V961" s="4" t="str">
        <f ca="1">IF(OR(INDEX($AG$2:$AG$1001,MATCH(ROWS($AF$2:AF961),$AF$2:$AF$1001,0),1)&gt;=100000,INDEX($AM$1005:$BM$1005,1,MATCH(COLUMNS($AM$1006:BG1006),$AM$1006:$BM$1006,0))&gt;=100000), " ",IF(INDEX($AM$2:$BM$1001,MATCH(ROWS($AF$2:AF961),$AF$2:$AF$1001,0),MATCH(COLUMNS($AM$1006:BG1006),$AM$1006:$BM$1006,0)), HYPERLINK("#",""), HYPERLINK(CONCATENATE("#metadata!", ADDRESS(INDEX($AH$2:$AH$1001,MATCH(ROWS($AF$2:AF961),$AF$2:$AF$1001,0),0), INDEX($AM$1004:$BM$1004,1,MATCH(COLUMNS($AM$1006:BG1006),$AM$1006:$BM$1006,0)))),"Fix")))</f>
        <v xml:space="preserve"> </v>
      </c>
      <c r="W961" s="4" t="str">
        <f ca="1">IF(OR(INDEX($AG$2:$AG$1001,MATCH(ROWS($AF$2:AF961),$AF$2:$AF$1001,0),1)&gt;=100000,INDEX($AM$1005:$BM$1005,1,MATCH(COLUMNS($AM$1006:BH1006),$AM$1006:$BM$1006,0))&gt;=100000), " ",IF(INDEX($AM$2:$BM$1001,MATCH(ROWS($AF$2:AF961),$AF$2:$AF$1001,0),MATCH(COLUMNS($AM$1006:BH1006),$AM$1006:$BM$1006,0)), HYPERLINK("#",""), HYPERLINK(CONCATENATE("#metadata!", ADDRESS(INDEX($AH$2:$AH$1001,MATCH(ROWS($AF$2:AF961),$AF$2:$AF$1001,0),0), INDEX($AM$1004:$BM$1004,1,MATCH(COLUMNS($AM$1006:BH1006),$AM$1006:$BM$1006,0)))),"Fix")))</f>
        <v xml:space="preserve"> </v>
      </c>
      <c r="X961" s="4" t="str">
        <f ca="1">IF(OR(INDEX($AG$2:$AG$1001,MATCH(ROWS($AF$2:AF961),$AF$2:$AF$1001,0),1)&gt;=100000,INDEX($AM$1005:$BM$1005,1,MATCH(COLUMNS($AM$1006:BI1006),$AM$1006:$BM$1006,0))&gt;=100000), " ",IF(INDEX($AM$2:$BM$1001,MATCH(ROWS($AF$2:AF961),$AF$2:$AF$1001,0),MATCH(COLUMNS($AM$1006:BI1006),$AM$1006:$BM$1006,0)), HYPERLINK("#",""), HYPERLINK(CONCATENATE("#metadata!", ADDRESS(INDEX($AH$2:$AH$1001,MATCH(ROWS($AF$2:AF961),$AF$2:$AF$1001,0),0), INDEX($AM$1004:$BM$1004,1,MATCH(COLUMNS($AM$1006:BI1006),$AM$1006:$BM$1006,0)))),"Fix")))</f>
        <v xml:space="preserve"> </v>
      </c>
      <c r="Y961" s="4" t="str">
        <f ca="1">IF(OR(INDEX($AG$2:$AG$1001,MATCH(ROWS($AF$2:AF961),$AF$2:$AF$1001,0),1)&gt;=100000,INDEX($AM$1005:$BM$1005,1,MATCH(COLUMNS($AM$1006:BJ1006),$AM$1006:$BM$1006,0))&gt;=100000), " ",IF(INDEX($AM$2:$BM$1001,MATCH(ROWS($AF$2:AF961),$AF$2:$AF$1001,0),MATCH(COLUMNS($AM$1006:BJ1006),$AM$1006:$BM$1006,0)), HYPERLINK("#",""), HYPERLINK(CONCATENATE("#metadata!", ADDRESS(INDEX($AH$2:$AH$1001,MATCH(ROWS($AF$2:AF961),$AF$2:$AF$1001,0),0), INDEX($AM$1004:$BM$1004,1,MATCH(COLUMNS($AM$1006:BJ1006),$AM$1006:$BM$1006,0)))),"Fix")))</f>
        <v xml:space="preserve"> </v>
      </c>
      <c r="Z961" s="4" t="str">
        <f ca="1">IF(OR(INDEX($AG$2:$AG$1001,MATCH(ROWS($AF$2:AF961),$AF$2:$AF$1001,0),1)&gt;=100000,INDEX($AM$1005:$BM$1005,1,MATCH(COLUMNS($AM$1006:BK1006),$AM$1006:$BM$1006,0))&gt;=100000), " ",IF(INDEX($AM$2:$BM$1001,MATCH(ROWS($AF$2:AF961),$AF$2:$AF$1001,0),MATCH(COLUMNS($AM$1006:BK1006),$AM$1006:$BM$1006,0)), HYPERLINK("#",""), HYPERLINK(CONCATENATE("#metadata!", ADDRESS(INDEX($AH$2:$AH$1001,MATCH(ROWS($AF$2:AF961),$AF$2:$AF$1001,0),0), INDEX($AM$1004:$BM$1004,1,MATCH(COLUMNS($AM$1006:BK1006),$AM$1006:$BM$1006,0)))),"Fix")))</f>
        <v xml:space="preserve"> </v>
      </c>
      <c r="AA961" s="4" t="str">
        <f ca="1">IF(OR(INDEX($AG$2:$AG$1001,MATCH(ROWS($AF$2:AF961),$AF$2:$AF$1001,0),1)&gt;=100000,INDEX($AM$1005:$BM$1005,1,MATCH(COLUMNS($AM$1006:BL1006),$AM$1006:$BM$1006,0))&gt;=100000), " ",IF(INDEX($AM$2:$BM$1001,MATCH(ROWS($AF$2:AF961),$AF$2:$AF$1001,0),MATCH(COLUMNS($AM$1006:BL1006),$AM$1006:$BM$1006,0)), HYPERLINK("#",""), HYPERLINK(CONCATENATE("#metadata!", ADDRESS(INDEX($AH$2:$AH$1001,MATCH(ROWS($AF$2:AF961),$AF$2:$AF$1001,0),0), INDEX($AM$1004:$BM$1004,1,MATCH(COLUMNS($AM$1006:BL1006),$AM$1006:$BM$1006,0)))),"Fix")))</f>
        <v xml:space="preserve"> </v>
      </c>
      <c r="AB961" s="4" t="str">
        <f ca="1">IF(OR(INDEX($AG$2:$AG$1001,MATCH(ROWS($AF$2:AF961),$AF$2:$AF$1001,0),1)&gt;=100000,INDEX($AM$1005:$BM$1005,1,MATCH(COLUMNS($AM$1006:BM1006),$AM$1006:$BM$1006,0))&gt;=100000), " ",IF(INDEX($AM$2:$BM$1001,MATCH(ROWS($AF$2:AF961),$AF$2:$AF$1001,0),MATCH(COLUMNS($AM$1006:BM1006),$AM$1006:$BM$1006,0)), HYPERLINK("#",""), HYPERLINK(CONCATENATE("#metadata!", ADDRESS(INDEX($AH$2:$AH$1001,MATCH(ROWS($AF$2:AF961),$AF$2:$AF$1001,0),0), INDEX($AM$1004:$BM$1004,1,MATCH(COLUMNS($AM$1006:BM1006),$AM$1006:$BM$1006,0)))),"Fix")))</f>
        <v xml:space="preserve"> </v>
      </c>
      <c r="AF961">
        <v>960</v>
      </c>
      <c r="AG961">
        <v>100961</v>
      </c>
      <c r="AH961">
        <v>961</v>
      </c>
      <c r="AI961" t="b">
        <f t="shared" si="14"/>
        <v>1</v>
      </c>
      <c r="AJ961" t="b">
        <f>COUNTBLANK(metadata!B961:AB961)=COLUMNS(metadata!B961:AB961)</f>
        <v>1</v>
      </c>
      <c r="AK961" t="str">
        <v/>
      </c>
      <c r="AM961" t="b">
        <f ca="1">AND(IF(metadata!B961="",FALSE,TRUE),COUNTIF(metadata!B:B, metadata!B961) = 1,NOT(ISERROR(SUMPRODUCT(SEARCH(MID(metadata!B961,ROW(INDIRECT("1:"&amp;LEN(metadata!B961))), 1),"0123456789abcdefghijklmnopqrstuvwxyzABCDEFGHIJKLMNOPQRSTUVWXYZ.")))))</f>
        <v>0</v>
      </c>
      <c r="AN961" t="b">
        <f ca="1">OR(AND(IF(metadata!C961="",FALSE,TRUE),OR(EXACT(metadata!C961,"missing: not collected"),EXACT(metadata!C961,"missing: not provided"),EXACT(metadata!C961,"missing: restricted access"))),AND(IF(metadata!C961="",FALSE,TRUE),AND(AND(IFERROR(INT(LEFT(metadata!C961,4))&gt;1900,FALSE),IFERROR(INT(LEFT(metadata!C961,4))&lt;=YEAR(NOW()),FALSE)), OR(MID(metadata!C961,5,1)="", AND(AND(MID(metadata!C961,5,1)="-",IFERROR(INT(MID(metadata!C961,6,1))&gt;=0,FALSE),IFERROR(INT(MID(metadata!C961,6,1))&lt;=1,FALSE),NOT(MID(metadata!C961,7,1)=""),IFERROR(INT(MID(metadata!C961,6,2))&gt;=1,FALSE),IFERROR(INT(MID(metadata!C961,6,2))&lt;=12,FALSE)), OR(MID(metadata!C961,8,1)="", AND(AND(MID(metadata!C961,8,1)="-",IFERROR(INT(MID(metadata!C961,9,1))&gt;=0,FALSE),IFERROR(INT(MID(metadata!C961,9,1))&lt;=3,FALSE),NOT(MID(metadata!C961,10,1)=""),IFERROR(INT(MID(metadata!C961,9,2))&gt;=1,FALSE),IFERROR(INT(MID(metadata!C961,9,2))&lt;=31,FALSE)), OR(MID(metadata!C961,11,1)="", AND(AND(MID(metadata!C961,11,1)=" ",IFERROR(INT(MID(metadata!C961,12,1))&gt;=0,FALSE),IFERROR(INT(MID(metadata!C961,12,1))&lt;=2,FALSE),NOT(MID(metadata!C961,13,1)=""),IFERROR(INT(MID(metadata!C961,12,2))&gt;=0,FALSE),IFERROR(INT(MID(metadata!C961,12,2))&lt;=23,FALSE)), OR(MID(metadata!C961,14,1)="", AND(AND(MID(metadata!C961,14,1)=":",IFERROR(INT(MID(metadata!C961,15,1))&gt;=0,FALSE),IFERROR(INT(MID(metadata!C961,15,1))&lt;=5,FALSE),NOT(MID(metadata!C961,16,1)=""),IFERROR(INT(MID(metadata!C961,15,2))&gt;=0,FALSE),IFERROR(INT(MID(metadata!C961,15,2))&lt;=59,FALSE)), OR(MID(metadata!C961,17,1)="", AND(AND(MID(metadata!C961,17,1)=":",IFERROR(INT(MID(metadata!C961,18,1))&gt;=0,FALSE),IFERROR(INT(MID(metadata!C961,18,1))&lt;=5,FALSE),NOT(MID(metadata!C961,19,1)=""),IFERROR(INT(MID(metadata!C961,18,2))&gt;=0,FALSE),IFERROR(INT(MID(metadata!C961,18,2))&lt;=59,FALSE)), LEN(metadata!C961)&lt;=19)))))))))))))</f>
        <v>0</v>
      </c>
      <c r="AO961" t="b">
        <f>AND(IF(metadata!D961="",FALSE,TRUE),EXACT(metadata!D961,"Not applicable"))</f>
        <v>0</v>
      </c>
      <c r="AP961" t="b">
        <f>IF(metadata!E961="",FALSE,TRUE)</f>
        <v>0</v>
      </c>
      <c r="AQ961" t="b">
        <f>OR(AND(IF(metadata!F961="",FALSE,TRUE),OR(EXACT(metadata!F961,"missing: not collected"),EXACT(metadata!F961,"missing: not provided"))),AND(IF(metadata!F961="",FALSE,TRUE),OR(EXACT(metadata!F961,"TRUE"),EXACT(metadata!F961,"FALSE"))))</f>
        <v>0</v>
      </c>
      <c r="AR961" t="b">
        <f>OR(AND(IF(metadata!G961="",FALSE,TRUE),OR(EXACT(metadata!G961,"missing: not collected"),EXACT(metadata!G961,"missing: not provided"),EXACT(metadata!G961,"missing: restricted access"))),AND(IF(metadata!G961="",FALSE,ISNUMBER(VALUE(metadata!G961))),metadata!G961&gt;=-413))</f>
        <v>0</v>
      </c>
      <c r="AS961" t="b">
        <f>AND(IF(metadata!H961="",FALSE,TRUE),EXACT(metadata!H961,"meters"))</f>
        <v>0</v>
      </c>
      <c r="AT961" t="b">
        <f>AND(IF(metadata!I961="",FALSE,TRUE),OR(EXACT(metadata!I961,"Host-associated"),EXACT(metadata!I961,"Free-living")))</f>
        <v>0</v>
      </c>
      <c r="AU961" t="b">
        <f>AND(IF(metadata!J961="",FALSE,TRUE),OR(EXACT(metadata!J961,"Animal"),EXACT(metadata!J961,"Fungus"),EXACT(metadata!J961,"Plant"),EXACT(metadata!J961,"Saline"),EXACT(metadata!J961,"Non-saline")))</f>
        <v>0</v>
      </c>
      <c r="AV961" t="b">
        <f>AND(IF(metadata!K961="",FALSE,TRUE),OR(EXACT(metadata!K961,"Plant secretion"),EXACT(metadata!K961,"Plant rhizosphere"),EXACT(metadata!K961,"Plant surface"),EXACT(metadata!K961,"Plant corpus"),EXACT(metadata!K961,"Fungus surface"),EXACT(metadata!K961,"Fungus corpus"),EXACT(metadata!K961,"Animal surface"),EXACT(metadata!K961,"Animal proximal gut"),EXACT(metadata!K961,"Animal corpus"),EXACT(metadata!K961,"Animal distal gut"),EXACT(metadata!K961,"Animal secretion"),EXACT(metadata!K961,"Sub-surface (non-saline)"),EXACT(metadata!K961,"Surface (non-saline)"),EXACT(metadata!K961,"Water (non-saline)"),EXACT(metadata!K961,"Soil (non-saline)"),EXACT(metadata!K961,"Aerosol (non-saline)"),EXACT(metadata!K961,"Sediment (non-saline)"),EXACT(metadata!K961,"Surface (saline)"),EXACT(metadata!K961,"Water (saline)"),EXACT(metadata!K961,"Hypersaline (saline)"),EXACT(metadata!K961,"Aerosol (saline)"),EXACT(metadata!K961,"Sediment (saline)")))</f>
        <v>0</v>
      </c>
      <c r="AW961" t="b">
        <f>IF(metadata!L961="",FALSE,TRUE)</f>
        <v>0</v>
      </c>
      <c r="AX961" t="b">
        <f>IF(metadata!M961="",FALSE,TRUE)</f>
        <v>0</v>
      </c>
      <c r="AY961" t="b">
        <f>IF(metadata!N961="",FALSE,TRUE)</f>
        <v>0</v>
      </c>
      <c r="AZ961" t="b">
        <f>OR(AND(IF(metadata!O961="",FALSE,TRUE),OR(EXACT(metadata!O961,"missing: not collected"),EXACT(metadata!O961,"missing: not provided"),EXACT(metadata!O961,"missing: restricted access"))),AND(IF(metadata!O961="",FALSE,TRUE),OR(EXACT(metadata!O961,"air"),EXACT(metadata!O961,"built environment"),EXACT(metadata!O961,"host-associated"),EXACT(metadata!O961,"human-associated"),EXACT(metadata!O961,"human-skin"),EXACT(metadata!O961,"human-oral"),EXACT(metadata!O961,"human-gut"),EXACT(metadata!O961,"human-vaginal"),EXACT(metadata!O961,"microbial mat/biofilm"),EXACT(metadata!O961,"misc environment"),EXACT(metadata!O961,"plant-associated"),EXACT(metadata!O961,"sediment"),EXACT(metadata!O961,"soil"),EXACT(metadata!O961,"wastewater/sludge"),EXACT(metadata!O961,"water"))))</f>
        <v>0</v>
      </c>
      <c r="BA961" t="b">
        <f>IF(metadata!P961="",FALSE,TRUE)</f>
        <v>0</v>
      </c>
      <c r="BB961" t="b">
        <f>IF(metadata!Q961="",FALSE,TRUE)</f>
        <v>0</v>
      </c>
      <c r="BC961" t="b">
        <f>OR(AND(IF(metadata!R961="",FALSE,TRUE),OR(EXACT(metadata!R961,"missing: not collected"),EXACT(metadata!R961,"missing: not provided"),EXACT(metadata!R961,"missing: restricted access"))),AND(IF(metadata!R961="",FALSE,ISNUMBER(VALUE(metadata!R961))),metadata!R961&gt;=-90,metadata!R961&lt;=90))</f>
        <v>0</v>
      </c>
      <c r="BD961" t="b">
        <f>AND(IF(metadata!S961="",FALSE,TRUE),EXACT(metadata!S961,"Decimal degrees"))</f>
        <v>0</v>
      </c>
      <c r="BE961" t="b">
        <f>OR(AND(IF(metadata!T961="",FALSE,TRUE),OR(EXACT(metadata!T961,"missing: not collected"),EXACT(metadata!T961,"missing: not provided"),EXACT(metadata!T961,"missing: restricted access"))),AND(IF(metadata!T961="",FALSE,ISNUMBER(VALUE(metadata!T961))),metadata!T961&gt;=-180,metadata!T961&lt;=180))</f>
        <v>0</v>
      </c>
      <c r="BF961" t="b">
        <f>AND(IF(metadata!U961="",FALSE,TRUE),EXACT(metadata!U961,"Decimal degrees"))</f>
        <v>0</v>
      </c>
      <c r="BG961" t="b">
        <f>IF(metadata!V961="",FALSE,TRUE)</f>
        <v>0</v>
      </c>
      <c r="BH961" t="b">
        <f>OR(AND(IF(metadata!W961="",FALSE,TRUE),OR(EXACT(metadata!W961,"missing: not collected"),EXACT(metadata!W961,"missing: not provided"),EXACT(metadata!W961,"missing: restricted access"))),AND(IF(metadata!W961="",FALSE,TRUE),OR(EXACT(metadata!W961,"TRUE"),EXACT(metadata!W961,"FALSE"))))</f>
        <v>0</v>
      </c>
      <c r="BI961" t="b">
        <f>AND(IF(metadata!X961="",FALSE,TRUE),EXACT(metadata!X961,"other"))</f>
        <v>0</v>
      </c>
      <c r="BJ961" t="b">
        <f>IF(metadata!Y961="",FALSE,TRUE)</f>
        <v>0</v>
      </c>
      <c r="BK961" t="b">
        <f>OR(AND(IF(metadata!Z961="",FALSE,TRUE),OR(EXACT(metadata!Z961,"missing: not collected"),EXACT(metadata!Z961,"missing: not provided"))),AND(IF(metadata!Z961="",FALSE,IF(ISERROR(INT(metadata!Z961)),FALSE,INT(metadata!Z961)=metadata!Z961)),metadata!Z961&gt;0))</f>
        <v>0</v>
      </c>
      <c r="BL961" t="b">
        <f>AND(IF(metadata!AA961="",FALSE,TRUE),EXACT(metadata!AA961,"Not applicable"))</f>
        <v>0</v>
      </c>
      <c r="BM961" t="b">
        <f>IF(metadata!AB961="",FALSE,TRUE)</f>
        <v>0</v>
      </c>
    </row>
    <row r="962" spans="1:65" x14ac:dyDescent="0.2">
      <c r="A962" s="5" t="str">
        <f ca="1">IF(B962=" "," ",HYPERLINK(CONCATENATE("#metadata!",ADDRESS(INDEX($AH$2:$AH$1001,MATCH(ROWS($AF$2:AF962),$AF$2:$AF$1001,0),0),1)),INDEX($AK$2:$AK$1001,MATCH(ROWS($AF$2:AF962),$AF$2:$AF$1001,0),0)))</f>
        <v xml:space="preserve"> </v>
      </c>
      <c r="B962" s="4" t="str">
        <f ca="1">IF(OR(INDEX($AG$2:$AG$1001,MATCH(ROWS($AF$2:AF962),$AF$2:$AF$1001,0),1)&gt;=100000,INDEX($AM$1005:$BM$1005,1,MATCH(COLUMNS($AM$1006:AM1006),$AM$1006:$BM$1006,0))&gt;=100000), " ",IF(INDEX($AM$2:$BM$1001,MATCH(ROWS($AF$2:AF962),$AF$2:$AF$1001,0),MATCH(COLUMNS($AM$1006:AM1006),$AM$1006:$BM$1006,0)), HYPERLINK("#",""), HYPERLINK(CONCATENATE("#metadata!", ADDRESS(INDEX($AH$2:$AH$1001,MATCH(ROWS($AF$2:AF962),$AF$2:$AF$1001,0),0), INDEX($AM$1004:$BM$1004,1,MATCH(COLUMNS($AM$1006:AM1006),$AM$1006:$BM$1006,0)))),"Fix")))</f>
        <v xml:space="preserve"> </v>
      </c>
      <c r="C962" s="4" t="str">
        <f ca="1">IF(OR(INDEX($AG$2:$AG$1001,MATCH(ROWS($AF$2:AF962),$AF$2:$AF$1001,0),1)&gt;=100000,INDEX($AM$1005:$BM$1005,1,MATCH(COLUMNS($AM$1006:AN1006),$AM$1006:$BM$1006,0))&gt;=100000), " ",IF(INDEX($AM$2:$BM$1001,MATCH(ROWS($AF$2:AF962),$AF$2:$AF$1001,0),MATCH(COLUMNS($AM$1006:AN1006),$AM$1006:$BM$1006,0)), HYPERLINK("#",""), HYPERLINK(CONCATENATE("#metadata!", ADDRESS(INDEX($AH$2:$AH$1001,MATCH(ROWS($AF$2:AF962),$AF$2:$AF$1001,0),0), INDEX($AM$1004:$BM$1004,1,MATCH(COLUMNS($AM$1006:AN1006),$AM$1006:$BM$1006,0)))),"Fix")))</f>
        <v xml:space="preserve"> </v>
      </c>
      <c r="D962" s="4" t="str">
        <f ca="1">IF(OR(INDEX($AG$2:$AG$1001,MATCH(ROWS($AF$2:AF962),$AF$2:$AF$1001,0),1)&gt;=100000,INDEX($AM$1005:$BM$1005,1,MATCH(COLUMNS($AM$1006:AO1006),$AM$1006:$BM$1006,0))&gt;=100000), " ",IF(INDEX($AM$2:$BM$1001,MATCH(ROWS($AF$2:AF962),$AF$2:$AF$1001,0),MATCH(COLUMNS($AM$1006:AO1006),$AM$1006:$BM$1006,0)), HYPERLINK("#",""), HYPERLINK(CONCATENATE("#metadata!", ADDRESS(INDEX($AH$2:$AH$1001,MATCH(ROWS($AF$2:AF962),$AF$2:$AF$1001,0),0), INDEX($AM$1004:$BM$1004,1,MATCH(COLUMNS($AM$1006:AO1006),$AM$1006:$BM$1006,0)))),"Fix")))</f>
        <v xml:space="preserve"> </v>
      </c>
      <c r="E962" s="4" t="str">
        <f ca="1">IF(OR(INDEX($AG$2:$AG$1001,MATCH(ROWS($AF$2:AF962),$AF$2:$AF$1001,0),1)&gt;=100000,INDEX($AM$1005:$BM$1005,1,MATCH(COLUMNS($AM$1006:AP1006),$AM$1006:$BM$1006,0))&gt;=100000), " ",IF(INDEX($AM$2:$BM$1001,MATCH(ROWS($AF$2:AF962),$AF$2:$AF$1001,0),MATCH(COLUMNS($AM$1006:AP1006),$AM$1006:$BM$1006,0)), HYPERLINK("#",""), HYPERLINK(CONCATENATE("#metadata!", ADDRESS(INDEX($AH$2:$AH$1001,MATCH(ROWS($AF$2:AF962),$AF$2:$AF$1001,0),0), INDEX($AM$1004:$BM$1004,1,MATCH(COLUMNS($AM$1006:AP1006),$AM$1006:$BM$1006,0)))),"Fix")))</f>
        <v xml:space="preserve"> </v>
      </c>
      <c r="F962" s="4" t="str">
        <f ca="1">IF(OR(INDEX($AG$2:$AG$1001,MATCH(ROWS($AF$2:AF962),$AF$2:$AF$1001,0),1)&gt;=100000,INDEX($AM$1005:$BM$1005,1,MATCH(COLUMNS($AM$1006:AQ1006),$AM$1006:$BM$1006,0))&gt;=100000), " ",IF(INDEX($AM$2:$BM$1001,MATCH(ROWS($AF$2:AF962),$AF$2:$AF$1001,0),MATCH(COLUMNS($AM$1006:AQ1006),$AM$1006:$BM$1006,0)), HYPERLINK("#",""), HYPERLINK(CONCATENATE("#metadata!", ADDRESS(INDEX($AH$2:$AH$1001,MATCH(ROWS($AF$2:AF962),$AF$2:$AF$1001,0),0), INDEX($AM$1004:$BM$1004,1,MATCH(COLUMNS($AM$1006:AQ1006),$AM$1006:$BM$1006,0)))),"Fix")))</f>
        <v xml:space="preserve"> </v>
      </c>
      <c r="G962" s="4" t="str">
        <f ca="1">IF(OR(INDEX($AG$2:$AG$1001,MATCH(ROWS($AF$2:AF962),$AF$2:$AF$1001,0),1)&gt;=100000,INDEX($AM$1005:$BM$1005,1,MATCH(COLUMNS($AM$1006:AR1006),$AM$1006:$BM$1006,0))&gt;=100000), " ",IF(INDEX($AM$2:$BM$1001,MATCH(ROWS($AF$2:AF962),$AF$2:$AF$1001,0),MATCH(COLUMNS($AM$1006:AR1006),$AM$1006:$BM$1006,0)), HYPERLINK("#",""), HYPERLINK(CONCATENATE("#metadata!", ADDRESS(INDEX($AH$2:$AH$1001,MATCH(ROWS($AF$2:AF962),$AF$2:$AF$1001,0),0), INDEX($AM$1004:$BM$1004,1,MATCH(COLUMNS($AM$1006:AR1006),$AM$1006:$BM$1006,0)))),"Fix")))</f>
        <v xml:space="preserve"> </v>
      </c>
      <c r="H962" s="4" t="str">
        <f ca="1">IF(OR(INDEX($AG$2:$AG$1001,MATCH(ROWS($AF$2:AF962),$AF$2:$AF$1001,0),1)&gt;=100000,INDEX($AM$1005:$BM$1005,1,MATCH(COLUMNS($AM$1006:AS1006),$AM$1006:$BM$1006,0))&gt;=100000), " ",IF(INDEX($AM$2:$BM$1001,MATCH(ROWS($AF$2:AF962),$AF$2:$AF$1001,0),MATCH(COLUMNS($AM$1006:AS1006),$AM$1006:$BM$1006,0)), HYPERLINK("#",""), HYPERLINK(CONCATENATE("#metadata!", ADDRESS(INDEX($AH$2:$AH$1001,MATCH(ROWS($AF$2:AF962),$AF$2:$AF$1001,0),0), INDEX($AM$1004:$BM$1004,1,MATCH(COLUMNS($AM$1006:AS1006),$AM$1006:$BM$1006,0)))),"Fix")))</f>
        <v xml:space="preserve"> </v>
      </c>
      <c r="I962" s="4" t="str">
        <f ca="1">IF(OR(INDEX($AG$2:$AG$1001,MATCH(ROWS($AF$2:AF962),$AF$2:$AF$1001,0),1)&gt;=100000,INDEX($AM$1005:$BM$1005,1,MATCH(COLUMNS($AM$1006:AT1006),$AM$1006:$BM$1006,0))&gt;=100000), " ",IF(INDEX($AM$2:$BM$1001,MATCH(ROWS($AF$2:AF962),$AF$2:$AF$1001,0),MATCH(COLUMNS($AM$1006:AT1006),$AM$1006:$BM$1006,0)), HYPERLINK("#",""), HYPERLINK(CONCATENATE("#metadata!", ADDRESS(INDEX($AH$2:$AH$1001,MATCH(ROWS($AF$2:AF962),$AF$2:$AF$1001,0),0), INDEX($AM$1004:$BM$1004,1,MATCH(COLUMNS($AM$1006:AT1006),$AM$1006:$BM$1006,0)))),"Fix")))</f>
        <v xml:space="preserve"> </v>
      </c>
      <c r="J962" s="4" t="str">
        <f ca="1">IF(OR(INDEX($AG$2:$AG$1001,MATCH(ROWS($AF$2:AF962),$AF$2:$AF$1001,0),1)&gt;=100000,INDEX($AM$1005:$BM$1005,1,MATCH(COLUMNS($AM$1006:AU1006),$AM$1006:$BM$1006,0))&gt;=100000), " ",IF(INDEX($AM$2:$BM$1001,MATCH(ROWS($AF$2:AF962),$AF$2:$AF$1001,0),MATCH(COLUMNS($AM$1006:AU1006),$AM$1006:$BM$1006,0)), HYPERLINK("#",""), HYPERLINK(CONCATENATE("#metadata!", ADDRESS(INDEX($AH$2:$AH$1001,MATCH(ROWS($AF$2:AF962),$AF$2:$AF$1001,0),0), INDEX($AM$1004:$BM$1004,1,MATCH(COLUMNS($AM$1006:AU1006),$AM$1006:$BM$1006,0)))),"Fix")))</f>
        <v xml:space="preserve"> </v>
      </c>
      <c r="K962" s="4" t="str">
        <f ca="1">IF(OR(INDEX($AG$2:$AG$1001,MATCH(ROWS($AF$2:AF962),$AF$2:$AF$1001,0),1)&gt;=100000,INDEX($AM$1005:$BM$1005,1,MATCH(COLUMNS($AM$1006:AV1006),$AM$1006:$BM$1006,0))&gt;=100000), " ",IF(INDEX($AM$2:$BM$1001,MATCH(ROWS($AF$2:AF962),$AF$2:$AF$1001,0),MATCH(COLUMNS($AM$1006:AV1006),$AM$1006:$BM$1006,0)), HYPERLINK("#",""), HYPERLINK(CONCATENATE("#metadata!", ADDRESS(INDEX($AH$2:$AH$1001,MATCH(ROWS($AF$2:AF962),$AF$2:$AF$1001,0),0), INDEX($AM$1004:$BM$1004,1,MATCH(COLUMNS($AM$1006:AV1006),$AM$1006:$BM$1006,0)))),"Fix")))</f>
        <v xml:space="preserve"> </v>
      </c>
      <c r="L962" s="4" t="str">
        <f ca="1">IF(OR(INDEX($AG$2:$AG$1001,MATCH(ROWS($AF$2:AF962),$AF$2:$AF$1001,0),1)&gt;=100000,INDEX($AM$1005:$BM$1005,1,MATCH(COLUMNS($AM$1006:AW1006),$AM$1006:$BM$1006,0))&gt;=100000), " ",IF(INDEX($AM$2:$BM$1001,MATCH(ROWS($AF$2:AF962),$AF$2:$AF$1001,0),MATCH(COLUMNS($AM$1006:AW1006),$AM$1006:$BM$1006,0)), HYPERLINK("#",""), HYPERLINK(CONCATENATE("#metadata!", ADDRESS(INDEX($AH$2:$AH$1001,MATCH(ROWS($AF$2:AF962),$AF$2:$AF$1001,0),0), INDEX($AM$1004:$BM$1004,1,MATCH(COLUMNS($AM$1006:AW1006),$AM$1006:$BM$1006,0)))),"Fix")))</f>
        <v xml:space="preserve"> </v>
      </c>
      <c r="M962" s="4" t="str">
        <f ca="1">IF(OR(INDEX($AG$2:$AG$1001,MATCH(ROWS($AF$2:AF962),$AF$2:$AF$1001,0),1)&gt;=100000,INDEX($AM$1005:$BM$1005,1,MATCH(COLUMNS($AM$1006:AX1006),$AM$1006:$BM$1006,0))&gt;=100000), " ",IF(INDEX($AM$2:$BM$1001,MATCH(ROWS($AF$2:AF962),$AF$2:$AF$1001,0),MATCH(COLUMNS($AM$1006:AX1006),$AM$1006:$BM$1006,0)), HYPERLINK("#",""), HYPERLINK(CONCATENATE("#metadata!", ADDRESS(INDEX($AH$2:$AH$1001,MATCH(ROWS($AF$2:AF962),$AF$2:$AF$1001,0),0), INDEX($AM$1004:$BM$1004,1,MATCH(COLUMNS($AM$1006:AX1006),$AM$1006:$BM$1006,0)))),"Fix")))</f>
        <v xml:space="preserve"> </v>
      </c>
      <c r="N962" s="4" t="str">
        <f ca="1">IF(OR(INDEX($AG$2:$AG$1001,MATCH(ROWS($AF$2:AF962),$AF$2:$AF$1001,0),1)&gt;=100000,INDEX($AM$1005:$BM$1005,1,MATCH(COLUMNS($AM$1006:AY1006),$AM$1006:$BM$1006,0))&gt;=100000), " ",IF(INDEX($AM$2:$BM$1001,MATCH(ROWS($AF$2:AF962),$AF$2:$AF$1001,0),MATCH(COLUMNS($AM$1006:AY1006),$AM$1006:$BM$1006,0)), HYPERLINK("#",""), HYPERLINK(CONCATENATE("#metadata!", ADDRESS(INDEX($AH$2:$AH$1001,MATCH(ROWS($AF$2:AF962),$AF$2:$AF$1001,0),0), INDEX($AM$1004:$BM$1004,1,MATCH(COLUMNS($AM$1006:AY1006),$AM$1006:$BM$1006,0)))),"Fix")))</f>
        <v xml:space="preserve"> </v>
      </c>
      <c r="O962" s="4" t="str">
        <f ca="1">IF(OR(INDEX($AG$2:$AG$1001,MATCH(ROWS($AF$2:AF962),$AF$2:$AF$1001,0),1)&gt;=100000,INDEX($AM$1005:$BM$1005,1,MATCH(COLUMNS($AM$1006:AZ1006),$AM$1006:$BM$1006,0))&gt;=100000), " ",IF(INDEX($AM$2:$BM$1001,MATCH(ROWS($AF$2:AF962),$AF$2:$AF$1001,0),MATCH(COLUMNS($AM$1006:AZ1006),$AM$1006:$BM$1006,0)), HYPERLINK("#",""), HYPERLINK(CONCATENATE("#metadata!", ADDRESS(INDEX($AH$2:$AH$1001,MATCH(ROWS($AF$2:AF962),$AF$2:$AF$1001,0),0), INDEX($AM$1004:$BM$1004,1,MATCH(COLUMNS($AM$1006:AZ1006),$AM$1006:$BM$1006,0)))),"Fix")))</f>
        <v xml:space="preserve"> </v>
      </c>
      <c r="P962" s="4" t="str">
        <f ca="1">IF(OR(INDEX($AG$2:$AG$1001,MATCH(ROWS($AF$2:AF962),$AF$2:$AF$1001,0),1)&gt;=100000,INDEX($AM$1005:$BM$1005,1,MATCH(COLUMNS($AM$1006:BA1006),$AM$1006:$BM$1006,0))&gt;=100000), " ",IF(INDEX($AM$2:$BM$1001,MATCH(ROWS($AF$2:AF962),$AF$2:$AF$1001,0),MATCH(COLUMNS($AM$1006:BA1006),$AM$1006:$BM$1006,0)), HYPERLINK("#",""), HYPERLINK(CONCATENATE("#metadata!", ADDRESS(INDEX($AH$2:$AH$1001,MATCH(ROWS($AF$2:AF962),$AF$2:$AF$1001,0),0), INDEX($AM$1004:$BM$1004,1,MATCH(COLUMNS($AM$1006:BA1006),$AM$1006:$BM$1006,0)))),"Fix")))</f>
        <v xml:space="preserve"> </v>
      </c>
      <c r="Q962" s="4" t="str">
        <f ca="1">IF(OR(INDEX($AG$2:$AG$1001,MATCH(ROWS($AF$2:AF962),$AF$2:$AF$1001,0),1)&gt;=100000,INDEX($AM$1005:$BM$1005,1,MATCH(COLUMNS($AM$1006:BB1006),$AM$1006:$BM$1006,0))&gt;=100000), " ",IF(INDEX($AM$2:$BM$1001,MATCH(ROWS($AF$2:AF962),$AF$2:$AF$1001,0),MATCH(COLUMNS($AM$1006:BB1006),$AM$1006:$BM$1006,0)), HYPERLINK("#",""), HYPERLINK(CONCATENATE("#metadata!", ADDRESS(INDEX($AH$2:$AH$1001,MATCH(ROWS($AF$2:AF962),$AF$2:$AF$1001,0),0), INDEX($AM$1004:$BM$1004,1,MATCH(COLUMNS($AM$1006:BB1006),$AM$1006:$BM$1006,0)))),"Fix")))</f>
        <v xml:space="preserve"> </v>
      </c>
      <c r="R962" s="4" t="str">
        <f ca="1">IF(OR(INDEX($AG$2:$AG$1001,MATCH(ROWS($AF$2:AF962),$AF$2:$AF$1001,0),1)&gt;=100000,INDEX($AM$1005:$BM$1005,1,MATCH(COLUMNS($AM$1006:BC1006),$AM$1006:$BM$1006,0))&gt;=100000), " ",IF(INDEX($AM$2:$BM$1001,MATCH(ROWS($AF$2:AF962),$AF$2:$AF$1001,0),MATCH(COLUMNS($AM$1006:BC1006),$AM$1006:$BM$1006,0)), HYPERLINK("#",""), HYPERLINK(CONCATENATE("#metadata!", ADDRESS(INDEX($AH$2:$AH$1001,MATCH(ROWS($AF$2:AF962),$AF$2:$AF$1001,0),0), INDEX($AM$1004:$BM$1004,1,MATCH(COLUMNS($AM$1006:BC1006),$AM$1006:$BM$1006,0)))),"Fix")))</f>
        <v xml:space="preserve"> </v>
      </c>
      <c r="S962" s="4" t="str">
        <f ca="1">IF(OR(INDEX($AG$2:$AG$1001,MATCH(ROWS($AF$2:AF962),$AF$2:$AF$1001,0),1)&gt;=100000,INDEX($AM$1005:$BM$1005,1,MATCH(COLUMNS($AM$1006:BD1006),$AM$1006:$BM$1006,0))&gt;=100000), " ",IF(INDEX($AM$2:$BM$1001,MATCH(ROWS($AF$2:AF962),$AF$2:$AF$1001,0),MATCH(COLUMNS($AM$1006:BD1006),$AM$1006:$BM$1006,0)), HYPERLINK("#",""), HYPERLINK(CONCATENATE("#metadata!", ADDRESS(INDEX($AH$2:$AH$1001,MATCH(ROWS($AF$2:AF962),$AF$2:$AF$1001,0),0), INDEX($AM$1004:$BM$1004,1,MATCH(COLUMNS($AM$1006:BD1006),$AM$1006:$BM$1006,0)))),"Fix")))</f>
        <v xml:space="preserve"> </v>
      </c>
      <c r="T962" s="4" t="str">
        <f ca="1">IF(OR(INDEX($AG$2:$AG$1001,MATCH(ROWS($AF$2:AF962),$AF$2:$AF$1001,0),1)&gt;=100000,INDEX($AM$1005:$BM$1005,1,MATCH(COLUMNS($AM$1006:BE1006),$AM$1006:$BM$1006,0))&gt;=100000), " ",IF(INDEX($AM$2:$BM$1001,MATCH(ROWS($AF$2:AF962),$AF$2:$AF$1001,0),MATCH(COLUMNS($AM$1006:BE1006),$AM$1006:$BM$1006,0)), HYPERLINK("#",""), HYPERLINK(CONCATENATE("#metadata!", ADDRESS(INDEX($AH$2:$AH$1001,MATCH(ROWS($AF$2:AF962),$AF$2:$AF$1001,0),0), INDEX($AM$1004:$BM$1004,1,MATCH(COLUMNS($AM$1006:BE1006),$AM$1006:$BM$1006,0)))),"Fix")))</f>
        <v xml:space="preserve"> </v>
      </c>
      <c r="U962" s="4" t="str">
        <f ca="1">IF(OR(INDEX($AG$2:$AG$1001,MATCH(ROWS($AF$2:AF962),$AF$2:$AF$1001,0),1)&gt;=100000,INDEX($AM$1005:$BM$1005,1,MATCH(COLUMNS($AM$1006:BF1006),$AM$1006:$BM$1006,0))&gt;=100000), " ",IF(INDEX($AM$2:$BM$1001,MATCH(ROWS($AF$2:AF962),$AF$2:$AF$1001,0),MATCH(COLUMNS($AM$1006:BF1006),$AM$1006:$BM$1006,0)), HYPERLINK("#",""), HYPERLINK(CONCATENATE("#metadata!", ADDRESS(INDEX($AH$2:$AH$1001,MATCH(ROWS($AF$2:AF962),$AF$2:$AF$1001,0),0), INDEX($AM$1004:$BM$1004,1,MATCH(COLUMNS($AM$1006:BF1006),$AM$1006:$BM$1006,0)))),"Fix")))</f>
        <v xml:space="preserve"> </v>
      </c>
      <c r="V962" s="4" t="str">
        <f ca="1">IF(OR(INDEX($AG$2:$AG$1001,MATCH(ROWS($AF$2:AF962),$AF$2:$AF$1001,0),1)&gt;=100000,INDEX($AM$1005:$BM$1005,1,MATCH(COLUMNS($AM$1006:BG1006),$AM$1006:$BM$1006,0))&gt;=100000), " ",IF(INDEX($AM$2:$BM$1001,MATCH(ROWS($AF$2:AF962),$AF$2:$AF$1001,0),MATCH(COLUMNS($AM$1006:BG1006),$AM$1006:$BM$1006,0)), HYPERLINK("#",""), HYPERLINK(CONCATENATE("#metadata!", ADDRESS(INDEX($AH$2:$AH$1001,MATCH(ROWS($AF$2:AF962),$AF$2:$AF$1001,0),0), INDEX($AM$1004:$BM$1004,1,MATCH(COLUMNS($AM$1006:BG1006),$AM$1006:$BM$1006,0)))),"Fix")))</f>
        <v xml:space="preserve"> </v>
      </c>
      <c r="W962" s="4" t="str">
        <f ca="1">IF(OR(INDEX($AG$2:$AG$1001,MATCH(ROWS($AF$2:AF962),$AF$2:$AF$1001,0),1)&gt;=100000,INDEX($AM$1005:$BM$1005,1,MATCH(COLUMNS($AM$1006:BH1006),$AM$1006:$BM$1006,0))&gt;=100000), " ",IF(INDEX($AM$2:$BM$1001,MATCH(ROWS($AF$2:AF962),$AF$2:$AF$1001,0),MATCH(COLUMNS($AM$1006:BH1006),$AM$1006:$BM$1006,0)), HYPERLINK("#",""), HYPERLINK(CONCATENATE("#metadata!", ADDRESS(INDEX($AH$2:$AH$1001,MATCH(ROWS($AF$2:AF962),$AF$2:$AF$1001,0),0), INDEX($AM$1004:$BM$1004,1,MATCH(COLUMNS($AM$1006:BH1006),$AM$1006:$BM$1006,0)))),"Fix")))</f>
        <v xml:space="preserve"> </v>
      </c>
      <c r="X962" s="4" t="str">
        <f ca="1">IF(OR(INDEX($AG$2:$AG$1001,MATCH(ROWS($AF$2:AF962),$AF$2:$AF$1001,0),1)&gt;=100000,INDEX($AM$1005:$BM$1005,1,MATCH(COLUMNS($AM$1006:BI1006),$AM$1006:$BM$1006,0))&gt;=100000), " ",IF(INDEX($AM$2:$BM$1001,MATCH(ROWS($AF$2:AF962),$AF$2:$AF$1001,0),MATCH(COLUMNS($AM$1006:BI1006),$AM$1006:$BM$1006,0)), HYPERLINK("#",""), HYPERLINK(CONCATENATE("#metadata!", ADDRESS(INDEX($AH$2:$AH$1001,MATCH(ROWS($AF$2:AF962),$AF$2:$AF$1001,0),0), INDEX($AM$1004:$BM$1004,1,MATCH(COLUMNS($AM$1006:BI1006),$AM$1006:$BM$1006,0)))),"Fix")))</f>
        <v xml:space="preserve"> </v>
      </c>
      <c r="Y962" s="4" t="str">
        <f ca="1">IF(OR(INDEX($AG$2:$AG$1001,MATCH(ROWS($AF$2:AF962),$AF$2:$AF$1001,0),1)&gt;=100000,INDEX($AM$1005:$BM$1005,1,MATCH(COLUMNS($AM$1006:BJ1006),$AM$1006:$BM$1006,0))&gt;=100000), " ",IF(INDEX($AM$2:$BM$1001,MATCH(ROWS($AF$2:AF962),$AF$2:$AF$1001,0),MATCH(COLUMNS($AM$1006:BJ1006),$AM$1006:$BM$1006,0)), HYPERLINK("#",""), HYPERLINK(CONCATENATE("#metadata!", ADDRESS(INDEX($AH$2:$AH$1001,MATCH(ROWS($AF$2:AF962),$AF$2:$AF$1001,0),0), INDEX($AM$1004:$BM$1004,1,MATCH(COLUMNS($AM$1006:BJ1006),$AM$1006:$BM$1006,0)))),"Fix")))</f>
        <v xml:space="preserve"> </v>
      </c>
      <c r="Z962" s="4" t="str">
        <f ca="1">IF(OR(INDEX($AG$2:$AG$1001,MATCH(ROWS($AF$2:AF962),$AF$2:$AF$1001,0),1)&gt;=100000,INDEX($AM$1005:$BM$1005,1,MATCH(COLUMNS($AM$1006:BK1006),$AM$1006:$BM$1006,0))&gt;=100000), " ",IF(INDEX($AM$2:$BM$1001,MATCH(ROWS($AF$2:AF962),$AF$2:$AF$1001,0),MATCH(COLUMNS($AM$1006:BK1006),$AM$1006:$BM$1006,0)), HYPERLINK("#",""), HYPERLINK(CONCATENATE("#metadata!", ADDRESS(INDEX($AH$2:$AH$1001,MATCH(ROWS($AF$2:AF962),$AF$2:$AF$1001,0),0), INDEX($AM$1004:$BM$1004,1,MATCH(COLUMNS($AM$1006:BK1006),$AM$1006:$BM$1006,0)))),"Fix")))</f>
        <v xml:space="preserve"> </v>
      </c>
      <c r="AA962" s="4" t="str">
        <f ca="1">IF(OR(INDEX($AG$2:$AG$1001,MATCH(ROWS($AF$2:AF962),$AF$2:$AF$1001,0),1)&gt;=100000,INDEX($AM$1005:$BM$1005,1,MATCH(COLUMNS($AM$1006:BL1006),$AM$1006:$BM$1006,0))&gt;=100000), " ",IF(INDEX($AM$2:$BM$1001,MATCH(ROWS($AF$2:AF962),$AF$2:$AF$1001,0),MATCH(COLUMNS($AM$1006:BL1006),$AM$1006:$BM$1006,0)), HYPERLINK("#",""), HYPERLINK(CONCATENATE("#metadata!", ADDRESS(INDEX($AH$2:$AH$1001,MATCH(ROWS($AF$2:AF962),$AF$2:$AF$1001,0),0), INDEX($AM$1004:$BM$1004,1,MATCH(COLUMNS($AM$1006:BL1006),$AM$1006:$BM$1006,0)))),"Fix")))</f>
        <v xml:space="preserve"> </v>
      </c>
      <c r="AB962" s="4" t="str">
        <f ca="1">IF(OR(INDEX($AG$2:$AG$1001,MATCH(ROWS($AF$2:AF962),$AF$2:$AF$1001,0),1)&gt;=100000,INDEX($AM$1005:$BM$1005,1,MATCH(COLUMNS($AM$1006:BM1006),$AM$1006:$BM$1006,0))&gt;=100000), " ",IF(INDEX($AM$2:$BM$1001,MATCH(ROWS($AF$2:AF962),$AF$2:$AF$1001,0),MATCH(COLUMNS($AM$1006:BM1006),$AM$1006:$BM$1006,0)), HYPERLINK("#",""), HYPERLINK(CONCATENATE("#metadata!", ADDRESS(INDEX($AH$2:$AH$1001,MATCH(ROWS($AF$2:AF962),$AF$2:$AF$1001,0),0), INDEX($AM$1004:$BM$1004,1,MATCH(COLUMNS($AM$1006:BM1006),$AM$1006:$BM$1006,0)))),"Fix")))</f>
        <v xml:space="preserve"> </v>
      </c>
      <c r="AF962">
        <v>961</v>
      </c>
      <c r="AG962">
        <v>100962</v>
      </c>
      <c r="AH962">
        <v>962</v>
      </c>
      <c r="AI962" t="b">
        <f t="shared" ref="AI962:AI1025" si="15">IF(AJ962,TRUE,AND(AM962:BM962))</f>
        <v>1</v>
      </c>
      <c r="AJ962" t="b">
        <f>COUNTBLANK(metadata!B962:AB962)=COLUMNS(metadata!B962:AB962)</f>
        <v>1</v>
      </c>
      <c r="AK962" t="str">
        <v/>
      </c>
      <c r="AM962" t="b">
        <f ca="1">AND(IF(metadata!B962="",FALSE,TRUE),COUNTIF(metadata!B:B, metadata!B962) = 1,NOT(ISERROR(SUMPRODUCT(SEARCH(MID(metadata!B962,ROW(INDIRECT("1:"&amp;LEN(metadata!B962))), 1),"0123456789abcdefghijklmnopqrstuvwxyzABCDEFGHIJKLMNOPQRSTUVWXYZ.")))))</f>
        <v>0</v>
      </c>
      <c r="AN962" t="b">
        <f ca="1">OR(AND(IF(metadata!C962="",FALSE,TRUE),OR(EXACT(metadata!C962,"missing: not collected"),EXACT(metadata!C962,"missing: not provided"),EXACT(metadata!C962,"missing: restricted access"))),AND(IF(metadata!C962="",FALSE,TRUE),AND(AND(IFERROR(INT(LEFT(metadata!C962,4))&gt;1900,FALSE),IFERROR(INT(LEFT(metadata!C962,4))&lt;=YEAR(NOW()),FALSE)), OR(MID(metadata!C962,5,1)="", AND(AND(MID(metadata!C962,5,1)="-",IFERROR(INT(MID(metadata!C962,6,1))&gt;=0,FALSE),IFERROR(INT(MID(metadata!C962,6,1))&lt;=1,FALSE),NOT(MID(metadata!C962,7,1)=""),IFERROR(INT(MID(metadata!C962,6,2))&gt;=1,FALSE),IFERROR(INT(MID(metadata!C962,6,2))&lt;=12,FALSE)), OR(MID(metadata!C962,8,1)="", AND(AND(MID(metadata!C962,8,1)="-",IFERROR(INT(MID(metadata!C962,9,1))&gt;=0,FALSE),IFERROR(INT(MID(metadata!C962,9,1))&lt;=3,FALSE),NOT(MID(metadata!C962,10,1)=""),IFERROR(INT(MID(metadata!C962,9,2))&gt;=1,FALSE),IFERROR(INT(MID(metadata!C962,9,2))&lt;=31,FALSE)), OR(MID(metadata!C962,11,1)="", AND(AND(MID(metadata!C962,11,1)=" ",IFERROR(INT(MID(metadata!C962,12,1))&gt;=0,FALSE),IFERROR(INT(MID(metadata!C962,12,1))&lt;=2,FALSE),NOT(MID(metadata!C962,13,1)=""),IFERROR(INT(MID(metadata!C962,12,2))&gt;=0,FALSE),IFERROR(INT(MID(metadata!C962,12,2))&lt;=23,FALSE)), OR(MID(metadata!C962,14,1)="", AND(AND(MID(metadata!C962,14,1)=":",IFERROR(INT(MID(metadata!C962,15,1))&gt;=0,FALSE),IFERROR(INT(MID(metadata!C962,15,1))&lt;=5,FALSE),NOT(MID(metadata!C962,16,1)=""),IFERROR(INT(MID(metadata!C962,15,2))&gt;=0,FALSE),IFERROR(INT(MID(metadata!C962,15,2))&lt;=59,FALSE)), OR(MID(metadata!C962,17,1)="", AND(AND(MID(metadata!C962,17,1)=":",IFERROR(INT(MID(metadata!C962,18,1))&gt;=0,FALSE),IFERROR(INT(MID(metadata!C962,18,1))&lt;=5,FALSE),NOT(MID(metadata!C962,19,1)=""),IFERROR(INT(MID(metadata!C962,18,2))&gt;=0,FALSE),IFERROR(INT(MID(metadata!C962,18,2))&lt;=59,FALSE)), LEN(metadata!C962)&lt;=19)))))))))))))</f>
        <v>0</v>
      </c>
      <c r="AO962" t="b">
        <f>AND(IF(metadata!D962="",FALSE,TRUE),EXACT(metadata!D962,"Not applicable"))</f>
        <v>0</v>
      </c>
      <c r="AP962" t="b">
        <f>IF(metadata!E962="",FALSE,TRUE)</f>
        <v>0</v>
      </c>
      <c r="AQ962" t="b">
        <f>OR(AND(IF(metadata!F962="",FALSE,TRUE),OR(EXACT(metadata!F962,"missing: not collected"),EXACT(metadata!F962,"missing: not provided"))),AND(IF(metadata!F962="",FALSE,TRUE),OR(EXACT(metadata!F962,"TRUE"),EXACT(metadata!F962,"FALSE"))))</f>
        <v>0</v>
      </c>
      <c r="AR962" t="b">
        <f>OR(AND(IF(metadata!G962="",FALSE,TRUE),OR(EXACT(metadata!G962,"missing: not collected"),EXACT(metadata!G962,"missing: not provided"),EXACT(metadata!G962,"missing: restricted access"))),AND(IF(metadata!G962="",FALSE,ISNUMBER(VALUE(metadata!G962))),metadata!G962&gt;=-413))</f>
        <v>0</v>
      </c>
      <c r="AS962" t="b">
        <f>AND(IF(metadata!H962="",FALSE,TRUE),EXACT(metadata!H962,"meters"))</f>
        <v>0</v>
      </c>
      <c r="AT962" t="b">
        <f>AND(IF(metadata!I962="",FALSE,TRUE),OR(EXACT(metadata!I962,"Host-associated"),EXACT(metadata!I962,"Free-living")))</f>
        <v>0</v>
      </c>
      <c r="AU962" t="b">
        <f>AND(IF(metadata!J962="",FALSE,TRUE),OR(EXACT(metadata!J962,"Animal"),EXACT(metadata!J962,"Fungus"),EXACT(metadata!J962,"Plant"),EXACT(metadata!J962,"Saline"),EXACT(metadata!J962,"Non-saline")))</f>
        <v>0</v>
      </c>
      <c r="AV962" t="b">
        <f>AND(IF(metadata!K962="",FALSE,TRUE),OR(EXACT(metadata!K962,"Plant secretion"),EXACT(metadata!K962,"Plant rhizosphere"),EXACT(metadata!K962,"Plant surface"),EXACT(metadata!K962,"Plant corpus"),EXACT(metadata!K962,"Fungus surface"),EXACT(metadata!K962,"Fungus corpus"),EXACT(metadata!K962,"Animal surface"),EXACT(metadata!K962,"Animal proximal gut"),EXACT(metadata!K962,"Animal corpus"),EXACT(metadata!K962,"Animal distal gut"),EXACT(metadata!K962,"Animal secretion"),EXACT(metadata!K962,"Sub-surface (non-saline)"),EXACT(metadata!K962,"Surface (non-saline)"),EXACT(metadata!K962,"Water (non-saline)"),EXACT(metadata!K962,"Soil (non-saline)"),EXACT(metadata!K962,"Aerosol (non-saline)"),EXACT(metadata!K962,"Sediment (non-saline)"),EXACT(metadata!K962,"Surface (saline)"),EXACT(metadata!K962,"Water (saline)"),EXACT(metadata!K962,"Hypersaline (saline)"),EXACT(metadata!K962,"Aerosol (saline)"),EXACT(metadata!K962,"Sediment (saline)")))</f>
        <v>0</v>
      </c>
      <c r="AW962" t="b">
        <f>IF(metadata!L962="",FALSE,TRUE)</f>
        <v>0</v>
      </c>
      <c r="AX962" t="b">
        <f>IF(metadata!M962="",FALSE,TRUE)</f>
        <v>0</v>
      </c>
      <c r="AY962" t="b">
        <f>IF(metadata!N962="",FALSE,TRUE)</f>
        <v>0</v>
      </c>
      <c r="AZ962" t="b">
        <f>OR(AND(IF(metadata!O962="",FALSE,TRUE),OR(EXACT(metadata!O962,"missing: not collected"),EXACT(metadata!O962,"missing: not provided"),EXACT(metadata!O962,"missing: restricted access"))),AND(IF(metadata!O962="",FALSE,TRUE),OR(EXACT(metadata!O962,"air"),EXACT(metadata!O962,"built environment"),EXACT(metadata!O962,"host-associated"),EXACT(metadata!O962,"human-associated"),EXACT(metadata!O962,"human-skin"),EXACT(metadata!O962,"human-oral"),EXACT(metadata!O962,"human-gut"),EXACT(metadata!O962,"human-vaginal"),EXACT(metadata!O962,"microbial mat/biofilm"),EXACT(metadata!O962,"misc environment"),EXACT(metadata!O962,"plant-associated"),EXACT(metadata!O962,"sediment"),EXACT(metadata!O962,"soil"),EXACT(metadata!O962,"wastewater/sludge"),EXACT(metadata!O962,"water"))))</f>
        <v>0</v>
      </c>
      <c r="BA962" t="b">
        <f>IF(metadata!P962="",FALSE,TRUE)</f>
        <v>0</v>
      </c>
      <c r="BB962" t="b">
        <f>IF(metadata!Q962="",FALSE,TRUE)</f>
        <v>0</v>
      </c>
      <c r="BC962" t="b">
        <f>OR(AND(IF(metadata!R962="",FALSE,TRUE),OR(EXACT(metadata!R962,"missing: not collected"),EXACT(metadata!R962,"missing: not provided"),EXACT(metadata!R962,"missing: restricted access"))),AND(IF(metadata!R962="",FALSE,ISNUMBER(VALUE(metadata!R962))),metadata!R962&gt;=-90,metadata!R962&lt;=90))</f>
        <v>0</v>
      </c>
      <c r="BD962" t="b">
        <f>AND(IF(metadata!S962="",FALSE,TRUE),EXACT(metadata!S962,"Decimal degrees"))</f>
        <v>0</v>
      </c>
      <c r="BE962" t="b">
        <f>OR(AND(IF(metadata!T962="",FALSE,TRUE),OR(EXACT(metadata!T962,"missing: not collected"),EXACT(metadata!T962,"missing: not provided"),EXACT(metadata!T962,"missing: restricted access"))),AND(IF(metadata!T962="",FALSE,ISNUMBER(VALUE(metadata!T962))),metadata!T962&gt;=-180,metadata!T962&lt;=180))</f>
        <v>0</v>
      </c>
      <c r="BF962" t="b">
        <f>AND(IF(metadata!U962="",FALSE,TRUE),EXACT(metadata!U962,"Decimal degrees"))</f>
        <v>0</v>
      </c>
      <c r="BG962" t="b">
        <f>IF(metadata!V962="",FALSE,TRUE)</f>
        <v>0</v>
      </c>
      <c r="BH962" t="b">
        <f>OR(AND(IF(metadata!W962="",FALSE,TRUE),OR(EXACT(metadata!W962,"missing: not collected"),EXACT(metadata!W962,"missing: not provided"),EXACT(metadata!W962,"missing: restricted access"))),AND(IF(metadata!W962="",FALSE,TRUE),OR(EXACT(metadata!W962,"TRUE"),EXACT(metadata!W962,"FALSE"))))</f>
        <v>0</v>
      </c>
      <c r="BI962" t="b">
        <f>AND(IF(metadata!X962="",FALSE,TRUE),EXACT(metadata!X962,"other"))</f>
        <v>0</v>
      </c>
      <c r="BJ962" t="b">
        <f>IF(metadata!Y962="",FALSE,TRUE)</f>
        <v>0</v>
      </c>
      <c r="BK962" t="b">
        <f>OR(AND(IF(metadata!Z962="",FALSE,TRUE),OR(EXACT(metadata!Z962,"missing: not collected"),EXACT(metadata!Z962,"missing: not provided"))),AND(IF(metadata!Z962="",FALSE,IF(ISERROR(INT(metadata!Z962)),FALSE,INT(metadata!Z962)=metadata!Z962)),metadata!Z962&gt;0))</f>
        <v>0</v>
      </c>
      <c r="BL962" t="b">
        <f>AND(IF(metadata!AA962="",FALSE,TRUE),EXACT(metadata!AA962,"Not applicable"))</f>
        <v>0</v>
      </c>
      <c r="BM962" t="b">
        <f>IF(metadata!AB962="",FALSE,TRUE)</f>
        <v>0</v>
      </c>
    </row>
    <row r="963" spans="1:65" x14ac:dyDescent="0.2">
      <c r="A963" s="5" t="str">
        <f ca="1">IF(B963=" "," ",HYPERLINK(CONCATENATE("#metadata!",ADDRESS(INDEX($AH$2:$AH$1001,MATCH(ROWS($AF$2:AF963),$AF$2:$AF$1001,0),0),1)),INDEX($AK$2:$AK$1001,MATCH(ROWS($AF$2:AF963),$AF$2:$AF$1001,0),0)))</f>
        <v xml:space="preserve"> </v>
      </c>
      <c r="B963" s="4" t="str">
        <f ca="1">IF(OR(INDEX($AG$2:$AG$1001,MATCH(ROWS($AF$2:AF963),$AF$2:$AF$1001,0),1)&gt;=100000,INDEX($AM$1005:$BM$1005,1,MATCH(COLUMNS($AM$1006:AM1006),$AM$1006:$BM$1006,0))&gt;=100000), " ",IF(INDEX($AM$2:$BM$1001,MATCH(ROWS($AF$2:AF963),$AF$2:$AF$1001,0),MATCH(COLUMNS($AM$1006:AM1006),$AM$1006:$BM$1006,0)), HYPERLINK("#",""), HYPERLINK(CONCATENATE("#metadata!", ADDRESS(INDEX($AH$2:$AH$1001,MATCH(ROWS($AF$2:AF963),$AF$2:$AF$1001,0),0), INDEX($AM$1004:$BM$1004,1,MATCH(COLUMNS($AM$1006:AM1006),$AM$1006:$BM$1006,0)))),"Fix")))</f>
        <v xml:space="preserve"> </v>
      </c>
      <c r="C963" s="4" t="str">
        <f ca="1">IF(OR(INDEX($AG$2:$AG$1001,MATCH(ROWS($AF$2:AF963),$AF$2:$AF$1001,0),1)&gt;=100000,INDEX($AM$1005:$BM$1005,1,MATCH(COLUMNS($AM$1006:AN1006),$AM$1006:$BM$1006,0))&gt;=100000), " ",IF(INDEX($AM$2:$BM$1001,MATCH(ROWS($AF$2:AF963),$AF$2:$AF$1001,0),MATCH(COLUMNS($AM$1006:AN1006),$AM$1006:$BM$1006,0)), HYPERLINK("#",""), HYPERLINK(CONCATENATE("#metadata!", ADDRESS(INDEX($AH$2:$AH$1001,MATCH(ROWS($AF$2:AF963),$AF$2:$AF$1001,0),0), INDEX($AM$1004:$BM$1004,1,MATCH(COLUMNS($AM$1006:AN1006),$AM$1006:$BM$1006,0)))),"Fix")))</f>
        <v xml:space="preserve"> </v>
      </c>
      <c r="D963" s="4" t="str">
        <f ca="1">IF(OR(INDEX($AG$2:$AG$1001,MATCH(ROWS($AF$2:AF963),$AF$2:$AF$1001,0),1)&gt;=100000,INDEX($AM$1005:$BM$1005,1,MATCH(COLUMNS($AM$1006:AO1006),$AM$1006:$BM$1006,0))&gt;=100000), " ",IF(INDEX($AM$2:$BM$1001,MATCH(ROWS($AF$2:AF963),$AF$2:$AF$1001,0),MATCH(COLUMNS($AM$1006:AO1006),$AM$1006:$BM$1006,0)), HYPERLINK("#",""), HYPERLINK(CONCATENATE("#metadata!", ADDRESS(INDEX($AH$2:$AH$1001,MATCH(ROWS($AF$2:AF963),$AF$2:$AF$1001,0),0), INDEX($AM$1004:$BM$1004,1,MATCH(COLUMNS($AM$1006:AO1006),$AM$1006:$BM$1006,0)))),"Fix")))</f>
        <v xml:space="preserve"> </v>
      </c>
      <c r="E963" s="4" t="str">
        <f ca="1">IF(OR(INDEX($AG$2:$AG$1001,MATCH(ROWS($AF$2:AF963),$AF$2:$AF$1001,0),1)&gt;=100000,INDEX($AM$1005:$BM$1005,1,MATCH(COLUMNS($AM$1006:AP1006),$AM$1006:$BM$1006,0))&gt;=100000), " ",IF(INDEX($AM$2:$BM$1001,MATCH(ROWS($AF$2:AF963),$AF$2:$AF$1001,0),MATCH(COLUMNS($AM$1006:AP1006),$AM$1006:$BM$1006,0)), HYPERLINK("#",""), HYPERLINK(CONCATENATE("#metadata!", ADDRESS(INDEX($AH$2:$AH$1001,MATCH(ROWS($AF$2:AF963),$AF$2:$AF$1001,0),0), INDEX($AM$1004:$BM$1004,1,MATCH(COLUMNS($AM$1006:AP1006),$AM$1006:$BM$1006,0)))),"Fix")))</f>
        <v xml:space="preserve"> </v>
      </c>
      <c r="F963" s="4" t="str">
        <f ca="1">IF(OR(INDEX($AG$2:$AG$1001,MATCH(ROWS($AF$2:AF963),$AF$2:$AF$1001,0),1)&gt;=100000,INDEX($AM$1005:$BM$1005,1,MATCH(COLUMNS($AM$1006:AQ1006),$AM$1006:$BM$1006,0))&gt;=100000), " ",IF(INDEX($AM$2:$BM$1001,MATCH(ROWS($AF$2:AF963),$AF$2:$AF$1001,0),MATCH(COLUMNS($AM$1006:AQ1006),$AM$1006:$BM$1006,0)), HYPERLINK("#",""), HYPERLINK(CONCATENATE("#metadata!", ADDRESS(INDEX($AH$2:$AH$1001,MATCH(ROWS($AF$2:AF963),$AF$2:$AF$1001,0),0), INDEX($AM$1004:$BM$1004,1,MATCH(COLUMNS($AM$1006:AQ1006),$AM$1006:$BM$1006,0)))),"Fix")))</f>
        <v xml:space="preserve"> </v>
      </c>
      <c r="G963" s="4" t="str">
        <f ca="1">IF(OR(INDEX($AG$2:$AG$1001,MATCH(ROWS($AF$2:AF963),$AF$2:$AF$1001,0),1)&gt;=100000,INDEX($AM$1005:$BM$1005,1,MATCH(COLUMNS($AM$1006:AR1006),$AM$1006:$BM$1006,0))&gt;=100000), " ",IF(INDEX($AM$2:$BM$1001,MATCH(ROWS($AF$2:AF963),$AF$2:$AF$1001,0),MATCH(COLUMNS($AM$1006:AR1006),$AM$1006:$BM$1006,0)), HYPERLINK("#",""), HYPERLINK(CONCATENATE("#metadata!", ADDRESS(INDEX($AH$2:$AH$1001,MATCH(ROWS($AF$2:AF963),$AF$2:$AF$1001,0),0), INDEX($AM$1004:$BM$1004,1,MATCH(COLUMNS($AM$1006:AR1006),$AM$1006:$BM$1006,0)))),"Fix")))</f>
        <v xml:space="preserve"> </v>
      </c>
      <c r="H963" s="4" t="str">
        <f ca="1">IF(OR(INDEX($AG$2:$AG$1001,MATCH(ROWS($AF$2:AF963),$AF$2:$AF$1001,0),1)&gt;=100000,INDEX($AM$1005:$BM$1005,1,MATCH(COLUMNS($AM$1006:AS1006),$AM$1006:$BM$1006,0))&gt;=100000), " ",IF(INDEX($AM$2:$BM$1001,MATCH(ROWS($AF$2:AF963),$AF$2:$AF$1001,0),MATCH(COLUMNS($AM$1006:AS1006),$AM$1006:$BM$1006,0)), HYPERLINK("#",""), HYPERLINK(CONCATENATE("#metadata!", ADDRESS(INDEX($AH$2:$AH$1001,MATCH(ROWS($AF$2:AF963),$AF$2:$AF$1001,0),0), INDEX($AM$1004:$BM$1004,1,MATCH(COLUMNS($AM$1006:AS1006),$AM$1006:$BM$1006,0)))),"Fix")))</f>
        <v xml:space="preserve"> </v>
      </c>
      <c r="I963" s="4" t="str">
        <f ca="1">IF(OR(INDEX($AG$2:$AG$1001,MATCH(ROWS($AF$2:AF963),$AF$2:$AF$1001,0),1)&gt;=100000,INDEX($AM$1005:$BM$1005,1,MATCH(COLUMNS($AM$1006:AT1006),$AM$1006:$BM$1006,0))&gt;=100000), " ",IF(INDEX($AM$2:$BM$1001,MATCH(ROWS($AF$2:AF963),$AF$2:$AF$1001,0),MATCH(COLUMNS($AM$1006:AT1006),$AM$1006:$BM$1006,0)), HYPERLINK("#",""), HYPERLINK(CONCATENATE("#metadata!", ADDRESS(INDEX($AH$2:$AH$1001,MATCH(ROWS($AF$2:AF963),$AF$2:$AF$1001,0),0), INDEX($AM$1004:$BM$1004,1,MATCH(COLUMNS($AM$1006:AT1006),$AM$1006:$BM$1006,0)))),"Fix")))</f>
        <v xml:space="preserve"> </v>
      </c>
      <c r="J963" s="4" t="str">
        <f ca="1">IF(OR(INDEX($AG$2:$AG$1001,MATCH(ROWS($AF$2:AF963),$AF$2:$AF$1001,0),1)&gt;=100000,INDEX($AM$1005:$BM$1005,1,MATCH(COLUMNS($AM$1006:AU1006),$AM$1006:$BM$1006,0))&gt;=100000), " ",IF(INDEX($AM$2:$BM$1001,MATCH(ROWS($AF$2:AF963),$AF$2:$AF$1001,0),MATCH(COLUMNS($AM$1006:AU1006),$AM$1006:$BM$1006,0)), HYPERLINK("#",""), HYPERLINK(CONCATENATE("#metadata!", ADDRESS(INDEX($AH$2:$AH$1001,MATCH(ROWS($AF$2:AF963),$AF$2:$AF$1001,0),0), INDEX($AM$1004:$BM$1004,1,MATCH(COLUMNS($AM$1006:AU1006),$AM$1006:$BM$1006,0)))),"Fix")))</f>
        <v xml:space="preserve"> </v>
      </c>
      <c r="K963" s="4" t="str">
        <f ca="1">IF(OR(INDEX($AG$2:$AG$1001,MATCH(ROWS($AF$2:AF963),$AF$2:$AF$1001,0),1)&gt;=100000,INDEX($AM$1005:$BM$1005,1,MATCH(COLUMNS($AM$1006:AV1006),$AM$1006:$BM$1006,0))&gt;=100000), " ",IF(INDEX($AM$2:$BM$1001,MATCH(ROWS($AF$2:AF963),$AF$2:$AF$1001,0),MATCH(COLUMNS($AM$1006:AV1006),$AM$1006:$BM$1006,0)), HYPERLINK("#",""), HYPERLINK(CONCATENATE("#metadata!", ADDRESS(INDEX($AH$2:$AH$1001,MATCH(ROWS($AF$2:AF963),$AF$2:$AF$1001,0),0), INDEX($AM$1004:$BM$1004,1,MATCH(COLUMNS($AM$1006:AV1006),$AM$1006:$BM$1006,0)))),"Fix")))</f>
        <v xml:space="preserve"> </v>
      </c>
      <c r="L963" s="4" t="str">
        <f ca="1">IF(OR(INDEX($AG$2:$AG$1001,MATCH(ROWS($AF$2:AF963),$AF$2:$AF$1001,0),1)&gt;=100000,INDEX($AM$1005:$BM$1005,1,MATCH(COLUMNS($AM$1006:AW1006),$AM$1006:$BM$1006,0))&gt;=100000), " ",IF(INDEX($AM$2:$BM$1001,MATCH(ROWS($AF$2:AF963),$AF$2:$AF$1001,0),MATCH(COLUMNS($AM$1006:AW1006),$AM$1006:$BM$1006,0)), HYPERLINK("#",""), HYPERLINK(CONCATENATE("#metadata!", ADDRESS(INDEX($AH$2:$AH$1001,MATCH(ROWS($AF$2:AF963),$AF$2:$AF$1001,0),0), INDEX($AM$1004:$BM$1004,1,MATCH(COLUMNS($AM$1006:AW1006),$AM$1006:$BM$1006,0)))),"Fix")))</f>
        <v xml:space="preserve"> </v>
      </c>
      <c r="M963" s="4" t="str">
        <f ca="1">IF(OR(INDEX($AG$2:$AG$1001,MATCH(ROWS($AF$2:AF963),$AF$2:$AF$1001,0),1)&gt;=100000,INDEX($AM$1005:$BM$1005,1,MATCH(COLUMNS($AM$1006:AX1006),$AM$1006:$BM$1006,0))&gt;=100000), " ",IF(INDEX($AM$2:$BM$1001,MATCH(ROWS($AF$2:AF963),$AF$2:$AF$1001,0),MATCH(COLUMNS($AM$1006:AX1006),$AM$1006:$BM$1006,0)), HYPERLINK("#",""), HYPERLINK(CONCATENATE("#metadata!", ADDRESS(INDEX($AH$2:$AH$1001,MATCH(ROWS($AF$2:AF963),$AF$2:$AF$1001,0),0), INDEX($AM$1004:$BM$1004,1,MATCH(COLUMNS($AM$1006:AX1006),$AM$1006:$BM$1006,0)))),"Fix")))</f>
        <v xml:space="preserve"> </v>
      </c>
      <c r="N963" s="4" t="str">
        <f ca="1">IF(OR(INDEX($AG$2:$AG$1001,MATCH(ROWS($AF$2:AF963),$AF$2:$AF$1001,0),1)&gt;=100000,INDEX($AM$1005:$BM$1005,1,MATCH(COLUMNS($AM$1006:AY1006),$AM$1006:$BM$1006,0))&gt;=100000), " ",IF(INDEX($AM$2:$BM$1001,MATCH(ROWS($AF$2:AF963),$AF$2:$AF$1001,0),MATCH(COLUMNS($AM$1006:AY1006),$AM$1006:$BM$1006,0)), HYPERLINK("#",""), HYPERLINK(CONCATENATE("#metadata!", ADDRESS(INDEX($AH$2:$AH$1001,MATCH(ROWS($AF$2:AF963),$AF$2:$AF$1001,0),0), INDEX($AM$1004:$BM$1004,1,MATCH(COLUMNS($AM$1006:AY1006),$AM$1006:$BM$1006,0)))),"Fix")))</f>
        <v xml:space="preserve"> </v>
      </c>
      <c r="O963" s="4" t="str">
        <f ca="1">IF(OR(INDEX($AG$2:$AG$1001,MATCH(ROWS($AF$2:AF963),$AF$2:$AF$1001,0),1)&gt;=100000,INDEX($AM$1005:$BM$1005,1,MATCH(COLUMNS($AM$1006:AZ1006),$AM$1006:$BM$1006,0))&gt;=100000), " ",IF(INDEX($AM$2:$BM$1001,MATCH(ROWS($AF$2:AF963),$AF$2:$AF$1001,0),MATCH(COLUMNS($AM$1006:AZ1006),$AM$1006:$BM$1006,0)), HYPERLINK("#",""), HYPERLINK(CONCATENATE("#metadata!", ADDRESS(INDEX($AH$2:$AH$1001,MATCH(ROWS($AF$2:AF963),$AF$2:$AF$1001,0),0), INDEX($AM$1004:$BM$1004,1,MATCH(COLUMNS($AM$1006:AZ1006),$AM$1006:$BM$1006,0)))),"Fix")))</f>
        <v xml:space="preserve"> </v>
      </c>
      <c r="P963" s="4" t="str">
        <f ca="1">IF(OR(INDEX($AG$2:$AG$1001,MATCH(ROWS($AF$2:AF963),$AF$2:$AF$1001,0),1)&gt;=100000,INDEX($AM$1005:$BM$1005,1,MATCH(COLUMNS($AM$1006:BA1006),$AM$1006:$BM$1006,0))&gt;=100000), " ",IF(INDEX($AM$2:$BM$1001,MATCH(ROWS($AF$2:AF963),$AF$2:$AF$1001,0),MATCH(COLUMNS($AM$1006:BA1006),$AM$1006:$BM$1006,0)), HYPERLINK("#",""), HYPERLINK(CONCATENATE("#metadata!", ADDRESS(INDEX($AH$2:$AH$1001,MATCH(ROWS($AF$2:AF963),$AF$2:$AF$1001,0),0), INDEX($AM$1004:$BM$1004,1,MATCH(COLUMNS($AM$1006:BA1006),$AM$1006:$BM$1006,0)))),"Fix")))</f>
        <v xml:space="preserve"> </v>
      </c>
      <c r="Q963" s="4" t="str">
        <f ca="1">IF(OR(INDEX($AG$2:$AG$1001,MATCH(ROWS($AF$2:AF963),$AF$2:$AF$1001,0),1)&gt;=100000,INDEX($AM$1005:$BM$1005,1,MATCH(COLUMNS($AM$1006:BB1006),$AM$1006:$BM$1006,0))&gt;=100000), " ",IF(INDEX($AM$2:$BM$1001,MATCH(ROWS($AF$2:AF963),$AF$2:$AF$1001,0),MATCH(COLUMNS($AM$1006:BB1006),$AM$1006:$BM$1006,0)), HYPERLINK("#",""), HYPERLINK(CONCATENATE("#metadata!", ADDRESS(INDEX($AH$2:$AH$1001,MATCH(ROWS($AF$2:AF963),$AF$2:$AF$1001,0),0), INDEX($AM$1004:$BM$1004,1,MATCH(COLUMNS($AM$1006:BB1006),$AM$1006:$BM$1006,0)))),"Fix")))</f>
        <v xml:space="preserve"> </v>
      </c>
      <c r="R963" s="4" t="str">
        <f ca="1">IF(OR(INDEX($AG$2:$AG$1001,MATCH(ROWS($AF$2:AF963),$AF$2:$AF$1001,0),1)&gt;=100000,INDEX($AM$1005:$BM$1005,1,MATCH(COLUMNS($AM$1006:BC1006),$AM$1006:$BM$1006,0))&gt;=100000), " ",IF(INDEX($AM$2:$BM$1001,MATCH(ROWS($AF$2:AF963),$AF$2:$AF$1001,0),MATCH(COLUMNS($AM$1006:BC1006),$AM$1006:$BM$1006,0)), HYPERLINK("#",""), HYPERLINK(CONCATENATE("#metadata!", ADDRESS(INDEX($AH$2:$AH$1001,MATCH(ROWS($AF$2:AF963),$AF$2:$AF$1001,0),0), INDEX($AM$1004:$BM$1004,1,MATCH(COLUMNS($AM$1006:BC1006),$AM$1006:$BM$1006,0)))),"Fix")))</f>
        <v xml:space="preserve"> </v>
      </c>
      <c r="S963" s="4" t="str">
        <f ca="1">IF(OR(INDEX($AG$2:$AG$1001,MATCH(ROWS($AF$2:AF963),$AF$2:$AF$1001,0),1)&gt;=100000,INDEX($AM$1005:$BM$1005,1,MATCH(COLUMNS($AM$1006:BD1006),$AM$1006:$BM$1006,0))&gt;=100000), " ",IF(INDEX($AM$2:$BM$1001,MATCH(ROWS($AF$2:AF963),$AF$2:$AF$1001,0),MATCH(COLUMNS($AM$1006:BD1006),$AM$1006:$BM$1006,0)), HYPERLINK("#",""), HYPERLINK(CONCATENATE("#metadata!", ADDRESS(INDEX($AH$2:$AH$1001,MATCH(ROWS($AF$2:AF963),$AF$2:$AF$1001,0),0), INDEX($AM$1004:$BM$1004,1,MATCH(COLUMNS($AM$1006:BD1006),$AM$1006:$BM$1006,0)))),"Fix")))</f>
        <v xml:space="preserve"> </v>
      </c>
      <c r="T963" s="4" t="str">
        <f ca="1">IF(OR(INDEX($AG$2:$AG$1001,MATCH(ROWS($AF$2:AF963),$AF$2:$AF$1001,0),1)&gt;=100000,INDEX($AM$1005:$BM$1005,1,MATCH(COLUMNS($AM$1006:BE1006),$AM$1006:$BM$1006,0))&gt;=100000), " ",IF(INDEX($AM$2:$BM$1001,MATCH(ROWS($AF$2:AF963),$AF$2:$AF$1001,0),MATCH(COLUMNS($AM$1006:BE1006),$AM$1006:$BM$1006,0)), HYPERLINK("#",""), HYPERLINK(CONCATENATE("#metadata!", ADDRESS(INDEX($AH$2:$AH$1001,MATCH(ROWS($AF$2:AF963),$AF$2:$AF$1001,0),0), INDEX($AM$1004:$BM$1004,1,MATCH(COLUMNS($AM$1006:BE1006),$AM$1006:$BM$1006,0)))),"Fix")))</f>
        <v xml:space="preserve"> </v>
      </c>
      <c r="U963" s="4" t="str">
        <f ca="1">IF(OR(INDEX($AG$2:$AG$1001,MATCH(ROWS($AF$2:AF963),$AF$2:$AF$1001,0),1)&gt;=100000,INDEX($AM$1005:$BM$1005,1,MATCH(COLUMNS($AM$1006:BF1006),$AM$1006:$BM$1006,0))&gt;=100000), " ",IF(INDEX($AM$2:$BM$1001,MATCH(ROWS($AF$2:AF963),$AF$2:$AF$1001,0),MATCH(COLUMNS($AM$1006:BF1006),$AM$1006:$BM$1006,0)), HYPERLINK("#",""), HYPERLINK(CONCATENATE("#metadata!", ADDRESS(INDEX($AH$2:$AH$1001,MATCH(ROWS($AF$2:AF963),$AF$2:$AF$1001,0),0), INDEX($AM$1004:$BM$1004,1,MATCH(COLUMNS($AM$1006:BF1006),$AM$1006:$BM$1006,0)))),"Fix")))</f>
        <v xml:space="preserve"> </v>
      </c>
      <c r="V963" s="4" t="str">
        <f ca="1">IF(OR(INDEX($AG$2:$AG$1001,MATCH(ROWS($AF$2:AF963),$AF$2:$AF$1001,0),1)&gt;=100000,INDEX($AM$1005:$BM$1005,1,MATCH(COLUMNS($AM$1006:BG1006),$AM$1006:$BM$1006,0))&gt;=100000), " ",IF(INDEX($AM$2:$BM$1001,MATCH(ROWS($AF$2:AF963),$AF$2:$AF$1001,0),MATCH(COLUMNS($AM$1006:BG1006),$AM$1006:$BM$1006,0)), HYPERLINK("#",""), HYPERLINK(CONCATENATE("#metadata!", ADDRESS(INDEX($AH$2:$AH$1001,MATCH(ROWS($AF$2:AF963),$AF$2:$AF$1001,0),0), INDEX($AM$1004:$BM$1004,1,MATCH(COLUMNS($AM$1006:BG1006),$AM$1006:$BM$1006,0)))),"Fix")))</f>
        <v xml:space="preserve"> </v>
      </c>
      <c r="W963" s="4" t="str">
        <f ca="1">IF(OR(INDEX($AG$2:$AG$1001,MATCH(ROWS($AF$2:AF963),$AF$2:$AF$1001,0),1)&gt;=100000,INDEX($AM$1005:$BM$1005,1,MATCH(COLUMNS($AM$1006:BH1006),$AM$1006:$BM$1006,0))&gt;=100000), " ",IF(INDEX($AM$2:$BM$1001,MATCH(ROWS($AF$2:AF963),$AF$2:$AF$1001,0),MATCH(COLUMNS($AM$1006:BH1006),$AM$1006:$BM$1006,0)), HYPERLINK("#",""), HYPERLINK(CONCATENATE("#metadata!", ADDRESS(INDEX($AH$2:$AH$1001,MATCH(ROWS($AF$2:AF963),$AF$2:$AF$1001,0),0), INDEX($AM$1004:$BM$1004,1,MATCH(COLUMNS($AM$1006:BH1006),$AM$1006:$BM$1006,0)))),"Fix")))</f>
        <v xml:space="preserve"> </v>
      </c>
      <c r="X963" s="4" t="str">
        <f ca="1">IF(OR(INDEX($AG$2:$AG$1001,MATCH(ROWS($AF$2:AF963),$AF$2:$AF$1001,0),1)&gt;=100000,INDEX($AM$1005:$BM$1005,1,MATCH(COLUMNS($AM$1006:BI1006),$AM$1006:$BM$1006,0))&gt;=100000), " ",IF(INDEX($AM$2:$BM$1001,MATCH(ROWS($AF$2:AF963),$AF$2:$AF$1001,0),MATCH(COLUMNS($AM$1006:BI1006),$AM$1006:$BM$1006,0)), HYPERLINK("#",""), HYPERLINK(CONCATENATE("#metadata!", ADDRESS(INDEX($AH$2:$AH$1001,MATCH(ROWS($AF$2:AF963),$AF$2:$AF$1001,0),0), INDEX($AM$1004:$BM$1004,1,MATCH(COLUMNS($AM$1006:BI1006),$AM$1006:$BM$1006,0)))),"Fix")))</f>
        <v xml:space="preserve"> </v>
      </c>
      <c r="Y963" s="4" t="str">
        <f ca="1">IF(OR(INDEX($AG$2:$AG$1001,MATCH(ROWS($AF$2:AF963),$AF$2:$AF$1001,0),1)&gt;=100000,INDEX($AM$1005:$BM$1005,1,MATCH(COLUMNS($AM$1006:BJ1006),$AM$1006:$BM$1006,0))&gt;=100000), " ",IF(INDEX($AM$2:$BM$1001,MATCH(ROWS($AF$2:AF963),$AF$2:$AF$1001,0),MATCH(COLUMNS($AM$1006:BJ1006),$AM$1006:$BM$1006,0)), HYPERLINK("#",""), HYPERLINK(CONCATENATE("#metadata!", ADDRESS(INDEX($AH$2:$AH$1001,MATCH(ROWS($AF$2:AF963),$AF$2:$AF$1001,0),0), INDEX($AM$1004:$BM$1004,1,MATCH(COLUMNS($AM$1006:BJ1006),$AM$1006:$BM$1006,0)))),"Fix")))</f>
        <v xml:space="preserve"> </v>
      </c>
      <c r="Z963" s="4" t="str">
        <f ca="1">IF(OR(INDEX($AG$2:$AG$1001,MATCH(ROWS($AF$2:AF963),$AF$2:$AF$1001,0),1)&gt;=100000,INDEX($AM$1005:$BM$1005,1,MATCH(COLUMNS($AM$1006:BK1006),$AM$1006:$BM$1006,0))&gt;=100000), " ",IF(INDEX($AM$2:$BM$1001,MATCH(ROWS($AF$2:AF963),$AF$2:$AF$1001,0),MATCH(COLUMNS($AM$1006:BK1006),$AM$1006:$BM$1006,0)), HYPERLINK("#",""), HYPERLINK(CONCATENATE("#metadata!", ADDRESS(INDEX($AH$2:$AH$1001,MATCH(ROWS($AF$2:AF963),$AF$2:$AF$1001,0),0), INDEX($AM$1004:$BM$1004,1,MATCH(COLUMNS($AM$1006:BK1006),$AM$1006:$BM$1006,0)))),"Fix")))</f>
        <v xml:space="preserve"> </v>
      </c>
      <c r="AA963" s="4" t="str">
        <f ca="1">IF(OR(INDEX($AG$2:$AG$1001,MATCH(ROWS($AF$2:AF963),$AF$2:$AF$1001,0),1)&gt;=100000,INDEX($AM$1005:$BM$1005,1,MATCH(COLUMNS($AM$1006:BL1006),$AM$1006:$BM$1006,0))&gt;=100000), " ",IF(INDEX($AM$2:$BM$1001,MATCH(ROWS($AF$2:AF963),$AF$2:$AF$1001,0),MATCH(COLUMNS($AM$1006:BL1006),$AM$1006:$BM$1006,0)), HYPERLINK("#",""), HYPERLINK(CONCATENATE("#metadata!", ADDRESS(INDEX($AH$2:$AH$1001,MATCH(ROWS($AF$2:AF963),$AF$2:$AF$1001,0),0), INDEX($AM$1004:$BM$1004,1,MATCH(COLUMNS($AM$1006:BL1006),$AM$1006:$BM$1006,0)))),"Fix")))</f>
        <v xml:space="preserve"> </v>
      </c>
      <c r="AB963" s="4" t="str">
        <f ca="1">IF(OR(INDEX($AG$2:$AG$1001,MATCH(ROWS($AF$2:AF963),$AF$2:$AF$1001,0),1)&gt;=100000,INDEX($AM$1005:$BM$1005,1,MATCH(COLUMNS($AM$1006:BM1006),$AM$1006:$BM$1006,0))&gt;=100000), " ",IF(INDEX($AM$2:$BM$1001,MATCH(ROWS($AF$2:AF963),$AF$2:$AF$1001,0),MATCH(COLUMNS($AM$1006:BM1006),$AM$1006:$BM$1006,0)), HYPERLINK("#",""), HYPERLINK(CONCATENATE("#metadata!", ADDRESS(INDEX($AH$2:$AH$1001,MATCH(ROWS($AF$2:AF963),$AF$2:$AF$1001,0),0), INDEX($AM$1004:$BM$1004,1,MATCH(COLUMNS($AM$1006:BM1006),$AM$1006:$BM$1006,0)))),"Fix")))</f>
        <v xml:space="preserve"> </v>
      </c>
      <c r="AF963">
        <v>962</v>
      </c>
      <c r="AG963">
        <v>100963</v>
      </c>
      <c r="AH963">
        <v>963</v>
      </c>
      <c r="AI963" t="b">
        <f t="shared" si="15"/>
        <v>1</v>
      </c>
      <c r="AJ963" t="b">
        <f>COUNTBLANK(metadata!B963:AB963)=COLUMNS(metadata!B963:AB963)</f>
        <v>1</v>
      </c>
      <c r="AK963" t="str">
        <v/>
      </c>
      <c r="AM963" t="b">
        <f ca="1">AND(IF(metadata!B963="",FALSE,TRUE),COUNTIF(metadata!B:B, metadata!B963) = 1,NOT(ISERROR(SUMPRODUCT(SEARCH(MID(metadata!B963,ROW(INDIRECT("1:"&amp;LEN(metadata!B963))), 1),"0123456789abcdefghijklmnopqrstuvwxyzABCDEFGHIJKLMNOPQRSTUVWXYZ.")))))</f>
        <v>0</v>
      </c>
      <c r="AN963" t="b">
        <f ca="1">OR(AND(IF(metadata!C963="",FALSE,TRUE),OR(EXACT(metadata!C963,"missing: not collected"),EXACT(metadata!C963,"missing: not provided"),EXACT(metadata!C963,"missing: restricted access"))),AND(IF(metadata!C963="",FALSE,TRUE),AND(AND(IFERROR(INT(LEFT(metadata!C963,4))&gt;1900,FALSE),IFERROR(INT(LEFT(metadata!C963,4))&lt;=YEAR(NOW()),FALSE)), OR(MID(metadata!C963,5,1)="", AND(AND(MID(metadata!C963,5,1)="-",IFERROR(INT(MID(metadata!C963,6,1))&gt;=0,FALSE),IFERROR(INT(MID(metadata!C963,6,1))&lt;=1,FALSE),NOT(MID(metadata!C963,7,1)=""),IFERROR(INT(MID(metadata!C963,6,2))&gt;=1,FALSE),IFERROR(INT(MID(metadata!C963,6,2))&lt;=12,FALSE)), OR(MID(metadata!C963,8,1)="", AND(AND(MID(metadata!C963,8,1)="-",IFERROR(INT(MID(metadata!C963,9,1))&gt;=0,FALSE),IFERROR(INT(MID(metadata!C963,9,1))&lt;=3,FALSE),NOT(MID(metadata!C963,10,1)=""),IFERROR(INT(MID(metadata!C963,9,2))&gt;=1,FALSE),IFERROR(INT(MID(metadata!C963,9,2))&lt;=31,FALSE)), OR(MID(metadata!C963,11,1)="", AND(AND(MID(metadata!C963,11,1)=" ",IFERROR(INT(MID(metadata!C963,12,1))&gt;=0,FALSE),IFERROR(INT(MID(metadata!C963,12,1))&lt;=2,FALSE),NOT(MID(metadata!C963,13,1)=""),IFERROR(INT(MID(metadata!C963,12,2))&gt;=0,FALSE),IFERROR(INT(MID(metadata!C963,12,2))&lt;=23,FALSE)), OR(MID(metadata!C963,14,1)="", AND(AND(MID(metadata!C963,14,1)=":",IFERROR(INT(MID(metadata!C963,15,1))&gt;=0,FALSE),IFERROR(INT(MID(metadata!C963,15,1))&lt;=5,FALSE),NOT(MID(metadata!C963,16,1)=""),IFERROR(INT(MID(metadata!C963,15,2))&gt;=0,FALSE),IFERROR(INT(MID(metadata!C963,15,2))&lt;=59,FALSE)), OR(MID(metadata!C963,17,1)="", AND(AND(MID(metadata!C963,17,1)=":",IFERROR(INT(MID(metadata!C963,18,1))&gt;=0,FALSE),IFERROR(INT(MID(metadata!C963,18,1))&lt;=5,FALSE),NOT(MID(metadata!C963,19,1)=""),IFERROR(INT(MID(metadata!C963,18,2))&gt;=0,FALSE),IFERROR(INT(MID(metadata!C963,18,2))&lt;=59,FALSE)), LEN(metadata!C963)&lt;=19)))))))))))))</f>
        <v>0</v>
      </c>
      <c r="AO963" t="b">
        <f>AND(IF(metadata!D963="",FALSE,TRUE),EXACT(metadata!D963,"Not applicable"))</f>
        <v>0</v>
      </c>
      <c r="AP963" t="b">
        <f>IF(metadata!E963="",FALSE,TRUE)</f>
        <v>0</v>
      </c>
      <c r="AQ963" t="b">
        <f>OR(AND(IF(metadata!F963="",FALSE,TRUE),OR(EXACT(metadata!F963,"missing: not collected"),EXACT(metadata!F963,"missing: not provided"))),AND(IF(metadata!F963="",FALSE,TRUE),OR(EXACT(metadata!F963,"TRUE"),EXACT(metadata!F963,"FALSE"))))</f>
        <v>0</v>
      </c>
      <c r="AR963" t="b">
        <f>OR(AND(IF(metadata!G963="",FALSE,TRUE),OR(EXACT(metadata!G963,"missing: not collected"),EXACT(metadata!G963,"missing: not provided"),EXACT(metadata!G963,"missing: restricted access"))),AND(IF(metadata!G963="",FALSE,ISNUMBER(VALUE(metadata!G963))),metadata!G963&gt;=-413))</f>
        <v>0</v>
      </c>
      <c r="AS963" t="b">
        <f>AND(IF(metadata!H963="",FALSE,TRUE),EXACT(metadata!H963,"meters"))</f>
        <v>0</v>
      </c>
      <c r="AT963" t="b">
        <f>AND(IF(metadata!I963="",FALSE,TRUE),OR(EXACT(metadata!I963,"Host-associated"),EXACT(metadata!I963,"Free-living")))</f>
        <v>0</v>
      </c>
      <c r="AU963" t="b">
        <f>AND(IF(metadata!J963="",FALSE,TRUE),OR(EXACT(metadata!J963,"Animal"),EXACT(metadata!J963,"Fungus"),EXACT(metadata!J963,"Plant"),EXACT(metadata!J963,"Saline"),EXACT(metadata!J963,"Non-saline")))</f>
        <v>0</v>
      </c>
      <c r="AV963" t="b">
        <f>AND(IF(metadata!K963="",FALSE,TRUE),OR(EXACT(metadata!K963,"Plant secretion"),EXACT(metadata!K963,"Plant rhizosphere"),EXACT(metadata!K963,"Plant surface"),EXACT(metadata!K963,"Plant corpus"),EXACT(metadata!K963,"Fungus surface"),EXACT(metadata!K963,"Fungus corpus"),EXACT(metadata!K963,"Animal surface"),EXACT(metadata!K963,"Animal proximal gut"),EXACT(metadata!K963,"Animal corpus"),EXACT(metadata!K963,"Animal distal gut"),EXACT(metadata!K963,"Animal secretion"),EXACT(metadata!K963,"Sub-surface (non-saline)"),EXACT(metadata!K963,"Surface (non-saline)"),EXACT(metadata!K963,"Water (non-saline)"),EXACT(metadata!K963,"Soil (non-saline)"),EXACT(metadata!K963,"Aerosol (non-saline)"),EXACT(metadata!K963,"Sediment (non-saline)"),EXACT(metadata!K963,"Surface (saline)"),EXACT(metadata!K963,"Water (saline)"),EXACT(metadata!K963,"Hypersaline (saline)"),EXACT(metadata!K963,"Aerosol (saline)"),EXACT(metadata!K963,"Sediment (saline)")))</f>
        <v>0</v>
      </c>
      <c r="AW963" t="b">
        <f>IF(metadata!L963="",FALSE,TRUE)</f>
        <v>0</v>
      </c>
      <c r="AX963" t="b">
        <f>IF(metadata!M963="",FALSE,TRUE)</f>
        <v>0</v>
      </c>
      <c r="AY963" t="b">
        <f>IF(metadata!N963="",FALSE,TRUE)</f>
        <v>0</v>
      </c>
      <c r="AZ963" t="b">
        <f>OR(AND(IF(metadata!O963="",FALSE,TRUE),OR(EXACT(metadata!O963,"missing: not collected"),EXACT(metadata!O963,"missing: not provided"),EXACT(metadata!O963,"missing: restricted access"))),AND(IF(metadata!O963="",FALSE,TRUE),OR(EXACT(metadata!O963,"air"),EXACT(metadata!O963,"built environment"),EXACT(metadata!O963,"host-associated"),EXACT(metadata!O963,"human-associated"),EXACT(metadata!O963,"human-skin"),EXACT(metadata!O963,"human-oral"),EXACT(metadata!O963,"human-gut"),EXACT(metadata!O963,"human-vaginal"),EXACT(metadata!O963,"microbial mat/biofilm"),EXACT(metadata!O963,"misc environment"),EXACT(metadata!O963,"plant-associated"),EXACT(metadata!O963,"sediment"),EXACT(metadata!O963,"soil"),EXACT(metadata!O963,"wastewater/sludge"),EXACT(metadata!O963,"water"))))</f>
        <v>0</v>
      </c>
      <c r="BA963" t="b">
        <f>IF(metadata!P963="",FALSE,TRUE)</f>
        <v>0</v>
      </c>
      <c r="BB963" t="b">
        <f>IF(metadata!Q963="",FALSE,TRUE)</f>
        <v>0</v>
      </c>
      <c r="BC963" t="b">
        <f>OR(AND(IF(metadata!R963="",FALSE,TRUE),OR(EXACT(metadata!R963,"missing: not collected"),EXACT(metadata!R963,"missing: not provided"),EXACT(metadata!R963,"missing: restricted access"))),AND(IF(metadata!R963="",FALSE,ISNUMBER(VALUE(metadata!R963))),metadata!R963&gt;=-90,metadata!R963&lt;=90))</f>
        <v>0</v>
      </c>
      <c r="BD963" t="b">
        <f>AND(IF(metadata!S963="",FALSE,TRUE),EXACT(metadata!S963,"Decimal degrees"))</f>
        <v>0</v>
      </c>
      <c r="BE963" t="b">
        <f>OR(AND(IF(metadata!T963="",FALSE,TRUE),OR(EXACT(metadata!T963,"missing: not collected"),EXACT(metadata!T963,"missing: not provided"),EXACT(metadata!T963,"missing: restricted access"))),AND(IF(metadata!T963="",FALSE,ISNUMBER(VALUE(metadata!T963))),metadata!T963&gt;=-180,metadata!T963&lt;=180))</f>
        <v>0</v>
      </c>
      <c r="BF963" t="b">
        <f>AND(IF(metadata!U963="",FALSE,TRUE),EXACT(metadata!U963,"Decimal degrees"))</f>
        <v>0</v>
      </c>
      <c r="BG963" t="b">
        <f>IF(metadata!V963="",FALSE,TRUE)</f>
        <v>0</v>
      </c>
      <c r="BH963" t="b">
        <f>OR(AND(IF(metadata!W963="",FALSE,TRUE),OR(EXACT(metadata!W963,"missing: not collected"),EXACT(metadata!W963,"missing: not provided"),EXACT(metadata!W963,"missing: restricted access"))),AND(IF(metadata!W963="",FALSE,TRUE),OR(EXACT(metadata!W963,"TRUE"),EXACT(metadata!W963,"FALSE"))))</f>
        <v>0</v>
      </c>
      <c r="BI963" t="b">
        <f>AND(IF(metadata!X963="",FALSE,TRUE),EXACT(metadata!X963,"other"))</f>
        <v>0</v>
      </c>
      <c r="BJ963" t="b">
        <f>IF(metadata!Y963="",FALSE,TRUE)</f>
        <v>0</v>
      </c>
      <c r="BK963" t="b">
        <f>OR(AND(IF(metadata!Z963="",FALSE,TRUE),OR(EXACT(metadata!Z963,"missing: not collected"),EXACT(metadata!Z963,"missing: not provided"))),AND(IF(metadata!Z963="",FALSE,IF(ISERROR(INT(metadata!Z963)),FALSE,INT(metadata!Z963)=metadata!Z963)),metadata!Z963&gt;0))</f>
        <v>0</v>
      </c>
      <c r="BL963" t="b">
        <f>AND(IF(metadata!AA963="",FALSE,TRUE),EXACT(metadata!AA963,"Not applicable"))</f>
        <v>0</v>
      </c>
      <c r="BM963" t="b">
        <f>IF(metadata!AB963="",FALSE,TRUE)</f>
        <v>0</v>
      </c>
    </row>
    <row r="964" spans="1:65" x14ac:dyDescent="0.2">
      <c r="A964" s="5" t="str">
        <f ca="1">IF(B964=" "," ",HYPERLINK(CONCATENATE("#metadata!",ADDRESS(INDEX($AH$2:$AH$1001,MATCH(ROWS($AF$2:AF964),$AF$2:$AF$1001,0),0),1)),INDEX($AK$2:$AK$1001,MATCH(ROWS($AF$2:AF964),$AF$2:$AF$1001,0),0)))</f>
        <v xml:space="preserve"> </v>
      </c>
      <c r="B964" s="4" t="str">
        <f ca="1">IF(OR(INDEX($AG$2:$AG$1001,MATCH(ROWS($AF$2:AF964),$AF$2:$AF$1001,0),1)&gt;=100000,INDEX($AM$1005:$BM$1005,1,MATCH(COLUMNS($AM$1006:AM1006),$AM$1006:$BM$1006,0))&gt;=100000), " ",IF(INDEX($AM$2:$BM$1001,MATCH(ROWS($AF$2:AF964),$AF$2:$AF$1001,0),MATCH(COLUMNS($AM$1006:AM1006),$AM$1006:$BM$1006,0)), HYPERLINK("#",""), HYPERLINK(CONCATENATE("#metadata!", ADDRESS(INDEX($AH$2:$AH$1001,MATCH(ROWS($AF$2:AF964),$AF$2:$AF$1001,0),0), INDEX($AM$1004:$BM$1004,1,MATCH(COLUMNS($AM$1006:AM1006),$AM$1006:$BM$1006,0)))),"Fix")))</f>
        <v xml:space="preserve"> </v>
      </c>
      <c r="C964" s="4" t="str">
        <f ca="1">IF(OR(INDEX($AG$2:$AG$1001,MATCH(ROWS($AF$2:AF964),$AF$2:$AF$1001,0),1)&gt;=100000,INDEX($AM$1005:$BM$1005,1,MATCH(COLUMNS($AM$1006:AN1006),$AM$1006:$BM$1006,0))&gt;=100000), " ",IF(INDEX($AM$2:$BM$1001,MATCH(ROWS($AF$2:AF964),$AF$2:$AF$1001,0),MATCH(COLUMNS($AM$1006:AN1006),$AM$1006:$BM$1006,0)), HYPERLINK("#",""), HYPERLINK(CONCATENATE("#metadata!", ADDRESS(INDEX($AH$2:$AH$1001,MATCH(ROWS($AF$2:AF964),$AF$2:$AF$1001,0),0), INDEX($AM$1004:$BM$1004,1,MATCH(COLUMNS($AM$1006:AN1006),$AM$1006:$BM$1006,0)))),"Fix")))</f>
        <v xml:space="preserve"> </v>
      </c>
      <c r="D964" s="4" t="str">
        <f ca="1">IF(OR(INDEX($AG$2:$AG$1001,MATCH(ROWS($AF$2:AF964),$AF$2:$AF$1001,0),1)&gt;=100000,INDEX($AM$1005:$BM$1005,1,MATCH(COLUMNS($AM$1006:AO1006),$AM$1006:$BM$1006,0))&gt;=100000), " ",IF(INDEX($AM$2:$BM$1001,MATCH(ROWS($AF$2:AF964),$AF$2:$AF$1001,0),MATCH(COLUMNS($AM$1006:AO1006),$AM$1006:$BM$1006,0)), HYPERLINK("#",""), HYPERLINK(CONCATENATE("#metadata!", ADDRESS(INDEX($AH$2:$AH$1001,MATCH(ROWS($AF$2:AF964),$AF$2:$AF$1001,0),0), INDEX($AM$1004:$BM$1004,1,MATCH(COLUMNS($AM$1006:AO1006),$AM$1006:$BM$1006,0)))),"Fix")))</f>
        <v xml:space="preserve"> </v>
      </c>
      <c r="E964" s="4" t="str">
        <f ca="1">IF(OR(INDEX($AG$2:$AG$1001,MATCH(ROWS($AF$2:AF964),$AF$2:$AF$1001,0),1)&gt;=100000,INDEX($AM$1005:$BM$1005,1,MATCH(COLUMNS($AM$1006:AP1006),$AM$1006:$BM$1006,0))&gt;=100000), " ",IF(INDEX($AM$2:$BM$1001,MATCH(ROWS($AF$2:AF964),$AF$2:$AF$1001,0),MATCH(COLUMNS($AM$1006:AP1006),$AM$1006:$BM$1006,0)), HYPERLINK("#",""), HYPERLINK(CONCATENATE("#metadata!", ADDRESS(INDEX($AH$2:$AH$1001,MATCH(ROWS($AF$2:AF964),$AF$2:$AF$1001,0),0), INDEX($AM$1004:$BM$1004,1,MATCH(COLUMNS($AM$1006:AP1006),$AM$1006:$BM$1006,0)))),"Fix")))</f>
        <v xml:space="preserve"> </v>
      </c>
      <c r="F964" s="4" t="str">
        <f ca="1">IF(OR(INDEX($AG$2:$AG$1001,MATCH(ROWS($AF$2:AF964),$AF$2:$AF$1001,0),1)&gt;=100000,INDEX($AM$1005:$BM$1005,1,MATCH(COLUMNS($AM$1006:AQ1006),$AM$1006:$BM$1006,0))&gt;=100000), " ",IF(INDEX($AM$2:$BM$1001,MATCH(ROWS($AF$2:AF964),$AF$2:$AF$1001,0),MATCH(COLUMNS($AM$1006:AQ1006),$AM$1006:$BM$1006,0)), HYPERLINK("#",""), HYPERLINK(CONCATENATE("#metadata!", ADDRESS(INDEX($AH$2:$AH$1001,MATCH(ROWS($AF$2:AF964),$AF$2:$AF$1001,0),0), INDEX($AM$1004:$BM$1004,1,MATCH(COLUMNS($AM$1006:AQ1006),$AM$1006:$BM$1006,0)))),"Fix")))</f>
        <v xml:space="preserve"> </v>
      </c>
      <c r="G964" s="4" t="str">
        <f ca="1">IF(OR(INDEX($AG$2:$AG$1001,MATCH(ROWS($AF$2:AF964),$AF$2:$AF$1001,0),1)&gt;=100000,INDEX($AM$1005:$BM$1005,1,MATCH(COLUMNS($AM$1006:AR1006),$AM$1006:$BM$1006,0))&gt;=100000), " ",IF(INDEX($AM$2:$BM$1001,MATCH(ROWS($AF$2:AF964),$AF$2:$AF$1001,0),MATCH(COLUMNS($AM$1006:AR1006),$AM$1006:$BM$1006,0)), HYPERLINK("#",""), HYPERLINK(CONCATENATE("#metadata!", ADDRESS(INDEX($AH$2:$AH$1001,MATCH(ROWS($AF$2:AF964),$AF$2:$AF$1001,0),0), INDEX($AM$1004:$BM$1004,1,MATCH(COLUMNS($AM$1006:AR1006),$AM$1006:$BM$1006,0)))),"Fix")))</f>
        <v xml:space="preserve"> </v>
      </c>
      <c r="H964" s="4" t="str">
        <f ca="1">IF(OR(INDEX($AG$2:$AG$1001,MATCH(ROWS($AF$2:AF964),$AF$2:$AF$1001,0),1)&gt;=100000,INDEX($AM$1005:$BM$1005,1,MATCH(COLUMNS($AM$1006:AS1006),$AM$1006:$BM$1006,0))&gt;=100000), " ",IF(INDEX($AM$2:$BM$1001,MATCH(ROWS($AF$2:AF964),$AF$2:$AF$1001,0),MATCH(COLUMNS($AM$1006:AS1006),$AM$1006:$BM$1006,0)), HYPERLINK("#",""), HYPERLINK(CONCATENATE("#metadata!", ADDRESS(INDEX($AH$2:$AH$1001,MATCH(ROWS($AF$2:AF964),$AF$2:$AF$1001,0),0), INDEX($AM$1004:$BM$1004,1,MATCH(COLUMNS($AM$1006:AS1006),$AM$1006:$BM$1006,0)))),"Fix")))</f>
        <v xml:space="preserve"> </v>
      </c>
      <c r="I964" s="4" t="str">
        <f ca="1">IF(OR(INDEX($AG$2:$AG$1001,MATCH(ROWS($AF$2:AF964),$AF$2:$AF$1001,0),1)&gt;=100000,INDEX($AM$1005:$BM$1005,1,MATCH(COLUMNS($AM$1006:AT1006),$AM$1006:$BM$1006,0))&gt;=100000), " ",IF(INDEX($AM$2:$BM$1001,MATCH(ROWS($AF$2:AF964),$AF$2:$AF$1001,0),MATCH(COLUMNS($AM$1006:AT1006),$AM$1006:$BM$1006,0)), HYPERLINK("#",""), HYPERLINK(CONCATENATE("#metadata!", ADDRESS(INDEX($AH$2:$AH$1001,MATCH(ROWS($AF$2:AF964),$AF$2:$AF$1001,0),0), INDEX($AM$1004:$BM$1004,1,MATCH(COLUMNS($AM$1006:AT1006),$AM$1006:$BM$1006,0)))),"Fix")))</f>
        <v xml:space="preserve"> </v>
      </c>
      <c r="J964" s="4" t="str">
        <f ca="1">IF(OR(INDEX($AG$2:$AG$1001,MATCH(ROWS($AF$2:AF964),$AF$2:$AF$1001,0),1)&gt;=100000,INDEX($AM$1005:$BM$1005,1,MATCH(COLUMNS($AM$1006:AU1006),$AM$1006:$BM$1006,0))&gt;=100000), " ",IF(INDEX($AM$2:$BM$1001,MATCH(ROWS($AF$2:AF964),$AF$2:$AF$1001,0),MATCH(COLUMNS($AM$1006:AU1006),$AM$1006:$BM$1006,0)), HYPERLINK("#",""), HYPERLINK(CONCATENATE("#metadata!", ADDRESS(INDEX($AH$2:$AH$1001,MATCH(ROWS($AF$2:AF964),$AF$2:$AF$1001,0),0), INDEX($AM$1004:$BM$1004,1,MATCH(COLUMNS($AM$1006:AU1006),$AM$1006:$BM$1006,0)))),"Fix")))</f>
        <v xml:space="preserve"> </v>
      </c>
      <c r="K964" s="4" t="str">
        <f ca="1">IF(OR(INDEX($AG$2:$AG$1001,MATCH(ROWS($AF$2:AF964),$AF$2:$AF$1001,0),1)&gt;=100000,INDEX($AM$1005:$BM$1005,1,MATCH(COLUMNS($AM$1006:AV1006),$AM$1006:$BM$1006,0))&gt;=100000), " ",IF(INDEX($AM$2:$BM$1001,MATCH(ROWS($AF$2:AF964),$AF$2:$AF$1001,0),MATCH(COLUMNS($AM$1006:AV1006),$AM$1006:$BM$1006,0)), HYPERLINK("#",""), HYPERLINK(CONCATENATE("#metadata!", ADDRESS(INDEX($AH$2:$AH$1001,MATCH(ROWS($AF$2:AF964),$AF$2:$AF$1001,0),0), INDEX($AM$1004:$BM$1004,1,MATCH(COLUMNS($AM$1006:AV1006),$AM$1006:$BM$1006,0)))),"Fix")))</f>
        <v xml:space="preserve"> </v>
      </c>
      <c r="L964" s="4" t="str">
        <f ca="1">IF(OR(INDEX($AG$2:$AG$1001,MATCH(ROWS($AF$2:AF964),$AF$2:$AF$1001,0),1)&gt;=100000,INDEX($AM$1005:$BM$1005,1,MATCH(COLUMNS($AM$1006:AW1006),$AM$1006:$BM$1006,0))&gt;=100000), " ",IF(INDEX($AM$2:$BM$1001,MATCH(ROWS($AF$2:AF964),$AF$2:$AF$1001,0),MATCH(COLUMNS($AM$1006:AW1006),$AM$1006:$BM$1006,0)), HYPERLINK("#",""), HYPERLINK(CONCATENATE("#metadata!", ADDRESS(INDEX($AH$2:$AH$1001,MATCH(ROWS($AF$2:AF964),$AF$2:$AF$1001,0),0), INDEX($AM$1004:$BM$1004,1,MATCH(COLUMNS($AM$1006:AW1006),$AM$1006:$BM$1006,0)))),"Fix")))</f>
        <v xml:space="preserve"> </v>
      </c>
      <c r="M964" s="4" t="str">
        <f ca="1">IF(OR(INDEX($AG$2:$AG$1001,MATCH(ROWS($AF$2:AF964),$AF$2:$AF$1001,0),1)&gt;=100000,INDEX($AM$1005:$BM$1005,1,MATCH(COLUMNS($AM$1006:AX1006),$AM$1006:$BM$1006,0))&gt;=100000), " ",IF(INDEX($AM$2:$BM$1001,MATCH(ROWS($AF$2:AF964),$AF$2:$AF$1001,0),MATCH(COLUMNS($AM$1006:AX1006),$AM$1006:$BM$1006,0)), HYPERLINK("#",""), HYPERLINK(CONCATENATE("#metadata!", ADDRESS(INDEX($AH$2:$AH$1001,MATCH(ROWS($AF$2:AF964),$AF$2:$AF$1001,0),0), INDEX($AM$1004:$BM$1004,1,MATCH(COLUMNS($AM$1006:AX1006),$AM$1006:$BM$1006,0)))),"Fix")))</f>
        <v xml:space="preserve"> </v>
      </c>
      <c r="N964" s="4" t="str">
        <f ca="1">IF(OR(INDEX($AG$2:$AG$1001,MATCH(ROWS($AF$2:AF964),$AF$2:$AF$1001,0),1)&gt;=100000,INDEX($AM$1005:$BM$1005,1,MATCH(COLUMNS($AM$1006:AY1006),$AM$1006:$BM$1006,0))&gt;=100000), " ",IF(INDEX($AM$2:$BM$1001,MATCH(ROWS($AF$2:AF964),$AF$2:$AF$1001,0),MATCH(COLUMNS($AM$1006:AY1006),$AM$1006:$BM$1006,0)), HYPERLINK("#",""), HYPERLINK(CONCATENATE("#metadata!", ADDRESS(INDEX($AH$2:$AH$1001,MATCH(ROWS($AF$2:AF964),$AF$2:$AF$1001,0),0), INDEX($AM$1004:$BM$1004,1,MATCH(COLUMNS($AM$1006:AY1006),$AM$1006:$BM$1006,0)))),"Fix")))</f>
        <v xml:space="preserve"> </v>
      </c>
      <c r="O964" s="4" t="str">
        <f ca="1">IF(OR(INDEX($AG$2:$AG$1001,MATCH(ROWS($AF$2:AF964),$AF$2:$AF$1001,0),1)&gt;=100000,INDEX($AM$1005:$BM$1005,1,MATCH(COLUMNS($AM$1006:AZ1006),$AM$1006:$BM$1006,0))&gt;=100000), " ",IF(INDEX($AM$2:$BM$1001,MATCH(ROWS($AF$2:AF964),$AF$2:$AF$1001,0),MATCH(COLUMNS($AM$1006:AZ1006),$AM$1006:$BM$1006,0)), HYPERLINK("#",""), HYPERLINK(CONCATENATE("#metadata!", ADDRESS(INDEX($AH$2:$AH$1001,MATCH(ROWS($AF$2:AF964),$AF$2:$AF$1001,0),0), INDEX($AM$1004:$BM$1004,1,MATCH(COLUMNS($AM$1006:AZ1006),$AM$1006:$BM$1006,0)))),"Fix")))</f>
        <v xml:space="preserve"> </v>
      </c>
      <c r="P964" s="4" t="str">
        <f ca="1">IF(OR(INDEX($AG$2:$AG$1001,MATCH(ROWS($AF$2:AF964),$AF$2:$AF$1001,0),1)&gt;=100000,INDEX($AM$1005:$BM$1005,1,MATCH(COLUMNS($AM$1006:BA1006),$AM$1006:$BM$1006,0))&gt;=100000), " ",IF(INDEX($AM$2:$BM$1001,MATCH(ROWS($AF$2:AF964),$AF$2:$AF$1001,0),MATCH(COLUMNS($AM$1006:BA1006),$AM$1006:$BM$1006,0)), HYPERLINK("#",""), HYPERLINK(CONCATENATE("#metadata!", ADDRESS(INDEX($AH$2:$AH$1001,MATCH(ROWS($AF$2:AF964),$AF$2:$AF$1001,0),0), INDEX($AM$1004:$BM$1004,1,MATCH(COLUMNS($AM$1006:BA1006),$AM$1006:$BM$1006,0)))),"Fix")))</f>
        <v xml:space="preserve"> </v>
      </c>
      <c r="Q964" s="4" t="str">
        <f ca="1">IF(OR(INDEX($AG$2:$AG$1001,MATCH(ROWS($AF$2:AF964),$AF$2:$AF$1001,0),1)&gt;=100000,INDEX($AM$1005:$BM$1005,1,MATCH(COLUMNS($AM$1006:BB1006),$AM$1006:$BM$1006,0))&gt;=100000), " ",IF(INDEX($AM$2:$BM$1001,MATCH(ROWS($AF$2:AF964),$AF$2:$AF$1001,0),MATCH(COLUMNS($AM$1006:BB1006),$AM$1006:$BM$1006,0)), HYPERLINK("#",""), HYPERLINK(CONCATENATE("#metadata!", ADDRESS(INDEX($AH$2:$AH$1001,MATCH(ROWS($AF$2:AF964),$AF$2:$AF$1001,0),0), INDEX($AM$1004:$BM$1004,1,MATCH(COLUMNS($AM$1006:BB1006),$AM$1006:$BM$1006,0)))),"Fix")))</f>
        <v xml:space="preserve"> </v>
      </c>
      <c r="R964" s="4" t="str">
        <f ca="1">IF(OR(INDEX($AG$2:$AG$1001,MATCH(ROWS($AF$2:AF964),$AF$2:$AF$1001,0),1)&gt;=100000,INDEX($AM$1005:$BM$1005,1,MATCH(COLUMNS($AM$1006:BC1006),$AM$1006:$BM$1006,0))&gt;=100000), " ",IF(INDEX($AM$2:$BM$1001,MATCH(ROWS($AF$2:AF964),$AF$2:$AF$1001,0),MATCH(COLUMNS($AM$1006:BC1006),$AM$1006:$BM$1006,0)), HYPERLINK("#",""), HYPERLINK(CONCATENATE("#metadata!", ADDRESS(INDEX($AH$2:$AH$1001,MATCH(ROWS($AF$2:AF964),$AF$2:$AF$1001,0),0), INDEX($AM$1004:$BM$1004,1,MATCH(COLUMNS($AM$1006:BC1006),$AM$1006:$BM$1006,0)))),"Fix")))</f>
        <v xml:space="preserve"> </v>
      </c>
      <c r="S964" s="4" t="str">
        <f ca="1">IF(OR(INDEX($AG$2:$AG$1001,MATCH(ROWS($AF$2:AF964),$AF$2:$AF$1001,0),1)&gt;=100000,INDEX($AM$1005:$BM$1005,1,MATCH(COLUMNS($AM$1006:BD1006),$AM$1006:$BM$1006,0))&gt;=100000), " ",IF(INDEX($AM$2:$BM$1001,MATCH(ROWS($AF$2:AF964),$AF$2:$AF$1001,0),MATCH(COLUMNS($AM$1006:BD1006),$AM$1006:$BM$1006,0)), HYPERLINK("#",""), HYPERLINK(CONCATENATE("#metadata!", ADDRESS(INDEX($AH$2:$AH$1001,MATCH(ROWS($AF$2:AF964),$AF$2:$AF$1001,0),0), INDEX($AM$1004:$BM$1004,1,MATCH(COLUMNS($AM$1006:BD1006),$AM$1006:$BM$1006,0)))),"Fix")))</f>
        <v xml:space="preserve"> </v>
      </c>
      <c r="T964" s="4" t="str">
        <f ca="1">IF(OR(INDEX($AG$2:$AG$1001,MATCH(ROWS($AF$2:AF964),$AF$2:$AF$1001,0),1)&gt;=100000,INDEX($AM$1005:$BM$1005,1,MATCH(COLUMNS($AM$1006:BE1006),$AM$1006:$BM$1006,0))&gt;=100000), " ",IF(INDEX($AM$2:$BM$1001,MATCH(ROWS($AF$2:AF964),$AF$2:$AF$1001,0),MATCH(COLUMNS($AM$1006:BE1006),$AM$1006:$BM$1006,0)), HYPERLINK("#",""), HYPERLINK(CONCATENATE("#metadata!", ADDRESS(INDEX($AH$2:$AH$1001,MATCH(ROWS($AF$2:AF964),$AF$2:$AF$1001,0),0), INDEX($AM$1004:$BM$1004,1,MATCH(COLUMNS($AM$1006:BE1006),$AM$1006:$BM$1006,0)))),"Fix")))</f>
        <v xml:space="preserve"> </v>
      </c>
      <c r="U964" s="4" t="str">
        <f ca="1">IF(OR(INDEX($AG$2:$AG$1001,MATCH(ROWS($AF$2:AF964),$AF$2:$AF$1001,0),1)&gt;=100000,INDEX($AM$1005:$BM$1005,1,MATCH(COLUMNS($AM$1006:BF1006),$AM$1006:$BM$1006,0))&gt;=100000), " ",IF(INDEX($AM$2:$BM$1001,MATCH(ROWS($AF$2:AF964),$AF$2:$AF$1001,0),MATCH(COLUMNS($AM$1006:BF1006),$AM$1006:$BM$1006,0)), HYPERLINK("#",""), HYPERLINK(CONCATENATE("#metadata!", ADDRESS(INDEX($AH$2:$AH$1001,MATCH(ROWS($AF$2:AF964),$AF$2:$AF$1001,0),0), INDEX($AM$1004:$BM$1004,1,MATCH(COLUMNS($AM$1006:BF1006),$AM$1006:$BM$1006,0)))),"Fix")))</f>
        <v xml:space="preserve"> </v>
      </c>
      <c r="V964" s="4" t="str">
        <f ca="1">IF(OR(INDEX($AG$2:$AG$1001,MATCH(ROWS($AF$2:AF964),$AF$2:$AF$1001,0),1)&gt;=100000,INDEX($AM$1005:$BM$1005,1,MATCH(COLUMNS($AM$1006:BG1006),$AM$1006:$BM$1006,0))&gt;=100000), " ",IF(INDEX($AM$2:$BM$1001,MATCH(ROWS($AF$2:AF964),$AF$2:$AF$1001,0),MATCH(COLUMNS($AM$1006:BG1006),$AM$1006:$BM$1006,0)), HYPERLINK("#",""), HYPERLINK(CONCATENATE("#metadata!", ADDRESS(INDEX($AH$2:$AH$1001,MATCH(ROWS($AF$2:AF964),$AF$2:$AF$1001,0),0), INDEX($AM$1004:$BM$1004,1,MATCH(COLUMNS($AM$1006:BG1006),$AM$1006:$BM$1006,0)))),"Fix")))</f>
        <v xml:space="preserve"> </v>
      </c>
      <c r="W964" s="4" t="str">
        <f ca="1">IF(OR(INDEX($AG$2:$AG$1001,MATCH(ROWS($AF$2:AF964),$AF$2:$AF$1001,0),1)&gt;=100000,INDEX($AM$1005:$BM$1005,1,MATCH(COLUMNS($AM$1006:BH1006),$AM$1006:$BM$1006,0))&gt;=100000), " ",IF(INDEX($AM$2:$BM$1001,MATCH(ROWS($AF$2:AF964),$AF$2:$AF$1001,0),MATCH(COLUMNS($AM$1006:BH1006),$AM$1006:$BM$1006,0)), HYPERLINK("#",""), HYPERLINK(CONCATENATE("#metadata!", ADDRESS(INDEX($AH$2:$AH$1001,MATCH(ROWS($AF$2:AF964),$AF$2:$AF$1001,0),0), INDEX($AM$1004:$BM$1004,1,MATCH(COLUMNS($AM$1006:BH1006),$AM$1006:$BM$1006,0)))),"Fix")))</f>
        <v xml:space="preserve"> </v>
      </c>
      <c r="X964" s="4" t="str">
        <f ca="1">IF(OR(INDEX($AG$2:$AG$1001,MATCH(ROWS($AF$2:AF964),$AF$2:$AF$1001,0),1)&gt;=100000,INDEX($AM$1005:$BM$1005,1,MATCH(COLUMNS($AM$1006:BI1006),$AM$1006:$BM$1006,0))&gt;=100000), " ",IF(INDEX($AM$2:$BM$1001,MATCH(ROWS($AF$2:AF964),$AF$2:$AF$1001,0),MATCH(COLUMNS($AM$1006:BI1006),$AM$1006:$BM$1006,0)), HYPERLINK("#",""), HYPERLINK(CONCATENATE("#metadata!", ADDRESS(INDEX($AH$2:$AH$1001,MATCH(ROWS($AF$2:AF964),$AF$2:$AF$1001,0),0), INDEX($AM$1004:$BM$1004,1,MATCH(COLUMNS($AM$1006:BI1006),$AM$1006:$BM$1006,0)))),"Fix")))</f>
        <v xml:space="preserve"> </v>
      </c>
      <c r="Y964" s="4" t="str">
        <f ca="1">IF(OR(INDEX($AG$2:$AG$1001,MATCH(ROWS($AF$2:AF964),$AF$2:$AF$1001,0),1)&gt;=100000,INDEX($AM$1005:$BM$1005,1,MATCH(COLUMNS($AM$1006:BJ1006),$AM$1006:$BM$1006,0))&gt;=100000), " ",IF(INDEX($AM$2:$BM$1001,MATCH(ROWS($AF$2:AF964),$AF$2:$AF$1001,0),MATCH(COLUMNS($AM$1006:BJ1006),$AM$1006:$BM$1006,0)), HYPERLINK("#",""), HYPERLINK(CONCATENATE("#metadata!", ADDRESS(INDEX($AH$2:$AH$1001,MATCH(ROWS($AF$2:AF964),$AF$2:$AF$1001,0),0), INDEX($AM$1004:$BM$1004,1,MATCH(COLUMNS($AM$1006:BJ1006),$AM$1006:$BM$1006,0)))),"Fix")))</f>
        <v xml:space="preserve"> </v>
      </c>
      <c r="Z964" s="4" t="str">
        <f ca="1">IF(OR(INDEX($AG$2:$AG$1001,MATCH(ROWS($AF$2:AF964),$AF$2:$AF$1001,0),1)&gt;=100000,INDEX($AM$1005:$BM$1005,1,MATCH(COLUMNS($AM$1006:BK1006),$AM$1006:$BM$1006,0))&gt;=100000), " ",IF(INDEX($AM$2:$BM$1001,MATCH(ROWS($AF$2:AF964),$AF$2:$AF$1001,0),MATCH(COLUMNS($AM$1006:BK1006),$AM$1006:$BM$1006,0)), HYPERLINK("#",""), HYPERLINK(CONCATENATE("#metadata!", ADDRESS(INDEX($AH$2:$AH$1001,MATCH(ROWS($AF$2:AF964),$AF$2:$AF$1001,0),0), INDEX($AM$1004:$BM$1004,1,MATCH(COLUMNS($AM$1006:BK1006),$AM$1006:$BM$1006,0)))),"Fix")))</f>
        <v xml:space="preserve"> </v>
      </c>
      <c r="AA964" s="4" t="str">
        <f ca="1">IF(OR(INDEX($AG$2:$AG$1001,MATCH(ROWS($AF$2:AF964),$AF$2:$AF$1001,0),1)&gt;=100000,INDEX($AM$1005:$BM$1005,1,MATCH(COLUMNS($AM$1006:BL1006),$AM$1006:$BM$1006,0))&gt;=100000), " ",IF(INDEX($AM$2:$BM$1001,MATCH(ROWS($AF$2:AF964),$AF$2:$AF$1001,0),MATCH(COLUMNS($AM$1006:BL1006),$AM$1006:$BM$1006,0)), HYPERLINK("#",""), HYPERLINK(CONCATENATE("#metadata!", ADDRESS(INDEX($AH$2:$AH$1001,MATCH(ROWS($AF$2:AF964),$AF$2:$AF$1001,0),0), INDEX($AM$1004:$BM$1004,1,MATCH(COLUMNS($AM$1006:BL1006),$AM$1006:$BM$1006,0)))),"Fix")))</f>
        <v xml:space="preserve"> </v>
      </c>
      <c r="AB964" s="4" t="str">
        <f ca="1">IF(OR(INDEX($AG$2:$AG$1001,MATCH(ROWS($AF$2:AF964),$AF$2:$AF$1001,0),1)&gt;=100000,INDEX($AM$1005:$BM$1005,1,MATCH(COLUMNS($AM$1006:BM1006),$AM$1006:$BM$1006,0))&gt;=100000), " ",IF(INDEX($AM$2:$BM$1001,MATCH(ROWS($AF$2:AF964),$AF$2:$AF$1001,0),MATCH(COLUMNS($AM$1006:BM1006),$AM$1006:$BM$1006,0)), HYPERLINK("#",""), HYPERLINK(CONCATENATE("#metadata!", ADDRESS(INDEX($AH$2:$AH$1001,MATCH(ROWS($AF$2:AF964),$AF$2:$AF$1001,0),0), INDEX($AM$1004:$BM$1004,1,MATCH(COLUMNS($AM$1006:BM1006),$AM$1006:$BM$1006,0)))),"Fix")))</f>
        <v xml:space="preserve"> </v>
      </c>
      <c r="AF964">
        <v>963</v>
      </c>
      <c r="AG964">
        <v>100964</v>
      </c>
      <c r="AH964">
        <v>964</v>
      </c>
      <c r="AI964" t="b">
        <f t="shared" si="15"/>
        <v>1</v>
      </c>
      <c r="AJ964" t="b">
        <f>COUNTBLANK(metadata!B964:AB964)=COLUMNS(metadata!B964:AB964)</f>
        <v>1</v>
      </c>
      <c r="AK964" t="str">
        <v/>
      </c>
      <c r="AM964" t="b">
        <f ca="1">AND(IF(metadata!B964="",FALSE,TRUE),COUNTIF(metadata!B:B, metadata!B964) = 1,NOT(ISERROR(SUMPRODUCT(SEARCH(MID(metadata!B964,ROW(INDIRECT("1:"&amp;LEN(metadata!B964))), 1),"0123456789abcdefghijklmnopqrstuvwxyzABCDEFGHIJKLMNOPQRSTUVWXYZ.")))))</f>
        <v>0</v>
      </c>
      <c r="AN964" t="b">
        <f ca="1">OR(AND(IF(metadata!C964="",FALSE,TRUE),OR(EXACT(metadata!C964,"missing: not collected"),EXACT(metadata!C964,"missing: not provided"),EXACT(metadata!C964,"missing: restricted access"))),AND(IF(metadata!C964="",FALSE,TRUE),AND(AND(IFERROR(INT(LEFT(metadata!C964,4))&gt;1900,FALSE),IFERROR(INT(LEFT(metadata!C964,4))&lt;=YEAR(NOW()),FALSE)), OR(MID(metadata!C964,5,1)="", AND(AND(MID(metadata!C964,5,1)="-",IFERROR(INT(MID(metadata!C964,6,1))&gt;=0,FALSE),IFERROR(INT(MID(metadata!C964,6,1))&lt;=1,FALSE),NOT(MID(metadata!C964,7,1)=""),IFERROR(INT(MID(metadata!C964,6,2))&gt;=1,FALSE),IFERROR(INT(MID(metadata!C964,6,2))&lt;=12,FALSE)), OR(MID(metadata!C964,8,1)="", AND(AND(MID(metadata!C964,8,1)="-",IFERROR(INT(MID(metadata!C964,9,1))&gt;=0,FALSE),IFERROR(INT(MID(metadata!C964,9,1))&lt;=3,FALSE),NOT(MID(metadata!C964,10,1)=""),IFERROR(INT(MID(metadata!C964,9,2))&gt;=1,FALSE),IFERROR(INT(MID(metadata!C964,9,2))&lt;=31,FALSE)), OR(MID(metadata!C964,11,1)="", AND(AND(MID(metadata!C964,11,1)=" ",IFERROR(INT(MID(metadata!C964,12,1))&gt;=0,FALSE),IFERROR(INT(MID(metadata!C964,12,1))&lt;=2,FALSE),NOT(MID(metadata!C964,13,1)=""),IFERROR(INT(MID(metadata!C964,12,2))&gt;=0,FALSE),IFERROR(INT(MID(metadata!C964,12,2))&lt;=23,FALSE)), OR(MID(metadata!C964,14,1)="", AND(AND(MID(metadata!C964,14,1)=":",IFERROR(INT(MID(metadata!C964,15,1))&gt;=0,FALSE),IFERROR(INT(MID(metadata!C964,15,1))&lt;=5,FALSE),NOT(MID(metadata!C964,16,1)=""),IFERROR(INT(MID(metadata!C964,15,2))&gt;=0,FALSE),IFERROR(INT(MID(metadata!C964,15,2))&lt;=59,FALSE)), OR(MID(metadata!C964,17,1)="", AND(AND(MID(metadata!C964,17,1)=":",IFERROR(INT(MID(metadata!C964,18,1))&gt;=0,FALSE),IFERROR(INT(MID(metadata!C964,18,1))&lt;=5,FALSE),NOT(MID(metadata!C964,19,1)=""),IFERROR(INT(MID(metadata!C964,18,2))&gt;=0,FALSE),IFERROR(INT(MID(metadata!C964,18,2))&lt;=59,FALSE)), LEN(metadata!C964)&lt;=19)))))))))))))</f>
        <v>0</v>
      </c>
      <c r="AO964" t="b">
        <f>AND(IF(metadata!D964="",FALSE,TRUE),EXACT(metadata!D964,"Not applicable"))</f>
        <v>0</v>
      </c>
      <c r="AP964" t="b">
        <f>IF(metadata!E964="",FALSE,TRUE)</f>
        <v>0</v>
      </c>
      <c r="AQ964" t="b">
        <f>OR(AND(IF(metadata!F964="",FALSE,TRUE),OR(EXACT(metadata!F964,"missing: not collected"),EXACT(metadata!F964,"missing: not provided"))),AND(IF(metadata!F964="",FALSE,TRUE),OR(EXACT(metadata!F964,"TRUE"),EXACT(metadata!F964,"FALSE"))))</f>
        <v>0</v>
      </c>
      <c r="AR964" t="b">
        <f>OR(AND(IF(metadata!G964="",FALSE,TRUE),OR(EXACT(metadata!G964,"missing: not collected"),EXACT(metadata!G964,"missing: not provided"),EXACT(metadata!G964,"missing: restricted access"))),AND(IF(metadata!G964="",FALSE,ISNUMBER(VALUE(metadata!G964))),metadata!G964&gt;=-413))</f>
        <v>0</v>
      </c>
      <c r="AS964" t="b">
        <f>AND(IF(metadata!H964="",FALSE,TRUE),EXACT(metadata!H964,"meters"))</f>
        <v>0</v>
      </c>
      <c r="AT964" t="b">
        <f>AND(IF(metadata!I964="",FALSE,TRUE),OR(EXACT(metadata!I964,"Host-associated"),EXACT(metadata!I964,"Free-living")))</f>
        <v>0</v>
      </c>
      <c r="AU964" t="b">
        <f>AND(IF(metadata!J964="",FALSE,TRUE),OR(EXACT(metadata!J964,"Animal"),EXACT(metadata!J964,"Fungus"),EXACT(metadata!J964,"Plant"),EXACT(metadata!J964,"Saline"),EXACT(metadata!J964,"Non-saline")))</f>
        <v>0</v>
      </c>
      <c r="AV964" t="b">
        <f>AND(IF(metadata!K964="",FALSE,TRUE),OR(EXACT(metadata!K964,"Plant secretion"),EXACT(metadata!K964,"Plant rhizosphere"),EXACT(metadata!K964,"Plant surface"),EXACT(metadata!K964,"Plant corpus"),EXACT(metadata!K964,"Fungus surface"),EXACT(metadata!K964,"Fungus corpus"),EXACT(metadata!K964,"Animal surface"),EXACT(metadata!K964,"Animal proximal gut"),EXACT(metadata!K964,"Animal corpus"),EXACT(metadata!K964,"Animal distal gut"),EXACT(metadata!K964,"Animal secretion"),EXACT(metadata!K964,"Sub-surface (non-saline)"),EXACT(metadata!K964,"Surface (non-saline)"),EXACT(metadata!K964,"Water (non-saline)"),EXACT(metadata!K964,"Soil (non-saline)"),EXACT(metadata!K964,"Aerosol (non-saline)"),EXACT(metadata!K964,"Sediment (non-saline)"),EXACT(metadata!K964,"Surface (saline)"),EXACT(metadata!K964,"Water (saline)"),EXACT(metadata!K964,"Hypersaline (saline)"),EXACT(metadata!K964,"Aerosol (saline)"),EXACT(metadata!K964,"Sediment (saline)")))</f>
        <v>0</v>
      </c>
      <c r="AW964" t="b">
        <f>IF(metadata!L964="",FALSE,TRUE)</f>
        <v>0</v>
      </c>
      <c r="AX964" t="b">
        <f>IF(metadata!M964="",FALSE,TRUE)</f>
        <v>0</v>
      </c>
      <c r="AY964" t="b">
        <f>IF(metadata!N964="",FALSE,TRUE)</f>
        <v>0</v>
      </c>
      <c r="AZ964" t="b">
        <f>OR(AND(IF(metadata!O964="",FALSE,TRUE),OR(EXACT(metadata!O964,"missing: not collected"),EXACT(metadata!O964,"missing: not provided"),EXACT(metadata!O964,"missing: restricted access"))),AND(IF(metadata!O964="",FALSE,TRUE),OR(EXACT(metadata!O964,"air"),EXACT(metadata!O964,"built environment"),EXACT(metadata!O964,"host-associated"),EXACT(metadata!O964,"human-associated"),EXACT(metadata!O964,"human-skin"),EXACT(metadata!O964,"human-oral"),EXACT(metadata!O964,"human-gut"),EXACT(metadata!O964,"human-vaginal"),EXACT(metadata!O964,"microbial mat/biofilm"),EXACT(metadata!O964,"misc environment"),EXACT(metadata!O964,"plant-associated"),EXACT(metadata!O964,"sediment"),EXACT(metadata!O964,"soil"),EXACT(metadata!O964,"wastewater/sludge"),EXACT(metadata!O964,"water"))))</f>
        <v>0</v>
      </c>
      <c r="BA964" t="b">
        <f>IF(metadata!P964="",FALSE,TRUE)</f>
        <v>0</v>
      </c>
      <c r="BB964" t="b">
        <f>IF(metadata!Q964="",FALSE,TRUE)</f>
        <v>0</v>
      </c>
      <c r="BC964" t="b">
        <f>OR(AND(IF(metadata!R964="",FALSE,TRUE),OR(EXACT(metadata!R964,"missing: not collected"),EXACT(metadata!R964,"missing: not provided"),EXACT(metadata!R964,"missing: restricted access"))),AND(IF(metadata!R964="",FALSE,ISNUMBER(VALUE(metadata!R964))),metadata!R964&gt;=-90,metadata!R964&lt;=90))</f>
        <v>0</v>
      </c>
      <c r="BD964" t="b">
        <f>AND(IF(metadata!S964="",FALSE,TRUE),EXACT(metadata!S964,"Decimal degrees"))</f>
        <v>0</v>
      </c>
      <c r="BE964" t="b">
        <f>OR(AND(IF(metadata!T964="",FALSE,TRUE),OR(EXACT(metadata!T964,"missing: not collected"),EXACT(metadata!T964,"missing: not provided"),EXACT(metadata!T964,"missing: restricted access"))),AND(IF(metadata!T964="",FALSE,ISNUMBER(VALUE(metadata!T964))),metadata!T964&gt;=-180,metadata!T964&lt;=180))</f>
        <v>0</v>
      </c>
      <c r="BF964" t="b">
        <f>AND(IF(metadata!U964="",FALSE,TRUE),EXACT(metadata!U964,"Decimal degrees"))</f>
        <v>0</v>
      </c>
      <c r="BG964" t="b">
        <f>IF(metadata!V964="",FALSE,TRUE)</f>
        <v>0</v>
      </c>
      <c r="BH964" t="b">
        <f>OR(AND(IF(metadata!W964="",FALSE,TRUE),OR(EXACT(metadata!W964,"missing: not collected"),EXACT(metadata!W964,"missing: not provided"),EXACT(metadata!W964,"missing: restricted access"))),AND(IF(metadata!W964="",FALSE,TRUE),OR(EXACT(metadata!W964,"TRUE"),EXACT(metadata!W964,"FALSE"))))</f>
        <v>0</v>
      </c>
      <c r="BI964" t="b">
        <f>AND(IF(metadata!X964="",FALSE,TRUE),EXACT(metadata!X964,"other"))</f>
        <v>0</v>
      </c>
      <c r="BJ964" t="b">
        <f>IF(metadata!Y964="",FALSE,TRUE)</f>
        <v>0</v>
      </c>
      <c r="BK964" t="b">
        <f>OR(AND(IF(metadata!Z964="",FALSE,TRUE),OR(EXACT(metadata!Z964,"missing: not collected"),EXACT(metadata!Z964,"missing: not provided"))),AND(IF(metadata!Z964="",FALSE,IF(ISERROR(INT(metadata!Z964)),FALSE,INT(metadata!Z964)=metadata!Z964)),metadata!Z964&gt;0))</f>
        <v>0</v>
      </c>
      <c r="BL964" t="b">
        <f>AND(IF(metadata!AA964="",FALSE,TRUE),EXACT(metadata!AA964,"Not applicable"))</f>
        <v>0</v>
      </c>
      <c r="BM964" t="b">
        <f>IF(metadata!AB964="",FALSE,TRUE)</f>
        <v>0</v>
      </c>
    </row>
    <row r="965" spans="1:65" x14ac:dyDescent="0.2">
      <c r="A965" s="5" t="str">
        <f ca="1">IF(B965=" "," ",HYPERLINK(CONCATENATE("#metadata!",ADDRESS(INDEX($AH$2:$AH$1001,MATCH(ROWS($AF$2:AF965),$AF$2:$AF$1001,0),0),1)),INDEX($AK$2:$AK$1001,MATCH(ROWS($AF$2:AF965),$AF$2:$AF$1001,0),0)))</f>
        <v xml:space="preserve"> </v>
      </c>
      <c r="B965" s="4" t="str">
        <f ca="1">IF(OR(INDEX($AG$2:$AG$1001,MATCH(ROWS($AF$2:AF965),$AF$2:$AF$1001,0),1)&gt;=100000,INDEX($AM$1005:$BM$1005,1,MATCH(COLUMNS($AM$1006:AM1006),$AM$1006:$BM$1006,0))&gt;=100000), " ",IF(INDEX($AM$2:$BM$1001,MATCH(ROWS($AF$2:AF965),$AF$2:$AF$1001,0),MATCH(COLUMNS($AM$1006:AM1006),$AM$1006:$BM$1006,0)), HYPERLINK("#",""), HYPERLINK(CONCATENATE("#metadata!", ADDRESS(INDEX($AH$2:$AH$1001,MATCH(ROWS($AF$2:AF965),$AF$2:$AF$1001,0),0), INDEX($AM$1004:$BM$1004,1,MATCH(COLUMNS($AM$1006:AM1006),$AM$1006:$BM$1006,0)))),"Fix")))</f>
        <v xml:space="preserve"> </v>
      </c>
      <c r="C965" s="4" t="str">
        <f ca="1">IF(OR(INDEX($AG$2:$AG$1001,MATCH(ROWS($AF$2:AF965),$AF$2:$AF$1001,0),1)&gt;=100000,INDEX($AM$1005:$BM$1005,1,MATCH(COLUMNS($AM$1006:AN1006),$AM$1006:$BM$1006,0))&gt;=100000), " ",IF(INDEX($AM$2:$BM$1001,MATCH(ROWS($AF$2:AF965),$AF$2:$AF$1001,0),MATCH(COLUMNS($AM$1006:AN1006),$AM$1006:$BM$1006,0)), HYPERLINK("#",""), HYPERLINK(CONCATENATE("#metadata!", ADDRESS(INDEX($AH$2:$AH$1001,MATCH(ROWS($AF$2:AF965),$AF$2:$AF$1001,0),0), INDEX($AM$1004:$BM$1004,1,MATCH(COLUMNS($AM$1006:AN1006),$AM$1006:$BM$1006,0)))),"Fix")))</f>
        <v xml:space="preserve"> </v>
      </c>
      <c r="D965" s="4" t="str">
        <f ca="1">IF(OR(INDEX($AG$2:$AG$1001,MATCH(ROWS($AF$2:AF965),$AF$2:$AF$1001,0),1)&gt;=100000,INDEX($AM$1005:$BM$1005,1,MATCH(COLUMNS($AM$1006:AO1006),$AM$1006:$BM$1006,0))&gt;=100000), " ",IF(INDEX($AM$2:$BM$1001,MATCH(ROWS($AF$2:AF965),$AF$2:$AF$1001,0),MATCH(COLUMNS($AM$1006:AO1006),$AM$1006:$BM$1006,0)), HYPERLINK("#",""), HYPERLINK(CONCATENATE("#metadata!", ADDRESS(INDEX($AH$2:$AH$1001,MATCH(ROWS($AF$2:AF965),$AF$2:$AF$1001,0),0), INDEX($AM$1004:$BM$1004,1,MATCH(COLUMNS($AM$1006:AO1006),$AM$1006:$BM$1006,0)))),"Fix")))</f>
        <v xml:space="preserve"> </v>
      </c>
      <c r="E965" s="4" t="str">
        <f ca="1">IF(OR(INDEX($AG$2:$AG$1001,MATCH(ROWS($AF$2:AF965),$AF$2:$AF$1001,0),1)&gt;=100000,INDEX($AM$1005:$BM$1005,1,MATCH(COLUMNS($AM$1006:AP1006),$AM$1006:$BM$1006,0))&gt;=100000), " ",IF(INDEX($AM$2:$BM$1001,MATCH(ROWS($AF$2:AF965),$AF$2:$AF$1001,0),MATCH(COLUMNS($AM$1006:AP1006),$AM$1006:$BM$1006,0)), HYPERLINK("#",""), HYPERLINK(CONCATENATE("#metadata!", ADDRESS(INDEX($AH$2:$AH$1001,MATCH(ROWS($AF$2:AF965),$AF$2:$AF$1001,0),0), INDEX($AM$1004:$BM$1004,1,MATCH(COLUMNS($AM$1006:AP1006),$AM$1006:$BM$1006,0)))),"Fix")))</f>
        <v xml:space="preserve"> </v>
      </c>
      <c r="F965" s="4" t="str">
        <f ca="1">IF(OR(INDEX($AG$2:$AG$1001,MATCH(ROWS($AF$2:AF965),$AF$2:$AF$1001,0),1)&gt;=100000,INDEX($AM$1005:$BM$1005,1,MATCH(COLUMNS($AM$1006:AQ1006),$AM$1006:$BM$1006,0))&gt;=100000), " ",IF(INDEX($AM$2:$BM$1001,MATCH(ROWS($AF$2:AF965),$AF$2:$AF$1001,0),MATCH(COLUMNS($AM$1006:AQ1006),$AM$1006:$BM$1006,0)), HYPERLINK("#",""), HYPERLINK(CONCATENATE("#metadata!", ADDRESS(INDEX($AH$2:$AH$1001,MATCH(ROWS($AF$2:AF965),$AF$2:$AF$1001,0),0), INDEX($AM$1004:$BM$1004,1,MATCH(COLUMNS($AM$1006:AQ1006),$AM$1006:$BM$1006,0)))),"Fix")))</f>
        <v xml:space="preserve"> </v>
      </c>
      <c r="G965" s="4" t="str">
        <f ca="1">IF(OR(INDEX($AG$2:$AG$1001,MATCH(ROWS($AF$2:AF965),$AF$2:$AF$1001,0),1)&gt;=100000,INDEX($AM$1005:$BM$1005,1,MATCH(COLUMNS($AM$1006:AR1006),$AM$1006:$BM$1006,0))&gt;=100000), " ",IF(INDEX($AM$2:$BM$1001,MATCH(ROWS($AF$2:AF965),$AF$2:$AF$1001,0),MATCH(COLUMNS($AM$1006:AR1006),$AM$1006:$BM$1006,0)), HYPERLINK("#",""), HYPERLINK(CONCATENATE("#metadata!", ADDRESS(INDEX($AH$2:$AH$1001,MATCH(ROWS($AF$2:AF965),$AF$2:$AF$1001,0),0), INDEX($AM$1004:$BM$1004,1,MATCH(COLUMNS($AM$1006:AR1006),$AM$1006:$BM$1006,0)))),"Fix")))</f>
        <v xml:space="preserve"> </v>
      </c>
      <c r="H965" s="4" t="str">
        <f ca="1">IF(OR(INDEX($AG$2:$AG$1001,MATCH(ROWS($AF$2:AF965),$AF$2:$AF$1001,0),1)&gt;=100000,INDEX($AM$1005:$BM$1005,1,MATCH(COLUMNS($AM$1006:AS1006),$AM$1006:$BM$1006,0))&gt;=100000), " ",IF(INDEX($AM$2:$BM$1001,MATCH(ROWS($AF$2:AF965),$AF$2:$AF$1001,0),MATCH(COLUMNS($AM$1006:AS1006),$AM$1006:$BM$1006,0)), HYPERLINK("#",""), HYPERLINK(CONCATENATE("#metadata!", ADDRESS(INDEX($AH$2:$AH$1001,MATCH(ROWS($AF$2:AF965),$AF$2:$AF$1001,0),0), INDEX($AM$1004:$BM$1004,1,MATCH(COLUMNS($AM$1006:AS1006),$AM$1006:$BM$1006,0)))),"Fix")))</f>
        <v xml:space="preserve"> </v>
      </c>
      <c r="I965" s="4" t="str">
        <f ca="1">IF(OR(INDEX($AG$2:$AG$1001,MATCH(ROWS($AF$2:AF965),$AF$2:$AF$1001,0),1)&gt;=100000,INDEX($AM$1005:$BM$1005,1,MATCH(COLUMNS($AM$1006:AT1006),$AM$1006:$BM$1006,0))&gt;=100000), " ",IF(INDEX($AM$2:$BM$1001,MATCH(ROWS($AF$2:AF965),$AF$2:$AF$1001,0),MATCH(COLUMNS($AM$1006:AT1006),$AM$1006:$BM$1006,0)), HYPERLINK("#",""), HYPERLINK(CONCATENATE("#metadata!", ADDRESS(INDEX($AH$2:$AH$1001,MATCH(ROWS($AF$2:AF965),$AF$2:$AF$1001,0),0), INDEX($AM$1004:$BM$1004,1,MATCH(COLUMNS($AM$1006:AT1006),$AM$1006:$BM$1006,0)))),"Fix")))</f>
        <v xml:space="preserve"> </v>
      </c>
      <c r="J965" s="4" t="str">
        <f ca="1">IF(OR(INDEX($AG$2:$AG$1001,MATCH(ROWS($AF$2:AF965),$AF$2:$AF$1001,0),1)&gt;=100000,INDEX($AM$1005:$BM$1005,1,MATCH(COLUMNS($AM$1006:AU1006),$AM$1006:$BM$1006,0))&gt;=100000), " ",IF(INDEX($AM$2:$BM$1001,MATCH(ROWS($AF$2:AF965),$AF$2:$AF$1001,0),MATCH(COLUMNS($AM$1006:AU1006),$AM$1006:$BM$1006,0)), HYPERLINK("#",""), HYPERLINK(CONCATENATE("#metadata!", ADDRESS(INDEX($AH$2:$AH$1001,MATCH(ROWS($AF$2:AF965),$AF$2:$AF$1001,0),0), INDEX($AM$1004:$BM$1004,1,MATCH(COLUMNS($AM$1006:AU1006),$AM$1006:$BM$1006,0)))),"Fix")))</f>
        <v xml:space="preserve"> </v>
      </c>
      <c r="K965" s="4" t="str">
        <f ca="1">IF(OR(INDEX($AG$2:$AG$1001,MATCH(ROWS($AF$2:AF965),$AF$2:$AF$1001,0),1)&gt;=100000,INDEX($AM$1005:$BM$1005,1,MATCH(COLUMNS($AM$1006:AV1006),$AM$1006:$BM$1006,0))&gt;=100000), " ",IF(INDEX($AM$2:$BM$1001,MATCH(ROWS($AF$2:AF965),$AF$2:$AF$1001,0),MATCH(COLUMNS($AM$1006:AV1006),$AM$1006:$BM$1006,0)), HYPERLINK("#",""), HYPERLINK(CONCATENATE("#metadata!", ADDRESS(INDEX($AH$2:$AH$1001,MATCH(ROWS($AF$2:AF965),$AF$2:$AF$1001,0),0), INDEX($AM$1004:$BM$1004,1,MATCH(COLUMNS($AM$1006:AV1006),$AM$1006:$BM$1006,0)))),"Fix")))</f>
        <v xml:space="preserve"> </v>
      </c>
      <c r="L965" s="4" t="str">
        <f ca="1">IF(OR(INDEX($AG$2:$AG$1001,MATCH(ROWS($AF$2:AF965),$AF$2:$AF$1001,0),1)&gt;=100000,INDEX($AM$1005:$BM$1005,1,MATCH(COLUMNS($AM$1006:AW1006),$AM$1006:$BM$1006,0))&gt;=100000), " ",IF(INDEX($AM$2:$BM$1001,MATCH(ROWS($AF$2:AF965),$AF$2:$AF$1001,0),MATCH(COLUMNS($AM$1006:AW1006),$AM$1006:$BM$1006,0)), HYPERLINK("#",""), HYPERLINK(CONCATENATE("#metadata!", ADDRESS(INDEX($AH$2:$AH$1001,MATCH(ROWS($AF$2:AF965),$AF$2:$AF$1001,0),0), INDEX($AM$1004:$BM$1004,1,MATCH(COLUMNS($AM$1006:AW1006),$AM$1006:$BM$1006,0)))),"Fix")))</f>
        <v xml:space="preserve"> </v>
      </c>
      <c r="M965" s="4" t="str">
        <f ca="1">IF(OR(INDEX($AG$2:$AG$1001,MATCH(ROWS($AF$2:AF965),$AF$2:$AF$1001,0),1)&gt;=100000,INDEX($AM$1005:$BM$1005,1,MATCH(COLUMNS($AM$1006:AX1006),$AM$1006:$BM$1006,0))&gt;=100000), " ",IF(INDEX($AM$2:$BM$1001,MATCH(ROWS($AF$2:AF965),$AF$2:$AF$1001,0),MATCH(COLUMNS($AM$1006:AX1006),$AM$1006:$BM$1006,0)), HYPERLINK("#",""), HYPERLINK(CONCATENATE("#metadata!", ADDRESS(INDEX($AH$2:$AH$1001,MATCH(ROWS($AF$2:AF965),$AF$2:$AF$1001,0),0), INDEX($AM$1004:$BM$1004,1,MATCH(COLUMNS($AM$1006:AX1006),$AM$1006:$BM$1006,0)))),"Fix")))</f>
        <v xml:space="preserve"> </v>
      </c>
      <c r="N965" s="4" t="str">
        <f ca="1">IF(OR(INDEX($AG$2:$AG$1001,MATCH(ROWS($AF$2:AF965),$AF$2:$AF$1001,0),1)&gt;=100000,INDEX($AM$1005:$BM$1005,1,MATCH(COLUMNS($AM$1006:AY1006),$AM$1006:$BM$1006,0))&gt;=100000), " ",IF(INDEX($AM$2:$BM$1001,MATCH(ROWS($AF$2:AF965),$AF$2:$AF$1001,0),MATCH(COLUMNS($AM$1006:AY1006),$AM$1006:$BM$1006,0)), HYPERLINK("#",""), HYPERLINK(CONCATENATE("#metadata!", ADDRESS(INDEX($AH$2:$AH$1001,MATCH(ROWS($AF$2:AF965),$AF$2:$AF$1001,0),0), INDEX($AM$1004:$BM$1004,1,MATCH(COLUMNS($AM$1006:AY1006),$AM$1006:$BM$1006,0)))),"Fix")))</f>
        <v xml:space="preserve"> </v>
      </c>
      <c r="O965" s="4" t="str">
        <f ca="1">IF(OR(INDEX($AG$2:$AG$1001,MATCH(ROWS($AF$2:AF965),$AF$2:$AF$1001,0),1)&gt;=100000,INDEX($AM$1005:$BM$1005,1,MATCH(COLUMNS($AM$1006:AZ1006),$AM$1006:$BM$1006,0))&gt;=100000), " ",IF(INDEX($AM$2:$BM$1001,MATCH(ROWS($AF$2:AF965),$AF$2:$AF$1001,0),MATCH(COLUMNS($AM$1006:AZ1006),$AM$1006:$BM$1006,0)), HYPERLINK("#",""), HYPERLINK(CONCATENATE("#metadata!", ADDRESS(INDEX($AH$2:$AH$1001,MATCH(ROWS($AF$2:AF965),$AF$2:$AF$1001,0),0), INDEX($AM$1004:$BM$1004,1,MATCH(COLUMNS($AM$1006:AZ1006),$AM$1006:$BM$1006,0)))),"Fix")))</f>
        <v xml:space="preserve"> </v>
      </c>
      <c r="P965" s="4" t="str">
        <f ca="1">IF(OR(INDEX($AG$2:$AG$1001,MATCH(ROWS($AF$2:AF965),$AF$2:$AF$1001,0),1)&gt;=100000,INDEX($AM$1005:$BM$1005,1,MATCH(COLUMNS($AM$1006:BA1006),$AM$1006:$BM$1006,0))&gt;=100000), " ",IF(INDEX($AM$2:$BM$1001,MATCH(ROWS($AF$2:AF965),$AF$2:$AF$1001,0),MATCH(COLUMNS($AM$1006:BA1006),$AM$1006:$BM$1006,0)), HYPERLINK("#",""), HYPERLINK(CONCATENATE("#metadata!", ADDRESS(INDEX($AH$2:$AH$1001,MATCH(ROWS($AF$2:AF965),$AF$2:$AF$1001,0),0), INDEX($AM$1004:$BM$1004,1,MATCH(COLUMNS($AM$1006:BA1006),$AM$1006:$BM$1006,0)))),"Fix")))</f>
        <v xml:space="preserve"> </v>
      </c>
      <c r="Q965" s="4" t="str">
        <f ca="1">IF(OR(INDEX($AG$2:$AG$1001,MATCH(ROWS($AF$2:AF965),$AF$2:$AF$1001,0),1)&gt;=100000,INDEX($AM$1005:$BM$1005,1,MATCH(COLUMNS($AM$1006:BB1006),$AM$1006:$BM$1006,0))&gt;=100000), " ",IF(INDEX($AM$2:$BM$1001,MATCH(ROWS($AF$2:AF965),$AF$2:$AF$1001,0),MATCH(COLUMNS($AM$1006:BB1006),$AM$1006:$BM$1006,0)), HYPERLINK("#",""), HYPERLINK(CONCATENATE("#metadata!", ADDRESS(INDEX($AH$2:$AH$1001,MATCH(ROWS($AF$2:AF965),$AF$2:$AF$1001,0),0), INDEX($AM$1004:$BM$1004,1,MATCH(COLUMNS($AM$1006:BB1006),$AM$1006:$BM$1006,0)))),"Fix")))</f>
        <v xml:space="preserve"> </v>
      </c>
      <c r="R965" s="4" t="str">
        <f ca="1">IF(OR(INDEX($AG$2:$AG$1001,MATCH(ROWS($AF$2:AF965),$AF$2:$AF$1001,0),1)&gt;=100000,INDEX($AM$1005:$BM$1005,1,MATCH(COLUMNS($AM$1006:BC1006),$AM$1006:$BM$1006,0))&gt;=100000), " ",IF(INDEX($AM$2:$BM$1001,MATCH(ROWS($AF$2:AF965),$AF$2:$AF$1001,0),MATCH(COLUMNS($AM$1006:BC1006),$AM$1006:$BM$1006,0)), HYPERLINK("#",""), HYPERLINK(CONCATENATE("#metadata!", ADDRESS(INDEX($AH$2:$AH$1001,MATCH(ROWS($AF$2:AF965),$AF$2:$AF$1001,0),0), INDEX($AM$1004:$BM$1004,1,MATCH(COLUMNS($AM$1006:BC1006),$AM$1006:$BM$1006,0)))),"Fix")))</f>
        <v xml:space="preserve"> </v>
      </c>
      <c r="S965" s="4" t="str">
        <f ca="1">IF(OR(INDEX($AG$2:$AG$1001,MATCH(ROWS($AF$2:AF965),$AF$2:$AF$1001,0),1)&gt;=100000,INDEX($AM$1005:$BM$1005,1,MATCH(COLUMNS($AM$1006:BD1006),$AM$1006:$BM$1006,0))&gt;=100000), " ",IF(INDEX($AM$2:$BM$1001,MATCH(ROWS($AF$2:AF965),$AF$2:$AF$1001,0),MATCH(COLUMNS($AM$1006:BD1006),$AM$1006:$BM$1006,0)), HYPERLINK("#",""), HYPERLINK(CONCATENATE("#metadata!", ADDRESS(INDEX($AH$2:$AH$1001,MATCH(ROWS($AF$2:AF965),$AF$2:$AF$1001,0),0), INDEX($AM$1004:$BM$1004,1,MATCH(COLUMNS($AM$1006:BD1006),$AM$1006:$BM$1006,0)))),"Fix")))</f>
        <v xml:space="preserve"> </v>
      </c>
      <c r="T965" s="4" t="str">
        <f ca="1">IF(OR(INDEX($AG$2:$AG$1001,MATCH(ROWS($AF$2:AF965),$AF$2:$AF$1001,0),1)&gt;=100000,INDEX($AM$1005:$BM$1005,1,MATCH(COLUMNS($AM$1006:BE1006),$AM$1006:$BM$1006,0))&gt;=100000), " ",IF(INDEX($AM$2:$BM$1001,MATCH(ROWS($AF$2:AF965),$AF$2:$AF$1001,0),MATCH(COLUMNS($AM$1006:BE1006),$AM$1006:$BM$1006,0)), HYPERLINK("#",""), HYPERLINK(CONCATENATE("#metadata!", ADDRESS(INDEX($AH$2:$AH$1001,MATCH(ROWS($AF$2:AF965),$AF$2:$AF$1001,0),0), INDEX($AM$1004:$BM$1004,1,MATCH(COLUMNS($AM$1006:BE1006),$AM$1006:$BM$1006,0)))),"Fix")))</f>
        <v xml:space="preserve"> </v>
      </c>
      <c r="U965" s="4" t="str">
        <f ca="1">IF(OR(INDEX($AG$2:$AG$1001,MATCH(ROWS($AF$2:AF965),$AF$2:$AF$1001,0),1)&gt;=100000,INDEX($AM$1005:$BM$1005,1,MATCH(COLUMNS($AM$1006:BF1006),$AM$1006:$BM$1006,0))&gt;=100000), " ",IF(INDEX($AM$2:$BM$1001,MATCH(ROWS($AF$2:AF965),$AF$2:$AF$1001,0),MATCH(COLUMNS($AM$1006:BF1006),$AM$1006:$BM$1006,0)), HYPERLINK("#",""), HYPERLINK(CONCATENATE("#metadata!", ADDRESS(INDEX($AH$2:$AH$1001,MATCH(ROWS($AF$2:AF965),$AF$2:$AF$1001,0),0), INDEX($AM$1004:$BM$1004,1,MATCH(COLUMNS($AM$1006:BF1006),$AM$1006:$BM$1006,0)))),"Fix")))</f>
        <v xml:space="preserve"> </v>
      </c>
      <c r="V965" s="4" t="str">
        <f ca="1">IF(OR(INDEX($AG$2:$AG$1001,MATCH(ROWS($AF$2:AF965),$AF$2:$AF$1001,0),1)&gt;=100000,INDEX($AM$1005:$BM$1005,1,MATCH(COLUMNS($AM$1006:BG1006),$AM$1006:$BM$1006,0))&gt;=100000), " ",IF(INDEX($AM$2:$BM$1001,MATCH(ROWS($AF$2:AF965),$AF$2:$AF$1001,0),MATCH(COLUMNS($AM$1006:BG1006),$AM$1006:$BM$1006,0)), HYPERLINK("#",""), HYPERLINK(CONCATENATE("#metadata!", ADDRESS(INDEX($AH$2:$AH$1001,MATCH(ROWS($AF$2:AF965),$AF$2:$AF$1001,0),0), INDEX($AM$1004:$BM$1004,1,MATCH(COLUMNS($AM$1006:BG1006),$AM$1006:$BM$1006,0)))),"Fix")))</f>
        <v xml:space="preserve"> </v>
      </c>
      <c r="W965" s="4" t="str">
        <f ca="1">IF(OR(INDEX($AG$2:$AG$1001,MATCH(ROWS($AF$2:AF965),$AF$2:$AF$1001,0),1)&gt;=100000,INDEX($AM$1005:$BM$1005,1,MATCH(COLUMNS($AM$1006:BH1006),$AM$1006:$BM$1006,0))&gt;=100000), " ",IF(INDEX($AM$2:$BM$1001,MATCH(ROWS($AF$2:AF965),$AF$2:$AF$1001,0),MATCH(COLUMNS($AM$1006:BH1006),$AM$1006:$BM$1006,0)), HYPERLINK("#",""), HYPERLINK(CONCATENATE("#metadata!", ADDRESS(INDEX($AH$2:$AH$1001,MATCH(ROWS($AF$2:AF965),$AF$2:$AF$1001,0),0), INDEX($AM$1004:$BM$1004,1,MATCH(COLUMNS($AM$1006:BH1006),$AM$1006:$BM$1006,0)))),"Fix")))</f>
        <v xml:space="preserve"> </v>
      </c>
      <c r="X965" s="4" t="str">
        <f ca="1">IF(OR(INDEX($AG$2:$AG$1001,MATCH(ROWS($AF$2:AF965),$AF$2:$AF$1001,0),1)&gt;=100000,INDEX($AM$1005:$BM$1005,1,MATCH(COLUMNS($AM$1006:BI1006),$AM$1006:$BM$1006,0))&gt;=100000), " ",IF(INDEX($AM$2:$BM$1001,MATCH(ROWS($AF$2:AF965),$AF$2:$AF$1001,0),MATCH(COLUMNS($AM$1006:BI1006),$AM$1006:$BM$1006,0)), HYPERLINK("#",""), HYPERLINK(CONCATENATE("#metadata!", ADDRESS(INDEX($AH$2:$AH$1001,MATCH(ROWS($AF$2:AF965),$AF$2:$AF$1001,0),0), INDEX($AM$1004:$BM$1004,1,MATCH(COLUMNS($AM$1006:BI1006),$AM$1006:$BM$1006,0)))),"Fix")))</f>
        <v xml:space="preserve"> </v>
      </c>
      <c r="Y965" s="4" t="str">
        <f ca="1">IF(OR(INDEX($AG$2:$AG$1001,MATCH(ROWS($AF$2:AF965),$AF$2:$AF$1001,0),1)&gt;=100000,INDEX($AM$1005:$BM$1005,1,MATCH(COLUMNS($AM$1006:BJ1006),$AM$1006:$BM$1006,0))&gt;=100000), " ",IF(INDEX($AM$2:$BM$1001,MATCH(ROWS($AF$2:AF965),$AF$2:$AF$1001,0),MATCH(COLUMNS($AM$1006:BJ1006),$AM$1006:$BM$1006,0)), HYPERLINK("#",""), HYPERLINK(CONCATENATE("#metadata!", ADDRESS(INDEX($AH$2:$AH$1001,MATCH(ROWS($AF$2:AF965),$AF$2:$AF$1001,0),0), INDEX($AM$1004:$BM$1004,1,MATCH(COLUMNS($AM$1006:BJ1006),$AM$1006:$BM$1006,0)))),"Fix")))</f>
        <v xml:space="preserve"> </v>
      </c>
      <c r="Z965" s="4" t="str">
        <f ca="1">IF(OR(INDEX($AG$2:$AG$1001,MATCH(ROWS($AF$2:AF965),$AF$2:$AF$1001,0),1)&gt;=100000,INDEX($AM$1005:$BM$1005,1,MATCH(COLUMNS($AM$1006:BK1006),$AM$1006:$BM$1006,0))&gt;=100000), " ",IF(INDEX($AM$2:$BM$1001,MATCH(ROWS($AF$2:AF965),$AF$2:$AF$1001,0),MATCH(COLUMNS($AM$1006:BK1006),$AM$1006:$BM$1006,0)), HYPERLINK("#",""), HYPERLINK(CONCATENATE("#metadata!", ADDRESS(INDEX($AH$2:$AH$1001,MATCH(ROWS($AF$2:AF965),$AF$2:$AF$1001,0),0), INDEX($AM$1004:$BM$1004,1,MATCH(COLUMNS($AM$1006:BK1006),$AM$1006:$BM$1006,0)))),"Fix")))</f>
        <v xml:space="preserve"> </v>
      </c>
      <c r="AA965" s="4" t="str">
        <f ca="1">IF(OR(INDEX($AG$2:$AG$1001,MATCH(ROWS($AF$2:AF965),$AF$2:$AF$1001,0),1)&gt;=100000,INDEX($AM$1005:$BM$1005,1,MATCH(COLUMNS($AM$1006:BL1006),$AM$1006:$BM$1006,0))&gt;=100000), " ",IF(INDEX($AM$2:$BM$1001,MATCH(ROWS($AF$2:AF965),$AF$2:$AF$1001,0),MATCH(COLUMNS($AM$1006:BL1006),$AM$1006:$BM$1006,0)), HYPERLINK("#",""), HYPERLINK(CONCATENATE("#metadata!", ADDRESS(INDEX($AH$2:$AH$1001,MATCH(ROWS($AF$2:AF965),$AF$2:$AF$1001,0),0), INDEX($AM$1004:$BM$1004,1,MATCH(COLUMNS($AM$1006:BL1006),$AM$1006:$BM$1006,0)))),"Fix")))</f>
        <v xml:space="preserve"> </v>
      </c>
      <c r="AB965" s="4" t="str">
        <f ca="1">IF(OR(INDEX($AG$2:$AG$1001,MATCH(ROWS($AF$2:AF965),$AF$2:$AF$1001,0),1)&gt;=100000,INDEX($AM$1005:$BM$1005,1,MATCH(COLUMNS($AM$1006:BM1006),$AM$1006:$BM$1006,0))&gt;=100000), " ",IF(INDEX($AM$2:$BM$1001,MATCH(ROWS($AF$2:AF965),$AF$2:$AF$1001,0),MATCH(COLUMNS($AM$1006:BM1006),$AM$1006:$BM$1006,0)), HYPERLINK("#",""), HYPERLINK(CONCATENATE("#metadata!", ADDRESS(INDEX($AH$2:$AH$1001,MATCH(ROWS($AF$2:AF965),$AF$2:$AF$1001,0),0), INDEX($AM$1004:$BM$1004,1,MATCH(COLUMNS($AM$1006:BM1006),$AM$1006:$BM$1006,0)))),"Fix")))</f>
        <v xml:space="preserve"> </v>
      </c>
      <c r="AF965">
        <v>964</v>
      </c>
      <c r="AG965">
        <v>100965</v>
      </c>
      <c r="AH965">
        <v>965</v>
      </c>
      <c r="AI965" t="b">
        <f t="shared" si="15"/>
        <v>1</v>
      </c>
      <c r="AJ965" t="b">
        <f>COUNTBLANK(metadata!B965:AB965)=COLUMNS(metadata!B965:AB965)</f>
        <v>1</v>
      </c>
      <c r="AK965" t="str">
        <v/>
      </c>
      <c r="AM965" t="b">
        <f ca="1">AND(IF(metadata!B965="",FALSE,TRUE),COUNTIF(metadata!B:B, metadata!B965) = 1,NOT(ISERROR(SUMPRODUCT(SEARCH(MID(metadata!B965,ROW(INDIRECT("1:"&amp;LEN(metadata!B965))), 1),"0123456789abcdefghijklmnopqrstuvwxyzABCDEFGHIJKLMNOPQRSTUVWXYZ.")))))</f>
        <v>0</v>
      </c>
      <c r="AN965" t="b">
        <f ca="1">OR(AND(IF(metadata!C965="",FALSE,TRUE),OR(EXACT(metadata!C965,"missing: not collected"),EXACT(metadata!C965,"missing: not provided"),EXACT(metadata!C965,"missing: restricted access"))),AND(IF(metadata!C965="",FALSE,TRUE),AND(AND(IFERROR(INT(LEFT(metadata!C965,4))&gt;1900,FALSE),IFERROR(INT(LEFT(metadata!C965,4))&lt;=YEAR(NOW()),FALSE)), OR(MID(metadata!C965,5,1)="", AND(AND(MID(metadata!C965,5,1)="-",IFERROR(INT(MID(metadata!C965,6,1))&gt;=0,FALSE),IFERROR(INT(MID(metadata!C965,6,1))&lt;=1,FALSE),NOT(MID(metadata!C965,7,1)=""),IFERROR(INT(MID(metadata!C965,6,2))&gt;=1,FALSE),IFERROR(INT(MID(metadata!C965,6,2))&lt;=12,FALSE)), OR(MID(metadata!C965,8,1)="", AND(AND(MID(metadata!C965,8,1)="-",IFERROR(INT(MID(metadata!C965,9,1))&gt;=0,FALSE),IFERROR(INT(MID(metadata!C965,9,1))&lt;=3,FALSE),NOT(MID(metadata!C965,10,1)=""),IFERROR(INT(MID(metadata!C965,9,2))&gt;=1,FALSE),IFERROR(INT(MID(metadata!C965,9,2))&lt;=31,FALSE)), OR(MID(metadata!C965,11,1)="", AND(AND(MID(metadata!C965,11,1)=" ",IFERROR(INT(MID(metadata!C965,12,1))&gt;=0,FALSE),IFERROR(INT(MID(metadata!C965,12,1))&lt;=2,FALSE),NOT(MID(metadata!C965,13,1)=""),IFERROR(INT(MID(metadata!C965,12,2))&gt;=0,FALSE),IFERROR(INT(MID(metadata!C965,12,2))&lt;=23,FALSE)), OR(MID(metadata!C965,14,1)="", AND(AND(MID(metadata!C965,14,1)=":",IFERROR(INT(MID(metadata!C965,15,1))&gt;=0,FALSE),IFERROR(INT(MID(metadata!C965,15,1))&lt;=5,FALSE),NOT(MID(metadata!C965,16,1)=""),IFERROR(INT(MID(metadata!C965,15,2))&gt;=0,FALSE),IFERROR(INT(MID(metadata!C965,15,2))&lt;=59,FALSE)), OR(MID(metadata!C965,17,1)="", AND(AND(MID(metadata!C965,17,1)=":",IFERROR(INT(MID(metadata!C965,18,1))&gt;=0,FALSE),IFERROR(INT(MID(metadata!C965,18,1))&lt;=5,FALSE),NOT(MID(metadata!C965,19,1)=""),IFERROR(INT(MID(metadata!C965,18,2))&gt;=0,FALSE),IFERROR(INT(MID(metadata!C965,18,2))&lt;=59,FALSE)), LEN(metadata!C965)&lt;=19)))))))))))))</f>
        <v>0</v>
      </c>
      <c r="AO965" t="b">
        <f>AND(IF(metadata!D965="",FALSE,TRUE),EXACT(metadata!D965,"Not applicable"))</f>
        <v>0</v>
      </c>
      <c r="AP965" t="b">
        <f>IF(metadata!E965="",FALSE,TRUE)</f>
        <v>0</v>
      </c>
      <c r="AQ965" t="b">
        <f>OR(AND(IF(metadata!F965="",FALSE,TRUE),OR(EXACT(metadata!F965,"missing: not collected"),EXACT(metadata!F965,"missing: not provided"))),AND(IF(metadata!F965="",FALSE,TRUE),OR(EXACT(metadata!F965,"TRUE"),EXACT(metadata!F965,"FALSE"))))</f>
        <v>0</v>
      </c>
      <c r="AR965" t="b">
        <f>OR(AND(IF(metadata!G965="",FALSE,TRUE),OR(EXACT(metadata!G965,"missing: not collected"),EXACT(metadata!G965,"missing: not provided"),EXACT(metadata!G965,"missing: restricted access"))),AND(IF(metadata!G965="",FALSE,ISNUMBER(VALUE(metadata!G965))),metadata!G965&gt;=-413))</f>
        <v>0</v>
      </c>
      <c r="AS965" t="b">
        <f>AND(IF(metadata!H965="",FALSE,TRUE),EXACT(metadata!H965,"meters"))</f>
        <v>0</v>
      </c>
      <c r="AT965" t="b">
        <f>AND(IF(metadata!I965="",FALSE,TRUE),OR(EXACT(metadata!I965,"Host-associated"),EXACT(metadata!I965,"Free-living")))</f>
        <v>0</v>
      </c>
      <c r="AU965" t="b">
        <f>AND(IF(metadata!J965="",FALSE,TRUE),OR(EXACT(metadata!J965,"Animal"),EXACT(metadata!J965,"Fungus"),EXACT(metadata!J965,"Plant"),EXACT(metadata!J965,"Saline"),EXACT(metadata!J965,"Non-saline")))</f>
        <v>0</v>
      </c>
      <c r="AV965" t="b">
        <f>AND(IF(metadata!K965="",FALSE,TRUE),OR(EXACT(metadata!K965,"Plant secretion"),EXACT(metadata!K965,"Plant rhizosphere"),EXACT(metadata!K965,"Plant surface"),EXACT(metadata!K965,"Plant corpus"),EXACT(metadata!K965,"Fungus surface"),EXACT(metadata!K965,"Fungus corpus"),EXACT(metadata!K965,"Animal surface"),EXACT(metadata!K965,"Animal proximal gut"),EXACT(metadata!K965,"Animal corpus"),EXACT(metadata!K965,"Animal distal gut"),EXACT(metadata!K965,"Animal secretion"),EXACT(metadata!K965,"Sub-surface (non-saline)"),EXACT(metadata!K965,"Surface (non-saline)"),EXACT(metadata!K965,"Water (non-saline)"),EXACT(metadata!K965,"Soil (non-saline)"),EXACT(metadata!K965,"Aerosol (non-saline)"),EXACT(metadata!K965,"Sediment (non-saline)"),EXACT(metadata!K965,"Surface (saline)"),EXACT(metadata!K965,"Water (saline)"),EXACT(metadata!K965,"Hypersaline (saline)"),EXACT(metadata!K965,"Aerosol (saline)"),EXACT(metadata!K965,"Sediment (saline)")))</f>
        <v>0</v>
      </c>
      <c r="AW965" t="b">
        <f>IF(metadata!L965="",FALSE,TRUE)</f>
        <v>0</v>
      </c>
      <c r="AX965" t="b">
        <f>IF(metadata!M965="",FALSE,TRUE)</f>
        <v>0</v>
      </c>
      <c r="AY965" t="b">
        <f>IF(metadata!N965="",FALSE,TRUE)</f>
        <v>0</v>
      </c>
      <c r="AZ965" t="b">
        <f>OR(AND(IF(metadata!O965="",FALSE,TRUE),OR(EXACT(metadata!O965,"missing: not collected"),EXACT(metadata!O965,"missing: not provided"),EXACT(metadata!O965,"missing: restricted access"))),AND(IF(metadata!O965="",FALSE,TRUE),OR(EXACT(metadata!O965,"air"),EXACT(metadata!O965,"built environment"),EXACT(metadata!O965,"host-associated"),EXACT(metadata!O965,"human-associated"),EXACT(metadata!O965,"human-skin"),EXACT(metadata!O965,"human-oral"),EXACT(metadata!O965,"human-gut"),EXACT(metadata!O965,"human-vaginal"),EXACT(metadata!O965,"microbial mat/biofilm"),EXACT(metadata!O965,"misc environment"),EXACT(metadata!O965,"plant-associated"),EXACT(metadata!O965,"sediment"),EXACT(metadata!O965,"soil"),EXACT(metadata!O965,"wastewater/sludge"),EXACT(metadata!O965,"water"))))</f>
        <v>0</v>
      </c>
      <c r="BA965" t="b">
        <f>IF(metadata!P965="",FALSE,TRUE)</f>
        <v>0</v>
      </c>
      <c r="BB965" t="b">
        <f>IF(metadata!Q965="",FALSE,TRUE)</f>
        <v>0</v>
      </c>
      <c r="BC965" t="b">
        <f>OR(AND(IF(metadata!R965="",FALSE,TRUE),OR(EXACT(metadata!R965,"missing: not collected"),EXACT(metadata!R965,"missing: not provided"),EXACT(metadata!R965,"missing: restricted access"))),AND(IF(metadata!R965="",FALSE,ISNUMBER(VALUE(metadata!R965))),metadata!R965&gt;=-90,metadata!R965&lt;=90))</f>
        <v>0</v>
      </c>
      <c r="BD965" t="b">
        <f>AND(IF(metadata!S965="",FALSE,TRUE),EXACT(metadata!S965,"Decimal degrees"))</f>
        <v>0</v>
      </c>
      <c r="BE965" t="b">
        <f>OR(AND(IF(metadata!T965="",FALSE,TRUE),OR(EXACT(metadata!T965,"missing: not collected"),EXACT(metadata!T965,"missing: not provided"),EXACT(metadata!T965,"missing: restricted access"))),AND(IF(metadata!T965="",FALSE,ISNUMBER(VALUE(metadata!T965))),metadata!T965&gt;=-180,metadata!T965&lt;=180))</f>
        <v>0</v>
      </c>
      <c r="BF965" t="b">
        <f>AND(IF(metadata!U965="",FALSE,TRUE),EXACT(metadata!U965,"Decimal degrees"))</f>
        <v>0</v>
      </c>
      <c r="BG965" t="b">
        <f>IF(metadata!V965="",FALSE,TRUE)</f>
        <v>0</v>
      </c>
      <c r="BH965" t="b">
        <f>OR(AND(IF(metadata!W965="",FALSE,TRUE),OR(EXACT(metadata!W965,"missing: not collected"),EXACT(metadata!W965,"missing: not provided"),EXACT(metadata!W965,"missing: restricted access"))),AND(IF(metadata!W965="",FALSE,TRUE),OR(EXACT(metadata!W965,"TRUE"),EXACT(metadata!W965,"FALSE"))))</f>
        <v>0</v>
      </c>
      <c r="BI965" t="b">
        <f>AND(IF(metadata!X965="",FALSE,TRUE),EXACT(metadata!X965,"other"))</f>
        <v>0</v>
      </c>
      <c r="BJ965" t="b">
        <f>IF(metadata!Y965="",FALSE,TRUE)</f>
        <v>0</v>
      </c>
      <c r="BK965" t="b">
        <f>OR(AND(IF(metadata!Z965="",FALSE,TRUE),OR(EXACT(metadata!Z965,"missing: not collected"),EXACT(metadata!Z965,"missing: not provided"))),AND(IF(metadata!Z965="",FALSE,IF(ISERROR(INT(metadata!Z965)),FALSE,INT(metadata!Z965)=metadata!Z965)),metadata!Z965&gt;0))</f>
        <v>0</v>
      </c>
      <c r="BL965" t="b">
        <f>AND(IF(metadata!AA965="",FALSE,TRUE),EXACT(metadata!AA965,"Not applicable"))</f>
        <v>0</v>
      </c>
      <c r="BM965" t="b">
        <f>IF(metadata!AB965="",FALSE,TRUE)</f>
        <v>0</v>
      </c>
    </row>
    <row r="966" spans="1:65" x14ac:dyDescent="0.2">
      <c r="A966" s="5" t="str">
        <f ca="1">IF(B966=" "," ",HYPERLINK(CONCATENATE("#metadata!",ADDRESS(INDEX($AH$2:$AH$1001,MATCH(ROWS($AF$2:AF966),$AF$2:$AF$1001,0),0),1)),INDEX($AK$2:$AK$1001,MATCH(ROWS($AF$2:AF966),$AF$2:$AF$1001,0),0)))</f>
        <v xml:space="preserve"> </v>
      </c>
      <c r="B966" s="4" t="str">
        <f ca="1">IF(OR(INDEX($AG$2:$AG$1001,MATCH(ROWS($AF$2:AF966),$AF$2:$AF$1001,0),1)&gt;=100000,INDEX($AM$1005:$BM$1005,1,MATCH(COLUMNS($AM$1006:AM1006),$AM$1006:$BM$1006,0))&gt;=100000), " ",IF(INDEX($AM$2:$BM$1001,MATCH(ROWS($AF$2:AF966),$AF$2:$AF$1001,0),MATCH(COLUMNS($AM$1006:AM1006),$AM$1006:$BM$1006,0)), HYPERLINK("#",""), HYPERLINK(CONCATENATE("#metadata!", ADDRESS(INDEX($AH$2:$AH$1001,MATCH(ROWS($AF$2:AF966),$AF$2:$AF$1001,0),0), INDEX($AM$1004:$BM$1004,1,MATCH(COLUMNS($AM$1006:AM1006),$AM$1006:$BM$1006,0)))),"Fix")))</f>
        <v xml:space="preserve"> </v>
      </c>
      <c r="C966" s="4" t="str">
        <f ca="1">IF(OR(INDEX($AG$2:$AG$1001,MATCH(ROWS($AF$2:AF966),$AF$2:$AF$1001,0),1)&gt;=100000,INDEX($AM$1005:$BM$1005,1,MATCH(COLUMNS($AM$1006:AN1006),$AM$1006:$BM$1006,0))&gt;=100000), " ",IF(INDEX($AM$2:$BM$1001,MATCH(ROWS($AF$2:AF966),$AF$2:$AF$1001,0),MATCH(COLUMNS($AM$1006:AN1006),$AM$1006:$BM$1006,0)), HYPERLINK("#",""), HYPERLINK(CONCATENATE("#metadata!", ADDRESS(INDEX($AH$2:$AH$1001,MATCH(ROWS($AF$2:AF966),$AF$2:$AF$1001,0),0), INDEX($AM$1004:$BM$1004,1,MATCH(COLUMNS($AM$1006:AN1006),$AM$1006:$BM$1006,0)))),"Fix")))</f>
        <v xml:space="preserve"> </v>
      </c>
      <c r="D966" s="4" t="str">
        <f ca="1">IF(OR(INDEX($AG$2:$AG$1001,MATCH(ROWS($AF$2:AF966),$AF$2:$AF$1001,0),1)&gt;=100000,INDEX($AM$1005:$BM$1005,1,MATCH(COLUMNS($AM$1006:AO1006),$AM$1006:$BM$1006,0))&gt;=100000), " ",IF(INDEX($AM$2:$BM$1001,MATCH(ROWS($AF$2:AF966),$AF$2:$AF$1001,0),MATCH(COLUMNS($AM$1006:AO1006),$AM$1006:$BM$1006,0)), HYPERLINK("#",""), HYPERLINK(CONCATENATE("#metadata!", ADDRESS(INDEX($AH$2:$AH$1001,MATCH(ROWS($AF$2:AF966),$AF$2:$AF$1001,0),0), INDEX($AM$1004:$BM$1004,1,MATCH(COLUMNS($AM$1006:AO1006),$AM$1006:$BM$1006,0)))),"Fix")))</f>
        <v xml:space="preserve"> </v>
      </c>
      <c r="E966" s="4" t="str">
        <f ca="1">IF(OR(INDEX($AG$2:$AG$1001,MATCH(ROWS($AF$2:AF966),$AF$2:$AF$1001,0),1)&gt;=100000,INDEX($AM$1005:$BM$1005,1,MATCH(COLUMNS($AM$1006:AP1006),$AM$1006:$BM$1006,0))&gt;=100000), " ",IF(INDEX($AM$2:$BM$1001,MATCH(ROWS($AF$2:AF966),$AF$2:$AF$1001,0),MATCH(COLUMNS($AM$1006:AP1006),$AM$1006:$BM$1006,0)), HYPERLINK("#",""), HYPERLINK(CONCATENATE("#metadata!", ADDRESS(INDEX($AH$2:$AH$1001,MATCH(ROWS($AF$2:AF966),$AF$2:$AF$1001,0),0), INDEX($AM$1004:$BM$1004,1,MATCH(COLUMNS($AM$1006:AP1006),$AM$1006:$BM$1006,0)))),"Fix")))</f>
        <v xml:space="preserve"> </v>
      </c>
      <c r="F966" s="4" t="str">
        <f ca="1">IF(OR(INDEX($AG$2:$AG$1001,MATCH(ROWS($AF$2:AF966),$AF$2:$AF$1001,0),1)&gt;=100000,INDEX($AM$1005:$BM$1005,1,MATCH(COLUMNS($AM$1006:AQ1006),$AM$1006:$BM$1006,0))&gt;=100000), " ",IF(INDEX($AM$2:$BM$1001,MATCH(ROWS($AF$2:AF966),$AF$2:$AF$1001,0),MATCH(COLUMNS($AM$1006:AQ1006),$AM$1006:$BM$1006,0)), HYPERLINK("#",""), HYPERLINK(CONCATENATE("#metadata!", ADDRESS(INDEX($AH$2:$AH$1001,MATCH(ROWS($AF$2:AF966),$AF$2:$AF$1001,0),0), INDEX($AM$1004:$BM$1004,1,MATCH(COLUMNS($AM$1006:AQ1006),$AM$1006:$BM$1006,0)))),"Fix")))</f>
        <v xml:space="preserve"> </v>
      </c>
      <c r="G966" s="4" t="str">
        <f ca="1">IF(OR(INDEX($AG$2:$AG$1001,MATCH(ROWS($AF$2:AF966),$AF$2:$AF$1001,0),1)&gt;=100000,INDEX($AM$1005:$BM$1005,1,MATCH(COLUMNS($AM$1006:AR1006),$AM$1006:$BM$1006,0))&gt;=100000), " ",IF(INDEX($AM$2:$BM$1001,MATCH(ROWS($AF$2:AF966),$AF$2:$AF$1001,0),MATCH(COLUMNS($AM$1006:AR1006),$AM$1006:$BM$1006,0)), HYPERLINK("#",""), HYPERLINK(CONCATENATE("#metadata!", ADDRESS(INDEX($AH$2:$AH$1001,MATCH(ROWS($AF$2:AF966),$AF$2:$AF$1001,0),0), INDEX($AM$1004:$BM$1004,1,MATCH(COLUMNS($AM$1006:AR1006),$AM$1006:$BM$1006,0)))),"Fix")))</f>
        <v xml:space="preserve"> </v>
      </c>
      <c r="H966" s="4" t="str">
        <f ca="1">IF(OR(INDEX($AG$2:$AG$1001,MATCH(ROWS($AF$2:AF966),$AF$2:$AF$1001,0),1)&gt;=100000,INDEX($AM$1005:$BM$1005,1,MATCH(COLUMNS($AM$1006:AS1006),$AM$1006:$BM$1006,0))&gt;=100000), " ",IF(INDEX($AM$2:$BM$1001,MATCH(ROWS($AF$2:AF966),$AF$2:$AF$1001,0),MATCH(COLUMNS($AM$1006:AS1006),$AM$1006:$BM$1006,0)), HYPERLINK("#",""), HYPERLINK(CONCATENATE("#metadata!", ADDRESS(INDEX($AH$2:$AH$1001,MATCH(ROWS($AF$2:AF966),$AF$2:$AF$1001,0),0), INDEX($AM$1004:$BM$1004,1,MATCH(COLUMNS($AM$1006:AS1006),$AM$1006:$BM$1006,0)))),"Fix")))</f>
        <v xml:space="preserve"> </v>
      </c>
      <c r="I966" s="4" t="str">
        <f ca="1">IF(OR(INDEX($AG$2:$AG$1001,MATCH(ROWS($AF$2:AF966),$AF$2:$AF$1001,0),1)&gt;=100000,INDEX($AM$1005:$BM$1005,1,MATCH(COLUMNS($AM$1006:AT1006),$AM$1006:$BM$1006,0))&gt;=100000), " ",IF(INDEX($AM$2:$BM$1001,MATCH(ROWS($AF$2:AF966),$AF$2:$AF$1001,0),MATCH(COLUMNS($AM$1006:AT1006),$AM$1006:$BM$1006,0)), HYPERLINK("#",""), HYPERLINK(CONCATENATE("#metadata!", ADDRESS(INDEX($AH$2:$AH$1001,MATCH(ROWS($AF$2:AF966),$AF$2:$AF$1001,0),0), INDEX($AM$1004:$BM$1004,1,MATCH(COLUMNS($AM$1006:AT1006),$AM$1006:$BM$1006,0)))),"Fix")))</f>
        <v xml:space="preserve"> </v>
      </c>
      <c r="J966" s="4" t="str">
        <f ca="1">IF(OR(INDEX($AG$2:$AG$1001,MATCH(ROWS($AF$2:AF966),$AF$2:$AF$1001,0),1)&gt;=100000,INDEX($AM$1005:$BM$1005,1,MATCH(COLUMNS($AM$1006:AU1006),$AM$1006:$BM$1006,0))&gt;=100000), " ",IF(INDEX($AM$2:$BM$1001,MATCH(ROWS($AF$2:AF966),$AF$2:$AF$1001,0),MATCH(COLUMNS($AM$1006:AU1006),$AM$1006:$BM$1006,0)), HYPERLINK("#",""), HYPERLINK(CONCATENATE("#metadata!", ADDRESS(INDEX($AH$2:$AH$1001,MATCH(ROWS($AF$2:AF966),$AF$2:$AF$1001,0),0), INDEX($AM$1004:$BM$1004,1,MATCH(COLUMNS($AM$1006:AU1006),$AM$1006:$BM$1006,0)))),"Fix")))</f>
        <v xml:space="preserve"> </v>
      </c>
      <c r="K966" s="4" t="str">
        <f ca="1">IF(OR(INDEX($AG$2:$AG$1001,MATCH(ROWS($AF$2:AF966),$AF$2:$AF$1001,0),1)&gt;=100000,INDEX($AM$1005:$BM$1005,1,MATCH(COLUMNS($AM$1006:AV1006),$AM$1006:$BM$1006,0))&gt;=100000), " ",IF(INDEX($AM$2:$BM$1001,MATCH(ROWS($AF$2:AF966),$AF$2:$AF$1001,0),MATCH(COLUMNS($AM$1006:AV1006),$AM$1006:$BM$1006,0)), HYPERLINK("#",""), HYPERLINK(CONCATENATE("#metadata!", ADDRESS(INDEX($AH$2:$AH$1001,MATCH(ROWS($AF$2:AF966),$AF$2:$AF$1001,0),0), INDEX($AM$1004:$BM$1004,1,MATCH(COLUMNS($AM$1006:AV1006),$AM$1006:$BM$1006,0)))),"Fix")))</f>
        <v xml:space="preserve"> </v>
      </c>
      <c r="L966" s="4" t="str">
        <f ca="1">IF(OR(INDEX($AG$2:$AG$1001,MATCH(ROWS($AF$2:AF966),$AF$2:$AF$1001,0),1)&gt;=100000,INDEX($AM$1005:$BM$1005,1,MATCH(COLUMNS($AM$1006:AW1006),$AM$1006:$BM$1006,0))&gt;=100000), " ",IF(INDEX($AM$2:$BM$1001,MATCH(ROWS($AF$2:AF966),$AF$2:$AF$1001,0),MATCH(COLUMNS($AM$1006:AW1006),$AM$1006:$BM$1006,0)), HYPERLINK("#",""), HYPERLINK(CONCATENATE("#metadata!", ADDRESS(INDEX($AH$2:$AH$1001,MATCH(ROWS($AF$2:AF966),$AF$2:$AF$1001,0),0), INDEX($AM$1004:$BM$1004,1,MATCH(COLUMNS($AM$1006:AW1006),$AM$1006:$BM$1006,0)))),"Fix")))</f>
        <v xml:space="preserve"> </v>
      </c>
      <c r="M966" s="4" t="str">
        <f ca="1">IF(OR(INDEX($AG$2:$AG$1001,MATCH(ROWS($AF$2:AF966),$AF$2:$AF$1001,0),1)&gt;=100000,INDEX($AM$1005:$BM$1005,1,MATCH(COLUMNS($AM$1006:AX1006),$AM$1006:$BM$1006,0))&gt;=100000), " ",IF(INDEX($AM$2:$BM$1001,MATCH(ROWS($AF$2:AF966),$AF$2:$AF$1001,0),MATCH(COLUMNS($AM$1006:AX1006),$AM$1006:$BM$1006,0)), HYPERLINK("#",""), HYPERLINK(CONCATENATE("#metadata!", ADDRESS(INDEX($AH$2:$AH$1001,MATCH(ROWS($AF$2:AF966),$AF$2:$AF$1001,0),0), INDEX($AM$1004:$BM$1004,1,MATCH(COLUMNS($AM$1006:AX1006),$AM$1006:$BM$1006,0)))),"Fix")))</f>
        <v xml:space="preserve"> </v>
      </c>
      <c r="N966" s="4" t="str">
        <f ca="1">IF(OR(INDEX($AG$2:$AG$1001,MATCH(ROWS($AF$2:AF966),$AF$2:$AF$1001,0),1)&gt;=100000,INDEX($AM$1005:$BM$1005,1,MATCH(COLUMNS($AM$1006:AY1006),$AM$1006:$BM$1006,0))&gt;=100000), " ",IF(INDEX($AM$2:$BM$1001,MATCH(ROWS($AF$2:AF966),$AF$2:$AF$1001,0),MATCH(COLUMNS($AM$1006:AY1006),$AM$1006:$BM$1006,0)), HYPERLINK("#",""), HYPERLINK(CONCATENATE("#metadata!", ADDRESS(INDEX($AH$2:$AH$1001,MATCH(ROWS($AF$2:AF966),$AF$2:$AF$1001,0),0), INDEX($AM$1004:$BM$1004,1,MATCH(COLUMNS($AM$1006:AY1006),$AM$1006:$BM$1006,0)))),"Fix")))</f>
        <v xml:space="preserve"> </v>
      </c>
      <c r="O966" s="4" t="str">
        <f ca="1">IF(OR(INDEX($AG$2:$AG$1001,MATCH(ROWS($AF$2:AF966),$AF$2:$AF$1001,0),1)&gt;=100000,INDEX($AM$1005:$BM$1005,1,MATCH(COLUMNS($AM$1006:AZ1006),$AM$1006:$BM$1006,0))&gt;=100000), " ",IF(INDEX($AM$2:$BM$1001,MATCH(ROWS($AF$2:AF966),$AF$2:$AF$1001,0),MATCH(COLUMNS($AM$1006:AZ1006),$AM$1006:$BM$1006,0)), HYPERLINK("#",""), HYPERLINK(CONCATENATE("#metadata!", ADDRESS(INDEX($AH$2:$AH$1001,MATCH(ROWS($AF$2:AF966),$AF$2:$AF$1001,0),0), INDEX($AM$1004:$BM$1004,1,MATCH(COLUMNS($AM$1006:AZ1006),$AM$1006:$BM$1006,0)))),"Fix")))</f>
        <v xml:space="preserve"> </v>
      </c>
      <c r="P966" s="4" t="str">
        <f ca="1">IF(OR(INDEX($AG$2:$AG$1001,MATCH(ROWS($AF$2:AF966),$AF$2:$AF$1001,0),1)&gt;=100000,INDEX($AM$1005:$BM$1005,1,MATCH(COLUMNS($AM$1006:BA1006),$AM$1006:$BM$1006,0))&gt;=100000), " ",IF(INDEX($AM$2:$BM$1001,MATCH(ROWS($AF$2:AF966),$AF$2:$AF$1001,0),MATCH(COLUMNS($AM$1006:BA1006),$AM$1006:$BM$1006,0)), HYPERLINK("#",""), HYPERLINK(CONCATENATE("#metadata!", ADDRESS(INDEX($AH$2:$AH$1001,MATCH(ROWS($AF$2:AF966),$AF$2:$AF$1001,0),0), INDEX($AM$1004:$BM$1004,1,MATCH(COLUMNS($AM$1006:BA1006),$AM$1006:$BM$1006,0)))),"Fix")))</f>
        <v xml:space="preserve"> </v>
      </c>
      <c r="Q966" s="4" t="str">
        <f ca="1">IF(OR(INDEX($AG$2:$AG$1001,MATCH(ROWS($AF$2:AF966),$AF$2:$AF$1001,0),1)&gt;=100000,INDEX($AM$1005:$BM$1005,1,MATCH(COLUMNS($AM$1006:BB1006),$AM$1006:$BM$1006,0))&gt;=100000), " ",IF(INDEX($AM$2:$BM$1001,MATCH(ROWS($AF$2:AF966),$AF$2:$AF$1001,0),MATCH(COLUMNS($AM$1006:BB1006),$AM$1006:$BM$1006,0)), HYPERLINK("#",""), HYPERLINK(CONCATENATE("#metadata!", ADDRESS(INDEX($AH$2:$AH$1001,MATCH(ROWS($AF$2:AF966),$AF$2:$AF$1001,0),0), INDEX($AM$1004:$BM$1004,1,MATCH(COLUMNS($AM$1006:BB1006),$AM$1006:$BM$1006,0)))),"Fix")))</f>
        <v xml:space="preserve"> </v>
      </c>
      <c r="R966" s="4" t="str">
        <f ca="1">IF(OR(INDEX($AG$2:$AG$1001,MATCH(ROWS($AF$2:AF966),$AF$2:$AF$1001,0),1)&gt;=100000,INDEX($AM$1005:$BM$1005,1,MATCH(COLUMNS($AM$1006:BC1006),$AM$1006:$BM$1006,0))&gt;=100000), " ",IF(INDEX($AM$2:$BM$1001,MATCH(ROWS($AF$2:AF966),$AF$2:$AF$1001,0),MATCH(COLUMNS($AM$1006:BC1006),$AM$1006:$BM$1006,0)), HYPERLINK("#",""), HYPERLINK(CONCATENATE("#metadata!", ADDRESS(INDEX($AH$2:$AH$1001,MATCH(ROWS($AF$2:AF966),$AF$2:$AF$1001,0),0), INDEX($AM$1004:$BM$1004,1,MATCH(COLUMNS($AM$1006:BC1006),$AM$1006:$BM$1006,0)))),"Fix")))</f>
        <v xml:space="preserve"> </v>
      </c>
      <c r="S966" s="4" t="str">
        <f ca="1">IF(OR(INDEX($AG$2:$AG$1001,MATCH(ROWS($AF$2:AF966),$AF$2:$AF$1001,0),1)&gt;=100000,INDEX($AM$1005:$BM$1005,1,MATCH(COLUMNS($AM$1006:BD1006),$AM$1006:$BM$1006,0))&gt;=100000), " ",IF(INDEX($AM$2:$BM$1001,MATCH(ROWS($AF$2:AF966),$AF$2:$AF$1001,0),MATCH(COLUMNS($AM$1006:BD1006),$AM$1006:$BM$1006,0)), HYPERLINK("#",""), HYPERLINK(CONCATENATE("#metadata!", ADDRESS(INDEX($AH$2:$AH$1001,MATCH(ROWS($AF$2:AF966),$AF$2:$AF$1001,0),0), INDEX($AM$1004:$BM$1004,1,MATCH(COLUMNS($AM$1006:BD1006),$AM$1006:$BM$1006,0)))),"Fix")))</f>
        <v xml:space="preserve"> </v>
      </c>
      <c r="T966" s="4" t="str">
        <f ca="1">IF(OR(INDEX($AG$2:$AG$1001,MATCH(ROWS($AF$2:AF966),$AF$2:$AF$1001,0),1)&gt;=100000,INDEX($AM$1005:$BM$1005,1,MATCH(COLUMNS($AM$1006:BE1006),$AM$1006:$BM$1006,0))&gt;=100000), " ",IF(INDEX($AM$2:$BM$1001,MATCH(ROWS($AF$2:AF966),$AF$2:$AF$1001,0),MATCH(COLUMNS($AM$1006:BE1006),$AM$1006:$BM$1006,0)), HYPERLINK("#",""), HYPERLINK(CONCATENATE("#metadata!", ADDRESS(INDEX($AH$2:$AH$1001,MATCH(ROWS($AF$2:AF966),$AF$2:$AF$1001,0),0), INDEX($AM$1004:$BM$1004,1,MATCH(COLUMNS($AM$1006:BE1006),$AM$1006:$BM$1006,0)))),"Fix")))</f>
        <v xml:space="preserve"> </v>
      </c>
      <c r="U966" s="4" t="str">
        <f ca="1">IF(OR(INDEX($AG$2:$AG$1001,MATCH(ROWS($AF$2:AF966),$AF$2:$AF$1001,0),1)&gt;=100000,INDEX($AM$1005:$BM$1005,1,MATCH(COLUMNS($AM$1006:BF1006),$AM$1006:$BM$1006,0))&gt;=100000), " ",IF(INDEX($AM$2:$BM$1001,MATCH(ROWS($AF$2:AF966),$AF$2:$AF$1001,0),MATCH(COLUMNS($AM$1006:BF1006),$AM$1006:$BM$1006,0)), HYPERLINK("#",""), HYPERLINK(CONCATENATE("#metadata!", ADDRESS(INDEX($AH$2:$AH$1001,MATCH(ROWS($AF$2:AF966),$AF$2:$AF$1001,0),0), INDEX($AM$1004:$BM$1004,1,MATCH(COLUMNS($AM$1006:BF1006),$AM$1006:$BM$1006,0)))),"Fix")))</f>
        <v xml:space="preserve"> </v>
      </c>
      <c r="V966" s="4" t="str">
        <f ca="1">IF(OR(INDEX($AG$2:$AG$1001,MATCH(ROWS($AF$2:AF966),$AF$2:$AF$1001,0),1)&gt;=100000,INDEX($AM$1005:$BM$1005,1,MATCH(COLUMNS($AM$1006:BG1006),$AM$1006:$BM$1006,0))&gt;=100000), " ",IF(INDEX($AM$2:$BM$1001,MATCH(ROWS($AF$2:AF966),$AF$2:$AF$1001,0),MATCH(COLUMNS($AM$1006:BG1006),$AM$1006:$BM$1006,0)), HYPERLINK("#",""), HYPERLINK(CONCATENATE("#metadata!", ADDRESS(INDEX($AH$2:$AH$1001,MATCH(ROWS($AF$2:AF966),$AF$2:$AF$1001,0),0), INDEX($AM$1004:$BM$1004,1,MATCH(COLUMNS($AM$1006:BG1006),$AM$1006:$BM$1006,0)))),"Fix")))</f>
        <v xml:space="preserve"> </v>
      </c>
      <c r="W966" s="4" t="str">
        <f ca="1">IF(OR(INDEX($AG$2:$AG$1001,MATCH(ROWS($AF$2:AF966),$AF$2:$AF$1001,0),1)&gt;=100000,INDEX($AM$1005:$BM$1005,1,MATCH(COLUMNS($AM$1006:BH1006),$AM$1006:$BM$1006,0))&gt;=100000), " ",IF(INDEX($AM$2:$BM$1001,MATCH(ROWS($AF$2:AF966),$AF$2:$AF$1001,0),MATCH(COLUMNS($AM$1006:BH1006),$AM$1006:$BM$1006,0)), HYPERLINK("#",""), HYPERLINK(CONCATENATE("#metadata!", ADDRESS(INDEX($AH$2:$AH$1001,MATCH(ROWS($AF$2:AF966),$AF$2:$AF$1001,0),0), INDEX($AM$1004:$BM$1004,1,MATCH(COLUMNS($AM$1006:BH1006),$AM$1006:$BM$1006,0)))),"Fix")))</f>
        <v xml:space="preserve"> </v>
      </c>
      <c r="X966" s="4" t="str">
        <f ca="1">IF(OR(INDEX($AG$2:$AG$1001,MATCH(ROWS($AF$2:AF966),$AF$2:$AF$1001,0),1)&gt;=100000,INDEX($AM$1005:$BM$1005,1,MATCH(COLUMNS($AM$1006:BI1006),$AM$1006:$BM$1006,0))&gt;=100000), " ",IF(INDEX($AM$2:$BM$1001,MATCH(ROWS($AF$2:AF966),$AF$2:$AF$1001,0),MATCH(COLUMNS($AM$1006:BI1006),$AM$1006:$BM$1006,0)), HYPERLINK("#",""), HYPERLINK(CONCATENATE("#metadata!", ADDRESS(INDEX($AH$2:$AH$1001,MATCH(ROWS($AF$2:AF966),$AF$2:$AF$1001,0),0), INDEX($AM$1004:$BM$1004,1,MATCH(COLUMNS($AM$1006:BI1006),$AM$1006:$BM$1006,0)))),"Fix")))</f>
        <v xml:space="preserve"> </v>
      </c>
      <c r="Y966" s="4" t="str">
        <f ca="1">IF(OR(INDEX($AG$2:$AG$1001,MATCH(ROWS($AF$2:AF966),$AF$2:$AF$1001,0),1)&gt;=100000,INDEX($AM$1005:$BM$1005,1,MATCH(COLUMNS($AM$1006:BJ1006),$AM$1006:$BM$1006,0))&gt;=100000), " ",IF(INDEX($AM$2:$BM$1001,MATCH(ROWS($AF$2:AF966),$AF$2:$AF$1001,0),MATCH(COLUMNS($AM$1006:BJ1006),$AM$1006:$BM$1006,0)), HYPERLINK("#",""), HYPERLINK(CONCATENATE("#metadata!", ADDRESS(INDEX($AH$2:$AH$1001,MATCH(ROWS($AF$2:AF966),$AF$2:$AF$1001,0),0), INDEX($AM$1004:$BM$1004,1,MATCH(COLUMNS($AM$1006:BJ1006),$AM$1006:$BM$1006,0)))),"Fix")))</f>
        <v xml:space="preserve"> </v>
      </c>
      <c r="Z966" s="4" t="str">
        <f ca="1">IF(OR(INDEX($AG$2:$AG$1001,MATCH(ROWS($AF$2:AF966),$AF$2:$AF$1001,0),1)&gt;=100000,INDEX($AM$1005:$BM$1005,1,MATCH(COLUMNS($AM$1006:BK1006),$AM$1006:$BM$1006,0))&gt;=100000), " ",IF(INDEX($AM$2:$BM$1001,MATCH(ROWS($AF$2:AF966),$AF$2:$AF$1001,0),MATCH(COLUMNS($AM$1006:BK1006),$AM$1006:$BM$1006,0)), HYPERLINK("#",""), HYPERLINK(CONCATENATE("#metadata!", ADDRESS(INDEX($AH$2:$AH$1001,MATCH(ROWS($AF$2:AF966),$AF$2:$AF$1001,0),0), INDEX($AM$1004:$BM$1004,1,MATCH(COLUMNS($AM$1006:BK1006),$AM$1006:$BM$1006,0)))),"Fix")))</f>
        <v xml:space="preserve"> </v>
      </c>
      <c r="AA966" s="4" t="str">
        <f ca="1">IF(OR(INDEX($AG$2:$AG$1001,MATCH(ROWS($AF$2:AF966),$AF$2:$AF$1001,0),1)&gt;=100000,INDEX($AM$1005:$BM$1005,1,MATCH(COLUMNS($AM$1006:BL1006),$AM$1006:$BM$1006,0))&gt;=100000), " ",IF(INDEX($AM$2:$BM$1001,MATCH(ROWS($AF$2:AF966),$AF$2:$AF$1001,0),MATCH(COLUMNS($AM$1006:BL1006),$AM$1006:$BM$1006,0)), HYPERLINK("#",""), HYPERLINK(CONCATENATE("#metadata!", ADDRESS(INDEX($AH$2:$AH$1001,MATCH(ROWS($AF$2:AF966),$AF$2:$AF$1001,0),0), INDEX($AM$1004:$BM$1004,1,MATCH(COLUMNS($AM$1006:BL1006),$AM$1006:$BM$1006,0)))),"Fix")))</f>
        <v xml:space="preserve"> </v>
      </c>
      <c r="AB966" s="4" t="str">
        <f ca="1">IF(OR(INDEX($AG$2:$AG$1001,MATCH(ROWS($AF$2:AF966),$AF$2:$AF$1001,0),1)&gt;=100000,INDEX($AM$1005:$BM$1005,1,MATCH(COLUMNS($AM$1006:BM1006),$AM$1006:$BM$1006,0))&gt;=100000), " ",IF(INDEX($AM$2:$BM$1001,MATCH(ROWS($AF$2:AF966),$AF$2:$AF$1001,0),MATCH(COLUMNS($AM$1006:BM1006),$AM$1006:$BM$1006,0)), HYPERLINK("#",""), HYPERLINK(CONCATENATE("#metadata!", ADDRESS(INDEX($AH$2:$AH$1001,MATCH(ROWS($AF$2:AF966),$AF$2:$AF$1001,0),0), INDEX($AM$1004:$BM$1004,1,MATCH(COLUMNS($AM$1006:BM1006),$AM$1006:$BM$1006,0)))),"Fix")))</f>
        <v xml:space="preserve"> </v>
      </c>
      <c r="AF966">
        <v>965</v>
      </c>
      <c r="AG966">
        <v>100966</v>
      </c>
      <c r="AH966">
        <v>966</v>
      </c>
      <c r="AI966" t="b">
        <f t="shared" si="15"/>
        <v>1</v>
      </c>
      <c r="AJ966" t="b">
        <f>COUNTBLANK(metadata!B966:AB966)=COLUMNS(metadata!B966:AB966)</f>
        <v>1</v>
      </c>
      <c r="AK966" t="str">
        <v/>
      </c>
      <c r="AM966" t="b">
        <f ca="1">AND(IF(metadata!B966="",FALSE,TRUE),COUNTIF(metadata!B:B, metadata!B966) = 1,NOT(ISERROR(SUMPRODUCT(SEARCH(MID(metadata!B966,ROW(INDIRECT("1:"&amp;LEN(metadata!B966))), 1),"0123456789abcdefghijklmnopqrstuvwxyzABCDEFGHIJKLMNOPQRSTUVWXYZ.")))))</f>
        <v>0</v>
      </c>
      <c r="AN966" t="b">
        <f ca="1">OR(AND(IF(metadata!C966="",FALSE,TRUE),OR(EXACT(metadata!C966,"missing: not collected"),EXACT(metadata!C966,"missing: not provided"),EXACT(metadata!C966,"missing: restricted access"))),AND(IF(metadata!C966="",FALSE,TRUE),AND(AND(IFERROR(INT(LEFT(metadata!C966,4))&gt;1900,FALSE),IFERROR(INT(LEFT(metadata!C966,4))&lt;=YEAR(NOW()),FALSE)), OR(MID(metadata!C966,5,1)="", AND(AND(MID(metadata!C966,5,1)="-",IFERROR(INT(MID(metadata!C966,6,1))&gt;=0,FALSE),IFERROR(INT(MID(metadata!C966,6,1))&lt;=1,FALSE),NOT(MID(metadata!C966,7,1)=""),IFERROR(INT(MID(metadata!C966,6,2))&gt;=1,FALSE),IFERROR(INT(MID(metadata!C966,6,2))&lt;=12,FALSE)), OR(MID(metadata!C966,8,1)="", AND(AND(MID(metadata!C966,8,1)="-",IFERROR(INT(MID(metadata!C966,9,1))&gt;=0,FALSE),IFERROR(INT(MID(metadata!C966,9,1))&lt;=3,FALSE),NOT(MID(metadata!C966,10,1)=""),IFERROR(INT(MID(metadata!C966,9,2))&gt;=1,FALSE),IFERROR(INT(MID(metadata!C966,9,2))&lt;=31,FALSE)), OR(MID(metadata!C966,11,1)="", AND(AND(MID(metadata!C966,11,1)=" ",IFERROR(INT(MID(metadata!C966,12,1))&gt;=0,FALSE),IFERROR(INT(MID(metadata!C966,12,1))&lt;=2,FALSE),NOT(MID(metadata!C966,13,1)=""),IFERROR(INT(MID(metadata!C966,12,2))&gt;=0,FALSE),IFERROR(INT(MID(metadata!C966,12,2))&lt;=23,FALSE)), OR(MID(metadata!C966,14,1)="", AND(AND(MID(metadata!C966,14,1)=":",IFERROR(INT(MID(metadata!C966,15,1))&gt;=0,FALSE),IFERROR(INT(MID(metadata!C966,15,1))&lt;=5,FALSE),NOT(MID(metadata!C966,16,1)=""),IFERROR(INT(MID(metadata!C966,15,2))&gt;=0,FALSE),IFERROR(INT(MID(metadata!C966,15,2))&lt;=59,FALSE)), OR(MID(metadata!C966,17,1)="", AND(AND(MID(metadata!C966,17,1)=":",IFERROR(INT(MID(metadata!C966,18,1))&gt;=0,FALSE),IFERROR(INT(MID(metadata!C966,18,1))&lt;=5,FALSE),NOT(MID(metadata!C966,19,1)=""),IFERROR(INT(MID(metadata!C966,18,2))&gt;=0,FALSE),IFERROR(INT(MID(metadata!C966,18,2))&lt;=59,FALSE)), LEN(metadata!C966)&lt;=19)))))))))))))</f>
        <v>0</v>
      </c>
      <c r="AO966" t="b">
        <f>AND(IF(metadata!D966="",FALSE,TRUE),EXACT(metadata!D966,"Not applicable"))</f>
        <v>0</v>
      </c>
      <c r="AP966" t="b">
        <f>IF(metadata!E966="",FALSE,TRUE)</f>
        <v>0</v>
      </c>
      <c r="AQ966" t="b">
        <f>OR(AND(IF(metadata!F966="",FALSE,TRUE),OR(EXACT(metadata!F966,"missing: not collected"),EXACT(metadata!F966,"missing: not provided"))),AND(IF(metadata!F966="",FALSE,TRUE),OR(EXACT(metadata!F966,"TRUE"),EXACT(metadata!F966,"FALSE"))))</f>
        <v>0</v>
      </c>
      <c r="AR966" t="b">
        <f>OR(AND(IF(metadata!G966="",FALSE,TRUE),OR(EXACT(metadata!G966,"missing: not collected"),EXACT(metadata!G966,"missing: not provided"),EXACT(metadata!G966,"missing: restricted access"))),AND(IF(metadata!G966="",FALSE,ISNUMBER(VALUE(metadata!G966))),metadata!G966&gt;=-413))</f>
        <v>0</v>
      </c>
      <c r="AS966" t="b">
        <f>AND(IF(metadata!H966="",FALSE,TRUE),EXACT(metadata!H966,"meters"))</f>
        <v>0</v>
      </c>
      <c r="AT966" t="b">
        <f>AND(IF(metadata!I966="",FALSE,TRUE),OR(EXACT(metadata!I966,"Host-associated"),EXACT(metadata!I966,"Free-living")))</f>
        <v>0</v>
      </c>
      <c r="AU966" t="b">
        <f>AND(IF(metadata!J966="",FALSE,TRUE),OR(EXACT(metadata!J966,"Animal"),EXACT(metadata!J966,"Fungus"),EXACT(metadata!J966,"Plant"),EXACT(metadata!J966,"Saline"),EXACT(metadata!J966,"Non-saline")))</f>
        <v>0</v>
      </c>
      <c r="AV966" t="b">
        <f>AND(IF(metadata!K966="",FALSE,TRUE),OR(EXACT(metadata!K966,"Plant secretion"),EXACT(metadata!K966,"Plant rhizosphere"),EXACT(metadata!K966,"Plant surface"),EXACT(metadata!K966,"Plant corpus"),EXACT(metadata!K966,"Fungus surface"),EXACT(metadata!K966,"Fungus corpus"),EXACT(metadata!K966,"Animal surface"),EXACT(metadata!K966,"Animal proximal gut"),EXACT(metadata!K966,"Animal corpus"),EXACT(metadata!K966,"Animal distal gut"),EXACT(metadata!K966,"Animal secretion"),EXACT(metadata!K966,"Sub-surface (non-saline)"),EXACT(metadata!K966,"Surface (non-saline)"),EXACT(metadata!K966,"Water (non-saline)"),EXACT(metadata!K966,"Soil (non-saline)"),EXACT(metadata!K966,"Aerosol (non-saline)"),EXACT(metadata!K966,"Sediment (non-saline)"),EXACT(metadata!K966,"Surface (saline)"),EXACT(metadata!K966,"Water (saline)"),EXACT(metadata!K966,"Hypersaline (saline)"),EXACT(metadata!K966,"Aerosol (saline)"),EXACT(metadata!K966,"Sediment (saline)")))</f>
        <v>0</v>
      </c>
      <c r="AW966" t="b">
        <f>IF(metadata!L966="",FALSE,TRUE)</f>
        <v>0</v>
      </c>
      <c r="AX966" t="b">
        <f>IF(metadata!M966="",FALSE,TRUE)</f>
        <v>0</v>
      </c>
      <c r="AY966" t="b">
        <f>IF(metadata!N966="",FALSE,TRUE)</f>
        <v>0</v>
      </c>
      <c r="AZ966" t="b">
        <f>OR(AND(IF(metadata!O966="",FALSE,TRUE),OR(EXACT(metadata!O966,"missing: not collected"),EXACT(metadata!O966,"missing: not provided"),EXACT(metadata!O966,"missing: restricted access"))),AND(IF(metadata!O966="",FALSE,TRUE),OR(EXACT(metadata!O966,"air"),EXACT(metadata!O966,"built environment"),EXACT(metadata!O966,"host-associated"),EXACT(metadata!O966,"human-associated"),EXACT(metadata!O966,"human-skin"),EXACT(metadata!O966,"human-oral"),EXACT(metadata!O966,"human-gut"),EXACT(metadata!O966,"human-vaginal"),EXACT(metadata!O966,"microbial mat/biofilm"),EXACT(metadata!O966,"misc environment"),EXACT(metadata!O966,"plant-associated"),EXACT(metadata!O966,"sediment"),EXACT(metadata!O966,"soil"),EXACT(metadata!O966,"wastewater/sludge"),EXACT(metadata!O966,"water"))))</f>
        <v>0</v>
      </c>
      <c r="BA966" t="b">
        <f>IF(metadata!P966="",FALSE,TRUE)</f>
        <v>0</v>
      </c>
      <c r="BB966" t="b">
        <f>IF(metadata!Q966="",FALSE,TRUE)</f>
        <v>0</v>
      </c>
      <c r="BC966" t="b">
        <f>OR(AND(IF(metadata!R966="",FALSE,TRUE),OR(EXACT(metadata!R966,"missing: not collected"),EXACT(metadata!R966,"missing: not provided"),EXACT(metadata!R966,"missing: restricted access"))),AND(IF(metadata!R966="",FALSE,ISNUMBER(VALUE(metadata!R966))),metadata!R966&gt;=-90,metadata!R966&lt;=90))</f>
        <v>0</v>
      </c>
      <c r="BD966" t="b">
        <f>AND(IF(metadata!S966="",FALSE,TRUE),EXACT(metadata!S966,"Decimal degrees"))</f>
        <v>0</v>
      </c>
      <c r="BE966" t="b">
        <f>OR(AND(IF(metadata!T966="",FALSE,TRUE),OR(EXACT(metadata!T966,"missing: not collected"),EXACT(metadata!T966,"missing: not provided"),EXACT(metadata!T966,"missing: restricted access"))),AND(IF(metadata!T966="",FALSE,ISNUMBER(VALUE(metadata!T966))),metadata!T966&gt;=-180,metadata!T966&lt;=180))</f>
        <v>0</v>
      </c>
      <c r="BF966" t="b">
        <f>AND(IF(metadata!U966="",FALSE,TRUE),EXACT(metadata!U966,"Decimal degrees"))</f>
        <v>0</v>
      </c>
      <c r="BG966" t="b">
        <f>IF(metadata!V966="",FALSE,TRUE)</f>
        <v>0</v>
      </c>
      <c r="BH966" t="b">
        <f>OR(AND(IF(metadata!W966="",FALSE,TRUE),OR(EXACT(metadata!W966,"missing: not collected"),EXACT(metadata!W966,"missing: not provided"),EXACT(metadata!W966,"missing: restricted access"))),AND(IF(metadata!W966="",FALSE,TRUE),OR(EXACT(metadata!W966,"TRUE"),EXACT(metadata!W966,"FALSE"))))</f>
        <v>0</v>
      </c>
      <c r="BI966" t="b">
        <f>AND(IF(metadata!X966="",FALSE,TRUE),EXACT(metadata!X966,"other"))</f>
        <v>0</v>
      </c>
      <c r="BJ966" t="b">
        <f>IF(metadata!Y966="",FALSE,TRUE)</f>
        <v>0</v>
      </c>
      <c r="BK966" t="b">
        <f>OR(AND(IF(metadata!Z966="",FALSE,TRUE),OR(EXACT(metadata!Z966,"missing: not collected"),EXACT(metadata!Z966,"missing: not provided"))),AND(IF(metadata!Z966="",FALSE,IF(ISERROR(INT(metadata!Z966)),FALSE,INT(metadata!Z966)=metadata!Z966)),metadata!Z966&gt;0))</f>
        <v>0</v>
      </c>
      <c r="BL966" t="b">
        <f>AND(IF(metadata!AA966="",FALSE,TRUE),EXACT(metadata!AA966,"Not applicable"))</f>
        <v>0</v>
      </c>
      <c r="BM966" t="b">
        <f>IF(metadata!AB966="",FALSE,TRUE)</f>
        <v>0</v>
      </c>
    </row>
    <row r="967" spans="1:65" x14ac:dyDescent="0.2">
      <c r="A967" s="5" t="str">
        <f ca="1">IF(B967=" "," ",HYPERLINK(CONCATENATE("#metadata!",ADDRESS(INDEX($AH$2:$AH$1001,MATCH(ROWS($AF$2:AF967),$AF$2:$AF$1001,0),0),1)),INDEX($AK$2:$AK$1001,MATCH(ROWS($AF$2:AF967),$AF$2:$AF$1001,0),0)))</f>
        <v xml:space="preserve"> </v>
      </c>
      <c r="B967" s="4" t="str">
        <f ca="1">IF(OR(INDEX($AG$2:$AG$1001,MATCH(ROWS($AF$2:AF967),$AF$2:$AF$1001,0),1)&gt;=100000,INDEX($AM$1005:$BM$1005,1,MATCH(COLUMNS($AM$1006:AM1006),$AM$1006:$BM$1006,0))&gt;=100000), " ",IF(INDEX($AM$2:$BM$1001,MATCH(ROWS($AF$2:AF967),$AF$2:$AF$1001,0),MATCH(COLUMNS($AM$1006:AM1006),$AM$1006:$BM$1006,0)), HYPERLINK("#",""), HYPERLINK(CONCATENATE("#metadata!", ADDRESS(INDEX($AH$2:$AH$1001,MATCH(ROWS($AF$2:AF967),$AF$2:$AF$1001,0),0), INDEX($AM$1004:$BM$1004,1,MATCH(COLUMNS($AM$1006:AM1006),$AM$1006:$BM$1006,0)))),"Fix")))</f>
        <v xml:space="preserve"> </v>
      </c>
      <c r="C967" s="4" t="str">
        <f ca="1">IF(OR(INDEX($AG$2:$AG$1001,MATCH(ROWS($AF$2:AF967),$AF$2:$AF$1001,0),1)&gt;=100000,INDEX($AM$1005:$BM$1005,1,MATCH(COLUMNS($AM$1006:AN1006),$AM$1006:$BM$1006,0))&gt;=100000), " ",IF(INDEX($AM$2:$BM$1001,MATCH(ROWS($AF$2:AF967),$AF$2:$AF$1001,0),MATCH(COLUMNS($AM$1006:AN1006),$AM$1006:$BM$1006,0)), HYPERLINK("#",""), HYPERLINK(CONCATENATE("#metadata!", ADDRESS(INDEX($AH$2:$AH$1001,MATCH(ROWS($AF$2:AF967),$AF$2:$AF$1001,0),0), INDEX($AM$1004:$BM$1004,1,MATCH(COLUMNS($AM$1006:AN1006),$AM$1006:$BM$1006,0)))),"Fix")))</f>
        <v xml:space="preserve"> </v>
      </c>
      <c r="D967" s="4" t="str">
        <f ca="1">IF(OR(INDEX($AG$2:$AG$1001,MATCH(ROWS($AF$2:AF967),$AF$2:$AF$1001,0),1)&gt;=100000,INDEX($AM$1005:$BM$1005,1,MATCH(COLUMNS($AM$1006:AO1006),$AM$1006:$BM$1006,0))&gt;=100000), " ",IF(INDEX($AM$2:$BM$1001,MATCH(ROWS($AF$2:AF967),$AF$2:$AF$1001,0),MATCH(COLUMNS($AM$1006:AO1006),$AM$1006:$BM$1006,0)), HYPERLINK("#",""), HYPERLINK(CONCATENATE("#metadata!", ADDRESS(INDEX($AH$2:$AH$1001,MATCH(ROWS($AF$2:AF967),$AF$2:$AF$1001,0),0), INDEX($AM$1004:$BM$1004,1,MATCH(COLUMNS($AM$1006:AO1006),$AM$1006:$BM$1006,0)))),"Fix")))</f>
        <v xml:space="preserve"> </v>
      </c>
      <c r="E967" s="4" t="str">
        <f ca="1">IF(OR(INDEX($AG$2:$AG$1001,MATCH(ROWS($AF$2:AF967),$AF$2:$AF$1001,0),1)&gt;=100000,INDEX($AM$1005:$BM$1005,1,MATCH(COLUMNS($AM$1006:AP1006),$AM$1006:$BM$1006,0))&gt;=100000), " ",IF(INDEX($AM$2:$BM$1001,MATCH(ROWS($AF$2:AF967),$AF$2:$AF$1001,0),MATCH(COLUMNS($AM$1006:AP1006),$AM$1006:$BM$1006,0)), HYPERLINK("#",""), HYPERLINK(CONCATENATE("#metadata!", ADDRESS(INDEX($AH$2:$AH$1001,MATCH(ROWS($AF$2:AF967),$AF$2:$AF$1001,0),0), INDEX($AM$1004:$BM$1004,1,MATCH(COLUMNS($AM$1006:AP1006),$AM$1006:$BM$1006,0)))),"Fix")))</f>
        <v xml:space="preserve"> </v>
      </c>
      <c r="F967" s="4" t="str">
        <f ca="1">IF(OR(INDEX($AG$2:$AG$1001,MATCH(ROWS($AF$2:AF967),$AF$2:$AF$1001,0),1)&gt;=100000,INDEX($AM$1005:$BM$1005,1,MATCH(COLUMNS($AM$1006:AQ1006),$AM$1006:$BM$1006,0))&gt;=100000), " ",IF(INDEX($AM$2:$BM$1001,MATCH(ROWS($AF$2:AF967),$AF$2:$AF$1001,0),MATCH(COLUMNS($AM$1006:AQ1006),$AM$1006:$BM$1006,0)), HYPERLINK("#",""), HYPERLINK(CONCATENATE("#metadata!", ADDRESS(INDEX($AH$2:$AH$1001,MATCH(ROWS($AF$2:AF967),$AF$2:$AF$1001,0),0), INDEX($AM$1004:$BM$1004,1,MATCH(COLUMNS($AM$1006:AQ1006),$AM$1006:$BM$1006,0)))),"Fix")))</f>
        <v xml:space="preserve"> </v>
      </c>
      <c r="G967" s="4" t="str">
        <f ca="1">IF(OR(INDEX($AG$2:$AG$1001,MATCH(ROWS($AF$2:AF967),$AF$2:$AF$1001,0),1)&gt;=100000,INDEX($AM$1005:$BM$1005,1,MATCH(COLUMNS($AM$1006:AR1006),$AM$1006:$BM$1006,0))&gt;=100000), " ",IF(INDEX($AM$2:$BM$1001,MATCH(ROWS($AF$2:AF967),$AF$2:$AF$1001,0),MATCH(COLUMNS($AM$1006:AR1006),$AM$1006:$BM$1006,0)), HYPERLINK("#",""), HYPERLINK(CONCATENATE("#metadata!", ADDRESS(INDEX($AH$2:$AH$1001,MATCH(ROWS($AF$2:AF967),$AF$2:$AF$1001,0),0), INDEX($AM$1004:$BM$1004,1,MATCH(COLUMNS($AM$1006:AR1006),$AM$1006:$BM$1006,0)))),"Fix")))</f>
        <v xml:space="preserve"> </v>
      </c>
      <c r="H967" s="4" t="str">
        <f ca="1">IF(OR(INDEX($AG$2:$AG$1001,MATCH(ROWS($AF$2:AF967),$AF$2:$AF$1001,0),1)&gt;=100000,INDEX($AM$1005:$BM$1005,1,MATCH(COLUMNS($AM$1006:AS1006),$AM$1006:$BM$1006,0))&gt;=100000), " ",IF(INDEX($AM$2:$BM$1001,MATCH(ROWS($AF$2:AF967),$AF$2:$AF$1001,0),MATCH(COLUMNS($AM$1006:AS1006),$AM$1006:$BM$1006,0)), HYPERLINK("#",""), HYPERLINK(CONCATENATE("#metadata!", ADDRESS(INDEX($AH$2:$AH$1001,MATCH(ROWS($AF$2:AF967),$AF$2:$AF$1001,0),0), INDEX($AM$1004:$BM$1004,1,MATCH(COLUMNS($AM$1006:AS1006),$AM$1006:$BM$1006,0)))),"Fix")))</f>
        <v xml:space="preserve"> </v>
      </c>
      <c r="I967" s="4" t="str">
        <f ca="1">IF(OR(INDEX($AG$2:$AG$1001,MATCH(ROWS($AF$2:AF967),$AF$2:$AF$1001,0),1)&gt;=100000,INDEX($AM$1005:$BM$1005,1,MATCH(COLUMNS($AM$1006:AT1006),$AM$1006:$BM$1006,0))&gt;=100000), " ",IF(INDEX($AM$2:$BM$1001,MATCH(ROWS($AF$2:AF967),$AF$2:$AF$1001,0),MATCH(COLUMNS($AM$1006:AT1006),$AM$1006:$BM$1006,0)), HYPERLINK("#",""), HYPERLINK(CONCATENATE("#metadata!", ADDRESS(INDEX($AH$2:$AH$1001,MATCH(ROWS($AF$2:AF967),$AF$2:$AF$1001,0),0), INDEX($AM$1004:$BM$1004,1,MATCH(COLUMNS($AM$1006:AT1006),$AM$1006:$BM$1006,0)))),"Fix")))</f>
        <v xml:space="preserve"> </v>
      </c>
      <c r="J967" s="4" t="str">
        <f ca="1">IF(OR(INDEX($AG$2:$AG$1001,MATCH(ROWS($AF$2:AF967),$AF$2:$AF$1001,0),1)&gt;=100000,INDEX($AM$1005:$BM$1005,1,MATCH(COLUMNS($AM$1006:AU1006),$AM$1006:$BM$1006,0))&gt;=100000), " ",IF(INDEX($AM$2:$BM$1001,MATCH(ROWS($AF$2:AF967),$AF$2:$AF$1001,0),MATCH(COLUMNS($AM$1006:AU1006),$AM$1006:$BM$1006,0)), HYPERLINK("#",""), HYPERLINK(CONCATENATE("#metadata!", ADDRESS(INDEX($AH$2:$AH$1001,MATCH(ROWS($AF$2:AF967),$AF$2:$AF$1001,0),0), INDEX($AM$1004:$BM$1004,1,MATCH(COLUMNS($AM$1006:AU1006),$AM$1006:$BM$1006,0)))),"Fix")))</f>
        <v xml:space="preserve"> </v>
      </c>
      <c r="K967" s="4" t="str">
        <f ca="1">IF(OR(INDEX($AG$2:$AG$1001,MATCH(ROWS($AF$2:AF967),$AF$2:$AF$1001,0),1)&gt;=100000,INDEX($AM$1005:$BM$1005,1,MATCH(COLUMNS($AM$1006:AV1006),$AM$1006:$BM$1006,0))&gt;=100000), " ",IF(INDEX($AM$2:$BM$1001,MATCH(ROWS($AF$2:AF967),$AF$2:$AF$1001,0),MATCH(COLUMNS($AM$1006:AV1006),$AM$1006:$BM$1006,0)), HYPERLINK("#",""), HYPERLINK(CONCATENATE("#metadata!", ADDRESS(INDEX($AH$2:$AH$1001,MATCH(ROWS($AF$2:AF967),$AF$2:$AF$1001,0),0), INDEX($AM$1004:$BM$1004,1,MATCH(COLUMNS($AM$1006:AV1006),$AM$1006:$BM$1006,0)))),"Fix")))</f>
        <v xml:space="preserve"> </v>
      </c>
      <c r="L967" s="4" t="str">
        <f ca="1">IF(OR(INDEX($AG$2:$AG$1001,MATCH(ROWS($AF$2:AF967),$AF$2:$AF$1001,0),1)&gt;=100000,INDEX($AM$1005:$BM$1005,1,MATCH(COLUMNS($AM$1006:AW1006),$AM$1006:$BM$1006,0))&gt;=100000), " ",IF(INDEX($AM$2:$BM$1001,MATCH(ROWS($AF$2:AF967),$AF$2:$AF$1001,0),MATCH(COLUMNS($AM$1006:AW1006),$AM$1006:$BM$1006,0)), HYPERLINK("#",""), HYPERLINK(CONCATENATE("#metadata!", ADDRESS(INDEX($AH$2:$AH$1001,MATCH(ROWS($AF$2:AF967),$AF$2:$AF$1001,0),0), INDEX($AM$1004:$BM$1004,1,MATCH(COLUMNS($AM$1006:AW1006),$AM$1006:$BM$1006,0)))),"Fix")))</f>
        <v xml:space="preserve"> </v>
      </c>
      <c r="M967" s="4" t="str">
        <f ca="1">IF(OR(INDEX($AG$2:$AG$1001,MATCH(ROWS($AF$2:AF967),$AF$2:$AF$1001,0),1)&gt;=100000,INDEX($AM$1005:$BM$1005,1,MATCH(COLUMNS($AM$1006:AX1006),$AM$1006:$BM$1006,0))&gt;=100000), " ",IF(INDEX($AM$2:$BM$1001,MATCH(ROWS($AF$2:AF967),$AF$2:$AF$1001,0),MATCH(COLUMNS($AM$1006:AX1006),$AM$1006:$BM$1006,0)), HYPERLINK("#",""), HYPERLINK(CONCATENATE("#metadata!", ADDRESS(INDEX($AH$2:$AH$1001,MATCH(ROWS($AF$2:AF967),$AF$2:$AF$1001,0),0), INDEX($AM$1004:$BM$1004,1,MATCH(COLUMNS($AM$1006:AX1006),$AM$1006:$BM$1006,0)))),"Fix")))</f>
        <v xml:space="preserve"> </v>
      </c>
      <c r="N967" s="4" t="str">
        <f ca="1">IF(OR(INDEX($AG$2:$AG$1001,MATCH(ROWS($AF$2:AF967),$AF$2:$AF$1001,0),1)&gt;=100000,INDEX($AM$1005:$BM$1005,1,MATCH(COLUMNS($AM$1006:AY1006),$AM$1006:$BM$1006,0))&gt;=100000), " ",IF(INDEX($AM$2:$BM$1001,MATCH(ROWS($AF$2:AF967),$AF$2:$AF$1001,0),MATCH(COLUMNS($AM$1006:AY1006),$AM$1006:$BM$1006,0)), HYPERLINK("#",""), HYPERLINK(CONCATENATE("#metadata!", ADDRESS(INDEX($AH$2:$AH$1001,MATCH(ROWS($AF$2:AF967),$AF$2:$AF$1001,0),0), INDEX($AM$1004:$BM$1004,1,MATCH(COLUMNS($AM$1006:AY1006),$AM$1006:$BM$1006,0)))),"Fix")))</f>
        <v xml:space="preserve"> </v>
      </c>
      <c r="O967" s="4" t="str">
        <f ca="1">IF(OR(INDEX($AG$2:$AG$1001,MATCH(ROWS($AF$2:AF967),$AF$2:$AF$1001,0),1)&gt;=100000,INDEX($AM$1005:$BM$1005,1,MATCH(COLUMNS($AM$1006:AZ1006),$AM$1006:$BM$1006,0))&gt;=100000), " ",IF(INDEX($AM$2:$BM$1001,MATCH(ROWS($AF$2:AF967),$AF$2:$AF$1001,0),MATCH(COLUMNS($AM$1006:AZ1006),$AM$1006:$BM$1006,0)), HYPERLINK("#",""), HYPERLINK(CONCATENATE("#metadata!", ADDRESS(INDEX($AH$2:$AH$1001,MATCH(ROWS($AF$2:AF967),$AF$2:$AF$1001,0),0), INDEX($AM$1004:$BM$1004,1,MATCH(COLUMNS($AM$1006:AZ1006),$AM$1006:$BM$1006,0)))),"Fix")))</f>
        <v xml:space="preserve"> </v>
      </c>
      <c r="P967" s="4" t="str">
        <f ca="1">IF(OR(INDEX($AG$2:$AG$1001,MATCH(ROWS($AF$2:AF967),$AF$2:$AF$1001,0),1)&gt;=100000,INDEX($AM$1005:$BM$1005,1,MATCH(COLUMNS($AM$1006:BA1006),$AM$1006:$BM$1006,0))&gt;=100000), " ",IF(INDEX($AM$2:$BM$1001,MATCH(ROWS($AF$2:AF967),$AF$2:$AF$1001,0),MATCH(COLUMNS($AM$1006:BA1006),$AM$1006:$BM$1006,0)), HYPERLINK("#",""), HYPERLINK(CONCATENATE("#metadata!", ADDRESS(INDEX($AH$2:$AH$1001,MATCH(ROWS($AF$2:AF967),$AF$2:$AF$1001,0),0), INDEX($AM$1004:$BM$1004,1,MATCH(COLUMNS($AM$1006:BA1006),$AM$1006:$BM$1006,0)))),"Fix")))</f>
        <v xml:space="preserve"> </v>
      </c>
      <c r="Q967" s="4" t="str">
        <f ca="1">IF(OR(INDEX($AG$2:$AG$1001,MATCH(ROWS($AF$2:AF967),$AF$2:$AF$1001,0),1)&gt;=100000,INDEX($AM$1005:$BM$1005,1,MATCH(COLUMNS($AM$1006:BB1006),$AM$1006:$BM$1006,0))&gt;=100000), " ",IF(INDEX($AM$2:$BM$1001,MATCH(ROWS($AF$2:AF967),$AF$2:$AF$1001,0),MATCH(COLUMNS($AM$1006:BB1006),$AM$1006:$BM$1006,0)), HYPERLINK("#",""), HYPERLINK(CONCATENATE("#metadata!", ADDRESS(INDEX($AH$2:$AH$1001,MATCH(ROWS($AF$2:AF967),$AF$2:$AF$1001,0),0), INDEX($AM$1004:$BM$1004,1,MATCH(COLUMNS($AM$1006:BB1006),$AM$1006:$BM$1006,0)))),"Fix")))</f>
        <v xml:space="preserve"> </v>
      </c>
      <c r="R967" s="4" t="str">
        <f ca="1">IF(OR(INDEX($AG$2:$AG$1001,MATCH(ROWS($AF$2:AF967),$AF$2:$AF$1001,0),1)&gt;=100000,INDEX($AM$1005:$BM$1005,1,MATCH(COLUMNS($AM$1006:BC1006),$AM$1006:$BM$1006,0))&gt;=100000), " ",IF(INDEX($AM$2:$BM$1001,MATCH(ROWS($AF$2:AF967),$AF$2:$AF$1001,0),MATCH(COLUMNS($AM$1006:BC1006),$AM$1006:$BM$1006,0)), HYPERLINK("#",""), HYPERLINK(CONCATENATE("#metadata!", ADDRESS(INDEX($AH$2:$AH$1001,MATCH(ROWS($AF$2:AF967),$AF$2:$AF$1001,0),0), INDEX($AM$1004:$BM$1004,1,MATCH(COLUMNS($AM$1006:BC1006),$AM$1006:$BM$1006,0)))),"Fix")))</f>
        <v xml:space="preserve"> </v>
      </c>
      <c r="S967" s="4" t="str">
        <f ca="1">IF(OR(INDEX($AG$2:$AG$1001,MATCH(ROWS($AF$2:AF967),$AF$2:$AF$1001,0),1)&gt;=100000,INDEX($AM$1005:$BM$1005,1,MATCH(COLUMNS($AM$1006:BD1006),$AM$1006:$BM$1006,0))&gt;=100000), " ",IF(INDEX($AM$2:$BM$1001,MATCH(ROWS($AF$2:AF967),$AF$2:$AF$1001,0),MATCH(COLUMNS($AM$1006:BD1006),$AM$1006:$BM$1006,0)), HYPERLINK("#",""), HYPERLINK(CONCATENATE("#metadata!", ADDRESS(INDEX($AH$2:$AH$1001,MATCH(ROWS($AF$2:AF967),$AF$2:$AF$1001,0),0), INDEX($AM$1004:$BM$1004,1,MATCH(COLUMNS($AM$1006:BD1006),$AM$1006:$BM$1006,0)))),"Fix")))</f>
        <v xml:space="preserve"> </v>
      </c>
      <c r="T967" s="4" t="str">
        <f ca="1">IF(OR(INDEX($AG$2:$AG$1001,MATCH(ROWS($AF$2:AF967),$AF$2:$AF$1001,0),1)&gt;=100000,INDEX($AM$1005:$BM$1005,1,MATCH(COLUMNS($AM$1006:BE1006),$AM$1006:$BM$1006,0))&gt;=100000), " ",IF(INDEX($AM$2:$BM$1001,MATCH(ROWS($AF$2:AF967),$AF$2:$AF$1001,0),MATCH(COLUMNS($AM$1006:BE1006),$AM$1006:$BM$1006,0)), HYPERLINK("#",""), HYPERLINK(CONCATENATE("#metadata!", ADDRESS(INDEX($AH$2:$AH$1001,MATCH(ROWS($AF$2:AF967),$AF$2:$AF$1001,0),0), INDEX($AM$1004:$BM$1004,1,MATCH(COLUMNS($AM$1006:BE1006),$AM$1006:$BM$1006,0)))),"Fix")))</f>
        <v xml:space="preserve"> </v>
      </c>
      <c r="U967" s="4" t="str">
        <f ca="1">IF(OR(INDEX($AG$2:$AG$1001,MATCH(ROWS($AF$2:AF967),$AF$2:$AF$1001,0),1)&gt;=100000,INDEX($AM$1005:$BM$1005,1,MATCH(COLUMNS($AM$1006:BF1006),$AM$1006:$BM$1006,0))&gt;=100000), " ",IF(INDEX($AM$2:$BM$1001,MATCH(ROWS($AF$2:AF967),$AF$2:$AF$1001,0),MATCH(COLUMNS($AM$1006:BF1006),$AM$1006:$BM$1006,0)), HYPERLINK("#",""), HYPERLINK(CONCATENATE("#metadata!", ADDRESS(INDEX($AH$2:$AH$1001,MATCH(ROWS($AF$2:AF967),$AF$2:$AF$1001,0),0), INDEX($AM$1004:$BM$1004,1,MATCH(COLUMNS($AM$1006:BF1006),$AM$1006:$BM$1006,0)))),"Fix")))</f>
        <v xml:space="preserve"> </v>
      </c>
      <c r="V967" s="4" t="str">
        <f ca="1">IF(OR(INDEX($AG$2:$AG$1001,MATCH(ROWS($AF$2:AF967),$AF$2:$AF$1001,0),1)&gt;=100000,INDEX($AM$1005:$BM$1005,1,MATCH(COLUMNS($AM$1006:BG1006),$AM$1006:$BM$1006,0))&gt;=100000), " ",IF(INDEX($AM$2:$BM$1001,MATCH(ROWS($AF$2:AF967),$AF$2:$AF$1001,0),MATCH(COLUMNS($AM$1006:BG1006),$AM$1006:$BM$1006,0)), HYPERLINK("#",""), HYPERLINK(CONCATENATE("#metadata!", ADDRESS(INDEX($AH$2:$AH$1001,MATCH(ROWS($AF$2:AF967),$AF$2:$AF$1001,0),0), INDEX($AM$1004:$BM$1004,1,MATCH(COLUMNS($AM$1006:BG1006),$AM$1006:$BM$1006,0)))),"Fix")))</f>
        <v xml:space="preserve"> </v>
      </c>
      <c r="W967" s="4" t="str">
        <f ca="1">IF(OR(INDEX($AG$2:$AG$1001,MATCH(ROWS($AF$2:AF967),$AF$2:$AF$1001,0),1)&gt;=100000,INDEX($AM$1005:$BM$1005,1,MATCH(COLUMNS($AM$1006:BH1006),$AM$1006:$BM$1006,0))&gt;=100000), " ",IF(INDEX($AM$2:$BM$1001,MATCH(ROWS($AF$2:AF967),$AF$2:$AF$1001,0),MATCH(COLUMNS($AM$1006:BH1006),$AM$1006:$BM$1006,0)), HYPERLINK("#",""), HYPERLINK(CONCATENATE("#metadata!", ADDRESS(INDEX($AH$2:$AH$1001,MATCH(ROWS($AF$2:AF967),$AF$2:$AF$1001,0),0), INDEX($AM$1004:$BM$1004,1,MATCH(COLUMNS($AM$1006:BH1006),$AM$1006:$BM$1006,0)))),"Fix")))</f>
        <v xml:space="preserve"> </v>
      </c>
      <c r="X967" s="4" t="str">
        <f ca="1">IF(OR(INDEX($AG$2:$AG$1001,MATCH(ROWS($AF$2:AF967),$AF$2:$AF$1001,0),1)&gt;=100000,INDEX($AM$1005:$BM$1005,1,MATCH(COLUMNS($AM$1006:BI1006),$AM$1006:$BM$1006,0))&gt;=100000), " ",IF(INDEX($AM$2:$BM$1001,MATCH(ROWS($AF$2:AF967),$AF$2:$AF$1001,0),MATCH(COLUMNS($AM$1006:BI1006),$AM$1006:$BM$1006,0)), HYPERLINK("#",""), HYPERLINK(CONCATENATE("#metadata!", ADDRESS(INDEX($AH$2:$AH$1001,MATCH(ROWS($AF$2:AF967),$AF$2:$AF$1001,0),0), INDEX($AM$1004:$BM$1004,1,MATCH(COLUMNS($AM$1006:BI1006),$AM$1006:$BM$1006,0)))),"Fix")))</f>
        <v xml:space="preserve"> </v>
      </c>
      <c r="Y967" s="4" t="str">
        <f ca="1">IF(OR(INDEX($AG$2:$AG$1001,MATCH(ROWS($AF$2:AF967),$AF$2:$AF$1001,0),1)&gt;=100000,INDEX($AM$1005:$BM$1005,1,MATCH(COLUMNS($AM$1006:BJ1006),$AM$1006:$BM$1006,0))&gt;=100000), " ",IF(INDEX($AM$2:$BM$1001,MATCH(ROWS($AF$2:AF967),$AF$2:$AF$1001,0),MATCH(COLUMNS($AM$1006:BJ1006),$AM$1006:$BM$1006,0)), HYPERLINK("#",""), HYPERLINK(CONCATENATE("#metadata!", ADDRESS(INDEX($AH$2:$AH$1001,MATCH(ROWS($AF$2:AF967),$AF$2:$AF$1001,0),0), INDEX($AM$1004:$BM$1004,1,MATCH(COLUMNS($AM$1006:BJ1006),$AM$1006:$BM$1006,0)))),"Fix")))</f>
        <v xml:space="preserve"> </v>
      </c>
      <c r="Z967" s="4" t="str">
        <f ca="1">IF(OR(INDEX($AG$2:$AG$1001,MATCH(ROWS($AF$2:AF967),$AF$2:$AF$1001,0),1)&gt;=100000,INDEX($AM$1005:$BM$1005,1,MATCH(COLUMNS($AM$1006:BK1006),$AM$1006:$BM$1006,0))&gt;=100000), " ",IF(INDEX($AM$2:$BM$1001,MATCH(ROWS($AF$2:AF967),$AF$2:$AF$1001,0),MATCH(COLUMNS($AM$1006:BK1006),$AM$1006:$BM$1006,0)), HYPERLINK("#",""), HYPERLINK(CONCATENATE("#metadata!", ADDRESS(INDEX($AH$2:$AH$1001,MATCH(ROWS($AF$2:AF967),$AF$2:$AF$1001,0),0), INDEX($AM$1004:$BM$1004,1,MATCH(COLUMNS($AM$1006:BK1006),$AM$1006:$BM$1006,0)))),"Fix")))</f>
        <v xml:space="preserve"> </v>
      </c>
      <c r="AA967" s="4" t="str">
        <f ca="1">IF(OR(INDEX($AG$2:$AG$1001,MATCH(ROWS($AF$2:AF967),$AF$2:$AF$1001,0),1)&gt;=100000,INDEX($AM$1005:$BM$1005,1,MATCH(COLUMNS($AM$1006:BL1006),$AM$1006:$BM$1006,0))&gt;=100000), " ",IF(INDEX($AM$2:$BM$1001,MATCH(ROWS($AF$2:AF967),$AF$2:$AF$1001,0),MATCH(COLUMNS($AM$1006:BL1006),$AM$1006:$BM$1006,0)), HYPERLINK("#",""), HYPERLINK(CONCATENATE("#metadata!", ADDRESS(INDEX($AH$2:$AH$1001,MATCH(ROWS($AF$2:AF967),$AF$2:$AF$1001,0),0), INDEX($AM$1004:$BM$1004,1,MATCH(COLUMNS($AM$1006:BL1006),$AM$1006:$BM$1006,0)))),"Fix")))</f>
        <v xml:space="preserve"> </v>
      </c>
      <c r="AB967" s="4" t="str">
        <f ca="1">IF(OR(INDEX($AG$2:$AG$1001,MATCH(ROWS($AF$2:AF967),$AF$2:$AF$1001,0),1)&gt;=100000,INDEX($AM$1005:$BM$1005,1,MATCH(COLUMNS($AM$1006:BM1006),$AM$1006:$BM$1006,0))&gt;=100000), " ",IF(INDEX($AM$2:$BM$1001,MATCH(ROWS($AF$2:AF967),$AF$2:$AF$1001,0),MATCH(COLUMNS($AM$1006:BM1006),$AM$1006:$BM$1006,0)), HYPERLINK("#",""), HYPERLINK(CONCATENATE("#metadata!", ADDRESS(INDEX($AH$2:$AH$1001,MATCH(ROWS($AF$2:AF967),$AF$2:$AF$1001,0),0), INDEX($AM$1004:$BM$1004,1,MATCH(COLUMNS($AM$1006:BM1006),$AM$1006:$BM$1006,0)))),"Fix")))</f>
        <v xml:space="preserve"> </v>
      </c>
      <c r="AF967">
        <v>966</v>
      </c>
      <c r="AG967">
        <v>100967</v>
      </c>
      <c r="AH967">
        <v>967</v>
      </c>
      <c r="AI967" t="b">
        <f t="shared" si="15"/>
        <v>1</v>
      </c>
      <c r="AJ967" t="b">
        <f>COUNTBLANK(metadata!B967:AB967)=COLUMNS(metadata!B967:AB967)</f>
        <v>1</v>
      </c>
      <c r="AK967" t="str">
        <v/>
      </c>
      <c r="AM967" t="b">
        <f ca="1">AND(IF(metadata!B967="",FALSE,TRUE),COUNTIF(metadata!B:B, metadata!B967) = 1,NOT(ISERROR(SUMPRODUCT(SEARCH(MID(metadata!B967,ROW(INDIRECT("1:"&amp;LEN(metadata!B967))), 1),"0123456789abcdefghijklmnopqrstuvwxyzABCDEFGHIJKLMNOPQRSTUVWXYZ.")))))</f>
        <v>0</v>
      </c>
      <c r="AN967" t="b">
        <f ca="1">OR(AND(IF(metadata!C967="",FALSE,TRUE),OR(EXACT(metadata!C967,"missing: not collected"),EXACT(metadata!C967,"missing: not provided"),EXACT(metadata!C967,"missing: restricted access"))),AND(IF(metadata!C967="",FALSE,TRUE),AND(AND(IFERROR(INT(LEFT(metadata!C967,4))&gt;1900,FALSE),IFERROR(INT(LEFT(metadata!C967,4))&lt;=YEAR(NOW()),FALSE)), OR(MID(metadata!C967,5,1)="", AND(AND(MID(metadata!C967,5,1)="-",IFERROR(INT(MID(metadata!C967,6,1))&gt;=0,FALSE),IFERROR(INT(MID(metadata!C967,6,1))&lt;=1,FALSE),NOT(MID(metadata!C967,7,1)=""),IFERROR(INT(MID(metadata!C967,6,2))&gt;=1,FALSE),IFERROR(INT(MID(metadata!C967,6,2))&lt;=12,FALSE)), OR(MID(metadata!C967,8,1)="", AND(AND(MID(metadata!C967,8,1)="-",IFERROR(INT(MID(metadata!C967,9,1))&gt;=0,FALSE),IFERROR(INT(MID(metadata!C967,9,1))&lt;=3,FALSE),NOT(MID(metadata!C967,10,1)=""),IFERROR(INT(MID(metadata!C967,9,2))&gt;=1,FALSE),IFERROR(INT(MID(metadata!C967,9,2))&lt;=31,FALSE)), OR(MID(metadata!C967,11,1)="", AND(AND(MID(metadata!C967,11,1)=" ",IFERROR(INT(MID(metadata!C967,12,1))&gt;=0,FALSE),IFERROR(INT(MID(metadata!C967,12,1))&lt;=2,FALSE),NOT(MID(metadata!C967,13,1)=""),IFERROR(INT(MID(metadata!C967,12,2))&gt;=0,FALSE),IFERROR(INT(MID(metadata!C967,12,2))&lt;=23,FALSE)), OR(MID(metadata!C967,14,1)="", AND(AND(MID(metadata!C967,14,1)=":",IFERROR(INT(MID(metadata!C967,15,1))&gt;=0,FALSE),IFERROR(INT(MID(metadata!C967,15,1))&lt;=5,FALSE),NOT(MID(metadata!C967,16,1)=""),IFERROR(INT(MID(metadata!C967,15,2))&gt;=0,FALSE),IFERROR(INT(MID(metadata!C967,15,2))&lt;=59,FALSE)), OR(MID(metadata!C967,17,1)="", AND(AND(MID(metadata!C967,17,1)=":",IFERROR(INT(MID(metadata!C967,18,1))&gt;=0,FALSE),IFERROR(INT(MID(metadata!C967,18,1))&lt;=5,FALSE),NOT(MID(metadata!C967,19,1)=""),IFERROR(INT(MID(metadata!C967,18,2))&gt;=0,FALSE),IFERROR(INT(MID(metadata!C967,18,2))&lt;=59,FALSE)), LEN(metadata!C967)&lt;=19)))))))))))))</f>
        <v>0</v>
      </c>
      <c r="AO967" t="b">
        <f>AND(IF(metadata!D967="",FALSE,TRUE),EXACT(metadata!D967,"Not applicable"))</f>
        <v>0</v>
      </c>
      <c r="AP967" t="b">
        <f>IF(metadata!E967="",FALSE,TRUE)</f>
        <v>0</v>
      </c>
      <c r="AQ967" t="b">
        <f>OR(AND(IF(metadata!F967="",FALSE,TRUE),OR(EXACT(metadata!F967,"missing: not collected"),EXACT(metadata!F967,"missing: not provided"))),AND(IF(metadata!F967="",FALSE,TRUE),OR(EXACT(metadata!F967,"TRUE"),EXACT(metadata!F967,"FALSE"))))</f>
        <v>0</v>
      </c>
      <c r="AR967" t="b">
        <f>OR(AND(IF(metadata!G967="",FALSE,TRUE),OR(EXACT(metadata!G967,"missing: not collected"),EXACT(metadata!G967,"missing: not provided"),EXACT(metadata!G967,"missing: restricted access"))),AND(IF(metadata!G967="",FALSE,ISNUMBER(VALUE(metadata!G967))),metadata!G967&gt;=-413))</f>
        <v>0</v>
      </c>
      <c r="AS967" t="b">
        <f>AND(IF(metadata!H967="",FALSE,TRUE),EXACT(metadata!H967,"meters"))</f>
        <v>0</v>
      </c>
      <c r="AT967" t="b">
        <f>AND(IF(metadata!I967="",FALSE,TRUE),OR(EXACT(metadata!I967,"Host-associated"),EXACT(metadata!I967,"Free-living")))</f>
        <v>0</v>
      </c>
      <c r="AU967" t="b">
        <f>AND(IF(metadata!J967="",FALSE,TRUE),OR(EXACT(metadata!J967,"Animal"),EXACT(metadata!J967,"Fungus"),EXACT(metadata!J967,"Plant"),EXACT(metadata!J967,"Saline"),EXACT(metadata!J967,"Non-saline")))</f>
        <v>0</v>
      </c>
      <c r="AV967" t="b">
        <f>AND(IF(metadata!K967="",FALSE,TRUE),OR(EXACT(metadata!K967,"Plant secretion"),EXACT(metadata!K967,"Plant rhizosphere"),EXACT(metadata!K967,"Plant surface"),EXACT(metadata!K967,"Plant corpus"),EXACT(metadata!K967,"Fungus surface"),EXACT(metadata!K967,"Fungus corpus"),EXACT(metadata!K967,"Animal surface"),EXACT(metadata!K967,"Animal proximal gut"),EXACT(metadata!K967,"Animal corpus"),EXACT(metadata!K967,"Animal distal gut"),EXACT(metadata!K967,"Animal secretion"),EXACT(metadata!K967,"Sub-surface (non-saline)"),EXACT(metadata!K967,"Surface (non-saline)"),EXACT(metadata!K967,"Water (non-saline)"),EXACT(metadata!K967,"Soil (non-saline)"),EXACT(metadata!K967,"Aerosol (non-saline)"),EXACT(metadata!K967,"Sediment (non-saline)"),EXACT(metadata!K967,"Surface (saline)"),EXACT(metadata!K967,"Water (saline)"),EXACT(metadata!K967,"Hypersaline (saline)"),EXACT(metadata!K967,"Aerosol (saline)"),EXACT(metadata!K967,"Sediment (saline)")))</f>
        <v>0</v>
      </c>
      <c r="AW967" t="b">
        <f>IF(metadata!L967="",FALSE,TRUE)</f>
        <v>0</v>
      </c>
      <c r="AX967" t="b">
        <f>IF(metadata!M967="",FALSE,TRUE)</f>
        <v>0</v>
      </c>
      <c r="AY967" t="b">
        <f>IF(metadata!N967="",FALSE,TRUE)</f>
        <v>0</v>
      </c>
      <c r="AZ967" t="b">
        <f>OR(AND(IF(metadata!O967="",FALSE,TRUE),OR(EXACT(metadata!O967,"missing: not collected"),EXACT(metadata!O967,"missing: not provided"),EXACT(metadata!O967,"missing: restricted access"))),AND(IF(metadata!O967="",FALSE,TRUE),OR(EXACT(metadata!O967,"air"),EXACT(metadata!O967,"built environment"),EXACT(metadata!O967,"host-associated"),EXACT(metadata!O967,"human-associated"),EXACT(metadata!O967,"human-skin"),EXACT(metadata!O967,"human-oral"),EXACT(metadata!O967,"human-gut"),EXACT(metadata!O967,"human-vaginal"),EXACT(metadata!O967,"microbial mat/biofilm"),EXACT(metadata!O967,"misc environment"),EXACT(metadata!O967,"plant-associated"),EXACT(metadata!O967,"sediment"),EXACT(metadata!O967,"soil"),EXACT(metadata!O967,"wastewater/sludge"),EXACT(metadata!O967,"water"))))</f>
        <v>0</v>
      </c>
      <c r="BA967" t="b">
        <f>IF(metadata!P967="",FALSE,TRUE)</f>
        <v>0</v>
      </c>
      <c r="BB967" t="b">
        <f>IF(metadata!Q967="",FALSE,TRUE)</f>
        <v>0</v>
      </c>
      <c r="BC967" t="b">
        <f>OR(AND(IF(metadata!R967="",FALSE,TRUE),OR(EXACT(metadata!R967,"missing: not collected"),EXACT(metadata!R967,"missing: not provided"),EXACT(metadata!R967,"missing: restricted access"))),AND(IF(metadata!R967="",FALSE,ISNUMBER(VALUE(metadata!R967))),metadata!R967&gt;=-90,metadata!R967&lt;=90))</f>
        <v>0</v>
      </c>
      <c r="BD967" t="b">
        <f>AND(IF(metadata!S967="",FALSE,TRUE),EXACT(metadata!S967,"Decimal degrees"))</f>
        <v>0</v>
      </c>
      <c r="BE967" t="b">
        <f>OR(AND(IF(metadata!T967="",FALSE,TRUE),OR(EXACT(metadata!T967,"missing: not collected"),EXACT(metadata!T967,"missing: not provided"),EXACT(metadata!T967,"missing: restricted access"))),AND(IF(metadata!T967="",FALSE,ISNUMBER(VALUE(metadata!T967))),metadata!T967&gt;=-180,metadata!T967&lt;=180))</f>
        <v>0</v>
      </c>
      <c r="BF967" t="b">
        <f>AND(IF(metadata!U967="",FALSE,TRUE),EXACT(metadata!U967,"Decimal degrees"))</f>
        <v>0</v>
      </c>
      <c r="BG967" t="b">
        <f>IF(metadata!V967="",FALSE,TRUE)</f>
        <v>0</v>
      </c>
      <c r="BH967" t="b">
        <f>OR(AND(IF(metadata!W967="",FALSE,TRUE),OR(EXACT(metadata!W967,"missing: not collected"),EXACT(metadata!W967,"missing: not provided"),EXACT(metadata!W967,"missing: restricted access"))),AND(IF(metadata!W967="",FALSE,TRUE),OR(EXACT(metadata!W967,"TRUE"),EXACT(metadata!W967,"FALSE"))))</f>
        <v>0</v>
      </c>
      <c r="BI967" t="b">
        <f>AND(IF(metadata!X967="",FALSE,TRUE),EXACT(metadata!X967,"other"))</f>
        <v>0</v>
      </c>
      <c r="BJ967" t="b">
        <f>IF(metadata!Y967="",FALSE,TRUE)</f>
        <v>0</v>
      </c>
      <c r="BK967" t="b">
        <f>OR(AND(IF(metadata!Z967="",FALSE,TRUE),OR(EXACT(metadata!Z967,"missing: not collected"),EXACT(metadata!Z967,"missing: not provided"))),AND(IF(metadata!Z967="",FALSE,IF(ISERROR(INT(metadata!Z967)),FALSE,INT(metadata!Z967)=metadata!Z967)),metadata!Z967&gt;0))</f>
        <v>0</v>
      </c>
      <c r="BL967" t="b">
        <f>AND(IF(metadata!AA967="",FALSE,TRUE),EXACT(metadata!AA967,"Not applicable"))</f>
        <v>0</v>
      </c>
      <c r="BM967" t="b">
        <f>IF(metadata!AB967="",FALSE,TRUE)</f>
        <v>0</v>
      </c>
    </row>
    <row r="968" spans="1:65" x14ac:dyDescent="0.2">
      <c r="A968" s="5" t="str">
        <f ca="1">IF(B968=" "," ",HYPERLINK(CONCATENATE("#metadata!",ADDRESS(INDEX($AH$2:$AH$1001,MATCH(ROWS($AF$2:AF968),$AF$2:$AF$1001,0),0),1)),INDEX($AK$2:$AK$1001,MATCH(ROWS($AF$2:AF968),$AF$2:$AF$1001,0),0)))</f>
        <v xml:space="preserve"> </v>
      </c>
      <c r="B968" s="4" t="str">
        <f ca="1">IF(OR(INDEX($AG$2:$AG$1001,MATCH(ROWS($AF$2:AF968),$AF$2:$AF$1001,0),1)&gt;=100000,INDEX($AM$1005:$BM$1005,1,MATCH(COLUMNS($AM$1006:AM1006),$AM$1006:$BM$1006,0))&gt;=100000), " ",IF(INDEX($AM$2:$BM$1001,MATCH(ROWS($AF$2:AF968),$AF$2:$AF$1001,0),MATCH(COLUMNS($AM$1006:AM1006),$AM$1006:$BM$1006,0)), HYPERLINK("#",""), HYPERLINK(CONCATENATE("#metadata!", ADDRESS(INDEX($AH$2:$AH$1001,MATCH(ROWS($AF$2:AF968),$AF$2:$AF$1001,0),0), INDEX($AM$1004:$BM$1004,1,MATCH(COLUMNS($AM$1006:AM1006),$AM$1006:$BM$1006,0)))),"Fix")))</f>
        <v xml:space="preserve"> </v>
      </c>
      <c r="C968" s="4" t="str">
        <f ca="1">IF(OR(INDEX($AG$2:$AG$1001,MATCH(ROWS($AF$2:AF968),$AF$2:$AF$1001,0),1)&gt;=100000,INDEX($AM$1005:$BM$1005,1,MATCH(COLUMNS($AM$1006:AN1006),$AM$1006:$BM$1006,0))&gt;=100000), " ",IF(INDEX($AM$2:$BM$1001,MATCH(ROWS($AF$2:AF968),$AF$2:$AF$1001,0),MATCH(COLUMNS($AM$1006:AN1006),$AM$1006:$BM$1006,0)), HYPERLINK("#",""), HYPERLINK(CONCATENATE("#metadata!", ADDRESS(INDEX($AH$2:$AH$1001,MATCH(ROWS($AF$2:AF968),$AF$2:$AF$1001,0),0), INDEX($AM$1004:$BM$1004,1,MATCH(COLUMNS($AM$1006:AN1006),$AM$1006:$BM$1006,0)))),"Fix")))</f>
        <v xml:space="preserve"> </v>
      </c>
      <c r="D968" s="4" t="str">
        <f ca="1">IF(OR(INDEX($AG$2:$AG$1001,MATCH(ROWS($AF$2:AF968),$AF$2:$AF$1001,0),1)&gt;=100000,INDEX($AM$1005:$BM$1005,1,MATCH(COLUMNS($AM$1006:AO1006),$AM$1006:$BM$1006,0))&gt;=100000), " ",IF(INDEX($AM$2:$BM$1001,MATCH(ROWS($AF$2:AF968),$AF$2:$AF$1001,0),MATCH(COLUMNS($AM$1006:AO1006),$AM$1006:$BM$1006,0)), HYPERLINK("#",""), HYPERLINK(CONCATENATE("#metadata!", ADDRESS(INDEX($AH$2:$AH$1001,MATCH(ROWS($AF$2:AF968),$AF$2:$AF$1001,0),0), INDEX($AM$1004:$BM$1004,1,MATCH(COLUMNS($AM$1006:AO1006),$AM$1006:$BM$1006,0)))),"Fix")))</f>
        <v xml:space="preserve"> </v>
      </c>
      <c r="E968" s="4" t="str">
        <f ca="1">IF(OR(INDEX($AG$2:$AG$1001,MATCH(ROWS($AF$2:AF968),$AF$2:$AF$1001,0),1)&gt;=100000,INDEX($AM$1005:$BM$1005,1,MATCH(COLUMNS($AM$1006:AP1006),$AM$1006:$BM$1006,0))&gt;=100000), " ",IF(INDEX($AM$2:$BM$1001,MATCH(ROWS($AF$2:AF968),$AF$2:$AF$1001,0),MATCH(COLUMNS($AM$1006:AP1006),$AM$1006:$BM$1006,0)), HYPERLINK("#",""), HYPERLINK(CONCATENATE("#metadata!", ADDRESS(INDEX($AH$2:$AH$1001,MATCH(ROWS($AF$2:AF968),$AF$2:$AF$1001,0),0), INDEX($AM$1004:$BM$1004,1,MATCH(COLUMNS($AM$1006:AP1006),$AM$1006:$BM$1006,0)))),"Fix")))</f>
        <v xml:space="preserve"> </v>
      </c>
      <c r="F968" s="4" t="str">
        <f ca="1">IF(OR(INDEX($AG$2:$AG$1001,MATCH(ROWS($AF$2:AF968),$AF$2:$AF$1001,0),1)&gt;=100000,INDEX($AM$1005:$BM$1005,1,MATCH(COLUMNS($AM$1006:AQ1006),$AM$1006:$BM$1006,0))&gt;=100000), " ",IF(INDEX($AM$2:$BM$1001,MATCH(ROWS($AF$2:AF968),$AF$2:$AF$1001,0),MATCH(COLUMNS($AM$1006:AQ1006),$AM$1006:$BM$1006,0)), HYPERLINK("#",""), HYPERLINK(CONCATENATE("#metadata!", ADDRESS(INDEX($AH$2:$AH$1001,MATCH(ROWS($AF$2:AF968),$AF$2:$AF$1001,0),0), INDEX($AM$1004:$BM$1004,1,MATCH(COLUMNS($AM$1006:AQ1006),$AM$1006:$BM$1006,0)))),"Fix")))</f>
        <v xml:space="preserve"> </v>
      </c>
      <c r="G968" s="4" t="str">
        <f ca="1">IF(OR(INDEX($AG$2:$AG$1001,MATCH(ROWS($AF$2:AF968),$AF$2:$AF$1001,0),1)&gt;=100000,INDEX($AM$1005:$BM$1005,1,MATCH(COLUMNS($AM$1006:AR1006),$AM$1006:$BM$1006,0))&gt;=100000), " ",IF(INDEX($AM$2:$BM$1001,MATCH(ROWS($AF$2:AF968),$AF$2:$AF$1001,0),MATCH(COLUMNS($AM$1006:AR1006),$AM$1006:$BM$1006,0)), HYPERLINK("#",""), HYPERLINK(CONCATENATE("#metadata!", ADDRESS(INDEX($AH$2:$AH$1001,MATCH(ROWS($AF$2:AF968),$AF$2:$AF$1001,0),0), INDEX($AM$1004:$BM$1004,1,MATCH(COLUMNS($AM$1006:AR1006),$AM$1006:$BM$1006,0)))),"Fix")))</f>
        <v xml:space="preserve"> </v>
      </c>
      <c r="H968" s="4" t="str">
        <f ca="1">IF(OR(INDEX($AG$2:$AG$1001,MATCH(ROWS($AF$2:AF968),$AF$2:$AF$1001,0),1)&gt;=100000,INDEX($AM$1005:$BM$1005,1,MATCH(COLUMNS($AM$1006:AS1006),$AM$1006:$BM$1006,0))&gt;=100000), " ",IF(INDEX($AM$2:$BM$1001,MATCH(ROWS($AF$2:AF968),$AF$2:$AF$1001,0),MATCH(COLUMNS($AM$1006:AS1006),$AM$1006:$BM$1006,0)), HYPERLINK("#",""), HYPERLINK(CONCATENATE("#metadata!", ADDRESS(INDEX($AH$2:$AH$1001,MATCH(ROWS($AF$2:AF968),$AF$2:$AF$1001,0),0), INDEX($AM$1004:$BM$1004,1,MATCH(COLUMNS($AM$1006:AS1006),$AM$1006:$BM$1006,0)))),"Fix")))</f>
        <v xml:space="preserve"> </v>
      </c>
      <c r="I968" s="4" t="str">
        <f ca="1">IF(OR(INDEX($AG$2:$AG$1001,MATCH(ROWS($AF$2:AF968),$AF$2:$AF$1001,0),1)&gt;=100000,INDEX($AM$1005:$BM$1005,1,MATCH(COLUMNS($AM$1006:AT1006),$AM$1006:$BM$1006,0))&gt;=100000), " ",IF(INDEX($AM$2:$BM$1001,MATCH(ROWS($AF$2:AF968),$AF$2:$AF$1001,0),MATCH(COLUMNS($AM$1006:AT1006),$AM$1006:$BM$1006,0)), HYPERLINK("#",""), HYPERLINK(CONCATENATE("#metadata!", ADDRESS(INDEX($AH$2:$AH$1001,MATCH(ROWS($AF$2:AF968),$AF$2:$AF$1001,0),0), INDEX($AM$1004:$BM$1004,1,MATCH(COLUMNS($AM$1006:AT1006),$AM$1006:$BM$1006,0)))),"Fix")))</f>
        <v xml:space="preserve"> </v>
      </c>
      <c r="J968" s="4" t="str">
        <f ca="1">IF(OR(INDEX($AG$2:$AG$1001,MATCH(ROWS($AF$2:AF968),$AF$2:$AF$1001,0),1)&gt;=100000,INDEX($AM$1005:$BM$1005,1,MATCH(COLUMNS($AM$1006:AU1006),$AM$1006:$BM$1006,0))&gt;=100000), " ",IF(INDEX($AM$2:$BM$1001,MATCH(ROWS($AF$2:AF968),$AF$2:$AF$1001,0),MATCH(COLUMNS($AM$1006:AU1006),$AM$1006:$BM$1006,0)), HYPERLINK("#",""), HYPERLINK(CONCATENATE("#metadata!", ADDRESS(INDEX($AH$2:$AH$1001,MATCH(ROWS($AF$2:AF968),$AF$2:$AF$1001,0),0), INDEX($AM$1004:$BM$1004,1,MATCH(COLUMNS($AM$1006:AU1006),$AM$1006:$BM$1006,0)))),"Fix")))</f>
        <v xml:space="preserve"> </v>
      </c>
      <c r="K968" s="4" t="str">
        <f ca="1">IF(OR(INDEX($AG$2:$AG$1001,MATCH(ROWS($AF$2:AF968),$AF$2:$AF$1001,0),1)&gt;=100000,INDEX($AM$1005:$BM$1005,1,MATCH(COLUMNS($AM$1006:AV1006),$AM$1006:$BM$1006,0))&gt;=100000), " ",IF(INDEX($AM$2:$BM$1001,MATCH(ROWS($AF$2:AF968),$AF$2:$AF$1001,0),MATCH(COLUMNS($AM$1006:AV1006),$AM$1006:$BM$1006,0)), HYPERLINK("#",""), HYPERLINK(CONCATENATE("#metadata!", ADDRESS(INDEX($AH$2:$AH$1001,MATCH(ROWS($AF$2:AF968),$AF$2:$AF$1001,0),0), INDEX($AM$1004:$BM$1004,1,MATCH(COLUMNS($AM$1006:AV1006),$AM$1006:$BM$1006,0)))),"Fix")))</f>
        <v xml:space="preserve"> </v>
      </c>
      <c r="L968" s="4" t="str">
        <f ca="1">IF(OR(INDEX($AG$2:$AG$1001,MATCH(ROWS($AF$2:AF968),$AF$2:$AF$1001,0),1)&gt;=100000,INDEX($AM$1005:$BM$1005,1,MATCH(COLUMNS($AM$1006:AW1006),$AM$1006:$BM$1006,0))&gt;=100000), " ",IF(INDEX($AM$2:$BM$1001,MATCH(ROWS($AF$2:AF968),$AF$2:$AF$1001,0),MATCH(COLUMNS($AM$1006:AW1006),$AM$1006:$BM$1006,0)), HYPERLINK("#",""), HYPERLINK(CONCATENATE("#metadata!", ADDRESS(INDEX($AH$2:$AH$1001,MATCH(ROWS($AF$2:AF968),$AF$2:$AF$1001,0),0), INDEX($AM$1004:$BM$1004,1,MATCH(COLUMNS($AM$1006:AW1006),$AM$1006:$BM$1006,0)))),"Fix")))</f>
        <v xml:space="preserve"> </v>
      </c>
      <c r="M968" s="4" t="str">
        <f ca="1">IF(OR(INDEX($AG$2:$AG$1001,MATCH(ROWS($AF$2:AF968),$AF$2:$AF$1001,0),1)&gt;=100000,INDEX($AM$1005:$BM$1005,1,MATCH(COLUMNS($AM$1006:AX1006),$AM$1006:$BM$1006,0))&gt;=100000), " ",IF(INDEX($AM$2:$BM$1001,MATCH(ROWS($AF$2:AF968),$AF$2:$AF$1001,0),MATCH(COLUMNS($AM$1006:AX1006),$AM$1006:$BM$1006,0)), HYPERLINK("#",""), HYPERLINK(CONCATENATE("#metadata!", ADDRESS(INDEX($AH$2:$AH$1001,MATCH(ROWS($AF$2:AF968),$AF$2:$AF$1001,0),0), INDEX($AM$1004:$BM$1004,1,MATCH(COLUMNS($AM$1006:AX1006),$AM$1006:$BM$1006,0)))),"Fix")))</f>
        <v xml:space="preserve"> </v>
      </c>
      <c r="N968" s="4" t="str">
        <f ca="1">IF(OR(INDEX($AG$2:$AG$1001,MATCH(ROWS($AF$2:AF968),$AF$2:$AF$1001,0),1)&gt;=100000,INDEX($AM$1005:$BM$1005,1,MATCH(COLUMNS($AM$1006:AY1006),$AM$1006:$BM$1006,0))&gt;=100000), " ",IF(INDEX($AM$2:$BM$1001,MATCH(ROWS($AF$2:AF968),$AF$2:$AF$1001,0),MATCH(COLUMNS($AM$1006:AY1006),$AM$1006:$BM$1006,0)), HYPERLINK("#",""), HYPERLINK(CONCATENATE("#metadata!", ADDRESS(INDEX($AH$2:$AH$1001,MATCH(ROWS($AF$2:AF968),$AF$2:$AF$1001,0),0), INDEX($AM$1004:$BM$1004,1,MATCH(COLUMNS($AM$1006:AY1006),$AM$1006:$BM$1006,0)))),"Fix")))</f>
        <v xml:space="preserve"> </v>
      </c>
      <c r="O968" s="4" t="str">
        <f ca="1">IF(OR(INDEX($AG$2:$AG$1001,MATCH(ROWS($AF$2:AF968),$AF$2:$AF$1001,0),1)&gt;=100000,INDEX($AM$1005:$BM$1005,1,MATCH(COLUMNS($AM$1006:AZ1006),$AM$1006:$BM$1006,0))&gt;=100000), " ",IF(INDEX($AM$2:$BM$1001,MATCH(ROWS($AF$2:AF968),$AF$2:$AF$1001,0),MATCH(COLUMNS($AM$1006:AZ1006),$AM$1006:$BM$1006,0)), HYPERLINK("#",""), HYPERLINK(CONCATENATE("#metadata!", ADDRESS(INDEX($AH$2:$AH$1001,MATCH(ROWS($AF$2:AF968),$AF$2:$AF$1001,0),0), INDEX($AM$1004:$BM$1004,1,MATCH(COLUMNS($AM$1006:AZ1006),$AM$1006:$BM$1006,0)))),"Fix")))</f>
        <v xml:space="preserve"> </v>
      </c>
      <c r="P968" s="4" t="str">
        <f ca="1">IF(OR(INDEX($AG$2:$AG$1001,MATCH(ROWS($AF$2:AF968),$AF$2:$AF$1001,0),1)&gt;=100000,INDEX($AM$1005:$BM$1005,1,MATCH(COLUMNS($AM$1006:BA1006),$AM$1006:$BM$1006,0))&gt;=100000), " ",IF(INDEX($AM$2:$BM$1001,MATCH(ROWS($AF$2:AF968),$AF$2:$AF$1001,0),MATCH(COLUMNS($AM$1006:BA1006),$AM$1006:$BM$1006,0)), HYPERLINK("#",""), HYPERLINK(CONCATENATE("#metadata!", ADDRESS(INDEX($AH$2:$AH$1001,MATCH(ROWS($AF$2:AF968),$AF$2:$AF$1001,0),0), INDEX($AM$1004:$BM$1004,1,MATCH(COLUMNS($AM$1006:BA1006),$AM$1006:$BM$1006,0)))),"Fix")))</f>
        <v xml:space="preserve"> </v>
      </c>
      <c r="Q968" s="4" t="str">
        <f ca="1">IF(OR(INDEX($AG$2:$AG$1001,MATCH(ROWS($AF$2:AF968),$AF$2:$AF$1001,0),1)&gt;=100000,INDEX($AM$1005:$BM$1005,1,MATCH(COLUMNS($AM$1006:BB1006),$AM$1006:$BM$1006,0))&gt;=100000), " ",IF(INDEX($AM$2:$BM$1001,MATCH(ROWS($AF$2:AF968),$AF$2:$AF$1001,0),MATCH(COLUMNS($AM$1006:BB1006),$AM$1006:$BM$1006,0)), HYPERLINK("#",""), HYPERLINK(CONCATENATE("#metadata!", ADDRESS(INDEX($AH$2:$AH$1001,MATCH(ROWS($AF$2:AF968),$AF$2:$AF$1001,0),0), INDEX($AM$1004:$BM$1004,1,MATCH(COLUMNS($AM$1006:BB1006),$AM$1006:$BM$1006,0)))),"Fix")))</f>
        <v xml:space="preserve"> </v>
      </c>
      <c r="R968" s="4" t="str">
        <f ca="1">IF(OR(INDEX($AG$2:$AG$1001,MATCH(ROWS($AF$2:AF968),$AF$2:$AF$1001,0),1)&gt;=100000,INDEX($AM$1005:$BM$1005,1,MATCH(COLUMNS($AM$1006:BC1006),$AM$1006:$BM$1006,0))&gt;=100000), " ",IF(INDEX($AM$2:$BM$1001,MATCH(ROWS($AF$2:AF968),$AF$2:$AF$1001,0),MATCH(COLUMNS($AM$1006:BC1006),$AM$1006:$BM$1006,0)), HYPERLINK("#",""), HYPERLINK(CONCATENATE("#metadata!", ADDRESS(INDEX($AH$2:$AH$1001,MATCH(ROWS($AF$2:AF968),$AF$2:$AF$1001,0),0), INDEX($AM$1004:$BM$1004,1,MATCH(COLUMNS($AM$1006:BC1006),$AM$1006:$BM$1006,0)))),"Fix")))</f>
        <v xml:space="preserve"> </v>
      </c>
      <c r="S968" s="4" t="str">
        <f ca="1">IF(OR(INDEX($AG$2:$AG$1001,MATCH(ROWS($AF$2:AF968),$AF$2:$AF$1001,0),1)&gt;=100000,INDEX($AM$1005:$BM$1005,1,MATCH(COLUMNS($AM$1006:BD1006),$AM$1006:$BM$1006,0))&gt;=100000), " ",IF(INDEX($AM$2:$BM$1001,MATCH(ROWS($AF$2:AF968),$AF$2:$AF$1001,0),MATCH(COLUMNS($AM$1006:BD1006),$AM$1006:$BM$1006,0)), HYPERLINK("#",""), HYPERLINK(CONCATENATE("#metadata!", ADDRESS(INDEX($AH$2:$AH$1001,MATCH(ROWS($AF$2:AF968),$AF$2:$AF$1001,0),0), INDEX($AM$1004:$BM$1004,1,MATCH(COLUMNS($AM$1006:BD1006),$AM$1006:$BM$1006,0)))),"Fix")))</f>
        <v xml:space="preserve"> </v>
      </c>
      <c r="T968" s="4" t="str">
        <f ca="1">IF(OR(INDEX($AG$2:$AG$1001,MATCH(ROWS($AF$2:AF968),$AF$2:$AF$1001,0),1)&gt;=100000,INDEX($AM$1005:$BM$1005,1,MATCH(COLUMNS($AM$1006:BE1006),$AM$1006:$BM$1006,0))&gt;=100000), " ",IF(INDEX($AM$2:$BM$1001,MATCH(ROWS($AF$2:AF968),$AF$2:$AF$1001,0),MATCH(COLUMNS($AM$1006:BE1006),$AM$1006:$BM$1006,0)), HYPERLINK("#",""), HYPERLINK(CONCATENATE("#metadata!", ADDRESS(INDEX($AH$2:$AH$1001,MATCH(ROWS($AF$2:AF968),$AF$2:$AF$1001,0),0), INDEX($AM$1004:$BM$1004,1,MATCH(COLUMNS($AM$1006:BE1006),$AM$1006:$BM$1006,0)))),"Fix")))</f>
        <v xml:space="preserve"> </v>
      </c>
      <c r="U968" s="4" t="str">
        <f ca="1">IF(OR(INDEX($AG$2:$AG$1001,MATCH(ROWS($AF$2:AF968),$AF$2:$AF$1001,0),1)&gt;=100000,INDEX($AM$1005:$BM$1005,1,MATCH(COLUMNS($AM$1006:BF1006),$AM$1006:$BM$1006,0))&gt;=100000), " ",IF(INDEX($AM$2:$BM$1001,MATCH(ROWS($AF$2:AF968),$AF$2:$AF$1001,0),MATCH(COLUMNS($AM$1006:BF1006),$AM$1006:$BM$1006,0)), HYPERLINK("#",""), HYPERLINK(CONCATENATE("#metadata!", ADDRESS(INDEX($AH$2:$AH$1001,MATCH(ROWS($AF$2:AF968),$AF$2:$AF$1001,0),0), INDEX($AM$1004:$BM$1004,1,MATCH(COLUMNS($AM$1006:BF1006),$AM$1006:$BM$1006,0)))),"Fix")))</f>
        <v xml:space="preserve"> </v>
      </c>
      <c r="V968" s="4" t="str">
        <f ca="1">IF(OR(INDEX($AG$2:$AG$1001,MATCH(ROWS($AF$2:AF968),$AF$2:$AF$1001,0),1)&gt;=100000,INDEX($AM$1005:$BM$1005,1,MATCH(COLUMNS($AM$1006:BG1006),$AM$1006:$BM$1006,0))&gt;=100000), " ",IF(INDEX($AM$2:$BM$1001,MATCH(ROWS($AF$2:AF968),$AF$2:$AF$1001,0),MATCH(COLUMNS($AM$1006:BG1006),$AM$1006:$BM$1006,0)), HYPERLINK("#",""), HYPERLINK(CONCATENATE("#metadata!", ADDRESS(INDEX($AH$2:$AH$1001,MATCH(ROWS($AF$2:AF968),$AF$2:$AF$1001,0),0), INDEX($AM$1004:$BM$1004,1,MATCH(COLUMNS($AM$1006:BG1006),$AM$1006:$BM$1006,0)))),"Fix")))</f>
        <v xml:space="preserve"> </v>
      </c>
      <c r="W968" s="4" t="str">
        <f ca="1">IF(OR(INDEX($AG$2:$AG$1001,MATCH(ROWS($AF$2:AF968),$AF$2:$AF$1001,0),1)&gt;=100000,INDEX($AM$1005:$BM$1005,1,MATCH(COLUMNS($AM$1006:BH1006),$AM$1006:$BM$1006,0))&gt;=100000), " ",IF(INDEX($AM$2:$BM$1001,MATCH(ROWS($AF$2:AF968),$AF$2:$AF$1001,0),MATCH(COLUMNS($AM$1006:BH1006),$AM$1006:$BM$1006,0)), HYPERLINK("#",""), HYPERLINK(CONCATENATE("#metadata!", ADDRESS(INDEX($AH$2:$AH$1001,MATCH(ROWS($AF$2:AF968),$AF$2:$AF$1001,0),0), INDEX($AM$1004:$BM$1004,1,MATCH(COLUMNS($AM$1006:BH1006),$AM$1006:$BM$1006,0)))),"Fix")))</f>
        <v xml:space="preserve"> </v>
      </c>
      <c r="X968" s="4" t="str">
        <f ca="1">IF(OR(INDEX($AG$2:$AG$1001,MATCH(ROWS($AF$2:AF968),$AF$2:$AF$1001,0),1)&gt;=100000,INDEX($AM$1005:$BM$1005,1,MATCH(COLUMNS($AM$1006:BI1006),$AM$1006:$BM$1006,0))&gt;=100000), " ",IF(INDEX($AM$2:$BM$1001,MATCH(ROWS($AF$2:AF968),$AF$2:$AF$1001,0),MATCH(COLUMNS($AM$1006:BI1006),$AM$1006:$BM$1006,0)), HYPERLINK("#",""), HYPERLINK(CONCATENATE("#metadata!", ADDRESS(INDEX($AH$2:$AH$1001,MATCH(ROWS($AF$2:AF968),$AF$2:$AF$1001,0),0), INDEX($AM$1004:$BM$1004,1,MATCH(COLUMNS($AM$1006:BI1006),$AM$1006:$BM$1006,0)))),"Fix")))</f>
        <v xml:space="preserve"> </v>
      </c>
      <c r="Y968" s="4" t="str">
        <f ca="1">IF(OR(INDEX($AG$2:$AG$1001,MATCH(ROWS($AF$2:AF968),$AF$2:$AF$1001,0),1)&gt;=100000,INDEX($AM$1005:$BM$1005,1,MATCH(COLUMNS($AM$1006:BJ1006),$AM$1006:$BM$1006,0))&gt;=100000), " ",IF(INDEX($AM$2:$BM$1001,MATCH(ROWS($AF$2:AF968),$AF$2:$AF$1001,0),MATCH(COLUMNS($AM$1006:BJ1006),$AM$1006:$BM$1006,0)), HYPERLINK("#",""), HYPERLINK(CONCATENATE("#metadata!", ADDRESS(INDEX($AH$2:$AH$1001,MATCH(ROWS($AF$2:AF968),$AF$2:$AF$1001,0),0), INDEX($AM$1004:$BM$1004,1,MATCH(COLUMNS($AM$1006:BJ1006),$AM$1006:$BM$1006,0)))),"Fix")))</f>
        <v xml:space="preserve"> </v>
      </c>
      <c r="Z968" s="4" t="str">
        <f ca="1">IF(OR(INDEX($AG$2:$AG$1001,MATCH(ROWS($AF$2:AF968),$AF$2:$AF$1001,0),1)&gt;=100000,INDEX($AM$1005:$BM$1005,1,MATCH(COLUMNS($AM$1006:BK1006),$AM$1006:$BM$1006,0))&gt;=100000), " ",IF(INDEX($AM$2:$BM$1001,MATCH(ROWS($AF$2:AF968),$AF$2:$AF$1001,0),MATCH(COLUMNS($AM$1006:BK1006),$AM$1006:$BM$1006,0)), HYPERLINK("#",""), HYPERLINK(CONCATENATE("#metadata!", ADDRESS(INDEX($AH$2:$AH$1001,MATCH(ROWS($AF$2:AF968),$AF$2:$AF$1001,0),0), INDEX($AM$1004:$BM$1004,1,MATCH(COLUMNS($AM$1006:BK1006),$AM$1006:$BM$1006,0)))),"Fix")))</f>
        <v xml:space="preserve"> </v>
      </c>
      <c r="AA968" s="4" t="str">
        <f ca="1">IF(OR(INDEX($AG$2:$AG$1001,MATCH(ROWS($AF$2:AF968),$AF$2:$AF$1001,0),1)&gt;=100000,INDEX($AM$1005:$BM$1005,1,MATCH(COLUMNS($AM$1006:BL1006),$AM$1006:$BM$1006,0))&gt;=100000), " ",IF(INDEX($AM$2:$BM$1001,MATCH(ROWS($AF$2:AF968),$AF$2:$AF$1001,0),MATCH(COLUMNS($AM$1006:BL1006),$AM$1006:$BM$1006,0)), HYPERLINK("#",""), HYPERLINK(CONCATENATE("#metadata!", ADDRESS(INDEX($AH$2:$AH$1001,MATCH(ROWS($AF$2:AF968),$AF$2:$AF$1001,0),0), INDEX($AM$1004:$BM$1004,1,MATCH(COLUMNS($AM$1006:BL1006),$AM$1006:$BM$1006,0)))),"Fix")))</f>
        <v xml:space="preserve"> </v>
      </c>
      <c r="AB968" s="4" t="str">
        <f ca="1">IF(OR(INDEX($AG$2:$AG$1001,MATCH(ROWS($AF$2:AF968),$AF$2:$AF$1001,0),1)&gt;=100000,INDEX($AM$1005:$BM$1005,1,MATCH(COLUMNS($AM$1006:BM1006),$AM$1006:$BM$1006,0))&gt;=100000), " ",IF(INDEX($AM$2:$BM$1001,MATCH(ROWS($AF$2:AF968),$AF$2:$AF$1001,0),MATCH(COLUMNS($AM$1006:BM1006),$AM$1006:$BM$1006,0)), HYPERLINK("#",""), HYPERLINK(CONCATENATE("#metadata!", ADDRESS(INDEX($AH$2:$AH$1001,MATCH(ROWS($AF$2:AF968),$AF$2:$AF$1001,0),0), INDEX($AM$1004:$BM$1004,1,MATCH(COLUMNS($AM$1006:BM1006),$AM$1006:$BM$1006,0)))),"Fix")))</f>
        <v xml:space="preserve"> </v>
      </c>
      <c r="AF968">
        <v>967</v>
      </c>
      <c r="AG968">
        <v>100968</v>
      </c>
      <c r="AH968">
        <v>968</v>
      </c>
      <c r="AI968" t="b">
        <f t="shared" si="15"/>
        <v>1</v>
      </c>
      <c r="AJ968" t="b">
        <f>COUNTBLANK(metadata!B968:AB968)=COLUMNS(metadata!B968:AB968)</f>
        <v>1</v>
      </c>
      <c r="AK968" t="str">
        <v/>
      </c>
      <c r="AM968" t="b">
        <f ca="1">AND(IF(metadata!B968="",FALSE,TRUE),COUNTIF(metadata!B:B, metadata!B968) = 1,NOT(ISERROR(SUMPRODUCT(SEARCH(MID(metadata!B968,ROW(INDIRECT("1:"&amp;LEN(metadata!B968))), 1),"0123456789abcdefghijklmnopqrstuvwxyzABCDEFGHIJKLMNOPQRSTUVWXYZ.")))))</f>
        <v>0</v>
      </c>
      <c r="AN968" t="b">
        <f ca="1">OR(AND(IF(metadata!C968="",FALSE,TRUE),OR(EXACT(metadata!C968,"missing: not collected"),EXACT(metadata!C968,"missing: not provided"),EXACT(metadata!C968,"missing: restricted access"))),AND(IF(metadata!C968="",FALSE,TRUE),AND(AND(IFERROR(INT(LEFT(metadata!C968,4))&gt;1900,FALSE),IFERROR(INT(LEFT(metadata!C968,4))&lt;=YEAR(NOW()),FALSE)), OR(MID(metadata!C968,5,1)="", AND(AND(MID(metadata!C968,5,1)="-",IFERROR(INT(MID(metadata!C968,6,1))&gt;=0,FALSE),IFERROR(INT(MID(metadata!C968,6,1))&lt;=1,FALSE),NOT(MID(metadata!C968,7,1)=""),IFERROR(INT(MID(metadata!C968,6,2))&gt;=1,FALSE),IFERROR(INT(MID(metadata!C968,6,2))&lt;=12,FALSE)), OR(MID(metadata!C968,8,1)="", AND(AND(MID(metadata!C968,8,1)="-",IFERROR(INT(MID(metadata!C968,9,1))&gt;=0,FALSE),IFERROR(INT(MID(metadata!C968,9,1))&lt;=3,FALSE),NOT(MID(metadata!C968,10,1)=""),IFERROR(INT(MID(metadata!C968,9,2))&gt;=1,FALSE),IFERROR(INT(MID(metadata!C968,9,2))&lt;=31,FALSE)), OR(MID(metadata!C968,11,1)="", AND(AND(MID(metadata!C968,11,1)=" ",IFERROR(INT(MID(metadata!C968,12,1))&gt;=0,FALSE),IFERROR(INT(MID(metadata!C968,12,1))&lt;=2,FALSE),NOT(MID(metadata!C968,13,1)=""),IFERROR(INT(MID(metadata!C968,12,2))&gt;=0,FALSE),IFERROR(INT(MID(metadata!C968,12,2))&lt;=23,FALSE)), OR(MID(metadata!C968,14,1)="", AND(AND(MID(metadata!C968,14,1)=":",IFERROR(INT(MID(metadata!C968,15,1))&gt;=0,FALSE),IFERROR(INT(MID(metadata!C968,15,1))&lt;=5,FALSE),NOT(MID(metadata!C968,16,1)=""),IFERROR(INT(MID(metadata!C968,15,2))&gt;=0,FALSE),IFERROR(INT(MID(metadata!C968,15,2))&lt;=59,FALSE)), OR(MID(metadata!C968,17,1)="", AND(AND(MID(metadata!C968,17,1)=":",IFERROR(INT(MID(metadata!C968,18,1))&gt;=0,FALSE),IFERROR(INT(MID(metadata!C968,18,1))&lt;=5,FALSE),NOT(MID(metadata!C968,19,1)=""),IFERROR(INT(MID(metadata!C968,18,2))&gt;=0,FALSE),IFERROR(INT(MID(metadata!C968,18,2))&lt;=59,FALSE)), LEN(metadata!C968)&lt;=19)))))))))))))</f>
        <v>0</v>
      </c>
      <c r="AO968" t="b">
        <f>AND(IF(metadata!D968="",FALSE,TRUE),EXACT(metadata!D968,"Not applicable"))</f>
        <v>0</v>
      </c>
      <c r="AP968" t="b">
        <f>IF(metadata!E968="",FALSE,TRUE)</f>
        <v>0</v>
      </c>
      <c r="AQ968" t="b">
        <f>OR(AND(IF(metadata!F968="",FALSE,TRUE),OR(EXACT(metadata!F968,"missing: not collected"),EXACT(metadata!F968,"missing: not provided"))),AND(IF(metadata!F968="",FALSE,TRUE),OR(EXACT(metadata!F968,"TRUE"),EXACT(metadata!F968,"FALSE"))))</f>
        <v>0</v>
      </c>
      <c r="AR968" t="b">
        <f>OR(AND(IF(metadata!G968="",FALSE,TRUE),OR(EXACT(metadata!G968,"missing: not collected"),EXACT(metadata!G968,"missing: not provided"),EXACT(metadata!G968,"missing: restricted access"))),AND(IF(metadata!G968="",FALSE,ISNUMBER(VALUE(metadata!G968))),metadata!G968&gt;=-413))</f>
        <v>0</v>
      </c>
      <c r="AS968" t="b">
        <f>AND(IF(metadata!H968="",FALSE,TRUE),EXACT(metadata!H968,"meters"))</f>
        <v>0</v>
      </c>
      <c r="AT968" t="b">
        <f>AND(IF(metadata!I968="",FALSE,TRUE),OR(EXACT(metadata!I968,"Host-associated"),EXACT(metadata!I968,"Free-living")))</f>
        <v>0</v>
      </c>
      <c r="AU968" t="b">
        <f>AND(IF(metadata!J968="",FALSE,TRUE),OR(EXACT(metadata!J968,"Animal"),EXACT(metadata!J968,"Fungus"),EXACT(metadata!J968,"Plant"),EXACT(metadata!J968,"Saline"),EXACT(metadata!J968,"Non-saline")))</f>
        <v>0</v>
      </c>
      <c r="AV968" t="b">
        <f>AND(IF(metadata!K968="",FALSE,TRUE),OR(EXACT(metadata!K968,"Plant secretion"),EXACT(metadata!K968,"Plant rhizosphere"),EXACT(metadata!K968,"Plant surface"),EXACT(metadata!K968,"Plant corpus"),EXACT(metadata!K968,"Fungus surface"),EXACT(metadata!K968,"Fungus corpus"),EXACT(metadata!K968,"Animal surface"),EXACT(metadata!K968,"Animal proximal gut"),EXACT(metadata!K968,"Animal corpus"),EXACT(metadata!K968,"Animal distal gut"),EXACT(metadata!K968,"Animal secretion"),EXACT(metadata!K968,"Sub-surface (non-saline)"),EXACT(metadata!K968,"Surface (non-saline)"),EXACT(metadata!K968,"Water (non-saline)"),EXACT(metadata!K968,"Soil (non-saline)"),EXACT(metadata!K968,"Aerosol (non-saline)"),EXACT(metadata!K968,"Sediment (non-saline)"),EXACT(metadata!K968,"Surface (saline)"),EXACT(metadata!K968,"Water (saline)"),EXACT(metadata!K968,"Hypersaline (saline)"),EXACT(metadata!K968,"Aerosol (saline)"),EXACT(metadata!K968,"Sediment (saline)")))</f>
        <v>0</v>
      </c>
      <c r="AW968" t="b">
        <f>IF(metadata!L968="",FALSE,TRUE)</f>
        <v>0</v>
      </c>
      <c r="AX968" t="b">
        <f>IF(metadata!M968="",FALSE,TRUE)</f>
        <v>0</v>
      </c>
      <c r="AY968" t="b">
        <f>IF(metadata!N968="",FALSE,TRUE)</f>
        <v>0</v>
      </c>
      <c r="AZ968" t="b">
        <f>OR(AND(IF(metadata!O968="",FALSE,TRUE),OR(EXACT(metadata!O968,"missing: not collected"),EXACT(metadata!O968,"missing: not provided"),EXACT(metadata!O968,"missing: restricted access"))),AND(IF(metadata!O968="",FALSE,TRUE),OR(EXACT(metadata!O968,"air"),EXACT(metadata!O968,"built environment"),EXACT(metadata!O968,"host-associated"),EXACT(metadata!O968,"human-associated"),EXACT(metadata!O968,"human-skin"),EXACT(metadata!O968,"human-oral"),EXACT(metadata!O968,"human-gut"),EXACT(metadata!O968,"human-vaginal"),EXACT(metadata!O968,"microbial mat/biofilm"),EXACT(metadata!O968,"misc environment"),EXACT(metadata!O968,"plant-associated"),EXACT(metadata!O968,"sediment"),EXACT(metadata!O968,"soil"),EXACT(metadata!O968,"wastewater/sludge"),EXACT(metadata!O968,"water"))))</f>
        <v>0</v>
      </c>
      <c r="BA968" t="b">
        <f>IF(metadata!P968="",FALSE,TRUE)</f>
        <v>0</v>
      </c>
      <c r="BB968" t="b">
        <f>IF(metadata!Q968="",FALSE,TRUE)</f>
        <v>0</v>
      </c>
      <c r="BC968" t="b">
        <f>OR(AND(IF(metadata!R968="",FALSE,TRUE),OR(EXACT(metadata!R968,"missing: not collected"),EXACT(metadata!R968,"missing: not provided"),EXACT(metadata!R968,"missing: restricted access"))),AND(IF(metadata!R968="",FALSE,ISNUMBER(VALUE(metadata!R968))),metadata!R968&gt;=-90,metadata!R968&lt;=90))</f>
        <v>0</v>
      </c>
      <c r="BD968" t="b">
        <f>AND(IF(metadata!S968="",FALSE,TRUE),EXACT(metadata!S968,"Decimal degrees"))</f>
        <v>0</v>
      </c>
      <c r="BE968" t="b">
        <f>OR(AND(IF(metadata!T968="",FALSE,TRUE),OR(EXACT(metadata!T968,"missing: not collected"),EXACT(metadata!T968,"missing: not provided"),EXACT(metadata!T968,"missing: restricted access"))),AND(IF(metadata!T968="",FALSE,ISNUMBER(VALUE(metadata!T968))),metadata!T968&gt;=-180,metadata!T968&lt;=180))</f>
        <v>0</v>
      </c>
      <c r="BF968" t="b">
        <f>AND(IF(metadata!U968="",FALSE,TRUE),EXACT(metadata!U968,"Decimal degrees"))</f>
        <v>0</v>
      </c>
      <c r="BG968" t="b">
        <f>IF(metadata!V968="",FALSE,TRUE)</f>
        <v>0</v>
      </c>
      <c r="BH968" t="b">
        <f>OR(AND(IF(metadata!W968="",FALSE,TRUE),OR(EXACT(metadata!W968,"missing: not collected"),EXACT(metadata!W968,"missing: not provided"),EXACT(metadata!W968,"missing: restricted access"))),AND(IF(metadata!W968="",FALSE,TRUE),OR(EXACT(metadata!W968,"TRUE"),EXACT(metadata!W968,"FALSE"))))</f>
        <v>0</v>
      </c>
      <c r="BI968" t="b">
        <f>AND(IF(metadata!X968="",FALSE,TRUE),EXACT(metadata!X968,"other"))</f>
        <v>0</v>
      </c>
      <c r="BJ968" t="b">
        <f>IF(metadata!Y968="",FALSE,TRUE)</f>
        <v>0</v>
      </c>
      <c r="BK968" t="b">
        <f>OR(AND(IF(metadata!Z968="",FALSE,TRUE),OR(EXACT(metadata!Z968,"missing: not collected"),EXACT(metadata!Z968,"missing: not provided"))),AND(IF(metadata!Z968="",FALSE,IF(ISERROR(INT(metadata!Z968)),FALSE,INT(metadata!Z968)=metadata!Z968)),metadata!Z968&gt;0))</f>
        <v>0</v>
      </c>
      <c r="BL968" t="b">
        <f>AND(IF(metadata!AA968="",FALSE,TRUE),EXACT(metadata!AA968,"Not applicable"))</f>
        <v>0</v>
      </c>
      <c r="BM968" t="b">
        <f>IF(metadata!AB968="",FALSE,TRUE)</f>
        <v>0</v>
      </c>
    </row>
    <row r="969" spans="1:65" x14ac:dyDescent="0.2">
      <c r="A969" s="5" t="str">
        <f ca="1">IF(B969=" "," ",HYPERLINK(CONCATENATE("#metadata!",ADDRESS(INDEX($AH$2:$AH$1001,MATCH(ROWS($AF$2:AF969),$AF$2:$AF$1001,0),0),1)),INDEX($AK$2:$AK$1001,MATCH(ROWS($AF$2:AF969),$AF$2:$AF$1001,0),0)))</f>
        <v xml:space="preserve"> </v>
      </c>
      <c r="B969" s="4" t="str">
        <f ca="1">IF(OR(INDEX($AG$2:$AG$1001,MATCH(ROWS($AF$2:AF969),$AF$2:$AF$1001,0),1)&gt;=100000,INDEX($AM$1005:$BM$1005,1,MATCH(COLUMNS($AM$1006:AM1006),$AM$1006:$BM$1006,0))&gt;=100000), " ",IF(INDEX($AM$2:$BM$1001,MATCH(ROWS($AF$2:AF969),$AF$2:$AF$1001,0),MATCH(COLUMNS($AM$1006:AM1006),$AM$1006:$BM$1006,0)), HYPERLINK("#",""), HYPERLINK(CONCATENATE("#metadata!", ADDRESS(INDEX($AH$2:$AH$1001,MATCH(ROWS($AF$2:AF969),$AF$2:$AF$1001,0),0), INDEX($AM$1004:$BM$1004,1,MATCH(COLUMNS($AM$1006:AM1006),$AM$1006:$BM$1006,0)))),"Fix")))</f>
        <v xml:space="preserve"> </v>
      </c>
      <c r="C969" s="4" t="str">
        <f ca="1">IF(OR(INDEX($AG$2:$AG$1001,MATCH(ROWS($AF$2:AF969),$AF$2:$AF$1001,0),1)&gt;=100000,INDEX($AM$1005:$BM$1005,1,MATCH(COLUMNS($AM$1006:AN1006),$AM$1006:$BM$1006,0))&gt;=100000), " ",IF(INDEX($AM$2:$BM$1001,MATCH(ROWS($AF$2:AF969),$AF$2:$AF$1001,0),MATCH(COLUMNS($AM$1006:AN1006),$AM$1006:$BM$1006,0)), HYPERLINK("#",""), HYPERLINK(CONCATENATE("#metadata!", ADDRESS(INDEX($AH$2:$AH$1001,MATCH(ROWS($AF$2:AF969),$AF$2:$AF$1001,0),0), INDEX($AM$1004:$BM$1004,1,MATCH(COLUMNS($AM$1006:AN1006),$AM$1006:$BM$1006,0)))),"Fix")))</f>
        <v xml:space="preserve"> </v>
      </c>
      <c r="D969" s="4" t="str">
        <f ca="1">IF(OR(INDEX($AG$2:$AG$1001,MATCH(ROWS($AF$2:AF969),$AF$2:$AF$1001,0),1)&gt;=100000,INDEX($AM$1005:$BM$1005,1,MATCH(COLUMNS($AM$1006:AO1006),$AM$1006:$BM$1006,0))&gt;=100000), " ",IF(INDEX($AM$2:$BM$1001,MATCH(ROWS($AF$2:AF969),$AF$2:$AF$1001,0),MATCH(COLUMNS($AM$1006:AO1006),$AM$1006:$BM$1006,0)), HYPERLINK("#",""), HYPERLINK(CONCATENATE("#metadata!", ADDRESS(INDEX($AH$2:$AH$1001,MATCH(ROWS($AF$2:AF969),$AF$2:$AF$1001,0),0), INDEX($AM$1004:$BM$1004,1,MATCH(COLUMNS($AM$1006:AO1006),$AM$1006:$BM$1006,0)))),"Fix")))</f>
        <v xml:space="preserve"> </v>
      </c>
      <c r="E969" s="4" t="str">
        <f ca="1">IF(OR(INDEX($AG$2:$AG$1001,MATCH(ROWS($AF$2:AF969),$AF$2:$AF$1001,0),1)&gt;=100000,INDEX($AM$1005:$BM$1005,1,MATCH(COLUMNS($AM$1006:AP1006),$AM$1006:$BM$1006,0))&gt;=100000), " ",IF(INDEX($AM$2:$BM$1001,MATCH(ROWS($AF$2:AF969),$AF$2:$AF$1001,0),MATCH(COLUMNS($AM$1006:AP1006),$AM$1006:$BM$1006,0)), HYPERLINK("#",""), HYPERLINK(CONCATENATE("#metadata!", ADDRESS(INDEX($AH$2:$AH$1001,MATCH(ROWS($AF$2:AF969),$AF$2:$AF$1001,0),0), INDEX($AM$1004:$BM$1004,1,MATCH(COLUMNS($AM$1006:AP1006),$AM$1006:$BM$1006,0)))),"Fix")))</f>
        <v xml:space="preserve"> </v>
      </c>
      <c r="F969" s="4" t="str">
        <f ca="1">IF(OR(INDEX($AG$2:$AG$1001,MATCH(ROWS($AF$2:AF969),$AF$2:$AF$1001,0),1)&gt;=100000,INDEX($AM$1005:$BM$1005,1,MATCH(COLUMNS($AM$1006:AQ1006),$AM$1006:$BM$1006,0))&gt;=100000), " ",IF(INDEX($AM$2:$BM$1001,MATCH(ROWS($AF$2:AF969),$AF$2:$AF$1001,0),MATCH(COLUMNS($AM$1006:AQ1006),$AM$1006:$BM$1006,0)), HYPERLINK("#",""), HYPERLINK(CONCATENATE("#metadata!", ADDRESS(INDEX($AH$2:$AH$1001,MATCH(ROWS($AF$2:AF969),$AF$2:$AF$1001,0),0), INDEX($AM$1004:$BM$1004,1,MATCH(COLUMNS($AM$1006:AQ1006),$AM$1006:$BM$1006,0)))),"Fix")))</f>
        <v xml:space="preserve"> </v>
      </c>
      <c r="G969" s="4" t="str">
        <f ca="1">IF(OR(INDEX($AG$2:$AG$1001,MATCH(ROWS($AF$2:AF969),$AF$2:$AF$1001,0),1)&gt;=100000,INDEX($AM$1005:$BM$1005,1,MATCH(COLUMNS($AM$1006:AR1006),$AM$1006:$BM$1006,0))&gt;=100000), " ",IF(INDEX($AM$2:$BM$1001,MATCH(ROWS($AF$2:AF969),$AF$2:$AF$1001,0),MATCH(COLUMNS($AM$1006:AR1006),$AM$1006:$BM$1006,0)), HYPERLINK("#",""), HYPERLINK(CONCATENATE("#metadata!", ADDRESS(INDEX($AH$2:$AH$1001,MATCH(ROWS($AF$2:AF969),$AF$2:$AF$1001,0),0), INDEX($AM$1004:$BM$1004,1,MATCH(COLUMNS($AM$1006:AR1006),$AM$1006:$BM$1006,0)))),"Fix")))</f>
        <v xml:space="preserve"> </v>
      </c>
      <c r="H969" s="4" t="str">
        <f ca="1">IF(OR(INDEX($AG$2:$AG$1001,MATCH(ROWS($AF$2:AF969),$AF$2:$AF$1001,0),1)&gt;=100000,INDEX($AM$1005:$BM$1005,1,MATCH(COLUMNS($AM$1006:AS1006),$AM$1006:$BM$1006,0))&gt;=100000), " ",IF(INDEX($AM$2:$BM$1001,MATCH(ROWS($AF$2:AF969),$AF$2:$AF$1001,0),MATCH(COLUMNS($AM$1006:AS1006),$AM$1006:$BM$1006,0)), HYPERLINK("#",""), HYPERLINK(CONCATENATE("#metadata!", ADDRESS(INDEX($AH$2:$AH$1001,MATCH(ROWS($AF$2:AF969),$AF$2:$AF$1001,0),0), INDEX($AM$1004:$BM$1004,1,MATCH(COLUMNS($AM$1006:AS1006),$AM$1006:$BM$1006,0)))),"Fix")))</f>
        <v xml:space="preserve"> </v>
      </c>
      <c r="I969" s="4" t="str">
        <f ca="1">IF(OR(INDEX($AG$2:$AG$1001,MATCH(ROWS($AF$2:AF969),$AF$2:$AF$1001,0),1)&gt;=100000,INDEX($AM$1005:$BM$1005,1,MATCH(COLUMNS($AM$1006:AT1006),$AM$1006:$BM$1006,0))&gt;=100000), " ",IF(INDEX($AM$2:$BM$1001,MATCH(ROWS($AF$2:AF969),$AF$2:$AF$1001,0),MATCH(COLUMNS($AM$1006:AT1006),$AM$1006:$BM$1006,0)), HYPERLINK("#",""), HYPERLINK(CONCATENATE("#metadata!", ADDRESS(INDEX($AH$2:$AH$1001,MATCH(ROWS($AF$2:AF969),$AF$2:$AF$1001,0),0), INDEX($AM$1004:$BM$1004,1,MATCH(COLUMNS($AM$1006:AT1006),$AM$1006:$BM$1006,0)))),"Fix")))</f>
        <v xml:space="preserve"> </v>
      </c>
      <c r="J969" s="4" t="str">
        <f ca="1">IF(OR(INDEX($AG$2:$AG$1001,MATCH(ROWS($AF$2:AF969),$AF$2:$AF$1001,0),1)&gt;=100000,INDEX($AM$1005:$BM$1005,1,MATCH(COLUMNS($AM$1006:AU1006),$AM$1006:$BM$1006,0))&gt;=100000), " ",IF(INDEX($AM$2:$BM$1001,MATCH(ROWS($AF$2:AF969),$AF$2:$AF$1001,0),MATCH(COLUMNS($AM$1006:AU1006),$AM$1006:$BM$1006,0)), HYPERLINK("#",""), HYPERLINK(CONCATENATE("#metadata!", ADDRESS(INDEX($AH$2:$AH$1001,MATCH(ROWS($AF$2:AF969),$AF$2:$AF$1001,0),0), INDEX($AM$1004:$BM$1004,1,MATCH(COLUMNS($AM$1006:AU1006),$AM$1006:$BM$1006,0)))),"Fix")))</f>
        <v xml:space="preserve"> </v>
      </c>
      <c r="K969" s="4" t="str">
        <f ca="1">IF(OR(INDEX($AG$2:$AG$1001,MATCH(ROWS($AF$2:AF969),$AF$2:$AF$1001,0),1)&gt;=100000,INDEX($AM$1005:$BM$1005,1,MATCH(COLUMNS($AM$1006:AV1006),$AM$1006:$BM$1006,0))&gt;=100000), " ",IF(INDEX($AM$2:$BM$1001,MATCH(ROWS($AF$2:AF969),$AF$2:$AF$1001,0),MATCH(COLUMNS($AM$1006:AV1006),$AM$1006:$BM$1006,0)), HYPERLINK("#",""), HYPERLINK(CONCATENATE("#metadata!", ADDRESS(INDEX($AH$2:$AH$1001,MATCH(ROWS($AF$2:AF969),$AF$2:$AF$1001,0),0), INDEX($AM$1004:$BM$1004,1,MATCH(COLUMNS($AM$1006:AV1006),$AM$1006:$BM$1006,0)))),"Fix")))</f>
        <v xml:space="preserve"> </v>
      </c>
      <c r="L969" s="4" t="str">
        <f ca="1">IF(OR(INDEX($AG$2:$AG$1001,MATCH(ROWS($AF$2:AF969),$AF$2:$AF$1001,0),1)&gt;=100000,INDEX($AM$1005:$BM$1005,1,MATCH(COLUMNS($AM$1006:AW1006),$AM$1006:$BM$1006,0))&gt;=100000), " ",IF(INDEX($AM$2:$BM$1001,MATCH(ROWS($AF$2:AF969),$AF$2:$AF$1001,0),MATCH(COLUMNS($AM$1006:AW1006),$AM$1006:$BM$1006,0)), HYPERLINK("#",""), HYPERLINK(CONCATENATE("#metadata!", ADDRESS(INDEX($AH$2:$AH$1001,MATCH(ROWS($AF$2:AF969),$AF$2:$AF$1001,0),0), INDEX($AM$1004:$BM$1004,1,MATCH(COLUMNS($AM$1006:AW1006),$AM$1006:$BM$1006,0)))),"Fix")))</f>
        <v xml:space="preserve"> </v>
      </c>
      <c r="M969" s="4" t="str">
        <f ca="1">IF(OR(INDEX($AG$2:$AG$1001,MATCH(ROWS($AF$2:AF969),$AF$2:$AF$1001,0),1)&gt;=100000,INDEX($AM$1005:$BM$1005,1,MATCH(COLUMNS($AM$1006:AX1006),$AM$1006:$BM$1006,0))&gt;=100000), " ",IF(INDEX($AM$2:$BM$1001,MATCH(ROWS($AF$2:AF969),$AF$2:$AF$1001,0),MATCH(COLUMNS($AM$1006:AX1006),$AM$1006:$BM$1006,0)), HYPERLINK("#",""), HYPERLINK(CONCATENATE("#metadata!", ADDRESS(INDEX($AH$2:$AH$1001,MATCH(ROWS($AF$2:AF969),$AF$2:$AF$1001,0),0), INDEX($AM$1004:$BM$1004,1,MATCH(COLUMNS($AM$1006:AX1006),$AM$1006:$BM$1006,0)))),"Fix")))</f>
        <v xml:space="preserve"> </v>
      </c>
      <c r="N969" s="4" t="str">
        <f ca="1">IF(OR(INDEX($AG$2:$AG$1001,MATCH(ROWS($AF$2:AF969),$AF$2:$AF$1001,0),1)&gt;=100000,INDEX($AM$1005:$BM$1005,1,MATCH(COLUMNS($AM$1006:AY1006),$AM$1006:$BM$1006,0))&gt;=100000), " ",IF(INDEX($AM$2:$BM$1001,MATCH(ROWS($AF$2:AF969),$AF$2:$AF$1001,0),MATCH(COLUMNS($AM$1006:AY1006),$AM$1006:$BM$1006,0)), HYPERLINK("#",""), HYPERLINK(CONCATENATE("#metadata!", ADDRESS(INDEX($AH$2:$AH$1001,MATCH(ROWS($AF$2:AF969),$AF$2:$AF$1001,0),0), INDEX($AM$1004:$BM$1004,1,MATCH(COLUMNS($AM$1006:AY1006),$AM$1006:$BM$1006,0)))),"Fix")))</f>
        <v xml:space="preserve"> </v>
      </c>
      <c r="O969" s="4" t="str">
        <f ca="1">IF(OR(INDEX($AG$2:$AG$1001,MATCH(ROWS($AF$2:AF969),$AF$2:$AF$1001,0),1)&gt;=100000,INDEX($AM$1005:$BM$1005,1,MATCH(COLUMNS($AM$1006:AZ1006),$AM$1006:$BM$1006,0))&gt;=100000), " ",IF(INDEX($AM$2:$BM$1001,MATCH(ROWS($AF$2:AF969),$AF$2:$AF$1001,0),MATCH(COLUMNS($AM$1006:AZ1006),$AM$1006:$BM$1006,0)), HYPERLINK("#",""), HYPERLINK(CONCATENATE("#metadata!", ADDRESS(INDEX($AH$2:$AH$1001,MATCH(ROWS($AF$2:AF969),$AF$2:$AF$1001,0),0), INDEX($AM$1004:$BM$1004,1,MATCH(COLUMNS($AM$1006:AZ1006),$AM$1006:$BM$1006,0)))),"Fix")))</f>
        <v xml:space="preserve"> </v>
      </c>
      <c r="P969" s="4" t="str">
        <f ca="1">IF(OR(INDEX($AG$2:$AG$1001,MATCH(ROWS($AF$2:AF969),$AF$2:$AF$1001,0),1)&gt;=100000,INDEX($AM$1005:$BM$1005,1,MATCH(COLUMNS($AM$1006:BA1006),$AM$1006:$BM$1006,0))&gt;=100000), " ",IF(INDEX($AM$2:$BM$1001,MATCH(ROWS($AF$2:AF969),$AF$2:$AF$1001,0),MATCH(COLUMNS($AM$1006:BA1006),$AM$1006:$BM$1006,0)), HYPERLINK("#",""), HYPERLINK(CONCATENATE("#metadata!", ADDRESS(INDEX($AH$2:$AH$1001,MATCH(ROWS($AF$2:AF969),$AF$2:$AF$1001,0),0), INDEX($AM$1004:$BM$1004,1,MATCH(COLUMNS($AM$1006:BA1006),$AM$1006:$BM$1006,0)))),"Fix")))</f>
        <v xml:space="preserve"> </v>
      </c>
      <c r="Q969" s="4" t="str">
        <f ca="1">IF(OR(INDEX($AG$2:$AG$1001,MATCH(ROWS($AF$2:AF969),$AF$2:$AF$1001,0),1)&gt;=100000,INDEX($AM$1005:$BM$1005,1,MATCH(COLUMNS($AM$1006:BB1006),$AM$1006:$BM$1006,0))&gt;=100000), " ",IF(INDEX($AM$2:$BM$1001,MATCH(ROWS($AF$2:AF969),$AF$2:$AF$1001,0),MATCH(COLUMNS($AM$1006:BB1006),$AM$1006:$BM$1006,0)), HYPERLINK("#",""), HYPERLINK(CONCATENATE("#metadata!", ADDRESS(INDEX($AH$2:$AH$1001,MATCH(ROWS($AF$2:AF969),$AF$2:$AF$1001,0),0), INDEX($AM$1004:$BM$1004,1,MATCH(COLUMNS($AM$1006:BB1006),$AM$1006:$BM$1006,0)))),"Fix")))</f>
        <v xml:space="preserve"> </v>
      </c>
      <c r="R969" s="4" t="str">
        <f ca="1">IF(OR(INDEX($AG$2:$AG$1001,MATCH(ROWS($AF$2:AF969),$AF$2:$AF$1001,0),1)&gt;=100000,INDEX($AM$1005:$BM$1005,1,MATCH(COLUMNS($AM$1006:BC1006),$AM$1006:$BM$1006,0))&gt;=100000), " ",IF(INDEX($AM$2:$BM$1001,MATCH(ROWS($AF$2:AF969),$AF$2:$AF$1001,0),MATCH(COLUMNS($AM$1006:BC1006),$AM$1006:$BM$1006,0)), HYPERLINK("#",""), HYPERLINK(CONCATENATE("#metadata!", ADDRESS(INDEX($AH$2:$AH$1001,MATCH(ROWS($AF$2:AF969),$AF$2:$AF$1001,0),0), INDEX($AM$1004:$BM$1004,1,MATCH(COLUMNS($AM$1006:BC1006),$AM$1006:$BM$1006,0)))),"Fix")))</f>
        <v xml:space="preserve"> </v>
      </c>
      <c r="S969" s="4" t="str">
        <f ca="1">IF(OR(INDEX($AG$2:$AG$1001,MATCH(ROWS($AF$2:AF969),$AF$2:$AF$1001,0),1)&gt;=100000,INDEX($AM$1005:$BM$1005,1,MATCH(COLUMNS($AM$1006:BD1006),$AM$1006:$BM$1006,0))&gt;=100000), " ",IF(INDEX($AM$2:$BM$1001,MATCH(ROWS($AF$2:AF969),$AF$2:$AF$1001,0),MATCH(COLUMNS($AM$1006:BD1006),$AM$1006:$BM$1006,0)), HYPERLINK("#",""), HYPERLINK(CONCATENATE("#metadata!", ADDRESS(INDEX($AH$2:$AH$1001,MATCH(ROWS($AF$2:AF969),$AF$2:$AF$1001,0),0), INDEX($AM$1004:$BM$1004,1,MATCH(COLUMNS($AM$1006:BD1006),$AM$1006:$BM$1006,0)))),"Fix")))</f>
        <v xml:space="preserve"> </v>
      </c>
      <c r="T969" s="4" t="str">
        <f ca="1">IF(OR(INDEX($AG$2:$AG$1001,MATCH(ROWS($AF$2:AF969),$AF$2:$AF$1001,0),1)&gt;=100000,INDEX($AM$1005:$BM$1005,1,MATCH(COLUMNS($AM$1006:BE1006),$AM$1006:$BM$1006,0))&gt;=100000), " ",IF(INDEX($AM$2:$BM$1001,MATCH(ROWS($AF$2:AF969),$AF$2:$AF$1001,0),MATCH(COLUMNS($AM$1006:BE1006),$AM$1006:$BM$1006,0)), HYPERLINK("#",""), HYPERLINK(CONCATENATE("#metadata!", ADDRESS(INDEX($AH$2:$AH$1001,MATCH(ROWS($AF$2:AF969),$AF$2:$AF$1001,0),0), INDEX($AM$1004:$BM$1004,1,MATCH(COLUMNS($AM$1006:BE1006),$AM$1006:$BM$1006,0)))),"Fix")))</f>
        <v xml:space="preserve"> </v>
      </c>
      <c r="U969" s="4" t="str">
        <f ca="1">IF(OR(INDEX($AG$2:$AG$1001,MATCH(ROWS($AF$2:AF969),$AF$2:$AF$1001,0),1)&gt;=100000,INDEX($AM$1005:$BM$1005,1,MATCH(COLUMNS($AM$1006:BF1006),$AM$1006:$BM$1006,0))&gt;=100000), " ",IF(INDEX($AM$2:$BM$1001,MATCH(ROWS($AF$2:AF969),$AF$2:$AF$1001,0),MATCH(COLUMNS($AM$1006:BF1006),$AM$1006:$BM$1006,0)), HYPERLINK("#",""), HYPERLINK(CONCATENATE("#metadata!", ADDRESS(INDEX($AH$2:$AH$1001,MATCH(ROWS($AF$2:AF969),$AF$2:$AF$1001,0),0), INDEX($AM$1004:$BM$1004,1,MATCH(COLUMNS($AM$1006:BF1006),$AM$1006:$BM$1006,0)))),"Fix")))</f>
        <v xml:space="preserve"> </v>
      </c>
      <c r="V969" s="4" t="str">
        <f ca="1">IF(OR(INDEX($AG$2:$AG$1001,MATCH(ROWS($AF$2:AF969),$AF$2:$AF$1001,0),1)&gt;=100000,INDEX($AM$1005:$BM$1005,1,MATCH(COLUMNS($AM$1006:BG1006),$AM$1006:$BM$1006,0))&gt;=100000), " ",IF(INDEX($AM$2:$BM$1001,MATCH(ROWS($AF$2:AF969),$AF$2:$AF$1001,0),MATCH(COLUMNS($AM$1006:BG1006),$AM$1006:$BM$1006,0)), HYPERLINK("#",""), HYPERLINK(CONCATENATE("#metadata!", ADDRESS(INDEX($AH$2:$AH$1001,MATCH(ROWS($AF$2:AF969),$AF$2:$AF$1001,0),0), INDEX($AM$1004:$BM$1004,1,MATCH(COLUMNS($AM$1006:BG1006),$AM$1006:$BM$1006,0)))),"Fix")))</f>
        <v xml:space="preserve"> </v>
      </c>
      <c r="W969" s="4" t="str">
        <f ca="1">IF(OR(INDEX($AG$2:$AG$1001,MATCH(ROWS($AF$2:AF969),$AF$2:$AF$1001,0),1)&gt;=100000,INDEX($AM$1005:$BM$1005,1,MATCH(COLUMNS($AM$1006:BH1006),$AM$1006:$BM$1006,0))&gt;=100000), " ",IF(INDEX($AM$2:$BM$1001,MATCH(ROWS($AF$2:AF969),$AF$2:$AF$1001,0),MATCH(COLUMNS($AM$1006:BH1006),$AM$1006:$BM$1006,0)), HYPERLINK("#",""), HYPERLINK(CONCATENATE("#metadata!", ADDRESS(INDEX($AH$2:$AH$1001,MATCH(ROWS($AF$2:AF969),$AF$2:$AF$1001,0),0), INDEX($AM$1004:$BM$1004,1,MATCH(COLUMNS($AM$1006:BH1006),$AM$1006:$BM$1006,0)))),"Fix")))</f>
        <v xml:space="preserve"> </v>
      </c>
      <c r="X969" s="4" t="str">
        <f ca="1">IF(OR(INDEX($AG$2:$AG$1001,MATCH(ROWS($AF$2:AF969),$AF$2:$AF$1001,0),1)&gt;=100000,INDEX($AM$1005:$BM$1005,1,MATCH(COLUMNS($AM$1006:BI1006),$AM$1006:$BM$1006,0))&gt;=100000), " ",IF(INDEX($AM$2:$BM$1001,MATCH(ROWS($AF$2:AF969),$AF$2:$AF$1001,0),MATCH(COLUMNS($AM$1006:BI1006),$AM$1006:$BM$1006,0)), HYPERLINK("#",""), HYPERLINK(CONCATENATE("#metadata!", ADDRESS(INDEX($AH$2:$AH$1001,MATCH(ROWS($AF$2:AF969),$AF$2:$AF$1001,0),0), INDEX($AM$1004:$BM$1004,1,MATCH(COLUMNS($AM$1006:BI1006),$AM$1006:$BM$1006,0)))),"Fix")))</f>
        <v xml:space="preserve"> </v>
      </c>
      <c r="Y969" s="4" t="str">
        <f ca="1">IF(OR(INDEX($AG$2:$AG$1001,MATCH(ROWS($AF$2:AF969),$AF$2:$AF$1001,0),1)&gt;=100000,INDEX($AM$1005:$BM$1005,1,MATCH(COLUMNS($AM$1006:BJ1006),$AM$1006:$BM$1006,0))&gt;=100000), " ",IF(INDEX($AM$2:$BM$1001,MATCH(ROWS($AF$2:AF969),$AF$2:$AF$1001,0),MATCH(COLUMNS($AM$1006:BJ1006),$AM$1006:$BM$1006,0)), HYPERLINK("#",""), HYPERLINK(CONCATENATE("#metadata!", ADDRESS(INDEX($AH$2:$AH$1001,MATCH(ROWS($AF$2:AF969),$AF$2:$AF$1001,0),0), INDEX($AM$1004:$BM$1004,1,MATCH(COLUMNS($AM$1006:BJ1006),$AM$1006:$BM$1006,0)))),"Fix")))</f>
        <v xml:space="preserve"> </v>
      </c>
      <c r="Z969" s="4" t="str">
        <f ca="1">IF(OR(INDEX($AG$2:$AG$1001,MATCH(ROWS($AF$2:AF969),$AF$2:$AF$1001,0),1)&gt;=100000,INDEX($AM$1005:$BM$1005,1,MATCH(COLUMNS($AM$1006:BK1006),$AM$1006:$BM$1006,0))&gt;=100000), " ",IF(INDEX($AM$2:$BM$1001,MATCH(ROWS($AF$2:AF969),$AF$2:$AF$1001,0),MATCH(COLUMNS($AM$1006:BK1006),$AM$1006:$BM$1006,0)), HYPERLINK("#",""), HYPERLINK(CONCATENATE("#metadata!", ADDRESS(INDEX($AH$2:$AH$1001,MATCH(ROWS($AF$2:AF969),$AF$2:$AF$1001,0),0), INDEX($AM$1004:$BM$1004,1,MATCH(COLUMNS($AM$1006:BK1006),$AM$1006:$BM$1006,0)))),"Fix")))</f>
        <v xml:space="preserve"> </v>
      </c>
      <c r="AA969" s="4" t="str">
        <f ca="1">IF(OR(INDEX($AG$2:$AG$1001,MATCH(ROWS($AF$2:AF969),$AF$2:$AF$1001,0),1)&gt;=100000,INDEX($AM$1005:$BM$1005,1,MATCH(COLUMNS($AM$1006:BL1006),$AM$1006:$BM$1006,0))&gt;=100000), " ",IF(INDEX($AM$2:$BM$1001,MATCH(ROWS($AF$2:AF969),$AF$2:$AF$1001,0),MATCH(COLUMNS($AM$1006:BL1006),$AM$1006:$BM$1006,0)), HYPERLINK("#",""), HYPERLINK(CONCATENATE("#metadata!", ADDRESS(INDEX($AH$2:$AH$1001,MATCH(ROWS($AF$2:AF969),$AF$2:$AF$1001,0),0), INDEX($AM$1004:$BM$1004,1,MATCH(COLUMNS($AM$1006:BL1006),$AM$1006:$BM$1006,0)))),"Fix")))</f>
        <v xml:space="preserve"> </v>
      </c>
      <c r="AB969" s="4" t="str">
        <f ca="1">IF(OR(INDEX($AG$2:$AG$1001,MATCH(ROWS($AF$2:AF969),$AF$2:$AF$1001,0),1)&gt;=100000,INDEX($AM$1005:$BM$1005,1,MATCH(COLUMNS($AM$1006:BM1006),$AM$1006:$BM$1006,0))&gt;=100000), " ",IF(INDEX($AM$2:$BM$1001,MATCH(ROWS($AF$2:AF969),$AF$2:$AF$1001,0),MATCH(COLUMNS($AM$1006:BM1006),$AM$1006:$BM$1006,0)), HYPERLINK("#",""), HYPERLINK(CONCATENATE("#metadata!", ADDRESS(INDEX($AH$2:$AH$1001,MATCH(ROWS($AF$2:AF969),$AF$2:$AF$1001,0),0), INDEX($AM$1004:$BM$1004,1,MATCH(COLUMNS($AM$1006:BM1006),$AM$1006:$BM$1006,0)))),"Fix")))</f>
        <v xml:space="preserve"> </v>
      </c>
      <c r="AF969">
        <v>968</v>
      </c>
      <c r="AG969">
        <v>100969</v>
      </c>
      <c r="AH969">
        <v>969</v>
      </c>
      <c r="AI969" t="b">
        <f t="shared" si="15"/>
        <v>1</v>
      </c>
      <c r="AJ969" t="b">
        <f>COUNTBLANK(metadata!B969:AB969)=COLUMNS(metadata!B969:AB969)</f>
        <v>1</v>
      </c>
      <c r="AK969" t="str">
        <v/>
      </c>
      <c r="AM969" t="b">
        <f ca="1">AND(IF(metadata!B969="",FALSE,TRUE),COUNTIF(metadata!B:B, metadata!B969) = 1,NOT(ISERROR(SUMPRODUCT(SEARCH(MID(metadata!B969,ROW(INDIRECT("1:"&amp;LEN(metadata!B969))), 1),"0123456789abcdefghijklmnopqrstuvwxyzABCDEFGHIJKLMNOPQRSTUVWXYZ.")))))</f>
        <v>0</v>
      </c>
      <c r="AN969" t="b">
        <f ca="1">OR(AND(IF(metadata!C969="",FALSE,TRUE),OR(EXACT(metadata!C969,"missing: not collected"),EXACT(metadata!C969,"missing: not provided"),EXACT(metadata!C969,"missing: restricted access"))),AND(IF(metadata!C969="",FALSE,TRUE),AND(AND(IFERROR(INT(LEFT(metadata!C969,4))&gt;1900,FALSE),IFERROR(INT(LEFT(metadata!C969,4))&lt;=YEAR(NOW()),FALSE)), OR(MID(metadata!C969,5,1)="", AND(AND(MID(metadata!C969,5,1)="-",IFERROR(INT(MID(metadata!C969,6,1))&gt;=0,FALSE),IFERROR(INT(MID(metadata!C969,6,1))&lt;=1,FALSE),NOT(MID(metadata!C969,7,1)=""),IFERROR(INT(MID(metadata!C969,6,2))&gt;=1,FALSE),IFERROR(INT(MID(metadata!C969,6,2))&lt;=12,FALSE)), OR(MID(metadata!C969,8,1)="", AND(AND(MID(metadata!C969,8,1)="-",IFERROR(INT(MID(metadata!C969,9,1))&gt;=0,FALSE),IFERROR(INT(MID(metadata!C969,9,1))&lt;=3,FALSE),NOT(MID(metadata!C969,10,1)=""),IFERROR(INT(MID(metadata!C969,9,2))&gt;=1,FALSE),IFERROR(INT(MID(metadata!C969,9,2))&lt;=31,FALSE)), OR(MID(metadata!C969,11,1)="", AND(AND(MID(metadata!C969,11,1)=" ",IFERROR(INT(MID(metadata!C969,12,1))&gt;=0,FALSE),IFERROR(INT(MID(metadata!C969,12,1))&lt;=2,FALSE),NOT(MID(metadata!C969,13,1)=""),IFERROR(INT(MID(metadata!C969,12,2))&gt;=0,FALSE),IFERROR(INT(MID(metadata!C969,12,2))&lt;=23,FALSE)), OR(MID(metadata!C969,14,1)="", AND(AND(MID(metadata!C969,14,1)=":",IFERROR(INT(MID(metadata!C969,15,1))&gt;=0,FALSE),IFERROR(INT(MID(metadata!C969,15,1))&lt;=5,FALSE),NOT(MID(metadata!C969,16,1)=""),IFERROR(INT(MID(metadata!C969,15,2))&gt;=0,FALSE),IFERROR(INT(MID(metadata!C969,15,2))&lt;=59,FALSE)), OR(MID(metadata!C969,17,1)="", AND(AND(MID(metadata!C969,17,1)=":",IFERROR(INT(MID(metadata!C969,18,1))&gt;=0,FALSE),IFERROR(INT(MID(metadata!C969,18,1))&lt;=5,FALSE),NOT(MID(metadata!C969,19,1)=""),IFERROR(INT(MID(metadata!C969,18,2))&gt;=0,FALSE),IFERROR(INT(MID(metadata!C969,18,2))&lt;=59,FALSE)), LEN(metadata!C969)&lt;=19)))))))))))))</f>
        <v>0</v>
      </c>
      <c r="AO969" t="b">
        <f>AND(IF(metadata!D969="",FALSE,TRUE),EXACT(metadata!D969,"Not applicable"))</f>
        <v>0</v>
      </c>
      <c r="AP969" t="b">
        <f>IF(metadata!E969="",FALSE,TRUE)</f>
        <v>0</v>
      </c>
      <c r="AQ969" t="b">
        <f>OR(AND(IF(metadata!F969="",FALSE,TRUE),OR(EXACT(metadata!F969,"missing: not collected"),EXACT(metadata!F969,"missing: not provided"))),AND(IF(metadata!F969="",FALSE,TRUE),OR(EXACT(metadata!F969,"TRUE"),EXACT(metadata!F969,"FALSE"))))</f>
        <v>0</v>
      </c>
      <c r="AR969" t="b">
        <f>OR(AND(IF(metadata!G969="",FALSE,TRUE),OR(EXACT(metadata!G969,"missing: not collected"),EXACT(metadata!G969,"missing: not provided"),EXACT(metadata!G969,"missing: restricted access"))),AND(IF(metadata!G969="",FALSE,ISNUMBER(VALUE(metadata!G969))),metadata!G969&gt;=-413))</f>
        <v>0</v>
      </c>
      <c r="AS969" t="b">
        <f>AND(IF(metadata!H969="",FALSE,TRUE),EXACT(metadata!H969,"meters"))</f>
        <v>0</v>
      </c>
      <c r="AT969" t="b">
        <f>AND(IF(metadata!I969="",FALSE,TRUE),OR(EXACT(metadata!I969,"Host-associated"),EXACT(metadata!I969,"Free-living")))</f>
        <v>0</v>
      </c>
      <c r="AU969" t="b">
        <f>AND(IF(metadata!J969="",FALSE,TRUE),OR(EXACT(metadata!J969,"Animal"),EXACT(metadata!J969,"Fungus"),EXACT(metadata!J969,"Plant"),EXACT(metadata!J969,"Saline"),EXACT(metadata!J969,"Non-saline")))</f>
        <v>0</v>
      </c>
      <c r="AV969" t="b">
        <f>AND(IF(metadata!K969="",FALSE,TRUE),OR(EXACT(metadata!K969,"Plant secretion"),EXACT(metadata!K969,"Plant rhizosphere"),EXACT(metadata!K969,"Plant surface"),EXACT(metadata!K969,"Plant corpus"),EXACT(metadata!K969,"Fungus surface"),EXACT(metadata!K969,"Fungus corpus"),EXACT(metadata!K969,"Animal surface"),EXACT(metadata!K969,"Animal proximal gut"),EXACT(metadata!K969,"Animal corpus"),EXACT(metadata!K969,"Animal distal gut"),EXACT(metadata!K969,"Animal secretion"),EXACT(metadata!K969,"Sub-surface (non-saline)"),EXACT(metadata!K969,"Surface (non-saline)"),EXACT(metadata!K969,"Water (non-saline)"),EXACT(metadata!K969,"Soil (non-saline)"),EXACT(metadata!K969,"Aerosol (non-saline)"),EXACT(metadata!K969,"Sediment (non-saline)"),EXACT(metadata!K969,"Surface (saline)"),EXACT(metadata!K969,"Water (saline)"),EXACT(metadata!K969,"Hypersaline (saline)"),EXACT(metadata!K969,"Aerosol (saline)"),EXACT(metadata!K969,"Sediment (saline)")))</f>
        <v>0</v>
      </c>
      <c r="AW969" t="b">
        <f>IF(metadata!L969="",FALSE,TRUE)</f>
        <v>0</v>
      </c>
      <c r="AX969" t="b">
        <f>IF(metadata!M969="",FALSE,TRUE)</f>
        <v>0</v>
      </c>
      <c r="AY969" t="b">
        <f>IF(metadata!N969="",FALSE,TRUE)</f>
        <v>0</v>
      </c>
      <c r="AZ969" t="b">
        <f>OR(AND(IF(metadata!O969="",FALSE,TRUE),OR(EXACT(metadata!O969,"missing: not collected"),EXACT(metadata!O969,"missing: not provided"),EXACT(metadata!O969,"missing: restricted access"))),AND(IF(metadata!O969="",FALSE,TRUE),OR(EXACT(metadata!O969,"air"),EXACT(metadata!O969,"built environment"),EXACT(metadata!O969,"host-associated"),EXACT(metadata!O969,"human-associated"),EXACT(metadata!O969,"human-skin"),EXACT(metadata!O969,"human-oral"),EXACT(metadata!O969,"human-gut"),EXACT(metadata!O969,"human-vaginal"),EXACT(metadata!O969,"microbial mat/biofilm"),EXACT(metadata!O969,"misc environment"),EXACT(metadata!O969,"plant-associated"),EXACT(metadata!O969,"sediment"),EXACT(metadata!O969,"soil"),EXACT(metadata!O969,"wastewater/sludge"),EXACT(metadata!O969,"water"))))</f>
        <v>0</v>
      </c>
      <c r="BA969" t="b">
        <f>IF(metadata!P969="",FALSE,TRUE)</f>
        <v>0</v>
      </c>
      <c r="BB969" t="b">
        <f>IF(metadata!Q969="",FALSE,TRUE)</f>
        <v>0</v>
      </c>
      <c r="BC969" t="b">
        <f>OR(AND(IF(metadata!R969="",FALSE,TRUE),OR(EXACT(metadata!R969,"missing: not collected"),EXACT(metadata!R969,"missing: not provided"),EXACT(metadata!R969,"missing: restricted access"))),AND(IF(metadata!R969="",FALSE,ISNUMBER(VALUE(metadata!R969))),metadata!R969&gt;=-90,metadata!R969&lt;=90))</f>
        <v>0</v>
      </c>
      <c r="BD969" t="b">
        <f>AND(IF(metadata!S969="",FALSE,TRUE),EXACT(metadata!S969,"Decimal degrees"))</f>
        <v>0</v>
      </c>
      <c r="BE969" t="b">
        <f>OR(AND(IF(metadata!T969="",FALSE,TRUE),OR(EXACT(metadata!T969,"missing: not collected"),EXACT(metadata!T969,"missing: not provided"),EXACT(metadata!T969,"missing: restricted access"))),AND(IF(metadata!T969="",FALSE,ISNUMBER(VALUE(metadata!T969))),metadata!T969&gt;=-180,metadata!T969&lt;=180))</f>
        <v>0</v>
      </c>
      <c r="BF969" t="b">
        <f>AND(IF(metadata!U969="",FALSE,TRUE),EXACT(metadata!U969,"Decimal degrees"))</f>
        <v>0</v>
      </c>
      <c r="BG969" t="b">
        <f>IF(metadata!V969="",FALSE,TRUE)</f>
        <v>0</v>
      </c>
      <c r="BH969" t="b">
        <f>OR(AND(IF(metadata!W969="",FALSE,TRUE),OR(EXACT(metadata!W969,"missing: not collected"),EXACT(metadata!W969,"missing: not provided"),EXACT(metadata!W969,"missing: restricted access"))),AND(IF(metadata!W969="",FALSE,TRUE),OR(EXACT(metadata!W969,"TRUE"),EXACT(metadata!W969,"FALSE"))))</f>
        <v>0</v>
      </c>
      <c r="BI969" t="b">
        <f>AND(IF(metadata!X969="",FALSE,TRUE),EXACT(metadata!X969,"other"))</f>
        <v>0</v>
      </c>
      <c r="BJ969" t="b">
        <f>IF(metadata!Y969="",FALSE,TRUE)</f>
        <v>0</v>
      </c>
      <c r="BK969" t="b">
        <f>OR(AND(IF(metadata!Z969="",FALSE,TRUE),OR(EXACT(metadata!Z969,"missing: not collected"),EXACT(metadata!Z969,"missing: not provided"))),AND(IF(metadata!Z969="",FALSE,IF(ISERROR(INT(metadata!Z969)),FALSE,INT(metadata!Z969)=metadata!Z969)),metadata!Z969&gt;0))</f>
        <v>0</v>
      </c>
      <c r="BL969" t="b">
        <f>AND(IF(metadata!AA969="",FALSE,TRUE),EXACT(metadata!AA969,"Not applicable"))</f>
        <v>0</v>
      </c>
      <c r="BM969" t="b">
        <f>IF(metadata!AB969="",FALSE,TRUE)</f>
        <v>0</v>
      </c>
    </row>
    <row r="970" spans="1:65" x14ac:dyDescent="0.2">
      <c r="A970" s="5" t="str">
        <f ca="1">IF(B970=" "," ",HYPERLINK(CONCATENATE("#metadata!",ADDRESS(INDEX($AH$2:$AH$1001,MATCH(ROWS($AF$2:AF970),$AF$2:$AF$1001,0),0),1)),INDEX($AK$2:$AK$1001,MATCH(ROWS($AF$2:AF970),$AF$2:$AF$1001,0),0)))</f>
        <v xml:space="preserve"> </v>
      </c>
      <c r="B970" s="4" t="str">
        <f ca="1">IF(OR(INDEX($AG$2:$AG$1001,MATCH(ROWS($AF$2:AF970),$AF$2:$AF$1001,0),1)&gt;=100000,INDEX($AM$1005:$BM$1005,1,MATCH(COLUMNS($AM$1006:AM1006),$AM$1006:$BM$1006,0))&gt;=100000), " ",IF(INDEX($AM$2:$BM$1001,MATCH(ROWS($AF$2:AF970),$AF$2:$AF$1001,0),MATCH(COLUMNS($AM$1006:AM1006),$AM$1006:$BM$1006,0)), HYPERLINK("#",""), HYPERLINK(CONCATENATE("#metadata!", ADDRESS(INDEX($AH$2:$AH$1001,MATCH(ROWS($AF$2:AF970),$AF$2:$AF$1001,0),0), INDEX($AM$1004:$BM$1004,1,MATCH(COLUMNS($AM$1006:AM1006),$AM$1006:$BM$1006,0)))),"Fix")))</f>
        <v xml:space="preserve"> </v>
      </c>
      <c r="C970" s="4" t="str">
        <f ca="1">IF(OR(INDEX($AG$2:$AG$1001,MATCH(ROWS($AF$2:AF970),$AF$2:$AF$1001,0),1)&gt;=100000,INDEX($AM$1005:$BM$1005,1,MATCH(COLUMNS($AM$1006:AN1006),$AM$1006:$BM$1006,0))&gt;=100000), " ",IF(INDEX($AM$2:$BM$1001,MATCH(ROWS($AF$2:AF970),$AF$2:$AF$1001,0),MATCH(COLUMNS($AM$1006:AN1006),$AM$1006:$BM$1006,0)), HYPERLINK("#",""), HYPERLINK(CONCATENATE("#metadata!", ADDRESS(INDEX($AH$2:$AH$1001,MATCH(ROWS($AF$2:AF970),$AF$2:$AF$1001,0),0), INDEX($AM$1004:$BM$1004,1,MATCH(COLUMNS($AM$1006:AN1006),$AM$1006:$BM$1006,0)))),"Fix")))</f>
        <v xml:space="preserve"> </v>
      </c>
      <c r="D970" s="4" t="str">
        <f ca="1">IF(OR(INDEX($AG$2:$AG$1001,MATCH(ROWS($AF$2:AF970),$AF$2:$AF$1001,0),1)&gt;=100000,INDEX($AM$1005:$BM$1005,1,MATCH(COLUMNS($AM$1006:AO1006),$AM$1006:$BM$1006,0))&gt;=100000), " ",IF(INDEX($AM$2:$BM$1001,MATCH(ROWS($AF$2:AF970),$AF$2:$AF$1001,0),MATCH(COLUMNS($AM$1006:AO1006),$AM$1006:$BM$1006,0)), HYPERLINK("#",""), HYPERLINK(CONCATENATE("#metadata!", ADDRESS(INDEX($AH$2:$AH$1001,MATCH(ROWS($AF$2:AF970),$AF$2:$AF$1001,0),0), INDEX($AM$1004:$BM$1004,1,MATCH(COLUMNS($AM$1006:AO1006),$AM$1006:$BM$1006,0)))),"Fix")))</f>
        <v xml:space="preserve"> </v>
      </c>
      <c r="E970" s="4" t="str">
        <f ca="1">IF(OR(INDEX($AG$2:$AG$1001,MATCH(ROWS($AF$2:AF970),$AF$2:$AF$1001,0),1)&gt;=100000,INDEX($AM$1005:$BM$1005,1,MATCH(COLUMNS($AM$1006:AP1006),$AM$1006:$BM$1006,0))&gt;=100000), " ",IF(INDEX($AM$2:$BM$1001,MATCH(ROWS($AF$2:AF970),$AF$2:$AF$1001,0),MATCH(COLUMNS($AM$1006:AP1006),$AM$1006:$BM$1006,0)), HYPERLINK("#",""), HYPERLINK(CONCATENATE("#metadata!", ADDRESS(INDEX($AH$2:$AH$1001,MATCH(ROWS($AF$2:AF970),$AF$2:$AF$1001,0),0), INDEX($AM$1004:$BM$1004,1,MATCH(COLUMNS($AM$1006:AP1006),$AM$1006:$BM$1006,0)))),"Fix")))</f>
        <v xml:space="preserve"> </v>
      </c>
      <c r="F970" s="4" t="str">
        <f ca="1">IF(OR(INDEX($AG$2:$AG$1001,MATCH(ROWS($AF$2:AF970),$AF$2:$AF$1001,0),1)&gt;=100000,INDEX($AM$1005:$BM$1005,1,MATCH(COLUMNS($AM$1006:AQ1006),$AM$1006:$BM$1006,0))&gt;=100000), " ",IF(INDEX($AM$2:$BM$1001,MATCH(ROWS($AF$2:AF970),$AF$2:$AF$1001,0),MATCH(COLUMNS($AM$1006:AQ1006),$AM$1006:$BM$1006,0)), HYPERLINK("#",""), HYPERLINK(CONCATENATE("#metadata!", ADDRESS(INDEX($AH$2:$AH$1001,MATCH(ROWS($AF$2:AF970),$AF$2:$AF$1001,0),0), INDEX($AM$1004:$BM$1004,1,MATCH(COLUMNS($AM$1006:AQ1006),$AM$1006:$BM$1006,0)))),"Fix")))</f>
        <v xml:space="preserve"> </v>
      </c>
      <c r="G970" s="4" t="str">
        <f ca="1">IF(OR(INDEX($AG$2:$AG$1001,MATCH(ROWS($AF$2:AF970),$AF$2:$AF$1001,0),1)&gt;=100000,INDEX($AM$1005:$BM$1005,1,MATCH(COLUMNS($AM$1006:AR1006),$AM$1006:$BM$1006,0))&gt;=100000), " ",IF(INDEX($AM$2:$BM$1001,MATCH(ROWS($AF$2:AF970),$AF$2:$AF$1001,0),MATCH(COLUMNS($AM$1006:AR1006),$AM$1006:$BM$1006,0)), HYPERLINK("#",""), HYPERLINK(CONCATENATE("#metadata!", ADDRESS(INDEX($AH$2:$AH$1001,MATCH(ROWS($AF$2:AF970),$AF$2:$AF$1001,0),0), INDEX($AM$1004:$BM$1004,1,MATCH(COLUMNS($AM$1006:AR1006),$AM$1006:$BM$1006,0)))),"Fix")))</f>
        <v xml:space="preserve"> </v>
      </c>
      <c r="H970" s="4" t="str">
        <f ca="1">IF(OR(INDEX($AG$2:$AG$1001,MATCH(ROWS($AF$2:AF970),$AF$2:$AF$1001,0),1)&gt;=100000,INDEX($AM$1005:$BM$1005,1,MATCH(COLUMNS($AM$1006:AS1006),$AM$1006:$BM$1006,0))&gt;=100000), " ",IF(INDEX($AM$2:$BM$1001,MATCH(ROWS($AF$2:AF970),$AF$2:$AF$1001,0),MATCH(COLUMNS($AM$1006:AS1006),$AM$1006:$BM$1006,0)), HYPERLINK("#",""), HYPERLINK(CONCATENATE("#metadata!", ADDRESS(INDEX($AH$2:$AH$1001,MATCH(ROWS($AF$2:AF970),$AF$2:$AF$1001,0),0), INDEX($AM$1004:$BM$1004,1,MATCH(COLUMNS($AM$1006:AS1006),$AM$1006:$BM$1006,0)))),"Fix")))</f>
        <v xml:space="preserve"> </v>
      </c>
      <c r="I970" s="4" t="str">
        <f ca="1">IF(OR(INDEX($AG$2:$AG$1001,MATCH(ROWS($AF$2:AF970),$AF$2:$AF$1001,0),1)&gt;=100000,INDEX($AM$1005:$BM$1005,1,MATCH(COLUMNS($AM$1006:AT1006),$AM$1006:$BM$1006,0))&gt;=100000), " ",IF(INDEX($AM$2:$BM$1001,MATCH(ROWS($AF$2:AF970),$AF$2:$AF$1001,0),MATCH(COLUMNS($AM$1006:AT1006),$AM$1006:$BM$1006,0)), HYPERLINK("#",""), HYPERLINK(CONCATENATE("#metadata!", ADDRESS(INDEX($AH$2:$AH$1001,MATCH(ROWS($AF$2:AF970),$AF$2:$AF$1001,0),0), INDEX($AM$1004:$BM$1004,1,MATCH(COLUMNS($AM$1006:AT1006),$AM$1006:$BM$1006,0)))),"Fix")))</f>
        <v xml:space="preserve"> </v>
      </c>
      <c r="J970" s="4" t="str">
        <f ca="1">IF(OR(INDEX($AG$2:$AG$1001,MATCH(ROWS($AF$2:AF970),$AF$2:$AF$1001,0),1)&gt;=100000,INDEX($AM$1005:$BM$1005,1,MATCH(COLUMNS($AM$1006:AU1006),$AM$1006:$BM$1006,0))&gt;=100000), " ",IF(INDEX($AM$2:$BM$1001,MATCH(ROWS($AF$2:AF970),$AF$2:$AF$1001,0),MATCH(COLUMNS($AM$1006:AU1006),$AM$1006:$BM$1006,0)), HYPERLINK("#",""), HYPERLINK(CONCATENATE("#metadata!", ADDRESS(INDEX($AH$2:$AH$1001,MATCH(ROWS($AF$2:AF970),$AF$2:$AF$1001,0),0), INDEX($AM$1004:$BM$1004,1,MATCH(COLUMNS($AM$1006:AU1006),$AM$1006:$BM$1006,0)))),"Fix")))</f>
        <v xml:space="preserve"> </v>
      </c>
      <c r="K970" s="4" t="str">
        <f ca="1">IF(OR(INDEX($AG$2:$AG$1001,MATCH(ROWS($AF$2:AF970),$AF$2:$AF$1001,0),1)&gt;=100000,INDEX($AM$1005:$BM$1005,1,MATCH(COLUMNS($AM$1006:AV1006),$AM$1006:$BM$1006,0))&gt;=100000), " ",IF(INDEX($AM$2:$BM$1001,MATCH(ROWS($AF$2:AF970),$AF$2:$AF$1001,0),MATCH(COLUMNS($AM$1006:AV1006),$AM$1006:$BM$1006,0)), HYPERLINK("#",""), HYPERLINK(CONCATENATE("#metadata!", ADDRESS(INDEX($AH$2:$AH$1001,MATCH(ROWS($AF$2:AF970),$AF$2:$AF$1001,0),0), INDEX($AM$1004:$BM$1004,1,MATCH(COLUMNS($AM$1006:AV1006),$AM$1006:$BM$1006,0)))),"Fix")))</f>
        <v xml:space="preserve"> </v>
      </c>
      <c r="L970" s="4" t="str">
        <f ca="1">IF(OR(INDEX($AG$2:$AG$1001,MATCH(ROWS($AF$2:AF970),$AF$2:$AF$1001,0),1)&gt;=100000,INDEX($AM$1005:$BM$1005,1,MATCH(COLUMNS($AM$1006:AW1006),$AM$1006:$BM$1006,0))&gt;=100000), " ",IF(INDEX($AM$2:$BM$1001,MATCH(ROWS($AF$2:AF970),$AF$2:$AF$1001,0),MATCH(COLUMNS($AM$1006:AW1006),$AM$1006:$BM$1006,0)), HYPERLINK("#",""), HYPERLINK(CONCATENATE("#metadata!", ADDRESS(INDEX($AH$2:$AH$1001,MATCH(ROWS($AF$2:AF970),$AF$2:$AF$1001,0),0), INDEX($AM$1004:$BM$1004,1,MATCH(COLUMNS($AM$1006:AW1006),$AM$1006:$BM$1006,0)))),"Fix")))</f>
        <v xml:space="preserve"> </v>
      </c>
      <c r="M970" s="4" t="str">
        <f ca="1">IF(OR(INDEX($AG$2:$AG$1001,MATCH(ROWS($AF$2:AF970),$AF$2:$AF$1001,0),1)&gt;=100000,INDEX($AM$1005:$BM$1005,1,MATCH(COLUMNS($AM$1006:AX1006),$AM$1006:$BM$1006,0))&gt;=100000), " ",IF(INDEX($AM$2:$BM$1001,MATCH(ROWS($AF$2:AF970),$AF$2:$AF$1001,0),MATCH(COLUMNS($AM$1006:AX1006),$AM$1006:$BM$1006,0)), HYPERLINK("#",""), HYPERLINK(CONCATENATE("#metadata!", ADDRESS(INDEX($AH$2:$AH$1001,MATCH(ROWS($AF$2:AF970),$AF$2:$AF$1001,0),0), INDEX($AM$1004:$BM$1004,1,MATCH(COLUMNS($AM$1006:AX1006),$AM$1006:$BM$1006,0)))),"Fix")))</f>
        <v xml:space="preserve"> </v>
      </c>
      <c r="N970" s="4" t="str">
        <f ca="1">IF(OR(INDEX($AG$2:$AG$1001,MATCH(ROWS($AF$2:AF970),$AF$2:$AF$1001,0),1)&gt;=100000,INDEX($AM$1005:$BM$1005,1,MATCH(COLUMNS($AM$1006:AY1006),$AM$1006:$BM$1006,0))&gt;=100000), " ",IF(INDEX($AM$2:$BM$1001,MATCH(ROWS($AF$2:AF970),$AF$2:$AF$1001,0),MATCH(COLUMNS($AM$1006:AY1006),$AM$1006:$BM$1006,0)), HYPERLINK("#",""), HYPERLINK(CONCATENATE("#metadata!", ADDRESS(INDEX($AH$2:$AH$1001,MATCH(ROWS($AF$2:AF970),$AF$2:$AF$1001,0),0), INDEX($AM$1004:$BM$1004,1,MATCH(COLUMNS($AM$1006:AY1006),$AM$1006:$BM$1006,0)))),"Fix")))</f>
        <v xml:space="preserve"> </v>
      </c>
      <c r="O970" s="4" t="str">
        <f ca="1">IF(OR(INDEX($AG$2:$AG$1001,MATCH(ROWS($AF$2:AF970),$AF$2:$AF$1001,0),1)&gt;=100000,INDEX($AM$1005:$BM$1005,1,MATCH(COLUMNS($AM$1006:AZ1006),$AM$1006:$BM$1006,0))&gt;=100000), " ",IF(INDEX($AM$2:$BM$1001,MATCH(ROWS($AF$2:AF970),$AF$2:$AF$1001,0),MATCH(COLUMNS($AM$1006:AZ1006),$AM$1006:$BM$1006,0)), HYPERLINK("#",""), HYPERLINK(CONCATENATE("#metadata!", ADDRESS(INDEX($AH$2:$AH$1001,MATCH(ROWS($AF$2:AF970),$AF$2:$AF$1001,0),0), INDEX($AM$1004:$BM$1004,1,MATCH(COLUMNS($AM$1006:AZ1006),$AM$1006:$BM$1006,0)))),"Fix")))</f>
        <v xml:space="preserve"> </v>
      </c>
      <c r="P970" s="4" t="str">
        <f ca="1">IF(OR(INDEX($AG$2:$AG$1001,MATCH(ROWS($AF$2:AF970),$AF$2:$AF$1001,0),1)&gt;=100000,INDEX($AM$1005:$BM$1005,1,MATCH(COLUMNS($AM$1006:BA1006),$AM$1006:$BM$1006,0))&gt;=100000), " ",IF(INDEX($AM$2:$BM$1001,MATCH(ROWS($AF$2:AF970),$AF$2:$AF$1001,0),MATCH(COLUMNS($AM$1006:BA1006),$AM$1006:$BM$1006,0)), HYPERLINK("#",""), HYPERLINK(CONCATENATE("#metadata!", ADDRESS(INDEX($AH$2:$AH$1001,MATCH(ROWS($AF$2:AF970),$AF$2:$AF$1001,0),0), INDEX($AM$1004:$BM$1004,1,MATCH(COLUMNS($AM$1006:BA1006),$AM$1006:$BM$1006,0)))),"Fix")))</f>
        <v xml:space="preserve"> </v>
      </c>
      <c r="Q970" s="4" t="str">
        <f ca="1">IF(OR(INDEX($AG$2:$AG$1001,MATCH(ROWS($AF$2:AF970),$AF$2:$AF$1001,0),1)&gt;=100000,INDEX($AM$1005:$BM$1005,1,MATCH(COLUMNS($AM$1006:BB1006),$AM$1006:$BM$1006,0))&gt;=100000), " ",IF(INDEX($AM$2:$BM$1001,MATCH(ROWS($AF$2:AF970),$AF$2:$AF$1001,0),MATCH(COLUMNS($AM$1006:BB1006),$AM$1006:$BM$1006,0)), HYPERLINK("#",""), HYPERLINK(CONCATENATE("#metadata!", ADDRESS(INDEX($AH$2:$AH$1001,MATCH(ROWS($AF$2:AF970),$AF$2:$AF$1001,0),0), INDEX($AM$1004:$BM$1004,1,MATCH(COLUMNS($AM$1006:BB1006),$AM$1006:$BM$1006,0)))),"Fix")))</f>
        <v xml:space="preserve"> </v>
      </c>
      <c r="R970" s="4" t="str">
        <f ca="1">IF(OR(INDEX($AG$2:$AG$1001,MATCH(ROWS($AF$2:AF970),$AF$2:$AF$1001,0),1)&gt;=100000,INDEX($AM$1005:$BM$1005,1,MATCH(COLUMNS($AM$1006:BC1006),$AM$1006:$BM$1006,0))&gt;=100000), " ",IF(INDEX($AM$2:$BM$1001,MATCH(ROWS($AF$2:AF970),$AF$2:$AF$1001,0),MATCH(COLUMNS($AM$1006:BC1006),$AM$1006:$BM$1006,0)), HYPERLINK("#",""), HYPERLINK(CONCATENATE("#metadata!", ADDRESS(INDEX($AH$2:$AH$1001,MATCH(ROWS($AF$2:AF970),$AF$2:$AF$1001,0),0), INDEX($AM$1004:$BM$1004,1,MATCH(COLUMNS($AM$1006:BC1006),$AM$1006:$BM$1006,0)))),"Fix")))</f>
        <v xml:space="preserve"> </v>
      </c>
      <c r="S970" s="4" t="str">
        <f ca="1">IF(OR(INDEX($AG$2:$AG$1001,MATCH(ROWS($AF$2:AF970),$AF$2:$AF$1001,0),1)&gt;=100000,INDEX($AM$1005:$BM$1005,1,MATCH(COLUMNS($AM$1006:BD1006),$AM$1006:$BM$1006,0))&gt;=100000), " ",IF(INDEX($AM$2:$BM$1001,MATCH(ROWS($AF$2:AF970),$AF$2:$AF$1001,0),MATCH(COLUMNS($AM$1006:BD1006),$AM$1006:$BM$1006,0)), HYPERLINK("#",""), HYPERLINK(CONCATENATE("#metadata!", ADDRESS(INDEX($AH$2:$AH$1001,MATCH(ROWS($AF$2:AF970),$AF$2:$AF$1001,0),0), INDEX($AM$1004:$BM$1004,1,MATCH(COLUMNS($AM$1006:BD1006),$AM$1006:$BM$1006,0)))),"Fix")))</f>
        <v xml:space="preserve"> </v>
      </c>
      <c r="T970" s="4" t="str">
        <f ca="1">IF(OR(INDEX($AG$2:$AG$1001,MATCH(ROWS($AF$2:AF970),$AF$2:$AF$1001,0),1)&gt;=100000,INDEX($AM$1005:$BM$1005,1,MATCH(COLUMNS($AM$1006:BE1006),$AM$1006:$BM$1006,0))&gt;=100000), " ",IF(INDEX($AM$2:$BM$1001,MATCH(ROWS($AF$2:AF970),$AF$2:$AF$1001,0),MATCH(COLUMNS($AM$1006:BE1006),$AM$1006:$BM$1006,0)), HYPERLINK("#",""), HYPERLINK(CONCATENATE("#metadata!", ADDRESS(INDEX($AH$2:$AH$1001,MATCH(ROWS($AF$2:AF970),$AF$2:$AF$1001,0),0), INDEX($AM$1004:$BM$1004,1,MATCH(COLUMNS($AM$1006:BE1006),$AM$1006:$BM$1006,0)))),"Fix")))</f>
        <v xml:space="preserve"> </v>
      </c>
      <c r="U970" s="4" t="str">
        <f ca="1">IF(OR(INDEX($AG$2:$AG$1001,MATCH(ROWS($AF$2:AF970),$AF$2:$AF$1001,0),1)&gt;=100000,INDEX($AM$1005:$BM$1005,1,MATCH(COLUMNS($AM$1006:BF1006),$AM$1006:$BM$1006,0))&gt;=100000), " ",IF(INDEX($AM$2:$BM$1001,MATCH(ROWS($AF$2:AF970),$AF$2:$AF$1001,0),MATCH(COLUMNS($AM$1006:BF1006),$AM$1006:$BM$1006,0)), HYPERLINK("#",""), HYPERLINK(CONCATENATE("#metadata!", ADDRESS(INDEX($AH$2:$AH$1001,MATCH(ROWS($AF$2:AF970),$AF$2:$AF$1001,0),0), INDEX($AM$1004:$BM$1004,1,MATCH(COLUMNS($AM$1006:BF1006),$AM$1006:$BM$1006,0)))),"Fix")))</f>
        <v xml:space="preserve"> </v>
      </c>
      <c r="V970" s="4" t="str">
        <f ca="1">IF(OR(INDEX($AG$2:$AG$1001,MATCH(ROWS($AF$2:AF970),$AF$2:$AF$1001,0),1)&gt;=100000,INDEX($AM$1005:$BM$1005,1,MATCH(COLUMNS($AM$1006:BG1006),$AM$1006:$BM$1006,0))&gt;=100000), " ",IF(INDEX($AM$2:$BM$1001,MATCH(ROWS($AF$2:AF970),$AF$2:$AF$1001,0),MATCH(COLUMNS($AM$1006:BG1006),$AM$1006:$BM$1006,0)), HYPERLINK("#",""), HYPERLINK(CONCATENATE("#metadata!", ADDRESS(INDEX($AH$2:$AH$1001,MATCH(ROWS($AF$2:AF970),$AF$2:$AF$1001,0),0), INDEX($AM$1004:$BM$1004,1,MATCH(COLUMNS($AM$1006:BG1006),$AM$1006:$BM$1006,0)))),"Fix")))</f>
        <v xml:space="preserve"> </v>
      </c>
      <c r="W970" s="4" t="str">
        <f ca="1">IF(OR(INDEX($AG$2:$AG$1001,MATCH(ROWS($AF$2:AF970),$AF$2:$AF$1001,0),1)&gt;=100000,INDEX($AM$1005:$BM$1005,1,MATCH(COLUMNS($AM$1006:BH1006),$AM$1006:$BM$1006,0))&gt;=100000), " ",IF(INDEX($AM$2:$BM$1001,MATCH(ROWS($AF$2:AF970),$AF$2:$AF$1001,0),MATCH(COLUMNS($AM$1006:BH1006),$AM$1006:$BM$1006,0)), HYPERLINK("#",""), HYPERLINK(CONCATENATE("#metadata!", ADDRESS(INDEX($AH$2:$AH$1001,MATCH(ROWS($AF$2:AF970),$AF$2:$AF$1001,0),0), INDEX($AM$1004:$BM$1004,1,MATCH(COLUMNS($AM$1006:BH1006),$AM$1006:$BM$1006,0)))),"Fix")))</f>
        <v xml:space="preserve"> </v>
      </c>
      <c r="X970" s="4" t="str">
        <f ca="1">IF(OR(INDEX($AG$2:$AG$1001,MATCH(ROWS($AF$2:AF970),$AF$2:$AF$1001,0),1)&gt;=100000,INDEX($AM$1005:$BM$1005,1,MATCH(COLUMNS($AM$1006:BI1006),$AM$1006:$BM$1006,0))&gt;=100000), " ",IF(INDEX($AM$2:$BM$1001,MATCH(ROWS($AF$2:AF970),$AF$2:$AF$1001,0),MATCH(COLUMNS($AM$1006:BI1006),$AM$1006:$BM$1006,0)), HYPERLINK("#",""), HYPERLINK(CONCATENATE("#metadata!", ADDRESS(INDEX($AH$2:$AH$1001,MATCH(ROWS($AF$2:AF970),$AF$2:$AF$1001,0),0), INDEX($AM$1004:$BM$1004,1,MATCH(COLUMNS($AM$1006:BI1006),$AM$1006:$BM$1006,0)))),"Fix")))</f>
        <v xml:space="preserve"> </v>
      </c>
      <c r="Y970" s="4" t="str">
        <f ca="1">IF(OR(INDEX($AG$2:$AG$1001,MATCH(ROWS($AF$2:AF970),$AF$2:$AF$1001,0),1)&gt;=100000,INDEX($AM$1005:$BM$1005,1,MATCH(COLUMNS($AM$1006:BJ1006),$AM$1006:$BM$1006,0))&gt;=100000), " ",IF(INDEX($AM$2:$BM$1001,MATCH(ROWS($AF$2:AF970),$AF$2:$AF$1001,0),MATCH(COLUMNS($AM$1006:BJ1006),$AM$1006:$BM$1006,0)), HYPERLINK("#",""), HYPERLINK(CONCATENATE("#metadata!", ADDRESS(INDEX($AH$2:$AH$1001,MATCH(ROWS($AF$2:AF970),$AF$2:$AF$1001,0),0), INDEX($AM$1004:$BM$1004,1,MATCH(COLUMNS($AM$1006:BJ1006),$AM$1006:$BM$1006,0)))),"Fix")))</f>
        <v xml:space="preserve"> </v>
      </c>
      <c r="Z970" s="4" t="str">
        <f ca="1">IF(OR(INDEX($AG$2:$AG$1001,MATCH(ROWS($AF$2:AF970),$AF$2:$AF$1001,0),1)&gt;=100000,INDEX($AM$1005:$BM$1005,1,MATCH(COLUMNS($AM$1006:BK1006),$AM$1006:$BM$1006,0))&gt;=100000), " ",IF(INDEX($AM$2:$BM$1001,MATCH(ROWS($AF$2:AF970),$AF$2:$AF$1001,0),MATCH(COLUMNS($AM$1006:BK1006),$AM$1006:$BM$1006,0)), HYPERLINK("#",""), HYPERLINK(CONCATENATE("#metadata!", ADDRESS(INDEX($AH$2:$AH$1001,MATCH(ROWS($AF$2:AF970),$AF$2:$AF$1001,0),0), INDEX($AM$1004:$BM$1004,1,MATCH(COLUMNS($AM$1006:BK1006),$AM$1006:$BM$1006,0)))),"Fix")))</f>
        <v xml:space="preserve"> </v>
      </c>
      <c r="AA970" s="4" t="str">
        <f ca="1">IF(OR(INDEX($AG$2:$AG$1001,MATCH(ROWS($AF$2:AF970),$AF$2:$AF$1001,0),1)&gt;=100000,INDEX($AM$1005:$BM$1005,1,MATCH(COLUMNS($AM$1006:BL1006),$AM$1006:$BM$1006,0))&gt;=100000), " ",IF(INDEX($AM$2:$BM$1001,MATCH(ROWS($AF$2:AF970),$AF$2:$AF$1001,0),MATCH(COLUMNS($AM$1006:BL1006),$AM$1006:$BM$1006,0)), HYPERLINK("#",""), HYPERLINK(CONCATENATE("#metadata!", ADDRESS(INDEX($AH$2:$AH$1001,MATCH(ROWS($AF$2:AF970),$AF$2:$AF$1001,0),0), INDEX($AM$1004:$BM$1004,1,MATCH(COLUMNS($AM$1006:BL1006),$AM$1006:$BM$1006,0)))),"Fix")))</f>
        <v xml:space="preserve"> </v>
      </c>
      <c r="AB970" s="4" t="str">
        <f ca="1">IF(OR(INDEX($AG$2:$AG$1001,MATCH(ROWS($AF$2:AF970),$AF$2:$AF$1001,0),1)&gt;=100000,INDEX($AM$1005:$BM$1005,1,MATCH(COLUMNS($AM$1006:BM1006),$AM$1006:$BM$1006,0))&gt;=100000), " ",IF(INDEX($AM$2:$BM$1001,MATCH(ROWS($AF$2:AF970),$AF$2:$AF$1001,0),MATCH(COLUMNS($AM$1006:BM1006),$AM$1006:$BM$1006,0)), HYPERLINK("#",""), HYPERLINK(CONCATENATE("#metadata!", ADDRESS(INDEX($AH$2:$AH$1001,MATCH(ROWS($AF$2:AF970),$AF$2:$AF$1001,0),0), INDEX($AM$1004:$BM$1004,1,MATCH(COLUMNS($AM$1006:BM1006),$AM$1006:$BM$1006,0)))),"Fix")))</f>
        <v xml:space="preserve"> </v>
      </c>
      <c r="AF970">
        <v>969</v>
      </c>
      <c r="AG970">
        <v>100970</v>
      </c>
      <c r="AH970">
        <v>970</v>
      </c>
      <c r="AI970" t="b">
        <f t="shared" si="15"/>
        <v>1</v>
      </c>
      <c r="AJ970" t="b">
        <f>COUNTBLANK(metadata!B970:AB970)=COLUMNS(metadata!B970:AB970)</f>
        <v>1</v>
      </c>
      <c r="AK970" t="str">
        <v/>
      </c>
      <c r="AM970" t="b">
        <f ca="1">AND(IF(metadata!B970="",FALSE,TRUE),COUNTIF(metadata!B:B, metadata!B970) = 1,NOT(ISERROR(SUMPRODUCT(SEARCH(MID(metadata!B970,ROW(INDIRECT("1:"&amp;LEN(metadata!B970))), 1),"0123456789abcdefghijklmnopqrstuvwxyzABCDEFGHIJKLMNOPQRSTUVWXYZ.")))))</f>
        <v>0</v>
      </c>
      <c r="AN970" t="b">
        <f ca="1">OR(AND(IF(metadata!C970="",FALSE,TRUE),OR(EXACT(metadata!C970,"missing: not collected"),EXACT(metadata!C970,"missing: not provided"),EXACT(metadata!C970,"missing: restricted access"))),AND(IF(metadata!C970="",FALSE,TRUE),AND(AND(IFERROR(INT(LEFT(metadata!C970,4))&gt;1900,FALSE),IFERROR(INT(LEFT(metadata!C970,4))&lt;=YEAR(NOW()),FALSE)), OR(MID(metadata!C970,5,1)="", AND(AND(MID(metadata!C970,5,1)="-",IFERROR(INT(MID(metadata!C970,6,1))&gt;=0,FALSE),IFERROR(INT(MID(metadata!C970,6,1))&lt;=1,FALSE),NOT(MID(metadata!C970,7,1)=""),IFERROR(INT(MID(metadata!C970,6,2))&gt;=1,FALSE),IFERROR(INT(MID(metadata!C970,6,2))&lt;=12,FALSE)), OR(MID(metadata!C970,8,1)="", AND(AND(MID(metadata!C970,8,1)="-",IFERROR(INT(MID(metadata!C970,9,1))&gt;=0,FALSE),IFERROR(INT(MID(metadata!C970,9,1))&lt;=3,FALSE),NOT(MID(metadata!C970,10,1)=""),IFERROR(INT(MID(metadata!C970,9,2))&gt;=1,FALSE),IFERROR(INT(MID(metadata!C970,9,2))&lt;=31,FALSE)), OR(MID(metadata!C970,11,1)="", AND(AND(MID(metadata!C970,11,1)=" ",IFERROR(INT(MID(metadata!C970,12,1))&gt;=0,FALSE),IFERROR(INT(MID(metadata!C970,12,1))&lt;=2,FALSE),NOT(MID(metadata!C970,13,1)=""),IFERROR(INT(MID(metadata!C970,12,2))&gt;=0,FALSE),IFERROR(INT(MID(metadata!C970,12,2))&lt;=23,FALSE)), OR(MID(metadata!C970,14,1)="", AND(AND(MID(metadata!C970,14,1)=":",IFERROR(INT(MID(metadata!C970,15,1))&gt;=0,FALSE),IFERROR(INT(MID(metadata!C970,15,1))&lt;=5,FALSE),NOT(MID(metadata!C970,16,1)=""),IFERROR(INT(MID(metadata!C970,15,2))&gt;=0,FALSE),IFERROR(INT(MID(metadata!C970,15,2))&lt;=59,FALSE)), OR(MID(metadata!C970,17,1)="", AND(AND(MID(metadata!C970,17,1)=":",IFERROR(INT(MID(metadata!C970,18,1))&gt;=0,FALSE),IFERROR(INT(MID(metadata!C970,18,1))&lt;=5,FALSE),NOT(MID(metadata!C970,19,1)=""),IFERROR(INT(MID(metadata!C970,18,2))&gt;=0,FALSE),IFERROR(INT(MID(metadata!C970,18,2))&lt;=59,FALSE)), LEN(metadata!C970)&lt;=19)))))))))))))</f>
        <v>0</v>
      </c>
      <c r="AO970" t="b">
        <f>AND(IF(metadata!D970="",FALSE,TRUE),EXACT(metadata!D970,"Not applicable"))</f>
        <v>0</v>
      </c>
      <c r="AP970" t="b">
        <f>IF(metadata!E970="",FALSE,TRUE)</f>
        <v>0</v>
      </c>
      <c r="AQ970" t="b">
        <f>OR(AND(IF(metadata!F970="",FALSE,TRUE),OR(EXACT(metadata!F970,"missing: not collected"),EXACT(metadata!F970,"missing: not provided"))),AND(IF(metadata!F970="",FALSE,TRUE),OR(EXACT(metadata!F970,"TRUE"),EXACT(metadata!F970,"FALSE"))))</f>
        <v>0</v>
      </c>
      <c r="AR970" t="b">
        <f>OR(AND(IF(metadata!G970="",FALSE,TRUE),OR(EXACT(metadata!G970,"missing: not collected"),EXACT(metadata!G970,"missing: not provided"),EXACT(metadata!G970,"missing: restricted access"))),AND(IF(metadata!G970="",FALSE,ISNUMBER(VALUE(metadata!G970))),metadata!G970&gt;=-413))</f>
        <v>0</v>
      </c>
      <c r="AS970" t="b">
        <f>AND(IF(metadata!H970="",FALSE,TRUE),EXACT(metadata!H970,"meters"))</f>
        <v>0</v>
      </c>
      <c r="AT970" t="b">
        <f>AND(IF(metadata!I970="",FALSE,TRUE),OR(EXACT(metadata!I970,"Host-associated"),EXACT(metadata!I970,"Free-living")))</f>
        <v>0</v>
      </c>
      <c r="AU970" t="b">
        <f>AND(IF(metadata!J970="",FALSE,TRUE),OR(EXACT(metadata!J970,"Animal"),EXACT(metadata!J970,"Fungus"),EXACT(metadata!J970,"Plant"),EXACT(metadata!J970,"Saline"),EXACT(metadata!J970,"Non-saline")))</f>
        <v>0</v>
      </c>
      <c r="AV970" t="b">
        <f>AND(IF(metadata!K970="",FALSE,TRUE),OR(EXACT(metadata!K970,"Plant secretion"),EXACT(metadata!K970,"Plant rhizosphere"),EXACT(metadata!K970,"Plant surface"),EXACT(metadata!K970,"Plant corpus"),EXACT(metadata!K970,"Fungus surface"),EXACT(metadata!K970,"Fungus corpus"),EXACT(metadata!K970,"Animal surface"),EXACT(metadata!K970,"Animal proximal gut"),EXACT(metadata!K970,"Animal corpus"),EXACT(metadata!K970,"Animal distal gut"),EXACT(metadata!K970,"Animal secretion"),EXACT(metadata!K970,"Sub-surface (non-saline)"),EXACT(metadata!K970,"Surface (non-saline)"),EXACT(metadata!K970,"Water (non-saline)"),EXACT(metadata!K970,"Soil (non-saline)"),EXACT(metadata!K970,"Aerosol (non-saline)"),EXACT(metadata!K970,"Sediment (non-saline)"),EXACT(metadata!K970,"Surface (saline)"),EXACT(metadata!K970,"Water (saline)"),EXACT(metadata!K970,"Hypersaline (saline)"),EXACT(metadata!K970,"Aerosol (saline)"),EXACT(metadata!K970,"Sediment (saline)")))</f>
        <v>0</v>
      </c>
      <c r="AW970" t="b">
        <f>IF(metadata!L970="",FALSE,TRUE)</f>
        <v>0</v>
      </c>
      <c r="AX970" t="b">
        <f>IF(metadata!M970="",FALSE,TRUE)</f>
        <v>0</v>
      </c>
      <c r="AY970" t="b">
        <f>IF(metadata!N970="",FALSE,TRUE)</f>
        <v>0</v>
      </c>
      <c r="AZ970" t="b">
        <f>OR(AND(IF(metadata!O970="",FALSE,TRUE),OR(EXACT(metadata!O970,"missing: not collected"),EXACT(metadata!O970,"missing: not provided"),EXACT(metadata!O970,"missing: restricted access"))),AND(IF(metadata!O970="",FALSE,TRUE),OR(EXACT(metadata!O970,"air"),EXACT(metadata!O970,"built environment"),EXACT(metadata!O970,"host-associated"),EXACT(metadata!O970,"human-associated"),EXACT(metadata!O970,"human-skin"),EXACT(metadata!O970,"human-oral"),EXACT(metadata!O970,"human-gut"),EXACT(metadata!O970,"human-vaginal"),EXACT(metadata!O970,"microbial mat/biofilm"),EXACT(metadata!O970,"misc environment"),EXACT(metadata!O970,"plant-associated"),EXACT(metadata!O970,"sediment"),EXACT(metadata!O970,"soil"),EXACT(metadata!O970,"wastewater/sludge"),EXACT(metadata!O970,"water"))))</f>
        <v>0</v>
      </c>
      <c r="BA970" t="b">
        <f>IF(metadata!P970="",FALSE,TRUE)</f>
        <v>0</v>
      </c>
      <c r="BB970" t="b">
        <f>IF(metadata!Q970="",FALSE,TRUE)</f>
        <v>0</v>
      </c>
      <c r="BC970" t="b">
        <f>OR(AND(IF(metadata!R970="",FALSE,TRUE),OR(EXACT(metadata!R970,"missing: not collected"),EXACT(metadata!R970,"missing: not provided"),EXACT(metadata!R970,"missing: restricted access"))),AND(IF(metadata!R970="",FALSE,ISNUMBER(VALUE(metadata!R970))),metadata!R970&gt;=-90,metadata!R970&lt;=90))</f>
        <v>0</v>
      </c>
      <c r="BD970" t="b">
        <f>AND(IF(metadata!S970="",FALSE,TRUE),EXACT(metadata!S970,"Decimal degrees"))</f>
        <v>0</v>
      </c>
      <c r="BE970" t="b">
        <f>OR(AND(IF(metadata!T970="",FALSE,TRUE),OR(EXACT(metadata!T970,"missing: not collected"),EXACT(metadata!T970,"missing: not provided"),EXACT(metadata!T970,"missing: restricted access"))),AND(IF(metadata!T970="",FALSE,ISNUMBER(VALUE(metadata!T970))),metadata!T970&gt;=-180,metadata!T970&lt;=180))</f>
        <v>0</v>
      </c>
      <c r="BF970" t="b">
        <f>AND(IF(metadata!U970="",FALSE,TRUE),EXACT(metadata!U970,"Decimal degrees"))</f>
        <v>0</v>
      </c>
      <c r="BG970" t="b">
        <f>IF(metadata!V970="",FALSE,TRUE)</f>
        <v>0</v>
      </c>
      <c r="BH970" t="b">
        <f>OR(AND(IF(metadata!W970="",FALSE,TRUE),OR(EXACT(metadata!W970,"missing: not collected"),EXACT(metadata!W970,"missing: not provided"),EXACT(metadata!W970,"missing: restricted access"))),AND(IF(metadata!W970="",FALSE,TRUE),OR(EXACT(metadata!W970,"TRUE"),EXACT(metadata!W970,"FALSE"))))</f>
        <v>0</v>
      </c>
      <c r="BI970" t="b">
        <f>AND(IF(metadata!X970="",FALSE,TRUE),EXACT(metadata!X970,"other"))</f>
        <v>0</v>
      </c>
      <c r="BJ970" t="b">
        <f>IF(metadata!Y970="",FALSE,TRUE)</f>
        <v>0</v>
      </c>
      <c r="BK970" t="b">
        <f>OR(AND(IF(metadata!Z970="",FALSE,TRUE),OR(EXACT(metadata!Z970,"missing: not collected"),EXACT(metadata!Z970,"missing: not provided"))),AND(IF(metadata!Z970="",FALSE,IF(ISERROR(INT(metadata!Z970)),FALSE,INT(metadata!Z970)=metadata!Z970)),metadata!Z970&gt;0))</f>
        <v>0</v>
      </c>
      <c r="BL970" t="b">
        <f>AND(IF(metadata!AA970="",FALSE,TRUE),EXACT(metadata!AA970,"Not applicable"))</f>
        <v>0</v>
      </c>
      <c r="BM970" t="b">
        <f>IF(metadata!AB970="",FALSE,TRUE)</f>
        <v>0</v>
      </c>
    </row>
    <row r="971" spans="1:65" x14ac:dyDescent="0.2">
      <c r="A971" s="5" t="str">
        <f ca="1">IF(B971=" "," ",HYPERLINK(CONCATENATE("#metadata!",ADDRESS(INDEX($AH$2:$AH$1001,MATCH(ROWS($AF$2:AF971),$AF$2:$AF$1001,0),0),1)),INDEX($AK$2:$AK$1001,MATCH(ROWS($AF$2:AF971),$AF$2:$AF$1001,0),0)))</f>
        <v xml:space="preserve"> </v>
      </c>
      <c r="B971" s="4" t="str">
        <f ca="1">IF(OR(INDEX($AG$2:$AG$1001,MATCH(ROWS($AF$2:AF971),$AF$2:$AF$1001,0),1)&gt;=100000,INDEX($AM$1005:$BM$1005,1,MATCH(COLUMNS($AM$1006:AM1006),$AM$1006:$BM$1006,0))&gt;=100000), " ",IF(INDEX($AM$2:$BM$1001,MATCH(ROWS($AF$2:AF971),$AF$2:$AF$1001,0),MATCH(COLUMNS($AM$1006:AM1006),$AM$1006:$BM$1006,0)), HYPERLINK("#",""), HYPERLINK(CONCATENATE("#metadata!", ADDRESS(INDEX($AH$2:$AH$1001,MATCH(ROWS($AF$2:AF971),$AF$2:$AF$1001,0),0), INDEX($AM$1004:$BM$1004,1,MATCH(COLUMNS($AM$1006:AM1006),$AM$1006:$BM$1006,0)))),"Fix")))</f>
        <v xml:space="preserve"> </v>
      </c>
      <c r="C971" s="4" t="str">
        <f ca="1">IF(OR(INDEX($AG$2:$AG$1001,MATCH(ROWS($AF$2:AF971),$AF$2:$AF$1001,0),1)&gt;=100000,INDEX($AM$1005:$BM$1005,1,MATCH(COLUMNS($AM$1006:AN1006),$AM$1006:$BM$1006,0))&gt;=100000), " ",IF(INDEX($AM$2:$BM$1001,MATCH(ROWS($AF$2:AF971),$AF$2:$AF$1001,0),MATCH(COLUMNS($AM$1006:AN1006),$AM$1006:$BM$1006,0)), HYPERLINK("#",""), HYPERLINK(CONCATENATE("#metadata!", ADDRESS(INDEX($AH$2:$AH$1001,MATCH(ROWS($AF$2:AF971),$AF$2:$AF$1001,0),0), INDEX($AM$1004:$BM$1004,1,MATCH(COLUMNS($AM$1006:AN1006),$AM$1006:$BM$1006,0)))),"Fix")))</f>
        <v xml:space="preserve"> </v>
      </c>
      <c r="D971" s="4" t="str">
        <f ca="1">IF(OR(INDEX($AG$2:$AG$1001,MATCH(ROWS($AF$2:AF971),$AF$2:$AF$1001,0),1)&gt;=100000,INDEX($AM$1005:$BM$1005,1,MATCH(COLUMNS($AM$1006:AO1006),$AM$1006:$BM$1006,0))&gt;=100000), " ",IF(INDEX($AM$2:$BM$1001,MATCH(ROWS($AF$2:AF971),$AF$2:$AF$1001,0),MATCH(COLUMNS($AM$1006:AO1006),$AM$1006:$BM$1006,0)), HYPERLINK("#",""), HYPERLINK(CONCATENATE("#metadata!", ADDRESS(INDEX($AH$2:$AH$1001,MATCH(ROWS($AF$2:AF971),$AF$2:$AF$1001,0),0), INDEX($AM$1004:$BM$1004,1,MATCH(COLUMNS($AM$1006:AO1006),$AM$1006:$BM$1006,0)))),"Fix")))</f>
        <v xml:space="preserve"> </v>
      </c>
      <c r="E971" s="4" t="str">
        <f ca="1">IF(OR(INDEX($AG$2:$AG$1001,MATCH(ROWS($AF$2:AF971),$AF$2:$AF$1001,0),1)&gt;=100000,INDEX($AM$1005:$BM$1005,1,MATCH(COLUMNS($AM$1006:AP1006),$AM$1006:$BM$1006,0))&gt;=100000), " ",IF(INDEX($AM$2:$BM$1001,MATCH(ROWS($AF$2:AF971),$AF$2:$AF$1001,0),MATCH(COLUMNS($AM$1006:AP1006),$AM$1006:$BM$1006,0)), HYPERLINK("#",""), HYPERLINK(CONCATENATE("#metadata!", ADDRESS(INDEX($AH$2:$AH$1001,MATCH(ROWS($AF$2:AF971),$AF$2:$AF$1001,0),0), INDEX($AM$1004:$BM$1004,1,MATCH(COLUMNS($AM$1006:AP1006),$AM$1006:$BM$1006,0)))),"Fix")))</f>
        <v xml:space="preserve"> </v>
      </c>
      <c r="F971" s="4" t="str">
        <f ca="1">IF(OR(INDEX($AG$2:$AG$1001,MATCH(ROWS($AF$2:AF971),$AF$2:$AF$1001,0),1)&gt;=100000,INDEX($AM$1005:$BM$1005,1,MATCH(COLUMNS($AM$1006:AQ1006),$AM$1006:$BM$1006,0))&gt;=100000), " ",IF(INDEX($AM$2:$BM$1001,MATCH(ROWS($AF$2:AF971),$AF$2:$AF$1001,0),MATCH(COLUMNS($AM$1006:AQ1006),$AM$1006:$BM$1006,0)), HYPERLINK("#",""), HYPERLINK(CONCATENATE("#metadata!", ADDRESS(INDEX($AH$2:$AH$1001,MATCH(ROWS($AF$2:AF971),$AF$2:$AF$1001,0),0), INDEX($AM$1004:$BM$1004,1,MATCH(COLUMNS($AM$1006:AQ1006),$AM$1006:$BM$1006,0)))),"Fix")))</f>
        <v xml:space="preserve"> </v>
      </c>
      <c r="G971" s="4" t="str">
        <f ca="1">IF(OR(INDEX($AG$2:$AG$1001,MATCH(ROWS($AF$2:AF971),$AF$2:$AF$1001,0),1)&gt;=100000,INDEX($AM$1005:$BM$1005,1,MATCH(COLUMNS($AM$1006:AR1006),$AM$1006:$BM$1006,0))&gt;=100000), " ",IF(INDEX($AM$2:$BM$1001,MATCH(ROWS($AF$2:AF971),$AF$2:$AF$1001,0),MATCH(COLUMNS($AM$1006:AR1006),$AM$1006:$BM$1006,0)), HYPERLINK("#",""), HYPERLINK(CONCATENATE("#metadata!", ADDRESS(INDEX($AH$2:$AH$1001,MATCH(ROWS($AF$2:AF971),$AF$2:$AF$1001,0),0), INDEX($AM$1004:$BM$1004,1,MATCH(COLUMNS($AM$1006:AR1006),$AM$1006:$BM$1006,0)))),"Fix")))</f>
        <v xml:space="preserve"> </v>
      </c>
      <c r="H971" s="4" t="str">
        <f ca="1">IF(OR(INDEX($AG$2:$AG$1001,MATCH(ROWS($AF$2:AF971),$AF$2:$AF$1001,0),1)&gt;=100000,INDEX($AM$1005:$BM$1005,1,MATCH(COLUMNS($AM$1006:AS1006),$AM$1006:$BM$1006,0))&gt;=100000), " ",IF(INDEX($AM$2:$BM$1001,MATCH(ROWS($AF$2:AF971),$AF$2:$AF$1001,0),MATCH(COLUMNS($AM$1006:AS1006),$AM$1006:$BM$1006,0)), HYPERLINK("#",""), HYPERLINK(CONCATENATE("#metadata!", ADDRESS(INDEX($AH$2:$AH$1001,MATCH(ROWS($AF$2:AF971),$AF$2:$AF$1001,0),0), INDEX($AM$1004:$BM$1004,1,MATCH(COLUMNS($AM$1006:AS1006),$AM$1006:$BM$1006,0)))),"Fix")))</f>
        <v xml:space="preserve"> </v>
      </c>
      <c r="I971" s="4" t="str">
        <f ca="1">IF(OR(INDEX($AG$2:$AG$1001,MATCH(ROWS($AF$2:AF971),$AF$2:$AF$1001,0),1)&gt;=100000,INDEX($AM$1005:$BM$1005,1,MATCH(COLUMNS($AM$1006:AT1006),$AM$1006:$BM$1006,0))&gt;=100000), " ",IF(INDEX($AM$2:$BM$1001,MATCH(ROWS($AF$2:AF971),$AF$2:$AF$1001,0),MATCH(COLUMNS($AM$1006:AT1006),$AM$1006:$BM$1006,0)), HYPERLINK("#",""), HYPERLINK(CONCATENATE("#metadata!", ADDRESS(INDEX($AH$2:$AH$1001,MATCH(ROWS($AF$2:AF971),$AF$2:$AF$1001,0),0), INDEX($AM$1004:$BM$1004,1,MATCH(COLUMNS($AM$1006:AT1006),$AM$1006:$BM$1006,0)))),"Fix")))</f>
        <v xml:space="preserve"> </v>
      </c>
      <c r="J971" s="4" t="str">
        <f ca="1">IF(OR(INDEX($AG$2:$AG$1001,MATCH(ROWS($AF$2:AF971),$AF$2:$AF$1001,0),1)&gt;=100000,INDEX($AM$1005:$BM$1005,1,MATCH(COLUMNS($AM$1006:AU1006),$AM$1006:$BM$1006,0))&gt;=100000), " ",IF(INDEX($AM$2:$BM$1001,MATCH(ROWS($AF$2:AF971),$AF$2:$AF$1001,0),MATCH(COLUMNS($AM$1006:AU1006),$AM$1006:$BM$1006,0)), HYPERLINK("#",""), HYPERLINK(CONCATENATE("#metadata!", ADDRESS(INDEX($AH$2:$AH$1001,MATCH(ROWS($AF$2:AF971),$AF$2:$AF$1001,0),0), INDEX($AM$1004:$BM$1004,1,MATCH(COLUMNS($AM$1006:AU1006),$AM$1006:$BM$1006,0)))),"Fix")))</f>
        <v xml:space="preserve"> </v>
      </c>
      <c r="K971" s="4" t="str">
        <f ca="1">IF(OR(INDEX($AG$2:$AG$1001,MATCH(ROWS($AF$2:AF971),$AF$2:$AF$1001,0),1)&gt;=100000,INDEX($AM$1005:$BM$1005,1,MATCH(COLUMNS($AM$1006:AV1006),$AM$1006:$BM$1006,0))&gt;=100000), " ",IF(INDEX($AM$2:$BM$1001,MATCH(ROWS($AF$2:AF971),$AF$2:$AF$1001,0),MATCH(COLUMNS($AM$1006:AV1006),$AM$1006:$BM$1006,0)), HYPERLINK("#",""), HYPERLINK(CONCATENATE("#metadata!", ADDRESS(INDEX($AH$2:$AH$1001,MATCH(ROWS($AF$2:AF971),$AF$2:$AF$1001,0),0), INDEX($AM$1004:$BM$1004,1,MATCH(COLUMNS($AM$1006:AV1006),$AM$1006:$BM$1006,0)))),"Fix")))</f>
        <v xml:space="preserve"> </v>
      </c>
      <c r="L971" s="4" t="str">
        <f ca="1">IF(OR(INDEX($AG$2:$AG$1001,MATCH(ROWS($AF$2:AF971),$AF$2:$AF$1001,0),1)&gt;=100000,INDEX($AM$1005:$BM$1005,1,MATCH(COLUMNS($AM$1006:AW1006),$AM$1006:$BM$1006,0))&gt;=100000), " ",IF(INDEX($AM$2:$BM$1001,MATCH(ROWS($AF$2:AF971),$AF$2:$AF$1001,0),MATCH(COLUMNS($AM$1006:AW1006),$AM$1006:$BM$1006,0)), HYPERLINK("#",""), HYPERLINK(CONCATENATE("#metadata!", ADDRESS(INDEX($AH$2:$AH$1001,MATCH(ROWS($AF$2:AF971),$AF$2:$AF$1001,0),0), INDEX($AM$1004:$BM$1004,1,MATCH(COLUMNS($AM$1006:AW1006),$AM$1006:$BM$1006,0)))),"Fix")))</f>
        <v xml:space="preserve"> </v>
      </c>
      <c r="M971" s="4" t="str">
        <f ca="1">IF(OR(INDEX($AG$2:$AG$1001,MATCH(ROWS($AF$2:AF971),$AF$2:$AF$1001,0),1)&gt;=100000,INDEX($AM$1005:$BM$1005,1,MATCH(COLUMNS($AM$1006:AX1006),$AM$1006:$BM$1006,0))&gt;=100000), " ",IF(INDEX($AM$2:$BM$1001,MATCH(ROWS($AF$2:AF971),$AF$2:$AF$1001,0),MATCH(COLUMNS($AM$1006:AX1006),$AM$1006:$BM$1006,0)), HYPERLINK("#",""), HYPERLINK(CONCATENATE("#metadata!", ADDRESS(INDEX($AH$2:$AH$1001,MATCH(ROWS($AF$2:AF971),$AF$2:$AF$1001,0),0), INDEX($AM$1004:$BM$1004,1,MATCH(COLUMNS($AM$1006:AX1006),$AM$1006:$BM$1006,0)))),"Fix")))</f>
        <v xml:space="preserve"> </v>
      </c>
      <c r="N971" s="4" t="str">
        <f ca="1">IF(OR(INDEX($AG$2:$AG$1001,MATCH(ROWS($AF$2:AF971),$AF$2:$AF$1001,0),1)&gt;=100000,INDEX($AM$1005:$BM$1005,1,MATCH(COLUMNS($AM$1006:AY1006),$AM$1006:$BM$1006,0))&gt;=100000), " ",IF(INDEX($AM$2:$BM$1001,MATCH(ROWS($AF$2:AF971),$AF$2:$AF$1001,0),MATCH(COLUMNS($AM$1006:AY1006),$AM$1006:$BM$1006,0)), HYPERLINK("#",""), HYPERLINK(CONCATENATE("#metadata!", ADDRESS(INDEX($AH$2:$AH$1001,MATCH(ROWS($AF$2:AF971),$AF$2:$AF$1001,0),0), INDEX($AM$1004:$BM$1004,1,MATCH(COLUMNS($AM$1006:AY1006),$AM$1006:$BM$1006,0)))),"Fix")))</f>
        <v xml:space="preserve"> </v>
      </c>
      <c r="O971" s="4" t="str">
        <f ca="1">IF(OR(INDEX($AG$2:$AG$1001,MATCH(ROWS($AF$2:AF971),$AF$2:$AF$1001,0),1)&gt;=100000,INDEX($AM$1005:$BM$1005,1,MATCH(COLUMNS($AM$1006:AZ1006),$AM$1006:$BM$1006,0))&gt;=100000), " ",IF(INDEX($AM$2:$BM$1001,MATCH(ROWS($AF$2:AF971),$AF$2:$AF$1001,0),MATCH(COLUMNS($AM$1006:AZ1006),$AM$1006:$BM$1006,0)), HYPERLINK("#",""), HYPERLINK(CONCATENATE("#metadata!", ADDRESS(INDEX($AH$2:$AH$1001,MATCH(ROWS($AF$2:AF971),$AF$2:$AF$1001,0),0), INDEX($AM$1004:$BM$1004,1,MATCH(COLUMNS($AM$1006:AZ1006),$AM$1006:$BM$1006,0)))),"Fix")))</f>
        <v xml:space="preserve"> </v>
      </c>
      <c r="P971" s="4" t="str">
        <f ca="1">IF(OR(INDEX($AG$2:$AG$1001,MATCH(ROWS($AF$2:AF971),$AF$2:$AF$1001,0),1)&gt;=100000,INDEX($AM$1005:$BM$1005,1,MATCH(COLUMNS($AM$1006:BA1006),$AM$1006:$BM$1006,0))&gt;=100000), " ",IF(INDEX($AM$2:$BM$1001,MATCH(ROWS($AF$2:AF971),$AF$2:$AF$1001,0),MATCH(COLUMNS($AM$1006:BA1006),$AM$1006:$BM$1006,0)), HYPERLINK("#",""), HYPERLINK(CONCATENATE("#metadata!", ADDRESS(INDEX($AH$2:$AH$1001,MATCH(ROWS($AF$2:AF971),$AF$2:$AF$1001,0),0), INDEX($AM$1004:$BM$1004,1,MATCH(COLUMNS($AM$1006:BA1006),$AM$1006:$BM$1006,0)))),"Fix")))</f>
        <v xml:space="preserve"> </v>
      </c>
      <c r="Q971" s="4" t="str">
        <f ca="1">IF(OR(INDEX($AG$2:$AG$1001,MATCH(ROWS($AF$2:AF971),$AF$2:$AF$1001,0),1)&gt;=100000,INDEX($AM$1005:$BM$1005,1,MATCH(COLUMNS($AM$1006:BB1006),$AM$1006:$BM$1006,0))&gt;=100000), " ",IF(INDEX($AM$2:$BM$1001,MATCH(ROWS($AF$2:AF971),$AF$2:$AF$1001,0),MATCH(COLUMNS($AM$1006:BB1006),$AM$1006:$BM$1006,0)), HYPERLINK("#",""), HYPERLINK(CONCATENATE("#metadata!", ADDRESS(INDEX($AH$2:$AH$1001,MATCH(ROWS($AF$2:AF971),$AF$2:$AF$1001,0),0), INDEX($AM$1004:$BM$1004,1,MATCH(COLUMNS($AM$1006:BB1006),$AM$1006:$BM$1006,0)))),"Fix")))</f>
        <v xml:space="preserve"> </v>
      </c>
      <c r="R971" s="4" t="str">
        <f ca="1">IF(OR(INDEX($AG$2:$AG$1001,MATCH(ROWS($AF$2:AF971),$AF$2:$AF$1001,0),1)&gt;=100000,INDEX($AM$1005:$BM$1005,1,MATCH(COLUMNS($AM$1006:BC1006),$AM$1006:$BM$1006,0))&gt;=100000), " ",IF(INDEX($AM$2:$BM$1001,MATCH(ROWS($AF$2:AF971),$AF$2:$AF$1001,0),MATCH(COLUMNS($AM$1006:BC1006),$AM$1006:$BM$1006,0)), HYPERLINK("#",""), HYPERLINK(CONCATENATE("#metadata!", ADDRESS(INDEX($AH$2:$AH$1001,MATCH(ROWS($AF$2:AF971),$AF$2:$AF$1001,0),0), INDEX($AM$1004:$BM$1004,1,MATCH(COLUMNS($AM$1006:BC1006),$AM$1006:$BM$1006,0)))),"Fix")))</f>
        <v xml:space="preserve"> </v>
      </c>
      <c r="S971" s="4" t="str">
        <f ca="1">IF(OR(INDEX($AG$2:$AG$1001,MATCH(ROWS($AF$2:AF971),$AF$2:$AF$1001,0),1)&gt;=100000,INDEX($AM$1005:$BM$1005,1,MATCH(COLUMNS($AM$1006:BD1006),$AM$1006:$BM$1006,0))&gt;=100000), " ",IF(INDEX($AM$2:$BM$1001,MATCH(ROWS($AF$2:AF971),$AF$2:$AF$1001,0),MATCH(COLUMNS($AM$1006:BD1006),$AM$1006:$BM$1006,0)), HYPERLINK("#",""), HYPERLINK(CONCATENATE("#metadata!", ADDRESS(INDEX($AH$2:$AH$1001,MATCH(ROWS($AF$2:AF971),$AF$2:$AF$1001,0),0), INDEX($AM$1004:$BM$1004,1,MATCH(COLUMNS($AM$1006:BD1006),$AM$1006:$BM$1006,0)))),"Fix")))</f>
        <v xml:space="preserve"> </v>
      </c>
      <c r="T971" s="4" t="str">
        <f ca="1">IF(OR(INDEX($AG$2:$AG$1001,MATCH(ROWS($AF$2:AF971),$AF$2:$AF$1001,0),1)&gt;=100000,INDEX($AM$1005:$BM$1005,1,MATCH(COLUMNS($AM$1006:BE1006),$AM$1006:$BM$1006,0))&gt;=100000), " ",IF(INDEX($AM$2:$BM$1001,MATCH(ROWS($AF$2:AF971),$AF$2:$AF$1001,0),MATCH(COLUMNS($AM$1006:BE1006),$AM$1006:$BM$1006,0)), HYPERLINK("#",""), HYPERLINK(CONCATENATE("#metadata!", ADDRESS(INDEX($AH$2:$AH$1001,MATCH(ROWS($AF$2:AF971),$AF$2:$AF$1001,0),0), INDEX($AM$1004:$BM$1004,1,MATCH(COLUMNS($AM$1006:BE1006),$AM$1006:$BM$1006,0)))),"Fix")))</f>
        <v xml:space="preserve"> </v>
      </c>
      <c r="U971" s="4" t="str">
        <f ca="1">IF(OR(INDEX($AG$2:$AG$1001,MATCH(ROWS($AF$2:AF971),$AF$2:$AF$1001,0),1)&gt;=100000,INDEX($AM$1005:$BM$1005,1,MATCH(COLUMNS($AM$1006:BF1006),$AM$1006:$BM$1006,0))&gt;=100000), " ",IF(INDEX($AM$2:$BM$1001,MATCH(ROWS($AF$2:AF971),$AF$2:$AF$1001,0),MATCH(COLUMNS($AM$1006:BF1006),$AM$1006:$BM$1006,0)), HYPERLINK("#",""), HYPERLINK(CONCATENATE("#metadata!", ADDRESS(INDEX($AH$2:$AH$1001,MATCH(ROWS($AF$2:AF971),$AF$2:$AF$1001,0),0), INDEX($AM$1004:$BM$1004,1,MATCH(COLUMNS($AM$1006:BF1006),$AM$1006:$BM$1006,0)))),"Fix")))</f>
        <v xml:space="preserve"> </v>
      </c>
      <c r="V971" s="4" t="str">
        <f ca="1">IF(OR(INDEX($AG$2:$AG$1001,MATCH(ROWS($AF$2:AF971),$AF$2:$AF$1001,0),1)&gt;=100000,INDEX($AM$1005:$BM$1005,1,MATCH(COLUMNS($AM$1006:BG1006),$AM$1006:$BM$1006,0))&gt;=100000), " ",IF(INDEX($AM$2:$BM$1001,MATCH(ROWS($AF$2:AF971),$AF$2:$AF$1001,0),MATCH(COLUMNS($AM$1006:BG1006),$AM$1006:$BM$1006,0)), HYPERLINK("#",""), HYPERLINK(CONCATENATE("#metadata!", ADDRESS(INDEX($AH$2:$AH$1001,MATCH(ROWS($AF$2:AF971),$AF$2:$AF$1001,0),0), INDEX($AM$1004:$BM$1004,1,MATCH(COLUMNS($AM$1006:BG1006),$AM$1006:$BM$1006,0)))),"Fix")))</f>
        <v xml:space="preserve"> </v>
      </c>
      <c r="W971" s="4" t="str">
        <f ca="1">IF(OR(INDEX($AG$2:$AG$1001,MATCH(ROWS($AF$2:AF971),$AF$2:$AF$1001,0),1)&gt;=100000,INDEX($AM$1005:$BM$1005,1,MATCH(COLUMNS($AM$1006:BH1006),$AM$1006:$BM$1006,0))&gt;=100000), " ",IF(INDEX($AM$2:$BM$1001,MATCH(ROWS($AF$2:AF971),$AF$2:$AF$1001,0),MATCH(COLUMNS($AM$1006:BH1006),$AM$1006:$BM$1006,0)), HYPERLINK("#",""), HYPERLINK(CONCATENATE("#metadata!", ADDRESS(INDEX($AH$2:$AH$1001,MATCH(ROWS($AF$2:AF971),$AF$2:$AF$1001,0),0), INDEX($AM$1004:$BM$1004,1,MATCH(COLUMNS($AM$1006:BH1006),$AM$1006:$BM$1006,0)))),"Fix")))</f>
        <v xml:space="preserve"> </v>
      </c>
      <c r="X971" s="4" t="str">
        <f ca="1">IF(OR(INDEX($AG$2:$AG$1001,MATCH(ROWS($AF$2:AF971),$AF$2:$AF$1001,0),1)&gt;=100000,INDEX($AM$1005:$BM$1005,1,MATCH(COLUMNS($AM$1006:BI1006),$AM$1006:$BM$1006,0))&gt;=100000), " ",IF(INDEX($AM$2:$BM$1001,MATCH(ROWS($AF$2:AF971),$AF$2:$AF$1001,0),MATCH(COLUMNS($AM$1006:BI1006),$AM$1006:$BM$1006,0)), HYPERLINK("#",""), HYPERLINK(CONCATENATE("#metadata!", ADDRESS(INDEX($AH$2:$AH$1001,MATCH(ROWS($AF$2:AF971),$AF$2:$AF$1001,0),0), INDEX($AM$1004:$BM$1004,1,MATCH(COLUMNS($AM$1006:BI1006),$AM$1006:$BM$1006,0)))),"Fix")))</f>
        <v xml:space="preserve"> </v>
      </c>
      <c r="Y971" s="4" t="str">
        <f ca="1">IF(OR(INDEX($AG$2:$AG$1001,MATCH(ROWS($AF$2:AF971),$AF$2:$AF$1001,0),1)&gt;=100000,INDEX($AM$1005:$BM$1005,1,MATCH(COLUMNS($AM$1006:BJ1006),$AM$1006:$BM$1006,0))&gt;=100000), " ",IF(INDEX($AM$2:$BM$1001,MATCH(ROWS($AF$2:AF971),$AF$2:$AF$1001,0),MATCH(COLUMNS($AM$1006:BJ1006),$AM$1006:$BM$1006,0)), HYPERLINK("#",""), HYPERLINK(CONCATENATE("#metadata!", ADDRESS(INDEX($AH$2:$AH$1001,MATCH(ROWS($AF$2:AF971),$AF$2:$AF$1001,0),0), INDEX($AM$1004:$BM$1004,1,MATCH(COLUMNS($AM$1006:BJ1006),$AM$1006:$BM$1006,0)))),"Fix")))</f>
        <v xml:space="preserve"> </v>
      </c>
      <c r="Z971" s="4" t="str">
        <f ca="1">IF(OR(INDEX($AG$2:$AG$1001,MATCH(ROWS($AF$2:AF971),$AF$2:$AF$1001,0),1)&gt;=100000,INDEX($AM$1005:$BM$1005,1,MATCH(COLUMNS($AM$1006:BK1006),$AM$1006:$BM$1006,0))&gt;=100000), " ",IF(INDEX($AM$2:$BM$1001,MATCH(ROWS($AF$2:AF971),$AF$2:$AF$1001,0),MATCH(COLUMNS($AM$1006:BK1006),$AM$1006:$BM$1006,0)), HYPERLINK("#",""), HYPERLINK(CONCATENATE("#metadata!", ADDRESS(INDEX($AH$2:$AH$1001,MATCH(ROWS($AF$2:AF971),$AF$2:$AF$1001,0),0), INDEX($AM$1004:$BM$1004,1,MATCH(COLUMNS($AM$1006:BK1006),$AM$1006:$BM$1006,0)))),"Fix")))</f>
        <v xml:space="preserve"> </v>
      </c>
      <c r="AA971" s="4" t="str">
        <f ca="1">IF(OR(INDEX($AG$2:$AG$1001,MATCH(ROWS($AF$2:AF971),$AF$2:$AF$1001,0),1)&gt;=100000,INDEX($AM$1005:$BM$1005,1,MATCH(COLUMNS($AM$1006:BL1006),$AM$1006:$BM$1006,0))&gt;=100000), " ",IF(INDEX($AM$2:$BM$1001,MATCH(ROWS($AF$2:AF971),$AF$2:$AF$1001,0),MATCH(COLUMNS($AM$1006:BL1006),$AM$1006:$BM$1006,0)), HYPERLINK("#",""), HYPERLINK(CONCATENATE("#metadata!", ADDRESS(INDEX($AH$2:$AH$1001,MATCH(ROWS($AF$2:AF971),$AF$2:$AF$1001,0),0), INDEX($AM$1004:$BM$1004,1,MATCH(COLUMNS($AM$1006:BL1006),$AM$1006:$BM$1006,0)))),"Fix")))</f>
        <v xml:space="preserve"> </v>
      </c>
      <c r="AB971" s="4" t="str">
        <f ca="1">IF(OR(INDEX($AG$2:$AG$1001,MATCH(ROWS($AF$2:AF971),$AF$2:$AF$1001,0),1)&gt;=100000,INDEX($AM$1005:$BM$1005,1,MATCH(COLUMNS($AM$1006:BM1006),$AM$1006:$BM$1006,0))&gt;=100000), " ",IF(INDEX($AM$2:$BM$1001,MATCH(ROWS($AF$2:AF971),$AF$2:$AF$1001,0),MATCH(COLUMNS($AM$1006:BM1006),$AM$1006:$BM$1006,0)), HYPERLINK("#",""), HYPERLINK(CONCATENATE("#metadata!", ADDRESS(INDEX($AH$2:$AH$1001,MATCH(ROWS($AF$2:AF971),$AF$2:$AF$1001,0),0), INDEX($AM$1004:$BM$1004,1,MATCH(COLUMNS($AM$1006:BM1006),$AM$1006:$BM$1006,0)))),"Fix")))</f>
        <v xml:space="preserve"> </v>
      </c>
      <c r="AF971">
        <v>970</v>
      </c>
      <c r="AG971">
        <v>100971</v>
      </c>
      <c r="AH971">
        <v>971</v>
      </c>
      <c r="AI971" t="b">
        <f t="shared" si="15"/>
        <v>1</v>
      </c>
      <c r="AJ971" t="b">
        <f>COUNTBLANK(metadata!B971:AB971)=COLUMNS(metadata!B971:AB971)</f>
        <v>1</v>
      </c>
      <c r="AK971" t="str">
        <v/>
      </c>
      <c r="AM971" t="b">
        <f ca="1">AND(IF(metadata!B971="",FALSE,TRUE),COUNTIF(metadata!B:B, metadata!B971) = 1,NOT(ISERROR(SUMPRODUCT(SEARCH(MID(metadata!B971,ROW(INDIRECT("1:"&amp;LEN(metadata!B971))), 1),"0123456789abcdefghijklmnopqrstuvwxyzABCDEFGHIJKLMNOPQRSTUVWXYZ.")))))</f>
        <v>0</v>
      </c>
      <c r="AN971" t="b">
        <f ca="1">OR(AND(IF(metadata!C971="",FALSE,TRUE),OR(EXACT(metadata!C971,"missing: not collected"),EXACT(metadata!C971,"missing: not provided"),EXACT(metadata!C971,"missing: restricted access"))),AND(IF(metadata!C971="",FALSE,TRUE),AND(AND(IFERROR(INT(LEFT(metadata!C971,4))&gt;1900,FALSE),IFERROR(INT(LEFT(metadata!C971,4))&lt;=YEAR(NOW()),FALSE)), OR(MID(metadata!C971,5,1)="", AND(AND(MID(metadata!C971,5,1)="-",IFERROR(INT(MID(metadata!C971,6,1))&gt;=0,FALSE),IFERROR(INT(MID(metadata!C971,6,1))&lt;=1,FALSE),NOT(MID(metadata!C971,7,1)=""),IFERROR(INT(MID(metadata!C971,6,2))&gt;=1,FALSE),IFERROR(INT(MID(metadata!C971,6,2))&lt;=12,FALSE)), OR(MID(metadata!C971,8,1)="", AND(AND(MID(metadata!C971,8,1)="-",IFERROR(INT(MID(metadata!C971,9,1))&gt;=0,FALSE),IFERROR(INT(MID(metadata!C971,9,1))&lt;=3,FALSE),NOT(MID(metadata!C971,10,1)=""),IFERROR(INT(MID(metadata!C971,9,2))&gt;=1,FALSE),IFERROR(INT(MID(metadata!C971,9,2))&lt;=31,FALSE)), OR(MID(metadata!C971,11,1)="", AND(AND(MID(metadata!C971,11,1)=" ",IFERROR(INT(MID(metadata!C971,12,1))&gt;=0,FALSE),IFERROR(INT(MID(metadata!C971,12,1))&lt;=2,FALSE),NOT(MID(metadata!C971,13,1)=""),IFERROR(INT(MID(metadata!C971,12,2))&gt;=0,FALSE),IFERROR(INT(MID(metadata!C971,12,2))&lt;=23,FALSE)), OR(MID(metadata!C971,14,1)="", AND(AND(MID(metadata!C971,14,1)=":",IFERROR(INT(MID(metadata!C971,15,1))&gt;=0,FALSE),IFERROR(INT(MID(metadata!C971,15,1))&lt;=5,FALSE),NOT(MID(metadata!C971,16,1)=""),IFERROR(INT(MID(metadata!C971,15,2))&gt;=0,FALSE),IFERROR(INT(MID(metadata!C971,15,2))&lt;=59,FALSE)), OR(MID(metadata!C971,17,1)="", AND(AND(MID(metadata!C971,17,1)=":",IFERROR(INT(MID(metadata!C971,18,1))&gt;=0,FALSE),IFERROR(INT(MID(metadata!C971,18,1))&lt;=5,FALSE),NOT(MID(metadata!C971,19,1)=""),IFERROR(INT(MID(metadata!C971,18,2))&gt;=0,FALSE),IFERROR(INT(MID(metadata!C971,18,2))&lt;=59,FALSE)), LEN(metadata!C971)&lt;=19)))))))))))))</f>
        <v>0</v>
      </c>
      <c r="AO971" t="b">
        <f>AND(IF(metadata!D971="",FALSE,TRUE),EXACT(metadata!D971,"Not applicable"))</f>
        <v>0</v>
      </c>
      <c r="AP971" t="b">
        <f>IF(metadata!E971="",FALSE,TRUE)</f>
        <v>0</v>
      </c>
      <c r="AQ971" t="b">
        <f>OR(AND(IF(metadata!F971="",FALSE,TRUE),OR(EXACT(metadata!F971,"missing: not collected"),EXACT(metadata!F971,"missing: not provided"))),AND(IF(metadata!F971="",FALSE,TRUE),OR(EXACT(metadata!F971,"TRUE"),EXACT(metadata!F971,"FALSE"))))</f>
        <v>0</v>
      </c>
      <c r="AR971" t="b">
        <f>OR(AND(IF(metadata!G971="",FALSE,TRUE),OR(EXACT(metadata!G971,"missing: not collected"),EXACT(metadata!G971,"missing: not provided"),EXACT(metadata!G971,"missing: restricted access"))),AND(IF(metadata!G971="",FALSE,ISNUMBER(VALUE(metadata!G971))),metadata!G971&gt;=-413))</f>
        <v>0</v>
      </c>
      <c r="AS971" t="b">
        <f>AND(IF(metadata!H971="",FALSE,TRUE),EXACT(metadata!H971,"meters"))</f>
        <v>0</v>
      </c>
      <c r="AT971" t="b">
        <f>AND(IF(metadata!I971="",FALSE,TRUE),OR(EXACT(metadata!I971,"Host-associated"),EXACT(metadata!I971,"Free-living")))</f>
        <v>0</v>
      </c>
      <c r="AU971" t="b">
        <f>AND(IF(metadata!J971="",FALSE,TRUE),OR(EXACT(metadata!J971,"Animal"),EXACT(metadata!J971,"Fungus"),EXACT(metadata!J971,"Plant"),EXACT(metadata!J971,"Saline"),EXACT(metadata!J971,"Non-saline")))</f>
        <v>0</v>
      </c>
      <c r="AV971" t="b">
        <f>AND(IF(metadata!K971="",FALSE,TRUE),OR(EXACT(metadata!K971,"Plant secretion"),EXACT(metadata!K971,"Plant rhizosphere"),EXACT(metadata!K971,"Plant surface"),EXACT(metadata!K971,"Plant corpus"),EXACT(metadata!K971,"Fungus surface"),EXACT(metadata!K971,"Fungus corpus"),EXACT(metadata!K971,"Animal surface"),EXACT(metadata!K971,"Animal proximal gut"),EXACT(metadata!K971,"Animal corpus"),EXACT(metadata!K971,"Animal distal gut"),EXACT(metadata!K971,"Animal secretion"),EXACT(metadata!K971,"Sub-surface (non-saline)"),EXACT(metadata!K971,"Surface (non-saline)"),EXACT(metadata!K971,"Water (non-saline)"),EXACT(metadata!K971,"Soil (non-saline)"),EXACT(metadata!K971,"Aerosol (non-saline)"),EXACT(metadata!K971,"Sediment (non-saline)"),EXACT(metadata!K971,"Surface (saline)"),EXACT(metadata!K971,"Water (saline)"),EXACT(metadata!K971,"Hypersaline (saline)"),EXACT(metadata!K971,"Aerosol (saline)"),EXACT(metadata!K971,"Sediment (saline)")))</f>
        <v>0</v>
      </c>
      <c r="AW971" t="b">
        <f>IF(metadata!L971="",FALSE,TRUE)</f>
        <v>0</v>
      </c>
      <c r="AX971" t="b">
        <f>IF(metadata!M971="",FALSE,TRUE)</f>
        <v>0</v>
      </c>
      <c r="AY971" t="b">
        <f>IF(metadata!N971="",FALSE,TRUE)</f>
        <v>0</v>
      </c>
      <c r="AZ971" t="b">
        <f>OR(AND(IF(metadata!O971="",FALSE,TRUE),OR(EXACT(metadata!O971,"missing: not collected"),EXACT(metadata!O971,"missing: not provided"),EXACT(metadata!O971,"missing: restricted access"))),AND(IF(metadata!O971="",FALSE,TRUE),OR(EXACT(metadata!O971,"air"),EXACT(metadata!O971,"built environment"),EXACT(metadata!O971,"host-associated"),EXACT(metadata!O971,"human-associated"),EXACT(metadata!O971,"human-skin"),EXACT(metadata!O971,"human-oral"),EXACT(metadata!O971,"human-gut"),EXACT(metadata!O971,"human-vaginal"),EXACT(metadata!O971,"microbial mat/biofilm"),EXACT(metadata!O971,"misc environment"),EXACT(metadata!O971,"plant-associated"),EXACT(metadata!O971,"sediment"),EXACT(metadata!O971,"soil"),EXACT(metadata!O971,"wastewater/sludge"),EXACT(metadata!O971,"water"))))</f>
        <v>0</v>
      </c>
      <c r="BA971" t="b">
        <f>IF(metadata!P971="",FALSE,TRUE)</f>
        <v>0</v>
      </c>
      <c r="BB971" t="b">
        <f>IF(metadata!Q971="",FALSE,TRUE)</f>
        <v>0</v>
      </c>
      <c r="BC971" t="b">
        <f>OR(AND(IF(metadata!R971="",FALSE,TRUE),OR(EXACT(metadata!R971,"missing: not collected"),EXACT(metadata!R971,"missing: not provided"),EXACT(metadata!R971,"missing: restricted access"))),AND(IF(metadata!R971="",FALSE,ISNUMBER(VALUE(metadata!R971))),metadata!R971&gt;=-90,metadata!R971&lt;=90))</f>
        <v>0</v>
      </c>
      <c r="BD971" t="b">
        <f>AND(IF(metadata!S971="",FALSE,TRUE),EXACT(metadata!S971,"Decimal degrees"))</f>
        <v>0</v>
      </c>
      <c r="BE971" t="b">
        <f>OR(AND(IF(metadata!T971="",FALSE,TRUE),OR(EXACT(metadata!T971,"missing: not collected"),EXACT(metadata!T971,"missing: not provided"),EXACT(metadata!T971,"missing: restricted access"))),AND(IF(metadata!T971="",FALSE,ISNUMBER(VALUE(metadata!T971))),metadata!T971&gt;=-180,metadata!T971&lt;=180))</f>
        <v>0</v>
      </c>
      <c r="BF971" t="b">
        <f>AND(IF(metadata!U971="",FALSE,TRUE),EXACT(metadata!U971,"Decimal degrees"))</f>
        <v>0</v>
      </c>
      <c r="BG971" t="b">
        <f>IF(metadata!V971="",FALSE,TRUE)</f>
        <v>0</v>
      </c>
      <c r="BH971" t="b">
        <f>OR(AND(IF(metadata!W971="",FALSE,TRUE),OR(EXACT(metadata!W971,"missing: not collected"),EXACT(metadata!W971,"missing: not provided"),EXACT(metadata!W971,"missing: restricted access"))),AND(IF(metadata!W971="",FALSE,TRUE),OR(EXACT(metadata!W971,"TRUE"),EXACT(metadata!W971,"FALSE"))))</f>
        <v>0</v>
      </c>
      <c r="BI971" t="b">
        <f>AND(IF(metadata!X971="",FALSE,TRUE),EXACT(metadata!X971,"other"))</f>
        <v>0</v>
      </c>
      <c r="BJ971" t="b">
        <f>IF(metadata!Y971="",FALSE,TRUE)</f>
        <v>0</v>
      </c>
      <c r="BK971" t="b">
        <f>OR(AND(IF(metadata!Z971="",FALSE,TRUE),OR(EXACT(metadata!Z971,"missing: not collected"),EXACT(metadata!Z971,"missing: not provided"))),AND(IF(metadata!Z971="",FALSE,IF(ISERROR(INT(metadata!Z971)),FALSE,INT(metadata!Z971)=metadata!Z971)),metadata!Z971&gt;0))</f>
        <v>0</v>
      </c>
      <c r="BL971" t="b">
        <f>AND(IF(metadata!AA971="",FALSE,TRUE),EXACT(metadata!AA971,"Not applicable"))</f>
        <v>0</v>
      </c>
      <c r="BM971" t="b">
        <f>IF(metadata!AB971="",FALSE,TRUE)</f>
        <v>0</v>
      </c>
    </row>
    <row r="972" spans="1:65" x14ac:dyDescent="0.2">
      <c r="A972" s="5" t="str">
        <f ca="1">IF(B972=" "," ",HYPERLINK(CONCATENATE("#metadata!",ADDRESS(INDEX($AH$2:$AH$1001,MATCH(ROWS($AF$2:AF972),$AF$2:$AF$1001,0),0),1)),INDEX($AK$2:$AK$1001,MATCH(ROWS($AF$2:AF972),$AF$2:$AF$1001,0),0)))</f>
        <v xml:space="preserve"> </v>
      </c>
      <c r="B972" s="4" t="str">
        <f ca="1">IF(OR(INDEX($AG$2:$AG$1001,MATCH(ROWS($AF$2:AF972),$AF$2:$AF$1001,0),1)&gt;=100000,INDEX($AM$1005:$BM$1005,1,MATCH(COLUMNS($AM$1006:AM1006),$AM$1006:$BM$1006,0))&gt;=100000), " ",IF(INDEX($AM$2:$BM$1001,MATCH(ROWS($AF$2:AF972),$AF$2:$AF$1001,0),MATCH(COLUMNS($AM$1006:AM1006),$AM$1006:$BM$1006,0)), HYPERLINK("#",""), HYPERLINK(CONCATENATE("#metadata!", ADDRESS(INDEX($AH$2:$AH$1001,MATCH(ROWS($AF$2:AF972),$AF$2:$AF$1001,0),0), INDEX($AM$1004:$BM$1004,1,MATCH(COLUMNS($AM$1006:AM1006),$AM$1006:$BM$1006,0)))),"Fix")))</f>
        <v xml:space="preserve"> </v>
      </c>
      <c r="C972" s="4" t="str">
        <f ca="1">IF(OR(INDEX($AG$2:$AG$1001,MATCH(ROWS($AF$2:AF972),$AF$2:$AF$1001,0),1)&gt;=100000,INDEX($AM$1005:$BM$1005,1,MATCH(COLUMNS($AM$1006:AN1006),$AM$1006:$BM$1006,0))&gt;=100000), " ",IF(INDEX($AM$2:$BM$1001,MATCH(ROWS($AF$2:AF972),$AF$2:$AF$1001,0),MATCH(COLUMNS($AM$1006:AN1006),$AM$1006:$BM$1006,0)), HYPERLINK("#",""), HYPERLINK(CONCATENATE("#metadata!", ADDRESS(INDEX($AH$2:$AH$1001,MATCH(ROWS($AF$2:AF972),$AF$2:$AF$1001,0),0), INDEX($AM$1004:$BM$1004,1,MATCH(COLUMNS($AM$1006:AN1006),$AM$1006:$BM$1006,0)))),"Fix")))</f>
        <v xml:space="preserve"> </v>
      </c>
      <c r="D972" s="4" t="str">
        <f ca="1">IF(OR(INDEX($AG$2:$AG$1001,MATCH(ROWS($AF$2:AF972),$AF$2:$AF$1001,0),1)&gt;=100000,INDEX($AM$1005:$BM$1005,1,MATCH(COLUMNS($AM$1006:AO1006),$AM$1006:$BM$1006,0))&gt;=100000), " ",IF(INDEX($AM$2:$BM$1001,MATCH(ROWS($AF$2:AF972),$AF$2:$AF$1001,0),MATCH(COLUMNS($AM$1006:AO1006),$AM$1006:$BM$1006,0)), HYPERLINK("#",""), HYPERLINK(CONCATENATE("#metadata!", ADDRESS(INDEX($AH$2:$AH$1001,MATCH(ROWS($AF$2:AF972),$AF$2:$AF$1001,0),0), INDEX($AM$1004:$BM$1004,1,MATCH(COLUMNS($AM$1006:AO1006),$AM$1006:$BM$1006,0)))),"Fix")))</f>
        <v xml:space="preserve"> </v>
      </c>
      <c r="E972" s="4" t="str">
        <f ca="1">IF(OR(INDEX($AG$2:$AG$1001,MATCH(ROWS($AF$2:AF972),$AF$2:$AF$1001,0),1)&gt;=100000,INDEX($AM$1005:$BM$1005,1,MATCH(COLUMNS($AM$1006:AP1006),$AM$1006:$BM$1006,0))&gt;=100000), " ",IF(INDEX($AM$2:$BM$1001,MATCH(ROWS($AF$2:AF972),$AF$2:$AF$1001,0),MATCH(COLUMNS($AM$1006:AP1006),$AM$1006:$BM$1006,0)), HYPERLINK("#",""), HYPERLINK(CONCATENATE("#metadata!", ADDRESS(INDEX($AH$2:$AH$1001,MATCH(ROWS($AF$2:AF972),$AF$2:$AF$1001,0),0), INDEX($AM$1004:$BM$1004,1,MATCH(COLUMNS($AM$1006:AP1006),$AM$1006:$BM$1006,0)))),"Fix")))</f>
        <v xml:space="preserve"> </v>
      </c>
      <c r="F972" s="4" t="str">
        <f ca="1">IF(OR(INDEX($AG$2:$AG$1001,MATCH(ROWS($AF$2:AF972),$AF$2:$AF$1001,0),1)&gt;=100000,INDEX($AM$1005:$BM$1005,1,MATCH(COLUMNS($AM$1006:AQ1006),$AM$1006:$BM$1006,0))&gt;=100000), " ",IF(INDEX($AM$2:$BM$1001,MATCH(ROWS($AF$2:AF972),$AF$2:$AF$1001,0),MATCH(COLUMNS($AM$1006:AQ1006),$AM$1006:$BM$1006,0)), HYPERLINK("#",""), HYPERLINK(CONCATENATE("#metadata!", ADDRESS(INDEX($AH$2:$AH$1001,MATCH(ROWS($AF$2:AF972),$AF$2:$AF$1001,0),0), INDEX($AM$1004:$BM$1004,1,MATCH(COLUMNS($AM$1006:AQ1006),$AM$1006:$BM$1006,0)))),"Fix")))</f>
        <v xml:space="preserve"> </v>
      </c>
      <c r="G972" s="4" t="str">
        <f ca="1">IF(OR(INDEX($AG$2:$AG$1001,MATCH(ROWS($AF$2:AF972),$AF$2:$AF$1001,0),1)&gt;=100000,INDEX($AM$1005:$BM$1005,1,MATCH(COLUMNS($AM$1006:AR1006),$AM$1006:$BM$1006,0))&gt;=100000), " ",IF(INDEX($AM$2:$BM$1001,MATCH(ROWS($AF$2:AF972),$AF$2:$AF$1001,0),MATCH(COLUMNS($AM$1006:AR1006),$AM$1006:$BM$1006,0)), HYPERLINK("#",""), HYPERLINK(CONCATENATE("#metadata!", ADDRESS(INDEX($AH$2:$AH$1001,MATCH(ROWS($AF$2:AF972),$AF$2:$AF$1001,0),0), INDEX($AM$1004:$BM$1004,1,MATCH(COLUMNS($AM$1006:AR1006),$AM$1006:$BM$1006,0)))),"Fix")))</f>
        <v xml:space="preserve"> </v>
      </c>
      <c r="H972" s="4" t="str">
        <f ca="1">IF(OR(INDEX($AG$2:$AG$1001,MATCH(ROWS($AF$2:AF972),$AF$2:$AF$1001,0),1)&gt;=100000,INDEX($AM$1005:$BM$1005,1,MATCH(COLUMNS($AM$1006:AS1006),$AM$1006:$BM$1006,0))&gt;=100000), " ",IF(INDEX($AM$2:$BM$1001,MATCH(ROWS($AF$2:AF972),$AF$2:$AF$1001,0),MATCH(COLUMNS($AM$1006:AS1006),$AM$1006:$BM$1006,0)), HYPERLINK("#",""), HYPERLINK(CONCATENATE("#metadata!", ADDRESS(INDEX($AH$2:$AH$1001,MATCH(ROWS($AF$2:AF972),$AF$2:$AF$1001,0),0), INDEX($AM$1004:$BM$1004,1,MATCH(COLUMNS($AM$1006:AS1006),$AM$1006:$BM$1006,0)))),"Fix")))</f>
        <v xml:space="preserve"> </v>
      </c>
      <c r="I972" s="4" t="str">
        <f ca="1">IF(OR(INDEX($AG$2:$AG$1001,MATCH(ROWS($AF$2:AF972),$AF$2:$AF$1001,0),1)&gt;=100000,INDEX($AM$1005:$BM$1005,1,MATCH(COLUMNS($AM$1006:AT1006),$AM$1006:$BM$1006,0))&gt;=100000), " ",IF(INDEX($AM$2:$BM$1001,MATCH(ROWS($AF$2:AF972),$AF$2:$AF$1001,0),MATCH(COLUMNS($AM$1006:AT1006),$AM$1006:$BM$1006,0)), HYPERLINK("#",""), HYPERLINK(CONCATENATE("#metadata!", ADDRESS(INDEX($AH$2:$AH$1001,MATCH(ROWS($AF$2:AF972),$AF$2:$AF$1001,0),0), INDEX($AM$1004:$BM$1004,1,MATCH(COLUMNS($AM$1006:AT1006),$AM$1006:$BM$1006,0)))),"Fix")))</f>
        <v xml:space="preserve"> </v>
      </c>
      <c r="J972" s="4" t="str">
        <f ca="1">IF(OR(INDEX($AG$2:$AG$1001,MATCH(ROWS($AF$2:AF972),$AF$2:$AF$1001,0),1)&gt;=100000,INDEX($AM$1005:$BM$1005,1,MATCH(COLUMNS($AM$1006:AU1006),$AM$1006:$BM$1006,0))&gt;=100000), " ",IF(INDEX($AM$2:$BM$1001,MATCH(ROWS($AF$2:AF972),$AF$2:$AF$1001,0),MATCH(COLUMNS($AM$1006:AU1006),$AM$1006:$BM$1006,0)), HYPERLINK("#",""), HYPERLINK(CONCATENATE("#metadata!", ADDRESS(INDEX($AH$2:$AH$1001,MATCH(ROWS($AF$2:AF972),$AF$2:$AF$1001,0),0), INDEX($AM$1004:$BM$1004,1,MATCH(COLUMNS($AM$1006:AU1006),$AM$1006:$BM$1006,0)))),"Fix")))</f>
        <v xml:space="preserve"> </v>
      </c>
      <c r="K972" s="4" t="str">
        <f ca="1">IF(OR(INDEX($AG$2:$AG$1001,MATCH(ROWS($AF$2:AF972),$AF$2:$AF$1001,0),1)&gt;=100000,INDEX($AM$1005:$BM$1005,1,MATCH(COLUMNS($AM$1006:AV1006),$AM$1006:$BM$1006,0))&gt;=100000), " ",IF(INDEX($AM$2:$BM$1001,MATCH(ROWS($AF$2:AF972),$AF$2:$AF$1001,0),MATCH(COLUMNS($AM$1006:AV1006),$AM$1006:$BM$1006,0)), HYPERLINK("#",""), HYPERLINK(CONCATENATE("#metadata!", ADDRESS(INDEX($AH$2:$AH$1001,MATCH(ROWS($AF$2:AF972),$AF$2:$AF$1001,0),0), INDEX($AM$1004:$BM$1004,1,MATCH(COLUMNS($AM$1006:AV1006),$AM$1006:$BM$1006,0)))),"Fix")))</f>
        <v xml:space="preserve"> </v>
      </c>
      <c r="L972" s="4" t="str">
        <f ca="1">IF(OR(INDEX($AG$2:$AG$1001,MATCH(ROWS($AF$2:AF972),$AF$2:$AF$1001,0),1)&gt;=100000,INDEX($AM$1005:$BM$1005,1,MATCH(COLUMNS($AM$1006:AW1006),$AM$1006:$BM$1006,0))&gt;=100000), " ",IF(INDEX($AM$2:$BM$1001,MATCH(ROWS($AF$2:AF972),$AF$2:$AF$1001,0),MATCH(COLUMNS($AM$1006:AW1006),$AM$1006:$BM$1006,0)), HYPERLINK("#",""), HYPERLINK(CONCATENATE("#metadata!", ADDRESS(INDEX($AH$2:$AH$1001,MATCH(ROWS($AF$2:AF972),$AF$2:$AF$1001,0),0), INDEX($AM$1004:$BM$1004,1,MATCH(COLUMNS($AM$1006:AW1006),$AM$1006:$BM$1006,0)))),"Fix")))</f>
        <v xml:space="preserve"> </v>
      </c>
      <c r="M972" s="4" t="str">
        <f ca="1">IF(OR(INDEX($AG$2:$AG$1001,MATCH(ROWS($AF$2:AF972),$AF$2:$AF$1001,0),1)&gt;=100000,INDEX($AM$1005:$BM$1005,1,MATCH(COLUMNS($AM$1006:AX1006),$AM$1006:$BM$1006,0))&gt;=100000), " ",IF(INDEX($AM$2:$BM$1001,MATCH(ROWS($AF$2:AF972),$AF$2:$AF$1001,0),MATCH(COLUMNS($AM$1006:AX1006),$AM$1006:$BM$1006,0)), HYPERLINK("#",""), HYPERLINK(CONCATENATE("#metadata!", ADDRESS(INDEX($AH$2:$AH$1001,MATCH(ROWS($AF$2:AF972),$AF$2:$AF$1001,0),0), INDEX($AM$1004:$BM$1004,1,MATCH(COLUMNS($AM$1006:AX1006),$AM$1006:$BM$1006,0)))),"Fix")))</f>
        <v xml:space="preserve"> </v>
      </c>
      <c r="N972" s="4" t="str">
        <f ca="1">IF(OR(INDEX($AG$2:$AG$1001,MATCH(ROWS($AF$2:AF972),$AF$2:$AF$1001,0),1)&gt;=100000,INDEX($AM$1005:$BM$1005,1,MATCH(COLUMNS($AM$1006:AY1006),$AM$1006:$BM$1006,0))&gt;=100000), " ",IF(INDEX($AM$2:$BM$1001,MATCH(ROWS($AF$2:AF972),$AF$2:$AF$1001,0),MATCH(COLUMNS($AM$1006:AY1006),$AM$1006:$BM$1006,0)), HYPERLINK("#",""), HYPERLINK(CONCATENATE("#metadata!", ADDRESS(INDEX($AH$2:$AH$1001,MATCH(ROWS($AF$2:AF972),$AF$2:$AF$1001,0),0), INDEX($AM$1004:$BM$1004,1,MATCH(COLUMNS($AM$1006:AY1006),$AM$1006:$BM$1006,0)))),"Fix")))</f>
        <v xml:space="preserve"> </v>
      </c>
      <c r="O972" s="4" t="str">
        <f ca="1">IF(OR(INDEX($AG$2:$AG$1001,MATCH(ROWS($AF$2:AF972),$AF$2:$AF$1001,0),1)&gt;=100000,INDEX($AM$1005:$BM$1005,1,MATCH(COLUMNS($AM$1006:AZ1006),$AM$1006:$BM$1006,0))&gt;=100000), " ",IF(INDEX($AM$2:$BM$1001,MATCH(ROWS($AF$2:AF972),$AF$2:$AF$1001,0),MATCH(COLUMNS($AM$1006:AZ1006),$AM$1006:$BM$1006,0)), HYPERLINK("#",""), HYPERLINK(CONCATENATE("#metadata!", ADDRESS(INDEX($AH$2:$AH$1001,MATCH(ROWS($AF$2:AF972),$AF$2:$AF$1001,0),0), INDEX($AM$1004:$BM$1004,1,MATCH(COLUMNS($AM$1006:AZ1006),$AM$1006:$BM$1006,0)))),"Fix")))</f>
        <v xml:space="preserve"> </v>
      </c>
      <c r="P972" s="4" t="str">
        <f ca="1">IF(OR(INDEX($AG$2:$AG$1001,MATCH(ROWS($AF$2:AF972),$AF$2:$AF$1001,0),1)&gt;=100000,INDEX($AM$1005:$BM$1005,1,MATCH(COLUMNS($AM$1006:BA1006),$AM$1006:$BM$1006,0))&gt;=100000), " ",IF(INDEX($AM$2:$BM$1001,MATCH(ROWS($AF$2:AF972),$AF$2:$AF$1001,0),MATCH(COLUMNS($AM$1006:BA1006),$AM$1006:$BM$1006,0)), HYPERLINK("#",""), HYPERLINK(CONCATENATE("#metadata!", ADDRESS(INDEX($AH$2:$AH$1001,MATCH(ROWS($AF$2:AF972),$AF$2:$AF$1001,0),0), INDEX($AM$1004:$BM$1004,1,MATCH(COLUMNS($AM$1006:BA1006),$AM$1006:$BM$1006,0)))),"Fix")))</f>
        <v xml:space="preserve"> </v>
      </c>
      <c r="Q972" s="4" t="str">
        <f ca="1">IF(OR(INDEX($AG$2:$AG$1001,MATCH(ROWS($AF$2:AF972),$AF$2:$AF$1001,0),1)&gt;=100000,INDEX($AM$1005:$BM$1005,1,MATCH(COLUMNS($AM$1006:BB1006),$AM$1006:$BM$1006,0))&gt;=100000), " ",IF(INDEX($AM$2:$BM$1001,MATCH(ROWS($AF$2:AF972),$AF$2:$AF$1001,0),MATCH(COLUMNS($AM$1006:BB1006),$AM$1006:$BM$1006,0)), HYPERLINK("#",""), HYPERLINK(CONCATENATE("#metadata!", ADDRESS(INDEX($AH$2:$AH$1001,MATCH(ROWS($AF$2:AF972),$AF$2:$AF$1001,0),0), INDEX($AM$1004:$BM$1004,1,MATCH(COLUMNS($AM$1006:BB1006),$AM$1006:$BM$1006,0)))),"Fix")))</f>
        <v xml:space="preserve"> </v>
      </c>
      <c r="R972" s="4" t="str">
        <f ca="1">IF(OR(INDEX($AG$2:$AG$1001,MATCH(ROWS($AF$2:AF972),$AF$2:$AF$1001,0),1)&gt;=100000,INDEX($AM$1005:$BM$1005,1,MATCH(COLUMNS($AM$1006:BC1006),$AM$1006:$BM$1006,0))&gt;=100000), " ",IF(INDEX($AM$2:$BM$1001,MATCH(ROWS($AF$2:AF972),$AF$2:$AF$1001,0),MATCH(COLUMNS($AM$1006:BC1006),$AM$1006:$BM$1006,0)), HYPERLINK("#",""), HYPERLINK(CONCATENATE("#metadata!", ADDRESS(INDEX($AH$2:$AH$1001,MATCH(ROWS($AF$2:AF972),$AF$2:$AF$1001,0),0), INDEX($AM$1004:$BM$1004,1,MATCH(COLUMNS($AM$1006:BC1006),$AM$1006:$BM$1006,0)))),"Fix")))</f>
        <v xml:space="preserve"> </v>
      </c>
      <c r="S972" s="4" t="str">
        <f ca="1">IF(OR(INDEX($AG$2:$AG$1001,MATCH(ROWS($AF$2:AF972),$AF$2:$AF$1001,0),1)&gt;=100000,INDEX($AM$1005:$BM$1005,1,MATCH(COLUMNS($AM$1006:BD1006),$AM$1006:$BM$1006,0))&gt;=100000), " ",IF(INDEX($AM$2:$BM$1001,MATCH(ROWS($AF$2:AF972),$AF$2:$AF$1001,0),MATCH(COLUMNS($AM$1006:BD1006),$AM$1006:$BM$1006,0)), HYPERLINK("#",""), HYPERLINK(CONCATENATE("#metadata!", ADDRESS(INDEX($AH$2:$AH$1001,MATCH(ROWS($AF$2:AF972),$AF$2:$AF$1001,0),0), INDEX($AM$1004:$BM$1004,1,MATCH(COLUMNS($AM$1006:BD1006),$AM$1006:$BM$1006,0)))),"Fix")))</f>
        <v xml:space="preserve"> </v>
      </c>
      <c r="T972" s="4" t="str">
        <f ca="1">IF(OR(INDEX($AG$2:$AG$1001,MATCH(ROWS($AF$2:AF972),$AF$2:$AF$1001,0),1)&gt;=100000,INDEX($AM$1005:$BM$1005,1,MATCH(COLUMNS($AM$1006:BE1006),$AM$1006:$BM$1006,0))&gt;=100000), " ",IF(INDEX($AM$2:$BM$1001,MATCH(ROWS($AF$2:AF972),$AF$2:$AF$1001,0),MATCH(COLUMNS($AM$1006:BE1006),$AM$1006:$BM$1006,0)), HYPERLINK("#",""), HYPERLINK(CONCATENATE("#metadata!", ADDRESS(INDEX($AH$2:$AH$1001,MATCH(ROWS($AF$2:AF972),$AF$2:$AF$1001,0),0), INDEX($AM$1004:$BM$1004,1,MATCH(COLUMNS($AM$1006:BE1006),$AM$1006:$BM$1006,0)))),"Fix")))</f>
        <v xml:space="preserve"> </v>
      </c>
      <c r="U972" s="4" t="str">
        <f ca="1">IF(OR(INDEX($AG$2:$AG$1001,MATCH(ROWS($AF$2:AF972),$AF$2:$AF$1001,0),1)&gt;=100000,INDEX($AM$1005:$BM$1005,1,MATCH(COLUMNS($AM$1006:BF1006),$AM$1006:$BM$1006,0))&gt;=100000), " ",IF(INDEX($AM$2:$BM$1001,MATCH(ROWS($AF$2:AF972),$AF$2:$AF$1001,0),MATCH(COLUMNS($AM$1006:BF1006),$AM$1006:$BM$1006,0)), HYPERLINK("#",""), HYPERLINK(CONCATENATE("#metadata!", ADDRESS(INDEX($AH$2:$AH$1001,MATCH(ROWS($AF$2:AF972),$AF$2:$AF$1001,0),0), INDEX($AM$1004:$BM$1004,1,MATCH(COLUMNS($AM$1006:BF1006),$AM$1006:$BM$1006,0)))),"Fix")))</f>
        <v xml:space="preserve"> </v>
      </c>
      <c r="V972" s="4" t="str">
        <f ca="1">IF(OR(INDEX($AG$2:$AG$1001,MATCH(ROWS($AF$2:AF972),$AF$2:$AF$1001,0),1)&gt;=100000,INDEX($AM$1005:$BM$1005,1,MATCH(COLUMNS($AM$1006:BG1006),$AM$1006:$BM$1006,0))&gt;=100000), " ",IF(INDEX($AM$2:$BM$1001,MATCH(ROWS($AF$2:AF972),$AF$2:$AF$1001,0),MATCH(COLUMNS($AM$1006:BG1006),$AM$1006:$BM$1006,0)), HYPERLINK("#",""), HYPERLINK(CONCATENATE("#metadata!", ADDRESS(INDEX($AH$2:$AH$1001,MATCH(ROWS($AF$2:AF972),$AF$2:$AF$1001,0),0), INDEX($AM$1004:$BM$1004,1,MATCH(COLUMNS($AM$1006:BG1006),$AM$1006:$BM$1006,0)))),"Fix")))</f>
        <v xml:space="preserve"> </v>
      </c>
      <c r="W972" s="4" t="str">
        <f ca="1">IF(OR(INDEX($AG$2:$AG$1001,MATCH(ROWS($AF$2:AF972),$AF$2:$AF$1001,0),1)&gt;=100000,INDEX($AM$1005:$BM$1005,1,MATCH(COLUMNS($AM$1006:BH1006),$AM$1006:$BM$1006,0))&gt;=100000), " ",IF(INDEX($AM$2:$BM$1001,MATCH(ROWS($AF$2:AF972),$AF$2:$AF$1001,0),MATCH(COLUMNS($AM$1006:BH1006),$AM$1006:$BM$1006,0)), HYPERLINK("#",""), HYPERLINK(CONCATENATE("#metadata!", ADDRESS(INDEX($AH$2:$AH$1001,MATCH(ROWS($AF$2:AF972),$AF$2:$AF$1001,0),0), INDEX($AM$1004:$BM$1004,1,MATCH(COLUMNS($AM$1006:BH1006),$AM$1006:$BM$1006,0)))),"Fix")))</f>
        <v xml:space="preserve"> </v>
      </c>
      <c r="X972" s="4" t="str">
        <f ca="1">IF(OR(INDEX($AG$2:$AG$1001,MATCH(ROWS($AF$2:AF972),$AF$2:$AF$1001,0),1)&gt;=100000,INDEX($AM$1005:$BM$1005,1,MATCH(COLUMNS($AM$1006:BI1006),$AM$1006:$BM$1006,0))&gt;=100000), " ",IF(INDEX($AM$2:$BM$1001,MATCH(ROWS($AF$2:AF972),$AF$2:$AF$1001,0),MATCH(COLUMNS($AM$1006:BI1006),$AM$1006:$BM$1006,0)), HYPERLINK("#",""), HYPERLINK(CONCATENATE("#metadata!", ADDRESS(INDEX($AH$2:$AH$1001,MATCH(ROWS($AF$2:AF972),$AF$2:$AF$1001,0),0), INDEX($AM$1004:$BM$1004,1,MATCH(COLUMNS($AM$1006:BI1006),$AM$1006:$BM$1006,0)))),"Fix")))</f>
        <v xml:space="preserve"> </v>
      </c>
      <c r="Y972" s="4" t="str">
        <f ca="1">IF(OR(INDEX($AG$2:$AG$1001,MATCH(ROWS($AF$2:AF972),$AF$2:$AF$1001,0),1)&gt;=100000,INDEX($AM$1005:$BM$1005,1,MATCH(COLUMNS($AM$1006:BJ1006),$AM$1006:$BM$1006,0))&gt;=100000), " ",IF(INDEX($AM$2:$BM$1001,MATCH(ROWS($AF$2:AF972),$AF$2:$AF$1001,0),MATCH(COLUMNS($AM$1006:BJ1006),$AM$1006:$BM$1006,0)), HYPERLINK("#",""), HYPERLINK(CONCATENATE("#metadata!", ADDRESS(INDEX($AH$2:$AH$1001,MATCH(ROWS($AF$2:AF972),$AF$2:$AF$1001,0),0), INDEX($AM$1004:$BM$1004,1,MATCH(COLUMNS($AM$1006:BJ1006),$AM$1006:$BM$1006,0)))),"Fix")))</f>
        <v xml:space="preserve"> </v>
      </c>
      <c r="Z972" s="4" t="str">
        <f ca="1">IF(OR(INDEX($AG$2:$AG$1001,MATCH(ROWS($AF$2:AF972),$AF$2:$AF$1001,0),1)&gt;=100000,INDEX($AM$1005:$BM$1005,1,MATCH(COLUMNS($AM$1006:BK1006),$AM$1006:$BM$1006,0))&gt;=100000), " ",IF(INDEX($AM$2:$BM$1001,MATCH(ROWS($AF$2:AF972),$AF$2:$AF$1001,0),MATCH(COLUMNS($AM$1006:BK1006),$AM$1006:$BM$1006,0)), HYPERLINK("#",""), HYPERLINK(CONCATENATE("#metadata!", ADDRESS(INDEX($AH$2:$AH$1001,MATCH(ROWS($AF$2:AF972),$AF$2:$AF$1001,0),0), INDEX($AM$1004:$BM$1004,1,MATCH(COLUMNS($AM$1006:BK1006),$AM$1006:$BM$1006,0)))),"Fix")))</f>
        <v xml:space="preserve"> </v>
      </c>
      <c r="AA972" s="4" t="str">
        <f ca="1">IF(OR(INDEX($AG$2:$AG$1001,MATCH(ROWS($AF$2:AF972),$AF$2:$AF$1001,0),1)&gt;=100000,INDEX($AM$1005:$BM$1005,1,MATCH(COLUMNS($AM$1006:BL1006),$AM$1006:$BM$1006,0))&gt;=100000), " ",IF(INDEX($AM$2:$BM$1001,MATCH(ROWS($AF$2:AF972),$AF$2:$AF$1001,0),MATCH(COLUMNS($AM$1006:BL1006),$AM$1006:$BM$1006,0)), HYPERLINK("#",""), HYPERLINK(CONCATENATE("#metadata!", ADDRESS(INDEX($AH$2:$AH$1001,MATCH(ROWS($AF$2:AF972),$AF$2:$AF$1001,0),0), INDEX($AM$1004:$BM$1004,1,MATCH(COLUMNS($AM$1006:BL1006),$AM$1006:$BM$1006,0)))),"Fix")))</f>
        <v xml:space="preserve"> </v>
      </c>
      <c r="AB972" s="4" t="str">
        <f ca="1">IF(OR(INDEX($AG$2:$AG$1001,MATCH(ROWS($AF$2:AF972),$AF$2:$AF$1001,0),1)&gt;=100000,INDEX($AM$1005:$BM$1005,1,MATCH(COLUMNS($AM$1006:BM1006),$AM$1006:$BM$1006,0))&gt;=100000), " ",IF(INDEX($AM$2:$BM$1001,MATCH(ROWS($AF$2:AF972),$AF$2:$AF$1001,0),MATCH(COLUMNS($AM$1006:BM1006),$AM$1006:$BM$1006,0)), HYPERLINK("#",""), HYPERLINK(CONCATENATE("#metadata!", ADDRESS(INDEX($AH$2:$AH$1001,MATCH(ROWS($AF$2:AF972),$AF$2:$AF$1001,0),0), INDEX($AM$1004:$BM$1004,1,MATCH(COLUMNS($AM$1006:BM1006),$AM$1006:$BM$1006,0)))),"Fix")))</f>
        <v xml:space="preserve"> </v>
      </c>
      <c r="AF972">
        <v>971</v>
      </c>
      <c r="AG972">
        <v>100972</v>
      </c>
      <c r="AH972">
        <v>972</v>
      </c>
      <c r="AI972" t="b">
        <f t="shared" si="15"/>
        <v>1</v>
      </c>
      <c r="AJ972" t="b">
        <f>COUNTBLANK(metadata!B972:AB972)=COLUMNS(metadata!B972:AB972)</f>
        <v>1</v>
      </c>
      <c r="AK972" t="str">
        <v/>
      </c>
      <c r="AM972" t="b">
        <f ca="1">AND(IF(metadata!B972="",FALSE,TRUE),COUNTIF(metadata!B:B, metadata!B972) = 1,NOT(ISERROR(SUMPRODUCT(SEARCH(MID(metadata!B972,ROW(INDIRECT("1:"&amp;LEN(metadata!B972))), 1),"0123456789abcdefghijklmnopqrstuvwxyzABCDEFGHIJKLMNOPQRSTUVWXYZ.")))))</f>
        <v>0</v>
      </c>
      <c r="AN972" t="b">
        <f ca="1">OR(AND(IF(metadata!C972="",FALSE,TRUE),OR(EXACT(metadata!C972,"missing: not collected"),EXACT(metadata!C972,"missing: not provided"),EXACT(metadata!C972,"missing: restricted access"))),AND(IF(metadata!C972="",FALSE,TRUE),AND(AND(IFERROR(INT(LEFT(metadata!C972,4))&gt;1900,FALSE),IFERROR(INT(LEFT(metadata!C972,4))&lt;=YEAR(NOW()),FALSE)), OR(MID(metadata!C972,5,1)="", AND(AND(MID(metadata!C972,5,1)="-",IFERROR(INT(MID(metadata!C972,6,1))&gt;=0,FALSE),IFERROR(INT(MID(metadata!C972,6,1))&lt;=1,FALSE),NOT(MID(metadata!C972,7,1)=""),IFERROR(INT(MID(metadata!C972,6,2))&gt;=1,FALSE),IFERROR(INT(MID(metadata!C972,6,2))&lt;=12,FALSE)), OR(MID(metadata!C972,8,1)="", AND(AND(MID(metadata!C972,8,1)="-",IFERROR(INT(MID(metadata!C972,9,1))&gt;=0,FALSE),IFERROR(INT(MID(metadata!C972,9,1))&lt;=3,FALSE),NOT(MID(metadata!C972,10,1)=""),IFERROR(INT(MID(metadata!C972,9,2))&gt;=1,FALSE),IFERROR(INT(MID(metadata!C972,9,2))&lt;=31,FALSE)), OR(MID(metadata!C972,11,1)="", AND(AND(MID(metadata!C972,11,1)=" ",IFERROR(INT(MID(metadata!C972,12,1))&gt;=0,FALSE),IFERROR(INT(MID(metadata!C972,12,1))&lt;=2,FALSE),NOT(MID(metadata!C972,13,1)=""),IFERROR(INT(MID(metadata!C972,12,2))&gt;=0,FALSE),IFERROR(INT(MID(metadata!C972,12,2))&lt;=23,FALSE)), OR(MID(metadata!C972,14,1)="", AND(AND(MID(metadata!C972,14,1)=":",IFERROR(INT(MID(metadata!C972,15,1))&gt;=0,FALSE),IFERROR(INT(MID(metadata!C972,15,1))&lt;=5,FALSE),NOT(MID(metadata!C972,16,1)=""),IFERROR(INT(MID(metadata!C972,15,2))&gt;=0,FALSE),IFERROR(INT(MID(metadata!C972,15,2))&lt;=59,FALSE)), OR(MID(metadata!C972,17,1)="", AND(AND(MID(metadata!C972,17,1)=":",IFERROR(INT(MID(metadata!C972,18,1))&gt;=0,FALSE),IFERROR(INT(MID(metadata!C972,18,1))&lt;=5,FALSE),NOT(MID(metadata!C972,19,1)=""),IFERROR(INT(MID(metadata!C972,18,2))&gt;=0,FALSE),IFERROR(INT(MID(metadata!C972,18,2))&lt;=59,FALSE)), LEN(metadata!C972)&lt;=19)))))))))))))</f>
        <v>0</v>
      </c>
      <c r="AO972" t="b">
        <f>AND(IF(metadata!D972="",FALSE,TRUE),EXACT(metadata!D972,"Not applicable"))</f>
        <v>0</v>
      </c>
      <c r="AP972" t="b">
        <f>IF(metadata!E972="",FALSE,TRUE)</f>
        <v>0</v>
      </c>
      <c r="AQ972" t="b">
        <f>OR(AND(IF(metadata!F972="",FALSE,TRUE),OR(EXACT(metadata!F972,"missing: not collected"),EXACT(metadata!F972,"missing: not provided"))),AND(IF(metadata!F972="",FALSE,TRUE),OR(EXACT(metadata!F972,"TRUE"),EXACT(metadata!F972,"FALSE"))))</f>
        <v>0</v>
      </c>
      <c r="AR972" t="b">
        <f>OR(AND(IF(metadata!G972="",FALSE,TRUE),OR(EXACT(metadata!G972,"missing: not collected"),EXACT(metadata!G972,"missing: not provided"),EXACT(metadata!G972,"missing: restricted access"))),AND(IF(metadata!G972="",FALSE,ISNUMBER(VALUE(metadata!G972))),metadata!G972&gt;=-413))</f>
        <v>0</v>
      </c>
      <c r="AS972" t="b">
        <f>AND(IF(metadata!H972="",FALSE,TRUE),EXACT(metadata!H972,"meters"))</f>
        <v>0</v>
      </c>
      <c r="AT972" t="b">
        <f>AND(IF(metadata!I972="",FALSE,TRUE),OR(EXACT(metadata!I972,"Host-associated"),EXACT(metadata!I972,"Free-living")))</f>
        <v>0</v>
      </c>
      <c r="AU972" t="b">
        <f>AND(IF(metadata!J972="",FALSE,TRUE),OR(EXACT(metadata!J972,"Animal"),EXACT(metadata!J972,"Fungus"),EXACT(metadata!J972,"Plant"),EXACT(metadata!J972,"Saline"),EXACT(metadata!J972,"Non-saline")))</f>
        <v>0</v>
      </c>
      <c r="AV972" t="b">
        <f>AND(IF(metadata!K972="",FALSE,TRUE),OR(EXACT(metadata!K972,"Plant secretion"),EXACT(metadata!K972,"Plant rhizosphere"),EXACT(metadata!K972,"Plant surface"),EXACT(metadata!K972,"Plant corpus"),EXACT(metadata!K972,"Fungus surface"),EXACT(metadata!K972,"Fungus corpus"),EXACT(metadata!K972,"Animal surface"),EXACT(metadata!K972,"Animal proximal gut"),EXACT(metadata!K972,"Animal corpus"),EXACT(metadata!K972,"Animal distal gut"),EXACT(metadata!K972,"Animal secretion"),EXACT(metadata!K972,"Sub-surface (non-saline)"),EXACT(metadata!K972,"Surface (non-saline)"),EXACT(metadata!K972,"Water (non-saline)"),EXACT(metadata!K972,"Soil (non-saline)"),EXACT(metadata!K972,"Aerosol (non-saline)"),EXACT(metadata!K972,"Sediment (non-saline)"),EXACT(metadata!K972,"Surface (saline)"),EXACT(metadata!K972,"Water (saline)"),EXACT(metadata!K972,"Hypersaline (saline)"),EXACT(metadata!K972,"Aerosol (saline)"),EXACT(metadata!K972,"Sediment (saline)")))</f>
        <v>0</v>
      </c>
      <c r="AW972" t="b">
        <f>IF(metadata!L972="",FALSE,TRUE)</f>
        <v>0</v>
      </c>
      <c r="AX972" t="b">
        <f>IF(metadata!M972="",FALSE,TRUE)</f>
        <v>0</v>
      </c>
      <c r="AY972" t="b">
        <f>IF(metadata!N972="",FALSE,TRUE)</f>
        <v>0</v>
      </c>
      <c r="AZ972" t="b">
        <f>OR(AND(IF(metadata!O972="",FALSE,TRUE),OR(EXACT(metadata!O972,"missing: not collected"),EXACT(metadata!O972,"missing: not provided"),EXACT(metadata!O972,"missing: restricted access"))),AND(IF(metadata!O972="",FALSE,TRUE),OR(EXACT(metadata!O972,"air"),EXACT(metadata!O972,"built environment"),EXACT(metadata!O972,"host-associated"),EXACT(metadata!O972,"human-associated"),EXACT(metadata!O972,"human-skin"),EXACT(metadata!O972,"human-oral"),EXACT(metadata!O972,"human-gut"),EXACT(metadata!O972,"human-vaginal"),EXACT(metadata!O972,"microbial mat/biofilm"),EXACT(metadata!O972,"misc environment"),EXACT(metadata!O972,"plant-associated"),EXACT(metadata!O972,"sediment"),EXACT(metadata!O972,"soil"),EXACT(metadata!O972,"wastewater/sludge"),EXACT(metadata!O972,"water"))))</f>
        <v>0</v>
      </c>
      <c r="BA972" t="b">
        <f>IF(metadata!P972="",FALSE,TRUE)</f>
        <v>0</v>
      </c>
      <c r="BB972" t="b">
        <f>IF(metadata!Q972="",FALSE,TRUE)</f>
        <v>0</v>
      </c>
      <c r="BC972" t="b">
        <f>OR(AND(IF(metadata!R972="",FALSE,TRUE),OR(EXACT(metadata!R972,"missing: not collected"),EXACT(metadata!R972,"missing: not provided"),EXACT(metadata!R972,"missing: restricted access"))),AND(IF(metadata!R972="",FALSE,ISNUMBER(VALUE(metadata!R972))),metadata!R972&gt;=-90,metadata!R972&lt;=90))</f>
        <v>0</v>
      </c>
      <c r="BD972" t="b">
        <f>AND(IF(metadata!S972="",FALSE,TRUE),EXACT(metadata!S972,"Decimal degrees"))</f>
        <v>0</v>
      </c>
      <c r="BE972" t="b">
        <f>OR(AND(IF(metadata!T972="",FALSE,TRUE),OR(EXACT(metadata!T972,"missing: not collected"),EXACT(metadata!T972,"missing: not provided"),EXACT(metadata!T972,"missing: restricted access"))),AND(IF(metadata!T972="",FALSE,ISNUMBER(VALUE(metadata!T972))),metadata!T972&gt;=-180,metadata!T972&lt;=180))</f>
        <v>0</v>
      </c>
      <c r="BF972" t="b">
        <f>AND(IF(metadata!U972="",FALSE,TRUE),EXACT(metadata!U972,"Decimal degrees"))</f>
        <v>0</v>
      </c>
      <c r="BG972" t="b">
        <f>IF(metadata!V972="",FALSE,TRUE)</f>
        <v>0</v>
      </c>
      <c r="BH972" t="b">
        <f>OR(AND(IF(metadata!W972="",FALSE,TRUE),OR(EXACT(metadata!W972,"missing: not collected"),EXACT(metadata!W972,"missing: not provided"),EXACT(metadata!W972,"missing: restricted access"))),AND(IF(metadata!W972="",FALSE,TRUE),OR(EXACT(metadata!W972,"TRUE"),EXACT(metadata!W972,"FALSE"))))</f>
        <v>0</v>
      </c>
      <c r="BI972" t="b">
        <f>AND(IF(metadata!X972="",FALSE,TRUE),EXACT(metadata!X972,"other"))</f>
        <v>0</v>
      </c>
      <c r="BJ972" t="b">
        <f>IF(metadata!Y972="",FALSE,TRUE)</f>
        <v>0</v>
      </c>
      <c r="BK972" t="b">
        <f>OR(AND(IF(metadata!Z972="",FALSE,TRUE),OR(EXACT(metadata!Z972,"missing: not collected"),EXACT(metadata!Z972,"missing: not provided"))),AND(IF(metadata!Z972="",FALSE,IF(ISERROR(INT(metadata!Z972)),FALSE,INT(metadata!Z972)=metadata!Z972)),metadata!Z972&gt;0))</f>
        <v>0</v>
      </c>
      <c r="BL972" t="b">
        <f>AND(IF(metadata!AA972="",FALSE,TRUE),EXACT(metadata!AA972,"Not applicable"))</f>
        <v>0</v>
      </c>
      <c r="BM972" t="b">
        <f>IF(metadata!AB972="",FALSE,TRUE)</f>
        <v>0</v>
      </c>
    </row>
    <row r="973" spans="1:65" x14ac:dyDescent="0.2">
      <c r="A973" s="5" t="str">
        <f ca="1">IF(B973=" "," ",HYPERLINK(CONCATENATE("#metadata!",ADDRESS(INDEX($AH$2:$AH$1001,MATCH(ROWS($AF$2:AF973),$AF$2:$AF$1001,0),0),1)),INDEX($AK$2:$AK$1001,MATCH(ROWS($AF$2:AF973),$AF$2:$AF$1001,0),0)))</f>
        <v xml:space="preserve"> </v>
      </c>
      <c r="B973" s="4" t="str">
        <f ca="1">IF(OR(INDEX($AG$2:$AG$1001,MATCH(ROWS($AF$2:AF973),$AF$2:$AF$1001,0),1)&gt;=100000,INDEX($AM$1005:$BM$1005,1,MATCH(COLUMNS($AM$1006:AM1006),$AM$1006:$BM$1006,0))&gt;=100000), " ",IF(INDEX($AM$2:$BM$1001,MATCH(ROWS($AF$2:AF973),$AF$2:$AF$1001,0),MATCH(COLUMNS($AM$1006:AM1006),$AM$1006:$BM$1006,0)), HYPERLINK("#",""), HYPERLINK(CONCATENATE("#metadata!", ADDRESS(INDEX($AH$2:$AH$1001,MATCH(ROWS($AF$2:AF973),$AF$2:$AF$1001,0),0), INDEX($AM$1004:$BM$1004,1,MATCH(COLUMNS($AM$1006:AM1006),$AM$1006:$BM$1006,0)))),"Fix")))</f>
        <v xml:space="preserve"> </v>
      </c>
      <c r="C973" s="4" t="str">
        <f ca="1">IF(OR(INDEX($AG$2:$AG$1001,MATCH(ROWS($AF$2:AF973),$AF$2:$AF$1001,0),1)&gt;=100000,INDEX($AM$1005:$BM$1005,1,MATCH(COLUMNS($AM$1006:AN1006),$AM$1006:$BM$1006,0))&gt;=100000), " ",IF(INDEX($AM$2:$BM$1001,MATCH(ROWS($AF$2:AF973),$AF$2:$AF$1001,0),MATCH(COLUMNS($AM$1006:AN1006),$AM$1006:$BM$1006,0)), HYPERLINK("#",""), HYPERLINK(CONCATENATE("#metadata!", ADDRESS(INDEX($AH$2:$AH$1001,MATCH(ROWS($AF$2:AF973),$AF$2:$AF$1001,0),0), INDEX($AM$1004:$BM$1004,1,MATCH(COLUMNS($AM$1006:AN1006),$AM$1006:$BM$1006,0)))),"Fix")))</f>
        <v xml:space="preserve"> </v>
      </c>
      <c r="D973" s="4" t="str">
        <f ca="1">IF(OR(INDEX($AG$2:$AG$1001,MATCH(ROWS($AF$2:AF973),$AF$2:$AF$1001,0),1)&gt;=100000,INDEX($AM$1005:$BM$1005,1,MATCH(COLUMNS($AM$1006:AO1006),$AM$1006:$BM$1006,0))&gt;=100000), " ",IF(INDEX($AM$2:$BM$1001,MATCH(ROWS($AF$2:AF973),$AF$2:$AF$1001,0),MATCH(COLUMNS($AM$1006:AO1006),$AM$1006:$BM$1006,0)), HYPERLINK("#",""), HYPERLINK(CONCATENATE("#metadata!", ADDRESS(INDEX($AH$2:$AH$1001,MATCH(ROWS($AF$2:AF973),$AF$2:$AF$1001,0),0), INDEX($AM$1004:$BM$1004,1,MATCH(COLUMNS($AM$1006:AO1006),$AM$1006:$BM$1006,0)))),"Fix")))</f>
        <v xml:space="preserve"> </v>
      </c>
      <c r="E973" s="4" t="str">
        <f ca="1">IF(OR(INDEX($AG$2:$AG$1001,MATCH(ROWS($AF$2:AF973),$AF$2:$AF$1001,0),1)&gt;=100000,INDEX($AM$1005:$BM$1005,1,MATCH(COLUMNS($AM$1006:AP1006),$AM$1006:$BM$1006,0))&gt;=100000), " ",IF(INDEX($AM$2:$BM$1001,MATCH(ROWS($AF$2:AF973),$AF$2:$AF$1001,0),MATCH(COLUMNS($AM$1006:AP1006),$AM$1006:$BM$1006,0)), HYPERLINK("#",""), HYPERLINK(CONCATENATE("#metadata!", ADDRESS(INDEX($AH$2:$AH$1001,MATCH(ROWS($AF$2:AF973),$AF$2:$AF$1001,0),0), INDEX($AM$1004:$BM$1004,1,MATCH(COLUMNS($AM$1006:AP1006),$AM$1006:$BM$1006,0)))),"Fix")))</f>
        <v xml:space="preserve"> </v>
      </c>
      <c r="F973" s="4" t="str">
        <f ca="1">IF(OR(INDEX($AG$2:$AG$1001,MATCH(ROWS($AF$2:AF973),$AF$2:$AF$1001,0),1)&gt;=100000,INDEX($AM$1005:$BM$1005,1,MATCH(COLUMNS($AM$1006:AQ1006),$AM$1006:$BM$1006,0))&gt;=100000), " ",IF(INDEX($AM$2:$BM$1001,MATCH(ROWS($AF$2:AF973),$AF$2:$AF$1001,0),MATCH(COLUMNS($AM$1006:AQ1006),$AM$1006:$BM$1006,0)), HYPERLINK("#",""), HYPERLINK(CONCATENATE("#metadata!", ADDRESS(INDEX($AH$2:$AH$1001,MATCH(ROWS($AF$2:AF973),$AF$2:$AF$1001,0),0), INDEX($AM$1004:$BM$1004,1,MATCH(COLUMNS($AM$1006:AQ1006),$AM$1006:$BM$1006,0)))),"Fix")))</f>
        <v xml:space="preserve"> </v>
      </c>
      <c r="G973" s="4" t="str">
        <f ca="1">IF(OR(INDEX($AG$2:$AG$1001,MATCH(ROWS($AF$2:AF973),$AF$2:$AF$1001,0),1)&gt;=100000,INDEX($AM$1005:$BM$1005,1,MATCH(COLUMNS($AM$1006:AR1006),$AM$1006:$BM$1006,0))&gt;=100000), " ",IF(INDEX($AM$2:$BM$1001,MATCH(ROWS($AF$2:AF973),$AF$2:$AF$1001,0),MATCH(COLUMNS($AM$1006:AR1006),$AM$1006:$BM$1006,0)), HYPERLINK("#",""), HYPERLINK(CONCATENATE("#metadata!", ADDRESS(INDEX($AH$2:$AH$1001,MATCH(ROWS($AF$2:AF973),$AF$2:$AF$1001,0),0), INDEX($AM$1004:$BM$1004,1,MATCH(COLUMNS($AM$1006:AR1006),$AM$1006:$BM$1006,0)))),"Fix")))</f>
        <v xml:space="preserve"> </v>
      </c>
      <c r="H973" s="4" t="str">
        <f ca="1">IF(OR(INDEX($AG$2:$AG$1001,MATCH(ROWS($AF$2:AF973),$AF$2:$AF$1001,0),1)&gt;=100000,INDEX($AM$1005:$BM$1005,1,MATCH(COLUMNS($AM$1006:AS1006),$AM$1006:$BM$1006,0))&gt;=100000), " ",IF(INDEX($AM$2:$BM$1001,MATCH(ROWS($AF$2:AF973),$AF$2:$AF$1001,0),MATCH(COLUMNS($AM$1006:AS1006),$AM$1006:$BM$1006,0)), HYPERLINK("#",""), HYPERLINK(CONCATENATE("#metadata!", ADDRESS(INDEX($AH$2:$AH$1001,MATCH(ROWS($AF$2:AF973),$AF$2:$AF$1001,0),0), INDEX($AM$1004:$BM$1004,1,MATCH(COLUMNS($AM$1006:AS1006),$AM$1006:$BM$1006,0)))),"Fix")))</f>
        <v xml:space="preserve"> </v>
      </c>
      <c r="I973" s="4" t="str">
        <f ca="1">IF(OR(INDEX($AG$2:$AG$1001,MATCH(ROWS($AF$2:AF973),$AF$2:$AF$1001,0),1)&gt;=100000,INDEX($AM$1005:$BM$1005,1,MATCH(COLUMNS($AM$1006:AT1006),$AM$1006:$BM$1006,0))&gt;=100000), " ",IF(INDEX($AM$2:$BM$1001,MATCH(ROWS($AF$2:AF973),$AF$2:$AF$1001,0),MATCH(COLUMNS($AM$1006:AT1006),$AM$1006:$BM$1006,0)), HYPERLINK("#",""), HYPERLINK(CONCATENATE("#metadata!", ADDRESS(INDEX($AH$2:$AH$1001,MATCH(ROWS($AF$2:AF973),$AF$2:$AF$1001,0),0), INDEX($AM$1004:$BM$1004,1,MATCH(COLUMNS($AM$1006:AT1006),$AM$1006:$BM$1006,0)))),"Fix")))</f>
        <v xml:space="preserve"> </v>
      </c>
      <c r="J973" s="4" t="str">
        <f ca="1">IF(OR(INDEX($AG$2:$AG$1001,MATCH(ROWS($AF$2:AF973),$AF$2:$AF$1001,0),1)&gt;=100000,INDEX($AM$1005:$BM$1005,1,MATCH(COLUMNS($AM$1006:AU1006),$AM$1006:$BM$1006,0))&gt;=100000), " ",IF(INDEX($AM$2:$BM$1001,MATCH(ROWS($AF$2:AF973),$AF$2:$AF$1001,0),MATCH(COLUMNS($AM$1006:AU1006),$AM$1006:$BM$1006,0)), HYPERLINK("#",""), HYPERLINK(CONCATENATE("#metadata!", ADDRESS(INDEX($AH$2:$AH$1001,MATCH(ROWS($AF$2:AF973),$AF$2:$AF$1001,0),0), INDEX($AM$1004:$BM$1004,1,MATCH(COLUMNS($AM$1006:AU1006),$AM$1006:$BM$1006,0)))),"Fix")))</f>
        <v xml:space="preserve"> </v>
      </c>
      <c r="K973" s="4" t="str">
        <f ca="1">IF(OR(INDEX($AG$2:$AG$1001,MATCH(ROWS($AF$2:AF973),$AF$2:$AF$1001,0),1)&gt;=100000,INDEX($AM$1005:$BM$1005,1,MATCH(COLUMNS($AM$1006:AV1006),$AM$1006:$BM$1006,0))&gt;=100000), " ",IF(INDEX($AM$2:$BM$1001,MATCH(ROWS($AF$2:AF973),$AF$2:$AF$1001,0),MATCH(COLUMNS($AM$1006:AV1006),$AM$1006:$BM$1006,0)), HYPERLINK("#",""), HYPERLINK(CONCATENATE("#metadata!", ADDRESS(INDEX($AH$2:$AH$1001,MATCH(ROWS($AF$2:AF973),$AF$2:$AF$1001,0),0), INDEX($AM$1004:$BM$1004,1,MATCH(COLUMNS($AM$1006:AV1006),$AM$1006:$BM$1006,0)))),"Fix")))</f>
        <v xml:space="preserve"> </v>
      </c>
      <c r="L973" s="4" t="str">
        <f ca="1">IF(OR(INDEX($AG$2:$AG$1001,MATCH(ROWS($AF$2:AF973),$AF$2:$AF$1001,0),1)&gt;=100000,INDEX($AM$1005:$BM$1005,1,MATCH(COLUMNS($AM$1006:AW1006),$AM$1006:$BM$1006,0))&gt;=100000), " ",IF(INDEX($AM$2:$BM$1001,MATCH(ROWS($AF$2:AF973),$AF$2:$AF$1001,0),MATCH(COLUMNS($AM$1006:AW1006),$AM$1006:$BM$1006,0)), HYPERLINK("#",""), HYPERLINK(CONCATENATE("#metadata!", ADDRESS(INDEX($AH$2:$AH$1001,MATCH(ROWS($AF$2:AF973),$AF$2:$AF$1001,0),0), INDEX($AM$1004:$BM$1004,1,MATCH(COLUMNS($AM$1006:AW1006),$AM$1006:$BM$1006,0)))),"Fix")))</f>
        <v xml:space="preserve"> </v>
      </c>
      <c r="M973" s="4" t="str">
        <f ca="1">IF(OR(INDEX($AG$2:$AG$1001,MATCH(ROWS($AF$2:AF973),$AF$2:$AF$1001,0),1)&gt;=100000,INDEX($AM$1005:$BM$1005,1,MATCH(COLUMNS($AM$1006:AX1006),$AM$1006:$BM$1006,0))&gt;=100000), " ",IF(INDEX($AM$2:$BM$1001,MATCH(ROWS($AF$2:AF973),$AF$2:$AF$1001,0),MATCH(COLUMNS($AM$1006:AX1006),$AM$1006:$BM$1006,0)), HYPERLINK("#",""), HYPERLINK(CONCATENATE("#metadata!", ADDRESS(INDEX($AH$2:$AH$1001,MATCH(ROWS($AF$2:AF973),$AF$2:$AF$1001,0),0), INDEX($AM$1004:$BM$1004,1,MATCH(COLUMNS($AM$1006:AX1006),$AM$1006:$BM$1006,0)))),"Fix")))</f>
        <v xml:space="preserve"> </v>
      </c>
      <c r="N973" s="4" t="str">
        <f ca="1">IF(OR(INDEX($AG$2:$AG$1001,MATCH(ROWS($AF$2:AF973),$AF$2:$AF$1001,0),1)&gt;=100000,INDEX($AM$1005:$BM$1005,1,MATCH(COLUMNS($AM$1006:AY1006),$AM$1006:$BM$1006,0))&gt;=100000), " ",IF(INDEX($AM$2:$BM$1001,MATCH(ROWS($AF$2:AF973),$AF$2:$AF$1001,0),MATCH(COLUMNS($AM$1006:AY1006),$AM$1006:$BM$1006,0)), HYPERLINK("#",""), HYPERLINK(CONCATENATE("#metadata!", ADDRESS(INDEX($AH$2:$AH$1001,MATCH(ROWS($AF$2:AF973),$AF$2:$AF$1001,0),0), INDEX($AM$1004:$BM$1004,1,MATCH(COLUMNS($AM$1006:AY1006),$AM$1006:$BM$1006,0)))),"Fix")))</f>
        <v xml:space="preserve"> </v>
      </c>
      <c r="O973" s="4" t="str">
        <f ca="1">IF(OR(INDEX($AG$2:$AG$1001,MATCH(ROWS($AF$2:AF973),$AF$2:$AF$1001,0),1)&gt;=100000,INDEX($AM$1005:$BM$1005,1,MATCH(COLUMNS($AM$1006:AZ1006),$AM$1006:$BM$1006,0))&gt;=100000), " ",IF(INDEX($AM$2:$BM$1001,MATCH(ROWS($AF$2:AF973),$AF$2:$AF$1001,0),MATCH(COLUMNS($AM$1006:AZ1006),$AM$1006:$BM$1006,0)), HYPERLINK("#",""), HYPERLINK(CONCATENATE("#metadata!", ADDRESS(INDEX($AH$2:$AH$1001,MATCH(ROWS($AF$2:AF973),$AF$2:$AF$1001,0),0), INDEX($AM$1004:$BM$1004,1,MATCH(COLUMNS($AM$1006:AZ1006),$AM$1006:$BM$1006,0)))),"Fix")))</f>
        <v xml:space="preserve"> </v>
      </c>
      <c r="P973" s="4" t="str">
        <f ca="1">IF(OR(INDEX($AG$2:$AG$1001,MATCH(ROWS($AF$2:AF973),$AF$2:$AF$1001,0),1)&gt;=100000,INDEX($AM$1005:$BM$1005,1,MATCH(COLUMNS($AM$1006:BA1006),$AM$1006:$BM$1006,0))&gt;=100000), " ",IF(INDEX($AM$2:$BM$1001,MATCH(ROWS($AF$2:AF973),$AF$2:$AF$1001,0),MATCH(COLUMNS($AM$1006:BA1006),$AM$1006:$BM$1006,0)), HYPERLINK("#",""), HYPERLINK(CONCATENATE("#metadata!", ADDRESS(INDEX($AH$2:$AH$1001,MATCH(ROWS($AF$2:AF973),$AF$2:$AF$1001,0),0), INDEX($AM$1004:$BM$1004,1,MATCH(COLUMNS($AM$1006:BA1006),$AM$1006:$BM$1006,0)))),"Fix")))</f>
        <v xml:space="preserve"> </v>
      </c>
      <c r="Q973" s="4" t="str">
        <f ca="1">IF(OR(INDEX($AG$2:$AG$1001,MATCH(ROWS($AF$2:AF973),$AF$2:$AF$1001,0),1)&gt;=100000,INDEX($AM$1005:$BM$1005,1,MATCH(COLUMNS($AM$1006:BB1006),$AM$1006:$BM$1006,0))&gt;=100000), " ",IF(INDEX($AM$2:$BM$1001,MATCH(ROWS($AF$2:AF973),$AF$2:$AF$1001,0),MATCH(COLUMNS($AM$1006:BB1006),$AM$1006:$BM$1006,0)), HYPERLINK("#",""), HYPERLINK(CONCATENATE("#metadata!", ADDRESS(INDEX($AH$2:$AH$1001,MATCH(ROWS($AF$2:AF973),$AF$2:$AF$1001,0),0), INDEX($AM$1004:$BM$1004,1,MATCH(COLUMNS($AM$1006:BB1006),$AM$1006:$BM$1006,0)))),"Fix")))</f>
        <v xml:space="preserve"> </v>
      </c>
      <c r="R973" s="4" t="str">
        <f ca="1">IF(OR(INDEX($AG$2:$AG$1001,MATCH(ROWS($AF$2:AF973),$AF$2:$AF$1001,0),1)&gt;=100000,INDEX($AM$1005:$BM$1005,1,MATCH(COLUMNS($AM$1006:BC1006),$AM$1006:$BM$1006,0))&gt;=100000), " ",IF(INDEX($AM$2:$BM$1001,MATCH(ROWS($AF$2:AF973),$AF$2:$AF$1001,0),MATCH(COLUMNS($AM$1006:BC1006),$AM$1006:$BM$1006,0)), HYPERLINK("#",""), HYPERLINK(CONCATENATE("#metadata!", ADDRESS(INDEX($AH$2:$AH$1001,MATCH(ROWS($AF$2:AF973),$AF$2:$AF$1001,0),0), INDEX($AM$1004:$BM$1004,1,MATCH(COLUMNS($AM$1006:BC1006),$AM$1006:$BM$1006,0)))),"Fix")))</f>
        <v xml:space="preserve"> </v>
      </c>
      <c r="S973" s="4" t="str">
        <f ca="1">IF(OR(INDEX($AG$2:$AG$1001,MATCH(ROWS($AF$2:AF973),$AF$2:$AF$1001,0),1)&gt;=100000,INDEX($AM$1005:$BM$1005,1,MATCH(COLUMNS($AM$1006:BD1006),$AM$1006:$BM$1006,0))&gt;=100000), " ",IF(INDEX($AM$2:$BM$1001,MATCH(ROWS($AF$2:AF973),$AF$2:$AF$1001,0),MATCH(COLUMNS($AM$1006:BD1006),$AM$1006:$BM$1006,0)), HYPERLINK("#",""), HYPERLINK(CONCATENATE("#metadata!", ADDRESS(INDEX($AH$2:$AH$1001,MATCH(ROWS($AF$2:AF973),$AF$2:$AF$1001,0),0), INDEX($AM$1004:$BM$1004,1,MATCH(COLUMNS($AM$1006:BD1006),$AM$1006:$BM$1006,0)))),"Fix")))</f>
        <v xml:space="preserve"> </v>
      </c>
      <c r="T973" s="4" t="str">
        <f ca="1">IF(OR(INDEX($AG$2:$AG$1001,MATCH(ROWS($AF$2:AF973),$AF$2:$AF$1001,0),1)&gt;=100000,INDEX($AM$1005:$BM$1005,1,MATCH(COLUMNS($AM$1006:BE1006),$AM$1006:$BM$1006,0))&gt;=100000), " ",IF(INDEX($AM$2:$BM$1001,MATCH(ROWS($AF$2:AF973),$AF$2:$AF$1001,0),MATCH(COLUMNS($AM$1006:BE1006),$AM$1006:$BM$1006,0)), HYPERLINK("#",""), HYPERLINK(CONCATENATE("#metadata!", ADDRESS(INDEX($AH$2:$AH$1001,MATCH(ROWS($AF$2:AF973),$AF$2:$AF$1001,0),0), INDEX($AM$1004:$BM$1004,1,MATCH(COLUMNS($AM$1006:BE1006),$AM$1006:$BM$1006,0)))),"Fix")))</f>
        <v xml:space="preserve"> </v>
      </c>
      <c r="U973" s="4" t="str">
        <f ca="1">IF(OR(INDEX($AG$2:$AG$1001,MATCH(ROWS($AF$2:AF973),$AF$2:$AF$1001,0),1)&gt;=100000,INDEX($AM$1005:$BM$1005,1,MATCH(COLUMNS($AM$1006:BF1006),$AM$1006:$BM$1006,0))&gt;=100000), " ",IF(INDEX($AM$2:$BM$1001,MATCH(ROWS($AF$2:AF973),$AF$2:$AF$1001,0),MATCH(COLUMNS($AM$1006:BF1006),$AM$1006:$BM$1006,0)), HYPERLINK("#",""), HYPERLINK(CONCATENATE("#metadata!", ADDRESS(INDEX($AH$2:$AH$1001,MATCH(ROWS($AF$2:AF973),$AF$2:$AF$1001,0),0), INDEX($AM$1004:$BM$1004,1,MATCH(COLUMNS($AM$1006:BF1006),$AM$1006:$BM$1006,0)))),"Fix")))</f>
        <v xml:space="preserve"> </v>
      </c>
      <c r="V973" s="4" t="str">
        <f ca="1">IF(OR(INDEX($AG$2:$AG$1001,MATCH(ROWS($AF$2:AF973),$AF$2:$AF$1001,0),1)&gt;=100000,INDEX($AM$1005:$BM$1005,1,MATCH(COLUMNS($AM$1006:BG1006),$AM$1006:$BM$1006,0))&gt;=100000), " ",IF(INDEX($AM$2:$BM$1001,MATCH(ROWS($AF$2:AF973),$AF$2:$AF$1001,0),MATCH(COLUMNS($AM$1006:BG1006),$AM$1006:$BM$1006,0)), HYPERLINK("#",""), HYPERLINK(CONCATENATE("#metadata!", ADDRESS(INDEX($AH$2:$AH$1001,MATCH(ROWS($AF$2:AF973),$AF$2:$AF$1001,0),0), INDEX($AM$1004:$BM$1004,1,MATCH(COLUMNS($AM$1006:BG1006),$AM$1006:$BM$1006,0)))),"Fix")))</f>
        <v xml:space="preserve"> </v>
      </c>
      <c r="W973" s="4" t="str">
        <f ca="1">IF(OR(INDEX($AG$2:$AG$1001,MATCH(ROWS($AF$2:AF973),$AF$2:$AF$1001,0),1)&gt;=100000,INDEX($AM$1005:$BM$1005,1,MATCH(COLUMNS($AM$1006:BH1006),$AM$1006:$BM$1006,0))&gt;=100000), " ",IF(INDEX($AM$2:$BM$1001,MATCH(ROWS($AF$2:AF973),$AF$2:$AF$1001,0),MATCH(COLUMNS($AM$1006:BH1006),$AM$1006:$BM$1006,0)), HYPERLINK("#",""), HYPERLINK(CONCATENATE("#metadata!", ADDRESS(INDEX($AH$2:$AH$1001,MATCH(ROWS($AF$2:AF973),$AF$2:$AF$1001,0),0), INDEX($AM$1004:$BM$1004,1,MATCH(COLUMNS($AM$1006:BH1006),$AM$1006:$BM$1006,0)))),"Fix")))</f>
        <v xml:space="preserve"> </v>
      </c>
      <c r="X973" s="4" t="str">
        <f ca="1">IF(OR(INDEX($AG$2:$AG$1001,MATCH(ROWS($AF$2:AF973),$AF$2:$AF$1001,0),1)&gt;=100000,INDEX($AM$1005:$BM$1005,1,MATCH(COLUMNS($AM$1006:BI1006),$AM$1006:$BM$1006,0))&gt;=100000), " ",IF(INDEX($AM$2:$BM$1001,MATCH(ROWS($AF$2:AF973),$AF$2:$AF$1001,0),MATCH(COLUMNS($AM$1006:BI1006),$AM$1006:$BM$1006,0)), HYPERLINK("#",""), HYPERLINK(CONCATENATE("#metadata!", ADDRESS(INDEX($AH$2:$AH$1001,MATCH(ROWS($AF$2:AF973),$AF$2:$AF$1001,0),0), INDEX($AM$1004:$BM$1004,1,MATCH(COLUMNS($AM$1006:BI1006),$AM$1006:$BM$1006,0)))),"Fix")))</f>
        <v xml:space="preserve"> </v>
      </c>
      <c r="Y973" s="4" t="str">
        <f ca="1">IF(OR(INDEX($AG$2:$AG$1001,MATCH(ROWS($AF$2:AF973),$AF$2:$AF$1001,0),1)&gt;=100000,INDEX($AM$1005:$BM$1005,1,MATCH(COLUMNS($AM$1006:BJ1006),$AM$1006:$BM$1006,0))&gt;=100000), " ",IF(INDEX($AM$2:$BM$1001,MATCH(ROWS($AF$2:AF973),$AF$2:$AF$1001,0),MATCH(COLUMNS($AM$1006:BJ1006),$AM$1006:$BM$1006,0)), HYPERLINK("#",""), HYPERLINK(CONCATENATE("#metadata!", ADDRESS(INDEX($AH$2:$AH$1001,MATCH(ROWS($AF$2:AF973),$AF$2:$AF$1001,0),0), INDEX($AM$1004:$BM$1004,1,MATCH(COLUMNS($AM$1006:BJ1006),$AM$1006:$BM$1006,0)))),"Fix")))</f>
        <v xml:space="preserve"> </v>
      </c>
      <c r="Z973" s="4" t="str">
        <f ca="1">IF(OR(INDEX($AG$2:$AG$1001,MATCH(ROWS($AF$2:AF973),$AF$2:$AF$1001,0),1)&gt;=100000,INDEX($AM$1005:$BM$1005,1,MATCH(COLUMNS($AM$1006:BK1006),$AM$1006:$BM$1006,0))&gt;=100000), " ",IF(INDEX($AM$2:$BM$1001,MATCH(ROWS($AF$2:AF973),$AF$2:$AF$1001,0),MATCH(COLUMNS($AM$1006:BK1006),$AM$1006:$BM$1006,0)), HYPERLINK("#",""), HYPERLINK(CONCATENATE("#metadata!", ADDRESS(INDEX($AH$2:$AH$1001,MATCH(ROWS($AF$2:AF973),$AF$2:$AF$1001,0),0), INDEX($AM$1004:$BM$1004,1,MATCH(COLUMNS($AM$1006:BK1006),$AM$1006:$BM$1006,0)))),"Fix")))</f>
        <v xml:space="preserve"> </v>
      </c>
      <c r="AA973" s="4" t="str">
        <f ca="1">IF(OR(INDEX($AG$2:$AG$1001,MATCH(ROWS($AF$2:AF973),$AF$2:$AF$1001,0),1)&gt;=100000,INDEX($AM$1005:$BM$1005,1,MATCH(COLUMNS($AM$1006:BL1006),$AM$1006:$BM$1006,0))&gt;=100000), " ",IF(INDEX($AM$2:$BM$1001,MATCH(ROWS($AF$2:AF973),$AF$2:$AF$1001,0),MATCH(COLUMNS($AM$1006:BL1006),$AM$1006:$BM$1006,0)), HYPERLINK("#",""), HYPERLINK(CONCATENATE("#metadata!", ADDRESS(INDEX($AH$2:$AH$1001,MATCH(ROWS($AF$2:AF973),$AF$2:$AF$1001,0),0), INDEX($AM$1004:$BM$1004,1,MATCH(COLUMNS($AM$1006:BL1006),$AM$1006:$BM$1006,0)))),"Fix")))</f>
        <v xml:space="preserve"> </v>
      </c>
      <c r="AB973" s="4" t="str">
        <f ca="1">IF(OR(INDEX($AG$2:$AG$1001,MATCH(ROWS($AF$2:AF973),$AF$2:$AF$1001,0),1)&gt;=100000,INDEX($AM$1005:$BM$1005,1,MATCH(COLUMNS($AM$1006:BM1006),$AM$1006:$BM$1006,0))&gt;=100000), " ",IF(INDEX($AM$2:$BM$1001,MATCH(ROWS($AF$2:AF973),$AF$2:$AF$1001,0),MATCH(COLUMNS($AM$1006:BM1006),$AM$1006:$BM$1006,0)), HYPERLINK("#",""), HYPERLINK(CONCATENATE("#metadata!", ADDRESS(INDEX($AH$2:$AH$1001,MATCH(ROWS($AF$2:AF973),$AF$2:$AF$1001,0),0), INDEX($AM$1004:$BM$1004,1,MATCH(COLUMNS($AM$1006:BM1006),$AM$1006:$BM$1006,0)))),"Fix")))</f>
        <v xml:space="preserve"> </v>
      </c>
      <c r="AF973">
        <v>972</v>
      </c>
      <c r="AG973">
        <v>100973</v>
      </c>
      <c r="AH973">
        <v>973</v>
      </c>
      <c r="AI973" t="b">
        <f t="shared" si="15"/>
        <v>1</v>
      </c>
      <c r="AJ973" t="b">
        <f>COUNTBLANK(metadata!B973:AB973)=COLUMNS(metadata!B973:AB973)</f>
        <v>1</v>
      </c>
      <c r="AK973" t="str">
        <v/>
      </c>
      <c r="AM973" t="b">
        <f ca="1">AND(IF(metadata!B973="",FALSE,TRUE),COUNTIF(metadata!B:B, metadata!B973) = 1,NOT(ISERROR(SUMPRODUCT(SEARCH(MID(metadata!B973,ROW(INDIRECT("1:"&amp;LEN(metadata!B973))), 1),"0123456789abcdefghijklmnopqrstuvwxyzABCDEFGHIJKLMNOPQRSTUVWXYZ.")))))</f>
        <v>0</v>
      </c>
      <c r="AN973" t="b">
        <f ca="1">OR(AND(IF(metadata!C973="",FALSE,TRUE),OR(EXACT(metadata!C973,"missing: not collected"),EXACT(metadata!C973,"missing: not provided"),EXACT(metadata!C973,"missing: restricted access"))),AND(IF(metadata!C973="",FALSE,TRUE),AND(AND(IFERROR(INT(LEFT(metadata!C973,4))&gt;1900,FALSE),IFERROR(INT(LEFT(metadata!C973,4))&lt;=YEAR(NOW()),FALSE)), OR(MID(metadata!C973,5,1)="", AND(AND(MID(metadata!C973,5,1)="-",IFERROR(INT(MID(metadata!C973,6,1))&gt;=0,FALSE),IFERROR(INT(MID(metadata!C973,6,1))&lt;=1,FALSE),NOT(MID(metadata!C973,7,1)=""),IFERROR(INT(MID(metadata!C973,6,2))&gt;=1,FALSE),IFERROR(INT(MID(metadata!C973,6,2))&lt;=12,FALSE)), OR(MID(metadata!C973,8,1)="", AND(AND(MID(metadata!C973,8,1)="-",IFERROR(INT(MID(metadata!C973,9,1))&gt;=0,FALSE),IFERROR(INT(MID(metadata!C973,9,1))&lt;=3,FALSE),NOT(MID(metadata!C973,10,1)=""),IFERROR(INT(MID(metadata!C973,9,2))&gt;=1,FALSE),IFERROR(INT(MID(metadata!C973,9,2))&lt;=31,FALSE)), OR(MID(metadata!C973,11,1)="", AND(AND(MID(metadata!C973,11,1)=" ",IFERROR(INT(MID(metadata!C973,12,1))&gt;=0,FALSE),IFERROR(INT(MID(metadata!C973,12,1))&lt;=2,FALSE),NOT(MID(metadata!C973,13,1)=""),IFERROR(INT(MID(metadata!C973,12,2))&gt;=0,FALSE),IFERROR(INT(MID(metadata!C973,12,2))&lt;=23,FALSE)), OR(MID(metadata!C973,14,1)="", AND(AND(MID(metadata!C973,14,1)=":",IFERROR(INT(MID(metadata!C973,15,1))&gt;=0,FALSE),IFERROR(INT(MID(metadata!C973,15,1))&lt;=5,FALSE),NOT(MID(metadata!C973,16,1)=""),IFERROR(INT(MID(metadata!C973,15,2))&gt;=0,FALSE),IFERROR(INT(MID(metadata!C973,15,2))&lt;=59,FALSE)), OR(MID(metadata!C973,17,1)="", AND(AND(MID(metadata!C973,17,1)=":",IFERROR(INT(MID(metadata!C973,18,1))&gt;=0,FALSE),IFERROR(INT(MID(metadata!C973,18,1))&lt;=5,FALSE),NOT(MID(metadata!C973,19,1)=""),IFERROR(INT(MID(metadata!C973,18,2))&gt;=0,FALSE),IFERROR(INT(MID(metadata!C973,18,2))&lt;=59,FALSE)), LEN(metadata!C973)&lt;=19)))))))))))))</f>
        <v>0</v>
      </c>
      <c r="AO973" t="b">
        <f>AND(IF(metadata!D973="",FALSE,TRUE),EXACT(metadata!D973,"Not applicable"))</f>
        <v>0</v>
      </c>
      <c r="AP973" t="b">
        <f>IF(metadata!E973="",FALSE,TRUE)</f>
        <v>0</v>
      </c>
      <c r="AQ973" t="b">
        <f>OR(AND(IF(metadata!F973="",FALSE,TRUE),OR(EXACT(metadata!F973,"missing: not collected"),EXACT(metadata!F973,"missing: not provided"))),AND(IF(metadata!F973="",FALSE,TRUE),OR(EXACT(metadata!F973,"TRUE"),EXACT(metadata!F973,"FALSE"))))</f>
        <v>0</v>
      </c>
      <c r="AR973" t="b">
        <f>OR(AND(IF(metadata!G973="",FALSE,TRUE),OR(EXACT(metadata!G973,"missing: not collected"),EXACT(metadata!G973,"missing: not provided"),EXACT(metadata!G973,"missing: restricted access"))),AND(IF(metadata!G973="",FALSE,ISNUMBER(VALUE(metadata!G973))),metadata!G973&gt;=-413))</f>
        <v>0</v>
      </c>
      <c r="AS973" t="b">
        <f>AND(IF(metadata!H973="",FALSE,TRUE),EXACT(metadata!H973,"meters"))</f>
        <v>0</v>
      </c>
      <c r="AT973" t="b">
        <f>AND(IF(metadata!I973="",FALSE,TRUE),OR(EXACT(metadata!I973,"Host-associated"),EXACT(metadata!I973,"Free-living")))</f>
        <v>0</v>
      </c>
      <c r="AU973" t="b">
        <f>AND(IF(metadata!J973="",FALSE,TRUE),OR(EXACT(metadata!J973,"Animal"),EXACT(metadata!J973,"Fungus"),EXACT(metadata!J973,"Plant"),EXACT(metadata!J973,"Saline"),EXACT(metadata!J973,"Non-saline")))</f>
        <v>0</v>
      </c>
      <c r="AV973" t="b">
        <f>AND(IF(metadata!K973="",FALSE,TRUE),OR(EXACT(metadata!K973,"Plant secretion"),EXACT(metadata!K973,"Plant rhizosphere"),EXACT(metadata!K973,"Plant surface"),EXACT(metadata!K973,"Plant corpus"),EXACT(metadata!K973,"Fungus surface"),EXACT(metadata!K973,"Fungus corpus"),EXACT(metadata!K973,"Animal surface"),EXACT(metadata!K973,"Animal proximal gut"),EXACT(metadata!K973,"Animal corpus"),EXACT(metadata!K973,"Animal distal gut"),EXACT(metadata!K973,"Animal secretion"),EXACT(metadata!K973,"Sub-surface (non-saline)"),EXACT(metadata!K973,"Surface (non-saline)"),EXACT(metadata!K973,"Water (non-saline)"),EXACT(metadata!K973,"Soil (non-saline)"),EXACT(metadata!K973,"Aerosol (non-saline)"),EXACT(metadata!K973,"Sediment (non-saline)"),EXACT(metadata!K973,"Surface (saline)"),EXACT(metadata!K973,"Water (saline)"),EXACT(metadata!K973,"Hypersaline (saline)"),EXACT(metadata!K973,"Aerosol (saline)"),EXACT(metadata!K973,"Sediment (saline)")))</f>
        <v>0</v>
      </c>
      <c r="AW973" t="b">
        <f>IF(metadata!L973="",FALSE,TRUE)</f>
        <v>0</v>
      </c>
      <c r="AX973" t="b">
        <f>IF(metadata!M973="",FALSE,TRUE)</f>
        <v>0</v>
      </c>
      <c r="AY973" t="b">
        <f>IF(metadata!N973="",FALSE,TRUE)</f>
        <v>0</v>
      </c>
      <c r="AZ973" t="b">
        <f>OR(AND(IF(metadata!O973="",FALSE,TRUE),OR(EXACT(metadata!O973,"missing: not collected"),EXACT(metadata!O973,"missing: not provided"),EXACT(metadata!O973,"missing: restricted access"))),AND(IF(metadata!O973="",FALSE,TRUE),OR(EXACT(metadata!O973,"air"),EXACT(metadata!O973,"built environment"),EXACT(metadata!O973,"host-associated"),EXACT(metadata!O973,"human-associated"),EXACT(metadata!O973,"human-skin"),EXACT(metadata!O973,"human-oral"),EXACT(metadata!O973,"human-gut"),EXACT(metadata!O973,"human-vaginal"),EXACT(metadata!O973,"microbial mat/biofilm"),EXACT(metadata!O973,"misc environment"),EXACT(metadata!O973,"plant-associated"),EXACT(metadata!O973,"sediment"),EXACT(metadata!O973,"soil"),EXACT(metadata!O973,"wastewater/sludge"),EXACT(metadata!O973,"water"))))</f>
        <v>0</v>
      </c>
      <c r="BA973" t="b">
        <f>IF(metadata!P973="",FALSE,TRUE)</f>
        <v>0</v>
      </c>
      <c r="BB973" t="b">
        <f>IF(metadata!Q973="",FALSE,TRUE)</f>
        <v>0</v>
      </c>
      <c r="BC973" t="b">
        <f>OR(AND(IF(metadata!R973="",FALSE,TRUE),OR(EXACT(metadata!R973,"missing: not collected"),EXACT(metadata!R973,"missing: not provided"),EXACT(metadata!R973,"missing: restricted access"))),AND(IF(metadata!R973="",FALSE,ISNUMBER(VALUE(metadata!R973))),metadata!R973&gt;=-90,metadata!R973&lt;=90))</f>
        <v>0</v>
      </c>
      <c r="BD973" t="b">
        <f>AND(IF(metadata!S973="",FALSE,TRUE),EXACT(metadata!S973,"Decimal degrees"))</f>
        <v>0</v>
      </c>
      <c r="BE973" t="b">
        <f>OR(AND(IF(metadata!T973="",FALSE,TRUE),OR(EXACT(metadata!T973,"missing: not collected"),EXACT(metadata!T973,"missing: not provided"),EXACT(metadata!T973,"missing: restricted access"))),AND(IF(metadata!T973="",FALSE,ISNUMBER(VALUE(metadata!T973))),metadata!T973&gt;=-180,metadata!T973&lt;=180))</f>
        <v>0</v>
      </c>
      <c r="BF973" t="b">
        <f>AND(IF(metadata!U973="",FALSE,TRUE),EXACT(metadata!U973,"Decimal degrees"))</f>
        <v>0</v>
      </c>
      <c r="BG973" t="b">
        <f>IF(metadata!V973="",FALSE,TRUE)</f>
        <v>0</v>
      </c>
      <c r="BH973" t="b">
        <f>OR(AND(IF(metadata!W973="",FALSE,TRUE),OR(EXACT(metadata!W973,"missing: not collected"),EXACT(metadata!W973,"missing: not provided"),EXACT(metadata!W973,"missing: restricted access"))),AND(IF(metadata!W973="",FALSE,TRUE),OR(EXACT(metadata!W973,"TRUE"),EXACT(metadata!W973,"FALSE"))))</f>
        <v>0</v>
      </c>
      <c r="BI973" t="b">
        <f>AND(IF(metadata!X973="",FALSE,TRUE),EXACT(metadata!X973,"other"))</f>
        <v>0</v>
      </c>
      <c r="BJ973" t="b">
        <f>IF(metadata!Y973="",FALSE,TRUE)</f>
        <v>0</v>
      </c>
      <c r="BK973" t="b">
        <f>OR(AND(IF(metadata!Z973="",FALSE,TRUE),OR(EXACT(metadata!Z973,"missing: not collected"),EXACT(metadata!Z973,"missing: not provided"))),AND(IF(metadata!Z973="",FALSE,IF(ISERROR(INT(metadata!Z973)),FALSE,INT(metadata!Z973)=metadata!Z973)),metadata!Z973&gt;0))</f>
        <v>0</v>
      </c>
      <c r="BL973" t="b">
        <f>AND(IF(metadata!AA973="",FALSE,TRUE),EXACT(metadata!AA973,"Not applicable"))</f>
        <v>0</v>
      </c>
      <c r="BM973" t="b">
        <f>IF(metadata!AB973="",FALSE,TRUE)</f>
        <v>0</v>
      </c>
    </row>
    <row r="974" spans="1:65" x14ac:dyDescent="0.2">
      <c r="A974" s="5" t="str">
        <f ca="1">IF(B974=" "," ",HYPERLINK(CONCATENATE("#metadata!",ADDRESS(INDEX($AH$2:$AH$1001,MATCH(ROWS($AF$2:AF974),$AF$2:$AF$1001,0),0),1)),INDEX($AK$2:$AK$1001,MATCH(ROWS($AF$2:AF974),$AF$2:$AF$1001,0),0)))</f>
        <v xml:space="preserve"> </v>
      </c>
      <c r="B974" s="4" t="str">
        <f ca="1">IF(OR(INDEX($AG$2:$AG$1001,MATCH(ROWS($AF$2:AF974),$AF$2:$AF$1001,0),1)&gt;=100000,INDEX($AM$1005:$BM$1005,1,MATCH(COLUMNS($AM$1006:AM1006),$AM$1006:$BM$1006,0))&gt;=100000), " ",IF(INDEX($AM$2:$BM$1001,MATCH(ROWS($AF$2:AF974),$AF$2:$AF$1001,0),MATCH(COLUMNS($AM$1006:AM1006),$AM$1006:$BM$1006,0)), HYPERLINK("#",""), HYPERLINK(CONCATENATE("#metadata!", ADDRESS(INDEX($AH$2:$AH$1001,MATCH(ROWS($AF$2:AF974),$AF$2:$AF$1001,0),0), INDEX($AM$1004:$BM$1004,1,MATCH(COLUMNS($AM$1006:AM1006),$AM$1006:$BM$1006,0)))),"Fix")))</f>
        <v xml:space="preserve"> </v>
      </c>
      <c r="C974" s="4" t="str">
        <f ca="1">IF(OR(INDEX($AG$2:$AG$1001,MATCH(ROWS($AF$2:AF974),$AF$2:$AF$1001,0),1)&gt;=100000,INDEX($AM$1005:$BM$1005,1,MATCH(COLUMNS($AM$1006:AN1006),$AM$1006:$BM$1006,0))&gt;=100000), " ",IF(INDEX($AM$2:$BM$1001,MATCH(ROWS($AF$2:AF974),$AF$2:$AF$1001,0),MATCH(COLUMNS($AM$1006:AN1006),$AM$1006:$BM$1006,0)), HYPERLINK("#",""), HYPERLINK(CONCATENATE("#metadata!", ADDRESS(INDEX($AH$2:$AH$1001,MATCH(ROWS($AF$2:AF974),$AF$2:$AF$1001,0),0), INDEX($AM$1004:$BM$1004,1,MATCH(COLUMNS($AM$1006:AN1006),$AM$1006:$BM$1006,0)))),"Fix")))</f>
        <v xml:space="preserve"> </v>
      </c>
      <c r="D974" s="4" t="str">
        <f ca="1">IF(OR(INDEX($AG$2:$AG$1001,MATCH(ROWS($AF$2:AF974),$AF$2:$AF$1001,0),1)&gt;=100000,INDEX($AM$1005:$BM$1005,1,MATCH(COLUMNS($AM$1006:AO1006),$AM$1006:$BM$1006,0))&gt;=100000), " ",IF(INDEX($AM$2:$BM$1001,MATCH(ROWS($AF$2:AF974),$AF$2:$AF$1001,0),MATCH(COLUMNS($AM$1006:AO1006),$AM$1006:$BM$1006,0)), HYPERLINK("#",""), HYPERLINK(CONCATENATE("#metadata!", ADDRESS(INDEX($AH$2:$AH$1001,MATCH(ROWS($AF$2:AF974),$AF$2:$AF$1001,0),0), INDEX($AM$1004:$BM$1004,1,MATCH(COLUMNS($AM$1006:AO1006),$AM$1006:$BM$1006,0)))),"Fix")))</f>
        <v xml:space="preserve"> </v>
      </c>
      <c r="E974" s="4" t="str">
        <f ca="1">IF(OR(INDEX($AG$2:$AG$1001,MATCH(ROWS($AF$2:AF974),$AF$2:$AF$1001,0),1)&gt;=100000,INDEX($AM$1005:$BM$1005,1,MATCH(COLUMNS($AM$1006:AP1006),$AM$1006:$BM$1006,0))&gt;=100000), " ",IF(INDEX($AM$2:$BM$1001,MATCH(ROWS($AF$2:AF974),$AF$2:$AF$1001,0),MATCH(COLUMNS($AM$1006:AP1006),$AM$1006:$BM$1006,0)), HYPERLINK("#",""), HYPERLINK(CONCATENATE("#metadata!", ADDRESS(INDEX($AH$2:$AH$1001,MATCH(ROWS($AF$2:AF974),$AF$2:$AF$1001,0),0), INDEX($AM$1004:$BM$1004,1,MATCH(COLUMNS($AM$1006:AP1006),$AM$1006:$BM$1006,0)))),"Fix")))</f>
        <v xml:space="preserve"> </v>
      </c>
      <c r="F974" s="4" t="str">
        <f ca="1">IF(OR(INDEX($AG$2:$AG$1001,MATCH(ROWS($AF$2:AF974),$AF$2:$AF$1001,0),1)&gt;=100000,INDEX($AM$1005:$BM$1005,1,MATCH(COLUMNS($AM$1006:AQ1006),$AM$1006:$BM$1006,0))&gt;=100000), " ",IF(INDEX($AM$2:$BM$1001,MATCH(ROWS($AF$2:AF974),$AF$2:$AF$1001,0),MATCH(COLUMNS($AM$1006:AQ1006),$AM$1006:$BM$1006,0)), HYPERLINK("#",""), HYPERLINK(CONCATENATE("#metadata!", ADDRESS(INDEX($AH$2:$AH$1001,MATCH(ROWS($AF$2:AF974),$AF$2:$AF$1001,0),0), INDEX($AM$1004:$BM$1004,1,MATCH(COLUMNS($AM$1006:AQ1006),$AM$1006:$BM$1006,0)))),"Fix")))</f>
        <v xml:space="preserve"> </v>
      </c>
      <c r="G974" s="4" t="str">
        <f ca="1">IF(OR(INDEX($AG$2:$AG$1001,MATCH(ROWS($AF$2:AF974),$AF$2:$AF$1001,0),1)&gt;=100000,INDEX($AM$1005:$BM$1005,1,MATCH(COLUMNS($AM$1006:AR1006),$AM$1006:$BM$1006,0))&gt;=100000), " ",IF(INDEX($AM$2:$BM$1001,MATCH(ROWS($AF$2:AF974),$AF$2:$AF$1001,0),MATCH(COLUMNS($AM$1006:AR1006),$AM$1006:$BM$1006,0)), HYPERLINK("#",""), HYPERLINK(CONCATENATE("#metadata!", ADDRESS(INDEX($AH$2:$AH$1001,MATCH(ROWS($AF$2:AF974),$AF$2:$AF$1001,0),0), INDEX($AM$1004:$BM$1004,1,MATCH(COLUMNS($AM$1006:AR1006),$AM$1006:$BM$1006,0)))),"Fix")))</f>
        <v xml:space="preserve"> </v>
      </c>
      <c r="H974" s="4" t="str">
        <f ca="1">IF(OR(INDEX($AG$2:$AG$1001,MATCH(ROWS($AF$2:AF974),$AF$2:$AF$1001,0),1)&gt;=100000,INDEX($AM$1005:$BM$1005,1,MATCH(COLUMNS($AM$1006:AS1006),$AM$1006:$BM$1006,0))&gt;=100000), " ",IF(INDEX($AM$2:$BM$1001,MATCH(ROWS($AF$2:AF974),$AF$2:$AF$1001,0),MATCH(COLUMNS($AM$1006:AS1006),$AM$1006:$BM$1006,0)), HYPERLINK("#",""), HYPERLINK(CONCATENATE("#metadata!", ADDRESS(INDEX($AH$2:$AH$1001,MATCH(ROWS($AF$2:AF974),$AF$2:$AF$1001,0),0), INDEX($AM$1004:$BM$1004,1,MATCH(COLUMNS($AM$1006:AS1006),$AM$1006:$BM$1006,0)))),"Fix")))</f>
        <v xml:space="preserve"> </v>
      </c>
      <c r="I974" s="4" t="str">
        <f ca="1">IF(OR(INDEX($AG$2:$AG$1001,MATCH(ROWS($AF$2:AF974),$AF$2:$AF$1001,0),1)&gt;=100000,INDEX($AM$1005:$BM$1005,1,MATCH(COLUMNS($AM$1006:AT1006),$AM$1006:$BM$1006,0))&gt;=100000), " ",IF(INDEX($AM$2:$BM$1001,MATCH(ROWS($AF$2:AF974),$AF$2:$AF$1001,0),MATCH(COLUMNS($AM$1006:AT1006),$AM$1006:$BM$1006,0)), HYPERLINK("#",""), HYPERLINK(CONCATENATE("#metadata!", ADDRESS(INDEX($AH$2:$AH$1001,MATCH(ROWS($AF$2:AF974),$AF$2:$AF$1001,0),0), INDEX($AM$1004:$BM$1004,1,MATCH(COLUMNS($AM$1006:AT1006),$AM$1006:$BM$1006,0)))),"Fix")))</f>
        <v xml:space="preserve"> </v>
      </c>
      <c r="J974" s="4" t="str">
        <f ca="1">IF(OR(INDEX($AG$2:$AG$1001,MATCH(ROWS($AF$2:AF974),$AF$2:$AF$1001,0),1)&gt;=100000,INDEX($AM$1005:$BM$1005,1,MATCH(COLUMNS($AM$1006:AU1006),$AM$1006:$BM$1006,0))&gt;=100000), " ",IF(INDEX($AM$2:$BM$1001,MATCH(ROWS($AF$2:AF974),$AF$2:$AF$1001,0),MATCH(COLUMNS($AM$1006:AU1006),$AM$1006:$BM$1006,0)), HYPERLINK("#",""), HYPERLINK(CONCATENATE("#metadata!", ADDRESS(INDEX($AH$2:$AH$1001,MATCH(ROWS($AF$2:AF974),$AF$2:$AF$1001,0),0), INDEX($AM$1004:$BM$1004,1,MATCH(COLUMNS($AM$1006:AU1006),$AM$1006:$BM$1006,0)))),"Fix")))</f>
        <v xml:space="preserve"> </v>
      </c>
      <c r="K974" s="4" t="str">
        <f ca="1">IF(OR(INDEX($AG$2:$AG$1001,MATCH(ROWS($AF$2:AF974),$AF$2:$AF$1001,0),1)&gt;=100000,INDEX($AM$1005:$BM$1005,1,MATCH(COLUMNS($AM$1006:AV1006),$AM$1006:$BM$1006,0))&gt;=100000), " ",IF(INDEX($AM$2:$BM$1001,MATCH(ROWS($AF$2:AF974),$AF$2:$AF$1001,0),MATCH(COLUMNS($AM$1006:AV1006),$AM$1006:$BM$1006,0)), HYPERLINK("#",""), HYPERLINK(CONCATENATE("#metadata!", ADDRESS(INDEX($AH$2:$AH$1001,MATCH(ROWS($AF$2:AF974),$AF$2:$AF$1001,0),0), INDEX($AM$1004:$BM$1004,1,MATCH(COLUMNS($AM$1006:AV1006),$AM$1006:$BM$1006,0)))),"Fix")))</f>
        <v xml:space="preserve"> </v>
      </c>
      <c r="L974" s="4" t="str">
        <f ca="1">IF(OR(INDEX($AG$2:$AG$1001,MATCH(ROWS($AF$2:AF974),$AF$2:$AF$1001,0),1)&gt;=100000,INDEX($AM$1005:$BM$1005,1,MATCH(COLUMNS($AM$1006:AW1006),$AM$1006:$BM$1006,0))&gt;=100000), " ",IF(INDEX($AM$2:$BM$1001,MATCH(ROWS($AF$2:AF974),$AF$2:$AF$1001,0),MATCH(COLUMNS($AM$1006:AW1006),$AM$1006:$BM$1006,0)), HYPERLINK("#",""), HYPERLINK(CONCATENATE("#metadata!", ADDRESS(INDEX($AH$2:$AH$1001,MATCH(ROWS($AF$2:AF974),$AF$2:$AF$1001,0),0), INDEX($AM$1004:$BM$1004,1,MATCH(COLUMNS($AM$1006:AW1006),$AM$1006:$BM$1006,0)))),"Fix")))</f>
        <v xml:space="preserve"> </v>
      </c>
      <c r="M974" s="4" t="str">
        <f ca="1">IF(OR(INDEX($AG$2:$AG$1001,MATCH(ROWS($AF$2:AF974),$AF$2:$AF$1001,0),1)&gt;=100000,INDEX($AM$1005:$BM$1005,1,MATCH(COLUMNS($AM$1006:AX1006),$AM$1006:$BM$1006,0))&gt;=100000), " ",IF(INDEX($AM$2:$BM$1001,MATCH(ROWS($AF$2:AF974),$AF$2:$AF$1001,0),MATCH(COLUMNS($AM$1006:AX1006),$AM$1006:$BM$1006,0)), HYPERLINK("#",""), HYPERLINK(CONCATENATE("#metadata!", ADDRESS(INDEX($AH$2:$AH$1001,MATCH(ROWS($AF$2:AF974),$AF$2:$AF$1001,0),0), INDEX($AM$1004:$BM$1004,1,MATCH(COLUMNS($AM$1006:AX1006),$AM$1006:$BM$1006,0)))),"Fix")))</f>
        <v xml:space="preserve"> </v>
      </c>
      <c r="N974" s="4" t="str">
        <f ca="1">IF(OR(INDEX($AG$2:$AG$1001,MATCH(ROWS($AF$2:AF974),$AF$2:$AF$1001,0),1)&gt;=100000,INDEX($AM$1005:$BM$1005,1,MATCH(COLUMNS($AM$1006:AY1006),$AM$1006:$BM$1006,0))&gt;=100000), " ",IF(INDEX($AM$2:$BM$1001,MATCH(ROWS($AF$2:AF974),$AF$2:$AF$1001,0),MATCH(COLUMNS($AM$1006:AY1006),$AM$1006:$BM$1006,0)), HYPERLINK("#",""), HYPERLINK(CONCATENATE("#metadata!", ADDRESS(INDEX($AH$2:$AH$1001,MATCH(ROWS($AF$2:AF974),$AF$2:$AF$1001,0),0), INDEX($AM$1004:$BM$1004,1,MATCH(COLUMNS($AM$1006:AY1006),$AM$1006:$BM$1006,0)))),"Fix")))</f>
        <v xml:space="preserve"> </v>
      </c>
      <c r="O974" s="4" t="str">
        <f ca="1">IF(OR(INDEX($AG$2:$AG$1001,MATCH(ROWS($AF$2:AF974),$AF$2:$AF$1001,0),1)&gt;=100000,INDEX($AM$1005:$BM$1005,1,MATCH(COLUMNS($AM$1006:AZ1006),$AM$1006:$BM$1006,0))&gt;=100000), " ",IF(INDEX($AM$2:$BM$1001,MATCH(ROWS($AF$2:AF974),$AF$2:$AF$1001,0),MATCH(COLUMNS($AM$1006:AZ1006),$AM$1006:$BM$1006,0)), HYPERLINK("#",""), HYPERLINK(CONCATENATE("#metadata!", ADDRESS(INDEX($AH$2:$AH$1001,MATCH(ROWS($AF$2:AF974),$AF$2:$AF$1001,0),0), INDEX($AM$1004:$BM$1004,1,MATCH(COLUMNS($AM$1006:AZ1006),$AM$1006:$BM$1006,0)))),"Fix")))</f>
        <v xml:space="preserve"> </v>
      </c>
      <c r="P974" s="4" t="str">
        <f ca="1">IF(OR(INDEX($AG$2:$AG$1001,MATCH(ROWS($AF$2:AF974),$AF$2:$AF$1001,0),1)&gt;=100000,INDEX($AM$1005:$BM$1005,1,MATCH(COLUMNS($AM$1006:BA1006),$AM$1006:$BM$1006,0))&gt;=100000), " ",IF(INDEX($AM$2:$BM$1001,MATCH(ROWS($AF$2:AF974),$AF$2:$AF$1001,0),MATCH(COLUMNS($AM$1006:BA1006),$AM$1006:$BM$1006,0)), HYPERLINK("#",""), HYPERLINK(CONCATENATE("#metadata!", ADDRESS(INDEX($AH$2:$AH$1001,MATCH(ROWS($AF$2:AF974),$AF$2:$AF$1001,0),0), INDEX($AM$1004:$BM$1004,1,MATCH(COLUMNS($AM$1006:BA1006),$AM$1006:$BM$1006,0)))),"Fix")))</f>
        <v xml:space="preserve"> </v>
      </c>
      <c r="Q974" s="4" t="str">
        <f ca="1">IF(OR(INDEX($AG$2:$AG$1001,MATCH(ROWS($AF$2:AF974),$AF$2:$AF$1001,0),1)&gt;=100000,INDEX($AM$1005:$BM$1005,1,MATCH(COLUMNS($AM$1006:BB1006),$AM$1006:$BM$1006,0))&gt;=100000), " ",IF(INDEX($AM$2:$BM$1001,MATCH(ROWS($AF$2:AF974),$AF$2:$AF$1001,0),MATCH(COLUMNS($AM$1006:BB1006),$AM$1006:$BM$1006,0)), HYPERLINK("#",""), HYPERLINK(CONCATENATE("#metadata!", ADDRESS(INDEX($AH$2:$AH$1001,MATCH(ROWS($AF$2:AF974),$AF$2:$AF$1001,0),0), INDEX($AM$1004:$BM$1004,1,MATCH(COLUMNS($AM$1006:BB1006),$AM$1006:$BM$1006,0)))),"Fix")))</f>
        <v xml:space="preserve"> </v>
      </c>
      <c r="R974" s="4" t="str">
        <f ca="1">IF(OR(INDEX($AG$2:$AG$1001,MATCH(ROWS($AF$2:AF974),$AF$2:$AF$1001,0),1)&gt;=100000,INDEX($AM$1005:$BM$1005,1,MATCH(COLUMNS($AM$1006:BC1006),$AM$1006:$BM$1006,0))&gt;=100000), " ",IF(INDEX($AM$2:$BM$1001,MATCH(ROWS($AF$2:AF974),$AF$2:$AF$1001,0),MATCH(COLUMNS($AM$1006:BC1006),$AM$1006:$BM$1006,0)), HYPERLINK("#",""), HYPERLINK(CONCATENATE("#metadata!", ADDRESS(INDEX($AH$2:$AH$1001,MATCH(ROWS($AF$2:AF974),$AF$2:$AF$1001,0),0), INDEX($AM$1004:$BM$1004,1,MATCH(COLUMNS($AM$1006:BC1006),$AM$1006:$BM$1006,0)))),"Fix")))</f>
        <v xml:space="preserve"> </v>
      </c>
      <c r="S974" s="4" t="str">
        <f ca="1">IF(OR(INDEX($AG$2:$AG$1001,MATCH(ROWS($AF$2:AF974),$AF$2:$AF$1001,0),1)&gt;=100000,INDEX($AM$1005:$BM$1005,1,MATCH(COLUMNS($AM$1006:BD1006),$AM$1006:$BM$1006,0))&gt;=100000), " ",IF(INDEX($AM$2:$BM$1001,MATCH(ROWS($AF$2:AF974),$AF$2:$AF$1001,0),MATCH(COLUMNS($AM$1006:BD1006),$AM$1006:$BM$1006,0)), HYPERLINK("#",""), HYPERLINK(CONCATENATE("#metadata!", ADDRESS(INDEX($AH$2:$AH$1001,MATCH(ROWS($AF$2:AF974),$AF$2:$AF$1001,0),0), INDEX($AM$1004:$BM$1004,1,MATCH(COLUMNS($AM$1006:BD1006),$AM$1006:$BM$1006,0)))),"Fix")))</f>
        <v xml:space="preserve"> </v>
      </c>
      <c r="T974" s="4" t="str">
        <f ca="1">IF(OR(INDEX($AG$2:$AG$1001,MATCH(ROWS($AF$2:AF974),$AF$2:$AF$1001,0),1)&gt;=100000,INDEX($AM$1005:$BM$1005,1,MATCH(COLUMNS($AM$1006:BE1006),$AM$1006:$BM$1006,0))&gt;=100000), " ",IF(INDEX($AM$2:$BM$1001,MATCH(ROWS($AF$2:AF974),$AF$2:$AF$1001,0),MATCH(COLUMNS($AM$1006:BE1006),$AM$1006:$BM$1006,0)), HYPERLINK("#",""), HYPERLINK(CONCATENATE("#metadata!", ADDRESS(INDEX($AH$2:$AH$1001,MATCH(ROWS($AF$2:AF974),$AF$2:$AF$1001,0),0), INDEX($AM$1004:$BM$1004,1,MATCH(COLUMNS($AM$1006:BE1006),$AM$1006:$BM$1006,0)))),"Fix")))</f>
        <v xml:space="preserve"> </v>
      </c>
      <c r="U974" s="4" t="str">
        <f ca="1">IF(OR(INDEX($AG$2:$AG$1001,MATCH(ROWS($AF$2:AF974),$AF$2:$AF$1001,0),1)&gt;=100000,INDEX($AM$1005:$BM$1005,1,MATCH(COLUMNS($AM$1006:BF1006),$AM$1006:$BM$1006,0))&gt;=100000), " ",IF(INDEX($AM$2:$BM$1001,MATCH(ROWS($AF$2:AF974),$AF$2:$AF$1001,0),MATCH(COLUMNS($AM$1006:BF1006),$AM$1006:$BM$1006,0)), HYPERLINK("#",""), HYPERLINK(CONCATENATE("#metadata!", ADDRESS(INDEX($AH$2:$AH$1001,MATCH(ROWS($AF$2:AF974),$AF$2:$AF$1001,0),0), INDEX($AM$1004:$BM$1004,1,MATCH(COLUMNS($AM$1006:BF1006),$AM$1006:$BM$1006,0)))),"Fix")))</f>
        <v xml:space="preserve"> </v>
      </c>
      <c r="V974" s="4" t="str">
        <f ca="1">IF(OR(INDEX($AG$2:$AG$1001,MATCH(ROWS($AF$2:AF974),$AF$2:$AF$1001,0),1)&gt;=100000,INDEX($AM$1005:$BM$1005,1,MATCH(COLUMNS($AM$1006:BG1006),$AM$1006:$BM$1006,0))&gt;=100000), " ",IF(INDEX($AM$2:$BM$1001,MATCH(ROWS($AF$2:AF974),$AF$2:$AF$1001,0),MATCH(COLUMNS($AM$1006:BG1006),$AM$1006:$BM$1006,0)), HYPERLINK("#",""), HYPERLINK(CONCATENATE("#metadata!", ADDRESS(INDEX($AH$2:$AH$1001,MATCH(ROWS($AF$2:AF974),$AF$2:$AF$1001,0),0), INDEX($AM$1004:$BM$1004,1,MATCH(COLUMNS($AM$1006:BG1006),$AM$1006:$BM$1006,0)))),"Fix")))</f>
        <v xml:space="preserve"> </v>
      </c>
      <c r="W974" s="4" t="str">
        <f ca="1">IF(OR(INDEX($AG$2:$AG$1001,MATCH(ROWS($AF$2:AF974),$AF$2:$AF$1001,0),1)&gt;=100000,INDEX($AM$1005:$BM$1005,1,MATCH(COLUMNS($AM$1006:BH1006),$AM$1006:$BM$1006,0))&gt;=100000), " ",IF(INDEX($AM$2:$BM$1001,MATCH(ROWS($AF$2:AF974),$AF$2:$AF$1001,0),MATCH(COLUMNS($AM$1006:BH1006),$AM$1006:$BM$1006,0)), HYPERLINK("#",""), HYPERLINK(CONCATENATE("#metadata!", ADDRESS(INDEX($AH$2:$AH$1001,MATCH(ROWS($AF$2:AF974),$AF$2:$AF$1001,0),0), INDEX($AM$1004:$BM$1004,1,MATCH(COLUMNS($AM$1006:BH1006),$AM$1006:$BM$1006,0)))),"Fix")))</f>
        <v xml:space="preserve"> </v>
      </c>
      <c r="X974" s="4" t="str">
        <f ca="1">IF(OR(INDEX($AG$2:$AG$1001,MATCH(ROWS($AF$2:AF974),$AF$2:$AF$1001,0),1)&gt;=100000,INDEX($AM$1005:$BM$1005,1,MATCH(COLUMNS($AM$1006:BI1006),$AM$1006:$BM$1006,0))&gt;=100000), " ",IF(INDEX($AM$2:$BM$1001,MATCH(ROWS($AF$2:AF974),$AF$2:$AF$1001,0),MATCH(COLUMNS($AM$1006:BI1006),$AM$1006:$BM$1006,0)), HYPERLINK("#",""), HYPERLINK(CONCATENATE("#metadata!", ADDRESS(INDEX($AH$2:$AH$1001,MATCH(ROWS($AF$2:AF974),$AF$2:$AF$1001,0),0), INDEX($AM$1004:$BM$1004,1,MATCH(COLUMNS($AM$1006:BI1006),$AM$1006:$BM$1006,0)))),"Fix")))</f>
        <v xml:space="preserve"> </v>
      </c>
      <c r="Y974" s="4" t="str">
        <f ca="1">IF(OR(INDEX($AG$2:$AG$1001,MATCH(ROWS($AF$2:AF974),$AF$2:$AF$1001,0),1)&gt;=100000,INDEX($AM$1005:$BM$1005,1,MATCH(COLUMNS($AM$1006:BJ1006),$AM$1006:$BM$1006,0))&gt;=100000), " ",IF(INDEX($AM$2:$BM$1001,MATCH(ROWS($AF$2:AF974),$AF$2:$AF$1001,0),MATCH(COLUMNS($AM$1006:BJ1006),$AM$1006:$BM$1006,0)), HYPERLINK("#",""), HYPERLINK(CONCATENATE("#metadata!", ADDRESS(INDEX($AH$2:$AH$1001,MATCH(ROWS($AF$2:AF974),$AF$2:$AF$1001,0),0), INDEX($AM$1004:$BM$1004,1,MATCH(COLUMNS($AM$1006:BJ1006),$AM$1006:$BM$1006,0)))),"Fix")))</f>
        <v xml:space="preserve"> </v>
      </c>
      <c r="Z974" s="4" t="str">
        <f ca="1">IF(OR(INDEX($AG$2:$AG$1001,MATCH(ROWS($AF$2:AF974),$AF$2:$AF$1001,0),1)&gt;=100000,INDEX($AM$1005:$BM$1005,1,MATCH(COLUMNS($AM$1006:BK1006),$AM$1006:$BM$1006,0))&gt;=100000), " ",IF(INDEX($AM$2:$BM$1001,MATCH(ROWS($AF$2:AF974),$AF$2:$AF$1001,0),MATCH(COLUMNS($AM$1006:BK1006),$AM$1006:$BM$1006,0)), HYPERLINK("#",""), HYPERLINK(CONCATENATE("#metadata!", ADDRESS(INDEX($AH$2:$AH$1001,MATCH(ROWS($AF$2:AF974),$AF$2:$AF$1001,0),0), INDEX($AM$1004:$BM$1004,1,MATCH(COLUMNS($AM$1006:BK1006),$AM$1006:$BM$1006,0)))),"Fix")))</f>
        <v xml:space="preserve"> </v>
      </c>
      <c r="AA974" s="4" t="str">
        <f ca="1">IF(OR(INDEX($AG$2:$AG$1001,MATCH(ROWS($AF$2:AF974),$AF$2:$AF$1001,0),1)&gt;=100000,INDEX($AM$1005:$BM$1005,1,MATCH(COLUMNS($AM$1006:BL1006),$AM$1006:$BM$1006,0))&gt;=100000), " ",IF(INDEX($AM$2:$BM$1001,MATCH(ROWS($AF$2:AF974),$AF$2:$AF$1001,0),MATCH(COLUMNS($AM$1006:BL1006),$AM$1006:$BM$1006,0)), HYPERLINK("#",""), HYPERLINK(CONCATENATE("#metadata!", ADDRESS(INDEX($AH$2:$AH$1001,MATCH(ROWS($AF$2:AF974),$AF$2:$AF$1001,0),0), INDEX($AM$1004:$BM$1004,1,MATCH(COLUMNS($AM$1006:BL1006),$AM$1006:$BM$1006,0)))),"Fix")))</f>
        <v xml:space="preserve"> </v>
      </c>
      <c r="AB974" s="4" t="str">
        <f ca="1">IF(OR(INDEX($AG$2:$AG$1001,MATCH(ROWS($AF$2:AF974),$AF$2:$AF$1001,0),1)&gt;=100000,INDEX($AM$1005:$BM$1005,1,MATCH(COLUMNS($AM$1006:BM1006),$AM$1006:$BM$1006,0))&gt;=100000), " ",IF(INDEX($AM$2:$BM$1001,MATCH(ROWS($AF$2:AF974),$AF$2:$AF$1001,0),MATCH(COLUMNS($AM$1006:BM1006),$AM$1006:$BM$1006,0)), HYPERLINK("#",""), HYPERLINK(CONCATENATE("#metadata!", ADDRESS(INDEX($AH$2:$AH$1001,MATCH(ROWS($AF$2:AF974),$AF$2:$AF$1001,0),0), INDEX($AM$1004:$BM$1004,1,MATCH(COLUMNS($AM$1006:BM1006),$AM$1006:$BM$1006,0)))),"Fix")))</f>
        <v xml:space="preserve"> </v>
      </c>
      <c r="AF974">
        <v>973</v>
      </c>
      <c r="AG974">
        <v>100974</v>
      </c>
      <c r="AH974">
        <v>974</v>
      </c>
      <c r="AI974" t="b">
        <f t="shared" si="15"/>
        <v>1</v>
      </c>
      <c r="AJ974" t="b">
        <f>COUNTBLANK(metadata!B974:AB974)=COLUMNS(metadata!B974:AB974)</f>
        <v>1</v>
      </c>
      <c r="AK974" t="str">
        <v/>
      </c>
      <c r="AM974" t="b">
        <f ca="1">AND(IF(metadata!B974="",FALSE,TRUE),COUNTIF(metadata!B:B, metadata!B974) = 1,NOT(ISERROR(SUMPRODUCT(SEARCH(MID(metadata!B974,ROW(INDIRECT("1:"&amp;LEN(metadata!B974))), 1),"0123456789abcdefghijklmnopqrstuvwxyzABCDEFGHIJKLMNOPQRSTUVWXYZ.")))))</f>
        <v>0</v>
      </c>
      <c r="AN974" t="b">
        <f ca="1">OR(AND(IF(metadata!C974="",FALSE,TRUE),OR(EXACT(metadata!C974,"missing: not collected"),EXACT(metadata!C974,"missing: not provided"),EXACT(metadata!C974,"missing: restricted access"))),AND(IF(metadata!C974="",FALSE,TRUE),AND(AND(IFERROR(INT(LEFT(metadata!C974,4))&gt;1900,FALSE),IFERROR(INT(LEFT(metadata!C974,4))&lt;=YEAR(NOW()),FALSE)), OR(MID(metadata!C974,5,1)="", AND(AND(MID(metadata!C974,5,1)="-",IFERROR(INT(MID(metadata!C974,6,1))&gt;=0,FALSE),IFERROR(INT(MID(metadata!C974,6,1))&lt;=1,FALSE),NOT(MID(metadata!C974,7,1)=""),IFERROR(INT(MID(metadata!C974,6,2))&gt;=1,FALSE),IFERROR(INT(MID(metadata!C974,6,2))&lt;=12,FALSE)), OR(MID(metadata!C974,8,1)="", AND(AND(MID(metadata!C974,8,1)="-",IFERROR(INT(MID(metadata!C974,9,1))&gt;=0,FALSE),IFERROR(INT(MID(metadata!C974,9,1))&lt;=3,FALSE),NOT(MID(metadata!C974,10,1)=""),IFERROR(INT(MID(metadata!C974,9,2))&gt;=1,FALSE),IFERROR(INT(MID(metadata!C974,9,2))&lt;=31,FALSE)), OR(MID(metadata!C974,11,1)="", AND(AND(MID(metadata!C974,11,1)=" ",IFERROR(INT(MID(metadata!C974,12,1))&gt;=0,FALSE),IFERROR(INT(MID(metadata!C974,12,1))&lt;=2,FALSE),NOT(MID(metadata!C974,13,1)=""),IFERROR(INT(MID(metadata!C974,12,2))&gt;=0,FALSE),IFERROR(INT(MID(metadata!C974,12,2))&lt;=23,FALSE)), OR(MID(metadata!C974,14,1)="", AND(AND(MID(metadata!C974,14,1)=":",IFERROR(INT(MID(metadata!C974,15,1))&gt;=0,FALSE),IFERROR(INT(MID(metadata!C974,15,1))&lt;=5,FALSE),NOT(MID(metadata!C974,16,1)=""),IFERROR(INT(MID(metadata!C974,15,2))&gt;=0,FALSE),IFERROR(INT(MID(metadata!C974,15,2))&lt;=59,FALSE)), OR(MID(metadata!C974,17,1)="", AND(AND(MID(metadata!C974,17,1)=":",IFERROR(INT(MID(metadata!C974,18,1))&gt;=0,FALSE),IFERROR(INT(MID(metadata!C974,18,1))&lt;=5,FALSE),NOT(MID(metadata!C974,19,1)=""),IFERROR(INT(MID(metadata!C974,18,2))&gt;=0,FALSE),IFERROR(INT(MID(metadata!C974,18,2))&lt;=59,FALSE)), LEN(metadata!C974)&lt;=19)))))))))))))</f>
        <v>0</v>
      </c>
      <c r="AO974" t="b">
        <f>AND(IF(metadata!D974="",FALSE,TRUE),EXACT(metadata!D974,"Not applicable"))</f>
        <v>0</v>
      </c>
      <c r="AP974" t="b">
        <f>IF(metadata!E974="",FALSE,TRUE)</f>
        <v>0</v>
      </c>
      <c r="AQ974" t="b">
        <f>OR(AND(IF(metadata!F974="",FALSE,TRUE),OR(EXACT(metadata!F974,"missing: not collected"),EXACT(metadata!F974,"missing: not provided"))),AND(IF(metadata!F974="",FALSE,TRUE),OR(EXACT(metadata!F974,"TRUE"),EXACT(metadata!F974,"FALSE"))))</f>
        <v>0</v>
      </c>
      <c r="AR974" t="b">
        <f>OR(AND(IF(metadata!G974="",FALSE,TRUE),OR(EXACT(metadata!G974,"missing: not collected"),EXACT(metadata!G974,"missing: not provided"),EXACT(metadata!G974,"missing: restricted access"))),AND(IF(metadata!G974="",FALSE,ISNUMBER(VALUE(metadata!G974))),metadata!G974&gt;=-413))</f>
        <v>0</v>
      </c>
      <c r="AS974" t="b">
        <f>AND(IF(metadata!H974="",FALSE,TRUE),EXACT(metadata!H974,"meters"))</f>
        <v>0</v>
      </c>
      <c r="AT974" t="b">
        <f>AND(IF(metadata!I974="",FALSE,TRUE),OR(EXACT(metadata!I974,"Host-associated"),EXACT(metadata!I974,"Free-living")))</f>
        <v>0</v>
      </c>
      <c r="AU974" t="b">
        <f>AND(IF(metadata!J974="",FALSE,TRUE),OR(EXACT(metadata!J974,"Animal"),EXACT(metadata!J974,"Fungus"),EXACT(metadata!J974,"Plant"),EXACT(metadata!J974,"Saline"),EXACT(metadata!J974,"Non-saline")))</f>
        <v>0</v>
      </c>
      <c r="AV974" t="b">
        <f>AND(IF(metadata!K974="",FALSE,TRUE),OR(EXACT(metadata!K974,"Plant secretion"),EXACT(metadata!K974,"Plant rhizosphere"),EXACT(metadata!K974,"Plant surface"),EXACT(metadata!K974,"Plant corpus"),EXACT(metadata!K974,"Fungus surface"),EXACT(metadata!K974,"Fungus corpus"),EXACT(metadata!K974,"Animal surface"),EXACT(metadata!K974,"Animal proximal gut"),EXACT(metadata!K974,"Animal corpus"),EXACT(metadata!K974,"Animal distal gut"),EXACT(metadata!K974,"Animal secretion"),EXACT(metadata!K974,"Sub-surface (non-saline)"),EXACT(metadata!K974,"Surface (non-saline)"),EXACT(metadata!K974,"Water (non-saline)"),EXACT(metadata!K974,"Soil (non-saline)"),EXACT(metadata!K974,"Aerosol (non-saline)"),EXACT(metadata!K974,"Sediment (non-saline)"),EXACT(metadata!K974,"Surface (saline)"),EXACT(metadata!K974,"Water (saline)"),EXACT(metadata!K974,"Hypersaline (saline)"),EXACT(metadata!K974,"Aerosol (saline)"),EXACT(metadata!K974,"Sediment (saline)")))</f>
        <v>0</v>
      </c>
      <c r="AW974" t="b">
        <f>IF(metadata!L974="",FALSE,TRUE)</f>
        <v>0</v>
      </c>
      <c r="AX974" t="b">
        <f>IF(metadata!M974="",FALSE,TRUE)</f>
        <v>0</v>
      </c>
      <c r="AY974" t="b">
        <f>IF(metadata!N974="",FALSE,TRUE)</f>
        <v>0</v>
      </c>
      <c r="AZ974" t="b">
        <f>OR(AND(IF(metadata!O974="",FALSE,TRUE),OR(EXACT(metadata!O974,"missing: not collected"),EXACT(metadata!O974,"missing: not provided"),EXACT(metadata!O974,"missing: restricted access"))),AND(IF(metadata!O974="",FALSE,TRUE),OR(EXACT(metadata!O974,"air"),EXACT(metadata!O974,"built environment"),EXACT(metadata!O974,"host-associated"),EXACT(metadata!O974,"human-associated"),EXACT(metadata!O974,"human-skin"),EXACT(metadata!O974,"human-oral"),EXACT(metadata!O974,"human-gut"),EXACT(metadata!O974,"human-vaginal"),EXACT(metadata!O974,"microbial mat/biofilm"),EXACT(metadata!O974,"misc environment"),EXACT(metadata!O974,"plant-associated"),EXACT(metadata!O974,"sediment"),EXACT(metadata!O974,"soil"),EXACT(metadata!O974,"wastewater/sludge"),EXACT(metadata!O974,"water"))))</f>
        <v>0</v>
      </c>
      <c r="BA974" t="b">
        <f>IF(metadata!P974="",FALSE,TRUE)</f>
        <v>0</v>
      </c>
      <c r="BB974" t="b">
        <f>IF(metadata!Q974="",FALSE,TRUE)</f>
        <v>0</v>
      </c>
      <c r="BC974" t="b">
        <f>OR(AND(IF(metadata!R974="",FALSE,TRUE),OR(EXACT(metadata!R974,"missing: not collected"),EXACT(metadata!R974,"missing: not provided"),EXACT(metadata!R974,"missing: restricted access"))),AND(IF(metadata!R974="",FALSE,ISNUMBER(VALUE(metadata!R974))),metadata!R974&gt;=-90,metadata!R974&lt;=90))</f>
        <v>0</v>
      </c>
      <c r="BD974" t="b">
        <f>AND(IF(metadata!S974="",FALSE,TRUE),EXACT(metadata!S974,"Decimal degrees"))</f>
        <v>0</v>
      </c>
      <c r="BE974" t="b">
        <f>OR(AND(IF(metadata!T974="",FALSE,TRUE),OR(EXACT(metadata!T974,"missing: not collected"),EXACT(metadata!T974,"missing: not provided"),EXACT(metadata!T974,"missing: restricted access"))),AND(IF(metadata!T974="",FALSE,ISNUMBER(VALUE(metadata!T974))),metadata!T974&gt;=-180,metadata!T974&lt;=180))</f>
        <v>0</v>
      </c>
      <c r="BF974" t="b">
        <f>AND(IF(metadata!U974="",FALSE,TRUE),EXACT(metadata!U974,"Decimal degrees"))</f>
        <v>0</v>
      </c>
      <c r="BG974" t="b">
        <f>IF(metadata!V974="",FALSE,TRUE)</f>
        <v>0</v>
      </c>
      <c r="BH974" t="b">
        <f>OR(AND(IF(metadata!W974="",FALSE,TRUE),OR(EXACT(metadata!W974,"missing: not collected"),EXACT(metadata!W974,"missing: not provided"),EXACT(metadata!W974,"missing: restricted access"))),AND(IF(metadata!W974="",FALSE,TRUE),OR(EXACT(metadata!W974,"TRUE"),EXACT(metadata!W974,"FALSE"))))</f>
        <v>0</v>
      </c>
      <c r="BI974" t="b">
        <f>AND(IF(metadata!X974="",FALSE,TRUE),EXACT(metadata!X974,"other"))</f>
        <v>0</v>
      </c>
      <c r="BJ974" t="b">
        <f>IF(metadata!Y974="",FALSE,TRUE)</f>
        <v>0</v>
      </c>
      <c r="BK974" t="b">
        <f>OR(AND(IF(metadata!Z974="",FALSE,TRUE),OR(EXACT(metadata!Z974,"missing: not collected"),EXACT(metadata!Z974,"missing: not provided"))),AND(IF(metadata!Z974="",FALSE,IF(ISERROR(INT(metadata!Z974)),FALSE,INT(metadata!Z974)=metadata!Z974)),metadata!Z974&gt;0))</f>
        <v>0</v>
      </c>
      <c r="BL974" t="b">
        <f>AND(IF(metadata!AA974="",FALSE,TRUE),EXACT(metadata!AA974,"Not applicable"))</f>
        <v>0</v>
      </c>
      <c r="BM974" t="b">
        <f>IF(metadata!AB974="",FALSE,TRUE)</f>
        <v>0</v>
      </c>
    </row>
    <row r="975" spans="1:65" x14ac:dyDescent="0.2">
      <c r="A975" s="5" t="str">
        <f ca="1">IF(B975=" "," ",HYPERLINK(CONCATENATE("#metadata!",ADDRESS(INDEX($AH$2:$AH$1001,MATCH(ROWS($AF$2:AF975),$AF$2:$AF$1001,0),0),1)),INDEX($AK$2:$AK$1001,MATCH(ROWS($AF$2:AF975),$AF$2:$AF$1001,0),0)))</f>
        <v xml:space="preserve"> </v>
      </c>
      <c r="B975" s="4" t="str">
        <f ca="1">IF(OR(INDEX($AG$2:$AG$1001,MATCH(ROWS($AF$2:AF975),$AF$2:$AF$1001,0),1)&gt;=100000,INDEX($AM$1005:$BM$1005,1,MATCH(COLUMNS($AM$1006:AM1006),$AM$1006:$BM$1006,0))&gt;=100000), " ",IF(INDEX($AM$2:$BM$1001,MATCH(ROWS($AF$2:AF975),$AF$2:$AF$1001,0),MATCH(COLUMNS($AM$1006:AM1006),$AM$1006:$BM$1006,0)), HYPERLINK("#",""), HYPERLINK(CONCATENATE("#metadata!", ADDRESS(INDEX($AH$2:$AH$1001,MATCH(ROWS($AF$2:AF975),$AF$2:$AF$1001,0),0), INDEX($AM$1004:$BM$1004,1,MATCH(COLUMNS($AM$1006:AM1006),$AM$1006:$BM$1006,0)))),"Fix")))</f>
        <v xml:space="preserve"> </v>
      </c>
      <c r="C975" s="4" t="str">
        <f ca="1">IF(OR(INDEX($AG$2:$AG$1001,MATCH(ROWS($AF$2:AF975),$AF$2:$AF$1001,0),1)&gt;=100000,INDEX($AM$1005:$BM$1005,1,MATCH(COLUMNS($AM$1006:AN1006),$AM$1006:$BM$1006,0))&gt;=100000), " ",IF(INDEX($AM$2:$BM$1001,MATCH(ROWS($AF$2:AF975),$AF$2:$AF$1001,0),MATCH(COLUMNS($AM$1006:AN1006),$AM$1006:$BM$1006,0)), HYPERLINK("#",""), HYPERLINK(CONCATENATE("#metadata!", ADDRESS(INDEX($AH$2:$AH$1001,MATCH(ROWS($AF$2:AF975),$AF$2:$AF$1001,0),0), INDEX($AM$1004:$BM$1004,1,MATCH(COLUMNS($AM$1006:AN1006),$AM$1006:$BM$1006,0)))),"Fix")))</f>
        <v xml:space="preserve"> </v>
      </c>
      <c r="D975" s="4" t="str">
        <f ca="1">IF(OR(INDEX($AG$2:$AG$1001,MATCH(ROWS($AF$2:AF975),$AF$2:$AF$1001,0),1)&gt;=100000,INDEX($AM$1005:$BM$1005,1,MATCH(COLUMNS($AM$1006:AO1006),$AM$1006:$BM$1006,0))&gt;=100000), " ",IF(INDEX($AM$2:$BM$1001,MATCH(ROWS($AF$2:AF975),$AF$2:$AF$1001,0),MATCH(COLUMNS($AM$1006:AO1006),$AM$1006:$BM$1006,0)), HYPERLINK("#",""), HYPERLINK(CONCATENATE("#metadata!", ADDRESS(INDEX($AH$2:$AH$1001,MATCH(ROWS($AF$2:AF975),$AF$2:$AF$1001,0),0), INDEX($AM$1004:$BM$1004,1,MATCH(COLUMNS($AM$1006:AO1006),$AM$1006:$BM$1006,0)))),"Fix")))</f>
        <v xml:space="preserve"> </v>
      </c>
      <c r="E975" s="4" t="str">
        <f ca="1">IF(OR(INDEX($AG$2:$AG$1001,MATCH(ROWS($AF$2:AF975),$AF$2:$AF$1001,0),1)&gt;=100000,INDEX($AM$1005:$BM$1005,1,MATCH(COLUMNS($AM$1006:AP1006),$AM$1006:$BM$1006,0))&gt;=100000), " ",IF(INDEX($AM$2:$BM$1001,MATCH(ROWS($AF$2:AF975),$AF$2:$AF$1001,0),MATCH(COLUMNS($AM$1006:AP1006),$AM$1006:$BM$1006,0)), HYPERLINK("#",""), HYPERLINK(CONCATENATE("#metadata!", ADDRESS(INDEX($AH$2:$AH$1001,MATCH(ROWS($AF$2:AF975),$AF$2:$AF$1001,0),0), INDEX($AM$1004:$BM$1004,1,MATCH(COLUMNS($AM$1006:AP1006),$AM$1006:$BM$1006,0)))),"Fix")))</f>
        <v xml:space="preserve"> </v>
      </c>
      <c r="F975" s="4" t="str">
        <f ca="1">IF(OR(INDEX($AG$2:$AG$1001,MATCH(ROWS($AF$2:AF975),$AF$2:$AF$1001,0),1)&gt;=100000,INDEX($AM$1005:$BM$1005,1,MATCH(COLUMNS($AM$1006:AQ1006),$AM$1006:$BM$1006,0))&gt;=100000), " ",IF(INDEX($AM$2:$BM$1001,MATCH(ROWS($AF$2:AF975),$AF$2:$AF$1001,0),MATCH(COLUMNS($AM$1006:AQ1006),$AM$1006:$BM$1006,0)), HYPERLINK("#",""), HYPERLINK(CONCATENATE("#metadata!", ADDRESS(INDEX($AH$2:$AH$1001,MATCH(ROWS($AF$2:AF975),$AF$2:$AF$1001,0),0), INDEX($AM$1004:$BM$1004,1,MATCH(COLUMNS($AM$1006:AQ1006),$AM$1006:$BM$1006,0)))),"Fix")))</f>
        <v xml:space="preserve"> </v>
      </c>
      <c r="G975" s="4" t="str">
        <f ca="1">IF(OR(INDEX($AG$2:$AG$1001,MATCH(ROWS($AF$2:AF975),$AF$2:$AF$1001,0),1)&gt;=100000,INDEX($AM$1005:$BM$1005,1,MATCH(COLUMNS($AM$1006:AR1006),$AM$1006:$BM$1006,0))&gt;=100000), " ",IF(INDEX($AM$2:$BM$1001,MATCH(ROWS($AF$2:AF975),$AF$2:$AF$1001,0),MATCH(COLUMNS($AM$1006:AR1006),$AM$1006:$BM$1006,0)), HYPERLINK("#",""), HYPERLINK(CONCATENATE("#metadata!", ADDRESS(INDEX($AH$2:$AH$1001,MATCH(ROWS($AF$2:AF975),$AF$2:$AF$1001,0),0), INDEX($AM$1004:$BM$1004,1,MATCH(COLUMNS($AM$1006:AR1006),$AM$1006:$BM$1006,0)))),"Fix")))</f>
        <v xml:space="preserve"> </v>
      </c>
      <c r="H975" s="4" t="str">
        <f ca="1">IF(OR(INDEX($AG$2:$AG$1001,MATCH(ROWS($AF$2:AF975),$AF$2:$AF$1001,0),1)&gt;=100000,INDEX($AM$1005:$BM$1005,1,MATCH(COLUMNS($AM$1006:AS1006),$AM$1006:$BM$1006,0))&gt;=100000), " ",IF(INDEX($AM$2:$BM$1001,MATCH(ROWS($AF$2:AF975),$AF$2:$AF$1001,0),MATCH(COLUMNS($AM$1006:AS1006),$AM$1006:$BM$1006,0)), HYPERLINK("#",""), HYPERLINK(CONCATENATE("#metadata!", ADDRESS(INDEX($AH$2:$AH$1001,MATCH(ROWS($AF$2:AF975),$AF$2:$AF$1001,0),0), INDEX($AM$1004:$BM$1004,1,MATCH(COLUMNS($AM$1006:AS1006),$AM$1006:$BM$1006,0)))),"Fix")))</f>
        <v xml:space="preserve"> </v>
      </c>
      <c r="I975" s="4" t="str">
        <f ca="1">IF(OR(INDEX($AG$2:$AG$1001,MATCH(ROWS($AF$2:AF975),$AF$2:$AF$1001,0),1)&gt;=100000,INDEX($AM$1005:$BM$1005,1,MATCH(COLUMNS($AM$1006:AT1006),$AM$1006:$BM$1006,0))&gt;=100000), " ",IF(INDEX($AM$2:$BM$1001,MATCH(ROWS($AF$2:AF975),$AF$2:$AF$1001,0),MATCH(COLUMNS($AM$1006:AT1006),$AM$1006:$BM$1006,0)), HYPERLINK("#",""), HYPERLINK(CONCATENATE("#metadata!", ADDRESS(INDEX($AH$2:$AH$1001,MATCH(ROWS($AF$2:AF975),$AF$2:$AF$1001,0),0), INDEX($AM$1004:$BM$1004,1,MATCH(COLUMNS($AM$1006:AT1006),$AM$1006:$BM$1006,0)))),"Fix")))</f>
        <v xml:space="preserve"> </v>
      </c>
      <c r="J975" s="4" t="str">
        <f ca="1">IF(OR(INDEX($AG$2:$AG$1001,MATCH(ROWS($AF$2:AF975),$AF$2:$AF$1001,0),1)&gt;=100000,INDEX($AM$1005:$BM$1005,1,MATCH(COLUMNS($AM$1006:AU1006),$AM$1006:$BM$1006,0))&gt;=100000), " ",IF(INDEX($AM$2:$BM$1001,MATCH(ROWS($AF$2:AF975),$AF$2:$AF$1001,0),MATCH(COLUMNS($AM$1006:AU1006),$AM$1006:$BM$1006,0)), HYPERLINK("#",""), HYPERLINK(CONCATENATE("#metadata!", ADDRESS(INDEX($AH$2:$AH$1001,MATCH(ROWS($AF$2:AF975),$AF$2:$AF$1001,0),0), INDEX($AM$1004:$BM$1004,1,MATCH(COLUMNS($AM$1006:AU1006),$AM$1006:$BM$1006,0)))),"Fix")))</f>
        <v xml:space="preserve"> </v>
      </c>
      <c r="K975" s="4" t="str">
        <f ca="1">IF(OR(INDEX($AG$2:$AG$1001,MATCH(ROWS($AF$2:AF975),$AF$2:$AF$1001,0),1)&gt;=100000,INDEX($AM$1005:$BM$1005,1,MATCH(COLUMNS($AM$1006:AV1006),$AM$1006:$BM$1006,0))&gt;=100000), " ",IF(INDEX($AM$2:$BM$1001,MATCH(ROWS($AF$2:AF975),$AF$2:$AF$1001,0),MATCH(COLUMNS($AM$1006:AV1006),$AM$1006:$BM$1006,0)), HYPERLINK("#",""), HYPERLINK(CONCATENATE("#metadata!", ADDRESS(INDEX($AH$2:$AH$1001,MATCH(ROWS($AF$2:AF975),$AF$2:$AF$1001,0),0), INDEX($AM$1004:$BM$1004,1,MATCH(COLUMNS($AM$1006:AV1006),$AM$1006:$BM$1006,0)))),"Fix")))</f>
        <v xml:space="preserve"> </v>
      </c>
      <c r="L975" s="4" t="str">
        <f ca="1">IF(OR(INDEX($AG$2:$AG$1001,MATCH(ROWS($AF$2:AF975),$AF$2:$AF$1001,0),1)&gt;=100000,INDEX($AM$1005:$BM$1005,1,MATCH(COLUMNS($AM$1006:AW1006),$AM$1006:$BM$1006,0))&gt;=100000), " ",IF(INDEX($AM$2:$BM$1001,MATCH(ROWS($AF$2:AF975),$AF$2:$AF$1001,0),MATCH(COLUMNS($AM$1006:AW1006),$AM$1006:$BM$1006,0)), HYPERLINK("#",""), HYPERLINK(CONCATENATE("#metadata!", ADDRESS(INDEX($AH$2:$AH$1001,MATCH(ROWS($AF$2:AF975),$AF$2:$AF$1001,0),0), INDEX($AM$1004:$BM$1004,1,MATCH(COLUMNS($AM$1006:AW1006),$AM$1006:$BM$1006,0)))),"Fix")))</f>
        <v xml:space="preserve"> </v>
      </c>
      <c r="M975" s="4" t="str">
        <f ca="1">IF(OR(INDEX($AG$2:$AG$1001,MATCH(ROWS($AF$2:AF975),$AF$2:$AF$1001,0),1)&gt;=100000,INDEX($AM$1005:$BM$1005,1,MATCH(COLUMNS($AM$1006:AX1006),$AM$1006:$BM$1006,0))&gt;=100000), " ",IF(INDEX($AM$2:$BM$1001,MATCH(ROWS($AF$2:AF975),$AF$2:$AF$1001,0),MATCH(COLUMNS($AM$1006:AX1006),$AM$1006:$BM$1006,0)), HYPERLINK("#",""), HYPERLINK(CONCATENATE("#metadata!", ADDRESS(INDEX($AH$2:$AH$1001,MATCH(ROWS($AF$2:AF975),$AF$2:$AF$1001,0),0), INDEX($AM$1004:$BM$1004,1,MATCH(COLUMNS($AM$1006:AX1006),$AM$1006:$BM$1006,0)))),"Fix")))</f>
        <v xml:space="preserve"> </v>
      </c>
      <c r="N975" s="4" t="str">
        <f ca="1">IF(OR(INDEX($AG$2:$AG$1001,MATCH(ROWS($AF$2:AF975),$AF$2:$AF$1001,0),1)&gt;=100000,INDEX($AM$1005:$BM$1005,1,MATCH(COLUMNS($AM$1006:AY1006),$AM$1006:$BM$1006,0))&gt;=100000), " ",IF(INDEX($AM$2:$BM$1001,MATCH(ROWS($AF$2:AF975),$AF$2:$AF$1001,0),MATCH(COLUMNS($AM$1006:AY1006),$AM$1006:$BM$1006,0)), HYPERLINK("#",""), HYPERLINK(CONCATENATE("#metadata!", ADDRESS(INDEX($AH$2:$AH$1001,MATCH(ROWS($AF$2:AF975),$AF$2:$AF$1001,0),0), INDEX($AM$1004:$BM$1004,1,MATCH(COLUMNS($AM$1006:AY1006),$AM$1006:$BM$1006,0)))),"Fix")))</f>
        <v xml:space="preserve"> </v>
      </c>
      <c r="O975" s="4" t="str">
        <f ca="1">IF(OR(INDEX($AG$2:$AG$1001,MATCH(ROWS($AF$2:AF975),$AF$2:$AF$1001,0),1)&gt;=100000,INDEX($AM$1005:$BM$1005,1,MATCH(COLUMNS($AM$1006:AZ1006),$AM$1006:$BM$1006,0))&gt;=100000), " ",IF(INDEX($AM$2:$BM$1001,MATCH(ROWS($AF$2:AF975),$AF$2:$AF$1001,0),MATCH(COLUMNS($AM$1006:AZ1006),$AM$1006:$BM$1006,0)), HYPERLINK("#",""), HYPERLINK(CONCATENATE("#metadata!", ADDRESS(INDEX($AH$2:$AH$1001,MATCH(ROWS($AF$2:AF975),$AF$2:$AF$1001,0),0), INDEX($AM$1004:$BM$1004,1,MATCH(COLUMNS($AM$1006:AZ1006),$AM$1006:$BM$1006,0)))),"Fix")))</f>
        <v xml:space="preserve"> </v>
      </c>
      <c r="P975" s="4" t="str">
        <f ca="1">IF(OR(INDEX($AG$2:$AG$1001,MATCH(ROWS($AF$2:AF975),$AF$2:$AF$1001,0),1)&gt;=100000,INDEX($AM$1005:$BM$1005,1,MATCH(COLUMNS($AM$1006:BA1006),$AM$1006:$BM$1006,0))&gt;=100000), " ",IF(INDEX($AM$2:$BM$1001,MATCH(ROWS($AF$2:AF975),$AF$2:$AF$1001,0),MATCH(COLUMNS($AM$1006:BA1006),$AM$1006:$BM$1006,0)), HYPERLINK("#",""), HYPERLINK(CONCATENATE("#metadata!", ADDRESS(INDEX($AH$2:$AH$1001,MATCH(ROWS($AF$2:AF975),$AF$2:$AF$1001,0),0), INDEX($AM$1004:$BM$1004,1,MATCH(COLUMNS($AM$1006:BA1006),$AM$1006:$BM$1006,0)))),"Fix")))</f>
        <v xml:space="preserve"> </v>
      </c>
      <c r="Q975" s="4" t="str">
        <f ca="1">IF(OR(INDEX($AG$2:$AG$1001,MATCH(ROWS($AF$2:AF975),$AF$2:$AF$1001,0),1)&gt;=100000,INDEX($AM$1005:$BM$1005,1,MATCH(COLUMNS($AM$1006:BB1006),$AM$1006:$BM$1006,0))&gt;=100000), " ",IF(INDEX($AM$2:$BM$1001,MATCH(ROWS($AF$2:AF975),$AF$2:$AF$1001,0),MATCH(COLUMNS($AM$1006:BB1006),$AM$1006:$BM$1006,0)), HYPERLINK("#",""), HYPERLINK(CONCATENATE("#metadata!", ADDRESS(INDEX($AH$2:$AH$1001,MATCH(ROWS($AF$2:AF975),$AF$2:$AF$1001,0),0), INDEX($AM$1004:$BM$1004,1,MATCH(COLUMNS($AM$1006:BB1006),$AM$1006:$BM$1006,0)))),"Fix")))</f>
        <v xml:space="preserve"> </v>
      </c>
      <c r="R975" s="4" t="str">
        <f ca="1">IF(OR(INDEX($AG$2:$AG$1001,MATCH(ROWS($AF$2:AF975),$AF$2:$AF$1001,0),1)&gt;=100000,INDEX($AM$1005:$BM$1005,1,MATCH(COLUMNS($AM$1006:BC1006),$AM$1006:$BM$1006,0))&gt;=100000), " ",IF(INDEX($AM$2:$BM$1001,MATCH(ROWS($AF$2:AF975),$AF$2:$AF$1001,0),MATCH(COLUMNS($AM$1006:BC1006),$AM$1006:$BM$1006,0)), HYPERLINK("#",""), HYPERLINK(CONCATENATE("#metadata!", ADDRESS(INDEX($AH$2:$AH$1001,MATCH(ROWS($AF$2:AF975),$AF$2:$AF$1001,0),0), INDEX($AM$1004:$BM$1004,1,MATCH(COLUMNS($AM$1006:BC1006),$AM$1006:$BM$1006,0)))),"Fix")))</f>
        <v xml:space="preserve"> </v>
      </c>
      <c r="S975" s="4" t="str">
        <f ca="1">IF(OR(INDEX($AG$2:$AG$1001,MATCH(ROWS($AF$2:AF975),$AF$2:$AF$1001,0),1)&gt;=100000,INDEX($AM$1005:$BM$1005,1,MATCH(COLUMNS($AM$1006:BD1006),$AM$1006:$BM$1006,0))&gt;=100000), " ",IF(INDEX($AM$2:$BM$1001,MATCH(ROWS($AF$2:AF975),$AF$2:$AF$1001,0),MATCH(COLUMNS($AM$1006:BD1006),$AM$1006:$BM$1006,0)), HYPERLINK("#",""), HYPERLINK(CONCATENATE("#metadata!", ADDRESS(INDEX($AH$2:$AH$1001,MATCH(ROWS($AF$2:AF975),$AF$2:$AF$1001,0),0), INDEX($AM$1004:$BM$1004,1,MATCH(COLUMNS($AM$1006:BD1006),$AM$1006:$BM$1006,0)))),"Fix")))</f>
        <v xml:space="preserve"> </v>
      </c>
      <c r="T975" s="4" t="str">
        <f ca="1">IF(OR(INDEX($AG$2:$AG$1001,MATCH(ROWS($AF$2:AF975),$AF$2:$AF$1001,0),1)&gt;=100000,INDEX($AM$1005:$BM$1005,1,MATCH(COLUMNS($AM$1006:BE1006),$AM$1006:$BM$1006,0))&gt;=100000), " ",IF(INDEX($AM$2:$BM$1001,MATCH(ROWS($AF$2:AF975),$AF$2:$AF$1001,0),MATCH(COLUMNS($AM$1006:BE1006),$AM$1006:$BM$1006,0)), HYPERLINK("#",""), HYPERLINK(CONCATENATE("#metadata!", ADDRESS(INDEX($AH$2:$AH$1001,MATCH(ROWS($AF$2:AF975),$AF$2:$AF$1001,0),0), INDEX($AM$1004:$BM$1004,1,MATCH(COLUMNS($AM$1006:BE1006),$AM$1006:$BM$1006,0)))),"Fix")))</f>
        <v xml:space="preserve"> </v>
      </c>
      <c r="U975" s="4" t="str">
        <f ca="1">IF(OR(INDEX($AG$2:$AG$1001,MATCH(ROWS($AF$2:AF975),$AF$2:$AF$1001,0),1)&gt;=100000,INDEX($AM$1005:$BM$1005,1,MATCH(COLUMNS($AM$1006:BF1006),$AM$1006:$BM$1006,0))&gt;=100000), " ",IF(INDEX($AM$2:$BM$1001,MATCH(ROWS($AF$2:AF975),$AF$2:$AF$1001,0),MATCH(COLUMNS($AM$1006:BF1006),$AM$1006:$BM$1006,0)), HYPERLINK("#",""), HYPERLINK(CONCATENATE("#metadata!", ADDRESS(INDEX($AH$2:$AH$1001,MATCH(ROWS($AF$2:AF975),$AF$2:$AF$1001,0),0), INDEX($AM$1004:$BM$1004,1,MATCH(COLUMNS($AM$1006:BF1006),$AM$1006:$BM$1006,0)))),"Fix")))</f>
        <v xml:space="preserve"> </v>
      </c>
      <c r="V975" s="4" t="str">
        <f ca="1">IF(OR(INDEX($AG$2:$AG$1001,MATCH(ROWS($AF$2:AF975),$AF$2:$AF$1001,0),1)&gt;=100000,INDEX($AM$1005:$BM$1005,1,MATCH(COLUMNS($AM$1006:BG1006),$AM$1006:$BM$1006,0))&gt;=100000), " ",IF(INDEX($AM$2:$BM$1001,MATCH(ROWS($AF$2:AF975),$AF$2:$AF$1001,0),MATCH(COLUMNS($AM$1006:BG1006),$AM$1006:$BM$1006,0)), HYPERLINK("#",""), HYPERLINK(CONCATENATE("#metadata!", ADDRESS(INDEX($AH$2:$AH$1001,MATCH(ROWS($AF$2:AF975),$AF$2:$AF$1001,0),0), INDEX($AM$1004:$BM$1004,1,MATCH(COLUMNS($AM$1006:BG1006),$AM$1006:$BM$1006,0)))),"Fix")))</f>
        <v xml:space="preserve"> </v>
      </c>
      <c r="W975" s="4" t="str">
        <f ca="1">IF(OR(INDEX($AG$2:$AG$1001,MATCH(ROWS($AF$2:AF975),$AF$2:$AF$1001,0),1)&gt;=100000,INDEX($AM$1005:$BM$1005,1,MATCH(COLUMNS($AM$1006:BH1006),$AM$1006:$BM$1006,0))&gt;=100000), " ",IF(INDEX($AM$2:$BM$1001,MATCH(ROWS($AF$2:AF975),$AF$2:$AF$1001,0),MATCH(COLUMNS($AM$1006:BH1006),$AM$1006:$BM$1006,0)), HYPERLINK("#",""), HYPERLINK(CONCATENATE("#metadata!", ADDRESS(INDEX($AH$2:$AH$1001,MATCH(ROWS($AF$2:AF975),$AF$2:$AF$1001,0),0), INDEX($AM$1004:$BM$1004,1,MATCH(COLUMNS($AM$1006:BH1006),$AM$1006:$BM$1006,0)))),"Fix")))</f>
        <v xml:space="preserve"> </v>
      </c>
      <c r="X975" s="4" t="str">
        <f ca="1">IF(OR(INDEX($AG$2:$AG$1001,MATCH(ROWS($AF$2:AF975),$AF$2:$AF$1001,0),1)&gt;=100000,INDEX($AM$1005:$BM$1005,1,MATCH(COLUMNS($AM$1006:BI1006),$AM$1006:$BM$1006,0))&gt;=100000), " ",IF(INDEX($AM$2:$BM$1001,MATCH(ROWS($AF$2:AF975),$AF$2:$AF$1001,0),MATCH(COLUMNS($AM$1006:BI1006),$AM$1006:$BM$1006,0)), HYPERLINK("#",""), HYPERLINK(CONCATENATE("#metadata!", ADDRESS(INDEX($AH$2:$AH$1001,MATCH(ROWS($AF$2:AF975),$AF$2:$AF$1001,0),0), INDEX($AM$1004:$BM$1004,1,MATCH(COLUMNS($AM$1006:BI1006),$AM$1006:$BM$1006,0)))),"Fix")))</f>
        <v xml:space="preserve"> </v>
      </c>
      <c r="Y975" s="4" t="str">
        <f ca="1">IF(OR(INDEX($AG$2:$AG$1001,MATCH(ROWS($AF$2:AF975),$AF$2:$AF$1001,0),1)&gt;=100000,INDEX($AM$1005:$BM$1005,1,MATCH(COLUMNS($AM$1006:BJ1006),$AM$1006:$BM$1006,0))&gt;=100000), " ",IF(INDEX($AM$2:$BM$1001,MATCH(ROWS($AF$2:AF975),$AF$2:$AF$1001,0),MATCH(COLUMNS($AM$1006:BJ1006),$AM$1006:$BM$1006,0)), HYPERLINK("#",""), HYPERLINK(CONCATENATE("#metadata!", ADDRESS(INDEX($AH$2:$AH$1001,MATCH(ROWS($AF$2:AF975),$AF$2:$AF$1001,0),0), INDEX($AM$1004:$BM$1004,1,MATCH(COLUMNS($AM$1006:BJ1006),$AM$1006:$BM$1006,0)))),"Fix")))</f>
        <v xml:space="preserve"> </v>
      </c>
      <c r="Z975" s="4" t="str">
        <f ca="1">IF(OR(INDEX($AG$2:$AG$1001,MATCH(ROWS($AF$2:AF975),$AF$2:$AF$1001,0),1)&gt;=100000,INDEX($AM$1005:$BM$1005,1,MATCH(COLUMNS($AM$1006:BK1006),$AM$1006:$BM$1006,0))&gt;=100000), " ",IF(INDEX($AM$2:$BM$1001,MATCH(ROWS($AF$2:AF975),$AF$2:$AF$1001,0),MATCH(COLUMNS($AM$1006:BK1006),$AM$1006:$BM$1006,0)), HYPERLINK("#",""), HYPERLINK(CONCATENATE("#metadata!", ADDRESS(INDEX($AH$2:$AH$1001,MATCH(ROWS($AF$2:AF975),$AF$2:$AF$1001,0),0), INDEX($AM$1004:$BM$1004,1,MATCH(COLUMNS($AM$1006:BK1006),$AM$1006:$BM$1006,0)))),"Fix")))</f>
        <v xml:space="preserve"> </v>
      </c>
      <c r="AA975" s="4" t="str">
        <f ca="1">IF(OR(INDEX($AG$2:$AG$1001,MATCH(ROWS($AF$2:AF975),$AF$2:$AF$1001,0),1)&gt;=100000,INDEX($AM$1005:$BM$1005,1,MATCH(COLUMNS($AM$1006:BL1006),$AM$1006:$BM$1006,0))&gt;=100000), " ",IF(INDEX($AM$2:$BM$1001,MATCH(ROWS($AF$2:AF975),$AF$2:$AF$1001,0),MATCH(COLUMNS($AM$1006:BL1006),$AM$1006:$BM$1006,0)), HYPERLINK("#",""), HYPERLINK(CONCATENATE("#metadata!", ADDRESS(INDEX($AH$2:$AH$1001,MATCH(ROWS($AF$2:AF975),$AF$2:$AF$1001,0),0), INDEX($AM$1004:$BM$1004,1,MATCH(COLUMNS($AM$1006:BL1006),$AM$1006:$BM$1006,0)))),"Fix")))</f>
        <v xml:space="preserve"> </v>
      </c>
      <c r="AB975" s="4" t="str">
        <f ca="1">IF(OR(INDEX($AG$2:$AG$1001,MATCH(ROWS($AF$2:AF975),$AF$2:$AF$1001,0),1)&gt;=100000,INDEX($AM$1005:$BM$1005,1,MATCH(COLUMNS($AM$1006:BM1006),$AM$1006:$BM$1006,0))&gt;=100000), " ",IF(INDEX($AM$2:$BM$1001,MATCH(ROWS($AF$2:AF975),$AF$2:$AF$1001,0),MATCH(COLUMNS($AM$1006:BM1006),$AM$1006:$BM$1006,0)), HYPERLINK("#",""), HYPERLINK(CONCATENATE("#metadata!", ADDRESS(INDEX($AH$2:$AH$1001,MATCH(ROWS($AF$2:AF975),$AF$2:$AF$1001,0),0), INDEX($AM$1004:$BM$1004,1,MATCH(COLUMNS($AM$1006:BM1006),$AM$1006:$BM$1006,0)))),"Fix")))</f>
        <v xml:space="preserve"> </v>
      </c>
      <c r="AF975">
        <v>974</v>
      </c>
      <c r="AG975">
        <v>100975</v>
      </c>
      <c r="AH975">
        <v>975</v>
      </c>
      <c r="AI975" t="b">
        <f t="shared" si="15"/>
        <v>1</v>
      </c>
      <c r="AJ975" t="b">
        <f>COUNTBLANK(metadata!B975:AB975)=COLUMNS(metadata!B975:AB975)</f>
        <v>1</v>
      </c>
      <c r="AK975" t="str">
        <v/>
      </c>
      <c r="AM975" t="b">
        <f ca="1">AND(IF(metadata!B975="",FALSE,TRUE),COUNTIF(metadata!B:B, metadata!B975) = 1,NOT(ISERROR(SUMPRODUCT(SEARCH(MID(metadata!B975,ROW(INDIRECT("1:"&amp;LEN(metadata!B975))), 1),"0123456789abcdefghijklmnopqrstuvwxyzABCDEFGHIJKLMNOPQRSTUVWXYZ.")))))</f>
        <v>0</v>
      </c>
      <c r="AN975" t="b">
        <f ca="1">OR(AND(IF(metadata!C975="",FALSE,TRUE),OR(EXACT(metadata!C975,"missing: not collected"),EXACT(metadata!C975,"missing: not provided"),EXACT(metadata!C975,"missing: restricted access"))),AND(IF(metadata!C975="",FALSE,TRUE),AND(AND(IFERROR(INT(LEFT(metadata!C975,4))&gt;1900,FALSE),IFERROR(INT(LEFT(metadata!C975,4))&lt;=YEAR(NOW()),FALSE)), OR(MID(metadata!C975,5,1)="", AND(AND(MID(metadata!C975,5,1)="-",IFERROR(INT(MID(metadata!C975,6,1))&gt;=0,FALSE),IFERROR(INT(MID(metadata!C975,6,1))&lt;=1,FALSE),NOT(MID(metadata!C975,7,1)=""),IFERROR(INT(MID(metadata!C975,6,2))&gt;=1,FALSE),IFERROR(INT(MID(metadata!C975,6,2))&lt;=12,FALSE)), OR(MID(metadata!C975,8,1)="", AND(AND(MID(metadata!C975,8,1)="-",IFERROR(INT(MID(metadata!C975,9,1))&gt;=0,FALSE),IFERROR(INT(MID(metadata!C975,9,1))&lt;=3,FALSE),NOT(MID(metadata!C975,10,1)=""),IFERROR(INT(MID(metadata!C975,9,2))&gt;=1,FALSE),IFERROR(INT(MID(metadata!C975,9,2))&lt;=31,FALSE)), OR(MID(metadata!C975,11,1)="", AND(AND(MID(metadata!C975,11,1)=" ",IFERROR(INT(MID(metadata!C975,12,1))&gt;=0,FALSE),IFERROR(INT(MID(metadata!C975,12,1))&lt;=2,FALSE),NOT(MID(metadata!C975,13,1)=""),IFERROR(INT(MID(metadata!C975,12,2))&gt;=0,FALSE),IFERROR(INT(MID(metadata!C975,12,2))&lt;=23,FALSE)), OR(MID(metadata!C975,14,1)="", AND(AND(MID(metadata!C975,14,1)=":",IFERROR(INT(MID(metadata!C975,15,1))&gt;=0,FALSE),IFERROR(INT(MID(metadata!C975,15,1))&lt;=5,FALSE),NOT(MID(metadata!C975,16,1)=""),IFERROR(INT(MID(metadata!C975,15,2))&gt;=0,FALSE),IFERROR(INT(MID(metadata!C975,15,2))&lt;=59,FALSE)), OR(MID(metadata!C975,17,1)="", AND(AND(MID(metadata!C975,17,1)=":",IFERROR(INT(MID(metadata!C975,18,1))&gt;=0,FALSE),IFERROR(INT(MID(metadata!C975,18,1))&lt;=5,FALSE),NOT(MID(metadata!C975,19,1)=""),IFERROR(INT(MID(metadata!C975,18,2))&gt;=0,FALSE),IFERROR(INT(MID(metadata!C975,18,2))&lt;=59,FALSE)), LEN(metadata!C975)&lt;=19)))))))))))))</f>
        <v>0</v>
      </c>
      <c r="AO975" t="b">
        <f>AND(IF(metadata!D975="",FALSE,TRUE),EXACT(metadata!D975,"Not applicable"))</f>
        <v>0</v>
      </c>
      <c r="AP975" t="b">
        <f>IF(metadata!E975="",FALSE,TRUE)</f>
        <v>0</v>
      </c>
      <c r="AQ975" t="b">
        <f>OR(AND(IF(metadata!F975="",FALSE,TRUE),OR(EXACT(metadata!F975,"missing: not collected"),EXACT(metadata!F975,"missing: not provided"))),AND(IF(metadata!F975="",FALSE,TRUE),OR(EXACT(metadata!F975,"TRUE"),EXACT(metadata!F975,"FALSE"))))</f>
        <v>0</v>
      </c>
      <c r="AR975" t="b">
        <f>OR(AND(IF(metadata!G975="",FALSE,TRUE),OR(EXACT(metadata!G975,"missing: not collected"),EXACT(metadata!G975,"missing: not provided"),EXACT(metadata!G975,"missing: restricted access"))),AND(IF(metadata!G975="",FALSE,ISNUMBER(VALUE(metadata!G975))),metadata!G975&gt;=-413))</f>
        <v>0</v>
      </c>
      <c r="AS975" t="b">
        <f>AND(IF(metadata!H975="",FALSE,TRUE),EXACT(metadata!H975,"meters"))</f>
        <v>0</v>
      </c>
      <c r="AT975" t="b">
        <f>AND(IF(metadata!I975="",FALSE,TRUE),OR(EXACT(metadata!I975,"Host-associated"),EXACT(metadata!I975,"Free-living")))</f>
        <v>0</v>
      </c>
      <c r="AU975" t="b">
        <f>AND(IF(metadata!J975="",FALSE,TRUE),OR(EXACT(metadata!J975,"Animal"),EXACT(metadata!J975,"Fungus"),EXACT(metadata!J975,"Plant"),EXACT(metadata!J975,"Saline"),EXACT(metadata!J975,"Non-saline")))</f>
        <v>0</v>
      </c>
      <c r="AV975" t="b">
        <f>AND(IF(metadata!K975="",FALSE,TRUE),OR(EXACT(metadata!K975,"Plant secretion"),EXACT(metadata!K975,"Plant rhizosphere"),EXACT(metadata!K975,"Plant surface"),EXACT(metadata!K975,"Plant corpus"),EXACT(metadata!K975,"Fungus surface"),EXACT(metadata!K975,"Fungus corpus"),EXACT(metadata!K975,"Animal surface"),EXACT(metadata!K975,"Animal proximal gut"),EXACT(metadata!K975,"Animal corpus"),EXACT(metadata!K975,"Animal distal gut"),EXACT(metadata!K975,"Animal secretion"),EXACT(metadata!K975,"Sub-surface (non-saline)"),EXACT(metadata!K975,"Surface (non-saline)"),EXACT(metadata!K975,"Water (non-saline)"),EXACT(metadata!K975,"Soil (non-saline)"),EXACT(metadata!K975,"Aerosol (non-saline)"),EXACT(metadata!K975,"Sediment (non-saline)"),EXACT(metadata!K975,"Surface (saline)"),EXACT(metadata!K975,"Water (saline)"),EXACT(metadata!K975,"Hypersaline (saline)"),EXACT(metadata!K975,"Aerosol (saline)"),EXACT(metadata!K975,"Sediment (saline)")))</f>
        <v>0</v>
      </c>
      <c r="AW975" t="b">
        <f>IF(metadata!L975="",FALSE,TRUE)</f>
        <v>0</v>
      </c>
      <c r="AX975" t="b">
        <f>IF(metadata!M975="",FALSE,TRUE)</f>
        <v>0</v>
      </c>
      <c r="AY975" t="b">
        <f>IF(metadata!N975="",FALSE,TRUE)</f>
        <v>0</v>
      </c>
      <c r="AZ975" t="b">
        <f>OR(AND(IF(metadata!O975="",FALSE,TRUE),OR(EXACT(metadata!O975,"missing: not collected"),EXACT(metadata!O975,"missing: not provided"),EXACT(metadata!O975,"missing: restricted access"))),AND(IF(metadata!O975="",FALSE,TRUE),OR(EXACT(metadata!O975,"air"),EXACT(metadata!O975,"built environment"),EXACT(metadata!O975,"host-associated"),EXACT(metadata!O975,"human-associated"),EXACT(metadata!O975,"human-skin"),EXACT(metadata!O975,"human-oral"),EXACT(metadata!O975,"human-gut"),EXACT(metadata!O975,"human-vaginal"),EXACT(metadata!O975,"microbial mat/biofilm"),EXACT(metadata!O975,"misc environment"),EXACT(metadata!O975,"plant-associated"),EXACT(metadata!O975,"sediment"),EXACT(metadata!O975,"soil"),EXACT(metadata!O975,"wastewater/sludge"),EXACT(metadata!O975,"water"))))</f>
        <v>0</v>
      </c>
      <c r="BA975" t="b">
        <f>IF(metadata!P975="",FALSE,TRUE)</f>
        <v>0</v>
      </c>
      <c r="BB975" t="b">
        <f>IF(metadata!Q975="",FALSE,TRUE)</f>
        <v>0</v>
      </c>
      <c r="BC975" t="b">
        <f>OR(AND(IF(metadata!R975="",FALSE,TRUE),OR(EXACT(metadata!R975,"missing: not collected"),EXACT(metadata!R975,"missing: not provided"),EXACT(metadata!R975,"missing: restricted access"))),AND(IF(metadata!R975="",FALSE,ISNUMBER(VALUE(metadata!R975))),metadata!R975&gt;=-90,metadata!R975&lt;=90))</f>
        <v>0</v>
      </c>
      <c r="BD975" t="b">
        <f>AND(IF(metadata!S975="",FALSE,TRUE),EXACT(metadata!S975,"Decimal degrees"))</f>
        <v>0</v>
      </c>
      <c r="BE975" t="b">
        <f>OR(AND(IF(metadata!T975="",FALSE,TRUE),OR(EXACT(metadata!T975,"missing: not collected"),EXACT(metadata!T975,"missing: not provided"),EXACT(metadata!T975,"missing: restricted access"))),AND(IF(metadata!T975="",FALSE,ISNUMBER(VALUE(metadata!T975))),metadata!T975&gt;=-180,metadata!T975&lt;=180))</f>
        <v>0</v>
      </c>
      <c r="BF975" t="b">
        <f>AND(IF(metadata!U975="",FALSE,TRUE),EXACT(metadata!U975,"Decimal degrees"))</f>
        <v>0</v>
      </c>
      <c r="BG975" t="b">
        <f>IF(metadata!V975="",FALSE,TRUE)</f>
        <v>0</v>
      </c>
      <c r="BH975" t="b">
        <f>OR(AND(IF(metadata!W975="",FALSE,TRUE),OR(EXACT(metadata!W975,"missing: not collected"),EXACT(metadata!W975,"missing: not provided"),EXACT(metadata!W975,"missing: restricted access"))),AND(IF(metadata!W975="",FALSE,TRUE),OR(EXACT(metadata!W975,"TRUE"),EXACT(metadata!W975,"FALSE"))))</f>
        <v>0</v>
      </c>
      <c r="BI975" t="b">
        <f>AND(IF(metadata!X975="",FALSE,TRUE),EXACT(metadata!X975,"other"))</f>
        <v>0</v>
      </c>
      <c r="BJ975" t="b">
        <f>IF(metadata!Y975="",FALSE,TRUE)</f>
        <v>0</v>
      </c>
      <c r="BK975" t="b">
        <f>OR(AND(IF(metadata!Z975="",FALSE,TRUE),OR(EXACT(metadata!Z975,"missing: not collected"),EXACT(metadata!Z975,"missing: not provided"))),AND(IF(metadata!Z975="",FALSE,IF(ISERROR(INT(metadata!Z975)),FALSE,INT(metadata!Z975)=metadata!Z975)),metadata!Z975&gt;0))</f>
        <v>0</v>
      </c>
      <c r="BL975" t="b">
        <f>AND(IF(metadata!AA975="",FALSE,TRUE),EXACT(metadata!AA975,"Not applicable"))</f>
        <v>0</v>
      </c>
      <c r="BM975" t="b">
        <f>IF(metadata!AB975="",FALSE,TRUE)</f>
        <v>0</v>
      </c>
    </row>
    <row r="976" spans="1:65" x14ac:dyDescent="0.2">
      <c r="A976" s="5" t="str">
        <f ca="1">IF(B976=" "," ",HYPERLINK(CONCATENATE("#metadata!",ADDRESS(INDEX($AH$2:$AH$1001,MATCH(ROWS($AF$2:AF976),$AF$2:$AF$1001,0),0),1)),INDEX($AK$2:$AK$1001,MATCH(ROWS($AF$2:AF976),$AF$2:$AF$1001,0),0)))</f>
        <v xml:space="preserve"> </v>
      </c>
      <c r="B976" s="4" t="str">
        <f ca="1">IF(OR(INDEX($AG$2:$AG$1001,MATCH(ROWS($AF$2:AF976),$AF$2:$AF$1001,0),1)&gt;=100000,INDEX($AM$1005:$BM$1005,1,MATCH(COLUMNS($AM$1006:AM1006),$AM$1006:$BM$1006,0))&gt;=100000), " ",IF(INDEX($AM$2:$BM$1001,MATCH(ROWS($AF$2:AF976),$AF$2:$AF$1001,0),MATCH(COLUMNS($AM$1006:AM1006),$AM$1006:$BM$1006,0)), HYPERLINK("#",""), HYPERLINK(CONCATENATE("#metadata!", ADDRESS(INDEX($AH$2:$AH$1001,MATCH(ROWS($AF$2:AF976),$AF$2:$AF$1001,0),0), INDEX($AM$1004:$BM$1004,1,MATCH(COLUMNS($AM$1006:AM1006),$AM$1006:$BM$1006,0)))),"Fix")))</f>
        <v xml:space="preserve"> </v>
      </c>
      <c r="C976" s="4" t="str">
        <f ca="1">IF(OR(INDEX($AG$2:$AG$1001,MATCH(ROWS($AF$2:AF976),$AF$2:$AF$1001,0),1)&gt;=100000,INDEX($AM$1005:$BM$1005,1,MATCH(COLUMNS($AM$1006:AN1006),$AM$1006:$BM$1006,0))&gt;=100000), " ",IF(INDEX($AM$2:$BM$1001,MATCH(ROWS($AF$2:AF976),$AF$2:$AF$1001,0),MATCH(COLUMNS($AM$1006:AN1006),$AM$1006:$BM$1006,0)), HYPERLINK("#",""), HYPERLINK(CONCATENATE("#metadata!", ADDRESS(INDEX($AH$2:$AH$1001,MATCH(ROWS($AF$2:AF976),$AF$2:$AF$1001,0),0), INDEX($AM$1004:$BM$1004,1,MATCH(COLUMNS($AM$1006:AN1006),$AM$1006:$BM$1006,0)))),"Fix")))</f>
        <v xml:space="preserve"> </v>
      </c>
      <c r="D976" s="4" t="str">
        <f ca="1">IF(OR(INDEX($AG$2:$AG$1001,MATCH(ROWS($AF$2:AF976),$AF$2:$AF$1001,0),1)&gt;=100000,INDEX($AM$1005:$BM$1005,1,MATCH(COLUMNS($AM$1006:AO1006),$AM$1006:$BM$1006,0))&gt;=100000), " ",IF(INDEX($AM$2:$BM$1001,MATCH(ROWS($AF$2:AF976),$AF$2:$AF$1001,0),MATCH(COLUMNS($AM$1006:AO1006),$AM$1006:$BM$1006,0)), HYPERLINK("#",""), HYPERLINK(CONCATENATE("#metadata!", ADDRESS(INDEX($AH$2:$AH$1001,MATCH(ROWS($AF$2:AF976),$AF$2:$AF$1001,0),0), INDEX($AM$1004:$BM$1004,1,MATCH(COLUMNS($AM$1006:AO1006),$AM$1006:$BM$1006,0)))),"Fix")))</f>
        <v xml:space="preserve"> </v>
      </c>
      <c r="E976" s="4" t="str">
        <f ca="1">IF(OR(INDEX($AG$2:$AG$1001,MATCH(ROWS($AF$2:AF976),$AF$2:$AF$1001,0),1)&gt;=100000,INDEX($AM$1005:$BM$1005,1,MATCH(COLUMNS($AM$1006:AP1006),$AM$1006:$BM$1006,0))&gt;=100000), " ",IF(INDEX($AM$2:$BM$1001,MATCH(ROWS($AF$2:AF976),$AF$2:$AF$1001,0),MATCH(COLUMNS($AM$1006:AP1006),$AM$1006:$BM$1006,0)), HYPERLINK("#",""), HYPERLINK(CONCATENATE("#metadata!", ADDRESS(INDEX($AH$2:$AH$1001,MATCH(ROWS($AF$2:AF976),$AF$2:$AF$1001,0),0), INDEX($AM$1004:$BM$1004,1,MATCH(COLUMNS($AM$1006:AP1006),$AM$1006:$BM$1006,0)))),"Fix")))</f>
        <v xml:space="preserve"> </v>
      </c>
      <c r="F976" s="4" t="str">
        <f ca="1">IF(OR(INDEX($AG$2:$AG$1001,MATCH(ROWS($AF$2:AF976),$AF$2:$AF$1001,0),1)&gt;=100000,INDEX($AM$1005:$BM$1005,1,MATCH(COLUMNS($AM$1006:AQ1006),$AM$1006:$BM$1006,0))&gt;=100000), " ",IF(INDEX($AM$2:$BM$1001,MATCH(ROWS($AF$2:AF976),$AF$2:$AF$1001,0),MATCH(COLUMNS($AM$1006:AQ1006),$AM$1006:$BM$1006,0)), HYPERLINK("#",""), HYPERLINK(CONCATENATE("#metadata!", ADDRESS(INDEX($AH$2:$AH$1001,MATCH(ROWS($AF$2:AF976),$AF$2:$AF$1001,0),0), INDEX($AM$1004:$BM$1004,1,MATCH(COLUMNS($AM$1006:AQ1006),$AM$1006:$BM$1006,0)))),"Fix")))</f>
        <v xml:space="preserve"> </v>
      </c>
      <c r="G976" s="4" t="str">
        <f ca="1">IF(OR(INDEX($AG$2:$AG$1001,MATCH(ROWS($AF$2:AF976),$AF$2:$AF$1001,0),1)&gt;=100000,INDEX($AM$1005:$BM$1005,1,MATCH(COLUMNS($AM$1006:AR1006),$AM$1006:$BM$1006,0))&gt;=100000), " ",IF(INDEX($AM$2:$BM$1001,MATCH(ROWS($AF$2:AF976),$AF$2:$AF$1001,0),MATCH(COLUMNS($AM$1006:AR1006),$AM$1006:$BM$1006,0)), HYPERLINK("#",""), HYPERLINK(CONCATENATE("#metadata!", ADDRESS(INDEX($AH$2:$AH$1001,MATCH(ROWS($AF$2:AF976),$AF$2:$AF$1001,0),0), INDEX($AM$1004:$BM$1004,1,MATCH(COLUMNS($AM$1006:AR1006),$AM$1006:$BM$1006,0)))),"Fix")))</f>
        <v xml:space="preserve"> </v>
      </c>
      <c r="H976" s="4" t="str">
        <f ca="1">IF(OR(INDEX($AG$2:$AG$1001,MATCH(ROWS($AF$2:AF976),$AF$2:$AF$1001,0),1)&gt;=100000,INDEX($AM$1005:$BM$1005,1,MATCH(COLUMNS($AM$1006:AS1006),$AM$1006:$BM$1006,0))&gt;=100000), " ",IF(INDEX($AM$2:$BM$1001,MATCH(ROWS($AF$2:AF976),$AF$2:$AF$1001,0),MATCH(COLUMNS($AM$1006:AS1006),$AM$1006:$BM$1006,0)), HYPERLINK("#",""), HYPERLINK(CONCATENATE("#metadata!", ADDRESS(INDEX($AH$2:$AH$1001,MATCH(ROWS($AF$2:AF976),$AF$2:$AF$1001,0),0), INDEX($AM$1004:$BM$1004,1,MATCH(COLUMNS($AM$1006:AS1006),$AM$1006:$BM$1006,0)))),"Fix")))</f>
        <v xml:space="preserve"> </v>
      </c>
      <c r="I976" s="4" t="str">
        <f ca="1">IF(OR(INDEX($AG$2:$AG$1001,MATCH(ROWS($AF$2:AF976),$AF$2:$AF$1001,0),1)&gt;=100000,INDEX($AM$1005:$BM$1005,1,MATCH(COLUMNS($AM$1006:AT1006),$AM$1006:$BM$1006,0))&gt;=100000), " ",IF(INDEX($AM$2:$BM$1001,MATCH(ROWS($AF$2:AF976),$AF$2:$AF$1001,0),MATCH(COLUMNS($AM$1006:AT1006),$AM$1006:$BM$1006,0)), HYPERLINK("#",""), HYPERLINK(CONCATENATE("#metadata!", ADDRESS(INDEX($AH$2:$AH$1001,MATCH(ROWS($AF$2:AF976),$AF$2:$AF$1001,0),0), INDEX($AM$1004:$BM$1004,1,MATCH(COLUMNS($AM$1006:AT1006),$AM$1006:$BM$1006,0)))),"Fix")))</f>
        <v xml:space="preserve"> </v>
      </c>
      <c r="J976" s="4" t="str">
        <f ca="1">IF(OR(INDEX($AG$2:$AG$1001,MATCH(ROWS($AF$2:AF976),$AF$2:$AF$1001,0),1)&gt;=100000,INDEX($AM$1005:$BM$1005,1,MATCH(COLUMNS($AM$1006:AU1006),$AM$1006:$BM$1006,0))&gt;=100000), " ",IF(INDEX($AM$2:$BM$1001,MATCH(ROWS($AF$2:AF976),$AF$2:$AF$1001,0),MATCH(COLUMNS($AM$1006:AU1006),$AM$1006:$BM$1006,0)), HYPERLINK("#",""), HYPERLINK(CONCATENATE("#metadata!", ADDRESS(INDEX($AH$2:$AH$1001,MATCH(ROWS($AF$2:AF976),$AF$2:$AF$1001,0),0), INDEX($AM$1004:$BM$1004,1,MATCH(COLUMNS($AM$1006:AU1006),$AM$1006:$BM$1006,0)))),"Fix")))</f>
        <v xml:space="preserve"> </v>
      </c>
      <c r="K976" s="4" t="str">
        <f ca="1">IF(OR(INDEX($AG$2:$AG$1001,MATCH(ROWS($AF$2:AF976),$AF$2:$AF$1001,0),1)&gt;=100000,INDEX($AM$1005:$BM$1005,1,MATCH(COLUMNS($AM$1006:AV1006),$AM$1006:$BM$1006,0))&gt;=100000), " ",IF(INDEX($AM$2:$BM$1001,MATCH(ROWS($AF$2:AF976),$AF$2:$AF$1001,0),MATCH(COLUMNS($AM$1006:AV1006),$AM$1006:$BM$1006,0)), HYPERLINK("#",""), HYPERLINK(CONCATENATE("#metadata!", ADDRESS(INDEX($AH$2:$AH$1001,MATCH(ROWS($AF$2:AF976),$AF$2:$AF$1001,0),0), INDEX($AM$1004:$BM$1004,1,MATCH(COLUMNS($AM$1006:AV1006),$AM$1006:$BM$1006,0)))),"Fix")))</f>
        <v xml:space="preserve"> </v>
      </c>
      <c r="L976" s="4" t="str">
        <f ca="1">IF(OR(INDEX($AG$2:$AG$1001,MATCH(ROWS($AF$2:AF976),$AF$2:$AF$1001,0),1)&gt;=100000,INDEX($AM$1005:$BM$1005,1,MATCH(COLUMNS($AM$1006:AW1006),$AM$1006:$BM$1006,0))&gt;=100000), " ",IF(INDEX($AM$2:$BM$1001,MATCH(ROWS($AF$2:AF976),$AF$2:$AF$1001,0),MATCH(COLUMNS($AM$1006:AW1006),$AM$1006:$BM$1006,0)), HYPERLINK("#",""), HYPERLINK(CONCATENATE("#metadata!", ADDRESS(INDEX($AH$2:$AH$1001,MATCH(ROWS($AF$2:AF976),$AF$2:$AF$1001,0),0), INDEX($AM$1004:$BM$1004,1,MATCH(COLUMNS($AM$1006:AW1006),$AM$1006:$BM$1006,0)))),"Fix")))</f>
        <v xml:space="preserve"> </v>
      </c>
      <c r="M976" s="4" t="str">
        <f ca="1">IF(OR(INDEX($AG$2:$AG$1001,MATCH(ROWS($AF$2:AF976),$AF$2:$AF$1001,0),1)&gt;=100000,INDEX($AM$1005:$BM$1005,1,MATCH(COLUMNS($AM$1006:AX1006),$AM$1006:$BM$1006,0))&gt;=100000), " ",IF(INDEX($AM$2:$BM$1001,MATCH(ROWS($AF$2:AF976),$AF$2:$AF$1001,0),MATCH(COLUMNS($AM$1006:AX1006),$AM$1006:$BM$1006,0)), HYPERLINK("#",""), HYPERLINK(CONCATENATE("#metadata!", ADDRESS(INDEX($AH$2:$AH$1001,MATCH(ROWS($AF$2:AF976),$AF$2:$AF$1001,0),0), INDEX($AM$1004:$BM$1004,1,MATCH(COLUMNS($AM$1006:AX1006),$AM$1006:$BM$1006,0)))),"Fix")))</f>
        <v xml:space="preserve"> </v>
      </c>
      <c r="N976" s="4" t="str">
        <f ca="1">IF(OR(INDEX($AG$2:$AG$1001,MATCH(ROWS($AF$2:AF976),$AF$2:$AF$1001,0),1)&gt;=100000,INDEX($AM$1005:$BM$1005,1,MATCH(COLUMNS($AM$1006:AY1006),$AM$1006:$BM$1006,0))&gt;=100000), " ",IF(INDEX($AM$2:$BM$1001,MATCH(ROWS($AF$2:AF976),$AF$2:$AF$1001,0),MATCH(COLUMNS($AM$1006:AY1006),$AM$1006:$BM$1006,0)), HYPERLINK("#",""), HYPERLINK(CONCATENATE("#metadata!", ADDRESS(INDEX($AH$2:$AH$1001,MATCH(ROWS($AF$2:AF976),$AF$2:$AF$1001,0),0), INDEX($AM$1004:$BM$1004,1,MATCH(COLUMNS($AM$1006:AY1006),$AM$1006:$BM$1006,0)))),"Fix")))</f>
        <v xml:space="preserve"> </v>
      </c>
      <c r="O976" s="4" t="str">
        <f ca="1">IF(OR(INDEX($AG$2:$AG$1001,MATCH(ROWS($AF$2:AF976),$AF$2:$AF$1001,0),1)&gt;=100000,INDEX($AM$1005:$BM$1005,1,MATCH(COLUMNS($AM$1006:AZ1006),$AM$1006:$BM$1006,0))&gt;=100000), " ",IF(INDEX($AM$2:$BM$1001,MATCH(ROWS($AF$2:AF976),$AF$2:$AF$1001,0),MATCH(COLUMNS($AM$1006:AZ1006),$AM$1006:$BM$1006,0)), HYPERLINK("#",""), HYPERLINK(CONCATENATE("#metadata!", ADDRESS(INDEX($AH$2:$AH$1001,MATCH(ROWS($AF$2:AF976),$AF$2:$AF$1001,0),0), INDEX($AM$1004:$BM$1004,1,MATCH(COLUMNS($AM$1006:AZ1006),$AM$1006:$BM$1006,0)))),"Fix")))</f>
        <v xml:space="preserve"> </v>
      </c>
      <c r="P976" s="4" t="str">
        <f ca="1">IF(OR(INDEX($AG$2:$AG$1001,MATCH(ROWS($AF$2:AF976),$AF$2:$AF$1001,0),1)&gt;=100000,INDEX($AM$1005:$BM$1005,1,MATCH(COLUMNS($AM$1006:BA1006),$AM$1006:$BM$1006,0))&gt;=100000), " ",IF(INDEX($AM$2:$BM$1001,MATCH(ROWS($AF$2:AF976),$AF$2:$AF$1001,0),MATCH(COLUMNS($AM$1006:BA1006),$AM$1006:$BM$1006,0)), HYPERLINK("#",""), HYPERLINK(CONCATENATE("#metadata!", ADDRESS(INDEX($AH$2:$AH$1001,MATCH(ROWS($AF$2:AF976),$AF$2:$AF$1001,0),0), INDEX($AM$1004:$BM$1004,1,MATCH(COLUMNS($AM$1006:BA1006),$AM$1006:$BM$1006,0)))),"Fix")))</f>
        <v xml:space="preserve"> </v>
      </c>
      <c r="Q976" s="4" t="str">
        <f ca="1">IF(OR(INDEX($AG$2:$AG$1001,MATCH(ROWS($AF$2:AF976),$AF$2:$AF$1001,0),1)&gt;=100000,INDEX($AM$1005:$BM$1005,1,MATCH(COLUMNS($AM$1006:BB1006),$AM$1006:$BM$1006,0))&gt;=100000), " ",IF(INDEX($AM$2:$BM$1001,MATCH(ROWS($AF$2:AF976),$AF$2:$AF$1001,0),MATCH(COLUMNS($AM$1006:BB1006),$AM$1006:$BM$1006,0)), HYPERLINK("#",""), HYPERLINK(CONCATENATE("#metadata!", ADDRESS(INDEX($AH$2:$AH$1001,MATCH(ROWS($AF$2:AF976),$AF$2:$AF$1001,0),0), INDEX($AM$1004:$BM$1004,1,MATCH(COLUMNS($AM$1006:BB1006),$AM$1006:$BM$1006,0)))),"Fix")))</f>
        <v xml:space="preserve"> </v>
      </c>
      <c r="R976" s="4" t="str">
        <f ca="1">IF(OR(INDEX($AG$2:$AG$1001,MATCH(ROWS($AF$2:AF976),$AF$2:$AF$1001,0),1)&gt;=100000,INDEX($AM$1005:$BM$1005,1,MATCH(COLUMNS($AM$1006:BC1006),$AM$1006:$BM$1006,0))&gt;=100000), " ",IF(INDEX($AM$2:$BM$1001,MATCH(ROWS($AF$2:AF976),$AF$2:$AF$1001,0),MATCH(COLUMNS($AM$1006:BC1006),$AM$1006:$BM$1006,0)), HYPERLINK("#",""), HYPERLINK(CONCATENATE("#metadata!", ADDRESS(INDEX($AH$2:$AH$1001,MATCH(ROWS($AF$2:AF976),$AF$2:$AF$1001,0),0), INDEX($AM$1004:$BM$1004,1,MATCH(COLUMNS($AM$1006:BC1006),$AM$1006:$BM$1006,0)))),"Fix")))</f>
        <v xml:space="preserve"> </v>
      </c>
      <c r="S976" s="4" t="str">
        <f ca="1">IF(OR(INDEX($AG$2:$AG$1001,MATCH(ROWS($AF$2:AF976),$AF$2:$AF$1001,0),1)&gt;=100000,INDEX($AM$1005:$BM$1005,1,MATCH(COLUMNS($AM$1006:BD1006),$AM$1006:$BM$1006,0))&gt;=100000), " ",IF(INDEX($AM$2:$BM$1001,MATCH(ROWS($AF$2:AF976),$AF$2:$AF$1001,0),MATCH(COLUMNS($AM$1006:BD1006),$AM$1006:$BM$1006,0)), HYPERLINK("#",""), HYPERLINK(CONCATENATE("#metadata!", ADDRESS(INDEX($AH$2:$AH$1001,MATCH(ROWS($AF$2:AF976),$AF$2:$AF$1001,0),0), INDEX($AM$1004:$BM$1004,1,MATCH(COLUMNS($AM$1006:BD1006),$AM$1006:$BM$1006,0)))),"Fix")))</f>
        <v xml:space="preserve"> </v>
      </c>
      <c r="T976" s="4" t="str">
        <f ca="1">IF(OR(INDEX($AG$2:$AG$1001,MATCH(ROWS($AF$2:AF976),$AF$2:$AF$1001,0),1)&gt;=100000,INDEX($AM$1005:$BM$1005,1,MATCH(COLUMNS($AM$1006:BE1006),$AM$1006:$BM$1006,0))&gt;=100000), " ",IF(INDEX($AM$2:$BM$1001,MATCH(ROWS($AF$2:AF976),$AF$2:$AF$1001,0),MATCH(COLUMNS($AM$1006:BE1006),$AM$1006:$BM$1006,0)), HYPERLINK("#",""), HYPERLINK(CONCATENATE("#metadata!", ADDRESS(INDEX($AH$2:$AH$1001,MATCH(ROWS($AF$2:AF976),$AF$2:$AF$1001,0),0), INDEX($AM$1004:$BM$1004,1,MATCH(COLUMNS($AM$1006:BE1006),$AM$1006:$BM$1006,0)))),"Fix")))</f>
        <v xml:space="preserve"> </v>
      </c>
      <c r="U976" s="4" t="str">
        <f ca="1">IF(OR(INDEX($AG$2:$AG$1001,MATCH(ROWS($AF$2:AF976),$AF$2:$AF$1001,0),1)&gt;=100000,INDEX($AM$1005:$BM$1005,1,MATCH(COLUMNS($AM$1006:BF1006),$AM$1006:$BM$1006,0))&gt;=100000), " ",IF(INDEX($AM$2:$BM$1001,MATCH(ROWS($AF$2:AF976),$AF$2:$AF$1001,0),MATCH(COLUMNS($AM$1006:BF1006),$AM$1006:$BM$1006,0)), HYPERLINK("#",""), HYPERLINK(CONCATENATE("#metadata!", ADDRESS(INDEX($AH$2:$AH$1001,MATCH(ROWS($AF$2:AF976),$AF$2:$AF$1001,0),0), INDEX($AM$1004:$BM$1004,1,MATCH(COLUMNS($AM$1006:BF1006),$AM$1006:$BM$1006,0)))),"Fix")))</f>
        <v xml:space="preserve"> </v>
      </c>
      <c r="V976" s="4" t="str">
        <f ca="1">IF(OR(INDEX($AG$2:$AG$1001,MATCH(ROWS($AF$2:AF976),$AF$2:$AF$1001,0),1)&gt;=100000,INDEX($AM$1005:$BM$1005,1,MATCH(COLUMNS($AM$1006:BG1006),$AM$1006:$BM$1006,0))&gt;=100000), " ",IF(INDEX($AM$2:$BM$1001,MATCH(ROWS($AF$2:AF976),$AF$2:$AF$1001,0),MATCH(COLUMNS($AM$1006:BG1006),$AM$1006:$BM$1006,0)), HYPERLINK("#",""), HYPERLINK(CONCATENATE("#metadata!", ADDRESS(INDEX($AH$2:$AH$1001,MATCH(ROWS($AF$2:AF976),$AF$2:$AF$1001,0),0), INDEX($AM$1004:$BM$1004,1,MATCH(COLUMNS($AM$1006:BG1006),$AM$1006:$BM$1006,0)))),"Fix")))</f>
        <v xml:space="preserve"> </v>
      </c>
      <c r="W976" s="4" t="str">
        <f ca="1">IF(OR(INDEX($AG$2:$AG$1001,MATCH(ROWS($AF$2:AF976),$AF$2:$AF$1001,0),1)&gt;=100000,INDEX($AM$1005:$BM$1005,1,MATCH(COLUMNS($AM$1006:BH1006),$AM$1006:$BM$1006,0))&gt;=100000), " ",IF(INDEX($AM$2:$BM$1001,MATCH(ROWS($AF$2:AF976),$AF$2:$AF$1001,0),MATCH(COLUMNS($AM$1006:BH1006),$AM$1006:$BM$1006,0)), HYPERLINK("#",""), HYPERLINK(CONCATENATE("#metadata!", ADDRESS(INDEX($AH$2:$AH$1001,MATCH(ROWS($AF$2:AF976),$AF$2:$AF$1001,0),0), INDEX($AM$1004:$BM$1004,1,MATCH(COLUMNS($AM$1006:BH1006),$AM$1006:$BM$1006,0)))),"Fix")))</f>
        <v xml:space="preserve"> </v>
      </c>
      <c r="X976" s="4" t="str">
        <f ca="1">IF(OR(INDEX($AG$2:$AG$1001,MATCH(ROWS($AF$2:AF976),$AF$2:$AF$1001,0),1)&gt;=100000,INDEX($AM$1005:$BM$1005,1,MATCH(COLUMNS($AM$1006:BI1006),$AM$1006:$BM$1006,0))&gt;=100000), " ",IF(INDEX($AM$2:$BM$1001,MATCH(ROWS($AF$2:AF976),$AF$2:$AF$1001,0),MATCH(COLUMNS($AM$1006:BI1006),$AM$1006:$BM$1006,0)), HYPERLINK("#",""), HYPERLINK(CONCATENATE("#metadata!", ADDRESS(INDEX($AH$2:$AH$1001,MATCH(ROWS($AF$2:AF976),$AF$2:$AF$1001,0),0), INDEX($AM$1004:$BM$1004,1,MATCH(COLUMNS($AM$1006:BI1006),$AM$1006:$BM$1006,0)))),"Fix")))</f>
        <v xml:space="preserve"> </v>
      </c>
      <c r="Y976" s="4" t="str">
        <f ca="1">IF(OR(INDEX($AG$2:$AG$1001,MATCH(ROWS($AF$2:AF976),$AF$2:$AF$1001,0),1)&gt;=100000,INDEX($AM$1005:$BM$1005,1,MATCH(COLUMNS($AM$1006:BJ1006),$AM$1006:$BM$1006,0))&gt;=100000), " ",IF(INDEX($AM$2:$BM$1001,MATCH(ROWS($AF$2:AF976),$AF$2:$AF$1001,0),MATCH(COLUMNS($AM$1006:BJ1006),$AM$1006:$BM$1006,0)), HYPERLINK("#",""), HYPERLINK(CONCATENATE("#metadata!", ADDRESS(INDEX($AH$2:$AH$1001,MATCH(ROWS($AF$2:AF976),$AF$2:$AF$1001,0),0), INDEX($AM$1004:$BM$1004,1,MATCH(COLUMNS($AM$1006:BJ1006),$AM$1006:$BM$1006,0)))),"Fix")))</f>
        <v xml:space="preserve"> </v>
      </c>
      <c r="Z976" s="4" t="str">
        <f ca="1">IF(OR(INDEX($AG$2:$AG$1001,MATCH(ROWS($AF$2:AF976),$AF$2:$AF$1001,0),1)&gt;=100000,INDEX($AM$1005:$BM$1005,1,MATCH(COLUMNS($AM$1006:BK1006),$AM$1006:$BM$1006,0))&gt;=100000), " ",IF(INDEX($AM$2:$BM$1001,MATCH(ROWS($AF$2:AF976),$AF$2:$AF$1001,0),MATCH(COLUMNS($AM$1006:BK1006),$AM$1006:$BM$1006,0)), HYPERLINK("#",""), HYPERLINK(CONCATENATE("#metadata!", ADDRESS(INDEX($AH$2:$AH$1001,MATCH(ROWS($AF$2:AF976),$AF$2:$AF$1001,0),0), INDEX($AM$1004:$BM$1004,1,MATCH(COLUMNS($AM$1006:BK1006),$AM$1006:$BM$1006,0)))),"Fix")))</f>
        <v xml:space="preserve"> </v>
      </c>
      <c r="AA976" s="4" t="str">
        <f ca="1">IF(OR(INDEX($AG$2:$AG$1001,MATCH(ROWS($AF$2:AF976),$AF$2:$AF$1001,0),1)&gt;=100000,INDEX($AM$1005:$BM$1005,1,MATCH(COLUMNS($AM$1006:BL1006),$AM$1006:$BM$1006,0))&gt;=100000), " ",IF(INDEX($AM$2:$BM$1001,MATCH(ROWS($AF$2:AF976),$AF$2:$AF$1001,0),MATCH(COLUMNS($AM$1006:BL1006),$AM$1006:$BM$1006,0)), HYPERLINK("#",""), HYPERLINK(CONCATENATE("#metadata!", ADDRESS(INDEX($AH$2:$AH$1001,MATCH(ROWS($AF$2:AF976),$AF$2:$AF$1001,0),0), INDEX($AM$1004:$BM$1004,1,MATCH(COLUMNS($AM$1006:BL1006),$AM$1006:$BM$1006,0)))),"Fix")))</f>
        <v xml:space="preserve"> </v>
      </c>
      <c r="AB976" s="4" t="str">
        <f ca="1">IF(OR(INDEX($AG$2:$AG$1001,MATCH(ROWS($AF$2:AF976),$AF$2:$AF$1001,0),1)&gt;=100000,INDEX($AM$1005:$BM$1005,1,MATCH(COLUMNS($AM$1006:BM1006),$AM$1006:$BM$1006,0))&gt;=100000), " ",IF(INDEX($AM$2:$BM$1001,MATCH(ROWS($AF$2:AF976),$AF$2:$AF$1001,0),MATCH(COLUMNS($AM$1006:BM1006),$AM$1006:$BM$1006,0)), HYPERLINK("#",""), HYPERLINK(CONCATENATE("#metadata!", ADDRESS(INDEX($AH$2:$AH$1001,MATCH(ROWS($AF$2:AF976),$AF$2:$AF$1001,0),0), INDEX($AM$1004:$BM$1004,1,MATCH(COLUMNS($AM$1006:BM1006),$AM$1006:$BM$1006,0)))),"Fix")))</f>
        <v xml:space="preserve"> </v>
      </c>
      <c r="AF976">
        <v>975</v>
      </c>
      <c r="AG976">
        <v>100976</v>
      </c>
      <c r="AH976">
        <v>976</v>
      </c>
      <c r="AI976" t="b">
        <f t="shared" si="15"/>
        <v>1</v>
      </c>
      <c r="AJ976" t="b">
        <f>COUNTBLANK(metadata!B976:AB976)=COLUMNS(metadata!B976:AB976)</f>
        <v>1</v>
      </c>
      <c r="AK976" t="str">
        <v/>
      </c>
      <c r="AM976" t="b">
        <f ca="1">AND(IF(metadata!B976="",FALSE,TRUE),COUNTIF(metadata!B:B, metadata!B976) = 1,NOT(ISERROR(SUMPRODUCT(SEARCH(MID(metadata!B976,ROW(INDIRECT("1:"&amp;LEN(metadata!B976))), 1),"0123456789abcdefghijklmnopqrstuvwxyzABCDEFGHIJKLMNOPQRSTUVWXYZ.")))))</f>
        <v>0</v>
      </c>
      <c r="AN976" t="b">
        <f ca="1">OR(AND(IF(metadata!C976="",FALSE,TRUE),OR(EXACT(metadata!C976,"missing: not collected"),EXACT(metadata!C976,"missing: not provided"),EXACT(metadata!C976,"missing: restricted access"))),AND(IF(metadata!C976="",FALSE,TRUE),AND(AND(IFERROR(INT(LEFT(metadata!C976,4))&gt;1900,FALSE),IFERROR(INT(LEFT(metadata!C976,4))&lt;=YEAR(NOW()),FALSE)), OR(MID(metadata!C976,5,1)="", AND(AND(MID(metadata!C976,5,1)="-",IFERROR(INT(MID(metadata!C976,6,1))&gt;=0,FALSE),IFERROR(INT(MID(metadata!C976,6,1))&lt;=1,FALSE),NOT(MID(metadata!C976,7,1)=""),IFERROR(INT(MID(metadata!C976,6,2))&gt;=1,FALSE),IFERROR(INT(MID(metadata!C976,6,2))&lt;=12,FALSE)), OR(MID(metadata!C976,8,1)="", AND(AND(MID(metadata!C976,8,1)="-",IFERROR(INT(MID(metadata!C976,9,1))&gt;=0,FALSE),IFERROR(INT(MID(metadata!C976,9,1))&lt;=3,FALSE),NOT(MID(metadata!C976,10,1)=""),IFERROR(INT(MID(metadata!C976,9,2))&gt;=1,FALSE),IFERROR(INT(MID(metadata!C976,9,2))&lt;=31,FALSE)), OR(MID(metadata!C976,11,1)="", AND(AND(MID(metadata!C976,11,1)=" ",IFERROR(INT(MID(metadata!C976,12,1))&gt;=0,FALSE),IFERROR(INT(MID(metadata!C976,12,1))&lt;=2,FALSE),NOT(MID(metadata!C976,13,1)=""),IFERROR(INT(MID(metadata!C976,12,2))&gt;=0,FALSE),IFERROR(INT(MID(metadata!C976,12,2))&lt;=23,FALSE)), OR(MID(metadata!C976,14,1)="", AND(AND(MID(metadata!C976,14,1)=":",IFERROR(INT(MID(metadata!C976,15,1))&gt;=0,FALSE),IFERROR(INT(MID(metadata!C976,15,1))&lt;=5,FALSE),NOT(MID(metadata!C976,16,1)=""),IFERROR(INT(MID(metadata!C976,15,2))&gt;=0,FALSE),IFERROR(INT(MID(metadata!C976,15,2))&lt;=59,FALSE)), OR(MID(metadata!C976,17,1)="", AND(AND(MID(metadata!C976,17,1)=":",IFERROR(INT(MID(metadata!C976,18,1))&gt;=0,FALSE),IFERROR(INT(MID(metadata!C976,18,1))&lt;=5,FALSE),NOT(MID(metadata!C976,19,1)=""),IFERROR(INT(MID(metadata!C976,18,2))&gt;=0,FALSE),IFERROR(INT(MID(metadata!C976,18,2))&lt;=59,FALSE)), LEN(metadata!C976)&lt;=19)))))))))))))</f>
        <v>0</v>
      </c>
      <c r="AO976" t="b">
        <f>AND(IF(metadata!D976="",FALSE,TRUE),EXACT(metadata!D976,"Not applicable"))</f>
        <v>0</v>
      </c>
      <c r="AP976" t="b">
        <f>IF(metadata!E976="",FALSE,TRUE)</f>
        <v>0</v>
      </c>
      <c r="AQ976" t="b">
        <f>OR(AND(IF(metadata!F976="",FALSE,TRUE),OR(EXACT(metadata!F976,"missing: not collected"),EXACT(metadata!F976,"missing: not provided"))),AND(IF(metadata!F976="",FALSE,TRUE),OR(EXACT(metadata!F976,"TRUE"),EXACT(metadata!F976,"FALSE"))))</f>
        <v>0</v>
      </c>
      <c r="AR976" t="b">
        <f>OR(AND(IF(metadata!G976="",FALSE,TRUE),OR(EXACT(metadata!G976,"missing: not collected"),EXACT(metadata!G976,"missing: not provided"),EXACT(metadata!G976,"missing: restricted access"))),AND(IF(metadata!G976="",FALSE,ISNUMBER(VALUE(metadata!G976))),metadata!G976&gt;=-413))</f>
        <v>0</v>
      </c>
      <c r="AS976" t="b">
        <f>AND(IF(metadata!H976="",FALSE,TRUE),EXACT(metadata!H976,"meters"))</f>
        <v>0</v>
      </c>
      <c r="AT976" t="b">
        <f>AND(IF(metadata!I976="",FALSE,TRUE),OR(EXACT(metadata!I976,"Host-associated"),EXACT(metadata!I976,"Free-living")))</f>
        <v>0</v>
      </c>
      <c r="AU976" t="b">
        <f>AND(IF(metadata!J976="",FALSE,TRUE),OR(EXACT(metadata!J976,"Animal"),EXACT(metadata!J976,"Fungus"),EXACT(metadata!J976,"Plant"),EXACT(metadata!J976,"Saline"),EXACT(metadata!J976,"Non-saline")))</f>
        <v>0</v>
      </c>
      <c r="AV976" t="b">
        <f>AND(IF(metadata!K976="",FALSE,TRUE),OR(EXACT(metadata!K976,"Plant secretion"),EXACT(metadata!K976,"Plant rhizosphere"),EXACT(metadata!K976,"Plant surface"),EXACT(metadata!K976,"Plant corpus"),EXACT(metadata!K976,"Fungus surface"),EXACT(metadata!K976,"Fungus corpus"),EXACT(metadata!K976,"Animal surface"),EXACT(metadata!K976,"Animal proximal gut"),EXACT(metadata!K976,"Animal corpus"),EXACT(metadata!K976,"Animal distal gut"),EXACT(metadata!K976,"Animal secretion"),EXACT(metadata!K976,"Sub-surface (non-saline)"),EXACT(metadata!K976,"Surface (non-saline)"),EXACT(metadata!K976,"Water (non-saline)"),EXACT(metadata!K976,"Soil (non-saline)"),EXACT(metadata!K976,"Aerosol (non-saline)"),EXACT(metadata!K976,"Sediment (non-saline)"),EXACT(metadata!K976,"Surface (saline)"),EXACT(metadata!K976,"Water (saline)"),EXACT(metadata!K976,"Hypersaline (saline)"),EXACT(metadata!K976,"Aerosol (saline)"),EXACT(metadata!K976,"Sediment (saline)")))</f>
        <v>0</v>
      </c>
      <c r="AW976" t="b">
        <f>IF(metadata!L976="",FALSE,TRUE)</f>
        <v>0</v>
      </c>
      <c r="AX976" t="b">
        <f>IF(metadata!M976="",FALSE,TRUE)</f>
        <v>0</v>
      </c>
      <c r="AY976" t="b">
        <f>IF(metadata!N976="",FALSE,TRUE)</f>
        <v>0</v>
      </c>
      <c r="AZ976" t="b">
        <f>OR(AND(IF(metadata!O976="",FALSE,TRUE),OR(EXACT(metadata!O976,"missing: not collected"),EXACT(metadata!O976,"missing: not provided"),EXACT(metadata!O976,"missing: restricted access"))),AND(IF(metadata!O976="",FALSE,TRUE),OR(EXACT(metadata!O976,"air"),EXACT(metadata!O976,"built environment"),EXACT(metadata!O976,"host-associated"),EXACT(metadata!O976,"human-associated"),EXACT(metadata!O976,"human-skin"),EXACT(metadata!O976,"human-oral"),EXACT(metadata!O976,"human-gut"),EXACT(metadata!O976,"human-vaginal"),EXACT(metadata!O976,"microbial mat/biofilm"),EXACT(metadata!O976,"misc environment"),EXACT(metadata!O976,"plant-associated"),EXACT(metadata!O976,"sediment"),EXACT(metadata!O976,"soil"),EXACT(metadata!O976,"wastewater/sludge"),EXACT(metadata!O976,"water"))))</f>
        <v>0</v>
      </c>
      <c r="BA976" t="b">
        <f>IF(metadata!P976="",FALSE,TRUE)</f>
        <v>0</v>
      </c>
      <c r="BB976" t="b">
        <f>IF(metadata!Q976="",FALSE,TRUE)</f>
        <v>0</v>
      </c>
      <c r="BC976" t="b">
        <f>OR(AND(IF(metadata!R976="",FALSE,TRUE),OR(EXACT(metadata!R976,"missing: not collected"),EXACT(metadata!R976,"missing: not provided"),EXACT(metadata!R976,"missing: restricted access"))),AND(IF(metadata!R976="",FALSE,ISNUMBER(VALUE(metadata!R976))),metadata!R976&gt;=-90,metadata!R976&lt;=90))</f>
        <v>0</v>
      </c>
      <c r="BD976" t="b">
        <f>AND(IF(metadata!S976="",FALSE,TRUE),EXACT(metadata!S976,"Decimal degrees"))</f>
        <v>0</v>
      </c>
      <c r="BE976" t="b">
        <f>OR(AND(IF(metadata!T976="",FALSE,TRUE),OR(EXACT(metadata!T976,"missing: not collected"),EXACT(metadata!T976,"missing: not provided"),EXACT(metadata!T976,"missing: restricted access"))),AND(IF(metadata!T976="",FALSE,ISNUMBER(VALUE(metadata!T976))),metadata!T976&gt;=-180,metadata!T976&lt;=180))</f>
        <v>0</v>
      </c>
      <c r="BF976" t="b">
        <f>AND(IF(metadata!U976="",FALSE,TRUE),EXACT(metadata!U976,"Decimal degrees"))</f>
        <v>0</v>
      </c>
      <c r="BG976" t="b">
        <f>IF(metadata!V976="",FALSE,TRUE)</f>
        <v>0</v>
      </c>
      <c r="BH976" t="b">
        <f>OR(AND(IF(metadata!W976="",FALSE,TRUE),OR(EXACT(metadata!W976,"missing: not collected"),EXACT(metadata!W976,"missing: not provided"),EXACT(metadata!W976,"missing: restricted access"))),AND(IF(metadata!W976="",FALSE,TRUE),OR(EXACT(metadata!W976,"TRUE"),EXACT(metadata!W976,"FALSE"))))</f>
        <v>0</v>
      </c>
      <c r="BI976" t="b">
        <f>AND(IF(metadata!X976="",FALSE,TRUE),EXACT(metadata!X976,"other"))</f>
        <v>0</v>
      </c>
      <c r="BJ976" t="b">
        <f>IF(metadata!Y976="",FALSE,TRUE)</f>
        <v>0</v>
      </c>
      <c r="BK976" t="b">
        <f>OR(AND(IF(metadata!Z976="",FALSE,TRUE),OR(EXACT(metadata!Z976,"missing: not collected"),EXACT(metadata!Z976,"missing: not provided"))),AND(IF(metadata!Z976="",FALSE,IF(ISERROR(INT(metadata!Z976)),FALSE,INT(metadata!Z976)=metadata!Z976)),metadata!Z976&gt;0))</f>
        <v>0</v>
      </c>
      <c r="BL976" t="b">
        <f>AND(IF(metadata!AA976="",FALSE,TRUE),EXACT(metadata!AA976,"Not applicable"))</f>
        <v>0</v>
      </c>
      <c r="BM976" t="b">
        <f>IF(metadata!AB976="",FALSE,TRUE)</f>
        <v>0</v>
      </c>
    </row>
    <row r="977" spans="1:65" x14ac:dyDescent="0.2">
      <c r="A977" s="5" t="str">
        <f ca="1">IF(B977=" "," ",HYPERLINK(CONCATENATE("#metadata!",ADDRESS(INDEX($AH$2:$AH$1001,MATCH(ROWS($AF$2:AF977),$AF$2:$AF$1001,0),0),1)),INDEX($AK$2:$AK$1001,MATCH(ROWS($AF$2:AF977),$AF$2:$AF$1001,0),0)))</f>
        <v xml:space="preserve"> </v>
      </c>
      <c r="B977" s="4" t="str">
        <f ca="1">IF(OR(INDEX($AG$2:$AG$1001,MATCH(ROWS($AF$2:AF977),$AF$2:$AF$1001,0),1)&gt;=100000,INDEX($AM$1005:$BM$1005,1,MATCH(COLUMNS($AM$1006:AM1006),$AM$1006:$BM$1006,0))&gt;=100000), " ",IF(INDEX($AM$2:$BM$1001,MATCH(ROWS($AF$2:AF977),$AF$2:$AF$1001,0),MATCH(COLUMNS($AM$1006:AM1006),$AM$1006:$BM$1006,0)), HYPERLINK("#",""), HYPERLINK(CONCATENATE("#metadata!", ADDRESS(INDEX($AH$2:$AH$1001,MATCH(ROWS($AF$2:AF977),$AF$2:$AF$1001,0),0), INDEX($AM$1004:$BM$1004,1,MATCH(COLUMNS($AM$1006:AM1006),$AM$1006:$BM$1006,0)))),"Fix")))</f>
        <v xml:space="preserve"> </v>
      </c>
      <c r="C977" s="4" t="str">
        <f ca="1">IF(OR(INDEX($AG$2:$AG$1001,MATCH(ROWS($AF$2:AF977),$AF$2:$AF$1001,0),1)&gt;=100000,INDEX($AM$1005:$BM$1005,1,MATCH(COLUMNS($AM$1006:AN1006),$AM$1006:$BM$1006,0))&gt;=100000), " ",IF(INDEX($AM$2:$BM$1001,MATCH(ROWS($AF$2:AF977),$AF$2:$AF$1001,0),MATCH(COLUMNS($AM$1006:AN1006),$AM$1006:$BM$1006,0)), HYPERLINK("#",""), HYPERLINK(CONCATENATE("#metadata!", ADDRESS(INDEX($AH$2:$AH$1001,MATCH(ROWS($AF$2:AF977),$AF$2:$AF$1001,0),0), INDEX($AM$1004:$BM$1004,1,MATCH(COLUMNS($AM$1006:AN1006),$AM$1006:$BM$1006,0)))),"Fix")))</f>
        <v xml:space="preserve"> </v>
      </c>
      <c r="D977" s="4" t="str">
        <f ca="1">IF(OR(INDEX($AG$2:$AG$1001,MATCH(ROWS($AF$2:AF977),$AF$2:$AF$1001,0),1)&gt;=100000,INDEX($AM$1005:$BM$1005,1,MATCH(COLUMNS($AM$1006:AO1006),$AM$1006:$BM$1006,0))&gt;=100000), " ",IF(INDEX($AM$2:$BM$1001,MATCH(ROWS($AF$2:AF977),$AF$2:$AF$1001,0),MATCH(COLUMNS($AM$1006:AO1006),$AM$1006:$BM$1006,0)), HYPERLINK("#",""), HYPERLINK(CONCATENATE("#metadata!", ADDRESS(INDEX($AH$2:$AH$1001,MATCH(ROWS($AF$2:AF977),$AF$2:$AF$1001,0),0), INDEX($AM$1004:$BM$1004,1,MATCH(COLUMNS($AM$1006:AO1006),$AM$1006:$BM$1006,0)))),"Fix")))</f>
        <v xml:space="preserve"> </v>
      </c>
      <c r="E977" s="4" t="str">
        <f ca="1">IF(OR(INDEX($AG$2:$AG$1001,MATCH(ROWS($AF$2:AF977),$AF$2:$AF$1001,0),1)&gt;=100000,INDEX($AM$1005:$BM$1005,1,MATCH(COLUMNS($AM$1006:AP1006),$AM$1006:$BM$1006,0))&gt;=100000), " ",IF(INDEX($AM$2:$BM$1001,MATCH(ROWS($AF$2:AF977),$AF$2:$AF$1001,0),MATCH(COLUMNS($AM$1006:AP1006),$AM$1006:$BM$1006,0)), HYPERLINK("#",""), HYPERLINK(CONCATENATE("#metadata!", ADDRESS(INDEX($AH$2:$AH$1001,MATCH(ROWS($AF$2:AF977),$AF$2:$AF$1001,0),0), INDEX($AM$1004:$BM$1004,1,MATCH(COLUMNS($AM$1006:AP1006),$AM$1006:$BM$1006,0)))),"Fix")))</f>
        <v xml:space="preserve"> </v>
      </c>
      <c r="F977" s="4" t="str">
        <f ca="1">IF(OR(INDEX($AG$2:$AG$1001,MATCH(ROWS($AF$2:AF977),$AF$2:$AF$1001,0),1)&gt;=100000,INDEX($AM$1005:$BM$1005,1,MATCH(COLUMNS($AM$1006:AQ1006),$AM$1006:$BM$1006,0))&gt;=100000), " ",IF(INDEX($AM$2:$BM$1001,MATCH(ROWS($AF$2:AF977),$AF$2:$AF$1001,0),MATCH(COLUMNS($AM$1006:AQ1006),$AM$1006:$BM$1006,0)), HYPERLINK("#",""), HYPERLINK(CONCATENATE("#metadata!", ADDRESS(INDEX($AH$2:$AH$1001,MATCH(ROWS($AF$2:AF977),$AF$2:$AF$1001,0),0), INDEX($AM$1004:$BM$1004,1,MATCH(COLUMNS($AM$1006:AQ1006),$AM$1006:$BM$1006,0)))),"Fix")))</f>
        <v xml:space="preserve"> </v>
      </c>
      <c r="G977" s="4" t="str">
        <f ca="1">IF(OR(INDEX($AG$2:$AG$1001,MATCH(ROWS($AF$2:AF977),$AF$2:$AF$1001,0),1)&gt;=100000,INDEX($AM$1005:$BM$1005,1,MATCH(COLUMNS($AM$1006:AR1006),$AM$1006:$BM$1006,0))&gt;=100000), " ",IF(INDEX($AM$2:$BM$1001,MATCH(ROWS($AF$2:AF977),$AF$2:$AF$1001,0),MATCH(COLUMNS($AM$1006:AR1006),$AM$1006:$BM$1006,0)), HYPERLINK("#",""), HYPERLINK(CONCATENATE("#metadata!", ADDRESS(INDEX($AH$2:$AH$1001,MATCH(ROWS($AF$2:AF977),$AF$2:$AF$1001,0),0), INDEX($AM$1004:$BM$1004,1,MATCH(COLUMNS($AM$1006:AR1006),$AM$1006:$BM$1006,0)))),"Fix")))</f>
        <v xml:space="preserve"> </v>
      </c>
      <c r="H977" s="4" t="str">
        <f ca="1">IF(OR(INDEX($AG$2:$AG$1001,MATCH(ROWS($AF$2:AF977),$AF$2:$AF$1001,0),1)&gt;=100000,INDEX($AM$1005:$BM$1005,1,MATCH(COLUMNS($AM$1006:AS1006),$AM$1006:$BM$1006,0))&gt;=100000), " ",IF(INDEX($AM$2:$BM$1001,MATCH(ROWS($AF$2:AF977),$AF$2:$AF$1001,0),MATCH(COLUMNS($AM$1006:AS1006),$AM$1006:$BM$1006,0)), HYPERLINK("#",""), HYPERLINK(CONCATENATE("#metadata!", ADDRESS(INDEX($AH$2:$AH$1001,MATCH(ROWS($AF$2:AF977),$AF$2:$AF$1001,0),0), INDEX($AM$1004:$BM$1004,1,MATCH(COLUMNS($AM$1006:AS1006),$AM$1006:$BM$1006,0)))),"Fix")))</f>
        <v xml:space="preserve"> </v>
      </c>
      <c r="I977" s="4" t="str">
        <f ca="1">IF(OR(INDEX($AG$2:$AG$1001,MATCH(ROWS($AF$2:AF977),$AF$2:$AF$1001,0),1)&gt;=100000,INDEX($AM$1005:$BM$1005,1,MATCH(COLUMNS($AM$1006:AT1006),$AM$1006:$BM$1006,0))&gt;=100000), " ",IF(INDEX($AM$2:$BM$1001,MATCH(ROWS($AF$2:AF977),$AF$2:$AF$1001,0),MATCH(COLUMNS($AM$1006:AT1006),$AM$1006:$BM$1006,0)), HYPERLINK("#",""), HYPERLINK(CONCATENATE("#metadata!", ADDRESS(INDEX($AH$2:$AH$1001,MATCH(ROWS($AF$2:AF977),$AF$2:$AF$1001,0),0), INDEX($AM$1004:$BM$1004,1,MATCH(COLUMNS($AM$1006:AT1006),$AM$1006:$BM$1006,0)))),"Fix")))</f>
        <v xml:space="preserve"> </v>
      </c>
      <c r="J977" s="4" t="str">
        <f ca="1">IF(OR(INDEX($AG$2:$AG$1001,MATCH(ROWS($AF$2:AF977),$AF$2:$AF$1001,0),1)&gt;=100000,INDEX($AM$1005:$BM$1005,1,MATCH(COLUMNS($AM$1006:AU1006),$AM$1006:$BM$1006,0))&gt;=100000), " ",IF(INDEX($AM$2:$BM$1001,MATCH(ROWS($AF$2:AF977),$AF$2:$AF$1001,0),MATCH(COLUMNS($AM$1006:AU1006),$AM$1006:$BM$1006,0)), HYPERLINK("#",""), HYPERLINK(CONCATENATE("#metadata!", ADDRESS(INDEX($AH$2:$AH$1001,MATCH(ROWS($AF$2:AF977),$AF$2:$AF$1001,0),0), INDEX($AM$1004:$BM$1004,1,MATCH(COLUMNS($AM$1006:AU1006),$AM$1006:$BM$1006,0)))),"Fix")))</f>
        <v xml:space="preserve"> </v>
      </c>
      <c r="K977" s="4" t="str">
        <f ca="1">IF(OR(INDEX($AG$2:$AG$1001,MATCH(ROWS($AF$2:AF977),$AF$2:$AF$1001,0),1)&gt;=100000,INDEX($AM$1005:$BM$1005,1,MATCH(COLUMNS($AM$1006:AV1006),$AM$1006:$BM$1006,0))&gt;=100000), " ",IF(INDEX($AM$2:$BM$1001,MATCH(ROWS($AF$2:AF977),$AF$2:$AF$1001,0),MATCH(COLUMNS($AM$1006:AV1006),$AM$1006:$BM$1006,0)), HYPERLINK("#",""), HYPERLINK(CONCATENATE("#metadata!", ADDRESS(INDEX($AH$2:$AH$1001,MATCH(ROWS($AF$2:AF977),$AF$2:$AF$1001,0),0), INDEX($AM$1004:$BM$1004,1,MATCH(COLUMNS($AM$1006:AV1006),$AM$1006:$BM$1006,0)))),"Fix")))</f>
        <v xml:space="preserve"> </v>
      </c>
      <c r="L977" s="4" t="str">
        <f ca="1">IF(OR(INDEX($AG$2:$AG$1001,MATCH(ROWS($AF$2:AF977),$AF$2:$AF$1001,0),1)&gt;=100000,INDEX($AM$1005:$BM$1005,1,MATCH(COLUMNS($AM$1006:AW1006),$AM$1006:$BM$1006,0))&gt;=100000), " ",IF(INDEX($AM$2:$BM$1001,MATCH(ROWS($AF$2:AF977),$AF$2:$AF$1001,0),MATCH(COLUMNS($AM$1006:AW1006),$AM$1006:$BM$1006,0)), HYPERLINK("#",""), HYPERLINK(CONCATENATE("#metadata!", ADDRESS(INDEX($AH$2:$AH$1001,MATCH(ROWS($AF$2:AF977),$AF$2:$AF$1001,0),0), INDEX($AM$1004:$BM$1004,1,MATCH(COLUMNS($AM$1006:AW1006),$AM$1006:$BM$1006,0)))),"Fix")))</f>
        <v xml:space="preserve"> </v>
      </c>
      <c r="M977" s="4" t="str">
        <f ca="1">IF(OR(INDEX($AG$2:$AG$1001,MATCH(ROWS($AF$2:AF977),$AF$2:$AF$1001,0),1)&gt;=100000,INDEX($AM$1005:$BM$1005,1,MATCH(COLUMNS($AM$1006:AX1006),$AM$1006:$BM$1006,0))&gt;=100000), " ",IF(INDEX($AM$2:$BM$1001,MATCH(ROWS($AF$2:AF977),$AF$2:$AF$1001,0),MATCH(COLUMNS($AM$1006:AX1006),$AM$1006:$BM$1006,0)), HYPERLINK("#",""), HYPERLINK(CONCATENATE("#metadata!", ADDRESS(INDEX($AH$2:$AH$1001,MATCH(ROWS($AF$2:AF977),$AF$2:$AF$1001,0),0), INDEX($AM$1004:$BM$1004,1,MATCH(COLUMNS($AM$1006:AX1006),$AM$1006:$BM$1006,0)))),"Fix")))</f>
        <v xml:space="preserve"> </v>
      </c>
      <c r="N977" s="4" t="str">
        <f ca="1">IF(OR(INDEX($AG$2:$AG$1001,MATCH(ROWS($AF$2:AF977),$AF$2:$AF$1001,0),1)&gt;=100000,INDEX($AM$1005:$BM$1005,1,MATCH(COLUMNS($AM$1006:AY1006),$AM$1006:$BM$1006,0))&gt;=100000), " ",IF(INDEX($AM$2:$BM$1001,MATCH(ROWS($AF$2:AF977),$AF$2:$AF$1001,0),MATCH(COLUMNS($AM$1006:AY1006),$AM$1006:$BM$1006,0)), HYPERLINK("#",""), HYPERLINK(CONCATENATE("#metadata!", ADDRESS(INDEX($AH$2:$AH$1001,MATCH(ROWS($AF$2:AF977),$AF$2:$AF$1001,0),0), INDEX($AM$1004:$BM$1004,1,MATCH(COLUMNS($AM$1006:AY1006),$AM$1006:$BM$1006,0)))),"Fix")))</f>
        <v xml:space="preserve"> </v>
      </c>
      <c r="O977" s="4" t="str">
        <f ca="1">IF(OR(INDEX($AG$2:$AG$1001,MATCH(ROWS($AF$2:AF977),$AF$2:$AF$1001,0),1)&gt;=100000,INDEX($AM$1005:$BM$1005,1,MATCH(COLUMNS($AM$1006:AZ1006),$AM$1006:$BM$1006,0))&gt;=100000), " ",IF(INDEX($AM$2:$BM$1001,MATCH(ROWS($AF$2:AF977),$AF$2:$AF$1001,0),MATCH(COLUMNS($AM$1006:AZ1006),$AM$1006:$BM$1006,0)), HYPERLINK("#",""), HYPERLINK(CONCATENATE("#metadata!", ADDRESS(INDEX($AH$2:$AH$1001,MATCH(ROWS($AF$2:AF977),$AF$2:$AF$1001,0),0), INDEX($AM$1004:$BM$1004,1,MATCH(COLUMNS($AM$1006:AZ1006),$AM$1006:$BM$1006,0)))),"Fix")))</f>
        <v xml:space="preserve"> </v>
      </c>
      <c r="P977" s="4" t="str">
        <f ca="1">IF(OR(INDEX($AG$2:$AG$1001,MATCH(ROWS($AF$2:AF977),$AF$2:$AF$1001,0),1)&gt;=100000,INDEX($AM$1005:$BM$1005,1,MATCH(COLUMNS($AM$1006:BA1006),$AM$1006:$BM$1006,0))&gt;=100000), " ",IF(INDEX($AM$2:$BM$1001,MATCH(ROWS($AF$2:AF977),$AF$2:$AF$1001,0),MATCH(COLUMNS($AM$1006:BA1006),$AM$1006:$BM$1006,0)), HYPERLINK("#",""), HYPERLINK(CONCATENATE("#metadata!", ADDRESS(INDEX($AH$2:$AH$1001,MATCH(ROWS($AF$2:AF977),$AF$2:$AF$1001,0),0), INDEX($AM$1004:$BM$1004,1,MATCH(COLUMNS($AM$1006:BA1006),$AM$1006:$BM$1006,0)))),"Fix")))</f>
        <v xml:space="preserve"> </v>
      </c>
      <c r="Q977" s="4" t="str">
        <f ca="1">IF(OR(INDEX($AG$2:$AG$1001,MATCH(ROWS($AF$2:AF977),$AF$2:$AF$1001,0),1)&gt;=100000,INDEX($AM$1005:$BM$1005,1,MATCH(COLUMNS($AM$1006:BB1006),$AM$1006:$BM$1006,0))&gt;=100000), " ",IF(INDEX($AM$2:$BM$1001,MATCH(ROWS($AF$2:AF977),$AF$2:$AF$1001,0),MATCH(COLUMNS($AM$1006:BB1006),$AM$1006:$BM$1006,0)), HYPERLINK("#",""), HYPERLINK(CONCATENATE("#metadata!", ADDRESS(INDEX($AH$2:$AH$1001,MATCH(ROWS($AF$2:AF977),$AF$2:$AF$1001,0),0), INDEX($AM$1004:$BM$1004,1,MATCH(COLUMNS($AM$1006:BB1006),$AM$1006:$BM$1006,0)))),"Fix")))</f>
        <v xml:space="preserve"> </v>
      </c>
      <c r="R977" s="4" t="str">
        <f ca="1">IF(OR(INDEX($AG$2:$AG$1001,MATCH(ROWS($AF$2:AF977),$AF$2:$AF$1001,0),1)&gt;=100000,INDEX($AM$1005:$BM$1005,1,MATCH(COLUMNS($AM$1006:BC1006),$AM$1006:$BM$1006,0))&gt;=100000), " ",IF(INDEX($AM$2:$BM$1001,MATCH(ROWS($AF$2:AF977),$AF$2:$AF$1001,0),MATCH(COLUMNS($AM$1006:BC1006),$AM$1006:$BM$1006,0)), HYPERLINK("#",""), HYPERLINK(CONCATENATE("#metadata!", ADDRESS(INDEX($AH$2:$AH$1001,MATCH(ROWS($AF$2:AF977),$AF$2:$AF$1001,0),0), INDEX($AM$1004:$BM$1004,1,MATCH(COLUMNS($AM$1006:BC1006),$AM$1006:$BM$1006,0)))),"Fix")))</f>
        <v xml:space="preserve"> </v>
      </c>
      <c r="S977" s="4" t="str">
        <f ca="1">IF(OR(INDEX($AG$2:$AG$1001,MATCH(ROWS($AF$2:AF977),$AF$2:$AF$1001,0),1)&gt;=100000,INDEX($AM$1005:$BM$1005,1,MATCH(COLUMNS($AM$1006:BD1006),$AM$1006:$BM$1006,0))&gt;=100000), " ",IF(INDEX($AM$2:$BM$1001,MATCH(ROWS($AF$2:AF977),$AF$2:$AF$1001,0),MATCH(COLUMNS($AM$1006:BD1006),$AM$1006:$BM$1006,0)), HYPERLINK("#",""), HYPERLINK(CONCATENATE("#metadata!", ADDRESS(INDEX($AH$2:$AH$1001,MATCH(ROWS($AF$2:AF977),$AF$2:$AF$1001,0),0), INDEX($AM$1004:$BM$1004,1,MATCH(COLUMNS($AM$1006:BD1006),$AM$1006:$BM$1006,0)))),"Fix")))</f>
        <v xml:space="preserve"> </v>
      </c>
      <c r="T977" s="4" t="str">
        <f ca="1">IF(OR(INDEX($AG$2:$AG$1001,MATCH(ROWS($AF$2:AF977),$AF$2:$AF$1001,0),1)&gt;=100000,INDEX($AM$1005:$BM$1005,1,MATCH(COLUMNS($AM$1006:BE1006),$AM$1006:$BM$1006,0))&gt;=100000), " ",IF(INDEX($AM$2:$BM$1001,MATCH(ROWS($AF$2:AF977),$AF$2:$AF$1001,0),MATCH(COLUMNS($AM$1006:BE1006),$AM$1006:$BM$1006,0)), HYPERLINK("#",""), HYPERLINK(CONCATENATE("#metadata!", ADDRESS(INDEX($AH$2:$AH$1001,MATCH(ROWS($AF$2:AF977),$AF$2:$AF$1001,0),0), INDEX($AM$1004:$BM$1004,1,MATCH(COLUMNS($AM$1006:BE1006),$AM$1006:$BM$1006,0)))),"Fix")))</f>
        <v xml:space="preserve"> </v>
      </c>
      <c r="U977" s="4" t="str">
        <f ca="1">IF(OR(INDEX($AG$2:$AG$1001,MATCH(ROWS($AF$2:AF977),$AF$2:$AF$1001,0),1)&gt;=100000,INDEX($AM$1005:$BM$1005,1,MATCH(COLUMNS($AM$1006:BF1006),$AM$1006:$BM$1006,0))&gt;=100000), " ",IF(INDEX($AM$2:$BM$1001,MATCH(ROWS($AF$2:AF977),$AF$2:$AF$1001,0),MATCH(COLUMNS($AM$1006:BF1006),$AM$1006:$BM$1006,0)), HYPERLINK("#",""), HYPERLINK(CONCATENATE("#metadata!", ADDRESS(INDEX($AH$2:$AH$1001,MATCH(ROWS($AF$2:AF977),$AF$2:$AF$1001,0),0), INDEX($AM$1004:$BM$1004,1,MATCH(COLUMNS($AM$1006:BF1006),$AM$1006:$BM$1006,0)))),"Fix")))</f>
        <v xml:space="preserve"> </v>
      </c>
      <c r="V977" s="4" t="str">
        <f ca="1">IF(OR(INDEX($AG$2:$AG$1001,MATCH(ROWS($AF$2:AF977),$AF$2:$AF$1001,0),1)&gt;=100000,INDEX($AM$1005:$BM$1005,1,MATCH(COLUMNS($AM$1006:BG1006),$AM$1006:$BM$1006,0))&gt;=100000), " ",IF(INDEX($AM$2:$BM$1001,MATCH(ROWS($AF$2:AF977),$AF$2:$AF$1001,0),MATCH(COLUMNS($AM$1006:BG1006),$AM$1006:$BM$1006,0)), HYPERLINK("#",""), HYPERLINK(CONCATENATE("#metadata!", ADDRESS(INDEX($AH$2:$AH$1001,MATCH(ROWS($AF$2:AF977),$AF$2:$AF$1001,0),0), INDEX($AM$1004:$BM$1004,1,MATCH(COLUMNS($AM$1006:BG1006),$AM$1006:$BM$1006,0)))),"Fix")))</f>
        <v xml:space="preserve"> </v>
      </c>
      <c r="W977" s="4" t="str">
        <f ca="1">IF(OR(INDEX($AG$2:$AG$1001,MATCH(ROWS($AF$2:AF977),$AF$2:$AF$1001,0),1)&gt;=100000,INDEX($AM$1005:$BM$1005,1,MATCH(COLUMNS($AM$1006:BH1006),$AM$1006:$BM$1006,0))&gt;=100000), " ",IF(INDEX($AM$2:$BM$1001,MATCH(ROWS($AF$2:AF977),$AF$2:$AF$1001,0),MATCH(COLUMNS($AM$1006:BH1006),$AM$1006:$BM$1006,0)), HYPERLINK("#",""), HYPERLINK(CONCATENATE("#metadata!", ADDRESS(INDEX($AH$2:$AH$1001,MATCH(ROWS($AF$2:AF977),$AF$2:$AF$1001,0),0), INDEX($AM$1004:$BM$1004,1,MATCH(COLUMNS($AM$1006:BH1006),$AM$1006:$BM$1006,0)))),"Fix")))</f>
        <v xml:space="preserve"> </v>
      </c>
      <c r="X977" s="4" t="str">
        <f ca="1">IF(OR(INDEX($AG$2:$AG$1001,MATCH(ROWS($AF$2:AF977),$AF$2:$AF$1001,0),1)&gt;=100000,INDEX($AM$1005:$BM$1005,1,MATCH(COLUMNS($AM$1006:BI1006),$AM$1006:$BM$1006,0))&gt;=100000), " ",IF(INDEX($AM$2:$BM$1001,MATCH(ROWS($AF$2:AF977),$AF$2:$AF$1001,0),MATCH(COLUMNS($AM$1006:BI1006),$AM$1006:$BM$1006,0)), HYPERLINK("#",""), HYPERLINK(CONCATENATE("#metadata!", ADDRESS(INDEX($AH$2:$AH$1001,MATCH(ROWS($AF$2:AF977),$AF$2:$AF$1001,0),0), INDEX($AM$1004:$BM$1004,1,MATCH(COLUMNS($AM$1006:BI1006),$AM$1006:$BM$1006,0)))),"Fix")))</f>
        <v xml:space="preserve"> </v>
      </c>
      <c r="Y977" s="4" t="str">
        <f ca="1">IF(OR(INDEX($AG$2:$AG$1001,MATCH(ROWS($AF$2:AF977),$AF$2:$AF$1001,0),1)&gt;=100000,INDEX($AM$1005:$BM$1005,1,MATCH(COLUMNS($AM$1006:BJ1006),$AM$1006:$BM$1006,0))&gt;=100000), " ",IF(INDEX($AM$2:$BM$1001,MATCH(ROWS($AF$2:AF977),$AF$2:$AF$1001,0),MATCH(COLUMNS($AM$1006:BJ1006),$AM$1006:$BM$1006,0)), HYPERLINK("#",""), HYPERLINK(CONCATENATE("#metadata!", ADDRESS(INDEX($AH$2:$AH$1001,MATCH(ROWS($AF$2:AF977),$AF$2:$AF$1001,0),0), INDEX($AM$1004:$BM$1004,1,MATCH(COLUMNS($AM$1006:BJ1006),$AM$1006:$BM$1006,0)))),"Fix")))</f>
        <v xml:space="preserve"> </v>
      </c>
      <c r="Z977" s="4" t="str">
        <f ca="1">IF(OR(INDEX($AG$2:$AG$1001,MATCH(ROWS($AF$2:AF977),$AF$2:$AF$1001,0),1)&gt;=100000,INDEX($AM$1005:$BM$1005,1,MATCH(COLUMNS($AM$1006:BK1006),$AM$1006:$BM$1006,0))&gt;=100000), " ",IF(INDEX($AM$2:$BM$1001,MATCH(ROWS($AF$2:AF977),$AF$2:$AF$1001,0),MATCH(COLUMNS($AM$1006:BK1006),$AM$1006:$BM$1006,0)), HYPERLINK("#",""), HYPERLINK(CONCATENATE("#metadata!", ADDRESS(INDEX($AH$2:$AH$1001,MATCH(ROWS($AF$2:AF977),$AF$2:$AF$1001,0),0), INDEX($AM$1004:$BM$1004,1,MATCH(COLUMNS($AM$1006:BK1006),$AM$1006:$BM$1006,0)))),"Fix")))</f>
        <v xml:space="preserve"> </v>
      </c>
      <c r="AA977" s="4" t="str">
        <f ca="1">IF(OR(INDEX($AG$2:$AG$1001,MATCH(ROWS($AF$2:AF977),$AF$2:$AF$1001,0),1)&gt;=100000,INDEX($AM$1005:$BM$1005,1,MATCH(COLUMNS($AM$1006:BL1006),$AM$1006:$BM$1006,0))&gt;=100000), " ",IF(INDEX($AM$2:$BM$1001,MATCH(ROWS($AF$2:AF977),$AF$2:$AF$1001,0),MATCH(COLUMNS($AM$1006:BL1006),$AM$1006:$BM$1006,0)), HYPERLINK("#",""), HYPERLINK(CONCATENATE("#metadata!", ADDRESS(INDEX($AH$2:$AH$1001,MATCH(ROWS($AF$2:AF977),$AF$2:$AF$1001,0),0), INDEX($AM$1004:$BM$1004,1,MATCH(COLUMNS($AM$1006:BL1006),$AM$1006:$BM$1006,0)))),"Fix")))</f>
        <v xml:space="preserve"> </v>
      </c>
      <c r="AB977" s="4" t="str">
        <f ca="1">IF(OR(INDEX($AG$2:$AG$1001,MATCH(ROWS($AF$2:AF977),$AF$2:$AF$1001,0),1)&gt;=100000,INDEX($AM$1005:$BM$1005,1,MATCH(COLUMNS($AM$1006:BM1006),$AM$1006:$BM$1006,0))&gt;=100000), " ",IF(INDEX($AM$2:$BM$1001,MATCH(ROWS($AF$2:AF977),$AF$2:$AF$1001,0),MATCH(COLUMNS($AM$1006:BM1006),$AM$1006:$BM$1006,0)), HYPERLINK("#",""), HYPERLINK(CONCATENATE("#metadata!", ADDRESS(INDEX($AH$2:$AH$1001,MATCH(ROWS($AF$2:AF977),$AF$2:$AF$1001,0),0), INDEX($AM$1004:$BM$1004,1,MATCH(COLUMNS($AM$1006:BM1006),$AM$1006:$BM$1006,0)))),"Fix")))</f>
        <v xml:space="preserve"> </v>
      </c>
      <c r="AF977">
        <v>976</v>
      </c>
      <c r="AG977">
        <v>100977</v>
      </c>
      <c r="AH977">
        <v>977</v>
      </c>
      <c r="AI977" t="b">
        <f t="shared" si="15"/>
        <v>1</v>
      </c>
      <c r="AJ977" t="b">
        <f>COUNTBLANK(metadata!B977:AB977)=COLUMNS(metadata!B977:AB977)</f>
        <v>1</v>
      </c>
      <c r="AK977" t="str">
        <v/>
      </c>
      <c r="AM977" t="b">
        <f ca="1">AND(IF(metadata!B977="",FALSE,TRUE),COUNTIF(metadata!B:B, metadata!B977) = 1,NOT(ISERROR(SUMPRODUCT(SEARCH(MID(metadata!B977,ROW(INDIRECT("1:"&amp;LEN(metadata!B977))), 1),"0123456789abcdefghijklmnopqrstuvwxyzABCDEFGHIJKLMNOPQRSTUVWXYZ.")))))</f>
        <v>0</v>
      </c>
      <c r="AN977" t="b">
        <f ca="1">OR(AND(IF(metadata!C977="",FALSE,TRUE),OR(EXACT(metadata!C977,"missing: not collected"),EXACT(metadata!C977,"missing: not provided"),EXACT(metadata!C977,"missing: restricted access"))),AND(IF(metadata!C977="",FALSE,TRUE),AND(AND(IFERROR(INT(LEFT(metadata!C977,4))&gt;1900,FALSE),IFERROR(INT(LEFT(metadata!C977,4))&lt;=YEAR(NOW()),FALSE)), OR(MID(metadata!C977,5,1)="", AND(AND(MID(metadata!C977,5,1)="-",IFERROR(INT(MID(metadata!C977,6,1))&gt;=0,FALSE),IFERROR(INT(MID(metadata!C977,6,1))&lt;=1,FALSE),NOT(MID(metadata!C977,7,1)=""),IFERROR(INT(MID(metadata!C977,6,2))&gt;=1,FALSE),IFERROR(INT(MID(metadata!C977,6,2))&lt;=12,FALSE)), OR(MID(metadata!C977,8,1)="", AND(AND(MID(metadata!C977,8,1)="-",IFERROR(INT(MID(metadata!C977,9,1))&gt;=0,FALSE),IFERROR(INT(MID(metadata!C977,9,1))&lt;=3,FALSE),NOT(MID(metadata!C977,10,1)=""),IFERROR(INT(MID(metadata!C977,9,2))&gt;=1,FALSE),IFERROR(INT(MID(metadata!C977,9,2))&lt;=31,FALSE)), OR(MID(metadata!C977,11,1)="", AND(AND(MID(metadata!C977,11,1)=" ",IFERROR(INT(MID(metadata!C977,12,1))&gt;=0,FALSE),IFERROR(INT(MID(metadata!C977,12,1))&lt;=2,FALSE),NOT(MID(metadata!C977,13,1)=""),IFERROR(INT(MID(metadata!C977,12,2))&gt;=0,FALSE),IFERROR(INT(MID(metadata!C977,12,2))&lt;=23,FALSE)), OR(MID(metadata!C977,14,1)="", AND(AND(MID(metadata!C977,14,1)=":",IFERROR(INT(MID(metadata!C977,15,1))&gt;=0,FALSE),IFERROR(INT(MID(metadata!C977,15,1))&lt;=5,FALSE),NOT(MID(metadata!C977,16,1)=""),IFERROR(INT(MID(metadata!C977,15,2))&gt;=0,FALSE),IFERROR(INT(MID(metadata!C977,15,2))&lt;=59,FALSE)), OR(MID(metadata!C977,17,1)="", AND(AND(MID(metadata!C977,17,1)=":",IFERROR(INT(MID(metadata!C977,18,1))&gt;=0,FALSE),IFERROR(INT(MID(metadata!C977,18,1))&lt;=5,FALSE),NOT(MID(metadata!C977,19,1)=""),IFERROR(INT(MID(metadata!C977,18,2))&gt;=0,FALSE),IFERROR(INT(MID(metadata!C977,18,2))&lt;=59,FALSE)), LEN(metadata!C977)&lt;=19)))))))))))))</f>
        <v>0</v>
      </c>
      <c r="AO977" t="b">
        <f>AND(IF(metadata!D977="",FALSE,TRUE),EXACT(metadata!D977,"Not applicable"))</f>
        <v>0</v>
      </c>
      <c r="AP977" t="b">
        <f>IF(metadata!E977="",FALSE,TRUE)</f>
        <v>0</v>
      </c>
      <c r="AQ977" t="b">
        <f>OR(AND(IF(metadata!F977="",FALSE,TRUE),OR(EXACT(metadata!F977,"missing: not collected"),EXACT(metadata!F977,"missing: not provided"))),AND(IF(metadata!F977="",FALSE,TRUE),OR(EXACT(metadata!F977,"TRUE"),EXACT(metadata!F977,"FALSE"))))</f>
        <v>0</v>
      </c>
      <c r="AR977" t="b">
        <f>OR(AND(IF(metadata!G977="",FALSE,TRUE),OR(EXACT(metadata!G977,"missing: not collected"),EXACT(metadata!G977,"missing: not provided"),EXACT(metadata!G977,"missing: restricted access"))),AND(IF(metadata!G977="",FALSE,ISNUMBER(VALUE(metadata!G977))),metadata!G977&gt;=-413))</f>
        <v>0</v>
      </c>
      <c r="AS977" t="b">
        <f>AND(IF(metadata!H977="",FALSE,TRUE),EXACT(metadata!H977,"meters"))</f>
        <v>0</v>
      </c>
      <c r="AT977" t="b">
        <f>AND(IF(metadata!I977="",FALSE,TRUE),OR(EXACT(metadata!I977,"Host-associated"),EXACT(metadata!I977,"Free-living")))</f>
        <v>0</v>
      </c>
      <c r="AU977" t="b">
        <f>AND(IF(metadata!J977="",FALSE,TRUE),OR(EXACT(metadata!J977,"Animal"),EXACT(metadata!J977,"Fungus"),EXACT(metadata!J977,"Plant"),EXACT(metadata!J977,"Saline"),EXACT(metadata!J977,"Non-saline")))</f>
        <v>0</v>
      </c>
      <c r="AV977" t="b">
        <f>AND(IF(metadata!K977="",FALSE,TRUE),OR(EXACT(metadata!K977,"Plant secretion"),EXACT(metadata!K977,"Plant rhizosphere"),EXACT(metadata!K977,"Plant surface"),EXACT(metadata!K977,"Plant corpus"),EXACT(metadata!K977,"Fungus surface"),EXACT(metadata!K977,"Fungus corpus"),EXACT(metadata!K977,"Animal surface"),EXACT(metadata!K977,"Animal proximal gut"),EXACT(metadata!K977,"Animal corpus"),EXACT(metadata!K977,"Animal distal gut"),EXACT(metadata!K977,"Animal secretion"),EXACT(metadata!K977,"Sub-surface (non-saline)"),EXACT(metadata!K977,"Surface (non-saline)"),EXACT(metadata!K977,"Water (non-saline)"),EXACT(metadata!K977,"Soil (non-saline)"),EXACT(metadata!K977,"Aerosol (non-saline)"),EXACT(metadata!K977,"Sediment (non-saline)"),EXACT(metadata!K977,"Surface (saline)"),EXACT(metadata!K977,"Water (saline)"),EXACT(metadata!K977,"Hypersaline (saline)"),EXACT(metadata!K977,"Aerosol (saline)"),EXACT(metadata!K977,"Sediment (saline)")))</f>
        <v>0</v>
      </c>
      <c r="AW977" t="b">
        <f>IF(metadata!L977="",FALSE,TRUE)</f>
        <v>0</v>
      </c>
      <c r="AX977" t="b">
        <f>IF(metadata!M977="",FALSE,TRUE)</f>
        <v>0</v>
      </c>
      <c r="AY977" t="b">
        <f>IF(metadata!N977="",FALSE,TRUE)</f>
        <v>0</v>
      </c>
      <c r="AZ977" t="b">
        <f>OR(AND(IF(metadata!O977="",FALSE,TRUE),OR(EXACT(metadata!O977,"missing: not collected"),EXACT(metadata!O977,"missing: not provided"),EXACT(metadata!O977,"missing: restricted access"))),AND(IF(metadata!O977="",FALSE,TRUE),OR(EXACT(metadata!O977,"air"),EXACT(metadata!O977,"built environment"),EXACT(metadata!O977,"host-associated"),EXACT(metadata!O977,"human-associated"),EXACT(metadata!O977,"human-skin"),EXACT(metadata!O977,"human-oral"),EXACT(metadata!O977,"human-gut"),EXACT(metadata!O977,"human-vaginal"),EXACT(metadata!O977,"microbial mat/biofilm"),EXACT(metadata!O977,"misc environment"),EXACT(metadata!O977,"plant-associated"),EXACT(metadata!O977,"sediment"),EXACT(metadata!O977,"soil"),EXACT(metadata!O977,"wastewater/sludge"),EXACT(metadata!O977,"water"))))</f>
        <v>0</v>
      </c>
      <c r="BA977" t="b">
        <f>IF(metadata!P977="",FALSE,TRUE)</f>
        <v>0</v>
      </c>
      <c r="BB977" t="b">
        <f>IF(metadata!Q977="",FALSE,TRUE)</f>
        <v>0</v>
      </c>
      <c r="BC977" t="b">
        <f>OR(AND(IF(metadata!R977="",FALSE,TRUE),OR(EXACT(metadata!R977,"missing: not collected"),EXACT(metadata!R977,"missing: not provided"),EXACT(metadata!R977,"missing: restricted access"))),AND(IF(metadata!R977="",FALSE,ISNUMBER(VALUE(metadata!R977))),metadata!R977&gt;=-90,metadata!R977&lt;=90))</f>
        <v>0</v>
      </c>
      <c r="BD977" t="b">
        <f>AND(IF(metadata!S977="",FALSE,TRUE),EXACT(metadata!S977,"Decimal degrees"))</f>
        <v>0</v>
      </c>
      <c r="BE977" t="b">
        <f>OR(AND(IF(metadata!T977="",FALSE,TRUE),OR(EXACT(metadata!T977,"missing: not collected"),EXACT(metadata!T977,"missing: not provided"),EXACT(metadata!T977,"missing: restricted access"))),AND(IF(metadata!T977="",FALSE,ISNUMBER(VALUE(metadata!T977))),metadata!T977&gt;=-180,metadata!T977&lt;=180))</f>
        <v>0</v>
      </c>
      <c r="BF977" t="b">
        <f>AND(IF(metadata!U977="",FALSE,TRUE),EXACT(metadata!U977,"Decimal degrees"))</f>
        <v>0</v>
      </c>
      <c r="BG977" t="b">
        <f>IF(metadata!V977="",FALSE,TRUE)</f>
        <v>0</v>
      </c>
      <c r="BH977" t="b">
        <f>OR(AND(IF(metadata!W977="",FALSE,TRUE),OR(EXACT(metadata!W977,"missing: not collected"),EXACT(metadata!W977,"missing: not provided"),EXACT(metadata!W977,"missing: restricted access"))),AND(IF(metadata!W977="",FALSE,TRUE),OR(EXACT(metadata!W977,"TRUE"),EXACT(metadata!W977,"FALSE"))))</f>
        <v>0</v>
      </c>
      <c r="BI977" t="b">
        <f>AND(IF(metadata!X977="",FALSE,TRUE),EXACT(metadata!X977,"other"))</f>
        <v>0</v>
      </c>
      <c r="BJ977" t="b">
        <f>IF(metadata!Y977="",FALSE,TRUE)</f>
        <v>0</v>
      </c>
      <c r="BK977" t="b">
        <f>OR(AND(IF(metadata!Z977="",FALSE,TRUE),OR(EXACT(metadata!Z977,"missing: not collected"),EXACT(metadata!Z977,"missing: not provided"))),AND(IF(metadata!Z977="",FALSE,IF(ISERROR(INT(metadata!Z977)),FALSE,INT(metadata!Z977)=metadata!Z977)),metadata!Z977&gt;0))</f>
        <v>0</v>
      </c>
      <c r="BL977" t="b">
        <f>AND(IF(metadata!AA977="",FALSE,TRUE),EXACT(metadata!AA977,"Not applicable"))</f>
        <v>0</v>
      </c>
      <c r="BM977" t="b">
        <f>IF(metadata!AB977="",FALSE,TRUE)</f>
        <v>0</v>
      </c>
    </row>
    <row r="978" spans="1:65" x14ac:dyDescent="0.2">
      <c r="A978" s="5" t="str">
        <f ca="1">IF(B978=" "," ",HYPERLINK(CONCATENATE("#metadata!",ADDRESS(INDEX($AH$2:$AH$1001,MATCH(ROWS($AF$2:AF978),$AF$2:$AF$1001,0),0),1)),INDEX($AK$2:$AK$1001,MATCH(ROWS($AF$2:AF978),$AF$2:$AF$1001,0),0)))</f>
        <v xml:space="preserve"> </v>
      </c>
      <c r="B978" s="4" t="str">
        <f ca="1">IF(OR(INDEX($AG$2:$AG$1001,MATCH(ROWS($AF$2:AF978),$AF$2:$AF$1001,0),1)&gt;=100000,INDEX($AM$1005:$BM$1005,1,MATCH(COLUMNS($AM$1006:AM1006),$AM$1006:$BM$1006,0))&gt;=100000), " ",IF(INDEX($AM$2:$BM$1001,MATCH(ROWS($AF$2:AF978),$AF$2:$AF$1001,0),MATCH(COLUMNS($AM$1006:AM1006),$AM$1006:$BM$1006,0)), HYPERLINK("#",""), HYPERLINK(CONCATENATE("#metadata!", ADDRESS(INDEX($AH$2:$AH$1001,MATCH(ROWS($AF$2:AF978),$AF$2:$AF$1001,0),0), INDEX($AM$1004:$BM$1004,1,MATCH(COLUMNS($AM$1006:AM1006),$AM$1006:$BM$1006,0)))),"Fix")))</f>
        <v xml:space="preserve"> </v>
      </c>
      <c r="C978" s="4" t="str">
        <f ca="1">IF(OR(INDEX($AG$2:$AG$1001,MATCH(ROWS($AF$2:AF978),$AF$2:$AF$1001,0),1)&gt;=100000,INDEX($AM$1005:$BM$1005,1,MATCH(COLUMNS($AM$1006:AN1006),$AM$1006:$BM$1006,0))&gt;=100000), " ",IF(INDEX($AM$2:$BM$1001,MATCH(ROWS($AF$2:AF978),$AF$2:$AF$1001,0),MATCH(COLUMNS($AM$1006:AN1006),$AM$1006:$BM$1006,0)), HYPERLINK("#",""), HYPERLINK(CONCATENATE("#metadata!", ADDRESS(INDEX($AH$2:$AH$1001,MATCH(ROWS($AF$2:AF978),$AF$2:$AF$1001,0),0), INDEX($AM$1004:$BM$1004,1,MATCH(COLUMNS($AM$1006:AN1006),$AM$1006:$BM$1006,0)))),"Fix")))</f>
        <v xml:space="preserve"> </v>
      </c>
      <c r="D978" s="4" t="str">
        <f ca="1">IF(OR(INDEX($AG$2:$AG$1001,MATCH(ROWS($AF$2:AF978),$AF$2:$AF$1001,0),1)&gt;=100000,INDEX($AM$1005:$BM$1005,1,MATCH(COLUMNS($AM$1006:AO1006),$AM$1006:$BM$1006,0))&gt;=100000), " ",IF(INDEX($AM$2:$BM$1001,MATCH(ROWS($AF$2:AF978),$AF$2:$AF$1001,0),MATCH(COLUMNS($AM$1006:AO1006),$AM$1006:$BM$1006,0)), HYPERLINK("#",""), HYPERLINK(CONCATENATE("#metadata!", ADDRESS(INDEX($AH$2:$AH$1001,MATCH(ROWS($AF$2:AF978),$AF$2:$AF$1001,0),0), INDEX($AM$1004:$BM$1004,1,MATCH(COLUMNS($AM$1006:AO1006),$AM$1006:$BM$1006,0)))),"Fix")))</f>
        <v xml:space="preserve"> </v>
      </c>
      <c r="E978" s="4" t="str">
        <f ca="1">IF(OR(INDEX($AG$2:$AG$1001,MATCH(ROWS($AF$2:AF978),$AF$2:$AF$1001,0),1)&gt;=100000,INDEX($AM$1005:$BM$1005,1,MATCH(COLUMNS($AM$1006:AP1006),$AM$1006:$BM$1006,0))&gt;=100000), " ",IF(INDEX($AM$2:$BM$1001,MATCH(ROWS($AF$2:AF978),$AF$2:$AF$1001,0),MATCH(COLUMNS($AM$1006:AP1006),$AM$1006:$BM$1006,0)), HYPERLINK("#",""), HYPERLINK(CONCATENATE("#metadata!", ADDRESS(INDEX($AH$2:$AH$1001,MATCH(ROWS($AF$2:AF978),$AF$2:$AF$1001,0),0), INDEX($AM$1004:$BM$1004,1,MATCH(COLUMNS($AM$1006:AP1006),$AM$1006:$BM$1006,0)))),"Fix")))</f>
        <v xml:space="preserve"> </v>
      </c>
      <c r="F978" s="4" t="str">
        <f ca="1">IF(OR(INDEX($AG$2:$AG$1001,MATCH(ROWS($AF$2:AF978),$AF$2:$AF$1001,0),1)&gt;=100000,INDEX($AM$1005:$BM$1005,1,MATCH(COLUMNS($AM$1006:AQ1006),$AM$1006:$BM$1006,0))&gt;=100000), " ",IF(INDEX($AM$2:$BM$1001,MATCH(ROWS($AF$2:AF978),$AF$2:$AF$1001,0),MATCH(COLUMNS($AM$1006:AQ1006),$AM$1006:$BM$1006,0)), HYPERLINK("#",""), HYPERLINK(CONCATENATE("#metadata!", ADDRESS(INDEX($AH$2:$AH$1001,MATCH(ROWS($AF$2:AF978),$AF$2:$AF$1001,0),0), INDEX($AM$1004:$BM$1004,1,MATCH(COLUMNS($AM$1006:AQ1006),$AM$1006:$BM$1006,0)))),"Fix")))</f>
        <v xml:space="preserve"> </v>
      </c>
      <c r="G978" s="4" t="str">
        <f ca="1">IF(OR(INDEX($AG$2:$AG$1001,MATCH(ROWS($AF$2:AF978),$AF$2:$AF$1001,0),1)&gt;=100000,INDEX($AM$1005:$BM$1005,1,MATCH(COLUMNS($AM$1006:AR1006),$AM$1006:$BM$1006,0))&gt;=100000), " ",IF(INDEX($AM$2:$BM$1001,MATCH(ROWS($AF$2:AF978),$AF$2:$AF$1001,0),MATCH(COLUMNS($AM$1006:AR1006),$AM$1006:$BM$1006,0)), HYPERLINK("#",""), HYPERLINK(CONCATENATE("#metadata!", ADDRESS(INDEX($AH$2:$AH$1001,MATCH(ROWS($AF$2:AF978),$AF$2:$AF$1001,0),0), INDEX($AM$1004:$BM$1004,1,MATCH(COLUMNS($AM$1006:AR1006),$AM$1006:$BM$1006,0)))),"Fix")))</f>
        <v xml:space="preserve"> </v>
      </c>
      <c r="H978" s="4" t="str">
        <f ca="1">IF(OR(INDEX($AG$2:$AG$1001,MATCH(ROWS($AF$2:AF978),$AF$2:$AF$1001,0),1)&gt;=100000,INDEX($AM$1005:$BM$1005,1,MATCH(COLUMNS($AM$1006:AS1006),$AM$1006:$BM$1006,0))&gt;=100000), " ",IF(INDEX($AM$2:$BM$1001,MATCH(ROWS($AF$2:AF978),$AF$2:$AF$1001,0),MATCH(COLUMNS($AM$1006:AS1006),$AM$1006:$BM$1006,0)), HYPERLINK("#",""), HYPERLINK(CONCATENATE("#metadata!", ADDRESS(INDEX($AH$2:$AH$1001,MATCH(ROWS($AF$2:AF978),$AF$2:$AF$1001,0),0), INDEX($AM$1004:$BM$1004,1,MATCH(COLUMNS($AM$1006:AS1006),$AM$1006:$BM$1006,0)))),"Fix")))</f>
        <v xml:space="preserve"> </v>
      </c>
      <c r="I978" s="4" t="str">
        <f ca="1">IF(OR(INDEX($AG$2:$AG$1001,MATCH(ROWS($AF$2:AF978),$AF$2:$AF$1001,0),1)&gt;=100000,INDEX($AM$1005:$BM$1005,1,MATCH(COLUMNS($AM$1006:AT1006),$AM$1006:$BM$1006,0))&gt;=100000), " ",IF(INDEX($AM$2:$BM$1001,MATCH(ROWS($AF$2:AF978),$AF$2:$AF$1001,0),MATCH(COLUMNS($AM$1006:AT1006),$AM$1006:$BM$1006,0)), HYPERLINK("#",""), HYPERLINK(CONCATENATE("#metadata!", ADDRESS(INDEX($AH$2:$AH$1001,MATCH(ROWS($AF$2:AF978),$AF$2:$AF$1001,0),0), INDEX($AM$1004:$BM$1004,1,MATCH(COLUMNS($AM$1006:AT1006),$AM$1006:$BM$1006,0)))),"Fix")))</f>
        <v xml:space="preserve"> </v>
      </c>
      <c r="J978" s="4" t="str">
        <f ca="1">IF(OR(INDEX($AG$2:$AG$1001,MATCH(ROWS($AF$2:AF978),$AF$2:$AF$1001,0),1)&gt;=100000,INDEX($AM$1005:$BM$1005,1,MATCH(COLUMNS($AM$1006:AU1006),$AM$1006:$BM$1006,0))&gt;=100000), " ",IF(INDEX($AM$2:$BM$1001,MATCH(ROWS($AF$2:AF978),$AF$2:$AF$1001,0),MATCH(COLUMNS($AM$1006:AU1006),$AM$1006:$BM$1006,0)), HYPERLINK("#",""), HYPERLINK(CONCATENATE("#metadata!", ADDRESS(INDEX($AH$2:$AH$1001,MATCH(ROWS($AF$2:AF978),$AF$2:$AF$1001,0),0), INDEX($AM$1004:$BM$1004,1,MATCH(COLUMNS($AM$1006:AU1006),$AM$1006:$BM$1006,0)))),"Fix")))</f>
        <v xml:space="preserve"> </v>
      </c>
      <c r="K978" s="4" t="str">
        <f ca="1">IF(OR(INDEX($AG$2:$AG$1001,MATCH(ROWS($AF$2:AF978),$AF$2:$AF$1001,0),1)&gt;=100000,INDEX($AM$1005:$BM$1005,1,MATCH(COLUMNS($AM$1006:AV1006),$AM$1006:$BM$1006,0))&gt;=100000), " ",IF(INDEX($AM$2:$BM$1001,MATCH(ROWS($AF$2:AF978),$AF$2:$AF$1001,0),MATCH(COLUMNS($AM$1006:AV1006),$AM$1006:$BM$1006,0)), HYPERLINK("#",""), HYPERLINK(CONCATENATE("#metadata!", ADDRESS(INDEX($AH$2:$AH$1001,MATCH(ROWS($AF$2:AF978),$AF$2:$AF$1001,0),0), INDEX($AM$1004:$BM$1004,1,MATCH(COLUMNS($AM$1006:AV1006),$AM$1006:$BM$1006,0)))),"Fix")))</f>
        <v xml:space="preserve"> </v>
      </c>
      <c r="L978" s="4" t="str">
        <f ca="1">IF(OR(INDEX($AG$2:$AG$1001,MATCH(ROWS($AF$2:AF978),$AF$2:$AF$1001,0),1)&gt;=100000,INDEX($AM$1005:$BM$1005,1,MATCH(COLUMNS($AM$1006:AW1006),$AM$1006:$BM$1006,0))&gt;=100000), " ",IF(INDEX($AM$2:$BM$1001,MATCH(ROWS($AF$2:AF978),$AF$2:$AF$1001,0),MATCH(COLUMNS($AM$1006:AW1006),$AM$1006:$BM$1006,0)), HYPERLINK("#",""), HYPERLINK(CONCATENATE("#metadata!", ADDRESS(INDEX($AH$2:$AH$1001,MATCH(ROWS($AF$2:AF978),$AF$2:$AF$1001,0),0), INDEX($AM$1004:$BM$1004,1,MATCH(COLUMNS($AM$1006:AW1006),$AM$1006:$BM$1006,0)))),"Fix")))</f>
        <v xml:space="preserve"> </v>
      </c>
      <c r="M978" s="4" t="str">
        <f ca="1">IF(OR(INDEX($AG$2:$AG$1001,MATCH(ROWS($AF$2:AF978),$AF$2:$AF$1001,0),1)&gt;=100000,INDEX($AM$1005:$BM$1005,1,MATCH(COLUMNS($AM$1006:AX1006),$AM$1006:$BM$1006,0))&gt;=100000), " ",IF(INDEX($AM$2:$BM$1001,MATCH(ROWS($AF$2:AF978),$AF$2:$AF$1001,0),MATCH(COLUMNS($AM$1006:AX1006),$AM$1006:$BM$1006,0)), HYPERLINK("#",""), HYPERLINK(CONCATENATE("#metadata!", ADDRESS(INDEX($AH$2:$AH$1001,MATCH(ROWS($AF$2:AF978),$AF$2:$AF$1001,0),0), INDEX($AM$1004:$BM$1004,1,MATCH(COLUMNS($AM$1006:AX1006),$AM$1006:$BM$1006,0)))),"Fix")))</f>
        <v xml:space="preserve"> </v>
      </c>
      <c r="N978" s="4" t="str">
        <f ca="1">IF(OR(INDEX($AG$2:$AG$1001,MATCH(ROWS($AF$2:AF978),$AF$2:$AF$1001,0),1)&gt;=100000,INDEX($AM$1005:$BM$1005,1,MATCH(COLUMNS($AM$1006:AY1006),$AM$1006:$BM$1006,0))&gt;=100000), " ",IF(INDEX($AM$2:$BM$1001,MATCH(ROWS($AF$2:AF978),$AF$2:$AF$1001,0),MATCH(COLUMNS($AM$1006:AY1006),$AM$1006:$BM$1006,0)), HYPERLINK("#",""), HYPERLINK(CONCATENATE("#metadata!", ADDRESS(INDEX($AH$2:$AH$1001,MATCH(ROWS($AF$2:AF978),$AF$2:$AF$1001,0),0), INDEX($AM$1004:$BM$1004,1,MATCH(COLUMNS($AM$1006:AY1006),$AM$1006:$BM$1006,0)))),"Fix")))</f>
        <v xml:space="preserve"> </v>
      </c>
      <c r="O978" s="4" t="str">
        <f ca="1">IF(OR(INDEX($AG$2:$AG$1001,MATCH(ROWS($AF$2:AF978),$AF$2:$AF$1001,0),1)&gt;=100000,INDEX($AM$1005:$BM$1005,1,MATCH(COLUMNS($AM$1006:AZ1006),$AM$1006:$BM$1006,0))&gt;=100000), " ",IF(INDEX($AM$2:$BM$1001,MATCH(ROWS($AF$2:AF978),$AF$2:$AF$1001,0),MATCH(COLUMNS($AM$1006:AZ1006),$AM$1006:$BM$1006,0)), HYPERLINK("#",""), HYPERLINK(CONCATENATE("#metadata!", ADDRESS(INDEX($AH$2:$AH$1001,MATCH(ROWS($AF$2:AF978),$AF$2:$AF$1001,0),0), INDEX($AM$1004:$BM$1004,1,MATCH(COLUMNS($AM$1006:AZ1006),$AM$1006:$BM$1006,0)))),"Fix")))</f>
        <v xml:space="preserve"> </v>
      </c>
      <c r="P978" s="4" t="str">
        <f ca="1">IF(OR(INDEX($AG$2:$AG$1001,MATCH(ROWS($AF$2:AF978),$AF$2:$AF$1001,0),1)&gt;=100000,INDEX($AM$1005:$BM$1005,1,MATCH(COLUMNS($AM$1006:BA1006),$AM$1006:$BM$1006,0))&gt;=100000), " ",IF(INDEX($AM$2:$BM$1001,MATCH(ROWS($AF$2:AF978),$AF$2:$AF$1001,0),MATCH(COLUMNS($AM$1006:BA1006),$AM$1006:$BM$1006,0)), HYPERLINK("#",""), HYPERLINK(CONCATENATE("#metadata!", ADDRESS(INDEX($AH$2:$AH$1001,MATCH(ROWS($AF$2:AF978),$AF$2:$AF$1001,0),0), INDEX($AM$1004:$BM$1004,1,MATCH(COLUMNS($AM$1006:BA1006),$AM$1006:$BM$1006,0)))),"Fix")))</f>
        <v xml:space="preserve"> </v>
      </c>
      <c r="Q978" s="4" t="str">
        <f ca="1">IF(OR(INDEX($AG$2:$AG$1001,MATCH(ROWS($AF$2:AF978),$AF$2:$AF$1001,0),1)&gt;=100000,INDEX($AM$1005:$BM$1005,1,MATCH(COLUMNS($AM$1006:BB1006),$AM$1006:$BM$1006,0))&gt;=100000), " ",IF(INDEX($AM$2:$BM$1001,MATCH(ROWS($AF$2:AF978),$AF$2:$AF$1001,0),MATCH(COLUMNS($AM$1006:BB1006),$AM$1006:$BM$1006,0)), HYPERLINK("#",""), HYPERLINK(CONCATENATE("#metadata!", ADDRESS(INDEX($AH$2:$AH$1001,MATCH(ROWS($AF$2:AF978),$AF$2:$AF$1001,0),0), INDEX($AM$1004:$BM$1004,1,MATCH(COLUMNS($AM$1006:BB1006),$AM$1006:$BM$1006,0)))),"Fix")))</f>
        <v xml:space="preserve"> </v>
      </c>
      <c r="R978" s="4" t="str">
        <f ca="1">IF(OR(INDEX($AG$2:$AG$1001,MATCH(ROWS($AF$2:AF978),$AF$2:$AF$1001,0),1)&gt;=100000,INDEX($AM$1005:$BM$1005,1,MATCH(COLUMNS($AM$1006:BC1006),$AM$1006:$BM$1006,0))&gt;=100000), " ",IF(INDEX($AM$2:$BM$1001,MATCH(ROWS($AF$2:AF978),$AF$2:$AF$1001,0),MATCH(COLUMNS($AM$1006:BC1006),$AM$1006:$BM$1006,0)), HYPERLINK("#",""), HYPERLINK(CONCATENATE("#metadata!", ADDRESS(INDEX($AH$2:$AH$1001,MATCH(ROWS($AF$2:AF978),$AF$2:$AF$1001,0),0), INDEX($AM$1004:$BM$1004,1,MATCH(COLUMNS($AM$1006:BC1006),$AM$1006:$BM$1006,0)))),"Fix")))</f>
        <v xml:space="preserve"> </v>
      </c>
      <c r="S978" s="4" t="str">
        <f ca="1">IF(OR(INDEX($AG$2:$AG$1001,MATCH(ROWS($AF$2:AF978),$AF$2:$AF$1001,0),1)&gt;=100000,INDEX($AM$1005:$BM$1005,1,MATCH(COLUMNS($AM$1006:BD1006),$AM$1006:$BM$1006,0))&gt;=100000), " ",IF(INDEX($AM$2:$BM$1001,MATCH(ROWS($AF$2:AF978),$AF$2:$AF$1001,0),MATCH(COLUMNS($AM$1006:BD1006),$AM$1006:$BM$1006,0)), HYPERLINK("#",""), HYPERLINK(CONCATENATE("#metadata!", ADDRESS(INDEX($AH$2:$AH$1001,MATCH(ROWS($AF$2:AF978),$AF$2:$AF$1001,0),0), INDEX($AM$1004:$BM$1004,1,MATCH(COLUMNS($AM$1006:BD1006),$AM$1006:$BM$1006,0)))),"Fix")))</f>
        <v xml:space="preserve"> </v>
      </c>
      <c r="T978" s="4" t="str">
        <f ca="1">IF(OR(INDEX($AG$2:$AG$1001,MATCH(ROWS($AF$2:AF978),$AF$2:$AF$1001,0),1)&gt;=100000,INDEX($AM$1005:$BM$1005,1,MATCH(COLUMNS($AM$1006:BE1006),$AM$1006:$BM$1006,0))&gt;=100000), " ",IF(INDEX($AM$2:$BM$1001,MATCH(ROWS($AF$2:AF978),$AF$2:$AF$1001,0),MATCH(COLUMNS($AM$1006:BE1006),$AM$1006:$BM$1006,0)), HYPERLINK("#",""), HYPERLINK(CONCATENATE("#metadata!", ADDRESS(INDEX($AH$2:$AH$1001,MATCH(ROWS($AF$2:AF978),$AF$2:$AF$1001,0),0), INDEX($AM$1004:$BM$1004,1,MATCH(COLUMNS($AM$1006:BE1006),$AM$1006:$BM$1006,0)))),"Fix")))</f>
        <v xml:space="preserve"> </v>
      </c>
      <c r="U978" s="4" t="str">
        <f ca="1">IF(OR(INDEX($AG$2:$AG$1001,MATCH(ROWS($AF$2:AF978),$AF$2:$AF$1001,0),1)&gt;=100000,INDEX($AM$1005:$BM$1005,1,MATCH(COLUMNS($AM$1006:BF1006),$AM$1006:$BM$1006,0))&gt;=100000), " ",IF(INDEX($AM$2:$BM$1001,MATCH(ROWS($AF$2:AF978),$AF$2:$AF$1001,0),MATCH(COLUMNS($AM$1006:BF1006),$AM$1006:$BM$1006,0)), HYPERLINK("#",""), HYPERLINK(CONCATENATE("#metadata!", ADDRESS(INDEX($AH$2:$AH$1001,MATCH(ROWS($AF$2:AF978),$AF$2:$AF$1001,0),0), INDEX($AM$1004:$BM$1004,1,MATCH(COLUMNS($AM$1006:BF1006),$AM$1006:$BM$1006,0)))),"Fix")))</f>
        <v xml:space="preserve"> </v>
      </c>
      <c r="V978" s="4" t="str">
        <f ca="1">IF(OR(INDEX($AG$2:$AG$1001,MATCH(ROWS($AF$2:AF978),$AF$2:$AF$1001,0),1)&gt;=100000,INDEX($AM$1005:$BM$1005,1,MATCH(COLUMNS($AM$1006:BG1006),$AM$1006:$BM$1006,0))&gt;=100000), " ",IF(INDEX($AM$2:$BM$1001,MATCH(ROWS($AF$2:AF978),$AF$2:$AF$1001,0),MATCH(COLUMNS($AM$1006:BG1006),$AM$1006:$BM$1006,0)), HYPERLINK("#",""), HYPERLINK(CONCATENATE("#metadata!", ADDRESS(INDEX($AH$2:$AH$1001,MATCH(ROWS($AF$2:AF978),$AF$2:$AF$1001,0),0), INDEX($AM$1004:$BM$1004,1,MATCH(COLUMNS($AM$1006:BG1006),$AM$1006:$BM$1006,0)))),"Fix")))</f>
        <v xml:space="preserve"> </v>
      </c>
      <c r="W978" s="4" t="str">
        <f ca="1">IF(OR(INDEX($AG$2:$AG$1001,MATCH(ROWS($AF$2:AF978),$AF$2:$AF$1001,0),1)&gt;=100000,INDEX($AM$1005:$BM$1005,1,MATCH(COLUMNS($AM$1006:BH1006),$AM$1006:$BM$1006,0))&gt;=100000), " ",IF(INDEX($AM$2:$BM$1001,MATCH(ROWS($AF$2:AF978),$AF$2:$AF$1001,0),MATCH(COLUMNS($AM$1006:BH1006),$AM$1006:$BM$1006,0)), HYPERLINK("#",""), HYPERLINK(CONCATENATE("#metadata!", ADDRESS(INDEX($AH$2:$AH$1001,MATCH(ROWS($AF$2:AF978),$AF$2:$AF$1001,0),0), INDEX($AM$1004:$BM$1004,1,MATCH(COLUMNS($AM$1006:BH1006),$AM$1006:$BM$1006,0)))),"Fix")))</f>
        <v xml:space="preserve"> </v>
      </c>
      <c r="X978" s="4" t="str">
        <f ca="1">IF(OR(INDEX($AG$2:$AG$1001,MATCH(ROWS($AF$2:AF978),$AF$2:$AF$1001,0),1)&gt;=100000,INDEX($AM$1005:$BM$1005,1,MATCH(COLUMNS($AM$1006:BI1006),$AM$1006:$BM$1006,0))&gt;=100000), " ",IF(INDEX($AM$2:$BM$1001,MATCH(ROWS($AF$2:AF978),$AF$2:$AF$1001,0),MATCH(COLUMNS($AM$1006:BI1006),$AM$1006:$BM$1006,0)), HYPERLINK("#",""), HYPERLINK(CONCATENATE("#metadata!", ADDRESS(INDEX($AH$2:$AH$1001,MATCH(ROWS($AF$2:AF978),$AF$2:$AF$1001,0),0), INDEX($AM$1004:$BM$1004,1,MATCH(COLUMNS($AM$1006:BI1006),$AM$1006:$BM$1006,0)))),"Fix")))</f>
        <v xml:space="preserve"> </v>
      </c>
      <c r="Y978" s="4" t="str">
        <f ca="1">IF(OR(INDEX($AG$2:$AG$1001,MATCH(ROWS($AF$2:AF978),$AF$2:$AF$1001,0),1)&gt;=100000,INDEX($AM$1005:$BM$1005,1,MATCH(COLUMNS($AM$1006:BJ1006),$AM$1006:$BM$1006,0))&gt;=100000), " ",IF(INDEX($AM$2:$BM$1001,MATCH(ROWS($AF$2:AF978),$AF$2:$AF$1001,0),MATCH(COLUMNS($AM$1006:BJ1006),$AM$1006:$BM$1006,0)), HYPERLINK("#",""), HYPERLINK(CONCATENATE("#metadata!", ADDRESS(INDEX($AH$2:$AH$1001,MATCH(ROWS($AF$2:AF978),$AF$2:$AF$1001,0),0), INDEX($AM$1004:$BM$1004,1,MATCH(COLUMNS($AM$1006:BJ1006),$AM$1006:$BM$1006,0)))),"Fix")))</f>
        <v xml:space="preserve"> </v>
      </c>
      <c r="Z978" s="4" t="str">
        <f ca="1">IF(OR(INDEX($AG$2:$AG$1001,MATCH(ROWS($AF$2:AF978),$AF$2:$AF$1001,0),1)&gt;=100000,INDEX($AM$1005:$BM$1005,1,MATCH(COLUMNS($AM$1006:BK1006),$AM$1006:$BM$1006,0))&gt;=100000), " ",IF(INDEX($AM$2:$BM$1001,MATCH(ROWS($AF$2:AF978),$AF$2:$AF$1001,0),MATCH(COLUMNS($AM$1006:BK1006),$AM$1006:$BM$1006,0)), HYPERLINK("#",""), HYPERLINK(CONCATENATE("#metadata!", ADDRESS(INDEX($AH$2:$AH$1001,MATCH(ROWS($AF$2:AF978),$AF$2:$AF$1001,0),0), INDEX($AM$1004:$BM$1004,1,MATCH(COLUMNS($AM$1006:BK1006),$AM$1006:$BM$1006,0)))),"Fix")))</f>
        <v xml:space="preserve"> </v>
      </c>
      <c r="AA978" s="4" t="str">
        <f ca="1">IF(OR(INDEX($AG$2:$AG$1001,MATCH(ROWS($AF$2:AF978),$AF$2:$AF$1001,0),1)&gt;=100000,INDEX($AM$1005:$BM$1005,1,MATCH(COLUMNS($AM$1006:BL1006),$AM$1006:$BM$1006,0))&gt;=100000), " ",IF(INDEX($AM$2:$BM$1001,MATCH(ROWS($AF$2:AF978),$AF$2:$AF$1001,0),MATCH(COLUMNS($AM$1006:BL1006),$AM$1006:$BM$1006,0)), HYPERLINK("#",""), HYPERLINK(CONCATENATE("#metadata!", ADDRESS(INDEX($AH$2:$AH$1001,MATCH(ROWS($AF$2:AF978),$AF$2:$AF$1001,0),0), INDEX($AM$1004:$BM$1004,1,MATCH(COLUMNS($AM$1006:BL1006),$AM$1006:$BM$1006,0)))),"Fix")))</f>
        <v xml:space="preserve"> </v>
      </c>
      <c r="AB978" s="4" t="str">
        <f ca="1">IF(OR(INDEX($AG$2:$AG$1001,MATCH(ROWS($AF$2:AF978),$AF$2:$AF$1001,0),1)&gt;=100000,INDEX($AM$1005:$BM$1005,1,MATCH(COLUMNS($AM$1006:BM1006),$AM$1006:$BM$1006,0))&gt;=100000), " ",IF(INDEX($AM$2:$BM$1001,MATCH(ROWS($AF$2:AF978),$AF$2:$AF$1001,0),MATCH(COLUMNS($AM$1006:BM1006),$AM$1006:$BM$1006,0)), HYPERLINK("#",""), HYPERLINK(CONCATENATE("#metadata!", ADDRESS(INDEX($AH$2:$AH$1001,MATCH(ROWS($AF$2:AF978),$AF$2:$AF$1001,0),0), INDEX($AM$1004:$BM$1004,1,MATCH(COLUMNS($AM$1006:BM1006),$AM$1006:$BM$1006,0)))),"Fix")))</f>
        <v xml:space="preserve"> </v>
      </c>
      <c r="AF978">
        <v>977</v>
      </c>
      <c r="AG978">
        <v>100978</v>
      </c>
      <c r="AH978">
        <v>978</v>
      </c>
      <c r="AI978" t="b">
        <f t="shared" si="15"/>
        <v>1</v>
      </c>
      <c r="AJ978" t="b">
        <f>COUNTBLANK(metadata!B978:AB978)=COLUMNS(metadata!B978:AB978)</f>
        <v>1</v>
      </c>
      <c r="AK978" t="str">
        <v/>
      </c>
      <c r="AM978" t="b">
        <f ca="1">AND(IF(metadata!B978="",FALSE,TRUE),COUNTIF(metadata!B:B, metadata!B978) = 1,NOT(ISERROR(SUMPRODUCT(SEARCH(MID(metadata!B978,ROW(INDIRECT("1:"&amp;LEN(metadata!B978))), 1),"0123456789abcdefghijklmnopqrstuvwxyzABCDEFGHIJKLMNOPQRSTUVWXYZ.")))))</f>
        <v>0</v>
      </c>
      <c r="AN978" t="b">
        <f ca="1">OR(AND(IF(metadata!C978="",FALSE,TRUE),OR(EXACT(metadata!C978,"missing: not collected"),EXACT(metadata!C978,"missing: not provided"),EXACT(metadata!C978,"missing: restricted access"))),AND(IF(metadata!C978="",FALSE,TRUE),AND(AND(IFERROR(INT(LEFT(metadata!C978,4))&gt;1900,FALSE),IFERROR(INT(LEFT(metadata!C978,4))&lt;=YEAR(NOW()),FALSE)), OR(MID(metadata!C978,5,1)="", AND(AND(MID(metadata!C978,5,1)="-",IFERROR(INT(MID(metadata!C978,6,1))&gt;=0,FALSE),IFERROR(INT(MID(metadata!C978,6,1))&lt;=1,FALSE),NOT(MID(metadata!C978,7,1)=""),IFERROR(INT(MID(metadata!C978,6,2))&gt;=1,FALSE),IFERROR(INT(MID(metadata!C978,6,2))&lt;=12,FALSE)), OR(MID(metadata!C978,8,1)="", AND(AND(MID(metadata!C978,8,1)="-",IFERROR(INT(MID(metadata!C978,9,1))&gt;=0,FALSE),IFERROR(INT(MID(metadata!C978,9,1))&lt;=3,FALSE),NOT(MID(metadata!C978,10,1)=""),IFERROR(INT(MID(metadata!C978,9,2))&gt;=1,FALSE),IFERROR(INT(MID(metadata!C978,9,2))&lt;=31,FALSE)), OR(MID(metadata!C978,11,1)="", AND(AND(MID(metadata!C978,11,1)=" ",IFERROR(INT(MID(metadata!C978,12,1))&gt;=0,FALSE),IFERROR(INT(MID(metadata!C978,12,1))&lt;=2,FALSE),NOT(MID(metadata!C978,13,1)=""),IFERROR(INT(MID(metadata!C978,12,2))&gt;=0,FALSE),IFERROR(INT(MID(metadata!C978,12,2))&lt;=23,FALSE)), OR(MID(metadata!C978,14,1)="", AND(AND(MID(metadata!C978,14,1)=":",IFERROR(INT(MID(metadata!C978,15,1))&gt;=0,FALSE),IFERROR(INT(MID(metadata!C978,15,1))&lt;=5,FALSE),NOT(MID(metadata!C978,16,1)=""),IFERROR(INT(MID(metadata!C978,15,2))&gt;=0,FALSE),IFERROR(INT(MID(metadata!C978,15,2))&lt;=59,FALSE)), OR(MID(metadata!C978,17,1)="", AND(AND(MID(metadata!C978,17,1)=":",IFERROR(INT(MID(metadata!C978,18,1))&gt;=0,FALSE),IFERROR(INT(MID(metadata!C978,18,1))&lt;=5,FALSE),NOT(MID(metadata!C978,19,1)=""),IFERROR(INT(MID(metadata!C978,18,2))&gt;=0,FALSE),IFERROR(INT(MID(metadata!C978,18,2))&lt;=59,FALSE)), LEN(metadata!C978)&lt;=19)))))))))))))</f>
        <v>0</v>
      </c>
      <c r="AO978" t="b">
        <f>AND(IF(metadata!D978="",FALSE,TRUE),EXACT(metadata!D978,"Not applicable"))</f>
        <v>0</v>
      </c>
      <c r="AP978" t="b">
        <f>IF(metadata!E978="",FALSE,TRUE)</f>
        <v>0</v>
      </c>
      <c r="AQ978" t="b">
        <f>OR(AND(IF(metadata!F978="",FALSE,TRUE),OR(EXACT(metadata!F978,"missing: not collected"),EXACT(metadata!F978,"missing: not provided"))),AND(IF(metadata!F978="",FALSE,TRUE),OR(EXACT(metadata!F978,"TRUE"),EXACT(metadata!F978,"FALSE"))))</f>
        <v>0</v>
      </c>
      <c r="AR978" t="b">
        <f>OR(AND(IF(metadata!G978="",FALSE,TRUE),OR(EXACT(metadata!G978,"missing: not collected"),EXACT(metadata!G978,"missing: not provided"),EXACT(metadata!G978,"missing: restricted access"))),AND(IF(metadata!G978="",FALSE,ISNUMBER(VALUE(metadata!G978))),metadata!G978&gt;=-413))</f>
        <v>0</v>
      </c>
      <c r="AS978" t="b">
        <f>AND(IF(metadata!H978="",FALSE,TRUE),EXACT(metadata!H978,"meters"))</f>
        <v>0</v>
      </c>
      <c r="AT978" t="b">
        <f>AND(IF(metadata!I978="",FALSE,TRUE),OR(EXACT(metadata!I978,"Host-associated"),EXACT(metadata!I978,"Free-living")))</f>
        <v>0</v>
      </c>
      <c r="AU978" t="b">
        <f>AND(IF(metadata!J978="",FALSE,TRUE),OR(EXACT(metadata!J978,"Animal"),EXACT(metadata!J978,"Fungus"),EXACT(metadata!J978,"Plant"),EXACT(metadata!J978,"Saline"),EXACT(metadata!J978,"Non-saline")))</f>
        <v>0</v>
      </c>
      <c r="AV978" t="b">
        <f>AND(IF(metadata!K978="",FALSE,TRUE),OR(EXACT(metadata!K978,"Plant secretion"),EXACT(metadata!K978,"Plant rhizosphere"),EXACT(metadata!K978,"Plant surface"),EXACT(metadata!K978,"Plant corpus"),EXACT(metadata!K978,"Fungus surface"),EXACT(metadata!K978,"Fungus corpus"),EXACT(metadata!K978,"Animal surface"),EXACT(metadata!K978,"Animal proximal gut"),EXACT(metadata!K978,"Animal corpus"),EXACT(metadata!K978,"Animal distal gut"),EXACT(metadata!K978,"Animal secretion"),EXACT(metadata!K978,"Sub-surface (non-saline)"),EXACT(metadata!K978,"Surface (non-saline)"),EXACT(metadata!K978,"Water (non-saline)"),EXACT(metadata!K978,"Soil (non-saline)"),EXACT(metadata!K978,"Aerosol (non-saline)"),EXACT(metadata!K978,"Sediment (non-saline)"),EXACT(metadata!K978,"Surface (saline)"),EXACT(metadata!K978,"Water (saline)"),EXACT(metadata!K978,"Hypersaline (saline)"),EXACT(metadata!K978,"Aerosol (saline)"),EXACT(metadata!K978,"Sediment (saline)")))</f>
        <v>0</v>
      </c>
      <c r="AW978" t="b">
        <f>IF(metadata!L978="",FALSE,TRUE)</f>
        <v>0</v>
      </c>
      <c r="AX978" t="b">
        <f>IF(metadata!M978="",FALSE,TRUE)</f>
        <v>0</v>
      </c>
      <c r="AY978" t="b">
        <f>IF(metadata!N978="",FALSE,TRUE)</f>
        <v>0</v>
      </c>
      <c r="AZ978" t="b">
        <f>OR(AND(IF(metadata!O978="",FALSE,TRUE),OR(EXACT(metadata!O978,"missing: not collected"),EXACT(metadata!O978,"missing: not provided"),EXACT(metadata!O978,"missing: restricted access"))),AND(IF(metadata!O978="",FALSE,TRUE),OR(EXACT(metadata!O978,"air"),EXACT(metadata!O978,"built environment"),EXACT(metadata!O978,"host-associated"),EXACT(metadata!O978,"human-associated"),EXACT(metadata!O978,"human-skin"),EXACT(metadata!O978,"human-oral"),EXACT(metadata!O978,"human-gut"),EXACT(metadata!O978,"human-vaginal"),EXACT(metadata!O978,"microbial mat/biofilm"),EXACT(metadata!O978,"misc environment"),EXACT(metadata!O978,"plant-associated"),EXACT(metadata!O978,"sediment"),EXACT(metadata!O978,"soil"),EXACT(metadata!O978,"wastewater/sludge"),EXACT(metadata!O978,"water"))))</f>
        <v>0</v>
      </c>
      <c r="BA978" t="b">
        <f>IF(metadata!P978="",FALSE,TRUE)</f>
        <v>0</v>
      </c>
      <c r="BB978" t="b">
        <f>IF(metadata!Q978="",FALSE,TRUE)</f>
        <v>0</v>
      </c>
      <c r="BC978" t="b">
        <f>OR(AND(IF(metadata!R978="",FALSE,TRUE),OR(EXACT(metadata!R978,"missing: not collected"),EXACT(metadata!R978,"missing: not provided"),EXACT(metadata!R978,"missing: restricted access"))),AND(IF(metadata!R978="",FALSE,ISNUMBER(VALUE(metadata!R978))),metadata!R978&gt;=-90,metadata!R978&lt;=90))</f>
        <v>0</v>
      </c>
      <c r="BD978" t="b">
        <f>AND(IF(metadata!S978="",FALSE,TRUE),EXACT(metadata!S978,"Decimal degrees"))</f>
        <v>0</v>
      </c>
      <c r="BE978" t="b">
        <f>OR(AND(IF(metadata!T978="",FALSE,TRUE),OR(EXACT(metadata!T978,"missing: not collected"),EXACT(metadata!T978,"missing: not provided"),EXACT(metadata!T978,"missing: restricted access"))),AND(IF(metadata!T978="",FALSE,ISNUMBER(VALUE(metadata!T978))),metadata!T978&gt;=-180,metadata!T978&lt;=180))</f>
        <v>0</v>
      </c>
      <c r="BF978" t="b">
        <f>AND(IF(metadata!U978="",FALSE,TRUE),EXACT(metadata!U978,"Decimal degrees"))</f>
        <v>0</v>
      </c>
      <c r="BG978" t="b">
        <f>IF(metadata!V978="",FALSE,TRUE)</f>
        <v>0</v>
      </c>
      <c r="BH978" t="b">
        <f>OR(AND(IF(metadata!W978="",FALSE,TRUE),OR(EXACT(metadata!W978,"missing: not collected"),EXACT(metadata!W978,"missing: not provided"),EXACT(metadata!W978,"missing: restricted access"))),AND(IF(metadata!W978="",FALSE,TRUE),OR(EXACT(metadata!W978,"TRUE"),EXACT(metadata!W978,"FALSE"))))</f>
        <v>0</v>
      </c>
      <c r="BI978" t="b">
        <f>AND(IF(metadata!X978="",FALSE,TRUE),EXACT(metadata!X978,"other"))</f>
        <v>0</v>
      </c>
      <c r="BJ978" t="b">
        <f>IF(metadata!Y978="",FALSE,TRUE)</f>
        <v>0</v>
      </c>
      <c r="BK978" t="b">
        <f>OR(AND(IF(metadata!Z978="",FALSE,TRUE),OR(EXACT(metadata!Z978,"missing: not collected"),EXACT(metadata!Z978,"missing: not provided"))),AND(IF(metadata!Z978="",FALSE,IF(ISERROR(INT(metadata!Z978)),FALSE,INT(metadata!Z978)=metadata!Z978)),metadata!Z978&gt;0))</f>
        <v>0</v>
      </c>
      <c r="BL978" t="b">
        <f>AND(IF(metadata!AA978="",FALSE,TRUE),EXACT(metadata!AA978,"Not applicable"))</f>
        <v>0</v>
      </c>
      <c r="BM978" t="b">
        <f>IF(metadata!AB978="",FALSE,TRUE)</f>
        <v>0</v>
      </c>
    </row>
    <row r="979" spans="1:65" x14ac:dyDescent="0.2">
      <c r="A979" s="5" t="str">
        <f ca="1">IF(B979=" "," ",HYPERLINK(CONCATENATE("#metadata!",ADDRESS(INDEX($AH$2:$AH$1001,MATCH(ROWS($AF$2:AF979),$AF$2:$AF$1001,0),0),1)),INDEX($AK$2:$AK$1001,MATCH(ROWS($AF$2:AF979),$AF$2:$AF$1001,0),0)))</f>
        <v xml:space="preserve"> </v>
      </c>
      <c r="B979" s="4" t="str">
        <f ca="1">IF(OR(INDEX($AG$2:$AG$1001,MATCH(ROWS($AF$2:AF979),$AF$2:$AF$1001,0),1)&gt;=100000,INDEX($AM$1005:$BM$1005,1,MATCH(COLUMNS($AM$1006:AM1006),$AM$1006:$BM$1006,0))&gt;=100000), " ",IF(INDEX($AM$2:$BM$1001,MATCH(ROWS($AF$2:AF979),$AF$2:$AF$1001,0),MATCH(COLUMNS($AM$1006:AM1006),$AM$1006:$BM$1006,0)), HYPERLINK("#",""), HYPERLINK(CONCATENATE("#metadata!", ADDRESS(INDEX($AH$2:$AH$1001,MATCH(ROWS($AF$2:AF979),$AF$2:$AF$1001,0),0), INDEX($AM$1004:$BM$1004,1,MATCH(COLUMNS($AM$1006:AM1006),$AM$1006:$BM$1006,0)))),"Fix")))</f>
        <v xml:space="preserve"> </v>
      </c>
      <c r="C979" s="4" t="str">
        <f ca="1">IF(OR(INDEX($AG$2:$AG$1001,MATCH(ROWS($AF$2:AF979),$AF$2:$AF$1001,0),1)&gt;=100000,INDEX($AM$1005:$BM$1005,1,MATCH(COLUMNS($AM$1006:AN1006),$AM$1006:$BM$1006,0))&gt;=100000), " ",IF(INDEX($AM$2:$BM$1001,MATCH(ROWS($AF$2:AF979),$AF$2:$AF$1001,0),MATCH(COLUMNS($AM$1006:AN1006),$AM$1006:$BM$1006,0)), HYPERLINK("#",""), HYPERLINK(CONCATENATE("#metadata!", ADDRESS(INDEX($AH$2:$AH$1001,MATCH(ROWS($AF$2:AF979),$AF$2:$AF$1001,0),0), INDEX($AM$1004:$BM$1004,1,MATCH(COLUMNS($AM$1006:AN1006),$AM$1006:$BM$1006,0)))),"Fix")))</f>
        <v xml:space="preserve"> </v>
      </c>
      <c r="D979" s="4" t="str">
        <f ca="1">IF(OR(INDEX($AG$2:$AG$1001,MATCH(ROWS($AF$2:AF979),$AF$2:$AF$1001,0),1)&gt;=100000,INDEX($AM$1005:$BM$1005,1,MATCH(COLUMNS($AM$1006:AO1006),$AM$1006:$BM$1006,0))&gt;=100000), " ",IF(INDEX($AM$2:$BM$1001,MATCH(ROWS($AF$2:AF979),$AF$2:$AF$1001,0),MATCH(COLUMNS($AM$1006:AO1006),$AM$1006:$BM$1006,0)), HYPERLINK("#",""), HYPERLINK(CONCATENATE("#metadata!", ADDRESS(INDEX($AH$2:$AH$1001,MATCH(ROWS($AF$2:AF979),$AF$2:$AF$1001,0),0), INDEX($AM$1004:$BM$1004,1,MATCH(COLUMNS($AM$1006:AO1006),$AM$1006:$BM$1006,0)))),"Fix")))</f>
        <v xml:space="preserve"> </v>
      </c>
      <c r="E979" s="4" t="str">
        <f ca="1">IF(OR(INDEX($AG$2:$AG$1001,MATCH(ROWS($AF$2:AF979),$AF$2:$AF$1001,0),1)&gt;=100000,INDEX($AM$1005:$BM$1005,1,MATCH(COLUMNS($AM$1006:AP1006),$AM$1006:$BM$1006,0))&gt;=100000), " ",IF(INDEX($AM$2:$BM$1001,MATCH(ROWS($AF$2:AF979),$AF$2:$AF$1001,0),MATCH(COLUMNS($AM$1006:AP1006),$AM$1006:$BM$1006,0)), HYPERLINK("#",""), HYPERLINK(CONCATENATE("#metadata!", ADDRESS(INDEX($AH$2:$AH$1001,MATCH(ROWS($AF$2:AF979),$AF$2:$AF$1001,0),0), INDEX($AM$1004:$BM$1004,1,MATCH(COLUMNS($AM$1006:AP1006),$AM$1006:$BM$1006,0)))),"Fix")))</f>
        <v xml:space="preserve"> </v>
      </c>
      <c r="F979" s="4" t="str">
        <f ca="1">IF(OR(INDEX($AG$2:$AG$1001,MATCH(ROWS($AF$2:AF979),$AF$2:$AF$1001,0),1)&gt;=100000,INDEX($AM$1005:$BM$1005,1,MATCH(COLUMNS($AM$1006:AQ1006),$AM$1006:$BM$1006,0))&gt;=100000), " ",IF(INDEX($AM$2:$BM$1001,MATCH(ROWS($AF$2:AF979),$AF$2:$AF$1001,0),MATCH(COLUMNS($AM$1006:AQ1006),$AM$1006:$BM$1006,0)), HYPERLINK("#",""), HYPERLINK(CONCATENATE("#metadata!", ADDRESS(INDEX($AH$2:$AH$1001,MATCH(ROWS($AF$2:AF979),$AF$2:$AF$1001,0),0), INDEX($AM$1004:$BM$1004,1,MATCH(COLUMNS($AM$1006:AQ1006),$AM$1006:$BM$1006,0)))),"Fix")))</f>
        <v xml:space="preserve"> </v>
      </c>
      <c r="G979" s="4" t="str">
        <f ca="1">IF(OR(INDEX($AG$2:$AG$1001,MATCH(ROWS($AF$2:AF979),$AF$2:$AF$1001,0),1)&gt;=100000,INDEX($AM$1005:$BM$1005,1,MATCH(COLUMNS($AM$1006:AR1006),$AM$1006:$BM$1006,0))&gt;=100000), " ",IF(INDEX($AM$2:$BM$1001,MATCH(ROWS($AF$2:AF979),$AF$2:$AF$1001,0),MATCH(COLUMNS($AM$1006:AR1006),$AM$1006:$BM$1006,0)), HYPERLINK("#",""), HYPERLINK(CONCATENATE("#metadata!", ADDRESS(INDEX($AH$2:$AH$1001,MATCH(ROWS($AF$2:AF979),$AF$2:$AF$1001,0),0), INDEX($AM$1004:$BM$1004,1,MATCH(COLUMNS($AM$1006:AR1006),$AM$1006:$BM$1006,0)))),"Fix")))</f>
        <v xml:space="preserve"> </v>
      </c>
      <c r="H979" s="4" t="str">
        <f ca="1">IF(OR(INDEX($AG$2:$AG$1001,MATCH(ROWS($AF$2:AF979),$AF$2:$AF$1001,0),1)&gt;=100000,INDEX($AM$1005:$BM$1005,1,MATCH(COLUMNS($AM$1006:AS1006),$AM$1006:$BM$1006,0))&gt;=100000), " ",IF(INDEX($AM$2:$BM$1001,MATCH(ROWS($AF$2:AF979),$AF$2:$AF$1001,0),MATCH(COLUMNS($AM$1006:AS1006),$AM$1006:$BM$1006,0)), HYPERLINK("#",""), HYPERLINK(CONCATENATE("#metadata!", ADDRESS(INDEX($AH$2:$AH$1001,MATCH(ROWS($AF$2:AF979),$AF$2:$AF$1001,0),0), INDEX($AM$1004:$BM$1004,1,MATCH(COLUMNS($AM$1006:AS1006),$AM$1006:$BM$1006,0)))),"Fix")))</f>
        <v xml:space="preserve"> </v>
      </c>
      <c r="I979" s="4" t="str">
        <f ca="1">IF(OR(INDEX($AG$2:$AG$1001,MATCH(ROWS($AF$2:AF979),$AF$2:$AF$1001,0),1)&gt;=100000,INDEX($AM$1005:$BM$1005,1,MATCH(COLUMNS($AM$1006:AT1006),$AM$1006:$BM$1006,0))&gt;=100000), " ",IF(INDEX($AM$2:$BM$1001,MATCH(ROWS($AF$2:AF979),$AF$2:$AF$1001,0),MATCH(COLUMNS($AM$1006:AT1006),$AM$1006:$BM$1006,0)), HYPERLINK("#",""), HYPERLINK(CONCATENATE("#metadata!", ADDRESS(INDEX($AH$2:$AH$1001,MATCH(ROWS($AF$2:AF979),$AF$2:$AF$1001,0),0), INDEX($AM$1004:$BM$1004,1,MATCH(COLUMNS($AM$1006:AT1006),$AM$1006:$BM$1006,0)))),"Fix")))</f>
        <v xml:space="preserve"> </v>
      </c>
      <c r="J979" s="4" t="str">
        <f ca="1">IF(OR(INDEX($AG$2:$AG$1001,MATCH(ROWS($AF$2:AF979),$AF$2:$AF$1001,0),1)&gt;=100000,INDEX($AM$1005:$BM$1005,1,MATCH(COLUMNS($AM$1006:AU1006),$AM$1006:$BM$1006,0))&gt;=100000), " ",IF(INDEX($AM$2:$BM$1001,MATCH(ROWS($AF$2:AF979),$AF$2:$AF$1001,0),MATCH(COLUMNS($AM$1006:AU1006),$AM$1006:$BM$1006,0)), HYPERLINK("#",""), HYPERLINK(CONCATENATE("#metadata!", ADDRESS(INDEX($AH$2:$AH$1001,MATCH(ROWS($AF$2:AF979),$AF$2:$AF$1001,0),0), INDEX($AM$1004:$BM$1004,1,MATCH(COLUMNS($AM$1006:AU1006),$AM$1006:$BM$1006,0)))),"Fix")))</f>
        <v xml:space="preserve"> </v>
      </c>
      <c r="K979" s="4" t="str">
        <f ca="1">IF(OR(INDEX($AG$2:$AG$1001,MATCH(ROWS($AF$2:AF979),$AF$2:$AF$1001,0),1)&gt;=100000,INDEX($AM$1005:$BM$1005,1,MATCH(COLUMNS($AM$1006:AV1006),$AM$1006:$BM$1006,0))&gt;=100000), " ",IF(INDEX($AM$2:$BM$1001,MATCH(ROWS($AF$2:AF979),$AF$2:$AF$1001,0),MATCH(COLUMNS($AM$1006:AV1006),$AM$1006:$BM$1006,0)), HYPERLINK("#",""), HYPERLINK(CONCATENATE("#metadata!", ADDRESS(INDEX($AH$2:$AH$1001,MATCH(ROWS($AF$2:AF979),$AF$2:$AF$1001,0),0), INDEX($AM$1004:$BM$1004,1,MATCH(COLUMNS($AM$1006:AV1006),$AM$1006:$BM$1006,0)))),"Fix")))</f>
        <v xml:space="preserve"> </v>
      </c>
      <c r="L979" s="4" t="str">
        <f ca="1">IF(OR(INDEX($AG$2:$AG$1001,MATCH(ROWS($AF$2:AF979),$AF$2:$AF$1001,0),1)&gt;=100000,INDEX($AM$1005:$BM$1005,1,MATCH(COLUMNS($AM$1006:AW1006),$AM$1006:$BM$1006,0))&gt;=100000), " ",IF(INDEX($AM$2:$BM$1001,MATCH(ROWS($AF$2:AF979),$AF$2:$AF$1001,0),MATCH(COLUMNS($AM$1006:AW1006),$AM$1006:$BM$1006,0)), HYPERLINK("#",""), HYPERLINK(CONCATENATE("#metadata!", ADDRESS(INDEX($AH$2:$AH$1001,MATCH(ROWS($AF$2:AF979),$AF$2:$AF$1001,0),0), INDEX($AM$1004:$BM$1004,1,MATCH(COLUMNS($AM$1006:AW1006),$AM$1006:$BM$1006,0)))),"Fix")))</f>
        <v xml:space="preserve"> </v>
      </c>
      <c r="M979" s="4" t="str">
        <f ca="1">IF(OR(INDEX($AG$2:$AG$1001,MATCH(ROWS($AF$2:AF979),$AF$2:$AF$1001,0),1)&gt;=100000,INDEX($AM$1005:$BM$1005,1,MATCH(COLUMNS($AM$1006:AX1006),$AM$1006:$BM$1006,0))&gt;=100000), " ",IF(INDEX($AM$2:$BM$1001,MATCH(ROWS($AF$2:AF979),$AF$2:$AF$1001,0),MATCH(COLUMNS($AM$1006:AX1006),$AM$1006:$BM$1006,0)), HYPERLINK("#",""), HYPERLINK(CONCATENATE("#metadata!", ADDRESS(INDEX($AH$2:$AH$1001,MATCH(ROWS($AF$2:AF979),$AF$2:$AF$1001,0),0), INDEX($AM$1004:$BM$1004,1,MATCH(COLUMNS($AM$1006:AX1006),$AM$1006:$BM$1006,0)))),"Fix")))</f>
        <v xml:space="preserve"> </v>
      </c>
      <c r="N979" s="4" t="str">
        <f ca="1">IF(OR(INDEX($AG$2:$AG$1001,MATCH(ROWS($AF$2:AF979),$AF$2:$AF$1001,0),1)&gt;=100000,INDEX($AM$1005:$BM$1005,1,MATCH(COLUMNS($AM$1006:AY1006),$AM$1006:$BM$1006,0))&gt;=100000), " ",IF(INDEX($AM$2:$BM$1001,MATCH(ROWS($AF$2:AF979),$AF$2:$AF$1001,0),MATCH(COLUMNS($AM$1006:AY1006),$AM$1006:$BM$1006,0)), HYPERLINK("#",""), HYPERLINK(CONCATENATE("#metadata!", ADDRESS(INDEX($AH$2:$AH$1001,MATCH(ROWS($AF$2:AF979),$AF$2:$AF$1001,0),0), INDEX($AM$1004:$BM$1004,1,MATCH(COLUMNS($AM$1006:AY1006),$AM$1006:$BM$1006,0)))),"Fix")))</f>
        <v xml:space="preserve"> </v>
      </c>
      <c r="O979" s="4" t="str">
        <f ca="1">IF(OR(INDEX($AG$2:$AG$1001,MATCH(ROWS($AF$2:AF979),$AF$2:$AF$1001,0),1)&gt;=100000,INDEX($AM$1005:$BM$1005,1,MATCH(COLUMNS($AM$1006:AZ1006),$AM$1006:$BM$1006,0))&gt;=100000), " ",IF(INDEX($AM$2:$BM$1001,MATCH(ROWS($AF$2:AF979),$AF$2:$AF$1001,0),MATCH(COLUMNS($AM$1006:AZ1006),$AM$1006:$BM$1006,0)), HYPERLINK("#",""), HYPERLINK(CONCATENATE("#metadata!", ADDRESS(INDEX($AH$2:$AH$1001,MATCH(ROWS($AF$2:AF979),$AF$2:$AF$1001,0),0), INDEX($AM$1004:$BM$1004,1,MATCH(COLUMNS($AM$1006:AZ1006),$AM$1006:$BM$1006,0)))),"Fix")))</f>
        <v xml:space="preserve"> </v>
      </c>
      <c r="P979" s="4" t="str">
        <f ca="1">IF(OR(INDEX($AG$2:$AG$1001,MATCH(ROWS($AF$2:AF979),$AF$2:$AF$1001,0),1)&gt;=100000,INDEX($AM$1005:$BM$1005,1,MATCH(COLUMNS($AM$1006:BA1006),$AM$1006:$BM$1006,0))&gt;=100000), " ",IF(INDEX($AM$2:$BM$1001,MATCH(ROWS($AF$2:AF979),$AF$2:$AF$1001,0),MATCH(COLUMNS($AM$1006:BA1006),$AM$1006:$BM$1006,0)), HYPERLINK("#",""), HYPERLINK(CONCATENATE("#metadata!", ADDRESS(INDEX($AH$2:$AH$1001,MATCH(ROWS($AF$2:AF979),$AF$2:$AF$1001,0),0), INDEX($AM$1004:$BM$1004,1,MATCH(COLUMNS($AM$1006:BA1006),$AM$1006:$BM$1006,0)))),"Fix")))</f>
        <v xml:space="preserve"> </v>
      </c>
      <c r="Q979" s="4" t="str">
        <f ca="1">IF(OR(INDEX($AG$2:$AG$1001,MATCH(ROWS($AF$2:AF979),$AF$2:$AF$1001,0),1)&gt;=100000,INDEX($AM$1005:$BM$1005,1,MATCH(COLUMNS($AM$1006:BB1006),$AM$1006:$BM$1006,0))&gt;=100000), " ",IF(INDEX($AM$2:$BM$1001,MATCH(ROWS($AF$2:AF979),$AF$2:$AF$1001,0),MATCH(COLUMNS($AM$1006:BB1006),$AM$1006:$BM$1006,0)), HYPERLINK("#",""), HYPERLINK(CONCATENATE("#metadata!", ADDRESS(INDEX($AH$2:$AH$1001,MATCH(ROWS($AF$2:AF979),$AF$2:$AF$1001,0),0), INDEX($AM$1004:$BM$1004,1,MATCH(COLUMNS($AM$1006:BB1006),$AM$1006:$BM$1006,0)))),"Fix")))</f>
        <v xml:space="preserve"> </v>
      </c>
      <c r="R979" s="4" t="str">
        <f ca="1">IF(OR(INDEX($AG$2:$AG$1001,MATCH(ROWS($AF$2:AF979),$AF$2:$AF$1001,0),1)&gt;=100000,INDEX($AM$1005:$BM$1005,1,MATCH(COLUMNS($AM$1006:BC1006),$AM$1006:$BM$1006,0))&gt;=100000), " ",IF(INDEX($AM$2:$BM$1001,MATCH(ROWS($AF$2:AF979),$AF$2:$AF$1001,0),MATCH(COLUMNS($AM$1006:BC1006),$AM$1006:$BM$1006,0)), HYPERLINK("#",""), HYPERLINK(CONCATENATE("#metadata!", ADDRESS(INDEX($AH$2:$AH$1001,MATCH(ROWS($AF$2:AF979),$AF$2:$AF$1001,0),0), INDEX($AM$1004:$BM$1004,1,MATCH(COLUMNS($AM$1006:BC1006),$AM$1006:$BM$1006,0)))),"Fix")))</f>
        <v xml:space="preserve"> </v>
      </c>
      <c r="S979" s="4" t="str">
        <f ca="1">IF(OR(INDEX($AG$2:$AG$1001,MATCH(ROWS($AF$2:AF979),$AF$2:$AF$1001,0),1)&gt;=100000,INDEX($AM$1005:$BM$1005,1,MATCH(COLUMNS($AM$1006:BD1006),$AM$1006:$BM$1006,0))&gt;=100000), " ",IF(INDEX($AM$2:$BM$1001,MATCH(ROWS($AF$2:AF979),$AF$2:$AF$1001,0),MATCH(COLUMNS($AM$1006:BD1006),$AM$1006:$BM$1006,0)), HYPERLINK("#",""), HYPERLINK(CONCATENATE("#metadata!", ADDRESS(INDEX($AH$2:$AH$1001,MATCH(ROWS($AF$2:AF979),$AF$2:$AF$1001,0),0), INDEX($AM$1004:$BM$1004,1,MATCH(COLUMNS($AM$1006:BD1006),$AM$1006:$BM$1006,0)))),"Fix")))</f>
        <v xml:space="preserve"> </v>
      </c>
      <c r="T979" s="4" t="str">
        <f ca="1">IF(OR(INDEX($AG$2:$AG$1001,MATCH(ROWS($AF$2:AF979),$AF$2:$AF$1001,0),1)&gt;=100000,INDEX($AM$1005:$BM$1005,1,MATCH(COLUMNS($AM$1006:BE1006),$AM$1006:$BM$1006,0))&gt;=100000), " ",IF(INDEX($AM$2:$BM$1001,MATCH(ROWS($AF$2:AF979),$AF$2:$AF$1001,0),MATCH(COLUMNS($AM$1006:BE1006),$AM$1006:$BM$1006,0)), HYPERLINK("#",""), HYPERLINK(CONCATENATE("#metadata!", ADDRESS(INDEX($AH$2:$AH$1001,MATCH(ROWS($AF$2:AF979),$AF$2:$AF$1001,0),0), INDEX($AM$1004:$BM$1004,1,MATCH(COLUMNS($AM$1006:BE1006),$AM$1006:$BM$1006,0)))),"Fix")))</f>
        <v xml:space="preserve"> </v>
      </c>
      <c r="U979" s="4" t="str">
        <f ca="1">IF(OR(INDEX($AG$2:$AG$1001,MATCH(ROWS($AF$2:AF979),$AF$2:$AF$1001,0),1)&gt;=100000,INDEX($AM$1005:$BM$1005,1,MATCH(COLUMNS($AM$1006:BF1006),$AM$1006:$BM$1006,0))&gt;=100000), " ",IF(INDEX($AM$2:$BM$1001,MATCH(ROWS($AF$2:AF979),$AF$2:$AF$1001,0),MATCH(COLUMNS($AM$1006:BF1006),$AM$1006:$BM$1006,0)), HYPERLINK("#",""), HYPERLINK(CONCATENATE("#metadata!", ADDRESS(INDEX($AH$2:$AH$1001,MATCH(ROWS($AF$2:AF979),$AF$2:$AF$1001,0),0), INDEX($AM$1004:$BM$1004,1,MATCH(COLUMNS($AM$1006:BF1006),$AM$1006:$BM$1006,0)))),"Fix")))</f>
        <v xml:space="preserve"> </v>
      </c>
      <c r="V979" s="4" t="str">
        <f ca="1">IF(OR(INDEX($AG$2:$AG$1001,MATCH(ROWS($AF$2:AF979),$AF$2:$AF$1001,0),1)&gt;=100000,INDEX($AM$1005:$BM$1005,1,MATCH(COLUMNS($AM$1006:BG1006),$AM$1006:$BM$1006,0))&gt;=100000), " ",IF(INDEX($AM$2:$BM$1001,MATCH(ROWS($AF$2:AF979),$AF$2:$AF$1001,0),MATCH(COLUMNS($AM$1006:BG1006),$AM$1006:$BM$1006,0)), HYPERLINK("#",""), HYPERLINK(CONCATENATE("#metadata!", ADDRESS(INDEX($AH$2:$AH$1001,MATCH(ROWS($AF$2:AF979),$AF$2:$AF$1001,0),0), INDEX($AM$1004:$BM$1004,1,MATCH(COLUMNS($AM$1006:BG1006),$AM$1006:$BM$1006,0)))),"Fix")))</f>
        <v xml:space="preserve"> </v>
      </c>
      <c r="W979" s="4" t="str">
        <f ca="1">IF(OR(INDEX($AG$2:$AG$1001,MATCH(ROWS($AF$2:AF979),$AF$2:$AF$1001,0),1)&gt;=100000,INDEX($AM$1005:$BM$1005,1,MATCH(COLUMNS($AM$1006:BH1006),$AM$1006:$BM$1006,0))&gt;=100000), " ",IF(INDEX($AM$2:$BM$1001,MATCH(ROWS($AF$2:AF979),$AF$2:$AF$1001,0),MATCH(COLUMNS($AM$1006:BH1006),$AM$1006:$BM$1006,0)), HYPERLINK("#",""), HYPERLINK(CONCATENATE("#metadata!", ADDRESS(INDEX($AH$2:$AH$1001,MATCH(ROWS($AF$2:AF979),$AF$2:$AF$1001,0),0), INDEX($AM$1004:$BM$1004,1,MATCH(COLUMNS($AM$1006:BH1006),$AM$1006:$BM$1006,0)))),"Fix")))</f>
        <v xml:space="preserve"> </v>
      </c>
      <c r="X979" s="4" t="str">
        <f ca="1">IF(OR(INDEX($AG$2:$AG$1001,MATCH(ROWS($AF$2:AF979),$AF$2:$AF$1001,0),1)&gt;=100000,INDEX($AM$1005:$BM$1005,1,MATCH(COLUMNS($AM$1006:BI1006),$AM$1006:$BM$1006,0))&gt;=100000), " ",IF(INDEX($AM$2:$BM$1001,MATCH(ROWS($AF$2:AF979),$AF$2:$AF$1001,0),MATCH(COLUMNS($AM$1006:BI1006),$AM$1006:$BM$1006,0)), HYPERLINK("#",""), HYPERLINK(CONCATENATE("#metadata!", ADDRESS(INDEX($AH$2:$AH$1001,MATCH(ROWS($AF$2:AF979),$AF$2:$AF$1001,0),0), INDEX($AM$1004:$BM$1004,1,MATCH(COLUMNS($AM$1006:BI1006),$AM$1006:$BM$1006,0)))),"Fix")))</f>
        <v xml:space="preserve"> </v>
      </c>
      <c r="Y979" s="4" t="str">
        <f ca="1">IF(OR(INDEX($AG$2:$AG$1001,MATCH(ROWS($AF$2:AF979),$AF$2:$AF$1001,0),1)&gt;=100000,INDEX($AM$1005:$BM$1005,1,MATCH(COLUMNS($AM$1006:BJ1006),$AM$1006:$BM$1006,0))&gt;=100000), " ",IF(INDEX($AM$2:$BM$1001,MATCH(ROWS($AF$2:AF979),$AF$2:$AF$1001,0),MATCH(COLUMNS($AM$1006:BJ1006),$AM$1006:$BM$1006,0)), HYPERLINK("#",""), HYPERLINK(CONCATENATE("#metadata!", ADDRESS(INDEX($AH$2:$AH$1001,MATCH(ROWS($AF$2:AF979),$AF$2:$AF$1001,0),0), INDEX($AM$1004:$BM$1004,1,MATCH(COLUMNS($AM$1006:BJ1006),$AM$1006:$BM$1006,0)))),"Fix")))</f>
        <v xml:space="preserve"> </v>
      </c>
      <c r="Z979" s="4" t="str">
        <f ca="1">IF(OR(INDEX($AG$2:$AG$1001,MATCH(ROWS($AF$2:AF979),$AF$2:$AF$1001,0),1)&gt;=100000,INDEX($AM$1005:$BM$1005,1,MATCH(COLUMNS($AM$1006:BK1006),$AM$1006:$BM$1006,0))&gt;=100000), " ",IF(INDEX($AM$2:$BM$1001,MATCH(ROWS($AF$2:AF979),$AF$2:$AF$1001,0),MATCH(COLUMNS($AM$1006:BK1006),$AM$1006:$BM$1006,0)), HYPERLINK("#",""), HYPERLINK(CONCATENATE("#metadata!", ADDRESS(INDEX($AH$2:$AH$1001,MATCH(ROWS($AF$2:AF979),$AF$2:$AF$1001,0),0), INDEX($AM$1004:$BM$1004,1,MATCH(COLUMNS($AM$1006:BK1006),$AM$1006:$BM$1006,0)))),"Fix")))</f>
        <v xml:space="preserve"> </v>
      </c>
      <c r="AA979" s="4" t="str">
        <f ca="1">IF(OR(INDEX($AG$2:$AG$1001,MATCH(ROWS($AF$2:AF979),$AF$2:$AF$1001,0),1)&gt;=100000,INDEX($AM$1005:$BM$1005,1,MATCH(COLUMNS($AM$1006:BL1006),$AM$1006:$BM$1006,0))&gt;=100000), " ",IF(INDEX($AM$2:$BM$1001,MATCH(ROWS($AF$2:AF979),$AF$2:$AF$1001,0),MATCH(COLUMNS($AM$1006:BL1006),$AM$1006:$BM$1006,0)), HYPERLINK("#",""), HYPERLINK(CONCATENATE("#metadata!", ADDRESS(INDEX($AH$2:$AH$1001,MATCH(ROWS($AF$2:AF979),$AF$2:$AF$1001,0),0), INDEX($AM$1004:$BM$1004,1,MATCH(COLUMNS($AM$1006:BL1006),$AM$1006:$BM$1006,0)))),"Fix")))</f>
        <v xml:space="preserve"> </v>
      </c>
      <c r="AB979" s="4" t="str">
        <f ca="1">IF(OR(INDEX($AG$2:$AG$1001,MATCH(ROWS($AF$2:AF979),$AF$2:$AF$1001,0),1)&gt;=100000,INDEX($AM$1005:$BM$1005,1,MATCH(COLUMNS($AM$1006:BM1006),$AM$1006:$BM$1006,0))&gt;=100000), " ",IF(INDEX($AM$2:$BM$1001,MATCH(ROWS($AF$2:AF979),$AF$2:$AF$1001,0),MATCH(COLUMNS($AM$1006:BM1006),$AM$1006:$BM$1006,0)), HYPERLINK("#",""), HYPERLINK(CONCATENATE("#metadata!", ADDRESS(INDEX($AH$2:$AH$1001,MATCH(ROWS($AF$2:AF979),$AF$2:$AF$1001,0),0), INDEX($AM$1004:$BM$1004,1,MATCH(COLUMNS($AM$1006:BM1006),$AM$1006:$BM$1006,0)))),"Fix")))</f>
        <v xml:space="preserve"> </v>
      </c>
      <c r="AF979">
        <v>978</v>
      </c>
      <c r="AG979">
        <v>100979</v>
      </c>
      <c r="AH979">
        <v>979</v>
      </c>
      <c r="AI979" t="b">
        <f t="shared" si="15"/>
        <v>1</v>
      </c>
      <c r="AJ979" t="b">
        <f>COUNTBLANK(metadata!B979:AB979)=COLUMNS(metadata!B979:AB979)</f>
        <v>1</v>
      </c>
      <c r="AK979" t="str">
        <v/>
      </c>
      <c r="AM979" t="b">
        <f ca="1">AND(IF(metadata!B979="",FALSE,TRUE),COUNTIF(metadata!B:B, metadata!B979) = 1,NOT(ISERROR(SUMPRODUCT(SEARCH(MID(metadata!B979,ROW(INDIRECT("1:"&amp;LEN(metadata!B979))), 1),"0123456789abcdefghijklmnopqrstuvwxyzABCDEFGHIJKLMNOPQRSTUVWXYZ.")))))</f>
        <v>0</v>
      </c>
      <c r="AN979" t="b">
        <f ca="1">OR(AND(IF(metadata!C979="",FALSE,TRUE),OR(EXACT(metadata!C979,"missing: not collected"),EXACT(metadata!C979,"missing: not provided"),EXACT(metadata!C979,"missing: restricted access"))),AND(IF(metadata!C979="",FALSE,TRUE),AND(AND(IFERROR(INT(LEFT(metadata!C979,4))&gt;1900,FALSE),IFERROR(INT(LEFT(metadata!C979,4))&lt;=YEAR(NOW()),FALSE)), OR(MID(metadata!C979,5,1)="", AND(AND(MID(metadata!C979,5,1)="-",IFERROR(INT(MID(metadata!C979,6,1))&gt;=0,FALSE),IFERROR(INT(MID(metadata!C979,6,1))&lt;=1,FALSE),NOT(MID(metadata!C979,7,1)=""),IFERROR(INT(MID(metadata!C979,6,2))&gt;=1,FALSE),IFERROR(INT(MID(metadata!C979,6,2))&lt;=12,FALSE)), OR(MID(metadata!C979,8,1)="", AND(AND(MID(metadata!C979,8,1)="-",IFERROR(INT(MID(metadata!C979,9,1))&gt;=0,FALSE),IFERROR(INT(MID(metadata!C979,9,1))&lt;=3,FALSE),NOT(MID(metadata!C979,10,1)=""),IFERROR(INT(MID(metadata!C979,9,2))&gt;=1,FALSE),IFERROR(INT(MID(metadata!C979,9,2))&lt;=31,FALSE)), OR(MID(metadata!C979,11,1)="", AND(AND(MID(metadata!C979,11,1)=" ",IFERROR(INT(MID(metadata!C979,12,1))&gt;=0,FALSE),IFERROR(INT(MID(metadata!C979,12,1))&lt;=2,FALSE),NOT(MID(metadata!C979,13,1)=""),IFERROR(INT(MID(metadata!C979,12,2))&gt;=0,FALSE),IFERROR(INT(MID(metadata!C979,12,2))&lt;=23,FALSE)), OR(MID(metadata!C979,14,1)="", AND(AND(MID(metadata!C979,14,1)=":",IFERROR(INT(MID(metadata!C979,15,1))&gt;=0,FALSE),IFERROR(INT(MID(metadata!C979,15,1))&lt;=5,FALSE),NOT(MID(metadata!C979,16,1)=""),IFERROR(INT(MID(metadata!C979,15,2))&gt;=0,FALSE),IFERROR(INT(MID(metadata!C979,15,2))&lt;=59,FALSE)), OR(MID(metadata!C979,17,1)="", AND(AND(MID(metadata!C979,17,1)=":",IFERROR(INT(MID(metadata!C979,18,1))&gt;=0,FALSE),IFERROR(INT(MID(metadata!C979,18,1))&lt;=5,FALSE),NOT(MID(metadata!C979,19,1)=""),IFERROR(INT(MID(metadata!C979,18,2))&gt;=0,FALSE),IFERROR(INT(MID(metadata!C979,18,2))&lt;=59,FALSE)), LEN(metadata!C979)&lt;=19)))))))))))))</f>
        <v>0</v>
      </c>
      <c r="AO979" t="b">
        <f>AND(IF(metadata!D979="",FALSE,TRUE),EXACT(metadata!D979,"Not applicable"))</f>
        <v>0</v>
      </c>
      <c r="AP979" t="b">
        <f>IF(metadata!E979="",FALSE,TRUE)</f>
        <v>0</v>
      </c>
      <c r="AQ979" t="b">
        <f>OR(AND(IF(metadata!F979="",FALSE,TRUE),OR(EXACT(metadata!F979,"missing: not collected"),EXACT(metadata!F979,"missing: not provided"))),AND(IF(metadata!F979="",FALSE,TRUE),OR(EXACT(metadata!F979,"TRUE"),EXACT(metadata!F979,"FALSE"))))</f>
        <v>0</v>
      </c>
      <c r="AR979" t="b">
        <f>OR(AND(IF(metadata!G979="",FALSE,TRUE),OR(EXACT(metadata!G979,"missing: not collected"),EXACT(metadata!G979,"missing: not provided"),EXACT(metadata!G979,"missing: restricted access"))),AND(IF(metadata!G979="",FALSE,ISNUMBER(VALUE(metadata!G979))),metadata!G979&gt;=-413))</f>
        <v>0</v>
      </c>
      <c r="AS979" t="b">
        <f>AND(IF(metadata!H979="",FALSE,TRUE),EXACT(metadata!H979,"meters"))</f>
        <v>0</v>
      </c>
      <c r="AT979" t="b">
        <f>AND(IF(metadata!I979="",FALSE,TRUE),OR(EXACT(metadata!I979,"Host-associated"),EXACT(metadata!I979,"Free-living")))</f>
        <v>0</v>
      </c>
      <c r="AU979" t="b">
        <f>AND(IF(metadata!J979="",FALSE,TRUE),OR(EXACT(metadata!J979,"Animal"),EXACT(metadata!J979,"Fungus"),EXACT(metadata!J979,"Plant"),EXACT(metadata!J979,"Saline"),EXACT(metadata!J979,"Non-saline")))</f>
        <v>0</v>
      </c>
      <c r="AV979" t="b">
        <f>AND(IF(metadata!K979="",FALSE,TRUE),OR(EXACT(metadata!K979,"Plant secretion"),EXACT(metadata!K979,"Plant rhizosphere"),EXACT(metadata!K979,"Plant surface"),EXACT(metadata!K979,"Plant corpus"),EXACT(metadata!K979,"Fungus surface"),EXACT(metadata!K979,"Fungus corpus"),EXACT(metadata!K979,"Animal surface"),EXACT(metadata!K979,"Animal proximal gut"),EXACT(metadata!K979,"Animal corpus"),EXACT(metadata!K979,"Animal distal gut"),EXACT(metadata!K979,"Animal secretion"),EXACT(metadata!K979,"Sub-surface (non-saline)"),EXACT(metadata!K979,"Surface (non-saline)"),EXACT(metadata!K979,"Water (non-saline)"),EXACT(metadata!K979,"Soil (non-saline)"),EXACT(metadata!K979,"Aerosol (non-saline)"),EXACT(metadata!K979,"Sediment (non-saline)"),EXACT(metadata!K979,"Surface (saline)"),EXACT(metadata!K979,"Water (saline)"),EXACT(metadata!K979,"Hypersaline (saline)"),EXACT(metadata!K979,"Aerosol (saline)"),EXACT(metadata!K979,"Sediment (saline)")))</f>
        <v>0</v>
      </c>
      <c r="AW979" t="b">
        <f>IF(metadata!L979="",FALSE,TRUE)</f>
        <v>0</v>
      </c>
      <c r="AX979" t="b">
        <f>IF(metadata!M979="",FALSE,TRUE)</f>
        <v>0</v>
      </c>
      <c r="AY979" t="b">
        <f>IF(metadata!N979="",FALSE,TRUE)</f>
        <v>0</v>
      </c>
      <c r="AZ979" t="b">
        <f>OR(AND(IF(metadata!O979="",FALSE,TRUE),OR(EXACT(metadata!O979,"missing: not collected"),EXACT(metadata!O979,"missing: not provided"),EXACT(metadata!O979,"missing: restricted access"))),AND(IF(metadata!O979="",FALSE,TRUE),OR(EXACT(metadata!O979,"air"),EXACT(metadata!O979,"built environment"),EXACT(metadata!O979,"host-associated"),EXACT(metadata!O979,"human-associated"),EXACT(metadata!O979,"human-skin"),EXACT(metadata!O979,"human-oral"),EXACT(metadata!O979,"human-gut"),EXACT(metadata!O979,"human-vaginal"),EXACT(metadata!O979,"microbial mat/biofilm"),EXACT(metadata!O979,"misc environment"),EXACT(metadata!O979,"plant-associated"),EXACT(metadata!O979,"sediment"),EXACT(metadata!O979,"soil"),EXACT(metadata!O979,"wastewater/sludge"),EXACT(metadata!O979,"water"))))</f>
        <v>0</v>
      </c>
      <c r="BA979" t="b">
        <f>IF(metadata!P979="",FALSE,TRUE)</f>
        <v>0</v>
      </c>
      <c r="BB979" t="b">
        <f>IF(metadata!Q979="",FALSE,TRUE)</f>
        <v>0</v>
      </c>
      <c r="BC979" t="b">
        <f>OR(AND(IF(metadata!R979="",FALSE,TRUE),OR(EXACT(metadata!R979,"missing: not collected"),EXACT(metadata!R979,"missing: not provided"),EXACT(metadata!R979,"missing: restricted access"))),AND(IF(metadata!R979="",FALSE,ISNUMBER(VALUE(metadata!R979))),metadata!R979&gt;=-90,metadata!R979&lt;=90))</f>
        <v>0</v>
      </c>
      <c r="BD979" t="b">
        <f>AND(IF(metadata!S979="",FALSE,TRUE),EXACT(metadata!S979,"Decimal degrees"))</f>
        <v>0</v>
      </c>
      <c r="BE979" t="b">
        <f>OR(AND(IF(metadata!T979="",FALSE,TRUE),OR(EXACT(metadata!T979,"missing: not collected"),EXACT(metadata!T979,"missing: not provided"),EXACT(metadata!T979,"missing: restricted access"))),AND(IF(metadata!T979="",FALSE,ISNUMBER(VALUE(metadata!T979))),metadata!T979&gt;=-180,metadata!T979&lt;=180))</f>
        <v>0</v>
      </c>
      <c r="BF979" t="b">
        <f>AND(IF(metadata!U979="",FALSE,TRUE),EXACT(metadata!U979,"Decimal degrees"))</f>
        <v>0</v>
      </c>
      <c r="BG979" t="b">
        <f>IF(metadata!V979="",FALSE,TRUE)</f>
        <v>0</v>
      </c>
      <c r="BH979" t="b">
        <f>OR(AND(IF(metadata!W979="",FALSE,TRUE),OR(EXACT(metadata!W979,"missing: not collected"),EXACT(metadata!W979,"missing: not provided"),EXACT(metadata!W979,"missing: restricted access"))),AND(IF(metadata!W979="",FALSE,TRUE),OR(EXACT(metadata!W979,"TRUE"),EXACT(metadata!W979,"FALSE"))))</f>
        <v>0</v>
      </c>
      <c r="BI979" t="b">
        <f>AND(IF(metadata!X979="",FALSE,TRUE),EXACT(metadata!X979,"other"))</f>
        <v>0</v>
      </c>
      <c r="BJ979" t="b">
        <f>IF(metadata!Y979="",FALSE,TRUE)</f>
        <v>0</v>
      </c>
      <c r="BK979" t="b">
        <f>OR(AND(IF(metadata!Z979="",FALSE,TRUE),OR(EXACT(metadata!Z979,"missing: not collected"),EXACT(metadata!Z979,"missing: not provided"))),AND(IF(metadata!Z979="",FALSE,IF(ISERROR(INT(metadata!Z979)),FALSE,INT(metadata!Z979)=metadata!Z979)),metadata!Z979&gt;0))</f>
        <v>0</v>
      </c>
      <c r="BL979" t="b">
        <f>AND(IF(metadata!AA979="",FALSE,TRUE),EXACT(metadata!AA979,"Not applicable"))</f>
        <v>0</v>
      </c>
      <c r="BM979" t="b">
        <f>IF(metadata!AB979="",FALSE,TRUE)</f>
        <v>0</v>
      </c>
    </row>
    <row r="980" spans="1:65" x14ac:dyDescent="0.2">
      <c r="A980" s="5" t="str">
        <f ca="1">IF(B980=" "," ",HYPERLINK(CONCATENATE("#metadata!",ADDRESS(INDEX($AH$2:$AH$1001,MATCH(ROWS($AF$2:AF980),$AF$2:$AF$1001,0),0),1)),INDEX($AK$2:$AK$1001,MATCH(ROWS($AF$2:AF980),$AF$2:$AF$1001,0),0)))</f>
        <v xml:space="preserve"> </v>
      </c>
      <c r="B980" s="4" t="str">
        <f ca="1">IF(OR(INDEX($AG$2:$AG$1001,MATCH(ROWS($AF$2:AF980),$AF$2:$AF$1001,0),1)&gt;=100000,INDEX($AM$1005:$BM$1005,1,MATCH(COLUMNS($AM$1006:AM1006),$AM$1006:$BM$1006,0))&gt;=100000), " ",IF(INDEX($AM$2:$BM$1001,MATCH(ROWS($AF$2:AF980),$AF$2:$AF$1001,0),MATCH(COLUMNS($AM$1006:AM1006),$AM$1006:$BM$1006,0)), HYPERLINK("#",""), HYPERLINK(CONCATENATE("#metadata!", ADDRESS(INDEX($AH$2:$AH$1001,MATCH(ROWS($AF$2:AF980),$AF$2:$AF$1001,0),0), INDEX($AM$1004:$BM$1004,1,MATCH(COLUMNS($AM$1006:AM1006),$AM$1006:$BM$1006,0)))),"Fix")))</f>
        <v xml:space="preserve"> </v>
      </c>
      <c r="C980" s="4" t="str">
        <f ca="1">IF(OR(INDEX($AG$2:$AG$1001,MATCH(ROWS($AF$2:AF980),$AF$2:$AF$1001,0),1)&gt;=100000,INDEX($AM$1005:$BM$1005,1,MATCH(COLUMNS($AM$1006:AN1006),$AM$1006:$BM$1006,0))&gt;=100000), " ",IF(INDEX($AM$2:$BM$1001,MATCH(ROWS($AF$2:AF980),$AF$2:$AF$1001,0),MATCH(COLUMNS($AM$1006:AN1006),$AM$1006:$BM$1006,0)), HYPERLINK("#",""), HYPERLINK(CONCATENATE("#metadata!", ADDRESS(INDEX($AH$2:$AH$1001,MATCH(ROWS($AF$2:AF980),$AF$2:$AF$1001,0),0), INDEX($AM$1004:$BM$1004,1,MATCH(COLUMNS($AM$1006:AN1006),$AM$1006:$BM$1006,0)))),"Fix")))</f>
        <v xml:space="preserve"> </v>
      </c>
      <c r="D980" s="4" t="str">
        <f ca="1">IF(OR(INDEX($AG$2:$AG$1001,MATCH(ROWS($AF$2:AF980),$AF$2:$AF$1001,0),1)&gt;=100000,INDEX($AM$1005:$BM$1005,1,MATCH(COLUMNS($AM$1006:AO1006),$AM$1006:$BM$1006,0))&gt;=100000), " ",IF(INDEX($AM$2:$BM$1001,MATCH(ROWS($AF$2:AF980),$AF$2:$AF$1001,0),MATCH(COLUMNS($AM$1006:AO1006),$AM$1006:$BM$1006,0)), HYPERLINK("#",""), HYPERLINK(CONCATENATE("#metadata!", ADDRESS(INDEX($AH$2:$AH$1001,MATCH(ROWS($AF$2:AF980),$AF$2:$AF$1001,0),0), INDEX($AM$1004:$BM$1004,1,MATCH(COLUMNS($AM$1006:AO1006),$AM$1006:$BM$1006,0)))),"Fix")))</f>
        <v xml:space="preserve"> </v>
      </c>
      <c r="E980" s="4" t="str">
        <f ca="1">IF(OR(INDEX($AG$2:$AG$1001,MATCH(ROWS($AF$2:AF980),$AF$2:$AF$1001,0),1)&gt;=100000,INDEX($AM$1005:$BM$1005,1,MATCH(COLUMNS($AM$1006:AP1006),$AM$1006:$BM$1006,0))&gt;=100000), " ",IF(INDEX($AM$2:$BM$1001,MATCH(ROWS($AF$2:AF980),$AF$2:$AF$1001,0),MATCH(COLUMNS($AM$1006:AP1006),$AM$1006:$BM$1006,0)), HYPERLINK("#",""), HYPERLINK(CONCATENATE("#metadata!", ADDRESS(INDEX($AH$2:$AH$1001,MATCH(ROWS($AF$2:AF980),$AF$2:$AF$1001,0),0), INDEX($AM$1004:$BM$1004,1,MATCH(COLUMNS($AM$1006:AP1006),$AM$1006:$BM$1006,0)))),"Fix")))</f>
        <v xml:space="preserve"> </v>
      </c>
      <c r="F980" s="4" t="str">
        <f ca="1">IF(OR(INDEX($AG$2:$AG$1001,MATCH(ROWS($AF$2:AF980),$AF$2:$AF$1001,0),1)&gt;=100000,INDEX($AM$1005:$BM$1005,1,MATCH(COLUMNS($AM$1006:AQ1006),$AM$1006:$BM$1006,0))&gt;=100000), " ",IF(INDEX($AM$2:$BM$1001,MATCH(ROWS($AF$2:AF980),$AF$2:$AF$1001,0),MATCH(COLUMNS($AM$1006:AQ1006),$AM$1006:$BM$1006,0)), HYPERLINK("#",""), HYPERLINK(CONCATENATE("#metadata!", ADDRESS(INDEX($AH$2:$AH$1001,MATCH(ROWS($AF$2:AF980),$AF$2:$AF$1001,0),0), INDEX($AM$1004:$BM$1004,1,MATCH(COLUMNS($AM$1006:AQ1006),$AM$1006:$BM$1006,0)))),"Fix")))</f>
        <v xml:space="preserve"> </v>
      </c>
      <c r="G980" s="4" t="str">
        <f ca="1">IF(OR(INDEX($AG$2:$AG$1001,MATCH(ROWS($AF$2:AF980),$AF$2:$AF$1001,0),1)&gt;=100000,INDEX($AM$1005:$BM$1005,1,MATCH(COLUMNS($AM$1006:AR1006),$AM$1006:$BM$1006,0))&gt;=100000), " ",IF(INDEX($AM$2:$BM$1001,MATCH(ROWS($AF$2:AF980),$AF$2:$AF$1001,0),MATCH(COLUMNS($AM$1006:AR1006),$AM$1006:$BM$1006,0)), HYPERLINK("#",""), HYPERLINK(CONCATENATE("#metadata!", ADDRESS(INDEX($AH$2:$AH$1001,MATCH(ROWS($AF$2:AF980),$AF$2:$AF$1001,0),0), INDEX($AM$1004:$BM$1004,1,MATCH(COLUMNS($AM$1006:AR1006),$AM$1006:$BM$1006,0)))),"Fix")))</f>
        <v xml:space="preserve"> </v>
      </c>
      <c r="H980" s="4" t="str">
        <f ca="1">IF(OR(INDEX($AG$2:$AG$1001,MATCH(ROWS($AF$2:AF980),$AF$2:$AF$1001,0),1)&gt;=100000,INDEX($AM$1005:$BM$1005,1,MATCH(COLUMNS($AM$1006:AS1006),$AM$1006:$BM$1006,0))&gt;=100000), " ",IF(INDEX($AM$2:$BM$1001,MATCH(ROWS($AF$2:AF980),$AF$2:$AF$1001,0),MATCH(COLUMNS($AM$1006:AS1006),$AM$1006:$BM$1006,0)), HYPERLINK("#",""), HYPERLINK(CONCATENATE("#metadata!", ADDRESS(INDEX($AH$2:$AH$1001,MATCH(ROWS($AF$2:AF980),$AF$2:$AF$1001,0),0), INDEX($AM$1004:$BM$1004,1,MATCH(COLUMNS($AM$1006:AS1006),$AM$1006:$BM$1006,0)))),"Fix")))</f>
        <v xml:space="preserve"> </v>
      </c>
      <c r="I980" s="4" t="str">
        <f ca="1">IF(OR(INDEX($AG$2:$AG$1001,MATCH(ROWS($AF$2:AF980),$AF$2:$AF$1001,0),1)&gt;=100000,INDEX($AM$1005:$BM$1005,1,MATCH(COLUMNS($AM$1006:AT1006),$AM$1006:$BM$1006,0))&gt;=100000), " ",IF(INDEX($AM$2:$BM$1001,MATCH(ROWS($AF$2:AF980),$AF$2:$AF$1001,0),MATCH(COLUMNS($AM$1006:AT1006),$AM$1006:$BM$1006,0)), HYPERLINK("#",""), HYPERLINK(CONCATENATE("#metadata!", ADDRESS(INDEX($AH$2:$AH$1001,MATCH(ROWS($AF$2:AF980),$AF$2:$AF$1001,0),0), INDEX($AM$1004:$BM$1004,1,MATCH(COLUMNS($AM$1006:AT1006),$AM$1006:$BM$1006,0)))),"Fix")))</f>
        <v xml:space="preserve"> </v>
      </c>
      <c r="J980" s="4" t="str">
        <f ca="1">IF(OR(INDEX($AG$2:$AG$1001,MATCH(ROWS($AF$2:AF980),$AF$2:$AF$1001,0),1)&gt;=100000,INDEX($AM$1005:$BM$1005,1,MATCH(COLUMNS($AM$1006:AU1006),$AM$1006:$BM$1006,0))&gt;=100000), " ",IF(INDEX($AM$2:$BM$1001,MATCH(ROWS($AF$2:AF980),$AF$2:$AF$1001,0),MATCH(COLUMNS($AM$1006:AU1006),$AM$1006:$BM$1006,0)), HYPERLINK("#",""), HYPERLINK(CONCATENATE("#metadata!", ADDRESS(INDEX($AH$2:$AH$1001,MATCH(ROWS($AF$2:AF980),$AF$2:$AF$1001,0),0), INDEX($AM$1004:$BM$1004,1,MATCH(COLUMNS($AM$1006:AU1006),$AM$1006:$BM$1006,0)))),"Fix")))</f>
        <v xml:space="preserve"> </v>
      </c>
      <c r="K980" s="4" t="str">
        <f ca="1">IF(OR(INDEX($AG$2:$AG$1001,MATCH(ROWS($AF$2:AF980),$AF$2:$AF$1001,0),1)&gt;=100000,INDEX($AM$1005:$BM$1005,1,MATCH(COLUMNS($AM$1006:AV1006),$AM$1006:$BM$1006,0))&gt;=100000), " ",IF(INDEX($AM$2:$BM$1001,MATCH(ROWS($AF$2:AF980),$AF$2:$AF$1001,0),MATCH(COLUMNS($AM$1006:AV1006),$AM$1006:$BM$1006,0)), HYPERLINK("#",""), HYPERLINK(CONCATENATE("#metadata!", ADDRESS(INDEX($AH$2:$AH$1001,MATCH(ROWS($AF$2:AF980),$AF$2:$AF$1001,0),0), INDEX($AM$1004:$BM$1004,1,MATCH(COLUMNS($AM$1006:AV1006),$AM$1006:$BM$1006,0)))),"Fix")))</f>
        <v xml:space="preserve"> </v>
      </c>
      <c r="L980" s="4" t="str">
        <f ca="1">IF(OR(INDEX($AG$2:$AG$1001,MATCH(ROWS($AF$2:AF980),$AF$2:$AF$1001,0),1)&gt;=100000,INDEX($AM$1005:$BM$1005,1,MATCH(COLUMNS($AM$1006:AW1006),$AM$1006:$BM$1006,0))&gt;=100000), " ",IF(INDEX($AM$2:$BM$1001,MATCH(ROWS($AF$2:AF980),$AF$2:$AF$1001,0),MATCH(COLUMNS($AM$1006:AW1006),$AM$1006:$BM$1006,0)), HYPERLINK("#",""), HYPERLINK(CONCATENATE("#metadata!", ADDRESS(INDEX($AH$2:$AH$1001,MATCH(ROWS($AF$2:AF980),$AF$2:$AF$1001,0),0), INDEX($AM$1004:$BM$1004,1,MATCH(COLUMNS($AM$1006:AW1006),$AM$1006:$BM$1006,0)))),"Fix")))</f>
        <v xml:space="preserve"> </v>
      </c>
      <c r="M980" s="4" t="str">
        <f ca="1">IF(OR(INDEX($AG$2:$AG$1001,MATCH(ROWS($AF$2:AF980),$AF$2:$AF$1001,0),1)&gt;=100000,INDEX($AM$1005:$BM$1005,1,MATCH(COLUMNS($AM$1006:AX1006),$AM$1006:$BM$1006,0))&gt;=100000), " ",IF(INDEX($AM$2:$BM$1001,MATCH(ROWS($AF$2:AF980),$AF$2:$AF$1001,0),MATCH(COLUMNS($AM$1006:AX1006),$AM$1006:$BM$1006,0)), HYPERLINK("#",""), HYPERLINK(CONCATENATE("#metadata!", ADDRESS(INDEX($AH$2:$AH$1001,MATCH(ROWS($AF$2:AF980),$AF$2:$AF$1001,0),0), INDEX($AM$1004:$BM$1004,1,MATCH(COLUMNS($AM$1006:AX1006),$AM$1006:$BM$1006,0)))),"Fix")))</f>
        <v xml:space="preserve"> </v>
      </c>
      <c r="N980" s="4" t="str">
        <f ca="1">IF(OR(INDEX($AG$2:$AG$1001,MATCH(ROWS($AF$2:AF980),$AF$2:$AF$1001,0),1)&gt;=100000,INDEX($AM$1005:$BM$1005,1,MATCH(COLUMNS($AM$1006:AY1006),$AM$1006:$BM$1006,0))&gt;=100000), " ",IF(INDEX($AM$2:$BM$1001,MATCH(ROWS($AF$2:AF980),$AF$2:$AF$1001,0),MATCH(COLUMNS($AM$1006:AY1006),$AM$1006:$BM$1006,0)), HYPERLINK("#",""), HYPERLINK(CONCATENATE("#metadata!", ADDRESS(INDEX($AH$2:$AH$1001,MATCH(ROWS($AF$2:AF980),$AF$2:$AF$1001,0),0), INDEX($AM$1004:$BM$1004,1,MATCH(COLUMNS($AM$1006:AY1006),$AM$1006:$BM$1006,0)))),"Fix")))</f>
        <v xml:space="preserve"> </v>
      </c>
      <c r="O980" s="4" t="str">
        <f ca="1">IF(OR(INDEX($AG$2:$AG$1001,MATCH(ROWS($AF$2:AF980),$AF$2:$AF$1001,0),1)&gt;=100000,INDEX($AM$1005:$BM$1005,1,MATCH(COLUMNS($AM$1006:AZ1006),$AM$1006:$BM$1006,0))&gt;=100000), " ",IF(INDEX($AM$2:$BM$1001,MATCH(ROWS($AF$2:AF980),$AF$2:$AF$1001,0),MATCH(COLUMNS($AM$1006:AZ1006),$AM$1006:$BM$1006,0)), HYPERLINK("#",""), HYPERLINK(CONCATENATE("#metadata!", ADDRESS(INDEX($AH$2:$AH$1001,MATCH(ROWS($AF$2:AF980),$AF$2:$AF$1001,0),0), INDEX($AM$1004:$BM$1004,1,MATCH(COLUMNS($AM$1006:AZ1006),$AM$1006:$BM$1006,0)))),"Fix")))</f>
        <v xml:space="preserve"> </v>
      </c>
      <c r="P980" s="4" t="str">
        <f ca="1">IF(OR(INDEX($AG$2:$AG$1001,MATCH(ROWS($AF$2:AF980),$AF$2:$AF$1001,0),1)&gt;=100000,INDEX($AM$1005:$BM$1005,1,MATCH(COLUMNS($AM$1006:BA1006),$AM$1006:$BM$1006,0))&gt;=100000), " ",IF(INDEX($AM$2:$BM$1001,MATCH(ROWS($AF$2:AF980),$AF$2:$AF$1001,0),MATCH(COLUMNS($AM$1006:BA1006),$AM$1006:$BM$1006,0)), HYPERLINK("#",""), HYPERLINK(CONCATENATE("#metadata!", ADDRESS(INDEX($AH$2:$AH$1001,MATCH(ROWS($AF$2:AF980),$AF$2:$AF$1001,0),0), INDEX($AM$1004:$BM$1004,1,MATCH(COLUMNS($AM$1006:BA1006),$AM$1006:$BM$1006,0)))),"Fix")))</f>
        <v xml:space="preserve"> </v>
      </c>
      <c r="Q980" s="4" t="str">
        <f ca="1">IF(OR(INDEX($AG$2:$AG$1001,MATCH(ROWS($AF$2:AF980),$AF$2:$AF$1001,0),1)&gt;=100000,INDEX($AM$1005:$BM$1005,1,MATCH(COLUMNS($AM$1006:BB1006),$AM$1006:$BM$1006,0))&gt;=100000), " ",IF(INDEX($AM$2:$BM$1001,MATCH(ROWS($AF$2:AF980),$AF$2:$AF$1001,0),MATCH(COLUMNS($AM$1006:BB1006),$AM$1006:$BM$1006,0)), HYPERLINK("#",""), HYPERLINK(CONCATENATE("#metadata!", ADDRESS(INDEX($AH$2:$AH$1001,MATCH(ROWS($AF$2:AF980),$AF$2:$AF$1001,0),0), INDEX($AM$1004:$BM$1004,1,MATCH(COLUMNS($AM$1006:BB1006),$AM$1006:$BM$1006,0)))),"Fix")))</f>
        <v xml:space="preserve"> </v>
      </c>
      <c r="R980" s="4" t="str">
        <f ca="1">IF(OR(INDEX($AG$2:$AG$1001,MATCH(ROWS($AF$2:AF980),$AF$2:$AF$1001,0),1)&gt;=100000,INDEX($AM$1005:$BM$1005,1,MATCH(COLUMNS($AM$1006:BC1006),$AM$1006:$BM$1006,0))&gt;=100000), " ",IF(INDEX($AM$2:$BM$1001,MATCH(ROWS($AF$2:AF980),$AF$2:$AF$1001,0),MATCH(COLUMNS($AM$1006:BC1006),$AM$1006:$BM$1006,0)), HYPERLINK("#",""), HYPERLINK(CONCATENATE("#metadata!", ADDRESS(INDEX($AH$2:$AH$1001,MATCH(ROWS($AF$2:AF980),$AF$2:$AF$1001,0),0), INDEX($AM$1004:$BM$1004,1,MATCH(COLUMNS($AM$1006:BC1006),$AM$1006:$BM$1006,0)))),"Fix")))</f>
        <v xml:space="preserve"> </v>
      </c>
      <c r="S980" s="4" t="str">
        <f ca="1">IF(OR(INDEX($AG$2:$AG$1001,MATCH(ROWS($AF$2:AF980),$AF$2:$AF$1001,0),1)&gt;=100000,INDEX($AM$1005:$BM$1005,1,MATCH(COLUMNS($AM$1006:BD1006),$AM$1006:$BM$1006,0))&gt;=100000), " ",IF(INDEX($AM$2:$BM$1001,MATCH(ROWS($AF$2:AF980),$AF$2:$AF$1001,0),MATCH(COLUMNS($AM$1006:BD1006),$AM$1006:$BM$1006,0)), HYPERLINK("#",""), HYPERLINK(CONCATENATE("#metadata!", ADDRESS(INDEX($AH$2:$AH$1001,MATCH(ROWS($AF$2:AF980),$AF$2:$AF$1001,0),0), INDEX($AM$1004:$BM$1004,1,MATCH(COLUMNS($AM$1006:BD1006),$AM$1006:$BM$1006,0)))),"Fix")))</f>
        <v xml:space="preserve"> </v>
      </c>
      <c r="T980" s="4" t="str">
        <f ca="1">IF(OR(INDEX($AG$2:$AG$1001,MATCH(ROWS($AF$2:AF980),$AF$2:$AF$1001,0),1)&gt;=100000,INDEX($AM$1005:$BM$1005,1,MATCH(COLUMNS($AM$1006:BE1006),$AM$1006:$BM$1006,0))&gt;=100000), " ",IF(INDEX($AM$2:$BM$1001,MATCH(ROWS($AF$2:AF980),$AF$2:$AF$1001,0),MATCH(COLUMNS($AM$1006:BE1006),$AM$1006:$BM$1006,0)), HYPERLINK("#",""), HYPERLINK(CONCATENATE("#metadata!", ADDRESS(INDEX($AH$2:$AH$1001,MATCH(ROWS($AF$2:AF980),$AF$2:$AF$1001,0),0), INDEX($AM$1004:$BM$1004,1,MATCH(COLUMNS($AM$1006:BE1006),$AM$1006:$BM$1006,0)))),"Fix")))</f>
        <v xml:space="preserve"> </v>
      </c>
      <c r="U980" s="4" t="str">
        <f ca="1">IF(OR(INDEX($AG$2:$AG$1001,MATCH(ROWS($AF$2:AF980),$AF$2:$AF$1001,0),1)&gt;=100000,INDEX($AM$1005:$BM$1005,1,MATCH(COLUMNS($AM$1006:BF1006),$AM$1006:$BM$1006,0))&gt;=100000), " ",IF(INDEX($AM$2:$BM$1001,MATCH(ROWS($AF$2:AF980),$AF$2:$AF$1001,0),MATCH(COLUMNS($AM$1006:BF1006),$AM$1006:$BM$1006,0)), HYPERLINK("#",""), HYPERLINK(CONCATENATE("#metadata!", ADDRESS(INDEX($AH$2:$AH$1001,MATCH(ROWS($AF$2:AF980),$AF$2:$AF$1001,0),0), INDEX($AM$1004:$BM$1004,1,MATCH(COLUMNS($AM$1006:BF1006),$AM$1006:$BM$1006,0)))),"Fix")))</f>
        <v xml:space="preserve"> </v>
      </c>
      <c r="V980" s="4" t="str">
        <f ca="1">IF(OR(INDEX($AG$2:$AG$1001,MATCH(ROWS($AF$2:AF980),$AF$2:$AF$1001,0),1)&gt;=100000,INDEX($AM$1005:$BM$1005,1,MATCH(COLUMNS($AM$1006:BG1006),$AM$1006:$BM$1006,0))&gt;=100000), " ",IF(INDEX($AM$2:$BM$1001,MATCH(ROWS($AF$2:AF980),$AF$2:$AF$1001,0),MATCH(COLUMNS($AM$1006:BG1006),$AM$1006:$BM$1006,0)), HYPERLINK("#",""), HYPERLINK(CONCATENATE("#metadata!", ADDRESS(INDEX($AH$2:$AH$1001,MATCH(ROWS($AF$2:AF980),$AF$2:$AF$1001,0),0), INDEX($AM$1004:$BM$1004,1,MATCH(COLUMNS($AM$1006:BG1006),$AM$1006:$BM$1006,0)))),"Fix")))</f>
        <v xml:space="preserve"> </v>
      </c>
      <c r="W980" s="4" t="str">
        <f ca="1">IF(OR(INDEX($AG$2:$AG$1001,MATCH(ROWS($AF$2:AF980),$AF$2:$AF$1001,0),1)&gt;=100000,INDEX($AM$1005:$BM$1005,1,MATCH(COLUMNS($AM$1006:BH1006),$AM$1006:$BM$1006,0))&gt;=100000), " ",IF(INDEX($AM$2:$BM$1001,MATCH(ROWS($AF$2:AF980),$AF$2:$AF$1001,0),MATCH(COLUMNS($AM$1006:BH1006),$AM$1006:$BM$1006,0)), HYPERLINK("#",""), HYPERLINK(CONCATENATE("#metadata!", ADDRESS(INDEX($AH$2:$AH$1001,MATCH(ROWS($AF$2:AF980),$AF$2:$AF$1001,0),0), INDEX($AM$1004:$BM$1004,1,MATCH(COLUMNS($AM$1006:BH1006),$AM$1006:$BM$1006,0)))),"Fix")))</f>
        <v xml:space="preserve"> </v>
      </c>
      <c r="X980" s="4" t="str">
        <f ca="1">IF(OR(INDEX($AG$2:$AG$1001,MATCH(ROWS($AF$2:AF980),$AF$2:$AF$1001,0),1)&gt;=100000,INDEX($AM$1005:$BM$1005,1,MATCH(COLUMNS($AM$1006:BI1006),$AM$1006:$BM$1006,0))&gt;=100000), " ",IF(INDEX($AM$2:$BM$1001,MATCH(ROWS($AF$2:AF980),$AF$2:$AF$1001,0),MATCH(COLUMNS($AM$1006:BI1006),$AM$1006:$BM$1006,0)), HYPERLINK("#",""), HYPERLINK(CONCATENATE("#metadata!", ADDRESS(INDEX($AH$2:$AH$1001,MATCH(ROWS($AF$2:AF980),$AF$2:$AF$1001,0),0), INDEX($AM$1004:$BM$1004,1,MATCH(COLUMNS($AM$1006:BI1006),$AM$1006:$BM$1006,0)))),"Fix")))</f>
        <v xml:space="preserve"> </v>
      </c>
      <c r="Y980" s="4" t="str">
        <f ca="1">IF(OR(INDEX($AG$2:$AG$1001,MATCH(ROWS($AF$2:AF980),$AF$2:$AF$1001,0),1)&gt;=100000,INDEX($AM$1005:$BM$1005,1,MATCH(COLUMNS($AM$1006:BJ1006),$AM$1006:$BM$1006,0))&gt;=100000), " ",IF(INDEX($AM$2:$BM$1001,MATCH(ROWS($AF$2:AF980),$AF$2:$AF$1001,0),MATCH(COLUMNS($AM$1006:BJ1006),$AM$1006:$BM$1006,0)), HYPERLINK("#",""), HYPERLINK(CONCATENATE("#metadata!", ADDRESS(INDEX($AH$2:$AH$1001,MATCH(ROWS($AF$2:AF980),$AF$2:$AF$1001,0),0), INDEX($AM$1004:$BM$1004,1,MATCH(COLUMNS($AM$1006:BJ1006),$AM$1006:$BM$1006,0)))),"Fix")))</f>
        <v xml:space="preserve"> </v>
      </c>
      <c r="Z980" s="4" t="str">
        <f ca="1">IF(OR(INDEX($AG$2:$AG$1001,MATCH(ROWS($AF$2:AF980),$AF$2:$AF$1001,0),1)&gt;=100000,INDEX($AM$1005:$BM$1005,1,MATCH(COLUMNS($AM$1006:BK1006),$AM$1006:$BM$1006,0))&gt;=100000), " ",IF(INDEX($AM$2:$BM$1001,MATCH(ROWS($AF$2:AF980),$AF$2:$AF$1001,0),MATCH(COLUMNS($AM$1006:BK1006),$AM$1006:$BM$1006,0)), HYPERLINK("#",""), HYPERLINK(CONCATENATE("#metadata!", ADDRESS(INDEX($AH$2:$AH$1001,MATCH(ROWS($AF$2:AF980),$AF$2:$AF$1001,0),0), INDEX($AM$1004:$BM$1004,1,MATCH(COLUMNS($AM$1006:BK1006),$AM$1006:$BM$1006,0)))),"Fix")))</f>
        <v xml:space="preserve"> </v>
      </c>
      <c r="AA980" s="4" t="str">
        <f ca="1">IF(OR(INDEX($AG$2:$AG$1001,MATCH(ROWS($AF$2:AF980),$AF$2:$AF$1001,0),1)&gt;=100000,INDEX($AM$1005:$BM$1005,1,MATCH(COLUMNS($AM$1006:BL1006),$AM$1006:$BM$1006,0))&gt;=100000), " ",IF(INDEX($AM$2:$BM$1001,MATCH(ROWS($AF$2:AF980),$AF$2:$AF$1001,0),MATCH(COLUMNS($AM$1006:BL1006),$AM$1006:$BM$1006,0)), HYPERLINK("#",""), HYPERLINK(CONCATENATE("#metadata!", ADDRESS(INDEX($AH$2:$AH$1001,MATCH(ROWS($AF$2:AF980),$AF$2:$AF$1001,0),0), INDEX($AM$1004:$BM$1004,1,MATCH(COLUMNS($AM$1006:BL1006),$AM$1006:$BM$1006,0)))),"Fix")))</f>
        <v xml:space="preserve"> </v>
      </c>
      <c r="AB980" s="4" t="str">
        <f ca="1">IF(OR(INDEX($AG$2:$AG$1001,MATCH(ROWS($AF$2:AF980),$AF$2:$AF$1001,0),1)&gt;=100000,INDEX($AM$1005:$BM$1005,1,MATCH(COLUMNS($AM$1006:BM1006),$AM$1006:$BM$1006,0))&gt;=100000), " ",IF(INDEX($AM$2:$BM$1001,MATCH(ROWS($AF$2:AF980),$AF$2:$AF$1001,0),MATCH(COLUMNS($AM$1006:BM1006),$AM$1006:$BM$1006,0)), HYPERLINK("#",""), HYPERLINK(CONCATENATE("#metadata!", ADDRESS(INDEX($AH$2:$AH$1001,MATCH(ROWS($AF$2:AF980),$AF$2:$AF$1001,0),0), INDEX($AM$1004:$BM$1004,1,MATCH(COLUMNS($AM$1006:BM1006),$AM$1006:$BM$1006,0)))),"Fix")))</f>
        <v xml:space="preserve"> </v>
      </c>
      <c r="AF980">
        <v>979</v>
      </c>
      <c r="AG980">
        <v>100980</v>
      </c>
      <c r="AH980">
        <v>980</v>
      </c>
      <c r="AI980" t="b">
        <f t="shared" si="15"/>
        <v>1</v>
      </c>
      <c r="AJ980" t="b">
        <f>COUNTBLANK(metadata!B980:AB980)=COLUMNS(metadata!B980:AB980)</f>
        <v>1</v>
      </c>
      <c r="AK980" t="str">
        <v/>
      </c>
      <c r="AM980" t="b">
        <f ca="1">AND(IF(metadata!B980="",FALSE,TRUE),COUNTIF(metadata!B:B, metadata!B980) = 1,NOT(ISERROR(SUMPRODUCT(SEARCH(MID(metadata!B980,ROW(INDIRECT("1:"&amp;LEN(metadata!B980))), 1),"0123456789abcdefghijklmnopqrstuvwxyzABCDEFGHIJKLMNOPQRSTUVWXYZ.")))))</f>
        <v>0</v>
      </c>
      <c r="AN980" t="b">
        <f ca="1">OR(AND(IF(metadata!C980="",FALSE,TRUE),OR(EXACT(metadata!C980,"missing: not collected"),EXACT(metadata!C980,"missing: not provided"),EXACT(metadata!C980,"missing: restricted access"))),AND(IF(metadata!C980="",FALSE,TRUE),AND(AND(IFERROR(INT(LEFT(metadata!C980,4))&gt;1900,FALSE),IFERROR(INT(LEFT(metadata!C980,4))&lt;=YEAR(NOW()),FALSE)), OR(MID(metadata!C980,5,1)="", AND(AND(MID(metadata!C980,5,1)="-",IFERROR(INT(MID(metadata!C980,6,1))&gt;=0,FALSE),IFERROR(INT(MID(metadata!C980,6,1))&lt;=1,FALSE),NOT(MID(metadata!C980,7,1)=""),IFERROR(INT(MID(metadata!C980,6,2))&gt;=1,FALSE),IFERROR(INT(MID(metadata!C980,6,2))&lt;=12,FALSE)), OR(MID(metadata!C980,8,1)="", AND(AND(MID(metadata!C980,8,1)="-",IFERROR(INT(MID(metadata!C980,9,1))&gt;=0,FALSE),IFERROR(INT(MID(metadata!C980,9,1))&lt;=3,FALSE),NOT(MID(metadata!C980,10,1)=""),IFERROR(INT(MID(metadata!C980,9,2))&gt;=1,FALSE),IFERROR(INT(MID(metadata!C980,9,2))&lt;=31,FALSE)), OR(MID(metadata!C980,11,1)="", AND(AND(MID(metadata!C980,11,1)=" ",IFERROR(INT(MID(metadata!C980,12,1))&gt;=0,FALSE),IFERROR(INT(MID(metadata!C980,12,1))&lt;=2,FALSE),NOT(MID(metadata!C980,13,1)=""),IFERROR(INT(MID(metadata!C980,12,2))&gt;=0,FALSE),IFERROR(INT(MID(metadata!C980,12,2))&lt;=23,FALSE)), OR(MID(metadata!C980,14,1)="", AND(AND(MID(metadata!C980,14,1)=":",IFERROR(INT(MID(metadata!C980,15,1))&gt;=0,FALSE),IFERROR(INT(MID(metadata!C980,15,1))&lt;=5,FALSE),NOT(MID(metadata!C980,16,1)=""),IFERROR(INT(MID(metadata!C980,15,2))&gt;=0,FALSE),IFERROR(INT(MID(metadata!C980,15,2))&lt;=59,FALSE)), OR(MID(metadata!C980,17,1)="", AND(AND(MID(metadata!C980,17,1)=":",IFERROR(INT(MID(metadata!C980,18,1))&gt;=0,FALSE),IFERROR(INT(MID(metadata!C980,18,1))&lt;=5,FALSE),NOT(MID(metadata!C980,19,1)=""),IFERROR(INT(MID(metadata!C980,18,2))&gt;=0,FALSE),IFERROR(INT(MID(metadata!C980,18,2))&lt;=59,FALSE)), LEN(metadata!C980)&lt;=19)))))))))))))</f>
        <v>0</v>
      </c>
      <c r="AO980" t="b">
        <f>AND(IF(metadata!D980="",FALSE,TRUE),EXACT(metadata!D980,"Not applicable"))</f>
        <v>0</v>
      </c>
      <c r="AP980" t="b">
        <f>IF(metadata!E980="",FALSE,TRUE)</f>
        <v>0</v>
      </c>
      <c r="AQ980" t="b">
        <f>OR(AND(IF(metadata!F980="",FALSE,TRUE),OR(EXACT(metadata!F980,"missing: not collected"),EXACT(metadata!F980,"missing: not provided"))),AND(IF(metadata!F980="",FALSE,TRUE),OR(EXACT(metadata!F980,"TRUE"),EXACT(metadata!F980,"FALSE"))))</f>
        <v>0</v>
      </c>
      <c r="AR980" t="b">
        <f>OR(AND(IF(metadata!G980="",FALSE,TRUE),OR(EXACT(metadata!G980,"missing: not collected"),EXACT(metadata!G980,"missing: not provided"),EXACT(metadata!G980,"missing: restricted access"))),AND(IF(metadata!G980="",FALSE,ISNUMBER(VALUE(metadata!G980))),metadata!G980&gt;=-413))</f>
        <v>0</v>
      </c>
      <c r="AS980" t="b">
        <f>AND(IF(metadata!H980="",FALSE,TRUE),EXACT(metadata!H980,"meters"))</f>
        <v>0</v>
      </c>
      <c r="AT980" t="b">
        <f>AND(IF(metadata!I980="",FALSE,TRUE),OR(EXACT(metadata!I980,"Host-associated"),EXACT(metadata!I980,"Free-living")))</f>
        <v>0</v>
      </c>
      <c r="AU980" t="b">
        <f>AND(IF(metadata!J980="",FALSE,TRUE),OR(EXACT(metadata!J980,"Animal"),EXACT(metadata!J980,"Fungus"),EXACT(metadata!J980,"Plant"),EXACT(metadata!J980,"Saline"),EXACT(metadata!J980,"Non-saline")))</f>
        <v>0</v>
      </c>
      <c r="AV980" t="b">
        <f>AND(IF(metadata!K980="",FALSE,TRUE),OR(EXACT(metadata!K980,"Plant secretion"),EXACT(metadata!K980,"Plant rhizosphere"),EXACT(metadata!K980,"Plant surface"),EXACT(metadata!K980,"Plant corpus"),EXACT(metadata!K980,"Fungus surface"),EXACT(metadata!K980,"Fungus corpus"),EXACT(metadata!K980,"Animal surface"),EXACT(metadata!K980,"Animal proximal gut"),EXACT(metadata!K980,"Animal corpus"),EXACT(metadata!K980,"Animal distal gut"),EXACT(metadata!K980,"Animal secretion"),EXACT(metadata!K980,"Sub-surface (non-saline)"),EXACT(metadata!K980,"Surface (non-saline)"),EXACT(metadata!K980,"Water (non-saline)"),EXACT(metadata!K980,"Soil (non-saline)"),EXACT(metadata!K980,"Aerosol (non-saline)"),EXACT(metadata!K980,"Sediment (non-saline)"),EXACT(metadata!K980,"Surface (saline)"),EXACT(metadata!K980,"Water (saline)"),EXACT(metadata!K980,"Hypersaline (saline)"),EXACT(metadata!K980,"Aerosol (saline)"),EXACT(metadata!K980,"Sediment (saline)")))</f>
        <v>0</v>
      </c>
      <c r="AW980" t="b">
        <f>IF(metadata!L980="",FALSE,TRUE)</f>
        <v>0</v>
      </c>
      <c r="AX980" t="b">
        <f>IF(metadata!M980="",FALSE,TRUE)</f>
        <v>0</v>
      </c>
      <c r="AY980" t="b">
        <f>IF(metadata!N980="",FALSE,TRUE)</f>
        <v>0</v>
      </c>
      <c r="AZ980" t="b">
        <f>OR(AND(IF(metadata!O980="",FALSE,TRUE),OR(EXACT(metadata!O980,"missing: not collected"),EXACT(metadata!O980,"missing: not provided"),EXACT(metadata!O980,"missing: restricted access"))),AND(IF(metadata!O980="",FALSE,TRUE),OR(EXACT(metadata!O980,"air"),EXACT(metadata!O980,"built environment"),EXACT(metadata!O980,"host-associated"),EXACT(metadata!O980,"human-associated"),EXACT(metadata!O980,"human-skin"),EXACT(metadata!O980,"human-oral"),EXACT(metadata!O980,"human-gut"),EXACT(metadata!O980,"human-vaginal"),EXACT(metadata!O980,"microbial mat/biofilm"),EXACT(metadata!O980,"misc environment"),EXACT(metadata!O980,"plant-associated"),EXACT(metadata!O980,"sediment"),EXACT(metadata!O980,"soil"),EXACT(metadata!O980,"wastewater/sludge"),EXACT(metadata!O980,"water"))))</f>
        <v>0</v>
      </c>
      <c r="BA980" t="b">
        <f>IF(metadata!P980="",FALSE,TRUE)</f>
        <v>0</v>
      </c>
      <c r="BB980" t="b">
        <f>IF(metadata!Q980="",FALSE,TRUE)</f>
        <v>0</v>
      </c>
      <c r="BC980" t="b">
        <f>OR(AND(IF(metadata!R980="",FALSE,TRUE),OR(EXACT(metadata!R980,"missing: not collected"),EXACT(metadata!R980,"missing: not provided"),EXACT(metadata!R980,"missing: restricted access"))),AND(IF(metadata!R980="",FALSE,ISNUMBER(VALUE(metadata!R980))),metadata!R980&gt;=-90,metadata!R980&lt;=90))</f>
        <v>0</v>
      </c>
      <c r="BD980" t="b">
        <f>AND(IF(metadata!S980="",FALSE,TRUE),EXACT(metadata!S980,"Decimal degrees"))</f>
        <v>0</v>
      </c>
      <c r="BE980" t="b">
        <f>OR(AND(IF(metadata!T980="",FALSE,TRUE),OR(EXACT(metadata!T980,"missing: not collected"),EXACT(metadata!T980,"missing: not provided"),EXACT(metadata!T980,"missing: restricted access"))),AND(IF(metadata!T980="",FALSE,ISNUMBER(VALUE(metadata!T980))),metadata!T980&gt;=-180,metadata!T980&lt;=180))</f>
        <v>0</v>
      </c>
      <c r="BF980" t="b">
        <f>AND(IF(metadata!U980="",FALSE,TRUE),EXACT(metadata!U980,"Decimal degrees"))</f>
        <v>0</v>
      </c>
      <c r="BG980" t="b">
        <f>IF(metadata!V980="",FALSE,TRUE)</f>
        <v>0</v>
      </c>
      <c r="BH980" t="b">
        <f>OR(AND(IF(metadata!W980="",FALSE,TRUE),OR(EXACT(metadata!W980,"missing: not collected"),EXACT(metadata!W980,"missing: not provided"),EXACT(metadata!W980,"missing: restricted access"))),AND(IF(metadata!W980="",FALSE,TRUE),OR(EXACT(metadata!W980,"TRUE"),EXACT(metadata!W980,"FALSE"))))</f>
        <v>0</v>
      </c>
      <c r="BI980" t="b">
        <f>AND(IF(metadata!X980="",FALSE,TRUE),EXACT(metadata!X980,"other"))</f>
        <v>0</v>
      </c>
      <c r="BJ980" t="b">
        <f>IF(metadata!Y980="",FALSE,TRUE)</f>
        <v>0</v>
      </c>
      <c r="BK980" t="b">
        <f>OR(AND(IF(metadata!Z980="",FALSE,TRUE),OR(EXACT(metadata!Z980,"missing: not collected"),EXACT(metadata!Z980,"missing: not provided"))),AND(IF(metadata!Z980="",FALSE,IF(ISERROR(INT(metadata!Z980)),FALSE,INT(metadata!Z980)=metadata!Z980)),metadata!Z980&gt;0))</f>
        <v>0</v>
      </c>
      <c r="BL980" t="b">
        <f>AND(IF(metadata!AA980="",FALSE,TRUE),EXACT(metadata!AA980,"Not applicable"))</f>
        <v>0</v>
      </c>
      <c r="BM980" t="b">
        <f>IF(metadata!AB980="",FALSE,TRUE)</f>
        <v>0</v>
      </c>
    </row>
    <row r="981" spans="1:65" x14ac:dyDescent="0.2">
      <c r="A981" s="5" t="str">
        <f ca="1">IF(B981=" "," ",HYPERLINK(CONCATENATE("#metadata!",ADDRESS(INDEX($AH$2:$AH$1001,MATCH(ROWS($AF$2:AF981),$AF$2:$AF$1001,0),0),1)),INDEX($AK$2:$AK$1001,MATCH(ROWS($AF$2:AF981),$AF$2:$AF$1001,0),0)))</f>
        <v xml:space="preserve"> </v>
      </c>
      <c r="B981" s="4" t="str">
        <f ca="1">IF(OR(INDEX($AG$2:$AG$1001,MATCH(ROWS($AF$2:AF981),$AF$2:$AF$1001,0),1)&gt;=100000,INDEX($AM$1005:$BM$1005,1,MATCH(COLUMNS($AM$1006:AM1006),$AM$1006:$BM$1006,0))&gt;=100000), " ",IF(INDEX($AM$2:$BM$1001,MATCH(ROWS($AF$2:AF981),$AF$2:$AF$1001,0),MATCH(COLUMNS($AM$1006:AM1006),$AM$1006:$BM$1006,0)), HYPERLINK("#",""), HYPERLINK(CONCATENATE("#metadata!", ADDRESS(INDEX($AH$2:$AH$1001,MATCH(ROWS($AF$2:AF981),$AF$2:$AF$1001,0),0), INDEX($AM$1004:$BM$1004,1,MATCH(COLUMNS($AM$1006:AM1006),$AM$1006:$BM$1006,0)))),"Fix")))</f>
        <v xml:space="preserve"> </v>
      </c>
      <c r="C981" s="4" t="str">
        <f ca="1">IF(OR(INDEX($AG$2:$AG$1001,MATCH(ROWS($AF$2:AF981),$AF$2:$AF$1001,0),1)&gt;=100000,INDEX($AM$1005:$BM$1005,1,MATCH(COLUMNS($AM$1006:AN1006),$AM$1006:$BM$1006,0))&gt;=100000), " ",IF(INDEX($AM$2:$BM$1001,MATCH(ROWS($AF$2:AF981),$AF$2:$AF$1001,0),MATCH(COLUMNS($AM$1006:AN1006),$AM$1006:$BM$1006,0)), HYPERLINK("#",""), HYPERLINK(CONCATENATE("#metadata!", ADDRESS(INDEX($AH$2:$AH$1001,MATCH(ROWS($AF$2:AF981),$AF$2:$AF$1001,0),0), INDEX($AM$1004:$BM$1004,1,MATCH(COLUMNS($AM$1006:AN1006),$AM$1006:$BM$1006,0)))),"Fix")))</f>
        <v xml:space="preserve"> </v>
      </c>
      <c r="D981" s="4" t="str">
        <f ca="1">IF(OR(INDEX($AG$2:$AG$1001,MATCH(ROWS($AF$2:AF981),$AF$2:$AF$1001,0),1)&gt;=100000,INDEX($AM$1005:$BM$1005,1,MATCH(COLUMNS($AM$1006:AO1006),$AM$1006:$BM$1006,0))&gt;=100000), " ",IF(INDEX($AM$2:$BM$1001,MATCH(ROWS($AF$2:AF981),$AF$2:$AF$1001,0),MATCH(COLUMNS($AM$1006:AO1006),$AM$1006:$BM$1006,0)), HYPERLINK("#",""), HYPERLINK(CONCATENATE("#metadata!", ADDRESS(INDEX($AH$2:$AH$1001,MATCH(ROWS($AF$2:AF981),$AF$2:$AF$1001,0),0), INDEX($AM$1004:$BM$1004,1,MATCH(COLUMNS($AM$1006:AO1006),$AM$1006:$BM$1006,0)))),"Fix")))</f>
        <v xml:space="preserve"> </v>
      </c>
      <c r="E981" s="4" t="str">
        <f ca="1">IF(OR(INDEX($AG$2:$AG$1001,MATCH(ROWS($AF$2:AF981),$AF$2:$AF$1001,0),1)&gt;=100000,INDEX($AM$1005:$BM$1005,1,MATCH(COLUMNS($AM$1006:AP1006),$AM$1006:$BM$1006,0))&gt;=100000), " ",IF(INDEX($AM$2:$BM$1001,MATCH(ROWS($AF$2:AF981),$AF$2:$AF$1001,0),MATCH(COLUMNS($AM$1006:AP1006),$AM$1006:$BM$1006,0)), HYPERLINK("#",""), HYPERLINK(CONCATENATE("#metadata!", ADDRESS(INDEX($AH$2:$AH$1001,MATCH(ROWS($AF$2:AF981),$AF$2:$AF$1001,0),0), INDEX($AM$1004:$BM$1004,1,MATCH(COLUMNS($AM$1006:AP1006),$AM$1006:$BM$1006,0)))),"Fix")))</f>
        <v xml:space="preserve"> </v>
      </c>
      <c r="F981" s="4" t="str">
        <f ca="1">IF(OR(INDEX($AG$2:$AG$1001,MATCH(ROWS($AF$2:AF981),$AF$2:$AF$1001,0),1)&gt;=100000,INDEX($AM$1005:$BM$1005,1,MATCH(COLUMNS($AM$1006:AQ1006),$AM$1006:$BM$1006,0))&gt;=100000), " ",IF(INDEX($AM$2:$BM$1001,MATCH(ROWS($AF$2:AF981),$AF$2:$AF$1001,0),MATCH(COLUMNS($AM$1006:AQ1006),$AM$1006:$BM$1006,0)), HYPERLINK("#",""), HYPERLINK(CONCATENATE("#metadata!", ADDRESS(INDEX($AH$2:$AH$1001,MATCH(ROWS($AF$2:AF981),$AF$2:$AF$1001,0),0), INDEX($AM$1004:$BM$1004,1,MATCH(COLUMNS($AM$1006:AQ1006),$AM$1006:$BM$1006,0)))),"Fix")))</f>
        <v xml:space="preserve"> </v>
      </c>
      <c r="G981" s="4" t="str">
        <f ca="1">IF(OR(INDEX($AG$2:$AG$1001,MATCH(ROWS($AF$2:AF981),$AF$2:$AF$1001,0),1)&gt;=100000,INDEX($AM$1005:$BM$1005,1,MATCH(COLUMNS($AM$1006:AR1006),$AM$1006:$BM$1006,0))&gt;=100000), " ",IF(INDEX($AM$2:$BM$1001,MATCH(ROWS($AF$2:AF981),$AF$2:$AF$1001,0),MATCH(COLUMNS($AM$1006:AR1006),$AM$1006:$BM$1006,0)), HYPERLINK("#",""), HYPERLINK(CONCATENATE("#metadata!", ADDRESS(INDEX($AH$2:$AH$1001,MATCH(ROWS($AF$2:AF981),$AF$2:$AF$1001,0),0), INDEX($AM$1004:$BM$1004,1,MATCH(COLUMNS($AM$1006:AR1006),$AM$1006:$BM$1006,0)))),"Fix")))</f>
        <v xml:space="preserve"> </v>
      </c>
      <c r="H981" s="4" t="str">
        <f ca="1">IF(OR(INDEX($AG$2:$AG$1001,MATCH(ROWS($AF$2:AF981),$AF$2:$AF$1001,0),1)&gt;=100000,INDEX($AM$1005:$BM$1005,1,MATCH(COLUMNS($AM$1006:AS1006),$AM$1006:$BM$1006,0))&gt;=100000), " ",IF(INDEX($AM$2:$BM$1001,MATCH(ROWS($AF$2:AF981),$AF$2:$AF$1001,0),MATCH(COLUMNS($AM$1006:AS1006),$AM$1006:$BM$1006,0)), HYPERLINK("#",""), HYPERLINK(CONCATENATE("#metadata!", ADDRESS(INDEX($AH$2:$AH$1001,MATCH(ROWS($AF$2:AF981),$AF$2:$AF$1001,0),0), INDEX($AM$1004:$BM$1004,1,MATCH(COLUMNS($AM$1006:AS1006),$AM$1006:$BM$1006,0)))),"Fix")))</f>
        <v xml:space="preserve"> </v>
      </c>
      <c r="I981" s="4" t="str">
        <f ca="1">IF(OR(INDEX($AG$2:$AG$1001,MATCH(ROWS($AF$2:AF981),$AF$2:$AF$1001,0),1)&gt;=100000,INDEX($AM$1005:$BM$1005,1,MATCH(COLUMNS($AM$1006:AT1006),$AM$1006:$BM$1006,0))&gt;=100000), " ",IF(INDEX($AM$2:$BM$1001,MATCH(ROWS($AF$2:AF981),$AF$2:$AF$1001,0),MATCH(COLUMNS($AM$1006:AT1006),$AM$1006:$BM$1006,0)), HYPERLINK("#",""), HYPERLINK(CONCATENATE("#metadata!", ADDRESS(INDEX($AH$2:$AH$1001,MATCH(ROWS($AF$2:AF981),$AF$2:$AF$1001,0),0), INDEX($AM$1004:$BM$1004,1,MATCH(COLUMNS($AM$1006:AT1006),$AM$1006:$BM$1006,0)))),"Fix")))</f>
        <v xml:space="preserve"> </v>
      </c>
      <c r="J981" s="4" t="str">
        <f ca="1">IF(OR(INDEX($AG$2:$AG$1001,MATCH(ROWS($AF$2:AF981),$AF$2:$AF$1001,0),1)&gt;=100000,INDEX($AM$1005:$BM$1005,1,MATCH(COLUMNS($AM$1006:AU1006),$AM$1006:$BM$1006,0))&gt;=100000), " ",IF(INDEX($AM$2:$BM$1001,MATCH(ROWS($AF$2:AF981),$AF$2:$AF$1001,0),MATCH(COLUMNS($AM$1006:AU1006),$AM$1006:$BM$1006,0)), HYPERLINK("#",""), HYPERLINK(CONCATENATE("#metadata!", ADDRESS(INDEX($AH$2:$AH$1001,MATCH(ROWS($AF$2:AF981),$AF$2:$AF$1001,0),0), INDEX($AM$1004:$BM$1004,1,MATCH(COLUMNS($AM$1006:AU1006),$AM$1006:$BM$1006,0)))),"Fix")))</f>
        <v xml:space="preserve"> </v>
      </c>
      <c r="K981" s="4" t="str">
        <f ca="1">IF(OR(INDEX($AG$2:$AG$1001,MATCH(ROWS($AF$2:AF981),$AF$2:$AF$1001,0),1)&gt;=100000,INDEX($AM$1005:$BM$1005,1,MATCH(COLUMNS($AM$1006:AV1006),$AM$1006:$BM$1006,0))&gt;=100000), " ",IF(INDEX($AM$2:$BM$1001,MATCH(ROWS($AF$2:AF981),$AF$2:$AF$1001,0),MATCH(COLUMNS($AM$1006:AV1006),$AM$1006:$BM$1006,0)), HYPERLINK("#",""), HYPERLINK(CONCATENATE("#metadata!", ADDRESS(INDEX($AH$2:$AH$1001,MATCH(ROWS($AF$2:AF981),$AF$2:$AF$1001,0),0), INDEX($AM$1004:$BM$1004,1,MATCH(COLUMNS($AM$1006:AV1006),$AM$1006:$BM$1006,0)))),"Fix")))</f>
        <v xml:space="preserve"> </v>
      </c>
      <c r="L981" s="4" t="str">
        <f ca="1">IF(OR(INDEX($AG$2:$AG$1001,MATCH(ROWS($AF$2:AF981),$AF$2:$AF$1001,0),1)&gt;=100000,INDEX($AM$1005:$BM$1005,1,MATCH(COLUMNS($AM$1006:AW1006),$AM$1006:$BM$1006,0))&gt;=100000), " ",IF(INDEX($AM$2:$BM$1001,MATCH(ROWS($AF$2:AF981),$AF$2:$AF$1001,0),MATCH(COLUMNS($AM$1006:AW1006),$AM$1006:$BM$1006,0)), HYPERLINK("#",""), HYPERLINK(CONCATENATE("#metadata!", ADDRESS(INDEX($AH$2:$AH$1001,MATCH(ROWS($AF$2:AF981),$AF$2:$AF$1001,0),0), INDEX($AM$1004:$BM$1004,1,MATCH(COLUMNS($AM$1006:AW1006),$AM$1006:$BM$1006,0)))),"Fix")))</f>
        <v xml:space="preserve"> </v>
      </c>
      <c r="M981" s="4" t="str">
        <f ca="1">IF(OR(INDEX($AG$2:$AG$1001,MATCH(ROWS($AF$2:AF981),$AF$2:$AF$1001,0),1)&gt;=100000,INDEX($AM$1005:$BM$1005,1,MATCH(COLUMNS($AM$1006:AX1006),$AM$1006:$BM$1006,0))&gt;=100000), " ",IF(INDEX($AM$2:$BM$1001,MATCH(ROWS($AF$2:AF981),$AF$2:$AF$1001,0),MATCH(COLUMNS($AM$1006:AX1006),$AM$1006:$BM$1006,0)), HYPERLINK("#",""), HYPERLINK(CONCATENATE("#metadata!", ADDRESS(INDEX($AH$2:$AH$1001,MATCH(ROWS($AF$2:AF981),$AF$2:$AF$1001,0),0), INDEX($AM$1004:$BM$1004,1,MATCH(COLUMNS($AM$1006:AX1006),$AM$1006:$BM$1006,0)))),"Fix")))</f>
        <v xml:space="preserve"> </v>
      </c>
      <c r="N981" s="4" t="str">
        <f ca="1">IF(OR(INDEX($AG$2:$AG$1001,MATCH(ROWS($AF$2:AF981),$AF$2:$AF$1001,0),1)&gt;=100000,INDEX($AM$1005:$BM$1005,1,MATCH(COLUMNS($AM$1006:AY1006),$AM$1006:$BM$1006,0))&gt;=100000), " ",IF(INDEX($AM$2:$BM$1001,MATCH(ROWS($AF$2:AF981),$AF$2:$AF$1001,0),MATCH(COLUMNS($AM$1006:AY1006),$AM$1006:$BM$1006,0)), HYPERLINK("#",""), HYPERLINK(CONCATENATE("#metadata!", ADDRESS(INDEX($AH$2:$AH$1001,MATCH(ROWS($AF$2:AF981),$AF$2:$AF$1001,0),0), INDEX($AM$1004:$BM$1004,1,MATCH(COLUMNS($AM$1006:AY1006),$AM$1006:$BM$1006,0)))),"Fix")))</f>
        <v xml:space="preserve"> </v>
      </c>
      <c r="O981" s="4" t="str">
        <f ca="1">IF(OR(INDEX($AG$2:$AG$1001,MATCH(ROWS($AF$2:AF981),$AF$2:$AF$1001,0),1)&gt;=100000,INDEX($AM$1005:$BM$1005,1,MATCH(COLUMNS($AM$1006:AZ1006),$AM$1006:$BM$1006,0))&gt;=100000), " ",IF(INDEX($AM$2:$BM$1001,MATCH(ROWS($AF$2:AF981),$AF$2:$AF$1001,0),MATCH(COLUMNS($AM$1006:AZ1006),$AM$1006:$BM$1006,0)), HYPERLINK("#",""), HYPERLINK(CONCATENATE("#metadata!", ADDRESS(INDEX($AH$2:$AH$1001,MATCH(ROWS($AF$2:AF981),$AF$2:$AF$1001,0),0), INDEX($AM$1004:$BM$1004,1,MATCH(COLUMNS($AM$1006:AZ1006),$AM$1006:$BM$1006,0)))),"Fix")))</f>
        <v xml:space="preserve"> </v>
      </c>
      <c r="P981" s="4" t="str">
        <f ca="1">IF(OR(INDEX($AG$2:$AG$1001,MATCH(ROWS($AF$2:AF981),$AF$2:$AF$1001,0),1)&gt;=100000,INDEX($AM$1005:$BM$1005,1,MATCH(COLUMNS($AM$1006:BA1006),$AM$1006:$BM$1006,0))&gt;=100000), " ",IF(INDEX($AM$2:$BM$1001,MATCH(ROWS($AF$2:AF981),$AF$2:$AF$1001,0),MATCH(COLUMNS($AM$1006:BA1006),$AM$1006:$BM$1006,0)), HYPERLINK("#",""), HYPERLINK(CONCATENATE("#metadata!", ADDRESS(INDEX($AH$2:$AH$1001,MATCH(ROWS($AF$2:AF981),$AF$2:$AF$1001,0),0), INDEX($AM$1004:$BM$1004,1,MATCH(COLUMNS($AM$1006:BA1006),$AM$1006:$BM$1006,0)))),"Fix")))</f>
        <v xml:space="preserve"> </v>
      </c>
      <c r="Q981" s="4" t="str">
        <f ca="1">IF(OR(INDEX($AG$2:$AG$1001,MATCH(ROWS($AF$2:AF981),$AF$2:$AF$1001,0),1)&gt;=100000,INDEX($AM$1005:$BM$1005,1,MATCH(COLUMNS($AM$1006:BB1006),$AM$1006:$BM$1006,0))&gt;=100000), " ",IF(INDEX($AM$2:$BM$1001,MATCH(ROWS($AF$2:AF981),$AF$2:$AF$1001,0),MATCH(COLUMNS($AM$1006:BB1006),$AM$1006:$BM$1006,0)), HYPERLINK("#",""), HYPERLINK(CONCATENATE("#metadata!", ADDRESS(INDEX($AH$2:$AH$1001,MATCH(ROWS($AF$2:AF981),$AF$2:$AF$1001,0),0), INDEX($AM$1004:$BM$1004,1,MATCH(COLUMNS($AM$1006:BB1006),$AM$1006:$BM$1006,0)))),"Fix")))</f>
        <v xml:space="preserve"> </v>
      </c>
      <c r="R981" s="4" t="str">
        <f ca="1">IF(OR(INDEX($AG$2:$AG$1001,MATCH(ROWS($AF$2:AF981),$AF$2:$AF$1001,0),1)&gt;=100000,INDEX($AM$1005:$BM$1005,1,MATCH(COLUMNS($AM$1006:BC1006),$AM$1006:$BM$1006,0))&gt;=100000), " ",IF(INDEX($AM$2:$BM$1001,MATCH(ROWS($AF$2:AF981),$AF$2:$AF$1001,0),MATCH(COLUMNS($AM$1006:BC1006),$AM$1006:$BM$1006,0)), HYPERLINK("#",""), HYPERLINK(CONCATENATE("#metadata!", ADDRESS(INDEX($AH$2:$AH$1001,MATCH(ROWS($AF$2:AF981),$AF$2:$AF$1001,0),0), INDEX($AM$1004:$BM$1004,1,MATCH(COLUMNS($AM$1006:BC1006),$AM$1006:$BM$1006,0)))),"Fix")))</f>
        <v xml:space="preserve"> </v>
      </c>
      <c r="S981" s="4" t="str">
        <f ca="1">IF(OR(INDEX($AG$2:$AG$1001,MATCH(ROWS($AF$2:AF981),$AF$2:$AF$1001,0),1)&gt;=100000,INDEX($AM$1005:$BM$1005,1,MATCH(COLUMNS($AM$1006:BD1006),$AM$1006:$BM$1006,0))&gt;=100000), " ",IF(INDEX($AM$2:$BM$1001,MATCH(ROWS($AF$2:AF981),$AF$2:$AF$1001,0),MATCH(COLUMNS($AM$1006:BD1006),$AM$1006:$BM$1006,0)), HYPERLINK("#",""), HYPERLINK(CONCATENATE("#metadata!", ADDRESS(INDEX($AH$2:$AH$1001,MATCH(ROWS($AF$2:AF981),$AF$2:$AF$1001,0),0), INDEX($AM$1004:$BM$1004,1,MATCH(COLUMNS($AM$1006:BD1006),$AM$1006:$BM$1006,0)))),"Fix")))</f>
        <v xml:space="preserve"> </v>
      </c>
      <c r="T981" s="4" t="str">
        <f ca="1">IF(OR(INDEX($AG$2:$AG$1001,MATCH(ROWS($AF$2:AF981),$AF$2:$AF$1001,0),1)&gt;=100000,INDEX($AM$1005:$BM$1005,1,MATCH(COLUMNS($AM$1006:BE1006),$AM$1006:$BM$1006,0))&gt;=100000), " ",IF(INDEX($AM$2:$BM$1001,MATCH(ROWS($AF$2:AF981),$AF$2:$AF$1001,0),MATCH(COLUMNS($AM$1006:BE1006),$AM$1006:$BM$1006,0)), HYPERLINK("#",""), HYPERLINK(CONCATENATE("#metadata!", ADDRESS(INDEX($AH$2:$AH$1001,MATCH(ROWS($AF$2:AF981),$AF$2:$AF$1001,0),0), INDEX($AM$1004:$BM$1004,1,MATCH(COLUMNS($AM$1006:BE1006),$AM$1006:$BM$1006,0)))),"Fix")))</f>
        <v xml:space="preserve"> </v>
      </c>
      <c r="U981" s="4" t="str">
        <f ca="1">IF(OR(INDEX($AG$2:$AG$1001,MATCH(ROWS($AF$2:AF981),$AF$2:$AF$1001,0),1)&gt;=100000,INDEX($AM$1005:$BM$1005,1,MATCH(COLUMNS($AM$1006:BF1006),$AM$1006:$BM$1006,0))&gt;=100000), " ",IF(INDEX($AM$2:$BM$1001,MATCH(ROWS($AF$2:AF981),$AF$2:$AF$1001,0),MATCH(COLUMNS($AM$1006:BF1006),$AM$1006:$BM$1006,0)), HYPERLINK("#",""), HYPERLINK(CONCATENATE("#metadata!", ADDRESS(INDEX($AH$2:$AH$1001,MATCH(ROWS($AF$2:AF981),$AF$2:$AF$1001,0),0), INDEX($AM$1004:$BM$1004,1,MATCH(COLUMNS($AM$1006:BF1006),$AM$1006:$BM$1006,0)))),"Fix")))</f>
        <v xml:space="preserve"> </v>
      </c>
      <c r="V981" s="4" t="str">
        <f ca="1">IF(OR(INDEX($AG$2:$AG$1001,MATCH(ROWS($AF$2:AF981),$AF$2:$AF$1001,0),1)&gt;=100000,INDEX($AM$1005:$BM$1005,1,MATCH(COLUMNS($AM$1006:BG1006),$AM$1006:$BM$1006,0))&gt;=100000), " ",IF(INDEX($AM$2:$BM$1001,MATCH(ROWS($AF$2:AF981),$AF$2:$AF$1001,0),MATCH(COLUMNS($AM$1006:BG1006),$AM$1006:$BM$1006,0)), HYPERLINK("#",""), HYPERLINK(CONCATENATE("#metadata!", ADDRESS(INDEX($AH$2:$AH$1001,MATCH(ROWS($AF$2:AF981),$AF$2:$AF$1001,0),0), INDEX($AM$1004:$BM$1004,1,MATCH(COLUMNS($AM$1006:BG1006),$AM$1006:$BM$1006,0)))),"Fix")))</f>
        <v xml:space="preserve"> </v>
      </c>
      <c r="W981" s="4" t="str">
        <f ca="1">IF(OR(INDEX($AG$2:$AG$1001,MATCH(ROWS($AF$2:AF981),$AF$2:$AF$1001,0),1)&gt;=100000,INDEX($AM$1005:$BM$1005,1,MATCH(COLUMNS($AM$1006:BH1006),$AM$1006:$BM$1006,0))&gt;=100000), " ",IF(INDEX($AM$2:$BM$1001,MATCH(ROWS($AF$2:AF981),$AF$2:$AF$1001,0),MATCH(COLUMNS($AM$1006:BH1006),$AM$1006:$BM$1006,0)), HYPERLINK("#",""), HYPERLINK(CONCATENATE("#metadata!", ADDRESS(INDEX($AH$2:$AH$1001,MATCH(ROWS($AF$2:AF981),$AF$2:$AF$1001,0),0), INDEX($AM$1004:$BM$1004,1,MATCH(COLUMNS($AM$1006:BH1006),$AM$1006:$BM$1006,0)))),"Fix")))</f>
        <v xml:space="preserve"> </v>
      </c>
      <c r="X981" s="4" t="str">
        <f ca="1">IF(OR(INDEX($AG$2:$AG$1001,MATCH(ROWS($AF$2:AF981),$AF$2:$AF$1001,0),1)&gt;=100000,INDEX($AM$1005:$BM$1005,1,MATCH(COLUMNS($AM$1006:BI1006),$AM$1006:$BM$1006,0))&gt;=100000), " ",IF(INDEX($AM$2:$BM$1001,MATCH(ROWS($AF$2:AF981),$AF$2:$AF$1001,0),MATCH(COLUMNS($AM$1006:BI1006),$AM$1006:$BM$1006,0)), HYPERLINK("#",""), HYPERLINK(CONCATENATE("#metadata!", ADDRESS(INDEX($AH$2:$AH$1001,MATCH(ROWS($AF$2:AF981),$AF$2:$AF$1001,0),0), INDEX($AM$1004:$BM$1004,1,MATCH(COLUMNS($AM$1006:BI1006),$AM$1006:$BM$1006,0)))),"Fix")))</f>
        <v xml:space="preserve"> </v>
      </c>
      <c r="Y981" s="4" t="str">
        <f ca="1">IF(OR(INDEX($AG$2:$AG$1001,MATCH(ROWS($AF$2:AF981),$AF$2:$AF$1001,0),1)&gt;=100000,INDEX($AM$1005:$BM$1005,1,MATCH(COLUMNS($AM$1006:BJ1006),$AM$1006:$BM$1006,0))&gt;=100000), " ",IF(INDEX($AM$2:$BM$1001,MATCH(ROWS($AF$2:AF981),$AF$2:$AF$1001,0),MATCH(COLUMNS($AM$1006:BJ1006),$AM$1006:$BM$1006,0)), HYPERLINK("#",""), HYPERLINK(CONCATENATE("#metadata!", ADDRESS(INDEX($AH$2:$AH$1001,MATCH(ROWS($AF$2:AF981),$AF$2:$AF$1001,0),0), INDEX($AM$1004:$BM$1004,1,MATCH(COLUMNS($AM$1006:BJ1006),$AM$1006:$BM$1006,0)))),"Fix")))</f>
        <v xml:space="preserve"> </v>
      </c>
      <c r="Z981" s="4" t="str">
        <f ca="1">IF(OR(INDEX($AG$2:$AG$1001,MATCH(ROWS($AF$2:AF981),$AF$2:$AF$1001,0),1)&gt;=100000,INDEX($AM$1005:$BM$1005,1,MATCH(COLUMNS($AM$1006:BK1006),$AM$1006:$BM$1006,0))&gt;=100000), " ",IF(INDEX($AM$2:$BM$1001,MATCH(ROWS($AF$2:AF981),$AF$2:$AF$1001,0),MATCH(COLUMNS($AM$1006:BK1006),$AM$1006:$BM$1006,0)), HYPERLINK("#",""), HYPERLINK(CONCATENATE("#metadata!", ADDRESS(INDEX($AH$2:$AH$1001,MATCH(ROWS($AF$2:AF981),$AF$2:$AF$1001,0),0), INDEX($AM$1004:$BM$1004,1,MATCH(COLUMNS($AM$1006:BK1006),$AM$1006:$BM$1006,0)))),"Fix")))</f>
        <v xml:space="preserve"> </v>
      </c>
      <c r="AA981" s="4" t="str">
        <f ca="1">IF(OR(INDEX($AG$2:$AG$1001,MATCH(ROWS($AF$2:AF981),$AF$2:$AF$1001,0),1)&gt;=100000,INDEX($AM$1005:$BM$1005,1,MATCH(COLUMNS($AM$1006:BL1006),$AM$1006:$BM$1006,0))&gt;=100000), " ",IF(INDEX($AM$2:$BM$1001,MATCH(ROWS($AF$2:AF981),$AF$2:$AF$1001,0),MATCH(COLUMNS($AM$1006:BL1006),$AM$1006:$BM$1006,0)), HYPERLINK("#",""), HYPERLINK(CONCATENATE("#metadata!", ADDRESS(INDEX($AH$2:$AH$1001,MATCH(ROWS($AF$2:AF981),$AF$2:$AF$1001,0),0), INDEX($AM$1004:$BM$1004,1,MATCH(COLUMNS($AM$1006:BL1006),$AM$1006:$BM$1006,0)))),"Fix")))</f>
        <v xml:space="preserve"> </v>
      </c>
      <c r="AB981" s="4" t="str">
        <f ca="1">IF(OR(INDEX($AG$2:$AG$1001,MATCH(ROWS($AF$2:AF981),$AF$2:$AF$1001,0),1)&gt;=100000,INDEX($AM$1005:$BM$1005,1,MATCH(COLUMNS($AM$1006:BM1006),$AM$1006:$BM$1006,0))&gt;=100000), " ",IF(INDEX($AM$2:$BM$1001,MATCH(ROWS($AF$2:AF981),$AF$2:$AF$1001,0),MATCH(COLUMNS($AM$1006:BM1006),$AM$1006:$BM$1006,0)), HYPERLINK("#",""), HYPERLINK(CONCATENATE("#metadata!", ADDRESS(INDEX($AH$2:$AH$1001,MATCH(ROWS($AF$2:AF981),$AF$2:$AF$1001,0),0), INDEX($AM$1004:$BM$1004,1,MATCH(COLUMNS($AM$1006:BM1006),$AM$1006:$BM$1006,0)))),"Fix")))</f>
        <v xml:space="preserve"> </v>
      </c>
      <c r="AF981">
        <v>980</v>
      </c>
      <c r="AG981">
        <v>100981</v>
      </c>
      <c r="AH981">
        <v>981</v>
      </c>
      <c r="AI981" t="b">
        <f t="shared" si="15"/>
        <v>1</v>
      </c>
      <c r="AJ981" t="b">
        <f>COUNTBLANK(metadata!B981:AB981)=COLUMNS(metadata!B981:AB981)</f>
        <v>1</v>
      </c>
      <c r="AK981" t="str">
        <v/>
      </c>
      <c r="AM981" t="b">
        <f ca="1">AND(IF(metadata!B981="",FALSE,TRUE),COUNTIF(metadata!B:B, metadata!B981) = 1,NOT(ISERROR(SUMPRODUCT(SEARCH(MID(metadata!B981,ROW(INDIRECT("1:"&amp;LEN(metadata!B981))), 1),"0123456789abcdefghijklmnopqrstuvwxyzABCDEFGHIJKLMNOPQRSTUVWXYZ.")))))</f>
        <v>0</v>
      </c>
      <c r="AN981" t="b">
        <f ca="1">OR(AND(IF(metadata!C981="",FALSE,TRUE),OR(EXACT(metadata!C981,"missing: not collected"),EXACT(metadata!C981,"missing: not provided"),EXACT(metadata!C981,"missing: restricted access"))),AND(IF(metadata!C981="",FALSE,TRUE),AND(AND(IFERROR(INT(LEFT(metadata!C981,4))&gt;1900,FALSE),IFERROR(INT(LEFT(metadata!C981,4))&lt;=YEAR(NOW()),FALSE)), OR(MID(metadata!C981,5,1)="", AND(AND(MID(metadata!C981,5,1)="-",IFERROR(INT(MID(metadata!C981,6,1))&gt;=0,FALSE),IFERROR(INT(MID(metadata!C981,6,1))&lt;=1,FALSE),NOT(MID(metadata!C981,7,1)=""),IFERROR(INT(MID(metadata!C981,6,2))&gt;=1,FALSE),IFERROR(INT(MID(metadata!C981,6,2))&lt;=12,FALSE)), OR(MID(metadata!C981,8,1)="", AND(AND(MID(metadata!C981,8,1)="-",IFERROR(INT(MID(metadata!C981,9,1))&gt;=0,FALSE),IFERROR(INT(MID(metadata!C981,9,1))&lt;=3,FALSE),NOT(MID(metadata!C981,10,1)=""),IFERROR(INT(MID(metadata!C981,9,2))&gt;=1,FALSE),IFERROR(INT(MID(metadata!C981,9,2))&lt;=31,FALSE)), OR(MID(metadata!C981,11,1)="", AND(AND(MID(metadata!C981,11,1)=" ",IFERROR(INT(MID(metadata!C981,12,1))&gt;=0,FALSE),IFERROR(INT(MID(metadata!C981,12,1))&lt;=2,FALSE),NOT(MID(metadata!C981,13,1)=""),IFERROR(INT(MID(metadata!C981,12,2))&gt;=0,FALSE),IFERROR(INT(MID(metadata!C981,12,2))&lt;=23,FALSE)), OR(MID(metadata!C981,14,1)="", AND(AND(MID(metadata!C981,14,1)=":",IFERROR(INT(MID(metadata!C981,15,1))&gt;=0,FALSE),IFERROR(INT(MID(metadata!C981,15,1))&lt;=5,FALSE),NOT(MID(metadata!C981,16,1)=""),IFERROR(INT(MID(metadata!C981,15,2))&gt;=0,FALSE),IFERROR(INT(MID(metadata!C981,15,2))&lt;=59,FALSE)), OR(MID(metadata!C981,17,1)="", AND(AND(MID(metadata!C981,17,1)=":",IFERROR(INT(MID(metadata!C981,18,1))&gt;=0,FALSE),IFERROR(INT(MID(metadata!C981,18,1))&lt;=5,FALSE),NOT(MID(metadata!C981,19,1)=""),IFERROR(INT(MID(metadata!C981,18,2))&gt;=0,FALSE),IFERROR(INT(MID(metadata!C981,18,2))&lt;=59,FALSE)), LEN(metadata!C981)&lt;=19)))))))))))))</f>
        <v>0</v>
      </c>
      <c r="AO981" t="b">
        <f>AND(IF(metadata!D981="",FALSE,TRUE),EXACT(metadata!D981,"Not applicable"))</f>
        <v>0</v>
      </c>
      <c r="AP981" t="b">
        <f>IF(metadata!E981="",FALSE,TRUE)</f>
        <v>0</v>
      </c>
      <c r="AQ981" t="b">
        <f>OR(AND(IF(metadata!F981="",FALSE,TRUE),OR(EXACT(metadata!F981,"missing: not collected"),EXACT(metadata!F981,"missing: not provided"))),AND(IF(metadata!F981="",FALSE,TRUE),OR(EXACT(metadata!F981,"TRUE"),EXACT(metadata!F981,"FALSE"))))</f>
        <v>0</v>
      </c>
      <c r="AR981" t="b">
        <f>OR(AND(IF(metadata!G981="",FALSE,TRUE),OR(EXACT(metadata!G981,"missing: not collected"),EXACT(metadata!G981,"missing: not provided"),EXACT(metadata!G981,"missing: restricted access"))),AND(IF(metadata!G981="",FALSE,ISNUMBER(VALUE(metadata!G981))),metadata!G981&gt;=-413))</f>
        <v>0</v>
      </c>
      <c r="AS981" t="b">
        <f>AND(IF(metadata!H981="",FALSE,TRUE),EXACT(metadata!H981,"meters"))</f>
        <v>0</v>
      </c>
      <c r="AT981" t="b">
        <f>AND(IF(metadata!I981="",FALSE,TRUE),OR(EXACT(metadata!I981,"Host-associated"),EXACT(metadata!I981,"Free-living")))</f>
        <v>0</v>
      </c>
      <c r="AU981" t="b">
        <f>AND(IF(metadata!J981="",FALSE,TRUE),OR(EXACT(metadata!J981,"Animal"),EXACT(metadata!J981,"Fungus"),EXACT(metadata!J981,"Plant"),EXACT(metadata!J981,"Saline"),EXACT(metadata!J981,"Non-saline")))</f>
        <v>0</v>
      </c>
      <c r="AV981" t="b">
        <f>AND(IF(metadata!K981="",FALSE,TRUE),OR(EXACT(metadata!K981,"Plant secretion"),EXACT(metadata!K981,"Plant rhizosphere"),EXACT(metadata!K981,"Plant surface"),EXACT(metadata!K981,"Plant corpus"),EXACT(metadata!K981,"Fungus surface"),EXACT(metadata!K981,"Fungus corpus"),EXACT(metadata!K981,"Animal surface"),EXACT(metadata!K981,"Animal proximal gut"),EXACT(metadata!K981,"Animal corpus"),EXACT(metadata!K981,"Animal distal gut"),EXACT(metadata!K981,"Animal secretion"),EXACT(metadata!K981,"Sub-surface (non-saline)"),EXACT(metadata!K981,"Surface (non-saline)"),EXACT(metadata!K981,"Water (non-saline)"),EXACT(metadata!K981,"Soil (non-saline)"),EXACT(metadata!K981,"Aerosol (non-saline)"),EXACT(metadata!K981,"Sediment (non-saline)"),EXACT(metadata!K981,"Surface (saline)"),EXACT(metadata!K981,"Water (saline)"),EXACT(metadata!K981,"Hypersaline (saline)"),EXACT(metadata!K981,"Aerosol (saline)"),EXACT(metadata!K981,"Sediment (saline)")))</f>
        <v>0</v>
      </c>
      <c r="AW981" t="b">
        <f>IF(metadata!L981="",FALSE,TRUE)</f>
        <v>0</v>
      </c>
      <c r="AX981" t="b">
        <f>IF(metadata!M981="",FALSE,TRUE)</f>
        <v>0</v>
      </c>
      <c r="AY981" t="b">
        <f>IF(metadata!N981="",FALSE,TRUE)</f>
        <v>0</v>
      </c>
      <c r="AZ981" t="b">
        <f>OR(AND(IF(metadata!O981="",FALSE,TRUE),OR(EXACT(metadata!O981,"missing: not collected"),EXACT(metadata!O981,"missing: not provided"),EXACT(metadata!O981,"missing: restricted access"))),AND(IF(metadata!O981="",FALSE,TRUE),OR(EXACT(metadata!O981,"air"),EXACT(metadata!O981,"built environment"),EXACT(metadata!O981,"host-associated"),EXACT(metadata!O981,"human-associated"),EXACT(metadata!O981,"human-skin"),EXACT(metadata!O981,"human-oral"),EXACT(metadata!O981,"human-gut"),EXACT(metadata!O981,"human-vaginal"),EXACT(metadata!O981,"microbial mat/biofilm"),EXACT(metadata!O981,"misc environment"),EXACT(metadata!O981,"plant-associated"),EXACT(metadata!O981,"sediment"),EXACT(metadata!O981,"soil"),EXACT(metadata!O981,"wastewater/sludge"),EXACT(metadata!O981,"water"))))</f>
        <v>0</v>
      </c>
      <c r="BA981" t="b">
        <f>IF(metadata!P981="",FALSE,TRUE)</f>
        <v>0</v>
      </c>
      <c r="BB981" t="b">
        <f>IF(metadata!Q981="",FALSE,TRUE)</f>
        <v>0</v>
      </c>
      <c r="BC981" t="b">
        <f>OR(AND(IF(metadata!R981="",FALSE,TRUE),OR(EXACT(metadata!R981,"missing: not collected"),EXACT(metadata!R981,"missing: not provided"),EXACT(metadata!R981,"missing: restricted access"))),AND(IF(metadata!R981="",FALSE,ISNUMBER(VALUE(metadata!R981))),metadata!R981&gt;=-90,metadata!R981&lt;=90))</f>
        <v>0</v>
      </c>
      <c r="BD981" t="b">
        <f>AND(IF(metadata!S981="",FALSE,TRUE),EXACT(metadata!S981,"Decimal degrees"))</f>
        <v>0</v>
      </c>
      <c r="BE981" t="b">
        <f>OR(AND(IF(metadata!T981="",FALSE,TRUE),OR(EXACT(metadata!T981,"missing: not collected"),EXACT(metadata!T981,"missing: not provided"),EXACT(metadata!T981,"missing: restricted access"))),AND(IF(metadata!T981="",FALSE,ISNUMBER(VALUE(metadata!T981))),metadata!T981&gt;=-180,metadata!T981&lt;=180))</f>
        <v>0</v>
      </c>
      <c r="BF981" t="b">
        <f>AND(IF(metadata!U981="",FALSE,TRUE),EXACT(metadata!U981,"Decimal degrees"))</f>
        <v>0</v>
      </c>
      <c r="BG981" t="b">
        <f>IF(metadata!V981="",FALSE,TRUE)</f>
        <v>0</v>
      </c>
      <c r="BH981" t="b">
        <f>OR(AND(IF(metadata!W981="",FALSE,TRUE),OR(EXACT(metadata!W981,"missing: not collected"),EXACT(metadata!W981,"missing: not provided"),EXACT(metadata!W981,"missing: restricted access"))),AND(IF(metadata!W981="",FALSE,TRUE),OR(EXACT(metadata!W981,"TRUE"),EXACT(metadata!W981,"FALSE"))))</f>
        <v>0</v>
      </c>
      <c r="BI981" t="b">
        <f>AND(IF(metadata!X981="",FALSE,TRUE),EXACT(metadata!X981,"other"))</f>
        <v>0</v>
      </c>
      <c r="BJ981" t="b">
        <f>IF(metadata!Y981="",FALSE,TRUE)</f>
        <v>0</v>
      </c>
      <c r="BK981" t="b">
        <f>OR(AND(IF(metadata!Z981="",FALSE,TRUE),OR(EXACT(metadata!Z981,"missing: not collected"),EXACT(metadata!Z981,"missing: not provided"))),AND(IF(metadata!Z981="",FALSE,IF(ISERROR(INT(metadata!Z981)),FALSE,INT(metadata!Z981)=metadata!Z981)),metadata!Z981&gt;0))</f>
        <v>0</v>
      </c>
      <c r="BL981" t="b">
        <f>AND(IF(metadata!AA981="",FALSE,TRUE),EXACT(metadata!AA981,"Not applicable"))</f>
        <v>0</v>
      </c>
      <c r="BM981" t="b">
        <f>IF(metadata!AB981="",FALSE,TRUE)</f>
        <v>0</v>
      </c>
    </row>
    <row r="982" spans="1:65" x14ac:dyDescent="0.2">
      <c r="A982" s="5" t="str">
        <f ca="1">IF(B982=" "," ",HYPERLINK(CONCATENATE("#metadata!",ADDRESS(INDEX($AH$2:$AH$1001,MATCH(ROWS($AF$2:AF982),$AF$2:$AF$1001,0),0),1)),INDEX($AK$2:$AK$1001,MATCH(ROWS($AF$2:AF982),$AF$2:$AF$1001,0),0)))</f>
        <v xml:space="preserve"> </v>
      </c>
      <c r="B982" s="4" t="str">
        <f ca="1">IF(OR(INDEX($AG$2:$AG$1001,MATCH(ROWS($AF$2:AF982),$AF$2:$AF$1001,0),1)&gt;=100000,INDEX($AM$1005:$BM$1005,1,MATCH(COLUMNS($AM$1006:AM1006),$AM$1006:$BM$1006,0))&gt;=100000), " ",IF(INDEX($AM$2:$BM$1001,MATCH(ROWS($AF$2:AF982),$AF$2:$AF$1001,0),MATCH(COLUMNS($AM$1006:AM1006),$AM$1006:$BM$1006,0)), HYPERLINK("#",""), HYPERLINK(CONCATENATE("#metadata!", ADDRESS(INDEX($AH$2:$AH$1001,MATCH(ROWS($AF$2:AF982),$AF$2:$AF$1001,0),0), INDEX($AM$1004:$BM$1004,1,MATCH(COLUMNS($AM$1006:AM1006),$AM$1006:$BM$1006,0)))),"Fix")))</f>
        <v xml:space="preserve"> </v>
      </c>
      <c r="C982" s="4" t="str">
        <f ca="1">IF(OR(INDEX($AG$2:$AG$1001,MATCH(ROWS($AF$2:AF982),$AF$2:$AF$1001,0),1)&gt;=100000,INDEX($AM$1005:$BM$1005,1,MATCH(COLUMNS($AM$1006:AN1006),$AM$1006:$BM$1006,0))&gt;=100000), " ",IF(INDEX($AM$2:$BM$1001,MATCH(ROWS($AF$2:AF982),$AF$2:$AF$1001,0),MATCH(COLUMNS($AM$1006:AN1006),$AM$1006:$BM$1006,0)), HYPERLINK("#",""), HYPERLINK(CONCATENATE("#metadata!", ADDRESS(INDEX($AH$2:$AH$1001,MATCH(ROWS($AF$2:AF982),$AF$2:$AF$1001,0),0), INDEX($AM$1004:$BM$1004,1,MATCH(COLUMNS($AM$1006:AN1006),$AM$1006:$BM$1006,0)))),"Fix")))</f>
        <v xml:space="preserve"> </v>
      </c>
      <c r="D982" s="4" t="str">
        <f ca="1">IF(OR(INDEX($AG$2:$AG$1001,MATCH(ROWS($AF$2:AF982),$AF$2:$AF$1001,0),1)&gt;=100000,INDEX($AM$1005:$BM$1005,1,MATCH(COLUMNS($AM$1006:AO1006),$AM$1006:$BM$1006,0))&gt;=100000), " ",IF(INDEX($AM$2:$BM$1001,MATCH(ROWS($AF$2:AF982),$AF$2:$AF$1001,0),MATCH(COLUMNS($AM$1006:AO1006),$AM$1006:$BM$1006,0)), HYPERLINK("#",""), HYPERLINK(CONCATENATE("#metadata!", ADDRESS(INDEX($AH$2:$AH$1001,MATCH(ROWS($AF$2:AF982),$AF$2:$AF$1001,0),0), INDEX($AM$1004:$BM$1004,1,MATCH(COLUMNS($AM$1006:AO1006),$AM$1006:$BM$1006,0)))),"Fix")))</f>
        <v xml:space="preserve"> </v>
      </c>
      <c r="E982" s="4" t="str">
        <f ca="1">IF(OR(INDEX($AG$2:$AG$1001,MATCH(ROWS($AF$2:AF982),$AF$2:$AF$1001,0),1)&gt;=100000,INDEX($AM$1005:$BM$1005,1,MATCH(COLUMNS($AM$1006:AP1006),$AM$1006:$BM$1006,0))&gt;=100000), " ",IF(INDEX($AM$2:$BM$1001,MATCH(ROWS($AF$2:AF982),$AF$2:$AF$1001,0),MATCH(COLUMNS($AM$1006:AP1006),$AM$1006:$BM$1006,0)), HYPERLINK("#",""), HYPERLINK(CONCATENATE("#metadata!", ADDRESS(INDEX($AH$2:$AH$1001,MATCH(ROWS($AF$2:AF982),$AF$2:$AF$1001,0),0), INDEX($AM$1004:$BM$1004,1,MATCH(COLUMNS($AM$1006:AP1006),$AM$1006:$BM$1006,0)))),"Fix")))</f>
        <v xml:space="preserve"> </v>
      </c>
      <c r="F982" s="4" t="str">
        <f ca="1">IF(OR(INDEX($AG$2:$AG$1001,MATCH(ROWS($AF$2:AF982),$AF$2:$AF$1001,0),1)&gt;=100000,INDEX($AM$1005:$BM$1005,1,MATCH(COLUMNS($AM$1006:AQ1006),$AM$1006:$BM$1006,0))&gt;=100000), " ",IF(INDEX($AM$2:$BM$1001,MATCH(ROWS($AF$2:AF982),$AF$2:$AF$1001,0),MATCH(COLUMNS($AM$1006:AQ1006),$AM$1006:$BM$1006,0)), HYPERLINK("#",""), HYPERLINK(CONCATENATE("#metadata!", ADDRESS(INDEX($AH$2:$AH$1001,MATCH(ROWS($AF$2:AF982),$AF$2:$AF$1001,0),0), INDEX($AM$1004:$BM$1004,1,MATCH(COLUMNS($AM$1006:AQ1006),$AM$1006:$BM$1006,0)))),"Fix")))</f>
        <v xml:space="preserve"> </v>
      </c>
      <c r="G982" s="4" t="str">
        <f ca="1">IF(OR(INDEX($AG$2:$AG$1001,MATCH(ROWS($AF$2:AF982),$AF$2:$AF$1001,0),1)&gt;=100000,INDEX($AM$1005:$BM$1005,1,MATCH(COLUMNS($AM$1006:AR1006),$AM$1006:$BM$1006,0))&gt;=100000), " ",IF(INDEX($AM$2:$BM$1001,MATCH(ROWS($AF$2:AF982),$AF$2:$AF$1001,0),MATCH(COLUMNS($AM$1006:AR1006),$AM$1006:$BM$1006,0)), HYPERLINK("#",""), HYPERLINK(CONCATENATE("#metadata!", ADDRESS(INDEX($AH$2:$AH$1001,MATCH(ROWS($AF$2:AF982),$AF$2:$AF$1001,0),0), INDEX($AM$1004:$BM$1004,1,MATCH(COLUMNS($AM$1006:AR1006),$AM$1006:$BM$1006,0)))),"Fix")))</f>
        <v xml:space="preserve"> </v>
      </c>
      <c r="H982" s="4" t="str">
        <f ca="1">IF(OR(INDEX($AG$2:$AG$1001,MATCH(ROWS($AF$2:AF982),$AF$2:$AF$1001,0),1)&gt;=100000,INDEX($AM$1005:$BM$1005,1,MATCH(COLUMNS($AM$1006:AS1006),$AM$1006:$BM$1006,0))&gt;=100000), " ",IF(INDEX($AM$2:$BM$1001,MATCH(ROWS($AF$2:AF982),$AF$2:$AF$1001,0),MATCH(COLUMNS($AM$1006:AS1006),$AM$1006:$BM$1006,0)), HYPERLINK("#",""), HYPERLINK(CONCATENATE("#metadata!", ADDRESS(INDEX($AH$2:$AH$1001,MATCH(ROWS($AF$2:AF982),$AF$2:$AF$1001,0),0), INDEX($AM$1004:$BM$1004,1,MATCH(COLUMNS($AM$1006:AS1006),$AM$1006:$BM$1006,0)))),"Fix")))</f>
        <v xml:space="preserve"> </v>
      </c>
      <c r="I982" s="4" t="str">
        <f ca="1">IF(OR(INDEX($AG$2:$AG$1001,MATCH(ROWS($AF$2:AF982),$AF$2:$AF$1001,0),1)&gt;=100000,INDEX($AM$1005:$BM$1005,1,MATCH(COLUMNS($AM$1006:AT1006),$AM$1006:$BM$1006,0))&gt;=100000), " ",IF(INDEX($AM$2:$BM$1001,MATCH(ROWS($AF$2:AF982),$AF$2:$AF$1001,0),MATCH(COLUMNS($AM$1006:AT1006),$AM$1006:$BM$1006,0)), HYPERLINK("#",""), HYPERLINK(CONCATENATE("#metadata!", ADDRESS(INDEX($AH$2:$AH$1001,MATCH(ROWS($AF$2:AF982),$AF$2:$AF$1001,0),0), INDEX($AM$1004:$BM$1004,1,MATCH(COLUMNS($AM$1006:AT1006),$AM$1006:$BM$1006,0)))),"Fix")))</f>
        <v xml:space="preserve"> </v>
      </c>
      <c r="J982" s="4" t="str">
        <f ca="1">IF(OR(INDEX($AG$2:$AG$1001,MATCH(ROWS($AF$2:AF982),$AF$2:$AF$1001,0),1)&gt;=100000,INDEX($AM$1005:$BM$1005,1,MATCH(COLUMNS($AM$1006:AU1006),$AM$1006:$BM$1006,0))&gt;=100000), " ",IF(INDEX($AM$2:$BM$1001,MATCH(ROWS($AF$2:AF982),$AF$2:$AF$1001,0),MATCH(COLUMNS($AM$1006:AU1006),$AM$1006:$BM$1006,0)), HYPERLINK("#",""), HYPERLINK(CONCATENATE("#metadata!", ADDRESS(INDEX($AH$2:$AH$1001,MATCH(ROWS($AF$2:AF982),$AF$2:$AF$1001,0),0), INDEX($AM$1004:$BM$1004,1,MATCH(COLUMNS($AM$1006:AU1006),$AM$1006:$BM$1006,0)))),"Fix")))</f>
        <v xml:space="preserve"> </v>
      </c>
      <c r="K982" s="4" t="str">
        <f ca="1">IF(OR(INDEX($AG$2:$AG$1001,MATCH(ROWS($AF$2:AF982),$AF$2:$AF$1001,0),1)&gt;=100000,INDEX($AM$1005:$BM$1005,1,MATCH(COLUMNS($AM$1006:AV1006),$AM$1006:$BM$1006,0))&gt;=100000), " ",IF(INDEX($AM$2:$BM$1001,MATCH(ROWS($AF$2:AF982),$AF$2:$AF$1001,0),MATCH(COLUMNS($AM$1006:AV1006),$AM$1006:$BM$1006,0)), HYPERLINK("#",""), HYPERLINK(CONCATENATE("#metadata!", ADDRESS(INDEX($AH$2:$AH$1001,MATCH(ROWS($AF$2:AF982),$AF$2:$AF$1001,0),0), INDEX($AM$1004:$BM$1004,1,MATCH(COLUMNS($AM$1006:AV1006),$AM$1006:$BM$1006,0)))),"Fix")))</f>
        <v xml:space="preserve"> </v>
      </c>
      <c r="L982" s="4" t="str">
        <f ca="1">IF(OR(INDEX($AG$2:$AG$1001,MATCH(ROWS($AF$2:AF982),$AF$2:$AF$1001,0),1)&gt;=100000,INDEX($AM$1005:$BM$1005,1,MATCH(COLUMNS($AM$1006:AW1006),$AM$1006:$BM$1006,0))&gt;=100000), " ",IF(INDEX($AM$2:$BM$1001,MATCH(ROWS($AF$2:AF982),$AF$2:$AF$1001,0),MATCH(COLUMNS($AM$1006:AW1006),$AM$1006:$BM$1006,0)), HYPERLINK("#",""), HYPERLINK(CONCATENATE("#metadata!", ADDRESS(INDEX($AH$2:$AH$1001,MATCH(ROWS($AF$2:AF982),$AF$2:$AF$1001,0),0), INDEX($AM$1004:$BM$1004,1,MATCH(COLUMNS($AM$1006:AW1006),$AM$1006:$BM$1006,0)))),"Fix")))</f>
        <v xml:space="preserve"> </v>
      </c>
      <c r="M982" s="4" t="str">
        <f ca="1">IF(OR(INDEX($AG$2:$AG$1001,MATCH(ROWS($AF$2:AF982),$AF$2:$AF$1001,0),1)&gt;=100000,INDEX($AM$1005:$BM$1005,1,MATCH(COLUMNS($AM$1006:AX1006),$AM$1006:$BM$1006,0))&gt;=100000), " ",IF(INDEX($AM$2:$BM$1001,MATCH(ROWS($AF$2:AF982),$AF$2:$AF$1001,0),MATCH(COLUMNS($AM$1006:AX1006),$AM$1006:$BM$1006,0)), HYPERLINK("#",""), HYPERLINK(CONCATENATE("#metadata!", ADDRESS(INDEX($AH$2:$AH$1001,MATCH(ROWS($AF$2:AF982),$AF$2:$AF$1001,0),0), INDEX($AM$1004:$BM$1004,1,MATCH(COLUMNS($AM$1006:AX1006),$AM$1006:$BM$1006,0)))),"Fix")))</f>
        <v xml:space="preserve"> </v>
      </c>
      <c r="N982" s="4" t="str">
        <f ca="1">IF(OR(INDEX($AG$2:$AG$1001,MATCH(ROWS($AF$2:AF982),$AF$2:$AF$1001,0),1)&gt;=100000,INDEX($AM$1005:$BM$1005,1,MATCH(COLUMNS($AM$1006:AY1006),$AM$1006:$BM$1006,0))&gt;=100000), " ",IF(INDEX($AM$2:$BM$1001,MATCH(ROWS($AF$2:AF982),$AF$2:$AF$1001,0),MATCH(COLUMNS($AM$1006:AY1006),$AM$1006:$BM$1006,0)), HYPERLINK("#",""), HYPERLINK(CONCATENATE("#metadata!", ADDRESS(INDEX($AH$2:$AH$1001,MATCH(ROWS($AF$2:AF982),$AF$2:$AF$1001,0),0), INDEX($AM$1004:$BM$1004,1,MATCH(COLUMNS($AM$1006:AY1006),$AM$1006:$BM$1006,0)))),"Fix")))</f>
        <v xml:space="preserve"> </v>
      </c>
      <c r="O982" s="4" t="str">
        <f ca="1">IF(OR(INDEX($AG$2:$AG$1001,MATCH(ROWS($AF$2:AF982),$AF$2:$AF$1001,0),1)&gt;=100000,INDEX($AM$1005:$BM$1005,1,MATCH(COLUMNS($AM$1006:AZ1006),$AM$1006:$BM$1006,0))&gt;=100000), " ",IF(INDEX($AM$2:$BM$1001,MATCH(ROWS($AF$2:AF982),$AF$2:$AF$1001,0),MATCH(COLUMNS($AM$1006:AZ1006),$AM$1006:$BM$1006,0)), HYPERLINK("#",""), HYPERLINK(CONCATENATE("#metadata!", ADDRESS(INDEX($AH$2:$AH$1001,MATCH(ROWS($AF$2:AF982),$AF$2:$AF$1001,0),0), INDEX($AM$1004:$BM$1004,1,MATCH(COLUMNS($AM$1006:AZ1006),$AM$1006:$BM$1006,0)))),"Fix")))</f>
        <v xml:space="preserve"> </v>
      </c>
      <c r="P982" s="4" t="str">
        <f ca="1">IF(OR(INDEX($AG$2:$AG$1001,MATCH(ROWS($AF$2:AF982),$AF$2:$AF$1001,0),1)&gt;=100000,INDEX($AM$1005:$BM$1005,1,MATCH(COLUMNS($AM$1006:BA1006),$AM$1006:$BM$1006,0))&gt;=100000), " ",IF(INDEX($AM$2:$BM$1001,MATCH(ROWS($AF$2:AF982),$AF$2:$AF$1001,0),MATCH(COLUMNS($AM$1006:BA1006),$AM$1006:$BM$1006,0)), HYPERLINK("#",""), HYPERLINK(CONCATENATE("#metadata!", ADDRESS(INDEX($AH$2:$AH$1001,MATCH(ROWS($AF$2:AF982),$AF$2:$AF$1001,0),0), INDEX($AM$1004:$BM$1004,1,MATCH(COLUMNS($AM$1006:BA1006),$AM$1006:$BM$1006,0)))),"Fix")))</f>
        <v xml:space="preserve"> </v>
      </c>
      <c r="Q982" s="4" t="str">
        <f ca="1">IF(OR(INDEX($AG$2:$AG$1001,MATCH(ROWS($AF$2:AF982),$AF$2:$AF$1001,0),1)&gt;=100000,INDEX($AM$1005:$BM$1005,1,MATCH(COLUMNS($AM$1006:BB1006),$AM$1006:$BM$1006,0))&gt;=100000), " ",IF(INDEX($AM$2:$BM$1001,MATCH(ROWS($AF$2:AF982),$AF$2:$AF$1001,0),MATCH(COLUMNS($AM$1006:BB1006),$AM$1006:$BM$1006,0)), HYPERLINK("#",""), HYPERLINK(CONCATENATE("#metadata!", ADDRESS(INDEX($AH$2:$AH$1001,MATCH(ROWS($AF$2:AF982),$AF$2:$AF$1001,0),0), INDEX($AM$1004:$BM$1004,1,MATCH(COLUMNS($AM$1006:BB1006),$AM$1006:$BM$1006,0)))),"Fix")))</f>
        <v xml:space="preserve"> </v>
      </c>
      <c r="R982" s="4" t="str">
        <f ca="1">IF(OR(INDEX($AG$2:$AG$1001,MATCH(ROWS($AF$2:AF982),$AF$2:$AF$1001,0),1)&gt;=100000,INDEX($AM$1005:$BM$1005,1,MATCH(COLUMNS($AM$1006:BC1006),$AM$1006:$BM$1006,0))&gt;=100000), " ",IF(INDEX($AM$2:$BM$1001,MATCH(ROWS($AF$2:AF982),$AF$2:$AF$1001,0),MATCH(COLUMNS($AM$1006:BC1006),$AM$1006:$BM$1006,0)), HYPERLINK("#",""), HYPERLINK(CONCATENATE("#metadata!", ADDRESS(INDEX($AH$2:$AH$1001,MATCH(ROWS($AF$2:AF982),$AF$2:$AF$1001,0),0), INDEX($AM$1004:$BM$1004,1,MATCH(COLUMNS($AM$1006:BC1006),$AM$1006:$BM$1006,0)))),"Fix")))</f>
        <v xml:space="preserve"> </v>
      </c>
      <c r="S982" s="4" t="str">
        <f ca="1">IF(OR(INDEX($AG$2:$AG$1001,MATCH(ROWS($AF$2:AF982),$AF$2:$AF$1001,0),1)&gt;=100000,INDEX($AM$1005:$BM$1005,1,MATCH(COLUMNS($AM$1006:BD1006),$AM$1006:$BM$1006,0))&gt;=100000), " ",IF(INDEX($AM$2:$BM$1001,MATCH(ROWS($AF$2:AF982),$AF$2:$AF$1001,0),MATCH(COLUMNS($AM$1006:BD1006),$AM$1006:$BM$1006,0)), HYPERLINK("#",""), HYPERLINK(CONCATENATE("#metadata!", ADDRESS(INDEX($AH$2:$AH$1001,MATCH(ROWS($AF$2:AF982),$AF$2:$AF$1001,0),0), INDEX($AM$1004:$BM$1004,1,MATCH(COLUMNS($AM$1006:BD1006),$AM$1006:$BM$1006,0)))),"Fix")))</f>
        <v xml:space="preserve"> </v>
      </c>
      <c r="T982" s="4" t="str">
        <f ca="1">IF(OR(INDEX($AG$2:$AG$1001,MATCH(ROWS($AF$2:AF982),$AF$2:$AF$1001,0),1)&gt;=100000,INDEX($AM$1005:$BM$1005,1,MATCH(COLUMNS($AM$1006:BE1006),$AM$1006:$BM$1006,0))&gt;=100000), " ",IF(INDEX($AM$2:$BM$1001,MATCH(ROWS($AF$2:AF982),$AF$2:$AF$1001,0),MATCH(COLUMNS($AM$1006:BE1006),$AM$1006:$BM$1006,0)), HYPERLINK("#",""), HYPERLINK(CONCATENATE("#metadata!", ADDRESS(INDEX($AH$2:$AH$1001,MATCH(ROWS($AF$2:AF982),$AF$2:$AF$1001,0),0), INDEX($AM$1004:$BM$1004,1,MATCH(COLUMNS($AM$1006:BE1006),$AM$1006:$BM$1006,0)))),"Fix")))</f>
        <v xml:space="preserve"> </v>
      </c>
      <c r="U982" s="4" t="str">
        <f ca="1">IF(OR(INDEX($AG$2:$AG$1001,MATCH(ROWS($AF$2:AF982),$AF$2:$AF$1001,0),1)&gt;=100000,INDEX($AM$1005:$BM$1005,1,MATCH(COLUMNS($AM$1006:BF1006),$AM$1006:$BM$1006,0))&gt;=100000), " ",IF(INDEX($AM$2:$BM$1001,MATCH(ROWS($AF$2:AF982),$AF$2:$AF$1001,0),MATCH(COLUMNS($AM$1006:BF1006),$AM$1006:$BM$1006,0)), HYPERLINK("#",""), HYPERLINK(CONCATENATE("#metadata!", ADDRESS(INDEX($AH$2:$AH$1001,MATCH(ROWS($AF$2:AF982),$AF$2:$AF$1001,0),0), INDEX($AM$1004:$BM$1004,1,MATCH(COLUMNS($AM$1006:BF1006),$AM$1006:$BM$1006,0)))),"Fix")))</f>
        <v xml:space="preserve"> </v>
      </c>
      <c r="V982" s="4" t="str">
        <f ca="1">IF(OR(INDEX($AG$2:$AG$1001,MATCH(ROWS($AF$2:AF982),$AF$2:$AF$1001,0),1)&gt;=100000,INDEX($AM$1005:$BM$1005,1,MATCH(COLUMNS($AM$1006:BG1006),$AM$1006:$BM$1006,0))&gt;=100000), " ",IF(INDEX($AM$2:$BM$1001,MATCH(ROWS($AF$2:AF982),$AF$2:$AF$1001,0),MATCH(COLUMNS($AM$1006:BG1006),$AM$1006:$BM$1006,0)), HYPERLINK("#",""), HYPERLINK(CONCATENATE("#metadata!", ADDRESS(INDEX($AH$2:$AH$1001,MATCH(ROWS($AF$2:AF982),$AF$2:$AF$1001,0),0), INDEX($AM$1004:$BM$1004,1,MATCH(COLUMNS($AM$1006:BG1006),$AM$1006:$BM$1006,0)))),"Fix")))</f>
        <v xml:space="preserve"> </v>
      </c>
      <c r="W982" s="4" t="str">
        <f ca="1">IF(OR(INDEX($AG$2:$AG$1001,MATCH(ROWS($AF$2:AF982),$AF$2:$AF$1001,0),1)&gt;=100000,INDEX($AM$1005:$BM$1005,1,MATCH(COLUMNS($AM$1006:BH1006),$AM$1006:$BM$1006,0))&gt;=100000), " ",IF(INDEX($AM$2:$BM$1001,MATCH(ROWS($AF$2:AF982),$AF$2:$AF$1001,0),MATCH(COLUMNS($AM$1006:BH1006),$AM$1006:$BM$1006,0)), HYPERLINK("#",""), HYPERLINK(CONCATENATE("#metadata!", ADDRESS(INDEX($AH$2:$AH$1001,MATCH(ROWS($AF$2:AF982),$AF$2:$AF$1001,0),0), INDEX($AM$1004:$BM$1004,1,MATCH(COLUMNS($AM$1006:BH1006),$AM$1006:$BM$1006,0)))),"Fix")))</f>
        <v xml:space="preserve"> </v>
      </c>
      <c r="X982" s="4" t="str">
        <f ca="1">IF(OR(INDEX($AG$2:$AG$1001,MATCH(ROWS($AF$2:AF982),$AF$2:$AF$1001,0),1)&gt;=100000,INDEX($AM$1005:$BM$1005,1,MATCH(COLUMNS($AM$1006:BI1006),$AM$1006:$BM$1006,0))&gt;=100000), " ",IF(INDEX($AM$2:$BM$1001,MATCH(ROWS($AF$2:AF982),$AF$2:$AF$1001,0),MATCH(COLUMNS($AM$1006:BI1006),$AM$1006:$BM$1006,0)), HYPERLINK("#",""), HYPERLINK(CONCATENATE("#metadata!", ADDRESS(INDEX($AH$2:$AH$1001,MATCH(ROWS($AF$2:AF982),$AF$2:$AF$1001,0),0), INDEX($AM$1004:$BM$1004,1,MATCH(COLUMNS($AM$1006:BI1006),$AM$1006:$BM$1006,0)))),"Fix")))</f>
        <v xml:space="preserve"> </v>
      </c>
      <c r="Y982" s="4" t="str">
        <f ca="1">IF(OR(INDEX($AG$2:$AG$1001,MATCH(ROWS($AF$2:AF982),$AF$2:$AF$1001,0),1)&gt;=100000,INDEX($AM$1005:$BM$1005,1,MATCH(COLUMNS($AM$1006:BJ1006),$AM$1006:$BM$1006,0))&gt;=100000), " ",IF(INDEX($AM$2:$BM$1001,MATCH(ROWS($AF$2:AF982),$AF$2:$AF$1001,0),MATCH(COLUMNS($AM$1006:BJ1006),$AM$1006:$BM$1006,0)), HYPERLINK("#",""), HYPERLINK(CONCATENATE("#metadata!", ADDRESS(INDEX($AH$2:$AH$1001,MATCH(ROWS($AF$2:AF982),$AF$2:$AF$1001,0),0), INDEX($AM$1004:$BM$1004,1,MATCH(COLUMNS($AM$1006:BJ1006),$AM$1006:$BM$1006,0)))),"Fix")))</f>
        <v xml:space="preserve"> </v>
      </c>
      <c r="Z982" s="4" t="str">
        <f ca="1">IF(OR(INDEX($AG$2:$AG$1001,MATCH(ROWS($AF$2:AF982),$AF$2:$AF$1001,0),1)&gt;=100000,INDEX($AM$1005:$BM$1005,1,MATCH(COLUMNS($AM$1006:BK1006),$AM$1006:$BM$1006,0))&gt;=100000), " ",IF(INDEX($AM$2:$BM$1001,MATCH(ROWS($AF$2:AF982),$AF$2:$AF$1001,0),MATCH(COLUMNS($AM$1006:BK1006),$AM$1006:$BM$1006,0)), HYPERLINK("#",""), HYPERLINK(CONCATENATE("#metadata!", ADDRESS(INDEX($AH$2:$AH$1001,MATCH(ROWS($AF$2:AF982),$AF$2:$AF$1001,0),0), INDEX($AM$1004:$BM$1004,1,MATCH(COLUMNS($AM$1006:BK1006),$AM$1006:$BM$1006,0)))),"Fix")))</f>
        <v xml:space="preserve"> </v>
      </c>
      <c r="AA982" s="4" t="str">
        <f ca="1">IF(OR(INDEX($AG$2:$AG$1001,MATCH(ROWS($AF$2:AF982),$AF$2:$AF$1001,0),1)&gt;=100000,INDEX($AM$1005:$BM$1005,1,MATCH(COLUMNS($AM$1006:BL1006),$AM$1006:$BM$1006,0))&gt;=100000), " ",IF(INDEX($AM$2:$BM$1001,MATCH(ROWS($AF$2:AF982),$AF$2:$AF$1001,0),MATCH(COLUMNS($AM$1006:BL1006),$AM$1006:$BM$1006,0)), HYPERLINK("#",""), HYPERLINK(CONCATENATE("#metadata!", ADDRESS(INDEX($AH$2:$AH$1001,MATCH(ROWS($AF$2:AF982),$AF$2:$AF$1001,0),0), INDEX($AM$1004:$BM$1004,1,MATCH(COLUMNS($AM$1006:BL1006),$AM$1006:$BM$1006,0)))),"Fix")))</f>
        <v xml:space="preserve"> </v>
      </c>
      <c r="AB982" s="4" t="str">
        <f ca="1">IF(OR(INDEX($AG$2:$AG$1001,MATCH(ROWS($AF$2:AF982),$AF$2:$AF$1001,0),1)&gt;=100000,INDEX($AM$1005:$BM$1005,1,MATCH(COLUMNS($AM$1006:BM1006),$AM$1006:$BM$1006,0))&gt;=100000), " ",IF(INDEX($AM$2:$BM$1001,MATCH(ROWS($AF$2:AF982),$AF$2:$AF$1001,0),MATCH(COLUMNS($AM$1006:BM1006),$AM$1006:$BM$1006,0)), HYPERLINK("#",""), HYPERLINK(CONCATENATE("#metadata!", ADDRESS(INDEX($AH$2:$AH$1001,MATCH(ROWS($AF$2:AF982),$AF$2:$AF$1001,0),0), INDEX($AM$1004:$BM$1004,1,MATCH(COLUMNS($AM$1006:BM1006),$AM$1006:$BM$1006,0)))),"Fix")))</f>
        <v xml:space="preserve"> </v>
      </c>
      <c r="AF982">
        <v>981</v>
      </c>
      <c r="AG982">
        <v>100982</v>
      </c>
      <c r="AH982">
        <v>982</v>
      </c>
      <c r="AI982" t="b">
        <f t="shared" si="15"/>
        <v>1</v>
      </c>
      <c r="AJ982" t="b">
        <f>COUNTBLANK(metadata!B982:AB982)=COLUMNS(metadata!B982:AB982)</f>
        <v>1</v>
      </c>
      <c r="AK982" t="str">
        <v/>
      </c>
      <c r="AM982" t="b">
        <f ca="1">AND(IF(metadata!B982="",FALSE,TRUE),COUNTIF(metadata!B:B, metadata!B982) = 1,NOT(ISERROR(SUMPRODUCT(SEARCH(MID(metadata!B982,ROW(INDIRECT("1:"&amp;LEN(metadata!B982))), 1),"0123456789abcdefghijklmnopqrstuvwxyzABCDEFGHIJKLMNOPQRSTUVWXYZ.")))))</f>
        <v>0</v>
      </c>
      <c r="AN982" t="b">
        <f ca="1">OR(AND(IF(metadata!C982="",FALSE,TRUE),OR(EXACT(metadata!C982,"missing: not collected"),EXACT(metadata!C982,"missing: not provided"),EXACT(metadata!C982,"missing: restricted access"))),AND(IF(metadata!C982="",FALSE,TRUE),AND(AND(IFERROR(INT(LEFT(metadata!C982,4))&gt;1900,FALSE),IFERROR(INT(LEFT(metadata!C982,4))&lt;=YEAR(NOW()),FALSE)), OR(MID(metadata!C982,5,1)="", AND(AND(MID(metadata!C982,5,1)="-",IFERROR(INT(MID(metadata!C982,6,1))&gt;=0,FALSE),IFERROR(INT(MID(metadata!C982,6,1))&lt;=1,FALSE),NOT(MID(metadata!C982,7,1)=""),IFERROR(INT(MID(metadata!C982,6,2))&gt;=1,FALSE),IFERROR(INT(MID(metadata!C982,6,2))&lt;=12,FALSE)), OR(MID(metadata!C982,8,1)="", AND(AND(MID(metadata!C982,8,1)="-",IFERROR(INT(MID(metadata!C982,9,1))&gt;=0,FALSE),IFERROR(INT(MID(metadata!C982,9,1))&lt;=3,FALSE),NOT(MID(metadata!C982,10,1)=""),IFERROR(INT(MID(metadata!C982,9,2))&gt;=1,FALSE),IFERROR(INT(MID(metadata!C982,9,2))&lt;=31,FALSE)), OR(MID(metadata!C982,11,1)="", AND(AND(MID(metadata!C982,11,1)=" ",IFERROR(INT(MID(metadata!C982,12,1))&gt;=0,FALSE),IFERROR(INT(MID(metadata!C982,12,1))&lt;=2,FALSE),NOT(MID(metadata!C982,13,1)=""),IFERROR(INT(MID(metadata!C982,12,2))&gt;=0,FALSE),IFERROR(INT(MID(metadata!C982,12,2))&lt;=23,FALSE)), OR(MID(metadata!C982,14,1)="", AND(AND(MID(metadata!C982,14,1)=":",IFERROR(INT(MID(metadata!C982,15,1))&gt;=0,FALSE),IFERROR(INT(MID(metadata!C982,15,1))&lt;=5,FALSE),NOT(MID(metadata!C982,16,1)=""),IFERROR(INT(MID(metadata!C982,15,2))&gt;=0,FALSE),IFERROR(INT(MID(metadata!C982,15,2))&lt;=59,FALSE)), OR(MID(metadata!C982,17,1)="", AND(AND(MID(metadata!C982,17,1)=":",IFERROR(INT(MID(metadata!C982,18,1))&gt;=0,FALSE),IFERROR(INT(MID(metadata!C982,18,1))&lt;=5,FALSE),NOT(MID(metadata!C982,19,1)=""),IFERROR(INT(MID(metadata!C982,18,2))&gt;=0,FALSE),IFERROR(INT(MID(metadata!C982,18,2))&lt;=59,FALSE)), LEN(metadata!C982)&lt;=19)))))))))))))</f>
        <v>0</v>
      </c>
      <c r="AO982" t="b">
        <f>AND(IF(metadata!D982="",FALSE,TRUE),EXACT(metadata!D982,"Not applicable"))</f>
        <v>0</v>
      </c>
      <c r="AP982" t="b">
        <f>IF(metadata!E982="",FALSE,TRUE)</f>
        <v>0</v>
      </c>
      <c r="AQ982" t="b">
        <f>OR(AND(IF(metadata!F982="",FALSE,TRUE),OR(EXACT(metadata!F982,"missing: not collected"),EXACT(metadata!F982,"missing: not provided"))),AND(IF(metadata!F982="",FALSE,TRUE),OR(EXACT(metadata!F982,"TRUE"),EXACT(metadata!F982,"FALSE"))))</f>
        <v>0</v>
      </c>
      <c r="AR982" t="b">
        <f>OR(AND(IF(metadata!G982="",FALSE,TRUE),OR(EXACT(metadata!G982,"missing: not collected"),EXACT(metadata!G982,"missing: not provided"),EXACT(metadata!G982,"missing: restricted access"))),AND(IF(metadata!G982="",FALSE,ISNUMBER(VALUE(metadata!G982))),metadata!G982&gt;=-413))</f>
        <v>0</v>
      </c>
      <c r="AS982" t="b">
        <f>AND(IF(metadata!H982="",FALSE,TRUE),EXACT(metadata!H982,"meters"))</f>
        <v>0</v>
      </c>
      <c r="AT982" t="b">
        <f>AND(IF(metadata!I982="",FALSE,TRUE),OR(EXACT(metadata!I982,"Host-associated"),EXACT(metadata!I982,"Free-living")))</f>
        <v>0</v>
      </c>
      <c r="AU982" t="b">
        <f>AND(IF(metadata!J982="",FALSE,TRUE),OR(EXACT(metadata!J982,"Animal"),EXACT(metadata!J982,"Fungus"),EXACT(metadata!J982,"Plant"),EXACT(metadata!J982,"Saline"),EXACT(metadata!J982,"Non-saline")))</f>
        <v>0</v>
      </c>
      <c r="AV982" t="b">
        <f>AND(IF(metadata!K982="",FALSE,TRUE),OR(EXACT(metadata!K982,"Plant secretion"),EXACT(metadata!K982,"Plant rhizosphere"),EXACT(metadata!K982,"Plant surface"),EXACT(metadata!K982,"Plant corpus"),EXACT(metadata!K982,"Fungus surface"),EXACT(metadata!K982,"Fungus corpus"),EXACT(metadata!K982,"Animal surface"),EXACT(metadata!K982,"Animal proximal gut"),EXACT(metadata!K982,"Animal corpus"),EXACT(metadata!K982,"Animal distal gut"),EXACT(metadata!K982,"Animal secretion"),EXACT(metadata!K982,"Sub-surface (non-saline)"),EXACT(metadata!K982,"Surface (non-saline)"),EXACT(metadata!K982,"Water (non-saline)"),EXACT(metadata!K982,"Soil (non-saline)"),EXACT(metadata!K982,"Aerosol (non-saline)"),EXACT(metadata!K982,"Sediment (non-saline)"),EXACT(metadata!K982,"Surface (saline)"),EXACT(metadata!K982,"Water (saline)"),EXACT(metadata!K982,"Hypersaline (saline)"),EXACT(metadata!K982,"Aerosol (saline)"),EXACT(metadata!K982,"Sediment (saline)")))</f>
        <v>0</v>
      </c>
      <c r="AW982" t="b">
        <f>IF(metadata!L982="",FALSE,TRUE)</f>
        <v>0</v>
      </c>
      <c r="AX982" t="b">
        <f>IF(metadata!M982="",FALSE,TRUE)</f>
        <v>0</v>
      </c>
      <c r="AY982" t="b">
        <f>IF(metadata!N982="",FALSE,TRUE)</f>
        <v>0</v>
      </c>
      <c r="AZ982" t="b">
        <f>OR(AND(IF(metadata!O982="",FALSE,TRUE),OR(EXACT(metadata!O982,"missing: not collected"),EXACT(metadata!O982,"missing: not provided"),EXACT(metadata!O982,"missing: restricted access"))),AND(IF(metadata!O982="",FALSE,TRUE),OR(EXACT(metadata!O982,"air"),EXACT(metadata!O982,"built environment"),EXACT(metadata!O982,"host-associated"),EXACT(metadata!O982,"human-associated"),EXACT(metadata!O982,"human-skin"),EXACT(metadata!O982,"human-oral"),EXACT(metadata!O982,"human-gut"),EXACT(metadata!O982,"human-vaginal"),EXACT(metadata!O982,"microbial mat/biofilm"),EXACT(metadata!O982,"misc environment"),EXACT(metadata!O982,"plant-associated"),EXACT(metadata!O982,"sediment"),EXACT(metadata!O982,"soil"),EXACT(metadata!O982,"wastewater/sludge"),EXACT(metadata!O982,"water"))))</f>
        <v>0</v>
      </c>
      <c r="BA982" t="b">
        <f>IF(metadata!P982="",FALSE,TRUE)</f>
        <v>0</v>
      </c>
      <c r="BB982" t="b">
        <f>IF(metadata!Q982="",FALSE,TRUE)</f>
        <v>0</v>
      </c>
      <c r="BC982" t="b">
        <f>OR(AND(IF(metadata!R982="",FALSE,TRUE),OR(EXACT(metadata!R982,"missing: not collected"),EXACT(metadata!R982,"missing: not provided"),EXACT(metadata!R982,"missing: restricted access"))),AND(IF(metadata!R982="",FALSE,ISNUMBER(VALUE(metadata!R982))),metadata!R982&gt;=-90,metadata!R982&lt;=90))</f>
        <v>0</v>
      </c>
      <c r="BD982" t="b">
        <f>AND(IF(metadata!S982="",FALSE,TRUE),EXACT(metadata!S982,"Decimal degrees"))</f>
        <v>0</v>
      </c>
      <c r="BE982" t="b">
        <f>OR(AND(IF(metadata!T982="",FALSE,TRUE),OR(EXACT(metadata!T982,"missing: not collected"),EXACT(metadata!T982,"missing: not provided"),EXACT(metadata!T982,"missing: restricted access"))),AND(IF(metadata!T982="",FALSE,ISNUMBER(VALUE(metadata!T982))),metadata!T982&gt;=-180,metadata!T982&lt;=180))</f>
        <v>0</v>
      </c>
      <c r="BF982" t="b">
        <f>AND(IF(metadata!U982="",FALSE,TRUE),EXACT(metadata!U982,"Decimal degrees"))</f>
        <v>0</v>
      </c>
      <c r="BG982" t="b">
        <f>IF(metadata!V982="",FALSE,TRUE)</f>
        <v>0</v>
      </c>
      <c r="BH982" t="b">
        <f>OR(AND(IF(metadata!W982="",FALSE,TRUE),OR(EXACT(metadata!W982,"missing: not collected"),EXACT(metadata!W982,"missing: not provided"),EXACT(metadata!W982,"missing: restricted access"))),AND(IF(metadata!W982="",FALSE,TRUE),OR(EXACT(metadata!W982,"TRUE"),EXACT(metadata!W982,"FALSE"))))</f>
        <v>0</v>
      </c>
      <c r="BI982" t="b">
        <f>AND(IF(metadata!X982="",FALSE,TRUE),EXACT(metadata!X982,"other"))</f>
        <v>0</v>
      </c>
      <c r="BJ982" t="b">
        <f>IF(metadata!Y982="",FALSE,TRUE)</f>
        <v>0</v>
      </c>
      <c r="BK982" t="b">
        <f>OR(AND(IF(metadata!Z982="",FALSE,TRUE),OR(EXACT(metadata!Z982,"missing: not collected"),EXACT(metadata!Z982,"missing: not provided"))),AND(IF(metadata!Z982="",FALSE,IF(ISERROR(INT(metadata!Z982)),FALSE,INT(metadata!Z982)=metadata!Z982)),metadata!Z982&gt;0))</f>
        <v>0</v>
      </c>
      <c r="BL982" t="b">
        <f>AND(IF(metadata!AA982="",FALSE,TRUE),EXACT(metadata!AA982,"Not applicable"))</f>
        <v>0</v>
      </c>
      <c r="BM982" t="b">
        <f>IF(metadata!AB982="",FALSE,TRUE)</f>
        <v>0</v>
      </c>
    </row>
    <row r="983" spans="1:65" x14ac:dyDescent="0.2">
      <c r="A983" s="5" t="str">
        <f ca="1">IF(B983=" "," ",HYPERLINK(CONCATENATE("#metadata!",ADDRESS(INDEX($AH$2:$AH$1001,MATCH(ROWS($AF$2:AF983),$AF$2:$AF$1001,0),0),1)),INDEX($AK$2:$AK$1001,MATCH(ROWS($AF$2:AF983),$AF$2:$AF$1001,0),0)))</f>
        <v xml:space="preserve"> </v>
      </c>
      <c r="B983" s="4" t="str">
        <f ca="1">IF(OR(INDEX($AG$2:$AG$1001,MATCH(ROWS($AF$2:AF983),$AF$2:$AF$1001,0),1)&gt;=100000,INDEX($AM$1005:$BM$1005,1,MATCH(COLUMNS($AM$1006:AM1006),$AM$1006:$BM$1006,0))&gt;=100000), " ",IF(INDEX($AM$2:$BM$1001,MATCH(ROWS($AF$2:AF983),$AF$2:$AF$1001,0),MATCH(COLUMNS($AM$1006:AM1006),$AM$1006:$BM$1006,0)), HYPERLINK("#",""), HYPERLINK(CONCATENATE("#metadata!", ADDRESS(INDEX($AH$2:$AH$1001,MATCH(ROWS($AF$2:AF983),$AF$2:$AF$1001,0),0), INDEX($AM$1004:$BM$1004,1,MATCH(COLUMNS($AM$1006:AM1006),$AM$1006:$BM$1006,0)))),"Fix")))</f>
        <v xml:space="preserve"> </v>
      </c>
      <c r="C983" s="4" t="str">
        <f ca="1">IF(OR(INDEX($AG$2:$AG$1001,MATCH(ROWS($AF$2:AF983),$AF$2:$AF$1001,0),1)&gt;=100000,INDEX($AM$1005:$BM$1005,1,MATCH(COLUMNS($AM$1006:AN1006),$AM$1006:$BM$1006,0))&gt;=100000), " ",IF(INDEX($AM$2:$BM$1001,MATCH(ROWS($AF$2:AF983),$AF$2:$AF$1001,0),MATCH(COLUMNS($AM$1006:AN1006),$AM$1006:$BM$1006,0)), HYPERLINK("#",""), HYPERLINK(CONCATENATE("#metadata!", ADDRESS(INDEX($AH$2:$AH$1001,MATCH(ROWS($AF$2:AF983),$AF$2:$AF$1001,0),0), INDEX($AM$1004:$BM$1004,1,MATCH(COLUMNS($AM$1006:AN1006),$AM$1006:$BM$1006,0)))),"Fix")))</f>
        <v xml:space="preserve"> </v>
      </c>
      <c r="D983" s="4" t="str">
        <f ca="1">IF(OR(INDEX($AG$2:$AG$1001,MATCH(ROWS($AF$2:AF983),$AF$2:$AF$1001,0),1)&gt;=100000,INDEX($AM$1005:$BM$1005,1,MATCH(COLUMNS($AM$1006:AO1006),$AM$1006:$BM$1006,0))&gt;=100000), " ",IF(INDEX($AM$2:$BM$1001,MATCH(ROWS($AF$2:AF983),$AF$2:$AF$1001,0),MATCH(COLUMNS($AM$1006:AO1006),$AM$1006:$BM$1006,0)), HYPERLINK("#",""), HYPERLINK(CONCATENATE("#metadata!", ADDRESS(INDEX($AH$2:$AH$1001,MATCH(ROWS($AF$2:AF983),$AF$2:$AF$1001,0),0), INDEX($AM$1004:$BM$1004,1,MATCH(COLUMNS($AM$1006:AO1006),$AM$1006:$BM$1006,0)))),"Fix")))</f>
        <v xml:space="preserve"> </v>
      </c>
      <c r="E983" s="4" t="str">
        <f ca="1">IF(OR(INDEX($AG$2:$AG$1001,MATCH(ROWS($AF$2:AF983),$AF$2:$AF$1001,0),1)&gt;=100000,INDEX($AM$1005:$BM$1005,1,MATCH(COLUMNS($AM$1006:AP1006),$AM$1006:$BM$1006,0))&gt;=100000), " ",IF(INDEX($AM$2:$BM$1001,MATCH(ROWS($AF$2:AF983),$AF$2:$AF$1001,0),MATCH(COLUMNS($AM$1006:AP1006),$AM$1006:$BM$1006,0)), HYPERLINK("#",""), HYPERLINK(CONCATENATE("#metadata!", ADDRESS(INDEX($AH$2:$AH$1001,MATCH(ROWS($AF$2:AF983),$AF$2:$AF$1001,0),0), INDEX($AM$1004:$BM$1004,1,MATCH(COLUMNS($AM$1006:AP1006),$AM$1006:$BM$1006,0)))),"Fix")))</f>
        <v xml:space="preserve"> </v>
      </c>
      <c r="F983" s="4" t="str">
        <f ca="1">IF(OR(INDEX($AG$2:$AG$1001,MATCH(ROWS($AF$2:AF983),$AF$2:$AF$1001,0),1)&gt;=100000,INDEX($AM$1005:$BM$1005,1,MATCH(COLUMNS($AM$1006:AQ1006),$AM$1006:$BM$1006,0))&gt;=100000), " ",IF(INDEX($AM$2:$BM$1001,MATCH(ROWS($AF$2:AF983),$AF$2:$AF$1001,0),MATCH(COLUMNS($AM$1006:AQ1006),$AM$1006:$BM$1006,0)), HYPERLINK("#",""), HYPERLINK(CONCATENATE("#metadata!", ADDRESS(INDEX($AH$2:$AH$1001,MATCH(ROWS($AF$2:AF983),$AF$2:$AF$1001,0),0), INDEX($AM$1004:$BM$1004,1,MATCH(COLUMNS($AM$1006:AQ1006),$AM$1006:$BM$1006,0)))),"Fix")))</f>
        <v xml:space="preserve"> </v>
      </c>
      <c r="G983" s="4" t="str">
        <f ca="1">IF(OR(INDEX($AG$2:$AG$1001,MATCH(ROWS($AF$2:AF983),$AF$2:$AF$1001,0),1)&gt;=100000,INDEX($AM$1005:$BM$1005,1,MATCH(COLUMNS($AM$1006:AR1006),$AM$1006:$BM$1006,0))&gt;=100000), " ",IF(INDEX($AM$2:$BM$1001,MATCH(ROWS($AF$2:AF983),$AF$2:$AF$1001,0),MATCH(COLUMNS($AM$1006:AR1006),$AM$1006:$BM$1006,0)), HYPERLINK("#",""), HYPERLINK(CONCATENATE("#metadata!", ADDRESS(INDEX($AH$2:$AH$1001,MATCH(ROWS($AF$2:AF983),$AF$2:$AF$1001,0),0), INDEX($AM$1004:$BM$1004,1,MATCH(COLUMNS($AM$1006:AR1006),$AM$1006:$BM$1006,0)))),"Fix")))</f>
        <v xml:space="preserve"> </v>
      </c>
      <c r="H983" s="4" t="str">
        <f ca="1">IF(OR(INDEX($AG$2:$AG$1001,MATCH(ROWS($AF$2:AF983),$AF$2:$AF$1001,0),1)&gt;=100000,INDEX($AM$1005:$BM$1005,1,MATCH(COLUMNS($AM$1006:AS1006),$AM$1006:$BM$1006,0))&gt;=100000), " ",IF(INDEX($AM$2:$BM$1001,MATCH(ROWS($AF$2:AF983),$AF$2:$AF$1001,0),MATCH(COLUMNS($AM$1006:AS1006),$AM$1006:$BM$1006,0)), HYPERLINK("#",""), HYPERLINK(CONCATENATE("#metadata!", ADDRESS(INDEX($AH$2:$AH$1001,MATCH(ROWS($AF$2:AF983),$AF$2:$AF$1001,0),0), INDEX($AM$1004:$BM$1004,1,MATCH(COLUMNS($AM$1006:AS1006),$AM$1006:$BM$1006,0)))),"Fix")))</f>
        <v xml:space="preserve"> </v>
      </c>
      <c r="I983" s="4" t="str">
        <f ca="1">IF(OR(INDEX($AG$2:$AG$1001,MATCH(ROWS($AF$2:AF983),$AF$2:$AF$1001,0),1)&gt;=100000,INDEX($AM$1005:$BM$1005,1,MATCH(COLUMNS($AM$1006:AT1006),$AM$1006:$BM$1006,0))&gt;=100000), " ",IF(INDEX($AM$2:$BM$1001,MATCH(ROWS($AF$2:AF983),$AF$2:$AF$1001,0),MATCH(COLUMNS($AM$1006:AT1006),$AM$1006:$BM$1006,0)), HYPERLINK("#",""), HYPERLINK(CONCATENATE("#metadata!", ADDRESS(INDEX($AH$2:$AH$1001,MATCH(ROWS($AF$2:AF983),$AF$2:$AF$1001,0),0), INDEX($AM$1004:$BM$1004,1,MATCH(COLUMNS($AM$1006:AT1006),$AM$1006:$BM$1006,0)))),"Fix")))</f>
        <v xml:space="preserve"> </v>
      </c>
      <c r="J983" s="4" t="str">
        <f ca="1">IF(OR(INDEX($AG$2:$AG$1001,MATCH(ROWS($AF$2:AF983),$AF$2:$AF$1001,0),1)&gt;=100000,INDEX($AM$1005:$BM$1005,1,MATCH(COLUMNS($AM$1006:AU1006),$AM$1006:$BM$1006,0))&gt;=100000), " ",IF(INDEX($AM$2:$BM$1001,MATCH(ROWS($AF$2:AF983),$AF$2:$AF$1001,0),MATCH(COLUMNS($AM$1006:AU1006),$AM$1006:$BM$1006,0)), HYPERLINK("#",""), HYPERLINK(CONCATENATE("#metadata!", ADDRESS(INDEX($AH$2:$AH$1001,MATCH(ROWS($AF$2:AF983),$AF$2:$AF$1001,0),0), INDEX($AM$1004:$BM$1004,1,MATCH(COLUMNS($AM$1006:AU1006),$AM$1006:$BM$1006,0)))),"Fix")))</f>
        <v xml:space="preserve"> </v>
      </c>
      <c r="K983" s="4" t="str">
        <f ca="1">IF(OR(INDEX($AG$2:$AG$1001,MATCH(ROWS($AF$2:AF983),$AF$2:$AF$1001,0),1)&gt;=100000,INDEX($AM$1005:$BM$1005,1,MATCH(COLUMNS($AM$1006:AV1006),$AM$1006:$BM$1006,0))&gt;=100000), " ",IF(INDEX($AM$2:$BM$1001,MATCH(ROWS($AF$2:AF983),$AF$2:$AF$1001,0),MATCH(COLUMNS($AM$1006:AV1006),$AM$1006:$BM$1006,0)), HYPERLINK("#",""), HYPERLINK(CONCATENATE("#metadata!", ADDRESS(INDEX($AH$2:$AH$1001,MATCH(ROWS($AF$2:AF983),$AF$2:$AF$1001,0),0), INDEX($AM$1004:$BM$1004,1,MATCH(COLUMNS($AM$1006:AV1006),$AM$1006:$BM$1006,0)))),"Fix")))</f>
        <v xml:space="preserve"> </v>
      </c>
      <c r="L983" s="4" t="str">
        <f ca="1">IF(OR(INDEX($AG$2:$AG$1001,MATCH(ROWS($AF$2:AF983),$AF$2:$AF$1001,0),1)&gt;=100000,INDEX($AM$1005:$BM$1005,1,MATCH(COLUMNS($AM$1006:AW1006),$AM$1006:$BM$1006,0))&gt;=100000), " ",IF(INDEX($AM$2:$BM$1001,MATCH(ROWS($AF$2:AF983),$AF$2:$AF$1001,0),MATCH(COLUMNS($AM$1006:AW1006),$AM$1006:$BM$1006,0)), HYPERLINK("#",""), HYPERLINK(CONCATENATE("#metadata!", ADDRESS(INDEX($AH$2:$AH$1001,MATCH(ROWS($AF$2:AF983),$AF$2:$AF$1001,0),0), INDEX($AM$1004:$BM$1004,1,MATCH(COLUMNS($AM$1006:AW1006),$AM$1006:$BM$1006,0)))),"Fix")))</f>
        <v xml:space="preserve"> </v>
      </c>
      <c r="M983" s="4" t="str">
        <f ca="1">IF(OR(INDEX($AG$2:$AG$1001,MATCH(ROWS($AF$2:AF983),$AF$2:$AF$1001,0),1)&gt;=100000,INDEX($AM$1005:$BM$1005,1,MATCH(COLUMNS($AM$1006:AX1006),$AM$1006:$BM$1006,0))&gt;=100000), " ",IF(INDEX($AM$2:$BM$1001,MATCH(ROWS($AF$2:AF983),$AF$2:$AF$1001,0),MATCH(COLUMNS($AM$1006:AX1006),$AM$1006:$BM$1006,0)), HYPERLINK("#",""), HYPERLINK(CONCATENATE("#metadata!", ADDRESS(INDEX($AH$2:$AH$1001,MATCH(ROWS($AF$2:AF983),$AF$2:$AF$1001,0),0), INDEX($AM$1004:$BM$1004,1,MATCH(COLUMNS($AM$1006:AX1006),$AM$1006:$BM$1006,0)))),"Fix")))</f>
        <v xml:space="preserve"> </v>
      </c>
      <c r="N983" s="4" t="str">
        <f ca="1">IF(OR(INDEX($AG$2:$AG$1001,MATCH(ROWS($AF$2:AF983),$AF$2:$AF$1001,0),1)&gt;=100000,INDEX($AM$1005:$BM$1005,1,MATCH(COLUMNS($AM$1006:AY1006),$AM$1006:$BM$1006,0))&gt;=100000), " ",IF(INDEX($AM$2:$BM$1001,MATCH(ROWS($AF$2:AF983),$AF$2:$AF$1001,0),MATCH(COLUMNS($AM$1006:AY1006),$AM$1006:$BM$1006,0)), HYPERLINK("#",""), HYPERLINK(CONCATENATE("#metadata!", ADDRESS(INDEX($AH$2:$AH$1001,MATCH(ROWS($AF$2:AF983),$AF$2:$AF$1001,0),0), INDEX($AM$1004:$BM$1004,1,MATCH(COLUMNS($AM$1006:AY1006),$AM$1006:$BM$1006,0)))),"Fix")))</f>
        <v xml:space="preserve"> </v>
      </c>
      <c r="O983" s="4" t="str">
        <f ca="1">IF(OR(INDEX($AG$2:$AG$1001,MATCH(ROWS($AF$2:AF983),$AF$2:$AF$1001,0),1)&gt;=100000,INDEX($AM$1005:$BM$1005,1,MATCH(COLUMNS($AM$1006:AZ1006),$AM$1006:$BM$1006,0))&gt;=100000), " ",IF(INDEX($AM$2:$BM$1001,MATCH(ROWS($AF$2:AF983),$AF$2:$AF$1001,0),MATCH(COLUMNS($AM$1006:AZ1006),$AM$1006:$BM$1006,0)), HYPERLINK("#",""), HYPERLINK(CONCATENATE("#metadata!", ADDRESS(INDEX($AH$2:$AH$1001,MATCH(ROWS($AF$2:AF983),$AF$2:$AF$1001,0),0), INDEX($AM$1004:$BM$1004,1,MATCH(COLUMNS($AM$1006:AZ1006),$AM$1006:$BM$1006,0)))),"Fix")))</f>
        <v xml:space="preserve"> </v>
      </c>
      <c r="P983" s="4" t="str">
        <f ca="1">IF(OR(INDEX($AG$2:$AG$1001,MATCH(ROWS($AF$2:AF983),$AF$2:$AF$1001,0),1)&gt;=100000,INDEX($AM$1005:$BM$1005,1,MATCH(COLUMNS($AM$1006:BA1006),$AM$1006:$BM$1006,0))&gt;=100000), " ",IF(INDEX($AM$2:$BM$1001,MATCH(ROWS($AF$2:AF983),$AF$2:$AF$1001,0),MATCH(COLUMNS($AM$1006:BA1006),$AM$1006:$BM$1006,0)), HYPERLINK("#",""), HYPERLINK(CONCATENATE("#metadata!", ADDRESS(INDEX($AH$2:$AH$1001,MATCH(ROWS($AF$2:AF983),$AF$2:$AF$1001,0),0), INDEX($AM$1004:$BM$1004,1,MATCH(COLUMNS($AM$1006:BA1006),$AM$1006:$BM$1006,0)))),"Fix")))</f>
        <v xml:space="preserve"> </v>
      </c>
      <c r="Q983" s="4" t="str">
        <f ca="1">IF(OR(INDEX($AG$2:$AG$1001,MATCH(ROWS($AF$2:AF983),$AF$2:$AF$1001,0),1)&gt;=100000,INDEX($AM$1005:$BM$1005,1,MATCH(COLUMNS($AM$1006:BB1006),$AM$1006:$BM$1006,0))&gt;=100000), " ",IF(INDEX($AM$2:$BM$1001,MATCH(ROWS($AF$2:AF983),$AF$2:$AF$1001,0),MATCH(COLUMNS($AM$1006:BB1006),$AM$1006:$BM$1006,0)), HYPERLINK("#",""), HYPERLINK(CONCATENATE("#metadata!", ADDRESS(INDEX($AH$2:$AH$1001,MATCH(ROWS($AF$2:AF983),$AF$2:$AF$1001,0),0), INDEX($AM$1004:$BM$1004,1,MATCH(COLUMNS($AM$1006:BB1006),$AM$1006:$BM$1006,0)))),"Fix")))</f>
        <v xml:space="preserve"> </v>
      </c>
      <c r="R983" s="4" t="str">
        <f ca="1">IF(OR(INDEX($AG$2:$AG$1001,MATCH(ROWS($AF$2:AF983),$AF$2:$AF$1001,0),1)&gt;=100000,INDEX($AM$1005:$BM$1005,1,MATCH(COLUMNS($AM$1006:BC1006),$AM$1006:$BM$1006,0))&gt;=100000), " ",IF(INDEX($AM$2:$BM$1001,MATCH(ROWS($AF$2:AF983),$AF$2:$AF$1001,0),MATCH(COLUMNS($AM$1006:BC1006),$AM$1006:$BM$1006,0)), HYPERLINK("#",""), HYPERLINK(CONCATENATE("#metadata!", ADDRESS(INDEX($AH$2:$AH$1001,MATCH(ROWS($AF$2:AF983),$AF$2:$AF$1001,0),0), INDEX($AM$1004:$BM$1004,1,MATCH(COLUMNS($AM$1006:BC1006),$AM$1006:$BM$1006,0)))),"Fix")))</f>
        <v xml:space="preserve"> </v>
      </c>
      <c r="S983" s="4" t="str">
        <f ca="1">IF(OR(INDEX($AG$2:$AG$1001,MATCH(ROWS($AF$2:AF983),$AF$2:$AF$1001,0),1)&gt;=100000,INDEX($AM$1005:$BM$1005,1,MATCH(COLUMNS($AM$1006:BD1006),$AM$1006:$BM$1006,0))&gt;=100000), " ",IF(INDEX($AM$2:$BM$1001,MATCH(ROWS($AF$2:AF983),$AF$2:$AF$1001,0),MATCH(COLUMNS($AM$1006:BD1006),$AM$1006:$BM$1006,0)), HYPERLINK("#",""), HYPERLINK(CONCATENATE("#metadata!", ADDRESS(INDEX($AH$2:$AH$1001,MATCH(ROWS($AF$2:AF983),$AF$2:$AF$1001,0),0), INDEX($AM$1004:$BM$1004,1,MATCH(COLUMNS($AM$1006:BD1006),$AM$1006:$BM$1006,0)))),"Fix")))</f>
        <v xml:space="preserve"> </v>
      </c>
      <c r="T983" s="4" t="str">
        <f ca="1">IF(OR(INDEX($AG$2:$AG$1001,MATCH(ROWS($AF$2:AF983),$AF$2:$AF$1001,0),1)&gt;=100000,INDEX($AM$1005:$BM$1005,1,MATCH(COLUMNS($AM$1006:BE1006),$AM$1006:$BM$1006,0))&gt;=100000), " ",IF(INDEX($AM$2:$BM$1001,MATCH(ROWS($AF$2:AF983),$AF$2:$AF$1001,0),MATCH(COLUMNS($AM$1006:BE1006),$AM$1006:$BM$1006,0)), HYPERLINK("#",""), HYPERLINK(CONCATENATE("#metadata!", ADDRESS(INDEX($AH$2:$AH$1001,MATCH(ROWS($AF$2:AF983),$AF$2:$AF$1001,0),0), INDEX($AM$1004:$BM$1004,1,MATCH(COLUMNS($AM$1006:BE1006),$AM$1006:$BM$1006,0)))),"Fix")))</f>
        <v xml:space="preserve"> </v>
      </c>
      <c r="U983" s="4" t="str">
        <f ca="1">IF(OR(INDEX($AG$2:$AG$1001,MATCH(ROWS($AF$2:AF983),$AF$2:$AF$1001,0),1)&gt;=100000,INDEX($AM$1005:$BM$1005,1,MATCH(COLUMNS($AM$1006:BF1006),$AM$1006:$BM$1006,0))&gt;=100000), " ",IF(INDEX($AM$2:$BM$1001,MATCH(ROWS($AF$2:AF983),$AF$2:$AF$1001,0),MATCH(COLUMNS($AM$1006:BF1006),$AM$1006:$BM$1006,0)), HYPERLINK("#",""), HYPERLINK(CONCATENATE("#metadata!", ADDRESS(INDEX($AH$2:$AH$1001,MATCH(ROWS($AF$2:AF983),$AF$2:$AF$1001,0),0), INDEX($AM$1004:$BM$1004,1,MATCH(COLUMNS($AM$1006:BF1006),$AM$1006:$BM$1006,0)))),"Fix")))</f>
        <v xml:space="preserve"> </v>
      </c>
      <c r="V983" s="4" t="str">
        <f ca="1">IF(OR(INDEX($AG$2:$AG$1001,MATCH(ROWS($AF$2:AF983),$AF$2:$AF$1001,0),1)&gt;=100000,INDEX($AM$1005:$BM$1005,1,MATCH(COLUMNS($AM$1006:BG1006),$AM$1006:$BM$1006,0))&gt;=100000), " ",IF(INDEX($AM$2:$BM$1001,MATCH(ROWS($AF$2:AF983),$AF$2:$AF$1001,0),MATCH(COLUMNS($AM$1006:BG1006),$AM$1006:$BM$1006,0)), HYPERLINK("#",""), HYPERLINK(CONCATENATE("#metadata!", ADDRESS(INDEX($AH$2:$AH$1001,MATCH(ROWS($AF$2:AF983),$AF$2:$AF$1001,0),0), INDEX($AM$1004:$BM$1004,1,MATCH(COLUMNS($AM$1006:BG1006),$AM$1006:$BM$1006,0)))),"Fix")))</f>
        <v xml:space="preserve"> </v>
      </c>
      <c r="W983" s="4" t="str">
        <f ca="1">IF(OR(INDEX($AG$2:$AG$1001,MATCH(ROWS($AF$2:AF983),$AF$2:$AF$1001,0),1)&gt;=100000,INDEX($AM$1005:$BM$1005,1,MATCH(COLUMNS($AM$1006:BH1006),$AM$1006:$BM$1006,0))&gt;=100000), " ",IF(INDEX($AM$2:$BM$1001,MATCH(ROWS($AF$2:AF983),$AF$2:$AF$1001,0),MATCH(COLUMNS($AM$1006:BH1006),$AM$1006:$BM$1006,0)), HYPERLINK("#",""), HYPERLINK(CONCATENATE("#metadata!", ADDRESS(INDEX($AH$2:$AH$1001,MATCH(ROWS($AF$2:AF983),$AF$2:$AF$1001,0),0), INDEX($AM$1004:$BM$1004,1,MATCH(COLUMNS($AM$1006:BH1006),$AM$1006:$BM$1006,0)))),"Fix")))</f>
        <v xml:space="preserve"> </v>
      </c>
      <c r="X983" s="4" t="str">
        <f ca="1">IF(OR(INDEX($AG$2:$AG$1001,MATCH(ROWS($AF$2:AF983),$AF$2:$AF$1001,0),1)&gt;=100000,INDEX($AM$1005:$BM$1005,1,MATCH(COLUMNS($AM$1006:BI1006),$AM$1006:$BM$1006,0))&gt;=100000), " ",IF(INDEX($AM$2:$BM$1001,MATCH(ROWS($AF$2:AF983),$AF$2:$AF$1001,0),MATCH(COLUMNS($AM$1006:BI1006),$AM$1006:$BM$1006,0)), HYPERLINK("#",""), HYPERLINK(CONCATENATE("#metadata!", ADDRESS(INDEX($AH$2:$AH$1001,MATCH(ROWS($AF$2:AF983),$AF$2:$AF$1001,0),0), INDEX($AM$1004:$BM$1004,1,MATCH(COLUMNS($AM$1006:BI1006),$AM$1006:$BM$1006,0)))),"Fix")))</f>
        <v xml:space="preserve"> </v>
      </c>
      <c r="Y983" s="4" t="str">
        <f ca="1">IF(OR(INDEX($AG$2:$AG$1001,MATCH(ROWS($AF$2:AF983),$AF$2:$AF$1001,0),1)&gt;=100000,INDEX($AM$1005:$BM$1005,1,MATCH(COLUMNS($AM$1006:BJ1006),$AM$1006:$BM$1006,0))&gt;=100000), " ",IF(INDEX($AM$2:$BM$1001,MATCH(ROWS($AF$2:AF983),$AF$2:$AF$1001,0),MATCH(COLUMNS($AM$1006:BJ1006),$AM$1006:$BM$1006,0)), HYPERLINK("#",""), HYPERLINK(CONCATENATE("#metadata!", ADDRESS(INDEX($AH$2:$AH$1001,MATCH(ROWS($AF$2:AF983),$AF$2:$AF$1001,0),0), INDEX($AM$1004:$BM$1004,1,MATCH(COLUMNS($AM$1006:BJ1006),$AM$1006:$BM$1006,0)))),"Fix")))</f>
        <v xml:space="preserve"> </v>
      </c>
      <c r="Z983" s="4" t="str">
        <f ca="1">IF(OR(INDEX($AG$2:$AG$1001,MATCH(ROWS($AF$2:AF983),$AF$2:$AF$1001,0),1)&gt;=100000,INDEX($AM$1005:$BM$1005,1,MATCH(COLUMNS($AM$1006:BK1006),$AM$1006:$BM$1006,0))&gt;=100000), " ",IF(INDEX($AM$2:$BM$1001,MATCH(ROWS($AF$2:AF983),$AF$2:$AF$1001,0),MATCH(COLUMNS($AM$1006:BK1006),$AM$1006:$BM$1006,0)), HYPERLINK("#",""), HYPERLINK(CONCATENATE("#metadata!", ADDRESS(INDEX($AH$2:$AH$1001,MATCH(ROWS($AF$2:AF983),$AF$2:$AF$1001,0),0), INDEX($AM$1004:$BM$1004,1,MATCH(COLUMNS($AM$1006:BK1006),$AM$1006:$BM$1006,0)))),"Fix")))</f>
        <v xml:space="preserve"> </v>
      </c>
      <c r="AA983" s="4" t="str">
        <f ca="1">IF(OR(INDEX($AG$2:$AG$1001,MATCH(ROWS($AF$2:AF983),$AF$2:$AF$1001,0),1)&gt;=100000,INDEX($AM$1005:$BM$1005,1,MATCH(COLUMNS($AM$1006:BL1006),$AM$1006:$BM$1006,0))&gt;=100000), " ",IF(INDEX($AM$2:$BM$1001,MATCH(ROWS($AF$2:AF983),$AF$2:$AF$1001,0),MATCH(COLUMNS($AM$1006:BL1006),$AM$1006:$BM$1006,0)), HYPERLINK("#",""), HYPERLINK(CONCATENATE("#metadata!", ADDRESS(INDEX($AH$2:$AH$1001,MATCH(ROWS($AF$2:AF983),$AF$2:$AF$1001,0),0), INDEX($AM$1004:$BM$1004,1,MATCH(COLUMNS($AM$1006:BL1006),$AM$1006:$BM$1006,0)))),"Fix")))</f>
        <v xml:space="preserve"> </v>
      </c>
      <c r="AB983" s="4" t="str">
        <f ca="1">IF(OR(INDEX($AG$2:$AG$1001,MATCH(ROWS($AF$2:AF983),$AF$2:$AF$1001,0),1)&gt;=100000,INDEX($AM$1005:$BM$1005,1,MATCH(COLUMNS($AM$1006:BM1006),$AM$1006:$BM$1006,0))&gt;=100000), " ",IF(INDEX($AM$2:$BM$1001,MATCH(ROWS($AF$2:AF983),$AF$2:$AF$1001,0),MATCH(COLUMNS($AM$1006:BM1006),$AM$1006:$BM$1006,0)), HYPERLINK("#",""), HYPERLINK(CONCATENATE("#metadata!", ADDRESS(INDEX($AH$2:$AH$1001,MATCH(ROWS($AF$2:AF983),$AF$2:$AF$1001,0),0), INDEX($AM$1004:$BM$1004,1,MATCH(COLUMNS($AM$1006:BM1006),$AM$1006:$BM$1006,0)))),"Fix")))</f>
        <v xml:space="preserve"> </v>
      </c>
      <c r="AF983">
        <v>982</v>
      </c>
      <c r="AG983">
        <v>100983</v>
      </c>
      <c r="AH983">
        <v>983</v>
      </c>
      <c r="AI983" t="b">
        <f t="shared" si="15"/>
        <v>1</v>
      </c>
      <c r="AJ983" t="b">
        <f>COUNTBLANK(metadata!B983:AB983)=COLUMNS(metadata!B983:AB983)</f>
        <v>1</v>
      </c>
      <c r="AK983" t="str">
        <v/>
      </c>
      <c r="AM983" t="b">
        <f ca="1">AND(IF(metadata!B983="",FALSE,TRUE),COUNTIF(metadata!B:B, metadata!B983) = 1,NOT(ISERROR(SUMPRODUCT(SEARCH(MID(metadata!B983,ROW(INDIRECT("1:"&amp;LEN(metadata!B983))), 1),"0123456789abcdefghijklmnopqrstuvwxyzABCDEFGHIJKLMNOPQRSTUVWXYZ.")))))</f>
        <v>0</v>
      </c>
      <c r="AN983" t="b">
        <f ca="1">OR(AND(IF(metadata!C983="",FALSE,TRUE),OR(EXACT(metadata!C983,"missing: not collected"),EXACT(metadata!C983,"missing: not provided"),EXACT(metadata!C983,"missing: restricted access"))),AND(IF(metadata!C983="",FALSE,TRUE),AND(AND(IFERROR(INT(LEFT(metadata!C983,4))&gt;1900,FALSE),IFERROR(INT(LEFT(metadata!C983,4))&lt;=YEAR(NOW()),FALSE)), OR(MID(metadata!C983,5,1)="", AND(AND(MID(metadata!C983,5,1)="-",IFERROR(INT(MID(metadata!C983,6,1))&gt;=0,FALSE),IFERROR(INT(MID(metadata!C983,6,1))&lt;=1,FALSE),NOT(MID(metadata!C983,7,1)=""),IFERROR(INT(MID(metadata!C983,6,2))&gt;=1,FALSE),IFERROR(INT(MID(metadata!C983,6,2))&lt;=12,FALSE)), OR(MID(metadata!C983,8,1)="", AND(AND(MID(metadata!C983,8,1)="-",IFERROR(INT(MID(metadata!C983,9,1))&gt;=0,FALSE),IFERROR(INT(MID(metadata!C983,9,1))&lt;=3,FALSE),NOT(MID(metadata!C983,10,1)=""),IFERROR(INT(MID(metadata!C983,9,2))&gt;=1,FALSE),IFERROR(INT(MID(metadata!C983,9,2))&lt;=31,FALSE)), OR(MID(metadata!C983,11,1)="", AND(AND(MID(metadata!C983,11,1)=" ",IFERROR(INT(MID(metadata!C983,12,1))&gt;=0,FALSE),IFERROR(INT(MID(metadata!C983,12,1))&lt;=2,FALSE),NOT(MID(metadata!C983,13,1)=""),IFERROR(INT(MID(metadata!C983,12,2))&gt;=0,FALSE),IFERROR(INT(MID(metadata!C983,12,2))&lt;=23,FALSE)), OR(MID(metadata!C983,14,1)="", AND(AND(MID(metadata!C983,14,1)=":",IFERROR(INT(MID(metadata!C983,15,1))&gt;=0,FALSE),IFERROR(INT(MID(metadata!C983,15,1))&lt;=5,FALSE),NOT(MID(metadata!C983,16,1)=""),IFERROR(INT(MID(metadata!C983,15,2))&gt;=0,FALSE),IFERROR(INT(MID(metadata!C983,15,2))&lt;=59,FALSE)), OR(MID(metadata!C983,17,1)="", AND(AND(MID(metadata!C983,17,1)=":",IFERROR(INT(MID(metadata!C983,18,1))&gt;=0,FALSE),IFERROR(INT(MID(metadata!C983,18,1))&lt;=5,FALSE),NOT(MID(metadata!C983,19,1)=""),IFERROR(INT(MID(metadata!C983,18,2))&gt;=0,FALSE),IFERROR(INT(MID(metadata!C983,18,2))&lt;=59,FALSE)), LEN(metadata!C983)&lt;=19)))))))))))))</f>
        <v>0</v>
      </c>
      <c r="AO983" t="b">
        <f>AND(IF(metadata!D983="",FALSE,TRUE),EXACT(metadata!D983,"Not applicable"))</f>
        <v>0</v>
      </c>
      <c r="AP983" t="b">
        <f>IF(metadata!E983="",FALSE,TRUE)</f>
        <v>0</v>
      </c>
      <c r="AQ983" t="b">
        <f>OR(AND(IF(metadata!F983="",FALSE,TRUE),OR(EXACT(metadata!F983,"missing: not collected"),EXACT(metadata!F983,"missing: not provided"))),AND(IF(metadata!F983="",FALSE,TRUE),OR(EXACT(metadata!F983,"TRUE"),EXACT(metadata!F983,"FALSE"))))</f>
        <v>0</v>
      </c>
      <c r="AR983" t="b">
        <f>OR(AND(IF(metadata!G983="",FALSE,TRUE),OR(EXACT(metadata!G983,"missing: not collected"),EXACT(metadata!G983,"missing: not provided"),EXACT(metadata!G983,"missing: restricted access"))),AND(IF(metadata!G983="",FALSE,ISNUMBER(VALUE(metadata!G983))),metadata!G983&gt;=-413))</f>
        <v>0</v>
      </c>
      <c r="AS983" t="b">
        <f>AND(IF(metadata!H983="",FALSE,TRUE),EXACT(metadata!H983,"meters"))</f>
        <v>0</v>
      </c>
      <c r="AT983" t="b">
        <f>AND(IF(metadata!I983="",FALSE,TRUE),OR(EXACT(metadata!I983,"Host-associated"),EXACT(metadata!I983,"Free-living")))</f>
        <v>0</v>
      </c>
      <c r="AU983" t="b">
        <f>AND(IF(metadata!J983="",FALSE,TRUE),OR(EXACT(metadata!J983,"Animal"),EXACT(metadata!J983,"Fungus"),EXACT(metadata!J983,"Plant"),EXACT(metadata!J983,"Saline"),EXACT(metadata!J983,"Non-saline")))</f>
        <v>0</v>
      </c>
      <c r="AV983" t="b">
        <f>AND(IF(metadata!K983="",FALSE,TRUE),OR(EXACT(metadata!K983,"Plant secretion"),EXACT(metadata!K983,"Plant rhizosphere"),EXACT(metadata!K983,"Plant surface"),EXACT(metadata!K983,"Plant corpus"),EXACT(metadata!K983,"Fungus surface"),EXACT(metadata!K983,"Fungus corpus"),EXACT(metadata!K983,"Animal surface"),EXACT(metadata!K983,"Animal proximal gut"),EXACT(metadata!K983,"Animal corpus"),EXACT(metadata!K983,"Animal distal gut"),EXACT(metadata!K983,"Animal secretion"),EXACT(metadata!K983,"Sub-surface (non-saline)"),EXACT(metadata!K983,"Surface (non-saline)"),EXACT(metadata!K983,"Water (non-saline)"),EXACT(metadata!K983,"Soil (non-saline)"),EXACT(metadata!K983,"Aerosol (non-saline)"),EXACT(metadata!K983,"Sediment (non-saline)"),EXACT(metadata!K983,"Surface (saline)"),EXACT(metadata!K983,"Water (saline)"),EXACT(metadata!K983,"Hypersaline (saline)"),EXACT(metadata!K983,"Aerosol (saline)"),EXACT(metadata!K983,"Sediment (saline)")))</f>
        <v>0</v>
      </c>
      <c r="AW983" t="b">
        <f>IF(metadata!L983="",FALSE,TRUE)</f>
        <v>0</v>
      </c>
      <c r="AX983" t="b">
        <f>IF(metadata!M983="",FALSE,TRUE)</f>
        <v>0</v>
      </c>
      <c r="AY983" t="b">
        <f>IF(metadata!N983="",FALSE,TRUE)</f>
        <v>0</v>
      </c>
      <c r="AZ983" t="b">
        <f>OR(AND(IF(metadata!O983="",FALSE,TRUE),OR(EXACT(metadata!O983,"missing: not collected"),EXACT(metadata!O983,"missing: not provided"),EXACT(metadata!O983,"missing: restricted access"))),AND(IF(metadata!O983="",FALSE,TRUE),OR(EXACT(metadata!O983,"air"),EXACT(metadata!O983,"built environment"),EXACT(metadata!O983,"host-associated"),EXACT(metadata!O983,"human-associated"),EXACT(metadata!O983,"human-skin"),EXACT(metadata!O983,"human-oral"),EXACT(metadata!O983,"human-gut"),EXACT(metadata!O983,"human-vaginal"),EXACT(metadata!O983,"microbial mat/biofilm"),EXACT(metadata!O983,"misc environment"),EXACT(metadata!O983,"plant-associated"),EXACT(metadata!O983,"sediment"),EXACT(metadata!O983,"soil"),EXACT(metadata!O983,"wastewater/sludge"),EXACT(metadata!O983,"water"))))</f>
        <v>0</v>
      </c>
      <c r="BA983" t="b">
        <f>IF(metadata!P983="",FALSE,TRUE)</f>
        <v>0</v>
      </c>
      <c r="BB983" t="b">
        <f>IF(metadata!Q983="",FALSE,TRUE)</f>
        <v>0</v>
      </c>
      <c r="BC983" t="b">
        <f>OR(AND(IF(metadata!R983="",FALSE,TRUE),OR(EXACT(metadata!R983,"missing: not collected"),EXACT(metadata!R983,"missing: not provided"),EXACT(metadata!R983,"missing: restricted access"))),AND(IF(metadata!R983="",FALSE,ISNUMBER(VALUE(metadata!R983))),metadata!R983&gt;=-90,metadata!R983&lt;=90))</f>
        <v>0</v>
      </c>
      <c r="BD983" t="b">
        <f>AND(IF(metadata!S983="",FALSE,TRUE),EXACT(metadata!S983,"Decimal degrees"))</f>
        <v>0</v>
      </c>
      <c r="BE983" t="b">
        <f>OR(AND(IF(metadata!T983="",FALSE,TRUE),OR(EXACT(metadata!T983,"missing: not collected"),EXACT(metadata!T983,"missing: not provided"),EXACT(metadata!T983,"missing: restricted access"))),AND(IF(metadata!T983="",FALSE,ISNUMBER(VALUE(metadata!T983))),metadata!T983&gt;=-180,metadata!T983&lt;=180))</f>
        <v>0</v>
      </c>
      <c r="BF983" t="b">
        <f>AND(IF(metadata!U983="",FALSE,TRUE),EXACT(metadata!U983,"Decimal degrees"))</f>
        <v>0</v>
      </c>
      <c r="BG983" t="b">
        <f>IF(metadata!V983="",FALSE,TRUE)</f>
        <v>0</v>
      </c>
      <c r="BH983" t="b">
        <f>OR(AND(IF(metadata!W983="",FALSE,TRUE),OR(EXACT(metadata!W983,"missing: not collected"),EXACT(metadata!W983,"missing: not provided"),EXACT(metadata!W983,"missing: restricted access"))),AND(IF(metadata!W983="",FALSE,TRUE),OR(EXACT(metadata!W983,"TRUE"),EXACT(metadata!W983,"FALSE"))))</f>
        <v>0</v>
      </c>
      <c r="BI983" t="b">
        <f>AND(IF(metadata!X983="",FALSE,TRUE),EXACT(metadata!X983,"other"))</f>
        <v>0</v>
      </c>
      <c r="BJ983" t="b">
        <f>IF(metadata!Y983="",FALSE,TRUE)</f>
        <v>0</v>
      </c>
      <c r="BK983" t="b">
        <f>OR(AND(IF(metadata!Z983="",FALSE,TRUE),OR(EXACT(metadata!Z983,"missing: not collected"),EXACT(metadata!Z983,"missing: not provided"))),AND(IF(metadata!Z983="",FALSE,IF(ISERROR(INT(metadata!Z983)),FALSE,INT(metadata!Z983)=metadata!Z983)),metadata!Z983&gt;0))</f>
        <v>0</v>
      </c>
      <c r="BL983" t="b">
        <f>AND(IF(metadata!AA983="",FALSE,TRUE),EXACT(metadata!AA983,"Not applicable"))</f>
        <v>0</v>
      </c>
      <c r="BM983" t="b">
        <f>IF(metadata!AB983="",FALSE,TRUE)</f>
        <v>0</v>
      </c>
    </row>
    <row r="984" spans="1:65" x14ac:dyDescent="0.2">
      <c r="A984" s="5" t="str">
        <f ca="1">IF(B984=" "," ",HYPERLINK(CONCATENATE("#metadata!",ADDRESS(INDEX($AH$2:$AH$1001,MATCH(ROWS($AF$2:AF984),$AF$2:$AF$1001,0),0),1)),INDEX($AK$2:$AK$1001,MATCH(ROWS($AF$2:AF984),$AF$2:$AF$1001,0),0)))</f>
        <v xml:space="preserve"> </v>
      </c>
      <c r="B984" s="4" t="str">
        <f ca="1">IF(OR(INDEX($AG$2:$AG$1001,MATCH(ROWS($AF$2:AF984),$AF$2:$AF$1001,0),1)&gt;=100000,INDEX($AM$1005:$BM$1005,1,MATCH(COLUMNS($AM$1006:AM1006),$AM$1006:$BM$1006,0))&gt;=100000), " ",IF(INDEX($AM$2:$BM$1001,MATCH(ROWS($AF$2:AF984),$AF$2:$AF$1001,0),MATCH(COLUMNS($AM$1006:AM1006),$AM$1006:$BM$1006,0)), HYPERLINK("#",""), HYPERLINK(CONCATENATE("#metadata!", ADDRESS(INDEX($AH$2:$AH$1001,MATCH(ROWS($AF$2:AF984),$AF$2:$AF$1001,0),0), INDEX($AM$1004:$BM$1004,1,MATCH(COLUMNS($AM$1006:AM1006),$AM$1006:$BM$1006,0)))),"Fix")))</f>
        <v xml:space="preserve"> </v>
      </c>
      <c r="C984" s="4" t="str">
        <f ca="1">IF(OR(INDEX($AG$2:$AG$1001,MATCH(ROWS($AF$2:AF984),$AF$2:$AF$1001,0),1)&gt;=100000,INDEX($AM$1005:$BM$1005,1,MATCH(COLUMNS($AM$1006:AN1006),$AM$1006:$BM$1006,0))&gt;=100000), " ",IF(INDEX($AM$2:$BM$1001,MATCH(ROWS($AF$2:AF984),$AF$2:$AF$1001,0),MATCH(COLUMNS($AM$1006:AN1006),$AM$1006:$BM$1006,0)), HYPERLINK("#",""), HYPERLINK(CONCATENATE("#metadata!", ADDRESS(INDEX($AH$2:$AH$1001,MATCH(ROWS($AF$2:AF984),$AF$2:$AF$1001,0),0), INDEX($AM$1004:$BM$1004,1,MATCH(COLUMNS($AM$1006:AN1006),$AM$1006:$BM$1006,0)))),"Fix")))</f>
        <v xml:space="preserve"> </v>
      </c>
      <c r="D984" s="4" t="str">
        <f ca="1">IF(OR(INDEX($AG$2:$AG$1001,MATCH(ROWS($AF$2:AF984),$AF$2:$AF$1001,0),1)&gt;=100000,INDEX($AM$1005:$BM$1005,1,MATCH(COLUMNS($AM$1006:AO1006),$AM$1006:$BM$1006,0))&gt;=100000), " ",IF(INDEX($AM$2:$BM$1001,MATCH(ROWS($AF$2:AF984),$AF$2:$AF$1001,0),MATCH(COLUMNS($AM$1006:AO1006),$AM$1006:$BM$1006,0)), HYPERLINK("#",""), HYPERLINK(CONCATENATE("#metadata!", ADDRESS(INDEX($AH$2:$AH$1001,MATCH(ROWS($AF$2:AF984),$AF$2:$AF$1001,0),0), INDEX($AM$1004:$BM$1004,1,MATCH(COLUMNS($AM$1006:AO1006),$AM$1006:$BM$1006,0)))),"Fix")))</f>
        <v xml:space="preserve"> </v>
      </c>
      <c r="E984" s="4" t="str">
        <f ca="1">IF(OR(INDEX($AG$2:$AG$1001,MATCH(ROWS($AF$2:AF984),$AF$2:$AF$1001,0),1)&gt;=100000,INDEX($AM$1005:$BM$1005,1,MATCH(COLUMNS($AM$1006:AP1006),$AM$1006:$BM$1006,0))&gt;=100000), " ",IF(INDEX($AM$2:$BM$1001,MATCH(ROWS($AF$2:AF984),$AF$2:$AF$1001,0),MATCH(COLUMNS($AM$1006:AP1006),$AM$1006:$BM$1006,0)), HYPERLINK("#",""), HYPERLINK(CONCATENATE("#metadata!", ADDRESS(INDEX($AH$2:$AH$1001,MATCH(ROWS($AF$2:AF984),$AF$2:$AF$1001,0),0), INDEX($AM$1004:$BM$1004,1,MATCH(COLUMNS($AM$1006:AP1006),$AM$1006:$BM$1006,0)))),"Fix")))</f>
        <v xml:space="preserve"> </v>
      </c>
      <c r="F984" s="4" t="str">
        <f ca="1">IF(OR(INDEX($AG$2:$AG$1001,MATCH(ROWS($AF$2:AF984),$AF$2:$AF$1001,0),1)&gt;=100000,INDEX($AM$1005:$BM$1005,1,MATCH(COLUMNS($AM$1006:AQ1006),$AM$1006:$BM$1006,0))&gt;=100000), " ",IF(INDEX($AM$2:$BM$1001,MATCH(ROWS($AF$2:AF984),$AF$2:$AF$1001,0),MATCH(COLUMNS($AM$1006:AQ1006),$AM$1006:$BM$1006,0)), HYPERLINK("#",""), HYPERLINK(CONCATENATE("#metadata!", ADDRESS(INDEX($AH$2:$AH$1001,MATCH(ROWS($AF$2:AF984),$AF$2:$AF$1001,0),0), INDEX($AM$1004:$BM$1004,1,MATCH(COLUMNS($AM$1006:AQ1006),$AM$1006:$BM$1006,0)))),"Fix")))</f>
        <v xml:space="preserve"> </v>
      </c>
      <c r="G984" s="4" t="str">
        <f ca="1">IF(OR(INDEX($AG$2:$AG$1001,MATCH(ROWS($AF$2:AF984),$AF$2:$AF$1001,0),1)&gt;=100000,INDEX($AM$1005:$BM$1005,1,MATCH(COLUMNS($AM$1006:AR1006),$AM$1006:$BM$1006,0))&gt;=100000), " ",IF(INDEX($AM$2:$BM$1001,MATCH(ROWS($AF$2:AF984),$AF$2:$AF$1001,0),MATCH(COLUMNS($AM$1006:AR1006),$AM$1006:$BM$1006,0)), HYPERLINK("#",""), HYPERLINK(CONCATENATE("#metadata!", ADDRESS(INDEX($AH$2:$AH$1001,MATCH(ROWS($AF$2:AF984),$AF$2:$AF$1001,0),0), INDEX($AM$1004:$BM$1004,1,MATCH(COLUMNS($AM$1006:AR1006),$AM$1006:$BM$1006,0)))),"Fix")))</f>
        <v xml:space="preserve"> </v>
      </c>
      <c r="H984" s="4" t="str">
        <f ca="1">IF(OR(INDEX($AG$2:$AG$1001,MATCH(ROWS($AF$2:AF984),$AF$2:$AF$1001,0),1)&gt;=100000,INDEX($AM$1005:$BM$1005,1,MATCH(COLUMNS($AM$1006:AS1006),$AM$1006:$BM$1006,0))&gt;=100000), " ",IF(INDEX($AM$2:$BM$1001,MATCH(ROWS($AF$2:AF984),$AF$2:$AF$1001,0),MATCH(COLUMNS($AM$1006:AS1006),$AM$1006:$BM$1006,0)), HYPERLINK("#",""), HYPERLINK(CONCATENATE("#metadata!", ADDRESS(INDEX($AH$2:$AH$1001,MATCH(ROWS($AF$2:AF984),$AF$2:$AF$1001,0),0), INDEX($AM$1004:$BM$1004,1,MATCH(COLUMNS($AM$1006:AS1006),$AM$1006:$BM$1006,0)))),"Fix")))</f>
        <v xml:space="preserve"> </v>
      </c>
      <c r="I984" s="4" t="str">
        <f ca="1">IF(OR(INDEX($AG$2:$AG$1001,MATCH(ROWS($AF$2:AF984),$AF$2:$AF$1001,0),1)&gt;=100000,INDEX($AM$1005:$BM$1005,1,MATCH(COLUMNS($AM$1006:AT1006),$AM$1006:$BM$1006,0))&gt;=100000), " ",IF(INDEX($AM$2:$BM$1001,MATCH(ROWS($AF$2:AF984),$AF$2:$AF$1001,0),MATCH(COLUMNS($AM$1006:AT1006),$AM$1006:$BM$1006,0)), HYPERLINK("#",""), HYPERLINK(CONCATENATE("#metadata!", ADDRESS(INDEX($AH$2:$AH$1001,MATCH(ROWS($AF$2:AF984),$AF$2:$AF$1001,0),0), INDEX($AM$1004:$BM$1004,1,MATCH(COLUMNS($AM$1006:AT1006),$AM$1006:$BM$1006,0)))),"Fix")))</f>
        <v xml:space="preserve"> </v>
      </c>
      <c r="J984" s="4" t="str">
        <f ca="1">IF(OR(INDEX($AG$2:$AG$1001,MATCH(ROWS($AF$2:AF984),$AF$2:$AF$1001,0),1)&gt;=100000,INDEX($AM$1005:$BM$1005,1,MATCH(COLUMNS($AM$1006:AU1006),$AM$1006:$BM$1006,0))&gt;=100000), " ",IF(INDEX($AM$2:$BM$1001,MATCH(ROWS($AF$2:AF984),$AF$2:$AF$1001,0),MATCH(COLUMNS($AM$1006:AU1006),$AM$1006:$BM$1006,0)), HYPERLINK("#",""), HYPERLINK(CONCATENATE("#metadata!", ADDRESS(INDEX($AH$2:$AH$1001,MATCH(ROWS($AF$2:AF984),$AF$2:$AF$1001,0),0), INDEX($AM$1004:$BM$1004,1,MATCH(COLUMNS($AM$1006:AU1006),$AM$1006:$BM$1006,0)))),"Fix")))</f>
        <v xml:space="preserve"> </v>
      </c>
      <c r="K984" s="4" t="str">
        <f ca="1">IF(OR(INDEX($AG$2:$AG$1001,MATCH(ROWS($AF$2:AF984),$AF$2:$AF$1001,0),1)&gt;=100000,INDEX($AM$1005:$BM$1005,1,MATCH(COLUMNS($AM$1006:AV1006),$AM$1006:$BM$1006,0))&gt;=100000), " ",IF(INDEX($AM$2:$BM$1001,MATCH(ROWS($AF$2:AF984),$AF$2:$AF$1001,0),MATCH(COLUMNS($AM$1006:AV1006),$AM$1006:$BM$1006,0)), HYPERLINK("#",""), HYPERLINK(CONCATENATE("#metadata!", ADDRESS(INDEX($AH$2:$AH$1001,MATCH(ROWS($AF$2:AF984),$AF$2:$AF$1001,0),0), INDEX($AM$1004:$BM$1004,1,MATCH(COLUMNS($AM$1006:AV1006),$AM$1006:$BM$1006,0)))),"Fix")))</f>
        <v xml:space="preserve"> </v>
      </c>
      <c r="L984" s="4" t="str">
        <f ca="1">IF(OR(INDEX($AG$2:$AG$1001,MATCH(ROWS($AF$2:AF984),$AF$2:$AF$1001,0),1)&gt;=100000,INDEX($AM$1005:$BM$1005,1,MATCH(COLUMNS($AM$1006:AW1006),$AM$1006:$BM$1006,0))&gt;=100000), " ",IF(INDEX($AM$2:$BM$1001,MATCH(ROWS($AF$2:AF984),$AF$2:$AF$1001,0),MATCH(COLUMNS($AM$1006:AW1006),$AM$1006:$BM$1006,0)), HYPERLINK("#",""), HYPERLINK(CONCATENATE("#metadata!", ADDRESS(INDEX($AH$2:$AH$1001,MATCH(ROWS($AF$2:AF984),$AF$2:$AF$1001,0),0), INDEX($AM$1004:$BM$1004,1,MATCH(COLUMNS($AM$1006:AW1006),$AM$1006:$BM$1006,0)))),"Fix")))</f>
        <v xml:space="preserve"> </v>
      </c>
      <c r="M984" s="4" t="str">
        <f ca="1">IF(OR(INDEX($AG$2:$AG$1001,MATCH(ROWS($AF$2:AF984),$AF$2:$AF$1001,0),1)&gt;=100000,INDEX($AM$1005:$BM$1005,1,MATCH(COLUMNS($AM$1006:AX1006),$AM$1006:$BM$1006,0))&gt;=100000), " ",IF(INDEX($AM$2:$BM$1001,MATCH(ROWS($AF$2:AF984),$AF$2:$AF$1001,0),MATCH(COLUMNS($AM$1006:AX1006),$AM$1006:$BM$1006,0)), HYPERLINK("#",""), HYPERLINK(CONCATENATE("#metadata!", ADDRESS(INDEX($AH$2:$AH$1001,MATCH(ROWS($AF$2:AF984),$AF$2:$AF$1001,0),0), INDEX($AM$1004:$BM$1004,1,MATCH(COLUMNS($AM$1006:AX1006),$AM$1006:$BM$1006,0)))),"Fix")))</f>
        <v xml:space="preserve"> </v>
      </c>
      <c r="N984" s="4" t="str">
        <f ca="1">IF(OR(INDEX($AG$2:$AG$1001,MATCH(ROWS($AF$2:AF984),$AF$2:$AF$1001,0),1)&gt;=100000,INDEX($AM$1005:$BM$1005,1,MATCH(COLUMNS($AM$1006:AY1006),$AM$1006:$BM$1006,0))&gt;=100000), " ",IF(INDEX($AM$2:$BM$1001,MATCH(ROWS($AF$2:AF984),$AF$2:$AF$1001,0),MATCH(COLUMNS($AM$1006:AY1006),$AM$1006:$BM$1006,0)), HYPERLINK("#",""), HYPERLINK(CONCATENATE("#metadata!", ADDRESS(INDEX($AH$2:$AH$1001,MATCH(ROWS($AF$2:AF984),$AF$2:$AF$1001,0),0), INDEX($AM$1004:$BM$1004,1,MATCH(COLUMNS($AM$1006:AY1006),$AM$1006:$BM$1006,0)))),"Fix")))</f>
        <v xml:space="preserve"> </v>
      </c>
      <c r="O984" s="4" t="str">
        <f ca="1">IF(OR(INDEX($AG$2:$AG$1001,MATCH(ROWS($AF$2:AF984),$AF$2:$AF$1001,0),1)&gt;=100000,INDEX($AM$1005:$BM$1005,1,MATCH(COLUMNS($AM$1006:AZ1006),$AM$1006:$BM$1006,0))&gt;=100000), " ",IF(INDEX($AM$2:$BM$1001,MATCH(ROWS($AF$2:AF984),$AF$2:$AF$1001,0),MATCH(COLUMNS($AM$1006:AZ1006),$AM$1006:$BM$1006,0)), HYPERLINK("#",""), HYPERLINK(CONCATENATE("#metadata!", ADDRESS(INDEX($AH$2:$AH$1001,MATCH(ROWS($AF$2:AF984),$AF$2:$AF$1001,0),0), INDEX($AM$1004:$BM$1004,1,MATCH(COLUMNS($AM$1006:AZ1006),$AM$1006:$BM$1006,0)))),"Fix")))</f>
        <v xml:space="preserve"> </v>
      </c>
      <c r="P984" s="4" t="str">
        <f ca="1">IF(OR(INDEX($AG$2:$AG$1001,MATCH(ROWS($AF$2:AF984),$AF$2:$AF$1001,0),1)&gt;=100000,INDEX($AM$1005:$BM$1005,1,MATCH(COLUMNS($AM$1006:BA1006),$AM$1006:$BM$1006,0))&gt;=100000), " ",IF(INDEX($AM$2:$BM$1001,MATCH(ROWS($AF$2:AF984),$AF$2:$AF$1001,0),MATCH(COLUMNS($AM$1006:BA1006),$AM$1006:$BM$1006,0)), HYPERLINK("#",""), HYPERLINK(CONCATENATE("#metadata!", ADDRESS(INDEX($AH$2:$AH$1001,MATCH(ROWS($AF$2:AF984),$AF$2:$AF$1001,0),0), INDEX($AM$1004:$BM$1004,1,MATCH(COLUMNS($AM$1006:BA1006),$AM$1006:$BM$1006,0)))),"Fix")))</f>
        <v xml:space="preserve"> </v>
      </c>
      <c r="Q984" s="4" t="str">
        <f ca="1">IF(OR(INDEX($AG$2:$AG$1001,MATCH(ROWS($AF$2:AF984),$AF$2:$AF$1001,0),1)&gt;=100000,INDEX($AM$1005:$BM$1005,1,MATCH(COLUMNS($AM$1006:BB1006),$AM$1006:$BM$1006,0))&gt;=100000), " ",IF(INDEX($AM$2:$BM$1001,MATCH(ROWS($AF$2:AF984),$AF$2:$AF$1001,0),MATCH(COLUMNS($AM$1006:BB1006),$AM$1006:$BM$1006,0)), HYPERLINK("#",""), HYPERLINK(CONCATENATE("#metadata!", ADDRESS(INDEX($AH$2:$AH$1001,MATCH(ROWS($AF$2:AF984),$AF$2:$AF$1001,0),0), INDEX($AM$1004:$BM$1004,1,MATCH(COLUMNS($AM$1006:BB1006),$AM$1006:$BM$1006,0)))),"Fix")))</f>
        <v xml:space="preserve"> </v>
      </c>
      <c r="R984" s="4" t="str">
        <f ca="1">IF(OR(INDEX($AG$2:$AG$1001,MATCH(ROWS($AF$2:AF984),$AF$2:$AF$1001,0),1)&gt;=100000,INDEX($AM$1005:$BM$1005,1,MATCH(COLUMNS($AM$1006:BC1006),$AM$1006:$BM$1006,0))&gt;=100000), " ",IF(INDEX($AM$2:$BM$1001,MATCH(ROWS($AF$2:AF984),$AF$2:$AF$1001,0),MATCH(COLUMNS($AM$1006:BC1006),$AM$1006:$BM$1006,0)), HYPERLINK("#",""), HYPERLINK(CONCATENATE("#metadata!", ADDRESS(INDEX($AH$2:$AH$1001,MATCH(ROWS($AF$2:AF984),$AF$2:$AF$1001,0),0), INDEX($AM$1004:$BM$1004,1,MATCH(COLUMNS($AM$1006:BC1006),$AM$1006:$BM$1006,0)))),"Fix")))</f>
        <v xml:space="preserve"> </v>
      </c>
      <c r="S984" s="4" t="str">
        <f ca="1">IF(OR(INDEX($AG$2:$AG$1001,MATCH(ROWS($AF$2:AF984),$AF$2:$AF$1001,0),1)&gt;=100000,INDEX($AM$1005:$BM$1005,1,MATCH(COLUMNS($AM$1006:BD1006),$AM$1006:$BM$1006,0))&gt;=100000), " ",IF(INDEX($AM$2:$BM$1001,MATCH(ROWS($AF$2:AF984),$AF$2:$AF$1001,0),MATCH(COLUMNS($AM$1006:BD1006),$AM$1006:$BM$1006,0)), HYPERLINK("#",""), HYPERLINK(CONCATENATE("#metadata!", ADDRESS(INDEX($AH$2:$AH$1001,MATCH(ROWS($AF$2:AF984),$AF$2:$AF$1001,0),0), INDEX($AM$1004:$BM$1004,1,MATCH(COLUMNS($AM$1006:BD1006),$AM$1006:$BM$1006,0)))),"Fix")))</f>
        <v xml:space="preserve"> </v>
      </c>
      <c r="T984" s="4" t="str">
        <f ca="1">IF(OR(INDEX($AG$2:$AG$1001,MATCH(ROWS($AF$2:AF984),$AF$2:$AF$1001,0),1)&gt;=100000,INDEX($AM$1005:$BM$1005,1,MATCH(COLUMNS($AM$1006:BE1006),$AM$1006:$BM$1006,0))&gt;=100000), " ",IF(INDEX($AM$2:$BM$1001,MATCH(ROWS($AF$2:AF984),$AF$2:$AF$1001,0),MATCH(COLUMNS($AM$1006:BE1006),$AM$1006:$BM$1006,0)), HYPERLINK("#",""), HYPERLINK(CONCATENATE("#metadata!", ADDRESS(INDEX($AH$2:$AH$1001,MATCH(ROWS($AF$2:AF984),$AF$2:$AF$1001,0),0), INDEX($AM$1004:$BM$1004,1,MATCH(COLUMNS($AM$1006:BE1006),$AM$1006:$BM$1006,0)))),"Fix")))</f>
        <v xml:space="preserve"> </v>
      </c>
      <c r="U984" s="4" t="str">
        <f ca="1">IF(OR(INDEX($AG$2:$AG$1001,MATCH(ROWS($AF$2:AF984),$AF$2:$AF$1001,0),1)&gt;=100000,INDEX($AM$1005:$BM$1005,1,MATCH(COLUMNS($AM$1006:BF1006),$AM$1006:$BM$1006,0))&gt;=100000), " ",IF(INDEX($AM$2:$BM$1001,MATCH(ROWS($AF$2:AF984),$AF$2:$AF$1001,0),MATCH(COLUMNS($AM$1006:BF1006),$AM$1006:$BM$1006,0)), HYPERLINK("#",""), HYPERLINK(CONCATENATE("#metadata!", ADDRESS(INDEX($AH$2:$AH$1001,MATCH(ROWS($AF$2:AF984),$AF$2:$AF$1001,0),0), INDEX($AM$1004:$BM$1004,1,MATCH(COLUMNS($AM$1006:BF1006),$AM$1006:$BM$1006,0)))),"Fix")))</f>
        <v xml:space="preserve"> </v>
      </c>
      <c r="V984" s="4" t="str">
        <f ca="1">IF(OR(INDEX($AG$2:$AG$1001,MATCH(ROWS($AF$2:AF984),$AF$2:$AF$1001,0),1)&gt;=100000,INDEX($AM$1005:$BM$1005,1,MATCH(COLUMNS($AM$1006:BG1006),$AM$1006:$BM$1006,0))&gt;=100000), " ",IF(INDEX($AM$2:$BM$1001,MATCH(ROWS($AF$2:AF984),$AF$2:$AF$1001,0),MATCH(COLUMNS($AM$1006:BG1006),$AM$1006:$BM$1006,0)), HYPERLINK("#",""), HYPERLINK(CONCATENATE("#metadata!", ADDRESS(INDEX($AH$2:$AH$1001,MATCH(ROWS($AF$2:AF984),$AF$2:$AF$1001,0),0), INDEX($AM$1004:$BM$1004,1,MATCH(COLUMNS($AM$1006:BG1006),$AM$1006:$BM$1006,0)))),"Fix")))</f>
        <v xml:space="preserve"> </v>
      </c>
      <c r="W984" s="4" t="str">
        <f ca="1">IF(OR(INDEX($AG$2:$AG$1001,MATCH(ROWS($AF$2:AF984),$AF$2:$AF$1001,0),1)&gt;=100000,INDEX($AM$1005:$BM$1005,1,MATCH(COLUMNS($AM$1006:BH1006),$AM$1006:$BM$1006,0))&gt;=100000), " ",IF(INDEX($AM$2:$BM$1001,MATCH(ROWS($AF$2:AF984),$AF$2:$AF$1001,0),MATCH(COLUMNS($AM$1006:BH1006),$AM$1006:$BM$1006,0)), HYPERLINK("#",""), HYPERLINK(CONCATENATE("#metadata!", ADDRESS(INDEX($AH$2:$AH$1001,MATCH(ROWS($AF$2:AF984),$AF$2:$AF$1001,0),0), INDEX($AM$1004:$BM$1004,1,MATCH(COLUMNS($AM$1006:BH1006),$AM$1006:$BM$1006,0)))),"Fix")))</f>
        <v xml:space="preserve"> </v>
      </c>
      <c r="X984" s="4" t="str">
        <f ca="1">IF(OR(INDEX($AG$2:$AG$1001,MATCH(ROWS($AF$2:AF984),$AF$2:$AF$1001,0),1)&gt;=100000,INDEX($AM$1005:$BM$1005,1,MATCH(COLUMNS($AM$1006:BI1006),$AM$1006:$BM$1006,0))&gt;=100000), " ",IF(INDEX($AM$2:$BM$1001,MATCH(ROWS($AF$2:AF984),$AF$2:$AF$1001,0),MATCH(COLUMNS($AM$1006:BI1006),$AM$1006:$BM$1006,0)), HYPERLINK("#",""), HYPERLINK(CONCATENATE("#metadata!", ADDRESS(INDEX($AH$2:$AH$1001,MATCH(ROWS($AF$2:AF984),$AF$2:$AF$1001,0),0), INDEX($AM$1004:$BM$1004,1,MATCH(COLUMNS($AM$1006:BI1006),$AM$1006:$BM$1006,0)))),"Fix")))</f>
        <v xml:space="preserve"> </v>
      </c>
      <c r="Y984" s="4" t="str">
        <f ca="1">IF(OR(INDEX($AG$2:$AG$1001,MATCH(ROWS($AF$2:AF984),$AF$2:$AF$1001,0),1)&gt;=100000,INDEX($AM$1005:$BM$1005,1,MATCH(COLUMNS($AM$1006:BJ1006),$AM$1006:$BM$1006,0))&gt;=100000), " ",IF(INDEX($AM$2:$BM$1001,MATCH(ROWS($AF$2:AF984),$AF$2:$AF$1001,0),MATCH(COLUMNS($AM$1006:BJ1006),$AM$1006:$BM$1006,0)), HYPERLINK("#",""), HYPERLINK(CONCATENATE("#metadata!", ADDRESS(INDEX($AH$2:$AH$1001,MATCH(ROWS($AF$2:AF984),$AF$2:$AF$1001,0),0), INDEX($AM$1004:$BM$1004,1,MATCH(COLUMNS($AM$1006:BJ1006),$AM$1006:$BM$1006,0)))),"Fix")))</f>
        <v xml:space="preserve"> </v>
      </c>
      <c r="Z984" s="4" t="str">
        <f ca="1">IF(OR(INDEX($AG$2:$AG$1001,MATCH(ROWS($AF$2:AF984),$AF$2:$AF$1001,0),1)&gt;=100000,INDEX($AM$1005:$BM$1005,1,MATCH(COLUMNS($AM$1006:BK1006),$AM$1006:$BM$1006,0))&gt;=100000), " ",IF(INDEX($AM$2:$BM$1001,MATCH(ROWS($AF$2:AF984),$AF$2:$AF$1001,0),MATCH(COLUMNS($AM$1006:BK1006),$AM$1006:$BM$1006,0)), HYPERLINK("#",""), HYPERLINK(CONCATENATE("#metadata!", ADDRESS(INDEX($AH$2:$AH$1001,MATCH(ROWS($AF$2:AF984),$AF$2:$AF$1001,0),0), INDEX($AM$1004:$BM$1004,1,MATCH(COLUMNS($AM$1006:BK1006),$AM$1006:$BM$1006,0)))),"Fix")))</f>
        <v xml:space="preserve"> </v>
      </c>
      <c r="AA984" s="4" t="str">
        <f ca="1">IF(OR(INDEX($AG$2:$AG$1001,MATCH(ROWS($AF$2:AF984),$AF$2:$AF$1001,0),1)&gt;=100000,INDEX($AM$1005:$BM$1005,1,MATCH(COLUMNS($AM$1006:BL1006),$AM$1006:$BM$1006,0))&gt;=100000), " ",IF(INDEX($AM$2:$BM$1001,MATCH(ROWS($AF$2:AF984),$AF$2:$AF$1001,0),MATCH(COLUMNS($AM$1006:BL1006),$AM$1006:$BM$1006,0)), HYPERLINK("#",""), HYPERLINK(CONCATENATE("#metadata!", ADDRESS(INDEX($AH$2:$AH$1001,MATCH(ROWS($AF$2:AF984),$AF$2:$AF$1001,0),0), INDEX($AM$1004:$BM$1004,1,MATCH(COLUMNS($AM$1006:BL1006),$AM$1006:$BM$1006,0)))),"Fix")))</f>
        <v xml:space="preserve"> </v>
      </c>
      <c r="AB984" s="4" t="str">
        <f ca="1">IF(OR(INDEX($AG$2:$AG$1001,MATCH(ROWS($AF$2:AF984),$AF$2:$AF$1001,0),1)&gt;=100000,INDEX($AM$1005:$BM$1005,1,MATCH(COLUMNS($AM$1006:BM1006),$AM$1006:$BM$1006,0))&gt;=100000), " ",IF(INDEX($AM$2:$BM$1001,MATCH(ROWS($AF$2:AF984),$AF$2:$AF$1001,0),MATCH(COLUMNS($AM$1006:BM1006),$AM$1006:$BM$1006,0)), HYPERLINK("#",""), HYPERLINK(CONCATENATE("#metadata!", ADDRESS(INDEX($AH$2:$AH$1001,MATCH(ROWS($AF$2:AF984),$AF$2:$AF$1001,0),0), INDEX($AM$1004:$BM$1004,1,MATCH(COLUMNS($AM$1006:BM1006),$AM$1006:$BM$1006,0)))),"Fix")))</f>
        <v xml:space="preserve"> </v>
      </c>
      <c r="AF984">
        <v>983</v>
      </c>
      <c r="AG984">
        <v>100984</v>
      </c>
      <c r="AH984">
        <v>984</v>
      </c>
      <c r="AI984" t="b">
        <f t="shared" si="15"/>
        <v>1</v>
      </c>
      <c r="AJ984" t="b">
        <f>COUNTBLANK(metadata!B984:AB984)=COLUMNS(metadata!B984:AB984)</f>
        <v>1</v>
      </c>
      <c r="AK984" t="str">
        <v/>
      </c>
      <c r="AM984" t="b">
        <f ca="1">AND(IF(metadata!B984="",FALSE,TRUE),COUNTIF(metadata!B:B, metadata!B984) = 1,NOT(ISERROR(SUMPRODUCT(SEARCH(MID(metadata!B984,ROW(INDIRECT("1:"&amp;LEN(metadata!B984))), 1),"0123456789abcdefghijklmnopqrstuvwxyzABCDEFGHIJKLMNOPQRSTUVWXYZ.")))))</f>
        <v>0</v>
      </c>
      <c r="AN984" t="b">
        <f ca="1">OR(AND(IF(metadata!C984="",FALSE,TRUE),OR(EXACT(metadata!C984,"missing: not collected"),EXACT(metadata!C984,"missing: not provided"),EXACT(metadata!C984,"missing: restricted access"))),AND(IF(metadata!C984="",FALSE,TRUE),AND(AND(IFERROR(INT(LEFT(metadata!C984,4))&gt;1900,FALSE),IFERROR(INT(LEFT(metadata!C984,4))&lt;=YEAR(NOW()),FALSE)), OR(MID(metadata!C984,5,1)="", AND(AND(MID(metadata!C984,5,1)="-",IFERROR(INT(MID(metadata!C984,6,1))&gt;=0,FALSE),IFERROR(INT(MID(metadata!C984,6,1))&lt;=1,FALSE),NOT(MID(metadata!C984,7,1)=""),IFERROR(INT(MID(metadata!C984,6,2))&gt;=1,FALSE),IFERROR(INT(MID(metadata!C984,6,2))&lt;=12,FALSE)), OR(MID(metadata!C984,8,1)="", AND(AND(MID(metadata!C984,8,1)="-",IFERROR(INT(MID(metadata!C984,9,1))&gt;=0,FALSE),IFERROR(INT(MID(metadata!C984,9,1))&lt;=3,FALSE),NOT(MID(metadata!C984,10,1)=""),IFERROR(INT(MID(metadata!C984,9,2))&gt;=1,FALSE),IFERROR(INT(MID(metadata!C984,9,2))&lt;=31,FALSE)), OR(MID(metadata!C984,11,1)="", AND(AND(MID(metadata!C984,11,1)=" ",IFERROR(INT(MID(metadata!C984,12,1))&gt;=0,FALSE),IFERROR(INT(MID(metadata!C984,12,1))&lt;=2,FALSE),NOT(MID(metadata!C984,13,1)=""),IFERROR(INT(MID(metadata!C984,12,2))&gt;=0,FALSE),IFERROR(INT(MID(metadata!C984,12,2))&lt;=23,FALSE)), OR(MID(metadata!C984,14,1)="", AND(AND(MID(metadata!C984,14,1)=":",IFERROR(INT(MID(metadata!C984,15,1))&gt;=0,FALSE),IFERROR(INT(MID(metadata!C984,15,1))&lt;=5,FALSE),NOT(MID(metadata!C984,16,1)=""),IFERROR(INT(MID(metadata!C984,15,2))&gt;=0,FALSE),IFERROR(INT(MID(metadata!C984,15,2))&lt;=59,FALSE)), OR(MID(metadata!C984,17,1)="", AND(AND(MID(metadata!C984,17,1)=":",IFERROR(INT(MID(metadata!C984,18,1))&gt;=0,FALSE),IFERROR(INT(MID(metadata!C984,18,1))&lt;=5,FALSE),NOT(MID(metadata!C984,19,1)=""),IFERROR(INT(MID(metadata!C984,18,2))&gt;=0,FALSE),IFERROR(INT(MID(metadata!C984,18,2))&lt;=59,FALSE)), LEN(metadata!C984)&lt;=19)))))))))))))</f>
        <v>0</v>
      </c>
      <c r="AO984" t="b">
        <f>AND(IF(metadata!D984="",FALSE,TRUE),EXACT(metadata!D984,"Not applicable"))</f>
        <v>0</v>
      </c>
      <c r="AP984" t="b">
        <f>IF(metadata!E984="",FALSE,TRUE)</f>
        <v>0</v>
      </c>
      <c r="AQ984" t="b">
        <f>OR(AND(IF(metadata!F984="",FALSE,TRUE),OR(EXACT(metadata!F984,"missing: not collected"),EXACT(metadata!F984,"missing: not provided"))),AND(IF(metadata!F984="",FALSE,TRUE),OR(EXACT(metadata!F984,"TRUE"),EXACT(metadata!F984,"FALSE"))))</f>
        <v>0</v>
      </c>
      <c r="AR984" t="b">
        <f>OR(AND(IF(metadata!G984="",FALSE,TRUE),OR(EXACT(metadata!G984,"missing: not collected"),EXACT(metadata!G984,"missing: not provided"),EXACT(metadata!G984,"missing: restricted access"))),AND(IF(metadata!G984="",FALSE,ISNUMBER(VALUE(metadata!G984))),metadata!G984&gt;=-413))</f>
        <v>0</v>
      </c>
      <c r="AS984" t="b">
        <f>AND(IF(metadata!H984="",FALSE,TRUE),EXACT(metadata!H984,"meters"))</f>
        <v>0</v>
      </c>
      <c r="AT984" t="b">
        <f>AND(IF(metadata!I984="",FALSE,TRUE),OR(EXACT(metadata!I984,"Host-associated"),EXACT(metadata!I984,"Free-living")))</f>
        <v>0</v>
      </c>
      <c r="AU984" t="b">
        <f>AND(IF(metadata!J984="",FALSE,TRUE),OR(EXACT(metadata!J984,"Animal"),EXACT(metadata!J984,"Fungus"),EXACT(metadata!J984,"Plant"),EXACT(metadata!J984,"Saline"),EXACT(metadata!J984,"Non-saline")))</f>
        <v>0</v>
      </c>
      <c r="AV984" t="b">
        <f>AND(IF(metadata!K984="",FALSE,TRUE),OR(EXACT(metadata!K984,"Plant secretion"),EXACT(metadata!K984,"Plant rhizosphere"),EXACT(metadata!K984,"Plant surface"),EXACT(metadata!K984,"Plant corpus"),EXACT(metadata!K984,"Fungus surface"),EXACT(metadata!K984,"Fungus corpus"),EXACT(metadata!K984,"Animal surface"),EXACT(metadata!K984,"Animal proximal gut"),EXACT(metadata!K984,"Animal corpus"),EXACT(metadata!K984,"Animal distal gut"),EXACT(metadata!K984,"Animal secretion"),EXACT(metadata!K984,"Sub-surface (non-saline)"),EXACT(metadata!K984,"Surface (non-saline)"),EXACT(metadata!K984,"Water (non-saline)"),EXACT(metadata!K984,"Soil (non-saline)"),EXACT(metadata!K984,"Aerosol (non-saline)"),EXACT(metadata!K984,"Sediment (non-saline)"),EXACT(metadata!K984,"Surface (saline)"),EXACT(metadata!K984,"Water (saline)"),EXACT(metadata!K984,"Hypersaline (saline)"),EXACT(metadata!K984,"Aerosol (saline)"),EXACT(metadata!K984,"Sediment (saline)")))</f>
        <v>0</v>
      </c>
      <c r="AW984" t="b">
        <f>IF(metadata!L984="",FALSE,TRUE)</f>
        <v>0</v>
      </c>
      <c r="AX984" t="b">
        <f>IF(metadata!M984="",FALSE,TRUE)</f>
        <v>0</v>
      </c>
      <c r="AY984" t="b">
        <f>IF(metadata!N984="",FALSE,TRUE)</f>
        <v>0</v>
      </c>
      <c r="AZ984" t="b">
        <f>OR(AND(IF(metadata!O984="",FALSE,TRUE),OR(EXACT(metadata!O984,"missing: not collected"),EXACT(metadata!O984,"missing: not provided"),EXACT(metadata!O984,"missing: restricted access"))),AND(IF(metadata!O984="",FALSE,TRUE),OR(EXACT(metadata!O984,"air"),EXACT(metadata!O984,"built environment"),EXACT(metadata!O984,"host-associated"),EXACT(metadata!O984,"human-associated"),EXACT(metadata!O984,"human-skin"),EXACT(metadata!O984,"human-oral"),EXACT(metadata!O984,"human-gut"),EXACT(metadata!O984,"human-vaginal"),EXACT(metadata!O984,"microbial mat/biofilm"),EXACT(metadata!O984,"misc environment"),EXACT(metadata!O984,"plant-associated"),EXACT(metadata!O984,"sediment"),EXACT(metadata!O984,"soil"),EXACT(metadata!O984,"wastewater/sludge"),EXACT(metadata!O984,"water"))))</f>
        <v>0</v>
      </c>
      <c r="BA984" t="b">
        <f>IF(metadata!P984="",FALSE,TRUE)</f>
        <v>0</v>
      </c>
      <c r="BB984" t="b">
        <f>IF(metadata!Q984="",FALSE,TRUE)</f>
        <v>0</v>
      </c>
      <c r="BC984" t="b">
        <f>OR(AND(IF(metadata!R984="",FALSE,TRUE),OR(EXACT(metadata!R984,"missing: not collected"),EXACT(metadata!R984,"missing: not provided"),EXACT(metadata!R984,"missing: restricted access"))),AND(IF(metadata!R984="",FALSE,ISNUMBER(VALUE(metadata!R984))),metadata!R984&gt;=-90,metadata!R984&lt;=90))</f>
        <v>0</v>
      </c>
      <c r="BD984" t="b">
        <f>AND(IF(metadata!S984="",FALSE,TRUE),EXACT(metadata!S984,"Decimal degrees"))</f>
        <v>0</v>
      </c>
      <c r="BE984" t="b">
        <f>OR(AND(IF(metadata!T984="",FALSE,TRUE),OR(EXACT(metadata!T984,"missing: not collected"),EXACT(metadata!T984,"missing: not provided"),EXACT(metadata!T984,"missing: restricted access"))),AND(IF(metadata!T984="",FALSE,ISNUMBER(VALUE(metadata!T984))),metadata!T984&gt;=-180,metadata!T984&lt;=180))</f>
        <v>0</v>
      </c>
      <c r="BF984" t="b">
        <f>AND(IF(metadata!U984="",FALSE,TRUE),EXACT(metadata!U984,"Decimal degrees"))</f>
        <v>0</v>
      </c>
      <c r="BG984" t="b">
        <f>IF(metadata!V984="",FALSE,TRUE)</f>
        <v>0</v>
      </c>
      <c r="BH984" t="b">
        <f>OR(AND(IF(metadata!W984="",FALSE,TRUE),OR(EXACT(metadata!W984,"missing: not collected"),EXACT(metadata!W984,"missing: not provided"),EXACT(metadata!W984,"missing: restricted access"))),AND(IF(metadata!W984="",FALSE,TRUE),OR(EXACT(metadata!W984,"TRUE"),EXACT(metadata!W984,"FALSE"))))</f>
        <v>0</v>
      </c>
      <c r="BI984" t="b">
        <f>AND(IF(metadata!X984="",FALSE,TRUE),EXACT(metadata!X984,"other"))</f>
        <v>0</v>
      </c>
      <c r="BJ984" t="b">
        <f>IF(metadata!Y984="",FALSE,TRUE)</f>
        <v>0</v>
      </c>
      <c r="BK984" t="b">
        <f>OR(AND(IF(metadata!Z984="",FALSE,TRUE),OR(EXACT(metadata!Z984,"missing: not collected"),EXACT(metadata!Z984,"missing: not provided"))),AND(IF(metadata!Z984="",FALSE,IF(ISERROR(INT(metadata!Z984)),FALSE,INT(metadata!Z984)=metadata!Z984)),metadata!Z984&gt;0))</f>
        <v>0</v>
      </c>
      <c r="BL984" t="b">
        <f>AND(IF(metadata!AA984="",FALSE,TRUE),EXACT(metadata!AA984,"Not applicable"))</f>
        <v>0</v>
      </c>
      <c r="BM984" t="b">
        <f>IF(metadata!AB984="",FALSE,TRUE)</f>
        <v>0</v>
      </c>
    </row>
    <row r="985" spans="1:65" x14ac:dyDescent="0.2">
      <c r="A985" s="5" t="str">
        <f ca="1">IF(B985=" "," ",HYPERLINK(CONCATENATE("#metadata!",ADDRESS(INDEX($AH$2:$AH$1001,MATCH(ROWS($AF$2:AF985),$AF$2:$AF$1001,0),0),1)),INDEX($AK$2:$AK$1001,MATCH(ROWS($AF$2:AF985),$AF$2:$AF$1001,0),0)))</f>
        <v xml:space="preserve"> </v>
      </c>
      <c r="B985" s="4" t="str">
        <f ca="1">IF(OR(INDEX($AG$2:$AG$1001,MATCH(ROWS($AF$2:AF985),$AF$2:$AF$1001,0),1)&gt;=100000,INDEX($AM$1005:$BM$1005,1,MATCH(COLUMNS($AM$1006:AM1006),$AM$1006:$BM$1006,0))&gt;=100000), " ",IF(INDEX($AM$2:$BM$1001,MATCH(ROWS($AF$2:AF985),$AF$2:$AF$1001,0),MATCH(COLUMNS($AM$1006:AM1006),$AM$1006:$BM$1006,0)), HYPERLINK("#",""), HYPERLINK(CONCATENATE("#metadata!", ADDRESS(INDEX($AH$2:$AH$1001,MATCH(ROWS($AF$2:AF985),$AF$2:$AF$1001,0),0), INDEX($AM$1004:$BM$1004,1,MATCH(COLUMNS($AM$1006:AM1006),$AM$1006:$BM$1006,0)))),"Fix")))</f>
        <v xml:space="preserve"> </v>
      </c>
      <c r="C985" s="4" t="str">
        <f ca="1">IF(OR(INDEX($AG$2:$AG$1001,MATCH(ROWS($AF$2:AF985),$AF$2:$AF$1001,0),1)&gt;=100000,INDEX($AM$1005:$BM$1005,1,MATCH(COLUMNS($AM$1006:AN1006),$AM$1006:$BM$1006,0))&gt;=100000), " ",IF(INDEX($AM$2:$BM$1001,MATCH(ROWS($AF$2:AF985),$AF$2:$AF$1001,0),MATCH(COLUMNS($AM$1006:AN1006),$AM$1006:$BM$1006,0)), HYPERLINK("#",""), HYPERLINK(CONCATENATE("#metadata!", ADDRESS(INDEX($AH$2:$AH$1001,MATCH(ROWS($AF$2:AF985),$AF$2:$AF$1001,0),0), INDEX($AM$1004:$BM$1004,1,MATCH(COLUMNS($AM$1006:AN1006),$AM$1006:$BM$1006,0)))),"Fix")))</f>
        <v xml:space="preserve"> </v>
      </c>
      <c r="D985" s="4" t="str">
        <f ca="1">IF(OR(INDEX($AG$2:$AG$1001,MATCH(ROWS($AF$2:AF985),$AF$2:$AF$1001,0),1)&gt;=100000,INDEX($AM$1005:$BM$1005,1,MATCH(COLUMNS($AM$1006:AO1006),$AM$1006:$BM$1006,0))&gt;=100000), " ",IF(INDEX($AM$2:$BM$1001,MATCH(ROWS($AF$2:AF985),$AF$2:$AF$1001,0),MATCH(COLUMNS($AM$1006:AO1006),$AM$1006:$BM$1006,0)), HYPERLINK("#",""), HYPERLINK(CONCATENATE("#metadata!", ADDRESS(INDEX($AH$2:$AH$1001,MATCH(ROWS($AF$2:AF985),$AF$2:$AF$1001,0),0), INDEX($AM$1004:$BM$1004,1,MATCH(COLUMNS($AM$1006:AO1006),$AM$1006:$BM$1006,0)))),"Fix")))</f>
        <v xml:space="preserve"> </v>
      </c>
      <c r="E985" s="4" t="str">
        <f ca="1">IF(OR(INDEX($AG$2:$AG$1001,MATCH(ROWS($AF$2:AF985),$AF$2:$AF$1001,0),1)&gt;=100000,INDEX($AM$1005:$BM$1005,1,MATCH(COLUMNS($AM$1006:AP1006),$AM$1006:$BM$1006,0))&gt;=100000), " ",IF(INDEX($AM$2:$BM$1001,MATCH(ROWS($AF$2:AF985),$AF$2:$AF$1001,0),MATCH(COLUMNS($AM$1006:AP1006),$AM$1006:$BM$1006,0)), HYPERLINK("#",""), HYPERLINK(CONCATENATE("#metadata!", ADDRESS(INDEX($AH$2:$AH$1001,MATCH(ROWS($AF$2:AF985),$AF$2:$AF$1001,0),0), INDEX($AM$1004:$BM$1004,1,MATCH(COLUMNS($AM$1006:AP1006),$AM$1006:$BM$1006,0)))),"Fix")))</f>
        <v xml:space="preserve"> </v>
      </c>
      <c r="F985" s="4" t="str">
        <f ca="1">IF(OR(INDEX($AG$2:$AG$1001,MATCH(ROWS($AF$2:AF985),$AF$2:$AF$1001,0),1)&gt;=100000,INDEX($AM$1005:$BM$1005,1,MATCH(COLUMNS($AM$1006:AQ1006),$AM$1006:$BM$1006,0))&gt;=100000), " ",IF(INDEX($AM$2:$BM$1001,MATCH(ROWS($AF$2:AF985),$AF$2:$AF$1001,0),MATCH(COLUMNS($AM$1006:AQ1006),$AM$1006:$BM$1006,0)), HYPERLINK("#",""), HYPERLINK(CONCATENATE("#metadata!", ADDRESS(INDEX($AH$2:$AH$1001,MATCH(ROWS($AF$2:AF985),$AF$2:$AF$1001,0),0), INDEX($AM$1004:$BM$1004,1,MATCH(COLUMNS($AM$1006:AQ1006),$AM$1006:$BM$1006,0)))),"Fix")))</f>
        <v xml:space="preserve"> </v>
      </c>
      <c r="G985" s="4" t="str">
        <f ca="1">IF(OR(INDEX($AG$2:$AG$1001,MATCH(ROWS($AF$2:AF985),$AF$2:$AF$1001,0),1)&gt;=100000,INDEX($AM$1005:$BM$1005,1,MATCH(COLUMNS($AM$1006:AR1006),$AM$1006:$BM$1006,0))&gt;=100000), " ",IF(INDEX($AM$2:$BM$1001,MATCH(ROWS($AF$2:AF985),$AF$2:$AF$1001,0),MATCH(COLUMNS($AM$1006:AR1006),$AM$1006:$BM$1006,0)), HYPERLINK("#",""), HYPERLINK(CONCATENATE("#metadata!", ADDRESS(INDEX($AH$2:$AH$1001,MATCH(ROWS($AF$2:AF985),$AF$2:$AF$1001,0),0), INDEX($AM$1004:$BM$1004,1,MATCH(COLUMNS($AM$1006:AR1006),$AM$1006:$BM$1006,0)))),"Fix")))</f>
        <v xml:space="preserve"> </v>
      </c>
      <c r="H985" s="4" t="str">
        <f ca="1">IF(OR(INDEX($AG$2:$AG$1001,MATCH(ROWS($AF$2:AF985),$AF$2:$AF$1001,0),1)&gt;=100000,INDEX($AM$1005:$BM$1005,1,MATCH(COLUMNS($AM$1006:AS1006),$AM$1006:$BM$1006,0))&gt;=100000), " ",IF(INDEX($AM$2:$BM$1001,MATCH(ROWS($AF$2:AF985),$AF$2:$AF$1001,0),MATCH(COLUMNS($AM$1006:AS1006),$AM$1006:$BM$1006,0)), HYPERLINK("#",""), HYPERLINK(CONCATENATE("#metadata!", ADDRESS(INDEX($AH$2:$AH$1001,MATCH(ROWS($AF$2:AF985),$AF$2:$AF$1001,0),0), INDEX($AM$1004:$BM$1004,1,MATCH(COLUMNS($AM$1006:AS1006),$AM$1006:$BM$1006,0)))),"Fix")))</f>
        <v xml:space="preserve"> </v>
      </c>
      <c r="I985" s="4" t="str">
        <f ca="1">IF(OR(INDEX($AG$2:$AG$1001,MATCH(ROWS($AF$2:AF985),$AF$2:$AF$1001,0),1)&gt;=100000,INDEX($AM$1005:$BM$1005,1,MATCH(COLUMNS($AM$1006:AT1006),$AM$1006:$BM$1006,0))&gt;=100000), " ",IF(INDEX($AM$2:$BM$1001,MATCH(ROWS($AF$2:AF985),$AF$2:$AF$1001,0),MATCH(COLUMNS($AM$1006:AT1006),$AM$1006:$BM$1006,0)), HYPERLINK("#",""), HYPERLINK(CONCATENATE("#metadata!", ADDRESS(INDEX($AH$2:$AH$1001,MATCH(ROWS($AF$2:AF985),$AF$2:$AF$1001,0),0), INDEX($AM$1004:$BM$1004,1,MATCH(COLUMNS($AM$1006:AT1006),$AM$1006:$BM$1006,0)))),"Fix")))</f>
        <v xml:space="preserve"> </v>
      </c>
      <c r="J985" s="4" t="str">
        <f ca="1">IF(OR(INDEX($AG$2:$AG$1001,MATCH(ROWS($AF$2:AF985),$AF$2:$AF$1001,0),1)&gt;=100000,INDEX($AM$1005:$BM$1005,1,MATCH(COLUMNS($AM$1006:AU1006),$AM$1006:$BM$1006,0))&gt;=100000), " ",IF(INDEX($AM$2:$BM$1001,MATCH(ROWS($AF$2:AF985),$AF$2:$AF$1001,0),MATCH(COLUMNS($AM$1006:AU1006),$AM$1006:$BM$1006,0)), HYPERLINK("#",""), HYPERLINK(CONCATENATE("#metadata!", ADDRESS(INDEX($AH$2:$AH$1001,MATCH(ROWS($AF$2:AF985),$AF$2:$AF$1001,0),0), INDEX($AM$1004:$BM$1004,1,MATCH(COLUMNS($AM$1006:AU1006),$AM$1006:$BM$1006,0)))),"Fix")))</f>
        <v xml:space="preserve"> </v>
      </c>
      <c r="K985" s="4" t="str">
        <f ca="1">IF(OR(INDEX($AG$2:$AG$1001,MATCH(ROWS($AF$2:AF985),$AF$2:$AF$1001,0),1)&gt;=100000,INDEX($AM$1005:$BM$1005,1,MATCH(COLUMNS($AM$1006:AV1006),$AM$1006:$BM$1006,0))&gt;=100000), " ",IF(INDEX($AM$2:$BM$1001,MATCH(ROWS($AF$2:AF985),$AF$2:$AF$1001,0),MATCH(COLUMNS($AM$1006:AV1006),$AM$1006:$BM$1006,0)), HYPERLINK("#",""), HYPERLINK(CONCATENATE("#metadata!", ADDRESS(INDEX($AH$2:$AH$1001,MATCH(ROWS($AF$2:AF985),$AF$2:$AF$1001,0),0), INDEX($AM$1004:$BM$1004,1,MATCH(COLUMNS($AM$1006:AV1006),$AM$1006:$BM$1006,0)))),"Fix")))</f>
        <v xml:space="preserve"> </v>
      </c>
      <c r="L985" s="4" t="str">
        <f ca="1">IF(OR(INDEX($AG$2:$AG$1001,MATCH(ROWS($AF$2:AF985),$AF$2:$AF$1001,0),1)&gt;=100000,INDEX($AM$1005:$BM$1005,1,MATCH(COLUMNS($AM$1006:AW1006),$AM$1006:$BM$1006,0))&gt;=100000), " ",IF(INDEX($AM$2:$BM$1001,MATCH(ROWS($AF$2:AF985),$AF$2:$AF$1001,0),MATCH(COLUMNS($AM$1006:AW1006),$AM$1006:$BM$1006,0)), HYPERLINK("#",""), HYPERLINK(CONCATENATE("#metadata!", ADDRESS(INDEX($AH$2:$AH$1001,MATCH(ROWS($AF$2:AF985),$AF$2:$AF$1001,0),0), INDEX($AM$1004:$BM$1004,1,MATCH(COLUMNS($AM$1006:AW1006),$AM$1006:$BM$1006,0)))),"Fix")))</f>
        <v xml:space="preserve"> </v>
      </c>
      <c r="M985" s="4" t="str">
        <f ca="1">IF(OR(INDEX($AG$2:$AG$1001,MATCH(ROWS($AF$2:AF985),$AF$2:$AF$1001,0),1)&gt;=100000,INDEX($AM$1005:$BM$1005,1,MATCH(COLUMNS($AM$1006:AX1006),$AM$1006:$BM$1006,0))&gt;=100000), " ",IF(INDEX($AM$2:$BM$1001,MATCH(ROWS($AF$2:AF985),$AF$2:$AF$1001,0),MATCH(COLUMNS($AM$1006:AX1006),$AM$1006:$BM$1006,0)), HYPERLINK("#",""), HYPERLINK(CONCATENATE("#metadata!", ADDRESS(INDEX($AH$2:$AH$1001,MATCH(ROWS($AF$2:AF985),$AF$2:$AF$1001,0),0), INDEX($AM$1004:$BM$1004,1,MATCH(COLUMNS($AM$1006:AX1006),$AM$1006:$BM$1006,0)))),"Fix")))</f>
        <v xml:space="preserve"> </v>
      </c>
      <c r="N985" s="4" t="str">
        <f ca="1">IF(OR(INDEX($AG$2:$AG$1001,MATCH(ROWS($AF$2:AF985),$AF$2:$AF$1001,0),1)&gt;=100000,INDEX($AM$1005:$BM$1005,1,MATCH(COLUMNS($AM$1006:AY1006),$AM$1006:$BM$1006,0))&gt;=100000), " ",IF(INDEX($AM$2:$BM$1001,MATCH(ROWS($AF$2:AF985),$AF$2:$AF$1001,0),MATCH(COLUMNS($AM$1006:AY1006),$AM$1006:$BM$1006,0)), HYPERLINK("#",""), HYPERLINK(CONCATENATE("#metadata!", ADDRESS(INDEX($AH$2:$AH$1001,MATCH(ROWS($AF$2:AF985),$AF$2:$AF$1001,0),0), INDEX($AM$1004:$BM$1004,1,MATCH(COLUMNS($AM$1006:AY1006),$AM$1006:$BM$1006,0)))),"Fix")))</f>
        <v xml:space="preserve"> </v>
      </c>
      <c r="O985" s="4" t="str">
        <f ca="1">IF(OR(INDEX($AG$2:$AG$1001,MATCH(ROWS($AF$2:AF985),$AF$2:$AF$1001,0),1)&gt;=100000,INDEX($AM$1005:$BM$1005,1,MATCH(COLUMNS($AM$1006:AZ1006),$AM$1006:$BM$1006,0))&gt;=100000), " ",IF(INDEX($AM$2:$BM$1001,MATCH(ROWS($AF$2:AF985),$AF$2:$AF$1001,0),MATCH(COLUMNS($AM$1006:AZ1006),$AM$1006:$BM$1006,0)), HYPERLINK("#",""), HYPERLINK(CONCATENATE("#metadata!", ADDRESS(INDEX($AH$2:$AH$1001,MATCH(ROWS($AF$2:AF985),$AF$2:$AF$1001,0),0), INDEX($AM$1004:$BM$1004,1,MATCH(COLUMNS($AM$1006:AZ1006),$AM$1006:$BM$1006,0)))),"Fix")))</f>
        <v xml:space="preserve"> </v>
      </c>
      <c r="P985" s="4" t="str">
        <f ca="1">IF(OR(INDEX($AG$2:$AG$1001,MATCH(ROWS($AF$2:AF985),$AF$2:$AF$1001,0),1)&gt;=100000,INDEX($AM$1005:$BM$1005,1,MATCH(COLUMNS($AM$1006:BA1006),$AM$1006:$BM$1006,0))&gt;=100000), " ",IF(INDEX($AM$2:$BM$1001,MATCH(ROWS($AF$2:AF985),$AF$2:$AF$1001,0),MATCH(COLUMNS($AM$1006:BA1006),$AM$1006:$BM$1006,0)), HYPERLINK("#",""), HYPERLINK(CONCATENATE("#metadata!", ADDRESS(INDEX($AH$2:$AH$1001,MATCH(ROWS($AF$2:AF985),$AF$2:$AF$1001,0),0), INDEX($AM$1004:$BM$1004,1,MATCH(COLUMNS($AM$1006:BA1006),$AM$1006:$BM$1006,0)))),"Fix")))</f>
        <v xml:space="preserve"> </v>
      </c>
      <c r="Q985" s="4" t="str">
        <f ca="1">IF(OR(INDEX($AG$2:$AG$1001,MATCH(ROWS($AF$2:AF985),$AF$2:$AF$1001,0),1)&gt;=100000,INDEX($AM$1005:$BM$1005,1,MATCH(COLUMNS($AM$1006:BB1006),$AM$1006:$BM$1006,0))&gt;=100000), " ",IF(INDEX($AM$2:$BM$1001,MATCH(ROWS($AF$2:AF985),$AF$2:$AF$1001,0),MATCH(COLUMNS($AM$1006:BB1006),$AM$1006:$BM$1006,0)), HYPERLINK("#",""), HYPERLINK(CONCATENATE("#metadata!", ADDRESS(INDEX($AH$2:$AH$1001,MATCH(ROWS($AF$2:AF985),$AF$2:$AF$1001,0),0), INDEX($AM$1004:$BM$1004,1,MATCH(COLUMNS($AM$1006:BB1006),$AM$1006:$BM$1006,0)))),"Fix")))</f>
        <v xml:space="preserve"> </v>
      </c>
      <c r="R985" s="4" t="str">
        <f ca="1">IF(OR(INDEX($AG$2:$AG$1001,MATCH(ROWS($AF$2:AF985),$AF$2:$AF$1001,0),1)&gt;=100000,INDEX($AM$1005:$BM$1005,1,MATCH(COLUMNS($AM$1006:BC1006),$AM$1006:$BM$1006,0))&gt;=100000), " ",IF(INDEX($AM$2:$BM$1001,MATCH(ROWS($AF$2:AF985),$AF$2:$AF$1001,0),MATCH(COLUMNS($AM$1006:BC1006),$AM$1006:$BM$1006,0)), HYPERLINK("#",""), HYPERLINK(CONCATENATE("#metadata!", ADDRESS(INDEX($AH$2:$AH$1001,MATCH(ROWS($AF$2:AF985),$AF$2:$AF$1001,0),0), INDEX($AM$1004:$BM$1004,1,MATCH(COLUMNS($AM$1006:BC1006),$AM$1006:$BM$1006,0)))),"Fix")))</f>
        <v xml:space="preserve"> </v>
      </c>
      <c r="S985" s="4" t="str">
        <f ca="1">IF(OR(INDEX($AG$2:$AG$1001,MATCH(ROWS($AF$2:AF985),$AF$2:$AF$1001,0),1)&gt;=100000,INDEX($AM$1005:$BM$1005,1,MATCH(COLUMNS($AM$1006:BD1006),$AM$1006:$BM$1006,0))&gt;=100000), " ",IF(INDEX($AM$2:$BM$1001,MATCH(ROWS($AF$2:AF985),$AF$2:$AF$1001,0),MATCH(COLUMNS($AM$1006:BD1006),$AM$1006:$BM$1006,0)), HYPERLINK("#",""), HYPERLINK(CONCATENATE("#metadata!", ADDRESS(INDEX($AH$2:$AH$1001,MATCH(ROWS($AF$2:AF985),$AF$2:$AF$1001,0),0), INDEX($AM$1004:$BM$1004,1,MATCH(COLUMNS($AM$1006:BD1006),$AM$1006:$BM$1006,0)))),"Fix")))</f>
        <v xml:space="preserve"> </v>
      </c>
      <c r="T985" s="4" t="str">
        <f ca="1">IF(OR(INDEX($AG$2:$AG$1001,MATCH(ROWS($AF$2:AF985),$AF$2:$AF$1001,0),1)&gt;=100000,INDEX($AM$1005:$BM$1005,1,MATCH(COLUMNS($AM$1006:BE1006),$AM$1006:$BM$1006,0))&gt;=100000), " ",IF(INDEX($AM$2:$BM$1001,MATCH(ROWS($AF$2:AF985),$AF$2:$AF$1001,0),MATCH(COLUMNS($AM$1006:BE1006),$AM$1006:$BM$1006,0)), HYPERLINK("#",""), HYPERLINK(CONCATENATE("#metadata!", ADDRESS(INDEX($AH$2:$AH$1001,MATCH(ROWS($AF$2:AF985),$AF$2:$AF$1001,0),0), INDEX($AM$1004:$BM$1004,1,MATCH(COLUMNS($AM$1006:BE1006),$AM$1006:$BM$1006,0)))),"Fix")))</f>
        <v xml:space="preserve"> </v>
      </c>
      <c r="U985" s="4" t="str">
        <f ca="1">IF(OR(INDEX($AG$2:$AG$1001,MATCH(ROWS($AF$2:AF985),$AF$2:$AF$1001,0),1)&gt;=100000,INDEX($AM$1005:$BM$1005,1,MATCH(COLUMNS($AM$1006:BF1006),$AM$1006:$BM$1006,0))&gt;=100000), " ",IF(INDEX($AM$2:$BM$1001,MATCH(ROWS($AF$2:AF985),$AF$2:$AF$1001,0),MATCH(COLUMNS($AM$1006:BF1006),$AM$1006:$BM$1006,0)), HYPERLINK("#",""), HYPERLINK(CONCATENATE("#metadata!", ADDRESS(INDEX($AH$2:$AH$1001,MATCH(ROWS($AF$2:AF985),$AF$2:$AF$1001,0),0), INDEX($AM$1004:$BM$1004,1,MATCH(COLUMNS($AM$1006:BF1006),$AM$1006:$BM$1006,0)))),"Fix")))</f>
        <v xml:space="preserve"> </v>
      </c>
      <c r="V985" s="4" t="str">
        <f ca="1">IF(OR(INDEX($AG$2:$AG$1001,MATCH(ROWS($AF$2:AF985),$AF$2:$AF$1001,0),1)&gt;=100000,INDEX($AM$1005:$BM$1005,1,MATCH(COLUMNS($AM$1006:BG1006),$AM$1006:$BM$1006,0))&gt;=100000), " ",IF(INDEX($AM$2:$BM$1001,MATCH(ROWS($AF$2:AF985),$AF$2:$AF$1001,0),MATCH(COLUMNS($AM$1006:BG1006),$AM$1006:$BM$1006,0)), HYPERLINK("#",""), HYPERLINK(CONCATENATE("#metadata!", ADDRESS(INDEX($AH$2:$AH$1001,MATCH(ROWS($AF$2:AF985),$AF$2:$AF$1001,0),0), INDEX($AM$1004:$BM$1004,1,MATCH(COLUMNS($AM$1006:BG1006),$AM$1006:$BM$1006,0)))),"Fix")))</f>
        <v xml:space="preserve"> </v>
      </c>
      <c r="W985" s="4" t="str">
        <f ca="1">IF(OR(INDEX($AG$2:$AG$1001,MATCH(ROWS($AF$2:AF985),$AF$2:$AF$1001,0),1)&gt;=100000,INDEX($AM$1005:$BM$1005,1,MATCH(COLUMNS($AM$1006:BH1006),$AM$1006:$BM$1006,0))&gt;=100000), " ",IF(INDEX($AM$2:$BM$1001,MATCH(ROWS($AF$2:AF985),$AF$2:$AF$1001,0),MATCH(COLUMNS($AM$1006:BH1006),$AM$1006:$BM$1006,0)), HYPERLINK("#",""), HYPERLINK(CONCATENATE("#metadata!", ADDRESS(INDEX($AH$2:$AH$1001,MATCH(ROWS($AF$2:AF985),$AF$2:$AF$1001,0),0), INDEX($AM$1004:$BM$1004,1,MATCH(COLUMNS($AM$1006:BH1006),$AM$1006:$BM$1006,0)))),"Fix")))</f>
        <v xml:space="preserve"> </v>
      </c>
      <c r="X985" s="4" t="str">
        <f ca="1">IF(OR(INDEX($AG$2:$AG$1001,MATCH(ROWS($AF$2:AF985),$AF$2:$AF$1001,0),1)&gt;=100000,INDEX($AM$1005:$BM$1005,1,MATCH(COLUMNS($AM$1006:BI1006),$AM$1006:$BM$1006,0))&gt;=100000), " ",IF(INDEX($AM$2:$BM$1001,MATCH(ROWS($AF$2:AF985),$AF$2:$AF$1001,0),MATCH(COLUMNS($AM$1006:BI1006),$AM$1006:$BM$1006,0)), HYPERLINK("#",""), HYPERLINK(CONCATENATE("#metadata!", ADDRESS(INDEX($AH$2:$AH$1001,MATCH(ROWS($AF$2:AF985),$AF$2:$AF$1001,0),0), INDEX($AM$1004:$BM$1004,1,MATCH(COLUMNS($AM$1006:BI1006),$AM$1006:$BM$1006,0)))),"Fix")))</f>
        <v xml:space="preserve"> </v>
      </c>
      <c r="Y985" s="4" t="str">
        <f ca="1">IF(OR(INDEX($AG$2:$AG$1001,MATCH(ROWS($AF$2:AF985),$AF$2:$AF$1001,0),1)&gt;=100000,INDEX($AM$1005:$BM$1005,1,MATCH(COLUMNS($AM$1006:BJ1006),$AM$1006:$BM$1006,0))&gt;=100000), " ",IF(INDEX($AM$2:$BM$1001,MATCH(ROWS($AF$2:AF985),$AF$2:$AF$1001,0),MATCH(COLUMNS($AM$1006:BJ1006),$AM$1006:$BM$1006,0)), HYPERLINK("#",""), HYPERLINK(CONCATENATE("#metadata!", ADDRESS(INDEX($AH$2:$AH$1001,MATCH(ROWS($AF$2:AF985),$AF$2:$AF$1001,0),0), INDEX($AM$1004:$BM$1004,1,MATCH(COLUMNS($AM$1006:BJ1006),$AM$1006:$BM$1006,0)))),"Fix")))</f>
        <v xml:space="preserve"> </v>
      </c>
      <c r="Z985" s="4" t="str">
        <f ca="1">IF(OR(INDEX($AG$2:$AG$1001,MATCH(ROWS($AF$2:AF985),$AF$2:$AF$1001,0),1)&gt;=100000,INDEX($AM$1005:$BM$1005,1,MATCH(COLUMNS($AM$1006:BK1006),$AM$1006:$BM$1006,0))&gt;=100000), " ",IF(INDEX($AM$2:$BM$1001,MATCH(ROWS($AF$2:AF985),$AF$2:$AF$1001,0),MATCH(COLUMNS($AM$1006:BK1006),$AM$1006:$BM$1006,0)), HYPERLINK("#",""), HYPERLINK(CONCATENATE("#metadata!", ADDRESS(INDEX($AH$2:$AH$1001,MATCH(ROWS($AF$2:AF985),$AF$2:$AF$1001,0),0), INDEX($AM$1004:$BM$1004,1,MATCH(COLUMNS($AM$1006:BK1006),$AM$1006:$BM$1006,0)))),"Fix")))</f>
        <v xml:space="preserve"> </v>
      </c>
      <c r="AA985" s="4" t="str">
        <f ca="1">IF(OR(INDEX($AG$2:$AG$1001,MATCH(ROWS($AF$2:AF985),$AF$2:$AF$1001,0),1)&gt;=100000,INDEX($AM$1005:$BM$1005,1,MATCH(COLUMNS($AM$1006:BL1006),$AM$1006:$BM$1006,0))&gt;=100000), " ",IF(INDEX($AM$2:$BM$1001,MATCH(ROWS($AF$2:AF985),$AF$2:$AF$1001,0),MATCH(COLUMNS($AM$1006:BL1006),$AM$1006:$BM$1006,0)), HYPERLINK("#",""), HYPERLINK(CONCATENATE("#metadata!", ADDRESS(INDEX($AH$2:$AH$1001,MATCH(ROWS($AF$2:AF985),$AF$2:$AF$1001,0),0), INDEX($AM$1004:$BM$1004,1,MATCH(COLUMNS($AM$1006:BL1006),$AM$1006:$BM$1006,0)))),"Fix")))</f>
        <v xml:space="preserve"> </v>
      </c>
      <c r="AB985" s="4" t="str">
        <f ca="1">IF(OR(INDEX($AG$2:$AG$1001,MATCH(ROWS($AF$2:AF985),$AF$2:$AF$1001,0),1)&gt;=100000,INDEX($AM$1005:$BM$1005,1,MATCH(COLUMNS($AM$1006:BM1006),$AM$1006:$BM$1006,0))&gt;=100000), " ",IF(INDEX($AM$2:$BM$1001,MATCH(ROWS($AF$2:AF985),$AF$2:$AF$1001,0),MATCH(COLUMNS($AM$1006:BM1006),$AM$1006:$BM$1006,0)), HYPERLINK("#",""), HYPERLINK(CONCATENATE("#metadata!", ADDRESS(INDEX($AH$2:$AH$1001,MATCH(ROWS($AF$2:AF985),$AF$2:$AF$1001,0),0), INDEX($AM$1004:$BM$1004,1,MATCH(COLUMNS($AM$1006:BM1006),$AM$1006:$BM$1006,0)))),"Fix")))</f>
        <v xml:space="preserve"> </v>
      </c>
      <c r="AF985">
        <v>984</v>
      </c>
      <c r="AG985">
        <v>100985</v>
      </c>
      <c r="AH985">
        <v>985</v>
      </c>
      <c r="AI985" t="b">
        <f t="shared" si="15"/>
        <v>1</v>
      </c>
      <c r="AJ985" t="b">
        <f>COUNTBLANK(metadata!B985:AB985)=COLUMNS(metadata!B985:AB985)</f>
        <v>1</v>
      </c>
      <c r="AK985" t="str">
        <v/>
      </c>
      <c r="AM985" t="b">
        <f ca="1">AND(IF(metadata!B985="",FALSE,TRUE),COUNTIF(metadata!B:B, metadata!B985) = 1,NOT(ISERROR(SUMPRODUCT(SEARCH(MID(metadata!B985,ROW(INDIRECT("1:"&amp;LEN(metadata!B985))), 1),"0123456789abcdefghijklmnopqrstuvwxyzABCDEFGHIJKLMNOPQRSTUVWXYZ.")))))</f>
        <v>0</v>
      </c>
      <c r="AN985" t="b">
        <f ca="1">OR(AND(IF(metadata!C985="",FALSE,TRUE),OR(EXACT(metadata!C985,"missing: not collected"),EXACT(metadata!C985,"missing: not provided"),EXACT(metadata!C985,"missing: restricted access"))),AND(IF(metadata!C985="",FALSE,TRUE),AND(AND(IFERROR(INT(LEFT(metadata!C985,4))&gt;1900,FALSE),IFERROR(INT(LEFT(metadata!C985,4))&lt;=YEAR(NOW()),FALSE)), OR(MID(metadata!C985,5,1)="", AND(AND(MID(metadata!C985,5,1)="-",IFERROR(INT(MID(metadata!C985,6,1))&gt;=0,FALSE),IFERROR(INT(MID(metadata!C985,6,1))&lt;=1,FALSE),NOT(MID(metadata!C985,7,1)=""),IFERROR(INT(MID(metadata!C985,6,2))&gt;=1,FALSE),IFERROR(INT(MID(metadata!C985,6,2))&lt;=12,FALSE)), OR(MID(metadata!C985,8,1)="", AND(AND(MID(metadata!C985,8,1)="-",IFERROR(INT(MID(metadata!C985,9,1))&gt;=0,FALSE),IFERROR(INT(MID(metadata!C985,9,1))&lt;=3,FALSE),NOT(MID(metadata!C985,10,1)=""),IFERROR(INT(MID(metadata!C985,9,2))&gt;=1,FALSE),IFERROR(INT(MID(metadata!C985,9,2))&lt;=31,FALSE)), OR(MID(metadata!C985,11,1)="", AND(AND(MID(metadata!C985,11,1)=" ",IFERROR(INT(MID(metadata!C985,12,1))&gt;=0,FALSE),IFERROR(INT(MID(metadata!C985,12,1))&lt;=2,FALSE),NOT(MID(metadata!C985,13,1)=""),IFERROR(INT(MID(metadata!C985,12,2))&gt;=0,FALSE),IFERROR(INT(MID(metadata!C985,12,2))&lt;=23,FALSE)), OR(MID(metadata!C985,14,1)="", AND(AND(MID(metadata!C985,14,1)=":",IFERROR(INT(MID(metadata!C985,15,1))&gt;=0,FALSE),IFERROR(INT(MID(metadata!C985,15,1))&lt;=5,FALSE),NOT(MID(metadata!C985,16,1)=""),IFERROR(INT(MID(metadata!C985,15,2))&gt;=0,FALSE),IFERROR(INT(MID(metadata!C985,15,2))&lt;=59,FALSE)), OR(MID(metadata!C985,17,1)="", AND(AND(MID(metadata!C985,17,1)=":",IFERROR(INT(MID(metadata!C985,18,1))&gt;=0,FALSE),IFERROR(INT(MID(metadata!C985,18,1))&lt;=5,FALSE),NOT(MID(metadata!C985,19,1)=""),IFERROR(INT(MID(metadata!C985,18,2))&gt;=0,FALSE),IFERROR(INT(MID(metadata!C985,18,2))&lt;=59,FALSE)), LEN(metadata!C985)&lt;=19)))))))))))))</f>
        <v>0</v>
      </c>
      <c r="AO985" t="b">
        <f>AND(IF(metadata!D985="",FALSE,TRUE),EXACT(metadata!D985,"Not applicable"))</f>
        <v>0</v>
      </c>
      <c r="AP985" t="b">
        <f>IF(metadata!E985="",FALSE,TRUE)</f>
        <v>0</v>
      </c>
      <c r="AQ985" t="b">
        <f>OR(AND(IF(metadata!F985="",FALSE,TRUE),OR(EXACT(metadata!F985,"missing: not collected"),EXACT(metadata!F985,"missing: not provided"))),AND(IF(metadata!F985="",FALSE,TRUE),OR(EXACT(metadata!F985,"TRUE"),EXACT(metadata!F985,"FALSE"))))</f>
        <v>0</v>
      </c>
      <c r="AR985" t="b">
        <f>OR(AND(IF(metadata!G985="",FALSE,TRUE),OR(EXACT(metadata!G985,"missing: not collected"),EXACT(metadata!G985,"missing: not provided"),EXACT(metadata!G985,"missing: restricted access"))),AND(IF(metadata!G985="",FALSE,ISNUMBER(VALUE(metadata!G985))),metadata!G985&gt;=-413))</f>
        <v>0</v>
      </c>
      <c r="AS985" t="b">
        <f>AND(IF(metadata!H985="",FALSE,TRUE),EXACT(metadata!H985,"meters"))</f>
        <v>0</v>
      </c>
      <c r="AT985" t="b">
        <f>AND(IF(metadata!I985="",FALSE,TRUE),OR(EXACT(metadata!I985,"Host-associated"),EXACT(metadata!I985,"Free-living")))</f>
        <v>0</v>
      </c>
      <c r="AU985" t="b">
        <f>AND(IF(metadata!J985="",FALSE,TRUE),OR(EXACT(metadata!J985,"Animal"),EXACT(metadata!J985,"Fungus"),EXACT(metadata!J985,"Plant"),EXACT(metadata!J985,"Saline"),EXACT(metadata!J985,"Non-saline")))</f>
        <v>0</v>
      </c>
      <c r="AV985" t="b">
        <f>AND(IF(metadata!K985="",FALSE,TRUE),OR(EXACT(metadata!K985,"Plant secretion"),EXACT(metadata!K985,"Plant rhizosphere"),EXACT(metadata!K985,"Plant surface"),EXACT(metadata!K985,"Plant corpus"),EXACT(metadata!K985,"Fungus surface"),EXACT(metadata!K985,"Fungus corpus"),EXACT(metadata!K985,"Animal surface"),EXACT(metadata!K985,"Animal proximal gut"),EXACT(metadata!K985,"Animal corpus"),EXACT(metadata!K985,"Animal distal gut"),EXACT(metadata!K985,"Animal secretion"),EXACT(metadata!K985,"Sub-surface (non-saline)"),EXACT(metadata!K985,"Surface (non-saline)"),EXACT(metadata!K985,"Water (non-saline)"),EXACT(metadata!K985,"Soil (non-saline)"),EXACT(metadata!K985,"Aerosol (non-saline)"),EXACT(metadata!K985,"Sediment (non-saline)"),EXACT(metadata!K985,"Surface (saline)"),EXACT(metadata!K985,"Water (saline)"),EXACT(metadata!K985,"Hypersaline (saline)"),EXACT(metadata!K985,"Aerosol (saline)"),EXACT(metadata!K985,"Sediment (saline)")))</f>
        <v>0</v>
      </c>
      <c r="AW985" t="b">
        <f>IF(metadata!L985="",FALSE,TRUE)</f>
        <v>0</v>
      </c>
      <c r="AX985" t="b">
        <f>IF(metadata!M985="",FALSE,TRUE)</f>
        <v>0</v>
      </c>
      <c r="AY985" t="b">
        <f>IF(metadata!N985="",FALSE,TRUE)</f>
        <v>0</v>
      </c>
      <c r="AZ985" t="b">
        <f>OR(AND(IF(metadata!O985="",FALSE,TRUE),OR(EXACT(metadata!O985,"missing: not collected"),EXACT(metadata!O985,"missing: not provided"),EXACT(metadata!O985,"missing: restricted access"))),AND(IF(metadata!O985="",FALSE,TRUE),OR(EXACT(metadata!O985,"air"),EXACT(metadata!O985,"built environment"),EXACT(metadata!O985,"host-associated"),EXACT(metadata!O985,"human-associated"),EXACT(metadata!O985,"human-skin"),EXACT(metadata!O985,"human-oral"),EXACT(metadata!O985,"human-gut"),EXACT(metadata!O985,"human-vaginal"),EXACT(metadata!O985,"microbial mat/biofilm"),EXACT(metadata!O985,"misc environment"),EXACT(metadata!O985,"plant-associated"),EXACT(metadata!O985,"sediment"),EXACT(metadata!O985,"soil"),EXACT(metadata!O985,"wastewater/sludge"),EXACT(metadata!O985,"water"))))</f>
        <v>0</v>
      </c>
      <c r="BA985" t="b">
        <f>IF(metadata!P985="",FALSE,TRUE)</f>
        <v>0</v>
      </c>
      <c r="BB985" t="b">
        <f>IF(metadata!Q985="",FALSE,TRUE)</f>
        <v>0</v>
      </c>
      <c r="BC985" t="b">
        <f>OR(AND(IF(metadata!R985="",FALSE,TRUE),OR(EXACT(metadata!R985,"missing: not collected"),EXACT(metadata!R985,"missing: not provided"),EXACT(metadata!R985,"missing: restricted access"))),AND(IF(metadata!R985="",FALSE,ISNUMBER(VALUE(metadata!R985))),metadata!R985&gt;=-90,metadata!R985&lt;=90))</f>
        <v>0</v>
      </c>
      <c r="BD985" t="b">
        <f>AND(IF(metadata!S985="",FALSE,TRUE),EXACT(metadata!S985,"Decimal degrees"))</f>
        <v>0</v>
      </c>
      <c r="BE985" t="b">
        <f>OR(AND(IF(metadata!T985="",FALSE,TRUE),OR(EXACT(metadata!T985,"missing: not collected"),EXACT(metadata!T985,"missing: not provided"),EXACT(metadata!T985,"missing: restricted access"))),AND(IF(metadata!T985="",FALSE,ISNUMBER(VALUE(metadata!T985))),metadata!T985&gt;=-180,metadata!T985&lt;=180))</f>
        <v>0</v>
      </c>
      <c r="BF985" t="b">
        <f>AND(IF(metadata!U985="",FALSE,TRUE),EXACT(metadata!U985,"Decimal degrees"))</f>
        <v>0</v>
      </c>
      <c r="BG985" t="b">
        <f>IF(metadata!V985="",FALSE,TRUE)</f>
        <v>0</v>
      </c>
      <c r="BH985" t="b">
        <f>OR(AND(IF(metadata!W985="",FALSE,TRUE),OR(EXACT(metadata!W985,"missing: not collected"),EXACT(metadata!W985,"missing: not provided"),EXACT(metadata!W985,"missing: restricted access"))),AND(IF(metadata!W985="",FALSE,TRUE),OR(EXACT(metadata!W985,"TRUE"),EXACT(metadata!W985,"FALSE"))))</f>
        <v>0</v>
      </c>
      <c r="BI985" t="b">
        <f>AND(IF(metadata!X985="",FALSE,TRUE),EXACT(metadata!X985,"other"))</f>
        <v>0</v>
      </c>
      <c r="BJ985" t="b">
        <f>IF(metadata!Y985="",FALSE,TRUE)</f>
        <v>0</v>
      </c>
      <c r="BK985" t="b">
        <f>OR(AND(IF(metadata!Z985="",FALSE,TRUE),OR(EXACT(metadata!Z985,"missing: not collected"),EXACT(metadata!Z985,"missing: not provided"))),AND(IF(metadata!Z985="",FALSE,IF(ISERROR(INT(metadata!Z985)),FALSE,INT(metadata!Z985)=metadata!Z985)),metadata!Z985&gt;0))</f>
        <v>0</v>
      </c>
      <c r="BL985" t="b">
        <f>AND(IF(metadata!AA985="",FALSE,TRUE),EXACT(metadata!AA985,"Not applicable"))</f>
        <v>0</v>
      </c>
      <c r="BM985" t="b">
        <f>IF(metadata!AB985="",FALSE,TRUE)</f>
        <v>0</v>
      </c>
    </row>
    <row r="986" spans="1:65" x14ac:dyDescent="0.2">
      <c r="A986" s="5" t="str">
        <f ca="1">IF(B986=" "," ",HYPERLINK(CONCATENATE("#metadata!",ADDRESS(INDEX($AH$2:$AH$1001,MATCH(ROWS($AF$2:AF986),$AF$2:$AF$1001,0),0),1)),INDEX($AK$2:$AK$1001,MATCH(ROWS($AF$2:AF986),$AF$2:$AF$1001,0),0)))</f>
        <v xml:space="preserve"> </v>
      </c>
      <c r="B986" s="4" t="str">
        <f ca="1">IF(OR(INDEX($AG$2:$AG$1001,MATCH(ROWS($AF$2:AF986),$AF$2:$AF$1001,0),1)&gt;=100000,INDEX($AM$1005:$BM$1005,1,MATCH(COLUMNS($AM$1006:AM1006),$AM$1006:$BM$1006,0))&gt;=100000), " ",IF(INDEX($AM$2:$BM$1001,MATCH(ROWS($AF$2:AF986),$AF$2:$AF$1001,0),MATCH(COLUMNS($AM$1006:AM1006),$AM$1006:$BM$1006,0)), HYPERLINK("#",""), HYPERLINK(CONCATENATE("#metadata!", ADDRESS(INDEX($AH$2:$AH$1001,MATCH(ROWS($AF$2:AF986),$AF$2:$AF$1001,0),0), INDEX($AM$1004:$BM$1004,1,MATCH(COLUMNS($AM$1006:AM1006),$AM$1006:$BM$1006,0)))),"Fix")))</f>
        <v xml:space="preserve"> </v>
      </c>
      <c r="C986" s="4" t="str">
        <f ca="1">IF(OR(INDEX($AG$2:$AG$1001,MATCH(ROWS($AF$2:AF986),$AF$2:$AF$1001,0),1)&gt;=100000,INDEX($AM$1005:$BM$1005,1,MATCH(COLUMNS($AM$1006:AN1006),$AM$1006:$BM$1006,0))&gt;=100000), " ",IF(INDEX($AM$2:$BM$1001,MATCH(ROWS($AF$2:AF986),$AF$2:$AF$1001,0),MATCH(COLUMNS($AM$1006:AN1006),$AM$1006:$BM$1006,0)), HYPERLINK("#",""), HYPERLINK(CONCATENATE("#metadata!", ADDRESS(INDEX($AH$2:$AH$1001,MATCH(ROWS($AF$2:AF986),$AF$2:$AF$1001,0),0), INDEX($AM$1004:$BM$1004,1,MATCH(COLUMNS($AM$1006:AN1006),$AM$1006:$BM$1006,0)))),"Fix")))</f>
        <v xml:space="preserve"> </v>
      </c>
      <c r="D986" s="4" t="str">
        <f ca="1">IF(OR(INDEX($AG$2:$AG$1001,MATCH(ROWS($AF$2:AF986),$AF$2:$AF$1001,0),1)&gt;=100000,INDEX($AM$1005:$BM$1005,1,MATCH(COLUMNS($AM$1006:AO1006),$AM$1006:$BM$1006,0))&gt;=100000), " ",IF(INDEX($AM$2:$BM$1001,MATCH(ROWS($AF$2:AF986),$AF$2:$AF$1001,0),MATCH(COLUMNS($AM$1006:AO1006),$AM$1006:$BM$1006,0)), HYPERLINK("#",""), HYPERLINK(CONCATENATE("#metadata!", ADDRESS(INDEX($AH$2:$AH$1001,MATCH(ROWS($AF$2:AF986),$AF$2:$AF$1001,0),0), INDEX($AM$1004:$BM$1004,1,MATCH(COLUMNS($AM$1006:AO1006),$AM$1006:$BM$1006,0)))),"Fix")))</f>
        <v xml:space="preserve"> </v>
      </c>
      <c r="E986" s="4" t="str">
        <f ca="1">IF(OR(INDEX($AG$2:$AG$1001,MATCH(ROWS($AF$2:AF986),$AF$2:$AF$1001,0),1)&gt;=100000,INDEX($AM$1005:$BM$1005,1,MATCH(COLUMNS($AM$1006:AP1006),$AM$1006:$BM$1006,0))&gt;=100000), " ",IF(INDEX($AM$2:$BM$1001,MATCH(ROWS($AF$2:AF986),$AF$2:$AF$1001,0),MATCH(COLUMNS($AM$1006:AP1006),$AM$1006:$BM$1006,0)), HYPERLINK("#",""), HYPERLINK(CONCATENATE("#metadata!", ADDRESS(INDEX($AH$2:$AH$1001,MATCH(ROWS($AF$2:AF986),$AF$2:$AF$1001,0),0), INDEX($AM$1004:$BM$1004,1,MATCH(COLUMNS($AM$1006:AP1006),$AM$1006:$BM$1006,0)))),"Fix")))</f>
        <v xml:space="preserve"> </v>
      </c>
      <c r="F986" s="4" t="str">
        <f ca="1">IF(OR(INDEX($AG$2:$AG$1001,MATCH(ROWS($AF$2:AF986),$AF$2:$AF$1001,0),1)&gt;=100000,INDEX($AM$1005:$BM$1005,1,MATCH(COLUMNS($AM$1006:AQ1006),$AM$1006:$BM$1006,0))&gt;=100000), " ",IF(INDEX($AM$2:$BM$1001,MATCH(ROWS($AF$2:AF986),$AF$2:$AF$1001,0),MATCH(COLUMNS($AM$1006:AQ1006),$AM$1006:$BM$1006,0)), HYPERLINK("#",""), HYPERLINK(CONCATENATE("#metadata!", ADDRESS(INDEX($AH$2:$AH$1001,MATCH(ROWS($AF$2:AF986),$AF$2:$AF$1001,0),0), INDEX($AM$1004:$BM$1004,1,MATCH(COLUMNS($AM$1006:AQ1006),$AM$1006:$BM$1006,0)))),"Fix")))</f>
        <v xml:space="preserve"> </v>
      </c>
      <c r="G986" s="4" t="str">
        <f ca="1">IF(OR(INDEX($AG$2:$AG$1001,MATCH(ROWS($AF$2:AF986),$AF$2:$AF$1001,0),1)&gt;=100000,INDEX($AM$1005:$BM$1005,1,MATCH(COLUMNS($AM$1006:AR1006),$AM$1006:$BM$1006,0))&gt;=100000), " ",IF(INDEX($AM$2:$BM$1001,MATCH(ROWS($AF$2:AF986),$AF$2:$AF$1001,0),MATCH(COLUMNS($AM$1006:AR1006),$AM$1006:$BM$1006,0)), HYPERLINK("#",""), HYPERLINK(CONCATENATE("#metadata!", ADDRESS(INDEX($AH$2:$AH$1001,MATCH(ROWS($AF$2:AF986),$AF$2:$AF$1001,0),0), INDEX($AM$1004:$BM$1004,1,MATCH(COLUMNS($AM$1006:AR1006),$AM$1006:$BM$1006,0)))),"Fix")))</f>
        <v xml:space="preserve"> </v>
      </c>
      <c r="H986" s="4" t="str">
        <f ca="1">IF(OR(INDEX($AG$2:$AG$1001,MATCH(ROWS($AF$2:AF986),$AF$2:$AF$1001,0),1)&gt;=100000,INDEX($AM$1005:$BM$1005,1,MATCH(COLUMNS($AM$1006:AS1006),$AM$1006:$BM$1006,0))&gt;=100000), " ",IF(INDEX($AM$2:$BM$1001,MATCH(ROWS($AF$2:AF986),$AF$2:$AF$1001,0),MATCH(COLUMNS($AM$1006:AS1006),$AM$1006:$BM$1006,0)), HYPERLINK("#",""), HYPERLINK(CONCATENATE("#metadata!", ADDRESS(INDEX($AH$2:$AH$1001,MATCH(ROWS($AF$2:AF986),$AF$2:$AF$1001,0),0), INDEX($AM$1004:$BM$1004,1,MATCH(COLUMNS($AM$1006:AS1006),$AM$1006:$BM$1006,0)))),"Fix")))</f>
        <v xml:space="preserve"> </v>
      </c>
      <c r="I986" s="4" t="str">
        <f ca="1">IF(OR(INDEX($AG$2:$AG$1001,MATCH(ROWS($AF$2:AF986),$AF$2:$AF$1001,0),1)&gt;=100000,INDEX($AM$1005:$BM$1005,1,MATCH(COLUMNS($AM$1006:AT1006),$AM$1006:$BM$1006,0))&gt;=100000), " ",IF(INDEX($AM$2:$BM$1001,MATCH(ROWS($AF$2:AF986),$AF$2:$AF$1001,0),MATCH(COLUMNS($AM$1006:AT1006),$AM$1006:$BM$1006,0)), HYPERLINK("#",""), HYPERLINK(CONCATENATE("#metadata!", ADDRESS(INDEX($AH$2:$AH$1001,MATCH(ROWS($AF$2:AF986),$AF$2:$AF$1001,0),0), INDEX($AM$1004:$BM$1004,1,MATCH(COLUMNS($AM$1006:AT1006),$AM$1006:$BM$1006,0)))),"Fix")))</f>
        <v xml:space="preserve"> </v>
      </c>
      <c r="J986" s="4" t="str">
        <f ca="1">IF(OR(INDEX($AG$2:$AG$1001,MATCH(ROWS($AF$2:AF986),$AF$2:$AF$1001,0),1)&gt;=100000,INDEX($AM$1005:$BM$1005,1,MATCH(COLUMNS($AM$1006:AU1006),$AM$1006:$BM$1006,0))&gt;=100000), " ",IF(INDEX($AM$2:$BM$1001,MATCH(ROWS($AF$2:AF986),$AF$2:$AF$1001,0),MATCH(COLUMNS($AM$1006:AU1006),$AM$1006:$BM$1006,0)), HYPERLINK("#",""), HYPERLINK(CONCATENATE("#metadata!", ADDRESS(INDEX($AH$2:$AH$1001,MATCH(ROWS($AF$2:AF986),$AF$2:$AF$1001,0),0), INDEX($AM$1004:$BM$1004,1,MATCH(COLUMNS($AM$1006:AU1006),$AM$1006:$BM$1006,0)))),"Fix")))</f>
        <v xml:space="preserve"> </v>
      </c>
      <c r="K986" s="4" t="str">
        <f ca="1">IF(OR(INDEX($AG$2:$AG$1001,MATCH(ROWS($AF$2:AF986),$AF$2:$AF$1001,0),1)&gt;=100000,INDEX($AM$1005:$BM$1005,1,MATCH(COLUMNS($AM$1006:AV1006),$AM$1006:$BM$1006,0))&gt;=100000), " ",IF(INDEX($AM$2:$BM$1001,MATCH(ROWS($AF$2:AF986),$AF$2:$AF$1001,0),MATCH(COLUMNS($AM$1006:AV1006),$AM$1006:$BM$1006,0)), HYPERLINK("#",""), HYPERLINK(CONCATENATE("#metadata!", ADDRESS(INDEX($AH$2:$AH$1001,MATCH(ROWS($AF$2:AF986),$AF$2:$AF$1001,0),0), INDEX($AM$1004:$BM$1004,1,MATCH(COLUMNS($AM$1006:AV1006),$AM$1006:$BM$1006,0)))),"Fix")))</f>
        <v xml:space="preserve"> </v>
      </c>
      <c r="L986" s="4" t="str">
        <f ca="1">IF(OR(INDEX($AG$2:$AG$1001,MATCH(ROWS($AF$2:AF986),$AF$2:$AF$1001,0),1)&gt;=100000,INDEX($AM$1005:$BM$1005,1,MATCH(COLUMNS($AM$1006:AW1006),$AM$1006:$BM$1006,0))&gt;=100000), " ",IF(INDEX($AM$2:$BM$1001,MATCH(ROWS($AF$2:AF986),$AF$2:$AF$1001,0),MATCH(COLUMNS($AM$1006:AW1006),$AM$1006:$BM$1006,0)), HYPERLINK("#",""), HYPERLINK(CONCATENATE("#metadata!", ADDRESS(INDEX($AH$2:$AH$1001,MATCH(ROWS($AF$2:AF986),$AF$2:$AF$1001,0),0), INDEX($AM$1004:$BM$1004,1,MATCH(COLUMNS($AM$1006:AW1006),$AM$1006:$BM$1006,0)))),"Fix")))</f>
        <v xml:space="preserve"> </v>
      </c>
      <c r="M986" s="4" t="str">
        <f ca="1">IF(OR(INDEX($AG$2:$AG$1001,MATCH(ROWS($AF$2:AF986),$AF$2:$AF$1001,0),1)&gt;=100000,INDEX($AM$1005:$BM$1005,1,MATCH(COLUMNS($AM$1006:AX1006),$AM$1006:$BM$1006,0))&gt;=100000), " ",IF(INDEX($AM$2:$BM$1001,MATCH(ROWS($AF$2:AF986),$AF$2:$AF$1001,0),MATCH(COLUMNS($AM$1006:AX1006),$AM$1006:$BM$1006,0)), HYPERLINK("#",""), HYPERLINK(CONCATENATE("#metadata!", ADDRESS(INDEX($AH$2:$AH$1001,MATCH(ROWS($AF$2:AF986),$AF$2:$AF$1001,0),0), INDEX($AM$1004:$BM$1004,1,MATCH(COLUMNS($AM$1006:AX1006),$AM$1006:$BM$1006,0)))),"Fix")))</f>
        <v xml:space="preserve"> </v>
      </c>
      <c r="N986" s="4" t="str">
        <f ca="1">IF(OR(INDEX($AG$2:$AG$1001,MATCH(ROWS($AF$2:AF986),$AF$2:$AF$1001,0),1)&gt;=100000,INDEX($AM$1005:$BM$1005,1,MATCH(COLUMNS($AM$1006:AY1006),$AM$1006:$BM$1006,0))&gt;=100000), " ",IF(INDEX($AM$2:$BM$1001,MATCH(ROWS($AF$2:AF986),$AF$2:$AF$1001,0),MATCH(COLUMNS($AM$1006:AY1006),$AM$1006:$BM$1006,0)), HYPERLINK("#",""), HYPERLINK(CONCATENATE("#metadata!", ADDRESS(INDEX($AH$2:$AH$1001,MATCH(ROWS($AF$2:AF986),$AF$2:$AF$1001,0),0), INDEX($AM$1004:$BM$1004,1,MATCH(COLUMNS($AM$1006:AY1006),$AM$1006:$BM$1006,0)))),"Fix")))</f>
        <v xml:space="preserve"> </v>
      </c>
      <c r="O986" s="4" t="str">
        <f ca="1">IF(OR(INDEX($AG$2:$AG$1001,MATCH(ROWS($AF$2:AF986),$AF$2:$AF$1001,0),1)&gt;=100000,INDEX($AM$1005:$BM$1005,1,MATCH(COLUMNS($AM$1006:AZ1006),$AM$1006:$BM$1006,0))&gt;=100000), " ",IF(INDEX($AM$2:$BM$1001,MATCH(ROWS($AF$2:AF986),$AF$2:$AF$1001,0),MATCH(COLUMNS($AM$1006:AZ1006),$AM$1006:$BM$1006,0)), HYPERLINK("#",""), HYPERLINK(CONCATENATE("#metadata!", ADDRESS(INDEX($AH$2:$AH$1001,MATCH(ROWS($AF$2:AF986),$AF$2:$AF$1001,0),0), INDEX($AM$1004:$BM$1004,1,MATCH(COLUMNS($AM$1006:AZ1006),$AM$1006:$BM$1006,0)))),"Fix")))</f>
        <v xml:space="preserve"> </v>
      </c>
      <c r="P986" s="4" t="str">
        <f ca="1">IF(OR(INDEX($AG$2:$AG$1001,MATCH(ROWS($AF$2:AF986),$AF$2:$AF$1001,0),1)&gt;=100000,INDEX($AM$1005:$BM$1005,1,MATCH(COLUMNS($AM$1006:BA1006),$AM$1006:$BM$1006,0))&gt;=100000), " ",IF(INDEX($AM$2:$BM$1001,MATCH(ROWS($AF$2:AF986),$AF$2:$AF$1001,0),MATCH(COLUMNS($AM$1006:BA1006),$AM$1006:$BM$1006,0)), HYPERLINK("#",""), HYPERLINK(CONCATENATE("#metadata!", ADDRESS(INDEX($AH$2:$AH$1001,MATCH(ROWS($AF$2:AF986),$AF$2:$AF$1001,0),0), INDEX($AM$1004:$BM$1004,1,MATCH(COLUMNS($AM$1006:BA1006),$AM$1006:$BM$1006,0)))),"Fix")))</f>
        <v xml:space="preserve"> </v>
      </c>
      <c r="Q986" s="4" t="str">
        <f ca="1">IF(OR(INDEX($AG$2:$AG$1001,MATCH(ROWS($AF$2:AF986),$AF$2:$AF$1001,0),1)&gt;=100000,INDEX($AM$1005:$BM$1005,1,MATCH(COLUMNS($AM$1006:BB1006),$AM$1006:$BM$1006,0))&gt;=100000), " ",IF(INDEX($AM$2:$BM$1001,MATCH(ROWS($AF$2:AF986),$AF$2:$AF$1001,0),MATCH(COLUMNS($AM$1006:BB1006),$AM$1006:$BM$1006,0)), HYPERLINK("#",""), HYPERLINK(CONCATENATE("#metadata!", ADDRESS(INDEX($AH$2:$AH$1001,MATCH(ROWS($AF$2:AF986),$AF$2:$AF$1001,0),0), INDEX($AM$1004:$BM$1004,1,MATCH(COLUMNS($AM$1006:BB1006),$AM$1006:$BM$1006,0)))),"Fix")))</f>
        <v xml:space="preserve"> </v>
      </c>
      <c r="R986" s="4" t="str">
        <f ca="1">IF(OR(INDEX($AG$2:$AG$1001,MATCH(ROWS($AF$2:AF986),$AF$2:$AF$1001,0),1)&gt;=100000,INDEX($AM$1005:$BM$1005,1,MATCH(COLUMNS($AM$1006:BC1006),$AM$1006:$BM$1006,0))&gt;=100000), " ",IF(INDEX($AM$2:$BM$1001,MATCH(ROWS($AF$2:AF986),$AF$2:$AF$1001,0),MATCH(COLUMNS($AM$1006:BC1006),$AM$1006:$BM$1006,0)), HYPERLINK("#",""), HYPERLINK(CONCATENATE("#metadata!", ADDRESS(INDEX($AH$2:$AH$1001,MATCH(ROWS($AF$2:AF986),$AF$2:$AF$1001,0),0), INDEX($AM$1004:$BM$1004,1,MATCH(COLUMNS($AM$1006:BC1006),$AM$1006:$BM$1006,0)))),"Fix")))</f>
        <v xml:space="preserve"> </v>
      </c>
      <c r="S986" s="4" t="str">
        <f ca="1">IF(OR(INDEX($AG$2:$AG$1001,MATCH(ROWS($AF$2:AF986),$AF$2:$AF$1001,0),1)&gt;=100000,INDEX($AM$1005:$BM$1005,1,MATCH(COLUMNS($AM$1006:BD1006),$AM$1006:$BM$1006,0))&gt;=100000), " ",IF(INDEX($AM$2:$BM$1001,MATCH(ROWS($AF$2:AF986),$AF$2:$AF$1001,0),MATCH(COLUMNS($AM$1006:BD1006),$AM$1006:$BM$1006,0)), HYPERLINK("#",""), HYPERLINK(CONCATENATE("#metadata!", ADDRESS(INDEX($AH$2:$AH$1001,MATCH(ROWS($AF$2:AF986),$AF$2:$AF$1001,0),0), INDEX($AM$1004:$BM$1004,1,MATCH(COLUMNS($AM$1006:BD1006),$AM$1006:$BM$1006,0)))),"Fix")))</f>
        <v xml:space="preserve"> </v>
      </c>
      <c r="T986" s="4" t="str">
        <f ca="1">IF(OR(INDEX($AG$2:$AG$1001,MATCH(ROWS($AF$2:AF986),$AF$2:$AF$1001,0),1)&gt;=100000,INDEX($AM$1005:$BM$1005,1,MATCH(COLUMNS($AM$1006:BE1006),$AM$1006:$BM$1006,0))&gt;=100000), " ",IF(INDEX($AM$2:$BM$1001,MATCH(ROWS($AF$2:AF986),$AF$2:$AF$1001,0),MATCH(COLUMNS($AM$1006:BE1006),$AM$1006:$BM$1006,0)), HYPERLINK("#",""), HYPERLINK(CONCATENATE("#metadata!", ADDRESS(INDEX($AH$2:$AH$1001,MATCH(ROWS($AF$2:AF986),$AF$2:$AF$1001,0),0), INDEX($AM$1004:$BM$1004,1,MATCH(COLUMNS($AM$1006:BE1006),$AM$1006:$BM$1006,0)))),"Fix")))</f>
        <v xml:space="preserve"> </v>
      </c>
      <c r="U986" s="4" t="str">
        <f ca="1">IF(OR(INDEX($AG$2:$AG$1001,MATCH(ROWS($AF$2:AF986),$AF$2:$AF$1001,0),1)&gt;=100000,INDEX($AM$1005:$BM$1005,1,MATCH(COLUMNS($AM$1006:BF1006),$AM$1006:$BM$1006,0))&gt;=100000), " ",IF(INDEX($AM$2:$BM$1001,MATCH(ROWS($AF$2:AF986),$AF$2:$AF$1001,0),MATCH(COLUMNS($AM$1006:BF1006),$AM$1006:$BM$1006,0)), HYPERLINK("#",""), HYPERLINK(CONCATENATE("#metadata!", ADDRESS(INDEX($AH$2:$AH$1001,MATCH(ROWS($AF$2:AF986),$AF$2:$AF$1001,0),0), INDEX($AM$1004:$BM$1004,1,MATCH(COLUMNS($AM$1006:BF1006),$AM$1006:$BM$1006,0)))),"Fix")))</f>
        <v xml:space="preserve"> </v>
      </c>
      <c r="V986" s="4" t="str">
        <f ca="1">IF(OR(INDEX($AG$2:$AG$1001,MATCH(ROWS($AF$2:AF986),$AF$2:$AF$1001,0),1)&gt;=100000,INDEX($AM$1005:$BM$1005,1,MATCH(COLUMNS($AM$1006:BG1006),$AM$1006:$BM$1006,0))&gt;=100000), " ",IF(INDEX($AM$2:$BM$1001,MATCH(ROWS($AF$2:AF986),$AF$2:$AF$1001,0),MATCH(COLUMNS($AM$1006:BG1006),$AM$1006:$BM$1006,0)), HYPERLINK("#",""), HYPERLINK(CONCATENATE("#metadata!", ADDRESS(INDEX($AH$2:$AH$1001,MATCH(ROWS($AF$2:AF986),$AF$2:$AF$1001,0),0), INDEX($AM$1004:$BM$1004,1,MATCH(COLUMNS($AM$1006:BG1006),$AM$1006:$BM$1006,0)))),"Fix")))</f>
        <v xml:space="preserve"> </v>
      </c>
      <c r="W986" s="4" t="str">
        <f ca="1">IF(OR(INDEX($AG$2:$AG$1001,MATCH(ROWS($AF$2:AF986),$AF$2:$AF$1001,0),1)&gt;=100000,INDEX($AM$1005:$BM$1005,1,MATCH(COLUMNS($AM$1006:BH1006),$AM$1006:$BM$1006,0))&gt;=100000), " ",IF(INDEX($AM$2:$BM$1001,MATCH(ROWS($AF$2:AF986),$AF$2:$AF$1001,0),MATCH(COLUMNS($AM$1006:BH1006),$AM$1006:$BM$1006,0)), HYPERLINK("#",""), HYPERLINK(CONCATENATE("#metadata!", ADDRESS(INDEX($AH$2:$AH$1001,MATCH(ROWS($AF$2:AF986),$AF$2:$AF$1001,0),0), INDEX($AM$1004:$BM$1004,1,MATCH(COLUMNS($AM$1006:BH1006),$AM$1006:$BM$1006,0)))),"Fix")))</f>
        <v xml:space="preserve"> </v>
      </c>
      <c r="X986" s="4" t="str">
        <f ca="1">IF(OR(INDEX($AG$2:$AG$1001,MATCH(ROWS($AF$2:AF986),$AF$2:$AF$1001,0),1)&gt;=100000,INDEX($AM$1005:$BM$1005,1,MATCH(COLUMNS($AM$1006:BI1006),$AM$1006:$BM$1006,0))&gt;=100000), " ",IF(INDEX($AM$2:$BM$1001,MATCH(ROWS($AF$2:AF986),$AF$2:$AF$1001,0),MATCH(COLUMNS($AM$1006:BI1006),$AM$1006:$BM$1006,0)), HYPERLINK("#",""), HYPERLINK(CONCATENATE("#metadata!", ADDRESS(INDEX($AH$2:$AH$1001,MATCH(ROWS($AF$2:AF986),$AF$2:$AF$1001,0),0), INDEX($AM$1004:$BM$1004,1,MATCH(COLUMNS($AM$1006:BI1006),$AM$1006:$BM$1006,0)))),"Fix")))</f>
        <v xml:space="preserve"> </v>
      </c>
      <c r="Y986" s="4" t="str">
        <f ca="1">IF(OR(INDEX($AG$2:$AG$1001,MATCH(ROWS($AF$2:AF986),$AF$2:$AF$1001,0),1)&gt;=100000,INDEX($AM$1005:$BM$1005,1,MATCH(COLUMNS($AM$1006:BJ1006),$AM$1006:$BM$1006,0))&gt;=100000), " ",IF(INDEX($AM$2:$BM$1001,MATCH(ROWS($AF$2:AF986),$AF$2:$AF$1001,0),MATCH(COLUMNS($AM$1006:BJ1006),$AM$1006:$BM$1006,0)), HYPERLINK("#",""), HYPERLINK(CONCATENATE("#metadata!", ADDRESS(INDEX($AH$2:$AH$1001,MATCH(ROWS($AF$2:AF986),$AF$2:$AF$1001,0),0), INDEX($AM$1004:$BM$1004,1,MATCH(COLUMNS($AM$1006:BJ1006),$AM$1006:$BM$1006,0)))),"Fix")))</f>
        <v xml:space="preserve"> </v>
      </c>
      <c r="Z986" s="4" t="str">
        <f ca="1">IF(OR(INDEX($AG$2:$AG$1001,MATCH(ROWS($AF$2:AF986),$AF$2:$AF$1001,0),1)&gt;=100000,INDEX($AM$1005:$BM$1005,1,MATCH(COLUMNS($AM$1006:BK1006),$AM$1006:$BM$1006,0))&gt;=100000), " ",IF(INDEX($AM$2:$BM$1001,MATCH(ROWS($AF$2:AF986),$AF$2:$AF$1001,0),MATCH(COLUMNS($AM$1006:BK1006),$AM$1006:$BM$1006,0)), HYPERLINK("#",""), HYPERLINK(CONCATENATE("#metadata!", ADDRESS(INDEX($AH$2:$AH$1001,MATCH(ROWS($AF$2:AF986),$AF$2:$AF$1001,0),0), INDEX($AM$1004:$BM$1004,1,MATCH(COLUMNS($AM$1006:BK1006),$AM$1006:$BM$1006,0)))),"Fix")))</f>
        <v xml:space="preserve"> </v>
      </c>
      <c r="AA986" s="4" t="str">
        <f ca="1">IF(OR(INDEX($AG$2:$AG$1001,MATCH(ROWS($AF$2:AF986),$AF$2:$AF$1001,0),1)&gt;=100000,INDEX($AM$1005:$BM$1005,1,MATCH(COLUMNS($AM$1006:BL1006),$AM$1006:$BM$1006,0))&gt;=100000), " ",IF(INDEX($AM$2:$BM$1001,MATCH(ROWS($AF$2:AF986),$AF$2:$AF$1001,0),MATCH(COLUMNS($AM$1006:BL1006),$AM$1006:$BM$1006,0)), HYPERLINK("#",""), HYPERLINK(CONCATENATE("#metadata!", ADDRESS(INDEX($AH$2:$AH$1001,MATCH(ROWS($AF$2:AF986),$AF$2:$AF$1001,0),0), INDEX($AM$1004:$BM$1004,1,MATCH(COLUMNS($AM$1006:BL1006),$AM$1006:$BM$1006,0)))),"Fix")))</f>
        <v xml:space="preserve"> </v>
      </c>
      <c r="AB986" s="4" t="str">
        <f ca="1">IF(OR(INDEX($AG$2:$AG$1001,MATCH(ROWS($AF$2:AF986),$AF$2:$AF$1001,0),1)&gt;=100000,INDEX($AM$1005:$BM$1005,1,MATCH(COLUMNS($AM$1006:BM1006),$AM$1006:$BM$1006,0))&gt;=100000), " ",IF(INDEX($AM$2:$BM$1001,MATCH(ROWS($AF$2:AF986),$AF$2:$AF$1001,0),MATCH(COLUMNS($AM$1006:BM1006),$AM$1006:$BM$1006,0)), HYPERLINK("#",""), HYPERLINK(CONCATENATE("#metadata!", ADDRESS(INDEX($AH$2:$AH$1001,MATCH(ROWS($AF$2:AF986),$AF$2:$AF$1001,0),0), INDEX($AM$1004:$BM$1004,1,MATCH(COLUMNS($AM$1006:BM1006),$AM$1006:$BM$1006,0)))),"Fix")))</f>
        <v xml:space="preserve"> </v>
      </c>
      <c r="AF986">
        <v>985</v>
      </c>
      <c r="AG986">
        <v>100986</v>
      </c>
      <c r="AH986">
        <v>986</v>
      </c>
      <c r="AI986" t="b">
        <f t="shared" si="15"/>
        <v>1</v>
      </c>
      <c r="AJ986" t="b">
        <f>COUNTBLANK(metadata!B986:AB986)=COLUMNS(metadata!B986:AB986)</f>
        <v>1</v>
      </c>
      <c r="AK986" t="str">
        <v/>
      </c>
      <c r="AM986" t="b">
        <f ca="1">AND(IF(metadata!B986="",FALSE,TRUE),COUNTIF(metadata!B:B, metadata!B986) = 1,NOT(ISERROR(SUMPRODUCT(SEARCH(MID(metadata!B986,ROW(INDIRECT("1:"&amp;LEN(metadata!B986))), 1),"0123456789abcdefghijklmnopqrstuvwxyzABCDEFGHIJKLMNOPQRSTUVWXYZ.")))))</f>
        <v>0</v>
      </c>
      <c r="AN986" t="b">
        <f ca="1">OR(AND(IF(metadata!C986="",FALSE,TRUE),OR(EXACT(metadata!C986,"missing: not collected"),EXACT(metadata!C986,"missing: not provided"),EXACT(metadata!C986,"missing: restricted access"))),AND(IF(metadata!C986="",FALSE,TRUE),AND(AND(IFERROR(INT(LEFT(metadata!C986,4))&gt;1900,FALSE),IFERROR(INT(LEFT(metadata!C986,4))&lt;=YEAR(NOW()),FALSE)), OR(MID(metadata!C986,5,1)="", AND(AND(MID(metadata!C986,5,1)="-",IFERROR(INT(MID(metadata!C986,6,1))&gt;=0,FALSE),IFERROR(INT(MID(metadata!C986,6,1))&lt;=1,FALSE),NOT(MID(metadata!C986,7,1)=""),IFERROR(INT(MID(metadata!C986,6,2))&gt;=1,FALSE),IFERROR(INT(MID(metadata!C986,6,2))&lt;=12,FALSE)), OR(MID(metadata!C986,8,1)="", AND(AND(MID(metadata!C986,8,1)="-",IFERROR(INT(MID(metadata!C986,9,1))&gt;=0,FALSE),IFERROR(INT(MID(metadata!C986,9,1))&lt;=3,FALSE),NOT(MID(metadata!C986,10,1)=""),IFERROR(INT(MID(metadata!C986,9,2))&gt;=1,FALSE),IFERROR(INT(MID(metadata!C986,9,2))&lt;=31,FALSE)), OR(MID(metadata!C986,11,1)="", AND(AND(MID(metadata!C986,11,1)=" ",IFERROR(INT(MID(metadata!C986,12,1))&gt;=0,FALSE),IFERROR(INT(MID(metadata!C986,12,1))&lt;=2,FALSE),NOT(MID(metadata!C986,13,1)=""),IFERROR(INT(MID(metadata!C986,12,2))&gt;=0,FALSE),IFERROR(INT(MID(metadata!C986,12,2))&lt;=23,FALSE)), OR(MID(metadata!C986,14,1)="", AND(AND(MID(metadata!C986,14,1)=":",IFERROR(INT(MID(metadata!C986,15,1))&gt;=0,FALSE),IFERROR(INT(MID(metadata!C986,15,1))&lt;=5,FALSE),NOT(MID(metadata!C986,16,1)=""),IFERROR(INT(MID(metadata!C986,15,2))&gt;=0,FALSE),IFERROR(INT(MID(metadata!C986,15,2))&lt;=59,FALSE)), OR(MID(metadata!C986,17,1)="", AND(AND(MID(metadata!C986,17,1)=":",IFERROR(INT(MID(metadata!C986,18,1))&gt;=0,FALSE),IFERROR(INT(MID(metadata!C986,18,1))&lt;=5,FALSE),NOT(MID(metadata!C986,19,1)=""),IFERROR(INT(MID(metadata!C986,18,2))&gt;=0,FALSE),IFERROR(INT(MID(metadata!C986,18,2))&lt;=59,FALSE)), LEN(metadata!C986)&lt;=19)))))))))))))</f>
        <v>0</v>
      </c>
      <c r="AO986" t="b">
        <f>AND(IF(metadata!D986="",FALSE,TRUE),EXACT(metadata!D986,"Not applicable"))</f>
        <v>0</v>
      </c>
      <c r="AP986" t="b">
        <f>IF(metadata!E986="",FALSE,TRUE)</f>
        <v>0</v>
      </c>
      <c r="AQ986" t="b">
        <f>OR(AND(IF(metadata!F986="",FALSE,TRUE),OR(EXACT(metadata!F986,"missing: not collected"),EXACT(metadata!F986,"missing: not provided"))),AND(IF(metadata!F986="",FALSE,TRUE),OR(EXACT(metadata!F986,"TRUE"),EXACT(metadata!F986,"FALSE"))))</f>
        <v>0</v>
      </c>
      <c r="AR986" t="b">
        <f>OR(AND(IF(metadata!G986="",FALSE,TRUE),OR(EXACT(metadata!G986,"missing: not collected"),EXACT(metadata!G986,"missing: not provided"),EXACT(metadata!G986,"missing: restricted access"))),AND(IF(metadata!G986="",FALSE,ISNUMBER(VALUE(metadata!G986))),metadata!G986&gt;=-413))</f>
        <v>0</v>
      </c>
      <c r="AS986" t="b">
        <f>AND(IF(metadata!H986="",FALSE,TRUE),EXACT(metadata!H986,"meters"))</f>
        <v>0</v>
      </c>
      <c r="AT986" t="b">
        <f>AND(IF(metadata!I986="",FALSE,TRUE),OR(EXACT(metadata!I986,"Host-associated"),EXACT(metadata!I986,"Free-living")))</f>
        <v>0</v>
      </c>
      <c r="AU986" t="b">
        <f>AND(IF(metadata!J986="",FALSE,TRUE),OR(EXACT(metadata!J986,"Animal"),EXACT(metadata!J986,"Fungus"),EXACT(metadata!J986,"Plant"),EXACT(metadata!J986,"Saline"),EXACT(metadata!J986,"Non-saline")))</f>
        <v>0</v>
      </c>
      <c r="AV986" t="b">
        <f>AND(IF(metadata!K986="",FALSE,TRUE),OR(EXACT(metadata!K986,"Plant secretion"),EXACT(metadata!K986,"Plant rhizosphere"),EXACT(metadata!K986,"Plant surface"),EXACT(metadata!K986,"Plant corpus"),EXACT(metadata!K986,"Fungus surface"),EXACT(metadata!K986,"Fungus corpus"),EXACT(metadata!K986,"Animal surface"),EXACT(metadata!K986,"Animal proximal gut"),EXACT(metadata!K986,"Animal corpus"),EXACT(metadata!K986,"Animal distal gut"),EXACT(metadata!K986,"Animal secretion"),EXACT(metadata!K986,"Sub-surface (non-saline)"),EXACT(metadata!K986,"Surface (non-saline)"),EXACT(metadata!K986,"Water (non-saline)"),EXACT(metadata!K986,"Soil (non-saline)"),EXACT(metadata!K986,"Aerosol (non-saline)"),EXACT(metadata!K986,"Sediment (non-saline)"),EXACT(metadata!K986,"Surface (saline)"),EXACT(metadata!K986,"Water (saline)"),EXACT(metadata!K986,"Hypersaline (saline)"),EXACT(metadata!K986,"Aerosol (saline)"),EXACT(metadata!K986,"Sediment (saline)")))</f>
        <v>0</v>
      </c>
      <c r="AW986" t="b">
        <f>IF(metadata!L986="",FALSE,TRUE)</f>
        <v>0</v>
      </c>
      <c r="AX986" t="b">
        <f>IF(metadata!M986="",FALSE,TRUE)</f>
        <v>0</v>
      </c>
      <c r="AY986" t="b">
        <f>IF(metadata!N986="",FALSE,TRUE)</f>
        <v>0</v>
      </c>
      <c r="AZ986" t="b">
        <f>OR(AND(IF(metadata!O986="",FALSE,TRUE),OR(EXACT(metadata!O986,"missing: not collected"),EXACT(metadata!O986,"missing: not provided"),EXACT(metadata!O986,"missing: restricted access"))),AND(IF(metadata!O986="",FALSE,TRUE),OR(EXACT(metadata!O986,"air"),EXACT(metadata!O986,"built environment"),EXACT(metadata!O986,"host-associated"),EXACT(metadata!O986,"human-associated"),EXACT(metadata!O986,"human-skin"),EXACT(metadata!O986,"human-oral"),EXACT(metadata!O986,"human-gut"),EXACT(metadata!O986,"human-vaginal"),EXACT(metadata!O986,"microbial mat/biofilm"),EXACT(metadata!O986,"misc environment"),EXACT(metadata!O986,"plant-associated"),EXACT(metadata!O986,"sediment"),EXACT(metadata!O986,"soil"),EXACT(metadata!O986,"wastewater/sludge"),EXACT(metadata!O986,"water"))))</f>
        <v>0</v>
      </c>
      <c r="BA986" t="b">
        <f>IF(metadata!P986="",FALSE,TRUE)</f>
        <v>0</v>
      </c>
      <c r="BB986" t="b">
        <f>IF(metadata!Q986="",FALSE,TRUE)</f>
        <v>0</v>
      </c>
      <c r="BC986" t="b">
        <f>OR(AND(IF(metadata!R986="",FALSE,TRUE),OR(EXACT(metadata!R986,"missing: not collected"),EXACT(metadata!R986,"missing: not provided"),EXACT(metadata!R986,"missing: restricted access"))),AND(IF(metadata!R986="",FALSE,ISNUMBER(VALUE(metadata!R986))),metadata!R986&gt;=-90,metadata!R986&lt;=90))</f>
        <v>0</v>
      </c>
      <c r="BD986" t="b">
        <f>AND(IF(metadata!S986="",FALSE,TRUE),EXACT(metadata!S986,"Decimal degrees"))</f>
        <v>0</v>
      </c>
      <c r="BE986" t="b">
        <f>OR(AND(IF(metadata!T986="",FALSE,TRUE),OR(EXACT(metadata!T986,"missing: not collected"),EXACT(metadata!T986,"missing: not provided"),EXACT(metadata!T986,"missing: restricted access"))),AND(IF(metadata!T986="",FALSE,ISNUMBER(VALUE(metadata!T986))),metadata!T986&gt;=-180,metadata!T986&lt;=180))</f>
        <v>0</v>
      </c>
      <c r="BF986" t="b">
        <f>AND(IF(metadata!U986="",FALSE,TRUE),EXACT(metadata!U986,"Decimal degrees"))</f>
        <v>0</v>
      </c>
      <c r="BG986" t="b">
        <f>IF(metadata!V986="",FALSE,TRUE)</f>
        <v>0</v>
      </c>
      <c r="BH986" t="b">
        <f>OR(AND(IF(metadata!W986="",FALSE,TRUE),OR(EXACT(metadata!W986,"missing: not collected"),EXACT(metadata!W986,"missing: not provided"),EXACT(metadata!W986,"missing: restricted access"))),AND(IF(metadata!W986="",FALSE,TRUE),OR(EXACT(metadata!W986,"TRUE"),EXACT(metadata!W986,"FALSE"))))</f>
        <v>0</v>
      </c>
      <c r="BI986" t="b">
        <f>AND(IF(metadata!X986="",FALSE,TRUE),EXACT(metadata!X986,"other"))</f>
        <v>0</v>
      </c>
      <c r="BJ986" t="b">
        <f>IF(metadata!Y986="",FALSE,TRUE)</f>
        <v>0</v>
      </c>
      <c r="BK986" t="b">
        <f>OR(AND(IF(metadata!Z986="",FALSE,TRUE),OR(EXACT(metadata!Z986,"missing: not collected"),EXACT(metadata!Z986,"missing: not provided"))),AND(IF(metadata!Z986="",FALSE,IF(ISERROR(INT(metadata!Z986)),FALSE,INT(metadata!Z986)=metadata!Z986)),metadata!Z986&gt;0))</f>
        <v>0</v>
      </c>
      <c r="BL986" t="b">
        <f>AND(IF(metadata!AA986="",FALSE,TRUE),EXACT(metadata!AA986,"Not applicable"))</f>
        <v>0</v>
      </c>
      <c r="BM986" t="b">
        <f>IF(metadata!AB986="",FALSE,TRUE)</f>
        <v>0</v>
      </c>
    </row>
    <row r="987" spans="1:65" x14ac:dyDescent="0.2">
      <c r="A987" s="5" t="str">
        <f ca="1">IF(B987=" "," ",HYPERLINK(CONCATENATE("#metadata!",ADDRESS(INDEX($AH$2:$AH$1001,MATCH(ROWS($AF$2:AF987),$AF$2:$AF$1001,0),0),1)),INDEX($AK$2:$AK$1001,MATCH(ROWS($AF$2:AF987),$AF$2:$AF$1001,0),0)))</f>
        <v xml:space="preserve"> </v>
      </c>
      <c r="B987" s="4" t="str">
        <f ca="1">IF(OR(INDEX($AG$2:$AG$1001,MATCH(ROWS($AF$2:AF987),$AF$2:$AF$1001,0),1)&gt;=100000,INDEX($AM$1005:$BM$1005,1,MATCH(COLUMNS($AM$1006:AM1006),$AM$1006:$BM$1006,0))&gt;=100000), " ",IF(INDEX($AM$2:$BM$1001,MATCH(ROWS($AF$2:AF987),$AF$2:$AF$1001,0),MATCH(COLUMNS($AM$1006:AM1006),$AM$1006:$BM$1006,0)), HYPERLINK("#",""), HYPERLINK(CONCATENATE("#metadata!", ADDRESS(INDEX($AH$2:$AH$1001,MATCH(ROWS($AF$2:AF987),$AF$2:$AF$1001,0),0), INDEX($AM$1004:$BM$1004,1,MATCH(COLUMNS($AM$1006:AM1006),$AM$1006:$BM$1006,0)))),"Fix")))</f>
        <v xml:space="preserve"> </v>
      </c>
      <c r="C987" s="4" t="str">
        <f ca="1">IF(OR(INDEX($AG$2:$AG$1001,MATCH(ROWS($AF$2:AF987),$AF$2:$AF$1001,0),1)&gt;=100000,INDEX($AM$1005:$BM$1005,1,MATCH(COLUMNS($AM$1006:AN1006),$AM$1006:$BM$1006,0))&gt;=100000), " ",IF(INDEX($AM$2:$BM$1001,MATCH(ROWS($AF$2:AF987),$AF$2:$AF$1001,0),MATCH(COLUMNS($AM$1006:AN1006),$AM$1006:$BM$1006,0)), HYPERLINK("#",""), HYPERLINK(CONCATENATE("#metadata!", ADDRESS(INDEX($AH$2:$AH$1001,MATCH(ROWS($AF$2:AF987),$AF$2:$AF$1001,0),0), INDEX($AM$1004:$BM$1004,1,MATCH(COLUMNS($AM$1006:AN1006),$AM$1006:$BM$1006,0)))),"Fix")))</f>
        <v xml:space="preserve"> </v>
      </c>
      <c r="D987" s="4" t="str">
        <f ca="1">IF(OR(INDEX($AG$2:$AG$1001,MATCH(ROWS($AF$2:AF987),$AF$2:$AF$1001,0),1)&gt;=100000,INDEX($AM$1005:$BM$1005,1,MATCH(COLUMNS($AM$1006:AO1006),$AM$1006:$BM$1006,0))&gt;=100000), " ",IF(INDEX($AM$2:$BM$1001,MATCH(ROWS($AF$2:AF987),$AF$2:$AF$1001,0),MATCH(COLUMNS($AM$1006:AO1006),$AM$1006:$BM$1006,0)), HYPERLINK("#",""), HYPERLINK(CONCATENATE("#metadata!", ADDRESS(INDEX($AH$2:$AH$1001,MATCH(ROWS($AF$2:AF987),$AF$2:$AF$1001,0),0), INDEX($AM$1004:$BM$1004,1,MATCH(COLUMNS($AM$1006:AO1006),$AM$1006:$BM$1006,0)))),"Fix")))</f>
        <v xml:space="preserve"> </v>
      </c>
      <c r="E987" s="4" t="str">
        <f ca="1">IF(OR(INDEX($AG$2:$AG$1001,MATCH(ROWS($AF$2:AF987),$AF$2:$AF$1001,0),1)&gt;=100000,INDEX($AM$1005:$BM$1005,1,MATCH(COLUMNS($AM$1006:AP1006),$AM$1006:$BM$1006,0))&gt;=100000), " ",IF(INDEX($AM$2:$BM$1001,MATCH(ROWS($AF$2:AF987),$AF$2:$AF$1001,0),MATCH(COLUMNS($AM$1006:AP1006),$AM$1006:$BM$1006,0)), HYPERLINK("#",""), HYPERLINK(CONCATENATE("#metadata!", ADDRESS(INDEX($AH$2:$AH$1001,MATCH(ROWS($AF$2:AF987),$AF$2:$AF$1001,0),0), INDEX($AM$1004:$BM$1004,1,MATCH(COLUMNS($AM$1006:AP1006),$AM$1006:$BM$1006,0)))),"Fix")))</f>
        <v xml:space="preserve"> </v>
      </c>
      <c r="F987" s="4" t="str">
        <f ca="1">IF(OR(INDEX($AG$2:$AG$1001,MATCH(ROWS($AF$2:AF987),$AF$2:$AF$1001,0),1)&gt;=100000,INDEX($AM$1005:$BM$1005,1,MATCH(COLUMNS($AM$1006:AQ1006),$AM$1006:$BM$1006,0))&gt;=100000), " ",IF(INDEX($AM$2:$BM$1001,MATCH(ROWS($AF$2:AF987),$AF$2:$AF$1001,0),MATCH(COLUMNS($AM$1006:AQ1006),$AM$1006:$BM$1006,0)), HYPERLINK("#",""), HYPERLINK(CONCATENATE("#metadata!", ADDRESS(INDEX($AH$2:$AH$1001,MATCH(ROWS($AF$2:AF987),$AF$2:$AF$1001,0),0), INDEX($AM$1004:$BM$1004,1,MATCH(COLUMNS($AM$1006:AQ1006),$AM$1006:$BM$1006,0)))),"Fix")))</f>
        <v xml:space="preserve"> </v>
      </c>
      <c r="G987" s="4" t="str">
        <f ca="1">IF(OR(INDEX($AG$2:$AG$1001,MATCH(ROWS($AF$2:AF987),$AF$2:$AF$1001,0),1)&gt;=100000,INDEX($AM$1005:$BM$1005,1,MATCH(COLUMNS($AM$1006:AR1006),$AM$1006:$BM$1006,0))&gt;=100000), " ",IF(INDEX($AM$2:$BM$1001,MATCH(ROWS($AF$2:AF987),$AF$2:$AF$1001,0),MATCH(COLUMNS($AM$1006:AR1006),$AM$1006:$BM$1006,0)), HYPERLINK("#",""), HYPERLINK(CONCATENATE("#metadata!", ADDRESS(INDEX($AH$2:$AH$1001,MATCH(ROWS($AF$2:AF987),$AF$2:$AF$1001,0),0), INDEX($AM$1004:$BM$1004,1,MATCH(COLUMNS($AM$1006:AR1006),$AM$1006:$BM$1006,0)))),"Fix")))</f>
        <v xml:space="preserve"> </v>
      </c>
      <c r="H987" s="4" t="str">
        <f ca="1">IF(OR(INDEX($AG$2:$AG$1001,MATCH(ROWS($AF$2:AF987),$AF$2:$AF$1001,0),1)&gt;=100000,INDEX($AM$1005:$BM$1005,1,MATCH(COLUMNS($AM$1006:AS1006),$AM$1006:$BM$1006,0))&gt;=100000), " ",IF(INDEX($AM$2:$BM$1001,MATCH(ROWS($AF$2:AF987),$AF$2:$AF$1001,0),MATCH(COLUMNS($AM$1006:AS1006),$AM$1006:$BM$1006,0)), HYPERLINK("#",""), HYPERLINK(CONCATENATE("#metadata!", ADDRESS(INDEX($AH$2:$AH$1001,MATCH(ROWS($AF$2:AF987),$AF$2:$AF$1001,0),0), INDEX($AM$1004:$BM$1004,1,MATCH(COLUMNS($AM$1006:AS1006),$AM$1006:$BM$1006,0)))),"Fix")))</f>
        <v xml:space="preserve"> </v>
      </c>
      <c r="I987" s="4" t="str">
        <f ca="1">IF(OR(INDEX($AG$2:$AG$1001,MATCH(ROWS($AF$2:AF987),$AF$2:$AF$1001,0),1)&gt;=100000,INDEX($AM$1005:$BM$1005,1,MATCH(COLUMNS($AM$1006:AT1006),$AM$1006:$BM$1006,0))&gt;=100000), " ",IF(INDEX($AM$2:$BM$1001,MATCH(ROWS($AF$2:AF987),$AF$2:$AF$1001,0),MATCH(COLUMNS($AM$1006:AT1006),$AM$1006:$BM$1006,0)), HYPERLINK("#",""), HYPERLINK(CONCATENATE("#metadata!", ADDRESS(INDEX($AH$2:$AH$1001,MATCH(ROWS($AF$2:AF987),$AF$2:$AF$1001,0),0), INDEX($AM$1004:$BM$1004,1,MATCH(COLUMNS($AM$1006:AT1006),$AM$1006:$BM$1006,0)))),"Fix")))</f>
        <v xml:space="preserve"> </v>
      </c>
      <c r="J987" s="4" t="str">
        <f ca="1">IF(OR(INDEX($AG$2:$AG$1001,MATCH(ROWS($AF$2:AF987),$AF$2:$AF$1001,0),1)&gt;=100000,INDEX($AM$1005:$BM$1005,1,MATCH(COLUMNS($AM$1006:AU1006),$AM$1006:$BM$1006,0))&gt;=100000), " ",IF(INDEX($AM$2:$BM$1001,MATCH(ROWS($AF$2:AF987),$AF$2:$AF$1001,0),MATCH(COLUMNS($AM$1006:AU1006),$AM$1006:$BM$1006,0)), HYPERLINK("#",""), HYPERLINK(CONCATENATE("#metadata!", ADDRESS(INDEX($AH$2:$AH$1001,MATCH(ROWS($AF$2:AF987),$AF$2:$AF$1001,0),0), INDEX($AM$1004:$BM$1004,1,MATCH(COLUMNS($AM$1006:AU1006),$AM$1006:$BM$1006,0)))),"Fix")))</f>
        <v xml:space="preserve"> </v>
      </c>
      <c r="K987" s="4" t="str">
        <f ca="1">IF(OR(INDEX($AG$2:$AG$1001,MATCH(ROWS($AF$2:AF987),$AF$2:$AF$1001,0),1)&gt;=100000,INDEX($AM$1005:$BM$1005,1,MATCH(COLUMNS($AM$1006:AV1006),$AM$1006:$BM$1006,0))&gt;=100000), " ",IF(INDEX($AM$2:$BM$1001,MATCH(ROWS($AF$2:AF987),$AF$2:$AF$1001,0),MATCH(COLUMNS($AM$1006:AV1006),$AM$1006:$BM$1006,0)), HYPERLINK("#",""), HYPERLINK(CONCATENATE("#metadata!", ADDRESS(INDEX($AH$2:$AH$1001,MATCH(ROWS($AF$2:AF987),$AF$2:$AF$1001,0),0), INDEX($AM$1004:$BM$1004,1,MATCH(COLUMNS($AM$1006:AV1006),$AM$1006:$BM$1006,0)))),"Fix")))</f>
        <v xml:space="preserve"> </v>
      </c>
      <c r="L987" s="4" t="str">
        <f ca="1">IF(OR(INDEX($AG$2:$AG$1001,MATCH(ROWS($AF$2:AF987),$AF$2:$AF$1001,0),1)&gt;=100000,INDEX($AM$1005:$BM$1005,1,MATCH(COLUMNS($AM$1006:AW1006),$AM$1006:$BM$1006,0))&gt;=100000), " ",IF(INDEX($AM$2:$BM$1001,MATCH(ROWS($AF$2:AF987),$AF$2:$AF$1001,0),MATCH(COLUMNS($AM$1006:AW1006),$AM$1006:$BM$1006,0)), HYPERLINK("#",""), HYPERLINK(CONCATENATE("#metadata!", ADDRESS(INDEX($AH$2:$AH$1001,MATCH(ROWS($AF$2:AF987),$AF$2:$AF$1001,0),0), INDEX($AM$1004:$BM$1004,1,MATCH(COLUMNS($AM$1006:AW1006),$AM$1006:$BM$1006,0)))),"Fix")))</f>
        <v xml:space="preserve"> </v>
      </c>
      <c r="M987" s="4" t="str">
        <f ca="1">IF(OR(INDEX($AG$2:$AG$1001,MATCH(ROWS($AF$2:AF987),$AF$2:$AF$1001,0),1)&gt;=100000,INDEX($AM$1005:$BM$1005,1,MATCH(COLUMNS($AM$1006:AX1006),$AM$1006:$BM$1006,0))&gt;=100000), " ",IF(INDEX($AM$2:$BM$1001,MATCH(ROWS($AF$2:AF987),$AF$2:$AF$1001,0),MATCH(COLUMNS($AM$1006:AX1006),$AM$1006:$BM$1006,0)), HYPERLINK("#",""), HYPERLINK(CONCATENATE("#metadata!", ADDRESS(INDEX($AH$2:$AH$1001,MATCH(ROWS($AF$2:AF987),$AF$2:$AF$1001,0),0), INDEX($AM$1004:$BM$1004,1,MATCH(COLUMNS($AM$1006:AX1006),$AM$1006:$BM$1006,0)))),"Fix")))</f>
        <v xml:space="preserve"> </v>
      </c>
      <c r="N987" s="4" t="str">
        <f ca="1">IF(OR(INDEX($AG$2:$AG$1001,MATCH(ROWS($AF$2:AF987),$AF$2:$AF$1001,0),1)&gt;=100000,INDEX($AM$1005:$BM$1005,1,MATCH(COLUMNS($AM$1006:AY1006),$AM$1006:$BM$1006,0))&gt;=100000), " ",IF(INDEX($AM$2:$BM$1001,MATCH(ROWS($AF$2:AF987),$AF$2:$AF$1001,0),MATCH(COLUMNS($AM$1006:AY1006),$AM$1006:$BM$1006,0)), HYPERLINK("#",""), HYPERLINK(CONCATENATE("#metadata!", ADDRESS(INDEX($AH$2:$AH$1001,MATCH(ROWS($AF$2:AF987),$AF$2:$AF$1001,0),0), INDEX($AM$1004:$BM$1004,1,MATCH(COLUMNS($AM$1006:AY1006),$AM$1006:$BM$1006,0)))),"Fix")))</f>
        <v xml:space="preserve"> </v>
      </c>
      <c r="O987" s="4" t="str">
        <f ca="1">IF(OR(INDEX($AG$2:$AG$1001,MATCH(ROWS($AF$2:AF987),$AF$2:$AF$1001,0),1)&gt;=100000,INDEX($AM$1005:$BM$1005,1,MATCH(COLUMNS($AM$1006:AZ1006),$AM$1006:$BM$1006,0))&gt;=100000), " ",IF(INDEX($AM$2:$BM$1001,MATCH(ROWS($AF$2:AF987),$AF$2:$AF$1001,0),MATCH(COLUMNS($AM$1006:AZ1006),$AM$1006:$BM$1006,0)), HYPERLINK("#",""), HYPERLINK(CONCATENATE("#metadata!", ADDRESS(INDEX($AH$2:$AH$1001,MATCH(ROWS($AF$2:AF987),$AF$2:$AF$1001,0),0), INDEX($AM$1004:$BM$1004,1,MATCH(COLUMNS($AM$1006:AZ1006),$AM$1006:$BM$1006,0)))),"Fix")))</f>
        <v xml:space="preserve"> </v>
      </c>
      <c r="P987" s="4" t="str">
        <f ca="1">IF(OR(INDEX($AG$2:$AG$1001,MATCH(ROWS($AF$2:AF987),$AF$2:$AF$1001,0),1)&gt;=100000,INDEX($AM$1005:$BM$1005,1,MATCH(COLUMNS($AM$1006:BA1006),$AM$1006:$BM$1006,0))&gt;=100000), " ",IF(INDEX($AM$2:$BM$1001,MATCH(ROWS($AF$2:AF987),$AF$2:$AF$1001,0),MATCH(COLUMNS($AM$1006:BA1006),$AM$1006:$BM$1006,0)), HYPERLINK("#",""), HYPERLINK(CONCATENATE("#metadata!", ADDRESS(INDEX($AH$2:$AH$1001,MATCH(ROWS($AF$2:AF987),$AF$2:$AF$1001,0),0), INDEX($AM$1004:$BM$1004,1,MATCH(COLUMNS($AM$1006:BA1006),$AM$1006:$BM$1006,0)))),"Fix")))</f>
        <v xml:space="preserve"> </v>
      </c>
      <c r="Q987" s="4" t="str">
        <f ca="1">IF(OR(INDEX($AG$2:$AG$1001,MATCH(ROWS($AF$2:AF987),$AF$2:$AF$1001,0),1)&gt;=100000,INDEX($AM$1005:$BM$1005,1,MATCH(COLUMNS($AM$1006:BB1006),$AM$1006:$BM$1006,0))&gt;=100000), " ",IF(INDEX($AM$2:$BM$1001,MATCH(ROWS($AF$2:AF987),$AF$2:$AF$1001,0),MATCH(COLUMNS($AM$1006:BB1006),$AM$1006:$BM$1006,0)), HYPERLINK("#",""), HYPERLINK(CONCATENATE("#metadata!", ADDRESS(INDEX($AH$2:$AH$1001,MATCH(ROWS($AF$2:AF987),$AF$2:$AF$1001,0),0), INDEX($AM$1004:$BM$1004,1,MATCH(COLUMNS($AM$1006:BB1006),$AM$1006:$BM$1006,0)))),"Fix")))</f>
        <v xml:space="preserve"> </v>
      </c>
      <c r="R987" s="4" t="str">
        <f ca="1">IF(OR(INDEX($AG$2:$AG$1001,MATCH(ROWS($AF$2:AF987),$AF$2:$AF$1001,0),1)&gt;=100000,INDEX($AM$1005:$BM$1005,1,MATCH(COLUMNS($AM$1006:BC1006),$AM$1006:$BM$1006,0))&gt;=100000), " ",IF(INDEX($AM$2:$BM$1001,MATCH(ROWS($AF$2:AF987),$AF$2:$AF$1001,0),MATCH(COLUMNS($AM$1006:BC1006),$AM$1006:$BM$1006,0)), HYPERLINK("#",""), HYPERLINK(CONCATENATE("#metadata!", ADDRESS(INDEX($AH$2:$AH$1001,MATCH(ROWS($AF$2:AF987),$AF$2:$AF$1001,0),0), INDEX($AM$1004:$BM$1004,1,MATCH(COLUMNS($AM$1006:BC1006),$AM$1006:$BM$1006,0)))),"Fix")))</f>
        <v xml:space="preserve"> </v>
      </c>
      <c r="S987" s="4" t="str">
        <f ca="1">IF(OR(INDEX($AG$2:$AG$1001,MATCH(ROWS($AF$2:AF987),$AF$2:$AF$1001,0),1)&gt;=100000,INDEX($AM$1005:$BM$1005,1,MATCH(COLUMNS($AM$1006:BD1006),$AM$1006:$BM$1006,0))&gt;=100000), " ",IF(INDEX($AM$2:$BM$1001,MATCH(ROWS($AF$2:AF987),$AF$2:$AF$1001,0),MATCH(COLUMNS($AM$1006:BD1006),$AM$1006:$BM$1006,0)), HYPERLINK("#",""), HYPERLINK(CONCATENATE("#metadata!", ADDRESS(INDEX($AH$2:$AH$1001,MATCH(ROWS($AF$2:AF987),$AF$2:$AF$1001,0),0), INDEX($AM$1004:$BM$1004,1,MATCH(COLUMNS($AM$1006:BD1006),$AM$1006:$BM$1006,0)))),"Fix")))</f>
        <v xml:space="preserve"> </v>
      </c>
      <c r="T987" s="4" t="str">
        <f ca="1">IF(OR(INDEX($AG$2:$AG$1001,MATCH(ROWS($AF$2:AF987),$AF$2:$AF$1001,0),1)&gt;=100000,INDEX($AM$1005:$BM$1005,1,MATCH(COLUMNS($AM$1006:BE1006),$AM$1006:$BM$1006,0))&gt;=100000), " ",IF(INDEX($AM$2:$BM$1001,MATCH(ROWS($AF$2:AF987),$AF$2:$AF$1001,0),MATCH(COLUMNS($AM$1006:BE1006),$AM$1006:$BM$1006,0)), HYPERLINK("#",""), HYPERLINK(CONCATENATE("#metadata!", ADDRESS(INDEX($AH$2:$AH$1001,MATCH(ROWS($AF$2:AF987),$AF$2:$AF$1001,0),0), INDEX($AM$1004:$BM$1004,1,MATCH(COLUMNS($AM$1006:BE1006),$AM$1006:$BM$1006,0)))),"Fix")))</f>
        <v xml:space="preserve"> </v>
      </c>
      <c r="U987" s="4" t="str">
        <f ca="1">IF(OR(INDEX($AG$2:$AG$1001,MATCH(ROWS($AF$2:AF987),$AF$2:$AF$1001,0),1)&gt;=100000,INDEX($AM$1005:$BM$1005,1,MATCH(COLUMNS($AM$1006:BF1006),$AM$1006:$BM$1006,0))&gt;=100000), " ",IF(INDEX($AM$2:$BM$1001,MATCH(ROWS($AF$2:AF987),$AF$2:$AF$1001,0),MATCH(COLUMNS($AM$1006:BF1006),$AM$1006:$BM$1006,0)), HYPERLINK("#",""), HYPERLINK(CONCATENATE("#metadata!", ADDRESS(INDEX($AH$2:$AH$1001,MATCH(ROWS($AF$2:AF987),$AF$2:$AF$1001,0),0), INDEX($AM$1004:$BM$1004,1,MATCH(COLUMNS($AM$1006:BF1006),$AM$1006:$BM$1006,0)))),"Fix")))</f>
        <v xml:space="preserve"> </v>
      </c>
      <c r="V987" s="4" t="str">
        <f ca="1">IF(OR(INDEX($AG$2:$AG$1001,MATCH(ROWS($AF$2:AF987),$AF$2:$AF$1001,0),1)&gt;=100000,INDEX($AM$1005:$BM$1005,1,MATCH(COLUMNS($AM$1006:BG1006),$AM$1006:$BM$1006,0))&gt;=100000), " ",IF(INDEX($AM$2:$BM$1001,MATCH(ROWS($AF$2:AF987),$AF$2:$AF$1001,0),MATCH(COLUMNS($AM$1006:BG1006),$AM$1006:$BM$1006,0)), HYPERLINK("#",""), HYPERLINK(CONCATENATE("#metadata!", ADDRESS(INDEX($AH$2:$AH$1001,MATCH(ROWS($AF$2:AF987),$AF$2:$AF$1001,0),0), INDEX($AM$1004:$BM$1004,1,MATCH(COLUMNS($AM$1006:BG1006),$AM$1006:$BM$1006,0)))),"Fix")))</f>
        <v xml:space="preserve"> </v>
      </c>
      <c r="W987" s="4" t="str">
        <f ca="1">IF(OR(INDEX($AG$2:$AG$1001,MATCH(ROWS($AF$2:AF987),$AF$2:$AF$1001,0),1)&gt;=100000,INDEX($AM$1005:$BM$1005,1,MATCH(COLUMNS($AM$1006:BH1006),$AM$1006:$BM$1006,0))&gt;=100000), " ",IF(INDEX($AM$2:$BM$1001,MATCH(ROWS($AF$2:AF987),$AF$2:$AF$1001,0),MATCH(COLUMNS($AM$1006:BH1006),$AM$1006:$BM$1006,0)), HYPERLINK("#",""), HYPERLINK(CONCATENATE("#metadata!", ADDRESS(INDEX($AH$2:$AH$1001,MATCH(ROWS($AF$2:AF987),$AF$2:$AF$1001,0),0), INDEX($AM$1004:$BM$1004,1,MATCH(COLUMNS($AM$1006:BH1006),$AM$1006:$BM$1006,0)))),"Fix")))</f>
        <v xml:space="preserve"> </v>
      </c>
      <c r="X987" s="4" t="str">
        <f ca="1">IF(OR(INDEX($AG$2:$AG$1001,MATCH(ROWS($AF$2:AF987),$AF$2:$AF$1001,0),1)&gt;=100000,INDEX($AM$1005:$BM$1005,1,MATCH(COLUMNS($AM$1006:BI1006),$AM$1006:$BM$1006,0))&gt;=100000), " ",IF(INDEX($AM$2:$BM$1001,MATCH(ROWS($AF$2:AF987),$AF$2:$AF$1001,0),MATCH(COLUMNS($AM$1006:BI1006),$AM$1006:$BM$1006,0)), HYPERLINK("#",""), HYPERLINK(CONCATENATE("#metadata!", ADDRESS(INDEX($AH$2:$AH$1001,MATCH(ROWS($AF$2:AF987),$AF$2:$AF$1001,0),0), INDEX($AM$1004:$BM$1004,1,MATCH(COLUMNS($AM$1006:BI1006),$AM$1006:$BM$1006,0)))),"Fix")))</f>
        <v xml:space="preserve"> </v>
      </c>
      <c r="Y987" s="4" t="str">
        <f ca="1">IF(OR(INDEX($AG$2:$AG$1001,MATCH(ROWS($AF$2:AF987),$AF$2:$AF$1001,0),1)&gt;=100000,INDEX($AM$1005:$BM$1005,1,MATCH(COLUMNS($AM$1006:BJ1006),$AM$1006:$BM$1006,0))&gt;=100000), " ",IF(INDEX($AM$2:$BM$1001,MATCH(ROWS($AF$2:AF987),$AF$2:$AF$1001,0),MATCH(COLUMNS($AM$1006:BJ1006),$AM$1006:$BM$1006,0)), HYPERLINK("#",""), HYPERLINK(CONCATENATE("#metadata!", ADDRESS(INDEX($AH$2:$AH$1001,MATCH(ROWS($AF$2:AF987),$AF$2:$AF$1001,0),0), INDEX($AM$1004:$BM$1004,1,MATCH(COLUMNS($AM$1006:BJ1006),$AM$1006:$BM$1006,0)))),"Fix")))</f>
        <v xml:space="preserve"> </v>
      </c>
      <c r="Z987" s="4" t="str">
        <f ca="1">IF(OR(INDEX($AG$2:$AG$1001,MATCH(ROWS($AF$2:AF987),$AF$2:$AF$1001,0),1)&gt;=100000,INDEX($AM$1005:$BM$1005,1,MATCH(COLUMNS($AM$1006:BK1006),$AM$1006:$BM$1006,0))&gt;=100000), " ",IF(INDEX($AM$2:$BM$1001,MATCH(ROWS($AF$2:AF987),$AF$2:$AF$1001,0),MATCH(COLUMNS($AM$1006:BK1006),$AM$1006:$BM$1006,0)), HYPERLINK("#",""), HYPERLINK(CONCATENATE("#metadata!", ADDRESS(INDEX($AH$2:$AH$1001,MATCH(ROWS($AF$2:AF987),$AF$2:$AF$1001,0),0), INDEX($AM$1004:$BM$1004,1,MATCH(COLUMNS($AM$1006:BK1006),$AM$1006:$BM$1006,0)))),"Fix")))</f>
        <v xml:space="preserve"> </v>
      </c>
      <c r="AA987" s="4" t="str">
        <f ca="1">IF(OR(INDEX($AG$2:$AG$1001,MATCH(ROWS($AF$2:AF987),$AF$2:$AF$1001,0),1)&gt;=100000,INDEX($AM$1005:$BM$1005,1,MATCH(COLUMNS($AM$1006:BL1006),$AM$1006:$BM$1006,0))&gt;=100000), " ",IF(INDEX($AM$2:$BM$1001,MATCH(ROWS($AF$2:AF987),$AF$2:$AF$1001,0),MATCH(COLUMNS($AM$1006:BL1006),$AM$1006:$BM$1006,0)), HYPERLINK("#",""), HYPERLINK(CONCATENATE("#metadata!", ADDRESS(INDEX($AH$2:$AH$1001,MATCH(ROWS($AF$2:AF987),$AF$2:$AF$1001,0),0), INDEX($AM$1004:$BM$1004,1,MATCH(COLUMNS($AM$1006:BL1006),$AM$1006:$BM$1006,0)))),"Fix")))</f>
        <v xml:space="preserve"> </v>
      </c>
      <c r="AB987" s="4" t="str">
        <f ca="1">IF(OR(INDEX($AG$2:$AG$1001,MATCH(ROWS($AF$2:AF987),$AF$2:$AF$1001,0),1)&gt;=100000,INDEX($AM$1005:$BM$1005,1,MATCH(COLUMNS($AM$1006:BM1006),$AM$1006:$BM$1006,0))&gt;=100000), " ",IF(INDEX($AM$2:$BM$1001,MATCH(ROWS($AF$2:AF987),$AF$2:$AF$1001,0),MATCH(COLUMNS($AM$1006:BM1006),$AM$1006:$BM$1006,0)), HYPERLINK("#",""), HYPERLINK(CONCATENATE("#metadata!", ADDRESS(INDEX($AH$2:$AH$1001,MATCH(ROWS($AF$2:AF987),$AF$2:$AF$1001,0),0), INDEX($AM$1004:$BM$1004,1,MATCH(COLUMNS($AM$1006:BM1006),$AM$1006:$BM$1006,0)))),"Fix")))</f>
        <v xml:space="preserve"> </v>
      </c>
      <c r="AF987">
        <v>986</v>
      </c>
      <c r="AG987">
        <v>100987</v>
      </c>
      <c r="AH987">
        <v>987</v>
      </c>
      <c r="AI987" t="b">
        <f t="shared" si="15"/>
        <v>1</v>
      </c>
      <c r="AJ987" t="b">
        <f>COUNTBLANK(metadata!B987:AB987)=COLUMNS(metadata!B987:AB987)</f>
        <v>1</v>
      </c>
      <c r="AK987" t="str">
        <v/>
      </c>
      <c r="AM987" t="b">
        <f ca="1">AND(IF(metadata!B987="",FALSE,TRUE),COUNTIF(metadata!B:B, metadata!B987) = 1,NOT(ISERROR(SUMPRODUCT(SEARCH(MID(metadata!B987,ROW(INDIRECT("1:"&amp;LEN(metadata!B987))), 1),"0123456789abcdefghijklmnopqrstuvwxyzABCDEFGHIJKLMNOPQRSTUVWXYZ.")))))</f>
        <v>0</v>
      </c>
      <c r="AN987" t="b">
        <f ca="1">OR(AND(IF(metadata!C987="",FALSE,TRUE),OR(EXACT(metadata!C987,"missing: not collected"),EXACT(metadata!C987,"missing: not provided"),EXACT(metadata!C987,"missing: restricted access"))),AND(IF(metadata!C987="",FALSE,TRUE),AND(AND(IFERROR(INT(LEFT(metadata!C987,4))&gt;1900,FALSE),IFERROR(INT(LEFT(metadata!C987,4))&lt;=YEAR(NOW()),FALSE)), OR(MID(metadata!C987,5,1)="", AND(AND(MID(metadata!C987,5,1)="-",IFERROR(INT(MID(metadata!C987,6,1))&gt;=0,FALSE),IFERROR(INT(MID(metadata!C987,6,1))&lt;=1,FALSE),NOT(MID(metadata!C987,7,1)=""),IFERROR(INT(MID(metadata!C987,6,2))&gt;=1,FALSE),IFERROR(INT(MID(metadata!C987,6,2))&lt;=12,FALSE)), OR(MID(metadata!C987,8,1)="", AND(AND(MID(metadata!C987,8,1)="-",IFERROR(INT(MID(metadata!C987,9,1))&gt;=0,FALSE),IFERROR(INT(MID(metadata!C987,9,1))&lt;=3,FALSE),NOT(MID(metadata!C987,10,1)=""),IFERROR(INT(MID(metadata!C987,9,2))&gt;=1,FALSE),IFERROR(INT(MID(metadata!C987,9,2))&lt;=31,FALSE)), OR(MID(metadata!C987,11,1)="", AND(AND(MID(metadata!C987,11,1)=" ",IFERROR(INT(MID(metadata!C987,12,1))&gt;=0,FALSE),IFERROR(INT(MID(metadata!C987,12,1))&lt;=2,FALSE),NOT(MID(metadata!C987,13,1)=""),IFERROR(INT(MID(metadata!C987,12,2))&gt;=0,FALSE),IFERROR(INT(MID(metadata!C987,12,2))&lt;=23,FALSE)), OR(MID(metadata!C987,14,1)="", AND(AND(MID(metadata!C987,14,1)=":",IFERROR(INT(MID(metadata!C987,15,1))&gt;=0,FALSE),IFERROR(INT(MID(metadata!C987,15,1))&lt;=5,FALSE),NOT(MID(metadata!C987,16,1)=""),IFERROR(INT(MID(metadata!C987,15,2))&gt;=0,FALSE),IFERROR(INT(MID(metadata!C987,15,2))&lt;=59,FALSE)), OR(MID(metadata!C987,17,1)="", AND(AND(MID(metadata!C987,17,1)=":",IFERROR(INT(MID(metadata!C987,18,1))&gt;=0,FALSE),IFERROR(INT(MID(metadata!C987,18,1))&lt;=5,FALSE),NOT(MID(metadata!C987,19,1)=""),IFERROR(INT(MID(metadata!C987,18,2))&gt;=0,FALSE),IFERROR(INT(MID(metadata!C987,18,2))&lt;=59,FALSE)), LEN(metadata!C987)&lt;=19)))))))))))))</f>
        <v>0</v>
      </c>
      <c r="AO987" t="b">
        <f>AND(IF(metadata!D987="",FALSE,TRUE),EXACT(metadata!D987,"Not applicable"))</f>
        <v>0</v>
      </c>
      <c r="AP987" t="b">
        <f>IF(metadata!E987="",FALSE,TRUE)</f>
        <v>0</v>
      </c>
      <c r="AQ987" t="b">
        <f>OR(AND(IF(metadata!F987="",FALSE,TRUE),OR(EXACT(metadata!F987,"missing: not collected"),EXACT(metadata!F987,"missing: not provided"))),AND(IF(metadata!F987="",FALSE,TRUE),OR(EXACT(metadata!F987,"TRUE"),EXACT(metadata!F987,"FALSE"))))</f>
        <v>0</v>
      </c>
      <c r="AR987" t="b">
        <f>OR(AND(IF(metadata!G987="",FALSE,TRUE),OR(EXACT(metadata!G987,"missing: not collected"),EXACT(metadata!G987,"missing: not provided"),EXACT(metadata!G987,"missing: restricted access"))),AND(IF(metadata!G987="",FALSE,ISNUMBER(VALUE(metadata!G987))),metadata!G987&gt;=-413))</f>
        <v>0</v>
      </c>
      <c r="AS987" t="b">
        <f>AND(IF(metadata!H987="",FALSE,TRUE),EXACT(metadata!H987,"meters"))</f>
        <v>0</v>
      </c>
      <c r="AT987" t="b">
        <f>AND(IF(metadata!I987="",FALSE,TRUE),OR(EXACT(metadata!I987,"Host-associated"),EXACT(metadata!I987,"Free-living")))</f>
        <v>0</v>
      </c>
      <c r="AU987" t="b">
        <f>AND(IF(metadata!J987="",FALSE,TRUE),OR(EXACT(metadata!J987,"Animal"),EXACT(metadata!J987,"Fungus"),EXACT(metadata!J987,"Plant"),EXACT(metadata!J987,"Saline"),EXACT(metadata!J987,"Non-saline")))</f>
        <v>0</v>
      </c>
      <c r="AV987" t="b">
        <f>AND(IF(metadata!K987="",FALSE,TRUE),OR(EXACT(metadata!K987,"Plant secretion"),EXACT(metadata!K987,"Plant rhizosphere"),EXACT(metadata!K987,"Plant surface"),EXACT(metadata!K987,"Plant corpus"),EXACT(metadata!K987,"Fungus surface"),EXACT(metadata!K987,"Fungus corpus"),EXACT(metadata!K987,"Animal surface"),EXACT(metadata!K987,"Animal proximal gut"),EXACT(metadata!K987,"Animal corpus"),EXACT(metadata!K987,"Animal distal gut"),EXACT(metadata!K987,"Animal secretion"),EXACT(metadata!K987,"Sub-surface (non-saline)"),EXACT(metadata!K987,"Surface (non-saline)"),EXACT(metadata!K987,"Water (non-saline)"),EXACT(metadata!K987,"Soil (non-saline)"),EXACT(metadata!K987,"Aerosol (non-saline)"),EXACT(metadata!K987,"Sediment (non-saline)"),EXACT(metadata!K987,"Surface (saline)"),EXACT(metadata!K987,"Water (saline)"),EXACT(metadata!K987,"Hypersaline (saline)"),EXACT(metadata!K987,"Aerosol (saline)"),EXACT(metadata!K987,"Sediment (saline)")))</f>
        <v>0</v>
      </c>
      <c r="AW987" t="b">
        <f>IF(metadata!L987="",FALSE,TRUE)</f>
        <v>0</v>
      </c>
      <c r="AX987" t="b">
        <f>IF(metadata!M987="",FALSE,TRUE)</f>
        <v>0</v>
      </c>
      <c r="AY987" t="b">
        <f>IF(metadata!N987="",FALSE,TRUE)</f>
        <v>0</v>
      </c>
      <c r="AZ987" t="b">
        <f>OR(AND(IF(metadata!O987="",FALSE,TRUE),OR(EXACT(metadata!O987,"missing: not collected"),EXACT(metadata!O987,"missing: not provided"),EXACT(metadata!O987,"missing: restricted access"))),AND(IF(metadata!O987="",FALSE,TRUE),OR(EXACT(metadata!O987,"air"),EXACT(metadata!O987,"built environment"),EXACT(metadata!O987,"host-associated"),EXACT(metadata!O987,"human-associated"),EXACT(metadata!O987,"human-skin"),EXACT(metadata!O987,"human-oral"),EXACT(metadata!O987,"human-gut"),EXACT(metadata!O987,"human-vaginal"),EXACT(metadata!O987,"microbial mat/biofilm"),EXACT(metadata!O987,"misc environment"),EXACT(metadata!O987,"plant-associated"),EXACT(metadata!O987,"sediment"),EXACT(metadata!O987,"soil"),EXACT(metadata!O987,"wastewater/sludge"),EXACT(metadata!O987,"water"))))</f>
        <v>0</v>
      </c>
      <c r="BA987" t="b">
        <f>IF(metadata!P987="",FALSE,TRUE)</f>
        <v>0</v>
      </c>
      <c r="BB987" t="b">
        <f>IF(metadata!Q987="",FALSE,TRUE)</f>
        <v>0</v>
      </c>
      <c r="BC987" t="b">
        <f>OR(AND(IF(metadata!R987="",FALSE,TRUE),OR(EXACT(metadata!R987,"missing: not collected"),EXACT(metadata!R987,"missing: not provided"),EXACT(metadata!R987,"missing: restricted access"))),AND(IF(metadata!R987="",FALSE,ISNUMBER(VALUE(metadata!R987))),metadata!R987&gt;=-90,metadata!R987&lt;=90))</f>
        <v>0</v>
      </c>
      <c r="BD987" t="b">
        <f>AND(IF(metadata!S987="",FALSE,TRUE),EXACT(metadata!S987,"Decimal degrees"))</f>
        <v>0</v>
      </c>
      <c r="BE987" t="b">
        <f>OR(AND(IF(metadata!T987="",FALSE,TRUE),OR(EXACT(metadata!T987,"missing: not collected"),EXACT(metadata!T987,"missing: not provided"),EXACT(metadata!T987,"missing: restricted access"))),AND(IF(metadata!T987="",FALSE,ISNUMBER(VALUE(metadata!T987))),metadata!T987&gt;=-180,metadata!T987&lt;=180))</f>
        <v>0</v>
      </c>
      <c r="BF987" t="b">
        <f>AND(IF(metadata!U987="",FALSE,TRUE),EXACT(metadata!U987,"Decimal degrees"))</f>
        <v>0</v>
      </c>
      <c r="BG987" t="b">
        <f>IF(metadata!V987="",FALSE,TRUE)</f>
        <v>0</v>
      </c>
      <c r="BH987" t="b">
        <f>OR(AND(IF(metadata!W987="",FALSE,TRUE),OR(EXACT(metadata!W987,"missing: not collected"),EXACT(metadata!W987,"missing: not provided"),EXACT(metadata!W987,"missing: restricted access"))),AND(IF(metadata!W987="",FALSE,TRUE),OR(EXACT(metadata!W987,"TRUE"),EXACT(metadata!W987,"FALSE"))))</f>
        <v>0</v>
      </c>
      <c r="BI987" t="b">
        <f>AND(IF(metadata!X987="",FALSE,TRUE),EXACT(metadata!X987,"other"))</f>
        <v>0</v>
      </c>
      <c r="BJ987" t="b">
        <f>IF(metadata!Y987="",FALSE,TRUE)</f>
        <v>0</v>
      </c>
      <c r="BK987" t="b">
        <f>OR(AND(IF(metadata!Z987="",FALSE,TRUE),OR(EXACT(metadata!Z987,"missing: not collected"),EXACT(metadata!Z987,"missing: not provided"))),AND(IF(metadata!Z987="",FALSE,IF(ISERROR(INT(metadata!Z987)),FALSE,INT(metadata!Z987)=metadata!Z987)),metadata!Z987&gt;0))</f>
        <v>0</v>
      </c>
      <c r="BL987" t="b">
        <f>AND(IF(metadata!AA987="",FALSE,TRUE),EXACT(metadata!AA987,"Not applicable"))</f>
        <v>0</v>
      </c>
      <c r="BM987" t="b">
        <f>IF(metadata!AB987="",FALSE,TRUE)</f>
        <v>0</v>
      </c>
    </row>
    <row r="988" spans="1:65" x14ac:dyDescent="0.2">
      <c r="A988" s="5" t="str">
        <f ca="1">IF(B988=" "," ",HYPERLINK(CONCATENATE("#metadata!",ADDRESS(INDEX($AH$2:$AH$1001,MATCH(ROWS($AF$2:AF988),$AF$2:$AF$1001,0),0),1)),INDEX($AK$2:$AK$1001,MATCH(ROWS($AF$2:AF988),$AF$2:$AF$1001,0),0)))</f>
        <v xml:space="preserve"> </v>
      </c>
      <c r="B988" s="4" t="str">
        <f ca="1">IF(OR(INDEX($AG$2:$AG$1001,MATCH(ROWS($AF$2:AF988),$AF$2:$AF$1001,0),1)&gt;=100000,INDEX($AM$1005:$BM$1005,1,MATCH(COLUMNS($AM$1006:AM1006),$AM$1006:$BM$1006,0))&gt;=100000), " ",IF(INDEX($AM$2:$BM$1001,MATCH(ROWS($AF$2:AF988),$AF$2:$AF$1001,0),MATCH(COLUMNS($AM$1006:AM1006),$AM$1006:$BM$1006,0)), HYPERLINK("#",""), HYPERLINK(CONCATENATE("#metadata!", ADDRESS(INDEX($AH$2:$AH$1001,MATCH(ROWS($AF$2:AF988),$AF$2:$AF$1001,0),0), INDEX($AM$1004:$BM$1004,1,MATCH(COLUMNS($AM$1006:AM1006),$AM$1006:$BM$1006,0)))),"Fix")))</f>
        <v xml:space="preserve"> </v>
      </c>
      <c r="C988" s="4" t="str">
        <f ca="1">IF(OR(INDEX($AG$2:$AG$1001,MATCH(ROWS($AF$2:AF988),$AF$2:$AF$1001,0),1)&gt;=100000,INDEX($AM$1005:$BM$1005,1,MATCH(COLUMNS($AM$1006:AN1006),$AM$1006:$BM$1006,0))&gt;=100000), " ",IF(INDEX($AM$2:$BM$1001,MATCH(ROWS($AF$2:AF988),$AF$2:$AF$1001,0),MATCH(COLUMNS($AM$1006:AN1006),$AM$1006:$BM$1006,0)), HYPERLINK("#",""), HYPERLINK(CONCATENATE("#metadata!", ADDRESS(INDEX($AH$2:$AH$1001,MATCH(ROWS($AF$2:AF988),$AF$2:$AF$1001,0),0), INDEX($AM$1004:$BM$1004,1,MATCH(COLUMNS($AM$1006:AN1006),$AM$1006:$BM$1006,0)))),"Fix")))</f>
        <v xml:space="preserve"> </v>
      </c>
      <c r="D988" s="4" t="str">
        <f ca="1">IF(OR(INDEX($AG$2:$AG$1001,MATCH(ROWS($AF$2:AF988),$AF$2:$AF$1001,0),1)&gt;=100000,INDEX($AM$1005:$BM$1005,1,MATCH(COLUMNS($AM$1006:AO1006),$AM$1006:$BM$1006,0))&gt;=100000), " ",IF(INDEX($AM$2:$BM$1001,MATCH(ROWS($AF$2:AF988),$AF$2:$AF$1001,0),MATCH(COLUMNS($AM$1006:AO1006),$AM$1006:$BM$1006,0)), HYPERLINK("#",""), HYPERLINK(CONCATENATE("#metadata!", ADDRESS(INDEX($AH$2:$AH$1001,MATCH(ROWS($AF$2:AF988),$AF$2:$AF$1001,0),0), INDEX($AM$1004:$BM$1004,1,MATCH(COLUMNS($AM$1006:AO1006),$AM$1006:$BM$1006,0)))),"Fix")))</f>
        <v xml:space="preserve"> </v>
      </c>
      <c r="E988" s="4" t="str">
        <f ca="1">IF(OR(INDEX($AG$2:$AG$1001,MATCH(ROWS($AF$2:AF988),$AF$2:$AF$1001,0),1)&gt;=100000,INDEX($AM$1005:$BM$1005,1,MATCH(COLUMNS($AM$1006:AP1006),$AM$1006:$BM$1006,0))&gt;=100000), " ",IF(INDEX($AM$2:$BM$1001,MATCH(ROWS($AF$2:AF988),$AF$2:$AF$1001,0),MATCH(COLUMNS($AM$1006:AP1006),$AM$1006:$BM$1006,0)), HYPERLINK("#",""), HYPERLINK(CONCATENATE("#metadata!", ADDRESS(INDEX($AH$2:$AH$1001,MATCH(ROWS($AF$2:AF988),$AF$2:$AF$1001,0),0), INDEX($AM$1004:$BM$1004,1,MATCH(COLUMNS($AM$1006:AP1006),$AM$1006:$BM$1006,0)))),"Fix")))</f>
        <v xml:space="preserve"> </v>
      </c>
      <c r="F988" s="4" t="str">
        <f ca="1">IF(OR(INDEX($AG$2:$AG$1001,MATCH(ROWS($AF$2:AF988),$AF$2:$AF$1001,0),1)&gt;=100000,INDEX($AM$1005:$BM$1005,1,MATCH(COLUMNS($AM$1006:AQ1006),$AM$1006:$BM$1006,0))&gt;=100000), " ",IF(INDEX($AM$2:$BM$1001,MATCH(ROWS($AF$2:AF988),$AF$2:$AF$1001,0),MATCH(COLUMNS($AM$1006:AQ1006),$AM$1006:$BM$1006,0)), HYPERLINK("#",""), HYPERLINK(CONCATENATE("#metadata!", ADDRESS(INDEX($AH$2:$AH$1001,MATCH(ROWS($AF$2:AF988),$AF$2:$AF$1001,0),0), INDEX($AM$1004:$BM$1004,1,MATCH(COLUMNS($AM$1006:AQ1006),$AM$1006:$BM$1006,0)))),"Fix")))</f>
        <v xml:space="preserve"> </v>
      </c>
      <c r="G988" s="4" t="str">
        <f ca="1">IF(OR(INDEX($AG$2:$AG$1001,MATCH(ROWS($AF$2:AF988),$AF$2:$AF$1001,0),1)&gt;=100000,INDEX($AM$1005:$BM$1005,1,MATCH(COLUMNS($AM$1006:AR1006),$AM$1006:$BM$1006,0))&gt;=100000), " ",IF(INDEX($AM$2:$BM$1001,MATCH(ROWS($AF$2:AF988),$AF$2:$AF$1001,0),MATCH(COLUMNS($AM$1006:AR1006),$AM$1006:$BM$1006,0)), HYPERLINK("#",""), HYPERLINK(CONCATENATE("#metadata!", ADDRESS(INDEX($AH$2:$AH$1001,MATCH(ROWS($AF$2:AF988),$AF$2:$AF$1001,0),0), INDEX($AM$1004:$BM$1004,1,MATCH(COLUMNS($AM$1006:AR1006),$AM$1006:$BM$1006,0)))),"Fix")))</f>
        <v xml:space="preserve"> </v>
      </c>
      <c r="H988" s="4" t="str">
        <f ca="1">IF(OR(INDEX($AG$2:$AG$1001,MATCH(ROWS($AF$2:AF988),$AF$2:$AF$1001,0),1)&gt;=100000,INDEX($AM$1005:$BM$1005,1,MATCH(COLUMNS($AM$1006:AS1006),$AM$1006:$BM$1006,0))&gt;=100000), " ",IF(INDEX($AM$2:$BM$1001,MATCH(ROWS($AF$2:AF988),$AF$2:$AF$1001,0),MATCH(COLUMNS($AM$1006:AS1006),$AM$1006:$BM$1006,0)), HYPERLINK("#",""), HYPERLINK(CONCATENATE("#metadata!", ADDRESS(INDEX($AH$2:$AH$1001,MATCH(ROWS($AF$2:AF988),$AF$2:$AF$1001,0),0), INDEX($AM$1004:$BM$1004,1,MATCH(COLUMNS($AM$1006:AS1006),$AM$1006:$BM$1006,0)))),"Fix")))</f>
        <v xml:space="preserve"> </v>
      </c>
      <c r="I988" s="4" t="str">
        <f ca="1">IF(OR(INDEX($AG$2:$AG$1001,MATCH(ROWS($AF$2:AF988),$AF$2:$AF$1001,0),1)&gt;=100000,INDEX($AM$1005:$BM$1005,1,MATCH(COLUMNS($AM$1006:AT1006),$AM$1006:$BM$1006,0))&gt;=100000), " ",IF(INDEX($AM$2:$BM$1001,MATCH(ROWS($AF$2:AF988),$AF$2:$AF$1001,0),MATCH(COLUMNS($AM$1006:AT1006),$AM$1006:$BM$1006,0)), HYPERLINK("#",""), HYPERLINK(CONCATENATE("#metadata!", ADDRESS(INDEX($AH$2:$AH$1001,MATCH(ROWS($AF$2:AF988),$AF$2:$AF$1001,0),0), INDEX($AM$1004:$BM$1004,1,MATCH(COLUMNS($AM$1006:AT1006),$AM$1006:$BM$1006,0)))),"Fix")))</f>
        <v xml:space="preserve"> </v>
      </c>
      <c r="J988" s="4" t="str">
        <f ca="1">IF(OR(INDEX($AG$2:$AG$1001,MATCH(ROWS($AF$2:AF988),$AF$2:$AF$1001,0),1)&gt;=100000,INDEX($AM$1005:$BM$1005,1,MATCH(COLUMNS($AM$1006:AU1006),$AM$1006:$BM$1006,0))&gt;=100000), " ",IF(INDEX($AM$2:$BM$1001,MATCH(ROWS($AF$2:AF988),$AF$2:$AF$1001,0),MATCH(COLUMNS($AM$1006:AU1006),$AM$1006:$BM$1006,0)), HYPERLINK("#",""), HYPERLINK(CONCATENATE("#metadata!", ADDRESS(INDEX($AH$2:$AH$1001,MATCH(ROWS($AF$2:AF988),$AF$2:$AF$1001,0),0), INDEX($AM$1004:$BM$1004,1,MATCH(COLUMNS($AM$1006:AU1006),$AM$1006:$BM$1006,0)))),"Fix")))</f>
        <v xml:space="preserve"> </v>
      </c>
      <c r="K988" s="4" t="str">
        <f ca="1">IF(OR(INDEX($AG$2:$AG$1001,MATCH(ROWS($AF$2:AF988),$AF$2:$AF$1001,0),1)&gt;=100000,INDEX($AM$1005:$BM$1005,1,MATCH(COLUMNS($AM$1006:AV1006),$AM$1006:$BM$1006,0))&gt;=100000), " ",IF(INDEX($AM$2:$BM$1001,MATCH(ROWS($AF$2:AF988),$AF$2:$AF$1001,0),MATCH(COLUMNS($AM$1006:AV1006),$AM$1006:$BM$1006,0)), HYPERLINK("#",""), HYPERLINK(CONCATENATE("#metadata!", ADDRESS(INDEX($AH$2:$AH$1001,MATCH(ROWS($AF$2:AF988),$AF$2:$AF$1001,0),0), INDEX($AM$1004:$BM$1004,1,MATCH(COLUMNS($AM$1006:AV1006),$AM$1006:$BM$1006,0)))),"Fix")))</f>
        <v xml:space="preserve"> </v>
      </c>
      <c r="L988" s="4" t="str">
        <f ca="1">IF(OR(INDEX($AG$2:$AG$1001,MATCH(ROWS($AF$2:AF988),$AF$2:$AF$1001,0),1)&gt;=100000,INDEX($AM$1005:$BM$1005,1,MATCH(COLUMNS($AM$1006:AW1006),$AM$1006:$BM$1006,0))&gt;=100000), " ",IF(INDEX($AM$2:$BM$1001,MATCH(ROWS($AF$2:AF988),$AF$2:$AF$1001,0),MATCH(COLUMNS($AM$1006:AW1006),$AM$1006:$BM$1006,0)), HYPERLINK("#",""), HYPERLINK(CONCATENATE("#metadata!", ADDRESS(INDEX($AH$2:$AH$1001,MATCH(ROWS($AF$2:AF988),$AF$2:$AF$1001,0),0), INDEX($AM$1004:$BM$1004,1,MATCH(COLUMNS($AM$1006:AW1006),$AM$1006:$BM$1006,0)))),"Fix")))</f>
        <v xml:space="preserve"> </v>
      </c>
      <c r="M988" s="4" t="str">
        <f ca="1">IF(OR(INDEX($AG$2:$AG$1001,MATCH(ROWS($AF$2:AF988),$AF$2:$AF$1001,0),1)&gt;=100000,INDEX($AM$1005:$BM$1005,1,MATCH(COLUMNS($AM$1006:AX1006),$AM$1006:$BM$1006,0))&gt;=100000), " ",IF(INDEX($AM$2:$BM$1001,MATCH(ROWS($AF$2:AF988),$AF$2:$AF$1001,0),MATCH(COLUMNS($AM$1006:AX1006),$AM$1006:$BM$1006,0)), HYPERLINK("#",""), HYPERLINK(CONCATENATE("#metadata!", ADDRESS(INDEX($AH$2:$AH$1001,MATCH(ROWS($AF$2:AF988),$AF$2:$AF$1001,0),0), INDEX($AM$1004:$BM$1004,1,MATCH(COLUMNS($AM$1006:AX1006),$AM$1006:$BM$1006,0)))),"Fix")))</f>
        <v xml:space="preserve"> </v>
      </c>
      <c r="N988" s="4" t="str">
        <f ca="1">IF(OR(INDEX($AG$2:$AG$1001,MATCH(ROWS($AF$2:AF988),$AF$2:$AF$1001,0),1)&gt;=100000,INDEX($AM$1005:$BM$1005,1,MATCH(COLUMNS($AM$1006:AY1006),$AM$1006:$BM$1006,0))&gt;=100000), " ",IF(INDEX($AM$2:$BM$1001,MATCH(ROWS($AF$2:AF988),$AF$2:$AF$1001,0),MATCH(COLUMNS($AM$1006:AY1006),$AM$1006:$BM$1006,0)), HYPERLINK("#",""), HYPERLINK(CONCATENATE("#metadata!", ADDRESS(INDEX($AH$2:$AH$1001,MATCH(ROWS($AF$2:AF988),$AF$2:$AF$1001,0),0), INDEX($AM$1004:$BM$1004,1,MATCH(COLUMNS($AM$1006:AY1006),$AM$1006:$BM$1006,0)))),"Fix")))</f>
        <v xml:space="preserve"> </v>
      </c>
      <c r="O988" s="4" t="str">
        <f ca="1">IF(OR(INDEX($AG$2:$AG$1001,MATCH(ROWS($AF$2:AF988),$AF$2:$AF$1001,0),1)&gt;=100000,INDEX($AM$1005:$BM$1005,1,MATCH(COLUMNS($AM$1006:AZ1006),$AM$1006:$BM$1006,0))&gt;=100000), " ",IF(INDEX($AM$2:$BM$1001,MATCH(ROWS($AF$2:AF988),$AF$2:$AF$1001,0),MATCH(COLUMNS($AM$1006:AZ1006),$AM$1006:$BM$1006,0)), HYPERLINK("#",""), HYPERLINK(CONCATENATE("#metadata!", ADDRESS(INDEX($AH$2:$AH$1001,MATCH(ROWS($AF$2:AF988),$AF$2:$AF$1001,0),0), INDEX($AM$1004:$BM$1004,1,MATCH(COLUMNS($AM$1006:AZ1006),$AM$1006:$BM$1006,0)))),"Fix")))</f>
        <v xml:space="preserve"> </v>
      </c>
      <c r="P988" s="4" t="str">
        <f ca="1">IF(OR(INDEX($AG$2:$AG$1001,MATCH(ROWS($AF$2:AF988),$AF$2:$AF$1001,0),1)&gt;=100000,INDEX($AM$1005:$BM$1005,1,MATCH(COLUMNS($AM$1006:BA1006),$AM$1006:$BM$1006,0))&gt;=100000), " ",IF(INDEX($AM$2:$BM$1001,MATCH(ROWS($AF$2:AF988),$AF$2:$AF$1001,0),MATCH(COLUMNS($AM$1006:BA1006),$AM$1006:$BM$1006,0)), HYPERLINK("#",""), HYPERLINK(CONCATENATE("#metadata!", ADDRESS(INDEX($AH$2:$AH$1001,MATCH(ROWS($AF$2:AF988),$AF$2:$AF$1001,0),0), INDEX($AM$1004:$BM$1004,1,MATCH(COLUMNS($AM$1006:BA1006),$AM$1006:$BM$1006,0)))),"Fix")))</f>
        <v xml:space="preserve"> </v>
      </c>
      <c r="Q988" s="4" t="str">
        <f ca="1">IF(OR(INDEX($AG$2:$AG$1001,MATCH(ROWS($AF$2:AF988),$AF$2:$AF$1001,0),1)&gt;=100000,INDEX($AM$1005:$BM$1005,1,MATCH(COLUMNS($AM$1006:BB1006),$AM$1006:$BM$1006,0))&gt;=100000), " ",IF(INDEX($AM$2:$BM$1001,MATCH(ROWS($AF$2:AF988),$AF$2:$AF$1001,0),MATCH(COLUMNS($AM$1006:BB1006),$AM$1006:$BM$1006,0)), HYPERLINK("#",""), HYPERLINK(CONCATENATE("#metadata!", ADDRESS(INDEX($AH$2:$AH$1001,MATCH(ROWS($AF$2:AF988),$AF$2:$AF$1001,0),0), INDEX($AM$1004:$BM$1004,1,MATCH(COLUMNS($AM$1006:BB1006),$AM$1006:$BM$1006,0)))),"Fix")))</f>
        <v xml:space="preserve"> </v>
      </c>
      <c r="R988" s="4" t="str">
        <f ca="1">IF(OR(INDEX($AG$2:$AG$1001,MATCH(ROWS($AF$2:AF988),$AF$2:$AF$1001,0),1)&gt;=100000,INDEX($AM$1005:$BM$1005,1,MATCH(COLUMNS($AM$1006:BC1006),$AM$1006:$BM$1006,0))&gt;=100000), " ",IF(INDEX($AM$2:$BM$1001,MATCH(ROWS($AF$2:AF988),$AF$2:$AF$1001,0),MATCH(COLUMNS($AM$1006:BC1006),$AM$1006:$BM$1006,0)), HYPERLINK("#",""), HYPERLINK(CONCATENATE("#metadata!", ADDRESS(INDEX($AH$2:$AH$1001,MATCH(ROWS($AF$2:AF988),$AF$2:$AF$1001,0),0), INDEX($AM$1004:$BM$1004,1,MATCH(COLUMNS($AM$1006:BC1006),$AM$1006:$BM$1006,0)))),"Fix")))</f>
        <v xml:space="preserve"> </v>
      </c>
      <c r="S988" s="4" t="str">
        <f ca="1">IF(OR(INDEX($AG$2:$AG$1001,MATCH(ROWS($AF$2:AF988),$AF$2:$AF$1001,0),1)&gt;=100000,INDEX($AM$1005:$BM$1005,1,MATCH(COLUMNS($AM$1006:BD1006),$AM$1006:$BM$1006,0))&gt;=100000), " ",IF(INDEX($AM$2:$BM$1001,MATCH(ROWS($AF$2:AF988),$AF$2:$AF$1001,0),MATCH(COLUMNS($AM$1006:BD1006),$AM$1006:$BM$1006,0)), HYPERLINK("#",""), HYPERLINK(CONCATENATE("#metadata!", ADDRESS(INDEX($AH$2:$AH$1001,MATCH(ROWS($AF$2:AF988),$AF$2:$AF$1001,0),0), INDEX($AM$1004:$BM$1004,1,MATCH(COLUMNS($AM$1006:BD1006),$AM$1006:$BM$1006,0)))),"Fix")))</f>
        <v xml:space="preserve"> </v>
      </c>
      <c r="T988" s="4" t="str">
        <f ca="1">IF(OR(INDEX($AG$2:$AG$1001,MATCH(ROWS($AF$2:AF988),$AF$2:$AF$1001,0),1)&gt;=100000,INDEX($AM$1005:$BM$1005,1,MATCH(COLUMNS($AM$1006:BE1006),$AM$1006:$BM$1006,0))&gt;=100000), " ",IF(INDEX($AM$2:$BM$1001,MATCH(ROWS($AF$2:AF988),$AF$2:$AF$1001,0),MATCH(COLUMNS($AM$1006:BE1006),$AM$1006:$BM$1006,0)), HYPERLINK("#",""), HYPERLINK(CONCATENATE("#metadata!", ADDRESS(INDEX($AH$2:$AH$1001,MATCH(ROWS($AF$2:AF988),$AF$2:$AF$1001,0),0), INDEX($AM$1004:$BM$1004,1,MATCH(COLUMNS($AM$1006:BE1006),$AM$1006:$BM$1006,0)))),"Fix")))</f>
        <v xml:space="preserve"> </v>
      </c>
      <c r="U988" s="4" t="str">
        <f ca="1">IF(OR(INDEX($AG$2:$AG$1001,MATCH(ROWS($AF$2:AF988),$AF$2:$AF$1001,0),1)&gt;=100000,INDEX($AM$1005:$BM$1005,1,MATCH(COLUMNS($AM$1006:BF1006),$AM$1006:$BM$1006,0))&gt;=100000), " ",IF(INDEX($AM$2:$BM$1001,MATCH(ROWS($AF$2:AF988),$AF$2:$AF$1001,0),MATCH(COLUMNS($AM$1006:BF1006),$AM$1006:$BM$1006,0)), HYPERLINK("#",""), HYPERLINK(CONCATENATE("#metadata!", ADDRESS(INDEX($AH$2:$AH$1001,MATCH(ROWS($AF$2:AF988),$AF$2:$AF$1001,0),0), INDEX($AM$1004:$BM$1004,1,MATCH(COLUMNS($AM$1006:BF1006),$AM$1006:$BM$1006,0)))),"Fix")))</f>
        <v xml:space="preserve"> </v>
      </c>
      <c r="V988" s="4" t="str">
        <f ca="1">IF(OR(INDEX($AG$2:$AG$1001,MATCH(ROWS($AF$2:AF988),$AF$2:$AF$1001,0),1)&gt;=100000,INDEX($AM$1005:$BM$1005,1,MATCH(COLUMNS($AM$1006:BG1006),$AM$1006:$BM$1006,0))&gt;=100000), " ",IF(INDEX($AM$2:$BM$1001,MATCH(ROWS($AF$2:AF988),$AF$2:$AF$1001,0),MATCH(COLUMNS($AM$1006:BG1006),$AM$1006:$BM$1006,0)), HYPERLINK("#",""), HYPERLINK(CONCATENATE("#metadata!", ADDRESS(INDEX($AH$2:$AH$1001,MATCH(ROWS($AF$2:AF988),$AF$2:$AF$1001,0),0), INDEX($AM$1004:$BM$1004,1,MATCH(COLUMNS($AM$1006:BG1006),$AM$1006:$BM$1006,0)))),"Fix")))</f>
        <v xml:space="preserve"> </v>
      </c>
      <c r="W988" s="4" t="str">
        <f ca="1">IF(OR(INDEX($AG$2:$AG$1001,MATCH(ROWS($AF$2:AF988),$AF$2:$AF$1001,0),1)&gt;=100000,INDEX($AM$1005:$BM$1005,1,MATCH(COLUMNS($AM$1006:BH1006),$AM$1006:$BM$1006,0))&gt;=100000), " ",IF(INDEX($AM$2:$BM$1001,MATCH(ROWS($AF$2:AF988),$AF$2:$AF$1001,0),MATCH(COLUMNS($AM$1006:BH1006),$AM$1006:$BM$1006,0)), HYPERLINK("#",""), HYPERLINK(CONCATENATE("#metadata!", ADDRESS(INDEX($AH$2:$AH$1001,MATCH(ROWS($AF$2:AF988),$AF$2:$AF$1001,0),0), INDEX($AM$1004:$BM$1004,1,MATCH(COLUMNS($AM$1006:BH1006),$AM$1006:$BM$1006,0)))),"Fix")))</f>
        <v xml:space="preserve"> </v>
      </c>
      <c r="X988" s="4" t="str">
        <f ca="1">IF(OR(INDEX($AG$2:$AG$1001,MATCH(ROWS($AF$2:AF988),$AF$2:$AF$1001,0),1)&gt;=100000,INDEX($AM$1005:$BM$1005,1,MATCH(COLUMNS($AM$1006:BI1006),$AM$1006:$BM$1006,0))&gt;=100000), " ",IF(INDEX($AM$2:$BM$1001,MATCH(ROWS($AF$2:AF988),$AF$2:$AF$1001,0),MATCH(COLUMNS($AM$1006:BI1006),$AM$1006:$BM$1006,0)), HYPERLINK("#",""), HYPERLINK(CONCATENATE("#metadata!", ADDRESS(INDEX($AH$2:$AH$1001,MATCH(ROWS($AF$2:AF988),$AF$2:$AF$1001,0),0), INDEX($AM$1004:$BM$1004,1,MATCH(COLUMNS($AM$1006:BI1006),$AM$1006:$BM$1006,0)))),"Fix")))</f>
        <v xml:space="preserve"> </v>
      </c>
      <c r="Y988" s="4" t="str">
        <f ca="1">IF(OR(INDEX($AG$2:$AG$1001,MATCH(ROWS($AF$2:AF988),$AF$2:$AF$1001,0),1)&gt;=100000,INDEX($AM$1005:$BM$1005,1,MATCH(COLUMNS($AM$1006:BJ1006),$AM$1006:$BM$1006,0))&gt;=100000), " ",IF(INDEX($AM$2:$BM$1001,MATCH(ROWS($AF$2:AF988),$AF$2:$AF$1001,0),MATCH(COLUMNS($AM$1006:BJ1006),$AM$1006:$BM$1006,0)), HYPERLINK("#",""), HYPERLINK(CONCATENATE("#metadata!", ADDRESS(INDEX($AH$2:$AH$1001,MATCH(ROWS($AF$2:AF988),$AF$2:$AF$1001,0),0), INDEX($AM$1004:$BM$1004,1,MATCH(COLUMNS($AM$1006:BJ1006),$AM$1006:$BM$1006,0)))),"Fix")))</f>
        <v xml:space="preserve"> </v>
      </c>
      <c r="Z988" s="4" t="str">
        <f ca="1">IF(OR(INDEX($AG$2:$AG$1001,MATCH(ROWS($AF$2:AF988),$AF$2:$AF$1001,0),1)&gt;=100000,INDEX($AM$1005:$BM$1005,1,MATCH(COLUMNS($AM$1006:BK1006),$AM$1006:$BM$1006,0))&gt;=100000), " ",IF(INDEX($AM$2:$BM$1001,MATCH(ROWS($AF$2:AF988),$AF$2:$AF$1001,0),MATCH(COLUMNS($AM$1006:BK1006),$AM$1006:$BM$1006,0)), HYPERLINK("#",""), HYPERLINK(CONCATENATE("#metadata!", ADDRESS(INDEX($AH$2:$AH$1001,MATCH(ROWS($AF$2:AF988),$AF$2:$AF$1001,0),0), INDEX($AM$1004:$BM$1004,1,MATCH(COLUMNS($AM$1006:BK1006),$AM$1006:$BM$1006,0)))),"Fix")))</f>
        <v xml:space="preserve"> </v>
      </c>
      <c r="AA988" s="4" t="str">
        <f ca="1">IF(OR(INDEX($AG$2:$AG$1001,MATCH(ROWS($AF$2:AF988),$AF$2:$AF$1001,0),1)&gt;=100000,INDEX($AM$1005:$BM$1005,1,MATCH(COLUMNS($AM$1006:BL1006),$AM$1006:$BM$1006,0))&gt;=100000), " ",IF(INDEX($AM$2:$BM$1001,MATCH(ROWS($AF$2:AF988),$AF$2:$AF$1001,0),MATCH(COLUMNS($AM$1006:BL1006),$AM$1006:$BM$1006,0)), HYPERLINK("#",""), HYPERLINK(CONCATENATE("#metadata!", ADDRESS(INDEX($AH$2:$AH$1001,MATCH(ROWS($AF$2:AF988),$AF$2:$AF$1001,0),0), INDEX($AM$1004:$BM$1004,1,MATCH(COLUMNS($AM$1006:BL1006),$AM$1006:$BM$1006,0)))),"Fix")))</f>
        <v xml:space="preserve"> </v>
      </c>
      <c r="AB988" s="4" t="str">
        <f ca="1">IF(OR(INDEX($AG$2:$AG$1001,MATCH(ROWS($AF$2:AF988),$AF$2:$AF$1001,0),1)&gt;=100000,INDEX($AM$1005:$BM$1005,1,MATCH(COLUMNS($AM$1006:BM1006),$AM$1006:$BM$1006,0))&gt;=100000), " ",IF(INDEX($AM$2:$BM$1001,MATCH(ROWS($AF$2:AF988),$AF$2:$AF$1001,0),MATCH(COLUMNS($AM$1006:BM1006),$AM$1006:$BM$1006,0)), HYPERLINK("#",""), HYPERLINK(CONCATENATE("#metadata!", ADDRESS(INDEX($AH$2:$AH$1001,MATCH(ROWS($AF$2:AF988),$AF$2:$AF$1001,0),0), INDEX($AM$1004:$BM$1004,1,MATCH(COLUMNS($AM$1006:BM1006),$AM$1006:$BM$1006,0)))),"Fix")))</f>
        <v xml:space="preserve"> </v>
      </c>
      <c r="AF988">
        <v>987</v>
      </c>
      <c r="AG988">
        <v>100988</v>
      </c>
      <c r="AH988">
        <v>988</v>
      </c>
      <c r="AI988" t="b">
        <f t="shared" si="15"/>
        <v>1</v>
      </c>
      <c r="AJ988" t="b">
        <f>COUNTBLANK(metadata!B988:AB988)=COLUMNS(metadata!B988:AB988)</f>
        <v>1</v>
      </c>
      <c r="AK988" t="str">
        <v/>
      </c>
      <c r="AM988" t="b">
        <f ca="1">AND(IF(metadata!B988="",FALSE,TRUE),COUNTIF(metadata!B:B, metadata!B988) = 1,NOT(ISERROR(SUMPRODUCT(SEARCH(MID(metadata!B988,ROW(INDIRECT("1:"&amp;LEN(metadata!B988))), 1),"0123456789abcdefghijklmnopqrstuvwxyzABCDEFGHIJKLMNOPQRSTUVWXYZ.")))))</f>
        <v>0</v>
      </c>
      <c r="AN988" t="b">
        <f ca="1">OR(AND(IF(metadata!C988="",FALSE,TRUE),OR(EXACT(metadata!C988,"missing: not collected"),EXACT(metadata!C988,"missing: not provided"),EXACT(metadata!C988,"missing: restricted access"))),AND(IF(metadata!C988="",FALSE,TRUE),AND(AND(IFERROR(INT(LEFT(metadata!C988,4))&gt;1900,FALSE),IFERROR(INT(LEFT(metadata!C988,4))&lt;=YEAR(NOW()),FALSE)), OR(MID(metadata!C988,5,1)="", AND(AND(MID(metadata!C988,5,1)="-",IFERROR(INT(MID(metadata!C988,6,1))&gt;=0,FALSE),IFERROR(INT(MID(metadata!C988,6,1))&lt;=1,FALSE),NOT(MID(metadata!C988,7,1)=""),IFERROR(INT(MID(metadata!C988,6,2))&gt;=1,FALSE),IFERROR(INT(MID(metadata!C988,6,2))&lt;=12,FALSE)), OR(MID(metadata!C988,8,1)="", AND(AND(MID(metadata!C988,8,1)="-",IFERROR(INT(MID(metadata!C988,9,1))&gt;=0,FALSE),IFERROR(INT(MID(metadata!C988,9,1))&lt;=3,FALSE),NOT(MID(metadata!C988,10,1)=""),IFERROR(INT(MID(metadata!C988,9,2))&gt;=1,FALSE),IFERROR(INT(MID(metadata!C988,9,2))&lt;=31,FALSE)), OR(MID(metadata!C988,11,1)="", AND(AND(MID(metadata!C988,11,1)=" ",IFERROR(INT(MID(metadata!C988,12,1))&gt;=0,FALSE),IFERROR(INT(MID(metadata!C988,12,1))&lt;=2,FALSE),NOT(MID(metadata!C988,13,1)=""),IFERROR(INT(MID(metadata!C988,12,2))&gt;=0,FALSE),IFERROR(INT(MID(metadata!C988,12,2))&lt;=23,FALSE)), OR(MID(metadata!C988,14,1)="", AND(AND(MID(metadata!C988,14,1)=":",IFERROR(INT(MID(metadata!C988,15,1))&gt;=0,FALSE),IFERROR(INT(MID(metadata!C988,15,1))&lt;=5,FALSE),NOT(MID(metadata!C988,16,1)=""),IFERROR(INT(MID(metadata!C988,15,2))&gt;=0,FALSE),IFERROR(INT(MID(metadata!C988,15,2))&lt;=59,FALSE)), OR(MID(metadata!C988,17,1)="", AND(AND(MID(metadata!C988,17,1)=":",IFERROR(INT(MID(metadata!C988,18,1))&gt;=0,FALSE),IFERROR(INT(MID(metadata!C988,18,1))&lt;=5,FALSE),NOT(MID(metadata!C988,19,1)=""),IFERROR(INT(MID(metadata!C988,18,2))&gt;=0,FALSE),IFERROR(INT(MID(metadata!C988,18,2))&lt;=59,FALSE)), LEN(metadata!C988)&lt;=19)))))))))))))</f>
        <v>0</v>
      </c>
      <c r="AO988" t="b">
        <f>AND(IF(metadata!D988="",FALSE,TRUE),EXACT(metadata!D988,"Not applicable"))</f>
        <v>0</v>
      </c>
      <c r="AP988" t="b">
        <f>IF(metadata!E988="",FALSE,TRUE)</f>
        <v>0</v>
      </c>
      <c r="AQ988" t="b">
        <f>OR(AND(IF(metadata!F988="",FALSE,TRUE),OR(EXACT(metadata!F988,"missing: not collected"),EXACT(metadata!F988,"missing: not provided"))),AND(IF(metadata!F988="",FALSE,TRUE),OR(EXACT(metadata!F988,"TRUE"),EXACT(metadata!F988,"FALSE"))))</f>
        <v>0</v>
      </c>
      <c r="AR988" t="b">
        <f>OR(AND(IF(metadata!G988="",FALSE,TRUE),OR(EXACT(metadata!G988,"missing: not collected"),EXACT(metadata!G988,"missing: not provided"),EXACT(metadata!G988,"missing: restricted access"))),AND(IF(metadata!G988="",FALSE,ISNUMBER(VALUE(metadata!G988))),metadata!G988&gt;=-413))</f>
        <v>0</v>
      </c>
      <c r="AS988" t="b">
        <f>AND(IF(metadata!H988="",FALSE,TRUE),EXACT(metadata!H988,"meters"))</f>
        <v>0</v>
      </c>
      <c r="AT988" t="b">
        <f>AND(IF(metadata!I988="",FALSE,TRUE),OR(EXACT(metadata!I988,"Host-associated"),EXACT(metadata!I988,"Free-living")))</f>
        <v>0</v>
      </c>
      <c r="AU988" t="b">
        <f>AND(IF(metadata!J988="",FALSE,TRUE),OR(EXACT(metadata!J988,"Animal"),EXACT(metadata!J988,"Fungus"),EXACT(metadata!J988,"Plant"),EXACT(metadata!J988,"Saline"),EXACT(metadata!J988,"Non-saline")))</f>
        <v>0</v>
      </c>
      <c r="AV988" t="b">
        <f>AND(IF(metadata!K988="",FALSE,TRUE),OR(EXACT(metadata!K988,"Plant secretion"),EXACT(metadata!K988,"Plant rhizosphere"),EXACT(metadata!K988,"Plant surface"),EXACT(metadata!K988,"Plant corpus"),EXACT(metadata!K988,"Fungus surface"),EXACT(metadata!K988,"Fungus corpus"),EXACT(metadata!K988,"Animal surface"),EXACT(metadata!K988,"Animal proximal gut"),EXACT(metadata!K988,"Animal corpus"),EXACT(metadata!K988,"Animal distal gut"),EXACT(metadata!K988,"Animal secretion"),EXACT(metadata!K988,"Sub-surface (non-saline)"),EXACT(metadata!K988,"Surface (non-saline)"),EXACT(metadata!K988,"Water (non-saline)"),EXACT(metadata!K988,"Soil (non-saline)"),EXACT(metadata!K988,"Aerosol (non-saline)"),EXACT(metadata!K988,"Sediment (non-saline)"),EXACT(metadata!K988,"Surface (saline)"),EXACT(metadata!K988,"Water (saline)"),EXACT(metadata!K988,"Hypersaline (saline)"),EXACT(metadata!K988,"Aerosol (saline)"),EXACT(metadata!K988,"Sediment (saline)")))</f>
        <v>0</v>
      </c>
      <c r="AW988" t="b">
        <f>IF(metadata!L988="",FALSE,TRUE)</f>
        <v>0</v>
      </c>
      <c r="AX988" t="b">
        <f>IF(metadata!M988="",FALSE,TRUE)</f>
        <v>0</v>
      </c>
      <c r="AY988" t="b">
        <f>IF(metadata!N988="",FALSE,TRUE)</f>
        <v>0</v>
      </c>
      <c r="AZ988" t="b">
        <f>OR(AND(IF(metadata!O988="",FALSE,TRUE),OR(EXACT(metadata!O988,"missing: not collected"),EXACT(metadata!O988,"missing: not provided"),EXACT(metadata!O988,"missing: restricted access"))),AND(IF(metadata!O988="",FALSE,TRUE),OR(EXACT(metadata!O988,"air"),EXACT(metadata!O988,"built environment"),EXACT(metadata!O988,"host-associated"),EXACT(metadata!O988,"human-associated"),EXACT(metadata!O988,"human-skin"),EXACT(metadata!O988,"human-oral"),EXACT(metadata!O988,"human-gut"),EXACT(metadata!O988,"human-vaginal"),EXACT(metadata!O988,"microbial mat/biofilm"),EXACT(metadata!O988,"misc environment"),EXACT(metadata!O988,"plant-associated"),EXACT(metadata!O988,"sediment"),EXACT(metadata!O988,"soil"),EXACT(metadata!O988,"wastewater/sludge"),EXACT(metadata!O988,"water"))))</f>
        <v>0</v>
      </c>
      <c r="BA988" t="b">
        <f>IF(metadata!P988="",FALSE,TRUE)</f>
        <v>0</v>
      </c>
      <c r="BB988" t="b">
        <f>IF(metadata!Q988="",FALSE,TRUE)</f>
        <v>0</v>
      </c>
      <c r="BC988" t="b">
        <f>OR(AND(IF(metadata!R988="",FALSE,TRUE),OR(EXACT(metadata!R988,"missing: not collected"),EXACT(metadata!R988,"missing: not provided"),EXACT(metadata!R988,"missing: restricted access"))),AND(IF(metadata!R988="",FALSE,ISNUMBER(VALUE(metadata!R988))),metadata!R988&gt;=-90,metadata!R988&lt;=90))</f>
        <v>0</v>
      </c>
      <c r="BD988" t="b">
        <f>AND(IF(metadata!S988="",FALSE,TRUE),EXACT(metadata!S988,"Decimal degrees"))</f>
        <v>0</v>
      </c>
      <c r="BE988" t="b">
        <f>OR(AND(IF(metadata!T988="",FALSE,TRUE),OR(EXACT(metadata!T988,"missing: not collected"),EXACT(metadata!T988,"missing: not provided"),EXACT(metadata!T988,"missing: restricted access"))),AND(IF(metadata!T988="",FALSE,ISNUMBER(VALUE(metadata!T988))),metadata!T988&gt;=-180,metadata!T988&lt;=180))</f>
        <v>0</v>
      </c>
      <c r="BF988" t="b">
        <f>AND(IF(metadata!U988="",FALSE,TRUE),EXACT(metadata!U988,"Decimal degrees"))</f>
        <v>0</v>
      </c>
      <c r="BG988" t="b">
        <f>IF(metadata!V988="",FALSE,TRUE)</f>
        <v>0</v>
      </c>
      <c r="BH988" t="b">
        <f>OR(AND(IF(metadata!W988="",FALSE,TRUE),OR(EXACT(metadata!W988,"missing: not collected"),EXACT(metadata!W988,"missing: not provided"),EXACT(metadata!W988,"missing: restricted access"))),AND(IF(metadata!W988="",FALSE,TRUE),OR(EXACT(metadata!W988,"TRUE"),EXACT(metadata!W988,"FALSE"))))</f>
        <v>0</v>
      </c>
      <c r="BI988" t="b">
        <f>AND(IF(metadata!X988="",FALSE,TRUE),EXACT(metadata!X988,"other"))</f>
        <v>0</v>
      </c>
      <c r="BJ988" t="b">
        <f>IF(metadata!Y988="",FALSE,TRUE)</f>
        <v>0</v>
      </c>
      <c r="BK988" t="b">
        <f>OR(AND(IF(metadata!Z988="",FALSE,TRUE),OR(EXACT(metadata!Z988,"missing: not collected"),EXACT(metadata!Z988,"missing: not provided"))),AND(IF(metadata!Z988="",FALSE,IF(ISERROR(INT(metadata!Z988)),FALSE,INT(metadata!Z988)=metadata!Z988)),metadata!Z988&gt;0))</f>
        <v>0</v>
      </c>
      <c r="BL988" t="b">
        <f>AND(IF(metadata!AA988="",FALSE,TRUE),EXACT(metadata!AA988,"Not applicable"))</f>
        <v>0</v>
      </c>
      <c r="BM988" t="b">
        <f>IF(metadata!AB988="",FALSE,TRUE)</f>
        <v>0</v>
      </c>
    </row>
    <row r="989" spans="1:65" x14ac:dyDescent="0.2">
      <c r="A989" s="5" t="str">
        <f ca="1">IF(B989=" "," ",HYPERLINK(CONCATENATE("#metadata!",ADDRESS(INDEX($AH$2:$AH$1001,MATCH(ROWS($AF$2:AF989),$AF$2:$AF$1001,0),0),1)),INDEX($AK$2:$AK$1001,MATCH(ROWS($AF$2:AF989),$AF$2:$AF$1001,0),0)))</f>
        <v xml:space="preserve"> </v>
      </c>
      <c r="B989" s="4" t="str">
        <f ca="1">IF(OR(INDEX($AG$2:$AG$1001,MATCH(ROWS($AF$2:AF989),$AF$2:$AF$1001,0),1)&gt;=100000,INDEX($AM$1005:$BM$1005,1,MATCH(COLUMNS($AM$1006:AM1006),$AM$1006:$BM$1006,0))&gt;=100000), " ",IF(INDEX($AM$2:$BM$1001,MATCH(ROWS($AF$2:AF989),$AF$2:$AF$1001,0),MATCH(COLUMNS($AM$1006:AM1006),$AM$1006:$BM$1006,0)), HYPERLINK("#",""), HYPERLINK(CONCATENATE("#metadata!", ADDRESS(INDEX($AH$2:$AH$1001,MATCH(ROWS($AF$2:AF989),$AF$2:$AF$1001,0),0), INDEX($AM$1004:$BM$1004,1,MATCH(COLUMNS($AM$1006:AM1006),$AM$1006:$BM$1006,0)))),"Fix")))</f>
        <v xml:space="preserve"> </v>
      </c>
      <c r="C989" s="4" t="str">
        <f ca="1">IF(OR(INDEX($AG$2:$AG$1001,MATCH(ROWS($AF$2:AF989),$AF$2:$AF$1001,0),1)&gt;=100000,INDEX($AM$1005:$BM$1005,1,MATCH(COLUMNS($AM$1006:AN1006),$AM$1006:$BM$1006,0))&gt;=100000), " ",IF(INDEX($AM$2:$BM$1001,MATCH(ROWS($AF$2:AF989),$AF$2:$AF$1001,0),MATCH(COLUMNS($AM$1006:AN1006),$AM$1006:$BM$1006,0)), HYPERLINK("#",""), HYPERLINK(CONCATENATE("#metadata!", ADDRESS(INDEX($AH$2:$AH$1001,MATCH(ROWS($AF$2:AF989),$AF$2:$AF$1001,0),0), INDEX($AM$1004:$BM$1004,1,MATCH(COLUMNS($AM$1006:AN1006),$AM$1006:$BM$1006,0)))),"Fix")))</f>
        <v xml:space="preserve"> </v>
      </c>
      <c r="D989" s="4" t="str">
        <f ca="1">IF(OR(INDEX($AG$2:$AG$1001,MATCH(ROWS($AF$2:AF989),$AF$2:$AF$1001,0),1)&gt;=100000,INDEX($AM$1005:$BM$1005,1,MATCH(COLUMNS($AM$1006:AO1006),$AM$1006:$BM$1006,0))&gt;=100000), " ",IF(INDEX($AM$2:$BM$1001,MATCH(ROWS($AF$2:AF989),$AF$2:$AF$1001,0),MATCH(COLUMNS($AM$1006:AO1006),$AM$1006:$BM$1006,0)), HYPERLINK("#",""), HYPERLINK(CONCATENATE("#metadata!", ADDRESS(INDEX($AH$2:$AH$1001,MATCH(ROWS($AF$2:AF989),$AF$2:$AF$1001,0),0), INDEX($AM$1004:$BM$1004,1,MATCH(COLUMNS($AM$1006:AO1006),$AM$1006:$BM$1006,0)))),"Fix")))</f>
        <v xml:space="preserve"> </v>
      </c>
      <c r="E989" s="4" t="str">
        <f ca="1">IF(OR(INDEX($AG$2:$AG$1001,MATCH(ROWS($AF$2:AF989),$AF$2:$AF$1001,0),1)&gt;=100000,INDEX($AM$1005:$BM$1005,1,MATCH(COLUMNS($AM$1006:AP1006),$AM$1006:$BM$1006,0))&gt;=100000), " ",IF(INDEX($AM$2:$BM$1001,MATCH(ROWS($AF$2:AF989),$AF$2:$AF$1001,0),MATCH(COLUMNS($AM$1006:AP1006),$AM$1006:$BM$1006,0)), HYPERLINK("#",""), HYPERLINK(CONCATENATE("#metadata!", ADDRESS(INDEX($AH$2:$AH$1001,MATCH(ROWS($AF$2:AF989),$AF$2:$AF$1001,0),0), INDEX($AM$1004:$BM$1004,1,MATCH(COLUMNS($AM$1006:AP1006),$AM$1006:$BM$1006,0)))),"Fix")))</f>
        <v xml:space="preserve"> </v>
      </c>
      <c r="F989" s="4" t="str">
        <f ca="1">IF(OR(INDEX($AG$2:$AG$1001,MATCH(ROWS($AF$2:AF989),$AF$2:$AF$1001,0),1)&gt;=100000,INDEX($AM$1005:$BM$1005,1,MATCH(COLUMNS($AM$1006:AQ1006),$AM$1006:$BM$1006,0))&gt;=100000), " ",IF(INDEX($AM$2:$BM$1001,MATCH(ROWS($AF$2:AF989),$AF$2:$AF$1001,0),MATCH(COLUMNS($AM$1006:AQ1006),$AM$1006:$BM$1006,0)), HYPERLINK("#",""), HYPERLINK(CONCATENATE("#metadata!", ADDRESS(INDEX($AH$2:$AH$1001,MATCH(ROWS($AF$2:AF989),$AF$2:$AF$1001,0),0), INDEX($AM$1004:$BM$1004,1,MATCH(COLUMNS($AM$1006:AQ1006),$AM$1006:$BM$1006,0)))),"Fix")))</f>
        <v xml:space="preserve"> </v>
      </c>
      <c r="G989" s="4" t="str">
        <f ca="1">IF(OR(INDEX($AG$2:$AG$1001,MATCH(ROWS($AF$2:AF989),$AF$2:$AF$1001,0),1)&gt;=100000,INDEX($AM$1005:$BM$1005,1,MATCH(COLUMNS($AM$1006:AR1006),$AM$1006:$BM$1006,0))&gt;=100000), " ",IF(INDEX($AM$2:$BM$1001,MATCH(ROWS($AF$2:AF989),$AF$2:$AF$1001,0),MATCH(COLUMNS($AM$1006:AR1006),$AM$1006:$BM$1006,0)), HYPERLINK("#",""), HYPERLINK(CONCATENATE("#metadata!", ADDRESS(INDEX($AH$2:$AH$1001,MATCH(ROWS($AF$2:AF989),$AF$2:$AF$1001,0),0), INDEX($AM$1004:$BM$1004,1,MATCH(COLUMNS($AM$1006:AR1006),$AM$1006:$BM$1006,0)))),"Fix")))</f>
        <v xml:space="preserve"> </v>
      </c>
      <c r="H989" s="4" t="str">
        <f ca="1">IF(OR(INDEX($AG$2:$AG$1001,MATCH(ROWS($AF$2:AF989),$AF$2:$AF$1001,0),1)&gt;=100000,INDEX($AM$1005:$BM$1005,1,MATCH(COLUMNS($AM$1006:AS1006),$AM$1006:$BM$1006,0))&gt;=100000), " ",IF(INDEX($AM$2:$BM$1001,MATCH(ROWS($AF$2:AF989),$AF$2:$AF$1001,0),MATCH(COLUMNS($AM$1006:AS1006),$AM$1006:$BM$1006,0)), HYPERLINK("#",""), HYPERLINK(CONCATENATE("#metadata!", ADDRESS(INDEX($AH$2:$AH$1001,MATCH(ROWS($AF$2:AF989),$AF$2:$AF$1001,0),0), INDEX($AM$1004:$BM$1004,1,MATCH(COLUMNS($AM$1006:AS1006),$AM$1006:$BM$1006,0)))),"Fix")))</f>
        <v xml:space="preserve"> </v>
      </c>
      <c r="I989" s="4" t="str">
        <f ca="1">IF(OR(INDEX($AG$2:$AG$1001,MATCH(ROWS($AF$2:AF989),$AF$2:$AF$1001,0),1)&gt;=100000,INDEX($AM$1005:$BM$1005,1,MATCH(COLUMNS($AM$1006:AT1006),$AM$1006:$BM$1006,0))&gt;=100000), " ",IF(INDEX($AM$2:$BM$1001,MATCH(ROWS($AF$2:AF989),$AF$2:$AF$1001,0),MATCH(COLUMNS($AM$1006:AT1006),$AM$1006:$BM$1006,0)), HYPERLINK("#",""), HYPERLINK(CONCATENATE("#metadata!", ADDRESS(INDEX($AH$2:$AH$1001,MATCH(ROWS($AF$2:AF989),$AF$2:$AF$1001,0),0), INDEX($AM$1004:$BM$1004,1,MATCH(COLUMNS($AM$1006:AT1006),$AM$1006:$BM$1006,0)))),"Fix")))</f>
        <v xml:space="preserve"> </v>
      </c>
      <c r="J989" s="4" t="str">
        <f ca="1">IF(OR(INDEX($AG$2:$AG$1001,MATCH(ROWS($AF$2:AF989),$AF$2:$AF$1001,0),1)&gt;=100000,INDEX($AM$1005:$BM$1005,1,MATCH(COLUMNS($AM$1006:AU1006),$AM$1006:$BM$1006,0))&gt;=100000), " ",IF(INDEX($AM$2:$BM$1001,MATCH(ROWS($AF$2:AF989),$AF$2:$AF$1001,0),MATCH(COLUMNS($AM$1006:AU1006),$AM$1006:$BM$1006,0)), HYPERLINK("#",""), HYPERLINK(CONCATENATE("#metadata!", ADDRESS(INDEX($AH$2:$AH$1001,MATCH(ROWS($AF$2:AF989),$AF$2:$AF$1001,0),0), INDEX($AM$1004:$BM$1004,1,MATCH(COLUMNS($AM$1006:AU1006),$AM$1006:$BM$1006,0)))),"Fix")))</f>
        <v xml:space="preserve"> </v>
      </c>
      <c r="K989" s="4" t="str">
        <f ca="1">IF(OR(INDEX($AG$2:$AG$1001,MATCH(ROWS($AF$2:AF989),$AF$2:$AF$1001,0),1)&gt;=100000,INDEX($AM$1005:$BM$1005,1,MATCH(COLUMNS($AM$1006:AV1006),$AM$1006:$BM$1006,0))&gt;=100000), " ",IF(INDEX($AM$2:$BM$1001,MATCH(ROWS($AF$2:AF989),$AF$2:$AF$1001,0),MATCH(COLUMNS($AM$1006:AV1006),$AM$1006:$BM$1006,0)), HYPERLINK("#",""), HYPERLINK(CONCATENATE("#metadata!", ADDRESS(INDEX($AH$2:$AH$1001,MATCH(ROWS($AF$2:AF989),$AF$2:$AF$1001,0),0), INDEX($AM$1004:$BM$1004,1,MATCH(COLUMNS($AM$1006:AV1006),$AM$1006:$BM$1006,0)))),"Fix")))</f>
        <v xml:space="preserve"> </v>
      </c>
      <c r="L989" s="4" t="str">
        <f ca="1">IF(OR(INDEX($AG$2:$AG$1001,MATCH(ROWS($AF$2:AF989),$AF$2:$AF$1001,0),1)&gt;=100000,INDEX($AM$1005:$BM$1005,1,MATCH(COLUMNS($AM$1006:AW1006),$AM$1006:$BM$1006,0))&gt;=100000), " ",IF(INDEX($AM$2:$BM$1001,MATCH(ROWS($AF$2:AF989),$AF$2:$AF$1001,0),MATCH(COLUMNS($AM$1006:AW1006),$AM$1006:$BM$1006,0)), HYPERLINK("#",""), HYPERLINK(CONCATENATE("#metadata!", ADDRESS(INDEX($AH$2:$AH$1001,MATCH(ROWS($AF$2:AF989),$AF$2:$AF$1001,0),0), INDEX($AM$1004:$BM$1004,1,MATCH(COLUMNS($AM$1006:AW1006),$AM$1006:$BM$1006,0)))),"Fix")))</f>
        <v xml:space="preserve"> </v>
      </c>
      <c r="M989" s="4" t="str">
        <f ca="1">IF(OR(INDEX($AG$2:$AG$1001,MATCH(ROWS($AF$2:AF989),$AF$2:$AF$1001,0),1)&gt;=100000,INDEX($AM$1005:$BM$1005,1,MATCH(COLUMNS($AM$1006:AX1006),$AM$1006:$BM$1006,0))&gt;=100000), " ",IF(INDEX($AM$2:$BM$1001,MATCH(ROWS($AF$2:AF989),$AF$2:$AF$1001,0),MATCH(COLUMNS($AM$1006:AX1006),$AM$1006:$BM$1006,0)), HYPERLINK("#",""), HYPERLINK(CONCATENATE("#metadata!", ADDRESS(INDEX($AH$2:$AH$1001,MATCH(ROWS($AF$2:AF989),$AF$2:$AF$1001,0),0), INDEX($AM$1004:$BM$1004,1,MATCH(COLUMNS($AM$1006:AX1006),$AM$1006:$BM$1006,0)))),"Fix")))</f>
        <v xml:space="preserve"> </v>
      </c>
      <c r="N989" s="4" t="str">
        <f ca="1">IF(OR(INDEX($AG$2:$AG$1001,MATCH(ROWS($AF$2:AF989),$AF$2:$AF$1001,0),1)&gt;=100000,INDEX($AM$1005:$BM$1005,1,MATCH(COLUMNS($AM$1006:AY1006),$AM$1006:$BM$1006,0))&gt;=100000), " ",IF(INDEX($AM$2:$BM$1001,MATCH(ROWS($AF$2:AF989),$AF$2:$AF$1001,0),MATCH(COLUMNS($AM$1006:AY1006),$AM$1006:$BM$1006,0)), HYPERLINK("#",""), HYPERLINK(CONCATENATE("#metadata!", ADDRESS(INDEX($AH$2:$AH$1001,MATCH(ROWS($AF$2:AF989),$AF$2:$AF$1001,0),0), INDEX($AM$1004:$BM$1004,1,MATCH(COLUMNS($AM$1006:AY1006),$AM$1006:$BM$1006,0)))),"Fix")))</f>
        <v xml:space="preserve"> </v>
      </c>
      <c r="O989" s="4" t="str">
        <f ca="1">IF(OR(INDEX($AG$2:$AG$1001,MATCH(ROWS($AF$2:AF989),$AF$2:$AF$1001,0),1)&gt;=100000,INDEX($AM$1005:$BM$1005,1,MATCH(COLUMNS($AM$1006:AZ1006),$AM$1006:$BM$1006,0))&gt;=100000), " ",IF(INDEX($AM$2:$BM$1001,MATCH(ROWS($AF$2:AF989),$AF$2:$AF$1001,0),MATCH(COLUMNS($AM$1006:AZ1006),$AM$1006:$BM$1006,0)), HYPERLINK("#",""), HYPERLINK(CONCATENATE("#metadata!", ADDRESS(INDEX($AH$2:$AH$1001,MATCH(ROWS($AF$2:AF989),$AF$2:$AF$1001,0),0), INDEX($AM$1004:$BM$1004,1,MATCH(COLUMNS($AM$1006:AZ1006),$AM$1006:$BM$1006,0)))),"Fix")))</f>
        <v xml:space="preserve"> </v>
      </c>
      <c r="P989" s="4" t="str">
        <f ca="1">IF(OR(INDEX($AG$2:$AG$1001,MATCH(ROWS($AF$2:AF989),$AF$2:$AF$1001,0),1)&gt;=100000,INDEX($AM$1005:$BM$1005,1,MATCH(COLUMNS($AM$1006:BA1006),$AM$1006:$BM$1006,0))&gt;=100000), " ",IF(INDEX($AM$2:$BM$1001,MATCH(ROWS($AF$2:AF989),$AF$2:$AF$1001,0),MATCH(COLUMNS($AM$1006:BA1006),$AM$1006:$BM$1006,0)), HYPERLINK("#",""), HYPERLINK(CONCATENATE("#metadata!", ADDRESS(INDEX($AH$2:$AH$1001,MATCH(ROWS($AF$2:AF989),$AF$2:$AF$1001,0),0), INDEX($AM$1004:$BM$1004,1,MATCH(COLUMNS($AM$1006:BA1006),$AM$1006:$BM$1006,0)))),"Fix")))</f>
        <v xml:space="preserve"> </v>
      </c>
      <c r="Q989" s="4" t="str">
        <f ca="1">IF(OR(INDEX($AG$2:$AG$1001,MATCH(ROWS($AF$2:AF989),$AF$2:$AF$1001,0),1)&gt;=100000,INDEX($AM$1005:$BM$1005,1,MATCH(COLUMNS($AM$1006:BB1006),$AM$1006:$BM$1006,0))&gt;=100000), " ",IF(INDEX($AM$2:$BM$1001,MATCH(ROWS($AF$2:AF989),$AF$2:$AF$1001,0),MATCH(COLUMNS($AM$1006:BB1006),$AM$1006:$BM$1006,0)), HYPERLINK("#",""), HYPERLINK(CONCATENATE("#metadata!", ADDRESS(INDEX($AH$2:$AH$1001,MATCH(ROWS($AF$2:AF989),$AF$2:$AF$1001,0),0), INDEX($AM$1004:$BM$1004,1,MATCH(COLUMNS($AM$1006:BB1006),$AM$1006:$BM$1006,0)))),"Fix")))</f>
        <v xml:space="preserve"> </v>
      </c>
      <c r="R989" s="4" t="str">
        <f ca="1">IF(OR(INDEX($AG$2:$AG$1001,MATCH(ROWS($AF$2:AF989),$AF$2:$AF$1001,0),1)&gt;=100000,INDEX($AM$1005:$BM$1005,1,MATCH(COLUMNS($AM$1006:BC1006),$AM$1006:$BM$1006,0))&gt;=100000), " ",IF(INDEX($AM$2:$BM$1001,MATCH(ROWS($AF$2:AF989),$AF$2:$AF$1001,0),MATCH(COLUMNS($AM$1006:BC1006),$AM$1006:$BM$1006,0)), HYPERLINK("#",""), HYPERLINK(CONCATENATE("#metadata!", ADDRESS(INDEX($AH$2:$AH$1001,MATCH(ROWS($AF$2:AF989),$AF$2:$AF$1001,0),0), INDEX($AM$1004:$BM$1004,1,MATCH(COLUMNS($AM$1006:BC1006),$AM$1006:$BM$1006,0)))),"Fix")))</f>
        <v xml:space="preserve"> </v>
      </c>
      <c r="S989" s="4" t="str">
        <f ca="1">IF(OR(INDEX($AG$2:$AG$1001,MATCH(ROWS($AF$2:AF989),$AF$2:$AF$1001,0),1)&gt;=100000,INDEX($AM$1005:$BM$1005,1,MATCH(COLUMNS($AM$1006:BD1006),$AM$1006:$BM$1006,0))&gt;=100000), " ",IF(INDEX($AM$2:$BM$1001,MATCH(ROWS($AF$2:AF989),$AF$2:$AF$1001,0),MATCH(COLUMNS($AM$1006:BD1006),$AM$1006:$BM$1006,0)), HYPERLINK("#",""), HYPERLINK(CONCATENATE("#metadata!", ADDRESS(INDEX($AH$2:$AH$1001,MATCH(ROWS($AF$2:AF989),$AF$2:$AF$1001,0),0), INDEX($AM$1004:$BM$1004,1,MATCH(COLUMNS($AM$1006:BD1006),$AM$1006:$BM$1006,0)))),"Fix")))</f>
        <v xml:space="preserve"> </v>
      </c>
      <c r="T989" s="4" t="str">
        <f ca="1">IF(OR(INDEX($AG$2:$AG$1001,MATCH(ROWS($AF$2:AF989),$AF$2:$AF$1001,0),1)&gt;=100000,INDEX($AM$1005:$BM$1005,1,MATCH(COLUMNS($AM$1006:BE1006),$AM$1006:$BM$1006,0))&gt;=100000), " ",IF(INDEX($AM$2:$BM$1001,MATCH(ROWS($AF$2:AF989),$AF$2:$AF$1001,0),MATCH(COLUMNS($AM$1006:BE1006),$AM$1006:$BM$1006,0)), HYPERLINK("#",""), HYPERLINK(CONCATENATE("#metadata!", ADDRESS(INDEX($AH$2:$AH$1001,MATCH(ROWS($AF$2:AF989),$AF$2:$AF$1001,0),0), INDEX($AM$1004:$BM$1004,1,MATCH(COLUMNS($AM$1006:BE1006),$AM$1006:$BM$1006,0)))),"Fix")))</f>
        <v xml:space="preserve"> </v>
      </c>
      <c r="U989" s="4" t="str">
        <f ca="1">IF(OR(INDEX($AG$2:$AG$1001,MATCH(ROWS($AF$2:AF989),$AF$2:$AF$1001,0),1)&gt;=100000,INDEX($AM$1005:$BM$1005,1,MATCH(COLUMNS($AM$1006:BF1006),$AM$1006:$BM$1006,0))&gt;=100000), " ",IF(INDEX($AM$2:$BM$1001,MATCH(ROWS($AF$2:AF989),$AF$2:$AF$1001,0),MATCH(COLUMNS($AM$1006:BF1006),$AM$1006:$BM$1006,0)), HYPERLINK("#",""), HYPERLINK(CONCATENATE("#metadata!", ADDRESS(INDEX($AH$2:$AH$1001,MATCH(ROWS($AF$2:AF989),$AF$2:$AF$1001,0),0), INDEX($AM$1004:$BM$1004,1,MATCH(COLUMNS($AM$1006:BF1006),$AM$1006:$BM$1006,0)))),"Fix")))</f>
        <v xml:space="preserve"> </v>
      </c>
      <c r="V989" s="4" t="str">
        <f ca="1">IF(OR(INDEX($AG$2:$AG$1001,MATCH(ROWS($AF$2:AF989),$AF$2:$AF$1001,0),1)&gt;=100000,INDEX($AM$1005:$BM$1005,1,MATCH(COLUMNS($AM$1006:BG1006),$AM$1006:$BM$1006,0))&gt;=100000), " ",IF(INDEX($AM$2:$BM$1001,MATCH(ROWS($AF$2:AF989),$AF$2:$AF$1001,0),MATCH(COLUMNS($AM$1006:BG1006),$AM$1006:$BM$1006,0)), HYPERLINK("#",""), HYPERLINK(CONCATENATE("#metadata!", ADDRESS(INDEX($AH$2:$AH$1001,MATCH(ROWS($AF$2:AF989),$AF$2:$AF$1001,0),0), INDEX($AM$1004:$BM$1004,1,MATCH(COLUMNS($AM$1006:BG1006),$AM$1006:$BM$1006,0)))),"Fix")))</f>
        <v xml:space="preserve"> </v>
      </c>
      <c r="W989" s="4" t="str">
        <f ca="1">IF(OR(INDEX($AG$2:$AG$1001,MATCH(ROWS($AF$2:AF989),$AF$2:$AF$1001,0),1)&gt;=100000,INDEX($AM$1005:$BM$1005,1,MATCH(COLUMNS($AM$1006:BH1006),$AM$1006:$BM$1006,0))&gt;=100000), " ",IF(INDEX($AM$2:$BM$1001,MATCH(ROWS($AF$2:AF989),$AF$2:$AF$1001,0),MATCH(COLUMNS($AM$1006:BH1006),$AM$1006:$BM$1006,0)), HYPERLINK("#",""), HYPERLINK(CONCATENATE("#metadata!", ADDRESS(INDEX($AH$2:$AH$1001,MATCH(ROWS($AF$2:AF989),$AF$2:$AF$1001,0),0), INDEX($AM$1004:$BM$1004,1,MATCH(COLUMNS($AM$1006:BH1006),$AM$1006:$BM$1006,0)))),"Fix")))</f>
        <v xml:space="preserve"> </v>
      </c>
      <c r="X989" s="4" t="str">
        <f ca="1">IF(OR(INDEX($AG$2:$AG$1001,MATCH(ROWS($AF$2:AF989),$AF$2:$AF$1001,0),1)&gt;=100000,INDEX($AM$1005:$BM$1005,1,MATCH(COLUMNS($AM$1006:BI1006),$AM$1006:$BM$1006,0))&gt;=100000), " ",IF(INDEX($AM$2:$BM$1001,MATCH(ROWS($AF$2:AF989),$AF$2:$AF$1001,0),MATCH(COLUMNS($AM$1006:BI1006),$AM$1006:$BM$1006,0)), HYPERLINK("#",""), HYPERLINK(CONCATENATE("#metadata!", ADDRESS(INDEX($AH$2:$AH$1001,MATCH(ROWS($AF$2:AF989),$AF$2:$AF$1001,0),0), INDEX($AM$1004:$BM$1004,1,MATCH(COLUMNS($AM$1006:BI1006),$AM$1006:$BM$1006,0)))),"Fix")))</f>
        <v xml:space="preserve"> </v>
      </c>
      <c r="Y989" s="4" t="str">
        <f ca="1">IF(OR(INDEX($AG$2:$AG$1001,MATCH(ROWS($AF$2:AF989),$AF$2:$AF$1001,0),1)&gt;=100000,INDEX($AM$1005:$BM$1005,1,MATCH(COLUMNS($AM$1006:BJ1006),$AM$1006:$BM$1006,0))&gt;=100000), " ",IF(INDEX($AM$2:$BM$1001,MATCH(ROWS($AF$2:AF989),$AF$2:$AF$1001,0),MATCH(COLUMNS($AM$1006:BJ1006),$AM$1006:$BM$1006,0)), HYPERLINK("#",""), HYPERLINK(CONCATENATE("#metadata!", ADDRESS(INDEX($AH$2:$AH$1001,MATCH(ROWS($AF$2:AF989),$AF$2:$AF$1001,0),0), INDEX($AM$1004:$BM$1004,1,MATCH(COLUMNS($AM$1006:BJ1006),$AM$1006:$BM$1006,0)))),"Fix")))</f>
        <v xml:space="preserve"> </v>
      </c>
      <c r="Z989" s="4" t="str">
        <f ca="1">IF(OR(INDEX($AG$2:$AG$1001,MATCH(ROWS($AF$2:AF989),$AF$2:$AF$1001,0),1)&gt;=100000,INDEX($AM$1005:$BM$1005,1,MATCH(COLUMNS($AM$1006:BK1006),$AM$1006:$BM$1006,0))&gt;=100000), " ",IF(INDEX($AM$2:$BM$1001,MATCH(ROWS($AF$2:AF989),$AF$2:$AF$1001,0),MATCH(COLUMNS($AM$1006:BK1006),$AM$1006:$BM$1006,0)), HYPERLINK("#",""), HYPERLINK(CONCATENATE("#metadata!", ADDRESS(INDEX($AH$2:$AH$1001,MATCH(ROWS($AF$2:AF989),$AF$2:$AF$1001,0),0), INDEX($AM$1004:$BM$1004,1,MATCH(COLUMNS($AM$1006:BK1006),$AM$1006:$BM$1006,0)))),"Fix")))</f>
        <v xml:space="preserve"> </v>
      </c>
      <c r="AA989" s="4" t="str">
        <f ca="1">IF(OR(INDEX($AG$2:$AG$1001,MATCH(ROWS($AF$2:AF989),$AF$2:$AF$1001,0),1)&gt;=100000,INDEX($AM$1005:$BM$1005,1,MATCH(COLUMNS($AM$1006:BL1006),$AM$1006:$BM$1006,0))&gt;=100000), " ",IF(INDEX($AM$2:$BM$1001,MATCH(ROWS($AF$2:AF989),$AF$2:$AF$1001,0),MATCH(COLUMNS($AM$1006:BL1006),$AM$1006:$BM$1006,0)), HYPERLINK("#",""), HYPERLINK(CONCATENATE("#metadata!", ADDRESS(INDEX($AH$2:$AH$1001,MATCH(ROWS($AF$2:AF989),$AF$2:$AF$1001,0),0), INDEX($AM$1004:$BM$1004,1,MATCH(COLUMNS($AM$1006:BL1006),$AM$1006:$BM$1006,0)))),"Fix")))</f>
        <v xml:space="preserve"> </v>
      </c>
      <c r="AB989" s="4" t="str">
        <f ca="1">IF(OR(INDEX($AG$2:$AG$1001,MATCH(ROWS($AF$2:AF989),$AF$2:$AF$1001,0),1)&gt;=100000,INDEX($AM$1005:$BM$1005,1,MATCH(COLUMNS($AM$1006:BM1006),$AM$1006:$BM$1006,0))&gt;=100000), " ",IF(INDEX($AM$2:$BM$1001,MATCH(ROWS($AF$2:AF989),$AF$2:$AF$1001,0),MATCH(COLUMNS($AM$1006:BM1006),$AM$1006:$BM$1006,0)), HYPERLINK("#",""), HYPERLINK(CONCATENATE("#metadata!", ADDRESS(INDEX($AH$2:$AH$1001,MATCH(ROWS($AF$2:AF989),$AF$2:$AF$1001,0),0), INDEX($AM$1004:$BM$1004,1,MATCH(COLUMNS($AM$1006:BM1006),$AM$1006:$BM$1006,0)))),"Fix")))</f>
        <v xml:space="preserve"> </v>
      </c>
      <c r="AF989">
        <v>988</v>
      </c>
      <c r="AG989">
        <v>100989</v>
      </c>
      <c r="AH989">
        <v>989</v>
      </c>
      <c r="AI989" t="b">
        <f t="shared" si="15"/>
        <v>1</v>
      </c>
      <c r="AJ989" t="b">
        <f>COUNTBLANK(metadata!B989:AB989)=COLUMNS(metadata!B989:AB989)</f>
        <v>1</v>
      </c>
      <c r="AK989" t="str">
        <v/>
      </c>
      <c r="AM989" t="b">
        <f ca="1">AND(IF(metadata!B989="",FALSE,TRUE),COUNTIF(metadata!B:B, metadata!B989) = 1,NOT(ISERROR(SUMPRODUCT(SEARCH(MID(metadata!B989,ROW(INDIRECT("1:"&amp;LEN(metadata!B989))), 1),"0123456789abcdefghijklmnopqrstuvwxyzABCDEFGHIJKLMNOPQRSTUVWXYZ.")))))</f>
        <v>0</v>
      </c>
      <c r="AN989" t="b">
        <f ca="1">OR(AND(IF(metadata!C989="",FALSE,TRUE),OR(EXACT(metadata!C989,"missing: not collected"),EXACT(metadata!C989,"missing: not provided"),EXACT(metadata!C989,"missing: restricted access"))),AND(IF(metadata!C989="",FALSE,TRUE),AND(AND(IFERROR(INT(LEFT(metadata!C989,4))&gt;1900,FALSE),IFERROR(INT(LEFT(metadata!C989,4))&lt;=YEAR(NOW()),FALSE)), OR(MID(metadata!C989,5,1)="", AND(AND(MID(metadata!C989,5,1)="-",IFERROR(INT(MID(metadata!C989,6,1))&gt;=0,FALSE),IFERROR(INT(MID(metadata!C989,6,1))&lt;=1,FALSE),NOT(MID(metadata!C989,7,1)=""),IFERROR(INT(MID(metadata!C989,6,2))&gt;=1,FALSE),IFERROR(INT(MID(metadata!C989,6,2))&lt;=12,FALSE)), OR(MID(metadata!C989,8,1)="", AND(AND(MID(metadata!C989,8,1)="-",IFERROR(INT(MID(metadata!C989,9,1))&gt;=0,FALSE),IFERROR(INT(MID(metadata!C989,9,1))&lt;=3,FALSE),NOT(MID(metadata!C989,10,1)=""),IFERROR(INT(MID(metadata!C989,9,2))&gt;=1,FALSE),IFERROR(INT(MID(metadata!C989,9,2))&lt;=31,FALSE)), OR(MID(metadata!C989,11,1)="", AND(AND(MID(metadata!C989,11,1)=" ",IFERROR(INT(MID(metadata!C989,12,1))&gt;=0,FALSE),IFERROR(INT(MID(metadata!C989,12,1))&lt;=2,FALSE),NOT(MID(metadata!C989,13,1)=""),IFERROR(INT(MID(metadata!C989,12,2))&gt;=0,FALSE),IFERROR(INT(MID(metadata!C989,12,2))&lt;=23,FALSE)), OR(MID(metadata!C989,14,1)="", AND(AND(MID(metadata!C989,14,1)=":",IFERROR(INT(MID(metadata!C989,15,1))&gt;=0,FALSE),IFERROR(INT(MID(metadata!C989,15,1))&lt;=5,FALSE),NOT(MID(metadata!C989,16,1)=""),IFERROR(INT(MID(metadata!C989,15,2))&gt;=0,FALSE),IFERROR(INT(MID(metadata!C989,15,2))&lt;=59,FALSE)), OR(MID(metadata!C989,17,1)="", AND(AND(MID(metadata!C989,17,1)=":",IFERROR(INT(MID(metadata!C989,18,1))&gt;=0,FALSE),IFERROR(INT(MID(metadata!C989,18,1))&lt;=5,FALSE),NOT(MID(metadata!C989,19,1)=""),IFERROR(INT(MID(metadata!C989,18,2))&gt;=0,FALSE),IFERROR(INT(MID(metadata!C989,18,2))&lt;=59,FALSE)), LEN(metadata!C989)&lt;=19)))))))))))))</f>
        <v>0</v>
      </c>
      <c r="AO989" t="b">
        <f>AND(IF(metadata!D989="",FALSE,TRUE),EXACT(metadata!D989,"Not applicable"))</f>
        <v>0</v>
      </c>
      <c r="AP989" t="b">
        <f>IF(metadata!E989="",FALSE,TRUE)</f>
        <v>0</v>
      </c>
      <c r="AQ989" t="b">
        <f>OR(AND(IF(metadata!F989="",FALSE,TRUE),OR(EXACT(metadata!F989,"missing: not collected"),EXACT(metadata!F989,"missing: not provided"))),AND(IF(metadata!F989="",FALSE,TRUE),OR(EXACT(metadata!F989,"TRUE"),EXACT(metadata!F989,"FALSE"))))</f>
        <v>0</v>
      </c>
      <c r="AR989" t="b">
        <f>OR(AND(IF(metadata!G989="",FALSE,TRUE),OR(EXACT(metadata!G989,"missing: not collected"),EXACT(metadata!G989,"missing: not provided"),EXACT(metadata!G989,"missing: restricted access"))),AND(IF(metadata!G989="",FALSE,ISNUMBER(VALUE(metadata!G989))),metadata!G989&gt;=-413))</f>
        <v>0</v>
      </c>
      <c r="AS989" t="b">
        <f>AND(IF(metadata!H989="",FALSE,TRUE),EXACT(metadata!H989,"meters"))</f>
        <v>0</v>
      </c>
      <c r="AT989" t="b">
        <f>AND(IF(metadata!I989="",FALSE,TRUE),OR(EXACT(metadata!I989,"Host-associated"),EXACT(metadata!I989,"Free-living")))</f>
        <v>0</v>
      </c>
      <c r="AU989" t="b">
        <f>AND(IF(metadata!J989="",FALSE,TRUE),OR(EXACT(metadata!J989,"Animal"),EXACT(metadata!J989,"Fungus"),EXACT(metadata!J989,"Plant"),EXACT(metadata!J989,"Saline"),EXACT(metadata!J989,"Non-saline")))</f>
        <v>0</v>
      </c>
      <c r="AV989" t="b">
        <f>AND(IF(metadata!K989="",FALSE,TRUE),OR(EXACT(metadata!K989,"Plant secretion"),EXACT(metadata!K989,"Plant rhizosphere"),EXACT(metadata!K989,"Plant surface"),EXACT(metadata!K989,"Plant corpus"),EXACT(metadata!K989,"Fungus surface"),EXACT(metadata!K989,"Fungus corpus"),EXACT(metadata!K989,"Animal surface"),EXACT(metadata!K989,"Animal proximal gut"),EXACT(metadata!K989,"Animal corpus"),EXACT(metadata!K989,"Animal distal gut"),EXACT(metadata!K989,"Animal secretion"),EXACT(metadata!K989,"Sub-surface (non-saline)"),EXACT(metadata!K989,"Surface (non-saline)"),EXACT(metadata!K989,"Water (non-saline)"),EXACT(metadata!K989,"Soil (non-saline)"),EXACT(metadata!K989,"Aerosol (non-saline)"),EXACT(metadata!K989,"Sediment (non-saline)"),EXACT(metadata!K989,"Surface (saline)"),EXACT(metadata!K989,"Water (saline)"),EXACT(metadata!K989,"Hypersaline (saline)"),EXACT(metadata!K989,"Aerosol (saline)"),EXACT(metadata!K989,"Sediment (saline)")))</f>
        <v>0</v>
      </c>
      <c r="AW989" t="b">
        <f>IF(metadata!L989="",FALSE,TRUE)</f>
        <v>0</v>
      </c>
      <c r="AX989" t="b">
        <f>IF(metadata!M989="",FALSE,TRUE)</f>
        <v>0</v>
      </c>
      <c r="AY989" t="b">
        <f>IF(metadata!N989="",FALSE,TRUE)</f>
        <v>0</v>
      </c>
      <c r="AZ989" t="b">
        <f>OR(AND(IF(metadata!O989="",FALSE,TRUE),OR(EXACT(metadata!O989,"missing: not collected"),EXACT(metadata!O989,"missing: not provided"),EXACT(metadata!O989,"missing: restricted access"))),AND(IF(metadata!O989="",FALSE,TRUE),OR(EXACT(metadata!O989,"air"),EXACT(metadata!O989,"built environment"),EXACT(metadata!O989,"host-associated"),EXACT(metadata!O989,"human-associated"),EXACT(metadata!O989,"human-skin"),EXACT(metadata!O989,"human-oral"),EXACT(metadata!O989,"human-gut"),EXACT(metadata!O989,"human-vaginal"),EXACT(metadata!O989,"microbial mat/biofilm"),EXACT(metadata!O989,"misc environment"),EXACT(metadata!O989,"plant-associated"),EXACT(metadata!O989,"sediment"),EXACT(metadata!O989,"soil"),EXACT(metadata!O989,"wastewater/sludge"),EXACT(metadata!O989,"water"))))</f>
        <v>0</v>
      </c>
      <c r="BA989" t="b">
        <f>IF(metadata!P989="",FALSE,TRUE)</f>
        <v>0</v>
      </c>
      <c r="BB989" t="b">
        <f>IF(metadata!Q989="",FALSE,TRUE)</f>
        <v>0</v>
      </c>
      <c r="BC989" t="b">
        <f>OR(AND(IF(metadata!R989="",FALSE,TRUE),OR(EXACT(metadata!R989,"missing: not collected"),EXACT(metadata!R989,"missing: not provided"),EXACT(metadata!R989,"missing: restricted access"))),AND(IF(metadata!R989="",FALSE,ISNUMBER(VALUE(metadata!R989))),metadata!R989&gt;=-90,metadata!R989&lt;=90))</f>
        <v>0</v>
      </c>
      <c r="BD989" t="b">
        <f>AND(IF(metadata!S989="",FALSE,TRUE),EXACT(metadata!S989,"Decimal degrees"))</f>
        <v>0</v>
      </c>
      <c r="BE989" t="b">
        <f>OR(AND(IF(metadata!T989="",FALSE,TRUE),OR(EXACT(metadata!T989,"missing: not collected"),EXACT(metadata!T989,"missing: not provided"),EXACT(metadata!T989,"missing: restricted access"))),AND(IF(metadata!T989="",FALSE,ISNUMBER(VALUE(metadata!T989))),metadata!T989&gt;=-180,metadata!T989&lt;=180))</f>
        <v>0</v>
      </c>
      <c r="BF989" t="b">
        <f>AND(IF(metadata!U989="",FALSE,TRUE),EXACT(metadata!U989,"Decimal degrees"))</f>
        <v>0</v>
      </c>
      <c r="BG989" t="b">
        <f>IF(metadata!V989="",FALSE,TRUE)</f>
        <v>0</v>
      </c>
      <c r="BH989" t="b">
        <f>OR(AND(IF(metadata!W989="",FALSE,TRUE),OR(EXACT(metadata!W989,"missing: not collected"),EXACT(metadata!W989,"missing: not provided"),EXACT(metadata!W989,"missing: restricted access"))),AND(IF(metadata!W989="",FALSE,TRUE),OR(EXACT(metadata!W989,"TRUE"),EXACT(metadata!W989,"FALSE"))))</f>
        <v>0</v>
      </c>
      <c r="BI989" t="b">
        <f>AND(IF(metadata!X989="",FALSE,TRUE),EXACT(metadata!X989,"other"))</f>
        <v>0</v>
      </c>
      <c r="BJ989" t="b">
        <f>IF(metadata!Y989="",FALSE,TRUE)</f>
        <v>0</v>
      </c>
      <c r="BK989" t="b">
        <f>OR(AND(IF(metadata!Z989="",FALSE,TRUE),OR(EXACT(metadata!Z989,"missing: not collected"),EXACT(metadata!Z989,"missing: not provided"))),AND(IF(metadata!Z989="",FALSE,IF(ISERROR(INT(metadata!Z989)),FALSE,INT(metadata!Z989)=metadata!Z989)),metadata!Z989&gt;0))</f>
        <v>0</v>
      </c>
      <c r="BL989" t="b">
        <f>AND(IF(metadata!AA989="",FALSE,TRUE),EXACT(metadata!AA989,"Not applicable"))</f>
        <v>0</v>
      </c>
      <c r="BM989" t="b">
        <f>IF(metadata!AB989="",FALSE,TRUE)</f>
        <v>0</v>
      </c>
    </row>
    <row r="990" spans="1:65" x14ac:dyDescent="0.2">
      <c r="A990" s="5" t="str">
        <f ca="1">IF(B990=" "," ",HYPERLINK(CONCATENATE("#metadata!",ADDRESS(INDEX($AH$2:$AH$1001,MATCH(ROWS($AF$2:AF990),$AF$2:$AF$1001,0),0),1)),INDEX($AK$2:$AK$1001,MATCH(ROWS($AF$2:AF990),$AF$2:$AF$1001,0),0)))</f>
        <v xml:space="preserve"> </v>
      </c>
      <c r="B990" s="4" t="str">
        <f ca="1">IF(OR(INDEX($AG$2:$AG$1001,MATCH(ROWS($AF$2:AF990),$AF$2:$AF$1001,0),1)&gt;=100000,INDEX($AM$1005:$BM$1005,1,MATCH(COLUMNS($AM$1006:AM1006),$AM$1006:$BM$1006,0))&gt;=100000), " ",IF(INDEX($AM$2:$BM$1001,MATCH(ROWS($AF$2:AF990),$AF$2:$AF$1001,0),MATCH(COLUMNS($AM$1006:AM1006),$AM$1006:$BM$1006,0)), HYPERLINK("#",""), HYPERLINK(CONCATENATE("#metadata!", ADDRESS(INDEX($AH$2:$AH$1001,MATCH(ROWS($AF$2:AF990),$AF$2:$AF$1001,0),0), INDEX($AM$1004:$BM$1004,1,MATCH(COLUMNS($AM$1006:AM1006),$AM$1006:$BM$1006,0)))),"Fix")))</f>
        <v xml:space="preserve"> </v>
      </c>
      <c r="C990" s="4" t="str">
        <f ca="1">IF(OR(INDEX($AG$2:$AG$1001,MATCH(ROWS($AF$2:AF990),$AF$2:$AF$1001,0),1)&gt;=100000,INDEX($AM$1005:$BM$1005,1,MATCH(COLUMNS($AM$1006:AN1006),$AM$1006:$BM$1006,0))&gt;=100000), " ",IF(INDEX($AM$2:$BM$1001,MATCH(ROWS($AF$2:AF990),$AF$2:$AF$1001,0),MATCH(COLUMNS($AM$1006:AN1006),$AM$1006:$BM$1006,0)), HYPERLINK("#",""), HYPERLINK(CONCATENATE("#metadata!", ADDRESS(INDEX($AH$2:$AH$1001,MATCH(ROWS($AF$2:AF990),$AF$2:$AF$1001,0),0), INDEX($AM$1004:$BM$1004,1,MATCH(COLUMNS($AM$1006:AN1006),$AM$1006:$BM$1006,0)))),"Fix")))</f>
        <v xml:space="preserve"> </v>
      </c>
      <c r="D990" s="4" t="str">
        <f ca="1">IF(OR(INDEX($AG$2:$AG$1001,MATCH(ROWS($AF$2:AF990),$AF$2:$AF$1001,0),1)&gt;=100000,INDEX($AM$1005:$BM$1005,1,MATCH(COLUMNS($AM$1006:AO1006),$AM$1006:$BM$1006,0))&gt;=100000), " ",IF(INDEX($AM$2:$BM$1001,MATCH(ROWS($AF$2:AF990),$AF$2:$AF$1001,0),MATCH(COLUMNS($AM$1006:AO1006),$AM$1006:$BM$1006,0)), HYPERLINK("#",""), HYPERLINK(CONCATENATE("#metadata!", ADDRESS(INDEX($AH$2:$AH$1001,MATCH(ROWS($AF$2:AF990),$AF$2:$AF$1001,0),0), INDEX($AM$1004:$BM$1004,1,MATCH(COLUMNS($AM$1006:AO1006),$AM$1006:$BM$1006,0)))),"Fix")))</f>
        <v xml:space="preserve"> </v>
      </c>
      <c r="E990" s="4" t="str">
        <f ca="1">IF(OR(INDEX($AG$2:$AG$1001,MATCH(ROWS($AF$2:AF990),$AF$2:$AF$1001,0),1)&gt;=100000,INDEX($AM$1005:$BM$1005,1,MATCH(COLUMNS($AM$1006:AP1006),$AM$1006:$BM$1006,0))&gt;=100000), " ",IF(INDEX($AM$2:$BM$1001,MATCH(ROWS($AF$2:AF990),$AF$2:$AF$1001,0),MATCH(COLUMNS($AM$1006:AP1006),$AM$1006:$BM$1006,0)), HYPERLINK("#",""), HYPERLINK(CONCATENATE("#metadata!", ADDRESS(INDEX($AH$2:$AH$1001,MATCH(ROWS($AF$2:AF990),$AF$2:$AF$1001,0),0), INDEX($AM$1004:$BM$1004,1,MATCH(COLUMNS($AM$1006:AP1006),$AM$1006:$BM$1006,0)))),"Fix")))</f>
        <v xml:space="preserve"> </v>
      </c>
      <c r="F990" s="4" t="str">
        <f ca="1">IF(OR(INDEX($AG$2:$AG$1001,MATCH(ROWS($AF$2:AF990),$AF$2:$AF$1001,0),1)&gt;=100000,INDEX($AM$1005:$BM$1005,1,MATCH(COLUMNS($AM$1006:AQ1006),$AM$1006:$BM$1006,0))&gt;=100000), " ",IF(INDEX($AM$2:$BM$1001,MATCH(ROWS($AF$2:AF990),$AF$2:$AF$1001,0),MATCH(COLUMNS($AM$1006:AQ1006),$AM$1006:$BM$1006,0)), HYPERLINK("#",""), HYPERLINK(CONCATENATE("#metadata!", ADDRESS(INDEX($AH$2:$AH$1001,MATCH(ROWS($AF$2:AF990),$AF$2:$AF$1001,0),0), INDEX($AM$1004:$BM$1004,1,MATCH(COLUMNS($AM$1006:AQ1006),$AM$1006:$BM$1006,0)))),"Fix")))</f>
        <v xml:space="preserve"> </v>
      </c>
      <c r="G990" s="4" t="str">
        <f ca="1">IF(OR(INDEX($AG$2:$AG$1001,MATCH(ROWS($AF$2:AF990),$AF$2:$AF$1001,0),1)&gt;=100000,INDEX($AM$1005:$BM$1005,1,MATCH(COLUMNS($AM$1006:AR1006),$AM$1006:$BM$1006,0))&gt;=100000), " ",IF(INDEX($AM$2:$BM$1001,MATCH(ROWS($AF$2:AF990),$AF$2:$AF$1001,0),MATCH(COLUMNS($AM$1006:AR1006),$AM$1006:$BM$1006,0)), HYPERLINK("#",""), HYPERLINK(CONCATENATE("#metadata!", ADDRESS(INDEX($AH$2:$AH$1001,MATCH(ROWS($AF$2:AF990),$AF$2:$AF$1001,0),0), INDEX($AM$1004:$BM$1004,1,MATCH(COLUMNS($AM$1006:AR1006),$AM$1006:$BM$1006,0)))),"Fix")))</f>
        <v xml:space="preserve"> </v>
      </c>
      <c r="H990" s="4" t="str">
        <f ca="1">IF(OR(INDEX($AG$2:$AG$1001,MATCH(ROWS($AF$2:AF990),$AF$2:$AF$1001,0),1)&gt;=100000,INDEX($AM$1005:$BM$1005,1,MATCH(COLUMNS($AM$1006:AS1006),$AM$1006:$BM$1006,0))&gt;=100000), " ",IF(INDEX($AM$2:$BM$1001,MATCH(ROWS($AF$2:AF990),$AF$2:$AF$1001,0),MATCH(COLUMNS($AM$1006:AS1006),$AM$1006:$BM$1006,0)), HYPERLINK("#",""), HYPERLINK(CONCATENATE("#metadata!", ADDRESS(INDEX($AH$2:$AH$1001,MATCH(ROWS($AF$2:AF990),$AF$2:$AF$1001,0),0), INDEX($AM$1004:$BM$1004,1,MATCH(COLUMNS($AM$1006:AS1006),$AM$1006:$BM$1006,0)))),"Fix")))</f>
        <v xml:space="preserve"> </v>
      </c>
      <c r="I990" s="4" t="str">
        <f ca="1">IF(OR(INDEX($AG$2:$AG$1001,MATCH(ROWS($AF$2:AF990),$AF$2:$AF$1001,0),1)&gt;=100000,INDEX($AM$1005:$BM$1005,1,MATCH(COLUMNS($AM$1006:AT1006),$AM$1006:$BM$1006,0))&gt;=100000), " ",IF(INDEX($AM$2:$BM$1001,MATCH(ROWS($AF$2:AF990),$AF$2:$AF$1001,0),MATCH(COLUMNS($AM$1006:AT1006),$AM$1006:$BM$1006,0)), HYPERLINK("#",""), HYPERLINK(CONCATENATE("#metadata!", ADDRESS(INDEX($AH$2:$AH$1001,MATCH(ROWS($AF$2:AF990),$AF$2:$AF$1001,0),0), INDEX($AM$1004:$BM$1004,1,MATCH(COLUMNS($AM$1006:AT1006),$AM$1006:$BM$1006,0)))),"Fix")))</f>
        <v xml:space="preserve"> </v>
      </c>
      <c r="J990" s="4" t="str">
        <f ca="1">IF(OR(INDEX($AG$2:$AG$1001,MATCH(ROWS($AF$2:AF990),$AF$2:$AF$1001,0),1)&gt;=100000,INDEX($AM$1005:$BM$1005,1,MATCH(COLUMNS($AM$1006:AU1006),$AM$1006:$BM$1006,0))&gt;=100000), " ",IF(INDEX($AM$2:$BM$1001,MATCH(ROWS($AF$2:AF990),$AF$2:$AF$1001,0),MATCH(COLUMNS($AM$1006:AU1006),$AM$1006:$BM$1006,0)), HYPERLINK("#",""), HYPERLINK(CONCATENATE("#metadata!", ADDRESS(INDEX($AH$2:$AH$1001,MATCH(ROWS($AF$2:AF990),$AF$2:$AF$1001,0),0), INDEX($AM$1004:$BM$1004,1,MATCH(COLUMNS($AM$1006:AU1006),$AM$1006:$BM$1006,0)))),"Fix")))</f>
        <v xml:space="preserve"> </v>
      </c>
      <c r="K990" s="4" t="str">
        <f ca="1">IF(OR(INDEX($AG$2:$AG$1001,MATCH(ROWS($AF$2:AF990),$AF$2:$AF$1001,0),1)&gt;=100000,INDEX($AM$1005:$BM$1005,1,MATCH(COLUMNS($AM$1006:AV1006),$AM$1006:$BM$1006,0))&gt;=100000), " ",IF(INDEX($AM$2:$BM$1001,MATCH(ROWS($AF$2:AF990),$AF$2:$AF$1001,0),MATCH(COLUMNS($AM$1006:AV1006),$AM$1006:$BM$1006,0)), HYPERLINK("#",""), HYPERLINK(CONCATENATE("#metadata!", ADDRESS(INDEX($AH$2:$AH$1001,MATCH(ROWS($AF$2:AF990),$AF$2:$AF$1001,0),0), INDEX($AM$1004:$BM$1004,1,MATCH(COLUMNS($AM$1006:AV1006),$AM$1006:$BM$1006,0)))),"Fix")))</f>
        <v xml:space="preserve"> </v>
      </c>
      <c r="L990" s="4" t="str">
        <f ca="1">IF(OR(INDEX($AG$2:$AG$1001,MATCH(ROWS($AF$2:AF990),$AF$2:$AF$1001,0),1)&gt;=100000,INDEX($AM$1005:$BM$1005,1,MATCH(COLUMNS($AM$1006:AW1006),$AM$1006:$BM$1006,0))&gt;=100000), " ",IF(INDEX($AM$2:$BM$1001,MATCH(ROWS($AF$2:AF990),$AF$2:$AF$1001,0),MATCH(COLUMNS($AM$1006:AW1006),$AM$1006:$BM$1006,0)), HYPERLINK("#",""), HYPERLINK(CONCATENATE("#metadata!", ADDRESS(INDEX($AH$2:$AH$1001,MATCH(ROWS($AF$2:AF990),$AF$2:$AF$1001,0),0), INDEX($AM$1004:$BM$1004,1,MATCH(COLUMNS($AM$1006:AW1006),$AM$1006:$BM$1006,0)))),"Fix")))</f>
        <v xml:space="preserve"> </v>
      </c>
      <c r="M990" s="4" t="str">
        <f ca="1">IF(OR(INDEX($AG$2:$AG$1001,MATCH(ROWS($AF$2:AF990),$AF$2:$AF$1001,0),1)&gt;=100000,INDEX($AM$1005:$BM$1005,1,MATCH(COLUMNS($AM$1006:AX1006),$AM$1006:$BM$1006,0))&gt;=100000), " ",IF(INDEX($AM$2:$BM$1001,MATCH(ROWS($AF$2:AF990),$AF$2:$AF$1001,0),MATCH(COLUMNS($AM$1006:AX1006),$AM$1006:$BM$1006,0)), HYPERLINK("#",""), HYPERLINK(CONCATENATE("#metadata!", ADDRESS(INDEX($AH$2:$AH$1001,MATCH(ROWS($AF$2:AF990),$AF$2:$AF$1001,0),0), INDEX($AM$1004:$BM$1004,1,MATCH(COLUMNS($AM$1006:AX1006),$AM$1006:$BM$1006,0)))),"Fix")))</f>
        <v xml:space="preserve"> </v>
      </c>
      <c r="N990" s="4" t="str">
        <f ca="1">IF(OR(INDEX($AG$2:$AG$1001,MATCH(ROWS($AF$2:AF990),$AF$2:$AF$1001,0),1)&gt;=100000,INDEX($AM$1005:$BM$1005,1,MATCH(COLUMNS($AM$1006:AY1006),$AM$1006:$BM$1006,0))&gt;=100000), " ",IF(INDEX($AM$2:$BM$1001,MATCH(ROWS($AF$2:AF990),$AF$2:$AF$1001,0),MATCH(COLUMNS($AM$1006:AY1006),$AM$1006:$BM$1006,0)), HYPERLINK("#",""), HYPERLINK(CONCATENATE("#metadata!", ADDRESS(INDEX($AH$2:$AH$1001,MATCH(ROWS($AF$2:AF990),$AF$2:$AF$1001,0),0), INDEX($AM$1004:$BM$1004,1,MATCH(COLUMNS($AM$1006:AY1006),$AM$1006:$BM$1006,0)))),"Fix")))</f>
        <v xml:space="preserve"> </v>
      </c>
      <c r="O990" s="4" t="str">
        <f ca="1">IF(OR(INDEX($AG$2:$AG$1001,MATCH(ROWS($AF$2:AF990),$AF$2:$AF$1001,0),1)&gt;=100000,INDEX($AM$1005:$BM$1005,1,MATCH(COLUMNS($AM$1006:AZ1006),$AM$1006:$BM$1006,0))&gt;=100000), " ",IF(INDEX($AM$2:$BM$1001,MATCH(ROWS($AF$2:AF990),$AF$2:$AF$1001,0),MATCH(COLUMNS($AM$1006:AZ1006),$AM$1006:$BM$1006,0)), HYPERLINK("#",""), HYPERLINK(CONCATENATE("#metadata!", ADDRESS(INDEX($AH$2:$AH$1001,MATCH(ROWS($AF$2:AF990),$AF$2:$AF$1001,0),0), INDEX($AM$1004:$BM$1004,1,MATCH(COLUMNS($AM$1006:AZ1006),$AM$1006:$BM$1006,0)))),"Fix")))</f>
        <v xml:space="preserve"> </v>
      </c>
      <c r="P990" s="4" t="str">
        <f ca="1">IF(OR(INDEX($AG$2:$AG$1001,MATCH(ROWS($AF$2:AF990),$AF$2:$AF$1001,0),1)&gt;=100000,INDEX($AM$1005:$BM$1005,1,MATCH(COLUMNS($AM$1006:BA1006),$AM$1006:$BM$1006,0))&gt;=100000), " ",IF(INDEX($AM$2:$BM$1001,MATCH(ROWS($AF$2:AF990),$AF$2:$AF$1001,0),MATCH(COLUMNS($AM$1006:BA1006),$AM$1006:$BM$1006,0)), HYPERLINK("#",""), HYPERLINK(CONCATENATE("#metadata!", ADDRESS(INDEX($AH$2:$AH$1001,MATCH(ROWS($AF$2:AF990),$AF$2:$AF$1001,0),0), INDEX($AM$1004:$BM$1004,1,MATCH(COLUMNS($AM$1006:BA1006),$AM$1006:$BM$1006,0)))),"Fix")))</f>
        <v xml:space="preserve"> </v>
      </c>
      <c r="Q990" s="4" t="str">
        <f ca="1">IF(OR(INDEX($AG$2:$AG$1001,MATCH(ROWS($AF$2:AF990),$AF$2:$AF$1001,0),1)&gt;=100000,INDEX($AM$1005:$BM$1005,1,MATCH(COLUMNS($AM$1006:BB1006),$AM$1006:$BM$1006,0))&gt;=100000), " ",IF(INDEX($AM$2:$BM$1001,MATCH(ROWS($AF$2:AF990),$AF$2:$AF$1001,0),MATCH(COLUMNS($AM$1006:BB1006),$AM$1006:$BM$1006,0)), HYPERLINK("#",""), HYPERLINK(CONCATENATE("#metadata!", ADDRESS(INDEX($AH$2:$AH$1001,MATCH(ROWS($AF$2:AF990),$AF$2:$AF$1001,0),0), INDEX($AM$1004:$BM$1004,1,MATCH(COLUMNS($AM$1006:BB1006),$AM$1006:$BM$1006,0)))),"Fix")))</f>
        <v xml:space="preserve"> </v>
      </c>
      <c r="R990" s="4" t="str">
        <f ca="1">IF(OR(INDEX($AG$2:$AG$1001,MATCH(ROWS($AF$2:AF990),$AF$2:$AF$1001,0),1)&gt;=100000,INDEX($AM$1005:$BM$1005,1,MATCH(COLUMNS($AM$1006:BC1006),$AM$1006:$BM$1006,0))&gt;=100000), " ",IF(INDEX($AM$2:$BM$1001,MATCH(ROWS($AF$2:AF990),$AF$2:$AF$1001,0),MATCH(COLUMNS($AM$1006:BC1006),$AM$1006:$BM$1006,0)), HYPERLINK("#",""), HYPERLINK(CONCATENATE("#metadata!", ADDRESS(INDEX($AH$2:$AH$1001,MATCH(ROWS($AF$2:AF990),$AF$2:$AF$1001,0),0), INDEX($AM$1004:$BM$1004,1,MATCH(COLUMNS($AM$1006:BC1006),$AM$1006:$BM$1006,0)))),"Fix")))</f>
        <v xml:space="preserve"> </v>
      </c>
      <c r="S990" s="4" t="str">
        <f ca="1">IF(OR(INDEX($AG$2:$AG$1001,MATCH(ROWS($AF$2:AF990),$AF$2:$AF$1001,0),1)&gt;=100000,INDEX($AM$1005:$BM$1005,1,MATCH(COLUMNS($AM$1006:BD1006),$AM$1006:$BM$1006,0))&gt;=100000), " ",IF(INDEX($AM$2:$BM$1001,MATCH(ROWS($AF$2:AF990),$AF$2:$AF$1001,0),MATCH(COLUMNS($AM$1006:BD1006),$AM$1006:$BM$1006,0)), HYPERLINK("#",""), HYPERLINK(CONCATENATE("#metadata!", ADDRESS(INDEX($AH$2:$AH$1001,MATCH(ROWS($AF$2:AF990),$AF$2:$AF$1001,0),0), INDEX($AM$1004:$BM$1004,1,MATCH(COLUMNS($AM$1006:BD1006),$AM$1006:$BM$1006,0)))),"Fix")))</f>
        <v xml:space="preserve"> </v>
      </c>
      <c r="T990" s="4" t="str">
        <f ca="1">IF(OR(INDEX($AG$2:$AG$1001,MATCH(ROWS($AF$2:AF990),$AF$2:$AF$1001,0),1)&gt;=100000,INDEX($AM$1005:$BM$1005,1,MATCH(COLUMNS($AM$1006:BE1006),$AM$1006:$BM$1006,0))&gt;=100000), " ",IF(INDEX($AM$2:$BM$1001,MATCH(ROWS($AF$2:AF990),$AF$2:$AF$1001,0),MATCH(COLUMNS($AM$1006:BE1006),$AM$1006:$BM$1006,0)), HYPERLINK("#",""), HYPERLINK(CONCATENATE("#metadata!", ADDRESS(INDEX($AH$2:$AH$1001,MATCH(ROWS($AF$2:AF990),$AF$2:$AF$1001,0),0), INDEX($AM$1004:$BM$1004,1,MATCH(COLUMNS($AM$1006:BE1006),$AM$1006:$BM$1006,0)))),"Fix")))</f>
        <v xml:space="preserve"> </v>
      </c>
      <c r="U990" s="4" t="str">
        <f ca="1">IF(OR(INDEX($AG$2:$AG$1001,MATCH(ROWS($AF$2:AF990),$AF$2:$AF$1001,0),1)&gt;=100000,INDEX($AM$1005:$BM$1005,1,MATCH(COLUMNS($AM$1006:BF1006),$AM$1006:$BM$1006,0))&gt;=100000), " ",IF(INDEX($AM$2:$BM$1001,MATCH(ROWS($AF$2:AF990),$AF$2:$AF$1001,0),MATCH(COLUMNS($AM$1006:BF1006),$AM$1006:$BM$1006,0)), HYPERLINK("#",""), HYPERLINK(CONCATENATE("#metadata!", ADDRESS(INDEX($AH$2:$AH$1001,MATCH(ROWS($AF$2:AF990),$AF$2:$AF$1001,0),0), INDEX($AM$1004:$BM$1004,1,MATCH(COLUMNS($AM$1006:BF1006),$AM$1006:$BM$1006,0)))),"Fix")))</f>
        <v xml:space="preserve"> </v>
      </c>
      <c r="V990" s="4" t="str">
        <f ca="1">IF(OR(INDEX($AG$2:$AG$1001,MATCH(ROWS($AF$2:AF990),$AF$2:$AF$1001,0),1)&gt;=100000,INDEX($AM$1005:$BM$1005,1,MATCH(COLUMNS($AM$1006:BG1006),$AM$1006:$BM$1006,0))&gt;=100000), " ",IF(INDEX($AM$2:$BM$1001,MATCH(ROWS($AF$2:AF990),$AF$2:$AF$1001,0),MATCH(COLUMNS($AM$1006:BG1006),$AM$1006:$BM$1006,0)), HYPERLINK("#",""), HYPERLINK(CONCATENATE("#metadata!", ADDRESS(INDEX($AH$2:$AH$1001,MATCH(ROWS($AF$2:AF990),$AF$2:$AF$1001,0),0), INDEX($AM$1004:$BM$1004,1,MATCH(COLUMNS($AM$1006:BG1006),$AM$1006:$BM$1006,0)))),"Fix")))</f>
        <v xml:space="preserve"> </v>
      </c>
      <c r="W990" s="4" t="str">
        <f ca="1">IF(OR(INDEX($AG$2:$AG$1001,MATCH(ROWS($AF$2:AF990),$AF$2:$AF$1001,0),1)&gt;=100000,INDEX($AM$1005:$BM$1005,1,MATCH(COLUMNS($AM$1006:BH1006),$AM$1006:$BM$1006,0))&gt;=100000), " ",IF(INDEX($AM$2:$BM$1001,MATCH(ROWS($AF$2:AF990),$AF$2:$AF$1001,0),MATCH(COLUMNS($AM$1006:BH1006),$AM$1006:$BM$1006,0)), HYPERLINK("#",""), HYPERLINK(CONCATENATE("#metadata!", ADDRESS(INDEX($AH$2:$AH$1001,MATCH(ROWS($AF$2:AF990),$AF$2:$AF$1001,0),0), INDEX($AM$1004:$BM$1004,1,MATCH(COLUMNS($AM$1006:BH1006),$AM$1006:$BM$1006,0)))),"Fix")))</f>
        <v xml:space="preserve"> </v>
      </c>
      <c r="X990" s="4" t="str">
        <f ca="1">IF(OR(INDEX($AG$2:$AG$1001,MATCH(ROWS($AF$2:AF990),$AF$2:$AF$1001,0),1)&gt;=100000,INDEX($AM$1005:$BM$1005,1,MATCH(COLUMNS($AM$1006:BI1006),$AM$1006:$BM$1006,0))&gt;=100000), " ",IF(INDEX($AM$2:$BM$1001,MATCH(ROWS($AF$2:AF990),$AF$2:$AF$1001,0),MATCH(COLUMNS($AM$1006:BI1006),$AM$1006:$BM$1006,0)), HYPERLINK("#",""), HYPERLINK(CONCATENATE("#metadata!", ADDRESS(INDEX($AH$2:$AH$1001,MATCH(ROWS($AF$2:AF990),$AF$2:$AF$1001,0),0), INDEX($AM$1004:$BM$1004,1,MATCH(COLUMNS($AM$1006:BI1006),$AM$1006:$BM$1006,0)))),"Fix")))</f>
        <v xml:space="preserve"> </v>
      </c>
      <c r="Y990" s="4" t="str">
        <f ca="1">IF(OR(INDEX($AG$2:$AG$1001,MATCH(ROWS($AF$2:AF990),$AF$2:$AF$1001,0),1)&gt;=100000,INDEX($AM$1005:$BM$1005,1,MATCH(COLUMNS($AM$1006:BJ1006),$AM$1006:$BM$1006,0))&gt;=100000), " ",IF(INDEX($AM$2:$BM$1001,MATCH(ROWS($AF$2:AF990),$AF$2:$AF$1001,0),MATCH(COLUMNS($AM$1006:BJ1006),$AM$1006:$BM$1006,0)), HYPERLINK("#",""), HYPERLINK(CONCATENATE("#metadata!", ADDRESS(INDEX($AH$2:$AH$1001,MATCH(ROWS($AF$2:AF990),$AF$2:$AF$1001,0),0), INDEX($AM$1004:$BM$1004,1,MATCH(COLUMNS($AM$1006:BJ1006),$AM$1006:$BM$1006,0)))),"Fix")))</f>
        <v xml:space="preserve"> </v>
      </c>
      <c r="Z990" s="4" t="str">
        <f ca="1">IF(OR(INDEX($AG$2:$AG$1001,MATCH(ROWS($AF$2:AF990),$AF$2:$AF$1001,0),1)&gt;=100000,INDEX($AM$1005:$BM$1005,1,MATCH(COLUMNS($AM$1006:BK1006),$AM$1006:$BM$1006,0))&gt;=100000), " ",IF(INDEX($AM$2:$BM$1001,MATCH(ROWS($AF$2:AF990),$AF$2:$AF$1001,0),MATCH(COLUMNS($AM$1006:BK1006),$AM$1006:$BM$1006,0)), HYPERLINK("#",""), HYPERLINK(CONCATENATE("#metadata!", ADDRESS(INDEX($AH$2:$AH$1001,MATCH(ROWS($AF$2:AF990),$AF$2:$AF$1001,0),0), INDEX($AM$1004:$BM$1004,1,MATCH(COLUMNS($AM$1006:BK1006),$AM$1006:$BM$1006,0)))),"Fix")))</f>
        <v xml:space="preserve"> </v>
      </c>
      <c r="AA990" s="4" t="str">
        <f ca="1">IF(OR(INDEX($AG$2:$AG$1001,MATCH(ROWS($AF$2:AF990),$AF$2:$AF$1001,0),1)&gt;=100000,INDEX($AM$1005:$BM$1005,1,MATCH(COLUMNS($AM$1006:BL1006),$AM$1006:$BM$1006,0))&gt;=100000), " ",IF(INDEX($AM$2:$BM$1001,MATCH(ROWS($AF$2:AF990),$AF$2:$AF$1001,0),MATCH(COLUMNS($AM$1006:BL1006),$AM$1006:$BM$1006,0)), HYPERLINK("#",""), HYPERLINK(CONCATENATE("#metadata!", ADDRESS(INDEX($AH$2:$AH$1001,MATCH(ROWS($AF$2:AF990),$AF$2:$AF$1001,0),0), INDEX($AM$1004:$BM$1004,1,MATCH(COLUMNS($AM$1006:BL1006),$AM$1006:$BM$1006,0)))),"Fix")))</f>
        <v xml:space="preserve"> </v>
      </c>
      <c r="AB990" s="4" t="str">
        <f ca="1">IF(OR(INDEX($AG$2:$AG$1001,MATCH(ROWS($AF$2:AF990),$AF$2:$AF$1001,0),1)&gt;=100000,INDEX($AM$1005:$BM$1005,1,MATCH(COLUMNS($AM$1006:BM1006),$AM$1006:$BM$1006,0))&gt;=100000), " ",IF(INDEX($AM$2:$BM$1001,MATCH(ROWS($AF$2:AF990),$AF$2:$AF$1001,0),MATCH(COLUMNS($AM$1006:BM1006),$AM$1006:$BM$1006,0)), HYPERLINK("#",""), HYPERLINK(CONCATENATE("#metadata!", ADDRESS(INDEX($AH$2:$AH$1001,MATCH(ROWS($AF$2:AF990),$AF$2:$AF$1001,0),0), INDEX($AM$1004:$BM$1004,1,MATCH(COLUMNS($AM$1006:BM1006),$AM$1006:$BM$1006,0)))),"Fix")))</f>
        <v xml:space="preserve"> </v>
      </c>
      <c r="AF990">
        <v>989</v>
      </c>
      <c r="AG990">
        <v>100990</v>
      </c>
      <c r="AH990">
        <v>990</v>
      </c>
      <c r="AI990" t="b">
        <f t="shared" si="15"/>
        <v>1</v>
      </c>
      <c r="AJ990" t="b">
        <f>COUNTBLANK(metadata!B990:AB990)=COLUMNS(metadata!B990:AB990)</f>
        <v>1</v>
      </c>
      <c r="AK990" t="str">
        <v/>
      </c>
      <c r="AM990" t="b">
        <f ca="1">AND(IF(metadata!B990="",FALSE,TRUE),COUNTIF(metadata!B:B, metadata!B990) = 1,NOT(ISERROR(SUMPRODUCT(SEARCH(MID(metadata!B990,ROW(INDIRECT("1:"&amp;LEN(metadata!B990))), 1),"0123456789abcdefghijklmnopqrstuvwxyzABCDEFGHIJKLMNOPQRSTUVWXYZ.")))))</f>
        <v>0</v>
      </c>
      <c r="AN990" t="b">
        <f ca="1">OR(AND(IF(metadata!C990="",FALSE,TRUE),OR(EXACT(metadata!C990,"missing: not collected"),EXACT(metadata!C990,"missing: not provided"),EXACT(metadata!C990,"missing: restricted access"))),AND(IF(metadata!C990="",FALSE,TRUE),AND(AND(IFERROR(INT(LEFT(metadata!C990,4))&gt;1900,FALSE),IFERROR(INT(LEFT(metadata!C990,4))&lt;=YEAR(NOW()),FALSE)), OR(MID(metadata!C990,5,1)="", AND(AND(MID(metadata!C990,5,1)="-",IFERROR(INT(MID(metadata!C990,6,1))&gt;=0,FALSE),IFERROR(INT(MID(metadata!C990,6,1))&lt;=1,FALSE),NOT(MID(metadata!C990,7,1)=""),IFERROR(INT(MID(metadata!C990,6,2))&gt;=1,FALSE),IFERROR(INT(MID(metadata!C990,6,2))&lt;=12,FALSE)), OR(MID(metadata!C990,8,1)="", AND(AND(MID(metadata!C990,8,1)="-",IFERROR(INT(MID(metadata!C990,9,1))&gt;=0,FALSE),IFERROR(INT(MID(metadata!C990,9,1))&lt;=3,FALSE),NOT(MID(metadata!C990,10,1)=""),IFERROR(INT(MID(metadata!C990,9,2))&gt;=1,FALSE),IFERROR(INT(MID(metadata!C990,9,2))&lt;=31,FALSE)), OR(MID(metadata!C990,11,1)="", AND(AND(MID(metadata!C990,11,1)=" ",IFERROR(INT(MID(metadata!C990,12,1))&gt;=0,FALSE),IFERROR(INT(MID(metadata!C990,12,1))&lt;=2,FALSE),NOT(MID(metadata!C990,13,1)=""),IFERROR(INT(MID(metadata!C990,12,2))&gt;=0,FALSE),IFERROR(INT(MID(metadata!C990,12,2))&lt;=23,FALSE)), OR(MID(metadata!C990,14,1)="", AND(AND(MID(metadata!C990,14,1)=":",IFERROR(INT(MID(metadata!C990,15,1))&gt;=0,FALSE),IFERROR(INT(MID(metadata!C990,15,1))&lt;=5,FALSE),NOT(MID(metadata!C990,16,1)=""),IFERROR(INT(MID(metadata!C990,15,2))&gt;=0,FALSE),IFERROR(INT(MID(metadata!C990,15,2))&lt;=59,FALSE)), OR(MID(metadata!C990,17,1)="", AND(AND(MID(metadata!C990,17,1)=":",IFERROR(INT(MID(metadata!C990,18,1))&gt;=0,FALSE),IFERROR(INT(MID(metadata!C990,18,1))&lt;=5,FALSE),NOT(MID(metadata!C990,19,1)=""),IFERROR(INT(MID(metadata!C990,18,2))&gt;=0,FALSE),IFERROR(INT(MID(metadata!C990,18,2))&lt;=59,FALSE)), LEN(metadata!C990)&lt;=19)))))))))))))</f>
        <v>0</v>
      </c>
      <c r="AO990" t="b">
        <f>AND(IF(metadata!D990="",FALSE,TRUE),EXACT(metadata!D990,"Not applicable"))</f>
        <v>0</v>
      </c>
      <c r="AP990" t="b">
        <f>IF(metadata!E990="",FALSE,TRUE)</f>
        <v>0</v>
      </c>
      <c r="AQ990" t="b">
        <f>OR(AND(IF(metadata!F990="",FALSE,TRUE),OR(EXACT(metadata!F990,"missing: not collected"),EXACT(metadata!F990,"missing: not provided"))),AND(IF(metadata!F990="",FALSE,TRUE),OR(EXACT(metadata!F990,"TRUE"),EXACT(metadata!F990,"FALSE"))))</f>
        <v>0</v>
      </c>
      <c r="AR990" t="b">
        <f>OR(AND(IF(metadata!G990="",FALSE,TRUE),OR(EXACT(metadata!G990,"missing: not collected"),EXACT(metadata!G990,"missing: not provided"),EXACT(metadata!G990,"missing: restricted access"))),AND(IF(metadata!G990="",FALSE,ISNUMBER(VALUE(metadata!G990))),metadata!G990&gt;=-413))</f>
        <v>0</v>
      </c>
      <c r="AS990" t="b">
        <f>AND(IF(metadata!H990="",FALSE,TRUE),EXACT(metadata!H990,"meters"))</f>
        <v>0</v>
      </c>
      <c r="AT990" t="b">
        <f>AND(IF(metadata!I990="",FALSE,TRUE),OR(EXACT(metadata!I990,"Host-associated"),EXACT(metadata!I990,"Free-living")))</f>
        <v>0</v>
      </c>
      <c r="AU990" t="b">
        <f>AND(IF(metadata!J990="",FALSE,TRUE),OR(EXACT(metadata!J990,"Animal"),EXACT(metadata!J990,"Fungus"),EXACT(metadata!J990,"Plant"),EXACT(metadata!J990,"Saline"),EXACT(metadata!J990,"Non-saline")))</f>
        <v>0</v>
      </c>
      <c r="AV990" t="b">
        <f>AND(IF(metadata!K990="",FALSE,TRUE),OR(EXACT(metadata!K990,"Plant secretion"),EXACT(metadata!K990,"Plant rhizosphere"),EXACT(metadata!K990,"Plant surface"),EXACT(metadata!K990,"Plant corpus"),EXACT(metadata!K990,"Fungus surface"),EXACT(metadata!K990,"Fungus corpus"),EXACT(metadata!K990,"Animal surface"),EXACT(metadata!K990,"Animal proximal gut"),EXACT(metadata!K990,"Animal corpus"),EXACT(metadata!K990,"Animal distal gut"),EXACT(metadata!K990,"Animal secretion"),EXACT(metadata!K990,"Sub-surface (non-saline)"),EXACT(metadata!K990,"Surface (non-saline)"),EXACT(metadata!K990,"Water (non-saline)"),EXACT(metadata!K990,"Soil (non-saline)"),EXACT(metadata!K990,"Aerosol (non-saline)"),EXACT(metadata!K990,"Sediment (non-saline)"),EXACT(metadata!K990,"Surface (saline)"),EXACT(metadata!K990,"Water (saline)"),EXACT(metadata!K990,"Hypersaline (saline)"),EXACT(metadata!K990,"Aerosol (saline)"),EXACT(metadata!K990,"Sediment (saline)")))</f>
        <v>0</v>
      </c>
      <c r="AW990" t="b">
        <f>IF(metadata!L990="",FALSE,TRUE)</f>
        <v>0</v>
      </c>
      <c r="AX990" t="b">
        <f>IF(metadata!M990="",FALSE,TRUE)</f>
        <v>0</v>
      </c>
      <c r="AY990" t="b">
        <f>IF(metadata!N990="",FALSE,TRUE)</f>
        <v>0</v>
      </c>
      <c r="AZ990" t="b">
        <f>OR(AND(IF(metadata!O990="",FALSE,TRUE),OR(EXACT(metadata!O990,"missing: not collected"),EXACT(metadata!O990,"missing: not provided"),EXACT(metadata!O990,"missing: restricted access"))),AND(IF(metadata!O990="",FALSE,TRUE),OR(EXACT(metadata!O990,"air"),EXACT(metadata!O990,"built environment"),EXACT(metadata!O990,"host-associated"),EXACT(metadata!O990,"human-associated"),EXACT(metadata!O990,"human-skin"),EXACT(metadata!O990,"human-oral"),EXACT(metadata!O990,"human-gut"),EXACT(metadata!O990,"human-vaginal"),EXACT(metadata!O990,"microbial mat/biofilm"),EXACT(metadata!O990,"misc environment"),EXACT(metadata!O990,"plant-associated"),EXACT(metadata!O990,"sediment"),EXACT(metadata!O990,"soil"),EXACT(metadata!O990,"wastewater/sludge"),EXACT(metadata!O990,"water"))))</f>
        <v>0</v>
      </c>
      <c r="BA990" t="b">
        <f>IF(metadata!P990="",FALSE,TRUE)</f>
        <v>0</v>
      </c>
      <c r="BB990" t="b">
        <f>IF(metadata!Q990="",FALSE,TRUE)</f>
        <v>0</v>
      </c>
      <c r="BC990" t="b">
        <f>OR(AND(IF(metadata!R990="",FALSE,TRUE),OR(EXACT(metadata!R990,"missing: not collected"),EXACT(metadata!R990,"missing: not provided"),EXACT(metadata!R990,"missing: restricted access"))),AND(IF(metadata!R990="",FALSE,ISNUMBER(VALUE(metadata!R990))),metadata!R990&gt;=-90,metadata!R990&lt;=90))</f>
        <v>0</v>
      </c>
      <c r="BD990" t="b">
        <f>AND(IF(metadata!S990="",FALSE,TRUE),EXACT(metadata!S990,"Decimal degrees"))</f>
        <v>0</v>
      </c>
      <c r="BE990" t="b">
        <f>OR(AND(IF(metadata!T990="",FALSE,TRUE),OR(EXACT(metadata!T990,"missing: not collected"),EXACT(metadata!T990,"missing: not provided"),EXACT(metadata!T990,"missing: restricted access"))),AND(IF(metadata!T990="",FALSE,ISNUMBER(VALUE(metadata!T990))),metadata!T990&gt;=-180,metadata!T990&lt;=180))</f>
        <v>0</v>
      </c>
      <c r="BF990" t="b">
        <f>AND(IF(metadata!U990="",FALSE,TRUE),EXACT(metadata!U990,"Decimal degrees"))</f>
        <v>0</v>
      </c>
      <c r="BG990" t="b">
        <f>IF(metadata!V990="",FALSE,TRUE)</f>
        <v>0</v>
      </c>
      <c r="BH990" t="b">
        <f>OR(AND(IF(metadata!W990="",FALSE,TRUE),OR(EXACT(metadata!W990,"missing: not collected"),EXACT(metadata!W990,"missing: not provided"),EXACT(metadata!W990,"missing: restricted access"))),AND(IF(metadata!W990="",FALSE,TRUE),OR(EXACT(metadata!W990,"TRUE"),EXACT(metadata!W990,"FALSE"))))</f>
        <v>0</v>
      </c>
      <c r="BI990" t="b">
        <f>AND(IF(metadata!X990="",FALSE,TRUE),EXACT(metadata!X990,"other"))</f>
        <v>0</v>
      </c>
      <c r="BJ990" t="b">
        <f>IF(metadata!Y990="",FALSE,TRUE)</f>
        <v>0</v>
      </c>
      <c r="BK990" t="b">
        <f>OR(AND(IF(metadata!Z990="",FALSE,TRUE),OR(EXACT(metadata!Z990,"missing: not collected"),EXACT(metadata!Z990,"missing: not provided"))),AND(IF(metadata!Z990="",FALSE,IF(ISERROR(INT(metadata!Z990)),FALSE,INT(metadata!Z990)=metadata!Z990)),metadata!Z990&gt;0))</f>
        <v>0</v>
      </c>
      <c r="BL990" t="b">
        <f>AND(IF(metadata!AA990="",FALSE,TRUE),EXACT(metadata!AA990,"Not applicable"))</f>
        <v>0</v>
      </c>
      <c r="BM990" t="b">
        <f>IF(metadata!AB990="",FALSE,TRUE)</f>
        <v>0</v>
      </c>
    </row>
    <row r="991" spans="1:65" x14ac:dyDescent="0.2">
      <c r="A991" s="5" t="str">
        <f ca="1">IF(B991=" "," ",HYPERLINK(CONCATENATE("#metadata!",ADDRESS(INDEX($AH$2:$AH$1001,MATCH(ROWS($AF$2:AF991),$AF$2:$AF$1001,0),0),1)),INDEX($AK$2:$AK$1001,MATCH(ROWS($AF$2:AF991),$AF$2:$AF$1001,0),0)))</f>
        <v xml:space="preserve"> </v>
      </c>
      <c r="B991" s="4" t="str">
        <f ca="1">IF(OR(INDEX($AG$2:$AG$1001,MATCH(ROWS($AF$2:AF991),$AF$2:$AF$1001,0),1)&gt;=100000,INDEX($AM$1005:$BM$1005,1,MATCH(COLUMNS($AM$1006:AM1006),$AM$1006:$BM$1006,0))&gt;=100000), " ",IF(INDEX($AM$2:$BM$1001,MATCH(ROWS($AF$2:AF991),$AF$2:$AF$1001,0),MATCH(COLUMNS($AM$1006:AM1006),$AM$1006:$BM$1006,0)), HYPERLINK("#",""), HYPERLINK(CONCATENATE("#metadata!", ADDRESS(INDEX($AH$2:$AH$1001,MATCH(ROWS($AF$2:AF991),$AF$2:$AF$1001,0),0), INDEX($AM$1004:$BM$1004,1,MATCH(COLUMNS($AM$1006:AM1006),$AM$1006:$BM$1006,0)))),"Fix")))</f>
        <v xml:space="preserve"> </v>
      </c>
      <c r="C991" s="4" t="str">
        <f ca="1">IF(OR(INDEX($AG$2:$AG$1001,MATCH(ROWS($AF$2:AF991),$AF$2:$AF$1001,0),1)&gt;=100000,INDEX($AM$1005:$BM$1005,1,MATCH(COLUMNS($AM$1006:AN1006),$AM$1006:$BM$1006,0))&gt;=100000), " ",IF(INDEX($AM$2:$BM$1001,MATCH(ROWS($AF$2:AF991),$AF$2:$AF$1001,0),MATCH(COLUMNS($AM$1006:AN1006),$AM$1006:$BM$1006,0)), HYPERLINK("#",""), HYPERLINK(CONCATENATE("#metadata!", ADDRESS(INDEX($AH$2:$AH$1001,MATCH(ROWS($AF$2:AF991),$AF$2:$AF$1001,0),0), INDEX($AM$1004:$BM$1004,1,MATCH(COLUMNS($AM$1006:AN1006),$AM$1006:$BM$1006,0)))),"Fix")))</f>
        <v xml:space="preserve"> </v>
      </c>
      <c r="D991" s="4" t="str">
        <f ca="1">IF(OR(INDEX($AG$2:$AG$1001,MATCH(ROWS($AF$2:AF991),$AF$2:$AF$1001,0),1)&gt;=100000,INDEX($AM$1005:$BM$1005,1,MATCH(COLUMNS($AM$1006:AO1006),$AM$1006:$BM$1006,0))&gt;=100000), " ",IF(INDEX($AM$2:$BM$1001,MATCH(ROWS($AF$2:AF991),$AF$2:$AF$1001,0),MATCH(COLUMNS($AM$1006:AO1006),$AM$1006:$BM$1006,0)), HYPERLINK("#",""), HYPERLINK(CONCATENATE("#metadata!", ADDRESS(INDEX($AH$2:$AH$1001,MATCH(ROWS($AF$2:AF991),$AF$2:$AF$1001,0),0), INDEX($AM$1004:$BM$1004,1,MATCH(COLUMNS($AM$1006:AO1006),$AM$1006:$BM$1006,0)))),"Fix")))</f>
        <v xml:space="preserve"> </v>
      </c>
      <c r="E991" s="4" t="str">
        <f ca="1">IF(OR(INDEX($AG$2:$AG$1001,MATCH(ROWS($AF$2:AF991),$AF$2:$AF$1001,0),1)&gt;=100000,INDEX($AM$1005:$BM$1005,1,MATCH(COLUMNS($AM$1006:AP1006),$AM$1006:$BM$1006,0))&gt;=100000), " ",IF(INDEX($AM$2:$BM$1001,MATCH(ROWS($AF$2:AF991),$AF$2:$AF$1001,0),MATCH(COLUMNS($AM$1006:AP1006),$AM$1006:$BM$1006,0)), HYPERLINK("#",""), HYPERLINK(CONCATENATE("#metadata!", ADDRESS(INDEX($AH$2:$AH$1001,MATCH(ROWS($AF$2:AF991),$AF$2:$AF$1001,0),0), INDEX($AM$1004:$BM$1004,1,MATCH(COLUMNS($AM$1006:AP1006),$AM$1006:$BM$1006,0)))),"Fix")))</f>
        <v xml:space="preserve"> </v>
      </c>
      <c r="F991" s="4" t="str">
        <f ca="1">IF(OR(INDEX($AG$2:$AG$1001,MATCH(ROWS($AF$2:AF991),$AF$2:$AF$1001,0),1)&gt;=100000,INDEX($AM$1005:$BM$1005,1,MATCH(COLUMNS($AM$1006:AQ1006),$AM$1006:$BM$1006,0))&gt;=100000), " ",IF(INDEX($AM$2:$BM$1001,MATCH(ROWS($AF$2:AF991),$AF$2:$AF$1001,0),MATCH(COLUMNS($AM$1006:AQ1006),$AM$1006:$BM$1006,0)), HYPERLINK("#",""), HYPERLINK(CONCATENATE("#metadata!", ADDRESS(INDEX($AH$2:$AH$1001,MATCH(ROWS($AF$2:AF991),$AF$2:$AF$1001,0),0), INDEX($AM$1004:$BM$1004,1,MATCH(COLUMNS($AM$1006:AQ1006),$AM$1006:$BM$1006,0)))),"Fix")))</f>
        <v xml:space="preserve"> </v>
      </c>
      <c r="G991" s="4" t="str">
        <f ca="1">IF(OR(INDEX($AG$2:$AG$1001,MATCH(ROWS($AF$2:AF991),$AF$2:$AF$1001,0),1)&gt;=100000,INDEX($AM$1005:$BM$1005,1,MATCH(COLUMNS($AM$1006:AR1006),$AM$1006:$BM$1006,0))&gt;=100000), " ",IF(INDEX($AM$2:$BM$1001,MATCH(ROWS($AF$2:AF991),$AF$2:$AF$1001,0),MATCH(COLUMNS($AM$1006:AR1006),$AM$1006:$BM$1006,0)), HYPERLINK("#",""), HYPERLINK(CONCATENATE("#metadata!", ADDRESS(INDEX($AH$2:$AH$1001,MATCH(ROWS($AF$2:AF991),$AF$2:$AF$1001,0),0), INDEX($AM$1004:$BM$1004,1,MATCH(COLUMNS($AM$1006:AR1006),$AM$1006:$BM$1006,0)))),"Fix")))</f>
        <v xml:space="preserve"> </v>
      </c>
      <c r="H991" s="4" t="str">
        <f ca="1">IF(OR(INDEX($AG$2:$AG$1001,MATCH(ROWS($AF$2:AF991),$AF$2:$AF$1001,0),1)&gt;=100000,INDEX($AM$1005:$BM$1005,1,MATCH(COLUMNS($AM$1006:AS1006),$AM$1006:$BM$1006,0))&gt;=100000), " ",IF(INDEX($AM$2:$BM$1001,MATCH(ROWS($AF$2:AF991),$AF$2:$AF$1001,0),MATCH(COLUMNS($AM$1006:AS1006),$AM$1006:$BM$1006,0)), HYPERLINK("#",""), HYPERLINK(CONCATENATE("#metadata!", ADDRESS(INDEX($AH$2:$AH$1001,MATCH(ROWS($AF$2:AF991),$AF$2:$AF$1001,0),0), INDEX($AM$1004:$BM$1004,1,MATCH(COLUMNS($AM$1006:AS1006),$AM$1006:$BM$1006,0)))),"Fix")))</f>
        <v xml:space="preserve"> </v>
      </c>
      <c r="I991" s="4" t="str">
        <f ca="1">IF(OR(INDEX($AG$2:$AG$1001,MATCH(ROWS($AF$2:AF991),$AF$2:$AF$1001,0),1)&gt;=100000,INDEX($AM$1005:$BM$1005,1,MATCH(COLUMNS($AM$1006:AT1006),$AM$1006:$BM$1006,0))&gt;=100000), " ",IF(INDEX($AM$2:$BM$1001,MATCH(ROWS($AF$2:AF991),$AF$2:$AF$1001,0),MATCH(COLUMNS($AM$1006:AT1006),$AM$1006:$BM$1006,0)), HYPERLINK("#",""), HYPERLINK(CONCATENATE("#metadata!", ADDRESS(INDEX($AH$2:$AH$1001,MATCH(ROWS($AF$2:AF991),$AF$2:$AF$1001,0),0), INDEX($AM$1004:$BM$1004,1,MATCH(COLUMNS($AM$1006:AT1006),$AM$1006:$BM$1006,0)))),"Fix")))</f>
        <v xml:space="preserve"> </v>
      </c>
      <c r="J991" s="4" t="str">
        <f ca="1">IF(OR(INDEX($AG$2:$AG$1001,MATCH(ROWS($AF$2:AF991),$AF$2:$AF$1001,0),1)&gt;=100000,INDEX($AM$1005:$BM$1005,1,MATCH(COLUMNS($AM$1006:AU1006),$AM$1006:$BM$1006,0))&gt;=100000), " ",IF(INDEX($AM$2:$BM$1001,MATCH(ROWS($AF$2:AF991),$AF$2:$AF$1001,0),MATCH(COLUMNS($AM$1006:AU1006),$AM$1006:$BM$1006,0)), HYPERLINK("#",""), HYPERLINK(CONCATENATE("#metadata!", ADDRESS(INDEX($AH$2:$AH$1001,MATCH(ROWS($AF$2:AF991),$AF$2:$AF$1001,0),0), INDEX($AM$1004:$BM$1004,1,MATCH(COLUMNS($AM$1006:AU1006),$AM$1006:$BM$1006,0)))),"Fix")))</f>
        <v xml:space="preserve"> </v>
      </c>
      <c r="K991" s="4" t="str">
        <f ca="1">IF(OR(INDEX($AG$2:$AG$1001,MATCH(ROWS($AF$2:AF991),$AF$2:$AF$1001,0),1)&gt;=100000,INDEX($AM$1005:$BM$1005,1,MATCH(COLUMNS($AM$1006:AV1006),$AM$1006:$BM$1006,0))&gt;=100000), " ",IF(INDEX($AM$2:$BM$1001,MATCH(ROWS($AF$2:AF991),$AF$2:$AF$1001,0),MATCH(COLUMNS($AM$1006:AV1006),$AM$1006:$BM$1006,0)), HYPERLINK("#",""), HYPERLINK(CONCATENATE("#metadata!", ADDRESS(INDEX($AH$2:$AH$1001,MATCH(ROWS($AF$2:AF991),$AF$2:$AF$1001,0),0), INDEX($AM$1004:$BM$1004,1,MATCH(COLUMNS($AM$1006:AV1006),$AM$1006:$BM$1006,0)))),"Fix")))</f>
        <v xml:space="preserve"> </v>
      </c>
      <c r="L991" s="4" t="str">
        <f ca="1">IF(OR(INDEX($AG$2:$AG$1001,MATCH(ROWS($AF$2:AF991),$AF$2:$AF$1001,0),1)&gt;=100000,INDEX($AM$1005:$BM$1005,1,MATCH(COLUMNS($AM$1006:AW1006),$AM$1006:$BM$1006,0))&gt;=100000), " ",IF(INDEX($AM$2:$BM$1001,MATCH(ROWS($AF$2:AF991),$AF$2:$AF$1001,0),MATCH(COLUMNS($AM$1006:AW1006),$AM$1006:$BM$1006,0)), HYPERLINK("#",""), HYPERLINK(CONCATENATE("#metadata!", ADDRESS(INDEX($AH$2:$AH$1001,MATCH(ROWS($AF$2:AF991),$AF$2:$AF$1001,0),0), INDEX($AM$1004:$BM$1004,1,MATCH(COLUMNS($AM$1006:AW1006),$AM$1006:$BM$1006,0)))),"Fix")))</f>
        <v xml:space="preserve"> </v>
      </c>
      <c r="M991" s="4" t="str">
        <f ca="1">IF(OR(INDEX($AG$2:$AG$1001,MATCH(ROWS($AF$2:AF991),$AF$2:$AF$1001,0),1)&gt;=100000,INDEX($AM$1005:$BM$1005,1,MATCH(COLUMNS($AM$1006:AX1006),$AM$1006:$BM$1006,0))&gt;=100000), " ",IF(INDEX($AM$2:$BM$1001,MATCH(ROWS($AF$2:AF991),$AF$2:$AF$1001,0),MATCH(COLUMNS($AM$1006:AX1006),$AM$1006:$BM$1006,0)), HYPERLINK("#",""), HYPERLINK(CONCATENATE("#metadata!", ADDRESS(INDEX($AH$2:$AH$1001,MATCH(ROWS($AF$2:AF991),$AF$2:$AF$1001,0),0), INDEX($AM$1004:$BM$1004,1,MATCH(COLUMNS($AM$1006:AX1006),$AM$1006:$BM$1006,0)))),"Fix")))</f>
        <v xml:space="preserve"> </v>
      </c>
      <c r="N991" s="4" t="str">
        <f ca="1">IF(OR(INDEX($AG$2:$AG$1001,MATCH(ROWS($AF$2:AF991),$AF$2:$AF$1001,0),1)&gt;=100000,INDEX($AM$1005:$BM$1005,1,MATCH(COLUMNS($AM$1006:AY1006),$AM$1006:$BM$1006,0))&gt;=100000), " ",IF(INDEX($AM$2:$BM$1001,MATCH(ROWS($AF$2:AF991),$AF$2:$AF$1001,0),MATCH(COLUMNS($AM$1006:AY1006),$AM$1006:$BM$1006,0)), HYPERLINK("#",""), HYPERLINK(CONCATENATE("#metadata!", ADDRESS(INDEX($AH$2:$AH$1001,MATCH(ROWS($AF$2:AF991),$AF$2:$AF$1001,0),0), INDEX($AM$1004:$BM$1004,1,MATCH(COLUMNS($AM$1006:AY1006),$AM$1006:$BM$1006,0)))),"Fix")))</f>
        <v xml:space="preserve"> </v>
      </c>
      <c r="O991" s="4" t="str">
        <f ca="1">IF(OR(INDEX($AG$2:$AG$1001,MATCH(ROWS($AF$2:AF991),$AF$2:$AF$1001,0),1)&gt;=100000,INDEX($AM$1005:$BM$1005,1,MATCH(COLUMNS($AM$1006:AZ1006),$AM$1006:$BM$1006,0))&gt;=100000), " ",IF(INDEX($AM$2:$BM$1001,MATCH(ROWS($AF$2:AF991),$AF$2:$AF$1001,0),MATCH(COLUMNS($AM$1006:AZ1006),$AM$1006:$BM$1006,0)), HYPERLINK("#",""), HYPERLINK(CONCATENATE("#metadata!", ADDRESS(INDEX($AH$2:$AH$1001,MATCH(ROWS($AF$2:AF991),$AF$2:$AF$1001,0),0), INDEX($AM$1004:$BM$1004,1,MATCH(COLUMNS($AM$1006:AZ1006),$AM$1006:$BM$1006,0)))),"Fix")))</f>
        <v xml:space="preserve"> </v>
      </c>
      <c r="P991" s="4" t="str">
        <f ca="1">IF(OR(INDEX($AG$2:$AG$1001,MATCH(ROWS($AF$2:AF991),$AF$2:$AF$1001,0),1)&gt;=100000,INDEX($AM$1005:$BM$1005,1,MATCH(COLUMNS($AM$1006:BA1006),$AM$1006:$BM$1006,0))&gt;=100000), " ",IF(INDEX($AM$2:$BM$1001,MATCH(ROWS($AF$2:AF991),$AF$2:$AF$1001,0),MATCH(COLUMNS($AM$1006:BA1006),$AM$1006:$BM$1006,0)), HYPERLINK("#",""), HYPERLINK(CONCATENATE("#metadata!", ADDRESS(INDEX($AH$2:$AH$1001,MATCH(ROWS($AF$2:AF991),$AF$2:$AF$1001,0),0), INDEX($AM$1004:$BM$1004,1,MATCH(COLUMNS($AM$1006:BA1006),$AM$1006:$BM$1006,0)))),"Fix")))</f>
        <v xml:space="preserve"> </v>
      </c>
      <c r="Q991" s="4" t="str">
        <f ca="1">IF(OR(INDEX($AG$2:$AG$1001,MATCH(ROWS($AF$2:AF991),$AF$2:$AF$1001,0),1)&gt;=100000,INDEX($AM$1005:$BM$1005,1,MATCH(COLUMNS($AM$1006:BB1006),$AM$1006:$BM$1006,0))&gt;=100000), " ",IF(INDEX($AM$2:$BM$1001,MATCH(ROWS($AF$2:AF991),$AF$2:$AF$1001,0),MATCH(COLUMNS($AM$1006:BB1006),$AM$1006:$BM$1006,0)), HYPERLINK("#",""), HYPERLINK(CONCATENATE("#metadata!", ADDRESS(INDEX($AH$2:$AH$1001,MATCH(ROWS($AF$2:AF991),$AF$2:$AF$1001,0),0), INDEX($AM$1004:$BM$1004,1,MATCH(COLUMNS($AM$1006:BB1006),$AM$1006:$BM$1006,0)))),"Fix")))</f>
        <v xml:space="preserve"> </v>
      </c>
      <c r="R991" s="4" t="str">
        <f ca="1">IF(OR(INDEX($AG$2:$AG$1001,MATCH(ROWS($AF$2:AF991),$AF$2:$AF$1001,0),1)&gt;=100000,INDEX($AM$1005:$BM$1005,1,MATCH(COLUMNS($AM$1006:BC1006),$AM$1006:$BM$1006,0))&gt;=100000), " ",IF(INDEX($AM$2:$BM$1001,MATCH(ROWS($AF$2:AF991),$AF$2:$AF$1001,0),MATCH(COLUMNS($AM$1006:BC1006),$AM$1006:$BM$1006,0)), HYPERLINK("#",""), HYPERLINK(CONCATENATE("#metadata!", ADDRESS(INDEX($AH$2:$AH$1001,MATCH(ROWS($AF$2:AF991),$AF$2:$AF$1001,0),0), INDEX($AM$1004:$BM$1004,1,MATCH(COLUMNS($AM$1006:BC1006),$AM$1006:$BM$1006,0)))),"Fix")))</f>
        <v xml:space="preserve"> </v>
      </c>
      <c r="S991" s="4" t="str">
        <f ca="1">IF(OR(INDEX($AG$2:$AG$1001,MATCH(ROWS($AF$2:AF991),$AF$2:$AF$1001,0),1)&gt;=100000,INDEX($AM$1005:$BM$1005,1,MATCH(COLUMNS($AM$1006:BD1006),$AM$1006:$BM$1006,0))&gt;=100000), " ",IF(INDEX($AM$2:$BM$1001,MATCH(ROWS($AF$2:AF991),$AF$2:$AF$1001,0),MATCH(COLUMNS($AM$1006:BD1006),$AM$1006:$BM$1006,0)), HYPERLINK("#",""), HYPERLINK(CONCATENATE("#metadata!", ADDRESS(INDEX($AH$2:$AH$1001,MATCH(ROWS($AF$2:AF991),$AF$2:$AF$1001,0),0), INDEX($AM$1004:$BM$1004,1,MATCH(COLUMNS($AM$1006:BD1006),$AM$1006:$BM$1006,0)))),"Fix")))</f>
        <v xml:space="preserve"> </v>
      </c>
      <c r="T991" s="4" t="str">
        <f ca="1">IF(OR(INDEX($AG$2:$AG$1001,MATCH(ROWS($AF$2:AF991),$AF$2:$AF$1001,0),1)&gt;=100000,INDEX($AM$1005:$BM$1005,1,MATCH(COLUMNS($AM$1006:BE1006),$AM$1006:$BM$1006,0))&gt;=100000), " ",IF(INDEX($AM$2:$BM$1001,MATCH(ROWS($AF$2:AF991),$AF$2:$AF$1001,0),MATCH(COLUMNS($AM$1006:BE1006),$AM$1006:$BM$1006,0)), HYPERLINK("#",""), HYPERLINK(CONCATENATE("#metadata!", ADDRESS(INDEX($AH$2:$AH$1001,MATCH(ROWS($AF$2:AF991),$AF$2:$AF$1001,0),0), INDEX($AM$1004:$BM$1004,1,MATCH(COLUMNS($AM$1006:BE1006),$AM$1006:$BM$1006,0)))),"Fix")))</f>
        <v xml:space="preserve"> </v>
      </c>
      <c r="U991" s="4" t="str">
        <f ca="1">IF(OR(INDEX($AG$2:$AG$1001,MATCH(ROWS($AF$2:AF991),$AF$2:$AF$1001,0),1)&gt;=100000,INDEX($AM$1005:$BM$1005,1,MATCH(COLUMNS($AM$1006:BF1006),$AM$1006:$BM$1006,0))&gt;=100000), " ",IF(INDEX($AM$2:$BM$1001,MATCH(ROWS($AF$2:AF991),$AF$2:$AF$1001,0),MATCH(COLUMNS($AM$1006:BF1006),$AM$1006:$BM$1006,0)), HYPERLINK("#",""), HYPERLINK(CONCATENATE("#metadata!", ADDRESS(INDEX($AH$2:$AH$1001,MATCH(ROWS($AF$2:AF991),$AF$2:$AF$1001,0),0), INDEX($AM$1004:$BM$1004,1,MATCH(COLUMNS($AM$1006:BF1006),$AM$1006:$BM$1006,0)))),"Fix")))</f>
        <v xml:space="preserve"> </v>
      </c>
      <c r="V991" s="4" t="str">
        <f ca="1">IF(OR(INDEX($AG$2:$AG$1001,MATCH(ROWS($AF$2:AF991),$AF$2:$AF$1001,0),1)&gt;=100000,INDEX($AM$1005:$BM$1005,1,MATCH(COLUMNS($AM$1006:BG1006),$AM$1006:$BM$1006,0))&gt;=100000), " ",IF(INDEX($AM$2:$BM$1001,MATCH(ROWS($AF$2:AF991),$AF$2:$AF$1001,0),MATCH(COLUMNS($AM$1006:BG1006),$AM$1006:$BM$1006,0)), HYPERLINK("#",""), HYPERLINK(CONCATENATE("#metadata!", ADDRESS(INDEX($AH$2:$AH$1001,MATCH(ROWS($AF$2:AF991),$AF$2:$AF$1001,0),0), INDEX($AM$1004:$BM$1004,1,MATCH(COLUMNS($AM$1006:BG1006),$AM$1006:$BM$1006,0)))),"Fix")))</f>
        <v xml:space="preserve"> </v>
      </c>
      <c r="W991" s="4" t="str">
        <f ca="1">IF(OR(INDEX($AG$2:$AG$1001,MATCH(ROWS($AF$2:AF991),$AF$2:$AF$1001,0),1)&gt;=100000,INDEX($AM$1005:$BM$1005,1,MATCH(COLUMNS($AM$1006:BH1006),$AM$1006:$BM$1006,0))&gt;=100000), " ",IF(INDEX($AM$2:$BM$1001,MATCH(ROWS($AF$2:AF991),$AF$2:$AF$1001,0),MATCH(COLUMNS($AM$1006:BH1006),$AM$1006:$BM$1006,0)), HYPERLINK("#",""), HYPERLINK(CONCATENATE("#metadata!", ADDRESS(INDEX($AH$2:$AH$1001,MATCH(ROWS($AF$2:AF991),$AF$2:$AF$1001,0),0), INDEX($AM$1004:$BM$1004,1,MATCH(COLUMNS($AM$1006:BH1006),$AM$1006:$BM$1006,0)))),"Fix")))</f>
        <v xml:space="preserve"> </v>
      </c>
      <c r="X991" s="4" t="str">
        <f ca="1">IF(OR(INDEX($AG$2:$AG$1001,MATCH(ROWS($AF$2:AF991),$AF$2:$AF$1001,0),1)&gt;=100000,INDEX($AM$1005:$BM$1005,1,MATCH(COLUMNS($AM$1006:BI1006),$AM$1006:$BM$1006,0))&gt;=100000), " ",IF(INDEX($AM$2:$BM$1001,MATCH(ROWS($AF$2:AF991),$AF$2:$AF$1001,0),MATCH(COLUMNS($AM$1006:BI1006),$AM$1006:$BM$1006,0)), HYPERLINK("#",""), HYPERLINK(CONCATENATE("#metadata!", ADDRESS(INDEX($AH$2:$AH$1001,MATCH(ROWS($AF$2:AF991),$AF$2:$AF$1001,0),0), INDEX($AM$1004:$BM$1004,1,MATCH(COLUMNS($AM$1006:BI1006),$AM$1006:$BM$1006,0)))),"Fix")))</f>
        <v xml:space="preserve"> </v>
      </c>
      <c r="Y991" s="4" t="str">
        <f ca="1">IF(OR(INDEX($AG$2:$AG$1001,MATCH(ROWS($AF$2:AF991),$AF$2:$AF$1001,0),1)&gt;=100000,INDEX($AM$1005:$BM$1005,1,MATCH(COLUMNS($AM$1006:BJ1006),$AM$1006:$BM$1006,0))&gt;=100000), " ",IF(INDEX($AM$2:$BM$1001,MATCH(ROWS($AF$2:AF991),$AF$2:$AF$1001,0),MATCH(COLUMNS($AM$1006:BJ1006),$AM$1006:$BM$1006,0)), HYPERLINK("#",""), HYPERLINK(CONCATENATE("#metadata!", ADDRESS(INDEX($AH$2:$AH$1001,MATCH(ROWS($AF$2:AF991),$AF$2:$AF$1001,0),0), INDEX($AM$1004:$BM$1004,1,MATCH(COLUMNS($AM$1006:BJ1006),$AM$1006:$BM$1006,0)))),"Fix")))</f>
        <v xml:space="preserve"> </v>
      </c>
      <c r="Z991" s="4" t="str">
        <f ca="1">IF(OR(INDEX($AG$2:$AG$1001,MATCH(ROWS($AF$2:AF991),$AF$2:$AF$1001,0),1)&gt;=100000,INDEX($AM$1005:$BM$1005,1,MATCH(COLUMNS($AM$1006:BK1006),$AM$1006:$BM$1006,0))&gt;=100000), " ",IF(INDEX($AM$2:$BM$1001,MATCH(ROWS($AF$2:AF991),$AF$2:$AF$1001,0),MATCH(COLUMNS($AM$1006:BK1006),$AM$1006:$BM$1006,0)), HYPERLINK("#",""), HYPERLINK(CONCATENATE("#metadata!", ADDRESS(INDEX($AH$2:$AH$1001,MATCH(ROWS($AF$2:AF991),$AF$2:$AF$1001,0),0), INDEX($AM$1004:$BM$1004,1,MATCH(COLUMNS($AM$1006:BK1006),$AM$1006:$BM$1006,0)))),"Fix")))</f>
        <v xml:space="preserve"> </v>
      </c>
      <c r="AA991" s="4" t="str">
        <f ca="1">IF(OR(INDEX($AG$2:$AG$1001,MATCH(ROWS($AF$2:AF991),$AF$2:$AF$1001,0),1)&gt;=100000,INDEX($AM$1005:$BM$1005,1,MATCH(COLUMNS($AM$1006:BL1006),$AM$1006:$BM$1006,0))&gt;=100000), " ",IF(INDEX($AM$2:$BM$1001,MATCH(ROWS($AF$2:AF991),$AF$2:$AF$1001,0),MATCH(COLUMNS($AM$1006:BL1006),$AM$1006:$BM$1006,0)), HYPERLINK("#",""), HYPERLINK(CONCATENATE("#metadata!", ADDRESS(INDEX($AH$2:$AH$1001,MATCH(ROWS($AF$2:AF991),$AF$2:$AF$1001,0),0), INDEX($AM$1004:$BM$1004,1,MATCH(COLUMNS($AM$1006:BL1006),$AM$1006:$BM$1006,0)))),"Fix")))</f>
        <v xml:space="preserve"> </v>
      </c>
      <c r="AB991" s="4" t="str">
        <f ca="1">IF(OR(INDEX($AG$2:$AG$1001,MATCH(ROWS($AF$2:AF991),$AF$2:$AF$1001,0),1)&gt;=100000,INDEX($AM$1005:$BM$1005,1,MATCH(COLUMNS($AM$1006:BM1006),$AM$1006:$BM$1006,0))&gt;=100000), " ",IF(INDEX($AM$2:$BM$1001,MATCH(ROWS($AF$2:AF991),$AF$2:$AF$1001,0),MATCH(COLUMNS($AM$1006:BM1006),$AM$1006:$BM$1006,0)), HYPERLINK("#",""), HYPERLINK(CONCATENATE("#metadata!", ADDRESS(INDEX($AH$2:$AH$1001,MATCH(ROWS($AF$2:AF991),$AF$2:$AF$1001,0),0), INDEX($AM$1004:$BM$1004,1,MATCH(COLUMNS($AM$1006:BM1006),$AM$1006:$BM$1006,0)))),"Fix")))</f>
        <v xml:space="preserve"> </v>
      </c>
      <c r="AF991">
        <v>990</v>
      </c>
      <c r="AG991">
        <v>100991</v>
      </c>
      <c r="AH991">
        <v>991</v>
      </c>
      <c r="AI991" t="b">
        <f t="shared" si="15"/>
        <v>1</v>
      </c>
      <c r="AJ991" t="b">
        <f>COUNTBLANK(metadata!B991:AB991)=COLUMNS(metadata!B991:AB991)</f>
        <v>1</v>
      </c>
      <c r="AK991" t="str">
        <v/>
      </c>
      <c r="AM991" t="b">
        <f ca="1">AND(IF(metadata!B991="",FALSE,TRUE),COUNTIF(metadata!B:B, metadata!B991) = 1,NOT(ISERROR(SUMPRODUCT(SEARCH(MID(metadata!B991,ROW(INDIRECT("1:"&amp;LEN(metadata!B991))), 1),"0123456789abcdefghijklmnopqrstuvwxyzABCDEFGHIJKLMNOPQRSTUVWXYZ.")))))</f>
        <v>0</v>
      </c>
      <c r="AN991" t="b">
        <f ca="1">OR(AND(IF(metadata!C991="",FALSE,TRUE),OR(EXACT(metadata!C991,"missing: not collected"),EXACT(metadata!C991,"missing: not provided"),EXACT(metadata!C991,"missing: restricted access"))),AND(IF(metadata!C991="",FALSE,TRUE),AND(AND(IFERROR(INT(LEFT(metadata!C991,4))&gt;1900,FALSE),IFERROR(INT(LEFT(metadata!C991,4))&lt;=YEAR(NOW()),FALSE)), OR(MID(metadata!C991,5,1)="", AND(AND(MID(metadata!C991,5,1)="-",IFERROR(INT(MID(metadata!C991,6,1))&gt;=0,FALSE),IFERROR(INT(MID(metadata!C991,6,1))&lt;=1,FALSE),NOT(MID(metadata!C991,7,1)=""),IFERROR(INT(MID(metadata!C991,6,2))&gt;=1,FALSE),IFERROR(INT(MID(metadata!C991,6,2))&lt;=12,FALSE)), OR(MID(metadata!C991,8,1)="", AND(AND(MID(metadata!C991,8,1)="-",IFERROR(INT(MID(metadata!C991,9,1))&gt;=0,FALSE),IFERROR(INT(MID(metadata!C991,9,1))&lt;=3,FALSE),NOT(MID(metadata!C991,10,1)=""),IFERROR(INT(MID(metadata!C991,9,2))&gt;=1,FALSE),IFERROR(INT(MID(metadata!C991,9,2))&lt;=31,FALSE)), OR(MID(metadata!C991,11,1)="", AND(AND(MID(metadata!C991,11,1)=" ",IFERROR(INT(MID(metadata!C991,12,1))&gt;=0,FALSE),IFERROR(INT(MID(metadata!C991,12,1))&lt;=2,FALSE),NOT(MID(metadata!C991,13,1)=""),IFERROR(INT(MID(metadata!C991,12,2))&gt;=0,FALSE),IFERROR(INT(MID(metadata!C991,12,2))&lt;=23,FALSE)), OR(MID(metadata!C991,14,1)="", AND(AND(MID(metadata!C991,14,1)=":",IFERROR(INT(MID(metadata!C991,15,1))&gt;=0,FALSE),IFERROR(INT(MID(metadata!C991,15,1))&lt;=5,FALSE),NOT(MID(metadata!C991,16,1)=""),IFERROR(INT(MID(metadata!C991,15,2))&gt;=0,FALSE),IFERROR(INT(MID(metadata!C991,15,2))&lt;=59,FALSE)), OR(MID(metadata!C991,17,1)="", AND(AND(MID(metadata!C991,17,1)=":",IFERROR(INT(MID(metadata!C991,18,1))&gt;=0,FALSE),IFERROR(INT(MID(metadata!C991,18,1))&lt;=5,FALSE),NOT(MID(metadata!C991,19,1)=""),IFERROR(INT(MID(metadata!C991,18,2))&gt;=0,FALSE),IFERROR(INT(MID(metadata!C991,18,2))&lt;=59,FALSE)), LEN(metadata!C991)&lt;=19)))))))))))))</f>
        <v>0</v>
      </c>
      <c r="AO991" t="b">
        <f>AND(IF(metadata!D991="",FALSE,TRUE),EXACT(metadata!D991,"Not applicable"))</f>
        <v>0</v>
      </c>
      <c r="AP991" t="b">
        <f>IF(metadata!E991="",FALSE,TRUE)</f>
        <v>0</v>
      </c>
      <c r="AQ991" t="b">
        <f>OR(AND(IF(metadata!F991="",FALSE,TRUE),OR(EXACT(metadata!F991,"missing: not collected"),EXACT(metadata!F991,"missing: not provided"))),AND(IF(metadata!F991="",FALSE,TRUE),OR(EXACT(metadata!F991,"TRUE"),EXACT(metadata!F991,"FALSE"))))</f>
        <v>0</v>
      </c>
      <c r="AR991" t="b">
        <f>OR(AND(IF(metadata!G991="",FALSE,TRUE),OR(EXACT(metadata!G991,"missing: not collected"),EXACT(metadata!G991,"missing: not provided"),EXACT(metadata!G991,"missing: restricted access"))),AND(IF(metadata!G991="",FALSE,ISNUMBER(VALUE(metadata!G991))),metadata!G991&gt;=-413))</f>
        <v>0</v>
      </c>
      <c r="AS991" t="b">
        <f>AND(IF(metadata!H991="",FALSE,TRUE),EXACT(metadata!H991,"meters"))</f>
        <v>0</v>
      </c>
      <c r="AT991" t="b">
        <f>AND(IF(metadata!I991="",FALSE,TRUE),OR(EXACT(metadata!I991,"Host-associated"),EXACT(metadata!I991,"Free-living")))</f>
        <v>0</v>
      </c>
      <c r="AU991" t="b">
        <f>AND(IF(metadata!J991="",FALSE,TRUE),OR(EXACT(metadata!J991,"Animal"),EXACT(metadata!J991,"Fungus"),EXACT(metadata!J991,"Plant"),EXACT(metadata!J991,"Saline"),EXACT(metadata!J991,"Non-saline")))</f>
        <v>0</v>
      </c>
      <c r="AV991" t="b">
        <f>AND(IF(metadata!K991="",FALSE,TRUE),OR(EXACT(metadata!K991,"Plant secretion"),EXACT(metadata!K991,"Plant rhizosphere"),EXACT(metadata!K991,"Plant surface"),EXACT(metadata!K991,"Plant corpus"),EXACT(metadata!K991,"Fungus surface"),EXACT(metadata!K991,"Fungus corpus"),EXACT(metadata!K991,"Animal surface"),EXACT(metadata!K991,"Animal proximal gut"),EXACT(metadata!K991,"Animal corpus"),EXACT(metadata!K991,"Animal distal gut"),EXACT(metadata!K991,"Animal secretion"),EXACT(metadata!K991,"Sub-surface (non-saline)"),EXACT(metadata!K991,"Surface (non-saline)"),EXACT(metadata!K991,"Water (non-saline)"),EXACT(metadata!K991,"Soil (non-saline)"),EXACT(metadata!K991,"Aerosol (non-saline)"),EXACT(metadata!K991,"Sediment (non-saline)"),EXACT(metadata!K991,"Surface (saline)"),EXACT(metadata!K991,"Water (saline)"),EXACT(metadata!K991,"Hypersaline (saline)"),EXACT(metadata!K991,"Aerosol (saline)"),EXACT(metadata!K991,"Sediment (saline)")))</f>
        <v>0</v>
      </c>
      <c r="AW991" t="b">
        <f>IF(metadata!L991="",FALSE,TRUE)</f>
        <v>0</v>
      </c>
      <c r="AX991" t="b">
        <f>IF(metadata!M991="",FALSE,TRUE)</f>
        <v>0</v>
      </c>
      <c r="AY991" t="b">
        <f>IF(metadata!N991="",FALSE,TRUE)</f>
        <v>0</v>
      </c>
      <c r="AZ991" t="b">
        <f>OR(AND(IF(metadata!O991="",FALSE,TRUE),OR(EXACT(metadata!O991,"missing: not collected"),EXACT(metadata!O991,"missing: not provided"),EXACT(metadata!O991,"missing: restricted access"))),AND(IF(metadata!O991="",FALSE,TRUE),OR(EXACT(metadata!O991,"air"),EXACT(metadata!O991,"built environment"),EXACT(metadata!O991,"host-associated"),EXACT(metadata!O991,"human-associated"),EXACT(metadata!O991,"human-skin"),EXACT(metadata!O991,"human-oral"),EXACT(metadata!O991,"human-gut"),EXACT(metadata!O991,"human-vaginal"),EXACT(metadata!O991,"microbial mat/biofilm"),EXACT(metadata!O991,"misc environment"),EXACT(metadata!O991,"plant-associated"),EXACT(metadata!O991,"sediment"),EXACT(metadata!O991,"soil"),EXACT(metadata!O991,"wastewater/sludge"),EXACT(metadata!O991,"water"))))</f>
        <v>0</v>
      </c>
      <c r="BA991" t="b">
        <f>IF(metadata!P991="",FALSE,TRUE)</f>
        <v>0</v>
      </c>
      <c r="BB991" t="b">
        <f>IF(metadata!Q991="",FALSE,TRUE)</f>
        <v>0</v>
      </c>
      <c r="BC991" t="b">
        <f>OR(AND(IF(metadata!R991="",FALSE,TRUE),OR(EXACT(metadata!R991,"missing: not collected"),EXACT(metadata!R991,"missing: not provided"),EXACT(metadata!R991,"missing: restricted access"))),AND(IF(metadata!R991="",FALSE,ISNUMBER(VALUE(metadata!R991))),metadata!R991&gt;=-90,metadata!R991&lt;=90))</f>
        <v>0</v>
      </c>
      <c r="BD991" t="b">
        <f>AND(IF(metadata!S991="",FALSE,TRUE),EXACT(metadata!S991,"Decimal degrees"))</f>
        <v>0</v>
      </c>
      <c r="BE991" t="b">
        <f>OR(AND(IF(metadata!T991="",FALSE,TRUE),OR(EXACT(metadata!T991,"missing: not collected"),EXACT(metadata!T991,"missing: not provided"),EXACT(metadata!T991,"missing: restricted access"))),AND(IF(metadata!T991="",FALSE,ISNUMBER(VALUE(metadata!T991))),metadata!T991&gt;=-180,metadata!T991&lt;=180))</f>
        <v>0</v>
      </c>
      <c r="BF991" t="b">
        <f>AND(IF(metadata!U991="",FALSE,TRUE),EXACT(metadata!U991,"Decimal degrees"))</f>
        <v>0</v>
      </c>
      <c r="BG991" t="b">
        <f>IF(metadata!V991="",FALSE,TRUE)</f>
        <v>0</v>
      </c>
      <c r="BH991" t="b">
        <f>OR(AND(IF(metadata!W991="",FALSE,TRUE),OR(EXACT(metadata!W991,"missing: not collected"),EXACT(metadata!W991,"missing: not provided"),EXACT(metadata!W991,"missing: restricted access"))),AND(IF(metadata!W991="",FALSE,TRUE),OR(EXACT(metadata!W991,"TRUE"),EXACT(metadata!W991,"FALSE"))))</f>
        <v>0</v>
      </c>
      <c r="BI991" t="b">
        <f>AND(IF(metadata!X991="",FALSE,TRUE),EXACT(metadata!X991,"other"))</f>
        <v>0</v>
      </c>
      <c r="BJ991" t="b">
        <f>IF(metadata!Y991="",FALSE,TRUE)</f>
        <v>0</v>
      </c>
      <c r="BK991" t="b">
        <f>OR(AND(IF(metadata!Z991="",FALSE,TRUE),OR(EXACT(metadata!Z991,"missing: not collected"),EXACT(metadata!Z991,"missing: not provided"))),AND(IF(metadata!Z991="",FALSE,IF(ISERROR(INT(metadata!Z991)),FALSE,INT(metadata!Z991)=metadata!Z991)),metadata!Z991&gt;0))</f>
        <v>0</v>
      </c>
      <c r="BL991" t="b">
        <f>AND(IF(metadata!AA991="",FALSE,TRUE),EXACT(metadata!AA991,"Not applicable"))</f>
        <v>0</v>
      </c>
      <c r="BM991" t="b">
        <f>IF(metadata!AB991="",FALSE,TRUE)</f>
        <v>0</v>
      </c>
    </row>
    <row r="992" spans="1:65" x14ac:dyDescent="0.2">
      <c r="A992" s="5" t="str">
        <f ca="1">IF(B992=" "," ",HYPERLINK(CONCATENATE("#metadata!",ADDRESS(INDEX($AH$2:$AH$1001,MATCH(ROWS($AF$2:AF992),$AF$2:$AF$1001,0),0),1)),INDEX($AK$2:$AK$1001,MATCH(ROWS($AF$2:AF992),$AF$2:$AF$1001,0),0)))</f>
        <v xml:space="preserve"> </v>
      </c>
      <c r="B992" s="4" t="str">
        <f ca="1">IF(OR(INDEX($AG$2:$AG$1001,MATCH(ROWS($AF$2:AF992),$AF$2:$AF$1001,0),1)&gt;=100000,INDEX($AM$1005:$BM$1005,1,MATCH(COLUMNS($AM$1006:AM1006),$AM$1006:$BM$1006,0))&gt;=100000), " ",IF(INDEX($AM$2:$BM$1001,MATCH(ROWS($AF$2:AF992),$AF$2:$AF$1001,0),MATCH(COLUMNS($AM$1006:AM1006),$AM$1006:$BM$1006,0)), HYPERLINK("#",""), HYPERLINK(CONCATENATE("#metadata!", ADDRESS(INDEX($AH$2:$AH$1001,MATCH(ROWS($AF$2:AF992),$AF$2:$AF$1001,0),0), INDEX($AM$1004:$BM$1004,1,MATCH(COLUMNS($AM$1006:AM1006),$AM$1006:$BM$1006,0)))),"Fix")))</f>
        <v xml:space="preserve"> </v>
      </c>
      <c r="C992" s="4" t="str">
        <f ca="1">IF(OR(INDEX($AG$2:$AG$1001,MATCH(ROWS($AF$2:AF992),$AF$2:$AF$1001,0),1)&gt;=100000,INDEX($AM$1005:$BM$1005,1,MATCH(COLUMNS($AM$1006:AN1006),$AM$1006:$BM$1006,0))&gt;=100000), " ",IF(INDEX($AM$2:$BM$1001,MATCH(ROWS($AF$2:AF992),$AF$2:$AF$1001,0),MATCH(COLUMNS($AM$1006:AN1006),$AM$1006:$BM$1006,0)), HYPERLINK("#",""), HYPERLINK(CONCATENATE("#metadata!", ADDRESS(INDEX($AH$2:$AH$1001,MATCH(ROWS($AF$2:AF992),$AF$2:$AF$1001,0),0), INDEX($AM$1004:$BM$1004,1,MATCH(COLUMNS($AM$1006:AN1006),$AM$1006:$BM$1006,0)))),"Fix")))</f>
        <v xml:space="preserve"> </v>
      </c>
      <c r="D992" s="4" t="str">
        <f ca="1">IF(OR(INDEX($AG$2:$AG$1001,MATCH(ROWS($AF$2:AF992),$AF$2:$AF$1001,0),1)&gt;=100000,INDEX($AM$1005:$BM$1005,1,MATCH(COLUMNS($AM$1006:AO1006),$AM$1006:$BM$1006,0))&gt;=100000), " ",IF(INDEX($AM$2:$BM$1001,MATCH(ROWS($AF$2:AF992),$AF$2:$AF$1001,0),MATCH(COLUMNS($AM$1006:AO1006),$AM$1006:$BM$1006,0)), HYPERLINK("#",""), HYPERLINK(CONCATENATE("#metadata!", ADDRESS(INDEX($AH$2:$AH$1001,MATCH(ROWS($AF$2:AF992),$AF$2:$AF$1001,0),0), INDEX($AM$1004:$BM$1004,1,MATCH(COLUMNS($AM$1006:AO1006),$AM$1006:$BM$1006,0)))),"Fix")))</f>
        <v xml:space="preserve"> </v>
      </c>
      <c r="E992" s="4" t="str">
        <f ca="1">IF(OR(INDEX($AG$2:$AG$1001,MATCH(ROWS($AF$2:AF992),$AF$2:$AF$1001,0),1)&gt;=100000,INDEX($AM$1005:$BM$1005,1,MATCH(COLUMNS($AM$1006:AP1006),$AM$1006:$BM$1006,0))&gt;=100000), " ",IF(INDEX($AM$2:$BM$1001,MATCH(ROWS($AF$2:AF992),$AF$2:$AF$1001,0),MATCH(COLUMNS($AM$1006:AP1006),$AM$1006:$BM$1006,0)), HYPERLINK("#",""), HYPERLINK(CONCATENATE("#metadata!", ADDRESS(INDEX($AH$2:$AH$1001,MATCH(ROWS($AF$2:AF992),$AF$2:$AF$1001,0),0), INDEX($AM$1004:$BM$1004,1,MATCH(COLUMNS($AM$1006:AP1006),$AM$1006:$BM$1006,0)))),"Fix")))</f>
        <v xml:space="preserve"> </v>
      </c>
      <c r="F992" s="4" t="str">
        <f ca="1">IF(OR(INDEX($AG$2:$AG$1001,MATCH(ROWS($AF$2:AF992),$AF$2:$AF$1001,0),1)&gt;=100000,INDEX($AM$1005:$BM$1005,1,MATCH(COLUMNS($AM$1006:AQ1006),$AM$1006:$BM$1006,0))&gt;=100000), " ",IF(INDEX($AM$2:$BM$1001,MATCH(ROWS($AF$2:AF992),$AF$2:$AF$1001,0),MATCH(COLUMNS($AM$1006:AQ1006),$AM$1006:$BM$1006,0)), HYPERLINK("#",""), HYPERLINK(CONCATENATE("#metadata!", ADDRESS(INDEX($AH$2:$AH$1001,MATCH(ROWS($AF$2:AF992),$AF$2:$AF$1001,0),0), INDEX($AM$1004:$BM$1004,1,MATCH(COLUMNS($AM$1006:AQ1006),$AM$1006:$BM$1006,0)))),"Fix")))</f>
        <v xml:space="preserve"> </v>
      </c>
      <c r="G992" s="4" t="str">
        <f ca="1">IF(OR(INDEX($AG$2:$AG$1001,MATCH(ROWS($AF$2:AF992),$AF$2:$AF$1001,0),1)&gt;=100000,INDEX($AM$1005:$BM$1005,1,MATCH(COLUMNS($AM$1006:AR1006),$AM$1006:$BM$1006,0))&gt;=100000), " ",IF(INDEX($AM$2:$BM$1001,MATCH(ROWS($AF$2:AF992),$AF$2:$AF$1001,0),MATCH(COLUMNS($AM$1006:AR1006),$AM$1006:$BM$1006,0)), HYPERLINK("#",""), HYPERLINK(CONCATENATE("#metadata!", ADDRESS(INDEX($AH$2:$AH$1001,MATCH(ROWS($AF$2:AF992),$AF$2:$AF$1001,0),0), INDEX($AM$1004:$BM$1004,1,MATCH(COLUMNS($AM$1006:AR1006),$AM$1006:$BM$1006,0)))),"Fix")))</f>
        <v xml:space="preserve"> </v>
      </c>
      <c r="H992" s="4" t="str">
        <f ca="1">IF(OR(INDEX($AG$2:$AG$1001,MATCH(ROWS($AF$2:AF992),$AF$2:$AF$1001,0),1)&gt;=100000,INDEX($AM$1005:$BM$1005,1,MATCH(COLUMNS($AM$1006:AS1006),$AM$1006:$BM$1006,0))&gt;=100000), " ",IF(INDEX($AM$2:$BM$1001,MATCH(ROWS($AF$2:AF992),$AF$2:$AF$1001,0),MATCH(COLUMNS($AM$1006:AS1006),$AM$1006:$BM$1006,0)), HYPERLINK("#",""), HYPERLINK(CONCATENATE("#metadata!", ADDRESS(INDEX($AH$2:$AH$1001,MATCH(ROWS($AF$2:AF992),$AF$2:$AF$1001,0),0), INDEX($AM$1004:$BM$1004,1,MATCH(COLUMNS($AM$1006:AS1006),$AM$1006:$BM$1006,0)))),"Fix")))</f>
        <v xml:space="preserve"> </v>
      </c>
      <c r="I992" s="4" t="str">
        <f ca="1">IF(OR(INDEX($AG$2:$AG$1001,MATCH(ROWS($AF$2:AF992),$AF$2:$AF$1001,0),1)&gt;=100000,INDEX($AM$1005:$BM$1005,1,MATCH(COLUMNS($AM$1006:AT1006),$AM$1006:$BM$1006,0))&gt;=100000), " ",IF(INDEX($AM$2:$BM$1001,MATCH(ROWS($AF$2:AF992),$AF$2:$AF$1001,0),MATCH(COLUMNS($AM$1006:AT1006),$AM$1006:$BM$1006,0)), HYPERLINK("#",""), HYPERLINK(CONCATENATE("#metadata!", ADDRESS(INDEX($AH$2:$AH$1001,MATCH(ROWS($AF$2:AF992),$AF$2:$AF$1001,0),0), INDEX($AM$1004:$BM$1004,1,MATCH(COLUMNS($AM$1006:AT1006),$AM$1006:$BM$1006,0)))),"Fix")))</f>
        <v xml:space="preserve"> </v>
      </c>
      <c r="J992" s="4" t="str">
        <f ca="1">IF(OR(INDEX($AG$2:$AG$1001,MATCH(ROWS($AF$2:AF992),$AF$2:$AF$1001,0),1)&gt;=100000,INDEX($AM$1005:$BM$1005,1,MATCH(COLUMNS($AM$1006:AU1006),$AM$1006:$BM$1006,0))&gt;=100000), " ",IF(INDEX($AM$2:$BM$1001,MATCH(ROWS($AF$2:AF992),$AF$2:$AF$1001,0),MATCH(COLUMNS($AM$1006:AU1006),$AM$1006:$BM$1006,0)), HYPERLINK("#",""), HYPERLINK(CONCATENATE("#metadata!", ADDRESS(INDEX($AH$2:$AH$1001,MATCH(ROWS($AF$2:AF992),$AF$2:$AF$1001,0),0), INDEX($AM$1004:$BM$1004,1,MATCH(COLUMNS($AM$1006:AU1006),$AM$1006:$BM$1006,0)))),"Fix")))</f>
        <v xml:space="preserve"> </v>
      </c>
      <c r="K992" s="4" t="str">
        <f ca="1">IF(OR(INDEX($AG$2:$AG$1001,MATCH(ROWS($AF$2:AF992),$AF$2:$AF$1001,0),1)&gt;=100000,INDEX($AM$1005:$BM$1005,1,MATCH(COLUMNS($AM$1006:AV1006),$AM$1006:$BM$1006,0))&gt;=100000), " ",IF(INDEX($AM$2:$BM$1001,MATCH(ROWS($AF$2:AF992),$AF$2:$AF$1001,0),MATCH(COLUMNS($AM$1006:AV1006),$AM$1006:$BM$1006,0)), HYPERLINK("#",""), HYPERLINK(CONCATENATE("#metadata!", ADDRESS(INDEX($AH$2:$AH$1001,MATCH(ROWS($AF$2:AF992),$AF$2:$AF$1001,0),0), INDEX($AM$1004:$BM$1004,1,MATCH(COLUMNS($AM$1006:AV1006),$AM$1006:$BM$1006,0)))),"Fix")))</f>
        <v xml:space="preserve"> </v>
      </c>
      <c r="L992" s="4" t="str">
        <f ca="1">IF(OR(INDEX($AG$2:$AG$1001,MATCH(ROWS($AF$2:AF992),$AF$2:$AF$1001,0),1)&gt;=100000,INDEX($AM$1005:$BM$1005,1,MATCH(COLUMNS($AM$1006:AW1006),$AM$1006:$BM$1006,0))&gt;=100000), " ",IF(INDEX($AM$2:$BM$1001,MATCH(ROWS($AF$2:AF992),$AF$2:$AF$1001,0),MATCH(COLUMNS($AM$1006:AW1006),$AM$1006:$BM$1006,0)), HYPERLINK("#",""), HYPERLINK(CONCATENATE("#metadata!", ADDRESS(INDEX($AH$2:$AH$1001,MATCH(ROWS($AF$2:AF992),$AF$2:$AF$1001,0),0), INDEX($AM$1004:$BM$1004,1,MATCH(COLUMNS($AM$1006:AW1006),$AM$1006:$BM$1006,0)))),"Fix")))</f>
        <v xml:space="preserve"> </v>
      </c>
      <c r="M992" s="4" t="str">
        <f ca="1">IF(OR(INDEX($AG$2:$AG$1001,MATCH(ROWS($AF$2:AF992),$AF$2:$AF$1001,0),1)&gt;=100000,INDEX($AM$1005:$BM$1005,1,MATCH(COLUMNS($AM$1006:AX1006),$AM$1006:$BM$1006,0))&gt;=100000), " ",IF(INDEX($AM$2:$BM$1001,MATCH(ROWS($AF$2:AF992),$AF$2:$AF$1001,0),MATCH(COLUMNS($AM$1006:AX1006),$AM$1006:$BM$1006,0)), HYPERLINK("#",""), HYPERLINK(CONCATENATE("#metadata!", ADDRESS(INDEX($AH$2:$AH$1001,MATCH(ROWS($AF$2:AF992),$AF$2:$AF$1001,0),0), INDEX($AM$1004:$BM$1004,1,MATCH(COLUMNS($AM$1006:AX1006),$AM$1006:$BM$1006,0)))),"Fix")))</f>
        <v xml:space="preserve"> </v>
      </c>
      <c r="N992" s="4" t="str">
        <f ca="1">IF(OR(INDEX($AG$2:$AG$1001,MATCH(ROWS($AF$2:AF992),$AF$2:$AF$1001,0),1)&gt;=100000,INDEX($AM$1005:$BM$1005,1,MATCH(COLUMNS($AM$1006:AY1006),$AM$1006:$BM$1006,0))&gt;=100000), " ",IF(INDEX($AM$2:$BM$1001,MATCH(ROWS($AF$2:AF992),$AF$2:$AF$1001,0),MATCH(COLUMNS($AM$1006:AY1006),$AM$1006:$BM$1006,0)), HYPERLINK("#",""), HYPERLINK(CONCATENATE("#metadata!", ADDRESS(INDEX($AH$2:$AH$1001,MATCH(ROWS($AF$2:AF992),$AF$2:$AF$1001,0),0), INDEX($AM$1004:$BM$1004,1,MATCH(COLUMNS($AM$1006:AY1006),$AM$1006:$BM$1006,0)))),"Fix")))</f>
        <v xml:space="preserve"> </v>
      </c>
      <c r="O992" s="4" t="str">
        <f ca="1">IF(OR(INDEX($AG$2:$AG$1001,MATCH(ROWS($AF$2:AF992),$AF$2:$AF$1001,0),1)&gt;=100000,INDEX($AM$1005:$BM$1005,1,MATCH(COLUMNS($AM$1006:AZ1006),$AM$1006:$BM$1006,0))&gt;=100000), " ",IF(INDEX($AM$2:$BM$1001,MATCH(ROWS($AF$2:AF992),$AF$2:$AF$1001,0),MATCH(COLUMNS($AM$1006:AZ1006),$AM$1006:$BM$1006,0)), HYPERLINK("#",""), HYPERLINK(CONCATENATE("#metadata!", ADDRESS(INDEX($AH$2:$AH$1001,MATCH(ROWS($AF$2:AF992),$AF$2:$AF$1001,0),0), INDEX($AM$1004:$BM$1004,1,MATCH(COLUMNS($AM$1006:AZ1006),$AM$1006:$BM$1006,0)))),"Fix")))</f>
        <v xml:space="preserve"> </v>
      </c>
      <c r="P992" s="4" t="str">
        <f ca="1">IF(OR(INDEX($AG$2:$AG$1001,MATCH(ROWS($AF$2:AF992),$AF$2:$AF$1001,0),1)&gt;=100000,INDEX($AM$1005:$BM$1005,1,MATCH(COLUMNS($AM$1006:BA1006),$AM$1006:$BM$1006,0))&gt;=100000), " ",IF(INDEX($AM$2:$BM$1001,MATCH(ROWS($AF$2:AF992),$AF$2:$AF$1001,0),MATCH(COLUMNS($AM$1006:BA1006),$AM$1006:$BM$1006,0)), HYPERLINK("#",""), HYPERLINK(CONCATENATE("#metadata!", ADDRESS(INDEX($AH$2:$AH$1001,MATCH(ROWS($AF$2:AF992),$AF$2:$AF$1001,0),0), INDEX($AM$1004:$BM$1004,1,MATCH(COLUMNS($AM$1006:BA1006),$AM$1006:$BM$1006,0)))),"Fix")))</f>
        <v xml:space="preserve"> </v>
      </c>
      <c r="Q992" s="4" t="str">
        <f ca="1">IF(OR(INDEX($AG$2:$AG$1001,MATCH(ROWS($AF$2:AF992),$AF$2:$AF$1001,0),1)&gt;=100000,INDEX($AM$1005:$BM$1005,1,MATCH(COLUMNS($AM$1006:BB1006),$AM$1006:$BM$1006,0))&gt;=100000), " ",IF(INDEX($AM$2:$BM$1001,MATCH(ROWS($AF$2:AF992),$AF$2:$AF$1001,0),MATCH(COLUMNS($AM$1006:BB1006),$AM$1006:$BM$1006,0)), HYPERLINK("#",""), HYPERLINK(CONCATENATE("#metadata!", ADDRESS(INDEX($AH$2:$AH$1001,MATCH(ROWS($AF$2:AF992),$AF$2:$AF$1001,0),0), INDEX($AM$1004:$BM$1004,1,MATCH(COLUMNS($AM$1006:BB1006),$AM$1006:$BM$1006,0)))),"Fix")))</f>
        <v xml:space="preserve"> </v>
      </c>
      <c r="R992" s="4" t="str">
        <f ca="1">IF(OR(INDEX($AG$2:$AG$1001,MATCH(ROWS($AF$2:AF992),$AF$2:$AF$1001,0),1)&gt;=100000,INDEX($AM$1005:$BM$1005,1,MATCH(COLUMNS($AM$1006:BC1006),$AM$1006:$BM$1006,0))&gt;=100000), " ",IF(INDEX($AM$2:$BM$1001,MATCH(ROWS($AF$2:AF992),$AF$2:$AF$1001,0),MATCH(COLUMNS($AM$1006:BC1006),$AM$1006:$BM$1006,0)), HYPERLINK("#",""), HYPERLINK(CONCATENATE("#metadata!", ADDRESS(INDEX($AH$2:$AH$1001,MATCH(ROWS($AF$2:AF992),$AF$2:$AF$1001,0),0), INDEX($AM$1004:$BM$1004,1,MATCH(COLUMNS($AM$1006:BC1006),$AM$1006:$BM$1006,0)))),"Fix")))</f>
        <v xml:space="preserve"> </v>
      </c>
      <c r="S992" s="4" t="str">
        <f ca="1">IF(OR(INDEX($AG$2:$AG$1001,MATCH(ROWS($AF$2:AF992),$AF$2:$AF$1001,0),1)&gt;=100000,INDEX($AM$1005:$BM$1005,1,MATCH(COLUMNS($AM$1006:BD1006),$AM$1006:$BM$1006,0))&gt;=100000), " ",IF(INDEX($AM$2:$BM$1001,MATCH(ROWS($AF$2:AF992),$AF$2:$AF$1001,0),MATCH(COLUMNS($AM$1006:BD1006),$AM$1006:$BM$1006,0)), HYPERLINK("#",""), HYPERLINK(CONCATENATE("#metadata!", ADDRESS(INDEX($AH$2:$AH$1001,MATCH(ROWS($AF$2:AF992),$AF$2:$AF$1001,0),0), INDEX($AM$1004:$BM$1004,1,MATCH(COLUMNS($AM$1006:BD1006),$AM$1006:$BM$1006,0)))),"Fix")))</f>
        <v xml:space="preserve"> </v>
      </c>
      <c r="T992" s="4" t="str">
        <f ca="1">IF(OR(INDEX($AG$2:$AG$1001,MATCH(ROWS($AF$2:AF992),$AF$2:$AF$1001,0),1)&gt;=100000,INDEX($AM$1005:$BM$1005,1,MATCH(COLUMNS($AM$1006:BE1006),$AM$1006:$BM$1006,0))&gt;=100000), " ",IF(INDEX($AM$2:$BM$1001,MATCH(ROWS($AF$2:AF992),$AF$2:$AF$1001,0),MATCH(COLUMNS($AM$1006:BE1006),$AM$1006:$BM$1006,0)), HYPERLINK("#",""), HYPERLINK(CONCATENATE("#metadata!", ADDRESS(INDEX($AH$2:$AH$1001,MATCH(ROWS($AF$2:AF992),$AF$2:$AF$1001,0),0), INDEX($AM$1004:$BM$1004,1,MATCH(COLUMNS($AM$1006:BE1006),$AM$1006:$BM$1006,0)))),"Fix")))</f>
        <v xml:space="preserve"> </v>
      </c>
      <c r="U992" s="4" t="str">
        <f ca="1">IF(OR(INDEX($AG$2:$AG$1001,MATCH(ROWS($AF$2:AF992),$AF$2:$AF$1001,0),1)&gt;=100000,INDEX($AM$1005:$BM$1005,1,MATCH(COLUMNS($AM$1006:BF1006),$AM$1006:$BM$1006,0))&gt;=100000), " ",IF(INDEX($AM$2:$BM$1001,MATCH(ROWS($AF$2:AF992),$AF$2:$AF$1001,0),MATCH(COLUMNS($AM$1006:BF1006),$AM$1006:$BM$1006,0)), HYPERLINK("#",""), HYPERLINK(CONCATENATE("#metadata!", ADDRESS(INDEX($AH$2:$AH$1001,MATCH(ROWS($AF$2:AF992),$AF$2:$AF$1001,0),0), INDEX($AM$1004:$BM$1004,1,MATCH(COLUMNS($AM$1006:BF1006),$AM$1006:$BM$1006,0)))),"Fix")))</f>
        <v xml:space="preserve"> </v>
      </c>
      <c r="V992" s="4" t="str">
        <f ca="1">IF(OR(INDEX($AG$2:$AG$1001,MATCH(ROWS($AF$2:AF992),$AF$2:$AF$1001,0),1)&gt;=100000,INDEX($AM$1005:$BM$1005,1,MATCH(COLUMNS($AM$1006:BG1006),$AM$1006:$BM$1006,0))&gt;=100000), " ",IF(INDEX($AM$2:$BM$1001,MATCH(ROWS($AF$2:AF992),$AF$2:$AF$1001,0),MATCH(COLUMNS($AM$1006:BG1006),$AM$1006:$BM$1006,0)), HYPERLINK("#",""), HYPERLINK(CONCATENATE("#metadata!", ADDRESS(INDEX($AH$2:$AH$1001,MATCH(ROWS($AF$2:AF992),$AF$2:$AF$1001,0),0), INDEX($AM$1004:$BM$1004,1,MATCH(COLUMNS($AM$1006:BG1006),$AM$1006:$BM$1006,0)))),"Fix")))</f>
        <v xml:space="preserve"> </v>
      </c>
      <c r="W992" s="4" t="str">
        <f ca="1">IF(OR(INDEX($AG$2:$AG$1001,MATCH(ROWS($AF$2:AF992),$AF$2:$AF$1001,0),1)&gt;=100000,INDEX($AM$1005:$BM$1005,1,MATCH(COLUMNS($AM$1006:BH1006),$AM$1006:$BM$1006,0))&gt;=100000), " ",IF(INDEX($AM$2:$BM$1001,MATCH(ROWS($AF$2:AF992),$AF$2:$AF$1001,0),MATCH(COLUMNS($AM$1006:BH1006),$AM$1006:$BM$1006,0)), HYPERLINK("#",""), HYPERLINK(CONCATENATE("#metadata!", ADDRESS(INDEX($AH$2:$AH$1001,MATCH(ROWS($AF$2:AF992),$AF$2:$AF$1001,0),0), INDEX($AM$1004:$BM$1004,1,MATCH(COLUMNS($AM$1006:BH1006),$AM$1006:$BM$1006,0)))),"Fix")))</f>
        <v xml:space="preserve"> </v>
      </c>
      <c r="X992" s="4" t="str">
        <f ca="1">IF(OR(INDEX($AG$2:$AG$1001,MATCH(ROWS($AF$2:AF992),$AF$2:$AF$1001,0),1)&gt;=100000,INDEX($AM$1005:$BM$1005,1,MATCH(COLUMNS($AM$1006:BI1006),$AM$1006:$BM$1006,0))&gt;=100000), " ",IF(INDEX($AM$2:$BM$1001,MATCH(ROWS($AF$2:AF992),$AF$2:$AF$1001,0),MATCH(COLUMNS($AM$1006:BI1006),$AM$1006:$BM$1006,0)), HYPERLINK("#",""), HYPERLINK(CONCATENATE("#metadata!", ADDRESS(INDEX($AH$2:$AH$1001,MATCH(ROWS($AF$2:AF992),$AF$2:$AF$1001,0),0), INDEX($AM$1004:$BM$1004,1,MATCH(COLUMNS($AM$1006:BI1006),$AM$1006:$BM$1006,0)))),"Fix")))</f>
        <v xml:space="preserve"> </v>
      </c>
      <c r="Y992" s="4" t="str">
        <f ca="1">IF(OR(INDEX($AG$2:$AG$1001,MATCH(ROWS($AF$2:AF992),$AF$2:$AF$1001,0),1)&gt;=100000,INDEX($AM$1005:$BM$1005,1,MATCH(COLUMNS($AM$1006:BJ1006),$AM$1006:$BM$1006,0))&gt;=100000), " ",IF(INDEX($AM$2:$BM$1001,MATCH(ROWS($AF$2:AF992),$AF$2:$AF$1001,0),MATCH(COLUMNS($AM$1006:BJ1006),$AM$1006:$BM$1006,0)), HYPERLINK("#",""), HYPERLINK(CONCATENATE("#metadata!", ADDRESS(INDEX($AH$2:$AH$1001,MATCH(ROWS($AF$2:AF992),$AF$2:$AF$1001,0),0), INDEX($AM$1004:$BM$1004,1,MATCH(COLUMNS($AM$1006:BJ1006),$AM$1006:$BM$1006,0)))),"Fix")))</f>
        <v xml:space="preserve"> </v>
      </c>
      <c r="Z992" s="4" t="str">
        <f ca="1">IF(OR(INDEX($AG$2:$AG$1001,MATCH(ROWS($AF$2:AF992),$AF$2:$AF$1001,0),1)&gt;=100000,INDEX($AM$1005:$BM$1005,1,MATCH(COLUMNS($AM$1006:BK1006),$AM$1006:$BM$1006,0))&gt;=100000), " ",IF(INDEX($AM$2:$BM$1001,MATCH(ROWS($AF$2:AF992),$AF$2:$AF$1001,0),MATCH(COLUMNS($AM$1006:BK1006),$AM$1006:$BM$1006,0)), HYPERLINK("#",""), HYPERLINK(CONCATENATE("#metadata!", ADDRESS(INDEX($AH$2:$AH$1001,MATCH(ROWS($AF$2:AF992),$AF$2:$AF$1001,0),0), INDEX($AM$1004:$BM$1004,1,MATCH(COLUMNS($AM$1006:BK1006),$AM$1006:$BM$1006,0)))),"Fix")))</f>
        <v xml:space="preserve"> </v>
      </c>
      <c r="AA992" s="4" t="str">
        <f ca="1">IF(OR(INDEX($AG$2:$AG$1001,MATCH(ROWS($AF$2:AF992),$AF$2:$AF$1001,0),1)&gt;=100000,INDEX($AM$1005:$BM$1005,1,MATCH(COLUMNS($AM$1006:BL1006),$AM$1006:$BM$1006,0))&gt;=100000), " ",IF(INDEX($AM$2:$BM$1001,MATCH(ROWS($AF$2:AF992),$AF$2:$AF$1001,0),MATCH(COLUMNS($AM$1006:BL1006),$AM$1006:$BM$1006,0)), HYPERLINK("#",""), HYPERLINK(CONCATENATE("#metadata!", ADDRESS(INDEX($AH$2:$AH$1001,MATCH(ROWS($AF$2:AF992),$AF$2:$AF$1001,0),0), INDEX($AM$1004:$BM$1004,1,MATCH(COLUMNS($AM$1006:BL1006),$AM$1006:$BM$1006,0)))),"Fix")))</f>
        <v xml:space="preserve"> </v>
      </c>
      <c r="AB992" s="4" t="str">
        <f ca="1">IF(OR(INDEX($AG$2:$AG$1001,MATCH(ROWS($AF$2:AF992),$AF$2:$AF$1001,0),1)&gt;=100000,INDEX($AM$1005:$BM$1005,1,MATCH(COLUMNS($AM$1006:BM1006),$AM$1006:$BM$1006,0))&gt;=100000), " ",IF(INDEX($AM$2:$BM$1001,MATCH(ROWS($AF$2:AF992),$AF$2:$AF$1001,0),MATCH(COLUMNS($AM$1006:BM1006),$AM$1006:$BM$1006,0)), HYPERLINK("#",""), HYPERLINK(CONCATENATE("#metadata!", ADDRESS(INDEX($AH$2:$AH$1001,MATCH(ROWS($AF$2:AF992),$AF$2:$AF$1001,0),0), INDEX($AM$1004:$BM$1004,1,MATCH(COLUMNS($AM$1006:BM1006),$AM$1006:$BM$1006,0)))),"Fix")))</f>
        <v xml:space="preserve"> </v>
      </c>
      <c r="AF992">
        <v>991</v>
      </c>
      <c r="AG992">
        <v>100992</v>
      </c>
      <c r="AH992">
        <v>992</v>
      </c>
      <c r="AI992" t="b">
        <f t="shared" si="15"/>
        <v>1</v>
      </c>
      <c r="AJ992" t="b">
        <f>COUNTBLANK(metadata!B992:AB992)=COLUMNS(metadata!B992:AB992)</f>
        <v>1</v>
      </c>
      <c r="AK992" t="str">
        <v/>
      </c>
      <c r="AM992" t="b">
        <f ca="1">AND(IF(metadata!B992="",FALSE,TRUE),COUNTIF(metadata!B:B, metadata!B992) = 1,NOT(ISERROR(SUMPRODUCT(SEARCH(MID(metadata!B992,ROW(INDIRECT("1:"&amp;LEN(metadata!B992))), 1),"0123456789abcdefghijklmnopqrstuvwxyzABCDEFGHIJKLMNOPQRSTUVWXYZ.")))))</f>
        <v>0</v>
      </c>
      <c r="AN992" t="b">
        <f ca="1">OR(AND(IF(metadata!C992="",FALSE,TRUE),OR(EXACT(metadata!C992,"missing: not collected"),EXACT(metadata!C992,"missing: not provided"),EXACT(metadata!C992,"missing: restricted access"))),AND(IF(metadata!C992="",FALSE,TRUE),AND(AND(IFERROR(INT(LEFT(metadata!C992,4))&gt;1900,FALSE),IFERROR(INT(LEFT(metadata!C992,4))&lt;=YEAR(NOW()),FALSE)), OR(MID(metadata!C992,5,1)="", AND(AND(MID(metadata!C992,5,1)="-",IFERROR(INT(MID(metadata!C992,6,1))&gt;=0,FALSE),IFERROR(INT(MID(metadata!C992,6,1))&lt;=1,FALSE),NOT(MID(metadata!C992,7,1)=""),IFERROR(INT(MID(metadata!C992,6,2))&gt;=1,FALSE),IFERROR(INT(MID(metadata!C992,6,2))&lt;=12,FALSE)), OR(MID(metadata!C992,8,1)="", AND(AND(MID(metadata!C992,8,1)="-",IFERROR(INT(MID(metadata!C992,9,1))&gt;=0,FALSE),IFERROR(INT(MID(metadata!C992,9,1))&lt;=3,FALSE),NOT(MID(metadata!C992,10,1)=""),IFERROR(INT(MID(metadata!C992,9,2))&gt;=1,FALSE),IFERROR(INT(MID(metadata!C992,9,2))&lt;=31,FALSE)), OR(MID(metadata!C992,11,1)="", AND(AND(MID(metadata!C992,11,1)=" ",IFERROR(INT(MID(metadata!C992,12,1))&gt;=0,FALSE),IFERROR(INT(MID(metadata!C992,12,1))&lt;=2,FALSE),NOT(MID(metadata!C992,13,1)=""),IFERROR(INT(MID(metadata!C992,12,2))&gt;=0,FALSE),IFERROR(INT(MID(metadata!C992,12,2))&lt;=23,FALSE)), OR(MID(metadata!C992,14,1)="", AND(AND(MID(metadata!C992,14,1)=":",IFERROR(INT(MID(metadata!C992,15,1))&gt;=0,FALSE),IFERROR(INT(MID(metadata!C992,15,1))&lt;=5,FALSE),NOT(MID(metadata!C992,16,1)=""),IFERROR(INT(MID(metadata!C992,15,2))&gt;=0,FALSE),IFERROR(INT(MID(metadata!C992,15,2))&lt;=59,FALSE)), OR(MID(metadata!C992,17,1)="", AND(AND(MID(metadata!C992,17,1)=":",IFERROR(INT(MID(metadata!C992,18,1))&gt;=0,FALSE),IFERROR(INT(MID(metadata!C992,18,1))&lt;=5,FALSE),NOT(MID(metadata!C992,19,1)=""),IFERROR(INT(MID(metadata!C992,18,2))&gt;=0,FALSE),IFERROR(INT(MID(metadata!C992,18,2))&lt;=59,FALSE)), LEN(metadata!C992)&lt;=19)))))))))))))</f>
        <v>0</v>
      </c>
      <c r="AO992" t="b">
        <f>AND(IF(metadata!D992="",FALSE,TRUE),EXACT(metadata!D992,"Not applicable"))</f>
        <v>0</v>
      </c>
      <c r="AP992" t="b">
        <f>IF(metadata!E992="",FALSE,TRUE)</f>
        <v>0</v>
      </c>
      <c r="AQ992" t="b">
        <f>OR(AND(IF(metadata!F992="",FALSE,TRUE),OR(EXACT(metadata!F992,"missing: not collected"),EXACT(metadata!F992,"missing: not provided"))),AND(IF(metadata!F992="",FALSE,TRUE),OR(EXACT(metadata!F992,"TRUE"),EXACT(metadata!F992,"FALSE"))))</f>
        <v>0</v>
      </c>
      <c r="AR992" t="b">
        <f>OR(AND(IF(metadata!G992="",FALSE,TRUE),OR(EXACT(metadata!G992,"missing: not collected"),EXACT(metadata!G992,"missing: not provided"),EXACT(metadata!G992,"missing: restricted access"))),AND(IF(metadata!G992="",FALSE,ISNUMBER(VALUE(metadata!G992))),metadata!G992&gt;=-413))</f>
        <v>0</v>
      </c>
      <c r="AS992" t="b">
        <f>AND(IF(metadata!H992="",FALSE,TRUE),EXACT(metadata!H992,"meters"))</f>
        <v>0</v>
      </c>
      <c r="AT992" t="b">
        <f>AND(IF(metadata!I992="",FALSE,TRUE),OR(EXACT(metadata!I992,"Host-associated"),EXACT(metadata!I992,"Free-living")))</f>
        <v>0</v>
      </c>
      <c r="AU992" t="b">
        <f>AND(IF(metadata!J992="",FALSE,TRUE),OR(EXACT(metadata!J992,"Animal"),EXACT(metadata!J992,"Fungus"),EXACT(metadata!J992,"Plant"),EXACT(metadata!J992,"Saline"),EXACT(metadata!J992,"Non-saline")))</f>
        <v>0</v>
      </c>
      <c r="AV992" t="b">
        <f>AND(IF(metadata!K992="",FALSE,TRUE),OR(EXACT(metadata!K992,"Plant secretion"),EXACT(metadata!K992,"Plant rhizosphere"),EXACT(metadata!K992,"Plant surface"),EXACT(metadata!K992,"Plant corpus"),EXACT(metadata!K992,"Fungus surface"),EXACT(metadata!K992,"Fungus corpus"),EXACT(metadata!K992,"Animal surface"),EXACT(metadata!K992,"Animal proximal gut"),EXACT(metadata!K992,"Animal corpus"),EXACT(metadata!K992,"Animal distal gut"),EXACT(metadata!K992,"Animal secretion"),EXACT(metadata!K992,"Sub-surface (non-saline)"),EXACT(metadata!K992,"Surface (non-saline)"),EXACT(metadata!K992,"Water (non-saline)"),EXACT(metadata!K992,"Soil (non-saline)"),EXACT(metadata!K992,"Aerosol (non-saline)"),EXACT(metadata!K992,"Sediment (non-saline)"),EXACT(metadata!K992,"Surface (saline)"),EXACT(metadata!K992,"Water (saline)"),EXACT(metadata!K992,"Hypersaline (saline)"),EXACT(metadata!K992,"Aerosol (saline)"),EXACT(metadata!K992,"Sediment (saline)")))</f>
        <v>0</v>
      </c>
      <c r="AW992" t="b">
        <f>IF(metadata!L992="",FALSE,TRUE)</f>
        <v>0</v>
      </c>
      <c r="AX992" t="b">
        <f>IF(metadata!M992="",FALSE,TRUE)</f>
        <v>0</v>
      </c>
      <c r="AY992" t="b">
        <f>IF(metadata!N992="",FALSE,TRUE)</f>
        <v>0</v>
      </c>
      <c r="AZ992" t="b">
        <f>OR(AND(IF(metadata!O992="",FALSE,TRUE),OR(EXACT(metadata!O992,"missing: not collected"),EXACT(metadata!O992,"missing: not provided"),EXACT(metadata!O992,"missing: restricted access"))),AND(IF(metadata!O992="",FALSE,TRUE),OR(EXACT(metadata!O992,"air"),EXACT(metadata!O992,"built environment"),EXACT(metadata!O992,"host-associated"),EXACT(metadata!O992,"human-associated"),EXACT(metadata!O992,"human-skin"),EXACT(metadata!O992,"human-oral"),EXACT(metadata!O992,"human-gut"),EXACT(metadata!O992,"human-vaginal"),EXACT(metadata!O992,"microbial mat/biofilm"),EXACT(metadata!O992,"misc environment"),EXACT(metadata!O992,"plant-associated"),EXACT(metadata!O992,"sediment"),EXACT(metadata!O992,"soil"),EXACT(metadata!O992,"wastewater/sludge"),EXACT(metadata!O992,"water"))))</f>
        <v>0</v>
      </c>
      <c r="BA992" t="b">
        <f>IF(metadata!P992="",FALSE,TRUE)</f>
        <v>0</v>
      </c>
      <c r="BB992" t="b">
        <f>IF(metadata!Q992="",FALSE,TRUE)</f>
        <v>0</v>
      </c>
      <c r="BC992" t="b">
        <f>OR(AND(IF(metadata!R992="",FALSE,TRUE),OR(EXACT(metadata!R992,"missing: not collected"),EXACT(metadata!R992,"missing: not provided"),EXACT(metadata!R992,"missing: restricted access"))),AND(IF(metadata!R992="",FALSE,ISNUMBER(VALUE(metadata!R992))),metadata!R992&gt;=-90,metadata!R992&lt;=90))</f>
        <v>0</v>
      </c>
      <c r="BD992" t="b">
        <f>AND(IF(metadata!S992="",FALSE,TRUE),EXACT(metadata!S992,"Decimal degrees"))</f>
        <v>0</v>
      </c>
      <c r="BE992" t="b">
        <f>OR(AND(IF(metadata!T992="",FALSE,TRUE),OR(EXACT(metadata!T992,"missing: not collected"),EXACT(metadata!T992,"missing: not provided"),EXACT(metadata!T992,"missing: restricted access"))),AND(IF(metadata!T992="",FALSE,ISNUMBER(VALUE(metadata!T992))),metadata!T992&gt;=-180,metadata!T992&lt;=180))</f>
        <v>0</v>
      </c>
      <c r="BF992" t="b">
        <f>AND(IF(metadata!U992="",FALSE,TRUE),EXACT(metadata!U992,"Decimal degrees"))</f>
        <v>0</v>
      </c>
      <c r="BG992" t="b">
        <f>IF(metadata!V992="",FALSE,TRUE)</f>
        <v>0</v>
      </c>
      <c r="BH992" t="b">
        <f>OR(AND(IF(metadata!W992="",FALSE,TRUE),OR(EXACT(metadata!W992,"missing: not collected"),EXACT(metadata!W992,"missing: not provided"),EXACT(metadata!W992,"missing: restricted access"))),AND(IF(metadata!W992="",FALSE,TRUE),OR(EXACT(metadata!W992,"TRUE"),EXACT(metadata!W992,"FALSE"))))</f>
        <v>0</v>
      </c>
      <c r="BI992" t="b">
        <f>AND(IF(metadata!X992="",FALSE,TRUE),EXACT(metadata!X992,"other"))</f>
        <v>0</v>
      </c>
      <c r="BJ992" t="b">
        <f>IF(metadata!Y992="",FALSE,TRUE)</f>
        <v>0</v>
      </c>
      <c r="BK992" t="b">
        <f>OR(AND(IF(metadata!Z992="",FALSE,TRUE),OR(EXACT(metadata!Z992,"missing: not collected"),EXACT(metadata!Z992,"missing: not provided"))),AND(IF(metadata!Z992="",FALSE,IF(ISERROR(INT(metadata!Z992)),FALSE,INT(metadata!Z992)=metadata!Z992)),metadata!Z992&gt;0))</f>
        <v>0</v>
      </c>
      <c r="BL992" t="b">
        <f>AND(IF(metadata!AA992="",FALSE,TRUE),EXACT(metadata!AA992,"Not applicable"))</f>
        <v>0</v>
      </c>
      <c r="BM992" t="b">
        <f>IF(metadata!AB992="",FALSE,TRUE)</f>
        <v>0</v>
      </c>
    </row>
    <row r="993" spans="1:65" x14ac:dyDescent="0.2">
      <c r="A993" s="5" t="str">
        <f ca="1">IF(B993=" "," ",HYPERLINK(CONCATENATE("#metadata!",ADDRESS(INDEX($AH$2:$AH$1001,MATCH(ROWS($AF$2:AF993),$AF$2:$AF$1001,0),0),1)),INDEX($AK$2:$AK$1001,MATCH(ROWS($AF$2:AF993),$AF$2:$AF$1001,0),0)))</f>
        <v xml:space="preserve"> </v>
      </c>
      <c r="B993" s="4" t="str">
        <f ca="1">IF(OR(INDEX($AG$2:$AG$1001,MATCH(ROWS($AF$2:AF993),$AF$2:$AF$1001,0),1)&gt;=100000,INDEX($AM$1005:$BM$1005,1,MATCH(COLUMNS($AM$1006:AM1006),$AM$1006:$BM$1006,0))&gt;=100000), " ",IF(INDEX($AM$2:$BM$1001,MATCH(ROWS($AF$2:AF993),$AF$2:$AF$1001,0),MATCH(COLUMNS($AM$1006:AM1006),$AM$1006:$BM$1006,0)), HYPERLINK("#",""), HYPERLINK(CONCATENATE("#metadata!", ADDRESS(INDEX($AH$2:$AH$1001,MATCH(ROWS($AF$2:AF993),$AF$2:$AF$1001,0),0), INDEX($AM$1004:$BM$1004,1,MATCH(COLUMNS($AM$1006:AM1006),$AM$1006:$BM$1006,0)))),"Fix")))</f>
        <v xml:space="preserve"> </v>
      </c>
      <c r="C993" s="4" t="str">
        <f ca="1">IF(OR(INDEX($AG$2:$AG$1001,MATCH(ROWS($AF$2:AF993),$AF$2:$AF$1001,0),1)&gt;=100000,INDEX($AM$1005:$BM$1005,1,MATCH(COLUMNS($AM$1006:AN1006),$AM$1006:$BM$1006,0))&gt;=100000), " ",IF(INDEX($AM$2:$BM$1001,MATCH(ROWS($AF$2:AF993),$AF$2:$AF$1001,0),MATCH(COLUMNS($AM$1006:AN1006),$AM$1006:$BM$1006,0)), HYPERLINK("#",""), HYPERLINK(CONCATENATE("#metadata!", ADDRESS(INDEX($AH$2:$AH$1001,MATCH(ROWS($AF$2:AF993),$AF$2:$AF$1001,0),0), INDEX($AM$1004:$BM$1004,1,MATCH(COLUMNS($AM$1006:AN1006),$AM$1006:$BM$1006,0)))),"Fix")))</f>
        <v xml:space="preserve"> </v>
      </c>
      <c r="D993" s="4" t="str">
        <f ca="1">IF(OR(INDEX($AG$2:$AG$1001,MATCH(ROWS($AF$2:AF993),$AF$2:$AF$1001,0),1)&gt;=100000,INDEX($AM$1005:$BM$1005,1,MATCH(COLUMNS($AM$1006:AO1006),$AM$1006:$BM$1006,0))&gt;=100000), " ",IF(INDEX($AM$2:$BM$1001,MATCH(ROWS($AF$2:AF993),$AF$2:$AF$1001,0),MATCH(COLUMNS($AM$1006:AO1006),$AM$1006:$BM$1006,0)), HYPERLINK("#",""), HYPERLINK(CONCATENATE("#metadata!", ADDRESS(INDEX($AH$2:$AH$1001,MATCH(ROWS($AF$2:AF993),$AF$2:$AF$1001,0),0), INDEX($AM$1004:$BM$1004,1,MATCH(COLUMNS($AM$1006:AO1006),$AM$1006:$BM$1006,0)))),"Fix")))</f>
        <v xml:space="preserve"> </v>
      </c>
      <c r="E993" s="4" t="str">
        <f ca="1">IF(OR(INDEX($AG$2:$AG$1001,MATCH(ROWS($AF$2:AF993),$AF$2:$AF$1001,0),1)&gt;=100000,INDEX($AM$1005:$BM$1005,1,MATCH(COLUMNS($AM$1006:AP1006),$AM$1006:$BM$1006,0))&gt;=100000), " ",IF(INDEX($AM$2:$BM$1001,MATCH(ROWS($AF$2:AF993),$AF$2:$AF$1001,0),MATCH(COLUMNS($AM$1006:AP1006),$AM$1006:$BM$1006,0)), HYPERLINK("#",""), HYPERLINK(CONCATENATE("#metadata!", ADDRESS(INDEX($AH$2:$AH$1001,MATCH(ROWS($AF$2:AF993),$AF$2:$AF$1001,0),0), INDEX($AM$1004:$BM$1004,1,MATCH(COLUMNS($AM$1006:AP1006),$AM$1006:$BM$1006,0)))),"Fix")))</f>
        <v xml:space="preserve"> </v>
      </c>
      <c r="F993" s="4" t="str">
        <f ca="1">IF(OR(INDEX($AG$2:$AG$1001,MATCH(ROWS($AF$2:AF993),$AF$2:$AF$1001,0),1)&gt;=100000,INDEX($AM$1005:$BM$1005,1,MATCH(COLUMNS($AM$1006:AQ1006),$AM$1006:$BM$1006,0))&gt;=100000), " ",IF(INDEX($AM$2:$BM$1001,MATCH(ROWS($AF$2:AF993),$AF$2:$AF$1001,0),MATCH(COLUMNS($AM$1006:AQ1006),$AM$1006:$BM$1006,0)), HYPERLINK("#",""), HYPERLINK(CONCATENATE("#metadata!", ADDRESS(INDEX($AH$2:$AH$1001,MATCH(ROWS($AF$2:AF993),$AF$2:$AF$1001,0),0), INDEX($AM$1004:$BM$1004,1,MATCH(COLUMNS($AM$1006:AQ1006),$AM$1006:$BM$1006,0)))),"Fix")))</f>
        <v xml:space="preserve"> </v>
      </c>
      <c r="G993" s="4" t="str">
        <f ca="1">IF(OR(INDEX($AG$2:$AG$1001,MATCH(ROWS($AF$2:AF993),$AF$2:$AF$1001,0),1)&gt;=100000,INDEX($AM$1005:$BM$1005,1,MATCH(COLUMNS($AM$1006:AR1006),$AM$1006:$BM$1006,0))&gt;=100000), " ",IF(INDEX($AM$2:$BM$1001,MATCH(ROWS($AF$2:AF993),$AF$2:$AF$1001,0),MATCH(COLUMNS($AM$1006:AR1006),$AM$1006:$BM$1006,0)), HYPERLINK("#",""), HYPERLINK(CONCATENATE("#metadata!", ADDRESS(INDEX($AH$2:$AH$1001,MATCH(ROWS($AF$2:AF993),$AF$2:$AF$1001,0),0), INDEX($AM$1004:$BM$1004,1,MATCH(COLUMNS($AM$1006:AR1006),$AM$1006:$BM$1006,0)))),"Fix")))</f>
        <v xml:space="preserve"> </v>
      </c>
      <c r="H993" s="4" t="str">
        <f ca="1">IF(OR(INDEX($AG$2:$AG$1001,MATCH(ROWS($AF$2:AF993),$AF$2:$AF$1001,0),1)&gt;=100000,INDEX($AM$1005:$BM$1005,1,MATCH(COLUMNS($AM$1006:AS1006),$AM$1006:$BM$1006,0))&gt;=100000), " ",IF(INDEX($AM$2:$BM$1001,MATCH(ROWS($AF$2:AF993),$AF$2:$AF$1001,0),MATCH(COLUMNS($AM$1006:AS1006),$AM$1006:$BM$1006,0)), HYPERLINK("#",""), HYPERLINK(CONCATENATE("#metadata!", ADDRESS(INDEX($AH$2:$AH$1001,MATCH(ROWS($AF$2:AF993),$AF$2:$AF$1001,0),0), INDEX($AM$1004:$BM$1004,1,MATCH(COLUMNS($AM$1006:AS1006),$AM$1006:$BM$1006,0)))),"Fix")))</f>
        <v xml:space="preserve"> </v>
      </c>
      <c r="I993" s="4" t="str">
        <f ca="1">IF(OR(INDEX($AG$2:$AG$1001,MATCH(ROWS($AF$2:AF993),$AF$2:$AF$1001,0),1)&gt;=100000,INDEX($AM$1005:$BM$1005,1,MATCH(COLUMNS($AM$1006:AT1006),$AM$1006:$BM$1006,0))&gt;=100000), " ",IF(INDEX($AM$2:$BM$1001,MATCH(ROWS($AF$2:AF993),$AF$2:$AF$1001,0),MATCH(COLUMNS($AM$1006:AT1006),$AM$1006:$BM$1006,0)), HYPERLINK("#",""), HYPERLINK(CONCATENATE("#metadata!", ADDRESS(INDEX($AH$2:$AH$1001,MATCH(ROWS($AF$2:AF993),$AF$2:$AF$1001,0),0), INDEX($AM$1004:$BM$1004,1,MATCH(COLUMNS($AM$1006:AT1006),$AM$1006:$BM$1006,0)))),"Fix")))</f>
        <v xml:space="preserve"> </v>
      </c>
      <c r="J993" s="4" t="str">
        <f ca="1">IF(OR(INDEX($AG$2:$AG$1001,MATCH(ROWS($AF$2:AF993),$AF$2:$AF$1001,0),1)&gt;=100000,INDEX($AM$1005:$BM$1005,1,MATCH(COLUMNS($AM$1006:AU1006),$AM$1006:$BM$1006,0))&gt;=100000), " ",IF(INDEX($AM$2:$BM$1001,MATCH(ROWS($AF$2:AF993),$AF$2:$AF$1001,0),MATCH(COLUMNS($AM$1006:AU1006),$AM$1006:$BM$1006,0)), HYPERLINK("#",""), HYPERLINK(CONCATENATE("#metadata!", ADDRESS(INDEX($AH$2:$AH$1001,MATCH(ROWS($AF$2:AF993),$AF$2:$AF$1001,0),0), INDEX($AM$1004:$BM$1004,1,MATCH(COLUMNS($AM$1006:AU1006),$AM$1006:$BM$1006,0)))),"Fix")))</f>
        <v xml:space="preserve"> </v>
      </c>
      <c r="K993" s="4" t="str">
        <f ca="1">IF(OR(INDEX($AG$2:$AG$1001,MATCH(ROWS($AF$2:AF993),$AF$2:$AF$1001,0),1)&gt;=100000,INDEX($AM$1005:$BM$1005,1,MATCH(COLUMNS($AM$1006:AV1006),$AM$1006:$BM$1006,0))&gt;=100000), " ",IF(INDEX($AM$2:$BM$1001,MATCH(ROWS($AF$2:AF993),$AF$2:$AF$1001,0),MATCH(COLUMNS($AM$1006:AV1006),$AM$1006:$BM$1006,0)), HYPERLINK("#",""), HYPERLINK(CONCATENATE("#metadata!", ADDRESS(INDEX($AH$2:$AH$1001,MATCH(ROWS($AF$2:AF993),$AF$2:$AF$1001,0),0), INDEX($AM$1004:$BM$1004,1,MATCH(COLUMNS($AM$1006:AV1006),$AM$1006:$BM$1006,0)))),"Fix")))</f>
        <v xml:space="preserve"> </v>
      </c>
      <c r="L993" s="4" t="str">
        <f ca="1">IF(OR(INDEX($AG$2:$AG$1001,MATCH(ROWS($AF$2:AF993),$AF$2:$AF$1001,0),1)&gt;=100000,INDEX($AM$1005:$BM$1005,1,MATCH(COLUMNS($AM$1006:AW1006),$AM$1006:$BM$1006,0))&gt;=100000), " ",IF(INDEX($AM$2:$BM$1001,MATCH(ROWS($AF$2:AF993),$AF$2:$AF$1001,0),MATCH(COLUMNS($AM$1006:AW1006),$AM$1006:$BM$1006,0)), HYPERLINK("#",""), HYPERLINK(CONCATENATE("#metadata!", ADDRESS(INDEX($AH$2:$AH$1001,MATCH(ROWS($AF$2:AF993),$AF$2:$AF$1001,0),0), INDEX($AM$1004:$BM$1004,1,MATCH(COLUMNS($AM$1006:AW1006),$AM$1006:$BM$1006,0)))),"Fix")))</f>
        <v xml:space="preserve"> </v>
      </c>
      <c r="M993" s="4" t="str">
        <f ca="1">IF(OR(INDEX($AG$2:$AG$1001,MATCH(ROWS($AF$2:AF993),$AF$2:$AF$1001,0),1)&gt;=100000,INDEX($AM$1005:$BM$1005,1,MATCH(COLUMNS($AM$1006:AX1006),$AM$1006:$BM$1006,0))&gt;=100000), " ",IF(INDEX($AM$2:$BM$1001,MATCH(ROWS($AF$2:AF993),$AF$2:$AF$1001,0),MATCH(COLUMNS($AM$1006:AX1006),$AM$1006:$BM$1006,0)), HYPERLINK("#",""), HYPERLINK(CONCATENATE("#metadata!", ADDRESS(INDEX($AH$2:$AH$1001,MATCH(ROWS($AF$2:AF993),$AF$2:$AF$1001,0),0), INDEX($AM$1004:$BM$1004,1,MATCH(COLUMNS($AM$1006:AX1006),$AM$1006:$BM$1006,0)))),"Fix")))</f>
        <v xml:space="preserve"> </v>
      </c>
      <c r="N993" s="4" t="str">
        <f ca="1">IF(OR(INDEX($AG$2:$AG$1001,MATCH(ROWS($AF$2:AF993),$AF$2:$AF$1001,0),1)&gt;=100000,INDEX($AM$1005:$BM$1005,1,MATCH(COLUMNS($AM$1006:AY1006),$AM$1006:$BM$1006,0))&gt;=100000), " ",IF(INDEX($AM$2:$BM$1001,MATCH(ROWS($AF$2:AF993),$AF$2:$AF$1001,0),MATCH(COLUMNS($AM$1006:AY1006),$AM$1006:$BM$1006,0)), HYPERLINK("#",""), HYPERLINK(CONCATENATE("#metadata!", ADDRESS(INDEX($AH$2:$AH$1001,MATCH(ROWS($AF$2:AF993),$AF$2:$AF$1001,0),0), INDEX($AM$1004:$BM$1004,1,MATCH(COLUMNS($AM$1006:AY1006),$AM$1006:$BM$1006,0)))),"Fix")))</f>
        <v xml:space="preserve"> </v>
      </c>
      <c r="O993" s="4" t="str">
        <f ca="1">IF(OR(INDEX($AG$2:$AG$1001,MATCH(ROWS($AF$2:AF993),$AF$2:$AF$1001,0),1)&gt;=100000,INDEX($AM$1005:$BM$1005,1,MATCH(COLUMNS($AM$1006:AZ1006),$AM$1006:$BM$1006,0))&gt;=100000), " ",IF(INDEX($AM$2:$BM$1001,MATCH(ROWS($AF$2:AF993),$AF$2:$AF$1001,0),MATCH(COLUMNS($AM$1006:AZ1006),$AM$1006:$BM$1006,0)), HYPERLINK("#",""), HYPERLINK(CONCATENATE("#metadata!", ADDRESS(INDEX($AH$2:$AH$1001,MATCH(ROWS($AF$2:AF993),$AF$2:$AF$1001,0),0), INDEX($AM$1004:$BM$1004,1,MATCH(COLUMNS($AM$1006:AZ1006),$AM$1006:$BM$1006,0)))),"Fix")))</f>
        <v xml:space="preserve"> </v>
      </c>
      <c r="P993" s="4" t="str">
        <f ca="1">IF(OR(INDEX($AG$2:$AG$1001,MATCH(ROWS($AF$2:AF993),$AF$2:$AF$1001,0),1)&gt;=100000,INDEX($AM$1005:$BM$1005,1,MATCH(COLUMNS($AM$1006:BA1006),$AM$1006:$BM$1006,0))&gt;=100000), " ",IF(INDEX($AM$2:$BM$1001,MATCH(ROWS($AF$2:AF993),$AF$2:$AF$1001,0),MATCH(COLUMNS($AM$1006:BA1006),$AM$1006:$BM$1006,0)), HYPERLINK("#",""), HYPERLINK(CONCATENATE("#metadata!", ADDRESS(INDEX($AH$2:$AH$1001,MATCH(ROWS($AF$2:AF993),$AF$2:$AF$1001,0),0), INDEX($AM$1004:$BM$1004,1,MATCH(COLUMNS($AM$1006:BA1006),$AM$1006:$BM$1006,0)))),"Fix")))</f>
        <v xml:space="preserve"> </v>
      </c>
      <c r="Q993" s="4" t="str">
        <f ca="1">IF(OR(INDEX($AG$2:$AG$1001,MATCH(ROWS($AF$2:AF993),$AF$2:$AF$1001,0),1)&gt;=100000,INDEX($AM$1005:$BM$1005,1,MATCH(COLUMNS($AM$1006:BB1006),$AM$1006:$BM$1006,0))&gt;=100000), " ",IF(INDEX($AM$2:$BM$1001,MATCH(ROWS($AF$2:AF993),$AF$2:$AF$1001,0),MATCH(COLUMNS($AM$1006:BB1006),$AM$1006:$BM$1006,0)), HYPERLINK("#",""), HYPERLINK(CONCATENATE("#metadata!", ADDRESS(INDEX($AH$2:$AH$1001,MATCH(ROWS($AF$2:AF993),$AF$2:$AF$1001,0),0), INDEX($AM$1004:$BM$1004,1,MATCH(COLUMNS($AM$1006:BB1006),$AM$1006:$BM$1006,0)))),"Fix")))</f>
        <v xml:space="preserve"> </v>
      </c>
      <c r="R993" s="4" t="str">
        <f ca="1">IF(OR(INDEX($AG$2:$AG$1001,MATCH(ROWS($AF$2:AF993),$AF$2:$AF$1001,0),1)&gt;=100000,INDEX($AM$1005:$BM$1005,1,MATCH(COLUMNS($AM$1006:BC1006),$AM$1006:$BM$1006,0))&gt;=100000), " ",IF(INDEX($AM$2:$BM$1001,MATCH(ROWS($AF$2:AF993),$AF$2:$AF$1001,0),MATCH(COLUMNS($AM$1006:BC1006),$AM$1006:$BM$1006,0)), HYPERLINK("#",""), HYPERLINK(CONCATENATE("#metadata!", ADDRESS(INDEX($AH$2:$AH$1001,MATCH(ROWS($AF$2:AF993),$AF$2:$AF$1001,0),0), INDEX($AM$1004:$BM$1004,1,MATCH(COLUMNS($AM$1006:BC1006),$AM$1006:$BM$1006,0)))),"Fix")))</f>
        <v xml:space="preserve"> </v>
      </c>
      <c r="S993" s="4" t="str">
        <f ca="1">IF(OR(INDEX($AG$2:$AG$1001,MATCH(ROWS($AF$2:AF993),$AF$2:$AF$1001,0),1)&gt;=100000,INDEX($AM$1005:$BM$1005,1,MATCH(COLUMNS($AM$1006:BD1006),$AM$1006:$BM$1006,0))&gt;=100000), " ",IF(INDEX($AM$2:$BM$1001,MATCH(ROWS($AF$2:AF993),$AF$2:$AF$1001,0),MATCH(COLUMNS($AM$1006:BD1006),$AM$1006:$BM$1006,0)), HYPERLINK("#",""), HYPERLINK(CONCATENATE("#metadata!", ADDRESS(INDEX($AH$2:$AH$1001,MATCH(ROWS($AF$2:AF993),$AF$2:$AF$1001,0),0), INDEX($AM$1004:$BM$1004,1,MATCH(COLUMNS($AM$1006:BD1006),$AM$1006:$BM$1006,0)))),"Fix")))</f>
        <v xml:space="preserve"> </v>
      </c>
      <c r="T993" s="4" t="str">
        <f ca="1">IF(OR(INDEX($AG$2:$AG$1001,MATCH(ROWS($AF$2:AF993),$AF$2:$AF$1001,0),1)&gt;=100000,INDEX($AM$1005:$BM$1005,1,MATCH(COLUMNS($AM$1006:BE1006),$AM$1006:$BM$1006,0))&gt;=100000), " ",IF(INDEX($AM$2:$BM$1001,MATCH(ROWS($AF$2:AF993),$AF$2:$AF$1001,0),MATCH(COLUMNS($AM$1006:BE1006),$AM$1006:$BM$1006,0)), HYPERLINK("#",""), HYPERLINK(CONCATENATE("#metadata!", ADDRESS(INDEX($AH$2:$AH$1001,MATCH(ROWS($AF$2:AF993),$AF$2:$AF$1001,0),0), INDEX($AM$1004:$BM$1004,1,MATCH(COLUMNS($AM$1006:BE1006),$AM$1006:$BM$1006,0)))),"Fix")))</f>
        <v xml:space="preserve"> </v>
      </c>
      <c r="U993" s="4" t="str">
        <f ca="1">IF(OR(INDEX($AG$2:$AG$1001,MATCH(ROWS($AF$2:AF993),$AF$2:$AF$1001,0),1)&gt;=100000,INDEX($AM$1005:$BM$1005,1,MATCH(COLUMNS($AM$1006:BF1006),$AM$1006:$BM$1006,0))&gt;=100000), " ",IF(INDEX($AM$2:$BM$1001,MATCH(ROWS($AF$2:AF993),$AF$2:$AF$1001,0),MATCH(COLUMNS($AM$1006:BF1006),$AM$1006:$BM$1006,0)), HYPERLINK("#",""), HYPERLINK(CONCATENATE("#metadata!", ADDRESS(INDEX($AH$2:$AH$1001,MATCH(ROWS($AF$2:AF993),$AF$2:$AF$1001,0),0), INDEX($AM$1004:$BM$1004,1,MATCH(COLUMNS($AM$1006:BF1006),$AM$1006:$BM$1006,0)))),"Fix")))</f>
        <v xml:space="preserve"> </v>
      </c>
      <c r="V993" s="4" t="str">
        <f ca="1">IF(OR(INDEX($AG$2:$AG$1001,MATCH(ROWS($AF$2:AF993),$AF$2:$AF$1001,0),1)&gt;=100000,INDEX($AM$1005:$BM$1005,1,MATCH(COLUMNS($AM$1006:BG1006),$AM$1006:$BM$1006,0))&gt;=100000), " ",IF(INDEX($AM$2:$BM$1001,MATCH(ROWS($AF$2:AF993),$AF$2:$AF$1001,0),MATCH(COLUMNS($AM$1006:BG1006),$AM$1006:$BM$1006,0)), HYPERLINK("#",""), HYPERLINK(CONCATENATE("#metadata!", ADDRESS(INDEX($AH$2:$AH$1001,MATCH(ROWS($AF$2:AF993),$AF$2:$AF$1001,0),0), INDEX($AM$1004:$BM$1004,1,MATCH(COLUMNS($AM$1006:BG1006),$AM$1006:$BM$1006,0)))),"Fix")))</f>
        <v xml:space="preserve"> </v>
      </c>
      <c r="W993" s="4" t="str">
        <f ca="1">IF(OR(INDEX($AG$2:$AG$1001,MATCH(ROWS($AF$2:AF993),$AF$2:$AF$1001,0),1)&gt;=100000,INDEX($AM$1005:$BM$1005,1,MATCH(COLUMNS($AM$1006:BH1006),$AM$1006:$BM$1006,0))&gt;=100000), " ",IF(INDEX($AM$2:$BM$1001,MATCH(ROWS($AF$2:AF993),$AF$2:$AF$1001,0),MATCH(COLUMNS($AM$1006:BH1006),$AM$1006:$BM$1006,0)), HYPERLINK("#",""), HYPERLINK(CONCATENATE("#metadata!", ADDRESS(INDEX($AH$2:$AH$1001,MATCH(ROWS($AF$2:AF993),$AF$2:$AF$1001,0),0), INDEX($AM$1004:$BM$1004,1,MATCH(COLUMNS($AM$1006:BH1006),$AM$1006:$BM$1006,0)))),"Fix")))</f>
        <v xml:space="preserve"> </v>
      </c>
      <c r="X993" s="4" t="str">
        <f ca="1">IF(OR(INDEX($AG$2:$AG$1001,MATCH(ROWS($AF$2:AF993),$AF$2:$AF$1001,0),1)&gt;=100000,INDEX($AM$1005:$BM$1005,1,MATCH(COLUMNS($AM$1006:BI1006),$AM$1006:$BM$1006,0))&gt;=100000), " ",IF(INDEX($AM$2:$BM$1001,MATCH(ROWS($AF$2:AF993),$AF$2:$AF$1001,0),MATCH(COLUMNS($AM$1006:BI1006),$AM$1006:$BM$1006,0)), HYPERLINK("#",""), HYPERLINK(CONCATENATE("#metadata!", ADDRESS(INDEX($AH$2:$AH$1001,MATCH(ROWS($AF$2:AF993),$AF$2:$AF$1001,0),0), INDEX($AM$1004:$BM$1004,1,MATCH(COLUMNS($AM$1006:BI1006),$AM$1006:$BM$1006,0)))),"Fix")))</f>
        <v xml:space="preserve"> </v>
      </c>
      <c r="Y993" s="4" t="str">
        <f ca="1">IF(OR(INDEX($AG$2:$AG$1001,MATCH(ROWS($AF$2:AF993),$AF$2:$AF$1001,0),1)&gt;=100000,INDEX($AM$1005:$BM$1005,1,MATCH(COLUMNS($AM$1006:BJ1006),$AM$1006:$BM$1006,0))&gt;=100000), " ",IF(INDEX($AM$2:$BM$1001,MATCH(ROWS($AF$2:AF993),$AF$2:$AF$1001,0),MATCH(COLUMNS($AM$1006:BJ1006),$AM$1006:$BM$1006,0)), HYPERLINK("#",""), HYPERLINK(CONCATENATE("#metadata!", ADDRESS(INDEX($AH$2:$AH$1001,MATCH(ROWS($AF$2:AF993),$AF$2:$AF$1001,0),0), INDEX($AM$1004:$BM$1004,1,MATCH(COLUMNS($AM$1006:BJ1006),$AM$1006:$BM$1006,0)))),"Fix")))</f>
        <v xml:space="preserve"> </v>
      </c>
      <c r="Z993" s="4" t="str">
        <f ca="1">IF(OR(INDEX($AG$2:$AG$1001,MATCH(ROWS($AF$2:AF993),$AF$2:$AF$1001,0),1)&gt;=100000,INDEX($AM$1005:$BM$1005,1,MATCH(COLUMNS($AM$1006:BK1006),$AM$1006:$BM$1006,0))&gt;=100000), " ",IF(INDEX($AM$2:$BM$1001,MATCH(ROWS($AF$2:AF993),$AF$2:$AF$1001,0),MATCH(COLUMNS($AM$1006:BK1006),$AM$1006:$BM$1006,0)), HYPERLINK("#",""), HYPERLINK(CONCATENATE("#metadata!", ADDRESS(INDEX($AH$2:$AH$1001,MATCH(ROWS($AF$2:AF993),$AF$2:$AF$1001,0),0), INDEX($AM$1004:$BM$1004,1,MATCH(COLUMNS($AM$1006:BK1006),$AM$1006:$BM$1006,0)))),"Fix")))</f>
        <v xml:space="preserve"> </v>
      </c>
      <c r="AA993" s="4" t="str">
        <f ca="1">IF(OR(INDEX($AG$2:$AG$1001,MATCH(ROWS($AF$2:AF993),$AF$2:$AF$1001,0),1)&gt;=100000,INDEX($AM$1005:$BM$1005,1,MATCH(COLUMNS($AM$1006:BL1006),$AM$1006:$BM$1006,0))&gt;=100000), " ",IF(INDEX($AM$2:$BM$1001,MATCH(ROWS($AF$2:AF993),$AF$2:$AF$1001,0),MATCH(COLUMNS($AM$1006:BL1006),$AM$1006:$BM$1006,0)), HYPERLINK("#",""), HYPERLINK(CONCATENATE("#metadata!", ADDRESS(INDEX($AH$2:$AH$1001,MATCH(ROWS($AF$2:AF993),$AF$2:$AF$1001,0),0), INDEX($AM$1004:$BM$1004,1,MATCH(COLUMNS($AM$1006:BL1006),$AM$1006:$BM$1006,0)))),"Fix")))</f>
        <v xml:space="preserve"> </v>
      </c>
      <c r="AB993" s="4" t="str">
        <f ca="1">IF(OR(INDEX($AG$2:$AG$1001,MATCH(ROWS($AF$2:AF993),$AF$2:$AF$1001,0),1)&gt;=100000,INDEX($AM$1005:$BM$1005,1,MATCH(COLUMNS($AM$1006:BM1006),$AM$1006:$BM$1006,0))&gt;=100000), " ",IF(INDEX($AM$2:$BM$1001,MATCH(ROWS($AF$2:AF993),$AF$2:$AF$1001,0),MATCH(COLUMNS($AM$1006:BM1006),$AM$1006:$BM$1006,0)), HYPERLINK("#",""), HYPERLINK(CONCATENATE("#metadata!", ADDRESS(INDEX($AH$2:$AH$1001,MATCH(ROWS($AF$2:AF993),$AF$2:$AF$1001,0),0), INDEX($AM$1004:$BM$1004,1,MATCH(COLUMNS($AM$1006:BM1006),$AM$1006:$BM$1006,0)))),"Fix")))</f>
        <v xml:space="preserve"> </v>
      </c>
      <c r="AF993">
        <v>992</v>
      </c>
      <c r="AG993">
        <v>100993</v>
      </c>
      <c r="AH993">
        <v>993</v>
      </c>
      <c r="AI993" t="b">
        <f t="shared" si="15"/>
        <v>1</v>
      </c>
      <c r="AJ993" t="b">
        <f>COUNTBLANK(metadata!B993:AB993)=COLUMNS(metadata!B993:AB993)</f>
        <v>1</v>
      </c>
      <c r="AK993" t="str">
        <v/>
      </c>
      <c r="AM993" t="b">
        <f ca="1">AND(IF(metadata!B993="",FALSE,TRUE),COUNTIF(metadata!B:B, metadata!B993) = 1,NOT(ISERROR(SUMPRODUCT(SEARCH(MID(metadata!B993,ROW(INDIRECT("1:"&amp;LEN(metadata!B993))), 1),"0123456789abcdefghijklmnopqrstuvwxyzABCDEFGHIJKLMNOPQRSTUVWXYZ.")))))</f>
        <v>0</v>
      </c>
      <c r="AN993" t="b">
        <f ca="1">OR(AND(IF(metadata!C993="",FALSE,TRUE),OR(EXACT(metadata!C993,"missing: not collected"),EXACT(metadata!C993,"missing: not provided"),EXACT(metadata!C993,"missing: restricted access"))),AND(IF(metadata!C993="",FALSE,TRUE),AND(AND(IFERROR(INT(LEFT(metadata!C993,4))&gt;1900,FALSE),IFERROR(INT(LEFT(metadata!C993,4))&lt;=YEAR(NOW()),FALSE)), OR(MID(metadata!C993,5,1)="", AND(AND(MID(metadata!C993,5,1)="-",IFERROR(INT(MID(metadata!C993,6,1))&gt;=0,FALSE),IFERROR(INT(MID(metadata!C993,6,1))&lt;=1,FALSE),NOT(MID(metadata!C993,7,1)=""),IFERROR(INT(MID(metadata!C993,6,2))&gt;=1,FALSE),IFERROR(INT(MID(metadata!C993,6,2))&lt;=12,FALSE)), OR(MID(metadata!C993,8,1)="", AND(AND(MID(metadata!C993,8,1)="-",IFERROR(INT(MID(metadata!C993,9,1))&gt;=0,FALSE),IFERROR(INT(MID(metadata!C993,9,1))&lt;=3,FALSE),NOT(MID(metadata!C993,10,1)=""),IFERROR(INT(MID(metadata!C993,9,2))&gt;=1,FALSE),IFERROR(INT(MID(metadata!C993,9,2))&lt;=31,FALSE)), OR(MID(metadata!C993,11,1)="", AND(AND(MID(metadata!C993,11,1)=" ",IFERROR(INT(MID(metadata!C993,12,1))&gt;=0,FALSE),IFERROR(INT(MID(metadata!C993,12,1))&lt;=2,FALSE),NOT(MID(metadata!C993,13,1)=""),IFERROR(INT(MID(metadata!C993,12,2))&gt;=0,FALSE),IFERROR(INT(MID(metadata!C993,12,2))&lt;=23,FALSE)), OR(MID(metadata!C993,14,1)="", AND(AND(MID(metadata!C993,14,1)=":",IFERROR(INT(MID(metadata!C993,15,1))&gt;=0,FALSE),IFERROR(INT(MID(metadata!C993,15,1))&lt;=5,FALSE),NOT(MID(metadata!C993,16,1)=""),IFERROR(INT(MID(metadata!C993,15,2))&gt;=0,FALSE),IFERROR(INT(MID(metadata!C993,15,2))&lt;=59,FALSE)), OR(MID(metadata!C993,17,1)="", AND(AND(MID(metadata!C993,17,1)=":",IFERROR(INT(MID(metadata!C993,18,1))&gt;=0,FALSE),IFERROR(INT(MID(metadata!C993,18,1))&lt;=5,FALSE),NOT(MID(metadata!C993,19,1)=""),IFERROR(INT(MID(metadata!C993,18,2))&gt;=0,FALSE),IFERROR(INT(MID(metadata!C993,18,2))&lt;=59,FALSE)), LEN(metadata!C993)&lt;=19)))))))))))))</f>
        <v>0</v>
      </c>
      <c r="AO993" t="b">
        <f>AND(IF(metadata!D993="",FALSE,TRUE),EXACT(metadata!D993,"Not applicable"))</f>
        <v>0</v>
      </c>
      <c r="AP993" t="b">
        <f>IF(metadata!E993="",FALSE,TRUE)</f>
        <v>0</v>
      </c>
      <c r="AQ993" t="b">
        <f>OR(AND(IF(metadata!F993="",FALSE,TRUE),OR(EXACT(metadata!F993,"missing: not collected"),EXACT(metadata!F993,"missing: not provided"))),AND(IF(metadata!F993="",FALSE,TRUE),OR(EXACT(metadata!F993,"TRUE"),EXACT(metadata!F993,"FALSE"))))</f>
        <v>0</v>
      </c>
      <c r="AR993" t="b">
        <f>OR(AND(IF(metadata!G993="",FALSE,TRUE),OR(EXACT(metadata!G993,"missing: not collected"),EXACT(metadata!G993,"missing: not provided"),EXACT(metadata!G993,"missing: restricted access"))),AND(IF(metadata!G993="",FALSE,ISNUMBER(VALUE(metadata!G993))),metadata!G993&gt;=-413))</f>
        <v>0</v>
      </c>
      <c r="AS993" t="b">
        <f>AND(IF(metadata!H993="",FALSE,TRUE),EXACT(metadata!H993,"meters"))</f>
        <v>0</v>
      </c>
      <c r="AT993" t="b">
        <f>AND(IF(metadata!I993="",FALSE,TRUE),OR(EXACT(metadata!I993,"Host-associated"),EXACT(metadata!I993,"Free-living")))</f>
        <v>0</v>
      </c>
      <c r="AU993" t="b">
        <f>AND(IF(metadata!J993="",FALSE,TRUE),OR(EXACT(metadata!J993,"Animal"),EXACT(metadata!J993,"Fungus"),EXACT(metadata!J993,"Plant"),EXACT(metadata!J993,"Saline"),EXACT(metadata!J993,"Non-saline")))</f>
        <v>0</v>
      </c>
      <c r="AV993" t="b">
        <f>AND(IF(metadata!K993="",FALSE,TRUE),OR(EXACT(metadata!K993,"Plant secretion"),EXACT(metadata!K993,"Plant rhizosphere"),EXACT(metadata!K993,"Plant surface"),EXACT(metadata!K993,"Plant corpus"),EXACT(metadata!K993,"Fungus surface"),EXACT(metadata!K993,"Fungus corpus"),EXACT(metadata!K993,"Animal surface"),EXACT(metadata!K993,"Animal proximal gut"),EXACT(metadata!K993,"Animal corpus"),EXACT(metadata!K993,"Animal distal gut"),EXACT(metadata!K993,"Animal secretion"),EXACT(metadata!K993,"Sub-surface (non-saline)"),EXACT(metadata!K993,"Surface (non-saline)"),EXACT(metadata!K993,"Water (non-saline)"),EXACT(metadata!K993,"Soil (non-saline)"),EXACT(metadata!K993,"Aerosol (non-saline)"),EXACT(metadata!K993,"Sediment (non-saline)"),EXACT(metadata!K993,"Surface (saline)"),EXACT(metadata!K993,"Water (saline)"),EXACT(metadata!K993,"Hypersaline (saline)"),EXACT(metadata!K993,"Aerosol (saline)"),EXACT(metadata!K993,"Sediment (saline)")))</f>
        <v>0</v>
      </c>
      <c r="AW993" t="b">
        <f>IF(metadata!L993="",FALSE,TRUE)</f>
        <v>0</v>
      </c>
      <c r="AX993" t="b">
        <f>IF(metadata!M993="",FALSE,TRUE)</f>
        <v>0</v>
      </c>
      <c r="AY993" t="b">
        <f>IF(metadata!N993="",FALSE,TRUE)</f>
        <v>0</v>
      </c>
      <c r="AZ993" t="b">
        <f>OR(AND(IF(metadata!O993="",FALSE,TRUE),OR(EXACT(metadata!O993,"missing: not collected"),EXACT(metadata!O993,"missing: not provided"),EXACT(metadata!O993,"missing: restricted access"))),AND(IF(metadata!O993="",FALSE,TRUE),OR(EXACT(metadata!O993,"air"),EXACT(metadata!O993,"built environment"),EXACT(metadata!O993,"host-associated"),EXACT(metadata!O993,"human-associated"),EXACT(metadata!O993,"human-skin"),EXACT(metadata!O993,"human-oral"),EXACT(metadata!O993,"human-gut"),EXACT(metadata!O993,"human-vaginal"),EXACT(metadata!O993,"microbial mat/biofilm"),EXACT(metadata!O993,"misc environment"),EXACT(metadata!O993,"plant-associated"),EXACT(metadata!O993,"sediment"),EXACT(metadata!O993,"soil"),EXACT(metadata!O993,"wastewater/sludge"),EXACT(metadata!O993,"water"))))</f>
        <v>0</v>
      </c>
      <c r="BA993" t="b">
        <f>IF(metadata!P993="",FALSE,TRUE)</f>
        <v>0</v>
      </c>
      <c r="BB993" t="b">
        <f>IF(metadata!Q993="",FALSE,TRUE)</f>
        <v>0</v>
      </c>
      <c r="BC993" t="b">
        <f>OR(AND(IF(metadata!R993="",FALSE,TRUE),OR(EXACT(metadata!R993,"missing: not collected"),EXACT(metadata!R993,"missing: not provided"),EXACT(metadata!R993,"missing: restricted access"))),AND(IF(metadata!R993="",FALSE,ISNUMBER(VALUE(metadata!R993))),metadata!R993&gt;=-90,metadata!R993&lt;=90))</f>
        <v>0</v>
      </c>
      <c r="BD993" t="b">
        <f>AND(IF(metadata!S993="",FALSE,TRUE),EXACT(metadata!S993,"Decimal degrees"))</f>
        <v>0</v>
      </c>
      <c r="BE993" t="b">
        <f>OR(AND(IF(metadata!T993="",FALSE,TRUE),OR(EXACT(metadata!T993,"missing: not collected"),EXACT(metadata!T993,"missing: not provided"),EXACT(metadata!T993,"missing: restricted access"))),AND(IF(metadata!T993="",FALSE,ISNUMBER(VALUE(metadata!T993))),metadata!T993&gt;=-180,metadata!T993&lt;=180))</f>
        <v>0</v>
      </c>
      <c r="BF993" t="b">
        <f>AND(IF(metadata!U993="",FALSE,TRUE),EXACT(metadata!U993,"Decimal degrees"))</f>
        <v>0</v>
      </c>
      <c r="BG993" t="b">
        <f>IF(metadata!V993="",FALSE,TRUE)</f>
        <v>0</v>
      </c>
      <c r="BH993" t="b">
        <f>OR(AND(IF(metadata!W993="",FALSE,TRUE),OR(EXACT(metadata!W993,"missing: not collected"),EXACT(metadata!W993,"missing: not provided"),EXACT(metadata!W993,"missing: restricted access"))),AND(IF(metadata!W993="",FALSE,TRUE),OR(EXACT(metadata!W993,"TRUE"),EXACT(metadata!W993,"FALSE"))))</f>
        <v>0</v>
      </c>
      <c r="BI993" t="b">
        <f>AND(IF(metadata!X993="",FALSE,TRUE),EXACT(metadata!X993,"other"))</f>
        <v>0</v>
      </c>
      <c r="BJ993" t="b">
        <f>IF(metadata!Y993="",FALSE,TRUE)</f>
        <v>0</v>
      </c>
      <c r="BK993" t="b">
        <f>OR(AND(IF(metadata!Z993="",FALSE,TRUE),OR(EXACT(metadata!Z993,"missing: not collected"),EXACT(metadata!Z993,"missing: not provided"))),AND(IF(metadata!Z993="",FALSE,IF(ISERROR(INT(metadata!Z993)),FALSE,INT(metadata!Z993)=metadata!Z993)),metadata!Z993&gt;0))</f>
        <v>0</v>
      </c>
      <c r="BL993" t="b">
        <f>AND(IF(metadata!AA993="",FALSE,TRUE),EXACT(metadata!AA993,"Not applicable"))</f>
        <v>0</v>
      </c>
      <c r="BM993" t="b">
        <f>IF(metadata!AB993="",FALSE,TRUE)</f>
        <v>0</v>
      </c>
    </row>
    <row r="994" spans="1:65" x14ac:dyDescent="0.2">
      <c r="A994" s="5" t="str">
        <f ca="1">IF(B994=" "," ",HYPERLINK(CONCATENATE("#metadata!",ADDRESS(INDEX($AH$2:$AH$1001,MATCH(ROWS($AF$2:AF994),$AF$2:$AF$1001,0),0),1)),INDEX($AK$2:$AK$1001,MATCH(ROWS($AF$2:AF994),$AF$2:$AF$1001,0),0)))</f>
        <v xml:space="preserve"> </v>
      </c>
      <c r="B994" s="4" t="str">
        <f ca="1">IF(OR(INDEX($AG$2:$AG$1001,MATCH(ROWS($AF$2:AF994),$AF$2:$AF$1001,0),1)&gt;=100000,INDEX($AM$1005:$BM$1005,1,MATCH(COLUMNS($AM$1006:AM1006),$AM$1006:$BM$1006,0))&gt;=100000), " ",IF(INDEX($AM$2:$BM$1001,MATCH(ROWS($AF$2:AF994),$AF$2:$AF$1001,0),MATCH(COLUMNS($AM$1006:AM1006),$AM$1006:$BM$1006,0)), HYPERLINK("#",""), HYPERLINK(CONCATENATE("#metadata!", ADDRESS(INDEX($AH$2:$AH$1001,MATCH(ROWS($AF$2:AF994),$AF$2:$AF$1001,0),0), INDEX($AM$1004:$BM$1004,1,MATCH(COLUMNS($AM$1006:AM1006),$AM$1006:$BM$1006,0)))),"Fix")))</f>
        <v xml:space="preserve"> </v>
      </c>
      <c r="C994" s="4" t="str">
        <f ca="1">IF(OR(INDEX($AG$2:$AG$1001,MATCH(ROWS($AF$2:AF994),$AF$2:$AF$1001,0),1)&gt;=100000,INDEX($AM$1005:$BM$1005,1,MATCH(COLUMNS($AM$1006:AN1006),$AM$1006:$BM$1006,0))&gt;=100000), " ",IF(INDEX($AM$2:$BM$1001,MATCH(ROWS($AF$2:AF994),$AF$2:$AF$1001,0),MATCH(COLUMNS($AM$1006:AN1006),$AM$1006:$BM$1006,0)), HYPERLINK("#",""), HYPERLINK(CONCATENATE("#metadata!", ADDRESS(INDEX($AH$2:$AH$1001,MATCH(ROWS($AF$2:AF994),$AF$2:$AF$1001,0),0), INDEX($AM$1004:$BM$1004,1,MATCH(COLUMNS($AM$1006:AN1006),$AM$1006:$BM$1006,0)))),"Fix")))</f>
        <v xml:space="preserve"> </v>
      </c>
      <c r="D994" s="4" t="str">
        <f ca="1">IF(OR(INDEX($AG$2:$AG$1001,MATCH(ROWS($AF$2:AF994),$AF$2:$AF$1001,0),1)&gt;=100000,INDEX($AM$1005:$BM$1005,1,MATCH(COLUMNS($AM$1006:AO1006),$AM$1006:$BM$1006,0))&gt;=100000), " ",IF(INDEX($AM$2:$BM$1001,MATCH(ROWS($AF$2:AF994),$AF$2:$AF$1001,0),MATCH(COLUMNS($AM$1006:AO1006),$AM$1006:$BM$1006,0)), HYPERLINK("#",""), HYPERLINK(CONCATENATE("#metadata!", ADDRESS(INDEX($AH$2:$AH$1001,MATCH(ROWS($AF$2:AF994),$AF$2:$AF$1001,0),0), INDEX($AM$1004:$BM$1004,1,MATCH(COLUMNS($AM$1006:AO1006),$AM$1006:$BM$1006,0)))),"Fix")))</f>
        <v xml:space="preserve"> </v>
      </c>
      <c r="E994" s="4" t="str">
        <f ca="1">IF(OR(INDEX($AG$2:$AG$1001,MATCH(ROWS($AF$2:AF994),$AF$2:$AF$1001,0),1)&gt;=100000,INDEX($AM$1005:$BM$1005,1,MATCH(COLUMNS($AM$1006:AP1006),$AM$1006:$BM$1006,0))&gt;=100000), " ",IF(INDEX($AM$2:$BM$1001,MATCH(ROWS($AF$2:AF994),$AF$2:$AF$1001,0),MATCH(COLUMNS($AM$1006:AP1006),$AM$1006:$BM$1006,0)), HYPERLINK("#",""), HYPERLINK(CONCATENATE("#metadata!", ADDRESS(INDEX($AH$2:$AH$1001,MATCH(ROWS($AF$2:AF994),$AF$2:$AF$1001,0),0), INDEX($AM$1004:$BM$1004,1,MATCH(COLUMNS($AM$1006:AP1006),$AM$1006:$BM$1006,0)))),"Fix")))</f>
        <v xml:space="preserve"> </v>
      </c>
      <c r="F994" s="4" t="str">
        <f ca="1">IF(OR(INDEX($AG$2:$AG$1001,MATCH(ROWS($AF$2:AF994),$AF$2:$AF$1001,0),1)&gt;=100000,INDEX($AM$1005:$BM$1005,1,MATCH(COLUMNS($AM$1006:AQ1006),$AM$1006:$BM$1006,0))&gt;=100000), " ",IF(INDEX($AM$2:$BM$1001,MATCH(ROWS($AF$2:AF994),$AF$2:$AF$1001,0),MATCH(COLUMNS($AM$1006:AQ1006),$AM$1006:$BM$1006,0)), HYPERLINK("#",""), HYPERLINK(CONCATENATE("#metadata!", ADDRESS(INDEX($AH$2:$AH$1001,MATCH(ROWS($AF$2:AF994),$AF$2:$AF$1001,0),0), INDEX($AM$1004:$BM$1004,1,MATCH(COLUMNS($AM$1006:AQ1006),$AM$1006:$BM$1006,0)))),"Fix")))</f>
        <v xml:space="preserve"> </v>
      </c>
      <c r="G994" s="4" t="str">
        <f ca="1">IF(OR(INDEX($AG$2:$AG$1001,MATCH(ROWS($AF$2:AF994),$AF$2:$AF$1001,0),1)&gt;=100000,INDEX($AM$1005:$BM$1005,1,MATCH(COLUMNS($AM$1006:AR1006),$AM$1006:$BM$1006,0))&gt;=100000), " ",IF(INDEX($AM$2:$BM$1001,MATCH(ROWS($AF$2:AF994),$AF$2:$AF$1001,0),MATCH(COLUMNS($AM$1006:AR1006),$AM$1006:$BM$1006,0)), HYPERLINK("#",""), HYPERLINK(CONCATENATE("#metadata!", ADDRESS(INDEX($AH$2:$AH$1001,MATCH(ROWS($AF$2:AF994),$AF$2:$AF$1001,0),0), INDEX($AM$1004:$BM$1004,1,MATCH(COLUMNS($AM$1006:AR1006),$AM$1006:$BM$1006,0)))),"Fix")))</f>
        <v xml:space="preserve"> </v>
      </c>
      <c r="H994" s="4" t="str">
        <f ca="1">IF(OR(INDEX($AG$2:$AG$1001,MATCH(ROWS($AF$2:AF994),$AF$2:$AF$1001,0),1)&gt;=100000,INDEX($AM$1005:$BM$1005,1,MATCH(COLUMNS($AM$1006:AS1006),$AM$1006:$BM$1006,0))&gt;=100000), " ",IF(INDEX($AM$2:$BM$1001,MATCH(ROWS($AF$2:AF994),$AF$2:$AF$1001,0),MATCH(COLUMNS($AM$1006:AS1006),$AM$1006:$BM$1006,0)), HYPERLINK("#",""), HYPERLINK(CONCATENATE("#metadata!", ADDRESS(INDEX($AH$2:$AH$1001,MATCH(ROWS($AF$2:AF994),$AF$2:$AF$1001,0),0), INDEX($AM$1004:$BM$1004,1,MATCH(COLUMNS($AM$1006:AS1006),$AM$1006:$BM$1006,0)))),"Fix")))</f>
        <v xml:space="preserve"> </v>
      </c>
      <c r="I994" s="4" t="str">
        <f ca="1">IF(OR(INDEX($AG$2:$AG$1001,MATCH(ROWS($AF$2:AF994),$AF$2:$AF$1001,0),1)&gt;=100000,INDEX($AM$1005:$BM$1005,1,MATCH(COLUMNS($AM$1006:AT1006),$AM$1006:$BM$1006,0))&gt;=100000), " ",IF(INDEX($AM$2:$BM$1001,MATCH(ROWS($AF$2:AF994),$AF$2:$AF$1001,0),MATCH(COLUMNS($AM$1006:AT1006),$AM$1006:$BM$1006,0)), HYPERLINK("#",""), HYPERLINK(CONCATENATE("#metadata!", ADDRESS(INDEX($AH$2:$AH$1001,MATCH(ROWS($AF$2:AF994),$AF$2:$AF$1001,0),0), INDEX($AM$1004:$BM$1004,1,MATCH(COLUMNS($AM$1006:AT1006),$AM$1006:$BM$1006,0)))),"Fix")))</f>
        <v xml:space="preserve"> </v>
      </c>
      <c r="J994" s="4" t="str">
        <f ca="1">IF(OR(INDEX($AG$2:$AG$1001,MATCH(ROWS($AF$2:AF994),$AF$2:$AF$1001,0),1)&gt;=100000,INDEX($AM$1005:$BM$1005,1,MATCH(COLUMNS($AM$1006:AU1006),$AM$1006:$BM$1006,0))&gt;=100000), " ",IF(INDEX($AM$2:$BM$1001,MATCH(ROWS($AF$2:AF994),$AF$2:$AF$1001,0),MATCH(COLUMNS($AM$1006:AU1006),$AM$1006:$BM$1006,0)), HYPERLINK("#",""), HYPERLINK(CONCATENATE("#metadata!", ADDRESS(INDEX($AH$2:$AH$1001,MATCH(ROWS($AF$2:AF994),$AF$2:$AF$1001,0),0), INDEX($AM$1004:$BM$1004,1,MATCH(COLUMNS($AM$1006:AU1006),$AM$1006:$BM$1006,0)))),"Fix")))</f>
        <v xml:space="preserve"> </v>
      </c>
      <c r="K994" s="4" t="str">
        <f ca="1">IF(OR(INDEX($AG$2:$AG$1001,MATCH(ROWS($AF$2:AF994),$AF$2:$AF$1001,0),1)&gt;=100000,INDEX($AM$1005:$BM$1005,1,MATCH(COLUMNS($AM$1006:AV1006),$AM$1006:$BM$1006,0))&gt;=100000), " ",IF(INDEX($AM$2:$BM$1001,MATCH(ROWS($AF$2:AF994),$AF$2:$AF$1001,0),MATCH(COLUMNS($AM$1006:AV1006),$AM$1006:$BM$1006,0)), HYPERLINK("#",""), HYPERLINK(CONCATENATE("#metadata!", ADDRESS(INDEX($AH$2:$AH$1001,MATCH(ROWS($AF$2:AF994),$AF$2:$AF$1001,0),0), INDEX($AM$1004:$BM$1004,1,MATCH(COLUMNS($AM$1006:AV1006),$AM$1006:$BM$1006,0)))),"Fix")))</f>
        <v xml:space="preserve"> </v>
      </c>
      <c r="L994" s="4" t="str">
        <f ca="1">IF(OR(INDEX($AG$2:$AG$1001,MATCH(ROWS($AF$2:AF994),$AF$2:$AF$1001,0),1)&gt;=100000,INDEX($AM$1005:$BM$1005,1,MATCH(COLUMNS($AM$1006:AW1006),$AM$1006:$BM$1006,0))&gt;=100000), " ",IF(INDEX($AM$2:$BM$1001,MATCH(ROWS($AF$2:AF994),$AF$2:$AF$1001,0),MATCH(COLUMNS($AM$1006:AW1006),$AM$1006:$BM$1006,0)), HYPERLINK("#",""), HYPERLINK(CONCATENATE("#metadata!", ADDRESS(INDEX($AH$2:$AH$1001,MATCH(ROWS($AF$2:AF994),$AF$2:$AF$1001,0),0), INDEX($AM$1004:$BM$1004,1,MATCH(COLUMNS($AM$1006:AW1006),$AM$1006:$BM$1006,0)))),"Fix")))</f>
        <v xml:space="preserve"> </v>
      </c>
      <c r="M994" s="4" t="str">
        <f ca="1">IF(OR(INDEX($AG$2:$AG$1001,MATCH(ROWS($AF$2:AF994),$AF$2:$AF$1001,0),1)&gt;=100000,INDEX($AM$1005:$BM$1005,1,MATCH(COLUMNS($AM$1006:AX1006),$AM$1006:$BM$1006,0))&gt;=100000), " ",IF(INDEX($AM$2:$BM$1001,MATCH(ROWS($AF$2:AF994),$AF$2:$AF$1001,0),MATCH(COLUMNS($AM$1006:AX1006),$AM$1006:$BM$1006,0)), HYPERLINK("#",""), HYPERLINK(CONCATENATE("#metadata!", ADDRESS(INDEX($AH$2:$AH$1001,MATCH(ROWS($AF$2:AF994),$AF$2:$AF$1001,0),0), INDEX($AM$1004:$BM$1004,1,MATCH(COLUMNS($AM$1006:AX1006),$AM$1006:$BM$1006,0)))),"Fix")))</f>
        <v xml:space="preserve"> </v>
      </c>
      <c r="N994" s="4" t="str">
        <f ca="1">IF(OR(INDEX($AG$2:$AG$1001,MATCH(ROWS($AF$2:AF994),$AF$2:$AF$1001,0),1)&gt;=100000,INDEX($AM$1005:$BM$1005,1,MATCH(COLUMNS($AM$1006:AY1006),$AM$1006:$BM$1006,0))&gt;=100000), " ",IF(INDEX($AM$2:$BM$1001,MATCH(ROWS($AF$2:AF994),$AF$2:$AF$1001,0),MATCH(COLUMNS($AM$1006:AY1006),$AM$1006:$BM$1006,0)), HYPERLINK("#",""), HYPERLINK(CONCATENATE("#metadata!", ADDRESS(INDEX($AH$2:$AH$1001,MATCH(ROWS($AF$2:AF994),$AF$2:$AF$1001,0),0), INDEX($AM$1004:$BM$1004,1,MATCH(COLUMNS($AM$1006:AY1006),$AM$1006:$BM$1006,0)))),"Fix")))</f>
        <v xml:space="preserve"> </v>
      </c>
      <c r="O994" s="4" t="str">
        <f ca="1">IF(OR(INDEX($AG$2:$AG$1001,MATCH(ROWS($AF$2:AF994),$AF$2:$AF$1001,0),1)&gt;=100000,INDEX($AM$1005:$BM$1005,1,MATCH(COLUMNS($AM$1006:AZ1006),$AM$1006:$BM$1006,0))&gt;=100000), " ",IF(INDEX($AM$2:$BM$1001,MATCH(ROWS($AF$2:AF994),$AF$2:$AF$1001,0),MATCH(COLUMNS($AM$1006:AZ1006),$AM$1006:$BM$1006,0)), HYPERLINK("#",""), HYPERLINK(CONCATENATE("#metadata!", ADDRESS(INDEX($AH$2:$AH$1001,MATCH(ROWS($AF$2:AF994),$AF$2:$AF$1001,0),0), INDEX($AM$1004:$BM$1004,1,MATCH(COLUMNS($AM$1006:AZ1006),$AM$1006:$BM$1006,0)))),"Fix")))</f>
        <v xml:space="preserve"> </v>
      </c>
      <c r="P994" s="4" t="str">
        <f ca="1">IF(OR(INDEX($AG$2:$AG$1001,MATCH(ROWS($AF$2:AF994),$AF$2:$AF$1001,0),1)&gt;=100000,INDEX($AM$1005:$BM$1005,1,MATCH(COLUMNS($AM$1006:BA1006),$AM$1006:$BM$1006,0))&gt;=100000), " ",IF(INDEX($AM$2:$BM$1001,MATCH(ROWS($AF$2:AF994),$AF$2:$AF$1001,0),MATCH(COLUMNS($AM$1006:BA1006),$AM$1006:$BM$1006,0)), HYPERLINK("#",""), HYPERLINK(CONCATENATE("#metadata!", ADDRESS(INDEX($AH$2:$AH$1001,MATCH(ROWS($AF$2:AF994),$AF$2:$AF$1001,0),0), INDEX($AM$1004:$BM$1004,1,MATCH(COLUMNS($AM$1006:BA1006),$AM$1006:$BM$1006,0)))),"Fix")))</f>
        <v xml:space="preserve"> </v>
      </c>
      <c r="Q994" s="4" t="str">
        <f ca="1">IF(OR(INDEX($AG$2:$AG$1001,MATCH(ROWS($AF$2:AF994),$AF$2:$AF$1001,0),1)&gt;=100000,INDEX($AM$1005:$BM$1005,1,MATCH(COLUMNS($AM$1006:BB1006),$AM$1006:$BM$1006,0))&gt;=100000), " ",IF(INDEX($AM$2:$BM$1001,MATCH(ROWS($AF$2:AF994),$AF$2:$AF$1001,0),MATCH(COLUMNS($AM$1006:BB1006),$AM$1006:$BM$1006,0)), HYPERLINK("#",""), HYPERLINK(CONCATENATE("#metadata!", ADDRESS(INDEX($AH$2:$AH$1001,MATCH(ROWS($AF$2:AF994),$AF$2:$AF$1001,0),0), INDEX($AM$1004:$BM$1004,1,MATCH(COLUMNS($AM$1006:BB1006),$AM$1006:$BM$1006,0)))),"Fix")))</f>
        <v xml:space="preserve"> </v>
      </c>
      <c r="R994" s="4" t="str">
        <f ca="1">IF(OR(INDEX($AG$2:$AG$1001,MATCH(ROWS($AF$2:AF994),$AF$2:$AF$1001,0),1)&gt;=100000,INDEX($AM$1005:$BM$1005,1,MATCH(COLUMNS($AM$1006:BC1006),$AM$1006:$BM$1006,0))&gt;=100000), " ",IF(INDEX($AM$2:$BM$1001,MATCH(ROWS($AF$2:AF994),$AF$2:$AF$1001,0),MATCH(COLUMNS($AM$1006:BC1006),$AM$1006:$BM$1006,0)), HYPERLINK("#",""), HYPERLINK(CONCATENATE("#metadata!", ADDRESS(INDEX($AH$2:$AH$1001,MATCH(ROWS($AF$2:AF994),$AF$2:$AF$1001,0),0), INDEX($AM$1004:$BM$1004,1,MATCH(COLUMNS($AM$1006:BC1006),$AM$1006:$BM$1006,0)))),"Fix")))</f>
        <v xml:space="preserve"> </v>
      </c>
      <c r="S994" s="4" t="str">
        <f ca="1">IF(OR(INDEX($AG$2:$AG$1001,MATCH(ROWS($AF$2:AF994),$AF$2:$AF$1001,0),1)&gt;=100000,INDEX($AM$1005:$BM$1005,1,MATCH(COLUMNS($AM$1006:BD1006),$AM$1006:$BM$1006,0))&gt;=100000), " ",IF(INDEX($AM$2:$BM$1001,MATCH(ROWS($AF$2:AF994),$AF$2:$AF$1001,0),MATCH(COLUMNS($AM$1006:BD1006),$AM$1006:$BM$1006,0)), HYPERLINK("#",""), HYPERLINK(CONCATENATE("#metadata!", ADDRESS(INDEX($AH$2:$AH$1001,MATCH(ROWS($AF$2:AF994),$AF$2:$AF$1001,0),0), INDEX($AM$1004:$BM$1004,1,MATCH(COLUMNS($AM$1006:BD1006),$AM$1006:$BM$1006,0)))),"Fix")))</f>
        <v xml:space="preserve"> </v>
      </c>
      <c r="T994" s="4" t="str">
        <f ca="1">IF(OR(INDEX($AG$2:$AG$1001,MATCH(ROWS($AF$2:AF994),$AF$2:$AF$1001,0),1)&gt;=100000,INDEX($AM$1005:$BM$1005,1,MATCH(COLUMNS($AM$1006:BE1006),$AM$1006:$BM$1006,0))&gt;=100000), " ",IF(INDEX($AM$2:$BM$1001,MATCH(ROWS($AF$2:AF994),$AF$2:$AF$1001,0),MATCH(COLUMNS($AM$1006:BE1006),$AM$1006:$BM$1006,0)), HYPERLINK("#",""), HYPERLINK(CONCATENATE("#metadata!", ADDRESS(INDEX($AH$2:$AH$1001,MATCH(ROWS($AF$2:AF994),$AF$2:$AF$1001,0),0), INDEX($AM$1004:$BM$1004,1,MATCH(COLUMNS($AM$1006:BE1006),$AM$1006:$BM$1006,0)))),"Fix")))</f>
        <v xml:space="preserve"> </v>
      </c>
      <c r="U994" s="4" t="str">
        <f ca="1">IF(OR(INDEX($AG$2:$AG$1001,MATCH(ROWS($AF$2:AF994),$AF$2:$AF$1001,0),1)&gt;=100000,INDEX($AM$1005:$BM$1005,1,MATCH(COLUMNS($AM$1006:BF1006),$AM$1006:$BM$1006,0))&gt;=100000), " ",IF(INDEX($AM$2:$BM$1001,MATCH(ROWS($AF$2:AF994),$AF$2:$AF$1001,0),MATCH(COLUMNS($AM$1006:BF1006),$AM$1006:$BM$1006,0)), HYPERLINK("#",""), HYPERLINK(CONCATENATE("#metadata!", ADDRESS(INDEX($AH$2:$AH$1001,MATCH(ROWS($AF$2:AF994),$AF$2:$AF$1001,0),0), INDEX($AM$1004:$BM$1004,1,MATCH(COLUMNS($AM$1006:BF1006),$AM$1006:$BM$1006,0)))),"Fix")))</f>
        <v xml:space="preserve"> </v>
      </c>
      <c r="V994" s="4" t="str">
        <f ca="1">IF(OR(INDEX($AG$2:$AG$1001,MATCH(ROWS($AF$2:AF994),$AF$2:$AF$1001,0),1)&gt;=100000,INDEX($AM$1005:$BM$1005,1,MATCH(COLUMNS($AM$1006:BG1006),$AM$1006:$BM$1006,0))&gt;=100000), " ",IF(INDEX($AM$2:$BM$1001,MATCH(ROWS($AF$2:AF994),$AF$2:$AF$1001,0),MATCH(COLUMNS($AM$1006:BG1006),$AM$1006:$BM$1006,0)), HYPERLINK("#",""), HYPERLINK(CONCATENATE("#metadata!", ADDRESS(INDEX($AH$2:$AH$1001,MATCH(ROWS($AF$2:AF994),$AF$2:$AF$1001,0),0), INDEX($AM$1004:$BM$1004,1,MATCH(COLUMNS($AM$1006:BG1006),$AM$1006:$BM$1006,0)))),"Fix")))</f>
        <v xml:space="preserve"> </v>
      </c>
      <c r="W994" s="4" t="str">
        <f ca="1">IF(OR(INDEX($AG$2:$AG$1001,MATCH(ROWS($AF$2:AF994),$AF$2:$AF$1001,0),1)&gt;=100000,INDEX($AM$1005:$BM$1005,1,MATCH(COLUMNS($AM$1006:BH1006),$AM$1006:$BM$1006,0))&gt;=100000), " ",IF(INDEX($AM$2:$BM$1001,MATCH(ROWS($AF$2:AF994),$AF$2:$AF$1001,0),MATCH(COLUMNS($AM$1006:BH1006),$AM$1006:$BM$1006,0)), HYPERLINK("#",""), HYPERLINK(CONCATENATE("#metadata!", ADDRESS(INDEX($AH$2:$AH$1001,MATCH(ROWS($AF$2:AF994),$AF$2:$AF$1001,0),0), INDEX($AM$1004:$BM$1004,1,MATCH(COLUMNS($AM$1006:BH1006),$AM$1006:$BM$1006,0)))),"Fix")))</f>
        <v xml:space="preserve"> </v>
      </c>
      <c r="X994" s="4" t="str">
        <f ca="1">IF(OR(INDEX($AG$2:$AG$1001,MATCH(ROWS($AF$2:AF994),$AF$2:$AF$1001,0),1)&gt;=100000,INDEX($AM$1005:$BM$1005,1,MATCH(COLUMNS($AM$1006:BI1006),$AM$1006:$BM$1006,0))&gt;=100000), " ",IF(INDEX($AM$2:$BM$1001,MATCH(ROWS($AF$2:AF994),$AF$2:$AF$1001,0),MATCH(COLUMNS($AM$1006:BI1006),$AM$1006:$BM$1006,0)), HYPERLINK("#",""), HYPERLINK(CONCATENATE("#metadata!", ADDRESS(INDEX($AH$2:$AH$1001,MATCH(ROWS($AF$2:AF994),$AF$2:$AF$1001,0),0), INDEX($AM$1004:$BM$1004,1,MATCH(COLUMNS($AM$1006:BI1006),$AM$1006:$BM$1006,0)))),"Fix")))</f>
        <v xml:space="preserve"> </v>
      </c>
      <c r="Y994" s="4" t="str">
        <f ca="1">IF(OR(INDEX($AG$2:$AG$1001,MATCH(ROWS($AF$2:AF994),$AF$2:$AF$1001,0),1)&gt;=100000,INDEX($AM$1005:$BM$1005,1,MATCH(COLUMNS($AM$1006:BJ1006),$AM$1006:$BM$1006,0))&gt;=100000), " ",IF(INDEX($AM$2:$BM$1001,MATCH(ROWS($AF$2:AF994),$AF$2:$AF$1001,0),MATCH(COLUMNS($AM$1006:BJ1006),$AM$1006:$BM$1006,0)), HYPERLINK("#",""), HYPERLINK(CONCATENATE("#metadata!", ADDRESS(INDEX($AH$2:$AH$1001,MATCH(ROWS($AF$2:AF994),$AF$2:$AF$1001,0),0), INDEX($AM$1004:$BM$1004,1,MATCH(COLUMNS($AM$1006:BJ1006),$AM$1006:$BM$1006,0)))),"Fix")))</f>
        <v xml:space="preserve"> </v>
      </c>
      <c r="Z994" s="4" t="str">
        <f ca="1">IF(OR(INDEX($AG$2:$AG$1001,MATCH(ROWS($AF$2:AF994),$AF$2:$AF$1001,0),1)&gt;=100000,INDEX($AM$1005:$BM$1005,1,MATCH(COLUMNS($AM$1006:BK1006),$AM$1006:$BM$1006,0))&gt;=100000), " ",IF(INDEX($AM$2:$BM$1001,MATCH(ROWS($AF$2:AF994),$AF$2:$AF$1001,0),MATCH(COLUMNS($AM$1006:BK1006),$AM$1006:$BM$1006,0)), HYPERLINK("#",""), HYPERLINK(CONCATENATE("#metadata!", ADDRESS(INDEX($AH$2:$AH$1001,MATCH(ROWS($AF$2:AF994),$AF$2:$AF$1001,0),0), INDEX($AM$1004:$BM$1004,1,MATCH(COLUMNS($AM$1006:BK1006),$AM$1006:$BM$1006,0)))),"Fix")))</f>
        <v xml:space="preserve"> </v>
      </c>
      <c r="AA994" s="4" t="str">
        <f ca="1">IF(OR(INDEX($AG$2:$AG$1001,MATCH(ROWS($AF$2:AF994),$AF$2:$AF$1001,0),1)&gt;=100000,INDEX($AM$1005:$BM$1005,1,MATCH(COLUMNS($AM$1006:BL1006),$AM$1006:$BM$1006,0))&gt;=100000), " ",IF(INDEX($AM$2:$BM$1001,MATCH(ROWS($AF$2:AF994),$AF$2:$AF$1001,0),MATCH(COLUMNS($AM$1006:BL1006),$AM$1006:$BM$1006,0)), HYPERLINK("#",""), HYPERLINK(CONCATENATE("#metadata!", ADDRESS(INDEX($AH$2:$AH$1001,MATCH(ROWS($AF$2:AF994),$AF$2:$AF$1001,0),0), INDEX($AM$1004:$BM$1004,1,MATCH(COLUMNS($AM$1006:BL1006),$AM$1006:$BM$1006,0)))),"Fix")))</f>
        <v xml:space="preserve"> </v>
      </c>
      <c r="AB994" s="4" t="str">
        <f ca="1">IF(OR(INDEX($AG$2:$AG$1001,MATCH(ROWS($AF$2:AF994),$AF$2:$AF$1001,0),1)&gt;=100000,INDEX($AM$1005:$BM$1005,1,MATCH(COLUMNS($AM$1006:BM1006),$AM$1006:$BM$1006,0))&gt;=100000), " ",IF(INDEX($AM$2:$BM$1001,MATCH(ROWS($AF$2:AF994),$AF$2:$AF$1001,0),MATCH(COLUMNS($AM$1006:BM1006),$AM$1006:$BM$1006,0)), HYPERLINK("#",""), HYPERLINK(CONCATENATE("#metadata!", ADDRESS(INDEX($AH$2:$AH$1001,MATCH(ROWS($AF$2:AF994),$AF$2:$AF$1001,0),0), INDEX($AM$1004:$BM$1004,1,MATCH(COLUMNS($AM$1006:BM1006),$AM$1006:$BM$1006,0)))),"Fix")))</f>
        <v xml:space="preserve"> </v>
      </c>
      <c r="AF994">
        <v>993</v>
      </c>
      <c r="AG994">
        <v>100994</v>
      </c>
      <c r="AH994">
        <v>994</v>
      </c>
      <c r="AI994" t="b">
        <f t="shared" si="15"/>
        <v>1</v>
      </c>
      <c r="AJ994" t="b">
        <f>COUNTBLANK(metadata!B994:AB994)=COLUMNS(metadata!B994:AB994)</f>
        <v>1</v>
      </c>
      <c r="AK994" t="str">
        <v/>
      </c>
      <c r="AM994" t="b">
        <f ca="1">AND(IF(metadata!B994="",FALSE,TRUE),COUNTIF(metadata!B:B, metadata!B994) = 1,NOT(ISERROR(SUMPRODUCT(SEARCH(MID(metadata!B994,ROW(INDIRECT("1:"&amp;LEN(metadata!B994))), 1),"0123456789abcdefghijklmnopqrstuvwxyzABCDEFGHIJKLMNOPQRSTUVWXYZ.")))))</f>
        <v>0</v>
      </c>
      <c r="AN994" t="b">
        <f ca="1">OR(AND(IF(metadata!C994="",FALSE,TRUE),OR(EXACT(metadata!C994,"missing: not collected"),EXACT(metadata!C994,"missing: not provided"),EXACT(metadata!C994,"missing: restricted access"))),AND(IF(metadata!C994="",FALSE,TRUE),AND(AND(IFERROR(INT(LEFT(metadata!C994,4))&gt;1900,FALSE),IFERROR(INT(LEFT(metadata!C994,4))&lt;=YEAR(NOW()),FALSE)), OR(MID(metadata!C994,5,1)="", AND(AND(MID(metadata!C994,5,1)="-",IFERROR(INT(MID(metadata!C994,6,1))&gt;=0,FALSE),IFERROR(INT(MID(metadata!C994,6,1))&lt;=1,FALSE),NOT(MID(metadata!C994,7,1)=""),IFERROR(INT(MID(metadata!C994,6,2))&gt;=1,FALSE),IFERROR(INT(MID(metadata!C994,6,2))&lt;=12,FALSE)), OR(MID(metadata!C994,8,1)="", AND(AND(MID(metadata!C994,8,1)="-",IFERROR(INT(MID(metadata!C994,9,1))&gt;=0,FALSE),IFERROR(INT(MID(metadata!C994,9,1))&lt;=3,FALSE),NOT(MID(metadata!C994,10,1)=""),IFERROR(INT(MID(metadata!C994,9,2))&gt;=1,FALSE),IFERROR(INT(MID(metadata!C994,9,2))&lt;=31,FALSE)), OR(MID(metadata!C994,11,1)="", AND(AND(MID(metadata!C994,11,1)=" ",IFERROR(INT(MID(metadata!C994,12,1))&gt;=0,FALSE),IFERROR(INT(MID(metadata!C994,12,1))&lt;=2,FALSE),NOT(MID(metadata!C994,13,1)=""),IFERROR(INT(MID(metadata!C994,12,2))&gt;=0,FALSE),IFERROR(INT(MID(metadata!C994,12,2))&lt;=23,FALSE)), OR(MID(metadata!C994,14,1)="", AND(AND(MID(metadata!C994,14,1)=":",IFERROR(INT(MID(metadata!C994,15,1))&gt;=0,FALSE),IFERROR(INT(MID(metadata!C994,15,1))&lt;=5,FALSE),NOT(MID(metadata!C994,16,1)=""),IFERROR(INT(MID(metadata!C994,15,2))&gt;=0,FALSE),IFERROR(INT(MID(metadata!C994,15,2))&lt;=59,FALSE)), OR(MID(metadata!C994,17,1)="", AND(AND(MID(metadata!C994,17,1)=":",IFERROR(INT(MID(metadata!C994,18,1))&gt;=0,FALSE),IFERROR(INT(MID(metadata!C994,18,1))&lt;=5,FALSE),NOT(MID(metadata!C994,19,1)=""),IFERROR(INT(MID(metadata!C994,18,2))&gt;=0,FALSE),IFERROR(INT(MID(metadata!C994,18,2))&lt;=59,FALSE)), LEN(metadata!C994)&lt;=19)))))))))))))</f>
        <v>0</v>
      </c>
      <c r="AO994" t="b">
        <f>AND(IF(metadata!D994="",FALSE,TRUE),EXACT(metadata!D994,"Not applicable"))</f>
        <v>0</v>
      </c>
      <c r="AP994" t="b">
        <f>IF(metadata!E994="",FALSE,TRUE)</f>
        <v>0</v>
      </c>
      <c r="AQ994" t="b">
        <f>OR(AND(IF(metadata!F994="",FALSE,TRUE),OR(EXACT(metadata!F994,"missing: not collected"),EXACT(metadata!F994,"missing: not provided"))),AND(IF(metadata!F994="",FALSE,TRUE),OR(EXACT(metadata!F994,"TRUE"),EXACT(metadata!F994,"FALSE"))))</f>
        <v>0</v>
      </c>
      <c r="AR994" t="b">
        <f>OR(AND(IF(metadata!G994="",FALSE,TRUE),OR(EXACT(metadata!G994,"missing: not collected"),EXACT(metadata!G994,"missing: not provided"),EXACT(metadata!G994,"missing: restricted access"))),AND(IF(metadata!G994="",FALSE,ISNUMBER(VALUE(metadata!G994))),metadata!G994&gt;=-413))</f>
        <v>0</v>
      </c>
      <c r="AS994" t="b">
        <f>AND(IF(metadata!H994="",FALSE,TRUE),EXACT(metadata!H994,"meters"))</f>
        <v>0</v>
      </c>
      <c r="AT994" t="b">
        <f>AND(IF(metadata!I994="",FALSE,TRUE),OR(EXACT(metadata!I994,"Host-associated"),EXACT(metadata!I994,"Free-living")))</f>
        <v>0</v>
      </c>
      <c r="AU994" t="b">
        <f>AND(IF(metadata!J994="",FALSE,TRUE),OR(EXACT(metadata!J994,"Animal"),EXACT(metadata!J994,"Fungus"),EXACT(metadata!J994,"Plant"),EXACT(metadata!J994,"Saline"),EXACT(metadata!J994,"Non-saline")))</f>
        <v>0</v>
      </c>
      <c r="AV994" t="b">
        <f>AND(IF(metadata!K994="",FALSE,TRUE),OR(EXACT(metadata!K994,"Plant secretion"),EXACT(metadata!K994,"Plant rhizosphere"),EXACT(metadata!K994,"Plant surface"),EXACT(metadata!K994,"Plant corpus"),EXACT(metadata!K994,"Fungus surface"),EXACT(metadata!K994,"Fungus corpus"),EXACT(metadata!K994,"Animal surface"),EXACT(metadata!K994,"Animal proximal gut"),EXACT(metadata!K994,"Animal corpus"),EXACT(metadata!K994,"Animal distal gut"),EXACT(metadata!K994,"Animal secretion"),EXACT(metadata!K994,"Sub-surface (non-saline)"),EXACT(metadata!K994,"Surface (non-saline)"),EXACT(metadata!K994,"Water (non-saline)"),EXACT(metadata!K994,"Soil (non-saline)"),EXACT(metadata!K994,"Aerosol (non-saline)"),EXACT(metadata!K994,"Sediment (non-saline)"),EXACT(metadata!K994,"Surface (saline)"),EXACT(metadata!K994,"Water (saline)"),EXACT(metadata!K994,"Hypersaline (saline)"),EXACT(metadata!K994,"Aerosol (saline)"),EXACT(metadata!K994,"Sediment (saline)")))</f>
        <v>0</v>
      </c>
      <c r="AW994" t="b">
        <f>IF(metadata!L994="",FALSE,TRUE)</f>
        <v>0</v>
      </c>
      <c r="AX994" t="b">
        <f>IF(metadata!M994="",FALSE,TRUE)</f>
        <v>0</v>
      </c>
      <c r="AY994" t="b">
        <f>IF(metadata!N994="",FALSE,TRUE)</f>
        <v>0</v>
      </c>
      <c r="AZ994" t="b">
        <f>OR(AND(IF(metadata!O994="",FALSE,TRUE),OR(EXACT(metadata!O994,"missing: not collected"),EXACT(metadata!O994,"missing: not provided"),EXACT(metadata!O994,"missing: restricted access"))),AND(IF(metadata!O994="",FALSE,TRUE),OR(EXACT(metadata!O994,"air"),EXACT(metadata!O994,"built environment"),EXACT(metadata!O994,"host-associated"),EXACT(metadata!O994,"human-associated"),EXACT(metadata!O994,"human-skin"),EXACT(metadata!O994,"human-oral"),EXACT(metadata!O994,"human-gut"),EXACT(metadata!O994,"human-vaginal"),EXACT(metadata!O994,"microbial mat/biofilm"),EXACT(metadata!O994,"misc environment"),EXACT(metadata!O994,"plant-associated"),EXACT(metadata!O994,"sediment"),EXACT(metadata!O994,"soil"),EXACT(metadata!O994,"wastewater/sludge"),EXACT(metadata!O994,"water"))))</f>
        <v>0</v>
      </c>
      <c r="BA994" t="b">
        <f>IF(metadata!P994="",FALSE,TRUE)</f>
        <v>0</v>
      </c>
      <c r="BB994" t="b">
        <f>IF(metadata!Q994="",FALSE,TRUE)</f>
        <v>0</v>
      </c>
      <c r="BC994" t="b">
        <f>OR(AND(IF(metadata!R994="",FALSE,TRUE),OR(EXACT(metadata!R994,"missing: not collected"),EXACT(metadata!R994,"missing: not provided"),EXACT(metadata!R994,"missing: restricted access"))),AND(IF(metadata!R994="",FALSE,ISNUMBER(VALUE(metadata!R994))),metadata!R994&gt;=-90,metadata!R994&lt;=90))</f>
        <v>0</v>
      </c>
      <c r="BD994" t="b">
        <f>AND(IF(metadata!S994="",FALSE,TRUE),EXACT(metadata!S994,"Decimal degrees"))</f>
        <v>0</v>
      </c>
      <c r="BE994" t="b">
        <f>OR(AND(IF(metadata!T994="",FALSE,TRUE),OR(EXACT(metadata!T994,"missing: not collected"),EXACT(metadata!T994,"missing: not provided"),EXACT(metadata!T994,"missing: restricted access"))),AND(IF(metadata!T994="",FALSE,ISNUMBER(VALUE(metadata!T994))),metadata!T994&gt;=-180,metadata!T994&lt;=180))</f>
        <v>0</v>
      </c>
      <c r="BF994" t="b">
        <f>AND(IF(metadata!U994="",FALSE,TRUE),EXACT(metadata!U994,"Decimal degrees"))</f>
        <v>0</v>
      </c>
      <c r="BG994" t="b">
        <f>IF(metadata!V994="",FALSE,TRUE)</f>
        <v>0</v>
      </c>
      <c r="BH994" t="b">
        <f>OR(AND(IF(metadata!W994="",FALSE,TRUE),OR(EXACT(metadata!W994,"missing: not collected"),EXACT(metadata!W994,"missing: not provided"),EXACT(metadata!W994,"missing: restricted access"))),AND(IF(metadata!W994="",FALSE,TRUE),OR(EXACT(metadata!W994,"TRUE"),EXACT(metadata!W994,"FALSE"))))</f>
        <v>0</v>
      </c>
      <c r="BI994" t="b">
        <f>AND(IF(metadata!X994="",FALSE,TRUE),EXACT(metadata!X994,"other"))</f>
        <v>0</v>
      </c>
      <c r="BJ994" t="b">
        <f>IF(metadata!Y994="",FALSE,TRUE)</f>
        <v>0</v>
      </c>
      <c r="BK994" t="b">
        <f>OR(AND(IF(metadata!Z994="",FALSE,TRUE),OR(EXACT(metadata!Z994,"missing: not collected"),EXACT(metadata!Z994,"missing: not provided"))),AND(IF(metadata!Z994="",FALSE,IF(ISERROR(INT(metadata!Z994)),FALSE,INT(metadata!Z994)=metadata!Z994)),metadata!Z994&gt;0))</f>
        <v>0</v>
      </c>
      <c r="BL994" t="b">
        <f>AND(IF(metadata!AA994="",FALSE,TRUE),EXACT(metadata!AA994,"Not applicable"))</f>
        <v>0</v>
      </c>
      <c r="BM994" t="b">
        <f>IF(metadata!AB994="",FALSE,TRUE)</f>
        <v>0</v>
      </c>
    </row>
    <row r="995" spans="1:65" x14ac:dyDescent="0.2">
      <c r="A995" s="5" t="str">
        <f ca="1">IF(B995=" "," ",HYPERLINK(CONCATENATE("#metadata!",ADDRESS(INDEX($AH$2:$AH$1001,MATCH(ROWS($AF$2:AF995),$AF$2:$AF$1001,0),0),1)),INDEX($AK$2:$AK$1001,MATCH(ROWS($AF$2:AF995),$AF$2:$AF$1001,0),0)))</f>
        <v xml:space="preserve"> </v>
      </c>
      <c r="B995" s="4" t="str">
        <f ca="1">IF(OR(INDEX($AG$2:$AG$1001,MATCH(ROWS($AF$2:AF995),$AF$2:$AF$1001,0),1)&gt;=100000,INDEX($AM$1005:$BM$1005,1,MATCH(COLUMNS($AM$1006:AM1006),$AM$1006:$BM$1006,0))&gt;=100000), " ",IF(INDEX($AM$2:$BM$1001,MATCH(ROWS($AF$2:AF995),$AF$2:$AF$1001,0),MATCH(COLUMNS($AM$1006:AM1006),$AM$1006:$BM$1006,0)), HYPERLINK("#",""), HYPERLINK(CONCATENATE("#metadata!", ADDRESS(INDEX($AH$2:$AH$1001,MATCH(ROWS($AF$2:AF995),$AF$2:$AF$1001,0),0), INDEX($AM$1004:$BM$1004,1,MATCH(COLUMNS($AM$1006:AM1006),$AM$1006:$BM$1006,0)))),"Fix")))</f>
        <v xml:space="preserve"> </v>
      </c>
      <c r="C995" s="4" t="str">
        <f ca="1">IF(OR(INDEX($AG$2:$AG$1001,MATCH(ROWS($AF$2:AF995),$AF$2:$AF$1001,0),1)&gt;=100000,INDEX($AM$1005:$BM$1005,1,MATCH(COLUMNS($AM$1006:AN1006),$AM$1006:$BM$1006,0))&gt;=100000), " ",IF(INDEX($AM$2:$BM$1001,MATCH(ROWS($AF$2:AF995),$AF$2:$AF$1001,0),MATCH(COLUMNS($AM$1006:AN1006),$AM$1006:$BM$1006,0)), HYPERLINK("#",""), HYPERLINK(CONCATENATE("#metadata!", ADDRESS(INDEX($AH$2:$AH$1001,MATCH(ROWS($AF$2:AF995),$AF$2:$AF$1001,0),0), INDEX($AM$1004:$BM$1004,1,MATCH(COLUMNS($AM$1006:AN1006),$AM$1006:$BM$1006,0)))),"Fix")))</f>
        <v xml:space="preserve"> </v>
      </c>
      <c r="D995" s="4" t="str">
        <f ca="1">IF(OR(INDEX($AG$2:$AG$1001,MATCH(ROWS($AF$2:AF995),$AF$2:$AF$1001,0),1)&gt;=100000,INDEX($AM$1005:$BM$1005,1,MATCH(COLUMNS($AM$1006:AO1006),$AM$1006:$BM$1006,0))&gt;=100000), " ",IF(INDEX($AM$2:$BM$1001,MATCH(ROWS($AF$2:AF995),$AF$2:$AF$1001,0),MATCH(COLUMNS($AM$1006:AO1006),$AM$1006:$BM$1006,0)), HYPERLINK("#",""), HYPERLINK(CONCATENATE("#metadata!", ADDRESS(INDEX($AH$2:$AH$1001,MATCH(ROWS($AF$2:AF995),$AF$2:$AF$1001,0),0), INDEX($AM$1004:$BM$1004,1,MATCH(COLUMNS($AM$1006:AO1006),$AM$1006:$BM$1006,0)))),"Fix")))</f>
        <v xml:space="preserve"> </v>
      </c>
      <c r="E995" s="4" t="str">
        <f ca="1">IF(OR(INDEX($AG$2:$AG$1001,MATCH(ROWS($AF$2:AF995),$AF$2:$AF$1001,0),1)&gt;=100000,INDEX($AM$1005:$BM$1005,1,MATCH(COLUMNS($AM$1006:AP1006),$AM$1006:$BM$1006,0))&gt;=100000), " ",IF(INDEX($AM$2:$BM$1001,MATCH(ROWS($AF$2:AF995),$AF$2:$AF$1001,0),MATCH(COLUMNS($AM$1006:AP1006),$AM$1006:$BM$1006,0)), HYPERLINK("#",""), HYPERLINK(CONCATENATE("#metadata!", ADDRESS(INDEX($AH$2:$AH$1001,MATCH(ROWS($AF$2:AF995),$AF$2:$AF$1001,0),0), INDEX($AM$1004:$BM$1004,1,MATCH(COLUMNS($AM$1006:AP1006),$AM$1006:$BM$1006,0)))),"Fix")))</f>
        <v xml:space="preserve"> </v>
      </c>
      <c r="F995" s="4" t="str">
        <f ca="1">IF(OR(INDEX($AG$2:$AG$1001,MATCH(ROWS($AF$2:AF995),$AF$2:$AF$1001,0),1)&gt;=100000,INDEX($AM$1005:$BM$1005,1,MATCH(COLUMNS($AM$1006:AQ1006),$AM$1006:$BM$1006,0))&gt;=100000), " ",IF(INDEX($AM$2:$BM$1001,MATCH(ROWS($AF$2:AF995),$AF$2:$AF$1001,0),MATCH(COLUMNS($AM$1006:AQ1006),$AM$1006:$BM$1006,0)), HYPERLINK("#",""), HYPERLINK(CONCATENATE("#metadata!", ADDRESS(INDEX($AH$2:$AH$1001,MATCH(ROWS($AF$2:AF995),$AF$2:$AF$1001,0),0), INDEX($AM$1004:$BM$1004,1,MATCH(COLUMNS($AM$1006:AQ1006),$AM$1006:$BM$1006,0)))),"Fix")))</f>
        <v xml:space="preserve"> </v>
      </c>
      <c r="G995" s="4" t="str">
        <f ca="1">IF(OR(INDEX($AG$2:$AG$1001,MATCH(ROWS($AF$2:AF995),$AF$2:$AF$1001,0),1)&gt;=100000,INDEX($AM$1005:$BM$1005,1,MATCH(COLUMNS($AM$1006:AR1006),$AM$1006:$BM$1006,0))&gt;=100000), " ",IF(INDEX($AM$2:$BM$1001,MATCH(ROWS($AF$2:AF995),$AF$2:$AF$1001,0),MATCH(COLUMNS($AM$1006:AR1006),$AM$1006:$BM$1006,0)), HYPERLINK("#",""), HYPERLINK(CONCATENATE("#metadata!", ADDRESS(INDEX($AH$2:$AH$1001,MATCH(ROWS($AF$2:AF995),$AF$2:$AF$1001,0),0), INDEX($AM$1004:$BM$1004,1,MATCH(COLUMNS($AM$1006:AR1006),$AM$1006:$BM$1006,0)))),"Fix")))</f>
        <v xml:space="preserve"> </v>
      </c>
      <c r="H995" s="4" t="str">
        <f ca="1">IF(OR(INDEX($AG$2:$AG$1001,MATCH(ROWS($AF$2:AF995),$AF$2:$AF$1001,0),1)&gt;=100000,INDEX($AM$1005:$BM$1005,1,MATCH(COLUMNS($AM$1006:AS1006),$AM$1006:$BM$1006,0))&gt;=100000), " ",IF(INDEX($AM$2:$BM$1001,MATCH(ROWS($AF$2:AF995),$AF$2:$AF$1001,0),MATCH(COLUMNS($AM$1006:AS1006),$AM$1006:$BM$1006,0)), HYPERLINK("#",""), HYPERLINK(CONCATENATE("#metadata!", ADDRESS(INDEX($AH$2:$AH$1001,MATCH(ROWS($AF$2:AF995),$AF$2:$AF$1001,0),0), INDEX($AM$1004:$BM$1004,1,MATCH(COLUMNS($AM$1006:AS1006),$AM$1006:$BM$1006,0)))),"Fix")))</f>
        <v xml:space="preserve"> </v>
      </c>
      <c r="I995" s="4" t="str">
        <f ca="1">IF(OR(INDEX($AG$2:$AG$1001,MATCH(ROWS($AF$2:AF995),$AF$2:$AF$1001,0),1)&gt;=100000,INDEX($AM$1005:$BM$1005,1,MATCH(COLUMNS($AM$1006:AT1006),$AM$1006:$BM$1006,0))&gt;=100000), " ",IF(INDEX($AM$2:$BM$1001,MATCH(ROWS($AF$2:AF995),$AF$2:$AF$1001,0),MATCH(COLUMNS($AM$1006:AT1006),$AM$1006:$BM$1006,0)), HYPERLINK("#",""), HYPERLINK(CONCATENATE("#metadata!", ADDRESS(INDEX($AH$2:$AH$1001,MATCH(ROWS($AF$2:AF995),$AF$2:$AF$1001,0),0), INDEX($AM$1004:$BM$1004,1,MATCH(COLUMNS($AM$1006:AT1006),$AM$1006:$BM$1006,0)))),"Fix")))</f>
        <v xml:space="preserve"> </v>
      </c>
      <c r="J995" s="4" t="str">
        <f ca="1">IF(OR(INDEX($AG$2:$AG$1001,MATCH(ROWS($AF$2:AF995),$AF$2:$AF$1001,0),1)&gt;=100000,INDEX($AM$1005:$BM$1005,1,MATCH(COLUMNS($AM$1006:AU1006),$AM$1006:$BM$1006,0))&gt;=100000), " ",IF(INDEX($AM$2:$BM$1001,MATCH(ROWS($AF$2:AF995),$AF$2:$AF$1001,0),MATCH(COLUMNS($AM$1006:AU1006),$AM$1006:$BM$1006,0)), HYPERLINK("#",""), HYPERLINK(CONCATENATE("#metadata!", ADDRESS(INDEX($AH$2:$AH$1001,MATCH(ROWS($AF$2:AF995),$AF$2:$AF$1001,0),0), INDEX($AM$1004:$BM$1004,1,MATCH(COLUMNS($AM$1006:AU1006),$AM$1006:$BM$1006,0)))),"Fix")))</f>
        <v xml:space="preserve"> </v>
      </c>
      <c r="K995" s="4" t="str">
        <f ca="1">IF(OR(INDEX($AG$2:$AG$1001,MATCH(ROWS($AF$2:AF995),$AF$2:$AF$1001,0),1)&gt;=100000,INDEX($AM$1005:$BM$1005,1,MATCH(COLUMNS($AM$1006:AV1006),$AM$1006:$BM$1006,0))&gt;=100000), " ",IF(INDEX($AM$2:$BM$1001,MATCH(ROWS($AF$2:AF995),$AF$2:$AF$1001,0),MATCH(COLUMNS($AM$1006:AV1006),$AM$1006:$BM$1006,0)), HYPERLINK("#",""), HYPERLINK(CONCATENATE("#metadata!", ADDRESS(INDEX($AH$2:$AH$1001,MATCH(ROWS($AF$2:AF995),$AF$2:$AF$1001,0),0), INDEX($AM$1004:$BM$1004,1,MATCH(COLUMNS($AM$1006:AV1006),$AM$1006:$BM$1006,0)))),"Fix")))</f>
        <v xml:space="preserve"> </v>
      </c>
      <c r="L995" s="4" t="str">
        <f ca="1">IF(OR(INDEX($AG$2:$AG$1001,MATCH(ROWS($AF$2:AF995),$AF$2:$AF$1001,0),1)&gt;=100000,INDEX($AM$1005:$BM$1005,1,MATCH(COLUMNS($AM$1006:AW1006),$AM$1006:$BM$1006,0))&gt;=100000), " ",IF(INDEX($AM$2:$BM$1001,MATCH(ROWS($AF$2:AF995),$AF$2:$AF$1001,0),MATCH(COLUMNS($AM$1006:AW1006),$AM$1006:$BM$1006,0)), HYPERLINK("#",""), HYPERLINK(CONCATENATE("#metadata!", ADDRESS(INDEX($AH$2:$AH$1001,MATCH(ROWS($AF$2:AF995),$AF$2:$AF$1001,0),0), INDEX($AM$1004:$BM$1004,1,MATCH(COLUMNS($AM$1006:AW1006),$AM$1006:$BM$1006,0)))),"Fix")))</f>
        <v xml:space="preserve"> </v>
      </c>
      <c r="M995" s="4" t="str">
        <f ca="1">IF(OR(INDEX($AG$2:$AG$1001,MATCH(ROWS($AF$2:AF995),$AF$2:$AF$1001,0),1)&gt;=100000,INDEX($AM$1005:$BM$1005,1,MATCH(COLUMNS($AM$1006:AX1006),$AM$1006:$BM$1006,0))&gt;=100000), " ",IF(INDEX($AM$2:$BM$1001,MATCH(ROWS($AF$2:AF995),$AF$2:$AF$1001,0),MATCH(COLUMNS($AM$1006:AX1006),$AM$1006:$BM$1006,0)), HYPERLINK("#",""), HYPERLINK(CONCATENATE("#metadata!", ADDRESS(INDEX($AH$2:$AH$1001,MATCH(ROWS($AF$2:AF995),$AF$2:$AF$1001,0),0), INDEX($AM$1004:$BM$1004,1,MATCH(COLUMNS($AM$1006:AX1006),$AM$1006:$BM$1006,0)))),"Fix")))</f>
        <v xml:space="preserve"> </v>
      </c>
      <c r="N995" s="4" t="str">
        <f ca="1">IF(OR(INDEX($AG$2:$AG$1001,MATCH(ROWS($AF$2:AF995),$AF$2:$AF$1001,0),1)&gt;=100000,INDEX($AM$1005:$BM$1005,1,MATCH(COLUMNS($AM$1006:AY1006),$AM$1006:$BM$1006,0))&gt;=100000), " ",IF(INDEX($AM$2:$BM$1001,MATCH(ROWS($AF$2:AF995),$AF$2:$AF$1001,0),MATCH(COLUMNS($AM$1006:AY1006),$AM$1006:$BM$1006,0)), HYPERLINK("#",""), HYPERLINK(CONCATENATE("#metadata!", ADDRESS(INDEX($AH$2:$AH$1001,MATCH(ROWS($AF$2:AF995),$AF$2:$AF$1001,0),0), INDEX($AM$1004:$BM$1004,1,MATCH(COLUMNS($AM$1006:AY1006),$AM$1006:$BM$1006,0)))),"Fix")))</f>
        <v xml:space="preserve"> </v>
      </c>
      <c r="O995" s="4" t="str">
        <f ca="1">IF(OR(INDEX($AG$2:$AG$1001,MATCH(ROWS($AF$2:AF995),$AF$2:$AF$1001,0),1)&gt;=100000,INDEX($AM$1005:$BM$1005,1,MATCH(COLUMNS($AM$1006:AZ1006),$AM$1006:$BM$1006,0))&gt;=100000), " ",IF(INDEX($AM$2:$BM$1001,MATCH(ROWS($AF$2:AF995),$AF$2:$AF$1001,0),MATCH(COLUMNS($AM$1006:AZ1006),$AM$1006:$BM$1006,0)), HYPERLINK("#",""), HYPERLINK(CONCATENATE("#metadata!", ADDRESS(INDEX($AH$2:$AH$1001,MATCH(ROWS($AF$2:AF995),$AF$2:$AF$1001,0),0), INDEX($AM$1004:$BM$1004,1,MATCH(COLUMNS($AM$1006:AZ1006),$AM$1006:$BM$1006,0)))),"Fix")))</f>
        <v xml:space="preserve"> </v>
      </c>
      <c r="P995" s="4" t="str">
        <f ca="1">IF(OR(INDEX($AG$2:$AG$1001,MATCH(ROWS($AF$2:AF995),$AF$2:$AF$1001,0),1)&gt;=100000,INDEX($AM$1005:$BM$1005,1,MATCH(COLUMNS($AM$1006:BA1006),$AM$1006:$BM$1006,0))&gt;=100000), " ",IF(INDEX($AM$2:$BM$1001,MATCH(ROWS($AF$2:AF995),$AF$2:$AF$1001,0),MATCH(COLUMNS($AM$1006:BA1006),$AM$1006:$BM$1006,0)), HYPERLINK("#",""), HYPERLINK(CONCATENATE("#metadata!", ADDRESS(INDEX($AH$2:$AH$1001,MATCH(ROWS($AF$2:AF995),$AF$2:$AF$1001,0),0), INDEX($AM$1004:$BM$1004,1,MATCH(COLUMNS($AM$1006:BA1006),$AM$1006:$BM$1006,0)))),"Fix")))</f>
        <v xml:space="preserve"> </v>
      </c>
      <c r="Q995" s="4" t="str">
        <f ca="1">IF(OR(INDEX($AG$2:$AG$1001,MATCH(ROWS($AF$2:AF995),$AF$2:$AF$1001,0),1)&gt;=100000,INDEX($AM$1005:$BM$1005,1,MATCH(COLUMNS($AM$1006:BB1006),$AM$1006:$BM$1006,0))&gt;=100000), " ",IF(INDEX($AM$2:$BM$1001,MATCH(ROWS($AF$2:AF995),$AF$2:$AF$1001,0),MATCH(COLUMNS($AM$1006:BB1006),$AM$1006:$BM$1006,0)), HYPERLINK("#",""), HYPERLINK(CONCATENATE("#metadata!", ADDRESS(INDEX($AH$2:$AH$1001,MATCH(ROWS($AF$2:AF995),$AF$2:$AF$1001,0),0), INDEX($AM$1004:$BM$1004,1,MATCH(COLUMNS($AM$1006:BB1006),$AM$1006:$BM$1006,0)))),"Fix")))</f>
        <v xml:space="preserve"> </v>
      </c>
      <c r="R995" s="4" t="str">
        <f ca="1">IF(OR(INDEX($AG$2:$AG$1001,MATCH(ROWS($AF$2:AF995),$AF$2:$AF$1001,0),1)&gt;=100000,INDEX($AM$1005:$BM$1005,1,MATCH(COLUMNS($AM$1006:BC1006),$AM$1006:$BM$1006,0))&gt;=100000), " ",IF(INDEX($AM$2:$BM$1001,MATCH(ROWS($AF$2:AF995),$AF$2:$AF$1001,0),MATCH(COLUMNS($AM$1006:BC1006),$AM$1006:$BM$1006,0)), HYPERLINK("#",""), HYPERLINK(CONCATENATE("#metadata!", ADDRESS(INDEX($AH$2:$AH$1001,MATCH(ROWS($AF$2:AF995),$AF$2:$AF$1001,0),0), INDEX($AM$1004:$BM$1004,1,MATCH(COLUMNS($AM$1006:BC1006),$AM$1006:$BM$1006,0)))),"Fix")))</f>
        <v xml:space="preserve"> </v>
      </c>
      <c r="S995" s="4" t="str">
        <f ca="1">IF(OR(INDEX($AG$2:$AG$1001,MATCH(ROWS($AF$2:AF995),$AF$2:$AF$1001,0),1)&gt;=100000,INDEX($AM$1005:$BM$1005,1,MATCH(COLUMNS($AM$1006:BD1006),$AM$1006:$BM$1006,0))&gt;=100000), " ",IF(INDEX($AM$2:$BM$1001,MATCH(ROWS($AF$2:AF995),$AF$2:$AF$1001,0),MATCH(COLUMNS($AM$1006:BD1006),$AM$1006:$BM$1006,0)), HYPERLINK("#",""), HYPERLINK(CONCATENATE("#metadata!", ADDRESS(INDEX($AH$2:$AH$1001,MATCH(ROWS($AF$2:AF995),$AF$2:$AF$1001,0),0), INDEX($AM$1004:$BM$1004,1,MATCH(COLUMNS($AM$1006:BD1006),$AM$1006:$BM$1006,0)))),"Fix")))</f>
        <v xml:space="preserve"> </v>
      </c>
      <c r="T995" s="4" t="str">
        <f ca="1">IF(OR(INDEX($AG$2:$AG$1001,MATCH(ROWS($AF$2:AF995),$AF$2:$AF$1001,0),1)&gt;=100000,INDEX($AM$1005:$BM$1005,1,MATCH(COLUMNS($AM$1006:BE1006),$AM$1006:$BM$1006,0))&gt;=100000), " ",IF(INDEX($AM$2:$BM$1001,MATCH(ROWS($AF$2:AF995),$AF$2:$AF$1001,0),MATCH(COLUMNS($AM$1006:BE1006),$AM$1006:$BM$1006,0)), HYPERLINK("#",""), HYPERLINK(CONCATENATE("#metadata!", ADDRESS(INDEX($AH$2:$AH$1001,MATCH(ROWS($AF$2:AF995),$AF$2:$AF$1001,0),0), INDEX($AM$1004:$BM$1004,1,MATCH(COLUMNS($AM$1006:BE1006),$AM$1006:$BM$1006,0)))),"Fix")))</f>
        <v xml:space="preserve"> </v>
      </c>
      <c r="U995" s="4" t="str">
        <f ca="1">IF(OR(INDEX($AG$2:$AG$1001,MATCH(ROWS($AF$2:AF995),$AF$2:$AF$1001,0),1)&gt;=100000,INDEX($AM$1005:$BM$1005,1,MATCH(COLUMNS($AM$1006:BF1006),$AM$1006:$BM$1006,0))&gt;=100000), " ",IF(INDEX($AM$2:$BM$1001,MATCH(ROWS($AF$2:AF995),$AF$2:$AF$1001,0),MATCH(COLUMNS($AM$1006:BF1006),$AM$1006:$BM$1006,0)), HYPERLINK("#",""), HYPERLINK(CONCATENATE("#metadata!", ADDRESS(INDEX($AH$2:$AH$1001,MATCH(ROWS($AF$2:AF995),$AF$2:$AF$1001,0),0), INDEX($AM$1004:$BM$1004,1,MATCH(COLUMNS($AM$1006:BF1006),$AM$1006:$BM$1006,0)))),"Fix")))</f>
        <v xml:space="preserve"> </v>
      </c>
      <c r="V995" s="4" t="str">
        <f ca="1">IF(OR(INDEX($AG$2:$AG$1001,MATCH(ROWS($AF$2:AF995),$AF$2:$AF$1001,0),1)&gt;=100000,INDEX($AM$1005:$BM$1005,1,MATCH(COLUMNS($AM$1006:BG1006),$AM$1006:$BM$1006,0))&gt;=100000), " ",IF(INDEX($AM$2:$BM$1001,MATCH(ROWS($AF$2:AF995),$AF$2:$AF$1001,0),MATCH(COLUMNS($AM$1006:BG1006),$AM$1006:$BM$1006,0)), HYPERLINK("#",""), HYPERLINK(CONCATENATE("#metadata!", ADDRESS(INDEX($AH$2:$AH$1001,MATCH(ROWS($AF$2:AF995),$AF$2:$AF$1001,0),0), INDEX($AM$1004:$BM$1004,1,MATCH(COLUMNS($AM$1006:BG1006),$AM$1006:$BM$1006,0)))),"Fix")))</f>
        <v xml:space="preserve"> </v>
      </c>
      <c r="W995" s="4" t="str">
        <f ca="1">IF(OR(INDEX($AG$2:$AG$1001,MATCH(ROWS($AF$2:AF995),$AF$2:$AF$1001,0),1)&gt;=100000,INDEX($AM$1005:$BM$1005,1,MATCH(COLUMNS($AM$1006:BH1006),$AM$1006:$BM$1006,0))&gt;=100000), " ",IF(INDEX($AM$2:$BM$1001,MATCH(ROWS($AF$2:AF995),$AF$2:$AF$1001,0),MATCH(COLUMNS($AM$1006:BH1006),$AM$1006:$BM$1006,0)), HYPERLINK("#",""), HYPERLINK(CONCATENATE("#metadata!", ADDRESS(INDEX($AH$2:$AH$1001,MATCH(ROWS($AF$2:AF995),$AF$2:$AF$1001,0),0), INDEX($AM$1004:$BM$1004,1,MATCH(COLUMNS($AM$1006:BH1006),$AM$1006:$BM$1006,0)))),"Fix")))</f>
        <v xml:space="preserve"> </v>
      </c>
      <c r="X995" s="4" t="str">
        <f ca="1">IF(OR(INDEX($AG$2:$AG$1001,MATCH(ROWS($AF$2:AF995),$AF$2:$AF$1001,0),1)&gt;=100000,INDEX($AM$1005:$BM$1005,1,MATCH(COLUMNS($AM$1006:BI1006),$AM$1006:$BM$1006,0))&gt;=100000), " ",IF(INDEX($AM$2:$BM$1001,MATCH(ROWS($AF$2:AF995),$AF$2:$AF$1001,0),MATCH(COLUMNS($AM$1006:BI1006),$AM$1006:$BM$1006,0)), HYPERLINK("#",""), HYPERLINK(CONCATENATE("#metadata!", ADDRESS(INDEX($AH$2:$AH$1001,MATCH(ROWS($AF$2:AF995),$AF$2:$AF$1001,0),0), INDEX($AM$1004:$BM$1004,1,MATCH(COLUMNS($AM$1006:BI1006),$AM$1006:$BM$1006,0)))),"Fix")))</f>
        <v xml:space="preserve"> </v>
      </c>
      <c r="Y995" s="4" t="str">
        <f ca="1">IF(OR(INDEX($AG$2:$AG$1001,MATCH(ROWS($AF$2:AF995),$AF$2:$AF$1001,0),1)&gt;=100000,INDEX($AM$1005:$BM$1005,1,MATCH(COLUMNS($AM$1006:BJ1006),$AM$1006:$BM$1006,0))&gt;=100000), " ",IF(INDEX($AM$2:$BM$1001,MATCH(ROWS($AF$2:AF995),$AF$2:$AF$1001,0),MATCH(COLUMNS($AM$1006:BJ1006),$AM$1006:$BM$1006,0)), HYPERLINK("#",""), HYPERLINK(CONCATENATE("#metadata!", ADDRESS(INDEX($AH$2:$AH$1001,MATCH(ROWS($AF$2:AF995),$AF$2:$AF$1001,0),0), INDEX($AM$1004:$BM$1004,1,MATCH(COLUMNS($AM$1006:BJ1006),$AM$1006:$BM$1006,0)))),"Fix")))</f>
        <v xml:space="preserve"> </v>
      </c>
      <c r="Z995" s="4" t="str">
        <f ca="1">IF(OR(INDEX($AG$2:$AG$1001,MATCH(ROWS($AF$2:AF995),$AF$2:$AF$1001,0),1)&gt;=100000,INDEX($AM$1005:$BM$1005,1,MATCH(COLUMNS($AM$1006:BK1006),$AM$1006:$BM$1006,0))&gt;=100000), " ",IF(INDEX($AM$2:$BM$1001,MATCH(ROWS($AF$2:AF995),$AF$2:$AF$1001,0),MATCH(COLUMNS($AM$1006:BK1006),$AM$1006:$BM$1006,0)), HYPERLINK("#",""), HYPERLINK(CONCATENATE("#metadata!", ADDRESS(INDEX($AH$2:$AH$1001,MATCH(ROWS($AF$2:AF995),$AF$2:$AF$1001,0),0), INDEX($AM$1004:$BM$1004,1,MATCH(COLUMNS($AM$1006:BK1006),$AM$1006:$BM$1006,0)))),"Fix")))</f>
        <v xml:space="preserve"> </v>
      </c>
      <c r="AA995" s="4" t="str">
        <f ca="1">IF(OR(INDEX($AG$2:$AG$1001,MATCH(ROWS($AF$2:AF995),$AF$2:$AF$1001,0),1)&gt;=100000,INDEX($AM$1005:$BM$1005,1,MATCH(COLUMNS($AM$1006:BL1006),$AM$1006:$BM$1006,0))&gt;=100000), " ",IF(INDEX($AM$2:$BM$1001,MATCH(ROWS($AF$2:AF995),$AF$2:$AF$1001,0),MATCH(COLUMNS($AM$1006:BL1006),$AM$1006:$BM$1006,0)), HYPERLINK("#",""), HYPERLINK(CONCATENATE("#metadata!", ADDRESS(INDEX($AH$2:$AH$1001,MATCH(ROWS($AF$2:AF995),$AF$2:$AF$1001,0),0), INDEX($AM$1004:$BM$1004,1,MATCH(COLUMNS($AM$1006:BL1006),$AM$1006:$BM$1006,0)))),"Fix")))</f>
        <v xml:space="preserve"> </v>
      </c>
      <c r="AB995" s="4" t="str">
        <f ca="1">IF(OR(INDEX($AG$2:$AG$1001,MATCH(ROWS($AF$2:AF995),$AF$2:$AF$1001,0),1)&gt;=100000,INDEX($AM$1005:$BM$1005,1,MATCH(COLUMNS($AM$1006:BM1006),$AM$1006:$BM$1006,0))&gt;=100000), " ",IF(INDEX($AM$2:$BM$1001,MATCH(ROWS($AF$2:AF995),$AF$2:$AF$1001,0),MATCH(COLUMNS($AM$1006:BM1006),$AM$1006:$BM$1006,0)), HYPERLINK("#",""), HYPERLINK(CONCATENATE("#metadata!", ADDRESS(INDEX($AH$2:$AH$1001,MATCH(ROWS($AF$2:AF995),$AF$2:$AF$1001,0),0), INDEX($AM$1004:$BM$1004,1,MATCH(COLUMNS($AM$1006:BM1006),$AM$1006:$BM$1006,0)))),"Fix")))</f>
        <v xml:space="preserve"> </v>
      </c>
      <c r="AF995">
        <v>994</v>
      </c>
      <c r="AG995">
        <v>100995</v>
      </c>
      <c r="AH995">
        <v>995</v>
      </c>
      <c r="AI995" t="b">
        <f t="shared" si="15"/>
        <v>1</v>
      </c>
      <c r="AJ995" t="b">
        <f>COUNTBLANK(metadata!B995:AB995)=COLUMNS(metadata!B995:AB995)</f>
        <v>1</v>
      </c>
      <c r="AK995" t="str">
        <v/>
      </c>
      <c r="AM995" t="b">
        <f ca="1">AND(IF(metadata!B995="",FALSE,TRUE),COUNTIF(metadata!B:B, metadata!B995) = 1,NOT(ISERROR(SUMPRODUCT(SEARCH(MID(metadata!B995,ROW(INDIRECT("1:"&amp;LEN(metadata!B995))), 1),"0123456789abcdefghijklmnopqrstuvwxyzABCDEFGHIJKLMNOPQRSTUVWXYZ.")))))</f>
        <v>0</v>
      </c>
      <c r="AN995" t="b">
        <f ca="1">OR(AND(IF(metadata!C995="",FALSE,TRUE),OR(EXACT(metadata!C995,"missing: not collected"),EXACT(metadata!C995,"missing: not provided"),EXACT(metadata!C995,"missing: restricted access"))),AND(IF(metadata!C995="",FALSE,TRUE),AND(AND(IFERROR(INT(LEFT(metadata!C995,4))&gt;1900,FALSE),IFERROR(INT(LEFT(metadata!C995,4))&lt;=YEAR(NOW()),FALSE)), OR(MID(metadata!C995,5,1)="", AND(AND(MID(metadata!C995,5,1)="-",IFERROR(INT(MID(metadata!C995,6,1))&gt;=0,FALSE),IFERROR(INT(MID(metadata!C995,6,1))&lt;=1,FALSE),NOT(MID(metadata!C995,7,1)=""),IFERROR(INT(MID(metadata!C995,6,2))&gt;=1,FALSE),IFERROR(INT(MID(metadata!C995,6,2))&lt;=12,FALSE)), OR(MID(metadata!C995,8,1)="", AND(AND(MID(metadata!C995,8,1)="-",IFERROR(INT(MID(metadata!C995,9,1))&gt;=0,FALSE),IFERROR(INT(MID(metadata!C995,9,1))&lt;=3,FALSE),NOT(MID(metadata!C995,10,1)=""),IFERROR(INT(MID(metadata!C995,9,2))&gt;=1,FALSE),IFERROR(INT(MID(metadata!C995,9,2))&lt;=31,FALSE)), OR(MID(metadata!C995,11,1)="", AND(AND(MID(metadata!C995,11,1)=" ",IFERROR(INT(MID(metadata!C995,12,1))&gt;=0,FALSE),IFERROR(INT(MID(metadata!C995,12,1))&lt;=2,FALSE),NOT(MID(metadata!C995,13,1)=""),IFERROR(INT(MID(metadata!C995,12,2))&gt;=0,FALSE),IFERROR(INT(MID(metadata!C995,12,2))&lt;=23,FALSE)), OR(MID(metadata!C995,14,1)="", AND(AND(MID(metadata!C995,14,1)=":",IFERROR(INT(MID(metadata!C995,15,1))&gt;=0,FALSE),IFERROR(INT(MID(metadata!C995,15,1))&lt;=5,FALSE),NOT(MID(metadata!C995,16,1)=""),IFERROR(INT(MID(metadata!C995,15,2))&gt;=0,FALSE),IFERROR(INT(MID(metadata!C995,15,2))&lt;=59,FALSE)), OR(MID(metadata!C995,17,1)="", AND(AND(MID(metadata!C995,17,1)=":",IFERROR(INT(MID(metadata!C995,18,1))&gt;=0,FALSE),IFERROR(INT(MID(metadata!C995,18,1))&lt;=5,FALSE),NOT(MID(metadata!C995,19,1)=""),IFERROR(INT(MID(metadata!C995,18,2))&gt;=0,FALSE),IFERROR(INT(MID(metadata!C995,18,2))&lt;=59,FALSE)), LEN(metadata!C995)&lt;=19)))))))))))))</f>
        <v>0</v>
      </c>
      <c r="AO995" t="b">
        <f>AND(IF(metadata!D995="",FALSE,TRUE),EXACT(metadata!D995,"Not applicable"))</f>
        <v>0</v>
      </c>
      <c r="AP995" t="b">
        <f>IF(metadata!E995="",FALSE,TRUE)</f>
        <v>0</v>
      </c>
      <c r="AQ995" t="b">
        <f>OR(AND(IF(metadata!F995="",FALSE,TRUE),OR(EXACT(metadata!F995,"missing: not collected"),EXACT(metadata!F995,"missing: not provided"))),AND(IF(metadata!F995="",FALSE,TRUE),OR(EXACT(metadata!F995,"TRUE"),EXACT(metadata!F995,"FALSE"))))</f>
        <v>0</v>
      </c>
      <c r="AR995" t="b">
        <f>OR(AND(IF(metadata!G995="",FALSE,TRUE),OR(EXACT(metadata!G995,"missing: not collected"),EXACT(metadata!G995,"missing: not provided"),EXACT(metadata!G995,"missing: restricted access"))),AND(IF(metadata!G995="",FALSE,ISNUMBER(VALUE(metadata!G995))),metadata!G995&gt;=-413))</f>
        <v>0</v>
      </c>
      <c r="AS995" t="b">
        <f>AND(IF(metadata!H995="",FALSE,TRUE),EXACT(metadata!H995,"meters"))</f>
        <v>0</v>
      </c>
      <c r="AT995" t="b">
        <f>AND(IF(metadata!I995="",FALSE,TRUE),OR(EXACT(metadata!I995,"Host-associated"),EXACT(metadata!I995,"Free-living")))</f>
        <v>0</v>
      </c>
      <c r="AU995" t="b">
        <f>AND(IF(metadata!J995="",FALSE,TRUE),OR(EXACT(metadata!J995,"Animal"),EXACT(metadata!J995,"Fungus"),EXACT(metadata!J995,"Plant"),EXACT(metadata!J995,"Saline"),EXACT(metadata!J995,"Non-saline")))</f>
        <v>0</v>
      </c>
      <c r="AV995" t="b">
        <f>AND(IF(metadata!K995="",FALSE,TRUE),OR(EXACT(metadata!K995,"Plant secretion"),EXACT(metadata!K995,"Plant rhizosphere"),EXACT(metadata!K995,"Plant surface"),EXACT(metadata!K995,"Plant corpus"),EXACT(metadata!K995,"Fungus surface"),EXACT(metadata!K995,"Fungus corpus"),EXACT(metadata!K995,"Animal surface"),EXACT(metadata!K995,"Animal proximal gut"),EXACT(metadata!K995,"Animal corpus"),EXACT(metadata!K995,"Animal distal gut"),EXACT(metadata!K995,"Animal secretion"),EXACT(metadata!K995,"Sub-surface (non-saline)"),EXACT(metadata!K995,"Surface (non-saline)"),EXACT(metadata!K995,"Water (non-saline)"),EXACT(metadata!K995,"Soil (non-saline)"),EXACT(metadata!K995,"Aerosol (non-saline)"),EXACT(metadata!K995,"Sediment (non-saline)"),EXACT(metadata!K995,"Surface (saline)"),EXACT(metadata!K995,"Water (saline)"),EXACT(metadata!K995,"Hypersaline (saline)"),EXACT(metadata!K995,"Aerosol (saline)"),EXACT(metadata!K995,"Sediment (saline)")))</f>
        <v>0</v>
      </c>
      <c r="AW995" t="b">
        <f>IF(metadata!L995="",FALSE,TRUE)</f>
        <v>0</v>
      </c>
      <c r="AX995" t="b">
        <f>IF(metadata!M995="",FALSE,TRUE)</f>
        <v>0</v>
      </c>
      <c r="AY995" t="b">
        <f>IF(metadata!N995="",FALSE,TRUE)</f>
        <v>0</v>
      </c>
      <c r="AZ995" t="b">
        <f>OR(AND(IF(metadata!O995="",FALSE,TRUE),OR(EXACT(metadata!O995,"missing: not collected"),EXACT(metadata!O995,"missing: not provided"),EXACT(metadata!O995,"missing: restricted access"))),AND(IF(metadata!O995="",FALSE,TRUE),OR(EXACT(metadata!O995,"air"),EXACT(metadata!O995,"built environment"),EXACT(metadata!O995,"host-associated"),EXACT(metadata!O995,"human-associated"),EXACT(metadata!O995,"human-skin"),EXACT(metadata!O995,"human-oral"),EXACT(metadata!O995,"human-gut"),EXACT(metadata!O995,"human-vaginal"),EXACT(metadata!O995,"microbial mat/biofilm"),EXACT(metadata!O995,"misc environment"),EXACT(metadata!O995,"plant-associated"),EXACT(metadata!O995,"sediment"),EXACT(metadata!O995,"soil"),EXACT(metadata!O995,"wastewater/sludge"),EXACT(metadata!O995,"water"))))</f>
        <v>0</v>
      </c>
      <c r="BA995" t="b">
        <f>IF(metadata!P995="",FALSE,TRUE)</f>
        <v>0</v>
      </c>
      <c r="BB995" t="b">
        <f>IF(metadata!Q995="",FALSE,TRUE)</f>
        <v>0</v>
      </c>
      <c r="BC995" t="b">
        <f>OR(AND(IF(metadata!R995="",FALSE,TRUE),OR(EXACT(metadata!R995,"missing: not collected"),EXACT(metadata!R995,"missing: not provided"),EXACT(metadata!R995,"missing: restricted access"))),AND(IF(metadata!R995="",FALSE,ISNUMBER(VALUE(metadata!R995))),metadata!R995&gt;=-90,metadata!R995&lt;=90))</f>
        <v>0</v>
      </c>
      <c r="BD995" t="b">
        <f>AND(IF(metadata!S995="",FALSE,TRUE),EXACT(metadata!S995,"Decimal degrees"))</f>
        <v>0</v>
      </c>
      <c r="BE995" t="b">
        <f>OR(AND(IF(metadata!T995="",FALSE,TRUE),OR(EXACT(metadata!T995,"missing: not collected"),EXACT(metadata!T995,"missing: not provided"),EXACT(metadata!T995,"missing: restricted access"))),AND(IF(metadata!T995="",FALSE,ISNUMBER(VALUE(metadata!T995))),metadata!T995&gt;=-180,metadata!T995&lt;=180))</f>
        <v>0</v>
      </c>
      <c r="BF995" t="b">
        <f>AND(IF(metadata!U995="",FALSE,TRUE),EXACT(metadata!U995,"Decimal degrees"))</f>
        <v>0</v>
      </c>
      <c r="BG995" t="b">
        <f>IF(metadata!V995="",FALSE,TRUE)</f>
        <v>0</v>
      </c>
      <c r="BH995" t="b">
        <f>OR(AND(IF(metadata!W995="",FALSE,TRUE),OR(EXACT(metadata!W995,"missing: not collected"),EXACT(metadata!W995,"missing: not provided"),EXACT(metadata!W995,"missing: restricted access"))),AND(IF(metadata!W995="",FALSE,TRUE),OR(EXACT(metadata!W995,"TRUE"),EXACT(metadata!W995,"FALSE"))))</f>
        <v>0</v>
      </c>
      <c r="BI995" t="b">
        <f>AND(IF(metadata!X995="",FALSE,TRUE),EXACT(metadata!X995,"other"))</f>
        <v>0</v>
      </c>
      <c r="BJ995" t="b">
        <f>IF(metadata!Y995="",FALSE,TRUE)</f>
        <v>0</v>
      </c>
      <c r="BK995" t="b">
        <f>OR(AND(IF(metadata!Z995="",FALSE,TRUE),OR(EXACT(metadata!Z995,"missing: not collected"),EXACT(metadata!Z995,"missing: not provided"))),AND(IF(metadata!Z995="",FALSE,IF(ISERROR(INT(metadata!Z995)),FALSE,INT(metadata!Z995)=metadata!Z995)),metadata!Z995&gt;0))</f>
        <v>0</v>
      </c>
      <c r="BL995" t="b">
        <f>AND(IF(metadata!AA995="",FALSE,TRUE),EXACT(metadata!AA995,"Not applicable"))</f>
        <v>0</v>
      </c>
      <c r="BM995" t="b">
        <f>IF(metadata!AB995="",FALSE,TRUE)</f>
        <v>0</v>
      </c>
    </row>
    <row r="996" spans="1:65" x14ac:dyDescent="0.2">
      <c r="A996" s="5" t="str">
        <f ca="1">IF(B996=" "," ",HYPERLINK(CONCATENATE("#metadata!",ADDRESS(INDEX($AH$2:$AH$1001,MATCH(ROWS($AF$2:AF996),$AF$2:$AF$1001,0),0),1)),INDEX($AK$2:$AK$1001,MATCH(ROWS($AF$2:AF996),$AF$2:$AF$1001,0),0)))</f>
        <v xml:space="preserve"> </v>
      </c>
      <c r="B996" s="4" t="str">
        <f ca="1">IF(OR(INDEX($AG$2:$AG$1001,MATCH(ROWS($AF$2:AF996),$AF$2:$AF$1001,0),1)&gt;=100000,INDEX($AM$1005:$BM$1005,1,MATCH(COLUMNS($AM$1006:AM1006),$AM$1006:$BM$1006,0))&gt;=100000), " ",IF(INDEX($AM$2:$BM$1001,MATCH(ROWS($AF$2:AF996),$AF$2:$AF$1001,0),MATCH(COLUMNS($AM$1006:AM1006),$AM$1006:$BM$1006,0)), HYPERLINK("#",""), HYPERLINK(CONCATENATE("#metadata!", ADDRESS(INDEX($AH$2:$AH$1001,MATCH(ROWS($AF$2:AF996),$AF$2:$AF$1001,0),0), INDEX($AM$1004:$BM$1004,1,MATCH(COLUMNS($AM$1006:AM1006),$AM$1006:$BM$1006,0)))),"Fix")))</f>
        <v xml:space="preserve"> </v>
      </c>
      <c r="C996" s="4" t="str">
        <f ca="1">IF(OR(INDEX($AG$2:$AG$1001,MATCH(ROWS($AF$2:AF996),$AF$2:$AF$1001,0),1)&gt;=100000,INDEX($AM$1005:$BM$1005,1,MATCH(COLUMNS($AM$1006:AN1006),$AM$1006:$BM$1006,0))&gt;=100000), " ",IF(INDEX($AM$2:$BM$1001,MATCH(ROWS($AF$2:AF996),$AF$2:$AF$1001,0),MATCH(COLUMNS($AM$1006:AN1006),$AM$1006:$BM$1006,0)), HYPERLINK("#",""), HYPERLINK(CONCATENATE("#metadata!", ADDRESS(INDEX($AH$2:$AH$1001,MATCH(ROWS($AF$2:AF996),$AF$2:$AF$1001,0),0), INDEX($AM$1004:$BM$1004,1,MATCH(COLUMNS($AM$1006:AN1006),$AM$1006:$BM$1006,0)))),"Fix")))</f>
        <v xml:space="preserve"> </v>
      </c>
      <c r="D996" s="4" t="str">
        <f ca="1">IF(OR(INDEX($AG$2:$AG$1001,MATCH(ROWS($AF$2:AF996),$AF$2:$AF$1001,0),1)&gt;=100000,INDEX($AM$1005:$BM$1005,1,MATCH(COLUMNS($AM$1006:AO1006),$AM$1006:$BM$1006,0))&gt;=100000), " ",IF(INDEX($AM$2:$BM$1001,MATCH(ROWS($AF$2:AF996),$AF$2:$AF$1001,0),MATCH(COLUMNS($AM$1006:AO1006),$AM$1006:$BM$1006,0)), HYPERLINK("#",""), HYPERLINK(CONCATENATE("#metadata!", ADDRESS(INDEX($AH$2:$AH$1001,MATCH(ROWS($AF$2:AF996),$AF$2:$AF$1001,0),0), INDEX($AM$1004:$BM$1004,1,MATCH(COLUMNS($AM$1006:AO1006),$AM$1006:$BM$1006,0)))),"Fix")))</f>
        <v xml:space="preserve"> </v>
      </c>
      <c r="E996" s="4" t="str">
        <f ca="1">IF(OR(INDEX($AG$2:$AG$1001,MATCH(ROWS($AF$2:AF996),$AF$2:$AF$1001,0),1)&gt;=100000,INDEX($AM$1005:$BM$1005,1,MATCH(COLUMNS($AM$1006:AP1006),$AM$1006:$BM$1006,0))&gt;=100000), " ",IF(INDEX($AM$2:$BM$1001,MATCH(ROWS($AF$2:AF996),$AF$2:$AF$1001,0),MATCH(COLUMNS($AM$1006:AP1006),$AM$1006:$BM$1006,0)), HYPERLINK("#",""), HYPERLINK(CONCATENATE("#metadata!", ADDRESS(INDEX($AH$2:$AH$1001,MATCH(ROWS($AF$2:AF996),$AF$2:$AF$1001,0),0), INDEX($AM$1004:$BM$1004,1,MATCH(COLUMNS($AM$1006:AP1006),$AM$1006:$BM$1006,0)))),"Fix")))</f>
        <v xml:space="preserve"> </v>
      </c>
      <c r="F996" s="4" t="str">
        <f ca="1">IF(OR(INDEX($AG$2:$AG$1001,MATCH(ROWS($AF$2:AF996),$AF$2:$AF$1001,0),1)&gt;=100000,INDEX($AM$1005:$BM$1005,1,MATCH(COLUMNS($AM$1006:AQ1006),$AM$1006:$BM$1006,0))&gt;=100000), " ",IF(INDEX($AM$2:$BM$1001,MATCH(ROWS($AF$2:AF996),$AF$2:$AF$1001,0),MATCH(COLUMNS($AM$1006:AQ1006),$AM$1006:$BM$1006,0)), HYPERLINK("#",""), HYPERLINK(CONCATENATE("#metadata!", ADDRESS(INDEX($AH$2:$AH$1001,MATCH(ROWS($AF$2:AF996),$AF$2:$AF$1001,0),0), INDEX($AM$1004:$BM$1004,1,MATCH(COLUMNS($AM$1006:AQ1006),$AM$1006:$BM$1006,0)))),"Fix")))</f>
        <v xml:space="preserve"> </v>
      </c>
      <c r="G996" s="4" t="str">
        <f ca="1">IF(OR(INDEX($AG$2:$AG$1001,MATCH(ROWS($AF$2:AF996),$AF$2:$AF$1001,0),1)&gt;=100000,INDEX($AM$1005:$BM$1005,1,MATCH(COLUMNS($AM$1006:AR1006),$AM$1006:$BM$1006,0))&gt;=100000), " ",IF(INDEX($AM$2:$BM$1001,MATCH(ROWS($AF$2:AF996),$AF$2:$AF$1001,0),MATCH(COLUMNS($AM$1006:AR1006),$AM$1006:$BM$1006,0)), HYPERLINK("#",""), HYPERLINK(CONCATENATE("#metadata!", ADDRESS(INDEX($AH$2:$AH$1001,MATCH(ROWS($AF$2:AF996),$AF$2:$AF$1001,0),0), INDEX($AM$1004:$BM$1004,1,MATCH(COLUMNS($AM$1006:AR1006),$AM$1006:$BM$1006,0)))),"Fix")))</f>
        <v xml:space="preserve"> </v>
      </c>
      <c r="H996" s="4" t="str">
        <f ca="1">IF(OR(INDEX($AG$2:$AG$1001,MATCH(ROWS($AF$2:AF996),$AF$2:$AF$1001,0),1)&gt;=100000,INDEX($AM$1005:$BM$1005,1,MATCH(COLUMNS($AM$1006:AS1006),$AM$1006:$BM$1006,0))&gt;=100000), " ",IF(INDEX($AM$2:$BM$1001,MATCH(ROWS($AF$2:AF996),$AF$2:$AF$1001,0),MATCH(COLUMNS($AM$1006:AS1006),$AM$1006:$BM$1006,0)), HYPERLINK("#",""), HYPERLINK(CONCATENATE("#metadata!", ADDRESS(INDEX($AH$2:$AH$1001,MATCH(ROWS($AF$2:AF996),$AF$2:$AF$1001,0),0), INDEX($AM$1004:$BM$1004,1,MATCH(COLUMNS($AM$1006:AS1006),$AM$1006:$BM$1006,0)))),"Fix")))</f>
        <v xml:space="preserve"> </v>
      </c>
      <c r="I996" s="4" t="str">
        <f ca="1">IF(OR(INDEX($AG$2:$AG$1001,MATCH(ROWS($AF$2:AF996),$AF$2:$AF$1001,0),1)&gt;=100000,INDEX($AM$1005:$BM$1005,1,MATCH(COLUMNS($AM$1006:AT1006),$AM$1006:$BM$1006,0))&gt;=100000), " ",IF(INDEX($AM$2:$BM$1001,MATCH(ROWS($AF$2:AF996),$AF$2:$AF$1001,0),MATCH(COLUMNS($AM$1006:AT1006),$AM$1006:$BM$1006,0)), HYPERLINK("#",""), HYPERLINK(CONCATENATE("#metadata!", ADDRESS(INDEX($AH$2:$AH$1001,MATCH(ROWS($AF$2:AF996),$AF$2:$AF$1001,0),0), INDEX($AM$1004:$BM$1004,1,MATCH(COLUMNS($AM$1006:AT1006),$AM$1006:$BM$1006,0)))),"Fix")))</f>
        <v xml:space="preserve"> </v>
      </c>
      <c r="J996" s="4" t="str">
        <f ca="1">IF(OR(INDEX($AG$2:$AG$1001,MATCH(ROWS($AF$2:AF996),$AF$2:$AF$1001,0),1)&gt;=100000,INDEX($AM$1005:$BM$1005,1,MATCH(COLUMNS($AM$1006:AU1006),$AM$1006:$BM$1006,0))&gt;=100000), " ",IF(INDEX($AM$2:$BM$1001,MATCH(ROWS($AF$2:AF996),$AF$2:$AF$1001,0),MATCH(COLUMNS($AM$1006:AU1006),$AM$1006:$BM$1006,0)), HYPERLINK("#",""), HYPERLINK(CONCATENATE("#metadata!", ADDRESS(INDEX($AH$2:$AH$1001,MATCH(ROWS($AF$2:AF996),$AF$2:$AF$1001,0),0), INDEX($AM$1004:$BM$1004,1,MATCH(COLUMNS($AM$1006:AU1006),$AM$1006:$BM$1006,0)))),"Fix")))</f>
        <v xml:space="preserve"> </v>
      </c>
      <c r="K996" s="4" t="str">
        <f ca="1">IF(OR(INDEX($AG$2:$AG$1001,MATCH(ROWS($AF$2:AF996),$AF$2:$AF$1001,0),1)&gt;=100000,INDEX($AM$1005:$BM$1005,1,MATCH(COLUMNS($AM$1006:AV1006),$AM$1006:$BM$1006,0))&gt;=100000), " ",IF(INDEX($AM$2:$BM$1001,MATCH(ROWS($AF$2:AF996),$AF$2:$AF$1001,0),MATCH(COLUMNS($AM$1006:AV1006),$AM$1006:$BM$1006,0)), HYPERLINK("#",""), HYPERLINK(CONCATENATE("#metadata!", ADDRESS(INDEX($AH$2:$AH$1001,MATCH(ROWS($AF$2:AF996),$AF$2:$AF$1001,0),0), INDEX($AM$1004:$BM$1004,1,MATCH(COLUMNS($AM$1006:AV1006),$AM$1006:$BM$1006,0)))),"Fix")))</f>
        <v xml:space="preserve"> </v>
      </c>
      <c r="L996" s="4" t="str">
        <f ca="1">IF(OR(INDEX($AG$2:$AG$1001,MATCH(ROWS($AF$2:AF996),$AF$2:$AF$1001,0),1)&gt;=100000,INDEX($AM$1005:$BM$1005,1,MATCH(COLUMNS($AM$1006:AW1006),$AM$1006:$BM$1006,0))&gt;=100000), " ",IF(INDEX($AM$2:$BM$1001,MATCH(ROWS($AF$2:AF996),$AF$2:$AF$1001,0),MATCH(COLUMNS($AM$1006:AW1006),$AM$1006:$BM$1006,0)), HYPERLINK("#",""), HYPERLINK(CONCATENATE("#metadata!", ADDRESS(INDEX($AH$2:$AH$1001,MATCH(ROWS($AF$2:AF996),$AF$2:$AF$1001,0),0), INDEX($AM$1004:$BM$1004,1,MATCH(COLUMNS($AM$1006:AW1006),$AM$1006:$BM$1006,0)))),"Fix")))</f>
        <v xml:space="preserve"> </v>
      </c>
      <c r="M996" s="4" t="str">
        <f ca="1">IF(OR(INDEX($AG$2:$AG$1001,MATCH(ROWS($AF$2:AF996),$AF$2:$AF$1001,0),1)&gt;=100000,INDEX($AM$1005:$BM$1005,1,MATCH(COLUMNS($AM$1006:AX1006),$AM$1006:$BM$1006,0))&gt;=100000), " ",IF(INDEX($AM$2:$BM$1001,MATCH(ROWS($AF$2:AF996),$AF$2:$AF$1001,0),MATCH(COLUMNS($AM$1006:AX1006),$AM$1006:$BM$1006,0)), HYPERLINK("#",""), HYPERLINK(CONCATENATE("#metadata!", ADDRESS(INDEX($AH$2:$AH$1001,MATCH(ROWS($AF$2:AF996),$AF$2:$AF$1001,0),0), INDEX($AM$1004:$BM$1004,1,MATCH(COLUMNS($AM$1006:AX1006),$AM$1006:$BM$1006,0)))),"Fix")))</f>
        <v xml:space="preserve"> </v>
      </c>
      <c r="N996" s="4" t="str">
        <f ca="1">IF(OR(INDEX($AG$2:$AG$1001,MATCH(ROWS($AF$2:AF996),$AF$2:$AF$1001,0),1)&gt;=100000,INDEX($AM$1005:$BM$1005,1,MATCH(COLUMNS($AM$1006:AY1006),$AM$1006:$BM$1006,0))&gt;=100000), " ",IF(INDEX($AM$2:$BM$1001,MATCH(ROWS($AF$2:AF996),$AF$2:$AF$1001,0),MATCH(COLUMNS($AM$1006:AY1006),$AM$1006:$BM$1006,0)), HYPERLINK("#",""), HYPERLINK(CONCATENATE("#metadata!", ADDRESS(INDEX($AH$2:$AH$1001,MATCH(ROWS($AF$2:AF996),$AF$2:$AF$1001,0),0), INDEX($AM$1004:$BM$1004,1,MATCH(COLUMNS($AM$1006:AY1006),$AM$1006:$BM$1006,0)))),"Fix")))</f>
        <v xml:space="preserve"> </v>
      </c>
      <c r="O996" s="4" t="str">
        <f ca="1">IF(OR(INDEX($AG$2:$AG$1001,MATCH(ROWS($AF$2:AF996),$AF$2:$AF$1001,0),1)&gt;=100000,INDEX($AM$1005:$BM$1005,1,MATCH(COLUMNS($AM$1006:AZ1006),$AM$1006:$BM$1006,0))&gt;=100000), " ",IF(INDEX($AM$2:$BM$1001,MATCH(ROWS($AF$2:AF996),$AF$2:$AF$1001,0),MATCH(COLUMNS($AM$1006:AZ1006),$AM$1006:$BM$1006,0)), HYPERLINK("#",""), HYPERLINK(CONCATENATE("#metadata!", ADDRESS(INDEX($AH$2:$AH$1001,MATCH(ROWS($AF$2:AF996),$AF$2:$AF$1001,0),0), INDEX($AM$1004:$BM$1004,1,MATCH(COLUMNS($AM$1006:AZ1006),$AM$1006:$BM$1006,0)))),"Fix")))</f>
        <v xml:space="preserve"> </v>
      </c>
      <c r="P996" s="4" t="str">
        <f ca="1">IF(OR(INDEX($AG$2:$AG$1001,MATCH(ROWS($AF$2:AF996),$AF$2:$AF$1001,0),1)&gt;=100000,INDEX($AM$1005:$BM$1005,1,MATCH(COLUMNS($AM$1006:BA1006),$AM$1006:$BM$1006,0))&gt;=100000), " ",IF(INDEX($AM$2:$BM$1001,MATCH(ROWS($AF$2:AF996),$AF$2:$AF$1001,0),MATCH(COLUMNS($AM$1006:BA1006),$AM$1006:$BM$1006,0)), HYPERLINK("#",""), HYPERLINK(CONCATENATE("#metadata!", ADDRESS(INDEX($AH$2:$AH$1001,MATCH(ROWS($AF$2:AF996),$AF$2:$AF$1001,0),0), INDEX($AM$1004:$BM$1004,1,MATCH(COLUMNS($AM$1006:BA1006),$AM$1006:$BM$1006,0)))),"Fix")))</f>
        <v xml:space="preserve"> </v>
      </c>
      <c r="Q996" s="4" t="str">
        <f ca="1">IF(OR(INDEX($AG$2:$AG$1001,MATCH(ROWS($AF$2:AF996),$AF$2:$AF$1001,0),1)&gt;=100000,INDEX($AM$1005:$BM$1005,1,MATCH(COLUMNS($AM$1006:BB1006),$AM$1006:$BM$1006,0))&gt;=100000), " ",IF(INDEX($AM$2:$BM$1001,MATCH(ROWS($AF$2:AF996),$AF$2:$AF$1001,0),MATCH(COLUMNS($AM$1006:BB1006),$AM$1006:$BM$1006,0)), HYPERLINK("#",""), HYPERLINK(CONCATENATE("#metadata!", ADDRESS(INDEX($AH$2:$AH$1001,MATCH(ROWS($AF$2:AF996),$AF$2:$AF$1001,0),0), INDEX($AM$1004:$BM$1004,1,MATCH(COLUMNS($AM$1006:BB1006),$AM$1006:$BM$1006,0)))),"Fix")))</f>
        <v xml:space="preserve"> </v>
      </c>
      <c r="R996" s="4" t="str">
        <f ca="1">IF(OR(INDEX($AG$2:$AG$1001,MATCH(ROWS($AF$2:AF996),$AF$2:$AF$1001,0),1)&gt;=100000,INDEX($AM$1005:$BM$1005,1,MATCH(COLUMNS($AM$1006:BC1006),$AM$1006:$BM$1006,0))&gt;=100000), " ",IF(INDEX($AM$2:$BM$1001,MATCH(ROWS($AF$2:AF996),$AF$2:$AF$1001,0),MATCH(COLUMNS($AM$1006:BC1006),$AM$1006:$BM$1006,0)), HYPERLINK("#",""), HYPERLINK(CONCATENATE("#metadata!", ADDRESS(INDEX($AH$2:$AH$1001,MATCH(ROWS($AF$2:AF996),$AF$2:$AF$1001,0),0), INDEX($AM$1004:$BM$1004,1,MATCH(COLUMNS($AM$1006:BC1006),$AM$1006:$BM$1006,0)))),"Fix")))</f>
        <v xml:space="preserve"> </v>
      </c>
      <c r="S996" s="4" t="str">
        <f ca="1">IF(OR(INDEX($AG$2:$AG$1001,MATCH(ROWS($AF$2:AF996),$AF$2:$AF$1001,0),1)&gt;=100000,INDEX($AM$1005:$BM$1005,1,MATCH(COLUMNS($AM$1006:BD1006),$AM$1006:$BM$1006,0))&gt;=100000), " ",IF(INDEX($AM$2:$BM$1001,MATCH(ROWS($AF$2:AF996),$AF$2:$AF$1001,0),MATCH(COLUMNS($AM$1006:BD1006),$AM$1006:$BM$1006,0)), HYPERLINK("#",""), HYPERLINK(CONCATENATE("#metadata!", ADDRESS(INDEX($AH$2:$AH$1001,MATCH(ROWS($AF$2:AF996),$AF$2:$AF$1001,0),0), INDEX($AM$1004:$BM$1004,1,MATCH(COLUMNS($AM$1006:BD1006),$AM$1006:$BM$1006,0)))),"Fix")))</f>
        <v xml:space="preserve"> </v>
      </c>
      <c r="T996" s="4" t="str">
        <f ca="1">IF(OR(INDEX($AG$2:$AG$1001,MATCH(ROWS($AF$2:AF996),$AF$2:$AF$1001,0),1)&gt;=100000,INDEX($AM$1005:$BM$1005,1,MATCH(COLUMNS($AM$1006:BE1006),$AM$1006:$BM$1006,0))&gt;=100000), " ",IF(INDEX($AM$2:$BM$1001,MATCH(ROWS($AF$2:AF996),$AF$2:$AF$1001,0),MATCH(COLUMNS($AM$1006:BE1006),$AM$1006:$BM$1006,0)), HYPERLINK("#",""), HYPERLINK(CONCATENATE("#metadata!", ADDRESS(INDEX($AH$2:$AH$1001,MATCH(ROWS($AF$2:AF996),$AF$2:$AF$1001,0),0), INDEX($AM$1004:$BM$1004,1,MATCH(COLUMNS($AM$1006:BE1006),$AM$1006:$BM$1006,0)))),"Fix")))</f>
        <v xml:space="preserve"> </v>
      </c>
      <c r="U996" s="4" t="str">
        <f ca="1">IF(OR(INDEX($AG$2:$AG$1001,MATCH(ROWS($AF$2:AF996),$AF$2:$AF$1001,0),1)&gt;=100000,INDEX($AM$1005:$BM$1005,1,MATCH(COLUMNS($AM$1006:BF1006),$AM$1006:$BM$1006,0))&gt;=100000), " ",IF(INDEX($AM$2:$BM$1001,MATCH(ROWS($AF$2:AF996),$AF$2:$AF$1001,0),MATCH(COLUMNS($AM$1006:BF1006),$AM$1006:$BM$1006,0)), HYPERLINK("#",""), HYPERLINK(CONCATENATE("#metadata!", ADDRESS(INDEX($AH$2:$AH$1001,MATCH(ROWS($AF$2:AF996),$AF$2:$AF$1001,0),0), INDEX($AM$1004:$BM$1004,1,MATCH(COLUMNS($AM$1006:BF1006),$AM$1006:$BM$1006,0)))),"Fix")))</f>
        <v xml:space="preserve"> </v>
      </c>
      <c r="V996" s="4" t="str">
        <f ca="1">IF(OR(INDEX($AG$2:$AG$1001,MATCH(ROWS($AF$2:AF996),$AF$2:$AF$1001,0),1)&gt;=100000,INDEX($AM$1005:$BM$1005,1,MATCH(COLUMNS($AM$1006:BG1006),$AM$1006:$BM$1006,0))&gt;=100000), " ",IF(INDEX($AM$2:$BM$1001,MATCH(ROWS($AF$2:AF996),$AF$2:$AF$1001,0),MATCH(COLUMNS($AM$1006:BG1006),$AM$1006:$BM$1006,0)), HYPERLINK("#",""), HYPERLINK(CONCATENATE("#metadata!", ADDRESS(INDEX($AH$2:$AH$1001,MATCH(ROWS($AF$2:AF996),$AF$2:$AF$1001,0),0), INDEX($AM$1004:$BM$1004,1,MATCH(COLUMNS($AM$1006:BG1006),$AM$1006:$BM$1006,0)))),"Fix")))</f>
        <v xml:space="preserve"> </v>
      </c>
      <c r="W996" s="4" t="str">
        <f ca="1">IF(OR(INDEX($AG$2:$AG$1001,MATCH(ROWS($AF$2:AF996),$AF$2:$AF$1001,0),1)&gt;=100000,INDEX($AM$1005:$BM$1005,1,MATCH(COLUMNS($AM$1006:BH1006),$AM$1006:$BM$1006,0))&gt;=100000), " ",IF(INDEX($AM$2:$BM$1001,MATCH(ROWS($AF$2:AF996),$AF$2:$AF$1001,0),MATCH(COLUMNS($AM$1006:BH1006),$AM$1006:$BM$1006,0)), HYPERLINK("#",""), HYPERLINK(CONCATENATE("#metadata!", ADDRESS(INDEX($AH$2:$AH$1001,MATCH(ROWS($AF$2:AF996),$AF$2:$AF$1001,0),0), INDEX($AM$1004:$BM$1004,1,MATCH(COLUMNS($AM$1006:BH1006),$AM$1006:$BM$1006,0)))),"Fix")))</f>
        <v xml:space="preserve"> </v>
      </c>
      <c r="X996" s="4" t="str">
        <f ca="1">IF(OR(INDEX($AG$2:$AG$1001,MATCH(ROWS($AF$2:AF996),$AF$2:$AF$1001,0),1)&gt;=100000,INDEX($AM$1005:$BM$1005,1,MATCH(COLUMNS($AM$1006:BI1006),$AM$1006:$BM$1006,0))&gt;=100000), " ",IF(INDEX($AM$2:$BM$1001,MATCH(ROWS($AF$2:AF996),$AF$2:$AF$1001,0),MATCH(COLUMNS($AM$1006:BI1006),$AM$1006:$BM$1006,0)), HYPERLINK("#",""), HYPERLINK(CONCATENATE("#metadata!", ADDRESS(INDEX($AH$2:$AH$1001,MATCH(ROWS($AF$2:AF996),$AF$2:$AF$1001,0),0), INDEX($AM$1004:$BM$1004,1,MATCH(COLUMNS($AM$1006:BI1006),$AM$1006:$BM$1006,0)))),"Fix")))</f>
        <v xml:space="preserve"> </v>
      </c>
      <c r="Y996" s="4" t="str">
        <f ca="1">IF(OR(INDEX($AG$2:$AG$1001,MATCH(ROWS($AF$2:AF996),$AF$2:$AF$1001,0),1)&gt;=100000,INDEX($AM$1005:$BM$1005,1,MATCH(COLUMNS($AM$1006:BJ1006),$AM$1006:$BM$1006,0))&gt;=100000), " ",IF(INDEX($AM$2:$BM$1001,MATCH(ROWS($AF$2:AF996),$AF$2:$AF$1001,0),MATCH(COLUMNS($AM$1006:BJ1006),$AM$1006:$BM$1006,0)), HYPERLINK("#",""), HYPERLINK(CONCATENATE("#metadata!", ADDRESS(INDEX($AH$2:$AH$1001,MATCH(ROWS($AF$2:AF996),$AF$2:$AF$1001,0),0), INDEX($AM$1004:$BM$1004,1,MATCH(COLUMNS($AM$1006:BJ1006),$AM$1006:$BM$1006,0)))),"Fix")))</f>
        <v xml:space="preserve"> </v>
      </c>
      <c r="Z996" s="4" t="str">
        <f ca="1">IF(OR(INDEX($AG$2:$AG$1001,MATCH(ROWS($AF$2:AF996),$AF$2:$AF$1001,0),1)&gt;=100000,INDEX($AM$1005:$BM$1005,1,MATCH(COLUMNS($AM$1006:BK1006),$AM$1006:$BM$1006,0))&gt;=100000), " ",IF(INDEX($AM$2:$BM$1001,MATCH(ROWS($AF$2:AF996),$AF$2:$AF$1001,0),MATCH(COLUMNS($AM$1006:BK1006),$AM$1006:$BM$1006,0)), HYPERLINK("#",""), HYPERLINK(CONCATENATE("#metadata!", ADDRESS(INDEX($AH$2:$AH$1001,MATCH(ROWS($AF$2:AF996),$AF$2:$AF$1001,0),0), INDEX($AM$1004:$BM$1004,1,MATCH(COLUMNS($AM$1006:BK1006),$AM$1006:$BM$1006,0)))),"Fix")))</f>
        <v xml:space="preserve"> </v>
      </c>
      <c r="AA996" s="4" t="str">
        <f ca="1">IF(OR(INDEX($AG$2:$AG$1001,MATCH(ROWS($AF$2:AF996),$AF$2:$AF$1001,0),1)&gt;=100000,INDEX($AM$1005:$BM$1005,1,MATCH(COLUMNS($AM$1006:BL1006),$AM$1006:$BM$1006,0))&gt;=100000), " ",IF(INDEX($AM$2:$BM$1001,MATCH(ROWS($AF$2:AF996),$AF$2:$AF$1001,0),MATCH(COLUMNS($AM$1006:BL1006),$AM$1006:$BM$1006,0)), HYPERLINK("#",""), HYPERLINK(CONCATENATE("#metadata!", ADDRESS(INDEX($AH$2:$AH$1001,MATCH(ROWS($AF$2:AF996),$AF$2:$AF$1001,0),0), INDEX($AM$1004:$BM$1004,1,MATCH(COLUMNS($AM$1006:BL1006),$AM$1006:$BM$1006,0)))),"Fix")))</f>
        <v xml:space="preserve"> </v>
      </c>
      <c r="AB996" s="4" t="str">
        <f ca="1">IF(OR(INDEX($AG$2:$AG$1001,MATCH(ROWS($AF$2:AF996),$AF$2:$AF$1001,0),1)&gt;=100000,INDEX($AM$1005:$BM$1005,1,MATCH(COLUMNS($AM$1006:BM1006),$AM$1006:$BM$1006,0))&gt;=100000), " ",IF(INDEX($AM$2:$BM$1001,MATCH(ROWS($AF$2:AF996),$AF$2:$AF$1001,0),MATCH(COLUMNS($AM$1006:BM1006),$AM$1006:$BM$1006,0)), HYPERLINK("#",""), HYPERLINK(CONCATENATE("#metadata!", ADDRESS(INDEX($AH$2:$AH$1001,MATCH(ROWS($AF$2:AF996),$AF$2:$AF$1001,0),0), INDEX($AM$1004:$BM$1004,1,MATCH(COLUMNS($AM$1006:BM1006),$AM$1006:$BM$1006,0)))),"Fix")))</f>
        <v xml:space="preserve"> </v>
      </c>
      <c r="AF996">
        <v>995</v>
      </c>
      <c r="AG996">
        <v>100996</v>
      </c>
      <c r="AH996">
        <v>996</v>
      </c>
      <c r="AI996" t="b">
        <f t="shared" si="15"/>
        <v>1</v>
      </c>
      <c r="AJ996" t="b">
        <f>COUNTBLANK(metadata!B996:AB996)=COLUMNS(metadata!B996:AB996)</f>
        <v>1</v>
      </c>
      <c r="AK996" t="str">
        <v/>
      </c>
      <c r="AM996" t="b">
        <f ca="1">AND(IF(metadata!B996="",FALSE,TRUE),COUNTIF(metadata!B:B, metadata!B996) = 1,NOT(ISERROR(SUMPRODUCT(SEARCH(MID(metadata!B996,ROW(INDIRECT("1:"&amp;LEN(metadata!B996))), 1),"0123456789abcdefghijklmnopqrstuvwxyzABCDEFGHIJKLMNOPQRSTUVWXYZ.")))))</f>
        <v>0</v>
      </c>
      <c r="AN996" t="b">
        <f ca="1">OR(AND(IF(metadata!C996="",FALSE,TRUE),OR(EXACT(metadata!C996,"missing: not collected"),EXACT(metadata!C996,"missing: not provided"),EXACT(metadata!C996,"missing: restricted access"))),AND(IF(metadata!C996="",FALSE,TRUE),AND(AND(IFERROR(INT(LEFT(metadata!C996,4))&gt;1900,FALSE),IFERROR(INT(LEFT(metadata!C996,4))&lt;=YEAR(NOW()),FALSE)), OR(MID(metadata!C996,5,1)="", AND(AND(MID(metadata!C996,5,1)="-",IFERROR(INT(MID(metadata!C996,6,1))&gt;=0,FALSE),IFERROR(INT(MID(metadata!C996,6,1))&lt;=1,FALSE),NOT(MID(metadata!C996,7,1)=""),IFERROR(INT(MID(metadata!C996,6,2))&gt;=1,FALSE),IFERROR(INT(MID(metadata!C996,6,2))&lt;=12,FALSE)), OR(MID(metadata!C996,8,1)="", AND(AND(MID(metadata!C996,8,1)="-",IFERROR(INT(MID(metadata!C996,9,1))&gt;=0,FALSE),IFERROR(INT(MID(metadata!C996,9,1))&lt;=3,FALSE),NOT(MID(metadata!C996,10,1)=""),IFERROR(INT(MID(metadata!C996,9,2))&gt;=1,FALSE),IFERROR(INT(MID(metadata!C996,9,2))&lt;=31,FALSE)), OR(MID(metadata!C996,11,1)="", AND(AND(MID(metadata!C996,11,1)=" ",IFERROR(INT(MID(metadata!C996,12,1))&gt;=0,FALSE),IFERROR(INT(MID(metadata!C996,12,1))&lt;=2,FALSE),NOT(MID(metadata!C996,13,1)=""),IFERROR(INT(MID(metadata!C996,12,2))&gt;=0,FALSE),IFERROR(INT(MID(metadata!C996,12,2))&lt;=23,FALSE)), OR(MID(metadata!C996,14,1)="", AND(AND(MID(metadata!C996,14,1)=":",IFERROR(INT(MID(metadata!C996,15,1))&gt;=0,FALSE),IFERROR(INT(MID(metadata!C996,15,1))&lt;=5,FALSE),NOT(MID(metadata!C996,16,1)=""),IFERROR(INT(MID(metadata!C996,15,2))&gt;=0,FALSE),IFERROR(INT(MID(metadata!C996,15,2))&lt;=59,FALSE)), OR(MID(metadata!C996,17,1)="", AND(AND(MID(metadata!C996,17,1)=":",IFERROR(INT(MID(metadata!C996,18,1))&gt;=0,FALSE),IFERROR(INT(MID(metadata!C996,18,1))&lt;=5,FALSE),NOT(MID(metadata!C996,19,1)=""),IFERROR(INT(MID(metadata!C996,18,2))&gt;=0,FALSE),IFERROR(INT(MID(metadata!C996,18,2))&lt;=59,FALSE)), LEN(metadata!C996)&lt;=19)))))))))))))</f>
        <v>0</v>
      </c>
      <c r="AO996" t="b">
        <f>AND(IF(metadata!D996="",FALSE,TRUE),EXACT(metadata!D996,"Not applicable"))</f>
        <v>0</v>
      </c>
      <c r="AP996" t="b">
        <f>IF(metadata!E996="",FALSE,TRUE)</f>
        <v>0</v>
      </c>
      <c r="AQ996" t="b">
        <f>OR(AND(IF(metadata!F996="",FALSE,TRUE),OR(EXACT(metadata!F996,"missing: not collected"),EXACT(metadata!F996,"missing: not provided"))),AND(IF(metadata!F996="",FALSE,TRUE),OR(EXACT(metadata!F996,"TRUE"),EXACT(metadata!F996,"FALSE"))))</f>
        <v>0</v>
      </c>
      <c r="AR996" t="b">
        <f>OR(AND(IF(metadata!G996="",FALSE,TRUE),OR(EXACT(metadata!G996,"missing: not collected"),EXACT(metadata!G996,"missing: not provided"),EXACT(metadata!G996,"missing: restricted access"))),AND(IF(metadata!G996="",FALSE,ISNUMBER(VALUE(metadata!G996))),metadata!G996&gt;=-413))</f>
        <v>0</v>
      </c>
      <c r="AS996" t="b">
        <f>AND(IF(metadata!H996="",FALSE,TRUE),EXACT(metadata!H996,"meters"))</f>
        <v>0</v>
      </c>
      <c r="AT996" t="b">
        <f>AND(IF(metadata!I996="",FALSE,TRUE),OR(EXACT(metadata!I996,"Host-associated"),EXACT(metadata!I996,"Free-living")))</f>
        <v>0</v>
      </c>
      <c r="AU996" t="b">
        <f>AND(IF(metadata!J996="",FALSE,TRUE),OR(EXACT(metadata!J996,"Animal"),EXACT(metadata!J996,"Fungus"),EXACT(metadata!J996,"Plant"),EXACT(metadata!J996,"Saline"),EXACT(metadata!J996,"Non-saline")))</f>
        <v>0</v>
      </c>
      <c r="AV996" t="b">
        <f>AND(IF(metadata!K996="",FALSE,TRUE),OR(EXACT(metadata!K996,"Plant secretion"),EXACT(metadata!K996,"Plant rhizosphere"),EXACT(metadata!K996,"Plant surface"),EXACT(metadata!K996,"Plant corpus"),EXACT(metadata!K996,"Fungus surface"),EXACT(metadata!K996,"Fungus corpus"),EXACT(metadata!K996,"Animal surface"),EXACT(metadata!K996,"Animal proximal gut"),EXACT(metadata!K996,"Animal corpus"),EXACT(metadata!K996,"Animal distal gut"),EXACT(metadata!K996,"Animal secretion"),EXACT(metadata!K996,"Sub-surface (non-saline)"),EXACT(metadata!K996,"Surface (non-saline)"),EXACT(metadata!K996,"Water (non-saline)"),EXACT(metadata!K996,"Soil (non-saline)"),EXACT(metadata!K996,"Aerosol (non-saline)"),EXACT(metadata!K996,"Sediment (non-saline)"),EXACT(metadata!K996,"Surface (saline)"),EXACT(metadata!K996,"Water (saline)"),EXACT(metadata!K996,"Hypersaline (saline)"),EXACT(metadata!K996,"Aerosol (saline)"),EXACT(metadata!K996,"Sediment (saline)")))</f>
        <v>0</v>
      </c>
      <c r="AW996" t="b">
        <f>IF(metadata!L996="",FALSE,TRUE)</f>
        <v>0</v>
      </c>
      <c r="AX996" t="b">
        <f>IF(metadata!M996="",FALSE,TRUE)</f>
        <v>0</v>
      </c>
      <c r="AY996" t="b">
        <f>IF(metadata!N996="",FALSE,TRUE)</f>
        <v>0</v>
      </c>
      <c r="AZ996" t="b">
        <f>OR(AND(IF(metadata!O996="",FALSE,TRUE),OR(EXACT(metadata!O996,"missing: not collected"),EXACT(metadata!O996,"missing: not provided"),EXACT(metadata!O996,"missing: restricted access"))),AND(IF(metadata!O996="",FALSE,TRUE),OR(EXACT(metadata!O996,"air"),EXACT(metadata!O996,"built environment"),EXACT(metadata!O996,"host-associated"),EXACT(metadata!O996,"human-associated"),EXACT(metadata!O996,"human-skin"),EXACT(metadata!O996,"human-oral"),EXACT(metadata!O996,"human-gut"),EXACT(metadata!O996,"human-vaginal"),EXACT(metadata!O996,"microbial mat/biofilm"),EXACT(metadata!O996,"misc environment"),EXACT(metadata!O996,"plant-associated"),EXACT(metadata!O996,"sediment"),EXACT(metadata!O996,"soil"),EXACT(metadata!O996,"wastewater/sludge"),EXACT(metadata!O996,"water"))))</f>
        <v>0</v>
      </c>
      <c r="BA996" t="b">
        <f>IF(metadata!P996="",FALSE,TRUE)</f>
        <v>0</v>
      </c>
      <c r="BB996" t="b">
        <f>IF(metadata!Q996="",FALSE,TRUE)</f>
        <v>0</v>
      </c>
      <c r="BC996" t="b">
        <f>OR(AND(IF(metadata!R996="",FALSE,TRUE),OR(EXACT(metadata!R996,"missing: not collected"),EXACT(metadata!R996,"missing: not provided"),EXACT(metadata!R996,"missing: restricted access"))),AND(IF(metadata!R996="",FALSE,ISNUMBER(VALUE(metadata!R996))),metadata!R996&gt;=-90,metadata!R996&lt;=90))</f>
        <v>0</v>
      </c>
      <c r="BD996" t="b">
        <f>AND(IF(metadata!S996="",FALSE,TRUE),EXACT(metadata!S996,"Decimal degrees"))</f>
        <v>0</v>
      </c>
      <c r="BE996" t="b">
        <f>OR(AND(IF(metadata!T996="",FALSE,TRUE),OR(EXACT(metadata!T996,"missing: not collected"),EXACT(metadata!T996,"missing: not provided"),EXACT(metadata!T996,"missing: restricted access"))),AND(IF(metadata!T996="",FALSE,ISNUMBER(VALUE(metadata!T996))),metadata!T996&gt;=-180,metadata!T996&lt;=180))</f>
        <v>0</v>
      </c>
      <c r="BF996" t="b">
        <f>AND(IF(metadata!U996="",FALSE,TRUE),EXACT(metadata!U996,"Decimal degrees"))</f>
        <v>0</v>
      </c>
      <c r="BG996" t="b">
        <f>IF(metadata!V996="",FALSE,TRUE)</f>
        <v>0</v>
      </c>
      <c r="BH996" t="b">
        <f>OR(AND(IF(metadata!W996="",FALSE,TRUE),OR(EXACT(metadata!W996,"missing: not collected"),EXACT(metadata!W996,"missing: not provided"),EXACT(metadata!W996,"missing: restricted access"))),AND(IF(metadata!W996="",FALSE,TRUE),OR(EXACT(metadata!W996,"TRUE"),EXACT(metadata!W996,"FALSE"))))</f>
        <v>0</v>
      </c>
      <c r="BI996" t="b">
        <f>AND(IF(metadata!X996="",FALSE,TRUE),EXACT(metadata!X996,"other"))</f>
        <v>0</v>
      </c>
      <c r="BJ996" t="b">
        <f>IF(metadata!Y996="",FALSE,TRUE)</f>
        <v>0</v>
      </c>
      <c r="BK996" t="b">
        <f>OR(AND(IF(metadata!Z996="",FALSE,TRUE),OR(EXACT(metadata!Z996,"missing: not collected"),EXACT(metadata!Z996,"missing: not provided"))),AND(IF(metadata!Z996="",FALSE,IF(ISERROR(INT(metadata!Z996)),FALSE,INT(metadata!Z996)=metadata!Z996)),metadata!Z996&gt;0))</f>
        <v>0</v>
      </c>
      <c r="BL996" t="b">
        <f>AND(IF(metadata!AA996="",FALSE,TRUE),EXACT(metadata!AA996,"Not applicable"))</f>
        <v>0</v>
      </c>
      <c r="BM996" t="b">
        <f>IF(metadata!AB996="",FALSE,TRUE)</f>
        <v>0</v>
      </c>
    </row>
    <row r="997" spans="1:65" x14ac:dyDescent="0.2">
      <c r="A997" s="5" t="str">
        <f ca="1">IF(B997=" "," ",HYPERLINK(CONCATENATE("#metadata!",ADDRESS(INDEX($AH$2:$AH$1001,MATCH(ROWS($AF$2:AF997),$AF$2:$AF$1001,0),0),1)),INDEX($AK$2:$AK$1001,MATCH(ROWS($AF$2:AF997),$AF$2:$AF$1001,0),0)))</f>
        <v xml:space="preserve"> </v>
      </c>
      <c r="B997" s="4" t="str">
        <f ca="1">IF(OR(INDEX($AG$2:$AG$1001,MATCH(ROWS($AF$2:AF997),$AF$2:$AF$1001,0),1)&gt;=100000,INDEX($AM$1005:$BM$1005,1,MATCH(COLUMNS($AM$1006:AM1006),$AM$1006:$BM$1006,0))&gt;=100000), " ",IF(INDEX($AM$2:$BM$1001,MATCH(ROWS($AF$2:AF997),$AF$2:$AF$1001,0),MATCH(COLUMNS($AM$1006:AM1006),$AM$1006:$BM$1006,0)), HYPERLINK("#",""), HYPERLINK(CONCATENATE("#metadata!", ADDRESS(INDEX($AH$2:$AH$1001,MATCH(ROWS($AF$2:AF997),$AF$2:$AF$1001,0),0), INDEX($AM$1004:$BM$1004,1,MATCH(COLUMNS($AM$1006:AM1006),$AM$1006:$BM$1006,0)))),"Fix")))</f>
        <v xml:space="preserve"> </v>
      </c>
      <c r="C997" s="4" t="str">
        <f ca="1">IF(OR(INDEX($AG$2:$AG$1001,MATCH(ROWS($AF$2:AF997),$AF$2:$AF$1001,0),1)&gt;=100000,INDEX($AM$1005:$BM$1005,1,MATCH(COLUMNS($AM$1006:AN1006),$AM$1006:$BM$1006,0))&gt;=100000), " ",IF(INDEX($AM$2:$BM$1001,MATCH(ROWS($AF$2:AF997),$AF$2:$AF$1001,0),MATCH(COLUMNS($AM$1006:AN1006),$AM$1006:$BM$1006,0)), HYPERLINK("#",""), HYPERLINK(CONCATENATE("#metadata!", ADDRESS(INDEX($AH$2:$AH$1001,MATCH(ROWS($AF$2:AF997),$AF$2:$AF$1001,0),0), INDEX($AM$1004:$BM$1004,1,MATCH(COLUMNS($AM$1006:AN1006),$AM$1006:$BM$1006,0)))),"Fix")))</f>
        <v xml:space="preserve"> </v>
      </c>
      <c r="D997" s="4" t="str">
        <f ca="1">IF(OR(INDEX($AG$2:$AG$1001,MATCH(ROWS($AF$2:AF997),$AF$2:$AF$1001,0),1)&gt;=100000,INDEX($AM$1005:$BM$1005,1,MATCH(COLUMNS($AM$1006:AO1006),$AM$1006:$BM$1006,0))&gt;=100000), " ",IF(INDEX($AM$2:$BM$1001,MATCH(ROWS($AF$2:AF997),$AF$2:$AF$1001,0),MATCH(COLUMNS($AM$1006:AO1006),$AM$1006:$BM$1006,0)), HYPERLINK("#",""), HYPERLINK(CONCATENATE("#metadata!", ADDRESS(INDEX($AH$2:$AH$1001,MATCH(ROWS($AF$2:AF997),$AF$2:$AF$1001,0),0), INDEX($AM$1004:$BM$1004,1,MATCH(COLUMNS($AM$1006:AO1006),$AM$1006:$BM$1006,0)))),"Fix")))</f>
        <v xml:space="preserve"> </v>
      </c>
      <c r="E997" s="4" t="str">
        <f ca="1">IF(OR(INDEX($AG$2:$AG$1001,MATCH(ROWS($AF$2:AF997),$AF$2:$AF$1001,0),1)&gt;=100000,INDEX($AM$1005:$BM$1005,1,MATCH(COLUMNS($AM$1006:AP1006),$AM$1006:$BM$1006,0))&gt;=100000), " ",IF(INDEX($AM$2:$BM$1001,MATCH(ROWS($AF$2:AF997),$AF$2:$AF$1001,0),MATCH(COLUMNS($AM$1006:AP1006),$AM$1006:$BM$1006,0)), HYPERLINK("#",""), HYPERLINK(CONCATENATE("#metadata!", ADDRESS(INDEX($AH$2:$AH$1001,MATCH(ROWS($AF$2:AF997),$AF$2:$AF$1001,0),0), INDEX($AM$1004:$BM$1004,1,MATCH(COLUMNS($AM$1006:AP1006),$AM$1006:$BM$1006,0)))),"Fix")))</f>
        <v xml:space="preserve"> </v>
      </c>
      <c r="F997" s="4" t="str">
        <f ca="1">IF(OR(INDEX($AG$2:$AG$1001,MATCH(ROWS($AF$2:AF997),$AF$2:$AF$1001,0),1)&gt;=100000,INDEX($AM$1005:$BM$1005,1,MATCH(COLUMNS($AM$1006:AQ1006),$AM$1006:$BM$1006,0))&gt;=100000), " ",IF(INDEX($AM$2:$BM$1001,MATCH(ROWS($AF$2:AF997),$AF$2:$AF$1001,0),MATCH(COLUMNS($AM$1006:AQ1006),$AM$1006:$BM$1006,0)), HYPERLINK("#",""), HYPERLINK(CONCATENATE("#metadata!", ADDRESS(INDEX($AH$2:$AH$1001,MATCH(ROWS($AF$2:AF997),$AF$2:$AF$1001,0),0), INDEX($AM$1004:$BM$1004,1,MATCH(COLUMNS($AM$1006:AQ1006),$AM$1006:$BM$1006,0)))),"Fix")))</f>
        <v xml:space="preserve"> </v>
      </c>
      <c r="G997" s="4" t="str">
        <f ca="1">IF(OR(INDEX($AG$2:$AG$1001,MATCH(ROWS($AF$2:AF997),$AF$2:$AF$1001,0),1)&gt;=100000,INDEX($AM$1005:$BM$1005,1,MATCH(COLUMNS($AM$1006:AR1006),$AM$1006:$BM$1006,0))&gt;=100000), " ",IF(INDEX($AM$2:$BM$1001,MATCH(ROWS($AF$2:AF997),$AF$2:$AF$1001,0),MATCH(COLUMNS($AM$1006:AR1006),$AM$1006:$BM$1006,0)), HYPERLINK("#",""), HYPERLINK(CONCATENATE("#metadata!", ADDRESS(INDEX($AH$2:$AH$1001,MATCH(ROWS($AF$2:AF997),$AF$2:$AF$1001,0),0), INDEX($AM$1004:$BM$1004,1,MATCH(COLUMNS($AM$1006:AR1006),$AM$1006:$BM$1006,0)))),"Fix")))</f>
        <v xml:space="preserve"> </v>
      </c>
      <c r="H997" s="4" t="str">
        <f ca="1">IF(OR(INDEX($AG$2:$AG$1001,MATCH(ROWS($AF$2:AF997),$AF$2:$AF$1001,0),1)&gt;=100000,INDEX($AM$1005:$BM$1005,1,MATCH(COLUMNS($AM$1006:AS1006),$AM$1006:$BM$1006,0))&gt;=100000), " ",IF(INDEX($AM$2:$BM$1001,MATCH(ROWS($AF$2:AF997),$AF$2:$AF$1001,0),MATCH(COLUMNS($AM$1006:AS1006),$AM$1006:$BM$1006,0)), HYPERLINK("#",""), HYPERLINK(CONCATENATE("#metadata!", ADDRESS(INDEX($AH$2:$AH$1001,MATCH(ROWS($AF$2:AF997),$AF$2:$AF$1001,0),0), INDEX($AM$1004:$BM$1004,1,MATCH(COLUMNS($AM$1006:AS1006),$AM$1006:$BM$1006,0)))),"Fix")))</f>
        <v xml:space="preserve"> </v>
      </c>
      <c r="I997" s="4" t="str">
        <f ca="1">IF(OR(INDEX($AG$2:$AG$1001,MATCH(ROWS($AF$2:AF997),$AF$2:$AF$1001,0),1)&gt;=100000,INDEX($AM$1005:$BM$1005,1,MATCH(COLUMNS($AM$1006:AT1006),$AM$1006:$BM$1006,0))&gt;=100000), " ",IF(INDEX($AM$2:$BM$1001,MATCH(ROWS($AF$2:AF997),$AF$2:$AF$1001,0),MATCH(COLUMNS($AM$1006:AT1006),$AM$1006:$BM$1006,0)), HYPERLINK("#",""), HYPERLINK(CONCATENATE("#metadata!", ADDRESS(INDEX($AH$2:$AH$1001,MATCH(ROWS($AF$2:AF997),$AF$2:$AF$1001,0),0), INDEX($AM$1004:$BM$1004,1,MATCH(COLUMNS($AM$1006:AT1006),$AM$1006:$BM$1006,0)))),"Fix")))</f>
        <v xml:space="preserve"> </v>
      </c>
      <c r="J997" s="4" t="str">
        <f ca="1">IF(OR(INDEX($AG$2:$AG$1001,MATCH(ROWS($AF$2:AF997),$AF$2:$AF$1001,0),1)&gt;=100000,INDEX($AM$1005:$BM$1005,1,MATCH(COLUMNS($AM$1006:AU1006),$AM$1006:$BM$1006,0))&gt;=100000), " ",IF(INDEX($AM$2:$BM$1001,MATCH(ROWS($AF$2:AF997),$AF$2:$AF$1001,0),MATCH(COLUMNS($AM$1006:AU1006),$AM$1006:$BM$1006,0)), HYPERLINK("#",""), HYPERLINK(CONCATENATE("#metadata!", ADDRESS(INDEX($AH$2:$AH$1001,MATCH(ROWS($AF$2:AF997),$AF$2:$AF$1001,0),0), INDEX($AM$1004:$BM$1004,1,MATCH(COLUMNS($AM$1006:AU1006),$AM$1006:$BM$1006,0)))),"Fix")))</f>
        <v xml:space="preserve"> </v>
      </c>
      <c r="K997" s="4" t="str">
        <f ca="1">IF(OR(INDEX($AG$2:$AG$1001,MATCH(ROWS($AF$2:AF997),$AF$2:$AF$1001,0),1)&gt;=100000,INDEX($AM$1005:$BM$1005,1,MATCH(COLUMNS($AM$1006:AV1006),$AM$1006:$BM$1006,0))&gt;=100000), " ",IF(INDEX($AM$2:$BM$1001,MATCH(ROWS($AF$2:AF997),$AF$2:$AF$1001,0),MATCH(COLUMNS($AM$1006:AV1006),$AM$1006:$BM$1006,0)), HYPERLINK("#",""), HYPERLINK(CONCATENATE("#metadata!", ADDRESS(INDEX($AH$2:$AH$1001,MATCH(ROWS($AF$2:AF997),$AF$2:$AF$1001,0),0), INDEX($AM$1004:$BM$1004,1,MATCH(COLUMNS($AM$1006:AV1006),$AM$1006:$BM$1006,0)))),"Fix")))</f>
        <v xml:space="preserve"> </v>
      </c>
      <c r="L997" s="4" t="str">
        <f ca="1">IF(OR(INDEX($AG$2:$AG$1001,MATCH(ROWS($AF$2:AF997),$AF$2:$AF$1001,0),1)&gt;=100000,INDEX($AM$1005:$BM$1005,1,MATCH(COLUMNS($AM$1006:AW1006),$AM$1006:$BM$1006,0))&gt;=100000), " ",IF(INDEX($AM$2:$BM$1001,MATCH(ROWS($AF$2:AF997),$AF$2:$AF$1001,0),MATCH(COLUMNS($AM$1006:AW1006),$AM$1006:$BM$1006,0)), HYPERLINK("#",""), HYPERLINK(CONCATENATE("#metadata!", ADDRESS(INDEX($AH$2:$AH$1001,MATCH(ROWS($AF$2:AF997),$AF$2:$AF$1001,0),0), INDEX($AM$1004:$BM$1004,1,MATCH(COLUMNS($AM$1006:AW1006),$AM$1006:$BM$1006,0)))),"Fix")))</f>
        <v xml:space="preserve"> </v>
      </c>
      <c r="M997" s="4" t="str">
        <f ca="1">IF(OR(INDEX($AG$2:$AG$1001,MATCH(ROWS($AF$2:AF997),$AF$2:$AF$1001,0),1)&gt;=100000,INDEX($AM$1005:$BM$1005,1,MATCH(COLUMNS($AM$1006:AX1006),$AM$1006:$BM$1006,0))&gt;=100000), " ",IF(INDEX($AM$2:$BM$1001,MATCH(ROWS($AF$2:AF997),$AF$2:$AF$1001,0),MATCH(COLUMNS($AM$1006:AX1006),$AM$1006:$BM$1006,0)), HYPERLINK("#",""), HYPERLINK(CONCATENATE("#metadata!", ADDRESS(INDEX($AH$2:$AH$1001,MATCH(ROWS($AF$2:AF997),$AF$2:$AF$1001,0),0), INDEX($AM$1004:$BM$1004,1,MATCH(COLUMNS($AM$1006:AX1006),$AM$1006:$BM$1006,0)))),"Fix")))</f>
        <v xml:space="preserve"> </v>
      </c>
      <c r="N997" s="4" t="str">
        <f ca="1">IF(OR(INDEX($AG$2:$AG$1001,MATCH(ROWS($AF$2:AF997),$AF$2:$AF$1001,0),1)&gt;=100000,INDEX($AM$1005:$BM$1005,1,MATCH(COLUMNS($AM$1006:AY1006),$AM$1006:$BM$1006,0))&gt;=100000), " ",IF(INDEX($AM$2:$BM$1001,MATCH(ROWS($AF$2:AF997),$AF$2:$AF$1001,0),MATCH(COLUMNS($AM$1006:AY1006),$AM$1006:$BM$1006,0)), HYPERLINK("#",""), HYPERLINK(CONCATENATE("#metadata!", ADDRESS(INDEX($AH$2:$AH$1001,MATCH(ROWS($AF$2:AF997),$AF$2:$AF$1001,0),0), INDEX($AM$1004:$BM$1004,1,MATCH(COLUMNS($AM$1006:AY1006),$AM$1006:$BM$1006,0)))),"Fix")))</f>
        <v xml:space="preserve"> </v>
      </c>
      <c r="O997" s="4" t="str">
        <f ca="1">IF(OR(INDEX($AG$2:$AG$1001,MATCH(ROWS($AF$2:AF997),$AF$2:$AF$1001,0),1)&gt;=100000,INDEX($AM$1005:$BM$1005,1,MATCH(COLUMNS($AM$1006:AZ1006),$AM$1006:$BM$1006,0))&gt;=100000), " ",IF(INDEX($AM$2:$BM$1001,MATCH(ROWS($AF$2:AF997),$AF$2:$AF$1001,0),MATCH(COLUMNS($AM$1006:AZ1006),$AM$1006:$BM$1006,0)), HYPERLINK("#",""), HYPERLINK(CONCATENATE("#metadata!", ADDRESS(INDEX($AH$2:$AH$1001,MATCH(ROWS($AF$2:AF997),$AF$2:$AF$1001,0),0), INDEX($AM$1004:$BM$1004,1,MATCH(COLUMNS($AM$1006:AZ1006),$AM$1006:$BM$1006,0)))),"Fix")))</f>
        <v xml:space="preserve"> </v>
      </c>
      <c r="P997" s="4" t="str">
        <f ca="1">IF(OR(INDEX($AG$2:$AG$1001,MATCH(ROWS($AF$2:AF997),$AF$2:$AF$1001,0),1)&gt;=100000,INDEX($AM$1005:$BM$1005,1,MATCH(COLUMNS($AM$1006:BA1006),$AM$1006:$BM$1006,0))&gt;=100000), " ",IF(INDEX($AM$2:$BM$1001,MATCH(ROWS($AF$2:AF997),$AF$2:$AF$1001,0),MATCH(COLUMNS($AM$1006:BA1006),$AM$1006:$BM$1006,0)), HYPERLINK("#",""), HYPERLINK(CONCATENATE("#metadata!", ADDRESS(INDEX($AH$2:$AH$1001,MATCH(ROWS($AF$2:AF997),$AF$2:$AF$1001,0),0), INDEX($AM$1004:$BM$1004,1,MATCH(COLUMNS($AM$1006:BA1006),$AM$1006:$BM$1006,0)))),"Fix")))</f>
        <v xml:space="preserve"> </v>
      </c>
      <c r="Q997" s="4" t="str">
        <f ca="1">IF(OR(INDEX($AG$2:$AG$1001,MATCH(ROWS($AF$2:AF997),$AF$2:$AF$1001,0),1)&gt;=100000,INDEX($AM$1005:$BM$1005,1,MATCH(COLUMNS($AM$1006:BB1006),$AM$1006:$BM$1006,0))&gt;=100000), " ",IF(INDEX($AM$2:$BM$1001,MATCH(ROWS($AF$2:AF997),$AF$2:$AF$1001,0),MATCH(COLUMNS($AM$1006:BB1006),$AM$1006:$BM$1006,0)), HYPERLINK("#",""), HYPERLINK(CONCATENATE("#metadata!", ADDRESS(INDEX($AH$2:$AH$1001,MATCH(ROWS($AF$2:AF997),$AF$2:$AF$1001,0),0), INDEX($AM$1004:$BM$1004,1,MATCH(COLUMNS($AM$1006:BB1006),$AM$1006:$BM$1006,0)))),"Fix")))</f>
        <v xml:space="preserve"> </v>
      </c>
      <c r="R997" s="4" t="str">
        <f ca="1">IF(OR(INDEX($AG$2:$AG$1001,MATCH(ROWS($AF$2:AF997),$AF$2:$AF$1001,0),1)&gt;=100000,INDEX($AM$1005:$BM$1005,1,MATCH(COLUMNS($AM$1006:BC1006),$AM$1006:$BM$1006,0))&gt;=100000), " ",IF(INDEX($AM$2:$BM$1001,MATCH(ROWS($AF$2:AF997),$AF$2:$AF$1001,0),MATCH(COLUMNS($AM$1006:BC1006),$AM$1006:$BM$1006,0)), HYPERLINK("#",""), HYPERLINK(CONCATENATE("#metadata!", ADDRESS(INDEX($AH$2:$AH$1001,MATCH(ROWS($AF$2:AF997),$AF$2:$AF$1001,0),0), INDEX($AM$1004:$BM$1004,1,MATCH(COLUMNS($AM$1006:BC1006),$AM$1006:$BM$1006,0)))),"Fix")))</f>
        <v xml:space="preserve"> </v>
      </c>
      <c r="S997" s="4" t="str">
        <f ca="1">IF(OR(INDEX($AG$2:$AG$1001,MATCH(ROWS($AF$2:AF997),$AF$2:$AF$1001,0),1)&gt;=100000,INDEX($AM$1005:$BM$1005,1,MATCH(COLUMNS($AM$1006:BD1006),$AM$1006:$BM$1006,0))&gt;=100000), " ",IF(INDEX($AM$2:$BM$1001,MATCH(ROWS($AF$2:AF997),$AF$2:$AF$1001,0),MATCH(COLUMNS($AM$1006:BD1006),$AM$1006:$BM$1006,0)), HYPERLINK("#",""), HYPERLINK(CONCATENATE("#metadata!", ADDRESS(INDEX($AH$2:$AH$1001,MATCH(ROWS($AF$2:AF997),$AF$2:$AF$1001,0),0), INDEX($AM$1004:$BM$1004,1,MATCH(COLUMNS($AM$1006:BD1006),$AM$1006:$BM$1006,0)))),"Fix")))</f>
        <v xml:space="preserve"> </v>
      </c>
      <c r="T997" s="4" t="str">
        <f ca="1">IF(OR(INDEX($AG$2:$AG$1001,MATCH(ROWS($AF$2:AF997),$AF$2:$AF$1001,0),1)&gt;=100000,INDEX($AM$1005:$BM$1005,1,MATCH(COLUMNS($AM$1006:BE1006),$AM$1006:$BM$1006,0))&gt;=100000), " ",IF(INDEX($AM$2:$BM$1001,MATCH(ROWS($AF$2:AF997),$AF$2:$AF$1001,0),MATCH(COLUMNS($AM$1006:BE1006),$AM$1006:$BM$1006,0)), HYPERLINK("#",""), HYPERLINK(CONCATENATE("#metadata!", ADDRESS(INDEX($AH$2:$AH$1001,MATCH(ROWS($AF$2:AF997),$AF$2:$AF$1001,0),0), INDEX($AM$1004:$BM$1004,1,MATCH(COLUMNS($AM$1006:BE1006),$AM$1006:$BM$1006,0)))),"Fix")))</f>
        <v xml:space="preserve"> </v>
      </c>
      <c r="U997" s="4" t="str">
        <f ca="1">IF(OR(INDEX($AG$2:$AG$1001,MATCH(ROWS($AF$2:AF997),$AF$2:$AF$1001,0),1)&gt;=100000,INDEX($AM$1005:$BM$1005,1,MATCH(COLUMNS($AM$1006:BF1006),$AM$1006:$BM$1006,0))&gt;=100000), " ",IF(INDEX($AM$2:$BM$1001,MATCH(ROWS($AF$2:AF997),$AF$2:$AF$1001,0),MATCH(COLUMNS($AM$1006:BF1006),$AM$1006:$BM$1006,0)), HYPERLINK("#",""), HYPERLINK(CONCATENATE("#metadata!", ADDRESS(INDEX($AH$2:$AH$1001,MATCH(ROWS($AF$2:AF997),$AF$2:$AF$1001,0),0), INDEX($AM$1004:$BM$1004,1,MATCH(COLUMNS($AM$1006:BF1006),$AM$1006:$BM$1006,0)))),"Fix")))</f>
        <v xml:space="preserve"> </v>
      </c>
      <c r="V997" s="4" t="str">
        <f ca="1">IF(OR(INDEX($AG$2:$AG$1001,MATCH(ROWS($AF$2:AF997),$AF$2:$AF$1001,0),1)&gt;=100000,INDEX($AM$1005:$BM$1005,1,MATCH(COLUMNS($AM$1006:BG1006),$AM$1006:$BM$1006,0))&gt;=100000), " ",IF(INDEX($AM$2:$BM$1001,MATCH(ROWS($AF$2:AF997),$AF$2:$AF$1001,0),MATCH(COLUMNS($AM$1006:BG1006),$AM$1006:$BM$1006,0)), HYPERLINK("#",""), HYPERLINK(CONCATENATE("#metadata!", ADDRESS(INDEX($AH$2:$AH$1001,MATCH(ROWS($AF$2:AF997),$AF$2:$AF$1001,0),0), INDEX($AM$1004:$BM$1004,1,MATCH(COLUMNS($AM$1006:BG1006),$AM$1006:$BM$1006,0)))),"Fix")))</f>
        <v xml:space="preserve"> </v>
      </c>
      <c r="W997" s="4" t="str">
        <f ca="1">IF(OR(INDEX($AG$2:$AG$1001,MATCH(ROWS($AF$2:AF997),$AF$2:$AF$1001,0),1)&gt;=100000,INDEX($AM$1005:$BM$1005,1,MATCH(COLUMNS($AM$1006:BH1006),$AM$1006:$BM$1006,0))&gt;=100000), " ",IF(INDEX($AM$2:$BM$1001,MATCH(ROWS($AF$2:AF997),$AF$2:$AF$1001,0),MATCH(COLUMNS($AM$1006:BH1006),$AM$1006:$BM$1006,0)), HYPERLINK("#",""), HYPERLINK(CONCATENATE("#metadata!", ADDRESS(INDEX($AH$2:$AH$1001,MATCH(ROWS($AF$2:AF997),$AF$2:$AF$1001,0),0), INDEX($AM$1004:$BM$1004,1,MATCH(COLUMNS($AM$1006:BH1006),$AM$1006:$BM$1006,0)))),"Fix")))</f>
        <v xml:space="preserve"> </v>
      </c>
      <c r="X997" s="4" t="str">
        <f ca="1">IF(OR(INDEX($AG$2:$AG$1001,MATCH(ROWS($AF$2:AF997),$AF$2:$AF$1001,0),1)&gt;=100000,INDEX($AM$1005:$BM$1005,1,MATCH(COLUMNS($AM$1006:BI1006),$AM$1006:$BM$1006,0))&gt;=100000), " ",IF(INDEX($AM$2:$BM$1001,MATCH(ROWS($AF$2:AF997),$AF$2:$AF$1001,0),MATCH(COLUMNS($AM$1006:BI1006),$AM$1006:$BM$1006,0)), HYPERLINK("#",""), HYPERLINK(CONCATENATE("#metadata!", ADDRESS(INDEX($AH$2:$AH$1001,MATCH(ROWS($AF$2:AF997),$AF$2:$AF$1001,0),0), INDEX($AM$1004:$BM$1004,1,MATCH(COLUMNS($AM$1006:BI1006),$AM$1006:$BM$1006,0)))),"Fix")))</f>
        <v xml:space="preserve"> </v>
      </c>
      <c r="Y997" s="4" t="str">
        <f ca="1">IF(OR(INDEX($AG$2:$AG$1001,MATCH(ROWS($AF$2:AF997),$AF$2:$AF$1001,0),1)&gt;=100000,INDEX($AM$1005:$BM$1005,1,MATCH(COLUMNS($AM$1006:BJ1006),$AM$1006:$BM$1006,0))&gt;=100000), " ",IF(INDEX($AM$2:$BM$1001,MATCH(ROWS($AF$2:AF997),$AF$2:$AF$1001,0),MATCH(COLUMNS($AM$1006:BJ1006),$AM$1006:$BM$1006,0)), HYPERLINK("#",""), HYPERLINK(CONCATENATE("#metadata!", ADDRESS(INDEX($AH$2:$AH$1001,MATCH(ROWS($AF$2:AF997),$AF$2:$AF$1001,0),0), INDEX($AM$1004:$BM$1004,1,MATCH(COLUMNS($AM$1006:BJ1006),$AM$1006:$BM$1006,0)))),"Fix")))</f>
        <v xml:space="preserve"> </v>
      </c>
      <c r="Z997" s="4" t="str">
        <f ca="1">IF(OR(INDEX($AG$2:$AG$1001,MATCH(ROWS($AF$2:AF997),$AF$2:$AF$1001,0),1)&gt;=100000,INDEX($AM$1005:$BM$1005,1,MATCH(COLUMNS($AM$1006:BK1006),$AM$1006:$BM$1006,0))&gt;=100000), " ",IF(INDEX($AM$2:$BM$1001,MATCH(ROWS($AF$2:AF997),$AF$2:$AF$1001,0),MATCH(COLUMNS($AM$1006:BK1006),$AM$1006:$BM$1006,0)), HYPERLINK("#",""), HYPERLINK(CONCATENATE("#metadata!", ADDRESS(INDEX($AH$2:$AH$1001,MATCH(ROWS($AF$2:AF997),$AF$2:$AF$1001,0),0), INDEX($AM$1004:$BM$1004,1,MATCH(COLUMNS($AM$1006:BK1006),$AM$1006:$BM$1006,0)))),"Fix")))</f>
        <v xml:space="preserve"> </v>
      </c>
      <c r="AA997" s="4" t="str">
        <f ca="1">IF(OR(INDEX($AG$2:$AG$1001,MATCH(ROWS($AF$2:AF997),$AF$2:$AF$1001,0),1)&gt;=100000,INDEX($AM$1005:$BM$1005,1,MATCH(COLUMNS($AM$1006:BL1006),$AM$1006:$BM$1006,0))&gt;=100000), " ",IF(INDEX($AM$2:$BM$1001,MATCH(ROWS($AF$2:AF997),$AF$2:$AF$1001,0),MATCH(COLUMNS($AM$1006:BL1006),$AM$1006:$BM$1006,0)), HYPERLINK("#",""), HYPERLINK(CONCATENATE("#metadata!", ADDRESS(INDEX($AH$2:$AH$1001,MATCH(ROWS($AF$2:AF997),$AF$2:$AF$1001,0),0), INDEX($AM$1004:$BM$1004,1,MATCH(COLUMNS($AM$1006:BL1006),$AM$1006:$BM$1006,0)))),"Fix")))</f>
        <v xml:space="preserve"> </v>
      </c>
      <c r="AB997" s="4" t="str">
        <f ca="1">IF(OR(INDEX($AG$2:$AG$1001,MATCH(ROWS($AF$2:AF997),$AF$2:$AF$1001,0),1)&gt;=100000,INDEX($AM$1005:$BM$1005,1,MATCH(COLUMNS($AM$1006:BM1006),$AM$1006:$BM$1006,0))&gt;=100000), " ",IF(INDEX($AM$2:$BM$1001,MATCH(ROWS($AF$2:AF997),$AF$2:$AF$1001,0),MATCH(COLUMNS($AM$1006:BM1006),$AM$1006:$BM$1006,0)), HYPERLINK("#",""), HYPERLINK(CONCATENATE("#metadata!", ADDRESS(INDEX($AH$2:$AH$1001,MATCH(ROWS($AF$2:AF997),$AF$2:$AF$1001,0),0), INDEX($AM$1004:$BM$1004,1,MATCH(COLUMNS($AM$1006:BM1006),$AM$1006:$BM$1006,0)))),"Fix")))</f>
        <v xml:space="preserve"> </v>
      </c>
      <c r="AF997">
        <v>996</v>
      </c>
      <c r="AG997">
        <v>100997</v>
      </c>
      <c r="AH997">
        <v>997</v>
      </c>
      <c r="AI997" t="b">
        <f t="shared" si="15"/>
        <v>1</v>
      </c>
      <c r="AJ997" t="b">
        <f>COUNTBLANK(metadata!B997:AB997)=COLUMNS(metadata!B997:AB997)</f>
        <v>1</v>
      </c>
      <c r="AK997" t="str">
        <v/>
      </c>
      <c r="AM997" t="b">
        <f ca="1">AND(IF(metadata!B997="",FALSE,TRUE),COUNTIF(metadata!B:B, metadata!B997) = 1,NOT(ISERROR(SUMPRODUCT(SEARCH(MID(metadata!B997,ROW(INDIRECT("1:"&amp;LEN(metadata!B997))), 1),"0123456789abcdefghijklmnopqrstuvwxyzABCDEFGHIJKLMNOPQRSTUVWXYZ.")))))</f>
        <v>0</v>
      </c>
      <c r="AN997" t="b">
        <f ca="1">OR(AND(IF(metadata!C997="",FALSE,TRUE),OR(EXACT(metadata!C997,"missing: not collected"),EXACT(metadata!C997,"missing: not provided"),EXACT(metadata!C997,"missing: restricted access"))),AND(IF(metadata!C997="",FALSE,TRUE),AND(AND(IFERROR(INT(LEFT(metadata!C997,4))&gt;1900,FALSE),IFERROR(INT(LEFT(metadata!C997,4))&lt;=YEAR(NOW()),FALSE)), OR(MID(metadata!C997,5,1)="", AND(AND(MID(metadata!C997,5,1)="-",IFERROR(INT(MID(metadata!C997,6,1))&gt;=0,FALSE),IFERROR(INT(MID(metadata!C997,6,1))&lt;=1,FALSE),NOT(MID(metadata!C997,7,1)=""),IFERROR(INT(MID(metadata!C997,6,2))&gt;=1,FALSE),IFERROR(INT(MID(metadata!C997,6,2))&lt;=12,FALSE)), OR(MID(metadata!C997,8,1)="", AND(AND(MID(metadata!C997,8,1)="-",IFERROR(INT(MID(metadata!C997,9,1))&gt;=0,FALSE),IFERROR(INT(MID(metadata!C997,9,1))&lt;=3,FALSE),NOT(MID(metadata!C997,10,1)=""),IFERROR(INT(MID(metadata!C997,9,2))&gt;=1,FALSE),IFERROR(INT(MID(metadata!C997,9,2))&lt;=31,FALSE)), OR(MID(metadata!C997,11,1)="", AND(AND(MID(metadata!C997,11,1)=" ",IFERROR(INT(MID(metadata!C997,12,1))&gt;=0,FALSE),IFERROR(INT(MID(metadata!C997,12,1))&lt;=2,FALSE),NOT(MID(metadata!C997,13,1)=""),IFERROR(INT(MID(metadata!C997,12,2))&gt;=0,FALSE),IFERROR(INT(MID(metadata!C997,12,2))&lt;=23,FALSE)), OR(MID(metadata!C997,14,1)="", AND(AND(MID(metadata!C997,14,1)=":",IFERROR(INT(MID(metadata!C997,15,1))&gt;=0,FALSE),IFERROR(INT(MID(metadata!C997,15,1))&lt;=5,FALSE),NOT(MID(metadata!C997,16,1)=""),IFERROR(INT(MID(metadata!C997,15,2))&gt;=0,FALSE),IFERROR(INT(MID(metadata!C997,15,2))&lt;=59,FALSE)), OR(MID(metadata!C997,17,1)="", AND(AND(MID(metadata!C997,17,1)=":",IFERROR(INT(MID(metadata!C997,18,1))&gt;=0,FALSE),IFERROR(INT(MID(metadata!C997,18,1))&lt;=5,FALSE),NOT(MID(metadata!C997,19,1)=""),IFERROR(INT(MID(metadata!C997,18,2))&gt;=0,FALSE),IFERROR(INT(MID(metadata!C997,18,2))&lt;=59,FALSE)), LEN(metadata!C997)&lt;=19)))))))))))))</f>
        <v>0</v>
      </c>
      <c r="AO997" t="b">
        <f>AND(IF(metadata!D997="",FALSE,TRUE),EXACT(metadata!D997,"Not applicable"))</f>
        <v>0</v>
      </c>
      <c r="AP997" t="b">
        <f>IF(metadata!E997="",FALSE,TRUE)</f>
        <v>0</v>
      </c>
      <c r="AQ997" t="b">
        <f>OR(AND(IF(metadata!F997="",FALSE,TRUE),OR(EXACT(metadata!F997,"missing: not collected"),EXACT(metadata!F997,"missing: not provided"))),AND(IF(metadata!F997="",FALSE,TRUE),OR(EXACT(metadata!F997,"TRUE"),EXACT(metadata!F997,"FALSE"))))</f>
        <v>0</v>
      </c>
      <c r="AR997" t="b">
        <f>OR(AND(IF(metadata!G997="",FALSE,TRUE),OR(EXACT(metadata!G997,"missing: not collected"),EXACT(metadata!G997,"missing: not provided"),EXACT(metadata!G997,"missing: restricted access"))),AND(IF(metadata!G997="",FALSE,ISNUMBER(VALUE(metadata!G997))),metadata!G997&gt;=-413))</f>
        <v>0</v>
      </c>
      <c r="AS997" t="b">
        <f>AND(IF(metadata!H997="",FALSE,TRUE),EXACT(metadata!H997,"meters"))</f>
        <v>0</v>
      </c>
      <c r="AT997" t="b">
        <f>AND(IF(metadata!I997="",FALSE,TRUE),OR(EXACT(metadata!I997,"Host-associated"),EXACT(metadata!I997,"Free-living")))</f>
        <v>0</v>
      </c>
      <c r="AU997" t="b">
        <f>AND(IF(metadata!J997="",FALSE,TRUE),OR(EXACT(metadata!J997,"Animal"),EXACT(metadata!J997,"Fungus"),EXACT(metadata!J997,"Plant"),EXACT(metadata!J997,"Saline"),EXACT(metadata!J997,"Non-saline")))</f>
        <v>0</v>
      </c>
      <c r="AV997" t="b">
        <f>AND(IF(metadata!K997="",FALSE,TRUE),OR(EXACT(metadata!K997,"Plant secretion"),EXACT(metadata!K997,"Plant rhizosphere"),EXACT(metadata!K997,"Plant surface"),EXACT(metadata!K997,"Plant corpus"),EXACT(metadata!K997,"Fungus surface"),EXACT(metadata!K997,"Fungus corpus"),EXACT(metadata!K997,"Animal surface"),EXACT(metadata!K997,"Animal proximal gut"),EXACT(metadata!K997,"Animal corpus"),EXACT(metadata!K997,"Animal distal gut"),EXACT(metadata!K997,"Animal secretion"),EXACT(metadata!K997,"Sub-surface (non-saline)"),EXACT(metadata!K997,"Surface (non-saline)"),EXACT(metadata!K997,"Water (non-saline)"),EXACT(metadata!K997,"Soil (non-saline)"),EXACT(metadata!K997,"Aerosol (non-saline)"),EXACT(metadata!K997,"Sediment (non-saline)"),EXACT(metadata!K997,"Surface (saline)"),EXACT(metadata!K997,"Water (saline)"),EXACT(metadata!K997,"Hypersaline (saline)"),EXACT(metadata!K997,"Aerosol (saline)"),EXACT(metadata!K997,"Sediment (saline)")))</f>
        <v>0</v>
      </c>
      <c r="AW997" t="b">
        <f>IF(metadata!L997="",FALSE,TRUE)</f>
        <v>0</v>
      </c>
      <c r="AX997" t="b">
        <f>IF(metadata!M997="",FALSE,TRUE)</f>
        <v>0</v>
      </c>
      <c r="AY997" t="b">
        <f>IF(metadata!N997="",FALSE,TRUE)</f>
        <v>0</v>
      </c>
      <c r="AZ997" t="b">
        <f>OR(AND(IF(metadata!O997="",FALSE,TRUE),OR(EXACT(metadata!O997,"missing: not collected"),EXACT(metadata!O997,"missing: not provided"),EXACT(metadata!O997,"missing: restricted access"))),AND(IF(metadata!O997="",FALSE,TRUE),OR(EXACT(metadata!O997,"air"),EXACT(metadata!O997,"built environment"),EXACT(metadata!O997,"host-associated"),EXACT(metadata!O997,"human-associated"),EXACT(metadata!O997,"human-skin"),EXACT(metadata!O997,"human-oral"),EXACT(metadata!O997,"human-gut"),EXACT(metadata!O997,"human-vaginal"),EXACT(metadata!O997,"microbial mat/biofilm"),EXACT(metadata!O997,"misc environment"),EXACT(metadata!O997,"plant-associated"),EXACT(metadata!O997,"sediment"),EXACT(metadata!O997,"soil"),EXACT(metadata!O997,"wastewater/sludge"),EXACT(metadata!O997,"water"))))</f>
        <v>0</v>
      </c>
      <c r="BA997" t="b">
        <f>IF(metadata!P997="",FALSE,TRUE)</f>
        <v>0</v>
      </c>
      <c r="BB997" t="b">
        <f>IF(metadata!Q997="",FALSE,TRUE)</f>
        <v>0</v>
      </c>
      <c r="BC997" t="b">
        <f>OR(AND(IF(metadata!R997="",FALSE,TRUE),OR(EXACT(metadata!R997,"missing: not collected"),EXACT(metadata!R997,"missing: not provided"),EXACT(metadata!R997,"missing: restricted access"))),AND(IF(metadata!R997="",FALSE,ISNUMBER(VALUE(metadata!R997))),metadata!R997&gt;=-90,metadata!R997&lt;=90))</f>
        <v>0</v>
      </c>
      <c r="BD997" t="b">
        <f>AND(IF(metadata!S997="",FALSE,TRUE),EXACT(metadata!S997,"Decimal degrees"))</f>
        <v>0</v>
      </c>
      <c r="BE997" t="b">
        <f>OR(AND(IF(metadata!T997="",FALSE,TRUE),OR(EXACT(metadata!T997,"missing: not collected"),EXACT(metadata!T997,"missing: not provided"),EXACT(metadata!T997,"missing: restricted access"))),AND(IF(metadata!T997="",FALSE,ISNUMBER(VALUE(metadata!T997))),metadata!T997&gt;=-180,metadata!T997&lt;=180))</f>
        <v>0</v>
      </c>
      <c r="BF997" t="b">
        <f>AND(IF(metadata!U997="",FALSE,TRUE),EXACT(metadata!U997,"Decimal degrees"))</f>
        <v>0</v>
      </c>
      <c r="BG997" t="b">
        <f>IF(metadata!V997="",FALSE,TRUE)</f>
        <v>0</v>
      </c>
      <c r="BH997" t="b">
        <f>OR(AND(IF(metadata!W997="",FALSE,TRUE),OR(EXACT(metadata!W997,"missing: not collected"),EXACT(metadata!W997,"missing: not provided"),EXACT(metadata!W997,"missing: restricted access"))),AND(IF(metadata!W997="",FALSE,TRUE),OR(EXACT(metadata!W997,"TRUE"),EXACT(metadata!W997,"FALSE"))))</f>
        <v>0</v>
      </c>
      <c r="BI997" t="b">
        <f>AND(IF(metadata!X997="",FALSE,TRUE),EXACT(metadata!X997,"other"))</f>
        <v>0</v>
      </c>
      <c r="BJ997" t="b">
        <f>IF(metadata!Y997="",FALSE,TRUE)</f>
        <v>0</v>
      </c>
      <c r="BK997" t="b">
        <f>OR(AND(IF(metadata!Z997="",FALSE,TRUE),OR(EXACT(metadata!Z997,"missing: not collected"),EXACT(metadata!Z997,"missing: not provided"))),AND(IF(metadata!Z997="",FALSE,IF(ISERROR(INT(metadata!Z997)),FALSE,INT(metadata!Z997)=metadata!Z997)),metadata!Z997&gt;0))</f>
        <v>0</v>
      </c>
      <c r="BL997" t="b">
        <f>AND(IF(metadata!AA997="",FALSE,TRUE),EXACT(metadata!AA997,"Not applicable"))</f>
        <v>0</v>
      </c>
      <c r="BM997" t="b">
        <f>IF(metadata!AB997="",FALSE,TRUE)</f>
        <v>0</v>
      </c>
    </row>
    <row r="998" spans="1:65" x14ac:dyDescent="0.2">
      <c r="A998" s="5" t="str">
        <f ca="1">IF(B998=" "," ",HYPERLINK(CONCATENATE("#metadata!",ADDRESS(INDEX($AH$2:$AH$1001,MATCH(ROWS($AF$2:AF998),$AF$2:$AF$1001,0),0),1)),INDEX($AK$2:$AK$1001,MATCH(ROWS($AF$2:AF998),$AF$2:$AF$1001,0),0)))</f>
        <v xml:space="preserve"> </v>
      </c>
      <c r="B998" s="4" t="str">
        <f ca="1">IF(OR(INDEX($AG$2:$AG$1001,MATCH(ROWS($AF$2:AF998),$AF$2:$AF$1001,0),1)&gt;=100000,INDEX($AM$1005:$BM$1005,1,MATCH(COLUMNS($AM$1006:AM1006),$AM$1006:$BM$1006,0))&gt;=100000), " ",IF(INDEX($AM$2:$BM$1001,MATCH(ROWS($AF$2:AF998),$AF$2:$AF$1001,0),MATCH(COLUMNS($AM$1006:AM1006),$AM$1006:$BM$1006,0)), HYPERLINK("#",""), HYPERLINK(CONCATENATE("#metadata!", ADDRESS(INDEX($AH$2:$AH$1001,MATCH(ROWS($AF$2:AF998),$AF$2:$AF$1001,0),0), INDEX($AM$1004:$BM$1004,1,MATCH(COLUMNS($AM$1006:AM1006),$AM$1006:$BM$1006,0)))),"Fix")))</f>
        <v xml:space="preserve"> </v>
      </c>
      <c r="C998" s="4" t="str">
        <f ca="1">IF(OR(INDEX($AG$2:$AG$1001,MATCH(ROWS($AF$2:AF998),$AF$2:$AF$1001,0),1)&gt;=100000,INDEX($AM$1005:$BM$1005,1,MATCH(COLUMNS($AM$1006:AN1006),$AM$1006:$BM$1006,0))&gt;=100000), " ",IF(INDEX($AM$2:$BM$1001,MATCH(ROWS($AF$2:AF998),$AF$2:$AF$1001,0),MATCH(COLUMNS($AM$1006:AN1006),$AM$1006:$BM$1006,0)), HYPERLINK("#",""), HYPERLINK(CONCATENATE("#metadata!", ADDRESS(INDEX($AH$2:$AH$1001,MATCH(ROWS($AF$2:AF998),$AF$2:$AF$1001,0),0), INDEX($AM$1004:$BM$1004,1,MATCH(COLUMNS($AM$1006:AN1006),$AM$1006:$BM$1006,0)))),"Fix")))</f>
        <v xml:space="preserve"> </v>
      </c>
      <c r="D998" s="4" t="str">
        <f ca="1">IF(OR(INDEX($AG$2:$AG$1001,MATCH(ROWS($AF$2:AF998),$AF$2:$AF$1001,0),1)&gt;=100000,INDEX($AM$1005:$BM$1005,1,MATCH(COLUMNS($AM$1006:AO1006),$AM$1006:$BM$1006,0))&gt;=100000), " ",IF(INDEX($AM$2:$BM$1001,MATCH(ROWS($AF$2:AF998),$AF$2:$AF$1001,0),MATCH(COLUMNS($AM$1006:AO1006),$AM$1006:$BM$1006,0)), HYPERLINK("#",""), HYPERLINK(CONCATENATE("#metadata!", ADDRESS(INDEX($AH$2:$AH$1001,MATCH(ROWS($AF$2:AF998),$AF$2:$AF$1001,0),0), INDEX($AM$1004:$BM$1004,1,MATCH(COLUMNS($AM$1006:AO1006),$AM$1006:$BM$1006,0)))),"Fix")))</f>
        <v xml:space="preserve"> </v>
      </c>
      <c r="E998" s="4" t="str">
        <f ca="1">IF(OR(INDEX($AG$2:$AG$1001,MATCH(ROWS($AF$2:AF998),$AF$2:$AF$1001,0),1)&gt;=100000,INDEX($AM$1005:$BM$1005,1,MATCH(COLUMNS($AM$1006:AP1006),$AM$1006:$BM$1006,0))&gt;=100000), " ",IF(INDEX($AM$2:$BM$1001,MATCH(ROWS($AF$2:AF998),$AF$2:$AF$1001,0),MATCH(COLUMNS($AM$1006:AP1006),$AM$1006:$BM$1006,0)), HYPERLINK("#",""), HYPERLINK(CONCATENATE("#metadata!", ADDRESS(INDEX($AH$2:$AH$1001,MATCH(ROWS($AF$2:AF998),$AF$2:$AF$1001,0),0), INDEX($AM$1004:$BM$1004,1,MATCH(COLUMNS($AM$1006:AP1006),$AM$1006:$BM$1006,0)))),"Fix")))</f>
        <v xml:space="preserve"> </v>
      </c>
      <c r="F998" s="4" t="str">
        <f ca="1">IF(OR(INDEX($AG$2:$AG$1001,MATCH(ROWS($AF$2:AF998),$AF$2:$AF$1001,0),1)&gt;=100000,INDEX($AM$1005:$BM$1005,1,MATCH(COLUMNS($AM$1006:AQ1006),$AM$1006:$BM$1006,0))&gt;=100000), " ",IF(INDEX($AM$2:$BM$1001,MATCH(ROWS($AF$2:AF998),$AF$2:$AF$1001,0),MATCH(COLUMNS($AM$1006:AQ1006),$AM$1006:$BM$1006,0)), HYPERLINK("#",""), HYPERLINK(CONCATENATE("#metadata!", ADDRESS(INDEX($AH$2:$AH$1001,MATCH(ROWS($AF$2:AF998),$AF$2:$AF$1001,0),0), INDEX($AM$1004:$BM$1004,1,MATCH(COLUMNS($AM$1006:AQ1006),$AM$1006:$BM$1006,0)))),"Fix")))</f>
        <v xml:space="preserve"> </v>
      </c>
      <c r="G998" s="4" t="str">
        <f ca="1">IF(OR(INDEX($AG$2:$AG$1001,MATCH(ROWS($AF$2:AF998),$AF$2:$AF$1001,0),1)&gt;=100000,INDEX($AM$1005:$BM$1005,1,MATCH(COLUMNS($AM$1006:AR1006),$AM$1006:$BM$1006,0))&gt;=100000), " ",IF(INDEX($AM$2:$BM$1001,MATCH(ROWS($AF$2:AF998),$AF$2:$AF$1001,0),MATCH(COLUMNS($AM$1006:AR1006),$AM$1006:$BM$1006,0)), HYPERLINK("#",""), HYPERLINK(CONCATENATE("#metadata!", ADDRESS(INDEX($AH$2:$AH$1001,MATCH(ROWS($AF$2:AF998),$AF$2:$AF$1001,0),0), INDEX($AM$1004:$BM$1004,1,MATCH(COLUMNS($AM$1006:AR1006),$AM$1006:$BM$1006,0)))),"Fix")))</f>
        <v xml:space="preserve"> </v>
      </c>
      <c r="H998" s="4" t="str">
        <f ca="1">IF(OR(INDEX($AG$2:$AG$1001,MATCH(ROWS($AF$2:AF998),$AF$2:$AF$1001,0),1)&gt;=100000,INDEX($AM$1005:$BM$1005,1,MATCH(COLUMNS($AM$1006:AS1006),$AM$1006:$BM$1006,0))&gt;=100000), " ",IF(INDEX($AM$2:$BM$1001,MATCH(ROWS($AF$2:AF998),$AF$2:$AF$1001,0),MATCH(COLUMNS($AM$1006:AS1006),$AM$1006:$BM$1006,0)), HYPERLINK("#",""), HYPERLINK(CONCATENATE("#metadata!", ADDRESS(INDEX($AH$2:$AH$1001,MATCH(ROWS($AF$2:AF998),$AF$2:$AF$1001,0),0), INDEX($AM$1004:$BM$1004,1,MATCH(COLUMNS($AM$1006:AS1006),$AM$1006:$BM$1006,0)))),"Fix")))</f>
        <v xml:space="preserve"> </v>
      </c>
      <c r="I998" s="4" t="str">
        <f ca="1">IF(OR(INDEX($AG$2:$AG$1001,MATCH(ROWS($AF$2:AF998),$AF$2:$AF$1001,0),1)&gt;=100000,INDEX($AM$1005:$BM$1005,1,MATCH(COLUMNS($AM$1006:AT1006),$AM$1006:$BM$1006,0))&gt;=100000), " ",IF(INDEX($AM$2:$BM$1001,MATCH(ROWS($AF$2:AF998),$AF$2:$AF$1001,0),MATCH(COLUMNS($AM$1006:AT1006),$AM$1006:$BM$1006,0)), HYPERLINK("#",""), HYPERLINK(CONCATENATE("#metadata!", ADDRESS(INDEX($AH$2:$AH$1001,MATCH(ROWS($AF$2:AF998),$AF$2:$AF$1001,0),0), INDEX($AM$1004:$BM$1004,1,MATCH(COLUMNS($AM$1006:AT1006),$AM$1006:$BM$1006,0)))),"Fix")))</f>
        <v xml:space="preserve"> </v>
      </c>
      <c r="J998" s="4" t="str">
        <f ca="1">IF(OR(INDEX($AG$2:$AG$1001,MATCH(ROWS($AF$2:AF998),$AF$2:$AF$1001,0),1)&gt;=100000,INDEX($AM$1005:$BM$1005,1,MATCH(COLUMNS($AM$1006:AU1006),$AM$1006:$BM$1006,0))&gt;=100000), " ",IF(INDEX($AM$2:$BM$1001,MATCH(ROWS($AF$2:AF998),$AF$2:$AF$1001,0),MATCH(COLUMNS($AM$1006:AU1006),$AM$1006:$BM$1006,0)), HYPERLINK("#",""), HYPERLINK(CONCATENATE("#metadata!", ADDRESS(INDEX($AH$2:$AH$1001,MATCH(ROWS($AF$2:AF998),$AF$2:$AF$1001,0),0), INDEX($AM$1004:$BM$1004,1,MATCH(COLUMNS($AM$1006:AU1006),$AM$1006:$BM$1006,0)))),"Fix")))</f>
        <v xml:space="preserve"> </v>
      </c>
      <c r="K998" s="4" t="str">
        <f ca="1">IF(OR(INDEX($AG$2:$AG$1001,MATCH(ROWS($AF$2:AF998),$AF$2:$AF$1001,0),1)&gt;=100000,INDEX($AM$1005:$BM$1005,1,MATCH(COLUMNS($AM$1006:AV1006),$AM$1006:$BM$1006,0))&gt;=100000), " ",IF(INDEX($AM$2:$BM$1001,MATCH(ROWS($AF$2:AF998),$AF$2:$AF$1001,0),MATCH(COLUMNS($AM$1006:AV1006),$AM$1006:$BM$1006,0)), HYPERLINK("#",""), HYPERLINK(CONCATENATE("#metadata!", ADDRESS(INDEX($AH$2:$AH$1001,MATCH(ROWS($AF$2:AF998),$AF$2:$AF$1001,0),0), INDEX($AM$1004:$BM$1004,1,MATCH(COLUMNS($AM$1006:AV1006),$AM$1006:$BM$1006,0)))),"Fix")))</f>
        <v xml:space="preserve"> </v>
      </c>
      <c r="L998" s="4" t="str">
        <f ca="1">IF(OR(INDEX($AG$2:$AG$1001,MATCH(ROWS($AF$2:AF998),$AF$2:$AF$1001,0),1)&gt;=100000,INDEX($AM$1005:$BM$1005,1,MATCH(COLUMNS($AM$1006:AW1006),$AM$1006:$BM$1006,0))&gt;=100000), " ",IF(INDEX($AM$2:$BM$1001,MATCH(ROWS($AF$2:AF998),$AF$2:$AF$1001,0),MATCH(COLUMNS($AM$1006:AW1006),$AM$1006:$BM$1006,0)), HYPERLINK("#",""), HYPERLINK(CONCATENATE("#metadata!", ADDRESS(INDEX($AH$2:$AH$1001,MATCH(ROWS($AF$2:AF998),$AF$2:$AF$1001,0),0), INDEX($AM$1004:$BM$1004,1,MATCH(COLUMNS($AM$1006:AW1006),$AM$1006:$BM$1006,0)))),"Fix")))</f>
        <v xml:space="preserve"> </v>
      </c>
      <c r="M998" s="4" t="str">
        <f ca="1">IF(OR(INDEX($AG$2:$AG$1001,MATCH(ROWS($AF$2:AF998),$AF$2:$AF$1001,0),1)&gt;=100000,INDEX($AM$1005:$BM$1005,1,MATCH(COLUMNS($AM$1006:AX1006),$AM$1006:$BM$1006,0))&gt;=100000), " ",IF(INDEX($AM$2:$BM$1001,MATCH(ROWS($AF$2:AF998),$AF$2:$AF$1001,0),MATCH(COLUMNS($AM$1006:AX1006),$AM$1006:$BM$1006,0)), HYPERLINK("#",""), HYPERLINK(CONCATENATE("#metadata!", ADDRESS(INDEX($AH$2:$AH$1001,MATCH(ROWS($AF$2:AF998),$AF$2:$AF$1001,0),0), INDEX($AM$1004:$BM$1004,1,MATCH(COLUMNS($AM$1006:AX1006),$AM$1006:$BM$1006,0)))),"Fix")))</f>
        <v xml:space="preserve"> </v>
      </c>
      <c r="N998" s="4" t="str">
        <f ca="1">IF(OR(INDEX($AG$2:$AG$1001,MATCH(ROWS($AF$2:AF998),$AF$2:$AF$1001,0),1)&gt;=100000,INDEX($AM$1005:$BM$1005,1,MATCH(COLUMNS($AM$1006:AY1006),$AM$1006:$BM$1006,0))&gt;=100000), " ",IF(INDEX($AM$2:$BM$1001,MATCH(ROWS($AF$2:AF998),$AF$2:$AF$1001,0),MATCH(COLUMNS($AM$1006:AY1006),$AM$1006:$BM$1006,0)), HYPERLINK("#",""), HYPERLINK(CONCATENATE("#metadata!", ADDRESS(INDEX($AH$2:$AH$1001,MATCH(ROWS($AF$2:AF998),$AF$2:$AF$1001,0),0), INDEX($AM$1004:$BM$1004,1,MATCH(COLUMNS($AM$1006:AY1006),$AM$1006:$BM$1006,0)))),"Fix")))</f>
        <v xml:space="preserve"> </v>
      </c>
      <c r="O998" s="4" t="str">
        <f ca="1">IF(OR(INDEX($AG$2:$AG$1001,MATCH(ROWS($AF$2:AF998),$AF$2:$AF$1001,0),1)&gt;=100000,INDEX($AM$1005:$BM$1005,1,MATCH(COLUMNS($AM$1006:AZ1006),$AM$1006:$BM$1006,0))&gt;=100000), " ",IF(INDEX($AM$2:$BM$1001,MATCH(ROWS($AF$2:AF998),$AF$2:$AF$1001,0),MATCH(COLUMNS($AM$1006:AZ1006),$AM$1006:$BM$1006,0)), HYPERLINK("#",""), HYPERLINK(CONCATENATE("#metadata!", ADDRESS(INDEX($AH$2:$AH$1001,MATCH(ROWS($AF$2:AF998),$AF$2:$AF$1001,0),0), INDEX($AM$1004:$BM$1004,1,MATCH(COLUMNS($AM$1006:AZ1006),$AM$1006:$BM$1006,0)))),"Fix")))</f>
        <v xml:space="preserve"> </v>
      </c>
      <c r="P998" s="4" t="str">
        <f ca="1">IF(OR(INDEX($AG$2:$AG$1001,MATCH(ROWS($AF$2:AF998),$AF$2:$AF$1001,0),1)&gt;=100000,INDEX($AM$1005:$BM$1005,1,MATCH(COLUMNS($AM$1006:BA1006),$AM$1006:$BM$1006,0))&gt;=100000), " ",IF(INDEX($AM$2:$BM$1001,MATCH(ROWS($AF$2:AF998),$AF$2:$AF$1001,0),MATCH(COLUMNS($AM$1006:BA1006),$AM$1006:$BM$1006,0)), HYPERLINK("#",""), HYPERLINK(CONCATENATE("#metadata!", ADDRESS(INDEX($AH$2:$AH$1001,MATCH(ROWS($AF$2:AF998),$AF$2:$AF$1001,0),0), INDEX($AM$1004:$BM$1004,1,MATCH(COLUMNS($AM$1006:BA1006),$AM$1006:$BM$1006,0)))),"Fix")))</f>
        <v xml:space="preserve"> </v>
      </c>
      <c r="Q998" s="4" t="str">
        <f ca="1">IF(OR(INDEX($AG$2:$AG$1001,MATCH(ROWS($AF$2:AF998),$AF$2:$AF$1001,0),1)&gt;=100000,INDEX($AM$1005:$BM$1005,1,MATCH(COLUMNS($AM$1006:BB1006),$AM$1006:$BM$1006,0))&gt;=100000), " ",IF(INDEX($AM$2:$BM$1001,MATCH(ROWS($AF$2:AF998),$AF$2:$AF$1001,0),MATCH(COLUMNS($AM$1006:BB1006),$AM$1006:$BM$1006,0)), HYPERLINK("#",""), HYPERLINK(CONCATENATE("#metadata!", ADDRESS(INDEX($AH$2:$AH$1001,MATCH(ROWS($AF$2:AF998),$AF$2:$AF$1001,0),0), INDEX($AM$1004:$BM$1004,1,MATCH(COLUMNS($AM$1006:BB1006),$AM$1006:$BM$1006,0)))),"Fix")))</f>
        <v xml:space="preserve"> </v>
      </c>
      <c r="R998" s="4" t="str">
        <f ca="1">IF(OR(INDEX($AG$2:$AG$1001,MATCH(ROWS($AF$2:AF998),$AF$2:$AF$1001,0),1)&gt;=100000,INDEX($AM$1005:$BM$1005,1,MATCH(COLUMNS($AM$1006:BC1006),$AM$1006:$BM$1006,0))&gt;=100000), " ",IF(INDEX($AM$2:$BM$1001,MATCH(ROWS($AF$2:AF998),$AF$2:$AF$1001,0),MATCH(COLUMNS($AM$1006:BC1006),$AM$1006:$BM$1006,0)), HYPERLINK("#",""), HYPERLINK(CONCATENATE("#metadata!", ADDRESS(INDEX($AH$2:$AH$1001,MATCH(ROWS($AF$2:AF998),$AF$2:$AF$1001,0),0), INDEX($AM$1004:$BM$1004,1,MATCH(COLUMNS($AM$1006:BC1006),$AM$1006:$BM$1006,0)))),"Fix")))</f>
        <v xml:space="preserve"> </v>
      </c>
      <c r="S998" s="4" t="str">
        <f ca="1">IF(OR(INDEX($AG$2:$AG$1001,MATCH(ROWS($AF$2:AF998),$AF$2:$AF$1001,0),1)&gt;=100000,INDEX($AM$1005:$BM$1005,1,MATCH(COLUMNS($AM$1006:BD1006),$AM$1006:$BM$1006,0))&gt;=100000), " ",IF(INDEX($AM$2:$BM$1001,MATCH(ROWS($AF$2:AF998),$AF$2:$AF$1001,0),MATCH(COLUMNS($AM$1006:BD1006),$AM$1006:$BM$1006,0)), HYPERLINK("#",""), HYPERLINK(CONCATENATE("#metadata!", ADDRESS(INDEX($AH$2:$AH$1001,MATCH(ROWS($AF$2:AF998),$AF$2:$AF$1001,0),0), INDEX($AM$1004:$BM$1004,1,MATCH(COLUMNS($AM$1006:BD1006),$AM$1006:$BM$1006,0)))),"Fix")))</f>
        <v xml:space="preserve"> </v>
      </c>
      <c r="T998" s="4" t="str">
        <f ca="1">IF(OR(INDEX($AG$2:$AG$1001,MATCH(ROWS($AF$2:AF998),$AF$2:$AF$1001,0),1)&gt;=100000,INDEX($AM$1005:$BM$1005,1,MATCH(COLUMNS($AM$1006:BE1006),$AM$1006:$BM$1006,0))&gt;=100000), " ",IF(INDEX($AM$2:$BM$1001,MATCH(ROWS($AF$2:AF998),$AF$2:$AF$1001,0),MATCH(COLUMNS($AM$1006:BE1006),$AM$1006:$BM$1006,0)), HYPERLINK("#",""), HYPERLINK(CONCATENATE("#metadata!", ADDRESS(INDEX($AH$2:$AH$1001,MATCH(ROWS($AF$2:AF998),$AF$2:$AF$1001,0),0), INDEX($AM$1004:$BM$1004,1,MATCH(COLUMNS($AM$1006:BE1006),$AM$1006:$BM$1006,0)))),"Fix")))</f>
        <v xml:space="preserve"> </v>
      </c>
      <c r="U998" s="4" t="str">
        <f ca="1">IF(OR(INDEX($AG$2:$AG$1001,MATCH(ROWS($AF$2:AF998),$AF$2:$AF$1001,0),1)&gt;=100000,INDEX($AM$1005:$BM$1005,1,MATCH(COLUMNS($AM$1006:BF1006),$AM$1006:$BM$1006,0))&gt;=100000), " ",IF(INDEX($AM$2:$BM$1001,MATCH(ROWS($AF$2:AF998),$AF$2:$AF$1001,0),MATCH(COLUMNS($AM$1006:BF1006),$AM$1006:$BM$1006,0)), HYPERLINK("#",""), HYPERLINK(CONCATENATE("#metadata!", ADDRESS(INDEX($AH$2:$AH$1001,MATCH(ROWS($AF$2:AF998),$AF$2:$AF$1001,0),0), INDEX($AM$1004:$BM$1004,1,MATCH(COLUMNS($AM$1006:BF1006),$AM$1006:$BM$1006,0)))),"Fix")))</f>
        <v xml:space="preserve"> </v>
      </c>
      <c r="V998" s="4" t="str">
        <f ca="1">IF(OR(INDEX($AG$2:$AG$1001,MATCH(ROWS($AF$2:AF998),$AF$2:$AF$1001,0),1)&gt;=100000,INDEX($AM$1005:$BM$1005,1,MATCH(COLUMNS($AM$1006:BG1006),$AM$1006:$BM$1006,0))&gt;=100000), " ",IF(INDEX($AM$2:$BM$1001,MATCH(ROWS($AF$2:AF998),$AF$2:$AF$1001,0),MATCH(COLUMNS($AM$1006:BG1006),$AM$1006:$BM$1006,0)), HYPERLINK("#",""), HYPERLINK(CONCATENATE("#metadata!", ADDRESS(INDEX($AH$2:$AH$1001,MATCH(ROWS($AF$2:AF998),$AF$2:$AF$1001,0),0), INDEX($AM$1004:$BM$1004,1,MATCH(COLUMNS($AM$1006:BG1006),$AM$1006:$BM$1006,0)))),"Fix")))</f>
        <v xml:space="preserve"> </v>
      </c>
      <c r="W998" s="4" t="str">
        <f ca="1">IF(OR(INDEX($AG$2:$AG$1001,MATCH(ROWS($AF$2:AF998),$AF$2:$AF$1001,0),1)&gt;=100000,INDEX($AM$1005:$BM$1005,1,MATCH(COLUMNS($AM$1006:BH1006),$AM$1006:$BM$1006,0))&gt;=100000), " ",IF(INDEX($AM$2:$BM$1001,MATCH(ROWS($AF$2:AF998),$AF$2:$AF$1001,0),MATCH(COLUMNS($AM$1006:BH1006),$AM$1006:$BM$1006,0)), HYPERLINK("#",""), HYPERLINK(CONCATENATE("#metadata!", ADDRESS(INDEX($AH$2:$AH$1001,MATCH(ROWS($AF$2:AF998),$AF$2:$AF$1001,0),0), INDEX($AM$1004:$BM$1004,1,MATCH(COLUMNS($AM$1006:BH1006),$AM$1006:$BM$1006,0)))),"Fix")))</f>
        <v xml:space="preserve"> </v>
      </c>
      <c r="X998" s="4" t="str">
        <f ca="1">IF(OR(INDEX($AG$2:$AG$1001,MATCH(ROWS($AF$2:AF998),$AF$2:$AF$1001,0),1)&gt;=100000,INDEX($AM$1005:$BM$1005,1,MATCH(COLUMNS($AM$1006:BI1006),$AM$1006:$BM$1006,0))&gt;=100000), " ",IF(INDEX($AM$2:$BM$1001,MATCH(ROWS($AF$2:AF998),$AF$2:$AF$1001,0),MATCH(COLUMNS($AM$1006:BI1006),$AM$1006:$BM$1006,0)), HYPERLINK("#",""), HYPERLINK(CONCATENATE("#metadata!", ADDRESS(INDEX($AH$2:$AH$1001,MATCH(ROWS($AF$2:AF998),$AF$2:$AF$1001,0),0), INDEX($AM$1004:$BM$1004,1,MATCH(COLUMNS($AM$1006:BI1006),$AM$1006:$BM$1006,0)))),"Fix")))</f>
        <v xml:space="preserve"> </v>
      </c>
      <c r="Y998" s="4" t="str">
        <f ca="1">IF(OR(INDEX($AG$2:$AG$1001,MATCH(ROWS($AF$2:AF998),$AF$2:$AF$1001,0),1)&gt;=100000,INDEX($AM$1005:$BM$1005,1,MATCH(COLUMNS($AM$1006:BJ1006),$AM$1006:$BM$1006,0))&gt;=100000), " ",IF(INDEX($AM$2:$BM$1001,MATCH(ROWS($AF$2:AF998),$AF$2:$AF$1001,0),MATCH(COLUMNS($AM$1006:BJ1006),$AM$1006:$BM$1006,0)), HYPERLINK("#",""), HYPERLINK(CONCATENATE("#metadata!", ADDRESS(INDEX($AH$2:$AH$1001,MATCH(ROWS($AF$2:AF998),$AF$2:$AF$1001,0),0), INDEX($AM$1004:$BM$1004,1,MATCH(COLUMNS($AM$1006:BJ1006),$AM$1006:$BM$1006,0)))),"Fix")))</f>
        <v xml:space="preserve"> </v>
      </c>
      <c r="Z998" s="4" t="str">
        <f ca="1">IF(OR(INDEX($AG$2:$AG$1001,MATCH(ROWS($AF$2:AF998),$AF$2:$AF$1001,0),1)&gt;=100000,INDEX($AM$1005:$BM$1005,1,MATCH(COLUMNS($AM$1006:BK1006),$AM$1006:$BM$1006,0))&gt;=100000), " ",IF(INDEX($AM$2:$BM$1001,MATCH(ROWS($AF$2:AF998),$AF$2:$AF$1001,0),MATCH(COLUMNS($AM$1006:BK1006),$AM$1006:$BM$1006,0)), HYPERLINK("#",""), HYPERLINK(CONCATENATE("#metadata!", ADDRESS(INDEX($AH$2:$AH$1001,MATCH(ROWS($AF$2:AF998),$AF$2:$AF$1001,0),0), INDEX($AM$1004:$BM$1004,1,MATCH(COLUMNS($AM$1006:BK1006),$AM$1006:$BM$1006,0)))),"Fix")))</f>
        <v xml:space="preserve"> </v>
      </c>
      <c r="AA998" s="4" t="str">
        <f ca="1">IF(OR(INDEX($AG$2:$AG$1001,MATCH(ROWS($AF$2:AF998),$AF$2:$AF$1001,0),1)&gt;=100000,INDEX($AM$1005:$BM$1005,1,MATCH(COLUMNS($AM$1006:BL1006),$AM$1006:$BM$1006,0))&gt;=100000), " ",IF(INDEX($AM$2:$BM$1001,MATCH(ROWS($AF$2:AF998),$AF$2:$AF$1001,0),MATCH(COLUMNS($AM$1006:BL1006),$AM$1006:$BM$1006,0)), HYPERLINK("#",""), HYPERLINK(CONCATENATE("#metadata!", ADDRESS(INDEX($AH$2:$AH$1001,MATCH(ROWS($AF$2:AF998),$AF$2:$AF$1001,0),0), INDEX($AM$1004:$BM$1004,1,MATCH(COLUMNS($AM$1006:BL1006),$AM$1006:$BM$1006,0)))),"Fix")))</f>
        <v xml:space="preserve"> </v>
      </c>
      <c r="AB998" s="4" t="str">
        <f ca="1">IF(OR(INDEX($AG$2:$AG$1001,MATCH(ROWS($AF$2:AF998),$AF$2:$AF$1001,0),1)&gt;=100000,INDEX($AM$1005:$BM$1005,1,MATCH(COLUMNS($AM$1006:BM1006),$AM$1006:$BM$1006,0))&gt;=100000), " ",IF(INDEX($AM$2:$BM$1001,MATCH(ROWS($AF$2:AF998),$AF$2:$AF$1001,0),MATCH(COLUMNS($AM$1006:BM1006),$AM$1006:$BM$1006,0)), HYPERLINK("#",""), HYPERLINK(CONCATENATE("#metadata!", ADDRESS(INDEX($AH$2:$AH$1001,MATCH(ROWS($AF$2:AF998),$AF$2:$AF$1001,0),0), INDEX($AM$1004:$BM$1004,1,MATCH(COLUMNS($AM$1006:BM1006),$AM$1006:$BM$1006,0)))),"Fix")))</f>
        <v xml:space="preserve"> </v>
      </c>
      <c r="AF998">
        <v>997</v>
      </c>
      <c r="AG998">
        <v>100998</v>
      </c>
      <c r="AH998">
        <v>998</v>
      </c>
      <c r="AI998" t="b">
        <f t="shared" si="15"/>
        <v>1</v>
      </c>
      <c r="AJ998" t="b">
        <f>COUNTBLANK(metadata!B998:AB998)=COLUMNS(metadata!B998:AB998)</f>
        <v>1</v>
      </c>
      <c r="AK998" t="str">
        <v/>
      </c>
      <c r="AM998" t="b">
        <f ca="1">AND(IF(metadata!B998="",FALSE,TRUE),COUNTIF(metadata!B:B, metadata!B998) = 1,NOT(ISERROR(SUMPRODUCT(SEARCH(MID(metadata!B998,ROW(INDIRECT("1:"&amp;LEN(metadata!B998))), 1),"0123456789abcdefghijklmnopqrstuvwxyzABCDEFGHIJKLMNOPQRSTUVWXYZ.")))))</f>
        <v>0</v>
      </c>
      <c r="AN998" t="b">
        <f ca="1">OR(AND(IF(metadata!C998="",FALSE,TRUE),OR(EXACT(metadata!C998,"missing: not collected"),EXACT(metadata!C998,"missing: not provided"),EXACT(metadata!C998,"missing: restricted access"))),AND(IF(metadata!C998="",FALSE,TRUE),AND(AND(IFERROR(INT(LEFT(metadata!C998,4))&gt;1900,FALSE),IFERROR(INT(LEFT(metadata!C998,4))&lt;=YEAR(NOW()),FALSE)), OR(MID(metadata!C998,5,1)="", AND(AND(MID(metadata!C998,5,1)="-",IFERROR(INT(MID(metadata!C998,6,1))&gt;=0,FALSE),IFERROR(INT(MID(metadata!C998,6,1))&lt;=1,FALSE),NOT(MID(metadata!C998,7,1)=""),IFERROR(INT(MID(metadata!C998,6,2))&gt;=1,FALSE),IFERROR(INT(MID(metadata!C998,6,2))&lt;=12,FALSE)), OR(MID(metadata!C998,8,1)="", AND(AND(MID(metadata!C998,8,1)="-",IFERROR(INT(MID(metadata!C998,9,1))&gt;=0,FALSE),IFERROR(INT(MID(metadata!C998,9,1))&lt;=3,FALSE),NOT(MID(metadata!C998,10,1)=""),IFERROR(INT(MID(metadata!C998,9,2))&gt;=1,FALSE),IFERROR(INT(MID(metadata!C998,9,2))&lt;=31,FALSE)), OR(MID(metadata!C998,11,1)="", AND(AND(MID(metadata!C998,11,1)=" ",IFERROR(INT(MID(metadata!C998,12,1))&gt;=0,FALSE),IFERROR(INT(MID(metadata!C998,12,1))&lt;=2,FALSE),NOT(MID(metadata!C998,13,1)=""),IFERROR(INT(MID(metadata!C998,12,2))&gt;=0,FALSE),IFERROR(INT(MID(metadata!C998,12,2))&lt;=23,FALSE)), OR(MID(metadata!C998,14,1)="", AND(AND(MID(metadata!C998,14,1)=":",IFERROR(INT(MID(metadata!C998,15,1))&gt;=0,FALSE),IFERROR(INT(MID(metadata!C998,15,1))&lt;=5,FALSE),NOT(MID(metadata!C998,16,1)=""),IFERROR(INT(MID(metadata!C998,15,2))&gt;=0,FALSE),IFERROR(INT(MID(metadata!C998,15,2))&lt;=59,FALSE)), OR(MID(metadata!C998,17,1)="", AND(AND(MID(metadata!C998,17,1)=":",IFERROR(INT(MID(metadata!C998,18,1))&gt;=0,FALSE),IFERROR(INT(MID(metadata!C998,18,1))&lt;=5,FALSE),NOT(MID(metadata!C998,19,1)=""),IFERROR(INT(MID(metadata!C998,18,2))&gt;=0,FALSE),IFERROR(INT(MID(metadata!C998,18,2))&lt;=59,FALSE)), LEN(metadata!C998)&lt;=19)))))))))))))</f>
        <v>0</v>
      </c>
      <c r="AO998" t="b">
        <f>AND(IF(metadata!D998="",FALSE,TRUE),EXACT(metadata!D998,"Not applicable"))</f>
        <v>0</v>
      </c>
      <c r="AP998" t="b">
        <f>IF(metadata!E998="",FALSE,TRUE)</f>
        <v>0</v>
      </c>
      <c r="AQ998" t="b">
        <f>OR(AND(IF(metadata!F998="",FALSE,TRUE),OR(EXACT(metadata!F998,"missing: not collected"),EXACT(metadata!F998,"missing: not provided"))),AND(IF(metadata!F998="",FALSE,TRUE),OR(EXACT(metadata!F998,"TRUE"),EXACT(metadata!F998,"FALSE"))))</f>
        <v>0</v>
      </c>
      <c r="AR998" t="b">
        <f>OR(AND(IF(metadata!G998="",FALSE,TRUE),OR(EXACT(metadata!G998,"missing: not collected"),EXACT(metadata!G998,"missing: not provided"),EXACT(metadata!G998,"missing: restricted access"))),AND(IF(metadata!G998="",FALSE,ISNUMBER(VALUE(metadata!G998))),metadata!G998&gt;=-413))</f>
        <v>0</v>
      </c>
      <c r="AS998" t="b">
        <f>AND(IF(metadata!H998="",FALSE,TRUE),EXACT(metadata!H998,"meters"))</f>
        <v>0</v>
      </c>
      <c r="AT998" t="b">
        <f>AND(IF(metadata!I998="",FALSE,TRUE),OR(EXACT(metadata!I998,"Host-associated"),EXACT(metadata!I998,"Free-living")))</f>
        <v>0</v>
      </c>
      <c r="AU998" t="b">
        <f>AND(IF(metadata!J998="",FALSE,TRUE),OR(EXACT(metadata!J998,"Animal"),EXACT(metadata!J998,"Fungus"),EXACT(metadata!J998,"Plant"),EXACT(metadata!J998,"Saline"),EXACT(metadata!J998,"Non-saline")))</f>
        <v>0</v>
      </c>
      <c r="AV998" t="b">
        <f>AND(IF(metadata!K998="",FALSE,TRUE),OR(EXACT(metadata!K998,"Plant secretion"),EXACT(metadata!K998,"Plant rhizosphere"),EXACT(metadata!K998,"Plant surface"),EXACT(metadata!K998,"Plant corpus"),EXACT(metadata!K998,"Fungus surface"),EXACT(metadata!K998,"Fungus corpus"),EXACT(metadata!K998,"Animal surface"),EXACT(metadata!K998,"Animal proximal gut"),EXACT(metadata!K998,"Animal corpus"),EXACT(metadata!K998,"Animal distal gut"),EXACT(metadata!K998,"Animal secretion"),EXACT(metadata!K998,"Sub-surface (non-saline)"),EXACT(metadata!K998,"Surface (non-saline)"),EXACT(metadata!K998,"Water (non-saline)"),EXACT(metadata!K998,"Soil (non-saline)"),EXACT(metadata!K998,"Aerosol (non-saline)"),EXACT(metadata!K998,"Sediment (non-saline)"),EXACT(metadata!K998,"Surface (saline)"),EXACT(metadata!K998,"Water (saline)"),EXACT(metadata!K998,"Hypersaline (saline)"),EXACT(metadata!K998,"Aerosol (saline)"),EXACT(metadata!K998,"Sediment (saline)")))</f>
        <v>0</v>
      </c>
      <c r="AW998" t="b">
        <f>IF(metadata!L998="",FALSE,TRUE)</f>
        <v>0</v>
      </c>
      <c r="AX998" t="b">
        <f>IF(metadata!M998="",FALSE,TRUE)</f>
        <v>0</v>
      </c>
      <c r="AY998" t="b">
        <f>IF(metadata!N998="",FALSE,TRUE)</f>
        <v>0</v>
      </c>
      <c r="AZ998" t="b">
        <f>OR(AND(IF(metadata!O998="",FALSE,TRUE),OR(EXACT(metadata!O998,"missing: not collected"),EXACT(metadata!O998,"missing: not provided"),EXACT(metadata!O998,"missing: restricted access"))),AND(IF(metadata!O998="",FALSE,TRUE),OR(EXACT(metadata!O998,"air"),EXACT(metadata!O998,"built environment"),EXACT(metadata!O998,"host-associated"),EXACT(metadata!O998,"human-associated"),EXACT(metadata!O998,"human-skin"),EXACT(metadata!O998,"human-oral"),EXACT(metadata!O998,"human-gut"),EXACT(metadata!O998,"human-vaginal"),EXACT(metadata!O998,"microbial mat/biofilm"),EXACT(metadata!O998,"misc environment"),EXACT(metadata!O998,"plant-associated"),EXACT(metadata!O998,"sediment"),EXACT(metadata!O998,"soil"),EXACT(metadata!O998,"wastewater/sludge"),EXACT(metadata!O998,"water"))))</f>
        <v>0</v>
      </c>
      <c r="BA998" t="b">
        <f>IF(metadata!P998="",FALSE,TRUE)</f>
        <v>0</v>
      </c>
      <c r="BB998" t="b">
        <f>IF(metadata!Q998="",FALSE,TRUE)</f>
        <v>0</v>
      </c>
      <c r="BC998" t="b">
        <f>OR(AND(IF(metadata!R998="",FALSE,TRUE),OR(EXACT(metadata!R998,"missing: not collected"),EXACT(metadata!R998,"missing: not provided"),EXACT(metadata!R998,"missing: restricted access"))),AND(IF(metadata!R998="",FALSE,ISNUMBER(VALUE(metadata!R998))),metadata!R998&gt;=-90,metadata!R998&lt;=90))</f>
        <v>0</v>
      </c>
      <c r="BD998" t="b">
        <f>AND(IF(metadata!S998="",FALSE,TRUE),EXACT(metadata!S998,"Decimal degrees"))</f>
        <v>0</v>
      </c>
      <c r="BE998" t="b">
        <f>OR(AND(IF(metadata!T998="",FALSE,TRUE),OR(EXACT(metadata!T998,"missing: not collected"),EXACT(metadata!T998,"missing: not provided"),EXACT(metadata!T998,"missing: restricted access"))),AND(IF(metadata!T998="",FALSE,ISNUMBER(VALUE(metadata!T998))),metadata!T998&gt;=-180,metadata!T998&lt;=180))</f>
        <v>0</v>
      </c>
      <c r="BF998" t="b">
        <f>AND(IF(metadata!U998="",FALSE,TRUE),EXACT(metadata!U998,"Decimal degrees"))</f>
        <v>0</v>
      </c>
      <c r="BG998" t="b">
        <f>IF(metadata!V998="",FALSE,TRUE)</f>
        <v>0</v>
      </c>
      <c r="BH998" t="b">
        <f>OR(AND(IF(metadata!W998="",FALSE,TRUE),OR(EXACT(metadata!W998,"missing: not collected"),EXACT(metadata!W998,"missing: not provided"),EXACT(metadata!W998,"missing: restricted access"))),AND(IF(metadata!W998="",FALSE,TRUE),OR(EXACT(metadata!W998,"TRUE"),EXACT(metadata!W998,"FALSE"))))</f>
        <v>0</v>
      </c>
      <c r="BI998" t="b">
        <f>AND(IF(metadata!X998="",FALSE,TRUE),EXACT(metadata!X998,"other"))</f>
        <v>0</v>
      </c>
      <c r="BJ998" t="b">
        <f>IF(metadata!Y998="",FALSE,TRUE)</f>
        <v>0</v>
      </c>
      <c r="BK998" t="b">
        <f>OR(AND(IF(metadata!Z998="",FALSE,TRUE),OR(EXACT(metadata!Z998,"missing: not collected"),EXACT(metadata!Z998,"missing: not provided"))),AND(IF(metadata!Z998="",FALSE,IF(ISERROR(INT(metadata!Z998)),FALSE,INT(metadata!Z998)=metadata!Z998)),metadata!Z998&gt;0))</f>
        <v>0</v>
      </c>
      <c r="BL998" t="b">
        <f>AND(IF(metadata!AA998="",FALSE,TRUE),EXACT(metadata!AA998,"Not applicable"))</f>
        <v>0</v>
      </c>
      <c r="BM998" t="b">
        <f>IF(metadata!AB998="",FALSE,TRUE)</f>
        <v>0</v>
      </c>
    </row>
    <row r="999" spans="1:65" x14ac:dyDescent="0.2">
      <c r="A999" s="5" t="str">
        <f ca="1">IF(B999=" "," ",HYPERLINK(CONCATENATE("#metadata!",ADDRESS(INDEX($AH$2:$AH$1001,MATCH(ROWS($AF$2:AF999),$AF$2:$AF$1001,0),0),1)),INDEX($AK$2:$AK$1001,MATCH(ROWS($AF$2:AF999),$AF$2:$AF$1001,0),0)))</f>
        <v xml:space="preserve"> </v>
      </c>
      <c r="B999" s="4" t="str">
        <f ca="1">IF(OR(INDEX($AG$2:$AG$1001,MATCH(ROWS($AF$2:AF999),$AF$2:$AF$1001,0),1)&gt;=100000,INDEX($AM$1005:$BM$1005,1,MATCH(COLUMNS($AM$1006:AM1006),$AM$1006:$BM$1006,0))&gt;=100000), " ",IF(INDEX($AM$2:$BM$1001,MATCH(ROWS($AF$2:AF999),$AF$2:$AF$1001,0),MATCH(COLUMNS($AM$1006:AM1006),$AM$1006:$BM$1006,0)), HYPERLINK("#",""), HYPERLINK(CONCATENATE("#metadata!", ADDRESS(INDEX($AH$2:$AH$1001,MATCH(ROWS($AF$2:AF999),$AF$2:$AF$1001,0),0), INDEX($AM$1004:$BM$1004,1,MATCH(COLUMNS($AM$1006:AM1006),$AM$1006:$BM$1006,0)))),"Fix")))</f>
        <v xml:space="preserve"> </v>
      </c>
      <c r="C999" s="4" t="str">
        <f ca="1">IF(OR(INDEX($AG$2:$AG$1001,MATCH(ROWS($AF$2:AF999),$AF$2:$AF$1001,0),1)&gt;=100000,INDEX($AM$1005:$BM$1005,1,MATCH(COLUMNS($AM$1006:AN1006),$AM$1006:$BM$1006,0))&gt;=100000), " ",IF(INDEX($AM$2:$BM$1001,MATCH(ROWS($AF$2:AF999),$AF$2:$AF$1001,0),MATCH(COLUMNS($AM$1006:AN1006),$AM$1006:$BM$1006,0)), HYPERLINK("#",""), HYPERLINK(CONCATENATE("#metadata!", ADDRESS(INDEX($AH$2:$AH$1001,MATCH(ROWS($AF$2:AF999),$AF$2:$AF$1001,0),0), INDEX($AM$1004:$BM$1004,1,MATCH(COLUMNS($AM$1006:AN1006),$AM$1006:$BM$1006,0)))),"Fix")))</f>
        <v xml:space="preserve"> </v>
      </c>
      <c r="D999" s="4" t="str">
        <f ca="1">IF(OR(INDEX($AG$2:$AG$1001,MATCH(ROWS($AF$2:AF999),$AF$2:$AF$1001,0),1)&gt;=100000,INDEX($AM$1005:$BM$1005,1,MATCH(COLUMNS($AM$1006:AO1006),$AM$1006:$BM$1006,0))&gt;=100000), " ",IF(INDEX($AM$2:$BM$1001,MATCH(ROWS($AF$2:AF999),$AF$2:$AF$1001,0),MATCH(COLUMNS($AM$1006:AO1006),$AM$1006:$BM$1006,0)), HYPERLINK("#",""), HYPERLINK(CONCATENATE("#metadata!", ADDRESS(INDEX($AH$2:$AH$1001,MATCH(ROWS($AF$2:AF999),$AF$2:$AF$1001,0),0), INDEX($AM$1004:$BM$1004,1,MATCH(COLUMNS($AM$1006:AO1006),$AM$1006:$BM$1006,0)))),"Fix")))</f>
        <v xml:space="preserve"> </v>
      </c>
      <c r="E999" s="4" t="str">
        <f ca="1">IF(OR(INDEX($AG$2:$AG$1001,MATCH(ROWS($AF$2:AF999),$AF$2:$AF$1001,0),1)&gt;=100000,INDEX($AM$1005:$BM$1005,1,MATCH(COLUMNS($AM$1006:AP1006),$AM$1006:$BM$1006,0))&gt;=100000), " ",IF(INDEX($AM$2:$BM$1001,MATCH(ROWS($AF$2:AF999),$AF$2:$AF$1001,0),MATCH(COLUMNS($AM$1006:AP1006),$AM$1006:$BM$1006,0)), HYPERLINK("#",""), HYPERLINK(CONCATENATE("#metadata!", ADDRESS(INDEX($AH$2:$AH$1001,MATCH(ROWS($AF$2:AF999),$AF$2:$AF$1001,0),0), INDEX($AM$1004:$BM$1004,1,MATCH(COLUMNS($AM$1006:AP1006),$AM$1006:$BM$1006,0)))),"Fix")))</f>
        <v xml:space="preserve"> </v>
      </c>
      <c r="F999" s="4" t="str">
        <f ca="1">IF(OR(INDEX($AG$2:$AG$1001,MATCH(ROWS($AF$2:AF999),$AF$2:$AF$1001,0),1)&gt;=100000,INDEX($AM$1005:$BM$1005,1,MATCH(COLUMNS($AM$1006:AQ1006),$AM$1006:$BM$1006,0))&gt;=100000), " ",IF(INDEX($AM$2:$BM$1001,MATCH(ROWS($AF$2:AF999),$AF$2:$AF$1001,0),MATCH(COLUMNS($AM$1006:AQ1006),$AM$1006:$BM$1006,0)), HYPERLINK("#",""), HYPERLINK(CONCATENATE("#metadata!", ADDRESS(INDEX($AH$2:$AH$1001,MATCH(ROWS($AF$2:AF999),$AF$2:$AF$1001,0),0), INDEX($AM$1004:$BM$1004,1,MATCH(COLUMNS($AM$1006:AQ1006),$AM$1006:$BM$1006,0)))),"Fix")))</f>
        <v xml:space="preserve"> </v>
      </c>
      <c r="G999" s="4" t="str">
        <f ca="1">IF(OR(INDEX($AG$2:$AG$1001,MATCH(ROWS($AF$2:AF999),$AF$2:$AF$1001,0),1)&gt;=100000,INDEX($AM$1005:$BM$1005,1,MATCH(COLUMNS($AM$1006:AR1006),$AM$1006:$BM$1006,0))&gt;=100000), " ",IF(INDEX($AM$2:$BM$1001,MATCH(ROWS($AF$2:AF999),$AF$2:$AF$1001,0),MATCH(COLUMNS($AM$1006:AR1006),$AM$1006:$BM$1006,0)), HYPERLINK("#",""), HYPERLINK(CONCATENATE("#metadata!", ADDRESS(INDEX($AH$2:$AH$1001,MATCH(ROWS($AF$2:AF999),$AF$2:$AF$1001,0),0), INDEX($AM$1004:$BM$1004,1,MATCH(COLUMNS($AM$1006:AR1006),$AM$1006:$BM$1006,0)))),"Fix")))</f>
        <v xml:space="preserve"> </v>
      </c>
      <c r="H999" s="4" t="str">
        <f ca="1">IF(OR(INDEX($AG$2:$AG$1001,MATCH(ROWS($AF$2:AF999),$AF$2:$AF$1001,0),1)&gt;=100000,INDEX($AM$1005:$BM$1005,1,MATCH(COLUMNS($AM$1006:AS1006),$AM$1006:$BM$1006,0))&gt;=100000), " ",IF(INDEX($AM$2:$BM$1001,MATCH(ROWS($AF$2:AF999),$AF$2:$AF$1001,0),MATCH(COLUMNS($AM$1006:AS1006),$AM$1006:$BM$1006,0)), HYPERLINK("#",""), HYPERLINK(CONCATENATE("#metadata!", ADDRESS(INDEX($AH$2:$AH$1001,MATCH(ROWS($AF$2:AF999),$AF$2:$AF$1001,0),0), INDEX($AM$1004:$BM$1004,1,MATCH(COLUMNS($AM$1006:AS1006),$AM$1006:$BM$1006,0)))),"Fix")))</f>
        <v xml:space="preserve"> </v>
      </c>
      <c r="I999" s="4" t="str">
        <f ca="1">IF(OR(INDEX($AG$2:$AG$1001,MATCH(ROWS($AF$2:AF999),$AF$2:$AF$1001,0),1)&gt;=100000,INDEX($AM$1005:$BM$1005,1,MATCH(COLUMNS($AM$1006:AT1006),$AM$1006:$BM$1006,0))&gt;=100000), " ",IF(INDEX($AM$2:$BM$1001,MATCH(ROWS($AF$2:AF999),$AF$2:$AF$1001,0),MATCH(COLUMNS($AM$1006:AT1006),$AM$1006:$BM$1006,0)), HYPERLINK("#",""), HYPERLINK(CONCATENATE("#metadata!", ADDRESS(INDEX($AH$2:$AH$1001,MATCH(ROWS($AF$2:AF999),$AF$2:$AF$1001,0),0), INDEX($AM$1004:$BM$1004,1,MATCH(COLUMNS($AM$1006:AT1006),$AM$1006:$BM$1006,0)))),"Fix")))</f>
        <v xml:space="preserve"> </v>
      </c>
      <c r="J999" s="4" t="str">
        <f ca="1">IF(OR(INDEX($AG$2:$AG$1001,MATCH(ROWS($AF$2:AF999),$AF$2:$AF$1001,0),1)&gt;=100000,INDEX($AM$1005:$BM$1005,1,MATCH(COLUMNS($AM$1006:AU1006),$AM$1006:$BM$1006,0))&gt;=100000), " ",IF(INDEX($AM$2:$BM$1001,MATCH(ROWS($AF$2:AF999),$AF$2:$AF$1001,0),MATCH(COLUMNS($AM$1006:AU1006),$AM$1006:$BM$1006,0)), HYPERLINK("#",""), HYPERLINK(CONCATENATE("#metadata!", ADDRESS(INDEX($AH$2:$AH$1001,MATCH(ROWS($AF$2:AF999),$AF$2:$AF$1001,0),0), INDEX($AM$1004:$BM$1004,1,MATCH(COLUMNS($AM$1006:AU1006),$AM$1006:$BM$1006,0)))),"Fix")))</f>
        <v xml:space="preserve"> </v>
      </c>
      <c r="K999" s="4" t="str">
        <f ca="1">IF(OR(INDEX($AG$2:$AG$1001,MATCH(ROWS($AF$2:AF999),$AF$2:$AF$1001,0),1)&gt;=100000,INDEX($AM$1005:$BM$1005,1,MATCH(COLUMNS($AM$1006:AV1006),$AM$1006:$BM$1006,0))&gt;=100000), " ",IF(INDEX($AM$2:$BM$1001,MATCH(ROWS($AF$2:AF999),$AF$2:$AF$1001,0),MATCH(COLUMNS($AM$1006:AV1006),$AM$1006:$BM$1006,0)), HYPERLINK("#",""), HYPERLINK(CONCATENATE("#metadata!", ADDRESS(INDEX($AH$2:$AH$1001,MATCH(ROWS($AF$2:AF999),$AF$2:$AF$1001,0),0), INDEX($AM$1004:$BM$1004,1,MATCH(COLUMNS($AM$1006:AV1006),$AM$1006:$BM$1006,0)))),"Fix")))</f>
        <v xml:space="preserve"> </v>
      </c>
      <c r="L999" s="4" t="str">
        <f ca="1">IF(OR(INDEX($AG$2:$AG$1001,MATCH(ROWS($AF$2:AF999),$AF$2:$AF$1001,0),1)&gt;=100000,INDEX($AM$1005:$BM$1005,1,MATCH(COLUMNS($AM$1006:AW1006),$AM$1006:$BM$1006,0))&gt;=100000), " ",IF(INDEX($AM$2:$BM$1001,MATCH(ROWS($AF$2:AF999),$AF$2:$AF$1001,0),MATCH(COLUMNS($AM$1006:AW1006),$AM$1006:$BM$1006,0)), HYPERLINK("#",""), HYPERLINK(CONCATENATE("#metadata!", ADDRESS(INDEX($AH$2:$AH$1001,MATCH(ROWS($AF$2:AF999),$AF$2:$AF$1001,0),0), INDEX($AM$1004:$BM$1004,1,MATCH(COLUMNS($AM$1006:AW1006),$AM$1006:$BM$1006,0)))),"Fix")))</f>
        <v xml:space="preserve"> </v>
      </c>
      <c r="M999" s="4" t="str">
        <f ca="1">IF(OR(INDEX($AG$2:$AG$1001,MATCH(ROWS($AF$2:AF999),$AF$2:$AF$1001,0),1)&gt;=100000,INDEX($AM$1005:$BM$1005,1,MATCH(COLUMNS($AM$1006:AX1006),$AM$1006:$BM$1006,0))&gt;=100000), " ",IF(INDEX($AM$2:$BM$1001,MATCH(ROWS($AF$2:AF999),$AF$2:$AF$1001,0),MATCH(COLUMNS($AM$1006:AX1006),$AM$1006:$BM$1006,0)), HYPERLINK("#",""), HYPERLINK(CONCATENATE("#metadata!", ADDRESS(INDEX($AH$2:$AH$1001,MATCH(ROWS($AF$2:AF999),$AF$2:$AF$1001,0),0), INDEX($AM$1004:$BM$1004,1,MATCH(COLUMNS($AM$1006:AX1006),$AM$1006:$BM$1006,0)))),"Fix")))</f>
        <v xml:space="preserve"> </v>
      </c>
      <c r="N999" s="4" t="str">
        <f ca="1">IF(OR(INDEX($AG$2:$AG$1001,MATCH(ROWS($AF$2:AF999),$AF$2:$AF$1001,0),1)&gt;=100000,INDEX($AM$1005:$BM$1005,1,MATCH(COLUMNS($AM$1006:AY1006),$AM$1006:$BM$1006,0))&gt;=100000), " ",IF(INDEX($AM$2:$BM$1001,MATCH(ROWS($AF$2:AF999),$AF$2:$AF$1001,0),MATCH(COLUMNS($AM$1006:AY1006),$AM$1006:$BM$1006,0)), HYPERLINK("#",""), HYPERLINK(CONCATENATE("#metadata!", ADDRESS(INDEX($AH$2:$AH$1001,MATCH(ROWS($AF$2:AF999),$AF$2:$AF$1001,0),0), INDEX($AM$1004:$BM$1004,1,MATCH(COLUMNS($AM$1006:AY1006),$AM$1006:$BM$1006,0)))),"Fix")))</f>
        <v xml:space="preserve"> </v>
      </c>
      <c r="O999" s="4" t="str">
        <f ca="1">IF(OR(INDEX($AG$2:$AG$1001,MATCH(ROWS($AF$2:AF999),$AF$2:$AF$1001,0),1)&gt;=100000,INDEX($AM$1005:$BM$1005,1,MATCH(COLUMNS($AM$1006:AZ1006),$AM$1006:$BM$1006,0))&gt;=100000), " ",IF(INDEX($AM$2:$BM$1001,MATCH(ROWS($AF$2:AF999),$AF$2:$AF$1001,0),MATCH(COLUMNS($AM$1006:AZ1006),$AM$1006:$BM$1006,0)), HYPERLINK("#",""), HYPERLINK(CONCATENATE("#metadata!", ADDRESS(INDEX($AH$2:$AH$1001,MATCH(ROWS($AF$2:AF999),$AF$2:$AF$1001,0),0), INDEX($AM$1004:$BM$1004,1,MATCH(COLUMNS($AM$1006:AZ1006),$AM$1006:$BM$1006,0)))),"Fix")))</f>
        <v xml:space="preserve"> </v>
      </c>
      <c r="P999" s="4" t="str">
        <f ca="1">IF(OR(INDEX($AG$2:$AG$1001,MATCH(ROWS($AF$2:AF999),$AF$2:$AF$1001,0),1)&gt;=100000,INDEX($AM$1005:$BM$1005,1,MATCH(COLUMNS($AM$1006:BA1006),$AM$1006:$BM$1006,0))&gt;=100000), " ",IF(INDEX($AM$2:$BM$1001,MATCH(ROWS($AF$2:AF999),$AF$2:$AF$1001,0),MATCH(COLUMNS($AM$1006:BA1006),$AM$1006:$BM$1006,0)), HYPERLINK("#",""), HYPERLINK(CONCATENATE("#metadata!", ADDRESS(INDEX($AH$2:$AH$1001,MATCH(ROWS($AF$2:AF999),$AF$2:$AF$1001,0),0), INDEX($AM$1004:$BM$1004,1,MATCH(COLUMNS($AM$1006:BA1006),$AM$1006:$BM$1006,0)))),"Fix")))</f>
        <v xml:space="preserve"> </v>
      </c>
      <c r="Q999" s="4" t="str">
        <f ca="1">IF(OR(INDEX($AG$2:$AG$1001,MATCH(ROWS($AF$2:AF999),$AF$2:$AF$1001,0),1)&gt;=100000,INDEX($AM$1005:$BM$1005,1,MATCH(COLUMNS($AM$1006:BB1006),$AM$1006:$BM$1006,0))&gt;=100000), " ",IF(INDEX($AM$2:$BM$1001,MATCH(ROWS($AF$2:AF999),$AF$2:$AF$1001,0),MATCH(COLUMNS($AM$1006:BB1006),$AM$1006:$BM$1006,0)), HYPERLINK("#",""), HYPERLINK(CONCATENATE("#metadata!", ADDRESS(INDEX($AH$2:$AH$1001,MATCH(ROWS($AF$2:AF999),$AF$2:$AF$1001,0),0), INDEX($AM$1004:$BM$1004,1,MATCH(COLUMNS($AM$1006:BB1006),$AM$1006:$BM$1006,0)))),"Fix")))</f>
        <v xml:space="preserve"> </v>
      </c>
      <c r="R999" s="4" t="str">
        <f ca="1">IF(OR(INDEX($AG$2:$AG$1001,MATCH(ROWS($AF$2:AF999),$AF$2:$AF$1001,0),1)&gt;=100000,INDEX($AM$1005:$BM$1005,1,MATCH(COLUMNS($AM$1006:BC1006),$AM$1006:$BM$1006,0))&gt;=100000), " ",IF(INDEX($AM$2:$BM$1001,MATCH(ROWS($AF$2:AF999),$AF$2:$AF$1001,0),MATCH(COLUMNS($AM$1006:BC1006),$AM$1006:$BM$1006,0)), HYPERLINK("#",""), HYPERLINK(CONCATENATE("#metadata!", ADDRESS(INDEX($AH$2:$AH$1001,MATCH(ROWS($AF$2:AF999),$AF$2:$AF$1001,0),0), INDEX($AM$1004:$BM$1004,1,MATCH(COLUMNS($AM$1006:BC1006),$AM$1006:$BM$1006,0)))),"Fix")))</f>
        <v xml:space="preserve"> </v>
      </c>
      <c r="S999" s="4" t="str">
        <f ca="1">IF(OR(INDEX($AG$2:$AG$1001,MATCH(ROWS($AF$2:AF999),$AF$2:$AF$1001,0),1)&gt;=100000,INDEX($AM$1005:$BM$1005,1,MATCH(COLUMNS($AM$1006:BD1006),$AM$1006:$BM$1006,0))&gt;=100000), " ",IF(INDEX($AM$2:$BM$1001,MATCH(ROWS($AF$2:AF999),$AF$2:$AF$1001,0),MATCH(COLUMNS($AM$1006:BD1006),$AM$1006:$BM$1006,0)), HYPERLINK("#",""), HYPERLINK(CONCATENATE("#metadata!", ADDRESS(INDEX($AH$2:$AH$1001,MATCH(ROWS($AF$2:AF999),$AF$2:$AF$1001,0),0), INDEX($AM$1004:$BM$1004,1,MATCH(COLUMNS($AM$1006:BD1006),$AM$1006:$BM$1006,0)))),"Fix")))</f>
        <v xml:space="preserve"> </v>
      </c>
      <c r="T999" s="4" t="str">
        <f ca="1">IF(OR(INDEX($AG$2:$AG$1001,MATCH(ROWS($AF$2:AF999),$AF$2:$AF$1001,0),1)&gt;=100000,INDEX($AM$1005:$BM$1005,1,MATCH(COLUMNS($AM$1006:BE1006),$AM$1006:$BM$1006,0))&gt;=100000), " ",IF(INDEX($AM$2:$BM$1001,MATCH(ROWS($AF$2:AF999),$AF$2:$AF$1001,0),MATCH(COLUMNS($AM$1006:BE1006),$AM$1006:$BM$1006,0)), HYPERLINK("#",""), HYPERLINK(CONCATENATE("#metadata!", ADDRESS(INDEX($AH$2:$AH$1001,MATCH(ROWS($AF$2:AF999),$AF$2:$AF$1001,0),0), INDEX($AM$1004:$BM$1004,1,MATCH(COLUMNS($AM$1006:BE1006),$AM$1006:$BM$1006,0)))),"Fix")))</f>
        <v xml:space="preserve"> </v>
      </c>
      <c r="U999" s="4" t="str">
        <f ca="1">IF(OR(INDEX($AG$2:$AG$1001,MATCH(ROWS($AF$2:AF999),$AF$2:$AF$1001,0),1)&gt;=100000,INDEX($AM$1005:$BM$1005,1,MATCH(COLUMNS($AM$1006:BF1006),$AM$1006:$BM$1006,0))&gt;=100000), " ",IF(INDEX($AM$2:$BM$1001,MATCH(ROWS($AF$2:AF999),$AF$2:$AF$1001,0),MATCH(COLUMNS($AM$1006:BF1006),$AM$1006:$BM$1006,0)), HYPERLINK("#",""), HYPERLINK(CONCATENATE("#metadata!", ADDRESS(INDEX($AH$2:$AH$1001,MATCH(ROWS($AF$2:AF999),$AF$2:$AF$1001,0),0), INDEX($AM$1004:$BM$1004,1,MATCH(COLUMNS($AM$1006:BF1006),$AM$1006:$BM$1006,0)))),"Fix")))</f>
        <v xml:space="preserve"> </v>
      </c>
      <c r="V999" s="4" t="str">
        <f ca="1">IF(OR(INDEX($AG$2:$AG$1001,MATCH(ROWS($AF$2:AF999),$AF$2:$AF$1001,0),1)&gt;=100000,INDEX($AM$1005:$BM$1005,1,MATCH(COLUMNS($AM$1006:BG1006),$AM$1006:$BM$1006,0))&gt;=100000), " ",IF(INDEX($AM$2:$BM$1001,MATCH(ROWS($AF$2:AF999),$AF$2:$AF$1001,0),MATCH(COLUMNS($AM$1006:BG1006),$AM$1006:$BM$1006,0)), HYPERLINK("#",""), HYPERLINK(CONCATENATE("#metadata!", ADDRESS(INDEX($AH$2:$AH$1001,MATCH(ROWS($AF$2:AF999),$AF$2:$AF$1001,0),0), INDEX($AM$1004:$BM$1004,1,MATCH(COLUMNS($AM$1006:BG1006),$AM$1006:$BM$1006,0)))),"Fix")))</f>
        <v xml:space="preserve"> </v>
      </c>
      <c r="W999" s="4" t="str">
        <f ca="1">IF(OR(INDEX($AG$2:$AG$1001,MATCH(ROWS($AF$2:AF999),$AF$2:$AF$1001,0),1)&gt;=100000,INDEX($AM$1005:$BM$1005,1,MATCH(COLUMNS($AM$1006:BH1006),$AM$1006:$BM$1006,0))&gt;=100000), " ",IF(INDEX($AM$2:$BM$1001,MATCH(ROWS($AF$2:AF999),$AF$2:$AF$1001,0),MATCH(COLUMNS($AM$1006:BH1006),$AM$1006:$BM$1006,0)), HYPERLINK("#",""), HYPERLINK(CONCATENATE("#metadata!", ADDRESS(INDEX($AH$2:$AH$1001,MATCH(ROWS($AF$2:AF999),$AF$2:$AF$1001,0),0), INDEX($AM$1004:$BM$1004,1,MATCH(COLUMNS($AM$1006:BH1006),$AM$1006:$BM$1006,0)))),"Fix")))</f>
        <v xml:space="preserve"> </v>
      </c>
      <c r="X999" s="4" t="str">
        <f ca="1">IF(OR(INDEX($AG$2:$AG$1001,MATCH(ROWS($AF$2:AF999),$AF$2:$AF$1001,0),1)&gt;=100000,INDEX($AM$1005:$BM$1005,1,MATCH(COLUMNS($AM$1006:BI1006),$AM$1006:$BM$1006,0))&gt;=100000), " ",IF(INDEX($AM$2:$BM$1001,MATCH(ROWS($AF$2:AF999),$AF$2:$AF$1001,0),MATCH(COLUMNS($AM$1006:BI1006),$AM$1006:$BM$1006,0)), HYPERLINK("#",""), HYPERLINK(CONCATENATE("#metadata!", ADDRESS(INDEX($AH$2:$AH$1001,MATCH(ROWS($AF$2:AF999),$AF$2:$AF$1001,0),0), INDEX($AM$1004:$BM$1004,1,MATCH(COLUMNS($AM$1006:BI1006),$AM$1006:$BM$1006,0)))),"Fix")))</f>
        <v xml:space="preserve"> </v>
      </c>
      <c r="Y999" s="4" t="str">
        <f ca="1">IF(OR(INDEX($AG$2:$AG$1001,MATCH(ROWS($AF$2:AF999),$AF$2:$AF$1001,0),1)&gt;=100000,INDEX($AM$1005:$BM$1005,1,MATCH(COLUMNS($AM$1006:BJ1006),$AM$1006:$BM$1006,0))&gt;=100000), " ",IF(INDEX($AM$2:$BM$1001,MATCH(ROWS($AF$2:AF999),$AF$2:$AF$1001,0),MATCH(COLUMNS($AM$1006:BJ1006),$AM$1006:$BM$1006,0)), HYPERLINK("#",""), HYPERLINK(CONCATENATE("#metadata!", ADDRESS(INDEX($AH$2:$AH$1001,MATCH(ROWS($AF$2:AF999),$AF$2:$AF$1001,0),0), INDEX($AM$1004:$BM$1004,1,MATCH(COLUMNS($AM$1006:BJ1006),$AM$1006:$BM$1006,0)))),"Fix")))</f>
        <v xml:space="preserve"> </v>
      </c>
      <c r="Z999" s="4" t="str">
        <f ca="1">IF(OR(INDEX($AG$2:$AG$1001,MATCH(ROWS($AF$2:AF999),$AF$2:$AF$1001,0),1)&gt;=100000,INDEX($AM$1005:$BM$1005,1,MATCH(COLUMNS($AM$1006:BK1006),$AM$1006:$BM$1006,0))&gt;=100000), " ",IF(INDEX($AM$2:$BM$1001,MATCH(ROWS($AF$2:AF999),$AF$2:$AF$1001,0),MATCH(COLUMNS($AM$1006:BK1006),$AM$1006:$BM$1006,0)), HYPERLINK("#",""), HYPERLINK(CONCATENATE("#metadata!", ADDRESS(INDEX($AH$2:$AH$1001,MATCH(ROWS($AF$2:AF999),$AF$2:$AF$1001,0),0), INDEX($AM$1004:$BM$1004,1,MATCH(COLUMNS($AM$1006:BK1006),$AM$1006:$BM$1006,0)))),"Fix")))</f>
        <v xml:space="preserve"> </v>
      </c>
      <c r="AA999" s="4" t="str">
        <f ca="1">IF(OR(INDEX($AG$2:$AG$1001,MATCH(ROWS($AF$2:AF999),$AF$2:$AF$1001,0),1)&gt;=100000,INDEX($AM$1005:$BM$1005,1,MATCH(COLUMNS($AM$1006:BL1006),$AM$1006:$BM$1006,0))&gt;=100000), " ",IF(INDEX($AM$2:$BM$1001,MATCH(ROWS($AF$2:AF999),$AF$2:$AF$1001,0),MATCH(COLUMNS($AM$1006:BL1006),$AM$1006:$BM$1006,0)), HYPERLINK("#",""), HYPERLINK(CONCATENATE("#metadata!", ADDRESS(INDEX($AH$2:$AH$1001,MATCH(ROWS($AF$2:AF999),$AF$2:$AF$1001,0),0), INDEX($AM$1004:$BM$1004,1,MATCH(COLUMNS($AM$1006:BL1006),$AM$1006:$BM$1006,0)))),"Fix")))</f>
        <v xml:space="preserve"> </v>
      </c>
      <c r="AB999" s="4" t="str">
        <f ca="1">IF(OR(INDEX($AG$2:$AG$1001,MATCH(ROWS($AF$2:AF999),$AF$2:$AF$1001,0),1)&gt;=100000,INDEX($AM$1005:$BM$1005,1,MATCH(COLUMNS($AM$1006:BM1006),$AM$1006:$BM$1006,0))&gt;=100000), " ",IF(INDEX($AM$2:$BM$1001,MATCH(ROWS($AF$2:AF999),$AF$2:$AF$1001,0),MATCH(COLUMNS($AM$1006:BM1006),$AM$1006:$BM$1006,0)), HYPERLINK("#",""), HYPERLINK(CONCATENATE("#metadata!", ADDRESS(INDEX($AH$2:$AH$1001,MATCH(ROWS($AF$2:AF999),$AF$2:$AF$1001,0),0), INDEX($AM$1004:$BM$1004,1,MATCH(COLUMNS($AM$1006:BM1006),$AM$1006:$BM$1006,0)))),"Fix")))</f>
        <v xml:space="preserve"> </v>
      </c>
      <c r="AF999">
        <v>998</v>
      </c>
      <c r="AG999">
        <v>100999</v>
      </c>
      <c r="AH999">
        <v>999</v>
      </c>
      <c r="AI999" t="b">
        <f t="shared" si="15"/>
        <v>1</v>
      </c>
      <c r="AJ999" t="b">
        <f>COUNTBLANK(metadata!B999:AB999)=COLUMNS(metadata!B999:AB999)</f>
        <v>1</v>
      </c>
      <c r="AK999" t="str">
        <v/>
      </c>
      <c r="AM999" t="b">
        <f ca="1">AND(IF(metadata!B999="",FALSE,TRUE),COUNTIF(metadata!B:B, metadata!B999) = 1,NOT(ISERROR(SUMPRODUCT(SEARCH(MID(metadata!B999,ROW(INDIRECT("1:"&amp;LEN(metadata!B999))), 1),"0123456789abcdefghijklmnopqrstuvwxyzABCDEFGHIJKLMNOPQRSTUVWXYZ.")))))</f>
        <v>0</v>
      </c>
      <c r="AN999" t="b">
        <f ca="1">OR(AND(IF(metadata!C999="",FALSE,TRUE),OR(EXACT(metadata!C999,"missing: not collected"),EXACT(metadata!C999,"missing: not provided"),EXACT(metadata!C999,"missing: restricted access"))),AND(IF(metadata!C999="",FALSE,TRUE),AND(AND(IFERROR(INT(LEFT(metadata!C999,4))&gt;1900,FALSE),IFERROR(INT(LEFT(metadata!C999,4))&lt;=YEAR(NOW()),FALSE)), OR(MID(metadata!C999,5,1)="", AND(AND(MID(metadata!C999,5,1)="-",IFERROR(INT(MID(metadata!C999,6,1))&gt;=0,FALSE),IFERROR(INT(MID(metadata!C999,6,1))&lt;=1,FALSE),NOT(MID(metadata!C999,7,1)=""),IFERROR(INT(MID(metadata!C999,6,2))&gt;=1,FALSE),IFERROR(INT(MID(metadata!C999,6,2))&lt;=12,FALSE)), OR(MID(metadata!C999,8,1)="", AND(AND(MID(metadata!C999,8,1)="-",IFERROR(INT(MID(metadata!C999,9,1))&gt;=0,FALSE),IFERROR(INT(MID(metadata!C999,9,1))&lt;=3,FALSE),NOT(MID(metadata!C999,10,1)=""),IFERROR(INT(MID(metadata!C999,9,2))&gt;=1,FALSE),IFERROR(INT(MID(metadata!C999,9,2))&lt;=31,FALSE)), OR(MID(metadata!C999,11,1)="", AND(AND(MID(metadata!C999,11,1)=" ",IFERROR(INT(MID(metadata!C999,12,1))&gt;=0,FALSE),IFERROR(INT(MID(metadata!C999,12,1))&lt;=2,FALSE),NOT(MID(metadata!C999,13,1)=""),IFERROR(INT(MID(metadata!C999,12,2))&gt;=0,FALSE),IFERROR(INT(MID(metadata!C999,12,2))&lt;=23,FALSE)), OR(MID(metadata!C999,14,1)="", AND(AND(MID(metadata!C999,14,1)=":",IFERROR(INT(MID(metadata!C999,15,1))&gt;=0,FALSE),IFERROR(INT(MID(metadata!C999,15,1))&lt;=5,FALSE),NOT(MID(metadata!C999,16,1)=""),IFERROR(INT(MID(metadata!C999,15,2))&gt;=0,FALSE),IFERROR(INT(MID(metadata!C999,15,2))&lt;=59,FALSE)), OR(MID(metadata!C999,17,1)="", AND(AND(MID(metadata!C999,17,1)=":",IFERROR(INT(MID(metadata!C999,18,1))&gt;=0,FALSE),IFERROR(INT(MID(metadata!C999,18,1))&lt;=5,FALSE),NOT(MID(metadata!C999,19,1)=""),IFERROR(INT(MID(metadata!C999,18,2))&gt;=0,FALSE),IFERROR(INT(MID(metadata!C999,18,2))&lt;=59,FALSE)), LEN(metadata!C999)&lt;=19)))))))))))))</f>
        <v>0</v>
      </c>
      <c r="AO999" t="b">
        <f>AND(IF(metadata!D999="",FALSE,TRUE),EXACT(metadata!D999,"Not applicable"))</f>
        <v>0</v>
      </c>
      <c r="AP999" t="b">
        <f>IF(metadata!E999="",FALSE,TRUE)</f>
        <v>0</v>
      </c>
      <c r="AQ999" t="b">
        <f>OR(AND(IF(metadata!F999="",FALSE,TRUE),OR(EXACT(metadata!F999,"missing: not collected"),EXACT(metadata!F999,"missing: not provided"))),AND(IF(metadata!F999="",FALSE,TRUE),OR(EXACT(metadata!F999,"TRUE"),EXACT(metadata!F999,"FALSE"))))</f>
        <v>0</v>
      </c>
      <c r="AR999" t="b">
        <f>OR(AND(IF(metadata!G999="",FALSE,TRUE),OR(EXACT(metadata!G999,"missing: not collected"),EXACT(metadata!G999,"missing: not provided"),EXACT(metadata!G999,"missing: restricted access"))),AND(IF(metadata!G999="",FALSE,ISNUMBER(VALUE(metadata!G999))),metadata!G999&gt;=-413))</f>
        <v>0</v>
      </c>
      <c r="AS999" t="b">
        <f>AND(IF(metadata!H999="",FALSE,TRUE),EXACT(metadata!H999,"meters"))</f>
        <v>0</v>
      </c>
      <c r="AT999" t="b">
        <f>AND(IF(metadata!I999="",FALSE,TRUE),OR(EXACT(metadata!I999,"Host-associated"),EXACT(metadata!I999,"Free-living")))</f>
        <v>0</v>
      </c>
      <c r="AU999" t="b">
        <f>AND(IF(metadata!J999="",FALSE,TRUE),OR(EXACT(metadata!J999,"Animal"),EXACT(metadata!J999,"Fungus"),EXACT(metadata!J999,"Plant"),EXACT(metadata!J999,"Saline"),EXACT(metadata!J999,"Non-saline")))</f>
        <v>0</v>
      </c>
      <c r="AV999" t="b">
        <f>AND(IF(metadata!K999="",FALSE,TRUE),OR(EXACT(metadata!K999,"Plant secretion"),EXACT(metadata!K999,"Plant rhizosphere"),EXACT(metadata!K999,"Plant surface"),EXACT(metadata!K999,"Plant corpus"),EXACT(metadata!K999,"Fungus surface"),EXACT(metadata!K999,"Fungus corpus"),EXACT(metadata!K999,"Animal surface"),EXACT(metadata!K999,"Animal proximal gut"),EXACT(metadata!K999,"Animal corpus"),EXACT(metadata!K999,"Animal distal gut"),EXACT(metadata!K999,"Animal secretion"),EXACT(metadata!K999,"Sub-surface (non-saline)"),EXACT(metadata!K999,"Surface (non-saline)"),EXACT(metadata!K999,"Water (non-saline)"),EXACT(metadata!K999,"Soil (non-saline)"),EXACT(metadata!K999,"Aerosol (non-saline)"),EXACT(metadata!K999,"Sediment (non-saline)"),EXACT(metadata!K999,"Surface (saline)"),EXACT(metadata!K999,"Water (saline)"),EXACT(metadata!K999,"Hypersaline (saline)"),EXACT(metadata!K999,"Aerosol (saline)"),EXACT(metadata!K999,"Sediment (saline)")))</f>
        <v>0</v>
      </c>
      <c r="AW999" t="b">
        <f>IF(metadata!L999="",FALSE,TRUE)</f>
        <v>0</v>
      </c>
      <c r="AX999" t="b">
        <f>IF(metadata!M999="",FALSE,TRUE)</f>
        <v>0</v>
      </c>
      <c r="AY999" t="b">
        <f>IF(metadata!N999="",FALSE,TRUE)</f>
        <v>0</v>
      </c>
      <c r="AZ999" t="b">
        <f>OR(AND(IF(metadata!O999="",FALSE,TRUE),OR(EXACT(metadata!O999,"missing: not collected"),EXACT(metadata!O999,"missing: not provided"),EXACT(metadata!O999,"missing: restricted access"))),AND(IF(metadata!O999="",FALSE,TRUE),OR(EXACT(metadata!O999,"air"),EXACT(metadata!O999,"built environment"),EXACT(metadata!O999,"host-associated"),EXACT(metadata!O999,"human-associated"),EXACT(metadata!O999,"human-skin"),EXACT(metadata!O999,"human-oral"),EXACT(metadata!O999,"human-gut"),EXACT(metadata!O999,"human-vaginal"),EXACT(metadata!O999,"microbial mat/biofilm"),EXACT(metadata!O999,"misc environment"),EXACT(metadata!O999,"plant-associated"),EXACT(metadata!O999,"sediment"),EXACT(metadata!O999,"soil"),EXACT(metadata!O999,"wastewater/sludge"),EXACT(metadata!O999,"water"))))</f>
        <v>0</v>
      </c>
      <c r="BA999" t="b">
        <f>IF(metadata!P999="",FALSE,TRUE)</f>
        <v>0</v>
      </c>
      <c r="BB999" t="b">
        <f>IF(metadata!Q999="",FALSE,TRUE)</f>
        <v>0</v>
      </c>
      <c r="BC999" t="b">
        <f>OR(AND(IF(metadata!R999="",FALSE,TRUE),OR(EXACT(metadata!R999,"missing: not collected"),EXACT(metadata!R999,"missing: not provided"),EXACT(metadata!R999,"missing: restricted access"))),AND(IF(metadata!R999="",FALSE,ISNUMBER(VALUE(metadata!R999))),metadata!R999&gt;=-90,metadata!R999&lt;=90))</f>
        <v>0</v>
      </c>
      <c r="BD999" t="b">
        <f>AND(IF(metadata!S999="",FALSE,TRUE),EXACT(metadata!S999,"Decimal degrees"))</f>
        <v>0</v>
      </c>
      <c r="BE999" t="b">
        <f>OR(AND(IF(metadata!T999="",FALSE,TRUE),OR(EXACT(metadata!T999,"missing: not collected"),EXACT(metadata!T999,"missing: not provided"),EXACT(metadata!T999,"missing: restricted access"))),AND(IF(metadata!T999="",FALSE,ISNUMBER(VALUE(metadata!T999))),metadata!T999&gt;=-180,metadata!T999&lt;=180))</f>
        <v>0</v>
      </c>
      <c r="BF999" t="b">
        <f>AND(IF(metadata!U999="",FALSE,TRUE),EXACT(metadata!U999,"Decimal degrees"))</f>
        <v>0</v>
      </c>
      <c r="BG999" t="b">
        <f>IF(metadata!V999="",FALSE,TRUE)</f>
        <v>0</v>
      </c>
      <c r="BH999" t="b">
        <f>OR(AND(IF(metadata!W999="",FALSE,TRUE),OR(EXACT(metadata!W999,"missing: not collected"),EXACT(metadata!W999,"missing: not provided"),EXACT(metadata!W999,"missing: restricted access"))),AND(IF(metadata!W999="",FALSE,TRUE),OR(EXACT(metadata!W999,"TRUE"),EXACT(metadata!W999,"FALSE"))))</f>
        <v>0</v>
      </c>
      <c r="BI999" t="b">
        <f>AND(IF(metadata!X999="",FALSE,TRUE),EXACT(metadata!X999,"other"))</f>
        <v>0</v>
      </c>
      <c r="BJ999" t="b">
        <f>IF(metadata!Y999="",FALSE,TRUE)</f>
        <v>0</v>
      </c>
      <c r="BK999" t="b">
        <f>OR(AND(IF(metadata!Z999="",FALSE,TRUE),OR(EXACT(metadata!Z999,"missing: not collected"),EXACT(metadata!Z999,"missing: not provided"))),AND(IF(metadata!Z999="",FALSE,IF(ISERROR(INT(metadata!Z999)),FALSE,INT(metadata!Z999)=metadata!Z999)),metadata!Z999&gt;0))</f>
        <v>0</v>
      </c>
      <c r="BL999" t="b">
        <f>AND(IF(metadata!AA999="",FALSE,TRUE),EXACT(metadata!AA999,"Not applicable"))</f>
        <v>0</v>
      </c>
      <c r="BM999" t="b">
        <f>IF(metadata!AB999="",FALSE,TRUE)</f>
        <v>0</v>
      </c>
    </row>
    <row r="1000" spans="1:65" x14ac:dyDescent="0.2">
      <c r="A1000" s="5" t="str">
        <f ca="1">IF(B1000=" "," ",HYPERLINK(CONCATENATE("#metadata!",ADDRESS(INDEX($AH$2:$AH$1001,MATCH(ROWS($AF$2:AF1000),$AF$2:$AF$1001,0),0),1)),INDEX($AK$2:$AK$1001,MATCH(ROWS($AF$2:AF1000),$AF$2:$AF$1001,0),0)))</f>
        <v xml:space="preserve"> </v>
      </c>
      <c r="B1000" s="4" t="str">
        <f ca="1">IF(OR(INDEX($AG$2:$AG$1001,MATCH(ROWS($AF$2:AF1000),$AF$2:$AF$1001,0),1)&gt;=100000,INDEX($AM$1005:$BM$1005,1,MATCH(COLUMNS($AM$1006:AM1006),$AM$1006:$BM$1006,0))&gt;=100000), " ",IF(INDEX($AM$2:$BM$1001,MATCH(ROWS($AF$2:AF1000),$AF$2:$AF$1001,0),MATCH(COLUMNS($AM$1006:AM1006),$AM$1006:$BM$1006,0)), HYPERLINK("#",""), HYPERLINK(CONCATENATE("#metadata!", ADDRESS(INDEX($AH$2:$AH$1001,MATCH(ROWS($AF$2:AF1000),$AF$2:$AF$1001,0),0), INDEX($AM$1004:$BM$1004,1,MATCH(COLUMNS($AM$1006:AM1006),$AM$1006:$BM$1006,0)))),"Fix")))</f>
        <v xml:space="preserve"> </v>
      </c>
      <c r="C1000" s="4" t="str">
        <f ca="1">IF(OR(INDEX($AG$2:$AG$1001,MATCH(ROWS($AF$2:AF1000),$AF$2:$AF$1001,0),1)&gt;=100000,INDEX($AM$1005:$BM$1005,1,MATCH(COLUMNS($AM$1006:AN1006),$AM$1006:$BM$1006,0))&gt;=100000), " ",IF(INDEX($AM$2:$BM$1001,MATCH(ROWS($AF$2:AF1000),$AF$2:$AF$1001,0),MATCH(COLUMNS($AM$1006:AN1006),$AM$1006:$BM$1006,0)), HYPERLINK("#",""), HYPERLINK(CONCATENATE("#metadata!", ADDRESS(INDEX($AH$2:$AH$1001,MATCH(ROWS($AF$2:AF1000),$AF$2:$AF$1001,0),0), INDEX($AM$1004:$BM$1004,1,MATCH(COLUMNS($AM$1006:AN1006),$AM$1006:$BM$1006,0)))),"Fix")))</f>
        <v xml:space="preserve"> </v>
      </c>
      <c r="D1000" s="4" t="str">
        <f ca="1">IF(OR(INDEX($AG$2:$AG$1001,MATCH(ROWS($AF$2:AF1000),$AF$2:$AF$1001,0),1)&gt;=100000,INDEX($AM$1005:$BM$1005,1,MATCH(COLUMNS($AM$1006:AO1006),$AM$1006:$BM$1006,0))&gt;=100000), " ",IF(INDEX($AM$2:$BM$1001,MATCH(ROWS($AF$2:AF1000),$AF$2:$AF$1001,0),MATCH(COLUMNS($AM$1006:AO1006),$AM$1006:$BM$1006,0)), HYPERLINK("#",""), HYPERLINK(CONCATENATE("#metadata!", ADDRESS(INDEX($AH$2:$AH$1001,MATCH(ROWS($AF$2:AF1000),$AF$2:$AF$1001,0),0), INDEX($AM$1004:$BM$1004,1,MATCH(COLUMNS($AM$1006:AO1006),$AM$1006:$BM$1006,0)))),"Fix")))</f>
        <v xml:space="preserve"> </v>
      </c>
      <c r="E1000" s="4" t="str">
        <f ca="1">IF(OR(INDEX($AG$2:$AG$1001,MATCH(ROWS($AF$2:AF1000),$AF$2:$AF$1001,0),1)&gt;=100000,INDEX($AM$1005:$BM$1005,1,MATCH(COLUMNS($AM$1006:AP1006),$AM$1006:$BM$1006,0))&gt;=100000), " ",IF(INDEX($AM$2:$BM$1001,MATCH(ROWS($AF$2:AF1000),$AF$2:$AF$1001,0),MATCH(COLUMNS($AM$1006:AP1006),$AM$1006:$BM$1006,0)), HYPERLINK("#",""), HYPERLINK(CONCATENATE("#metadata!", ADDRESS(INDEX($AH$2:$AH$1001,MATCH(ROWS($AF$2:AF1000),$AF$2:$AF$1001,0),0), INDEX($AM$1004:$BM$1004,1,MATCH(COLUMNS($AM$1006:AP1006),$AM$1006:$BM$1006,0)))),"Fix")))</f>
        <v xml:space="preserve"> </v>
      </c>
      <c r="F1000" s="4" t="str">
        <f ca="1">IF(OR(INDEX($AG$2:$AG$1001,MATCH(ROWS($AF$2:AF1000),$AF$2:$AF$1001,0),1)&gt;=100000,INDEX($AM$1005:$BM$1005,1,MATCH(COLUMNS($AM$1006:AQ1006),$AM$1006:$BM$1006,0))&gt;=100000), " ",IF(INDEX($AM$2:$BM$1001,MATCH(ROWS($AF$2:AF1000),$AF$2:$AF$1001,0),MATCH(COLUMNS($AM$1006:AQ1006),$AM$1006:$BM$1006,0)), HYPERLINK("#",""), HYPERLINK(CONCATENATE("#metadata!", ADDRESS(INDEX($AH$2:$AH$1001,MATCH(ROWS($AF$2:AF1000),$AF$2:$AF$1001,0),0), INDEX($AM$1004:$BM$1004,1,MATCH(COLUMNS($AM$1006:AQ1006),$AM$1006:$BM$1006,0)))),"Fix")))</f>
        <v xml:space="preserve"> </v>
      </c>
      <c r="G1000" s="4" t="str">
        <f ca="1">IF(OR(INDEX($AG$2:$AG$1001,MATCH(ROWS($AF$2:AF1000),$AF$2:$AF$1001,0),1)&gt;=100000,INDEX($AM$1005:$BM$1005,1,MATCH(COLUMNS($AM$1006:AR1006),$AM$1006:$BM$1006,0))&gt;=100000), " ",IF(INDEX($AM$2:$BM$1001,MATCH(ROWS($AF$2:AF1000),$AF$2:$AF$1001,0),MATCH(COLUMNS($AM$1006:AR1006),$AM$1006:$BM$1006,0)), HYPERLINK("#",""), HYPERLINK(CONCATENATE("#metadata!", ADDRESS(INDEX($AH$2:$AH$1001,MATCH(ROWS($AF$2:AF1000),$AF$2:$AF$1001,0),0), INDEX($AM$1004:$BM$1004,1,MATCH(COLUMNS($AM$1006:AR1006),$AM$1006:$BM$1006,0)))),"Fix")))</f>
        <v xml:space="preserve"> </v>
      </c>
      <c r="H1000" s="4" t="str">
        <f ca="1">IF(OR(INDEX($AG$2:$AG$1001,MATCH(ROWS($AF$2:AF1000),$AF$2:$AF$1001,0),1)&gt;=100000,INDEX($AM$1005:$BM$1005,1,MATCH(COLUMNS($AM$1006:AS1006),$AM$1006:$BM$1006,0))&gt;=100000), " ",IF(INDEX($AM$2:$BM$1001,MATCH(ROWS($AF$2:AF1000),$AF$2:$AF$1001,0),MATCH(COLUMNS($AM$1006:AS1006),$AM$1006:$BM$1006,0)), HYPERLINK("#",""), HYPERLINK(CONCATENATE("#metadata!", ADDRESS(INDEX($AH$2:$AH$1001,MATCH(ROWS($AF$2:AF1000),$AF$2:$AF$1001,0),0), INDEX($AM$1004:$BM$1004,1,MATCH(COLUMNS($AM$1006:AS1006),$AM$1006:$BM$1006,0)))),"Fix")))</f>
        <v xml:space="preserve"> </v>
      </c>
      <c r="I1000" s="4" t="str">
        <f ca="1">IF(OR(INDEX($AG$2:$AG$1001,MATCH(ROWS($AF$2:AF1000),$AF$2:$AF$1001,0),1)&gt;=100000,INDEX($AM$1005:$BM$1005,1,MATCH(COLUMNS($AM$1006:AT1006),$AM$1006:$BM$1006,0))&gt;=100000), " ",IF(INDEX($AM$2:$BM$1001,MATCH(ROWS($AF$2:AF1000),$AF$2:$AF$1001,0),MATCH(COLUMNS($AM$1006:AT1006),$AM$1006:$BM$1006,0)), HYPERLINK("#",""), HYPERLINK(CONCATENATE("#metadata!", ADDRESS(INDEX($AH$2:$AH$1001,MATCH(ROWS($AF$2:AF1000),$AF$2:$AF$1001,0),0), INDEX($AM$1004:$BM$1004,1,MATCH(COLUMNS($AM$1006:AT1006),$AM$1006:$BM$1006,0)))),"Fix")))</f>
        <v xml:space="preserve"> </v>
      </c>
      <c r="J1000" s="4" t="str">
        <f ca="1">IF(OR(INDEX($AG$2:$AG$1001,MATCH(ROWS($AF$2:AF1000),$AF$2:$AF$1001,0),1)&gt;=100000,INDEX($AM$1005:$BM$1005,1,MATCH(COLUMNS($AM$1006:AU1006),$AM$1006:$BM$1006,0))&gt;=100000), " ",IF(INDEX($AM$2:$BM$1001,MATCH(ROWS($AF$2:AF1000),$AF$2:$AF$1001,0),MATCH(COLUMNS($AM$1006:AU1006),$AM$1006:$BM$1006,0)), HYPERLINK("#",""), HYPERLINK(CONCATENATE("#metadata!", ADDRESS(INDEX($AH$2:$AH$1001,MATCH(ROWS($AF$2:AF1000),$AF$2:$AF$1001,0),0), INDEX($AM$1004:$BM$1004,1,MATCH(COLUMNS($AM$1006:AU1006),$AM$1006:$BM$1006,0)))),"Fix")))</f>
        <v xml:space="preserve"> </v>
      </c>
      <c r="K1000" s="4" t="str">
        <f ca="1">IF(OR(INDEX($AG$2:$AG$1001,MATCH(ROWS($AF$2:AF1000),$AF$2:$AF$1001,0),1)&gt;=100000,INDEX($AM$1005:$BM$1005,1,MATCH(COLUMNS($AM$1006:AV1006),$AM$1006:$BM$1006,0))&gt;=100000), " ",IF(INDEX($AM$2:$BM$1001,MATCH(ROWS($AF$2:AF1000),$AF$2:$AF$1001,0),MATCH(COLUMNS($AM$1006:AV1006),$AM$1006:$BM$1006,0)), HYPERLINK("#",""), HYPERLINK(CONCATENATE("#metadata!", ADDRESS(INDEX($AH$2:$AH$1001,MATCH(ROWS($AF$2:AF1000),$AF$2:$AF$1001,0),0), INDEX($AM$1004:$BM$1004,1,MATCH(COLUMNS($AM$1006:AV1006),$AM$1006:$BM$1006,0)))),"Fix")))</f>
        <v xml:space="preserve"> </v>
      </c>
      <c r="L1000" s="4" t="str">
        <f ca="1">IF(OR(INDEX($AG$2:$AG$1001,MATCH(ROWS($AF$2:AF1000),$AF$2:$AF$1001,0),1)&gt;=100000,INDEX($AM$1005:$BM$1005,1,MATCH(COLUMNS($AM$1006:AW1006),$AM$1006:$BM$1006,0))&gt;=100000), " ",IF(INDEX($AM$2:$BM$1001,MATCH(ROWS($AF$2:AF1000),$AF$2:$AF$1001,0),MATCH(COLUMNS($AM$1006:AW1006),$AM$1006:$BM$1006,0)), HYPERLINK("#",""), HYPERLINK(CONCATENATE("#metadata!", ADDRESS(INDEX($AH$2:$AH$1001,MATCH(ROWS($AF$2:AF1000),$AF$2:$AF$1001,0),0), INDEX($AM$1004:$BM$1004,1,MATCH(COLUMNS($AM$1006:AW1006),$AM$1006:$BM$1006,0)))),"Fix")))</f>
        <v xml:space="preserve"> </v>
      </c>
      <c r="M1000" s="4" t="str">
        <f ca="1">IF(OR(INDEX($AG$2:$AG$1001,MATCH(ROWS($AF$2:AF1000),$AF$2:$AF$1001,0),1)&gt;=100000,INDEX($AM$1005:$BM$1005,1,MATCH(COLUMNS($AM$1006:AX1006),$AM$1006:$BM$1006,0))&gt;=100000), " ",IF(INDEX($AM$2:$BM$1001,MATCH(ROWS($AF$2:AF1000),$AF$2:$AF$1001,0),MATCH(COLUMNS($AM$1006:AX1006),$AM$1006:$BM$1006,0)), HYPERLINK("#",""), HYPERLINK(CONCATENATE("#metadata!", ADDRESS(INDEX($AH$2:$AH$1001,MATCH(ROWS($AF$2:AF1000),$AF$2:$AF$1001,0),0), INDEX($AM$1004:$BM$1004,1,MATCH(COLUMNS($AM$1006:AX1006),$AM$1006:$BM$1006,0)))),"Fix")))</f>
        <v xml:space="preserve"> </v>
      </c>
      <c r="N1000" s="4" t="str">
        <f ca="1">IF(OR(INDEX($AG$2:$AG$1001,MATCH(ROWS($AF$2:AF1000),$AF$2:$AF$1001,0),1)&gt;=100000,INDEX($AM$1005:$BM$1005,1,MATCH(COLUMNS($AM$1006:AY1006),$AM$1006:$BM$1006,0))&gt;=100000), " ",IF(INDEX($AM$2:$BM$1001,MATCH(ROWS($AF$2:AF1000),$AF$2:$AF$1001,0),MATCH(COLUMNS($AM$1006:AY1006),$AM$1006:$BM$1006,0)), HYPERLINK("#",""), HYPERLINK(CONCATENATE("#metadata!", ADDRESS(INDEX($AH$2:$AH$1001,MATCH(ROWS($AF$2:AF1000),$AF$2:$AF$1001,0),0), INDEX($AM$1004:$BM$1004,1,MATCH(COLUMNS($AM$1006:AY1006),$AM$1006:$BM$1006,0)))),"Fix")))</f>
        <v xml:space="preserve"> </v>
      </c>
      <c r="O1000" s="4" t="str">
        <f ca="1">IF(OR(INDEX($AG$2:$AG$1001,MATCH(ROWS($AF$2:AF1000),$AF$2:$AF$1001,0),1)&gt;=100000,INDEX($AM$1005:$BM$1005,1,MATCH(COLUMNS($AM$1006:AZ1006),$AM$1006:$BM$1006,0))&gt;=100000), " ",IF(INDEX($AM$2:$BM$1001,MATCH(ROWS($AF$2:AF1000),$AF$2:$AF$1001,0),MATCH(COLUMNS($AM$1006:AZ1006),$AM$1006:$BM$1006,0)), HYPERLINK("#",""), HYPERLINK(CONCATENATE("#metadata!", ADDRESS(INDEX($AH$2:$AH$1001,MATCH(ROWS($AF$2:AF1000),$AF$2:$AF$1001,0),0), INDEX($AM$1004:$BM$1004,1,MATCH(COLUMNS($AM$1006:AZ1006),$AM$1006:$BM$1006,0)))),"Fix")))</f>
        <v xml:space="preserve"> </v>
      </c>
      <c r="P1000" s="4" t="str">
        <f ca="1">IF(OR(INDEX($AG$2:$AG$1001,MATCH(ROWS($AF$2:AF1000),$AF$2:$AF$1001,0),1)&gt;=100000,INDEX($AM$1005:$BM$1005,1,MATCH(COLUMNS($AM$1006:BA1006),$AM$1006:$BM$1006,0))&gt;=100000), " ",IF(INDEX($AM$2:$BM$1001,MATCH(ROWS($AF$2:AF1000),$AF$2:$AF$1001,0),MATCH(COLUMNS($AM$1006:BA1006),$AM$1006:$BM$1006,0)), HYPERLINK("#",""), HYPERLINK(CONCATENATE("#metadata!", ADDRESS(INDEX($AH$2:$AH$1001,MATCH(ROWS($AF$2:AF1000),$AF$2:$AF$1001,0),0), INDEX($AM$1004:$BM$1004,1,MATCH(COLUMNS($AM$1006:BA1006),$AM$1006:$BM$1006,0)))),"Fix")))</f>
        <v xml:space="preserve"> </v>
      </c>
      <c r="Q1000" s="4" t="str">
        <f ca="1">IF(OR(INDEX($AG$2:$AG$1001,MATCH(ROWS($AF$2:AF1000),$AF$2:$AF$1001,0),1)&gt;=100000,INDEX($AM$1005:$BM$1005,1,MATCH(COLUMNS($AM$1006:BB1006),$AM$1006:$BM$1006,0))&gt;=100000), " ",IF(INDEX($AM$2:$BM$1001,MATCH(ROWS($AF$2:AF1000),$AF$2:$AF$1001,0),MATCH(COLUMNS($AM$1006:BB1006),$AM$1006:$BM$1006,0)), HYPERLINK("#",""), HYPERLINK(CONCATENATE("#metadata!", ADDRESS(INDEX($AH$2:$AH$1001,MATCH(ROWS($AF$2:AF1000),$AF$2:$AF$1001,0),0), INDEX($AM$1004:$BM$1004,1,MATCH(COLUMNS($AM$1006:BB1006),$AM$1006:$BM$1006,0)))),"Fix")))</f>
        <v xml:space="preserve"> </v>
      </c>
      <c r="R1000" s="4" t="str">
        <f ca="1">IF(OR(INDEX($AG$2:$AG$1001,MATCH(ROWS($AF$2:AF1000),$AF$2:$AF$1001,0),1)&gt;=100000,INDEX($AM$1005:$BM$1005,1,MATCH(COLUMNS($AM$1006:BC1006),$AM$1006:$BM$1006,0))&gt;=100000), " ",IF(INDEX($AM$2:$BM$1001,MATCH(ROWS($AF$2:AF1000),$AF$2:$AF$1001,0),MATCH(COLUMNS($AM$1006:BC1006),$AM$1006:$BM$1006,0)), HYPERLINK("#",""), HYPERLINK(CONCATENATE("#metadata!", ADDRESS(INDEX($AH$2:$AH$1001,MATCH(ROWS($AF$2:AF1000),$AF$2:$AF$1001,0),0), INDEX($AM$1004:$BM$1004,1,MATCH(COLUMNS($AM$1006:BC1006),$AM$1006:$BM$1006,0)))),"Fix")))</f>
        <v xml:space="preserve"> </v>
      </c>
      <c r="S1000" s="4" t="str">
        <f ca="1">IF(OR(INDEX($AG$2:$AG$1001,MATCH(ROWS($AF$2:AF1000),$AF$2:$AF$1001,0),1)&gt;=100000,INDEX($AM$1005:$BM$1005,1,MATCH(COLUMNS($AM$1006:BD1006),$AM$1006:$BM$1006,0))&gt;=100000), " ",IF(INDEX($AM$2:$BM$1001,MATCH(ROWS($AF$2:AF1000),$AF$2:$AF$1001,0),MATCH(COLUMNS($AM$1006:BD1006),$AM$1006:$BM$1006,0)), HYPERLINK("#",""), HYPERLINK(CONCATENATE("#metadata!", ADDRESS(INDEX($AH$2:$AH$1001,MATCH(ROWS($AF$2:AF1000),$AF$2:$AF$1001,0),0), INDEX($AM$1004:$BM$1004,1,MATCH(COLUMNS($AM$1006:BD1006),$AM$1006:$BM$1006,0)))),"Fix")))</f>
        <v xml:space="preserve"> </v>
      </c>
      <c r="T1000" s="4" t="str">
        <f ca="1">IF(OR(INDEX($AG$2:$AG$1001,MATCH(ROWS($AF$2:AF1000),$AF$2:$AF$1001,0),1)&gt;=100000,INDEX($AM$1005:$BM$1005,1,MATCH(COLUMNS($AM$1006:BE1006),$AM$1006:$BM$1006,0))&gt;=100000), " ",IF(INDEX($AM$2:$BM$1001,MATCH(ROWS($AF$2:AF1000),$AF$2:$AF$1001,0),MATCH(COLUMNS($AM$1006:BE1006),$AM$1006:$BM$1006,0)), HYPERLINK("#",""), HYPERLINK(CONCATENATE("#metadata!", ADDRESS(INDEX($AH$2:$AH$1001,MATCH(ROWS($AF$2:AF1000),$AF$2:$AF$1001,0),0), INDEX($AM$1004:$BM$1004,1,MATCH(COLUMNS($AM$1006:BE1006),$AM$1006:$BM$1006,0)))),"Fix")))</f>
        <v xml:space="preserve"> </v>
      </c>
      <c r="U1000" s="4" t="str">
        <f ca="1">IF(OR(INDEX($AG$2:$AG$1001,MATCH(ROWS($AF$2:AF1000),$AF$2:$AF$1001,0),1)&gt;=100000,INDEX($AM$1005:$BM$1005,1,MATCH(COLUMNS($AM$1006:BF1006),$AM$1006:$BM$1006,0))&gt;=100000), " ",IF(INDEX($AM$2:$BM$1001,MATCH(ROWS($AF$2:AF1000),$AF$2:$AF$1001,0),MATCH(COLUMNS($AM$1006:BF1006),$AM$1006:$BM$1006,0)), HYPERLINK("#",""), HYPERLINK(CONCATENATE("#metadata!", ADDRESS(INDEX($AH$2:$AH$1001,MATCH(ROWS($AF$2:AF1000),$AF$2:$AF$1001,0),0), INDEX($AM$1004:$BM$1004,1,MATCH(COLUMNS($AM$1006:BF1006),$AM$1006:$BM$1006,0)))),"Fix")))</f>
        <v xml:space="preserve"> </v>
      </c>
      <c r="V1000" s="4" t="str">
        <f ca="1">IF(OR(INDEX($AG$2:$AG$1001,MATCH(ROWS($AF$2:AF1000),$AF$2:$AF$1001,0),1)&gt;=100000,INDEX($AM$1005:$BM$1005,1,MATCH(COLUMNS($AM$1006:BG1006),$AM$1006:$BM$1006,0))&gt;=100000), " ",IF(INDEX($AM$2:$BM$1001,MATCH(ROWS($AF$2:AF1000),$AF$2:$AF$1001,0),MATCH(COLUMNS($AM$1006:BG1006),$AM$1006:$BM$1006,0)), HYPERLINK("#",""), HYPERLINK(CONCATENATE("#metadata!", ADDRESS(INDEX($AH$2:$AH$1001,MATCH(ROWS($AF$2:AF1000),$AF$2:$AF$1001,0),0), INDEX($AM$1004:$BM$1004,1,MATCH(COLUMNS($AM$1006:BG1006),$AM$1006:$BM$1006,0)))),"Fix")))</f>
        <v xml:space="preserve"> </v>
      </c>
      <c r="W1000" s="4" t="str">
        <f ca="1">IF(OR(INDEX($AG$2:$AG$1001,MATCH(ROWS($AF$2:AF1000),$AF$2:$AF$1001,0),1)&gt;=100000,INDEX($AM$1005:$BM$1005,1,MATCH(COLUMNS($AM$1006:BH1006),$AM$1006:$BM$1006,0))&gt;=100000), " ",IF(INDEX($AM$2:$BM$1001,MATCH(ROWS($AF$2:AF1000),$AF$2:$AF$1001,0),MATCH(COLUMNS($AM$1006:BH1006),$AM$1006:$BM$1006,0)), HYPERLINK("#",""), HYPERLINK(CONCATENATE("#metadata!", ADDRESS(INDEX($AH$2:$AH$1001,MATCH(ROWS($AF$2:AF1000),$AF$2:$AF$1001,0),0), INDEX($AM$1004:$BM$1004,1,MATCH(COLUMNS($AM$1006:BH1006),$AM$1006:$BM$1006,0)))),"Fix")))</f>
        <v xml:space="preserve"> </v>
      </c>
      <c r="X1000" s="4" t="str">
        <f ca="1">IF(OR(INDEX($AG$2:$AG$1001,MATCH(ROWS($AF$2:AF1000),$AF$2:$AF$1001,0),1)&gt;=100000,INDEX($AM$1005:$BM$1005,1,MATCH(COLUMNS($AM$1006:BI1006),$AM$1006:$BM$1006,0))&gt;=100000), " ",IF(INDEX($AM$2:$BM$1001,MATCH(ROWS($AF$2:AF1000),$AF$2:$AF$1001,0),MATCH(COLUMNS($AM$1006:BI1006),$AM$1006:$BM$1006,0)), HYPERLINK("#",""), HYPERLINK(CONCATENATE("#metadata!", ADDRESS(INDEX($AH$2:$AH$1001,MATCH(ROWS($AF$2:AF1000),$AF$2:$AF$1001,0),0), INDEX($AM$1004:$BM$1004,1,MATCH(COLUMNS($AM$1006:BI1006),$AM$1006:$BM$1006,0)))),"Fix")))</f>
        <v xml:space="preserve"> </v>
      </c>
      <c r="Y1000" s="4" t="str">
        <f ca="1">IF(OR(INDEX($AG$2:$AG$1001,MATCH(ROWS($AF$2:AF1000),$AF$2:$AF$1001,0),1)&gt;=100000,INDEX($AM$1005:$BM$1005,1,MATCH(COLUMNS($AM$1006:BJ1006),$AM$1006:$BM$1006,0))&gt;=100000), " ",IF(INDEX($AM$2:$BM$1001,MATCH(ROWS($AF$2:AF1000),$AF$2:$AF$1001,0),MATCH(COLUMNS($AM$1006:BJ1006),$AM$1006:$BM$1006,0)), HYPERLINK("#",""), HYPERLINK(CONCATENATE("#metadata!", ADDRESS(INDEX($AH$2:$AH$1001,MATCH(ROWS($AF$2:AF1000),$AF$2:$AF$1001,0),0), INDEX($AM$1004:$BM$1004,1,MATCH(COLUMNS($AM$1006:BJ1006),$AM$1006:$BM$1006,0)))),"Fix")))</f>
        <v xml:space="preserve"> </v>
      </c>
      <c r="Z1000" s="4" t="str">
        <f ca="1">IF(OR(INDEX($AG$2:$AG$1001,MATCH(ROWS($AF$2:AF1000),$AF$2:$AF$1001,0),1)&gt;=100000,INDEX($AM$1005:$BM$1005,1,MATCH(COLUMNS($AM$1006:BK1006),$AM$1006:$BM$1006,0))&gt;=100000), " ",IF(INDEX($AM$2:$BM$1001,MATCH(ROWS($AF$2:AF1000),$AF$2:$AF$1001,0),MATCH(COLUMNS($AM$1006:BK1006),$AM$1006:$BM$1006,0)), HYPERLINK("#",""), HYPERLINK(CONCATENATE("#metadata!", ADDRESS(INDEX($AH$2:$AH$1001,MATCH(ROWS($AF$2:AF1000),$AF$2:$AF$1001,0),0), INDEX($AM$1004:$BM$1004,1,MATCH(COLUMNS($AM$1006:BK1006),$AM$1006:$BM$1006,0)))),"Fix")))</f>
        <v xml:space="preserve"> </v>
      </c>
      <c r="AA1000" s="4" t="str">
        <f ca="1">IF(OR(INDEX($AG$2:$AG$1001,MATCH(ROWS($AF$2:AF1000),$AF$2:$AF$1001,0),1)&gt;=100000,INDEX($AM$1005:$BM$1005,1,MATCH(COLUMNS($AM$1006:BL1006),$AM$1006:$BM$1006,0))&gt;=100000), " ",IF(INDEX($AM$2:$BM$1001,MATCH(ROWS($AF$2:AF1000),$AF$2:$AF$1001,0),MATCH(COLUMNS($AM$1006:BL1006),$AM$1006:$BM$1006,0)), HYPERLINK("#",""), HYPERLINK(CONCATENATE("#metadata!", ADDRESS(INDEX($AH$2:$AH$1001,MATCH(ROWS($AF$2:AF1000),$AF$2:$AF$1001,0),0), INDEX($AM$1004:$BM$1004,1,MATCH(COLUMNS($AM$1006:BL1006),$AM$1006:$BM$1006,0)))),"Fix")))</f>
        <v xml:space="preserve"> </v>
      </c>
      <c r="AB1000" s="4" t="str">
        <f ca="1">IF(OR(INDEX($AG$2:$AG$1001,MATCH(ROWS($AF$2:AF1000),$AF$2:$AF$1001,0),1)&gt;=100000,INDEX($AM$1005:$BM$1005,1,MATCH(COLUMNS($AM$1006:BM1006),$AM$1006:$BM$1006,0))&gt;=100000), " ",IF(INDEX($AM$2:$BM$1001,MATCH(ROWS($AF$2:AF1000),$AF$2:$AF$1001,0),MATCH(COLUMNS($AM$1006:BM1006),$AM$1006:$BM$1006,0)), HYPERLINK("#",""), HYPERLINK(CONCATENATE("#metadata!", ADDRESS(INDEX($AH$2:$AH$1001,MATCH(ROWS($AF$2:AF1000),$AF$2:$AF$1001,0),0), INDEX($AM$1004:$BM$1004,1,MATCH(COLUMNS($AM$1006:BM1006),$AM$1006:$BM$1006,0)))),"Fix")))</f>
        <v xml:space="preserve"> </v>
      </c>
      <c r="AF1000">
        <v>999</v>
      </c>
      <c r="AG1000">
        <v>101000</v>
      </c>
      <c r="AH1000">
        <v>1000</v>
      </c>
      <c r="AI1000" t="b">
        <f t="shared" si="15"/>
        <v>1</v>
      </c>
      <c r="AJ1000" t="b">
        <f>COUNTBLANK(metadata!B1000:AB1000)=COLUMNS(metadata!B1000:AB1000)</f>
        <v>1</v>
      </c>
      <c r="AK1000" t="str">
        <v/>
      </c>
      <c r="AM1000" t="b">
        <f ca="1">AND(IF(metadata!B1000="",FALSE,TRUE),COUNTIF(metadata!B:B, metadata!B1000) = 1,NOT(ISERROR(SUMPRODUCT(SEARCH(MID(metadata!B1000,ROW(INDIRECT("1:"&amp;LEN(metadata!B1000))), 1),"0123456789abcdefghijklmnopqrstuvwxyzABCDEFGHIJKLMNOPQRSTUVWXYZ.")))))</f>
        <v>0</v>
      </c>
      <c r="AN1000" t="b">
        <f ca="1">OR(AND(IF(metadata!C1000="",FALSE,TRUE),OR(EXACT(metadata!C1000,"missing: not collected"),EXACT(metadata!C1000,"missing: not provided"),EXACT(metadata!C1000,"missing: restricted access"))),AND(IF(metadata!C1000="",FALSE,TRUE),AND(AND(IFERROR(INT(LEFT(metadata!C1000,4))&gt;1900,FALSE),IFERROR(INT(LEFT(metadata!C1000,4))&lt;=YEAR(NOW()),FALSE)), OR(MID(metadata!C1000,5,1)="", AND(AND(MID(metadata!C1000,5,1)="-",IFERROR(INT(MID(metadata!C1000,6,1))&gt;=0,FALSE),IFERROR(INT(MID(metadata!C1000,6,1))&lt;=1,FALSE),NOT(MID(metadata!C1000,7,1)=""),IFERROR(INT(MID(metadata!C1000,6,2))&gt;=1,FALSE),IFERROR(INT(MID(metadata!C1000,6,2))&lt;=12,FALSE)), OR(MID(metadata!C1000,8,1)="", AND(AND(MID(metadata!C1000,8,1)="-",IFERROR(INT(MID(metadata!C1000,9,1))&gt;=0,FALSE),IFERROR(INT(MID(metadata!C1000,9,1))&lt;=3,FALSE),NOT(MID(metadata!C1000,10,1)=""),IFERROR(INT(MID(metadata!C1000,9,2))&gt;=1,FALSE),IFERROR(INT(MID(metadata!C1000,9,2))&lt;=31,FALSE)), OR(MID(metadata!C1000,11,1)="", AND(AND(MID(metadata!C1000,11,1)=" ",IFERROR(INT(MID(metadata!C1000,12,1))&gt;=0,FALSE),IFERROR(INT(MID(metadata!C1000,12,1))&lt;=2,FALSE),NOT(MID(metadata!C1000,13,1)=""),IFERROR(INT(MID(metadata!C1000,12,2))&gt;=0,FALSE),IFERROR(INT(MID(metadata!C1000,12,2))&lt;=23,FALSE)), OR(MID(metadata!C1000,14,1)="", AND(AND(MID(metadata!C1000,14,1)=":",IFERROR(INT(MID(metadata!C1000,15,1))&gt;=0,FALSE),IFERROR(INT(MID(metadata!C1000,15,1))&lt;=5,FALSE),NOT(MID(metadata!C1000,16,1)=""),IFERROR(INT(MID(metadata!C1000,15,2))&gt;=0,FALSE),IFERROR(INT(MID(metadata!C1000,15,2))&lt;=59,FALSE)), OR(MID(metadata!C1000,17,1)="", AND(AND(MID(metadata!C1000,17,1)=":",IFERROR(INT(MID(metadata!C1000,18,1))&gt;=0,FALSE),IFERROR(INT(MID(metadata!C1000,18,1))&lt;=5,FALSE),NOT(MID(metadata!C1000,19,1)=""),IFERROR(INT(MID(metadata!C1000,18,2))&gt;=0,FALSE),IFERROR(INT(MID(metadata!C1000,18,2))&lt;=59,FALSE)), LEN(metadata!C1000)&lt;=19)))))))))))))</f>
        <v>0</v>
      </c>
      <c r="AO1000" t="b">
        <f>AND(IF(metadata!D1000="",FALSE,TRUE),EXACT(metadata!D1000,"Not applicable"))</f>
        <v>0</v>
      </c>
      <c r="AP1000" t="b">
        <f>IF(metadata!E1000="",FALSE,TRUE)</f>
        <v>0</v>
      </c>
      <c r="AQ1000" t="b">
        <f>OR(AND(IF(metadata!F1000="",FALSE,TRUE),OR(EXACT(metadata!F1000,"missing: not collected"),EXACT(metadata!F1000,"missing: not provided"))),AND(IF(metadata!F1000="",FALSE,TRUE),OR(EXACT(metadata!F1000,"TRUE"),EXACT(metadata!F1000,"FALSE"))))</f>
        <v>0</v>
      </c>
      <c r="AR1000" t="b">
        <f>OR(AND(IF(metadata!G1000="",FALSE,TRUE),OR(EXACT(metadata!G1000,"missing: not collected"),EXACT(metadata!G1000,"missing: not provided"),EXACT(metadata!G1000,"missing: restricted access"))),AND(IF(metadata!G1000="",FALSE,ISNUMBER(VALUE(metadata!G1000))),metadata!G1000&gt;=-413))</f>
        <v>0</v>
      </c>
      <c r="AS1000" t="b">
        <f>AND(IF(metadata!H1000="",FALSE,TRUE),EXACT(metadata!H1000,"meters"))</f>
        <v>0</v>
      </c>
      <c r="AT1000" t="b">
        <f>AND(IF(metadata!I1000="",FALSE,TRUE),OR(EXACT(metadata!I1000,"Host-associated"),EXACT(metadata!I1000,"Free-living")))</f>
        <v>0</v>
      </c>
      <c r="AU1000" t="b">
        <f>AND(IF(metadata!J1000="",FALSE,TRUE),OR(EXACT(metadata!J1000,"Animal"),EXACT(metadata!J1000,"Fungus"),EXACT(metadata!J1000,"Plant"),EXACT(metadata!J1000,"Saline"),EXACT(metadata!J1000,"Non-saline")))</f>
        <v>0</v>
      </c>
      <c r="AV1000" t="b">
        <f>AND(IF(metadata!K1000="",FALSE,TRUE),OR(EXACT(metadata!K1000,"Plant secretion"),EXACT(metadata!K1000,"Plant rhizosphere"),EXACT(metadata!K1000,"Plant surface"),EXACT(metadata!K1000,"Plant corpus"),EXACT(metadata!K1000,"Fungus surface"),EXACT(metadata!K1000,"Fungus corpus"),EXACT(metadata!K1000,"Animal surface"),EXACT(metadata!K1000,"Animal proximal gut"),EXACT(metadata!K1000,"Animal corpus"),EXACT(metadata!K1000,"Animal distal gut"),EXACT(metadata!K1000,"Animal secretion"),EXACT(metadata!K1000,"Sub-surface (non-saline)"),EXACT(metadata!K1000,"Surface (non-saline)"),EXACT(metadata!K1000,"Water (non-saline)"),EXACT(metadata!K1000,"Soil (non-saline)"),EXACT(metadata!K1000,"Aerosol (non-saline)"),EXACT(metadata!K1000,"Sediment (non-saline)"),EXACT(metadata!K1000,"Surface (saline)"),EXACT(metadata!K1000,"Water (saline)"),EXACT(metadata!K1000,"Hypersaline (saline)"),EXACT(metadata!K1000,"Aerosol (saline)"),EXACT(metadata!K1000,"Sediment (saline)")))</f>
        <v>0</v>
      </c>
      <c r="AW1000" t="b">
        <f>IF(metadata!L1000="",FALSE,TRUE)</f>
        <v>0</v>
      </c>
      <c r="AX1000" t="b">
        <f>IF(metadata!M1000="",FALSE,TRUE)</f>
        <v>0</v>
      </c>
      <c r="AY1000" t="b">
        <f>IF(metadata!N1000="",FALSE,TRUE)</f>
        <v>0</v>
      </c>
      <c r="AZ1000" t="b">
        <f>OR(AND(IF(metadata!O1000="",FALSE,TRUE),OR(EXACT(metadata!O1000,"missing: not collected"),EXACT(metadata!O1000,"missing: not provided"),EXACT(metadata!O1000,"missing: restricted access"))),AND(IF(metadata!O1000="",FALSE,TRUE),OR(EXACT(metadata!O1000,"air"),EXACT(metadata!O1000,"built environment"),EXACT(metadata!O1000,"host-associated"),EXACT(metadata!O1000,"human-associated"),EXACT(metadata!O1000,"human-skin"),EXACT(metadata!O1000,"human-oral"),EXACT(metadata!O1000,"human-gut"),EXACT(metadata!O1000,"human-vaginal"),EXACT(metadata!O1000,"microbial mat/biofilm"),EXACT(metadata!O1000,"misc environment"),EXACT(metadata!O1000,"plant-associated"),EXACT(metadata!O1000,"sediment"),EXACT(metadata!O1000,"soil"),EXACT(metadata!O1000,"wastewater/sludge"),EXACT(metadata!O1000,"water"))))</f>
        <v>0</v>
      </c>
      <c r="BA1000" t="b">
        <f>IF(metadata!P1000="",FALSE,TRUE)</f>
        <v>0</v>
      </c>
      <c r="BB1000" t="b">
        <f>IF(metadata!Q1000="",FALSE,TRUE)</f>
        <v>0</v>
      </c>
      <c r="BC1000" t="b">
        <f>OR(AND(IF(metadata!R1000="",FALSE,TRUE),OR(EXACT(metadata!R1000,"missing: not collected"),EXACT(metadata!R1000,"missing: not provided"),EXACT(metadata!R1000,"missing: restricted access"))),AND(IF(metadata!R1000="",FALSE,ISNUMBER(VALUE(metadata!R1000))),metadata!R1000&gt;=-90,metadata!R1000&lt;=90))</f>
        <v>0</v>
      </c>
      <c r="BD1000" t="b">
        <f>AND(IF(metadata!S1000="",FALSE,TRUE),EXACT(metadata!S1000,"Decimal degrees"))</f>
        <v>0</v>
      </c>
      <c r="BE1000" t="b">
        <f>OR(AND(IF(metadata!T1000="",FALSE,TRUE),OR(EXACT(metadata!T1000,"missing: not collected"),EXACT(metadata!T1000,"missing: not provided"),EXACT(metadata!T1000,"missing: restricted access"))),AND(IF(metadata!T1000="",FALSE,ISNUMBER(VALUE(metadata!T1000))),metadata!T1000&gt;=-180,metadata!T1000&lt;=180))</f>
        <v>0</v>
      </c>
      <c r="BF1000" t="b">
        <f>AND(IF(metadata!U1000="",FALSE,TRUE),EXACT(metadata!U1000,"Decimal degrees"))</f>
        <v>0</v>
      </c>
      <c r="BG1000" t="b">
        <f>IF(metadata!V1000="",FALSE,TRUE)</f>
        <v>0</v>
      </c>
      <c r="BH1000" t="b">
        <f>OR(AND(IF(metadata!W1000="",FALSE,TRUE),OR(EXACT(metadata!W1000,"missing: not collected"),EXACT(metadata!W1000,"missing: not provided"),EXACT(metadata!W1000,"missing: restricted access"))),AND(IF(metadata!W1000="",FALSE,TRUE),OR(EXACT(metadata!W1000,"TRUE"),EXACT(metadata!W1000,"FALSE"))))</f>
        <v>0</v>
      </c>
      <c r="BI1000" t="b">
        <f>AND(IF(metadata!X1000="",FALSE,TRUE),EXACT(metadata!X1000,"other"))</f>
        <v>0</v>
      </c>
      <c r="BJ1000" t="b">
        <f>IF(metadata!Y1000="",FALSE,TRUE)</f>
        <v>0</v>
      </c>
      <c r="BK1000" t="b">
        <f>OR(AND(IF(metadata!Z1000="",FALSE,TRUE),OR(EXACT(metadata!Z1000,"missing: not collected"),EXACT(metadata!Z1000,"missing: not provided"))),AND(IF(metadata!Z1000="",FALSE,IF(ISERROR(INT(metadata!Z1000)),FALSE,INT(metadata!Z1000)=metadata!Z1000)),metadata!Z1000&gt;0))</f>
        <v>0</v>
      </c>
      <c r="BL1000" t="b">
        <f>AND(IF(metadata!AA1000="",FALSE,TRUE),EXACT(metadata!AA1000,"Not applicable"))</f>
        <v>0</v>
      </c>
      <c r="BM1000" t="b">
        <f>IF(metadata!AB1000="",FALSE,TRUE)</f>
        <v>0</v>
      </c>
    </row>
    <row r="1001" spans="1:65" x14ac:dyDescent="0.2">
      <c r="A1001" s="5" t="str">
        <f ca="1">IF(B1001=" "," ",HYPERLINK(CONCATENATE("#metadata!",ADDRESS(INDEX($AH$2:$AH$1001,MATCH(ROWS($AF$2:AF1001),$AF$2:$AF$1001,0),0),1)),INDEX($AK$2:$AK$1001,MATCH(ROWS($AF$2:AF1001),$AF$2:$AF$1001,0),0)))</f>
        <v xml:space="preserve"> </v>
      </c>
      <c r="B1001" s="4" t="str">
        <f ca="1">IF(OR(INDEX($AG$2:$AG$1001,MATCH(ROWS($AF$2:AF1001),$AF$2:$AF$1001,0),1)&gt;=100000,INDEX($AM$1005:$BM$1005,1,MATCH(COLUMNS($AM$1006:AM1006),$AM$1006:$BM$1006,0))&gt;=100000), " ",IF(INDEX($AM$2:$BM$1001,MATCH(ROWS($AF$2:AF1001),$AF$2:$AF$1001,0),MATCH(COLUMNS($AM$1006:AM1006),$AM$1006:$BM$1006,0)), HYPERLINK("#",""), HYPERLINK(CONCATENATE("#metadata!", ADDRESS(INDEX($AH$2:$AH$1001,MATCH(ROWS($AF$2:AF1001),$AF$2:$AF$1001,0),0), INDEX($AM$1004:$BM$1004,1,MATCH(COLUMNS($AM$1006:AM1006),$AM$1006:$BM$1006,0)))),"Fix")))</f>
        <v xml:space="preserve"> </v>
      </c>
      <c r="C1001" s="4" t="str">
        <f ca="1">IF(OR(INDEX($AG$2:$AG$1001,MATCH(ROWS($AF$2:AF1001),$AF$2:$AF$1001,0),1)&gt;=100000,INDEX($AM$1005:$BM$1005,1,MATCH(COLUMNS($AM$1006:AN1006),$AM$1006:$BM$1006,0))&gt;=100000), " ",IF(INDEX($AM$2:$BM$1001,MATCH(ROWS($AF$2:AF1001),$AF$2:$AF$1001,0),MATCH(COLUMNS($AM$1006:AN1006),$AM$1006:$BM$1006,0)), HYPERLINK("#",""), HYPERLINK(CONCATENATE("#metadata!", ADDRESS(INDEX($AH$2:$AH$1001,MATCH(ROWS($AF$2:AF1001),$AF$2:$AF$1001,0),0), INDEX($AM$1004:$BM$1004,1,MATCH(COLUMNS($AM$1006:AN1006),$AM$1006:$BM$1006,0)))),"Fix")))</f>
        <v xml:space="preserve"> </v>
      </c>
      <c r="D1001" s="4" t="str">
        <f ca="1">IF(OR(INDEX($AG$2:$AG$1001,MATCH(ROWS($AF$2:AF1001),$AF$2:$AF$1001,0),1)&gt;=100000,INDEX($AM$1005:$BM$1005,1,MATCH(COLUMNS($AM$1006:AO1006),$AM$1006:$BM$1006,0))&gt;=100000), " ",IF(INDEX($AM$2:$BM$1001,MATCH(ROWS($AF$2:AF1001),$AF$2:$AF$1001,0),MATCH(COLUMNS($AM$1006:AO1006),$AM$1006:$BM$1006,0)), HYPERLINK("#",""), HYPERLINK(CONCATENATE("#metadata!", ADDRESS(INDEX($AH$2:$AH$1001,MATCH(ROWS($AF$2:AF1001),$AF$2:$AF$1001,0),0), INDEX($AM$1004:$BM$1004,1,MATCH(COLUMNS($AM$1006:AO1006),$AM$1006:$BM$1006,0)))),"Fix")))</f>
        <v xml:space="preserve"> </v>
      </c>
      <c r="E1001" s="4" t="str">
        <f ca="1">IF(OR(INDEX($AG$2:$AG$1001,MATCH(ROWS($AF$2:AF1001),$AF$2:$AF$1001,0),1)&gt;=100000,INDEX($AM$1005:$BM$1005,1,MATCH(COLUMNS($AM$1006:AP1006),$AM$1006:$BM$1006,0))&gt;=100000), " ",IF(INDEX($AM$2:$BM$1001,MATCH(ROWS($AF$2:AF1001),$AF$2:$AF$1001,0),MATCH(COLUMNS($AM$1006:AP1006),$AM$1006:$BM$1006,0)), HYPERLINK("#",""), HYPERLINK(CONCATENATE("#metadata!", ADDRESS(INDEX($AH$2:$AH$1001,MATCH(ROWS($AF$2:AF1001),$AF$2:$AF$1001,0),0), INDEX($AM$1004:$BM$1004,1,MATCH(COLUMNS($AM$1006:AP1006),$AM$1006:$BM$1006,0)))),"Fix")))</f>
        <v xml:space="preserve"> </v>
      </c>
      <c r="F1001" s="4" t="str">
        <f ca="1">IF(OR(INDEX($AG$2:$AG$1001,MATCH(ROWS($AF$2:AF1001),$AF$2:$AF$1001,0),1)&gt;=100000,INDEX($AM$1005:$BM$1005,1,MATCH(COLUMNS($AM$1006:AQ1006),$AM$1006:$BM$1006,0))&gt;=100000), " ",IF(INDEX($AM$2:$BM$1001,MATCH(ROWS($AF$2:AF1001),$AF$2:$AF$1001,0),MATCH(COLUMNS($AM$1006:AQ1006),$AM$1006:$BM$1006,0)), HYPERLINK("#",""), HYPERLINK(CONCATENATE("#metadata!", ADDRESS(INDEX($AH$2:$AH$1001,MATCH(ROWS($AF$2:AF1001),$AF$2:$AF$1001,0),0), INDEX($AM$1004:$BM$1004,1,MATCH(COLUMNS($AM$1006:AQ1006),$AM$1006:$BM$1006,0)))),"Fix")))</f>
        <v xml:space="preserve"> </v>
      </c>
      <c r="G1001" s="4" t="str">
        <f ca="1">IF(OR(INDEX($AG$2:$AG$1001,MATCH(ROWS($AF$2:AF1001),$AF$2:$AF$1001,0),1)&gt;=100000,INDEX($AM$1005:$BM$1005,1,MATCH(COLUMNS($AM$1006:AR1006),$AM$1006:$BM$1006,0))&gt;=100000), " ",IF(INDEX($AM$2:$BM$1001,MATCH(ROWS($AF$2:AF1001),$AF$2:$AF$1001,0),MATCH(COLUMNS($AM$1006:AR1006),$AM$1006:$BM$1006,0)), HYPERLINK("#",""), HYPERLINK(CONCATENATE("#metadata!", ADDRESS(INDEX($AH$2:$AH$1001,MATCH(ROWS($AF$2:AF1001),$AF$2:$AF$1001,0),0), INDEX($AM$1004:$BM$1004,1,MATCH(COLUMNS($AM$1006:AR1006),$AM$1006:$BM$1006,0)))),"Fix")))</f>
        <v xml:space="preserve"> </v>
      </c>
      <c r="H1001" s="4" t="str">
        <f ca="1">IF(OR(INDEX($AG$2:$AG$1001,MATCH(ROWS($AF$2:AF1001),$AF$2:$AF$1001,0),1)&gt;=100000,INDEX($AM$1005:$BM$1005,1,MATCH(COLUMNS($AM$1006:AS1006),$AM$1006:$BM$1006,0))&gt;=100000), " ",IF(INDEX($AM$2:$BM$1001,MATCH(ROWS($AF$2:AF1001),$AF$2:$AF$1001,0),MATCH(COLUMNS($AM$1006:AS1006),$AM$1006:$BM$1006,0)), HYPERLINK("#",""), HYPERLINK(CONCATENATE("#metadata!", ADDRESS(INDEX($AH$2:$AH$1001,MATCH(ROWS($AF$2:AF1001),$AF$2:$AF$1001,0),0), INDEX($AM$1004:$BM$1004,1,MATCH(COLUMNS($AM$1006:AS1006),$AM$1006:$BM$1006,0)))),"Fix")))</f>
        <v xml:space="preserve"> </v>
      </c>
      <c r="I1001" s="4" t="str">
        <f ca="1">IF(OR(INDEX($AG$2:$AG$1001,MATCH(ROWS($AF$2:AF1001),$AF$2:$AF$1001,0),1)&gt;=100000,INDEX($AM$1005:$BM$1005,1,MATCH(COLUMNS($AM$1006:AT1006),$AM$1006:$BM$1006,0))&gt;=100000), " ",IF(INDEX($AM$2:$BM$1001,MATCH(ROWS($AF$2:AF1001),$AF$2:$AF$1001,0),MATCH(COLUMNS($AM$1006:AT1006),$AM$1006:$BM$1006,0)), HYPERLINK("#",""), HYPERLINK(CONCATENATE("#metadata!", ADDRESS(INDEX($AH$2:$AH$1001,MATCH(ROWS($AF$2:AF1001),$AF$2:$AF$1001,0),0), INDEX($AM$1004:$BM$1004,1,MATCH(COLUMNS($AM$1006:AT1006),$AM$1006:$BM$1006,0)))),"Fix")))</f>
        <v xml:space="preserve"> </v>
      </c>
      <c r="J1001" s="4" t="str">
        <f ca="1">IF(OR(INDEX($AG$2:$AG$1001,MATCH(ROWS($AF$2:AF1001),$AF$2:$AF$1001,0),1)&gt;=100000,INDEX($AM$1005:$BM$1005,1,MATCH(COLUMNS($AM$1006:AU1006),$AM$1006:$BM$1006,0))&gt;=100000), " ",IF(INDEX($AM$2:$BM$1001,MATCH(ROWS($AF$2:AF1001),$AF$2:$AF$1001,0),MATCH(COLUMNS($AM$1006:AU1006),$AM$1006:$BM$1006,0)), HYPERLINK("#",""), HYPERLINK(CONCATENATE("#metadata!", ADDRESS(INDEX($AH$2:$AH$1001,MATCH(ROWS($AF$2:AF1001),$AF$2:$AF$1001,0),0), INDEX($AM$1004:$BM$1004,1,MATCH(COLUMNS($AM$1006:AU1006),$AM$1006:$BM$1006,0)))),"Fix")))</f>
        <v xml:space="preserve"> </v>
      </c>
      <c r="K1001" s="4" t="str">
        <f ca="1">IF(OR(INDEX($AG$2:$AG$1001,MATCH(ROWS($AF$2:AF1001),$AF$2:$AF$1001,0),1)&gt;=100000,INDEX($AM$1005:$BM$1005,1,MATCH(COLUMNS($AM$1006:AV1006),$AM$1006:$BM$1006,0))&gt;=100000), " ",IF(INDEX($AM$2:$BM$1001,MATCH(ROWS($AF$2:AF1001),$AF$2:$AF$1001,0),MATCH(COLUMNS($AM$1006:AV1006),$AM$1006:$BM$1006,0)), HYPERLINK("#",""), HYPERLINK(CONCATENATE("#metadata!", ADDRESS(INDEX($AH$2:$AH$1001,MATCH(ROWS($AF$2:AF1001),$AF$2:$AF$1001,0),0), INDEX($AM$1004:$BM$1004,1,MATCH(COLUMNS($AM$1006:AV1006),$AM$1006:$BM$1006,0)))),"Fix")))</f>
        <v xml:space="preserve"> </v>
      </c>
      <c r="L1001" s="4" t="str">
        <f ca="1">IF(OR(INDEX($AG$2:$AG$1001,MATCH(ROWS($AF$2:AF1001),$AF$2:$AF$1001,0),1)&gt;=100000,INDEX($AM$1005:$BM$1005,1,MATCH(COLUMNS($AM$1006:AW1006),$AM$1006:$BM$1006,0))&gt;=100000), " ",IF(INDEX($AM$2:$BM$1001,MATCH(ROWS($AF$2:AF1001),$AF$2:$AF$1001,0),MATCH(COLUMNS($AM$1006:AW1006),$AM$1006:$BM$1006,0)), HYPERLINK("#",""), HYPERLINK(CONCATENATE("#metadata!", ADDRESS(INDEX($AH$2:$AH$1001,MATCH(ROWS($AF$2:AF1001),$AF$2:$AF$1001,0),0), INDEX($AM$1004:$BM$1004,1,MATCH(COLUMNS($AM$1006:AW1006),$AM$1006:$BM$1006,0)))),"Fix")))</f>
        <v xml:space="preserve"> </v>
      </c>
      <c r="M1001" s="4" t="str">
        <f ca="1">IF(OR(INDEX($AG$2:$AG$1001,MATCH(ROWS($AF$2:AF1001),$AF$2:$AF$1001,0),1)&gt;=100000,INDEX($AM$1005:$BM$1005,1,MATCH(COLUMNS($AM$1006:AX1006),$AM$1006:$BM$1006,0))&gt;=100000), " ",IF(INDEX($AM$2:$BM$1001,MATCH(ROWS($AF$2:AF1001),$AF$2:$AF$1001,0),MATCH(COLUMNS($AM$1006:AX1006),$AM$1006:$BM$1006,0)), HYPERLINK("#",""), HYPERLINK(CONCATENATE("#metadata!", ADDRESS(INDEX($AH$2:$AH$1001,MATCH(ROWS($AF$2:AF1001),$AF$2:$AF$1001,0),0), INDEX($AM$1004:$BM$1004,1,MATCH(COLUMNS($AM$1006:AX1006),$AM$1006:$BM$1006,0)))),"Fix")))</f>
        <v xml:space="preserve"> </v>
      </c>
      <c r="N1001" s="4" t="str">
        <f ca="1">IF(OR(INDEX($AG$2:$AG$1001,MATCH(ROWS($AF$2:AF1001),$AF$2:$AF$1001,0),1)&gt;=100000,INDEX($AM$1005:$BM$1005,1,MATCH(COLUMNS($AM$1006:AY1006),$AM$1006:$BM$1006,0))&gt;=100000), " ",IF(INDEX($AM$2:$BM$1001,MATCH(ROWS($AF$2:AF1001),$AF$2:$AF$1001,0),MATCH(COLUMNS($AM$1006:AY1006),$AM$1006:$BM$1006,0)), HYPERLINK("#",""), HYPERLINK(CONCATENATE("#metadata!", ADDRESS(INDEX($AH$2:$AH$1001,MATCH(ROWS($AF$2:AF1001),$AF$2:$AF$1001,0),0), INDEX($AM$1004:$BM$1004,1,MATCH(COLUMNS($AM$1006:AY1006),$AM$1006:$BM$1006,0)))),"Fix")))</f>
        <v xml:space="preserve"> </v>
      </c>
      <c r="O1001" s="4" t="str">
        <f ca="1">IF(OR(INDEX($AG$2:$AG$1001,MATCH(ROWS($AF$2:AF1001),$AF$2:$AF$1001,0),1)&gt;=100000,INDEX($AM$1005:$BM$1005,1,MATCH(COLUMNS($AM$1006:AZ1006),$AM$1006:$BM$1006,0))&gt;=100000), " ",IF(INDEX($AM$2:$BM$1001,MATCH(ROWS($AF$2:AF1001),$AF$2:$AF$1001,0),MATCH(COLUMNS($AM$1006:AZ1006),$AM$1006:$BM$1006,0)), HYPERLINK("#",""), HYPERLINK(CONCATENATE("#metadata!", ADDRESS(INDEX($AH$2:$AH$1001,MATCH(ROWS($AF$2:AF1001),$AF$2:$AF$1001,0),0), INDEX($AM$1004:$BM$1004,1,MATCH(COLUMNS($AM$1006:AZ1006),$AM$1006:$BM$1006,0)))),"Fix")))</f>
        <v xml:space="preserve"> </v>
      </c>
      <c r="P1001" s="4" t="str">
        <f ca="1">IF(OR(INDEX($AG$2:$AG$1001,MATCH(ROWS($AF$2:AF1001),$AF$2:$AF$1001,0),1)&gt;=100000,INDEX($AM$1005:$BM$1005,1,MATCH(COLUMNS($AM$1006:BA1006),$AM$1006:$BM$1006,0))&gt;=100000), " ",IF(INDEX($AM$2:$BM$1001,MATCH(ROWS($AF$2:AF1001),$AF$2:$AF$1001,0),MATCH(COLUMNS($AM$1006:BA1006),$AM$1006:$BM$1006,0)), HYPERLINK("#",""), HYPERLINK(CONCATENATE("#metadata!", ADDRESS(INDEX($AH$2:$AH$1001,MATCH(ROWS($AF$2:AF1001),$AF$2:$AF$1001,0),0), INDEX($AM$1004:$BM$1004,1,MATCH(COLUMNS($AM$1006:BA1006),$AM$1006:$BM$1006,0)))),"Fix")))</f>
        <v xml:space="preserve"> </v>
      </c>
      <c r="Q1001" s="4" t="str">
        <f ca="1">IF(OR(INDEX($AG$2:$AG$1001,MATCH(ROWS($AF$2:AF1001),$AF$2:$AF$1001,0),1)&gt;=100000,INDEX($AM$1005:$BM$1005,1,MATCH(COLUMNS($AM$1006:BB1006),$AM$1006:$BM$1006,0))&gt;=100000), " ",IF(INDEX($AM$2:$BM$1001,MATCH(ROWS($AF$2:AF1001),$AF$2:$AF$1001,0),MATCH(COLUMNS($AM$1006:BB1006),$AM$1006:$BM$1006,0)), HYPERLINK("#",""), HYPERLINK(CONCATENATE("#metadata!", ADDRESS(INDEX($AH$2:$AH$1001,MATCH(ROWS($AF$2:AF1001),$AF$2:$AF$1001,0),0), INDEX($AM$1004:$BM$1004,1,MATCH(COLUMNS($AM$1006:BB1006),$AM$1006:$BM$1006,0)))),"Fix")))</f>
        <v xml:space="preserve"> </v>
      </c>
      <c r="R1001" s="4" t="str">
        <f ca="1">IF(OR(INDEX($AG$2:$AG$1001,MATCH(ROWS($AF$2:AF1001),$AF$2:$AF$1001,0),1)&gt;=100000,INDEX($AM$1005:$BM$1005,1,MATCH(COLUMNS($AM$1006:BC1006),$AM$1006:$BM$1006,0))&gt;=100000), " ",IF(INDEX($AM$2:$BM$1001,MATCH(ROWS($AF$2:AF1001),$AF$2:$AF$1001,0),MATCH(COLUMNS($AM$1006:BC1006),$AM$1006:$BM$1006,0)), HYPERLINK("#",""), HYPERLINK(CONCATENATE("#metadata!", ADDRESS(INDEX($AH$2:$AH$1001,MATCH(ROWS($AF$2:AF1001),$AF$2:$AF$1001,0),0), INDEX($AM$1004:$BM$1004,1,MATCH(COLUMNS($AM$1006:BC1006),$AM$1006:$BM$1006,0)))),"Fix")))</f>
        <v xml:space="preserve"> </v>
      </c>
      <c r="S1001" s="4" t="str">
        <f ca="1">IF(OR(INDEX($AG$2:$AG$1001,MATCH(ROWS($AF$2:AF1001),$AF$2:$AF$1001,0),1)&gt;=100000,INDEX($AM$1005:$BM$1005,1,MATCH(COLUMNS($AM$1006:BD1006),$AM$1006:$BM$1006,0))&gt;=100000), " ",IF(INDEX($AM$2:$BM$1001,MATCH(ROWS($AF$2:AF1001),$AF$2:$AF$1001,0),MATCH(COLUMNS($AM$1006:BD1006),$AM$1006:$BM$1006,0)), HYPERLINK("#",""), HYPERLINK(CONCATENATE("#metadata!", ADDRESS(INDEX($AH$2:$AH$1001,MATCH(ROWS($AF$2:AF1001),$AF$2:$AF$1001,0),0), INDEX($AM$1004:$BM$1004,1,MATCH(COLUMNS($AM$1006:BD1006),$AM$1006:$BM$1006,0)))),"Fix")))</f>
        <v xml:space="preserve"> </v>
      </c>
      <c r="T1001" s="4" t="str">
        <f ca="1">IF(OR(INDEX($AG$2:$AG$1001,MATCH(ROWS($AF$2:AF1001),$AF$2:$AF$1001,0),1)&gt;=100000,INDEX($AM$1005:$BM$1005,1,MATCH(COLUMNS($AM$1006:BE1006),$AM$1006:$BM$1006,0))&gt;=100000), " ",IF(INDEX($AM$2:$BM$1001,MATCH(ROWS($AF$2:AF1001),$AF$2:$AF$1001,0),MATCH(COLUMNS($AM$1006:BE1006),$AM$1006:$BM$1006,0)), HYPERLINK("#",""), HYPERLINK(CONCATENATE("#metadata!", ADDRESS(INDEX($AH$2:$AH$1001,MATCH(ROWS($AF$2:AF1001),$AF$2:$AF$1001,0),0), INDEX($AM$1004:$BM$1004,1,MATCH(COLUMNS($AM$1006:BE1006),$AM$1006:$BM$1006,0)))),"Fix")))</f>
        <v xml:space="preserve"> </v>
      </c>
      <c r="U1001" s="4" t="str">
        <f ca="1">IF(OR(INDEX($AG$2:$AG$1001,MATCH(ROWS($AF$2:AF1001),$AF$2:$AF$1001,0),1)&gt;=100000,INDEX($AM$1005:$BM$1005,1,MATCH(COLUMNS($AM$1006:BF1006),$AM$1006:$BM$1006,0))&gt;=100000), " ",IF(INDEX($AM$2:$BM$1001,MATCH(ROWS($AF$2:AF1001),$AF$2:$AF$1001,0),MATCH(COLUMNS($AM$1006:BF1006),$AM$1006:$BM$1006,0)), HYPERLINK("#",""), HYPERLINK(CONCATENATE("#metadata!", ADDRESS(INDEX($AH$2:$AH$1001,MATCH(ROWS($AF$2:AF1001),$AF$2:$AF$1001,0),0), INDEX($AM$1004:$BM$1004,1,MATCH(COLUMNS($AM$1006:BF1006),$AM$1006:$BM$1006,0)))),"Fix")))</f>
        <v xml:space="preserve"> </v>
      </c>
      <c r="V1001" s="4" t="str">
        <f ca="1">IF(OR(INDEX($AG$2:$AG$1001,MATCH(ROWS($AF$2:AF1001),$AF$2:$AF$1001,0),1)&gt;=100000,INDEX($AM$1005:$BM$1005,1,MATCH(COLUMNS($AM$1006:BG1006),$AM$1006:$BM$1006,0))&gt;=100000), " ",IF(INDEX($AM$2:$BM$1001,MATCH(ROWS($AF$2:AF1001),$AF$2:$AF$1001,0),MATCH(COLUMNS($AM$1006:BG1006),$AM$1006:$BM$1006,0)), HYPERLINK("#",""), HYPERLINK(CONCATENATE("#metadata!", ADDRESS(INDEX($AH$2:$AH$1001,MATCH(ROWS($AF$2:AF1001),$AF$2:$AF$1001,0),0), INDEX($AM$1004:$BM$1004,1,MATCH(COLUMNS($AM$1006:BG1006),$AM$1006:$BM$1006,0)))),"Fix")))</f>
        <v xml:space="preserve"> </v>
      </c>
      <c r="W1001" s="4" t="str">
        <f ca="1">IF(OR(INDEX($AG$2:$AG$1001,MATCH(ROWS($AF$2:AF1001),$AF$2:$AF$1001,0),1)&gt;=100000,INDEX($AM$1005:$BM$1005,1,MATCH(COLUMNS($AM$1006:BH1006),$AM$1006:$BM$1006,0))&gt;=100000), " ",IF(INDEX($AM$2:$BM$1001,MATCH(ROWS($AF$2:AF1001),$AF$2:$AF$1001,0),MATCH(COLUMNS($AM$1006:BH1006),$AM$1006:$BM$1006,0)), HYPERLINK("#",""), HYPERLINK(CONCATENATE("#metadata!", ADDRESS(INDEX($AH$2:$AH$1001,MATCH(ROWS($AF$2:AF1001),$AF$2:$AF$1001,0),0), INDEX($AM$1004:$BM$1004,1,MATCH(COLUMNS($AM$1006:BH1006),$AM$1006:$BM$1006,0)))),"Fix")))</f>
        <v xml:space="preserve"> </v>
      </c>
      <c r="X1001" s="4" t="str">
        <f ca="1">IF(OR(INDEX($AG$2:$AG$1001,MATCH(ROWS($AF$2:AF1001),$AF$2:$AF$1001,0),1)&gt;=100000,INDEX($AM$1005:$BM$1005,1,MATCH(COLUMNS($AM$1006:BI1006),$AM$1006:$BM$1006,0))&gt;=100000), " ",IF(INDEX($AM$2:$BM$1001,MATCH(ROWS($AF$2:AF1001),$AF$2:$AF$1001,0),MATCH(COLUMNS($AM$1006:BI1006),$AM$1006:$BM$1006,0)), HYPERLINK("#",""), HYPERLINK(CONCATENATE("#metadata!", ADDRESS(INDEX($AH$2:$AH$1001,MATCH(ROWS($AF$2:AF1001),$AF$2:$AF$1001,0),0), INDEX($AM$1004:$BM$1004,1,MATCH(COLUMNS($AM$1006:BI1006),$AM$1006:$BM$1006,0)))),"Fix")))</f>
        <v xml:space="preserve"> </v>
      </c>
      <c r="Y1001" s="4" t="str">
        <f ca="1">IF(OR(INDEX($AG$2:$AG$1001,MATCH(ROWS($AF$2:AF1001),$AF$2:$AF$1001,0),1)&gt;=100000,INDEX($AM$1005:$BM$1005,1,MATCH(COLUMNS($AM$1006:BJ1006),$AM$1006:$BM$1006,0))&gt;=100000), " ",IF(INDEX($AM$2:$BM$1001,MATCH(ROWS($AF$2:AF1001),$AF$2:$AF$1001,0),MATCH(COLUMNS($AM$1006:BJ1006),$AM$1006:$BM$1006,0)), HYPERLINK("#",""), HYPERLINK(CONCATENATE("#metadata!", ADDRESS(INDEX($AH$2:$AH$1001,MATCH(ROWS($AF$2:AF1001),$AF$2:$AF$1001,0),0), INDEX($AM$1004:$BM$1004,1,MATCH(COLUMNS($AM$1006:BJ1006),$AM$1006:$BM$1006,0)))),"Fix")))</f>
        <v xml:space="preserve"> </v>
      </c>
      <c r="Z1001" s="4" t="str">
        <f ca="1">IF(OR(INDEX($AG$2:$AG$1001,MATCH(ROWS($AF$2:AF1001),$AF$2:$AF$1001,0),1)&gt;=100000,INDEX($AM$1005:$BM$1005,1,MATCH(COLUMNS($AM$1006:BK1006),$AM$1006:$BM$1006,0))&gt;=100000), " ",IF(INDEX($AM$2:$BM$1001,MATCH(ROWS($AF$2:AF1001),$AF$2:$AF$1001,0),MATCH(COLUMNS($AM$1006:BK1006),$AM$1006:$BM$1006,0)), HYPERLINK("#",""), HYPERLINK(CONCATENATE("#metadata!", ADDRESS(INDEX($AH$2:$AH$1001,MATCH(ROWS($AF$2:AF1001),$AF$2:$AF$1001,0),0), INDEX($AM$1004:$BM$1004,1,MATCH(COLUMNS($AM$1006:BK1006),$AM$1006:$BM$1006,0)))),"Fix")))</f>
        <v xml:space="preserve"> </v>
      </c>
      <c r="AA1001" s="4" t="str">
        <f ca="1">IF(OR(INDEX($AG$2:$AG$1001,MATCH(ROWS($AF$2:AF1001),$AF$2:$AF$1001,0),1)&gt;=100000,INDEX($AM$1005:$BM$1005,1,MATCH(COLUMNS($AM$1006:BL1006),$AM$1006:$BM$1006,0))&gt;=100000), " ",IF(INDEX($AM$2:$BM$1001,MATCH(ROWS($AF$2:AF1001),$AF$2:$AF$1001,0),MATCH(COLUMNS($AM$1006:BL1006),$AM$1006:$BM$1006,0)), HYPERLINK("#",""), HYPERLINK(CONCATENATE("#metadata!", ADDRESS(INDEX($AH$2:$AH$1001,MATCH(ROWS($AF$2:AF1001),$AF$2:$AF$1001,0),0), INDEX($AM$1004:$BM$1004,1,MATCH(COLUMNS($AM$1006:BL1006),$AM$1006:$BM$1006,0)))),"Fix")))</f>
        <v xml:space="preserve"> </v>
      </c>
      <c r="AB1001" s="4" t="str">
        <f ca="1">IF(OR(INDEX($AG$2:$AG$1001,MATCH(ROWS($AF$2:AF1001),$AF$2:$AF$1001,0),1)&gt;=100000,INDEX($AM$1005:$BM$1005,1,MATCH(COLUMNS($AM$1006:BM1006),$AM$1006:$BM$1006,0))&gt;=100000), " ",IF(INDEX($AM$2:$BM$1001,MATCH(ROWS($AF$2:AF1001),$AF$2:$AF$1001,0),MATCH(COLUMNS($AM$1006:BM1006),$AM$1006:$BM$1006,0)), HYPERLINK("#",""), HYPERLINK(CONCATENATE("#metadata!", ADDRESS(INDEX($AH$2:$AH$1001,MATCH(ROWS($AF$2:AF1001),$AF$2:$AF$1001,0),0), INDEX($AM$1004:$BM$1004,1,MATCH(COLUMNS($AM$1006:BM1006),$AM$1006:$BM$1006,0)))),"Fix")))</f>
        <v xml:space="preserve"> </v>
      </c>
      <c r="AF1001">
        <v>1000</v>
      </c>
      <c r="AG1001">
        <v>101001</v>
      </c>
      <c r="AH1001">
        <v>1001</v>
      </c>
      <c r="AI1001" t="b">
        <f t="shared" si="15"/>
        <v>1</v>
      </c>
      <c r="AJ1001" t="b">
        <f>COUNTBLANK(metadata!B1001:AB1001)=COLUMNS(metadata!B1001:AB1001)</f>
        <v>1</v>
      </c>
      <c r="AK1001" t="str">
        <v/>
      </c>
      <c r="AM1001" t="b">
        <f ca="1">AND(IF(metadata!B1001="",FALSE,TRUE),COUNTIF(metadata!B:B, metadata!B1001) = 1,NOT(ISERROR(SUMPRODUCT(SEARCH(MID(metadata!B1001,ROW(INDIRECT("1:"&amp;LEN(metadata!B1001))), 1),"0123456789abcdefghijklmnopqrstuvwxyzABCDEFGHIJKLMNOPQRSTUVWXYZ.")))))</f>
        <v>0</v>
      </c>
      <c r="AN1001" t="b">
        <f ca="1">OR(AND(IF(metadata!C1001="",FALSE,TRUE),OR(EXACT(metadata!C1001,"missing: not collected"),EXACT(metadata!C1001,"missing: not provided"),EXACT(metadata!C1001,"missing: restricted access"))),AND(IF(metadata!C1001="",FALSE,TRUE),AND(AND(IFERROR(INT(LEFT(metadata!C1001,4))&gt;1900,FALSE),IFERROR(INT(LEFT(metadata!C1001,4))&lt;=YEAR(NOW()),FALSE)), OR(MID(metadata!C1001,5,1)="", AND(AND(MID(metadata!C1001,5,1)="-",IFERROR(INT(MID(metadata!C1001,6,1))&gt;=0,FALSE),IFERROR(INT(MID(metadata!C1001,6,1))&lt;=1,FALSE),NOT(MID(metadata!C1001,7,1)=""),IFERROR(INT(MID(metadata!C1001,6,2))&gt;=1,FALSE),IFERROR(INT(MID(metadata!C1001,6,2))&lt;=12,FALSE)), OR(MID(metadata!C1001,8,1)="", AND(AND(MID(metadata!C1001,8,1)="-",IFERROR(INT(MID(metadata!C1001,9,1))&gt;=0,FALSE),IFERROR(INT(MID(metadata!C1001,9,1))&lt;=3,FALSE),NOT(MID(metadata!C1001,10,1)=""),IFERROR(INT(MID(metadata!C1001,9,2))&gt;=1,FALSE),IFERROR(INT(MID(metadata!C1001,9,2))&lt;=31,FALSE)), OR(MID(metadata!C1001,11,1)="", AND(AND(MID(metadata!C1001,11,1)=" ",IFERROR(INT(MID(metadata!C1001,12,1))&gt;=0,FALSE),IFERROR(INT(MID(metadata!C1001,12,1))&lt;=2,FALSE),NOT(MID(metadata!C1001,13,1)=""),IFERROR(INT(MID(metadata!C1001,12,2))&gt;=0,FALSE),IFERROR(INT(MID(metadata!C1001,12,2))&lt;=23,FALSE)), OR(MID(metadata!C1001,14,1)="", AND(AND(MID(metadata!C1001,14,1)=":",IFERROR(INT(MID(metadata!C1001,15,1))&gt;=0,FALSE),IFERROR(INT(MID(metadata!C1001,15,1))&lt;=5,FALSE),NOT(MID(metadata!C1001,16,1)=""),IFERROR(INT(MID(metadata!C1001,15,2))&gt;=0,FALSE),IFERROR(INT(MID(metadata!C1001,15,2))&lt;=59,FALSE)), OR(MID(metadata!C1001,17,1)="", AND(AND(MID(metadata!C1001,17,1)=":",IFERROR(INT(MID(metadata!C1001,18,1))&gt;=0,FALSE),IFERROR(INT(MID(metadata!C1001,18,1))&lt;=5,FALSE),NOT(MID(metadata!C1001,19,1)=""),IFERROR(INT(MID(metadata!C1001,18,2))&gt;=0,FALSE),IFERROR(INT(MID(metadata!C1001,18,2))&lt;=59,FALSE)), LEN(metadata!C1001)&lt;=19)))))))))))))</f>
        <v>0</v>
      </c>
      <c r="AO1001" t="b">
        <f>AND(IF(metadata!D1001="",FALSE,TRUE),EXACT(metadata!D1001,"Not applicable"))</f>
        <v>0</v>
      </c>
      <c r="AP1001" t="b">
        <f>IF(metadata!E1001="",FALSE,TRUE)</f>
        <v>0</v>
      </c>
      <c r="AQ1001" t="b">
        <f>OR(AND(IF(metadata!F1001="",FALSE,TRUE),OR(EXACT(metadata!F1001,"missing: not collected"),EXACT(metadata!F1001,"missing: not provided"))),AND(IF(metadata!F1001="",FALSE,TRUE),OR(EXACT(metadata!F1001,"TRUE"),EXACT(metadata!F1001,"FALSE"))))</f>
        <v>0</v>
      </c>
      <c r="AR1001" t="b">
        <f>OR(AND(IF(metadata!G1001="",FALSE,TRUE),OR(EXACT(metadata!G1001,"missing: not collected"),EXACT(metadata!G1001,"missing: not provided"),EXACT(metadata!G1001,"missing: restricted access"))),AND(IF(metadata!G1001="",FALSE,ISNUMBER(VALUE(metadata!G1001))),metadata!G1001&gt;=-413))</f>
        <v>0</v>
      </c>
      <c r="AS1001" t="b">
        <f>AND(IF(metadata!H1001="",FALSE,TRUE),EXACT(metadata!H1001,"meters"))</f>
        <v>0</v>
      </c>
      <c r="AT1001" t="b">
        <f>AND(IF(metadata!I1001="",FALSE,TRUE),OR(EXACT(metadata!I1001,"Host-associated"),EXACT(metadata!I1001,"Free-living")))</f>
        <v>0</v>
      </c>
      <c r="AU1001" t="b">
        <f>AND(IF(metadata!J1001="",FALSE,TRUE),OR(EXACT(metadata!J1001,"Animal"),EXACT(metadata!J1001,"Fungus"),EXACT(metadata!J1001,"Plant"),EXACT(metadata!J1001,"Saline"),EXACT(metadata!J1001,"Non-saline")))</f>
        <v>0</v>
      </c>
      <c r="AV1001" t="b">
        <f>AND(IF(metadata!K1001="",FALSE,TRUE),OR(EXACT(metadata!K1001,"Plant secretion"),EXACT(metadata!K1001,"Plant rhizosphere"),EXACT(metadata!K1001,"Plant surface"),EXACT(metadata!K1001,"Plant corpus"),EXACT(metadata!K1001,"Fungus surface"),EXACT(metadata!K1001,"Fungus corpus"),EXACT(metadata!K1001,"Animal surface"),EXACT(metadata!K1001,"Animal proximal gut"),EXACT(metadata!K1001,"Animal corpus"),EXACT(metadata!K1001,"Animal distal gut"),EXACT(metadata!K1001,"Animal secretion"),EXACT(metadata!K1001,"Sub-surface (non-saline)"),EXACT(metadata!K1001,"Surface (non-saline)"),EXACT(metadata!K1001,"Water (non-saline)"),EXACT(metadata!K1001,"Soil (non-saline)"),EXACT(metadata!K1001,"Aerosol (non-saline)"),EXACT(metadata!K1001,"Sediment (non-saline)"),EXACT(metadata!K1001,"Surface (saline)"),EXACT(metadata!K1001,"Water (saline)"),EXACT(metadata!K1001,"Hypersaline (saline)"),EXACT(metadata!K1001,"Aerosol (saline)"),EXACT(metadata!K1001,"Sediment (saline)")))</f>
        <v>0</v>
      </c>
      <c r="AW1001" t="b">
        <f>IF(metadata!L1001="",FALSE,TRUE)</f>
        <v>0</v>
      </c>
      <c r="AX1001" t="b">
        <f>IF(metadata!M1001="",FALSE,TRUE)</f>
        <v>0</v>
      </c>
      <c r="AY1001" t="b">
        <f>IF(metadata!N1001="",FALSE,TRUE)</f>
        <v>0</v>
      </c>
      <c r="AZ1001" t="b">
        <f>OR(AND(IF(metadata!O1001="",FALSE,TRUE),OR(EXACT(metadata!O1001,"missing: not collected"),EXACT(metadata!O1001,"missing: not provided"),EXACT(metadata!O1001,"missing: restricted access"))),AND(IF(metadata!O1001="",FALSE,TRUE),OR(EXACT(metadata!O1001,"air"),EXACT(metadata!O1001,"built environment"),EXACT(metadata!O1001,"host-associated"),EXACT(metadata!O1001,"human-associated"),EXACT(metadata!O1001,"human-skin"),EXACT(metadata!O1001,"human-oral"),EXACT(metadata!O1001,"human-gut"),EXACT(metadata!O1001,"human-vaginal"),EXACT(metadata!O1001,"microbial mat/biofilm"),EXACT(metadata!O1001,"misc environment"),EXACT(metadata!O1001,"plant-associated"),EXACT(metadata!O1001,"sediment"),EXACT(metadata!O1001,"soil"),EXACT(metadata!O1001,"wastewater/sludge"),EXACT(metadata!O1001,"water"))))</f>
        <v>0</v>
      </c>
      <c r="BA1001" t="b">
        <f>IF(metadata!P1001="",FALSE,TRUE)</f>
        <v>0</v>
      </c>
      <c r="BB1001" t="b">
        <f>IF(metadata!Q1001="",FALSE,TRUE)</f>
        <v>0</v>
      </c>
      <c r="BC1001" t="b">
        <f>OR(AND(IF(metadata!R1001="",FALSE,TRUE),OR(EXACT(metadata!R1001,"missing: not collected"),EXACT(metadata!R1001,"missing: not provided"),EXACT(metadata!R1001,"missing: restricted access"))),AND(IF(metadata!R1001="",FALSE,ISNUMBER(VALUE(metadata!R1001))),metadata!R1001&gt;=-90,metadata!R1001&lt;=90))</f>
        <v>0</v>
      </c>
      <c r="BD1001" t="b">
        <f>AND(IF(metadata!S1001="",FALSE,TRUE),EXACT(metadata!S1001,"Decimal degrees"))</f>
        <v>0</v>
      </c>
      <c r="BE1001" t="b">
        <f>OR(AND(IF(metadata!T1001="",FALSE,TRUE),OR(EXACT(metadata!T1001,"missing: not collected"),EXACT(metadata!T1001,"missing: not provided"),EXACT(metadata!T1001,"missing: restricted access"))),AND(IF(metadata!T1001="",FALSE,ISNUMBER(VALUE(metadata!T1001))),metadata!T1001&gt;=-180,metadata!T1001&lt;=180))</f>
        <v>0</v>
      </c>
      <c r="BF1001" t="b">
        <f>AND(IF(metadata!U1001="",FALSE,TRUE),EXACT(metadata!U1001,"Decimal degrees"))</f>
        <v>0</v>
      </c>
      <c r="BG1001" t="b">
        <f>IF(metadata!V1001="",FALSE,TRUE)</f>
        <v>0</v>
      </c>
      <c r="BH1001" t="b">
        <f>OR(AND(IF(metadata!W1001="",FALSE,TRUE),OR(EXACT(metadata!W1001,"missing: not collected"),EXACT(metadata!W1001,"missing: not provided"),EXACT(metadata!W1001,"missing: restricted access"))),AND(IF(metadata!W1001="",FALSE,TRUE),OR(EXACT(metadata!W1001,"TRUE"),EXACT(metadata!W1001,"FALSE"))))</f>
        <v>0</v>
      </c>
      <c r="BI1001" t="b">
        <f>AND(IF(metadata!X1001="",FALSE,TRUE),EXACT(metadata!X1001,"other"))</f>
        <v>0</v>
      </c>
      <c r="BJ1001" t="b">
        <f>IF(metadata!Y1001="",FALSE,TRUE)</f>
        <v>0</v>
      </c>
      <c r="BK1001" t="b">
        <f>OR(AND(IF(metadata!Z1001="",FALSE,TRUE),OR(EXACT(metadata!Z1001,"missing: not collected"),EXACT(metadata!Z1001,"missing: not provided"))),AND(IF(metadata!Z1001="",FALSE,IF(ISERROR(INT(metadata!Z1001)),FALSE,INT(metadata!Z1001)=metadata!Z1001)),metadata!Z1001&gt;0))</f>
        <v>0</v>
      </c>
      <c r="BL1001" t="b">
        <f>AND(IF(metadata!AA1001="",FALSE,TRUE),EXACT(metadata!AA1001,"Not applicable"))</f>
        <v>0</v>
      </c>
      <c r="BM1001" t="b">
        <f>IF(metadata!AB1001="",FALSE,TRUE)</f>
        <v>0</v>
      </c>
    </row>
    <row r="1003" spans="1:65" x14ac:dyDescent="0.2">
      <c r="AL1003" s="3" t="s">
        <v>34</v>
      </c>
      <c r="AM1003" t="b">
        <f t="array" aca="1" ref="AM1003" ca="1">AND(IF($AJ2:$AJ1001,TRUE,AM2:AM1001))</f>
        <v>1</v>
      </c>
      <c r="AN1003" t="b">
        <f t="array" aca="1" ref="AN1003" ca="1">AND(IF($AJ2:$AJ1001,TRUE,AN2:AN1001))</f>
        <v>1</v>
      </c>
      <c r="AO1003" t="b">
        <f t="array" ref="AO1003">AND(IF($AJ2:$AJ1001,TRUE,AO2:AO1001))</f>
        <v>1</v>
      </c>
      <c r="AP1003" t="b">
        <f t="array" ref="AP1003">AND(IF($AJ2:$AJ1001,TRUE,AP2:AP1001))</f>
        <v>1</v>
      </c>
      <c r="AQ1003" t="b">
        <f t="array" ref="AQ1003">AND(IF($AJ2:$AJ1001,TRUE,AQ2:AQ1001))</f>
        <v>1</v>
      </c>
      <c r="AR1003" t="b">
        <f t="array" ref="AR1003">AND(IF($AJ2:$AJ1001,TRUE,AR2:AR1001))</f>
        <v>1</v>
      </c>
      <c r="AS1003" t="b">
        <f t="array" ref="AS1003">AND(IF($AJ2:$AJ1001,TRUE,AS2:AS1001))</f>
        <v>1</v>
      </c>
      <c r="AT1003" t="b">
        <f t="array" ref="AT1003">AND(IF($AJ2:$AJ1001,TRUE,AT2:AT1001))</f>
        <v>1</v>
      </c>
      <c r="AU1003" t="b">
        <f t="array" ref="AU1003">AND(IF($AJ2:$AJ1001,TRUE,AU2:AU1001))</f>
        <v>1</v>
      </c>
      <c r="AV1003" t="b">
        <f t="array" ref="AV1003">AND(IF($AJ2:$AJ1001,TRUE,AV2:AV1001))</f>
        <v>1</v>
      </c>
      <c r="AW1003" t="b">
        <f t="array" ref="AW1003">AND(IF($AJ2:$AJ1001,TRUE,AW2:AW1001))</f>
        <v>1</v>
      </c>
      <c r="AX1003" t="b">
        <f t="array" ref="AX1003">AND(IF($AJ2:$AJ1001,TRUE,AX2:AX1001))</f>
        <v>1</v>
      </c>
      <c r="AY1003" t="b">
        <f t="array" ref="AY1003">AND(IF($AJ2:$AJ1001,TRUE,AY2:AY1001))</f>
        <v>1</v>
      </c>
      <c r="AZ1003" t="b">
        <f t="array" ref="AZ1003">AND(IF($AJ2:$AJ1001,TRUE,AZ2:AZ1001))</f>
        <v>1</v>
      </c>
      <c r="BA1003" t="b">
        <f t="array" ref="BA1003">AND(IF($AJ2:$AJ1001,TRUE,BA2:BA1001))</f>
        <v>1</v>
      </c>
      <c r="BB1003" t="b">
        <f t="array" ref="BB1003">AND(IF($AJ2:$AJ1001,TRUE,BB2:BB1001))</f>
        <v>1</v>
      </c>
      <c r="BC1003" t="b">
        <f t="array" ref="BC1003">AND(IF($AJ2:$AJ1001,TRUE,BC2:BC1001))</f>
        <v>1</v>
      </c>
      <c r="BD1003" t="b">
        <f t="array" ref="BD1003">AND(IF($AJ2:$AJ1001,TRUE,BD2:BD1001))</f>
        <v>1</v>
      </c>
      <c r="BE1003" t="b">
        <f t="array" ref="BE1003">AND(IF($AJ2:$AJ1001,TRUE,BE2:BE1001))</f>
        <v>1</v>
      </c>
      <c r="BF1003" t="b">
        <f t="array" ref="BF1003">AND(IF($AJ2:$AJ1001,TRUE,BF2:BF1001))</f>
        <v>1</v>
      </c>
      <c r="BG1003" t="b">
        <f t="array" ref="BG1003">AND(IF($AJ2:$AJ1001,TRUE,BG2:BG1001))</f>
        <v>1</v>
      </c>
      <c r="BH1003" t="b">
        <f t="array" ref="BH1003">AND(IF($AJ2:$AJ1001,TRUE,BH2:BH1001))</f>
        <v>1</v>
      </c>
      <c r="BI1003" t="b">
        <f t="array" ref="BI1003">AND(IF($AJ2:$AJ1001,TRUE,BI2:BI1001))</f>
        <v>1</v>
      </c>
      <c r="BJ1003" t="b">
        <f t="array" ref="BJ1003">AND(IF($AJ2:$AJ1001,TRUE,BJ2:BJ1001))</f>
        <v>1</v>
      </c>
      <c r="BK1003" t="b">
        <f t="array" ref="BK1003">AND(IF($AJ2:$AJ1001,TRUE,BK2:BK1001))</f>
        <v>1</v>
      </c>
      <c r="BL1003" t="b">
        <f t="array" ref="BL1003">AND(IF($AJ2:$AJ1001,TRUE,BL2:BL1001))</f>
        <v>1</v>
      </c>
      <c r="BM1003" t="b">
        <f t="array" ref="BM1003">AND(IF($AJ2:$AJ1001,TRUE,BM2:BM1001))</f>
        <v>1</v>
      </c>
    </row>
    <row r="1004" spans="1:65" x14ac:dyDescent="0.2">
      <c r="AL1004" s="3" t="s">
        <v>35</v>
      </c>
      <c r="AM1004">
        <f t="array" ref="AM1004:BM1004">COLUMN(metadata!B1004:AB1004)</f>
        <v>2</v>
      </c>
      <c r="AN1004">
        <v>3</v>
      </c>
      <c r="AO1004">
        <v>4</v>
      </c>
      <c r="AP1004">
        <v>5</v>
      </c>
      <c r="AQ1004">
        <v>6</v>
      </c>
      <c r="AR1004">
        <v>7</v>
      </c>
      <c r="AS1004">
        <v>8</v>
      </c>
      <c r="AT1004">
        <v>9</v>
      </c>
      <c r="AU1004">
        <v>10</v>
      </c>
      <c r="AV1004">
        <v>11</v>
      </c>
      <c r="AW1004">
        <v>12</v>
      </c>
      <c r="AX1004">
        <v>13</v>
      </c>
      <c r="AY1004">
        <v>14</v>
      </c>
      <c r="AZ1004">
        <v>15</v>
      </c>
      <c r="BA1004">
        <v>16</v>
      </c>
      <c r="BB1004">
        <v>17</v>
      </c>
      <c r="BC1004">
        <v>18</v>
      </c>
      <c r="BD1004">
        <v>19</v>
      </c>
      <c r="BE1004">
        <v>20</v>
      </c>
      <c r="BF1004">
        <v>21</v>
      </c>
      <c r="BG1004">
        <v>22</v>
      </c>
      <c r="BH1004">
        <v>23</v>
      </c>
      <c r="BI1004">
        <v>24</v>
      </c>
      <c r="BJ1004">
        <v>25</v>
      </c>
      <c r="BK1004">
        <v>26</v>
      </c>
      <c r="BL1004">
        <v>27</v>
      </c>
      <c r="BM1004">
        <v>28</v>
      </c>
    </row>
    <row r="1005" spans="1:65" x14ac:dyDescent="0.2">
      <c r="AL1005" s="3" t="s">
        <v>36</v>
      </c>
      <c r="AM1005">
        <f t="array" ref="AM1005:BM1005" ca="1">INT(AM1003:BM1003)*100000+$AM$1004:$BM$1004</f>
        <v>100002</v>
      </c>
      <c r="AN1005">
        <f ca="1"/>
        <v>100003</v>
      </c>
      <c r="AO1005">
        <v>100004</v>
      </c>
      <c r="AP1005">
        <v>100005</v>
      </c>
      <c r="AQ1005">
        <v>100006</v>
      </c>
      <c r="AR1005">
        <v>100007</v>
      </c>
      <c r="AS1005">
        <v>100008</v>
      </c>
      <c r="AT1005">
        <v>100009</v>
      </c>
      <c r="AU1005">
        <v>100010</v>
      </c>
      <c r="AV1005">
        <v>100011</v>
      </c>
      <c r="AW1005">
        <v>100012</v>
      </c>
      <c r="AX1005">
        <v>100013</v>
      </c>
      <c r="AY1005">
        <v>100014</v>
      </c>
      <c r="AZ1005">
        <v>100015</v>
      </c>
      <c r="BA1005">
        <v>100016</v>
      </c>
      <c r="BB1005">
        <v>100017</v>
      </c>
      <c r="BC1005">
        <v>100018</v>
      </c>
      <c r="BD1005">
        <v>100019</v>
      </c>
      <c r="BE1005">
        <v>100020</v>
      </c>
      <c r="BF1005">
        <v>100021</v>
      </c>
      <c r="BG1005">
        <v>100022</v>
      </c>
      <c r="BH1005">
        <v>100023</v>
      </c>
      <c r="BI1005">
        <v>100024</v>
      </c>
      <c r="BJ1005">
        <v>100025</v>
      </c>
      <c r="BK1005">
        <v>100026</v>
      </c>
      <c r="BL1005">
        <v>100027</v>
      </c>
      <c r="BM1005">
        <v>100028</v>
      </c>
    </row>
    <row r="1006" spans="1:65" x14ac:dyDescent="0.2">
      <c r="AL1006" s="3" t="s">
        <v>37</v>
      </c>
      <c r="AM1006">
        <f t="array" aca="1" ref="AM1006:BM1006" ca="1">COUNTIF($AM1005:$BM1005,"&lt;="&amp;AM$1005:BM1005)</f>
        <v>1</v>
      </c>
      <c r="AN1006">
        <f ca="1"/>
        <v>2</v>
      </c>
      <c r="AO1006">
        <f ca="1"/>
        <v>3</v>
      </c>
      <c r="AP1006">
        <f ca="1"/>
        <v>4</v>
      </c>
      <c r="AQ1006">
        <f ca="1"/>
        <v>5</v>
      </c>
      <c r="AR1006">
        <f ca="1"/>
        <v>6</v>
      </c>
      <c r="AS1006">
        <f ca="1"/>
        <v>7</v>
      </c>
      <c r="AT1006">
        <f ca="1"/>
        <v>8</v>
      </c>
      <c r="AU1006">
        <f ca="1"/>
        <v>9</v>
      </c>
      <c r="AV1006">
        <f ca="1"/>
        <v>10</v>
      </c>
      <c r="AW1006">
        <f ca="1"/>
        <v>11</v>
      </c>
      <c r="AX1006">
        <f ca="1"/>
        <v>12</v>
      </c>
      <c r="AY1006">
        <f ca="1"/>
        <v>13</v>
      </c>
      <c r="AZ1006">
        <f ca="1"/>
        <v>14</v>
      </c>
      <c r="BA1006">
        <f ca="1"/>
        <v>15</v>
      </c>
      <c r="BB1006">
        <f ca="1"/>
        <v>16</v>
      </c>
      <c r="BC1006">
        <f ca="1"/>
        <v>17</v>
      </c>
      <c r="BD1006">
        <f ca="1"/>
        <v>18</v>
      </c>
      <c r="BE1006">
        <f ca="1"/>
        <v>19</v>
      </c>
      <c r="BF1006">
        <f ca="1"/>
        <v>20</v>
      </c>
      <c r="BG1006">
        <f ca="1"/>
        <v>21</v>
      </c>
      <c r="BH1006">
        <f ca="1"/>
        <v>22</v>
      </c>
      <c r="BI1006">
        <f ca="1"/>
        <v>23</v>
      </c>
      <c r="BJ1006">
        <f ca="1"/>
        <v>24</v>
      </c>
      <c r="BK1006">
        <f ca="1"/>
        <v>25</v>
      </c>
      <c r="BL1006">
        <f ca="1"/>
        <v>26</v>
      </c>
      <c r="BM1006">
        <f ca="1"/>
        <v>27</v>
      </c>
    </row>
  </sheetData>
  <sheetProtection sheet="1" objects="1" scenarios="1"/>
  <conditionalFormatting sqref="B2:AB1001">
    <cfRule type="cellIs" dxfId="1" priority="1" operator="equal">
      <formula>""</formula>
    </cfRule>
    <cfRule type="cellIs" dxfId="0"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2" x14ac:dyDescent="0.2">
      <c r="A1" s="3" t="s">
        <v>38</v>
      </c>
      <c r="B1" s="3" t="s">
        <v>39</v>
      </c>
    </row>
    <row r="2" spans="1:2" x14ac:dyDescent="0.2">
      <c r="A2" s="3" t="s">
        <v>1</v>
      </c>
      <c r="B2" t="s">
        <v>40</v>
      </c>
    </row>
    <row r="3" spans="1:2" x14ac:dyDescent="0.2">
      <c r="A3" s="3" t="s">
        <v>3</v>
      </c>
      <c r="B3" t="s">
        <v>41</v>
      </c>
    </row>
    <row r="4" spans="1:2" x14ac:dyDescent="0.2">
      <c r="A4" s="3" t="s">
        <v>4</v>
      </c>
      <c r="B4" t="s">
        <v>42</v>
      </c>
    </row>
    <row r="5" spans="1:2" x14ac:dyDescent="0.2">
      <c r="A5" s="3" t="s">
        <v>5</v>
      </c>
      <c r="B5" t="s">
        <v>43</v>
      </c>
    </row>
    <row r="6" spans="1:2" x14ac:dyDescent="0.2">
      <c r="A6" s="3" t="s">
        <v>6</v>
      </c>
      <c r="B6" t="s">
        <v>44</v>
      </c>
    </row>
    <row r="7" spans="1:2" x14ac:dyDescent="0.2">
      <c r="A7" s="3" t="s">
        <v>7</v>
      </c>
      <c r="B7" t="s">
        <v>45</v>
      </c>
    </row>
    <row r="8" spans="1:2" x14ac:dyDescent="0.2">
      <c r="A8" s="3" t="s">
        <v>8</v>
      </c>
      <c r="B8" t="s">
        <v>46</v>
      </c>
    </row>
    <row r="9" spans="1:2" x14ac:dyDescent="0.2">
      <c r="A9" s="3" t="s">
        <v>9</v>
      </c>
      <c r="B9" t="s">
        <v>47</v>
      </c>
    </row>
    <row r="10" spans="1:2" x14ac:dyDescent="0.2">
      <c r="A10" s="3" t="s">
        <v>10</v>
      </c>
      <c r="B10" t="s">
        <v>48</v>
      </c>
    </row>
    <row r="11" spans="1:2" x14ac:dyDescent="0.2">
      <c r="A11" s="3" t="s">
        <v>11</v>
      </c>
      <c r="B11" t="s">
        <v>49</v>
      </c>
    </row>
    <row r="12" spans="1:2" x14ac:dyDescent="0.2">
      <c r="A12" s="3" t="s">
        <v>12</v>
      </c>
      <c r="B12" t="s">
        <v>50</v>
      </c>
    </row>
    <row r="13" spans="1:2" x14ac:dyDescent="0.2">
      <c r="A13" s="3" t="s">
        <v>13</v>
      </c>
      <c r="B13" t="s">
        <v>51</v>
      </c>
    </row>
    <row r="14" spans="1:2" x14ac:dyDescent="0.2">
      <c r="A14" s="3" t="s">
        <v>14</v>
      </c>
      <c r="B14" t="s">
        <v>52</v>
      </c>
    </row>
    <row r="15" spans="1:2" x14ac:dyDescent="0.2">
      <c r="A15" s="3" t="s">
        <v>15</v>
      </c>
      <c r="B15" t="s">
        <v>53</v>
      </c>
    </row>
    <row r="16" spans="1:2" x14ac:dyDescent="0.2">
      <c r="A16" s="3" t="s">
        <v>16</v>
      </c>
      <c r="B16" t="s">
        <v>54</v>
      </c>
    </row>
    <row r="17" spans="1:2" x14ac:dyDescent="0.2">
      <c r="A17" s="3" t="s">
        <v>17</v>
      </c>
      <c r="B17" t="s">
        <v>55</v>
      </c>
    </row>
    <row r="18" spans="1:2" x14ac:dyDescent="0.2">
      <c r="A18" s="3" t="s">
        <v>18</v>
      </c>
      <c r="B18" t="s">
        <v>56</v>
      </c>
    </row>
    <row r="19" spans="1:2" x14ac:dyDescent="0.2">
      <c r="A19" s="3" t="s">
        <v>19</v>
      </c>
      <c r="B19" t="s">
        <v>57</v>
      </c>
    </row>
    <row r="20" spans="1:2" x14ac:dyDescent="0.2">
      <c r="A20" s="3" t="s">
        <v>20</v>
      </c>
      <c r="B20" t="s">
        <v>58</v>
      </c>
    </row>
    <row r="21" spans="1:2" x14ac:dyDescent="0.2">
      <c r="A21" s="3" t="s">
        <v>21</v>
      </c>
      <c r="B21" t="s">
        <v>57</v>
      </c>
    </row>
    <row r="22" spans="1:2" x14ac:dyDescent="0.2">
      <c r="A22" s="3" t="s">
        <v>22</v>
      </c>
      <c r="B22" t="s">
        <v>59</v>
      </c>
    </row>
    <row r="23" spans="1:2" x14ac:dyDescent="0.2">
      <c r="A23" s="3" t="s">
        <v>23</v>
      </c>
      <c r="B23" t="s">
        <v>60</v>
      </c>
    </row>
    <row r="24" spans="1:2" x14ac:dyDescent="0.2">
      <c r="A24" s="3" t="s">
        <v>24</v>
      </c>
      <c r="B24" t="s">
        <v>61</v>
      </c>
    </row>
    <row r="25" spans="1:2" x14ac:dyDescent="0.2">
      <c r="A25" s="3" t="s">
        <v>25</v>
      </c>
      <c r="B25" t="s">
        <v>62</v>
      </c>
    </row>
    <row r="26" spans="1:2" x14ac:dyDescent="0.2">
      <c r="A26" s="3" t="s">
        <v>26</v>
      </c>
      <c r="B26" t="s">
        <v>63</v>
      </c>
    </row>
    <row r="27" spans="1:2" x14ac:dyDescent="0.2">
      <c r="A27" s="3" t="s">
        <v>27</v>
      </c>
      <c r="B27" t="s">
        <v>42</v>
      </c>
    </row>
    <row r="28" spans="1:2" x14ac:dyDescent="0.2">
      <c r="A28" s="3" t="s">
        <v>28</v>
      </c>
      <c r="B28" t="s">
        <v>64</v>
      </c>
    </row>
  </sheetData>
  <sheetProtection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cols>
    <col min="1" max="1" width="180.1640625" customWidth="1"/>
  </cols>
  <sheetData>
    <row r="1" spans="1:1" ht="409" x14ac:dyDescent="0.2">
      <c r="A1" s="6" t="s">
        <v>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1" x14ac:dyDescent="0.2">
      <c r="A1" t="s">
        <v>65</v>
      </c>
    </row>
  </sheetData>
  <sheetProtection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83203125" defaultRowHeight="15" x14ac:dyDescent="0.2"/>
  <sheetData>
    <row r="1" spans="1:1" x14ac:dyDescent="0.2">
      <c r="A1" t="s">
        <v>66</v>
      </c>
    </row>
    <row r="2" spans="1:1" x14ac:dyDescent="0.2">
      <c r="A2"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field descriptions</vt:lpstr>
      <vt:lpstr>metadata_schema</vt:lpstr>
      <vt:lpstr>metadata_form</vt:lpstr>
      <vt:lpstr>readme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Amanda Birmingham</cp:lastModifiedBy>
  <dcterms:created xsi:type="dcterms:W3CDTF">2018-01-04T00:15:33Z</dcterms:created>
  <dcterms:modified xsi:type="dcterms:W3CDTF">2018-01-04T00:22:53Z</dcterms:modified>
</cp:coreProperties>
</file>